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comments1.xml" ContentType="application/vnd.openxmlformats-officedocument.spreadsheetml.comments+xml"/>
  <Override PartName="/xl/printerSettings/printerSettings1.bin" ContentType="application/vnd.openxmlformats-officedocument.spreadsheetml.printerSettings"/>
  <Override PartName="/xl/drawings/drawing3.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J:\IronForce2-resource\Document\Design\Numerical\"/>
    </mc:Choice>
  </mc:AlternateContent>
  <bookViews>
    <workbookView xWindow="0" yWindow="0" windowWidth="28800" windowHeight="13890" tabRatio="856" firstSheet="16" activeTab="30"/>
  </bookViews>
  <sheets>
    <sheet name="说明" sheetId="48" r:id="rId1"/>
    <sheet name="标准坦克设计" sheetId="2" r:id="rId2"/>
    <sheet name="基础属性系数" sheetId="1" r:id="rId3"/>
    <sheet name="基础经济系数" sheetId="62" r:id="rId4"/>
    <sheet name="游戏时长规划" sheetId="27" r:id="rId5"/>
    <sheet name="坦克总规划表" sheetId="59" r:id="rId6"/>
    <sheet name="游戏付费深度" sheetId="60" r:id="rId7"/>
    <sheet name="碎片&amp;军费投放规划" sheetId="64" r:id="rId8"/>
    <sheet name="坦克升星消耗" sheetId="58" r:id="rId9"/>
    <sheet name="坦克等级成长" sheetId="7" r:id="rId10"/>
    <sheet name="类型坦克成长数据" sheetId="49" r:id="rId11"/>
    <sheet name="战斗时间模拟" sheetId="50" r:id="rId12"/>
    <sheet name="坦克标准养成属性" sheetId="26" r:id="rId13"/>
    <sheet name="坦克类型系数" sheetId="5" r:id="rId14"/>
    <sheet name="图鉴" sheetId="43" r:id="rId15"/>
    <sheet name="坦克个性化设定" sheetId="6" r:id="rId16"/>
    <sheet name="坦克个性化细分" sheetId="23" r:id="rId17"/>
    <sheet name="坦克属性统计" sheetId="24" r:id="rId18"/>
    <sheet name="坦克属性对比" sheetId="34" r:id="rId19"/>
    <sheet name="坦克部件" sheetId="25" r:id="rId20"/>
    <sheet name="坦克部件养成" sheetId="61" r:id="rId21"/>
    <sheet name="坦克技能" sheetId="39" r:id="rId22"/>
    <sheet name="战斗力计算" sheetId="9" r:id="rId23"/>
    <sheet name="匹配分段" sheetId="35" r:id="rId24"/>
    <sheet name="商店道具" sheetId="10" r:id="rId25"/>
    <sheet name="道具价值" sheetId="32" r:id="rId26"/>
    <sheet name="道具ID" sheetId="40" r:id="rId27"/>
    <sheet name="推送礼包" sheetId="47" r:id="rId28"/>
    <sheet name="活动奖励" sheetId="41" r:id="rId29"/>
    <sheet name="BattlePass" sheetId="51" r:id="rId30"/>
    <sheet name="BattlePass任务" sheetId="66" r:id="rId31"/>
    <sheet name="成就" sheetId="55" r:id="rId32"/>
    <sheet name="任务设定" sheetId="30" r:id="rId33"/>
    <sheet name="名称-id" sheetId="56" r:id="rId34"/>
    <sheet name="宝箱设定" sheetId="63" r:id="rId35"/>
    <sheet name="碎片兑换" sheetId="57" r:id="rId36"/>
    <sheet name="游戏模式" sheetId="65" r:id="rId37"/>
    <sheet name="属性说明" sheetId="4" r:id="rId38"/>
  </sheets>
  <externalReferences>
    <externalReference r:id="rId39"/>
    <externalReference r:id="rId40"/>
  </externalReferences>
  <definedNames>
    <definedName name="_xlnm._FilterDatabase" localSheetId="29" hidden="1">BattlePass任务!$A$1:$M$2</definedName>
    <definedName name="T1低星级">#REF!</definedName>
    <definedName name="T2低星级">#REF!</definedName>
    <definedName name="T2中星级">#REF!</definedName>
    <definedName name="T3低星级">#REF!</definedName>
    <definedName name="T3高星级">#REF!</definedName>
    <definedName name="T3中星级">#REF!</definedName>
    <definedName name="T4低星级">#REF!</definedName>
    <definedName name="T4高星级">#REF!</definedName>
    <definedName name="T4中星级">#REF!</definedName>
    <definedName name="T5低星级">#REF!</definedName>
    <definedName name="T5高星级">#REF!</definedName>
    <definedName name="T5中星级">#REF!</definedName>
    <definedName name="宝箱ID">道具ID!$B$299:$C$476</definedName>
    <definedName name="部件价值">道具价值!$M$99:$P$123</definedName>
    <definedName name="部件价值标头">道具价值!$M$99:$P$99</definedName>
    <definedName name="道具ID" localSheetId="34">[1]道具ID!$L$2:$O$800</definedName>
    <definedName name="道具ID" localSheetId="3">[1]道具ID!$L$2:$O$800</definedName>
    <definedName name="道具ID">道具ID!$L$2:$O$800</definedName>
    <definedName name="货币ID">道具ID!$B$2:$C$10</definedName>
    <definedName name="货币价值">道具价值!$M$71:$Q$96</definedName>
    <definedName name="货币价值标头">道具价值!$M$72:$R$72</definedName>
    <definedName name="加速道具价值">道具价值!$B$62:$J$70</definedName>
    <definedName name="加速道具价值标头">道具价值!$B$62:$J$62</definedName>
    <definedName name="轻坦半自动_阶段属性" localSheetId="34">[1]坦克等级成长!$AE$3:$AK$27</definedName>
    <definedName name="轻坦半自动_阶段属性" localSheetId="3">[1]坦克等级成长!$AE$3:$AK$27</definedName>
    <definedName name="轻坦半自动_阶段属性">坦克等级成长!$AE$3:$AK$27</definedName>
    <definedName name="轻坦半自动成长属性">类型坦克成长数据!$B$2:$Y$74</definedName>
    <definedName name="轻坦半自动生成成长">类型坦克成长数据!$A$79:$E$245</definedName>
    <definedName name="轻坦单发_阶段属性" localSheetId="34">[1]坦克等级成长!$AU$3:$BA$27</definedName>
    <definedName name="轻坦单发_阶段属性" localSheetId="3">[1]坦克等级成长!$AU$3:$BA$27</definedName>
    <definedName name="轻坦单发_阶段属性">坦克等级成长!$AU$3:$BA$27</definedName>
    <definedName name="轻坦单发成长属性">类型坦克成长数据!$AX$2:$BU$74</definedName>
    <definedName name="轻坦单发生成成长">类型坦克成长数据!$K$79:$O$245</definedName>
    <definedName name="轻坦弹夹_阶段属性" localSheetId="34">[1]坦克等级成长!$AM$3:$AS$27</definedName>
    <definedName name="轻坦弹夹_阶段属性" localSheetId="3">[1]坦克等级成长!$AM$3:$AS$27</definedName>
    <definedName name="轻坦弹夹_阶段属性">坦克等级成长!$AM$3:$AS$27</definedName>
    <definedName name="轻坦弹夹成长属性">类型坦克成长数据!$Z$2:$AW$74</definedName>
    <definedName name="轻坦弹夹生成成长">类型坦克成长数据!$F$79:$J$245</definedName>
    <definedName name="属性标头_阶段属性" localSheetId="34">[1]坦克等级成长!$AE$3:$AK$3</definedName>
    <definedName name="属性标头_阶段属性" localSheetId="3">[1]坦克等级成长!$AE$3:$AK$3</definedName>
    <definedName name="属性标头_阶段属性">坦克等级成长!$AE$3:$AK$3</definedName>
    <definedName name="所有坦克升星属性" localSheetId="34">[1]坦克标准养成属性!$BH$3:$BY$309</definedName>
    <definedName name="所有坦克升星属性" localSheetId="3">[1]坦克标准养成属性!$BH$3:$BY$309</definedName>
    <definedName name="所有坦克升星属性">坦克标准养成属性!$BH$3:$BY$309</definedName>
    <definedName name="所有坦克升星属性标头" localSheetId="34">[1]坦克标准养成属性!$BH$3:$BY$3</definedName>
    <definedName name="所有坦克升星属性标头" localSheetId="3">[1]坦克标准养成属性!$BH$3:$BY$3</definedName>
    <definedName name="所有坦克升星属性标头">坦克标准养成属性!$BH$3:$BY$3</definedName>
    <definedName name="坦克ID">道具ID!$B$15:$F$45</definedName>
    <definedName name="坦克价值">道具价值!$M$17:$AQ$42</definedName>
    <definedName name="坦克价值标头">道具价值!$M$18:$AQ$18</definedName>
    <definedName name="坦克属性分配比例" localSheetId="34">[1]坦克标准养成属性!$H$3:$P$15</definedName>
    <definedName name="坦克属性分配比例" localSheetId="3">[1]坦克标准养成属性!$H$3:$P$15</definedName>
    <definedName name="坦克属性分配比例">坦克标准养成属性!$H$3:$P$15</definedName>
    <definedName name="坦克属性分配比例标头" localSheetId="34">[1]坦克标准养成属性!$H$3:$P$3</definedName>
    <definedName name="坦克属性分配比例标头" localSheetId="3">[1]坦克标准养成属性!$H$3:$P$3</definedName>
    <definedName name="坦克属性分配比例标头">坦克标准养成属性!$H$3:$P$3</definedName>
    <definedName name="坦克碎片价值">道具价值!$M$44:$AQ$69</definedName>
    <definedName name="坦克碎片价值标头">道具价值!$M$45:$AQ$45</definedName>
    <definedName name="坦克涂装价值" localSheetId="34">#REF!</definedName>
    <definedName name="坦克涂装价值" localSheetId="3">#REF!</definedName>
    <definedName name="坦克涂装价值">#REF!</definedName>
    <definedName name="坦克涂装价值标头" localSheetId="34">#REF!</definedName>
    <definedName name="坦克涂装价值标头" localSheetId="3">#REF!</definedName>
    <definedName name="坦克涂装价值标头">#REF!</definedName>
    <definedName name="涂装ID">道具ID!$B$47:$D$197</definedName>
    <definedName name="中坦弹夹_阶段属性" localSheetId="34">[1]坦克等级成长!$BC$3:$BI$27</definedName>
    <definedName name="中坦弹夹_阶段属性" localSheetId="3">[1]坦克等级成长!$BC$3:$BI$27</definedName>
    <definedName name="中坦弹夹_阶段属性">坦克等级成长!$BC$3:$BI$27</definedName>
    <definedName name="中坦弹夹成长属性">类型坦克成长数据!$BV$2:$CS$74</definedName>
    <definedName name="中坦弹夹生成成长">类型坦克成长数据!$P$79:$T$245</definedName>
    <definedName name="中坦自动_阶段属性" localSheetId="34">[1]坦克等级成长!$BK$3:$BQ$27</definedName>
    <definedName name="中坦自动_阶段属性" localSheetId="3">[1]坦克等级成长!$BK$3:$BQ$27</definedName>
    <definedName name="中坦自动_阶段属性">坦克等级成长!$BK$3:$BQ$27</definedName>
    <definedName name="中坦自动成长属性">类型坦克成长数据!$CT$2:$DQ$74</definedName>
    <definedName name="中坦自动生成成长">类型坦克成长数据!$U$79:$Y$245</definedName>
    <definedName name="重坦单发_阶段属性" localSheetId="34">[1]坦克等级成长!$CA$3:$CG$27</definedName>
    <definedName name="重坦单发_阶段属性" localSheetId="3">[1]坦克等级成长!$CA$3:$CG$27</definedName>
    <definedName name="重坦单发_阶段属性">坦克等级成长!$CA$3:$CG$27</definedName>
    <definedName name="重坦单发成长属性">类型坦克成长数据!$EP$2:$FM$74</definedName>
    <definedName name="重坦单发生成成长">类型坦克成长数据!$AE$79:$AI$245</definedName>
    <definedName name="重坦自动_阶段属性" localSheetId="34">[1]坦克等级成长!$BS$3:$BY$27</definedName>
    <definedName name="重坦自动_阶段属性" localSheetId="3">[1]坦克等级成长!$BS$3:$BY$27</definedName>
    <definedName name="重坦自动_阶段属性">坦克等级成长!$BS$3:$BY$27</definedName>
    <definedName name="重坦自动成长属性">类型坦克成长数据!$DR$2:$EO$74</definedName>
    <definedName name="重坦自动生成成长">类型坦克成长数据!$Z$79:$AD$245</definedName>
  </definedNames>
  <calcPr calcId="162913"/>
</workbook>
</file>

<file path=xl/calcChain.xml><?xml version="1.0" encoding="utf-8"?>
<calcChain xmlns="http://schemas.openxmlformats.org/spreadsheetml/2006/main">
  <c r="Y4" i="51" l="1"/>
  <c r="Y5" i="51"/>
  <c r="Y6" i="51"/>
  <c r="Y7" i="51"/>
  <c r="Y8" i="51"/>
  <c r="Y9" i="51"/>
  <c r="Y10" i="51"/>
  <c r="Y11" i="51"/>
  <c r="Y12" i="51"/>
  <c r="Y13" i="51"/>
  <c r="Y14" i="51"/>
  <c r="Y15" i="51"/>
  <c r="Y16" i="51"/>
  <c r="Y17" i="51"/>
  <c r="Y18" i="51"/>
  <c r="Y19" i="51"/>
  <c r="Y20" i="51"/>
  <c r="Y21" i="51"/>
  <c r="Y22" i="51"/>
  <c r="Y23" i="51"/>
  <c r="Y24" i="51"/>
  <c r="Y25" i="51"/>
  <c r="Y26" i="51"/>
  <c r="Y27" i="51"/>
  <c r="Y28" i="51"/>
  <c r="Y29" i="51"/>
  <c r="Y30" i="51"/>
  <c r="Y31" i="51"/>
  <c r="Y32" i="51"/>
  <c r="Y33" i="51"/>
  <c r="Y34" i="51"/>
  <c r="Y35" i="51"/>
  <c r="Y36" i="51"/>
  <c r="Y37" i="51"/>
  <c r="Y38" i="51"/>
  <c r="Y39" i="51"/>
  <c r="Y40" i="51"/>
  <c r="Y41" i="51"/>
  <c r="Y42" i="51"/>
  <c r="Y43" i="51"/>
  <c r="Y44" i="51"/>
  <c r="Y45" i="51"/>
  <c r="Y46" i="51"/>
  <c r="Y47" i="51"/>
  <c r="Y48" i="51"/>
  <c r="Y49" i="51"/>
  <c r="Y50" i="51"/>
  <c r="Y51" i="51"/>
  <c r="Y52" i="51"/>
  <c r="Y53" i="51"/>
  <c r="Y54" i="51"/>
  <c r="Y55" i="51"/>
  <c r="Y56" i="51"/>
  <c r="Y57" i="51"/>
  <c r="Y58" i="51"/>
  <c r="Y59" i="51"/>
  <c r="Y60" i="51"/>
  <c r="Y61" i="51"/>
  <c r="Y62" i="51"/>
  <c r="Y63" i="51"/>
  <c r="Y64" i="51"/>
  <c r="Y65" i="51"/>
  <c r="Y66" i="51"/>
  <c r="Y67" i="51"/>
  <c r="Y68" i="51"/>
  <c r="Y69" i="51"/>
  <c r="Y70" i="51"/>
  <c r="Y71" i="51"/>
  <c r="Y72" i="51"/>
  <c r="Y73" i="51"/>
  <c r="Y74" i="51"/>
  <c r="Y75" i="51"/>
  <c r="Y76" i="51"/>
  <c r="Y77" i="51"/>
  <c r="Y78" i="51"/>
  <c r="Y79" i="51"/>
  <c r="Y80" i="51"/>
  <c r="Y81" i="51"/>
  <c r="Y82" i="51"/>
  <c r="Y83" i="51"/>
  <c r="Y84" i="51"/>
  <c r="Y85" i="51"/>
  <c r="Y86" i="51"/>
  <c r="Y87" i="51"/>
  <c r="Y88" i="51"/>
  <c r="Y89" i="51"/>
  <c r="Y90" i="51"/>
  <c r="Y91" i="51"/>
  <c r="Y92" i="51"/>
  <c r="Y93" i="51"/>
  <c r="Y94" i="51"/>
  <c r="Y95" i="51"/>
  <c r="Y96" i="51"/>
  <c r="Y97" i="51"/>
  <c r="Y98" i="51"/>
  <c r="Y99" i="51"/>
  <c r="Y100" i="51"/>
  <c r="Y101" i="51"/>
  <c r="Y102" i="51"/>
  <c r="Y103" i="51"/>
  <c r="Y104" i="51"/>
  <c r="Y105" i="51"/>
  <c r="Y106" i="51"/>
  <c r="Y107" i="51"/>
  <c r="Y108" i="51"/>
  <c r="Y109" i="51"/>
  <c r="Y110" i="51"/>
  <c r="Y111" i="51"/>
  <c r="Y112" i="51"/>
  <c r="Y113" i="51"/>
  <c r="Y114" i="51"/>
  <c r="Y115" i="51"/>
  <c r="Y116" i="51"/>
  <c r="Y117" i="51"/>
  <c r="Y118" i="51"/>
  <c r="Y119" i="51"/>
  <c r="Y120" i="51"/>
  <c r="Y121" i="51"/>
  <c r="Y122" i="51"/>
  <c r="Y123" i="51"/>
  <c r="Y124" i="51"/>
  <c r="Y125" i="51"/>
  <c r="Y126" i="51"/>
  <c r="Y127" i="51"/>
  <c r="Y128" i="51"/>
  <c r="Y129" i="51"/>
  <c r="Y130" i="51"/>
  <c r="Y131" i="51"/>
  <c r="Y132" i="51"/>
  <c r="Y133" i="51"/>
  <c r="Y134" i="51"/>
  <c r="Y135" i="51"/>
  <c r="Y3" i="51"/>
  <c r="M3" i="58" l="1"/>
  <c r="M4" i="58"/>
  <c r="M5" i="58"/>
  <c r="M6" i="58"/>
  <c r="M7" i="58"/>
  <c r="M8" i="58"/>
  <c r="M9" i="58"/>
  <c r="M10" i="58"/>
  <c r="M11" i="58"/>
  <c r="M12" i="58"/>
  <c r="M13" i="58"/>
  <c r="M14" i="58"/>
  <c r="M2" i="58"/>
  <c r="O182" i="66" l="1"/>
  <c r="P182" i="66" s="1"/>
  <c r="O107" i="66"/>
  <c r="P107" i="66" s="1"/>
  <c r="O108" i="66"/>
  <c r="P108" i="66" s="1"/>
  <c r="O109" i="66"/>
  <c r="P109" i="66" s="1"/>
  <c r="O110" i="66"/>
  <c r="P110" i="66" s="1"/>
  <c r="O111" i="66"/>
  <c r="P111" i="66" s="1"/>
  <c r="O112" i="66"/>
  <c r="P112" i="66" s="1"/>
  <c r="O113" i="66"/>
  <c r="P113" i="66" s="1"/>
  <c r="O114" i="66"/>
  <c r="P114" i="66" s="1"/>
  <c r="O115" i="66"/>
  <c r="P115" i="66" s="1"/>
  <c r="O116" i="66"/>
  <c r="P116" i="66" s="1"/>
  <c r="O117" i="66"/>
  <c r="P117" i="66" s="1"/>
  <c r="O118" i="66"/>
  <c r="P118" i="66" s="1"/>
  <c r="O119" i="66"/>
  <c r="P119" i="66" s="1"/>
  <c r="O120" i="66"/>
  <c r="P120" i="66" s="1"/>
  <c r="O121" i="66"/>
  <c r="P121" i="66" s="1"/>
  <c r="O122" i="66"/>
  <c r="P122" i="66" s="1"/>
  <c r="O123" i="66"/>
  <c r="P123" i="66" s="1"/>
  <c r="O124" i="66"/>
  <c r="P124" i="66" s="1"/>
  <c r="O125" i="66"/>
  <c r="P125" i="66" s="1"/>
  <c r="O126" i="66"/>
  <c r="P126" i="66" s="1"/>
  <c r="O127" i="66"/>
  <c r="P127" i="66" s="1"/>
  <c r="O128" i="66"/>
  <c r="P128" i="66" s="1"/>
  <c r="O131" i="66"/>
  <c r="P131" i="66" s="1"/>
  <c r="O129" i="66"/>
  <c r="P129" i="66" s="1"/>
  <c r="O130" i="66"/>
  <c r="P130" i="66" s="1"/>
  <c r="O132" i="66"/>
  <c r="P132" i="66" s="1"/>
  <c r="O133" i="66"/>
  <c r="P133" i="66" s="1"/>
  <c r="O134" i="66"/>
  <c r="P134" i="66" s="1"/>
  <c r="O135" i="66"/>
  <c r="P135" i="66" s="1"/>
  <c r="O136" i="66"/>
  <c r="P136" i="66" s="1"/>
  <c r="O137" i="66"/>
  <c r="P137" i="66" s="1"/>
  <c r="O138" i="66"/>
  <c r="P138" i="66" s="1"/>
  <c r="O139" i="66"/>
  <c r="P139" i="66" s="1"/>
  <c r="O140" i="66"/>
  <c r="P140" i="66" s="1"/>
  <c r="O141" i="66"/>
  <c r="P141" i="66" s="1"/>
  <c r="O142" i="66"/>
  <c r="P142" i="66" s="1"/>
  <c r="O143" i="66"/>
  <c r="P143" i="66" s="1"/>
  <c r="O144" i="66"/>
  <c r="P144" i="66" s="1"/>
  <c r="O145" i="66"/>
  <c r="P145" i="66" s="1"/>
  <c r="O146" i="66"/>
  <c r="P146" i="66" s="1"/>
  <c r="O147" i="66"/>
  <c r="P147" i="66" s="1"/>
  <c r="O148" i="66"/>
  <c r="P148" i="66" s="1"/>
  <c r="O149" i="66"/>
  <c r="P149" i="66" s="1"/>
  <c r="O150" i="66"/>
  <c r="P150" i="66" s="1"/>
  <c r="O151" i="66"/>
  <c r="P151" i="66" s="1"/>
  <c r="O152" i="66"/>
  <c r="P152" i="66" s="1"/>
  <c r="O153" i="66"/>
  <c r="P153" i="66" s="1"/>
  <c r="O154" i="66"/>
  <c r="P154" i="66" s="1"/>
  <c r="O155" i="66"/>
  <c r="P155" i="66" s="1"/>
  <c r="O156" i="66"/>
  <c r="P156" i="66" s="1"/>
  <c r="O157" i="66"/>
  <c r="P157" i="66" s="1"/>
  <c r="O158" i="66"/>
  <c r="P158" i="66" s="1"/>
  <c r="O159" i="66"/>
  <c r="P159" i="66" s="1"/>
  <c r="O160" i="66"/>
  <c r="P160" i="66" s="1"/>
  <c r="O161" i="66"/>
  <c r="P161" i="66" s="1"/>
  <c r="O162" i="66"/>
  <c r="P162" i="66" s="1"/>
  <c r="O163" i="66"/>
  <c r="P163" i="66" s="1"/>
  <c r="O166" i="66"/>
  <c r="P166" i="66" s="1"/>
  <c r="O167" i="66"/>
  <c r="P167" i="66" s="1"/>
  <c r="O164" i="66"/>
  <c r="P164" i="66" s="1"/>
  <c r="O165" i="66"/>
  <c r="P165" i="66" s="1"/>
  <c r="O168" i="66"/>
  <c r="P168" i="66" s="1"/>
  <c r="O169" i="66"/>
  <c r="P169" i="66" s="1"/>
  <c r="O170" i="66"/>
  <c r="P170" i="66" s="1"/>
  <c r="O171" i="66"/>
  <c r="P171" i="66" s="1"/>
  <c r="O172" i="66"/>
  <c r="P172" i="66" s="1"/>
  <c r="O173" i="66"/>
  <c r="P173" i="66" s="1"/>
  <c r="O174" i="66"/>
  <c r="P174" i="66" s="1"/>
  <c r="O175" i="66"/>
  <c r="P175" i="66" s="1"/>
  <c r="O176" i="66"/>
  <c r="P176" i="66" s="1"/>
  <c r="O177" i="66"/>
  <c r="P177" i="66" s="1"/>
  <c r="O178" i="66"/>
  <c r="P178" i="66" s="1"/>
  <c r="O179" i="66"/>
  <c r="P179" i="66" s="1"/>
  <c r="O180" i="66"/>
  <c r="P180" i="66" s="1"/>
  <c r="O181" i="66"/>
  <c r="P181" i="66" s="1"/>
  <c r="O188" i="66"/>
  <c r="P188" i="66" s="1"/>
  <c r="O183" i="66"/>
  <c r="P183" i="66" s="1"/>
  <c r="O184" i="66"/>
  <c r="P184" i="66" s="1"/>
  <c r="O185" i="66"/>
  <c r="P185" i="66" s="1"/>
  <c r="O186" i="66"/>
  <c r="P186" i="66" s="1"/>
  <c r="O187" i="66"/>
  <c r="P187" i="66" s="1"/>
  <c r="O189" i="66"/>
  <c r="P189" i="66" s="1"/>
  <c r="O190" i="66"/>
  <c r="P190" i="66" s="1"/>
  <c r="O191" i="66"/>
  <c r="P191" i="66" s="1"/>
  <c r="O192" i="66"/>
  <c r="P192" i="66" s="1"/>
  <c r="O193" i="66"/>
  <c r="P193" i="66" s="1"/>
  <c r="O194" i="66"/>
  <c r="P194" i="66" s="1"/>
  <c r="O195" i="66"/>
  <c r="P195" i="66" s="1"/>
  <c r="O196" i="66"/>
  <c r="P196" i="66" s="1"/>
  <c r="O197" i="66"/>
  <c r="P197" i="66" s="1"/>
  <c r="O198" i="66"/>
  <c r="P198" i="66" s="1"/>
  <c r="O199" i="66"/>
  <c r="P199" i="66" s="1"/>
  <c r="O200" i="66"/>
  <c r="P200" i="66" s="1"/>
  <c r="O201" i="66"/>
  <c r="P201" i="66" s="1"/>
  <c r="O202" i="66"/>
  <c r="P202" i="66" s="1"/>
  <c r="O203" i="66"/>
  <c r="P203" i="66" s="1"/>
  <c r="O204" i="66"/>
  <c r="P204" i="66" s="1"/>
  <c r="O205" i="66"/>
  <c r="P205" i="66" s="1"/>
  <c r="O206" i="66"/>
  <c r="P206" i="66" s="1"/>
  <c r="O207" i="66"/>
  <c r="P207" i="66" s="1"/>
  <c r="O208" i="66"/>
  <c r="P208" i="66" s="1"/>
  <c r="O209" i="66"/>
  <c r="P209" i="66" s="1"/>
  <c r="O210" i="66"/>
  <c r="P210" i="66" s="1"/>
  <c r="O106" i="66"/>
  <c r="B139" i="65"/>
  <c r="B135" i="65"/>
  <c r="B137" i="65" s="1"/>
  <c r="B134" i="65"/>
  <c r="B136" i="65" s="1"/>
  <c r="B131" i="65"/>
  <c r="H127" i="65"/>
  <c r="G127" i="65"/>
  <c r="F127" i="65"/>
  <c r="H126" i="65"/>
  <c r="G126" i="65"/>
  <c r="F126" i="65"/>
  <c r="H125" i="65"/>
  <c r="G125" i="65"/>
  <c r="F125" i="65"/>
  <c r="H124" i="65"/>
  <c r="G124" i="65"/>
  <c r="F124" i="65"/>
  <c r="H123" i="65"/>
  <c r="G123" i="65"/>
  <c r="F123" i="65"/>
  <c r="H122" i="65"/>
  <c r="G122" i="65"/>
  <c r="F122" i="65"/>
  <c r="H121" i="65"/>
  <c r="G121" i="65"/>
  <c r="F121" i="65"/>
  <c r="H120" i="65"/>
  <c r="G120" i="65"/>
  <c r="F120" i="65"/>
  <c r="H119" i="65"/>
  <c r="G119" i="65"/>
  <c r="F119" i="65"/>
  <c r="H118" i="65"/>
  <c r="G118" i="65"/>
  <c r="F118" i="65"/>
  <c r="H117" i="65"/>
  <c r="G117" i="65"/>
  <c r="F117" i="65"/>
  <c r="H116" i="65"/>
  <c r="G116" i="65"/>
  <c r="F116" i="65"/>
  <c r="D111" i="65"/>
  <c r="B111" i="65"/>
  <c r="D110" i="65"/>
  <c r="B110" i="65"/>
  <c r="D109" i="65"/>
  <c r="B109" i="65"/>
  <c r="D108" i="65"/>
  <c r="B108" i="65"/>
  <c r="D107" i="65"/>
  <c r="B107" i="65"/>
  <c r="D106" i="65"/>
  <c r="B106" i="65"/>
  <c r="D105" i="65"/>
  <c r="B105" i="65"/>
  <c r="D104" i="65"/>
  <c r="B104" i="65"/>
  <c r="D103" i="65"/>
  <c r="B103" i="65"/>
  <c r="D102" i="65"/>
  <c r="B102" i="65"/>
  <c r="F95" i="65"/>
  <c r="D95" i="65"/>
  <c r="C95" i="65"/>
  <c r="B95" i="65"/>
  <c r="D94" i="65"/>
  <c r="C94" i="65"/>
  <c r="B94" i="65"/>
  <c r="F94" i="65" s="1"/>
  <c r="F93" i="65"/>
  <c r="D93" i="65"/>
  <c r="C93" i="65"/>
  <c r="B93" i="65"/>
  <c r="D92" i="65"/>
  <c r="C92" i="65"/>
  <c r="B92" i="65"/>
  <c r="F92" i="65" s="1"/>
  <c r="F91" i="65"/>
  <c r="D91" i="65"/>
  <c r="C91" i="65"/>
  <c r="B91" i="65"/>
  <c r="D90" i="65"/>
  <c r="C90" i="65"/>
  <c r="B90" i="65"/>
  <c r="F90" i="65" s="1"/>
  <c r="F89" i="65"/>
  <c r="D89" i="65"/>
  <c r="C89" i="65"/>
  <c r="B89" i="65"/>
  <c r="D88" i="65"/>
  <c r="C88" i="65"/>
  <c r="B88" i="65"/>
  <c r="F88" i="65" s="1"/>
  <c r="F87" i="65"/>
  <c r="D87" i="65"/>
  <c r="C87" i="65"/>
  <c r="B87" i="65"/>
  <c r="D86" i="65"/>
  <c r="C86" i="65"/>
  <c r="B86" i="65"/>
  <c r="F86" i="65" s="1"/>
  <c r="F85" i="65"/>
  <c r="D85" i="65"/>
  <c r="C85" i="65"/>
  <c r="B85" i="65"/>
  <c r="D84" i="65"/>
  <c r="C84" i="65"/>
  <c r="B84" i="65"/>
  <c r="F84" i="65" s="1"/>
  <c r="F83" i="65"/>
  <c r="D83" i="65"/>
  <c r="C83" i="65"/>
  <c r="B83" i="65"/>
  <c r="D82" i="65"/>
  <c r="C82" i="65"/>
  <c r="B82" i="65"/>
  <c r="F82" i="65" s="1"/>
  <c r="F81" i="65"/>
  <c r="D81" i="65"/>
  <c r="C81" i="65"/>
  <c r="B81" i="65"/>
  <c r="D80" i="65"/>
  <c r="C80" i="65"/>
  <c r="B80" i="65"/>
  <c r="F80" i="65" s="1"/>
  <c r="F79" i="65"/>
  <c r="D79" i="65"/>
  <c r="C79" i="65"/>
  <c r="B79" i="65"/>
  <c r="D78" i="65"/>
  <c r="C78" i="65"/>
  <c r="B78" i="65"/>
  <c r="F78" i="65" s="1"/>
  <c r="F77" i="65"/>
  <c r="D77" i="65"/>
  <c r="C77" i="65"/>
  <c r="B77" i="65"/>
  <c r="D76" i="65"/>
  <c r="C76" i="65"/>
  <c r="B76" i="65"/>
  <c r="F76" i="65" s="1"/>
  <c r="F75" i="65"/>
  <c r="D75" i="65"/>
  <c r="C75" i="65"/>
  <c r="B75" i="65"/>
  <c r="G74" i="65"/>
  <c r="G75" i="65" s="1"/>
  <c r="G76" i="65" s="1"/>
  <c r="G77" i="65" s="1"/>
  <c r="G78" i="65" s="1"/>
  <c r="G79" i="65" s="1"/>
  <c r="G80" i="65" s="1"/>
  <c r="G81" i="65" s="1"/>
  <c r="G82" i="65" s="1"/>
  <c r="G83" i="65" s="1"/>
  <c r="G84" i="65" s="1"/>
  <c r="G85" i="65" s="1"/>
  <c r="G86" i="65" s="1"/>
  <c r="G87" i="65" s="1"/>
  <c r="G88" i="65" s="1"/>
  <c r="G89" i="65" s="1"/>
  <c r="G90" i="65" s="1"/>
  <c r="G91" i="65" s="1"/>
  <c r="G92" i="65" s="1"/>
  <c r="G93" i="65" s="1"/>
  <c r="G94" i="65" s="1"/>
  <c r="G95" i="65" s="1"/>
  <c r="G96" i="65" s="1"/>
  <c r="D74" i="65"/>
  <c r="C74" i="65"/>
  <c r="B74" i="65"/>
  <c r="F74" i="65" s="1"/>
  <c r="F73" i="65"/>
  <c r="D73" i="65"/>
  <c r="C73" i="65"/>
  <c r="B73" i="65"/>
  <c r="D72" i="65"/>
  <c r="C72" i="65"/>
  <c r="B72" i="65"/>
  <c r="F72" i="65" s="1"/>
  <c r="G72" i="65" s="1"/>
  <c r="G73" i="65" s="1"/>
  <c r="F67" i="65"/>
  <c r="D67" i="65"/>
  <c r="C67" i="65"/>
  <c r="B67" i="65"/>
  <c r="G67" i="65" s="1"/>
  <c r="G66" i="65"/>
  <c r="D66" i="65"/>
  <c r="C66" i="65"/>
  <c r="B66" i="65"/>
  <c r="F66" i="65" s="1"/>
  <c r="F65" i="65"/>
  <c r="D65" i="65"/>
  <c r="C65" i="65"/>
  <c r="B65" i="65"/>
  <c r="G65" i="65" s="1"/>
  <c r="G64" i="65"/>
  <c r="D64" i="65"/>
  <c r="C64" i="65"/>
  <c r="B64" i="65"/>
  <c r="F64" i="65" s="1"/>
  <c r="F63" i="65"/>
  <c r="D63" i="65"/>
  <c r="C63" i="65"/>
  <c r="B63" i="65"/>
  <c r="G63" i="65" s="1"/>
  <c r="G62" i="65"/>
  <c r="D62" i="65"/>
  <c r="C62" i="65"/>
  <c r="B62" i="65"/>
  <c r="F62" i="65" s="1"/>
  <c r="F61" i="65"/>
  <c r="D61" i="65"/>
  <c r="C61" i="65"/>
  <c r="B61" i="65"/>
  <c r="G61" i="65" s="1"/>
  <c r="G60" i="65"/>
  <c r="D60" i="65"/>
  <c r="C60" i="65"/>
  <c r="B60" i="65"/>
  <c r="F60" i="65" s="1"/>
  <c r="F59" i="65"/>
  <c r="D59" i="65"/>
  <c r="C59" i="65"/>
  <c r="B59" i="65"/>
  <c r="G59" i="65" s="1"/>
  <c r="G58" i="65"/>
  <c r="D58" i="65"/>
  <c r="C58" i="65"/>
  <c r="B58" i="65"/>
  <c r="F58" i="65" s="1"/>
  <c r="F57" i="65"/>
  <c r="D57" i="65"/>
  <c r="C57" i="65"/>
  <c r="B57" i="65"/>
  <c r="G57" i="65" s="1"/>
  <c r="G56" i="65"/>
  <c r="D56" i="65"/>
  <c r="C56" i="65"/>
  <c r="B56" i="65"/>
  <c r="F56" i="65" s="1"/>
  <c r="G55" i="65"/>
  <c r="F55" i="65"/>
  <c r="D55" i="65"/>
  <c r="C55" i="65"/>
  <c r="B55" i="65"/>
  <c r="F54" i="65"/>
  <c r="D54" i="65"/>
  <c r="C54" i="65"/>
  <c r="B54" i="65"/>
  <c r="G54" i="65" s="1"/>
  <c r="G53" i="65"/>
  <c r="F53" i="65"/>
  <c r="D53" i="65"/>
  <c r="C53" i="65"/>
  <c r="B53" i="65"/>
  <c r="F52" i="65"/>
  <c r="D52" i="65"/>
  <c r="C52" i="65"/>
  <c r="B52" i="65"/>
  <c r="G52" i="65" s="1"/>
  <c r="G51" i="65"/>
  <c r="F51" i="65"/>
  <c r="D51" i="65"/>
  <c r="C51" i="65"/>
  <c r="B51" i="65"/>
  <c r="F50" i="65"/>
  <c r="D50" i="65"/>
  <c r="C50" i="65"/>
  <c r="B50" i="65"/>
  <c r="G50" i="65" s="1"/>
  <c r="G49" i="65"/>
  <c r="F49" i="65"/>
  <c r="D49" i="65"/>
  <c r="C49" i="65"/>
  <c r="B49" i="65"/>
  <c r="F48" i="65"/>
  <c r="D48" i="65"/>
  <c r="C48" i="65"/>
  <c r="B48" i="65"/>
  <c r="G48" i="65" s="1"/>
  <c r="G47" i="65"/>
  <c r="F47" i="65"/>
  <c r="D47" i="65"/>
  <c r="C47" i="65"/>
  <c r="B47" i="65"/>
  <c r="F46" i="65"/>
  <c r="D46" i="65"/>
  <c r="C46" i="65"/>
  <c r="B46" i="65"/>
  <c r="G46" i="65" s="1"/>
  <c r="G45" i="65"/>
  <c r="F45" i="65"/>
  <c r="D45" i="65"/>
  <c r="C45" i="65"/>
  <c r="B45" i="65"/>
  <c r="F44" i="65"/>
  <c r="D44" i="65"/>
  <c r="C44" i="65"/>
  <c r="B44" i="65"/>
  <c r="G44" i="65" s="1"/>
  <c r="F43" i="65"/>
  <c r="D43" i="65"/>
  <c r="C43" i="65"/>
  <c r="B43" i="65"/>
  <c r="G43" i="65" s="1"/>
  <c r="G42" i="65"/>
  <c r="D42" i="65"/>
  <c r="C42" i="65"/>
  <c r="B42" i="65"/>
  <c r="F42" i="65" s="1"/>
  <c r="F41" i="65"/>
  <c r="D41" i="65"/>
  <c r="C41" i="65"/>
  <c r="B41" i="65"/>
  <c r="G41" i="65" s="1"/>
  <c r="G40" i="65"/>
  <c r="D40" i="65"/>
  <c r="C40" i="65"/>
  <c r="B40" i="65"/>
  <c r="F40" i="65" s="1"/>
  <c r="F39" i="65"/>
  <c r="D39" i="65"/>
  <c r="C39" i="65"/>
  <c r="B39" i="65"/>
  <c r="G39" i="65" s="1"/>
  <c r="G38" i="65"/>
  <c r="D38" i="65"/>
  <c r="C38" i="65"/>
  <c r="B38" i="65"/>
  <c r="F38" i="65" s="1"/>
  <c r="F37" i="65"/>
  <c r="D37" i="65"/>
  <c r="C37" i="65"/>
  <c r="B37" i="65"/>
  <c r="G37" i="65" s="1"/>
  <c r="G36" i="65"/>
  <c r="D36" i="65"/>
  <c r="C36" i="65"/>
  <c r="B36" i="65"/>
  <c r="F36" i="65" s="1"/>
  <c r="F35" i="65"/>
  <c r="D35" i="65"/>
  <c r="C35" i="65"/>
  <c r="B35" i="65"/>
  <c r="G35" i="65" s="1"/>
  <c r="G34" i="65"/>
  <c r="D34" i="65"/>
  <c r="C34" i="65"/>
  <c r="B34" i="65"/>
  <c r="F34" i="65" s="1"/>
  <c r="F33" i="65"/>
  <c r="D33" i="65"/>
  <c r="C33" i="65"/>
  <c r="B33" i="65"/>
  <c r="G33" i="65" s="1"/>
  <c r="G32" i="65"/>
  <c r="D32" i="65"/>
  <c r="C32" i="65"/>
  <c r="B32" i="65"/>
  <c r="F32" i="65" s="1"/>
  <c r="G31" i="65"/>
  <c r="F31" i="65"/>
  <c r="D31" i="65"/>
  <c r="C31" i="65"/>
  <c r="B31" i="65"/>
  <c r="F30" i="65"/>
  <c r="D30" i="65"/>
  <c r="C30" i="65"/>
  <c r="B30" i="65"/>
  <c r="G30" i="65" s="1"/>
  <c r="G29" i="65"/>
  <c r="F29" i="65"/>
  <c r="D29" i="65"/>
  <c r="C29" i="65"/>
  <c r="B29" i="65"/>
  <c r="F28" i="65"/>
  <c r="D28" i="65"/>
  <c r="C28" i="65"/>
  <c r="B28" i="65"/>
  <c r="G28" i="65" s="1"/>
  <c r="G27" i="65"/>
  <c r="F27" i="65"/>
  <c r="D27" i="65"/>
  <c r="C27" i="65"/>
  <c r="B27" i="65"/>
  <c r="F26" i="65"/>
  <c r="D26" i="65"/>
  <c r="C26" i="65"/>
  <c r="B26" i="65"/>
  <c r="G26" i="65" s="1"/>
  <c r="G25" i="65"/>
  <c r="F25" i="65"/>
  <c r="D25" i="65"/>
  <c r="C25" i="65"/>
  <c r="B25" i="65"/>
  <c r="F24" i="65"/>
  <c r="D24" i="65"/>
  <c r="C24" i="65"/>
  <c r="B24" i="65"/>
  <c r="G24" i="65" s="1"/>
  <c r="G23" i="65"/>
  <c r="F23" i="65"/>
  <c r="D23" i="65"/>
  <c r="C23" i="65"/>
  <c r="B23" i="65"/>
  <c r="F22" i="65"/>
  <c r="D22" i="65"/>
  <c r="C22" i="65"/>
  <c r="B22" i="65"/>
  <c r="G22" i="65" s="1"/>
  <c r="G21" i="65"/>
  <c r="F21" i="65"/>
  <c r="D21" i="65"/>
  <c r="C21" i="65"/>
  <c r="B21" i="65"/>
  <c r="F20" i="65"/>
  <c r="D20" i="65"/>
  <c r="C20" i="65"/>
  <c r="B20" i="65"/>
  <c r="G20" i="65" s="1"/>
  <c r="F19" i="65"/>
  <c r="D19" i="65"/>
  <c r="C19" i="65"/>
  <c r="B19" i="65"/>
  <c r="G19" i="65" s="1"/>
  <c r="G18" i="65"/>
  <c r="D18" i="65"/>
  <c r="C18" i="65"/>
  <c r="B18" i="65"/>
  <c r="F18" i="65" s="1"/>
  <c r="F17" i="65"/>
  <c r="D17" i="65"/>
  <c r="C17" i="65"/>
  <c r="B17" i="65"/>
  <c r="G17" i="65" s="1"/>
  <c r="G16" i="65"/>
  <c r="D16" i="65"/>
  <c r="C16" i="65"/>
  <c r="B16" i="65"/>
  <c r="F16" i="65" s="1"/>
  <c r="F15" i="65"/>
  <c r="D15" i="65"/>
  <c r="C15" i="65"/>
  <c r="B15" i="65"/>
  <c r="G15" i="65" s="1"/>
  <c r="G14" i="65"/>
  <c r="D14" i="65"/>
  <c r="C14" i="65"/>
  <c r="B14" i="65"/>
  <c r="F14" i="65" s="1"/>
  <c r="F13" i="65"/>
  <c r="D13" i="65"/>
  <c r="C13" i="65"/>
  <c r="B13" i="65"/>
  <c r="G13" i="65" s="1"/>
  <c r="G12" i="65"/>
  <c r="D12" i="65"/>
  <c r="C12" i="65"/>
  <c r="B12" i="65"/>
  <c r="F12" i="65" s="1"/>
  <c r="F11" i="65"/>
  <c r="D11" i="65"/>
  <c r="C11" i="65"/>
  <c r="B11" i="65"/>
  <c r="G11" i="65" s="1"/>
  <c r="G10" i="65"/>
  <c r="D10" i="65"/>
  <c r="C10" i="65"/>
  <c r="B10" i="65"/>
  <c r="F10" i="65" s="1"/>
  <c r="H9" i="65"/>
  <c r="F9" i="65"/>
  <c r="D9" i="65"/>
  <c r="C9" i="65"/>
  <c r="B9" i="65"/>
  <c r="G9" i="65" s="1"/>
  <c r="I9" i="65" s="1"/>
  <c r="I10" i="65" s="1"/>
  <c r="G8" i="65"/>
  <c r="F8" i="65"/>
  <c r="H8" i="65" s="1"/>
  <c r="D8" i="65"/>
  <c r="C8" i="65"/>
  <c r="B8" i="65"/>
  <c r="D5" i="65"/>
  <c r="C5" i="65"/>
  <c r="D4" i="65"/>
  <c r="C4" i="65"/>
  <c r="D3" i="65"/>
  <c r="C3" i="65"/>
  <c r="AB21" i="57"/>
  <c r="AB20" i="57"/>
  <c r="AB19" i="57"/>
  <c r="AC18" i="57"/>
  <c r="AB18" i="57"/>
  <c r="AB17" i="57"/>
  <c r="AB16" i="57"/>
  <c r="W16" i="57"/>
  <c r="V16" i="57"/>
  <c r="T16" i="57"/>
  <c r="S16" i="57"/>
  <c r="U16" i="57" s="1"/>
  <c r="Q16" i="57"/>
  <c r="R16" i="57" s="1"/>
  <c r="O16" i="57"/>
  <c r="M16" i="57"/>
  <c r="I16" i="57"/>
  <c r="G16" i="57"/>
  <c r="D16" i="57"/>
  <c r="H16" i="57" s="1"/>
  <c r="AB15" i="57"/>
  <c r="W15" i="57"/>
  <c r="T15" i="57"/>
  <c r="V15" i="57" s="1"/>
  <c r="S15" i="57"/>
  <c r="U15" i="57" s="1"/>
  <c r="Q15" i="57"/>
  <c r="R15" i="57" s="1"/>
  <c r="O15" i="57"/>
  <c r="M15" i="57"/>
  <c r="I15" i="57"/>
  <c r="G15" i="57"/>
  <c r="D15" i="57"/>
  <c r="H15" i="57" s="1"/>
  <c r="AB14" i="57"/>
  <c r="W14" i="57"/>
  <c r="T14" i="57"/>
  <c r="V14" i="57" s="1"/>
  <c r="S14" i="57"/>
  <c r="U14" i="57" s="1"/>
  <c r="Q14" i="57"/>
  <c r="R14" i="57" s="1"/>
  <c r="O14" i="57"/>
  <c r="M14" i="57"/>
  <c r="I14" i="57"/>
  <c r="G14" i="57"/>
  <c r="D14" i="57"/>
  <c r="H14" i="57" s="1"/>
  <c r="AB13" i="57"/>
  <c r="W13" i="57"/>
  <c r="V13" i="57"/>
  <c r="T13" i="57"/>
  <c r="S13" i="57"/>
  <c r="U13" i="57" s="1"/>
  <c r="Q13" i="57"/>
  <c r="R13" i="57" s="1"/>
  <c r="O13" i="57"/>
  <c r="M13" i="57"/>
  <c r="I13" i="57"/>
  <c r="G13" i="57"/>
  <c r="D13" i="57"/>
  <c r="H13" i="57" s="1"/>
  <c r="AB12" i="57"/>
  <c r="W12" i="57"/>
  <c r="V12" i="57"/>
  <c r="T12" i="57"/>
  <c r="S12" i="57"/>
  <c r="U12" i="57" s="1"/>
  <c r="Q12" i="57"/>
  <c r="R12" i="57" s="1"/>
  <c r="O12" i="57"/>
  <c r="M12" i="57"/>
  <c r="I12" i="57"/>
  <c r="G12" i="57"/>
  <c r="D12" i="57"/>
  <c r="H12" i="57" s="1"/>
  <c r="W11" i="57"/>
  <c r="T11" i="57"/>
  <c r="V11" i="57" s="1"/>
  <c r="S11" i="57"/>
  <c r="U11" i="57" s="1"/>
  <c r="O11" i="57"/>
  <c r="Q11" i="57" s="1"/>
  <c r="R11" i="57" s="1"/>
  <c r="M11" i="57"/>
  <c r="I11" i="57"/>
  <c r="G11" i="57"/>
  <c r="D11" i="57"/>
  <c r="H11" i="57" s="1"/>
  <c r="W10" i="57"/>
  <c r="U10" i="57"/>
  <c r="T10" i="57"/>
  <c r="V10" i="57" s="1"/>
  <c r="S10" i="57"/>
  <c r="Q10" i="57"/>
  <c r="R10" i="57" s="1"/>
  <c r="O10" i="57"/>
  <c r="M10" i="57"/>
  <c r="I10" i="57"/>
  <c r="H10" i="57"/>
  <c r="G10" i="57"/>
  <c r="D10" i="57"/>
  <c r="W9" i="57"/>
  <c r="V9" i="57"/>
  <c r="U9" i="57"/>
  <c r="T9" i="57"/>
  <c r="S9" i="57"/>
  <c r="O9" i="57"/>
  <c r="Q9" i="57" s="1"/>
  <c r="R9" i="57" s="1"/>
  <c r="M9" i="57"/>
  <c r="I9" i="57"/>
  <c r="H9" i="57" s="1"/>
  <c r="G9" i="57"/>
  <c r="D9" i="57"/>
  <c r="W8" i="57"/>
  <c r="V8" i="57"/>
  <c r="T8" i="57"/>
  <c r="S8" i="57"/>
  <c r="U8" i="57" s="1"/>
  <c r="Q8" i="57"/>
  <c r="R8" i="57" s="1"/>
  <c r="O8" i="57"/>
  <c r="M8" i="57"/>
  <c r="I8" i="57"/>
  <c r="G8" i="57"/>
  <c r="D8" i="57"/>
  <c r="H8" i="57" s="1"/>
  <c r="W7" i="57"/>
  <c r="T7" i="57"/>
  <c r="V7" i="57" s="1"/>
  <c r="S7" i="57"/>
  <c r="U7" i="57" s="1"/>
  <c r="O7" i="57"/>
  <c r="Q7" i="57" s="1"/>
  <c r="R7" i="57" s="1"/>
  <c r="M7" i="57"/>
  <c r="I7" i="57"/>
  <c r="G7" i="57"/>
  <c r="D7" i="57"/>
  <c r="H7" i="57" s="1"/>
  <c r="W6" i="57"/>
  <c r="U6" i="57"/>
  <c r="T6" i="57"/>
  <c r="V6" i="57" s="1"/>
  <c r="S6" i="57"/>
  <c r="Q6" i="57"/>
  <c r="R6" i="57" s="1"/>
  <c r="O6" i="57"/>
  <c r="M6" i="57"/>
  <c r="I6" i="57"/>
  <c r="H6" i="57"/>
  <c r="G6" i="57"/>
  <c r="D6" i="57"/>
  <c r="W5" i="57"/>
  <c r="V5" i="57"/>
  <c r="T5" i="57"/>
  <c r="S5" i="57"/>
  <c r="U5" i="57" s="1"/>
  <c r="Q5" i="57"/>
  <c r="R5" i="57" s="1"/>
  <c r="O5" i="57"/>
  <c r="M5" i="57"/>
  <c r="I5" i="57"/>
  <c r="G5" i="57"/>
  <c r="D5" i="57"/>
  <c r="H5" i="57" s="1"/>
  <c r="W4" i="57"/>
  <c r="U4" i="57"/>
  <c r="T4" i="57"/>
  <c r="V4" i="57" s="1"/>
  <c r="S4" i="57"/>
  <c r="Q4" i="57"/>
  <c r="R4" i="57" s="1"/>
  <c r="O4" i="57"/>
  <c r="M4" i="57"/>
  <c r="I4" i="57"/>
  <c r="H4" i="57"/>
  <c r="G4" i="57"/>
  <c r="D4" i="57"/>
  <c r="W3" i="57"/>
  <c r="V3" i="57"/>
  <c r="T3" i="57"/>
  <c r="S3" i="57"/>
  <c r="U3" i="57" s="1"/>
  <c r="O3" i="57"/>
  <c r="Q3" i="57" s="1"/>
  <c r="R3" i="57" s="1"/>
  <c r="M3" i="57"/>
  <c r="I3" i="57"/>
  <c r="G3" i="57"/>
  <c r="D3" i="57"/>
  <c r="H3" i="57" s="1"/>
  <c r="AA2" i="57"/>
  <c r="W2" i="57"/>
  <c r="T2" i="57"/>
  <c r="V2" i="57" s="1"/>
  <c r="S2" i="57"/>
  <c r="U2" i="57" s="1"/>
  <c r="O2" i="57"/>
  <c r="Q2" i="57" s="1"/>
  <c r="M2" i="57"/>
  <c r="I2" i="57"/>
  <c r="G2" i="57"/>
  <c r="D2" i="57"/>
  <c r="D267" i="63"/>
  <c r="D266" i="63"/>
  <c r="D265" i="63"/>
  <c r="D264" i="63"/>
  <c r="E263" i="63"/>
  <c r="E264" i="63" s="1"/>
  <c r="E265" i="63" s="1"/>
  <c r="E266" i="63" s="1"/>
  <c r="E267" i="63" s="1"/>
  <c r="E268" i="63" s="1"/>
  <c r="E269" i="63" s="1"/>
  <c r="D263" i="63"/>
  <c r="D262" i="63"/>
  <c r="E261" i="63"/>
  <c r="E262" i="63" s="1"/>
  <c r="D261" i="63"/>
  <c r="D260" i="63"/>
  <c r="E259" i="63"/>
  <c r="E260" i="63" s="1"/>
  <c r="D259" i="63"/>
  <c r="E258" i="63"/>
  <c r="D258" i="63"/>
  <c r="D251" i="63"/>
  <c r="D250" i="63"/>
  <c r="D249" i="63"/>
  <c r="D248" i="63"/>
  <c r="D247" i="63"/>
  <c r="D246" i="63"/>
  <c r="D245" i="63"/>
  <c r="D244" i="63"/>
  <c r="D243" i="63"/>
  <c r="E242" i="63"/>
  <c r="E243" i="63" s="1"/>
  <c r="E244" i="63" s="1"/>
  <c r="E245" i="63" s="1"/>
  <c r="E246" i="63" s="1"/>
  <c r="E247" i="63" s="1"/>
  <c r="E248" i="63" s="1"/>
  <c r="E249" i="63" s="1"/>
  <c r="E250" i="63" s="1"/>
  <c r="E251" i="63" s="1"/>
  <c r="E252" i="63" s="1"/>
  <c r="E253" i="63" s="1"/>
  <c r="D242" i="63"/>
  <c r="D235" i="63"/>
  <c r="D234" i="63"/>
  <c r="D233" i="63"/>
  <c r="D232" i="63"/>
  <c r="D231" i="63"/>
  <c r="D230" i="63"/>
  <c r="D229" i="63"/>
  <c r="D228" i="63"/>
  <c r="D227" i="63"/>
  <c r="O226" i="63"/>
  <c r="L226" i="63"/>
  <c r="D226" i="63"/>
  <c r="O225" i="63"/>
  <c r="L225" i="63"/>
  <c r="D225" i="63"/>
  <c r="O224" i="63"/>
  <c r="L224" i="63"/>
  <c r="D224" i="63"/>
  <c r="O223" i="63"/>
  <c r="L223" i="63"/>
  <c r="D223" i="63"/>
  <c r="O222" i="63"/>
  <c r="L222" i="63"/>
  <c r="D222" i="63"/>
  <c r="O221" i="63"/>
  <c r="L221" i="63"/>
  <c r="D221" i="63"/>
  <c r="O220" i="63"/>
  <c r="L220" i="63"/>
  <c r="D220" i="63"/>
  <c r="O219" i="63"/>
  <c r="L219" i="63"/>
  <c r="D219" i="63"/>
  <c r="O218" i="63"/>
  <c r="L218" i="63"/>
  <c r="D218" i="63"/>
  <c r="O217" i="63"/>
  <c r="L217" i="63"/>
  <c r="O216" i="63"/>
  <c r="L216" i="63"/>
  <c r="O215" i="63"/>
  <c r="L215" i="63"/>
  <c r="O214" i="63"/>
  <c r="L214" i="63"/>
  <c r="D214" i="63"/>
  <c r="O213" i="63"/>
  <c r="L213" i="63"/>
  <c r="D213" i="63"/>
  <c r="O212" i="63"/>
  <c r="L212" i="63"/>
  <c r="D212" i="63"/>
  <c r="O211" i="63"/>
  <c r="L211" i="63"/>
  <c r="D211" i="63"/>
  <c r="O210" i="63"/>
  <c r="L210" i="63"/>
  <c r="D210" i="63"/>
  <c r="O209" i="63"/>
  <c r="L209" i="63"/>
  <c r="D209" i="63"/>
  <c r="D208" i="63"/>
  <c r="D207" i="63"/>
  <c r="D206" i="63"/>
  <c r="L205" i="63"/>
  <c r="D205" i="63"/>
  <c r="L204" i="63"/>
  <c r="D204" i="63"/>
  <c r="L203" i="63"/>
  <c r="D203" i="63"/>
  <c r="L202" i="63"/>
  <c r="D202" i="63"/>
  <c r="L201" i="63"/>
  <c r="D201" i="63"/>
  <c r="L200" i="63"/>
  <c r="D200" i="63"/>
  <c r="L199" i="63"/>
  <c r="D199" i="63"/>
  <c r="L198" i="63"/>
  <c r="L197" i="63"/>
  <c r="L196" i="63"/>
  <c r="L195" i="63"/>
  <c r="D195" i="63"/>
  <c r="L194" i="63"/>
  <c r="D194" i="63"/>
  <c r="L193" i="63"/>
  <c r="D193" i="63"/>
  <c r="L192" i="63"/>
  <c r="D192" i="63"/>
  <c r="D191" i="63"/>
  <c r="D190" i="63"/>
  <c r="D189" i="63"/>
  <c r="L188" i="63"/>
  <c r="D188" i="63"/>
  <c r="L187" i="63"/>
  <c r="D187" i="63"/>
  <c r="L186" i="63"/>
  <c r="D186" i="63"/>
  <c r="L185" i="63"/>
  <c r="D185" i="63"/>
  <c r="L184" i="63"/>
  <c r="D184" i="63"/>
  <c r="L183" i="63"/>
  <c r="D183" i="63"/>
  <c r="L182" i="63"/>
  <c r="D182" i="63"/>
  <c r="L181" i="63"/>
  <c r="D181" i="63"/>
  <c r="L180" i="63"/>
  <c r="D180" i="63"/>
  <c r="L179" i="63"/>
  <c r="D179" i="63"/>
  <c r="L178" i="63"/>
  <c r="L177" i="63"/>
  <c r="L176" i="63"/>
  <c r="L175" i="63"/>
  <c r="D175" i="63"/>
  <c r="L174" i="63"/>
  <c r="D174" i="63"/>
  <c r="L173" i="63"/>
  <c r="D173" i="63"/>
  <c r="T172" i="63"/>
  <c r="D172" i="63"/>
  <c r="T171" i="63"/>
  <c r="D171" i="63"/>
  <c r="T170" i="63"/>
  <c r="D170" i="63"/>
  <c r="T169" i="63"/>
  <c r="L169" i="63"/>
  <c r="D169" i="63"/>
  <c r="T168" i="63"/>
  <c r="L168" i="63"/>
  <c r="D168" i="63"/>
  <c r="T167" i="63"/>
  <c r="L167" i="63"/>
  <c r="D167" i="63"/>
  <c r="T166" i="63"/>
  <c r="L166" i="63"/>
  <c r="D166" i="63"/>
  <c r="T165" i="63"/>
  <c r="L165" i="63"/>
  <c r="D165" i="63"/>
  <c r="T164" i="63"/>
  <c r="L164" i="63"/>
  <c r="D164" i="63"/>
  <c r="L163" i="63"/>
  <c r="D163" i="63"/>
  <c r="L162" i="63"/>
  <c r="D162" i="63"/>
  <c r="L161" i="63"/>
  <c r="D161" i="63"/>
  <c r="T160" i="63"/>
  <c r="L160" i="63"/>
  <c r="T159" i="63"/>
  <c r="L159" i="63"/>
  <c r="T158" i="63"/>
  <c r="L158" i="63"/>
  <c r="T157" i="63"/>
  <c r="D157" i="63"/>
  <c r="T156" i="63"/>
  <c r="D156" i="63"/>
  <c r="T155" i="63"/>
  <c r="D155" i="63"/>
  <c r="T154" i="63"/>
  <c r="L154" i="63"/>
  <c r="D154" i="63"/>
  <c r="L153" i="63"/>
  <c r="D153" i="63"/>
  <c r="L152" i="63"/>
  <c r="D152" i="63"/>
  <c r="L151" i="63"/>
  <c r="D151" i="63"/>
  <c r="T150" i="63"/>
  <c r="L150" i="63"/>
  <c r="D150" i="63"/>
  <c r="T149" i="63"/>
  <c r="L149" i="63"/>
  <c r="D149" i="63"/>
  <c r="T148" i="63"/>
  <c r="L148" i="63"/>
  <c r="D148" i="63"/>
  <c r="T147" i="63"/>
  <c r="L147" i="63"/>
  <c r="D147" i="63"/>
  <c r="T146" i="63"/>
  <c r="L146" i="63"/>
  <c r="D146" i="63"/>
  <c r="T145" i="63"/>
  <c r="L145" i="63"/>
  <c r="D145" i="63"/>
  <c r="T144" i="63"/>
  <c r="L144" i="63"/>
  <c r="D144" i="63"/>
  <c r="T143" i="63"/>
  <c r="L143" i="63"/>
  <c r="D143" i="63"/>
  <c r="T139" i="63"/>
  <c r="L139" i="63"/>
  <c r="D139" i="63"/>
  <c r="T138" i="63"/>
  <c r="L138" i="63"/>
  <c r="D138" i="63"/>
  <c r="T137" i="63"/>
  <c r="L137" i="63"/>
  <c r="D137" i="63"/>
  <c r="T136" i="63"/>
  <c r="L136" i="63"/>
  <c r="D136" i="63"/>
  <c r="T135" i="63"/>
  <c r="L135" i="63"/>
  <c r="D135" i="63"/>
  <c r="T134" i="63"/>
  <c r="L134" i="63"/>
  <c r="D134" i="63"/>
  <c r="L133" i="63"/>
  <c r="D133" i="63"/>
  <c r="L132" i="63"/>
  <c r="D132" i="63"/>
  <c r="L131" i="63"/>
  <c r="D131" i="63"/>
  <c r="T130" i="63"/>
  <c r="L130" i="63"/>
  <c r="D130" i="63"/>
  <c r="T129" i="63"/>
  <c r="L129" i="63"/>
  <c r="D129" i="63"/>
  <c r="T128" i="63"/>
  <c r="L128" i="63"/>
  <c r="D128" i="63"/>
  <c r="T127" i="63"/>
  <c r="L127" i="63"/>
  <c r="D127" i="63"/>
  <c r="T126" i="63"/>
  <c r="L126" i="63"/>
  <c r="D126" i="63"/>
  <c r="T125" i="63"/>
  <c r="L125" i="63"/>
  <c r="D125" i="63"/>
  <c r="T124" i="63"/>
  <c r="L124" i="63"/>
  <c r="D124" i="63"/>
  <c r="T123" i="63"/>
  <c r="L123" i="63"/>
  <c r="D123" i="63"/>
  <c r="T122" i="63"/>
  <c r="L122" i="63"/>
  <c r="D122" i="63"/>
  <c r="T118" i="63"/>
  <c r="L118" i="63"/>
  <c r="D118" i="63"/>
  <c r="T117" i="63"/>
  <c r="L117" i="63"/>
  <c r="D117" i="63"/>
  <c r="T116" i="63"/>
  <c r="L116" i="63"/>
  <c r="D116" i="63"/>
  <c r="T115" i="63"/>
  <c r="L115" i="63"/>
  <c r="D115" i="63"/>
  <c r="T114" i="63"/>
  <c r="L114" i="63"/>
  <c r="D114" i="63"/>
  <c r="T113" i="63"/>
  <c r="L113" i="63"/>
  <c r="D113" i="63"/>
  <c r="T112" i="63"/>
  <c r="L112" i="63"/>
  <c r="D112" i="63"/>
  <c r="T111" i="63"/>
  <c r="L111" i="63"/>
  <c r="D111" i="63"/>
  <c r="T110" i="63"/>
  <c r="L110" i="63"/>
  <c r="D110" i="63"/>
  <c r="L109" i="63"/>
  <c r="D109" i="63"/>
  <c r="L108" i="63"/>
  <c r="D108" i="63"/>
  <c r="L107" i="63"/>
  <c r="D107" i="63"/>
  <c r="T106" i="63"/>
  <c r="T105" i="63"/>
  <c r="T104" i="63"/>
  <c r="T103" i="63"/>
  <c r="L103" i="63"/>
  <c r="D103" i="63"/>
  <c r="T102" i="63"/>
  <c r="L102" i="63"/>
  <c r="D102" i="63"/>
  <c r="T101" i="63"/>
  <c r="L101" i="63"/>
  <c r="D101" i="63"/>
  <c r="L100" i="63"/>
  <c r="D100" i="63"/>
  <c r="L99" i="63"/>
  <c r="D99" i="63"/>
  <c r="L98" i="63"/>
  <c r="D98" i="63"/>
  <c r="T97" i="63"/>
  <c r="L97" i="63"/>
  <c r="D97" i="63"/>
  <c r="T96" i="63"/>
  <c r="L96" i="63"/>
  <c r="D96" i="63"/>
  <c r="T95" i="63"/>
  <c r="L95" i="63"/>
  <c r="D95" i="63"/>
  <c r="T94" i="63"/>
  <c r="L94" i="63"/>
  <c r="D94" i="63"/>
  <c r="T93" i="63"/>
  <c r="L93" i="63"/>
  <c r="D93" i="63"/>
  <c r="T92" i="63"/>
  <c r="L92" i="63"/>
  <c r="D92" i="63"/>
  <c r="T91" i="63"/>
  <c r="T90" i="63"/>
  <c r="T89" i="63"/>
  <c r="L88" i="63"/>
  <c r="D88" i="63"/>
  <c r="L87" i="63"/>
  <c r="D87" i="63"/>
  <c r="L86" i="63"/>
  <c r="D86" i="63"/>
  <c r="T85" i="63"/>
  <c r="L85" i="63"/>
  <c r="D85" i="63"/>
  <c r="T84" i="63"/>
  <c r="L84" i="63"/>
  <c r="D84" i="63"/>
  <c r="T83" i="63"/>
  <c r="L83" i="63"/>
  <c r="D83" i="63"/>
  <c r="T82" i="63"/>
  <c r="L82" i="63"/>
  <c r="D82" i="63"/>
  <c r="T81" i="63"/>
  <c r="L81" i="63"/>
  <c r="D81" i="63"/>
  <c r="T80" i="63"/>
  <c r="L80" i="63"/>
  <c r="D80" i="63"/>
  <c r="T76" i="63"/>
  <c r="L76" i="63"/>
  <c r="D76" i="63"/>
  <c r="T75" i="63"/>
  <c r="L75" i="63"/>
  <c r="D75" i="63"/>
  <c r="T74" i="63"/>
  <c r="L74" i="63"/>
  <c r="D74" i="63"/>
  <c r="E70" i="63"/>
  <c r="V166" i="63" s="1"/>
  <c r="X166" i="63" s="1"/>
  <c r="E69" i="63"/>
  <c r="J65" i="63"/>
  <c r="E65" i="63"/>
  <c r="K65" i="63" s="1"/>
  <c r="B65" i="63"/>
  <c r="J64" i="63"/>
  <c r="E64" i="63"/>
  <c r="K64" i="63" s="1"/>
  <c r="B64" i="63"/>
  <c r="J63" i="63"/>
  <c r="E63" i="63"/>
  <c r="K63" i="63" s="1"/>
  <c r="B63" i="63"/>
  <c r="O62" i="63"/>
  <c r="J62" i="63"/>
  <c r="M62" i="63" s="1"/>
  <c r="E62" i="63"/>
  <c r="K62" i="63" s="1"/>
  <c r="B62" i="63"/>
  <c r="O61" i="63"/>
  <c r="J61" i="63"/>
  <c r="M61" i="63" s="1"/>
  <c r="E61" i="63"/>
  <c r="K61" i="63" s="1"/>
  <c r="B61" i="63"/>
  <c r="M60" i="63"/>
  <c r="J60" i="63"/>
  <c r="E60" i="63"/>
  <c r="B60" i="63"/>
  <c r="J59" i="63"/>
  <c r="E59" i="63"/>
  <c r="B59" i="63"/>
  <c r="M58" i="63"/>
  <c r="J58" i="63"/>
  <c r="E58" i="63"/>
  <c r="B58" i="63"/>
  <c r="J57" i="63"/>
  <c r="M57" i="63" s="1"/>
  <c r="E57" i="63"/>
  <c r="K57" i="63" s="1"/>
  <c r="B57" i="63"/>
  <c r="J56" i="63"/>
  <c r="E56" i="63"/>
  <c r="B56" i="63"/>
  <c r="J55" i="63"/>
  <c r="M55" i="63" s="1"/>
  <c r="E55" i="63"/>
  <c r="K55" i="63" s="1"/>
  <c r="B55" i="63"/>
  <c r="J54" i="63"/>
  <c r="E54" i="63"/>
  <c r="K60" i="63" s="1"/>
  <c r="B54" i="63"/>
  <c r="N50" i="63"/>
  <c r="M50" i="63"/>
  <c r="L50" i="63"/>
  <c r="K50" i="63"/>
  <c r="J50" i="63"/>
  <c r="I50" i="63"/>
  <c r="H50" i="63"/>
  <c r="G50" i="63"/>
  <c r="F50" i="63"/>
  <c r="E50" i="63"/>
  <c r="D50" i="63"/>
  <c r="C50" i="63"/>
  <c r="B50" i="63"/>
  <c r="P50" i="63" s="1"/>
  <c r="N49" i="63"/>
  <c r="M49" i="63"/>
  <c r="L49" i="63"/>
  <c r="K49" i="63"/>
  <c r="J49" i="63"/>
  <c r="I49" i="63"/>
  <c r="H49" i="63"/>
  <c r="G49" i="63"/>
  <c r="F49" i="63"/>
  <c r="E49" i="63"/>
  <c r="D49" i="63"/>
  <c r="C49" i="63"/>
  <c r="B49" i="63"/>
  <c r="P49" i="63" s="1"/>
  <c r="N48" i="63"/>
  <c r="M48" i="63"/>
  <c r="L48" i="63"/>
  <c r="K48" i="63"/>
  <c r="J48" i="63"/>
  <c r="I48" i="63"/>
  <c r="H48" i="63"/>
  <c r="G48" i="63"/>
  <c r="F48" i="63"/>
  <c r="E48" i="63"/>
  <c r="D48" i="63"/>
  <c r="C48" i="63"/>
  <c r="B48" i="63"/>
  <c r="P48" i="63" s="1"/>
  <c r="N47" i="63"/>
  <c r="M47" i="63"/>
  <c r="L47" i="63"/>
  <c r="K47" i="63"/>
  <c r="J47" i="63"/>
  <c r="I47" i="63"/>
  <c r="H47" i="63"/>
  <c r="G47" i="63"/>
  <c r="F47" i="63"/>
  <c r="E47" i="63"/>
  <c r="D47" i="63"/>
  <c r="C47" i="63"/>
  <c r="B47" i="63"/>
  <c r="P47" i="63" s="1"/>
  <c r="N46" i="63"/>
  <c r="M46" i="63"/>
  <c r="L46" i="63"/>
  <c r="K46" i="63"/>
  <c r="J46" i="63"/>
  <c r="I46" i="63"/>
  <c r="H46" i="63"/>
  <c r="G46" i="63"/>
  <c r="F46" i="63"/>
  <c r="E46" i="63"/>
  <c r="D46" i="63"/>
  <c r="C46" i="63"/>
  <c r="B46" i="63"/>
  <c r="P46" i="63" s="1"/>
  <c r="N45" i="63"/>
  <c r="M45" i="63"/>
  <c r="L45" i="63"/>
  <c r="K45" i="63"/>
  <c r="J45" i="63"/>
  <c r="I45" i="63"/>
  <c r="H45" i="63"/>
  <c r="G45" i="63"/>
  <c r="F45" i="63"/>
  <c r="E45" i="63"/>
  <c r="D45" i="63"/>
  <c r="C45" i="63"/>
  <c r="B45" i="63"/>
  <c r="P45" i="63" s="1"/>
  <c r="N44" i="63"/>
  <c r="M44" i="63"/>
  <c r="L44" i="63"/>
  <c r="K44" i="63"/>
  <c r="J44" i="63"/>
  <c r="I44" i="63"/>
  <c r="H44" i="63"/>
  <c r="G44" i="63"/>
  <c r="F44" i="63"/>
  <c r="E44" i="63"/>
  <c r="D44" i="63"/>
  <c r="C44" i="63"/>
  <c r="B44" i="63"/>
  <c r="P44" i="63" s="1"/>
  <c r="N43" i="63"/>
  <c r="M43" i="63"/>
  <c r="L43" i="63"/>
  <c r="K43" i="63"/>
  <c r="J43" i="63"/>
  <c r="I43" i="63"/>
  <c r="H43" i="63"/>
  <c r="G43" i="63"/>
  <c r="F43" i="63"/>
  <c r="E43" i="63"/>
  <c r="D43" i="63"/>
  <c r="C43" i="63"/>
  <c r="B43" i="63"/>
  <c r="P43" i="63" s="1"/>
  <c r="N42" i="63"/>
  <c r="M42" i="63"/>
  <c r="L42" i="63"/>
  <c r="K42" i="63"/>
  <c r="J42" i="63"/>
  <c r="I42" i="63"/>
  <c r="H42" i="63"/>
  <c r="G42" i="63"/>
  <c r="F42" i="63"/>
  <c r="E42" i="63"/>
  <c r="D42" i="63"/>
  <c r="C42" i="63"/>
  <c r="B42" i="63"/>
  <c r="P42" i="63" s="1"/>
  <c r="N41" i="63"/>
  <c r="M41" i="63"/>
  <c r="L41" i="63"/>
  <c r="K41" i="63"/>
  <c r="J41" i="63"/>
  <c r="I41" i="63"/>
  <c r="H41" i="63"/>
  <c r="G41" i="63"/>
  <c r="F41" i="63"/>
  <c r="E41" i="63"/>
  <c r="D41" i="63"/>
  <c r="C41" i="63"/>
  <c r="B41" i="63"/>
  <c r="P41" i="63" s="1"/>
  <c r="N40" i="63"/>
  <c r="M40" i="63"/>
  <c r="L40" i="63"/>
  <c r="K40" i="63"/>
  <c r="J40" i="63"/>
  <c r="I40" i="63"/>
  <c r="H40" i="63"/>
  <c r="G40" i="63"/>
  <c r="F40" i="63"/>
  <c r="E40" i="63"/>
  <c r="D40" i="63"/>
  <c r="C40" i="63"/>
  <c r="B40" i="63"/>
  <c r="P40" i="63" s="1"/>
  <c r="I36" i="63"/>
  <c r="H36" i="63"/>
  <c r="G36" i="63"/>
  <c r="I35" i="63"/>
  <c r="H35" i="63"/>
  <c r="G35" i="63"/>
  <c r="I34" i="63"/>
  <c r="H34" i="63"/>
  <c r="G34" i="63"/>
  <c r="I33" i="63"/>
  <c r="H33" i="63"/>
  <c r="G33" i="63"/>
  <c r="I32" i="63"/>
  <c r="H32" i="63"/>
  <c r="G32" i="63"/>
  <c r="I31" i="63"/>
  <c r="H31" i="63"/>
  <c r="G31" i="63"/>
  <c r="I30" i="63"/>
  <c r="H30" i="63"/>
  <c r="G30" i="63"/>
  <c r="I29" i="63"/>
  <c r="H29" i="63"/>
  <c r="G29" i="63"/>
  <c r="I25" i="63"/>
  <c r="H25" i="63"/>
  <c r="G25" i="63"/>
  <c r="I24" i="63"/>
  <c r="H24" i="63"/>
  <c r="G24" i="63"/>
  <c r="I23" i="63"/>
  <c r="H23" i="63"/>
  <c r="G23" i="63"/>
  <c r="I22" i="63"/>
  <c r="H22" i="63"/>
  <c r="G22" i="63"/>
  <c r="I21" i="63"/>
  <c r="H21" i="63"/>
  <c r="G21" i="63"/>
  <c r="I20" i="63"/>
  <c r="H20" i="63"/>
  <c r="G20" i="63"/>
  <c r="I19" i="63"/>
  <c r="H19" i="63"/>
  <c r="G19" i="63"/>
  <c r="I18" i="63"/>
  <c r="H18" i="63"/>
  <c r="G18" i="63"/>
  <c r="I17" i="63"/>
  <c r="H17" i="63"/>
  <c r="G17" i="63"/>
  <c r="H13" i="63"/>
  <c r="G13" i="63"/>
  <c r="A13" i="63"/>
  <c r="G12" i="63"/>
  <c r="H12" i="63" s="1"/>
  <c r="A12" i="63"/>
  <c r="L11" i="63"/>
  <c r="K11" i="63"/>
  <c r="H11" i="63"/>
  <c r="G11" i="63"/>
  <c r="A11" i="63"/>
  <c r="L10" i="63"/>
  <c r="K10" i="63"/>
  <c r="G10" i="63"/>
  <c r="H10" i="63" s="1"/>
  <c r="A10" i="63"/>
  <c r="L9" i="63"/>
  <c r="K9" i="63"/>
  <c r="H9" i="63"/>
  <c r="G9" i="63"/>
  <c r="A9" i="63"/>
  <c r="L8" i="63"/>
  <c r="K8" i="63"/>
  <c r="G8" i="63"/>
  <c r="H8" i="63" s="1"/>
  <c r="F8" i="63"/>
  <c r="E8" i="63"/>
  <c r="C8" i="63"/>
  <c r="A8" i="63"/>
  <c r="L7" i="63"/>
  <c r="K7" i="63"/>
  <c r="G7" i="63"/>
  <c r="H7" i="63" s="1"/>
  <c r="F7" i="63"/>
  <c r="E7" i="63"/>
  <c r="C7" i="63"/>
  <c r="A7" i="63"/>
  <c r="L6" i="63"/>
  <c r="K6" i="63"/>
  <c r="G6" i="63"/>
  <c r="H6" i="63" s="1"/>
  <c r="F6" i="63"/>
  <c r="E6" i="63"/>
  <c r="C6" i="63"/>
  <c r="A6" i="63"/>
  <c r="L5" i="63"/>
  <c r="K5" i="63"/>
  <c r="G5" i="63"/>
  <c r="H5" i="63" s="1"/>
  <c r="F5" i="63"/>
  <c r="E5" i="63"/>
  <c r="C5" i="63"/>
  <c r="A5" i="63"/>
  <c r="L4" i="63"/>
  <c r="K4" i="63"/>
  <c r="G4" i="63"/>
  <c r="H4" i="63" s="1"/>
  <c r="F4" i="63"/>
  <c r="E4" i="63"/>
  <c r="C4" i="63"/>
  <c r="A4" i="63"/>
  <c r="C115" i="56"/>
  <c r="C114" i="56"/>
  <c r="C113" i="56"/>
  <c r="C112" i="56"/>
  <c r="C111" i="56"/>
  <c r="C110" i="56"/>
  <c r="C109" i="56"/>
  <c r="C108" i="56"/>
  <c r="C107" i="56"/>
  <c r="C106" i="56"/>
  <c r="C105" i="56"/>
  <c r="C104" i="56"/>
  <c r="C103" i="56"/>
  <c r="C102" i="56"/>
  <c r="C101" i="56"/>
  <c r="C100" i="56"/>
  <c r="C99" i="56"/>
  <c r="C98" i="56"/>
  <c r="C97" i="56"/>
  <c r="C96" i="56"/>
  <c r="C95" i="56"/>
  <c r="C94" i="56"/>
  <c r="C93" i="56"/>
  <c r="C92" i="56"/>
  <c r="C91" i="56"/>
  <c r="C90" i="56"/>
  <c r="C89" i="56"/>
  <c r="C88" i="56"/>
  <c r="C87" i="56"/>
  <c r="C86" i="56"/>
  <c r="C85" i="56"/>
  <c r="C84" i="56"/>
  <c r="C83" i="56"/>
  <c r="C82" i="56"/>
  <c r="C81" i="56"/>
  <c r="C80" i="56"/>
  <c r="C79" i="56"/>
  <c r="C78" i="56"/>
  <c r="C77" i="56"/>
  <c r="C76" i="56"/>
  <c r="C75" i="56"/>
  <c r="C74" i="56"/>
  <c r="C73" i="56"/>
  <c r="C72" i="56"/>
  <c r="C71" i="56"/>
  <c r="C70" i="56"/>
  <c r="C69" i="56"/>
  <c r="C68" i="56"/>
  <c r="C67" i="56"/>
  <c r="C66" i="56"/>
  <c r="C65" i="56"/>
  <c r="C64" i="56"/>
  <c r="C63" i="56"/>
  <c r="C62" i="56"/>
  <c r="C61" i="56"/>
  <c r="C60" i="56"/>
  <c r="C59" i="56"/>
  <c r="C58" i="56"/>
  <c r="C57" i="56"/>
  <c r="C56" i="56"/>
  <c r="C55" i="56"/>
  <c r="C54" i="56"/>
  <c r="C53" i="56"/>
  <c r="C52" i="56"/>
  <c r="C51" i="56"/>
  <c r="C50" i="56"/>
  <c r="C49" i="56"/>
  <c r="C48" i="56"/>
  <c r="C47" i="56"/>
  <c r="C46" i="56"/>
  <c r="C45" i="56"/>
  <c r="C44" i="56"/>
  <c r="C43" i="56"/>
  <c r="C42" i="56"/>
  <c r="C41" i="56"/>
  <c r="C40" i="56"/>
  <c r="C39" i="56"/>
  <c r="C38" i="56"/>
  <c r="C37" i="56"/>
  <c r="C36" i="56"/>
  <c r="C35" i="56"/>
  <c r="C34" i="56"/>
  <c r="C33" i="56"/>
  <c r="C32" i="56"/>
  <c r="C31" i="56"/>
  <c r="C30" i="56"/>
  <c r="C29" i="56"/>
  <c r="C28" i="56"/>
  <c r="C27" i="56"/>
  <c r="C26" i="56"/>
  <c r="C25" i="56"/>
  <c r="C24" i="56"/>
  <c r="C23" i="56"/>
  <c r="C22" i="56"/>
  <c r="C21" i="56"/>
  <c r="C20" i="56"/>
  <c r="C19" i="56"/>
  <c r="C18" i="56"/>
  <c r="C17" i="56"/>
  <c r="C16" i="56"/>
  <c r="C15" i="56"/>
  <c r="C14" i="56"/>
  <c r="C13" i="56"/>
  <c r="C12" i="56"/>
  <c r="C11" i="56"/>
  <c r="C10" i="56"/>
  <c r="C9" i="56"/>
  <c r="C8" i="56"/>
  <c r="C7" i="56"/>
  <c r="C6" i="56"/>
  <c r="C5" i="56"/>
  <c r="C4" i="56"/>
  <c r="C3" i="56"/>
  <c r="C2" i="56"/>
  <c r="Q47" i="30"/>
  <c r="Q45" i="30"/>
  <c r="Q43" i="30"/>
  <c r="P43" i="30"/>
  <c r="P45" i="30" s="1"/>
  <c r="O43" i="30"/>
  <c r="O45" i="30" s="1"/>
  <c r="Q42" i="30"/>
  <c r="Q46" i="30" s="1"/>
  <c r="P42" i="30"/>
  <c r="P46" i="30" s="1"/>
  <c r="O42" i="30"/>
  <c r="Q41" i="30"/>
  <c r="P41" i="30"/>
  <c r="P47" i="30" s="1"/>
  <c r="O41" i="30"/>
  <c r="O47" i="30" s="1"/>
  <c r="R35" i="30"/>
  <c r="R34" i="30"/>
  <c r="R33" i="30"/>
  <c r="R32" i="30"/>
  <c r="R31" i="30"/>
  <c r="R30" i="30"/>
  <c r="R29" i="30"/>
  <c r="R28" i="30"/>
  <c r="AJ27" i="30"/>
  <c r="AI27" i="30"/>
  <c r="R27" i="30"/>
  <c r="R26" i="30"/>
  <c r="AG24" i="30"/>
  <c r="AF24" i="30"/>
  <c r="AG23" i="30"/>
  <c r="AF23" i="30"/>
  <c r="AG22" i="30"/>
  <c r="AF22" i="30"/>
  <c r="AG21" i="30"/>
  <c r="AF21" i="30"/>
  <c r="AG20" i="30"/>
  <c r="AF20" i="30"/>
  <c r="AC17" i="30"/>
  <c r="AC16" i="30"/>
  <c r="AC15" i="30"/>
  <c r="G15" i="30"/>
  <c r="I43" i="30" s="1"/>
  <c r="L43" i="30" s="1"/>
  <c r="F15" i="30"/>
  <c r="AC14" i="30"/>
  <c r="H14" i="30"/>
  <c r="G14" i="30"/>
  <c r="I46" i="30" s="1"/>
  <c r="L46" i="30" s="1"/>
  <c r="F14" i="30"/>
  <c r="I14" i="30" s="1"/>
  <c r="AC13" i="30"/>
  <c r="F13" i="30"/>
  <c r="AC12" i="30"/>
  <c r="F12" i="30"/>
  <c r="AC11" i="30"/>
  <c r="AC10" i="30"/>
  <c r="AC9" i="30"/>
  <c r="AC8" i="30"/>
  <c r="AC7" i="30"/>
  <c r="AC6" i="30"/>
  <c r="C6" i="30"/>
  <c r="AC5" i="30"/>
  <c r="C5" i="30"/>
  <c r="AC4" i="30"/>
  <c r="AC3" i="30"/>
  <c r="AC2" i="30"/>
  <c r="C2" i="30"/>
  <c r="O124" i="55"/>
  <c r="K124" i="55"/>
  <c r="F124" i="55"/>
  <c r="G124" i="55" s="1"/>
  <c r="O123" i="55"/>
  <c r="K123" i="55"/>
  <c r="I123" i="55"/>
  <c r="G123" i="55"/>
  <c r="F123" i="55"/>
  <c r="O122" i="55"/>
  <c r="K122" i="55"/>
  <c r="N122" i="55" s="1"/>
  <c r="F122" i="55"/>
  <c r="G122" i="55" s="1"/>
  <c r="O121" i="55"/>
  <c r="L121" i="55"/>
  <c r="K121" i="55"/>
  <c r="I121" i="55"/>
  <c r="G121" i="55"/>
  <c r="F121" i="55"/>
  <c r="O120" i="55"/>
  <c r="L120" i="55"/>
  <c r="K120" i="55"/>
  <c r="F120" i="55"/>
  <c r="G120" i="55" s="1"/>
  <c r="O119" i="55"/>
  <c r="L119" i="55"/>
  <c r="K119" i="55"/>
  <c r="I119" i="55"/>
  <c r="G119" i="55"/>
  <c r="F119" i="55"/>
  <c r="O118" i="55"/>
  <c r="L118" i="55"/>
  <c r="K118" i="55"/>
  <c r="F118" i="55"/>
  <c r="G118" i="55" s="1"/>
  <c r="O117" i="55"/>
  <c r="L117" i="55"/>
  <c r="K117" i="55"/>
  <c r="I117" i="55"/>
  <c r="G117" i="55"/>
  <c r="F117" i="55"/>
  <c r="O116" i="55"/>
  <c r="L116" i="55"/>
  <c r="K116" i="55"/>
  <c r="F116" i="55"/>
  <c r="G116" i="55" s="1"/>
  <c r="O115" i="55"/>
  <c r="K115" i="55"/>
  <c r="I115" i="55"/>
  <c r="G115" i="55"/>
  <c r="F115" i="55"/>
  <c r="O114" i="55"/>
  <c r="K114" i="55"/>
  <c r="F114" i="55"/>
  <c r="G114" i="55" s="1"/>
  <c r="O113" i="55"/>
  <c r="K113" i="55"/>
  <c r="I113" i="55"/>
  <c r="G113" i="55"/>
  <c r="F113" i="55"/>
  <c r="O112" i="55"/>
  <c r="K112" i="55"/>
  <c r="F112" i="55"/>
  <c r="G112" i="55" s="1"/>
  <c r="D112" i="55"/>
  <c r="O111" i="55"/>
  <c r="K111" i="55"/>
  <c r="I111" i="55"/>
  <c r="L111" i="55" s="1"/>
  <c r="G111" i="55"/>
  <c r="F111" i="55"/>
  <c r="D111" i="55"/>
  <c r="O110" i="55"/>
  <c r="K110" i="55"/>
  <c r="F110" i="55"/>
  <c r="G110" i="55" s="1"/>
  <c r="D110" i="55"/>
  <c r="O109" i="55"/>
  <c r="K109" i="55"/>
  <c r="I109" i="55"/>
  <c r="G109" i="55"/>
  <c r="F109" i="55"/>
  <c r="O108" i="55"/>
  <c r="K108" i="55"/>
  <c r="F108" i="55"/>
  <c r="G108" i="55" s="1"/>
  <c r="O107" i="55"/>
  <c r="K107" i="55"/>
  <c r="I107" i="55"/>
  <c r="G107" i="55"/>
  <c r="F107" i="55"/>
  <c r="O106" i="55"/>
  <c r="K106" i="55"/>
  <c r="F106" i="55"/>
  <c r="G106" i="55" s="1"/>
  <c r="O105" i="55"/>
  <c r="K105" i="55"/>
  <c r="I105" i="55"/>
  <c r="G105" i="55"/>
  <c r="F105" i="55"/>
  <c r="O104" i="55"/>
  <c r="K104" i="55"/>
  <c r="F104" i="55"/>
  <c r="G104" i="55" s="1"/>
  <c r="O103" i="55"/>
  <c r="L103" i="55"/>
  <c r="K103" i="55"/>
  <c r="G103" i="55"/>
  <c r="F103" i="55"/>
  <c r="D103" i="55"/>
  <c r="O102" i="55"/>
  <c r="L102" i="55"/>
  <c r="K102" i="55"/>
  <c r="F102" i="55"/>
  <c r="G102" i="55" s="1"/>
  <c r="D102" i="55"/>
  <c r="O101" i="55"/>
  <c r="L101" i="55"/>
  <c r="K101" i="55"/>
  <c r="G101" i="55"/>
  <c r="F101" i="55"/>
  <c r="D101" i="55"/>
  <c r="O100" i="55"/>
  <c r="K100" i="55"/>
  <c r="F100" i="55"/>
  <c r="G100" i="55" s="1"/>
  <c r="D100" i="55"/>
  <c r="O99" i="55"/>
  <c r="K99" i="55"/>
  <c r="G99" i="55"/>
  <c r="F99" i="55"/>
  <c r="D99" i="55"/>
  <c r="O98" i="55"/>
  <c r="K98" i="55"/>
  <c r="F98" i="55"/>
  <c r="G98" i="55" s="1"/>
  <c r="D98" i="55"/>
  <c r="O97" i="55"/>
  <c r="L97" i="55"/>
  <c r="K97" i="55"/>
  <c r="I97" i="55"/>
  <c r="G97" i="55"/>
  <c r="F97" i="55"/>
  <c r="D97" i="55"/>
  <c r="O96" i="55"/>
  <c r="K96" i="55"/>
  <c r="F96" i="55"/>
  <c r="G96" i="55" s="1"/>
  <c r="D96" i="55"/>
  <c r="O95" i="55"/>
  <c r="K95" i="55"/>
  <c r="G95" i="55"/>
  <c r="F95" i="55"/>
  <c r="D95" i="55"/>
  <c r="O94" i="55"/>
  <c r="L94" i="55"/>
  <c r="K94" i="55"/>
  <c r="F94" i="55"/>
  <c r="G94" i="55" s="1"/>
  <c r="D94" i="55"/>
  <c r="O93" i="55"/>
  <c r="L93" i="55"/>
  <c r="K93" i="55"/>
  <c r="G93" i="55"/>
  <c r="F93" i="55"/>
  <c r="D93" i="55"/>
  <c r="O92" i="55"/>
  <c r="L92" i="55"/>
  <c r="K92" i="55"/>
  <c r="F92" i="55"/>
  <c r="G92" i="55" s="1"/>
  <c r="D92" i="55"/>
  <c r="O91" i="55"/>
  <c r="L91" i="55"/>
  <c r="K91" i="55"/>
  <c r="G91" i="55"/>
  <c r="F91" i="55"/>
  <c r="D91" i="55"/>
  <c r="O90" i="55"/>
  <c r="L90" i="55"/>
  <c r="K90" i="55"/>
  <c r="F90" i="55"/>
  <c r="G90" i="55" s="1"/>
  <c r="D90" i="55"/>
  <c r="O89" i="55"/>
  <c r="N89" i="55"/>
  <c r="L89" i="55"/>
  <c r="K89" i="55"/>
  <c r="G89" i="55"/>
  <c r="F89" i="55"/>
  <c r="D89" i="55"/>
  <c r="O88" i="55"/>
  <c r="K88" i="55"/>
  <c r="F88" i="55"/>
  <c r="G88" i="55" s="1"/>
  <c r="D88" i="55"/>
  <c r="O87" i="55"/>
  <c r="K87" i="55"/>
  <c r="I87" i="55"/>
  <c r="G87" i="55"/>
  <c r="F87" i="55"/>
  <c r="D87" i="55"/>
  <c r="O86" i="55"/>
  <c r="K86" i="55"/>
  <c r="F86" i="55"/>
  <c r="G86" i="55" s="1"/>
  <c r="D86" i="55"/>
  <c r="O85" i="55"/>
  <c r="K85" i="55"/>
  <c r="G85" i="55"/>
  <c r="F85" i="55"/>
  <c r="D85" i="55"/>
  <c r="O84" i="55"/>
  <c r="K84" i="55"/>
  <c r="F84" i="55"/>
  <c r="G84" i="55" s="1"/>
  <c r="D84" i="55"/>
  <c r="O83" i="55"/>
  <c r="N83" i="55"/>
  <c r="K83" i="55"/>
  <c r="G83" i="55"/>
  <c r="F83" i="55"/>
  <c r="D83" i="55"/>
  <c r="O82" i="55"/>
  <c r="K82" i="55"/>
  <c r="F82" i="55"/>
  <c r="G82" i="55" s="1"/>
  <c r="D82" i="55"/>
  <c r="O81" i="55"/>
  <c r="K81" i="55"/>
  <c r="G81" i="55"/>
  <c r="F81" i="55"/>
  <c r="D81" i="55"/>
  <c r="O80" i="55"/>
  <c r="K80" i="55"/>
  <c r="F80" i="55"/>
  <c r="G80" i="55" s="1"/>
  <c r="D80" i="55"/>
  <c r="O79" i="55"/>
  <c r="K79" i="55"/>
  <c r="I79" i="55"/>
  <c r="G79" i="55"/>
  <c r="F79" i="55"/>
  <c r="D79" i="55"/>
  <c r="O78" i="55"/>
  <c r="K78" i="55"/>
  <c r="F78" i="55"/>
  <c r="G78" i="55" s="1"/>
  <c r="D78" i="55"/>
  <c r="O77" i="55"/>
  <c r="K77" i="55"/>
  <c r="G77" i="55"/>
  <c r="F77" i="55"/>
  <c r="D77" i="55"/>
  <c r="O76" i="55"/>
  <c r="K76" i="55"/>
  <c r="F76" i="55"/>
  <c r="G76" i="55" s="1"/>
  <c r="D76" i="55"/>
  <c r="O75" i="55"/>
  <c r="K75" i="55"/>
  <c r="G75" i="55"/>
  <c r="F75" i="55"/>
  <c r="D75" i="55"/>
  <c r="O74" i="55"/>
  <c r="K74" i="55"/>
  <c r="F74" i="55"/>
  <c r="G74" i="55" s="1"/>
  <c r="D74" i="55"/>
  <c r="O73" i="55"/>
  <c r="K73" i="55"/>
  <c r="I73" i="55"/>
  <c r="G73" i="55"/>
  <c r="F73" i="55"/>
  <c r="D73" i="55"/>
  <c r="O72" i="55"/>
  <c r="K72" i="55"/>
  <c r="F72" i="55"/>
  <c r="G72" i="55" s="1"/>
  <c r="D72" i="55"/>
  <c r="O71" i="55"/>
  <c r="K71" i="55"/>
  <c r="G71" i="55"/>
  <c r="F71" i="55"/>
  <c r="D71" i="55"/>
  <c r="O70" i="55"/>
  <c r="K70" i="55"/>
  <c r="F70" i="55" s="1"/>
  <c r="G70" i="55" s="1"/>
  <c r="O69" i="55"/>
  <c r="K69" i="55"/>
  <c r="I69" i="55"/>
  <c r="G69" i="55"/>
  <c r="F69" i="55"/>
  <c r="O68" i="55"/>
  <c r="K68" i="55"/>
  <c r="F68" i="55"/>
  <c r="G68" i="55" s="1"/>
  <c r="O67" i="55"/>
  <c r="K67" i="55"/>
  <c r="G67" i="55"/>
  <c r="F67" i="55"/>
  <c r="O66" i="55"/>
  <c r="K66" i="55"/>
  <c r="F66" i="55"/>
  <c r="G66" i="55" s="1"/>
  <c r="O65" i="55"/>
  <c r="K65" i="55"/>
  <c r="G65" i="55"/>
  <c r="F65" i="55"/>
  <c r="O64" i="55"/>
  <c r="K64" i="55"/>
  <c r="O63" i="55"/>
  <c r="N63" i="55"/>
  <c r="K63" i="55"/>
  <c r="G63" i="55"/>
  <c r="F63" i="55"/>
  <c r="O62" i="55"/>
  <c r="K62" i="55"/>
  <c r="F62" i="55" s="1"/>
  <c r="G62" i="55" s="1"/>
  <c r="O61" i="55"/>
  <c r="K61" i="55"/>
  <c r="F61" i="55"/>
  <c r="G61" i="55" s="1"/>
  <c r="O60" i="55"/>
  <c r="K60" i="55"/>
  <c r="F60" i="55"/>
  <c r="G60" i="55" s="1"/>
  <c r="O59" i="55"/>
  <c r="M59" i="55"/>
  <c r="B59" i="55" s="1"/>
  <c r="D59" i="55" s="1"/>
  <c r="K59" i="55"/>
  <c r="G59" i="55"/>
  <c r="F59" i="55"/>
  <c r="O58" i="55"/>
  <c r="K58" i="55"/>
  <c r="F58" i="55"/>
  <c r="G58" i="55" s="1"/>
  <c r="O57" i="55"/>
  <c r="K57" i="55"/>
  <c r="I57" i="55"/>
  <c r="G57" i="55"/>
  <c r="F57" i="55"/>
  <c r="O56" i="55"/>
  <c r="K56" i="55"/>
  <c r="I56" i="55"/>
  <c r="O55" i="55"/>
  <c r="K55" i="55"/>
  <c r="F55" i="55"/>
  <c r="G55" i="55" s="1"/>
  <c r="D55" i="55"/>
  <c r="O54" i="55"/>
  <c r="K54" i="55"/>
  <c r="F54" i="55"/>
  <c r="G54" i="55" s="1"/>
  <c r="D54" i="55"/>
  <c r="O53" i="55"/>
  <c r="M53" i="55"/>
  <c r="B53" i="55" s="1"/>
  <c r="K53" i="55"/>
  <c r="G53" i="55"/>
  <c r="F53" i="55"/>
  <c r="D53" i="55"/>
  <c r="O52" i="55"/>
  <c r="K52" i="55"/>
  <c r="I52" i="55"/>
  <c r="O51" i="55"/>
  <c r="K51" i="55"/>
  <c r="F51" i="55"/>
  <c r="G51" i="55" s="1"/>
  <c r="O50" i="55"/>
  <c r="K50" i="55"/>
  <c r="O49" i="55"/>
  <c r="K49" i="55"/>
  <c r="F49" i="55"/>
  <c r="G49" i="55" s="1"/>
  <c r="O48" i="55"/>
  <c r="K48" i="55"/>
  <c r="F48" i="55"/>
  <c r="G48" i="55" s="1"/>
  <c r="O47" i="55"/>
  <c r="K47" i="55"/>
  <c r="G47" i="55"/>
  <c r="F47" i="55"/>
  <c r="O46" i="55"/>
  <c r="K46" i="55"/>
  <c r="F46" i="55"/>
  <c r="G46" i="55" s="1"/>
  <c r="O45" i="55"/>
  <c r="N45" i="55"/>
  <c r="K45" i="55"/>
  <c r="I45" i="55"/>
  <c r="G45" i="55"/>
  <c r="F45" i="55"/>
  <c r="O44" i="55"/>
  <c r="K44" i="55"/>
  <c r="I44" i="55"/>
  <c r="AJ43" i="55"/>
  <c r="I124" i="55" s="1"/>
  <c r="AI43" i="55"/>
  <c r="O43" i="55"/>
  <c r="K43" i="55"/>
  <c r="F43" i="55"/>
  <c r="G43" i="55" s="1"/>
  <c r="AJ42" i="55"/>
  <c r="I120" i="55" s="1"/>
  <c r="AI42" i="55"/>
  <c r="O42" i="55"/>
  <c r="K42" i="55"/>
  <c r="I42" i="55"/>
  <c r="AJ41" i="55"/>
  <c r="I118" i="55" s="1"/>
  <c r="AI41" i="55"/>
  <c r="O41" i="55"/>
  <c r="K41" i="55"/>
  <c r="F41" i="55"/>
  <c r="G41" i="55" s="1"/>
  <c r="AJ40" i="55"/>
  <c r="I114" i="55" s="1"/>
  <c r="AI40" i="55"/>
  <c r="O40" i="55"/>
  <c r="K40" i="55"/>
  <c r="I40" i="55"/>
  <c r="AJ39" i="55"/>
  <c r="I112" i="55" s="1"/>
  <c r="L112" i="55" s="1"/>
  <c r="AI39" i="55"/>
  <c r="O39" i="55"/>
  <c r="K39" i="55"/>
  <c r="F39" i="55"/>
  <c r="G39" i="55" s="1"/>
  <c r="AJ38" i="55"/>
  <c r="I108" i="55" s="1"/>
  <c r="AI38" i="55"/>
  <c r="O38" i="55"/>
  <c r="K38" i="55"/>
  <c r="I38" i="55"/>
  <c r="AJ37" i="55"/>
  <c r="I106" i="55" s="1"/>
  <c r="AI37" i="55"/>
  <c r="O37" i="55"/>
  <c r="K37" i="55"/>
  <c r="F37" i="55"/>
  <c r="G37" i="55" s="1"/>
  <c r="AJ36" i="55"/>
  <c r="I102" i="55" s="1"/>
  <c r="AI36" i="55"/>
  <c r="O36" i="55"/>
  <c r="K36" i="55"/>
  <c r="F36" i="55"/>
  <c r="G36" i="55" s="1"/>
  <c r="AJ35" i="55"/>
  <c r="AI35" i="55"/>
  <c r="O35" i="55"/>
  <c r="K35" i="55"/>
  <c r="N35" i="55" s="1"/>
  <c r="F35" i="55"/>
  <c r="G35" i="55" s="1"/>
  <c r="AJ34" i="55"/>
  <c r="I96" i="55" s="1"/>
  <c r="L96" i="55" s="1"/>
  <c r="AI34" i="55"/>
  <c r="O34" i="55"/>
  <c r="K34" i="55"/>
  <c r="F34" i="55"/>
  <c r="G34" i="55" s="1"/>
  <c r="AJ33" i="55"/>
  <c r="AI33" i="55"/>
  <c r="O33" i="55"/>
  <c r="K33" i="55"/>
  <c r="N33" i="55" s="1"/>
  <c r="F33" i="55"/>
  <c r="G33" i="55" s="1"/>
  <c r="AJ32" i="55"/>
  <c r="I90" i="55" s="1"/>
  <c r="AI32" i="55"/>
  <c r="O32" i="55"/>
  <c r="M32" i="55"/>
  <c r="B32" i="55" s="1"/>
  <c r="D32" i="55" s="1"/>
  <c r="K32" i="55"/>
  <c r="N32" i="55" s="1"/>
  <c r="F32" i="55"/>
  <c r="G32" i="55" s="1"/>
  <c r="AJ31" i="55"/>
  <c r="AI31" i="55"/>
  <c r="O31" i="55"/>
  <c r="K31" i="55"/>
  <c r="F31" i="55"/>
  <c r="G31" i="55" s="1"/>
  <c r="AJ30" i="55"/>
  <c r="I84" i="55" s="1"/>
  <c r="AI30" i="55"/>
  <c r="O30" i="55"/>
  <c r="K30" i="55"/>
  <c r="F30" i="55"/>
  <c r="G30" i="55" s="1"/>
  <c r="AJ29" i="55"/>
  <c r="AI29" i="55"/>
  <c r="O29" i="55"/>
  <c r="K29" i="55"/>
  <c r="N29" i="55" s="1"/>
  <c r="F29" i="55"/>
  <c r="G29" i="55" s="1"/>
  <c r="AJ28" i="55"/>
  <c r="I78" i="55" s="1"/>
  <c r="AI28" i="55"/>
  <c r="O28" i="55"/>
  <c r="K28" i="55"/>
  <c r="F28" i="55"/>
  <c r="G28" i="55" s="1"/>
  <c r="AJ27" i="55"/>
  <c r="AI27" i="55"/>
  <c r="O27" i="55"/>
  <c r="K27" i="55"/>
  <c r="N27" i="55" s="1"/>
  <c r="F27" i="55"/>
  <c r="G27" i="55" s="1"/>
  <c r="AJ26" i="55"/>
  <c r="I72" i="55" s="1"/>
  <c r="AI26" i="55"/>
  <c r="O26" i="55"/>
  <c r="K26" i="55"/>
  <c r="F26" i="55"/>
  <c r="G26" i="55" s="1"/>
  <c r="AJ25" i="55"/>
  <c r="AI25" i="55"/>
  <c r="O25" i="55"/>
  <c r="K25" i="55"/>
  <c r="F25" i="55"/>
  <c r="G25" i="55" s="1"/>
  <c r="AJ24" i="55"/>
  <c r="I66" i="55" s="1"/>
  <c r="AI24" i="55"/>
  <c r="O24" i="55"/>
  <c r="K24" i="55"/>
  <c r="F24" i="55"/>
  <c r="G24" i="55" s="1"/>
  <c r="AJ23" i="55"/>
  <c r="AI23" i="55"/>
  <c r="W23" i="55"/>
  <c r="O23" i="55"/>
  <c r="M23" i="55"/>
  <c r="B23" i="55" s="1"/>
  <c r="D23" i="55" s="1"/>
  <c r="K23" i="55"/>
  <c r="F23" i="55" s="1"/>
  <c r="G23" i="55"/>
  <c r="AJ22" i="55"/>
  <c r="AI22" i="55"/>
  <c r="W22" i="55"/>
  <c r="O22" i="55"/>
  <c r="K22" i="55"/>
  <c r="D22" i="55"/>
  <c r="AJ21" i="55"/>
  <c r="I58" i="55" s="1"/>
  <c r="AI21" i="55"/>
  <c r="W21" i="55"/>
  <c r="O21" i="55"/>
  <c r="K21" i="55"/>
  <c r="D21" i="55"/>
  <c r="AJ20" i="55"/>
  <c r="I55" i="55" s="1"/>
  <c r="L55" i="55" s="1"/>
  <c r="AI20" i="55"/>
  <c r="W20" i="55"/>
  <c r="M7" i="55" s="1"/>
  <c r="B7" i="55" s="1"/>
  <c r="D7" i="55" s="1"/>
  <c r="L7" i="55" s="1"/>
  <c r="O20" i="55"/>
  <c r="K20" i="55"/>
  <c r="F20" i="55"/>
  <c r="G20" i="55" s="1"/>
  <c r="D20" i="55"/>
  <c r="AJ19" i="55"/>
  <c r="I51" i="55" s="1"/>
  <c r="AI19" i="55"/>
  <c r="W19" i="55"/>
  <c r="O19" i="55"/>
  <c r="K19" i="55"/>
  <c r="F19" i="55" s="1"/>
  <c r="G19" i="55"/>
  <c r="AJ18" i="55"/>
  <c r="AI18" i="55"/>
  <c r="W18" i="55"/>
  <c r="O18" i="55"/>
  <c r="K18" i="55"/>
  <c r="M18" i="55" s="1"/>
  <c r="B18" i="55"/>
  <c r="D18" i="55" s="1"/>
  <c r="AJ17" i="55"/>
  <c r="I46" i="55" s="1"/>
  <c r="AI17" i="55"/>
  <c r="W17" i="55"/>
  <c r="O17" i="55"/>
  <c r="K17" i="55"/>
  <c r="AJ16" i="55"/>
  <c r="I43" i="55" s="1"/>
  <c r="AI16" i="55"/>
  <c r="W16" i="55"/>
  <c r="N123" i="55" s="1"/>
  <c r="O16" i="55"/>
  <c r="K16" i="55"/>
  <c r="N16" i="55" s="1"/>
  <c r="F16" i="55"/>
  <c r="G16" i="55" s="1"/>
  <c r="AJ15" i="55"/>
  <c r="I39" i="55" s="1"/>
  <c r="AI15" i="55"/>
  <c r="W15" i="55"/>
  <c r="N113" i="55" s="1"/>
  <c r="O15" i="55"/>
  <c r="M15" i="55"/>
  <c r="B15" i="55" s="1"/>
  <c r="D15" i="55" s="1"/>
  <c r="K15" i="55"/>
  <c r="F15" i="55" s="1"/>
  <c r="G15" i="55"/>
  <c r="AJ14" i="55"/>
  <c r="AI14" i="55"/>
  <c r="O14" i="55"/>
  <c r="M14" i="55"/>
  <c r="B14" i="55" s="1"/>
  <c r="D14" i="55" s="1"/>
  <c r="K14" i="55"/>
  <c r="F14" i="55" s="1"/>
  <c r="G14" i="55"/>
  <c r="AJ13" i="55"/>
  <c r="AI13" i="55"/>
  <c r="O13" i="55"/>
  <c r="M13" i="55"/>
  <c r="B13" i="55" s="1"/>
  <c r="K13" i="55"/>
  <c r="F13" i="55" s="1"/>
  <c r="G13" i="55"/>
  <c r="D13" i="55"/>
  <c r="AJ12" i="55"/>
  <c r="AI12" i="55"/>
  <c r="O12" i="55"/>
  <c r="M12" i="55"/>
  <c r="B12" i="55" s="1"/>
  <c r="D12" i="55" s="1"/>
  <c r="K12" i="55"/>
  <c r="F12" i="55" s="1"/>
  <c r="G12" i="55"/>
  <c r="AJ11" i="55"/>
  <c r="AI11" i="55"/>
  <c r="O11" i="55"/>
  <c r="N11" i="55"/>
  <c r="M11" i="55"/>
  <c r="B11" i="55" s="1"/>
  <c r="D11" i="55" s="1"/>
  <c r="K11" i="55"/>
  <c r="F11" i="55" s="1"/>
  <c r="G11" i="55"/>
  <c r="AJ10" i="55"/>
  <c r="AI10" i="55"/>
  <c r="O10" i="55"/>
  <c r="K10" i="55"/>
  <c r="F10" i="55" s="1"/>
  <c r="G10" i="55" s="1"/>
  <c r="I10" i="55"/>
  <c r="AJ9" i="55"/>
  <c r="AI9" i="55"/>
  <c r="O9" i="55"/>
  <c r="N9" i="55"/>
  <c r="M9" i="55"/>
  <c r="K9" i="55"/>
  <c r="F9" i="55" s="1"/>
  <c r="G9" i="55" s="1"/>
  <c r="I9" i="55"/>
  <c r="B9" i="55"/>
  <c r="D9" i="55" s="1"/>
  <c r="L9" i="55" s="1"/>
  <c r="AJ8" i="55"/>
  <c r="AI8" i="55"/>
  <c r="O8" i="55"/>
  <c r="N8" i="55"/>
  <c r="M8" i="55"/>
  <c r="K8" i="55"/>
  <c r="F8" i="55" s="1"/>
  <c r="I8" i="55"/>
  <c r="G8" i="55"/>
  <c r="B8" i="55"/>
  <c r="D8" i="55" s="1"/>
  <c r="L8" i="55" s="1"/>
  <c r="AJ7" i="55"/>
  <c r="AI7" i="55"/>
  <c r="O7" i="55"/>
  <c r="N7" i="55"/>
  <c r="K7" i="55"/>
  <c r="F7" i="55" s="1"/>
  <c r="I7" i="55"/>
  <c r="G7" i="55"/>
  <c r="AJ6" i="55"/>
  <c r="AI6" i="55"/>
  <c r="O6" i="55"/>
  <c r="K6" i="55"/>
  <c r="I6" i="55"/>
  <c r="AJ5" i="55"/>
  <c r="AI5" i="55"/>
  <c r="O5" i="55"/>
  <c r="K5" i="55"/>
  <c r="F5" i="55"/>
  <c r="G5" i="55" s="1"/>
  <c r="AJ4" i="55"/>
  <c r="I5" i="55" s="1"/>
  <c r="AI4" i="55"/>
  <c r="O4" i="55"/>
  <c r="K4" i="55"/>
  <c r="F4" i="55" s="1"/>
  <c r="G4" i="55" s="1"/>
  <c r="AJ3" i="55"/>
  <c r="AI3" i="55"/>
  <c r="O3" i="55"/>
  <c r="K3" i="55"/>
  <c r="F3" i="55"/>
  <c r="G3" i="55" s="1"/>
  <c r="O2" i="55"/>
  <c r="K2" i="55"/>
  <c r="F2" i="55"/>
  <c r="G2" i="55" s="1"/>
  <c r="P106" i="66"/>
  <c r="P105" i="66"/>
  <c r="P104" i="66"/>
  <c r="P103" i="66"/>
  <c r="P102" i="66"/>
  <c r="P101" i="66"/>
  <c r="P100" i="66"/>
  <c r="P99" i="66"/>
  <c r="P98" i="66"/>
  <c r="P97" i="66"/>
  <c r="P96" i="66"/>
  <c r="P95" i="66"/>
  <c r="P94" i="66"/>
  <c r="P93" i="66"/>
  <c r="P92" i="66"/>
  <c r="P91" i="66"/>
  <c r="P90" i="66"/>
  <c r="P89" i="66"/>
  <c r="P88" i="66"/>
  <c r="P87" i="66"/>
  <c r="P86" i="66"/>
  <c r="P85" i="66"/>
  <c r="P84" i="66"/>
  <c r="P83" i="66"/>
  <c r="P82" i="66"/>
  <c r="P81" i="66"/>
  <c r="P80" i="66"/>
  <c r="P79" i="66"/>
  <c r="P78" i="66"/>
  <c r="P77" i="66"/>
  <c r="P76" i="66"/>
  <c r="P75" i="66"/>
  <c r="P74" i="66"/>
  <c r="P73" i="66"/>
  <c r="AA72" i="66"/>
  <c r="Y72" i="66"/>
  <c r="P72" i="66"/>
  <c r="AA71" i="66"/>
  <c r="Y71" i="66"/>
  <c r="P71" i="66"/>
  <c r="AA70" i="66"/>
  <c r="Y70" i="66"/>
  <c r="P70" i="66"/>
  <c r="AA69" i="66"/>
  <c r="Y69" i="66"/>
  <c r="P69" i="66"/>
  <c r="AA68" i="66"/>
  <c r="Y68" i="66"/>
  <c r="P68" i="66"/>
  <c r="AA67" i="66"/>
  <c r="Y67" i="66"/>
  <c r="P67" i="66"/>
  <c r="AA66" i="66"/>
  <c r="Y66" i="66"/>
  <c r="P66" i="66"/>
  <c r="AA65" i="66"/>
  <c r="Y65" i="66"/>
  <c r="P65" i="66"/>
  <c r="AA64" i="66"/>
  <c r="Y64" i="66"/>
  <c r="P64" i="66"/>
  <c r="AA63" i="66"/>
  <c r="Y63" i="66"/>
  <c r="P63" i="66"/>
  <c r="AA62" i="66"/>
  <c r="Y62" i="66"/>
  <c r="P62" i="66"/>
  <c r="AA61" i="66"/>
  <c r="Y61" i="66"/>
  <c r="P61" i="66"/>
  <c r="AA60" i="66"/>
  <c r="Y60" i="66"/>
  <c r="P60" i="66"/>
  <c r="AA59" i="66"/>
  <c r="Y59" i="66"/>
  <c r="P59" i="66"/>
  <c r="AA58" i="66"/>
  <c r="Y58" i="66"/>
  <c r="P58" i="66"/>
  <c r="AA57" i="66"/>
  <c r="Y57" i="66"/>
  <c r="P57" i="66"/>
  <c r="AA56" i="66"/>
  <c r="Y56" i="66"/>
  <c r="P56" i="66"/>
  <c r="AA55" i="66"/>
  <c r="Y55" i="66"/>
  <c r="P55" i="66"/>
  <c r="AA54" i="66"/>
  <c r="Y54" i="66"/>
  <c r="P54" i="66"/>
  <c r="AA53" i="66"/>
  <c r="Y53" i="66"/>
  <c r="P53" i="66"/>
  <c r="AA52" i="66"/>
  <c r="Y52" i="66"/>
  <c r="P52" i="66"/>
  <c r="AA51" i="66"/>
  <c r="Y51" i="66"/>
  <c r="P51" i="66"/>
  <c r="AA50" i="66"/>
  <c r="Y50" i="66"/>
  <c r="P50" i="66"/>
  <c r="AA49" i="66"/>
  <c r="Y49" i="66"/>
  <c r="P49" i="66"/>
  <c r="AA48" i="66"/>
  <c r="Y48" i="66"/>
  <c r="P48" i="66"/>
  <c r="AA47" i="66"/>
  <c r="Y47" i="66"/>
  <c r="P47" i="66"/>
  <c r="AA46" i="66"/>
  <c r="Y46" i="66"/>
  <c r="P46" i="66"/>
  <c r="AA45" i="66"/>
  <c r="Y45" i="66"/>
  <c r="P45" i="66"/>
  <c r="AA44" i="66"/>
  <c r="Y44" i="66"/>
  <c r="P44" i="66"/>
  <c r="AA43" i="66"/>
  <c r="Y43" i="66"/>
  <c r="P43" i="66"/>
  <c r="AA42" i="66"/>
  <c r="Y42" i="66"/>
  <c r="P42" i="66"/>
  <c r="AA41" i="66"/>
  <c r="Y41" i="66"/>
  <c r="P41" i="66"/>
  <c r="AA40" i="66"/>
  <c r="Y40" i="66"/>
  <c r="P40" i="66"/>
  <c r="AA39" i="66"/>
  <c r="Y39" i="66"/>
  <c r="P39" i="66"/>
  <c r="AA38" i="66"/>
  <c r="Y38" i="66"/>
  <c r="P38" i="66"/>
  <c r="AA37" i="66"/>
  <c r="Y37" i="66"/>
  <c r="P37" i="66"/>
  <c r="AJ36" i="66"/>
  <c r="Q88" i="66" s="1"/>
  <c r="AA36" i="66"/>
  <c r="Y36" i="66"/>
  <c r="P36" i="66"/>
  <c r="AJ35" i="66"/>
  <c r="Q206" i="66" s="1"/>
  <c r="AA35" i="66"/>
  <c r="Y35" i="66"/>
  <c r="P35" i="66"/>
  <c r="AJ34" i="66"/>
  <c r="Q28" i="66" s="1"/>
  <c r="AA34" i="66"/>
  <c r="Y34" i="66"/>
  <c r="P34" i="66"/>
  <c r="AJ33" i="66"/>
  <c r="Q188" i="66" s="1"/>
  <c r="AA33" i="66"/>
  <c r="Y33" i="66"/>
  <c r="P33" i="66"/>
  <c r="AJ32" i="66"/>
  <c r="AA32" i="66"/>
  <c r="Y32" i="66"/>
  <c r="P32" i="66"/>
  <c r="AJ31" i="66"/>
  <c r="Q93" i="66" s="1"/>
  <c r="AA31" i="66"/>
  <c r="Y31" i="66"/>
  <c r="P31" i="66"/>
  <c r="AJ30" i="66"/>
  <c r="Q185" i="66" s="1"/>
  <c r="AA30" i="66"/>
  <c r="Y30" i="66"/>
  <c r="P30" i="66"/>
  <c r="AJ29" i="66"/>
  <c r="Q197" i="66" s="1"/>
  <c r="AA29" i="66"/>
  <c r="Y29" i="66"/>
  <c r="P29" i="66"/>
  <c r="AJ28" i="66"/>
  <c r="Q172" i="66" s="1"/>
  <c r="AA28" i="66"/>
  <c r="Y28" i="66"/>
  <c r="P28" i="66"/>
  <c r="AJ27" i="66"/>
  <c r="Q184" i="66" s="1"/>
  <c r="AA27" i="66"/>
  <c r="Y27" i="66"/>
  <c r="P27" i="66"/>
  <c r="AJ26" i="66"/>
  <c r="Q164" i="66" s="1"/>
  <c r="AA26" i="66"/>
  <c r="Y26" i="66"/>
  <c r="P26" i="66"/>
  <c r="AJ25" i="66"/>
  <c r="Q76" i="66" s="1"/>
  <c r="AA25" i="66"/>
  <c r="Y25" i="66"/>
  <c r="P25" i="66"/>
  <c r="AJ24" i="66"/>
  <c r="Q204" i="66" s="1"/>
  <c r="AA24" i="66"/>
  <c r="Y24" i="66"/>
  <c r="P24" i="66"/>
  <c r="AJ23" i="66"/>
  <c r="Q183" i="66" s="1"/>
  <c r="AA23" i="66"/>
  <c r="Y23" i="66"/>
  <c r="P23" i="66"/>
  <c r="AJ22" i="66"/>
  <c r="Q160" i="66" s="1"/>
  <c r="AA22" i="66"/>
  <c r="Y22" i="66"/>
  <c r="V22" i="66"/>
  <c r="U22" i="66"/>
  <c r="P22" i="66"/>
  <c r="AJ21" i="66"/>
  <c r="Q169" i="66" s="1"/>
  <c r="AA21" i="66"/>
  <c r="Y21" i="66"/>
  <c r="V21" i="66"/>
  <c r="U21" i="66"/>
  <c r="P21" i="66"/>
  <c r="AJ20" i="66"/>
  <c r="Q159" i="66" s="1"/>
  <c r="AA20" i="66"/>
  <c r="Y20" i="66"/>
  <c r="V20" i="66"/>
  <c r="U20" i="66"/>
  <c r="P20" i="66"/>
  <c r="AJ19" i="66"/>
  <c r="Q50" i="66" s="1"/>
  <c r="AA19" i="66"/>
  <c r="Y19" i="66"/>
  <c r="V19" i="66"/>
  <c r="U19" i="66"/>
  <c r="P19" i="66"/>
  <c r="AJ18" i="66"/>
  <c r="Q115" i="66" s="1"/>
  <c r="AA18" i="66"/>
  <c r="Y18" i="66"/>
  <c r="V18" i="66"/>
  <c r="U18" i="66"/>
  <c r="P18" i="66"/>
  <c r="AJ17" i="66"/>
  <c r="Q149" i="66" s="1"/>
  <c r="AA17" i="66"/>
  <c r="Y17" i="66"/>
  <c r="V17" i="66"/>
  <c r="U17" i="66"/>
  <c r="P17" i="66"/>
  <c r="AJ16" i="66"/>
  <c r="Q161" i="66" s="1"/>
  <c r="AA16" i="66"/>
  <c r="Y16" i="66"/>
  <c r="V16" i="66"/>
  <c r="U16" i="66"/>
  <c r="Q16" i="66"/>
  <c r="P16" i="66"/>
  <c r="AJ15" i="66"/>
  <c r="Q157" i="66" s="1"/>
  <c r="AA15" i="66"/>
  <c r="Y15" i="66"/>
  <c r="V15" i="66"/>
  <c r="U15" i="66"/>
  <c r="Q15" i="66"/>
  <c r="P15" i="66"/>
  <c r="AJ14" i="66"/>
  <c r="Q131" i="66" s="1"/>
  <c r="AA14" i="66"/>
  <c r="Y14" i="66"/>
  <c r="V14" i="66"/>
  <c r="U14" i="66"/>
  <c r="Q14" i="66"/>
  <c r="P14" i="66"/>
  <c r="AJ13" i="66"/>
  <c r="Q154" i="66" s="1"/>
  <c r="AA13" i="66"/>
  <c r="Y13" i="66"/>
  <c r="V13" i="66"/>
  <c r="U13" i="66"/>
  <c r="P13" i="66"/>
  <c r="AU12" i="66"/>
  <c r="AT12" i="66"/>
  <c r="AJ12" i="66"/>
  <c r="Q163" i="66" s="1"/>
  <c r="AA12" i="66"/>
  <c r="Y12" i="66"/>
  <c r="V12" i="66"/>
  <c r="U12" i="66"/>
  <c r="Q12" i="66"/>
  <c r="P12" i="66"/>
  <c r="AZ11" i="66"/>
  <c r="AU11" i="66"/>
  <c r="AT11" i="66"/>
  <c r="AJ11" i="66"/>
  <c r="Q200" i="66" s="1"/>
  <c r="AA11" i="66"/>
  <c r="Y11" i="66"/>
  <c r="V11" i="66"/>
  <c r="U11" i="66"/>
  <c r="Q11" i="66"/>
  <c r="P11" i="66"/>
  <c r="AZ10" i="66"/>
  <c r="AU10" i="66"/>
  <c r="AT10" i="66"/>
  <c r="AJ10" i="66"/>
  <c r="Q208" i="66" s="1"/>
  <c r="AA10" i="66"/>
  <c r="Y10" i="66"/>
  <c r="V10" i="66"/>
  <c r="U10" i="66"/>
  <c r="P10" i="66"/>
  <c r="AZ9" i="66"/>
  <c r="AU9" i="66"/>
  <c r="AT9" i="66"/>
  <c r="AJ9" i="66"/>
  <c r="AA9" i="66"/>
  <c r="Y9" i="66"/>
  <c r="V9" i="66"/>
  <c r="U9" i="66"/>
  <c r="P9" i="66"/>
  <c r="AZ8" i="66"/>
  <c r="AU8" i="66"/>
  <c r="AT8" i="66"/>
  <c r="AJ8" i="66"/>
  <c r="Q180" i="66" s="1"/>
  <c r="AA8" i="66"/>
  <c r="Y8" i="66"/>
  <c r="V8" i="66"/>
  <c r="U8" i="66"/>
  <c r="P8" i="66"/>
  <c r="AZ7" i="66"/>
  <c r="AU7" i="66"/>
  <c r="AT7" i="66"/>
  <c r="AJ7" i="66"/>
  <c r="AA7" i="66"/>
  <c r="Y7" i="66"/>
  <c r="V7" i="66"/>
  <c r="U7" i="66"/>
  <c r="Q7" i="66"/>
  <c r="P7" i="66"/>
  <c r="AZ6" i="66"/>
  <c r="AU6" i="66"/>
  <c r="AT6" i="66"/>
  <c r="AJ6" i="66"/>
  <c r="Q156" i="66" s="1"/>
  <c r="AA6" i="66"/>
  <c r="Y6" i="66"/>
  <c r="V6" i="66"/>
  <c r="U6" i="66"/>
  <c r="P6" i="66"/>
  <c r="AZ5" i="66"/>
  <c r="AU5" i="66"/>
  <c r="AT5" i="66"/>
  <c r="AN5" i="66"/>
  <c r="AJ5" i="66"/>
  <c r="Q53" i="66" s="1"/>
  <c r="AA5" i="66"/>
  <c r="Y5" i="66"/>
  <c r="V5" i="66"/>
  <c r="U5" i="66"/>
  <c r="P5" i="66"/>
  <c r="AZ4" i="66"/>
  <c r="AU4" i="66"/>
  <c r="AT4" i="66"/>
  <c r="AJ4" i="66"/>
  <c r="Q113" i="66" s="1"/>
  <c r="AA4" i="66"/>
  <c r="Y4" i="66"/>
  <c r="V4" i="66"/>
  <c r="U4" i="66"/>
  <c r="Q4" i="66"/>
  <c r="P4" i="66"/>
  <c r="AZ3" i="66"/>
  <c r="AU3" i="66"/>
  <c r="AT3" i="66"/>
  <c r="AJ3" i="66"/>
  <c r="AA3" i="66"/>
  <c r="Y3" i="66"/>
  <c r="V3" i="66"/>
  <c r="U3" i="66"/>
  <c r="P3" i="66"/>
  <c r="AZ2" i="66"/>
  <c r="AC202" i="51"/>
  <c r="AB202" i="51"/>
  <c r="N202" i="51"/>
  <c r="L202" i="51"/>
  <c r="J202" i="51"/>
  <c r="H202" i="51"/>
  <c r="F202" i="51"/>
  <c r="D202" i="51"/>
  <c r="AC201" i="51"/>
  <c r="AB201" i="51"/>
  <c r="N201" i="51"/>
  <c r="L201" i="51"/>
  <c r="H201" i="51"/>
  <c r="F201" i="51"/>
  <c r="D201" i="51"/>
  <c r="AC200" i="51"/>
  <c r="AB200" i="51"/>
  <c r="N200" i="51"/>
  <c r="L200" i="51"/>
  <c r="J200" i="51"/>
  <c r="H200" i="51"/>
  <c r="F200" i="51"/>
  <c r="D200" i="51"/>
  <c r="AC199" i="51"/>
  <c r="AB199" i="51"/>
  <c r="N199" i="51"/>
  <c r="L199" i="51"/>
  <c r="J199" i="51"/>
  <c r="H199" i="51"/>
  <c r="F199" i="51"/>
  <c r="D199" i="51"/>
  <c r="AC198" i="51"/>
  <c r="AB198" i="51"/>
  <c r="N198" i="51"/>
  <c r="L198" i="51"/>
  <c r="J198" i="51"/>
  <c r="H198" i="51"/>
  <c r="F198" i="51"/>
  <c r="D198" i="51"/>
  <c r="AC197" i="51"/>
  <c r="AB197" i="51"/>
  <c r="N197" i="51"/>
  <c r="L197" i="51"/>
  <c r="H197" i="51"/>
  <c r="F197" i="51"/>
  <c r="D197" i="51"/>
  <c r="AC196" i="51"/>
  <c r="AB196" i="51"/>
  <c r="N196" i="51"/>
  <c r="L196" i="51"/>
  <c r="J196" i="51"/>
  <c r="H196" i="51"/>
  <c r="F196" i="51"/>
  <c r="D196" i="51"/>
  <c r="AC195" i="51"/>
  <c r="AB195" i="51"/>
  <c r="N195" i="51"/>
  <c r="L195" i="51"/>
  <c r="H195" i="51"/>
  <c r="F195" i="51"/>
  <c r="D195" i="51"/>
  <c r="AC194" i="51"/>
  <c r="AB194" i="51"/>
  <c r="N194" i="51"/>
  <c r="L194" i="51"/>
  <c r="H194" i="51"/>
  <c r="F194" i="51"/>
  <c r="D194" i="51"/>
  <c r="AC193" i="51"/>
  <c r="AB193" i="51"/>
  <c r="N193" i="51"/>
  <c r="L193" i="51"/>
  <c r="H193" i="51"/>
  <c r="F193" i="51"/>
  <c r="D193" i="51"/>
  <c r="AC192" i="51"/>
  <c r="AB192" i="51"/>
  <c r="N192" i="51"/>
  <c r="L192" i="51"/>
  <c r="J192" i="51"/>
  <c r="H192" i="51"/>
  <c r="F192" i="51"/>
  <c r="D192" i="51"/>
  <c r="AC191" i="51"/>
  <c r="AB191" i="51"/>
  <c r="N191" i="51"/>
  <c r="L191" i="51"/>
  <c r="H191" i="51"/>
  <c r="F191" i="51"/>
  <c r="D191" i="51"/>
  <c r="AC190" i="51"/>
  <c r="AB190" i="51"/>
  <c r="N190" i="51"/>
  <c r="L190" i="51"/>
  <c r="H190" i="51"/>
  <c r="F190" i="51"/>
  <c r="D190" i="51"/>
  <c r="AC189" i="51"/>
  <c r="AB189" i="51"/>
  <c r="N189" i="51"/>
  <c r="L189" i="51"/>
  <c r="J189" i="51"/>
  <c r="H189" i="51"/>
  <c r="F189" i="51"/>
  <c r="D189" i="51"/>
  <c r="AC188" i="51"/>
  <c r="AB188" i="51"/>
  <c r="N188" i="51"/>
  <c r="L188" i="51"/>
  <c r="H188" i="51"/>
  <c r="F188" i="51"/>
  <c r="D188" i="51"/>
  <c r="AC187" i="51"/>
  <c r="AB187" i="51"/>
  <c r="N187" i="51"/>
  <c r="L187" i="51"/>
  <c r="H187" i="51"/>
  <c r="F187" i="51"/>
  <c r="D187" i="51"/>
  <c r="AC186" i="51"/>
  <c r="AB186" i="51"/>
  <c r="N186" i="51"/>
  <c r="L186" i="51"/>
  <c r="J186" i="51"/>
  <c r="H186" i="51"/>
  <c r="F186" i="51"/>
  <c r="D186" i="51"/>
  <c r="AC185" i="51"/>
  <c r="AB185" i="51"/>
  <c r="N185" i="51"/>
  <c r="L185" i="51"/>
  <c r="H185" i="51"/>
  <c r="F185" i="51"/>
  <c r="D185" i="51"/>
  <c r="AC184" i="51"/>
  <c r="AB184" i="51"/>
  <c r="N184" i="51"/>
  <c r="L184" i="51"/>
  <c r="J184" i="51"/>
  <c r="H184" i="51"/>
  <c r="F184" i="51"/>
  <c r="D184" i="51"/>
  <c r="AC183" i="51"/>
  <c r="AB183" i="51"/>
  <c r="N183" i="51"/>
  <c r="L183" i="51"/>
  <c r="H183" i="51"/>
  <c r="F183" i="51"/>
  <c r="D183" i="51"/>
  <c r="AC182" i="51"/>
  <c r="AB182" i="51"/>
  <c r="N182" i="51"/>
  <c r="L182" i="51"/>
  <c r="J182" i="51"/>
  <c r="H182" i="51"/>
  <c r="F182" i="51"/>
  <c r="D182" i="51"/>
  <c r="AC181" i="51"/>
  <c r="AB181" i="51"/>
  <c r="N181" i="51"/>
  <c r="L181" i="51"/>
  <c r="J181" i="51"/>
  <c r="H181" i="51"/>
  <c r="F181" i="51"/>
  <c r="D181" i="51"/>
  <c r="AC180" i="51"/>
  <c r="AB180" i="51"/>
  <c r="N180" i="51"/>
  <c r="L180" i="51"/>
  <c r="J180" i="51"/>
  <c r="H180" i="51"/>
  <c r="F180" i="51"/>
  <c r="D180" i="51"/>
  <c r="AC179" i="51"/>
  <c r="AB179" i="51"/>
  <c r="N179" i="51"/>
  <c r="L179" i="51"/>
  <c r="J179" i="51"/>
  <c r="H179" i="51"/>
  <c r="F179" i="51"/>
  <c r="D179" i="51"/>
  <c r="AC178" i="51"/>
  <c r="AB178" i="51"/>
  <c r="N178" i="51"/>
  <c r="L178" i="51"/>
  <c r="H178" i="51"/>
  <c r="F178" i="51"/>
  <c r="D178" i="51"/>
  <c r="AC177" i="51"/>
  <c r="AB177" i="51"/>
  <c r="N177" i="51"/>
  <c r="L177" i="51"/>
  <c r="J177" i="51"/>
  <c r="H177" i="51"/>
  <c r="F177" i="51"/>
  <c r="D177" i="51"/>
  <c r="AC176" i="51"/>
  <c r="AB176" i="51"/>
  <c r="N176" i="51"/>
  <c r="L176" i="51"/>
  <c r="H176" i="51"/>
  <c r="F176" i="51"/>
  <c r="D176" i="51"/>
  <c r="AC175" i="51"/>
  <c r="AB175" i="51"/>
  <c r="N175" i="51"/>
  <c r="L175" i="51"/>
  <c r="J175" i="51"/>
  <c r="H175" i="51"/>
  <c r="F175" i="51"/>
  <c r="D175" i="51"/>
  <c r="AC174" i="51"/>
  <c r="AB174" i="51"/>
  <c r="N174" i="51"/>
  <c r="L174" i="51"/>
  <c r="H174" i="51"/>
  <c r="F174" i="51"/>
  <c r="D174" i="51"/>
  <c r="AC173" i="51"/>
  <c r="AB173" i="51"/>
  <c r="N173" i="51"/>
  <c r="L173" i="51"/>
  <c r="H173" i="51"/>
  <c r="F173" i="51"/>
  <c r="D173" i="51"/>
  <c r="AC172" i="51"/>
  <c r="AB172" i="51"/>
  <c r="N172" i="51"/>
  <c r="L172" i="51"/>
  <c r="J172" i="51"/>
  <c r="H172" i="51"/>
  <c r="F172" i="51"/>
  <c r="D172" i="51"/>
  <c r="AC171" i="51"/>
  <c r="AB171" i="51"/>
  <c r="N171" i="51"/>
  <c r="L171" i="51"/>
  <c r="H171" i="51"/>
  <c r="F171" i="51"/>
  <c r="D171" i="51"/>
  <c r="AC170" i="51"/>
  <c r="AB170" i="51"/>
  <c r="N170" i="51"/>
  <c r="L170" i="51"/>
  <c r="H170" i="51"/>
  <c r="F170" i="51"/>
  <c r="D170" i="51"/>
  <c r="AC169" i="51"/>
  <c r="AB169" i="51"/>
  <c r="N169" i="51"/>
  <c r="L169" i="51"/>
  <c r="J169" i="51"/>
  <c r="H169" i="51"/>
  <c r="F169" i="51"/>
  <c r="D169" i="51"/>
  <c r="AC168" i="51"/>
  <c r="AB168" i="51"/>
  <c r="N168" i="51"/>
  <c r="L168" i="51"/>
  <c r="J168" i="51"/>
  <c r="H168" i="51"/>
  <c r="F168" i="51"/>
  <c r="D168" i="51"/>
  <c r="AC167" i="51"/>
  <c r="AB167" i="51"/>
  <c r="N167" i="51"/>
  <c r="L167" i="51"/>
  <c r="J167" i="51"/>
  <c r="H167" i="51"/>
  <c r="F167" i="51"/>
  <c r="D167" i="51"/>
  <c r="AC166" i="51"/>
  <c r="AB166" i="51"/>
  <c r="N166" i="51"/>
  <c r="L166" i="51"/>
  <c r="H166" i="51"/>
  <c r="F166" i="51"/>
  <c r="D166" i="51"/>
  <c r="AC165" i="51"/>
  <c r="AB165" i="51"/>
  <c r="N165" i="51"/>
  <c r="L165" i="51"/>
  <c r="H165" i="51"/>
  <c r="F165" i="51"/>
  <c r="D165" i="51"/>
  <c r="AC164" i="51"/>
  <c r="AB164" i="51"/>
  <c r="N164" i="51"/>
  <c r="L164" i="51"/>
  <c r="H164" i="51"/>
  <c r="F164" i="51"/>
  <c r="D164" i="51"/>
  <c r="AC163" i="51"/>
  <c r="AB163" i="51"/>
  <c r="N163" i="51"/>
  <c r="L163" i="51"/>
  <c r="J163" i="51"/>
  <c r="H163" i="51"/>
  <c r="F163" i="51"/>
  <c r="D163" i="51"/>
  <c r="AC162" i="51"/>
  <c r="AB162" i="51"/>
  <c r="N162" i="51"/>
  <c r="L162" i="51"/>
  <c r="J162" i="51"/>
  <c r="H162" i="51"/>
  <c r="F162" i="51"/>
  <c r="D162" i="51"/>
  <c r="AC161" i="51"/>
  <c r="AB161" i="51"/>
  <c r="N161" i="51"/>
  <c r="L161" i="51"/>
  <c r="J161" i="51"/>
  <c r="H161" i="51"/>
  <c r="F161" i="51"/>
  <c r="D161" i="51"/>
  <c r="AC160" i="51"/>
  <c r="AB160" i="51"/>
  <c r="N160" i="51"/>
  <c r="L160" i="51"/>
  <c r="H160" i="51"/>
  <c r="F160" i="51"/>
  <c r="D160" i="51"/>
  <c r="AC159" i="51"/>
  <c r="AB159" i="51"/>
  <c r="N159" i="51"/>
  <c r="L159" i="51"/>
  <c r="H159" i="51"/>
  <c r="F159" i="51"/>
  <c r="D159" i="51"/>
  <c r="AC158" i="51"/>
  <c r="AB158" i="51"/>
  <c r="N158" i="51"/>
  <c r="L158" i="51"/>
  <c r="H158" i="51"/>
  <c r="F158" i="51"/>
  <c r="D158" i="51"/>
  <c r="AC157" i="51"/>
  <c r="AB157" i="51"/>
  <c r="N157" i="51"/>
  <c r="L157" i="51"/>
  <c r="J157" i="51"/>
  <c r="H157" i="51"/>
  <c r="F157" i="51"/>
  <c r="D157" i="51"/>
  <c r="AC156" i="51"/>
  <c r="AB156" i="51"/>
  <c r="N156" i="51"/>
  <c r="L156" i="51"/>
  <c r="H156" i="51"/>
  <c r="F156" i="51"/>
  <c r="D156" i="51"/>
  <c r="AC155" i="51"/>
  <c r="AB155" i="51"/>
  <c r="N155" i="51"/>
  <c r="L155" i="51"/>
  <c r="J155" i="51"/>
  <c r="H155" i="51"/>
  <c r="F155" i="51"/>
  <c r="D155" i="51"/>
  <c r="AC154" i="51"/>
  <c r="AB154" i="51"/>
  <c r="N154" i="51"/>
  <c r="L154" i="51"/>
  <c r="H154" i="51"/>
  <c r="F154" i="51"/>
  <c r="D154" i="51"/>
  <c r="AC153" i="51"/>
  <c r="AB153" i="51"/>
  <c r="N153" i="51"/>
  <c r="L153" i="51"/>
  <c r="H153" i="51"/>
  <c r="F153" i="51"/>
  <c r="D153" i="51"/>
  <c r="AC152" i="51"/>
  <c r="AB152" i="51"/>
  <c r="N152" i="51"/>
  <c r="L152" i="51"/>
  <c r="J152" i="51"/>
  <c r="H152" i="51"/>
  <c r="F152" i="51"/>
  <c r="D152" i="51"/>
  <c r="AC151" i="51"/>
  <c r="AB151" i="51"/>
  <c r="N151" i="51"/>
  <c r="L151" i="51"/>
  <c r="H151" i="51"/>
  <c r="F151" i="51"/>
  <c r="D151" i="51"/>
  <c r="AC150" i="51"/>
  <c r="AB150" i="51"/>
  <c r="N150" i="51"/>
  <c r="L150" i="51"/>
  <c r="H150" i="51"/>
  <c r="F150" i="51"/>
  <c r="D150" i="51"/>
  <c r="AC149" i="51"/>
  <c r="AB149" i="51"/>
  <c r="N149" i="51"/>
  <c r="L149" i="51"/>
  <c r="J149" i="51"/>
  <c r="H149" i="51"/>
  <c r="F149" i="51"/>
  <c r="D149" i="51"/>
  <c r="AC148" i="51"/>
  <c r="AB148" i="51"/>
  <c r="N148" i="51"/>
  <c r="L148" i="51"/>
  <c r="J148" i="51"/>
  <c r="H148" i="51"/>
  <c r="F148" i="51"/>
  <c r="D148" i="51"/>
  <c r="AC147" i="51"/>
  <c r="AB147" i="51"/>
  <c r="N147" i="51"/>
  <c r="L147" i="51"/>
  <c r="J147" i="51"/>
  <c r="H147" i="51"/>
  <c r="F147" i="51"/>
  <c r="D147" i="51"/>
  <c r="AC146" i="51"/>
  <c r="AB146" i="51"/>
  <c r="N146" i="51"/>
  <c r="L146" i="51"/>
  <c r="J146" i="51"/>
  <c r="H146" i="51"/>
  <c r="F146" i="51"/>
  <c r="D146" i="51"/>
  <c r="AC145" i="51"/>
  <c r="AB145" i="51"/>
  <c r="N145" i="51"/>
  <c r="L145" i="51"/>
  <c r="J145" i="51"/>
  <c r="H145" i="51"/>
  <c r="D145" i="51"/>
  <c r="AC144" i="51"/>
  <c r="AB144" i="51"/>
  <c r="N144" i="51"/>
  <c r="L144" i="51"/>
  <c r="H144" i="51"/>
  <c r="F144" i="51"/>
  <c r="D144" i="51"/>
  <c r="AC143" i="51"/>
  <c r="AB143" i="51"/>
  <c r="N143" i="51"/>
  <c r="L143" i="51"/>
  <c r="H143" i="51"/>
  <c r="F143" i="51"/>
  <c r="D143" i="51"/>
  <c r="AC142" i="51"/>
  <c r="AB142" i="51"/>
  <c r="N142" i="51"/>
  <c r="L142" i="51"/>
  <c r="J142" i="51"/>
  <c r="H142" i="51"/>
  <c r="F142" i="51"/>
  <c r="D142" i="51"/>
  <c r="AC141" i="51"/>
  <c r="AB141" i="51"/>
  <c r="N141" i="51"/>
  <c r="L141" i="51"/>
  <c r="J141" i="51"/>
  <c r="H141" i="51"/>
  <c r="F141" i="51"/>
  <c r="D141" i="51"/>
  <c r="AC140" i="51"/>
  <c r="AB140" i="51"/>
  <c r="N140" i="51"/>
  <c r="L140" i="51"/>
  <c r="J140" i="51"/>
  <c r="H140" i="51"/>
  <c r="F140" i="51"/>
  <c r="D140" i="51"/>
  <c r="AC139" i="51"/>
  <c r="AB139" i="51"/>
  <c r="N139" i="51"/>
  <c r="L139" i="51"/>
  <c r="H139" i="51"/>
  <c r="D139" i="51"/>
  <c r="AC138" i="51"/>
  <c r="AB138" i="51"/>
  <c r="N138" i="51"/>
  <c r="L138" i="51"/>
  <c r="H138" i="51"/>
  <c r="F138" i="51"/>
  <c r="D138" i="51"/>
  <c r="AC137" i="51"/>
  <c r="AB137" i="51"/>
  <c r="N137" i="51"/>
  <c r="L137" i="51"/>
  <c r="J137" i="51"/>
  <c r="H137" i="51"/>
  <c r="F137" i="51"/>
  <c r="D137" i="51"/>
  <c r="AC136" i="51"/>
  <c r="AB136" i="51"/>
  <c r="N136" i="51"/>
  <c r="L136" i="51"/>
  <c r="J136" i="51"/>
  <c r="H136" i="51"/>
  <c r="F136" i="51"/>
  <c r="D136" i="51"/>
  <c r="AC135" i="51"/>
  <c r="AB135" i="51"/>
  <c r="N135" i="51"/>
  <c r="L135" i="51"/>
  <c r="H135" i="51"/>
  <c r="F135" i="51"/>
  <c r="D135" i="51"/>
  <c r="AC134" i="51"/>
  <c r="AB134" i="51"/>
  <c r="N134" i="51"/>
  <c r="L134" i="51"/>
  <c r="H134" i="51"/>
  <c r="F134" i="51"/>
  <c r="D134" i="51"/>
  <c r="AC133" i="51"/>
  <c r="AB133" i="51"/>
  <c r="N133" i="51"/>
  <c r="L133" i="51"/>
  <c r="H133" i="51"/>
  <c r="F133" i="51"/>
  <c r="D133" i="51"/>
  <c r="AC132" i="51"/>
  <c r="AB132" i="51"/>
  <c r="N132" i="51"/>
  <c r="L132" i="51"/>
  <c r="J132" i="51"/>
  <c r="H132" i="51"/>
  <c r="F132" i="51"/>
  <c r="D132" i="51"/>
  <c r="AC131" i="51"/>
  <c r="AB131" i="51"/>
  <c r="N131" i="51"/>
  <c r="L131" i="51"/>
  <c r="H131" i="51"/>
  <c r="D131" i="51"/>
  <c r="AC130" i="51"/>
  <c r="AB130" i="51"/>
  <c r="N130" i="51"/>
  <c r="L130" i="51"/>
  <c r="J130" i="51"/>
  <c r="H130" i="51"/>
  <c r="F130" i="51"/>
  <c r="D130" i="51"/>
  <c r="AC129" i="51"/>
  <c r="AB129" i="51"/>
  <c r="N129" i="51"/>
  <c r="L129" i="51"/>
  <c r="J129" i="51"/>
  <c r="H129" i="51"/>
  <c r="D129" i="51"/>
  <c r="AC128" i="51"/>
  <c r="AB128" i="51"/>
  <c r="T128" i="51"/>
  <c r="N128" i="51"/>
  <c r="L128" i="51"/>
  <c r="H128" i="51"/>
  <c r="D128" i="51"/>
  <c r="AC127" i="51"/>
  <c r="AB127" i="51"/>
  <c r="T127" i="51"/>
  <c r="N127" i="51"/>
  <c r="L127" i="51"/>
  <c r="H127" i="51"/>
  <c r="D127" i="51"/>
  <c r="AC126" i="51"/>
  <c r="AB126" i="51"/>
  <c r="T126" i="51"/>
  <c r="N126" i="51"/>
  <c r="L126" i="51"/>
  <c r="H126" i="51"/>
  <c r="F126" i="51"/>
  <c r="D126" i="51"/>
  <c r="AC125" i="51"/>
  <c r="AB125" i="51"/>
  <c r="T125" i="51"/>
  <c r="N125" i="51"/>
  <c r="L125" i="51"/>
  <c r="H125" i="51"/>
  <c r="D125" i="51"/>
  <c r="AC124" i="51"/>
  <c r="AB124" i="51"/>
  <c r="T124" i="51"/>
  <c r="N124" i="51"/>
  <c r="L124" i="51"/>
  <c r="J124" i="51"/>
  <c r="H124" i="51"/>
  <c r="D124" i="51"/>
  <c r="AC123" i="51"/>
  <c r="AB123" i="51"/>
  <c r="T123" i="51"/>
  <c r="N123" i="51"/>
  <c r="L123" i="51"/>
  <c r="H123" i="51"/>
  <c r="D123" i="51"/>
  <c r="AC122" i="51"/>
  <c r="AB122" i="51"/>
  <c r="T122" i="51"/>
  <c r="N122" i="51"/>
  <c r="L122" i="51"/>
  <c r="J122" i="51"/>
  <c r="H122" i="51"/>
  <c r="F122" i="51"/>
  <c r="D122" i="51"/>
  <c r="AC121" i="51"/>
  <c r="AB121" i="51"/>
  <c r="T121" i="51"/>
  <c r="N121" i="51"/>
  <c r="L121" i="51"/>
  <c r="J121" i="51"/>
  <c r="H121" i="51"/>
  <c r="D121" i="51"/>
  <c r="AC120" i="51"/>
  <c r="AB120" i="51"/>
  <c r="T120" i="51"/>
  <c r="N120" i="51"/>
  <c r="L120" i="51"/>
  <c r="H120" i="51"/>
  <c r="D120" i="51"/>
  <c r="AC119" i="51"/>
  <c r="AB119" i="51"/>
  <c r="T119" i="51"/>
  <c r="N119" i="51"/>
  <c r="L119" i="51"/>
  <c r="H119" i="51"/>
  <c r="D119" i="51"/>
  <c r="AC118" i="51"/>
  <c r="AB118" i="51"/>
  <c r="T118" i="51"/>
  <c r="N118" i="51"/>
  <c r="L118" i="51"/>
  <c r="J118" i="51"/>
  <c r="H118" i="51"/>
  <c r="F118" i="51"/>
  <c r="D118" i="51"/>
  <c r="AC117" i="51"/>
  <c r="AB117" i="51"/>
  <c r="T117" i="51"/>
  <c r="N117" i="51"/>
  <c r="L117" i="51"/>
  <c r="J117" i="51"/>
  <c r="H117" i="51"/>
  <c r="F117" i="51"/>
  <c r="D117" i="51"/>
  <c r="AC116" i="51"/>
  <c r="AB116" i="51"/>
  <c r="T116" i="51"/>
  <c r="N116" i="51"/>
  <c r="L116" i="51"/>
  <c r="H116" i="51"/>
  <c r="D116" i="51"/>
  <c r="AC115" i="51"/>
  <c r="AB115" i="51"/>
  <c r="T115" i="51"/>
  <c r="N115" i="51"/>
  <c r="L115" i="51"/>
  <c r="H115" i="51"/>
  <c r="F115" i="51"/>
  <c r="D115" i="51"/>
  <c r="AC114" i="51"/>
  <c r="AB114" i="51"/>
  <c r="T114" i="51"/>
  <c r="N114" i="51"/>
  <c r="L114" i="51"/>
  <c r="J114" i="51"/>
  <c r="H114" i="51"/>
  <c r="D114" i="51"/>
  <c r="AC113" i="51"/>
  <c r="AB113" i="51"/>
  <c r="N113" i="51"/>
  <c r="L113" i="51"/>
  <c r="H113" i="51"/>
  <c r="D113" i="51"/>
  <c r="AC112" i="51"/>
  <c r="AB112" i="51"/>
  <c r="N112" i="51"/>
  <c r="L112" i="51"/>
  <c r="J112" i="51"/>
  <c r="H112" i="51"/>
  <c r="F112" i="51"/>
  <c r="D112" i="51"/>
  <c r="AC111" i="51"/>
  <c r="AB111" i="51"/>
  <c r="N111" i="51"/>
  <c r="L111" i="51"/>
  <c r="H111" i="51"/>
  <c r="D111" i="51"/>
  <c r="AC110" i="51"/>
  <c r="AB110" i="51"/>
  <c r="W110" i="51"/>
  <c r="N110" i="51"/>
  <c r="L110" i="51"/>
  <c r="J110" i="51"/>
  <c r="H110" i="51"/>
  <c r="F110" i="51"/>
  <c r="D110" i="51"/>
  <c r="AC109" i="51"/>
  <c r="AB109" i="51"/>
  <c r="W109" i="51"/>
  <c r="N109" i="51"/>
  <c r="L109" i="51"/>
  <c r="J109" i="51"/>
  <c r="H109" i="51"/>
  <c r="D109" i="51"/>
  <c r="AC108" i="51"/>
  <c r="AB108" i="51"/>
  <c r="W108" i="51"/>
  <c r="N108" i="51"/>
  <c r="L108" i="51"/>
  <c r="J108" i="51"/>
  <c r="H108" i="51"/>
  <c r="F108" i="51"/>
  <c r="D108" i="51"/>
  <c r="AC107" i="51"/>
  <c r="AB107" i="51"/>
  <c r="W107" i="51"/>
  <c r="N107" i="51"/>
  <c r="L107" i="51"/>
  <c r="J107" i="51"/>
  <c r="H107" i="51"/>
  <c r="F107" i="51"/>
  <c r="D107" i="51"/>
  <c r="AC106" i="51"/>
  <c r="AB106" i="51"/>
  <c r="W106" i="51"/>
  <c r="N106" i="51"/>
  <c r="L106" i="51"/>
  <c r="J106" i="51"/>
  <c r="H106" i="51"/>
  <c r="D106" i="51"/>
  <c r="AC105" i="51"/>
  <c r="AB105" i="51"/>
  <c r="W105" i="51"/>
  <c r="L105" i="51"/>
  <c r="J105" i="51"/>
  <c r="H105" i="51"/>
  <c r="F105" i="51"/>
  <c r="D105" i="51"/>
  <c r="AC104" i="51"/>
  <c r="AB104" i="51"/>
  <c r="W104" i="51"/>
  <c r="N104" i="51"/>
  <c r="L104" i="51"/>
  <c r="J104" i="51"/>
  <c r="H104" i="51"/>
  <c r="F104" i="51"/>
  <c r="D104" i="51"/>
  <c r="AC103" i="51"/>
  <c r="AB103" i="51"/>
  <c r="W103" i="51"/>
  <c r="J159" i="51" s="1"/>
  <c r="N103" i="51"/>
  <c r="L103" i="51"/>
  <c r="J103" i="51"/>
  <c r="H103" i="51"/>
  <c r="D103" i="51"/>
  <c r="AC102" i="51"/>
  <c r="AB102" i="51"/>
  <c r="W102" i="51"/>
  <c r="N102" i="51"/>
  <c r="L102" i="51"/>
  <c r="J102" i="51"/>
  <c r="H102" i="51"/>
  <c r="F102" i="51"/>
  <c r="D102" i="51"/>
  <c r="AC101" i="51"/>
  <c r="AB101" i="51"/>
  <c r="W101" i="51"/>
  <c r="N101" i="51"/>
  <c r="L101" i="51"/>
  <c r="J101" i="51"/>
  <c r="H101" i="51"/>
  <c r="F101" i="51"/>
  <c r="D101" i="51"/>
  <c r="AC100" i="51"/>
  <c r="AB100" i="51"/>
  <c r="W100" i="51"/>
  <c r="N100" i="51"/>
  <c r="L100" i="51"/>
  <c r="J100" i="51"/>
  <c r="H100" i="51"/>
  <c r="F100" i="51"/>
  <c r="D100" i="51"/>
  <c r="AC99" i="51"/>
  <c r="AB99" i="51"/>
  <c r="W99" i="51"/>
  <c r="N99" i="51"/>
  <c r="L99" i="51"/>
  <c r="J99" i="51"/>
  <c r="H99" i="51"/>
  <c r="F99" i="51"/>
  <c r="D99" i="51"/>
  <c r="AC98" i="51"/>
  <c r="AB98" i="51"/>
  <c r="W98" i="51"/>
  <c r="N98" i="51"/>
  <c r="L98" i="51"/>
  <c r="J98" i="51"/>
  <c r="H98" i="51"/>
  <c r="F98" i="51"/>
  <c r="D98" i="51"/>
  <c r="AC97" i="51"/>
  <c r="AB97" i="51"/>
  <c r="W97" i="51"/>
  <c r="N97" i="51"/>
  <c r="L97" i="51"/>
  <c r="H97" i="51"/>
  <c r="F97" i="51"/>
  <c r="D97" i="51"/>
  <c r="AC96" i="51"/>
  <c r="AB96" i="51"/>
  <c r="W96" i="51"/>
  <c r="N96" i="51"/>
  <c r="L96" i="51"/>
  <c r="J96" i="51"/>
  <c r="H96" i="51"/>
  <c r="F96" i="51"/>
  <c r="D96" i="51"/>
  <c r="AC95" i="51"/>
  <c r="AB95" i="51"/>
  <c r="W95" i="51"/>
  <c r="N95" i="51"/>
  <c r="L95" i="51"/>
  <c r="H95" i="51"/>
  <c r="F95" i="51"/>
  <c r="D95" i="51"/>
  <c r="AC94" i="51"/>
  <c r="AB94" i="51"/>
  <c r="W94" i="51"/>
  <c r="N94" i="51"/>
  <c r="L94" i="51"/>
  <c r="H94" i="51"/>
  <c r="F94" i="51"/>
  <c r="D94" i="51"/>
  <c r="AC93" i="51"/>
  <c r="AB93" i="51"/>
  <c r="W93" i="51"/>
  <c r="J201" i="51" s="1"/>
  <c r="N93" i="51"/>
  <c r="L93" i="51"/>
  <c r="J93" i="51"/>
  <c r="H93" i="51"/>
  <c r="F93" i="51"/>
  <c r="D93" i="51"/>
  <c r="AC92" i="51"/>
  <c r="AB92" i="51"/>
  <c r="W92" i="51"/>
  <c r="N92" i="51"/>
  <c r="L92" i="51"/>
  <c r="J92" i="51"/>
  <c r="H92" i="51"/>
  <c r="F92" i="51"/>
  <c r="D92" i="51"/>
  <c r="AC91" i="51"/>
  <c r="AB91" i="51"/>
  <c r="W91" i="51"/>
  <c r="N91" i="51"/>
  <c r="L91" i="51"/>
  <c r="J91" i="51"/>
  <c r="H91" i="51"/>
  <c r="F91" i="51"/>
  <c r="D91" i="51"/>
  <c r="AC90" i="51"/>
  <c r="AB90" i="51"/>
  <c r="W90" i="51"/>
  <c r="N90" i="51"/>
  <c r="L90" i="51"/>
  <c r="H90" i="51"/>
  <c r="F90" i="51"/>
  <c r="D90" i="51"/>
  <c r="AC89" i="51"/>
  <c r="AB89" i="51"/>
  <c r="W89" i="51"/>
  <c r="N89" i="51"/>
  <c r="L89" i="51"/>
  <c r="J89" i="51"/>
  <c r="H89" i="51"/>
  <c r="F89" i="51"/>
  <c r="D89" i="51"/>
  <c r="AC88" i="51"/>
  <c r="AB88" i="51"/>
  <c r="W88" i="51"/>
  <c r="N88" i="51"/>
  <c r="L88" i="51"/>
  <c r="H88" i="51"/>
  <c r="F88" i="51"/>
  <c r="D88" i="51"/>
  <c r="AC87" i="51"/>
  <c r="AB87" i="51"/>
  <c r="W87" i="51"/>
  <c r="N87" i="51"/>
  <c r="L87" i="51"/>
  <c r="H87" i="51"/>
  <c r="F87" i="51"/>
  <c r="D87" i="51"/>
  <c r="AC86" i="51"/>
  <c r="AB86" i="51"/>
  <c r="W86" i="51"/>
  <c r="N86" i="51"/>
  <c r="L86" i="51"/>
  <c r="J86" i="51"/>
  <c r="H86" i="51"/>
  <c r="F86" i="51"/>
  <c r="D86" i="51"/>
  <c r="AC85" i="51"/>
  <c r="AB85" i="51"/>
  <c r="W85" i="51"/>
  <c r="N85" i="51"/>
  <c r="L85" i="51"/>
  <c r="H85" i="51"/>
  <c r="F85" i="51"/>
  <c r="D85" i="51"/>
  <c r="AC84" i="51"/>
  <c r="AB84" i="51"/>
  <c r="W84" i="51"/>
  <c r="N84" i="51"/>
  <c r="L84" i="51"/>
  <c r="J84" i="51"/>
  <c r="H84" i="51"/>
  <c r="F84" i="51"/>
  <c r="D84" i="51"/>
  <c r="AC83" i="51"/>
  <c r="AB83" i="51"/>
  <c r="W83" i="51"/>
  <c r="N83" i="51"/>
  <c r="L83" i="51"/>
  <c r="H83" i="51"/>
  <c r="F83" i="51"/>
  <c r="D83" i="51"/>
  <c r="AC82" i="51"/>
  <c r="AB82" i="51"/>
  <c r="W82" i="51"/>
  <c r="N82" i="51"/>
  <c r="L82" i="51"/>
  <c r="J82" i="51"/>
  <c r="H82" i="51"/>
  <c r="F82" i="51"/>
  <c r="D82" i="51"/>
  <c r="AC81" i="51"/>
  <c r="AB81" i="51"/>
  <c r="W81" i="51"/>
  <c r="N81" i="51"/>
  <c r="L81" i="51"/>
  <c r="J81" i="51"/>
  <c r="H81" i="51"/>
  <c r="F81" i="51"/>
  <c r="D81" i="51"/>
  <c r="AC80" i="51"/>
  <c r="AB80" i="51"/>
  <c r="W80" i="51"/>
  <c r="N80" i="51"/>
  <c r="L80" i="51"/>
  <c r="J80" i="51"/>
  <c r="H80" i="51"/>
  <c r="F80" i="51"/>
  <c r="D80" i="51"/>
  <c r="AC79" i="51"/>
  <c r="AB79" i="51"/>
  <c r="W79" i="51"/>
  <c r="N79" i="51"/>
  <c r="L79" i="51"/>
  <c r="J79" i="51"/>
  <c r="H79" i="51"/>
  <c r="F79" i="51"/>
  <c r="D79" i="51"/>
  <c r="AC78" i="51"/>
  <c r="AB78" i="51"/>
  <c r="W78" i="51"/>
  <c r="N78" i="51"/>
  <c r="L78" i="51"/>
  <c r="H78" i="51"/>
  <c r="F78" i="51"/>
  <c r="D78" i="51"/>
  <c r="AC77" i="51"/>
  <c r="AB77" i="51"/>
  <c r="W77" i="51"/>
  <c r="N77" i="51"/>
  <c r="L77" i="51"/>
  <c r="J77" i="51"/>
  <c r="H77" i="51"/>
  <c r="F77" i="51"/>
  <c r="D77" i="51"/>
  <c r="AC76" i="51"/>
  <c r="AB76" i="51"/>
  <c r="W76" i="51"/>
  <c r="N76" i="51"/>
  <c r="L76" i="51"/>
  <c r="H76" i="51"/>
  <c r="F76" i="51"/>
  <c r="D76" i="51"/>
  <c r="AC75" i="51"/>
  <c r="AB75" i="51"/>
  <c r="W75" i="51"/>
  <c r="N75" i="51"/>
  <c r="L75" i="51"/>
  <c r="J75" i="51"/>
  <c r="H75" i="51"/>
  <c r="F75" i="51"/>
  <c r="D75" i="51"/>
  <c r="AC74" i="51"/>
  <c r="AB74" i="51"/>
  <c r="W74" i="51"/>
  <c r="N74" i="51"/>
  <c r="L74" i="51"/>
  <c r="H74" i="51"/>
  <c r="F74" i="51"/>
  <c r="D74" i="51"/>
  <c r="AC73" i="51"/>
  <c r="AB73" i="51"/>
  <c r="W73" i="51"/>
  <c r="N73" i="51"/>
  <c r="L73" i="51"/>
  <c r="H73" i="51"/>
  <c r="F73" i="51"/>
  <c r="D73" i="51"/>
  <c r="AC72" i="51"/>
  <c r="AB72" i="51"/>
  <c r="W72" i="51"/>
  <c r="N72" i="51"/>
  <c r="L72" i="51"/>
  <c r="J72" i="51"/>
  <c r="H72" i="51"/>
  <c r="F72" i="51"/>
  <c r="D72" i="51"/>
  <c r="AC71" i="51"/>
  <c r="AB71" i="51"/>
  <c r="W71" i="51"/>
  <c r="J119" i="51" s="1"/>
  <c r="N71" i="51"/>
  <c r="L71" i="51"/>
  <c r="H71" i="51"/>
  <c r="F71" i="51"/>
  <c r="D71" i="51"/>
  <c r="AC70" i="51"/>
  <c r="AB70" i="51"/>
  <c r="W70" i="51"/>
  <c r="N70" i="51"/>
  <c r="L70" i="51"/>
  <c r="H70" i="51"/>
  <c r="F70" i="51"/>
  <c r="D70" i="51"/>
  <c r="AC69" i="51"/>
  <c r="AB69" i="51"/>
  <c r="N69" i="51"/>
  <c r="L69" i="51"/>
  <c r="J69" i="51"/>
  <c r="H69" i="51"/>
  <c r="F69" i="51"/>
  <c r="D69" i="51"/>
  <c r="AC68" i="51"/>
  <c r="AB68" i="51"/>
  <c r="N68" i="51"/>
  <c r="L68" i="51"/>
  <c r="J68" i="51"/>
  <c r="H68" i="51"/>
  <c r="F68" i="51"/>
  <c r="D68" i="51"/>
  <c r="AC67" i="51"/>
  <c r="AB67" i="51"/>
  <c r="N67" i="51"/>
  <c r="L67" i="51"/>
  <c r="J67" i="51"/>
  <c r="H67" i="51"/>
  <c r="F67" i="51"/>
  <c r="D67" i="51"/>
  <c r="AC66" i="51"/>
  <c r="AB66" i="51"/>
  <c r="N66" i="51"/>
  <c r="L66" i="51"/>
  <c r="H66" i="51"/>
  <c r="F66" i="51"/>
  <c r="D66" i="51"/>
  <c r="AC65" i="51"/>
  <c r="AB65" i="51"/>
  <c r="N65" i="51"/>
  <c r="L65" i="51"/>
  <c r="J65" i="51"/>
  <c r="H65" i="51"/>
  <c r="F65" i="51"/>
  <c r="D65" i="51"/>
  <c r="AC64" i="51"/>
  <c r="AB64" i="51"/>
  <c r="N64" i="51"/>
  <c r="L64" i="51"/>
  <c r="H64" i="51"/>
  <c r="F64" i="51"/>
  <c r="D64" i="51"/>
  <c r="AC63" i="51"/>
  <c r="AB63" i="51"/>
  <c r="N63" i="51"/>
  <c r="L63" i="51"/>
  <c r="J63" i="51"/>
  <c r="H63" i="51"/>
  <c r="F63" i="51"/>
  <c r="D63" i="51"/>
  <c r="AC62" i="51"/>
  <c r="AB62" i="51"/>
  <c r="N62" i="51"/>
  <c r="L62" i="51"/>
  <c r="J62" i="51"/>
  <c r="H62" i="51"/>
  <c r="F62" i="51"/>
  <c r="D62" i="51"/>
  <c r="AC61" i="51"/>
  <c r="AB61" i="51"/>
  <c r="N61" i="51"/>
  <c r="L61" i="51"/>
  <c r="J61" i="51"/>
  <c r="H61" i="51"/>
  <c r="F61" i="51"/>
  <c r="D61" i="51"/>
  <c r="AC60" i="51"/>
  <c r="AB60" i="51"/>
  <c r="N60" i="51"/>
  <c r="L60" i="51"/>
  <c r="H60" i="51"/>
  <c r="F60" i="51"/>
  <c r="D60" i="51"/>
  <c r="AC59" i="51"/>
  <c r="AB59" i="51"/>
  <c r="N59" i="51"/>
  <c r="L59" i="51"/>
  <c r="J59" i="51"/>
  <c r="H59" i="51"/>
  <c r="F59" i="51"/>
  <c r="D59" i="51"/>
  <c r="AC58" i="51"/>
  <c r="AB58" i="51"/>
  <c r="N58" i="51"/>
  <c r="L58" i="51"/>
  <c r="H58" i="51"/>
  <c r="F58" i="51"/>
  <c r="D58" i="51"/>
  <c r="AC57" i="51"/>
  <c r="AB57" i="51"/>
  <c r="N57" i="51"/>
  <c r="L57" i="51"/>
  <c r="J57" i="51"/>
  <c r="H57" i="51"/>
  <c r="F57" i="51"/>
  <c r="D57" i="51"/>
  <c r="AC56" i="51"/>
  <c r="AB56" i="51"/>
  <c r="N56" i="51"/>
  <c r="L56" i="51"/>
  <c r="H56" i="51"/>
  <c r="F56" i="51"/>
  <c r="D56" i="51"/>
  <c r="AC55" i="51"/>
  <c r="AB55" i="51"/>
  <c r="N55" i="51"/>
  <c r="L55" i="51"/>
  <c r="J55" i="51"/>
  <c r="H55" i="51"/>
  <c r="F55" i="51"/>
  <c r="D55" i="51"/>
  <c r="AC54" i="51"/>
  <c r="AB54" i="51"/>
  <c r="N54" i="51"/>
  <c r="L54" i="51"/>
  <c r="H54" i="51"/>
  <c r="F54" i="51"/>
  <c r="D54" i="51"/>
  <c r="AC53" i="51"/>
  <c r="AB53" i="51"/>
  <c r="N53" i="51"/>
  <c r="L53" i="51"/>
  <c r="J53" i="51"/>
  <c r="H53" i="51"/>
  <c r="F53" i="51"/>
  <c r="D53" i="51"/>
  <c r="AC52" i="51"/>
  <c r="AB52" i="51"/>
  <c r="N52" i="51"/>
  <c r="L52" i="51"/>
  <c r="J52" i="51"/>
  <c r="H52" i="51"/>
  <c r="F52" i="51"/>
  <c r="D52" i="51"/>
  <c r="AC51" i="51"/>
  <c r="AB51" i="51"/>
  <c r="N51" i="51"/>
  <c r="L51" i="51"/>
  <c r="H51" i="51"/>
  <c r="F51" i="51"/>
  <c r="D51" i="51"/>
  <c r="AC50" i="51"/>
  <c r="AB50" i="51"/>
  <c r="N50" i="51"/>
  <c r="L50" i="51"/>
  <c r="H50" i="51"/>
  <c r="F50" i="51"/>
  <c r="D50" i="51"/>
  <c r="AC49" i="51"/>
  <c r="AB49" i="51"/>
  <c r="N49" i="51"/>
  <c r="L49" i="51"/>
  <c r="H49" i="51"/>
  <c r="F49" i="51"/>
  <c r="D49" i="51"/>
  <c r="AC48" i="51"/>
  <c r="AB48" i="51"/>
  <c r="N48" i="51"/>
  <c r="L48" i="51"/>
  <c r="J48" i="51"/>
  <c r="H48" i="51"/>
  <c r="F48" i="51"/>
  <c r="D48" i="51"/>
  <c r="AC47" i="51"/>
  <c r="AB47" i="51"/>
  <c r="N47" i="51"/>
  <c r="L47" i="51"/>
  <c r="J47" i="51"/>
  <c r="H47" i="51"/>
  <c r="F47" i="51"/>
  <c r="D47" i="51"/>
  <c r="AC46" i="51"/>
  <c r="AB46" i="51"/>
  <c r="N46" i="51"/>
  <c r="L46" i="51"/>
  <c r="J46" i="51"/>
  <c r="H46" i="51"/>
  <c r="F46" i="51"/>
  <c r="D46" i="51"/>
  <c r="AC45" i="51"/>
  <c r="AB45" i="51"/>
  <c r="N45" i="51"/>
  <c r="L45" i="51"/>
  <c r="J45" i="51"/>
  <c r="H45" i="51"/>
  <c r="D45" i="51"/>
  <c r="AC44" i="51"/>
  <c r="AB44" i="51"/>
  <c r="N44" i="51"/>
  <c r="L44" i="51"/>
  <c r="H44" i="51"/>
  <c r="F44" i="51"/>
  <c r="D44" i="51"/>
  <c r="AC43" i="51"/>
  <c r="AB43" i="51"/>
  <c r="N43" i="51"/>
  <c r="L43" i="51"/>
  <c r="H43" i="51"/>
  <c r="F43" i="51"/>
  <c r="D43" i="51"/>
  <c r="AC42" i="51"/>
  <c r="AB42" i="51"/>
  <c r="N42" i="51"/>
  <c r="L42" i="51"/>
  <c r="J42" i="51"/>
  <c r="H42" i="51"/>
  <c r="F42" i="51"/>
  <c r="D42" i="51"/>
  <c r="AC41" i="51"/>
  <c r="AB41" i="51"/>
  <c r="N41" i="51"/>
  <c r="L41" i="51"/>
  <c r="J41" i="51"/>
  <c r="H41" i="51"/>
  <c r="F41" i="51"/>
  <c r="D41" i="51"/>
  <c r="AC40" i="51"/>
  <c r="AB40" i="51"/>
  <c r="N40" i="51"/>
  <c r="L40" i="51"/>
  <c r="J40" i="51"/>
  <c r="H40" i="51"/>
  <c r="F40" i="51"/>
  <c r="D40" i="51"/>
  <c r="AC39" i="51"/>
  <c r="AB39" i="51"/>
  <c r="N39" i="51"/>
  <c r="L39" i="51"/>
  <c r="H39" i="51"/>
  <c r="D39" i="51"/>
  <c r="AC38" i="51"/>
  <c r="AB38" i="51"/>
  <c r="N38" i="51"/>
  <c r="L38" i="51"/>
  <c r="J38" i="51"/>
  <c r="H38" i="51"/>
  <c r="F38" i="51"/>
  <c r="D38" i="51"/>
  <c r="AC37" i="51"/>
  <c r="AB37" i="51"/>
  <c r="N37" i="51"/>
  <c r="L37" i="51"/>
  <c r="J37" i="51"/>
  <c r="H37" i="51"/>
  <c r="F37" i="51"/>
  <c r="D37" i="51"/>
  <c r="AC36" i="51"/>
  <c r="AB36" i="51"/>
  <c r="N36" i="51"/>
  <c r="L36" i="51"/>
  <c r="J36" i="51"/>
  <c r="H36" i="51"/>
  <c r="F36" i="51"/>
  <c r="D36" i="51"/>
  <c r="AC35" i="51"/>
  <c r="AB35" i="51"/>
  <c r="N35" i="51"/>
  <c r="L35" i="51"/>
  <c r="H35" i="51"/>
  <c r="F35" i="51"/>
  <c r="D35" i="51"/>
  <c r="AC34" i="51"/>
  <c r="AB34" i="51"/>
  <c r="N34" i="51"/>
  <c r="L34" i="51"/>
  <c r="H34" i="51"/>
  <c r="F34" i="51"/>
  <c r="D34" i="51"/>
  <c r="AC33" i="51"/>
  <c r="AB33" i="51"/>
  <c r="N33" i="51"/>
  <c r="L33" i="51"/>
  <c r="H33" i="51"/>
  <c r="F33" i="51"/>
  <c r="D33" i="51"/>
  <c r="AC32" i="51"/>
  <c r="AB32" i="51"/>
  <c r="N32" i="51"/>
  <c r="L32" i="51"/>
  <c r="J32" i="51"/>
  <c r="H32" i="51"/>
  <c r="F32" i="51"/>
  <c r="D32" i="51"/>
  <c r="AC31" i="51"/>
  <c r="AB31" i="51"/>
  <c r="N31" i="51"/>
  <c r="L31" i="51"/>
  <c r="H31" i="51"/>
  <c r="D31" i="51"/>
  <c r="AC30" i="51"/>
  <c r="AB30" i="51"/>
  <c r="N30" i="51"/>
  <c r="L30" i="51"/>
  <c r="J30" i="51"/>
  <c r="H30" i="51"/>
  <c r="F30" i="51"/>
  <c r="D30" i="51"/>
  <c r="AC29" i="51"/>
  <c r="AB29" i="51"/>
  <c r="N29" i="51"/>
  <c r="L29" i="51"/>
  <c r="J29" i="51"/>
  <c r="H29" i="51"/>
  <c r="D29" i="51"/>
  <c r="AC28" i="51"/>
  <c r="AB28" i="51"/>
  <c r="N28" i="51"/>
  <c r="L28" i="51"/>
  <c r="H28" i="51"/>
  <c r="D28" i="51"/>
  <c r="AC27" i="51"/>
  <c r="AB27" i="51"/>
  <c r="T27" i="51"/>
  <c r="N27" i="51"/>
  <c r="L27" i="51"/>
  <c r="H27" i="51"/>
  <c r="D27" i="51"/>
  <c r="AC26" i="51"/>
  <c r="AB26" i="51"/>
  <c r="T26" i="51"/>
  <c r="N26" i="51"/>
  <c r="L26" i="51"/>
  <c r="H26" i="51"/>
  <c r="F26" i="51"/>
  <c r="D26" i="51"/>
  <c r="AC25" i="51"/>
  <c r="AB25" i="51"/>
  <c r="T25" i="51"/>
  <c r="N25" i="51"/>
  <c r="L25" i="51"/>
  <c r="H25" i="51"/>
  <c r="D25" i="51"/>
  <c r="AC24" i="51"/>
  <c r="AB24" i="51"/>
  <c r="T24" i="51"/>
  <c r="N24" i="51"/>
  <c r="L24" i="51"/>
  <c r="J24" i="51"/>
  <c r="H24" i="51"/>
  <c r="D24" i="51"/>
  <c r="AC23" i="51"/>
  <c r="AB23" i="51"/>
  <c r="T23" i="51"/>
  <c r="N23" i="51"/>
  <c r="L23" i="51"/>
  <c r="H23" i="51"/>
  <c r="D23" i="51"/>
  <c r="AC22" i="51"/>
  <c r="AB22" i="51"/>
  <c r="T22" i="51"/>
  <c r="N22" i="51"/>
  <c r="L22" i="51"/>
  <c r="J22" i="51"/>
  <c r="H22" i="51"/>
  <c r="F22" i="51"/>
  <c r="D22" i="51"/>
  <c r="AC21" i="51"/>
  <c r="AB21" i="51"/>
  <c r="T21" i="51"/>
  <c r="N21" i="51"/>
  <c r="L21" i="51"/>
  <c r="J21" i="51"/>
  <c r="H21" i="51"/>
  <c r="D21" i="51"/>
  <c r="AC20" i="51"/>
  <c r="AB20" i="51"/>
  <c r="T20" i="51"/>
  <c r="N20" i="51"/>
  <c r="L20" i="51"/>
  <c r="H20" i="51"/>
  <c r="D20" i="51"/>
  <c r="AC19" i="51"/>
  <c r="AB19" i="51"/>
  <c r="T19" i="51"/>
  <c r="N19" i="51"/>
  <c r="L19" i="51"/>
  <c r="H19" i="51"/>
  <c r="D19" i="51"/>
  <c r="AC18" i="51"/>
  <c r="AB18" i="51"/>
  <c r="T18" i="51"/>
  <c r="N18" i="51"/>
  <c r="L18" i="51"/>
  <c r="J18" i="51"/>
  <c r="H18" i="51"/>
  <c r="F18" i="51"/>
  <c r="D18" i="51"/>
  <c r="AC17" i="51"/>
  <c r="AB17" i="51"/>
  <c r="T17" i="51"/>
  <c r="N17" i="51"/>
  <c r="L17" i="51"/>
  <c r="J17" i="51"/>
  <c r="H17" i="51"/>
  <c r="F17" i="51"/>
  <c r="D17" i="51"/>
  <c r="AC16" i="51"/>
  <c r="AB16" i="51"/>
  <c r="T16" i="51"/>
  <c r="N16" i="51"/>
  <c r="L16" i="51"/>
  <c r="H16" i="51"/>
  <c r="D16" i="51"/>
  <c r="AC15" i="51"/>
  <c r="AB15" i="51"/>
  <c r="T15" i="51"/>
  <c r="N15" i="51"/>
  <c r="L15" i="51"/>
  <c r="H15" i="51"/>
  <c r="D15" i="51"/>
  <c r="AC14" i="51"/>
  <c r="AB14" i="51"/>
  <c r="T14" i="51"/>
  <c r="N14" i="51"/>
  <c r="L14" i="51"/>
  <c r="J14" i="51"/>
  <c r="H14" i="51"/>
  <c r="D14" i="51"/>
  <c r="AC13" i="51"/>
  <c r="AB13" i="51"/>
  <c r="N13" i="51"/>
  <c r="L13" i="51"/>
  <c r="H13" i="51"/>
  <c r="D13" i="51"/>
  <c r="AC12" i="51"/>
  <c r="AB12" i="51"/>
  <c r="N12" i="51"/>
  <c r="L12" i="51"/>
  <c r="J12" i="51"/>
  <c r="H12" i="51"/>
  <c r="F12" i="51"/>
  <c r="D12" i="51"/>
  <c r="AC11" i="51"/>
  <c r="AB11" i="51"/>
  <c r="N11" i="51"/>
  <c r="L11" i="51"/>
  <c r="H11" i="51"/>
  <c r="D11" i="51"/>
  <c r="AC10" i="51"/>
  <c r="AB10" i="51"/>
  <c r="N10" i="51"/>
  <c r="L10" i="51"/>
  <c r="J10" i="51"/>
  <c r="H10" i="51"/>
  <c r="F10" i="51"/>
  <c r="D10" i="51"/>
  <c r="AC9" i="51"/>
  <c r="AB9" i="51"/>
  <c r="N9" i="51"/>
  <c r="L9" i="51"/>
  <c r="J9" i="51"/>
  <c r="H9" i="51"/>
  <c r="D9" i="51"/>
  <c r="AC8" i="51"/>
  <c r="AB8" i="51"/>
  <c r="N8" i="51"/>
  <c r="L8" i="51"/>
  <c r="J8" i="51"/>
  <c r="H8" i="51"/>
  <c r="F8" i="51"/>
  <c r="D8" i="51"/>
  <c r="AC7" i="51"/>
  <c r="AB7" i="51"/>
  <c r="N7" i="51"/>
  <c r="L7" i="51"/>
  <c r="J7" i="51"/>
  <c r="H7" i="51"/>
  <c r="F7" i="51"/>
  <c r="D7" i="51"/>
  <c r="AC6" i="51"/>
  <c r="AB6" i="51"/>
  <c r="N6" i="51"/>
  <c r="L6" i="51"/>
  <c r="J6" i="51"/>
  <c r="H6" i="51"/>
  <c r="F6" i="51"/>
  <c r="D6" i="51"/>
  <c r="AC5" i="51"/>
  <c r="AB5" i="51"/>
  <c r="L5" i="51"/>
  <c r="J5" i="51"/>
  <c r="H5" i="51"/>
  <c r="F5" i="51"/>
  <c r="D5" i="51"/>
  <c r="AC4" i="51"/>
  <c r="AB4" i="51"/>
  <c r="N4" i="51"/>
  <c r="L4" i="51"/>
  <c r="J4" i="51"/>
  <c r="H4" i="51"/>
  <c r="F4" i="51"/>
  <c r="D4" i="51"/>
  <c r="AC3" i="51"/>
  <c r="AB3" i="51"/>
  <c r="N3" i="51"/>
  <c r="L3" i="51"/>
  <c r="J3" i="51"/>
  <c r="H3" i="51"/>
  <c r="D3" i="51"/>
  <c r="M276" i="41"/>
  <c r="F276" i="41"/>
  <c r="N276" i="41" s="1"/>
  <c r="E276" i="41"/>
  <c r="D276" i="41"/>
  <c r="C276" i="41"/>
  <c r="I276" i="41" s="1"/>
  <c r="N275" i="41"/>
  <c r="F275" i="41"/>
  <c r="E275" i="41"/>
  <c r="D275" i="41"/>
  <c r="C275" i="41"/>
  <c r="F274" i="41"/>
  <c r="E274" i="41"/>
  <c r="K274" i="41" s="1"/>
  <c r="D274" i="41"/>
  <c r="C274" i="41"/>
  <c r="F273" i="41"/>
  <c r="N273" i="41" s="1"/>
  <c r="E273" i="41"/>
  <c r="K273" i="41" s="1"/>
  <c r="D273" i="41"/>
  <c r="C273" i="41"/>
  <c r="I273" i="41" s="1"/>
  <c r="L273" i="41" s="1"/>
  <c r="N272" i="41"/>
  <c r="K272" i="41"/>
  <c r="I272" i="41"/>
  <c r="E272" i="41"/>
  <c r="D272" i="41"/>
  <c r="C272" i="41"/>
  <c r="M272" i="41" s="1"/>
  <c r="H270" i="41"/>
  <c r="H269" i="41"/>
  <c r="H268" i="41"/>
  <c r="H267" i="41"/>
  <c r="H266" i="41"/>
  <c r="O262" i="41"/>
  <c r="M262" i="41"/>
  <c r="I262" i="41"/>
  <c r="E262" i="41"/>
  <c r="G262" i="41" s="1"/>
  <c r="O261" i="41"/>
  <c r="M261" i="41"/>
  <c r="I261" i="41"/>
  <c r="E261" i="41"/>
  <c r="G261" i="41" s="1"/>
  <c r="O260" i="41"/>
  <c r="M260" i="41"/>
  <c r="I260" i="41"/>
  <c r="G260" i="41"/>
  <c r="E260" i="41"/>
  <c r="M259" i="41"/>
  <c r="O259" i="41" s="1"/>
  <c r="I259" i="41"/>
  <c r="G259" i="41"/>
  <c r="E259" i="41"/>
  <c r="O258" i="41"/>
  <c r="M258" i="41"/>
  <c r="I258" i="41"/>
  <c r="E258" i="41"/>
  <c r="G258" i="41" s="1"/>
  <c r="O257" i="41"/>
  <c r="M257" i="41"/>
  <c r="I257" i="41"/>
  <c r="G257" i="41"/>
  <c r="E257" i="41"/>
  <c r="O256" i="41"/>
  <c r="M256" i="41"/>
  <c r="I256" i="41"/>
  <c r="G256" i="41"/>
  <c r="E256" i="41"/>
  <c r="M255" i="41"/>
  <c r="O255" i="41" s="1"/>
  <c r="I255" i="41"/>
  <c r="G255" i="41"/>
  <c r="E255" i="41"/>
  <c r="O254" i="41"/>
  <c r="M254" i="41"/>
  <c r="I254" i="41"/>
  <c r="E254" i="41"/>
  <c r="G254" i="41" s="1"/>
  <c r="O253" i="41"/>
  <c r="M253" i="41"/>
  <c r="I253" i="41"/>
  <c r="E253" i="41"/>
  <c r="G253" i="41" s="1"/>
  <c r="O252" i="41"/>
  <c r="M252" i="41"/>
  <c r="I252" i="41"/>
  <c r="E252" i="41"/>
  <c r="G252" i="41" s="1"/>
  <c r="M251" i="41"/>
  <c r="O251" i="41" s="1"/>
  <c r="I251" i="41"/>
  <c r="G251" i="41"/>
  <c r="E251" i="41"/>
  <c r="D243" i="41"/>
  <c r="D242" i="41"/>
  <c r="D241" i="41"/>
  <c r="D240" i="41"/>
  <c r="I236" i="41"/>
  <c r="D236" i="41"/>
  <c r="I235" i="41"/>
  <c r="D235" i="41"/>
  <c r="I234" i="41"/>
  <c r="D234" i="41"/>
  <c r="I233" i="41"/>
  <c r="D233" i="41"/>
  <c r="I232" i="41"/>
  <c r="D232" i="41"/>
  <c r="I231" i="41"/>
  <c r="D231" i="41"/>
  <c r="I230" i="41"/>
  <c r="D230" i="41"/>
  <c r="I229" i="41"/>
  <c r="D229" i="41"/>
  <c r="I228" i="41"/>
  <c r="D228" i="41"/>
  <c r="I227" i="41"/>
  <c r="G227" i="41"/>
  <c r="D227" i="41"/>
  <c r="I226" i="41"/>
  <c r="G226" i="41"/>
  <c r="D226" i="41"/>
  <c r="G225" i="41"/>
  <c r="D225" i="41"/>
  <c r="I225" i="41" s="1"/>
  <c r="L219" i="41"/>
  <c r="K219" i="41"/>
  <c r="N217" i="41" s="1"/>
  <c r="N218" i="41" s="1"/>
  <c r="E219" i="41"/>
  <c r="I219" i="41" s="1"/>
  <c r="C221" i="41" s="1"/>
  <c r="C219" i="41"/>
  <c r="J219" i="41" s="1"/>
  <c r="L218" i="41"/>
  <c r="K218" i="41"/>
  <c r="I218" i="41"/>
  <c r="E218" i="41"/>
  <c r="C218" i="41"/>
  <c r="J218" i="41" s="1"/>
  <c r="M217" i="41"/>
  <c r="M218" i="41" s="1"/>
  <c r="L217" i="41"/>
  <c r="K217" i="41"/>
  <c r="J217" i="41"/>
  <c r="I217" i="41"/>
  <c r="E217" i="41"/>
  <c r="C217" i="41"/>
  <c r="C207" i="41"/>
  <c r="L180" i="41" s="1"/>
  <c r="M180" i="41" s="1"/>
  <c r="G203" i="41"/>
  <c r="F203" i="41"/>
  <c r="E203" i="41"/>
  <c r="D203" i="41"/>
  <c r="C208" i="41" s="1"/>
  <c r="G202" i="41"/>
  <c r="E202" i="41"/>
  <c r="F202" i="41" s="1"/>
  <c r="D202" i="41"/>
  <c r="G201" i="41"/>
  <c r="F201" i="41"/>
  <c r="E201" i="41"/>
  <c r="D201" i="41"/>
  <c r="C206" i="41" s="1"/>
  <c r="G200" i="41"/>
  <c r="F200" i="41"/>
  <c r="E200" i="41"/>
  <c r="D200" i="41"/>
  <c r="G199" i="41"/>
  <c r="F199" i="41"/>
  <c r="E199" i="41"/>
  <c r="D199" i="41"/>
  <c r="I198" i="41"/>
  <c r="H198" i="41"/>
  <c r="G198" i="41"/>
  <c r="E198" i="41"/>
  <c r="F198" i="41" s="1"/>
  <c r="D198" i="41"/>
  <c r="E194" i="41"/>
  <c r="D194" i="41"/>
  <c r="C194" i="41"/>
  <c r="B194" i="41"/>
  <c r="E193" i="41"/>
  <c r="D193" i="41"/>
  <c r="C193" i="41"/>
  <c r="B193" i="41"/>
  <c r="E192" i="41"/>
  <c r="D192" i="41"/>
  <c r="C192" i="41"/>
  <c r="B192" i="41"/>
  <c r="E191" i="41"/>
  <c r="D191" i="41"/>
  <c r="C191" i="41"/>
  <c r="B191" i="41"/>
  <c r="E190" i="41"/>
  <c r="D190" i="41"/>
  <c r="C190" i="41"/>
  <c r="B190" i="41"/>
  <c r="E189" i="41"/>
  <c r="D189" i="41"/>
  <c r="C189" i="41"/>
  <c r="B189" i="41"/>
  <c r="E188" i="41"/>
  <c r="D188" i="41"/>
  <c r="C188" i="41"/>
  <c r="B188" i="41"/>
  <c r="L185" i="41"/>
  <c r="M185" i="41" s="1"/>
  <c r="L184" i="41"/>
  <c r="M184" i="41" s="1"/>
  <c r="L181" i="41"/>
  <c r="M181" i="41" s="1"/>
  <c r="C153" i="41"/>
  <c r="F149" i="41"/>
  <c r="E149" i="41"/>
  <c r="F148" i="41"/>
  <c r="E148" i="41"/>
  <c r="F147" i="41"/>
  <c r="E147" i="41"/>
  <c r="E146" i="41"/>
  <c r="E145" i="41"/>
  <c r="E144" i="41"/>
  <c r="E143" i="41"/>
  <c r="E142" i="41"/>
  <c r="F141" i="41"/>
  <c r="E141" i="41"/>
  <c r="E140" i="41"/>
  <c r="E139" i="41"/>
  <c r="E138" i="41"/>
  <c r="E137" i="41"/>
  <c r="E136" i="41"/>
  <c r="E135" i="41"/>
  <c r="F134" i="41"/>
  <c r="E134" i="41"/>
  <c r="E133" i="41"/>
  <c r="E132" i="41"/>
  <c r="F131" i="41"/>
  <c r="E131" i="41"/>
  <c r="E130" i="41"/>
  <c r="E129" i="41"/>
  <c r="E128" i="41"/>
  <c r="F127" i="41"/>
  <c r="E127" i="41"/>
  <c r="E126" i="41"/>
  <c r="E125" i="41"/>
  <c r="E124" i="41"/>
  <c r="F123" i="41"/>
  <c r="E123" i="41"/>
  <c r="E122" i="41"/>
  <c r="C118" i="41"/>
  <c r="E114" i="41"/>
  <c r="E113" i="41"/>
  <c r="E112" i="41"/>
  <c r="E111" i="41"/>
  <c r="E110" i="41"/>
  <c r="F109" i="41"/>
  <c r="E109" i="41"/>
  <c r="E108" i="41"/>
  <c r="K102" i="41"/>
  <c r="L102" i="41" s="1"/>
  <c r="C102" i="41"/>
  <c r="E102" i="41" s="1"/>
  <c r="G102" i="41" s="1"/>
  <c r="K101" i="41"/>
  <c r="L101" i="41" s="1"/>
  <c r="I101" i="41"/>
  <c r="E101" i="41"/>
  <c r="G101" i="41" s="1"/>
  <c r="C101" i="41"/>
  <c r="K100" i="41"/>
  <c r="L100" i="41" s="1"/>
  <c r="G100" i="41"/>
  <c r="E100" i="41"/>
  <c r="C100" i="41"/>
  <c r="K99" i="41"/>
  <c r="L99" i="41" s="1"/>
  <c r="C99" i="41"/>
  <c r="E99" i="41" s="1"/>
  <c r="G99" i="41" s="1"/>
  <c r="K98" i="41"/>
  <c r="L98" i="41" s="1"/>
  <c r="C98" i="41"/>
  <c r="E98" i="41" s="1"/>
  <c r="G98" i="41" s="1"/>
  <c r="K97" i="41"/>
  <c r="L97" i="41" s="1"/>
  <c r="I97" i="41"/>
  <c r="E97" i="41"/>
  <c r="G97" i="41" s="1"/>
  <c r="C97" i="41"/>
  <c r="K96" i="41"/>
  <c r="L96" i="41" s="1"/>
  <c r="G96" i="41"/>
  <c r="E96" i="41"/>
  <c r="C96" i="41"/>
  <c r="K95" i="41"/>
  <c r="L95" i="41" s="1"/>
  <c r="C95" i="41"/>
  <c r="E95" i="41" s="1"/>
  <c r="G95" i="41" s="1"/>
  <c r="K94" i="41"/>
  <c r="L94" i="41" s="1"/>
  <c r="C94" i="41"/>
  <c r="E94" i="41" s="1"/>
  <c r="G94" i="41" s="1"/>
  <c r="K93" i="41"/>
  <c r="L93" i="41" s="1"/>
  <c r="I93" i="41"/>
  <c r="E93" i="41"/>
  <c r="G93" i="41" s="1"/>
  <c r="C93" i="41"/>
  <c r="K92" i="41"/>
  <c r="L92" i="41" s="1"/>
  <c r="G92" i="41"/>
  <c r="E92" i="41"/>
  <c r="C92" i="41"/>
  <c r="K91" i="41"/>
  <c r="L91" i="41" s="1"/>
  <c r="C91" i="41"/>
  <c r="E91" i="41" s="1"/>
  <c r="G91" i="41" s="1"/>
  <c r="K90" i="41"/>
  <c r="L90" i="41" s="1"/>
  <c r="C90" i="41"/>
  <c r="E90" i="41" s="1"/>
  <c r="G90" i="41" s="1"/>
  <c r="K89" i="41"/>
  <c r="L89" i="41" s="1"/>
  <c r="I89" i="41"/>
  <c r="E89" i="41"/>
  <c r="G89" i="41" s="1"/>
  <c r="C89" i="41"/>
  <c r="K88" i="41"/>
  <c r="L88" i="41" s="1"/>
  <c r="G88" i="41"/>
  <c r="E88" i="41"/>
  <c r="C88" i="41"/>
  <c r="K87" i="41"/>
  <c r="L87" i="41" s="1"/>
  <c r="C87" i="41"/>
  <c r="E87" i="41" s="1"/>
  <c r="G87" i="41" s="1"/>
  <c r="K86" i="41"/>
  <c r="L86" i="41" s="1"/>
  <c r="C86" i="41"/>
  <c r="E86" i="41" s="1"/>
  <c r="G86" i="41" s="1"/>
  <c r="K85" i="41"/>
  <c r="L85" i="41" s="1"/>
  <c r="I85" i="41"/>
  <c r="E85" i="41"/>
  <c r="G85" i="41" s="1"/>
  <c r="C85" i="41"/>
  <c r="K84" i="41"/>
  <c r="L84" i="41" s="1"/>
  <c r="G84" i="41"/>
  <c r="E84" i="41"/>
  <c r="C84" i="41"/>
  <c r="K83" i="41"/>
  <c r="L83" i="41" s="1"/>
  <c r="C83" i="41"/>
  <c r="E83" i="41" s="1"/>
  <c r="G83" i="41" s="1"/>
  <c r="K82" i="41"/>
  <c r="L82" i="41" s="1"/>
  <c r="C82" i="41"/>
  <c r="E82" i="41" s="1"/>
  <c r="G82" i="41" s="1"/>
  <c r="K81" i="41"/>
  <c r="L81" i="41" s="1"/>
  <c r="I81" i="41"/>
  <c r="E81" i="41"/>
  <c r="G81" i="41" s="1"/>
  <c r="C81" i="41"/>
  <c r="K80" i="41"/>
  <c r="L80" i="41" s="1"/>
  <c r="G80" i="41"/>
  <c r="E80" i="41"/>
  <c r="C80" i="41"/>
  <c r="K79" i="41"/>
  <c r="L79" i="41" s="1"/>
  <c r="C79" i="41"/>
  <c r="E79" i="41" s="1"/>
  <c r="G79" i="41" s="1"/>
  <c r="K78" i="41"/>
  <c r="L78" i="41" s="1"/>
  <c r="C78" i="41"/>
  <c r="E78" i="41" s="1"/>
  <c r="G78" i="41" s="1"/>
  <c r="K77" i="41"/>
  <c r="L77" i="41" s="1"/>
  <c r="I77" i="41"/>
  <c r="E77" i="41"/>
  <c r="G77" i="41" s="1"/>
  <c r="C77" i="41"/>
  <c r="K76" i="41"/>
  <c r="L76" i="41" s="1"/>
  <c r="G76" i="41"/>
  <c r="E76" i="41"/>
  <c r="C76" i="41"/>
  <c r="K75" i="41"/>
  <c r="L75" i="41" s="1"/>
  <c r="C75" i="41"/>
  <c r="E75" i="41" s="1"/>
  <c r="G75" i="41" s="1"/>
  <c r="K74" i="41"/>
  <c r="L74" i="41" s="1"/>
  <c r="C74" i="41"/>
  <c r="F73" i="41"/>
  <c r="E73" i="41"/>
  <c r="G73" i="41" s="1"/>
  <c r="D73" i="41"/>
  <c r="C73" i="41"/>
  <c r="W69" i="41"/>
  <c r="S69" i="41"/>
  <c r="R69" i="41"/>
  <c r="P69" i="41"/>
  <c r="Q69" i="41" s="1"/>
  <c r="M69" i="41"/>
  <c r="W68" i="41"/>
  <c r="S68" i="41"/>
  <c r="R68" i="41"/>
  <c r="P68" i="41"/>
  <c r="Q68" i="41" s="1"/>
  <c r="M68" i="41"/>
  <c r="W67" i="41"/>
  <c r="M63" i="41" s="1"/>
  <c r="S67" i="41"/>
  <c r="R67" i="41"/>
  <c r="P67" i="41"/>
  <c r="Q67" i="41" s="1"/>
  <c r="W66" i="41"/>
  <c r="S66" i="41"/>
  <c r="R66" i="41"/>
  <c r="Q66" i="41"/>
  <c r="P66" i="41"/>
  <c r="M66" i="41"/>
  <c r="W65" i="41"/>
  <c r="S65" i="41"/>
  <c r="R65" i="41"/>
  <c r="Q65" i="41"/>
  <c r="P65" i="41"/>
  <c r="M65" i="41"/>
  <c r="W64" i="41"/>
  <c r="S64" i="41"/>
  <c r="R64" i="41"/>
  <c r="Q64" i="41"/>
  <c r="P64" i="41"/>
  <c r="W63" i="41"/>
  <c r="F111" i="41" s="1"/>
  <c r="S63" i="41"/>
  <c r="R63" i="41"/>
  <c r="Q63" i="41"/>
  <c r="P63" i="41"/>
  <c r="W62" i="41"/>
  <c r="S62" i="41"/>
  <c r="R62" i="41"/>
  <c r="P62" i="41"/>
  <c r="Q62" i="41" s="1"/>
  <c r="W61" i="41"/>
  <c r="S61" i="41"/>
  <c r="R61" i="41"/>
  <c r="P61" i="41"/>
  <c r="Q61" i="41" s="1"/>
  <c r="M61" i="41"/>
  <c r="W60" i="41"/>
  <c r="S60" i="41"/>
  <c r="R60" i="41"/>
  <c r="P60" i="41"/>
  <c r="Q60" i="41" s="1"/>
  <c r="M60" i="41"/>
  <c r="W59" i="41"/>
  <c r="S59" i="41"/>
  <c r="R59" i="41"/>
  <c r="Q59" i="41"/>
  <c r="P59" i="41"/>
  <c r="W58" i="41"/>
  <c r="S58" i="41"/>
  <c r="R58" i="41"/>
  <c r="Q58" i="41"/>
  <c r="P58" i="41"/>
  <c r="M58" i="41"/>
  <c r="W57" i="41"/>
  <c r="M64" i="41" s="1"/>
  <c r="S57" i="41"/>
  <c r="R57" i="41"/>
  <c r="P57" i="41"/>
  <c r="Q57" i="41" s="1"/>
  <c r="W56" i="41"/>
  <c r="M59" i="41" s="1"/>
  <c r="S56" i="41"/>
  <c r="R56" i="41"/>
  <c r="P56" i="41"/>
  <c r="Q56" i="41" s="1"/>
  <c r="M56" i="41"/>
  <c r="W55" i="41"/>
  <c r="S55" i="41"/>
  <c r="R55" i="41"/>
  <c r="Q55" i="41"/>
  <c r="P55" i="41"/>
  <c r="W54" i="41"/>
  <c r="S54" i="41"/>
  <c r="R54" i="41"/>
  <c r="Q54" i="41"/>
  <c r="P54" i="41"/>
  <c r="M54" i="41"/>
  <c r="W53" i="41"/>
  <c r="S53" i="41"/>
  <c r="R53" i="41"/>
  <c r="P53" i="41"/>
  <c r="Q53" i="41" s="1"/>
  <c r="M53" i="41"/>
  <c r="W52" i="41"/>
  <c r="M39" i="41" s="1"/>
  <c r="S52" i="41"/>
  <c r="R52" i="41"/>
  <c r="P52" i="41"/>
  <c r="Q52" i="41" s="1"/>
  <c r="W51" i="41"/>
  <c r="S51" i="41"/>
  <c r="R51" i="41"/>
  <c r="Q51" i="41"/>
  <c r="P51" i="41"/>
  <c r="M51" i="41"/>
  <c r="W50" i="41"/>
  <c r="S50" i="41"/>
  <c r="R50" i="41"/>
  <c r="Q50" i="41"/>
  <c r="P50" i="41"/>
  <c r="M50" i="41"/>
  <c r="W49" i="41"/>
  <c r="S49" i="41"/>
  <c r="R49" i="41"/>
  <c r="P49" i="41"/>
  <c r="Q49" i="41" s="1"/>
  <c r="M49" i="41"/>
  <c r="W48" i="41"/>
  <c r="S48" i="41"/>
  <c r="R48" i="41"/>
  <c r="P48" i="41"/>
  <c r="Q48" i="41" s="1"/>
  <c r="M48" i="41"/>
  <c r="W47" i="41"/>
  <c r="M67" i="41" s="1"/>
  <c r="S47" i="41"/>
  <c r="R47" i="41"/>
  <c r="Q47" i="41"/>
  <c r="P47" i="41"/>
  <c r="W46" i="41"/>
  <c r="M62" i="41" s="1"/>
  <c r="S46" i="41"/>
  <c r="R46" i="41"/>
  <c r="Q46" i="41"/>
  <c r="P46" i="41"/>
  <c r="M46" i="41"/>
  <c r="W45" i="41"/>
  <c r="M57" i="41" s="1"/>
  <c r="S45" i="41"/>
  <c r="R45" i="41"/>
  <c r="P45" i="41"/>
  <c r="Q45" i="41" s="1"/>
  <c r="M45" i="41"/>
  <c r="W44" i="41"/>
  <c r="M52" i="41" s="1"/>
  <c r="S44" i="41"/>
  <c r="R44" i="41"/>
  <c r="P44" i="41"/>
  <c r="Q44" i="41" s="1"/>
  <c r="W43" i="41"/>
  <c r="M47" i="41" s="1"/>
  <c r="S43" i="41"/>
  <c r="R43" i="41"/>
  <c r="Q43" i="41"/>
  <c r="P43" i="41"/>
  <c r="M43" i="41"/>
  <c r="W42" i="41"/>
  <c r="S42" i="41"/>
  <c r="R42" i="41"/>
  <c r="Q42" i="41"/>
  <c r="P42" i="41"/>
  <c r="M42" i="41"/>
  <c r="W41" i="41"/>
  <c r="S41" i="41"/>
  <c r="R41" i="41"/>
  <c r="P41" i="41"/>
  <c r="Q41" i="41" s="1"/>
  <c r="M41" i="41"/>
  <c r="W40" i="41"/>
  <c r="M32" i="41" s="1"/>
  <c r="S40" i="41"/>
  <c r="R40" i="41"/>
  <c r="P40" i="41"/>
  <c r="Q40" i="41" s="1"/>
  <c r="M40" i="41"/>
  <c r="W39" i="41"/>
  <c r="S39" i="41"/>
  <c r="R39" i="41"/>
  <c r="Q39" i="41"/>
  <c r="P39" i="41"/>
  <c r="W38" i="41"/>
  <c r="S38" i="41"/>
  <c r="R38" i="41"/>
  <c r="Q38" i="41"/>
  <c r="P38" i="41"/>
  <c r="M38" i="41"/>
  <c r="W37" i="41"/>
  <c r="S37" i="41"/>
  <c r="R37" i="41"/>
  <c r="P37" i="41"/>
  <c r="Q37" i="41" s="1"/>
  <c r="M37" i="41"/>
  <c r="W36" i="41"/>
  <c r="S36" i="41"/>
  <c r="R36" i="41"/>
  <c r="P36" i="41"/>
  <c r="Q36" i="41" s="1"/>
  <c r="M36" i="41"/>
  <c r="W35" i="41"/>
  <c r="S35" i="41"/>
  <c r="R35" i="41"/>
  <c r="Q35" i="41"/>
  <c r="P35" i="41"/>
  <c r="W34" i="41"/>
  <c r="S34" i="41"/>
  <c r="R34" i="41"/>
  <c r="Q34" i="41"/>
  <c r="P34" i="41"/>
  <c r="M34" i="41"/>
  <c r="W33" i="41"/>
  <c r="S33" i="41"/>
  <c r="R33" i="41"/>
  <c r="P33" i="41"/>
  <c r="Q33" i="41" s="1"/>
  <c r="M33" i="41"/>
  <c r="W32" i="41"/>
  <c r="S32" i="41"/>
  <c r="R32" i="41"/>
  <c r="P32" i="41"/>
  <c r="Q32" i="41" s="1"/>
  <c r="W31" i="41"/>
  <c r="S31" i="41"/>
  <c r="R31" i="41"/>
  <c r="Q31" i="41"/>
  <c r="P31" i="41"/>
  <c r="M31" i="41"/>
  <c r="W30" i="41"/>
  <c r="S30" i="41"/>
  <c r="R30" i="41"/>
  <c r="Q30" i="41"/>
  <c r="P30" i="41"/>
  <c r="M30" i="41"/>
  <c r="W29" i="41"/>
  <c r="F135" i="41" s="1"/>
  <c r="S29" i="41"/>
  <c r="R29" i="41"/>
  <c r="P29" i="41"/>
  <c r="Q29" i="41" s="1"/>
  <c r="M29" i="41"/>
  <c r="W28" i="41"/>
  <c r="I100" i="41" s="1"/>
  <c r="S28" i="41"/>
  <c r="R28" i="41"/>
  <c r="P28" i="41"/>
  <c r="Q28" i="41" s="1"/>
  <c r="M28" i="41"/>
  <c r="W27" i="41"/>
  <c r="S27" i="41"/>
  <c r="R27" i="41"/>
  <c r="Q27" i="41"/>
  <c r="P27" i="41"/>
  <c r="W26" i="41"/>
  <c r="F133" i="41" s="1"/>
  <c r="S26" i="41"/>
  <c r="R26" i="41"/>
  <c r="Q26" i="41"/>
  <c r="P26" i="41"/>
  <c r="M26" i="41"/>
  <c r="S25" i="41"/>
  <c r="R25" i="41"/>
  <c r="Q25" i="41"/>
  <c r="P25" i="41"/>
  <c r="M25" i="41"/>
  <c r="W24" i="41"/>
  <c r="S24" i="41"/>
  <c r="R24" i="41"/>
  <c r="P24" i="41"/>
  <c r="Q24" i="41" s="1"/>
  <c r="M24" i="41"/>
  <c r="W23" i="41"/>
  <c r="S23" i="41"/>
  <c r="R23" i="41"/>
  <c r="P23" i="41"/>
  <c r="Q23" i="41" s="1"/>
  <c r="M23" i="41"/>
  <c r="C18" i="41"/>
  <c r="E18" i="41" s="1"/>
  <c r="E17" i="41"/>
  <c r="C17" i="41"/>
  <c r="C16" i="41"/>
  <c r="E16" i="41" s="1"/>
  <c r="C15" i="41"/>
  <c r="E15" i="41" s="1"/>
  <c r="C14" i="41"/>
  <c r="E14" i="41" s="1"/>
  <c r="E13" i="41"/>
  <c r="C13" i="41"/>
  <c r="C12" i="41"/>
  <c r="E12" i="41" s="1"/>
  <c r="C11" i="41"/>
  <c r="E11" i="41" s="1"/>
  <c r="C10" i="41"/>
  <c r="E10" i="41" s="1"/>
  <c r="F9" i="41"/>
  <c r="F10" i="41" s="1"/>
  <c r="F11" i="41" s="1"/>
  <c r="F12" i="41" s="1"/>
  <c r="F13" i="41" s="1"/>
  <c r="F14" i="41" s="1"/>
  <c r="F15" i="41" s="1"/>
  <c r="F16" i="41" s="1"/>
  <c r="F17" i="41" s="1"/>
  <c r="F18" i="41" s="1"/>
  <c r="E9" i="41"/>
  <c r="B23" i="41" s="1"/>
  <c r="C9" i="41"/>
  <c r="AO160" i="47"/>
  <c r="AN160" i="47"/>
  <c r="AM160" i="47"/>
  <c r="AL160" i="47"/>
  <c r="AJ160" i="47"/>
  <c r="AH160" i="47"/>
  <c r="AG160" i="47"/>
  <c r="AF160" i="47"/>
  <c r="AK160" i="47" s="1"/>
  <c r="AE160" i="47"/>
  <c r="AI160" i="47" s="1"/>
  <c r="AD160" i="47"/>
  <c r="AC160" i="47"/>
  <c r="P160" i="47"/>
  <c r="Q160" i="47" s="1"/>
  <c r="O160" i="47"/>
  <c r="AO159" i="47"/>
  <c r="AN159" i="47"/>
  <c r="AM159" i="47"/>
  <c r="AL159" i="47"/>
  <c r="AJ159" i="47"/>
  <c r="AH159" i="47"/>
  <c r="AG159" i="47"/>
  <c r="AF159" i="47"/>
  <c r="AK159" i="47" s="1"/>
  <c r="AE159" i="47"/>
  <c r="AI159" i="47" s="1"/>
  <c r="AD159" i="47"/>
  <c r="AC159" i="47"/>
  <c r="P159" i="47"/>
  <c r="O159" i="47"/>
  <c r="Q159" i="47" s="1"/>
  <c r="M159" i="47"/>
  <c r="AO158" i="47"/>
  <c r="AN158" i="47"/>
  <c r="AM158" i="47"/>
  <c r="AL158" i="47"/>
  <c r="AJ158" i="47"/>
  <c r="AH158" i="47"/>
  <c r="AG158" i="47"/>
  <c r="AK158" i="47" s="1"/>
  <c r="AF158" i="47"/>
  <c r="AE158" i="47"/>
  <c r="AD158" i="47"/>
  <c r="AC158" i="47"/>
  <c r="AI158" i="47" s="1"/>
  <c r="P158" i="47"/>
  <c r="O158" i="47"/>
  <c r="Q158" i="47" s="1"/>
  <c r="AO157" i="47"/>
  <c r="AN157" i="47"/>
  <c r="AM157" i="47"/>
  <c r="AL157" i="47"/>
  <c r="AJ157" i="47"/>
  <c r="AH157" i="47"/>
  <c r="AG157" i="47"/>
  <c r="AF157" i="47"/>
  <c r="AK157" i="47" s="1"/>
  <c r="AE157" i="47"/>
  <c r="AD157" i="47"/>
  <c r="AC157" i="47"/>
  <c r="Q157" i="47"/>
  <c r="P157" i="47"/>
  <c r="O157" i="47"/>
  <c r="M157" i="47"/>
  <c r="AO156" i="47"/>
  <c r="AN156" i="47"/>
  <c r="AM156" i="47"/>
  <c r="AL156" i="47"/>
  <c r="AJ156" i="47"/>
  <c r="AH156" i="47"/>
  <c r="AG156" i="47"/>
  <c r="AF156" i="47"/>
  <c r="AK156" i="47" s="1"/>
  <c r="AE156" i="47"/>
  <c r="AI156" i="47" s="1"/>
  <c r="AD156" i="47"/>
  <c r="AC156" i="47"/>
  <c r="Q156" i="47"/>
  <c r="P156" i="47"/>
  <c r="O156" i="47"/>
  <c r="AO155" i="47"/>
  <c r="AN155" i="47"/>
  <c r="AM155" i="47"/>
  <c r="AL155" i="47"/>
  <c r="AJ155" i="47"/>
  <c r="AH155" i="47"/>
  <c r="AG155" i="47"/>
  <c r="AF155" i="47"/>
  <c r="AE155" i="47"/>
  <c r="AD155" i="47"/>
  <c r="AI155" i="47" s="1"/>
  <c r="AC155" i="47"/>
  <c r="Q155" i="47"/>
  <c r="P155" i="47"/>
  <c r="O155" i="47"/>
  <c r="M155" i="47"/>
  <c r="AO154" i="47"/>
  <c r="AN154" i="47"/>
  <c r="AM154" i="47"/>
  <c r="AL154" i="47"/>
  <c r="AJ154" i="47"/>
  <c r="AH154" i="47"/>
  <c r="AG154" i="47"/>
  <c r="AK154" i="47" s="1"/>
  <c r="AF154" i="47"/>
  <c r="AE154" i="47"/>
  <c r="AI154" i="47" s="1"/>
  <c r="AD154" i="47"/>
  <c r="AC154" i="47"/>
  <c r="P154" i="47"/>
  <c r="O154" i="47"/>
  <c r="Q154" i="47" s="1"/>
  <c r="AO153" i="47"/>
  <c r="AN153" i="47"/>
  <c r="AL153" i="47"/>
  <c r="AJ153" i="47"/>
  <c r="AH153" i="47"/>
  <c r="AG153" i="47"/>
  <c r="AF153" i="47"/>
  <c r="AK153" i="47" s="1"/>
  <c r="AE153" i="47"/>
  <c r="AD153" i="47"/>
  <c r="AC153" i="47"/>
  <c r="AI153" i="47" s="1"/>
  <c r="S153" i="47"/>
  <c r="P153" i="47"/>
  <c r="O153" i="47"/>
  <c r="Q153" i="47" s="1"/>
  <c r="T153" i="47" s="1"/>
  <c r="M153" i="47"/>
  <c r="K153" i="47"/>
  <c r="AO152" i="47"/>
  <c r="AN152" i="47"/>
  <c r="AM152" i="47"/>
  <c r="AL152" i="47"/>
  <c r="AJ152" i="47"/>
  <c r="AH152" i="47"/>
  <c r="AG152" i="47"/>
  <c r="AK152" i="47" s="1"/>
  <c r="AF152" i="47"/>
  <c r="AE152" i="47"/>
  <c r="AD152" i="47"/>
  <c r="AC152" i="47"/>
  <c r="AI152" i="47" s="1"/>
  <c r="P152" i="47"/>
  <c r="Q152" i="47" s="1"/>
  <c r="O152" i="47"/>
  <c r="AO151" i="47"/>
  <c r="AN151" i="47"/>
  <c r="AM151" i="47"/>
  <c r="AL151" i="47"/>
  <c r="AJ151" i="47"/>
  <c r="AH151" i="47"/>
  <c r="AG151" i="47"/>
  <c r="AF151" i="47"/>
  <c r="AE151" i="47"/>
  <c r="AD151" i="47"/>
  <c r="AI151" i="47" s="1"/>
  <c r="AC151" i="47"/>
  <c r="P151" i="47"/>
  <c r="O151" i="47"/>
  <c r="Q151" i="47" s="1"/>
  <c r="M151" i="47"/>
  <c r="AO150" i="47"/>
  <c r="AN150" i="47"/>
  <c r="AM150" i="47"/>
  <c r="AL150" i="47"/>
  <c r="AJ150" i="47"/>
  <c r="AH150" i="47"/>
  <c r="AG150" i="47"/>
  <c r="AF150" i="47"/>
  <c r="AK150" i="47" s="1"/>
  <c r="AE150" i="47"/>
  <c r="AD150" i="47"/>
  <c r="AC150" i="47"/>
  <c r="AI150" i="47" s="1"/>
  <c r="Q150" i="47"/>
  <c r="P150" i="47"/>
  <c r="O150" i="47"/>
  <c r="AO149" i="47"/>
  <c r="AN149" i="47"/>
  <c r="AM149" i="47"/>
  <c r="AL149" i="47"/>
  <c r="AJ149" i="47"/>
  <c r="AH149" i="47"/>
  <c r="AG149" i="47"/>
  <c r="AF149" i="47"/>
  <c r="AK149" i="47" s="1"/>
  <c r="AE149" i="47"/>
  <c r="AI149" i="47" s="1"/>
  <c r="AD149" i="47"/>
  <c r="AC149" i="47"/>
  <c r="P149" i="47"/>
  <c r="Q149" i="47" s="1"/>
  <c r="O149" i="47"/>
  <c r="M149" i="47"/>
  <c r="AO148" i="47"/>
  <c r="AN148" i="47"/>
  <c r="AM148" i="47"/>
  <c r="AL148" i="47"/>
  <c r="AJ148" i="47"/>
  <c r="AH148" i="47"/>
  <c r="AG148" i="47"/>
  <c r="AF148" i="47"/>
  <c r="AK148" i="47" s="1"/>
  <c r="AE148" i="47"/>
  <c r="AD148" i="47"/>
  <c r="AI148" i="47" s="1"/>
  <c r="AC148" i="47"/>
  <c r="P148" i="47"/>
  <c r="O148" i="47"/>
  <c r="Q148" i="47" s="1"/>
  <c r="AO147" i="47"/>
  <c r="AN147" i="47"/>
  <c r="AL147" i="47"/>
  <c r="AJ147" i="47"/>
  <c r="AH147" i="47"/>
  <c r="AG147" i="47"/>
  <c r="AK147" i="47" s="1"/>
  <c r="AF147" i="47"/>
  <c r="AE147" i="47"/>
  <c r="AD147" i="47"/>
  <c r="AC147" i="47"/>
  <c r="AI147" i="47" s="1"/>
  <c r="S147" i="47"/>
  <c r="T147" i="47" s="1"/>
  <c r="P147" i="47"/>
  <c r="O147" i="47"/>
  <c r="Q147" i="47" s="1"/>
  <c r="M147" i="47"/>
  <c r="K147" i="47"/>
  <c r="AO146" i="47"/>
  <c r="AN146" i="47"/>
  <c r="AM146" i="47"/>
  <c r="AL146" i="47"/>
  <c r="AJ146" i="47"/>
  <c r="AH146" i="47"/>
  <c r="AG146" i="47"/>
  <c r="AF146" i="47"/>
  <c r="AK146" i="47" s="1"/>
  <c r="AE146" i="47"/>
  <c r="AD146" i="47"/>
  <c r="AC146" i="47"/>
  <c r="AI146" i="47" s="1"/>
  <c r="Q146" i="47"/>
  <c r="P146" i="47"/>
  <c r="O146" i="47"/>
  <c r="AO145" i="47"/>
  <c r="AN145" i="47"/>
  <c r="AM145" i="47"/>
  <c r="AL145" i="47"/>
  <c r="AJ145" i="47"/>
  <c r="AH145" i="47"/>
  <c r="AG145" i="47"/>
  <c r="AF145" i="47"/>
  <c r="AK145" i="47" s="1"/>
  <c r="AE145" i="47"/>
  <c r="AI145" i="47" s="1"/>
  <c r="AD145" i="47"/>
  <c r="AC145" i="47"/>
  <c r="P145" i="47"/>
  <c r="Q145" i="47" s="1"/>
  <c r="O145" i="47"/>
  <c r="M145" i="47"/>
  <c r="AO144" i="47"/>
  <c r="AN144" i="47"/>
  <c r="AM144" i="47"/>
  <c r="AL144" i="47"/>
  <c r="AJ144" i="47"/>
  <c r="AH144" i="47"/>
  <c r="AG144" i="47"/>
  <c r="AF144" i="47"/>
  <c r="AK144" i="47" s="1"/>
  <c r="AE144" i="47"/>
  <c r="AD144" i="47"/>
  <c r="AI144" i="47" s="1"/>
  <c r="AC144" i="47"/>
  <c r="P144" i="47"/>
  <c r="O144" i="47"/>
  <c r="Q144" i="47" s="1"/>
  <c r="AO143" i="47"/>
  <c r="AN143" i="47"/>
  <c r="AM143" i="47"/>
  <c r="AL143" i="47"/>
  <c r="AJ143" i="47"/>
  <c r="AH143" i="47"/>
  <c r="AG143" i="47"/>
  <c r="AK143" i="47" s="1"/>
  <c r="AF143" i="47"/>
  <c r="AE143" i="47"/>
  <c r="AD143" i="47"/>
  <c r="AC143" i="47"/>
  <c r="AI143" i="47" s="1"/>
  <c r="P143" i="47"/>
  <c r="O143" i="47"/>
  <c r="Q143" i="47" s="1"/>
  <c r="M143" i="47"/>
  <c r="AO142" i="47"/>
  <c r="AN142" i="47"/>
  <c r="AM142" i="47"/>
  <c r="AL142" i="47"/>
  <c r="AJ142" i="47"/>
  <c r="AH142" i="47"/>
  <c r="AG142" i="47"/>
  <c r="AF142" i="47"/>
  <c r="AK142" i="47" s="1"/>
  <c r="AE142" i="47"/>
  <c r="AD142" i="47"/>
  <c r="AC142" i="47"/>
  <c r="AI142" i="47" s="1"/>
  <c r="Q142" i="47"/>
  <c r="P142" i="47"/>
  <c r="O142" i="47"/>
  <c r="AO141" i="47"/>
  <c r="AN141" i="47"/>
  <c r="AM141" i="47"/>
  <c r="AL141" i="47"/>
  <c r="AJ141" i="47"/>
  <c r="AH141" i="47"/>
  <c r="AG141" i="47"/>
  <c r="AF141" i="47"/>
  <c r="AK141" i="47" s="1"/>
  <c r="AE141" i="47"/>
  <c r="AI141" i="47" s="1"/>
  <c r="AD141" i="47"/>
  <c r="AC141" i="47"/>
  <c r="P141" i="47"/>
  <c r="Q141" i="47" s="1"/>
  <c r="O141" i="47"/>
  <c r="M141" i="47"/>
  <c r="AO140" i="47"/>
  <c r="AN140" i="47"/>
  <c r="AM140" i="47"/>
  <c r="AL140" i="47"/>
  <c r="AJ140" i="47"/>
  <c r="AH140" i="47"/>
  <c r="AG140" i="47"/>
  <c r="AF140" i="47"/>
  <c r="AK140" i="47" s="1"/>
  <c r="AE140" i="47"/>
  <c r="AD140" i="47"/>
  <c r="AI140" i="47" s="1"/>
  <c r="AC140" i="47"/>
  <c r="P140" i="47"/>
  <c r="O140" i="47"/>
  <c r="Q140" i="47" s="1"/>
  <c r="AO139" i="47"/>
  <c r="AN139" i="47"/>
  <c r="AM139" i="47"/>
  <c r="AL139" i="47"/>
  <c r="AJ139" i="47"/>
  <c r="AH139" i="47"/>
  <c r="AG139" i="47"/>
  <c r="AK139" i="47" s="1"/>
  <c r="AF139" i="47"/>
  <c r="AE139" i="47"/>
  <c r="AD139" i="47"/>
  <c r="AC139" i="47"/>
  <c r="AI139" i="47" s="1"/>
  <c r="P139" i="47"/>
  <c r="O139" i="47"/>
  <c r="Q139" i="47" s="1"/>
  <c r="M139" i="47"/>
  <c r="AO138" i="47"/>
  <c r="AN138" i="47"/>
  <c r="AM138" i="47"/>
  <c r="AL138" i="47"/>
  <c r="AJ138" i="47"/>
  <c r="AH138" i="47"/>
  <c r="AG138" i="47"/>
  <c r="AF138" i="47"/>
  <c r="AK138" i="47" s="1"/>
  <c r="AE138" i="47"/>
  <c r="AD138" i="47"/>
  <c r="AC138" i="47"/>
  <c r="AI138" i="47" s="1"/>
  <c r="Q138" i="47"/>
  <c r="P138" i="47"/>
  <c r="O138" i="47"/>
  <c r="AO137" i="47"/>
  <c r="AN137" i="47"/>
  <c r="AM137" i="47"/>
  <c r="AL137" i="47"/>
  <c r="AJ137" i="47"/>
  <c r="AH137" i="47"/>
  <c r="AG137" i="47"/>
  <c r="AF137" i="47"/>
  <c r="AK137" i="47" s="1"/>
  <c r="AE137" i="47"/>
  <c r="AI137" i="47" s="1"/>
  <c r="AD137" i="47"/>
  <c r="AC137" i="47"/>
  <c r="P137" i="47"/>
  <c r="Q137" i="47" s="1"/>
  <c r="O137" i="47"/>
  <c r="M137" i="47"/>
  <c r="AO136" i="47"/>
  <c r="AN136" i="47"/>
  <c r="AM136" i="47"/>
  <c r="AL136" i="47"/>
  <c r="AJ136" i="47"/>
  <c r="AH136" i="47"/>
  <c r="AG136" i="47"/>
  <c r="AF136" i="47"/>
  <c r="AK136" i="47" s="1"/>
  <c r="AE136" i="47"/>
  <c r="AD136" i="47"/>
  <c r="AI136" i="47" s="1"/>
  <c r="AC136" i="47"/>
  <c r="P136" i="47"/>
  <c r="O136" i="47"/>
  <c r="Q136" i="47" s="1"/>
  <c r="AO135" i="47"/>
  <c r="AN135" i="47"/>
  <c r="AM135" i="47"/>
  <c r="AL135" i="47"/>
  <c r="AJ135" i="47"/>
  <c r="AH135" i="47"/>
  <c r="AG135" i="47"/>
  <c r="AK135" i="47" s="1"/>
  <c r="AF135" i="47"/>
  <c r="AE135" i="47"/>
  <c r="AD135" i="47"/>
  <c r="AC135" i="47"/>
  <c r="AI135" i="47" s="1"/>
  <c r="P135" i="47"/>
  <c r="O135" i="47"/>
  <c r="Q135" i="47" s="1"/>
  <c r="M135" i="47"/>
  <c r="AO134" i="47"/>
  <c r="AN134" i="47"/>
  <c r="AM134" i="47"/>
  <c r="AL134" i="47"/>
  <c r="AJ134" i="47"/>
  <c r="AH134" i="47"/>
  <c r="AG134" i="47"/>
  <c r="AF134" i="47"/>
  <c r="AK134" i="47" s="1"/>
  <c r="AE134" i="47"/>
  <c r="AD134" i="47"/>
  <c r="AC134" i="47"/>
  <c r="AI134" i="47" s="1"/>
  <c r="Q134" i="47"/>
  <c r="P134" i="47"/>
  <c r="O134" i="47"/>
  <c r="AO133" i="47"/>
  <c r="AN133" i="47"/>
  <c r="AL133" i="47"/>
  <c r="AJ133" i="47"/>
  <c r="AH133" i="47"/>
  <c r="AG133" i="47"/>
  <c r="AF133" i="47"/>
  <c r="AK133" i="47" s="1"/>
  <c r="AE133" i="47"/>
  <c r="AI133" i="47" s="1"/>
  <c r="AD133" i="47"/>
  <c r="AC133" i="47"/>
  <c r="P133" i="47"/>
  <c r="Q133" i="47" s="1"/>
  <c r="O133" i="47"/>
  <c r="M133" i="47"/>
  <c r="K133" i="47"/>
  <c r="AO132" i="47"/>
  <c r="AN132" i="47"/>
  <c r="AM132" i="47"/>
  <c r="AL132" i="47"/>
  <c r="AJ132" i="47"/>
  <c r="AH132" i="47"/>
  <c r="AG132" i="47"/>
  <c r="AF132" i="47"/>
  <c r="AK132" i="47" s="1"/>
  <c r="AE132" i="47"/>
  <c r="AD132" i="47"/>
  <c r="AI132" i="47" s="1"/>
  <c r="AC132" i="47"/>
  <c r="P132" i="47"/>
  <c r="O132" i="47"/>
  <c r="Q132" i="47" s="1"/>
  <c r="AO131" i="47"/>
  <c r="AN131" i="47"/>
  <c r="AM131" i="47"/>
  <c r="AL131" i="47"/>
  <c r="AJ131" i="47"/>
  <c r="AH131" i="47"/>
  <c r="AG131" i="47"/>
  <c r="AK131" i="47" s="1"/>
  <c r="AF131" i="47"/>
  <c r="AE131" i="47"/>
  <c r="AD131" i="47"/>
  <c r="AC131" i="47"/>
  <c r="AI131" i="47" s="1"/>
  <c r="P131" i="47"/>
  <c r="O131" i="47"/>
  <c r="Q131" i="47" s="1"/>
  <c r="M131" i="47"/>
  <c r="AO130" i="47"/>
  <c r="AN130" i="47"/>
  <c r="AM130" i="47"/>
  <c r="AL130" i="47"/>
  <c r="AJ130" i="47"/>
  <c r="AH130" i="47"/>
  <c r="AG130" i="47"/>
  <c r="AF130" i="47"/>
  <c r="AK130" i="47" s="1"/>
  <c r="AE130" i="47"/>
  <c r="AD130" i="47"/>
  <c r="AC130" i="47"/>
  <c r="AI130" i="47" s="1"/>
  <c r="Q130" i="47"/>
  <c r="P130" i="47"/>
  <c r="O130" i="47"/>
  <c r="AO129" i="47"/>
  <c r="AN129" i="47"/>
  <c r="AM129" i="47"/>
  <c r="AL129" i="47"/>
  <c r="AJ129" i="47"/>
  <c r="AH129" i="47"/>
  <c r="AG129" i="47"/>
  <c r="AF129" i="47"/>
  <c r="AK129" i="47" s="1"/>
  <c r="AE129" i="47"/>
  <c r="AI129" i="47" s="1"/>
  <c r="AD129" i="47"/>
  <c r="AC129" i="47"/>
  <c r="P129" i="47"/>
  <c r="Q129" i="47" s="1"/>
  <c r="O129" i="47"/>
  <c r="M129" i="47"/>
  <c r="AO128" i="47"/>
  <c r="AN128" i="47"/>
  <c r="AM128" i="47"/>
  <c r="AL128" i="47"/>
  <c r="AJ128" i="47"/>
  <c r="AH128" i="47"/>
  <c r="AG128" i="47"/>
  <c r="AF128" i="47"/>
  <c r="AK128" i="47" s="1"/>
  <c r="AE128" i="47"/>
  <c r="AD128" i="47"/>
  <c r="AI128" i="47" s="1"/>
  <c r="AC128" i="47"/>
  <c r="P128" i="47"/>
  <c r="O128" i="47"/>
  <c r="Q128" i="47" s="1"/>
  <c r="AO127" i="47"/>
  <c r="AN127" i="47"/>
  <c r="AM127" i="47"/>
  <c r="AL127" i="47"/>
  <c r="AJ127" i="47"/>
  <c r="AH127" i="47"/>
  <c r="AG127" i="47"/>
  <c r="AK127" i="47" s="1"/>
  <c r="AF127" i="47"/>
  <c r="AE127" i="47"/>
  <c r="AD127" i="47"/>
  <c r="AC127" i="47"/>
  <c r="AI127" i="47" s="1"/>
  <c r="P127" i="47"/>
  <c r="O127" i="47"/>
  <c r="Q127" i="47" s="1"/>
  <c r="M127" i="47"/>
  <c r="AO126" i="47"/>
  <c r="AN126" i="47"/>
  <c r="AM126" i="47"/>
  <c r="AL126" i="47"/>
  <c r="AJ126" i="47"/>
  <c r="AH126" i="47"/>
  <c r="AG126" i="47"/>
  <c r="AF126" i="47"/>
  <c r="AK126" i="47" s="1"/>
  <c r="AE126" i="47"/>
  <c r="AD126" i="47"/>
  <c r="AC126" i="47"/>
  <c r="AI126" i="47" s="1"/>
  <c r="Q126" i="47"/>
  <c r="P126" i="47"/>
  <c r="O126" i="47"/>
  <c r="AO125" i="47"/>
  <c r="AN125" i="47"/>
  <c r="AL125" i="47"/>
  <c r="AJ125" i="47"/>
  <c r="AH125" i="47"/>
  <c r="AG125" i="47"/>
  <c r="AF125" i="47"/>
  <c r="AK125" i="47" s="1"/>
  <c r="AE125" i="47"/>
  <c r="AI125" i="47" s="1"/>
  <c r="AD125" i="47"/>
  <c r="AC125" i="47"/>
  <c r="P125" i="47"/>
  <c r="Q125" i="47" s="1"/>
  <c r="O125" i="47"/>
  <c r="M125" i="47"/>
  <c r="K125" i="47"/>
  <c r="AO124" i="47"/>
  <c r="AN124" i="47"/>
  <c r="AM124" i="47"/>
  <c r="AL124" i="47"/>
  <c r="AJ124" i="47"/>
  <c r="AH124" i="47"/>
  <c r="AG124" i="47"/>
  <c r="AF124" i="47"/>
  <c r="AK124" i="47" s="1"/>
  <c r="AE124" i="47"/>
  <c r="AD124" i="47"/>
  <c r="AI124" i="47" s="1"/>
  <c r="AC124" i="47"/>
  <c r="P124" i="47"/>
  <c r="O124" i="47"/>
  <c r="Q124" i="47" s="1"/>
  <c r="AO123" i="47"/>
  <c r="AN123" i="47"/>
  <c r="AM123" i="47"/>
  <c r="AL123" i="47"/>
  <c r="AJ123" i="47"/>
  <c r="AH123" i="47"/>
  <c r="AG123" i="47"/>
  <c r="AK123" i="47" s="1"/>
  <c r="AF123" i="47"/>
  <c r="AE123" i="47"/>
  <c r="AD123" i="47"/>
  <c r="AC123" i="47"/>
  <c r="AI123" i="47" s="1"/>
  <c r="P123" i="47"/>
  <c r="O123" i="47"/>
  <c r="Q123" i="47" s="1"/>
  <c r="M123" i="47"/>
  <c r="AO122" i="47"/>
  <c r="AN122" i="47"/>
  <c r="AM122" i="47"/>
  <c r="AL122" i="47"/>
  <c r="AJ122" i="47"/>
  <c r="AH122" i="47"/>
  <c r="AG122" i="47"/>
  <c r="AF122" i="47"/>
  <c r="AK122" i="47" s="1"/>
  <c r="AE122" i="47"/>
  <c r="AD122" i="47"/>
  <c r="AC122" i="47"/>
  <c r="AI122" i="47" s="1"/>
  <c r="Q122" i="47"/>
  <c r="P122" i="47"/>
  <c r="O122" i="47"/>
  <c r="AO121" i="47"/>
  <c r="AN121" i="47"/>
  <c r="AM121" i="47"/>
  <c r="AL121" i="47"/>
  <c r="AJ121" i="47"/>
  <c r="AH121" i="47"/>
  <c r="AG121" i="47"/>
  <c r="AF121" i="47"/>
  <c r="AK121" i="47" s="1"/>
  <c r="AE121" i="47"/>
  <c r="AI121" i="47" s="1"/>
  <c r="AD121" i="47"/>
  <c r="AC121" i="47"/>
  <c r="P121" i="47"/>
  <c r="Q121" i="47" s="1"/>
  <c r="O121" i="47"/>
  <c r="M121" i="47"/>
  <c r="AO120" i="47"/>
  <c r="AN120" i="47"/>
  <c r="AM120" i="47"/>
  <c r="AL120" i="47"/>
  <c r="AJ120" i="47"/>
  <c r="AH120" i="47"/>
  <c r="AG120" i="47"/>
  <c r="AF120" i="47"/>
  <c r="AK120" i="47" s="1"/>
  <c r="AE120" i="47"/>
  <c r="AD120" i="47"/>
  <c r="AI120" i="47" s="1"/>
  <c r="AC120" i="47"/>
  <c r="P120" i="47"/>
  <c r="O120" i="47"/>
  <c r="Q120" i="47" s="1"/>
  <c r="AO119" i="47"/>
  <c r="AN119" i="47"/>
  <c r="AM119" i="47"/>
  <c r="AL119" i="47"/>
  <c r="AJ119" i="47"/>
  <c r="AH119" i="47"/>
  <c r="AG119" i="47"/>
  <c r="AK119" i="47" s="1"/>
  <c r="AF119" i="47"/>
  <c r="AE119" i="47"/>
  <c r="AD119" i="47"/>
  <c r="AC119" i="47"/>
  <c r="AI119" i="47" s="1"/>
  <c r="P119" i="47"/>
  <c r="O119" i="47"/>
  <c r="Q119" i="47" s="1"/>
  <c r="M119" i="47"/>
  <c r="AO118" i="47"/>
  <c r="AN118" i="47"/>
  <c r="AM118" i="47"/>
  <c r="AL118" i="47"/>
  <c r="AJ118" i="47"/>
  <c r="AH118" i="47"/>
  <c r="AG118" i="47"/>
  <c r="AF118" i="47"/>
  <c r="AK118" i="47" s="1"/>
  <c r="AE118" i="47"/>
  <c r="AD118" i="47"/>
  <c r="AC118" i="47"/>
  <c r="AI118" i="47" s="1"/>
  <c r="Q118" i="47"/>
  <c r="O118" i="47"/>
  <c r="AO117" i="47"/>
  <c r="AN117" i="47"/>
  <c r="AL117" i="47"/>
  <c r="AJ117" i="47"/>
  <c r="AH117" i="47"/>
  <c r="AG117" i="47"/>
  <c r="AK117" i="47" s="1"/>
  <c r="AF117" i="47"/>
  <c r="AE117" i="47"/>
  <c r="AD117" i="47"/>
  <c r="AI117" i="47" s="1"/>
  <c r="AC117" i="47"/>
  <c r="S117" i="47"/>
  <c r="O117" i="47"/>
  <c r="Q117" i="47" s="1"/>
  <c r="T117" i="47" s="1"/>
  <c r="M117" i="47"/>
  <c r="K117" i="47"/>
  <c r="AO116" i="47"/>
  <c r="AN116" i="47"/>
  <c r="AM116" i="47"/>
  <c r="AL116" i="47"/>
  <c r="AJ116" i="47"/>
  <c r="AH116" i="47"/>
  <c r="AG116" i="47"/>
  <c r="AF116" i="47"/>
  <c r="AK116" i="47" s="1"/>
  <c r="AE116" i="47"/>
  <c r="AD116" i="47"/>
  <c r="AC116" i="47"/>
  <c r="AI116" i="47" s="1"/>
  <c r="Q116" i="47"/>
  <c r="O116" i="47"/>
  <c r="AO115" i="47"/>
  <c r="AN115" i="47"/>
  <c r="AM115" i="47"/>
  <c r="AL115" i="47"/>
  <c r="AJ115" i="47"/>
  <c r="AH115" i="47"/>
  <c r="AG115" i="47"/>
  <c r="AK115" i="47" s="1"/>
  <c r="AF115" i="47"/>
  <c r="AE115" i="47"/>
  <c r="AD115" i="47"/>
  <c r="AI115" i="47" s="1"/>
  <c r="AC115" i="47"/>
  <c r="O115" i="47"/>
  <c r="Q115" i="47" s="1"/>
  <c r="M115" i="47"/>
  <c r="AO114" i="47"/>
  <c r="AN114" i="47"/>
  <c r="AM114" i="47"/>
  <c r="AL114" i="47"/>
  <c r="AJ114" i="47"/>
  <c r="AH114" i="47"/>
  <c r="AG114" i="47"/>
  <c r="AF114" i="47"/>
  <c r="AK114" i="47" s="1"/>
  <c r="AE114" i="47"/>
  <c r="AD114" i="47"/>
  <c r="AC114" i="47"/>
  <c r="AI114" i="47" s="1"/>
  <c r="Q114" i="47"/>
  <c r="O114" i="47"/>
  <c r="AO113" i="47"/>
  <c r="AN113" i="47"/>
  <c r="AM113" i="47"/>
  <c r="AL113" i="47"/>
  <c r="AJ113" i="47"/>
  <c r="AH113" i="47"/>
  <c r="AG113" i="47"/>
  <c r="AK113" i="47" s="1"/>
  <c r="AF113" i="47"/>
  <c r="AE113" i="47"/>
  <c r="AD113" i="47"/>
  <c r="AI113" i="47" s="1"/>
  <c r="AC113" i="47"/>
  <c r="O113" i="47"/>
  <c r="Q113" i="47" s="1"/>
  <c r="M113" i="47"/>
  <c r="AO112" i="47"/>
  <c r="AN112" i="47"/>
  <c r="AM112" i="47"/>
  <c r="AL112" i="47"/>
  <c r="AJ112" i="47"/>
  <c r="AH112" i="47"/>
  <c r="AG112" i="47"/>
  <c r="AF112" i="47"/>
  <c r="AK112" i="47" s="1"/>
  <c r="AE112" i="47"/>
  <c r="AD112" i="47"/>
  <c r="AC112" i="47"/>
  <c r="AI112" i="47" s="1"/>
  <c r="Q112" i="47"/>
  <c r="O112" i="47"/>
  <c r="AO111" i="47"/>
  <c r="AN111" i="47"/>
  <c r="AM111" i="47"/>
  <c r="AL111" i="47"/>
  <c r="AJ111" i="47"/>
  <c r="AH111" i="47"/>
  <c r="AG111" i="47"/>
  <c r="AK111" i="47" s="1"/>
  <c r="AF111" i="47"/>
  <c r="AE111" i="47"/>
  <c r="AI111" i="47" s="1"/>
  <c r="AD111" i="47"/>
  <c r="AC111" i="47"/>
  <c r="O111" i="47"/>
  <c r="Q111" i="47" s="1"/>
  <c r="M111" i="47"/>
  <c r="AO110" i="47"/>
  <c r="AN110" i="47"/>
  <c r="AM110" i="47"/>
  <c r="AL110" i="47"/>
  <c r="AJ110" i="47"/>
  <c r="AH110" i="47"/>
  <c r="AG110" i="47"/>
  <c r="AF110" i="47"/>
  <c r="AK110" i="47" s="1"/>
  <c r="AE110" i="47"/>
  <c r="AD110" i="47"/>
  <c r="AC110" i="47"/>
  <c r="AI110" i="47" s="1"/>
  <c r="Q110" i="47"/>
  <c r="O110" i="47"/>
  <c r="AO109" i="47"/>
  <c r="AN109" i="47"/>
  <c r="AL109" i="47"/>
  <c r="AJ109" i="47"/>
  <c r="AH109" i="47"/>
  <c r="AG109" i="47"/>
  <c r="AK109" i="47" s="1"/>
  <c r="AF109" i="47"/>
  <c r="AE109" i="47"/>
  <c r="AI109" i="47" s="1"/>
  <c r="AD109" i="47"/>
  <c r="AC109" i="47"/>
  <c r="S109" i="47"/>
  <c r="O109" i="47"/>
  <c r="Q109" i="47" s="1"/>
  <c r="T109" i="47" s="1"/>
  <c r="M109" i="47"/>
  <c r="K109" i="47"/>
  <c r="AO108" i="47"/>
  <c r="AN108" i="47"/>
  <c r="AM108" i="47"/>
  <c r="AL108" i="47"/>
  <c r="AJ108" i="47"/>
  <c r="AH108" i="47"/>
  <c r="AG108" i="47"/>
  <c r="AF108" i="47"/>
  <c r="AK108" i="47" s="1"/>
  <c r="AE108" i="47"/>
  <c r="AD108" i="47"/>
  <c r="AC108" i="47"/>
  <c r="AI108" i="47" s="1"/>
  <c r="Q108" i="47"/>
  <c r="O108" i="47"/>
  <c r="AO107" i="47"/>
  <c r="AN107" i="47"/>
  <c r="AM107" i="47"/>
  <c r="AL107" i="47"/>
  <c r="AJ107" i="47"/>
  <c r="AH107" i="47"/>
  <c r="AG107" i="47"/>
  <c r="AK107" i="47" s="1"/>
  <c r="AF107" i="47"/>
  <c r="AE107" i="47"/>
  <c r="AI107" i="47" s="1"/>
  <c r="AD107" i="47"/>
  <c r="AC107" i="47"/>
  <c r="O107" i="47"/>
  <c r="Q107" i="47" s="1"/>
  <c r="M107" i="47"/>
  <c r="AO106" i="47"/>
  <c r="AN106" i="47"/>
  <c r="AM106" i="47"/>
  <c r="AL106" i="47"/>
  <c r="AJ106" i="47"/>
  <c r="AH106" i="47"/>
  <c r="AG106" i="47"/>
  <c r="AK106" i="47" s="1"/>
  <c r="AF106" i="47"/>
  <c r="AE106" i="47"/>
  <c r="AD106" i="47"/>
  <c r="AC106" i="47"/>
  <c r="AI106" i="47" s="1"/>
  <c r="Q106" i="47"/>
  <c r="O106" i="47"/>
  <c r="AO105" i="47"/>
  <c r="AN105" i="47"/>
  <c r="AM105" i="47"/>
  <c r="AL105" i="47"/>
  <c r="AJ105" i="47"/>
  <c r="AH105" i="47"/>
  <c r="AG105" i="47"/>
  <c r="AK105" i="47" s="1"/>
  <c r="AF105" i="47"/>
  <c r="AE105" i="47"/>
  <c r="AI105" i="47" s="1"/>
  <c r="AD105" i="47"/>
  <c r="AC105" i="47"/>
  <c r="O105" i="47"/>
  <c r="Q105" i="47" s="1"/>
  <c r="M105" i="47"/>
  <c r="AO104" i="47"/>
  <c r="AN104" i="47"/>
  <c r="AM104" i="47"/>
  <c r="AL104" i="47"/>
  <c r="AJ104" i="47"/>
  <c r="AH104" i="47"/>
  <c r="AG104" i="47"/>
  <c r="AK104" i="47" s="1"/>
  <c r="AF104" i="47"/>
  <c r="AE104" i="47"/>
  <c r="AD104" i="47"/>
  <c r="AC104" i="47"/>
  <c r="AI104" i="47" s="1"/>
  <c r="Q104" i="47"/>
  <c r="O104" i="47"/>
  <c r="AO103" i="47"/>
  <c r="AN103" i="47"/>
  <c r="AM103" i="47"/>
  <c r="AL103" i="47"/>
  <c r="AJ103" i="47"/>
  <c r="AH103" i="47"/>
  <c r="AG103" i="47"/>
  <c r="AK103" i="47" s="1"/>
  <c r="AF103" i="47"/>
  <c r="AE103" i="47"/>
  <c r="AI103" i="47" s="1"/>
  <c r="AD103" i="47"/>
  <c r="AC103" i="47"/>
  <c r="O103" i="47"/>
  <c r="Q103" i="47" s="1"/>
  <c r="M103" i="47"/>
  <c r="AO102" i="47"/>
  <c r="AN102" i="47"/>
  <c r="AM102" i="47"/>
  <c r="AL102" i="47"/>
  <c r="AJ102" i="47"/>
  <c r="AH102" i="47"/>
  <c r="AG102" i="47"/>
  <c r="AK102" i="47" s="1"/>
  <c r="AF102" i="47"/>
  <c r="AE102" i="47"/>
  <c r="AD102" i="47"/>
  <c r="AC102" i="47"/>
  <c r="AI102" i="47" s="1"/>
  <c r="Q102" i="47"/>
  <c r="O102" i="47"/>
  <c r="AO101" i="47"/>
  <c r="AN101" i="47"/>
  <c r="AL101" i="47"/>
  <c r="AJ101" i="47"/>
  <c r="AH101" i="47"/>
  <c r="AG101" i="47"/>
  <c r="AK101" i="47" s="1"/>
  <c r="AF101" i="47"/>
  <c r="AE101" i="47"/>
  <c r="AI101" i="47" s="1"/>
  <c r="AD101" i="47"/>
  <c r="AC101" i="47"/>
  <c r="S101" i="47"/>
  <c r="O101" i="47"/>
  <c r="Q101" i="47" s="1"/>
  <c r="T101" i="47" s="1"/>
  <c r="M101" i="47"/>
  <c r="K101" i="47"/>
  <c r="AO100" i="47"/>
  <c r="AN100" i="47"/>
  <c r="AM100" i="47"/>
  <c r="AL100" i="47"/>
  <c r="AJ100" i="47"/>
  <c r="AH100" i="47"/>
  <c r="AG100" i="47"/>
  <c r="AK100" i="47" s="1"/>
  <c r="AF100" i="47"/>
  <c r="AE100" i="47"/>
  <c r="AD100" i="47"/>
  <c r="AC100" i="47"/>
  <c r="AI100" i="47" s="1"/>
  <c r="Q100" i="47"/>
  <c r="O100" i="47"/>
  <c r="AO99" i="47"/>
  <c r="AN99" i="47"/>
  <c r="AL99" i="47"/>
  <c r="AJ99" i="47"/>
  <c r="AH99" i="47"/>
  <c r="AG99" i="47"/>
  <c r="AK99" i="47" s="1"/>
  <c r="AF99" i="47"/>
  <c r="AE99" i="47"/>
  <c r="AI99" i="47" s="1"/>
  <c r="AD99" i="47"/>
  <c r="AC99" i="47"/>
  <c r="S99" i="47"/>
  <c r="O99" i="47"/>
  <c r="Q99" i="47" s="1"/>
  <c r="T99" i="47" s="1"/>
  <c r="M99" i="47"/>
  <c r="K99" i="47"/>
  <c r="AO98" i="47"/>
  <c r="AN98" i="47"/>
  <c r="AM98" i="47"/>
  <c r="AL98" i="47"/>
  <c r="AJ98" i="47"/>
  <c r="AH98" i="47"/>
  <c r="AG98" i="47"/>
  <c r="AK98" i="47" s="1"/>
  <c r="AF98" i="47"/>
  <c r="AE98" i="47"/>
  <c r="AD98" i="47"/>
  <c r="AC98" i="47"/>
  <c r="AI98" i="47" s="1"/>
  <c r="Q98" i="47"/>
  <c r="O98" i="47"/>
  <c r="AO97" i="47"/>
  <c r="AN97" i="47"/>
  <c r="AM97" i="47"/>
  <c r="AL97" i="47"/>
  <c r="AJ97" i="47"/>
  <c r="AH97" i="47"/>
  <c r="AG97" i="47"/>
  <c r="AK97" i="47" s="1"/>
  <c r="AF97" i="47"/>
  <c r="AE97" i="47"/>
  <c r="AI97" i="47" s="1"/>
  <c r="AD97" i="47"/>
  <c r="AC97" i="47"/>
  <c r="O97" i="47"/>
  <c r="Q97" i="47" s="1"/>
  <c r="M97" i="47"/>
  <c r="AO96" i="47"/>
  <c r="AN96" i="47"/>
  <c r="AM96" i="47"/>
  <c r="AL96" i="47"/>
  <c r="AJ96" i="47"/>
  <c r="AH96" i="47"/>
  <c r="AG96" i="47"/>
  <c r="AK96" i="47" s="1"/>
  <c r="AF96" i="47"/>
  <c r="AE96" i="47"/>
  <c r="AD96" i="47"/>
  <c r="AC96" i="47"/>
  <c r="AI96" i="47" s="1"/>
  <c r="Q96" i="47"/>
  <c r="O96" i="47"/>
  <c r="AO95" i="47"/>
  <c r="AN95" i="47"/>
  <c r="AM95" i="47"/>
  <c r="AL95" i="47"/>
  <c r="AJ95" i="47"/>
  <c r="AH95" i="47"/>
  <c r="AG95" i="47"/>
  <c r="AK95" i="47" s="1"/>
  <c r="AF95" i="47"/>
  <c r="AE95" i="47"/>
  <c r="AI95" i="47" s="1"/>
  <c r="AD95" i="47"/>
  <c r="AC95" i="47"/>
  <c r="O95" i="47"/>
  <c r="Q95" i="47" s="1"/>
  <c r="M95" i="47"/>
  <c r="AO94" i="47"/>
  <c r="AN94" i="47"/>
  <c r="AM94" i="47"/>
  <c r="AL94" i="47"/>
  <c r="AK94" i="47"/>
  <c r="AJ94" i="47"/>
  <c r="AH94" i="47"/>
  <c r="AG94" i="47"/>
  <c r="AF94" i="47"/>
  <c r="AE94" i="47"/>
  <c r="AD94" i="47"/>
  <c r="AC94" i="47"/>
  <c r="AI94" i="47" s="1"/>
  <c r="Q94" i="47"/>
  <c r="O94" i="47"/>
  <c r="AO93" i="47"/>
  <c r="AN93" i="47"/>
  <c r="AM93" i="47"/>
  <c r="AL93" i="47"/>
  <c r="AJ93" i="47"/>
  <c r="AH93" i="47"/>
  <c r="AG93" i="47"/>
  <c r="AK93" i="47" s="1"/>
  <c r="AF93" i="47"/>
  <c r="AE93" i="47"/>
  <c r="AI93" i="47" s="1"/>
  <c r="AD93" i="47"/>
  <c r="AC93" i="47"/>
  <c r="O93" i="47"/>
  <c r="Q93" i="47" s="1"/>
  <c r="M93" i="47"/>
  <c r="AO92" i="47"/>
  <c r="AN92" i="47"/>
  <c r="AM92" i="47"/>
  <c r="AL92" i="47"/>
  <c r="AJ92" i="47"/>
  <c r="AH92" i="47"/>
  <c r="AG92" i="47"/>
  <c r="AK92" i="47" s="1"/>
  <c r="AF92" i="47"/>
  <c r="AE92" i="47"/>
  <c r="AD92" i="47"/>
  <c r="AC92" i="47"/>
  <c r="AI92" i="47" s="1"/>
  <c r="Q92" i="47"/>
  <c r="O92" i="47"/>
  <c r="AO91" i="47"/>
  <c r="AN91" i="47"/>
  <c r="AM91" i="47"/>
  <c r="AL91" i="47"/>
  <c r="AJ91" i="47"/>
  <c r="AH91" i="47"/>
  <c r="AG91" i="47"/>
  <c r="AK91" i="47" s="1"/>
  <c r="AF91" i="47"/>
  <c r="AE91" i="47"/>
  <c r="AI91" i="47" s="1"/>
  <c r="AD91" i="47"/>
  <c r="AC91" i="47"/>
  <c r="O91" i="47"/>
  <c r="Q91" i="47" s="1"/>
  <c r="M91" i="47"/>
  <c r="AO90" i="47"/>
  <c r="AN90" i="47"/>
  <c r="AM90" i="47"/>
  <c r="AL90" i="47"/>
  <c r="AK90" i="47"/>
  <c r="AJ90" i="47"/>
  <c r="AH90" i="47"/>
  <c r="AG90" i="47"/>
  <c r="AF90" i="47"/>
  <c r="AE90" i="47"/>
  <c r="AD90" i="47"/>
  <c r="AC90" i="47"/>
  <c r="AI90" i="47" s="1"/>
  <c r="Q90" i="47"/>
  <c r="O90" i="47"/>
  <c r="AO89" i="47"/>
  <c r="AN89" i="47"/>
  <c r="AM89" i="47"/>
  <c r="AL89" i="47"/>
  <c r="AJ89" i="47"/>
  <c r="AH89" i="47"/>
  <c r="AG89" i="47"/>
  <c r="AF89" i="47"/>
  <c r="AE89" i="47"/>
  <c r="AD89" i="47"/>
  <c r="AI89" i="47" s="1"/>
  <c r="AC89" i="47"/>
  <c r="O89" i="47"/>
  <c r="Q89" i="47" s="1"/>
  <c r="M89" i="47"/>
  <c r="AO88" i="47"/>
  <c r="AN88" i="47"/>
  <c r="AM88" i="47"/>
  <c r="AL88" i="47"/>
  <c r="AJ88" i="47"/>
  <c r="AH88" i="47"/>
  <c r="AG88" i="47"/>
  <c r="AF88" i="47"/>
  <c r="AK88" i="47" s="1"/>
  <c r="AE88" i="47"/>
  <c r="AD88" i="47"/>
  <c r="AC88" i="47"/>
  <c r="AI88" i="47" s="1"/>
  <c r="Q88" i="47"/>
  <c r="O88" i="47"/>
  <c r="AO87" i="47"/>
  <c r="AN87" i="47"/>
  <c r="AM87" i="47"/>
  <c r="AL87" i="47"/>
  <c r="AJ87" i="47"/>
  <c r="AH87" i="47"/>
  <c r="AG87" i="47"/>
  <c r="AK87" i="47" s="1"/>
  <c r="AF87" i="47"/>
  <c r="AE87" i="47"/>
  <c r="AD87" i="47"/>
  <c r="AC87" i="47"/>
  <c r="AI87" i="47" s="1"/>
  <c r="O87" i="47"/>
  <c r="Q87" i="47" s="1"/>
  <c r="M87" i="47"/>
  <c r="AO86" i="47"/>
  <c r="AN86" i="47"/>
  <c r="AM86" i="47"/>
  <c r="AL86" i="47"/>
  <c r="AJ86" i="47"/>
  <c r="AH86" i="47"/>
  <c r="AG86" i="47"/>
  <c r="AF86" i="47"/>
  <c r="AK86" i="47" s="1"/>
  <c r="AE86" i="47"/>
  <c r="AI86" i="47" s="1"/>
  <c r="AD86" i="47"/>
  <c r="AC86" i="47"/>
  <c r="Q86" i="47"/>
  <c r="O86" i="47"/>
  <c r="AO85" i="47"/>
  <c r="AN85" i="47"/>
  <c r="AM85" i="47"/>
  <c r="AL85" i="47"/>
  <c r="AJ85" i="47"/>
  <c r="AH85" i="47"/>
  <c r="AG85" i="47"/>
  <c r="AK85" i="47" s="1"/>
  <c r="AF85" i="47"/>
  <c r="AE85" i="47"/>
  <c r="AD85" i="47"/>
  <c r="AC85" i="47"/>
  <c r="AI85" i="47" s="1"/>
  <c r="O85" i="47"/>
  <c r="Q85" i="47" s="1"/>
  <c r="M85" i="47"/>
  <c r="AO84" i="47"/>
  <c r="AN84" i="47"/>
  <c r="AM84" i="47"/>
  <c r="AL84" i="47"/>
  <c r="AJ84" i="47"/>
  <c r="AH84" i="47"/>
  <c r="AG84" i="47"/>
  <c r="AF84" i="47"/>
  <c r="AK84" i="47" s="1"/>
  <c r="AE84" i="47"/>
  <c r="AI84" i="47" s="1"/>
  <c r="AD84" i="47"/>
  <c r="AC84" i="47"/>
  <c r="O84" i="47"/>
  <c r="Q84" i="47" s="1"/>
  <c r="AO83" i="47"/>
  <c r="AN83" i="47"/>
  <c r="AM83" i="47"/>
  <c r="AL83" i="47"/>
  <c r="AJ83" i="47"/>
  <c r="AH83" i="47"/>
  <c r="AG83" i="47"/>
  <c r="AK83" i="47" s="1"/>
  <c r="AF83" i="47"/>
  <c r="AE83" i="47"/>
  <c r="AI83" i="47" s="1"/>
  <c r="AD83" i="47"/>
  <c r="AC83" i="47"/>
  <c r="O83" i="47"/>
  <c r="Q83" i="47" s="1"/>
  <c r="M83" i="47"/>
  <c r="AO82" i="47"/>
  <c r="AN82" i="47"/>
  <c r="AM82" i="47"/>
  <c r="AL82" i="47"/>
  <c r="AJ82" i="47"/>
  <c r="AH82" i="47"/>
  <c r="AG82" i="47"/>
  <c r="AF82" i="47"/>
  <c r="AK82" i="47" s="1"/>
  <c r="AE82" i="47"/>
  <c r="AD82" i="47"/>
  <c r="AC82" i="47"/>
  <c r="AI82" i="47" s="1"/>
  <c r="O82" i="47"/>
  <c r="Q82" i="47" s="1"/>
  <c r="AO81" i="47"/>
  <c r="AN81" i="47"/>
  <c r="AM81" i="47"/>
  <c r="AL81" i="47"/>
  <c r="AJ81" i="47"/>
  <c r="AH81" i="47"/>
  <c r="AG81" i="47"/>
  <c r="AK81" i="47" s="1"/>
  <c r="AF81" i="47"/>
  <c r="AE81" i="47"/>
  <c r="AI81" i="47" s="1"/>
  <c r="AD81" i="47"/>
  <c r="AC81" i="47"/>
  <c r="O81" i="47"/>
  <c r="Q81" i="47" s="1"/>
  <c r="M81" i="47"/>
  <c r="AO80" i="47"/>
  <c r="AN80" i="47"/>
  <c r="AM80" i="47"/>
  <c r="AL80" i="47"/>
  <c r="AJ80" i="47"/>
  <c r="AH80" i="47"/>
  <c r="AG80" i="47"/>
  <c r="AF80" i="47"/>
  <c r="AK80" i="47" s="1"/>
  <c r="AE80" i="47"/>
  <c r="AD80" i="47"/>
  <c r="AC80" i="47"/>
  <c r="AI80" i="47" s="1"/>
  <c r="Q80" i="47"/>
  <c r="O80" i="47"/>
  <c r="AO79" i="47"/>
  <c r="AN79" i="47"/>
  <c r="AM79" i="47"/>
  <c r="AL79" i="47"/>
  <c r="AJ79" i="47"/>
  <c r="AH79" i="47"/>
  <c r="AG79" i="47"/>
  <c r="AK79" i="47" s="1"/>
  <c r="AF79" i="47"/>
  <c r="AE79" i="47"/>
  <c r="AD79" i="47"/>
  <c r="AC79" i="47"/>
  <c r="AI79" i="47" s="1"/>
  <c r="O79" i="47"/>
  <c r="Q79" i="47" s="1"/>
  <c r="M79" i="47"/>
  <c r="AO78" i="47"/>
  <c r="AN78" i="47"/>
  <c r="AM78" i="47"/>
  <c r="AL78" i="47"/>
  <c r="AJ78" i="47"/>
  <c r="AH78" i="47"/>
  <c r="AG78" i="47"/>
  <c r="AF78" i="47"/>
  <c r="AE78" i="47"/>
  <c r="AD78" i="47"/>
  <c r="AI78" i="47" s="1"/>
  <c r="AC78" i="47"/>
  <c r="O78" i="47"/>
  <c r="Q78" i="47" s="1"/>
  <c r="AO77" i="47"/>
  <c r="AN77" i="47"/>
  <c r="AM77" i="47"/>
  <c r="AL77" i="47"/>
  <c r="AJ77" i="47"/>
  <c r="AH77" i="47"/>
  <c r="AG77" i="47"/>
  <c r="AK77" i="47" s="1"/>
  <c r="AF77" i="47"/>
  <c r="AE77" i="47"/>
  <c r="AD77" i="47"/>
  <c r="AC77" i="47"/>
  <c r="AI77" i="47" s="1"/>
  <c r="O77" i="47"/>
  <c r="Q77" i="47" s="1"/>
  <c r="M77" i="47"/>
  <c r="AO76" i="47"/>
  <c r="AN76" i="47"/>
  <c r="AM76" i="47"/>
  <c r="AL76" i="47"/>
  <c r="AJ76" i="47"/>
  <c r="AH76" i="47"/>
  <c r="AG76" i="47"/>
  <c r="AF76" i="47"/>
  <c r="AK76" i="47" s="1"/>
  <c r="AE76" i="47"/>
  <c r="AD76" i="47"/>
  <c r="AC76" i="47"/>
  <c r="AI76" i="47" s="1"/>
  <c r="Q76" i="47"/>
  <c r="O76" i="47"/>
  <c r="AO75" i="47"/>
  <c r="AN75" i="47"/>
  <c r="AM75" i="47"/>
  <c r="AL75" i="47"/>
  <c r="AJ75" i="47"/>
  <c r="AH75" i="47"/>
  <c r="AG75" i="47"/>
  <c r="AF75" i="47"/>
  <c r="AK75" i="47" s="1"/>
  <c r="AE75" i="47"/>
  <c r="AI75" i="47" s="1"/>
  <c r="AD75" i="47"/>
  <c r="AC75" i="47"/>
  <c r="O75" i="47"/>
  <c r="Q75" i="47" s="1"/>
  <c r="M75" i="47"/>
  <c r="AO74" i="47"/>
  <c r="AN74" i="47"/>
  <c r="AM74" i="47"/>
  <c r="AL74" i="47"/>
  <c r="AJ74" i="47"/>
  <c r="AH74" i="47"/>
  <c r="AG74" i="47"/>
  <c r="AF74" i="47"/>
  <c r="AK74" i="47" s="1"/>
  <c r="AE74" i="47"/>
  <c r="AI74" i="47" s="1"/>
  <c r="AD74" i="47"/>
  <c r="AC74" i="47"/>
  <c r="O74" i="47"/>
  <c r="Q74" i="47" s="1"/>
  <c r="AO73" i="47"/>
  <c r="AN73" i="47"/>
  <c r="AM73" i="47"/>
  <c r="AL73" i="47"/>
  <c r="AJ73" i="47"/>
  <c r="AH73" i="47"/>
  <c r="AG73" i="47"/>
  <c r="AK73" i="47" s="1"/>
  <c r="AF73" i="47"/>
  <c r="AE73" i="47"/>
  <c r="AI73" i="47" s="1"/>
  <c r="AD73" i="47"/>
  <c r="AC73" i="47"/>
  <c r="O73" i="47"/>
  <c r="Q73" i="47" s="1"/>
  <c r="M73" i="47"/>
  <c r="AO72" i="47"/>
  <c r="AN72" i="47"/>
  <c r="AM72" i="47"/>
  <c r="AL72" i="47"/>
  <c r="AJ72" i="47"/>
  <c r="AH72" i="47"/>
  <c r="AG72" i="47"/>
  <c r="AF72" i="47"/>
  <c r="AK72" i="47" s="1"/>
  <c r="AE72" i="47"/>
  <c r="AD72" i="47"/>
  <c r="AC72" i="47"/>
  <c r="AI72" i="47" s="1"/>
  <c r="Q72" i="47"/>
  <c r="O72" i="47"/>
  <c r="AO71" i="47"/>
  <c r="AN71" i="47"/>
  <c r="AM71" i="47"/>
  <c r="AL71" i="47"/>
  <c r="AJ71" i="47"/>
  <c r="AH71" i="47"/>
  <c r="AG71" i="47"/>
  <c r="AK71" i="47" s="1"/>
  <c r="AF71" i="47"/>
  <c r="AE71" i="47"/>
  <c r="AD71" i="47"/>
  <c r="AC71" i="47"/>
  <c r="AI71" i="47" s="1"/>
  <c r="O71" i="47"/>
  <c r="Q71" i="47" s="1"/>
  <c r="M71" i="47"/>
  <c r="AO70" i="47"/>
  <c r="AN70" i="47"/>
  <c r="AM70" i="47"/>
  <c r="AL70" i="47"/>
  <c r="AJ70" i="47"/>
  <c r="AH70" i="47"/>
  <c r="AG70" i="47"/>
  <c r="AF70" i="47"/>
  <c r="AE70" i="47"/>
  <c r="AD70" i="47"/>
  <c r="AI70" i="47" s="1"/>
  <c r="AC70" i="47"/>
  <c r="O70" i="47"/>
  <c r="Q70" i="47" s="1"/>
  <c r="AO69" i="47"/>
  <c r="AN69" i="47"/>
  <c r="AM69" i="47"/>
  <c r="AL69" i="47"/>
  <c r="AJ69" i="47"/>
  <c r="AH69" i="47"/>
  <c r="AG69" i="47"/>
  <c r="AF69" i="47"/>
  <c r="AK69" i="47" s="1"/>
  <c r="AE69" i="47"/>
  <c r="AD69" i="47"/>
  <c r="AC69" i="47"/>
  <c r="AI69" i="47" s="1"/>
  <c r="Q69" i="47"/>
  <c r="O69" i="47"/>
  <c r="M69" i="47"/>
  <c r="AO68" i="47"/>
  <c r="AN68" i="47"/>
  <c r="AM68" i="47"/>
  <c r="AL68" i="47"/>
  <c r="AJ68" i="47"/>
  <c r="AH68" i="47"/>
  <c r="AG68" i="47"/>
  <c r="AF68" i="47"/>
  <c r="AK68" i="47" s="1"/>
  <c r="AE68" i="47"/>
  <c r="AI68" i="47" s="1"/>
  <c r="AD68" i="47"/>
  <c r="AC68" i="47"/>
  <c r="O68" i="47"/>
  <c r="Q68" i="47" s="1"/>
  <c r="AO67" i="47"/>
  <c r="AN67" i="47"/>
  <c r="AM67" i="47"/>
  <c r="AL67" i="47"/>
  <c r="AJ67" i="47"/>
  <c r="AH67" i="47"/>
  <c r="AG67" i="47"/>
  <c r="AF67" i="47"/>
  <c r="AK67" i="47" s="1"/>
  <c r="AE67" i="47"/>
  <c r="AD67" i="47"/>
  <c r="AI67" i="47" s="1"/>
  <c r="AC67" i="47"/>
  <c r="O67" i="47"/>
  <c r="Q67" i="47" s="1"/>
  <c r="M67" i="47"/>
  <c r="AO66" i="47"/>
  <c r="AN66" i="47"/>
  <c r="AM66" i="47"/>
  <c r="AL66" i="47"/>
  <c r="AJ66" i="47"/>
  <c r="AH66" i="47"/>
  <c r="AG66" i="47"/>
  <c r="AK66" i="47" s="1"/>
  <c r="AF66" i="47"/>
  <c r="AE66" i="47"/>
  <c r="AD66" i="47"/>
  <c r="AC66" i="47"/>
  <c r="AI66" i="47" s="1"/>
  <c r="O66" i="47"/>
  <c r="Q66" i="47" s="1"/>
  <c r="AO65" i="47"/>
  <c r="AN65" i="47"/>
  <c r="AM65" i="47"/>
  <c r="AL65" i="47"/>
  <c r="AJ65" i="47"/>
  <c r="AH65" i="47"/>
  <c r="AG65" i="47"/>
  <c r="AF65" i="47"/>
  <c r="AK65" i="47" s="1"/>
  <c r="AE65" i="47"/>
  <c r="AD65" i="47"/>
  <c r="AC65" i="47"/>
  <c r="AI65" i="47" s="1"/>
  <c r="Q65" i="47"/>
  <c r="O65" i="47"/>
  <c r="M65" i="47"/>
  <c r="AO64" i="47"/>
  <c r="AN64" i="47"/>
  <c r="AM64" i="47"/>
  <c r="AL64" i="47"/>
  <c r="AJ64" i="47"/>
  <c r="AH64" i="47"/>
  <c r="AG64" i="47"/>
  <c r="AF64" i="47"/>
  <c r="AK64" i="47" s="1"/>
  <c r="AE64" i="47"/>
  <c r="AI64" i="47" s="1"/>
  <c r="AD64" i="47"/>
  <c r="AC64" i="47"/>
  <c r="O64" i="47"/>
  <c r="Q64" i="47" s="1"/>
  <c r="AO63" i="47"/>
  <c r="AN63" i="47"/>
  <c r="AM63" i="47"/>
  <c r="AL63" i="47"/>
  <c r="AJ63" i="47"/>
  <c r="AH63" i="47"/>
  <c r="AG63" i="47"/>
  <c r="AF63" i="47"/>
  <c r="AK63" i="47" s="1"/>
  <c r="AE63" i="47"/>
  <c r="AD63" i="47"/>
  <c r="AI63" i="47" s="1"/>
  <c r="AC63" i="47"/>
  <c r="O63" i="47"/>
  <c r="Q63" i="47" s="1"/>
  <c r="M63" i="47"/>
  <c r="AO62" i="47"/>
  <c r="AN62" i="47"/>
  <c r="AM62" i="47"/>
  <c r="AL62" i="47"/>
  <c r="AJ62" i="47"/>
  <c r="AH62" i="47"/>
  <c r="AG62" i="47"/>
  <c r="AF62" i="47"/>
  <c r="AK62" i="47" s="1"/>
  <c r="AE62" i="47"/>
  <c r="AD62" i="47"/>
  <c r="AC62" i="47"/>
  <c r="AI62" i="47" s="1"/>
  <c r="Q62" i="47"/>
  <c r="O62" i="47"/>
  <c r="AO61" i="47"/>
  <c r="AN61" i="47"/>
  <c r="AM61" i="47"/>
  <c r="AL61" i="47"/>
  <c r="AJ61" i="47"/>
  <c r="AH61" i="47"/>
  <c r="AG61" i="47"/>
  <c r="AF61" i="47"/>
  <c r="AK61" i="47" s="1"/>
  <c r="AE61" i="47"/>
  <c r="AI61" i="47" s="1"/>
  <c r="AD61" i="47"/>
  <c r="AC61" i="47"/>
  <c r="O61" i="47"/>
  <c r="Q61" i="47" s="1"/>
  <c r="M61" i="47"/>
  <c r="AO60" i="47"/>
  <c r="AN60" i="47"/>
  <c r="AM60" i="47"/>
  <c r="AL60" i="47"/>
  <c r="AJ60" i="47"/>
  <c r="AH60" i="47"/>
  <c r="AG60" i="47"/>
  <c r="AF60" i="47"/>
  <c r="AK60" i="47" s="1"/>
  <c r="AE60" i="47"/>
  <c r="AD60" i="47"/>
  <c r="AI60" i="47" s="1"/>
  <c r="AC60" i="47"/>
  <c r="O60" i="47"/>
  <c r="Q60" i="47" s="1"/>
  <c r="AO59" i="47"/>
  <c r="AN59" i="47"/>
  <c r="AM59" i="47"/>
  <c r="AL59" i="47"/>
  <c r="AJ59" i="47"/>
  <c r="AH59" i="47"/>
  <c r="AG59" i="47"/>
  <c r="AK59" i="47" s="1"/>
  <c r="AF59" i="47"/>
  <c r="AE59" i="47"/>
  <c r="AD59" i="47"/>
  <c r="AC59" i="47"/>
  <c r="AI59" i="47" s="1"/>
  <c r="O59" i="47"/>
  <c r="Q59" i="47" s="1"/>
  <c r="M59" i="47"/>
  <c r="AN58" i="47"/>
  <c r="AM58" i="47"/>
  <c r="AL58" i="47"/>
  <c r="AJ58" i="47"/>
  <c r="AG58" i="47"/>
  <c r="AF58" i="47"/>
  <c r="AK58" i="47" s="1"/>
  <c r="AD58" i="47"/>
  <c r="AC58" i="47"/>
  <c r="AI58" i="47" s="1"/>
  <c r="O58" i="47"/>
  <c r="Q58" i="47" s="1"/>
  <c r="L58" i="47"/>
  <c r="AN57" i="47"/>
  <c r="AM57" i="47"/>
  <c r="AL57" i="47"/>
  <c r="AJ57" i="47"/>
  <c r="AG57" i="47"/>
  <c r="AF57" i="47"/>
  <c r="AK57" i="47" s="1"/>
  <c r="AD57" i="47"/>
  <c r="AC57" i="47"/>
  <c r="AI57" i="47" s="1"/>
  <c r="Q57" i="47"/>
  <c r="O57" i="47"/>
  <c r="L57" i="47"/>
  <c r="AN56" i="47"/>
  <c r="AM56" i="47"/>
  <c r="AL56" i="47"/>
  <c r="AJ56" i="47"/>
  <c r="AG56" i="47"/>
  <c r="AF56" i="47"/>
  <c r="AK56" i="47" s="1"/>
  <c r="AD56" i="47"/>
  <c r="AC56" i="47"/>
  <c r="AI56" i="47" s="1"/>
  <c r="O56" i="47"/>
  <c r="Q56" i="47" s="1"/>
  <c r="L56" i="47"/>
  <c r="AN55" i="47"/>
  <c r="AM55" i="47"/>
  <c r="AL55" i="47"/>
  <c r="AJ55" i="47"/>
  <c r="AG55" i="47"/>
  <c r="AF55" i="47"/>
  <c r="AK55" i="47" s="1"/>
  <c r="AD55" i="47"/>
  <c r="AC55" i="47"/>
  <c r="AI55" i="47" s="1"/>
  <c r="O55" i="47"/>
  <c r="Q55" i="47" s="1"/>
  <c r="L55" i="47"/>
  <c r="AN54" i="47"/>
  <c r="AM54" i="47"/>
  <c r="AL54" i="47"/>
  <c r="AJ54" i="47"/>
  <c r="AG54" i="47"/>
  <c r="AF54" i="47"/>
  <c r="AK54" i="47" s="1"/>
  <c r="AD54" i="47"/>
  <c r="AC54" i="47"/>
  <c r="AI54" i="47" s="1"/>
  <c r="O54" i="47"/>
  <c r="Q54" i="47" s="1"/>
  <c r="L54" i="47"/>
  <c r="AN53" i="47"/>
  <c r="AM53" i="47"/>
  <c r="AL53" i="47"/>
  <c r="AJ53" i="47"/>
  <c r="AG53" i="47"/>
  <c r="AF53" i="47"/>
  <c r="AK53" i="47" s="1"/>
  <c r="AD53" i="47"/>
  <c r="AC53" i="47"/>
  <c r="AI53" i="47" s="1"/>
  <c r="Q53" i="47"/>
  <c r="O53" i="47"/>
  <c r="L53" i="47"/>
  <c r="AN52" i="47"/>
  <c r="AM52" i="47"/>
  <c r="AL52" i="47"/>
  <c r="AJ52" i="47"/>
  <c r="AG52" i="47"/>
  <c r="AF52" i="47"/>
  <c r="AK52" i="47" s="1"/>
  <c r="AD52" i="47"/>
  <c r="AC52" i="47"/>
  <c r="AI52" i="47" s="1"/>
  <c r="O52" i="47"/>
  <c r="Q52" i="47" s="1"/>
  <c r="L52" i="47"/>
  <c r="AN51" i="47"/>
  <c r="AM51" i="47"/>
  <c r="AL51" i="47"/>
  <c r="AJ51" i="47"/>
  <c r="AG51" i="47"/>
  <c r="AF51" i="47"/>
  <c r="AK51" i="47" s="1"/>
  <c r="AD51" i="47"/>
  <c r="AC51" i="47"/>
  <c r="AI51" i="47" s="1"/>
  <c r="O51" i="47"/>
  <c r="Q51" i="47" s="1"/>
  <c r="L51" i="47"/>
  <c r="AN50" i="47"/>
  <c r="AM50" i="47"/>
  <c r="AL50" i="47"/>
  <c r="AJ50" i="47"/>
  <c r="AG50" i="47"/>
  <c r="AF50" i="47"/>
  <c r="AK50" i="47" s="1"/>
  <c r="AD50" i="47"/>
  <c r="AC50" i="47"/>
  <c r="AI50" i="47" s="1"/>
  <c r="O50" i="47"/>
  <c r="Q50" i="47" s="1"/>
  <c r="L50" i="47"/>
  <c r="C50" i="47"/>
  <c r="AN49" i="47"/>
  <c r="AM49" i="47"/>
  <c r="AL49" i="47"/>
  <c r="AJ49" i="47"/>
  <c r="AG49" i="47"/>
  <c r="AF49" i="47"/>
  <c r="AK49" i="47" s="1"/>
  <c r="AD49" i="47"/>
  <c r="AC49" i="47"/>
  <c r="AI49" i="47" s="1"/>
  <c r="Q49" i="47"/>
  <c r="O49" i="47"/>
  <c r="L49" i="47"/>
  <c r="C49" i="47"/>
  <c r="AN48" i="47"/>
  <c r="AM48" i="47"/>
  <c r="AL48" i="47"/>
  <c r="AJ48" i="47"/>
  <c r="AG48" i="47"/>
  <c r="AF48" i="47"/>
  <c r="AK48" i="47" s="1"/>
  <c r="AD48" i="47"/>
  <c r="AC48" i="47"/>
  <c r="AI48" i="47" s="1"/>
  <c r="O48" i="47"/>
  <c r="Q48" i="47" s="1"/>
  <c r="L48" i="47"/>
  <c r="C48" i="47"/>
  <c r="AN47" i="47"/>
  <c r="AM47" i="47"/>
  <c r="AL47" i="47"/>
  <c r="AJ47" i="47"/>
  <c r="AG47" i="47"/>
  <c r="AF47" i="47"/>
  <c r="AK47" i="47" s="1"/>
  <c r="AD47" i="47"/>
  <c r="AC47" i="47"/>
  <c r="AI47" i="47" s="1"/>
  <c r="O47" i="47"/>
  <c r="Q47" i="47" s="1"/>
  <c r="L47" i="47"/>
  <c r="C47" i="47"/>
  <c r="AN46" i="47"/>
  <c r="AM46" i="47"/>
  <c r="AL46" i="47"/>
  <c r="AJ46" i="47"/>
  <c r="AG46" i="47"/>
  <c r="AF46" i="47"/>
  <c r="AK46" i="47" s="1"/>
  <c r="AD46" i="47"/>
  <c r="AC46" i="47"/>
  <c r="AI46" i="47" s="1"/>
  <c r="O46" i="47"/>
  <c r="Q46" i="47" s="1"/>
  <c r="L46" i="47"/>
  <c r="C46" i="47"/>
  <c r="AN45" i="47"/>
  <c r="AM45" i="47"/>
  <c r="AL45" i="47"/>
  <c r="AJ45" i="47"/>
  <c r="AG45" i="47"/>
  <c r="AF45" i="47"/>
  <c r="AK45" i="47" s="1"/>
  <c r="AD45" i="47"/>
  <c r="AC45" i="47"/>
  <c r="AI45" i="47" s="1"/>
  <c r="Q45" i="47"/>
  <c r="O45" i="47"/>
  <c r="L45" i="47"/>
  <c r="C45" i="47"/>
  <c r="AN44" i="47"/>
  <c r="AM44" i="47"/>
  <c r="AL44" i="47"/>
  <c r="AJ44" i="47"/>
  <c r="AG44" i="47"/>
  <c r="AF44" i="47"/>
  <c r="AK44" i="47" s="1"/>
  <c r="AD44" i="47"/>
  <c r="AC44" i="47"/>
  <c r="AI44" i="47" s="1"/>
  <c r="O44" i="47"/>
  <c r="Q44" i="47" s="1"/>
  <c r="L44" i="47"/>
  <c r="C44" i="47"/>
  <c r="AN43" i="47"/>
  <c r="AM43" i="47"/>
  <c r="AL43" i="47"/>
  <c r="AJ43" i="47"/>
  <c r="AG43" i="47"/>
  <c r="AF43" i="47"/>
  <c r="AK43" i="47" s="1"/>
  <c r="AD43" i="47"/>
  <c r="AC43" i="47"/>
  <c r="AI43" i="47" s="1"/>
  <c r="O43" i="47"/>
  <c r="Q43" i="47" s="1"/>
  <c r="L43" i="47"/>
  <c r="C43" i="47"/>
  <c r="AN42" i="47"/>
  <c r="AM42" i="47"/>
  <c r="AL42" i="47"/>
  <c r="AJ42" i="47"/>
  <c r="AG42" i="47"/>
  <c r="AF42" i="47"/>
  <c r="AK42" i="47" s="1"/>
  <c r="AD42" i="47"/>
  <c r="AC42" i="47"/>
  <c r="AI42" i="47" s="1"/>
  <c r="O42" i="47"/>
  <c r="Q42" i="47" s="1"/>
  <c r="L42" i="47"/>
  <c r="C42" i="47"/>
  <c r="AN41" i="47"/>
  <c r="AM41" i="47"/>
  <c r="AL41" i="47"/>
  <c r="AJ41" i="47"/>
  <c r="AG41" i="47"/>
  <c r="AF41" i="47"/>
  <c r="AK41" i="47" s="1"/>
  <c r="AD41" i="47"/>
  <c r="AC41" i="47"/>
  <c r="AI41" i="47" s="1"/>
  <c r="Q41" i="47"/>
  <c r="O41" i="47"/>
  <c r="L41" i="47"/>
  <c r="C41" i="47"/>
  <c r="AO40" i="47"/>
  <c r="AN40" i="47"/>
  <c r="AM40" i="47"/>
  <c r="AL40" i="47"/>
  <c r="AJ40" i="47"/>
  <c r="AH40" i="47"/>
  <c r="AG40" i="47"/>
  <c r="AF40" i="47"/>
  <c r="AK40" i="47" s="1"/>
  <c r="AE40" i="47"/>
  <c r="AD40" i="47"/>
  <c r="AI40" i="47" s="1"/>
  <c r="AC40" i="47"/>
  <c r="O40" i="47"/>
  <c r="Q40" i="47" s="1"/>
  <c r="AO39" i="47"/>
  <c r="AN39" i="47"/>
  <c r="AM39" i="47"/>
  <c r="AL39" i="47"/>
  <c r="AJ39" i="47"/>
  <c r="AH39" i="47"/>
  <c r="AG39" i="47"/>
  <c r="AF39" i="47"/>
  <c r="AK39" i="47" s="1"/>
  <c r="AE39" i="47"/>
  <c r="AD39" i="47"/>
  <c r="AC39" i="47"/>
  <c r="AI39" i="47" s="1"/>
  <c r="Q39" i="47"/>
  <c r="O39" i="47"/>
  <c r="M39" i="47"/>
  <c r="AO38" i="47"/>
  <c r="AN38" i="47"/>
  <c r="AM38" i="47"/>
  <c r="AL38" i="47"/>
  <c r="AJ38" i="47"/>
  <c r="AH38" i="47"/>
  <c r="AG38" i="47"/>
  <c r="AF38" i="47"/>
  <c r="AK38" i="47" s="1"/>
  <c r="AE38" i="47"/>
  <c r="AI38" i="47" s="1"/>
  <c r="AD38" i="47"/>
  <c r="AC38" i="47"/>
  <c r="O38" i="47"/>
  <c r="Q38" i="47" s="1"/>
  <c r="AO37" i="47"/>
  <c r="AN37" i="47"/>
  <c r="AM37" i="47"/>
  <c r="AL37" i="47"/>
  <c r="AJ37" i="47"/>
  <c r="AH37" i="47"/>
  <c r="AG37" i="47"/>
  <c r="AF37" i="47"/>
  <c r="AK37" i="47" s="1"/>
  <c r="AE37" i="47"/>
  <c r="AD37" i="47"/>
  <c r="AC37" i="47"/>
  <c r="AI37" i="47" s="1"/>
  <c r="Q37" i="47"/>
  <c r="O37" i="47"/>
  <c r="M37" i="47"/>
  <c r="D37" i="47"/>
  <c r="C37" i="47"/>
  <c r="B37" i="47"/>
  <c r="AO36" i="47"/>
  <c r="AN36" i="47"/>
  <c r="AM36" i="47"/>
  <c r="AL36" i="47"/>
  <c r="AJ36" i="47"/>
  <c r="AH36" i="47"/>
  <c r="AG36" i="47"/>
  <c r="AK36" i="47" s="1"/>
  <c r="AF36" i="47"/>
  <c r="AE36" i="47"/>
  <c r="AD36" i="47"/>
  <c r="AC36" i="47"/>
  <c r="AI36" i="47" s="1"/>
  <c r="Q36" i="47"/>
  <c r="O36" i="47"/>
  <c r="D36" i="47"/>
  <c r="C36" i="47"/>
  <c r="B36" i="47"/>
  <c r="AO35" i="47"/>
  <c r="AN35" i="47"/>
  <c r="AM35" i="47"/>
  <c r="AL35" i="47"/>
  <c r="AJ35" i="47"/>
  <c r="AH35" i="47"/>
  <c r="AG35" i="47"/>
  <c r="AF35" i="47"/>
  <c r="AK35" i="47" s="1"/>
  <c r="AE35" i="47"/>
  <c r="AI35" i="47" s="1"/>
  <c r="AD35" i="47"/>
  <c r="AC35" i="47"/>
  <c r="O35" i="47"/>
  <c r="Q35" i="47" s="1"/>
  <c r="M35" i="47"/>
  <c r="D35" i="47"/>
  <c r="C35" i="47"/>
  <c r="B35" i="47"/>
  <c r="AO34" i="47"/>
  <c r="AN34" i="47"/>
  <c r="AM34" i="47"/>
  <c r="AL34" i="47"/>
  <c r="AJ34" i="47"/>
  <c r="AH34" i="47"/>
  <c r="AG34" i="47"/>
  <c r="AF34" i="47"/>
  <c r="AK34" i="47" s="1"/>
  <c r="AE34" i="47"/>
  <c r="AI34" i="47" s="1"/>
  <c r="AD34" i="47"/>
  <c r="AC34" i="47"/>
  <c r="Q34" i="47"/>
  <c r="O34" i="47"/>
  <c r="D34" i="47"/>
  <c r="C34" i="47"/>
  <c r="B34" i="47"/>
  <c r="AO33" i="47"/>
  <c r="AN33" i="47"/>
  <c r="AM33" i="47"/>
  <c r="AL33" i="47"/>
  <c r="AJ33" i="47"/>
  <c r="AH33" i="47"/>
  <c r="AG33" i="47"/>
  <c r="AF33" i="47"/>
  <c r="AK33" i="47" s="1"/>
  <c r="AE33" i="47"/>
  <c r="AD33" i="47"/>
  <c r="AC33" i="47"/>
  <c r="AI33" i="47" s="1"/>
  <c r="Q33" i="47"/>
  <c r="O33" i="47"/>
  <c r="M33" i="47"/>
  <c r="D33" i="47"/>
  <c r="C33" i="47"/>
  <c r="B33" i="47"/>
  <c r="AO32" i="47"/>
  <c r="AN32" i="47"/>
  <c r="AM32" i="47"/>
  <c r="AL32" i="47"/>
  <c r="AJ32" i="47"/>
  <c r="AH32" i="47"/>
  <c r="AG32" i="47"/>
  <c r="AK32" i="47" s="1"/>
  <c r="AF32" i="47"/>
  <c r="AE32" i="47"/>
  <c r="AD32" i="47"/>
  <c r="AC32" i="47"/>
  <c r="AI32" i="47" s="1"/>
  <c r="Q32" i="47"/>
  <c r="O32" i="47"/>
  <c r="D32" i="47"/>
  <c r="C32" i="47"/>
  <c r="B32" i="47"/>
  <c r="AO31" i="47"/>
  <c r="AN31" i="47"/>
  <c r="AM31" i="47"/>
  <c r="AL31" i="47"/>
  <c r="AJ31" i="47"/>
  <c r="AH31" i="47"/>
  <c r="AG31" i="47"/>
  <c r="AF31" i="47"/>
  <c r="AK31" i="47" s="1"/>
  <c r="AE31" i="47"/>
  <c r="AI31" i="47" s="1"/>
  <c r="AD31" i="47"/>
  <c r="AC31" i="47"/>
  <c r="O31" i="47"/>
  <c r="Q31" i="47" s="1"/>
  <c r="M31" i="47"/>
  <c r="D31" i="47"/>
  <c r="C31" i="47"/>
  <c r="B31" i="47"/>
  <c r="AO30" i="47"/>
  <c r="AN30" i="47"/>
  <c r="AM30" i="47"/>
  <c r="AL30" i="47"/>
  <c r="AJ30" i="47"/>
  <c r="AH30" i="47"/>
  <c r="AG30" i="47"/>
  <c r="AF30" i="47"/>
  <c r="AK30" i="47" s="1"/>
  <c r="AE30" i="47"/>
  <c r="AI30" i="47" s="1"/>
  <c r="AD30" i="47"/>
  <c r="AC30" i="47"/>
  <c r="O30" i="47"/>
  <c r="Q30" i="47" s="1"/>
  <c r="D30" i="47"/>
  <c r="C30" i="47"/>
  <c r="B30" i="47"/>
  <c r="AO29" i="47"/>
  <c r="AN29" i="47"/>
  <c r="AM29" i="47"/>
  <c r="AL29" i="47"/>
  <c r="AJ29" i="47"/>
  <c r="AH29" i="47"/>
  <c r="AG29" i="47"/>
  <c r="AF29" i="47"/>
  <c r="AK29" i="47" s="1"/>
  <c r="AE29" i="47"/>
  <c r="AD29" i="47"/>
  <c r="AC29" i="47"/>
  <c r="AI29" i="47" s="1"/>
  <c r="Q29" i="47"/>
  <c r="O29" i="47"/>
  <c r="M29" i="47"/>
  <c r="D29" i="47"/>
  <c r="C29" i="47"/>
  <c r="B29" i="47"/>
  <c r="AO28" i="47"/>
  <c r="AN28" i="47"/>
  <c r="AM28" i="47"/>
  <c r="AL28" i="47"/>
  <c r="AJ28" i="47"/>
  <c r="AH28" i="47"/>
  <c r="AG28" i="47"/>
  <c r="AK28" i="47" s="1"/>
  <c r="AF28" i="47"/>
  <c r="AE28" i="47"/>
  <c r="AD28" i="47"/>
  <c r="AC28" i="47"/>
  <c r="AI28" i="47" s="1"/>
  <c r="Q28" i="47"/>
  <c r="O28" i="47"/>
  <c r="C28" i="47"/>
  <c r="B28" i="47"/>
  <c r="AO27" i="47"/>
  <c r="AN27" i="47"/>
  <c r="AM27" i="47"/>
  <c r="AL27" i="47"/>
  <c r="AK27" i="47"/>
  <c r="AJ27" i="47"/>
  <c r="AH27" i="47"/>
  <c r="AG27" i="47"/>
  <c r="AF27" i="47"/>
  <c r="AE27" i="47"/>
  <c r="AD27" i="47"/>
  <c r="AC27" i="47"/>
  <c r="AI27" i="47" s="1"/>
  <c r="Q27" i="47"/>
  <c r="O27" i="47"/>
  <c r="M27" i="47"/>
  <c r="AO26" i="47"/>
  <c r="AN26" i="47"/>
  <c r="AM26" i="47"/>
  <c r="AL26" i="47"/>
  <c r="AJ26" i="47"/>
  <c r="AH26" i="47"/>
  <c r="AG26" i="47"/>
  <c r="AF26" i="47"/>
  <c r="AK26" i="47" s="1"/>
  <c r="AE26" i="47"/>
  <c r="AI26" i="47" s="1"/>
  <c r="AD26" i="47"/>
  <c r="AC26" i="47"/>
  <c r="O26" i="47"/>
  <c r="Q26" i="47" s="1"/>
  <c r="AO25" i="47"/>
  <c r="AN25" i="47"/>
  <c r="AM25" i="47"/>
  <c r="AL25" i="47"/>
  <c r="AJ25" i="47"/>
  <c r="AH25" i="47"/>
  <c r="AG25" i="47"/>
  <c r="AK25" i="47" s="1"/>
  <c r="AF25" i="47"/>
  <c r="AE25" i="47"/>
  <c r="AD25" i="47"/>
  <c r="AC25" i="47"/>
  <c r="AI25" i="47" s="1"/>
  <c r="O25" i="47"/>
  <c r="Q25" i="47" s="1"/>
  <c r="M25" i="47"/>
  <c r="AO24" i="47"/>
  <c r="AN24" i="47"/>
  <c r="AM24" i="47"/>
  <c r="AL24" i="47"/>
  <c r="AJ24" i="47"/>
  <c r="AH24" i="47"/>
  <c r="AG24" i="47"/>
  <c r="AF24" i="47"/>
  <c r="AK24" i="47" s="1"/>
  <c r="AE24" i="47"/>
  <c r="AI24" i="47" s="1"/>
  <c r="AD24" i="47"/>
  <c r="AC24" i="47"/>
  <c r="O24" i="47"/>
  <c r="Q24" i="47" s="1"/>
  <c r="D24" i="47"/>
  <c r="C24" i="47"/>
  <c r="B24" i="47"/>
  <c r="AO23" i="47"/>
  <c r="AN23" i="47"/>
  <c r="AM23" i="47"/>
  <c r="AL23" i="47"/>
  <c r="AJ23" i="47"/>
  <c r="AH23" i="47"/>
  <c r="AG23" i="47"/>
  <c r="AF23" i="47"/>
  <c r="AK23" i="47" s="1"/>
  <c r="AE23" i="47"/>
  <c r="AD23" i="47"/>
  <c r="AC23" i="47"/>
  <c r="AI23" i="47" s="1"/>
  <c r="Q23" i="47"/>
  <c r="O23" i="47"/>
  <c r="M23" i="47"/>
  <c r="D23" i="47"/>
  <c r="C23" i="47"/>
  <c r="B23" i="47"/>
  <c r="E22" i="47"/>
  <c r="D22" i="47"/>
  <c r="C22" i="47"/>
  <c r="B22" i="47"/>
  <c r="B21" i="47"/>
  <c r="B20" i="47"/>
  <c r="U19" i="47"/>
  <c r="S19" i="47"/>
  <c r="N19" i="47"/>
  <c r="M19" i="47"/>
  <c r="K19" i="47"/>
  <c r="J19" i="47"/>
  <c r="I19" i="47"/>
  <c r="H19" i="47"/>
  <c r="D19" i="47"/>
  <c r="C19" i="47"/>
  <c r="B19" i="47"/>
  <c r="N18" i="47"/>
  <c r="M18" i="47"/>
  <c r="K18" i="47"/>
  <c r="J18" i="47"/>
  <c r="I18" i="47"/>
  <c r="H18" i="47"/>
  <c r="L18" i="47" s="1"/>
  <c r="C80" i="47" s="1"/>
  <c r="B18" i="47"/>
  <c r="N17" i="47"/>
  <c r="M17" i="47"/>
  <c r="K17" i="47"/>
  <c r="J17" i="47"/>
  <c r="I17" i="47"/>
  <c r="H17" i="47"/>
  <c r="L17" i="47" s="1"/>
  <c r="C79" i="47" s="1"/>
  <c r="C17" i="47"/>
  <c r="B17" i="47"/>
  <c r="N16" i="47"/>
  <c r="M16" i="47"/>
  <c r="K16" i="47"/>
  <c r="J16" i="47"/>
  <c r="I16" i="47"/>
  <c r="H16" i="47"/>
  <c r="L16" i="47" s="1"/>
  <c r="C78" i="47" s="1"/>
  <c r="C16" i="47"/>
  <c r="B16" i="47"/>
  <c r="N15" i="47"/>
  <c r="M15" i="47"/>
  <c r="K15" i="47"/>
  <c r="J15" i="47"/>
  <c r="I15" i="47"/>
  <c r="H15" i="47"/>
  <c r="L15" i="47" s="1"/>
  <c r="C77" i="47" s="1"/>
  <c r="C15" i="47"/>
  <c r="B15" i="47"/>
  <c r="N14" i="47"/>
  <c r="M14" i="47"/>
  <c r="K14" i="47"/>
  <c r="J14" i="47"/>
  <c r="I14" i="47"/>
  <c r="H14" i="47"/>
  <c r="N13" i="47"/>
  <c r="M13" i="47"/>
  <c r="K13" i="47"/>
  <c r="J13" i="47"/>
  <c r="I13" i="47"/>
  <c r="H13" i="47"/>
  <c r="N12" i="47"/>
  <c r="M12" i="47"/>
  <c r="K12" i="47"/>
  <c r="J12" i="47"/>
  <c r="I12" i="47"/>
  <c r="H12" i="47"/>
  <c r="L12" i="47" s="1"/>
  <c r="C74" i="47" s="1"/>
  <c r="N11" i="47"/>
  <c r="M11" i="47"/>
  <c r="K11" i="47"/>
  <c r="J11" i="47"/>
  <c r="I11" i="47"/>
  <c r="H11" i="47"/>
  <c r="U10" i="47"/>
  <c r="S10" i="47"/>
  <c r="N10" i="47"/>
  <c r="M10" i="47"/>
  <c r="K10" i="47"/>
  <c r="J10" i="47"/>
  <c r="I10" i="47"/>
  <c r="H10" i="47"/>
  <c r="N9" i="47"/>
  <c r="M9" i="47"/>
  <c r="K9" i="47"/>
  <c r="J9" i="47"/>
  <c r="I9" i="47"/>
  <c r="H9" i="47"/>
  <c r="L9" i="47" s="1"/>
  <c r="C71" i="47" s="1"/>
  <c r="N8" i="47"/>
  <c r="M8" i="47"/>
  <c r="K8" i="47"/>
  <c r="J8" i="47"/>
  <c r="I8" i="47"/>
  <c r="H8" i="47"/>
  <c r="L8" i="47" s="1"/>
  <c r="C70" i="47" s="1"/>
  <c r="AJ7" i="47"/>
  <c r="AL7" i="47" s="1"/>
  <c r="T7" i="47"/>
  <c r="N7" i="47"/>
  <c r="M7" i="47"/>
  <c r="K7" i="47"/>
  <c r="J7" i="47"/>
  <c r="I7" i="47"/>
  <c r="H7" i="47"/>
  <c r="L7" i="47" s="1"/>
  <c r="C69" i="47" s="1"/>
  <c r="T6" i="47"/>
  <c r="T8" i="47" s="1"/>
  <c r="N6" i="47"/>
  <c r="M6" i="47"/>
  <c r="K6" i="47"/>
  <c r="J6" i="47"/>
  <c r="I6" i="47"/>
  <c r="H6" i="47"/>
  <c r="L6" i="47" s="1"/>
  <c r="C68" i="47" s="1"/>
  <c r="AJ5" i="47"/>
  <c r="AL5" i="47" s="1"/>
  <c r="N5" i="47"/>
  <c r="M5" i="47"/>
  <c r="K5" i="47"/>
  <c r="J5" i="47"/>
  <c r="I5" i="47"/>
  <c r="H5" i="47"/>
  <c r="T4" i="47"/>
  <c r="N4" i="47"/>
  <c r="M4" i="47"/>
  <c r="K4" i="47"/>
  <c r="J4" i="47"/>
  <c r="I4" i="47"/>
  <c r="H4" i="47"/>
  <c r="N3" i="47"/>
  <c r="M3" i="47"/>
  <c r="K3" i="47"/>
  <c r="J3" i="47"/>
  <c r="I3" i="47"/>
  <c r="H3" i="47"/>
  <c r="L3" i="47" s="1"/>
  <c r="C65" i="47" s="1"/>
  <c r="O492" i="40"/>
  <c r="O491" i="40"/>
  <c r="O490" i="40"/>
  <c r="O489" i="40"/>
  <c r="O488" i="40"/>
  <c r="O487" i="40"/>
  <c r="O486" i="40"/>
  <c r="O485" i="40"/>
  <c r="O484" i="40"/>
  <c r="O483" i="40"/>
  <c r="O482" i="40"/>
  <c r="O481" i="40"/>
  <c r="O480" i="40"/>
  <c r="O479" i="40"/>
  <c r="O478" i="40"/>
  <c r="O477" i="40"/>
  <c r="O476" i="40"/>
  <c r="O475" i="40"/>
  <c r="O474" i="40"/>
  <c r="O473" i="40"/>
  <c r="F45" i="40"/>
  <c r="E45" i="40"/>
  <c r="D45" i="40"/>
  <c r="F44" i="40"/>
  <c r="E44" i="40"/>
  <c r="D44" i="40"/>
  <c r="F43" i="40"/>
  <c r="E43" i="40"/>
  <c r="D43" i="40"/>
  <c r="F42" i="40"/>
  <c r="E42" i="40"/>
  <c r="D42" i="40"/>
  <c r="F41" i="40"/>
  <c r="E41" i="40"/>
  <c r="D41" i="40"/>
  <c r="F40" i="40"/>
  <c r="E40" i="40"/>
  <c r="D40" i="40"/>
  <c r="F39" i="40"/>
  <c r="E39" i="40"/>
  <c r="D39" i="40"/>
  <c r="F38" i="40"/>
  <c r="E38" i="40"/>
  <c r="D38" i="40"/>
  <c r="F37" i="40"/>
  <c r="E37" i="40"/>
  <c r="D37" i="40"/>
  <c r="F36" i="40"/>
  <c r="E36" i="40"/>
  <c r="D36" i="40"/>
  <c r="F35" i="40"/>
  <c r="E35" i="40"/>
  <c r="D35" i="40"/>
  <c r="F34" i="40"/>
  <c r="E34" i="40"/>
  <c r="D34" i="40"/>
  <c r="F33" i="40"/>
  <c r="E33" i="40"/>
  <c r="D33" i="40"/>
  <c r="F32" i="40"/>
  <c r="E32" i="40"/>
  <c r="D32" i="40"/>
  <c r="F31" i="40"/>
  <c r="E31" i="40"/>
  <c r="D31" i="40"/>
  <c r="F30" i="40"/>
  <c r="E30" i="40"/>
  <c r="D30" i="40"/>
  <c r="F29" i="40"/>
  <c r="E29" i="40"/>
  <c r="D29" i="40"/>
  <c r="F28" i="40"/>
  <c r="E28" i="40"/>
  <c r="D28" i="40"/>
  <c r="F27" i="40"/>
  <c r="E27" i="40"/>
  <c r="D27" i="40"/>
  <c r="F26" i="40"/>
  <c r="E26" i="40"/>
  <c r="D26" i="40"/>
  <c r="F25" i="40"/>
  <c r="E25" i="40"/>
  <c r="D25" i="40"/>
  <c r="F24" i="40"/>
  <c r="E24" i="40"/>
  <c r="D24" i="40"/>
  <c r="F23" i="40"/>
  <c r="E23" i="40"/>
  <c r="D23" i="40"/>
  <c r="F22" i="40"/>
  <c r="E22" i="40"/>
  <c r="D22" i="40"/>
  <c r="F21" i="40"/>
  <c r="E21" i="40"/>
  <c r="D21" i="40"/>
  <c r="F20" i="40"/>
  <c r="E20" i="40"/>
  <c r="D20" i="40"/>
  <c r="F19" i="40"/>
  <c r="E19" i="40"/>
  <c r="D19" i="40"/>
  <c r="F18" i="40"/>
  <c r="E18" i="40"/>
  <c r="D18" i="40"/>
  <c r="F17" i="40"/>
  <c r="E17" i="40"/>
  <c r="D17" i="40"/>
  <c r="F16" i="40"/>
  <c r="E16" i="40"/>
  <c r="D16" i="40"/>
  <c r="R96" i="32"/>
  <c r="O96" i="32"/>
  <c r="P96" i="32" s="1"/>
  <c r="S96" i="32" s="1"/>
  <c r="N96" i="32"/>
  <c r="P95" i="32"/>
  <c r="S95" i="32" s="1"/>
  <c r="O95" i="32"/>
  <c r="R95" i="32" s="1"/>
  <c r="N95" i="32"/>
  <c r="R94" i="32"/>
  <c r="O94" i="32"/>
  <c r="P94" i="32" s="1"/>
  <c r="S94" i="32" s="1"/>
  <c r="N94" i="32"/>
  <c r="R93" i="32"/>
  <c r="P93" i="32"/>
  <c r="S93" i="32" s="1"/>
  <c r="O93" i="32"/>
  <c r="N93" i="32"/>
  <c r="R92" i="32"/>
  <c r="P92" i="32"/>
  <c r="S92" i="32" s="1"/>
  <c r="O92" i="32"/>
  <c r="N92" i="32"/>
  <c r="R91" i="32"/>
  <c r="P91" i="32"/>
  <c r="S91" i="32" s="1"/>
  <c r="O91" i="32"/>
  <c r="N91" i="32"/>
  <c r="R90" i="32"/>
  <c r="P90" i="32"/>
  <c r="S90" i="32" s="1"/>
  <c r="O90" i="32"/>
  <c r="N90" i="32"/>
  <c r="R89" i="32"/>
  <c r="P89" i="32"/>
  <c r="S89" i="32" s="1"/>
  <c r="O89" i="32"/>
  <c r="N89" i="32"/>
  <c r="R88" i="32"/>
  <c r="O88" i="32"/>
  <c r="P88" i="32" s="1"/>
  <c r="S88" i="32" s="1"/>
  <c r="N88" i="32"/>
  <c r="R87" i="32"/>
  <c r="P87" i="32"/>
  <c r="S87" i="32" s="1"/>
  <c r="O87" i="32"/>
  <c r="N87" i="32"/>
  <c r="R86" i="32"/>
  <c r="O86" i="32"/>
  <c r="P86" i="32" s="1"/>
  <c r="S86" i="32" s="1"/>
  <c r="N86" i="32"/>
  <c r="Q80" i="32" s="1"/>
  <c r="R85" i="32"/>
  <c r="P85" i="32"/>
  <c r="S85" i="32" s="1"/>
  <c r="O85" i="32"/>
  <c r="N85" i="32"/>
  <c r="E85" i="32"/>
  <c r="F85" i="32" s="1"/>
  <c r="V84" i="32"/>
  <c r="O84" i="32"/>
  <c r="N84" i="32"/>
  <c r="F84" i="32"/>
  <c r="V83" i="32"/>
  <c r="R83" i="32"/>
  <c r="O83" i="32"/>
  <c r="P83" i="32" s="1"/>
  <c r="S83" i="32" s="1"/>
  <c r="N83" i="32"/>
  <c r="V82" i="32"/>
  <c r="R82" i="32"/>
  <c r="O82" i="32"/>
  <c r="P82" i="32" s="1"/>
  <c r="S82" i="32" s="1"/>
  <c r="N82" i="32"/>
  <c r="Q73" i="32" s="1"/>
  <c r="C64" i="47" s="1"/>
  <c r="V81" i="32"/>
  <c r="O81" i="32"/>
  <c r="N81" i="32"/>
  <c r="R80" i="32"/>
  <c r="O80" i="32"/>
  <c r="P80" i="32" s="1"/>
  <c r="S80" i="32" s="1"/>
  <c r="N80" i="32"/>
  <c r="E80" i="32"/>
  <c r="R79" i="32"/>
  <c r="P79" i="32"/>
  <c r="S79" i="32" s="1"/>
  <c r="O79" i="32"/>
  <c r="N79" i="32"/>
  <c r="E79" i="32"/>
  <c r="O78" i="32"/>
  <c r="N78" i="32"/>
  <c r="E78" i="32"/>
  <c r="R77" i="32"/>
  <c r="O77" i="32"/>
  <c r="P77" i="32" s="1"/>
  <c r="S77" i="32" s="1"/>
  <c r="N77" i="32"/>
  <c r="Q83" i="32" s="1"/>
  <c r="E77" i="32"/>
  <c r="AA76" i="32"/>
  <c r="AB76" i="32" s="1"/>
  <c r="W64" i="51" s="1"/>
  <c r="R76" i="32"/>
  <c r="O76" i="32"/>
  <c r="P76" i="32" s="1"/>
  <c r="S76" i="32" s="1"/>
  <c r="N76" i="32"/>
  <c r="E76" i="32"/>
  <c r="AA75" i="32"/>
  <c r="AB75" i="32" s="1"/>
  <c r="R75" i="32"/>
  <c r="P75" i="32"/>
  <c r="S75" i="32" s="1"/>
  <c r="O75" i="32"/>
  <c r="N75" i="32"/>
  <c r="E75" i="32"/>
  <c r="AB74" i="32"/>
  <c r="AA74" i="32"/>
  <c r="O74" i="32"/>
  <c r="N74" i="32"/>
  <c r="AA73" i="32"/>
  <c r="AB73" i="32" s="1"/>
  <c r="R73" i="32"/>
  <c r="O73" i="32"/>
  <c r="W65" i="51" s="1"/>
  <c r="N73" i="32"/>
  <c r="Q96" i="32" s="1"/>
  <c r="G70" i="32"/>
  <c r="F70" i="32"/>
  <c r="E70" i="32"/>
  <c r="G69" i="32"/>
  <c r="F69" i="32"/>
  <c r="E69" i="32"/>
  <c r="G68" i="32"/>
  <c r="F68" i="32"/>
  <c r="E68" i="32"/>
  <c r="G67" i="32"/>
  <c r="F67" i="32"/>
  <c r="E67" i="32"/>
  <c r="G66" i="32"/>
  <c r="F66" i="32"/>
  <c r="E66" i="32"/>
  <c r="G65" i="32"/>
  <c r="F65" i="32"/>
  <c r="E65" i="32"/>
  <c r="G64" i="32"/>
  <c r="F64" i="32"/>
  <c r="E64" i="32"/>
  <c r="G63" i="32"/>
  <c r="F63" i="32"/>
  <c r="E63" i="32"/>
  <c r="F59" i="32"/>
  <c r="E59" i="32"/>
  <c r="D59" i="32"/>
  <c r="C59" i="32"/>
  <c r="B59" i="32"/>
  <c r="F58" i="32"/>
  <c r="E58" i="32"/>
  <c r="D58" i="32"/>
  <c r="C58" i="32"/>
  <c r="B58" i="32"/>
  <c r="F57" i="32"/>
  <c r="E57" i="32"/>
  <c r="D57" i="32"/>
  <c r="C57" i="32"/>
  <c r="B57" i="32"/>
  <c r="F56" i="32"/>
  <c r="E56" i="32"/>
  <c r="D56" i="32"/>
  <c r="C56" i="32"/>
  <c r="B56" i="32"/>
  <c r="F55" i="32"/>
  <c r="E55" i="32"/>
  <c r="D55" i="32"/>
  <c r="C55" i="32"/>
  <c r="B55" i="32"/>
  <c r="F54" i="32"/>
  <c r="E54" i="32"/>
  <c r="D54" i="32"/>
  <c r="C54" i="32"/>
  <c r="B54" i="32"/>
  <c r="F53" i="32"/>
  <c r="E53" i="32"/>
  <c r="D53" i="32"/>
  <c r="C53" i="32"/>
  <c r="B53" i="32"/>
  <c r="F52" i="32"/>
  <c r="E52" i="32"/>
  <c r="D52" i="32"/>
  <c r="C52" i="32"/>
  <c r="B52" i="32"/>
  <c r="F51" i="32"/>
  <c r="E51" i="32"/>
  <c r="D51" i="32"/>
  <c r="C51" i="32"/>
  <c r="B51" i="32"/>
  <c r="F50" i="32"/>
  <c r="E50" i="32"/>
  <c r="D50" i="32"/>
  <c r="C50" i="32"/>
  <c r="B50" i="32"/>
  <c r="K33" i="32"/>
  <c r="J33" i="32"/>
  <c r="I33" i="32"/>
  <c r="K32" i="32"/>
  <c r="J32" i="32"/>
  <c r="I32" i="32"/>
  <c r="K31" i="32"/>
  <c r="J31" i="32"/>
  <c r="I31" i="32"/>
  <c r="K30" i="32"/>
  <c r="J30" i="32"/>
  <c r="I30" i="32"/>
  <c r="C30" i="32"/>
  <c r="AN29" i="32"/>
  <c r="K29" i="32"/>
  <c r="J29" i="32"/>
  <c r="I29" i="32"/>
  <c r="C29" i="32"/>
  <c r="AN28" i="32"/>
  <c r="K28" i="32"/>
  <c r="J28" i="32"/>
  <c r="I28" i="32"/>
  <c r="C28" i="32"/>
  <c r="AN27" i="32"/>
  <c r="K27" i="32"/>
  <c r="J27" i="32"/>
  <c r="I27" i="32"/>
  <c r="AP26" i="32"/>
  <c r="K26" i="32"/>
  <c r="J26" i="32"/>
  <c r="I26" i="32"/>
  <c r="AP25" i="32"/>
  <c r="AL25" i="32"/>
  <c r="AH25" i="32"/>
  <c r="K25" i="32"/>
  <c r="J25" i="32"/>
  <c r="I25" i="32"/>
  <c r="AN24" i="32"/>
  <c r="K24" i="32"/>
  <c r="J24" i="32"/>
  <c r="I24" i="32"/>
  <c r="AN23" i="32"/>
  <c r="AJ23" i="32"/>
  <c r="K23" i="32"/>
  <c r="J23" i="32"/>
  <c r="AG22" i="32" s="1"/>
  <c r="I23" i="32"/>
  <c r="AP22" i="32"/>
  <c r="AL22" i="32"/>
  <c r="AH22" i="32"/>
  <c r="K22" i="32"/>
  <c r="AF23" i="32" s="1"/>
  <c r="J22" i="32"/>
  <c r="I22" i="32"/>
  <c r="AP21" i="32"/>
  <c r="AL21" i="32"/>
  <c r="AH21" i="32"/>
  <c r="K21" i="32"/>
  <c r="J21" i="32"/>
  <c r="I21" i="32"/>
  <c r="AN20" i="32"/>
  <c r="AJ20" i="32"/>
  <c r="AF20" i="32"/>
  <c r="K20" i="32"/>
  <c r="J20" i="32"/>
  <c r="AD25" i="32" s="1"/>
  <c r="I20" i="32"/>
  <c r="AN19" i="32"/>
  <c r="AJ19" i="32"/>
  <c r="AG19" i="32"/>
  <c r="AF19" i="32"/>
  <c r="Y19" i="32"/>
  <c r="K19" i="32"/>
  <c r="J19" i="32"/>
  <c r="I19" i="32"/>
  <c r="K18" i="32"/>
  <c r="J18" i="32"/>
  <c r="I18" i="32"/>
  <c r="K17" i="32"/>
  <c r="J17" i="32"/>
  <c r="I17" i="32"/>
  <c r="K16" i="32"/>
  <c r="Z26" i="32" s="1"/>
  <c r="J16" i="32"/>
  <c r="I16" i="32"/>
  <c r="S15" i="32"/>
  <c r="R15" i="32"/>
  <c r="Q15" i="32"/>
  <c r="K15" i="32"/>
  <c r="J15" i="32"/>
  <c r="Y26" i="32" s="1"/>
  <c r="I15" i="32"/>
  <c r="C15" i="32"/>
  <c r="S14" i="32"/>
  <c r="R14" i="32"/>
  <c r="Q14" i="32"/>
  <c r="K14" i="32"/>
  <c r="J14" i="32"/>
  <c r="I14" i="32"/>
  <c r="C14" i="32"/>
  <c r="S13" i="32"/>
  <c r="R13" i="32"/>
  <c r="Q13" i="32"/>
  <c r="K13" i="32"/>
  <c r="J13" i="32"/>
  <c r="W24" i="32" s="1"/>
  <c r="I13" i="32"/>
  <c r="C13" i="32"/>
  <c r="AQ21" i="32" s="1"/>
  <c r="S12" i="32"/>
  <c r="R12" i="32"/>
  <c r="Q12" i="32"/>
  <c r="K12" i="32"/>
  <c r="V26" i="32" s="1"/>
  <c r="J12" i="32"/>
  <c r="I12" i="32"/>
  <c r="C12" i="32"/>
  <c r="S11" i="32"/>
  <c r="R11" i="32"/>
  <c r="Q11" i="32"/>
  <c r="K11" i="32"/>
  <c r="J11" i="32"/>
  <c r="I11" i="32"/>
  <c r="C11" i="32"/>
  <c r="AO22" i="32" s="1"/>
  <c r="S10" i="32"/>
  <c r="R10" i="32"/>
  <c r="Q10" i="32"/>
  <c r="K10" i="32"/>
  <c r="T23" i="32" s="1"/>
  <c r="J10" i="32"/>
  <c r="I10" i="32"/>
  <c r="C10" i="32"/>
  <c r="S9" i="32"/>
  <c r="R9" i="32"/>
  <c r="Q9" i="32"/>
  <c r="K9" i="32"/>
  <c r="J9" i="32"/>
  <c r="I9" i="32"/>
  <c r="D9" i="32"/>
  <c r="D10" i="32" s="1"/>
  <c r="D11" i="32" s="1"/>
  <c r="D12" i="32" s="1"/>
  <c r="C9" i="32"/>
  <c r="AM21" i="32" s="1"/>
  <c r="S8" i="32"/>
  <c r="R8" i="32"/>
  <c r="Q8" i="32"/>
  <c r="K8" i="32"/>
  <c r="R26" i="32" s="1"/>
  <c r="J8" i="32"/>
  <c r="I8" i="32"/>
  <c r="C8" i="32"/>
  <c r="S7" i="32"/>
  <c r="R7" i="32"/>
  <c r="Q7" i="32"/>
  <c r="K7" i="32"/>
  <c r="J7" i="32"/>
  <c r="Q22" i="32" s="1"/>
  <c r="I7" i="32"/>
  <c r="D7" i="32"/>
  <c r="D8" i="32" s="1"/>
  <c r="E8" i="32" s="1"/>
  <c r="F8" i="32" s="1"/>
  <c r="C7" i="32"/>
  <c r="S6" i="32"/>
  <c r="R6" i="32"/>
  <c r="Q6" i="32"/>
  <c r="K6" i="32"/>
  <c r="J6" i="32"/>
  <c r="I6" i="32"/>
  <c r="C6" i="32"/>
  <c r="S5" i="32"/>
  <c r="R5" i="32"/>
  <c r="Q5" i="32"/>
  <c r="K5" i="32"/>
  <c r="J5" i="32"/>
  <c r="O21" i="32" s="1"/>
  <c r="I5" i="32"/>
  <c r="D5" i="32"/>
  <c r="D6" i="32" s="1"/>
  <c r="E6" i="32" s="1"/>
  <c r="F6" i="32" s="1"/>
  <c r="C5" i="32"/>
  <c r="AI21" i="32" s="1"/>
  <c r="S4" i="32"/>
  <c r="R4" i="32"/>
  <c r="Q4" i="32"/>
  <c r="K4" i="32"/>
  <c r="N26" i="32" s="1"/>
  <c r="J4" i="32"/>
  <c r="I4" i="32"/>
  <c r="F4" i="32"/>
  <c r="E4" i="32"/>
  <c r="C4" i="32"/>
  <c r="C40" i="10"/>
  <c r="G39" i="10"/>
  <c r="F39" i="10"/>
  <c r="E39" i="10"/>
  <c r="D39" i="10"/>
  <c r="G38" i="10"/>
  <c r="F38" i="10"/>
  <c r="E38" i="10"/>
  <c r="D38" i="10"/>
  <c r="I33" i="10"/>
  <c r="D33" i="10"/>
  <c r="C33" i="10"/>
  <c r="E33" i="10" s="1"/>
  <c r="H33" i="10" s="1"/>
  <c r="I32" i="10"/>
  <c r="D32" i="10"/>
  <c r="C32" i="10"/>
  <c r="I31" i="10"/>
  <c r="E31" i="10"/>
  <c r="H31" i="10" s="1"/>
  <c r="D31" i="10"/>
  <c r="C31" i="10"/>
  <c r="I30" i="10"/>
  <c r="H30" i="10"/>
  <c r="E30" i="10"/>
  <c r="D30" i="10"/>
  <c r="C30" i="10"/>
  <c r="I29" i="10"/>
  <c r="D29" i="10"/>
  <c r="C29" i="10"/>
  <c r="E29" i="10" s="1"/>
  <c r="H29" i="10" s="1"/>
  <c r="I28" i="10"/>
  <c r="D28" i="10"/>
  <c r="C28" i="10"/>
  <c r="I27" i="10"/>
  <c r="E27" i="10"/>
  <c r="H27" i="10" s="1"/>
  <c r="D27" i="10"/>
  <c r="C27" i="10"/>
  <c r="I26" i="10"/>
  <c r="H26" i="10"/>
  <c r="E26" i="10"/>
  <c r="D26" i="10"/>
  <c r="C26" i="10"/>
  <c r="I25" i="10"/>
  <c r="D25" i="10"/>
  <c r="C25" i="10"/>
  <c r="E25" i="10" s="1"/>
  <c r="H25" i="10" s="1"/>
  <c r="I24" i="10"/>
  <c r="D24" i="10"/>
  <c r="C24" i="10"/>
  <c r="H20" i="10"/>
  <c r="G20" i="10"/>
  <c r="F20" i="10"/>
  <c r="E20" i="10"/>
  <c r="D20" i="10"/>
  <c r="C20" i="10"/>
  <c r="H19" i="10"/>
  <c r="G19" i="10"/>
  <c r="F19" i="10"/>
  <c r="E19" i="10"/>
  <c r="D19" i="10"/>
  <c r="C19" i="10"/>
  <c r="H18" i="10"/>
  <c r="G18" i="10"/>
  <c r="F18" i="10"/>
  <c r="E18" i="10"/>
  <c r="D18" i="10"/>
  <c r="C18" i="10"/>
  <c r="H17" i="10"/>
  <c r="G17" i="10"/>
  <c r="F17" i="10"/>
  <c r="E17" i="10"/>
  <c r="D17" i="10"/>
  <c r="C17" i="10"/>
  <c r="H16" i="10"/>
  <c r="G16" i="10"/>
  <c r="F16" i="10"/>
  <c r="E16" i="10"/>
  <c r="D16" i="10"/>
  <c r="C16" i="10"/>
  <c r="H15" i="10"/>
  <c r="G15" i="10"/>
  <c r="F15" i="10"/>
  <c r="E15" i="10"/>
  <c r="D15" i="10"/>
  <c r="C15" i="10"/>
  <c r="H14" i="10"/>
  <c r="G14" i="10"/>
  <c r="F14" i="10"/>
  <c r="E14" i="10"/>
  <c r="D14" i="10"/>
  <c r="C14" i="10"/>
  <c r="H13" i="10"/>
  <c r="G13" i="10"/>
  <c r="F13" i="10"/>
  <c r="E13" i="10"/>
  <c r="D13" i="10"/>
  <c r="C13" i="10"/>
  <c r="H12" i="10"/>
  <c r="G12" i="10"/>
  <c r="F12" i="10"/>
  <c r="E12" i="10"/>
  <c r="D12" i="10"/>
  <c r="C12" i="10"/>
  <c r="H11" i="10"/>
  <c r="G11" i="10"/>
  <c r="F11" i="10"/>
  <c r="E11" i="10"/>
  <c r="D11" i="10"/>
  <c r="C11" i="10"/>
  <c r="H10" i="10"/>
  <c r="G10" i="10"/>
  <c r="F10" i="10"/>
  <c r="E10" i="10"/>
  <c r="D10" i="10"/>
  <c r="C10" i="10"/>
  <c r="BF37" i="35"/>
  <c r="BE37" i="35"/>
  <c r="BD37" i="35"/>
  <c r="AS37" i="35"/>
  <c r="AR37" i="35"/>
  <c r="AQ37" i="35"/>
  <c r="AF37" i="35"/>
  <c r="AE37" i="35"/>
  <c r="AD37" i="35"/>
  <c r="I37" i="35"/>
  <c r="H37" i="35"/>
  <c r="G37" i="35"/>
  <c r="BF36" i="35"/>
  <c r="BE36" i="35"/>
  <c r="BD36" i="35"/>
  <c r="AS36" i="35"/>
  <c r="AR36" i="35"/>
  <c r="AQ36" i="35"/>
  <c r="AF36" i="35"/>
  <c r="AE36" i="35"/>
  <c r="AD36" i="35"/>
  <c r="I36" i="35"/>
  <c r="H36" i="35"/>
  <c r="G36" i="35"/>
  <c r="BF35" i="35"/>
  <c r="BE35" i="35"/>
  <c r="BD35" i="35"/>
  <c r="AS35" i="35"/>
  <c r="AR35" i="35"/>
  <c r="AQ35" i="35"/>
  <c r="AF35" i="35"/>
  <c r="AE35" i="35"/>
  <c r="AD35" i="35"/>
  <c r="I35" i="35"/>
  <c r="H35" i="35"/>
  <c r="G35" i="35"/>
  <c r="BF34" i="35"/>
  <c r="BE34" i="35"/>
  <c r="BD34" i="35"/>
  <c r="AS34" i="35"/>
  <c r="AR34" i="35"/>
  <c r="AQ34" i="35"/>
  <c r="AF34" i="35"/>
  <c r="AE34" i="35"/>
  <c r="AD34" i="35"/>
  <c r="I34" i="35"/>
  <c r="H34" i="35"/>
  <c r="G34" i="35"/>
  <c r="BF33" i="35"/>
  <c r="BE33" i="35"/>
  <c r="BD33" i="35"/>
  <c r="AS33" i="35"/>
  <c r="AR33" i="35"/>
  <c r="AQ33" i="35"/>
  <c r="AF33" i="35"/>
  <c r="AE33" i="35"/>
  <c r="AD33" i="35"/>
  <c r="I33" i="35"/>
  <c r="H33" i="35"/>
  <c r="G33" i="35"/>
  <c r="BF32" i="35"/>
  <c r="BE32" i="35"/>
  <c r="BD32" i="35"/>
  <c r="AS32" i="35"/>
  <c r="AR32" i="35"/>
  <c r="AQ32" i="35"/>
  <c r="AF32" i="35"/>
  <c r="AE32" i="35"/>
  <c r="AD32" i="35"/>
  <c r="I32" i="35"/>
  <c r="H32" i="35"/>
  <c r="G32" i="35"/>
  <c r="BF31" i="35"/>
  <c r="BE31" i="35"/>
  <c r="BD31" i="35"/>
  <c r="AS31" i="35"/>
  <c r="AR31" i="35"/>
  <c r="AQ31" i="35"/>
  <c r="AF31" i="35"/>
  <c r="AE31" i="35"/>
  <c r="AD31" i="35"/>
  <c r="I31" i="35"/>
  <c r="H31" i="35"/>
  <c r="G31" i="35"/>
  <c r="BF30" i="35"/>
  <c r="BE30" i="35"/>
  <c r="BD30" i="35"/>
  <c r="AS30" i="35"/>
  <c r="AR30" i="35"/>
  <c r="AQ30" i="35"/>
  <c r="AF30" i="35"/>
  <c r="AE30" i="35"/>
  <c r="AD30" i="35"/>
  <c r="I30" i="35"/>
  <c r="H30" i="35"/>
  <c r="G30" i="35"/>
  <c r="BF29" i="35"/>
  <c r="BE29" i="35"/>
  <c r="BD29" i="35"/>
  <c r="AS29" i="35"/>
  <c r="AR29" i="35"/>
  <c r="AQ29" i="35"/>
  <c r="AF29" i="35"/>
  <c r="AE29" i="35"/>
  <c r="AD29" i="35"/>
  <c r="I29" i="35"/>
  <c r="H29" i="35"/>
  <c r="G29" i="35"/>
  <c r="BF28" i="35"/>
  <c r="BE28" i="35"/>
  <c r="BD28" i="35"/>
  <c r="AS28" i="35"/>
  <c r="AR28" i="35"/>
  <c r="AQ28" i="35"/>
  <c r="AF28" i="35"/>
  <c r="AE28" i="35"/>
  <c r="AD28" i="35"/>
  <c r="I28" i="35"/>
  <c r="H28" i="35"/>
  <c r="G28" i="35"/>
  <c r="BF27" i="35"/>
  <c r="BE27" i="35"/>
  <c r="BD27" i="35"/>
  <c r="AS27" i="35"/>
  <c r="AR27" i="35"/>
  <c r="AQ27" i="35"/>
  <c r="AF27" i="35"/>
  <c r="AE27" i="35"/>
  <c r="AD27" i="35"/>
  <c r="I27" i="35"/>
  <c r="H27" i="35"/>
  <c r="G27" i="35"/>
  <c r="BF26" i="35"/>
  <c r="BE26" i="35"/>
  <c r="BD26" i="35"/>
  <c r="AS26" i="35"/>
  <c r="AR26" i="35"/>
  <c r="AQ26" i="35"/>
  <c r="AF26" i="35"/>
  <c r="AE26" i="35"/>
  <c r="AD26" i="35"/>
  <c r="I26" i="35"/>
  <c r="H26" i="35"/>
  <c r="G26" i="35"/>
  <c r="BF25" i="35"/>
  <c r="BE25" i="35"/>
  <c r="BD25" i="35"/>
  <c r="AS25" i="35"/>
  <c r="AR25" i="35"/>
  <c r="AQ25" i="35"/>
  <c r="AF25" i="35"/>
  <c r="AE25" i="35"/>
  <c r="AD25" i="35"/>
  <c r="I25" i="35"/>
  <c r="H25" i="35"/>
  <c r="G25" i="35"/>
  <c r="BF24" i="35"/>
  <c r="BE24" i="35"/>
  <c r="BD24" i="35"/>
  <c r="AS24" i="35"/>
  <c r="AR24" i="35"/>
  <c r="AQ24" i="35"/>
  <c r="AF24" i="35"/>
  <c r="AE24" i="35"/>
  <c r="AD24" i="35"/>
  <c r="I24" i="35"/>
  <c r="H24" i="35"/>
  <c r="G24" i="35"/>
  <c r="BF23" i="35"/>
  <c r="BE23" i="35"/>
  <c r="BD23" i="35"/>
  <c r="AS23" i="35"/>
  <c r="AR23" i="35"/>
  <c r="AQ23" i="35"/>
  <c r="AF23" i="35"/>
  <c r="AE23" i="35"/>
  <c r="AD23" i="35"/>
  <c r="I23" i="35"/>
  <c r="H23" i="35"/>
  <c r="G23" i="35"/>
  <c r="BF22" i="35"/>
  <c r="BE22" i="35"/>
  <c r="BD22" i="35"/>
  <c r="AS22" i="35"/>
  <c r="AR22" i="35"/>
  <c r="AQ22" i="35"/>
  <c r="AF22" i="35"/>
  <c r="AE22" i="35"/>
  <c r="AD22" i="35"/>
  <c r="I22" i="35"/>
  <c r="H22" i="35"/>
  <c r="G22" i="35"/>
  <c r="BF21" i="35"/>
  <c r="BE21" i="35"/>
  <c r="BD21" i="35"/>
  <c r="AS21" i="35"/>
  <c r="AR21" i="35"/>
  <c r="AQ21" i="35"/>
  <c r="AF21" i="35"/>
  <c r="AE21" i="35"/>
  <c r="AD21" i="35"/>
  <c r="I21" i="35"/>
  <c r="H21" i="35"/>
  <c r="G21" i="35"/>
  <c r="BF20" i="35"/>
  <c r="BE20" i="35"/>
  <c r="BD20" i="35"/>
  <c r="AS20" i="35"/>
  <c r="AR20" i="35"/>
  <c r="AQ20" i="35"/>
  <c r="AF20" i="35"/>
  <c r="AE20" i="35"/>
  <c r="AD20" i="35"/>
  <c r="I20" i="35"/>
  <c r="H20" i="35"/>
  <c r="G20" i="35"/>
  <c r="BF19" i="35"/>
  <c r="BE19" i="35"/>
  <c r="BD19" i="35"/>
  <c r="AS19" i="35"/>
  <c r="AR19" i="35"/>
  <c r="AQ19" i="35"/>
  <c r="AF19" i="35"/>
  <c r="AE19" i="35"/>
  <c r="AD19" i="35"/>
  <c r="I19" i="35"/>
  <c r="H19" i="35"/>
  <c r="G19" i="35"/>
  <c r="BF18" i="35"/>
  <c r="BE18" i="35"/>
  <c r="BD18" i="35"/>
  <c r="AS18" i="35"/>
  <c r="AR18" i="35"/>
  <c r="AQ18" i="35"/>
  <c r="AF18" i="35"/>
  <c r="AE18" i="35"/>
  <c r="AD18" i="35"/>
  <c r="I18" i="35"/>
  <c r="H18" i="35"/>
  <c r="G18" i="35"/>
  <c r="BF17" i="35"/>
  <c r="BE17" i="35"/>
  <c r="BD17" i="35"/>
  <c r="AS17" i="35"/>
  <c r="AR17" i="35"/>
  <c r="AQ17" i="35"/>
  <c r="AF17" i="35"/>
  <c r="AE17" i="35"/>
  <c r="AD17" i="35"/>
  <c r="I17" i="35"/>
  <c r="H17" i="35"/>
  <c r="G17" i="35"/>
  <c r="BF16" i="35"/>
  <c r="BE16" i="35"/>
  <c r="BD16" i="35"/>
  <c r="AS16" i="35"/>
  <c r="AR16" i="35"/>
  <c r="AQ16" i="35"/>
  <c r="AF16" i="35"/>
  <c r="AE16" i="35"/>
  <c r="AD16" i="35"/>
  <c r="I16" i="35"/>
  <c r="H16" i="35"/>
  <c r="G16" i="35"/>
  <c r="BF15" i="35"/>
  <c r="BE15" i="35"/>
  <c r="BD15" i="35"/>
  <c r="AS15" i="35"/>
  <c r="AR15" i="35"/>
  <c r="AQ15" i="35"/>
  <c r="AF15" i="35"/>
  <c r="AE15" i="35"/>
  <c r="AD15" i="35"/>
  <c r="I15" i="35"/>
  <c r="H15" i="35"/>
  <c r="G15" i="35"/>
  <c r="BF14" i="35"/>
  <c r="BE14" i="35"/>
  <c r="BD14" i="35"/>
  <c r="AS14" i="35"/>
  <c r="AR14" i="35"/>
  <c r="AQ14" i="35"/>
  <c r="AF14" i="35"/>
  <c r="AE14" i="35"/>
  <c r="AD14" i="35"/>
  <c r="I14" i="35"/>
  <c r="H14" i="35"/>
  <c r="G14" i="35"/>
  <c r="BF13" i="35"/>
  <c r="BE13" i="35"/>
  <c r="BD13" i="35"/>
  <c r="AS13" i="35"/>
  <c r="AR13" i="35"/>
  <c r="AQ13" i="35"/>
  <c r="AF13" i="35"/>
  <c r="AE13" i="35"/>
  <c r="AD13" i="35"/>
  <c r="I13" i="35"/>
  <c r="H13" i="35"/>
  <c r="G13" i="35"/>
  <c r="BF12" i="35"/>
  <c r="BE12" i="35"/>
  <c r="BD12" i="35"/>
  <c r="AS12" i="35"/>
  <c r="AR12" i="35"/>
  <c r="AQ12" i="35"/>
  <c r="AF12" i="35"/>
  <c r="AE12" i="35"/>
  <c r="AD12" i="35"/>
  <c r="I12" i="35"/>
  <c r="H12" i="35"/>
  <c r="G12" i="35"/>
  <c r="BF11" i="35"/>
  <c r="BE11" i="35"/>
  <c r="BD11" i="35"/>
  <c r="AS11" i="35"/>
  <c r="AR11" i="35"/>
  <c r="AQ11" i="35"/>
  <c r="AF11" i="35"/>
  <c r="AE11" i="35"/>
  <c r="AD11" i="35"/>
  <c r="I11" i="35"/>
  <c r="H11" i="35"/>
  <c r="G11" i="35"/>
  <c r="BF10" i="35"/>
  <c r="BE10" i="35"/>
  <c r="BD10" i="35"/>
  <c r="AS10" i="35"/>
  <c r="AR10" i="35"/>
  <c r="AQ10" i="35"/>
  <c r="AF10" i="35"/>
  <c r="AE10" i="35"/>
  <c r="AD10" i="35"/>
  <c r="I10" i="35"/>
  <c r="H10" i="35"/>
  <c r="G10" i="35"/>
  <c r="BF9" i="35"/>
  <c r="BE9" i="35"/>
  <c r="BD9" i="35"/>
  <c r="AS9" i="35"/>
  <c r="AR9" i="35"/>
  <c r="AQ9" i="35"/>
  <c r="AF9" i="35"/>
  <c r="AE9" i="35"/>
  <c r="AD9" i="35"/>
  <c r="I9" i="35"/>
  <c r="H9" i="35"/>
  <c r="G9" i="35"/>
  <c r="BF8" i="35"/>
  <c r="BE8" i="35"/>
  <c r="BD8" i="35"/>
  <c r="AS8" i="35"/>
  <c r="AR8" i="35"/>
  <c r="AQ8" i="35"/>
  <c r="AF8" i="35"/>
  <c r="AE8" i="35"/>
  <c r="AD8" i="35"/>
  <c r="I8" i="35"/>
  <c r="H8" i="35"/>
  <c r="G8" i="35"/>
  <c r="BF7" i="35"/>
  <c r="BE7" i="35"/>
  <c r="BD7" i="35"/>
  <c r="AS7" i="35"/>
  <c r="AR7" i="35"/>
  <c r="AQ7" i="35"/>
  <c r="AF7" i="35"/>
  <c r="AE7" i="35"/>
  <c r="AD7" i="35"/>
  <c r="I7" i="35"/>
  <c r="H7" i="35"/>
  <c r="G7" i="35"/>
  <c r="BF6" i="35"/>
  <c r="BE6" i="35"/>
  <c r="BD6" i="35"/>
  <c r="AS6" i="35"/>
  <c r="AR6" i="35"/>
  <c r="AQ6" i="35"/>
  <c r="AF6" i="35"/>
  <c r="AE6" i="35"/>
  <c r="AD6" i="35"/>
  <c r="I6" i="35"/>
  <c r="H6" i="35"/>
  <c r="G6" i="35"/>
  <c r="BF5" i="35"/>
  <c r="BE5" i="35"/>
  <c r="BD5" i="35"/>
  <c r="AS5" i="35"/>
  <c r="AR5" i="35"/>
  <c r="AQ5" i="35"/>
  <c r="AF5" i="35"/>
  <c r="AE5" i="35"/>
  <c r="AD5" i="35"/>
  <c r="I5" i="35"/>
  <c r="H5" i="35"/>
  <c r="G5" i="35"/>
  <c r="BF4" i="35"/>
  <c r="BE4" i="35"/>
  <c r="BD4" i="35"/>
  <c r="AS4" i="35"/>
  <c r="AR4" i="35"/>
  <c r="AQ4" i="35"/>
  <c r="AF4" i="35"/>
  <c r="AE4" i="35"/>
  <c r="AD4" i="35"/>
  <c r="I4" i="35"/>
  <c r="H4" i="35"/>
  <c r="G4" i="35"/>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E70" i="9"/>
  <c r="D70" i="9"/>
  <c r="C70" i="9"/>
  <c r="E69" i="9"/>
  <c r="D69" i="9"/>
  <c r="C69" i="9"/>
  <c r="E68" i="9"/>
  <c r="D68" i="9"/>
  <c r="C68" i="9"/>
  <c r="E67" i="9"/>
  <c r="D67" i="9"/>
  <c r="C67" i="9"/>
  <c r="E66" i="9"/>
  <c r="D66" i="9"/>
  <c r="C66" i="9"/>
  <c r="E65" i="9"/>
  <c r="D65" i="9"/>
  <c r="C65" i="9"/>
  <c r="E64" i="9"/>
  <c r="D64" i="9"/>
  <c r="C64" i="9"/>
  <c r="E63" i="9"/>
  <c r="D63" i="9"/>
  <c r="C63" i="9"/>
  <c r="E62" i="9"/>
  <c r="D62" i="9"/>
  <c r="C62" i="9"/>
  <c r="E61" i="9"/>
  <c r="D61" i="9"/>
  <c r="C61" i="9"/>
  <c r="E60" i="9"/>
  <c r="D60" i="9"/>
  <c r="C60" i="9"/>
  <c r="E59" i="9"/>
  <c r="D59" i="9"/>
  <c r="C59" i="9"/>
  <c r="E58" i="9"/>
  <c r="D58" i="9"/>
  <c r="C58" i="9"/>
  <c r="E57" i="9"/>
  <c r="D57" i="9"/>
  <c r="C57" i="9"/>
  <c r="E56" i="9"/>
  <c r="D56" i="9"/>
  <c r="C56" i="9"/>
  <c r="E55" i="9"/>
  <c r="D55" i="9"/>
  <c r="C55" i="9"/>
  <c r="E54" i="9"/>
  <c r="D54" i="9"/>
  <c r="C54" i="9"/>
  <c r="E53" i="9"/>
  <c r="D53" i="9"/>
  <c r="C53" i="9"/>
  <c r="E52" i="9"/>
  <c r="D52" i="9"/>
  <c r="C52" i="9"/>
  <c r="E51" i="9"/>
  <c r="D51" i="9"/>
  <c r="C51" i="9"/>
  <c r="E50" i="9"/>
  <c r="D50" i="9"/>
  <c r="C50" i="9"/>
  <c r="E49" i="9"/>
  <c r="D49" i="9"/>
  <c r="C49" i="9"/>
  <c r="E48" i="9"/>
  <c r="D48" i="9"/>
  <c r="C48" i="9"/>
  <c r="E47" i="9"/>
  <c r="D47" i="9"/>
  <c r="C47" i="9"/>
  <c r="E46" i="9"/>
  <c r="D46" i="9"/>
  <c r="C46" i="9"/>
  <c r="E45" i="9"/>
  <c r="D45" i="9"/>
  <c r="C45" i="9"/>
  <c r="E44" i="9"/>
  <c r="D44" i="9"/>
  <c r="C44" i="9"/>
  <c r="E43" i="9"/>
  <c r="D43" i="9"/>
  <c r="C43" i="9"/>
  <c r="E42" i="9"/>
  <c r="D42" i="9"/>
  <c r="C42" i="9"/>
  <c r="E41" i="9"/>
  <c r="D41" i="9"/>
  <c r="C41" i="9"/>
  <c r="D37" i="9"/>
  <c r="C37" i="9"/>
  <c r="B37" i="9"/>
  <c r="D36" i="9"/>
  <c r="C36" i="9"/>
  <c r="B36" i="9"/>
  <c r="D35" i="9"/>
  <c r="B35" i="9"/>
  <c r="D34" i="9"/>
  <c r="B34" i="9"/>
  <c r="D33" i="9"/>
  <c r="C33" i="9"/>
  <c r="B33" i="9"/>
  <c r="D32" i="9"/>
  <c r="C32" i="9"/>
  <c r="B32" i="9"/>
  <c r="D31" i="9"/>
  <c r="B31" i="9"/>
  <c r="D30" i="9"/>
  <c r="B30" i="9"/>
  <c r="D29" i="9"/>
  <c r="C29" i="9"/>
  <c r="B29" i="9"/>
  <c r="D28" i="9"/>
  <c r="C28" i="9"/>
  <c r="B28" i="9"/>
  <c r="D27" i="9"/>
  <c r="B27" i="9"/>
  <c r="D26" i="9"/>
  <c r="B26" i="9"/>
  <c r="D25" i="9"/>
  <c r="C25" i="9"/>
  <c r="B25" i="9"/>
  <c r="D24" i="9"/>
  <c r="C24" i="9"/>
  <c r="B24" i="9"/>
  <c r="D23" i="9"/>
  <c r="B23" i="9"/>
  <c r="D22" i="9"/>
  <c r="B22" i="9"/>
  <c r="D21" i="9"/>
  <c r="C21" i="9"/>
  <c r="B21" i="9"/>
  <c r="D20" i="9"/>
  <c r="C20" i="9"/>
  <c r="B20" i="9"/>
  <c r="D19" i="9"/>
  <c r="B19" i="9"/>
  <c r="D18" i="9"/>
  <c r="B18" i="9"/>
  <c r="D17" i="9"/>
  <c r="B17" i="9"/>
  <c r="D16" i="9"/>
  <c r="B16" i="9"/>
  <c r="D15" i="9"/>
  <c r="E15" i="9" s="1"/>
  <c r="C15" i="9"/>
  <c r="B15" i="9"/>
  <c r="D14" i="9"/>
  <c r="C14" i="9"/>
  <c r="B14" i="9"/>
  <c r="E13" i="9"/>
  <c r="D13" i="9"/>
  <c r="B13" i="9"/>
  <c r="D12" i="9"/>
  <c r="B12" i="9"/>
  <c r="D11" i="9"/>
  <c r="B11" i="9"/>
  <c r="D10" i="9"/>
  <c r="B10" i="9"/>
  <c r="D9" i="9"/>
  <c r="E9" i="9" s="1"/>
  <c r="C9" i="9"/>
  <c r="B9" i="9"/>
  <c r="D8" i="9"/>
  <c r="B8" i="9"/>
  <c r="F306" i="39"/>
  <c r="F305" i="39"/>
  <c r="F304" i="39"/>
  <c r="O297" i="39"/>
  <c r="N297" i="39"/>
  <c r="D297" i="39"/>
  <c r="O296" i="39"/>
  <c r="N296" i="39"/>
  <c r="D296" i="39"/>
  <c r="O295" i="39"/>
  <c r="N295" i="39"/>
  <c r="D295" i="39"/>
  <c r="O294" i="39"/>
  <c r="N294" i="39"/>
  <c r="D294" i="39"/>
  <c r="O293" i="39"/>
  <c r="N293" i="39"/>
  <c r="D293" i="39"/>
  <c r="O292" i="39"/>
  <c r="N292" i="39"/>
  <c r="D292" i="39"/>
  <c r="O291" i="39"/>
  <c r="N291" i="39"/>
  <c r="D291" i="39"/>
  <c r="N290" i="39"/>
  <c r="H290" i="39"/>
  <c r="O290" i="39" s="1"/>
  <c r="D290" i="39"/>
  <c r="N289" i="39"/>
  <c r="H289" i="39"/>
  <c r="O289" i="39" s="1"/>
  <c r="D289" i="39"/>
  <c r="N288" i="39"/>
  <c r="H288" i="39"/>
  <c r="O288" i="39" s="1"/>
  <c r="D288" i="39"/>
  <c r="N287" i="39"/>
  <c r="H287" i="39"/>
  <c r="O287" i="39" s="1"/>
  <c r="D287" i="39"/>
  <c r="N286" i="39"/>
  <c r="H286" i="39"/>
  <c r="O286" i="39" s="1"/>
  <c r="D286" i="39"/>
  <c r="N285" i="39"/>
  <c r="H285" i="39"/>
  <c r="O285" i="39" s="1"/>
  <c r="D285" i="39"/>
  <c r="N284" i="39"/>
  <c r="H284" i="39"/>
  <c r="O284" i="39" s="1"/>
  <c r="D284" i="39"/>
  <c r="N283" i="39"/>
  <c r="I283" i="39"/>
  <c r="H283" i="39"/>
  <c r="D283" i="39"/>
  <c r="O282" i="39"/>
  <c r="N282" i="39"/>
  <c r="I282" i="39"/>
  <c r="H282" i="39"/>
  <c r="D282" i="39"/>
  <c r="N281" i="39"/>
  <c r="I281" i="39"/>
  <c r="H281" i="39"/>
  <c r="O281" i="39" s="1"/>
  <c r="D281" i="39"/>
  <c r="N280" i="39"/>
  <c r="I280" i="39"/>
  <c r="O280" i="39" s="1"/>
  <c r="H280" i="39"/>
  <c r="D280" i="39"/>
  <c r="N279" i="39"/>
  <c r="I279" i="39"/>
  <c r="O279" i="39" s="1"/>
  <c r="H279" i="39"/>
  <c r="D279" i="39"/>
  <c r="O278" i="39"/>
  <c r="N278" i="39"/>
  <c r="I278" i="39"/>
  <c r="H278" i="39"/>
  <c r="D278" i="39"/>
  <c r="O277" i="39"/>
  <c r="N277" i="39"/>
  <c r="I277" i="39"/>
  <c r="H277" i="39"/>
  <c r="D277" i="39"/>
  <c r="N276" i="39"/>
  <c r="H276" i="39"/>
  <c r="O276" i="39" s="1"/>
  <c r="D276" i="39"/>
  <c r="N275" i="39"/>
  <c r="H275" i="39"/>
  <c r="O275" i="39" s="1"/>
  <c r="D275" i="39"/>
  <c r="N274" i="39"/>
  <c r="H274" i="39"/>
  <c r="O274" i="39" s="1"/>
  <c r="D274" i="39"/>
  <c r="N273" i="39"/>
  <c r="H273" i="39"/>
  <c r="O273" i="39" s="1"/>
  <c r="D273" i="39"/>
  <c r="N272" i="39"/>
  <c r="H272" i="39"/>
  <c r="O272" i="39" s="1"/>
  <c r="D272" i="39"/>
  <c r="N271" i="39"/>
  <c r="H271" i="39"/>
  <c r="O271" i="39" s="1"/>
  <c r="D271" i="39"/>
  <c r="N270" i="39"/>
  <c r="H270" i="39"/>
  <c r="O270" i="39" s="1"/>
  <c r="D270" i="39"/>
  <c r="N269" i="39"/>
  <c r="H269" i="39"/>
  <c r="O269" i="39" s="1"/>
  <c r="D269" i="39"/>
  <c r="N268" i="39"/>
  <c r="H268" i="39"/>
  <c r="O268" i="39" s="1"/>
  <c r="D268" i="39"/>
  <c r="N267" i="39"/>
  <c r="H267" i="39"/>
  <c r="O267" i="39" s="1"/>
  <c r="D267" i="39"/>
  <c r="N266" i="39"/>
  <c r="H266" i="39"/>
  <c r="O266" i="39" s="1"/>
  <c r="D266" i="39"/>
  <c r="N265" i="39"/>
  <c r="H265" i="39"/>
  <c r="O265" i="39" s="1"/>
  <c r="D265" i="39"/>
  <c r="N264" i="39"/>
  <c r="H264" i="39"/>
  <c r="O264" i="39" s="1"/>
  <c r="D264" i="39"/>
  <c r="N263" i="39"/>
  <c r="H263" i="39"/>
  <c r="O263" i="39" s="1"/>
  <c r="D263" i="39"/>
  <c r="N262" i="39"/>
  <c r="J262" i="39"/>
  <c r="O262" i="39" s="1"/>
  <c r="D262" i="39"/>
  <c r="N261" i="39"/>
  <c r="J261" i="39"/>
  <c r="O261" i="39" s="1"/>
  <c r="D261" i="39"/>
  <c r="N260" i="39"/>
  <c r="J260" i="39"/>
  <c r="O260" i="39" s="1"/>
  <c r="D260" i="39"/>
  <c r="N259" i="39"/>
  <c r="J259" i="39"/>
  <c r="O259" i="39" s="1"/>
  <c r="D259" i="39"/>
  <c r="N258" i="39"/>
  <c r="J258" i="39"/>
  <c r="O258" i="39" s="1"/>
  <c r="D258" i="39"/>
  <c r="N257" i="39"/>
  <c r="J257" i="39"/>
  <c r="O257" i="39" s="1"/>
  <c r="D257" i="39"/>
  <c r="N256" i="39"/>
  <c r="J256" i="39"/>
  <c r="O256" i="39" s="1"/>
  <c r="D256" i="39"/>
  <c r="N255" i="39"/>
  <c r="H255" i="39"/>
  <c r="O255" i="39" s="1"/>
  <c r="D255" i="39"/>
  <c r="N254" i="39"/>
  <c r="H254" i="39"/>
  <c r="O254" i="39" s="1"/>
  <c r="D254" i="39"/>
  <c r="N253" i="39"/>
  <c r="H253" i="39"/>
  <c r="O253" i="39" s="1"/>
  <c r="D253" i="39"/>
  <c r="N252" i="39"/>
  <c r="H252" i="39"/>
  <c r="O252" i="39" s="1"/>
  <c r="D252" i="39"/>
  <c r="N251" i="39"/>
  <c r="H251" i="39"/>
  <c r="O251" i="39" s="1"/>
  <c r="D251" i="39"/>
  <c r="N250" i="39"/>
  <c r="H250" i="39"/>
  <c r="O250" i="39" s="1"/>
  <c r="D250" i="39"/>
  <c r="N249" i="39"/>
  <c r="H249" i="39"/>
  <c r="O249" i="39" s="1"/>
  <c r="D249" i="39"/>
  <c r="M221" i="39"/>
  <c r="K221" i="39"/>
  <c r="I221" i="39"/>
  <c r="M220" i="39"/>
  <c r="K220" i="39"/>
  <c r="I220" i="39"/>
  <c r="M219" i="39"/>
  <c r="K219" i="39"/>
  <c r="I219" i="39"/>
  <c r="M218" i="39"/>
  <c r="K218" i="39"/>
  <c r="I218" i="39"/>
  <c r="M217" i="39"/>
  <c r="K217" i="39"/>
  <c r="I217" i="39"/>
  <c r="M216" i="39"/>
  <c r="K216" i="39"/>
  <c r="I216" i="39"/>
  <c r="G210" i="39"/>
  <c r="F210" i="39"/>
  <c r="E210" i="39"/>
  <c r="D210" i="39"/>
  <c r="A210" i="39"/>
  <c r="G209" i="39"/>
  <c r="N166" i="39" s="1"/>
  <c r="M166" i="39" s="1"/>
  <c r="F209" i="39"/>
  <c r="E209" i="39"/>
  <c r="D209" i="39"/>
  <c r="A209" i="39"/>
  <c r="G208" i="39"/>
  <c r="F208" i="39"/>
  <c r="E208" i="39"/>
  <c r="D208" i="39"/>
  <c r="A208" i="39"/>
  <c r="G207" i="39"/>
  <c r="F207" i="39"/>
  <c r="E207" i="39"/>
  <c r="D207" i="39"/>
  <c r="A207" i="39"/>
  <c r="G206" i="39"/>
  <c r="F206" i="39"/>
  <c r="E206" i="39"/>
  <c r="D206" i="39"/>
  <c r="A206" i="39"/>
  <c r="G205" i="39"/>
  <c r="F205" i="39"/>
  <c r="E205" i="39"/>
  <c r="D205" i="39"/>
  <c r="A205" i="39"/>
  <c r="G204" i="39"/>
  <c r="F204" i="39"/>
  <c r="E204" i="39"/>
  <c r="D204" i="39"/>
  <c r="A204" i="39"/>
  <c r="G203" i="39"/>
  <c r="F203" i="39"/>
  <c r="E203" i="39"/>
  <c r="D203" i="39"/>
  <c r="A203" i="39"/>
  <c r="G202" i="39"/>
  <c r="N159" i="39" s="1"/>
  <c r="F202" i="39"/>
  <c r="E202" i="39"/>
  <c r="D202" i="39"/>
  <c r="A202" i="39"/>
  <c r="G201" i="39"/>
  <c r="F201" i="39"/>
  <c r="E201" i="39"/>
  <c r="D201" i="39"/>
  <c r="A201" i="39"/>
  <c r="G200" i="39"/>
  <c r="F200" i="39"/>
  <c r="E200" i="39"/>
  <c r="D200" i="39"/>
  <c r="A200" i="39"/>
  <c r="G199" i="39"/>
  <c r="F199" i="39"/>
  <c r="E199" i="39"/>
  <c r="D199" i="39"/>
  <c r="A199" i="39"/>
  <c r="G198" i="39"/>
  <c r="N155" i="39" s="1"/>
  <c r="F198" i="39"/>
  <c r="E198" i="39"/>
  <c r="D198" i="39"/>
  <c r="A198" i="39"/>
  <c r="G197" i="39"/>
  <c r="F197" i="39"/>
  <c r="E197" i="39"/>
  <c r="D197" i="39"/>
  <c r="A197" i="39"/>
  <c r="O196" i="39"/>
  <c r="M196" i="39"/>
  <c r="G196" i="39"/>
  <c r="F196" i="39"/>
  <c r="E196" i="39"/>
  <c r="D196" i="39"/>
  <c r="A196" i="39"/>
  <c r="G195" i="39"/>
  <c r="F195" i="39"/>
  <c r="E195" i="39"/>
  <c r="D195" i="39"/>
  <c r="A195" i="39"/>
  <c r="G194" i="39"/>
  <c r="N151" i="39" s="1"/>
  <c r="F194" i="39"/>
  <c r="E194" i="39"/>
  <c r="D194" i="39"/>
  <c r="A194" i="39"/>
  <c r="G193" i="39"/>
  <c r="F193" i="39"/>
  <c r="E193" i="39"/>
  <c r="D193" i="39"/>
  <c r="A193" i="39"/>
  <c r="G192" i="39"/>
  <c r="F192" i="39"/>
  <c r="E192" i="39"/>
  <c r="D192" i="39"/>
  <c r="A192" i="39"/>
  <c r="G191" i="39"/>
  <c r="F191" i="39"/>
  <c r="E191" i="39"/>
  <c r="D191" i="39"/>
  <c r="A191" i="39"/>
  <c r="G190" i="39"/>
  <c r="F190" i="39"/>
  <c r="E190" i="39"/>
  <c r="D190" i="39"/>
  <c r="A190" i="39"/>
  <c r="G189" i="39"/>
  <c r="F189" i="39"/>
  <c r="E189" i="39"/>
  <c r="D189" i="39"/>
  <c r="A189" i="39"/>
  <c r="G188" i="39"/>
  <c r="F188" i="39"/>
  <c r="E188" i="39"/>
  <c r="D188" i="39"/>
  <c r="A188" i="39"/>
  <c r="G187" i="39"/>
  <c r="F187" i="39"/>
  <c r="E187" i="39"/>
  <c r="D187" i="39"/>
  <c r="A187" i="39"/>
  <c r="G186" i="39"/>
  <c r="F186" i="39"/>
  <c r="E186" i="39"/>
  <c r="D186" i="39"/>
  <c r="A186" i="39"/>
  <c r="G185" i="39"/>
  <c r="F185" i="39"/>
  <c r="E185" i="39"/>
  <c r="D185" i="39"/>
  <c r="A185" i="39"/>
  <c r="G184" i="39"/>
  <c r="N141" i="39" s="1"/>
  <c r="F184" i="39"/>
  <c r="E184" i="39"/>
  <c r="D184" i="39"/>
  <c r="A184" i="39"/>
  <c r="G183" i="39"/>
  <c r="N140" i="39" s="1"/>
  <c r="F183" i="39"/>
  <c r="E183" i="39"/>
  <c r="D183" i="39"/>
  <c r="A183" i="39"/>
  <c r="G182" i="39"/>
  <c r="F182" i="39"/>
  <c r="E182" i="39"/>
  <c r="D182" i="39"/>
  <c r="A182" i="39"/>
  <c r="G181" i="39"/>
  <c r="F181" i="39"/>
  <c r="E181" i="39"/>
  <c r="D181" i="39"/>
  <c r="A181" i="39"/>
  <c r="N167" i="39"/>
  <c r="M167" i="39"/>
  <c r="L167" i="39"/>
  <c r="J167" i="39"/>
  <c r="J166" i="39"/>
  <c r="L166" i="39" s="1"/>
  <c r="N165" i="39"/>
  <c r="L165" i="39"/>
  <c r="J165" i="39"/>
  <c r="N164" i="39"/>
  <c r="M164" i="39"/>
  <c r="L164" i="39"/>
  <c r="J164" i="39"/>
  <c r="N163" i="39"/>
  <c r="J163" i="39"/>
  <c r="M163" i="39" s="1"/>
  <c r="N162" i="39"/>
  <c r="J162" i="39"/>
  <c r="L162" i="39" s="1"/>
  <c r="N161" i="39"/>
  <c r="J161" i="39"/>
  <c r="N160" i="39"/>
  <c r="M160" i="39"/>
  <c r="L160" i="39"/>
  <c r="J160" i="39"/>
  <c r="J159" i="39"/>
  <c r="M159" i="39" s="1"/>
  <c r="J158" i="39"/>
  <c r="M158" i="39" s="1"/>
  <c r="N157" i="39"/>
  <c r="J157" i="39"/>
  <c r="L157" i="39" s="1"/>
  <c r="N156" i="39"/>
  <c r="J156" i="39"/>
  <c r="M155" i="39"/>
  <c r="L155" i="39"/>
  <c r="J155" i="39"/>
  <c r="N154" i="39"/>
  <c r="J154" i="39"/>
  <c r="M154" i="39" s="1"/>
  <c r="N153" i="39"/>
  <c r="J153" i="39"/>
  <c r="L153" i="39" s="1"/>
  <c r="N152" i="39"/>
  <c r="J152" i="39"/>
  <c r="M151" i="39"/>
  <c r="L151" i="39"/>
  <c r="J151" i="39"/>
  <c r="N150" i="39"/>
  <c r="J150" i="39"/>
  <c r="M150" i="39" s="1"/>
  <c r="N149" i="39"/>
  <c r="J149" i="39"/>
  <c r="L149" i="39" s="1"/>
  <c r="M148" i="39"/>
  <c r="J148" i="39"/>
  <c r="L148" i="39" s="1"/>
  <c r="N147" i="39"/>
  <c r="L147" i="39"/>
  <c r="J147" i="39"/>
  <c r="N146" i="39"/>
  <c r="M146" i="39"/>
  <c r="L146" i="39"/>
  <c r="J146" i="39"/>
  <c r="N145" i="39"/>
  <c r="J145" i="39"/>
  <c r="M145" i="39" s="1"/>
  <c r="N144" i="39"/>
  <c r="J144" i="39"/>
  <c r="L144" i="39" s="1"/>
  <c r="N143" i="39"/>
  <c r="J143" i="39"/>
  <c r="N142" i="39"/>
  <c r="M142" i="39"/>
  <c r="L142" i="39"/>
  <c r="J142" i="39"/>
  <c r="J141" i="39"/>
  <c r="M141" i="39" s="1"/>
  <c r="J140" i="39"/>
  <c r="L140" i="39" s="1"/>
  <c r="N139" i="39"/>
  <c r="J139" i="39"/>
  <c r="M139" i="39" s="1"/>
  <c r="J138" i="39"/>
  <c r="M138" i="39" s="1"/>
  <c r="L131" i="39"/>
  <c r="K131" i="39"/>
  <c r="D131" i="39"/>
  <c r="C131" i="39"/>
  <c r="B131" i="39"/>
  <c r="N130" i="39"/>
  <c r="M130" i="39"/>
  <c r="D130" i="39"/>
  <c r="L130" i="39" s="1"/>
  <c r="C130" i="39"/>
  <c r="B130" i="39"/>
  <c r="N129" i="39"/>
  <c r="D129" i="39"/>
  <c r="K129" i="39" s="1"/>
  <c r="C129" i="39"/>
  <c r="B129" i="39"/>
  <c r="N128" i="39"/>
  <c r="M128" i="39"/>
  <c r="L128" i="39"/>
  <c r="D128" i="39"/>
  <c r="C128" i="39"/>
  <c r="B128" i="39"/>
  <c r="N127" i="39"/>
  <c r="M127" i="39"/>
  <c r="K127" i="39"/>
  <c r="D127" i="39"/>
  <c r="C127" i="39"/>
  <c r="B127" i="39"/>
  <c r="N126" i="39"/>
  <c r="M126" i="39"/>
  <c r="D126" i="39"/>
  <c r="L126" i="39" s="1"/>
  <c r="C126" i="39"/>
  <c r="B126" i="39"/>
  <c r="N125" i="39"/>
  <c r="M125" i="39"/>
  <c r="L125" i="39"/>
  <c r="D125" i="39"/>
  <c r="C125" i="39"/>
  <c r="B125" i="39"/>
  <c r="N124" i="39"/>
  <c r="M124" i="39"/>
  <c r="J124" i="39"/>
  <c r="D124" i="39"/>
  <c r="C124" i="39"/>
  <c r="B124" i="39"/>
  <c r="N123" i="39"/>
  <c r="M123" i="39"/>
  <c r="L123" i="39"/>
  <c r="K123" i="39"/>
  <c r="O123" i="39" s="1"/>
  <c r="P123" i="39" s="1"/>
  <c r="J123" i="39"/>
  <c r="D123" i="39"/>
  <c r="C123" i="39"/>
  <c r="B123" i="39"/>
  <c r="N122" i="39"/>
  <c r="M122" i="39"/>
  <c r="L122" i="39"/>
  <c r="K122" i="39"/>
  <c r="J122" i="39"/>
  <c r="O122" i="39" s="1"/>
  <c r="P122" i="39" s="1"/>
  <c r="D122" i="39"/>
  <c r="C122" i="39"/>
  <c r="B122" i="39"/>
  <c r="S121" i="39"/>
  <c r="M121" i="39"/>
  <c r="L121" i="39"/>
  <c r="J121" i="39"/>
  <c r="D121" i="39"/>
  <c r="K121" i="39" s="1"/>
  <c r="C121" i="39"/>
  <c r="B121" i="39"/>
  <c r="N120" i="39"/>
  <c r="D120" i="39"/>
  <c r="J120" i="39" s="1"/>
  <c r="C120" i="39"/>
  <c r="B120" i="39"/>
  <c r="N119" i="39"/>
  <c r="L119" i="39"/>
  <c r="K119" i="39"/>
  <c r="J119" i="39"/>
  <c r="D119" i="39"/>
  <c r="S119" i="39" s="1"/>
  <c r="C119" i="39"/>
  <c r="B119" i="39"/>
  <c r="S118" i="39"/>
  <c r="N118" i="39"/>
  <c r="M118" i="39"/>
  <c r="K118" i="39"/>
  <c r="J118" i="39"/>
  <c r="O118" i="39" s="1"/>
  <c r="P118" i="39" s="1"/>
  <c r="D118" i="39"/>
  <c r="L118" i="39" s="1"/>
  <c r="C118" i="39"/>
  <c r="B118" i="39"/>
  <c r="N117" i="39"/>
  <c r="M117" i="39"/>
  <c r="D117" i="39"/>
  <c r="K117" i="39" s="1"/>
  <c r="C117" i="39"/>
  <c r="B117" i="39"/>
  <c r="N116" i="39"/>
  <c r="M116" i="39"/>
  <c r="L116" i="39"/>
  <c r="K116" i="39"/>
  <c r="O116" i="39" s="1"/>
  <c r="P116" i="39" s="1"/>
  <c r="D116" i="39"/>
  <c r="J116" i="39" s="1"/>
  <c r="C116" i="39"/>
  <c r="B116" i="39"/>
  <c r="N115" i="39"/>
  <c r="M115" i="39"/>
  <c r="L115" i="39"/>
  <c r="K115" i="39"/>
  <c r="O115" i="39" s="1"/>
  <c r="P115" i="39" s="1"/>
  <c r="J115" i="39"/>
  <c r="D115" i="39"/>
  <c r="S115" i="39" s="1"/>
  <c r="C115" i="39"/>
  <c r="B115" i="39"/>
  <c r="N114" i="39"/>
  <c r="M114" i="39"/>
  <c r="J114" i="39"/>
  <c r="D114" i="39"/>
  <c r="L114" i="39" s="1"/>
  <c r="C114" i="39"/>
  <c r="B114" i="39"/>
  <c r="S113" i="39"/>
  <c r="N113" i="39"/>
  <c r="M113" i="39"/>
  <c r="L113" i="39"/>
  <c r="J113" i="39"/>
  <c r="O113" i="39" s="1"/>
  <c r="P113" i="39" s="1"/>
  <c r="D113" i="39"/>
  <c r="K113" i="39" s="1"/>
  <c r="C113" i="39"/>
  <c r="B113" i="39"/>
  <c r="N112" i="39"/>
  <c r="M112" i="39"/>
  <c r="L112" i="39"/>
  <c r="J112" i="39"/>
  <c r="D112" i="39"/>
  <c r="K112" i="39" s="1"/>
  <c r="O112" i="39" s="1"/>
  <c r="P112" i="39" s="1"/>
  <c r="C112" i="39"/>
  <c r="B112" i="39"/>
  <c r="K111" i="39"/>
  <c r="J111" i="39"/>
  <c r="D111" i="39"/>
  <c r="C111" i="39"/>
  <c r="B111" i="39"/>
  <c r="N110" i="39"/>
  <c r="K110" i="39"/>
  <c r="D110" i="39"/>
  <c r="C110" i="39"/>
  <c r="B110" i="39"/>
  <c r="N109" i="39"/>
  <c r="D109" i="39"/>
  <c r="K109" i="39" s="1"/>
  <c r="C109" i="39"/>
  <c r="B109" i="39"/>
  <c r="N108" i="39"/>
  <c r="L108" i="39"/>
  <c r="K108" i="39"/>
  <c r="D108" i="39"/>
  <c r="C108" i="39"/>
  <c r="B108" i="39"/>
  <c r="N107" i="39"/>
  <c r="M107" i="39"/>
  <c r="L107" i="39"/>
  <c r="K107" i="39"/>
  <c r="D107" i="39"/>
  <c r="C107" i="39"/>
  <c r="B107" i="39"/>
  <c r="N106" i="39"/>
  <c r="M106" i="39"/>
  <c r="D106" i="39"/>
  <c r="L106" i="39" s="1"/>
  <c r="C106" i="39"/>
  <c r="B106" i="39"/>
  <c r="N105" i="39"/>
  <c r="M105" i="39"/>
  <c r="L105" i="39"/>
  <c r="J105" i="39"/>
  <c r="O105" i="39" s="1"/>
  <c r="P105" i="39" s="1"/>
  <c r="D105" i="39"/>
  <c r="K105" i="39" s="1"/>
  <c r="C105" i="39"/>
  <c r="B105" i="39"/>
  <c r="N104" i="39"/>
  <c r="M104" i="39"/>
  <c r="J104" i="39"/>
  <c r="D104" i="39"/>
  <c r="L104" i="39" s="1"/>
  <c r="C104" i="39"/>
  <c r="B104" i="39"/>
  <c r="N103" i="39"/>
  <c r="M103" i="39"/>
  <c r="L103" i="39"/>
  <c r="K103" i="39"/>
  <c r="O103" i="39" s="1"/>
  <c r="P103" i="39" s="1"/>
  <c r="J103" i="39"/>
  <c r="D103" i="39"/>
  <c r="C103" i="39"/>
  <c r="B103" i="39"/>
  <c r="N102" i="39"/>
  <c r="M102" i="39"/>
  <c r="L102" i="39"/>
  <c r="J102" i="39"/>
  <c r="D102" i="39"/>
  <c r="C102" i="39"/>
  <c r="B102" i="39"/>
  <c r="N81" i="39"/>
  <c r="N131" i="39" s="1"/>
  <c r="M81" i="39"/>
  <c r="L81" i="39"/>
  <c r="K81" i="39"/>
  <c r="K128" i="39" s="1"/>
  <c r="J81" i="39"/>
  <c r="J131" i="39" s="1"/>
  <c r="N80" i="39"/>
  <c r="M80" i="39"/>
  <c r="L80" i="39"/>
  <c r="L127" i="39" s="1"/>
  <c r="K80" i="39"/>
  <c r="J80" i="39"/>
  <c r="J127" i="39" s="1"/>
  <c r="O127" i="39" s="1"/>
  <c r="P127" i="39" s="1"/>
  <c r="N79" i="39"/>
  <c r="M79" i="39"/>
  <c r="L79" i="39"/>
  <c r="K79" i="39"/>
  <c r="J79" i="39"/>
  <c r="O79" i="39" s="1"/>
  <c r="N78" i="39"/>
  <c r="M78" i="39"/>
  <c r="L78" i="39"/>
  <c r="K78" i="39"/>
  <c r="J78" i="39"/>
  <c r="O78" i="39" s="1"/>
  <c r="N77" i="39"/>
  <c r="M77" i="39"/>
  <c r="L77" i="39"/>
  <c r="K77" i="39"/>
  <c r="O77" i="39" s="1"/>
  <c r="J77" i="39"/>
  <c r="N76" i="39"/>
  <c r="N111" i="39" s="1"/>
  <c r="M76" i="39"/>
  <c r="M110" i="39" s="1"/>
  <c r="L76" i="39"/>
  <c r="L111" i="39" s="1"/>
  <c r="K76" i="39"/>
  <c r="J76" i="39"/>
  <c r="N75" i="39"/>
  <c r="M75" i="39"/>
  <c r="L75" i="39"/>
  <c r="K75" i="39"/>
  <c r="O75" i="39" s="1"/>
  <c r="J75" i="39"/>
  <c r="U65" i="39"/>
  <c r="U64" i="39"/>
  <c r="U63" i="39"/>
  <c r="T61" i="39"/>
  <c r="V61" i="39" s="1"/>
  <c r="V60" i="39"/>
  <c r="T60" i="39"/>
  <c r="J58" i="39"/>
  <c r="J57" i="39"/>
  <c r="J56" i="39"/>
  <c r="L22" i="39"/>
  <c r="M22" i="39" s="1"/>
  <c r="K22" i="39"/>
  <c r="K21" i="39"/>
  <c r="K20" i="39"/>
  <c r="I61" i="61"/>
  <c r="I60" i="61"/>
  <c r="I59" i="61"/>
  <c r="I58" i="61"/>
  <c r="I57" i="61"/>
  <c r="I56" i="61"/>
  <c r="I55" i="61"/>
  <c r="I54" i="61"/>
  <c r="I53" i="61"/>
  <c r="I52" i="61"/>
  <c r="I51" i="61"/>
  <c r="I50" i="61"/>
  <c r="I49" i="61"/>
  <c r="I48" i="61"/>
  <c r="I47" i="61"/>
  <c r="I46" i="61"/>
  <c r="I45" i="61"/>
  <c r="I44" i="61"/>
  <c r="I43" i="61"/>
  <c r="I42" i="61"/>
  <c r="I41" i="61"/>
  <c r="I40" i="61"/>
  <c r="I39" i="61"/>
  <c r="I38" i="61"/>
  <c r="I37" i="61"/>
  <c r="I36" i="61"/>
  <c r="I35" i="61"/>
  <c r="I34" i="61"/>
  <c r="I33" i="61"/>
  <c r="I32" i="61"/>
  <c r="I31" i="61"/>
  <c r="I30" i="61"/>
  <c r="I29" i="61"/>
  <c r="I28" i="61"/>
  <c r="I27" i="61"/>
  <c r="I26" i="61"/>
  <c r="I25" i="61"/>
  <c r="I24" i="61"/>
  <c r="I23" i="61"/>
  <c r="I22" i="61"/>
  <c r="I21" i="61"/>
  <c r="I20" i="61"/>
  <c r="I19" i="61"/>
  <c r="I18" i="61"/>
  <c r="I17" i="61"/>
  <c r="I16" i="61"/>
  <c r="I15" i="61"/>
  <c r="I14" i="61"/>
  <c r="I13" i="61"/>
  <c r="I12" i="61"/>
  <c r="I11" i="61"/>
  <c r="I10" i="61"/>
  <c r="I9" i="61"/>
  <c r="I8" i="61"/>
  <c r="I7" i="61"/>
  <c r="I6" i="61"/>
  <c r="I5" i="61"/>
  <c r="I4" i="61"/>
  <c r="E4" i="61"/>
  <c r="I3" i="61"/>
  <c r="E3" i="61"/>
  <c r="I2" i="61"/>
  <c r="E2" i="61"/>
  <c r="AN33" i="25"/>
  <c r="AM33" i="25"/>
  <c r="AL33" i="25"/>
  <c r="AN32" i="25"/>
  <c r="AM32" i="25"/>
  <c r="AL32" i="25"/>
  <c r="AN31" i="25"/>
  <c r="AM31" i="25"/>
  <c r="AL31" i="25"/>
  <c r="G31" i="25"/>
  <c r="C31" i="25"/>
  <c r="AN30" i="25"/>
  <c r="AM30" i="25"/>
  <c r="AL30" i="25"/>
  <c r="F30" i="25"/>
  <c r="C30" i="25"/>
  <c r="AN29" i="25"/>
  <c r="AM29" i="25"/>
  <c r="AL29" i="25"/>
  <c r="J29" i="25"/>
  <c r="E29" i="25"/>
  <c r="C29" i="25"/>
  <c r="AN28" i="25"/>
  <c r="AM28" i="25"/>
  <c r="AL28" i="25"/>
  <c r="J28" i="25"/>
  <c r="E28" i="25"/>
  <c r="C28" i="25"/>
  <c r="AN27" i="25"/>
  <c r="AM27" i="25"/>
  <c r="AL27" i="25"/>
  <c r="H27" i="25"/>
  <c r="C27" i="25"/>
  <c r="E31" i="25" s="1"/>
  <c r="AN26" i="25"/>
  <c r="AM26" i="25"/>
  <c r="AL26" i="25"/>
  <c r="H26" i="25"/>
  <c r="G26" i="25"/>
  <c r="C26" i="25"/>
  <c r="I31" i="25" s="1"/>
  <c r="AN25" i="25"/>
  <c r="AM25" i="25"/>
  <c r="AL25" i="25"/>
  <c r="G25" i="25"/>
  <c r="F25" i="25"/>
  <c r="C25" i="25"/>
  <c r="AN24" i="25"/>
  <c r="AM24" i="25"/>
  <c r="AL24" i="25"/>
  <c r="AN23" i="25"/>
  <c r="AM23" i="25"/>
  <c r="AL23" i="25"/>
  <c r="AN22" i="25"/>
  <c r="AM22" i="25"/>
  <c r="AL22" i="25"/>
  <c r="AN21" i="25"/>
  <c r="AM21" i="25"/>
  <c r="AL21" i="25"/>
  <c r="AN20" i="25"/>
  <c r="AM20" i="25"/>
  <c r="AL20" i="25"/>
  <c r="AN19" i="25"/>
  <c r="AM19" i="25"/>
  <c r="AL19" i="25"/>
  <c r="AN18" i="25"/>
  <c r="AM18" i="25"/>
  <c r="AL18" i="25"/>
  <c r="AN17" i="25"/>
  <c r="AM17" i="25"/>
  <c r="AL17" i="25"/>
  <c r="AN16" i="25"/>
  <c r="AM16" i="25"/>
  <c r="AL16" i="25"/>
  <c r="AN15" i="25"/>
  <c r="AM15" i="25"/>
  <c r="AL15" i="25"/>
  <c r="AN14" i="25"/>
  <c r="AM14" i="25"/>
  <c r="AL14" i="25"/>
  <c r="AN13" i="25"/>
  <c r="AM13" i="25"/>
  <c r="AL13" i="25"/>
  <c r="AN12" i="25"/>
  <c r="AM12" i="25"/>
  <c r="AL12" i="25"/>
  <c r="AN11" i="25"/>
  <c r="AM11" i="25"/>
  <c r="AL11" i="25"/>
  <c r="AN10" i="25"/>
  <c r="AM10" i="25"/>
  <c r="AL10" i="25"/>
  <c r="R10" i="25"/>
  <c r="AN9" i="25"/>
  <c r="AM9" i="25"/>
  <c r="AL9" i="25"/>
  <c r="R9" i="25"/>
  <c r="AN8" i="25"/>
  <c r="AM8" i="25"/>
  <c r="AL8" i="25"/>
  <c r="R8" i="25"/>
  <c r="AN7" i="25"/>
  <c r="AM7" i="25"/>
  <c r="AL7" i="25"/>
  <c r="R7" i="25"/>
  <c r="L7" i="25"/>
  <c r="AN6" i="25"/>
  <c r="AM6" i="25"/>
  <c r="AL6" i="25"/>
  <c r="AA6" i="25"/>
  <c r="R6" i="25"/>
  <c r="L6" i="25"/>
  <c r="C6" i="25"/>
  <c r="AN5" i="25"/>
  <c r="AM5" i="25"/>
  <c r="AL5" i="25"/>
  <c r="AG5" i="25"/>
  <c r="AB5" i="25"/>
  <c r="AC5" i="25" s="1"/>
  <c r="AA5" i="25"/>
  <c r="Z5" i="25"/>
  <c r="Z6" i="25" s="1"/>
  <c r="R5" i="25"/>
  <c r="L5" i="25"/>
  <c r="G5" i="25"/>
  <c r="G6" i="25" s="1"/>
  <c r="G7" i="25" s="1"/>
  <c r="G8" i="25" s="1"/>
  <c r="C5" i="25"/>
  <c r="AN4" i="25"/>
  <c r="AM4" i="25"/>
  <c r="AL4" i="25"/>
  <c r="AH4" i="25"/>
  <c r="AG4" i="25"/>
  <c r="AB4" i="25"/>
  <c r="AC4" i="25" s="1"/>
  <c r="AA4" i="25"/>
  <c r="T4" i="25"/>
  <c r="R4" i="25"/>
  <c r="L4" i="25"/>
  <c r="K5" i="25" s="1"/>
  <c r="E4" i="25"/>
  <c r="C4" i="25"/>
  <c r="G15" i="34"/>
  <c r="F15" i="34"/>
  <c r="D15" i="34"/>
  <c r="C15" i="34"/>
  <c r="G14" i="34"/>
  <c r="F14" i="34"/>
  <c r="D14" i="34"/>
  <c r="C14" i="34"/>
  <c r="G13" i="34"/>
  <c r="F13" i="34"/>
  <c r="D13" i="34"/>
  <c r="C13" i="34"/>
  <c r="G12" i="34"/>
  <c r="F12" i="34"/>
  <c r="D12" i="34"/>
  <c r="C12" i="34"/>
  <c r="G11" i="34"/>
  <c r="F11" i="34"/>
  <c r="D11" i="34"/>
  <c r="C11" i="34"/>
  <c r="G10" i="34"/>
  <c r="F10" i="34"/>
  <c r="D10" i="34"/>
  <c r="C10" i="34"/>
  <c r="G9" i="34"/>
  <c r="F9" i="34"/>
  <c r="D9" i="34"/>
  <c r="C9" i="34"/>
  <c r="G8" i="34"/>
  <c r="F8" i="34"/>
  <c r="D8" i="34"/>
  <c r="C8" i="34"/>
  <c r="G7" i="34"/>
  <c r="F7" i="34"/>
  <c r="D7" i="34"/>
  <c r="C7" i="34"/>
  <c r="G6" i="34"/>
  <c r="F6" i="34"/>
  <c r="D6" i="34"/>
  <c r="C6" i="34"/>
  <c r="G5" i="34"/>
  <c r="F5" i="34"/>
  <c r="D5" i="34"/>
  <c r="C5" i="34"/>
  <c r="M4" i="34"/>
  <c r="G4" i="34"/>
  <c r="F4" i="34"/>
  <c r="D4" i="34"/>
  <c r="C4" i="34"/>
  <c r="L4" i="34" s="1"/>
  <c r="K4" i="34" s="1"/>
  <c r="BY33" i="24"/>
  <c r="BO33" i="24"/>
  <c r="BN33" i="24"/>
  <c r="BG33" i="24"/>
  <c r="BF33" i="24"/>
  <c r="BC33" i="24"/>
  <c r="AZ33" i="24"/>
  <c r="D33" i="24"/>
  <c r="BP33" i="24" s="1"/>
  <c r="B33" i="24"/>
  <c r="BI33" i="24" s="1"/>
  <c r="CA32" i="24"/>
  <c r="AX32" i="24" s="1"/>
  <c r="BZ32" i="24"/>
  <c r="AW32" i="24" s="1"/>
  <c r="BY32" i="24"/>
  <c r="BP32" i="24"/>
  <c r="AZ32" i="24"/>
  <c r="AV32" i="24"/>
  <c r="D32" i="24"/>
  <c r="B32" i="24"/>
  <c r="BY31" i="24"/>
  <c r="BO31" i="24"/>
  <c r="BN31" i="24"/>
  <c r="BG31" i="24"/>
  <c r="BF31" i="24"/>
  <c r="BC31" i="24"/>
  <c r="AZ31" i="24"/>
  <c r="AV31" i="24"/>
  <c r="D31" i="24"/>
  <c r="BP31" i="24" s="1"/>
  <c r="B31" i="24"/>
  <c r="BI31" i="24" s="1"/>
  <c r="CA30" i="24"/>
  <c r="AX30" i="24" s="1"/>
  <c r="BZ30" i="24"/>
  <c r="AW30" i="24" s="1"/>
  <c r="BY30" i="24"/>
  <c r="BP30" i="24"/>
  <c r="BH30" i="24"/>
  <c r="BE30" i="24"/>
  <c r="BD30" i="24"/>
  <c r="AZ30" i="24"/>
  <c r="AV30" i="24"/>
  <c r="D30" i="24"/>
  <c r="C30" i="24"/>
  <c r="E30" i="24" s="1"/>
  <c r="B30" i="24"/>
  <c r="BY29" i="24"/>
  <c r="BO29" i="24"/>
  <c r="BN29" i="24"/>
  <c r="BG29" i="24"/>
  <c r="BF29" i="24"/>
  <c r="BC29" i="24"/>
  <c r="AZ29" i="24"/>
  <c r="D29" i="24"/>
  <c r="BP29" i="24" s="1"/>
  <c r="B29" i="24"/>
  <c r="BI29" i="24" s="1"/>
  <c r="CA28" i="24"/>
  <c r="BZ28" i="24"/>
  <c r="AW28" i="24" s="1"/>
  <c r="BY28" i="24"/>
  <c r="BP28" i="24"/>
  <c r="BE28" i="24"/>
  <c r="AZ28" i="24"/>
  <c r="AX28" i="24"/>
  <c r="AV28" i="24"/>
  <c r="D28" i="24"/>
  <c r="B28" i="24"/>
  <c r="BH28" i="24" s="1"/>
  <c r="BY27" i="24"/>
  <c r="BN27" i="24"/>
  <c r="BG27" i="24"/>
  <c r="BF27" i="24"/>
  <c r="BC27" i="24"/>
  <c r="AZ27" i="24"/>
  <c r="AV27" i="24"/>
  <c r="D27" i="24"/>
  <c r="BP27" i="24" s="1"/>
  <c r="B27" i="24"/>
  <c r="BI27" i="24" s="1"/>
  <c r="CA26" i="24"/>
  <c r="AX26" i="24" s="1"/>
  <c r="BZ26" i="24"/>
  <c r="AW26" i="24" s="1"/>
  <c r="BY26" i="24"/>
  <c r="BP26" i="24"/>
  <c r="BD26" i="24"/>
  <c r="AZ26" i="24"/>
  <c r="AV26" i="24"/>
  <c r="D26" i="24"/>
  <c r="C26" i="24"/>
  <c r="E26" i="24" s="1"/>
  <c r="B26" i="24"/>
  <c r="BH26" i="24" s="1"/>
  <c r="BY25" i="24"/>
  <c r="BO25" i="24"/>
  <c r="BN25" i="24"/>
  <c r="BG25" i="24"/>
  <c r="BF25" i="24"/>
  <c r="BC25" i="24"/>
  <c r="AZ25" i="24"/>
  <c r="D25" i="24"/>
  <c r="BP25" i="24" s="1"/>
  <c r="B25" i="24"/>
  <c r="BI25" i="24" s="1"/>
  <c r="CA24" i="24"/>
  <c r="BZ24" i="24"/>
  <c r="AW24" i="24" s="1"/>
  <c r="BY24" i="24"/>
  <c r="BP24" i="24"/>
  <c r="AZ24" i="24"/>
  <c r="AX24" i="24"/>
  <c r="AV24" i="24"/>
  <c r="D24" i="24"/>
  <c r="B24" i="24"/>
  <c r="BY23" i="24"/>
  <c r="BN23" i="24"/>
  <c r="BG23" i="24"/>
  <c r="BF23" i="24"/>
  <c r="BC23" i="24"/>
  <c r="AZ23" i="24"/>
  <c r="AV23" i="24"/>
  <c r="D23" i="24"/>
  <c r="BP23" i="24" s="1"/>
  <c r="B23" i="24"/>
  <c r="BI23" i="24" s="1"/>
  <c r="CA22" i="24"/>
  <c r="AX22" i="24" s="1"/>
  <c r="BZ22" i="24"/>
  <c r="AW22" i="24" s="1"/>
  <c r="BY22" i="24"/>
  <c r="BP22" i="24"/>
  <c r="BH22" i="24"/>
  <c r="BE22" i="24"/>
  <c r="BD22" i="24"/>
  <c r="AZ22" i="24"/>
  <c r="AV22" i="24"/>
  <c r="D22" i="24"/>
  <c r="C22" i="24"/>
  <c r="E22" i="24" s="1"/>
  <c r="B22" i="24"/>
  <c r="BY21" i="24"/>
  <c r="BO21" i="24"/>
  <c r="BN21" i="24"/>
  <c r="BG21" i="24"/>
  <c r="BF21" i="24"/>
  <c r="BC21" i="24"/>
  <c r="AZ21" i="24"/>
  <c r="D21" i="24"/>
  <c r="BP21" i="24" s="1"/>
  <c r="B21" i="24"/>
  <c r="BI21" i="24" s="1"/>
  <c r="CA20" i="24"/>
  <c r="BZ20" i="24"/>
  <c r="AW20" i="24" s="1"/>
  <c r="BY20" i="24"/>
  <c r="BP20" i="24"/>
  <c r="BE20" i="24"/>
  <c r="AZ20" i="24"/>
  <c r="AX20" i="24"/>
  <c r="AV20" i="24"/>
  <c r="D20" i="24"/>
  <c r="B20" i="24"/>
  <c r="BH20" i="24" s="1"/>
  <c r="BY19" i="24"/>
  <c r="BN19" i="24"/>
  <c r="BG19" i="24"/>
  <c r="BF19" i="24"/>
  <c r="BC19" i="24"/>
  <c r="AZ19" i="24"/>
  <c r="AV19" i="24"/>
  <c r="D19" i="24"/>
  <c r="BP19" i="24" s="1"/>
  <c r="B19" i="24"/>
  <c r="BI19" i="24" s="1"/>
  <c r="CA18" i="24"/>
  <c r="AX18" i="24" s="1"/>
  <c r="BZ18" i="24"/>
  <c r="AW18" i="24" s="1"/>
  <c r="BY18" i="24"/>
  <c r="BP18" i="24"/>
  <c r="BH18" i="24"/>
  <c r="BD18" i="24"/>
  <c r="AZ18" i="24"/>
  <c r="AV18" i="24"/>
  <c r="D18" i="24"/>
  <c r="C18" i="24"/>
  <c r="E18" i="24" s="1"/>
  <c r="B18" i="24"/>
  <c r="BE18" i="24" s="1"/>
  <c r="BY17" i="24"/>
  <c r="BO17" i="24"/>
  <c r="BN17" i="24"/>
  <c r="BG17" i="24"/>
  <c r="BF17" i="24"/>
  <c r="BC17" i="24"/>
  <c r="AZ17" i="24"/>
  <c r="D17" i="24"/>
  <c r="BP17" i="24" s="1"/>
  <c r="B17" i="24"/>
  <c r="BI17" i="24" s="1"/>
  <c r="CA16" i="24"/>
  <c r="BZ16" i="24"/>
  <c r="AW16" i="24" s="1"/>
  <c r="BY16" i="24"/>
  <c r="BP16" i="24"/>
  <c r="AZ16" i="24"/>
  <c r="AX16" i="24"/>
  <c r="AV16" i="24"/>
  <c r="D16" i="24"/>
  <c r="B16" i="24"/>
  <c r="BY15" i="24"/>
  <c r="BN15" i="24"/>
  <c r="BG15" i="24"/>
  <c r="BF15" i="24"/>
  <c r="BC15" i="24"/>
  <c r="AZ15" i="24"/>
  <c r="AV15" i="24"/>
  <c r="D15" i="24"/>
  <c r="BP15" i="24" s="1"/>
  <c r="B15" i="24"/>
  <c r="BI15" i="24" s="1"/>
  <c r="CA14" i="24"/>
  <c r="AX14" i="24" s="1"/>
  <c r="BZ14" i="24"/>
  <c r="AW14" i="24" s="1"/>
  <c r="BY14" i="24"/>
  <c r="BP14" i="24"/>
  <c r="BH14" i="24"/>
  <c r="BE14" i="24"/>
  <c r="BD14" i="24"/>
  <c r="AZ14" i="24"/>
  <c r="AV14" i="24"/>
  <c r="D14" i="24"/>
  <c r="C14" i="24"/>
  <c r="E14" i="24" s="1"/>
  <c r="B14" i="24"/>
  <c r="BY13" i="24"/>
  <c r="BO13" i="24"/>
  <c r="BN13" i="24"/>
  <c r="BG13" i="24"/>
  <c r="BF13" i="24"/>
  <c r="BC13" i="24"/>
  <c r="AZ13" i="24"/>
  <c r="D13" i="24"/>
  <c r="BP13" i="24" s="1"/>
  <c r="B13" i="24"/>
  <c r="BI13" i="24" s="1"/>
  <c r="CA12" i="24"/>
  <c r="BZ12" i="24"/>
  <c r="AW12" i="24" s="1"/>
  <c r="BY12" i="24"/>
  <c r="BI12" i="24"/>
  <c r="BE12" i="24"/>
  <c r="BD12" i="24"/>
  <c r="AZ12" i="24"/>
  <c r="AX12" i="24"/>
  <c r="AV12" i="24"/>
  <c r="W12" i="24"/>
  <c r="D12" i="24"/>
  <c r="BP12" i="24" s="1"/>
  <c r="C12" i="24"/>
  <c r="E12" i="24" s="1"/>
  <c r="B12" i="24"/>
  <c r="BZ11" i="24"/>
  <c r="BY11" i="24"/>
  <c r="CA11" i="24" s="1"/>
  <c r="AX11" i="24" s="1"/>
  <c r="BN11" i="24"/>
  <c r="BH11" i="24"/>
  <c r="BG11" i="24"/>
  <c r="BD11" i="24"/>
  <c r="BC11" i="24"/>
  <c r="AZ11" i="24"/>
  <c r="AW11" i="24"/>
  <c r="AV11" i="24"/>
  <c r="D11" i="24"/>
  <c r="BP11" i="24" s="1"/>
  <c r="B11" i="24"/>
  <c r="CA10" i="24"/>
  <c r="AX10" i="24" s="1"/>
  <c r="BZ10" i="24"/>
  <c r="AW10" i="24" s="1"/>
  <c r="BY10" i="24"/>
  <c r="BP10" i="24"/>
  <c r="BI10" i="24"/>
  <c r="BF10" i="24"/>
  <c r="BD10" i="24"/>
  <c r="AZ10" i="24"/>
  <c r="AV10" i="24"/>
  <c r="D10" i="24"/>
  <c r="C10" i="24"/>
  <c r="E10" i="24" s="1"/>
  <c r="B10" i="24"/>
  <c r="BH10" i="24" s="1"/>
  <c r="BZ9" i="24"/>
  <c r="BY9" i="24"/>
  <c r="CA9" i="24" s="1"/>
  <c r="BN9" i="24"/>
  <c r="BG9" i="24"/>
  <c r="BD9" i="24"/>
  <c r="AZ9" i="24"/>
  <c r="AX9" i="24"/>
  <c r="AW9" i="24"/>
  <c r="AV9" i="24"/>
  <c r="D9" i="24"/>
  <c r="BP9" i="24" s="1"/>
  <c r="B9" i="24"/>
  <c r="BH9" i="24" s="1"/>
  <c r="CA8" i="24"/>
  <c r="AX8" i="24" s="1"/>
  <c r="BZ8" i="24"/>
  <c r="BY8" i="24"/>
  <c r="BO8" i="24"/>
  <c r="BN8" i="24"/>
  <c r="BI8" i="24"/>
  <c r="BG8" i="24"/>
  <c r="BF8" i="24"/>
  <c r="BE8" i="24"/>
  <c r="BC8" i="24"/>
  <c r="AZ8" i="24"/>
  <c r="AW8" i="24"/>
  <c r="AV8" i="24"/>
  <c r="W8" i="24"/>
  <c r="G8" i="24"/>
  <c r="H8" i="24" s="1"/>
  <c r="E8" i="24"/>
  <c r="D8" i="24"/>
  <c r="BP8" i="24" s="1"/>
  <c r="C8" i="24"/>
  <c r="B8" i="24"/>
  <c r="BH8" i="24" s="1"/>
  <c r="CA7" i="24"/>
  <c r="AX7" i="24" s="1"/>
  <c r="BY7" i="24"/>
  <c r="BZ7" i="24" s="1"/>
  <c r="AW7" i="24" s="1"/>
  <c r="BP7" i="24"/>
  <c r="BI7" i="24"/>
  <c r="BG7" i="24"/>
  <c r="BE7" i="24"/>
  <c r="BC7" i="24"/>
  <c r="AZ7" i="24"/>
  <c r="W7" i="24"/>
  <c r="G7" i="24"/>
  <c r="H7" i="24" s="1"/>
  <c r="D7" i="24"/>
  <c r="C7" i="24"/>
  <c r="E7" i="24" s="1"/>
  <c r="B7" i="24"/>
  <c r="BH7" i="24" s="1"/>
  <c r="BY6" i="24"/>
  <c r="AV6" i="24" s="1"/>
  <c r="BO6" i="24"/>
  <c r="BN6" i="24"/>
  <c r="BI6" i="24"/>
  <c r="BG6" i="24"/>
  <c r="BF6" i="24"/>
  <c r="BE6" i="24"/>
  <c r="BC6" i="24"/>
  <c r="AZ6" i="24"/>
  <c r="W6" i="24"/>
  <c r="G6" i="24"/>
  <c r="H6" i="24" s="1"/>
  <c r="E6" i="24"/>
  <c r="D6" i="24"/>
  <c r="BP6" i="24" s="1"/>
  <c r="C6" i="24"/>
  <c r="B6" i="24"/>
  <c r="BH6" i="24" s="1"/>
  <c r="CA5" i="24"/>
  <c r="AX5" i="24" s="1"/>
  <c r="BY5" i="24"/>
  <c r="BZ5" i="24" s="1"/>
  <c r="AW5" i="24" s="1"/>
  <c r="BP5" i="24"/>
  <c r="BI5" i="24"/>
  <c r="BG5" i="24"/>
  <c r="BE5" i="24"/>
  <c r="BC5" i="24"/>
  <c r="AZ5" i="24"/>
  <c r="W5" i="24"/>
  <c r="G5" i="24"/>
  <c r="H5" i="24" s="1"/>
  <c r="D5" i="24"/>
  <c r="C5" i="24"/>
  <c r="E5" i="24" s="1"/>
  <c r="B5" i="24"/>
  <c r="BH5" i="24" s="1"/>
  <c r="BY4" i="24"/>
  <c r="AV4" i="24" s="1"/>
  <c r="BO4" i="24"/>
  <c r="BN4" i="24"/>
  <c r="BI4" i="24"/>
  <c r="BG4" i="24"/>
  <c r="BF4" i="24"/>
  <c r="BE4" i="24"/>
  <c r="BC4" i="24"/>
  <c r="AZ4" i="24"/>
  <c r="W4" i="24"/>
  <c r="G4" i="24"/>
  <c r="H4" i="24" s="1"/>
  <c r="E4" i="24"/>
  <c r="D4" i="24"/>
  <c r="BP4" i="24" s="1"/>
  <c r="C4" i="24"/>
  <c r="B4" i="24"/>
  <c r="AA33" i="23"/>
  <c r="AK33" i="23" s="1"/>
  <c r="R33" i="23"/>
  <c r="AK32" i="23"/>
  <c r="AA32" i="23"/>
  <c r="R32" i="23"/>
  <c r="AA31" i="23"/>
  <c r="AK31" i="23" s="1"/>
  <c r="R31" i="23"/>
  <c r="AK30" i="23"/>
  <c r="AA30" i="23"/>
  <c r="R30" i="23"/>
  <c r="AA29" i="23"/>
  <c r="AK29" i="23" s="1"/>
  <c r="R29" i="23"/>
  <c r="AK28" i="23"/>
  <c r="AA28" i="23"/>
  <c r="R28" i="23"/>
  <c r="AA27" i="23"/>
  <c r="AK27" i="23" s="1"/>
  <c r="R27" i="23"/>
  <c r="AK26" i="23"/>
  <c r="AA26" i="23"/>
  <c r="R26" i="23"/>
  <c r="AA25" i="23"/>
  <c r="AK25" i="23" s="1"/>
  <c r="R25" i="23"/>
  <c r="AK24" i="23"/>
  <c r="AA24" i="23"/>
  <c r="R24" i="23"/>
  <c r="AA23" i="23"/>
  <c r="AK23" i="23" s="1"/>
  <c r="R23" i="23"/>
  <c r="AK22" i="23"/>
  <c r="AA22" i="23"/>
  <c r="R22" i="23"/>
  <c r="AA21" i="23"/>
  <c r="AK21" i="23" s="1"/>
  <c r="R21" i="23"/>
  <c r="AA20" i="23"/>
  <c r="AK20" i="23" s="1"/>
  <c r="R20" i="23"/>
  <c r="AK19" i="23"/>
  <c r="AA19" i="23"/>
  <c r="R19" i="23"/>
  <c r="AA18" i="23"/>
  <c r="AK18" i="23" s="1"/>
  <c r="R18" i="23"/>
  <c r="AA17" i="23"/>
  <c r="AK17" i="23" s="1"/>
  <c r="R17" i="23"/>
  <c r="AK16" i="23"/>
  <c r="AA16" i="23"/>
  <c r="R16" i="23"/>
  <c r="AK15" i="23"/>
  <c r="AA15" i="23"/>
  <c r="R15" i="23"/>
  <c r="AA14" i="23"/>
  <c r="AK14" i="23" s="1"/>
  <c r="R14" i="23"/>
  <c r="AK13" i="23"/>
  <c r="AA13" i="23"/>
  <c r="R13" i="23"/>
  <c r="AA12" i="23"/>
  <c r="AK12" i="23" s="1"/>
  <c r="R12" i="23"/>
  <c r="C12" i="23"/>
  <c r="AA11" i="23"/>
  <c r="AK11" i="23" s="1"/>
  <c r="R11" i="23"/>
  <c r="AK10" i="23"/>
  <c r="AA10" i="23"/>
  <c r="R10" i="23"/>
  <c r="AA9" i="23"/>
  <c r="AK9" i="23" s="1"/>
  <c r="R9" i="23"/>
  <c r="AK8" i="23"/>
  <c r="AA8" i="23"/>
  <c r="R8" i="23"/>
  <c r="AA7" i="23"/>
  <c r="AK7" i="23" s="1"/>
  <c r="R7" i="23"/>
  <c r="AK6" i="23"/>
  <c r="AA6" i="23"/>
  <c r="R6" i="23"/>
  <c r="AA5" i="23"/>
  <c r="AK5" i="23" s="1"/>
  <c r="R5" i="23"/>
  <c r="AA4" i="23"/>
  <c r="AK4" i="23" s="1"/>
  <c r="R4" i="23"/>
  <c r="G114" i="6"/>
  <c r="B114" i="6"/>
  <c r="B113" i="6"/>
  <c r="G113" i="6" s="1"/>
  <c r="G112" i="6"/>
  <c r="B112" i="6"/>
  <c r="B111" i="6"/>
  <c r="G111" i="6" s="1"/>
  <c r="G110" i="6"/>
  <c r="B110" i="6"/>
  <c r="B109" i="6"/>
  <c r="G109" i="6" s="1"/>
  <c r="G108" i="6"/>
  <c r="B108" i="6"/>
  <c r="B107" i="6"/>
  <c r="G107" i="6" s="1"/>
  <c r="G106" i="6"/>
  <c r="B106" i="6"/>
  <c r="B105" i="6"/>
  <c r="G105" i="6" s="1"/>
  <c r="G104" i="6"/>
  <c r="B104" i="6"/>
  <c r="B103" i="6"/>
  <c r="G103" i="6" s="1"/>
  <c r="G102" i="6"/>
  <c r="B102" i="6"/>
  <c r="B101" i="6"/>
  <c r="G101" i="6" s="1"/>
  <c r="G100" i="6"/>
  <c r="B100" i="6"/>
  <c r="R99" i="6"/>
  <c r="B99" i="6"/>
  <c r="G99" i="6" s="1"/>
  <c r="G98" i="6"/>
  <c r="B98" i="6"/>
  <c r="B97" i="6"/>
  <c r="G97" i="6" s="1"/>
  <c r="G96" i="6"/>
  <c r="B96" i="6"/>
  <c r="B95" i="6"/>
  <c r="G95" i="6" s="1"/>
  <c r="G94" i="6"/>
  <c r="B94" i="6"/>
  <c r="P93" i="6"/>
  <c r="B93" i="6"/>
  <c r="G93" i="6" s="1"/>
  <c r="G92" i="6"/>
  <c r="B92" i="6"/>
  <c r="B91" i="6"/>
  <c r="G91" i="6" s="1"/>
  <c r="G90" i="6"/>
  <c r="B90" i="6"/>
  <c r="B89" i="6"/>
  <c r="G89" i="6" s="1"/>
  <c r="G88" i="6"/>
  <c r="B88" i="6"/>
  <c r="B87" i="6"/>
  <c r="G87" i="6" s="1"/>
  <c r="G86" i="6"/>
  <c r="B86" i="6"/>
  <c r="B85" i="6"/>
  <c r="G85" i="6" s="1"/>
  <c r="H81" i="6"/>
  <c r="E81" i="6"/>
  <c r="G81" i="6" s="1"/>
  <c r="D81" i="6"/>
  <c r="C81" i="6"/>
  <c r="B81" i="6"/>
  <c r="L81" i="6" s="1"/>
  <c r="N80" i="6"/>
  <c r="D80" i="6"/>
  <c r="C80" i="6"/>
  <c r="B80" i="6"/>
  <c r="H79" i="6"/>
  <c r="E79" i="6"/>
  <c r="G79" i="6" s="1"/>
  <c r="V79" i="6" s="1"/>
  <c r="D79" i="6"/>
  <c r="C79" i="6"/>
  <c r="B79" i="6"/>
  <c r="L79" i="6" s="1"/>
  <c r="D78" i="6"/>
  <c r="C78" i="6"/>
  <c r="B78" i="6"/>
  <c r="O78" i="6" s="1"/>
  <c r="H77" i="6"/>
  <c r="E77" i="6"/>
  <c r="G77" i="6" s="1"/>
  <c r="D77" i="6"/>
  <c r="C77" i="6"/>
  <c r="B77" i="6"/>
  <c r="L77" i="6" s="1"/>
  <c r="D76" i="6"/>
  <c r="C76" i="6"/>
  <c r="B76" i="6"/>
  <c r="O75" i="6"/>
  <c r="H75" i="6"/>
  <c r="E75" i="6"/>
  <c r="G75" i="6" s="1"/>
  <c r="D75" i="6"/>
  <c r="C75" i="6"/>
  <c r="B75" i="6"/>
  <c r="D74" i="6"/>
  <c r="C74" i="6"/>
  <c r="B74" i="6"/>
  <c r="O74" i="6" s="1"/>
  <c r="O73" i="6"/>
  <c r="H73" i="6"/>
  <c r="E73" i="6"/>
  <c r="G73" i="6" s="1"/>
  <c r="D73" i="6"/>
  <c r="C73" i="6"/>
  <c r="B73" i="6"/>
  <c r="L73" i="6" s="1"/>
  <c r="D72" i="6"/>
  <c r="C72" i="6"/>
  <c r="B72" i="6"/>
  <c r="H71" i="6"/>
  <c r="E71" i="6"/>
  <c r="G71" i="6" s="1"/>
  <c r="V71" i="6" s="1"/>
  <c r="D71" i="6"/>
  <c r="C71" i="6"/>
  <c r="B71" i="6"/>
  <c r="L71" i="6" s="1"/>
  <c r="L70" i="6"/>
  <c r="G70" i="6"/>
  <c r="V70" i="6" s="1"/>
  <c r="F70" i="6"/>
  <c r="E70" i="6"/>
  <c r="D70" i="6"/>
  <c r="C70" i="6"/>
  <c r="B70" i="6"/>
  <c r="O70" i="6" s="1"/>
  <c r="L69" i="6"/>
  <c r="G69" i="6"/>
  <c r="V69" i="6" s="1"/>
  <c r="F69" i="6"/>
  <c r="E69" i="6"/>
  <c r="D69" i="6"/>
  <c r="C69" i="6"/>
  <c r="B69" i="6"/>
  <c r="D68" i="6"/>
  <c r="C68" i="6"/>
  <c r="B68" i="6"/>
  <c r="O68" i="6" s="1"/>
  <c r="O67" i="6"/>
  <c r="F67" i="6"/>
  <c r="D67" i="6"/>
  <c r="C67" i="6"/>
  <c r="B67" i="6"/>
  <c r="L67" i="6" s="1"/>
  <c r="O66" i="6"/>
  <c r="H66" i="6"/>
  <c r="E66" i="6"/>
  <c r="G66" i="6" s="1"/>
  <c r="D66" i="6"/>
  <c r="C66" i="6"/>
  <c r="B66" i="6"/>
  <c r="D65" i="6"/>
  <c r="C65" i="6"/>
  <c r="B65" i="6"/>
  <c r="L65" i="6" s="1"/>
  <c r="O64" i="6"/>
  <c r="H64" i="6"/>
  <c r="E64" i="6"/>
  <c r="G64" i="6" s="1"/>
  <c r="V64" i="6" s="1"/>
  <c r="D64" i="6"/>
  <c r="C64" i="6"/>
  <c r="B64" i="6"/>
  <c r="L63" i="6"/>
  <c r="D63" i="6"/>
  <c r="C63" i="6"/>
  <c r="B63" i="6"/>
  <c r="O63" i="6" s="1"/>
  <c r="O62" i="6"/>
  <c r="H62" i="6"/>
  <c r="E62" i="6"/>
  <c r="G62" i="6" s="1"/>
  <c r="D62" i="6"/>
  <c r="C62" i="6"/>
  <c r="B62" i="6"/>
  <c r="L62" i="6" s="1"/>
  <c r="J61" i="6"/>
  <c r="D61" i="6"/>
  <c r="C61" i="6"/>
  <c r="B61" i="6"/>
  <c r="L61" i="6" s="1"/>
  <c r="J60" i="6"/>
  <c r="G60" i="6"/>
  <c r="F60" i="6"/>
  <c r="E60" i="6"/>
  <c r="D60" i="6"/>
  <c r="C60" i="6"/>
  <c r="B60" i="6"/>
  <c r="O60" i="6" s="1"/>
  <c r="L59" i="6"/>
  <c r="J59" i="6"/>
  <c r="G59" i="6"/>
  <c r="F59" i="6"/>
  <c r="E59" i="6"/>
  <c r="D59" i="6"/>
  <c r="C59" i="6"/>
  <c r="B59" i="6"/>
  <c r="O58" i="6"/>
  <c r="H58" i="6"/>
  <c r="E58" i="6"/>
  <c r="G58" i="6" s="1"/>
  <c r="D58" i="6"/>
  <c r="C58" i="6"/>
  <c r="B58" i="6"/>
  <c r="D57" i="6"/>
  <c r="C57" i="6"/>
  <c r="B57" i="6"/>
  <c r="L57" i="6" s="1"/>
  <c r="F56" i="6"/>
  <c r="D56" i="6"/>
  <c r="C56" i="6"/>
  <c r="B56" i="6"/>
  <c r="D55" i="6"/>
  <c r="C55" i="6"/>
  <c r="B55" i="6"/>
  <c r="J54" i="6"/>
  <c r="F54" i="6"/>
  <c r="E54" i="6"/>
  <c r="G54" i="6" s="1"/>
  <c r="D54" i="6"/>
  <c r="C54" i="6"/>
  <c r="B54" i="6"/>
  <c r="O54" i="6" s="1"/>
  <c r="J53" i="6"/>
  <c r="F53" i="6"/>
  <c r="E53" i="6"/>
  <c r="G53" i="6" s="1"/>
  <c r="D53" i="6"/>
  <c r="C53" i="6"/>
  <c r="B53" i="6"/>
  <c r="J52" i="6"/>
  <c r="F52" i="6"/>
  <c r="E52" i="6"/>
  <c r="G52" i="6" s="1"/>
  <c r="D52" i="6"/>
  <c r="C52" i="6"/>
  <c r="B52" i="6"/>
  <c r="BC48" i="6"/>
  <c r="BB48" i="6"/>
  <c r="BA48" i="6"/>
  <c r="AZ48" i="6"/>
  <c r="AY48" i="6"/>
  <c r="AX48" i="6"/>
  <c r="AW48" i="6"/>
  <c r="AQ48" i="6"/>
  <c r="AP48" i="6"/>
  <c r="AF33" i="24" s="1"/>
  <c r="AE48" i="6"/>
  <c r="U48" i="6"/>
  <c r="S48" i="6"/>
  <c r="O81" i="6" s="1"/>
  <c r="H48" i="6"/>
  <c r="G48" i="6"/>
  <c r="I33" i="24" s="1"/>
  <c r="D48" i="6"/>
  <c r="AT48" i="6" s="1"/>
  <c r="Q33" i="24" s="1"/>
  <c r="BC47" i="6"/>
  <c r="BB47" i="6"/>
  <c r="BA47" i="6"/>
  <c r="AZ47" i="6"/>
  <c r="AY47" i="6"/>
  <c r="AX47" i="6"/>
  <c r="AW47" i="6"/>
  <c r="AT47" i="6"/>
  <c r="AR47" i="6"/>
  <c r="AQ47" i="6"/>
  <c r="AP47" i="6"/>
  <c r="AE47" i="6"/>
  <c r="W47" i="6"/>
  <c r="U47" i="6"/>
  <c r="S47" i="6"/>
  <c r="H47" i="6"/>
  <c r="G47" i="6"/>
  <c r="D47" i="6"/>
  <c r="AS47" i="6" s="1"/>
  <c r="BC46" i="6"/>
  <c r="BB46" i="6"/>
  <c r="BA46" i="6"/>
  <c r="AZ46" i="6"/>
  <c r="AY46" i="6"/>
  <c r="AX46" i="6"/>
  <c r="AW46" i="6"/>
  <c r="AU46" i="6"/>
  <c r="AG31" i="24" s="1"/>
  <c r="AQ46" i="6"/>
  <c r="AP46" i="6"/>
  <c r="AF31" i="24" s="1"/>
  <c r="AE46" i="6"/>
  <c r="U46" i="6"/>
  <c r="S46" i="6"/>
  <c r="O79" i="6" s="1"/>
  <c r="H46" i="6"/>
  <c r="G46" i="6"/>
  <c r="I31" i="24" s="1"/>
  <c r="D46" i="6"/>
  <c r="BC45" i="6"/>
  <c r="BB45" i="6"/>
  <c r="BA45" i="6"/>
  <c r="AZ45" i="6"/>
  <c r="AY45" i="6"/>
  <c r="AX45" i="6"/>
  <c r="AW45" i="6"/>
  <c r="AT45" i="6"/>
  <c r="AR45" i="6"/>
  <c r="AQ45" i="6"/>
  <c r="K30" i="24" s="1"/>
  <c r="AP45" i="6"/>
  <c r="AE45" i="6"/>
  <c r="W45" i="6"/>
  <c r="U45" i="6"/>
  <c r="S45" i="6"/>
  <c r="V30" i="24" s="1"/>
  <c r="H45" i="6"/>
  <c r="J30" i="24" s="1"/>
  <c r="G45" i="6"/>
  <c r="D45" i="6"/>
  <c r="AS45" i="6" s="1"/>
  <c r="BC44" i="6"/>
  <c r="BB44" i="6"/>
  <c r="BA44" i="6"/>
  <c r="AZ44" i="6"/>
  <c r="AY44" i="6"/>
  <c r="AX44" i="6"/>
  <c r="AW44" i="6"/>
  <c r="AQ44" i="6"/>
  <c r="AP44" i="6"/>
  <c r="AF29" i="24" s="1"/>
  <c r="AE44" i="6"/>
  <c r="U44" i="6"/>
  <c r="S44" i="6"/>
  <c r="O77" i="6" s="1"/>
  <c r="H44" i="6"/>
  <c r="G44" i="6"/>
  <c r="I29" i="24" s="1"/>
  <c r="D44" i="6"/>
  <c r="BC43" i="6"/>
  <c r="BB43" i="6"/>
  <c r="BA43" i="6"/>
  <c r="AZ43" i="6"/>
  <c r="AY43" i="6"/>
  <c r="AX43" i="6"/>
  <c r="AW43" i="6"/>
  <c r="AT43" i="6"/>
  <c r="AR43" i="6"/>
  <c r="AQ43" i="6"/>
  <c r="K28" i="24" s="1"/>
  <c r="AP43" i="6"/>
  <c r="AE43" i="6"/>
  <c r="W43" i="6"/>
  <c r="U43" i="6"/>
  <c r="S43" i="6"/>
  <c r="H43" i="6"/>
  <c r="G43" i="6"/>
  <c r="D43" i="6"/>
  <c r="AS43" i="6" s="1"/>
  <c r="BC42" i="6"/>
  <c r="BB42" i="6"/>
  <c r="BA42" i="6"/>
  <c r="AZ42" i="6"/>
  <c r="AY42" i="6"/>
  <c r="AX42" i="6"/>
  <c r="AW42" i="6"/>
  <c r="AU42" i="6"/>
  <c r="AG27" i="24" s="1"/>
  <c r="AS42" i="6"/>
  <c r="P27" i="24" s="1"/>
  <c r="AR42" i="6"/>
  <c r="AQ42" i="6"/>
  <c r="AP42" i="6"/>
  <c r="AF27" i="24" s="1"/>
  <c r="AI42" i="6"/>
  <c r="W42" i="6"/>
  <c r="X27" i="24" s="1"/>
  <c r="U42" i="6"/>
  <c r="S42" i="6"/>
  <c r="I42" i="6"/>
  <c r="H42" i="6"/>
  <c r="G42" i="6"/>
  <c r="I27" i="24" s="1"/>
  <c r="D42" i="6"/>
  <c r="AT42" i="6" s="1"/>
  <c r="Q27" i="24" s="1"/>
  <c r="BC41" i="6"/>
  <c r="BB41" i="6"/>
  <c r="BA41" i="6"/>
  <c r="AZ41" i="6"/>
  <c r="AY41" i="6"/>
  <c r="AX41" i="6"/>
  <c r="AW41" i="6"/>
  <c r="AS41" i="6"/>
  <c r="AQ41" i="6"/>
  <c r="AP41" i="6"/>
  <c r="AI41" i="6"/>
  <c r="W41" i="6"/>
  <c r="U41" i="6"/>
  <c r="S41" i="6"/>
  <c r="H41" i="6"/>
  <c r="J26" i="24" s="1"/>
  <c r="G41" i="6"/>
  <c r="D41" i="6"/>
  <c r="AT41" i="6" s="1"/>
  <c r="BC40" i="6"/>
  <c r="BB40" i="6"/>
  <c r="BA40" i="6"/>
  <c r="AZ40" i="6"/>
  <c r="AY40" i="6"/>
  <c r="AX40" i="6"/>
  <c r="AW40" i="6"/>
  <c r="AQ40" i="6"/>
  <c r="AP40" i="6"/>
  <c r="AF25" i="24" s="1"/>
  <c r="AI40" i="6"/>
  <c r="AE40" i="6"/>
  <c r="U40" i="6"/>
  <c r="S40" i="6"/>
  <c r="H40" i="6"/>
  <c r="G40" i="6"/>
  <c r="I25" i="24" s="1"/>
  <c r="D40" i="6"/>
  <c r="BC39" i="6"/>
  <c r="BB39" i="6"/>
  <c r="BA39" i="6"/>
  <c r="AZ39" i="6"/>
  <c r="AY39" i="6"/>
  <c r="AX39" i="6"/>
  <c r="AW39" i="6"/>
  <c r="AT39" i="6"/>
  <c r="AR39" i="6"/>
  <c r="AQ39" i="6"/>
  <c r="AP39" i="6"/>
  <c r="AE39" i="6"/>
  <c r="W39" i="6"/>
  <c r="U39" i="6"/>
  <c r="S39" i="6"/>
  <c r="I39" i="6"/>
  <c r="H39" i="6"/>
  <c r="G39" i="6"/>
  <c r="D39" i="6"/>
  <c r="AS39" i="6" s="1"/>
  <c r="BC38" i="6"/>
  <c r="BB38" i="6"/>
  <c r="BA38" i="6"/>
  <c r="AZ38" i="6"/>
  <c r="AY38" i="6"/>
  <c r="AX38" i="6"/>
  <c r="AW38" i="6"/>
  <c r="AQ38" i="6"/>
  <c r="AP38" i="6"/>
  <c r="AF23" i="24" s="1"/>
  <c r="AE38" i="6"/>
  <c r="U38" i="6"/>
  <c r="S38" i="6"/>
  <c r="O71" i="6" s="1"/>
  <c r="H38" i="6"/>
  <c r="G38" i="6"/>
  <c r="I23" i="24" s="1"/>
  <c r="D38" i="6"/>
  <c r="AS38" i="6" s="1"/>
  <c r="P23" i="24" s="1"/>
  <c r="BC37" i="6"/>
  <c r="BB37" i="6"/>
  <c r="BA37" i="6"/>
  <c r="AZ37" i="6"/>
  <c r="AY37" i="6"/>
  <c r="AX37" i="6"/>
  <c r="AW37" i="6"/>
  <c r="AV37" i="6"/>
  <c r="AH22" i="24" s="1"/>
  <c r="AT37" i="6"/>
  <c r="AR37" i="6"/>
  <c r="AQ37" i="6"/>
  <c r="K22" i="24" s="1"/>
  <c r="AP37" i="6"/>
  <c r="AE37" i="6"/>
  <c r="W37" i="6"/>
  <c r="U37" i="6"/>
  <c r="S37" i="6"/>
  <c r="V22" i="24" s="1"/>
  <c r="H37" i="6"/>
  <c r="J22" i="24" s="1"/>
  <c r="G37" i="6"/>
  <c r="D37" i="6"/>
  <c r="AS37" i="6" s="1"/>
  <c r="BC36" i="6"/>
  <c r="BB36" i="6"/>
  <c r="BA36" i="6"/>
  <c r="AZ36" i="6"/>
  <c r="AY36" i="6"/>
  <c r="AX36" i="6"/>
  <c r="AW36" i="6"/>
  <c r="AQ36" i="6"/>
  <c r="AP36" i="6"/>
  <c r="AF21" i="24" s="1"/>
  <c r="AE36" i="6"/>
  <c r="U36" i="6"/>
  <c r="S36" i="6"/>
  <c r="H36" i="6"/>
  <c r="G36" i="6"/>
  <c r="I21" i="24" s="1"/>
  <c r="D36" i="6"/>
  <c r="BC35" i="6"/>
  <c r="BB35" i="6"/>
  <c r="BA35" i="6"/>
  <c r="AZ35" i="6"/>
  <c r="AY35" i="6"/>
  <c r="AX35" i="6"/>
  <c r="AW35" i="6"/>
  <c r="AT35" i="6"/>
  <c r="AR35" i="6"/>
  <c r="AQ35" i="6"/>
  <c r="K20" i="24" s="1"/>
  <c r="AP35" i="6"/>
  <c r="AE35" i="6"/>
  <c r="W35" i="6"/>
  <c r="U35" i="6"/>
  <c r="S35" i="6"/>
  <c r="I35" i="6"/>
  <c r="H35" i="6"/>
  <c r="G35" i="6"/>
  <c r="D35" i="6"/>
  <c r="AS35" i="6" s="1"/>
  <c r="BC34" i="6"/>
  <c r="BB34" i="6"/>
  <c r="BA34" i="6"/>
  <c r="AZ34" i="6"/>
  <c r="AY34" i="6"/>
  <c r="AX34" i="6"/>
  <c r="AW34" i="6"/>
  <c r="AS34" i="6"/>
  <c r="P19" i="24" s="1"/>
  <c r="AQ34" i="6"/>
  <c r="AP34" i="6"/>
  <c r="AF19" i="24" s="1"/>
  <c r="AE34" i="6"/>
  <c r="U34" i="6"/>
  <c r="S34" i="6"/>
  <c r="H34" i="6"/>
  <c r="G34" i="6"/>
  <c r="I19" i="24" s="1"/>
  <c r="D34" i="6"/>
  <c r="BC33" i="6"/>
  <c r="BB33" i="6"/>
  <c r="BA33" i="6"/>
  <c r="AZ33" i="6"/>
  <c r="AY33" i="6"/>
  <c r="AX33" i="6"/>
  <c r="AW33" i="6"/>
  <c r="AV33" i="6"/>
  <c r="AH18" i="24" s="1"/>
  <c r="AT33" i="6"/>
  <c r="AR33" i="6"/>
  <c r="AQ33" i="6"/>
  <c r="AP33" i="6"/>
  <c r="AE33" i="6"/>
  <c r="W33" i="6"/>
  <c r="U33" i="6"/>
  <c r="S33" i="6"/>
  <c r="V18" i="24" s="1"/>
  <c r="H33" i="6"/>
  <c r="J18" i="24" s="1"/>
  <c r="G33" i="6"/>
  <c r="D33" i="6"/>
  <c r="AS33" i="6" s="1"/>
  <c r="BC32" i="6"/>
  <c r="BB32" i="6"/>
  <c r="BA32" i="6"/>
  <c r="AZ32" i="6"/>
  <c r="AY32" i="6"/>
  <c r="AX32" i="6"/>
  <c r="AW32" i="6"/>
  <c r="AQ32" i="6"/>
  <c r="AP32" i="6"/>
  <c r="AF17" i="24" s="1"/>
  <c r="AE32" i="6"/>
  <c r="U32" i="6"/>
  <c r="S32" i="6"/>
  <c r="H32" i="6"/>
  <c r="G32" i="6"/>
  <c r="I17" i="24" s="1"/>
  <c r="D32" i="6"/>
  <c r="BC31" i="6"/>
  <c r="BB31" i="6"/>
  <c r="BA31" i="6"/>
  <c r="AZ31" i="6"/>
  <c r="AY31" i="6"/>
  <c r="AX31" i="6"/>
  <c r="AW31" i="6"/>
  <c r="AT31" i="6"/>
  <c r="AR31" i="6"/>
  <c r="AQ31" i="6"/>
  <c r="AP31" i="6"/>
  <c r="AE31" i="6"/>
  <c r="W31" i="6"/>
  <c r="U31" i="6"/>
  <c r="S31" i="6"/>
  <c r="I31" i="6"/>
  <c r="H31" i="6"/>
  <c r="G31" i="6"/>
  <c r="D31" i="6"/>
  <c r="AS31" i="6" s="1"/>
  <c r="BC30" i="6"/>
  <c r="BB30" i="6"/>
  <c r="BA30" i="6"/>
  <c r="AZ30" i="6"/>
  <c r="AY30" i="6"/>
  <c r="AX30" i="6"/>
  <c r="AW30" i="6"/>
  <c r="AQ30" i="6"/>
  <c r="AP30" i="6"/>
  <c r="AF15" i="24" s="1"/>
  <c r="AE30" i="6"/>
  <c r="U30" i="6"/>
  <c r="S30" i="6"/>
  <c r="H30" i="6"/>
  <c r="G30" i="6"/>
  <c r="I15" i="24" s="1"/>
  <c r="D30" i="6"/>
  <c r="AS30" i="6" s="1"/>
  <c r="P15" i="24" s="1"/>
  <c r="BC29" i="6"/>
  <c r="BB29" i="6"/>
  <c r="BA29" i="6"/>
  <c r="AZ29" i="6"/>
  <c r="AY29" i="6"/>
  <c r="AX29" i="6"/>
  <c r="AW29" i="6"/>
  <c r="AV29" i="6"/>
  <c r="AH14" i="24" s="1"/>
  <c r="AT29" i="6"/>
  <c r="AR29" i="6"/>
  <c r="AQ29" i="6"/>
  <c r="K14" i="24" s="1"/>
  <c r="AP29" i="6"/>
  <c r="AE29" i="6"/>
  <c r="W29" i="6"/>
  <c r="U29" i="6"/>
  <c r="S29" i="6"/>
  <c r="V14" i="24" s="1"/>
  <c r="I29" i="6"/>
  <c r="H29" i="6"/>
  <c r="J14" i="24" s="1"/>
  <c r="G29" i="6"/>
  <c r="D29" i="6"/>
  <c r="AS29" i="6" s="1"/>
  <c r="BC28" i="6"/>
  <c r="BB28" i="6"/>
  <c r="BA28" i="6"/>
  <c r="AZ28" i="6"/>
  <c r="AY28" i="6"/>
  <c r="AX28" i="6"/>
  <c r="AW28" i="6"/>
  <c r="AQ28" i="6"/>
  <c r="AP28" i="6"/>
  <c r="AF13" i="24" s="1"/>
  <c r="AI28" i="6"/>
  <c r="K94" i="6" s="1"/>
  <c r="AE28" i="6"/>
  <c r="U28" i="6"/>
  <c r="S28" i="6"/>
  <c r="H28" i="6"/>
  <c r="G28" i="6"/>
  <c r="I13" i="24" s="1"/>
  <c r="D28" i="6"/>
  <c r="AK28" i="6" s="1"/>
  <c r="AC13" i="24" s="1"/>
  <c r="BC27" i="6"/>
  <c r="BB27" i="6"/>
  <c r="BA27" i="6"/>
  <c r="AZ27" i="6"/>
  <c r="AY27" i="6"/>
  <c r="AX27" i="6"/>
  <c r="AW27" i="6"/>
  <c r="AT27" i="6"/>
  <c r="AR27" i="6"/>
  <c r="O12" i="24" s="1"/>
  <c r="AQ27" i="6"/>
  <c r="K12" i="24" s="1"/>
  <c r="AP27" i="6"/>
  <c r="AE27" i="6"/>
  <c r="W27" i="6"/>
  <c r="U27" i="6"/>
  <c r="S27" i="6"/>
  <c r="H27" i="6"/>
  <c r="J12" i="24" s="1"/>
  <c r="G27" i="6"/>
  <c r="D27" i="6"/>
  <c r="AS27" i="6" s="1"/>
  <c r="BC26" i="6"/>
  <c r="BB26" i="6"/>
  <c r="BA26" i="6"/>
  <c r="AZ26" i="6"/>
  <c r="AY26" i="6"/>
  <c r="AX26" i="6"/>
  <c r="AW26" i="6"/>
  <c r="AQ26" i="6"/>
  <c r="AP26" i="6"/>
  <c r="AF11" i="24" s="1"/>
  <c r="AE26" i="6"/>
  <c r="U26" i="6"/>
  <c r="S26" i="6"/>
  <c r="V11" i="24" s="1"/>
  <c r="H26" i="6"/>
  <c r="J11" i="24" s="1"/>
  <c r="G26" i="6"/>
  <c r="I11" i="24" s="1"/>
  <c r="D26" i="6"/>
  <c r="BC25" i="6"/>
  <c r="BB25" i="6"/>
  <c r="BA25" i="6"/>
  <c r="AZ25" i="6"/>
  <c r="AY25" i="6"/>
  <c r="AX25" i="6"/>
  <c r="AW25" i="6"/>
  <c r="AV25" i="6"/>
  <c r="AT25" i="6"/>
  <c r="AR25" i="6"/>
  <c r="AQ25" i="6"/>
  <c r="K10" i="24" s="1"/>
  <c r="AP25" i="6"/>
  <c r="AF10" i="24" s="1"/>
  <c r="AE25" i="6"/>
  <c r="W25" i="6"/>
  <c r="X10" i="24" s="1"/>
  <c r="U25" i="6"/>
  <c r="S25" i="6"/>
  <c r="V10" i="24" s="1"/>
  <c r="H25" i="6"/>
  <c r="G25" i="6"/>
  <c r="D25" i="6"/>
  <c r="AS25" i="6" s="1"/>
  <c r="P10" i="24" s="1"/>
  <c r="BC24" i="6"/>
  <c r="BB24" i="6"/>
  <c r="BA24" i="6"/>
  <c r="AZ24" i="6"/>
  <c r="AY24" i="6"/>
  <c r="AX24" i="6"/>
  <c r="AW24" i="6"/>
  <c r="AQ24" i="6"/>
  <c r="AP24" i="6"/>
  <c r="AI24" i="6"/>
  <c r="AE24" i="6"/>
  <c r="U24" i="6"/>
  <c r="S24" i="6"/>
  <c r="V9" i="24" s="1"/>
  <c r="H24" i="6"/>
  <c r="G24" i="6"/>
  <c r="I9" i="24" s="1"/>
  <c r="D24" i="6"/>
  <c r="AK24" i="6" s="1"/>
  <c r="BC23" i="6"/>
  <c r="BB23" i="6"/>
  <c r="BA23" i="6"/>
  <c r="AZ23" i="6"/>
  <c r="AY23" i="6"/>
  <c r="AX23" i="6"/>
  <c r="AW23" i="6"/>
  <c r="AT23" i="6"/>
  <c r="Q8" i="24" s="1"/>
  <c r="AR23" i="6"/>
  <c r="O8" i="24" s="1"/>
  <c r="AQ23" i="6"/>
  <c r="K8" i="24" s="1"/>
  <c r="AP23" i="6"/>
  <c r="AF8" i="24" s="1"/>
  <c r="AI23" i="6"/>
  <c r="AE23" i="6"/>
  <c r="W23" i="6"/>
  <c r="X8" i="24" s="1"/>
  <c r="U23" i="6"/>
  <c r="S23" i="6"/>
  <c r="H23" i="6"/>
  <c r="G23" i="6"/>
  <c r="I8" i="24" s="1"/>
  <c r="D23" i="6"/>
  <c r="AS23" i="6" s="1"/>
  <c r="P8" i="24" s="1"/>
  <c r="BC22" i="6"/>
  <c r="BB22" i="6"/>
  <c r="BA22" i="6"/>
  <c r="AZ22" i="6"/>
  <c r="AY22" i="6"/>
  <c r="AX22" i="6"/>
  <c r="AW22" i="6"/>
  <c r="AQ22" i="6"/>
  <c r="K7" i="24" s="1"/>
  <c r="AP22" i="6"/>
  <c r="AI22" i="6"/>
  <c r="AF22" i="6"/>
  <c r="AE22" i="6"/>
  <c r="W22" i="6"/>
  <c r="U22" i="6"/>
  <c r="S22" i="6"/>
  <c r="H22" i="6"/>
  <c r="G22" i="6"/>
  <c r="I7" i="24" s="1"/>
  <c r="D22" i="6"/>
  <c r="BC21" i="6"/>
  <c r="BB21" i="6"/>
  <c r="BA21" i="6"/>
  <c r="AZ21" i="6"/>
  <c r="AY21" i="6"/>
  <c r="AX21" i="6"/>
  <c r="AW21" i="6"/>
  <c r="AR21" i="6"/>
  <c r="O6" i="24" s="1"/>
  <c r="AQ21" i="6"/>
  <c r="K6" i="24" s="1"/>
  <c r="AP21" i="6"/>
  <c r="AF6" i="24" s="1"/>
  <c r="AE21" i="6"/>
  <c r="U21" i="6"/>
  <c r="S21" i="6"/>
  <c r="I21" i="6"/>
  <c r="H21" i="6"/>
  <c r="G21" i="6"/>
  <c r="I6" i="24" s="1"/>
  <c r="D21" i="6"/>
  <c r="AS21" i="6" s="1"/>
  <c r="P6" i="24" s="1"/>
  <c r="BC20" i="6"/>
  <c r="BB20" i="6"/>
  <c r="BA20" i="6"/>
  <c r="AZ20" i="6"/>
  <c r="AY20" i="6"/>
  <c r="AX20" i="6"/>
  <c r="AW20" i="6"/>
  <c r="AS20" i="6"/>
  <c r="AQ20" i="6"/>
  <c r="K5" i="24" s="1"/>
  <c r="AP20" i="6"/>
  <c r="AE20" i="6"/>
  <c r="U20" i="6"/>
  <c r="L53" i="6" s="1"/>
  <c r="S20" i="6"/>
  <c r="I20" i="6"/>
  <c r="H20" i="6"/>
  <c r="G20" i="6"/>
  <c r="I5" i="24" s="1"/>
  <c r="D20" i="6"/>
  <c r="AU20" i="6" s="1"/>
  <c r="AG5" i="24" s="1"/>
  <c r="BC19" i="6"/>
  <c r="BB19" i="6"/>
  <c r="BA19" i="6"/>
  <c r="AZ19" i="6"/>
  <c r="AY19" i="6"/>
  <c r="AX19" i="6"/>
  <c r="AW19" i="6"/>
  <c r="AT19" i="6"/>
  <c r="Q4" i="24" s="1"/>
  <c r="AR19" i="6"/>
  <c r="O4" i="24" s="1"/>
  <c r="AQ19" i="6"/>
  <c r="K4" i="24" s="1"/>
  <c r="AP19" i="6"/>
  <c r="AF4" i="24" s="1"/>
  <c r="AI19" i="6"/>
  <c r="AE19" i="6"/>
  <c r="W19" i="6"/>
  <c r="X4" i="24" s="1"/>
  <c r="U19" i="6"/>
  <c r="S19" i="6"/>
  <c r="I19" i="6"/>
  <c r="H19" i="6"/>
  <c r="G19" i="6"/>
  <c r="I4" i="24" s="1"/>
  <c r="D19" i="6"/>
  <c r="AS19" i="6" s="1"/>
  <c r="P4" i="24" s="1"/>
  <c r="J11" i="6"/>
  <c r="H11" i="6"/>
  <c r="F11" i="6"/>
  <c r="F9" i="6"/>
  <c r="G9" i="6" s="1"/>
  <c r="H9" i="6" s="1"/>
  <c r="I9" i="6" s="1"/>
  <c r="J9" i="6" s="1"/>
  <c r="E9" i="6"/>
  <c r="J8" i="6"/>
  <c r="G8" i="6"/>
  <c r="D8" i="6"/>
  <c r="I7" i="6"/>
  <c r="G7" i="6"/>
  <c r="F7" i="6"/>
  <c r="J6" i="6"/>
  <c r="J7" i="6" s="1"/>
  <c r="I6" i="6"/>
  <c r="I8" i="6" s="1"/>
  <c r="H6" i="6"/>
  <c r="G6" i="6"/>
  <c r="F6" i="6"/>
  <c r="F8" i="6" s="1"/>
  <c r="E6" i="6"/>
  <c r="E8" i="6" s="1"/>
  <c r="D6" i="6"/>
  <c r="D7" i="6" s="1"/>
  <c r="M5" i="6"/>
  <c r="H94" i="43"/>
  <c r="H93" i="43"/>
  <c r="H92" i="43"/>
  <c r="H91" i="43"/>
  <c r="H90" i="43"/>
  <c r="H89" i="43"/>
  <c r="H88" i="43"/>
  <c r="H87" i="43"/>
  <c r="H86" i="43"/>
  <c r="H85" i="43"/>
  <c r="H84" i="43"/>
  <c r="H83" i="43"/>
  <c r="H82" i="43"/>
  <c r="H81" i="43"/>
  <c r="H80" i="43"/>
  <c r="H79" i="43"/>
  <c r="H78" i="43"/>
  <c r="H77" i="43"/>
  <c r="H76" i="43"/>
  <c r="H75" i="43"/>
  <c r="H74" i="43"/>
  <c r="H73" i="43"/>
  <c r="H72" i="43"/>
  <c r="H71" i="43"/>
  <c r="H70" i="43"/>
  <c r="H69" i="43"/>
  <c r="H68" i="43"/>
  <c r="H67" i="43"/>
  <c r="H66" i="43"/>
  <c r="H65" i="43"/>
  <c r="H64" i="43"/>
  <c r="H63" i="43"/>
  <c r="H62" i="43"/>
  <c r="H61" i="43"/>
  <c r="H60" i="43"/>
  <c r="H59" i="43"/>
  <c r="H58" i="43"/>
  <c r="H57" i="43"/>
  <c r="H56" i="43"/>
  <c r="H55" i="43"/>
  <c r="H54" i="43"/>
  <c r="H53" i="43"/>
  <c r="H52" i="43"/>
  <c r="H51" i="43"/>
  <c r="H50" i="43"/>
  <c r="H49" i="43"/>
  <c r="H48" i="43"/>
  <c r="H47" i="43"/>
  <c r="H46" i="43"/>
  <c r="H45" i="43"/>
  <c r="H44" i="43"/>
  <c r="H43" i="43"/>
  <c r="H42" i="43"/>
  <c r="H41" i="43"/>
  <c r="H40" i="43"/>
  <c r="H39" i="43"/>
  <c r="H38" i="43"/>
  <c r="H37" i="43"/>
  <c r="H36" i="43"/>
  <c r="H35" i="43"/>
  <c r="H34" i="43"/>
  <c r="H33" i="43"/>
  <c r="H32" i="43"/>
  <c r="L3" i="43" s="1"/>
  <c r="H31" i="43"/>
  <c r="H30" i="43"/>
  <c r="H29" i="43"/>
  <c r="H28" i="43"/>
  <c r="M27" i="43"/>
  <c r="N27" i="43" s="1"/>
  <c r="L27" i="43"/>
  <c r="H27" i="43"/>
  <c r="H26" i="43"/>
  <c r="H25" i="43"/>
  <c r="H24" i="43"/>
  <c r="H23" i="43"/>
  <c r="H22" i="43"/>
  <c r="H21" i="43"/>
  <c r="H20" i="43"/>
  <c r="H19" i="43"/>
  <c r="H18" i="43"/>
  <c r="N17" i="43"/>
  <c r="M17" i="43"/>
  <c r="L17" i="43"/>
  <c r="H17" i="43"/>
  <c r="H16" i="43"/>
  <c r="H15" i="43"/>
  <c r="H14" i="43"/>
  <c r="H13" i="43"/>
  <c r="H12" i="43"/>
  <c r="H11" i="43"/>
  <c r="H10" i="43"/>
  <c r="H9" i="43"/>
  <c r="H8" i="43"/>
  <c r="M7" i="43"/>
  <c r="L7" i="43"/>
  <c r="H7" i="43"/>
  <c r="H6" i="43"/>
  <c r="H5" i="43"/>
  <c r="K4" i="43"/>
  <c r="H4" i="43"/>
  <c r="K3" i="43"/>
  <c r="H3" i="43"/>
  <c r="K2" i="43"/>
  <c r="H2" i="43"/>
  <c r="H39" i="5"/>
  <c r="G39" i="5"/>
  <c r="E39" i="5"/>
  <c r="F39" i="5" s="1"/>
  <c r="D39" i="5"/>
  <c r="C39" i="5"/>
  <c r="BB38" i="5"/>
  <c r="G38" i="5"/>
  <c r="E38" i="5"/>
  <c r="D38" i="5"/>
  <c r="C38" i="5"/>
  <c r="G37" i="5"/>
  <c r="E37" i="5"/>
  <c r="D37" i="5"/>
  <c r="C37" i="5"/>
  <c r="I33" i="5"/>
  <c r="F33" i="5"/>
  <c r="S33" i="5" s="1"/>
  <c r="Z33" i="5" s="1"/>
  <c r="W32" i="5"/>
  <c r="AD32" i="5" s="1"/>
  <c r="I32" i="5"/>
  <c r="F32" i="5"/>
  <c r="R32" i="5" s="1"/>
  <c r="Y32" i="5" s="1"/>
  <c r="S31" i="5"/>
  <c r="Z31" i="5" s="1"/>
  <c r="I31" i="5"/>
  <c r="F31" i="5"/>
  <c r="CR30" i="5"/>
  <c r="CE30" i="5"/>
  <c r="CD30" i="5"/>
  <c r="CC30" i="5"/>
  <c r="CB30" i="5"/>
  <c r="CA30" i="5"/>
  <c r="AC30" i="5"/>
  <c r="Z30" i="5"/>
  <c r="W30" i="5"/>
  <c r="AD30" i="5" s="1"/>
  <c r="V30" i="5"/>
  <c r="U30" i="5"/>
  <c r="AB30" i="5" s="1"/>
  <c r="R30" i="5"/>
  <c r="Y30" i="5" s="1"/>
  <c r="I30" i="5"/>
  <c r="X30" i="5" s="1"/>
  <c r="AE30" i="5" s="1"/>
  <c r="F30" i="5"/>
  <c r="S30" i="5" s="1"/>
  <c r="CR29" i="5"/>
  <c r="CE29" i="5"/>
  <c r="CD29" i="5"/>
  <c r="CC29" i="5"/>
  <c r="CB29" i="5"/>
  <c r="CF29" i="5" s="1"/>
  <c r="CA29" i="5"/>
  <c r="V29" i="5"/>
  <c r="AC29" i="5" s="1"/>
  <c r="I29" i="5"/>
  <c r="F29" i="5"/>
  <c r="I44" i="6" s="1"/>
  <c r="CR28" i="5"/>
  <c r="CE28" i="5"/>
  <c r="CD28" i="5"/>
  <c r="CC28" i="5"/>
  <c r="CB28" i="5"/>
  <c r="CA28" i="5"/>
  <c r="W28" i="5"/>
  <c r="AD28" i="5" s="1"/>
  <c r="U28" i="5"/>
  <c r="AB28" i="5" s="1"/>
  <c r="R28" i="5"/>
  <c r="Y28" i="5" s="1"/>
  <c r="I28" i="5"/>
  <c r="X28" i="5" s="1"/>
  <c r="AE28" i="5" s="1"/>
  <c r="F28" i="5"/>
  <c r="I43" i="6" s="1"/>
  <c r="U27" i="5"/>
  <c r="AB27" i="5" s="1"/>
  <c r="R27" i="5"/>
  <c r="Y27" i="5" s="1"/>
  <c r="I27" i="5"/>
  <c r="F27" i="5"/>
  <c r="AC26" i="5"/>
  <c r="X26" i="5"/>
  <c r="AE26" i="5" s="1"/>
  <c r="S26" i="5"/>
  <c r="Z26" i="5" s="1"/>
  <c r="I26" i="5"/>
  <c r="V26" i="5" s="1"/>
  <c r="F26" i="5"/>
  <c r="R26" i="5" s="1"/>
  <c r="Y26" i="5" s="1"/>
  <c r="I25" i="5"/>
  <c r="F25" i="5"/>
  <c r="T25" i="5" s="1"/>
  <c r="AA25" i="5" s="1"/>
  <c r="CL24" i="5"/>
  <c r="CN24" i="5" s="1"/>
  <c r="CI24" i="5"/>
  <c r="CK24" i="5" s="1"/>
  <c r="CE24" i="5"/>
  <c r="CD24" i="5"/>
  <c r="CB24" i="5"/>
  <c r="CA24" i="5"/>
  <c r="R24" i="5"/>
  <c r="Y24" i="5" s="1"/>
  <c r="I24" i="5"/>
  <c r="U24" i="5" s="1"/>
  <c r="AB24" i="5" s="1"/>
  <c r="F24" i="5"/>
  <c r="CI23" i="5"/>
  <c r="CK23" i="5" s="1"/>
  <c r="CB23" i="5"/>
  <c r="CA23" i="5"/>
  <c r="V23" i="5"/>
  <c r="AC23" i="5" s="1"/>
  <c r="I23" i="5"/>
  <c r="F23" i="5"/>
  <c r="I38" i="6" s="1"/>
  <c r="CI22" i="5"/>
  <c r="CK22" i="5" s="1"/>
  <c r="CC22" i="5"/>
  <c r="AK22" i="6" s="1"/>
  <c r="CB22" i="5"/>
  <c r="CA22" i="5"/>
  <c r="AI27" i="6" s="1"/>
  <c r="X22" i="5"/>
  <c r="AE22" i="5" s="1"/>
  <c r="S22" i="5"/>
  <c r="Z22" i="5" s="1"/>
  <c r="I22" i="5"/>
  <c r="U22" i="5" s="1"/>
  <c r="AB22" i="5" s="1"/>
  <c r="F22" i="5"/>
  <c r="R21" i="5"/>
  <c r="Y21" i="5" s="1"/>
  <c r="I21" i="5"/>
  <c r="U21" i="5" s="1"/>
  <c r="AB21" i="5" s="1"/>
  <c r="F21" i="5"/>
  <c r="I36" i="6" s="1"/>
  <c r="W20" i="5"/>
  <c r="AD20" i="5" s="1"/>
  <c r="U20" i="5"/>
  <c r="AB20" i="5" s="1"/>
  <c r="R20" i="5"/>
  <c r="Y20" i="5" s="1"/>
  <c r="I20" i="5"/>
  <c r="X20" i="5" s="1"/>
  <c r="AE20" i="5" s="1"/>
  <c r="F20" i="5"/>
  <c r="V20" i="5" s="1"/>
  <c r="AC20" i="5" s="1"/>
  <c r="T19" i="5"/>
  <c r="AA19" i="5" s="1"/>
  <c r="I19" i="5"/>
  <c r="F19" i="5"/>
  <c r="CF18" i="5"/>
  <c r="CF24" i="5" s="1"/>
  <c r="CD18" i="5"/>
  <c r="CC18" i="5"/>
  <c r="AJ18" i="5"/>
  <c r="R18" i="5"/>
  <c r="Y18" i="5" s="1"/>
  <c r="I18" i="5"/>
  <c r="F18" i="5"/>
  <c r="I33" i="6" s="1"/>
  <c r="CD17" i="5"/>
  <c r="CE23" i="5" s="1"/>
  <c r="CC17" i="5"/>
  <c r="CD23" i="5" s="1"/>
  <c r="AJ35" i="6" s="1"/>
  <c r="L101" i="6" s="1"/>
  <c r="AJ17" i="5"/>
  <c r="W17" i="5"/>
  <c r="AD17" i="5" s="1"/>
  <c r="R17" i="5"/>
  <c r="Y17" i="5" s="1"/>
  <c r="I17" i="5"/>
  <c r="F17" i="5"/>
  <c r="X17" i="5" s="1"/>
  <c r="AE17" i="5" s="1"/>
  <c r="CD16" i="5"/>
  <c r="CC16" i="5"/>
  <c r="AJ16" i="5"/>
  <c r="X16" i="5"/>
  <c r="AE16" i="5" s="1"/>
  <c r="S16" i="5"/>
  <c r="Z16" i="5" s="1"/>
  <c r="I16" i="5"/>
  <c r="U16" i="5" s="1"/>
  <c r="AB16" i="5" s="1"/>
  <c r="F16" i="5"/>
  <c r="T15" i="5"/>
  <c r="AA15" i="5" s="1"/>
  <c r="I15" i="5"/>
  <c r="F15" i="5"/>
  <c r="U14" i="5"/>
  <c r="AB14" i="5" s="1"/>
  <c r="R14" i="5"/>
  <c r="Y14" i="5" s="1"/>
  <c r="I14" i="5"/>
  <c r="F14" i="5"/>
  <c r="X13" i="5"/>
  <c r="AE13" i="5" s="1"/>
  <c r="S13" i="5"/>
  <c r="Z13" i="5" s="1"/>
  <c r="I13" i="5"/>
  <c r="U13" i="5" s="1"/>
  <c r="AB13" i="5" s="1"/>
  <c r="F13" i="5"/>
  <c r="CD12" i="5"/>
  <c r="CC24" i="5" s="1"/>
  <c r="AK12" i="5"/>
  <c r="AJ12" i="5"/>
  <c r="AU48" i="6" s="1"/>
  <c r="AG33" i="24" s="1"/>
  <c r="AI12" i="5"/>
  <c r="T12" i="5"/>
  <c r="AA12" i="5" s="1"/>
  <c r="I12" i="5"/>
  <c r="F12" i="5"/>
  <c r="CD11" i="5"/>
  <c r="CC23" i="5" s="1"/>
  <c r="AK11" i="5"/>
  <c r="AV35" i="6" s="1"/>
  <c r="AJ11" i="5"/>
  <c r="AI11" i="5"/>
  <c r="R11" i="5"/>
  <c r="Y11" i="5" s="1"/>
  <c r="I11" i="5"/>
  <c r="V11" i="5" s="1"/>
  <c r="AC11" i="5" s="1"/>
  <c r="F11" i="5"/>
  <c r="CF10" i="5"/>
  <c r="CD10" i="5"/>
  <c r="BE10" i="5"/>
  <c r="BA40" i="5" s="1"/>
  <c r="BB10" i="5"/>
  <c r="BC10" i="5" s="1"/>
  <c r="BA20" i="5" s="1"/>
  <c r="AX10" i="5"/>
  <c r="AV10" i="5"/>
  <c r="AU10" i="5"/>
  <c r="AT10" i="5"/>
  <c r="M79" i="6" s="1"/>
  <c r="AK10" i="5"/>
  <c r="AV27" i="6" s="1"/>
  <c r="AH12" i="24" s="1"/>
  <c r="AJ10" i="5"/>
  <c r="AU22" i="6" s="1"/>
  <c r="AG7" i="24" s="1"/>
  <c r="AI10" i="5"/>
  <c r="AE10" i="5"/>
  <c r="AD10" i="5"/>
  <c r="AC10" i="5"/>
  <c r="Y10" i="5"/>
  <c r="S10" i="5"/>
  <c r="Z10" i="5" s="1"/>
  <c r="I10" i="5"/>
  <c r="F10" i="5"/>
  <c r="T10" i="5" s="1"/>
  <c r="AA10" i="5" s="1"/>
  <c r="BC9" i="5"/>
  <c r="BB9" i="5"/>
  <c r="AX9" i="5"/>
  <c r="AU9" i="5"/>
  <c r="AV9" i="5" s="1"/>
  <c r="AT9" i="5"/>
  <c r="Y9" i="5"/>
  <c r="V9" i="5"/>
  <c r="AC9" i="5" s="1"/>
  <c r="T9" i="5"/>
  <c r="AA9" i="5" s="1"/>
  <c r="R9" i="5"/>
  <c r="I9" i="5"/>
  <c r="F9" i="5"/>
  <c r="I24" i="6" s="1"/>
  <c r="BE8" i="5"/>
  <c r="BA38" i="5" s="1"/>
  <c r="BD8" i="5"/>
  <c r="BA28" i="5" s="1"/>
  <c r="BC8" i="5"/>
  <c r="BA18" i="5" s="1"/>
  <c r="BB18" i="5" s="1"/>
  <c r="BB8" i="5"/>
  <c r="AX8" i="5"/>
  <c r="AV8" i="5"/>
  <c r="AU8" i="5"/>
  <c r="AT8" i="5"/>
  <c r="T8" i="5"/>
  <c r="AA8" i="5" s="1"/>
  <c r="I8" i="5"/>
  <c r="F8" i="5"/>
  <c r="BC7" i="5"/>
  <c r="N65" i="6" s="1"/>
  <c r="BB7" i="5"/>
  <c r="AX7" i="5"/>
  <c r="AU7" i="5"/>
  <c r="AV7" i="5" s="1"/>
  <c r="AT7" i="5"/>
  <c r="M71" i="6" s="1"/>
  <c r="Y7" i="5"/>
  <c r="X7" i="5"/>
  <c r="AE7" i="5" s="1"/>
  <c r="V7" i="5"/>
  <c r="AC7" i="5" s="1"/>
  <c r="T7" i="5"/>
  <c r="AA7" i="5" s="1"/>
  <c r="R7" i="5"/>
  <c r="I7" i="5"/>
  <c r="F7" i="5"/>
  <c r="I22" i="6" s="1"/>
  <c r="DH6" i="5"/>
  <c r="DG6" i="5"/>
  <c r="CR6" i="5"/>
  <c r="CB6" i="5"/>
  <c r="CE12" i="5" s="1"/>
  <c r="BB6" i="5"/>
  <c r="BC6" i="5" s="1"/>
  <c r="AX6" i="5"/>
  <c r="AV6" i="5"/>
  <c r="AU6" i="5"/>
  <c r="AT6" i="5"/>
  <c r="AJ6" i="5"/>
  <c r="AI6" i="5"/>
  <c r="Y6" i="5"/>
  <c r="V6" i="5"/>
  <c r="AC6" i="5" s="1"/>
  <c r="T6" i="5"/>
  <c r="AA6" i="5" s="1"/>
  <c r="R6" i="5"/>
  <c r="I6" i="5"/>
  <c r="F6" i="5"/>
  <c r="DH5" i="5"/>
  <c r="DG5" i="5"/>
  <c r="CU5" i="5"/>
  <c r="CU17" i="5" s="1"/>
  <c r="CR5" i="5"/>
  <c r="CR17" i="5" s="1"/>
  <c r="CB5" i="5"/>
  <c r="BD5" i="5"/>
  <c r="BA25" i="5" s="1"/>
  <c r="BB5" i="5"/>
  <c r="BC5" i="5" s="1"/>
  <c r="AX5" i="5"/>
  <c r="AV5" i="5"/>
  <c r="AU5" i="5"/>
  <c r="AT5" i="5"/>
  <c r="AJ5" i="5"/>
  <c r="AI5" i="5"/>
  <c r="Y5" i="5"/>
  <c r="X5" i="5"/>
  <c r="AE5" i="5" s="1"/>
  <c r="V5" i="5"/>
  <c r="AC5" i="5" s="1"/>
  <c r="T5" i="5"/>
  <c r="AA5" i="5" s="1"/>
  <c r="R5" i="5"/>
  <c r="I5" i="5"/>
  <c r="F5" i="5"/>
  <c r="DH4" i="5"/>
  <c r="DG4" i="5"/>
  <c r="CR4" i="5"/>
  <c r="CB4" i="5"/>
  <c r="CE10" i="5" s="1"/>
  <c r="BB4" i="5"/>
  <c r="BC4" i="5" s="1"/>
  <c r="AX4" i="5"/>
  <c r="AV4" i="5"/>
  <c r="AU4" i="5"/>
  <c r="AT4" i="5"/>
  <c r="AJ4" i="5"/>
  <c r="AI4" i="5"/>
  <c r="Y4" i="5"/>
  <c r="V4" i="5"/>
  <c r="AC4" i="5" s="1"/>
  <c r="T4" i="5"/>
  <c r="AA4" i="5" s="1"/>
  <c r="R4" i="5"/>
  <c r="I4" i="5"/>
  <c r="F4" i="5"/>
  <c r="AK4" i="5" s="1"/>
  <c r="G36" i="26"/>
  <c r="G35" i="26"/>
  <c r="C35" i="26"/>
  <c r="G34" i="26"/>
  <c r="C34" i="26"/>
  <c r="AR33" i="26"/>
  <c r="G33" i="26"/>
  <c r="C33" i="26"/>
  <c r="CD32" i="26"/>
  <c r="CC32" i="26"/>
  <c r="CB32" i="26"/>
  <c r="AR32" i="26"/>
  <c r="AI32" i="26"/>
  <c r="G32" i="26"/>
  <c r="C32" i="26"/>
  <c r="CD31" i="26"/>
  <c r="CC31" i="26"/>
  <c r="CB31" i="26"/>
  <c r="AR31" i="26"/>
  <c r="AI31" i="26"/>
  <c r="G31" i="26"/>
  <c r="C31" i="26"/>
  <c r="CD30" i="26"/>
  <c r="CC30" i="26"/>
  <c r="CB30" i="26"/>
  <c r="AR30" i="26"/>
  <c r="AI30" i="26"/>
  <c r="G30" i="26"/>
  <c r="C30" i="26"/>
  <c r="CD29" i="26"/>
  <c r="CC29" i="26"/>
  <c r="CB29" i="26"/>
  <c r="AR29" i="26"/>
  <c r="AI29" i="26"/>
  <c r="G29" i="26"/>
  <c r="C29" i="26"/>
  <c r="CD28" i="26"/>
  <c r="CC28" i="26"/>
  <c r="CB28" i="26"/>
  <c r="AR28" i="26"/>
  <c r="AI28" i="26"/>
  <c r="G28" i="26"/>
  <c r="C28" i="26"/>
  <c r="CD27" i="26"/>
  <c r="CC27" i="26"/>
  <c r="CB27" i="26"/>
  <c r="AR27" i="26"/>
  <c r="AI27" i="26"/>
  <c r="G27" i="26"/>
  <c r="C27" i="26"/>
  <c r="CD26" i="26"/>
  <c r="CC26" i="26"/>
  <c r="CB26" i="26"/>
  <c r="AR26" i="26"/>
  <c r="AI26" i="26"/>
  <c r="G26" i="26"/>
  <c r="C26" i="26"/>
  <c r="CD25" i="26"/>
  <c r="CC25" i="26"/>
  <c r="CB25" i="26"/>
  <c r="AR25" i="26"/>
  <c r="AI25" i="26"/>
  <c r="G25" i="26"/>
  <c r="C25" i="26"/>
  <c r="CD24" i="26"/>
  <c r="CC24" i="26"/>
  <c r="CB24" i="26"/>
  <c r="AR24" i="26"/>
  <c r="AI24" i="26"/>
  <c r="G24" i="26"/>
  <c r="C24" i="26"/>
  <c r="CD23" i="26"/>
  <c r="CC23" i="26"/>
  <c r="CB23" i="26"/>
  <c r="AR23" i="26"/>
  <c r="AI23" i="26"/>
  <c r="G23" i="26"/>
  <c r="C23" i="26"/>
  <c r="AI21" i="26" s="1"/>
  <c r="CD22" i="26"/>
  <c r="CC22" i="26"/>
  <c r="CB22" i="26"/>
  <c r="AR22" i="26"/>
  <c r="AI22" i="26"/>
  <c r="G22" i="26"/>
  <c r="C22" i="26"/>
  <c r="AI20" i="26" s="1"/>
  <c r="CD21" i="26"/>
  <c r="CC21" i="26"/>
  <c r="CB21" i="26"/>
  <c r="AR21" i="26"/>
  <c r="G21" i="26"/>
  <c r="C21" i="26"/>
  <c r="AI19" i="26" s="1"/>
  <c r="CD20" i="26"/>
  <c r="CC20" i="26"/>
  <c r="CB20" i="26"/>
  <c r="AR20" i="26"/>
  <c r="G20" i="26"/>
  <c r="C20" i="26"/>
  <c r="AI18" i="26" s="1"/>
  <c r="CD19" i="26"/>
  <c r="CC19" i="26"/>
  <c r="CB19" i="26"/>
  <c r="AR19" i="26"/>
  <c r="G19" i="26"/>
  <c r="C19" i="26"/>
  <c r="AI17" i="26" s="1"/>
  <c r="CD18" i="26"/>
  <c r="CC18" i="26"/>
  <c r="CB18" i="26"/>
  <c r="AR18" i="26"/>
  <c r="G18" i="26"/>
  <c r="C18" i="26"/>
  <c r="AI16" i="26" s="1"/>
  <c r="CD17" i="26"/>
  <c r="CC17" i="26"/>
  <c r="CB17" i="26"/>
  <c r="AR17" i="26"/>
  <c r="G17" i="26"/>
  <c r="C17" i="26"/>
  <c r="AI15" i="26" s="1"/>
  <c r="CD16" i="26"/>
  <c r="CC16" i="26"/>
  <c r="CB16" i="26"/>
  <c r="AR16" i="26"/>
  <c r="G16" i="26"/>
  <c r="C16" i="26"/>
  <c r="AR14" i="26" s="1"/>
  <c r="CD15" i="26"/>
  <c r="CC15" i="26"/>
  <c r="CB15" i="26"/>
  <c r="AR15" i="26"/>
  <c r="O15" i="26"/>
  <c r="E15" i="34" s="1"/>
  <c r="J15" i="26"/>
  <c r="H15" i="26"/>
  <c r="G15" i="26"/>
  <c r="C15" i="26"/>
  <c r="AR13" i="26" s="1"/>
  <c r="CC14" i="26"/>
  <c r="CB14" i="26"/>
  <c r="AI14" i="26"/>
  <c r="O14" i="26"/>
  <c r="E14" i="34" s="1"/>
  <c r="J14" i="26"/>
  <c r="H14" i="26"/>
  <c r="C14" i="26"/>
  <c r="AR12" i="26" s="1"/>
  <c r="CB13" i="26"/>
  <c r="AI13" i="26"/>
  <c r="O13" i="26"/>
  <c r="E13" i="34" s="1"/>
  <c r="J13" i="26"/>
  <c r="H13" i="26"/>
  <c r="G13" i="26"/>
  <c r="C13" i="26"/>
  <c r="AI12" i="26"/>
  <c r="O12" i="26"/>
  <c r="E12" i="34" s="1"/>
  <c r="J12" i="26"/>
  <c r="H12" i="26"/>
  <c r="G12" i="26"/>
  <c r="C12" i="26"/>
  <c r="AR10" i="26" s="1"/>
  <c r="CD11" i="26"/>
  <c r="CC11" i="26"/>
  <c r="CB11" i="26"/>
  <c r="AR11" i="26"/>
  <c r="AI11" i="26"/>
  <c r="O11" i="26"/>
  <c r="E11" i="34" s="1"/>
  <c r="J11" i="26"/>
  <c r="H11" i="26"/>
  <c r="G11" i="26"/>
  <c r="C11" i="26"/>
  <c r="AR9" i="26" s="1"/>
  <c r="CC10" i="26"/>
  <c r="CB10" i="26"/>
  <c r="AI10" i="26"/>
  <c r="O10" i="26"/>
  <c r="E10" i="34" s="1"/>
  <c r="J10" i="26"/>
  <c r="H10" i="26"/>
  <c r="C10" i="26"/>
  <c r="AR8" i="26" s="1"/>
  <c r="CB9" i="26"/>
  <c r="AI9" i="26"/>
  <c r="X9" i="26"/>
  <c r="X11" i="26" s="1"/>
  <c r="X13" i="26" s="1"/>
  <c r="X15" i="26" s="1"/>
  <c r="X17" i="26" s="1"/>
  <c r="X19" i="26" s="1"/>
  <c r="X21" i="26" s="1"/>
  <c r="X23" i="26" s="1"/>
  <c r="X25" i="26" s="1"/>
  <c r="X27" i="26" s="1"/>
  <c r="X29" i="26" s="1"/>
  <c r="X31" i="26" s="1"/>
  <c r="X33" i="26" s="1"/>
  <c r="X35" i="26" s="1"/>
  <c r="X37" i="26" s="1"/>
  <c r="X39" i="26" s="1"/>
  <c r="X41" i="26" s="1"/>
  <c r="X43" i="26" s="1"/>
  <c r="X45" i="26" s="1"/>
  <c r="X47" i="26" s="1"/>
  <c r="X49" i="26" s="1"/>
  <c r="X51" i="26" s="1"/>
  <c r="X53" i="26" s="1"/>
  <c r="X55" i="26" s="1"/>
  <c r="X57" i="26" s="1"/>
  <c r="X59" i="26" s="1"/>
  <c r="X61" i="26" s="1"/>
  <c r="X63" i="26" s="1"/>
  <c r="O9" i="26"/>
  <c r="E9" i="34" s="1"/>
  <c r="J9" i="26"/>
  <c r="H9" i="26"/>
  <c r="G9" i="26"/>
  <c r="C9" i="26"/>
  <c r="AI8" i="26"/>
  <c r="X8" i="26"/>
  <c r="X10" i="26" s="1"/>
  <c r="X12" i="26" s="1"/>
  <c r="X14" i="26" s="1"/>
  <c r="X16" i="26" s="1"/>
  <c r="X18" i="26" s="1"/>
  <c r="X20" i="26" s="1"/>
  <c r="X22" i="26" s="1"/>
  <c r="X24" i="26" s="1"/>
  <c r="X26" i="26" s="1"/>
  <c r="X28" i="26" s="1"/>
  <c r="X30" i="26" s="1"/>
  <c r="X32" i="26" s="1"/>
  <c r="X34" i="26" s="1"/>
  <c r="X36" i="26" s="1"/>
  <c r="X38" i="26" s="1"/>
  <c r="X40" i="26" s="1"/>
  <c r="X42" i="26" s="1"/>
  <c r="X44" i="26" s="1"/>
  <c r="X46" i="26" s="1"/>
  <c r="X48" i="26" s="1"/>
  <c r="X50" i="26" s="1"/>
  <c r="X52" i="26" s="1"/>
  <c r="X54" i="26" s="1"/>
  <c r="X56" i="26" s="1"/>
  <c r="X58" i="26" s="1"/>
  <c r="X60" i="26" s="1"/>
  <c r="X62" i="26" s="1"/>
  <c r="O8" i="26"/>
  <c r="E8" i="34" s="1"/>
  <c r="J8" i="26"/>
  <c r="H8" i="26"/>
  <c r="G8" i="26"/>
  <c r="C8" i="26"/>
  <c r="AR6" i="26" s="1"/>
  <c r="CD7" i="26"/>
  <c r="CC7" i="26"/>
  <c r="CB7" i="26"/>
  <c r="AR7" i="26"/>
  <c r="AI7" i="26"/>
  <c r="X7" i="26"/>
  <c r="O7" i="26"/>
  <c r="E7" i="34" s="1"/>
  <c r="J7" i="26"/>
  <c r="H7" i="26"/>
  <c r="G7" i="26"/>
  <c r="C7" i="26"/>
  <c r="AR5" i="26" s="1"/>
  <c r="CC6" i="26"/>
  <c r="CB6" i="26"/>
  <c r="AI6" i="26"/>
  <c r="X6" i="26"/>
  <c r="O6" i="26"/>
  <c r="E6" i="34" s="1"/>
  <c r="J6" i="26"/>
  <c r="H6" i="26"/>
  <c r="C6" i="26"/>
  <c r="CB5" i="26"/>
  <c r="AI5" i="26"/>
  <c r="O5" i="26"/>
  <c r="E5" i="34" s="1"/>
  <c r="J5" i="26"/>
  <c r="H5" i="26"/>
  <c r="CB4" i="26"/>
  <c r="BJ4" i="26"/>
  <c r="AI4" i="26"/>
  <c r="O4" i="26"/>
  <c r="E4" i="34" s="1"/>
  <c r="J4" i="26"/>
  <c r="H4" i="26"/>
  <c r="A237" i="50"/>
  <c r="A236" i="50"/>
  <c r="A235" i="50"/>
  <c r="A234" i="50"/>
  <c r="A233" i="50"/>
  <c r="A232" i="50"/>
  <c r="A231" i="50"/>
  <c r="A230" i="50"/>
  <c r="A229" i="50"/>
  <c r="A228" i="50"/>
  <c r="A227" i="50"/>
  <c r="A226" i="50"/>
  <c r="A225" i="50"/>
  <c r="A224" i="50"/>
  <c r="A223" i="50"/>
  <c r="A222" i="50"/>
  <c r="A221" i="50"/>
  <c r="A220" i="50"/>
  <c r="A219" i="50"/>
  <c r="A218" i="50"/>
  <c r="A217" i="50"/>
  <c r="A216" i="50"/>
  <c r="A215" i="50"/>
  <c r="A214" i="50"/>
  <c r="A213" i="50"/>
  <c r="A212" i="50"/>
  <c r="A211" i="50"/>
  <c r="A210" i="50"/>
  <c r="A209" i="50"/>
  <c r="A208" i="50"/>
  <c r="A207" i="50"/>
  <c r="A206" i="50"/>
  <c r="A205" i="50"/>
  <c r="A204" i="50"/>
  <c r="A203" i="50"/>
  <c r="A202" i="50"/>
  <c r="A201" i="50"/>
  <c r="A200" i="50"/>
  <c r="A199" i="50"/>
  <c r="A198" i="50"/>
  <c r="A197" i="50"/>
  <c r="A196" i="50"/>
  <c r="A195" i="50"/>
  <c r="A194" i="50"/>
  <c r="A193" i="50"/>
  <c r="A192" i="50"/>
  <c r="A191" i="50"/>
  <c r="A190" i="50"/>
  <c r="A189" i="50"/>
  <c r="A188" i="50"/>
  <c r="A187" i="50"/>
  <c r="A186" i="50"/>
  <c r="A185" i="50"/>
  <c r="A184" i="50"/>
  <c r="A183" i="50"/>
  <c r="A182" i="50"/>
  <c r="A181" i="50"/>
  <c r="A180" i="50"/>
  <c r="A179" i="50"/>
  <c r="A178" i="50"/>
  <c r="A177" i="50"/>
  <c r="A176" i="50"/>
  <c r="A175" i="50"/>
  <c r="A174" i="50"/>
  <c r="A173" i="50"/>
  <c r="A172" i="50"/>
  <c r="A171" i="50"/>
  <c r="A170" i="50"/>
  <c r="A169" i="50"/>
  <c r="A168" i="50"/>
  <c r="A167" i="50"/>
  <c r="A166" i="50"/>
  <c r="A165" i="50"/>
  <c r="A164" i="50"/>
  <c r="A163" i="50"/>
  <c r="A162" i="50"/>
  <c r="A161" i="50"/>
  <c r="A160" i="50"/>
  <c r="A159" i="50"/>
  <c r="A158" i="50"/>
  <c r="A157" i="50"/>
  <c r="A156" i="50"/>
  <c r="A155" i="50"/>
  <c r="A154" i="50"/>
  <c r="A153" i="50"/>
  <c r="A152" i="50"/>
  <c r="A151" i="50"/>
  <c r="A150" i="50"/>
  <c r="A149" i="50"/>
  <c r="A148" i="50"/>
  <c r="A147" i="50"/>
  <c r="A146" i="50"/>
  <c r="A145" i="50"/>
  <c r="A144" i="50"/>
  <c r="A143" i="50"/>
  <c r="A142" i="50"/>
  <c r="A141" i="50"/>
  <c r="A140" i="50"/>
  <c r="A139" i="50"/>
  <c r="A138" i="50"/>
  <c r="A137" i="50"/>
  <c r="A136" i="50"/>
  <c r="A135" i="50"/>
  <c r="A134" i="50"/>
  <c r="A133" i="50"/>
  <c r="A132" i="50"/>
  <c r="A131" i="50"/>
  <c r="A130" i="50"/>
  <c r="A129" i="50"/>
  <c r="A128" i="50"/>
  <c r="A127" i="50"/>
  <c r="A126" i="50"/>
  <c r="A125" i="50"/>
  <c r="A124" i="50"/>
  <c r="A123" i="50"/>
  <c r="A122" i="50"/>
  <c r="A121" i="50"/>
  <c r="A120" i="50"/>
  <c r="A119" i="50"/>
  <c r="A118" i="50"/>
  <c r="A117" i="50"/>
  <c r="A116" i="50"/>
  <c r="A115" i="50"/>
  <c r="A114" i="50"/>
  <c r="A113" i="50"/>
  <c r="A112" i="50"/>
  <c r="A111" i="50"/>
  <c r="A110" i="50"/>
  <c r="A109" i="50"/>
  <c r="A108" i="50"/>
  <c r="A107" i="50"/>
  <c r="A106" i="50"/>
  <c r="A105" i="50"/>
  <c r="A104" i="50"/>
  <c r="A103" i="50"/>
  <c r="A102" i="50"/>
  <c r="A101" i="50"/>
  <c r="A100" i="50"/>
  <c r="A99" i="50"/>
  <c r="A98" i="50"/>
  <c r="A97" i="50"/>
  <c r="A96" i="50"/>
  <c r="A95" i="50"/>
  <c r="A94" i="50"/>
  <c r="A93" i="50"/>
  <c r="A92" i="50"/>
  <c r="A91" i="50"/>
  <c r="A90" i="50"/>
  <c r="A89" i="50"/>
  <c r="A88" i="50"/>
  <c r="A87" i="50"/>
  <c r="A86" i="50"/>
  <c r="A85" i="50"/>
  <c r="A84" i="50"/>
  <c r="A83" i="50"/>
  <c r="A82" i="50"/>
  <c r="A81" i="50"/>
  <c r="A80" i="50"/>
  <c r="A79" i="50"/>
  <c r="A78" i="50"/>
  <c r="A77" i="50"/>
  <c r="A76" i="50"/>
  <c r="A75" i="50"/>
  <c r="A74" i="50"/>
  <c r="A73" i="50"/>
  <c r="FK71" i="50"/>
  <c r="FJ71" i="50"/>
  <c r="FI71" i="50"/>
  <c r="FH71" i="50"/>
  <c r="FG71" i="50"/>
  <c r="FF71" i="50"/>
  <c r="FE71" i="50"/>
  <c r="FD71" i="50"/>
  <c r="FC71" i="50"/>
  <c r="FB71" i="50"/>
  <c r="FA71" i="50"/>
  <c r="EZ71" i="50"/>
  <c r="EY71" i="50"/>
  <c r="EX71" i="50"/>
  <c r="EW71" i="50"/>
  <c r="EV71" i="50"/>
  <c r="EU71" i="50"/>
  <c r="ET71" i="50"/>
  <c r="ES71" i="50"/>
  <c r="ER71" i="50"/>
  <c r="EQ71" i="50"/>
  <c r="EP71" i="50"/>
  <c r="EO71" i="50"/>
  <c r="EN71" i="50"/>
  <c r="EM71" i="50"/>
  <c r="EL71" i="50"/>
  <c r="EK71" i="50"/>
  <c r="EJ71" i="50"/>
  <c r="EI71" i="50"/>
  <c r="EH71" i="50"/>
  <c r="EG71" i="50"/>
  <c r="EF71" i="50"/>
  <c r="EE71" i="50"/>
  <c r="ED71" i="50"/>
  <c r="EC71" i="50"/>
  <c r="EB71" i="50"/>
  <c r="EA71" i="50"/>
  <c r="DZ71" i="50"/>
  <c r="DY71" i="50"/>
  <c r="DX71" i="50"/>
  <c r="DW71" i="50"/>
  <c r="DV71" i="50"/>
  <c r="DU71" i="50"/>
  <c r="DT71" i="50"/>
  <c r="DS71" i="50"/>
  <c r="DR71" i="50"/>
  <c r="DQ71" i="50"/>
  <c r="DP71" i="50"/>
  <c r="DO71" i="50"/>
  <c r="DN71" i="50"/>
  <c r="DM71" i="50"/>
  <c r="DL71" i="50"/>
  <c r="DK71" i="50"/>
  <c r="DJ71" i="50"/>
  <c r="DI71" i="50"/>
  <c r="DH71" i="50"/>
  <c r="DG71" i="50"/>
  <c r="DF71" i="50"/>
  <c r="DE71" i="50"/>
  <c r="DD71" i="50"/>
  <c r="DC71" i="50"/>
  <c r="DB71" i="50"/>
  <c r="DA71" i="50"/>
  <c r="CZ71" i="50"/>
  <c r="CY71" i="50"/>
  <c r="CX71" i="50"/>
  <c r="CW71" i="50"/>
  <c r="CV71" i="50"/>
  <c r="CU71" i="50"/>
  <c r="CT71" i="50"/>
  <c r="CS71" i="50"/>
  <c r="CR71" i="50"/>
  <c r="CQ71" i="50"/>
  <c r="CP71" i="50"/>
  <c r="CO71" i="50"/>
  <c r="CN71" i="50"/>
  <c r="CM71" i="50"/>
  <c r="CL71" i="50"/>
  <c r="CK71" i="50"/>
  <c r="CJ71" i="50"/>
  <c r="CI71" i="50"/>
  <c r="CH71" i="50"/>
  <c r="CG71" i="50"/>
  <c r="CF71" i="50"/>
  <c r="CE71" i="50"/>
  <c r="CD71" i="50"/>
  <c r="CC71" i="50"/>
  <c r="CB71" i="50"/>
  <c r="CA71" i="50"/>
  <c r="BZ71" i="50"/>
  <c r="BY71" i="50"/>
  <c r="BX71" i="50"/>
  <c r="BW71" i="50"/>
  <c r="BV71" i="50"/>
  <c r="BU71" i="50"/>
  <c r="BT71" i="50"/>
  <c r="BS71" i="50"/>
  <c r="BR71" i="50"/>
  <c r="BQ71" i="50"/>
  <c r="BP71" i="50"/>
  <c r="BO71" i="50"/>
  <c r="BN71" i="50"/>
  <c r="BM71" i="50"/>
  <c r="BL71" i="50"/>
  <c r="BK71" i="50"/>
  <c r="BJ71" i="50"/>
  <c r="BI71" i="50"/>
  <c r="BH71" i="50"/>
  <c r="BG71" i="50"/>
  <c r="BF71" i="50"/>
  <c r="BE71" i="50"/>
  <c r="BD71" i="50"/>
  <c r="BC71" i="50"/>
  <c r="BB71" i="50"/>
  <c r="BA71" i="50"/>
  <c r="AZ71" i="50"/>
  <c r="AY71" i="50"/>
  <c r="AX71" i="50"/>
  <c r="AW71" i="50"/>
  <c r="AV71" i="50"/>
  <c r="AU71" i="50"/>
  <c r="AT71" i="50"/>
  <c r="AS71" i="50"/>
  <c r="AR71" i="50"/>
  <c r="AQ71" i="50"/>
  <c r="AP71" i="50"/>
  <c r="AO71" i="50"/>
  <c r="AN71" i="50"/>
  <c r="AM71" i="50"/>
  <c r="AL71" i="50"/>
  <c r="AK71" i="50"/>
  <c r="AJ71" i="50"/>
  <c r="AI71" i="50"/>
  <c r="AH71" i="50"/>
  <c r="AG71" i="50"/>
  <c r="AF71" i="50"/>
  <c r="AE71" i="50"/>
  <c r="AD71" i="50"/>
  <c r="AC71" i="50"/>
  <c r="AB71" i="50"/>
  <c r="AA71" i="50"/>
  <c r="Z71" i="50"/>
  <c r="Y71" i="50"/>
  <c r="X71" i="50"/>
  <c r="W71" i="50"/>
  <c r="V71" i="50"/>
  <c r="U71" i="50"/>
  <c r="T71" i="50"/>
  <c r="S71" i="50"/>
  <c r="R71" i="50"/>
  <c r="Q71" i="50"/>
  <c r="P71" i="50"/>
  <c r="O71" i="50"/>
  <c r="N71" i="50"/>
  <c r="M71" i="50"/>
  <c r="L71" i="50"/>
  <c r="K71" i="50"/>
  <c r="J71" i="50"/>
  <c r="I71" i="50"/>
  <c r="H71" i="50"/>
  <c r="G71" i="50"/>
  <c r="F71" i="50"/>
  <c r="E71" i="50"/>
  <c r="D71" i="50"/>
  <c r="C71" i="50"/>
  <c r="P65" i="50"/>
  <c r="P64" i="50"/>
  <c r="P63" i="50"/>
  <c r="P62" i="50"/>
  <c r="P61" i="50"/>
  <c r="P60" i="50"/>
  <c r="P59" i="50"/>
  <c r="P58" i="50"/>
  <c r="P57" i="50"/>
  <c r="P56" i="50"/>
  <c r="P55" i="50"/>
  <c r="P54" i="50"/>
  <c r="P53" i="50"/>
  <c r="P52" i="50"/>
  <c r="P51" i="50"/>
  <c r="P50" i="50"/>
  <c r="P49" i="50"/>
  <c r="P48" i="50"/>
  <c r="P47" i="50"/>
  <c r="P46" i="50"/>
  <c r="P45" i="50"/>
  <c r="P44" i="50"/>
  <c r="P43" i="50"/>
  <c r="P42" i="50"/>
  <c r="A41" i="50"/>
  <c r="AM40" i="50"/>
  <c r="AL40" i="50"/>
  <c r="AK40" i="50"/>
  <c r="AJ40" i="50"/>
  <c r="AI40" i="50"/>
  <c r="AH40" i="50"/>
  <c r="AG40" i="50"/>
  <c r="AF40" i="50"/>
  <c r="AE40" i="50"/>
  <c r="AD40" i="50"/>
  <c r="AC40" i="50"/>
  <c r="AB40" i="50"/>
  <c r="AA40" i="50"/>
  <c r="Z40" i="50"/>
  <c r="Y40" i="50"/>
  <c r="X40" i="50"/>
  <c r="W40" i="50"/>
  <c r="V40" i="50"/>
  <c r="U40" i="50"/>
  <c r="T40" i="50"/>
  <c r="S40" i="50"/>
  <c r="R40" i="50"/>
  <c r="A40" i="50"/>
  <c r="A39" i="50"/>
  <c r="A38" i="50"/>
  <c r="P37" i="50"/>
  <c r="A37" i="50"/>
  <c r="P36" i="50"/>
  <c r="A36" i="50"/>
  <c r="P35" i="50"/>
  <c r="A35" i="50"/>
  <c r="P34" i="50"/>
  <c r="A34" i="50"/>
  <c r="P33" i="50"/>
  <c r="A33" i="50"/>
  <c r="P32" i="50"/>
  <c r="A32" i="50"/>
  <c r="P31" i="50"/>
  <c r="A31" i="50"/>
  <c r="P30" i="50"/>
  <c r="A30" i="50"/>
  <c r="P29" i="50"/>
  <c r="P28" i="50"/>
  <c r="M28" i="50"/>
  <c r="L28" i="50"/>
  <c r="K28" i="50"/>
  <c r="J28" i="50"/>
  <c r="I28" i="50"/>
  <c r="H28" i="50"/>
  <c r="G28" i="50"/>
  <c r="F28" i="50"/>
  <c r="E28" i="50"/>
  <c r="D28" i="50"/>
  <c r="C28" i="50"/>
  <c r="P27" i="50"/>
  <c r="P26" i="50"/>
  <c r="P25" i="50"/>
  <c r="A25" i="50"/>
  <c r="P24" i="50"/>
  <c r="A24" i="50"/>
  <c r="P23" i="50"/>
  <c r="A23" i="50"/>
  <c r="P22" i="50"/>
  <c r="A22" i="50"/>
  <c r="P21" i="50"/>
  <c r="A21" i="50"/>
  <c r="P20" i="50"/>
  <c r="A20" i="50"/>
  <c r="P19" i="50"/>
  <c r="A19" i="50"/>
  <c r="P18" i="50"/>
  <c r="A18" i="50"/>
  <c r="P17" i="50"/>
  <c r="A17" i="50"/>
  <c r="P16" i="50"/>
  <c r="A16" i="50"/>
  <c r="P15" i="50"/>
  <c r="A15" i="50"/>
  <c r="P14" i="50"/>
  <c r="A14" i="50"/>
  <c r="AM12" i="50"/>
  <c r="AL12" i="50"/>
  <c r="AK12" i="50"/>
  <c r="AJ12" i="50"/>
  <c r="AI12" i="50"/>
  <c r="AH12" i="50"/>
  <c r="AG12" i="50"/>
  <c r="AF12" i="50"/>
  <c r="AE12" i="50"/>
  <c r="AD12" i="50"/>
  <c r="AC12" i="50"/>
  <c r="AB12" i="50"/>
  <c r="AA12" i="50"/>
  <c r="Z12" i="50"/>
  <c r="Y12" i="50"/>
  <c r="X12" i="50"/>
  <c r="W12" i="50"/>
  <c r="V12" i="50"/>
  <c r="U12" i="50"/>
  <c r="T12" i="50"/>
  <c r="S12" i="50"/>
  <c r="R12" i="50"/>
  <c r="M12" i="50"/>
  <c r="L12" i="50"/>
  <c r="K12" i="50"/>
  <c r="J12" i="50"/>
  <c r="I12" i="50"/>
  <c r="H12" i="50"/>
  <c r="G12" i="50"/>
  <c r="F12" i="50"/>
  <c r="E12" i="50"/>
  <c r="D12" i="50"/>
  <c r="C12" i="50"/>
  <c r="F106" i="7"/>
  <c r="F107" i="7" s="1"/>
  <c r="D106" i="7"/>
  <c r="D105" i="7"/>
  <c r="D104" i="7"/>
  <c r="D103" i="7"/>
  <c r="D102" i="7"/>
  <c r="D101" i="7"/>
  <c r="K97" i="7"/>
  <c r="O97" i="7" s="1"/>
  <c r="U97" i="7" s="1"/>
  <c r="J97" i="7"/>
  <c r="I97" i="7"/>
  <c r="H97" i="7"/>
  <c r="G97" i="7"/>
  <c r="L97" i="7" s="1"/>
  <c r="F97" i="7"/>
  <c r="D97" i="7"/>
  <c r="C97" i="7"/>
  <c r="K96" i="7"/>
  <c r="O96" i="7" s="1"/>
  <c r="U96" i="7" s="1"/>
  <c r="J96" i="7"/>
  <c r="I96" i="7"/>
  <c r="H96" i="7"/>
  <c r="F96" i="7"/>
  <c r="D96" i="7"/>
  <c r="C96" i="7"/>
  <c r="K95" i="7"/>
  <c r="J95" i="7"/>
  <c r="I95" i="7"/>
  <c r="H95" i="7"/>
  <c r="G95" i="7"/>
  <c r="L95" i="7" s="1"/>
  <c r="F95" i="7"/>
  <c r="D95" i="7"/>
  <c r="C95" i="7"/>
  <c r="K94" i="7"/>
  <c r="J94" i="7"/>
  <c r="I94" i="7"/>
  <c r="H94" i="7"/>
  <c r="G94" i="7"/>
  <c r="L94" i="7" s="1"/>
  <c r="E94" i="7"/>
  <c r="D94" i="7"/>
  <c r="C94" i="7"/>
  <c r="K93" i="7"/>
  <c r="J93" i="7"/>
  <c r="I93" i="7"/>
  <c r="H93" i="7"/>
  <c r="G93" i="7"/>
  <c r="L93" i="7" s="1"/>
  <c r="F93" i="7"/>
  <c r="D93" i="7"/>
  <c r="C93" i="7"/>
  <c r="K92" i="7"/>
  <c r="J92" i="7"/>
  <c r="I92" i="7"/>
  <c r="H92" i="7"/>
  <c r="E92" i="7"/>
  <c r="D92" i="7"/>
  <c r="C92" i="7"/>
  <c r="K91" i="7"/>
  <c r="J91" i="7"/>
  <c r="I91" i="7"/>
  <c r="H91" i="7"/>
  <c r="F91" i="7"/>
  <c r="D91" i="7"/>
  <c r="C91" i="7"/>
  <c r="H87" i="7"/>
  <c r="G87" i="7"/>
  <c r="E87" i="7"/>
  <c r="D87" i="7"/>
  <c r="G86" i="7"/>
  <c r="E86" i="7"/>
  <c r="D86" i="7"/>
  <c r="H85" i="7"/>
  <c r="G85" i="7"/>
  <c r="E85" i="7"/>
  <c r="D85" i="7"/>
  <c r="H84" i="7"/>
  <c r="F84" i="7"/>
  <c r="E84" i="7"/>
  <c r="D84" i="7"/>
  <c r="H83" i="7"/>
  <c r="G83" i="7"/>
  <c r="E83" i="7"/>
  <c r="D83" i="7"/>
  <c r="F82" i="7"/>
  <c r="E82" i="7"/>
  <c r="D82" i="7"/>
  <c r="G81" i="7"/>
  <c r="E81" i="7"/>
  <c r="D81" i="7"/>
  <c r="W77" i="7"/>
  <c r="H77" i="7"/>
  <c r="G77" i="7"/>
  <c r="E77" i="7"/>
  <c r="D77" i="7"/>
  <c r="G76" i="7"/>
  <c r="E76" i="7"/>
  <c r="D76" i="7"/>
  <c r="W75" i="7"/>
  <c r="H75" i="7"/>
  <c r="G75" i="7"/>
  <c r="E75" i="7"/>
  <c r="D75" i="7"/>
  <c r="W74" i="7"/>
  <c r="H74" i="7"/>
  <c r="F74" i="7"/>
  <c r="E74" i="7"/>
  <c r="D74" i="7"/>
  <c r="H73" i="7"/>
  <c r="W73" i="7" s="1"/>
  <c r="G73" i="7"/>
  <c r="E73" i="7"/>
  <c r="D73" i="7"/>
  <c r="F72" i="7"/>
  <c r="E72" i="7"/>
  <c r="D72" i="7"/>
  <c r="G71" i="7"/>
  <c r="E71" i="7"/>
  <c r="D71" i="7"/>
  <c r="G67" i="7"/>
  <c r="E67" i="7"/>
  <c r="G66" i="7"/>
  <c r="E66" i="7"/>
  <c r="H65" i="7"/>
  <c r="F65" i="7"/>
  <c r="E65" i="7"/>
  <c r="H64" i="7"/>
  <c r="F64" i="7"/>
  <c r="E64" i="7"/>
  <c r="H63" i="7"/>
  <c r="F63" i="7"/>
  <c r="E63" i="7"/>
  <c r="F62" i="7"/>
  <c r="E62" i="7"/>
  <c r="F61" i="7"/>
  <c r="E61" i="7"/>
  <c r="F60" i="7"/>
  <c r="E60" i="7"/>
  <c r="F59" i="7"/>
  <c r="E59" i="7"/>
  <c r="G58" i="7"/>
  <c r="E58" i="7"/>
  <c r="G57" i="7"/>
  <c r="E57" i="7"/>
  <c r="G56" i="7"/>
  <c r="E56" i="7"/>
  <c r="C38" i="7"/>
  <c r="G38" i="7" s="1"/>
  <c r="DA4" i="49" s="1"/>
  <c r="C37" i="7"/>
  <c r="AA4" i="49" s="1"/>
  <c r="G81" i="49" s="1"/>
  <c r="E36" i="7"/>
  <c r="F46" i="7" s="1"/>
  <c r="C36" i="7"/>
  <c r="G36" i="7" s="1"/>
  <c r="CA27" i="7"/>
  <c r="BS27" i="7"/>
  <c r="BK27" i="7"/>
  <c r="BC27" i="7"/>
  <c r="AU27" i="7"/>
  <c r="AM27" i="7"/>
  <c r="AE27" i="7"/>
  <c r="CA26" i="7"/>
  <c r="BS26" i="7"/>
  <c r="BK26" i="7"/>
  <c r="BC26" i="7"/>
  <c r="AU26" i="7"/>
  <c r="AM26" i="7"/>
  <c r="AE26" i="7"/>
  <c r="CA25" i="7"/>
  <c r="BS25" i="7"/>
  <c r="BK25" i="7"/>
  <c r="BC25" i="7"/>
  <c r="AU25" i="7"/>
  <c r="AM25" i="7"/>
  <c r="AE25" i="7"/>
  <c r="CA24" i="7"/>
  <c r="BS24" i="7"/>
  <c r="BK24" i="7"/>
  <c r="BC24" i="7"/>
  <c r="AU24" i="7"/>
  <c r="AM24" i="7"/>
  <c r="AE24" i="7"/>
  <c r="P24" i="7"/>
  <c r="I24" i="7"/>
  <c r="N24" i="7" s="1"/>
  <c r="F24" i="7"/>
  <c r="AE42" i="7" s="1"/>
  <c r="E24" i="7"/>
  <c r="L15" i="26" s="1"/>
  <c r="M15" i="26" s="1"/>
  <c r="D24" i="7"/>
  <c r="CA23" i="7"/>
  <c r="BS23" i="7"/>
  <c r="BK23" i="7"/>
  <c r="BC23" i="7"/>
  <c r="AU23" i="7"/>
  <c r="AM23" i="7"/>
  <c r="AE23" i="7"/>
  <c r="T23" i="7"/>
  <c r="R23" i="7"/>
  <c r="P23" i="7"/>
  <c r="I23" i="7"/>
  <c r="G23" i="7"/>
  <c r="F23" i="7"/>
  <c r="Q23" i="7" s="1"/>
  <c r="E23" i="7"/>
  <c r="L14" i="26" s="1"/>
  <c r="M14" i="26" s="1"/>
  <c r="D23" i="7"/>
  <c r="CA22" i="7"/>
  <c r="BS22" i="7"/>
  <c r="BK22" i="7"/>
  <c r="BC22" i="7"/>
  <c r="AU22" i="7"/>
  <c r="AM22" i="7"/>
  <c r="AE22" i="7"/>
  <c r="Q22" i="7"/>
  <c r="P22" i="7"/>
  <c r="I22" i="7"/>
  <c r="N22" i="7" s="1"/>
  <c r="F22" i="7"/>
  <c r="AE40" i="7" s="1"/>
  <c r="E22" i="7"/>
  <c r="L13" i="26" s="1"/>
  <c r="M13" i="26" s="1"/>
  <c r="D22" i="7"/>
  <c r="CA21" i="7"/>
  <c r="BS21" i="7"/>
  <c r="BK21" i="7"/>
  <c r="BC21" i="7"/>
  <c r="AU21" i="7"/>
  <c r="AM21" i="7"/>
  <c r="AE21" i="7"/>
  <c r="T21" i="7"/>
  <c r="P21" i="7"/>
  <c r="I21" i="7"/>
  <c r="N21" i="7" s="1"/>
  <c r="E21" i="7"/>
  <c r="L12" i="26" s="1"/>
  <c r="M12" i="26" s="1"/>
  <c r="D21" i="7"/>
  <c r="F21" i="7" s="1"/>
  <c r="CA20" i="7"/>
  <c r="BS20" i="7"/>
  <c r="BK20" i="7"/>
  <c r="BC20" i="7"/>
  <c r="AU20" i="7"/>
  <c r="AM20" i="7"/>
  <c r="AE20" i="7"/>
  <c r="T20" i="7"/>
  <c r="P20" i="7"/>
  <c r="N20" i="7"/>
  <c r="I20" i="7"/>
  <c r="G20" i="7"/>
  <c r="R20" i="7" s="1"/>
  <c r="E20" i="7"/>
  <c r="L11" i="26" s="1"/>
  <c r="M11" i="26" s="1"/>
  <c r="D20" i="7"/>
  <c r="F20" i="7" s="1"/>
  <c r="CA19" i="7"/>
  <c r="BS19" i="7"/>
  <c r="BK19" i="7"/>
  <c r="BC19" i="7"/>
  <c r="AU19" i="7"/>
  <c r="AM19" i="7"/>
  <c r="AE19" i="7"/>
  <c r="R19" i="7"/>
  <c r="P19" i="7"/>
  <c r="I19" i="7"/>
  <c r="G19" i="7"/>
  <c r="F19" i="7"/>
  <c r="Q19" i="7" s="1"/>
  <c r="E19" i="7"/>
  <c r="L10" i="26" s="1"/>
  <c r="M10" i="26" s="1"/>
  <c r="D19" i="7"/>
  <c r="N23" i="7" s="1"/>
  <c r="CA18" i="7"/>
  <c r="BS18" i="7"/>
  <c r="BK18" i="7"/>
  <c r="BC18" i="7"/>
  <c r="AU18" i="7"/>
  <c r="AM18" i="7"/>
  <c r="AE18" i="7"/>
  <c r="Q18" i="7"/>
  <c r="P18" i="7"/>
  <c r="I18" i="7"/>
  <c r="N18" i="7" s="1"/>
  <c r="F18" i="7"/>
  <c r="AE36" i="7" s="1"/>
  <c r="E18" i="7"/>
  <c r="L9" i="26" s="1"/>
  <c r="M9" i="26" s="1"/>
  <c r="D18" i="7"/>
  <c r="CA17" i="7"/>
  <c r="BS17" i="7"/>
  <c r="BK17" i="7"/>
  <c r="BC17" i="7"/>
  <c r="AU17" i="7"/>
  <c r="AM17" i="7"/>
  <c r="AE17" i="7"/>
  <c r="T17" i="7"/>
  <c r="P17" i="7"/>
  <c r="I17" i="7"/>
  <c r="N17" i="7" s="1"/>
  <c r="E17" i="7"/>
  <c r="L8" i="26" s="1"/>
  <c r="M8" i="26" s="1"/>
  <c r="D17" i="7"/>
  <c r="F17" i="7" s="1"/>
  <c r="CA16" i="7"/>
  <c r="BS16" i="7"/>
  <c r="BK16" i="7"/>
  <c r="BC16" i="7"/>
  <c r="AU16" i="7"/>
  <c r="AM16" i="7"/>
  <c r="AE16" i="7"/>
  <c r="T16" i="7"/>
  <c r="P16" i="7"/>
  <c r="N16" i="7"/>
  <c r="I16" i="7"/>
  <c r="G16" i="7"/>
  <c r="R16" i="7" s="1"/>
  <c r="E16" i="7"/>
  <c r="L7" i="26" s="1"/>
  <c r="M7" i="26" s="1"/>
  <c r="D16" i="7"/>
  <c r="F16" i="7" s="1"/>
  <c r="CI15" i="7"/>
  <c r="CR15" i="7" s="1"/>
  <c r="DA15" i="7" s="1"/>
  <c r="DJ15" i="7" s="1"/>
  <c r="DS15" i="7" s="1"/>
  <c r="EB15" i="7" s="1"/>
  <c r="EK15" i="7" s="1"/>
  <c r="CA15" i="7"/>
  <c r="BS15" i="7"/>
  <c r="BK15" i="7"/>
  <c r="BC15" i="7"/>
  <c r="AU15" i="7"/>
  <c r="AM15" i="7"/>
  <c r="AE15" i="7"/>
  <c r="R15" i="7"/>
  <c r="P15" i="7"/>
  <c r="I15" i="7"/>
  <c r="G15" i="7"/>
  <c r="F15" i="7"/>
  <c r="AE33" i="7" s="1"/>
  <c r="E15" i="7"/>
  <c r="L6" i="26" s="1"/>
  <c r="M6" i="26" s="1"/>
  <c r="D15" i="7"/>
  <c r="CJ14" i="7"/>
  <c r="CS14" i="7" s="1"/>
  <c r="CI14" i="7"/>
  <c r="CR14" i="7" s="1"/>
  <c r="DA14" i="7" s="1"/>
  <c r="DJ14" i="7" s="1"/>
  <c r="DS14" i="7" s="1"/>
  <c r="EB14" i="7" s="1"/>
  <c r="EK14" i="7" s="1"/>
  <c r="CA14" i="7"/>
  <c r="BS14" i="7"/>
  <c r="BK14" i="7"/>
  <c r="BC14" i="7"/>
  <c r="AU14" i="7"/>
  <c r="AM14" i="7"/>
  <c r="AE14" i="7"/>
  <c r="Q14" i="7"/>
  <c r="P14" i="7"/>
  <c r="I14" i="7"/>
  <c r="N14" i="7" s="1"/>
  <c r="F14" i="7"/>
  <c r="AE32" i="7" s="1"/>
  <c r="E14" i="7"/>
  <c r="L5" i="26" s="1"/>
  <c r="M5" i="26" s="1"/>
  <c r="D14" i="7"/>
  <c r="CI13" i="7"/>
  <c r="CR13" i="7" s="1"/>
  <c r="DA13" i="7" s="1"/>
  <c r="DJ13" i="7" s="1"/>
  <c r="DS13" i="7" s="1"/>
  <c r="EB13" i="7" s="1"/>
  <c r="EK13" i="7" s="1"/>
  <c r="CA13" i="7"/>
  <c r="BS13" i="7"/>
  <c r="BK13" i="7"/>
  <c r="BC13" i="7"/>
  <c r="AU13" i="7"/>
  <c r="AM13" i="7"/>
  <c r="AE13" i="7"/>
  <c r="T13" i="7"/>
  <c r="P13" i="7"/>
  <c r="I13" i="7"/>
  <c r="G13" i="7"/>
  <c r="R13" i="7" s="1"/>
  <c r="E13" i="7"/>
  <c r="L4" i="26" s="1"/>
  <c r="M4" i="26" s="1"/>
  <c r="D13" i="7"/>
  <c r="F13" i="7" s="1"/>
  <c r="CA12" i="7"/>
  <c r="BS12" i="7"/>
  <c r="BK12" i="7"/>
  <c r="BC12" i="7"/>
  <c r="AU12" i="7"/>
  <c r="AM12" i="7"/>
  <c r="AE12" i="7"/>
  <c r="CJ11" i="7"/>
  <c r="CS11" i="7" s="1"/>
  <c r="CA11" i="7"/>
  <c r="BS11" i="7"/>
  <c r="BK11" i="7"/>
  <c r="BC11" i="7"/>
  <c r="AU11" i="7"/>
  <c r="AM11" i="7"/>
  <c r="AE11" i="7"/>
  <c r="CJ10" i="7"/>
  <c r="CI10" i="7"/>
  <c r="CR10" i="7" s="1"/>
  <c r="DA10" i="7" s="1"/>
  <c r="DJ10" i="7" s="1"/>
  <c r="DS10" i="7" s="1"/>
  <c r="EB10" i="7" s="1"/>
  <c r="EK10" i="7" s="1"/>
  <c r="CA10" i="7"/>
  <c r="BS10" i="7"/>
  <c r="BK10" i="7"/>
  <c r="BC10" i="7"/>
  <c r="AU10" i="7"/>
  <c r="AM10" i="7"/>
  <c r="AE10" i="7"/>
  <c r="CI9" i="7"/>
  <c r="CR9" i="7" s="1"/>
  <c r="DA9" i="7" s="1"/>
  <c r="DJ9" i="7" s="1"/>
  <c r="DS9" i="7" s="1"/>
  <c r="EB9" i="7" s="1"/>
  <c r="EK9" i="7" s="1"/>
  <c r="CA9" i="7"/>
  <c r="BS9" i="7"/>
  <c r="BK9" i="7"/>
  <c r="BC9" i="7"/>
  <c r="AU9" i="7"/>
  <c r="AM9" i="7"/>
  <c r="AE9" i="7"/>
  <c r="Q9" i="7"/>
  <c r="P9" i="7"/>
  <c r="O9" i="7"/>
  <c r="N9" i="7"/>
  <c r="M9" i="7"/>
  <c r="L9" i="7"/>
  <c r="CA8" i="7"/>
  <c r="BS8" i="7"/>
  <c r="BK8" i="7"/>
  <c r="BC8" i="7"/>
  <c r="AU8" i="7"/>
  <c r="AM8" i="7"/>
  <c r="AE8" i="7"/>
  <c r="Q8" i="7"/>
  <c r="P8" i="7"/>
  <c r="O8" i="7"/>
  <c r="N8" i="7"/>
  <c r="S24" i="7" s="1"/>
  <c r="M8" i="7"/>
  <c r="H23" i="7" s="1"/>
  <c r="K23" i="7" s="1"/>
  <c r="L8" i="7"/>
  <c r="H22" i="7" s="1"/>
  <c r="K22" i="7" s="1"/>
  <c r="CJ7" i="7"/>
  <c r="CS7" i="7" s="1"/>
  <c r="CA7" i="7"/>
  <c r="BS7" i="7"/>
  <c r="BK7" i="7"/>
  <c r="BC7" i="7"/>
  <c r="AU7" i="7"/>
  <c r="AM7" i="7"/>
  <c r="AE7" i="7"/>
  <c r="Q7" i="7"/>
  <c r="P7" i="7"/>
  <c r="O7" i="7"/>
  <c r="N7" i="7"/>
  <c r="H21" i="7" s="1"/>
  <c r="K21" i="7" s="1"/>
  <c r="M7" i="7"/>
  <c r="S20" i="7" s="1"/>
  <c r="L7" i="7"/>
  <c r="H19" i="7" s="1"/>
  <c r="K19" i="7" s="1"/>
  <c r="CJ6" i="7"/>
  <c r="CS6" i="7" s="1"/>
  <c r="CI6" i="7"/>
  <c r="CR6" i="7" s="1"/>
  <c r="DA6" i="7" s="1"/>
  <c r="DJ6" i="7" s="1"/>
  <c r="DS6" i="7" s="1"/>
  <c r="EB6" i="7" s="1"/>
  <c r="EK6" i="7" s="1"/>
  <c r="CA6" i="7"/>
  <c r="BS6" i="7"/>
  <c r="BK6" i="7"/>
  <c r="BC6" i="7"/>
  <c r="AU6" i="7"/>
  <c r="AM6" i="7"/>
  <c r="AE6" i="7"/>
  <c r="Q6" i="7"/>
  <c r="P6" i="7"/>
  <c r="O6" i="7"/>
  <c r="N6" i="7"/>
  <c r="H18" i="7" s="1"/>
  <c r="K18" i="7" s="1"/>
  <c r="M6" i="7"/>
  <c r="H17" i="7" s="1"/>
  <c r="K17" i="7" s="1"/>
  <c r="L6" i="7"/>
  <c r="S16" i="7" s="1"/>
  <c r="CI5" i="7"/>
  <c r="CR5" i="7" s="1"/>
  <c r="DA5" i="7" s="1"/>
  <c r="DJ5" i="7" s="1"/>
  <c r="DS5" i="7" s="1"/>
  <c r="EB5" i="7" s="1"/>
  <c r="EK5" i="7" s="1"/>
  <c r="CA5" i="7"/>
  <c r="BS5" i="7"/>
  <c r="BK5" i="7"/>
  <c r="BC5" i="7"/>
  <c r="AU5" i="7"/>
  <c r="AM5" i="7"/>
  <c r="AE5" i="7"/>
  <c r="P5" i="7"/>
  <c r="O5" i="7"/>
  <c r="M5" i="7"/>
  <c r="H15" i="7" s="1"/>
  <c r="K15" i="7" s="1"/>
  <c r="L5" i="7"/>
  <c r="H14" i="7" s="1"/>
  <c r="K14" i="7" s="1"/>
  <c r="CJ4" i="7"/>
  <c r="CA4" i="7"/>
  <c r="BS4" i="7"/>
  <c r="BK4" i="7"/>
  <c r="BC4" i="7"/>
  <c r="AU4" i="7"/>
  <c r="AM4" i="7"/>
  <c r="AE4" i="7"/>
  <c r="O4" i="7"/>
  <c r="L4" i="7"/>
  <c r="S13" i="7" s="1"/>
  <c r="E103" i="58"/>
  <c r="D103" i="58"/>
  <c r="E102" i="58"/>
  <c r="D102" i="58"/>
  <c r="E101" i="58"/>
  <c r="D101" i="58"/>
  <c r="E100" i="58"/>
  <c r="D100" i="58"/>
  <c r="E99" i="58"/>
  <c r="D99" i="58"/>
  <c r="E98" i="58"/>
  <c r="D98" i="58"/>
  <c r="E97" i="58"/>
  <c r="D97" i="58"/>
  <c r="E96" i="58"/>
  <c r="D96" i="58"/>
  <c r="E95" i="58"/>
  <c r="D95" i="58"/>
  <c r="E94" i="58"/>
  <c r="D94" i="58"/>
  <c r="E93" i="58"/>
  <c r="D93" i="58"/>
  <c r="E92" i="58"/>
  <c r="D92" i="58"/>
  <c r="E91" i="58"/>
  <c r="D91" i="58"/>
  <c r="E90" i="58"/>
  <c r="D90" i="58"/>
  <c r="E89" i="58"/>
  <c r="D89" i="58"/>
  <c r="E88" i="58"/>
  <c r="D88" i="58"/>
  <c r="E87" i="58"/>
  <c r="D87" i="58"/>
  <c r="E86" i="58"/>
  <c r="D86" i="58"/>
  <c r="E85" i="58"/>
  <c r="D85" i="58"/>
  <c r="E84" i="58"/>
  <c r="D84" i="58"/>
  <c r="E83" i="58"/>
  <c r="D83" i="58"/>
  <c r="E82" i="58"/>
  <c r="D82" i="58"/>
  <c r="E81" i="58"/>
  <c r="D81" i="58"/>
  <c r="E80" i="58"/>
  <c r="D80" i="58"/>
  <c r="E79" i="58"/>
  <c r="D79" i="58"/>
  <c r="E78" i="58"/>
  <c r="D78" i="58"/>
  <c r="E77" i="58"/>
  <c r="D77" i="58"/>
  <c r="E76" i="58"/>
  <c r="D76" i="58"/>
  <c r="E75" i="58"/>
  <c r="D75" i="58"/>
  <c r="E74" i="58"/>
  <c r="D74" i="58"/>
  <c r="E73" i="58"/>
  <c r="D73" i="58"/>
  <c r="E72" i="58"/>
  <c r="D72" i="58"/>
  <c r="E71" i="58"/>
  <c r="D71" i="58"/>
  <c r="E70" i="58"/>
  <c r="D70" i="58"/>
  <c r="E69" i="58"/>
  <c r="D69" i="58"/>
  <c r="E68" i="58"/>
  <c r="D68" i="58"/>
  <c r="E67" i="58"/>
  <c r="D67" i="58"/>
  <c r="E66" i="58"/>
  <c r="D66" i="58"/>
  <c r="E65" i="58"/>
  <c r="D65" i="58"/>
  <c r="E64" i="58"/>
  <c r="D64" i="58"/>
  <c r="E63" i="58"/>
  <c r="D63" i="58"/>
  <c r="E62" i="58"/>
  <c r="D62" i="58"/>
  <c r="E61" i="58"/>
  <c r="D61" i="58"/>
  <c r="E60" i="58"/>
  <c r="D60" i="58"/>
  <c r="E59" i="58"/>
  <c r="D59" i="58"/>
  <c r="E58" i="58"/>
  <c r="D58" i="58"/>
  <c r="E57" i="58"/>
  <c r="D57" i="58"/>
  <c r="E56" i="58"/>
  <c r="D56" i="58"/>
  <c r="E55" i="58"/>
  <c r="D55" i="58"/>
  <c r="E54" i="58"/>
  <c r="D54" i="58"/>
  <c r="E53" i="58"/>
  <c r="D53" i="58"/>
  <c r="E52" i="58"/>
  <c r="D52" i="58"/>
  <c r="E51" i="58"/>
  <c r="D51" i="58"/>
  <c r="E50" i="58"/>
  <c r="D50" i="58"/>
  <c r="E49" i="58"/>
  <c r="D49" i="58"/>
  <c r="E48" i="58"/>
  <c r="D48" i="58"/>
  <c r="E47" i="58"/>
  <c r="D47" i="58"/>
  <c r="E46" i="58"/>
  <c r="D46" i="58"/>
  <c r="E45" i="58"/>
  <c r="D45" i="58"/>
  <c r="E44" i="58"/>
  <c r="D44" i="58"/>
  <c r="E43" i="58"/>
  <c r="D43" i="58"/>
  <c r="E42" i="58"/>
  <c r="D42" i="58"/>
  <c r="E41" i="58"/>
  <c r="D41" i="58"/>
  <c r="E40" i="58"/>
  <c r="D40" i="58"/>
  <c r="E39" i="58"/>
  <c r="D39" i="58"/>
  <c r="E38" i="58"/>
  <c r="D38" i="58"/>
  <c r="E37" i="58"/>
  <c r="D37" i="58"/>
  <c r="E36" i="58"/>
  <c r="D36" i="58"/>
  <c r="E35" i="58"/>
  <c r="D35" i="58"/>
  <c r="E34" i="58"/>
  <c r="D34" i="58"/>
  <c r="E33" i="58"/>
  <c r="D33" i="58"/>
  <c r="E32" i="58"/>
  <c r="D32" i="58"/>
  <c r="E31" i="58"/>
  <c r="D31" i="58"/>
  <c r="E30" i="58"/>
  <c r="D30" i="58"/>
  <c r="E29" i="58"/>
  <c r="D29" i="58"/>
  <c r="E28" i="58"/>
  <c r="D28" i="58"/>
  <c r="E27" i="58"/>
  <c r="D27" i="58"/>
  <c r="E26" i="58"/>
  <c r="D26" i="58"/>
  <c r="E25" i="58"/>
  <c r="D25" i="58"/>
  <c r="E24" i="58"/>
  <c r="D24" i="58"/>
  <c r="E23" i="58"/>
  <c r="D23" i="58"/>
  <c r="E22" i="58"/>
  <c r="D22" i="58"/>
  <c r="E21" i="58"/>
  <c r="D21" i="58"/>
  <c r="E20" i="58"/>
  <c r="D20" i="58"/>
  <c r="E19" i="58"/>
  <c r="D19" i="58"/>
  <c r="E18" i="58"/>
  <c r="D18" i="58"/>
  <c r="E17" i="58"/>
  <c r="D17" i="58"/>
  <c r="E16" i="58"/>
  <c r="D16" i="58"/>
  <c r="E15" i="58"/>
  <c r="D15" i="58"/>
  <c r="E14" i="58"/>
  <c r="D14" i="58"/>
  <c r="E13" i="58"/>
  <c r="D13" i="58"/>
  <c r="E12" i="58"/>
  <c r="D12" i="58"/>
  <c r="E11" i="58"/>
  <c r="D11" i="58"/>
  <c r="E10" i="58"/>
  <c r="D10" i="58"/>
  <c r="E9" i="58"/>
  <c r="D9" i="58"/>
  <c r="E8" i="58"/>
  <c r="D8" i="58"/>
  <c r="E7" i="58"/>
  <c r="D7" i="58"/>
  <c r="E6" i="58"/>
  <c r="D6" i="58"/>
  <c r="E5" i="58"/>
  <c r="D5" i="58"/>
  <c r="E4" i="58"/>
  <c r="D4" i="58"/>
  <c r="E3" i="58"/>
  <c r="D3" i="58"/>
  <c r="E2" i="58"/>
  <c r="D2" i="58"/>
  <c r="M64" i="64"/>
  <c r="L64" i="64"/>
  <c r="K64" i="64"/>
  <c r="J64" i="64"/>
  <c r="I64" i="64"/>
  <c r="H64" i="64"/>
  <c r="G64" i="64"/>
  <c r="F64" i="64"/>
  <c r="E64" i="64"/>
  <c r="D64" i="64"/>
  <c r="M63" i="64"/>
  <c r="L63" i="64"/>
  <c r="K63" i="64"/>
  <c r="J63" i="64"/>
  <c r="I63" i="64"/>
  <c r="H63" i="64"/>
  <c r="G63" i="64"/>
  <c r="F63" i="64"/>
  <c r="E63" i="64"/>
  <c r="D63" i="64"/>
  <c r="M62" i="64"/>
  <c r="L62" i="64"/>
  <c r="K62" i="64"/>
  <c r="J62" i="64"/>
  <c r="I62" i="64"/>
  <c r="H62" i="64"/>
  <c r="G62" i="64"/>
  <c r="F62" i="64"/>
  <c r="E62" i="64"/>
  <c r="D62" i="64"/>
  <c r="M61" i="64"/>
  <c r="L61" i="64"/>
  <c r="K61" i="64"/>
  <c r="J61" i="64"/>
  <c r="I61" i="64"/>
  <c r="H61" i="64"/>
  <c r="G61" i="64"/>
  <c r="F61" i="64"/>
  <c r="E61" i="64"/>
  <c r="D61" i="64"/>
  <c r="M60" i="64"/>
  <c r="L60" i="64"/>
  <c r="K60" i="64"/>
  <c r="J60" i="64"/>
  <c r="I60" i="64"/>
  <c r="H60" i="64"/>
  <c r="G60" i="64"/>
  <c r="F60" i="64"/>
  <c r="E60" i="64"/>
  <c r="D60" i="64"/>
  <c r="M59" i="64"/>
  <c r="L59" i="64"/>
  <c r="K59" i="64"/>
  <c r="J59" i="64"/>
  <c r="I59" i="64"/>
  <c r="H59" i="64"/>
  <c r="G59" i="64"/>
  <c r="F59" i="64"/>
  <c r="E59" i="64"/>
  <c r="D59" i="64"/>
  <c r="M58" i="64"/>
  <c r="L58" i="64"/>
  <c r="K58" i="64"/>
  <c r="J58" i="64"/>
  <c r="I58" i="64"/>
  <c r="H58" i="64"/>
  <c r="G58" i="64"/>
  <c r="F58" i="64"/>
  <c r="E58" i="64"/>
  <c r="D58" i="64"/>
  <c r="M57" i="64"/>
  <c r="L57" i="64"/>
  <c r="K57" i="64"/>
  <c r="J57" i="64"/>
  <c r="I57" i="64"/>
  <c r="H57" i="64"/>
  <c r="G57" i="64"/>
  <c r="F57" i="64"/>
  <c r="E57" i="64"/>
  <c r="D57" i="64"/>
  <c r="M56" i="64"/>
  <c r="L56" i="64"/>
  <c r="K56" i="64"/>
  <c r="J56" i="64"/>
  <c r="I56" i="64"/>
  <c r="H56" i="64"/>
  <c r="G56" i="64"/>
  <c r="F56" i="64"/>
  <c r="E56" i="64"/>
  <c r="D56" i="64"/>
  <c r="M55" i="64"/>
  <c r="L55" i="64"/>
  <c r="K55" i="64"/>
  <c r="J55" i="64"/>
  <c r="I55" i="64"/>
  <c r="H55" i="64"/>
  <c r="G55" i="64"/>
  <c r="F55" i="64"/>
  <c r="E55" i="64"/>
  <c r="D55" i="64"/>
  <c r="M54" i="64"/>
  <c r="L54" i="64"/>
  <c r="K54" i="64"/>
  <c r="J54" i="64"/>
  <c r="I54" i="64"/>
  <c r="H54" i="64"/>
  <c r="G54" i="64"/>
  <c r="F54" i="64"/>
  <c r="E54" i="64"/>
  <c r="D54" i="64"/>
  <c r="M53" i="64"/>
  <c r="L53" i="64"/>
  <c r="K53" i="64"/>
  <c r="J53" i="64"/>
  <c r="I53" i="64"/>
  <c r="H53" i="64"/>
  <c r="G53" i="64"/>
  <c r="F53" i="64"/>
  <c r="E53" i="64"/>
  <c r="D53" i="64"/>
  <c r="M52" i="64"/>
  <c r="L52" i="64"/>
  <c r="K52" i="64"/>
  <c r="J52" i="64"/>
  <c r="I52" i="64"/>
  <c r="H52" i="64"/>
  <c r="G52" i="64"/>
  <c r="F52" i="64"/>
  <c r="E52" i="64"/>
  <c r="D52" i="64"/>
  <c r="M51" i="64"/>
  <c r="L51" i="64"/>
  <c r="K51" i="64"/>
  <c r="J51" i="64"/>
  <c r="I51" i="64"/>
  <c r="H51" i="64"/>
  <c r="G51" i="64"/>
  <c r="F51" i="64"/>
  <c r="E51" i="64"/>
  <c r="D51" i="64"/>
  <c r="M50" i="64"/>
  <c r="L50" i="64"/>
  <c r="K50" i="64"/>
  <c r="J50" i="64"/>
  <c r="I50" i="64"/>
  <c r="H50" i="64"/>
  <c r="G50" i="64"/>
  <c r="F50" i="64"/>
  <c r="E50" i="64"/>
  <c r="D50" i="64"/>
  <c r="M49" i="64"/>
  <c r="L49" i="64"/>
  <c r="K49" i="64"/>
  <c r="J49" i="64"/>
  <c r="I49" i="64"/>
  <c r="H49" i="64"/>
  <c r="G49" i="64"/>
  <c r="F49" i="64"/>
  <c r="E49" i="64"/>
  <c r="D49" i="64"/>
  <c r="M48" i="64"/>
  <c r="L48" i="64"/>
  <c r="K48" i="64"/>
  <c r="J48" i="64"/>
  <c r="I48" i="64"/>
  <c r="H48" i="64"/>
  <c r="G48" i="64"/>
  <c r="F48" i="64"/>
  <c r="E48" i="64"/>
  <c r="D48" i="64"/>
  <c r="M47" i="64"/>
  <c r="L47" i="64"/>
  <c r="K47" i="64"/>
  <c r="J47" i="64"/>
  <c r="I47" i="64"/>
  <c r="H47" i="64"/>
  <c r="G47" i="64"/>
  <c r="F47" i="64"/>
  <c r="E47" i="64"/>
  <c r="D47" i="64"/>
  <c r="M46" i="64"/>
  <c r="L46" i="64"/>
  <c r="K46" i="64"/>
  <c r="J46" i="64"/>
  <c r="I46" i="64"/>
  <c r="H46" i="64"/>
  <c r="G46" i="64"/>
  <c r="F46" i="64"/>
  <c r="E46" i="64"/>
  <c r="D46" i="64"/>
  <c r="M45" i="64"/>
  <c r="L45" i="64"/>
  <c r="K45" i="64"/>
  <c r="J45" i="64"/>
  <c r="I45" i="64"/>
  <c r="H45" i="64"/>
  <c r="G45" i="64"/>
  <c r="F45" i="64"/>
  <c r="E45" i="64"/>
  <c r="D45" i="64"/>
  <c r="M44" i="64"/>
  <c r="L44" i="64"/>
  <c r="K44" i="64"/>
  <c r="J44" i="64"/>
  <c r="I44" i="64"/>
  <c r="H44" i="64"/>
  <c r="G44" i="64"/>
  <c r="F44" i="64"/>
  <c r="E44" i="64"/>
  <c r="D44" i="64"/>
  <c r="M43" i="64"/>
  <c r="L43" i="64"/>
  <c r="K43" i="64"/>
  <c r="J43" i="64"/>
  <c r="I43" i="64"/>
  <c r="H43" i="64"/>
  <c r="G43" i="64"/>
  <c r="F43" i="64"/>
  <c r="E43" i="64"/>
  <c r="D43" i="64"/>
  <c r="M42" i="64"/>
  <c r="L42" i="64"/>
  <c r="K42" i="64"/>
  <c r="J42" i="64"/>
  <c r="I42" i="64"/>
  <c r="H42" i="64"/>
  <c r="G42" i="64"/>
  <c r="F42" i="64"/>
  <c r="E42" i="64"/>
  <c r="D42" i="64"/>
  <c r="M41" i="64"/>
  <c r="L41" i="64"/>
  <c r="K41" i="64"/>
  <c r="J41" i="64"/>
  <c r="I41" i="64"/>
  <c r="H41" i="64"/>
  <c r="G41" i="64"/>
  <c r="F41" i="64"/>
  <c r="E41" i="64"/>
  <c r="D41" i="64"/>
  <c r="M40" i="64"/>
  <c r="L40" i="64"/>
  <c r="K40" i="64"/>
  <c r="J40" i="64"/>
  <c r="I40" i="64"/>
  <c r="H40" i="64"/>
  <c r="G40" i="64"/>
  <c r="F40" i="64"/>
  <c r="E40" i="64"/>
  <c r="D40" i="64"/>
  <c r="M39" i="64"/>
  <c r="L39" i="64"/>
  <c r="K39" i="64"/>
  <c r="J39" i="64"/>
  <c r="I39" i="64"/>
  <c r="H39" i="64"/>
  <c r="G39" i="64"/>
  <c r="F39" i="64"/>
  <c r="E39" i="64"/>
  <c r="D39" i="64"/>
  <c r="M38" i="64"/>
  <c r="L38" i="64"/>
  <c r="K38" i="64"/>
  <c r="J38" i="64"/>
  <c r="I38" i="64"/>
  <c r="H38" i="64"/>
  <c r="G38" i="64"/>
  <c r="F38" i="64"/>
  <c r="E38" i="64"/>
  <c r="D38" i="64"/>
  <c r="M37" i="64"/>
  <c r="L37" i="64"/>
  <c r="K37" i="64"/>
  <c r="J37" i="64"/>
  <c r="I37" i="64"/>
  <c r="H37" i="64"/>
  <c r="G37" i="64"/>
  <c r="F37" i="64"/>
  <c r="E37" i="64"/>
  <c r="D37" i="64"/>
  <c r="M36" i="64"/>
  <c r="L36" i="64"/>
  <c r="K36" i="64"/>
  <c r="J36" i="64"/>
  <c r="I36" i="64"/>
  <c r="H36" i="64"/>
  <c r="G36" i="64"/>
  <c r="F36" i="64"/>
  <c r="E36" i="64"/>
  <c r="D36" i="64"/>
  <c r="M35" i="64"/>
  <c r="L35" i="64"/>
  <c r="K35" i="64"/>
  <c r="J35" i="64"/>
  <c r="I35" i="64"/>
  <c r="H35" i="64"/>
  <c r="G35" i="64"/>
  <c r="F35" i="64"/>
  <c r="E35" i="64"/>
  <c r="D35" i="64"/>
  <c r="M34" i="64"/>
  <c r="L34" i="64"/>
  <c r="K34" i="64"/>
  <c r="J34" i="64"/>
  <c r="I34" i="64"/>
  <c r="H34" i="64"/>
  <c r="G34" i="64"/>
  <c r="F34" i="64"/>
  <c r="E34" i="64"/>
  <c r="D34" i="64"/>
  <c r="M33" i="64"/>
  <c r="L33" i="64"/>
  <c r="K33" i="64"/>
  <c r="J33" i="64"/>
  <c r="I33" i="64"/>
  <c r="H33" i="64"/>
  <c r="G33" i="64"/>
  <c r="F33" i="64"/>
  <c r="E33" i="64"/>
  <c r="D33" i="64"/>
  <c r="M32" i="64"/>
  <c r="L32" i="64"/>
  <c r="K32" i="64"/>
  <c r="J32" i="64"/>
  <c r="I32" i="64"/>
  <c r="H32" i="64"/>
  <c r="G32" i="64"/>
  <c r="F32" i="64"/>
  <c r="E32" i="64"/>
  <c r="D32" i="64"/>
  <c r="M31" i="64"/>
  <c r="L31" i="64"/>
  <c r="K31" i="64"/>
  <c r="J31" i="64"/>
  <c r="I31" i="64"/>
  <c r="H31" i="64"/>
  <c r="G31" i="64"/>
  <c r="F31" i="64"/>
  <c r="E31" i="64"/>
  <c r="D31" i="64"/>
  <c r="M30" i="64"/>
  <c r="L30" i="64"/>
  <c r="K30" i="64"/>
  <c r="J30" i="64"/>
  <c r="I30" i="64"/>
  <c r="H30" i="64"/>
  <c r="G30" i="64"/>
  <c r="F30" i="64"/>
  <c r="E30" i="64"/>
  <c r="D30" i="64"/>
  <c r="M29" i="64"/>
  <c r="L29" i="64"/>
  <c r="K29" i="64"/>
  <c r="J29" i="64"/>
  <c r="I29" i="64"/>
  <c r="H29" i="64"/>
  <c r="G29" i="64"/>
  <c r="F29" i="64"/>
  <c r="E29" i="64"/>
  <c r="D29" i="64"/>
  <c r="M28" i="64"/>
  <c r="L28" i="64"/>
  <c r="K28" i="64"/>
  <c r="J28" i="64"/>
  <c r="I28" i="64"/>
  <c r="H28" i="64"/>
  <c r="G28" i="64"/>
  <c r="F28" i="64"/>
  <c r="E28" i="64"/>
  <c r="D28" i="64"/>
  <c r="M27" i="64"/>
  <c r="L27" i="64"/>
  <c r="K27" i="64"/>
  <c r="J27" i="64"/>
  <c r="I27" i="64"/>
  <c r="H27" i="64"/>
  <c r="G27" i="64"/>
  <c r="F27" i="64"/>
  <c r="E27" i="64"/>
  <c r="D27" i="64"/>
  <c r="M26" i="64"/>
  <c r="L26" i="64"/>
  <c r="K26" i="64"/>
  <c r="J26" i="64"/>
  <c r="I26" i="64"/>
  <c r="H26" i="64"/>
  <c r="G26" i="64"/>
  <c r="F26" i="64"/>
  <c r="E26" i="64"/>
  <c r="D26" i="64"/>
  <c r="M25" i="64"/>
  <c r="L25" i="64"/>
  <c r="K25" i="64"/>
  <c r="J25" i="64"/>
  <c r="I25" i="64"/>
  <c r="H25" i="64"/>
  <c r="G25" i="64"/>
  <c r="F25" i="64"/>
  <c r="E25" i="64"/>
  <c r="D25" i="64"/>
  <c r="M24" i="64"/>
  <c r="L24" i="64"/>
  <c r="K24" i="64"/>
  <c r="J24" i="64"/>
  <c r="I24" i="64"/>
  <c r="H24" i="64"/>
  <c r="G24" i="64"/>
  <c r="F24" i="64"/>
  <c r="E24" i="64"/>
  <c r="D24" i="64"/>
  <c r="M23" i="64"/>
  <c r="L23" i="64"/>
  <c r="K23" i="64"/>
  <c r="J23" i="64"/>
  <c r="I23" i="64"/>
  <c r="H23" i="64"/>
  <c r="G23" i="64"/>
  <c r="F23" i="64"/>
  <c r="E23" i="64"/>
  <c r="D23" i="64"/>
  <c r="M22" i="64"/>
  <c r="L22" i="64"/>
  <c r="K22" i="64"/>
  <c r="J22" i="64"/>
  <c r="I22" i="64"/>
  <c r="H22" i="64"/>
  <c r="G22" i="64"/>
  <c r="F22" i="64"/>
  <c r="E22" i="64"/>
  <c r="D22" i="64"/>
  <c r="M21" i="64"/>
  <c r="L21" i="64"/>
  <c r="K21" i="64"/>
  <c r="J21" i="64"/>
  <c r="I21" i="64"/>
  <c r="H21" i="64"/>
  <c r="G21" i="64"/>
  <c r="F21" i="64"/>
  <c r="E21" i="64"/>
  <c r="D21" i="64"/>
  <c r="M20" i="64"/>
  <c r="L20" i="64"/>
  <c r="K20" i="64"/>
  <c r="J20" i="64"/>
  <c r="I20" i="64"/>
  <c r="H20" i="64"/>
  <c r="G20" i="64"/>
  <c r="F20" i="64"/>
  <c r="E20" i="64"/>
  <c r="D20" i="64"/>
  <c r="M19" i="64"/>
  <c r="L19" i="64"/>
  <c r="K19" i="64"/>
  <c r="J19" i="64"/>
  <c r="I19" i="64"/>
  <c r="H19" i="64"/>
  <c r="G19" i="64"/>
  <c r="F19" i="64"/>
  <c r="E19" i="64"/>
  <c r="D19" i="64"/>
  <c r="M18" i="64"/>
  <c r="L18" i="64"/>
  <c r="K18" i="64"/>
  <c r="J18" i="64"/>
  <c r="I18" i="64"/>
  <c r="H18" i="64"/>
  <c r="G18" i="64"/>
  <c r="F18" i="64"/>
  <c r="E18" i="64"/>
  <c r="D18" i="64"/>
  <c r="M17" i="64"/>
  <c r="L17" i="64"/>
  <c r="K17" i="64"/>
  <c r="J17" i="64"/>
  <c r="I17" i="64"/>
  <c r="H17" i="64"/>
  <c r="G17" i="64"/>
  <c r="F17" i="64"/>
  <c r="E17" i="64"/>
  <c r="D17" i="64"/>
  <c r="M16" i="64"/>
  <c r="L16" i="64"/>
  <c r="K16" i="64"/>
  <c r="J16" i="64"/>
  <c r="I16" i="64"/>
  <c r="H16" i="64"/>
  <c r="G16" i="64"/>
  <c r="F16" i="64"/>
  <c r="E16" i="64"/>
  <c r="D16" i="64"/>
  <c r="M15" i="64"/>
  <c r="L15" i="64"/>
  <c r="K15" i="64"/>
  <c r="J15" i="64"/>
  <c r="I15" i="64"/>
  <c r="H15" i="64"/>
  <c r="G15" i="64"/>
  <c r="F15" i="64"/>
  <c r="E15" i="64"/>
  <c r="D15" i="64"/>
  <c r="M14" i="64"/>
  <c r="L14" i="64"/>
  <c r="K14" i="64"/>
  <c r="J14" i="64"/>
  <c r="I14" i="64"/>
  <c r="H14" i="64"/>
  <c r="G14" i="64"/>
  <c r="F14" i="64"/>
  <c r="E14" i="64"/>
  <c r="D14" i="64"/>
  <c r="M13" i="64"/>
  <c r="L13" i="64"/>
  <c r="K13" i="64"/>
  <c r="J13" i="64"/>
  <c r="I13" i="64"/>
  <c r="H13" i="64"/>
  <c r="G13" i="64"/>
  <c r="F13" i="64"/>
  <c r="E13" i="64"/>
  <c r="D13" i="64"/>
  <c r="M12" i="64"/>
  <c r="L12" i="64"/>
  <c r="K12" i="64"/>
  <c r="J12" i="64"/>
  <c r="I12" i="64"/>
  <c r="H12" i="64"/>
  <c r="G12" i="64"/>
  <c r="F12" i="64"/>
  <c r="E12" i="64"/>
  <c r="D12" i="64"/>
  <c r="M11" i="64"/>
  <c r="L11" i="64"/>
  <c r="K11" i="64"/>
  <c r="J11" i="64"/>
  <c r="I11" i="64"/>
  <c r="H11" i="64"/>
  <c r="G11" i="64"/>
  <c r="F11" i="64"/>
  <c r="E11" i="64"/>
  <c r="D11" i="64"/>
  <c r="M10" i="64"/>
  <c r="L10" i="64"/>
  <c r="K10" i="64"/>
  <c r="J10" i="64"/>
  <c r="I10" i="64"/>
  <c r="H10" i="64"/>
  <c r="G10" i="64"/>
  <c r="F10" i="64"/>
  <c r="E10" i="64"/>
  <c r="D10" i="64"/>
  <c r="M9" i="64"/>
  <c r="L9" i="64"/>
  <c r="K9" i="64"/>
  <c r="J9" i="64"/>
  <c r="I9" i="64"/>
  <c r="H9" i="64"/>
  <c r="G9" i="64"/>
  <c r="F9" i="64"/>
  <c r="E9" i="64"/>
  <c r="D9" i="64"/>
  <c r="M8" i="64"/>
  <c r="L8" i="64"/>
  <c r="K8" i="64"/>
  <c r="J8" i="64"/>
  <c r="I8" i="64"/>
  <c r="H8" i="64"/>
  <c r="G8" i="64"/>
  <c r="F8" i="64"/>
  <c r="E8" i="64"/>
  <c r="D8" i="64"/>
  <c r="M7" i="64"/>
  <c r="L7" i="64"/>
  <c r="K7" i="64"/>
  <c r="J7" i="64"/>
  <c r="I7" i="64"/>
  <c r="H7" i="64"/>
  <c r="G7" i="64"/>
  <c r="F7" i="64"/>
  <c r="E7" i="64"/>
  <c r="D7" i="64"/>
  <c r="M6" i="64"/>
  <c r="L6" i="64"/>
  <c r="K6" i="64"/>
  <c r="J6" i="64"/>
  <c r="I6" i="64"/>
  <c r="H6" i="64"/>
  <c r="G6" i="64"/>
  <c r="F6" i="64"/>
  <c r="E6" i="64"/>
  <c r="D6" i="64"/>
  <c r="M5" i="64"/>
  <c r="L5" i="64"/>
  <c r="K5" i="64"/>
  <c r="J5" i="64"/>
  <c r="I5" i="64"/>
  <c r="H5" i="64"/>
  <c r="G5" i="64"/>
  <c r="F5" i="64"/>
  <c r="E5" i="64"/>
  <c r="D5" i="64"/>
  <c r="M4" i="64"/>
  <c r="L4" i="64"/>
  <c r="K4" i="64"/>
  <c r="J4" i="64"/>
  <c r="I4" i="64"/>
  <c r="H4" i="64"/>
  <c r="G4" i="64"/>
  <c r="F4" i="64"/>
  <c r="E4" i="64"/>
  <c r="D4" i="64"/>
  <c r="M3" i="64"/>
  <c r="L3" i="64"/>
  <c r="K3" i="64"/>
  <c r="J3" i="64"/>
  <c r="I3" i="64"/>
  <c r="H3" i="64"/>
  <c r="G3" i="64"/>
  <c r="F3" i="64"/>
  <c r="E3" i="64"/>
  <c r="D3" i="64"/>
  <c r="M2" i="64"/>
  <c r="L2" i="64"/>
  <c r="K2" i="64"/>
  <c r="J2" i="64"/>
  <c r="I2" i="64"/>
  <c r="H2" i="64"/>
  <c r="G2" i="64"/>
  <c r="F2" i="64"/>
  <c r="E2" i="64"/>
  <c r="D2" i="64"/>
  <c r="B24" i="60"/>
  <c r="C24" i="60" s="1"/>
  <c r="B23" i="60"/>
  <c r="C23" i="60" s="1"/>
  <c r="B22" i="60"/>
  <c r="C22" i="60" s="1"/>
  <c r="C21" i="60"/>
  <c r="B29" i="60" s="1"/>
  <c r="B21" i="60"/>
  <c r="C20" i="60"/>
  <c r="B20" i="60"/>
  <c r="I19" i="60"/>
  <c r="I20" i="60" s="1"/>
  <c r="M19" i="60" s="1"/>
  <c r="N19" i="60" s="1"/>
  <c r="B19" i="60"/>
  <c r="C19" i="60" s="1"/>
  <c r="B27" i="60" s="1"/>
  <c r="I18" i="60"/>
  <c r="F18" i="60"/>
  <c r="F20" i="60" s="1"/>
  <c r="M18" i="60" s="1"/>
  <c r="N18" i="60" s="1"/>
  <c r="D11" i="60"/>
  <c r="C11" i="60"/>
  <c r="D10" i="60"/>
  <c r="C10" i="60"/>
  <c r="D9" i="60"/>
  <c r="C9" i="60"/>
  <c r="D8" i="60"/>
  <c r="C8" i="60"/>
  <c r="D7" i="60"/>
  <c r="C7" i="60"/>
  <c r="D28" i="60" s="1"/>
  <c r="D6" i="60"/>
  <c r="C6" i="60"/>
  <c r="D5" i="60"/>
  <c r="C5" i="60"/>
  <c r="Q4" i="60"/>
  <c r="M4" i="60"/>
  <c r="I21" i="60" s="1"/>
  <c r="Q19" i="60" s="1"/>
  <c r="I4" i="60"/>
  <c r="F22" i="60" s="1"/>
  <c r="M26" i="60" s="1"/>
  <c r="N26" i="60" s="1"/>
  <c r="H4" i="60"/>
  <c r="F21" i="60" s="1"/>
  <c r="Q18" i="60" s="1"/>
  <c r="D4" i="60"/>
  <c r="C4" i="60"/>
  <c r="Q3" i="60"/>
  <c r="M3" i="60"/>
  <c r="I3" i="60"/>
  <c r="H3" i="60"/>
  <c r="D3" i="60"/>
  <c r="C3" i="60"/>
  <c r="M2" i="60"/>
  <c r="I2" i="60"/>
  <c r="H2" i="60"/>
  <c r="D2" i="60"/>
  <c r="C2" i="60"/>
  <c r="F39" i="27"/>
  <c r="E39" i="27"/>
  <c r="F38" i="27"/>
  <c r="E38" i="27"/>
  <c r="F37" i="27"/>
  <c r="E37" i="27"/>
  <c r="AF36" i="27"/>
  <c r="AF37" i="27" s="1"/>
  <c r="F36" i="27"/>
  <c r="E36" i="27"/>
  <c r="F35" i="27"/>
  <c r="E35" i="27"/>
  <c r="F34" i="27"/>
  <c r="E34" i="27"/>
  <c r="X33" i="27"/>
  <c r="AC33" i="27" s="1"/>
  <c r="F33" i="27"/>
  <c r="E33" i="27"/>
  <c r="X32" i="27"/>
  <c r="AC32" i="27" s="1"/>
  <c r="F32" i="27"/>
  <c r="E32" i="27"/>
  <c r="C32" i="27"/>
  <c r="D31" i="27" s="1"/>
  <c r="X31" i="27"/>
  <c r="AC31" i="27" s="1"/>
  <c r="F31" i="27"/>
  <c r="E31" i="27"/>
  <c r="C31" i="27"/>
  <c r="D30" i="27" s="1"/>
  <c r="X30" i="27"/>
  <c r="AC30" i="27" s="1"/>
  <c r="F30" i="27"/>
  <c r="E30" i="27"/>
  <c r="Z29" i="27"/>
  <c r="X29" i="27"/>
  <c r="AC29" i="27" s="1"/>
  <c r="Z28" i="27"/>
  <c r="X28" i="27"/>
  <c r="AC28" i="27" s="1"/>
  <c r="Z27" i="27"/>
  <c r="X27" i="27"/>
  <c r="AC27" i="27" s="1"/>
  <c r="X26" i="27"/>
  <c r="AC26" i="27" s="1"/>
  <c r="X25" i="27"/>
  <c r="AC25" i="27" s="1"/>
  <c r="E25" i="27"/>
  <c r="Z24" i="27"/>
  <c r="X24" i="27"/>
  <c r="AC24" i="27" s="1"/>
  <c r="Z23" i="27"/>
  <c r="X23" i="27"/>
  <c r="AC23" i="27" s="1"/>
  <c r="E23" i="27"/>
  <c r="X22" i="27"/>
  <c r="AC22" i="27" s="1"/>
  <c r="X21" i="27"/>
  <c r="AC21" i="27" s="1"/>
  <c r="E21" i="27"/>
  <c r="Z20" i="27"/>
  <c r="X20" i="27"/>
  <c r="AC20" i="27" s="1"/>
  <c r="Z19" i="27"/>
  <c r="X19" i="27"/>
  <c r="AC19" i="27" s="1"/>
  <c r="E19" i="27"/>
  <c r="X18" i="27"/>
  <c r="AC18" i="27" s="1"/>
  <c r="D18" i="27"/>
  <c r="D19" i="27" s="1"/>
  <c r="X17" i="27"/>
  <c r="AC17" i="27" s="1"/>
  <c r="E17" i="27"/>
  <c r="F17" i="27" s="1"/>
  <c r="D17" i="27"/>
  <c r="Z16" i="27"/>
  <c r="X16" i="27"/>
  <c r="AC16" i="27" s="1"/>
  <c r="Z15" i="27"/>
  <c r="X15" i="27"/>
  <c r="AC15" i="27" s="1"/>
  <c r="Z14" i="27"/>
  <c r="X14" i="27"/>
  <c r="AC14" i="27" s="1"/>
  <c r="Z13" i="27"/>
  <c r="X13" i="27"/>
  <c r="AC13" i="27" s="1"/>
  <c r="Z12" i="27"/>
  <c r="X12" i="27"/>
  <c r="AC12" i="27" s="1"/>
  <c r="S12" i="27"/>
  <c r="R12" i="27"/>
  <c r="T12" i="27" s="1"/>
  <c r="M12" i="27"/>
  <c r="O12" i="27" s="1"/>
  <c r="I26" i="27" s="1"/>
  <c r="J12" i="27"/>
  <c r="L12" i="27" s="1"/>
  <c r="G26" i="27" s="1"/>
  <c r="I12" i="27"/>
  <c r="E26" i="27" s="1"/>
  <c r="Z11" i="27"/>
  <c r="X11" i="27"/>
  <c r="AC11" i="27" s="1"/>
  <c r="T11" i="27"/>
  <c r="S11" i="27"/>
  <c r="R11" i="27"/>
  <c r="M11" i="27"/>
  <c r="O11" i="27" s="1"/>
  <c r="I25" i="27" s="1"/>
  <c r="J11" i="27"/>
  <c r="L11" i="27" s="1"/>
  <c r="G25" i="27" s="1"/>
  <c r="I11" i="27"/>
  <c r="Z10" i="27"/>
  <c r="X10" i="27"/>
  <c r="AC10" i="27" s="1"/>
  <c r="S10" i="27"/>
  <c r="R10" i="27"/>
  <c r="T10" i="27" s="1"/>
  <c r="M10" i="27"/>
  <c r="O10" i="27" s="1"/>
  <c r="I24" i="27" s="1"/>
  <c r="J10" i="27"/>
  <c r="L10" i="27" s="1"/>
  <c r="G24" i="27" s="1"/>
  <c r="I10" i="27"/>
  <c r="E24" i="27" s="1"/>
  <c r="Z9" i="27"/>
  <c r="X9" i="27"/>
  <c r="AC9" i="27" s="1"/>
  <c r="T9" i="27"/>
  <c r="S9" i="27"/>
  <c r="R9" i="27"/>
  <c r="M9" i="27"/>
  <c r="O9" i="27" s="1"/>
  <c r="I23" i="27" s="1"/>
  <c r="J9" i="27"/>
  <c r="L9" i="27" s="1"/>
  <c r="G23" i="27" s="1"/>
  <c r="I9" i="27"/>
  <c r="Z8" i="27"/>
  <c r="X8" i="27"/>
  <c r="AC8" i="27" s="1"/>
  <c r="S8" i="27"/>
  <c r="R8" i="27"/>
  <c r="T8" i="27" s="1"/>
  <c r="M8" i="27"/>
  <c r="O8" i="27" s="1"/>
  <c r="I22" i="27" s="1"/>
  <c r="J8" i="27"/>
  <c r="L8" i="27" s="1"/>
  <c r="G22" i="27" s="1"/>
  <c r="I8" i="27"/>
  <c r="E22" i="27" s="1"/>
  <c r="Z7" i="27"/>
  <c r="X7" i="27"/>
  <c r="AC7" i="27" s="1"/>
  <c r="T7" i="27"/>
  <c r="S7" i="27"/>
  <c r="R7" i="27"/>
  <c r="M7" i="27"/>
  <c r="O7" i="27" s="1"/>
  <c r="I21" i="27" s="1"/>
  <c r="J7" i="27"/>
  <c r="L7" i="27" s="1"/>
  <c r="G21" i="27" s="1"/>
  <c r="I7" i="27"/>
  <c r="Z6" i="27"/>
  <c r="X6" i="27"/>
  <c r="AC6" i="27" s="1"/>
  <c r="S6" i="27"/>
  <c r="R6" i="27"/>
  <c r="T6" i="27" s="1"/>
  <c r="M6" i="27"/>
  <c r="O6" i="27" s="1"/>
  <c r="I20" i="27" s="1"/>
  <c r="J6" i="27"/>
  <c r="L6" i="27" s="1"/>
  <c r="G20" i="27" s="1"/>
  <c r="I6" i="27"/>
  <c r="E20" i="27" s="1"/>
  <c r="X5" i="27"/>
  <c r="AC5" i="27" s="1"/>
  <c r="T5" i="27"/>
  <c r="S5" i="27"/>
  <c r="R5" i="27"/>
  <c r="M5" i="27"/>
  <c r="O5" i="27" s="1"/>
  <c r="I19" i="27" s="1"/>
  <c r="J5" i="27"/>
  <c r="L5" i="27" s="1"/>
  <c r="G19" i="27" s="1"/>
  <c r="I5" i="27"/>
  <c r="AA4" i="27"/>
  <c r="X4" i="27"/>
  <c r="AC4" i="27" s="1"/>
  <c r="S4" i="27"/>
  <c r="T4" i="27" s="1"/>
  <c r="R4" i="27"/>
  <c r="O4" i="27"/>
  <c r="I18" i="27" s="1"/>
  <c r="M4" i="27"/>
  <c r="L4" i="27"/>
  <c r="G18" i="27" s="1"/>
  <c r="J4" i="27"/>
  <c r="I4" i="27"/>
  <c r="E18" i="27" s="1"/>
  <c r="C4" i="27"/>
  <c r="S3" i="27"/>
  <c r="R3" i="27"/>
  <c r="T3" i="27" s="1"/>
  <c r="M3" i="27"/>
  <c r="O3" i="27" s="1"/>
  <c r="I17" i="27" s="1"/>
  <c r="J17" i="27" s="1"/>
  <c r="J3" i="27"/>
  <c r="L3" i="27" s="1"/>
  <c r="G17" i="27" s="1"/>
  <c r="H17" i="27" s="1"/>
  <c r="I3" i="27"/>
  <c r="F181" i="62"/>
  <c r="E181" i="62"/>
  <c r="D181" i="62"/>
  <c r="G181" i="62" s="1"/>
  <c r="G180" i="62"/>
  <c r="F180" i="62"/>
  <c r="E180" i="62"/>
  <c r="D180" i="62"/>
  <c r="C180" i="62"/>
  <c r="F179" i="62"/>
  <c r="E179" i="62"/>
  <c r="D179" i="62"/>
  <c r="G179" i="62" s="1"/>
  <c r="G178" i="62"/>
  <c r="F178" i="62"/>
  <c r="E178" i="62"/>
  <c r="D178" i="62"/>
  <c r="C178" i="62"/>
  <c r="F177" i="62"/>
  <c r="E177" i="62"/>
  <c r="D177" i="62"/>
  <c r="G177" i="62" s="1"/>
  <c r="G176" i="62"/>
  <c r="F176" i="62"/>
  <c r="E176" i="62"/>
  <c r="D176" i="62"/>
  <c r="C176" i="62"/>
  <c r="F175" i="62"/>
  <c r="E175" i="62"/>
  <c r="D175" i="62"/>
  <c r="G175" i="62" s="1"/>
  <c r="G174" i="62"/>
  <c r="F174" i="62"/>
  <c r="E174" i="62"/>
  <c r="D174" i="62"/>
  <c r="C174" i="62"/>
  <c r="F173" i="62"/>
  <c r="E173" i="62"/>
  <c r="D173" i="62"/>
  <c r="G173" i="62" s="1"/>
  <c r="G172" i="62"/>
  <c r="F172" i="62"/>
  <c r="E172" i="62"/>
  <c r="D172" i="62"/>
  <c r="C172" i="62"/>
  <c r="G166" i="62"/>
  <c r="F166" i="62"/>
  <c r="E166" i="62"/>
  <c r="G165" i="62"/>
  <c r="F165" i="62"/>
  <c r="E165" i="62"/>
  <c r="G164" i="62"/>
  <c r="F164" i="62"/>
  <c r="E164" i="62"/>
  <c r="G163" i="62"/>
  <c r="F163" i="62"/>
  <c r="E163" i="62"/>
  <c r="G162" i="62"/>
  <c r="F162" i="62"/>
  <c r="E162" i="62"/>
  <c r="G161" i="62"/>
  <c r="F161" i="62"/>
  <c r="E161" i="62"/>
  <c r="G160" i="62"/>
  <c r="F160" i="62"/>
  <c r="E160" i="62"/>
  <c r="G159" i="62"/>
  <c r="F159" i="62"/>
  <c r="E159" i="62"/>
  <c r="G158" i="62"/>
  <c r="F158" i="62"/>
  <c r="E158" i="62"/>
  <c r="G157" i="62"/>
  <c r="F157" i="62"/>
  <c r="E157" i="62"/>
  <c r="G156" i="62"/>
  <c r="F156" i="62"/>
  <c r="E156" i="62"/>
  <c r="G155" i="62"/>
  <c r="F155" i="62"/>
  <c r="E155" i="62"/>
  <c r="G154" i="62"/>
  <c r="F154" i="62"/>
  <c r="E154" i="62"/>
  <c r="G153" i="62"/>
  <c r="F153" i="62"/>
  <c r="E153" i="62"/>
  <c r="G152" i="62"/>
  <c r="F152" i="62"/>
  <c r="E152" i="62"/>
  <c r="G151" i="62"/>
  <c r="F151" i="62"/>
  <c r="E151" i="62"/>
  <c r="G150" i="62"/>
  <c r="F150" i="62"/>
  <c r="E150" i="62"/>
  <c r="G149" i="62"/>
  <c r="F149" i="62"/>
  <c r="E149" i="62"/>
  <c r="G148" i="62"/>
  <c r="F148" i="62"/>
  <c r="E148" i="62"/>
  <c r="G147" i="62"/>
  <c r="F147" i="62"/>
  <c r="E147" i="62"/>
  <c r="G146" i="62"/>
  <c r="F146" i="62"/>
  <c r="E146" i="62"/>
  <c r="G145" i="62"/>
  <c r="F145" i="62"/>
  <c r="E145" i="62"/>
  <c r="G144" i="62"/>
  <c r="F144" i="62"/>
  <c r="E144" i="62"/>
  <c r="G143" i="62"/>
  <c r="F143" i="62"/>
  <c r="E143" i="62"/>
  <c r="G142" i="62"/>
  <c r="F142" i="62"/>
  <c r="E142" i="62"/>
  <c r="G141" i="62"/>
  <c r="F141" i="62"/>
  <c r="E141" i="62"/>
  <c r="G140" i="62"/>
  <c r="F140" i="62"/>
  <c r="E140" i="62"/>
  <c r="G139" i="62"/>
  <c r="F139" i="62"/>
  <c r="E139" i="62"/>
  <c r="G138" i="62"/>
  <c r="F138" i="62"/>
  <c r="E138" i="62"/>
  <c r="G137" i="62"/>
  <c r="F137" i="62"/>
  <c r="E137" i="62"/>
  <c r="G136" i="62"/>
  <c r="F136" i="62"/>
  <c r="E136" i="62"/>
  <c r="G135" i="62"/>
  <c r="F135" i="62"/>
  <c r="E135" i="62"/>
  <c r="G134" i="62"/>
  <c r="F134" i="62"/>
  <c r="E134" i="62"/>
  <c r="G133" i="62"/>
  <c r="F133" i="62"/>
  <c r="E133" i="62"/>
  <c r="G132" i="62"/>
  <c r="F132" i="62"/>
  <c r="E132" i="62"/>
  <c r="G131" i="62"/>
  <c r="F131" i="62"/>
  <c r="E131" i="62"/>
  <c r="G130" i="62"/>
  <c r="F130" i="62"/>
  <c r="E130" i="62"/>
  <c r="G129" i="62"/>
  <c r="F129" i="62"/>
  <c r="E129" i="62"/>
  <c r="G128" i="62"/>
  <c r="F128" i="62"/>
  <c r="E128" i="62"/>
  <c r="G127" i="62"/>
  <c r="F127" i="62"/>
  <c r="E127" i="62"/>
  <c r="G126" i="62"/>
  <c r="F126" i="62"/>
  <c r="E126" i="62"/>
  <c r="G125" i="62"/>
  <c r="F125" i="62"/>
  <c r="E125" i="62"/>
  <c r="G124" i="62"/>
  <c r="F124" i="62"/>
  <c r="E124" i="62"/>
  <c r="G123" i="62"/>
  <c r="F123" i="62"/>
  <c r="E123" i="62"/>
  <c r="I118" i="62"/>
  <c r="H118" i="62"/>
  <c r="E118" i="62"/>
  <c r="D118" i="62"/>
  <c r="C118" i="62"/>
  <c r="G118" i="62" s="1"/>
  <c r="J116" i="62"/>
  <c r="H116" i="62"/>
  <c r="E116" i="62"/>
  <c r="D116" i="62"/>
  <c r="C116" i="62"/>
  <c r="G116" i="62" s="1"/>
  <c r="J114" i="62"/>
  <c r="H114" i="62"/>
  <c r="E114" i="62"/>
  <c r="D114" i="62"/>
  <c r="C114" i="62"/>
  <c r="G114" i="62" s="1"/>
  <c r="J112" i="62"/>
  <c r="H112" i="62"/>
  <c r="E112" i="62"/>
  <c r="D112" i="62"/>
  <c r="C112" i="62"/>
  <c r="G112" i="62" s="1"/>
  <c r="J110" i="62"/>
  <c r="H110" i="62"/>
  <c r="E110" i="62"/>
  <c r="D110" i="62"/>
  <c r="C110" i="62"/>
  <c r="G110" i="62" s="1"/>
  <c r="M106" i="62"/>
  <c r="N106" i="62" s="1"/>
  <c r="E106" i="62"/>
  <c r="F106" i="62" s="1"/>
  <c r="G106" i="62" s="1"/>
  <c r="N105" i="62"/>
  <c r="M105" i="62"/>
  <c r="F105" i="62"/>
  <c r="G105" i="62" s="1"/>
  <c r="E105" i="62"/>
  <c r="M104" i="62"/>
  <c r="N104" i="62" s="1"/>
  <c r="E104" i="62"/>
  <c r="F104" i="62" s="1"/>
  <c r="G104" i="62" s="1"/>
  <c r="N103" i="62"/>
  <c r="M103" i="62"/>
  <c r="F103" i="62"/>
  <c r="G103" i="62" s="1"/>
  <c r="E103" i="62"/>
  <c r="M102" i="62"/>
  <c r="N102" i="62" s="1"/>
  <c r="E102" i="62"/>
  <c r="F102" i="62" s="1"/>
  <c r="G102" i="62" s="1"/>
  <c r="N101" i="62"/>
  <c r="M101" i="62"/>
  <c r="F101" i="62"/>
  <c r="G101" i="62" s="1"/>
  <c r="E101" i="62"/>
  <c r="M100" i="62"/>
  <c r="N100" i="62" s="1"/>
  <c r="E100" i="62"/>
  <c r="F100" i="62" s="1"/>
  <c r="G100" i="62" s="1"/>
  <c r="N99" i="62"/>
  <c r="M99" i="62"/>
  <c r="F99" i="62"/>
  <c r="G99" i="62" s="1"/>
  <c r="E99" i="62"/>
  <c r="M98" i="62"/>
  <c r="N98" i="62" s="1"/>
  <c r="E98" i="62"/>
  <c r="F98" i="62" s="1"/>
  <c r="G98" i="62" s="1"/>
  <c r="N97" i="62"/>
  <c r="M97" i="62"/>
  <c r="F97" i="62"/>
  <c r="G97" i="62" s="1"/>
  <c r="E97" i="62"/>
  <c r="M96" i="62"/>
  <c r="N96" i="62" s="1"/>
  <c r="E96" i="62"/>
  <c r="F96" i="62" s="1"/>
  <c r="G96" i="62" s="1"/>
  <c r="N95" i="62"/>
  <c r="M95" i="62"/>
  <c r="J95" i="62"/>
  <c r="G95" i="62"/>
  <c r="K95" i="62" s="1"/>
  <c r="F95" i="62"/>
  <c r="E95" i="62"/>
  <c r="M94" i="62"/>
  <c r="N94" i="62" s="1"/>
  <c r="G94" i="62"/>
  <c r="K94" i="62" s="1"/>
  <c r="E94" i="62"/>
  <c r="F94" i="62" s="1"/>
  <c r="N93" i="62"/>
  <c r="M93" i="62"/>
  <c r="J93" i="62"/>
  <c r="G93" i="62"/>
  <c r="K93" i="62" s="1"/>
  <c r="F93" i="62"/>
  <c r="E93" i="62"/>
  <c r="M92" i="62"/>
  <c r="N92" i="62" s="1"/>
  <c r="G92" i="62"/>
  <c r="K92" i="62" s="1"/>
  <c r="E92" i="62"/>
  <c r="F92" i="62" s="1"/>
  <c r="N91" i="62"/>
  <c r="M91" i="62"/>
  <c r="J91" i="62"/>
  <c r="G91" i="62"/>
  <c r="K91" i="62" s="1"/>
  <c r="F91" i="62"/>
  <c r="E91" i="62"/>
  <c r="M90" i="62"/>
  <c r="N90" i="62" s="1"/>
  <c r="G90" i="62"/>
  <c r="K90" i="62" s="1"/>
  <c r="E90" i="62"/>
  <c r="F90" i="62" s="1"/>
  <c r="N89" i="62"/>
  <c r="M89" i="62"/>
  <c r="J89" i="62"/>
  <c r="G89" i="62"/>
  <c r="K89" i="62" s="1"/>
  <c r="F89" i="62"/>
  <c r="E89" i="62"/>
  <c r="M88" i="62"/>
  <c r="N88" i="62" s="1"/>
  <c r="G88" i="62"/>
  <c r="K88" i="62" s="1"/>
  <c r="E88" i="62"/>
  <c r="N87" i="62"/>
  <c r="M87" i="62"/>
  <c r="J87" i="62"/>
  <c r="G87" i="62"/>
  <c r="K87" i="62" s="1"/>
  <c r="F87" i="62"/>
  <c r="E87" i="62"/>
  <c r="M86" i="62"/>
  <c r="N86" i="62" s="1"/>
  <c r="G86" i="62"/>
  <c r="K86" i="62" s="1"/>
  <c r="E86" i="62"/>
  <c r="N85" i="62"/>
  <c r="M85" i="62"/>
  <c r="J85" i="62"/>
  <c r="G85" i="62"/>
  <c r="K85" i="62" s="1"/>
  <c r="F85" i="62"/>
  <c r="E85" i="62"/>
  <c r="M84" i="62"/>
  <c r="N84" i="62" s="1"/>
  <c r="G84" i="62"/>
  <c r="K84" i="62" s="1"/>
  <c r="E84" i="62"/>
  <c r="F84" i="62" s="1"/>
  <c r="N83" i="62"/>
  <c r="F83" i="62" s="1"/>
  <c r="J83" i="62"/>
  <c r="G83" i="62"/>
  <c r="K83" i="62" s="1"/>
  <c r="AS79" i="62"/>
  <c r="AR79" i="62"/>
  <c r="AQ79" i="62"/>
  <c r="AP79" i="62"/>
  <c r="AO79" i="62"/>
  <c r="AM79" i="62"/>
  <c r="AK79" i="62"/>
  <c r="AI79" i="62"/>
  <c r="AG79" i="62"/>
  <c r="AS78" i="62"/>
  <c r="AR78" i="62"/>
  <c r="AQ78" i="62"/>
  <c r="AP78" i="62"/>
  <c r="AO78" i="62"/>
  <c r="AM78" i="62"/>
  <c r="AK78" i="62"/>
  <c r="AI78" i="62"/>
  <c r="AG78" i="62"/>
  <c r="AS77" i="62"/>
  <c r="AR77" i="62"/>
  <c r="AQ77" i="62"/>
  <c r="AP77" i="62"/>
  <c r="AO77" i="62"/>
  <c r="AM77" i="62"/>
  <c r="AK77" i="62"/>
  <c r="AI77" i="62"/>
  <c r="AG77" i="62"/>
  <c r="AS76" i="62"/>
  <c r="AR76" i="62"/>
  <c r="AQ76" i="62"/>
  <c r="AP76" i="62"/>
  <c r="AO76" i="62"/>
  <c r="AM76" i="62"/>
  <c r="AK76" i="62"/>
  <c r="AI76" i="62"/>
  <c r="AG76" i="62"/>
  <c r="AV76" i="62" s="1"/>
  <c r="AS75" i="62"/>
  <c r="AR75" i="62"/>
  <c r="AQ75" i="62"/>
  <c r="AP75" i="62"/>
  <c r="AO75" i="62"/>
  <c r="AM75" i="62"/>
  <c r="AK75" i="62"/>
  <c r="AI75" i="62"/>
  <c r="AG75" i="62"/>
  <c r="AV75" i="62" s="1"/>
  <c r="AS74" i="62"/>
  <c r="AR74" i="62"/>
  <c r="AQ74" i="62"/>
  <c r="AP74" i="62"/>
  <c r="AO74" i="62"/>
  <c r="AM74" i="62"/>
  <c r="AK74" i="62"/>
  <c r="AI74" i="62"/>
  <c r="AG74" i="62"/>
  <c r="AS73" i="62"/>
  <c r="AR73" i="62"/>
  <c r="AQ73" i="62"/>
  <c r="AP73" i="62"/>
  <c r="AO73" i="62"/>
  <c r="AM73" i="62"/>
  <c r="AK73" i="62"/>
  <c r="AI73" i="62"/>
  <c r="AG73" i="62"/>
  <c r="AV73" i="62" s="1"/>
  <c r="AS72" i="62"/>
  <c r="AR72" i="62"/>
  <c r="AQ72" i="62"/>
  <c r="AP72" i="62"/>
  <c r="AO72" i="62"/>
  <c r="AM72" i="62"/>
  <c r="AK72" i="62"/>
  <c r="AI72" i="62"/>
  <c r="AG72" i="62"/>
  <c r="AV72" i="62" s="1"/>
  <c r="AS71" i="62"/>
  <c r="AR71" i="62"/>
  <c r="AQ71" i="62"/>
  <c r="AP71" i="62"/>
  <c r="AO71" i="62"/>
  <c r="AM71" i="62"/>
  <c r="AK71" i="62"/>
  <c r="AI71" i="62"/>
  <c r="AG71" i="62"/>
  <c r="AV71" i="62" s="1"/>
  <c r="AS70" i="62"/>
  <c r="AR70" i="62"/>
  <c r="AQ70" i="62"/>
  <c r="AP70" i="62"/>
  <c r="AO70" i="62"/>
  <c r="AM70" i="62"/>
  <c r="AK70" i="62"/>
  <c r="AI70" i="62"/>
  <c r="AG70" i="62"/>
  <c r="AV70" i="62" s="1"/>
  <c r="U65" i="62"/>
  <c r="U64" i="62"/>
  <c r="U61" i="62"/>
  <c r="U59" i="62"/>
  <c r="U58" i="62"/>
  <c r="U57" i="62"/>
  <c r="E53" i="62"/>
  <c r="G53" i="62" s="1"/>
  <c r="E52" i="62"/>
  <c r="G52" i="62" s="1"/>
  <c r="E51" i="62"/>
  <c r="G51" i="62" s="1"/>
  <c r="E50" i="62"/>
  <c r="G50" i="62" s="1"/>
  <c r="E49" i="62"/>
  <c r="G49" i="62" s="1"/>
  <c r="E48" i="62"/>
  <c r="G48" i="62" s="1"/>
  <c r="J44" i="62"/>
  <c r="G44" i="62"/>
  <c r="H44" i="62" s="1"/>
  <c r="C27" i="32" s="1"/>
  <c r="J43" i="62"/>
  <c r="G43" i="62"/>
  <c r="H43" i="62" s="1"/>
  <c r="C26" i="32" s="1"/>
  <c r="J42" i="62"/>
  <c r="G42" i="62"/>
  <c r="H42" i="62" s="1"/>
  <c r="C25" i="32" s="1"/>
  <c r="J41" i="62"/>
  <c r="K41" i="62" s="1"/>
  <c r="G41" i="62"/>
  <c r="H41" i="62" s="1"/>
  <c r="C24" i="32" s="1"/>
  <c r="J40" i="62"/>
  <c r="K40" i="62" s="1"/>
  <c r="G40" i="62"/>
  <c r="H40" i="62" s="1"/>
  <c r="C23" i="32" s="1"/>
  <c r="J39" i="62"/>
  <c r="G39" i="62"/>
  <c r="H39" i="62" s="1"/>
  <c r="C22" i="32" s="1"/>
  <c r="K38" i="62"/>
  <c r="J38" i="62"/>
  <c r="G38" i="62"/>
  <c r="H38" i="62" s="1"/>
  <c r="C21" i="32" s="1"/>
  <c r="K37" i="62"/>
  <c r="J37" i="62"/>
  <c r="G37" i="62"/>
  <c r="H37" i="62" s="1"/>
  <c r="C20" i="32" s="1"/>
  <c r="J36" i="62"/>
  <c r="G36" i="62"/>
  <c r="H36" i="62" s="1"/>
  <c r="C19" i="32" s="1"/>
  <c r="AP35" i="62"/>
  <c r="AN35" i="62"/>
  <c r="AL35" i="62"/>
  <c r="AJ35" i="62"/>
  <c r="AH35" i="62"/>
  <c r="G35" i="62"/>
  <c r="H35" i="62" s="1"/>
  <c r="C18" i="32" s="1"/>
  <c r="AP34" i="62"/>
  <c r="AP36" i="62" s="1"/>
  <c r="AN34" i="62"/>
  <c r="AL34" i="62"/>
  <c r="AJ34" i="62"/>
  <c r="AH34" i="62"/>
  <c r="AH36" i="62" s="1"/>
  <c r="H34" i="62"/>
  <c r="C17" i="32" s="1"/>
  <c r="G34" i="62"/>
  <c r="AP33" i="62"/>
  <c r="AN33" i="62"/>
  <c r="AL33" i="62"/>
  <c r="AJ33" i="62"/>
  <c r="AH33" i="62"/>
  <c r="G33" i="62"/>
  <c r="H33" i="62" s="1"/>
  <c r="C16" i="32" s="1"/>
  <c r="AP32" i="62"/>
  <c r="AN32" i="62"/>
  <c r="AL32" i="62"/>
  <c r="AJ32" i="62"/>
  <c r="AJ36" i="62" s="1"/>
  <c r="AH32" i="62"/>
  <c r="AP31" i="62"/>
  <c r="AN31" i="62"/>
  <c r="AN36" i="62" s="1"/>
  <c r="AL31" i="62"/>
  <c r="AL36" i="62" s="1"/>
  <c r="AJ31" i="62"/>
  <c r="AH31" i="62"/>
  <c r="AM28" i="62"/>
  <c r="AL28" i="62"/>
  <c r="AP27" i="62"/>
  <c r="AO27" i="62"/>
  <c r="AH27" i="62"/>
  <c r="AG27" i="62"/>
  <c r="C27" i="62"/>
  <c r="AO26" i="62"/>
  <c r="AJ26" i="62"/>
  <c r="AG26" i="62"/>
  <c r="AN25" i="62"/>
  <c r="AM25" i="62"/>
  <c r="AP24" i="62"/>
  <c r="AO24" i="62"/>
  <c r="AH24" i="62"/>
  <c r="AG24" i="62"/>
  <c r="C22" i="62"/>
  <c r="AF18" i="62"/>
  <c r="N17" i="62"/>
  <c r="C17" i="62"/>
  <c r="F17" i="62" s="1"/>
  <c r="AO16" i="62"/>
  <c r="AM16" i="62"/>
  <c r="AK16" i="62"/>
  <c r="AI16" i="62"/>
  <c r="AG16" i="62"/>
  <c r="S16" i="62"/>
  <c r="C16" i="62"/>
  <c r="M16" i="62" s="1"/>
  <c r="AO15" i="62"/>
  <c r="AM15" i="62"/>
  <c r="AK15" i="62"/>
  <c r="AI15" i="62"/>
  <c r="AG15" i="62"/>
  <c r="S15" i="62"/>
  <c r="C15" i="62"/>
  <c r="M15" i="62" s="1"/>
  <c r="AY13" i="62"/>
  <c r="AW13" i="62"/>
  <c r="AT13" i="62"/>
  <c r="E13" i="62"/>
  <c r="F13" i="62" s="1"/>
  <c r="C13" i="62"/>
  <c r="D13" i="62" s="1"/>
  <c r="AY7" i="62"/>
  <c r="AW7" i="62"/>
  <c r="AT7" i="62"/>
  <c r="AE7" i="62"/>
  <c r="AP6" i="62"/>
  <c r="AO28" i="62" s="1"/>
  <c r="AN6" i="62"/>
  <c r="AN28" i="62" s="1"/>
  <c r="AL6" i="62"/>
  <c r="AK28" i="62" s="1"/>
  <c r="AJ6" i="62"/>
  <c r="AJ28" i="62" s="1"/>
  <c r="AH6" i="62"/>
  <c r="AG28" i="62" s="1"/>
  <c r="AP5" i="62"/>
  <c r="AN5" i="62"/>
  <c r="AN27" i="62" s="1"/>
  <c r="AL5" i="62"/>
  <c r="AL27" i="62" s="1"/>
  <c r="AJ5" i="62"/>
  <c r="AJ27" i="62" s="1"/>
  <c r="AH5" i="62"/>
  <c r="AP4" i="62"/>
  <c r="AP26" i="62" s="1"/>
  <c r="AN4" i="62"/>
  <c r="AM26" i="62" s="1"/>
  <c r="AL4" i="62"/>
  <c r="AL26" i="62" s="1"/>
  <c r="AJ4" i="62"/>
  <c r="AI26" i="62" s="1"/>
  <c r="AH4" i="62"/>
  <c r="AH26" i="62" s="1"/>
  <c r="C4" i="62"/>
  <c r="AP3" i="62"/>
  <c r="AP25" i="62" s="1"/>
  <c r="AN3" i="62"/>
  <c r="AL3" i="62"/>
  <c r="AL25" i="62" s="1"/>
  <c r="AJ3" i="62"/>
  <c r="AJ25" i="62" s="1"/>
  <c r="AH3" i="62"/>
  <c r="AH25" i="62" s="1"/>
  <c r="AP2" i="62"/>
  <c r="AN2" i="62"/>
  <c r="AN24" i="62" s="1"/>
  <c r="AL2" i="62"/>
  <c r="AL24" i="62" s="1"/>
  <c r="AJ2" i="62"/>
  <c r="AJ24" i="62" s="1"/>
  <c r="AH2" i="62"/>
  <c r="C111" i="1"/>
  <c r="D100" i="1"/>
  <c r="C100" i="1"/>
  <c r="D99" i="1"/>
  <c r="C99" i="1"/>
  <c r="D98" i="1"/>
  <c r="C98" i="1"/>
  <c r="F92" i="1"/>
  <c r="G92" i="1" s="1"/>
  <c r="E92" i="1"/>
  <c r="E91" i="1"/>
  <c r="F91" i="1" s="1"/>
  <c r="G91" i="1" s="1"/>
  <c r="F90" i="1"/>
  <c r="G90" i="1" s="1"/>
  <c r="E90" i="1"/>
  <c r="E89" i="1"/>
  <c r="E88" i="1"/>
  <c r="E87" i="1"/>
  <c r="E86" i="1"/>
  <c r="F86" i="1" s="1"/>
  <c r="F85" i="1"/>
  <c r="G85" i="1" s="1"/>
  <c r="E85" i="1"/>
  <c r="E84" i="1"/>
  <c r="F84" i="1" s="1"/>
  <c r="G84" i="1" s="1"/>
  <c r="F83" i="1"/>
  <c r="G83" i="1" s="1"/>
  <c r="E83" i="1"/>
  <c r="E82" i="1"/>
  <c r="F82" i="1" s="1"/>
  <c r="G82" i="1" s="1"/>
  <c r="E81" i="1"/>
  <c r="E80" i="1"/>
  <c r="F80" i="1" s="1"/>
  <c r="G80" i="1" s="1"/>
  <c r="E79" i="1"/>
  <c r="F79" i="1" s="1"/>
  <c r="F78" i="1"/>
  <c r="G78" i="1" s="1"/>
  <c r="E78" i="1"/>
  <c r="E77" i="1"/>
  <c r="F77" i="1" s="1"/>
  <c r="G77" i="1" s="1"/>
  <c r="F76" i="1"/>
  <c r="G76" i="1" s="1"/>
  <c r="E76" i="1"/>
  <c r="E75" i="1"/>
  <c r="E74" i="1"/>
  <c r="E73" i="1"/>
  <c r="E72" i="1"/>
  <c r="F72" i="1" s="1"/>
  <c r="J68" i="1"/>
  <c r="H68" i="1"/>
  <c r="G68" i="1"/>
  <c r="I68" i="1" s="1"/>
  <c r="K68" i="1" s="1"/>
  <c r="J67" i="1"/>
  <c r="H67" i="1"/>
  <c r="I67" i="1" s="1"/>
  <c r="K67" i="1" s="1"/>
  <c r="G67" i="1"/>
  <c r="J66" i="1"/>
  <c r="I66" i="1"/>
  <c r="K66" i="1" s="1"/>
  <c r="H66" i="1"/>
  <c r="G66" i="1"/>
  <c r="J65" i="1"/>
  <c r="H65" i="1"/>
  <c r="G65" i="1"/>
  <c r="I65" i="1" s="1"/>
  <c r="K65" i="1" s="1"/>
  <c r="B61" i="1"/>
  <c r="H46" i="2"/>
  <c r="E42" i="7" s="1"/>
  <c r="I45" i="2"/>
  <c r="H45" i="2"/>
  <c r="E41" i="7" s="1"/>
  <c r="H44" i="2"/>
  <c r="E40" i="7" s="1"/>
  <c r="H43" i="2"/>
  <c r="E39" i="7" s="1"/>
  <c r="H42" i="2"/>
  <c r="E38" i="7" s="1"/>
  <c r="C42" i="2"/>
  <c r="I41" i="2"/>
  <c r="H41" i="2"/>
  <c r="E37" i="7" s="1"/>
  <c r="C41" i="2"/>
  <c r="C40" i="2"/>
  <c r="F36" i="2"/>
  <c r="F41" i="7" s="1"/>
  <c r="F35" i="2"/>
  <c r="F39" i="7" s="1"/>
  <c r="F34" i="2"/>
  <c r="F37" i="7" s="1"/>
  <c r="Q30" i="2"/>
  <c r="P30" i="2"/>
  <c r="D30" i="2"/>
  <c r="C30" i="2"/>
  <c r="Q29" i="2"/>
  <c r="P29" i="2"/>
  <c r="D29" i="2"/>
  <c r="C29" i="2"/>
  <c r="Q28" i="2"/>
  <c r="P28" i="2"/>
  <c r="D28" i="2"/>
  <c r="C28" i="2"/>
  <c r="Q27" i="2"/>
  <c r="P27" i="2"/>
  <c r="D27" i="2"/>
  <c r="C27" i="2"/>
  <c r="Q26" i="2"/>
  <c r="P26" i="2"/>
  <c r="D26" i="2"/>
  <c r="C26" i="2"/>
  <c r="Q25" i="2"/>
  <c r="P25" i="2"/>
  <c r="D25" i="2"/>
  <c r="C25" i="2"/>
  <c r="D24" i="2"/>
  <c r="C24" i="2"/>
  <c r="K20" i="2"/>
  <c r="F20" i="2"/>
  <c r="J20" i="2" s="1"/>
  <c r="K19" i="2"/>
  <c r="H19" i="2"/>
  <c r="H66" i="7" s="1"/>
  <c r="F19" i="2"/>
  <c r="F66" i="7" s="1"/>
  <c r="F18" i="2"/>
  <c r="E95" i="7" s="1"/>
  <c r="G17" i="2"/>
  <c r="K17" i="2" s="1"/>
  <c r="F16" i="2"/>
  <c r="K16" i="2" s="1"/>
  <c r="H15" i="2"/>
  <c r="G92" i="7" s="1"/>
  <c r="L92" i="7" s="1"/>
  <c r="M92" i="7" s="1"/>
  <c r="N92" i="7" s="1"/>
  <c r="G15" i="2"/>
  <c r="G62" i="7" s="1"/>
  <c r="K14" i="2"/>
  <c r="J14" i="2"/>
  <c r="I14" i="2"/>
  <c r="D40" i="2" s="1"/>
  <c r="E40" i="2" s="1"/>
  <c r="H14" i="2"/>
  <c r="H81" i="7" s="1"/>
  <c r="F14" i="2"/>
  <c r="F57" i="7" s="1"/>
  <c r="G10" i="2"/>
  <c r="F10" i="2"/>
  <c r="G9" i="2"/>
  <c r="F9" i="2"/>
  <c r="G8" i="2"/>
  <c r="F8" i="2"/>
  <c r="G7" i="2"/>
  <c r="F7" i="2"/>
  <c r="G6" i="2"/>
  <c r="F6" i="2"/>
  <c r="G5" i="2"/>
  <c r="F5" i="2"/>
  <c r="G4" i="2"/>
  <c r="F4" i="2"/>
  <c r="Q98" i="66" l="1"/>
  <c r="Q173" i="66"/>
  <c r="Q19" i="66"/>
  <c r="Q31" i="66"/>
  <c r="Q80" i="66"/>
  <c r="Q8" i="66"/>
  <c r="Q23" i="66"/>
  <c r="Q35" i="66"/>
  <c r="Q78" i="66"/>
  <c r="Q86" i="66"/>
  <c r="Q92" i="66"/>
  <c r="Q167" i="66"/>
  <c r="Q189" i="66"/>
  <c r="Q57" i="66"/>
  <c r="Q84" i="66"/>
  <c r="Q90" i="66"/>
  <c r="Q106" i="66"/>
  <c r="Q117" i="66"/>
  <c r="Q158" i="66"/>
  <c r="Q9" i="66"/>
  <c r="Q29" i="66"/>
  <c r="Q82" i="66"/>
  <c r="Q104" i="66"/>
  <c r="Q150" i="66"/>
  <c r="Q195" i="66"/>
  <c r="H78" i="1"/>
  <c r="C117" i="62"/>
  <c r="C179" i="62"/>
  <c r="H14" i="34"/>
  <c r="L9" i="25"/>
  <c r="K14" i="26"/>
  <c r="CB4" i="49"/>
  <c r="T81" i="49" s="1"/>
  <c r="G49" i="7"/>
  <c r="F47" i="7"/>
  <c r="AC4" i="49"/>
  <c r="E47" i="7"/>
  <c r="F49" i="7"/>
  <c r="BY4" i="49"/>
  <c r="E49" i="7"/>
  <c r="F52" i="7"/>
  <c r="E52" i="7"/>
  <c r="F73" i="1"/>
  <c r="G73" i="1" s="1"/>
  <c r="H76" i="1"/>
  <c r="G79" i="1"/>
  <c r="F81" i="1"/>
  <c r="G81" i="1" s="1"/>
  <c r="J85" i="1" s="1"/>
  <c r="K85" i="1" s="1"/>
  <c r="H85" i="1"/>
  <c r="F89" i="1"/>
  <c r="G89" i="1" s="1"/>
  <c r="C34" i="32"/>
  <c r="E34" i="32" s="1"/>
  <c r="C39" i="32"/>
  <c r="E39" i="32" s="1"/>
  <c r="K98" i="62"/>
  <c r="J98" i="62"/>
  <c r="K102" i="62"/>
  <c r="J102" i="62"/>
  <c r="K106" i="62"/>
  <c r="J106" i="62"/>
  <c r="H18" i="27"/>
  <c r="H19" i="27" s="1"/>
  <c r="H20" i="27" s="1"/>
  <c r="H21" i="27" s="1"/>
  <c r="H22" i="27" s="1"/>
  <c r="H23" i="27" s="1"/>
  <c r="H24" i="27" s="1"/>
  <c r="H25" i="27" s="1"/>
  <c r="H26" i="27" s="1"/>
  <c r="C115" i="62"/>
  <c r="C177" i="62"/>
  <c r="D20" i="27"/>
  <c r="C33" i="27"/>
  <c r="D32" i="27" s="1"/>
  <c r="L117" i="62"/>
  <c r="L118" i="62"/>
  <c r="L116" i="62"/>
  <c r="L114" i="62"/>
  <c r="L112" i="62"/>
  <c r="L110" i="62"/>
  <c r="H10" i="34"/>
  <c r="K10" i="26"/>
  <c r="AM33" i="7"/>
  <c r="AE39" i="7"/>
  <c r="Q21" i="7"/>
  <c r="CI12" i="7"/>
  <c r="CR12" i="7" s="1"/>
  <c r="DA12" i="7" s="1"/>
  <c r="DJ12" i="7" s="1"/>
  <c r="DS12" i="7" s="1"/>
  <c r="EB12" i="7" s="1"/>
  <c r="EK12" i="7" s="1"/>
  <c r="FA10" i="49"/>
  <c r="EC10" i="49"/>
  <c r="DE10" i="49"/>
  <c r="CG10" i="49"/>
  <c r="BI10" i="49"/>
  <c r="AK10" i="49"/>
  <c r="M10" i="49"/>
  <c r="DI10" i="49"/>
  <c r="BM10" i="49"/>
  <c r="Q10" i="49"/>
  <c r="F108" i="7"/>
  <c r="EF10" i="49"/>
  <c r="AD127" i="49" s="1"/>
  <c r="DC10" i="49"/>
  <c r="V127" i="49" s="1"/>
  <c r="CJ10" i="49"/>
  <c r="T127" i="49" s="1"/>
  <c r="BG10" i="49"/>
  <c r="L127" i="49" s="1"/>
  <c r="AN10" i="49"/>
  <c r="J127" i="49" s="1"/>
  <c r="AI10" i="49"/>
  <c r="G127" i="49" s="1"/>
  <c r="K10" i="49"/>
  <c r="B127" i="49" s="1"/>
  <c r="S75" i="6"/>
  <c r="S81" i="6"/>
  <c r="F48" i="7"/>
  <c r="CW4" i="49"/>
  <c r="E48" i="7"/>
  <c r="H91" i="1"/>
  <c r="C40" i="32"/>
  <c r="E40" i="32" s="1"/>
  <c r="C42" i="32"/>
  <c r="E42" i="32" s="1"/>
  <c r="C44" i="32"/>
  <c r="E44" i="32" s="1"/>
  <c r="K99" i="62"/>
  <c r="J99" i="62"/>
  <c r="B28" i="60"/>
  <c r="DB6" i="7"/>
  <c r="DK6" i="7" s="1"/>
  <c r="DT6" i="7" s="1"/>
  <c r="EC6" i="7" s="1"/>
  <c r="EL6" i="7" s="1"/>
  <c r="CI8" i="7"/>
  <c r="CR8" i="7" s="1"/>
  <c r="DA8" i="7" s="1"/>
  <c r="DJ8" i="7" s="1"/>
  <c r="DS8" i="7" s="1"/>
  <c r="EB8" i="7" s="1"/>
  <c r="EK8" i="7" s="1"/>
  <c r="AE35" i="7"/>
  <c r="Q17" i="7"/>
  <c r="DX4" i="49"/>
  <c r="AD81" i="49" s="1"/>
  <c r="G51" i="7"/>
  <c r="H77" i="1"/>
  <c r="C38" i="32"/>
  <c r="E38" i="32" s="1"/>
  <c r="C43" i="32"/>
  <c r="E43" i="32" s="1"/>
  <c r="F86" i="62"/>
  <c r="K97" i="62"/>
  <c r="J97" i="62"/>
  <c r="K101" i="62"/>
  <c r="J101" i="62"/>
  <c r="K105" i="62"/>
  <c r="J105" i="62"/>
  <c r="C111" i="62"/>
  <c r="L111" i="62" s="1"/>
  <c r="C173" i="62"/>
  <c r="H182" i="62" s="1"/>
  <c r="J18" i="27"/>
  <c r="J19" i="27" s="1"/>
  <c r="J20" i="27" s="1"/>
  <c r="J21" i="27" s="1"/>
  <c r="J22" i="27" s="1"/>
  <c r="J23" i="27" s="1"/>
  <c r="J24" i="27" s="1"/>
  <c r="J25" i="27" s="1"/>
  <c r="J26" i="27" s="1"/>
  <c r="C113" i="62"/>
  <c r="L113" i="62" s="1"/>
  <c r="C175" i="62"/>
  <c r="M32" i="60"/>
  <c r="P26" i="60"/>
  <c r="O26" i="60"/>
  <c r="H5" i="34"/>
  <c r="K5" i="26"/>
  <c r="DB7" i="7"/>
  <c r="DK7" i="7" s="1"/>
  <c r="DT7" i="7" s="1"/>
  <c r="EC7" i="7" s="1"/>
  <c r="EL7" i="7" s="1"/>
  <c r="DB11" i="7"/>
  <c r="DK11" i="7" s="1"/>
  <c r="DT11" i="7" s="1"/>
  <c r="EC11" i="7" s="1"/>
  <c r="EL11" i="7" s="1"/>
  <c r="Z18" i="7"/>
  <c r="Z14" i="7"/>
  <c r="Z19" i="7"/>
  <c r="Z12" i="7"/>
  <c r="Z10" i="7"/>
  <c r="Z4" i="7"/>
  <c r="AE31" i="7"/>
  <c r="Z17" i="7"/>
  <c r="Z13" i="7"/>
  <c r="Q13" i="7"/>
  <c r="Z9" i="7"/>
  <c r="Z8" i="7"/>
  <c r="Z6" i="7"/>
  <c r="Z5" i="7"/>
  <c r="CI4" i="7"/>
  <c r="AM32" i="7"/>
  <c r="DB14" i="7"/>
  <c r="DK14" i="7" s="1"/>
  <c r="DT14" i="7" s="1"/>
  <c r="EC14" i="7" s="1"/>
  <c r="EL14" i="7" s="1"/>
  <c r="CI7" i="7"/>
  <c r="CR7" i="7" s="1"/>
  <c r="DA7" i="7" s="1"/>
  <c r="DJ7" i="7" s="1"/>
  <c r="DS7" i="7" s="1"/>
  <c r="EB7" i="7" s="1"/>
  <c r="EK7" i="7" s="1"/>
  <c r="Q16" i="7"/>
  <c r="AE34" i="7"/>
  <c r="AM36" i="7"/>
  <c r="BE4" i="49"/>
  <c r="I4" i="49"/>
  <c r="AF4" i="49"/>
  <c r="J81" i="49" s="1"/>
  <c r="G47" i="7"/>
  <c r="G72" i="1"/>
  <c r="F74" i="1"/>
  <c r="G74" i="1" s="1"/>
  <c r="J82" i="1"/>
  <c r="K82" i="1" s="1"/>
  <c r="H82" i="1"/>
  <c r="C37" i="32"/>
  <c r="E37" i="32" s="1"/>
  <c r="K103" i="62"/>
  <c r="J103" i="62"/>
  <c r="H9" i="34"/>
  <c r="K9" i="26"/>
  <c r="F50" i="7"/>
  <c r="ES4" i="49"/>
  <c r="E50" i="7"/>
  <c r="J80" i="1"/>
  <c r="K80" i="1" s="1"/>
  <c r="H80" i="1"/>
  <c r="J83" i="1"/>
  <c r="K83" i="1" s="1"/>
  <c r="H83" i="1"/>
  <c r="G86" i="1"/>
  <c r="J91" i="1" s="1"/>
  <c r="K91" i="1" s="1"/>
  <c r="F88" i="1"/>
  <c r="G88" i="1" s="1"/>
  <c r="H92" i="1"/>
  <c r="C36" i="32"/>
  <c r="E36" i="32" s="1"/>
  <c r="C41" i="32"/>
  <c r="E41" i="32" s="1"/>
  <c r="C45" i="32"/>
  <c r="E45" i="32" s="1"/>
  <c r="F51" i="7"/>
  <c r="DU4" i="49"/>
  <c r="E51" i="7"/>
  <c r="F75" i="1"/>
  <c r="G75" i="1" s="1"/>
  <c r="J84" i="1"/>
  <c r="K84" i="1" s="1"/>
  <c r="H84" i="1"/>
  <c r="F87" i="1"/>
  <c r="G87" i="1" s="1"/>
  <c r="H90" i="1"/>
  <c r="F88" i="62"/>
  <c r="K96" i="62"/>
  <c r="J96" i="62"/>
  <c r="K100" i="62"/>
  <c r="J100" i="62"/>
  <c r="K104" i="62"/>
  <c r="J104" i="62"/>
  <c r="C181" i="62"/>
  <c r="C119" i="62"/>
  <c r="F18" i="27"/>
  <c r="F19" i="27" s="1"/>
  <c r="F20" i="27" s="1"/>
  <c r="F21" i="27" s="1"/>
  <c r="F22" i="27" s="1"/>
  <c r="F23" i="27" s="1"/>
  <c r="F24" i="27" s="1"/>
  <c r="F25" i="27" s="1"/>
  <c r="F26" i="27" s="1"/>
  <c r="H6" i="34"/>
  <c r="K6" i="26"/>
  <c r="H8" i="34"/>
  <c r="K8" i="26"/>
  <c r="H12" i="34"/>
  <c r="K12" i="26"/>
  <c r="L8" i="25"/>
  <c r="H13" i="34"/>
  <c r="K13" i="26"/>
  <c r="AE38" i="7"/>
  <c r="CI11" i="7"/>
  <c r="CR11" i="7" s="1"/>
  <c r="DA11" i="7" s="1"/>
  <c r="DJ11" i="7" s="1"/>
  <c r="DS11" i="7" s="1"/>
  <c r="EB11" i="7" s="1"/>
  <c r="EK11" i="7" s="1"/>
  <c r="Q20" i="7"/>
  <c r="AM40" i="7"/>
  <c r="AM42" i="7"/>
  <c r="M17" i="62"/>
  <c r="AK24" i="62"/>
  <c r="AI25" i="62"/>
  <c r="AN26" i="62"/>
  <c r="AK27" i="62"/>
  <c r="AH28" i="62"/>
  <c r="AP28" i="62"/>
  <c r="C35" i="32"/>
  <c r="E35" i="32" s="1"/>
  <c r="H48" i="62"/>
  <c r="H49" i="62"/>
  <c r="H50" i="62"/>
  <c r="H51" i="62"/>
  <c r="H52" i="62"/>
  <c r="H53" i="62"/>
  <c r="J84" i="62"/>
  <c r="J86" i="62"/>
  <c r="J88" i="62"/>
  <c r="J90" i="62"/>
  <c r="J92" i="62"/>
  <c r="J94" i="62"/>
  <c r="J118" i="62"/>
  <c r="Z17" i="27"/>
  <c r="Z21" i="27"/>
  <c r="Z25" i="27"/>
  <c r="Z30" i="27"/>
  <c r="Z32" i="27"/>
  <c r="AB33" i="27"/>
  <c r="AD33" i="27" s="1"/>
  <c r="D27" i="60"/>
  <c r="H13" i="7"/>
  <c r="K13" i="7" s="1"/>
  <c r="Z7" i="7" s="1"/>
  <c r="N15" i="7"/>
  <c r="S15" i="7"/>
  <c r="H16" i="7"/>
  <c r="K16" i="7" s="1"/>
  <c r="N19" i="7"/>
  <c r="S19" i="7"/>
  <c r="H20" i="7"/>
  <c r="K20" i="7" s="1"/>
  <c r="S23" i="7"/>
  <c r="H24" i="7"/>
  <c r="K24" i="7" s="1"/>
  <c r="T24" i="7"/>
  <c r="G37" i="7"/>
  <c r="AG4" i="49" s="1"/>
  <c r="C46" i="7"/>
  <c r="C48" i="7"/>
  <c r="F56" i="7"/>
  <c r="G59" i="7"/>
  <c r="H60" i="7"/>
  <c r="H62" i="7"/>
  <c r="G64" i="7"/>
  <c r="H67" i="7"/>
  <c r="E91" i="7"/>
  <c r="E93" i="7"/>
  <c r="M93" i="7" s="1"/>
  <c r="N93" i="7" s="1"/>
  <c r="F94" i="7"/>
  <c r="G96" i="7"/>
  <c r="L96" i="7" s="1"/>
  <c r="D108" i="7"/>
  <c r="D110" i="7"/>
  <c r="D112" i="7"/>
  <c r="F118" i="7"/>
  <c r="C4" i="49"/>
  <c r="B81" i="49" s="1"/>
  <c r="AY4" i="49"/>
  <c r="L81" i="49" s="1"/>
  <c r="CU4" i="49"/>
  <c r="V81" i="49" s="1"/>
  <c r="E5" i="49"/>
  <c r="AA5" i="49"/>
  <c r="G82" i="49" s="1"/>
  <c r="AF5" i="49"/>
  <c r="J82" i="49" s="1"/>
  <c r="BA5" i="49"/>
  <c r="CB5" i="49"/>
  <c r="T82" i="49" s="1"/>
  <c r="CW5" i="49"/>
  <c r="DX5" i="49"/>
  <c r="AD82" i="49" s="1"/>
  <c r="ES5" i="49"/>
  <c r="C6" i="49"/>
  <c r="B83" i="49" s="1"/>
  <c r="AC6" i="49"/>
  <c r="AY6" i="49"/>
  <c r="L83" i="49" s="1"/>
  <c r="BY6" i="49"/>
  <c r="CU6" i="49"/>
  <c r="V83" i="49" s="1"/>
  <c r="DU6" i="49"/>
  <c r="E7" i="49"/>
  <c r="AA7" i="49"/>
  <c r="G84" i="49" s="1"/>
  <c r="AF7" i="49"/>
  <c r="J84" i="49" s="1"/>
  <c r="BA7" i="49"/>
  <c r="CB7" i="49"/>
  <c r="T84" i="49" s="1"/>
  <c r="CW7" i="49"/>
  <c r="DX7" i="49"/>
  <c r="AD84" i="49" s="1"/>
  <c r="ES7" i="49"/>
  <c r="C8" i="49"/>
  <c r="B85" i="49" s="1"/>
  <c r="AC8" i="49"/>
  <c r="AY8" i="49"/>
  <c r="L85" i="49" s="1"/>
  <c r="BY8" i="49"/>
  <c r="CU8" i="49"/>
  <c r="V85" i="49" s="1"/>
  <c r="DU8" i="49"/>
  <c r="E9" i="49"/>
  <c r="K9" i="49"/>
  <c r="B126" i="49" s="1"/>
  <c r="AC9" i="49"/>
  <c r="AI9" i="49"/>
  <c r="G126" i="49" s="1"/>
  <c r="AN9" i="49"/>
  <c r="J126" i="49" s="1"/>
  <c r="BA9" i="49"/>
  <c r="BG9" i="49"/>
  <c r="L126" i="49" s="1"/>
  <c r="BY9" i="49"/>
  <c r="CJ9" i="49"/>
  <c r="T126" i="49" s="1"/>
  <c r="CW9" i="49"/>
  <c r="DC9" i="49"/>
  <c r="V126" i="49" s="1"/>
  <c r="DU9" i="49"/>
  <c r="EF9" i="49"/>
  <c r="AD126" i="49" s="1"/>
  <c r="ES9" i="49"/>
  <c r="I17" i="2"/>
  <c r="D43" i="2" s="1"/>
  <c r="E43" i="2" s="1"/>
  <c r="I40" i="2"/>
  <c r="I44" i="2"/>
  <c r="F15" i="62"/>
  <c r="C7" i="62" s="1"/>
  <c r="P16" i="62" s="1"/>
  <c r="N16" i="62" s="1"/>
  <c r="AK26" i="62"/>
  <c r="AI28" i="62"/>
  <c r="Z5" i="27"/>
  <c r="Z18" i="27"/>
  <c r="Z22" i="27"/>
  <c r="Z26" i="27"/>
  <c r="C29" i="60"/>
  <c r="CS4" i="7"/>
  <c r="CS10" i="7"/>
  <c r="G14" i="7"/>
  <c r="Z27" i="7" s="1"/>
  <c r="S14" i="7"/>
  <c r="T15" i="7"/>
  <c r="G18" i="7"/>
  <c r="S18" i="7"/>
  <c r="T19" i="7"/>
  <c r="G22" i="7"/>
  <c r="S22" i="7"/>
  <c r="Q24" i="7"/>
  <c r="F36" i="7"/>
  <c r="AE37" i="7"/>
  <c r="F38" i="7"/>
  <c r="CZ8" i="49" s="1"/>
  <c r="Y85" i="49" s="1"/>
  <c r="F40" i="7"/>
  <c r="AE41" i="7"/>
  <c r="F42" i="7"/>
  <c r="G52" i="7" s="1"/>
  <c r="H57" i="7"/>
  <c r="F58" i="7"/>
  <c r="H59" i="7"/>
  <c r="G61" i="7"/>
  <c r="G63" i="7"/>
  <c r="F71" i="7"/>
  <c r="F73" i="7"/>
  <c r="F75" i="7"/>
  <c r="F76" i="7"/>
  <c r="F77" i="7"/>
  <c r="F81" i="7"/>
  <c r="W81" i="7" s="1"/>
  <c r="F83" i="7"/>
  <c r="W83" i="7" s="1"/>
  <c r="F85" i="7"/>
  <c r="W85" i="7" s="1"/>
  <c r="F86" i="7"/>
  <c r="W86" i="7" s="1"/>
  <c r="F87" i="7"/>
  <c r="W87" i="7" s="1"/>
  <c r="F92" i="7"/>
  <c r="O94" i="7"/>
  <c r="U94" i="7" s="1"/>
  <c r="V94" i="7" s="1"/>
  <c r="O95" i="7"/>
  <c r="U95" i="7" s="1"/>
  <c r="V95" i="7" s="1"/>
  <c r="Q96" i="7"/>
  <c r="R96" i="7" s="1"/>
  <c r="V96" i="7"/>
  <c r="Q97" i="7"/>
  <c r="R97" i="7" s="1"/>
  <c r="H118" i="7"/>
  <c r="AG5" i="49"/>
  <c r="I6" i="49"/>
  <c r="BE6" i="49"/>
  <c r="DA6" i="49"/>
  <c r="AG7" i="49"/>
  <c r="I8" i="49"/>
  <c r="BE8" i="49"/>
  <c r="DA8" i="49"/>
  <c r="Q9" i="49"/>
  <c r="AO9" i="49"/>
  <c r="BM9" i="49"/>
  <c r="DI9" i="49"/>
  <c r="I15" i="2"/>
  <c r="D41" i="2" s="1"/>
  <c r="E41" i="2" s="1"/>
  <c r="I18" i="2"/>
  <c r="D44" i="2" s="1"/>
  <c r="E44" i="2" s="1"/>
  <c r="J15" i="2"/>
  <c r="J16" i="2"/>
  <c r="J17" i="2"/>
  <c r="J18" i="2"/>
  <c r="I19" i="2"/>
  <c r="D45" i="2" s="1"/>
  <c r="E45" i="2" s="1"/>
  <c r="I20" i="2"/>
  <c r="D46" i="2" s="1"/>
  <c r="E46" i="2" s="1"/>
  <c r="I43" i="2"/>
  <c r="M13" i="62"/>
  <c r="N13" i="62" s="1"/>
  <c r="F16" i="62"/>
  <c r="D17" i="62"/>
  <c r="D14" i="62" s="1"/>
  <c r="C14" i="62" s="1"/>
  <c r="AI24" i="62"/>
  <c r="AM24" i="62"/>
  <c r="AG25" i="62"/>
  <c r="AK25" i="62"/>
  <c r="AO25" i="62"/>
  <c r="AI27" i="62"/>
  <c r="AM27" i="62"/>
  <c r="F48" i="62"/>
  <c r="F49" i="62"/>
  <c r="F50" i="62"/>
  <c r="F51" i="62"/>
  <c r="F52" i="62"/>
  <c r="F53" i="62"/>
  <c r="Z31" i="27"/>
  <c r="Z33" i="27"/>
  <c r="C28" i="60"/>
  <c r="D29" i="60"/>
  <c r="T14" i="7"/>
  <c r="Q15" i="7"/>
  <c r="G17" i="7"/>
  <c r="S17" i="7"/>
  <c r="T18" i="7"/>
  <c r="G21" i="7"/>
  <c r="S21" i="7"/>
  <c r="T22" i="7"/>
  <c r="E46" i="7"/>
  <c r="C47" i="7"/>
  <c r="H56" i="7"/>
  <c r="H61" i="7"/>
  <c r="G65" i="7"/>
  <c r="F67" i="7"/>
  <c r="G72" i="7"/>
  <c r="G74" i="7"/>
  <c r="G82" i="7"/>
  <c r="W82" i="7" s="1"/>
  <c r="G84" i="7"/>
  <c r="W84" i="7" s="1"/>
  <c r="G91" i="7"/>
  <c r="L91" i="7" s="1"/>
  <c r="M91" i="7" s="1"/>
  <c r="N91" i="7" s="1"/>
  <c r="O91" i="7"/>
  <c r="U91" i="7"/>
  <c r="V91" i="7" s="1"/>
  <c r="O92" i="7"/>
  <c r="U92" i="7"/>
  <c r="V92" i="7" s="1"/>
  <c r="W92" i="7" s="1"/>
  <c r="Y92" i="7" s="1"/>
  <c r="E11" i="6" s="1"/>
  <c r="O93" i="7"/>
  <c r="U93" i="7"/>
  <c r="V93" i="7" s="1"/>
  <c r="Q94" i="7"/>
  <c r="R94" i="7" s="1"/>
  <c r="Q95" i="7"/>
  <c r="R95" i="7" s="1"/>
  <c r="E96" i="7"/>
  <c r="M96" i="7"/>
  <c r="N96" i="7" s="1"/>
  <c r="E97" i="7"/>
  <c r="V97" i="7" s="1"/>
  <c r="M97" i="7"/>
  <c r="N97" i="7" s="1"/>
  <c r="D107" i="7"/>
  <c r="D109" i="7"/>
  <c r="D111" i="7"/>
  <c r="E4" i="49"/>
  <c r="BA4" i="49"/>
  <c r="C5" i="49"/>
  <c r="B82" i="49" s="1"/>
  <c r="H5" i="49"/>
  <c r="E82" i="49" s="1"/>
  <c r="AC5" i="49"/>
  <c r="AY5" i="49"/>
  <c r="L82" i="49" s="1"/>
  <c r="BD5" i="49"/>
  <c r="O82" i="49" s="1"/>
  <c r="BY5" i="49"/>
  <c r="CU5" i="49"/>
  <c r="V82" i="49" s="1"/>
  <c r="CZ5" i="49"/>
  <c r="Y82" i="49" s="1"/>
  <c r="DU5" i="49"/>
  <c r="EV5" i="49"/>
  <c r="AI82" i="49" s="1"/>
  <c r="E6" i="49"/>
  <c r="AA6" i="49"/>
  <c r="G83" i="49" s="1"/>
  <c r="AF6" i="49"/>
  <c r="J83" i="49" s="1"/>
  <c r="BA6" i="49"/>
  <c r="CB6" i="49"/>
  <c r="T83" i="49" s="1"/>
  <c r="CW6" i="49"/>
  <c r="DX6" i="49"/>
  <c r="AD83" i="49" s="1"/>
  <c r="ES6" i="49"/>
  <c r="C7" i="49"/>
  <c r="B84" i="49" s="1"/>
  <c r="H7" i="49"/>
  <c r="E84" i="49" s="1"/>
  <c r="AC7" i="49"/>
  <c r="AY7" i="49"/>
  <c r="L84" i="49" s="1"/>
  <c r="BD7" i="49"/>
  <c r="O84" i="49" s="1"/>
  <c r="BY7" i="49"/>
  <c r="CU7" i="49"/>
  <c r="V84" i="49" s="1"/>
  <c r="CZ7" i="49"/>
  <c r="Y84" i="49" s="1"/>
  <c r="DU7" i="49"/>
  <c r="EV7" i="49"/>
  <c r="AI84" i="49" s="1"/>
  <c r="E8" i="49"/>
  <c r="AA8" i="49"/>
  <c r="G85" i="49" s="1"/>
  <c r="AF8" i="49"/>
  <c r="J85" i="49" s="1"/>
  <c r="BA8" i="49"/>
  <c r="CB8" i="49"/>
  <c r="T85" i="49" s="1"/>
  <c r="CW8" i="49"/>
  <c r="DX8" i="49"/>
  <c r="AD85" i="49" s="1"/>
  <c r="ES8" i="49"/>
  <c r="C9" i="49"/>
  <c r="B86" i="49" s="1"/>
  <c r="H9" i="49"/>
  <c r="E86" i="49" s="1"/>
  <c r="M9" i="49"/>
  <c r="AA9" i="49"/>
  <c r="G86" i="49" s="1"/>
  <c r="AF9" i="49"/>
  <c r="J86" i="49" s="1"/>
  <c r="AK9" i="49"/>
  <c r="AY9" i="49"/>
  <c r="L86" i="49" s="1"/>
  <c r="BD9" i="49"/>
  <c r="O86" i="49" s="1"/>
  <c r="BI9" i="49"/>
  <c r="CB9" i="49"/>
  <c r="T86" i="49" s="1"/>
  <c r="CG9" i="49"/>
  <c r="CU9" i="49"/>
  <c r="V86" i="49" s="1"/>
  <c r="CZ9" i="49"/>
  <c r="Y86" i="49" s="1"/>
  <c r="DE9" i="49"/>
  <c r="DX9" i="49"/>
  <c r="AD86" i="49" s="1"/>
  <c r="EC9" i="49"/>
  <c r="EV9" i="49"/>
  <c r="AI86" i="49" s="1"/>
  <c r="FA9" i="49"/>
  <c r="I16" i="2"/>
  <c r="D42" i="2" s="1"/>
  <c r="E42" i="2" s="1"/>
  <c r="K15" i="2"/>
  <c r="K18" i="2"/>
  <c r="J19" i="2"/>
  <c r="I42" i="2"/>
  <c r="I46" i="2"/>
  <c r="C27" i="60"/>
  <c r="M17" i="60" s="1"/>
  <c r="AO29" i="25"/>
  <c r="AO26" i="25"/>
  <c r="AO12" i="25"/>
  <c r="AO23" i="25"/>
  <c r="AO21" i="25"/>
  <c r="AO19" i="25"/>
  <c r="AO15" i="25"/>
  <c r="AO10" i="25"/>
  <c r="AO8" i="25"/>
  <c r="AO17" i="25"/>
  <c r="AO13" i="25"/>
  <c r="G24" i="7"/>
  <c r="H58" i="7"/>
  <c r="G60" i="7"/>
  <c r="H71" i="7"/>
  <c r="W71" i="7" s="1"/>
  <c r="H72" i="7"/>
  <c r="W72" i="7" s="1"/>
  <c r="H76" i="7"/>
  <c r="W76" i="7" s="1"/>
  <c r="H82" i="7"/>
  <c r="H86" i="7"/>
  <c r="Q91" i="7"/>
  <c r="R91" i="7" s="1"/>
  <c r="Q92" i="7"/>
  <c r="R92" i="7" s="1"/>
  <c r="S92" i="7" s="1"/>
  <c r="Q93" i="7"/>
  <c r="R93" i="7" s="1"/>
  <c r="M94" i="7"/>
  <c r="N94" i="7" s="1"/>
  <c r="M95" i="7"/>
  <c r="N95" i="7" s="1"/>
  <c r="D118" i="7"/>
  <c r="I5" i="49"/>
  <c r="BE5" i="49"/>
  <c r="DA5" i="49"/>
  <c r="AG6" i="49"/>
  <c r="I7" i="49"/>
  <c r="BE7" i="49"/>
  <c r="DA7" i="49"/>
  <c r="AG8" i="49"/>
  <c r="I9" i="49"/>
  <c r="AG9" i="49"/>
  <c r="BE9" i="49"/>
  <c r="DA9" i="49"/>
  <c r="N4" i="26"/>
  <c r="N6" i="26"/>
  <c r="N8" i="26"/>
  <c r="N12" i="26"/>
  <c r="N14" i="26"/>
  <c r="N15" i="26"/>
  <c r="N7" i="26"/>
  <c r="N5" i="26"/>
  <c r="N10" i="26"/>
  <c r="N11" i="26"/>
  <c r="N13" i="26"/>
  <c r="N9" i="26"/>
  <c r="BV4" i="26"/>
  <c r="K167" i="39"/>
  <c r="K163" i="39"/>
  <c r="K159" i="39"/>
  <c r="K158" i="39"/>
  <c r="K154" i="39"/>
  <c r="K150" i="39"/>
  <c r="K145" i="39"/>
  <c r="K141" i="39"/>
  <c r="K166" i="39"/>
  <c r="K165" i="39"/>
  <c r="K148" i="39"/>
  <c r="K147" i="39"/>
  <c r="K164" i="39"/>
  <c r="K162" i="39"/>
  <c r="K161" i="39"/>
  <c r="K157" i="39"/>
  <c r="K156" i="39"/>
  <c r="K155" i="39"/>
  <c r="K153" i="39"/>
  <c r="K152" i="39"/>
  <c r="K151" i="39"/>
  <c r="K149" i="39"/>
  <c r="K146" i="39"/>
  <c r="K144" i="39"/>
  <c r="K143" i="39"/>
  <c r="K138" i="39"/>
  <c r="K160" i="39"/>
  <c r="K142" i="39"/>
  <c r="K140" i="39"/>
  <c r="K139" i="39"/>
  <c r="BK4" i="26"/>
  <c r="CC4" i="26"/>
  <c r="CC5" i="26"/>
  <c r="G6" i="26"/>
  <c r="CD6" i="26"/>
  <c r="CB8" i="26"/>
  <c r="CC9" i="26"/>
  <c r="G10" i="26"/>
  <c r="CD10" i="26"/>
  <c r="CB12" i="26"/>
  <c r="CC13" i="26"/>
  <c r="G14" i="26"/>
  <c r="CD14" i="26"/>
  <c r="F64" i="9"/>
  <c r="F60" i="9"/>
  <c r="F56" i="9"/>
  <c r="F52" i="9"/>
  <c r="F48" i="9"/>
  <c r="F44" i="9"/>
  <c r="U4" i="26"/>
  <c r="BL4" i="26"/>
  <c r="BI5" i="26" s="1"/>
  <c r="BJ5" i="26" s="1"/>
  <c r="CD4" i="26"/>
  <c r="CD5" i="26"/>
  <c r="CD9" i="26"/>
  <c r="CD13" i="26"/>
  <c r="BB25" i="5"/>
  <c r="AR4" i="26"/>
  <c r="BH4" i="26"/>
  <c r="CB33" i="26"/>
  <c r="AI33" i="26"/>
  <c r="BE4" i="5"/>
  <c r="BA34" i="5" s="1"/>
  <c r="BD4" i="5"/>
  <c r="BA24" i="5" s="1"/>
  <c r="BA14" i="5"/>
  <c r="CR16" i="5"/>
  <c r="CU4" i="5"/>
  <c r="CU16" i="5" s="1"/>
  <c r="AF42" i="6"/>
  <c r="AF41" i="6"/>
  <c r="J107" i="6" s="1"/>
  <c r="AF40" i="6"/>
  <c r="AV42" i="6"/>
  <c r="AV47" i="6"/>
  <c r="AV45" i="6"/>
  <c r="AH30" i="24" s="1"/>
  <c r="AV39" i="6"/>
  <c r="AV43" i="6"/>
  <c r="U18" i="5"/>
  <c r="AB18" i="5" s="1"/>
  <c r="T18" i="5"/>
  <c r="AA18" i="5" s="1"/>
  <c r="X18" i="5"/>
  <c r="AE18" i="5" s="1"/>
  <c r="S18" i="5"/>
  <c r="Z18" i="5" s="1"/>
  <c r="W18" i="5"/>
  <c r="AD18" i="5" s="1"/>
  <c r="AM27" i="6"/>
  <c r="AM23" i="6"/>
  <c r="M8" i="24" s="1"/>
  <c r="AM19" i="6"/>
  <c r="M4" i="24" s="1"/>
  <c r="AI35" i="6"/>
  <c r="AI31" i="6"/>
  <c r="AM45" i="6"/>
  <c r="AM39" i="6"/>
  <c r="AM48" i="6"/>
  <c r="M33" i="24" s="1"/>
  <c r="AM42" i="6"/>
  <c r="M27" i="24" s="1"/>
  <c r="AM41" i="6"/>
  <c r="H38" i="5"/>
  <c r="F38" i="5"/>
  <c r="L54" i="6"/>
  <c r="AT26" i="6"/>
  <c r="Q11" i="24" s="1"/>
  <c r="W26" i="6"/>
  <c r="AV26" i="6"/>
  <c r="AR26" i="6"/>
  <c r="F11" i="24"/>
  <c r="AK26" i="6"/>
  <c r="M92" i="6" s="1"/>
  <c r="AI26" i="6"/>
  <c r="AU26" i="6"/>
  <c r="AG11" i="24" s="1"/>
  <c r="AF26" i="6"/>
  <c r="AM26" i="6"/>
  <c r="AI36" i="6"/>
  <c r="V52" i="6"/>
  <c r="F6" i="23"/>
  <c r="AM6" i="24" s="1"/>
  <c r="H57" i="6"/>
  <c r="S57" i="6"/>
  <c r="E57" i="6"/>
  <c r="G57" i="6" s="1"/>
  <c r="N57" i="6"/>
  <c r="J57" i="6"/>
  <c r="S68" i="6"/>
  <c r="V75" i="6"/>
  <c r="V6" i="23"/>
  <c r="AC6" i="23" s="1"/>
  <c r="V22" i="23"/>
  <c r="AC22" i="23" s="1"/>
  <c r="CE11" i="5"/>
  <c r="CF11" i="5"/>
  <c r="CC5" i="5"/>
  <c r="I23" i="6"/>
  <c r="K23" i="6" s="1"/>
  <c r="C89" i="6" s="1"/>
  <c r="W8" i="5"/>
  <c r="AD8" i="5" s="1"/>
  <c r="R8" i="5"/>
  <c r="Y8" i="5" s="1"/>
  <c r="BB40" i="5"/>
  <c r="W12" i="5"/>
  <c r="AD12" i="5" s="1"/>
  <c r="R12" i="5"/>
  <c r="Y12" i="5" s="1"/>
  <c r="AK46" i="6"/>
  <c r="AK42" i="6"/>
  <c r="AK41" i="6"/>
  <c r="AK40" i="6"/>
  <c r="AC25" i="24" s="1"/>
  <c r="I30" i="6"/>
  <c r="K30" i="6" s="1"/>
  <c r="C96" i="6" s="1"/>
  <c r="R15" i="5"/>
  <c r="Y15" i="5" s="1"/>
  <c r="AK5" i="5"/>
  <c r="W15" i="5"/>
  <c r="AD15" i="5" s="1"/>
  <c r="I34" i="6"/>
  <c r="K34" i="6" s="1"/>
  <c r="C100" i="6" s="1"/>
  <c r="W19" i="5"/>
  <c r="AD19" i="5" s="1"/>
  <c r="R19" i="5"/>
  <c r="Y19" i="5" s="1"/>
  <c r="AN42" i="6"/>
  <c r="AN45" i="6"/>
  <c r="N30" i="24" s="1"/>
  <c r="AN39" i="6"/>
  <c r="BB28" i="5"/>
  <c r="I46" i="6"/>
  <c r="W31" i="5"/>
  <c r="AD31" i="5" s="1"/>
  <c r="R31" i="5"/>
  <c r="Y31" i="5" s="1"/>
  <c r="V31" i="5"/>
  <c r="AC31" i="5" s="1"/>
  <c r="U31" i="5"/>
  <c r="AB31" i="5" s="1"/>
  <c r="K31" i="6"/>
  <c r="C97" i="6" s="1"/>
  <c r="AT34" i="6"/>
  <c r="Q19" i="24" s="1"/>
  <c r="W34" i="6"/>
  <c r="X19" i="24" s="1"/>
  <c r="AV34" i="6"/>
  <c r="AR34" i="6"/>
  <c r="AJ34" i="6"/>
  <c r="AB19" i="24" s="1"/>
  <c r="AK34" i="6"/>
  <c r="AI34" i="6"/>
  <c r="AU34" i="6"/>
  <c r="AG19" i="24" s="1"/>
  <c r="AF34" i="6"/>
  <c r="AM34" i="6"/>
  <c r="M19" i="24" s="1"/>
  <c r="O106" i="6"/>
  <c r="N60" i="6"/>
  <c r="N59" i="6"/>
  <c r="BE5" i="5"/>
  <c r="BA35" i="5" s="1"/>
  <c r="N52" i="6"/>
  <c r="S4" i="24" s="1"/>
  <c r="BA15" i="5"/>
  <c r="N61" i="6"/>
  <c r="N54" i="6"/>
  <c r="S6" i="24" s="1"/>
  <c r="K22" i="6"/>
  <c r="C88" i="6" s="1"/>
  <c r="AU27" i="6"/>
  <c r="AU23" i="6"/>
  <c r="AG8" i="24" s="1"/>
  <c r="AU19" i="6"/>
  <c r="AG4" i="24" s="1"/>
  <c r="W14" i="5"/>
  <c r="AD14" i="5" s="1"/>
  <c r="S14" i="5"/>
  <c r="Z14" i="5" s="1"/>
  <c r="AF14" i="5" s="1"/>
  <c r="T14" i="5"/>
  <c r="AA14" i="5" s="1"/>
  <c r="X14" i="5"/>
  <c r="AE14" i="5" s="1"/>
  <c r="V14" i="5"/>
  <c r="AC14" i="5" s="1"/>
  <c r="CD22" i="5"/>
  <c r="AJ26" i="6" s="1"/>
  <c r="CF16" i="5"/>
  <c r="CF22" i="5" s="1"/>
  <c r="V18" i="5"/>
  <c r="AC18" i="5" s="1"/>
  <c r="K36" i="6"/>
  <c r="C102" i="6" s="1"/>
  <c r="AJ42" i="6"/>
  <c r="AB27" i="24" s="1"/>
  <c r="AJ39" i="6"/>
  <c r="L105" i="6" s="1"/>
  <c r="AJ47" i="6"/>
  <c r="AJ43" i="6"/>
  <c r="W27" i="5"/>
  <c r="AD27" i="5" s="1"/>
  <c r="S27" i="5"/>
  <c r="Z27" i="5" s="1"/>
  <c r="AF27" i="5" s="1"/>
  <c r="T27" i="5"/>
  <c r="AA27" i="5" s="1"/>
  <c r="X27" i="5"/>
  <c r="AE27" i="5" s="1"/>
  <c r="V27" i="5"/>
  <c r="AC27" i="5" s="1"/>
  <c r="I39" i="5"/>
  <c r="K39" i="5" s="1"/>
  <c r="L2" i="43"/>
  <c r="N7" i="43"/>
  <c r="H7" i="6"/>
  <c r="H8" i="6"/>
  <c r="I27" i="6"/>
  <c r="K27" i="6" s="1"/>
  <c r="C93" i="6" s="1"/>
  <c r="AI32" i="6"/>
  <c r="AJ45" i="6"/>
  <c r="AF46" i="6"/>
  <c r="AN47" i="6"/>
  <c r="N53" i="6"/>
  <c r="S5" i="24" s="1"/>
  <c r="H76" i="6"/>
  <c r="S76" i="6"/>
  <c r="E76" i="6"/>
  <c r="G76" i="6" s="1"/>
  <c r="V76" i="6" s="1"/>
  <c r="N76" i="6"/>
  <c r="J76" i="6"/>
  <c r="K76" i="6" s="1"/>
  <c r="K89" i="6"/>
  <c r="M98" i="6"/>
  <c r="K98" i="6"/>
  <c r="CW4" i="5"/>
  <c r="CT4" i="5"/>
  <c r="BE6" i="5"/>
  <c r="BA36" i="5" s="1"/>
  <c r="BD6" i="5"/>
  <c r="BA26" i="5" s="1"/>
  <c r="BA16" i="5"/>
  <c r="CR18" i="5"/>
  <c r="CU6" i="5"/>
  <c r="CU18" i="5" s="1"/>
  <c r="N70" i="6"/>
  <c r="N69" i="6"/>
  <c r="BD7" i="5"/>
  <c r="BA27" i="5" s="1"/>
  <c r="BA17" i="5"/>
  <c r="BE7" i="5"/>
  <c r="BA37" i="5" s="1"/>
  <c r="K24" i="6"/>
  <c r="C90" i="6" s="1"/>
  <c r="U11" i="5"/>
  <c r="AB11" i="5" s="1"/>
  <c r="T11" i="5"/>
  <c r="AA11" i="5" s="1"/>
  <c r="X11" i="5"/>
  <c r="AE11" i="5" s="1"/>
  <c r="S11" i="5"/>
  <c r="Z11" i="5" s="1"/>
  <c r="AF11" i="5" s="1"/>
  <c r="W11" i="5"/>
  <c r="AD11" i="5" s="1"/>
  <c r="AK36" i="6"/>
  <c r="AC21" i="24" s="1"/>
  <c r="AK32" i="6"/>
  <c r="AC17" i="24" s="1"/>
  <c r="AK16" i="5"/>
  <c r="BD20" i="5" s="1"/>
  <c r="K33" i="6"/>
  <c r="C99" i="6" s="1"/>
  <c r="AL47" i="6"/>
  <c r="AL43" i="6"/>
  <c r="AL45" i="6"/>
  <c r="AD30" i="24" s="1"/>
  <c r="BB20" i="5"/>
  <c r="W21" i="5"/>
  <c r="AD21" i="5" s="1"/>
  <c r="S21" i="5"/>
  <c r="Z21" i="5" s="1"/>
  <c r="AF21" i="5" s="1"/>
  <c r="T21" i="5"/>
  <c r="AA21" i="5" s="1"/>
  <c r="X21" i="5"/>
  <c r="AE21" i="5" s="1"/>
  <c r="V21" i="5"/>
  <c r="AC21" i="5" s="1"/>
  <c r="AC7" i="24"/>
  <c r="M88" i="6"/>
  <c r="K38" i="6"/>
  <c r="C104" i="6" s="1"/>
  <c r="W24" i="5"/>
  <c r="AD24" i="5" s="1"/>
  <c r="S24" i="5"/>
  <c r="Z24" i="5" s="1"/>
  <c r="AF24" i="5" s="1"/>
  <c r="T24" i="5"/>
  <c r="AA24" i="5" s="1"/>
  <c r="X24" i="5"/>
  <c r="AE24" i="5" s="1"/>
  <c r="V24" i="5"/>
  <c r="AC24" i="5" s="1"/>
  <c r="I40" i="6"/>
  <c r="K40" i="6" s="1"/>
  <c r="C106" i="6" s="1"/>
  <c r="AK6" i="5"/>
  <c r="K39" i="6" s="1"/>
  <c r="C105" i="6" s="1"/>
  <c r="W25" i="5"/>
  <c r="AD25" i="5" s="1"/>
  <c r="R25" i="5"/>
  <c r="Y25" i="5" s="1"/>
  <c r="K43" i="6"/>
  <c r="C109" i="6" s="1"/>
  <c r="I48" i="6"/>
  <c r="K48" i="6" s="1"/>
  <c r="C114" i="6" s="1"/>
  <c r="W33" i="5"/>
  <c r="AD33" i="5" s="1"/>
  <c r="R33" i="5"/>
  <c r="Y33" i="5" s="1"/>
  <c r="V33" i="5"/>
  <c r="AC33" i="5" s="1"/>
  <c r="U33" i="5"/>
  <c r="AB33" i="5" s="1"/>
  <c r="L52" i="6"/>
  <c r="AS26" i="6"/>
  <c r="P11" i="24" s="1"/>
  <c r="AT30" i="6"/>
  <c r="Q15" i="24" s="1"/>
  <c r="W30" i="6"/>
  <c r="X15" i="24" s="1"/>
  <c r="AV30" i="6"/>
  <c r="AR30" i="6"/>
  <c r="AJ30" i="6"/>
  <c r="AB15" i="24" s="1"/>
  <c r="AK30" i="6"/>
  <c r="AI30" i="6"/>
  <c r="AU30" i="6"/>
  <c r="AG15" i="24" s="1"/>
  <c r="AF30" i="6"/>
  <c r="AM30" i="6"/>
  <c r="M15" i="24" s="1"/>
  <c r="K35" i="6"/>
  <c r="C101" i="6" s="1"/>
  <c r="AT38" i="6"/>
  <c r="Q23" i="24" s="1"/>
  <c r="W38" i="6"/>
  <c r="X23" i="24" s="1"/>
  <c r="AV38" i="6"/>
  <c r="AR38" i="6"/>
  <c r="AJ38" i="6"/>
  <c r="AB23" i="24" s="1"/>
  <c r="AK38" i="6"/>
  <c r="AI38" i="6"/>
  <c r="AU38" i="6"/>
  <c r="AG23" i="24" s="1"/>
  <c r="AF38" i="6"/>
  <c r="AM38" i="6"/>
  <c r="M23" i="24" s="1"/>
  <c r="AL39" i="6"/>
  <c r="N105" i="6" s="1"/>
  <c r="AN43" i="6"/>
  <c r="AK44" i="6"/>
  <c r="AC29" i="24" s="1"/>
  <c r="S56" i="6"/>
  <c r="N56" i="6"/>
  <c r="J56" i="6"/>
  <c r="P89" i="6" s="1"/>
  <c r="E56" i="6"/>
  <c r="G56" i="6" s="1"/>
  <c r="V56" i="6" s="1"/>
  <c r="H56" i="6"/>
  <c r="S74" i="6"/>
  <c r="V77" i="6"/>
  <c r="M77" i="6"/>
  <c r="L80" i="6"/>
  <c r="O99" i="6"/>
  <c r="W4" i="5"/>
  <c r="AD4" i="5" s="1"/>
  <c r="S4" i="5"/>
  <c r="Z4" i="5" s="1"/>
  <c r="AF4" i="5" s="1"/>
  <c r="U4" i="5"/>
  <c r="AB4" i="5" s="1"/>
  <c r="W6" i="5"/>
  <c r="AD6" i="5" s="1"/>
  <c r="S6" i="5"/>
  <c r="Z6" i="5" s="1"/>
  <c r="AF6" i="5" s="1"/>
  <c r="U6" i="5"/>
  <c r="AB6" i="5" s="1"/>
  <c r="U8" i="5"/>
  <c r="AB8" i="5" s="1"/>
  <c r="V8" i="5"/>
  <c r="AC8" i="5" s="1"/>
  <c r="W9" i="5"/>
  <c r="AD9" i="5" s="1"/>
  <c r="S9" i="5"/>
  <c r="Z9" i="5" s="1"/>
  <c r="AF9" i="5" s="1"/>
  <c r="U9" i="5"/>
  <c r="AB9" i="5" s="1"/>
  <c r="U12" i="5"/>
  <c r="AB12" i="5" s="1"/>
  <c r="V12" i="5"/>
  <c r="AC12" i="5" s="1"/>
  <c r="I28" i="6"/>
  <c r="K28" i="6" s="1"/>
  <c r="C94" i="6" s="1"/>
  <c r="T13" i="5"/>
  <c r="AA13" i="5" s="1"/>
  <c r="V15" i="5"/>
  <c r="AC15" i="5" s="1"/>
  <c r="U15" i="5"/>
  <c r="AB15" i="5" s="1"/>
  <c r="T16" i="5"/>
  <c r="AA16" i="5" s="1"/>
  <c r="CL22" i="5"/>
  <c r="CN22" i="5" s="1"/>
  <c r="AN26" i="6" s="1"/>
  <c r="N11" i="24" s="1"/>
  <c r="CE22" i="5"/>
  <c r="S17" i="5"/>
  <c r="Z17" i="5" s="1"/>
  <c r="AF17" i="5" s="1"/>
  <c r="U19" i="5"/>
  <c r="AB19" i="5" s="1"/>
  <c r="V19" i="5"/>
  <c r="AC19" i="5" s="1"/>
  <c r="S20" i="5"/>
  <c r="Z20" i="5" s="1"/>
  <c r="AF20" i="5" s="1"/>
  <c r="T22" i="5"/>
  <c r="AA22" i="5" s="1"/>
  <c r="R23" i="5"/>
  <c r="Y23" i="5" s="1"/>
  <c r="W23" i="5"/>
  <c r="AD23" i="5" s="1"/>
  <c r="AM35" i="6"/>
  <c r="AM31" i="6"/>
  <c r="AI45" i="6"/>
  <c r="AI39" i="6"/>
  <c r="K105" i="6" s="1"/>
  <c r="O24" i="23" s="1"/>
  <c r="U25" i="5"/>
  <c r="AB25" i="5" s="1"/>
  <c r="V25" i="5"/>
  <c r="AC25" i="5" s="1"/>
  <c r="T26" i="5"/>
  <c r="AA26" i="5" s="1"/>
  <c r="AF26" i="5" s="1"/>
  <c r="S28" i="5"/>
  <c r="Z28" i="5" s="1"/>
  <c r="AF28" i="5" s="1"/>
  <c r="R29" i="5"/>
  <c r="Y29" i="5" s="1"/>
  <c r="W29" i="5"/>
  <c r="AD29" i="5" s="1"/>
  <c r="X31" i="5"/>
  <c r="AE31" i="5" s="1"/>
  <c r="S32" i="5"/>
  <c r="Z32" i="5" s="1"/>
  <c r="AF32" i="5" s="1"/>
  <c r="X32" i="5"/>
  <c r="AE32" i="5" s="1"/>
  <c r="X33" i="5"/>
  <c r="AE33" i="5" s="1"/>
  <c r="L4" i="43"/>
  <c r="AK20" i="6"/>
  <c r="AC5" i="24" s="1"/>
  <c r="AJ21" i="6"/>
  <c r="AB6" i="24" s="1"/>
  <c r="R12" i="24"/>
  <c r="AJ29" i="6"/>
  <c r="AJ33" i="6"/>
  <c r="L99" i="6" s="1"/>
  <c r="AJ37" i="6"/>
  <c r="AT44" i="6"/>
  <c r="Q29" i="24" s="1"/>
  <c r="AL44" i="6"/>
  <c r="W44" i="6"/>
  <c r="X29" i="24" s="1"/>
  <c r="AV44" i="6"/>
  <c r="AR44" i="6"/>
  <c r="AN44" i="6"/>
  <c r="AJ44" i="6"/>
  <c r="AB29" i="24" s="1"/>
  <c r="AM44" i="6"/>
  <c r="M29" i="24" s="1"/>
  <c r="AS44" i="6"/>
  <c r="P29" i="24" s="1"/>
  <c r="I45" i="6"/>
  <c r="K45" i="6" s="1"/>
  <c r="C111" i="6" s="1"/>
  <c r="AI46" i="6"/>
  <c r="AI48" i="6"/>
  <c r="S28" i="24"/>
  <c r="V53" i="6"/>
  <c r="S55" i="6"/>
  <c r="L58" i="6"/>
  <c r="M58" i="6" s="1"/>
  <c r="O59" i="6"/>
  <c r="O69" i="6"/>
  <c r="H72" i="6"/>
  <c r="S72" i="6"/>
  <c r="E72" i="6"/>
  <c r="G72" i="6" s="1"/>
  <c r="V72" i="6" s="1"/>
  <c r="V73" i="6"/>
  <c r="M73" i="6"/>
  <c r="W25" i="23" s="1"/>
  <c r="AD25" i="23" s="1"/>
  <c r="L75" i="6"/>
  <c r="M75" i="6" s="1"/>
  <c r="L78" i="6"/>
  <c r="V30" i="23" s="1"/>
  <c r="AC30" i="23" s="1"/>
  <c r="M86" i="6"/>
  <c r="P86" i="6"/>
  <c r="P87" i="6"/>
  <c r="L87" i="6"/>
  <c r="O87" i="6"/>
  <c r="R87" i="6"/>
  <c r="P92" i="6"/>
  <c r="O93" i="6"/>
  <c r="K93" i="6"/>
  <c r="R93" i="6"/>
  <c r="R102" i="6"/>
  <c r="M102" i="6"/>
  <c r="L103" i="6"/>
  <c r="O103" i="6"/>
  <c r="R103" i="6"/>
  <c r="S106" i="6"/>
  <c r="R110" i="6"/>
  <c r="N113" i="6"/>
  <c r="L113" i="6"/>
  <c r="V19" i="23"/>
  <c r="AC19" i="23" s="1"/>
  <c r="AM19" i="23" s="1"/>
  <c r="AX19" i="26" s="1"/>
  <c r="V32" i="23"/>
  <c r="AC32" i="23" s="1"/>
  <c r="AM32" i="23" s="1"/>
  <c r="AX32" i="26" s="1"/>
  <c r="BA19" i="5"/>
  <c r="BD9" i="5"/>
  <c r="BA29" i="5" s="1"/>
  <c r="U10" i="5"/>
  <c r="AB10" i="5" s="1"/>
  <c r="AF10" i="5" s="1"/>
  <c r="AU35" i="6"/>
  <c r="AU31" i="6"/>
  <c r="CF12" i="5"/>
  <c r="V13" i="5"/>
  <c r="AC13" i="5" s="1"/>
  <c r="V16" i="5"/>
  <c r="AC16" i="5" s="1"/>
  <c r="I32" i="6"/>
  <c r="K32" i="6" s="1"/>
  <c r="C98" i="6" s="1"/>
  <c r="T17" i="5"/>
  <c r="AA17" i="5" s="1"/>
  <c r="V22" i="5"/>
  <c r="AC22" i="5" s="1"/>
  <c r="S23" i="5"/>
  <c r="Z23" i="5" s="1"/>
  <c r="CL23" i="5"/>
  <c r="CN23" i="5" s="1"/>
  <c r="AN30" i="6" s="1"/>
  <c r="N15" i="24" s="1"/>
  <c r="U26" i="5"/>
  <c r="AB26" i="5" s="1"/>
  <c r="S29" i="5"/>
  <c r="Z29" i="5" s="1"/>
  <c r="T32" i="5"/>
  <c r="AA32" i="5" s="1"/>
  <c r="H37" i="5"/>
  <c r="J39" i="5"/>
  <c r="L39" i="5" s="1"/>
  <c r="K19" i="6"/>
  <c r="C85" i="6" s="1"/>
  <c r="AV19" i="6"/>
  <c r="AT20" i="6"/>
  <c r="Q5" i="24" s="1"/>
  <c r="AL20" i="6"/>
  <c r="N86" i="6" s="1"/>
  <c r="W20" i="6"/>
  <c r="M20" i="6"/>
  <c r="K20" i="6"/>
  <c r="C86" i="6" s="1"/>
  <c r="AF20" i="6"/>
  <c r="J86" i="6" s="1"/>
  <c r="M5" i="23" s="1"/>
  <c r="AM20" i="6"/>
  <c r="M5" i="24" s="1"/>
  <c r="AV20" i="6"/>
  <c r="AU21" i="6"/>
  <c r="AG6" i="24" s="1"/>
  <c r="AM21" i="6"/>
  <c r="M6" i="24" s="1"/>
  <c r="AI21" i="6"/>
  <c r="K87" i="6" s="1"/>
  <c r="O6" i="23" s="1"/>
  <c r="K21" i="6"/>
  <c r="C87" i="6" s="1"/>
  <c r="W21" i="6"/>
  <c r="X6" i="24" s="1"/>
  <c r="AK21" i="6"/>
  <c r="AC6" i="24" s="1"/>
  <c r="AT21" i="6"/>
  <c r="Q6" i="24" s="1"/>
  <c r="AV23" i="6"/>
  <c r="AV24" i="6"/>
  <c r="AR24" i="6"/>
  <c r="AN24" i="6"/>
  <c r="N9" i="24" s="1"/>
  <c r="AJ24" i="6"/>
  <c r="AB9" i="24" s="1"/>
  <c r="F9" i="24"/>
  <c r="AT24" i="6"/>
  <c r="Q9" i="24" s="1"/>
  <c r="AL24" i="6"/>
  <c r="AD9" i="24" s="1"/>
  <c r="W24" i="6"/>
  <c r="M24" i="6"/>
  <c r="AM24" i="6"/>
  <c r="AS24" i="6"/>
  <c r="I25" i="6"/>
  <c r="K25" i="6" s="1"/>
  <c r="C91" i="6" s="1"/>
  <c r="AV28" i="6"/>
  <c r="AR28" i="6"/>
  <c r="AN28" i="6"/>
  <c r="AJ28" i="6"/>
  <c r="AB13" i="24" s="1"/>
  <c r="AT28" i="6"/>
  <c r="Q13" i="24" s="1"/>
  <c r="AL28" i="6"/>
  <c r="W28" i="6"/>
  <c r="X13" i="24" s="1"/>
  <c r="M28" i="6"/>
  <c r="AM28" i="6"/>
  <c r="M13" i="24" s="1"/>
  <c r="AS28" i="6"/>
  <c r="P13" i="24" s="1"/>
  <c r="K29" i="6"/>
  <c r="C95" i="6" s="1"/>
  <c r="AV31" i="6"/>
  <c r="AV32" i="6"/>
  <c r="AR32" i="6"/>
  <c r="AN32" i="6"/>
  <c r="AJ32" i="6"/>
  <c r="AB17" i="24" s="1"/>
  <c r="AT32" i="6"/>
  <c r="Q17" i="24" s="1"/>
  <c r="W32" i="6"/>
  <c r="X17" i="24" s="1"/>
  <c r="AM32" i="6"/>
  <c r="M17" i="24" s="1"/>
  <c r="AS32" i="6"/>
  <c r="P17" i="24" s="1"/>
  <c r="AV36" i="6"/>
  <c r="AR36" i="6"/>
  <c r="AN36" i="6"/>
  <c r="AJ36" i="6"/>
  <c r="AB21" i="24" s="1"/>
  <c r="AT36" i="6"/>
  <c r="Q21" i="24" s="1"/>
  <c r="W36" i="6"/>
  <c r="X21" i="24" s="1"/>
  <c r="AM36" i="6"/>
  <c r="M21" i="24" s="1"/>
  <c r="AS36" i="6"/>
  <c r="P21" i="24" s="1"/>
  <c r="I37" i="6"/>
  <c r="K37" i="6" s="1"/>
  <c r="C103" i="6" s="1"/>
  <c r="AV40" i="6"/>
  <c r="AR40" i="6"/>
  <c r="AN40" i="6"/>
  <c r="AJ40" i="6"/>
  <c r="AB25" i="24" s="1"/>
  <c r="AT40" i="6"/>
  <c r="Q25" i="24" s="1"/>
  <c r="AL40" i="6"/>
  <c r="W40" i="6"/>
  <c r="X25" i="24" s="1"/>
  <c r="AM40" i="6"/>
  <c r="M25" i="24" s="1"/>
  <c r="AS40" i="6"/>
  <c r="P25" i="24" s="1"/>
  <c r="I41" i="6"/>
  <c r="K41" i="6" s="1"/>
  <c r="C107" i="6" s="1"/>
  <c r="K42" i="6"/>
  <c r="C108" i="6" s="1"/>
  <c r="AF44" i="6"/>
  <c r="AU44" i="6"/>
  <c r="AG29" i="24" s="1"/>
  <c r="R30" i="24"/>
  <c r="F4" i="23"/>
  <c r="AM4" i="24" s="1"/>
  <c r="T4" i="23"/>
  <c r="O53" i="6"/>
  <c r="R86" i="6" s="1"/>
  <c r="S6" i="23"/>
  <c r="AB6" i="23" s="1"/>
  <c r="L56" i="6"/>
  <c r="V59" i="6"/>
  <c r="L60" i="6"/>
  <c r="S63" i="6"/>
  <c r="H65" i="6"/>
  <c r="S65" i="6"/>
  <c r="E65" i="6"/>
  <c r="G65" i="6" s="1"/>
  <c r="V65" i="6" s="1"/>
  <c r="V66" i="6"/>
  <c r="L68" i="6"/>
  <c r="J72" i="6"/>
  <c r="P105" i="6" s="1"/>
  <c r="L74" i="6"/>
  <c r="L76" i="6"/>
  <c r="H80" i="6"/>
  <c r="S80" i="6"/>
  <c r="E80" i="6"/>
  <c r="G80" i="6" s="1"/>
  <c r="V80" i="6" s="1"/>
  <c r="V81" i="6"/>
  <c r="M81" i="6"/>
  <c r="W33" i="23" s="1"/>
  <c r="AD33" i="23" s="1"/>
  <c r="P85" i="6"/>
  <c r="N90" i="6"/>
  <c r="M90" i="6"/>
  <c r="P90" i="6"/>
  <c r="L90" i="6"/>
  <c r="O91" i="6"/>
  <c r="R91" i="6"/>
  <c r="O97" i="6"/>
  <c r="K97" i="6"/>
  <c r="R97" i="6"/>
  <c r="K102" i="6"/>
  <c r="R106" i="6"/>
  <c r="N106" i="6"/>
  <c r="J106" i="6"/>
  <c r="M106" i="6"/>
  <c r="L106" i="6"/>
  <c r="M107" i="6"/>
  <c r="K107" i="6"/>
  <c r="R107" i="6"/>
  <c r="L111" i="6"/>
  <c r="K111" i="6"/>
  <c r="R111" i="6"/>
  <c r="N111" i="6"/>
  <c r="V10" i="23"/>
  <c r="AC10" i="23" s="1"/>
  <c r="V13" i="23"/>
  <c r="AC13" i="23" s="1"/>
  <c r="AJ24" i="23"/>
  <c r="V26" i="23"/>
  <c r="AC26" i="23" s="1"/>
  <c r="AM26" i="23" s="1"/>
  <c r="AX26" i="26" s="1"/>
  <c r="W29" i="23"/>
  <c r="AD29" i="23" s="1"/>
  <c r="X4" i="5"/>
  <c r="AE4" i="5" s="1"/>
  <c r="CC4" i="5"/>
  <c r="E26" i="2" s="1"/>
  <c r="W5" i="5"/>
  <c r="AD5" i="5" s="1"/>
  <c r="S5" i="5"/>
  <c r="Z5" i="5" s="1"/>
  <c r="AF5" i="5" s="1"/>
  <c r="U5" i="5"/>
  <c r="AB5" i="5" s="1"/>
  <c r="X6" i="5"/>
  <c r="AE6" i="5" s="1"/>
  <c r="CC6" i="5"/>
  <c r="E30" i="2" s="1"/>
  <c r="W7" i="5"/>
  <c r="AD7" i="5" s="1"/>
  <c r="S7" i="5"/>
  <c r="Z7" i="5" s="1"/>
  <c r="AF7" i="5" s="1"/>
  <c r="U7" i="5"/>
  <c r="AB7" i="5" s="1"/>
  <c r="S8" i="5"/>
  <c r="Z8" i="5" s="1"/>
  <c r="X8" i="5"/>
  <c r="AE8" i="5" s="1"/>
  <c r="X9" i="5"/>
  <c r="AE9" i="5" s="1"/>
  <c r="BE9" i="5"/>
  <c r="BA39" i="5" s="1"/>
  <c r="BD10" i="5"/>
  <c r="BA30" i="5" s="1"/>
  <c r="I26" i="6"/>
  <c r="K26" i="6" s="1"/>
  <c r="C92" i="6" s="1"/>
  <c r="S12" i="5"/>
  <c r="Z12" i="5" s="1"/>
  <c r="X12" i="5"/>
  <c r="AE12" i="5" s="1"/>
  <c r="AU45" i="6"/>
  <c r="AU39" i="6"/>
  <c r="R13" i="5"/>
  <c r="Y13" i="5" s="1"/>
  <c r="W13" i="5"/>
  <c r="AD13" i="5" s="1"/>
  <c r="S15" i="5"/>
  <c r="Z15" i="5" s="1"/>
  <c r="X15" i="5"/>
  <c r="AE15" i="5" s="1"/>
  <c r="R16" i="5"/>
  <c r="Y16" i="5" s="1"/>
  <c r="W16" i="5"/>
  <c r="AD16" i="5" s="1"/>
  <c r="U17" i="5"/>
  <c r="AB17" i="5" s="1"/>
  <c r="V17" i="5"/>
  <c r="AC17" i="5" s="1"/>
  <c r="CF17" i="5"/>
  <c r="CF23" i="5" s="1"/>
  <c r="AL34" i="6" s="1"/>
  <c r="S19" i="5"/>
  <c r="Z19" i="5" s="1"/>
  <c r="X19" i="5"/>
  <c r="AE19" i="5" s="1"/>
  <c r="R22" i="5"/>
  <c r="Y22" i="5" s="1"/>
  <c r="AF22" i="5" s="1"/>
  <c r="W22" i="5"/>
  <c r="AD22" i="5" s="1"/>
  <c r="X23" i="5"/>
  <c r="AE23" i="5" s="1"/>
  <c r="U23" i="5"/>
  <c r="AB23" i="5" s="1"/>
  <c r="S25" i="5"/>
  <c r="Z25" i="5" s="1"/>
  <c r="X25" i="5"/>
  <c r="AE25" i="5" s="1"/>
  <c r="W26" i="5"/>
  <c r="AD26" i="5" s="1"/>
  <c r="V28" i="5"/>
  <c r="AC28" i="5" s="1"/>
  <c r="X29" i="5"/>
  <c r="AE29" i="5" s="1"/>
  <c r="U29" i="5"/>
  <c r="AB29" i="5" s="1"/>
  <c r="V32" i="5"/>
  <c r="AC32" i="5" s="1"/>
  <c r="U32" i="5"/>
  <c r="AB32" i="5" s="1"/>
  <c r="F37" i="5"/>
  <c r="E7" i="6"/>
  <c r="AI20" i="6"/>
  <c r="K86" i="6" s="1"/>
  <c r="O5" i="23" s="1"/>
  <c r="AN20" i="6"/>
  <c r="AR20" i="6"/>
  <c r="O5" i="24" s="1"/>
  <c r="M21" i="6"/>
  <c r="AF21" i="6"/>
  <c r="AL21" i="6"/>
  <c r="N87" i="6" s="1"/>
  <c r="AV21" i="6"/>
  <c r="AT22" i="6"/>
  <c r="Q7" i="24" s="1"/>
  <c r="AL22" i="6"/>
  <c r="AV22" i="6"/>
  <c r="AR22" i="6"/>
  <c r="O7" i="24" s="1"/>
  <c r="AN22" i="6"/>
  <c r="AJ22" i="6"/>
  <c r="M22" i="6"/>
  <c r="AM22" i="6"/>
  <c r="M7" i="24" s="1"/>
  <c r="AS22" i="6"/>
  <c r="AF24" i="6"/>
  <c r="J90" i="6" s="1"/>
  <c r="M9" i="23" s="1"/>
  <c r="AU24" i="6"/>
  <c r="AG9" i="24" s="1"/>
  <c r="AF28" i="6"/>
  <c r="AU28" i="6"/>
  <c r="AG13" i="24" s="1"/>
  <c r="R14" i="24"/>
  <c r="AJ31" i="6"/>
  <c r="L97" i="6" s="1"/>
  <c r="AF32" i="6"/>
  <c r="J98" i="6" s="1"/>
  <c r="M17" i="23" s="1"/>
  <c r="AU32" i="6"/>
  <c r="AG17" i="24" s="1"/>
  <c r="R18" i="24"/>
  <c r="AF36" i="6"/>
  <c r="J102" i="6" s="1"/>
  <c r="M21" i="23" s="1"/>
  <c r="AU36" i="6"/>
  <c r="AG21" i="24" s="1"/>
  <c r="R22" i="24"/>
  <c r="AU40" i="6"/>
  <c r="AG25" i="24" s="1"/>
  <c r="R26" i="24"/>
  <c r="AU41" i="6"/>
  <c r="AI44" i="6"/>
  <c r="AV46" i="6"/>
  <c r="AR46" i="6"/>
  <c r="AN46" i="6"/>
  <c r="AJ46" i="6"/>
  <c r="AB31" i="24" s="1"/>
  <c r="AT46" i="6"/>
  <c r="Q31" i="24" s="1"/>
  <c r="AL46" i="6"/>
  <c r="W46" i="6"/>
  <c r="X31" i="24" s="1"/>
  <c r="AM46" i="6"/>
  <c r="M31" i="24" s="1"/>
  <c r="AS46" i="6"/>
  <c r="P31" i="24" s="1"/>
  <c r="I47" i="6"/>
  <c r="K47" i="6" s="1"/>
  <c r="C113" i="6" s="1"/>
  <c r="F5" i="23"/>
  <c r="AM5" i="24" s="1"/>
  <c r="X30" i="23"/>
  <c r="AE30" i="23" s="1"/>
  <c r="AF30" i="23" s="1"/>
  <c r="F28" i="23"/>
  <c r="X26" i="23"/>
  <c r="AE26" i="23" s="1"/>
  <c r="AF26" i="23" s="1"/>
  <c r="F24" i="23"/>
  <c r="X22" i="23"/>
  <c r="AE22" i="23" s="1"/>
  <c r="AF22" i="23" s="1"/>
  <c r="X19" i="23"/>
  <c r="AE19" i="23" s="1"/>
  <c r="AF19" i="23" s="1"/>
  <c r="X16" i="23"/>
  <c r="AE16" i="23" s="1"/>
  <c r="AF16" i="23" s="1"/>
  <c r="T13" i="23"/>
  <c r="T8" i="23"/>
  <c r="O55" i="6"/>
  <c r="S8" i="24"/>
  <c r="U28" i="23"/>
  <c r="S22" i="23"/>
  <c r="AB22" i="23" s="1"/>
  <c r="S16" i="23"/>
  <c r="AB16" i="23" s="1"/>
  <c r="F12" i="23"/>
  <c r="AM12" i="24" s="1"/>
  <c r="F11" i="23"/>
  <c r="S8" i="23"/>
  <c r="AB8" i="23" s="1"/>
  <c r="S12" i="24"/>
  <c r="X33" i="23"/>
  <c r="AE33" i="23" s="1"/>
  <c r="AF33" i="23" s="1"/>
  <c r="S32" i="23"/>
  <c r="AB32" i="23" s="1"/>
  <c r="X29" i="23"/>
  <c r="AE29" i="23" s="1"/>
  <c r="AF29" i="23" s="1"/>
  <c r="S28" i="23"/>
  <c r="AB28" i="23" s="1"/>
  <c r="G28" i="23"/>
  <c r="X25" i="23"/>
  <c r="AE25" i="23" s="1"/>
  <c r="AF25" i="23" s="1"/>
  <c r="S24" i="23"/>
  <c r="AB24" i="23" s="1"/>
  <c r="X21" i="23"/>
  <c r="AE21" i="23" s="1"/>
  <c r="AF21" i="23" s="1"/>
  <c r="X18" i="23"/>
  <c r="AE18" i="23" s="1"/>
  <c r="AF18" i="23" s="1"/>
  <c r="X12" i="23"/>
  <c r="AE12" i="23" s="1"/>
  <c r="AF12" i="23" s="1"/>
  <c r="T12" i="23"/>
  <c r="X11" i="23"/>
  <c r="AE11" i="23" s="1"/>
  <c r="AF11" i="23" s="1"/>
  <c r="T11" i="23"/>
  <c r="S10" i="23"/>
  <c r="AB10" i="23" s="1"/>
  <c r="F9" i="23"/>
  <c r="X7" i="23"/>
  <c r="AE7" i="23" s="1"/>
  <c r="AF7" i="23" s="1"/>
  <c r="L55" i="6"/>
  <c r="H61" i="6"/>
  <c r="K61" i="6" s="1"/>
  <c r="S61" i="6"/>
  <c r="E61" i="6"/>
  <c r="G61" i="6" s="1"/>
  <c r="V62" i="6"/>
  <c r="M62" i="6"/>
  <c r="L64" i="6"/>
  <c r="M64" i="6" s="1"/>
  <c r="J65" i="6"/>
  <c r="F17" i="23" s="1"/>
  <c r="AM17" i="24" s="1"/>
  <c r="N21" i="9" s="1"/>
  <c r="L66" i="6"/>
  <c r="M66" i="6" s="1"/>
  <c r="L72" i="6"/>
  <c r="V24" i="23" s="1"/>
  <c r="AC24" i="23" s="1"/>
  <c r="N72" i="6"/>
  <c r="S78" i="6"/>
  <c r="J80" i="6"/>
  <c r="P80" i="6" s="1"/>
  <c r="O30" i="23"/>
  <c r="O26" i="23"/>
  <c r="P26" i="23" s="1"/>
  <c r="AV26" i="26" s="1"/>
  <c r="O16" i="23"/>
  <c r="P16" i="23" s="1"/>
  <c r="AV16" i="26" s="1"/>
  <c r="O13" i="23"/>
  <c r="AL13" i="26" s="1"/>
  <c r="O8" i="23"/>
  <c r="O85" i="6"/>
  <c r="K85" i="6"/>
  <c r="AL18" i="24"/>
  <c r="AL10" i="24"/>
  <c r="M25" i="23"/>
  <c r="O17" i="23"/>
  <c r="M26" i="23"/>
  <c r="AL22" i="24"/>
  <c r="O21" i="23"/>
  <c r="O12" i="23"/>
  <c r="P12" i="23" s="1"/>
  <c r="AV12" i="26" s="1"/>
  <c r="O4" i="23"/>
  <c r="AL4" i="26" s="1"/>
  <c r="O86" i="6"/>
  <c r="J87" i="6"/>
  <c r="M6" i="23" s="1"/>
  <c r="K90" i="6"/>
  <c r="O9" i="23" s="1"/>
  <c r="N94" i="6"/>
  <c r="J94" i="6"/>
  <c r="M13" i="23" s="1"/>
  <c r="M94" i="6"/>
  <c r="P94" i="6"/>
  <c r="L94" i="6"/>
  <c r="L95" i="6"/>
  <c r="S95" i="6"/>
  <c r="O95" i="6"/>
  <c r="AL14" i="24" s="1"/>
  <c r="R95" i="6"/>
  <c r="K101" i="6"/>
  <c r="O20" i="23" s="1"/>
  <c r="R101" i="6"/>
  <c r="O102" i="6"/>
  <c r="K106" i="6"/>
  <c r="O25" i="23" s="1"/>
  <c r="O109" i="6"/>
  <c r="N109" i="6"/>
  <c r="Q109" i="6"/>
  <c r="P109" i="6"/>
  <c r="L109" i="6"/>
  <c r="R114" i="6"/>
  <c r="V15" i="23"/>
  <c r="AC15" i="23" s="1"/>
  <c r="AN15" i="26" s="1"/>
  <c r="V28" i="23"/>
  <c r="AC28" i="23" s="1"/>
  <c r="AM28" i="23" s="1"/>
  <c r="AX28" i="26" s="1"/>
  <c r="K110" i="6"/>
  <c r="O29" i="23" s="1"/>
  <c r="O110" i="6"/>
  <c r="S110" i="6"/>
  <c r="T110" i="6" s="1"/>
  <c r="K114" i="6"/>
  <c r="O33" i="23" s="1"/>
  <c r="O114" i="6"/>
  <c r="S114" i="6"/>
  <c r="T114" i="6" s="1"/>
  <c r="V5" i="23"/>
  <c r="AC5" i="23" s="1"/>
  <c r="V9" i="23"/>
  <c r="AC9" i="23" s="1"/>
  <c r="V14" i="23"/>
  <c r="AC14" i="23" s="1"/>
  <c r="V17" i="23"/>
  <c r="AC17" i="23" s="1"/>
  <c r="AN17" i="26" s="1"/>
  <c r="AJ17" i="23"/>
  <c r="AO17" i="26" s="1"/>
  <c r="V20" i="23"/>
  <c r="AC20" i="23" s="1"/>
  <c r="AN20" i="26" s="1"/>
  <c r="V23" i="23"/>
  <c r="AC23" i="23" s="1"/>
  <c r="V27" i="23"/>
  <c r="AC27" i="23" s="1"/>
  <c r="AM27" i="23" s="1"/>
  <c r="AX27" i="26" s="1"/>
  <c r="V31" i="23"/>
  <c r="AC31" i="23" s="1"/>
  <c r="AM31" i="23" s="1"/>
  <c r="AX31" i="26" s="1"/>
  <c r="AY5" i="24"/>
  <c r="AY7" i="24"/>
  <c r="F12" i="24"/>
  <c r="CA13" i="24"/>
  <c r="AX13" i="24" s="1"/>
  <c r="BZ13" i="24"/>
  <c r="AW13" i="24" s="1"/>
  <c r="F14" i="24"/>
  <c r="BG16" i="24"/>
  <c r="BC16" i="24"/>
  <c r="AK16" i="24"/>
  <c r="AG16" i="24"/>
  <c r="Q16" i="24"/>
  <c r="M16" i="24"/>
  <c r="I16" i="24"/>
  <c r="BN16" i="24"/>
  <c r="BF16" i="24"/>
  <c r="AF16" i="24"/>
  <c r="AB16" i="24"/>
  <c r="X16" i="24"/>
  <c r="P16" i="24"/>
  <c r="G16" i="24"/>
  <c r="O16" i="24"/>
  <c r="W16" i="24"/>
  <c r="BI16" i="24"/>
  <c r="CA21" i="24"/>
  <c r="AX21" i="24" s="1"/>
  <c r="BZ21" i="24"/>
  <c r="AW21" i="24" s="1"/>
  <c r="F22" i="24"/>
  <c r="BG24" i="24"/>
  <c r="BC24" i="24"/>
  <c r="AG24" i="24"/>
  <c r="Q24" i="24"/>
  <c r="M24" i="24"/>
  <c r="I24" i="24"/>
  <c r="BN24" i="24"/>
  <c r="BF24" i="24"/>
  <c r="AF24" i="24"/>
  <c r="AB24" i="24"/>
  <c r="X24" i="24"/>
  <c r="P24" i="24"/>
  <c r="G24" i="24"/>
  <c r="O24" i="24"/>
  <c r="W24" i="24"/>
  <c r="AM24" i="24"/>
  <c r="BI24" i="24"/>
  <c r="CA29" i="24"/>
  <c r="AX29" i="24" s="1"/>
  <c r="BZ29" i="24"/>
  <c r="AW29" i="24" s="1"/>
  <c r="F30" i="24"/>
  <c r="BH32" i="24"/>
  <c r="BD32" i="24"/>
  <c r="AH32" i="24"/>
  <c r="AD32" i="24"/>
  <c r="BG32" i="24"/>
  <c r="BC32" i="24"/>
  <c r="Q32" i="24"/>
  <c r="I32" i="24"/>
  <c r="BN32" i="24"/>
  <c r="BF32" i="24"/>
  <c r="AF32" i="24"/>
  <c r="AB32" i="24"/>
  <c r="X32" i="24"/>
  <c r="P32" i="24"/>
  <c r="G32" i="24"/>
  <c r="O32" i="24"/>
  <c r="W32" i="24"/>
  <c r="BI32" i="24"/>
  <c r="AV33" i="24"/>
  <c r="CA33" i="24"/>
  <c r="AX33" i="24" s="1"/>
  <c r="BZ33" i="24"/>
  <c r="AW33" i="24" s="1"/>
  <c r="AO4" i="25"/>
  <c r="AO14" i="25"/>
  <c r="AO18" i="25"/>
  <c r="AO24" i="25"/>
  <c r="T20" i="5"/>
  <c r="AA20" i="5" s="1"/>
  <c r="T23" i="5"/>
  <c r="AA23" i="5" s="1"/>
  <c r="T28" i="5"/>
  <c r="AA28" i="5" s="1"/>
  <c r="CF28" i="5"/>
  <c r="T29" i="5"/>
  <c r="AA29" i="5" s="1"/>
  <c r="T30" i="5"/>
  <c r="AA30" i="5" s="1"/>
  <c r="AF30" i="5" s="1"/>
  <c r="CF30" i="5"/>
  <c r="T31" i="5"/>
  <c r="AA31" i="5" s="1"/>
  <c r="T33" i="5"/>
  <c r="AA33" i="5" s="1"/>
  <c r="AF19" i="6"/>
  <c r="J85" i="6" s="1"/>
  <c r="M4" i="23" s="1"/>
  <c r="AK19" i="6"/>
  <c r="AC4" i="24" s="1"/>
  <c r="AF23" i="6"/>
  <c r="J89" i="6" s="1"/>
  <c r="M8" i="23" s="1"/>
  <c r="AK23" i="6"/>
  <c r="AC8" i="24" s="1"/>
  <c r="AI25" i="6"/>
  <c r="K91" i="6" s="1"/>
  <c r="O10" i="23" s="1"/>
  <c r="AM25" i="6"/>
  <c r="AU25" i="6"/>
  <c r="AF27" i="6"/>
  <c r="J93" i="6" s="1"/>
  <c r="M12" i="23" s="1"/>
  <c r="AK27" i="6"/>
  <c r="M93" i="6" s="1"/>
  <c r="AI29" i="6"/>
  <c r="K95" i="6" s="1"/>
  <c r="O14" i="23" s="1"/>
  <c r="AM29" i="6"/>
  <c r="AU29" i="6"/>
  <c r="AF31" i="6"/>
  <c r="J97" i="6" s="1"/>
  <c r="M16" i="23" s="1"/>
  <c r="AK31" i="6"/>
  <c r="M97" i="6" s="1"/>
  <c r="AI33" i="6"/>
  <c r="K99" i="6" s="1"/>
  <c r="O18" i="23" s="1"/>
  <c r="AM33" i="6"/>
  <c r="AU33" i="6"/>
  <c r="AF35" i="6"/>
  <c r="J101" i="6" s="1"/>
  <c r="M20" i="23" s="1"/>
  <c r="AK35" i="6"/>
  <c r="M101" i="6" s="1"/>
  <c r="AI37" i="6"/>
  <c r="K103" i="6" s="1"/>
  <c r="O22" i="23" s="1"/>
  <c r="AM37" i="6"/>
  <c r="AU37" i="6"/>
  <c r="AF39" i="6"/>
  <c r="J105" i="6" s="1"/>
  <c r="M24" i="23" s="1"/>
  <c r="AK39" i="6"/>
  <c r="AC24" i="24" s="1"/>
  <c r="AJ41" i="6"/>
  <c r="L107" i="6" s="1"/>
  <c r="AN41" i="6"/>
  <c r="AR41" i="6"/>
  <c r="AV41" i="6"/>
  <c r="AH26" i="24" s="1"/>
  <c r="AL42" i="6"/>
  <c r="AI43" i="6"/>
  <c r="K109" i="6" s="1"/>
  <c r="O28" i="23" s="1"/>
  <c r="AM43" i="6"/>
  <c r="AU43" i="6"/>
  <c r="AF45" i="6"/>
  <c r="J111" i="6" s="1"/>
  <c r="M30" i="23" s="1"/>
  <c r="AK45" i="6"/>
  <c r="M111" i="6" s="1"/>
  <c r="AI47" i="6"/>
  <c r="K113" i="6" s="1"/>
  <c r="O32" i="23" s="1"/>
  <c r="AM47" i="6"/>
  <c r="M32" i="24" s="1"/>
  <c r="AU47" i="6"/>
  <c r="AG32" i="24" s="1"/>
  <c r="AJ48" i="6"/>
  <c r="AB33" i="24" s="1"/>
  <c r="AN48" i="6"/>
  <c r="AR48" i="6"/>
  <c r="AV48" i="6"/>
  <c r="H59" i="9"/>
  <c r="H55" i="9"/>
  <c r="H51" i="9"/>
  <c r="H47" i="9"/>
  <c r="H43" i="9"/>
  <c r="H68" i="9"/>
  <c r="H64" i="9"/>
  <c r="H69" i="9"/>
  <c r="H65" i="9"/>
  <c r="H61" i="9"/>
  <c r="H53" i="9"/>
  <c r="H49" i="9"/>
  <c r="H45" i="9"/>
  <c r="H70" i="9"/>
  <c r="H66" i="9"/>
  <c r="H60" i="9"/>
  <c r="H48" i="9"/>
  <c r="H41" i="9"/>
  <c r="H62" i="9"/>
  <c r="H58" i="9"/>
  <c r="H54" i="9"/>
  <c r="H50" i="9"/>
  <c r="H46" i="9"/>
  <c r="H42" i="9"/>
  <c r="T33" i="24"/>
  <c r="O52" i="6"/>
  <c r="X4" i="23" s="1"/>
  <c r="AE4" i="23" s="1"/>
  <c r="AF4" i="23" s="1"/>
  <c r="S52" i="6"/>
  <c r="S53" i="6"/>
  <c r="S54" i="6"/>
  <c r="H55" i="6"/>
  <c r="O57" i="6"/>
  <c r="R90" i="6" s="1"/>
  <c r="H59" i="6"/>
  <c r="K59" i="6" s="1"/>
  <c r="M59" i="6"/>
  <c r="W11" i="23" s="1"/>
  <c r="AD11" i="23" s="1"/>
  <c r="H60" i="6"/>
  <c r="K60" i="6" s="1"/>
  <c r="M60" i="6"/>
  <c r="W12" i="23" s="1"/>
  <c r="AD12" i="23" s="1"/>
  <c r="O61" i="6"/>
  <c r="R94" i="6" s="1"/>
  <c r="H63" i="6"/>
  <c r="J64" i="6"/>
  <c r="AJ16" i="23" s="1"/>
  <c r="N64" i="6"/>
  <c r="O65" i="6"/>
  <c r="R98" i="6" s="1"/>
  <c r="H68" i="6"/>
  <c r="H69" i="6"/>
  <c r="J69" i="6" s="1"/>
  <c r="F21" i="23" s="1"/>
  <c r="AM21" i="24" s="1"/>
  <c r="N25" i="9" s="1"/>
  <c r="AC25" i="9" s="1"/>
  <c r="M69" i="6"/>
  <c r="S102" i="6" s="1"/>
  <c r="T102" i="6" s="1"/>
  <c r="H70" i="6"/>
  <c r="J70" i="6" s="1"/>
  <c r="P103" i="6" s="1"/>
  <c r="M70" i="6"/>
  <c r="W22" i="23" s="1"/>
  <c r="AD22" i="23" s="1"/>
  <c r="J71" i="6"/>
  <c r="P104" i="6" s="1"/>
  <c r="N71" i="6"/>
  <c r="O72" i="6"/>
  <c r="R105" i="6" s="1"/>
  <c r="H74" i="6"/>
  <c r="J75" i="6"/>
  <c r="N75" i="6"/>
  <c r="O76" i="6"/>
  <c r="R109" i="6" s="1"/>
  <c r="H78" i="6"/>
  <c r="J79" i="6"/>
  <c r="N79" i="6"/>
  <c r="O80" i="6"/>
  <c r="R113" i="6" s="1"/>
  <c r="J88" i="6"/>
  <c r="M7" i="23" s="1"/>
  <c r="N88" i="6"/>
  <c r="R88" i="6"/>
  <c r="J92" i="6"/>
  <c r="M11" i="23" s="1"/>
  <c r="R92" i="6"/>
  <c r="J96" i="6"/>
  <c r="M15" i="23" s="1"/>
  <c r="R96" i="6"/>
  <c r="J100" i="6"/>
  <c r="M19" i="23" s="1"/>
  <c r="R100" i="6"/>
  <c r="J104" i="6"/>
  <c r="M23" i="23" s="1"/>
  <c r="R104" i="6"/>
  <c r="J108" i="6"/>
  <c r="M27" i="23" s="1"/>
  <c r="N108" i="6"/>
  <c r="R108" i="6"/>
  <c r="L110" i="6"/>
  <c r="J112" i="6"/>
  <c r="M31" i="23" s="1"/>
  <c r="N112" i="6"/>
  <c r="R112" i="6"/>
  <c r="L114" i="6"/>
  <c r="S5" i="23"/>
  <c r="AB5" i="23" s="1"/>
  <c r="T6" i="23"/>
  <c r="X6" i="23"/>
  <c r="AE6" i="23" s="1"/>
  <c r="AF6" i="23" s="1"/>
  <c r="F8" i="23"/>
  <c r="AM8" i="24" s="1"/>
  <c r="S9" i="23"/>
  <c r="AB9" i="23" s="1"/>
  <c r="X10" i="23"/>
  <c r="AE10" i="23" s="1"/>
  <c r="AF10" i="23" s="1"/>
  <c r="F13" i="23"/>
  <c r="S14" i="23"/>
  <c r="AB14" i="23" s="1"/>
  <c r="W14" i="23"/>
  <c r="AD14" i="23" s="1"/>
  <c r="AM14" i="26" s="1"/>
  <c r="X15" i="23"/>
  <c r="AE15" i="23" s="1"/>
  <c r="AF15" i="23" s="1"/>
  <c r="F16" i="23"/>
  <c r="AM16" i="24" s="1"/>
  <c r="N20" i="9" s="1"/>
  <c r="AC20" i="9" s="1"/>
  <c r="S17" i="23"/>
  <c r="AB17" i="23" s="1"/>
  <c r="F22" i="23"/>
  <c r="S23" i="23"/>
  <c r="AB23" i="23" s="1"/>
  <c r="W23" i="23"/>
  <c r="AD23" i="23" s="1"/>
  <c r="T24" i="23"/>
  <c r="X24" i="23"/>
  <c r="AE24" i="23" s="1"/>
  <c r="AF24" i="23" s="1"/>
  <c r="S27" i="23"/>
  <c r="AB27" i="23" s="1"/>
  <c r="T28" i="23"/>
  <c r="X28" i="23"/>
  <c r="AE28" i="23" s="1"/>
  <c r="AF28" i="23" s="1"/>
  <c r="S31" i="23"/>
  <c r="AB31" i="23" s="1"/>
  <c r="W31" i="23"/>
  <c r="AD31" i="23" s="1"/>
  <c r="T32" i="23"/>
  <c r="X32" i="23"/>
  <c r="AE32" i="23" s="1"/>
  <c r="AF32" i="23" s="1"/>
  <c r="AT37" i="35"/>
  <c r="AT33" i="35"/>
  <c r="AT34" i="35"/>
  <c r="AT36" i="35"/>
  <c r="AT25" i="35"/>
  <c r="AT35" i="35"/>
  <c r="AG25" i="35"/>
  <c r="AG26" i="35"/>
  <c r="AT23" i="35"/>
  <c r="AT24" i="35"/>
  <c r="X37" i="9"/>
  <c r="X33" i="9"/>
  <c r="X25" i="9"/>
  <c r="W15" i="9"/>
  <c r="X14" i="9"/>
  <c r="X36" i="9"/>
  <c r="X32" i="9"/>
  <c r="N28" i="9"/>
  <c r="X24" i="9"/>
  <c r="I15" i="9"/>
  <c r="W23" i="9"/>
  <c r="Y9" i="9"/>
  <c r="X28" i="9"/>
  <c r="X20" i="9"/>
  <c r="Y15" i="9"/>
  <c r="X9" i="9"/>
  <c r="W27" i="9"/>
  <c r="X15" i="9"/>
  <c r="F4" i="24"/>
  <c r="J4" i="24"/>
  <c r="R4" i="24"/>
  <c r="V4" i="24"/>
  <c r="AH4" i="24"/>
  <c r="AL4" i="24"/>
  <c r="AG6" i="35" s="1"/>
  <c r="BD4" i="24"/>
  <c r="BH4" i="24"/>
  <c r="BZ4" i="24"/>
  <c r="AW4" i="24" s="1"/>
  <c r="P5" i="24"/>
  <c r="X5" i="24"/>
  <c r="AF5" i="24"/>
  <c r="AV5" i="24"/>
  <c r="W9" i="9" s="1"/>
  <c r="BF5" i="24"/>
  <c r="BN5" i="24"/>
  <c r="F6" i="24"/>
  <c r="J6" i="24"/>
  <c r="R6" i="24"/>
  <c r="V6" i="24"/>
  <c r="AD6" i="24"/>
  <c r="AH6" i="24"/>
  <c r="AL6" i="24"/>
  <c r="AG15" i="35" s="1"/>
  <c r="BD6" i="24"/>
  <c r="BZ6" i="24"/>
  <c r="AW6" i="24" s="1"/>
  <c r="P7" i="24"/>
  <c r="X7" i="24"/>
  <c r="AB7" i="24"/>
  <c r="AF7" i="24"/>
  <c r="AV7" i="24"/>
  <c r="W11" i="9" s="1"/>
  <c r="BF7" i="24"/>
  <c r="BN7" i="24"/>
  <c r="F8" i="24"/>
  <c r="J8" i="24"/>
  <c r="R8" i="24"/>
  <c r="H12" i="9" s="1"/>
  <c r="V8" i="24"/>
  <c r="AH8" i="24"/>
  <c r="BD8" i="24"/>
  <c r="J9" i="24"/>
  <c r="P9" i="24"/>
  <c r="AF9" i="24"/>
  <c r="BC9" i="24"/>
  <c r="J10" i="24"/>
  <c r="O10" i="24"/>
  <c r="BI11" i="24"/>
  <c r="BE11" i="24"/>
  <c r="AM11" i="24"/>
  <c r="W11" i="24"/>
  <c r="S11" i="24"/>
  <c r="O11" i="24"/>
  <c r="K11" i="24"/>
  <c r="G11" i="24"/>
  <c r="C11" i="24"/>
  <c r="E11" i="24" s="1"/>
  <c r="M11" i="24"/>
  <c r="R11" i="24"/>
  <c r="H15" i="9" s="1"/>
  <c r="X11" i="24"/>
  <c r="AC11" i="24"/>
  <c r="AH11" i="24"/>
  <c r="BF11" i="24"/>
  <c r="BO11" i="24"/>
  <c r="BG12" i="24"/>
  <c r="BC12" i="24"/>
  <c r="AK12" i="24"/>
  <c r="AG12" i="24"/>
  <c r="AC12" i="24"/>
  <c r="Q12" i="24"/>
  <c r="M12" i="24"/>
  <c r="I12" i="24"/>
  <c r="BN12" i="24"/>
  <c r="BF12" i="24"/>
  <c r="AF12" i="24"/>
  <c r="X12" i="24"/>
  <c r="T12" i="24"/>
  <c r="AO12" i="24" s="1"/>
  <c r="P12" i="24"/>
  <c r="G12" i="24"/>
  <c r="V12" i="24"/>
  <c r="AL12" i="24"/>
  <c r="AG36" i="35" s="1"/>
  <c r="BH12" i="24"/>
  <c r="AV13" i="24"/>
  <c r="BG14" i="24"/>
  <c r="BC14" i="24"/>
  <c r="AG14" i="24"/>
  <c r="Q14" i="24"/>
  <c r="M14" i="24"/>
  <c r="I14" i="24"/>
  <c r="BN14" i="24"/>
  <c r="BF14" i="24"/>
  <c r="AF14" i="24"/>
  <c r="AB14" i="24"/>
  <c r="X14" i="24"/>
  <c r="T14" i="24"/>
  <c r="AO14" i="24" s="1"/>
  <c r="P18" i="9" s="1"/>
  <c r="P14" i="24"/>
  <c r="G14" i="24"/>
  <c r="O14" i="24"/>
  <c r="W14" i="24"/>
  <c r="BI14" i="24"/>
  <c r="C16" i="24"/>
  <c r="E16" i="24" s="1"/>
  <c r="J16" i="24"/>
  <c r="R16" i="24"/>
  <c r="H20" i="9" s="1"/>
  <c r="AH16" i="24"/>
  <c r="BD16" i="24"/>
  <c r="K18" i="24"/>
  <c r="BO19" i="24"/>
  <c r="CA19" i="24"/>
  <c r="AX19" i="24" s="1"/>
  <c r="BZ19" i="24"/>
  <c r="AW19" i="24" s="1"/>
  <c r="F20" i="24"/>
  <c r="V20" i="24"/>
  <c r="AV21" i="24"/>
  <c r="BG22" i="24"/>
  <c r="BC22" i="24"/>
  <c r="AG22" i="24"/>
  <c r="Q22" i="24"/>
  <c r="M22" i="24"/>
  <c r="I22" i="24"/>
  <c r="BN22" i="24"/>
  <c r="BF22" i="24"/>
  <c r="AF22" i="24"/>
  <c r="AB22" i="24"/>
  <c r="X22" i="24"/>
  <c r="T22" i="24"/>
  <c r="AO22" i="24" s="1"/>
  <c r="P26" i="9" s="1"/>
  <c r="P22" i="24"/>
  <c r="G22" i="24"/>
  <c r="O22" i="24"/>
  <c r="W22" i="24"/>
  <c r="AM22" i="24"/>
  <c r="BI22" i="24"/>
  <c r="C24" i="24"/>
  <c r="E24" i="24" s="1"/>
  <c r="J24" i="24"/>
  <c r="R24" i="24"/>
  <c r="H28" i="9" s="1"/>
  <c r="AH24" i="24"/>
  <c r="BD24" i="24"/>
  <c r="T25" i="24"/>
  <c r="K26" i="24"/>
  <c r="BE26" i="24"/>
  <c r="BO27" i="24"/>
  <c r="CA27" i="24"/>
  <c r="AX27" i="24" s="1"/>
  <c r="BZ27" i="24"/>
  <c r="AW27" i="24" s="1"/>
  <c r="F28" i="24"/>
  <c r="N28" i="24"/>
  <c r="V28" i="24"/>
  <c r="AD28" i="24"/>
  <c r="AL28" i="24"/>
  <c r="BG25" i="35" s="1"/>
  <c r="AV29" i="24"/>
  <c r="BG30" i="24"/>
  <c r="BC30" i="24"/>
  <c r="AK30" i="24"/>
  <c r="AG30" i="24"/>
  <c r="AC30" i="24"/>
  <c r="Q30" i="24"/>
  <c r="M30" i="24"/>
  <c r="I30" i="24"/>
  <c r="BN30" i="24"/>
  <c r="BF30" i="24"/>
  <c r="AF30" i="24"/>
  <c r="AB30" i="24"/>
  <c r="X30" i="24"/>
  <c r="P30" i="24"/>
  <c r="G30" i="24"/>
  <c r="O30" i="24"/>
  <c r="W30" i="24"/>
  <c r="BI30" i="24"/>
  <c r="C32" i="24"/>
  <c r="E32" i="24" s="1"/>
  <c r="J32" i="24"/>
  <c r="R32" i="24"/>
  <c r="H36" i="9" s="1"/>
  <c r="AI4" i="25"/>
  <c r="AJ4" i="25" s="1"/>
  <c r="AF5" i="25"/>
  <c r="AE4" i="25"/>
  <c r="AO5" i="25"/>
  <c r="AO6" i="25"/>
  <c r="AF48" i="6"/>
  <c r="AK48" i="6"/>
  <c r="AC33" i="24" s="1"/>
  <c r="AS48" i="6"/>
  <c r="P33" i="24" s="1"/>
  <c r="J55" i="6"/>
  <c r="P88" i="6" s="1"/>
  <c r="N55" i="6"/>
  <c r="S7" i="24" s="1"/>
  <c r="O56" i="6"/>
  <c r="X8" i="23" s="1"/>
  <c r="AE8" i="23" s="1"/>
  <c r="AF8" i="23" s="1"/>
  <c r="J63" i="6"/>
  <c r="F15" i="23" s="1"/>
  <c r="AM15" i="24" s="1"/>
  <c r="N19" i="9" s="1"/>
  <c r="N63" i="6"/>
  <c r="H67" i="6"/>
  <c r="J68" i="6"/>
  <c r="F20" i="23" s="1"/>
  <c r="AM20" i="24" s="1"/>
  <c r="N24" i="9" s="1"/>
  <c r="N68" i="6"/>
  <c r="S20" i="24" s="1"/>
  <c r="J74" i="6"/>
  <c r="T26" i="23" s="1"/>
  <c r="N74" i="6"/>
  <c r="S26" i="24" s="1"/>
  <c r="J78" i="6"/>
  <c r="P111" i="6" s="1"/>
  <c r="N78" i="6"/>
  <c r="K88" i="6"/>
  <c r="O7" i="23" s="1"/>
  <c r="K92" i="6"/>
  <c r="O11" i="23" s="1"/>
  <c r="O92" i="6"/>
  <c r="AL11" i="24" s="1"/>
  <c r="S92" i="6"/>
  <c r="T92" i="6" s="1"/>
  <c r="K96" i="6"/>
  <c r="O15" i="23" s="1"/>
  <c r="K100" i="6"/>
  <c r="O19" i="23" s="1"/>
  <c r="K104" i="6"/>
  <c r="O23" i="23" s="1"/>
  <c r="O104" i="6"/>
  <c r="S104" i="6"/>
  <c r="T104" i="6" s="1"/>
  <c r="K108" i="6"/>
  <c r="O27" i="23" s="1"/>
  <c r="O108" i="6"/>
  <c r="M110" i="6"/>
  <c r="K112" i="6"/>
  <c r="O31" i="23" s="1"/>
  <c r="O112" i="6"/>
  <c r="S112" i="6"/>
  <c r="T112" i="6" s="1"/>
  <c r="M114" i="6"/>
  <c r="V4" i="23"/>
  <c r="AC4" i="23" s="1"/>
  <c r="AN4" i="26" s="1"/>
  <c r="T5" i="23"/>
  <c r="X5" i="23"/>
  <c r="AE5" i="23" s="1"/>
  <c r="AF5" i="23" s="1"/>
  <c r="V7" i="23"/>
  <c r="AC7" i="23" s="1"/>
  <c r="T9" i="23"/>
  <c r="X9" i="23"/>
  <c r="AE9" i="23" s="1"/>
  <c r="AF9" i="23" s="1"/>
  <c r="V11" i="23"/>
  <c r="AC11" i="23" s="1"/>
  <c r="V12" i="23"/>
  <c r="AC12" i="23" s="1"/>
  <c r="AM12" i="23" s="1"/>
  <c r="AX12" i="26" s="1"/>
  <c r="X14" i="23"/>
  <c r="AE14" i="23" s="1"/>
  <c r="AF14" i="23" s="1"/>
  <c r="T17" i="23"/>
  <c r="X17" i="23"/>
  <c r="AE17" i="23" s="1"/>
  <c r="AF17" i="23" s="1"/>
  <c r="V18" i="23"/>
  <c r="AC18" i="23" s="1"/>
  <c r="AM18" i="23" s="1"/>
  <c r="AX18" i="26" s="1"/>
  <c r="T20" i="23"/>
  <c r="X20" i="23"/>
  <c r="AE20" i="23" s="1"/>
  <c r="AF20" i="23" s="1"/>
  <c r="V21" i="23"/>
  <c r="AC21" i="23" s="1"/>
  <c r="AM21" i="23" s="1"/>
  <c r="AX21" i="26" s="1"/>
  <c r="AJ21" i="23"/>
  <c r="AO21" i="26" s="1"/>
  <c r="T23" i="23"/>
  <c r="X23" i="23"/>
  <c r="AE23" i="23" s="1"/>
  <c r="AF23" i="23" s="1"/>
  <c r="V25" i="23"/>
  <c r="AC25" i="23" s="1"/>
  <c r="AM25" i="23" s="1"/>
  <c r="AX25" i="26" s="1"/>
  <c r="T27" i="23"/>
  <c r="X27" i="23"/>
  <c r="AE27" i="23" s="1"/>
  <c r="AF27" i="23" s="1"/>
  <c r="V29" i="23"/>
  <c r="AC29" i="23" s="1"/>
  <c r="AM29" i="23" s="1"/>
  <c r="AX29" i="26" s="1"/>
  <c r="T31" i="23"/>
  <c r="X31" i="23"/>
  <c r="AE31" i="23" s="1"/>
  <c r="AF31" i="23" s="1"/>
  <c r="V33" i="23"/>
  <c r="AC33" i="23" s="1"/>
  <c r="AM33" i="23" s="1"/>
  <c r="AY4" i="24"/>
  <c r="CA4" i="24"/>
  <c r="AX4" i="24" s="1"/>
  <c r="AY6" i="24"/>
  <c r="CA6" i="24"/>
  <c r="AX6" i="24" s="1"/>
  <c r="AY8" i="24"/>
  <c r="F10" i="24"/>
  <c r="T11" i="24"/>
  <c r="AO11" i="24" s="1"/>
  <c r="P15" i="9" s="1"/>
  <c r="K16" i="24"/>
  <c r="S16" i="24"/>
  <c r="BE16" i="24"/>
  <c r="CA17" i="24"/>
  <c r="AX17" i="24" s="1"/>
  <c r="BZ17" i="24"/>
  <c r="AW17" i="24" s="1"/>
  <c r="X21" i="9" s="1"/>
  <c r="F18" i="24"/>
  <c r="BG20" i="24"/>
  <c r="BC20" i="24"/>
  <c r="AG20" i="24"/>
  <c r="AC20" i="24"/>
  <c r="Q20" i="24"/>
  <c r="M20" i="24"/>
  <c r="I20" i="24"/>
  <c r="BN20" i="24"/>
  <c r="BF20" i="24"/>
  <c r="AF20" i="24"/>
  <c r="AB20" i="24"/>
  <c r="X20" i="24"/>
  <c r="P20" i="24"/>
  <c r="G20" i="24"/>
  <c r="O20" i="24"/>
  <c r="W20" i="24"/>
  <c r="BI20" i="24"/>
  <c r="T23" i="24"/>
  <c r="K24" i="24"/>
  <c r="S24" i="24"/>
  <c r="BE24" i="24"/>
  <c r="CA25" i="24"/>
  <c r="AX25" i="24" s="1"/>
  <c r="BZ25" i="24"/>
  <c r="AW25" i="24" s="1"/>
  <c r="X29" i="9" s="1"/>
  <c r="F26" i="24"/>
  <c r="N26" i="24"/>
  <c r="V26" i="24"/>
  <c r="BG28" i="24"/>
  <c r="BC28" i="24"/>
  <c r="AG28" i="24"/>
  <c r="Q28" i="24"/>
  <c r="M28" i="24"/>
  <c r="I28" i="24"/>
  <c r="BN28" i="24"/>
  <c r="BF28" i="24"/>
  <c r="AN28" i="24"/>
  <c r="O32" i="9" s="1"/>
  <c r="AF28" i="24"/>
  <c r="AB28" i="24"/>
  <c r="X28" i="24"/>
  <c r="P28" i="24"/>
  <c r="G28" i="24"/>
  <c r="O28" i="24"/>
  <c r="W28" i="24"/>
  <c r="AM28" i="24"/>
  <c r="N32" i="9" s="1"/>
  <c r="AC32" i="9" s="1"/>
  <c r="BI28" i="24"/>
  <c r="T31" i="24"/>
  <c r="K32" i="24"/>
  <c r="S32" i="24"/>
  <c r="J5" i="34"/>
  <c r="AE5" i="25"/>
  <c r="AO7" i="25"/>
  <c r="AO9" i="25"/>
  <c r="AO16" i="25"/>
  <c r="AO20" i="25"/>
  <c r="AO22" i="25"/>
  <c r="AO30" i="25"/>
  <c r="AF25" i="6"/>
  <c r="J91" i="6" s="1"/>
  <c r="M10" i="23" s="1"/>
  <c r="AK25" i="6"/>
  <c r="M91" i="6" s="1"/>
  <c r="AF29" i="6"/>
  <c r="J95" i="6" s="1"/>
  <c r="M14" i="23" s="1"/>
  <c r="AK29" i="6"/>
  <c r="M95" i="6" s="1"/>
  <c r="AF33" i="6"/>
  <c r="J99" i="6" s="1"/>
  <c r="M18" i="23" s="1"/>
  <c r="AK33" i="6"/>
  <c r="M99" i="6" s="1"/>
  <c r="AF37" i="6"/>
  <c r="J103" i="6" s="1"/>
  <c r="M22" i="23" s="1"/>
  <c r="AK37" i="6"/>
  <c r="M103" i="6" s="1"/>
  <c r="AL41" i="6"/>
  <c r="N107" i="6" s="1"/>
  <c r="AF43" i="6"/>
  <c r="J109" i="6" s="1"/>
  <c r="M28" i="23" s="1"/>
  <c r="AK43" i="6"/>
  <c r="M109" i="6" s="1"/>
  <c r="AF47" i="6"/>
  <c r="J113" i="6" s="1"/>
  <c r="M32" i="23" s="1"/>
  <c r="AK47" i="6"/>
  <c r="AC32" i="24" s="1"/>
  <c r="W48" i="6"/>
  <c r="X33" i="24" s="1"/>
  <c r="AL48" i="6"/>
  <c r="N114" i="6" s="1"/>
  <c r="H52" i="6"/>
  <c r="K52" i="6" s="1"/>
  <c r="M52" i="6"/>
  <c r="T4" i="24" s="1"/>
  <c r="AO4" i="24" s="1"/>
  <c r="P8" i="9" s="1"/>
  <c r="H53" i="6"/>
  <c r="K53" i="6" s="1"/>
  <c r="M53" i="6"/>
  <c r="S86" i="6" s="1"/>
  <c r="H54" i="6"/>
  <c r="K54" i="6" s="1"/>
  <c r="M54" i="6"/>
  <c r="W6" i="23" s="1"/>
  <c r="AD6" i="23" s="1"/>
  <c r="E55" i="6"/>
  <c r="G55" i="6" s="1"/>
  <c r="M55" i="6" s="1"/>
  <c r="J58" i="6"/>
  <c r="K58" i="6" s="1"/>
  <c r="Q91" i="6" s="1"/>
  <c r="N58" i="6"/>
  <c r="S10" i="24" s="1"/>
  <c r="J62" i="6"/>
  <c r="K62" i="6" s="1"/>
  <c r="Q95" i="6" s="1"/>
  <c r="N62" i="6"/>
  <c r="R62" i="6"/>
  <c r="E63" i="6"/>
  <c r="G63" i="6" s="1"/>
  <c r="V63" i="6" s="1"/>
  <c r="J66" i="6"/>
  <c r="K66" i="6" s="1"/>
  <c r="Q99" i="6" s="1"/>
  <c r="N66" i="6"/>
  <c r="S18" i="24" s="1"/>
  <c r="R66" i="6"/>
  <c r="E67" i="6"/>
  <c r="G67" i="6" s="1"/>
  <c r="V67" i="6" s="1"/>
  <c r="J67" i="6"/>
  <c r="K67" i="6" s="1"/>
  <c r="U19" i="23" s="1"/>
  <c r="N67" i="6"/>
  <c r="E68" i="6"/>
  <c r="G68" i="6" s="1"/>
  <c r="V68" i="6" s="1"/>
  <c r="J73" i="6"/>
  <c r="K73" i="6" s="1"/>
  <c r="G25" i="23" s="1"/>
  <c r="AN25" i="24" s="1"/>
  <c r="O29" i="9" s="1"/>
  <c r="N73" i="6"/>
  <c r="R73" i="6"/>
  <c r="E74" i="6"/>
  <c r="G74" i="6" s="1"/>
  <c r="V74" i="6" s="1"/>
  <c r="J77" i="6"/>
  <c r="K77" i="6" s="1"/>
  <c r="G29" i="23" s="1"/>
  <c r="AN29" i="24" s="1"/>
  <c r="O33" i="9" s="1"/>
  <c r="N77" i="6"/>
  <c r="R77" i="6"/>
  <c r="E78" i="6"/>
  <c r="G78" i="6" s="1"/>
  <c r="V78" i="6" s="1"/>
  <c r="J81" i="6"/>
  <c r="K81" i="6" s="1"/>
  <c r="G33" i="23" s="1"/>
  <c r="AN33" i="24" s="1"/>
  <c r="O37" i="9" s="1"/>
  <c r="N81" i="6"/>
  <c r="R81" i="6"/>
  <c r="L88" i="6"/>
  <c r="L96" i="6"/>
  <c r="L100" i="6"/>
  <c r="L104" i="6"/>
  <c r="L108" i="6"/>
  <c r="J110" i="6"/>
  <c r="M29" i="23" s="1"/>
  <c r="N110" i="6"/>
  <c r="L112" i="6"/>
  <c r="J114" i="6"/>
  <c r="M33" i="23" s="1"/>
  <c r="S4" i="23"/>
  <c r="AB4" i="23" s="1"/>
  <c r="S11" i="23"/>
  <c r="AB11" i="23" s="1"/>
  <c r="S12" i="23"/>
  <c r="AB12" i="23" s="1"/>
  <c r="U14" i="23"/>
  <c r="S18" i="23"/>
  <c r="AB18" i="23" s="1"/>
  <c r="S21" i="23"/>
  <c r="AB21" i="23" s="1"/>
  <c r="S25" i="23"/>
  <c r="AB25" i="23" s="1"/>
  <c r="S29" i="23"/>
  <c r="AB29" i="23" s="1"/>
  <c r="S33" i="23"/>
  <c r="AB33" i="23" s="1"/>
  <c r="F5" i="24"/>
  <c r="J5" i="24"/>
  <c r="N5" i="24"/>
  <c r="R5" i="24"/>
  <c r="H9" i="9" s="1"/>
  <c r="V5" i="24"/>
  <c r="I9" i="9" s="1"/>
  <c r="AD5" i="24"/>
  <c r="AH5" i="24"/>
  <c r="AL5" i="24"/>
  <c r="AG8" i="35" s="1"/>
  <c r="BD5" i="24"/>
  <c r="T6" i="24"/>
  <c r="AO6" i="24" s="1"/>
  <c r="F7" i="24"/>
  <c r="J7" i="24"/>
  <c r="N7" i="24"/>
  <c r="R7" i="24"/>
  <c r="V7" i="24"/>
  <c r="AD7" i="24"/>
  <c r="AH7" i="24"/>
  <c r="BD7" i="24"/>
  <c r="BI9" i="24"/>
  <c r="BE9" i="24"/>
  <c r="AM9" i="24"/>
  <c r="W9" i="24"/>
  <c r="S9" i="24"/>
  <c r="O9" i="24"/>
  <c r="K9" i="24"/>
  <c r="G9" i="24"/>
  <c r="C9" i="24"/>
  <c r="E9" i="24" s="1"/>
  <c r="M9" i="24"/>
  <c r="R9" i="24"/>
  <c r="X9" i="24"/>
  <c r="AC9" i="24"/>
  <c r="AH9" i="24"/>
  <c r="BF9" i="24"/>
  <c r="BO9" i="24"/>
  <c r="BG10" i="24"/>
  <c r="BC10" i="24"/>
  <c r="AG10" i="24"/>
  <c r="AC10" i="24"/>
  <c r="Q10" i="24"/>
  <c r="M10" i="24"/>
  <c r="I10" i="24"/>
  <c r="G10" i="24"/>
  <c r="R10" i="24"/>
  <c r="H14" i="9" s="1"/>
  <c r="W10" i="24"/>
  <c r="AH10" i="24"/>
  <c r="BE10" i="24"/>
  <c r="BN10" i="24"/>
  <c r="S14" i="24"/>
  <c r="BO15" i="24"/>
  <c r="CA15" i="24"/>
  <c r="AX15" i="24" s="1"/>
  <c r="BZ15" i="24"/>
  <c r="AW15" i="24" s="1"/>
  <c r="F16" i="24"/>
  <c r="V16" i="24"/>
  <c r="AL16" i="24"/>
  <c r="AT18" i="35" s="1"/>
  <c r="BH16" i="24"/>
  <c r="AV17" i="24"/>
  <c r="BG18" i="24"/>
  <c r="BC18" i="24"/>
  <c r="AG18" i="24"/>
  <c r="AC18" i="24"/>
  <c r="Q18" i="24"/>
  <c r="M18" i="24"/>
  <c r="I18" i="24"/>
  <c r="BN18" i="24"/>
  <c r="BF18" i="24"/>
  <c r="AF18" i="24"/>
  <c r="AB18" i="24"/>
  <c r="X18" i="24"/>
  <c r="P18" i="24"/>
  <c r="G18" i="24"/>
  <c r="O18" i="24"/>
  <c r="W18" i="24"/>
  <c r="BI18" i="24"/>
  <c r="C20" i="24"/>
  <c r="E20" i="24" s="1"/>
  <c r="J20" i="24"/>
  <c r="R20" i="24"/>
  <c r="H24" i="9" s="1"/>
  <c r="AH20" i="24"/>
  <c r="BD20" i="24"/>
  <c r="T21" i="24"/>
  <c r="S22" i="24"/>
  <c r="BO23" i="24"/>
  <c r="CA23" i="24"/>
  <c r="AX23" i="24" s="1"/>
  <c r="BZ23" i="24"/>
  <c r="AW23" i="24" s="1"/>
  <c r="F24" i="24"/>
  <c r="N24" i="24"/>
  <c r="V24" i="24"/>
  <c r="AD24" i="24"/>
  <c r="BH24" i="24"/>
  <c r="AV25" i="24"/>
  <c r="BG26" i="24"/>
  <c r="BC26" i="24"/>
  <c r="AK26" i="24"/>
  <c r="AG26" i="24"/>
  <c r="AC26" i="24"/>
  <c r="Q26" i="24"/>
  <c r="M26" i="24"/>
  <c r="I26" i="24"/>
  <c r="BN26" i="24"/>
  <c r="BF26" i="24"/>
  <c r="AJ26" i="24"/>
  <c r="K30" i="9" s="1"/>
  <c r="AF26" i="24"/>
  <c r="AB26" i="24"/>
  <c r="X26" i="24"/>
  <c r="P26" i="24"/>
  <c r="G26" i="24"/>
  <c r="O26" i="24"/>
  <c r="W26" i="24"/>
  <c r="BI26" i="24"/>
  <c r="C28" i="24"/>
  <c r="E28" i="24" s="1"/>
  <c r="J28" i="24"/>
  <c r="R28" i="24"/>
  <c r="H32" i="9" s="1"/>
  <c r="AH28" i="24"/>
  <c r="BD28" i="24"/>
  <c r="T29" i="24"/>
  <c r="S30" i="24"/>
  <c r="CA31" i="24"/>
  <c r="AX31" i="24" s="1"/>
  <c r="BZ31" i="24"/>
  <c r="AW31" i="24" s="1"/>
  <c r="F32" i="24"/>
  <c r="N32" i="24"/>
  <c r="V32" i="24"/>
  <c r="BE32" i="24"/>
  <c r="AB6" i="25"/>
  <c r="AC6" i="25" s="1"/>
  <c r="Z7" i="25"/>
  <c r="AO11" i="25"/>
  <c r="AO25" i="25"/>
  <c r="AO28" i="25"/>
  <c r="AO32" i="25"/>
  <c r="M109" i="39"/>
  <c r="S112" i="39"/>
  <c r="J126" i="39"/>
  <c r="X10" i="9"/>
  <c r="P10" i="9"/>
  <c r="H10" i="9"/>
  <c r="W10" i="9"/>
  <c r="G10" i="9"/>
  <c r="C10" i="9"/>
  <c r="I10" i="9"/>
  <c r="Y10" i="9"/>
  <c r="W16" i="9"/>
  <c r="G16" i="9"/>
  <c r="C16" i="9"/>
  <c r="L16" i="9"/>
  <c r="P16" i="9"/>
  <c r="E16" i="9"/>
  <c r="M16" i="9"/>
  <c r="X16" i="9"/>
  <c r="X17" i="9"/>
  <c r="H17" i="9"/>
  <c r="E17" i="9"/>
  <c r="Y17" i="9"/>
  <c r="Y19" i="9"/>
  <c r="I19" i="9"/>
  <c r="E19" i="9"/>
  <c r="F42" i="9"/>
  <c r="F46" i="9"/>
  <c r="F50" i="9"/>
  <c r="F54" i="9"/>
  <c r="F58" i="9"/>
  <c r="F62" i="9"/>
  <c r="F13" i="24"/>
  <c r="J13" i="24"/>
  <c r="N13" i="24"/>
  <c r="R13" i="24"/>
  <c r="V13" i="24"/>
  <c r="I17" i="9" s="1"/>
  <c r="AD13" i="24"/>
  <c r="AH13" i="24"/>
  <c r="BD13" i="24"/>
  <c r="BH13" i="24"/>
  <c r="F15" i="24"/>
  <c r="J15" i="24"/>
  <c r="R15" i="24"/>
  <c r="H19" i="9" s="1"/>
  <c r="V15" i="24"/>
  <c r="AH15" i="24"/>
  <c r="BD15" i="24"/>
  <c r="BH15" i="24"/>
  <c r="F17" i="24"/>
  <c r="J17" i="24"/>
  <c r="N17" i="24"/>
  <c r="R17" i="24"/>
  <c r="H21" i="9" s="1"/>
  <c r="V17" i="24"/>
  <c r="AH17" i="24"/>
  <c r="BD17" i="24"/>
  <c r="BH17" i="24"/>
  <c r="F19" i="24"/>
  <c r="J19" i="24"/>
  <c r="R19" i="24"/>
  <c r="V19" i="24"/>
  <c r="AH19" i="24"/>
  <c r="BD19" i="24"/>
  <c r="BH19" i="24"/>
  <c r="F21" i="24"/>
  <c r="J21" i="24"/>
  <c r="N21" i="24"/>
  <c r="R21" i="24"/>
  <c r="H25" i="9" s="1"/>
  <c r="V21" i="24"/>
  <c r="AH21" i="24"/>
  <c r="AL21" i="24"/>
  <c r="AT29" i="35" s="1"/>
  <c r="BD21" i="24"/>
  <c r="BH21" i="24"/>
  <c r="F23" i="24"/>
  <c r="J23" i="24"/>
  <c r="R23" i="24"/>
  <c r="V23" i="24"/>
  <c r="AH23" i="24"/>
  <c r="AL23" i="24"/>
  <c r="BD23" i="24"/>
  <c r="BH23" i="24"/>
  <c r="F25" i="24"/>
  <c r="J25" i="24"/>
  <c r="N25" i="24"/>
  <c r="R25" i="24"/>
  <c r="H29" i="9" s="1"/>
  <c r="V25" i="24"/>
  <c r="AD25" i="24"/>
  <c r="AH25" i="24"/>
  <c r="AL25" i="24"/>
  <c r="BG18" i="35" s="1"/>
  <c r="BD25" i="24"/>
  <c r="BH25" i="24"/>
  <c r="F27" i="24"/>
  <c r="J27" i="24"/>
  <c r="N27" i="24"/>
  <c r="R27" i="24"/>
  <c r="V27" i="24"/>
  <c r="AD27" i="24"/>
  <c r="AH27" i="24"/>
  <c r="AL27" i="24"/>
  <c r="BG23" i="35" s="1"/>
  <c r="BD27" i="24"/>
  <c r="BH27" i="24"/>
  <c r="F29" i="24"/>
  <c r="J29" i="24"/>
  <c r="N29" i="24"/>
  <c r="R29" i="24"/>
  <c r="H33" i="9" s="1"/>
  <c r="V29" i="24"/>
  <c r="AD29" i="24"/>
  <c r="AH29" i="24"/>
  <c r="AL29" i="24"/>
  <c r="BD29" i="24"/>
  <c r="BH29" i="24"/>
  <c r="F31" i="24"/>
  <c r="J31" i="24"/>
  <c r="N31" i="24"/>
  <c r="R31" i="24"/>
  <c r="V31" i="24"/>
  <c r="AD31" i="24"/>
  <c r="AH31" i="24"/>
  <c r="AL31" i="24"/>
  <c r="BG31" i="35" s="1"/>
  <c r="BD31" i="24"/>
  <c r="BH31" i="24"/>
  <c r="F33" i="24"/>
  <c r="J33" i="24"/>
  <c r="N33" i="24"/>
  <c r="R33" i="24"/>
  <c r="H37" i="9" s="1"/>
  <c r="V33" i="24"/>
  <c r="AD33" i="24"/>
  <c r="AH33" i="24"/>
  <c r="AL33" i="24"/>
  <c r="BD33" i="24"/>
  <c r="BH33" i="24"/>
  <c r="I27" i="25"/>
  <c r="F28" i="25"/>
  <c r="F29" i="25"/>
  <c r="G30" i="25"/>
  <c r="H31" i="25"/>
  <c r="AO33" i="25"/>
  <c r="O76" i="39"/>
  <c r="O81" i="39"/>
  <c r="J106" i="39"/>
  <c r="K120" i="39"/>
  <c r="O120" i="39" s="1"/>
  <c r="P120" i="39" s="1"/>
  <c r="K124" i="39"/>
  <c r="K126" i="39"/>
  <c r="J129" i="39"/>
  <c r="L141" i="39"/>
  <c r="M143" i="39"/>
  <c r="M152" i="39"/>
  <c r="M156" i="39"/>
  <c r="L159" i="39"/>
  <c r="M161" i="39"/>
  <c r="N16" i="9"/>
  <c r="Y16" i="9"/>
  <c r="C17" i="9"/>
  <c r="G18" i="9"/>
  <c r="C19" i="9"/>
  <c r="W19" i="9"/>
  <c r="Y23" i="9"/>
  <c r="I23" i="9"/>
  <c r="E23" i="9"/>
  <c r="X23" i="9"/>
  <c r="H23" i="9"/>
  <c r="C23" i="9"/>
  <c r="G27" i="9"/>
  <c r="C13" i="24"/>
  <c r="E13" i="24" s="1"/>
  <c r="G13" i="24"/>
  <c r="K13" i="24"/>
  <c r="O13" i="24"/>
  <c r="S13" i="24"/>
  <c r="W13" i="24"/>
  <c r="AM13" i="24"/>
  <c r="N17" i="9" s="1"/>
  <c r="BE13" i="24"/>
  <c r="C15" i="24"/>
  <c r="E15" i="24" s="1"/>
  <c r="G15" i="24"/>
  <c r="K15" i="24"/>
  <c r="O15" i="24"/>
  <c r="S15" i="24"/>
  <c r="W15" i="24"/>
  <c r="BE15" i="24"/>
  <c r="C17" i="24"/>
  <c r="E17" i="24" s="1"/>
  <c r="G17" i="24"/>
  <c r="K17" i="24"/>
  <c r="O17" i="24"/>
  <c r="S17" i="24"/>
  <c r="W17" i="24"/>
  <c r="BE17" i="24"/>
  <c r="C19" i="24"/>
  <c r="E19" i="24" s="1"/>
  <c r="G19" i="24"/>
  <c r="K19" i="24"/>
  <c r="O19" i="24"/>
  <c r="S19" i="24"/>
  <c r="W19" i="24"/>
  <c r="BE19" i="24"/>
  <c r="C21" i="24"/>
  <c r="E21" i="24" s="1"/>
  <c r="G21" i="24"/>
  <c r="K21" i="24"/>
  <c r="O21" i="24"/>
  <c r="S21" i="24"/>
  <c r="W21" i="24"/>
  <c r="BE21" i="24"/>
  <c r="C23" i="24"/>
  <c r="E23" i="24" s="1"/>
  <c r="G23" i="24"/>
  <c r="K23" i="24"/>
  <c r="O23" i="24"/>
  <c r="S23" i="24"/>
  <c r="W23" i="24"/>
  <c r="BE23" i="24"/>
  <c r="C25" i="24"/>
  <c r="E25" i="24" s="1"/>
  <c r="G25" i="24"/>
  <c r="K25" i="24"/>
  <c r="O25" i="24"/>
  <c r="S25" i="24"/>
  <c r="W25" i="24"/>
  <c r="BE25" i="24"/>
  <c r="C27" i="24"/>
  <c r="E27" i="24" s="1"/>
  <c r="G27" i="24"/>
  <c r="K27" i="24"/>
  <c r="O27" i="24"/>
  <c r="S27" i="24"/>
  <c r="W27" i="24"/>
  <c r="BE27" i="24"/>
  <c r="C29" i="24"/>
  <c r="E29" i="24" s="1"/>
  <c r="G29" i="24"/>
  <c r="K29" i="24"/>
  <c r="O29" i="24"/>
  <c r="S29" i="24"/>
  <c r="W29" i="24"/>
  <c r="BE29" i="24"/>
  <c r="C31" i="24"/>
  <c r="E31" i="24" s="1"/>
  <c r="G31" i="24"/>
  <c r="K31" i="24"/>
  <c r="O31" i="24"/>
  <c r="S31" i="24"/>
  <c r="W31" i="24"/>
  <c r="BE31" i="24"/>
  <c r="C33" i="24"/>
  <c r="E33" i="24" s="1"/>
  <c r="G33" i="24"/>
  <c r="K33" i="24"/>
  <c r="O33" i="24"/>
  <c r="S33" i="24"/>
  <c r="W33" i="24"/>
  <c r="BE33" i="24"/>
  <c r="T5" i="25"/>
  <c r="J31" i="25"/>
  <c r="I25" i="25"/>
  <c r="J26" i="25"/>
  <c r="E27" i="25"/>
  <c r="AO27" i="25"/>
  <c r="H28" i="25"/>
  <c r="G29" i="25"/>
  <c r="H30" i="25"/>
  <c r="K102" i="39"/>
  <c r="O102" i="39" s="1"/>
  <c r="P102" i="39" s="1"/>
  <c r="S103" i="39"/>
  <c r="K104" i="39"/>
  <c r="O104" i="39" s="1"/>
  <c r="P104" i="39" s="1"/>
  <c r="K106" i="39"/>
  <c r="S106" i="39"/>
  <c r="J107" i="39"/>
  <c r="O107" i="39" s="1"/>
  <c r="P107" i="39" s="1"/>
  <c r="M108" i="39"/>
  <c r="J109" i="39"/>
  <c r="L110" i="39"/>
  <c r="K114" i="39"/>
  <c r="O114" i="39" s="1"/>
  <c r="P114" i="39" s="1"/>
  <c r="S114" i="39"/>
  <c r="S116" i="39"/>
  <c r="J117" i="39"/>
  <c r="L120" i="39"/>
  <c r="N121" i="39"/>
  <c r="L124" i="39"/>
  <c r="K125" i="39"/>
  <c r="J128" i="39"/>
  <c r="O128" i="39" s="1"/>
  <c r="P128" i="39" s="1"/>
  <c r="L129" i="39"/>
  <c r="J130" i="39"/>
  <c r="S131" i="39"/>
  <c r="L139" i="39"/>
  <c r="M140" i="39"/>
  <c r="L145" i="39"/>
  <c r="M147" i="39"/>
  <c r="L150" i="39"/>
  <c r="L154" i="39"/>
  <c r="L158" i="39"/>
  <c r="L163" i="39"/>
  <c r="M165" i="39"/>
  <c r="Y8" i="9"/>
  <c r="M8" i="9"/>
  <c r="I8" i="9"/>
  <c r="E8" i="9"/>
  <c r="G8" i="9"/>
  <c r="W8" i="9"/>
  <c r="E10" i="9"/>
  <c r="M10" i="9"/>
  <c r="I11" i="9"/>
  <c r="E11" i="9"/>
  <c r="Y11" i="9"/>
  <c r="H11" i="9"/>
  <c r="X11" i="9"/>
  <c r="W12" i="9"/>
  <c r="C12" i="9"/>
  <c r="E12" i="9"/>
  <c r="Y12" i="9"/>
  <c r="N12" i="9"/>
  <c r="I12" i="9"/>
  <c r="H16" i="9"/>
  <c r="W17" i="9"/>
  <c r="Y18" i="9"/>
  <c r="I18" i="9"/>
  <c r="E18" i="9"/>
  <c r="X18" i="9"/>
  <c r="H18" i="9"/>
  <c r="C18" i="9"/>
  <c r="X19" i="9"/>
  <c r="K6" i="25"/>
  <c r="E25" i="25"/>
  <c r="J25" i="25"/>
  <c r="F26" i="25"/>
  <c r="G27" i="25"/>
  <c r="I28" i="25"/>
  <c r="I29" i="25"/>
  <c r="J30" i="25"/>
  <c r="AO31" i="25"/>
  <c r="O80" i="39"/>
  <c r="S127" i="39" s="1"/>
  <c r="J108" i="39"/>
  <c r="O108" i="39" s="1"/>
  <c r="P108" i="39" s="1"/>
  <c r="L109" i="39"/>
  <c r="S109" i="39"/>
  <c r="J110" i="39"/>
  <c r="O110" i="39" s="1"/>
  <c r="P110" i="39" s="1"/>
  <c r="S111" i="39"/>
  <c r="L117" i="39"/>
  <c r="S117" i="39"/>
  <c r="M120" i="39"/>
  <c r="S120" i="39"/>
  <c r="O121" i="39"/>
  <c r="P121" i="39" s="1"/>
  <c r="J125" i="39"/>
  <c r="O125" i="39" s="1"/>
  <c r="P125" i="39" s="1"/>
  <c r="M129" i="39"/>
  <c r="K130" i="39"/>
  <c r="S130" i="39"/>
  <c r="L138" i="39"/>
  <c r="L143" i="39"/>
  <c r="M144" i="39"/>
  <c r="M149" i="39"/>
  <c r="L152" i="39"/>
  <c r="M153" i="39"/>
  <c r="L156" i="39"/>
  <c r="M157" i="39"/>
  <c r="L161" i="39"/>
  <c r="M162" i="39"/>
  <c r="O283" i="39"/>
  <c r="C8" i="9"/>
  <c r="H8" i="9"/>
  <c r="N8" i="9"/>
  <c r="X8" i="9"/>
  <c r="N10" i="9"/>
  <c r="C11" i="9"/>
  <c r="X12" i="9"/>
  <c r="X13" i="9"/>
  <c r="H13" i="9"/>
  <c r="Y13" i="9"/>
  <c r="N13" i="9"/>
  <c r="I13" i="9"/>
  <c r="W13" i="9"/>
  <c r="C13" i="9"/>
  <c r="I16" i="9"/>
  <c r="W18" i="9"/>
  <c r="Y27" i="9"/>
  <c r="M27" i="9"/>
  <c r="I27" i="9"/>
  <c r="E27" i="9"/>
  <c r="X27" i="9"/>
  <c r="H27" i="9"/>
  <c r="C27" i="9"/>
  <c r="Y31" i="9"/>
  <c r="M31" i="9"/>
  <c r="I31" i="9"/>
  <c r="E31" i="9"/>
  <c r="W31" i="9"/>
  <c r="Y35" i="9"/>
  <c r="M35" i="9"/>
  <c r="I35" i="9"/>
  <c r="E35" i="9"/>
  <c r="G35" i="9"/>
  <c r="W35" i="9"/>
  <c r="F66" i="9"/>
  <c r="F67" i="9"/>
  <c r="F70" i="9"/>
  <c r="Y22" i="9"/>
  <c r="M22" i="9"/>
  <c r="I22" i="9"/>
  <c r="E22" i="9"/>
  <c r="W22" i="9"/>
  <c r="Y26" i="9"/>
  <c r="M26" i="9"/>
  <c r="I26" i="9"/>
  <c r="E26" i="9"/>
  <c r="G26" i="9"/>
  <c r="W26" i="9"/>
  <c r="Y30" i="9"/>
  <c r="I30" i="9"/>
  <c r="E30" i="9"/>
  <c r="L30" i="9"/>
  <c r="W30" i="9"/>
  <c r="C31" i="9"/>
  <c r="H31" i="9"/>
  <c r="X31" i="9"/>
  <c r="Y34" i="9"/>
  <c r="I34" i="9"/>
  <c r="E34" i="9"/>
  <c r="L34" i="9"/>
  <c r="W34" i="9"/>
  <c r="C35" i="9"/>
  <c r="H35" i="9"/>
  <c r="X35" i="9"/>
  <c r="F45" i="9"/>
  <c r="F49" i="9"/>
  <c r="F53" i="9"/>
  <c r="F57" i="9"/>
  <c r="F61" i="9"/>
  <c r="H25" i="25"/>
  <c r="E26" i="25"/>
  <c r="I26" i="25"/>
  <c r="F27" i="25"/>
  <c r="J27" i="25"/>
  <c r="G28" i="25"/>
  <c r="H29" i="25"/>
  <c r="E30" i="25"/>
  <c r="I30" i="25"/>
  <c r="F31" i="25"/>
  <c r="M111" i="39"/>
  <c r="O111" i="39" s="1"/>
  <c r="P111" i="39" s="1"/>
  <c r="M119" i="39"/>
  <c r="O119" i="39" s="1"/>
  <c r="P119" i="39" s="1"/>
  <c r="M131" i="39"/>
  <c r="O131" i="39" s="1"/>
  <c r="P131" i="39" s="1"/>
  <c r="N9" i="9"/>
  <c r="Y14" i="9"/>
  <c r="M14" i="9"/>
  <c r="I14" i="9"/>
  <c r="E14" i="9"/>
  <c r="W14" i="9"/>
  <c r="Y21" i="9"/>
  <c r="I21" i="9"/>
  <c r="E21" i="9"/>
  <c r="W21" i="9"/>
  <c r="C22" i="9"/>
  <c r="H22" i="9"/>
  <c r="X22" i="9"/>
  <c r="Y25" i="9"/>
  <c r="M25" i="9"/>
  <c r="I25" i="9"/>
  <c r="E25" i="9"/>
  <c r="G25" i="9"/>
  <c r="W25" i="9"/>
  <c r="C26" i="9"/>
  <c r="AC26" i="9" s="1"/>
  <c r="H26" i="9"/>
  <c r="N26" i="9"/>
  <c r="X26" i="9"/>
  <c r="Y29" i="9"/>
  <c r="M29" i="9"/>
  <c r="I29" i="9"/>
  <c r="E29" i="9"/>
  <c r="G29" i="9"/>
  <c r="W29" i="9"/>
  <c r="C30" i="9"/>
  <c r="H30" i="9"/>
  <c r="X30" i="9"/>
  <c r="Y33" i="9"/>
  <c r="M33" i="9"/>
  <c r="I33" i="9"/>
  <c r="E33" i="9"/>
  <c r="G33" i="9"/>
  <c r="W33" i="9"/>
  <c r="C34" i="9"/>
  <c r="H34" i="9"/>
  <c r="X34" i="9"/>
  <c r="Y37" i="9"/>
  <c r="M37" i="9"/>
  <c r="I37" i="9"/>
  <c r="E37" i="9"/>
  <c r="G37" i="9"/>
  <c r="W37" i="9"/>
  <c r="F65" i="9"/>
  <c r="F68" i="9"/>
  <c r="F69" i="9"/>
  <c r="Y20" i="9"/>
  <c r="M20" i="9"/>
  <c r="I20" i="9"/>
  <c r="E20" i="9"/>
  <c r="L20" i="9"/>
  <c r="W20" i="9"/>
  <c r="Y24" i="9"/>
  <c r="I24" i="9"/>
  <c r="E24" i="9"/>
  <c r="W24" i="9"/>
  <c r="Y28" i="9"/>
  <c r="I28" i="9"/>
  <c r="E28" i="9"/>
  <c r="W28" i="9"/>
  <c r="Y32" i="9"/>
  <c r="M32" i="9"/>
  <c r="I32" i="9"/>
  <c r="E32" i="9"/>
  <c r="W32" i="9"/>
  <c r="Y36" i="9"/>
  <c r="I36" i="9"/>
  <c r="E36" i="9"/>
  <c r="W36" i="9"/>
  <c r="F41" i="9"/>
  <c r="F43" i="9"/>
  <c r="F47" i="9"/>
  <c r="F51" i="9"/>
  <c r="F55" i="9"/>
  <c r="F59" i="9"/>
  <c r="F63" i="9"/>
  <c r="E12" i="32"/>
  <c r="F12" i="32" s="1"/>
  <c r="D13" i="32"/>
  <c r="D14" i="32" s="1"/>
  <c r="P30" i="32"/>
  <c r="P29" i="32"/>
  <c r="P28" i="32"/>
  <c r="P24" i="32"/>
  <c r="E7" i="32"/>
  <c r="F7" i="32" s="1"/>
  <c r="AA25" i="32"/>
  <c r="S57" i="32"/>
  <c r="S53" i="32"/>
  <c r="S49" i="32"/>
  <c r="S47" i="32"/>
  <c r="S31" i="32"/>
  <c r="S58" i="32"/>
  <c r="S54" i="32"/>
  <c r="S50" i="32"/>
  <c r="S30" i="32"/>
  <c r="S29" i="32"/>
  <c r="S28" i="32"/>
  <c r="S27" i="32"/>
  <c r="S23" i="32"/>
  <c r="S19" i="32"/>
  <c r="S59" i="32"/>
  <c r="S60" i="32" s="1"/>
  <c r="S61" i="32" s="1"/>
  <c r="S62" i="32" s="1"/>
  <c r="S63" i="32" s="1"/>
  <c r="S64" i="32" s="1"/>
  <c r="S65" i="32" s="1"/>
  <c r="S66" i="32" s="1"/>
  <c r="S67" i="32" s="1"/>
  <c r="S68" i="32" s="1"/>
  <c r="S69" i="32" s="1"/>
  <c r="S55" i="32"/>
  <c r="S51" i="32"/>
  <c r="S48" i="32"/>
  <c r="S46" i="32"/>
  <c r="S26" i="32"/>
  <c r="S22" i="32"/>
  <c r="S56" i="32"/>
  <c r="S52" i="32"/>
  <c r="S32" i="32"/>
  <c r="S33" i="32" s="1"/>
  <c r="S34" i="32" s="1"/>
  <c r="S35" i="32" s="1"/>
  <c r="S36" i="32" s="1"/>
  <c r="S37" i="32" s="1"/>
  <c r="S38" i="32" s="1"/>
  <c r="S39" i="32" s="1"/>
  <c r="S40" i="32" s="1"/>
  <c r="S41" i="32" s="1"/>
  <c r="S42" i="32" s="1"/>
  <c r="S25" i="32"/>
  <c r="X30" i="32"/>
  <c r="X29" i="32"/>
  <c r="X28" i="32"/>
  <c r="X27" i="32"/>
  <c r="X24" i="32"/>
  <c r="AA56" i="32"/>
  <c r="P19" i="32"/>
  <c r="X19" i="32"/>
  <c r="P20" i="32"/>
  <c r="X20" i="32"/>
  <c r="W21" i="32"/>
  <c r="AE21" i="32"/>
  <c r="N22" i="32"/>
  <c r="V22" i="32"/>
  <c r="AD22" i="32"/>
  <c r="P23" i="32"/>
  <c r="S24" i="32"/>
  <c r="AI24" i="32"/>
  <c r="N25" i="32"/>
  <c r="Q26" i="32"/>
  <c r="AG26" i="32"/>
  <c r="P27" i="32"/>
  <c r="AQ49" i="32"/>
  <c r="E9" i="32"/>
  <c r="F9" i="32" s="1"/>
  <c r="T56" i="32"/>
  <c r="U55" i="32"/>
  <c r="U51" i="32"/>
  <c r="U48" i="32"/>
  <c r="U46" i="32"/>
  <c r="U56" i="32"/>
  <c r="U52" i="32"/>
  <c r="U25" i="32"/>
  <c r="U21" i="32"/>
  <c r="U57" i="32"/>
  <c r="U53" i="32"/>
  <c r="U49" i="32"/>
  <c r="U47" i="32"/>
  <c r="U24" i="32"/>
  <c r="U20" i="32"/>
  <c r="U58" i="32"/>
  <c r="U59" i="32" s="1"/>
  <c r="U60" i="32" s="1"/>
  <c r="U61" i="32" s="1"/>
  <c r="U62" i="32" s="1"/>
  <c r="U63" i="32" s="1"/>
  <c r="U64" i="32" s="1"/>
  <c r="U65" i="32" s="1"/>
  <c r="U66" i="32" s="1"/>
  <c r="U67" i="32" s="1"/>
  <c r="U68" i="32" s="1"/>
  <c r="U69" i="32" s="1"/>
  <c r="U54" i="32"/>
  <c r="U50" i="32"/>
  <c r="U30" i="32"/>
  <c r="U31" i="32" s="1"/>
  <c r="U32" i="32" s="1"/>
  <c r="U33" i="32" s="1"/>
  <c r="U34" i="32" s="1"/>
  <c r="U35" i="32" s="1"/>
  <c r="U36" i="32" s="1"/>
  <c r="U37" i="32" s="1"/>
  <c r="U38" i="32" s="1"/>
  <c r="U39" i="32" s="1"/>
  <c r="U40" i="32" s="1"/>
  <c r="U41" i="32" s="1"/>
  <c r="U42" i="32" s="1"/>
  <c r="U29" i="32"/>
  <c r="U28" i="32"/>
  <c r="U27" i="32"/>
  <c r="U23" i="32"/>
  <c r="AB54" i="32"/>
  <c r="AB50" i="32"/>
  <c r="AB30" i="32"/>
  <c r="AB29" i="32"/>
  <c r="AB28" i="32"/>
  <c r="AB27" i="32"/>
  <c r="AB55" i="32"/>
  <c r="AB51" i="32"/>
  <c r="AB48" i="32"/>
  <c r="AB46" i="32"/>
  <c r="AB26" i="32"/>
  <c r="AB22" i="32"/>
  <c r="AB56" i="32"/>
  <c r="AB52" i="32"/>
  <c r="AB25" i="32"/>
  <c r="AB21" i="32"/>
  <c r="AB57" i="32"/>
  <c r="AB58" i="32" s="1"/>
  <c r="AB59" i="32" s="1"/>
  <c r="AB60" i="32" s="1"/>
  <c r="AB61" i="32" s="1"/>
  <c r="AB62" i="32" s="1"/>
  <c r="AB63" i="32" s="1"/>
  <c r="AB64" i="32" s="1"/>
  <c r="AB65" i="32" s="1"/>
  <c r="AB66" i="32" s="1"/>
  <c r="AB67" i="32" s="1"/>
  <c r="AB68" i="32" s="1"/>
  <c r="AB69" i="32" s="1"/>
  <c r="AB53" i="32"/>
  <c r="AB49" i="32"/>
  <c r="AB47" i="32"/>
  <c r="AB31" i="32"/>
  <c r="AB32" i="32" s="1"/>
  <c r="AB33" i="32" s="1"/>
  <c r="AB34" i="32" s="1"/>
  <c r="AB35" i="32" s="1"/>
  <c r="AB36" i="32" s="1"/>
  <c r="AB37" i="32" s="1"/>
  <c r="AB38" i="32" s="1"/>
  <c r="AB39" i="32" s="1"/>
  <c r="AB40" i="32" s="1"/>
  <c r="AB41" i="32" s="1"/>
  <c r="AB42" i="32" s="1"/>
  <c r="AB24" i="32"/>
  <c r="Q19" i="32"/>
  <c r="AO19" i="32"/>
  <c r="AD56" i="32"/>
  <c r="AD52" i="32"/>
  <c r="AD57" i="32"/>
  <c r="AD53" i="32"/>
  <c r="AD49" i="32"/>
  <c r="AD47" i="32"/>
  <c r="AD24" i="32"/>
  <c r="AD20" i="32"/>
  <c r="AD58" i="32"/>
  <c r="AD54" i="32"/>
  <c r="AD50" i="32"/>
  <c r="AD30" i="32"/>
  <c r="AD31" i="32" s="1"/>
  <c r="AD32" i="32" s="1"/>
  <c r="AD33" i="32" s="1"/>
  <c r="AD34" i="32" s="1"/>
  <c r="AD35" i="32" s="1"/>
  <c r="AD36" i="32" s="1"/>
  <c r="AD37" i="32" s="1"/>
  <c r="AD38" i="32" s="1"/>
  <c r="AD39" i="32" s="1"/>
  <c r="AD40" i="32" s="1"/>
  <c r="AD41" i="32" s="1"/>
  <c r="AD42" i="32" s="1"/>
  <c r="AD29" i="32"/>
  <c r="AD28" i="32"/>
  <c r="AD27" i="32"/>
  <c r="AD23" i="32"/>
  <c r="AD19" i="32"/>
  <c r="AD59" i="32"/>
  <c r="AD60" i="32" s="1"/>
  <c r="AD61" i="32" s="1"/>
  <c r="AD62" i="32" s="1"/>
  <c r="AD63" i="32" s="1"/>
  <c r="AD64" i="32" s="1"/>
  <c r="AD65" i="32" s="1"/>
  <c r="AD66" i="32" s="1"/>
  <c r="AD67" i="32" s="1"/>
  <c r="AD68" i="32" s="1"/>
  <c r="AD69" i="32" s="1"/>
  <c r="AD55" i="32"/>
  <c r="AD51" i="32"/>
  <c r="AD48" i="32"/>
  <c r="AD46" i="32"/>
  <c r="AD26" i="32"/>
  <c r="S20" i="32"/>
  <c r="AA20" i="32"/>
  <c r="AI20" i="32"/>
  <c r="AQ20" i="32"/>
  <c r="R21" i="32"/>
  <c r="Z21" i="32"/>
  <c r="Y22" i="32"/>
  <c r="AM24" i="32"/>
  <c r="R25" i="32"/>
  <c r="U26" i="32"/>
  <c r="AK26" i="32"/>
  <c r="M160" i="47"/>
  <c r="M158" i="47"/>
  <c r="M148" i="47"/>
  <c r="M144" i="47"/>
  <c r="M140" i="47"/>
  <c r="M136" i="47"/>
  <c r="M132" i="47"/>
  <c r="M128" i="47"/>
  <c r="M124" i="47"/>
  <c r="M120" i="47"/>
  <c r="M152" i="47"/>
  <c r="M118" i="47"/>
  <c r="M116" i="47"/>
  <c r="M114" i="47"/>
  <c r="M112" i="47"/>
  <c r="M110" i="47"/>
  <c r="M108" i="47"/>
  <c r="M106" i="47"/>
  <c r="M104" i="47"/>
  <c r="M102" i="47"/>
  <c r="M100" i="47"/>
  <c r="M98" i="47"/>
  <c r="M96" i="47"/>
  <c r="M94" i="47"/>
  <c r="M92" i="47"/>
  <c r="M90" i="47"/>
  <c r="M88" i="47"/>
  <c r="M86" i="47"/>
  <c r="M84" i="47"/>
  <c r="M82" i="47"/>
  <c r="M156" i="47"/>
  <c r="M154" i="47"/>
  <c r="M150" i="47"/>
  <c r="M146" i="47"/>
  <c r="M142" i="47"/>
  <c r="M138" i="47"/>
  <c r="M134" i="47"/>
  <c r="M130" i="47"/>
  <c r="M126" i="47"/>
  <c r="M122" i="47"/>
  <c r="M80" i="47"/>
  <c r="M78" i="47"/>
  <c r="M72" i="47"/>
  <c r="M68" i="47"/>
  <c r="M64" i="47"/>
  <c r="M34" i="47"/>
  <c r="M30" i="47"/>
  <c r="M26" i="47"/>
  <c r="M24" i="47"/>
  <c r="M62" i="47"/>
  <c r="M76" i="47"/>
  <c r="M74" i="47"/>
  <c r="M70" i="47"/>
  <c r="M66" i="47"/>
  <c r="M36" i="47"/>
  <c r="M32" i="47"/>
  <c r="M28" i="47"/>
  <c r="M60" i="47"/>
  <c r="M40" i="47"/>
  <c r="M38" i="47"/>
  <c r="O57" i="32"/>
  <c r="O58" i="32" s="1"/>
  <c r="O59" i="32" s="1"/>
  <c r="O60" i="32" s="1"/>
  <c r="O61" i="32" s="1"/>
  <c r="O62" i="32" s="1"/>
  <c r="O63" i="32" s="1"/>
  <c r="O64" i="32" s="1"/>
  <c r="O65" i="32" s="1"/>
  <c r="O66" i="32" s="1"/>
  <c r="O67" i="32" s="1"/>
  <c r="O68" i="32" s="1"/>
  <c r="O69" i="32" s="1"/>
  <c r="O53" i="32"/>
  <c r="O49" i="32"/>
  <c r="O47" i="32"/>
  <c r="O54" i="32"/>
  <c r="O50" i="32"/>
  <c r="O30" i="32"/>
  <c r="O31" i="32" s="1"/>
  <c r="O32" i="32" s="1"/>
  <c r="O33" i="32" s="1"/>
  <c r="O34" i="32" s="1"/>
  <c r="O35" i="32" s="1"/>
  <c r="O36" i="32" s="1"/>
  <c r="O37" i="32" s="1"/>
  <c r="O38" i="32" s="1"/>
  <c r="O39" i="32" s="1"/>
  <c r="O40" i="32" s="1"/>
  <c r="O41" i="32" s="1"/>
  <c r="O42" i="32" s="1"/>
  <c r="O29" i="32"/>
  <c r="O28" i="32"/>
  <c r="O27" i="32"/>
  <c r="O23" i="32"/>
  <c r="O19" i="32"/>
  <c r="O55" i="32"/>
  <c r="O51" i="32"/>
  <c r="O48" i="32"/>
  <c r="O46" i="32"/>
  <c r="O26" i="32"/>
  <c r="O22" i="32"/>
  <c r="O56" i="32"/>
  <c r="O52" i="32"/>
  <c r="O25" i="32"/>
  <c r="E10" i="32"/>
  <c r="F10" i="32" s="1"/>
  <c r="T30" i="32"/>
  <c r="T29" i="32"/>
  <c r="T28" i="32"/>
  <c r="T27" i="32"/>
  <c r="T24" i="32"/>
  <c r="AO21" i="32"/>
  <c r="AE19" i="32"/>
  <c r="E11" i="32"/>
  <c r="F11" i="32" s="1"/>
  <c r="AO30" i="32"/>
  <c r="AO29" i="32"/>
  <c r="AO28" i="32"/>
  <c r="AO27" i="32"/>
  <c r="AE25" i="32"/>
  <c r="AO23" i="32"/>
  <c r="W57" i="32"/>
  <c r="W58" i="32" s="1"/>
  <c r="W59" i="32" s="1"/>
  <c r="W60" i="32" s="1"/>
  <c r="W61" i="32" s="1"/>
  <c r="W62" i="32" s="1"/>
  <c r="W63" i="32" s="1"/>
  <c r="W64" i="32" s="1"/>
  <c r="W65" i="32" s="1"/>
  <c r="W66" i="32" s="1"/>
  <c r="W67" i="32" s="1"/>
  <c r="W68" i="32" s="1"/>
  <c r="W69" i="32" s="1"/>
  <c r="W53" i="32"/>
  <c r="W49" i="32"/>
  <c r="W47" i="32"/>
  <c r="W54" i="32"/>
  <c r="W50" i="32"/>
  <c r="W30" i="32"/>
  <c r="W31" i="32" s="1"/>
  <c r="W32" i="32" s="1"/>
  <c r="W33" i="32" s="1"/>
  <c r="W34" i="32" s="1"/>
  <c r="W35" i="32" s="1"/>
  <c r="W36" i="32" s="1"/>
  <c r="W37" i="32" s="1"/>
  <c r="W38" i="32" s="1"/>
  <c r="W39" i="32" s="1"/>
  <c r="W40" i="32" s="1"/>
  <c r="W41" i="32" s="1"/>
  <c r="W42" i="32" s="1"/>
  <c r="W29" i="32"/>
  <c r="W28" i="32"/>
  <c r="W27" i="32"/>
  <c r="W23" i="32"/>
  <c r="W19" i="32"/>
  <c r="W55" i="32"/>
  <c r="W51" i="32"/>
  <c r="W48" i="32"/>
  <c r="W46" i="32"/>
  <c r="W26" i="32"/>
  <c r="W22" i="32"/>
  <c r="W56" i="32"/>
  <c r="W52" i="32"/>
  <c r="W25" i="32"/>
  <c r="AC55" i="32"/>
  <c r="AC51" i="32"/>
  <c r="AC48" i="32"/>
  <c r="AC46" i="32"/>
  <c r="AC56" i="32"/>
  <c r="AC52" i="32"/>
  <c r="AC25" i="32"/>
  <c r="AC21" i="32"/>
  <c r="AC57" i="32"/>
  <c r="AC58" i="32" s="1"/>
  <c r="AC59" i="32" s="1"/>
  <c r="AC60" i="32" s="1"/>
  <c r="AC61" i="32" s="1"/>
  <c r="AC62" i="32" s="1"/>
  <c r="AC63" i="32" s="1"/>
  <c r="AC64" i="32" s="1"/>
  <c r="AC65" i="32" s="1"/>
  <c r="AC66" i="32" s="1"/>
  <c r="AC67" i="32" s="1"/>
  <c r="AC68" i="32" s="1"/>
  <c r="AC69" i="32" s="1"/>
  <c r="AC53" i="32"/>
  <c r="AC49" i="32"/>
  <c r="AC47" i="32"/>
  <c r="AC31" i="32"/>
  <c r="AC32" i="32" s="1"/>
  <c r="AC33" i="32" s="1"/>
  <c r="AC34" i="32" s="1"/>
  <c r="AC35" i="32" s="1"/>
  <c r="AC36" i="32" s="1"/>
  <c r="AC37" i="32" s="1"/>
  <c r="AC38" i="32" s="1"/>
  <c r="AC39" i="32" s="1"/>
  <c r="AC40" i="32" s="1"/>
  <c r="AC41" i="32" s="1"/>
  <c r="AC42" i="32" s="1"/>
  <c r="AC24" i="32"/>
  <c r="AC20" i="32"/>
  <c r="AC54" i="32"/>
  <c r="AC50" i="32"/>
  <c r="AC30" i="32"/>
  <c r="AC29" i="32"/>
  <c r="AC28" i="32"/>
  <c r="AC27" i="32"/>
  <c r="AC23" i="32"/>
  <c r="T19" i="32"/>
  <c r="AB19" i="32"/>
  <c r="T20" i="32"/>
  <c r="AB20" i="32"/>
  <c r="S21" i="32"/>
  <c r="AA21" i="32"/>
  <c r="AF56" i="32"/>
  <c r="R22" i="32"/>
  <c r="Z22" i="32"/>
  <c r="AG55" i="32"/>
  <c r="AG51" i="32"/>
  <c r="AG48" i="32"/>
  <c r="AG46" i="32"/>
  <c r="AG56" i="32"/>
  <c r="AG52" i="32"/>
  <c r="AG25" i="32"/>
  <c r="AG21" i="32"/>
  <c r="AG57" i="32"/>
  <c r="AG53" i="32"/>
  <c r="AG49" i="32"/>
  <c r="AG47" i="32"/>
  <c r="AG24" i="32"/>
  <c r="AG20" i="32"/>
  <c r="AG58" i="32"/>
  <c r="AG59" i="32" s="1"/>
  <c r="AG60" i="32" s="1"/>
  <c r="AG61" i="32" s="1"/>
  <c r="AG62" i="32" s="1"/>
  <c r="AG63" i="32" s="1"/>
  <c r="AG64" i="32" s="1"/>
  <c r="AG65" i="32" s="1"/>
  <c r="AG66" i="32" s="1"/>
  <c r="AG67" i="32" s="1"/>
  <c r="AG68" i="32" s="1"/>
  <c r="AG69" i="32" s="1"/>
  <c r="AG54" i="32"/>
  <c r="AG50" i="32"/>
  <c r="AG30" i="32"/>
  <c r="AG31" i="32" s="1"/>
  <c r="AG32" i="32" s="1"/>
  <c r="AG33" i="32" s="1"/>
  <c r="AG34" i="32" s="1"/>
  <c r="AG35" i="32" s="1"/>
  <c r="AG36" i="32" s="1"/>
  <c r="AG37" i="32" s="1"/>
  <c r="AG38" i="32" s="1"/>
  <c r="AG39" i="32" s="1"/>
  <c r="AG40" i="32" s="1"/>
  <c r="AG41" i="32" s="1"/>
  <c r="AG42" i="32" s="1"/>
  <c r="AG29" i="32"/>
  <c r="AG28" i="32"/>
  <c r="AG27" i="32"/>
  <c r="AG23" i="32"/>
  <c r="X23" i="32"/>
  <c r="AA24" i="32"/>
  <c r="AI56" i="32"/>
  <c r="V25" i="32"/>
  <c r="AJ56" i="32"/>
  <c r="AO26" i="32"/>
  <c r="AK55" i="32"/>
  <c r="AK51" i="32"/>
  <c r="AK48" i="32"/>
  <c r="AK46" i="32"/>
  <c r="AK56" i="32"/>
  <c r="AK52" i="32"/>
  <c r="AK25" i="32"/>
  <c r="AK21" i="32"/>
  <c r="AK57" i="32"/>
  <c r="AK53" i="32"/>
  <c r="AK49" i="32"/>
  <c r="AK47" i="32"/>
  <c r="AK31" i="32"/>
  <c r="AK32" i="32" s="1"/>
  <c r="AK33" i="32" s="1"/>
  <c r="AK34" i="32" s="1"/>
  <c r="AK35" i="32" s="1"/>
  <c r="AK36" i="32" s="1"/>
  <c r="AK37" i="32" s="1"/>
  <c r="AK38" i="32" s="1"/>
  <c r="AK39" i="32" s="1"/>
  <c r="AK40" i="32" s="1"/>
  <c r="AK41" i="32" s="1"/>
  <c r="AK42" i="32" s="1"/>
  <c r="AK24" i="32"/>
  <c r="AK20" i="32"/>
  <c r="AK58" i="32"/>
  <c r="AK59" i="32" s="1"/>
  <c r="AK60" i="32" s="1"/>
  <c r="AK61" i="32" s="1"/>
  <c r="AK62" i="32" s="1"/>
  <c r="AK63" i="32" s="1"/>
  <c r="AK64" i="32" s="1"/>
  <c r="AK65" i="32" s="1"/>
  <c r="AK66" i="32" s="1"/>
  <c r="AK67" i="32" s="1"/>
  <c r="AK68" i="32" s="1"/>
  <c r="AK69" i="32" s="1"/>
  <c r="AK54" i="32"/>
  <c r="AK50" i="32"/>
  <c r="AK30" i="32"/>
  <c r="AK29" i="32"/>
  <c r="AK28" i="32"/>
  <c r="AK27" i="32"/>
  <c r="AK23" i="32"/>
  <c r="K157" i="47"/>
  <c r="K145" i="47"/>
  <c r="K141" i="47"/>
  <c r="K159" i="47"/>
  <c r="K151" i="47"/>
  <c r="K139" i="47"/>
  <c r="K131" i="47"/>
  <c r="K123" i="47"/>
  <c r="K115" i="47"/>
  <c r="K107" i="47"/>
  <c r="K97" i="47"/>
  <c r="K95" i="47"/>
  <c r="N15" i="9"/>
  <c r="E24" i="10"/>
  <c r="H24" i="10" s="1"/>
  <c r="E28" i="10"/>
  <c r="H28" i="10" s="1"/>
  <c r="E32" i="10"/>
  <c r="H32" i="10" s="1"/>
  <c r="AI23" i="32"/>
  <c r="AI19" i="32"/>
  <c r="AI22" i="32"/>
  <c r="E5" i="32"/>
  <c r="F5" i="32" s="1"/>
  <c r="AI25" i="32"/>
  <c r="P56" i="32"/>
  <c r="Q55" i="32"/>
  <c r="Q51" i="32"/>
  <c r="Q48" i="32"/>
  <c r="Q46" i="32"/>
  <c r="Q56" i="32"/>
  <c r="Q52" i="32"/>
  <c r="Q25" i="32"/>
  <c r="Q21" i="32"/>
  <c r="Q57" i="32"/>
  <c r="Q53" i="32"/>
  <c r="Q49" i="32"/>
  <c r="Q47" i="32"/>
  <c r="Q31" i="32"/>
  <c r="Q32" i="32" s="1"/>
  <c r="Q33" i="32" s="1"/>
  <c r="Q34" i="32" s="1"/>
  <c r="Q35" i="32" s="1"/>
  <c r="Q36" i="32" s="1"/>
  <c r="Q37" i="32" s="1"/>
  <c r="Q38" i="32" s="1"/>
  <c r="Q39" i="32" s="1"/>
  <c r="Q40" i="32" s="1"/>
  <c r="Q41" i="32" s="1"/>
  <c r="Q42" i="32" s="1"/>
  <c r="Q24" i="32"/>
  <c r="Q20" i="32"/>
  <c r="Q58" i="32"/>
  <c r="Q59" i="32" s="1"/>
  <c r="Q60" i="32" s="1"/>
  <c r="Q61" i="32" s="1"/>
  <c r="Q62" i="32" s="1"/>
  <c r="Q63" i="32" s="1"/>
  <c r="Q64" i="32" s="1"/>
  <c r="Q65" i="32" s="1"/>
  <c r="Q66" i="32" s="1"/>
  <c r="Q67" i="32" s="1"/>
  <c r="Q68" i="32" s="1"/>
  <c r="Q69" i="32" s="1"/>
  <c r="Q54" i="32"/>
  <c r="Q50" i="32"/>
  <c r="Q30" i="32"/>
  <c r="Q29" i="32"/>
  <c r="Q28" i="32"/>
  <c r="Q27" i="32"/>
  <c r="Q23" i="32"/>
  <c r="AQ19" i="32"/>
  <c r="E13" i="32"/>
  <c r="F13" i="32" s="1"/>
  <c r="AQ25" i="32"/>
  <c r="X56" i="32"/>
  <c r="Y55" i="32"/>
  <c r="Y51" i="32"/>
  <c r="Y48" i="32"/>
  <c r="Y46" i="32"/>
  <c r="Y56" i="32"/>
  <c r="Y52" i="32"/>
  <c r="Y25" i="32"/>
  <c r="Y21" i="32"/>
  <c r="Y57" i="32"/>
  <c r="Y53" i="32"/>
  <c r="M30" i="60" s="1"/>
  <c r="Y49" i="32"/>
  <c r="Y47" i="32"/>
  <c r="Y24" i="32"/>
  <c r="Y20" i="32"/>
  <c r="Y58" i="32"/>
  <c r="Y59" i="32" s="1"/>
  <c r="Y60" i="32" s="1"/>
  <c r="Y61" i="32" s="1"/>
  <c r="Y62" i="32" s="1"/>
  <c r="Y63" i="32" s="1"/>
  <c r="Y64" i="32" s="1"/>
  <c r="Y65" i="32" s="1"/>
  <c r="Y66" i="32" s="1"/>
  <c r="Y67" i="32" s="1"/>
  <c r="Y68" i="32" s="1"/>
  <c r="Y69" i="32" s="1"/>
  <c r="Y54" i="32"/>
  <c r="Y50" i="32"/>
  <c r="Y30" i="32"/>
  <c r="Y31" i="32" s="1"/>
  <c r="Y32" i="32" s="1"/>
  <c r="Y33" i="32" s="1"/>
  <c r="Y34" i="32" s="1"/>
  <c r="Y35" i="32" s="1"/>
  <c r="Y36" i="32" s="1"/>
  <c r="Y37" i="32" s="1"/>
  <c r="Y38" i="32" s="1"/>
  <c r="Y39" i="32" s="1"/>
  <c r="Y40" i="32" s="1"/>
  <c r="Y41" i="32" s="1"/>
  <c r="Y42" i="32" s="1"/>
  <c r="Y29" i="32"/>
  <c r="Y28" i="32"/>
  <c r="Y27" i="32"/>
  <c r="Y23" i="32"/>
  <c r="U19" i="32"/>
  <c r="AC19" i="32"/>
  <c r="AK19" i="32"/>
  <c r="O20" i="32"/>
  <c r="W20" i="32"/>
  <c r="AE20" i="32"/>
  <c r="AM20" i="32"/>
  <c r="N21" i="32"/>
  <c r="V21" i="32"/>
  <c r="AD21" i="32"/>
  <c r="AF30" i="32"/>
  <c r="AF31" i="32" s="1"/>
  <c r="AF32" i="32" s="1"/>
  <c r="AF33" i="32" s="1"/>
  <c r="AF34" i="32" s="1"/>
  <c r="AF35" i="32" s="1"/>
  <c r="AF36" i="32" s="1"/>
  <c r="AF37" i="32" s="1"/>
  <c r="AF38" i="32" s="1"/>
  <c r="AF39" i="32" s="1"/>
  <c r="AF40" i="32" s="1"/>
  <c r="AF41" i="32" s="1"/>
  <c r="AF42" i="32" s="1"/>
  <c r="AF29" i="32"/>
  <c r="AF28" i="32"/>
  <c r="AF27" i="32"/>
  <c r="AF24" i="32"/>
  <c r="U22" i="32"/>
  <c r="AC22" i="32"/>
  <c r="AK22" i="32"/>
  <c r="AB23" i="32"/>
  <c r="O24" i="32"/>
  <c r="AE24" i="32"/>
  <c r="AQ24" i="32"/>
  <c r="Z25" i="32"/>
  <c r="AJ30" i="32"/>
  <c r="AJ29" i="32"/>
  <c r="AJ28" i="32"/>
  <c r="AJ27" i="32"/>
  <c r="AJ22" i="32"/>
  <c r="AJ21" i="32"/>
  <c r="AJ31" i="32"/>
  <c r="AJ32" i="32" s="1"/>
  <c r="AJ33" i="32" s="1"/>
  <c r="AJ34" i="32" s="1"/>
  <c r="AJ35" i="32" s="1"/>
  <c r="AJ36" i="32" s="1"/>
  <c r="AJ37" i="32" s="1"/>
  <c r="AJ38" i="32" s="1"/>
  <c r="AJ39" i="32" s="1"/>
  <c r="AJ40" i="32" s="1"/>
  <c r="AJ41" i="32" s="1"/>
  <c r="AJ42" i="32" s="1"/>
  <c r="AJ24" i="32"/>
  <c r="AC26" i="32"/>
  <c r="AM25" i="32"/>
  <c r="AH26" i="32"/>
  <c r="AL26" i="32"/>
  <c r="E28" i="32"/>
  <c r="F28" i="32" s="1"/>
  <c r="E29" i="32"/>
  <c r="F29" i="32" s="1"/>
  <c r="E30" i="32"/>
  <c r="F30" i="32" s="1"/>
  <c r="P31" i="32"/>
  <c r="T31" i="32"/>
  <c r="T32" i="32" s="1"/>
  <c r="T33" i="32" s="1"/>
  <c r="T34" i="32" s="1"/>
  <c r="T35" i="32" s="1"/>
  <c r="T36" i="32" s="1"/>
  <c r="T37" i="32" s="1"/>
  <c r="T38" i="32" s="1"/>
  <c r="T39" i="32" s="1"/>
  <c r="T40" i="32" s="1"/>
  <c r="T41" i="32" s="1"/>
  <c r="T42" i="32" s="1"/>
  <c r="X31" i="32"/>
  <c r="N46" i="32"/>
  <c r="R46" i="32"/>
  <c r="V46" i="32"/>
  <c r="Z46" i="32"/>
  <c r="AH46" i="32"/>
  <c r="AL46" i="32"/>
  <c r="AP46" i="32"/>
  <c r="P47" i="32"/>
  <c r="T47" i="32"/>
  <c r="X47" i="32"/>
  <c r="AF47" i="32"/>
  <c r="AJ47" i="32"/>
  <c r="AN47" i="32"/>
  <c r="N48" i="32"/>
  <c r="R48" i="32"/>
  <c r="V48" i="32"/>
  <c r="Z48" i="32"/>
  <c r="AH48" i="32"/>
  <c r="AL48" i="32"/>
  <c r="AP48" i="32"/>
  <c r="P49" i="32"/>
  <c r="T49" i="32"/>
  <c r="X49" i="32"/>
  <c r="AF49" i="32"/>
  <c r="AJ49" i="32"/>
  <c r="AN49" i="32"/>
  <c r="AO50" i="32"/>
  <c r="N51" i="32"/>
  <c r="R51" i="32"/>
  <c r="V51" i="32"/>
  <c r="Z51" i="32"/>
  <c r="AH51" i="32"/>
  <c r="AL51" i="32"/>
  <c r="AP51" i="32"/>
  <c r="AA52" i="32"/>
  <c r="AE52" i="32"/>
  <c r="AI52" i="32"/>
  <c r="AM52" i="32"/>
  <c r="AQ52" i="32"/>
  <c r="P53" i="32"/>
  <c r="T53" i="32"/>
  <c r="X53" i="32"/>
  <c r="AF53" i="32"/>
  <c r="AJ53" i="32"/>
  <c r="AN53" i="32"/>
  <c r="AO54" i="32"/>
  <c r="N55" i="32"/>
  <c r="R55" i="32"/>
  <c r="V55" i="32"/>
  <c r="Z55" i="32"/>
  <c r="AH55" i="32"/>
  <c r="AL55" i="32"/>
  <c r="AP55" i="32"/>
  <c r="AE56" i="32"/>
  <c r="AM56" i="32"/>
  <c r="AQ56" i="32"/>
  <c r="P57" i="32"/>
  <c r="T57" i="32"/>
  <c r="X57" i="32"/>
  <c r="AF57" i="32"/>
  <c r="AJ57" i="32"/>
  <c r="AN57" i="32"/>
  <c r="H63" i="32"/>
  <c r="H67" i="32"/>
  <c r="Q76" i="32"/>
  <c r="N104" i="32"/>
  <c r="O107" i="32"/>
  <c r="P110" i="32"/>
  <c r="K149" i="47"/>
  <c r="K137" i="47"/>
  <c r="K129" i="47"/>
  <c r="K121" i="47"/>
  <c r="K155" i="47"/>
  <c r="K143" i="47"/>
  <c r="K119" i="47"/>
  <c r="K113" i="47"/>
  <c r="K111" i="47"/>
  <c r="K105" i="47"/>
  <c r="K103" i="47"/>
  <c r="K93" i="47"/>
  <c r="K91" i="47"/>
  <c r="K89" i="47"/>
  <c r="K87" i="47"/>
  <c r="K85" i="47"/>
  <c r="K83" i="47"/>
  <c r="K81" i="47"/>
  <c r="K77" i="47"/>
  <c r="K79" i="47"/>
  <c r="K28" i="47"/>
  <c r="K26" i="47"/>
  <c r="K24" i="47"/>
  <c r="L14" i="47"/>
  <c r="C76" i="47" s="1"/>
  <c r="K114" i="47"/>
  <c r="K112" i="47"/>
  <c r="K106" i="47"/>
  <c r="K104" i="47"/>
  <c r="K98" i="47"/>
  <c r="K96" i="47"/>
  <c r="K154" i="47"/>
  <c r="K152" i="47"/>
  <c r="K118" i="47"/>
  <c r="K116" i="47"/>
  <c r="K110" i="47"/>
  <c r="K108" i="47"/>
  <c r="K102" i="47"/>
  <c r="K100" i="47"/>
  <c r="K158" i="47"/>
  <c r="K156" i="47"/>
  <c r="K150" i="47"/>
  <c r="K146" i="47"/>
  <c r="K142" i="47"/>
  <c r="K138" i="47"/>
  <c r="K134" i="47"/>
  <c r="K130" i="47"/>
  <c r="K126" i="47"/>
  <c r="K122" i="47"/>
  <c r="K160" i="47"/>
  <c r="K148" i="47"/>
  <c r="K144" i="47"/>
  <c r="K140" i="47"/>
  <c r="K136" i="47"/>
  <c r="K132" i="47"/>
  <c r="K128" i="47"/>
  <c r="K124" i="47"/>
  <c r="K120" i="47"/>
  <c r="N19" i="32"/>
  <c r="R19" i="32"/>
  <c r="V19" i="32"/>
  <c r="Z19" i="32"/>
  <c r="AH19" i="32"/>
  <c r="AL19" i="32"/>
  <c r="AP19" i="32"/>
  <c r="AO20" i="32"/>
  <c r="P21" i="32"/>
  <c r="T21" i="32"/>
  <c r="X21" i="32"/>
  <c r="AF21" i="32"/>
  <c r="AN21" i="32"/>
  <c r="AA22" i="32"/>
  <c r="AE22" i="32"/>
  <c r="AM22" i="32"/>
  <c r="AQ22" i="32"/>
  <c r="N23" i="32"/>
  <c r="R23" i="32"/>
  <c r="V23" i="32"/>
  <c r="Z23" i="32"/>
  <c r="AH23" i="32"/>
  <c r="AL23" i="32"/>
  <c r="AP23" i="32"/>
  <c r="AO24" i="32"/>
  <c r="P25" i="32"/>
  <c r="T25" i="32"/>
  <c r="X25" i="32"/>
  <c r="AF25" i="32"/>
  <c r="AJ25" i="32"/>
  <c r="AN25" i="32"/>
  <c r="AA26" i="32"/>
  <c r="AE26" i="32"/>
  <c r="AI26" i="32"/>
  <c r="AM26" i="32"/>
  <c r="AQ26" i="32"/>
  <c r="N27" i="32"/>
  <c r="R27" i="32"/>
  <c r="V27" i="32"/>
  <c r="Z27" i="32"/>
  <c r="AH27" i="32"/>
  <c r="AL27" i="32"/>
  <c r="AP27" i="32"/>
  <c r="N28" i="32"/>
  <c r="R28" i="32"/>
  <c r="V28" i="32"/>
  <c r="Z28" i="32"/>
  <c r="AH28" i="32"/>
  <c r="AL28" i="32"/>
  <c r="AP28" i="32"/>
  <c r="N29" i="32"/>
  <c r="R29" i="32"/>
  <c r="V29" i="32"/>
  <c r="Z29" i="32"/>
  <c r="AH29" i="32"/>
  <c r="AL29" i="32"/>
  <c r="AP29" i="32"/>
  <c r="N30" i="32"/>
  <c r="R30" i="32"/>
  <c r="V30" i="32"/>
  <c r="Z30" i="32"/>
  <c r="Z31" i="32" s="1"/>
  <c r="Z32" i="32" s="1"/>
  <c r="Z33" i="32" s="1"/>
  <c r="Z34" i="32" s="1"/>
  <c r="Z35" i="32" s="1"/>
  <c r="Z36" i="32" s="1"/>
  <c r="Z37" i="32" s="1"/>
  <c r="Z38" i="32" s="1"/>
  <c r="Z39" i="32" s="1"/>
  <c r="Z40" i="32" s="1"/>
  <c r="Z41" i="32" s="1"/>
  <c r="Z42" i="32" s="1"/>
  <c r="AH30" i="32"/>
  <c r="AL30" i="32"/>
  <c r="AP30" i="32"/>
  <c r="AO31" i="32"/>
  <c r="AO32" i="32" s="1"/>
  <c r="AO33" i="32" s="1"/>
  <c r="AO34" i="32" s="1"/>
  <c r="AO35" i="32" s="1"/>
  <c r="AO36" i="32" s="1"/>
  <c r="AO37" i="32" s="1"/>
  <c r="AO38" i="32" s="1"/>
  <c r="AO39" i="32" s="1"/>
  <c r="AO40" i="32" s="1"/>
  <c r="AO41" i="32" s="1"/>
  <c r="AO42" i="32" s="1"/>
  <c r="P32" i="32"/>
  <c r="X32" i="32"/>
  <c r="AA46" i="32"/>
  <c r="AE46" i="32"/>
  <c r="AI46" i="32"/>
  <c r="AM46" i="32"/>
  <c r="AQ46" i="32"/>
  <c r="AO47" i="32"/>
  <c r="AA48" i="32"/>
  <c r="AE48" i="32"/>
  <c r="AI48" i="32"/>
  <c r="AM48" i="32"/>
  <c r="AQ48" i="32"/>
  <c r="AO49" i="32"/>
  <c r="N50" i="32"/>
  <c r="R50" i="32"/>
  <c r="V50" i="32"/>
  <c r="Z50" i="32"/>
  <c r="AH50" i="32"/>
  <c r="AL50" i="32"/>
  <c r="AP50" i="32"/>
  <c r="AA51" i="32"/>
  <c r="AE51" i="32"/>
  <c r="AI51" i="32"/>
  <c r="AM51" i="32"/>
  <c r="AQ51" i="32"/>
  <c r="P52" i="32"/>
  <c r="T52" i="32"/>
  <c r="X52" i="32"/>
  <c r="AF52" i="32"/>
  <c r="AJ52" i="32"/>
  <c r="AN52" i="32"/>
  <c r="AO53" i="32"/>
  <c r="H70" i="32"/>
  <c r="N54" i="32"/>
  <c r="R54" i="32"/>
  <c r="V54" i="32"/>
  <c r="Z54" i="32"/>
  <c r="AH54" i="32"/>
  <c r="AL54" i="32"/>
  <c r="AP54" i="32"/>
  <c r="AA55" i="32"/>
  <c r="AE55" i="32"/>
  <c r="AI55" i="32"/>
  <c r="AM55" i="32"/>
  <c r="AQ55" i="32"/>
  <c r="AN56" i="32"/>
  <c r="AO57" i="32"/>
  <c r="AO58" i="32" s="1"/>
  <c r="AO59" i="32" s="1"/>
  <c r="AO60" i="32" s="1"/>
  <c r="AO61" i="32" s="1"/>
  <c r="AO62" i="32" s="1"/>
  <c r="AO63" i="32" s="1"/>
  <c r="AO64" i="32" s="1"/>
  <c r="AO65" i="32" s="1"/>
  <c r="AO66" i="32" s="1"/>
  <c r="AO67" i="32" s="1"/>
  <c r="AO68" i="32" s="1"/>
  <c r="AO69" i="32" s="1"/>
  <c r="Z58" i="32"/>
  <c r="Z59" i="32" s="1"/>
  <c r="Z60" i="32" s="1"/>
  <c r="Z61" i="32" s="1"/>
  <c r="Z62" i="32" s="1"/>
  <c r="Z63" i="32" s="1"/>
  <c r="Z64" i="32" s="1"/>
  <c r="Z65" i="32" s="1"/>
  <c r="Z66" i="32" s="1"/>
  <c r="Z67" i="32" s="1"/>
  <c r="Z68" i="32" s="1"/>
  <c r="Z69" i="32" s="1"/>
  <c r="I63" i="32"/>
  <c r="I64" i="32"/>
  <c r="H65" i="32"/>
  <c r="I66" i="32"/>
  <c r="I67" i="32"/>
  <c r="I68" i="32"/>
  <c r="H69" i="32"/>
  <c r="I70" i="32"/>
  <c r="C159" i="41"/>
  <c r="C161" i="41" s="1"/>
  <c r="AJ4" i="47"/>
  <c r="AL4" i="47" s="1"/>
  <c r="U8" i="47"/>
  <c r="AJ6" i="47"/>
  <c r="AL6" i="47" s="1"/>
  <c r="AJ11" i="47"/>
  <c r="AL11" i="47" s="1"/>
  <c r="AJ9" i="47"/>
  <c r="AL9" i="47" s="1"/>
  <c r="AJ3" i="47"/>
  <c r="AL3" i="47" s="1"/>
  <c r="N102" i="32"/>
  <c r="N108" i="32"/>
  <c r="O111" i="32"/>
  <c r="AM117" i="47"/>
  <c r="AM109" i="47"/>
  <c r="AM101" i="47"/>
  <c r="AM99" i="47"/>
  <c r="L4" i="47"/>
  <c r="C66" i="47" s="1"/>
  <c r="L5" i="47"/>
  <c r="C67" i="47" s="1"/>
  <c r="L10" i="47"/>
  <c r="C72" i="47" s="1"/>
  <c r="AJ10" i="47"/>
  <c r="AL10" i="47" s="1"/>
  <c r="AA19" i="32"/>
  <c r="AM19" i="32"/>
  <c r="N20" i="32"/>
  <c r="R20" i="32"/>
  <c r="V20" i="32"/>
  <c r="Z20" i="32"/>
  <c r="AH20" i="32"/>
  <c r="AL20" i="32"/>
  <c r="AP20" i="32"/>
  <c r="P22" i="32"/>
  <c r="T22" i="32"/>
  <c r="X22" i="32"/>
  <c r="AF22" i="32"/>
  <c r="AN22" i="32"/>
  <c r="AA23" i="32"/>
  <c r="AE23" i="32"/>
  <c r="AM23" i="32"/>
  <c r="AQ23" i="32"/>
  <c r="N24" i="32"/>
  <c r="R24" i="32"/>
  <c r="V24" i="32"/>
  <c r="Z24" i="32"/>
  <c r="AH24" i="32"/>
  <c r="AL24" i="32"/>
  <c r="AP24" i="32"/>
  <c r="AO25" i="32"/>
  <c r="P26" i="32"/>
  <c r="T26" i="32"/>
  <c r="X26" i="32"/>
  <c r="AF26" i="32"/>
  <c r="AJ26" i="32"/>
  <c r="AN26" i="32"/>
  <c r="AA27" i="32"/>
  <c r="AE27" i="32"/>
  <c r="AI27" i="32"/>
  <c r="AM27" i="32"/>
  <c r="AQ27" i="32"/>
  <c r="AA28" i="32"/>
  <c r="AE28" i="32"/>
  <c r="AI28" i="32"/>
  <c r="AM28" i="32"/>
  <c r="AQ28" i="32"/>
  <c r="AA29" i="32"/>
  <c r="AE29" i="32"/>
  <c r="AI29" i="32"/>
  <c r="AM29" i="32"/>
  <c r="AQ29" i="32"/>
  <c r="AA30" i="32"/>
  <c r="AA31" i="32" s="1"/>
  <c r="AA32" i="32" s="1"/>
  <c r="AA33" i="32" s="1"/>
  <c r="AA34" i="32" s="1"/>
  <c r="AA35" i="32" s="1"/>
  <c r="AA36" i="32" s="1"/>
  <c r="AA37" i="32" s="1"/>
  <c r="AA38" i="32" s="1"/>
  <c r="AA39" i="32" s="1"/>
  <c r="AA40" i="32" s="1"/>
  <c r="AA41" i="32" s="1"/>
  <c r="AA42" i="32" s="1"/>
  <c r="AE30" i="32"/>
  <c r="AE31" i="32" s="1"/>
  <c r="AE32" i="32" s="1"/>
  <c r="AE33" i="32" s="1"/>
  <c r="AE34" i="32" s="1"/>
  <c r="AE35" i="32" s="1"/>
  <c r="AE36" i="32" s="1"/>
  <c r="AE37" i="32" s="1"/>
  <c r="AE38" i="32" s="1"/>
  <c r="AE39" i="32" s="1"/>
  <c r="AE40" i="32" s="1"/>
  <c r="AE41" i="32" s="1"/>
  <c r="AE42" i="32" s="1"/>
  <c r="AI30" i="32"/>
  <c r="AI31" i="32" s="1"/>
  <c r="AI32" i="32" s="1"/>
  <c r="AI33" i="32" s="1"/>
  <c r="AI34" i="32" s="1"/>
  <c r="AI35" i="32" s="1"/>
  <c r="AI36" i="32" s="1"/>
  <c r="AI37" i="32" s="1"/>
  <c r="AI38" i="32" s="1"/>
  <c r="AI39" i="32" s="1"/>
  <c r="AI40" i="32" s="1"/>
  <c r="AI41" i="32" s="1"/>
  <c r="AI42" i="32" s="1"/>
  <c r="AM30" i="32"/>
  <c r="AQ30" i="32"/>
  <c r="AQ31" i="32" s="1"/>
  <c r="AQ32" i="32" s="1"/>
  <c r="AQ33" i="32" s="1"/>
  <c r="AQ34" i="32" s="1"/>
  <c r="AQ35" i="32" s="1"/>
  <c r="AQ36" i="32" s="1"/>
  <c r="AQ37" i="32" s="1"/>
  <c r="AQ38" i="32" s="1"/>
  <c r="AQ39" i="32" s="1"/>
  <c r="AQ40" i="32" s="1"/>
  <c r="AQ41" i="32" s="1"/>
  <c r="AQ42" i="32" s="1"/>
  <c r="N31" i="32"/>
  <c r="N32" i="32" s="1"/>
  <c r="N33" i="32" s="1"/>
  <c r="N34" i="32" s="1"/>
  <c r="N35" i="32" s="1"/>
  <c r="N36" i="32" s="1"/>
  <c r="N37" i="32" s="1"/>
  <c r="N38" i="32" s="1"/>
  <c r="N39" i="32" s="1"/>
  <c r="N40" i="32" s="1"/>
  <c r="N41" i="32" s="1"/>
  <c r="N42" i="32" s="1"/>
  <c r="R31" i="32"/>
  <c r="V31" i="32"/>
  <c r="AH31" i="32"/>
  <c r="AH32" i="32" s="1"/>
  <c r="AH33" i="32" s="1"/>
  <c r="AH34" i="32" s="1"/>
  <c r="AH35" i="32" s="1"/>
  <c r="AH36" i="32" s="1"/>
  <c r="AH37" i="32" s="1"/>
  <c r="AH38" i="32" s="1"/>
  <c r="AH39" i="32" s="1"/>
  <c r="AH40" i="32" s="1"/>
  <c r="AH41" i="32" s="1"/>
  <c r="AH42" i="32" s="1"/>
  <c r="AL31" i="32"/>
  <c r="AP31" i="32"/>
  <c r="AP32" i="32" s="1"/>
  <c r="AP33" i="32" s="1"/>
  <c r="AP34" i="32" s="1"/>
  <c r="AP35" i="32" s="1"/>
  <c r="AP36" i="32" s="1"/>
  <c r="AP37" i="32" s="1"/>
  <c r="AP38" i="32" s="1"/>
  <c r="AP39" i="32" s="1"/>
  <c r="AP40" i="32" s="1"/>
  <c r="AP41" i="32" s="1"/>
  <c r="AP42" i="32" s="1"/>
  <c r="P33" i="32"/>
  <c r="P34" i="32" s="1"/>
  <c r="P35" i="32" s="1"/>
  <c r="P36" i="32" s="1"/>
  <c r="P37" i="32" s="1"/>
  <c r="P38" i="32" s="1"/>
  <c r="P39" i="32" s="1"/>
  <c r="P40" i="32" s="1"/>
  <c r="P41" i="32" s="1"/>
  <c r="P42" i="32" s="1"/>
  <c r="X33" i="32"/>
  <c r="X34" i="32"/>
  <c r="X35" i="32" s="1"/>
  <c r="X36" i="32" s="1"/>
  <c r="X37" i="32" s="1"/>
  <c r="X38" i="32" s="1"/>
  <c r="X39" i="32" s="1"/>
  <c r="X40" i="32" s="1"/>
  <c r="X41" i="32" s="1"/>
  <c r="X42" i="32" s="1"/>
  <c r="P46" i="32"/>
  <c r="T46" i="32"/>
  <c r="X46" i="32"/>
  <c r="AF46" i="32"/>
  <c r="AJ46" i="32"/>
  <c r="AN46" i="32"/>
  <c r="N47" i="32"/>
  <c r="R47" i="32"/>
  <c r="V47" i="32"/>
  <c r="Z47" i="32"/>
  <c r="AH47" i="32"/>
  <c r="AL47" i="32"/>
  <c r="AP47" i="32"/>
  <c r="P48" i="32"/>
  <c r="T48" i="32"/>
  <c r="X48" i="32"/>
  <c r="AF48" i="32"/>
  <c r="AJ48" i="32"/>
  <c r="AN48" i="32"/>
  <c r="N49" i="32"/>
  <c r="R49" i="32"/>
  <c r="V49" i="32"/>
  <c r="Z49" i="32"/>
  <c r="AH49" i="32"/>
  <c r="AL49" i="32"/>
  <c r="AP49" i="32"/>
  <c r="AA50" i="32"/>
  <c r="AE50" i="32"/>
  <c r="AI50" i="32"/>
  <c r="AM50" i="32"/>
  <c r="AQ50" i="32"/>
  <c r="P51" i="32"/>
  <c r="T51" i="32"/>
  <c r="X51" i="32"/>
  <c r="AF51" i="32"/>
  <c r="AJ51" i="32"/>
  <c r="AN51" i="32"/>
  <c r="AO52" i="32"/>
  <c r="N53" i="32"/>
  <c r="R53" i="32"/>
  <c r="V53" i="32"/>
  <c r="Z53" i="32"/>
  <c r="AH53" i="32"/>
  <c r="AL53" i="32"/>
  <c r="AP53" i="32"/>
  <c r="AA54" i="32"/>
  <c r="AE54" i="32"/>
  <c r="AI54" i="32"/>
  <c r="AM54" i="32"/>
  <c r="AQ54" i="32"/>
  <c r="P55" i="32"/>
  <c r="T55" i="32"/>
  <c r="X55" i="32"/>
  <c r="AF55" i="32"/>
  <c r="AJ55" i="32"/>
  <c r="AN55" i="32"/>
  <c r="AO56" i="32"/>
  <c r="N57" i="32"/>
  <c r="N58" i="32" s="1"/>
  <c r="N59" i="32" s="1"/>
  <c r="N60" i="32" s="1"/>
  <c r="N61" i="32" s="1"/>
  <c r="N62" i="32" s="1"/>
  <c r="N63" i="32" s="1"/>
  <c r="N64" i="32" s="1"/>
  <c r="N65" i="32" s="1"/>
  <c r="N66" i="32" s="1"/>
  <c r="N67" i="32" s="1"/>
  <c r="N68" i="32" s="1"/>
  <c r="N69" i="32" s="1"/>
  <c r="R57" i="32"/>
  <c r="R58" i="32" s="1"/>
  <c r="R59" i="32" s="1"/>
  <c r="R60" i="32" s="1"/>
  <c r="R61" i="32" s="1"/>
  <c r="R62" i="32" s="1"/>
  <c r="R63" i="32" s="1"/>
  <c r="R64" i="32" s="1"/>
  <c r="R65" i="32" s="1"/>
  <c r="R66" i="32" s="1"/>
  <c r="R67" i="32" s="1"/>
  <c r="R68" i="32" s="1"/>
  <c r="R69" i="32" s="1"/>
  <c r="V57" i="32"/>
  <c r="V58" i="32" s="1"/>
  <c r="V59" i="32" s="1"/>
  <c r="V60" i="32" s="1"/>
  <c r="V61" i="32" s="1"/>
  <c r="V62" i="32" s="1"/>
  <c r="V63" i="32" s="1"/>
  <c r="V64" i="32" s="1"/>
  <c r="V65" i="32" s="1"/>
  <c r="V66" i="32" s="1"/>
  <c r="V67" i="32" s="1"/>
  <c r="V68" i="32" s="1"/>
  <c r="V69" i="32" s="1"/>
  <c r="Z57" i="32"/>
  <c r="AH57" i="32"/>
  <c r="AH58" i="32" s="1"/>
  <c r="AH59" i="32" s="1"/>
  <c r="AH60" i="32" s="1"/>
  <c r="AH61" i="32" s="1"/>
  <c r="AH62" i="32" s="1"/>
  <c r="AH63" i="32" s="1"/>
  <c r="AH64" i="32" s="1"/>
  <c r="AH65" i="32" s="1"/>
  <c r="AH66" i="32" s="1"/>
  <c r="AH67" i="32" s="1"/>
  <c r="AH68" i="32" s="1"/>
  <c r="AH69" i="32" s="1"/>
  <c r="AL57" i="32"/>
  <c r="AL58" i="32" s="1"/>
  <c r="AL59" i="32" s="1"/>
  <c r="AL60" i="32" s="1"/>
  <c r="AL61" i="32" s="1"/>
  <c r="AL62" i="32" s="1"/>
  <c r="AL63" i="32" s="1"/>
  <c r="AL64" i="32" s="1"/>
  <c r="AL65" i="32" s="1"/>
  <c r="AL66" i="32" s="1"/>
  <c r="AL67" i="32" s="1"/>
  <c r="AL68" i="32" s="1"/>
  <c r="AL69" i="32" s="1"/>
  <c r="AP57" i="32"/>
  <c r="AP58" i="32" s="1"/>
  <c r="AP59" i="32" s="1"/>
  <c r="AP60" i="32" s="1"/>
  <c r="AP61" i="32" s="1"/>
  <c r="AP62" i="32" s="1"/>
  <c r="AP63" i="32" s="1"/>
  <c r="AP64" i="32" s="1"/>
  <c r="AP65" i="32" s="1"/>
  <c r="AP66" i="32" s="1"/>
  <c r="AP67" i="32" s="1"/>
  <c r="AP68" i="32" s="1"/>
  <c r="AP69" i="32" s="1"/>
  <c r="AQ58" i="32"/>
  <c r="AQ59" i="32" s="1"/>
  <c r="AQ60" i="32" s="1"/>
  <c r="AQ61" i="32" s="1"/>
  <c r="AQ62" i="32" s="1"/>
  <c r="AQ63" i="32" s="1"/>
  <c r="AQ64" i="32" s="1"/>
  <c r="AQ65" i="32" s="1"/>
  <c r="AQ66" i="32" s="1"/>
  <c r="AQ67" i="32" s="1"/>
  <c r="AQ68" i="32" s="1"/>
  <c r="AQ69" i="32" s="1"/>
  <c r="AF59" i="32"/>
  <c r="AF60" i="32" s="1"/>
  <c r="AF61" i="32" s="1"/>
  <c r="AF62" i="32" s="1"/>
  <c r="AF63" i="32" s="1"/>
  <c r="AF64" i="32" s="1"/>
  <c r="AF65" i="32" s="1"/>
  <c r="AF66" i="32" s="1"/>
  <c r="AF67" i="32" s="1"/>
  <c r="AF68" i="32" s="1"/>
  <c r="AF69" i="32" s="1"/>
  <c r="I65" i="32"/>
  <c r="H66" i="32"/>
  <c r="I69" i="32"/>
  <c r="R74" i="32"/>
  <c r="P74" i="32"/>
  <c r="S74" i="32" s="1"/>
  <c r="R78" i="32"/>
  <c r="P78" i="32"/>
  <c r="S78" i="32" s="1"/>
  <c r="P100" i="32"/>
  <c r="R100" i="32" s="1"/>
  <c r="V8" i="47"/>
  <c r="AJ8" i="47"/>
  <c r="AL8" i="47" s="1"/>
  <c r="L11" i="47"/>
  <c r="C73" i="47" s="1"/>
  <c r="L13" i="47"/>
  <c r="C75" i="47" s="1"/>
  <c r="L19" i="47"/>
  <c r="C81" i="47" s="1"/>
  <c r="N111" i="32"/>
  <c r="N112" i="32" s="1"/>
  <c r="N113" i="32" s="1"/>
  <c r="N114" i="32" s="1"/>
  <c r="N115" i="32" s="1"/>
  <c r="N116" i="32" s="1"/>
  <c r="N117" i="32" s="1"/>
  <c r="N118" i="32" s="1"/>
  <c r="N119" i="32" s="1"/>
  <c r="N120" i="32" s="1"/>
  <c r="N121" i="32" s="1"/>
  <c r="N122" i="32" s="1"/>
  <c r="N123" i="32" s="1"/>
  <c r="N107" i="32"/>
  <c r="N103" i="32"/>
  <c r="W100" i="32"/>
  <c r="Y100" i="32" s="1"/>
  <c r="N110" i="32"/>
  <c r="N106" i="32"/>
  <c r="N100" i="32"/>
  <c r="N109" i="32"/>
  <c r="N105" i="32"/>
  <c r="N101" i="32"/>
  <c r="O110" i="32"/>
  <c r="Q110" i="32" s="1"/>
  <c r="O106" i="32"/>
  <c r="Q106" i="32" s="1"/>
  <c r="O100" i="32"/>
  <c r="Q100" i="32" s="1"/>
  <c r="O109" i="32"/>
  <c r="Q109" i="32" s="1"/>
  <c r="O105" i="32"/>
  <c r="Q105" i="32" s="1"/>
  <c r="W101" i="32"/>
  <c r="Y101" i="32" s="1"/>
  <c r="O101" i="32"/>
  <c r="Q101" i="32" s="1"/>
  <c r="O112" i="32"/>
  <c r="O113" i="32" s="1"/>
  <c r="O108" i="32"/>
  <c r="Q108" i="32" s="1"/>
  <c r="O104" i="32"/>
  <c r="Q104" i="32" s="1"/>
  <c r="O102" i="32"/>
  <c r="Q102" i="32" s="1"/>
  <c r="P109" i="32"/>
  <c r="R109" i="32" s="1"/>
  <c r="P105" i="32"/>
  <c r="P101" i="32"/>
  <c r="P108" i="32"/>
  <c r="P104" i="32"/>
  <c r="R104" i="32" s="1"/>
  <c r="P102" i="32"/>
  <c r="P111" i="32"/>
  <c r="R111" i="32" s="1"/>
  <c r="P107" i="32"/>
  <c r="R107" i="32" s="1"/>
  <c r="P103" i="32"/>
  <c r="W102" i="32"/>
  <c r="Y102" i="32" s="1"/>
  <c r="AN30" i="32"/>
  <c r="AN31" i="32" s="1"/>
  <c r="AN32" i="32" s="1"/>
  <c r="AN33" i="32" s="1"/>
  <c r="AN34" i="32" s="1"/>
  <c r="AN35" i="32" s="1"/>
  <c r="AN36" i="32" s="1"/>
  <c r="AN37" i="32" s="1"/>
  <c r="AN38" i="32" s="1"/>
  <c r="AN39" i="32" s="1"/>
  <c r="AN40" i="32" s="1"/>
  <c r="AN41" i="32" s="1"/>
  <c r="AN42" i="32" s="1"/>
  <c r="AM31" i="32"/>
  <c r="AM32" i="32" s="1"/>
  <c r="AM33" i="32" s="1"/>
  <c r="AM34" i="32" s="1"/>
  <c r="AM35" i="32" s="1"/>
  <c r="AM36" i="32" s="1"/>
  <c r="AM37" i="32" s="1"/>
  <c r="AM38" i="32" s="1"/>
  <c r="AM39" i="32" s="1"/>
  <c r="AM40" i="32" s="1"/>
  <c r="AM41" i="32" s="1"/>
  <c r="AM42" i="32" s="1"/>
  <c r="R32" i="32"/>
  <c r="R33" i="32" s="1"/>
  <c r="R34" i="32" s="1"/>
  <c r="R35" i="32" s="1"/>
  <c r="R36" i="32" s="1"/>
  <c r="R37" i="32" s="1"/>
  <c r="R38" i="32" s="1"/>
  <c r="R39" i="32" s="1"/>
  <c r="R40" i="32" s="1"/>
  <c r="R41" i="32" s="1"/>
  <c r="R42" i="32" s="1"/>
  <c r="V32" i="32"/>
  <c r="V33" i="32" s="1"/>
  <c r="V34" i="32" s="1"/>
  <c r="V35" i="32" s="1"/>
  <c r="V36" i="32" s="1"/>
  <c r="V37" i="32" s="1"/>
  <c r="V38" i="32" s="1"/>
  <c r="V39" i="32" s="1"/>
  <c r="V40" i="32" s="1"/>
  <c r="V41" i="32" s="1"/>
  <c r="V42" i="32" s="1"/>
  <c r="AL32" i="32"/>
  <c r="AL33" i="32" s="1"/>
  <c r="AL34" i="32" s="1"/>
  <c r="AL35" i="32" s="1"/>
  <c r="AL36" i="32" s="1"/>
  <c r="AL37" i="32" s="1"/>
  <c r="AL38" i="32" s="1"/>
  <c r="AL39" i="32" s="1"/>
  <c r="AL40" i="32" s="1"/>
  <c r="AL41" i="32" s="1"/>
  <c r="AL42" i="32" s="1"/>
  <c r="AO46" i="32"/>
  <c r="AA47" i="32"/>
  <c r="AE47" i="32"/>
  <c r="AI47" i="32"/>
  <c r="AM47" i="32"/>
  <c r="AQ47" i="32"/>
  <c r="AO48" i="32"/>
  <c r="AA49" i="32"/>
  <c r="AE49" i="32"/>
  <c r="AI49" i="32"/>
  <c r="AM49" i="32"/>
  <c r="P50" i="32"/>
  <c r="T50" i="32"/>
  <c r="X50" i="32"/>
  <c r="AF50" i="32"/>
  <c r="AJ50" i="32"/>
  <c r="AN50" i="32"/>
  <c r="AO51" i="32"/>
  <c r="N52" i="32"/>
  <c r="R52" i="32"/>
  <c r="V52" i="32"/>
  <c r="Z52" i="32"/>
  <c r="AH52" i="32"/>
  <c r="AL52" i="32"/>
  <c r="AP52" i="32"/>
  <c r="AA53" i="32"/>
  <c r="AE53" i="32"/>
  <c r="AI53" i="32"/>
  <c r="AM53" i="32"/>
  <c r="AQ53" i="32"/>
  <c r="P54" i="32"/>
  <c r="T54" i="32"/>
  <c r="X54" i="32"/>
  <c r="AF54" i="32"/>
  <c r="AJ54" i="32"/>
  <c r="AN54" i="32"/>
  <c r="AO55" i="32"/>
  <c r="N56" i="32"/>
  <c r="R56" i="32"/>
  <c r="V56" i="32"/>
  <c r="Z56" i="32"/>
  <c r="AH56" i="32"/>
  <c r="AL56" i="32"/>
  <c r="AP56" i="32"/>
  <c r="AA57" i="32"/>
  <c r="AA58" i="32" s="1"/>
  <c r="AA59" i="32" s="1"/>
  <c r="AA60" i="32" s="1"/>
  <c r="AA61" i="32" s="1"/>
  <c r="AA62" i="32" s="1"/>
  <c r="AA63" i="32" s="1"/>
  <c r="AA64" i="32" s="1"/>
  <c r="AA65" i="32" s="1"/>
  <c r="AA66" i="32" s="1"/>
  <c r="AA67" i="32" s="1"/>
  <c r="AA68" i="32" s="1"/>
  <c r="AA69" i="32" s="1"/>
  <c r="AE57" i="32"/>
  <c r="AE58" i="32" s="1"/>
  <c r="AE59" i="32" s="1"/>
  <c r="AE60" i="32" s="1"/>
  <c r="AE61" i="32" s="1"/>
  <c r="AE62" i="32" s="1"/>
  <c r="AE63" i="32" s="1"/>
  <c r="AE64" i="32" s="1"/>
  <c r="AE65" i="32" s="1"/>
  <c r="AE66" i="32" s="1"/>
  <c r="AE67" i="32" s="1"/>
  <c r="AE68" i="32" s="1"/>
  <c r="AE69" i="32" s="1"/>
  <c r="AI57" i="32"/>
  <c r="AI58" i="32" s="1"/>
  <c r="AI59" i="32" s="1"/>
  <c r="AI60" i="32" s="1"/>
  <c r="AI61" i="32" s="1"/>
  <c r="AI62" i="32" s="1"/>
  <c r="AI63" i="32" s="1"/>
  <c r="AI64" i="32" s="1"/>
  <c r="AI65" i="32" s="1"/>
  <c r="AI66" i="32" s="1"/>
  <c r="AI67" i="32" s="1"/>
  <c r="AI68" i="32" s="1"/>
  <c r="AI69" i="32" s="1"/>
  <c r="AM57" i="32"/>
  <c r="AM58" i="32" s="1"/>
  <c r="AM59" i="32" s="1"/>
  <c r="AM60" i="32" s="1"/>
  <c r="AM61" i="32" s="1"/>
  <c r="AM62" i="32" s="1"/>
  <c r="AM63" i="32" s="1"/>
  <c r="AM64" i="32" s="1"/>
  <c r="AM65" i="32" s="1"/>
  <c r="AM66" i="32" s="1"/>
  <c r="AM67" i="32" s="1"/>
  <c r="AM68" i="32" s="1"/>
  <c r="AM69" i="32" s="1"/>
  <c r="AQ57" i="32"/>
  <c r="P58" i="32"/>
  <c r="P59" i="32" s="1"/>
  <c r="P60" i="32" s="1"/>
  <c r="P61" i="32" s="1"/>
  <c r="P62" i="32" s="1"/>
  <c r="P63" i="32" s="1"/>
  <c r="P64" i="32" s="1"/>
  <c r="P65" i="32" s="1"/>
  <c r="P66" i="32" s="1"/>
  <c r="P67" i="32" s="1"/>
  <c r="P68" i="32" s="1"/>
  <c r="P69" i="32" s="1"/>
  <c r="T58" i="32"/>
  <c r="T59" i="32" s="1"/>
  <c r="T60" i="32" s="1"/>
  <c r="T61" i="32" s="1"/>
  <c r="T62" i="32" s="1"/>
  <c r="T63" i="32" s="1"/>
  <c r="T64" i="32" s="1"/>
  <c r="T65" i="32" s="1"/>
  <c r="T66" i="32" s="1"/>
  <c r="T67" i="32" s="1"/>
  <c r="T68" i="32" s="1"/>
  <c r="T69" i="32" s="1"/>
  <c r="X58" i="32"/>
  <c r="X59" i="32" s="1"/>
  <c r="X60" i="32" s="1"/>
  <c r="X61" i="32" s="1"/>
  <c r="X62" i="32" s="1"/>
  <c r="X63" i="32" s="1"/>
  <c r="X64" i="32" s="1"/>
  <c r="X65" i="32" s="1"/>
  <c r="X66" i="32" s="1"/>
  <c r="X67" i="32" s="1"/>
  <c r="X68" i="32" s="1"/>
  <c r="X69" i="32" s="1"/>
  <c r="AF58" i="32"/>
  <c r="AJ58" i="32"/>
  <c r="AJ59" i="32" s="1"/>
  <c r="AJ60" i="32" s="1"/>
  <c r="AJ61" i="32" s="1"/>
  <c r="AJ62" i="32" s="1"/>
  <c r="AJ63" i="32" s="1"/>
  <c r="AJ64" i="32" s="1"/>
  <c r="AJ65" i="32" s="1"/>
  <c r="AJ66" i="32" s="1"/>
  <c r="AJ67" i="32" s="1"/>
  <c r="AJ68" i="32" s="1"/>
  <c r="AJ69" i="32" s="1"/>
  <c r="AN58" i="32"/>
  <c r="AN59" i="32" s="1"/>
  <c r="AN60" i="32" s="1"/>
  <c r="AN61" i="32" s="1"/>
  <c r="AN62" i="32" s="1"/>
  <c r="AN63" i="32" s="1"/>
  <c r="AN64" i="32" s="1"/>
  <c r="AN65" i="32" s="1"/>
  <c r="AN66" i="32" s="1"/>
  <c r="AN67" i="32" s="1"/>
  <c r="AN68" i="32" s="1"/>
  <c r="AN69" i="32" s="1"/>
  <c r="H64" i="32"/>
  <c r="H68" i="32"/>
  <c r="J197" i="51"/>
  <c r="J194" i="51"/>
  <c r="J160" i="51"/>
  <c r="J158" i="51"/>
  <c r="J154" i="51"/>
  <c r="J144" i="51"/>
  <c r="F131" i="51"/>
  <c r="J128" i="51"/>
  <c r="J125" i="51"/>
  <c r="J97" i="51"/>
  <c r="J76" i="51"/>
  <c r="J74" i="51"/>
  <c r="J66" i="51"/>
  <c r="J64" i="51"/>
  <c r="J50" i="51"/>
  <c r="J187" i="51"/>
  <c r="J183" i="51"/>
  <c r="J150" i="51"/>
  <c r="J135" i="51"/>
  <c r="J133" i="51"/>
  <c r="J115" i="51"/>
  <c r="F109" i="51"/>
  <c r="F103" i="51"/>
  <c r="J87" i="51"/>
  <c r="J83" i="51"/>
  <c r="J60" i="51"/>
  <c r="F29" i="51"/>
  <c r="J15" i="51"/>
  <c r="F3" i="51"/>
  <c r="J176" i="51"/>
  <c r="J174" i="51"/>
  <c r="J171" i="51"/>
  <c r="J166" i="51"/>
  <c r="J164" i="51"/>
  <c r="F139" i="51"/>
  <c r="F116" i="51"/>
  <c r="J113" i="51"/>
  <c r="F39" i="51"/>
  <c r="J33" i="51"/>
  <c r="F31" i="51"/>
  <c r="J28" i="51"/>
  <c r="F16" i="51"/>
  <c r="J13" i="51"/>
  <c r="N5" i="51"/>
  <c r="F129" i="51"/>
  <c r="F124" i="51"/>
  <c r="N105" i="51"/>
  <c r="J71" i="51"/>
  <c r="J44" i="51"/>
  <c r="F25" i="51"/>
  <c r="F20" i="51"/>
  <c r="F123" i="51"/>
  <c r="F125" i="51"/>
  <c r="F120" i="51"/>
  <c r="J94" i="51"/>
  <c r="J58" i="51"/>
  <c r="F24" i="51"/>
  <c r="F9" i="51"/>
  <c r="F114" i="51"/>
  <c r="J54" i="51"/>
  <c r="J35" i="51"/>
  <c r="J25" i="51"/>
  <c r="F23" i="51"/>
  <c r="F14" i="51"/>
  <c r="R34" i="51" s="1"/>
  <c r="R81" i="32"/>
  <c r="P81" i="32"/>
  <c r="S81" i="32" s="1"/>
  <c r="R84" i="32"/>
  <c r="P84" i="32"/>
  <c r="S84" i="32" s="1"/>
  <c r="O103" i="32"/>
  <c r="P106" i="32"/>
  <c r="R106" i="32" s="1"/>
  <c r="K27" i="47"/>
  <c r="K25" i="47"/>
  <c r="K23" i="47"/>
  <c r="F23" i="41"/>
  <c r="Q75" i="32"/>
  <c r="W73" i="32" s="1"/>
  <c r="Y73" i="32" s="1"/>
  <c r="Q79" i="32"/>
  <c r="Q85" i="32"/>
  <c r="Q87" i="32"/>
  <c r="Q89" i="32"/>
  <c r="Q90" i="32"/>
  <c r="Q91" i="32"/>
  <c r="Q92" i="32"/>
  <c r="Q93" i="32"/>
  <c r="Q95" i="32"/>
  <c r="AM133" i="47"/>
  <c r="AM125" i="47"/>
  <c r="J126" i="51"/>
  <c r="J123" i="51"/>
  <c r="J185" i="51"/>
  <c r="J134" i="51"/>
  <c r="J116" i="51"/>
  <c r="J85" i="51"/>
  <c r="J49" i="51"/>
  <c r="F45" i="51"/>
  <c r="J16" i="51"/>
  <c r="J173" i="51"/>
  <c r="F128" i="51"/>
  <c r="F121" i="51"/>
  <c r="F21" i="51"/>
  <c r="F28" i="51"/>
  <c r="F11" i="51"/>
  <c r="F145" i="51"/>
  <c r="J73" i="51"/>
  <c r="J26" i="51"/>
  <c r="J23" i="51"/>
  <c r="F111" i="51"/>
  <c r="J34" i="51"/>
  <c r="Q74" i="32"/>
  <c r="Q78" i="32"/>
  <c r="Q81" i="32"/>
  <c r="Q84" i="32"/>
  <c r="AM153" i="47"/>
  <c r="AM147" i="47"/>
  <c r="P73" i="32"/>
  <c r="H93" i="32" s="1"/>
  <c r="I93" i="32" s="1"/>
  <c r="Q77" i="32"/>
  <c r="W76" i="32" s="1"/>
  <c r="Y76" i="32" s="1"/>
  <c r="Q82" i="32"/>
  <c r="Q86" i="32"/>
  <c r="Q88" i="32"/>
  <c r="Q94" i="32"/>
  <c r="AK70" i="47"/>
  <c r="AK78" i="47"/>
  <c r="AK89" i="47"/>
  <c r="F146" i="41"/>
  <c r="F136" i="41"/>
  <c r="F132" i="41"/>
  <c r="F122" i="41"/>
  <c r="F108" i="41"/>
  <c r="F143" i="41"/>
  <c r="F125" i="41"/>
  <c r="D102" i="41"/>
  <c r="F102" i="41" s="1"/>
  <c r="D100" i="41"/>
  <c r="F100" i="41" s="1"/>
  <c r="D98" i="41"/>
  <c r="F98" i="41" s="1"/>
  <c r="D96" i="41"/>
  <c r="F96" i="41" s="1"/>
  <c r="D94" i="41"/>
  <c r="F94" i="41" s="1"/>
  <c r="D92" i="41"/>
  <c r="F92" i="41" s="1"/>
  <c r="D90" i="41"/>
  <c r="F90" i="41" s="1"/>
  <c r="D88" i="41"/>
  <c r="F88" i="41" s="1"/>
  <c r="D86" i="41"/>
  <c r="F86" i="41" s="1"/>
  <c r="D84" i="41"/>
  <c r="F84" i="41" s="1"/>
  <c r="D82" i="41"/>
  <c r="F82" i="41" s="1"/>
  <c r="D80" i="41"/>
  <c r="F80" i="41" s="1"/>
  <c r="D78" i="41"/>
  <c r="F78" i="41" s="1"/>
  <c r="D76" i="41"/>
  <c r="F76" i="41" s="1"/>
  <c r="D74" i="41"/>
  <c r="F74" i="41" s="1"/>
  <c r="D99" i="41"/>
  <c r="F99" i="41" s="1"/>
  <c r="D95" i="41"/>
  <c r="F95" i="41" s="1"/>
  <c r="D91" i="41"/>
  <c r="F91" i="41" s="1"/>
  <c r="D87" i="41"/>
  <c r="F87" i="41" s="1"/>
  <c r="D83" i="41"/>
  <c r="F83" i="41" s="1"/>
  <c r="D79" i="41"/>
  <c r="F79" i="41" s="1"/>
  <c r="D75" i="41"/>
  <c r="F75" i="41" s="1"/>
  <c r="I75" i="41"/>
  <c r="D77" i="41"/>
  <c r="F77" i="41" s="1"/>
  <c r="I79" i="41"/>
  <c r="D81" i="41"/>
  <c r="F81" i="41" s="1"/>
  <c r="I83" i="41"/>
  <c r="D85" i="41"/>
  <c r="F85" i="41" s="1"/>
  <c r="I87" i="41"/>
  <c r="D89" i="41"/>
  <c r="F89" i="41" s="1"/>
  <c r="I91" i="41"/>
  <c r="D93" i="41"/>
  <c r="F93" i="41" s="1"/>
  <c r="I95" i="41"/>
  <c r="D97" i="41"/>
  <c r="F97" i="41" s="1"/>
  <c r="I99" i="41"/>
  <c r="D101" i="41"/>
  <c r="F101" i="41" s="1"/>
  <c r="F129" i="41"/>
  <c r="R42" i="51"/>
  <c r="R146" i="51"/>
  <c r="R140" i="51"/>
  <c r="R132" i="51"/>
  <c r="R117" i="51"/>
  <c r="R43" i="51"/>
  <c r="S26" i="51"/>
  <c r="R20" i="51"/>
  <c r="R15" i="51"/>
  <c r="R121" i="51"/>
  <c r="R118" i="51"/>
  <c r="R141" i="51"/>
  <c r="R131" i="51"/>
  <c r="R120" i="51"/>
  <c r="R115" i="51"/>
  <c r="S25" i="51"/>
  <c r="S22" i="51"/>
  <c r="R21" i="51"/>
  <c r="R44" i="51"/>
  <c r="S125" i="47"/>
  <c r="T125" i="47" s="1"/>
  <c r="S133" i="47"/>
  <c r="T133" i="47" s="1"/>
  <c r="AK155" i="47"/>
  <c r="F126" i="41"/>
  <c r="F137" i="41"/>
  <c r="F110" i="41"/>
  <c r="I98" i="41"/>
  <c r="I90" i="41"/>
  <c r="I82" i="41"/>
  <c r="I74" i="41"/>
  <c r="F114" i="41"/>
  <c r="M44" i="41"/>
  <c r="E74" i="41"/>
  <c r="G74" i="41" s="1"/>
  <c r="I76" i="41"/>
  <c r="I80" i="41"/>
  <c r="I84" i="41"/>
  <c r="I88" i="41"/>
  <c r="I92" i="41"/>
  <c r="I96" i="41"/>
  <c r="F112" i="41"/>
  <c r="F139" i="41"/>
  <c r="K276" i="41"/>
  <c r="L276" i="41" s="1"/>
  <c r="S24" i="51"/>
  <c r="AK151" i="47"/>
  <c r="AI157" i="47"/>
  <c r="F113" i="41"/>
  <c r="F138" i="41"/>
  <c r="F124" i="41"/>
  <c r="F145" i="41"/>
  <c r="J198" i="41"/>
  <c r="H199" i="41"/>
  <c r="G263" i="41"/>
  <c r="L272" i="41"/>
  <c r="M275" i="41"/>
  <c r="K275" i="41"/>
  <c r="L275" i="41" s="1"/>
  <c r="R18" i="51"/>
  <c r="J111" i="51"/>
  <c r="J11" i="51"/>
  <c r="K198" i="41"/>
  <c r="I199" i="41"/>
  <c r="M274" i="41"/>
  <c r="R17" i="51"/>
  <c r="F142" i="41"/>
  <c r="F128" i="41"/>
  <c r="I78" i="41"/>
  <c r="I86" i="41"/>
  <c r="I94" i="41"/>
  <c r="I102" i="41"/>
  <c r="L182" i="41"/>
  <c r="M182" i="41" s="1"/>
  <c r="L179" i="41"/>
  <c r="M179" i="41" s="1"/>
  <c r="O263" i="41"/>
  <c r="I274" i="41"/>
  <c r="L274" i="41" s="1"/>
  <c r="F144" i="41"/>
  <c r="F140" i="41"/>
  <c r="F130" i="41"/>
  <c r="M27" i="41"/>
  <c r="M35" i="41"/>
  <c r="M55" i="41"/>
  <c r="L183" i="41"/>
  <c r="M183" i="41" s="1"/>
  <c r="M273" i="41"/>
  <c r="I275" i="41"/>
  <c r="J31" i="51"/>
  <c r="J131" i="51"/>
  <c r="J165" i="51"/>
  <c r="J138" i="51"/>
  <c r="Q111" i="66"/>
  <c r="Q95" i="66"/>
  <c r="Q33" i="66"/>
  <c r="Q3" i="66"/>
  <c r="Q140" i="66"/>
  <c r="Q203" i="66"/>
  <c r="O217" i="41"/>
  <c r="O218" i="41" s="1"/>
  <c r="N274" i="41"/>
  <c r="R143" i="51"/>
  <c r="R138" i="51"/>
  <c r="S128" i="51"/>
  <c r="S127" i="51"/>
  <c r="S126" i="51"/>
  <c r="S125" i="51"/>
  <c r="S124" i="51"/>
  <c r="S123" i="51"/>
  <c r="S122" i="51"/>
  <c r="R144" i="51"/>
  <c r="R139" i="51"/>
  <c r="R128" i="51"/>
  <c r="R127" i="51"/>
  <c r="R126" i="51"/>
  <c r="R125" i="51"/>
  <c r="R124" i="51"/>
  <c r="R123" i="51"/>
  <c r="R122" i="51"/>
  <c r="S121" i="51"/>
  <c r="S120" i="51"/>
  <c r="S119" i="51"/>
  <c r="S118" i="51"/>
  <c r="S117" i="51"/>
  <c r="S116" i="51"/>
  <c r="S115" i="51"/>
  <c r="S114" i="51"/>
  <c r="R41" i="51"/>
  <c r="R40" i="51"/>
  <c r="R39" i="51"/>
  <c r="R38" i="51"/>
  <c r="R32" i="51"/>
  <c r="R27" i="51"/>
  <c r="R26" i="51"/>
  <c r="R25" i="51"/>
  <c r="R24" i="51"/>
  <c r="R23" i="51"/>
  <c r="R22" i="51"/>
  <c r="S21" i="51"/>
  <c r="S20" i="51"/>
  <c r="S19" i="51"/>
  <c r="S18" i="51"/>
  <c r="S17" i="51"/>
  <c r="S16" i="51"/>
  <c r="S15" i="51"/>
  <c r="S14" i="51"/>
  <c r="R14" i="51"/>
  <c r="R16" i="51"/>
  <c r="R19" i="51"/>
  <c r="S23" i="51"/>
  <c r="S27" i="51"/>
  <c r="R31" i="51"/>
  <c r="R114" i="51"/>
  <c r="R116" i="51"/>
  <c r="R119" i="51"/>
  <c r="R142" i="51"/>
  <c r="R145" i="51"/>
  <c r="Q151" i="66"/>
  <c r="Q109" i="66"/>
  <c r="Q191" i="66"/>
  <c r="Q110" i="66"/>
  <c r="Q48" i="66"/>
  <c r="Q129" i="66"/>
  <c r="Q10" i="66"/>
  <c r="Q108" i="66"/>
  <c r="Q27" i="66"/>
  <c r="Q85" i="66"/>
  <c r="Q193" i="66"/>
  <c r="Q118" i="66"/>
  <c r="Q6" i="66"/>
  <c r="Q178" i="66"/>
  <c r="Q210" i="66"/>
  <c r="Q74" i="66"/>
  <c r="Q94" i="66"/>
  <c r="Q96" i="66"/>
  <c r="Q100" i="66"/>
  <c r="Q102" i="66"/>
  <c r="Q181" i="66"/>
  <c r="I3" i="55"/>
  <c r="I2" i="55"/>
  <c r="I17" i="55"/>
  <c r="I19" i="55"/>
  <c r="I28" i="55"/>
  <c r="I27" i="55"/>
  <c r="I26" i="55"/>
  <c r="L18" i="55"/>
  <c r="N21" i="55"/>
  <c r="M21" i="55"/>
  <c r="B21" i="55" s="1"/>
  <c r="F21" i="55"/>
  <c r="G21" i="55" s="1"/>
  <c r="M22" i="55"/>
  <c r="B22" i="55" s="1"/>
  <c r="N25" i="55"/>
  <c r="N31" i="55"/>
  <c r="N103" i="55"/>
  <c r="N118" i="55"/>
  <c r="O46" i="30"/>
  <c r="O44" i="30"/>
  <c r="J19" i="51"/>
  <c r="F106" i="51"/>
  <c r="O112" i="51" s="1"/>
  <c r="J191" i="51"/>
  <c r="Q18" i="66"/>
  <c r="Q22" i="66"/>
  <c r="Q24" i="66"/>
  <c r="Q187" i="66"/>
  <c r="Q168" i="66"/>
  <c r="Q155" i="66"/>
  <c r="Q32" i="66"/>
  <c r="Q36" i="66"/>
  <c r="Q114" i="66"/>
  <c r="Q120" i="66"/>
  <c r="Q122" i="66"/>
  <c r="Q124" i="66"/>
  <c r="Q126" i="66"/>
  <c r="Q128" i="66"/>
  <c r="Q132" i="66"/>
  <c r="Q134" i="66"/>
  <c r="Q136" i="66"/>
  <c r="Q138" i="66"/>
  <c r="Q142" i="66"/>
  <c r="Q144" i="66"/>
  <c r="Q146" i="66"/>
  <c r="Q148" i="66"/>
  <c r="Q171" i="66"/>
  <c r="Q179" i="66"/>
  <c r="Q186" i="66"/>
  <c r="Q201" i="66"/>
  <c r="Q209" i="66"/>
  <c r="N2" i="55"/>
  <c r="M2" i="55"/>
  <c r="B2" i="55" s="1"/>
  <c r="D2" i="55" s="1"/>
  <c r="M4" i="55"/>
  <c r="B4" i="55" s="1"/>
  <c r="D4" i="55" s="1"/>
  <c r="N5" i="55"/>
  <c r="M5" i="55"/>
  <c r="B5" i="55" s="1"/>
  <c r="D5" i="55" s="1"/>
  <c r="L5" i="55" s="1"/>
  <c r="I21" i="55"/>
  <c r="I20" i="55"/>
  <c r="L20" i="55" s="1"/>
  <c r="I25" i="55"/>
  <c r="I24" i="55"/>
  <c r="I23" i="55"/>
  <c r="L23" i="55" s="1"/>
  <c r="I34" i="55"/>
  <c r="I33" i="55"/>
  <c r="I32" i="55"/>
  <c r="L32" i="55" s="1"/>
  <c r="I18" i="55"/>
  <c r="N20" i="55"/>
  <c r="N22" i="55"/>
  <c r="I61" i="55"/>
  <c r="I60" i="55"/>
  <c r="I59" i="55"/>
  <c r="N46" i="55"/>
  <c r="N57" i="55"/>
  <c r="N58" i="55"/>
  <c r="M71" i="55"/>
  <c r="B71" i="55" s="1"/>
  <c r="N93" i="55"/>
  <c r="N94" i="55"/>
  <c r="I15" i="30"/>
  <c r="K42" i="30"/>
  <c r="N42" i="30" s="1"/>
  <c r="I13" i="30"/>
  <c r="K46" i="30"/>
  <c r="N46" i="30" s="1"/>
  <c r="J153" i="51"/>
  <c r="J193" i="51"/>
  <c r="Q5" i="66"/>
  <c r="Q176" i="66"/>
  <c r="Q198" i="66"/>
  <c r="Q13" i="66"/>
  <c r="Q17" i="66"/>
  <c r="Q21" i="66"/>
  <c r="Q25" i="66"/>
  <c r="Q190" i="66"/>
  <c r="Q166" i="66"/>
  <c r="Q37" i="66"/>
  <c r="Q38" i="66"/>
  <c r="Q39" i="66"/>
  <c r="Q40" i="66"/>
  <c r="Q41" i="66"/>
  <c r="Q42" i="66"/>
  <c r="Q43" i="66"/>
  <c r="Q44" i="66"/>
  <c r="Q45" i="66"/>
  <c r="Q46" i="66"/>
  <c r="Q47" i="66"/>
  <c r="Q49" i="66"/>
  <c r="Q51" i="66"/>
  <c r="Q52" i="66"/>
  <c r="Q54" i="66"/>
  <c r="Q55" i="66"/>
  <c r="Q56" i="66"/>
  <c r="Q58" i="66"/>
  <c r="Q59" i="66"/>
  <c r="Q60" i="66"/>
  <c r="Q61" i="66"/>
  <c r="Q62" i="66"/>
  <c r="Q63" i="66"/>
  <c r="Q64" i="66"/>
  <c r="Q65" i="66"/>
  <c r="Q66" i="66"/>
  <c r="Q67" i="66"/>
  <c r="Q68" i="66"/>
  <c r="Q69" i="66"/>
  <c r="Q70" i="66"/>
  <c r="Q71" i="66"/>
  <c r="Q72" i="66"/>
  <c r="Q73" i="66"/>
  <c r="Q75" i="66"/>
  <c r="Q77" i="66"/>
  <c r="Q79" i="66"/>
  <c r="Q81" i="66"/>
  <c r="Q83" i="66"/>
  <c r="Q87" i="66"/>
  <c r="Q89" i="66"/>
  <c r="Q91" i="66"/>
  <c r="Q97" i="66"/>
  <c r="Q99" i="66"/>
  <c r="Q101" i="66"/>
  <c r="Q103" i="66"/>
  <c r="Q105" i="66"/>
  <c r="Q107" i="66"/>
  <c r="Q112" i="66"/>
  <c r="Q162" i="66"/>
  <c r="Q177" i="66"/>
  <c r="Q199" i="66"/>
  <c r="Q207" i="66"/>
  <c r="N4" i="55"/>
  <c r="M6" i="55"/>
  <c r="B6" i="55" s="1"/>
  <c r="D6" i="55" s="1"/>
  <c r="L6" i="55" s="1"/>
  <c r="F6" i="55"/>
  <c r="G6" i="55" s="1"/>
  <c r="I13" i="55"/>
  <c r="I12" i="55"/>
  <c r="I11" i="55"/>
  <c r="L11" i="55" s="1"/>
  <c r="M10" i="55"/>
  <c r="B10" i="55" s="1"/>
  <c r="D10" i="55" s="1"/>
  <c r="L10" i="55" s="1"/>
  <c r="I31" i="55"/>
  <c r="I30" i="55"/>
  <c r="I29" i="55"/>
  <c r="M19" i="55"/>
  <c r="B19" i="55" s="1"/>
  <c r="D19" i="55" s="1"/>
  <c r="L19" i="55" s="1"/>
  <c r="N24" i="55"/>
  <c r="N26" i="55"/>
  <c r="N28" i="55"/>
  <c r="L78" i="55"/>
  <c r="N30" i="55"/>
  <c r="L84" i="55"/>
  <c r="M47" i="55"/>
  <c r="B47" i="55" s="1"/>
  <c r="D47" i="55" s="1"/>
  <c r="L47" i="55" s="1"/>
  <c r="M50" i="55"/>
  <c r="B50" i="55" s="1"/>
  <c r="D50" i="55" s="1"/>
  <c r="N50" i="55"/>
  <c r="F50" i="55"/>
  <c r="G50" i="55" s="1"/>
  <c r="L59" i="55"/>
  <c r="N64" i="55"/>
  <c r="M64" i="55"/>
  <c r="B64" i="55" s="1"/>
  <c r="D64" i="55" s="1"/>
  <c r="L64" i="55" s="1"/>
  <c r="F64" i="55"/>
  <c r="G64" i="55" s="1"/>
  <c r="L79" i="55"/>
  <c r="L87" i="55"/>
  <c r="N90" i="55"/>
  <c r="N99" i="55"/>
  <c r="N100" i="55"/>
  <c r="N116" i="55"/>
  <c r="N120" i="55"/>
  <c r="Q153" i="66"/>
  <c r="Q194" i="66"/>
  <c r="Q192" i="66"/>
  <c r="Q170" i="66"/>
  <c r="Q20" i="66"/>
  <c r="Q182" i="66"/>
  <c r="Q202" i="66"/>
  <c r="Q26" i="66"/>
  <c r="Q30" i="66"/>
  <c r="Q174" i="66"/>
  <c r="Q196" i="66"/>
  <c r="Q34" i="66"/>
  <c r="Q116" i="66"/>
  <c r="Q119" i="66"/>
  <c r="Q121" i="66"/>
  <c r="Q123" i="66"/>
  <c r="Q125" i="66"/>
  <c r="Q127" i="66"/>
  <c r="Q130" i="66"/>
  <c r="Q133" i="66"/>
  <c r="Q135" i="66"/>
  <c r="Q137" i="66"/>
  <c r="Q139" i="66"/>
  <c r="Q141" i="66"/>
  <c r="Q143" i="66"/>
  <c r="Q145" i="66"/>
  <c r="Q147" i="66"/>
  <c r="Q152" i="66"/>
  <c r="Q165" i="66"/>
  <c r="Q175" i="66"/>
  <c r="Q205" i="66"/>
  <c r="N3" i="55"/>
  <c r="M3" i="55"/>
  <c r="B3" i="55" s="1"/>
  <c r="D3" i="55" s="1"/>
  <c r="L3" i="55" s="1"/>
  <c r="I4" i="55"/>
  <c r="N6" i="55"/>
  <c r="I16" i="55"/>
  <c r="I15" i="55"/>
  <c r="L15" i="55" s="1"/>
  <c r="I14" i="55"/>
  <c r="L14" i="55" s="1"/>
  <c r="L12" i="55"/>
  <c r="L13" i="55"/>
  <c r="I37" i="55"/>
  <c r="I36" i="55"/>
  <c r="I35" i="55"/>
  <c r="M36" i="55"/>
  <c r="B36" i="55" s="1"/>
  <c r="D36" i="55" s="1"/>
  <c r="L36" i="55" s="1"/>
  <c r="M35" i="55"/>
  <c r="B35" i="55" s="1"/>
  <c r="D35" i="55" s="1"/>
  <c r="L35" i="55" s="1"/>
  <c r="M34" i="55"/>
  <c r="B34" i="55" s="1"/>
  <c r="D34" i="55" s="1"/>
  <c r="L34" i="55" s="1"/>
  <c r="M33" i="55"/>
  <c r="B33" i="55" s="1"/>
  <c r="D33" i="55" s="1"/>
  <c r="L33" i="55" s="1"/>
  <c r="M31" i="55"/>
  <c r="B31" i="55" s="1"/>
  <c r="D31" i="55" s="1"/>
  <c r="L31" i="55" s="1"/>
  <c r="M30" i="55"/>
  <c r="B30" i="55" s="1"/>
  <c r="D30" i="55" s="1"/>
  <c r="L30" i="55" s="1"/>
  <c r="M29" i="55"/>
  <c r="B29" i="55" s="1"/>
  <c r="D29" i="55" s="1"/>
  <c r="M28" i="55"/>
  <c r="B28" i="55" s="1"/>
  <c r="D28" i="55" s="1"/>
  <c r="M27" i="55"/>
  <c r="B27" i="55" s="1"/>
  <c r="D27" i="55" s="1"/>
  <c r="L27" i="55" s="1"/>
  <c r="M26" i="55"/>
  <c r="B26" i="55" s="1"/>
  <c r="D26" i="55" s="1"/>
  <c r="L26" i="55" s="1"/>
  <c r="M25" i="55"/>
  <c r="B25" i="55" s="1"/>
  <c r="D25" i="55" s="1"/>
  <c r="L25" i="55" s="1"/>
  <c r="M24" i="55"/>
  <c r="B24" i="55" s="1"/>
  <c r="D24" i="55" s="1"/>
  <c r="N23" i="55"/>
  <c r="M20" i="55"/>
  <c r="B20" i="55" s="1"/>
  <c r="N19" i="55"/>
  <c r="M16" i="55"/>
  <c r="B16" i="55" s="1"/>
  <c r="D16" i="55" s="1"/>
  <c r="N15" i="55"/>
  <c r="N14" i="55"/>
  <c r="N13" i="55"/>
  <c r="N12" i="55"/>
  <c r="N10" i="55"/>
  <c r="N17" i="55"/>
  <c r="M17" i="55"/>
  <c r="B17" i="55" s="1"/>
  <c r="D17" i="55" s="1"/>
  <c r="F17" i="55"/>
  <c r="G17" i="55" s="1"/>
  <c r="N18" i="55"/>
  <c r="I49" i="55"/>
  <c r="I48" i="55"/>
  <c r="I47" i="55"/>
  <c r="L21" i="55"/>
  <c r="I22" i="55"/>
  <c r="L22" i="55" s="1"/>
  <c r="N34" i="55"/>
  <c r="N36" i="55"/>
  <c r="M65" i="55"/>
  <c r="B65" i="55" s="1"/>
  <c r="D65" i="55" s="1"/>
  <c r="L65" i="55" s="1"/>
  <c r="L72" i="55"/>
  <c r="L73" i="55"/>
  <c r="N75" i="55"/>
  <c r="N76" i="55"/>
  <c r="N84" i="55"/>
  <c r="K44" i="30"/>
  <c r="N44" i="30" s="1"/>
  <c r="I64" i="55"/>
  <c r="I62" i="55"/>
  <c r="I70" i="55"/>
  <c r="I68" i="55"/>
  <c r="I76" i="55"/>
  <c r="L76" i="55" s="1"/>
  <c r="I74" i="55"/>
  <c r="L74" i="55" s="1"/>
  <c r="I82" i="55"/>
  <c r="L82" i="55" s="1"/>
  <c r="I80" i="55"/>
  <c r="L80" i="55" s="1"/>
  <c r="I88" i="55"/>
  <c r="L88" i="55" s="1"/>
  <c r="I86" i="55"/>
  <c r="L86" i="55" s="1"/>
  <c r="I94" i="55"/>
  <c r="I92" i="55"/>
  <c r="I100" i="55"/>
  <c r="L100" i="55" s="1"/>
  <c r="I98" i="55"/>
  <c r="L98" i="55" s="1"/>
  <c r="N37" i="55"/>
  <c r="M38" i="55"/>
  <c r="B38" i="55" s="1"/>
  <c r="D38" i="55" s="1"/>
  <c r="L38" i="55" s="1"/>
  <c r="N39" i="55"/>
  <c r="M40" i="55"/>
  <c r="B40" i="55" s="1"/>
  <c r="D40" i="55" s="1"/>
  <c r="L40" i="55" s="1"/>
  <c r="N41" i="55"/>
  <c r="M42" i="55"/>
  <c r="B42" i="55" s="1"/>
  <c r="D42" i="55" s="1"/>
  <c r="L42" i="55" s="1"/>
  <c r="N43" i="55"/>
  <c r="M44" i="55"/>
  <c r="B44" i="55" s="1"/>
  <c r="D44" i="55" s="1"/>
  <c r="L44" i="55" s="1"/>
  <c r="N47" i="55"/>
  <c r="N48" i="55"/>
  <c r="M49" i="55"/>
  <c r="B49" i="55" s="1"/>
  <c r="D49" i="55" s="1"/>
  <c r="M52" i="55"/>
  <c r="B52" i="55" s="1"/>
  <c r="D52" i="55" s="1"/>
  <c r="L52" i="55" s="1"/>
  <c r="I53" i="55"/>
  <c r="L53" i="55" s="1"/>
  <c r="N53" i="55"/>
  <c r="N54" i="55"/>
  <c r="M56" i="55"/>
  <c r="B56" i="55" s="1"/>
  <c r="D56" i="55" s="1"/>
  <c r="L56" i="55" s="1"/>
  <c r="N59" i="55"/>
  <c r="N60" i="55"/>
  <c r="M61" i="55"/>
  <c r="B61" i="55" s="1"/>
  <c r="D61" i="55" s="1"/>
  <c r="I63" i="55"/>
  <c r="N65" i="55"/>
  <c r="N66" i="55"/>
  <c r="M66" i="55"/>
  <c r="B66" i="55" s="1"/>
  <c r="D66" i="55" s="1"/>
  <c r="L66" i="55" s="1"/>
  <c r="M67" i="55"/>
  <c r="B67" i="55" s="1"/>
  <c r="D67" i="55" s="1"/>
  <c r="L67" i="55" s="1"/>
  <c r="N71" i="55"/>
  <c r="N72" i="55"/>
  <c r="M72" i="55"/>
  <c r="B72" i="55" s="1"/>
  <c r="N77" i="55"/>
  <c r="N78" i="55"/>
  <c r="I81" i="55"/>
  <c r="L81" i="55" s="1"/>
  <c r="N85" i="55"/>
  <c r="N86" i="55"/>
  <c r="I89" i="55"/>
  <c r="I93" i="55"/>
  <c r="N95" i="55"/>
  <c r="N96" i="55"/>
  <c r="I103" i="55"/>
  <c r="N108" i="55"/>
  <c r="N109" i="55"/>
  <c r="N110" i="55"/>
  <c r="N114" i="55"/>
  <c r="N115" i="55"/>
  <c r="N117" i="55"/>
  <c r="N119" i="55"/>
  <c r="N121" i="55"/>
  <c r="M56" i="63"/>
  <c r="N61" i="63"/>
  <c r="P61" i="63"/>
  <c r="P62" i="63"/>
  <c r="F18" i="55"/>
  <c r="G18" i="55" s="1"/>
  <c r="F22" i="55"/>
  <c r="G22" i="55" s="1"/>
  <c r="I41" i="55"/>
  <c r="M46" i="55"/>
  <c r="B46" i="55" s="1"/>
  <c r="D46" i="55" s="1"/>
  <c r="L46" i="55" s="1"/>
  <c r="N49" i="55"/>
  <c r="M51" i="55"/>
  <c r="B51" i="55" s="1"/>
  <c r="D51" i="55" s="1"/>
  <c r="L51" i="55" s="1"/>
  <c r="I54" i="55"/>
  <c r="L54" i="55" s="1"/>
  <c r="M55" i="55"/>
  <c r="B55" i="55" s="1"/>
  <c r="M58" i="55"/>
  <c r="B58" i="55" s="1"/>
  <c r="D58" i="55" s="1"/>
  <c r="L58" i="55" s="1"/>
  <c r="N61" i="55"/>
  <c r="I65" i="55"/>
  <c r="N67" i="55"/>
  <c r="N68" i="55"/>
  <c r="M68" i="55"/>
  <c r="B68" i="55" s="1"/>
  <c r="D68" i="55" s="1"/>
  <c r="L68" i="55" s="1"/>
  <c r="M69" i="55"/>
  <c r="B69" i="55" s="1"/>
  <c r="D69" i="55" s="1"/>
  <c r="L69" i="55" s="1"/>
  <c r="I71" i="55"/>
  <c r="L71" i="55" s="1"/>
  <c r="M73" i="55"/>
  <c r="B73" i="55" s="1"/>
  <c r="I75" i="55"/>
  <c r="L75" i="55" s="1"/>
  <c r="N79" i="55"/>
  <c r="N80" i="55"/>
  <c r="I83" i="55"/>
  <c r="L83" i="55" s="1"/>
  <c r="N87" i="55"/>
  <c r="N88" i="55"/>
  <c r="N91" i="55"/>
  <c r="N92" i="55"/>
  <c r="I99" i="55"/>
  <c r="L99" i="55" s="1"/>
  <c r="N101" i="55"/>
  <c r="N102" i="55"/>
  <c r="N106" i="55"/>
  <c r="N107" i="55"/>
  <c r="N111" i="55"/>
  <c r="N112" i="55"/>
  <c r="E22" i="30"/>
  <c r="C4" i="30"/>
  <c r="E21" i="30"/>
  <c r="E19" i="30"/>
  <c r="E20" i="30"/>
  <c r="C7" i="30"/>
  <c r="J46" i="30"/>
  <c r="M46" i="30" s="1"/>
  <c r="J44" i="30"/>
  <c r="M44" i="30" s="1"/>
  <c r="J42" i="30"/>
  <c r="M42" i="30" s="1"/>
  <c r="H13" i="30"/>
  <c r="H15" i="30"/>
  <c r="I45" i="30"/>
  <c r="L45" i="30" s="1"/>
  <c r="M123" i="55"/>
  <c r="B123" i="55" s="1"/>
  <c r="D123" i="55" s="1"/>
  <c r="L123" i="55" s="1"/>
  <c r="M121" i="55"/>
  <c r="B121" i="55" s="1"/>
  <c r="D121" i="55" s="1"/>
  <c r="M119" i="55"/>
  <c r="B119" i="55" s="1"/>
  <c r="D119" i="55" s="1"/>
  <c r="M117" i="55"/>
  <c r="B117" i="55" s="1"/>
  <c r="D117" i="55" s="1"/>
  <c r="M115" i="55"/>
  <c r="B115" i="55" s="1"/>
  <c r="D115" i="55" s="1"/>
  <c r="L115" i="55" s="1"/>
  <c r="M113" i="55"/>
  <c r="B113" i="55" s="1"/>
  <c r="D113" i="55" s="1"/>
  <c r="L113" i="55" s="1"/>
  <c r="M111" i="55"/>
  <c r="B111" i="55" s="1"/>
  <c r="M109" i="55"/>
  <c r="B109" i="55" s="1"/>
  <c r="D109" i="55" s="1"/>
  <c r="L109" i="55" s="1"/>
  <c r="M107" i="55"/>
  <c r="B107" i="55" s="1"/>
  <c r="D107" i="55" s="1"/>
  <c r="L107" i="55" s="1"/>
  <c r="M105" i="55"/>
  <c r="B105" i="55" s="1"/>
  <c r="D105" i="55" s="1"/>
  <c r="L105" i="55" s="1"/>
  <c r="M103" i="55"/>
  <c r="B103" i="55" s="1"/>
  <c r="M101" i="55"/>
  <c r="B101" i="55" s="1"/>
  <c r="M99" i="55"/>
  <c r="B99" i="55" s="1"/>
  <c r="M97" i="55"/>
  <c r="B97" i="55" s="1"/>
  <c r="M95" i="55"/>
  <c r="B95" i="55" s="1"/>
  <c r="M93" i="55"/>
  <c r="B93" i="55" s="1"/>
  <c r="M91" i="55"/>
  <c r="B91" i="55" s="1"/>
  <c r="M89" i="55"/>
  <c r="B89" i="55" s="1"/>
  <c r="M87" i="55"/>
  <c r="B87" i="55" s="1"/>
  <c r="M85" i="55"/>
  <c r="B85" i="55" s="1"/>
  <c r="M83" i="55"/>
  <c r="B83" i="55" s="1"/>
  <c r="M81" i="55"/>
  <c r="B81" i="55" s="1"/>
  <c r="M79" i="55"/>
  <c r="B79" i="55" s="1"/>
  <c r="M77" i="55"/>
  <c r="B77" i="55" s="1"/>
  <c r="M75" i="55"/>
  <c r="B75" i="55" s="1"/>
  <c r="M37" i="55"/>
  <c r="B37" i="55" s="1"/>
  <c r="D37" i="55" s="1"/>
  <c r="F38" i="55"/>
  <c r="G38" i="55" s="1"/>
  <c r="N38" i="55"/>
  <c r="M39" i="55"/>
  <c r="B39" i="55" s="1"/>
  <c r="D39" i="55" s="1"/>
  <c r="L39" i="55" s="1"/>
  <c r="F40" i="55"/>
  <c r="G40" i="55" s="1"/>
  <c r="N40" i="55"/>
  <c r="M41" i="55"/>
  <c r="B41" i="55" s="1"/>
  <c r="D41" i="55" s="1"/>
  <c r="L41" i="55" s="1"/>
  <c r="F42" i="55"/>
  <c r="G42" i="55" s="1"/>
  <c r="N42" i="55"/>
  <c r="M43" i="55"/>
  <c r="B43" i="55" s="1"/>
  <c r="D43" i="55" s="1"/>
  <c r="L43" i="55" s="1"/>
  <c r="F44" i="55"/>
  <c r="G44" i="55" s="1"/>
  <c r="N44" i="55"/>
  <c r="M45" i="55"/>
  <c r="B45" i="55" s="1"/>
  <c r="D45" i="55" s="1"/>
  <c r="L45" i="55" s="1"/>
  <c r="M48" i="55"/>
  <c r="B48" i="55" s="1"/>
  <c r="D48" i="55" s="1"/>
  <c r="L48" i="55" s="1"/>
  <c r="I50" i="55"/>
  <c r="N51" i="55"/>
  <c r="F52" i="55"/>
  <c r="G52" i="55" s="1"/>
  <c r="N52" i="55"/>
  <c r="M54" i="55"/>
  <c r="B54" i="55" s="1"/>
  <c r="N55" i="55"/>
  <c r="F56" i="55"/>
  <c r="G56" i="55" s="1"/>
  <c r="N56" i="55"/>
  <c r="M57" i="55"/>
  <c r="B57" i="55" s="1"/>
  <c r="D57" i="55" s="1"/>
  <c r="L57" i="55" s="1"/>
  <c r="M60" i="55"/>
  <c r="B60" i="55" s="1"/>
  <c r="D60" i="55" s="1"/>
  <c r="L60" i="55" s="1"/>
  <c r="N62" i="55"/>
  <c r="M62" i="55"/>
  <c r="B62" i="55" s="1"/>
  <c r="D62" i="55" s="1"/>
  <c r="M63" i="55"/>
  <c r="B63" i="55" s="1"/>
  <c r="D63" i="55" s="1"/>
  <c r="L63" i="55" s="1"/>
  <c r="I67" i="55"/>
  <c r="N69" i="55"/>
  <c r="N70" i="55"/>
  <c r="M70" i="55"/>
  <c r="B70" i="55" s="1"/>
  <c r="D70" i="55" s="1"/>
  <c r="L70" i="55" s="1"/>
  <c r="N73" i="55"/>
  <c r="N74" i="55"/>
  <c r="I77" i="55"/>
  <c r="L77" i="55" s="1"/>
  <c r="N81" i="55"/>
  <c r="N82" i="55"/>
  <c r="I85" i="55"/>
  <c r="L85" i="55" s="1"/>
  <c r="I91" i="55"/>
  <c r="I95" i="55"/>
  <c r="L95" i="55" s="1"/>
  <c r="N97" i="55"/>
  <c r="N98" i="55"/>
  <c r="I101" i="55"/>
  <c r="N104" i="55"/>
  <c r="N105" i="55"/>
  <c r="N124" i="55"/>
  <c r="O58" i="63"/>
  <c r="M74" i="55"/>
  <c r="B74" i="55" s="1"/>
  <c r="M76" i="55"/>
  <c r="B76" i="55" s="1"/>
  <c r="M78" i="55"/>
  <c r="B78" i="55" s="1"/>
  <c r="M80" i="55"/>
  <c r="B80" i="55" s="1"/>
  <c r="M82" i="55"/>
  <c r="B82" i="55" s="1"/>
  <c r="M84" i="55"/>
  <c r="B84" i="55" s="1"/>
  <c r="M86" i="55"/>
  <c r="B86" i="55" s="1"/>
  <c r="M88" i="55"/>
  <c r="B88" i="55" s="1"/>
  <c r="M90" i="55"/>
  <c r="B90" i="55" s="1"/>
  <c r="M92" i="55"/>
  <c r="B92" i="55" s="1"/>
  <c r="M94" i="55"/>
  <c r="B94" i="55" s="1"/>
  <c r="M96" i="55"/>
  <c r="B96" i="55" s="1"/>
  <c r="M98" i="55"/>
  <c r="B98" i="55" s="1"/>
  <c r="M100" i="55"/>
  <c r="B100" i="55" s="1"/>
  <c r="M102" i="55"/>
  <c r="B102" i="55" s="1"/>
  <c r="M104" i="55"/>
  <c r="B104" i="55" s="1"/>
  <c r="D104" i="55" s="1"/>
  <c r="M106" i="55"/>
  <c r="B106" i="55" s="1"/>
  <c r="D106" i="55" s="1"/>
  <c r="L106" i="55" s="1"/>
  <c r="M108" i="55"/>
  <c r="B108" i="55" s="1"/>
  <c r="D108" i="55" s="1"/>
  <c r="L108" i="55" s="1"/>
  <c r="M110" i="55"/>
  <c r="B110" i="55" s="1"/>
  <c r="M112" i="55"/>
  <c r="B112" i="55" s="1"/>
  <c r="M114" i="55"/>
  <c r="B114" i="55" s="1"/>
  <c r="D114" i="55" s="1"/>
  <c r="L114" i="55" s="1"/>
  <c r="M116" i="55"/>
  <c r="B116" i="55" s="1"/>
  <c r="D116" i="55" s="1"/>
  <c r="M118" i="55"/>
  <c r="B118" i="55" s="1"/>
  <c r="D118" i="55" s="1"/>
  <c r="M120" i="55"/>
  <c r="B120" i="55" s="1"/>
  <c r="D120" i="55" s="1"/>
  <c r="M122" i="55"/>
  <c r="B122" i="55" s="1"/>
  <c r="D122" i="55" s="1"/>
  <c r="L122" i="55" s="1"/>
  <c r="M124" i="55"/>
  <c r="B124" i="55" s="1"/>
  <c r="D124" i="55" s="1"/>
  <c r="L124" i="55" s="1"/>
  <c r="P44" i="30"/>
  <c r="K54" i="63"/>
  <c r="N55" i="63" s="1"/>
  <c r="I104" i="55"/>
  <c r="I110" i="55"/>
  <c r="L110" i="55" s="1"/>
  <c r="I116" i="55"/>
  <c r="I122" i="55"/>
  <c r="G13" i="30"/>
  <c r="I42" i="30"/>
  <c r="L42" i="30" s="1"/>
  <c r="R42" i="30" s="1"/>
  <c r="I44" i="30"/>
  <c r="L44" i="30" s="1"/>
  <c r="Q44" i="30"/>
  <c r="F235" i="63"/>
  <c r="H235" i="63" s="1"/>
  <c r="F234" i="63"/>
  <c r="H234" i="63" s="1"/>
  <c r="F233" i="63"/>
  <c r="H233" i="63" s="1"/>
  <c r="F229" i="63"/>
  <c r="H229" i="63" s="1"/>
  <c r="F225" i="63"/>
  <c r="H225" i="63" s="1"/>
  <c r="N224" i="63"/>
  <c r="P224" i="63" s="1"/>
  <c r="F221" i="63"/>
  <c r="H221" i="63" s="1"/>
  <c r="N220" i="63"/>
  <c r="P220" i="63" s="1"/>
  <c r="F213" i="63"/>
  <c r="H213" i="63" s="1"/>
  <c r="N212" i="63"/>
  <c r="P212" i="63" s="1"/>
  <c r="F209" i="63"/>
  <c r="H209" i="63" s="1"/>
  <c r="F208" i="63"/>
  <c r="H208" i="63" s="1"/>
  <c r="F205" i="63"/>
  <c r="H205" i="63" s="1"/>
  <c r="F203" i="63"/>
  <c r="H203" i="63" s="1"/>
  <c r="F201" i="63"/>
  <c r="H201" i="63" s="1"/>
  <c r="F199" i="63"/>
  <c r="F195" i="63"/>
  <c r="H195" i="63" s="1"/>
  <c r="F193" i="63"/>
  <c r="H193" i="63" s="1"/>
  <c r="F189" i="63"/>
  <c r="H189" i="63" s="1"/>
  <c r="F187" i="63"/>
  <c r="H187" i="63" s="1"/>
  <c r="F185" i="63"/>
  <c r="H185" i="63" s="1"/>
  <c r="F183" i="63"/>
  <c r="H183" i="63" s="1"/>
  <c r="F181" i="63"/>
  <c r="H181" i="63" s="1"/>
  <c r="F179" i="63"/>
  <c r="F230" i="63"/>
  <c r="H230" i="63" s="1"/>
  <c r="F226" i="63"/>
  <c r="H226" i="63" s="1"/>
  <c r="N225" i="63"/>
  <c r="P225" i="63" s="1"/>
  <c r="F222" i="63"/>
  <c r="H222" i="63" s="1"/>
  <c r="N221" i="63"/>
  <c r="P221" i="63" s="1"/>
  <c r="F218" i="63"/>
  <c r="N217" i="63"/>
  <c r="P217" i="63" s="1"/>
  <c r="F214" i="63"/>
  <c r="H214" i="63" s="1"/>
  <c r="N213" i="63"/>
  <c r="P213" i="63" s="1"/>
  <c r="F210" i="63"/>
  <c r="H210" i="63" s="1"/>
  <c r="N209" i="63"/>
  <c r="P209" i="63" s="1"/>
  <c r="N205" i="63"/>
  <c r="P205" i="63" s="1"/>
  <c r="N203" i="63"/>
  <c r="P203" i="63" s="1"/>
  <c r="N201" i="63"/>
  <c r="P201" i="63" s="1"/>
  <c r="N199" i="63"/>
  <c r="P199" i="63" s="1"/>
  <c r="N195" i="63"/>
  <c r="P195" i="63" s="1"/>
  <c r="N193" i="63"/>
  <c r="P193" i="63" s="1"/>
  <c r="F190" i="63"/>
  <c r="H190" i="63" s="1"/>
  <c r="N187" i="63"/>
  <c r="P187" i="63" s="1"/>
  <c r="N185" i="63"/>
  <c r="P185" i="63" s="1"/>
  <c r="N183" i="63"/>
  <c r="P183" i="63" s="1"/>
  <c r="N181" i="63"/>
  <c r="P181" i="63" s="1"/>
  <c r="N179" i="63"/>
  <c r="P179" i="63" s="1"/>
  <c r="N175" i="63"/>
  <c r="P175" i="63" s="1"/>
  <c r="F231" i="63"/>
  <c r="H231" i="63" s="1"/>
  <c r="F227" i="63"/>
  <c r="H227" i="63" s="1"/>
  <c r="N226" i="63"/>
  <c r="P226" i="63" s="1"/>
  <c r="F223" i="63"/>
  <c r="H223" i="63" s="1"/>
  <c r="N222" i="63"/>
  <c r="P222" i="63" s="1"/>
  <c r="F219" i="63"/>
  <c r="H219" i="63" s="1"/>
  <c r="N218" i="63"/>
  <c r="P218" i="63" s="1"/>
  <c r="N216" i="63"/>
  <c r="P216" i="63" s="1"/>
  <c r="N215" i="63"/>
  <c r="P215" i="63" s="1"/>
  <c r="N214" i="63"/>
  <c r="P214" i="63" s="1"/>
  <c r="F211" i="63"/>
  <c r="H211" i="63" s="1"/>
  <c r="N210" i="63"/>
  <c r="P210" i="63" s="1"/>
  <c r="F206" i="63"/>
  <c r="H206" i="63" s="1"/>
  <c r="F204" i="63"/>
  <c r="H204" i="63" s="1"/>
  <c r="F202" i="63"/>
  <c r="H202" i="63" s="1"/>
  <c r="F200" i="63"/>
  <c r="H200" i="63" s="1"/>
  <c r="N196" i="63"/>
  <c r="P196" i="63" s="1"/>
  <c r="F194" i="63"/>
  <c r="H194" i="63" s="1"/>
  <c r="F192" i="63"/>
  <c r="H192" i="63" s="1"/>
  <c r="F191" i="63"/>
  <c r="H191" i="63" s="1"/>
  <c r="F224" i="63"/>
  <c r="H224" i="63" s="1"/>
  <c r="F220" i="63"/>
  <c r="H220" i="63" s="1"/>
  <c r="N177" i="63"/>
  <c r="P177" i="63" s="1"/>
  <c r="F174" i="63"/>
  <c r="H174" i="63" s="1"/>
  <c r="N168" i="63"/>
  <c r="P168" i="63" s="1"/>
  <c r="F167" i="63"/>
  <c r="N164" i="63"/>
  <c r="P164" i="63" s="1"/>
  <c r="F162" i="63"/>
  <c r="H162" i="63" s="1"/>
  <c r="N160" i="63"/>
  <c r="P160" i="63" s="1"/>
  <c r="F157" i="63"/>
  <c r="H157" i="63" s="1"/>
  <c r="F155" i="63"/>
  <c r="H155" i="63" s="1"/>
  <c r="F153" i="63"/>
  <c r="H153" i="63" s="1"/>
  <c r="F151" i="63"/>
  <c r="H151" i="63" s="1"/>
  <c r="N148" i="63"/>
  <c r="P148" i="63" s="1"/>
  <c r="F147" i="63"/>
  <c r="H147" i="63" s="1"/>
  <c r="N144" i="63"/>
  <c r="P144" i="63" s="1"/>
  <c r="F143" i="63"/>
  <c r="F139" i="63"/>
  <c r="H139" i="63" s="1"/>
  <c r="N136" i="63"/>
  <c r="P136" i="63" s="1"/>
  <c r="F135" i="63"/>
  <c r="H135" i="63" s="1"/>
  <c r="F133" i="63"/>
  <c r="H133" i="63" s="1"/>
  <c r="F131" i="63"/>
  <c r="H131" i="63" s="1"/>
  <c r="N128" i="63"/>
  <c r="P128" i="63" s="1"/>
  <c r="F127" i="63"/>
  <c r="H127" i="63" s="1"/>
  <c r="N124" i="63"/>
  <c r="P124" i="63" s="1"/>
  <c r="F232" i="63"/>
  <c r="H232" i="63" s="1"/>
  <c r="N204" i="63"/>
  <c r="P204" i="63" s="1"/>
  <c r="N200" i="63"/>
  <c r="P200" i="63" s="1"/>
  <c r="N197" i="63"/>
  <c r="P197" i="63" s="1"/>
  <c r="N192" i="63"/>
  <c r="P192" i="63" s="1"/>
  <c r="N188" i="63"/>
  <c r="P188" i="63" s="1"/>
  <c r="N186" i="63"/>
  <c r="P186" i="63" s="1"/>
  <c r="N184" i="63"/>
  <c r="P184" i="63" s="1"/>
  <c r="N182" i="63"/>
  <c r="P182" i="63" s="1"/>
  <c r="N180" i="63"/>
  <c r="P180" i="63" s="1"/>
  <c r="N178" i="63"/>
  <c r="P178" i="63" s="1"/>
  <c r="N174" i="63"/>
  <c r="P174" i="63" s="1"/>
  <c r="F172" i="63"/>
  <c r="H172" i="63" s="1"/>
  <c r="F170" i="63"/>
  <c r="H170" i="63" s="1"/>
  <c r="N167" i="63"/>
  <c r="P167" i="63" s="1"/>
  <c r="F166" i="63"/>
  <c r="H165" i="63" s="1"/>
  <c r="N162" i="63"/>
  <c r="P162" i="63" s="1"/>
  <c r="N158" i="63"/>
  <c r="P158" i="63" s="1"/>
  <c r="F154" i="63"/>
  <c r="H154" i="63" s="1"/>
  <c r="N153" i="63"/>
  <c r="P153" i="63" s="1"/>
  <c r="N151" i="63"/>
  <c r="P151" i="63" s="1"/>
  <c r="F150" i="63"/>
  <c r="H150" i="63" s="1"/>
  <c r="N147" i="63"/>
  <c r="P147" i="63" s="1"/>
  <c r="F146" i="63"/>
  <c r="H146" i="63" s="1"/>
  <c r="N143" i="63"/>
  <c r="P143" i="63" s="1"/>
  <c r="N139" i="63"/>
  <c r="P139" i="63" s="1"/>
  <c r="F138" i="63"/>
  <c r="H138" i="63" s="1"/>
  <c r="N135" i="63"/>
  <c r="P135" i="63" s="1"/>
  <c r="F134" i="63"/>
  <c r="H134" i="63" s="1"/>
  <c r="N133" i="63"/>
  <c r="P133" i="63" s="1"/>
  <c r="N131" i="63"/>
  <c r="P131" i="63" s="1"/>
  <c r="F130" i="63"/>
  <c r="H130" i="63" s="1"/>
  <c r="N211" i="63"/>
  <c r="P211" i="63" s="1"/>
  <c r="N176" i="63"/>
  <c r="P176" i="63" s="1"/>
  <c r="F175" i="63"/>
  <c r="H175" i="63" s="1"/>
  <c r="F173" i="63"/>
  <c r="H173" i="63" s="1"/>
  <c r="F169" i="63"/>
  <c r="H169" i="63" s="1"/>
  <c r="N166" i="63"/>
  <c r="P166" i="63" s="1"/>
  <c r="F165" i="63"/>
  <c r="H164" i="63" s="1"/>
  <c r="F163" i="63"/>
  <c r="F161" i="63"/>
  <c r="F156" i="63"/>
  <c r="H156" i="63" s="1"/>
  <c r="N154" i="63"/>
  <c r="P154" i="63" s="1"/>
  <c r="F152" i="63"/>
  <c r="H152" i="63" s="1"/>
  <c r="N150" i="63"/>
  <c r="P150" i="63" s="1"/>
  <c r="F149" i="63"/>
  <c r="H149" i="63" s="1"/>
  <c r="N146" i="63"/>
  <c r="P146" i="63" s="1"/>
  <c r="F145" i="63"/>
  <c r="H145" i="63" s="1"/>
  <c r="N138" i="63"/>
  <c r="P138" i="63" s="1"/>
  <c r="F137" i="63"/>
  <c r="H137" i="63" s="1"/>
  <c r="N134" i="63"/>
  <c r="P134" i="63" s="1"/>
  <c r="F132" i="63"/>
  <c r="H132" i="63" s="1"/>
  <c r="N130" i="63"/>
  <c r="P130" i="63" s="1"/>
  <c r="F212" i="63"/>
  <c r="H212" i="63" s="1"/>
  <c r="F186" i="63"/>
  <c r="H186" i="63" s="1"/>
  <c r="N173" i="63"/>
  <c r="P173" i="63" s="1"/>
  <c r="Q172" i="63" s="1"/>
  <c r="F171" i="63"/>
  <c r="H171" i="63" s="1"/>
  <c r="F168" i="63"/>
  <c r="H168" i="63" s="1"/>
  <c r="N165" i="63"/>
  <c r="P165" i="63" s="1"/>
  <c r="N163" i="63"/>
  <c r="P163" i="63" s="1"/>
  <c r="N152" i="63"/>
  <c r="P152" i="63" s="1"/>
  <c r="N149" i="63"/>
  <c r="P149" i="63" s="1"/>
  <c r="F144" i="63"/>
  <c r="H144" i="63" s="1"/>
  <c r="F128" i="63"/>
  <c r="H128" i="63" s="1"/>
  <c r="N125" i="63"/>
  <c r="P125" i="63" s="1"/>
  <c r="N123" i="63"/>
  <c r="P123" i="63" s="1"/>
  <c r="F122" i="63"/>
  <c r="F118" i="63"/>
  <c r="H118" i="63" s="1"/>
  <c r="N115" i="63"/>
  <c r="P115" i="63" s="1"/>
  <c r="F114" i="63"/>
  <c r="H114" i="63" s="1"/>
  <c r="N111" i="63"/>
  <c r="P111" i="63" s="1"/>
  <c r="F110" i="63"/>
  <c r="H110" i="63" s="1"/>
  <c r="N109" i="63"/>
  <c r="P109" i="63" s="1"/>
  <c r="N107" i="63"/>
  <c r="P107" i="63" s="1"/>
  <c r="N103" i="63"/>
  <c r="P103" i="63" s="1"/>
  <c r="F102" i="63"/>
  <c r="H102" i="63" s="1"/>
  <c r="F100" i="63"/>
  <c r="H100" i="63" s="1"/>
  <c r="F98" i="63"/>
  <c r="H98" i="63" s="1"/>
  <c r="N95" i="63"/>
  <c r="P95" i="63" s="1"/>
  <c r="F94" i="63"/>
  <c r="H94" i="63" s="1"/>
  <c r="F88" i="63"/>
  <c r="H88" i="63" s="1"/>
  <c r="F86" i="63"/>
  <c r="H86" i="63" s="1"/>
  <c r="N83" i="63"/>
  <c r="P83" i="63" s="1"/>
  <c r="F82" i="63"/>
  <c r="H82" i="63" s="1"/>
  <c r="N75" i="63"/>
  <c r="P75" i="63" s="1"/>
  <c r="F74" i="63"/>
  <c r="F228" i="63"/>
  <c r="H228" i="63" s="1"/>
  <c r="F207" i="63"/>
  <c r="H207" i="63" s="1"/>
  <c r="N198" i="63"/>
  <c r="P198" i="63" s="1"/>
  <c r="F184" i="63"/>
  <c r="H184" i="63" s="1"/>
  <c r="N137" i="63"/>
  <c r="P137" i="63" s="1"/>
  <c r="N132" i="63"/>
  <c r="P132" i="63" s="1"/>
  <c r="F129" i="63"/>
  <c r="H129" i="63" s="1"/>
  <c r="N127" i="63"/>
  <c r="P127" i="63" s="1"/>
  <c r="N126" i="63"/>
  <c r="P126" i="63" s="1"/>
  <c r="N122" i="63"/>
  <c r="P122" i="63" s="1"/>
  <c r="N118" i="63"/>
  <c r="P118" i="63" s="1"/>
  <c r="F117" i="63"/>
  <c r="H117" i="63" s="1"/>
  <c r="N114" i="63"/>
  <c r="P114" i="63" s="1"/>
  <c r="F113" i="63"/>
  <c r="H113" i="63" s="1"/>
  <c r="N110" i="63"/>
  <c r="P110" i="63" s="1"/>
  <c r="F108" i="63"/>
  <c r="H108" i="63" s="1"/>
  <c r="N102" i="63"/>
  <c r="P102" i="63" s="1"/>
  <c r="F101" i="63"/>
  <c r="H101" i="63" s="1"/>
  <c r="N100" i="63"/>
  <c r="P100" i="63" s="1"/>
  <c r="N98" i="63"/>
  <c r="P98" i="63" s="1"/>
  <c r="F97" i="63"/>
  <c r="H97" i="63" s="1"/>
  <c r="N94" i="63"/>
  <c r="P94" i="63" s="1"/>
  <c r="F93" i="63"/>
  <c r="H93" i="63" s="1"/>
  <c r="N88" i="63"/>
  <c r="P88" i="63" s="1"/>
  <c r="N86" i="63"/>
  <c r="P86" i="63" s="1"/>
  <c r="F85" i="63"/>
  <c r="H85" i="63" s="1"/>
  <c r="N82" i="63"/>
  <c r="P82" i="63" s="1"/>
  <c r="F81" i="63"/>
  <c r="H81" i="63" s="1"/>
  <c r="N74" i="63"/>
  <c r="P74" i="63" s="1"/>
  <c r="N223" i="63"/>
  <c r="P223" i="63" s="1"/>
  <c r="F182" i="63"/>
  <c r="H182" i="63" s="1"/>
  <c r="N169" i="63"/>
  <c r="P169" i="63" s="1"/>
  <c r="F164" i="63"/>
  <c r="H163" i="63" s="1"/>
  <c r="N161" i="63"/>
  <c r="P161" i="63" s="1"/>
  <c r="N159" i="63"/>
  <c r="P159" i="63" s="1"/>
  <c r="F148" i="63"/>
  <c r="H148" i="63" s="1"/>
  <c r="N145" i="63"/>
  <c r="P145" i="63" s="1"/>
  <c r="N129" i="63"/>
  <c r="P129" i="63" s="1"/>
  <c r="F124" i="63"/>
  <c r="H124" i="63" s="1"/>
  <c r="N117" i="63"/>
  <c r="P117" i="63" s="1"/>
  <c r="F116" i="63"/>
  <c r="H116" i="63" s="1"/>
  <c r="N113" i="63"/>
  <c r="P113" i="63" s="1"/>
  <c r="F112" i="63"/>
  <c r="H112" i="63" s="1"/>
  <c r="N108" i="63"/>
  <c r="P108" i="63" s="1"/>
  <c r="N101" i="63"/>
  <c r="P101" i="63" s="1"/>
  <c r="F99" i="63"/>
  <c r="H99" i="63" s="1"/>
  <c r="N97" i="63"/>
  <c r="P97" i="63" s="1"/>
  <c r="F96" i="63"/>
  <c r="H96" i="63" s="1"/>
  <c r="N93" i="63"/>
  <c r="P93" i="63" s="1"/>
  <c r="F92" i="63"/>
  <c r="F87" i="63"/>
  <c r="H87" i="63" s="1"/>
  <c r="N85" i="63"/>
  <c r="P85" i="63" s="1"/>
  <c r="F84" i="63"/>
  <c r="H84" i="63" s="1"/>
  <c r="N81" i="63"/>
  <c r="P81" i="63" s="1"/>
  <c r="F80" i="63"/>
  <c r="F76" i="63"/>
  <c r="H76" i="63" s="1"/>
  <c r="N219" i="63"/>
  <c r="P219" i="63" s="1"/>
  <c r="N202" i="63"/>
  <c r="P202" i="63" s="1"/>
  <c r="N194" i="63"/>
  <c r="P194" i="63" s="1"/>
  <c r="F188" i="63"/>
  <c r="H188" i="63" s="1"/>
  <c r="F180" i="63"/>
  <c r="H180" i="63" s="1"/>
  <c r="F136" i="63"/>
  <c r="H136" i="63" s="1"/>
  <c r="F126" i="63"/>
  <c r="H126" i="63" s="1"/>
  <c r="F125" i="63"/>
  <c r="H125" i="63" s="1"/>
  <c r="F123" i="63"/>
  <c r="H123" i="63" s="1"/>
  <c r="N116" i="63"/>
  <c r="P116" i="63" s="1"/>
  <c r="F115" i="63"/>
  <c r="H115" i="63" s="1"/>
  <c r="N112" i="63"/>
  <c r="P112" i="63" s="1"/>
  <c r="F111" i="63"/>
  <c r="H111" i="63" s="1"/>
  <c r="F109" i="63"/>
  <c r="H109" i="63" s="1"/>
  <c r="F107" i="63"/>
  <c r="F103" i="63"/>
  <c r="H103" i="63" s="1"/>
  <c r="N99" i="63"/>
  <c r="P99" i="63" s="1"/>
  <c r="N96" i="63"/>
  <c r="P96" i="63" s="1"/>
  <c r="F95" i="63"/>
  <c r="H95" i="63" s="1"/>
  <c r="N92" i="63"/>
  <c r="P92" i="63" s="1"/>
  <c r="N87" i="63"/>
  <c r="P87" i="63" s="1"/>
  <c r="N84" i="63"/>
  <c r="P84" i="63" s="1"/>
  <c r="F83" i="63"/>
  <c r="H83" i="63" s="1"/>
  <c r="N80" i="63"/>
  <c r="P80" i="63" s="1"/>
  <c r="N76" i="63"/>
  <c r="P76" i="63" s="1"/>
  <c r="F75" i="63"/>
  <c r="H75" i="63" s="1"/>
  <c r="K56" i="63"/>
  <c r="N56" i="63" s="1"/>
  <c r="K58" i="63"/>
  <c r="K59" i="63"/>
  <c r="V81" i="63"/>
  <c r="X81" i="63" s="1"/>
  <c r="V85" i="63"/>
  <c r="X85" i="63" s="1"/>
  <c r="V93" i="63"/>
  <c r="X93" i="63" s="1"/>
  <c r="V97" i="63"/>
  <c r="X97" i="63" s="1"/>
  <c r="V101" i="63"/>
  <c r="V105" i="63"/>
  <c r="X105" i="63" s="1"/>
  <c r="V113" i="63"/>
  <c r="X113" i="63" s="1"/>
  <c r="V117" i="63"/>
  <c r="X117" i="63" s="1"/>
  <c r="V127" i="63"/>
  <c r="X127" i="63" s="1"/>
  <c r="V128" i="63"/>
  <c r="X128" i="63" s="1"/>
  <c r="V130" i="63"/>
  <c r="X130" i="63" s="1"/>
  <c r="V138" i="63"/>
  <c r="X138" i="63" s="1"/>
  <c r="V74" i="63"/>
  <c r="V82" i="63"/>
  <c r="X82" i="63" s="1"/>
  <c r="V90" i="63"/>
  <c r="X90" i="63" s="1"/>
  <c r="V94" i="63"/>
  <c r="X94" i="63" s="1"/>
  <c r="V102" i="63"/>
  <c r="X102" i="63" s="1"/>
  <c r="V104" i="63"/>
  <c r="X104" i="63" s="1"/>
  <c r="V106" i="63"/>
  <c r="X106" i="63" s="1"/>
  <c r="V110" i="63"/>
  <c r="V114" i="63"/>
  <c r="X114" i="63" s="1"/>
  <c r="V118" i="63"/>
  <c r="X118" i="63" s="1"/>
  <c r="V122" i="63"/>
  <c r="V126" i="63"/>
  <c r="X126" i="63" s="1"/>
  <c r="V150" i="63"/>
  <c r="X150" i="63" s="1"/>
  <c r="V156" i="63"/>
  <c r="X156" i="63" s="1"/>
  <c r="V171" i="63"/>
  <c r="X171" i="63" s="1"/>
  <c r="V169" i="63"/>
  <c r="X169" i="63" s="1"/>
  <c r="V165" i="63"/>
  <c r="X165" i="63" s="1"/>
  <c r="V159" i="63"/>
  <c r="X159" i="63" s="1"/>
  <c r="V157" i="63"/>
  <c r="X157" i="63" s="1"/>
  <c r="V149" i="63"/>
  <c r="X149" i="63" s="1"/>
  <c r="V145" i="63"/>
  <c r="X145" i="63" s="1"/>
  <c r="V137" i="63"/>
  <c r="X137" i="63" s="1"/>
  <c r="V129" i="63"/>
  <c r="X129" i="63" s="1"/>
  <c r="V125" i="63"/>
  <c r="X125" i="63" s="1"/>
  <c r="V172" i="63"/>
  <c r="X172" i="63" s="1"/>
  <c r="V168" i="63"/>
  <c r="X168" i="63" s="1"/>
  <c r="V164" i="63"/>
  <c r="V160" i="63"/>
  <c r="X160" i="63" s="1"/>
  <c r="V155" i="63"/>
  <c r="X155" i="63" s="1"/>
  <c r="V148" i="63"/>
  <c r="X148" i="63" s="1"/>
  <c r="V144" i="63"/>
  <c r="X144" i="63" s="1"/>
  <c r="V136" i="63"/>
  <c r="X136" i="63" s="1"/>
  <c r="V170" i="63"/>
  <c r="X170" i="63" s="1"/>
  <c r="V167" i="63"/>
  <c r="X167" i="63" s="1"/>
  <c r="V158" i="63"/>
  <c r="X158" i="63" s="1"/>
  <c r="V147" i="63"/>
  <c r="X147" i="63" s="1"/>
  <c r="V143" i="63"/>
  <c r="V139" i="63"/>
  <c r="X139" i="63" s="1"/>
  <c r="V135" i="63"/>
  <c r="X135" i="63" s="1"/>
  <c r="V75" i="63"/>
  <c r="X75" i="63" s="1"/>
  <c r="V83" i="63"/>
  <c r="X83" i="63" s="1"/>
  <c r="V89" i="63"/>
  <c r="V91" i="63"/>
  <c r="X91" i="63" s="1"/>
  <c r="V95" i="63"/>
  <c r="X95" i="63" s="1"/>
  <c r="V103" i="63"/>
  <c r="X103" i="63" s="1"/>
  <c r="V111" i="63"/>
  <c r="X111" i="63" s="1"/>
  <c r="V115" i="63"/>
  <c r="X115" i="63" s="1"/>
  <c r="V123" i="63"/>
  <c r="X123" i="63" s="1"/>
  <c r="V124" i="63"/>
  <c r="X124" i="63" s="1"/>
  <c r="V134" i="63"/>
  <c r="V76" i="63"/>
  <c r="X76" i="63" s="1"/>
  <c r="V80" i="63"/>
  <c r="V84" i="63"/>
  <c r="X84" i="63" s="1"/>
  <c r="V92" i="63"/>
  <c r="X92" i="63" s="1"/>
  <c r="V96" i="63"/>
  <c r="X96" i="63" s="1"/>
  <c r="V112" i="63"/>
  <c r="X112" i="63" s="1"/>
  <c r="V116" i="63"/>
  <c r="X116" i="63" s="1"/>
  <c r="V146" i="63"/>
  <c r="X146" i="63" s="1"/>
  <c r="V154" i="63"/>
  <c r="H10" i="65"/>
  <c r="H11" i="65" s="1"/>
  <c r="H12" i="65" s="1"/>
  <c r="H13" i="65" s="1"/>
  <c r="H14" i="65" s="1"/>
  <c r="H15" i="65" s="1"/>
  <c r="H16" i="65" s="1"/>
  <c r="H17" i="65" s="1"/>
  <c r="H18" i="65" s="1"/>
  <c r="H19" i="65" s="1"/>
  <c r="H20" i="65" s="1"/>
  <c r="H21" i="65" s="1"/>
  <c r="H22" i="65" s="1"/>
  <c r="H23" i="65" s="1"/>
  <c r="H24" i="65" s="1"/>
  <c r="H25" i="65" s="1"/>
  <c r="H26" i="65" s="1"/>
  <c r="H27" i="65" s="1"/>
  <c r="H28" i="65" s="1"/>
  <c r="H29" i="65" s="1"/>
  <c r="H30" i="65" s="1"/>
  <c r="H31" i="65" s="1"/>
  <c r="H32" i="65" s="1"/>
  <c r="H33" i="65" s="1"/>
  <c r="H34" i="65" s="1"/>
  <c r="H35" i="65" s="1"/>
  <c r="H36" i="65" s="1"/>
  <c r="H37" i="65" s="1"/>
  <c r="H38" i="65" s="1"/>
  <c r="H39" i="65" s="1"/>
  <c r="H40" i="65" s="1"/>
  <c r="H41" i="65" s="1"/>
  <c r="H42" i="65" s="1"/>
  <c r="H43" i="65" s="1"/>
  <c r="H44" i="65" s="1"/>
  <c r="H45" i="65" s="1"/>
  <c r="H46" i="65" s="1"/>
  <c r="H47" i="65" s="1"/>
  <c r="H48" i="65" s="1"/>
  <c r="H49" i="65" s="1"/>
  <c r="H50" i="65" s="1"/>
  <c r="H51" i="65" s="1"/>
  <c r="H52" i="65" s="1"/>
  <c r="H53" i="65" s="1"/>
  <c r="H54" i="65" s="1"/>
  <c r="H55" i="65" s="1"/>
  <c r="H56" i="65" s="1"/>
  <c r="H57" i="65" s="1"/>
  <c r="H58" i="65" s="1"/>
  <c r="H59" i="65" s="1"/>
  <c r="H60" i="65" s="1"/>
  <c r="H61" i="65" s="1"/>
  <c r="H62" i="65" s="1"/>
  <c r="H63" i="65" s="1"/>
  <c r="H64" i="65" s="1"/>
  <c r="H65" i="65" s="1"/>
  <c r="H66" i="65" s="1"/>
  <c r="H67" i="65" s="1"/>
  <c r="H68" i="65" s="1"/>
  <c r="H128" i="65"/>
  <c r="H2" i="57"/>
  <c r="AA5" i="57"/>
  <c r="R2" i="57"/>
  <c r="AC21" i="57"/>
  <c r="AC17" i="57"/>
  <c r="AC19" i="57"/>
  <c r="AA4" i="57"/>
  <c r="AC20" i="57"/>
  <c r="AC16" i="57"/>
  <c r="AC15" i="57"/>
  <c r="AC14" i="57"/>
  <c r="AC13" i="57"/>
  <c r="AC12" i="57"/>
  <c r="I11" i="65"/>
  <c r="I12" i="65" s="1"/>
  <c r="I13" i="65" s="1"/>
  <c r="I14" i="65" s="1"/>
  <c r="I15" i="65" s="1"/>
  <c r="I16" i="65" s="1"/>
  <c r="I17" i="65" s="1"/>
  <c r="I18" i="65" s="1"/>
  <c r="I19" i="65" s="1"/>
  <c r="I20" i="65" s="1"/>
  <c r="I21" i="65" s="1"/>
  <c r="I22" i="65" s="1"/>
  <c r="I23" i="65" s="1"/>
  <c r="I24" i="65" s="1"/>
  <c r="I25" i="65" s="1"/>
  <c r="I26" i="65" s="1"/>
  <c r="I27" i="65" s="1"/>
  <c r="I28" i="65" s="1"/>
  <c r="I29" i="65" s="1"/>
  <c r="I30" i="65" s="1"/>
  <c r="I31" i="65" s="1"/>
  <c r="I32" i="65" s="1"/>
  <c r="I33" i="65" s="1"/>
  <c r="I34" i="65" s="1"/>
  <c r="I35" i="65" s="1"/>
  <c r="I36" i="65" s="1"/>
  <c r="I37" i="65" s="1"/>
  <c r="I38" i="65" s="1"/>
  <c r="I39" i="65" s="1"/>
  <c r="I40" i="65" s="1"/>
  <c r="I41" i="65" s="1"/>
  <c r="I42" i="65" s="1"/>
  <c r="I43" i="65" s="1"/>
  <c r="I44" i="65" s="1"/>
  <c r="I45" i="65" s="1"/>
  <c r="I46" i="65" s="1"/>
  <c r="I47" i="65" s="1"/>
  <c r="I48" i="65" s="1"/>
  <c r="I49" i="65" s="1"/>
  <c r="I50" i="65" s="1"/>
  <c r="I51" i="65" s="1"/>
  <c r="I52" i="65" s="1"/>
  <c r="I53" i="65" s="1"/>
  <c r="I54" i="65" s="1"/>
  <c r="I55" i="65" s="1"/>
  <c r="I56" i="65" s="1"/>
  <c r="I57" i="65" s="1"/>
  <c r="I58" i="65" s="1"/>
  <c r="I59" i="65" s="1"/>
  <c r="I60" i="65" s="1"/>
  <c r="I61" i="65" s="1"/>
  <c r="I62" i="65" s="1"/>
  <c r="I63" i="65" s="1"/>
  <c r="I64" i="65" s="1"/>
  <c r="I65" i="65" s="1"/>
  <c r="I66" i="65" s="1"/>
  <c r="I67" i="65" s="1"/>
  <c r="I68" i="65" s="1"/>
  <c r="R33" i="51" l="1"/>
  <c r="R35" i="51"/>
  <c r="R134" i="51"/>
  <c r="S134" i="51" s="1"/>
  <c r="O12" i="51"/>
  <c r="AB70" i="66"/>
  <c r="AB37" i="66"/>
  <c r="AB29" i="66"/>
  <c r="AB17" i="66"/>
  <c r="AB12" i="66"/>
  <c r="AB49" i="66"/>
  <c r="AB53" i="66"/>
  <c r="AB42" i="66"/>
  <c r="AB8" i="66"/>
  <c r="AC8" i="66" s="1"/>
  <c r="AD8" i="66" s="1"/>
  <c r="AE8" i="66" s="1"/>
  <c r="AB4" i="66"/>
  <c r="AC4" i="66" s="1"/>
  <c r="AD4" i="66" s="1"/>
  <c r="AE4" i="66" s="1"/>
  <c r="AB59" i="66"/>
  <c r="AB66" i="66"/>
  <c r="AB55" i="66"/>
  <c r="AB60" i="66"/>
  <c r="AB63" i="66"/>
  <c r="AB43" i="66"/>
  <c r="AB21" i="66"/>
  <c r="Q113" i="32"/>
  <c r="O114" i="32"/>
  <c r="O30" i="60"/>
  <c r="N30" i="60"/>
  <c r="AJ33" i="24"/>
  <c r="K37" i="9" s="1"/>
  <c r="N33" i="23"/>
  <c r="AU33" i="26" s="1"/>
  <c r="N22" i="23"/>
  <c r="AU22" i="26" s="1"/>
  <c r="BB22" i="26" s="1"/>
  <c r="AK22" i="26"/>
  <c r="AJ22" i="24"/>
  <c r="K26" i="9" s="1"/>
  <c r="N14" i="23"/>
  <c r="AU14" i="26" s="1"/>
  <c r="BB14" i="26" s="1"/>
  <c r="AK14" i="26"/>
  <c r="AJ14" i="24"/>
  <c r="K18" i="9" s="1"/>
  <c r="AJ23" i="24"/>
  <c r="K27" i="9" s="1"/>
  <c r="N23" i="23"/>
  <c r="AU23" i="26" s="1"/>
  <c r="AK23" i="26"/>
  <c r="AJ15" i="24"/>
  <c r="K19" i="9" s="1"/>
  <c r="N15" i="23"/>
  <c r="AU15" i="26" s="1"/>
  <c r="BB15" i="26" s="1"/>
  <c r="AK15" i="26"/>
  <c r="AO16" i="26"/>
  <c r="Q93" i="6"/>
  <c r="G12" i="23"/>
  <c r="AN12" i="24" s="1"/>
  <c r="O16" i="9" s="1"/>
  <c r="AJ12" i="23"/>
  <c r="U12" i="23"/>
  <c r="P32" i="23"/>
  <c r="AV32" i="26" s="1"/>
  <c r="AL32" i="26"/>
  <c r="AK32" i="24"/>
  <c r="L36" i="9" s="1"/>
  <c r="N24" i="23"/>
  <c r="AU24" i="26" s="1"/>
  <c r="BB24" i="26" s="1"/>
  <c r="AK24" i="26"/>
  <c r="AJ24" i="24"/>
  <c r="K28" i="9" s="1"/>
  <c r="P18" i="23"/>
  <c r="AV18" i="26" s="1"/>
  <c r="BC18" i="26" s="1"/>
  <c r="AL18" i="26"/>
  <c r="AK18" i="24"/>
  <c r="L22" i="9" s="1"/>
  <c r="AJ8" i="24"/>
  <c r="K12" i="9" s="1"/>
  <c r="N8" i="23"/>
  <c r="AU8" i="26" s="1"/>
  <c r="BB8" i="26" s="1"/>
  <c r="AK8" i="26"/>
  <c r="AJ6" i="24"/>
  <c r="K10" i="9" s="1"/>
  <c r="N6" i="23"/>
  <c r="AU6" i="26" s="1"/>
  <c r="AK6" i="26"/>
  <c r="W16" i="23"/>
  <c r="AD16" i="23" s="1"/>
  <c r="S97" i="6"/>
  <c r="T97" i="6" s="1"/>
  <c r="T16" i="24"/>
  <c r="N100" i="6"/>
  <c r="AD19" i="24"/>
  <c r="AG25" i="23"/>
  <c r="AI25" i="23" s="1"/>
  <c r="AW25" i="26" s="1"/>
  <c r="BD25" i="26" s="1"/>
  <c r="AM25" i="26"/>
  <c r="P24" i="23"/>
  <c r="AV24" i="26" s="1"/>
  <c r="AL24" i="26"/>
  <c r="AK24" i="24"/>
  <c r="L28" i="9" s="1"/>
  <c r="H94" i="62"/>
  <c r="H92" i="62"/>
  <c r="H90" i="62"/>
  <c r="H88" i="62"/>
  <c r="H86" i="62"/>
  <c r="H84" i="62"/>
  <c r="Q16" i="62"/>
  <c r="H83" i="62"/>
  <c r="H102" i="62"/>
  <c r="H101" i="62"/>
  <c r="H104" i="62"/>
  <c r="H98" i="62"/>
  <c r="H97" i="62"/>
  <c r="H100" i="62"/>
  <c r="H87" i="62"/>
  <c r="H91" i="62"/>
  <c r="H95" i="62"/>
  <c r="H99" i="62"/>
  <c r="H103" i="62"/>
  <c r="H96" i="62"/>
  <c r="H106" i="62"/>
  <c r="H105" i="62"/>
  <c r="H85" i="62"/>
  <c r="H89" i="62"/>
  <c r="H93" i="62"/>
  <c r="W7" i="23"/>
  <c r="AD7" i="23" s="1"/>
  <c r="T7" i="24"/>
  <c r="S88" i="6"/>
  <c r="T88" i="6" s="1"/>
  <c r="P53" i="6"/>
  <c r="Q86" i="6"/>
  <c r="G5" i="23"/>
  <c r="AN5" i="24" s="1"/>
  <c r="O9" i="9" s="1"/>
  <c r="R53" i="6"/>
  <c r="AJ5" i="23"/>
  <c r="U5" i="23"/>
  <c r="N28" i="23"/>
  <c r="AU28" i="26" s="1"/>
  <c r="BB28" i="26" s="1"/>
  <c r="AK28" i="26"/>
  <c r="AJ28" i="24"/>
  <c r="K32" i="9" s="1"/>
  <c r="AK23" i="24"/>
  <c r="L27" i="9" s="1"/>
  <c r="P23" i="23"/>
  <c r="AV23" i="26" s="1"/>
  <c r="BC23" i="26" s="1"/>
  <c r="AL23" i="26"/>
  <c r="AG29" i="35"/>
  <c r="AG28" i="35"/>
  <c r="AG30" i="35"/>
  <c r="AG27" i="35"/>
  <c r="M15" i="9"/>
  <c r="N7" i="23"/>
  <c r="AU7" i="26" s="1"/>
  <c r="BB7" i="26" s="1"/>
  <c r="AK7" i="26"/>
  <c r="AJ7" i="24"/>
  <c r="K11" i="9" s="1"/>
  <c r="AG22" i="23"/>
  <c r="AI22" i="23"/>
  <c r="AW22" i="26" s="1"/>
  <c r="BD22" i="26" s="1"/>
  <c r="AM22" i="26"/>
  <c r="AG11" i="23"/>
  <c r="AI11" i="23" s="1"/>
  <c r="AW11" i="26" s="1"/>
  <c r="BD11" i="26" s="1"/>
  <c r="AM11" i="26"/>
  <c r="P28" i="23"/>
  <c r="AV28" i="26" s="1"/>
  <c r="BC28" i="26" s="1"/>
  <c r="AL28" i="26"/>
  <c r="AK28" i="24"/>
  <c r="L32" i="9" s="1"/>
  <c r="N20" i="23"/>
  <c r="AU20" i="26" s="1"/>
  <c r="BB20" i="26" s="1"/>
  <c r="AK20" i="26"/>
  <c r="AJ20" i="24"/>
  <c r="K24" i="9" s="1"/>
  <c r="P14" i="23"/>
  <c r="AV14" i="26" s="1"/>
  <c r="AL14" i="26"/>
  <c r="AK14" i="24"/>
  <c r="L18" i="9" s="1"/>
  <c r="P29" i="23"/>
  <c r="AV29" i="26" s="1"/>
  <c r="AK29" i="24"/>
  <c r="L33" i="9" s="1"/>
  <c r="AL29" i="26"/>
  <c r="P20" i="23"/>
  <c r="AV20" i="26" s="1"/>
  <c r="BC20" i="26" s="1"/>
  <c r="AL20" i="26"/>
  <c r="AK20" i="24"/>
  <c r="L24" i="9" s="1"/>
  <c r="AJ13" i="24"/>
  <c r="K17" i="9" s="1"/>
  <c r="N13" i="23"/>
  <c r="AU13" i="26" s="1"/>
  <c r="BB13" i="26" s="1"/>
  <c r="AK13" i="26"/>
  <c r="AM24" i="23"/>
  <c r="AX24" i="26" s="1"/>
  <c r="AN24" i="26"/>
  <c r="Q94" i="6"/>
  <c r="AJ13" i="23"/>
  <c r="P61" i="6"/>
  <c r="G13" i="23"/>
  <c r="AN13" i="24" s="1"/>
  <c r="O17" i="9" s="1"/>
  <c r="U13" i="23"/>
  <c r="AJ17" i="24"/>
  <c r="K21" i="9" s="1"/>
  <c r="N17" i="23"/>
  <c r="AU17" i="26" s="1"/>
  <c r="BB17" i="26" s="1"/>
  <c r="AK17" i="26"/>
  <c r="AG33" i="23"/>
  <c r="AI33" i="23" s="1"/>
  <c r="AW33" i="26" s="1"/>
  <c r="BD33" i="26" s="1"/>
  <c r="T33" i="51"/>
  <c r="S33" i="51"/>
  <c r="N18" i="23"/>
  <c r="AU18" i="26" s="1"/>
  <c r="AJ18" i="24"/>
  <c r="K22" i="9" s="1"/>
  <c r="AK18" i="26"/>
  <c r="N10" i="23"/>
  <c r="AU10" i="26" s="1"/>
  <c r="BB10" i="26" s="1"/>
  <c r="AK10" i="26"/>
  <c r="AJ10" i="24"/>
  <c r="K14" i="9" s="1"/>
  <c r="P27" i="23"/>
  <c r="AV27" i="26" s="1"/>
  <c r="BC27" i="26" s="1"/>
  <c r="AK27" i="24"/>
  <c r="L31" i="9" s="1"/>
  <c r="AL27" i="26"/>
  <c r="AK19" i="24"/>
  <c r="L23" i="9" s="1"/>
  <c r="P19" i="23"/>
  <c r="AV19" i="26" s="1"/>
  <c r="BC19" i="26" s="1"/>
  <c r="AL19" i="26"/>
  <c r="AK11" i="24"/>
  <c r="L15" i="9" s="1"/>
  <c r="P11" i="23"/>
  <c r="AV11" i="26" s="1"/>
  <c r="BC11" i="26" s="1"/>
  <c r="AL11" i="26"/>
  <c r="AJ31" i="24"/>
  <c r="K35" i="9" s="1"/>
  <c r="N31" i="23"/>
  <c r="AU31" i="26" s="1"/>
  <c r="AK31" i="26"/>
  <c r="N27" i="23"/>
  <c r="AU27" i="26" s="1"/>
  <c r="BB27" i="26" s="1"/>
  <c r="AJ27" i="24"/>
  <c r="K31" i="9" s="1"/>
  <c r="AK27" i="26"/>
  <c r="N19" i="23"/>
  <c r="AU19" i="26" s="1"/>
  <c r="BB19" i="26" s="1"/>
  <c r="AJ19" i="24"/>
  <c r="K23" i="9" s="1"/>
  <c r="AK19" i="26"/>
  <c r="N11" i="23"/>
  <c r="AU11" i="26" s="1"/>
  <c r="AJ11" i="24"/>
  <c r="K15" i="9" s="1"/>
  <c r="AK11" i="26"/>
  <c r="Q92" i="6"/>
  <c r="P59" i="6"/>
  <c r="R59" i="6"/>
  <c r="AJ11" i="23"/>
  <c r="U11" i="23"/>
  <c r="G11" i="23"/>
  <c r="AN11" i="24" s="1"/>
  <c r="O15" i="9" s="1"/>
  <c r="N30" i="23"/>
  <c r="AU30" i="26" s="1"/>
  <c r="BB30" i="26" s="1"/>
  <c r="AK30" i="26"/>
  <c r="AJ30" i="24"/>
  <c r="K34" i="9" s="1"/>
  <c r="N16" i="23"/>
  <c r="AU16" i="26" s="1"/>
  <c r="AK16" i="26"/>
  <c r="AJ16" i="24"/>
  <c r="K20" i="9" s="1"/>
  <c r="P10" i="23"/>
  <c r="AV10" i="26" s="1"/>
  <c r="BC10" i="26" s="1"/>
  <c r="AL10" i="26"/>
  <c r="AK10" i="24"/>
  <c r="L14" i="9" s="1"/>
  <c r="AJ4" i="24"/>
  <c r="K8" i="9" s="1"/>
  <c r="N4" i="23"/>
  <c r="AK4" i="26"/>
  <c r="AK33" i="24"/>
  <c r="L37" i="9" s="1"/>
  <c r="P33" i="23"/>
  <c r="AV33" i="26" s="1"/>
  <c r="AK25" i="24"/>
  <c r="L29" i="9" s="1"/>
  <c r="P25" i="23"/>
  <c r="AV25" i="26" s="1"/>
  <c r="AL25" i="26"/>
  <c r="Q80" i="6"/>
  <c r="W80" i="6"/>
  <c r="Y32" i="23"/>
  <c r="AL32" i="23" s="1"/>
  <c r="AN32" i="23" s="1"/>
  <c r="T18" i="24"/>
  <c r="S99" i="6"/>
  <c r="T99" i="6" s="1"/>
  <c r="W18" i="23"/>
  <c r="AD18" i="23" s="1"/>
  <c r="AJ21" i="24"/>
  <c r="K25" i="9" s="1"/>
  <c r="N21" i="23"/>
  <c r="AU21" i="26" s="1"/>
  <c r="BB21" i="26" s="1"/>
  <c r="AK21" i="26"/>
  <c r="P6" i="23"/>
  <c r="AV6" i="26" s="1"/>
  <c r="BC6" i="26" s="1"/>
  <c r="AK6" i="24"/>
  <c r="L10" i="9" s="1"/>
  <c r="AL6" i="26"/>
  <c r="AM30" i="23"/>
  <c r="AX30" i="26" s="1"/>
  <c r="AN30" i="26"/>
  <c r="P52" i="6"/>
  <c r="M14" i="62"/>
  <c r="N14" i="62" s="1"/>
  <c r="F14" i="62"/>
  <c r="CF27" i="7"/>
  <c r="BW27" i="7"/>
  <c r="BN27" i="7"/>
  <c r="AQ27" i="7"/>
  <c r="AH27" i="7"/>
  <c r="CE27" i="7"/>
  <c r="BV27" i="7"/>
  <c r="BH27" i="7"/>
  <c r="AY27" i="7"/>
  <c r="AP27" i="7"/>
  <c r="CD27" i="7"/>
  <c r="BG27" i="7"/>
  <c r="AX27" i="7"/>
  <c r="BX27" i="7"/>
  <c r="BO27" i="7"/>
  <c r="BF27" i="7"/>
  <c r="AR27" i="7"/>
  <c r="AI27" i="7"/>
  <c r="T34" i="51"/>
  <c r="S34" i="51"/>
  <c r="AJ29" i="24"/>
  <c r="K33" i="9" s="1"/>
  <c r="N29" i="23"/>
  <c r="AU29" i="26" s="1"/>
  <c r="BB29" i="26" s="1"/>
  <c r="AK29" i="26"/>
  <c r="U6" i="23"/>
  <c r="G6" i="23"/>
  <c r="AN6" i="24" s="1"/>
  <c r="O10" i="9" s="1"/>
  <c r="P54" i="6"/>
  <c r="AJ6" i="23"/>
  <c r="Q87" i="6"/>
  <c r="R54" i="6"/>
  <c r="G4" i="23"/>
  <c r="AN4" i="24" s="1"/>
  <c r="O8" i="9" s="1"/>
  <c r="AJ4" i="23"/>
  <c r="R52" i="6"/>
  <c r="U4" i="23"/>
  <c r="Q85" i="6"/>
  <c r="N32" i="23"/>
  <c r="AU32" i="26" s="1"/>
  <c r="AK32" i="26"/>
  <c r="AJ32" i="24"/>
  <c r="K36" i="9" s="1"/>
  <c r="AK31" i="24"/>
  <c r="L35" i="9" s="1"/>
  <c r="P31" i="23"/>
  <c r="AV31" i="26" s="1"/>
  <c r="AL31" i="26"/>
  <c r="AK15" i="24"/>
  <c r="L19" i="9" s="1"/>
  <c r="P15" i="23"/>
  <c r="AV15" i="26" s="1"/>
  <c r="BC15" i="26" s="1"/>
  <c r="AL15" i="26"/>
  <c r="AK7" i="24"/>
  <c r="L11" i="9" s="1"/>
  <c r="P7" i="23"/>
  <c r="AV7" i="26" s="1"/>
  <c r="BC7" i="26" s="1"/>
  <c r="AL7" i="26"/>
  <c r="AG12" i="23"/>
  <c r="AI12" i="23" s="1"/>
  <c r="AW12" i="26" s="1"/>
  <c r="BD12" i="26" s="1"/>
  <c r="AM12" i="26"/>
  <c r="P22" i="23"/>
  <c r="AV22" i="26" s="1"/>
  <c r="AL22" i="26"/>
  <c r="AK22" i="24"/>
  <c r="L26" i="9" s="1"/>
  <c r="N12" i="23"/>
  <c r="AU12" i="26" s="1"/>
  <c r="BB12" i="26" s="1"/>
  <c r="AK12" i="26"/>
  <c r="AJ12" i="24"/>
  <c r="K16" i="9" s="1"/>
  <c r="AT4" i="35"/>
  <c r="AT6" i="35"/>
  <c r="AT8" i="35"/>
  <c r="AT5" i="35"/>
  <c r="AT10" i="35"/>
  <c r="M18" i="9"/>
  <c r="AT9" i="35"/>
  <c r="AT7" i="35"/>
  <c r="P9" i="23"/>
  <c r="AV9" i="26" s="1"/>
  <c r="BC9" i="26" s="1"/>
  <c r="AL9" i="26"/>
  <c r="AK9" i="24"/>
  <c r="L13" i="9" s="1"/>
  <c r="N9" i="23"/>
  <c r="AU9" i="26" s="1"/>
  <c r="BB9" i="26" s="1"/>
  <c r="AJ9" i="24"/>
  <c r="K13" i="9" s="1"/>
  <c r="AK9" i="26"/>
  <c r="P5" i="23"/>
  <c r="AV5" i="26" s="1"/>
  <c r="AK5" i="24"/>
  <c r="L9" i="9" s="1"/>
  <c r="AL5" i="26"/>
  <c r="P60" i="6"/>
  <c r="N5" i="23"/>
  <c r="AU5" i="26" s="1"/>
  <c r="AK5" i="26"/>
  <c r="AJ5" i="24"/>
  <c r="K9" i="9" s="1"/>
  <c r="S108" i="6"/>
  <c r="T108" i="6" s="1"/>
  <c r="W27" i="23"/>
  <c r="AD27" i="23" s="1"/>
  <c r="T27" i="24"/>
  <c r="W10" i="23"/>
  <c r="AD10" i="23" s="1"/>
  <c r="S91" i="6"/>
  <c r="T91" i="6" s="1"/>
  <c r="T10" i="24"/>
  <c r="AB11" i="24"/>
  <c r="L92" i="6"/>
  <c r="S93" i="7"/>
  <c r="W93" i="7"/>
  <c r="CE7" i="7"/>
  <c r="BV7" i="7"/>
  <c r="BH7" i="7"/>
  <c r="AY7" i="7"/>
  <c r="AP7" i="7"/>
  <c r="CD7" i="7"/>
  <c r="BG7" i="7"/>
  <c r="AX7" i="7"/>
  <c r="BX7" i="7"/>
  <c r="BO7" i="7"/>
  <c r="BF7" i="7"/>
  <c r="AR7" i="7"/>
  <c r="AI7" i="7"/>
  <c r="CF7" i="7"/>
  <c r="BW7" i="7"/>
  <c r="BN7" i="7"/>
  <c r="AQ7" i="7"/>
  <c r="AH7" i="7"/>
  <c r="X101" i="63"/>
  <c r="U65" i="63"/>
  <c r="H92" i="63"/>
  <c r="S64" i="63"/>
  <c r="H143" i="63"/>
  <c r="S67" i="63"/>
  <c r="I47" i="30"/>
  <c r="L47" i="30" s="1"/>
  <c r="I41" i="30"/>
  <c r="L41" i="30" s="1"/>
  <c r="AB18" i="66"/>
  <c r="AB19" i="66"/>
  <c r="T39" i="51"/>
  <c r="S39" i="51"/>
  <c r="X134" i="63"/>
  <c r="U68" i="63"/>
  <c r="X89" i="63"/>
  <c r="U64" i="63"/>
  <c r="P58" i="63"/>
  <c r="N58" i="63"/>
  <c r="Q79" i="63"/>
  <c r="Q91" i="63"/>
  <c r="H74" i="63"/>
  <c r="S62" i="63"/>
  <c r="Q106" i="63"/>
  <c r="Q157" i="63"/>
  <c r="Q208" i="63"/>
  <c r="L37" i="55"/>
  <c r="J47" i="30"/>
  <c r="M47" i="30" s="1"/>
  <c r="J41" i="30"/>
  <c r="M41" i="30" s="1"/>
  <c r="L17" i="55"/>
  <c r="L29" i="55"/>
  <c r="AB16" i="66"/>
  <c r="AB11" i="66"/>
  <c r="AB22" i="66"/>
  <c r="AB14" i="66"/>
  <c r="L4" i="55"/>
  <c r="AB68" i="66"/>
  <c r="AB51" i="66"/>
  <c r="T145" i="51"/>
  <c r="S145" i="51"/>
  <c r="T41" i="51"/>
  <c r="S41" i="51"/>
  <c r="S139" i="51"/>
  <c r="T139" i="51"/>
  <c r="AB57" i="66"/>
  <c r="AB44" i="66"/>
  <c r="AB62" i="66"/>
  <c r="AB45" i="66"/>
  <c r="AB71" i="66"/>
  <c r="AB54" i="66"/>
  <c r="AB38" i="66"/>
  <c r="H200" i="41"/>
  <c r="J199" i="41"/>
  <c r="R135" i="51"/>
  <c r="R148" i="51"/>
  <c r="T140" i="51"/>
  <c r="S140" i="51"/>
  <c r="S27" i="47"/>
  <c r="T27" i="47" s="1"/>
  <c r="K64" i="32"/>
  <c r="J64" i="32"/>
  <c r="P112" i="32"/>
  <c r="R105" i="32"/>
  <c r="Q111" i="32"/>
  <c r="K69" i="32"/>
  <c r="J69" i="32"/>
  <c r="C60" i="47" s="1"/>
  <c r="K65" i="32"/>
  <c r="J65" i="32"/>
  <c r="C56" i="47" s="1"/>
  <c r="S124" i="47"/>
  <c r="T124" i="47" s="1"/>
  <c r="S140" i="47"/>
  <c r="T140" i="47" s="1"/>
  <c r="S122" i="47"/>
  <c r="T122" i="47" s="1"/>
  <c r="S138" i="47"/>
  <c r="T138" i="47" s="1"/>
  <c r="S156" i="47"/>
  <c r="T156" i="47" s="1"/>
  <c r="S108" i="47"/>
  <c r="T108" i="47" s="1"/>
  <c r="S152" i="47"/>
  <c r="T152" i="47" s="1"/>
  <c r="S104" i="47"/>
  <c r="T104" i="47" s="1"/>
  <c r="K94" i="47"/>
  <c r="K92" i="47"/>
  <c r="K90" i="47"/>
  <c r="K82" i="47"/>
  <c r="K76" i="47"/>
  <c r="K70" i="47"/>
  <c r="K66" i="47"/>
  <c r="K78" i="47"/>
  <c r="K60" i="47"/>
  <c r="K88" i="47"/>
  <c r="K86" i="47"/>
  <c r="K80" i="47"/>
  <c r="K72" i="47"/>
  <c r="K68" i="47"/>
  <c r="K64" i="47"/>
  <c r="K84" i="47"/>
  <c r="K74" i="47"/>
  <c r="K62" i="47"/>
  <c r="S79" i="47"/>
  <c r="T79" i="47" s="1"/>
  <c r="S85" i="47"/>
  <c r="T85" i="47" s="1"/>
  <c r="S93" i="47"/>
  <c r="T93" i="47" s="1"/>
  <c r="S113" i="47"/>
  <c r="T113" i="47" s="1"/>
  <c r="S121" i="47"/>
  <c r="T121" i="47" s="1"/>
  <c r="S115" i="47"/>
  <c r="T115" i="47" s="1"/>
  <c r="S151" i="47"/>
  <c r="T151" i="47" s="1"/>
  <c r="S157" i="47"/>
  <c r="T157" i="47" s="1"/>
  <c r="AP31" i="25"/>
  <c r="K7" i="25"/>
  <c r="AR16" i="25" s="1"/>
  <c r="Z20" i="9" s="1"/>
  <c r="O130" i="39"/>
  <c r="P130" i="39" s="1"/>
  <c r="O117" i="39"/>
  <c r="P117" i="39" s="1"/>
  <c r="AP27" i="25"/>
  <c r="AY31" i="24"/>
  <c r="H31" i="24"/>
  <c r="AY23" i="24"/>
  <c r="H23" i="24"/>
  <c r="AY15" i="24"/>
  <c r="H15" i="24"/>
  <c r="O124" i="39"/>
  <c r="P124" i="39" s="1"/>
  <c r="O106" i="39"/>
  <c r="P106" i="39" s="1"/>
  <c r="O126" i="39"/>
  <c r="P126" i="39" s="1"/>
  <c r="AP32" i="25"/>
  <c r="AP25" i="25"/>
  <c r="AR25" i="25"/>
  <c r="Z29" i="9" s="1"/>
  <c r="BO26" i="24"/>
  <c r="S7" i="23"/>
  <c r="AB7" i="23" s="1"/>
  <c r="AG6" i="23"/>
  <c r="AI6" i="23" s="1"/>
  <c r="AW6" i="26" s="1"/>
  <c r="BD6" i="26" s="1"/>
  <c r="AP16" i="25"/>
  <c r="AD26" i="24"/>
  <c r="T14" i="23"/>
  <c r="AM11" i="23"/>
  <c r="AX11" i="26" s="1"/>
  <c r="AN11" i="26"/>
  <c r="AM7" i="23"/>
  <c r="AX7" i="26" s="1"/>
  <c r="AN7" i="26"/>
  <c r="O96" i="6"/>
  <c r="AL15" i="24" s="1"/>
  <c r="R63" i="6"/>
  <c r="BO30" i="24"/>
  <c r="BO22" i="24"/>
  <c r="H14" i="24"/>
  <c r="AY14" i="24"/>
  <c r="AC14" i="24"/>
  <c r="BO5" i="24"/>
  <c r="T5" i="24"/>
  <c r="M9" i="9"/>
  <c r="AC9" i="9" s="1"/>
  <c r="G15" i="9"/>
  <c r="AG11" i="35"/>
  <c r="BG21" i="35"/>
  <c r="AG18" i="35"/>
  <c r="AG35" i="35"/>
  <c r="AG9" i="35"/>
  <c r="AT31" i="35"/>
  <c r="AG4" i="35"/>
  <c r="BG14" i="35"/>
  <c r="AG20" i="35"/>
  <c r="AG31" i="35"/>
  <c r="AG33" i="35"/>
  <c r="AG32" i="35"/>
  <c r="F30" i="23"/>
  <c r="AM30" i="24" s="1"/>
  <c r="N34" i="9" s="1"/>
  <c r="F26" i="23"/>
  <c r="AM26" i="24" s="1"/>
  <c r="N30" i="9" s="1"/>
  <c r="S20" i="23"/>
  <c r="AB20" i="23" s="1"/>
  <c r="U18" i="23"/>
  <c r="T10" i="23"/>
  <c r="P110" i="6"/>
  <c r="R64" i="6"/>
  <c r="M63" i="6"/>
  <c r="T53" i="6"/>
  <c r="H63" i="9"/>
  <c r="AP24" i="25"/>
  <c r="AR24" i="25"/>
  <c r="Z28" i="9" s="1"/>
  <c r="AA28" i="9" s="1"/>
  <c r="BO24" i="24"/>
  <c r="AM23" i="23"/>
  <c r="AX23" i="26" s="1"/>
  <c r="AN23" i="26"/>
  <c r="AM9" i="23"/>
  <c r="AX9" i="26" s="1"/>
  <c r="AN9" i="26"/>
  <c r="AJ10" i="23"/>
  <c r="O101" i="6"/>
  <c r="AL20" i="24" s="1"/>
  <c r="P21" i="23"/>
  <c r="AV21" i="26" s="1"/>
  <c r="AK21" i="24"/>
  <c r="L25" i="9" s="1"/>
  <c r="AK8" i="24"/>
  <c r="L12" i="9" s="1"/>
  <c r="P8" i="23"/>
  <c r="AV8" i="26" s="1"/>
  <c r="P30" i="23"/>
  <c r="AV30" i="26" s="1"/>
  <c r="AL30" i="26"/>
  <c r="V61" i="6"/>
  <c r="W61" i="6" s="1"/>
  <c r="R61" i="6"/>
  <c r="M61" i="6"/>
  <c r="R58" i="6"/>
  <c r="T7" i="23"/>
  <c r="S15" i="23"/>
  <c r="AB15" i="23" s="1"/>
  <c r="F7" i="23"/>
  <c r="AM7" i="24" s="1"/>
  <c r="N11" i="9" s="1"/>
  <c r="U10" i="23"/>
  <c r="F18" i="23"/>
  <c r="AM18" i="24" s="1"/>
  <c r="N22" i="9" s="1"/>
  <c r="S26" i="23"/>
  <c r="AB26" i="23" s="1"/>
  <c r="F29" i="23"/>
  <c r="AM29" i="24" s="1"/>
  <c r="N33" i="9" s="1"/>
  <c r="AC33" i="9" s="1"/>
  <c r="F10" i="23"/>
  <c r="AM10" i="24" s="1"/>
  <c r="N14" i="9" s="1"/>
  <c r="X13" i="23"/>
  <c r="AE13" i="23" s="1"/>
  <c r="AF13" i="23" s="1"/>
  <c r="G18" i="23"/>
  <c r="AN18" i="24" s="1"/>
  <c r="O22" i="9" s="1"/>
  <c r="T22" i="23"/>
  <c r="T30" i="23"/>
  <c r="Q106" i="6"/>
  <c r="P91" i="6"/>
  <c r="O28" i="6"/>
  <c r="BE19" i="5"/>
  <c r="BB19" i="5"/>
  <c r="BF19" i="5"/>
  <c r="BD19" i="5"/>
  <c r="AJ22" i="23"/>
  <c r="M113" i="6"/>
  <c r="O94" i="6"/>
  <c r="AL13" i="24" s="1"/>
  <c r="M17" i="9" s="1"/>
  <c r="M87" i="6"/>
  <c r="W53" i="6"/>
  <c r="AC23" i="24"/>
  <c r="M104" i="6"/>
  <c r="BF18" i="5"/>
  <c r="BD16" i="5"/>
  <c r="BB16" i="5"/>
  <c r="BF16" i="5"/>
  <c r="BE16" i="5"/>
  <c r="CR10" i="5"/>
  <c r="O89" i="6"/>
  <c r="AL8" i="24" s="1"/>
  <c r="R76" i="6"/>
  <c r="R60" i="6"/>
  <c r="BB35" i="5"/>
  <c r="M105" i="6"/>
  <c r="P101" i="6"/>
  <c r="AC19" i="24"/>
  <c r="M100" i="6"/>
  <c r="CW5" i="5"/>
  <c r="CT5" i="5"/>
  <c r="AK17" i="5"/>
  <c r="AF8" i="5"/>
  <c r="K57" i="6"/>
  <c r="W52" i="6"/>
  <c r="M26" i="6"/>
  <c r="AF18" i="5"/>
  <c r="BB34" i="5"/>
  <c r="CD8" i="26"/>
  <c r="CC8" i="26"/>
  <c r="AN25" i="26"/>
  <c r="AX4" i="26"/>
  <c r="AL12" i="26"/>
  <c r="BC12" i="26" s="1"/>
  <c r="AL21" i="26"/>
  <c r="AN21" i="26"/>
  <c r="AX17" i="26"/>
  <c r="AX15" i="26"/>
  <c r="W95" i="7"/>
  <c r="S95" i="7"/>
  <c r="R24" i="7"/>
  <c r="CJ15" i="7"/>
  <c r="AP8" i="25"/>
  <c r="AP21" i="25"/>
  <c r="AP29" i="25"/>
  <c r="X126" i="49"/>
  <c r="DF9" i="49"/>
  <c r="D126" i="49"/>
  <c r="N9" i="49"/>
  <c r="D85" i="49"/>
  <c r="F8" i="49"/>
  <c r="AH83" i="49"/>
  <c r="ET6" i="49"/>
  <c r="AC82" i="49"/>
  <c r="DV5" i="49"/>
  <c r="DA12" i="49"/>
  <c r="BE12" i="49"/>
  <c r="AG12" i="49"/>
  <c r="I12" i="49"/>
  <c r="EV12" i="49"/>
  <c r="AI89" i="49" s="1"/>
  <c r="DX12" i="49"/>
  <c r="AD89" i="49" s="1"/>
  <c r="CZ12" i="49"/>
  <c r="Y89" i="49" s="1"/>
  <c r="CU12" i="49"/>
  <c r="V89" i="49" s="1"/>
  <c r="CB12" i="49"/>
  <c r="T89" i="49" s="1"/>
  <c r="BD12" i="49"/>
  <c r="O89" i="49" s="1"/>
  <c r="AY12" i="49"/>
  <c r="L89" i="49" s="1"/>
  <c r="AF12" i="49"/>
  <c r="J89" i="49" s="1"/>
  <c r="AA12" i="49"/>
  <c r="G89" i="49" s="1"/>
  <c r="H12" i="49"/>
  <c r="E89" i="49" s="1"/>
  <c r="C12" i="49"/>
  <c r="B89" i="49" s="1"/>
  <c r="ES12" i="49"/>
  <c r="DU12" i="49"/>
  <c r="CW12" i="49"/>
  <c r="BY12" i="49"/>
  <c r="BA12" i="49"/>
  <c r="AC12" i="49"/>
  <c r="E12" i="49"/>
  <c r="S96" i="7"/>
  <c r="W96" i="7"/>
  <c r="Y96" i="7" s="1"/>
  <c r="I11" i="6" s="1"/>
  <c r="S91" i="7"/>
  <c r="W91" i="7"/>
  <c r="Y91" i="7" s="1"/>
  <c r="D11" i="6" s="1"/>
  <c r="CJ8" i="7"/>
  <c r="R17" i="7"/>
  <c r="AM41" i="7"/>
  <c r="BD4" i="49"/>
  <c r="O81" i="49" s="1"/>
  <c r="H4" i="49"/>
  <c r="E81" i="49" s="1"/>
  <c r="G46" i="7"/>
  <c r="AJ27" i="7" s="1"/>
  <c r="S86" i="49"/>
  <c r="BZ9" i="49"/>
  <c r="AC85" i="49"/>
  <c r="DV8" i="49"/>
  <c r="BD8" i="49"/>
  <c r="O85" i="49" s="1"/>
  <c r="X84" i="49"/>
  <c r="CX7" i="49"/>
  <c r="S83" i="49"/>
  <c r="BZ6" i="49"/>
  <c r="H6" i="49"/>
  <c r="E83" i="49" s="1"/>
  <c r="N82" i="49"/>
  <c r="BB5" i="49"/>
  <c r="DA15" i="49"/>
  <c r="BE15" i="49"/>
  <c r="AG15" i="49"/>
  <c r="I15" i="49"/>
  <c r="EV15" i="49"/>
  <c r="AI92" i="49" s="1"/>
  <c r="DX15" i="49"/>
  <c r="AD92" i="49" s="1"/>
  <c r="CZ15" i="49"/>
  <c r="Y92" i="49" s="1"/>
  <c r="CU15" i="49"/>
  <c r="V92" i="49" s="1"/>
  <c r="CB15" i="49"/>
  <c r="T92" i="49" s="1"/>
  <c r="BD15" i="49"/>
  <c r="O92" i="49" s="1"/>
  <c r="AY15" i="49"/>
  <c r="L92" i="49" s="1"/>
  <c r="AF15" i="49"/>
  <c r="J92" i="49" s="1"/>
  <c r="AA15" i="49"/>
  <c r="G92" i="49" s="1"/>
  <c r="H15" i="49"/>
  <c r="E92" i="49" s="1"/>
  <c r="C15" i="49"/>
  <c r="B92" i="49" s="1"/>
  <c r="ES15" i="49"/>
  <c r="DU15" i="49"/>
  <c r="CW15" i="49"/>
  <c r="BY15" i="49"/>
  <c r="BA15" i="49"/>
  <c r="AC15" i="49"/>
  <c r="E15" i="49"/>
  <c r="J119" i="62"/>
  <c r="I119" i="62"/>
  <c r="E119" i="62"/>
  <c r="H119" i="62"/>
  <c r="D119" i="62"/>
  <c r="G119" i="62"/>
  <c r="J90" i="1"/>
  <c r="K90" i="1" s="1"/>
  <c r="J75" i="1"/>
  <c r="K75" i="1" s="1"/>
  <c r="H75" i="1"/>
  <c r="E24" i="2"/>
  <c r="J74" i="1"/>
  <c r="K74" i="1" s="1"/>
  <c r="H74" i="1"/>
  <c r="AM34" i="7"/>
  <c r="CE5" i="7"/>
  <c r="BV5" i="7"/>
  <c r="BH5" i="7"/>
  <c r="AY5" i="7"/>
  <c r="AP5" i="7"/>
  <c r="CD5" i="7"/>
  <c r="BG5" i="7"/>
  <c r="AX5" i="7"/>
  <c r="BX5" i="7"/>
  <c r="BO5" i="7"/>
  <c r="BF5" i="7"/>
  <c r="AR5" i="7"/>
  <c r="AI5" i="7"/>
  <c r="AI32" i="7" s="1"/>
  <c r="CF5" i="7"/>
  <c r="BW5" i="7"/>
  <c r="BN5" i="7"/>
  <c r="AQ5" i="7"/>
  <c r="AH5" i="7"/>
  <c r="AH32" i="7" s="1"/>
  <c r="CE9" i="7"/>
  <c r="BV9" i="7"/>
  <c r="BH9" i="7"/>
  <c r="AY9" i="7"/>
  <c r="AP9" i="7"/>
  <c r="CD9" i="7"/>
  <c r="BG9" i="7"/>
  <c r="AX9" i="7"/>
  <c r="AJ9" i="7"/>
  <c r="BX9" i="7"/>
  <c r="BO9" i="7"/>
  <c r="BF9" i="7"/>
  <c r="AR9" i="7"/>
  <c r="AI9" i="7"/>
  <c r="CF9" i="7"/>
  <c r="BW9" i="7"/>
  <c r="BN9" i="7"/>
  <c r="AQ9" i="7"/>
  <c r="AH9" i="7"/>
  <c r="CE17" i="7"/>
  <c r="BV17" i="7"/>
  <c r="BH17" i="7"/>
  <c r="AY17" i="7"/>
  <c r="AP17" i="7"/>
  <c r="CD17" i="7"/>
  <c r="BG17" i="7"/>
  <c r="AX17" i="7"/>
  <c r="AJ17" i="7"/>
  <c r="AJ40" i="7" s="1"/>
  <c r="BX17" i="7"/>
  <c r="BO17" i="7"/>
  <c r="BF17" i="7"/>
  <c r="AR17" i="7"/>
  <c r="AI17" i="7"/>
  <c r="AI40" i="7" s="1"/>
  <c r="CF17" i="7"/>
  <c r="BW17" i="7"/>
  <c r="BN17" i="7"/>
  <c r="AQ17" i="7"/>
  <c r="AH17" i="7"/>
  <c r="AH40" i="7" s="1"/>
  <c r="Z24" i="7"/>
  <c r="BX10" i="7"/>
  <c r="BO10" i="7"/>
  <c r="BF10" i="7"/>
  <c r="AR10" i="7"/>
  <c r="AI10" i="7"/>
  <c r="AI36" i="7" s="1"/>
  <c r="CF10" i="7"/>
  <c r="BW10" i="7"/>
  <c r="BN10" i="7"/>
  <c r="AQ10" i="7"/>
  <c r="AH10" i="7"/>
  <c r="AH36" i="7" s="1"/>
  <c r="CE10" i="7"/>
  <c r="BV10" i="7"/>
  <c r="BH10" i="7"/>
  <c r="AY10" i="7"/>
  <c r="AP10" i="7"/>
  <c r="CD10" i="7"/>
  <c r="BG10" i="7"/>
  <c r="AX10" i="7"/>
  <c r="AJ10" i="7"/>
  <c r="AJ36" i="7" s="1"/>
  <c r="Z23" i="7"/>
  <c r="Z25" i="7"/>
  <c r="F109" i="7"/>
  <c r="FA11" i="49"/>
  <c r="EC11" i="49"/>
  <c r="DE11" i="49"/>
  <c r="CG11" i="49"/>
  <c r="BI11" i="49"/>
  <c r="AK11" i="49"/>
  <c r="M11" i="49"/>
  <c r="DI11" i="49"/>
  <c r="BM11" i="49"/>
  <c r="AO11" i="49"/>
  <c r="Q11" i="49"/>
  <c r="FD11" i="49"/>
  <c r="AI128" i="49" s="1"/>
  <c r="EF11" i="49"/>
  <c r="AD128" i="49" s="1"/>
  <c r="DH11" i="49"/>
  <c r="Y128" i="49" s="1"/>
  <c r="DC11" i="49"/>
  <c r="V128" i="49" s="1"/>
  <c r="CJ11" i="49"/>
  <c r="T128" i="49" s="1"/>
  <c r="BL11" i="49"/>
  <c r="O128" i="49" s="1"/>
  <c r="BG11" i="49"/>
  <c r="L128" i="49" s="1"/>
  <c r="AN11" i="49"/>
  <c r="J128" i="49" s="1"/>
  <c r="AI11" i="49"/>
  <c r="G128" i="49" s="1"/>
  <c r="P11" i="49"/>
  <c r="E128" i="49" s="1"/>
  <c r="K11" i="49"/>
  <c r="B128" i="49" s="1"/>
  <c r="AO10" i="49"/>
  <c r="I127" i="49"/>
  <c r="AL10" i="49"/>
  <c r="AC127" i="49"/>
  <c r="ED10" i="49"/>
  <c r="AM39" i="7"/>
  <c r="X110" i="63"/>
  <c r="U66" i="63"/>
  <c r="Q121" i="63"/>
  <c r="AD18" i="57"/>
  <c r="AD20" i="57"/>
  <c r="AD16" i="57"/>
  <c r="AD15" i="57"/>
  <c r="AD14" i="57"/>
  <c r="AD13" i="57"/>
  <c r="AD12" i="57"/>
  <c r="AD21" i="57"/>
  <c r="AD17" i="57"/>
  <c r="AD19" i="57"/>
  <c r="X143" i="63"/>
  <c r="U69" i="63"/>
  <c r="X74" i="63"/>
  <c r="U62" i="63"/>
  <c r="H107" i="63"/>
  <c r="S65" i="63"/>
  <c r="H80" i="63"/>
  <c r="S63" i="63"/>
  <c r="H161" i="63"/>
  <c r="S68" i="63"/>
  <c r="Q142" i="63"/>
  <c r="Q191" i="63"/>
  <c r="H166" i="63"/>
  <c r="H167" i="63"/>
  <c r="H218" i="63"/>
  <c r="S71" i="63"/>
  <c r="G20" i="30"/>
  <c r="F20" i="30"/>
  <c r="G22" i="30"/>
  <c r="F22" i="30"/>
  <c r="AB5" i="66"/>
  <c r="AC5" i="66" s="1"/>
  <c r="AD5" i="66" s="1"/>
  <c r="AE5" i="66" s="1"/>
  <c r="AB7" i="66"/>
  <c r="AC7" i="66" s="1"/>
  <c r="AD7" i="66" s="1"/>
  <c r="AE7" i="66" s="1"/>
  <c r="AB3" i="66"/>
  <c r="AC3" i="66" s="1"/>
  <c r="AD3" i="66" s="1"/>
  <c r="AE3" i="66" s="1"/>
  <c r="AB9" i="66"/>
  <c r="AB34" i="66"/>
  <c r="AB26" i="66"/>
  <c r="K45" i="30"/>
  <c r="N45" i="30" s="1"/>
  <c r="K43" i="30"/>
  <c r="N43" i="30" s="1"/>
  <c r="L2" i="55"/>
  <c r="AB64" i="66"/>
  <c r="AB47" i="66"/>
  <c r="AB31" i="66"/>
  <c r="T142" i="51"/>
  <c r="S142" i="51"/>
  <c r="S38" i="51"/>
  <c r="T38" i="51"/>
  <c r="R46" i="51"/>
  <c r="S144" i="51"/>
  <c r="T144" i="51"/>
  <c r="T138" i="51"/>
  <c r="S138" i="51"/>
  <c r="AB69" i="66"/>
  <c r="AB56" i="66"/>
  <c r="AB40" i="66"/>
  <c r="AB20" i="66"/>
  <c r="AB58" i="66"/>
  <c r="AB41" i="66"/>
  <c r="AB13" i="66"/>
  <c r="AB6" i="66"/>
  <c r="AC6" i="66" s="1"/>
  <c r="AD6" i="66" s="1"/>
  <c r="AE6" i="66" s="1"/>
  <c r="AB67" i="66"/>
  <c r="AB50" i="66"/>
  <c r="AB35" i="66"/>
  <c r="AB23" i="66"/>
  <c r="AB10" i="66"/>
  <c r="T44" i="51"/>
  <c r="S44" i="51"/>
  <c r="T141" i="51"/>
  <c r="S141" i="51"/>
  <c r="T132" i="51"/>
  <c r="S132" i="51"/>
  <c r="T146" i="51"/>
  <c r="S146" i="51"/>
  <c r="Q103" i="32"/>
  <c r="R102" i="32"/>
  <c r="Q112" i="32"/>
  <c r="K36" i="47"/>
  <c r="K32" i="47"/>
  <c r="K40" i="47"/>
  <c r="K38" i="47"/>
  <c r="K34" i="47"/>
  <c r="K30" i="47"/>
  <c r="K135" i="47"/>
  <c r="K127" i="47"/>
  <c r="K73" i="47"/>
  <c r="K75" i="47"/>
  <c r="K59" i="47"/>
  <c r="K67" i="47"/>
  <c r="K63" i="47"/>
  <c r="K61" i="47"/>
  <c r="K69" i="47"/>
  <c r="K65" i="47"/>
  <c r="S128" i="47"/>
  <c r="T128" i="47" s="1"/>
  <c r="S144" i="47"/>
  <c r="T144" i="47" s="1"/>
  <c r="S126" i="47"/>
  <c r="T126" i="47" s="1"/>
  <c r="S142" i="47"/>
  <c r="T142" i="47" s="1"/>
  <c r="S158" i="47"/>
  <c r="T158" i="47" s="1"/>
  <c r="S110" i="47"/>
  <c r="T110" i="47" s="1"/>
  <c r="S154" i="47"/>
  <c r="T154" i="47" s="1"/>
  <c r="S106" i="47"/>
  <c r="T106" i="47" s="1"/>
  <c r="S24" i="47"/>
  <c r="T24" i="47" s="1"/>
  <c r="S77" i="47"/>
  <c r="T77" i="47" s="1"/>
  <c r="S87" i="47"/>
  <c r="T87" i="47" s="1"/>
  <c r="S103" i="47"/>
  <c r="T103" i="47" s="1"/>
  <c r="S119" i="47"/>
  <c r="T119" i="47" s="1"/>
  <c r="S129" i="47"/>
  <c r="T129" i="47" s="1"/>
  <c r="K67" i="32"/>
  <c r="J67" i="32"/>
  <c r="C58" i="47" s="1"/>
  <c r="S95" i="47"/>
  <c r="T95" i="47" s="1"/>
  <c r="S123" i="47"/>
  <c r="T123" i="47" s="1"/>
  <c r="S159" i="47"/>
  <c r="T159" i="47" s="1"/>
  <c r="D15" i="32"/>
  <c r="E14" i="32"/>
  <c r="F14" i="32" s="1"/>
  <c r="AC8" i="9"/>
  <c r="S129" i="39"/>
  <c r="O109" i="39"/>
  <c r="P109" i="39" s="1"/>
  <c r="H33" i="24"/>
  <c r="AY33" i="24"/>
  <c r="AY25" i="24"/>
  <c r="H25" i="24"/>
  <c r="AY17" i="24"/>
  <c r="H17" i="24"/>
  <c r="AC17" i="9"/>
  <c r="S123" i="39"/>
  <c r="S128" i="39"/>
  <c r="S126" i="39"/>
  <c r="S125" i="39"/>
  <c r="T6" i="25"/>
  <c r="S124" i="39"/>
  <c r="AP11" i="25"/>
  <c r="AO29" i="24"/>
  <c r="P33" i="9" s="1"/>
  <c r="BO18" i="24"/>
  <c r="BO10" i="24"/>
  <c r="AY10" i="24"/>
  <c r="H10" i="24"/>
  <c r="R67" i="6"/>
  <c r="AP30" i="25"/>
  <c r="AP9" i="25"/>
  <c r="H28" i="24"/>
  <c r="AY28" i="24"/>
  <c r="AC28" i="24"/>
  <c r="H20" i="24"/>
  <c r="AY20" i="24"/>
  <c r="Q114" i="6"/>
  <c r="O100" i="6"/>
  <c r="AL19" i="24" s="1"/>
  <c r="M23" i="9" s="1"/>
  <c r="R78" i="6"/>
  <c r="R74" i="6"/>
  <c r="R68" i="6"/>
  <c r="T68" i="6" s="1"/>
  <c r="M67" i="6"/>
  <c r="AH5" i="25"/>
  <c r="AJ5" i="25"/>
  <c r="BO12" i="24"/>
  <c r="BO7" i="24"/>
  <c r="AG7" i="35"/>
  <c r="BG17" i="35"/>
  <c r="AG14" i="35"/>
  <c r="AT19" i="35"/>
  <c r="BG24" i="35"/>
  <c r="AG5" i="35"/>
  <c r="BG15" i="35"/>
  <c r="BG32" i="35"/>
  <c r="AG16" i="35"/>
  <c r="AG31" i="23"/>
  <c r="AI31" i="23" s="1"/>
  <c r="AW31" i="26" s="1"/>
  <c r="BD31" i="26" s="1"/>
  <c r="AG23" i="23"/>
  <c r="AI23" i="23" s="1"/>
  <c r="AW23" i="26" s="1"/>
  <c r="BD23" i="26" s="1"/>
  <c r="G14" i="23"/>
  <c r="AN14" i="24" s="1"/>
  <c r="O18" i="9" s="1"/>
  <c r="W5" i="23"/>
  <c r="AD5" i="23" s="1"/>
  <c r="P81" i="6"/>
  <c r="P79" i="6"/>
  <c r="K79" i="6"/>
  <c r="P77" i="6"/>
  <c r="P75" i="6"/>
  <c r="K75" i="6"/>
  <c r="P73" i="6"/>
  <c r="W73" i="6" s="1"/>
  <c r="P71" i="6"/>
  <c r="K71" i="6"/>
  <c r="K69" i="6"/>
  <c r="R69" i="6"/>
  <c r="P69" i="6"/>
  <c r="P67" i="6"/>
  <c r="P58" i="6"/>
  <c r="T52" i="6"/>
  <c r="H52" i="9"/>
  <c r="H57" i="9"/>
  <c r="H67" i="9"/>
  <c r="AP18" i="25"/>
  <c r="BO32" i="24"/>
  <c r="H16" i="24"/>
  <c r="AY16" i="24"/>
  <c r="AC16" i="24"/>
  <c r="AJ27" i="23"/>
  <c r="AJ20" i="23"/>
  <c r="AJ14" i="23"/>
  <c r="P4" i="23"/>
  <c r="AK4" i="24"/>
  <c r="L8" i="9" s="1"/>
  <c r="N25" i="23"/>
  <c r="AU25" i="26" s="1"/>
  <c r="AJ25" i="24"/>
  <c r="K29" i="9" s="1"/>
  <c r="S85" i="6"/>
  <c r="T61" i="6"/>
  <c r="G10" i="23"/>
  <c r="AN10" i="24" s="1"/>
  <c r="O14" i="9" s="1"/>
  <c r="AC14" i="9" s="1"/>
  <c r="T18" i="23"/>
  <c r="S13" i="23"/>
  <c r="AB13" i="23" s="1"/>
  <c r="G19" i="23"/>
  <c r="AN19" i="24" s="1"/>
  <c r="O23" i="9" s="1"/>
  <c r="T19" i="23"/>
  <c r="J37" i="5"/>
  <c r="L37" i="5" s="1"/>
  <c r="I37" i="5"/>
  <c r="K37" i="5" s="1"/>
  <c r="BD30" i="5"/>
  <c r="BB30" i="5"/>
  <c r="BF30" i="5"/>
  <c r="BE30" i="5"/>
  <c r="CD6" i="5"/>
  <c r="CU10" i="5"/>
  <c r="E29" i="2"/>
  <c r="AI29" i="23"/>
  <c r="AW29" i="26" s="1"/>
  <c r="BD29" i="26" s="1"/>
  <c r="AG29" i="23"/>
  <c r="V16" i="23"/>
  <c r="AC16" i="23" s="1"/>
  <c r="AM10" i="23"/>
  <c r="AX10" i="26" s="1"/>
  <c r="AN10" i="26"/>
  <c r="O111" i="6"/>
  <c r="AL30" i="24" s="1"/>
  <c r="P106" i="6"/>
  <c r="Q100" i="6"/>
  <c r="M65" i="6"/>
  <c r="AL36" i="6"/>
  <c r="AL32" i="6"/>
  <c r="O24" i="6"/>
  <c r="Q24" i="6" s="1"/>
  <c r="V8" i="23"/>
  <c r="AC8" i="23" s="1"/>
  <c r="P108" i="6"/>
  <c r="S93" i="6"/>
  <c r="T93" i="6" s="1"/>
  <c r="M72" i="6"/>
  <c r="AF29" i="5"/>
  <c r="M56" i="6"/>
  <c r="AL38" i="6"/>
  <c r="AF25" i="5"/>
  <c r="BN24" i="5"/>
  <c r="AK24" i="5"/>
  <c r="M25" i="6"/>
  <c r="M19" i="6"/>
  <c r="BN15" i="5"/>
  <c r="BN26" i="5"/>
  <c r="AJ24" i="5"/>
  <c r="BN16" i="5"/>
  <c r="BN14" i="5"/>
  <c r="BN5" i="5"/>
  <c r="M27" i="6"/>
  <c r="BN25" i="5"/>
  <c r="AI24" i="5"/>
  <c r="BN4" i="5"/>
  <c r="M23" i="6"/>
  <c r="BN6" i="5"/>
  <c r="BB37" i="5"/>
  <c r="BD26" i="5"/>
  <c r="BB26" i="5"/>
  <c r="BF26" i="5"/>
  <c r="BE26" i="5"/>
  <c r="M76" i="6"/>
  <c r="AL25" i="6"/>
  <c r="AL19" i="6"/>
  <c r="AL23" i="6"/>
  <c r="AL27" i="6"/>
  <c r="K46" i="6"/>
  <c r="C112" i="6" s="1"/>
  <c r="AF15" i="5"/>
  <c r="AC27" i="24"/>
  <c r="M108" i="6"/>
  <c r="CT10" i="5"/>
  <c r="CD5" i="5"/>
  <c r="AM6" i="23"/>
  <c r="AN6" i="26"/>
  <c r="AM29" i="26"/>
  <c r="AN26" i="26"/>
  <c r="AI4" i="35"/>
  <c r="AI5" i="35"/>
  <c r="AN27" i="26"/>
  <c r="AM6" i="26"/>
  <c r="V4" i="26"/>
  <c r="S4" i="26"/>
  <c r="T5" i="26"/>
  <c r="U5" i="26" s="1"/>
  <c r="W4" i="26"/>
  <c r="Y4" i="26" s="1"/>
  <c r="CD12" i="26"/>
  <c r="CC12" i="26"/>
  <c r="AN29" i="26"/>
  <c r="AL8" i="26"/>
  <c r="AX20" i="26"/>
  <c r="W94" i="7"/>
  <c r="Y94" i="7" s="1"/>
  <c r="G11" i="6" s="1"/>
  <c r="S94" i="7"/>
  <c r="AP10" i="25"/>
  <c r="AP23" i="25"/>
  <c r="AC126" i="49"/>
  <c r="ED9" i="49"/>
  <c r="I126" i="49"/>
  <c r="AL9" i="49"/>
  <c r="N85" i="49"/>
  <c r="BB8" i="49"/>
  <c r="I84" i="49"/>
  <c r="AD7" i="49"/>
  <c r="D83" i="49"/>
  <c r="F6" i="49"/>
  <c r="N81" i="49"/>
  <c r="BB4" i="49"/>
  <c r="DA10" i="49"/>
  <c r="BE10" i="49"/>
  <c r="AG10" i="49"/>
  <c r="I10" i="49"/>
  <c r="EV10" i="49"/>
  <c r="AI87" i="49" s="1"/>
  <c r="DX10" i="49"/>
  <c r="AD87" i="49" s="1"/>
  <c r="CZ10" i="49"/>
  <c r="Y87" i="49" s="1"/>
  <c r="CU10" i="49"/>
  <c r="V87" i="49" s="1"/>
  <c r="CB10" i="49"/>
  <c r="T87" i="49" s="1"/>
  <c r="BD10" i="49"/>
  <c r="O87" i="49" s="1"/>
  <c r="AY10" i="49"/>
  <c r="L87" i="49" s="1"/>
  <c r="AF10" i="49"/>
  <c r="J87" i="49" s="1"/>
  <c r="AA10" i="49"/>
  <c r="G87" i="49" s="1"/>
  <c r="H10" i="49"/>
  <c r="E87" i="49" s="1"/>
  <c r="C10" i="49"/>
  <c r="B87" i="49" s="1"/>
  <c r="ES10" i="49"/>
  <c r="DU10" i="49"/>
  <c r="CW10" i="49"/>
  <c r="BY10" i="49"/>
  <c r="BA10" i="49"/>
  <c r="AC10" i="49"/>
  <c r="E10" i="49"/>
  <c r="H47" i="7"/>
  <c r="AS9" i="7" s="1"/>
  <c r="AN23" i="7"/>
  <c r="AN19" i="7"/>
  <c r="AN42" i="7" s="1"/>
  <c r="AN15" i="7"/>
  <c r="CT7" i="7" s="1"/>
  <c r="AN12" i="7"/>
  <c r="CT10" i="7" s="1"/>
  <c r="AN10" i="7"/>
  <c r="AN4" i="7"/>
  <c r="AN26" i="7"/>
  <c r="AN24" i="7"/>
  <c r="AN20" i="7"/>
  <c r="AN16" i="7"/>
  <c r="CT6" i="7" s="1"/>
  <c r="AN21" i="7"/>
  <c r="AN17" i="7"/>
  <c r="AN40" i="7" s="1"/>
  <c r="AN13" i="7"/>
  <c r="AN11" i="7"/>
  <c r="AN9" i="7"/>
  <c r="AN8" i="7"/>
  <c r="AN7" i="7"/>
  <c r="AN6" i="7"/>
  <c r="AN5" i="7"/>
  <c r="AN27" i="7"/>
  <c r="AN25" i="7"/>
  <c r="AN22" i="7"/>
  <c r="AN18" i="7"/>
  <c r="AN14" i="7"/>
  <c r="R21" i="7"/>
  <c r="CJ12" i="7"/>
  <c r="C26" i="62"/>
  <c r="S60" i="6"/>
  <c r="T60" i="6" s="1"/>
  <c r="S59" i="6"/>
  <c r="T59" i="6" s="1"/>
  <c r="S58" i="6"/>
  <c r="T58" i="6" s="1"/>
  <c r="EV4" i="49"/>
  <c r="AI81" i="49" s="1"/>
  <c r="G50" i="7"/>
  <c r="BP17" i="7" s="1"/>
  <c r="DB10" i="7"/>
  <c r="DK10" i="7" s="1"/>
  <c r="DT10" i="7" s="1"/>
  <c r="EC10" i="7" s="1"/>
  <c r="EL10" i="7" s="1"/>
  <c r="AA33" i="27"/>
  <c r="AB32" i="27" s="1"/>
  <c r="AD32" i="27" s="1"/>
  <c r="AA31" i="27"/>
  <c r="AB30" i="27" s="1"/>
  <c r="AD30" i="27" s="1"/>
  <c r="AA23" i="27"/>
  <c r="AB22" i="27" s="1"/>
  <c r="AD22" i="27" s="1"/>
  <c r="AA19" i="27"/>
  <c r="AB18" i="27" s="1"/>
  <c r="AD18" i="27" s="1"/>
  <c r="AA28" i="27"/>
  <c r="AB27" i="27" s="1"/>
  <c r="AD27" i="27" s="1"/>
  <c r="AA26" i="27"/>
  <c r="AB25" i="27" s="1"/>
  <c r="AD25" i="27" s="1"/>
  <c r="AA22" i="27"/>
  <c r="AB21" i="27" s="1"/>
  <c r="AD21" i="27" s="1"/>
  <c r="AA18" i="27"/>
  <c r="AB17" i="27" s="1"/>
  <c r="AD17" i="27" s="1"/>
  <c r="AA15" i="27"/>
  <c r="AB14" i="27" s="1"/>
  <c r="AD14" i="27" s="1"/>
  <c r="AA13" i="27"/>
  <c r="AB12" i="27" s="1"/>
  <c r="AD12" i="27" s="1"/>
  <c r="AA11" i="27"/>
  <c r="AB10" i="27" s="1"/>
  <c r="AD10" i="27" s="1"/>
  <c r="AA9" i="27"/>
  <c r="AB8" i="27" s="1"/>
  <c r="AD8" i="27" s="1"/>
  <c r="AA7" i="27"/>
  <c r="AB6" i="27" s="1"/>
  <c r="AD6" i="27" s="1"/>
  <c r="AA5" i="27"/>
  <c r="AB4" i="27" s="1"/>
  <c r="AD4" i="27" s="1"/>
  <c r="AA32" i="27"/>
  <c r="AB31" i="27" s="1"/>
  <c r="AD31" i="27" s="1"/>
  <c r="AA30" i="27"/>
  <c r="AB29" i="27" s="1"/>
  <c r="AD29" i="27" s="1"/>
  <c r="AA25" i="27"/>
  <c r="AB24" i="27" s="1"/>
  <c r="AD24" i="27" s="1"/>
  <c r="AA21" i="27"/>
  <c r="AB20" i="27" s="1"/>
  <c r="AD20" i="27" s="1"/>
  <c r="AA17" i="27"/>
  <c r="AB16" i="27" s="1"/>
  <c r="AD16" i="27" s="1"/>
  <c r="AA29" i="27"/>
  <c r="AB28" i="27" s="1"/>
  <c r="AD28" i="27" s="1"/>
  <c r="AA27" i="27"/>
  <c r="AB26" i="27" s="1"/>
  <c r="AD26" i="27" s="1"/>
  <c r="AA24" i="27"/>
  <c r="AB23" i="27" s="1"/>
  <c r="AD23" i="27" s="1"/>
  <c r="AA20" i="27"/>
  <c r="AB19" i="27" s="1"/>
  <c r="AD19" i="27" s="1"/>
  <c r="AA16" i="27"/>
  <c r="AB15" i="27" s="1"/>
  <c r="AD15" i="27" s="1"/>
  <c r="AA14" i="27"/>
  <c r="AB13" i="27" s="1"/>
  <c r="AD13" i="27" s="1"/>
  <c r="AA12" i="27"/>
  <c r="AB11" i="27" s="1"/>
  <c r="AD11" i="27" s="1"/>
  <c r="AA10" i="27"/>
  <c r="AB9" i="27" s="1"/>
  <c r="AD9" i="27" s="1"/>
  <c r="AA8" i="27"/>
  <c r="AB7" i="27" s="1"/>
  <c r="AD7" i="27" s="1"/>
  <c r="AA6" i="27"/>
  <c r="AB5" i="27" s="1"/>
  <c r="AD5" i="27" s="1"/>
  <c r="FD9" i="49"/>
  <c r="AI126" i="49" s="1"/>
  <c r="X86" i="49"/>
  <c r="CX9" i="49"/>
  <c r="BL9" i="49"/>
  <c r="O126" i="49" s="1"/>
  <c r="D86" i="49"/>
  <c r="F9" i="49"/>
  <c r="AH84" i="49"/>
  <c r="ET7" i="49"/>
  <c r="AC83" i="49"/>
  <c r="DV6" i="49"/>
  <c r="BD6" i="49"/>
  <c r="O83" i="49" s="1"/>
  <c r="X82" i="49"/>
  <c r="CX5" i="49"/>
  <c r="DA13" i="49"/>
  <c r="BE13" i="49"/>
  <c r="AG13" i="49"/>
  <c r="I13" i="49"/>
  <c r="EV13" i="49"/>
  <c r="AI90" i="49" s="1"/>
  <c r="DX13" i="49"/>
  <c r="AD90" i="49" s="1"/>
  <c r="CZ13" i="49"/>
  <c r="Y90" i="49" s="1"/>
  <c r="CU13" i="49"/>
  <c r="V90" i="49" s="1"/>
  <c r="CB13" i="49"/>
  <c r="T90" i="49" s="1"/>
  <c r="BD13" i="49"/>
  <c r="O90" i="49" s="1"/>
  <c r="AY13" i="49"/>
  <c r="L90" i="49" s="1"/>
  <c r="AF13" i="49"/>
  <c r="J90" i="49" s="1"/>
  <c r="AA13" i="49"/>
  <c r="G90" i="49" s="1"/>
  <c r="H13" i="49"/>
  <c r="E90" i="49" s="1"/>
  <c r="C13" i="49"/>
  <c r="B90" i="49" s="1"/>
  <c r="ES13" i="49"/>
  <c r="DU13" i="49"/>
  <c r="CW13" i="49"/>
  <c r="BY13" i="49"/>
  <c r="BA13" i="49"/>
  <c r="AC13" i="49"/>
  <c r="E13" i="49"/>
  <c r="AV27" i="7"/>
  <c r="AV25" i="7"/>
  <c r="AV22" i="7"/>
  <c r="AV18" i="7"/>
  <c r="AV14" i="7"/>
  <c r="AV23" i="7"/>
  <c r="AV19" i="7"/>
  <c r="AV42" i="7" s="1"/>
  <c r="AV15" i="7"/>
  <c r="AV12" i="7"/>
  <c r="AV10" i="7"/>
  <c r="AV4" i="7"/>
  <c r="H48" i="7"/>
  <c r="BA9" i="7" s="1"/>
  <c r="AV26" i="7"/>
  <c r="DC14" i="7" s="1"/>
  <c r="AV24" i="7"/>
  <c r="DC11" i="7" s="1"/>
  <c r="AV20" i="7"/>
  <c r="DC10" i="7" s="1"/>
  <c r="AV16" i="7"/>
  <c r="AV21" i="7"/>
  <c r="AV17" i="7"/>
  <c r="AV13" i="7"/>
  <c r="AV11" i="7"/>
  <c r="AV9" i="7"/>
  <c r="AV8" i="7"/>
  <c r="AV7" i="7"/>
  <c r="AV6" i="7"/>
  <c r="AV5" i="7"/>
  <c r="L10" i="25"/>
  <c r="H15" i="34"/>
  <c r="K15" i="26"/>
  <c r="AR40" i="7"/>
  <c r="AV40" i="7"/>
  <c r="AQ40" i="7"/>
  <c r="AY40" i="7"/>
  <c r="AU40" i="7"/>
  <c r="BC40" i="7" s="1"/>
  <c r="AP40" i="7"/>
  <c r="AX40" i="7"/>
  <c r="AM38" i="7"/>
  <c r="J87" i="1"/>
  <c r="K87" i="1" s="1"/>
  <c r="H87" i="1"/>
  <c r="J92" i="1"/>
  <c r="K92" i="1" s="1"/>
  <c r="AH81" i="49"/>
  <c r="ET4" i="49"/>
  <c r="E28" i="2"/>
  <c r="J72" i="1"/>
  <c r="K72" i="1" s="1"/>
  <c r="H72" i="1"/>
  <c r="CE6" i="7"/>
  <c r="BV6" i="7"/>
  <c r="BH6" i="7"/>
  <c r="AY6" i="7"/>
  <c r="AP6" i="7"/>
  <c r="AP33" i="7" s="1"/>
  <c r="CD6" i="7"/>
  <c r="BP6" i="7"/>
  <c r="BG6" i="7"/>
  <c r="AX6" i="7"/>
  <c r="AX33" i="7" s="1"/>
  <c r="AJ6" i="7"/>
  <c r="AJ33" i="7" s="1"/>
  <c r="BX6" i="7"/>
  <c r="BO6" i="7"/>
  <c r="BF6" i="7"/>
  <c r="BA6" i="7"/>
  <c r="AR6" i="7"/>
  <c r="AI6" i="7"/>
  <c r="AI33" i="7" s="1"/>
  <c r="CF6" i="7"/>
  <c r="BW6" i="7"/>
  <c r="BN6" i="7"/>
  <c r="AZ6" i="7"/>
  <c r="AQ6" i="7"/>
  <c r="AH6" i="7"/>
  <c r="AH33" i="7" s="1"/>
  <c r="Z11" i="7"/>
  <c r="Z21" i="7"/>
  <c r="Z26" i="7"/>
  <c r="BX12" i="7"/>
  <c r="BO12" i="7"/>
  <c r="BF12" i="7"/>
  <c r="BA12" i="7"/>
  <c r="AR12" i="7"/>
  <c r="AI12" i="7"/>
  <c r="AI37" i="7" s="1"/>
  <c r="CF12" i="7"/>
  <c r="BW12" i="7"/>
  <c r="BN12" i="7"/>
  <c r="AZ12" i="7"/>
  <c r="AQ12" i="7"/>
  <c r="AH12" i="7"/>
  <c r="AH37" i="7" s="1"/>
  <c r="CE12" i="7"/>
  <c r="BV12" i="7"/>
  <c r="BH12" i="7"/>
  <c r="AY12" i="7"/>
  <c r="AP12" i="7"/>
  <c r="AK12" i="7"/>
  <c r="AK37" i="7" s="1"/>
  <c r="CD12" i="7"/>
  <c r="BP12" i="7"/>
  <c r="BG12" i="7"/>
  <c r="AX12" i="7"/>
  <c r="AS12" i="7"/>
  <c r="AJ12" i="7"/>
  <c r="CF14" i="7"/>
  <c r="BW14" i="7"/>
  <c r="BN14" i="7"/>
  <c r="AZ14" i="7"/>
  <c r="AQ14" i="7"/>
  <c r="AH14" i="7"/>
  <c r="AH39" i="7" s="1"/>
  <c r="CE14" i="7"/>
  <c r="BV14" i="7"/>
  <c r="BH14" i="7"/>
  <c r="AY14" i="7"/>
  <c r="AP14" i="7"/>
  <c r="AK14" i="7"/>
  <c r="AK39" i="7" s="1"/>
  <c r="CD14" i="7"/>
  <c r="BP14" i="7"/>
  <c r="BG14" i="7"/>
  <c r="AX14" i="7"/>
  <c r="AS14" i="7"/>
  <c r="AJ14" i="7"/>
  <c r="AJ39" i="7" s="1"/>
  <c r="BX14" i="7"/>
  <c r="BO14" i="7"/>
  <c r="BF14" i="7"/>
  <c r="BA14" i="7"/>
  <c r="AR14" i="7"/>
  <c r="AI14" i="7"/>
  <c r="AI39" i="7" s="1"/>
  <c r="T81" i="6"/>
  <c r="N127" i="49"/>
  <c r="BJ10" i="49"/>
  <c r="AH127" i="49"/>
  <c r="FB10" i="49"/>
  <c r="J76" i="1"/>
  <c r="K76" i="1" s="1"/>
  <c r="I81" i="49"/>
  <c r="AD4" i="49"/>
  <c r="L104" i="55"/>
  <c r="F19" i="30"/>
  <c r="G19" i="30"/>
  <c r="R44" i="30"/>
  <c r="S35" i="51"/>
  <c r="T35" i="51"/>
  <c r="AB65" i="66"/>
  <c r="AB46" i="66"/>
  <c r="T134" i="51"/>
  <c r="T42" i="51"/>
  <c r="S42" i="51"/>
  <c r="C116" i="41"/>
  <c r="C117" i="41" s="1"/>
  <c r="W67" i="51"/>
  <c r="S73" i="32"/>
  <c r="H92" i="32"/>
  <c r="I92" i="32" s="1"/>
  <c r="S23" i="47"/>
  <c r="T23" i="47" s="1"/>
  <c r="K68" i="32"/>
  <c r="J68" i="32"/>
  <c r="C59" i="47" s="1"/>
  <c r="H91" i="32"/>
  <c r="I91" i="32" s="1"/>
  <c r="J66" i="32"/>
  <c r="C57" i="47" s="1"/>
  <c r="K66" i="32"/>
  <c r="K35" i="47"/>
  <c r="K31" i="47"/>
  <c r="K71" i="47"/>
  <c r="K39" i="47"/>
  <c r="K37" i="47"/>
  <c r="K33" i="47"/>
  <c r="K29" i="47"/>
  <c r="J70" i="32"/>
  <c r="C61" i="47" s="1"/>
  <c r="K70" i="32"/>
  <c r="S132" i="47"/>
  <c r="T132" i="47" s="1"/>
  <c r="S148" i="47"/>
  <c r="T148" i="47" s="1"/>
  <c r="S130" i="47"/>
  <c r="T130" i="47" s="1"/>
  <c r="S146" i="47"/>
  <c r="T146" i="47" s="1"/>
  <c r="S100" i="47"/>
  <c r="T100" i="47" s="1"/>
  <c r="S116" i="47"/>
  <c r="T116" i="47" s="1"/>
  <c r="S96" i="47"/>
  <c r="T96" i="47" s="1"/>
  <c r="S112" i="47"/>
  <c r="T112" i="47" s="1"/>
  <c r="S26" i="47"/>
  <c r="T26" i="47" s="1"/>
  <c r="S81" i="47"/>
  <c r="T81" i="47" s="1"/>
  <c r="S89" i="47"/>
  <c r="T89" i="47" s="1"/>
  <c r="S105" i="47"/>
  <c r="T105" i="47" s="1"/>
  <c r="S143" i="47"/>
  <c r="T143" i="47" s="1"/>
  <c r="S137" i="47"/>
  <c r="T137" i="47" s="1"/>
  <c r="R110" i="32"/>
  <c r="W74" i="32"/>
  <c r="Y74" i="32" s="1"/>
  <c r="W75" i="32"/>
  <c r="Y75" i="32" s="1"/>
  <c r="K63" i="32"/>
  <c r="J63" i="32"/>
  <c r="S97" i="47"/>
  <c r="T97" i="47" s="1"/>
  <c r="S131" i="47"/>
  <c r="T131" i="47" s="1"/>
  <c r="S141" i="47"/>
  <c r="T141" i="47" s="1"/>
  <c r="AY27" i="24"/>
  <c r="H27" i="24"/>
  <c r="AY19" i="24"/>
  <c r="H19" i="24"/>
  <c r="O129" i="39"/>
  <c r="P129" i="39" s="1"/>
  <c r="S105" i="39"/>
  <c r="S110" i="39"/>
  <c r="AC16" i="9"/>
  <c r="S122" i="39"/>
  <c r="AB7" i="25"/>
  <c r="AC7" i="25" s="1"/>
  <c r="AA7" i="25"/>
  <c r="Z8" i="25"/>
  <c r="H26" i="24"/>
  <c r="AY26" i="24"/>
  <c r="AO21" i="24"/>
  <c r="P25" i="9" s="1"/>
  <c r="AY9" i="24"/>
  <c r="H9" i="24"/>
  <c r="P55" i="6"/>
  <c r="T86" i="6"/>
  <c r="AP22" i="25"/>
  <c r="AP7" i="25"/>
  <c r="O88" i="6"/>
  <c r="AL7" i="24" s="1"/>
  <c r="K63" i="6"/>
  <c r="P63" i="6"/>
  <c r="K55" i="6"/>
  <c r="AP6" i="25"/>
  <c r="AR6" i="25"/>
  <c r="Z10" i="9" s="1"/>
  <c r="AA10" i="9" s="1"/>
  <c r="H30" i="24"/>
  <c r="AY30" i="24"/>
  <c r="AO25" i="24"/>
  <c r="P29" i="9" s="1"/>
  <c r="H22" i="24"/>
  <c r="AY22" i="24"/>
  <c r="AC22" i="24"/>
  <c r="BO14" i="24"/>
  <c r="AY11" i="24"/>
  <c r="H11" i="24"/>
  <c r="AG19" i="35"/>
  <c r="AG10" i="35"/>
  <c r="BG30" i="35"/>
  <c r="AG17" i="35"/>
  <c r="BG33" i="35"/>
  <c r="AG12" i="35"/>
  <c r="AT17" i="35"/>
  <c r="BG22" i="35"/>
  <c r="AT30" i="35"/>
  <c r="U33" i="23"/>
  <c r="U29" i="23"/>
  <c r="U25" i="23"/>
  <c r="F19" i="23"/>
  <c r="AM19" i="24" s="1"/>
  <c r="N23" i="9" s="1"/>
  <c r="AC23" i="9" s="1"/>
  <c r="T15" i="23"/>
  <c r="P114" i="6"/>
  <c r="P66" i="6"/>
  <c r="P64" i="6"/>
  <c r="K64" i="6"/>
  <c r="P62" i="6"/>
  <c r="H56" i="9"/>
  <c r="S108" i="39"/>
  <c r="AP14" i="25"/>
  <c r="AR14" i="25"/>
  <c r="Z18" i="9" s="1"/>
  <c r="AA18" i="9" s="1"/>
  <c r="AB18" i="9" s="1"/>
  <c r="H24" i="24"/>
  <c r="AY24" i="24"/>
  <c r="AM14" i="23"/>
  <c r="AX14" i="26" s="1"/>
  <c r="AN14" i="26"/>
  <c r="AM5" i="23"/>
  <c r="AX5" i="26" s="1"/>
  <c r="AN5" i="26"/>
  <c r="P100" i="6"/>
  <c r="P95" i="6"/>
  <c r="N26" i="23"/>
  <c r="AU26" i="26" s="1"/>
  <c r="BB26" i="26" s="1"/>
  <c r="AK26" i="26"/>
  <c r="R85" i="6"/>
  <c r="P17" i="23"/>
  <c r="AV17" i="26" s="1"/>
  <c r="AK17" i="24"/>
  <c r="L21" i="9" s="1"/>
  <c r="K80" i="6"/>
  <c r="R80" i="6"/>
  <c r="F14" i="23"/>
  <c r="AM14" i="24" s="1"/>
  <c r="N18" i="9" s="1"/>
  <c r="AC18" i="9" s="1"/>
  <c r="T21" i="23"/>
  <c r="F23" i="23"/>
  <c r="AM23" i="24" s="1"/>
  <c r="N27" i="9" s="1"/>
  <c r="T25" i="23"/>
  <c r="F27" i="23"/>
  <c r="AM27" i="24" s="1"/>
  <c r="N31" i="9" s="1"/>
  <c r="T29" i="23"/>
  <c r="F31" i="23"/>
  <c r="AM31" i="24" s="1"/>
  <c r="N35" i="9" s="1"/>
  <c r="AC35" i="9" s="1"/>
  <c r="T33" i="23"/>
  <c r="S19" i="23"/>
  <c r="AB19" i="23" s="1"/>
  <c r="F25" i="23"/>
  <c r="AM25" i="24" s="1"/>
  <c r="N29" i="9" s="1"/>
  <c r="AC29" i="9" s="1"/>
  <c r="S30" i="23"/>
  <c r="AB30" i="23" s="1"/>
  <c r="F33" i="23"/>
  <c r="AM33" i="24" s="1"/>
  <c r="N37" i="9" s="1"/>
  <c r="AC37" i="9" s="1"/>
  <c r="T16" i="23"/>
  <c r="F32" i="23"/>
  <c r="AM32" i="24" s="1"/>
  <c r="N36" i="9" s="1"/>
  <c r="O22" i="6"/>
  <c r="O21" i="6"/>
  <c r="Q21" i="6"/>
  <c r="AL37" i="6"/>
  <c r="AL33" i="6"/>
  <c r="AL29" i="6"/>
  <c r="AL31" i="6"/>
  <c r="AL35" i="6"/>
  <c r="AF16" i="5"/>
  <c r="AF13" i="5"/>
  <c r="BB39" i="5"/>
  <c r="BE39" i="5"/>
  <c r="CD4" i="5"/>
  <c r="CS10" i="5"/>
  <c r="E25" i="2"/>
  <c r="W21" i="23"/>
  <c r="AD21" i="23" s="1"/>
  <c r="M80" i="6"/>
  <c r="W59" i="6"/>
  <c r="O20" i="6"/>
  <c r="Q20" i="6"/>
  <c r="AN37" i="6"/>
  <c r="N22" i="24" s="1"/>
  <c r="AN33" i="6"/>
  <c r="N18" i="24" s="1"/>
  <c r="AN29" i="6"/>
  <c r="N14" i="24" s="1"/>
  <c r="AN35" i="6"/>
  <c r="N20" i="24" s="1"/>
  <c r="AN31" i="6"/>
  <c r="N16" i="24" s="1"/>
  <c r="P113" i="6"/>
  <c r="O113" i="6"/>
  <c r="AL32" i="24" s="1"/>
  <c r="T106" i="6"/>
  <c r="S103" i="6"/>
  <c r="T103" i="6" s="1"/>
  <c r="L102" i="6"/>
  <c r="P97" i="6"/>
  <c r="AC15" i="24"/>
  <c r="M96" i="6"/>
  <c r="BD18" i="5"/>
  <c r="BB17" i="5"/>
  <c r="BF17" i="5"/>
  <c r="BE17" i="5"/>
  <c r="BD17" i="5"/>
  <c r="BE36" i="5"/>
  <c r="BB36" i="5"/>
  <c r="L98" i="6"/>
  <c r="M89" i="6"/>
  <c r="R89" i="6"/>
  <c r="T76" i="6"/>
  <c r="AJ27" i="6"/>
  <c r="AJ23" i="6"/>
  <c r="AJ25" i="6"/>
  <c r="AJ19" i="6"/>
  <c r="AJ20" i="6"/>
  <c r="BF15" i="5"/>
  <c r="BB15" i="5"/>
  <c r="BE15" i="5"/>
  <c r="BD15" i="5"/>
  <c r="O105" i="6"/>
  <c r="AL24" i="24" s="1"/>
  <c r="AF19" i="5"/>
  <c r="AC31" i="24"/>
  <c r="M112" i="6"/>
  <c r="W4" i="23"/>
  <c r="AD4" i="23" s="1"/>
  <c r="BE20" i="5"/>
  <c r="BD14" i="5"/>
  <c r="BB14" i="5"/>
  <c r="BF14" i="5"/>
  <c r="BE14" i="5"/>
  <c r="AN33" i="26"/>
  <c r="AX33" i="26"/>
  <c r="AM33" i="26"/>
  <c r="AL33" i="26"/>
  <c r="AK33" i="26"/>
  <c r="AN32" i="26"/>
  <c r="AV4" i="26"/>
  <c r="BC4" i="26" s="1"/>
  <c r="AU4" i="26"/>
  <c r="BB4" i="26" s="1"/>
  <c r="AN31" i="26"/>
  <c r="BU5" i="26"/>
  <c r="BT5" i="26"/>
  <c r="BL5" i="26"/>
  <c r="BI6" i="26" s="1"/>
  <c r="BJ6" i="26" s="1"/>
  <c r="BK5" i="26"/>
  <c r="BV5" i="26"/>
  <c r="AN28" i="26"/>
  <c r="AL26" i="26"/>
  <c r="BC26" i="26" s="1"/>
  <c r="AO24" i="26"/>
  <c r="AN12" i="26"/>
  <c r="AN19" i="26"/>
  <c r="AL17" i="26"/>
  <c r="AP13" i="25"/>
  <c r="AP15" i="25"/>
  <c r="AR15" i="25"/>
  <c r="Z19" i="9" s="1"/>
  <c r="AA19" i="9" s="1"/>
  <c r="AP12" i="25"/>
  <c r="M20" i="60"/>
  <c r="M24" i="60" s="1"/>
  <c r="N24" i="60" s="1"/>
  <c r="N17" i="60"/>
  <c r="N20" i="60" s="1"/>
  <c r="S79" i="6"/>
  <c r="S73" i="6"/>
  <c r="T73" i="6" s="1"/>
  <c r="S77" i="6"/>
  <c r="T77" i="6" s="1"/>
  <c r="AH126" i="49"/>
  <c r="FB9" i="49"/>
  <c r="N126" i="49"/>
  <c r="BJ9" i="49"/>
  <c r="X85" i="49"/>
  <c r="CX8" i="49"/>
  <c r="S84" i="49"/>
  <c r="BZ7" i="49"/>
  <c r="N83" i="49"/>
  <c r="BB6" i="49"/>
  <c r="I82" i="49"/>
  <c r="AD5" i="49"/>
  <c r="D81" i="49"/>
  <c r="F4" i="49"/>
  <c r="S97" i="7"/>
  <c r="W97" i="7"/>
  <c r="S70" i="6"/>
  <c r="T70" i="6" s="1"/>
  <c r="S69" i="6"/>
  <c r="T69" i="6" s="1"/>
  <c r="S71" i="6"/>
  <c r="T71" i="6" s="1"/>
  <c r="S64" i="6"/>
  <c r="T64" i="6" s="1"/>
  <c r="S62" i="6"/>
  <c r="T62" i="6" s="1"/>
  <c r="S66" i="6"/>
  <c r="T66" i="6" s="1"/>
  <c r="S67" i="6"/>
  <c r="T67" i="6" s="1"/>
  <c r="AW21" i="49"/>
  <c r="FI21" i="49"/>
  <c r="EN21" i="49"/>
  <c r="AD192" i="49" s="1"/>
  <c r="DM21" i="49"/>
  <c r="CR21" i="49"/>
  <c r="T192" i="49" s="1"/>
  <c r="BQ21" i="49"/>
  <c r="AV21" i="49"/>
  <c r="J192" i="49" s="1"/>
  <c r="AQ21" i="49"/>
  <c r="G192" i="49" s="1"/>
  <c r="U21" i="49"/>
  <c r="DQ21" i="49"/>
  <c r="BU21" i="49"/>
  <c r="Y21" i="49"/>
  <c r="FL21" i="49"/>
  <c r="AI192" i="49" s="1"/>
  <c r="EK21" i="49"/>
  <c r="DP21" i="49"/>
  <c r="Y192" i="49" s="1"/>
  <c r="DK21" i="49"/>
  <c r="V192" i="49" s="1"/>
  <c r="CO21" i="49"/>
  <c r="BT21" i="49"/>
  <c r="O192" i="49" s="1"/>
  <c r="BO21" i="49"/>
  <c r="L192" i="49" s="1"/>
  <c r="AS21" i="49"/>
  <c r="X21" i="49"/>
  <c r="E192" i="49" s="1"/>
  <c r="S21" i="49"/>
  <c r="B192" i="49" s="1"/>
  <c r="H119" i="7"/>
  <c r="CZ4" i="49"/>
  <c r="Y81" i="49" s="1"/>
  <c r="G48" i="7"/>
  <c r="AZ27" i="7" s="1"/>
  <c r="CJ9" i="7"/>
  <c r="R18" i="7"/>
  <c r="CJ5" i="7"/>
  <c r="R14" i="7"/>
  <c r="AC86" i="49"/>
  <c r="DV9" i="49"/>
  <c r="I86" i="49"/>
  <c r="AD9" i="49"/>
  <c r="EV8" i="49"/>
  <c r="AI85" i="49" s="1"/>
  <c r="I85" i="49"/>
  <c r="AD8" i="49"/>
  <c r="D84" i="49"/>
  <c r="F7" i="49"/>
  <c r="CZ6" i="49"/>
  <c r="Y83" i="49" s="1"/>
  <c r="AH82" i="49"/>
  <c r="ET5" i="49"/>
  <c r="DA11" i="49"/>
  <c r="BE11" i="49"/>
  <c r="AG11" i="49"/>
  <c r="I11" i="49"/>
  <c r="EV11" i="49"/>
  <c r="AI88" i="49" s="1"/>
  <c r="DX11" i="49"/>
  <c r="AD88" i="49" s="1"/>
  <c r="CZ11" i="49"/>
  <c r="Y88" i="49" s="1"/>
  <c r="CU11" i="49"/>
  <c r="V88" i="49" s="1"/>
  <c r="CB11" i="49"/>
  <c r="T88" i="49" s="1"/>
  <c r="BD11" i="49"/>
  <c r="O88" i="49" s="1"/>
  <c r="AY11" i="49"/>
  <c r="L88" i="49" s="1"/>
  <c r="AF11" i="49"/>
  <c r="J88" i="49" s="1"/>
  <c r="AA11" i="49"/>
  <c r="G88" i="49" s="1"/>
  <c r="H11" i="49"/>
  <c r="E88" i="49" s="1"/>
  <c r="C11" i="49"/>
  <c r="B88" i="49" s="1"/>
  <c r="ES11" i="49"/>
  <c r="DU11" i="49"/>
  <c r="CW11" i="49"/>
  <c r="BY11" i="49"/>
  <c r="BA11" i="49"/>
  <c r="AC11" i="49"/>
  <c r="E11" i="49"/>
  <c r="AF26" i="7"/>
  <c r="CK14" i="7" s="1"/>
  <c r="AF24" i="7"/>
  <c r="CK11" i="7" s="1"/>
  <c r="AF20" i="7"/>
  <c r="AF16" i="7"/>
  <c r="CK6" i="7" s="1"/>
  <c r="AF21" i="7"/>
  <c r="AF17" i="7"/>
  <c r="AF40" i="7" s="1"/>
  <c r="AF13" i="7"/>
  <c r="AF38" i="7" s="1"/>
  <c r="AF11" i="7"/>
  <c r="AF9" i="7"/>
  <c r="AF8" i="7"/>
  <c r="AF34" i="7" s="1"/>
  <c r="AF7" i="7"/>
  <c r="AF6" i="7"/>
  <c r="AF33" i="7" s="1"/>
  <c r="AF5" i="7"/>
  <c r="AF32" i="7" s="1"/>
  <c r="H46" i="7"/>
  <c r="AK9" i="7" s="1"/>
  <c r="AK35" i="7" s="1"/>
  <c r="AF27" i="7"/>
  <c r="AF25" i="7"/>
  <c r="AF22" i="7"/>
  <c r="AF18" i="7"/>
  <c r="AF41" i="7" s="1"/>
  <c r="AF14" i="7"/>
  <c r="AF39" i="7" s="1"/>
  <c r="AF23" i="7"/>
  <c r="AF19" i="7"/>
  <c r="AF42" i="7" s="1"/>
  <c r="AF15" i="7"/>
  <c r="AF12" i="7"/>
  <c r="AF10" i="7"/>
  <c r="AF36" i="7" s="1"/>
  <c r="AF4" i="7"/>
  <c r="H7" i="34"/>
  <c r="K7" i="26"/>
  <c r="BA42" i="7"/>
  <c r="AU42" i="7"/>
  <c r="BC42" i="7" s="1"/>
  <c r="AC81" i="49"/>
  <c r="DV4" i="49"/>
  <c r="J88" i="1"/>
  <c r="K88" i="1" s="1"/>
  <c r="H88" i="1"/>
  <c r="AR36" i="7"/>
  <c r="AN36" i="7"/>
  <c r="AV36" i="7"/>
  <c r="AQ36" i="7"/>
  <c r="AY36" i="7"/>
  <c r="AU36" i="7"/>
  <c r="BC36" i="7" s="1"/>
  <c r="AP36" i="7"/>
  <c r="AX36" i="7"/>
  <c r="Z16" i="7"/>
  <c r="AF31" i="7"/>
  <c r="AM31" i="7"/>
  <c r="Z15" i="7"/>
  <c r="CF18" i="7"/>
  <c r="BW18" i="7"/>
  <c r="BN18" i="7"/>
  <c r="AZ18" i="7"/>
  <c r="AQ18" i="7"/>
  <c r="AH18" i="7"/>
  <c r="AH41" i="7" s="1"/>
  <c r="CE18" i="7"/>
  <c r="BV18" i="7"/>
  <c r="BH18" i="7"/>
  <c r="AY18" i="7"/>
  <c r="AP18" i="7"/>
  <c r="AK18" i="7"/>
  <c r="AK41" i="7" s="1"/>
  <c r="CD18" i="7"/>
  <c r="BP18" i="7"/>
  <c r="BG18" i="7"/>
  <c r="AX18" i="7"/>
  <c r="AS18" i="7"/>
  <c r="AJ18" i="7"/>
  <c r="AJ41" i="7" s="1"/>
  <c r="BX18" i="7"/>
  <c r="BO18" i="7"/>
  <c r="BF18" i="7"/>
  <c r="BA18" i="7"/>
  <c r="AR18" i="7"/>
  <c r="AI18" i="7"/>
  <c r="AI41" i="7" s="1"/>
  <c r="CT11" i="7"/>
  <c r="DC7" i="7"/>
  <c r="G111" i="62"/>
  <c r="J111" i="62"/>
  <c r="E111" i="62"/>
  <c r="H111" i="62"/>
  <c r="D111" i="62"/>
  <c r="AJ35" i="7"/>
  <c r="AF35" i="7"/>
  <c r="AI35" i="7"/>
  <c r="AM35" i="7"/>
  <c r="AH35" i="7"/>
  <c r="T75" i="6"/>
  <c r="S127" i="49"/>
  <c r="CH10" i="49"/>
  <c r="BA33" i="7"/>
  <c r="AR33" i="7"/>
  <c r="AN33" i="7"/>
  <c r="AZ33" i="7"/>
  <c r="AV33" i="7"/>
  <c r="AQ33" i="7"/>
  <c r="AY33" i="7"/>
  <c r="AU33" i="7"/>
  <c r="BC33" i="7" s="1"/>
  <c r="C34" i="27"/>
  <c r="D21" i="27"/>
  <c r="G115" i="62"/>
  <c r="J115" i="62"/>
  <c r="E115" i="62"/>
  <c r="H115" i="62"/>
  <c r="D115" i="62"/>
  <c r="J81" i="1"/>
  <c r="K81" i="1" s="1"/>
  <c r="H81" i="1"/>
  <c r="J73" i="1"/>
  <c r="K73" i="1" s="1"/>
  <c r="H73" i="1"/>
  <c r="S81" i="49"/>
  <c r="BZ4" i="49"/>
  <c r="J78" i="1"/>
  <c r="K78" i="1" s="1"/>
  <c r="X80" i="63"/>
  <c r="U63" i="63"/>
  <c r="AB36" i="66"/>
  <c r="AB32" i="66"/>
  <c r="S31" i="51"/>
  <c r="T31" i="51"/>
  <c r="S143" i="51"/>
  <c r="T143" i="51"/>
  <c r="AB52" i="66"/>
  <c r="AB33" i="66"/>
  <c r="K199" i="41"/>
  <c r="I200" i="41"/>
  <c r="X154" i="63"/>
  <c r="U70" i="63"/>
  <c r="X164" i="63"/>
  <c r="U71" i="63"/>
  <c r="X122" i="63"/>
  <c r="U67" i="63"/>
  <c r="Q73" i="63"/>
  <c r="H122" i="63"/>
  <c r="S66" i="63"/>
  <c r="H179" i="63"/>
  <c r="S69" i="63"/>
  <c r="H199" i="63"/>
  <c r="S70" i="63"/>
  <c r="N57" i="63"/>
  <c r="L62" i="55"/>
  <c r="J45" i="30"/>
  <c r="M45" i="30" s="1"/>
  <c r="R45" i="30" s="1"/>
  <c r="J43" i="30"/>
  <c r="M43" i="30" s="1"/>
  <c r="R43" i="30" s="1"/>
  <c r="F21" i="30"/>
  <c r="G21" i="30"/>
  <c r="N62" i="63"/>
  <c r="N60" i="63"/>
  <c r="L61" i="55"/>
  <c r="L49" i="55"/>
  <c r="L16" i="55"/>
  <c r="L24" i="55"/>
  <c r="L28" i="55"/>
  <c r="AB28" i="66"/>
  <c r="AB24" i="66"/>
  <c r="L50" i="55"/>
  <c r="AB30" i="66"/>
  <c r="K47" i="30"/>
  <c r="N47" i="30" s="1"/>
  <c r="K41" i="30"/>
  <c r="N41" i="30" s="1"/>
  <c r="R46" i="30"/>
  <c r="AB72" i="66"/>
  <c r="AB39" i="66"/>
  <c r="R133" i="51"/>
  <c r="K117" i="62"/>
  <c r="K115" i="62"/>
  <c r="K113" i="62"/>
  <c r="K111" i="62"/>
  <c r="K118" i="62"/>
  <c r="K119" i="62"/>
  <c r="K116" i="62"/>
  <c r="K114" i="62"/>
  <c r="K112" i="62"/>
  <c r="K110" i="62"/>
  <c r="S32" i="51"/>
  <c r="T32" i="51"/>
  <c r="S40" i="51"/>
  <c r="T40" i="51"/>
  <c r="AB61" i="66"/>
  <c r="AB48" i="66"/>
  <c r="AB25" i="66"/>
  <c r="AB27" i="66"/>
  <c r="AB15" i="66"/>
  <c r="T131" i="51"/>
  <c r="S131" i="51"/>
  <c r="T43" i="51"/>
  <c r="S43" i="51"/>
  <c r="C151" i="41"/>
  <c r="C152" i="41" s="1"/>
  <c r="S25" i="47"/>
  <c r="T25" i="47" s="1"/>
  <c r="R103" i="32"/>
  <c r="R108" i="32"/>
  <c r="R101" i="32"/>
  <c r="H90" i="32"/>
  <c r="I90" i="32" s="1"/>
  <c r="S120" i="47"/>
  <c r="T120" i="47" s="1"/>
  <c r="S136" i="47"/>
  <c r="T136" i="47" s="1"/>
  <c r="S160" i="47"/>
  <c r="T160" i="47" s="1"/>
  <c r="S134" i="47"/>
  <c r="T134" i="47" s="1"/>
  <c r="S150" i="47"/>
  <c r="T150" i="47" s="1"/>
  <c r="S102" i="47"/>
  <c r="T102" i="47" s="1"/>
  <c r="S118" i="47"/>
  <c r="T118" i="47" s="1"/>
  <c r="S98" i="47"/>
  <c r="T98" i="47" s="1"/>
  <c r="S114" i="47"/>
  <c r="T114" i="47" s="1"/>
  <c r="S28" i="47"/>
  <c r="T28" i="47" s="1"/>
  <c r="S83" i="47"/>
  <c r="T83" i="47" s="1"/>
  <c r="S91" i="47"/>
  <c r="T91" i="47" s="1"/>
  <c r="S111" i="47"/>
  <c r="T111" i="47" s="1"/>
  <c r="S155" i="47"/>
  <c r="T155" i="47" s="1"/>
  <c r="S149" i="47"/>
  <c r="T149" i="47" s="1"/>
  <c r="Q107" i="32"/>
  <c r="R2" i="55"/>
  <c r="S107" i="47"/>
  <c r="T107" i="47" s="1"/>
  <c r="S139" i="47"/>
  <c r="T139" i="47" s="1"/>
  <c r="S145" i="47"/>
  <c r="T145" i="47" s="1"/>
  <c r="AC22" i="9"/>
  <c r="AC31" i="9"/>
  <c r="AC27" i="9"/>
  <c r="AY29" i="24"/>
  <c r="H29" i="24"/>
  <c r="AY21" i="24"/>
  <c r="H21" i="24"/>
  <c r="AY13" i="24"/>
  <c r="H13" i="24"/>
  <c r="S107" i="39"/>
  <c r="AP33" i="25"/>
  <c r="AC10" i="9"/>
  <c r="S104" i="39"/>
  <c r="AP28" i="25"/>
  <c r="H18" i="24"/>
  <c r="AY18" i="24"/>
  <c r="AP20" i="25"/>
  <c r="M5" i="34"/>
  <c r="J6" i="34" s="1"/>
  <c r="L5" i="34"/>
  <c r="AO31" i="24"/>
  <c r="P35" i="9" s="1"/>
  <c r="BO28" i="24"/>
  <c r="AO23" i="24"/>
  <c r="P27" i="9" s="1"/>
  <c r="BO20" i="24"/>
  <c r="AJ33" i="23"/>
  <c r="AJ29" i="23"/>
  <c r="AJ25" i="23"/>
  <c r="AJ18" i="23"/>
  <c r="AJ7" i="23"/>
  <c r="Q110" i="6"/>
  <c r="K78" i="6"/>
  <c r="P78" i="6"/>
  <c r="W78" i="6" s="1"/>
  <c r="K74" i="6"/>
  <c r="P74" i="6"/>
  <c r="K68" i="6"/>
  <c r="P68" i="6"/>
  <c r="AP5" i="25"/>
  <c r="AR5" i="25"/>
  <c r="Z9" i="9" s="1"/>
  <c r="AA9" i="9" s="1"/>
  <c r="H12" i="24"/>
  <c r="AY12" i="24"/>
  <c r="AT20" i="35"/>
  <c r="AG34" i="35"/>
  <c r="BG16" i="35"/>
  <c r="AT32" i="35"/>
  <c r="AG13" i="35"/>
  <c r="AG37" i="35"/>
  <c r="AG14" i="23"/>
  <c r="AI14" i="23" s="1"/>
  <c r="AW14" i="26" s="1"/>
  <c r="BD14" i="26" s="1"/>
  <c r="R79" i="6"/>
  <c r="M78" i="6"/>
  <c r="R75" i="6"/>
  <c r="M74" i="6"/>
  <c r="R71" i="6"/>
  <c r="K70" i="6"/>
  <c r="R70" i="6"/>
  <c r="P70" i="6"/>
  <c r="M68" i="6"/>
  <c r="T54" i="6"/>
  <c r="AO33" i="24"/>
  <c r="P37" i="9" s="1"/>
  <c r="H44" i="9"/>
  <c r="S102" i="39"/>
  <c r="AR4" i="25"/>
  <c r="Z8" i="9" s="1"/>
  <c r="AP4" i="25"/>
  <c r="H32" i="24"/>
  <c r="AY32" i="24"/>
  <c r="BO16" i="24"/>
  <c r="AJ31" i="23"/>
  <c r="AJ23" i="23"/>
  <c r="AJ26" i="23"/>
  <c r="T95" i="6"/>
  <c r="M85" i="6"/>
  <c r="AK13" i="24"/>
  <c r="L17" i="9" s="1"/>
  <c r="P13" i="23"/>
  <c r="AV13" i="26" s="1"/>
  <c r="BC13" i="26" s="1"/>
  <c r="T78" i="6"/>
  <c r="K65" i="6"/>
  <c r="R65" i="6"/>
  <c r="T65" i="6" s="1"/>
  <c r="AJ32" i="23"/>
  <c r="AJ19" i="23"/>
  <c r="AM13" i="23"/>
  <c r="AX13" i="26" s="1"/>
  <c r="AN13" i="26"/>
  <c r="O107" i="6"/>
  <c r="AL26" i="24" s="1"/>
  <c r="P107" i="6"/>
  <c r="P96" i="6"/>
  <c r="T80" i="6"/>
  <c r="K72" i="6"/>
  <c r="R72" i="6"/>
  <c r="T72" i="6" s="1"/>
  <c r="P65" i="6"/>
  <c r="T63" i="6"/>
  <c r="BD29" i="5"/>
  <c r="BE29" i="5"/>
  <c r="BB29" i="5"/>
  <c r="BF29" i="5"/>
  <c r="AJ30" i="23"/>
  <c r="P102" i="6"/>
  <c r="S87" i="6"/>
  <c r="T87" i="6" s="1"/>
  <c r="P72" i="6"/>
  <c r="AF23" i="5"/>
  <c r="AN25" i="6"/>
  <c r="N10" i="24" s="1"/>
  <c r="AN27" i="6"/>
  <c r="N12" i="24" s="1"/>
  <c r="AN23" i="6"/>
  <c r="N8" i="24" s="1"/>
  <c r="AN21" i="6"/>
  <c r="N6" i="24" s="1"/>
  <c r="AN19" i="6"/>
  <c r="N4" i="24" s="1"/>
  <c r="P99" i="6"/>
  <c r="T74" i="6"/>
  <c r="K56" i="6"/>
  <c r="AN38" i="6"/>
  <c r="N23" i="24" s="1"/>
  <c r="AL30" i="6"/>
  <c r="AF33" i="5"/>
  <c r="CW6" i="5"/>
  <c r="AK18" i="5"/>
  <c r="BD35" i="5" s="1"/>
  <c r="CT6" i="5"/>
  <c r="K44" i="6"/>
  <c r="C110" i="6" s="1"/>
  <c r="BE18" i="5"/>
  <c r="BD27" i="5"/>
  <c r="BF27" i="5"/>
  <c r="BE27" i="5"/>
  <c r="BB27" i="5"/>
  <c r="CY4" i="5"/>
  <c r="CV10" i="5"/>
  <c r="O98" i="6"/>
  <c r="AL17" i="24" s="1"/>
  <c r="P98" i="6"/>
  <c r="P76" i="6"/>
  <c r="CG34" i="5"/>
  <c r="AN34" i="6"/>
  <c r="N19" i="24" s="1"/>
  <c r="AF31" i="5"/>
  <c r="AF12" i="5"/>
  <c r="AM31" i="26"/>
  <c r="AJ28" i="23"/>
  <c r="AM22" i="23"/>
  <c r="AX22" i="26" s="1"/>
  <c r="AN22" i="26"/>
  <c r="AJ15" i="23"/>
  <c r="P112" i="6"/>
  <c r="V57" i="6"/>
  <c r="O90" i="6"/>
  <c r="AL9" i="24" s="1"/>
  <c r="M13" i="9" s="1"/>
  <c r="M57" i="6"/>
  <c r="AL26" i="6"/>
  <c r="J38" i="5"/>
  <c r="L38" i="5" s="1"/>
  <c r="I38" i="5"/>
  <c r="K38" i="5" s="1"/>
  <c r="BF20" i="5"/>
  <c r="BD24" i="5"/>
  <c r="BF24" i="5"/>
  <c r="BE24" i="5"/>
  <c r="BB24" i="5"/>
  <c r="CD33" i="26"/>
  <c r="CC33" i="26"/>
  <c r="BX4" i="26"/>
  <c r="AH5" i="35" s="1"/>
  <c r="AK25" i="26"/>
  <c r="AM23" i="26"/>
  <c r="AN18" i="26"/>
  <c r="AL16" i="26"/>
  <c r="BC16" i="26" s="1"/>
  <c r="AG21" i="49"/>
  <c r="F133" i="7"/>
  <c r="D126" i="7"/>
  <c r="D122" i="7"/>
  <c r="ES21" i="49"/>
  <c r="DX21" i="49"/>
  <c r="AD93" i="49" s="1"/>
  <c r="CW21" i="49"/>
  <c r="CB21" i="49"/>
  <c r="T93" i="49" s="1"/>
  <c r="BA21" i="49"/>
  <c r="AF21" i="49"/>
  <c r="J93" i="49" s="1"/>
  <c r="AA21" i="49"/>
  <c r="G93" i="49" s="1"/>
  <c r="E21" i="49"/>
  <c r="D133" i="7"/>
  <c r="D123" i="7"/>
  <c r="D119" i="7"/>
  <c r="DA21" i="49"/>
  <c r="BE21" i="49"/>
  <c r="I21" i="49"/>
  <c r="D124" i="7"/>
  <c r="D120" i="7"/>
  <c r="EV21" i="49"/>
  <c r="AI93" i="49" s="1"/>
  <c r="DU21" i="49"/>
  <c r="CZ21" i="49"/>
  <c r="Y93" i="49" s="1"/>
  <c r="CU21" i="49"/>
  <c r="V93" i="49" s="1"/>
  <c r="BY21" i="49"/>
  <c r="BD21" i="49"/>
  <c r="O93" i="49" s="1"/>
  <c r="AY21" i="49"/>
  <c r="L93" i="49" s="1"/>
  <c r="AC21" i="49"/>
  <c r="H21" i="49"/>
  <c r="E93" i="49" s="1"/>
  <c r="C21" i="49"/>
  <c r="B93" i="49" s="1"/>
  <c r="H133" i="7"/>
  <c r="D125" i="7"/>
  <c r="D121" i="7"/>
  <c r="AP17" i="25"/>
  <c r="AP19" i="25"/>
  <c r="AR26" i="25"/>
  <c r="Z30" i="9" s="1"/>
  <c r="AA30" i="9" s="1"/>
  <c r="AB30" i="9" s="1"/>
  <c r="AP26" i="25"/>
  <c r="S126" i="49"/>
  <c r="CH9" i="49"/>
  <c r="AH85" i="49"/>
  <c r="ET8" i="49"/>
  <c r="AC84" i="49"/>
  <c r="DV7" i="49"/>
  <c r="X83" i="49"/>
  <c r="CX6" i="49"/>
  <c r="S82" i="49"/>
  <c r="BZ5" i="49"/>
  <c r="DA14" i="49"/>
  <c r="BE14" i="49"/>
  <c r="AG14" i="49"/>
  <c r="I14" i="49"/>
  <c r="EV14" i="49"/>
  <c r="AI91" i="49" s="1"/>
  <c r="DX14" i="49"/>
  <c r="AD91" i="49" s="1"/>
  <c r="CZ14" i="49"/>
  <c r="Y91" i="49" s="1"/>
  <c r="CU14" i="49"/>
  <c r="V91" i="49" s="1"/>
  <c r="CB14" i="49"/>
  <c r="T91" i="49" s="1"/>
  <c r="BD14" i="49"/>
  <c r="O91" i="49" s="1"/>
  <c r="AY14" i="49"/>
  <c r="L91" i="49" s="1"/>
  <c r="AF14" i="49"/>
  <c r="J91" i="49" s="1"/>
  <c r="AA14" i="49"/>
  <c r="G91" i="49" s="1"/>
  <c r="H14" i="49"/>
  <c r="E91" i="49" s="1"/>
  <c r="C14" i="49"/>
  <c r="B91" i="49" s="1"/>
  <c r="ES14" i="49"/>
  <c r="DU14" i="49"/>
  <c r="CW14" i="49"/>
  <c r="BY14" i="49"/>
  <c r="BA14" i="49"/>
  <c r="AC14" i="49"/>
  <c r="E14" i="49"/>
  <c r="AJ37" i="7"/>
  <c r="AF37" i="7"/>
  <c r="AM37" i="7"/>
  <c r="CJ13" i="7"/>
  <c r="R22" i="7"/>
  <c r="DF4" i="7"/>
  <c r="DB4" i="7"/>
  <c r="DK4" i="7" s="1"/>
  <c r="DT4" i="7" s="1"/>
  <c r="EC4" i="7" s="1"/>
  <c r="EL4" i="7" s="1"/>
  <c r="EF4" i="7"/>
  <c r="CV4" i="7"/>
  <c r="AH86" i="49"/>
  <c r="ET9" i="49"/>
  <c r="DH9" i="49"/>
  <c r="Y126" i="49" s="1"/>
  <c r="N86" i="49"/>
  <c r="BB9" i="49"/>
  <c r="P9" i="49"/>
  <c r="E126" i="49" s="1"/>
  <c r="S85" i="49"/>
  <c r="BZ8" i="49"/>
  <c r="H8" i="49"/>
  <c r="E85" i="49" s="1"/>
  <c r="N84" i="49"/>
  <c r="BB7" i="49"/>
  <c r="EV6" i="49"/>
  <c r="AI83" i="49" s="1"/>
  <c r="I83" i="49"/>
  <c r="AD6" i="49"/>
  <c r="D82" i="49"/>
  <c r="F5" i="49"/>
  <c r="DI21" i="49"/>
  <c r="BM21" i="49"/>
  <c r="Q21" i="49"/>
  <c r="F119" i="7"/>
  <c r="FD21" i="49"/>
  <c r="AI138" i="49" s="1"/>
  <c r="EC21" i="49"/>
  <c r="DH21" i="49"/>
  <c r="Y138" i="49" s="1"/>
  <c r="DC21" i="49"/>
  <c r="V138" i="49" s="1"/>
  <c r="CG21" i="49"/>
  <c r="BL21" i="49"/>
  <c r="O138" i="49" s="1"/>
  <c r="BG21" i="49"/>
  <c r="L138" i="49" s="1"/>
  <c r="AK21" i="49"/>
  <c r="P21" i="49"/>
  <c r="E138" i="49" s="1"/>
  <c r="K21" i="49"/>
  <c r="B138" i="49" s="1"/>
  <c r="AO21" i="49"/>
  <c r="FA21" i="49"/>
  <c r="EF21" i="49"/>
  <c r="AD138" i="49" s="1"/>
  <c r="DE21" i="49"/>
  <c r="CJ21" i="49"/>
  <c r="T138" i="49" s="1"/>
  <c r="BI21" i="49"/>
  <c r="AN21" i="49"/>
  <c r="J138" i="49" s="1"/>
  <c r="AI21" i="49"/>
  <c r="G138" i="49" s="1"/>
  <c r="M21" i="49"/>
  <c r="H11" i="34"/>
  <c r="K11" i="26"/>
  <c r="H4" i="34"/>
  <c r="N4" i="34" s="1"/>
  <c r="K4" i="26"/>
  <c r="Q17" i="60"/>
  <c r="Q20" i="60" s="1"/>
  <c r="C52" i="47"/>
  <c r="C51" i="47"/>
  <c r="C53" i="47"/>
  <c r="J86" i="1"/>
  <c r="K86" i="1" s="1"/>
  <c r="H86" i="1"/>
  <c r="I86" i="1" s="1"/>
  <c r="E100" i="1" s="1"/>
  <c r="AX32" i="7"/>
  <c r="AR32" i="7"/>
  <c r="AN32" i="7"/>
  <c r="AV32" i="7"/>
  <c r="AQ32" i="7"/>
  <c r="AY32" i="7"/>
  <c r="AU32" i="7"/>
  <c r="BC32" i="7" s="1"/>
  <c r="AP32" i="7"/>
  <c r="CR4" i="7"/>
  <c r="DA4" i="7" s="1"/>
  <c r="DJ4" i="7" s="1"/>
  <c r="DS4" i="7" s="1"/>
  <c r="EB4" i="7" s="1"/>
  <c r="EK4" i="7" s="1"/>
  <c r="CE8" i="7"/>
  <c r="BV8" i="7"/>
  <c r="BH8" i="7"/>
  <c r="AY8" i="7"/>
  <c r="AP8" i="7"/>
  <c r="AK8" i="7"/>
  <c r="AK34" i="7" s="1"/>
  <c r="CD8" i="7"/>
  <c r="BP8" i="7"/>
  <c r="BG8" i="7"/>
  <c r="AX8" i="7"/>
  <c r="AS8" i="7"/>
  <c r="AJ8" i="7"/>
  <c r="AJ34" i="7" s="1"/>
  <c r="BX8" i="7"/>
  <c r="BO8" i="7"/>
  <c r="BF8" i="7"/>
  <c r="BA8" i="7"/>
  <c r="AR8" i="7"/>
  <c r="AI8" i="7"/>
  <c r="AI34" i="7" s="1"/>
  <c r="CF8" i="7"/>
  <c r="BW8" i="7"/>
  <c r="BN8" i="7"/>
  <c r="AZ8" i="7"/>
  <c r="AQ8" i="7"/>
  <c r="AH8" i="7"/>
  <c r="AH34" i="7" s="1"/>
  <c r="CE13" i="7"/>
  <c r="BV13" i="7"/>
  <c r="BH13" i="7"/>
  <c r="AY13" i="7"/>
  <c r="AP13" i="7"/>
  <c r="AK13" i="7"/>
  <c r="AK38" i="7" s="1"/>
  <c r="CD13" i="7"/>
  <c r="BP13" i="7"/>
  <c r="BG13" i="7"/>
  <c r="AX13" i="7"/>
  <c r="AS13" i="7"/>
  <c r="AJ13" i="7"/>
  <c r="AJ38" i="7" s="1"/>
  <c r="BX13" i="7"/>
  <c r="BO13" i="7"/>
  <c r="BF13" i="7"/>
  <c r="BA13" i="7"/>
  <c r="AR13" i="7"/>
  <c r="AI13" i="7"/>
  <c r="AI38" i="7" s="1"/>
  <c r="CF13" i="7"/>
  <c r="BW13" i="7"/>
  <c r="BN13" i="7"/>
  <c r="AZ13" i="7"/>
  <c r="AQ13" i="7"/>
  <c r="AH13" i="7"/>
  <c r="AH38" i="7" s="1"/>
  <c r="Z20" i="7"/>
  <c r="BX4" i="7"/>
  <c r="BO4" i="7"/>
  <c r="BF4" i="7"/>
  <c r="BA4" i="7"/>
  <c r="AR4" i="7"/>
  <c r="AI4" i="7"/>
  <c r="AI31" i="7" s="1"/>
  <c r="CF4" i="7"/>
  <c r="EQ4" i="7" s="1"/>
  <c r="BW4" i="7"/>
  <c r="BN4" i="7"/>
  <c r="AZ4" i="7"/>
  <c r="AQ4" i="7"/>
  <c r="AH4" i="7"/>
  <c r="AH31" i="7" s="1"/>
  <c r="CE4" i="7"/>
  <c r="EP4" i="7" s="1"/>
  <c r="BV4" i="7"/>
  <c r="BH4" i="7"/>
  <c r="AY4" i="7"/>
  <c r="AP4" i="7"/>
  <c r="AK4" i="7"/>
  <c r="AK31" i="7" s="1"/>
  <c r="CD4" i="7"/>
  <c r="BP4" i="7"/>
  <c r="BG4" i="7"/>
  <c r="AX4" i="7"/>
  <c r="AS4" i="7"/>
  <c r="AJ4" i="7"/>
  <c r="AJ31" i="7" s="1"/>
  <c r="BX19" i="7"/>
  <c r="BO19" i="7"/>
  <c r="BF19" i="7"/>
  <c r="BA19" i="7"/>
  <c r="AR19" i="7"/>
  <c r="AR42" i="7" s="1"/>
  <c r="AI19" i="7"/>
  <c r="AI42" i="7" s="1"/>
  <c r="CF19" i="7"/>
  <c r="BW19" i="7"/>
  <c r="BN19" i="7"/>
  <c r="AZ19" i="7"/>
  <c r="AZ42" i="7" s="1"/>
  <c r="AQ19" i="7"/>
  <c r="AQ42" i="7" s="1"/>
  <c r="AH19" i="7"/>
  <c r="AH42" i="7" s="1"/>
  <c r="CE19" i="7"/>
  <c r="BV19" i="7"/>
  <c r="BH19" i="7"/>
  <c r="AY19" i="7"/>
  <c r="AY42" i="7" s="1"/>
  <c r="AP19" i="7"/>
  <c r="AP42" i="7" s="1"/>
  <c r="AK19" i="7"/>
  <c r="AK42" i="7" s="1"/>
  <c r="CD19" i="7"/>
  <c r="BP19" i="7"/>
  <c r="BG19" i="7"/>
  <c r="AX19" i="7"/>
  <c r="AX42" i="7" s="1"/>
  <c r="AS19" i="7"/>
  <c r="AS42" i="7" s="1"/>
  <c r="AJ19" i="7"/>
  <c r="AJ42" i="7" s="1"/>
  <c r="Z22" i="7"/>
  <c r="N32" i="60"/>
  <c r="O32" i="60"/>
  <c r="G113" i="62"/>
  <c r="J113" i="62"/>
  <c r="E113" i="62"/>
  <c r="H113" i="62"/>
  <c r="D113" i="62"/>
  <c r="J77" i="1"/>
  <c r="K77" i="1" s="1"/>
  <c r="X81" i="49"/>
  <c r="CX4" i="49"/>
  <c r="P10" i="49"/>
  <c r="E127" i="49" s="1"/>
  <c r="BL10" i="49"/>
  <c r="O127" i="49" s="1"/>
  <c r="DH10" i="49"/>
  <c r="Y127" i="49" s="1"/>
  <c r="FD10" i="49"/>
  <c r="AI127" i="49" s="1"/>
  <c r="D127" i="49"/>
  <c r="N10" i="49"/>
  <c r="X127" i="49"/>
  <c r="DF10" i="49"/>
  <c r="L119" i="62"/>
  <c r="L115" i="62"/>
  <c r="J89" i="1"/>
  <c r="K89" i="1" s="1"/>
  <c r="H89" i="1"/>
  <c r="J79" i="1"/>
  <c r="K79" i="1" s="1"/>
  <c r="L79" i="1" s="1"/>
  <c r="H79" i="1"/>
  <c r="I79" i="1" s="1"/>
  <c r="E99" i="1" s="1"/>
  <c r="G117" i="62"/>
  <c r="J117" i="62"/>
  <c r="E117" i="62"/>
  <c r="H117" i="62"/>
  <c r="D117" i="62"/>
  <c r="E27" i="2"/>
  <c r="AA20" i="9" l="1"/>
  <c r="AC138" i="49"/>
  <c r="ED21" i="49"/>
  <c r="AY37" i="7"/>
  <c r="AU37" i="7"/>
  <c r="BC37" i="7" s="1"/>
  <c r="AP37" i="7"/>
  <c r="AX37" i="7"/>
  <c r="AS37" i="7"/>
  <c r="BA37" i="7"/>
  <c r="AR37" i="7"/>
  <c r="AN37" i="7"/>
  <c r="AZ37" i="7"/>
  <c r="AV37" i="7"/>
  <c r="AQ37" i="7"/>
  <c r="AB24" i="6"/>
  <c r="I90" i="6" s="1"/>
  <c r="K9" i="23" s="1"/>
  <c r="AB22" i="6"/>
  <c r="I88" i="6" s="1"/>
  <c r="K7" i="23" s="1"/>
  <c r="AB28" i="6"/>
  <c r="I94" i="6" s="1"/>
  <c r="K13" i="23" s="1"/>
  <c r="AB21" i="6"/>
  <c r="I87" i="6" s="1"/>
  <c r="K6" i="23" s="1"/>
  <c r="AB26" i="6"/>
  <c r="I92" i="6" s="1"/>
  <c r="K11" i="23" s="1"/>
  <c r="AB23" i="6"/>
  <c r="I89" i="6" s="1"/>
  <c r="K8" i="23" s="1"/>
  <c r="AB20" i="6"/>
  <c r="I86" i="6" s="1"/>
  <c r="K5" i="23" s="1"/>
  <c r="AB19" i="6"/>
  <c r="I85" i="6" s="1"/>
  <c r="K4" i="23" s="1"/>
  <c r="AB25" i="6"/>
  <c r="I91" i="6" s="1"/>
  <c r="K10" i="23" s="1"/>
  <c r="AB27" i="6"/>
  <c r="I93" i="6" s="1"/>
  <c r="K12" i="23" s="1"/>
  <c r="CR12" i="5"/>
  <c r="AD15" i="24"/>
  <c r="N96" i="6"/>
  <c r="Q72" i="6"/>
  <c r="Y24" i="23"/>
  <c r="AL24" i="23" s="1"/>
  <c r="AN24" i="23" s="1"/>
  <c r="AB9" i="9"/>
  <c r="Q101" i="6"/>
  <c r="G20" i="23"/>
  <c r="AN20" i="24" s="1"/>
  <c r="O24" i="9" s="1"/>
  <c r="U20" i="23"/>
  <c r="G30" i="23"/>
  <c r="AN30" i="24" s="1"/>
  <c r="O34" i="9" s="1"/>
  <c r="Q111" i="6"/>
  <c r="U30" i="23"/>
  <c r="BK42" i="7"/>
  <c r="BF42" i="7"/>
  <c r="BH42" i="7"/>
  <c r="BG42" i="7"/>
  <c r="D88" i="49"/>
  <c r="F11" i="49"/>
  <c r="L91" i="6"/>
  <c r="AB10" i="24"/>
  <c r="AD18" i="24"/>
  <c r="N99" i="6"/>
  <c r="U7" i="24"/>
  <c r="F11" i="9" s="1"/>
  <c r="P22" i="6"/>
  <c r="Q62" i="6"/>
  <c r="Y14" i="23"/>
  <c r="AL14" i="23" s="1"/>
  <c r="AN14" i="23" s="1"/>
  <c r="AB10" i="9"/>
  <c r="AB8" i="25"/>
  <c r="AC8" i="25" s="1"/>
  <c r="W4" i="25" s="1"/>
  <c r="Z9" i="25"/>
  <c r="AA8" i="25"/>
  <c r="S33" i="47"/>
  <c r="T33" i="47" s="1"/>
  <c r="J139" i="51"/>
  <c r="O142" i="51" s="1"/>
  <c r="F113" i="51"/>
  <c r="J78" i="51"/>
  <c r="O82" i="51" s="1"/>
  <c r="J188" i="51"/>
  <c r="J120" i="51"/>
  <c r="J20" i="51"/>
  <c r="J178" i="51"/>
  <c r="O182" i="51" s="1"/>
  <c r="F119" i="51"/>
  <c r="F19" i="51"/>
  <c r="J143" i="51"/>
  <c r="J88" i="51"/>
  <c r="J43" i="51"/>
  <c r="J39" i="51"/>
  <c r="O42" i="51" s="1"/>
  <c r="F13" i="51"/>
  <c r="L72" i="1"/>
  <c r="BA38" i="7"/>
  <c r="AR38" i="7"/>
  <c r="AN38" i="7"/>
  <c r="AZ38" i="7"/>
  <c r="AV38" i="7"/>
  <c r="AQ38" i="7"/>
  <c r="AY38" i="7"/>
  <c r="AU38" i="7"/>
  <c r="BC38" i="7" s="1"/>
  <c r="AP38" i="7"/>
  <c r="AX38" i="7"/>
  <c r="AS38" i="7"/>
  <c r="I90" i="49"/>
  <c r="AD13" i="49"/>
  <c r="AC90" i="49"/>
  <c r="DV13" i="49"/>
  <c r="J21" i="5"/>
  <c r="J14" i="5"/>
  <c r="J23" i="5"/>
  <c r="J15" i="5"/>
  <c r="J17" i="5"/>
  <c r="J20" i="5"/>
  <c r="J16" i="5"/>
  <c r="J22" i="5"/>
  <c r="J18" i="5"/>
  <c r="J19" i="5"/>
  <c r="CM4" i="7"/>
  <c r="K47" i="47"/>
  <c r="K50" i="47"/>
  <c r="K53" i="47"/>
  <c r="K41" i="47"/>
  <c r="K56" i="47"/>
  <c r="K44" i="47"/>
  <c r="AH138" i="49"/>
  <c r="FB21" i="49"/>
  <c r="S138" i="49"/>
  <c r="CH21" i="49"/>
  <c r="DE4" i="7"/>
  <c r="EO4" i="7"/>
  <c r="DO4" i="7"/>
  <c r="CT4" i="7"/>
  <c r="N91" i="49"/>
  <c r="BB14" i="49"/>
  <c r="AH91" i="49"/>
  <c r="ET14" i="49"/>
  <c r="DA24" i="49"/>
  <c r="BE24" i="49"/>
  <c r="I24" i="49"/>
  <c r="EV24" i="49"/>
  <c r="AI96" i="49" s="1"/>
  <c r="DU24" i="49"/>
  <c r="CZ24" i="49"/>
  <c r="Y96" i="49" s="1"/>
  <c r="CU24" i="49"/>
  <c r="V96" i="49" s="1"/>
  <c r="BY24" i="49"/>
  <c r="BD24" i="49"/>
  <c r="O96" i="49" s="1"/>
  <c r="AY24" i="49"/>
  <c r="L96" i="49" s="1"/>
  <c r="AC24" i="49"/>
  <c r="H24" i="49"/>
  <c r="E96" i="49" s="1"/>
  <c r="C24" i="49"/>
  <c r="B96" i="49" s="1"/>
  <c r="AG24" i="49"/>
  <c r="ES24" i="49"/>
  <c r="DX24" i="49"/>
  <c r="AD96" i="49" s="1"/>
  <c r="CW24" i="49"/>
  <c r="CB24" i="49"/>
  <c r="T96" i="49" s="1"/>
  <c r="BA24" i="49"/>
  <c r="AF24" i="49"/>
  <c r="J96" i="49" s="1"/>
  <c r="AA24" i="49"/>
  <c r="G96" i="49" s="1"/>
  <c r="E24" i="49"/>
  <c r="S93" i="49"/>
  <c r="BZ21" i="49"/>
  <c r="DA22" i="49"/>
  <c r="BE22" i="49"/>
  <c r="I22" i="49"/>
  <c r="EV22" i="49"/>
  <c r="AI94" i="49" s="1"/>
  <c r="DU22" i="49"/>
  <c r="CZ22" i="49"/>
  <c r="Y94" i="49" s="1"/>
  <c r="CU22" i="49"/>
  <c r="V94" i="49" s="1"/>
  <c r="BY22" i="49"/>
  <c r="BD22" i="49"/>
  <c r="O94" i="49" s="1"/>
  <c r="AY22" i="49"/>
  <c r="L94" i="49" s="1"/>
  <c r="AC22" i="49"/>
  <c r="H22" i="49"/>
  <c r="E94" i="49" s="1"/>
  <c r="C22" i="49"/>
  <c r="B94" i="49" s="1"/>
  <c r="AG22" i="49"/>
  <c r="ES22" i="49"/>
  <c r="DX22" i="49"/>
  <c r="AD94" i="49" s="1"/>
  <c r="CW22" i="49"/>
  <c r="CB22" i="49"/>
  <c r="T94" i="49" s="1"/>
  <c r="BA22" i="49"/>
  <c r="AF22" i="49"/>
  <c r="J94" i="49" s="1"/>
  <c r="AA22" i="49"/>
  <c r="G94" i="49" s="1"/>
  <c r="E22" i="49"/>
  <c r="AH93" i="49"/>
  <c r="ET21" i="49"/>
  <c r="Y28" i="23"/>
  <c r="AL28" i="23" s="1"/>
  <c r="AN28" i="23" s="1"/>
  <c r="Q76" i="6"/>
  <c r="W76" i="6"/>
  <c r="CY28" i="5"/>
  <c r="AC23" i="6"/>
  <c r="Z8" i="24" s="1"/>
  <c r="CX28" i="5"/>
  <c r="AC25" i="6"/>
  <c r="Z10" i="24" s="1"/>
  <c r="CW28" i="5"/>
  <c r="AC22" i="6"/>
  <c r="Z7" i="24" s="1"/>
  <c r="DA28" i="5"/>
  <c r="CV28" i="5"/>
  <c r="AC27" i="6"/>
  <c r="Z12" i="24" s="1"/>
  <c r="AC19" i="6"/>
  <c r="Z4" i="24" s="1"/>
  <c r="CZ28" i="5"/>
  <c r="CC34" i="5"/>
  <c r="AC24" i="6"/>
  <c r="Z9" i="24" s="1"/>
  <c r="CK34" i="5"/>
  <c r="CA34" i="5"/>
  <c r="CB40" i="5" s="1"/>
  <c r="CB46" i="5" s="1"/>
  <c r="AC26" i="6"/>
  <c r="Z11" i="24" s="1"/>
  <c r="CY16" i="5"/>
  <c r="CZ16" i="5" s="1"/>
  <c r="CH34" i="5"/>
  <c r="AC21" i="6"/>
  <c r="Z6" i="24" s="1"/>
  <c r="CJ34" i="5"/>
  <c r="CC40" i="5" s="1"/>
  <c r="CC46" i="5" s="1"/>
  <c r="AC28" i="6"/>
  <c r="Z13" i="24" s="1"/>
  <c r="DB16" i="5"/>
  <c r="DC16" i="5" s="1"/>
  <c r="CS16" i="5"/>
  <c r="CT16" i="5" s="1"/>
  <c r="CN34" i="5"/>
  <c r="CV16" i="5"/>
  <c r="CW16" i="5" s="1"/>
  <c r="CI34" i="5"/>
  <c r="CB42" i="5" s="1"/>
  <c r="CB48" i="5" s="1"/>
  <c r="AC20" i="6"/>
  <c r="Z5" i="24" s="1"/>
  <c r="Y17" i="23"/>
  <c r="AL17" i="23" s="1"/>
  <c r="AN17" i="23" s="1"/>
  <c r="Q65" i="6"/>
  <c r="G17" i="23"/>
  <c r="AN17" i="24" s="1"/>
  <c r="O21" i="9" s="1"/>
  <c r="U17" i="23"/>
  <c r="Q98" i="6"/>
  <c r="W20" i="23"/>
  <c r="AD20" i="23" s="1"/>
  <c r="S101" i="6"/>
  <c r="T101" i="6" s="1"/>
  <c r="T20" i="24"/>
  <c r="Q74" i="6"/>
  <c r="Y26" i="23"/>
  <c r="AL26" i="23" s="1"/>
  <c r="K5" i="34"/>
  <c r="Y121" i="63"/>
  <c r="V67" i="63"/>
  <c r="Y153" i="63"/>
  <c r="V70" i="63"/>
  <c r="C35" i="27"/>
  <c r="D34" i="27" s="1"/>
  <c r="D22" i="27"/>
  <c r="CK10" i="7"/>
  <c r="I88" i="49"/>
  <c r="AD11" i="49"/>
  <c r="AC88" i="49"/>
  <c r="DV11" i="49"/>
  <c r="DQ22" i="49"/>
  <c r="BU22" i="49"/>
  <c r="Y22" i="49"/>
  <c r="H120" i="7"/>
  <c r="FL22" i="49"/>
  <c r="AI193" i="49" s="1"/>
  <c r="EK22" i="49"/>
  <c r="DP22" i="49"/>
  <c r="Y193" i="49" s="1"/>
  <c r="DK22" i="49"/>
  <c r="V193" i="49" s="1"/>
  <c r="CO22" i="49"/>
  <c r="BT22" i="49"/>
  <c r="O193" i="49" s="1"/>
  <c r="BO22" i="49"/>
  <c r="L193" i="49" s="1"/>
  <c r="AS22" i="49"/>
  <c r="X22" i="49"/>
  <c r="E193" i="49" s="1"/>
  <c r="S22" i="49"/>
  <c r="B193" i="49" s="1"/>
  <c r="AW22" i="49"/>
  <c r="FI22" i="49"/>
  <c r="EN22" i="49"/>
  <c r="AD193" i="49" s="1"/>
  <c r="DM22" i="49"/>
  <c r="CR22" i="49"/>
  <c r="T193" i="49" s="1"/>
  <c r="BQ22" i="49"/>
  <c r="AV22" i="49"/>
  <c r="J193" i="49" s="1"/>
  <c r="AQ22" i="49"/>
  <c r="G193" i="49" s="1"/>
  <c r="U22" i="49"/>
  <c r="D192" i="49"/>
  <c r="V21" i="49"/>
  <c r="O24" i="60"/>
  <c r="S23" i="60" s="1"/>
  <c r="P24" i="60"/>
  <c r="S24" i="60" s="1"/>
  <c r="BH5" i="26"/>
  <c r="BX5" i="26"/>
  <c r="AG4" i="23"/>
  <c r="AI4" i="23" s="1"/>
  <c r="AW4" i="26" s="1"/>
  <c r="BD4" i="26" s="1"/>
  <c r="AM4" i="26"/>
  <c r="BG7" i="35"/>
  <c r="BG9" i="35"/>
  <c r="M28" i="9"/>
  <c r="AC28" i="9" s="1"/>
  <c r="BG6" i="35"/>
  <c r="BG11" i="35"/>
  <c r="BG4" i="35"/>
  <c r="BG13" i="35"/>
  <c r="BG10" i="35"/>
  <c r="BG8" i="35"/>
  <c r="BG12" i="35"/>
  <c r="BG5" i="35"/>
  <c r="AB8" i="24"/>
  <c r="L89" i="6"/>
  <c r="BF36" i="5"/>
  <c r="CS22" i="5"/>
  <c r="CS28" i="5" s="1"/>
  <c r="N101" i="6"/>
  <c r="AD20" i="24"/>
  <c r="AD22" i="24"/>
  <c r="N103" i="6"/>
  <c r="Q22" i="6"/>
  <c r="G32" i="23"/>
  <c r="AN32" i="24" s="1"/>
  <c r="O36" i="9" s="1"/>
  <c r="Q113" i="6"/>
  <c r="U32" i="23"/>
  <c r="U16" i="23"/>
  <c r="G16" i="23"/>
  <c r="AN16" i="24" s="1"/>
  <c r="O20" i="9" s="1"/>
  <c r="Q97" i="6"/>
  <c r="Q96" i="6"/>
  <c r="U15" i="23"/>
  <c r="G15" i="23"/>
  <c r="AN15" i="24" s="1"/>
  <c r="O19" i="9" s="1"/>
  <c r="S37" i="47"/>
  <c r="T37" i="47" s="1"/>
  <c r="S35" i="47"/>
  <c r="T35" i="47" s="1"/>
  <c r="CD26" i="7"/>
  <c r="EO14" i="7" s="1"/>
  <c r="BP26" i="7"/>
  <c r="DY14" i="7" s="1"/>
  <c r="BG26" i="7"/>
  <c r="DO14" i="7" s="1"/>
  <c r="AX26" i="7"/>
  <c r="DE14" i="7" s="1"/>
  <c r="AS26" i="7"/>
  <c r="CY14" i="7" s="1"/>
  <c r="AJ26" i="7"/>
  <c r="CO14" i="7" s="1"/>
  <c r="BX26" i="7"/>
  <c r="EH14" i="7" s="1"/>
  <c r="BO26" i="7"/>
  <c r="DX14" i="7" s="1"/>
  <c r="BF26" i="7"/>
  <c r="DN14" i="7" s="1"/>
  <c r="BA26" i="7"/>
  <c r="DH14" i="7" s="1"/>
  <c r="AR26" i="7"/>
  <c r="CX14" i="7" s="1"/>
  <c r="AI26" i="7"/>
  <c r="CN14" i="7" s="1"/>
  <c r="CF26" i="7"/>
  <c r="EQ14" i="7" s="1"/>
  <c r="BW26" i="7"/>
  <c r="EG14" i="7" s="1"/>
  <c r="BN26" i="7"/>
  <c r="DW14" i="7" s="1"/>
  <c r="AZ26" i="7"/>
  <c r="DG14" i="7" s="1"/>
  <c r="AQ26" i="7"/>
  <c r="CW14" i="7" s="1"/>
  <c r="AH26" i="7"/>
  <c r="CM14" i="7" s="1"/>
  <c r="CE26" i="7"/>
  <c r="EP14" i="7" s="1"/>
  <c r="BV26" i="7"/>
  <c r="EF14" i="7" s="1"/>
  <c r="BH26" i="7"/>
  <c r="DP14" i="7" s="1"/>
  <c r="AY26" i="7"/>
  <c r="DF14" i="7" s="1"/>
  <c r="AP26" i="7"/>
  <c r="CV14" i="7" s="1"/>
  <c r="AK26" i="7"/>
  <c r="CP14" i="7" s="1"/>
  <c r="N90" i="49"/>
  <c r="BB13" i="49"/>
  <c r="AH90" i="49"/>
  <c r="ET13" i="49"/>
  <c r="N87" i="49"/>
  <c r="BB10" i="49"/>
  <c r="AH87" i="49"/>
  <c r="ET10" i="49"/>
  <c r="CT22" i="5"/>
  <c r="CT28" i="5" s="1"/>
  <c r="CX10" i="5"/>
  <c r="N85" i="6"/>
  <c r="AD4" i="24"/>
  <c r="O23" i="6"/>
  <c r="Q23" i="6" s="1"/>
  <c r="O27" i="6"/>
  <c r="Q27" i="6" s="1"/>
  <c r="BC18" i="5"/>
  <c r="BG18" i="5" s="1"/>
  <c r="BC17" i="5"/>
  <c r="BG17" i="5" s="1"/>
  <c r="O25" i="6"/>
  <c r="N104" i="6"/>
  <c r="AD23" i="24"/>
  <c r="AP14" i="23"/>
  <c r="AY14" i="26" s="1"/>
  <c r="AO14" i="23"/>
  <c r="AO14" i="26"/>
  <c r="Y19" i="23"/>
  <c r="AL19" i="23" s="1"/>
  <c r="AN19" i="23" s="1"/>
  <c r="Q67" i="6"/>
  <c r="G23" i="23"/>
  <c r="AN23" i="24" s="1"/>
  <c r="O27" i="9" s="1"/>
  <c r="U23" i="23"/>
  <c r="Q104" i="6"/>
  <c r="Q75" i="6"/>
  <c r="Y27" i="23"/>
  <c r="AL27" i="23" s="1"/>
  <c r="AN27" i="23" s="1"/>
  <c r="W75" i="6"/>
  <c r="Q81" i="6"/>
  <c r="Y33" i="23"/>
  <c r="AL33" i="23" s="1"/>
  <c r="AN33" i="23" s="1"/>
  <c r="AI5" i="25"/>
  <c r="AG6" i="25"/>
  <c r="AF6" i="25"/>
  <c r="S69" i="47"/>
  <c r="T69" i="47" s="1"/>
  <c r="S59" i="47"/>
  <c r="T59" i="47" s="1"/>
  <c r="S135" i="47"/>
  <c r="T135" i="47" s="1"/>
  <c r="S40" i="47"/>
  <c r="T40" i="47" s="1"/>
  <c r="I217" i="63"/>
  <c r="T71" i="63"/>
  <c r="I79" i="63"/>
  <c r="T63" i="63"/>
  <c r="Y73" i="63"/>
  <c r="V62" i="63"/>
  <c r="D128" i="49"/>
  <c r="N11" i="49"/>
  <c r="X128" i="49"/>
  <c r="DF11" i="49"/>
  <c r="BX23" i="7"/>
  <c r="BO23" i="7"/>
  <c r="BF23" i="7"/>
  <c r="BA23" i="7"/>
  <c r="AR23" i="7"/>
  <c r="AI23" i="7"/>
  <c r="CF23" i="7"/>
  <c r="BW23" i="7"/>
  <c r="BN23" i="7"/>
  <c r="AZ23" i="7"/>
  <c r="AQ23" i="7"/>
  <c r="AH23" i="7"/>
  <c r="CE23" i="7"/>
  <c r="BV23" i="7"/>
  <c r="BH23" i="7"/>
  <c r="AY23" i="7"/>
  <c r="AP23" i="7"/>
  <c r="AK23" i="7"/>
  <c r="CD23" i="7"/>
  <c r="BP23" i="7"/>
  <c r="BG23" i="7"/>
  <c r="AX23" i="7"/>
  <c r="AS23" i="7"/>
  <c r="AJ23" i="7"/>
  <c r="CD24" i="7"/>
  <c r="EO11" i="7" s="1"/>
  <c r="BP24" i="7"/>
  <c r="DY11" i="7" s="1"/>
  <c r="BG24" i="7"/>
  <c r="DO11" i="7" s="1"/>
  <c r="AX24" i="7"/>
  <c r="DE11" i="7" s="1"/>
  <c r="AS24" i="7"/>
  <c r="CY11" i="7" s="1"/>
  <c r="AJ24" i="7"/>
  <c r="CO11" i="7" s="1"/>
  <c r="BX24" i="7"/>
  <c r="EH11" i="7" s="1"/>
  <c r="BO24" i="7"/>
  <c r="DX11" i="7" s="1"/>
  <c r="BF24" i="7"/>
  <c r="DN11" i="7" s="1"/>
  <c r="BA24" i="7"/>
  <c r="DH11" i="7" s="1"/>
  <c r="AR24" i="7"/>
  <c r="CX11" i="7" s="1"/>
  <c r="AI24" i="7"/>
  <c r="CN11" i="7" s="1"/>
  <c r="CF24" i="7"/>
  <c r="EQ11" i="7" s="1"/>
  <c r="BW24" i="7"/>
  <c r="EG11" i="7" s="1"/>
  <c r="BN24" i="7"/>
  <c r="DW11" i="7" s="1"/>
  <c r="AZ24" i="7"/>
  <c r="DG11" i="7" s="1"/>
  <c r="AQ24" i="7"/>
  <c r="CW11" i="7" s="1"/>
  <c r="AH24" i="7"/>
  <c r="CM11" i="7" s="1"/>
  <c r="CE24" i="7"/>
  <c r="EP11" i="7" s="1"/>
  <c r="BV24" i="7"/>
  <c r="EF11" i="7" s="1"/>
  <c r="BH24" i="7"/>
  <c r="DP11" i="7" s="1"/>
  <c r="AY24" i="7"/>
  <c r="DF11" i="7" s="1"/>
  <c r="AP24" i="7"/>
  <c r="CV11" i="7" s="1"/>
  <c r="AK24" i="7"/>
  <c r="CP11" i="7" s="1"/>
  <c r="BA17" i="7"/>
  <c r="BA40" i="7" s="1"/>
  <c r="AS17" i="7"/>
  <c r="AS40" i="7" s="1"/>
  <c r="AK17" i="7"/>
  <c r="AK40" i="7" s="1"/>
  <c r="AJ5" i="7"/>
  <c r="AJ32" i="7" s="1"/>
  <c r="AZ34" i="7"/>
  <c r="AV34" i="7"/>
  <c r="AQ34" i="7"/>
  <c r="AY34" i="7"/>
  <c r="AU34" i="7"/>
  <c r="BC34" i="7" s="1"/>
  <c r="AP34" i="7"/>
  <c r="AX34" i="7"/>
  <c r="AS34" i="7"/>
  <c r="BA34" i="7"/>
  <c r="AR34" i="7"/>
  <c r="AN34" i="7"/>
  <c r="N92" i="49"/>
  <c r="BB15" i="49"/>
  <c r="AH92" i="49"/>
  <c r="ET15" i="49"/>
  <c r="I89" i="49"/>
  <c r="AD12" i="49"/>
  <c r="AC89" i="49"/>
  <c r="DV12" i="49"/>
  <c r="BD34" i="5"/>
  <c r="CR11" i="5"/>
  <c r="CD34" i="5"/>
  <c r="CA40" i="5" s="1"/>
  <c r="CA46" i="5" s="1"/>
  <c r="BF35" i="5"/>
  <c r="CB34" i="5"/>
  <c r="AO22" i="26"/>
  <c r="T13" i="24"/>
  <c r="W13" i="23"/>
  <c r="AD13" i="23" s="1"/>
  <c r="S94" i="6"/>
  <c r="T94" i="6" s="1"/>
  <c r="BC30" i="26"/>
  <c r="BC21" i="26"/>
  <c r="S64" i="47"/>
  <c r="T64" i="47" s="1"/>
  <c r="S86" i="47"/>
  <c r="T86" i="47" s="1"/>
  <c r="S66" i="47"/>
  <c r="T66" i="47" s="1"/>
  <c r="S90" i="47"/>
  <c r="T90" i="47" s="1"/>
  <c r="T148" i="51"/>
  <c r="S148" i="51"/>
  <c r="Y88" i="63"/>
  <c r="V64" i="63"/>
  <c r="R47" i="30"/>
  <c r="I91" i="63"/>
  <c r="T64" i="63"/>
  <c r="AJ7" i="7"/>
  <c r="CO4" i="7" s="1"/>
  <c r="AO10" i="24"/>
  <c r="P14" i="9" s="1"/>
  <c r="G14" i="9"/>
  <c r="AG27" i="23"/>
  <c r="AI27" i="23" s="1"/>
  <c r="AW27" i="26" s="1"/>
  <c r="BD27" i="26" s="1"/>
  <c r="AM27" i="26"/>
  <c r="BB5" i="26"/>
  <c r="BC5" i="26"/>
  <c r="BC22" i="26"/>
  <c r="BC31" i="26"/>
  <c r="Y6" i="23"/>
  <c r="AL6" i="23" s="1"/>
  <c r="Q54" i="6"/>
  <c r="W54" i="6"/>
  <c r="W67" i="6"/>
  <c r="BP27" i="7"/>
  <c r="Q52" i="6"/>
  <c r="Y4" i="23"/>
  <c r="AL4" i="23" s="1"/>
  <c r="AN4" i="23" s="1"/>
  <c r="W81" i="6"/>
  <c r="AG18" i="23"/>
  <c r="AI18" i="23" s="1"/>
  <c r="AW18" i="26" s="1"/>
  <c r="BD18" i="26" s="1"/>
  <c r="AM18" i="26"/>
  <c r="BC25" i="26"/>
  <c r="BT4" i="26"/>
  <c r="BB16" i="26"/>
  <c r="Q59" i="6"/>
  <c r="Y11" i="23"/>
  <c r="AL11" i="23" s="1"/>
  <c r="BB11" i="26"/>
  <c r="BB31" i="26"/>
  <c r="BB18" i="26"/>
  <c r="AO13" i="26"/>
  <c r="BC29" i="26"/>
  <c r="BC24" i="26"/>
  <c r="AG16" i="23"/>
  <c r="AI16" i="23"/>
  <c r="AW16" i="26" s="1"/>
  <c r="AM16" i="26"/>
  <c r="BC32" i="26"/>
  <c r="K55" i="47"/>
  <c r="K43" i="47"/>
  <c r="K58" i="47"/>
  <c r="K46" i="47"/>
  <c r="K49" i="47"/>
  <c r="K52" i="47"/>
  <c r="FD36" i="49"/>
  <c r="AI153" i="49" s="1"/>
  <c r="EC36" i="49"/>
  <c r="DH36" i="49"/>
  <c r="Y153" i="49" s="1"/>
  <c r="DC36" i="49"/>
  <c r="V153" i="49" s="1"/>
  <c r="CG36" i="49"/>
  <c r="BL36" i="49"/>
  <c r="O153" i="49" s="1"/>
  <c r="BG36" i="49"/>
  <c r="L153" i="49" s="1"/>
  <c r="AK36" i="49"/>
  <c r="P36" i="49"/>
  <c r="E153" i="49" s="1"/>
  <c r="K36" i="49"/>
  <c r="B153" i="49" s="1"/>
  <c r="AO36" i="49"/>
  <c r="FA36" i="49"/>
  <c r="EF36" i="49"/>
  <c r="AD153" i="49" s="1"/>
  <c r="DE36" i="49"/>
  <c r="CJ36" i="49"/>
  <c r="T153" i="49" s="1"/>
  <c r="BI36" i="49"/>
  <c r="AN36" i="49"/>
  <c r="J153" i="49" s="1"/>
  <c r="AI36" i="49"/>
  <c r="G153" i="49" s="1"/>
  <c r="M36" i="49"/>
  <c r="DI36" i="49"/>
  <c r="BM36" i="49"/>
  <c r="Q36" i="49"/>
  <c r="F134" i="7"/>
  <c r="S90" i="6"/>
  <c r="T90" i="6" s="1"/>
  <c r="T9" i="24"/>
  <c r="W9" i="23"/>
  <c r="AD9" i="23" s="1"/>
  <c r="AO33" i="23"/>
  <c r="AP33" i="23"/>
  <c r="AY33" i="26" s="1"/>
  <c r="BG32" i="7"/>
  <c r="BK32" i="7"/>
  <c r="BF32" i="7"/>
  <c r="BH32" i="7"/>
  <c r="I138" i="49"/>
  <c r="AL21" i="49"/>
  <c r="DN4" i="7"/>
  <c r="CW4" i="7"/>
  <c r="DX4" i="7"/>
  <c r="CX4" i="7"/>
  <c r="DP4" i="7"/>
  <c r="EH4" i="7"/>
  <c r="CS13" i="7"/>
  <c r="CN13" i="7"/>
  <c r="CM13" i="7"/>
  <c r="CP13" i="7"/>
  <c r="CO13" i="7"/>
  <c r="CK13" i="7"/>
  <c r="S91" i="49"/>
  <c r="BZ14" i="49"/>
  <c r="I93" i="49"/>
  <c r="AD21" i="49"/>
  <c r="X93" i="49"/>
  <c r="CX21" i="49"/>
  <c r="AO23" i="26"/>
  <c r="G26" i="23"/>
  <c r="AN26" i="24" s="1"/>
  <c r="O30" i="9" s="1"/>
  <c r="Q107" i="6"/>
  <c r="U26" i="23"/>
  <c r="AO7" i="26"/>
  <c r="T133" i="51"/>
  <c r="S133" i="51"/>
  <c r="I198" i="63"/>
  <c r="T70" i="63"/>
  <c r="I121" i="63"/>
  <c r="T66" i="63"/>
  <c r="D33" i="27"/>
  <c r="C23" i="41"/>
  <c r="BX15" i="7"/>
  <c r="EH7" i="7" s="1"/>
  <c r="BO15" i="7"/>
  <c r="DX7" i="7" s="1"/>
  <c r="BF15" i="7"/>
  <c r="DN7" i="7" s="1"/>
  <c r="BA15" i="7"/>
  <c r="DH7" i="7" s="1"/>
  <c r="AR15" i="7"/>
  <c r="CX7" i="7" s="1"/>
  <c r="AI15" i="7"/>
  <c r="CN7" i="7" s="1"/>
  <c r="CF15" i="7"/>
  <c r="EQ7" i="7" s="1"/>
  <c r="BW15" i="7"/>
  <c r="EG7" i="7" s="1"/>
  <c r="BN15" i="7"/>
  <c r="DW7" i="7" s="1"/>
  <c r="AZ15" i="7"/>
  <c r="DG7" i="7" s="1"/>
  <c r="AQ15" i="7"/>
  <c r="CW7" i="7" s="1"/>
  <c r="AH15" i="7"/>
  <c r="CM7" i="7" s="1"/>
  <c r="CE15" i="7"/>
  <c r="EP7" i="7" s="1"/>
  <c r="BV15" i="7"/>
  <c r="EF7" i="7" s="1"/>
  <c r="BH15" i="7"/>
  <c r="DP7" i="7" s="1"/>
  <c r="AY15" i="7"/>
  <c r="DF7" i="7" s="1"/>
  <c r="AP15" i="7"/>
  <c r="CV7" i="7" s="1"/>
  <c r="AK15" i="7"/>
  <c r="CP7" i="7" s="1"/>
  <c r="CD15" i="7"/>
  <c r="EO7" i="7" s="1"/>
  <c r="BP15" i="7"/>
  <c r="DY7" i="7" s="1"/>
  <c r="BG15" i="7"/>
  <c r="DO7" i="7" s="1"/>
  <c r="AX15" i="7"/>
  <c r="DE7" i="7" s="1"/>
  <c r="AS15" i="7"/>
  <c r="CY7" i="7" s="1"/>
  <c r="AJ15" i="7"/>
  <c r="CO7" i="7" s="1"/>
  <c r="CD16" i="7"/>
  <c r="EO6" i="7" s="1"/>
  <c r="BP16" i="7"/>
  <c r="DY6" i="7" s="1"/>
  <c r="BG16" i="7"/>
  <c r="DO6" i="7" s="1"/>
  <c r="AX16" i="7"/>
  <c r="DE6" i="7" s="1"/>
  <c r="AS16" i="7"/>
  <c r="AJ16" i="7"/>
  <c r="CO6" i="7" s="1"/>
  <c r="BX16" i="7"/>
  <c r="EH6" i="7" s="1"/>
  <c r="BO16" i="7"/>
  <c r="DX6" i="7" s="1"/>
  <c r="BF16" i="7"/>
  <c r="DN6" i="7" s="1"/>
  <c r="BA16" i="7"/>
  <c r="DH6" i="7" s="1"/>
  <c r="AR16" i="7"/>
  <c r="CX6" i="7" s="1"/>
  <c r="AI16" i="7"/>
  <c r="CN6" i="7" s="1"/>
  <c r="CF16" i="7"/>
  <c r="EQ6" i="7" s="1"/>
  <c r="BW16" i="7"/>
  <c r="EG6" i="7" s="1"/>
  <c r="BN16" i="7"/>
  <c r="DW6" i="7" s="1"/>
  <c r="AZ16" i="7"/>
  <c r="DG6" i="7" s="1"/>
  <c r="AQ16" i="7"/>
  <c r="CW6" i="7" s="1"/>
  <c r="AH16" i="7"/>
  <c r="CM6" i="7" s="1"/>
  <c r="CE16" i="7"/>
  <c r="EP6" i="7" s="1"/>
  <c r="BV16" i="7"/>
  <c r="EF6" i="7" s="1"/>
  <c r="BH16" i="7"/>
  <c r="DP6" i="7" s="1"/>
  <c r="AY16" i="7"/>
  <c r="DF6" i="7" s="1"/>
  <c r="AP16" i="7"/>
  <c r="CV6" i="7" s="1"/>
  <c r="AK16" i="7"/>
  <c r="CK7" i="7"/>
  <c r="N88" i="49"/>
  <c r="BB11" i="49"/>
  <c r="AH88" i="49"/>
  <c r="ET11" i="49"/>
  <c r="CS9" i="7"/>
  <c r="CK9" i="7"/>
  <c r="AC192" i="49"/>
  <c r="EL21" i="49"/>
  <c r="AH192" i="49"/>
  <c r="FJ21" i="49"/>
  <c r="AB19" i="9"/>
  <c r="BV6" i="26"/>
  <c r="BU6" i="26"/>
  <c r="BT6" i="26"/>
  <c r="BL6" i="26"/>
  <c r="BH6" i="26"/>
  <c r="BK6" i="26"/>
  <c r="L86" i="6"/>
  <c r="AB5" i="24"/>
  <c r="L93" i="6"/>
  <c r="AB12" i="24"/>
  <c r="BD36" i="5"/>
  <c r="S113" i="6"/>
  <c r="T113" i="6" s="1"/>
  <c r="T32" i="24"/>
  <c r="W32" i="23"/>
  <c r="AD32" i="23" s="1"/>
  <c r="BF39" i="5"/>
  <c r="AD16" i="24"/>
  <c r="N97" i="6"/>
  <c r="Q64" i="6"/>
  <c r="W64" i="6"/>
  <c r="Y16" i="23"/>
  <c r="AL16" i="23" s="1"/>
  <c r="AN16" i="23" s="1"/>
  <c r="AG22" i="35"/>
  <c r="AG21" i="35"/>
  <c r="M11" i="9"/>
  <c r="W55" i="6"/>
  <c r="Y7" i="23"/>
  <c r="AL7" i="23" s="1"/>
  <c r="Q55" i="6"/>
  <c r="S39" i="47"/>
  <c r="T39" i="47" s="1"/>
  <c r="CE21" i="7"/>
  <c r="BV21" i="7"/>
  <c r="BH21" i="7"/>
  <c r="AY21" i="7"/>
  <c r="AP21" i="7"/>
  <c r="AK21" i="7"/>
  <c r="CD21" i="7"/>
  <c r="BP21" i="7"/>
  <c r="BG21" i="7"/>
  <c r="AX21" i="7"/>
  <c r="AS21" i="7"/>
  <c r="AJ21" i="7"/>
  <c r="BX21" i="7"/>
  <c r="BO21" i="7"/>
  <c r="BF21" i="7"/>
  <c r="BA21" i="7"/>
  <c r="AR21" i="7"/>
  <c r="AI21" i="7"/>
  <c r="CF21" i="7"/>
  <c r="BW21" i="7"/>
  <c r="BN21" i="7"/>
  <c r="AZ21" i="7"/>
  <c r="AQ21" i="7"/>
  <c r="AH21" i="7"/>
  <c r="BK40" i="7"/>
  <c r="BF40" i="7"/>
  <c r="BH40" i="7"/>
  <c r="BG40" i="7"/>
  <c r="S90" i="49"/>
  <c r="BZ13" i="49"/>
  <c r="S87" i="49"/>
  <c r="BZ10" i="49"/>
  <c r="CF34" i="5"/>
  <c r="CA42" i="5" s="1"/>
  <c r="CA48" i="5" s="1"/>
  <c r="AD10" i="24"/>
  <c r="N91" i="6"/>
  <c r="BE37" i="5"/>
  <c r="BR4" i="5"/>
  <c r="BO4" i="5"/>
  <c r="BP4" i="5" s="1"/>
  <c r="BO5" i="5"/>
  <c r="BP5" i="5" s="1"/>
  <c r="BR5" i="5"/>
  <c r="BC19" i="5"/>
  <c r="BG19" i="5" s="1"/>
  <c r="BC20" i="5"/>
  <c r="BG20" i="5" s="1"/>
  <c r="W8" i="23"/>
  <c r="AD8" i="23" s="1"/>
  <c r="T8" i="24"/>
  <c r="S89" i="6"/>
  <c r="T89" i="6" s="1"/>
  <c r="AD17" i="24"/>
  <c r="N98" i="6"/>
  <c r="AM16" i="23"/>
  <c r="AX16" i="26" s="1"/>
  <c r="AN16" i="26"/>
  <c r="CY10" i="5"/>
  <c r="BB25" i="26"/>
  <c r="AO20" i="26"/>
  <c r="CM34" i="5"/>
  <c r="CD40" i="5" s="1"/>
  <c r="CD46" i="5" s="1"/>
  <c r="Q69" i="6"/>
  <c r="Y21" i="23"/>
  <c r="AL21" i="23" s="1"/>
  <c r="AN21" i="23" s="1"/>
  <c r="W69" i="6"/>
  <c r="Q71" i="6"/>
  <c r="W71" i="6"/>
  <c r="Y23" i="23"/>
  <c r="AL23" i="23" s="1"/>
  <c r="AN23" i="23" s="1"/>
  <c r="AP23" i="23" s="1"/>
  <c r="AY23" i="26" s="1"/>
  <c r="BE23" i="26" s="1"/>
  <c r="Q77" i="6"/>
  <c r="Y29" i="23"/>
  <c r="AL29" i="23" s="1"/>
  <c r="AN29" i="23" s="1"/>
  <c r="W77" i="6"/>
  <c r="AG5" i="23"/>
  <c r="AI5" i="23" s="1"/>
  <c r="AW5" i="26" s="1"/>
  <c r="BD5" i="26" s="1"/>
  <c r="AM5" i="26"/>
  <c r="W19" i="23"/>
  <c r="AD19" i="23" s="1"/>
  <c r="T19" i="24"/>
  <c r="S100" i="6"/>
  <c r="T100" i="6" s="1"/>
  <c r="S61" i="47"/>
  <c r="T61" i="47" s="1"/>
  <c r="S75" i="47"/>
  <c r="T75" i="47" s="1"/>
  <c r="S30" i="47"/>
  <c r="T30" i="47" s="1"/>
  <c r="S32" i="47"/>
  <c r="T32" i="47" s="1"/>
  <c r="AY39" i="7"/>
  <c r="AU39" i="7"/>
  <c r="BC39" i="7" s="1"/>
  <c r="AP39" i="7"/>
  <c r="AX39" i="7"/>
  <c r="AS39" i="7"/>
  <c r="BA39" i="7"/>
  <c r="AR39" i="7"/>
  <c r="AN39" i="7"/>
  <c r="AZ39" i="7"/>
  <c r="AV39" i="7"/>
  <c r="AQ39" i="7"/>
  <c r="I128" i="49"/>
  <c r="AL11" i="49"/>
  <c r="AC128" i="49"/>
  <c r="ED11" i="49"/>
  <c r="AZ10" i="7"/>
  <c r="AZ36" i="7" s="1"/>
  <c r="AZ5" i="7"/>
  <c r="AZ32" i="7" s="1"/>
  <c r="BP5" i="7"/>
  <c r="S92" i="49"/>
  <c r="BZ15" i="49"/>
  <c r="N89" i="49"/>
  <c r="BB12" i="49"/>
  <c r="AH89" i="49"/>
  <c r="ET12" i="49"/>
  <c r="BE34" i="5"/>
  <c r="CV11" i="5"/>
  <c r="CY5" i="5"/>
  <c r="CL35" i="5" s="1"/>
  <c r="CL34" i="5"/>
  <c r="CC42" i="5" s="1"/>
  <c r="CC48" i="5" s="1"/>
  <c r="P28" i="6"/>
  <c r="U13" i="24"/>
  <c r="F17" i="9" s="1"/>
  <c r="AN26" i="23"/>
  <c r="BC8" i="26"/>
  <c r="AT27" i="35"/>
  <c r="M24" i="9"/>
  <c r="AC24" i="9" s="1"/>
  <c r="AT26" i="35"/>
  <c r="AT28" i="35"/>
  <c r="AT13" i="35"/>
  <c r="AT11" i="35"/>
  <c r="M19" i="9"/>
  <c r="AC19" i="9" s="1"/>
  <c r="AT15" i="35"/>
  <c r="AT12" i="35"/>
  <c r="AT14" i="35"/>
  <c r="AT16" i="35"/>
  <c r="AN7" i="23"/>
  <c r="AO7" i="23" s="1"/>
  <c r="AA29" i="9"/>
  <c r="T8" i="25"/>
  <c r="K8" i="25"/>
  <c r="S62" i="47"/>
  <c r="T62" i="47" s="1"/>
  <c r="S68" i="47"/>
  <c r="T68" i="47" s="1"/>
  <c r="S88" i="47"/>
  <c r="T88" i="47" s="1"/>
  <c r="S70" i="47"/>
  <c r="T70" i="47" s="1"/>
  <c r="S92" i="47"/>
  <c r="T92" i="47" s="1"/>
  <c r="R112" i="32"/>
  <c r="P113" i="32"/>
  <c r="T135" i="51"/>
  <c r="S135" i="51"/>
  <c r="AZ7" i="7"/>
  <c r="DG4" i="7" s="1"/>
  <c r="BP7" i="7"/>
  <c r="DY4" i="7" s="1"/>
  <c r="Y12" i="23"/>
  <c r="AL12" i="23" s="1"/>
  <c r="AN12" i="23" s="1"/>
  <c r="W60" i="6"/>
  <c r="Q60" i="6"/>
  <c r="BA27" i="7"/>
  <c r="AS27" i="7"/>
  <c r="AK27" i="7"/>
  <c r="W72" i="6"/>
  <c r="AN11" i="23"/>
  <c r="AO7" i="24"/>
  <c r="P11" i="9" s="1"/>
  <c r="G11" i="9"/>
  <c r="BB23" i="26"/>
  <c r="BB33" i="26"/>
  <c r="I91" i="49"/>
  <c r="AD14" i="49"/>
  <c r="AC93" i="49"/>
  <c r="DV21" i="49"/>
  <c r="D93" i="49"/>
  <c r="F21" i="49"/>
  <c r="AO15" i="26"/>
  <c r="G22" i="23"/>
  <c r="AN22" i="24" s="1"/>
  <c r="O26" i="9" s="1"/>
  <c r="Q103" i="6"/>
  <c r="U22" i="23"/>
  <c r="I178" i="63"/>
  <c r="T69" i="63"/>
  <c r="CD20" i="7"/>
  <c r="EO10" i="7" s="1"/>
  <c r="BP20" i="7"/>
  <c r="DY10" i="7" s="1"/>
  <c r="BG20" i="7"/>
  <c r="DO10" i="7" s="1"/>
  <c r="AX20" i="7"/>
  <c r="DE10" i="7" s="1"/>
  <c r="AS20" i="7"/>
  <c r="CY10" i="7" s="1"/>
  <c r="AJ20" i="7"/>
  <c r="CO10" i="7" s="1"/>
  <c r="BX20" i="7"/>
  <c r="EH10" i="7" s="1"/>
  <c r="BO20" i="7"/>
  <c r="DX10" i="7" s="1"/>
  <c r="BF20" i="7"/>
  <c r="DN10" i="7" s="1"/>
  <c r="BA20" i="7"/>
  <c r="DH10" i="7" s="1"/>
  <c r="AR20" i="7"/>
  <c r="CX10" i="7" s="1"/>
  <c r="AI20" i="7"/>
  <c r="CN10" i="7" s="1"/>
  <c r="CF20" i="7"/>
  <c r="EQ10" i="7" s="1"/>
  <c r="BW20" i="7"/>
  <c r="EG10" i="7" s="1"/>
  <c r="BN20" i="7"/>
  <c r="DW10" i="7" s="1"/>
  <c r="AZ20" i="7"/>
  <c r="DG10" i="7" s="1"/>
  <c r="AQ20" i="7"/>
  <c r="CW10" i="7" s="1"/>
  <c r="AH20" i="7"/>
  <c r="CM10" i="7" s="1"/>
  <c r="CE20" i="7"/>
  <c r="EP10" i="7" s="1"/>
  <c r="BV20" i="7"/>
  <c r="EF10" i="7" s="1"/>
  <c r="BH20" i="7"/>
  <c r="DP10" i="7" s="1"/>
  <c r="AY20" i="7"/>
  <c r="DF10" i="7" s="1"/>
  <c r="AP20" i="7"/>
  <c r="CV10" i="7" s="1"/>
  <c r="AK20" i="7"/>
  <c r="CP10" i="7" s="1"/>
  <c r="J30" i="5"/>
  <c r="J27" i="5"/>
  <c r="J24" i="5"/>
  <c r="J29" i="5"/>
  <c r="J32" i="5"/>
  <c r="J26" i="5"/>
  <c r="J31" i="5"/>
  <c r="J33" i="5"/>
  <c r="J28" i="5"/>
  <c r="J25" i="5"/>
  <c r="K51" i="47"/>
  <c r="K54" i="47"/>
  <c r="K42" i="47"/>
  <c r="K57" i="47"/>
  <c r="K45" i="47"/>
  <c r="K48" i="47"/>
  <c r="X138" i="49"/>
  <c r="DF21" i="49"/>
  <c r="ES28" i="49"/>
  <c r="DX28" i="49"/>
  <c r="AD100" i="49" s="1"/>
  <c r="CW28" i="49"/>
  <c r="CB28" i="49"/>
  <c r="T100" i="49" s="1"/>
  <c r="BA28" i="49"/>
  <c r="AF28" i="49"/>
  <c r="J100" i="49" s="1"/>
  <c r="AA28" i="49"/>
  <c r="G100" i="49" s="1"/>
  <c r="E28" i="49"/>
  <c r="DA28" i="49"/>
  <c r="BE28" i="49"/>
  <c r="I28" i="49"/>
  <c r="EV28" i="49"/>
  <c r="AI100" i="49" s="1"/>
  <c r="DU28" i="49"/>
  <c r="CZ28" i="49"/>
  <c r="Y100" i="49" s="1"/>
  <c r="CU28" i="49"/>
  <c r="V100" i="49" s="1"/>
  <c r="BY28" i="49"/>
  <c r="BD28" i="49"/>
  <c r="O100" i="49" s="1"/>
  <c r="AY28" i="49"/>
  <c r="L100" i="49" s="1"/>
  <c r="AC28" i="49"/>
  <c r="H28" i="49"/>
  <c r="E100" i="49" s="1"/>
  <c r="C28" i="49"/>
  <c r="B100" i="49" s="1"/>
  <c r="AG28" i="49"/>
  <c r="ES26" i="49"/>
  <c r="DX26" i="49"/>
  <c r="AD98" i="49" s="1"/>
  <c r="CW26" i="49"/>
  <c r="CB26" i="49"/>
  <c r="T98" i="49" s="1"/>
  <c r="DA26" i="49"/>
  <c r="BE26" i="49"/>
  <c r="EV26" i="49"/>
  <c r="AI98" i="49" s="1"/>
  <c r="DU26" i="49"/>
  <c r="CZ26" i="49"/>
  <c r="Y98" i="49" s="1"/>
  <c r="CU26" i="49"/>
  <c r="V98" i="49" s="1"/>
  <c r="BY26" i="49"/>
  <c r="I26" i="49"/>
  <c r="BD26" i="49"/>
  <c r="O98" i="49" s="1"/>
  <c r="AY26" i="49"/>
  <c r="L98" i="49" s="1"/>
  <c r="AC26" i="49"/>
  <c r="H26" i="49"/>
  <c r="E98" i="49" s="1"/>
  <c r="C26" i="49"/>
  <c r="B98" i="49" s="1"/>
  <c r="AG26" i="49"/>
  <c r="BA26" i="49"/>
  <c r="AF26" i="49"/>
  <c r="J98" i="49" s="1"/>
  <c r="AA26" i="49"/>
  <c r="G98" i="49" s="1"/>
  <c r="E26" i="49"/>
  <c r="AG25" i="49"/>
  <c r="ES25" i="49"/>
  <c r="DX25" i="49"/>
  <c r="AD97" i="49" s="1"/>
  <c r="CW25" i="49"/>
  <c r="CB25" i="49"/>
  <c r="T97" i="49" s="1"/>
  <c r="BA25" i="49"/>
  <c r="AF25" i="49"/>
  <c r="J97" i="49" s="1"/>
  <c r="AA25" i="49"/>
  <c r="G97" i="49" s="1"/>
  <c r="E25" i="49"/>
  <c r="DA25" i="49"/>
  <c r="BE25" i="49"/>
  <c r="I25" i="49"/>
  <c r="EV25" i="49"/>
  <c r="AI97" i="49" s="1"/>
  <c r="DU25" i="49"/>
  <c r="CZ25" i="49"/>
  <c r="Y97" i="49" s="1"/>
  <c r="CU25" i="49"/>
  <c r="V97" i="49" s="1"/>
  <c r="BY25" i="49"/>
  <c r="BD25" i="49"/>
  <c r="O97" i="49" s="1"/>
  <c r="AY25" i="49"/>
  <c r="L97" i="49" s="1"/>
  <c r="AC25" i="49"/>
  <c r="H25" i="49"/>
  <c r="E97" i="49" s="1"/>
  <c r="C25" i="49"/>
  <c r="B97" i="49" s="1"/>
  <c r="AP19" i="23"/>
  <c r="AY19" i="26" s="1"/>
  <c r="BE19" i="26" s="1"/>
  <c r="AO19" i="23"/>
  <c r="AO19" i="26"/>
  <c r="Q70" i="6"/>
  <c r="Y22" i="23"/>
  <c r="AL22" i="23" s="1"/>
  <c r="AN22" i="23" s="1"/>
  <c r="AO22" i="23" s="1"/>
  <c r="W70" i="6"/>
  <c r="W26" i="23"/>
  <c r="AD26" i="23" s="1"/>
  <c r="T26" i="24"/>
  <c r="S107" i="6"/>
  <c r="T107" i="6" s="1"/>
  <c r="AO25" i="26"/>
  <c r="M6" i="34"/>
  <c r="J7" i="34" s="1"/>
  <c r="L6" i="34"/>
  <c r="CF22" i="7"/>
  <c r="BW22" i="7"/>
  <c r="BN22" i="7"/>
  <c r="AZ22" i="7"/>
  <c r="AQ22" i="7"/>
  <c r="AH22" i="7"/>
  <c r="CM9" i="7" s="1"/>
  <c r="CE22" i="7"/>
  <c r="BV22" i="7"/>
  <c r="BH22" i="7"/>
  <c r="AY22" i="7"/>
  <c r="AP22" i="7"/>
  <c r="AK22" i="7"/>
  <c r="CP9" i="7" s="1"/>
  <c r="CD22" i="7"/>
  <c r="BP22" i="7"/>
  <c r="BG22" i="7"/>
  <c r="AX22" i="7"/>
  <c r="AS22" i="7"/>
  <c r="AJ22" i="7"/>
  <c r="CO9" i="7" s="1"/>
  <c r="BX22" i="7"/>
  <c r="BO22" i="7"/>
  <c r="BF22" i="7"/>
  <c r="BA22" i="7"/>
  <c r="AR22" i="7"/>
  <c r="AI22" i="7"/>
  <c r="CN9" i="7" s="1"/>
  <c r="L86" i="1"/>
  <c r="M31" i="60"/>
  <c r="M25" i="60"/>
  <c r="N25" i="60" s="1"/>
  <c r="N138" i="49"/>
  <c r="BJ21" i="49"/>
  <c r="AO22" i="49"/>
  <c r="FA22" i="49"/>
  <c r="EF22" i="49"/>
  <c r="AD139" i="49" s="1"/>
  <c r="DE22" i="49"/>
  <c r="CJ22" i="49"/>
  <c r="T139" i="49" s="1"/>
  <c r="BI22" i="49"/>
  <c r="AN22" i="49"/>
  <c r="J139" i="49" s="1"/>
  <c r="AI22" i="49"/>
  <c r="G139" i="49" s="1"/>
  <c r="M22" i="49"/>
  <c r="F120" i="7"/>
  <c r="DI22" i="49"/>
  <c r="BM22" i="49"/>
  <c r="Q22" i="49"/>
  <c r="FD22" i="49"/>
  <c r="AI139" i="49" s="1"/>
  <c r="EC22" i="49"/>
  <c r="DH22" i="49"/>
  <c r="Y139" i="49" s="1"/>
  <c r="DC22" i="49"/>
  <c r="V139" i="49" s="1"/>
  <c r="CG22" i="49"/>
  <c r="BL22" i="49"/>
  <c r="O139" i="49" s="1"/>
  <c r="BG22" i="49"/>
  <c r="L139" i="49" s="1"/>
  <c r="AK22" i="49"/>
  <c r="P22" i="49"/>
  <c r="E139" i="49" s="1"/>
  <c r="K22" i="49"/>
  <c r="B139" i="49" s="1"/>
  <c r="DW4" i="7"/>
  <c r="EG4" i="7"/>
  <c r="DC4" i="7"/>
  <c r="D91" i="49"/>
  <c r="F14" i="49"/>
  <c r="X91" i="49"/>
  <c r="CX14" i="49"/>
  <c r="FI36" i="49"/>
  <c r="EN36" i="49"/>
  <c r="AD207" i="49" s="1"/>
  <c r="DM36" i="49"/>
  <c r="CR36" i="49"/>
  <c r="T207" i="49" s="1"/>
  <c r="BQ36" i="49"/>
  <c r="AV36" i="49"/>
  <c r="J207" i="49" s="1"/>
  <c r="AQ36" i="49"/>
  <c r="G207" i="49" s="1"/>
  <c r="U36" i="49"/>
  <c r="DQ36" i="49"/>
  <c r="BU36" i="49"/>
  <c r="Y36" i="49"/>
  <c r="FL36" i="49"/>
  <c r="AI207" i="49" s="1"/>
  <c r="EK36" i="49"/>
  <c r="DP36" i="49"/>
  <c r="Y207" i="49" s="1"/>
  <c r="DK36" i="49"/>
  <c r="V207" i="49" s="1"/>
  <c r="CO36" i="49"/>
  <c r="BT36" i="49"/>
  <c r="O207" i="49" s="1"/>
  <c r="BO36" i="49"/>
  <c r="L207" i="49" s="1"/>
  <c r="AS36" i="49"/>
  <c r="X36" i="49"/>
  <c r="E207" i="49" s="1"/>
  <c r="S36" i="49"/>
  <c r="B207" i="49" s="1"/>
  <c r="AW36" i="49"/>
  <c r="H134" i="7"/>
  <c r="AG23" i="49"/>
  <c r="ES23" i="49"/>
  <c r="DX23" i="49"/>
  <c r="AD95" i="49" s="1"/>
  <c r="CW23" i="49"/>
  <c r="CB23" i="49"/>
  <c r="T95" i="49" s="1"/>
  <c r="BA23" i="49"/>
  <c r="AF23" i="49"/>
  <c r="J95" i="49" s="1"/>
  <c r="AA23" i="49"/>
  <c r="G95" i="49" s="1"/>
  <c r="E23" i="49"/>
  <c r="DA23" i="49"/>
  <c r="BE23" i="49"/>
  <c r="I23" i="49"/>
  <c r="EV23" i="49"/>
  <c r="AI95" i="49" s="1"/>
  <c r="DU23" i="49"/>
  <c r="CZ23" i="49"/>
  <c r="Y95" i="49" s="1"/>
  <c r="CU23" i="49"/>
  <c r="V95" i="49" s="1"/>
  <c r="BY23" i="49"/>
  <c r="BD23" i="49"/>
  <c r="O95" i="49" s="1"/>
  <c r="AY23" i="49"/>
  <c r="L95" i="49" s="1"/>
  <c r="AC23" i="49"/>
  <c r="H23" i="49"/>
  <c r="E95" i="49" s="1"/>
  <c r="C23" i="49"/>
  <c r="B95" i="49" s="1"/>
  <c r="ES36" i="49"/>
  <c r="DX36" i="49"/>
  <c r="AD102" i="49" s="1"/>
  <c r="CW36" i="49"/>
  <c r="CB36" i="49"/>
  <c r="T102" i="49" s="1"/>
  <c r="BA36" i="49"/>
  <c r="AF36" i="49"/>
  <c r="J102" i="49" s="1"/>
  <c r="AA36" i="49"/>
  <c r="G102" i="49" s="1"/>
  <c r="E36" i="49"/>
  <c r="DA36" i="49"/>
  <c r="BE36" i="49"/>
  <c r="I36" i="49"/>
  <c r="EV36" i="49"/>
  <c r="AI102" i="49" s="1"/>
  <c r="DU36" i="49"/>
  <c r="CZ36" i="49"/>
  <c r="Y102" i="49" s="1"/>
  <c r="CU36" i="49"/>
  <c r="V102" i="49" s="1"/>
  <c r="BY36" i="49"/>
  <c r="BD36" i="49"/>
  <c r="O102" i="49" s="1"/>
  <c r="AY36" i="49"/>
  <c r="L102" i="49" s="1"/>
  <c r="AC36" i="49"/>
  <c r="H36" i="49"/>
  <c r="E102" i="49" s="1"/>
  <c r="C36" i="49"/>
  <c r="B102" i="49" s="1"/>
  <c r="AG36" i="49"/>
  <c r="H151" i="7"/>
  <c r="D140" i="7"/>
  <c r="D136" i="7"/>
  <c r="F151" i="7"/>
  <c r="D141" i="7"/>
  <c r="D137" i="7"/>
  <c r="D151" i="7"/>
  <c r="D142" i="7"/>
  <c r="D138" i="7"/>
  <c r="D134" i="7"/>
  <c r="D143" i="7"/>
  <c r="D139" i="7"/>
  <c r="D135" i="7"/>
  <c r="N93" i="49"/>
  <c r="BB21" i="49"/>
  <c r="EV29" i="49"/>
  <c r="AI101" i="49" s="1"/>
  <c r="DU29" i="49"/>
  <c r="CZ29" i="49"/>
  <c r="Y101" i="49" s="1"/>
  <c r="CU29" i="49"/>
  <c r="V101" i="49" s="1"/>
  <c r="BY29" i="49"/>
  <c r="BD29" i="49"/>
  <c r="O101" i="49" s="1"/>
  <c r="AY29" i="49"/>
  <c r="L101" i="49" s="1"/>
  <c r="AC29" i="49"/>
  <c r="H29" i="49"/>
  <c r="E101" i="49" s="1"/>
  <c r="C29" i="49"/>
  <c r="B101" i="49" s="1"/>
  <c r="AG29" i="49"/>
  <c r="ES29" i="49"/>
  <c r="DX29" i="49"/>
  <c r="AD101" i="49" s="1"/>
  <c r="CW29" i="49"/>
  <c r="CB29" i="49"/>
  <c r="T101" i="49" s="1"/>
  <c r="BA29" i="49"/>
  <c r="AF29" i="49"/>
  <c r="J101" i="49" s="1"/>
  <c r="AA29" i="49"/>
  <c r="G101" i="49" s="1"/>
  <c r="E29" i="49"/>
  <c r="DA29" i="49"/>
  <c r="BE29" i="49"/>
  <c r="I29" i="49"/>
  <c r="AD11" i="24"/>
  <c r="N92" i="6"/>
  <c r="AP28" i="23"/>
  <c r="AY28" i="26" s="1"/>
  <c r="BE28" i="26" s="1"/>
  <c r="AO28" i="23"/>
  <c r="AO28" i="26"/>
  <c r="AT22" i="35"/>
  <c r="M21" i="9"/>
  <c r="AC21" i="9" s="1"/>
  <c r="AT21" i="35"/>
  <c r="BN30" i="5"/>
  <c r="BN29" i="5"/>
  <c r="AK27" i="5"/>
  <c r="AJ26" i="5"/>
  <c r="BN20" i="5"/>
  <c r="M42" i="6"/>
  <c r="M41" i="6"/>
  <c r="AI26" i="5"/>
  <c r="BN19" i="5"/>
  <c r="M45" i="6"/>
  <c r="AJ27" i="5"/>
  <c r="M39" i="6"/>
  <c r="AI27" i="5"/>
  <c r="BN10" i="5"/>
  <c r="BE40" i="5"/>
  <c r="BN9" i="5"/>
  <c r="M43" i="6"/>
  <c r="M47" i="6"/>
  <c r="AK26" i="5"/>
  <c r="BF38" i="5"/>
  <c r="BE38" i="5"/>
  <c r="BF40" i="5"/>
  <c r="M46" i="6"/>
  <c r="BD38" i="5"/>
  <c r="M40" i="6"/>
  <c r="M48" i="6"/>
  <c r="BD40" i="5"/>
  <c r="M44" i="6"/>
  <c r="Q89" i="6"/>
  <c r="AJ8" i="23"/>
  <c r="U8" i="23"/>
  <c r="G8" i="23"/>
  <c r="AN8" i="24" s="1"/>
  <c r="O12" i="9" s="1"/>
  <c r="AO30" i="26"/>
  <c r="G24" i="23"/>
  <c r="AN24" i="24" s="1"/>
  <c r="O28" i="9" s="1"/>
  <c r="Q105" i="6"/>
  <c r="U24" i="23"/>
  <c r="BG20" i="35"/>
  <c r="M30" i="9"/>
  <c r="AC30" i="9" s="1"/>
  <c r="BG19" i="35"/>
  <c r="AP32" i="23"/>
  <c r="AY32" i="26" s="1"/>
  <c r="BE32" i="26" s="1"/>
  <c r="AO32" i="23"/>
  <c r="AO32" i="26"/>
  <c r="AP26" i="23"/>
  <c r="AY26" i="26" s="1"/>
  <c r="AO26" i="23"/>
  <c r="AO26" i="26"/>
  <c r="AO31" i="26"/>
  <c r="AA8" i="9"/>
  <c r="Q68" i="6"/>
  <c r="Y20" i="23"/>
  <c r="AL20" i="23" s="1"/>
  <c r="AN20" i="23" s="1"/>
  <c r="AO20" i="23" s="1"/>
  <c r="Q78" i="6"/>
  <c r="Y30" i="23"/>
  <c r="AL30" i="23" s="1"/>
  <c r="AN30" i="23" s="1"/>
  <c r="AO18" i="26"/>
  <c r="AO29" i="23"/>
  <c r="AP29" i="23"/>
  <c r="AY29" i="26" s="1"/>
  <c r="AO29" i="26"/>
  <c r="N5" i="34"/>
  <c r="Y163" i="63"/>
  <c r="V71" i="63"/>
  <c r="K200" i="41"/>
  <c r="I201" i="41"/>
  <c r="Y79" i="63"/>
  <c r="V63" i="63"/>
  <c r="BK33" i="7"/>
  <c r="BF33" i="7"/>
  <c r="BH33" i="7"/>
  <c r="BG33" i="7"/>
  <c r="BK36" i="7"/>
  <c r="BF36" i="7"/>
  <c r="BH36" i="7"/>
  <c r="BG36" i="7"/>
  <c r="CK4" i="7"/>
  <c r="S88" i="49"/>
  <c r="BZ11" i="49"/>
  <c r="S192" i="49"/>
  <c r="CP21" i="49"/>
  <c r="X192" i="49"/>
  <c r="DN21" i="49"/>
  <c r="T79" i="6"/>
  <c r="AO33" i="26"/>
  <c r="AB4" i="24"/>
  <c r="L85" i="6"/>
  <c r="BG34" i="35"/>
  <c r="BG35" i="35"/>
  <c r="BG37" i="35"/>
  <c r="M36" i="9"/>
  <c r="AC36" i="9" s="1"/>
  <c r="BG36" i="35"/>
  <c r="U5" i="24"/>
  <c r="F9" i="9" s="1"/>
  <c r="P20" i="6"/>
  <c r="R20" i="6" s="1"/>
  <c r="AG21" i="23"/>
  <c r="AI21" i="23" s="1"/>
  <c r="AW21" i="26" s="1"/>
  <c r="BD21" i="26" s="1"/>
  <c r="AM21" i="26"/>
  <c r="CW10" i="5"/>
  <c r="BD39" i="5"/>
  <c r="AD14" i="24"/>
  <c r="N95" i="6"/>
  <c r="U6" i="24"/>
  <c r="F10" i="9" s="1"/>
  <c r="P21" i="6"/>
  <c r="R21" i="6" s="1"/>
  <c r="BC17" i="26"/>
  <c r="CO34" i="5"/>
  <c r="CD42" i="5" s="1"/>
  <c r="CD48" i="5" s="1"/>
  <c r="Q66" i="6"/>
  <c r="Y18" i="23"/>
  <c r="AL18" i="23" s="1"/>
  <c r="AN18" i="23" s="1"/>
  <c r="AO18" i="23" s="1"/>
  <c r="U7" i="23"/>
  <c r="G7" i="23"/>
  <c r="AN7" i="24" s="1"/>
  <c r="O11" i="9" s="1"/>
  <c r="Q88" i="6"/>
  <c r="S29" i="47"/>
  <c r="T29" i="47" s="1"/>
  <c r="S71" i="47"/>
  <c r="T71" i="47" s="1"/>
  <c r="C62" i="47"/>
  <c r="W83" i="32"/>
  <c r="Y83" i="32" s="1"/>
  <c r="W81" i="32"/>
  <c r="Y81" i="32" s="1"/>
  <c r="W82" i="32"/>
  <c r="Y82" i="32" s="1"/>
  <c r="W84" i="32"/>
  <c r="Y84" i="32" s="1"/>
  <c r="CE11" i="7"/>
  <c r="BV11" i="7"/>
  <c r="BH11" i="7"/>
  <c r="AY11" i="7"/>
  <c r="AP11" i="7"/>
  <c r="AK11" i="7"/>
  <c r="CD11" i="7"/>
  <c r="BP11" i="7"/>
  <c r="BG11" i="7"/>
  <c r="AX11" i="7"/>
  <c r="AS11" i="7"/>
  <c r="AJ11" i="7"/>
  <c r="BX11" i="7"/>
  <c r="BO11" i="7"/>
  <c r="BF11" i="7"/>
  <c r="BA11" i="7"/>
  <c r="AR11" i="7"/>
  <c r="AI11" i="7"/>
  <c r="CF11" i="7"/>
  <c r="BW11" i="7"/>
  <c r="BN11" i="7"/>
  <c r="AZ11" i="7"/>
  <c r="AQ11" i="7"/>
  <c r="AH11" i="7"/>
  <c r="AS6" i="7"/>
  <c r="AS33" i="7" s="1"/>
  <c r="AK6" i="7"/>
  <c r="AK33" i="7" s="1"/>
  <c r="I72" i="1"/>
  <c r="E98" i="1" s="1"/>
  <c r="DC6" i="7"/>
  <c r="D90" i="49"/>
  <c r="F13" i="49"/>
  <c r="X90" i="49"/>
  <c r="CX13" i="49"/>
  <c r="F21" i="62"/>
  <c r="C28" i="62"/>
  <c r="F22" i="62"/>
  <c r="CT14" i="7"/>
  <c r="D87" i="49"/>
  <c r="F10" i="49"/>
  <c r="X87" i="49"/>
  <c r="CX10" i="49"/>
  <c r="W5" i="26"/>
  <c r="S5" i="26"/>
  <c r="T6" i="26"/>
  <c r="U6" i="26" s="1"/>
  <c r="V5" i="26"/>
  <c r="Y5" i="26"/>
  <c r="N93" i="6"/>
  <c r="AD12" i="24"/>
  <c r="W28" i="23"/>
  <c r="AD28" i="23" s="1"/>
  <c r="S109" i="6"/>
  <c r="T109" i="6" s="1"/>
  <c r="T28" i="24"/>
  <c r="BD37" i="5"/>
  <c r="BC16" i="5"/>
  <c r="BG16" i="5" s="1"/>
  <c r="BC14" i="5"/>
  <c r="BG14" i="5" s="1"/>
  <c r="BC15" i="5"/>
  <c r="BG15" i="5" s="1"/>
  <c r="BS4" i="5"/>
  <c r="BS15" i="5"/>
  <c r="BS14" i="5"/>
  <c r="BS5" i="5"/>
  <c r="BR14" i="5"/>
  <c r="BO14" i="5"/>
  <c r="BP14" i="5" s="1"/>
  <c r="BR15" i="5"/>
  <c r="BO15" i="5"/>
  <c r="BP15" i="5" s="1"/>
  <c r="BO24" i="5"/>
  <c r="AM8" i="23"/>
  <c r="AN8" i="26"/>
  <c r="AD21" i="24"/>
  <c r="N102" i="6"/>
  <c r="M34" i="9"/>
  <c r="AC34" i="9" s="1"/>
  <c r="BG27" i="35"/>
  <c r="BG29" i="35"/>
  <c r="BG26" i="35"/>
  <c r="BG28" i="35"/>
  <c r="CU22" i="5"/>
  <c r="CU28" i="5" s="1"/>
  <c r="AP27" i="23"/>
  <c r="AY27" i="26" s="1"/>
  <c r="AO27" i="23"/>
  <c r="AO27" i="26"/>
  <c r="Q73" i="6"/>
  <c r="Y25" i="23"/>
  <c r="AL25" i="23" s="1"/>
  <c r="AN25" i="23" s="1"/>
  <c r="AP25" i="23" s="1"/>
  <c r="AY25" i="26" s="1"/>
  <c r="BE25" i="26" s="1"/>
  <c r="Q112" i="6"/>
  <c r="G31" i="23"/>
  <c r="AN31" i="24" s="1"/>
  <c r="O35" i="9" s="1"/>
  <c r="U31" i="23"/>
  <c r="D16" i="32"/>
  <c r="E15" i="32"/>
  <c r="F15" i="32" s="1"/>
  <c r="S63" i="47"/>
  <c r="T63" i="47" s="1"/>
  <c r="S73" i="47"/>
  <c r="T73" i="47" s="1"/>
  <c r="S34" i="47"/>
  <c r="T34" i="47" s="1"/>
  <c r="S36" i="47"/>
  <c r="T36" i="47" s="1"/>
  <c r="T46" i="51"/>
  <c r="S46" i="51"/>
  <c r="V6" i="55"/>
  <c r="V3" i="55"/>
  <c r="V2" i="55"/>
  <c r="R3" i="55"/>
  <c r="R4" i="55" s="1"/>
  <c r="V5" i="55"/>
  <c r="V4" i="55"/>
  <c r="I160" i="63"/>
  <c r="T68" i="63"/>
  <c r="I106" i="63"/>
  <c r="T65" i="63"/>
  <c r="Y142" i="63"/>
  <c r="V69" i="63"/>
  <c r="N128" i="49"/>
  <c r="BJ11" i="49"/>
  <c r="AH128" i="49"/>
  <c r="FB11" i="49"/>
  <c r="BP10" i="7"/>
  <c r="BA10" i="7"/>
  <c r="BA36" i="7" s="1"/>
  <c r="AZ9" i="7"/>
  <c r="BP9" i="7"/>
  <c r="BA5" i="7"/>
  <c r="BA32" i="7" s="1"/>
  <c r="AS5" i="7"/>
  <c r="AS32" i="7" s="1"/>
  <c r="AK5" i="7"/>
  <c r="AK32" i="7" s="1"/>
  <c r="D92" i="49"/>
  <c r="F15" i="49"/>
  <c r="X92" i="49"/>
  <c r="CX15" i="49"/>
  <c r="AY41" i="7"/>
  <c r="AU41" i="7"/>
  <c r="BC41" i="7" s="1"/>
  <c r="AP41" i="7"/>
  <c r="AX41" i="7"/>
  <c r="AS41" i="7"/>
  <c r="BA41" i="7"/>
  <c r="AR41" i="7"/>
  <c r="AN41" i="7"/>
  <c r="AZ41" i="7"/>
  <c r="AV41" i="7"/>
  <c r="AQ41" i="7"/>
  <c r="CS8" i="7"/>
  <c r="CN8" i="7"/>
  <c r="CM8" i="7"/>
  <c r="CP8" i="7"/>
  <c r="CO8" i="7"/>
  <c r="CK8" i="7"/>
  <c r="S89" i="49"/>
  <c r="BZ12" i="49"/>
  <c r="CP15" i="7"/>
  <c r="CO15" i="7"/>
  <c r="CK15" i="7"/>
  <c r="CS15" i="7"/>
  <c r="CN15" i="7"/>
  <c r="CM15" i="7"/>
  <c r="BF34" i="5"/>
  <c r="CE34" i="5"/>
  <c r="CA41" i="5" s="1"/>
  <c r="CA47" i="5" s="1"/>
  <c r="AJ9" i="23"/>
  <c r="G9" i="23"/>
  <c r="AN9" i="24" s="1"/>
  <c r="O13" i="9" s="1"/>
  <c r="AC13" i="9" s="1"/>
  <c r="U9" i="23"/>
  <c r="R57" i="6"/>
  <c r="T57" i="6" s="1"/>
  <c r="P57" i="6"/>
  <c r="Q90" i="6"/>
  <c r="BE35" i="5"/>
  <c r="AA27" i="6"/>
  <c r="AA19" i="6"/>
  <c r="AA23" i="6"/>
  <c r="AA25" i="6"/>
  <c r="AA26" i="6"/>
  <c r="AA24" i="6"/>
  <c r="AA22" i="6"/>
  <c r="AA28" i="6"/>
  <c r="AA21" i="6"/>
  <c r="AA20" i="6"/>
  <c r="P56" i="6"/>
  <c r="Q28" i="6"/>
  <c r="AO10" i="26"/>
  <c r="AB28" i="9"/>
  <c r="AO5" i="24"/>
  <c r="P9" i="9" s="1"/>
  <c r="G9" i="9"/>
  <c r="T7" i="25"/>
  <c r="S74" i="47"/>
  <c r="T74" i="47" s="1"/>
  <c r="S72" i="47"/>
  <c r="T72" i="47" s="1"/>
  <c r="S60" i="47"/>
  <c r="T60" i="47" s="1"/>
  <c r="S76" i="47"/>
  <c r="T76" i="47" s="1"/>
  <c r="S94" i="47"/>
  <c r="T94" i="47" s="1"/>
  <c r="W69" i="51"/>
  <c r="C55" i="47"/>
  <c r="I73" i="63"/>
  <c r="T62" i="63"/>
  <c r="Y133" i="63"/>
  <c r="V68" i="63"/>
  <c r="I142" i="63"/>
  <c r="T67" i="63"/>
  <c r="Y100" i="63"/>
  <c r="V65" i="63"/>
  <c r="BA7" i="7"/>
  <c r="DH4" i="7" s="1"/>
  <c r="AS7" i="7"/>
  <c r="CY4" i="7" s="1"/>
  <c r="AK7" i="7"/>
  <c r="CP4" i="7" s="1"/>
  <c r="AI10" i="23"/>
  <c r="AW10" i="26" s="1"/>
  <c r="BD10" i="26" s="1"/>
  <c r="AG10" i="23"/>
  <c r="AM10" i="26"/>
  <c r="W65" i="6"/>
  <c r="I106" i="62"/>
  <c r="L106" i="62" s="1"/>
  <c r="I104" i="62"/>
  <c r="I102" i="62"/>
  <c r="L102" i="62" s="1"/>
  <c r="I100" i="62"/>
  <c r="I98" i="62"/>
  <c r="L98" i="62" s="1"/>
  <c r="I96" i="62"/>
  <c r="L96" i="62" s="1"/>
  <c r="I94" i="62"/>
  <c r="L94" i="62" s="1"/>
  <c r="I92" i="62"/>
  <c r="I90" i="62"/>
  <c r="L90" i="62" s="1"/>
  <c r="I88" i="62"/>
  <c r="L88" i="62" s="1"/>
  <c r="I86" i="62"/>
  <c r="L86" i="62" s="1"/>
  <c r="I84" i="62"/>
  <c r="I83" i="62"/>
  <c r="L83" i="62" s="1"/>
  <c r="I105" i="62"/>
  <c r="I103" i="62"/>
  <c r="I101" i="62"/>
  <c r="I99" i="62"/>
  <c r="I97" i="62"/>
  <c r="L97" i="62" s="1"/>
  <c r="I95" i="62"/>
  <c r="L95" i="62" s="1"/>
  <c r="I93" i="62"/>
  <c r="L93" i="62" s="1"/>
  <c r="I91" i="62"/>
  <c r="L91" i="62" s="1"/>
  <c r="I89" i="62"/>
  <c r="L89" i="62" s="1"/>
  <c r="I87" i="62"/>
  <c r="L87" i="62" s="1"/>
  <c r="I85" i="62"/>
  <c r="L85" i="62" s="1"/>
  <c r="AO18" i="24"/>
  <c r="P22" i="9" s="1"/>
  <c r="G22" i="9"/>
  <c r="BU4" i="26"/>
  <c r="BC33" i="26"/>
  <c r="AO11" i="23"/>
  <c r="AP11" i="23"/>
  <c r="AY11" i="26" s="1"/>
  <c r="AO11" i="26"/>
  <c r="R56" i="6"/>
  <c r="T56" i="6" s="1"/>
  <c r="AI7" i="23"/>
  <c r="AW7" i="26" s="1"/>
  <c r="AG7" i="23"/>
  <c r="AM7" i="26"/>
  <c r="L103" i="62"/>
  <c r="L104" i="62"/>
  <c r="AO16" i="24"/>
  <c r="P20" i="9" s="1"/>
  <c r="G20" i="9"/>
  <c r="AO12" i="23"/>
  <c r="AP12" i="23"/>
  <c r="AY12" i="26" s="1"/>
  <c r="AO12" i="26"/>
  <c r="W68" i="6"/>
  <c r="Q114" i="32"/>
  <c r="O115" i="32"/>
  <c r="D138" i="49"/>
  <c r="N21" i="49"/>
  <c r="AC91" i="49"/>
  <c r="DV14" i="49"/>
  <c r="EV27" i="49"/>
  <c r="AI99" i="49" s="1"/>
  <c r="DU27" i="49"/>
  <c r="CZ27" i="49"/>
  <c r="Y99" i="49" s="1"/>
  <c r="CU27" i="49"/>
  <c r="V99" i="49" s="1"/>
  <c r="BY27" i="49"/>
  <c r="BD27" i="49"/>
  <c r="O99" i="49" s="1"/>
  <c r="AY27" i="49"/>
  <c r="L99" i="49" s="1"/>
  <c r="AC27" i="49"/>
  <c r="H27" i="49"/>
  <c r="E99" i="49" s="1"/>
  <c r="C27" i="49"/>
  <c r="B99" i="49" s="1"/>
  <c r="AG27" i="49"/>
  <c r="ES27" i="49"/>
  <c r="DX27" i="49"/>
  <c r="AD99" i="49" s="1"/>
  <c r="CW27" i="49"/>
  <c r="CB27" i="49"/>
  <c r="T99" i="49" s="1"/>
  <c r="BA27" i="49"/>
  <c r="AF27" i="49"/>
  <c r="J99" i="49" s="1"/>
  <c r="AA27" i="49"/>
  <c r="G99" i="49" s="1"/>
  <c r="E27" i="49"/>
  <c r="DA27" i="49"/>
  <c r="BE27" i="49"/>
  <c r="I27" i="49"/>
  <c r="CY6" i="5"/>
  <c r="CL36" i="5" s="1"/>
  <c r="CV12" i="5"/>
  <c r="W30" i="23"/>
  <c r="AD30" i="23" s="1"/>
  <c r="S111" i="6"/>
  <c r="T111" i="6" s="1"/>
  <c r="T30" i="24"/>
  <c r="AY35" i="7"/>
  <c r="AU35" i="7"/>
  <c r="BC35" i="7" s="1"/>
  <c r="AP35" i="7"/>
  <c r="AX35" i="7"/>
  <c r="AS35" i="7"/>
  <c r="BA35" i="7"/>
  <c r="AR35" i="7"/>
  <c r="AN35" i="7"/>
  <c r="AZ35" i="7"/>
  <c r="AV35" i="7"/>
  <c r="AQ35" i="7"/>
  <c r="AY31" i="7"/>
  <c r="AU31" i="7"/>
  <c r="BC31" i="7" s="1"/>
  <c r="AP31" i="7"/>
  <c r="AX31" i="7"/>
  <c r="AS31" i="7"/>
  <c r="BA31" i="7"/>
  <c r="AR31" i="7"/>
  <c r="AN31" i="7"/>
  <c r="AZ31" i="7"/>
  <c r="AV31" i="7"/>
  <c r="AQ31" i="7"/>
  <c r="X88" i="49"/>
  <c r="CX11" i="49"/>
  <c r="CS5" i="7"/>
  <c r="CN5" i="7"/>
  <c r="CM5" i="7"/>
  <c r="CP5" i="7"/>
  <c r="CO5" i="7"/>
  <c r="CK5" i="7"/>
  <c r="I192" i="49"/>
  <c r="AT21" i="49"/>
  <c r="N192" i="49"/>
  <c r="BR21" i="49"/>
  <c r="CO36" i="5"/>
  <c r="Q63" i="6"/>
  <c r="Y15" i="23"/>
  <c r="AL15" i="23" s="1"/>
  <c r="AN15" i="23" s="1"/>
  <c r="AO15" i="23" s="1"/>
  <c r="W68" i="51"/>
  <c r="C54" i="47"/>
  <c r="S31" i="47"/>
  <c r="T31" i="47" s="1"/>
  <c r="CK12" i="7"/>
  <c r="CS12" i="7"/>
  <c r="O2" i="43"/>
  <c r="Q2" i="43" s="1"/>
  <c r="L8" i="43" s="1"/>
  <c r="L9" i="43" s="1"/>
  <c r="L10" i="43" s="1"/>
  <c r="L11" i="43" s="1"/>
  <c r="L12" i="43" s="1"/>
  <c r="L13" i="43" s="1"/>
  <c r="L14" i="43" s="1"/>
  <c r="L15" i="43" s="1"/>
  <c r="L16" i="43" s="1"/>
  <c r="I87" i="49"/>
  <c r="AD10" i="49"/>
  <c r="AC87" i="49"/>
  <c r="DV10" i="49"/>
  <c r="AH4" i="35"/>
  <c r="AN6" i="23"/>
  <c r="AX6" i="26"/>
  <c r="AD8" i="24"/>
  <c r="N89" i="6"/>
  <c r="BF37" i="5"/>
  <c r="BR6" i="5"/>
  <c r="BO26" i="5" s="1"/>
  <c r="BO6" i="5"/>
  <c r="BP6" i="5" s="1"/>
  <c r="BO25" i="5"/>
  <c r="BR16" i="5"/>
  <c r="BO16" i="5"/>
  <c r="BP16" i="5" s="1"/>
  <c r="O19" i="6"/>
  <c r="S105" i="6"/>
  <c r="T105" i="6" s="1"/>
  <c r="W24" i="23"/>
  <c r="AD24" i="23" s="1"/>
  <c r="T24" i="24"/>
  <c r="P24" i="6"/>
  <c r="R24" i="6" s="1"/>
  <c r="U9" i="24"/>
  <c r="F13" i="9" s="1"/>
  <c r="W17" i="23"/>
  <c r="AD17" i="23" s="1"/>
  <c r="S98" i="6"/>
  <c r="T98" i="6" s="1"/>
  <c r="T17" i="24"/>
  <c r="T85" i="6"/>
  <c r="W58" i="6"/>
  <c r="Q58" i="6"/>
  <c r="Y10" i="23"/>
  <c r="AL10" i="23" s="1"/>
  <c r="AN10" i="23" s="1"/>
  <c r="G21" i="23"/>
  <c r="AN21" i="24" s="1"/>
  <c r="O25" i="9" s="1"/>
  <c r="Q102" i="6"/>
  <c r="U21" i="23"/>
  <c r="G27" i="23"/>
  <c r="AN27" i="24" s="1"/>
  <c r="O31" i="9" s="1"/>
  <c r="Q108" i="6"/>
  <c r="U27" i="23"/>
  <c r="Q79" i="6"/>
  <c r="W79" i="6"/>
  <c r="Y31" i="23"/>
  <c r="AL31" i="23" s="1"/>
  <c r="AN31" i="23" s="1"/>
  <c r="AP31" i="23" s="1"/>
  <c r="AY31" i="26" s="1"/>
  <c r="BE31" i="26" s="1"/>
  <c r="S65" i="47"/>
  <c r="T65" i="47" s="1"/>
  <c r="S67" i="47"/>
  <c r="T67" i="47" s="1"/>
  <c r="S127" i="47"/>
  <c r="T127" i="47" s="1"/>
  <c r="S38" i="47"/>
  <c r="T38" i="47" s="1"/>
  <c r="AC9" i="66"/>
  <c r="AD9" i="66" s="1"/>
  <c r="AE9" i="66" s="1"/>
  <c r="AC72" i="66"/>
  <c r="AD72" i="66" s="1"/>
  <c r="AE72" i="66" s="1"/>
  <c r="AC22" i="66"/>
  <c r="AD22" i="66" s="1"/>
  <c r="AE22" i="66" s="1"/>
  <c r="AC23" i="66"/>
  <c r="AD23" i="66" s="1"/>
  <c r="AE23" i="66" s="1"/>
  <c r="AC24" i="66"/>
  <c r="AD24" i="66" s="1"/>
  <c r="AE24" i="66" s="1"/>
  <c r="AC28" i="66"/>
  <c r="AD28" i="66" s="1"/>
  <c r="AE28" i="66" s="1"/>
  <c r="AC36" i="66"/>
  <c r="AD36" i="66" s="1"/>
  <c r="AE36" i="66" s="1"/>
  <c r="AC38" i="66"/>
  <c r="AD38" i="66" s="1"/>
  <c r="AE38" i="66" s="1"/>
  <c r="AC40" i="66"/>
  <c r="AD40" i="66" s="1"/>
  <c r="AE40" i="66" s="1"/>
  <c r="AC42" i="66"/>
  <c r="AD42" i="66" s="1"/>
  <c r="AE42" i="66" s="1"/>
  <c r="AC44" i="66"/>
  <c r="AD44" i="66" s="1"/>
  <c r="AE44" i="66" s="1"/>
  <c r="AC46" i="66"/>
  <c r="AD46" i="66" s="1"/>
  <c r="AE46" i="66" s="1"/>
  <c r="AC51" i="66"/>
  <c r="AD51" i="66" s="1"/>
  <c r="AE51" i="66" s="1"/>
  <c r="AC58" i="66"/>
  <c r="AD58" i="66" s="1"/>
  <c r="AE58" i="66" s="1"/>
  <c r="AC60" i="66"/>
  <c r="AD60" i="66" s="1"/>
  <c r="AE60" i="66" s="1"/>
  <c r="AC62" i="66"/>
  <c r="AD62" i="66" s="1"/>
  <c r="AE62" i="66" s="1"/>
  <c r="AC64" i="66"/>
  <c r="AD64" i="66" s="1"/>
  <c r="AE64" i="66" s="1"/>
  <c r="AC66" i="66"/>
  <c r="AD66" i="66" s="1"/>
  <c r="AE66" i="66" s="1"/>
  <c r="AC68" i="66"/>
  <c r="AD68" i="66" s="1"/>
  <c r="AE68" i="66" s="1"/>
  <c r="AC70" i="66"/>
  <c r="AD70" i="66" s="1"/>
  <c r="AE70" i="66" s="1"/>
  <c r="AC30" i="66"/>
  <c r="AD30" i="66" s="1"/>
  <c r="AE30" i="66" s="1"/>
  <c r="AC49" i="66"/>
  <c r="AD49" i="66" s="1"/>
  <c r="AE49" i="66" s="1"/>
  <c r="AC56" i="66"/>
  <c r="AD56" i="66" s="1"/>
  <c r="AE56" i="66" s="1"/>
  <c r="AC10" i="66"/>
  <c r="AD10" i="66" s="1"/>
  <c r="AE10" i="66" s="1"/>
  <c r="AC12" i="66"/>
  <c r="AD12" i="66" s="1"/>
  <c r="AE12" i="66" s="1"/>
  <c r="AC15" i="66"/>
  <c r="AD15" i="66" s="1"/>
  <c r="AE15" i="66" s="1"/>
  <c r="AC17" i="66"/>
  <c r="AD17" i="66" s="1"/>
  <c r="AE17" i="66" s="1"/>
  <c r="AC31" i="66"/>
  <c r="AD31" i="66" s="1"/>
  <c r="AE31" i="66" s="1"/>
  <c r="AC11" i="66"/>
  <c r="AD11" i="66" s="1"/>
  <c r="AE11" i="66" s="1"/>
  <c r="AC32" i="66"/>
  <c r="AD32" i="66" s="1"/>
  <c r="AE32" i="66" s="1"/>
  <c r="AC37" i="66"/>
  <c r="AD37" i="66" s="1"/>
  <c r="AE37" i="66" s="1"/>
  <c r="AC39" i="66"/>
  <c r="AD39" i="66" s="1"/>
  <c r="AE39" i="66" s="1"/>
  <c r="AC41" i="66"/>
  <c r="AD41" i="66" s="1"/>
  <c r="AE41" i="66" s="1"/>
  <c r="AC43" i="66"/>
  <c r="AD43" i="66" s="1"/>
  <c r="AE43" i="66" s="1"/>
  <c r="AC45" i="66"/>
  <c r="AD45" i="66" s="1"/>
  <c r="AE45" i="66" s="1"/>
  <c r="AC47" i="66"/>
  <c r="AD47" i="66" s="1"/>
  <c r="AE47" i="66" s="1"/>
  <c r="AC50" i="66"/>
  <c r="AD50" i="66" s="1"/>
  <c r="AE50" i="66" s="1"/>
  <c r="AC52" i="66"/>
  <c r="AD52" i="66" s="1"/>
  <c r="AE52" i="66" s="1"/>
  <c r="AC57" i="66"/>
  <c r="AD57" i="66" s="1"/>
  <c r="AE57" i="66" s="1"/>
  <c r="AC59" i="66"/>
  <c r="AD59" i="66" s="1"/>
  <c r="AE59" i="66" s="1"/>
  <c r="AC61" i="66"/>
  <c r="AD61" i="66" s="1"/>
  <c r="AE61" i="66" s="1"/>
  <c r="AC63" i="66"/>
  <c r="AD63" i="66" s="1"/>
  <c r="AE63" i="66" s="1"/>
  <c r="AC65" i="66"/>
  <c r="AD65" i="66" s="1"/>
  <c r="AE65" i="66" s="1"/>
  <c r="AC67" i="66"/>
  <c r="AD67" i="66" s="1"/>
  <c r="AE67" i="66" s="1"/>
  <c r="AC69" i="66"/>
  <c r="AD69" i="66" s="1"/>
  <c r="AE69" i="66" s="1"/>
  <c r="AC71" i="66"/>
  <c r="AD71" i="66" s="1"/>
  <c r="AE71" i="66" s="1"/>
  <c r="AC25" i="66"/>
  <c r="AD25" i="66" s="1"/>
  <c r="AE25" i="66" s="1"/>
  <c r="AC33" i="66"/>
  <c r="AD33" i="66" s="1"/>
  <c r="AE33" i="66" s="1"/>
  <c r="AC54" i="66"/>
  <c r="AD54" i="66" s="1"/>
  <c r="AE54" i="66" s="1"/>
  <c r="AC14" i="66"/>
  <c r="AD14" i="66" s="1"/>
  <c r="AE14" i="66" s="1"/>
  <c r="AC26" i="66"/>
  <c r="AD26" i="66" s="1"/>
  <c r="AE26" i="66" s="1"/>
  <c r="AC19" i="66"/>
  <c r="AD19" i="66" s="1"/>
  <c r="AE19" i="66" s="1"/>
  <c r="AC18" i="66"/>
  <c r="AD18" i="66" s="1"/>
  <c r="AE18" i="66" s="1"/>
  <c r="AC20" i="66"/>
  <c r="AD20" i="66" s="1"/>
  <c r="AE20" i="66" s="1"/>
  <c r="AC34" i="66"/>
  <c r="AD34" i="66" s="1"/>
  <c r="AE34" i="66" s="1"/>
  <c r="AC21" i="66"/>
  <c r="AD21" i="66" s="1"/>
  <c r="AE21" i="66" s="1"/>
  <c r="AC16" i="66"/>
  <c r="AD16" i="66" s="1"/>
  <c r="AE16" i="66" s="1"/>
  <c r="AC29" i="66"/>
  <c r="AD29" i="66" s="1"/>
  <c r="AE29" i="66" s="1"/>
  <c r="AC48" i="66"/>
  <c r="AD48" i="66" s="1"/>
  <c r="AE48" i="66" s="1"/>
  <c r="AC53" i="66"/>
  <c r="AD53" i="66" s="1"/>
  <c r="AE53" i="66" s="1"/>
  <c r="AC55" i="66"/>
  <c r="AD55" i="66" s="1"/>
  <c r="AE55" i="66" s="1"/>
  <c r="AC13" i="66"/>
  <c r="AD13" i="66" s="1"/>
  <c r="AE13" i="66" s="1"/>
  <c r="AC27" i="66"/>
  <c r="AD27" i="66" s="1"/>
  <c r="AE27" i="66" s="1"/>
  <c r="AC35" i="66"/>
  <c r="AD35" i="66" s="1"/>
  <c r="AE35" i="66" s="1"/>
  <c r="Y109" i="63"/>
  <c r="V66" i="63"/>
  <c r="S128" i="49"/>
  <c r="CH11" i="49"/>
  <c r="FA12" i="49"/>
  <c r="EC12" i="49"/>
  <c r="DE12" i="49"/>
  <c r="CG12" i="49"/>
  <c r="BI12" i="49"/>
  <c r="AK12" i="49"/>
  <c r="M12" i="49"/>
  <c r="DI12" i="49"/>
  <c r="BM12" i="49"/>
  <c r="AO12" i="49"/>
  <c r="Q12" i="49"/>
  <c r="F110" i="7"/>
  <c r="FD12" i="49"/>
  <c r="AI129" i="49" s="1"/>
  <c r="EF12" i="49"/>
  <c r="AD129" i="49" s="1"/>
  <c r="DH12" i="49"/>
  <c r="Y129" i="49" s="1"/>
  <c r="DC12" i="49"/>
  <c r="V129" i="49" s="1"/>
  <c r="CJ12" i="49"/>
  <c r="T129" i="49" s="1"/>
  <c r="BL12" i="49"/>
  <c r="O129" i="49" s="1"/>
  <c r="BG12" i="49"/>
  <c r="L129" i="49" s="1"/>
  <c r="AN12" i="49"/>
  <c r="J129" i="49" s="1"/>
  <c r="AI12" i="49"/>
  <c r="G129" i="49" s="1"/>
  <c r="P12" i="49"/>
  <c r="E129" i="49" s="1"/>
  <c r="K12" i="49"/>
  <c r="B129" i="49" s="1"/>
  <c r="CF25" i="7"/>
  <c r="BW25" i="7"/>
  <c r="BN25" i="7"/>
  <c r="AZ25" i="7"/>
  <c r="AQ25" i="7"/>
  <c r="AH25" i="7"/>
  <c r="CM12" i="7" s="1"/>
  <c r="CE25" i="7"/>
  <c r="BV25" i="7"/>
  <c r="BH25" i="7"/>
  <c r="AY25" i="7"/>
  <c r="AP25" i="7"/>
  <c r="AK25" i="7"/>
  <c r="CP12" i="7" s="1"/>
  <c r="CD25" i="7"/>
  <c r="BP25" i="7"/>
  <c r="BG25" i="7"/>
  <c r="AX25" i="7"/>
  <c r="AS25" i="7"/>
  <c r="AJ25" i="7"/>
  <c r="CO12" i="7" s="1"/>
  <c r="BX25" i="7"/>
  <c r="BO25" i="7"/>
  <c r="BF25" i="7"/>
  <c r="BA25" i="7"/>
  <c r="AR25" i="7"/>
  <c r="AI25" i="7"/>
  <c r="CN12" i="7" s="1"/>
  <c r="AS10" i="7"/>
  <c r="AS36" i="7" s="1"/>
  <c r="AK10" i="7"/>
  <c r="AK36" i="7" s="1"/>
  <c r="AZ17" i="7"/>
  <c r="AZ40" i="7" s="1"/>
  <c r="I92" i="49"/>
  <c r="AD15" i="49"/>
  <c r="AC92" i="49"/>
  <c r="DV15" i="49"/>
  <c r="D89" i="49"/>
  <c r="F12" i="49"/>
  <c r="X89" i="49"/>
  <c r="CX12" i="49"/>
  <c r="Q26" i="6"/>
  <c r="O26" i="6"/>
  <c r="BN28" i="5"/>
  <c r="BN27" i="5"/>
  <c r="AI25" i="5"/>
  <c r="BN8" i="5"/>
  <c r="M37" i="6"/>
  <c r="M33" i="6"/>
  <c r="M29" i="6"/>
  <c r="AK25" i="5"/>
  <c r="BN17" i="5"/>
  <c r="AJ25" i="5"/>
  <c r="BN7" i="5"/>
  <c r="M35" i="6"/>
  <c r="M31" i="6"/>
  <c r="BN18" i="5"/>
  <c r="BF28" i="5"/>
  <c r="BE25" i="5"/>
  <c r="BE28" i="5"/>
  <c r="M34" i="6"/>
  <c r="M38" i="6"/>
  <c r="M32" i="6"/>
  <c r="M36" i="6"/>
  <c r="BD25" i="5"/>
  <c r="BF25" i="5"/>
  <c r="BD28" i="5"/>
  <c r="M30" i="6"/>
  <c r="AG24" i="35"/>
  <c r="AG23" i="35"/>
  <c r="M12" i="9"/>
  <c r="AC12" i="9" s="1"/>
  <c r="S96" i="6"/>
  <c r="T96" i="6" s="1"/>
  <c r="T15" i="24"/>
  <c r="W15" i="23"/>
  <c r="AD15" i="23" s="1"/>
  <c r="R55" i="6"/>
  <c r="T55" i="6" s="1"/>
  <c r="S84" i="47"/>
  <c r="T84" i="47" s="1"/>
  <c r="S80" i="47"/>
  <c r="T80" i="47" s="1"/>
  <c r="S78" i="47"/>
  <c r="T78" i="47" s="1"/>
  <c r="S82" i="47"/>
  <c r="T82" i="47" s="1"/>
  <c r="J200" i="41"/>
  <c r="H201" i="41"/>
  <c r="R41" i="30"/>
  <c r="CN4" i="7"/>
  <c r="AO27" i="24"/>
  <c r="P31" i="9" s="1"/>
  <c r="G31" i="9"/>
  <c r="BB32" i="26"/>
  <c r="AP4" i="23"/>
  <c r="AY4" i="26" s="1"/>
  <c r="BE4" i="26" s="1"/>
  <c r="AO4" i="23"/>
  <c r="AO4" i="26"/>
  <c r="BW6" i="26" s="1"/>
  <c r="AP6" i="23"/>
  <c r="AY6" i="26" s="1"/>
  <c r="BE6" i="26" s="1"/>
  <c r="AO6" i="23"/>
  <c r="AO6" i="26"/>
  <c r="W63" i="6"/>
  <c r="W66" i="6"/>
  <c r="W62" i="6"/>
  <c r="Y13" i="23"/>
  <c r="AL13" i="23" s="1"/>
  <c r="AN13" i="23" s="1"/>
  <c r="Q61" i="6"/>
  <c r="BC14" i="26"/>
  <c r="AC15" i="9"/>
  <c r="AO5" i="26"/>
  <c r="Q53" i="6"/>
  <c r="Y5" i="23"/>
  <c r="AL5" i="23" s="1"/>
  <c r="AN5" i="23" s="1"/>
  <c r="L105" i="62"/>
  <c r="L99" i="62"/>
  <c r="L100" i="62"/>
  <c r="L101" i="62"/>
  <c r="L84" i="62"/>
  <c r="L92" i="62"/>
  <c r="BB6" i="26"/>
  <c r="W74" i="6"/>
  <c r="Z4" i="26"/>
  <c r="AE4" i="26"/>
  <c r="AC4" i="26"/>
  <c r="AB4" i="26"/>
  <c r="AD4" i="26"/>
  <c r="BW4" i="24" l="1"/>
  <c r="AT4" i="24" s="1"/>
  <c r="BU4" i="24"/>
  <c r="AR4" i="24" s="1"/>
  <c r="S8" i="9" s="1"/>
  <c r="BV4" i="24"/>
  <c r="AS4" i="24" s="1"/>
  <c r="T8" i="9" s="1"/>
  <c r="BX4" i="24"/>
  <c r="AU4" i="24" s="1"/>
  <c r="V8" i="9" s="1"/>
  <c r="BS4" i="24"/>
  <c r="AP4" i="24" s="1"/>
  <c r="Q8" i="9" s="1"/>
  <c r="F119" i="62"/>
  <c r="M119" i="62" s="1"/>
  <c r="F117" i="62"/>
  <c r="M117" i="62" s="1"/>
  <c r="F115" i="62"/>
  <c r="M115" i="62" s="1"/>
  <c r="F113" i="62"/>
  <c r="M113" i="62" s="1"/>
  <c r="F111" i="62"/>
  <c r="M111" i="62" s="1"/>
  <c r="F118" i="62"/>
  <c r="M118" i="62" s="1"/>
  <c r="F116" i="62"/>
  <c r="M116" i="62" s="1"/>
  <c r="F114" i="62"/>
  <c r="M114" i="62" s="1"/>
  <c r="F112" i="62"/>
  <c r="M112" i="62" s="1"/>
  <c r="F110" i="62"/>
  <c r="M110" i="62" s="1"/>
  <c r="AP30" i="23"/>
  <c r="AY30" i="26" s="1"/>
  <c r="BE30" i="26" s="1"/>
  <c r="AO30" i="23"/>
  <c r="AP10" i="23"/>
  <c r="AY10" i="26" s="1"/>
  <c r="BE10" i="26" s="1"/>
  <c r="AO10" i="23"/>
  <c r="BU26" i="5"/>
  <c r="BQ26" i="5"/>
  <c r="BT26" i="5"/>
  <c r="BX26" i="5"/>
  <c r="BS26" i="5"/>
  <c r="BW26" i="5"/>
  <c r="BR26" i="5"/>
  <c r="BP26" i="5"/>
  <c r="BV26" i="5"/>
  <c r="AP5" i="23"/>
  <c r="AY5" i="26" s="1"/>
  <c r="BE5" i="26" s="1"/>
  <c r="AO5" i="23"/>
  <c r="AO13" i="23"/>
  <c r="AP13" i="23"/>
  <c r="AY13" i="26" s="1"/>
  <c r="BE13" i="26" s="1"/>
  <c r="BY5" i="26"/>
  <c r="AG15" i="23"/>
  <c r="AI15" i="23" s="1"/>
  <c r="AW15" i="26" s="1"/>
  <c r="BD15" i="26" s="1"/>
  <c r="AM15" i="26"/>
  <c r="Q30" i="6"/>
  <c r="O30" i="6"/>
  <c r="BR17" i="5"/>
  <c r="BO17" i="5"/>
  <c r="BP17" i="5" s="1"/>
  <c r="AO17" i="24"/>
  <c r="P21" i="9" s="1"/>
  <c r="G21" i="9"/>
  <c r="U4" i="24"/>
  <c r="F8" i="9" s="1"/>
  <c r="P19" i="6"/>
  <c r="BX25" i="5"/>
  <c r="BT25" i="5"/>
  <c r="BP25" i="5"/>
  <c r="BV25" i="5"/>
  <c r="BQ25" i="5"/>
  <c r="BU25" i="5"/>
  <c r="BS25" i="5"/>
  <c r="BW25" i="5"/>
  <c r="BR25" i="5"/>
  <c r="AB46" i="6"/>
  <c r="I112" i="6" s="1"/>
  <c r="K31" i="23" s="1"/>
  <c r="AB40" i="6"/>
  <c r="I106" i="6" s="1"/>
  <c r="K25" i="23" s="1"/>
  <c r="AB39" i="6"/>
  <c r="I105" i="6" s="1"/>
  <c r="K24" i="23" s="1"/>
  <c r="AB42" i="6"/>
  <c r="I108" i="6" s="1"/>
  <c r="K27" i="23" s="1"/>
  <c r="AB43" i="6"/>
  <c r="I109" i="6" s="1"/>
  <c r="K28" i="23" s="1"/>
  <c r="AB48" i="6"/>
  <c r="I114" i="6" s="1"/>
  <c r="K33" i="23" s="1"/>
  <c r="AB44" i="6"/>
  <c r="I110" i="6" s="1"/>
  <c r="K29" i="23" s="1"/>
  <c r="AB45" i="6"/>
  <c r="I111" i="6" s="1"/>
  <c r="K30" i="23" s="1"/>
  <c r="AB41" i="6"/>
  <c r="I107" i="6" s="1"/>
  <c r="K26" i="23" s="1"/>
  <c r="AB47" i="6"/>
  <c r="I113" i="6" s="1"/>
  <c r="K32" i="23" s="1"/>
  <c r="CY12" i="5"/>
  <c r="CX12" i="5"/>
  <c r="CW12" i="5"/>
  <c r="X99" i="49"/>
  <c r="CX27" i="49"/>
  <c r="I99" i="49"/>
  <c r="AD27" i="49"/>
  <c r="BD7" i="26"/>
  <c r="Q56" i="6"/>
  <c r="Y8" i="23"/>
  <c r="AL8" i="23" s="1"/>
  <c r="W56" i="6"/>
  <c r="Y7" i="24"/>
  <c r="H88" i="6"/>
  <c r="Y8" i="24"/>
  <c r="H89" i="6"/>
  <c r="D17" i="32"/>
  <c r="E16" i="32"/>
  <c r="F16" i="32" s="1"/>
  <c r="AO25" i="6"/>
  <c r="AE10" i="24" s="1"/>
  <c r="AO27" i="6"/>
  <c r="AE12" i="24" s="1"/>
  <c r="AO23" i="6"/>
  <c r="AE8" i="24" s="1"/>
  <c r="AO19" i="6"/>
  <c r="AE4" i="24" s="1"/>
  <c r="BU15" i="5"/>
  <c r="AO28" i="6"/>
  <c r="AE13" i="24" s="1"/>
  <c r="AO24" i="6"/>
  <c r="AE9" i="24" s="1"/>
  <c r="BT15" i="5"/>
  <c r="AO26" i="6"/>
  <c r="AE11" i="24" s="1"/>
  <c r="AO21" i="6"/>
  <c r="AE6" i="24" s="1"/>
  <c r="AO20" i="6"/>
  <c r="AE5" i="24" s="1"/>
  <c r="AO22" i="6"/>
  <c r="AE7" i="24" s="1"/>
  <c r="BV15" i="5"/>
  <c r="AO28" i="24"/>
  <c r="P32" i="9" s="1"/>
  <c r="G32" i="9"/>
  <c r="T7" i="26"/>
  <c r="U7" i="26" s="1"/>
  <c r="W6" i="26"/>
  <c r="Y6" i="26" s="1"/>
  <c r="S6" i="26"/>
  <c r="V6" i="26"/>
  <c r="K201" i="41"/>
  <c r="I202" i="41"/>
  <c r="AP18" i="23"/>
  <c r="AY18" i="26" s="1"/>
  <c r="BE18" i="26" s="1"/>
  <c r="O46" i="6"/>
  <c r="BC40" i="5"/>
  <c r="BG40" i="5" s="1"/>
  <c r="BS20" i="5"/>
  <c r="BS9" i="5"/>
  <c r="BS19" i="5"/>
  <c r="BC39" i="5"/>
  <c r="BG39" i="5" s="1"/>
  <c r="BS10" i="5"/>
  <c r="Q41" i="6"/>
  <c r="O41" i="6"/>
  <c r="AH101" i="49"/>
  <c r="ET29" i="49"/>
  <c r="S101" i="49"/>
  <c r="BZ29" i="49"/>
  <c r="ES38" i="49"/>
  <c r="DX38" i="49"/>
  <c r="AD104" i="49" s="1"/>
  <c r="CW38" i="49"/>
  <c r="CB38" i="49"/>
  <c r="T104" i="49" s="1"/>
  <c r="BA38" i="49"/>
  <c r="AF38" i="49"/>
  <c r="J104" i="49" s="1"/>
  <c r="AA38" i="49"/>
  <c r="G104" i="49" s="1"/>
  <c r="E38" i="49"/>
  <c r="DA38" i="49"/>
  <c r="BE38" i="49"/>
  <c r="I38" i="49"/>
  <c r="EV38" i="49"/>
  <c r="AI104" i="49" s="1"/>
  <c r="DU38" i="49"/>
  <c r="CZ38" i="49"/>
  <c r="Y104" i="49" s="1"/>
  <c r="CU38" i="49"/>
  <c r="V104" i="49" s="1"/>
  <c r="BY38" i="49"/>
  <c r="BD38" i="49"/>
  <c r="O104" i="49" s="1"/>
  <c r="AY38" i="49"/>
  <c r="L104" i="49" s="1"/>
  <c r="AC38" i="49"/>
  <c r="H38" i="49"/>
  <c r="E104" i="49" s="1"/>
  <c r="C38" i="49"/>
  <c r="B104" i="49" s="1"/>
  <c r="AG38" i="49"/>
  <c r="EV41" i="49"/>
  <c r="AI107" i="49" s="1"/>
  <c r="DU41" i="49"/>
  <c r="CZ41" i="49"/>
  <c r="Y107" i="49" s="1"/>
  <c r="CU41" i="49"/>
  <c r="V107" i="49" s="1"/>
  <c r="BY41" i="49"/>
  <c r="BD41" i="49"/>
  <c r="O107" i="49" s="1"/>
  <c r="AY41" i="49"/>
  <c r="L107" i="49" s="1"/>
  <c r="AC41" i="49"/>
  <c r="H41" i="49"/>
  <c r="E107" i="49" s="1"/>
  <c r="C41" i="49"/>
  <c r="B107" i="49" s="1"/>
  <c r="AG41" i="49"/>
  <c r="ES41" i="49"/>
  <c r="DX41" i="49"/>
  <c r="AD107" i="49" s="1"/>
  <c r="CW41" i="49"/>
  <c r="CB41" i="49"/>
  <c r="T107" i="49" s="1"/>
  <c r="BA41" i="49"/>
  <c r="AF41" i="49"/>
  <c r="J107" i="49" s="1"/>
  <c r="AA41" i="49"/>
  <c r="G107" i="49" s="1"/>
  <c r="E41" i="49"/>
  <c r="DA41" i="49"/>
  <c r="BE41" i="49"/>
  <c r="I41" i="49"/>
  <c r="ES44" i="49"/>
  <c r="DX44" i="49"/>
  <c r="AD110" i="49" s="1"/>
  <c r="CW44" i="49"/>
  <c r="CB44" i="49"/>
  <c r="T110" i="49" s="1"/>
  <c r="BA44" i="49"/>
  <c r="AF44" i="49"/>
  <c r="J110" i="49" s="1"/>
  <c r="AA44" i="49"/>
  <c r="G110" i="49" s="1"/>
  <c r="E44" i="49"/>
  <c r="DA44" i="49"/>
  <c r="BE44" i="49"/>
  <c r="I44" i="49"/>
  <c r="EV44" i="49"/>
  <c r="AI110" i="49" s="1"/>
  <c r="DU44" i="49"/>
  <c r="CZ44" i="49"/>
  <c r="Y110" i="49" s="1"/>
  <c r="CU44" i="49"/>
  <c r="V110" i="49" s="1"/>
  <c r="BY44" i="49"/>
  <c r="BD44" i="49"/>
  <c r="O110" i="49" s="1"/>
  <c r="AY44" i="49"/>
  <c r="L110" i="49" s="1"/>
  <c r="AC44" i="49"/>
  <c r="H44" i="49"/>
  <c r="E110" i="49" s="1"/>
  <c r="C44" i="49"/>
  <c r="B110" i="49" s="1"/>
  <c r="AG44" i="49"/>
  <c r="FL54" i="49"/>
  <c r="AI225" i="49" s="1"/>
  <c r="EK54" i="49"/>
  <c r="DP54" i="49"/>
  <c r="Y225" i="49" s="1"/>
  <c r="DK54" i="49"/>
  <c r="V225" i="49" s="1"/>
  <c r="CO54" i="49"/>
  <c r="BT54" i="49"/>
  <c r="O225" i="49" s="1"/>
  <c r="BO54" i="49"/>
  <c r="L225" i="49" s="1"/>
  <c r="AS54" i="49"/>
  <c r="X54" i="49"/>
  <c r="E225" i="49" s="1"/>
  <c r="S54" i="49"/>
  <c r="B225" i="49" s="1"/>
  <c r="AW54" i="49"/>
  <c r="FI54" i="49"/>
  <c r="EN54" i="49"/>
  <c r="AD225" i="49" s="1"/>
  <c r="DM54" i="49"/>
  <c r="CR54" i="49"/>
  <c r="T225" i="49" s="1"/>
  <c r="BQ54" i="49"/>
  <c r="AV54" i="49"/>
  <c r="J225" i="49" s="1"/>
  <c r="AQ54" i="49"/>
  <c r="G225" i="49" s="1"/>
  <c r="U54" i="49"/>
  <c r="DQ54" i="49"/>
  <c r="BU54" i="49"/>
  <c r="Y54" i="49"/>
  <c r="H152" i="7"/>
  <c r="S102" i="49"/>
  <c r="BZ36" i="49"/>
  <c r="X102" i="49"/>
  <c r="CX36" i="49"/>
  <c r="AC95" i="49"/>
  <c r="DV23" i="49"/>
  <c r="AH95" i="49"/>
  <c r="ET23" i="49"/>
  <c r="I207" i="49"/>
  <c r="AT36" i="49"/>
  <c r="N207" i="49"/>
  <c r="BR36" i="49"/>
  <c r="S139" i="49"/>
  <c r="CH22" i="49"/>
  <c r="AH139" i="49"/>
  <c r="FB22" i="49"/>
  <c r="L7" i="34"/>
  <c r="K7" i="34" s="1"/>
  <c r="M7" i="34"/>
  <c r="J8" i="34" s="1"/>
  <c r="AO25" i="23"/>
  <c r="D97" i="49"/>
  <c r="F25" i="49"/>
  <c r="D98" i="49"/>
  <c r="F26" i="49"/>
  <c r="I98" i="49"/>
  <c r="AD26" i="49"/>
  <c r="D100" i="49"/>
  <c r="F28" i="49"/>
  <c r="AA48" i="47"/>
  <c r="AB48" i="47" s="1"/>
  <c r="S48" i="47"/>
  <c r="T48" i="47" s="1"/>
  <c r="W48" i="47" s="1"/>
  <c r="V48" i="47" s="1"/>
  <c r="AA54" i="47"/>
  <c r="AB54" i="47" s="1"/>
  <c r="S54" i="47"/>
  <c r="T54" i="47" s="1"/>
  <c r="W54" i="47" s="1"/>
  <c r="V54" i="47" s="1"/>
  <c r="AG19" i="23"/>
  <c r="AI19" i="23"/>
  <c r="AW19" i="26" s="1"/>
  <c r="BD19" i="26" s="1"/>
  <c r="AM19" i="26"/>
  <c r="AP20" i="23"/>
  <c r="AY20" i="26" s="1"/>
  <c r="BE20" i="26" s="1"/>
  <c r="AO8" i="24"/>
  <c r="P12" i="9" s="1"/>
  <c r="G12" i="9"/>
  <c r="BU4" i="5"/>
  <c r="BV4" i="5"/>
  <c r="BT4" i="5"/>
  <c r="CT24" i="5"/>
  <c r="CT30" i="5" s="1"/>
  <c r="AP16" i="23"/>
  <c r="AY16" i="26" s="1"/>
  <c r="BE16" i="26" s="1"/>
  <c r="AO16" i="23"/>
  <c r="AG32" i="23"/>
  <c r="AI32" i="23" s="1"/>
  <c r="AW32" i="26" s="1"/>
  <c r="BD32" i="26" s="1"/>
  <c r="AM32" i="26"/>
  <c r="AO23" i="23"/>
  <c r="AI9" i="23"/>
  <c r="AW9" i="26" s="1"/>
  <c r="BD9" i="26" s="1"/>
  <c r="AG9" i="23"/>
  <c r="AM9" i="26"/>
  <c r="D153" i="49"/>
  <c r="N36" i="49"/>
  <c r="AC153" i="49"/>
  <c r="ED36" i="49"/>
  <c r="AA49" i="47"/>
  <c r="AB49" i="47" s="1"/>
  <c r="S49" i="47"/>
  <c r="T49" i="47" s="1"/>
  <c r="W49" i="47" s="1"/>
  <c r="V49" i="47" s="1"/>
  <c r="AA55" i="47"/>
  <c r="AB55" i="47" s="1"/>
  <c r="S55" i="47"/>
  <c r="T55" i="47" s="1"/>
  <c r="W55" i="47" s="1"/>
  <c r="V55" i="47" s="1"/>
  <c r="AO13" i="24"/>
  <c r="P17" i="9" s="1"/>
  <c r="G17" i="9"/>
  <c r="AP22" i="23"/>
  <c r="AY22" i="26" s="1"/>
  <c r="BE22" i="26" s="1"/>
  <c r="CI35" i="5"/>
  <c r="CJ35" i="5"/>
  <c r="CE35" i="5"/>
  <c r="P25" i="6"/>
  <c r="U10" i="24"/>
  <c r="F14" i="9" s="1"/>
  <c r="CY22" i="5"/>
  <c r="CX22" i="5"/>
  <c r="CW22" i="5"/>
  <c r="DA22" i="5"/>
  <c r="CV22" i="5"/>
  <c r="CZ22" i="5"/>
  <c r="AI6" i="35"/>
  <c r="AH6" i="35"/>
  <c r="AH7" i="35"/>
  <c r="AI7" i="35"/>
  <c r="X193" i="49"/>
  <c r="DN22" i="49"/>
  <c r="I193" i="49"/>
  <c r="AT22" i="49"/>
  <c r="N94" i="49"/>
  <c r="BB22" i="49"/>
  <c r="X96" i="49"/>
  <c r="CX24" i="49"/>
  <c r="I96" i="49"/>
  <c r="AD24" i="49"/>
  <c r="AA41" i="47"/>
  <c r="AB41" i="47" s="1"/>
  <c r="S41" i="47"/>
  <c r="T41" i="47" s="1"/>
  <c r="W41" i="47" s="1"/>
  <c r="V41" i="47" s="1"/>
  <c r="R36" i="51"/>
  <c r="R8" i="51"/>
  <c r="R136" i="51"/>
  <c r="R108" i="51"/>
  <c r="Z10" i="25"/>
  <c r="AB9" i="25"/>
  <c r="AC9" i="25" s="1"/>
  <c r="AA9" i="25"/>
  <c r="BO42" i="7"/>
  <c r="BS42" i="7"/>
  <c r="BN42" i="7"/>
  <c r="BP42" i="7"/>
  <c r="CI36" i="5"/>
  <c r="CJ36" i="5"/>
  <c r="AA39" i="6"/>
  <c r="AA47" i="6"/>
  <c r="AA43" i="6"/>
  <c r="AA42" i="6"/>
  <c r="AA41" i="6"/>
  <c r="AA45" i="6"/>
  <c r="AA44" i="6"/>
  <c r="AA46" i="6"/>
  <c r="AA40" i="6"/>
  <c r="AA48" i="6"/>
  <c r="CU12" i="5"/>
  <c r="CT12" i="5"/>
  <c r="CS12" i="5"/>
  <c r="L5" i="23"/>
  <c r="AT5" i="26" s="1"/>
  <c r="BA5" i="26" s="1"/>
  <c r="AI5" i="24"/>
  <c r="J9" i="9" s="1"/>
  <c r="AJ5" i="26"/>
  <c r="L13" i="23"/>
  <c r="AT13" i="26" s="1"/>
  <c r="AJ13" i="26"/>
  <c r="AI13" i="24"/>
  <c r="J17" i="9" s="1"/>
  <c r="AB20" i="9"/>
  <c r="O36" i="6"/>
  <c r="O31" i="6"/>
  <c r="Q31" i="6"/>
  <c r="O37" i="6"/>
  <c r="F111" i="7"/>
  <c r="FA13" i="49"/>
  <c r="EC13" i="49"/>
  <c r="DE13" i="49"/>
  <c r="CG13" i="49"/>
  <c r="BI13" i="49"/>
  <c r="AK13" i="49"/>
  <c r="M13" i="49"/>
  <c r="DI13" i="49"/>
  <c r="BM13" i="49"/>
  <c r="AO13" i="49"/>
  <c r="Q13" i="49"/>
  <c r="FD13" i="49"/>
  <c r="AI130" i="49" s="1"/>
  <c r="EF13" i="49"/>
  <c r="AD130" i="49" s="1"/>
  <c r="DH13" i="49"/>
  <c r="Y130" i="49" s="1"/>
  <c r="DC13" i="49"/>
  <c r="V130" i="49" s="1"/>
  <c r="CJ13" i="49"/>
  <c r="T130" i="49" s="1"/>
  <c r="BL13" i="49"/>
  <c r="O130" i="49" s="1"/>
  <c r="BG13" i="49"/>
  <c r="L130" i="49" s="1"/>
  <c r="AN13" i="49"/>
  <c r="J130" i="49" s="1"/>
  <c r="AI13" i="49"/>
  <c r="G130" i="49" s="1"/>
  <c r="P13" i="49"/>
  <c r="E130" i="49" s="1"/>
  <c r="K13" i="49"/>
  <c r="B130" i="49" s="1"/>
  <c r="I129" i="49"/>
  <c r="AL12" i="49"/>
  <c r="AC129" i="49"/>
  <c r="ED12" i="49"/>
  <c r="BW4" i="26"/>
  <c r="BW5" i="26"/>
  <c r="AJ7" i="35" s="1"/>
  <c r="H202" i="41"/>
  <c r="J201" i="41"/>
  <c r="AO15" i="24"/>
  <c r="P19" i="9" s="1"/>
  <c r="G19" i="9"/>
  <c r="O32" i="6"/>
  <c r="O35" i="6"/>
  <c r="Q35" i="6"/>
  <c r="BC30" i="5"/>
  <c r="BG30" i="5" s="1"/>
  <c r="BC29" i="5"/>
  <c r="BG29" i="5" s="1"/>
  <c r="BO8" i="5"/>
  <c r="BP8" i="5" s="1"/>
  <c r="BR8" i="5"/>
  <c r="U11" i="24"/>
  <c r="F15" i="9" s="1"/>
  <c r="P26" i="6"/>
  <c r="R26" i="6" s="1"/>
  <c r="N129" i="49"/>
  <c r="BJ12" i="49"/>
  <c r="AH129" i="49"/>
  <c r="FB12" i="49"/>
  <c r="AO24" i="24"/>
  <c r="P28" i="9" s="1"/>
  <c r="G28" i="9"/>
  <c r="Q19" i="6"/>
  <c r="BH31" i="7"/>
  <c r="BG31" i="7"/>
  <c r="BK31" i="7"/>
  <c r="BF31" i="7"/>
  <c r="AO30" i="24"/>
  <c r="P34" i="9" s="1"/>
  <c r="G34" i="9"/>
  <c r="CY30" i="5"/>
  <c r="AC47" i="6"/>
  <c r="Z32" i="24" s="1"/>
  <c r="AC43" i="6"/>
  <c r="Z28" i="24" s="1"/>
  <c r="DA30" i="5"/>
  <c r="CV30" i="5"/>
  <c r="AC42" i="6"/>
  <c r="Z27" i="24" s="1"/>
  <c r="AC41" i="6"/>
  <c r="Z26" i="24" s="1"/>
  <c r="CZ30" i="5"/>
  <c r="AC45" i="6"/>
  <c r="Z30" i="24" s="1"/>
  <c r="CX30" i="5"/>
  <c r="AC39" i="6"/>
  <c r="Z24" i="24" s="1"/>
  <c r="CW30" i="5"/>
  <c r="AC40" i="6"/>
  <c r="Z25" i="24" s="1"/>
  <c r="AC48" i="6"/>
  <c r="Z33" i="24" s="1"/>
  <c r="AC44" i="6"/>
  <c r="Z29" i="24" s="1"/>
  <c r="AC46" i="6"/>
  <c r="Z31" i="24" s="1"/>
  <c r="DB18" i="5"/>
  <c r="DC18" i="5" s="1"/>
  <c r="CY18" i="5"/>
  <c r="CZ18" i="5" s="1"/>
  <c r="CV18" i="5"/>
  <c r="CW18" i="5" s="1"/>
  <c r="CS18" i="5"/>
  <c r="CT18" i="5" s="1"/>
  <c r="N99" i="49"/>
  <c r="BB27" i="49"/>
  <c r="Q115" i="32"/>
  <c r="O116" i="32"/>
  <c r="BE12" i="26"/>
  <c r="BE11" i="26"/>
  <c r="Y5" i="24"/>
  <c r="H86" i="6"/>
  <c r="Y9" i="24"/>
  <c r="H90" i="6"/>
  <c r="Y4" i="24"/>
  <c r="H85" i="6"/>
  <c r="Y9" i="23"/>
  <c r="AL9" i="23" s="1"/>
  <c r="AN9" i="23" s="1"/>
  <c r="AP9" i="23" s="1"/>
  <c r="AY9" i="26" s="1"/>
  <c r="BE9" i="26" s="1"/>
  <c r="Q57" i="6"/>
  <c r="AO9" i="23"/>
  <c r="AO9" i="26"/>
  <c r="DH15" i="7"/>
  <c r="CY15" i="7"/>
  <c r="EQ15" i="7"/>
  <c r="EH15" i="7"/>
  <c r="DY15" i="7"/>
  <c r="DP15" i="7"/>
  <c r="DG15" i="7"/>
  <c r="DC15" i="7"/>
  <c r="CX15" i="7"/>
  <c r="CT15" i="7"/>
  <c r="EP15" i="7"/>
  <c r="EG15" i="7"/>
  <c r="DX15" i="7"/>
  <c r="DO15" i="7"/>
  <c r="DF15" i="7"/>
  <c r="DB15" i="7"/>
  <c r="DK15" i="7" s="1"/>
  <c r="DT15" i="7" s="1"/>
  <c r="EC15" i="7" s="1"/>
  <c r="EL15" i="7" s="1"/>
  <c r="CW15" i="7"/>
  <c r="EO15" i="7"/>
  <c r="EF15" i="7"/>
  <c r="DW15" i="7"/>
  <c r="DN15" i="7"/>
  <c r="DE15" i="7"/>
  <c r="CV15" i="7"/>
  <c r="AX8" i="26"/>
  <c r="AN8" i="23"/>
  <c r="BK4" i="5"/>
  <c r="J9" i="5"/>
  <c r="J6" i="5"/>
  <c r="J4" i="5"/>
  <c r="J5" i="5"/>
  <c r="J7" i="5"/>
  <c r="J8" i="5"/>
  <c r="J11" i="5"/>
  <c r="J10" i="5"/>
  <c r="J12" i="5"/>
  <c r="J13" i="5"/>
  <c r="BO33" i="7"/>
  <c r="BS33" i="7"/>
  <c r="BN33" i="7"/>
  <c r="BP33" i="7"/>
  <c r="BE29" i="26"/>
  <c r="AP8" i="23"/>
  <c r="AY8" i="26" s="1"/>
  <c r="AO8" i="23"/>
  <c r="AO8" i="26"/>
  <c r="O48" i="6"/>
  <c r="O47" i="6"/>
  <c r="BO10" i="5"/>
  <c r="BP10" i="5" s="1"/>
  <c r="BR10" i="5"/>
  <c r="O45" i="6"/>
  <c r="Q45" i="6"/>
  <c r="O42" i="6"/>
  <c r="Q42" i="6"/>
  <c r="X101" i="49"/>
  <c r="CX29" i="49"/>
  <c r="I101" i="49"/>
  <c r="AD29" i="49"/>
  <c r="ES42" i="49"/>
  <c r="DX42" i="49"/>
  <c r="AD108" i="49" s="1"/>
  <c r="CW42" i="49"/>
  <c r="CB42" i="49"/>
  <c r="T108" i="49" s="1"/>
  <c r="BA42" i="49"/>
  <c r="AF42" i="49"/>
  <c r="J108" i="49" s="1"/>
  <c r="AA42" i="49"/>
  <c r="G108" i="49" s="1"/>
  <c r="E42" i="49"/>
  <c r="DA42" i="49"/>
  <c r="BE42" i="49"/>
  <c r="I42" i="49"/>
  <c r="EV42" i="49"/>
  <c r="AI108" i="49" s="1"/>
  <c r="DU42" i="49"/>
  <c r="CZ42" i="49"/>
  <c r="Y108" i="49" s="1"/>
  <c r="CU42" i="49"/>
  <c r="V108" i="49" s="1"/>
  <c r="BY42" i="49"/>
  <c r="BD42" i="49"/>
  <c r="O108" i="49" s="1"/>
  <c r="AY42" i="49"/>
  <c r="L108" i="49" s="1"/>
  <c r="AC42" i="49"/>
  <c r="H42" i="49"/>
  <c r="E108" i="49" s="1"/>
  <c r="C42" i="49"/>
  <c r="B108" i="49" s="1"/>
  <c r="AG42" i="49"/>
  <c r="EV45" i="49"/>
  <c r="AI111" i="49" s="1"/>
  <c r="DU45" i="49"/>
  <c r="CZ45" i="49"/>
  <c r="Y111" i="49" s="1"/>
  <c r="CU45" i="49"/>
  <c r="V111" i="49" s="1"/>
  <c r="BY45" i="49"/>
  <c r="BD45" i="49"/>
  <c r="O111" i="49" s="1"/>
  <c r="AY45" i="49"/>
  <c r="L111" i="49" s="1"/>
  <c r="AC45" i="49"/>
  <c r="H45" i="49"/>
  <c r="E111" i="49" s="1"/>
  <c r="C45" i="49"/>
  <c r="B111" i="49" s="1"/>
  <c r="AG45" i="49"/>
  <c r="ES45" i="49"/>
  <c r="DX45" i="49"/>
  <c r="AD111" i="49" s="1"/>
  <c r="CW45" i="49"/>
  <c r="CB45" i="49"/>
  <c r="T111" i="49" s="1"/>
  <c r="BA45" i="49"/>
  <c r="AF45" i="49"/>
  <c r="J111" i="49" s="1"/>
  <c r="AA45" i="49"/>
  <c r="G111" i="49" s="1"/>
  <c r="E45" i="49"/>
  <c r="DA45" i="49"/>
  <c r="BE45" i="49"/>
  <c r="I45" i="49"/>
  <c r="FA54" i="49"/>
  <c r="EF54" i="49"/>
  <c r="AD171" i="49" s="1"/>
  <c r="DE54" i="49"/>
  <c r="CJ54" i="49"/>
  <c r="T171" i="49" s="1"/>
  <c r="BI54" i="49"/>
  <c r="AN54" i="49"/>
  <c r="J171" i="49" s="1"/>
  <c r="AI54" i="49"/>
  <c r="G171" i="49" s="1"/>
  <c r="M54" i="49"/>
  <c r="DI54" i="49"/>
  <c r="BM54" i="49"/>
  <c r="Q54" i="49"/>
  <c r="FD54" i="49"/>
  <c r="AI171" i="49" s="1"/>
  <c r="EC54" i="49"/>
  <c r="DH54" i="49"/>
  <c r="Y171" i="49" s="1"/>
  <c r="DC54" i="49"/>
  <c r="V171" i="49" s="1"/>
  <c r="CG54" i="49"/>
  <c r="BL54" i="49"/>
  <c r="O171" i="49" s="1"/>
  <c r="BG54" i="49"/>
  <c r="L171" i="49" s="1"/>
  <c r="AK54" i="49"/>
  <c r="P54" i="49"/>
  <c r="E171" i="49" s="1"/>
  <c r="K54" i="49"/>
  <c r="B171" i="49" s="1"/>
  <c r="AO54" i="49"/>
  <c r="F152" i="7"/>
  <c r="I102" i="49"/>
  <c r="AD36" i="49"/>
  <c r="N102" i="49"/>
  <c r="BB36" i="49"/>
  <c r="S95" i="49"/>
  <c r="BZ23" i="49"/>
  <c r="X95" i="49"/>
  <c r="CX23" i="49"/>
  <c r="D207" i="49"/>
  <c r="V36" i="49"/>
  <c r="I139" i="49"/>
  <c r="AL22" i="49"/>
  <c r="X139" i="49"/>
  <c r="DF22" i="49"/>
  <c r="P25" i="60"/>
  <c r="O25" i="60"/>
  <c r="N6" i="34"/>
  <c r="AC97" i="49"/>
  <c r="DV25" i="49"/>
  <c r="AH97" i="49"/>
  <c r="ET25" i="49"/>
  <c r="AC98" i="49"/>
  <c r="DV26" i="49"/>
  <c r="AC100" i="49"/>
  <c r="DV28" i="49"/>
  <c r="AH100" i="49"/>
  <c r="ET28" i="49"/>
  <c r="AA45" i="47"/>
  <c r="AB45" i="47" s="1"/>
  <c r="S45" i="47"/>
  <c r="T45" i="47" s="1"/>
  <c r="W45" i="47" s="1"/>
  <c r="V45" i="47" s="1"/>
  <c r="AA51" i="47"/>
  <c r="AB51" i="47" s="1"/>
  <c r="S51" i="47"/>
  <c r="T51" i="47" s="1"/>
  <c r="W51" i="47" s="1"/>
  <c r="V51" i="47" s="1"/>
  <c r="R113" i="32"/>
  <c r="P114" i="32"/>
  <c r="AB29" i="9"/>
  <c r="CY29" i="5"/>
  <c r="CW29" i="5"/>
  <c r="AC37" i="6"/>
  <c r="Z22" i="24" s="1"/>
  <c r="AC33" i="6"/>
  <c r="Z18" i="24" s="1"/>
  <c r="AC29" i="6"/>
  <c r="Z14" i="24" s="1"/>
  <c r="DA29" i="5"/>
  <c r="CV29" i="5"/>
  <c r="CZ29" i="5"/>
  <c r="AC35" i="6"/>
  <c r="Z20" i="24" s="1"/>
  <c r="AC31" i="6"/>
  <c r="Z16" i="24" s="1"/>
  <c r="CX29" i="5"/>
  <c r="AC30" i="6"/>
  <c r="Z15" i="24" s="1"/>
  <c r="AC34" i="6"/>
  <c r="Z19" i="24" s="1"/>
  <c r="AC38" i="6"/>
  <c r="Z23" i="24" s="1"/>
  <c r="AC32" i="6"/>
  <c r="Z17" i="24" s="1"/>
  <c r="AC36" i="6"/>
  <c r="Z21" i="24" s="1"/>
  <c r="DB17" i="5"/>
  <c r="DC17" i="5" s="1"/>
  <c r="CV17" i="5"/>
  <c r="CW17" i="5" s="1"/>
  <c r="CY17" i="5"/>
  <c r="CZ17" i="5" s="1"/>
  <c r="CS17" i="5"/>
  <c r="CT17" i="5" s="1"/>
  <c r="CT23" i="5"/>
  <c r="CT29" i="5" s="1"/>
  <c r="CM35" i="5"/>
  <c r="CU23" i="5"/>
  <c r="CU29" i="5" s="1"/>
  <c r="CO35" i="5"/>
  <c r="CS23" i="5"/>
  <c r="CS29" i="5" s="1"/>
  <c r="AG8" i="23"/>
  <c r="AI8" i="23" s="1"/>
  <c r="AW8" i="26" s="1"/>
  <c r="BD8" i="26" s="1"/>
  <c r="AM8" i="26"/>
  <c r="AD27" i="6"/>
  <c r="AA12" i="24" s="1"/>
  <c r="AD23" i="6"/>
  <c r="AA8" i="24" s="1"/>
  <c r="AD25" i="6"/>
  <c r="AA10" i="24" s="1"/>
  <c r="AD21" i="6"/>
  <c r="AA6" i="24" s="1"/>
  <c r="BU5" i="5"/>
  <c r="AD26" i="6"/>
  <c r="AA11" i="24" s="1"/>
  <c r="BV5" i="5"/>
  <c r="AD22" i="6"/>
  <c r="AA7" i="24" s="1"/>
  <c r="BT5" i="5"/>
  <c r="AD28" i="6"/>
  <c r="AA13" i="24" s="1"/>
  <c r="AD24" i="6"/>
  <c r="AA9" i="24" s="1"/>
  <c r="AD19" i="6"/>
  <c r="AA4" i="24" s="1"/>
  <c r="AD20" i="6"/>
  <c r="AA5" i="24" s="1"/>
  <c r="AO32" i="24"/>
  <c r="P36" i="9" s="1"/>
  <c r="G36" i="9"/>
  <c r="BX6" i="26"/>
  <c r="BY6" i="26"/>
  <c r="CY6" i="7"/>
  <c r="AP7" i="23"/>
  <c r="AY7" i="26" s="1"/>
  <c r="BE7" i="26" s="1"/>
  <c r="BE33" i="26"/>
  <c r="AO9" i="24"/>
  <c r="P13" i="9" s="1"/>
  <c r="G13" i="9"/>
  <c r="AH153" i="49"/>
  <c r="FB36" i="49"/>
  <c r="S153" i="49"/>
  <c r="CH36" i="49"/>
  <c r="AA46" i="47"/>
  <c r="AB46" i="47" s="1"/>
  <c r="S46" i="47"/>
  <c r="T46" i="47" s="1"/>
  <c r="W46" i="47" s="1"/>
  <c r="V46" i="47" s="1"/>
  <c r="BD16" i="26"/>
  <c r="CB35" i="5"/>
  <c r="CK35" i="5"/>
  <c r="CG41" i="5" s="1"/>
  <c r="CG47" i="5" s="1"/>
  <c r="CG35" i="5"/>
  <c r="AA35" i="6"/>
  <c r="AA31" i="6"/>
  <c r="AA37" i="6"/>
  <c r="AA33" i="6"/>
  <c r="AA29" i="6"/>
  <c r="AA30" i="6"/>
  <c r="AA32" i="6"/>
  <c r="AA36" i="6"/>
  <c r="AA34" i="6"/>
  <c r="AA38" i="6"/>
  <c r="CS11" i="5"/>
  <c r="CU11" i="5"/>
  <c r="CT11" i="5"/>
  <c r="BH34" i="7"/>
  <c r="BG34" i="7"/>
  <c r="BK34" i="7"/>
  <c r="BF34" i="7"/>
  <c r="AJ6" i="25"/>
  <c r="AH6" i="25"/>
  <c r="BE14" i="26"/>
  <c r="Q25" i="6"/>
  <c r="P27" i="6"/>
  <c r="R27" i="6" s="1"/>
  <c r="U12" i="24"/>
  <c r="F16" i="9" s="1"/>
  <c r="N193" i="49"/>
  <c r="BR22" i="49"/>
  <c r="AW23" i="49"/>
  <c r="FI23" i="49"/>
  <c r="EN23" i="49"/>
  <c r="AD194" i="49" s="1"/>
  <c r="DM23" i="49"/>
  <c r="CR23" i="49"/>
  <c r="T194" i="49" s="1"/>
  <c r="BQ23" i="49"/>
  <c r="AV23" i="49"/>
  <c r="J194" i="49" s="1"/>
  <c r="AQ23" i="49"/>
  <c r="G194" i="49" s="1"/>
  <c r="U23" i="49"/>
  <c r="H121" i="7"/>
  <c r="DQ23" i="49"/>
  <c r="BU23" i="49"/>
  <c r="Y23" i="49"/>
  <c r="FL23" i="49"/>
  <c r="AI194" i="49" s="1"/>
  <c r="EK23" i="49"/>
  <c r="DP23" i="49"/>
  <c r="Y194" i="49" s="1"/>
  <c r="DK23" i="49"/>
  <c r="V194" i="49" s="1"/>
  <c r="CO23" i="49"/>
  <c r="BT23" i="49"/>
  <c r="O194" i="49" s="1"/>
  <c r="BO23" i="49"/>
  <c r="L194" i="49" s="1"/>
  <c r="AS23" i="49"/>
  <c r="X23" i="49"/>
  <c r="E194" i="49" s="1"/>
  <c r="S23" i="49"/>
  <c r="B194" i="49" s="1"/>
  <c r="AO20" i="24"/>
  <c r="P24" i="9" s="1"/>
  <c r="G24" i="9"/>
  <c r="AO17" i="23"/>
  <c r="AP17" i="23"/>
  <c r="AY17" i="26" s="1"/>
  <c r="BE17" i="26" s="1"/>
  <c r="CD41" i="5"/>
  <c r="CD47" i="5" s="1"/>
  <c r="D94" i="49"/>
  <c r="F22" i="49"/>
  <c r="AC94" i="49"/>
  <c r="DV22" i="49"/>
  <c r="N96" i="49"/>
  <c r="BB24" i="49"/>
  <c r="AA53" i="47"/>
  <c r="AB53" i="47" s="1"/>
  <c r="S53" i="47"/>
  <c r="T53" i="47" s="1"/>
  <c r="W53" i="47" s="1"/>
  <c r="V53" i="47" s="1"/>
  <c r="O122" i="51"/>
  <c r="CE36" i="5"/>
  <c r="CF36" i="5"/>
  <c r="CI42" i="5" s="1"/>
  <c r="CI48" i="5" s="1"/>
  <c r="CC36" i="5"/>
  <c r="CK42" i="5" s="1"/>
  <c r="CK48" i="5" s="1"/>
  <c r="L12" i="23"/>
  <c r="AT12" i="26" s="1"/>
  <c r="AI12" i="24"/>
  <c r="J16" i="9" s="1"/>
  <c r="AJ12" i="26"/>
  <c r="AI8" i="24"/>
  <c r="J12" i="9" s="1"/>
  <c r="L8" i="23"/>
  <c r="AT8" i="26" s="1"/>
  <c r="BA8" i="26" s="1"/>
  <c r="AJ8" i="26"/>
  <c r="L7" i="23"/>
  <c r="AT7" i="26" s="1"/>
  <c r="BA7" i="26" s="1"/>
  <c r="AI7" i="24"/>
  <c r="J11" i="9" s="1"/>
  <c r="AJ7" i="26"/>
  <c r="O38" i="6"/>
  <c r="O29" i="6"/>
  <c r="S129" i="49"/>
  <c r="CH12" i="49"/>
  <c r="AG17" i="23"/>
  <c r="AI17" i="23" s="1"/>
  <c r="AW17" i="26" s="1"/>
  <c r="BD17" i="26" s="1"/>
  <c r="AM17" i="26"/>
  <c r="AI24" i="23"/>
  <c r="AW24" i="26" s="1"/>
  <c r="AG24" i="23"/>
  <c r="AM24" i="26"/>
  <c r="BU6" i="5"/>
  <c r="BV6" i="5"/>
  <c r="BT6" i="5"/>
  <c r="DH12" i="7"/>
  <c r="CY12" i="7"/>
  <c r="EQ12" i="7"/>
  <c r="EH12" i="7"/>
  <c r="DY12" i="7"/>
  <c r="DP12" i="7"/>
  <c r="DG12" i="7"/>
  <c r="DC12" i="7"/>
  <c r="CX12" i="7"/>
  <c r="CT12" i="7"/>
  <c r="EP12" i="7"/>
  <c r="EG12" i="7"/>
  <c r="DX12" i="7"/>
  <c r="DO12" i="7"/>
  <c r="DF12" i="7"/>
  <c r="DB12" i="7"/>
  <c r="DK12" i="7" s="1"/>
  <c r="DT12" i="7" s="1"/>
  <c r="EC12" i="7" s="1"/>
  <c r="EL12" i="7" s="1"/>
  <c r="CW12" i="7"/>
  <c r="EO12" i="7"/>
  <c r="EF12" i="7"/>
  <c r="DW12" i="7"/>
  <c r="DN12" i="7"/>
  <c r="DE12" i="7"/>
  <c r="CV12" i="7"/>
  <c r="BH35" i="7"/>
  <c r="BG35" i="7"/>
  <c r="BK35" i="7"/>
  <c r="BF35" i="7"/>
  <c r="D99" i="49"/>
  <c r="F27" i="49"/>
  <c r="AC99" i="49"/>
  <c r="DV27" i="49"/>
  <c r="L157" i="47"/>
  <c r="L155" i="47"/>
  <c r="L159" i="47"/>
  <c r="L151" i="47"/>
  <c r="L147" i="47"/>
  <c r="L143" i="47"/>
  <c r="L139" i="47"/>
  <c r="L135" i="47"/>
  <c r="L131" i="47"/>
  <c r="L127" i="47"/>
  <c r="L123" i="47"/>
  <c r="L119" i="47"/>
  <c r="L117" i="47"/>
  <c r="L115" i="47"/>
  <c r="L113" i="47"/>
  <c r="L111" i="47"/>
  <c r="L109" i="47"/>
  <c r="L107" i="47"/>
  <c r="L105" i="47"/>
  <c r="L103" i="47"/>
  <c r="L101" i="47"/>
  <c r="L99" i="47"/>
  <c r="L97" i="47"/>
  <c r="L95" i="47"/>
  <c r="L93" i="47"/>
  <c r="L91" i="47"/>
  <c r="L89" i="47"/>
  <c r="L153" i="47"/>
  <c r="L149" i="47"/>
  <c r="L145" i="47"/>
  <c r="L141" i="47"/>
  <c r="L137" i="47"/>
  <c r="L133" i="47"/>
  <c r="L129" i="47"/>
  <c r="L125" i="47"/>
  <c r="L121" i="47"/>
  <c r="L85" i="47"/>
  <c r="L77" i="47"/>
  <c r="L67" i="47"/>
  <c r="L63" i="47"/>
  <c r="L35" i="47"/>
  <c r="L31" i="47"/>
  <c r="L83" i="47"/>
  <c r="L79" i="47"/>
  <c r="L71" i="47"/>
  <c r="L61" i="47"/>
  <c r="L81" i="47"/>
  <c r="L73" i="47"/>
  <c r="L69" i="47"/>
  <c r="L65" i="47"/>
  <c r="L39" i="47"/>
  <c r="L37" i="47"/>
  <c r="L33" i="47"/>
  <c r="L29" i="47"/>
  <c r="L23" i="47"/>
  <c r="L87" i="47"/>
  <c r="L75" i="47"/>
  <c r="L59" i="47"/>
  <c r="L27" i="47"/>
  <c r="L25" i="47"/>
  <c r="Y6" i="24"/>
  <c r="H87" i="6"/>
  <c r="Y11" i="24"/>
  <c r="H92" i="6"/>
  <c r="Y12" i="24"/>
  <c r="H93" i="6"/>
  <c r="EP8" i="7"/>
  <c r="EG8" i="7"/>
  <c r="DX8" i="7"/>
  <c r="DO8" i="7"/>
  <c r="DF8" i="7"/>
  <c r="DB8" i="7"/>
  <c r="DK8" i="7" s="1"/>
  <c r="DT8" i="7" s="1"/>
  <c r="EC8" i="7" s="1"/>
  <c r="EL8" i="7" s="1"/>
  <c r="CW8" i="7"/>
  <c r="EO8" i="7"/>
  <c r="EF8" i="7"/>
  <c r="DW8" i="7"/>
  <c r="DN8" i="7"/>
  <c r="DE8" i="7"/>
  <c r="CV8" i="7"/>
  <c r="DH8" i="7"/>
  <c r="CY8" i="7"/>
  <c r="EQ8" i="7"/>
  <c r="EH8" i="7"/>
  <c r="DY8" i="7"/>
  <c r="DP8" i="7"/>
  <c r="DG8" i="7"/>
  <c r="DC8" i="7"/>
  <c r="CX8" i="7"/>
  <c r="CT8" i="7"/>
  <c r="BH41" i="7"/>
  <c r="BG41" i="7"/>
  <c r="BK41" i="7"/>
  <c r="BF41" i="7"/>
  <c r="BV24" i="5"/>
  <c r="BR24" i="5"/>
  <c r="BW24" i="5"/>
  <c r="BQ24" i="5"/>
  <c r="BU24" i="5"/>
  <c r="BP24" i="5"/>
  <c r="BT24" i="5"/>
  <c r="BX24" i="5"/>
  <c r="BS24" i="5"/>
  <c r="BV14" i="5"/>
  <c r="BU14" i="5"/>
  <c r="BT14" i="5"/>
  <c r="AI28" i="23"/>
  <c r="AW28" i="26" s="1"/>
  <c r="AG28" i="23"/>
  <c r="AM28" i="26"/>
  <c r="C29" i="62"/>
  <c r="I22" i="62" s="1"/>
  <c r="I21" i="62"/>
  <c r="BO36" i="7"/>
  <c r="BS36" i="7"/>
  <c r="BN36" i="7"/>
  <c r="BP36" i="7"/>
  <c r="AO31" i="23"/>
  <c r="BE26" i="26"/>
  <c r="O40" i="6"/>
  <c r="O43" i="6"/>
  <c r="BO19" i="5"/>
  <c r="BP19" i="5" s="1"/>
  <c r="BR19" i="5"/>
  <c r="BR20" i="5"/>
  <c r="BO30" i="5" s="1"/>
  <c r="BO20" i="5"/>
  <c r="BP20" i="5" s="1"/>
  <c r="N101" i="49"/>
  <c r="BB29" i="49"/>
  <c r="ES46" i="49"/>
  <c r="DX46" i="49"/>
  <c r="AD112" i="49" s="1"/>
  <c r="CW46" i="49"/>
  <c r="CB46" i="49"/>
  <c r="T112" i="49" s="1"/>
  <c r="BA46" i="49"/>
  <c r="AF46" i="49"/>
  <c r="J112" i="49" s="1"/>
  <c r="AA46" i="49"/>
  <c r="G112" i="49" s="1"/>
  <c r="E46" i="49"/>
  <c r="DA46" i="49"/>
  <c r="BE46" i="49"/>
  <c r="I46" i="49"/>
  <c r="EV46" i="49"/>
  <c r="AI112" i="49" s="1"/>
  <c r="DU46" i="49"/>
  <c r="CZ46" i="49"/>
  <c r="Y112" i="49" s="1"/>
  <c r="CU46" i="49"/>
  <c r="V112" i="49" s="1"/>
  <c r="BY46" i="49"/>
  <c r="BD46" i="49"/>
  <c r="O112" i="49" s="1"/>
  <c r="AY46" i="49"/>
  <c r="L112" i="49" s="1"/>
  <c r="AC46" i="49"/>
  <c r="H46" i="49"/>
  <c r="E112" i="49" s="1"/>
  <c r="C46" i="49"/>
  <c r="B112" i="49" s="1"/>
  <c r="AG46" i="49"/>
  <c r="EV54" i="49"/>
  <c r="AI113" i="49" s="1"/>
  <c r="DU54" i="49"/>
  <c r="CZ54" i="49"/>
  <c r="Y113" i="49" s="1"/>
  <c r="CU54" i="49"/>
  <c r="V113" i="49" s="1"/>
  <c r="BY54" i="49"/>
  <c r="BD54" i="49"/>
  <c r="O113" i="49" s="1"/>
  <c r="AY54" i="49"/>
  <c r="L113" i="49" s="1"/>
  <c r="AC54" i="49"/>
  <c r="H54" i="49"/>
  <c r="E113" i="49" s="1"/>
  <c r="C54" i="49"/>
  <c r="B113" i="49" s="1"/>
  <c r="AG54" i="49"/>
  <c r="ES54" i="49"/>
  <c r="DX54" i="49"/>
  <c r="AD113" i="49" s="1"/>
  <c r="CW54" i="49"/>
  <c r="CB54" i="49"/>
  <c r="T113" i="49" s="1"/>
  <c r="BA54" i="49"/>
  <c r="AF54" i="49"/>
  <c r="J113" i="49" s="1"/>
  <c r="AA54" i="49"/>
  <c r="G113" i="49" s="1"/>
  <c r="E54" i="49"/>
  <c r="DA54" i="49"/>
  <c r="BE54" i="49"/>
  <c r="I54" i="49"/>
  <c r="D161" i="7"/>
  <c r="D157" i="7"/>
  <c r="D153" i="7"/>
  <c r="D162" i="7"/>
  <c r="D158" i="7"/>
  <c r="D154" i="7"/>
  <c r="D163" i="7"/>
  <c r="D159" i="7"/>
  <c r="D155" i="7"/>
  <c r="D160" i="7"/>
  <c r="D156" i="7"/>
  <c r="D152" i="7"/>
  <c r="EV39" i="49"/>
  <c r="AI105" i="49" s="1"/>
  <c r="DU39" i="49"/>
  <c r="CZ39" i="49"/>
  <c r="Y105" i="49" s="1"/>
  <c r="CU39" i="49"/>
  <c r="V105" i="49" s="1"/>
  <c r="BY39" i="49"/>
  <c r="BD39" i="49"/>
  <c r="O105" i="49" s="1"/>
  <c r="AY39" i="49"/>
  <c r="L105" i="49" s="1"/>
  <c r="AC39" i="49"/>
  <c r="H39" i="49"/>
  <c r="E105" i="49" s="1"/>
  <c r="C39" i="49"/>
  <c r="B105" i="49" s="1"/>
  <c r="AG39" i="49"/>
  <c r="ES39" i="49"/>
  <c r="DX39" i="49"/>
  <c r="AD105" i="49" s="1"/>
  <c r="CW39" i="49"/>
  <c r="CB39" i="49"/>
  <c r="T105" i="49" s="1"/>
  <c r="BA39" i="49"/>
  <c r="AF39" i="49"/>
  <c r="J105" i="49" s="1"/>
  <c r="AA39" i="49"/>
  <c r="G105" i="49" s="1"/>
  <c r="E39" i="49"/>
  <c r="DA39" i="49"/>
  <c r="BE39" i="49"/>
  <c r="I39" i="49"/>
  <c r="D102" i="49"/>
  <c r="F36" i="49"/>
  <c r="I95" i="49"/>
  <c r="AD23" i="49"/>
  <c r="N95" i="49"/>
  <c r="BB23" i="49"/>
  <c r="AC207" i="49"/>
  <c r="EL36" i="49"/>
  <c r="AH207" i="49"/>
  <c r="FJ36" i="49"/>
  <c r="DI23" i="49"/>
  <c r="BM23" i="49"/>
  <c r="Q23" i="49"/>
  <c r="FD23" i="49"/>
  <c r="AI140" i="49" s="1"/>
  <c r="EC23" i="49"/>
  <c r="DH23" i="49"/>
  <c r="Y140" i="49" s="1"/>
  <c r="DC23" i="49"/>
  <c r="V140" i="49" s="1"/>
  <c r="CG23" i="49"/>
  <c r="BL23" i="49"/>
  <c r="O140" i="49" s="1"/>
  <c r="BG23" i="49"/>
  <c r="L140" i="49" s="1"/>
  <c r="AK23" i="49"/>
  <c r="P23" i="49"/>
  <c r="E140" i="49" s="1"/>
  <c r="K23" i="49"/>
  <c r="B140" i="49" s="1"/>
  <c r="AO23" i="49"/>
  <c r="F121" i="7"/>
  <c r="FA23" i="49"/>
  <c r="EF23" i="49"/>
  <c r="AD140" i="49" s="1"/>
  <c r="DE23" i="49"/>
  <c r="CJ23" i="49"/>
  <c r="T140" i="49" s="1"/>
  <c r="BI23" i="49"/>
  <c r="AN23" i="49"/>
  <c r="J140" i="49" s="1"/>
  <c r="AI23" i="49"/>
  <c r="G140" i="49" s="1"/>
  <c r="M23" i="49"/>
  <c r="N139" i="49"/>
  <c r="BJ22" i="49"/>
  <c r="N31" i="60"/>
  <c r="S31" i="60" s="1"/>
  <c r="O31" i="60"/>
  <c r="S32" i="60" s="1"/>
  <c r="AO26" i="24"/>
  <c r="P30" i="9" s="1"/>
  <c r="G30" i="9"/>
  <c r="W57" i="6"/>
  <c r="S97" i="49"/>
  <c r="BZ25" i="49"/>
  <c r="X97" i="49"/>
  <c r="CX25" i="49"/>
  <c r="S98" i="49"/>
  <c r="BZ26" i="49"/>
  <c r="AH98" i="49"/>
  <c r="ET26" i="49"/>
  <c r="S100" i="49"/>
  <c r="BZ28" i="49"/>
  <c r="X100" i="49"/>
  <c r="CX28" i="49"/>
  <c r="AA57" i="47"/>
  <c r="AB57" i="47" s="1"/>
  <c r="S57" i="47"/>
  <c r="T57" i="47" s="1"/>
  <c r="W57" i="47" s="1"/>
  <c r="V57" i="47" s="1"/>
  <c r="AP15" i="23"/>
  <c r="AY15" i="26" s="1"/>
  <c r="BE15" i="26" s="1"/>
  <c r="K9" i="25"/>
  <c r="T9" i="25" s="1"/>
  <c r="AR29" i="25"/>
  <c r="Z33" i="9" s="1"/>
  <c r="AR17" i="25"/>
  <c r="Z21" i="9" s="1"/>
  <c r="AR28" i="25"/>
  <c r="Z32" i="9" s="1"/>
  <c r="AR19" i="25"/>
  <c r="Z23" i="9" s="1"/>
  <c r="AR27" i="25"/>
  <c r="Z31" i="9" s="1"/>
  <c r="AR18" i="25"/>
  <c r="Z22" i="9" s="1"/>
  <c r="AR8" i="25"/>
  <c r="Z12" i="9" s="1"/>
  <c r="AR9" i="25"/>
  <c r="Z13" i="9" s="1"/>
  <c r="AR7" i="25"/>
  <c r="Z11" i="9" s="1"/>
  <c r="AB36" i="6"/>
  <c r="I102" i="6" s="1"/>
  <c r="K21" i="23" s="1"/>
  <c r="AB32" i="6"/>
  <c r="I98" i="6" s="1"/>
  <c r="K17" i="23" s="1"/>
  <c r="AB33" i="6"/>
  <c r="I99" i="6" s="1"/>
  <c r="K18" i="23" s="1"/>
  <c r="AB34" i="6"/>
  <c r="I100" i="6" s="1"/>
  <c r="K19" i="23" s="1"/>
  <c r="AB38" i="6"/>
  <c r="I104" i="6" s="1"/>
  <c r="K23" i="23" s="1"/>
  <c r="AB35" i="6"/>
  <c r="I101" i="6" s="1"/>
  <c r="K20" i="23" s="1"/>
  <c r="AB29" i="6"/>
  <c r="I95" i="6" s="1"/>
  <c r="K14" i="23" s="1"/>
  <c r="AB31" i="6"/>
  <c r="I97" i="6" s="1"/>
  <c r="K16" i="23" s="1"/>
  <c r="AB30" i="6"/>
  <c r="I96" i="6" s="1"/>
  <c r="K15" i="23" s="1"/>
  <c r="AB37" i="6"/>
  <c r="I103" i="6" s="1"/>
  <c r="K22" i="23" s="1"/>
  <c r="CY11" i="5"/>
  <c r="CX11" i="5"/>
  <c r="CW11" i="5"/>
  <c r="AO21" i="23"/>
  <c r="AP21" i="23"/>
  <c r="AY21" i="26" s="1"/>
  <c r="BE21" i="26" s="1"/>
  <c r="BI7" i="26"/>
  <c r="BJ7" i="26" s="1"/>
  <c r="CP6" i="7"/>
  <c r="EP13" i="7"/>
  <c r="EG13" i="7"/>
  <c r="DX13" i="7"/>
  <c r="DO13" i="7"/>
  <c r="DF13" i="7"/>
  <c r="DB13" i="7"/>
  <c r="DK13" i="7" s="1"/>
  <c r="DT13" i="7" s="1"/>
  <c r="EC13" i="7" s="1"/>
  <c r="EL13" i="7" s="1"/>
  <c r="CW13" i="7"/>
  <c r="EO13" i="7"/>
  <c r="EF13" i="7"/>
  <c r="DW13" i="7"/>
  <c r="DN13" i="7"/>
  <c r="DE13" i="7"/>
  <c r="CV13" i="7"/>
  <c r="DH13" i="7"/>
  <c r="CY13" i="7"/>
  <c r="EQ13" i="7"/>
  <c r="EH13" i="7"/>
  <c r="DY13" i="7"/>
  <c r="DP13" i="7"/>
  <c r="DG13" i="7"/>
  <c r="DC13" i="7"/>
  <c r="CX13" i="7"/>
  <c r="CT13" i="7"/>
  <c r="X153" i="49"/>
  <c r="DF36" i="49"/>
  <c r="I153" i="49"/>
  <c r="AL36" i="49"/>
  <c r="AA58" i="47"/>
  <c r="AB58" i="47" s="1"/>
  <c r="S58" i="47"/>
  <c r="T58" i="47" s="1"/>
  <c r="W58" i="47" s="1"/>
  <c r="V58" i="47" s="1"/>
  <c r="CD35" i="5"/>
  <c r="CC35" i="5"/>
  <c r="CG42" i="5" s="1"/>
  <c r="CG48" i="5" s="1"/>
  <c r="CA35" i="5"/>
  <c r="AG7" i="25"/>
  <c r="AF7" i="25"/>
  <c r="AE6" i="25"/>
  <c r="AI6" i="25"/>
  <c r="CU24" i="5"/>
  <c r="CU30" i="5" s="1"/>
  <c r="D193" i="49"/>
  <c r="V22" i="49"/>
  <c r="AC193" i="49"/>
  <c r="EL22" i="49"/>
  <c r="AH94" i="49"/>
  <c r="ET22" i="49"/>
  <c r="S94" i="49"/>
  <c r="BZ22" i="49"/>
  <c r="D96" i="49"/>
  <c r="F24" i="49"/>
  <c r="AC96" i="49"/>
  <c r="DV24" i="49"/>
  <c r="AA44" i="47"/>
  <c r="AB44" i="47" s="1"/>
  <c r="S44" i="47"/>
  <c r="T44" i="47" s="1"/>
  <c r="W44" i="47" s="1"/>
  <c r="V44" i="47" s="1"/>
  <c r="AA50" i="47"/>
  <c r="AB50" i="47" s="1"/>
  <c r="S50" i="47"/>
  <c r="T50" i="47" s="1"/>
  <c r="W50" i="47" s="1"/>
  <c r="V50" i="47" s="1"/>
  <c r="BK38" i="7"/>
  <c r="BF38" i="7"/>
  <c r="BH38" i="7"/>
  <c r="BG38" i="7"/>
  <c r="R22" i="6"/>
  <c r="CS24" i="5"/>
  <c r="CS30" i="5" s="1"/>
  <c r="CG36" i="5"/>
  <c r="CK36" i="5"/>
  <c r="CH36" i="5"/>
  <c r="L10" i="23"/>
  <c r="AT10" i="26" s="1"/>
  <c r="BA10" i="26" s="1"/>
  <c r="AI10" i="24"/>
  <c r="J14" i="9" s="1"/>
  <c r="AJ10" i="26"/>
  <c r="L11" i="23"/>
  <c r="AT11" i="26" s="1"/>
  <c r="AJ11" i="26"/>
  <c r="AI11" i="24"/>
  <c r="J15" i="9" s="1"/>
  <c r="L9" i="23"/>
  <c r="AT9" i="26" s="1"/>
  <c r="BA9" i="26" s="1"/>
  <c r="AJ9" i="26"/>
  <c r="AI9" i="24"/>
  <c r="J13" i="9" s="1"/>
  <c r="BO7" i="5"/>
  <c r="BP7" i="5" s="1"/>
  <c r="BR7" i="5"/>
  <c r="BC26" i="5"/>
  <c r="BG26" i="5" s="1"/>
  <c r="BS6" i="5"/>
  <c r="BC25" i="5"/>
  <c r="BG25" i="5" s="1"/>
  <c r="BC24" i="5"/>
  <c r="BG24" i="5" s="1"/>
  <c r="BS16" i="5"/>
  <c r="Q34" i="6"/>
  <c r="O34" i="6"/>
  <c r="BR18" i="5"/>
  <c r="BO18" i="5"/>
  <c r="BP18" i="5" s="1"/>
  <c r="BS8" i="5"/>
  <c r="BS18" i="5"/>
  <c r="BS17" i="5"/>
  <c r="BC28" i="5"/>
  <c r="BG28" i="5" s="1"/>
  <c r="BC27" i="5"/>
  <c r="BG27" i="5" s="1"/>
  <c r="BS7" i="5"/>
  <c r="Q33" i="6"/>
  <c r="O33" i="6"/>
  <c r="BO27" i="5"/>
  <c r="D129" i="49"/>
  <c r="N12" i="49"/>
  <c r="X129" i="49"/>
  <c r="DF12" i="49"/>
  <c r="BV16" i="5"/>
  <c r="BU16" i="5"/>
  <c r="BT16" i="5"/>
  <c r="J195" i="51"/>
  <c r="O202" i="51" s="1"/>
  <c r="J156" i="51"/>
  <c r="O162" i="51" s="1"/>
  <c r="J127" i="51"/>
  <c r="J95" i="51"/>
  <c r="O102" i="51" s="1"/>
  <c r="J190" i="51"/>
  <c r="O192" i="51" s="1"/>
  <c r="J151" i="51"/>
  <c r="O152" i="51" s="1"/>
  <c r="J70" i="51"/>
  <c r="O72" i="51" s="1"/>
  <c r="J56" i="51"/>
  <c r="O62" i="51" s="1"/>
  <c r="J170" i="51"/>
  <c r="O172" i="51" s="1"/>
  <c r="F127" i="51"/>
  <c r="J27" i="51"/>
  <c r="F15" i="51"/>
  <c r="O22" i="51" s="1"/>
  <c r="J90" i="51"/>
  <c r="J51" i="51"/>
  <c r="O52" i="51" s="1"/>
  <c r="F27" i="51"/>
  <c r="CL42" i="5"/>
  <c r="CL48" i="5" s="1"/>
  <c r="EP5" i="7"/>
  <c r="EG5" i="7"/>
  <c r="DX5" i="7"/>
  <c r="DO5" i="7"/>
  <c r="DF5" i="7"/>
  <c r="DB5" i="7"/>
  <c r="DK5" i="7" s="1"/>
  <c r="DT5" i="7" s="1"/>
  <c r="EC5" i="7" s="1"/>
  <c r="EL5" i="7" s="1"/>
  <c r="CW5" i="7"/>
  <c r="EO5" i="7"/>
  <c r="EF5" i="7"/>
  <c r="DW5" i="7"/>
  <c r="DN5" i="7"/>
  <c r="DE5" i="7"/>
  <c r="CV5" i="7"/>
  <c r="DH5" i="7"/>
  <c r="CY5" i="7"/>
  <c r="EQ5" i="7"/>
  <c r="EH5" i="7"/>
  <c r="DY5" i="7"/>
  <c r="DP5" i="7"/>
  <c r="DG5" i="7"/>
  <c r="DC5" i="7"/>
  <c r="CX5" i="7"/>
  <c r="CT5" i="7"/>
  <c r="AG30" i="23"/>
  <c r="AI30" i="23"/>
  <c r="AW30" i="26" s="1"/>
  <c r="BD30" i="26" s="1"/>
  <c r="AM30" i="26"/>
  <c r="AH99" i="49"/>
  <c r="ET27" i="49"/>
  <c r="S99" i="49"/>
  <c r="BZ27" i="49"/>
  <c r="Y13" i="24"/>
  <c r="H94" i="6"/>
  <c r="H91" i="6"/>
  <c r="Y10" i="24"/>
  <c r="CM36" i="5"/>
  <c r="BE27" i="26"/>
  <c r="C61" i="1"/>
  <c r="D61" i="1" s="1"/>
  <c r="L158" i="47"/>
  <c r="L154" i="47"/>
  <c r="L156" i="47"/>
  <c r="L150" i="47"/>
  <c r="L146" i="47"/>
  <c r="L142" i="47"/>
  <c r="L138" i="47"/>
  <c r="L134" i="47"/>
  <c r="L130" i="47"/>
  <c r="L126" i="47"/>
  <c r="L122" i="47"/>
  <c r="L160" i="47"/>
  <c r="L148" i="47"/>
  <c r="L144" i="47"/>
  <c r="L140" i="47"/>
  <c r="L136" i="47"/>
  <c r="L132" i="47"/>
  <c r="L128" i="47"/>
  <c r="L124" i="47"/>
  <c r="L120" i="47"/>
  <c r="L78" i="47"/>
  <c r="L74" i="47"/>
  <c r="L152" i="47"/>
  <c r="L118" i="47"/>
  <c r="L116" i="47"/>
  <c r="L114" i="47"/>
  <c r="L112" i="47"/>
  <c r="L110" i="47"/>
  <c r="L108" i="47"/>
  <c r="L106" i="47"/>
  <c r="L104" i="47"/>
  <c r="L102" i="47"/>
  <c r="L100" i="47"/>
  <c r="L98" i="47"/>
  <c r="L92" i="47"/>
  <c r="L60" i="47"/>
  <c r="L40" i="47"/>
  <c r="L38" i="47"/>
  <c r="L88" i="47"/>
  <c r="L86" i="47"/>
  <c r="L80" i="47"/>
  <c r="L72" i="47"/>
  <c r="L68" i="47"/>
  <c r="L64" i="47"/>
  <c r="L34" i="47"/>
  <c r="L30" i="47"/>
  <c r="L26" i="47"/>
  <c r="L24" i="47"/>
  <c r="L96" i="47"/>
  <c r="L84" i="47"/>
  <c r="L62" i="47"/>
  <c r="L94" i="47"/>
  <c r="L90" i="47"/>
  <c r="L82" i="47"/>
  <c r="L76" i="47"/>
  <c r="L70" i="47"/>
  <c r="L66" i="47"/>
  <c r="L36" i="47"/>
  <c r="L32" i="47"/>
  <c r="L28" i="47"/>
  <c r="AB8" i="9"/>
  <c r="O44" i="6"/>
  <c r="BR9" i="5"/>
  <c r="BO9" i="5"/>
  <c r="BP9" i="5" s="1"/>
  <c r="O39" i="6"/>
  <c r="Q39" i="6"/>
  <c r="BC36" i="5"/>
  <c r="BG36" i="5" s="1"/>
  <c r="BC35" i="5"/>
  <c r="BG35" i="5" s="1"/>
  <c r="BC34" i="5"/>
  <c r="BG34" i="5" s="1"/>
  <c r="BC38" i="5"/>
  <c r="BG38" i="5" s="1"/>
  <c r="BC37" i="5"/>
  <c r="BG37" i="5" s="1"/>
  <c r="D101" i="49"/>
  <c r="F29" i="49"/>
  <c r="AC101" i="49"/>
  <c r="DV29" i="49"/>
  <c r="EV37" i="49"/>
  <c r="AI103" i="49" s="1"/>
  <c r="DU37" i="49"/>
  <c r="CZ37" i="49"/>
  <c r="Y103" i="49" s="1"/>
  <c r="CU37" i="49"/>
  <c r="V103" i="49" s="1"/>
  <c r="BY37" i="49"/>
  <c r="BD37" i="49"/>
  <c r="O103" i="49" s="1"/>
  <c r="AY37" i="49"/>
  <c r="L103" i="49" s="1"/>
  <c r="AC37" i="49"/>
  <c r="H37" i="49"/>
  <c r="E103" i="49" s="1"/>
  <c r="C37" i="49"/>
  <c r="B103" i="49" s="1"/>
  <c r="AG37" i="49"/>
  <c r="ES37" i="49"/>
  <c r="DX37" i="49"/>
  <c r="AD103" i="49" s="1"/>
  <c r="CW37" i="49"/>
  <c r="CB37" i="49"/>
  <c r="T103" i="49" s="1"/>
  <c r="BA37" i="49"/>
  <c r="AF37" i="49"/>
  <c r="J103" i="49" s="1"/>
  <c r="AA37" i="49"/>
  <c r="G103" i="49" s="1"/>
  <c r="E37" i="49"/>
  <c r="DA37" i="49"/>
  <c r="BE37" i="49"/>
  <c r="I37" i="49"/>
  <c r="ES40" i="49"/>
  <c r="DX40" i="49"/>
  <c r="AD106" i="49" s="1"/>
  <c r="CW40" i="49"/>
  <c r="CB40" i="49"/>
  <c r="T106" i="49" s="1"/>
  <c r="BA40" i="49"/>
  <c r="AF40" i="49"/>
  <c r="J106" i="49" s="1"/>
  <c r="AA40" i="49"/>
  <c r="G106" i="49" s="1"/>
  <c r="E40" i="49"/>
  <c r="DA40" i="49"/>
  <c r="BE40" i="49"/>
  <c r="I40" i="49"/>
  <c r="EV40" i="49"/>
  <c r="AI106" i="49" s="1"/>
  <c r="DU40" i="49"/>
  <c r="CZ40" i="49"/>
  <c r="Y106" i="49" s="1"/>
  <c r="CU40" i="49"/>
  <c r="V106" i="49" s="1"/>
  <c r="BY40" i="49"/>
  <c r="BD40" i="49"/>
  <c r="O106" i="49" s="1"/>
  <c r="AY40" i="49"/>
  <c r="L106" i="49" s="1"/>
  <c r="AC40" i="49"/>
  <c r="H40" i="49"/>
  <c r="E106" i="49" s="1"/>
  <c r="C40" i="49"/>
  <c r="B106" i="49" s="1"/>
  <c r="AG40" i="49"/>
  <c r="EV43" i="49"/>
  <c r="AI109" i="49" s="1"/>
  <c r="DU43" i="49"/>
  <c r="CZ43" i="49"/>
  <c r="Y109" i="49" s="1"/>
  <c r="CU43" i="49"/>
  <c r="V109" i="49" s="1"/>
  <c r="BY43" i="49"/>
  <c r="BD43" i="49"/>
  <c r="O109" i="49" s="1"/>
  <c r="AY43" i="49"/>
  <c r="L109" i="49" s="1"/>
  <c r="AC43" i="49"/>
  <c r="H43" i="49"/>
  <c r="E109" i="49" s="1"/>
  <c r="C43" i="49"/>
  <c r="B109" i="49" s="1"/>
  <c r="AG43" i="49"/>
  <c r="ES43" i="49"/>
  <c r="DX43" i="49"/>
  <c r="AD109" i="49" s="1"/>
  <c r="CW43" i="49"/>
  <c r="CB43" i="49"/>
  <c r="T109" i="49" s="1"/>
  <c r="BA43" i="49"/>
  <c r="AF43" i="49"/>
  <c r="J109" i="49" s="1"/>
  <c r="AA43" i="49"/>
  <c r="G109" i="49" s="1"/>
  <c r="E43" i="49"/>
  <c r="DA43" i="49"/>
  <c r="BE43" i="49"/>
  <c r="I43" i="49"/>
  <c r="AC102" i="49"/>
  <c r="DV36" i="49"/>
  <c r="AH102" i="49"/>
  <c r="ET36" i="49"/>
  <c r="D95" i="49"/>
  <c r="F23" i="49"/>
  <c r="FL37" i="49"/>
  <c r="AI208" i="49" s="1"/>
  <c r="EK37" i="49"/>
  <c r="DP37" i="49"/>
  <c r="Y208" i="49" s="1"/>
  <c r="DK37" i="49"/>
  <c r="V208" i="49" s="1"/>
  <c r="CO37" i="49"/>
  <c r="BT37" i="49"/>
  <c r="O208" i="49" s="1"/>
  <c r="BO37" i="49"/>
  <c r="L208" i="49" s="1"/>
  <c r="AS37" i="49"/>
  <c r="X37" i="49"/>
  <c r="E208" i="49" s="1"/>
  <c r="S37" i="49"/>
  <c r="B208" i="49" s="1"/>
  <c r="AW37" i="49"/>
  <c r="FI37" i="49"/>
  <c r="EN37" i="49"/>
  <c r="AD208" i="49" s="1"/>
  <c r="DM37" i="49"/>
  <c r="CR37" i="49"/>
  <c r="T208" i="49" s="1"/>
  <c r="BQ37" i="49"/>
  <c r="AV37" i="49"/>
  <c r="J208" i="49" s="1"/>
  <c r="AQ37" i="49"/>
  <c r="G208" i="49" s="1"/>
  <c r="U37" i="49"/>
  <c r="DQ37" i="49"/>
  <c r="BU37" i="49"/>
  <c r="Y37" i="49"/>
  <c r="H135" i="7"/>
  <c r="S207" i="49"/>
  <c r="CP36" i="49"/>
  <c r="X207" i="49"/>
  <c r="DN36" i="49"/>
  <c r="AC139" i="49"/>
  <c r="ED22" i="49"/>
  <c r="D139" i="49"/>
  <c r="N22" i="49"/>
  <c r="K6" i="34"/>
  <c r="AG26" i="23"/>
  <c r="AI26" i="23" s="1"/>
  <c r="AW26" i="26" s="1"/>
  <c r="BD26" i="26" s="1"/>
  <c r="AM26" i="26"/>
  <c r="I97" i="49"/>
  <c r="AD25" i="49"/>
  <c r="N97" i="49"/>
  <c r="BB25" i="49"/>
  <c r="N98" i="49"/>
  <c r="BB26" i="49"/>
  <c r="X98" i="49"/>
  <c r="CX26" i="49"/>
  <c r="I100" i="49"/>
  <c r="AD28" i="49"/>
  <c r="N100" i="49"/>
  <c r="BB28" i="49"/>
  <c r="AA42" i="47"/>
  <c r="AB42" i="47" s="1"/>
  <c r="S42" i="47"/>
  <c r="T42" i="47" s="1"/>
  <c r="W42" i="47" s="1"/>
  <c r="V42" i="47" s="1"/>
  <c r="R28" i="6"/>
  <c r="BH39" i="7"/>
  <c r="BG39" i="7"/>
  <c r="BK39" i="7"/>
  <c r="BF39" i="7"/>
  <c r="AO19" i="24"/>
  <c r="P23" i="9" s="1"/>
  <c r="G23" i="9"/>
  <c r="BO40" i="7"/>
  <c r="BS40" i="7"/>
  <c r="BN40" i="7"/>
  <c r="BP40" i="7"/>
  <c r="AC11" i="9"/>
  <c r="EP9" i="7"/>
  <c r="EG9" i="7"/>
  <c r="DX9" i="7"/>
  <c r="DO9" i="7"/>
  <c r="DF9" i="7"/>
  <c r="DB9" i="7"/>
  <c r="DK9" i="7" s="1"/>
  <c r="DT9" i="7" s="1"/>
  <c r="EC9" i="7" s="1"/>
  <c r="EL9" i="7" s="1"/>
  <c r="CW9" i="7"/>
  <c r="EO9" i="7"/>
  <c r="EF9" i="7"/>
  <c r="DW9" i="7"/>
  <c r="DN9" i="7"/>
  <c r="DE9" i="7"/>
  <c r="CV9" i="7"/>
  <c r="DH9" i="7"/>
  <c r="CY9" i="7"/>
  <c r="EQ9" i="7"/>
  <c r="EH9" i="7"/>
  <c r="DY9" i="7"/>
  <c r="DP9" i="7"/>
  <c r="DG9" i="7"/>
  <c r="DC9" i="7"/>
  <c r="CX9" i="7"/>
  <c r="CT9" i="7"/>
  <c r="D23" i="41"/>
  <c r="BP32" i="7"/>
  <c r="BO32" i="7"/>
  <c r="BS32" i="7"/>
  <c r="BN32" i="7"/>
  <c r="FA37" i="49"/>
  <c r="EF37" i="49"/>
  <c r="AD154" i="49" s="1"/>
  <c r="DE37" i="49"/>
  <c r="CJ37" i="49"/>
  <c r="T154" i="49" s="1"/>
  <c r="BI37" i="49"/>
  <c r="AN37" i="49"/>
  <c r="J154" i="49" s="1"/>
  <c r="AI37" i="49"/>
  <c r="G154" i="49" s="1"/>
  <c r="M37" i="49"/>
  <c r="DI37" i="49"/>
  <c r="BM37" i="49"/>
  <c r="Q37" i="49"/>
  <c r="FD37" i="49"/>
  <c r="AI154" i="49" s="1"/>
  <c r="EC37" i="49"/>
  <c r="DH37" i="49"/>
  <c r="Y154" i="49" s="1"/>
  <c r="DC37" i="49"/>
  <c r="V154" i="49" s="1"/>
  <c r="CG37" i="49"/>
  <c r="BL37" i="49"/>
  <c r="O154" i="49" s="1"/>
  <c r="BG37" i="49"/>
  <c r="L154" i="49" s="1"/>
  <c r="AK37" i="49"/>
  <c r="P37" i="49"/>
  <c r="E154" i="49" s="1"/>
  <c r="K37" i="49"/>
  <c r="B154" i="49" s="1"/>
  <c r="AO37" i="49"/>
  <c r="F135" i="7"/>
  <c r="N153" i="49"/>
  <c r="BJ36" i="49"/>
  <c r="AA52" i="47"/>
  <c r="AB52" i="47" s="1"/>
  <c r="S52" i="47"/>
  <c r="T52" i="47" s="1"/>
  <c r="W52" i="47" s="1"/>
  <c r="V52" i="47" s="1"/>
  <c r="AA43" i="47"/>
  <c r="AB43" i="47" s="1"/>
  <c r="S43" i="47"/>
  <c r="T43" i="47" s="1"/>
  <c r="W43" i="47" s="1"/>
  <c r="V43" i="47" s="1"/>
  <c r="AG13" i="23"/>
  <c r="AI13" i="23" s="1"/>
  <c r="AW13" i="26" s="1"/>
  <c r="BD13" i="26" s="1"/>
  <c r="AM13" i="26"/>
  <c r="CN35" i="5"/>
  <c r="CH41" i="5" s="1"/>
  <c r="CH47" i="5" s="1"/>
  <c r="CH35" i="5"/>
  <c r="CF41" i="5" s="1"/>
  <c r="CF47" i="5" s="1"/>
  <c r="CF35" i="5"/>
  <c r="CE42" i="5" s="1"/>
  <c r="CE48" i="5" s="1"/>
  <c r="U8" i="24"/>
  <c r="F12" i="9" s="1"/>
  <c r="P23" i="6"/>
  <c r="R23" i="6" s="1"/>
  <c r="BY4" i="26"/>
  <c r="AH193" i="49"/>
  <c r="FJ22" i="49"/>
  <c r="S193" i="49"/>
  <c r="CP22" i="49"/>
  <c r="C36" i="27"/>
  <c r="D35" i="27" s="1"/>
  <c r="D23" i="27"/>
  <c r="AI20" i="23"/>
  <c r="AW20" i="26" s="1"/>
  <c r="AG20" i="23"/>
  <c r="AM20" i="26"/>
  <c r="CB41" i="5"/>
  <c r="CB47" i="5" s="1"/>
  <c r="CC41" i="5"/>
  <c r="CC47" i="5" s="1"/>
  <c r="X94" i="49"/>
  <c r="CX22" i="49"/>
  <c r="I94" i="49"/>
  <c r="AD22" i="49"/>
  <c r="AH96" i="49"/>
  <c r="ET24" i="49"/>
  <c r="S96" i="49"/>
  <c r="BZ24" i="49"/>
  <c r="AA56" i="47"/>
  <c r="AB56" i="47" s="1"/>
  <c r="S56" i="47"/>
  <c r="T56" i="47" s="1"/>
  <c r="W56" i="47" s="1"/>
  <c r="V56" i="47" s="1"/>
  <c r="AA47" i="47"/>
  <c r="AB47" i="47" s="1"/>
  <c r="S47" i="47"/>
  <c r="T47" i="47" s="1"/>
  <c r="W47" i="47" s="1"/>
  <c r="V47" i="47" s="1"/>
  <c r="L30" i="2"/>
  <c r="N28" i="2"/>
  <c r="J28" i="2"/>
  <c r="L26" i="2"/>
  <c r="S26" i="2" s="1"/>
  <c r="L24" i="2"/>
  <c r="J30" i="2"/>
  <c r="K27" i="2"/>
  <c r="J26" i="2"/>
  <c r="R26" i="2" s="1"/>
  <c r="I25" i="2"/>
  <c r="L29" i="2"/>
  <c r="I26" i="2"/>
  <c r="M24" i="2"/>
  <c r="N29" i="2"/>
  <c r="J29" i="2"/>
  <c r="R29" i="2" s="1"/>
  <c r="L27" i="2"/>
  <c r="S27" i="2" s="1"/>
  <c r="N25" i="2"/>
  <c r="T25" i="2" s="1"/>
  <c r="J25" i="2"/>
  <c r="R25" i="2" s="1"/>
  <c r="M29" i="2"/>
  <c r="L28" i="2"/>
  <c r="S28" i="2" s="1"/>
  <c r="N26" i="2"/>
  <c r="T26" i="2" s="1"/>
  <c r="J24" i="2"/>
  <c r="N27" i="2"/>
  <c r="T27" i="2" s="1"/>
  <c r="M26" i="2"/>
  <c r="N30" i="2"/>
  <c r="T30" i="2" s="1"/>
  <c r="I29" i="2"/>
  <c r="M25" i="2"/>
  <c r="N24" i="2"/>
  <c r="J27" i="2"/>
  <c r="K28" i="2"/>
  <c r="L25" i="2"/>
  <c r="S25" i="2" s="1"/>
  <c r="I24" i="2"/>
  <c r="K29" i="2"/>
  <c r="K26" i="2"/>
  <c r="I28" i="2"/>
  <c r="M28" i="2"/>
  <c r="I30" i="2"/>
  <c r="K25" i="2"/>
  <c r="K30" i="2"/>
  <c r="M30" i="2"/>
  <c r="I27" i="2"/>
  <c r="M27" i="2"/>
  <c r="K24" i="2"/>
  <c r="O92" i="51"/>
  <c r="AP24" i="23"/>
  <c r="AY24" i="26" s="1"/>
  <c r="BE24" i="26" s="1"/>
  <c r="AO24" i="23"/>
  <c r="CA36" i="5"/>
  <c r="CD36" i="5"/>
  <c r="CI40" i="5" s="1"/>
  <c r="CI46" i="5" s="1"/>
  <c r="CB36" i="5"/>
  <c r="CN36" i="5"/>
  <c r="CL41" i="5" s="1"/>
  <c r="CL47" i="5" s="1"/>
  <c r="AI4" i="24"/>
  <c r="J8" i="9" s="1"/>
  <c r="L4" i="23"/>
  <c r="AT4" i="26" s="1"/>
  <c r="BA4" i="26" s="1"/>
  <c r="AJ4" i="26"/>
  <c r="BS6" i="26" s="1"/>
  <c r="AI6" i="24"/>
  <c r="J10" i="9" s="1"/>
  <c r="L6" i="23"/>
  <c r="AT6" i="26" s="1"/>
  <c r="AJ6" i="26"/>
  <c r="BH37" i="7"/>
  <c r="BG37" i="7"/>
  <c r="BK37" i="7"/>
  <c r="BF37" i="7"/>
  <c r="AB5" i="26"/>
  <c r="AE5" i="26"/>
  <c r="AC5" i="26"/>
  <c r="Z5" i="26"/>
  <c r="AD5" i="26"/>
  <c r="O132" i="51" l="1"/>
  <c r="U8" i="9"/>
  <c r="AJ8" i="9" s="1"/>
  <c r="AN8" i="9" s="1"/>
  <c r="CI4" i="26"/>
  <c r="BQ6" i="26"/>
  <c r="P41" i="9"/>
  <c r="BQ4" i="26"/>
  <c r="BQ5" i="26"/>
  <c r="CH4" i="26"/>
  <c r="O41" i="9"/>
  <c r="BP5" i="26"/>
  <c r="BP6" i="26"/>
  <c r="BP4" i="26"/>
  <c r="BR6" i="26"/>
  <c r="BR5" i="26"/>
  <c r="BR4" i="26"/>
  <c r="CE4" i="26"/>
  <c r="BM4" i="26"/>
  <c r="BM6" i="26"/>
  <c r="BM5" i="26"/>
  <c r="L41" i="9"/>
  <c r="CG4" i="26"/>
  <c r="BO4" i="26"/>
  <c r="N41" i="9"/>
  <c r="BO5" i="26"/>
  <c r="BO6" i="26"/>
  <c r="BV30" i="5"/>
  <c r="BR30" i="5"/>
  <c r="BT30" i="5"/>
  <c r="BX30" i="5"/>
  <c r="BS30" i="5"/>
  <c r="BW30" i="5"/>
  <c r="BQ30" i="5"/>
  <c r="BU30" i="5"/>
  <c r="BP30" i="5"/>
  <c r="AC109" i="49"/>
  <c r="DV43" i="49"/>
  <c r="D106" i="49"/>
  <c r="F40" i="49"/>
  <c r="X103" i="49"/>
  <c r="CX37" i="49"/>
  <c r="I103" i="49"/>
  <c r="AD37" i="49"/>
  <c r="V66" i="47"/>
  <c r="W66" i="47" s="1"/>
  <c r="Z66" i="47" s="1"/>
  <c r="Y66" i="47" s="1"/>
  <c r="AA66" i="47"/>
  <c r="AB66" i="47" s="1"/>
  <c r="V90" i="47"/>
  <c r="W90" i="47" s="1"/>
  <c r="Z90" i="47" s="1"/>
  <c r="Y90" i="47" s="1"/>
  <c r="AA90" i="47"/>
  <c r="AB90" i="47" s="1"/>
  <c r="V96" i="47"/>
  <c r="W96" i="47" s="1"/>
  <c r="Z96" i="47" s="1"/>
  <c r="Y96" i="47" s="1"/>
  <c r="AA96" i="47"/>
  <c r="AB96" i="47" s="1"/>
  <c r="V34" i="47"/>
  <c r="W34" i="47" s="1"/>
  <c r="Z34" i="47" s="1"/>
  <c r="Y34" i="47" s="1"/>
  <c r="AA34" i="47"/>
  <c r="AB34" i="47" s="1"/>
  <c r="V80" i="47"/>
  <c r="W80" i="47" s="1"/>
  <c r="Z80" i="47" s="1"/>
  <c r="Y80" i="47" s="1"/>
  <c r="AA80" i="47"/>
  <c r="AB80" i="47" s="1"/>
  <c r="V40" i="47"/>
  <c r="W40" i="47" s="1"/>
  <c r="Z40" i="47" s="1"/>
  <c r="Y40" i="47" s="1"/>
  <c r="AA40" i="47"/>
  <c r="AB40" i="47" s="1"/>
  <c r="V100" i="47"/>
  <c r="W100" i="47" s="1"/>
  <c r="Z100" i="47" s="1"/>
  <c r="Y100" i="47" s="1"/>
  <c r="AA100" i="47"/>
  <c r="AB100" i="47" s="1"/>
  <c r="V108" i="47"/>
  <c r="W108" i="47" s="1"/>
  <c r="Z108" i="47" s="1"/>
  <c r="Y108" i="47" s="1"/>
  <c r="AA108" i="47"/>
  <c r="AB108" i="47" s="1"/>
  <c r="V116" i="47"/>
  <c r="W116" i="47" s="1"/>
  <c r="Z116" i="47" s="1"/>
  <c r="Y116" i="47" s="1"/>
  <c r="AA116" i="47"/>
  <c r="AB116" i="47" s="1"/>
  <c r="V78" i="47"/>
  <c r="W78" i="47" s="1"/>
  <c r="Z78" i="47" s="1"/>
  <c r="Y78" i="47" s="1"/>
  <c r="AA78" i="47"/>
  <c r="AB78" i="47" s="1"/>
  <c r="V132" i="47"/>
  <c r="W132" i="47" s="1"/>
  <c r="Z132" i="47" s="1"/>
  <c r="Y132" i="47" s="1"/>
  <c r="AA132" i="47"/>
  <c r="AB132" i="47" s="1"/>
  <c r="V148" i="47"/>
  <c r="W148" i="47" s="1"/>
  <c r="Z148" i="47" s="1"/>
  <c r="Y148" i="47" s="1"/>
  <c r="AA148" i="47"/>
  <c r="AB148" i="47" s="1"/>
  <c r="V130" i="47"/>
  <c r="W130" i="47" s="1"/>
  <c r="Z130" i="47" s="1"/>
  <c r="Y130" i="47" s="1"/>
  <c r="AA130" i="47"/>
  <c r="AB130" i="47" s="1"/>
  <c r="V146" i="47"/>
  <c r="W146" i="47" s="1"/>
  <c r="Z146" i="47" s="1"/>
  <c r="Y146" i="47" s="1"/>
  <c r="AA146" i="47"/>
  <c r="AB146" i="47" s="1"/>
  <c r="V158" i="47"/>
  <c r="W158" i="47" s="1"/>
  <c r="Z158" i="47" s="1"/>
  <c r="Y158" i="47" s="1"/>
  <c r="AA158" i="47"/>
  <c r="AB158" i="47" s="1"/>
  <c r="CL40" i="5"/>
  <c r="CL46" i="5" s="1"/>
  <c r="O32" i="51"/>
  <c r="BV27" i="5"/>
  <c r="BR27" i="5"/>
  <c r="BW27" i="5"/>
  <c r="BQ27" i="5"/>
  <c r="BU27" i="5"/>
  <c r="BP27" i="5"/>
  <c r="BT27" i="5"/>
  <c r="BX27" i="5"/>
  <c r="BS27" i="5"/>
  <c r="CZ24" i="5"/>
  <c r="CV24" i="5"/>
  <c r="DA24" i="5"/>
  <c r="CY24" i="5"/>
  <c r="CX24" i="5"/>
  <c r="CW24" i="5"/>
  <c r="AE7" i="25"/>
  <c r="L16" i="23"/>
  <c r="AT16" i="26" s="1"/>
  <c r="BA16" i="26" s="1"/>
  <c r="AI16" i="24"/>
  <c r="J20" i="9" s="1"/>
  <c r="AJ16" i="26"/>
  <c r="L19" i="23"/>
  <c r="AT19" i="26" s="1"/>
  <c r="BA19" i="26" s="1"/>
  <c r="AI19" i="24"/>
  <c r="J23" i="9" s="1"/>
  <c r="AJ19" i="26"/>
  <c r="AA11" i="9"/>
  <c r="AA31" i="9"/>
  <c r="AA33" i="9"/>
  <c r="D140" i="49"/>
  <c r="N23" i="49"/>
  <c r="X105" i="49"/>
  <c r="CX39" i="49"/>
  <c r="I105" i="49"/>
  <c r="AD39" i="49"/>
  <c r="EV58" i="49"/>
  <c r="AI117" i="49" s="1"/>
  <c r="DU58" i="49"/>
  <c r="CZ58" i="49"/>
  <c r="Y117" i="49" s="1"/>
  <c r="CU58" i="49"/>
  <c r="V117" i="49" s="1"/>
  <c r="BY58" i="49"/>
  <c r="BD58" i="49"/>
  <c r="O117" i="49" s="1"/>
  <c r="AY58" i="49"/>
  <c r="L117" i="49" s="1"/>
  <c r="AC58" i="49"/>
  <c r="H58" i="49"/>
  <c r="E117" i="49" s="1"/>
  <c r="C58" i="49"/>
  <c r="B117" i="49" s="1"/>
  <c r="AG58" i="49"/>
  <c r="ES58" i="49"/>
  <c r="DX58" i="49"/>
  <c r="AD117" i="49" s="1"/>
  <c r="CW58" i="49"/>
  <c r="CB58" i="49"/>
  <c r="T117" i="49" s="1"/>
  <c r="BA58" i="49"/>
  <c r="AF58" i="49"/>
  <c r="J117" i="49" s="1"/>
  <c r="AA58" i="49"/>
  <c r="G117" i="49" s="1"/>
  <c r="E58" i="49"/>
  <c r="DA58" i="49"/>
  <c r="BE58" i="49"/>
  <c r="I58" i="49"/>
  <c r="ES61" i="49"/>
  <c r="DX61" i="49"/>
  <c r="AD120" i="49" s="1"/>
  <c r="CW61" i="49"/>
  <c r="CB61" i="49"/>
  <c r="T120" i="49" s="1"/>
  <c r="BA61" i="49"/>
  <c r="AF61" i="49"/>
  <c r="J120" i="49" s="1"/>
  <c r="AA61" i="49"/>
  <c r="G120" i="49" s="1"/>
  <c r="E61" i="49"/>
  <c r="DA61" i="49"/>
  <c r="BE61" i="49"/>
  <c r="I61" i="49"/>
  <c r="EV61" i="49"/>
  <c r="AI120" i="49" s="1"/>
  <c r="DU61" i="49"/>
  <c r="CZ61" i="49"/>
  <c r="Y120" i="49" s="1"/>
  <c r="CU61" i="49"/>
  <c r="V120" i="49" s="1"/>
  <c r="BY61" i="49"/>
  <c r="BD61" i="49"/>
  <c r="O120" i="49" s="1"/>
  <c r="AY61" i="49"/>
  <c r="L120" i="49" s="1"/>
  <c r="AC61" i="49"/>
  <c r="H61" i="49"/>
  <c r="E120" i="49" s="1"/>
  <c r="C61" i="49"/>
  <c r="B120" i="49" s="1"/>
  <c r="AG61" i="49"/>
  <c r="EV64" i="49"/>
  <c r="AI123" i="49" s="1"/>
  <c r="DU64" i="49"/>
  <c r="CZ64" i="49"/>
  <c r="Y123" i="49" s="1"/>
  <c r="CU64" i="49"/>
  <c r="V123" i="49" s="1"/>
  <c r="BY64" i="49"/>
  <c r="BD64" i="49"/>
  <c r="O123" i="49" s="1"/>
  <c r="AY64" i="49"/>
  <c r="L123" i="49" s="1"/>
  <c r="AC64" i="49"/>
  <c r="H64" i="49"/>
  <c r="E123" i="49" s="1"/>
  <c r="C64" i="49"/>
  <c r="B123" i="49" s="1"/>
  <c r="AG64" i="49"/>
  <c r="ES64" i="49"/>
  <c r="DX64" i="49"/>
  <c r="AD123" i="49" s="1"/>
  <c r="CW64" i="49"/>
  <c r="CB64" i="49"/>
  <c r="T123" i="49" s="1"/>
  <c r="BA64" i="49"/>
  <c r="AF64" i="49"/>
  <c r="J123" i="49" s="1"/>
  <c r="AA64" i="49"/>
  <c r="G123" i="49" s="1"/>
  <c r="E64" i="49"/>
  <c r="DA64" i="49"/>
  <c r="BE64" i="49"/>
  <c r="I64" i="49"/>
  <c r="N113" i="49"/>
  <c r="BB54" i="49"/>
  <c r="I112" i="49"/>
  <c r="AD46" i="49"/>
  <c r="N112" i="49"/>
  <c r="BB46" i="49"/>
  <c r="AO47" i="6"/>
  <c r="AE32" i="24" s="1"/>
  <c r="AO43" i="6"/>
  <c r="AE28" i="24" s="1"/>
  <c r="AO48" i="6"/>
  <c r="AE33" i="24" s="1"/>
  <c r="AO45" i="6"/>
  <c r="AE30" i="24" s="1"/>
  <c r="BT19" i="5"/>
  <c r="AO42" i="6"/>
  <c r="AE27" i="24" s="1"/>
  <c r="AO41" i="6"/>
  <c r="AE26" i="24" s="1"/>
  <c r="BU19" i="5"/>
  <c r="BV19" i="5"/>
  <c r="P40" i="6"/>
  <c r="U25" i="24"/>
  <c r="F29" i="9" s="1"/>
  <c r="V75" i="47"/>
  <c r="W75" i="47" s="1"/>
  <c r="Z75" i="47" s="1"/>
  <c r="Y75" i="47" s="1"/>
  <c r="AA75" i="47"/>
  <c r="AB75" i="47" s="1"/>
  <c r="V33" i="47"/>
  <c r="W33" i="47" s="1"/>
  <c r="Z33" i="47" s="1"/>
  <c r="Y33" i="47" s="1"/>
  <c r="AA33" i="47"/>
  <c r="AB33" i="47" s="1"/>
  <c r="V69" i="47"/>
  <c r="W69" i="47" s="1"/>
  <c r="Z69" i="47" s="1"/>
  <c r="Y69" i="47" s="1"/>
  <c r="AA69" i="47"/>
  <c r="AB69" i="47" s="1"/>
  <c r="V71" i="47"/>
  <c r="W71" i="47" s="1"/>
  <c r="Z71" i="47" s="1"/>
  <c r="Y71" i="47" s="1"/>
  <c r="AA71" i="47"/>
  <c r="AB71" i="47" s="1"/>
  <c r="V35" i="47"/>
  <c r="W35" i="47" s="1"/>
  <c r="Z35" i="47" s="1"/>
  <c r="Y35" i="47" s="1"/>
  <c r="AA35" i="47"/>
  <c r="AB35" i="47" s="1"/>
  <c r="V85" i="47"/>
  <c r="W85" i="47" s="1"/>
  <c r="Z85" i="47" s="1"/>
  <c r="Y85" i="47" s="1"/>
  <c r="AA85" i="47"/>
  <c r="AB85" i="47" s="1"/>
  <c r="V133" i="47"/>
  <c r="W133" i="47" s="1"/>
  <c r="Z133" i="47" s="1"/>
  <c r="Y133" i="47" s="1"/>
  <c r="AA133" i="47"/>
  <c r="AB133" i="47" s="1"/>
  <c r="V149" i="47"/>
  <c r="W149" i="47" s="1"/>
  <c r="Z149" i="47" s="1"/>
  <c r="Y149" i="47" s="1"/>
  <c r="AA149" i="47"/>
  <c r="AB149" i="47" s="1"/>
  <c r="V93" i="47"/>
  <c r="W93" i="47" s="1"/>
  <c r="Z93" i="47" s="1"/>
  <c r="Y93" i="47" s="1"/>
  <c r="AA93" i="47"/>
  <c r="AB93" i="47" s="1"/>
  <c r="AA101" i="47"/>
  <c r="AB101" i="47" s="1"/>
  <c r="V101" i="47"/>
  <c r="W101" i="47" s="1"/>
  <c r="Z101" i="47" s="1"/>
  <c r="Y101" i="47" s="1"/>
  <c r="AA109" i="47"/>
  <c r="AB109" i="47" s="1"/>
  <c r="V109" i="47"/>
  <c r="W109" i="47" s="1"/>
  <c r="Z109" i="47" s="1"/>
  <c r="Y109" i="47" s="1"/>
  <c r="AA117" i="47"/>
  <c r="AB117" i="47" s="1"/>
  <c r="V117" i="47"/>
  <c r="W117" i="47" s="1"/>
  <c r="Z117" i="47" s="1"/>
  <c r="Y117" i="47" s="1"/>
  <c r="V131" i="47"/>
  <c r="W131" i="47" s="1"/>
  <c r="Z131" i="47" s="1"/>
  <c r="Y131" i="47" s="1"/>
  <c r="AA131" i="47"/>
  <c r="AB131" i="47" s="1"/>
  <c r="V147" i="47"/>
  <c r="W147" i="47" s="1"/>
  <c r="Z147" i="47" s="1"/>
  <c r="Y147" i="47" s="1"/>
  <c r="AA147" i="47"/>
  <c r="AB147" i="47" s="1"/>
  <c r="V157" i="47"/>
  <c r="W157" i="47" s="1"/>
  <c r="Z157" i="47" s="1"/>
  <c r="Y157" i="47" s="1"/>
  <c r="AA157" i="47"/>
  <c r="AB157" i="47" s="1"/>
  <c r="BP35" i="7"/>
  <c r="BO35" i="7"/>
  <c r="BS35" i="7"/>
  <c r="BN35" i="7"/>
  <c r="P29" i="6"/>
  <c r="U14" i="24"/>
  <c r="F18" i="9" s="1"/>
  <c r="DQ24" i="49"/>
  <c r="BU24" i="49"/>
  <c r="Y24" i="49"/>
  <c r="FL24" i="49"/>
  <c r="AI195" i="49" s="1"/>
  <c r="EK24" i="49"/>
  <c r="DP24" i="49"/>
  <c r="Y195" i="49" s="1"/>
  <c r="DK24" i="49"/>
  <c r="V195" i="49" s="1"/>
  <c r="CO24" i="49"/>
  <c r="BT24" i="49"/>
  <c r="O195" i="49" s="1"/>
  <c r="BO24" i="49"/>
  <c r="L195" i="49" s="1"/>
  <c r="AS24" i="49"/>
  <c r="X24" i="49"/>
  <c r="E195" i="49" s="1"/>
  <c r="S24" i="49"/>
  <c r="B195" i="49" s="1"/>
  <c r="AW24" i="49"/>
  <c r="H122" i="7"/>
  <c r="FI24" i="49"/>
  <c r="EN24" i="49"/>
  <c r="AD195" i="49" s="1"/>
  <c r="DM24" i="49"/>
  <c r="CR24" i="49"/>
  <c r="T195" i="49" s="1"/>
  <c r="BQ24" i="49"/>
  <c r="AV24" i="49"/>
  <c r="J195" i="49" s="1"/>
  <c r="AQ24" i="49"/>
  <c r="G195" i="49" s="1"/>
  <c r="U24" i="49"/>
  <c r="N194" i="49"/>
  <c r="BR23" i="49"/>
  <c r="BS34" i="7"/>
  <c r="BN34" i="7"/>
  <c r="BP34" i="7"/>
  <c r="BO34" i="7"/>
  <c r="Y17" i="24"/>
  <c r="H98" i="6"/>
  <c r="H103" i="6"/>
  <c r="Y22" i="24"/>
  <c r="CH40" i="5"/>
  <c r="CH46" i="5" s="1"/>
  <c r="I171" i="49"/>
  <c r="AL54" i="49"/>
  <c r="N171" i="49"/>
  <c r="BJ54" i="49"/>
  <c r="AH111" i="49"/>
  <c r="ET45" i="49"/>
  <c r="S111" i="49"/>
  <c r="BZ45" i="49"/>
  <c r="AC108" i="49"/>
  <c r="DV42" i="49"/>
  <c r="AH108" i="49"/>
  <c r="ET42" i="49"/>
  <c r="P47" i="6"/>
  <c r="U32" i="24"/>
  <c r="F36" i="9" s="1"/>
  <c r="BP31" i="7"/>
  <c r="BO31" i="7"/>
  <c r="BS31" i="7"/>
  <c r="BN31" i="7"/>
  <c r="P32" i="6"/>
  <c r="U17" i="24"/>
  <c r="F21" i="9" s="1"/>
  <c r="N130" i="49"/>
  <c r="BJ13" i="49"/>
  <c r="AH130" i="49"/>
  <c r="FB13" i="49"/>
  <c r="Y33" i="24"/>
  <c r="H114" i="6"/>
  <c r="H111" i="6"/>
  <c r="Y30" i="24"/>
  <c r="Y32" i="24"/>
  <c r="H113" i="6"/>
  <c r="T136" i="51"/>
  <c r="S136" i="51"/>
  <c r="R4" i="51"/>
  <c r="AJ6" i="35"/>
  <c r="CG40" i="5"/>
  <c r="CG46" i="5" s="1"/>
  <c r="X225" i="49"/>
  <c r="DN54" i="49"/>
  <c r="I225" i="49"/>
  <c r="AT54" i="49"/>
  <c r="S110" i="49"/>
  <c r="BZ44" i="49"/>
  <c r="X110" i="49"/>
  <c r="CX44" i="49"/>
  <c r="D107" i="49"/>
  <c r="F41" i="49"/>
  <c r="AC107" i="49"/>
  <c r="DV41" i="49"/>
  <c r="D104" i="49"/>
  <c r="F38" i="49"/>
  <c r="U31" i="24"/>
  <c r="F35" i="9" s="1"/>
  <c r="P46" i="6"/>
  <c r="K202" i="41"/>
  <c r="I203" i="41"/>
  <c r="K203" i="41" s="1"/>
  <c r="L29" i="23"/>
  <c r="AT29" i="26" s="1"/>
  <c r="AJ29" i="26"/>
  <c r="AI29" i="24"/>
  <c r="J33" i="9" s="1"/>
  <c r="L24" i="23"/>
  <c r="AT24" i="26" s="1"/>
  <c r="AJ24" i="26"/>
  <c r="AI24" i="24"/>
  <c r="J28" i="9" s="1"/>
  <c r="AO37" i="6"/>
  <c r="AE22" i="24" s="1"/>
  <c r="AO33" i="6"/>
  <c r="AE18" i="24" s="1"/>
  <c r="AO29" i="6"/>
  <c r="AE14" i="24" s="1"/>
  <c r="AO35" i="6"/>
  <c r="AE20" i="24" s="1"/>
  <c r="AO31" i="6"/>
  <c r="AE16" i="24" s="1"/>
  <c r="BV17" i="5"/>
  <c r="AO36" i="6"/>
  <c r="AE21" i="24" s="1"/>
  <c r="AO32" i="6"/>
  <c r="AE17" i="24" s="1"/>
  <c r="BT17" i="5"/>
  <c r="AO38" i="6"/>
  <c r="AE23" i="24" s="1"/>
  <c r="AO34" i="6"/>
  <c r="AE19" i="24" s="1"/>
  <c r="AO30" i="6"/>
  <c r="AE15" i="24" s="1"/>
  <c r="BU17" i="5"/>
  <c r="K87" i="7"/>
  <c r="K77" i="7"/>
  <c r="U26" i="2"/>
  <c r="I83" i="7"/>
  <c r="I73" i="7"/>
  <c r="D24" i="27"/>
  <c r="C37" i="27"/>
  <c r="D36" i="27" s="1"/>
  <c r="BA6" i="26"/>
  <c r="T24" i="2"/>
  <c r="J85" i="7"/>
  <c r="J75" i="7"/>
  <c r="J64" i="7"/>
  <c r="J84" i="7"/>
  <c r="J74" i="7"/>
  <c r="J65" i="7"/>
  <c r="J63" i="7"/>
  <c r="R28" i="2"/>
  <c r="AC154" i="49"/>
  <c r="ED37" i="49"/>
  <c r="AH154" i="49"/>
  <c r="FB37" i="49"/>
  <c r="BX32" i="7"/>
  <c r="BW32" i="7"/>
  <c r="CA32" i="7"/>
  <c r="BV32" i="7"/>
  <c r="E23" i="41"/>
  <c r="B24" i="41" s="1"/>
  <c r="H23" i="41"/>
  <c r="X208" i="49"/>
  <c r="DN37" i="49"/>
  <c r="I208" i="49"/>
  <c r="AT37" i="49"/>
  <c r="AH109" i="49"/>
  <c r="ET43" i="49"/>
  <c r="S109" i="49"/>
  <c r="BZ43" i="49"/>
  <c r="AC106" i="49"/>
  <c r="DV40" i="49"/>
  <c r="AH106" i="49"/>
  <c r="ET40" i="49"/>
  <c r="N103" i="49"/>
  <c r="BB37" i="49"/>
  <c r="AD45" i="6"/>
  <c r="AA30" i="24" s="1"/>
  <c r="AD42" i="6"/>
  <c r="AA27" i="24" s="1"/>
  <c r="AD47" i="6"/>
  <c r="AA32" i="24" s="1"/>
  <c r="AD43" i="6"/>
  <c r="AA28" i="24" s="1"/>
  <c r="AD41" i="6"/>
  <c r="AA26" i="24" s="1"/>
  <c r="BU9" i="5"/>
  <c r="AD48" i="6"/>
  <c r="AA33" i="24" s="1"/>
  <c r="BV9" i="5"/>
  <c r="BT9" i="5"/>
  <c r="V28" i="47"/>
  <c r="W28" i="47" s="1"/>
  <c r="Z28" i="47" s="1"/>
  <c r="Y28" i="47" s="1"/>
  <c r="AA28" i="47"/>
  <c r="AB28" i="47" s="1"/>
  <c r="V70" i="47"/>
  <c r="W70" i="47" s="1"/>
  <c r="Z70" i="47" s="1"/>
  <c r="Y70" i="47" s="1"/>
  <c r="AA70" i="47"/>
  <c r="AB70" i="47" s="1"/>
  <c r="V94" i="47"/>
  <c r="W94" i="47" s="1"/>
  <c r="Z94" i="47" s="1"/>
  <c r="Y94" i="47" s="1"/>
  <c r="AA94" i="47"/>
  <c r="AB94" i="47" s="1"/>
  <c r="V24" i="47"/>
  <c r="W24" i="47" s="1"/>
  <c r="Z24" i="47" s="1"/>
  <c r="Y24" i="47" s="1"/>
  <c r="AA24" i="47"/>
  <c r="AB24" i="47" s="1"/>
  <c r="V64" i="47"/>
  <c r="W64" i="47" s="1"/>
  <c r="Z64" i="47" s="1"/>
  <c r="Y64" i="47" s="1"/>
  <c r="AA64" i="47"/>
  <c r="AB64" i="47" s="1"/>
  <c r="V86" i="47"/>
  <c r="W86" i="47" s="1"/>
  <c r="Z86" i="47" s="1"/>
  <c r="Y86" i="47" s="1"/>
  <c r="AA86" i="47"/>
  <c r="AB86" i="47" s="1"/>
  <c r="V60" i="47"/>
  <c r="W60" i="47" s="1"/>
  <c r="Z60" i="47" s="1"/>
  <c r="Y60" i="47" s="1"/>
  <c r="AA60" i="47"/>
  <c r="AB60" i="47" s="1"/>
  <c r="V102" i="47"/>
  <c r="W102" i="47" s="1"/>
  <c r="Z102" i="47" s="1"/>
  <c r="Y102" i="47" s="1"/>
  <c r="AA102" i="47"/>
  <c r="AB102" i="47" s="1"/>
  <c r="V110" i="47"/>
  <c r="W110" i="47" s="1"/>
  <c r="Z110" i="47" s="1"/>
  <c r="Y110" i="47" s="1"/>
  <c r="AA110" i="47"/>
  <c r="AB110" i="47" s="1"/>
  <c r="V118" i="47"/>
  <c r="W118" i="47" s="1"/>
  <c r="Z118" i="47" s="1"/>
  <c r="Y118" i="47" s="1"/>
  <c r="AA118" i="47"/>
  <c r="AB118" i="47" s="1"/>
  <c r="V120" i="47"/>
  <c r="W120" i="47" s="1"/>
  <c r="Z120" i="47" s="1"/>
  <c r="Y120" i="47" s="1"/>
  <c r="AA120" i="47"/>
  <c r="AB120" i="47" s="1"/>
  <c r="V136" i="47"/>
  <c r="W136" i="47" s="1"/>
  <c r="Z136" i="47" s="1"/>
  <c r="Y136" i="47" s="1"/>
  <c r="AA136" i="47"/>
  <c r="AB136" i="47" s="1"/>
  <c r="V160" i="47"/>
  <c r="W160" i="47" s="1"/>
  <c r="Z160" i="47" s="1"/>
  <c r="Y160" i="47" s="1"/>
  <c r="AA160" i="47"/>
  <c r="AB160" i="47" s="1"/>
  <c r="V134" i="47"/>
  <c r="W134" i="47" s="1"/>
  <c r="Z134" i="47" s="1"/>
  <c r="Y134" i="47" s="1"/>
  <c r="AA134" i="47"/>
  <c r="AB134" i="47" s="1"/>
  <c r="V150" i="47"/>
  <c r="W150" i="47" s="1"/>
  <c r="Z150" i="47" s="1"/>
  <c r="Y150" i="47" s="1"/>
  <c r="AA150" i="47"/>
  <c r="AB150" i="47" s="1"/>
  <c r="R137" i="51"/>
  <c r="P33" i="6"/>
  <c r="R33" i="6" s="1"/>
  <c r="U18" i="24"/>
  <c r="F22" i="9" s="1"/>
  <c r="BA11" i="26"/>
  <c r="CJ41" i="5"/>
  <c r="CJ47" i="5" s="1"/>
  <c r="CE40" i="5"/>
  <c r="CE46" i="5" s="1"/>
  <c r="AI14" i="24"/>
  <c r="J18" i="9" s="1"/>
  <c r="L14" i="23"/>
  <c r="AT14" i="26" s="1"/>
  <c r="AJ14" i="26"/>
  <c r="L18" i="23"/>
  <c r="AT18" i="26" s="1"/>
  <c r="AJ18" i="26"/>
  <c r="AI18" i="24"/>
  <c r="J22" i="9" s="1"/>
  <c r="AA13" i="9"/>
  <c r="AA23" i="9"/>
  <c r="AH140" i="49"/>
  <c r="FB23" i="49"/>
  <c r="AC140" i="49"/>
  <c r="ED23" i="49"/>
  <c r="N105" i="49"/>
  <c r="BB39" i="49"/>
  <c r="ES55" i="49"/>
  <c r="DX55" i="49"/>
  <c r="AD114" i="49" s="1"/>
  <c r="CW55" i="49"/>
  <c r="CB55" i="49"/>
  <c r="T114" i="49" s="1"/>
  <c r="BA55" i="49"/>
  <c r="AF55" i="49"/>
  <c r="J114" i="49" s="1"/>
  <c r="AA55" i="49"/>
  <c r="G114" i="49" s="1"/>
  <c r="E55" i="49"/>
  <c r="DA55" i="49"/>
  <c r="BE55" i="49"/>
  <c r="I55" i="49"/>
  <c r="EV55" i="49"/>
  <c r="AI114" i="49" s="1"/>
  <c r="DU55" i="49"/>
  <c r="CZ55" i="49"/>
  <c r="Y114" i="49" s="1"/>
  <c r="CU55" i="49"/>
  <c r="V114" i="49" s="1"/>
  <c r="BY55" i="49"/>
  <c r="BD55" i="49"/>
  <c r="O114" i="49" s="1"/>
  <c r="AY55" i="49"/>
  <c r="L114" i="49" s="1"/>
  <c r="AC55" i="49"/>
  <c r="H55" i="49"/>
  <c r="E114" i="49" s="1"/>
  <c r="C55" i="49"/>
  <c r="B114" i="49" s="1"/>
  <c r="AG55" i="49"/>
  <c r="EV62" i="49"/>
  <c r="AI121" i="49" s="1"/>
  <c r="DU62" i="49"/>
  <c r="CZ62" i="49"/>
  <c r="Y121" i="49" s="1"/>
  <c r="CU62" i="49"/>
  <c r="V121" i="49" s="1"/>
  <c r="BY62" i="49"/>
  <c r="BD62" i="49"/>
  <c r="O121" i="49" s="1"/>
  <c r="AY62" i="49"/>
  <c r="L121" i="49" s="1"/>
  <c r="AC62" i="49"/>
  <c r="H62" i="49"/>
  <c r="E121" i="49" s="1"/>
  <c r="C62" i="49"/>
  <c r="B121" i="49" s="1"/>
  <c r="AG62" i="49"/>
  <c r="ES62" i="49"/>
  <c r="DX62" i="49"/>
  <c r="AD121" i="49" s="1"/>
  <c r="CW62" i="49"/>
  <c r="CB62" i="49"/>
  <c r="T121" i="49" s="1"/>
  <c r="BA62" i="49"/>
  <c r="AF62" i="49"/>
  <c r="J121" i="49" s="1"/>
  <c r="AA62" i="49"/>
  <c r="G121" i="49" s="1"/>
  <c r="E62" i="49"/>
  <c r="DA62" i="49"/>
  <c r="BE62" i="49"/>
  <c r="I62" i="49"/>
  <c r="ES65" i="49"/>
  <c r="DX65" i="49"/>
  <c r="AD124" i="49" s="1"/>
  <c r="CW65" i="49"/>
  <c r="CB65" i="49"/>
  <c r="T124" i="49" s="1"/>
  <c r="BA65" i="49"/>
  <c r="AF65" i="49"/>
  <c r="J124" i="49" s="1"/>
  <c r="AA65" i="49"/>
  <c r="G124" i="49" s="1"/>
  <c r="E65" i="49"/>
  <c r="DA65" i="49"/>
  <c r="BE65" i="49"/>
  <c r="I65" i="49"/>
  <c r="EV65" i="49"/>
  <c r="AI124" i="49" s="1"/>
  <c r="DU65" i="49"/>
  <c r="CZ65" i="49"/>
  <c r="Y124" i="49" s="1"/>
  <c r="CU65" i="49"/>
  <c r="V124" i="49" s="1"/>
  <c r="BY65" i="49"/>
  <c r="BD65" i="49"/>
  <c r="O124" i="49" s="1"/>
  <c r="AY65" i="49"/>
  <c r="L124" i="49" s="1"/>
  <c r="AC65" i="49"/>
  <c r="H65" i="49"/>
  <c r="E124" i="49" s="1"/>
  <c r="C65" i="49"/>
  <c r="B124" i="49" s="1"/>
  <c r="AG65" i="49"/>
  <c r="D113" i="49"/>
  <c r="F54" i="49"/>
  <c r="AC113" i="49"/>
  <c r="DV54" i="49"/>
  <c r="D112" i="49"/>
  <c r="F46" i="49"/>
  <c r="Q40" i="6"/>
  <c r="V25" i="47"/>
  <c r="W25" i="47" s="1"/>
  <c r="Z25" i="47" s="1"/>
  <c r="Y25" i="47" s="1"/>
  <c r="AA25" i="47"/>
  <c r="AB25" i="47" s="1"/>
  <c r="V87" i="47"/>
  <c r="W87" i="47" s="1"/>
  <c r="Z87" i="47" s="1"/>
  <c r="Y87" i="47" s="1"/>
  <c r="AA87" i="47"/>
  <c r="AB87" i="47" s="1"/>
  <c r="V37" i="47"/>
  <c r="W37" i="47" s="1"/>
  <c r="Z37" i="47" s="1"/>
  <c r="Y37" i="47" s="1"/>
  <c r="AA37" i="47"/>
  <c r="AB37" i="47" s="1"/>
  <c r="V73" i="47"/>
  <c r="W73" i="47" s="1"/>
  <c r="Z73" i="47" s="1"/>
  <c r="Y73" i="47" s="1"/>
  <c r="AA73" i="47"/>
  <c r="AB73" i="47" s="1"/>
  <c r="V79" i="47"/>
  <c r="W79" i="47" s="1"/>
  <c r="Z79" i="47" s="1"/>
  <c r="Y79" i="47" s="1"/>
  <c r="AA79" i="47"/>
  <c r="AB79" i="47" s="1"/>
  <c r="V63" i="47"/>
  <c r="W63" i="47" s="1"/>
  <c r="Z63" i="47" s="1"/>
  <c r="Y63" i="47" s="1"/>
  <c r="AA63" i="47"/>
  <c r="AB63" i="47" s="1"/>
  <c r="V121" i="47"/>
  <c r="W121" i="47" s="1"/>
  <c r="Z121" i="47" s="1"/>
  <c r="Y121" i="47" s="1"/>
  <c r="AA121" i="47"/>
  <c r="AB121" i="47" s="1"/>
  <c r="V137" i="47"/>
  <c r="W137" i="47" s="1"/>
  <c r="Z137" i="47" s="1"/>
  <c r="Y137" i="47" s="1"/>
  <c r="AA137" i="47"/>
  <c r="AB137" i="47" s="1"/>
  <c r="V153" i="47"/>
  <c r="W153" i="47" s="1"/>
  <c r="Z153" i="47" s="1"/>
  <c r="Y153" i="47" s="1"/>
  <c r="AA153" i="47"/>
  <c r="AB153" i="47" s="1"/>
  <c r="V95" i="47"/>
  <c r="W95" i="47" s="1"/>
  <c r="Z95" i="47" s="1"/>
  <c r="Y95" i="47" s="1"/>
  <c r="AA95" i="47"/>
  <c r="AB95" i="47" s="1"/>
  <c r="V103" i="47"/>
  <c r="W103" i="47" s="1"/>
  <c r="Z103" i="47" s="1"/>
  <c r="Y103" i="47" s="1"/>
  <c r="AA103" i="47"/>
  <c r="AB103" i="47" s="1"/>
  <c r="V111" i="47"/>
  <c r="W111" i="47" s="1"/>
  <c r="Z111" i="47" s="1"/>
  <c r="Y111" i="47" s="1"/>
  <c r="AA111" i="47"/>
  <c r="AB111" i="47" s="1"/>
  <c r="V119" i="47"/>
  <c r="W119" i="47" s="1"/>
  <c r="Z119" i="47" s="1"/>
  <c r="Y119" i="47" s="1"/>
  <c r="AA119" i="47"/>
  <c r="AB119" i="47" s="1"/>
  <c r="V135" i="47"/>
  <c r="W135" i="47" s="1"/>
  <c r="Z135" i="47" s="1"/>
  <c r="Y135" i="47" s="1"/>
  <c r="AA135" i="47"/>
  <c r="AB135" i="47" s="1"/>
  <c r="V151" i="47"/>
  <c r="W151" i="47" s="1"/>
  <c r="Z151" i="47" s="1"/>
  <c r="Y151" i="47" s="1"/>
  <c r="AA151" i="47"/>
  <c r="AB151" i="47" s="1"/>
  <c r="Q29" i="6"/>
  <c r="CI41" i="5"/>
  <c r="CI47" i="5" s="1"/>
  <c r="AC194" i="49"/>
  <c r="EL23" i="49"/>
  <c r="D194" i="49"/>
  <c r="V23" i="49"/>
  <c r="Y23" i="24"/>
  <c r="H104" i="6"/>
  <c r="Y15" i="24"/>
  <c r="H96" i="6"/>
  <c r="H97" i="6"/>
  <c r="Y16" i="24"/>
  <c r="CX23" i="5"/>
  <c r="CW23" i="5"/>
  <c r="DA23" i="5"/>
  <c r="CV23" i="5"/>
  <c r="CZ23" i="5"/>
  <c r="CY23" i="5"/>
  <c r="D171" i="49"/>
  <c r="N54" i="49"/>
  <c r="X111" i="49"/>
  <c r="CX45" i="49"/>
  <c r="I111" i="49"/>
  <c r="AD45" i="49"/>
  <c r="S108" i="49"/>
  <c r="BZ42" i="49"/>
  <c r="X108" i="49"/>
  <c r="CX42" i="49"/>
  <c r="BO29" i="5"/>
  <c r="P45" i="6"/>
  <c r="R45" i="6" s="1"/>
  <c r="U30" i="24"/>
  <c r="F34" i="9" s="1"/>
  <c r="Q47" i="6"/>
  <c r="Q32" i="6"/>
  <c r="AJ4" i="35"/>
  <c r="AK4" i="35" s="1"/>
  <c r="AJ5" i="35"/>
  <c r="AK5" i="35" s="1"/>
  <c r="S130" i="49"/>
  <c r="CH13" i="49"/>
  <c r="FA14" i="49"/>
  <c r="EC14" i="49"/>
  <c r="DE14" i="49"/>
  <c r="CG14" i="49"/>
  <c r="BI14" i="49"/>
  <c r="AK14" i="49"/>
  <c r="M14" i="49"/>
  <c r="DI14" i="49"/>
  <c r="BM14" i="49"/>
  <c r="AO14" i="49"/>
  <c r="Q14" i="49"/>
  <c r="F112" i="7"/>
  <c r="FD14" i="49"/>
  <c r="AI131" i="49" s="1"/>
  <c r="EF14" i="49"/>
  <c r="AD131" i="49" s="1"/>
  <c r="DH14" i="49"/>
  <c r="Y131" i="49" s="1"/>
  <c r="DC14" i="49"/>
  <c r="V131" i="49" s="1"/>
  <c r="CJ14" i="49"/>
  <c r="T131" i="49" s="1"/>
  <c r="BL14" i="49"/>
  <c r="O131" i="49" s="1"/>
  <c r="BG14" i="49"/>
  <c r="L131" i="49" s="1"/>
  <c r="AN14" i="49"/>
  <c r="J131" i="49" s="1"/>
  <c r="AI14" i="49"/>
  <c r="G131" i="49" s="1"/>
  <c r="P14" i="49"/>
  <c r="E131" i="49" s="1"/>
  <c r="K14" i="49"/>
  <c r="B131" i="49" s="1"/>
  <c r="P31" i="6"/>
  <c r="R31" i="6" s="1"/>
  <c r="U16" i="24"/>
  <c r="F20" i="9" s="1"/>
  <c r="BA13" i="26"/>
  <c r="Y25" i="24"/>
  <c r="H106" i="6"/>
  <c r="H107" i="6"/>
  <c r="Y26" i="24"/>
  <c r="Y24" i="24"/>
  <c r="H105" i="6"/>
  <c r="BX42" i="7"/>
  <c r="BW42" i="7"/>
  <c r="CA42" i="7"/>
  <c r="BV42" i="7"/>
  <c r="AB10" i="25"/>
  <c r="AC10" i="25" s="1"/>
  <c r="AA10" i="25"/>
  <c r="Z11" i="25"/>
  <c r="R5" i="51"/>
  <c r="S8" i="51"/>
  <c r="T8" i="51"/>
  <c r="AK7" i="35"/>
  <c r="AK6" i="35"/>
  <c r="CF42" i="5"/>
  <c r="CF48" i="5" s="1"/>
  <c r="FI55" i="49"/>
  <c r="EN55" i="49"/>
  <c r="AD226" i="49" s="1"/>
  <c r="DM55" i="49"/>
  <c r="CR55" i="49"/>
  <c r="T226" i="49" s="1"/>
  <c r="BQ55" i="49"/>
  <c r="AV55" i="49"/>
  <c r="J226" i="49" s="1"/>
  <c r="AQ55" i="49"/>
  <c r="G226" i="49" s="1"/>
  <c r="U55" i="49"/>
  <c r="DQ55" i="49"/>
  <c r="BU55" i="49"/>
  <c r="Y55" i="49"/>
  <c r="FL55" i="49"/>
  <c r="AI226" i="49" s="1"/>
  <c r="EK55" i="49"/>
  <c r="DP55" i="49"/>
  <c r="Y226" i="49" s="1"/>
  <c r="DK55" i="49"/>
  <c r="V226" i="49" s="1"/>
  <c r="CO55" i="49"/>
  <c r="BT55" i="49"/>
  <c r="O226" i="49" s="1"/>
  <c r="BO55" i="49"/>
  <c r="L226" i="49" s="1"/>
  <c r="AS55" i="49"/>
  <c r="X55" i="49"/>
  <c r="E226" i="49" s="1"/>
  <c r="S55" i="49"/>
  <c r="B226" i="49" s="1"/>
  <c r="AW55" i="49"/>
  <c r="H153" i="7"/>
  <c r="N225" i="49"/>
  <c r="BR54" i="49"/>
  <c r="I110" i="49"/>
  <c r="AD44" i="49"/>
  <c r="N110" i="49"/>
  <c r="BB44" i="49"/>
  <c r="AH107" i="49"/>
  <c r="ET41" i="49"/>
  <c r="S107" i="49"/>
  <c r="BZ41" i="49"/>
  <c r="AC104" i="49"/>
  <c r="DV38" i="49"/>
  <c r="AH104" i="49"/>
  <c r="ET38" i="49"/>
  <c r="V7" i="26"/>
  <c r="T8" i="26"/>
  <c r="U8" i="26" s="1"/>
  <c r="W7" i="26"/>
  <c r="Y7" i="26" s="1"/>
  <c r="S7" i="26"/>
  <c r="L32" i="23"/>
  <c r="AT32" i="26" s="1"/>
  <c r="AJ32" i="26"/>
  <c r="AI32" i="24"/>
  <c r="J36" i="9" s="1"/>
  <c r="L33" i="23"/>
  <c r="AT33" i="26" s="1"/>
  <c r="BA33" i="26" s="1"/>
  <c r="AI33" i="24"/>
  <c r="J37" i="9" s="1"/>
  <c r="AJ33" i="26"/>
  <c r="L25" i="23"/>
  <c r="AT25" i="26" s="1"/>
  <c r="AJ25" i="26"/>
  <c r="AI25" i="24"/>
  <c r="J29" i="9" s="1"/>
  <c r="R19" i="6"/>
  <c r="U15" i="24"/>
  <c r="F19" i="9" s="1"/>
  <c r="P30" i="6"/>
  <c r="R30" i="6" s="1"/>
  <c r="BP37" i="7"/>
  <c r="BO37" i="7"/>
  <c r="BS37" i="7"/>
  <c r="BN37" i="7"/>
  <c r="K83" i="7"/>
  <c r="K73" i="7"/>
  <c r="J83" i="7"/>
  <c r="J73" i="7"/>
  <c r="D154" i="49"/>
  <c r="N37" i="49"/>
  <c r="K84" i="7"/>
  <c r="K74" i="7"/>
  <c r="K65" i="7"/>
  <c r="K63" i="7"/>
  <c r="K64" i="7"/>
  <c r="S29" i="2"/>
  <c r="T28" i="2"/>
  <c r="BD20" i="26"/>
  <c r="FD38" i="49"/>
  <c r="AI155" i="49" s="1"/>
  <c r="EC38" i="49"/>
  <c r="DH38" i="49"/>
  <c r="Y155" i="49" s="1"/>
  <c r="DC38" i="49"/>
  <c r="V155" i="49" s="1"/>
  <c r="CG38" i="49"/>
  <c r="BL38" i="49"/>
  <c r="O155" i="49" s="1"/>
  <c r="BG38" i="49"/>
  <c r="L155" i="49" s="1"/>
  <c r="AK38" i="49"/>
  <c r="P38" i="49"/>
  <c r="E155" i="49" s="1"/>
  <c r="K38" i="49"/>
  <c r="B155" i="49" s="1"/>
  <c r="AO38" i="49"/>
  <c r="FA38" i="49"/>
  <c r="EF38" i="49"/>
  <c r="AD155" i="49" s="1"/>
  <c r="DE38" i="49"/>
  <c r="CJ38" i="49"/>
  <c r="T155" i="49" s="1"/>
  <c r="BI38" i="49"/>
  <c r="AN38" i="49"/>
  <c r="J155" i="49" s="1"/>
  <c r="AI38" i="49"/>
  <c r="G155" i="49" s="1"/>
  <c r="M38" i="49"/>
  <c r="DI38" i="49"/>
  <c r="BM38" i="49"/>
  <c r="Q38" i="49"/>
  <c r="F136" i="7"/>
  <c r="S154" i="49"/>
  <c r="CH37" i="49"/>
  <c r="X154" i="49"/>
  <c r="DF37" i="49"/>
  <c r="BX40" i="7"/>
  <c r="BW40" i="7"/>
  <c r="CA40" i="7"/>
  <c r="BV40" i="7"/>
  <c r="FI38" i="49"/>
  <c r="EN38" i="49"/>
  <c r="AD209" i="49" s="1"/>
  <c r="DM38" i="49"/>
  <c r="CR38" i="49"/>
  <c r="T209" i="49" s="1"/>
  <c r="BQ38" i="49"/>
  <c r="AV38" i="49"/>
  <c r="J209" i="49" s="1"/>
  <c r="AQ38" i="49"/>
  <c r="G209" i="49" s="1"/>
  <c r="U38" i="49"/>
  <c r="DQ38" i="49"/>
  <c r="BU38" i="49"/>
  <c r="Y38" i="49"/>
  <c r="FL38" i="49"/>
  <c r="AI209" i="49" s="1"/>
  <c r="EK38" i="49"/>
  <c r="DP38" i="49"/>
  <c r="Y209" i="49" s="1"/>
  <c r="DK38" i="49"/>
  <c r="V209" i="49" s="1"/>
  <c r="CO38" i="49"/>
  <c r="BT38" i="49"/>
  <c r="O209" i="49" s="1"/>
  <c r="BO38" i="49"/>
  <c r="L209" i="49" s="1"/>
  <c r="AS38" i="49"/>
  <c r="X38" i="49"/>
  <c r="E209" i="49" s="1"/>
  <c r="S38" i="49"/>
  <c r="B209" i="49" s="1"/>
  <c r="AW38" i="49"/>
  <c r="H136" i="7"/>
  <c r="N208" i="49"/>
  <c r="BR37" i="49"/>
  <c r="X109" i="49"/>
  <c r="CX43" i="49"/>
  <c r="I109" i="49"/>
  <c r="AD43" i="49"/>
  <c r="S106" i="49"/>
  <c r="BZ40" i="49"/>
  <c r="X106" i="49"/>
  <c r="CX40" i="49"/>
  <c r="D103" i="49"/>
  <c r="F37" i="49"/>
  <c r="AC103" i="49"/>
  <c r="DV37" i="49"/>
  <c r="P44" i="6"/>
  <c r="U29" i="24"/>
  <c r="F33" i="9" s="1"/>
  <c r="V32" i="47"/>
  <c r="W32" i="47" s="1"/>
  <c r="Z32" i="47" s="1"/>
  <c r="Y32" i="47" s="1"/>
  <c r="AA32" i="47"/>
  <c r="AB32" i="47" s="1"/>
  <c r="V76" i="47"/>
  <c r="W76" i="47" s="1"/>
  <c r="Z76" i="47" s="1"/>
  <c r="Y76" i="47" s="1"/>
  <c r="AA76" i="47"/>
  <c r="AB76" i="47" s="1"/>
  <c r="V62" i="47"/>
  <c r="W62" i="47" s="1"/>
  <c r="Z62" i="47" s="1"/>
  <c r="Y62" i="47" s="1"/>
  <c r="AA62" i="47"/>
  <c r="AB62" i="47" s="1"/>
  <c r="V26" i="47"/>
  <c r="W26" i="47" s="1"/>
  <c r="Z26" i="47" s="1"/>
  <c r="Y26" i="47" s="1"/>
  <c r="AA26" i="47"/>
  <c r="AB26" i="47" s="1"/>
  <c r="V68" i="47"/>
  <c r="W68" i="47" s="1"/>
  <c r="Z68" i="47" s="1"/>
  <c r="Y68" i="47" s="1"/>
  <c r="AA68" i="47"/>
  <c r="AB68" i="47" s="1"/>
  <c r="V88" i="47"/>
  <c r="W88" i="47" s="1"/>
  <c r="Z88" i="47" s="1"/>
  <c r="Y88" i="47" s="1"/>
  <c r="AA88" i="47"/>
  <c r="AB88" i="47" s="1"/>
  <c r="V92" i="47"/>
  <c r="W92" i="47" s="1"/>
  <c r="Z92" i="47" s="1"/>
  <c r="Y92" i="47" s="1"/>
  <c r="AA92" i="47"/>
  <c r="AB92" i="47" s="1"/>
  <c r="V104" i="47"/>
  <c r="W104" i="47" s="1"/>
  <c r="Z104" i="47" s="1"/>
  <c r="Y104" i="47" s="1"/>
  <c r="AA104" i="47"/>
  <c r="AB104" i="47" s="1"/>
  <c r="V112" i="47"/>
  <c r="W112" i="47" s="1"/>
  <c r="Z112" i="47" s="1"/>
  <c r="Y112" i="47" s="1"/>
  <c r="AA112" i="47"/>
  <c r="AB112" i="47" s="1"/>
  <c r="V152" i="47"/>
  <c r="W152" i="47" s="1"/>
  <c r="Z152" i="47" s="1"/>
  <c r="Y152" i="47" s="1"/>
  <c r="AA152" i="47"/>
  <c r="AB152" i="47" s="1"/>
  <c r="V124" i="47"/>
  <c r="W124" i="47" s="1"/>
  <c r="Z124" i="47" s="1"/>
  <c r="Y124" i="47" s="1"/>
  <c r="AA124" i="47"/>
  <c r="AB124" i="47" s="1"/>
  <c r="V140" i="47"/>
  <c r="W140" i="47" s="1"/>
  <c r="Z140" i="47" s="1"/>
  <c r="Y140" i="47" s="1"/>
  <c r="AA140" i="47"/>
  <c r="AB140" i="47" s="1"/>
  <c r="V122" i="47"/>
  <c r="W122" i="47" s="1"/>
  <c r="Z122" i="47" s="1"/>
  <c r="Y122" i="47" s="1"/>
  <c r="AA122" i="47"/>
  <c r="AB122" i="47" s="1"/>
  <c r="V138" i="47"/>
  <c r="W138" i="47" s="1"/>
  <c r="Z138" i="47" s="1"/>
  <c r="Y138" i="47" s="1"/>
  <c r="AA138" i="47"/>
  <c r="AB138" i="47" s="1"/>
  <c r="V156" i="47"/>
  <c r="W156" i="47" s="1"/>
  <c r="Z156" i="47" s="1"/>
  <c r="Y156" i="47" s="1"/>
  <c r="AA156" i="47"/>
  <c r="AB156" i="47" s="1"/>
  <c r="BV18" i="5"/>
  <c r="BU18" i="5"/>
  <c r="BT18" i="5"/>
  <c r="CK41" i="5"/>
  <c r="CK47" i="5" s="1"/>
  <c r="AI22" i="24"/>
  <c r="J26" i="9" s="1"/>
  <c r="L22" i="23"/>
  <c r="AT22" i="26" s="1"/>
  <c r="BA22" i="26" s="1"/>
  <c r="AJ22" i="26"/>
  <c r="L20" i="23"/>
  <c r="AT20" i="26" s="1"/>
  <c r="AI20" i="24"/>
  <c r="J24" i="9" s="1"/>
  <c r="AJ20" i="26"/>
  <c r="L17" i="23"/>
  <c r="AT17" i="26" s="1"/>
  <c r="AI17" i="24"/>
  <c r="J21" i="9" s="1"/>
  <c r="AJ17" i="26"/>
  <c r="AA12" i="9"/>
  <c r="AA32" i="9"/>
  <c r="K10" i="25"/>
  <c r="AR12" i="25"/>
  <c r="Z16" i="9" s="1"/>
  <c r="AR10" i="25"/>
  <c r="Z14" i="9" s="1"/>
  <c r="AR20" i="25"/>
  <c r="Z24" i="9" s="1"/>
  <c r="AR31" i="25"/>
  <c r="Z35" i="9" s="1"/>
  <c r="AR21" i="25"/>
  <c r="Z25" i="9" s="1"/>
  <c r="AR11" i="25"/>
  <c r="Z15" i="9" s="1"/>
  <c r="AR30" i="25"/>
  <c r="Z34" i="9" s="1"/>
  <c r="AR22" i="25"/>
  <c r="Z26" i="9" s="1"/>
  <c r="AR32" i="25"/>
  <c r="Z36" i="9" s="1"/>
  <c r="X140" i="49"/>
  <c r="DF23" i="49"/>
  <c r="AO24" i="49"/>
  <c r="FA24" i="49"/>
  <c r="EF24" i="49"/>
  <c r="AD141" i="49" s="1"/>
  <c r="DE24" i="49"/>
  <c r="CJ24" i="49"/>
  <c r="T141" i="49" s="1"/>
  <c r="BI24" i="49"/>
  <c r="AN24" i="49"/>
  <c r="J141" i="49" s="1"/>
  <c r="AI24" i="49"/>
  <c r="G141" i="49" s="1"/>
  <c r="M24" i="49"/>
  <c r="DI24" i="49"/>
  <c r="BM24" i="49"/>
  <c r="Q24" i="49"/>
  <c r="FD24" i="49"/>
  <c r="AI141" i="49" s="1"/>
  <c r="EC24" i="49"/>
  <c r="DH24" i="49"/>
  <c r="Y141" i="49" s="1"/>
  <c r="DC24" i="49"/>
  <c r="V141" i="49" s="1"/>
  <c r="CG24" i="49"/>
  <c r="BL24" i="49"/>
  <c r="O141" i="49" s="1"/>
  <c r="BG24" i="49"/>
  <c r="L141" i="49" s="1"/>
  <c r="AK24" i="49"/>
  <c r="P24" i="49"/>
  <c r="E141" i="49" s="1"/>
  <c r="K24" i="49"/>
  <c r="B141" i="49" s="1"/>
  <c r="F122" i="7"/>
  <c r="S140" i="49"/>
  <c r="CH23" i="49"/>
  <c r="D105" i="49"/>
  <c r="F39" i="49"/>
  <c r="AC105" i="49"/>
  <c r="DV39" i="49"/>
  <c r="ES59" i="49"/>
  <c r="DX59" i="49"/>
  <c r="AD118" i="49" s="1"/>
  <c r="CW59" i="49"/>
  <c r="CB59" i="49"/>
  <c r="T118" i="49" s="1"/>
  <c r="BA59" i="49"/>
  <c r="AF59" i="49"/>
  <c r="J118" i="49" s="1"/>
  <c r="AA59" i="49"/>
  <c r="G118" i="49" s="1"/>
  <c r="E59" i="49"/>
  <c r="DA59" i="49"/>
  <c r="BE59" i="49"/>
  <c r="I59" i="49"/>
  <c r="EV59" i="49"/>
  <c r="AI118" i="49" s="1"/>
  <c r="DU59" i="49"/>
  <c r="CZ59" i="49"/>
  <c r="Y118" i="49" s="1"/>
  <c r="CU59" i="49"/>
  <c r="V118" i="49" s="1"/>
  <c r="BY59" i="49"/>
  <c r="BD59" i="49"/>
  <c r="O118" i="49" s="1"/>
  <c r="AY59" i="49"/>
  <c r="L118" i="49" s="1"/>
  <c r="AC59" i="49"/>
  <c r="H59" i="49"/>
  <c r="E118" i="49" s="1"/>
  <c r="C59" i="49"/>
  <c r="B118" i="49" s="1"/>
  <c r="AG59" i="49"/>
  <c r="EV66" i="49"/>
  <c r="AI125" i="49" s="1"/>
  <c r="DU66" i="49"/>
  <c r="CZ66" i="49"/>
  <c r="Y125" i="49" s="1"/>
  <c r="CU66" i="49"/>
  <c r="V125" i="49" s="1"/>
  <c r="BY66" i="49"/>
  <c r="BD66" i="49"/>
  <c r="O125" i="49" s="1"/>
  <c r="AY66" i="49"/>
  <c r="L125" i="49" s="1"/>
  <c r="AC66" i="49"/>
  <c r="H66" i="49"/>
  <c r="E125" i="49" s="1"/>
  <c r="C66" i="49"/>
  <c r="B125" i="49" s="1"/>
  <c r="AG66" i="49"/>
  <c r="ES66" i="49"/>
  <c r="DX66" i="49"/>
  <c r="AD125" i="49" s="1"/>
  <c r="CW66" i="49"/>
  <c r="CB66" i="49"/>
  <c r="T125" i="49" s="1"/>
  <c r="BA66" i="49"/>
  <c r="AF66" i="49"/>
  <c r="J125" i="49" s="1"/>
  <c r="AA66" i="49"/>
  <c r="G125" i="49" s="1"/>
  <c r="E66" i="49"/>
  <c r="DA66" i="49"/>
  <c r="BE66" i="49"/>
  <c r="I66" i="49"/>
  <c r="EV56" i="49"/>
  <c r="AI115" i="49" s="1"/>
  <c r="DU56" i="49"/>
  <c r="CZ56" i="49"/>
  <c r="Y115" i="49" s="1"/>
  <c r="CU56" i="49"/>
  <c r="V115" i="49" s="1"/>
  <c r="BY56" i="49"/>
  <c r="BD56" i="49"/>
  <c r="O115" i="49" s="1"/>
  <c r="AY56" i="49"/>
  <c r="L115" i="49" s="1"/>
  <c r="AC56" i="49"/>
  <c r="H56" i="49"/>
  <c r="E115" i="49" s="1"/>
  <c r="C56" i="49"/>
  <c r="B115" i="49" s="1"/>
  <c r="AG56" i="49"/>
  <c r="ES56" i="49"/>
  <c r="DX56" i="49"/>
  <c r="AD115" i="49" s="1"/>
  <c r="CW56" i="49"/>
  <c r="CB56" i="49"/>
  <c r="T115" i="49" s="1"/>
  <c r="BA56" i="49"/>
  <c r="AF56" i="49"/>
  <c r="J115" i="49" s="1"/>
  <c r="AA56" i="49"/>
  <c r="G115" i="49" s="1"/>
  <c r="E56" i="49"/>
  <c r="DA56" i="49"/>
  <c r="BE56" i="49"/>
  <c r="I56" i="49"/>
  <c r="AH113" i="49"/>
  <c r="ET54" i="49"/>
  <c r="S113" i="49"/>
  <c r="BZ54" i="49"/>
  <c r="AC112" i="49"/>
  <c r="DV46" i="49"/>
  <c r="AH112" i="49"/>
  <c r="ET46" i="49"/>
  <c r="P43" i="6"/>
  <c r="R43" i="6" s="1"/>
  <c r="U28" i="24"/>
  <c r="F32" i="9" s="1"/>
  <c r="BX36" i="7"/>
  <c r="BW36" i="7"/>
  <c r="CA36" i="7"/>
  <c r="BV36" i="7"/>
  <c r="BD28" i="26"/>
  <c r="BP41" i="7"/>
  <c r="BO41" i="7"/>
  <c r="BS41" i="7"/>
  <c r="BN41" i="7"/>
  <c r="V27" i="47"/>
  <c r="W27" i="47" s="1"/>
  <c r="Z27" i="47" s="1"/>
  <c r="Y27" i="47" s="1"/>
  <c r="AA27" i="47"/>
  <c r="AB27" i="47" s="1"/>
  <c r="V23" i="47"/>
  <c r="W23" i="47" s="1"/>
  <c r="Z23" i="47" s="1"/>
  <c r="Y23" i="47" s="1"/>
  <c r="AA23" i="47"/>
  <c r="AB23" i="47" s="1"/>
  <c r="V39" i="47"/>
  <c r="W39" i="47" s="1"/>
  <c r="Z39" i="47" s="1"/>
  <c r="Y39" i="47" s="1"/>
  <c r="AA39" i="47"/>
  <c r="AB39" i="47" s="1"/>
  <c r="V81" i="47"/>
  <c r="W81" i="47" s="1"/>
  <c r="Z81" i="47" s="1"/>
  <c r="Y81" i="47" s="1"/>
  <c r="AA81" i="47"/>
  <c r="AB81" i="47" s="1"/>
  <c r="V83" i="47"/>
  <c r="W83" i="47" s="1"/>
  <c r="Z83" i="47" s="1"/>
  <c r="Y83" i="47" s="1"/>
  <c r="AA83" i="47"/>
  <c r="AB83" i="47" s="1"/>
  <c r="V67" i="47"/>
  <c r="W67" i="47" s="1"/>
  <c r="Z67" i="47" s="1"/>
  <c r="Y67" i="47" s="1"/>
  <c r="AA67" i="47"/>
  <c r="AB67" i="47" s="1"/>
  <c r="V125" i="47"/>
  <c r="W125" i="47" s="1"/>
  <c r="Z125" i="47" s="1"/>
  <c r="Y125" i="47" s="1"/>
  <c r="AA125" i="47"/>
  <c r="AB125" i="47" s="1"/>
  <c r="V141" i="47"/>
  <c r="W141" i="47" s="1"/>
  <c r="Z141" i="47" s="1"/>
  <c r="Y141" i="47" s="1"/>
  <c r="AA141" i="47"/>
  <c r="AB141" i="47" s="1"/>
  <c r="V89" i="47"/>
  <c r="W89" i="47" s="1"/>
  <c r="Z89" i="47" s="1"/>
  <c r="Y89" i="47" s="1"/>
  <c r="AA89" i="47"/>
  <c r="AB89" i="47" s="1"/>
  <c r="V97" i="47"/>
  <c r="W97" i="47" s="1"/>
  <c r="Z97" i="47" s="1"/>
  <c r="Y97" i="47" s="1"/>
  <c r="AA97" i="47"/>
  <c r="AB97" i="47" s="1"/>
  <c r="V105" i="47"/>
  <c r="W105" i="47" s="1"/>
  <c r="Z105" i="47" s="1"/>
  <c r="Y105" i="47" s="1"/>
  <c r="AA105" i="47"/>
  <c r="AB105" i="47" s="1"/>
  <c r="V113" i="47"/>
  <c r="W113" i="47" s="1"/>
  <c r="Z113" i="47" s="1"/>
  <c r="Y113" i="47" s="1"/>
  <c r="AA113" i="47"/>
  <c r="AB113" i="47" s="1"/>
  <c r="V123" i="47"/>
  <c r="W123" i="47" s="1"/>
  <c r="Z123" i="47" s="1"/>
  <c r="Y123" i="47" s="1"/>
  <c r="AA123" i="47"/>
  <c r="AB123" i="47" s="1"/>
  <c r="V139" i="47"/>
  <c r="W139" i="47" s="1"/>
  <c r="Z139" i="47" s="1"/>
  <c r="Y139" i="47" s="1"/>
  <c r="AA139" i="47"/>
  <c r="AB139" i="47" s="1"/>
  <c r="V159" i="47"/>
  <c r="W159" i="47" s="1"/>
  <c r="Z159" i="47" s="1"/>
  <c r="Y159" i="47" s="1"/>
  <c r="AA159" i="47"/>
  <c r="AB159" i="47" s="1"/>
  <c r="BD24" i="26"/>
  <c r="U23" i="24"/>
  <c r="F27" i="9" s="1"/>
  <c r="P38" i="6"/>
  <c r="BA12" i="26"/>
  <c r="S194" i="49"/>
  <c r="CP23" i="49"/>
  <c r="AH194" i="49"/>
  <c r="FJ23" i="49"/>
  <c r="Y19" i="24"/>
  <c r="H100" i="6"/>
  <c r="Y14" i="24"/>
  <c r="H95" i="6"/>
  <c r="H101" i="6"/>
  <c r="Y20" i="24"/>
  <c r="CH42" i="5"/>
  <c r="CH48" i="5" s="1"/>
  <c r="CM48" i="5" s="1"/>
  <c r="R114" i="32"/>
  <c r="P115" i="32"/>
  <c r="AC171" i="49"/>
  <c r="ED54" i="49"/>
  <c r="AH171" i="49"/>
  <c r="FB54" i="49"/>
  <c r="N111" i="49"/>
  <c r="BB45" i="49"/>
  <c r="I108" i="49"/>
  <c r="AD42" i="49"/>
  <c r="N108" i="49"/>
  <c r="BB42" i="49"/>
  <c r="AD39" i="6"/>
  <c r="AA24" i="24" s="1"/>
  <c r="BT10" i="5"/>
  <c r="AD46" i="6"/>
  <c r="AA31" i="24" s="1"/>
  <c r="BV10" i="5"/>
  <c r="AD40" i="6"/>
  <c r="AA25" i="24" s="1"/>
  <c r="BU10" i="5"/>
  <c r="AD44" i="6"/>
  <c r="AA29" i="24" s="1"/>
  <c r="U33" i="24"/>
  <c r="F37" i="9" s="1"/>
  <c r="P48" i="6"/>
  <c r="BE8" i="26"/>
  <c r="BX33" i="7"/>
  <c r="BW33" i="7"/>
  <c r="CA33" i="7"/>
  <c r="BV33" i="7"/>
  <c r="X27" i="6"/>
  <c r="L12" i="24" s="1"/>
  <c r="X23" i="6"/>
  <c r="L8" i="24" s="1"/>
  <c r="X19" i="6"/>
  <c r="L4" i="24" s="1"/>
  <c r="X24" i="6"/>
  <c r="L9" i="24" s="1"/>
  <c r="X28" i="6"/>
  <c r="L13" i="24" s="1"/>
  <c r="X21" i="6"/>
  <c r="L6" i="24" s="1"/>
  <c r="X22" i="6"/>
  <c r="L7" i="24" s="1"/>
  <c r="X26" i="6"/>
  <c r="L11" i="24" s="1"/>
  <c r="X20" i="6"/>
  <c r="L5" i="24" s="1"/>
  <c r="X25" i="6"/>
  <c r="L10" i="24" s="1"/>
  <c r="BV8" i="5"/>
  <c r="BU8" i="5"/>
  <c r="BT8" i="5"/>
  <c r="D130" i="49"/>
  <c r="N13" i="49"/>
  <c r="X130" i="49"/>
  <c r="DF13" i="49"/>
  <c r="P37" i="6"/>
  <c r="R37" i="6" s="1"/>
  <c r="U22" i="24"/>
  <c r="F26" i="9" s="1"/>
  <c r="P36" i="6"/>
  <c r="U21" i="24"/>
  <c r="F25" i="9" s="1"/>
  <c r="Y31" i="24"/>
  <c r="H112" i="6"/>
  <c r="Y27" i="24"/>
  <c r="H108" i="6"/>
  <c r="CK40" i="5"/>
  <c r="CK46" i="5" s="1"/>
  <c r="S108" i="51"/>
  <c r="T108" i="51"/>
  <c r="S36" i="51"/>
  <c r="T36" i="51"/>
  <c r="R25" i="6"/>
  <c r="M8" i="34"/>
  <c r="J9" i="34" s="1"/>
  <c r="L8" i="34"/>
  <c r="D225" i="49"/>
  <c r="V54" i="49"/>
  <c r="AC225" i="49"/>
  <c r="EL54" i="49"/>
  <c r="D110" i="49"/>
  <c r="F44" i="49"/>
  <c r="X107" i="49"/>
  <c r="CX41" i="49"/>
  <c r="I107" i="49"/>
  <c r="AD41" i="49"/>
  <c r="S104" i="49"/>
  <c r="BZ38" i="49"/>
  <c r="X104" i="49"/>
  <c r="CX38" i="49"/>
  <c r="L26" i="23"/>
  <c r="AT26" i="26" s="1"/>
  <c r="BA26" i="26" s="1"/>
  <c r="AI26" i="24"/>
  <c r="J30" i="9" s="1"/>
  <c r="AJ26" i="26"/>
  <c r="L28" i="23"/>
  <c r="AT28" i="26" s="1"/>
  <c r="BA28" i="26" s="1"/>
  <c r="AI28" i="24"/>
  <c r="J32" i="9" s="1"/>
  <c r="AJ28" i="26"/>
  <c r="L31" i="23"/>
  <c r="AT31" i="26" s="1"/>
  <c r="AJ31" i="26"/>
  <c r="AI31" i="24"/>
  <c r="J35" i="9" s="1"/>
  <c r="BO28" i="5"/>
  <c r="R27" i="2"/>
  <c r="K62" i="7"/>
  <c r="K60" i="7"/>
  <c r="K82" i="7"/>
  <c r="K72" i="7"/>
  <c r="K61" i="7"/>
  <c r="K59" i="7"/>
  <c r="AH208" i="49"/>
  <c r="FJ37" i="49"/>
  <c r="S208" i="49"/>
  <c r="CP37" i="49"/>
  <c r="D109" i="49"/>
  <c r="F43" i="49"/>
  <c r="J59" i="7"/>
  <c r="J62" i="7"/>
  <c r="J60" i="7"/>
  <c r="J82" i="7"/>
  <c r="J72" i="7"/>
  <c r="J61" i="7"/>
  <c r="I66" i="7"/>
  <c r="I67" i="7"/>
  <c r="I86" i="7"/>
  <c r="I76" i="7"/>
  <c r="R30" i="2"/>
  <c r="BS4" i="26"/>
  <c r="BS5" i="26"/>
  <c r="R24" i="2"/>
  <c r="I61" i="7"/>
  <c r="I59" i="7"/>
  <c r="I62" i="7"/>
  <c r="I60" i="7"/>
  <c r="U25" i="2"/>
  <c r="F41" i="2" s="1"/>
  <c r="I82" i="7"/>
  <c r="I72" i="7"/>
  <c r="T29" i="2"/>
  <c r="S24" i="2"/>
  <c r="S30" i="2"/>
  <c r="I154" i="49"/>
  <c r="AL37" i="49"/>
  <c r="N154" i="49"/>
  <c r="BJ37" i="49"/>
  <c r="BP39" i="7"/>
  <c r="BO39" i="7"/>
  <c r="BS39" i="7"/>
  <c r="BN39" i="7"/>
  <c r="D208" i="49"/>
  <c r="V37" i="49"/>
  <c r="AC208" i="49"/>
  <c r="EL37" i="49"/>
  <c r="N109" i="49"/>
  <c r="BB43" i="49"/>
  <c r="I106" i="49"/>
  <c r="AD40" i="49"/>
  <c r="N106" i="49"/>
  <c r="BB40" i="49"/>
  <c r="AH103" i="49"/>
  <c r="ET37" i="49"/>
  <c r="S103" i="49"/>
  <c r="BZ37" i="49"/>
  <c r="BK6" i="5"/>
  <c r="P39" i="6"/>
  <c r="R39" i="6" s="1"/>
  <c r="U24" i="24"/>
  <c r="F28" i="9" s="1"/>
  <c r="Q44" i="6"/>
  <c r="V36" i="47"/>
  <c r="W36" i="47" s="1"/>
  <c r="Z36" i="47" s="1"/>
  <c r="Y36" i="47" s="1"/>
  <c r="AA36" i="47"/>
  <c r="AB36" i="47" s="1"/>
  <c r="V82" i="47"/>
  <c r="W82" i="47" s="1"/>
  <c r="Z82" i="47" s="1"/>
  <c r="Y82" i="47" s="1"/>
  <c r="AA82" i="47"/>
  <c r="AB82" i="47" s="1"/>
  <c r="V84" i="47"/>
  <c r="W84" i="47" s="1"/>
  <c r="Z84" i="47" s="1"/>
  <c r="Y84" i="47" s="1"/>
  <c r="AA84" i="47"/>
  <c r="AB84" i="47" s="1"/>
  <c r="V30" i="47"/>
  <c r="W30" i="47" s="1"/>
  <c r="Z30" i="47" s="1"/>
  <c r="Y30" i="47" s="1"/>
  <c r="AA30" i="47"/>
  <c r="AB30" i="47" s="1"/>
  <c r="V72" i="47"/>
  <c r="W72" i="47" s="1"/>
  <c r="Z72" i="47" s="1"/>
  <c r="Y72" i="47" s="1"/>
  <c r="AA72" i="47"/>
  <c r="AB72" i="47" s="1"/>
  <c r="V38" i="47"/>
  <c r="W38" i="47" s="1"/>
  <c r="Z38" i="47" s="1"/>
  <c r="Y38" i="47" s="1"/>
  <c r="AA38" i="47"/>
  <c r="AB38" i="47" s="1"/>
  <c r="V98" i="47"/>
  <c r="W98" i="47" s="1"/>
  <c r="Z98" i="47" s="1"/>
  <c r="Y98" i="47" s="1"/>
  <c r="AA98" i="47"/>
  <c r="AB98" i="47" s="1"/>
  <c r="V106" i="47"/>
  <c r="W106" i="47" s="1"/>
  <c r="Z106" i="47" s="1"/>
  <c r="Y106" i="47" s="1"/>
  <c r="AA106" i="47"/>
  <c r="AB106" i="47" s="1"/>
  <c r="V114" i="47"/>
  <c r="W114" i="47" s="1"/>
  <c r="Z114" i="47" s="1"/>
  <c r="Y114" i="47" s="1"/>
  <c r="AA114" i="47"/>
  <c r="AB114" i="47" s="1"/>
  <c r="V74" i="47"/>
  <c r="W74" i="47" s="1"/>
  <c r="Z74" i="47" s="1"/>
  <c r="Y74" i="47" s="1"/>
  <c r="AA74" i="47"/>
  <c r="AB74" i="47" s="1"/>
  <c r="V128" i="47"/>
  <c r="W128" i="47" s="1"/>
  <c r="Z128" i="47" s="1"/>
  <c r="Y128" i="47" s="1"/>
  <c r="AA128" i="47"/>
  <c r="AB128" i="47" s="1"/>
  <c r="V144" i="47"/>
  <c r="W144" i="47" s="1"/>
  <c r="Z144" i="47" s="1"/>
  <c r="Y144" i="47" s="1"/>
  <c r="AA144" i="47"/>
  <c r="AB144" i="47" s="1"/>
  <c r="V126" i="47"/>
  <c r="W126" i="47" s="1"/>
  <c r="Z126" i="47" s="1"/>
  <c r="Y126" i="47" s="1"/>
  <c r="AA126" i="47"/>
  <c r="AB126" i="47" s="1"/>
  <c r="V142" i="47"/>
  <c r="W142" i="47" s="1"/>
  <c r="Z142" i="47" s="1"/>
  <c r="Y142" i="47" s="1"/>
  <c r="AA142" i="47"/>
  <c r="AB142" i="47" s="1"/>
  <c r="V154" i="47"/>
  <c r="W154" i="47" s="1"/>
  <c r="Z154" i="47" s="1"/>
  <c r="Y154" i="47" s="1"/>
  <c r="AA154" i="47"/>
  <c r="AB154" i="47" s="1"/>
  <c r="R37" i="51"/>
  <c r="R47" i="51" s="1"/>
  <c r="U19" i="24"/>
  <c r="F23" i="9" s="1"/>
  <c r="P34" i="6"/>
  <c r="R34" i="6" s="1"/>
  <c r="BK5" i="5"/>
  <c r="AD35" i="6"/>
  <c r="AA20" i="24" s="1"/>
  <c r="AD31" i="6"/>
  <c r="AA16" i="24" s="1"/>
  <c r="AD37" i="6"/>
  <c r="AA22" i="24" s="1"/>
  <c r="AD33" i="6"/>
  <c r="AA18" i="24" s="1"/>
  <c r="AD29" i="6"/>
  <c r="AA14" i="24" s="1"/>
  <c r="BU7" i="5"/>
  <c r="AD38" i="6"/>
  <c r="AA23" i="24" s="1"/>
  <c r="AD34" i="6"/>
  <c r="AA19" i="24" s="1"/>
  <c r="AD30" i="6"/>
  <c r="AA15" i="24" s="1"/>
  <c r="BV7" i="5"/>
  <c r="BT7" i="5"/>
  <c r="AD36" i="6"/>
  <c r="AA21" i="24" s="1"/>
  <c r="AD32" i="6"/>
  <c r="AA17" i="24" s="1"/>
  <c r="CJ40" i="5"/>
  <c r="CJ46" i="5" s="1"/>
  <c r="BO38" i="7"/>
  <c r="BS38" i="7"/>
  <c r="BN38" i="7"/>
  <c r="BP38" i="7"/>
  <c r="AH7" i="25"/>
  <c r="AF8" i="25" s="1"/>
  <c r="AJ7" i="25"/>
  <c r="BW7" i="26"/>
  <c r="BS7" i="26"/>
  <c r="BK7" i="26"/>
  <c r="BV7" i="26"/>
  <c r="BR7" i="26"/>
  <c r="BU7" i="26"/>
  <c r="BQ7" i="26"/>
  <c r="BT7" i="26"/>
  <c r="BP7" i="26"/>
  <c r="BL7" i="26"/>
  <c r="BI8" i="26" s="1"/>
  <c r="BJ8" i="26" s="1"/>
  <c r="L15" i="23"/>
  <c r="AT15" i="26" s="1"/>
  <c r="BA15" i="26" s="1"/>
  <c r="AJ15" i="26"/>
  <c r="AI15" i="24"/>
  <c r="J19" i="9" s="1"/>
  <c r="L23" i="23"/>
  <c r="AT23" i="26" s="1"/>
  <c r="AJ23" i="26"/>
  <c r="AI23" i="24"/>
  <c r="J27" i="9" s="1"/>
  <c r="L21" i="23"/>
  <c r="AT21" i="26" s="1"/>
  <c r="BA21" i="26" s="1"/>
  <c r="AJ21" i="26"/>
  <c r="AI21" i="24"/>
  <c r="J25" i="9" s="1"/>
  <c r="AA22" i="9"/>
  <c r="AA21" i="9"/>
  <c r="N140" i="49"/>
  <c r="BJ23" i="49"/>
  <c r="I140" i="49"/>
  <c r="AL23" i="49"/>
  <c r="AH105" i="49"/>
  <c r="ET39" i="49"/>
  <c r="S105" i="49"/>
  <c r="BZ39" i="49"/>
  <c r="ES63" i="49"/>
  <c r="DX63" i="49"/>
  <c r="AD122" i="49" s="1"/>
  <c r="CW63" i="49"/>
  <c r="CB63" i="49"/>
  <c r="T122" i="49" s="1"/>
  <c r="BA63" i="49"/>
  <c r="AF63" i="49"/>
  <c r="J122" i="49" s="1"/>
  <c r="AA63" i="49"/>
  <c r="G122" i="49" s="1"/>
  <c r="E63" i="49"/>
  <c r="DA63" i="49"/>
  <c r="BE63" i="49"/>
  <c r="I63" i="49"/>
  <c r="EV63" i="49"/>
  <c r="AI122" i="49" s="1"/>
  <c r="DU63" i="49"/>
  <c r="CZ63" i="49"/>
  <c r="Y122" i="49" s="1"/>
  <c r="CU63" i="49"/>
  <c r="V122" i="49" s="1"/>
  <c r="BY63" i="49"/>
  <c r="BD63" i="49"/>
  <c r="O122" i="49" s="1"/>
  <c r="AY63" i="49"/>
  <c r="L122" i="49" s="1"/>
  <c r="AC63" i="49"/>
  <c r="H63" i="49"/>
  <c r="E122" i="49" s="1"/>
  <c r="C63" i="49"/>
  <c r="B122" i="49" s="1"/>
  <c r="AG63" i="49"/>
  <c r="ES57" i="49"/>
  <c r="DX57" i="49"/>
  <c r="AD116" i="49" s="1"/>
  <c r="CW57" i="49"/>
  <c r="CB57" i="49"/>
  <c r="T116" i="49" s="1"/>
  <c r="BA57" i="49"/>
  <c r="AF57" i="49"/>
  <c r="J116" i="49" s="1"/>
  <c r="AA57" i="49"/>
  <c r="G116" i="49" s="1"/>
  <c r="E57" i="49"/>
  <c r="DA57" i="49"/>
  <c r="BE57" i="49"/>
  <c r="I57" i="49"/>
  <c r="EV57" i="49"/>
  <c r="AI116" i="49" s="1"/>
  <c r="DU57" i="49"/>
  <c r="CZ57" i="49"/>
  <c r="Y116" i="49" s="1"/>
  <c r="CU57" i="49"/>
  <c r="V116" i="49" s="1"/>
  <c r="BY57" i="49"/>
  <c r="BD57" i="49"/>
  <c r="O116" i="49" s="1"/>
  <c r="AY57" i="49"/>
  <c r="L116" i="49" s="1"/>
  <c r="AC57" i="49"/>
  <c r="H57" i="49"/>
  <c r="E116" i="49" s="1"/>
  <c r="C57" i="49"/>
  <c r="B116" i="49" s="1"/>
  <c r="AG57" i="49"/>
  <c r="EV60" i="49"/>
  <c r="AI119" i="49" s="1"/>
  <c r="DU60" i="49"/>
  <c r="CZ60" i="49"/>
  <c r="Y119" i="49" s="1"/>
  <c r="CU60" i="49"/>
  <c r="V119" i="49" s="1"/>
  <c r="BY60" i="49"/>
  <c r="BD60" i="49"/>
  <c r="O119" i="49" s="1"/>
  <c r="AY60" i="49"/>
  <c r="L119" i="49" s="1"/>
  <c r="AC60" i="49"/>
  <c r="H60" i="49"/>
  <c r="E119" i="49" s="1"/>
  <c r="C60" i="49"/>
  <c r="B119" i="49" s="1"/>
  <c r="AG60" i="49"/>
  <c r="ES60" i="49"/>
  <c r="DX60" i="49"/>
  <c r="AD119" i="49" s="1"/>
  <c r="CW60" i="49"/>
  <c r="CB60" i="49"/>
  <c r="T119" i="49" s="1"/>
  <c r="BA60" i="49"/>
  <c r="AF60" i="49"/>
  <c r="J119" i="49" s="1"/>
  <c r="AA60" i="49"/>
  <c r="G119" i="49" s="1"/>
  <c r="E60" i="49"/>
  <c r="DA60" i="49"/>
  <c r="BE60" i="49"/>
  <c r="I60" i="49"/>
  <c r="X113" i="49"/>
  <c r="CX54" i="49"/>
  <c r="I113" i="49"/>
  <c r="AD54" i="49"/>
  <c r="S112" i="49"/>
  <c r="BZ46" i="49"/>
  <c r="X112" i="49"/>
  <c r="CX46" i="49"/>
  <c r="AO39" i="6"/>
  <c r="AE24" i="24" s="1"/>
  <c r="AO40" i="6"/>
  <c r="AE25" i="24" s="1"/>
  <c r="AO44" i="6"/>
  <c r="AE29" i="24" s="1"/>
  <c r="BV20" i="5"/>
  <c r="BU20" i="5"/>
  <c r="AO46" i="6"/>
  <c r="AE31" i="24" s="1"/>
  <c r="BT20" i="5"/>
  <c r="Q43" i="6"/>
  <c r="V59" i="47"/>
  <c r="W59" i="47" s="1"/>
  <c r="Z59" i="47" s="1"/>
  <c r="Y59" i="47" s="1"/>
  <c r="AA59" i="47"/>
  <c r="AB59" i="47" s="1"/>
  <c r="V29" i="47"/>
  <c r="W29" i="47" s="1"/>
  <c r="Z29" i="47" s="1"/>
  <c r="Y29" i="47" s="1"/>
  <c r="AA29" i="47"/>
  <c r="AB29" i="47" s="1"/>
  <c r="V65" i="47"/>
  <c r="W65" i="47" s="1"/>
  <c r="Z65" i="47" s="1"/>
  <c r="Y65" i="47" s="1"/>
  <c r="AA65" i="47"/>
  <c r="AB65" i="47" s="1"/>
  <c r="V61" i="47"/>
  <c r="W61" i="47" s="1"/>
  <c r="Z61" i="47" s="1"/>
  <c r="Y61" i="47" s="1"/>
  <c r="AA61" i="47"/>
  <c r="AB61" i="47" s="1"/>
  <c r="V31" i="47"/>
  <c r="W31" i="47" s="1"/>
  <c r="Z31" i="47" s="1"/>
  <c r="Y31" i="47" s="1"/>
  <c r="AA31" i="47"/>
  <c r="AB31" i="47" s="1"/>
  <c r="V77" i="47"/>
  <c r="W77" i="47" s="1"/>
  <c r="Z77" i="47" s="1"/>
  <c r="Y77" i="47" s="1"/>
  <c r="AA77" i="47"/>
  <c r="AB77" i="47" s="1"/>
  <c r="V129" i="47"/>
  <c r="W129" i="47" s="1"/>
  <c r="Z129" i="47" s="1"/>
  <c r="Y129" i="47" s="1"/>
  <c r="AA129" i="47"/>
  <c r="AB129" i="47" s="1"/>
  <c r="V145" i="47"/>
  <c r="W145" i="47" s="1"/>
  <c r="Z145" i="47" s="1"/>
  <c r="Y145" i="47" s="1"/>
  <c r="AA145" i="47"/>
  <c r="AB145" i="47" s="1"/>
  <c r="V91" i="47"/>
  <c r="W91" i="47" s="1"/>
  <c r="Z91" i="47" s="1"/>
  <c r="Y91" i="47" s="1"/>
  <c r="AA91" i="47"/>
  <c r="AB91" i="47" s="1"/>
  <c r="AA99" i="47"/>
  <c r="AB99" i="47" s="1"/>
  <c r="V99" i="47"/>
  <c r="W99" i="47" s="1"/>
  <c r="Z99" i="47" s="1"/>
  <c r="Y99" i="47" s="1"/>
  <c r="V107" i="47"/>
  <c r="W107" i="47" s="1"/>
  <c r="Z107" i="47" s="1"/>
  <c r="Y107" i="47" s="1"/>
  <c r="AA107" i="47"/>
  <c r="AB107" i="47" s="1"/>
  <c r="V115" i="47"/>
  <c r="W115" i="47" s="1"/>
  <c r="Z115" i="47" s="1"/>
  <c r="Y115" i="47" s="1"/>
  <c r="AA115" i="47"/>
  <c r="AB115" i="47" s="1"/>
  <c r="V127" i="47"/>
  <c r="W127" i="47" s="1"/>
  <c r="Z127" i="47" s="1"/>
  <c r="Y127" i="47" s="1"/>
  <c r="AA127" i="47"/>
  <c r="AB127" i="47" s="1"/>
  <c r="V143" i="47"/>
  <c r="W143" i="47" s="1"/>
  <c r="Z143" i="47" s="1"/>
  <c r="Y143" i="47" s="1"/>
  <c r="AA143" i="47"/>
  <c r="AB143" i="47" s="1"/>
  <c r="V155" i="47"/>
  <c r="W155" i="47" s="1"/>
  <c r="Z155" i="47" s="1"/>
  <c r="Y155" i="47" s="1"/>
  <c r="AA155" i="47"/>
  <c r="AB155" i="47" s="1"/>
  <c r="Q38" i="6"/>
  <c r="R105" i="51"/>
  <c r="I194" i="49"/>
  <c r="AT23" i="49"/>
  <c r="X194" i="49"/>
  <c r="DN23" i="49"/>
  <c r="Y21" i="24"/>
  <c r="H102" i="6"/>
  <c r="Y18" i="24"/>
  <c r="H99" i="6"/>
  <c r="CF40" i="5"/>
  <c r="CF46" i="5" s="1"/>
  <c r="FD55" i="49"/>
  <c r="AI172" i="49" s="1"/>
  <c r="EC55" i="49"/>
  <c r="DH55" i="49"/>
  <c r="Y172" i="49" s="1"/>
  <c r="DC55" i="49"/>
  <c r="V172" i="49" s="1"/>
  <c r="CG55" i="49"/>
  <c r="BL55" i="49"/>
  <c r="O172" i="49" s="1"/>
  <c r="BG55" i="49"/>
  <c r="L172" i="49" s="1"/>
  <c r="AK55" i="49"/>
  <c r="P55" i="49"/>
  <c r="E172" i="49" s="1"/>
  <c r="K55" i="49"/>
  <c r="B172" i="49" s="1"/>
  <c r="AO55" i="49"/>
  <c r="FA55" i="49"/>
  <c r="EF55" i="49"/>
  <c r="AD172" i="49" s="1"/>
  <c r="DE55" i="49"/>
  <c r="CJ55" i="49"/>
  <c r="T172" i="49" s="1"/>
  <c r="BI55" i="49"/>
  <c r="AN55" i="49"/>
  <c r="J172" i="49" s="1"/>
  <c r="AI55" i="49"/>
  <c r="G172" i="49" s="1"/>
  <c r="M55" i="49"/>
  <c r="DI55" i="49"/>
  <c r="BM55" i="49"/>
  <c r="Q55" i="49"/>
  <c r="F153" i="7"/>
  <c r="S171" i="49"/>
  <c r="CH54" i="49"/>
  <c r="X171" i="49"/>
  <c r="DF54" i="49"/>
  <c r="D111" i="49"/>
  <c r="F45" i="49"/>
  <c r="AC111" i="49"/>
  <c r="DV45" i="49"/>
  <c r="D108" i="49"/>
  <c r="F42" i="49"/>
  <c r="U27" i="24"/>
  <c r="F31" i="9" s="1"/>
  <c r="P42" i="6"/>
  <c r="R42" i="6" s="1"/>
  <c r="Q48" i="6"/>
  <c r="Q116" i="32"/>
  <c r="O117" i="32"/>
  <c r="P35" i="6"/>
  <c r="R35" i="6" s="1"/>
  <c r="U20" i="24"/>
  <c r="F24" i="9" s="1"/>
  <c r="J202" i="41"/>
  <c r="H203" i="41"/>
  <c r="J203" i="41" s="1"/>
  <c r="I130" i="49"/>
  <c r="AL13" i="49"/>
  <c r="AC130" i="49"/>
  <c r="ED13" i="49"/>
  <c r="Q37" i="6"/>
  <c r="Q36" i="6"/>
  <c r="Y29" i="24"/>
  <c r="H110" i="6"/>
  <c r="H109" i="6"/>
  <c r="Y28" i="24"/>
  <c r="CJ42" i="5"/>
  <c r="CJ48" i="5" s="1"/>
  <c r="R104" i="51"/>
  <c r="CE41" i="5"/>
  <c r="CE47" i="5" s="1"/>
  <c r="CM47" i="5" s="1"/>
  <c r="N7" i="34"/>
  <c r="AH225" i="49"/>
  <c r="FJ54" i="49"/>
  <c r="S225" i="49"/>
  <c r="CP54" i="49"/>
  <c r="AC110" i="49"/>
  <c r="DV44" i="49"/>
  <c r="AH110" i="49"/>
  <c r="ET44" i="49"/>
  <c r="N107" i="49"/>
  <c r="BB41" i="49"/>
  <c r="I104" i="49"/>
  <c r="AD38" i="49"/>
  <c r="N104" i="49"/>
  <c r="BB38" i="49"/>
  <c r="P41" i="6"/>
  <c r="R41" i="6" s="1"/>
  <c r="U26" i="24"/>
  <c r="F30" i="9" s="1"/>
  <c r="Q46" i="6"/>
  <c r="D18" i="32"/>
  <c r="E17" i="32"/>
  <c r="F17" i="32" s="1"/>
  <c r="AI30" i="24"/>
  <c r="J34" i="9" s="1"/>
  <c r="L30" i="23"/>
  <c r="AT30" i="26" s="1"/>
  <c r="AJ30" i="26"/>
  <c r="L27" i="23"/>
  <c r="AT27" i="26" s="1"/>
  <c r="BA27" i="26" s="1"/>
  <c r="AI27" i="24"/>
  <c r="J31" i="9" s="1"/>
  <c r="AJ27" i="26"/>
  <c r="AD6" i="26"/>
  <c r="AC6" i="26"/>
  <c r="Z6" i="26"/>
  <c r="AB6" i="26"/>
  <c r="AE6" i="26"/>
  <c r="BX5" i="24" l="1"/>
  <c r="AU5" i="24" s="1"/>
  <c r="V9" i="9" s="1"/>
  <c r="BS5" i="24"/>
  <c r="AP5" i="24" s="1"/>
  <c r="Q9" i="9" s="1"/>
  <c r="BU5" i="24"/>
  <c r="AR5" i="24" s="1"/>
  <c r="S9" i="9" s="1"/>
  <c r="BW5" i="24"/>
  <c r="AT5" i="24" s="1"/>
  <c r="U9" i="9" s="1"/>
  <c r="BV5" i="24"/>
  <c r="AS5" i="24" s="1"/>
  <c r="T9" i="9" s="1"/>
  <c r="H12" i="6"/>
  <c r="G12" i="6"/>
  <c r="T47" i="51"/>
  <c r="S47" i="51"/>
  <c r="AH8" i="25"/>
  <c r="AJ8" i="25"/>
  <c r="J12" i="6"/>
  <c r="I12" i="6"/>
  <c r="BX38" i="7"/>
  <c r="BW38" i="7"/>
  <c r="CA38" i="7"/>
  <c r="BV38" i="7"/>
  <c r="DI25" i="49"/>
  <c r="BM25" i="49"/>
  <c r="Q25" i="49"/>
  <c r="F123" i="7"/>
  <c r="FD25" i="49"/>
  <c r="AI142" i="49" s="1"/>
  <c r="EC25" i="49"/>
  <c r="DH25" i="49"/>
  <c r="Y142" i="49" s="1"/>
  <c r="DC25" i="49"/>
  <c r="V142" i="49" s="1"/>
  <c r="CG25" i="49"/>
  <c r="BL25" i="49"/>
  <c r="O142" i="49" s="1"/>
  <c r="BG25" i="49"/>
  <c r="L142" i="49" s="1"/>
  <c r="AK25" i="49"/>
  <c r="P25" i="49"/>
  <c r="E142" i="49" s="1"/>
  <c r="K25" i="49"/>
  <c r="B142" i="49" s="1"/>
  <c r="AO25" i="49"/>
  <c r="FA25" i="49"/>
  <c r="EF25" i="49"/>
  <c r="AD142" i="49" s="1"/>
  <c r="DE25" i="49"/>
  <c r="CJ25" i="49"/>
  <c r="T142" i="49" s="1"/>
  <c r="BI25" i="49"/>
  <c r="AN25" i="49"/>
  <c r="J142" i="49" s="1"/>
  <c r="AI25" i="49"/>
  <c r="G142" i="49" s="1"/>
  <c r="M25" i="49"/>
  <c r="D141" i="49"/>
  <c r="N24" i="49"/>
  <c r="AA24" i="9"/>
  <c r="FL39" i="49"/>
  <c r="AI210" i="49" s="1"/>
  <c r="EK39" i="49"/>
  <c r="DP39" i="49"/>
  <c r="Y210" i="49" s="1"/>
  <c r="DK39" i="49"/>
  <c r="V210" i="49" s="1"/>
  <c r="CO39" i="49"/>
  <c r="BT39" i="49"/>
  <c r="O210" i="49" s="1"/>
  <c r="BO39" i="49"/>
  <c r="L210" i="49" s="1"/>
  <c r="AS39" i="49"/>
  <c r="X39" i="49"/>
  <c r="E210" i="49" s="1"/>
  <c r="S39" i="49"/>
  <c r="B210" i="49" s="1"/>
  <c r="AW39" i="49"/>
  <c r="FI39" i="49"/>
  <c r="EN39" i="49"/>
  <c r="AD210" i="49" s="1"/>
  <c r="DM39" i="49"/>
  <c r="CR39" i="49"/>
  <c r="T210" i="49" s="1"/>
  <c r="BQ39" i="49"/>
  <c r="AV39" i="49"/>
  <c r="J210" i="49" s="1"/>
  <c r="AQ39" i="49"/>
  <c r="G210" i="49" s="1"/>
  <c r="U39" i="49"/>
  <c r="DQ39" i="49"/>
  <c r="BU39" i="49"/>
  <c r="Y39" i="49"/>
  <c r="H137" i="7"/>
  <c r="X209" i="49"/>
  <c r="DN38" i="49"/>
  <c r="AC155" i="49"/>
  <c r="ED38" i="49"/>
  <c r="K85" i="7"/>
  <c r="K75" i="7"/>
  <c r="I226" i="49"/>
  <c r="AT55" i="49"/>
  <c r="N226" i="49"/>
  <c r="BR55" i="49"/>
  <c r="CF42" i="7"/>
  <c r="CE42" i="7"/>
  <c r="CD42" i="7"/>
  <c r="FA15" i="49"/>
  <c r="EC15" i="49"/>
  <c r="DE15" i="49"/>
  <c r="CG15" i="49"/>
  <c r="BI15" i="49"/>
  <c r="AK15" i="49"/>
  <c r="M15" i="49"/>
  <c r="F113" i="7"/>
  <c r="DI15" i="49"/>
  <c r="BM15" i="49"/>
  <c r="AO15" i="49"/>
  <c r="Q15" i="49"/>
  <c r="FD15" i="49"/>
  <c r="AI132" i="49" s="1"/>
  <c r="EF15" i="49"/>
  <c r="AD132" i="49" s="1"/>
  <c r="DH15" i="49"/>
  <c r="Y132" i="49" s="1"/>
  <c r="DC15" i="49"/>
  <c r="V132" i="49" s="1"/>
  <c r="CJ15" i="49"/>
  <c r="T132" i="49" s="1"/>
  <c r="BL15" i="49"/>
  <c r="O132" i="49" s="1"/>
  <c r="BG15" i="49"/>
  <c r="L132" i="49" s="1"/>
  <c r="AN15" i="49"/>
  <c r="J132" i="49" s="1"/>
  <c r="AI15" i="49"/>
  <c r="G132" i="49" s="1"/>
  <c r="P15" i="49"/>
  <c r="E132" i="49" s="1"/>
  <c r="K15" i="49"/>
  <c r="B132" i="49" s="1"/>
  <c r="I131" i="49"/>
  <c r="AL14" i="49"/>
  <c r="AC131" i="49"/>
  <c r="ED14" i="49"/>
  <c r="I124" i="49"/>
  <c r="AD65" i="49"/>
  <c r="N124" i="49"/>
  <c r="BB65" i="49"/>
  <c r="AH121" i="49"/>
  <c r="ET62" i="49"/>
  <c r="S121" i="49"/>
  <c r="BZ62" i="49"/>
  <c r="AC114" i="49"/>
  <c r="DV55" i="49"/>
  <c r="AH114" i="49"/>
  <c r="ET55" i="49"/>
  <c r="AB23" i="9"/>
  <c r="J23" i="41"/>
  <c r="L23" i="41" s="1"/>
  <c r="I23" i="41"/>
  <c r="K23" i="41" s="1"/>
  <c r="CD32" i="7"/>
  <c r="CF32" i="7"/>
  <c r="CE32" i="7"/>
  <c r="F42" i="2"/>
  <c r="W61" i="39"/>
  <c r="R46" i="6"/>
  <c r="X195" i="49"/>
  <c r="DN24" i="49"/>
  <c r="AW25" i="49"/>
  <c r="FI25" i="49"/>
  <c r="EN25" i="49"/>
  <c r="AD196" i="49" s="1"/>
  <c r="DM25" i="49"/>
  <c r="CR25" i="49"/>
  <c r="T196" i="49" s="1"/>
  <c r="BQ25" i="49"/>
  <c r="AV25" i="49"/>
  <c r="J196" i="49" s="1"/>
  <c r="AQ25" i="49"/>
  <c r="G196" i="49" s="1"/>
  <c r="U25" i="49"/>
  <c r="DQ25" i="49"/>
  <c r="BU25" i="49"/>
  <c r="Y25" i="49"/>
  <c r="FL25" i="49"/>
  <c r="AI196" i="49" s="1"/>
  <c r="EK25" i="49"/>
  <c r="DP25" i="49"/>
  <c r="Y196" i="49" s="1"/>
  <c r="DK25" i="49"/>
  <c r="V196" i="49" s="1"/>
  <c r="CO25" i="49"/>
  <c r="BT25" i="49"/>
  <c r="O196" i="49" s="1"/>
  <c r="BO25" i="49"/>
  <c r="L196" i="49" s="1"/>
  <c r="AS25" i="49"/>
  <c r="X25" i="49"/>
  <c r="E196" i="49" s="1"/>
  <c r="S25" i="49"/>
  <c r="B196" i="49" s="1"/>
  <c r="H123" i="7"/>
  <c r="S195" i="49"/>
  <c r="CP24" i="49"/>
  <c r="X123" i="49"/>
  <c r="CX64" i="49"/>
  <c r="I123" i="49"/>
  <c r="AD64" i="49"/>
  <c r="S120" i="49"/>
  <c r="BZ61" i="49"/>
  <c r="X120" i="49"/>
  <c r="CX61" i="49"/>
  <c r="D117" i="49"/>
  <c r="F58" i="49"/>
  <c r="AC117" i="49"/>
  <c r="DV58" i="49"/>
  <c r="AB31" i="9"/>
  <c r="AG8" i="25"/>
  <c r="AA4" i="35"/>
  <c r="AA5" i="35"/>
  <c r="AB4" i="35"/>
  <c r="AB5" i="35"/>
  <c r="D19" i="32"/>
  <c r="E18" i="32"/>
  <c r="F18" i="32" s="1"/>
  <c r="S172" i="49"/>
  <c r="CH55" i="49"/>
  <c r="AH119" i="49"/>
  <c r="ET60" i="49"/>
  <c r="S119" i="49"/>
  <c r="BZ60" i="49"/>
  <c r="X35" i="6"/>
  <c r="L20" i="24" s="1"/>
  <c r="X31" i="6"/>
  <c r="L16" i="24" s="1"/>
  <c r="X34" i="6"/>
  <c r="L19" i="24" s="1"/>
  <c r="X38" i="6"/>
  <c r="L23" i="24" s="1"/>
  <c r="X36" i="6"/>
  <c r="L21" i="24" s="1"/>
  <c r="X37" i="6"/>
  <c r="L22" i="24" s="1"/>
  <c r="X33" i="6"/>
  <c r="L18" i="24" s="1"/>
  <c r="X30" i="6"/>
  <c r="L15" i="24" s="1"/>
  <c r="X29" i="6"/>
  <c r="L14" i="24" s="1"/>
  <c r="X32" i="6"/>
  <c r="L17" i="24" s="1"/>
  <c r="N115" i="49"/>
  <c r="BB56" i="49"/>
  <c r="AC125" i="49"/>
  <c r="DV66" i="49"/>
  <c r="AA34" i="9"/>
  <c r="AR23" i="25"/>
  <c r="Z27" i="9" s="1"/>
  <c r="AR33" i="25"/>
  <c r="Z37" i="9" s="1"/>
  <c r="AR13" i="25"/>
  <c r="Z17" i="9" s="1"/>
  <c r="AB12" i="9"/>
  <c r="S209" i="49"/>
  <c r="CP38" i="49"/>
  <c r="D155" i="49"/>
  <c r="N38" i="49"/>
  <c r="BA30" i="26"/>
  <c r="X172" i="49"/>
  <c r="DF55" i="49"/>
  <c r="I172" i="49"/>
  <c r="AL55" i="49"/>
  <c r="X119" i="49"/>
  <c r="CX60" i="49"/>
  <c r="I119" i="49"/>
  <c r="AD60" i="49"/>
  <c r="S116" i="49"/>
  <c r="BZ57" i="49"/>
  <c r="X116" i="49"/>
  <c r="CX57" i="49"/>
  <c r="I122" i="49"/>
  <c r="AD63" i="49"/>
  <c r="N122" i="49"/>
  <c r="BB63" i="49"/>
  <c r="AB21" i="9"/>
  <c r="BA23" i="26"/>
  <c r="BH7" i="26"/>
  <c r="BX7" i="26"/>
  <c r="BY7" i="26"/>
  <c r="X45" i="6"/>
  <c r="L30" i="24" s="1"/>
  <c r="X42" i="6"/>
  <c r="L27" i="24" s="1"/>
  <c r="X39" i="6"/>
  <c r="L24" i="24" s="1"/>
  <c r="X40" i="6"/>
  <c r="L25" i="24" s="1"/>
  <c r="X48" i="6"/>
  <c r="L33" i="24" s="1"/>
  <c r="X46" i="6"/>
  <c r="L31" i="24" s="1"/>
  <c r="X47" i="6"/>
  <c r="L32" i="24" s="1"/>
  <c r="X43" i="6"/>
  <c r="L28" i="24" s="1"/>
  <c r="X44" i="6"/>
  <c r="L29" i="24" s="1"/>
  <c r="X41" i="6"/>
  <c r="L26" i="24" s="1"/>
  <c r="CA39" i="7"/>
  <c r="BV39" i="7"/>
  <c r="BX39" i="7"/>
  <c r="BW39" i="7"/>
  <c r="J57" i="7"/>
  <c r="C35" i="2"/>
  <c r="J81" i="7"/>
  <c r="J71" i="7"/>
  <c r="J58" i="7"/>
  <c r="J56" i="7"/>
  <c r="E5" i="6"/>
  <c r="G41" i="2"/>
  <c r="U30" i="2"/>
  <c r="F46" i="2" s="1"/>
  <c r="I87" i="7"/>
  <c r="I77" i="7"/>
  <c r="I63" i="7"/>
  <c r="I64" i="7"/>
  <c r="U27" i="2"/>
  <c r="F43" i="2" s="1"/>
  <c r="I84" i="7"/>
  <c r="I74" i="7"/>
  <c r="I65" i="7"/>
  <c r="BA31" i="26"/>
  <c r="CF33" i="7"/>
  <c r="CE33" i="7"/>
  <c r="CD33" i="7"/>
  <c r="R115" i="32"/>
  <c r="P116" i="32"/>
  <c r="CA41" i="7"/>
  <c r="BV41" i="7"/>
  <c r="BX41" i="7"/>
  <c r="BW41" i="7"/>
  <c r="D115" i="49"/>
  <c r="F56" i="49"/>
  <c r="AC115" i="49"/>
  <c r="DV56" i="49"/>
  <c r="AH125" i="49"/>
  <c r="ET66" i="49"/>
  <c r="S125" i="49"/>
  <c r="BZ66" i="49"/>
  <c r="AC118" i="49"/>
  <c r="DV59" i="49"/>
  <c r="AH118" i="49"/>
  <c r="ET59" i="49"/>
  <c r="AC141" i="49"/>
  <c r="ED24" i="49"/>
  <c r="AH141" i="49"/>
  <c r="FB24" i="49"/>
  <c r="AA15" i="9"/>
  <c r="AA14" i="9"/>
  <c r="R44" i="6"/>
  <c r="I209" i="49"/>
  <c r="AT38" i="49"/>
  <c r="N209" i="49"/>
  <c r="BR38" i="49"/>
  <c r="AH155" i="49"/>
  <c r="FB38" i="49"/>
  <c r="S155" i="49"/>
  <c r="CH38" i="49"/>
  <c r="J66" i="7"/>
  <c r="J67" i="7"/>
  <c r="J86" i="7"/>
  <c r="J76" i="7"/>
  <c r="BA25" i="26"/>
  <c r="D226" i="49"/>
  <c r="V55" i="49"/>
  <c r="T5" i="51"/>
  <c r="S5" i="51"/>
  <c r="N131" i="49"/>
  <c r="BJ14" i="49"/>
  <c r="AH131" i="49"/>
  <c r="FB14" i="49"/>
  <c r="D124" i="49"/>
  <c r="F65" i="49"/>
  <c r="X121" i="49"/>
  <c r="CX62" i="49"/>
  <c r="I121" i="49"/>
  <c r="AD62" i="49"/>
  <c r="S114" i="49"/>
  <c r="BZ55" i="49"/>
  <c r="X114" i="49"/>
  <c r="CX55" i="49"/>
  <c r="BA18" i="26"/>
  <c r="CM46" i="5"/>
  <c r="C24" i="41"/>
  <c r="D24" i="41"/>
  <c r="F24" i="41"/>
  <c r="C38" i="27"/>
  <c r="D37" i="27" s="1"/>
  <c r="D25" i="27"/>
  <c r="BA29" i="26"/>
  <c r="R32" i="6"/>
  <c r="N195" i="49"/>
  <c r="BR24" i="49"/>
  <c r="I195" i="49"/>
  <c r="AT24" i="49"/>
  <c r="CA35" i="7"/>
  <c r="BV35" i="7"/>
  <c r="BX35" i="7"/>
  <c r="BW35" i="7"/>
  <c r="N123" i="49"/>
  <c r="BB64" i="49"/>
  <c r="I120" i="49"/>
  <c r="AD61" i="49"/>
  <c r="N120" i="49"/>
  <c r="BB61" i="49"/>
  <c r="AH117" i="49"/>
  <c r="ET58" i="49"/>
  <c r="S117" i="49"/>
  <c r="BZ58" i="49"/>
  <c r="AI7" i="25"/>
  <c r="Y6" i="35"/>
  <c r="Y7" i="35"/>
  <c r="AC116" i="49"/>
  <c r="DV57" i="49"/>
  <c r="AH116" i="49"/>
  <c r="ET57" i="49"/>
  <c r="S122" i="49"/>
  <c r="BZ63" i="49"/>
  <c r="X122" i="49"/>
  <c r="CX63" i="49"/>
  <c r="J87" i="7"/>
  <c r="J77" i="7"/>
  <c r="N9" i="34"/>
  <c r="M9" i="34"/>
  <c r="J10" i="34" s="1"/>
  <c r="L9" i="34"/>
  <c r="K9" i="34" s="1"/>
  <c r="D125" i="49"/>
  <c r="F66" i="49"/>
  <c r="D118" i="49"/>
  <c r="F59" i="49"/>
  <c r="FA56" i="49"/>
  <c r="EF56" i="49"/>
  <c r="AD173" i="49" s="1"/>
  <c r="DE56" i="49"/>
  <c r="CJ56" i="49"/>
  <c r="T173" i="49" s="1"/>
  <c r="BI56" i="49"/>
  <c r="AN56" i="49"/>
  <c r="J173" i="49" s="1"/>
  <c r="AI56" i="49"/>
  <c r="G173" i="49" s="1"/>
  <c r="M56" i="49"/>
  <c r="DI56" i="49"/>
  <c r="BM56" i="49"/>
  <c r="Q56" i="49"/>
  <c r="FD56" i="49"/>
  <c r="AI173" i="49" s="1"/>
  <c r="EC56" i="49"/>
  <c r="DH56" i="49"/>
  <c r="Y173" i="49" s="1"/>
  <c r="DC56" i="49"/>
  <c r="V173" i="49" s="1"/>
  <c r="CG56" i="49"/>
  <c r="BL56" i="49"/>
  <c r="O173" i="49" s="1"/>
  <c r="BG56" i="49"/>
  <c r="L173" i="49" s="1"/>
  <c r="AK56" i="49"/>
  <c r="P56" i="49"/>
  <c r="E173" i="49" s="1"/>
  <c r="K56" i="49"/>
  <c r="B173" i="49" s="1"/>
  <c r="AO56" i="49"/>
  <c r="F154" i="7"/>
  <c r="N172" i="49"/>
  <c r="BJ55" i="49"/>
  <c r="N119" i="49"/>
  <c r="BB60" i="49"/>
  <c r="I116" i="49"/>
  <c r="AD57" i="49"/>
  <c r="N116" i="49"/>
  <c r="BB57" i="49"/>
  <c r="D122" i="49"/>
  <c r="F63" i="49"/>
  <c r="BL8" i="26"/>
  <c r="BI9" i="26" s="1"/>
  <c r="BJ9" i="26" s="1"/>
  <c r="BK8" i="26"/>
  <c r="BV8" i="26"/>
  <c r="BM8" i="26"/>
  <c r="BM7" i="26"/>
  <c r="BO7" i="26"/>
  <c r="K67" i="7"/>
  <c r="K86" i="7"/>
  <c r="K76" i="7"/>
  <c r="K66" i="7"/>
  <c r="I56" i="7"/>
  <c r="I57" i="7"/>
  <c r="U24" i="2"/>
  <c r="F40" i="2" s="1"/>
  <c r="I81" i="7"/>
  <c r="I71" i="7"/>
  <c r="I58" i="7"/>
  <c r="C34" i="2"/>
  <c r="U29" i="2"/>
  <c r="F45" i="2" s="1"/>
  <c r="BV28" i="5"/>
  <c r="BR28" i="5"/>
  <c r="BW28" i="5"/>
  <c r="BQ28" i="5"/>
  <c r="BU28" i="5"/>
  <c r="BP28" i="5"/>
  <c r="BT28" i="5"/>
  <c r="BS28" i="5"/>
  <c r="BX28" i="5"/>
  <c r="N8" i="34"/>
  <c r="R36" i="6"/>
  <c r="R48" i="6"/>
  <c r="AH115" i="49"/>
  <c r="ET56" i="49"/>
  <c r="S115" i="49"/>
  <c r="BZ56" i="49"/>
  <c r="X125" i="49"/>
  <c r="CX66" i="49"/>
  <c r="I125" i="49"/>
  <c r="AD66" i="49"/>
  <c r="S118" i="49"/>
  <c r="BZ59" i="49"/>
  <c r="X118" i="49"/>
  <c r="CX59" i="49"/>
  <c r="S141" i="49"/>
  <c r="CH24" i="49"/>
  <c r="X141" i="49"/>
  <c r="DF24" i="49"/>
  <c r="AA36" i="9"/>
  <c r="AA25" i="9"/>
  <c r="AA16" i="9"/>
  <c r="AB32" i="9"/>
  <c r="BA20" i="26"/>
  <c r="D209" i="49"/>
  <c r="V38" i="49"/>
  <c r="X155" i="49"/>
  <c r="DF38" i="49"/>
  <c r="I155" i="49"/>
  <c r="AL38" i="49"/>
  <c r="CA37" i="7"/>
  <c r="BV37" i="7"/>
  <c r="BX37" i="7"/>
  <c r="BW37" i="7"/>
  <c r="T9" i="26"/>
  <c r="U9" i="26" s="1"/>
  <c r="W8" i="26"/>
  <c r="Y8" i="26" s="1"/>
  <c r="S8" i="26"/>
  <c r="V8" i="26"/>
  <c r="AC226" i="49"/>
  <c r="EL55" i="49"/>
  <c r="AH226" i="49"/>
  <c r="FJ55" i="49"/>
  <c r="Z12" i="25"/>
  <c r="AB11" i="25"/>
  <c r="AC11" i="25" s="1"/>
  <c r="AA11" i="25"/>
  <c r="S131" i="49"/>
  <c r="CH14" i="49"/>
  <c r="BV29" i="5"/>
  <c r="BR29" i="5"/>
  <c r="BU29" i="5"/>
  <c r="BP29" i="5"/>
  <c r="BT29" i="5"/>
  <c r="BX29" i="5"/>
  <c r="BS29" i="5"/>
  <c r="BW29" i="5"/>
  <c r="BQ29" i="5"/>
  <c r="AC124" i="49"/>
  <c r="DV65" i="49"/>
  <c r="AH124" i="49"/>
  <c r="ET65" i="49"/>
  <c r="N121" i="49"/>
  <c r="BB62" i="49"/>
  <c r="I114" i="49"/>
  <c r="AD55" i="49"/>
  <c r="N114" i="49"/>
  <c r="BB55" i="49"/>
  <c r="AB13" i="9"/>
  <c r="T137" i="51"/>
  <c r="S137" i="51"/>
  <c r="U28" i="2"/>
  <c r="I85" i="7"/>
  <c r="I75" i="7"/>
  <c r="K81" i="7"/>
  <c r="K71" i="7"/>
  <c r="K58" i="7"/>
  <c r="K56" i="7"/>
  <c r="C36" i="2"/>
  <c r="K57" i="7"/>
  <c r="BA24" i="26"/>
  <c r="T4" i="51"/>
  <c r="R6" i="51"/>
  <c r="S4" i="51"/>
  <c r="R47" i="6"/>
  <c r="D195" i="49"/>
  <c r="V24" i="49"/>
  <c r="R40" i="6"/>
  <c r="D123" i="49"/>
  <c r="F64" i="49"/>
  <c r="AC123" i="49"/>
  <c r="DV64" i="49"/>
  <c r="D120" i="49"/>
  <c r="F61" i="49"/>
  <c r="X117" i="49"/>
  <c r="CX58" i="49"/>
  <c r="I117" i="49"/>
  <c r="AD58" i="49"/>
  <c r="AB33" i="9"/>
  <c r="AB11" i="9"/>
  <c r="AA6" i="35"/>
  <c r="AA7" i="35"/>
  <c r="AB6" i="35"/>
  <c r="AB7" i="35"/>
  <c r="AC6" i="35"/>
  <c r="AC7" i="35"/>
  <c r="AH172" i="49"/>
  <c r="FB55" i="49"/>
  <c r="R106" i="51"/>
  <c r="T104" i="51"/>
  <c r="S104" i="51"/>
  <c r="Q117" i="32"/>
  <c r="O118" i="32"/>
  <c r="D172" i="49"/>
  <c r="N55" i="49"/>
  <c r="AC172" i="49"/>
  <c r="ED55" i="49"/>
  <c r="S105" i="51"/>
  <c r="T105" i="51"/>
  <c r="D119" i="49"/>
  <c r="F60" i="49"/>
  <c r="AC119" i="49"/>
  <c r="DV60" i="49"/>
  <c r="D116" i="49"/>
  <c r="F57" i="49"/>
  <c r="AC122" i="49"/>
  <c r="DV63" i="49"/>
  <c r="AH122" i="49"/>
  <c r="ET63" i="49"/>
  <c r="AB22" i="9"/>
  <c r="T37" i="51"/>
  <c r="S37" i="51"/>
  <c r="K8" i="34"/>
  <c r="R38" i="6"/>
  <c r="CF36" i="7"/>
  <c r="CE36" i="7"/>
  <c r="CD36" i="7"/>
  <c r="X115" i="49"/>
  <c r="CX56" i="49"/>
  <c r="I115" i="49"/>
  <c r="AD56" i="49"/>
  <c r="N125" i="49"/>
  <c r="BB66" i="49"/>
  <c r="I118" i="49"/>
  <c r="AD59" i="49"/>
  <c r="N118" i="49"/>
  <c r="BB59" i="49"/>
  <c r="I141" i="49"/>
  <c r="AL24" i="49"/>
  <c r="N141" i="49"/>
  <c r="BJ24" i="49"/>
  <c r="AA26" i="9"/>
  <c r="AA35" i="9"/>
  <c r="T10" i="25"/>
  <c r="BA17" i="26"/>
  <c r="AC209" i="49"/>
  <c r="EL38" i="49"/>
  <c r="AH209" i="49"/>
  <c r="FJ38" i="49"/>
  <c r="CF40" i="7"/>
  <c r="CE40" i="7"/>
  <c r="CD40" i="7"/>
  <c r="FA39" i="49"/>
  <c r="EF39" i="49"/>
  <c r="AD156" i="49" s="1"/>
  <c r="DE39" i="49"/>
  <c r="CJ39" i="49"/>
  <c r="T156" i="49" s="1"/>
  <c r="BI39" i="49"/>
  <c r="AN39" i="49"/>
  <c r="J156" i="49" s="1"/>
  <c r="AI39" i="49"/>
  <c r="G156" i="49" s="1"/>
  <c r="M39" i="49"/>
  <c r="DI39" i="49"/>
  <c r="BM39" i="49"/>
  <c r="Q39" i="49"/>
  <c r="FD39" i="49"/>
  <c r="AI156" i="49" s="1"/>
  <c r="EC39" i="49"/>
  <c r="DH39" i="49"/>
  <c r="Y156" i="49" s="1"/>
  <c r="DC39" i="49"/>
  <c r="V156" i="49" s="1"/>
  <c r="CG39" i="49"/>
  <c r="BL39" i="49"/>
  <c r="O156" i="49" s="1"/>
  <c r="BG39" i="49"/>
  <c r="L156" i="49" s="1"/>
  <c r="AK39" i="49"/>
  <c r="P39" i="49"/>
  <c r="E156" i="49" s="1"/>
  <c r="K39" i="49"/>
  <c r="B156" i="49" s="1"/>
  <c r="AO39" i="49"/>
  <c r="F137" i="7"/>
  <c r="N155" i="49"/>
  <c r="BJ38" i="49"/>
  <c r="BA32" i="26"/>
  <c r="FL56" i="49"/>
  <c r="AI227" i="49" s="1"/>
  <c r="EK56" i="49"/>
  <c r="DP56" i="49"/>
  <c r="Y227" i="49" s="1"/>
  <c r="DK56" i="49"/>
  <c r="V227" i="49" s="1"/>
  <c r="CO56" i="49"/>
  <c r="BT56" i="49"/>
  <c r="O227" i="49" s="1"/>
  <c r="BO56" i="49"/>
  <c r="L227" i="49" s="1"/>
  <c r="AS56" i="49"/>
  <c r="X56" i="49"/>
  <c r="E227" i="49" s="1"/>
  <c r="S56" i="49"/>
  <c r="B227" i="49" s="1"/>
  <c r="AW56" i="49"/>
  <c r="FI56" i="49"/>
  <c r="EN56" i="49"/>
  <c r="AD227" i="49" s="1"/>
  <c r="DM56" i="49"/>
  <c r="CR56" i="49"/>
  <c r="T227" i="49" s="1"/>
  <c r="BQ56" i="49"/>
  <c r="AV56" i="49"/>
  <c r="J227" i="49" s="1"/>
  <c r="AQ56" i="49"/>
  <c r="G227" i="49" s="1"/>
  <c r="U56" i="49"/>
  <c r="DQ56" i="49"/>
  <c r="BU56" i="49"/>
  <c r="Y56" i="49"/>
  <c r="H154" i="7"/>
  <c r="S226" i="49"/>
  <c r="CP55" i="49"/>
  <c r="X226" i="49"/>
  <c r="DN55" i="49"/>
  <c r="D131" i="49"/>
  <c r="N14" i="49"/>
  <c r="X131" i="49"/>
  <c r="DF14" i="49"/>
  <c r="S124" i="49"/>
  <c r="BZ65" i="49"/>
  <c r="X124" i="49"/>
  <c r="CX65" i="49"/>
  <c r="D121" i="49"/>
  <c r="F62" i="49"/>
  <c r="AC121" i="49"/>
  <c r="DV62" i="49"/>
  <c r="D114" i="49"/>
  <c r="F55" i="49"/>
  <c r="BA14" i="26"/>
  <c r="R149" i="51"/>
  <c r="CA31" i="7"/>
  <c r="BV31" i="7"/>
  <c r="BX31" i="7"/>
  <c r="BW31" i="7"/>
  <c r="BW34" i="7"/>
  <c r="CA34" i="7"/>
  <c r="BV34" i="7"/>
  <c r="BX34" i="7"/>
  <c r="AH195" i="49"/>
  <c r="FJ24" i="49"/>
  <c r="AC195" i="49"/>
  <c r="EL24" i="49"/>
  <c r="R29" i="6"/>
  <c r="AH123" i="49"/>
  <c r="ET64" i="49"/>
  <c r="S123" i="49"/>
  <c r="BZ64" i="49"/>
  <c r="AC120" i="49"/>
  <c r="DV61" i="49"/>
  <c r="AH120" i="49"/>
  <c r="ET61" i="49"/>
  <c r="N117" i="49"/>
  <c r="BB58" i="49"/>
  <c r="Y4" i="35"/>
  <c r="Y5" i="35"/>
  <c r="AC4" i="35"/>
  <c r="AC5" i="35"/>
  <c r="AC7" i="26"/>
  <c r="AD7" i="26"/>
  <c r="AB7" i="26"/>
  <c r="AE7" i="26"/>
  <c r="Z7" i="26"/>
  <c r="AJ9" i="9" l="1"/>
  <c r="AN9" i="9" s="1"/>
  <c r="CH5" i="26"/>
  <c r="O42" i="9"/>
  <c r="CE5" i="26"/>
  <c r="L42" i="9"/>
  <c r="P42" i="9"/>
  <c r="CG5" i="26"/>
  <c r="N42" i="9"/>
  <c r="AB35" i="9"/>
  <c r="F44" i="2"/>
  <c r="W60" i="39"/>
  <c r="CE37" i="7"/>
  <c r="CD37" i="7"/>
  <c r="CF37" i="7"/>
  <c r="G5" i="6"/>
  <c r="G43" i="2"/>
  <c r="CE39" i="7"/>
  <c r="CD39" i="7"/>
  <c r="CF39" i="7"/>
  <c r="AH227" i="49"/>
  <c r="FJ56" i="49"/>
  <c r="S149" i="51"/>
  <c r="T149" i="51"/>
  <c r="X227" i="49"/>
  <c r="DN56" i="49"/>
  <c r="I227" i="49"/>
  <c r="AT56" i="49"/>
  <c r="FD40" i="49"/>
  <c r="AI157" i="49" s="1"/>
  <c r="EC40" i="49"/>
  <c r="DH40" i="49"/>
  <c r="Y157" i="49" s="1"/>
  <c r="DC40" i="49"/>
  <c r="V157" i="49" s="1"/>
  <c r="CG40" i="49"/>
  <c r="BL40" i="49"/>
  <c r="O157" i="49" s="1"/>
  <c r="BG40" i="49"/>
  <c r="L157" i="49" s="1"/>
  <c r="AK40" i="49"/>
  <c r="P40" i="49"/>
  <c r="E157" i="49" s="1"/>
  <c r="K40" i="49"/>
  <c r="B157" i="49" s="1"/>
  <c r="AO40" i="49"/>
  <c r="FA40" i="49"/>
  <c r="EF40" i="49"/>
  <c r="AD157" i="49" s="1"/>
  <c r="DE40" i="49"/>
  <c r="CJ40" i="49"/>
  <c r="T157" i="49" s="1"/>
  <c r="BI40" i="49"/>
  <c r="AN40" i="49"/>
  <c r="J157" i="49" s="1"/>
  <c r="AI40" i="49"/>
  <c r="G157" i="49" s="1"/>
  <c r="M40" i="49"/>
  <c r="DI40" i="49"/>
  <c r="BM40" i="49"/>
  <c r="Q40" i="49"/>
  <c r="F138" i="7"/>
  <c r="S156" i="49"/>
  <c r="CH39" i="49"/>
  <c r="X156" i="49"/>
  <c r="DF39" i="49"/>
  <c r="AB16" i="9"/>
  <c r="AB36" i="9"/>
  <c r="BY8" i="26"/>
  <c r="BH8" i="26"/>
  <c r="BX8" i="26"/>
  <c r="I173" i="49"/>
  <c r="AL56" i="49"/>
  <c r="N173" i="49"/>
  <c r="BJ56" i="49"/>
  <c r="N10" i="34"/>
  <c r="M10" i="34"/>
  <c r="J11" i="34" s="1"/>
  <c r="L10" i="34"/>
  <c r="K10" i="34" s="1"/>
  <c r="H24" i="41"/>
  <c r="AB15" i="9"/>
  <c r="R116" i="32"/>
  <c r="P117" i="32"/>
  <c r="AA27" i="9"/>
  <c r="D20" i="32"/>
  <c r="E19" i="32"/>
  <c r="F19" i="32" s="1"/>
  <c r="S196" i="49"/>
  <c r="CP25" i="49"/>
  <c r="X196" i="49"/>
  <c r="DN25" i="49"/>
  <c r="D132" i="49"/>
  <c r="N15" i="49"/>
  <c r="X132" i="49"/>
  <c r="DF15" i="49"/>
  <c r="AH210" i="49"/>
  <c r="FJ39" i="49"/>
  <c r="S210" i="49"/>
  <c r="CP39" i="49"/>
  <c r="X142" i="49"/>
  <c r="DF25" i="49"/>
  <c r="I142" i="49"/>
  <c r="AL25" i="49"/>
  <c r="AH48" i="6"/>
  <c r="D114" i="6" s="1"/>
  <c r="AH41" i="6"/>
  <c r="D107" i="6" s="1"/>
  <c r="AH42" i="6"/>
  <c r="D108" i="6" s="1"/>
  <c r="AH45" i="6"/>
  <c r="D111" i="6" s="1"/>
  <c r="AH47" i="6"/>
  <c r="D113" i="6" s="1"/>
  <c r="AH43" i="6"/>
  <c r="D109" i="6" s="1"/>
  <c r="AC132" i="49"/>
  <c r="ED15" i="49"/>
  <c r="X210" i="49"/>
  <c r="DN39" i="49"/>
  <c r="I210" i="49"/>
  <c r="AT39" i="49"/>
  <c r="N142" i="49"/>
  <c r="BJ25" i="49"/>
  <c r="FD26" i="49"/>
  <c r="AI143" i="49" s="1"/>
  <c r="EC26" i="49"/>
  <c r="DH26" i="49"/>
  <c r="Y143" i="49" s="1"/>
  <c r="DC26" i="49"/>
  <c r="V143" i="49" s="1"/>
  <c r="CG26" i="49"/>
  <c r="FA26" i="49"/>
  <c r="EF26" i="49"/>
  <c r="AD143" i="49" s="1"/>
  <c r="DE26" i="49"/>
  <c r="CJ26" i="49"/>
  <c r="T143" i="49" s="1"/>
  <c r="DI26" i="49"/>
  <c r="BM26" i="49"/>
  <c r="BG26" i="49"/>
  <c r="L143" i="49" s="1"/>
  <c r="AO26" i="49"/>
  <c r="BL26" i="49"/>
  <c r="O143" i="49" s="1"/>
  <c r="AN26" i="49"/>
  <c r="J143" i="49" s="1"/>
  <c r="AI26" i="49"/>
  <c r="G143" i="49" s="1"/>
  <c r="M26" i="49"/>
  <c r="F124" i="7"/>
  <c r="BI26" i="49"/>
  <c r="Q26" i="49"/>
  <c r="AK26" i="49"/>
  <c r="P26" i="49"/>
  <c r="E143" i="49" s="1"/>
  <c r="K26" i="49"/>
  <c r="B143" i="49" s="1"/>
  <c r="CF38" i="7"/>
  <c r="CE38" i="7"/>
  <c r="CD38" i="7"/>
  <c r="N156" i="49"/>
  <c r="BJ39" i="49"/>
  <c r="AA12" i="25"/>
  <c r="Z13" i="25"/>
  <c r="AB12" i="25"/>
  <c r="AC12" i="25" s="1"/>
  <c r="BQ9" i="26"/>
  <c r="BP9" i="26"/>
  <c r="BL9" i="26"/>
  <c r="BU9" i="26" s="1"/>
  <c r="BH9" i="26"/>
  <c r="BS9" i="26"/>
  <c r="BK9" i="26"/>
  <c r="BM9" i="26" s="1"/>
  <c r="BV9" i="26"/>
  <c r="BR9" i="26"/>
  <c r="E24" i="41"/>
  <c r="B25" i="41" s="1"/>
  <c r="I196" i="49"/>
  <c r="AT25" i="49"/>
  <c r="D227" i="49"/>
  <c r="V56" i="49"/>
  <c r="AC227" i="49"/>
  <c r="EL56" i="49"/>
  <c r="D156" i="49"/>
  <c r="N39" i="49"/>
  <c r="Q118" i="32"/>
  <c r="O119" i="32"/>
  <c r="R111" i="51"/>
  <c r="S106" i="51"/>
  <c r="S109" i="51" s="1"/>
  <c r="T106" i="51"/>
  <c r="T109" i="51" s="1"/>
  <c r="R109" i="51"/>
  <c r="R11" i="51"/>
  <c r="T6" i="51"/>
  <c r="T9" i="51" s="1"/>
  <c r="S6" i="51"/>
  <c r="S9" i="51" s="1"/>
  <c r="R9" i="51"/>
  <c r="T10" i="26"/>
  <c r="U10" i="26" s="1"/>
  <c r="W9" i="26"/>
  <c r="Y9" i="26" s="1"/>
  <c r="S9" i="26"/>
  <c r="V9" i="26"/>
  <c r="AB25" i="9"/>
  <c r="I5" i="6"/>
  <c r="G45" i="2"/>
  <c r="BQ8" i="26"/>
  <c r="BR8" i="26"/>
  <c r="BS8" i="26"/>
  <c r="BP8" i="26"/>
  <c r="AC173" i="49"/>
  <c r="ED56" i="49"/>
  <c r="AH173" i="49"/>
  <c r="FB56" i="49"/>
  <c r="C39" i="27"/>
  <c r="D26" i="27"/>
  <c r="AB14" i="9"/>
  <c r="J5" i="6"/>
  <c r="G46" i="2"/>
  <c r="I41" i="9"/>
  <c r="AA17" i="9"/>
  <c r="AB34" i="9"/>
  <c r="FI26" i="49"/>
  <c r="EN26" i="49"/>
  <c r="AD197" i="49" s="1"/>
  <c r="DM26" i="49"/>
  <c r="CR26" i="49"/>
  <c r="T197" i="49" s="1"/>
  <c r="DQ26" i="49"/>
  <c r="BU26" i="49"/>
  <c r="FL26" i="49"/>
  <c r="AI197" i="49" s="1"/>
  <c r="EK26" i="49"/>
  <c r="DP26" i="49"/>
  <c r="Y197" i="49" s="1"/>
  <c r="DK26" i="49"/>
  <c r="V197" i="49" s="1"/>
  <c r="CO26" i="49"/>
  <c r="BT26" i="49"/>
  <c r="O197" i="49" s="1"/>
  <c r="Y26" i="49"/>
  <c r="H124" i="7"/>
  <c r="AS26" i="49"/>
  <c r="X26" i="49"/>
  <c r="E197" i="49" s="1"/>
  <c r="S26" i="49"/>
  <c r="B197" i="49" s="1"/>
  <c r="BQ26" i="49"/>
  <c r="AW26" i="49"/>
  <c r="BO26" i="49"/>
  <c r="L197" i="49" s="1"/>
  <c r="AV26" i="49"/>
  <c r="J197" i="49" s="1"/>
  <c r="AQ26" i="49"/>
  <c r="G197" i="49" s="1"/>
  <c r="U26" i="49"/>
  <c r="D196" i="49"/>
  <c r="V25" i="49"/>
  <c r="F5" i="6"/>
  <c r="G42" i="2"/>
  <c r="N132" i="49"/>
  <c r="BJ15" i="49"/>
  <c r="AH132" i="49"/>
  <c r="FB15" i="49"/>
  <c r="FI40" i="49"/>
  <c r="EN40" i="49"/>
  <c r="AD211" i="49" s="1"/>
  <c r="DM40" i="49"/>
  <c r="CR40" i="49"/>
  <c r="T211" i="49" s="1"/>
  <c r="BQ40" i="49"/>
  <c r="AV40" i="49"/>
  <c r="J211" i="49" s="1"/>
  <c r="AQ40" i="49"/>
  <c r="G211" i="49" s="1"/>
  <c r="U40" i="49"/>
  <c r="DQ40" i="49"/>
  <c r="BU40" i="49"/>
  <c r="Y40" i="49"/>
  <c r="FL40" i="49"/>
  <c r="AI211" i="49" s="1"/>
  <c r="EK40" i="49"/>
  <c r="DP40" i="49"/>
  <c r="Y211" i="49" s="1"/>
  <c r="DK40" i="49"/>
  <c r="V211" i="49" s="1"/>
  <c r="CO40" i="49"/>
  <c r="BT40" i="49"/>
  <c r="O211" i="49" s="1"/>
  <c r="BO40" i="49"/>
  <c r="L211" i="49" s="1"/>
  <c r="AS40" i="49"/>
  <c r="X40" i="49"/>
  <c r="E211" i="49" s="1"/>
  <c r="S40" i="49"/>
  <c r="B211" i="49" s="1"/>
  <c r="AW40" i="49"/>
  <c r="H138" i="7"/>
  <c r="N210" i="49"/>
  <c r="BR39" i="49"/>
  <c r="D142" i="49"/>
  <c r="N25" i="49"/>
  <c r="AC142" i="49"/>
  <c r="ED25" i="49"/>
  <c r="AH38" i="6"/>
  <c r="D104" i="6" s="1"/>
  <c r="AH34" i="6"/>
  <c r="D100" i="6" s="1"/>
  <c r="AH30" i="6"/>
  <c r="D96" i="6" s="1"/>
  <c r="AH36" i="6"/>
  <c r="D102" i="6" s="1"/>
  <c r="AH32" i="6"/>
  <c r="D98" i="6" s="1"/>
  <c r="AH35" i="6"/>
  <c r="D101" i="6" s="1"/>
  <c r="AH31" i="6"/>
  <c r="D97" i="6" s="1"/>
  <c r="AH37" i="6"/>
  <c r="D103" i="6" s="1"/>
  <c r="AH29" i="6"/>
  <c r="D95" i="6" s="1"/>
  <c r="AH33" i="6"/>
  <c r="D99" i="6" s="1"/>
  <c r="FI57" i="49"/>
  <c r="EN57" i="49"/>
  <c r="AD228" i="49" s="1"/>
  <c r="DM57" i="49"/>
  <c r="CR57" i="49"/>
  <c r="T228" i="49" s="1"/>
  <c r="BQ57" i="49"/>
  <c r="AV57" i="49"/>
  <c r="J228" i="49" s="1"/>
  <c r="AQ57" i="49"/>
  <c r="G228" i="49" s="1"/>
  <c r="U57" i="49"/>
  <c r="DQ57" i="49"/>
  <c r="BU57" i="49"/>
  <c r="Y57" i="49"/>
  <c r="FL57" i="49"/>
  <c r="AI228" i="49" s="1"/>
  <c r="EK57" i="49"/>
  <c r="DP57" i="49"/>
  <c r="Y228" i="49" s="1"/>
  <c r="DK57" i="49"/>
  <c r="V228" i="49" s="1"/>
  <c r="CO57" i="49"/>
  <c r="BT57" i="49"/>
  <c r="O228" i="49" s="1"/>
  <c r="BO57" i="49"/>
  <c r="L228" i="49" s="1"/>
  <c r="AS57" i="49"/>
  <c r="X57" i="49"/>
  <c r="E228" i="49" s="1"/>
  <c r="S57" i="49"/>
  <c r="B228" i="49" s="1"/>
  <c r="AW57" i="49"/>
  <c r="H155" i="7"/>
  <c r="N227" i="49"/>
  <c r="BR56" i="49"/>
  <c r="I156" i="49"/>
  <c r="AL39" i="49"/>
  <c r="BO8" i="26"/>
  <c r="D173" i="49"/>
  <c r="N56" i="49"/>
  <c r="AF9" i="25"/>
  <c r="AI8" i="25"/>
  <c r="AG9" i="25"/>
  <c r="AE8" i="25"/>
  <c r="N196" i="49"/>
  <c r="BR25" i="49"/>
  <c r="I132" i="49"/>
  <c r="AL15" i="49"/>
  <c r="CF34" i="7"/>
  <c r="CE34" i="7"/>
  <c r="CD34" i="7"/>
  <c r="CE31" i="7"/>
  <c r="CD31" i="7"/>
  <c r="CF31" i="7"/>
  <c r="S227" i="49"/>
  <c r="CP56" i="49"/>
  <c r="AC156" i="49"/>
  <c r="ED39" i="49"/>
  <c r="AH156" i="49"/>
  <c r="FB39" i="49"/>
  <c r="AB26" i="9"/>
  <c r="D35" i="2"/>
  <c r="D36" i="2"/>
  <c r="D5" i="6"/>
  <c r="G40" i="2"/>
  <c r="BU8" i="26"/>
  <c r="BW8" i="26"/>
  <c r="BT8" i="26"/>
  <c r="FD57" i="49"/>
  <c r="AI174" i="49" s="1"/>
  <c r="EC57" i="49"/>
  <c r="DH57" i="49"/>
  <c r="Y174" i="49" s="1"/>
  <c r="DC57" i="49"/>
  <c r="V174" i="49" s="1"/>
  <c r="CG57" i="49"/>
  <c r="BL57" i="49"/>
  <c r="O174" i="49" s="1"/>
  <c r="BG57" i="49"/>
  <c r="L174" i="49" s="1"/>
  <c r="AK57" i="49"/>
  <c r="P57" i="49"/>
  <c r="E174" i="49" s="1"/>
  <c r="K57" i="49"/>
  <c r="B174" i="49" s="1"/>
  <c r="AO57" i="49"/>
  <c r="FA57" i="49"/>
  <c r="EF57" i="49"/>
  <c r="AD174" i="49" s="1"/>
  <c r="DE57" i="49"/>
  <c r="CJ57" i="49"/>
  <c r="T174" i="49" s="1"/>
  <c r="BI57" i="49"/>
  <c r="AN57" i="49"/>
  <c r="J174" i="49" s="1"/>
  <c r="AI57" i="49"/>
  <c r="G174" i="49" s="1"/>
  <c r="M57" i="49"/>
  <c r="DI57" i="49"/>
  <c r="BM57" i="49"/>
  <c r="Q57" i="49"/>
  <c r="F155" i="7"/>
  <c r="S173" i="49"/>
  <c r="CH56" i="49"/>
  <c r="X173" i="49"/>
  <c r="DF56" i="49"/>
  <c r="CE35" i="7"/>
  <c r="CD35" i="7"/>
  <c r="CF35" i="7"/>
  <c r="F12" i="6"/>
  <c r="E12" i="6"/>
  <c r="D12" i="6"/>
  <c r="CE41" i="7"/>
  <c r="CD41" i="7"/>
  <c r="CF41" i="7"/>
  <c r="C82" i="7"/>
  <c r="L82" i="7" s="1"/>
  <c r="C72" i="7"/>
  <c r="C61" i="7"/>
  <c r="L61" i="7" s="1"/>
  <c r="C51" i="2"/>
  <c r="C59" i="7"/>
  <c r="L59" i="7" s="1"/>
  <c r="D37" i="7"/>
  <c r="AR40" i="49" s="1"/>
  <c r="H211" i="49" s="1"/>
  <c r="F51" i="2"/>
  <c r="C62" i="7"/>
  <c r="L62" i="7" s="1"/>
  <c r="C60" i="7"/>
  <c r="L60" i="7" s="1"/>
  <c r="AA37" i="9"/>
  <c r="AC196" i="49"/>
  <c r="EL25" i="49"/>
  <c r="AH196" i="49"/>
  <c r="FJ25" i="49"/>
  <c r="DI16" i="49"/>
  <c r="BM16" i="49"/>
  <c r="Q16" i="49"/>
  <c r="F114" i="7"/>
  <c r="FD16" i="49"/>
  <c r="AI133" i="49" s="1"/>
  <c r="EC16" i="49"/>
  <c r="DH16" i="49"/>
  <c r="Y133" i="49" s="1"/>
  <c r="DC16" i="49"/>
  <c r="V133" i="49" s="1"/>
  <c r="CG16" i="49"/>
  <c r="BL16" i="49"/>
  <c r="O133" i="49" s="1"/>
  <c r="BG16" i="49"/>
  <c r="L133" i="49" s="1"/>
  <c r="AK16" i="49"/>
  <c r="P16" i="49"/>
  <c r="E133" i="49" s="1"/>
  <c r="K16" i="49"/>
  <c r="B133" i="49" s="1"/>
  <c r="AO16" i="49"/>
  <c r="AJ16" i="49"/>
  <c r="H133" i="49" s="1"/>
  <c r="FA16" i="49"/>
  <c r="EF16" i="49"/>
  <c r="AD133" i="49" s="1"/>
  <c r="DE16" i="49"/>
  <c r="CJ16" i="49"/>
  <c r="T133" i="49" s="1"/>
  <c r="BI16" i="49"/>
  <c r="AN16" i="49"/>
  <c r="J133" i="49" s="1"/>
  <c r="AI16" i="49"/>
  <c r="G133" i="49" s="1"/>
  <c r="M16" i="49"/>
  <c r="S132" i="49"/>
  <c r="CH15" i="49"/>
  <c r="D210" i="49"/>
  <c r="V39" i="49"/>
  <c r="AC210" i="49"/>
  <c r="EL39" i="49"/>
  <c r="AB24" i="9"/>
  <c r="AH142" i="49"/>
  <c r="FB25" i="49"/>
  <c r="S142" i="49"/>
  <c r="CH25" i="49"/>
  <c r="AH44" i="6"/>
  <c r="D110" i="6" s="1"/>
  <c r="AH46" i="6"/>
  <c r="D112" i="6" s="1"/>
  <c r="AH40" i="6"/>
  <c r="D106" i="6" s="1"/>
  <c r="AH39" i="6"/>
  <c r="D105" i="6" s="1"/>
  <c r="AB8" i="26"/>
  <c r="AD8" i="26"/>
  <c r="AC8" i="26"/>
  <c r="Z8" i="26"/>
  <c r="AE8" i="26"/>
  <c r="BV6" i="24" l="1"/>
  <c r="AS6" i="24" s="1"/>
  <c r="T10" i="9" s="1"/>
  <c r="BS6" i="24"/>
  <c r="AP6" i="24" s="1"/>
  <c r="Q10" i="9" s="1"/>
  <c r="BW6" i="24"/>
  <c r="AT6" i="24" s="1"/>
  <c r="U10" i="9" s="1"/>
  <c r="BU6" i="24"/>
  <c r="AR6" i="24" s="1"/>
  <c r="S10" i="9" s="1"/>
  <c r="F25" i="41"/>
  <c r="C25" i="41"/>
  <c r="D25" i="41" s="1"/>
  <c r="S133" i="49"/>
  <c r="CH16" i="49"/>
  <c r="O62" i="7"/>
  <c r="O60" i="7"/>
  <c r="O61" i="7"/>
  <c r="P82" i="7"/>
  <c r="T82" i="7"/>
  <c r="AH26" i="6"/>
  <c r="D92" i="6" s="1"/>
  <c r="AH22" i="6"/>
  <c r="D88" i="6" s="1"/>
  <c r="AH28" i="6"/>
  <c r="D94" i="6" s="1"/>
  <c r="AH24" i="6"/>
  <c r="D90" i="6" s="1"/>
  <c r="AH20" i="6"/>
  <c r="D86" i="6" s="1"/>
  <c r="AH19" i="6"/>
  <c r="D85" i="6" s="1"/>
  <c r="AH27" i="6"/>
  <c r="D93" i="6" s="1"/>
  <c r="AH23" i="6"/>
  <c r="D89" i="6" s="1"/>
  <c r="AH25" i="6"/>
  <c r="D91" i="6" s="1"/>
  <c r="AH21" i="6"/>
  <c r="D87" i="6" s="1"/>
  <c r="FA58" i="49"/>
  <c r="EF58" i="49"/>
  <c r="AD175" i="49" s="1"/>
  <c r="DE58" i="49"/>
  <c r="CJ58" i="49"/>
  <c r="T175" i="49" s="1"/>
  <c r="BI58" i="49"/>
  <c r="AN58" i="49"/>
  <c r="J175" i="49" s="1"/>
  <c r="AI58" i="49"/>
  <c r="G175" i="49" s="1"/>
  <c r="M58" i="49"/>
  <c r="DI58" i="49"/>
  <c r="BM58" i="49"/>
  <c r="Q58" i="49"/>
  <c r="FD58" i="49"/>
  <c r="AI175" i="49" s="1"/>
  <c r="EC58" i="49"/>
  <c r="DH58" i="49"/>
  <c r="Y175" i="49" s="1"/>
  <c r="DC58" i="49"/>
  <c r="V175" i="49" s="1"/>
  <c r="CG58" i="49"/>
  <c r="BL58" i="49"/>
  <c r="O175" i="49" s="1"/>
  <c r="BG58" i="49"/>
  <c r="L175" i="49" s="1"/>
  <c r="AK58" i="49"/>
  <c r="P58" i="49"/>
  <c r="E175" i="49" s="1"/>
  <c r="K58" i="49"/>
  <c r="B175" i="49" s="1"/>
  <c r="AO58" i="49"/>
  <c r="AJ58" i="49"/>
  <c r="H175" i="49" s="1"/>
  <c r="F156" i="7"/>
  <c r="N174" i="49"/>
  <c r="BJ57" i="49"/>
  <c r="AE9" i="25"/>
  <c r="FL58" i="49"/>
  <c r="AI229" i="49" s="1"/>
  <c r="EK58" i="49"/>
  <c r="DP58" i="49"/>
  <c r="Y229" i="49" s="1"/>
  <c r="DK58" i="49"/>
  <c r="V229" i="49" s="1"/>
  <c r="CO58" i="49"/>
  <c r="BT58" i="49"/>
  <c r="O229" i="49" s="1"/>
  <c r="BO58" i="49"/>
  <c r="L229" i="49" s="1"/>
  <c r="AS58" i="49"/>
  <c r="X58" i="49"/>
  <c r="E229" i="49" s="1"/>
  <c r="S58" i="49"/>
  <c r="B229" i="49" s="1"/>
  <c r="AW58" i="49"/>
  <c r="AR58" i="49"/>
  <c r="H229" i="49" s="1"/>
  <c r="FI58" i="49"/>
  <c r="EN58" i="49"/>
  <c r="AD229" i="49" s="1"/>
  <c r="DM58" i="49"/>
  <c r="CR58" i="49"/>
  <c r="T229" i="49" s="1"/>
  <c r="BQ58" i="49"/>
  <c r="AV58" i="49"/>
  <c r="J229" i="49" s="1"/>
  <c r="AQ58" i="49"/>
  <c r="G229" i="49" s="1"/>
  <c r="U58" i="49"/>
  <c r="DQ58" i="49"/>
  <c r="DL58" i="49"/>
  <c r="W229" i="49" s="1"/>
  <c r="BU58" i="49"/>
  <c r="Y58" i="49"/>
  <c r="H156" i="7"/>
  <c r="S228" i="49"/>
  <c r="CP57" i="49"/>
  <c r="X228" i="49"/>
  <c r="DN57" i="49"/>
  <c r="AC211" i="49"/>
  <c r="EL40" i="49"/>
  <c r="AH211" i="49"/>
  <c r="FJ40" i="49"/>
  <c r="D38" i="7"/>
  <c r="F52" i="2"/>
  <c r="C83" i="7"/>
  <c r="L83" i="7" s="1"/>
  <c r="C73" i="7"/>
  <c r="C52" i="2"/>
  <c r="D197" i="49"/>
  <c r="V26" i="49"/>
  <c r="AR26" i="49"/>
  <c r="H197" i="49" s="1"/>
  <c r="X197" i="49"/>
  <c r="DN26" i="49"/>
  <c r="C86" i="7"/>
  <c r="L86" i="7" s="1"/>
  <c r="C76" i="7"/>
  <c r="C55" i="2"/>
  <c r="C66" i="7"/>
  <c r="L66" i="7" s="1"/>
  <c r="O67" i="7" s="1"/>
  <c r="D41" i="7"/>
  <c r="EJ58" i="49" s="1"/>
  <c r="AB229" i="49" s="1"/>
  <c r="F55" i="2"/>
  <c r="C67" i="7"/>
  <c r="L67" i="7" s="1"/>
  <c r="Z14" i="25"/>
  <c r="AB13" i="25"/>
  <c r="AC13" i="25" s="1"/>
  <c r="W5" i="25" s="1"/>
  <c r="AA13" i="25"/>
  <c r="AH143" i="49"/>
  <c r="FB26" i="49"/>
  <c r="AC143" i="49"/>
  <c r="ED26" i="49"/>
  <c r="R117" i="32"/>
  <c r="P118" i="32"/>
  <c r="J24" i="41"/>
  <c r="L24" i="41" s="1"/>
  <c r="I24" i="41"/>
  <c r="K24" i="41" s="1"/>
  <c r="X157" i="49"/>
  <c r="DF40" i="49"/>
  <c r="AJ40" i="49"/>
  <c r="H157" i="49" s="1"/>
  <c r="I157" i="49"/>
  <c r="AL40" i="49"/>
  <c r="H5" i="6"/>
  <c r="G44" i="2"/>
  <c r="E54" i="2" s="1"/>
  <c r="AH133" i="49"/>
  <c r="FB16" i="49"/>
  <c r="X133" i="49"/>
  <c r="DF16" i="49"/>
  <c r="I133" i="49"/>
  <c r="AL16" i="49"/>
  <c r="AB37" i="9"/>
  <c r="D174" i="49"/>
  <c r="N57" i="49"/>
  <c r="AC174" i="49"/>
  <c r="ED57" i="49"/>
  <c r="H55" i="2"/>
  <c r="H53" i="2"/>
  <c r="H51" i="2"/>
  <c r="C42" i="7"/>
  <c r="E56" i="2"/>
  <c r="E52" i="2"/>
  <c r="E50" i="2"/>
  <c r="C45" i="2"/>
  <c r="H56" i="2"/>
  <c r="H54" i="2"/>
  <c r="H52" i="2"/>
  <c r="H50" i="2"/>
  <c r="C46" i="2"/>
  <c r="C41" i="7"/>
  <c r="EA58" i="49" s="1"/>
  <c r="AA175" i="49" s="1"/>
  <c r="E55" i="2"/>
  <c r="E53" i="2"/>
  <c r="E51" i="2"/>
  <c r="AR57" i="49"/>
  <c r="H228" i="49" s="1"/>
  <c r="I228" i="49"/>
  <c r="AT57" i="49"/>
  <c r="N228" i="49"/>
  <c r="BR57" i="49"/>
  <c r="FL41" i="49"/>
  <c r="AI212" i="49" s="1"/>
  <c r="EK41" i="49"/>
  <c r="DP41" i="49"/>
  <c r="Y212" i="49" s="1"/>
  <c r="DK41" i="49"/>
  <c r="V212" i="49" s="1"/>
  <c r="CO41" i="49"/>
  <c r="BT41" i="49"/>
  <c r="O212" i="49" s="1"/>
  <c r="BO41" i="49"/>
  <c r="L212" i="49" s="1"/>
  <c r="AS41" i="49"/>
  <c r="X41" i="49"/>
  <c r="E212" i="49" s="1"/>
  <c r="S41" i="49"/>
  <c r="B212" i="49" s="1"/>
  <c r="EJ41" i="49"/>
  <c r="AB212" i="49" s="1"/>
  <c r="AW41" i="49"/>
  <c r="AR41" i="49"/>
  <c r="H212" i="49" s="1"/>
  <c r="FI41" i="49"/>
  <c r="EN41" i="49"/>
  <c r="AD212" i="49" s="1"/>
  <c r="EI41" i="49"/>
  <c r="AA212" i="49" s="1"/>
  <c r="DM41" i="49"/>
  <c r="CR41" i="49"/>
  <c r="T212" i="49" s="1"/>
  <c r="BQ41" i="49"/>
  <c r="AV41" i="49"/>
  <c r="J212" i="49" s="1"/>
  <c r="AQ41" i="49"/>
  <c r="G212" i="49" s="1"/>
  <c r="U41" i="49"/>
  <c r="DQ41" i="49"/>
  <c r="DL41" i="49"/>
  <c r="W212" i="49" s="1"/>
  <c r="BU41" i="49"/>
  <c r="Y41" i="49"/>
  <c r="H139" i="7"/>
  <c r="S211" i="49"/>
  <c r="CP40" i="49"/>
  <c r="X211" i="49"/>
  <c r="DN40" i="49"/>
  <c r="I197" i="49"/>
  <c r="AT26" i="49"/>
  <c r="AC197" i="49"/>
  <c r="EL26" i="49"/>
  <c r="D42" i="7"/>
  <c r="D52" i="7" s="1"/>
  <c r="F56" i="2"/>
  <c r="C87" i="7"/>
  <c r="L87" i="7" s="1"/>
  <c r="C77" i="7"/>
  <c r="C56" i="2"/>
  <c r="T11" i="26"/>
  <c r="U11" i="26" s="1"/>
  <c r="W10" i="26"/>
  <c r="Y10" i="26" s="1"/>
  <c r="S10" i="26"/>
  <c r="V10" i="26"/>
  <c r="T11" i="51"/>
  <c r="S11" i="51"/>
  <c r="BW9" i="26"/>
  <c r="J41" i="9" s="1"/>
  <c r="BT9" i="26"/>
  <c r="I143" i="49"/>
  <c r="AL26" i="49"/>
  <c r="N143" i="49"/>
  <c r="BJ26" i="49"/>
  <c r="X143" i="49"/>
  <c r="DF26" i="49"/>
  <c r="S143" i="49"/>
  <c r="CH26" i="49"/>
  <c r="AB27" i="9"/>
  <c r="FA41" i="49"/>
  <c r="EF41" i="49"/>
  <c r="AD158" i="49" s="1"/>
  <c r="EA41" i="49"/>
  <c r="AA158" i="49" s="1"/>
  <c r="DE41" i="49"/>
  <c r="CJ41" i="49"/>
  <c r="T158" i="49" s="1"/>
  <c r="BI41" i="49"/>
  <c r="AN41" i="49"/>
  <c r="J158" i="49" s="1"/>
  <c r="AI41" i="49"/>
  <c r="G158" i="49" s="1"/>
  <c r="M41" i="49"/>
  <c r="DI41" i="49"/>
  <c r="DD41" i="49"/>
  <c r="W158" i="49" s="1"/>
  <c r="BM41" i="49"/>
  <c r="Q41" i="49"/>
  <c r="FD41" i="49"/>
  <c r="AI158" i="49" s="1"/>
  <c r="EC41" i="49"/>
  <c r="DH41" i="49"/>
  <c r="Y158" i="49" s="1"/>
  <c r="DC41" i="49"/>
  <c r="V158" i="49" s="1"/>
  <c r="CG41" i="49"/>
  <c r="BL41" i="49"/>
  <c r="O158" i="49" s="1"/>
  <c r="BG41" i="49"/>
  <c r="L158" i="49" s="1"/>
  <c r="AK41" i="49"/>
  <c r="P41" i="49"/>
  <c r="E158" i="49" s="1"/>
  <c r="K41" i="49"/>
  <c r="B158" i="49" s="1"/>
  <c r="EB41" i="49"/>
  <c r="AB158" i="49" s="1"/>
  <c r="AO41" i="49"/>
  <c r="AJ41" i="49"/>
  <c r="H158" i="49" s="1"/>
  <c r="F139" i="7"/>
  <c r="N157" i="49"/>
  <c r="BJ40" i="49"/>
  <c r="N133" i="49"/>
  <c r="BJ16" i="49"/>
  <c r="EB17" i="49"/>
  <c r="AB134" i="49" s="1"/>
  <c r="AO17" i="49"/>
  <c r="AJ17" i="49"/>
  <c r="H134" i="49" s="1"/>
  <c r="FA17" i="49"/>
  <c r="EF17" i="49"/>
  <c r="AD134" i="49" s="1"/>
  <c r="EA17" i="49"/>
  <c r="AA134" i="49" s="1"/>
  <c r="DE17" i="49"/>
  <c r="CJ17" i="49"/>
  <c r="T134" i="49" s="1"/>
  <c r="BI17" i="49"/>
  <c r="AN17" i="49"/>
  <c r="J134" i="49" s="1"/>
  <c r="AI17" i="49"/>
  <c r="G134" i="49" s="1"/>
  <c r="M17" i="49"/>
  <c r="DI17" i="49"/>
  <c r="DD17" i="49"/>
  <c r="W134" i="49" s="1"/>
  <c r="BM17" i="49"/>
  <c r="Q17" i="49"/>
  <c r="FD17" i="49"/>
  <c r="AI134" i="49" s="1"/>
  <c r="EC17" i="49"/>
  <c r="DH17" i="49"/>
  <c r="Y134" i="49" s="1"/>
  <c r="DC17" i="49"/>
  <c r="V134" i="49" s="1"/>
  <c r="CG17" i="49"/>
  <c r="BL17" i="49"/>
  <c r="O134" i="49" s="1"/>
  <c r="BG17" i="49"/>
  <c r="L134" i="49" s="1"/>
  <c r="AK17" i="49"/>
  <c r="P17" i="49"/>
  <c r="E134" i="49" s="1"/>
  <c r="K17" i="49"/>
  <c r="B134" i="49" s="1"/>
  <c r="F115" i="7"/>
  <c r="AH174" i="49"/>
  <c r="FB57" i="49"/>
  <c r="S174" i="49"/>
  <c r="CH57" i="49"/>
  <c r="D55" i="2"/>
  <c r="D53" i="2"/>
  <c r="D51" i="2"/>
  <c r="C44" i="2"/>
  <c r="C40" i="7"/>
  <c r="EY58" i="49" s="1"/>
  <c r="AF175" i="49" s="1"/>
  <c r="G55" i="2"/>
  <c r="G53" i="2"/>
  <c r="G51" i="2"/>
  <c r="D56" i="2"/>
  <c r="D54" i="2"/>
  <c r="D52" i="2"/>
  <c r="D50" i="2"/>
  <c r="C39" i="7"/>
  <c r="CM41" i="49" s="1"/>
  <c r="Q212" i="49" s="1"/>
  <c r="G56" i="2"/>
  <c r="G54" i="2"/>
  <c r="G52" i="2"/>
  <c r="G50" i="2"/>
  <c r="C43" i="2"/>
  <c r="AH9" i="25"/>
  <c r="AF10" i="25" s="1"/>
  <c r="AJ9" i="25"/>
  <c r="D228" i="49"/>
  <c r="V57" i="49"/>
  <c r="I211" i="49"/>
  <c r="AT40" i="49"/>
  <c r="N211" i="49"/>
  <c r="BR40" i="49"/>
  <c r="N197" i="49"/>
  <c r="BR26" i="49"/>
  <c r="FL27" i="49"/>
  <c r="AI198" i="49" s="1"/>
  <c r="FG27" i="49"/>
  <c r="AF198" i="49" s="1"/>
  <c r="EK27" i="49"/>
  <c r="DP27" i="49"/>
  <c r="Y198" i="49" s="1"/>
  <c r="DK27" i="49"/>
  <c r="V198" i="49" s="1"/>
  <c r="CO27" i="49"/>
  <c r="BT27" i="49"/>
  <c r="O198" i="49" s="1"/>
  <c r="BO27" i="49"/>
  <c r="L198" i="49" s="1"/>
  <c r="AS27" i="49"/>
  <c r="X27" i="49"/>
  <c r="E198" i="49" s="1"/>
  <c r="S27" i="49"/>
  <c r="B198" i="49" s="1"/>
  <c r="EJ27" i="49"/>
  <c r="AB198" i="49" s="1"/>
  <c r="AW27" i="49"/>
  <c r="AR27" i="49"/>
  <c r="H198" i="49" s="1"/>
  <c r="FI27" i="49"/>
  <c r="EN27" i="49"/>
  <c r="AD198" i="49" s="1"/>
  <c r="EI27" i="49"/>
  <c r="AA198" i="49" s="1"/>
  <c r="DM27" i="49"/>
  <c r="CR27" i="49"/>
  <c r="T198" i="49" s="1"/>
  <c r="BQ27" i="49"/>
  <c r="AV27" i="49"/>
  <c r="J198" i="49" s="1"/>
  <c r="AQ27" i="49"/>
  <c r="G198" i="49" s="1"/>
  <c r="U27" i="49"/>
  <c r="DQ27" i="49"/>
  <c r="DL27" i="49"/>
  <c r="W198" i="49" s="1"/>
  <c r="BU27" i="49"/>
  <c r="Y27" i="49"/>
  <c r="H125" i="7"/>
  <c r="S197" i="49"/>
  <c r="CP26" i="49"/>
  <c r="S111" i="51"/>
  <c r="T111" i="51"/>
  <c r="BX9" i="26"/>
  <c r="G41" i="9" s="1"/>
  <c r="K41" i="9" s="1"/>
  <c r="BY9" i="26"/>
  <c r="FA27" i="49"/>
  <c r="EF27" i="49"/>
  <c r="AD144" i="49" s="1"/>
  <c r="EA27" i="49"/>
  <c r="AA144" i="49" s="1"/>
  <c r="DE27" i="49"/>
  <c r="CJ27" i="49"/>
  <c r="T144" i="49" s="1"/>
  <c r="CE27" i="49"/>
  <c r="Q144" i="49" s="1"/>
  <c r="BI27" i="49"/>
  <c r="AN27" i="49"/>
  <c r="J144" i="49" s="1"/>
  <c r="AI27" i="49"/>
  <c r="G144" i="49" s="1"/>
  <c r="M27" i="49"/>
  <c r="DI27" i="49"/>
  <c r="DD27" i="49"/>
  <c r="W144" i="49" s="1"/>
  <c r="BM27" i="49"/>
  <c r="Q27" i="49"/>
  <c r="FD27" i="49"/>
  <c r="AI144" i="49" s="1"/>
  <c r="EY27" i="49"/>
  <c r="AF144" i="49" s="1"/>
  <c r="EC27" i="49"/>
  <c r="DH27" i="49"/>
  <c r="Y144" i="49" s="1"/>
  <c r="DC27" i="49"/>
  <c r="V144" i="49" s="1"/>
  <c r="CG27" i="49"/>
  <c r="BL27" i="49"/>
  <c r="O144" i="49" s="1"/>
  <c r="BG27" i="49"/>
  <c r="L144" i="49" s="1"/>
  <c r="AK27" i="49"/>
  <c r="P27" i="49"/>
  <c r="E144" i="49" s="1"/>
  <c r="K27" i="49"/>
  <c r="B144" i="49" s="1"/>
  <c r="EB27" i="49"/>
  <c r="AB144" i="49" s="1"/>
  <c r="AO27" i="49"/>
  <c r="AJ27" i="49"/>
  <c r="H144" i="49" s="1"/>
  <c r="F125" i="7"/>
  <c r="D157" i="49"/>
  <c r="N40" i="49"/>
  <c r="AC157" i="49"/>
  <c r="ED40" i="49"/>
  <c r="D133" i="49"/>
  <c r="N16" i="49"/>
  <c r="AC133" i="49"/>
  <c r="ED16" i="49"/>
  <c r="AB4" i="49"/>
  <c r="H81" i="49" s="1"/>
  <c r="D47" i="7"/>
  <c r="AJ10" i="49"/>
  <c r="H127" i="49" s="1"/>
  <c r="AB7" i="49"/>
  <c r="H84" i="49" s="1"/>
  <c r="AJ9" i="49"/>
  <c r="H126" i="49" s="1"/>
  <c r="AB6" i="49"/>
  <c r="H83" i="49" s="1"/>
  <c r="AB8" i="49"/>
  <c r="H85" i="49" s="1"/>
  <c r="AB5" i="49"/>
  <c r="H82" i="49" s="1"/>
  <c r="AB9" i="49"/>
  <c r="H86" i="49" s="1"/>
  <c r="AB12" i="49"/>
  <c r="H89" i="49" s="1"/>
  <c r="AR21" i="49"/>
  <c r="H192" i="49" s="1"/>
  <c r="AB11" i="49"/>
  <c r="H88" i="49" s="1"/>
  <c r="AB14" i="49"/>
  <c r="H91" i="49" s="1"/>
  <c r="AB15" i="49"/>
  <c r="H92" i="49" s="1"/>
  <c r="AB10" i="49"/>
  <c r="H87" i="49" s="1"/>
  <c r="AB13" i="49"/>
  <c r="H90" i="49" s="1"/>
  <c r="AJ21" i="49"/>
  <c r="H138" i="49" s="1"/>
  <c r="AJ11" i="49"/>
  <c r="H128" i="49" s="1"/>
  <c r="AB21" i="49"/>
  <c r="H93" i="49" s="1"/>
  <c r="AB22" i="49"/>
  <c r="H94" i="49" s="1"/>
  <c r="AB28" i="49"/>
  <c r="H100" i="49" s="1"/>
  <c r="AJ12" i="49"/>
  <c r="H129" i="49" s="1"/>
  <c r="AJ36" i="49"/>
  <c r="H153" i="49" s="1"/>
  <c r="AB25" i="49"/>
  <c r="H97" i="49" s="1"/>
  <c r="AJ22" i="49"/>
  <c r="H139" i="49" s="1"/>
  <c r="AB23" i="49"/>
  <c r="H95" i="49" s="1"/>
  <c r="AB36" i="49"/>
  <c r="H102" i="49" s="1"/>
  <c r="AB29" i="49"/>
  <c r="H101" i="49" s="1"/>
  <c r="AB24" i="49"/>
  <c r="H96" i="49" s="1"/>
  <c r="AR22" i="49"/>
  <c r="H193" i="49" s="1"/>
  <c r="AB26" i="49"/>
  <c r="H98" i="49" s="1"/>
  <c r="AR36" i="49"/>
  <c r="H207" i="49" s="1"/>
  <c r="AB27" i="49"/>
  <c r="H99" i="49" s="1"/>
  <c r="AB38" i="49"/>
  <c r="H104" i="49" s="1"/>
  <c r="AR23" i="49"/>
  <c r="H194" i="49" s="1"/>
  <c r="AB54" i="49"/>
  <c r="H113" i="49" s="1"/>
  <c r="AJ23" i="49"/>
  <c r="H140" i="49" s="1"/>
  <c r="AB40" i="49"/>
  <c r="H106" i="49" s="1"/>
  <c r="AJ37" i="49"/>
  <c r="H154" i="49" s="1"/>
  <c r="AB41" i="49"/>
  <c r="H107" i="49" s="1"/>
  <c r="AJ13" i="49"/>
  <c r="H130" i="49" s="1"/>
  <c r="AB42" i="49"/>
  <c r="H108" i="49" s="1"/>
  <c r="AB43" i="49"/>
  <c r="H109" i="49" s="1"/>
  <c r="AB44" i="49"/>
  <c r="H110" i="49" s="1"/>
  <c r="AB45" i="49"/>
  <c r="H111" i="49" s="1"/>
  <c r="AR37" i="49"/>
  <c r="H208" i="49" s="1"/>
  <c r="AR54" i="49"/>
  <c r="H225" i="49" s="1"/>
  <c r="AJ54" i="49"/>
  <c r="H171" i="49" s="1"/>
  <c r="AB46" i="49"/>
  <c r="H112" i="49" s="1"/>
  <c r="AB39" i="49"/>
  <c r="H105" i="49" s="1"/>
  <c r="AB37" i="49"/>
  <c r="H103" i="49" s="1"/>
  <c r="AJ14" i="49"/>
  <c r="H131" i="49" s="1"/>
  <c r="AB59" i="49"/>
  <c r="H118" i="49" s="1"/>
  <c r="AB56" i="49"/>
  <c r="H115" i="49" s="1"/>
  <c r="AB58" i="49"/>
  <c r="H117" i="49" s="1"/>
  <c r="AB55" i="49"/>
  <c r="H114" i="49" s="1"/>
  <c r="AJ38" i="49"/>
  <c r="H155" i="49" s="1"/>
  <c r="AJ24" i="49"/>
  <c r="H141" i="49" s="1"/>
  <c r="AB66" i="49"/>
  <c r="H125" i="49" s="1"/>
  <c r="AB57" i="49"/>
  <c r="H116" i="49" s="1"/>
  <c r="AB61" i="49"/>
  <c r="H120" i="49" s="1"/>
  <c r="AR24" i="49"/>
  <c r="H195" i="49" s="1"/>
  <c r="AB62" i="49"/>
  <c r="H121" i="49" s="1"/>
  <c r="AR38" i="49"/>
  <c r="H209" i="49" s="1"/>
  <c r="AB63" i="49"/>
  <c r="H122" i="49" s="1"/>
  <c r="AB60" i="49"/>
  <c r="H119" i="49" s="1"/>
  <c r="AJ55" i="49"/>
  <c r="H172" i="49" s="1"/>
  <c r="AB64" i="49"/>
  <c r="H123" i="49" s="1"/>
  <c r="AB65" i="49"/>
  <c r="H124" i="49" s="1"/>
  <c r="AR55" i="49"/>
  <c r="H226" i="49" s="1"/>
  <c r="AJ15" i="49"/>
  <c r="H132" i="49" s="1"/>
  <c r="AR39" i="49"/>
  <c r="H210" i="49" s="1"/>
  <c r="AJ25" i="49"/>
  <c r="H142" i="49" s="1"/>
  <c r="AR25" i="49"/>
  <c r="H196" i="49" s="1"/>
  <c r="AJ56" i="49"/>
  <c r="H173" i="49" s="1"/>
  <c r="AR56" i="49"/>
  <c r="H227" i="49" s="1"/>
  <c r="AJ39" i="49"/>
  <c r="H156" i="49" s="1"/>
  <c r="L72" i="7"/>
  <c r="T72" i="7"/>
  <c r="P72" i="7"/>
  <c r="X174" i="49"/>
  <c r="DF57" i="49"/>
  <c r="AJ57" i="49"/>
  <c r="H174" i="49" s="1"/>
  <c r="I174" i="49"/>
  <c r="AL57" i="49"/>
  <c r="C58" i="7"/>
  <c r="L58" i="7" s="1"/>
  <c r="D36" i="7"/>
  <c r="BP41" i="49" s="1"/>
  <c r="M212" i="49" s="1"/>
  <c r="F50" i="2"/>
  <c r="C81" i="7"/>
  <c r="L81" i="7" s="1"/>
  <c r="C71" i="7"/>
  <c r="C56" i="7"/>
  <c r="L56" i="7" s="1"/>
  <c r="C57" i="7"/>
  <c r="L57" i="7" s="1"/>
  <c r="C50" i="2"/>
  <c r="AC228" i="49"/>
  <c r="EL57" i="49"/>
  <c r="AH228" i="49"/>
  <c r="FJ57" i="49"/>
  <c r="D211" i="49"/>
  <c r="V40" i="49"/>
  <c r="AH197" i="49"/>
  <c r="FJ26" i="49"/>
  <c r="AB17" i="9"/>
  <c r="D39" i="27"/>
  <c r="D38" i="27"/>
  <c r="Q119" i="32"/>
  <c r="O120" i="32"/>
  <c r="BO9" i="26"/>
  <c r="BI10" i="26"/>
  <c r="BJ10" i="26" s="1"/>
  <c r="D143" i="49"/>
  <c r="N26" i="49"/>
  <c r="AJ26" i="49"/>
  <c r="H143" i="49" s="1"/>
  <c r="D21" i="32"/>
  <c r="E20" i="32"/>
  <c r="F20" i="32" s="1"/>
  <c r="L11" i="34"/>
  <c r="K11" i="34" s="1"/>
  <c r="N11" i="34"/>
  <c r="M11" i="34"/>
  <c r="J12" i="34" s="1"/>
  <c r="AH157" i="49"/>
  <c r="FB40" i="49"/>
  <c r="S157" i="49"/>
  <c r="CH40" i="49"/>
  <c r="C65" i="7"/>
  <c r="L65" i="7" s="1"/>
  <c r="C84" i="7"/>
  <c r="L84" i="7" s="1"/>
  <c r="C74" i="7"/>
  <c r="C63" i="7"/>
  <c r="L63" i="7" s="1"/>
  <c r="C53" i="2"/>
  <c r="C64" i="7"/>
  <c r="L64" i="7" s="1"/>
  <c r="D39" i="7"/>
  <c r="F53" i="2"/>
  <c r="AD9" i="26"/>
  <c r="AB9" i="26"/>
  <c r="AC9" i="26"/>
  <c r="Z9" i="26"/>
  <c r="AE9" i="26"/>
  <c r="AJ10" i="9" l="1"/>
  <c r="AN10" i="9" s="1"/>
  <c r="O43" i="9"/>
  <c r="L43" i="9"/>
  <c r="N43" i="9"/>
  <c r="AH10" i="25"/>
  <c r="AJ10" i="25"/>
  <c r="E25" i="41"/>
  <c r="BX4" i="49"/>
  <c r="R81" i="49" s="1"/>
  <c r="D49" i="7"/>
  <c r="CF10" i="49"/>
  <c r="R127" i="49" s="1"/>
  <c r="BX5" i="49"/>
  <c r="R82" i="49" s="1"/>
  <c r="CF9" i="49"/>
  <c r="R126" i="49" s="1"/>
  <c r="BX7" i="49"/>
  <c r="R84" i="49" s="1"/>
  <c r="BX6" i="49"/>
  <c r="R83" i="49" s="1"/>
  <c r="BX8" i="49"/>
  <c r="R85" i="49" s="1"/>
  <c r="BX9" i="49"/>
  <c r="R86" i="49" s="1"/>
  <c r="CF21" i="49"/>
  <c r="R138" i="49" s="1"/>
  <c r="BX12" i="49"/>
  <c r="R89" i="49" s="1"/>
  <c r="BX11" i="49"/>
  <c r="R88" i="49" s="1"/>
  <c r="BX21" i="49"/>
  <c r="R93" i="49" s="1"/>
  <c r="BX14" i="49"/>
  <c r="R91" i="49" s="1"/>
  <c r="BX15" i="49"/>
  <c r="R92" i="49" s="1"/>
  <c r="BX10" i="49"/>
  <c r="R87" i="49" s="1"/>
  <c r="BX13" i="49"/>
  <c r="R90" i="49" s="1"/>
  <c r="CF11" i="49"/>
  <c r="R128" i="49" s="1"/>
  <c r="CN21" i="49"/>
  <c r="R192" i="49" s="1"/>
  <c r="CF22" i="49"/>
  <c r="R139" i="49" s="1"/>
  <c r="BX23" i="49"/>
  <c r="R95" i="49" s="1"/>
  <c r="BX36" i="49"/>
  <c r="R102" i="49" s="1"/>
  <c r="BX29" i="49"/>
  <c r="R101" i="49" s="1"/>
  <c r="CF12" i="49"/>
  <c r="R129" i="49" s="1"/>
  <c r="BX24" i="49"/>
  <c r="R96" i="49" s="1"/>
  <c r="CN22" i="49"/>
  <c r="R193" i="49" s="1"/>
  <c r="BX26" i="49"/>
  <c r="R98" i="49" s="1"/>
  <c r="CN36" i="49"/>
  <c r="R207" i="49" s="1"/>
  <c r="BX27" i="49"/>
  <c r="R99" i="49" s="1"/>
  <c r="BX22" i="49"/>
  <c r="R94" i="49" s="1"/>
  <c r="BX28" i="49"/>
  <c r="R100" i="49" s="1"/>
  <c r="CF36" i="49"/>
  <c r="R153" i="49" s="1"/>
  <c r="BX25" i="49"/>
  <c r="R97" i="49" s="1"/>
  <c r="BX44" i="49"/>
  <c r="R110" i="49" s="1"/>
  <c r="BX45" i="49"/>
  <c r="R111" i="49" s="1"/>
  <c r="CN37" i="49"/>
  <c r="R208" i="49" s="1"/>
  <c r="CN54" i="49"/>
  <c r="R225" i="49" s="1"/>
  <c r="CF13" i="49"/>
  <c r="R130" i="49" s="1"/>
  <c r="CF54" i="49"/>
  <c r="R171" i="49" s="1"/>
  <c r="BX46" i="49"/>
  <c r="R112" i="49" s="1"/>
  <c r="BX39" i="49"/>
  <c r="R105" i="49" s="1"/>
  <c r="BX37" i="49"/>
  <c r="R103" i="49" s="1"/>
  <c r="BX38" i="49"/>
  <c r="R104" i="49" s="1"/>
  <c r="CN23" i="49"/>
  <c r="R194" i="49" s="1"/>
  <c r="BX54" i="49"/>
  <c r="R113" i="49" s="1"/>
  <c r="CF23" i="49"/>
  <c r="R140" i="49" s="1"/>
  <c r="BX40" i="49"/>
  <c r="R106" i="49" s="1"/>
  <c r="CF37" i="49"/>
  <c r="R154" i="49" s="1"/>
  <c r="BX41" i="49"/>
  <c r="R107" i="49" s="1"/>
  <c r="BX42" i="49"/>
  <c r="R108" i="49" s="1"/>
  <c r="BX43" i="49"/>
  <c r="R109" i="49" s="1"/>
  <c r="BX61" i="49"/>
  <c r="R120" i="49" s="1"/>
  <c r="CN24" i="49"/>
  <c r="R195" i="49" s="1"/>
  <c r="BX62" i="49"/>
  <c r="R121" i="49" s="1"/>
  <c r="CF14" i="49"/>
  <c r="R131" i="49" s="1"/>
  <c r="CN38" i="49"/>
  <c r="R209" i="49" s="1"/>
  <c r="BX63" i="49"/>
  <c r="R122" i="49" s="1"/>
  <c r="BX60" i="49"/>
  <c r="R119" i="49" s="1"/>
  <c r="CF55" i="49"/>
  <c r="R172" i="49" s="1"/>
  <c r="BX64" i="49"/>
  <c r="R123" i="49" s="1"/>
  <c r="BX65" i="49"/>
  <c r="R124" i="49" s="1"/>
  <c r="CN55" i="49"/>
  <c r="R226" i="49" s="1"/>
  <c r="CF24" i="49"/>
  <c r="R141" i="49" s="1"/>
  <c r="BX59" i="49"/>
  <c r="R118" i="49" s="1"/>
  <c r="BX56" i="49"/>
  <c r="R115" i="49" s="1"/>
  <c r="CF38" i="49"/>
  <c r="R155" i="49" s="1"/>
  <c r="BX66" i="49"/>
  <c r="R125" i="49" s="1"/>
  <c r="BX58" i="49"/>
  <c r="R117" i="49" s="1"/>
  <c r="BX55" i="49"/>
  <c r="R114" i="49" s="1"/>
  <c r="BX57" i="49"/>
  <c r="R116" i="49" s="1"/>
  <c r="CN39" i="49"/>
  <c r="R210" i="49" s="1"/>
  <c r="CF15" i="49"/>
  <c r="R132" i="49" s="1"/>
  <c r="CF25" i="49"/>
  <c r="R142" i="49" s="1"/>
  <c r="CN25" i="49"/>
  <c r="R196" i="49" s="1"/>
  <c r="CF56" i="49"/>
  <c r="R173" i="49" s="1"/>
  <c r="CN56" i="49"/>
  <c r="R227" i="49" s="1"/>
  <c r="CF39" i="49"/>
  <c r="R156" i="49" s="1"/>
  <c r="CN57" i="49"/>
  <c r="R228" i="49" s="1"/>
  <c r="CF16" i="49"/>
  <c r="R133" i="49" s="1"/>
  <c r="CF40" i="49"/>
  <c r="R157" i="49" s="1"/>
  <c r="CF26" i="49"/>
  <c r="R143" i="49" s="1"/>
  <c r="CN26" i="49"/>
  <c r="R197" i="49" s="1"/>
  <c r="CF57" i="49"/>
  <c r="R174" i="49" s="1"/>
  <c r="CN40" i="49"/>
  <c r="R211" i="49" s="1"/>
  <c r="P84" i="7"/>
  <c r="T84" i="7"/>
  <c r="M12" i="34"/>
  <c r="J13" i="34" s="1"/>
  <c r="L12" i="34"/>
  <c r="K12" i="34" s="1"/>
  <c r="N12" i="34"/>
  <c r="BV10" i="26"/>
  <c r="BL10" i="26"/>
  <c r="BI11" i="26" s="1"/>
  <c r="BJ11" i="26" s="1"/>
  <c r="BO10" i="26"/>
  <c r="BK10" i="26"/>
  <c r="L71" i="7"/>
  <c r="T71" i="7"/>
  <c r="P71" i="7"/>
  <c r="AO17" i="7"/>
  <c r="AO40" i="7" s="1"/>
  <c r="AO8" i="7"/>
  <c r="AO34" i="7" s="1"/>
  <c r="AO9" i="7"/>
  <c r="AO35" i="7" s="1"/>
  <c r="AO10" i="7"/>
  <c r="AO36" i="7" s="1"/>
  <c r="AO12" i="7"/>
  <c r="AO37" i="7" s="1"/>
  <c r="AO4" i="7"/>
  <c r="AO7" i="7"/>
  <c r="AO5" i="7"/>
  <c r="AO6" i="7"/>
  <c r="AO27" i="7"/>
  <c r="AO14" i="7"/>
  <c r="AO39" i="7" s="1"/>
  <c r="AO18" i="7"/>
  <c r="AO41" i="7" s="1"/>
  <c r="AO13" i="7"/>
  <c r="AO38" i="7" s="1"/>
  <c r="AO19" i="7"/>
  <c r="AO42" i="7" s="1"/>
  <c r="AO20" i="7"/>
  <c r="CU10" i="7" s="1"/>
  <c r="AO23" i="7"/>
  <c r="CU13" i="7" s="1"/>
  <c r="AO21" i="7"/>
  <c r="CU8" i="7" s="1"/>
  <c r="AO22" i="7"/>
  <c r="CU9" i="7" s="1"/>
  <c r="AO11" i="7"/>
  <c r="AO24" i="7"/>
  <c r="CU11" i="7" s="1"/>
  <c r="AO15" i="7"/>
  <c r="CU7" i="7" s="1"/>
  <c r="AO25" i="7"/>
  <c r="CU12" i="7" s="1"/>
  <c r="AO26" i="7"/>
  <c r="CU14" i="7" s="1"/>
  <c r="AO16" i="7"/>
  <c r="CF27" i="49"/>
  <c r="R144" i="49" s="1"/>
  <c r="AC144" i="49"/>
  <c r="ED27" i="49"/>
  <c r="AH144" i="49"/>
  <c r="FB27" i="49"/>
  <c r="T27" i="49"/>
  <c r="C198" i="49" s="1"/>
  <c r="D198" i="49"/>
  <c r="V27" i="49"/>
  <c r="CM27" i="49"/>
  <c r="Q198" i="49" s="1"/>
  <c r="CN27" i="49"/>
  <c r="R198" i="49" s="1"/>
  <c r="AC198" i="49"/>
  <c r="EL27" i="49"/>
  <c r="AC134" i="49"/>
  <c r="ED17" i="49"/>
  <c r="AH134" i="49"/>
  <c r="FB17" i="49"/>
  <c r="FD42" i="49"/>
  <c r="AI159" i="49" s="1"/>
  <c r="EY42" i="49"/>
  <c r="AF159" i="49" s="1"/>
  <c r="EC42" i="49"/>
  <c r="DH42" i="49"/>
  <c r="Y159" i="49" s="1"/>
  <c r="DC42" i="49"/>
  <c r="V159" i="49" s="1"/>
  <c r="CG42" i="49"/>
  <c r="BL42" i="49"/>
  <c r="O159" i="49" s="1"/>
  <c r="BG42" i="49"/>
  <c r="L159" i="49" s="1"/>
  <c r="AK42" i="49"/>
  <c r="P42" i="49"/>
  <c r="E159" i="49" s="1"/>
  <c r="K42" i="49"/>
  <c r="B159" i="49" s="1"/>
  <c r="EB42" i="49"/>
  <c r="AB159" i="49" s="1"/>
  <c r="CF42" i="49"/>
  <c r="R159" i="49" s="1"/>
  <c r="AO42" i="49"/>
  <c r="AJ42" i="49"/>
  <c r="H159" i="49" s="1"/>
  <c r="FA42" i="49"/>
  <c r="EF42" i="49"/>
  <c r="AD159" i="49" s="1"/>
  <c r="EA42" i="49"/>
  <c r="AA159" i="49" s="1"/>
  <c r="DE42" i="49"/>
  <c r="CJ42" i="49"/>
  <c r="T159" i="49" s="1"/>
  <c r="CE42" i="49"/>
  <c r="Q159" i="49" s="1"/>
  <c r="BI42" i="49"/>
  <c r="AN42" i="49"/>
  <c r="J159" i="49" s="1"/>
  <c r="AI42" i="49"/>
  <c r="G159" i="49" s="1"/>
  <c r="M42" i="49"/>
  <c r="DI42" i="49"/>
  <c r="DD42" i="49"/>
  <c r="W159" i="49" s="1"/>
  <c r="BM42" i="49"/>
  <c r="BH42" i="49"/>
  <c r="M159" i="49" s="1"/>
  <c r="Q42" i="49"/>
  <c r="L42" i="49"/>
  <c r="C159" i="49" s="1"/>
  <c r="F140" i="7"/>
  <c r="S158" i="49"/>
  <c r="CH41" i="49"/>
  <c r="EY41" i="49"/>
  <c r="AF158" i="49" s="1"/>
  <c r="BH41" i="49"/>
  <c r="M158" i="49" s="1"/>
  <c r="X158" i="49"/>
  <c r="DF41" i="49"/>
  <c r="T41" i="49"/>
  <c r="C212" i="49" s="1"/>
  <c r="D212" i="49"/>
  <c r="V41" i="49"/>
  <c r="CN41" i="49"/>
  <c r="R212" i="49" s="1"/>
  <c r="AC212" i="49"/>
  <c r="EL41" i="49"/>
  <c r="AH229" i="49"/>
  <c r="FJ58" i="49"/>
  <c r="S229" i="49"/>
  <c r="CP58" i="49"/>
  <c r="FG58" i="49"/>
  <c r="AF229" i="49" s="1"/>
  <c r="CF58" i="49"/>
  <c r="R175" i="49" s="1"/>
  <c r="AC175" i="49"/>
  <c r="ED58" i="49"/>
  <c r="AH175" i="49"/>
  <c r="FB58" i="49"/>
  <c r="L74" i="7"/>
  <c r="T74" i="7"/>
  <c r="P74" i="7"/>
  <c r="O65" i="7"/>
  <c r="O64" i="7"/>
  <c r="D22" i="32"/>
  <c r="E21" i="32"/>
  <c r="F21" i="32" s="1"/>
  <c r="P81" i="7"/>
  <c r="T81" i="7"/>
  <c r="FD28" i="49"/>
  <c r="AI145" i="49" s="1"/>
  <c r="EY28" i="49"/>
  <c r="AF145" i="49" s="1"/>
  <c r="EC28" i="49"/>
  <c r="DH28" i="49"/>
  <c r="Y145" i="49" s="1"/>
  <c r="DC28" i="49"/>
  <c r="V145" i="49" s="1"/>
  <c r="CG28" i="49"/>
  <c r="BL28" i="49"/>
  <c r="O145" i="49" s="1"/>
  <c r="BG28" i="49"/>
  <c r="L145" i="49" s="1"/>
  <c r="AK28" i="49"/>
  <c r="P28" i="49"/>
  <c r="E145" i="49" s="1"/>
  <c r="K28" i="49"/>
  <c r="B145" i="49" s="1"/>
  <c r="EB28" i="49"/>
  <c r="AB145" i="49" s="1"/>
  <c r="CF28" i="49"/>
  <c r="R145" i="49" s="1"/>
  <c r="AO28" i="49"/>
  <c r="AJ28" i="49"/>
  <c r="H145" i="49" s="1"/>
  <c r="FA28" i="49"/>
  <c r="EF28" i="49"/>
  <c r="AD145" i="49" s="1"/>
  <c r="EA28" i="49"/>
  <c r="AA145" i="49" s="1"/>
  <c r="DE28" i="49"/>
  <c r="CJ28" i="49"/>
  <c r="T145" i="49" s="1"/>
  <c r="CE28" i="49"/>
  <c r="Q145" i="49" s="1"/>
  <c r="BI28" i="49"/>
  <c r="AN28" i="49"/>
  <c r="J145" i="49" s="1"/>
  <c r="AI28" i="49"/>
  <c r="G145" i="49" s="1"/>
  <c r="M28" i="49"/>
  <c r="DI28" i="49"/>
  <c r="DD28" i="49"/>
  <c r="W145" i="49" s="1"/>
  <c r="BM28" i="49"/>
  <c r="BH28" i="49"/>
  <c r="M145" i="49" s="1"/>
  <c r="Q28" i="49"/>
  <c r="L28" i="49"/>
  <c r="C145" i="49" s="1"/>
  <c r="F126" i="7"/>
  <c r="S144" i="49"/>
  <c r="CH27" i="49"/>
  <c r="BH27" i="49"/>
  <c r="M144" i="49" s="1"/>
  <c r="X144" i="49"/>
  <c r="DF27" i="49"/>
  <c r="AH198" i="49"/>
  <c r="FJ27" i="49"/>
  <c r="S198" i="49"/>
  <c r="CP27" i="49"/>
  <c r="S134" i="49"/>
  <c r="CH17" i="49"/>
  <c r="EY17" i="49"/>
  <c r="AF134" i="49" s="1"/>
  <c r="BH17" i="49"/>
  <c r="M134" i="49" s="1"/>
  <c r="X134" i="49"/>
  <c r="DF17" i="49"/>
  <c r="I158" i="49"/>
  <c r="AL41" i="49"/>
  <c r="N158" i="49"/>
  <c r="BJ41" i="49"/>
  <c r="CC9" i="7"/>
  <c r="CC35" i="7" s="1"/>
  <c r="CC7" i="7"/>
  <c r="CC5" i="7"/>
  <c r="CC32" i="7" s="1"/>
  <c r="CC10" i="7"/>
  <c r="CC36" i="7" s="1"/>
  <c r="CC6" i="7"/>
  <c r="CC33" i="7" s="1"/>
  <c r="CC12" i="7"/>
  <c r="CC37" i="7" s="1"/>
  <c r="CC27" i="7"/>
  <c r="EN15" i="7" s="1"/>
  <c r="CC14" i="7"/>
  <c r="CC39" i="7" s="1"/>
  <c r="CC18" i="7"/>
  <c r="CC41" i="7" s="1"/>
  <c r="CC13" i="7"/>
  <c r="CC38" i="7" s="1"/>
  <c r="CC4" i="7"/>
  <c r="CC31" i="7" s="1"/>
  <c r="CC17" i="7"/>
  <c r="CC40" i="7" s="1"/>
  <c r="CC8" i="7"/>
  <c r="CC34" i="7" s="1"/>
  <c r="CC19" i="7"/>
  <c r="CC42" i="7" s="1"/>
  <c r="CC21" i="7"/>
  <c r="EN8" i="7" s="1"/>
  <c r="CC22" i="7"/>
  <c r="EN9" i="7" s="1"/>
  <c r="CC11" i="7"/>
  <c r="EN5" i="7" s="1"/>
  <c r="CC25" i="7"/>
  <c r="EN12" i="7" s="1"/>
  <c r="CC23" i="7"/>
  <c r="EN13" i="7" s="1"/>
  <c r="CC24" i="7"/>
  <c r="EN11" i="7" s="1"/>
  <c r="CC26" i="7"/>
  <c r="EN14" i="7" s="1"/>
  <c r="CC15" i="7"/>
  <c r="EN7" i="7" s="1"/>
  <c r="CC16" i="7"/>
  <c r="EN6" i="7" s="1"/>
  <c r="CC20" i="7"/>
  <c r="EN10" i="7" s="1"/>
  <c r="AH212" i="49"/>
  <c r="FJ41" i="49"/>
  <c r="S212" i="49"/>
  <c r="CP41" i="49"/>
  <c r="FG41" i="49"/>
  <c r="AF212" i="49" s="1"/>
  <c r="L76" i="7"/>
  <c r="T76" i="7"/>
  <c r="P76" i="7"/>
  <c r="CV4" i="49"/>
  <c r="W81" i="49" s="1"/>
  <c r="D48" i="7"/>
  <c r="CV6" i="49"/>
  <c r="W83" i="49" s="1"/>
  <c r="CV5" i="49"/>
  <c r="W82" i="49" s="1"/>
  <c r="CV7" i="49"/>
  <c r="W84" i="49" s="1"/>
  <c r="CV9" i="49"/>
  <c r="W86" i="49" s="1"/>
  <c r="DD10" i="49"/>
  <c r="W127" i="49" s="1"/>
  <c r="CV8" i="49"/>
  <c r="W85" i="49" s="1"/>
  <c r="DD9" i="49"/>
  <c r="W126" i="49" s="1"/>
  <c r="CV15" i="49"/>
  <c r="W92" i="49" s="1"/>
  <c r="CV10" i="49"/>
  <c r="W87" i="49" s="1"/>
  <c r="DD11" i="49"/>
  <c r="W128" i="49" s="1"/>
  <c r="CV14" i="49"/>
  <c r="W91" i="49" s="1"/>
  <c r="DD21" i="49"/>
  <c r="W138" i="49" s="1"/>
  <c r="CV12" i="49"/>
  <c r="W89" i="49" s="1"/>
  <c r="DL21" i="49"/>
  <c r="W192" i="49" s="1"/>
  <c r="CV11" i="49"/>
  <c r="W88" i="49" s="1"/>
  <c r="CV21" i="49"/>
  <c r="W93" i="49" s="1"/>
  <c r="CV13" i="49"/>
  <c r="W90" i="49" s="1"/>
  <c r="CV23" i="49"/>
  <c r="W95" i="49" s="1"/>
  <c r="CV29" i="49"/>
  <c r="W101" i="49" s="1"/>
  <c r="DL22" i="49"/>
  <c r="W193" i="49" s="1"/>
  <c r="DD22" i="49"/>
  <c r="W139" i="49" s="1"/>
  <c r="CV36" i="49"/>
  <c r="W102" i="49" s="1"/>
  <c r="CV27" i="49"/>
  <c r="W99" i="49" s="1"/>
  <c r="CV24" i="49"/>
  <c r="W96" i="49" s="1"/>
  <c r="CV26" i="49"/>
  <c r="W98" i="49" s="1"/>
  <c r="DL36" i="49"/>
  <c r="W207" i="49" s="1"/>
  <c r="DD12" i="49"/>
  <c r="W129" i="49" s="1"/>
  <c r="CV22" i="49"/>
  <c r="W94" i="49" s="1"/>
  <c r="DD36" i="49"/>
  <c r="W153" i="49" s="1"/>
  <c r="CV28" i="49"/>
  <c r="W100" i="49" s="1"/>
  <c r="CV25" i="49"/>
  <c r="W97" i="49" s="1"/>
  <c r="CV42" i="49"/>
  <c r="W108" i="49" s="1"/>
  <c r="CV45" i="49"/>
  <c r="W111" i="49" s="1"/>
  <c r="DL37" i="49"/>
  <c r="W208" i="49" s="1"/>
  <c r="DD37" i="49"/>
  <c r="W154" i="49" s="1"/>
  <c r="CV44" i="49"/>
  <c r="W110" i="49" s="1"/>
  <c r="DL54" i="49"/>
  <c r="W225" i="49" s="1"/>
  <c r="CV39" i="49"/>
  <c r="W105" i="49" s="1"/>
  <c r="CV37" i="49"/>
  <c r="W103" i="49" s="1"/>
  <c r="DD54" i="49"/>
  <c r="W171" i="49" s="1"/>
  <c r="CV46" i="49"/>
  <c r="W112" i="49" s="1"/>
  <c r="CV54" i="49"/>
  <c r="W113" i="49" s="1"/>
  <c r="CV43" i="49"/>
  <c r="W109" i="49" s="1"/>
  <c r="CV38" i="49"/>
  <c r="W104" i="49" s="1"/>
  <c r="CV41" i="49"/>
  <c r="W107" i="49" s="1"/>
  <c r="DD13" i="49"/>
  <c r="W130" i="49" s="1"/>
  <c r="DL23" i="49"/>
  <c r="W194" i="49" s="1"/>
  <c r="DD23" i="49"/>
  <c r="W140" i="49" s="1"/>
  <c r="CV40" i="49"/>
  <c r="W106" i="49" s="1"/>
  <c r="CV55" i="49"/>
  <c r="W114" i="49" s="1"/>
  <c r="CV62" i="49"/>
  <c r="W121" i="49" s="1"/>
  <c r="CV57" i="49"/>
  <c r="W116" i="49" s="1"/>
  <c r="CV60" i="49"/>
  <c r="W119" i="49" s="1"/>
  <c r="DD55" i="49"/>
  <c r="W172" i="49" s="1"/>
  <c r="CV61" i="49"/>
  <c r="W120" i="49" s="1"/>
  <c r="CV64" i="49"/>
  <c r="W123" i="49" s="1"/>
  <c r="DL24" i="49"/>
  <c r="W195" i="49" s="1"/>
  <c r="DL38" i="49"/>
  <c r="W209" i="49" s="1"/>
  <c r="CV63" i="49"/>
  <c r="W122" i="49" s="1"/>
  <c r="CV65" i="49"/>
  <c r="W124" i="49" s="1"/>
  <c r="DD14" i="49"/>
  <c r="W131" i="49" s="1"/>
  <c r="DL55" i="49"/>
  <c r="W226" i="49" s="1"/>
  <c r="CV56" i="49"/>
  <c r="W115" i="49" s="1"/>
  <c r="DD24" i="49"/>
  <c r="W141" i="49" s="1"/>
  <c r="CV58" i="49"/>
  <c r="W117" i="49" s="1"/>
  <c r="DD38" i="49"/>
  <c r="W155" i="49" s="1"/>
  <c r="CV59" i="49"/>
  <c r="W118" i="49" s="1"/>
  <c r="CV66" i="49"/>
  <c r="W125" i="49" s="1"/>
  <c r="DL39" i="49"/>
  <c r="W210" i="49" s="1"/>
  <c r="DD25" i="49"/>
  <c r="W142" i="49" s="1"/>
  <c r="DL25" i="49"/>
  <c r="W196" i="49" s="1"/>
  <c r="DD39" i="49"/>
  <c r="W156" i="49" s="1"/>
  <c r="DL56" i="49"/>
  <c r="W227" i="49" s="1"/>
  <c r="DD15" i="49"/>
  <c r="W132" i="49" s="1"/>
  <c r="DD56" i="49"/>
  <c r="W173" i="49" s="1"/>
  <c r="DD26" i="49"/>
  <c r="W143" i="49" s="1"/>
  <c r="DL40" i="49"/>
  <c r="W211" i="49" s="1"/>
  <c r="DD16" i="49"/>
  <c r="W133" i="49" s="1"/>
  <c r="DD40" i="49"/>
  <c r="W157" i="49" s="1"/>
  <c r="DL26" i="49"/>
  <c r="W197" i="49" s="1"/>
  <c r="DL57" i="49"/>
  <c r="W228" i="49" s="1"/>
  <c r="DD57" i="49"/>
  <c r="W174" i="49" s="1"/>
  <c r="BP58" i="49"/>
  <c r="M229" i="49" s="1"/>
  <c r="X229" i="49"/>
  <c r="DN58" i="49"/>
  <c r="I229" i="49"/>
  <c r="AT58" i="49"/>
  <c r="AG10" i="25"/>
  <c r="FD59" i="49"/>
  <c r="AI176" i="49" s="1"/>
  <c r="EY59" i="49"/>
  <c r="AF176" i="49" s="1"/>
  <c r="EC59" i="49"/>
  <c r="DH59" i="49"/>
  <c r="Y176" i="49" s="1"/>
  <c r="DC59" i="49"/>
  <c r="V176" i="49" s="1"/>
  <c r="CG59" i="49"/>
  <c r="BL59" i="49"/>
  <c r="O176" i="49" s="1"/>
  <c r="BG59" i="49"/>
  <c r="L176" i="49" s="1"/>
  <c r="AK59" i="49"/>
  <c r="P59" i="49"/>
  <c r="E176" i="49" s="1"/>
  <c r="K59" i="49"/>
  <c r="B176" i="49" s="1"/>
  <c r="EB59" i="49"/>
  <c r="AB176" i="49" s="1"/>
  <c r="CF59" i="49"/>
  <c r="R176" i="49" s="1"/>
  <c r="AO59" i="49"/>
  <c r="AJ59" i="49"/>
  <c r="H176" i="49" s="1"/>
  <c r="FA59" i="49"/>
  <c r="EF59" i="49"/>
  <c r="AD176" i="49" s="1"/>
  <c r="EA59" i="49"/>
  <c r="AA176" i="49" s="1"/>
  <c r="DE59" i="49"/>
  <c r="CJ59" i="49"/>
  <c r="T176" i="49" s="1"/>
  <c r="CE59" i="49"/>
  <c r="Q176" i="49" s="1"/>
  <c r="BI59" i="49"/>
  <c r="AN59" i="49"/>
  <c r="J176" i="49" s="1"/>
  <c r="AI59" i="49"/>
  <c r="G176" i="49" s="1"/>
  <c r="M59" i="49"/>
  <c r="DI59" i="49"/>
  <c r="DD59" i="49"/>
  <c r="W176" i="49" s="1"/>
  <c r="BM59" i="49"/>
  <c r="BH59" i="49"/>
  <c r="M176" i="49" s="1"/>
  <c r="Q59" i="49"/>
  <c r="L59" i="49"/>
  <c r="C176" i="49" s="1"/>
  <c r="F157" i="7"/>
  <c r="S175" i="49"/>
  <c r="CH58" i="49"/>
  <c r="BH58" i="49"/>
  <c r="M175" i="49" s="1"/>
  <c r="X175" i="49"/>
  <c r="DF58" i="49"/>
  <c r="H25" i="41"/>
  <c r="I144" i="49"/>
  <c r="AL27" i="49"/>
  <c r="N144" i="49"/>
  <c r="BJ27" i="49"/>
  <c r="BP27" i="49"/>
  <c r="M198" i="49" s="1"/>
  <c r="X198" i="49"/>
  <c r="DN27" i="49"/>
  <c r="I198" i="49"/>
  <c r="AT27" i="49"/>
  <c r="BW4" i="49"/>
  <c r="Q81" i="49" s="1"/>
  <c r="C49" i="7"/>
  <c r="G39" i="7"/>
  <c r="BW5" i="49"/>
  <c r="Q82" i="49" s="1"/>
  <c r="CE9" i="49"/>
  <c r="Q126" i="49" s="1"/>
  <c r="BW7" i="49"/>
  <c r="Q84" i="49" s="1"/>
  <c r="BW6" i="49"/>
  <c r="Q83" i="49" s="1"/>
  <c r="BW9" i="49"/>
  <c r="Q86" i="49" s="1"/>
  <c r="CE10" i="49"/>
  <c r="Q127" i="49" s="1"/>
  <c r="BW8" i="49"/>
  <c r="Q85" i="49" s="1"/>
  <c r="BW15" i="49"/>
  <c r="Q92" i="49" s="1"/>
  <c r="BW10" i="49"/>
  <c r="Q87" i="49" s="1"/>
  <c r="CE11" i="49"/>
  <c r="Q128" i="49" s="1"/>
  <c r="BW21" i="49"/>
  <c r="Q93" i="49" s="1"/>
  <c r="CE21" i="49"/>
  <c r="Q138" i="49" s="1"/>
  <c r="BW14" i="49"/>
  <c r="Q91" i="49" s="1"/>
  <c r="BW12" i="49"/>
  <c r="Q89" i="49" s="1"/>
  <c r="CM21" i="49"/>
  <c r="Q192" i="49" s="1"/>
  <c r="BW11" i="49"/>
  <c r="Q88" i="49" s="1"/>
  <c r="BW13" i="49"/>
  <c r="Q90" i="49" s="1"/>
  <c r="CE22" i="49"/>
  <c r="Q139" i="49" s="1"/>
  <c r="BW23" i="49"/>
  <c r="Q95" i="49" s="1"/>
  <c r="BW29" i="49"/>
  <c r="Q101" i="49" s="1"/>
  <c r="BW24" i="49"/>
  <c r="Q96" i="49" s="1"/>
  <c r="CM22" i="49"/>
  <c r="Q193" i="49" s="1"/>
  <c r="BW36" i="49"/>
  <c r="Q102" i="49" s="1"/>
  <c r="BW27" i="49"/>
  <c r="Q99" i="49" s="1"/>
  <c r="BW22" i="49"/>
  <c r="Q94" i="49" s="1"/>
  <c r="BW26" i="49"/>
  <c r="Q98" i="49" s="1"/>
  <c r="CM36" i="49"/>
  <c r="Q207" i="49" s="1"/>
  <c r="CE12" i="49"/>
  <c r="Q129" i="49" s="1"/>
  <c r="CE36" i="49"/>
  <c r="Q153" i="49" s="1"/>
  <c r="BW28" i="49"/>
  <c r="Q100" i="49" s="1"/>
  <c r="BW25" i="49"/>
  <c r="Q97" i="49" s="1"/>
  <c r="BW42" i="49"/>
  <c r="Q108" i="49" s="1"/>
  <c r="BW45" i="49"/>
  <c r="Q111" i="49" s="1"/>
  <c r="CM37" i="49"/>
  <c r="Q208" i="49" s="1"/>
  <c r="CE37" i="49"/>
  <c r="Q154" i="49" s="1"/>
  <c r="BW44" i="49"/>
  <c r="Q110" i="49" s="1"/>
  <c r="CM54" i="49"/>
  <c r="Q225" i="49" s="1"/>
  <c r="BW39" i="49"/>
  <c r="Q105" i="49" s="1"/>
  <c r="BW37" i="49"/>
  <c r="Q103" i="49" s="1"/>
  <c r="BW43" i="49"/>
  <c r="Q109" i="49" s="1"/>
  <c r="CE54" i="49"/>
  <c r="Q171" i="49" s="1"/>
  <c r="CM23" i="49"/>
  <c r="Q194" i="49" s="1"/>
  <c r="BW46" i="49"/>
  <c r="Q112" i="49" s="1"/>
  <c r="BW54" i="49"/>
  <c r="Q113" i="49" s="1"/>
  <c r="BW38" i="49"/>
  <c r="Q104" i="49" s="1"/>
  <c r="BW41" i="49"/>
  <c r="Q107" i="49" s="1"/>
  <c r="CE13" i="49"/>
  <c r="Q130" i="49" s="1"/>
  <c r="CE23" i="49"/>
  <c r="Q140" i="49" s="1"/>
  <c r="BW40" i="49"/>
  <c r="Q106" i="49" s="1"/>
  <c r="BW55" i="49"/>
  <c r="Q114" i="49" s="1"/>
  <c r="BW62" i="49"/>
  <c r="Q121" i="49" s="1"/>
  <c r="BW57" i="49"/>
  <c r="Q116" i="49" s="1"/>
  <c r="BW60" i="49"/>
  <c r="Q119" i="49" s="1"/>
  <c r="CE55" i="49"/>
  <c r="Q172" i="49" s="1"/>
  <c r="BW61" i="49"/>
  <c r="Q120" i="49" s="1"/>
  <c r="BW64" i="49"/>
  <c r="Q123" i="49" s="1"/>
  <c r="CM24" i="49"/>
  <c r="Q195" i="49" s="1"/>
  <c r="CM38" i="49"/>
  <c r="Q209" i="49" s="1"/>
  <c r="BW63" i="49"/>
  <c r="Q122" i="49" s="1"/>
  <c r="BW59" i="49"/>
  <c r="Q118" i="49" s="1"/>
  <c r="BW65" i="49"/>
  <c r="Q124" i="49" s="1"/>
  <c r="CM55" i="49"/>
  <c r="Q226" i="49" s="1"/>
  <c r="BW56" i="49"/>
  <c r="Q115" i="49" s="1"/>
  <c r="CE38" i="49"/>
  <c r="Q155" i="49" s="1"/>
  <c r="CE24" i="49"/>
  <c r="Q141" i="49" s="1"/>
  <c r="BW66" i="49"/>
  <c r="Q125" i="49" s="1"/>
  <c r="BW58" i="49"/>
  <c r="Q117" i="49" s="1"/>
  <c r="CE14" i="49"/>
  <c r="Q131" i="49" s="1"/>
  <c r="CM39" i="49"/>
  <c r="Q210" i="49" s="1"/>
  <c r="CE25" i="49"/>
  <c r="Q142" i="49" s="1"/>
  <c r="CM25" i="49"/>
  <c r="Q196" i="49" s="1"/>
  <c r="CE39" i="49"/>
  <c r="Q156" i="49" s="1"/>
  <c r="CM56" i="49"/>
  <c r="Q227" i="49" s="1"/>
  <c r="CE15" i="49"/>
  <c r="Q132" i="49" s="1"/>
  <c r="CE56" i="49"/>
  <c r="Q173" i="49" s="1"/>
  <c r="CE26" i="49"/>
  <c r="Q143" i="49" s="1"/>
  <c r="CM40" i="49"/>
  <c r="Q211" i="49" s="1"/>
  <c r="CE16" i="49"/>
  <c r="Q133" i="49" s="1"/>
  <c r="CE40" i="49"/>
  <c r="Q157" i="49" s="1"/>
  <c r="CM26" i="49"/>
  <c r="Q197" i="49" s="1"/>
  <c r="CM57" i="49"/>
  <c r="Q228" i="49" s="1"/>
  <c r="CE57" i="49"/>
  <c r="Q174" i="49" s="1"/>
  <c r="G40" i="7"/>
  <c r="FE42" i="49" s="1"/>
  <c r="EQ4" i="49"/>
  <c r="AF81" i="49" s="1"/>
  <c r="C50" i="7"/>
  <c r="EQ8" i="49"/>
  <c r="AF85" i="49" s="1"/>
  <c r="EQ5" i="49"/>
  <c r="AF82" i="49" s="1"/>
  <c r="EY10" i="49"/>
  <c r="AF127" i="49" s="1"/>
  <c r="EY9" i="49"/>
  <c r="AF126" i="49" s="1"/>
  <c r="EQ7" i="49"/>
  <c r="AF84" i="49" s="1"/>
  <c r="EQ6" i="49"/>
  <c r="AF83" i="49" s="1"/>
  <c r="EQ9" i="49"/>
  <c r="AF86" i="49" s="1"/>
  <c r="EQ12" i="49"/>
  <c r="AF89" i="49" s="1"/>
  <c r="FG21" i="49"/>
  <c r="AF192" i="49" s="1"/>
  <c r="EQ11" i="49"/>
  <c r="AF88" i="49" s="1"/>
  <c r="EQ14" i="49"/>
  <c r="AF91" i="49" s="1"/>
  <c r="EQ15" i="49"/>
  <c r="AF92" i="49" s="1"/>
  <c r="EQ10" i="49"/>
  <c r="AF87" i="49" s="1"/>
  <c r="EQ13" i="49"/>
  <c r="AF90" i="49" s="1"/>
  <c r="EY11" i="49"/>
  <c r="AF128" i="49" s="1"/>
  <c r="EQ21" i="49"/>
  <c r="AF93" i="49" s="1"/>
  <c r="EY21" i="49"/>
  <c r="AF138" i="49" s="1"/>
  <c r="EQ24" i="49"/>
  <c r="AF96" i="49" s="1"/>
  <c r="FG22" i="49"/>
  <c r="AF193" i="49" s="1"/>
  <c r="FG36" i="49"/>
  <c r="AF207" i="49" s="1"/>
  <c r="EQ27" i="49"/>
  <c r="AF99" i="49" s="1"/>
  <c r="EQ22" i="49"/>
  <c r="AF94" i="49" s="1"/>
  <c r="EQ28" i="49"/>
  <c r="AF100" i="49" s="1"/>
  <c r="EQ26" i="49"/>
  <c r="AF98" i="49" s="1"/>
  <c r="EQ25" i="49"/>
  <c r="AF97" i="49" s="1"/>
  <c r="EY12" i="49"/>
  <c r="AF129" i="49" s="1"/>
  <c r="EY36" i="49"/>
  <c r="AF153" i="49" s="1"/>
  <c r="EQ23" i="49"/>
  <c r="AF95" i="49" s="1"/>
  <c r="EY22" i="49"/>
  <c r="AF139" i="49" s="1"/>
  <c r="EQ36" i="49"/>
  <c r="AF102" i="49" s="1"/>
  <c r="EQ29" i="49"/>
  <c r="AF101" i="49" s="1"/>
  <c r="FG54" i="49"/>
  <c r="AF225" i="49" s="1"/>
  <c r="EY54" i="49"/>
  <c r="AF171" i="49" s="1"/>
  <c r="EQ46" i="49"/>
  <c r="AF112" i="49" s="1"/>
  <c r="EQ39" i="49"/>
  <c r="AF105" i="49" s="1"/>
  <c r="EQ37" i="49"/>
  <c r="AF103" i="49" s="1"/>
  <c r="EQ38" i="49"/>
  <c r="AF104" i="49" s="1"/>
  <c r="EY13" i="49"/>
  <c r="AF130" i="49" s="1"/>
  <c r="FG23" i="49"/>
  <c r="AF194" i="49" s="1"/>
  <c r="EQ54" i="49"/>
  <c r="AF113" i="49" s="1"/>
  <c r="EY23" i="49"/>
  <c r="AF140" i="49" s="1"/>
  <c r="EQ40" i="49"/>
  <c r="AF106" i="49" s="1"/>
  <c r="EY37" i="49"/>
  <c r="AF154" i="49" s="1"/>
  <c r="FG37" i="49"/>
  <c r="AF208" i="49" s="1"/>
  <c r="EQ41" i="49"/>
  <c r="AF107" i="49" s="1"/>
  <c r="EQ42" i="49"/>
  <c r="AF108" i="49" s="1"/>
  <c r="EQ43" i="49"/>
  <c r="AF109" i="49" s="1"/>
  <c r="EQ44" i="49"/>
  <c r="AF110" i="49" s="1"/>
  <c r="EQ45" i="49"/>
  <c r="AF111" i="49" s="1"/>
  <c r="EQ64" i="49"/>
  <c r="AF123" i="49" s="1"/>
  <c r="EQ65" i="49"/>
  <c r="AF124" i="49" s="1"/>
  <c r="FG55" i="49"/>
  <c r="AF226" i="49" s="1"/>
  <c r="EY14" i="49"/>
  <c r="AF131" i="49" s="1"/>
  <c r="EY24" i="49"/>
  <c r="AF141" i="49" s="1"/>
  <c r="EQ59" i="49"/>
  <c r="AF118" i="49" s="1"/>
  <c r="EQ56" i="49"/>
  <c r="AF115" i="49" s="1"/>
  <c r="EQ60" i="49"/>
  <c r="AF119" i="49" s="1"/>
  <c r="EQ58" i="49"/>
  <c r="AF117" i="49" s="1"/>
  <c r="EQ55" i="49"/>
  <c r="AF114" i="49" s="1"/>
  <c r="EY38" i="49"/>
  <c r="AF155" i="49" s="1"/>
  <c r="EQ66" i="49"/>
  <c r="AF125" i="49" s="1"/>
  <c r="EQ57" i="49"/>
  <c r="AF116" i="49" s="1"/>
  <c r="EY55" i="49"/>
  <c r="AF172" i="49" s="1"/>
  <c r="EQ61" i="49"/>
  <c r="AF120" i="49" s="1"/>
  <c r="FG24" i="49"/>
  <c r="AF195" i="49" s="1"/>
  <c r="EQ62" i="49"/>
  <c r="AF121" i="49" s="1"/>
  <c r="FG38" i="49"/>
  <c r="AF209" i="49" s="1"/>
  <c r="EQ63" i="49"/>
  <c r="AF122" i="49" s="1"/>
  <c r="EY25" i="49"/>
  <c r="AF142" i="49" s="1"/>
  <c r="EY15" i="49"/>
  <c r="AF132" i="49" s="1"/>
  <c r="EY56" i="49"/>
  <c r="AF173" i="49" s="1"/>
  <c r="FG56" i="49"/>
  <c r="AF227" i="49" s="1"/>
  <c r="FG39" i="49"/>
  <c r="AF210" i="49" s="1"/>
  <c r="FG25" i="49"/>
  <c r="AF196" i="49" s="1"/>
  <c r="EY39" i="49"/>
  <c r="AF156" i="49" s="1"/>
  <c r="EY40" i="49"/>
  <c r="AF157" i="49" s="1"/>
  <c r="FG26" i="49"/>
  <c r="AF197" i="49" s="1"/>
  <c r="EY57" i="49"/>
  <c r="AF174" i="49" s="1"/>
  <c r="EY26" i="49"/>
  <c r="AF143" i="49" s="1"/>
  <c r="FG40" i="49"/>
  <c r="AF211" i="49" s="1"/>
  <c r="FG57" i="49"/>
  <c r="AF228" i="49" s="1"/>
  <c r="EY16" i="49"/>
  <c r="AF133" i="49" s="1"/>
  <c r="I134" i="49"/>
  <c r="AL17" i="49"/>
  <c r="N134" i="49"/>
  <c r="BJ17" i="49"/>
  <c r="L41" i="49"/>
  <c r="C158" i="49" s="1"/>
  <c r="D158" i="49"/>
  <c r="N41" i="49"/>
  <c r="CE41" i="49"/>
  <c r="Q158" i="49" s="1"/>
  <c r="L77" i="7"/>
  <c r="T77" i="7" s="1"/>
  <c r="X212" i="49"/>
  <c r="DN41" i="49"/>
  <c r="I212" i="49"/>
  <c r="AT41" i="49"/>
  <c r="G42" i="7"/>
  <c r="C52" i="7"/>
  <c r="D40" i="7"/>
  <c r="EZ59" i="49" s="1"/>
  <c r="AG176" i="49" s="1"/>
  <c r="F54" i="2"/>
  <c r="C85" i="7"/>
  <c r="L85" i="7" s="1"/>
  <c r="C75" i="7"/>
  <c r="C54" i="2"/>
  <c r="R118" i="32"/>
  <c r="P119" i="32"/>
  <c r="DT4" i="49"/>
  <c r="AB81" i="49" s="1"/>
  <c r="D51" i="7"/>
  <c r="EB10" i="49"/>
  <c r="AB127" i="49" s="1"/>
  <c r="DT7" i="49"/>
  <c r="AB84" i="49" s="1"/>
  <c r="EB9" i="49"/>
  <c r="AB126" i="49" s="1"/>
  <c r="DT6" i="49"/>
  <c r="AB83" i="49" s="1"/>
  <c r="DT8" i="49"/>
  <c r="AB85" i="49" s="1"/>
  <c r="DT5" i="49"/>
  <c r="AB82" i="49" s="1"/>
  <c r="DT9" i="49"/>
  <c r="AB86" i="49" s="1"/>
  <c r="DT12" i="49"/>
  <c r="AB89" i="49" s="1"/>
  <c r="EJ21" i="49"/>
  <c r="AB192" i="49" s="1"/>
  <c r="DT11" i="49"/>
  <c r="AB88" i="49" s="1"/>
  <c r="DT14" i="49"/>
  <c r="AB91" i="49" s="1"/>
  <c r="EB21" i="49"/>
  <c r="AB138" i="49" s="1"/>
  <c r="DT15" i="49"/>
  <c r="AB92" i="49" s="1"/>
  <c r="DT10" i="49"/>
  <c r="AB87" i="49" s="1"/>
  <c r="DT13" i="49"/>
  <c r="AB90" i="49" s="1"/>
  <c r="EB11" i="49"/>
  <c r="AB128" i="49" s="1"/>
  <c r="DT21" i="49"/>
  <c r="AB93" i="49" s="1"/>
  <c r="DT22" i="49"/>
  <c r="AB94" i="49" s="1"/>
  <c r="DT28" i="49"/>
  <c r="AB100" i="49" s="1"/>
  <c r="EB12" i="49"/>
  <c r="AB129" i="49" s="1"/>
  <c r="EB36" i="49"/>
  <c r="AB153" i="49" s="1"/>
  <c r="DT25" i="49"/>
  <c r="AB97" i="49" s="1"/>
  <c r="EB22" i="49"/>
  <c r="AB139" i="49" s="1"/>
  <c r="DT23" i="49"/>
  <c r="AB95" i="49" s="1"/>
  <c r="DT36" i="49"/>
  <c r="AB102" i="49" s="1"/>
  <c r="DT29" i="49"/>
  <c r="AB101" i="49" s="1"/>
  <c r="DT24" i="49"/>
  <c r="AB96" i="49" s="1"/>
  <c r="EJ22" i="49"/>
  <c r="AB193" i="49" s="1"/>
  <c r="DT26" i="49"/>
  <c r="AB98" i="49" s="1"/>
  <c r="EJ36" i="49"/>
  <c r="AB207" i="49" s="1"/>
  <c r="DT27" i="49"/>
  <c r="AB99" i="49" s="1"/>
  <c r="DT38" i="49"/>
  <c r="AB104" i="49" s="1"/>
  <c r="EJ23" i="49"/>
  <c r="AB194" i="49" s="1"/>
  <c r="DT54" i="49"/>
  <c r="AB113" i="49" s="1"/>
  <c r="EB23" i="49"/>
  <c r="AB140" i="49" s="1"/>
  <c r="DT40" i="49"/>
  <c r="AB106" i="49" s="1"/>
  <c r="EB37" i="49"/>
  <c r="AB154" i="49" s="1"/>
  <c r="DT41" i="49"/>
  <c r="AB107" i="49" s="1"/>
  <c r="EB13" i="49"/>
  <c r="AB130" i="49" s="1"/>
  <c r="DT42" i="49"/>
  <c r="AB108" i="49" s="1"/>
  <c r="DT43" i="49"/>
  <c r="AB109" i="49" s="1"/>
  <c r="DT44" i="49"/>
  <c r="AB110" i="49" s="1"/>
  <c r="DT45" i="49"/>
  <c r="AB111" i="49" s="1"/>
  <c r="EJ37" i="49"/>
  <c r="AB208" i="49" s="1"/>
  <c r="EJ54" i="49"/>
  <c r="AB225" i="49" s="1"/>
  <c r="EB54" i="49"/>
  <c r="AB171" i="49" s="1"/>
  <c r="DT46" i="49"/>
  <c r="AB112" i="49" s="1"/>
  <c r="DT39" i="49"/>
  <c r="AB105" i="49" s="1"/>
  <c r="DT37" i="49"/>
  <c r="AB103" i="49" s="1"/>
  <c r="EB14" i="49"/>
  <c r="AB131" i="49" s="1"/>
  <c r="DT59" i="49"/>
  <c r="AB118" i="49" s="1"/>
  <c r="DT56" i="49"/>
  <c r="AB115" i="49" s="1"/>
  <c r="DT58" i="49"/>
  <c r="AB117" i="49" s="1"/>
  <c r="DT55" i="49"/>
  <c r="AB114" i="49" s="1"/>
  <c r="EB38" i="49"/>
  <c r="AB155" i="49" s="1"/>
  <c r="EB24" i="49"/>
  <c r="AB141" i="49" s="1"/>
  <c r="DT66" i="49"/>
  <c r="AB125" i="49" s="1"/>
  <c r="DT57" i="49"/>
  <c r="AB116" i="49" s="1"/>
  <c r="DT61" i="49"/>
  <c r="AB120" i="49" s="1"/>
  <c r="EJ24" i="49"/>
  <c r="AB195" i="49" s="1"/>
  <c r="DT62" i="49"/>
  <c r="AB121" i="49" s="1"/>
  <c r="EJ38" i="49"/>
  <c r="AB209" i="49" s="1"/>
  <c r="DT63" i="49"/>
  <c r="AB122" i="49" s="1"/>
  <c r="DT60" i="49"/>
  <c r="AB119" i="49" s="1"/>
  <c r="EB55" i="49"/>
  <c r="AB172" i="49" s="1"/>
  <c r="DT64" i="49"/>
  <c r="AB123" i="49" s="1"/>
  <c r="DT65" i="49"/>
  <c r="AB124" i="49" s="1"/>
  <c r="EJ55" i="49"/>
  <c r="AB226" i="49" s="1"/>
  <c r="EB15" i="49"/>
  <c r="AB132" i="49" s="1"/>
  <c r="EB39" i="49"/>
  <c r="AB156" i="49" s="1"/>
  <c r="EJ39" i="49"/>
  <c r="AB210" i="49" s="1"/>
  <c r="EB25" i="49"/>
  <c r="AB142" i="49" s="1"/>
  <c r="EJ25" i="49"/>
  <c r="AB196" i="49" s="1"/>
  <c r="EB56" i="49"/>
  <c r="AB173" i="49" s="1"/>
  <c r="EJ56" i="49"/>
  <c r="AB227" i="49" s="1"/>
  <c r="EB26" i="49"/>
  <c r="AB143" i="49" s="1"/>
  <c r="EJ26" i="49"/>
  <c r="AB197" i="49" s="1"/>
  <c r="EB57" i="49"/>
  <c r="AB174" i="49" s="1"/>
  <c r="EJ40" i="49"/>
  <c r="AB211" i="49" s="1"/>
  <c r="EJ57" i="49"/>
  <c r="AB228" i="49" s="1"/>
  <c r="EB16" i="49"/>
  <c r="AB133" i="49" s="1"/>
  <c r="EB40" i="49"/>
  <c r="AB157" i="49" s="1"/>
  <c r="P86" i="7"/>
  <c r="T86" i="7"/>
  <c r="L73" i="7"/>
  <c r="T73" i="7"/>
  <c r="P73" i="7"/>
  <c r="FI59" i="49"/>
  <c r="EN59" i="49"/>
  <c r="AD230" i="49" s="1"/>
  <c r="EI59" i="49"/>
  <c r="AA230" i="49" s="1"/>
  <c r="DM59" i="49"/>
  <c r="CR59" i="49"/>
  <c r="T230" i="49" s="1"/>
  <c r="CM59" i="49"/>
  <c r="Q230" i="49" s="1"/>
  <c r="BQ59" i="49"/>
  <c r="AV59" i="49"/>
  <c r="J230" i="49" s="1"/>
  <c r="AQ59" i="49"/>
  <c r="G230" i="49" s="1"/>
  <c r="U59" i="49"/>
  <c r="FM59" i="49"/>
  <c r="FH59" i="49"/>
  <c r="AG230" i="49" s="1"/>
  <c r="DQ59" i="49"/>
  <c r="DL59" i="49"/>
  <c r="W230" i="49" s="1"/>
  <c r="BU59" i="49"/>
  <c r="BP59" i="49"/>
  <c r="M230" i="49" s="1"/>
  <c r="Y59" i="49"/>
  <c r="T59" i="49"/>
  <c r="C230" i="49" s="1"/>
  <c r="FL59" i="49"/>
  <c r="AI230" i="49" s="1"/>
  <c r="FG59" i="49"/>
  <c r="AF230" i="49" s="1"/>
  <c r="EK59" i="49"/>
  <c r="DP59" i="49"/>
  <c r="Y230" i="49" s="1"/>
  <c r="DK59" i="49"/>
  <c r="V230" i="49" s="1"/>
  <c r="CO59" i="49"/>
  <c r="BT59" i="49"/>
  <c r="O230" i="49" s="1"/>
  <c r="BO59" i="49"/>
  <c r="L230" i="49" s="1"/>
  <c r="AS59" i="49"/>
  <c r="X59" i="49"/>
  <c r="E230" i="49" s="1"/>
  <c r="S59" i="49"/>
  <c r="B230" i="49" s="1"/>
  <c r="EJ59" i="49"/>
  <c r="AB230" i="49" s="1"/>
  <c r="CS59" i="49"/>
  <c r="CN59" i="49"/>
  <c r="R230" i="49" s="1"/>
  <c r="AW59" i="49"/>
  <c r="AR59" i="49"/>
  <c r="H230" i="49" s="1"/>
  <c r="H157" i="7"/>
  <c r="N229" i="49"/>
  <c r="BR58" i="49"/>
  <c r="EI58" i="49"/>
  <c r="AA229" i="49" s="1"/>
  <c r="AI9" i="25"/>
  <c r="EB58" i="49"/>
  <c r="AB175" i="49" s="1"/>
  <c r="I175" i="49"/>
  <c r="AL58" i="49"/>
  <c r="N175" i="49"/>
  <c r="BJ58" i="49"/>
  <c r="Q120" i="32"/>
  <c r="O121" i="32"/>
  <c r="O58" i="7"/>
  <c r="O57" i="7"/>
  <c r="AZ4" i="49"/>
  <c r="M81" i="49" s="1"/>
  <c r="D4" i="49"/>
  <c r="C81" i="49" s="1"/>
  <c r="D46" i="7"/>
  <c r="D6" i="49"/>
  <c r="C83" i="49" s="1"/>
  <c r="AZ8" i="49"/>
  <c r="M85" i="49" s="1"/>
  <c r="D5" i="49"/>
  <c r="C82" i="49" s="1"/>
  <c r="D7" i="49"/>
  <c r="C84" i="49" s="1"/>
  <c r="D9" i="49"/>
  <c r="C86" i="49" s="1"/>
  <c r="AZ9" i="49"/>
  <c r="M86" i="49" s="1"/>
  <c r="BH10" i="49"/>
  <c r="M127" i="49" s="1"/>
  <c r="L10" i="49"/>
  <c r="C127" i="49" s="1"/>
  <c r="AZ6" i="49"/>
  <c r="M83" i="49" s="1"/>
  <c r="D8" i="49"/>
  <c r="C85" i="49" s="1"/>
  <c r="L9" i="49"/>
  <c r="C126" i="49" s="1"/>
  <c r="BH9" i="49"/>
  <c r="M126" i="49" s="1"/>
  <c r="AZ5" i="49"/>
  <c r="M82" i="49" s="1"/>
  <c r="AZ7" i="49"/>
  <c r="M84" i="49" s="1"/>
  <c r="AZ15" i="49"/>
  <c r="M92" i="49" s="1"/>
  <c r="D15" i="49"/>
  <c r="C92" i="49" s="1"/>
  <c r="AZ10" i="49"/>
  <c r="M87" i="49" s="1"/>
  <c r="D10" i="49"/>
  <c r="C87" i="49" s="1"/>
  <c r="D14" i="49"/>
  <c r="C91" i="49" s="1"/>
  <c r="L21" i="49"/>
  <c r="C138" i="49" s="1"/>
  <c r="BH11" i="49"/>
  <c r="M128" i="49" s="1"/>
  <c r="L11" i="49"/>
  <c r="C128" i="49" s="1"/>
  <c r="BP21" i="49"/>
  <c r="M192" i="49" s="1"/>
  <c r="AZ21" i="49"/>
  <c r="M93" i="49" s="1"/>
  <c r="BH21" i="49"/>
  <c r="M138" i="49" s="1"/>
  <c r="AZ14" i="49"/>
  <c r="M91" i="49" s="1"/>
  <c r="AZ12" i="49"/>
  <c r="M89" i="49" s="1"/>
  <c r="D12" i="49"/>
  <c r="C89" i="49" s="1"/>
  <c r="T21" i="49"/>
  <c r="C192" i="49" s="1"/>
  <c r="AZ11" i="49"/>
  <c r="M88" i="49" s="1"/>
  <c r="D11" i="49"/>
  <c r="C88" i="49" s="1"/>
  <c r="D21" i="49"/>
  <c r="C93" i="49" s="1"/>
  <c r="AZ13" i="49"/>
  <c r="M90" i="49" s="1"/>
  <c r="D13" i="49"/>
  <c r="C90" i="49" s="1"/>
  <c r="AZ24" i="49"/>
  <c r="M96" i="49" s="1"/>
  <c r="D26" i="49"/>
  <c r="C98" i="49" s="1"/>
  <c r="BP36" i="49"/>
  <c r="M207" i="49" s="1"/>
  <c r="D23" i="49"/>
  <c r="C95" i="49" s="1"/>
  <c r="D29" i="49"/>
  <c r="C101" i="49" s="1"/>
  <c r="AZ22" i="49"/>
  <c r="M94" i="49" s="1"/>
  <c r="T22" i="49"/>
  <c r="C193" i="49" s="1"/>
  <c r="BH36" i="49"/>
  <c r="M153" i="49" s="1"/>
  <c r="AZ28" i="49"/>
  <c r="M100" i="49" s="1"/>
  <c r="AZ25" i="49"/>
  <c r="M97" i="49" s="1"/>
  <c r="L22" i="49"/>
  <c r="C139" i="49" s="1"/>
  <c r="D36" i="49"/>
  <c r="C102" i="49" s="1"/>
  <c r="D27" i="49"/>
  <c r="C99" i="49" s="1"/>
  <c r="D24" i="49"/>
  <c r="C96" i="49" s="1"/>
  <c r="AZ26" i="49"/>
  <c r="M98" i="49" s="1"/>
  <c r="T36" i="49"/>
  <c r="C207" i="49" s="1"/>
  <c r="AZ23" i="49"/>
  <c r="M95" i="49" s="1"/>
  <c r="AZ29" i="49"/>
  <c r="M101" i="49" s="1"/>
  <c r="BH12" i="49"/>
  <c r="M129" i="49" s="1"/>
  <c r="L12" i="49"/>
  <c r="C129" i="49" s="1"/>
  <c r="D22" i="49"/>
  <c r="C94" i="49" s="1"/>
  <c r="BP22" i="49"/>
  <c r="M193" i="49" s="1"/>
  <c r="L36" i="49"/>
  <c r="C153" i="49" s="1"/>
  <c r="D28" i="49"/>
  <c r="C100" i="49" s="1"/>
  <c r="D25" i="49"/>
  <c r="C97" i="49" s="1"/>
  <c r="BH22" i="49"/>
  <c r="M139" i="49" s="1"/>
  <c r="AZ36" i="49"/>
  <c r="M102" i="49" s="1"/>
  <c r="AZ27" i="49"/>
  <c r="M99" i="49" s="1"/>
  <c r="D42" i="49"/>
  <c r="C108" i="49" s="1"/>
  <c r="D45" i="49"/>
  <c r="C111" i="49" s="1"/>
  <c r="BH54" i="49"/>
  <c r="M171" i="49" s="1"/>
  <c r="AZ46" i="49"/>
  <c r="M112" i="49" s="1"/>
  <c r="AZ54" i="49"/>
  <c r="M113" i="49" s="1"/>
  <c r="T37" i="49"/>
  <c r="C208" i="49" s="1"/>
  <c r="L37" i="49"/>
  <c r="C154" i="49" s="1"/>
  <c r="AZ38" i="49"/>
  <c r="M104" i="49" s="1"/>
  <c r="AZ41" i="49"/>
  <c r="M107" i="49" s="1"/>
  <c r="D44" i="49"/>
  <c r="C110" i="49" s="1"/>
  <c r="T54" i="49"/>
  <c r="C225" i="49" s="1"/>
  <c r="BP23" i="49"/>
  <c r="M194" i="49" s="1"/>
  <c r="D39" i="49"/>
  <c r="C105" i="49" s="1"/>
  <c r="BH23" i="49"/>
  <c r="M140" i="49" s="1"/>
  <c r="D37" i="49"/>
  <c r="C103" i="49" s="1"/>
  <c r="AZ40" i="49"/>
  <c r="M106" i="49" s="1"/>
  <c r="AZ43" i="49"/>
  <c r="M109" i="49" s="1"/>
  <c r="BH37" i="49"/>
  <c r="M154" i="49" s="1"/>
  <c r="D43" i="49"/>
  <c r="C109" i="49" s="1"/>
  <c r="AZ42" i="49"/>
  <c r="M108" i="49" s="1"/>
  <c r="AZ45" i="49"/>
  <c r="M111" i="49" s="1"/>
  <c r="L54" i="49"/>
  <c r="C171" i="49" s="1"/>
  <c r="D46" i="49"/>
  <c r="C112" i="49" s="1"/>
  <c r="D54" i="49"/>
  <c r="C113" i="49" s="1"/>
  <c r="BP37" i="49"/>
  <c r="M208" i="49" s="1"/>
  <c r="D38" i="49"/>
  <c r="C104" i="49" s="1"/>
  <c r="D41" i="49"/>
  <c r="C107" i="49" s="1"/>
  <c r="AZ44" i="49"/>
  <c r="M110" i="49" s="1"/>
  <c r="BP54" i="49"/>
  <c r="M225" i="49" s="1"/>
  <c r="BH13" i="49"/>
  <c r="M130" i="49" s="1"/>
  <c r="L13" i="49"/>
  <c r="C130" i="49" s="1"/>
  <c r="T23" i="49"/>
  <c r="C194" i="49" s="1"/>
  <c r="AZ39" i="49"/>
  <c r="M105" i="49" s="1"/>
  <c r="L23" i="49"/>
  <c r="C140" i="49" s="1"/>
  <c r="AZ37" i="49"/>
  <c r="M103" i="49" s="1"/>
  <c r="D40" i="49"/>
  <c r="C106" i="49" s="1"/>
  <c r="D55" i="49"/>
  <c r="C114" i="49" s="1"/>
  <c r="D62" i="49"/>
  <c r="C121" i="49" s="1"/>
  <c r="AZ65" i="49"/>
  <c r="M124" i="49" s="1"/>
  <c r="BP55" i="49"/>
  <c r="M226" i="49" s="1"/>
  <c r="AZ56" i="49"/>
  <c r="M115" i="49" s="1"/>
  <c r="D57" i="49"/>
  <c r="C116" i="49" s="1"/>
  <c r="D60" i="49"/>
  <c r="C119" i="49" s="1"/>
  <c r="L55" i="49"/>
  <c r="C172" i="49" s="1"/>
  <c r="AZ58" i="49"/>
  <c r="M117" i="49" s="1"/>
  <c r="D61" i="49"/>
  <c r="C120" i="49" s="1"/>
  <c r="D64" i="49"/>
  <c r="C123" i="49" s="1"/>
  <c r="T24" i="49"/>
  <c r="C195" i="49" s="1"/>
  <c r="BH38" i="49"/>
  <c r="M155" i="49" s="1"/>
  <c r="T38" i="49"/>
  <c r="C209" i="49" s="1"/>
  <c r="BH24" i="49"/>
  <c r="M141" i="49" s="1"/>
  <c r="AZ59" i="49"/>
  <c r="M118" i="49" s="1"/>
  <c r="AZ66" i="49"/>
  <c r="M125" i="49" s="1"/>
  <c r="D63" i="49"/>
  <c r="C122" i="49" s="1"/>
  <c r="AZ63" i="49"/>
  <c r="M122" i="49" s="1"/>
  <c r="AZ55" i="49"/>
  <c r="M114" i="49" s="1"/>
  <c r="AZ62" i="49"/>
  <c r="M121" i="49" s="1"/>
  <c r="D65" i="49"/>
  <c r="C124" i="49" s="1"/>
  <c r="BH14" i="49"/>
  <c r="M131" i="49" s="1"/>
  <c r="L14" i="49"/>
  <c r="C131" i="49" s="1"/>
  <c r="T55" i="49"/>
  <c r="C226" i="49" s="1"/>
  <c r="D56" i="49"/>
  <c r="C115" i="49" s="1"/>
  <c r="AZ57" i="49"/>
  <c r="M116" i="49" s="1"/>
  <c r="AZ60" i="49"/>
  <c r="M119" i="49" s="1"/>
  <c r="BH55" i="49"/>
  <c r="M172" i="49" s="1"/>
  <c r="L38" i="49"/>
  <c r="C155" i="49" s="1"/>
  <c r="BP38" i="49"/>
  <c r="M209" i="49" s="1"/>
  <c r="L24" i="49"/>
  <c r="C141" i="49" s="1"/>
  <c r="D59" i="49"/>
  <c r="C118" i="49" s="1"/>
  <c r="D66" i="49"/>
  <c r="C125" i="49" s="1"/>
  <c r="D58" i="49"/>
  <c r="C117" i="49" s="1"/>
  <c r="AZ61" i="49"/>
  <c r="M120" i="49" s="1"/>
  <c r="AZ64" i="49"/>
  <c r="M123" i="49" s="1"/>
  <c r="BP24" i="49"/>
  <c r="M195" i="49" s="1"/>
  <c r="T39" i="49"/>
  <c r="C210" i="49" s="1"/>
  <c r="BH56" i="49"/>
  <c r="M173" i="49" s="1"/>
  <c r="BH15" i="49"/>
  <c r="M132" i="49" s="1"/>
  <c r="L56" i="49"/>
  <c r="C173" i="49" s="1"/>
  <c r="L25" i="49"/>
  <c r="C142" i="49" s="1"/>
  <c r="T25" i="49"/>
  <c r="C196" i="49" s="1"/>
  <c r="L39" i="49"/>
  <c r="C156" i="49" s="1"/>
  <c r="T56" i="49"/>
  <c r="C227" i="49" s="1"/>
  <c r="L15" i="49"/>
  <c r="C132" i="49" s="1"/>
  <c r="BP39" i="49"/>
  <c r="M210" i="49" s="1"/>
  <c r="BH25" i="49"/>
  <c r="M142" i="49" s="1"/>
  <c r="BP25" i="49"/>
  <c r="M196" i="49" s="1"/>
  <c r="BH39" i="49"/>
  <c r="M156" i="49" s="1"/>
  <c r="BP56" i="49"/>
  <c r="M227" i="49" s="1"/>
  <c r="L26" i="49"/>
  <c r="C143" i="49" s="1"/>
  <c r="T26" i="49"/>
  <c r="C197" i="49" s="1"/>
  <c r="T40" i="49"/>
  <c r="C211" i="49" s="1"/>
  <c r="BH57" i="49"/>
  <c r="M174" i="49" s="1"/>
  <c r="L16" i="49"/>
  <c r="C133" i="49" s="1"/>
  <c r="L40" i="49"/>
  <c r="C157" i="49" s="1"/>
  <c r="BH26" i="49"/>
  <c r="M143" i="49" s="1"/>
  <c r="T57" i="49"/>
  <c r="C228" i="49" s="1"/>
  <c r="BP40" i="49"/>
  <c r="M211" i="49" s="1"/>
  <c r="L57" i="49"/>
  <c r="C174" i="49" s="1"/>
  <c r="BH16" i="49"/>
  <c r="M133" i="49" s="1"/>
  <c r="BH40" i="49"/>
  <c r="M157" i="49" s="1"/>
  <c r="BP26" i="49"/>
  <c r="M197" i="49" s="1"/>
  <c r="BP57" i="49"/>
  <c r="M228" i="49" s="1"/>
  <c r="L27" i="49"/>
  <c r="C144" i="49" s="1"/>
  <c r="D144" i="49"/>
  <c r="N27" i="49"/>
  <c r="FI28" i="49"/>
  <c r="EN28" i="49"/>
  <c r="AD199" i="49" s="1"/>
  <c r="EI28" i="49"/>
  <c r="AA199" i="49" s="1"/>
  <c r="DM28" i="49"/>
  <c r="CR28" i="49"/>
  <c r="T199" i="49" s="1"/>
  <c r="CM28" i="49"/>
  <c r="Q199" i="49" s="1"/>
  <c r="BQ28" i="49"/>
  <c r="AV28" i="49"/>
  <c r="J199" i="49" s="1"/>
  <c r="AQ28" i="49"/>
  <c r="G199" i="49" s="1"/>
  <c r="U28" i="49"/>
  <c r="FM28" i="49"/>
  <c r="FH28" i="49"/>
  <c r="AG199" i="49" s="1"/>
  <c r="DQ28" i="49"/>
  <c r="DL28" i="49"/>
  <c r="W199" i="49" s="1"/>
  <c r="BU28" i="49"/>
  <c r="BP28" i="49"/>
  <c r="M199" i="49" s="1"/>
  <c r="Y28" i="49"/>
  <c r="T28" i="49"/>
  <c r="C199" i="49" s="1"/>
  <c r="FL28" i="49"/>
  <c r="AI199" i="49" s="1"/>
  <c r="FG28" i="49"/>
  <c r="AF199" i="49" s="1"/>
  <c r="EK28" i="49"/>
  <c r="DP28" i="49"/>
  <c r="Y199" i="49" s="1"/>
  <c r="DK28" i="49"/>
  <c r="V199" i="49" s="1"/>
  <c r="CO28" i="49"/>
  <c r="BT28" i="49"/>
  <c r="O199" i="49" s="1"/>
  <c r="BO28" i="49"/>
  <c r="L199" i="49" s="1"/>
  <c r="AS28" i="49"/>
  <c r="X28" i="49"/>
  <c r="E199" i="49" s="1"/>
  <c r="S28" i="49"/>
  <c r="B199" i="49" s="1"/>
  <c r="EJ28" i="49"/>
  <c r="AB199" i="49" s="1"/>
  <c r="CS28" i="49"/>
  <c r="CN28" i="49"/>
  <c r="R199" i="49" s="1"/>
  <c r="AW28" i="49"/>
  <c r="AR28" i="49"/>
  <c r="H199" i="49" s="1"/>
  <c r="H126" i="7"/>
  <c r="N198" i="49"/>
  <c r="BR27" i="49"/>
  <c r="FE18" i="49"/>
  <c r="EZ18" i="49"/>
  <c r="AG135" i="49" s="1"/>
  <c r="DI18" i="49"/>
  <c r="DD18" i="49"/>
  <c r="W135" i="49" s="1"/>
  <c r="BM18" i="49"/>
  <c r="BH18" i="49"/>
  <c r="M135" i="49" s="1"/>
  <c r="Q18" i="49"/>
  <c r="L18" i="49"/>
  <c r="C135" i="49" s="1"/>
  <c r="FD18" i="49"/>
  <c r="AI135" i="49" s="1"/>
  <c r="EY18" i="49"/>
  <c r="AF135" i="49" s="1"/>
  <c r="EC18" i="49"/>
  <c r="DH18" i="49"/>
  <c r="Y135" i="49" s="1"/>
  <c r="DC18" i="49"/>
  <c r="V135" i="49" s="1"/>
  <c r="CG18" i="49"/>
  <c r="BL18" i="49"/>
  <c r="O135" i="49" s="1"/>
  <c r="BG18" i="49"/>
  <c r="L135" i="49" s="1"/>
  <c r="AK18" i="49"/>
  <c r="P18" i="49"/>
  <c r="E135" i="49" s="1"/>
  <c r="K18" i="49"/>
  <c r="B135" i="49" s="1"/>
  <c r="EB18" i="49"/>
  <c r="AB135" i="49" s="1"/>
  <c r="CK18" i="49"/>
  <c r="CF18" i="49"/>
  <c r="R135" i="49" s="1"/>
  <c r="AO18" i="49"/>
  <c r="AJ18" i="49"/>
  <c r="H135" i="49" s="1"/>
  <c r="F116" i="7"/>
  <c r="FA18" i="49"/>
  <c r="EF18" i="49"/>
  <c r="AD135" i="49" s="1"/>
  <c r="EA18" i="49"/>
  <c r="AA135" i="49" s="1"/>
  <c r="DE18" i="49"/>
  <c r="CJ18" i="49"/>
  <c r="T135" i="49" s="1"/>
  <c r="CE18" i="49"/>
  <c r="Q135" i="49" s="1"/>
  <c r="BI18" i="49"/>
  <c r="AN18" i="49"/>
  <c r="J135" i="49" s="1"/>
  <c r="AI18" i="49"/>
  <c r="G135" i="49" s="1"/>
  <c r="M18" i="49"/>
  <c r="L17" i="49"/>
  <c r="C134" i="49" s="1"/>
  <c r="D134" i="49"/>
  <c r="N17" i="49"/>
  <c r="CE17" i="49"/>
  <c r="Q134" i="49" s="1"/>
  <c r="CF17" i="49"/>
  <c r="R134" i="49" s="1"/>
  <c r="CF41" i="49"/>
  <c r="R158" i="49" s="1"/>
  <c r="AC158" i="49"/>
  <c r="ED41" i="49"/>
  <c r="AH158" i="49"/>
  <c r="FB41" i="49"/>
  <c r="V11" i="26"/>
  <c r="T12" i="26"/>
  <c r="U12" i="26" s="1"/>
  <c r="W11" i="26"/>
  <c r="Y11" i="26" s="1"/>
  <c r="S11" i="26"/>
  <c r="P87" i="7"/>
  <c r="T87" i="7"/>
  <c r="FI42" i="49"/>
  <c r="EN42" i="49"/>
  <c r="AD213" i="49" s="1"/>
  <c r="EI42" i="49"/>
  <c r="AA213" i="49" s="1"/>
  <c r="DM42" i="49"/>
  <c r="CR42" i="49"/>
  <c r="T213" i="49" s="1"/>
  <c r="CM42" i="49"/>
  <c r="Q213" i="49" s="1"/>
  <c r="BQ42" i="49"/>
  <c r="AV42" i="49"/>
  <c r="J213" i="49" s="1"/>
  <c r="AQ42" i="49"/>
  <c r="G213" i="49" s="1"/>
  <c r="U42" i="49"/>
  <c r="FM42" i="49"/>
  <c r="FH42" i="49"/>
  <c r="AG213" i="49" s="1"/>
  <c r="DQ42" i="49"/>
  <c r="DL42" i="49"/>
  <c r="W213" i="49" s="1"/>
  <c r="BU42" i="49"/>
  <c r="BP42" i="49"/>
  <c r="M213" i="49" s="1"/>
  <c r="Y42" i="49"/>
  <c r="T42" i="49"/>
  <c r="C213" i="49" s="1"/>
  <c r="FL42" i="49"/>
  <c r="AI213" i="49" s="1"/>
  <c r="FG42" i="49"/>
  <c r="AF213" i="49" s="1"/>
  <c r="EK42" i="49"/>
  <c r="DP42" i="49"/>
  <c r="Y213" i="49" s="1"/>
  <c r="DK42" i="49"/>
  <c r="V213" i="49" s="1"/>
  <c r="CO42" i="49"/>
  <c r="BT42" i="49"/>
  <c r="O213" i="49" s="1"/>
  <c r="BO42" i="49"/>
  <c r="L213" i="49" s="1"/>
  <c r="AS42" i="49"/>
  <c r="X42" i="49"/>
  <c r="E213" i="49" s="1"/>
  <c r="S42" i="49"/>
  <c r="B213" i="49" s="1"/>
  <c r="EJ42" i="49"/>
  <c r="AB213" i="49" s="1"/>
  <c r="CS42" i="49"/>
  <c r="CN42" i="49"/>
  <c r="R213" i="49" s="1"/>
  <c r="AW42" i="49"/>
  <c r="AR42" i="49"/>
  <c r="H213" i="49" s="1"/>
  <c r="H140" i="7"/>
  <c r="N212" i="49"/>
  <c r="BR41" i="49"/>
  <c r="DS4" i="49"/>
  <c r="AA81" i="49" s="1"/>
  <c r="C51" i="7"/>
  <c r="G41" i="7"/>
  <c r="EG59" i="49" s="1"/>
  <c r="DS7" i="49"/>
  <c r="AA84" i="49" s="1"/>
  <c r="DS9" i="49"/>
  <c r="AA86" i="49" s="1"/>
  <c r="DS6" i="49"/>
  <c r="AA83" i="49" s="1"/>
  <c r="EA9" i="49"/>
  <c r="AA126" i="49" s="1"/>
  <c r="DS8" i="49"/>
  <c r="AA85" i="49" s="1"/>
  <c r="EA10" i="49"/>
  <c r="AA127" i="49" s="1"/>
  <c r="DS5" i="49"/>
  <c r="AA82" i="49" s="1"/>
  <c r="DS15" i="49"/>
  <c r="AA92" i="49" s="1"/>
  <c r="DS10" i="49"/>
  <c r="AA87" i="49" s="1"/>
  <c r="EA11" i="49"/>
  <c r="AA128" i="49" s="1"/>
  <c r="DS21" i="49"/>
  <c r="AA93" i="49" s="1"/>
  <c r="EA21" i="49"/>
  <c r="AA138" i="49" s="1"/>
  <c r="DS14" i="49"/>
  <c r="AA91" i="49" s="1"/>
  <c r="DS12" i="49"/>
  <c r="AA89" i="49" s="1"/>
  <c r="DS11" i="49"/>
  <c r="AA88" i="49" s="1"/>
  <c r="DS13" i="49"/>
  <c r="AA90" i="49" s="1"/>
  <c r="EI21" i="49"/>
  <c r="AA192" i="49" s="1"/>
  <c r="EA36" i="49"/>
  <c r="AA153" i="49" s="1"/>
  <c r="DS28" i="49"/>
  <c r="AA100" i="49" s="1"/>
  <c r="DS25" i="49"/>
  <c r="AA97" i="49" s="1"/>
  <c r="EA22" i="49"/>
  <c r="AA139" i="49" s="1"/>
  <c r="DS23" i="49"/>
  <c r="AA95" i="49" s="1"/>
  <c r="DS29" i="49"/>
  <c r="AA101" i="49" s="1"/>
  <c r="DS24" i="49"/>
  <c r="AA96" i="49" s="1"/>
  <c r="EI22" i="49"/>
  <c r="AA193" i="49" s="1"/>
  <c r="DS36" i="49"/>
  <c r="AA102" i="49" s="1"/>
  <c r="DS27" i="49"/>
  <c r="AA99" i="49" s="1"/>
  <c r="EA12" i="49"/>
  <c r="AA129" i="49" s="1"/>
  <c r="DS22" i="49"/>
  <c r="AA94" i="49" s="1"/>
  <c r="DS26" i="49"/>
  <c r="AA98" i="49" s="1"/>
  <c r="EI36" i="49"/>
  <c r="AA207" i="49" s="1"/>
  <c r="DS38" i="49"/>
  <c r="AA104" i="49" s="1"/>
  <c r="DS41" i="49"/>
  <c r="AA107" i="49" s="1"/>
  <c r="EA23" i="49"/>
  <c r="AA140" i="49" s="1"/>
  <c r="DS40" i="49"/>
  <c r="AA106" i="49" s="1"/>
  <c r="DS43" i="49"/>
  <c r="AA109" i="49" s="1"/>
  <c r="EA37" i="49"/>
  <c r="AA154" i="49" s="1"/>
  <c r="DS42" i="49"/>
  <c r="AA108" i="49" s="1"/>
  <c r="DS45" i="49"/>
  <c r="AA111" i="49" s="1"/>
  <c r="EI37" i="49"/>
  <c r="AA208" i="49" s="1"/>
  <c r="DS44" i="49"/>
  <c r="AA110" i="49" s="1"/>
  <c r="EI54" i="49"/>
  <c r="AA225" i="49" s="1"/>
  <c r="DS39" i="49"/>
  <c r="AA105" i="49" s="1"/>
  <c r="DS37" i="49"/>
  <c r="AA103" i="49" s="1"/>
  <c r="EA13" i="49"/>
  <c r="AA130" i="49" s="1"/>
  <c r="EA54" i="49"/>
  <c r="AA171" i="49" s="1"/>
  <c r="EI23" i="49"/>
  <c r="AA194" i="49" s="1"/>
  <c r="DS46" i="49"/>
  <c r="AA112" i="49" s="1"/>
  <c r="DS54" i="49"/>
  <c r="AA113" i="49" s="1"/>
  <c r="DS58" i="49"/>
  <c r="AA117" i="49" s="1"/>
  <c r="EA38" i="49"/>
  <c r="AA155" i="49" s="1"/>
  <c r="EA24" i="49"/>
  <c r="AA141" i="49" s="1"/>
  <c r="DS59" i="49"/>
  <c r="AA118" i="49" s="1"/>
  <c r="DS66" i="49"/>
  <c r="AA125" i="49" s="1"/>
  <c r="DS55" i="49"/>
  <c r="AA114" i="49" s="1"/>
  <c r="DS62" i="49"/>
  <c r="AA121" i="49" s="1"/>
  <c r="DS57" i="49"/>
  <c r="AA116" i="49" s="1"/>
  <c r="DS60" i="49"/>
  <c r="AA119" i="49" s="1"/>
  <c r="EA55" i="49"/>
  <c r="AA172" i="49" s="1"/>
  <c r="DS61" i="49"/>
  <c r="AA120" i="49" s="1"/>
  <c r="DS64" i="49"/>
  <c r="AA123" i="49" s="1"/>
  <c r="EI24" i="49"/>
  <c r="AA195" i="49" s="1"/>
  <c r="EI38" i="49"/>
  <c r="AA209" i="49" s="1"/>
  <c r="DS63" i="49"/>
  <c r="AA122" i="49" s="1"/>
  <c r="DS65" i="49"/>
  <c r="AA124" i="49" s="1"/>
  <c r="EA14" i="49"/>
  <c r="AA131" i="49" s="1"/>
  <c r="EI55" i="49"/>
  <c r="AA226" i="49" s="1"/>
  <c r="DS56" i="49"/>
  <c r="AA115" i="49" s="1"/>
  <c r="EI39" i="49"/>
  <c r="AA210" i="49" s="1"/>
  <c r="EI56" i="49"/>
  <c r="AA227" i="49" s="1"/>
  <c r="EA25" i="49"/>
  <c r="AA142" i="49" s="1"/>
  <c r="EI25" i="49"/>
  <c r="AA196" i="49" s="1"/>
  <c r="EA56" i="49"/>
  <c r="AA173" i="49" s="1"/>
  <c r="EA15" i="49"/>
  <c r="AA132" i="49" s="1"/>
  <c r="EA39" i="49"/>
  <c r="AA156" i="49" s="1"/>
  <c r="EA26" i="49"/>
  <c r="AA143" i="49" s="1"/>
  <c r="EI40" i="49"/>
  <c r="AA211" i="49" s="1"/>
  <c r="EA16" i="49"/>
  <c r="AA133" i="49" s="1"/>
  <c r="EA40" i="49"/>
  <c r="AA157" i="49" s="1"/>
  <c r="EI26" i="49"/>
  <c r="AA197" i="49" s="1"/>
  <c r="EI57" i="49"/>
  <c r="AA228" i="49" s="1"/>
  <c r="EA57" i="49"/>
  <c r="AA174" i="49" s="1"/>
  <c r="Z15" i="25"/>
  <c r="AB14" i="25"/>
  <c r="AC14" i="25" s="1"/>
  <c r="AA14" i="25"/>
  <c r="P83" i="7"/>
  <c r="T83" i="7"/>
  <c r="T58" i="49"/>
  <c r="C229" i="49" s="1"/>
  <c r="D229" i="49"/>
  <c r="V58" i="49"/>
  <c r="CM58" i="49"/>
  <c r="Q229" i="49" s="1"/>
  <c r="CN58" i="49"/>
  <c r="R229" i="49" s="1"/>
  <c r="AC229" i="49"/>
  <c r="EL58" i="49"/>
  <c r="L58" i="49"/>
  <c r="C175" i="49" s="1"/>
  <c r="DD58" i="49"/>
  <c r="W175" i="49" s="1"/>
  <c r="D175" i="49"/>
  <c r="N58" i="49"/>
  <c r="CE58" i="49"/>
  <c r="Q175" i="49" s="1"/>
  <c r="B26" i="41"/>
  <c r="N66" i="7" l="1"/>
  <c r="N64" i="7"/>
  <c r="N59" i="7"/>
  <c r="N57" i="7"/>
  <c r="H51" i="7"/>
  <c r="BT23" i="7"/>
  <c r="BT19" i="7"/>
  <c r="BT42" i="7" s="1"/>
  <c r="BT15" i="7"/>
  <c r="BT12" i="7"/>
  <c r="BT37" i="7" s="1"/>
  <c r="BT10" i="7"/>
  <c r="BT36" i="7" s="1"/>
  <c r="BT4" i="7"/>
  <c r="N67" i="7"/>
  <c r="N62" i="7"/>
  <c r="N60" i="7"/>
  <c r="BT26" i="7"/>
  <c r="BT24" i="7"/>
  <c r="BT20" i="7"/>
  <c r="ED10" i="7" s="1"/>
  <c r="BT16" i="7"/>
  <c r="N87" i="7"/>
  <c r="N86" i="7"/>
  <c r="N85" i="7"/>
  <c r="N84" i="7"/>
  <c r="N83" i="7"/>
  <c r="N82" i="7"/>
  <c r="N81" i="7"/>
  <c r="N77" i="7"/>
  <c r="V77" i="7" s="1"/>
  <c r="N76" i="7"/>
  <c r="V76" i="7" s="1"/>
  <c r="N75" i="7"/>
  <c r="V75" i="7" s="1"/>
  <c r="N74" i="7"/>
  <c r="V74" i="7" s="1"/>
  <c r="N73" i="7"/>
  <c r="V73" i="7" s="1"/>
  <c r="N72" i="7"/>
  <c r="V72" i="7" s="1"/>
  <c r="N71" i="7"/>
  <c r="V71" i="7" s="1"/>
  <c r="N65" i="7"/>
  <c r="N58" i="7"/>
  <c r="BT21" i="7"/>
  <c r="BT17" i="7"/>
  <c r="BT40" i="7" s="1"/>
  <c r="BT13" i="7"/>
  <c r="BT38" i="7" s="1"/>
  <c r="BT11" i="7"/>
  <c r="ED5" i="7" s="1"/>
  <c r="BT9" i="7"/>
  <c r="BT35" i="7" s="1"/>
  <c r="BT8" i="7"/>
  <c r="BT34" i="7" s="1"/>
  <c r="BT7" i="7"/>
  <c r="ED4" i="7" s="1"/>
  <c r="BT6" i="7"/>
  <c r="BT33" i="7" s="1"/>
  <c r="BT5" i="7"/>
  <c r="BT32" i="7" s="1"/>
  <c r="R76" i="7"/>
  <c r="R75" i="7"/>
  <c r="R74" i="7"/>
  <c r="R72" i="7"/>
  <c r="R71" i="7"/>
  <c r="N63" i="7"/>
  <c r="N61" i="7"/>
  <c r="N56" i="7"/>
  <c r="BT27" i="7"/>
  <c r="ED15" i="7" s="1"/>
  <c r="BT25" i="7"/>
  <c r="BT22" i="7"/>
  <c r="ED9" i="7" s="1"/>
  <c r="BT18" i="7"/>
  <c r="BT41" i="7" s="1"/>
  <c r="BT14" i="7"/>
  <c r="BT39" i="7" s="1"/>
  <c r="FL43" i="49"/>
  <c r="AI214" i="49" s="1"/>
  <c r="FG43" i="49"/>
  <c r="AF214" i="49" s="1"/>
  <c r="EK43" i="49"/>
  <c r="DP43" i="49"/>
  <c r="Y214" i="49" s="1"/>
  <c r="DK43" i="49"/>
  <c r="V214" i="49" s="1"/>
  <c r="CO43" i="49"/>
  <c r="BT43" i="49"/>
  <c r="O214" i="49" s="1"/>
  <c r="BO43" i="49"/>
  <c r="L214" i="49" s="1"/>
  <c r="AS43" i="49"/>
  <c r="X43" i="49"/>
  <c r="E214" i="49" s="1"/>
  <c r="S43" i="49"/>
  <c r="B214" i="49" s="1"/>
  <c r="EO43" i="49"/>
  <c r="EJ43" i="49"/>
  <c r="AB214" i="49" s="1"/>
  <c r="CS43" i="49"/>
  <c r="CN43" i="49"/>
  <c r="R214" i="49" s="1"/>
  <c r="AW43" i="49"/>
  <c r="AR43" i="49"/>
  <c r="H214" i="49" s="1"/>
  <c r="FI43" i="49"/>
  <c r="EN43" i="49"/>
  <c r="AD214" i="49" s="1"/>
  <c r="EI43" i="49"/>
  <c r="AA214" i="49" s="1"/>
  <c r="DM43" i="49"/>
  <c r="CR43" i="49"/>
  <c r="T214" i="49" s="1"/>
  <c r="CM43" i="49"/>
  <c r="Q214" i="49" s="1"/>
  <c r="BQ43" i="49"/>
  <c r="AV43" i="49"/>
  <c r="J214" i="49" s="1"/>
  <c r="AQ43" i="49"/>
  <c r="G214" i="49" s="1"/>
  <c r="U43" i="49"/>
  <c r="FM43" i="49"/>
  <c r="FH43" i="49"/>
  <c r="AG214" i="49" s="1"/>
  <c r="DQ43" i="49"/>
  <c r="DL43" i="49"/>
  <c r="W214" i="49" s="1"/>
  <c r="BU43" i="49"/>
  <c r="BP43" i="49"/>
  <c r="M214" i="49" s="1"/>
  <c r="Y43" i="49"/>
  <c r="T43" i="49"/>
  <c r="C214" i="49" s="1"/>
  <c r="H141" i="7"/>
  <c r="S213" i="49"/>
  <c r="CP42" i="49"/>
  <c r="X213" i="49"/>
  <c r="DN42" i="49"/>
  <c r="T13" i="26"/>
  <c r="U13" i="26" s="1"/>
  <c r="W12" i="26"/>
  <c r="S12" i="26"/>
  <c r="V12" i="26"/>
  <c r="Y12" i="26"/>
  <c r="X135" i="49"/>
  <c r="DF18" i="49"/>
  <c r="EG19" i="49"/>
  <c r="EB19" i="49"/>
  <c r="AB136" i="49" s="1"/>
  <c r="CK19" i="49"/>
  <c r="CF19" i="49"/>
  <c r="R136" i="49" s="1"/>
  <c r="AO19" i="49"/>
  <c r="AJ19" i="49"/>
  <c r="H136" i="49" s="1"/>
  <c r="FA19" i="49"/>
  <c r="EF19" i="49"/>
  <c r="AD136" i="49" s="1"/>
  <c r="EA19" i="49"/>
  <c r="AA136" i="49" s="1"/>
  <c r="DE19" i="49"/>
  <c r="CJ19" i="49"/>
  <c r="T136" i="49" s="1"/>
  <c r="CE19" i="49"/>
  <c r="Q136" i="49" s="1"/>
  <c r="BI19" i="49"/>
  <c r="AN19" i="49"/>
  <c r="J136" i="49" s="1"/>
  <c r="AI19" i="49"/>
  <c r="G136" i="49" s="1"/>
  <c r="M19" i="49"/>
  <c r="F117" i="7"/>
  <c r="FE19" i="49"/>
  <c r="EZ19" i="49"/>
  <c r="AG136" i="49" s="1"/>
  <c r="DI19" i="49"/>
  <c r="DD19" i="49"/>
  <c r="W136" i="49" s="1"/>
  <c r="BM19" i="49"/>
  <c r="BH19" i="49"/>
  <c r="M136" i="49" s="1"/>
  <c r="Q19" i="49"/>
  <c r="L19" i="49"/>
  <c r="C136" i="49" s="1"/>
  <c r="FD19" i="49"/>
  <c r="AI136" i="49" s="1"/>
  <c r="EY19" i="49"/>
  <c r="AF136" i="49" s="1"/>
  <c r="EC19" i="49"/>
  <c r="DH19" i="49"/>
  <c r="Y136" i="49" s="1"/>
  <c r="DC19" i="49"/>
  <c r="V136" i="49" s="1"/>
  <c r="CG19" i="49"/>
  <c r="BL19" i="49"/>
  <c r="O136" i="49" s="1"/>
  <c r="BG19" i="49"/>
  <c r="L136" i="49" s="1"/>
  <c r="AK19" i="49"/>
  <c r="P19" i="49"/>
  <c r="E136" i="49" s="1"/>
  <c r="K19" i="49"/>
  <c r="B136" i="49" s="1"/>
  <c r="S135" i="49"/>
  <c r="CH18" i="49"/>
  <c r="FL29" i="49"/>
  <c r="AI200" i="49" s="1"/>
  <c r="FG29" i="49"/>
  <c r="AF200" i="49" s="1"/>
  <c r="EK29" i="49"/>
  <c r="DP29" i="49"/>
  <c r="Y200" i="49" s="1"/>
  <c r="DK29" i="49"/>
  <c r="V200" i="49" s="1"/>
  <c r="CO29" i="49"/>
  <c r="BT29" i="49"/>
  <c r="O200" i="49" s="1"/>
  <c r="BO29" i="49"/>
  <c r="L200" i="49" s="1"/>
  <c r="AS29" i="49"/>
  <c r="X29" i="49"/>
  <c r="E200" i="49" s="1"/>
  <c r="S29" i="49"/>
  <c r="B200" i="49" s="1"/>
  <c r="EO29" i="49"/>
  <c r="EJ29" i="49"/>
  <c r="AB200" i="49" s="1"/>
  <c r="CS29" i="49"/>
  <c r="CN29" i="49"/>
  <c r="R200" i="49" s="1"/>
  <c r="AW29" i="49"/>
  <c r="AR29" i="49"/>
  <c r="H200" i="49" s="1"/>
  <c r="FI29" i="49"/>
  <c r="EN29" i="49"/>
  <c r="AD200" i="49" s="1"/>
  <c r="EI29" i="49"/>
  <c r="AA200" i="49" s="1"/>
  <c r="DM29" i="49"/>
  <c r="CR29" i="49"/>
  <c r="T200" i="49" s="1"/>
  <c r="CM29" i="49"/>
  <c r="Q200" i="49" s="1"/>
  <c r="BQ29" i="49"/>
  <c r="AV29" i="49"/>
  <c r="J200" i="49" s="1"/>
  <c r="AQ29" i="49"/>
  <c r="G200" i="49" s="1"/>
  <c r="U29" i="49"/>
  <c r="FM29" i="49"/>
  <c r="FH29" i="49"/>
  <c r="AG200" i="49" s="1"/>
  <c r="DQ29" i="49"/>
  <c r="DL29" i="49"/>
  <c r="W200" i="49" s="1"/>
  <c r="BU29" i="49"/>
  <c r="BP29" i="49"/>
  <c r="M200" i="49" s="1"/>
  <c r="Y29" i="49"/>
  <c r="T29" i="49"/>
  <c r="C200" i="49" s="1"/>
  <c r="H127" i="7"/>
  <c r="S199" i="49"/>
  <c r="CP28" i="49"/>
  <c r="X199" i="49"/>
  <c r="DN28" i="49"/>
  <c r="AG17" i="7"/>
  <c r="AG40" i="7" s="1"/>
  <c r="AG9" i="7"/>
  <c r="AG35" i="7" s="1"/>
  <c r="AG10" i="7"/>
  <c r="AG36" i="7" s="1"/>
  <c r="AG12" i="7"/>
  <c r="AG37" i="7" s="1"/>
  <c r="AG4" i="7"/>
  <c r="AG31" i="7" s="1"/>
  <c r="AG7" i="7"/>
  <c r="CL4" i="7" s="1"/>
  <c r="AG5" i="7"/>
  <c r="AG32" i="7" s="1"/>
  <c r="AG6" i="7"/>
  <c r="AG33" i="7" s="1"/>
  <c r="AG27" i="7"/>
  <c r="AG14" i="7"/>
  <c r="AG39" i="7" s="1"/>
  <c r="AG18" i="7"/>
  <c r="AG41" i="7" s="1"/>
  <c r="AG13" i="7"/>
  <c r="AG38" i="7" s="1"/>
  <c r="AG19" i="7"/>
  <c r="AG42" i="7" s="1"/>
  <c r="AG8" i="7"/>
  <c r="AG34" i="7" s="1"/>
  <c r="AG23" i="7"/>
  <c r="CL13" i="7" s="1"/>
  <c r="AG24" i="7"/>
  <c r="CL11" i="7" s="1"/>
  <c r="AG21" i="7"/>
  <c r="CL8" i="7" s="1"/>
  <c r="AG22" i="7"/>
  <c r="CL9" i="7" s="1"/>
  <c r="AG11" i="7"/>
  <c r="CL5" i="7" s="1"/>
  <c r="AG26" i="7"/>
  <c r="CL14" i="7" s="1"/>
  <c r="AG15" i="7"/>
  <c r="CL7" i="7" s="1"/>
  <c r="AG16" i="7"/>
  <c r="CL6" i="7" s="1"/>
  <c r="AG25" i="7"/>
  <c r="CL12" i="7" s="1"/>
  <c r="AG20" i="7"/>
  <c r="CL10" i="7" s="1"/>
  <c r="FL60" i="49"/>
  <c r="AI231" i="49" s="1"/>
  <c r="FG60" i="49"/>
  <c r="AF231" i="49" s="1"/>
  <c r="EK60" i="49"/>
  <c r="DP60" i="49"/>
  <c r="Y231" i="49" s="1"/>
  <c r="DK60" i="49"/>
  <c r="V231" i="49" s="1"/>
  <c r="CO60" i="49"/>
  <c r="BT60" i="49"/>
  <c r="O231" i="49" s="1"/>
  <c r="BO60" i="49"/>
  <c r="L231" i="49" s="1"/>
  <c r="AS60" i="49"/>
  <c r="X60" i="49"/>
  <c r="E231" i="49" s="1"/>
  <c r="S60" i="49"/>
  <c r="B231" i="49" s="1"/>
  <c r="EO60" i="49"/>
  <c r="EJ60" i="49"/>
  <c r="AB231" i="49" s="1"/>
  <c r="CS60" i="49"/>
  <c r="CN60" i="49"/>
  <c r="R231" i="49" s="1"/>
  <c r="AW60" i="49"/>
  <c r="AR60" i="49"/>
  <c r="H231" i="49" s="1"/>
  <c r="FI60" i="49"/>
  <c r="EN60" i="49"/>
  <c r="AD231" i="49" s="1"/>
  <c r="EI60" i="49"/>
  <c r="AA231" i="49" s="1"/>
  <c r="DM60" i="49"/>
  <c r="CR60" i="49"/>
  <c r="T231" i="49" s="1"/>
  <c r="CM60" i="49"/>
  <c r="Q231" i="49" s="1"/>
  <c r="BQ60" i="49"/>
  <c r="AV60" i="49"/>
  <c r="J231" i="49" s="1"/>
  <c r="AQ60" i="49"/>
  <c r="G231" i="49" s="1"/>
  <c r="U60" i="49"/>
  <c r="FM60" i="49"/>
  <c r="FH60" i="49"/>
  <c r="AG231" i="49" s="1"/>
  <c r="DQ60" i="49"/>
  <c r="DL60" i="49"/>
  <c r="W231" i="49" s="1"/>
  <c r="BU60" i="49"/>
  <c r="BP60" i="49"/>
  <c r="M231" i="49" s="1"/>
  <c r="Y60" i="49"/>
  <c r="T60" i="49"/>
  <c r="C231" i="49" s="1"/>
  <c r="H158" i="7"/>
  <c r="S230" i="49"/>
  <c r="CP59" i="49"/>
  <c r="X230" i="49"/>
  <c r="DN59" i="49"/>
  <c r="L75" i="7"/>
  <c r="P75" i="7" s="1"/>
  <c r="T75" i="7"/>
  <c r="CB27" i="7"/>
  <c r="EM15" i="7" s="1"/>
  <c r="CB25" i="7"/>
  <c r="CB22" i="7"/>
  <c r="CB18" i="7"/>
  <c r="CB41" i="7" s="1"/>
  <c r="CB14" i="7"/>
  <c r="CB39" i="7" s="1"/>
  <c r="CB23" i="7"/>
  <c r="CB19" i="7"/>
  <c r="CB42" i="7" s="1"/>
  <c r="CB15" i="7"/>
  <c r="CB12" i="7"/>
  <c r="CB37" i="7" s="1"/>
  <c r="CB10" i="7"/>
  <c r="CB36" i="7" s="1"/>
  <c r="CB4" i="7"/>
  <c r="CB31" i="7" s="1"/>
  <c r="H52" i="7"/>
  <c r="CB26" i="7"/>
  <c r="EM14" i="7" s="1"/>
  <c r="CB24" i="7"/>
  <c r="EM11" i="7" s="1"/>
  <c r="CB20" i="7"/>
  <c r="CB16" i="7"/>
  <c r="CB21" i="7"/>
  <c r="CB17" i="7"/>
  <c r="CB40" i="7" s="1"/>
  <c r="CB13" i="7"/>
  <c r="CB38" i="7" s="1"/>
  <c r="CB11" i="7"/>
  <c r="CB9" i="7"/>
  <c r="CB35" i="7" s="1"/>
  <c r="CB8" i="7"/>
  <c r="CB34" i="7" s="1"/>
  <c r="CB7" i="7"/>
  <c r="EM4" i="7" s="1"/>
  <c r="CB6" i="7"/>
  <c r="CB33" i="7" s="1"/>
  <c r="CB5" i="7"/>
  <c r="CB32" i="7" s="1"/>
  <c r="CC4" i="49"/>
  <c r="CC9" i="49"/>
  <c r="CC5" i="49"/>
  <c r="CK9" i="49"/>
  <c r="CK10" i="49"/>
  <c r="CC7" i="49"/>
  <c r="CC6" i="49"/>
  <c r="CC8" i="49"/>
  <c r="CC12" i="49"/>
  <c r="CC15" i="49"/>
  <c r="CC10" i="49"/>
  <c r="CC13" i="49"/>
  <c r="CC14" i="49"/>
  <c r="CC21" i="49"/>
  <c r="CK11" i="49"/>
  <c r="CS21" i="49"/>
  <c r="CK21" i="49"/>
  <c r="CC11" i="49"/>
  <c r="CC24" i="49"/>
  <c r="CS22" i="49"/>
  <c r="CC26" i="49"/>
  <c r="CS36" i="49"/>
  <c r="CC27" i="49"/>
  <c r="CC22" i="49"/>
  <c r="CC28" i="49"/>
  <c r="CK36" i="49"/>
  <c r="CC25" i="49"/>
  <c r="CK12" i="49"/>
  <c r="CK22" i="49"/>
  <c r="CC23" i="49"/>
  <c r="CC36" i="49"/>
  <c r="CC29" i="49"/>
  <c r="CS54" i="49"/>
  <c r="CK13" i="49"/>
  <c r="CK54" i="49"/>
  <c r="CC46" i="49"/>
  <c r="CC39" i="49"/>
  <c r="CC37" i="49"/>
  <c r="CC38" i="49"/>
  <c r="CS23" i="49"/>
  <c r="CC54" i="49"/>
  <c r="CK23" i="49"/>
  <c r="CC40" i="49"/>
  <c r="CK37" i="49"/>
  <c r="CS37" i="49"/>
  <c r="CC41" i="49"/>
  <c r="CC42" i="49"/>
  <c r="CC43" i="49"/>
  <c r="CC44" i="49"/>
  <c r="CC45" i="49"/>
  <c r="CC64" i="49"/>
  <c r="CC65" i="49"/>
  <c r="CS55" i="49"/>
  <c r="CC59" i="49"/>
  <c r="CC56" i="49"/>
  <c r="CC58" i="49"/>
  <c r="CC55" i="49"/>
  <c r="CK38" i="49"/>
  <c r="CK24" i="49"/>
  <c r="CC66" i="49"/>
  <c r="CC57" i="49"/>
  <c r="CS38" i="49"/>
  <c r="CK55" i="49"/>
  <c r="CC61" i="49"/>
  <c r="CS24" i="49"/>
  <c r="CC62" i="49"/>
  <c r="CK14" i="49"/>
  <c r="CC63" i="49"/>
  <c r="CC60" i="49"/>
  <c r="CK25" i="49"/>
  <c r="CS25" i="49"/>
  <c r="CK56" i="49"/>
  <c r="CS56" i="49"/>
  <c r="CS39" i="49"/>
  <c r="CK15" i="49"/>
  <c r="CK39" i="49"/>
  <c r="CK40" i="49"/>
  <c r="CK26" i="49"/>
  <c r="CS26" i="49"/>
  <c r="CK57" i="49"/>
  <c r="CS40" i="49"/>
  <c r="CS57" i="49"/>
  <c r="CK16" i="49"/>
  <c r="CK58" i="49"/>
  <c r="CS41" i="49"/>
  <c r="CS27" i="49"/>
  <c r="CK27" i="49"/>
  <c r="CS58" i="49"/>
  <c r="CK41" i="49"/>
  <c r="CK17" i="49"/>
  <c r="J25" i="41"/>
  <c r="L25" i="41" s="1"/>
  <c r="I25" i="41"/>
  <c r="K25" i="41" s="1"/>
  <c r="AH176" i="49"/>
  <c r="FB59" i="49"/>
  <c r="CK59" i="49"/>
  <c r="S176" i="49"/>
  <c r="CH59" i="49"/>
  <c r="FA29" i="49"/>
  <c r="EF29" i="49"/>
  <c r="AD146" i="49" s="1"/>
  <c r="EA29" i="49"/>
  <c r="AA146" i="49" s="1"/>
  <c r="DE29" i="49"/>
  <c r="CJ29" i="49"/>
  <c r="T146" i="49" s="1"/>
  <c r="CE29" i="49"/>
  <c r="Q146" i="49" s="1"/>
  <c r="BI29" i="49"/>
  <c r="AN29" i="49"/>
  <c r="J146" i="49" s="1"/>
  <c r="AI29" i="49"/>
  <c r="G146" i="49" s="1"/>
  <c r="M29" i="49"/>
  <c r="FE29" i="49"/>
  <c r="EZ29" i="49"/>
  <c r="AG146" i="49" s="1"/>
  <c r="DI29" i="49"/>
  <c r="DD29" i="49"/>
  <c r="W146" i="49" s="1"/>
  <c r="BM29" i="49"/>
  <c r="BH29" i="49"/>
  <c r="M146" i="49" s="1"/>
  <c r="Q29" i="49"/>
  <c r="L29" i="49"/>
  <c r="C146" i="49" s="1"/>
  <c r="FD29" i="49"/>
  <c r="AI146" i="49" s="1"/>
  <c r="EY29" i="49"/>
  <c r="AF146" i="49" s="1"/>
  <c r="EC29" i="49"/>
  <c r="DH29" i="49"/>
  <c r="Y146" i="49" s="1"/>
  <c r="DC29" i="49"/>
  <c r="V146" i="49" s="1"/>
  <c r="CG29" i="49"/>
  <c r="BL29" i="49"/>
  <c r="O146" i="49" s="1"/>
  <c r="BG29" i="49"/>
  <c r="L146" i="49" s="1"/>
  <c r="AK29" i="49"/>
  <c r="P29" i="49"/>
  <c r="E146" i="49" s="1"/>
  <c r="K29" i="49"/>
  <c r="B146" i="49" s="1"/>
  <c r="EG29" i="49"/>
  <c r="EB29" i="49"/>
  <c r="AB146" i="49" s="1"/>
  <c r="CK29" i="49"/>
  <c r="CF29" i="49"/>
  <c r="R146" i="49" s="1"/>
  <c r="AO29" i="49"/>
  <c r="AJ29" i="49"/>
  <c r="H146" i="49" s="1"/>
  <c r="F127" i="7"/>
  <c r="FE28" i="49"/>
  <c r="N145" i="49"/>
  <c r="BJ28" i="49"/>
  <c r="EG28" i="49"/>
  <c r="FA43" i="49"/>
  <c r="EF43" i="49"/>
  <c r="AD160" i="49" s="1"/>
  <c r="EA43" i="49"/>
  <c r="AA160" i="49" s="1"/>
  <c r="DE43" i="49"/>
  <c r="CJ43" i="49"/>
  <c r="T160" i="49" s="1"/>
  <c r="CE43" i="49"/>
  <c r="Q160" i="49" s="1"/>
  <c r="BI43" i="49"/>
  <c r="AN43" i="49"/>
  <c r="J160" i="49" s="1"/>
  <c r="AI43" i="49"/>
  <c r="G160" i="49" s="1"/>
  <c r="M43" i="49"/>
  <c r="FE43" i="49"/>
  <c r="EZ43" i="49"/>
  <c r="AG160" i="49" s="1"/>
  <c r="DI43" i="49"/>
  <c r="DD43" i="49"/>
  <c r="W160" i="49" s="1"/>
  <c r="BM43" i="49"/>
  <c r="BH43" i="49"/>
  <c r="M160" i="49" s="1"/>
  <c r="Q43" i="49"/>
  <c r="L43" i="49"/>
  <c r="C160" i="49" s="1"/>
  <c r="FD43" i="49"/>
  <c r="AI160" i="49" s="1"/>
  <c r="EY43" i="49"/>
  <c r="AF160" i="49" s="1"/>
  <c r="EC43" i="49"/>
  <c r="DH43" i="49"/>
  <c r="Y160" i="49" s="1"/>
  <c r="DC43" i="49"/>
  <c r="V160" i="49" s="1"/>
  <c r="CG43" i="49"/>
  <c r="BL43" i="49"/>
  <c r="O160" i="49" s="1"/>
  <c r="BG43" i="49"/>
  <c r="L160" i="49" s="1"/>
  <c r="AK43" i="49"/>
  <c r="P43" i="49"/>
  <c r="E160" i="49" s="1"/>
  <c r="K43" i="49"/>
  <c r="B160" i="49" s="1"/>
  <c r="EG43" i="49"/>
  <c r="EB43" i="49"/>
  <c r="AB160" i="49" s="1"/>
  <c r="CK43" i="49"/>
  <c r="CF43" i="49"/>
  <c r="R160" i="49" s="1"/>
  <c r="AO43" i="49"/>
  <c r="AJ43" i="49"/>
  <c r="H160" i="49" s="1"/>
  <c r="F141" i="7"/>
  <c r="N159" i="49"/>
  <c r="BJ42" i="49"/>
  <c r="EG42" i="49"/>
  <c r="CU6" i="7"/>
  <c r="AO32" i="7"/>
  <c r="BH10" i="26"/>
  <c r="BX10" i="26"/>
  <c r="BY10" i="26"/>
  <c r="F26" i="41"/>
  <c r="C26" i="41"/>
  <c r="I213" i="49"/>
  <c r="AT42" i="49"/>
  <c r="N213" i="49"/>
  <c r="BR42" i="49"/>
  <c r="N135" i="49"/>
  <c r="BJ18" i="49"/>
  <c r="I135" i="49"/>
  <c r="AL18" i="49"/>
  <c r="I199" i="49"/>
  <c r="AT28" i="49"/>
  <c r="N199" i="49"/>
  <c r="BR28" i="49"/>
  <c r="Q121" i="32"/>
  <c r="O122" i="32"/>
  <c r="I230" i="49"/>
  <c r="AT59" i="49"/>
  <c r="N230" i="49"/>
  <c r="BR59" i="49"/>
  <c r="R119" i="32"/>
  <c r="P120" i="32"/>
  <c r="P85" i="7"/>
  <c r="T85" i="7"/>
  <c r="EW4" i="49"/>
  <c r="EW5" i="49"/>
  <c r="EW9" i="49"/>
  <c r="EW7" i="49"/>
  <c r="FE10" i="49"/>
  <c r="EW8" i="49"/>
  <c r="EW6" i="49"/>
  <c r="FE9" i="49"/>
  <c r="FE11" i="49"/>
  <c r="FE21" i="49"/>
  <c r="EW12" i="49"/>
  <c r="EW11" i="49"/>
  <c r="EW15" i="49"/>
  <c r="EW10" i="49"/>
  <c r="EW13" i="49"/>
  <c r="EW14" i="49"/>
  <c r="FM21" i="49"/>
  <c r="EW21" i="49"/>
  <c r="EW22" i="49"/>
  <c r="FE36" i="49"/>
  <c r="EW28" i="49"/>
  <c r="EW25" i="49"/>
  <c r="EW23" i="49"/>
  <c r="EW29" i="49"/>
  <c r="FE12" i="49"/>
  <c r="FM22" i="49"/>
  <c r="FE22" i="49"/>
  <c r="EW36" i="49"/>
  <c r="EW27" i="49"/>
  <c r="EW24" i="49"/>
  <c r="EW26" i="49"/>
  <c r="FM36" i="49"/>
  <c r="EW38" i="49"/>
  <c r="EW41" i="49"/>
  <c r="FM23" i="49"/>
  <c r="FE23" i="49"/>
  <c r="EW40" i="49"/>
  <c r="EW43" i="49"/>
  <c r="FE37" i="49"/>
  <c r="EW42" i="49"/>
  <c r="EW45" i="49"/>
  <c r="FM37" i="49"/>
  <c r="EW44" i="49"/>
  <c r="FM54" i="49"/>
  <c r="FE13" i="49"/>
  <c r="EW39" i="49"/>
  <c r="EW37" i="49"/>
  <c r="FE54" i="49"/>
  <c r="EW46" i="49"/>
  <c r="EW54" i="49"/>
  <c r="EW58" i="49"/>
  <c r="FE38" i="49"/>
  <c r="FE24" i="49"/>
  <c r="EW59" i="49"/>
  <c r="EW66" i="49"/>
  <c r="EW55" i="49"/>
  <c r="EW62" i="49"/>
  <c r="FE14" i="49"/>
  <c r="EW57" i="49"/>
  <c r="EW60" i="49"/>
  <c r="FE55" i="49"/>
  <c r="EW61" i="49"/>
  <c r="EW64" i="49"/>
  <c r="FM24" i="49"/>
  <c r="FM38" i="49"/>
  <c r="EW63" i="49"/>
  <c r="EW65" i="49"/>
  <c r="FM55" i="49"/>
  <c r="EW56" i="49"/>
  <c r="FM39" i="49"/>
  <c r="FE15" i="49"/>
  <c r="FM56" i="49"/>
  <c r="FE25" i="49"/>
  <c r="FM25" i="49"/>
  <c r="FE56" i="49"/>
  <c r="FE39" i="49"/>
  <c r="FE26" i="49"/>
  <c r="FM40" i="49"/>
  <c r="FE16" i="49"/>
  <c r="FE40" i="49"/>
  <c r="FM26" i="49"/>
  <c r="FM57" i="49"/>
  <c r="FE57" i="49"/>
  <c r="FM41" i="49"/>
  <c r="FM27" i="49"/>
  <c r="FE58" i="49"/>
  <c r="FM58" i="49"/>
  <c r="FE17" i="49"/>
  <c r="FE27" i="49"/>
  <c r="FE41" i="49"/>
  <c r="M63" i="7"/>
  <c r="M61" i="7"/>
  <c r="M56" i="7"/>
  <c r="H49" i="7"/>
  <c r="BD21" i="7"/>
  <c r="BD17" i="7"/>
  <c r="BD40" i="7" s="1"/>
  <c r="BD13" i="7"/>
  <c r="BD38" i="7" s="1"/>
  <c r="BD11" i="7"/>
  <c r="BD9" i="7"/>
  <c r="BD35" i="7" s="1"/>
  <c r="BD8" i="7"/>
  <c r="BD34" i="7" s="1"/>
  <c r="BD7" i="7"/>
  <c r="BD6" i="7"/>
  <c r="BD33" i="7" s="1"/>
  <c r="BD5" i="7"/>
  <c r="BD32" i="7" s="1"/>
  <c r="M66" i="7"/>
  <c r="P67" i="7" s="1"/>
  <c r="M64" i="7"/>
  <c r="M59" i="7"/>
  <c r="M57" i="7"/>
  <c r="BD27" i="7"/>
  <c r="DL15" i="7" s="1"/>
  <c r="BD25" i="7"/>
  <c r="BD22" i="7"/>
  <c r="BD18" i="7"/>
  <c r="BD41" i="7" s="1"/>
  <c r="BD14" i="7"/>
  <c r="BD39" i="7" s="1"/>
  <c r="M67" i="7"/>
  <c r="M62" i="7"/>
  <c r="M60" i="7"/>
  <c r="BD23" i="7"/>
  <c r="DL13" i="7" s="1"/>
  <c r="BD19" i="7"/>
  <c r="BD42" i="7" s="1"/>
  <c r="BD15" i="7"/>
  <c r="DL7" i="7" s="1"/>
  <c r="BD12" i="7"/>
  <c r="BD37" i="7" s="1"/>
  <c r="BD10" i="7"/>
  <c r="BD36" i="7" s="1"/>
  <c r="BD4" i="7"/>
  <c r="BD31" i="7" s="1"/>
  <c r="M87" i="7"/>
  <c r="M86" i="7"/>
  <c r="M85" i="7"/>
  <c r="M84" i="7"/>
  <c r="M83" i="7"/>
  <c r="M82" i="7"/>
  <c r="M81" i="7"/>
  <c r="M77" i="7"/>
  <c r="Q77" i="7" s="1"/>
  <c r="M76" i="7"/>
  <c r="Q76" i="7" s="1"/>
  <c r="M75" i="7"/>
  <c r="Q75" i="7" s="1"/>
  <c r="M74" i="7"/>
  <c r="Q74" i="7" s="1"/>
  <c r="M73" i="7"/>
  <c r="Q73" i="7" s="1"/>
  <c r="M72" i="7"/>
  <c r="Q72" i="7" s="1"/>
  <c r="M71" i="7"/>
  <c r="Q71" i="7" s="1"/>
  <c r="M65" i="7"/>
  <c r="M58" i="7"/>
  <c r="BD26" i="7"/>
  <c r="DL14" i="7" s="1"/>
  <c r="BD24" i="7"/>
  <c r="DL11" i="7" s="1"/>
  <c r="BD20" i="7"/>
  <c r="DL10" i="7" s="1"/>
  <c r="BD16" i="7"/>
  <c r="DL6" i="7" s="1"/>
  <c r="X176" i="49"/>
  <c r="DF59" i="49"/>
  <c r="I176" i="49"/>
  <c r="AL59" i="49"/>
  <c r="D145" i="49"/>
  <c r="N28" i="49"/>
  <c r="AC145" i="49"/>
  <c r="ED28" i="49"/>
  <c r="D159" i="49"/>
  <c r="N42" i="49"/>
  <c r="AC159" i="49"/>
  <c r="ED42" i="49"/>
  <c r="CU5" i="7"/>
  <c r="CU4" i="7"/>
  <c r="BK11" i="26"/>
  <c r="BV11" i="26"/>
  <c r="BL11" i="26"/>
  <c r="BI12" i="26" s="1"/>
  <c r="BJ12" i="26" s="1"/>
  <c r="BM10" i="26"/>
  <c r="EO42" i="49"/>
  <c r="D213" i="49"/>
  <c r="V42" i="49"/>
  <c r="D135" i="49"/>
  <c r="N18" i="49"/>
  <c r="EG18" i="49"/>
  <c r="EO28" i="49"/>
  <c r="D199" i="49"/>
  <c r="V28" i="49"/>
  <c r="EO59" i="49"/>
  <c r="D230" i="49"/>
  <c r="V59" i="49"/>
  <c r="P77" i="7"/>
  <c r="FA60" i="49"/>
  <c r="EF60" i="49"/>
  <c r="AD177" i="49" s="1"/>
  <c r="EA60" i="49"/>
  <c r="AA177" i="49" s="1"/>
  <c r="DE60" i="49"/>
  <c r="CJ60" i="49"/>
  <c r="T177" i="49" s="1"/>
  <c r="CE60" i="49"/>
  <c r="Q177" i="49" s="1"/>
  <c r="BI60" i="49"/>
  <c r="AN60" i="49"/>
  <c r="J177" i="49" s="1"/>
  <c r="AI60" i="49"/>
  <c r="G177" i="49" s="1"/>
  <c r="M60" i="49"/>
  <c r="FE60" i="49"/>
  <c r="EZ60" i="49"/>
  <c r="AG177" i="49" s="1"/>
  <c r="DI60" i="49"/>
  <c r="DD60" i="49"/>
  <c r="W177" i="49" s="1"/>
  <c r="BM60" i="49"/>
  <c r="BH60" i="49"/>
  <c r="M177" i="49" s="1"/>
  <c r="Q60" i="49"/>
  <c r="L60" i="49"/>
  <c r="C177" i="49" s="1"/>
  <c r="FD60" i="49"/>
  <c r="AI177" i="49" s="1"/>
  <c r="EY60" i="49"/>
  <c r="AF177" i="49" s="1"/>
  <c r="EC60" i="49"/>
  <c r="DH60" i="49"/>
  <c r="Y177" i="49" s="1"/>
  <c r="DC60" i="49"/>
  <c r="V177" i="49" s="1"/>
  <c r="CG60" i="49"/>
  <c r="BL60" i="49"/>
  <c r="O177" i="49" s="1"/>
  <c r="BG60" i="49"/>
  <c r="L177" i="49" s="1"/>
  <c r="AK60" i="49"/>
  <c r="P60" i="49"/>
  <c r="E177" i="49" s="1"/>
  <c r="K60" i="49"/>
  <c r="B177" i="49" s="1"/>
  <c r="EG60" i="49"/>
  <c r="EB60" i="49"/>
  <c r="AB177" i="49" s="1"/>
  <c r="CK60" i="49"/>
  <c r="CF60" i="49"/>
  <c r="R177" i="49" s="1"/>
  <c r="AO60" i="49"/>
  <c r="AJ60" i="49"/>
  <c r="H177" i="49" s="1"/>
  <c r="F158" i="7"/>
  <c r="FE59" i="49"/>
  <c r="N176" i="49"/>
  <c r="BJ59" i="49"/>
  <c r="AG11" i="25"/>
  <c r="AI10" i="25"/>
  <c r="AE10" i="25"/>
  <c r="AF11" i="25"/>
  <c r="AW17" i="7"/>
  <c r="AW40" i="7" s="1"/>
  <c r="AW19" i="7"/>
  <c r="AW42" i="7" s="1"/>
  <c r="AW9" i="7"/>
  <c r="AW35" i="7" s="1"/>
  <c r="AW4" i="7"/>
  <c r="AW31" i="7" s="1"/>
  <c r="AW8" i="7"/>
  <c r="AW34" i="7" s="1"/>
  <c r="AW7" i="7"/>
  <c r="DD4" i="7" s="1"/>
  <c r="AW5" i="7"/>
  <c r="AW32" i="7" s="1"/>
  <c r="AW10" i="7"/>
  <c r="AW36" i="7" s="1"/>
  <c r="AW6" i="7"/>
  <c r="AW33" i="7" s="1"/>
  <c r="AW12" i="7"/>
  <c r="AW37" i="7" s="1"/>
  <c r="AW27" i="7"/>
  <c r="AW14" i="7"/>
  <c r="AW39" i="7" s="1"/>
  <c r="AW18" i="7"/>
  <c r="AW41" i="7" s="1"/>
  <c r="AW13" i="7"/>
  <c r="AW38" i="7" s="1"/>
  <c r="AW20" i="7"/>
  <c r="AW21" i="7"/>
  <c r="DD8" i="7" s="1"/>
  <c r="AW22" i="7"/>
  <c r="DD9" i="7" s="1"/>
  <c r="AW11" i="7"/>
  <c r="DD5" i="7" s="1"/>
  <c r="AW23" i="7"/>
  <c r="DD13" i="7" s="1"/>
  <c r="AW24" i="7"/>
  <c r="DD11" i="7" s="1"/>
  <c r="AW25" i="7"/>
  <c r="DD12" i="7" s="1"/>
  <c r="AW26" i="7"/>
  <c r="DD14" i="7" s="1"/>
  <c r="AW15" i="7"/>
  <c r="DD7" i="7" s="1"/>
  <c r="AW16" i="7"/>
  <c r="DD6" i="7" s="1"/>
  <c r="EN4" i="7"/>
  <c r="AH145" i="49"/>
  <c r="FB28" i="49"/>
  <c r="CK28" i="49"/>
  <c r="S145" i="49"/>
  <c r="CH28" i="49"/>
  <c r="AH159" i="49"/>
  <c r="FB42" i="49"/>
  <c r="CK42" i="49"/>
  <c r="S159" i="49"/>
  <c r="CH42" i="49"/>
  <c r="CU15" i="7"/>
  <c r="P2" i="43"/>
  <c r="R2" i="43" s="1"/>
  <c r="M8" i="43" s="1"/>
  <c r="AO31" i="7"/>
  <c r="BS10" i="26"/>
  <c r="BP10" i="26"/>
  <c r="BQ10" i="26"/>
  <c r="BR10" i="26"/>
  <c r="M13" i="34"/>
  <c r="J14" i="34" s="1"/>
  <c r="L13" i="34"/>
  <c r="Z16" i="25"/>
  <c r="AB15" i="25"/>
  <c r="AC15" i="25" s="1"/>
  <c r="AA15" i="25"/>
  <c r="DY4" i="49"/>
  <c r="DY9" i="49"/>
  <c r="DY8" i="49"/>
  <c r="DY6" i="49"/>
  <c r="DY7" i="49"/>
  <c r="EG9" i="49"/>
  <c r="EG10" i="49"/>
  <c r="DY5" i="49"/>
  <c r="DY12" i="49"/>
  <c r="DY11" i="49"/>
  <c r="DY15" i="49"/>
  <c r="DY10" i="49"/>
  <c r="DY13" i="49"/>
  <c r="DY14" i="49"/>
  <c r="EG21" i="49"/>
  <c r="DY21" i="49"/>
  <c r="EG11" i="49"/>
  <c r="EO21" i="49"/>
  <c r="EG36" i="49"/>
  <c r="DY25" i="49"/>
  <c r="EG22" i="49"/>
  <c r="DY23" i="49"/>
  <c r="DY36" i="49"/>
  <c r="DY29" i="49"/>
  <c r="DY24" i="49"/>
  <c r="EO22" i="49"/>
  <c r="DY26" i="49"/>
  <c r="EO36" i="49"/>
  <c r="DY27" i="49"/>
  <c r="EG12" i="49"/>
  <c r="DY22" i="49"/>
  <c r="DY28" i="49"/>
  <c r="DY41" i="49"/>
  <c r="EG13" i="49"/>
  <c r="DY42" i="49"/>
  <c r="DY43" i="49"/>
  <c r="EG37" i="49"/>
  <c r="DY44" i="49"/>
  <c r="DY45" i="49"/>
  <c r="EO37" i="49"/>
  <c r="EO54" i="49"/>
  <c r="EG54" i="49"/>
  <c r="DY46" i="49"/>
  <c r="DY39" i="49"/>
  <c r="DY37" i="49"/>
  <c r="DY38" i="49"/>
  <c r="EO23" i="49"/>
  <c r="DY54" i="49"/>
  <c r="EG23" i="49"/>
  <c r="DY40" i="49"/>
  <c r="DY58" i="49"/>
  <c r="DY55" i="49"/>
  <c r="EG38" i="49"/>
  <c r="EG24" i="49"/>
  <c r="DY66" i="49"/>
  <c r="DY57" i="49"/>
  <c r="DY61" i="49"/>
  <c r="EO24" i="49"/>
  <c r="DY62" i="49"/>
  <c r="EO38" i="49"/>
  <c r="DY63" i="49"/>
  <c r="DY60" i="49"/>
  <c r="EG55" i="49"/>
  <c r="DY64" i="49"/>
  <c r="DY65" i="49"/>
  <c r="EO55" i="49"/>
  <c r="DY59" i="49"/>
  <c r="DY56" i="49"/>
  <c r="EG14" i="49"/>
  <c r="EO25" i="49"/>
  <c r="EG56" i="49"/>
  <c r="EO56" i="49"/>
  <c r="EO39" i="49"/>
  <c r="EG39" i="49"/>
  <c r="EG25" i="49"/>
  <c r="EG15" i="49"/>
  <c r="EO40" i="49"/>
  <c r="EO57" i="49"/>
  <c r="EG16" i="49"/>
  <c r="EG40" i="49"/>
  <c r="EG26" i="49"/>
  <c r="EO26" i="49"/>
  <c r="EG57" i="49"/>
  <c r="EG58" i="49"/>
  <c r="EO41" i="49"/>
  <c r="EO27" i="49"/>
  <c r="EG27" i="49"/>
  <c r="EO58" i="49"/>
  <c r="EG41" i="49"/>
  <c r="EG17" i="49"/>
  <c r="AC213" i="49"/>
  <c r="EL42" i="49"/>
  <c r="AH213" i="49"/>
  <c r="FJ42" i="49"/>
  <c r="AH135" i="49"/>
  <c r="FB18" i="49"/>
  <c r="AC135" i="49"/>
  <c r="ED18" i="49"/>
  <c r="AC199" i="49"/>
  <c r="EL28" i="49"/>
  <c r="AH199" i="49"/>
  <c r="FJ28" i="49"/>
  <c r="AC230" i="49"/>
  <c r="EL59" i="49"/>
  <c r="AH230" i="49"/>
  <c r="FJ59" i="49"/>
  <c r="BU9" i="7"/>
  <c r="BU35" i="7" s="1"/>
  <c r="BU10" i="7"/>
  <c r="BU36" i="7" s="1"/>
  <c r="BU7" i="7"/>
  <c r="BU5" i="7"/>
  <c r="BU32" i="7" s="1"/>
  <c r="BU6" i="7"/>
  <c r="BU33" i="7" s="1"/>
  <c r="BU27" i="7"/>
  <c r="BU14" i="7"/>
  <c r="BU39" i="7" s="1"/>
  <c r="BU18" i="7"/>
  <c r="BU41" i="7" s="1"/>
  <c r="BU13" i="7"/>
  <c r="BU38" i="7" s="1"/>
  <c r="BU19" i="7"/>
  <c r="BU42" i="7" s="1"/>
  <c r="BU17" i="7"/>
  <c r="BU40" i="7" s="1"/>
  <c r="BU8" i="7"/>
  <c r="BU34" i="7" s="1"/>
  <c r="BU4" i="7"/>
  <c r="BU12" i="7"/>
  <c r="BU37" i="7" s="1"/>
  <c r="BU23" i="7"/>
  <c r="EE13" i="7" s="1"/>
  <c r="BU21" i="7"/>
  <c r="EE8" i="7" s="1"/>
  <c r="BU22" i="7"/>
  <c r="EE9" i="7" s="1"/>
  <c r="BU11" i="7"/>
  <c r="EE5" i="7" s="1"/>
  <c r="BU25" i="7"/>
  <c r="EE12" i="7" s="1"/>
  <c r="BU24" i="7"/>
  <c r="EE11" i="7" s="1"/>
  <c r="BU15" i="7"/>
  <c r="BU26" i="7"/>
  <c r="EE14" i="7" s="1"/>
  <c r="BU16" i="7"/>
  <c r="EE6" i="7" s="1"/>
  <c r="BU20" i="7"/>
  <c r="EE10" i="7" s="1"/>
  <c r="ER4" i="49"/>
  <c r="AG81" i="49" s="1"/>
  <c r="D50" i="7"/>
  <c r="ER8" i="49"/>
  <c r="AG85" i="49" s="1"/>
  <c r="ER9" i="49"/>
  <c r="AG86" i="49" s="1"/>
  <c r="EZ10" i="49"/>
  <c r="AG127" i="49" s="1"/>
  <c r="ER6" i="49"/>
  <c r="AG83" i="49" s="1"/>
  <c r="EZ9" i="49"/>
  <c r="AG126" i="49" s="1"/>
  <c r="ER5" i="49"/>
  <c r="AG82" i="49" s="1"/>
  <c r="ER7" i="49"/>
  <c r="AG84" i="49" s="1"/>
  <c r="ER15" i="49"/>
  <c r="AG92" i="49" s="1"/>
  <c r="ER10" i="49"/>
  <c r="AG87" i="49" s="1"/>
  <c r="EZ11" i="49"/>
  <c r="AG128" i="49" s="1"/>
  <c r="FH21" i="49"/>
  <c r="AG192" i="49" s="1"/>
  <c r="ER21" i="49"/>
  <c r="AG93" i="49" s="1"/>
  <c r="EZ21" i="49"/>
  <c r="AG138" i="49" s="1"/>
  <c r="ER12" i="49"/>
  <c r="AG89" i="49" s="1"/>
  <c r="ER11" i="49"/>
  <c r="AG88" i="49" s="1"/>
  <c r="ER13" i="49"/>
  <c r="AG90" i="49" s="1"/>
  <c r="ER14" i="49"/>
  <c r="AG91" i="49" s="1"/>
  <c r="ER24" i="49"/>
  <c r="AG96" i="49" s="1"/>
  <c r="ER26" i="49"/>
  <c r="AG98" i="49" s="1"/>
  <c r="FH36" i="49"/>
  <c r="AG207" i="49" s="1"/>
  <c r="ER22" i="49"/>
  <c r="AG94" i="49" s="1"/>
  <c r="EZ36" i="49"/>
  <c r="AG153" i="49" s="1"/>
  <c r="ER28" i="49"/>
  <c r="AG100" i="49" s="1"/>
  <c r="ER25" i="49"/>
  <c r="AG97" i="49" s="1"/>
  <c r="ER23" i="49"/>
  <c r="AG95" i="49" s="1"/>
  <c r="ER29" i="49"/>
  <c r="AG101" i="49" s="1"/>
  <c r="EZ12" i="49"/>
  <c r="AG129" i="49" s="1"/>
  <c r="FH22" i="49"/>
  <c r="AG193" i="49" s="1"/>
  <c r="EZ22" i="49"/>
  <c r="AG139" i="49" s="1"/>
  <c r="ER36" i="49"/>
  <c r="AG102" i="49" s="1"/>
  <c r="ER27" i="49"/>
  <c r="AG99" i="49" s="1"/>
  <c r="EZ54" i="49"/>
  <c r="AG171" i="49" s="1"/>
  <c r="ER46" i="49"/>
  <c r="AG112" i="49" s="1"/>
  <c r="ER54" i="49"/>
  <c r="AG113" i="49" s="1"/>
  <c r="ER38" i="49"/>
  <c r="AG104" i="49" s="1"/>
  <c r="ER41" i="49"/>
  <c r="AG107" i="49" s="1"/>
  <c r="FH23" i="49"/>
  <c r="AG194" i="49" s="1"/>
  <c r="EZ23" i="49"/>
  <c r="AG140" i="49" s="1"/>
  <c r="ER40" i="49"/>
  <c r="AG106" i="49" s="1"/>
  <c r="ER43" i="49"/>
  <c r="AG109" i="49" s="1"/>
  <c r="EZ37" i="49"/>
  <c r="AG154" i="49" s="1"/>
  <c r="ER42" i="49"/>
  <c r="AG108" i="49" s="1"/>
  <c r="ER45" i="49"/>
  <c r="AG111" i="49" s="1"/>
  <c r="FH37" i="49"/>
  <c r="AG208" i="49" s="1"/>
  <c r="ER44" i="49"/>
  <c r="AG110" i="49" s="1"/>
  <c r="FH54" i="49"/>
  <c r="AG225" i="49" s="1"/>
  <c r="EZ13" i="49"/>
  <c r="AG130" i="49" s="1"/>
  <c r="ER39" i="49"/>
  <c r="AG105" i="49" s="1"/>
  <c r="ER37" i="49"/>
  <c r="AG103" i="49" s="1"/>
  <c r="ER65" i="49"/>
  <c r="AG124" i="49" s="1"/>
  <c r="FH55" i="49"/>
  <c r="AG226" i="49" s="1"/>
  <c r="ER56" i="49"/>
  <c r="AG115" i="49" s="1"/>
  <c r="ER58" i="49"/>
  <c r="AG117" i="49" s="1"/>
  <c r="EZ38" i="49"/>
  <c r="AG155" i="49" s="1"/>
  <c r="EZ24" i="49"/>
  <c r="AG141" i="49" s="1"/>
  <c r="ER59" i="49"/>
  <c r="AG118" i="49" s="1"/>
  <c r="ER66" i="49"/>
  <c r="AG125" i="49" s="1"/>
  <c r="ER63" i="49"/>
  <c r="AG122" i="49" s="1"/>
  <c r="ER55" i="49"/>
  <c r="AG114" i="49" s="1"/>
  <c r="ER62" i="49"/>
  <c r="AG121" i="49" s="1"/>
  <c r="EZ14" i="49"/>
  <c r="AG131" i="49" s="1"/>
  <c r="ER57" i="49"/>
  <c r="AG116" i="49" s="1"/>
  <c r="ER60" i="49"/>
  <c r="AG119" i="49" s="1"/>
  <c r="EZ55" i="49"/>
  <c r="AG172" i="49" s="1"/>
  <c r="ER61" i="49"/>
  <c r="AG120" i="49" s="1"/>
  <c r="ER64" i="49"/>
  <c r="AG123" i="49" s="1"/>
  <c r="FH24" i="49"/>
  <c r="AG195" i="49" s="1"/>
  <c r="FH38" i="49"/>
  <c r="AG209" i="49" s="1"/>
  <c r="EZ56" i="49"/>
  <c r="AG173" i="49" s="1"/>
  <c r="EZ15" i="49"/>
  <c r="AG132" i="49" s="1"/>
  <c r="FH39" i="49"/>
  <c r="AG210" i="49" s="1"/>
  <c r="EZ25" i="49"/>
  <c r="AG142" i="49" s="1"/>
  <c r="FH25" i="49"/>
  <c r="AG196" i="49" s="1"/>
  <c r="EZ39" i="49"/>
  <c r="AG156" i="49" s="1"/>
  <c r="FH56" i="49"/>
  <c r="AG227" i="49" s="1"/>
  <c r="EZ57" i="49"/>
  <c r="AG174" i="49" s="1"/>
  <c r="EZ26" i="49"/>
  <c r="AG143" i="49" s="1"/>
  <c r="FH40" i="49"/>
  <c r="AG211" i="49" s="1"/>
  <c r="EZ16" i="49"/>
  <c r="AG133" i="49" s="1"/>
  <c r="EZ40" i="49"/>
  <c r="AG157" i="49" s="1"/>
  <c r="FH26" i="49"/>
  <c r="AG197" i="49" s="1"/>
  <c r="FH57" i="49"/>
  <c r="AG228" i="49" s="1"/>
  <c r="FH41" i="49"/>
  <c r="AG212" i="49" s="1"/>
  <c r="FH27" i="49"/>
  <c r="AG198" i="49" s="1"/>
  <c r="EZ58" i="49"/>
  <c r="AG175" i="49" s="1"/>
  <c r="FH58" i="49"/>
  <c r="AG229" i="49" s="1"/>
  <c r="EZ17" i="49"/>
  <c r="AG134" i="49" s="1"/>
  <c r="EZ27" i="49"/>
  <c r="AG144" i="49" s="1"/>
  <c r="EZ41" i="49"/>
  <c r="AG158" i="49" s="1"/>
  <c r="BL26" i="7"/>
  <c r="DU14" i="7" s="1"/>
  <c r="BL24" i="7"/>
  <c r="BL20" i="7"/>
  <c r="BL16" i="7"/>
  <c r="BL21" i="7"/>
  <c r="BL17" i="7"/>
  <c r="BL40" i="7" s="1"/>
  <c r="BL13" i="7"/>
  <c r="BL38" i="7" s="1"/>
  <c r="BL11" i="7"/>
  <c r="BL9" i="7"/>
  <c r="BL35" i="7" s="1"/>
  <c r="BL8" i="7"/>
  <c r="BL34" i="7" s="1"/>
  <c r="BL7" i="7"/>
  <c r="BL6" i="7"/>
  <c r="BL33" i="7" s="1"/>
  <c r="BL5" i="7"/>
  <c r="BL32" i="7" s="1"/>
  <c r="H50" i="7"/>
  <c r="BL27" i="7"/>
  <c r="BL25" i="7"/>
  <c r="BL22" i="7"/>
  <c r="DU9" i="7" s="1"/>
  <c r="BL18" i="7"/>
  <c r="BL41" i="7" s="1"/>
  <c r="BL14" i="7"/>
  <c r="BL39" i="7" s="1"/>
  <c r="BL23" i="7"/>
  <c r="DU13" i="7" s="1"/>
  <c r="BL19" i="7"/>
  <c r="BL42" i="7" s="1"/>
  <c r="BL15" i="7"/>
  <c r="DU7" i="7" s="1"/>
  <c r="BL12" i="7"/>
  <c r="BL37" i="7" s="1"/>
  <c r="BL10" i="7"/>
  <c r="BL36" i="7" s="1"/>
  <c r="BL4" i="7"/>
  <c r="D176" i="49"/>
  <c r="N59" i="49"/>
  <c r="AC176" i="49"/>
  <c r="ED59" i="49"/>
  <c r="EZ28" i="49"/>
  <c r="AG145" i="49" s="1"/>
  <c r="X145" i="49"/>
  <c r="DF28" i="49"/>
  <c r="I145" i="49"/>
  <c r="AL28" i="49"/>
  <c r="D23" i="32"/>
  <c r="E22" i="32"/>
  <c r="F22" i="32" s="1"/>
  <c r="EZ42" i="49"/>
  <c r="AG159" i="49" s="1"/>
  <c r="X159" i="49"/>
  <c r="DF42" i="49"/>
  <c r="I159" i="49"/>
  <c r="AL42" i="49"/>
  <c r="AO33" i="7"/>
  <c r="BW10" i="26"/>
  <c r="BT10" i="26"/>
  <c r="BU10" i="26"/>
  <c r="BE9" i="7"/>
  <c r="BE35" i="7" s="1"/>
  <c r="BE4" i="7"/>
  <c r="BE31" i="7" s="1"/>
  <c r="BE7" i="7"/>
  <c r="BE5" i="7"/>
  <c r="BE32" i="7" s="1"/>
  <c r="BE10" i="7"/>
  <c r="BE36" i="7" s="1"/>
  <c r="BE6" i="7"/>
  <c r="BE33" i="7" s="1"/>
  <c r="BE12" i="7"/>
  <c r="BE37" i="7" s="1"/>
  <c r="BE13" i="7"/>
  <c r="BE38" i="7" s="1"/>
  <c r="BE27" i="7"/>
  <c r="BE17" i="7"/>
  <c r="BE40" i="7" s="1"/>
  <c r="BE14" i="7"/>
  <c r="BE39" i="7" s="1"/>
  <c r="BE18" i="7"/>
  <c r="BE41" i="7" s="1"/>
  <c r="BE8" i="7"/>
  <c r="BE34" i="7" s="1"/>
  <c r="BE19" i="7"/>
  <c r="BE42" i="7" s="1"/>
  <c r="BE21" i="7"/>
  <c r="DM8" i="7" s="1"/>
  <c r="BE11" i="7"/>
  <c r="DM5" i="7" s="1"/>
  <c r="BE23" i="7"/>
  <c r="DM13" i="7" s="1"/>
  <c r="BE24" i="7"/>
  <c r="DM11" i="7" s="1"/>
  <c r="BE22" i="7"/>
  <c r="DM9" i="7" s="1"/>
  <c r="BE26" i="7"/>
  <c r="DM14" i="7" s="1"/>
  <c r="BE15" i="7"/>
  <c r="DM7" i="7" s="1"/>
  <c r="BE16" i="7"/>
  <c r="DM6" i="7" s="1"/>
  <c r="BE25" i="7"/>
  <c r="DM12" i="7" s="1"/>
  <c r="BE20" i="7"/>
  <c r="DM10" i="7" s="1"/>
  <c r="D24" i="32" l="1"/>
  <c r="E23" i="32"/>
  <c r="F23" i="32" s="1"/>
  <c r="DU15" i="7"/>
  <c r="DU4" i="7"/>
  <c r="DU10" i="7"/>
  <c r="BM9" i="7"/>
  <c r="BM35" i="7" s="1"/>
  <c r="BM10" i="7"/>
  <c r="BM36" i="7" s="1"/>
  <c r="BM7" i="7"/>
  <c r="BM5" i="7"/>
  <c r="BM32" i="7" s="1"/>
  <c r="BM6" i="7"/>
  <c r="BM33" i="7" s="1"/>
  <c r="BM27" i="7"/>
  <c r="BM14" i="7"/>
  <c r="BM39" i="7" s="1"/>
  <c r="BM18" i="7"/>
  <c r="BM41" i="7" s="1"/>
  <c r="BM13" i="7"/>
  <c r="BM38" i="7" s="1"/>
  <c r="BM19" i="7"/>
  <c r="BM42" i="7" s="1"/>
  <c r="BM17" i="7"/>
  <c r="BM40" i="7" s="1"/>
  <c r="BM8" i="7"/>
  <c r="BM34" i="7" s="1"/>
  <c r="BM4" i="7"/>
  <c r="BM12" i="7"/>
  <c r="BM37" i="7" s="1"/>
  <c r="BM23" i="7"/>
  <c r="DV13" i="7" s="1"/>
  <c r="BM24" i="7"/>
  <c r="DV11" i="7" s="1"/>
  <c r="BM21" i="7"/>
  <c r="DV8" i="7" s="1"/>
  <c r="BM22" i="7"/>
  <c r="DV9" i="7" s="1"/>
  <c r="BM11" i="7"/>
  <c r="DV5" i="7" s="1"/>
  <c r="BM25" i="7"/>
  <c r="DV12" i="7" s="1"/>
  <c r="BM26" i="7"/>
  <c r="DV14" i="7" s="1"/>
  <c r="BM15" i="7"/>
  <c r="DV7" i="7" s="1"/>
  <c r="BM16" i="7"/>
  <c r="DV6" i="7" s="1"/>
  <c r="BM20" i="7"/>
  <c r="DV10" i="7" s="1"/>
  <c r="EE15" i="7"/>
  <c r="AC177" i="49"/>
  <c r="ED60" i="49"/>
  <c r="AH177" i="49"/>
  <c r="FB60" i="49"/>
  <c r="BT11" i="26"/>
  <c r="BU11" i="26"/>
  <c r="BW11" i="26"/>
  <c r="Q83" i="7"/>
  <c r="U83" i="7"/>
  <c r="Q87" i="7"/>
  <c r="U87" i="7"/>
  <c r="DL9" i="7"/>
  <c r="P61" i="7"/>
  <c r="P62" i="7"/>
  <c r="P60" i="7"/>
  <c r="U72" i="7"/>
  <c r="X72" i="7" s="1"/>
  <c r="E15" i="6" s="1"/>
  <c r="U76" i="7"/>
  <c r="X76" i="7" s="1"/>
  <c r="I15" i="6" s="1"/>
  <c r="DL4" i="7"/>
  <c r="P58" i="7"/>
  <c r="P57" i="7"/>
  <c r="AH8" i="35"/>
  <c r="AB8" i="35"/>
  <c r="AH9" i="35"/>
  <c r="Y8" i="35"/>
  <c r="Y9" i="35"/>
  <c r="AB9" i="35"/>
  <c r="AH10" i="35"/>
  <c r="AC10" i="35"/>
  <c r="AJ10" i="35"/>
  <c r="AI8" i="35"/>
  <c r="AC9" i="35"/>
  <c r="AJ9" i="35"/>
  <c r="AA8" i="35"/>
  <c r="AB10" i="35"/>
  <c r="AC8" i="35"/>
  <c r="AA9" i="35"/>
  <c r="Y10" i="35"/>
  <c r="AA10" i="35"/>
  <c r="AI9" i="35"/>
  <c r="AI10" i="35"/>
  <c r="AJ8" i="35"/>
  <c r="D160" i="49"/>
  <c r="N43" i="49"/>
  <c r="I146" i="49"/>
  <c r="AL29" i="49"/>
  <c r="N146" i="49"/>
  <c r="BJ29" i="49"/>
  <c r="EM8" i="7"/>
  <c r="FI61" i="49"/>
  <c r="EN61" i="49"/>
  <c r="AD232" i="49" s="1"/>
  <c r="EI61" i="49"/>
  <c r="AA232" i="49" s="1"/>
  <c r="DM61" i="49"/>
  <c r="CR61" i="49"/>
  <c r="T232" i="49" s="1"/>
  <c r="CM61" i="49"/>
  <c r="Q232" i="49" s="1"/>
  <c r="BQ61" i="49"/>
  <c r="AV61" i="49"/>
  <c r="J232" i="49" s="1"/>
  <c r="AQ61" i="49"/>
  <c r="G232" i="49" s="1"/>
  <c r="U61" i="49"/>
  <c r="FM61" i="49"/>
  <c r="FH61" i="49"/>
  <c r="AG232" i="49" s="1"/>
  <c r="DQ61" i="49"/>
  <c r="DL61" i="49"/>
  <c r="W232" i="49" s="1"/>
  <c r="BU61" i="49"/>
  <c r="BP61" i="49"/>
  <c r="M232" i="49" s="1"/>
  <c r="Y61" i="49"/>
  <c r="T61" i="49"/>
  <c r="C232" i="49" s="1"/>
  <c r="FL61" i="49"/>
  <c r="AI232" i="49" s="1"/>
  <c r="FG61" i="49"/>
  <c r="AF232" i="49" s="1"/>
  <c r="EK61" i="49"/>
  <c r="DP61" i="49"/>
  <c r="Y232" i="49" s="1"/>
  <c r="DK61" i="49"/>
  <c r="V232" i="49" s="1"/>
  <c r="CO61" i="49"/>
  <c r="BT61" i="49"/>
  <c r="O232" i="49" s="1"/>
  <c r="BO61" i="49"/>
  <c r="L232" i="49" s="1"/>
  <c r="AS61" i="49"/>
  <c r="X61" i="49"/>
  <c r="E232" i="49" s="1"/>
  <c r="S61" i="49"/>
  <c r="B232" i="49" s="1"/>
  <c r="EO61" i="49"/>
  <c r="EJ61" i="49"/>
  <c r="AB232" i="49" s="1"/>
  <c r="CS61" i="49"/>
  <c r="CN61" i="49"/>
  <c r="R232" i="49" s="1"/>
  <c r="AW61" i="49"/>
  <c r="AR61" i="49"/>
  <c r="H232" i="49" s="1"/>
  <c r="H159" i="7"/>
  <c r="N231" i="49"/>
  <c r="BR60" i="49"/>
  <c r="FL30" i="49"/>
  <c r="AI201" i="49" s="1"/>
  <c r="FG30" i="49"/>
  <c r="AF201" i="49" s="1"/>
  <c r="EN30" i="49"/>
  <c r="AD201" i="49" s="1"/>
  <c r="EI30" i="49"/>
  <c r="AA201" i="49" s="1"/>
  <c r="DP30" i="49"/>
  <c r="Y201" i="49" s="1"/>
  <c r="DK30" i="49"/>
  <c r="V201" i="49" s="1"/>
  <c r="CR30" i="49"/>
  <c r="T201" i="49" s="1"/>
  <c r="CM30" i="49"/>
  <c r="Q201" i="49" s="1"/>
  <c r="BT30" i="49"/>
  <c r="O201" i="49" s="1"/>
  <c r="BO30" i="49"/>
  <c r="L201" i="49" s="1"/>
  <c r="AV30" i="49"/>
  <c r="J201" i="49" s="1"/>
  <c r="AQ30" i="49"/>
  <c r="G201" i="49" s="1"/>
  <c r="X30" i="49"/>
  <c r="E201" i="49" s="1"/>
  <c r="S30" i="49"/>
  <c r="B201" i="49" s="1"/>
  <c r="FI30" i="49"/>
  <c r="EK30" i="49"/>
  <c r="DM30" i="49"/>
  <c r="CO30" i="49"/>
  <c r="BQ30" i="49"/>
  <c r="AS30" i="49"/>
  <c r="U30" i="49"/>
  <c r="FM30" i="49"/>
  <c r="FH30" i="49"/>
  <c r="AG201" i="49" s="1"/>
  <c r="EO30" i="49"/>
  <c r="EJ30" i="49"/>
  <c r="AB201" i="49" s="1"/>
  <c r="DQ30" i="49"/>
  <c r="DL30" i="49"/>
  <c r="W201" i="49" s="1"/>
  <c r="CS30" i="49"/>
  <c r="CN30" i="49"/>
  <c r="R201" i="49" s="1"/>
  <c r="BU30" i="49"/>
  <c r="BP30" i="49"/>
  <c r="M201" i="49" s="1"/>
  <c r="AW30" i="49"/>
  <c r="AR30" i="49"/>
  <c r="H201" i="49" s="1"/>
  <c r="Y30" i="49"/>
  <c r="T30" i="49"/>
  <c r="C201" i="49" s="1"/>
  <c r="H128" i="7"/>
  <c r="N200" i="49"/>
  <c r="BR29" i="49"/>
  <c r="I136" i="49"/>
  <c r="AL19" i="49"/>
  <c r="X136" i="49"/>
  <c r="DF19" i="49"/>
  <c r="T14" i="26"/>
  <c r="U14" i="26" s="1"/>
  <c r="W13" i="26"/>
  <c r="S13" i="26"/>
  <c r="V13" i="26"/>
  <c r="Y13" i="26"/>
  <c r="AH214" i="49"/>
  <c r="FJ43" i="49"/>
  <c r="S214" i="49"/>
  <c r="CP43" i="49"/>
  <c r="R73" i="7"/>
  <c r="R77" i="7"/>
  <c r="V82" i="7"/>
  <c r="R82" i="7"/>
  <c r="V86" i="7"/>
  <c r="R86" i="7"/>
  <c r="ED11" i="7"/>
  <c r="ED7" i="7"/>
  <c r="DM4" i="7"/>
  <c r="BQ7" i="7"/>
  <c r="DZ4" i="7" s="1"/>
  <c r="BQ5" i="7"/>
  <c r="BQ32" i="7" s="1"/>
  <c r="BQ27" i="7"/>
  <c r="BQ14" i="7"/>
  <c r="BQ39" i="7" s="1"/>
  <c r="BQ18" i="7"/>
  <c r="BQ41" i="7" s="1"/>
  <c r="BQ13" i="7"/>
  <c r="BQ38" i="7" s="1"/>
  <c r="BQ19" i="7"/>
  <c r="BQ42" i="7" s="1"/>
  <c r="BQ4" i="7"/>
  <c r="BQ31" i="7" s="1"/>
  <c r="BQ17" i="7"/>
  <c r="BQ40" i="7" s="1"/>
  <c r="BQ8" i="7"/>
  <c r="BQ34" i="7" s="1"/>
  <c r="BQ9" i="7"/>
  <c r="BQ35" i="7" s="1"/>
  <c r="BQ10" i="7"/>
  <c r="BQ36" i="7" s="1"/>
  <c r="BQ12" i="7"/>
  <c r="BQ37" i="7" s="1"/>
  <c r="BQ6" i="7"/>
  <c r="BQ33" i="7" s="1"/>
  <c r="BQ26" i="7"/>
  <c r="BQ15" i="7"/>
  <c r="DZ7" i="7" s="1"/>
  <c r="BQ16" i="7"/>
  <c r="DZ6" i="7" s="1"/>
  <c r="BQ25" i="7"/>
  <c r="DZ12" i="7" s="1"/>
  <c r="BQ20" i="7"/>
  <c r="BQ23" i="7"/>
  <c r="BQ24" i="7"/>
  <c r="DZ11" i="7" s="1"/>
  <c r="BQ21" i="7"/>
  <c r="DZ8" i="7" s="1"/>
  <c r="BQ22" i="7"/>
  <c r="DZ9" i="7" s="1"/>
  <c r="BQ11" i="7"/>
  <c r="DZ5" i="7" s="1"/>
  <c r="DU11" i="7"/>
  <c r="EE7" i="7"/>
  <c r="P4" i="43"/>
  <c r="R4" i="43" s="1"/>
  <c r="M28" i="43" s="1"/>
  <c r="BU31" i="7"/>
  <c r="K13" i="34"/>
  <c r="M9" i="43"/>
  <c r="N8" i="43"/>
  <c r="AE11" i="25"/>
  <c r="FD61" i="49"/>
  <c r="AI178" i="49" s="1"/>
  <c r="EY61" i="49"/>
  <c r="AF178" i="49" s="1"/>
  <c r="EC61" i="49"/>
  <c r="DH61" i="49"/>
  <c r="Y178" i="49" s="1"/>
  <c r="DC61" i="49"/>
  <c r="V178" i="49" s="1"/>
  <c r="CG61" i="49"/>
  <c r="BL61" i="49"/>
  <c r="O178" i="49" s="1"/>
  <c r="BG61" i="49"/>
  <c r="L178" i="49" s="1"/>
  <c r="AK61" i="49"/>
  <c r="P61" i="49"/>
  <c r="E178" i="49" s="1"/>
  <c r="K61" i="49"/>
  <c r="B178" i="49" s="1"/>
  <c r="EG61" i="49"/>
  <c r="EB61" i="49"/>
  <c r="AB178" i="49" s="1"/>
  <c r="CK61" i="49"/>
  <c r="CF61" i="49"/>
  <c r="R178" i="49" s="1"/>
  <c r="AO61" i="49"/>
  <c r="AJ61" i="49"/>
  <c r="H178" i="49" s="1"/>
  <c r="FA61" i="49"/>
  <c r="EF61" i="49"/>
  <c r="AD178" i="49" s="1"/>
  <c r="EA61" i="49"/>
  <c r="AA178" i="49" s="1"/>
  <c r="DE61" i="49"/>
  <c r="CJ61" i="49"/>
  <c r="T178" i="49" s="1"/>
  <c r="CE61" i="49"/>
  <c r="Q178" i="49" s="1"/>
  <c r="BI61" i="49"/>
  <c r="AN61" i="49"/>
  <c r="J178" i="49" s="1"/>
  <c r="AI61" i="49"/>
  <c r="G178" i="49" s="1"/>
  <c r="M61" i="49"/>
  <c r="FE61" i="49"/>
  <c r="EZ61" i="49"/>
  <c r="AG178" i="49" s="1"/>
  <c r="DI61" i="49"/>
  <c r="DD61" i="49"/>
  <c r="W178" i="49" s="1"/>
  <c r="BM61" i="49"/>
  <c r="BH61" i="49"/>
  <c r="M178" i="49" s="1"/>
  <c r="Q61" i="49"/>
  <c r="L61" i="49"/>
  <c r="C178" i="49" s="1"/>
  <c r="F159" i="7"/>
  <c r="S177" i="49"/>
  <c r="CH60" i="49"/>
  <c r="X177" i="49"/>
  <c r="DF60" i="49"/>
  <c r="BH11" i="26"/>
  <c r="BX11" i="26"/>
  <c r="BY11" i="26"/>
  <c r="Q84" i="7"/>
  <c r="U84" i="7"/>
  <c r="DL12" i="7"/>
  <c r="U73" i="7"/>
  <c r="X73" i="7" s="1"/>
  <c r="F15" i="6" s="1"/>
  <c r="U77" i="7"/>
  <c r="X77" i="7" s="1"/>
  <c r="J15" i="6" s="1"/>
  <c r="Q122" i="32"/>
  <c r="O123" i="32"/>
  <c r="Q123" i="32" s="1"/>
  <c r="AC160" i="49"/>
  <c r="ED43" i="49"/>
  <c r="AH160" i="49"/>
  <c r="FB43" i="49"/>
  <c r="D146" i="49"/>
  <c r="N29" i="49"/>
  <c r="EM5" i="7"/>
  <c r="EM6" i="7"/>
  <c r="CG7" i="7"/>
  <c r="CG5" i="7"/>
  <c r="CG32" i="7" s="1"/>
  <c r="CG10" i="7"/>
  <c r="CG36" i="7" s="1"/>
  <c r="CG27" i="7"/>
  <c r="CG14" i="7"/>
  <c r="CG39" i="7" s="1"/>
  <c r="CG18" i="7"/>
  <c r="CG41" i="7" s="1"/>
  <c r="CG13" i="7"/>
  <c r="CG38" i="7" s="1"/>
  <c r="CG19" i="7"/>
  <c r="CG42" i="7" s="1"/>
  <c r="CG17" i="7"/>
  <c r="CG40" i="7" s="1"/>
  <c r="CG8" i="7"/>
  <c r="CG34" i="7" s="1"/>
  <c r="CG9" i="7"/>
  <c r="CG35" i="7" s="1"/>
  <c r="CG4" i="7"/>
  <c r="CG31" i="7" s="1"/>
  <c r="CG6" i="7"/>
  <c r="CG33" i="7" s="1"/>
  <c r="CG12" i="7"/>
  <c r="CG37" i="7" s="1"/>
  <c r="CG23" i="7"/>
  <c r="ER13" i="7" s="1"/>
  <c r="CG24" i="7"/>
  <c r="CG25" i="7"/>
  <c r="ER12" i="7" s="1"/>
  <c r="CG26" i="7"/>
  <c r="ER14" i="7" s="1"/>
  <c r="CG15" i="7"/>
  <c r="ER7" i="7" s="1"/>
  <c r="CG16" i="7"/>
  <c r="ER6" i="7" s="1"/>
  <c r="CG20" i="7"/>
  <c r="ER10" i="7" s="1"/>
  <c r="CG21" i="7"/>
  <c r="CG22" i="7"/>
  <c r="ER9" i="7" s="1"/>
  <c r="CG11" i="7"/>
  <c r="ER5" i="7" s="1"/>
  <c r="EM7" i="7"/>
  <c r="D231" i="49"/>
  <c r="V60" i="49"/>
  <c r="AC231" i="49"/>
  <c r="EL60" i="49"/>
  <c r="D200" i="49"/>
  <c r="V29" i="49"/>
  <c r="AC200" i="49"/>
  <c r="EL29" i="49"/>
  <c r="FE20" i="49"/>
  <c r="EZ20" i="49"/>
  <c r="AG137" i="49" s="1"/>
  <c r="DI20" i="49"/>
  <c r="DD20" i="49"/>
  <c r="W137" i="49" s="1"/>
  <c r="BM20" i="49"/>
  <c r="BH20" i="49"/>
  <c r="M137" i="49" s="1"/>
  <c r="Q20" i="49"/>
  <c r="L20" i="49"/>
  <c r="C137" i="49" s="1"/>
  <c r="FD20" i="49"/>
  <c r="AI137" i="49" s="1"/>
  <c r="EY20" i="49"/>
  <c r="AF137" i="49" s="1"/>
  <c r="EC20" i="49"/>
  <c r="DH20" i="49"/>
  <c r="Y137" i="49" s="1"/>
  <c r="DC20" i="49"/>
  <c r="V137" i="49" s="1"/>
  <c r="CG20" i="49"/>
  <c r="BL20" i="49"/>
  <c r="O137" i="49" s="1"/>
  <c r="BG20" i="49"/>
  <c r="L137" i="49" s="1"/>
  <c r="AK20" i="49"/>
  <c r="P20" i="49"/>
  <c r="E137" i="49" s="1"/>
  <c r="K20" i="49"/>
  <c r="B137" i="49" s="1"/>
  <c r="EG20" i="49"/>
  <c r="EB20" i="49"/>
  <c r="AB137" i="49" s="1"/>
  <c r="CK20" i="49"/>
  <c r="CF20" i="49"/>
  <c r="R137" i="49" s="1"/>
  <c r="AO20" i="49"/>
  <c r="AJ20" i="49"/>
  <c r="H137" i="49" s="1"/>
  <c r="FA20" i="49"/>
  <c r="EF20" i="49"/>
  <c r="AD137" i="49" s="1"/>
  <c r="EA20" i="49"/>
  <c r="AA137" i="49" s="1"/>
  <c r="DE20" i="49"/>
  <c r="CJ20" i="49"/>
  <c r="T137" i="49" s="1"/>
  <c r="CE20" i="49"/>
  <c r="Q137" i="49" s="1"/>
  <c r="BI20" i="49"/>
  <c r="AN20" i="49"/>
  <c r="J137" i="49" s="1"/>
  <c r="AI20" i="49"/>
  <c r="G137" i="49" s="1"/>
  <c r="M20" i="49"/>
  <c r="N136" i="49"/>
  <c r="BJ19" i="49"/>
  <c r="X214" i="49"/>
  <c r="DN43" i="49"/>
  <c r="I214" i="49"/>
  <c r="AT43" i="49"/>
  <c r="ED12" i="7"/>
  <c r="Q64" i="7"/>
  <c r="Q65" i="7"/>
  <c r="ED8" i="7"/>
  <c r="V83" i="7"/>
  <c r="R83" i="7"/>
  <c r="V87" i="7"/>
  <c r="R87" i="7"/>
  <c r="ED14" i="7"/>
  <c r="O4" i="43"/>
  <c r="Q4" i="43" s="1"/>
  <c r="L28" i="43" s="1"/>
  <c r="L29" i="43" s="1"/>
  <c r="L30" i="43" s="1"/>
  <c r="L31" i="43" s="1"/>
  <c r="L32" i="43" s="1"/>
  <c r="L33" i="43" s="1"/>
  <c r="L34" i="43" s="1"/>
  <c r="L35" i="43" s="1"/>
  <c r="L36" i="43" s="1"/>
  <c r="BT31" i="7"/>
  <c r="Q61" i="7"/>
  <c r="Q62" i="7"/>
  <c r="Q60" i="7"/>
  <c r="O3" i="43"/>
  <c r="Q3" i="43" s="1"/>
  <c r="L18" i="43" s="1"/>
  <c r="L19" i="43" s="1"/>
  <c r="L20" i="43" s="1"/>
  <c r="L21" i="43" s="1"/>
  <c r="L22" i="43" s="1"/>
  <c r="L23" i="43" s="1"/>
  <c r="L24" i="43" s="1"/>
  <c r="L25" i="43" s="1"/>
  <c r="L26" i="43" s="1"/>
  <c r="BL31" i="7"/>
  <c r="DU8" i="7"/>
  <c r="M14" i="34"/>
  <c r="J15" i="34" s="1"/>
  <c r="L14" i="34"/>
  <c r="K14" i="34" s="1"/>
  <c r="AJ11" i="25"/>
  <c r="AH11" i="25"/>
  <c r="AG12" i="25" s="1"/>
  <c r="I177" i="49"/>
  <c r="AL60" i="49"/>
  <c r="N177" i="49"/>
  <c r="BJ60" i="49"/>
  <c r="BT12" i="26"/>
  <c r="BP12" i="26"/>
  <c r="BL12" i="26"/>
  <c r="BH12" i="26"/>
  <c r="BW12" i="26"/>
  <c r="BS12" i="26"/>
  <c r="BK12" i="26"/>
  <c r="BX12" i="26" s="1"/>
  <c r="BV12" i="26"/>
  <c r="BR12" i="26"/>
  <c r="BY12" i="26"/>
  <c r="BU12" i="26"/>
  <c r="BQ12" i="26"/>
  <c r="BM11" i="26"/>
  <c r="BO11" i="26"/>
  <c r="Q81" i="7"/>
  <c r="U81" i="7"/>
  <c r="Q85" i="7"/>
  <c r="U85" i="7"/>
  <c r="X85" i="7" s="1"/>
  <c r="H10" i="6" s="1"/>
  <c r="U74" i="7"/>
  <c r="X74" i="7" s="1"/>
  <c r="G15" i="6" s="1"/>
  <c r="DL8" i="7"/>
  <c r="P65" i="7"/>
  <c r="P64" i="7"/>
  <c r="R120" i="32"/>
  <c r="P121" i="32"/>
  <c r="FD44" i="49"/>
  <c r="AI161" i="49" s="1"/>
  <c r="EY44" i="49"/>
  <c r="AF161" i="49" s="1"/>
  <c r="EC44" i="49"/>
  <c r="DH44" i="49"/>
  <c r="Y161" i="49" s="1"/>
  <c r="DC44" i="49"/>
  <c r="V161" i="49" s="1"/>
  <c r="CG44" i="49"/>
  <c r="BL44" i="49"/>
  <c r="O161" i="49" s="1"/>
  <c r="BG44" i="49"/>
  <c r="L161" i="49" s="1"/>
  <c r="AK44" i="49"/>
  <c r="P44" i="49"/>
  <c r="E161" i="49" s="1"/>
  <c r="K44" i="49"/>
  <c r="B161" i="49" s="1"/>
  <c r="EG44" i="49"/>
  <c r="EB44" i="49"/>
  <c r="AB161" i="49" s="1"/>
  <c r="CK44" i="49"/>
  <c r="CF44" i="49"/>
  <c r="R161" i="49" s="1"/>
  <c r="AO44" i="49"/>
  <c r="AJ44" i="49"/>
  <c r="H161" i="49" s="1"/>
  <c r="FA44" i="49"/>
  <c r="EF44" i="49"/>
  <c r="AD161" i="49" s="1"/>
  <c r="EA44" i="49"/>
  <c r="AA161" i="49" s="1"/>
  <c r="DE44" i="49"/>
  <c r="CJ44" i="49"/>
  <c r="T161" i="49" s="1"/>
  <c r="CE44" i="49"/>
  <c r="Q161" i="49" s="1"/>
  <c r="BI44" i="49"/>
  <c r="AN44" i="49"/>
  <c r="J161" i="49" s="1"/>
  <c r="AI44" i="49"/>
  <c r="G161" i="49" s="1"/>
  <c r="M44" i="49"/>
  <c r="FE44" i="49"/>
  <c r="EZ44" i="49"/>
  <c r="AG161" i="49" s="1"/>
  <c r="DI44" i="49"/>
  <c r="DD44" i="49"/>
  <c r="W161" i="49" s="1"/>
  <c r="BM44" i="49"/>
  <c r="BH44" i="49"/>
  <c r="M161" i="49" s="1"/>
  <c r="Q44" i="49"/>
  <c r="L44" i="49"/>
  <c r="C161" i="49" s="1"/>
  <c r="F142" i="7"/>
  <c r="S160" i="49"/>
  <c r="CH43" i="49"/>
  <c r="X160" i="49"/>
  <c r="DF43" i="49"/>
  <c r="AC146" i="49"/>
  <c r="ED29" i="49"/>
  <c r="AH146" i="49"/>
  <c r="FB29" i="49"/>
  <c r="EM10" i="7"/>
  <c r="EM9" i="7"/>
  <c r="AH231" i="49"/>
  <c r="FJ60" i="49"/>
  <c r="S231" i="49"/>
  <c r="CP60" i="49"/>
  <c r="AH200" i="49"/>
  <c r="FJ29" i="49"/>
  <c r="S200" i="49"/>
  <c r="CP29" i="49"/>
  <c r="AC136" i="49"/>
  <c r="ED19" i="49"/>
  <c r="D136" i="49"/>
  <c r="N19" i="49"/>
  <c r="FI44" i="49"/>
  <c r="EN44" i="49"/>
  <c r="AD215" i="49" s="1"/>
  <c r="EI44" i="49"/>
  <c r="AA215" i="49" s="1"/>
  <c r="DM44" i="49"/>
  <c r="CR44" i="49"/>
  <c r="T215" i="49" s="1"/>
  <c r="CM44" i="49"/>
  <c r="Q215" i="49" s="1"/>
  <c r="BQ44" i="49"/>
  <c r="AV44" i="49"/>
  <c r="J215" i="49" s="1"/>
  <c r="AQ44" i="49"/>
  <c r="G215" i="49" s="1"/>
  <c r="U44" i="49"/>
  <c r="FM44" i="49"/>
  <c r="FH44" i="49"/>
  <c r="AG215" i="49" s="1"/>
  <c r="DQ44" i="49"/>
  <c r="DL44" i="49"/>
  <c r="W215" i="49" s="1"/>
  <c r="BU44" i="49"/>
  <c r="BP44" i="49"/>
  <c r="M215" i="49" s="1"/>
  <c r="Y44" i="49"/>
  <c r="T44" i="49"/>
  <c r="C215" i="49" s="1"/>
  <c r="FL44" i="49"/>
  <c r="AI215" i="49" s="1"/>
  <c r="FG44" i="49"/>
  <c r="AF215" i="49" s="1"/>
  <c r="EK44" i="49"/>
  <c r="DP44" i="49"/>
  <c r="Y215" i="49" s="1"/>
  <c r="DK44" i="49"/>
  <c r="V215" i="49" s="1"/>
  <c r="CO44" i="49"/>
  <c r="BT44" i="49"/>
  <c r="O215" i="49" s="1"/>
  <c r="BO44" i="49"/>
  <c r="L215" i="49" s="1"/>
  <c r="AS44" i="49"/>
  <c r="X44" i="49"/>
  <c r="E215" i="49" s="1"/>
  <c r="S44" i="49"/>
  <c r="B215" i="49" s="1"/>
  <c r="EO44" i="49"/>
  <c r="EJ44" i="49"/>
  <c r="AB215" i="49" s="1"/>
  <c r="CS44" i="49"/>
  <c r="CN44" i="49"/>
  <c r="R215" i="49" s="1"/>
  <c r="AW44" i="49"/>
  <c r="AR44" i="49"/>
  <c r="H215" i="49" s="1"/>
  <c r="H142" i="7"/>
  <c r="N214" i="49"/>
  <c r="BR43" i="49"/>
  <c r="V84" i="7"/>
  <c r="R84" i="7"/>
  <c r="ED6" i="7"/>
  <c r="ED13" i="7"/>
  <c r="DM15" i="7"/>
  <c r="DU12" i="7"/>
  <c r="DU5" i="7"/>
  <c r="DU6" i="7"/>
  <c r="EE4" i="7"/>
  <c r="Z17" i="25"/>
  <c r="AB16" i="25"/>
  <c r="AC16" i="25" s="1"/>
  <c r="AA16" i="25"/>
  <c r="N13" i="34"/>
  <c r="DD10" i="7"/>
  <c r="DD15" i="7"/>
  <c r="D177" i="49"/>
  <c r="N60" i="49"/>
  <c r="BP11" i="26"/>
  <c r="BQ11" i="26"/>
  <c r="BR11" i="26"/>
  <c r="BS11" i="26"/>
  <c r="Q82" i="7"/>
  <c r="U82" i="7"/>
  <c r="X82" i="7" s="1"/>
  <c r="E10" i="6" s="1"/>
  <c r="Q86" i="7"/>
  <c r="U86" i="7"/>
  <c r="X86" i="7" s="1"/>
  <c r="I10" i="6" s="1"/>
  <c r="U71" i="7"/>
  <c r="X71" i="7" s="1"/>
  <c r="D15" i="6" s="1"/>
  <c r="U75" i="7"/>
  <c r="X75" i="7" s="1"/>
  <c r="H15" i="6" s="1"/>
  <c r="DL5" i="7"/>
  <c r="BI7" i="7"/>
  <c r="DQ4" i="7" s="1"/>
  <c r="BI5" i="7"/>
  <c r="BI32" i="7" s="1"/>
  <c r="BI10" i="7"/>
  <c r="BI36" i="7" s="1"/>
  <c r="BI13" i="7"/>
  <c r="BI38" i="7" s="1"/>
  <c r="BI19" i="7"/>
  <c r="BI42" i="7" s="1"/>
  <c r="BI27" i="7"/>
  <c r="DQ15" i="7" s="1"/>
  <c r="BI17" i="7"/>
  <c r="BI40" i="7" s="1"/>
  <c r="BI14" i="7"/>
  <c r="BI39" i="7" s="1"/>
  <c r="BI18" i="7"/>
  <c r="BI41" i="7" s="1"/>
  <c r="BI8" i="7"/>
  <c r="BI34" i="7" s="1"/>
  <c r="BI9" i="7"/>
  <c r="BI35" i="7" s="1"/>
  <c r="BI4" i="7"/>
  <c r="BI31" i="7" s="1"/>
  <c r="BI6" i="7"/>
  <c r="BI33" i="7" s="1"/>
  <c r="BI12" i="7"/>
  <c r="BI37" i="7" s="1"/>
  <c r="BI23" i="7"/>
  <c r="DQ13" i="7" s="1"/>
  <c r="BI24" i="7"/>
  <c r="DQ11" i="7" s="1"/>
  <c r="BI22" i="7"/>
  <c r="BI26" i="7"/>
  <c r="DQ14" i="7" s="1"/>
  <c r="BI15" i="7"/>
  <c r="BI16" i="7"/>
  <c r="BI25" i="7"/>
  <c r="DQ12" i="7" s="1"/>
  <c r="BI20" i="7"/>
  <c r="DQ10" i="7" s="1"/>
  <c r="BI21" i="7"/>
  <c r="DQ8" i="7" s="1"/>
  <c r="BI11" i="7"/>
  <c r="D26" i="41"/>
  <c r="H26" i="41" s="1"/>
  <c r="I160" i="49"/>
  <c r="AL43" i="49"/>
  <c r="N160" i="49"/>
  <c r="BJ43" i="49"/>
  <c r="FA30" i="49"/>
  <c r="EC30" i="49"/>
  <c r="DE30" i="49"/>
  <c r="CG30" i="49"/>
  <c r="BI30" i="49"/>
  <c r="AK30" i="49"/>
  <c r="M30" i="49"/>
  <c r="FE30" i="49"/>
  <c r="EZ30" i="49"/>
  <c r="AG147" i="49" s="1"/>
  <c r="EG30" i="49"/>
  <c r="EB30" i="49"/>
  <c r="AB147" i="49" s="1"/>
  <c r="DI30" i="49"/>
  <c r="DD30" i="49"/>
  <c r="W147" i="49" s="1"/>
  <c r="CK30" i="49"/>
  <c r="CF30" i="49"/>
  <c r="R147" i="49" s="1"/>
  <c r="BM30" i="49"/>
  <c r="BH30" i="49"/>
  <c r="M147" i="49" s="1"/>
  <c r="AO30" i="49"/>
  <c r="AJ30" i="49"/>
  <c r="H147" i="49" s="1"/>
  <c r="Q30" i="49"/>
  <c r="L30" i="49"/>
  <c r="C147" i="49" s="1"/>
  <c r="FD30" i="49"/>
  <c r="AI147" i="49" s="1"/>
  <c r="EY30" i="49"/>
  <c r="AF147" i="49" s="1"/>
  <c r="EF30" i="49"/>
  <c r="AD147" i="49" s="1"/>
  <c r="EA30" i="49"/>
  <c r="AA147" i="49" s="1"/>
  <c r="DH30" i="49"/>
  <c r="Y147" i="49" s="1"/>
  <c r="DC30" i="49"/>
  <c r="V147" i="49" s="1"/>
  <c r="CJ30" i="49"/>
  <c r="T147" i="49" s="1"/>
  <c r="CE30" i="49"/>
  <c r="Q147" i="49" s="1"/>
  <c r="BL30" i="49"/>
  <c r="O147" i="49" s="1"/>
  <c r="BG30" i="49"/>
  <c r="L147" i="49" s="1"/>
  <c r="AN30" i="49"/>
  <c r="J147" i="49" s="1"/>
  <c r="AI30" i="49"/>
  <c r="G147" i="49" s="1"/>
  <c r="P30" i="49"/>
  <c r="E147" i="49" s="1"/>
  <c r="K30" i="49"/>
  <c r="B147" i="49" s="1"/>
  <c r="F128" i="7"/>
  <c r="S146" i="49"/>
  <c r="CH29" i="49"/>
  <c r="X146" i="49"/>
  <c r="DF29" i="49"/>
  <c r="EM13" i="7"/>
  <c r="EM12" i="7"/>
  <c r="X231" i="49"/>
  <c r="DN60" i="49"/>
  <c r="I231" i="49"/>
  <c r="AT60" i="49"/>
  <c r="CL15" i="7"/>
  <c r="X200" i="49"/>
  <c r="DN29" i="49"/>
  <c r="I200" i="49"/>
  <c r="AT29" i="49"/>
  <c r="S136" i="49"/>
  <c r="CH19" i="49"/>
  <c r="AH136" i="49"/>
  <c r="FB19" i="49"/>
  <c r="D214" i="49"/>
  <c r="V43" i="49"/>
  <c r="AC214" i="49"/>
  <c r="EL43" i="49"/>
  <c r="Q57" i="7"/>
  <c r="Q58" i="7"/>
  <c r="V81" i="7"/>
  <c r="R81" i="7"/>
  <c r="V85" i="7"/>
  <c r="R85" i="7"/>
  <c r="BY7" i="7"/>
  <c r="EI4" i="7" s="1"/>
  <c r="BY5" i="7"/>
  <c r="BY32" i="7" s="1"/>
  <c r="BY27" i="7"/>
  <c r="BY14" i="7"/>
  <c r="BY39" i="7" s="1"/>
  <c r="BY18" i="7"/>
  <c r="BY41" i="7" s="1"/>
  <c r="BY13" i="7"/>
  <c r="BY38" i="7" s="1"/>
  <c r="BY19" i="7"/>
  <c r="BY42" i="7" s="1"/>
  <c r="BY17" i="7"/>
  <c r="BY40" i="7" s="1"/>
  <c r="BY8" i="7"/>
  <c r="BY34" i="7" s="1"/>
  <c r="BY4" i="7"/>
  <c r="BY31" i="7" s="1"/>
  <c r="BY9" i="7"/>
  <c r="BY35" i="7" s="1"/>
  <c r="BY10" i="7"/>
  <c r="BY36" i="7" s="1"/>
  <c r="BY12" i="7"/>
  <c r="BY37" i="7" s="1"/>
  <c r="BY6" i="7"/>
  <c r="BY33" i="7" s="1"/>
  <c r="BY24" i="7"/>
  <c r="EI11" i="7" s="1"/>
  <c r="BY15" i="7"/>
  <c r="EI7" i="7" s="1"/>
  <c r="BY25" i="7"/>
  <c r="EI12" i="7" s="1"/>
  <c r="BY26" i="7"/>
  <c r="BY16" i="7"/>
  <c r="EI6" i="7" s="1"/>
  <c r="BY20" i="7"/>
  <c r="EI10" i="7" s="1"/>
  <c r="BY23" i="7"/>
  <c r="EI13" i="7" s="1"/>
  <c r="BY21" i="7"/>
  <c r="BY22" i="7"/>
  <c r="BY11" i="7"/>
  <c r="EI5" i="7" s="1"/>
  <c r="Q67" i="7"/>
  <c r="AE12" i="25" l="1"/>
  <c r="V36" i="6"/>
  <c r="V32" i="6"/>
  <c r="V34" i="6"/>
  <c r="V38" i="6"/>
  <c r="V30" i="6"/>
  <c r="V35" i="6"/>
  <c r="V29" i="6"/>
  <c r="V31" i="6"/>
  <c r="V33" i="6"/>
  <c r="V37" i="6"/>
  <c r="J26" i="41"/>
  <c r="L26" i="41" s="1"/>
  <c r="I26" i="41"/>
  <c r="K26" i="41" s="1"/>
  <c r="N147" i="49"/>
  <c r="BJ30" i="49"/>
  <c r="EI8" i="7"/>
  <c r="EI14" i="7"/>
  <c r="D147" i="49"/>
  <c r="N30" i="49"/>
  <c r="X147" i="49"/>
  <c r="DF30" i="49"/>
  <c r="DQ5" i="7"/>
  <c r="DQ6" i="7"/>
  <c r="FL45" i="49"/>
  <c r="AI216" i="49" s="1"/>
  <c r="FG45" i="49"/>
  <c r="AF216" i="49" s="1"/>
  <c r="EK45" i="49"/>
  <c r="DP45" i="49"/>
  <c r="Y216" i="49" s="1"/>
  <c r="DK45" i="49"/>
  <c r="V216" i="49" s="1"/>
  <c r="CO45" i="49"/>
  <c r="BT45" i="49"/>
  <c r="O216" i="49" s="1"/>
  <c r="BO45" i="49"/>
  <c r="L216" i="49" s="1"/>
  <c r="AS45" i="49"/>
  <c r="X45" i="49"/>
  <c r="E216" i="49" s="1"/>
  <c r="S45" i="49"/>
  <c r="B216" i="49" s="1"/>
  <c r="EO45" i="49"/>
  <c r="EJ45" i="49"/>
  <c r="AB216" i="49" s="1"/>
  <c r="CS45" i="49"/>
  <c r="CN45" i="49"/>
  <c r="R216" i="49" s="1"/>
  <c r="AW45" i="49"/>
  <c r="AR45" i="49"/>
  <c r="H216" i="49" s="1"/>
  <c r="FI45" i="49"/>
  <c r="EN45" i="49"/>
  <c r="AD216" i="49" s="1"/>
  <c r="EI45" i="49"/>
  <c r="AA216" i="49" s="1"/>
  <c r="DM45" i="49"/>
  <c r="CR45" i="49"/>
  <c r="T216" i="49" s="1"/>
  <c r="CM45" i="49"/>
  <c r="Q216" i="49" s="1"/>
  <c r="BQ45" i="49"/>
  <c r="AV45" i="49"/>
  <c r="J216" i="49" s="1"/>
  <c r="AQ45" i="49"/>
  <c r="G216" i="49" s="1"/>
  <c r="U45" i="49"/>
  <c r="FM45" i="49"/>
  <c r="FH45" i="49"/>
  <c r="AG216" i="49" s="1"/>
  <c r="DQ45" i="49"/>
  <c r="DL45" i="49"/>
  <c r="W216" i="49" s="1"/>
  <c r="BU45" i="49"/>
  <c r="BP45" i="49"/>
  <c r="M216" i="49" s="1"/>
  <c r="Y45" i="49"/>
  <c r="T45" i="49"/>
  <c r="C216" i="49" s="1"/>
  <c r="H143" i="7"/>
  <c r="S215" i="49"/>
  <c r="CP44" i="49"/>
  <c r="X215" i="49"/>
  <c r="DN44" i="49"/>
  <c r="D161" i="49"/>
  <c r="N44" i="49"/>
  <c r="AC161" i="49"/>
  <c r="ED44" i="49"/>
  <c r="BM12" i="26"/>
  <c r="Y13" i="35" s="1"/>
  <c r="BO12" i="26"/>
  <c r="AA12" i="35" s="1"/>
  <c r="BI13" i="26"/>
  <c r="BJ13" i="26" s="1"/>
  <c r="N14" i="34"/>
  <c r="N137" i="49"/>
  <c r="BJ20" i="49"/>
  <c r="ER4" i="7"/>
  <c r="V48" i="6"/>
  <c r="V47" i="6"/>
  <c r="V42" i="6"/>
  <c r="V43" i="6"/>
  <c r="V41" i="6"/>
  <c r="V45" i="6"/>
  <c r="FA62" i="49"/>
  <c r="EF62" i="49"/>
  <c r="AD179" i="49" s="1"/>
  <c r="EA62" i="49"/>
  <c r="AA179" i="49" s="1"/>
  <c r="DE62" i="49"/>
  <c r="CJ62" i="49"/>
  <c r="T179" i="49" s="1"/>
  <c r="CE62" i="49"/>
  <c r="Q179" i="49" s="1"/>
  <c r="BI62" i="49"/>
  <c r="AN62" i="49"/>
  <c r="J179" i="49" s="1"/>
  <c r="AI62" i="49"/>
  <c r="G179" i="49" s="1"/>
  <c r="M62" i="49"/>
  <c r="FE62" i="49"/>
  <c r="EZ62" i="49"/>
  <c r="AG179" i="49" s="1"/>
  <c r="DI62" i="49"/>
  <c r="DD62" i="49"/>
  <c r="W179" i="49" s="1"/>
  <c r="BM62" i="49"/>
  <c r="BH62" i="49"/>
  <c r="M179" i="49" s="1"/>
  <c r="Q62" i="49"/>
  <c r="L62" i="49"/>
  <c r="C179" i="49" s="1"/>
  <c r="FD62" i="49"/>
  <c r="AI179" i="49" s="1"/>
  <c r="EY62" i="49"/>
  <c r="AF179" i="49" s="1"/>
  <c r="EC62" i="49"/>
  <c r="DH62" i="49"/>
  <c r="Y179" i="49" s="1"/>
  <c r="DC62" i="49"/>
  <c r="V179" i="49" s="1"/>
  <c r="CG62" i="49"/>
  <c r="BL62" i="49"/>
  <c r="O179" i="49" s="1"/>
  <c r="BG62" i="49"/>
  <c r="L179" i="49" s="1"/>
  <c r="AK62" i="49"/>
  <c r="P62" i="49"/>
  <c r="E179" i="49" s="1"/>
  <c r="K62" i="49"/>
  <c r="B179" i="49" s="1"/>
  <c r="EG62" i="49"/>
  <c r="EB62" i="49"/>
  <c r="AB179" i="49" s="1"/>
  <c r="CK62" i="49"/>
  <c r="CF62" i="49"/>
  <c r="R179" i="49" s="1"/>
  <c r="AO62" i="49"/>
  <c r="AJ62" i="49"/>
  <c r="H179" i="49" s="1"/>
  <c r="F160" i="7"/>
  <c r="N178" i="49"/>
  <c r="BJ61" i="49"/>
  <c r="AI11" i="25"/>
  <c r="N28" i="43"/>
  <c r="M29" i="43"/>
  <c r="DZ10" i="7"/>
  <c r="DZ14" i="7"/>
  <c r="DZ15" i="7"/>
  <c r="N201" i="49"/>
  <c r="BR30" i="49"/>
  <c r="AH201" i="49"/>
  <c r="FJ30" i="49"/>
  <c r="AC232" i="49"/>
  <c r="EL61" i="49"/>
  <c r="AH232" i="49"/>
  <c r="FJ61" i="49"/>
  <c r="AI13" i="35"/>
  <c r="AK10" i="35"/>
  <c r="AI11" i="35"/>
  <c r="AK8" i="35"/>
  <c r="V46" i="6"/>
  <c r="V40" i="6"/>
  <c r="V44" i="6"/>
  <c r="V39" i="6"/>
  <c r="X83" i="7"/>
  <c r="F10" i="6" s="1"/>
  <c r="DV15" i="7"/>
  <c r="I147" i="49"/>
  <c r="AL30" i="49"/>
  <c r="AC147" i="49"/>
  <c r="ED30" i="49"/>
  <c r="DQ7" i="7"/>
  <c r="I215" i="49"/>
  <c r="AT44" i="49"/>
  <c r="N215" i="49"/>
  <c r="BR44" i="49"/>
  <c r="AH161" i="49"/>
  <c r="FB44" i="49"/>
  <c r="S161" i="49"/>
  <c r="CH44" i="49"/>
  <c r="D137" i="49"/>
  <c r="N20" i="49"/>
  <c r="AC137" i="49"/>
  <c r="ED20" i="49"/>
  <c r="ER11" i="7"/>
  <c r="ER15" i="7"/>
  <c r="D178" i="49"/>
  <c r="N61" i="49"/>
  <c r="AC178" i="49"/>
  <c r="ED61" i="49"/>
  <c r="AF12" i="25"/>
  <c r="N9" i="43"/>
  <c r="M10" i="43"/>
  <c r="S201" i="49"/>
  <c r="CP30" i="49"/>
  <c r="FL62" i="49"/>
  <c r="AI233" i="49" s="1"/>
  <c r="FG62" i="49"/>
  <c r="AF233" i="49" s="1"/>
  <c r="EK62" i="49"/>
  <c r="DP62" i="49"/>
  <c r="Y233" i="49" s="1"/>
  <c r="DK62" i="49"/>
  <c r="V233" i="49" s="1"/>
  <c r="CO62" i="49"/>
  <c r="BT62" i="49"/>
  <c r="O233" i="49" s="1"/>
  <c r="BO62" i="49"/>
  <c r="L233" i="49" s="1"/>
  <c r="AS62" i="49"/>
  <c r="X62" i="49"/>
  <c r="E233" i="49" s="1"/>
  <c r="S62" i="49"/>
  <c r="B233" i="49" s="1"/>
  <c r="EO62" i="49"/>
  <c r="EJ62" i="49"/>
  <c r="AB233" i="49" s="1"/>
  <c r="CS62" i="49"/>
  <c r="CN62" i="49"/>
  <c r="R233" i="49" s="1"/>
  <c r="AW62" i="49"/>
  <c r="AR62" i="49"/>
  <c r="H233" i="49" s="1"/>
  <c r="FI62" i="49"/>
  <c r="EN62" i="49"/>
  <c r="AD233" i="49" s="1"/>
  <c r="EI62" i="49"/>
  <c r="AA233" i="49" s="1"/>
  <c r="DM62" i="49"/>
  <c r="CR62" i="49"/>
  <c r="T233" i="49" s="1"/>
  <c r="CM62" i="49"/>
  <c r="Q233" i="49" s="1"/>
  <c r="BQ62" i="49"/>
  <c r="AV62" i="49"/>
  <c r="J233" i="49" s="1"/>
  <c r="AQ62" i="49"/>
  <c r="G233" i="49" s="1"/>
  <c r="U62" i="49"/>
  <c r="FM62" i="49"/>
  <c r="FH62" i="49"/>
  <c r="AG233" i="49" s="1"/>
  <c r="DQ62" i="49"/>
  <c r="DL62" i="49"/>
  <c r="W233" i="49" s="1"/>
  <c r="BU62" i="49"/>
  <c r="BP62" i="49"/>
  <c r="M233" i="49" s="1"/>
  <c r="Y62" i="49"/>
  <c r="T62" i="49"/>
  <c r="C233" i="49" s="1"/>
  <c r="H160" i="7"/>
  <c r="S232" i="49"/>
  <c r="CP61" i="49"/>
  <c r="X232" i="49"/>
  <c r="DN61" i="49"/>
  <c r="AB13" i="35"/>
  <c r="AH12" i="35"/>
  <c r="AC13" i="35"/>
  <c r="AB11" i="35"/>
  <c r="AH13" i="35"/>
  <c r="AH11" i="35"/>
  <c r="V22" i="6"/>
  <c r="V27" i="6"/>
  <c r="V25" i="6"/>
  <c r="V20" i="6"/>
  <c r="V19" i="6"/>
  <c r="V28" i="6"/>
  <c r="V26" i="6"/>
  <c r="V21" i="6"/>
  <c r="V24" i="6"/>
  <c r="V23" i="6"/>
  <c r="P3" i="43"/>
  <c r="R3" i="43" s="1"/>
  <c r="M18" i="43" s="1"/>
  <c r="BM31" i="7"/>
  <c r="Z18" i="25"/>
  <c r="AB17" i="25"/>
  <c r="AC17" i="25" s="1"/>
  <c r="AA17" i="25"/>
  <c r="D215" i="49"/>
  <c r="V44" i="49"/>
  <c r="X161" i="49"/>
  <c r="DF44" i="49"/>
  <c r="I161" i="49"/>
  <c r="AL44" i="49"/>
  <c r="AH137" i="49"/>
  <c r="FB20" i="49"/>
  <c r="S137" i="49"/>
  <c r="CH20" i="49"/>
  <c r="AH178" i="49"/>
  <c r="FB61" i="49"/>
  <c r="S178" i="49"/>
  <c r="CH61" i="49"/>
  <c r="Y14" i="26"/>
  <c r="T15" i="26"/>
  <c r="U15" i="26" s="1"/>
  <c r="W14" i="26"/>
  <c r="S14" i="26"/>
  <c r="V14" i="26"/>
  <c r="D201" i="49"/>
  <c r="V30" i="49"/>
  <c r="X201" i="49"/>
  <c r="DN30" i="49"/>
  <c r="I232" i="49"/>
  <c r="AT61" i="49"/>
  <c r="N232" i="49"/>
  <c r="BR61" i="49"/>
  <c r="AJ12" i="35"/>
  <c r="AI12" i="35"/>
  <c r="AK9" i="35"/>
  <c r="AC11" i="35"/>
  <c r="X87" i="7"/>
  <c r="J10" i="6" s="1"/>
  <c r="D25" i="32"/>
  <c r="E24" i="32"/>
  <c r="F24" i="32" s="1"/>
  <c r="AH147" i="49"/>
  <c r="FB30" i="49"/>
  <c r="EI9" i="7"/>
  <c r="EI15" i="7"/>
  <c r="FA31" i="49"/>
  <c r="EC31" i="49"/>
  <c r="DE31" i="49"/>
  <c r="CG31" i="49"/>
  <c r="BI31" i="49"/>
  <c r="AK31" i="49"/>
  <c r="M31" i="49"/>
  <c r="FE31" i="49"/>
  <c r="EZ31" i="49"/>
  <c r="AG148" i="49" s="1"/>
  <c r="EG31" i="49"/>
  <c r="EB31" i="49"/>
  <c r="AB148" i="49" s="1"/>
  <c r="DI31" i="49"/>
  <c r="DD31" i="49"/>
  <c r="W148" i="49" s="1"/>
  <c r="CK31" i="49"/>
  <c r="CF31" i="49"/>
  <c r="R148" i="49" s="1"/>
  <c r="BM31" i="49"/>
  <c r="BH31" i="49"/>
  <c r="M148" i="49" s="1"/>
  <c r="AO31" i="49"/>
  <c r="AJ31" i="49"/>
  <c r="H148" i="49" s="1"/>
  <c r="Q31" i="49"/>
  <c r="L31" i="49"/>
  <c r="C148" i="49" s="1"/>
  <c r="FD31" i="49"/>
  <c r="AI148" i="49" s="1"/>
  <c r="EY31" i="49"/>
  <c r="AF148" i="49" s="1"/>
  <c r="EF31" i="49"/>
  <c r="AD148" i="49" s="1"/>
  <c r="EA31" i="49"/>
  <c r="AA148" i="49" s="1"/>
  <c r="DH31" i="49"/>
  <c r="Y148" i="49" s="1"/>
  <c r="DC31" i="49"/>
  <c r="V148" i="49" s="1"/>
  <c r="CJ31" i="49"/>
  <c r="T148" i="49" s="1"/>
  <c r="CE31" i="49"/>
  <c r="Q148" i="49" s="1"/>
  <c r="BL31" i="49"/>
  <c r="O148" i="49" s="1"/>
  <c r="BG31" i="49"/>
  <c r="L148" i="49" s="1"/>
  <c r="AN31" i="49"/>
  <c r="J148" i="49" s="1"/>
  <c r="AI31" i="49"/>
  <c r="G148" i="49" s="1"/>
  <c r="P31" i="49"/>
  <c r="E148" i="49" s="1"/>
  <c r="K31" i="49"/>
  <c r="B148" i="49" s="1"/>
  <c r="F129" i="7"/>
  <c r="S147" i="49"/>
  <c r="CH30" i="49"/>
  <c r="E26" i="41"/>
  <c r="B27" i="41" s="1"/>
  <c r="DQ9" i="7"/>
  <c r="AC215" i="49"/>
  <c r="EL44" i="49"/>
  <c r="AH215" i="49"/>
  <c r="FJ44" i="49"/>
  <c r="FA45" i="49"/>
  <c r="EF45" i="49"/>
  <c r="AD162" i="49" s="1"/>
  <c r="EA45" i="49"/>
  <c r="AA162" i="49" s="1"/>
  <c r="DE45" i="49"/>
  <c r="CJ45" i="49"/>
  <c r="T162" i="49" s="1"/>
  <c r="CE45" i="49"/>
  <c r="Q162" i="49" s="1"/>
  <c r="BI45" i="49"/>
  <c r="AN45" i="49"/>
  <c r="J162" i="49" s="1"/>
  <c r="AI45" i="49"/>
  <c r="G162" i="49" s="1"/>
  <c r="M45" i="49"/>
  <c r="FE45" i="49"/>
  <c r="EZ45" i="49"/>
  <c r="AG162" i="49" s="1"/>
  <c r="DI45" i="49"/>
  <c r="DD45" i="49"/>
  <c r="W162" i="49" s="1"/>
  <c r="BM45" i="49"/>
  <c r="BH45" i="49"/>
  <c r="M162" i="49" s="1"/>
  <c r="Q45" i="49"/>
  <c r="L45" i="49"/>
  <c r="C162" i="49" s="1"/>
  <c r="FD45" i="49"/>
  <c r="AI162" i="49" s="1"/>
  <c r="EY45" i="49"/>
  <c r="AF162" i="49" s="1"/>
  <c r="EC45" i="49"/>
  <c r="DH45" i="49"/>
  <c r="Y162" i="49" s="1"/>
  <c r="DC45" i="49"/>
  <c r="V162" i="49" s="1"/>
  <c r="CG45" i="49"/>
  <c r="BL45" i="49"/>
  <c r="O162" i="49" s="1"/>
  <c r="BG45" i="49"/>
  <c r="L162" i="49" s="1"/>
  <c r="AK45" i="49"/>
  <c r="P45" i="49"/>
  <c r="E162" i="49" s="1"/>
  <c r="K45" i="49"/>
  <c r="B162" i="49" s="1"/>
  <c r="EG45" i="49"/>
  <c r="EB45" i="49"/>
  <c r="AB162" i="49" s="1"/>
  <c r="CK45" i="49"/>
  <c r="CF45" i="49"/>
  <c r="R162" i="49" s="1"/>
  <c r="AO45" i="49"/>
  <c r="AJ45" i="49"/>
  <c r="H162" i="49" s="1"/>
  <c r="F143" i="7"/>
  <c r="N161" i="49"/>
  <c r="BJ44" i="49"/>
  <c r="R121" i="32"/>
  <c r="P122" i="32"/>
  <c r="X81" i="7"/>
  <c r="D10" i="6" s="1"/>
  <c r="L15" i="34"/>
  <c r="K15" i="34" s="1"/>
  <c r="M15" i="34"/>
  <c r="J16" i="34" s="1"/>
  <c r="N15" i="34"/>
  <c r="X137" i="49"/>
  <c r="DF20" i="49"/>
  <c r="I137" i="49"/>
  <c r="AL20" i="49"/>
  <c r="ER8" i="7"/>
  <c r="X84" i="7"/>
  <c r="G10" i="6" s="1"/>
  <c r="X178" i="49"/>
  <c r="DF61" i="49"/>
  <c r="I178" i="49"/>
  <c r="AL61" i="49"/>
  <c r="DZ13" i="7"/>
  <c r="FL31" i="49"/>
  <c r="AI202" i="49" s="1"/>
  <c r="FG31" i="49"/>
  <c r="AF202" i="49" s="1"/>
  <c r="EN31" i="49"/>
  <c r="AD202" i="49" s="1"/>
  <c r="EI31" i="49"/>
  <c r="AA202" i="49" s="1"/>
  <c r="DP31" i="49"/>
  <c r="Y202" i="49" s="1"/>
  <c r="DK31" i="49"/>
  <c r="V202" i="49" s="1"/>
  <c r="CR31" i="49"/>
  <c r="T202" i="49" s="1"/>
  <c r="CM31" i="49"/>
  <c r="Q202" i="49" s="1"/>
  <c r="BT31" i="49"/>
  <c r="O202" i="49" s="1"/>
  <c r="BO31" i="49"/>
  <c r="L202" i="49" s="1"/>
  <c r="AV31" i="49"/>
  <c r="J202" i="49" s="1"/>
  <c r="AQ31" i="49"/>
  <c r="G202" i="49" s="1"/>
  <c r="X31" i="49"/>
  <c r="E202" i="49" s="1"/>
  <c r="S31" i="49"/>
  <c r="B202" i="49" s="1"/>
  <c r="FI31" i="49"/>
  <c r="EK31" i="49"/>
  <c r="DM31" i="49"/>
  <c r="CO31" i="49"/>
  <c r="BQ31" i="49"/>
  <c r="AS31" i="49"/>
  <c r="U31" i="49"/>
  <c r="FM31" i="49"/>
  <c r="FH31" i="49"/>
  <c r="AG202" i="49" s="1"/>
  <c r="EO31" i="49"/>
  <c r="EJ31" i="49"/>
  <c r="AB202" i="49" s="1"/>
  <c r="DQ31" i="49"/>
  <c r="DL31" i="49"/>
  <c r="W202" i="49" s="1"/>
  <c r="CS31" i="49"/>
  <c r="CN31" i="49"/>
  <c r="R202" i="49" s="1"/>
  <c r="BU31" i="49"/>
  <c r="BP31" i="49"/>
  <c r="M202" i="49" s="1"/>
  <c r="AW31" i="49"/>
  <c r="AR31" i="49"/>
  <c r="H202" i="49" s="1"/>
  <c r="Y31" i="49"/>
  <c r="T31" i="49"/>
  <c r="C202" i="49" s="1"/>
  <c r="H129" i="7"/>
  <c r="I201" i="49"/>
  <c r="AT30" i="49"/>
  <c r="AC201" i="49"/>
  <c r="EL30" i="49"/>
  <c r="D232" i="49"/>
  <c r="V61" i="49"/>
  <c r="AB12" i="35"/>
  <c r="AJ11" i="35"/>
  <c r="AJ13" i="35"/>
  <c r="DV4" i="7"/>
  <c r="AA11" i="35" l="1"/>
  <c r="Y11" i="35"/>
  <c r="AA13" i="35"/>
  <c r="FL32" i="49"/>
  <c r="AI203" i="49" s="1"/>
  <c r="FG32" i="49"/>
  <c r="AF203" i="49" s="1"/>
  <c r="EN32" i="49"/>
  <c r="AD203" i="49" s="1"/>
  <c r="EI32" i="49"/>
  <c r="AA203" i="49" s="1"/>
  <c r="DP32" i="49"/>
  <c r="Y203" i="49" s="1"/>
  <c r="DK32" i="49"/>
  <c r="V203" i="49" s="1"/>
  <c r="CR32" i="49"/>
  <c r="T203" i="49" s="1"/>
  <c r="CM32" i="49"/>
  <c r="Q203" i="49" s="1"/>
  <c r="BT32" i="49"/>
  <c r="O203" i="49" s="1"/>
  <c r="BO32" i="49"/>
  <c r="L203" i="49" s="1"/>
  <c r="AV32" i="49"/>
  <c r="J203" i="49" s="1"/>
  <c r="AQ32" i="49"/>
  <c r="G203" i="49" s="1"/>
  <c r="X32" i="49"/>
  <c r="E203" i="49" s="1"/>
  <c r="S32" i="49"/>
  <c r="B203" i="49" s="1"/>
  <c r="FI32" i="49"/>
  <c r="EK32" i="49"/>
  <c r="DM32" i="49"/>
  <c r="CO32" i="49"/>
  <c r="BQ32" i="49"/>
  <c r="AS32" i="49"/>
  <c r="U32" i="49"/>
  <c r="FM32" i="49"/>
  <c r="FH32" i="49"/>
  <c r="AG203" i="49" s="1"/>
  <c r="EO32" i="49"/>
  <c r="EJ32" i="49"/>
  <c r="AB203" i="49" s="1"/>
  <c r="DQ32" i="49"/>
  <c r="DL32" i="49"/>
  <c r="W203" i="49" s="1"/>
  <c r="CS32" i="49"/>
  <c r="CN32" i="49"/>
  <c r="R203" i="49" s="1"/>
  <c r="BU32" i="49"/>
  <c r="BP32" i="49"/>
  <c r="M203" i="49" s="1"/>
  <c r="AW32" i="49"/>
  <c r="AR32" i="49"/>
  <c r="H203" i="49" s="1"/>
  <c r="Y32" i="49"/>
  <c r="T32" i="49"/>
  <c r="C203" i="49" s="1"/>
  <c r="H130" i="7"/>
  <c r="I202" i="49"/>
  <c r="AT31" i="49"/>
  <c r="AC202" i="49"/>
  <c r="EL31" i="49"/>
  <c r="M16" i="34"/>
  <c r="J17" i="34" s="1"/>
  <c r="L16" i="34"/>
  <c r="K16" i="34" s="1"/>
  <c r="N16" i="34"/>
  <c r="I162" i="49"/>
  <c r="AL45" i="49"/>
  <c r="N162" i="49"/>
  <c r="BJ45" i="49"/>
  <c r="I148" i="49"/>
  <c r="AL31" i="49"/>
  <c r="AC148" i="49"/>
  <c r="ED31" i="49"/>
  <c r="X233" i="49"/>
  <c r="DN62" i="49"/>
  <c r="I233" i="49"/>
  <c r="AT62" i="49"/>
  <c r="FD63" i="49"/>
  <c r="AI180" i="49" s="1"/>
  <c r="EY63" i="49"/>
  <c r="AF180" i="49" s="1"/>
  <c r="EC63" i="49"/>
  <c r="DH63" i="49"/>
  <c r="Y180" i="49" s="1"/>
  <c r="DC63" i="49"/>
  <c r="V180" i="49" s="1"/>
  <c r="CG63" i="49"/>
  <c r="BL63" i="49"/>
  <c r="O180" i="49" s="1"/>
  <c r="BG63" i="49"/>
  <c r="L180" i="49" s="1"/>
  <c r="AK63" i="49"/>
  <c r="P63" i="49"/>
  <c r="E180" i="49" s="1"/>
  <c r="K63" i="49"/>
  <c r="B180" i="49" s="1"/>
  <c r="EG63" i="49"/>
  <c r="EB63" i="49"/>
  <c r="AB180" i="49" s="1"/>
  <c r="CK63" i="49"/>
  <c r="CF63" i="49"/>
  <c r="R180" i="49" s="1"/>
  <c r="AO63" i="49"/>
  <c r="AJ63" i="49"/>
  <c r="H180" i="49" s="1"/>
  <c r="FA63" i="49"/>
  <c r="EF63" i="49"/>
  <c r="AD180" i="49" s="1"/>
  <c r="EA63" i="49"/>
  <c r="AA180" i="49" s="1"/>
  <c r="DE63" i="49"/>
  <c r="CJ63" i="49"/>
  <c r="T180" i="49" s="1"/>
  <c r="CE63" i="49"/>
  <c r="Q180" i="49" s="1"/>
  <c r="BI63" i="49"/>
  <c r="AN63" i="49"/>
  <c r="J180" i="49" s="1"/>
  <c r="AI63" i="49"/>
  <c r="G180" i="49" s="1"/>
  <c r="M63" i="49"/>
  <c r="FE63" i="49"/>
  <c r="EZ63" i="49"/>
  <c r="AG180" i="49" s="1"/>
  <c r="DI63" i="49"/>
  <c r="DD63" i="49"/>
  <c r="W180" i="49" s="1"/>
  <c r="BM63" i="49"/>
  <c r="BH63" i="49"/>
  <c r="M180" i="49" s="1"/>
  <c r="Q63" i="49"/>
  <c r="L63" i="49"/>
  <c r="C180" i="49" s="1"/>
  <c r="F161" i="7"/>
  <c r="S179" i="49"/>
  <c r="CH62" i="49"/>
  <c r="X179" i="49"/>
  <c r="DF62" i="49"/>
  <c r="AH216" i="49"/>
  <c r="FJ45" i="49"/>
  <c r="S216" i="49"/>
  <c r="CP45" i="49"/>
  <c r="N202" i="49"/>
  <c r="BR31" i="49"/>
  <c r="AH202" i="49"/>
  <c r="FJ31" i="49"/>
  <c r="D162" i="49"/>
  <c r="N45" i="49"/>
  <c r="N148" i="49"/>
  <c r="BJ31" i="49"/>
  <c r="AH148" i="49"/>
  <c r="FB31" i="49"/>
  <c r="V15" i="26"/>
  <c r="Y15" i="26"/>
  <c r="T16" i="26"/>
  <c r="U16" i="26" s="1"/>
  <c r="W15" i="26"/>
  <c r="S15" i="26"/>
  <c r="N18" i="43"/>
  <c r="M19" i="43"/>
  <c r="AK13" i="35"/>
  <c r="FI63" i="49"/>
  <c r="EN63" i="49"/>
  <c r="AD234" i="49" s="1"/>
  <c r="EI63" i="49"/>
  <c r="AA234" i="49" s="1"/>
  <c r="DM63" i="49"/>
  <c r="CR63" i="49"/>
  <c r="T234" i="49" s="1"/>
  <c r="CM63" i="49"/>
  <c r="Q234" i="49" s="1"/>
  <c r="BQ63" i="49"/>
  <c r="AV63" i="49"/>
  <c r="J234" i="49" s="1"/>
  <c r="AQ63" i="49"/>
  <c r="G234" i="49" s="1"/>
  <c r="U63" i="49"/>
  <c r="FM63" i="49"/>
  <c r="FH63" i="49"/>
  <c r="AG234" i="49" s="1"/>
  <c r="DQ63" i="49"/>
  <c r="DL63" i="49"/>
  <c r="W234" i="49" s="1"/>
  <c r="BU63" i="49"/>
  <c r="BP63" i="49"/>
  <c r="M234" i="49" s="1"/>
  <c r="Y63" i="49"/>
  <c r="T63" i="49"/>
  <c r="C234" i="49" s="1"/>
  <c r="FL63" i="49"/>
  <c r="AI234" i="49" s="1"/>
  <c r="FG63" i="49"/>
  <c r="AF234" i="49" s="1"/>
  <c r="EK63" i="49"/>
  <c r="DP63" i="49"/>
  <c r="Y234" i="49" s="1"/>
  <c r="DK63" i="49"/>
  <c r="V234" i="49" s="1"/>
  <c r="CO63" i="49"/>
  <c r="BT63" i="49"/>
  <c r="O234" i="49" s="1"/>
  <c r="BO63" i="49"/>
  <c r="L234" i="49" s="1"/>
  <c r="AS63" i="49"/>
  <c r="X63" i="49"/>
  <c r="E234" i="49" s="1"/>
  <c r="S63" i="49"/>
  <c r="B234" i="49" s="1"/>
  <c r="EO63" i="49"/>
  <c r="EJ63" i="49"/>
  <c r="AB234" i="49" s="1"/>
  <c r="CS63" i="49"/>
  <c r="CN63" i="49"/>
  <c r="R234" i="49" s="1"/>
  <c r="AW63" i="49"/>
  <c r="AR63" i="49"/>
  <c r="H234" i="49" s="1"/>
  <c r="H161" i="7"/>
  <c r="N233" i="49"/>
  <c r="BR62" i="49"/>
  <c r="AJ12" i="25"/>
  <c r="AH12" i="25"/>
  <c r="I179" i="49"/>
  <c r="AL62" i="49"/>
  <c r="N179" i="49"/>
  <c r="BJ62" i="49"/>
  <c r="X216" i="49"/>
  <c r="DN45" i="49"/>
  <c r="I216" i="49"/>
  <c r="AT45" i="49"/>
  <c r="S202" i="49"/>
  <c r="CP31" i="49"/>
  <c r="AC162" i="49"/>
  <c r="ED45" i="49"/>
  <c r="AH162" i="49"/>
  <c r="FB45" i="49"/>
  <c r="C27" i="41"/>
  <c r="F27" i="41"/>
  <c r="FA32" i="49"/>
  <c r="EC32" i="49"/>
  <c r="DE32" i="49"/>
  <c r="CG32" i="49"/>
  <c r="BI32" i="49"/>
  <c r="AK32" i="49"/>
  <c r="M32" i="49"/>
  <c r="FE32" i="49"/>
  <c r="EZ32" i="49"/>
  <c r="AG149" i="49" s="1"/>
  <c r="EG32" i="49"/>
  <c r="EB32" i="49"/>
  <c r="AB149" i="49" s="1"/>
  <c r="DI32" i="49"/>
  <c r="DD32" i="49"/>
  <c r="W149" i="49" s="1"/>
  <c r="CK32" i="49"/>
  <c r="CF32" i="49"/>
  <c r="R149" i="49" s="1"/>
  <c r="BM32" i="49"/>
  <c r="BH32" i="49"/>
  <c r="M149" i="49" s="1"/>
  <c r="AO32" i="49"/>
  <c r="AJ32" i="49"/>
  <c r="H149" i="49" s="1"/>
  <c r="Q32" i="49"/>
  <c r="L32" i="49"/>
  <c r="C149" i="49" s="1"/>
  <c r="FD32" i="49"/>
  <c r="AI149" i="49" s="1"/>
  <c r="EY32" i="49"/>
  <c r="AF149" i="49" s="1"/>
  <c r="EF32" i="49"/>
  <c r="AD149" i="49" s="1"/>
  <c r="EA32" i="49"/>
  <c r="AA149" i="49" s="1"/>
  <c r="DH32" i="49"/>
  <c r="Y149" i="49" s="1"/>
  <c r="DC32" i="49"/>
  <c r="V149" i="49" s="1"/>
  <c r="CJ32" i="49"/>
  <c r="T149" i="49" s="1"/>
  <c r="CE32" i="49"/>
  <c r="Q149" i="49" s="1"/>
  <c r="BL32" i="49"/>
  <c r="O149" i="49" s="1"/>
  <c r="BG32" i="49"/>
  <c r="L149" i="49" s="1"/>
  <c r="AN32" i="49"/>
  <c r="J149" i="49" s="1"/>
  <c r="AI32" i="49"/>
  <c r="G149" i="49" s="1"/>
  <c r="P32" i="49"/>
  <c r="E149" i="49" s="1"/>
  <c r="K32" i="49"/>
  <c r="B149" i="49" s="1"/>
  <c r="F130" i="7"/>
  <c r="S148" i="49"/>
  <c r="CH31" i="49"/>
  <c r="AK11" i="35"/>
  <c r="AK12" i="35"/>
  <c r="D233" i="49"/>
  <c r="V62" i="49"/>
  <c r="AC233" i="49"/>
  <c r="EL62" i="49"/>
  <c r="D179" i="49"/>
  <c r="N62" i="49"/>
  <c r="BU13" i="26"/>
  <c r="BQ13" i="26"/>
  <c r="BT13" i="26"/>
  <c r="BP13" i="26"/>
  <c r="BL13" i="26"/>
  <c r="BI14" i="26" s="1"/>
  <c r="BJ14" i="26" s="1"/>
  <c r="BW13" i="26"/>
  <c r="BS13" i="26"/>
  <c r="BO13" i="26"/>
  <c r="BK13" i="26"/>
  <c r="BV13" i="26"/>
  <c r="BR13" i="26"/>
  <c r="FI46" i="49"/>
  <c r="EN46" i="49"/>
  <c r="AD217" i="49" s="1"/>
  <c r="EI46" i="49"/>
  <c r="AA217" i="49" s="1"/>
  <c r="DM46" i="49"/>
  <c r="CR46" i="49"/>
  <c r="T217" i="49" s="1"/>
  <c r="CM46" i="49"/>
  <c r="Q217" i="49" s="1"/>
  <c r="BQ46" i="49"/>
  <c r="AV46" i="49"/>
  <c r="J217" i="49" s="1"/>
  <c r="AQ46" i="49"/>
  <c r="G217" i="49" s="1"/>
  <c r="U46" i="49"/>
  <c r="FM46" i="49"/>
  <c r="FH46" i="49"/>
  <c r="AG217" i="49" s="1"/>
  <c r="DQ46" i="49"/>
  <c r="DL46" i="49"/>
  <c r="W217" i="49" s="1"/>
  <c r="BU46" i="49"/>
  <c r="BP46" i="49"/>
  <c r="M217" i="49" s="1"/>
  <c r="Y46" i="49"/>
  <c r="T46" i="49"/>
  <c r="C217" i="49" s="1"/>
  <c r="FL46" i="49"/>
  <c r="AI217" i="49" s="1"/>
  <c r="FG46" i="49"/>
  <c r="AF217" i="49" s="1"/>
  <c r="EK46" i="49"/>
  <c r="DP46" i="49"/>
  <c r="Y217" i="49" s="1"/>
  <c r="DK46" i="49"/>
  <c r="V217" i="49" s="1"/>
  <c r="CO46" i="49"/>
  <c r="BT46" i="49"/>
  <c r="O217" i="49" s="1"/>
  <c r="BO46" i="49"/>
  <c r="L217" i="49" s="1"/>
  <c r="AS46" i="49"/>
  <c r="X46" i="49"/>
  <c r="E217" i="49" s="1"/>
  <c r="S46" i="49"/>
  <c r="B217" i="49" s="1"/>
  <c r="EO46" i="49"/>
  <c r="EJ46" i="49"/>
  <c r="AB217" i="49" s="1"/>
  <c r="CS46" i="49"/>
  <c r="CN46" i="49"/>
  <c r="R217" i="49" s="1"/>
  <c r="AW46" i="49"/>
  <c r="AR46" i="49"/>
  <c r="H217" i="49" s="1"/>
  <c r="H144" i="7"/>
  <c r="N216" i="49"/>
  <c r="BR45" i="49"/>
  <c r="D202" i="49"/>
  <c r="V31" i="49"/>
  <c r="X202" i="49"/>
  <c r="DN31" i="49"/>
  <c r="R122" i="32"/>
  <c r="P123" i="32"/>
  <c r="R123" i="32" s="1"/>
  <c r="FD46" i="49"/>
  <c r="AI163" i="49" s="1"/>
  <c r="EY46" i="49"/>
  <c r="AF163" i="49" s="1"/>
  <c r="EC46" i="49"/>
  <c r="DH46" i="49"/>
  <c r="Y163" i="49" s="1"/>
  <c r="DC46" i="49"/>
  <c r="V163" i="49" s="1"/>
  <c r="CG46" i="49"/>
  <c r="BL46" i="49"/>
  <c r="O163" i="49" s="1"/>
  <c r="BG46" i="49"/>
  <c r="L163" i="49" s="1"/>
  <c r="AK46" i="49"/>
  <c r="P46" i="49"/>
  <c r="E163" i="49" s="1"/>
  <c r="K46" i="49"/>
  <c r="B163" i="49" s="1"/>
  <c r="EG46" i="49"/>
  <c r="EB46" i="49"/>
  <c r="AB163" i="49" s="1"/>
  <c r="CK46" i="49"/>
  <c r="CF46" i="49"/>
  <c r="R163" i="49" s="1"/>
  <c r="AO46" i="49"/>
  <c r="AJ46" i="49"/>
  <c r="H163" i="49" s="1"/>
  <c r="FA46" i="49"/>
  <c r="EF46" i="49"/>
  <c r="AD163" i="49" s="1"/>
  <c r="EA46" i="49"/>
  <c r="AA163" i="49" s="1"/>
  <c r="DE46" i="49"/>
  <c r="CJ46" i="49"/>
  <c r="T163" i="49" s="1"/>
  <c r="CE46" i="49"/>
  <c r="Q163" i="49" s="1"/>
  <c r="BI46" i="49"/>
  <c r="AN46" i="49"/>
  <c r="J163" i="49" s="1"/>
  <c r="AI46" i="49"/>
  <c r="G163" i="49" s="1"/>
  <c r="M46" i="49"/>
  <c r="FE46" i="49"/>
  <c r="EZ46" i="49"/>
  <c r="AG163" i="49" s="1"/>
  <c r="DI46" i="49"/>
  <c r="DD46" i="49"/>
  <c r="W163" i="49" s="1"/>
  <c r="BM46" i="49"/>
  <c r="BH46" i="49"/>
  <c r="M163" i="49" s="1"/>
  <c r="Q46" i="49"/>
  <c r="L46" i="49"/>
  <c r="C163" i="49" s="1"/>
  <c r="F144" i="7"/>
  <c r="S162" i="49"/>
  <c r="CH45" i="49"/>
  <c r="X162" i="49"/>
  <c r="DF45" i="49"/>
  <c r="D148" i="49"/>
  <c r="N31" i="49"/>
  <c r="X148" i="49"/>
  <c r="DF31" i="49"/>
  <c r="D26" i="32"/>
  <c r="E25" i="32"/>
  <c r="F25" i="32" s="1"/>
  <c r="Z19" i="25"/>
  <c r="AB18" i="25"/>
  <c r="AC18" i="25" s="1"/>
  <c r="W6" i="25" s="1"/>
  <c r="AA18" i="25"/>
  <c r="AH233" i="49"/>
  <c r="FJ62" i="49"/>
  <c r="S233" i="49"/>
  <c r="CP62" i="49"/>
  <c r="N10" i="43"/>
  <c r="M11" i="43"/>
  <c r="M30" i="43"/>
  <c r="N29" i="43"/>
  <c r="AC179" i="49"/>
  <c r="ED62" i="49"/>
  <c r="AH179" i="49"/>
  <c r="FB62" i="49"/>
  <c r="D216" i="49"/>
  <c r="V45" i="49"/>
  <c r="AC216" i="49"/>
  <c r="EL45" i="49"/>
  <c r="CT204" i="50"/>
  <c r="BK75" i="50"/>
  <c r="CT117" i="50"/>
  <c r="H75" i="50"/>
  <c r="CT219" i="50"/>
  <c r="AD43" i="50"/>
  <c r="BL150" i="50"/>
  <c r="AI78" i="50"/>
  <c r="CT165" i="50"/>
  <c r="BN78" i="50"/>
  <c r="CT189" i="50"/>
  <c r="BL78" i="50"/>
  <c r="DO150" i="50"/>
  <c r="AT75" i="50"/>
  <c r="AG131" i="50"/>
  <c r="AO75" i="50"/>
  <c r="S131" i="50"/>
  <c r="ES78" i="50"/>
  <c r="J131" i="50"/>
  <c r="I78" i="50"/>
  <c r="AB131" i="50"/>
  <c r="T32" i="50"/>
  <c r="EV130" i="50"/>
  <c r="U51" i="50"/>
  <c r="Q145" i="50"/>
  <c r="O184" i="50"/>
  <c r="V49" i="50"/>
  <c r="Z32" i="50"/>
  <c r="CR184" i="50"/>
  <c r="Y150" i="50"/>
  <c r="W150" i="50"/>
  <c r="EV164" i="50"/>
  <c r="AJ78" i="50"/>
  <c r="AW131" i="50"/>
  <c r="BK78" i="50"/>
  <c r="CO131" i="50"/>
  <c r="D15" i="50"/>
  <c r="AR131" i="50"/>
  <c r="BH78" i="50"/>
  <c r="CQ145" i="50"/>
  <c r="G15" i="50"/>
  <c r="AE131" i="50"/>
  <c r="S16" i="50"/>
  <c r="AS131" i="50"/>
  <c r="R150" i="50"/>
  <c r="BH150" i="50"/>
  <c r="BI150" i="50"/>
  <c r="I150" i="50"/>
  <c r="EV73" i="50"/>
  <c r="EV86" i="50"/>
  <c r="EV113" i="50"/>
  <c r="EV125" i="50"/>
  <c r="U43" i="50"/>
  <c r="DM75" i="50"/>
  <c r="DN78" i="50"/>
  <c r="Y28" i="50"/>
  <c r="AY95" i="50"/>
  <c r="DK145" i="50"/>
  <c r="Z95" i="50"/>
  <c r="DJ145" i="50"/>
  <c r="EV114" i="50"/>
  <c r="BW185" i="50"/>
  <c r="M185" i="50"/>
  <c r="EV90" i="50"/>
  <c r="EV102" i="50"/>
  <c r="EV98" i="50"/>
  <c r="EV110" i="50"/>
  <c r="EV149" i="50"/>
  <c r="EV81" i="50"/>
  <c r="EV109" i="50"/>
  <c r="EV201" i="50"/>
  <c r="EV121" i="50"/>
  <c r="EV145" i="50"/>
  <c r="EV133" i="50"/>
  <c r="EV165" i="50"/>
  <c r="EV101" i="50"/>
  <c r="AD78" i="50"/>
  <c r="AL78" i="50"/>
  <c r="AT78" i="50"/>
  <c r="EA78" i="50"/>
  <c r="BC184" i="50"/>
  <c r="CT89" i="50"/>
  <c r="CT93" i="50"/>
  <c r="CT218" i="50"/>
  <c r="C150" i="50"/>
  <c r="BN184" i="50"/>
  <c r="CT120" i="50"/>
  <c r="AQ184" i="50"/>
  <c r="AL146" i="50"/>
  <c r="BZ185" i="50"/>
  <c r="CT79" i="50"/>
  <c r="CT75" i="50"/>
  <c r="CT87" i="50"/>
  <c r="CT114" i="50"/>
  <c r="CT126" i="50"/>
  <c r="CT82" i="50"/>
  <c r="CT94" i="50"/>
  <c r="CT99" i="50"/>
  <c r="CT111" i="50"/>
  <c r="CT107" i="50"/>
  <c r="CT118" i="50"/>
  <c r="CT74" i="50"/>
  <c r="CQ75" i="50"/>
  <c r="BY75" i="50"/>
  <c r="BB75" i="50"/>
  <c r="AN75" i="50"/>
  <c r="AV75" i="50"/>
  <c r="F75" i="50"/>
  <c r="Q75" i="50"/>
  <c r="CO75" i="50"/>
  <c r="W78" i="50"/>
  <c r="BZ150" i="50"/>
  <c r="AQ150" i="50"/>
  <c r="EV96" i="50"/>
  <c r="AT184" i="50"/>
  <c r="BD75" i="50"/>
  <c r="DL185" i="50"/>
  <c r="AL75" i="50"/>
  <c r="EV124" i="50"/>
  <c r="CT122" i="50"/>
  <c r="AO150" i="50"/>
  <c r="Q150" i="50"/>
  <c r="C15" i="50"/>
  <c r="CO95" i="50"/>
  <c r="O145" i="50"/>
  <c r="AO95" i="50"/>
  <c r="G21" i="50"/>
  <c r="W75" i="50"/>
  <c r="AQ185" i="50"/>
  <c r="T75" i="50"/>
  <c r="DP131" i="50"/>
  <c r="BJ75" i="50"/>
  <c r="BY131" i="50"/>
  <c r="BD78" i="50"/>
  <c r="AY131" i="50"/>
  <c r="AZ75" i="50"/>
  <c r="BM131" i="50"/>
  <c r="Y75" i="50"/>
  <c r="BZ131" i="50"/>
  <c r="ED150" i="50"/>
  <c r="CA150" i="50"/>
  <c r="EC150" i="50"/>
  <c r="BM150" i="50"/>
  <c r="AU150" i="50"/>
  <c r="CP150" i="50"/>
  <c r="DL150" i="50"/>
  <c r="AZ150" i="50"/>
  <c r="G150" i="50"/>
  <c r="EV108" i="50"/>
  <c r="EV132" i="50"/>
  <c r="AH131" i="50"/>
  <c r="AK217" i="50"/>
  <c r="EA131" i="50"/>
  <c r="CS95" i="50"/>
  <c r="BL145" i="50"/>
  <c r="EU184" i="50"/>
  <c r="W32" i="50"/>
  <c r="E23" i="50"/>
  <c r="AR150" i="50"/>
  <c r="AD150" i="50"/>
  <c r="AP150" i="50"/>
  <c r="BJ150" i="50"/>
  <c r="BW150" i="50"/>
  <c r="T150" i="50"/>
  <c r="M150" i="50"/>
  <c r="E150" i="50"/>
  <c r="AH150" i="50"/>
  <c r="AF150" i="50"/>
  <c r="DZ150" i="50"/>
  <c r="V150" i="50"/>
  <c r="DJ150" i="50"/>
  <c r="F78" i="50"/>
  <c r="E15" i="50"/>
  <c r="Z43" i="50"/>
  <c r="W43" i="50"/>
  <c r="R78" i="50"/>
  <c r="DY78" i="50"/>
  <c r="AL16" i="50"/>
  <c r="AF16" i="50"/>
  <c r="BB145" i="50"/>
  <c r="ED78" i="50"/>
  <c r="AM78" i="50"/>
  <c r="M184" i="50"/>
  <c r="DN146" i="50"/>
  <c r="AW184" i="50"/>
  <c r="DJ146" i="50"/>
  <c r="CO184" i="50"/>
  <c r="ET185" i="50"/>
  <c r="ET75" i="50"/>
  <c r="BH184" i="50"/>
  <c r="P78" i="50"/>
  <c r="BW78" i="50"/>
  <c r="AD16" i="50"/>
  <c r="DZ78" i="50"/>
  <c r="Y78" i="50"/>
  <c r="BX78" i="50"/>
  <c r="DM78" i="50"/>
  <c r="CS184" i="50"/>
  <c r="J15" i="50"/>
  <c r="AH78" i="50"/>
  <c r="Y16" i="50"/>
  <c r="DL78" i="50"/>
  <c r="AO78" i="50"/>
  <c r="EV87" i="50"/>
  <c r="AS184" i="50"/>
  <c r="EV95" i="50"/>
  <c r="AR184" i="50"/>
  <c r="EV122" i="50"/>
  <c r="CQ185" i="50"/>
  <c r="EV220" i="50"/>
  <c r="U185" i="50"/>
  <c r="EV78" i="50"/>
  <c r="CT97" i="50"/>
  <c r="CT200" i="50"/>
  <c r="W49" i="50"/>
  <c r="AA150" i="50"/>
  <c r="EV146" i="50"/>
  <c r="EV186" i="50"/>
  <c r="EV166" i="50"/>
  <c r="EV202" i="50"/>
  <c r="EC75" i="50"/>
  <c r="BM75" i="50"/>
  <c r="AU75" i="50"/>
  <c r="L75" i="50"/>
  <c r="EV221" i="50"/>
  <c r="CB75" i="50"/>
  <c r="ED75" i="50"/>
  <c r="CA75" i="50"/>
  <c r="AM75" i="50"/>
  <c r="CT134" i="50"/>
  <c r="N150" i="50"/>
  <c r="CT150" i="50"/>
  <c r="EV80" i="50"/>
  <c r="CT108" i="50"/>
  <c r="EV204" i="50"/>
  <c r="CT145" i="50"/>
  <c r="BX75" i="50"/>
  <c r="AE43" i="50"/>
  <c r="M15" i="50"/>
  <c r="AJ184" i="50"/>
  <c r="F185" i="50"/>
  <c r="E25" i="50"/>
  <c r="AS185" i="50"/>
  <c r="L25" i="50"/>
  <c r="EV189" i="50"/>
  <c r="EV190" i="50"/>
  <c r="CT124" i="50"/>
  <c r="AX185" i="50"/>
  <c r="EV83" i="50"/>
  <c r="AA49" i="50"/>
  <c r="M146" i="50"/>
  <c r="AZ184" i="50"/>
  <c r="BW146" i="50"/>
  <c r="BA184" i="50"/>
  <c r="CT202" i="50"/>
  <c r="CT119" i="50"/>
  <c r="CT115" i="50"/>
  <c r="CT131" i="50"/>
  <c r="CT203" i="50"/>
  <c r="DP150" i="50"/>
  <c r="CQ150" i="50"/>
  <c r="BY150" i="50"/>
  <c r="CT163" i="50"/>
  <c r="CT199" i="50"/>
  <c r="CT187" i="50"/>
  <c r="CT221" i="50"/>
  <c r="ET150" i="50"/>
  <c r="BA75" i="50"/>
  <c r="AR75" i="50"/>
  <c r="CP75" i="50"/>
  <c r="AP75" i="50"/>
  <c r="BM78" i="50"/>
  <c r="BB78" i="50"/>
  <c r="N78" i="50"/>
  <c r="Z16" i="50"/>
  <c r="S32" i="50"/>
  <c r="EV185" i="50"/>
  <c r="EV150" i="50"/>
  <c r="I15" i="50"/>
  <c r="X145" i="50"/>
  <c r="EB184" i="50"/>
  <c r="H145" i="50"/>
  <c r="AA51" i="50"/>
  <c r="DO184" i="50"/>
  <c r="U150" i="50"/>
  <c r="EB78" i="50"/>
  <c r="BY78" i="50"/>
  <c r="AU78" i="50"/>
  <c r="AN78" i="50"/>
  <c r="U16" i="50"/>
  <c r="T16" i="50"/>
  <c r="R16" i="50"/>
  <c r="AB16" i="50"/>
  <c r="X16" i="50"/>
  <c r="V43" i="50"/>
  <c r="E78" i="50"/>
  <c r="AC43" i="50"/>
  <c r="S43" i="50"/>
  <c r="T43" i="50"/>
  <c r="AY150" i="50"/>
  <c r="AH32" i="50"/>
  <c r="AX150" i="50"/>
  <c r="AD51" i="50"/>
  <c r="EV76" i="50"/>
  <c r="C23" i="50"/>
  <c r="EV115" i="50"/>
  <c r="AF32" i="50"/>
  <c r="W16" i="50"/>
  <c r="DY131" i="50"/>
  <c r="G131" i="50"/>
  <c r="CA145" i="50"/>
  <c r="U95" i="50"/>
  <c r="AG145" i="50"/>
  <c r="BX95" i="50"/>
  <c r="EV199" i="50"/>
  <c r="EV200" i="50"/>
  <c r="DO75" i="50"/>
  <c r="AL131" i="50"/>
  <c r="EV92" i="50"/>
  <c r="X51" i="50"/>
  <c r="EV100" i="50"/>
  <c r="AG184" i="50"/>
  <c r="EV163" i="50"/>
  <c r="AB184" i="50"/>
  <c r="EV167" i="50"/>
  <c r="ED185" i="50"/>
  <c r="EV123" i="50"/>
  <c r="Y32" i="50"/>
  <c r="EV135" i="50"/>
  <c r="Z184" i="50"/>
  <c r="EV103" i="50"/>
  <c r="AE78" i="50"/>
  <c r="F21" i="50"/>
  <c r="AS78" i="50"/>
  <c r="AX145" i="50"/>
  <c r="ET184" i="50"/>
  <c r="CT91" i="50"/>
  <c r="CT103" i="50"/>
  <c r="AV150" i="50"/>
  <c r="EV106" i="50"/>
  <c r="ES184" i="50"/>
  <c r="AF185" i="50"/>
  <c r="AU146" i="50"/>
  <c r="L185" i="50"/>
  <c r="AA10" i="26"/>
  <c r="CT80" i="50"/>
  <c r="CT77" i="50"/>
  <c r="CT184" i="50"/>
  <c r="CT116" i="50"/>
  <c r="AI150" i="50"/>
  <c r="CT84" i="50"/>
  <c r="EV75" i="50"/>
  <c r="CT101" i="50"/>
  <c r="ES150" i="50"/>
  <c r="CT109" i="50"/>
  <c r="AT150" i="50"/>
  <c r="CT76" i="50"/>
  <c r="BL75" i="50"/>
  <c r="AV185" i="50"/>
  <c r="EB75" i="50"/>
  <c r="C185" i="50"/>
  <c r="G75" i="50"/>
  <c r="BA185" i="50"/>
  <c r="AF75" i="50"/>
  <c r="CA131" i="50"/>
  <c r="T78" i="50"/>
  <c r="AS150" i="50"/>
  <c r="BI75" i="50"/>
  <c r="J23" i="50"/>
  <c r="AV78" i="50"/>
  <c r="N185" i="50"/>
  <c r="AC78" i="50"/>
  <c r="EV116" i="50"/>
  <c r="CT95" i="50"/>
  <c r="CT136" i="50"/>
  <c r="CT73" i="50"/>
  <c r="ED184" i="50"/>
  <c r="AN145" i="50"/>
  <c r="DL95" i="50"/>
  <c r="Z145" i="50"/>
  <c r="AP95" i="50"/>
  <c r="X75" i="50"/>
  <c r="DY75" i="50"/>
  <c r="DK75" i="50"/>
  <c r="S75" i="50"/>
  <c r="AI75" i="50"/>
  <c r="AE75" i="50"/>
  <c r="DP78" i="50"/>
  <c r="EC78" i="50"/>
  <c r="EQ75" i="50"/>
  <c r="Z75" i="50"/>
  <c r="AA75" i="50"/>
  <c r="AB75" i="50"/>
  <c r="AQ75" i="50"/>
  <c r="CS150" i="50"/>
  <c r="H15" i="50"/>
  <c r="CR150" i="50"/>
  <c r="AA43" i="50"/>
  <c r="ER150" i="50"/>
  <c r="DN184" i="50"/>
  <c r="Z150" i="50"/>
  <c r="DK184" i="50"/>
  <c r="AW150" i="50"/>
  <c r="AP184" i="50"/>
  <c r="BB185" i="50"/>
  <c r="P131" i="50"/>
  <c r="BA217" i="50"/>
  <c r="D131" i="50"/>
  <c r="CA95" i="50"/>
  <c r="BD184" i="50"/>
  <c r="CT85" i="50"/>
  <c r="DY150" i="50"/>
  <c r="DN131" i="50"/>
  <c r="EA150" i="50"/>
  <c r="BK184" i="50"/>
  <c r="AE150" i="50"/>
  <c r="X32" i="50"/>
  <c r="S150" i="50"/>
  <c r="W51" i="50"/>
  <c r="J150" i="50"/>
  <c r="G23" i="50"/>
  <c r="CO150" i="50"/>
  <c r="L23" i="50"/>
  <c r="AG150" i="50"/>
  <c r="AX184" i="50"/>
  <c r="L150" i="50"/>
  <c r="L78" i="50"/>
  <c r="ED145" i="50"/>
  <c r="DJ78" i="50"/>
  <c r="EC145" i="50"/>
  <c r="DK78" i="50"/>
  <c r="AU145" i="50"/>
  <c r="AB43" i="50"/>
  <c r="BW145" i="50"/>
  <c r="AM145" i="50"/>
  <c r="BZ78" i="50"/>
  <c r="DZ184" i="50"/>
  <c r="BM146" i="50"/>
  <c r="BX184" i="50"/>
  <c r="J146" i="50"/>
  <c r="CS185" i="50"/>
  <c r="EC185" i="50"/>
  <c r="EV217" i="50"/>
  <c r="BZ75" i="50"/>
  <c r="BL184" i="50"/>
  <c r="V78" i="50"/>
  <c r="AZ145" i="50"/>
  <c r="X43" i="50"/>
  <c r="CO145" i="50"/>
  <c r="Z78" i="50"/>
  <c r="T145" i="50"/>
  <c r="AP78" i="50"/>
  <c r="CT130" i="50"/>
  <c r="Y43" i="50"/>
  <c r="S145" i="50"/>
  <c r="AF43" i="50"/>
  <c r="DY145" i="50"/>
  <c r="EV85" i="50"/>
  <c r="EV97" i="50"/>
  <c r="EV93" i="50"/>
  <c r="EV105" i="50"/>
  <c r="EV120" i="50"/>
  <c r="EV134" i="50"/>
  <c r="EV218" i="50"/>
  <c r="DP75" i="50"/>
  <c r="F150" i="50"/>
  <c r="AR78" i="50"/>
  <c r="AA8" i="26"/>
  <c r="D21" i="50"/>
  <c r="AJ101" i="50"/>
  <c r="CT105" i="50"/>
  <c r="EV148" i="50"/>
  <c r="AM185" i="50"/>
  <c r="EV184" i="50"/>
  <c r="AU185" i="50"/>
  <c r="CR75" i="50"/>
  <c r="DJ185" i="50"/>
  <c r="K75" i="50"/>
  <c r="AA185" i="50"/>
  <c r="BN75" i="50"/>
  <c r="R185" i="50"/>
  <c r="CS75" i="50"/>
  <c r="BI185" i="50"/>
  <c r="CT132" i="50"/>
  <c r="CT164" i="50"/>
  <c r="CT148" i="50"/>
  <c r="CT78" i="50"/>
  <c r="CT106" i="50"/>
  <c r="CT190" i="50"/>
  <c r="CT135" i="50"/>
  <c r="CT167" i="50"/>
  <c r="F15" i="50"/>
  <c r="AF78" i="50"/>
  <c r="AL150" i="50"/>
  <c r="BD131" i="50"/>
  <c r="K25" i="50"/>
  <c r="AJ131" i="50"/>
  <c r="W217" i="50"/>
  <c r="W131" i="50"/>
  <c r="EV112" i="50"/>
  <c r="CT133" i="50"/>
  <c r="P150" i="50"/>
  <c r="BM185" i="50"/>
  <c r="M78" i="50"/>
  <c r="G146" i="50"/>
  <c r="BN185" i="50"/>
  <c r="DY146" i="50"/>
  <c r="EB185" i="50"/>
  <c r="W28" i="50"/>
  <c r="CT110" i="50"/>
  <c r="ET145" i="50"/>
  <c r="AL28" i="50"/>
  <c r="AF49" i="50"/>
  <c r="AR95" i="50"/>
  <c r="R145" i="50"/>
  <c r="BD150" i="50"/>
  <c r="Z49" i="50"/>
  <c r="AD185" i="50"/>
  <c r="BK131" i="50"/>
  <c r="BM95" i="50"/>
  <c r="BA131" i="50"/>
  <c r="AV95" i="50"/>
  <c r="AC122" i="50"/>
  <c r="DJ115" i="50"/>
  <c r="AN122" i="50"/>
  <c r="AK78" i="50"/>
  <c r="AK184" i="50"/>
  <c r="ED101" i="50"/>
  <c r="U49" i="50"/>
  <c r="ET101" i="50"/>
  <c r="AI111" i="50"/>
  <c r="CQ101" i="50"/>
  <c r="AC111" i="50"/>
  <c r="CP131" i="50"/>
  <c r="H131" i="50"/>
  <c r="CT88" i="50"/>
  <c r="CT201" i="50"/>
  <c r="EV119" i="50"/>
  <c r="H78" i="50"/>
  <c r="ES75" i="50"/>
  <c r="V51" i="50"/>
  <c r="E75" i="50"/>
  <c r="CT186" i="50"/>
  <c r="EV88" i="50"/>
  <c r="DL75" i="50"/>
  <c r="EV219" i="50"/>
  <c r="V32" i="50"/>
  <c r="ER75" i="50"/>
  <c r="BD185" i="50"/>
  <c r="DM150" i="50"/>
  <c r="DN75" i="50"/>
  <c r="AU95" i="50"/>
  <c r="P145" i="50"/>
  <c r="EC101" i="50"/>
  <c r="P111" i="50"/>
  <c r="BD109" i="50"/>
  <c r="Q111" i="50"/>
  <c r="BB131" i="50"/>
  <c r="ET131" i="50"/>
  <c r="M75" i="50"/>
  <c r="F184" i="50"/>
  <c r="D23" i="50"/>
  <c r="AY115" i="50"/>
  <c r="AF184" i="50"/>
  <c r="DY115" i="50"/>
  <c r="AQ145" i="50"/>
  <c r="EV99" i="50"/>
  <c r="AP131" i="50"/>
  <c r="D185" i="50"/>
  <c r="AH75" i="50"/>
  <c r="BI131" i="50"/>
  <c r="K15" i="50"/>
  <c r="EV107" i="50"/>
  <c r="K150" i="50"/>
  <c r="EV94" i="50"/>
  <c r="R75" i="50"/>
  <c r="AF131" i="50"/>
  <c r="G78" i="50"/>
  <c r="DN145" i="50"/>
  <c r="BA78" i="50"/>
  <c r="BW75" i="50"/>
  <c r="CO185" i="50"/>
  <c r="AJ75" i="50"/>
  <c r="AJ150" i="50"/>
  <c r="AJ32" i="50"/>
  <c r="BH95" i="50"/>
  <c r="AW104" i="50"/>
  <c r="T95" i="50"/>
  <c r="EV77" i="50"/>
  <c r="AY145" i="50"/>
  <c r="C131" i="50"/>
  <c r="X78" i="50"/>
  <c r="AD28" i="50"/>
  <c r="AI101" i="50"/>
  <c r="AC104" i="50"/>
  <c r="AC101" i="50"/>
  <c r="AD75" i="50"/>
  <c r="DY95" i="50"/>
  <c r="T185" i="50"/>
  <c r="N131" i="50"/>
  <c r="CB95" i="50"/>
  <c r="AI131" i="50"/>
  <c r="AN95" i="50"/>
  <c r="DP145" i="50"/>
  <c r="BH75" i="50"/>
  <c r="EQ185" i="50"/>
  <c r="CP185" i="50"/>
  <c r="AA131" i="50"/>
  <c r="BY95" i="50"/>
  <c r="AQ131" i="50"/>
  <c r="DJ95" i="50"/>
  <c r="BZ145" i="50"/>
  <c r="EV136" i="50"/>
  <c r="AW78" i="50"/>
  <c r="U217" i="50"/>
  <c r="CQ131" i="50"/>
  <c r="CO217" i="50"/>
  <c r="EC122" i="50"/>
  <c r="AZ111" i="50"/>
  <c r="ET122" i="50"/>
  <c r="I131" i="50"/>
  <c r="BN145" i="50"/>
  <c r="C95" i="50"/>
  <c r="CB145" i="50"/>
  <c r="R95" i="50"/>
  <c r="AQ122" i="50"/>
  <c r="BW115" i="50"/>
  <c r="DP111" i="50"/>
  <c r="H23" i="50"/>
  <c r="I23" i="50"/>
  <c r="N217" i="50"/>
  <c r="AB185" i="50"/>
  <c r="X217" i="50"/>
  <c r="P99" i="50"/>
  <c r="E111" i="50"/>
  <c r="CT90" i="50"/>
  <c r="CT123" i="50"/>
  <c r="L15" i="50"/>
  <c r="EA184" i="50"/>
  <c r="AY146" i="50"/>
  <c r="BL185" i="50"/>
  <c r="Z146" i="50"/>
  <c r="DY185" i="50"/>
  <c r="CB78" i="50"/>
  <c r="AC53" i="50"/>
  <c r="AH185" i="50"/>
  <c r="E184" i="50"/>
  <c r="CP145" i="50"/>
  <c r="AS145" i="50"/>
  <c r="AA109" i="50"/>
  <c r="AR145" i="50"/>
  <c r="AQ78" i="50"/>
  <c r="BD145" i="50"/>
  <c r="S146" i="50"/>
  <c r="AK185" i="50"/>
  <c r="AE146" i="50"/>
  <c r="AC146" i="50"/>
  <c r="AH202" i="50"/>
  <c r="AN146" i="50"/>
  <c r="BC78" i="50"/>
  <c r="M95" i="50"/>
  <c r="K217" i="50"/>
  <c r="D78" i="50"/>
  <c r="ED217" i="50"/>
  <c r="AZ185" i="50"/>
  <c r="AM217" i="50"/>
  <c r="AO185" i="50"/>
  <c r="N75" i="50"/>
  <c r="P75" i="50"/>
  <c r="CT188" i="50"/>
  <c r="AW185" i="50"/>
  <c r="BB217" i="50"/>
  <c r="AT185" i="50"/>
  <c r="Z36" i="50"/>
  <c r="BC131" i="50"/>
  <c r="ET78" i="50"/>
  <c r="K23" i="50"/>
  <c r="L146" i="50"/>
  <c r="CR185" i="50"/>
  <c r="AG146" i="50"/>
  <c r="Q146" i="50"/>
  <c r="R202" i="50"/>
  <c r="EQ146" i="50"/>
  <c r="AK150" i="50"/>
  <c r="AA217" i="50"/>
  <c r="R36" i="50"/>
  <c r="DM185" i="50"/>
  <c r="U36" i="50"/>
  <c r="M217" i="50"/>
  <c r="U75" i="50"/>
  <c r="I217" i="50"/>
  <c r="L131" i="50"/>
  <c r="EQ184" i="50"/>
  <c r="EU150" i="50"/>
  <c r="AE185" i="50"/>
  <c r="AY217" i="50"/>
  <c r="EC131" i="50"/>
  <c r="AL36" i="50"/>
  <c r="AU131" i="50"/>
  <c r="CT100" i="50"/>
  <c r="K184" i="50"/>
  <c r="V184" i="50"/>
  <c r="ED131" i="50"/>
  <c r="Q217" i="50"/>
  <c r="AM131" i="50"/>
  <c r="AI217" i="50"/>
  <c r="X131" i="50"/>
  <c r="C78" i="50"/>
  <c r="AB36" i="50"/>
  <c r="BL217" i="50"/>
  <c r="W185" i="50"/>
  <c r="S36" i="50"/>
  <c r="CP99" i="50"/>
  <c r="AT122" i="50"/>
  <c r="AQ99" i="50"/>
  <c r="CQ184" i="50"/>
  <c r="DJ184" i="50"/>
  <c r="AZ217" i="50"/>
  <c r="Q131" i="50"/>
  <c r="AN217" i="50"/>
  <c r="AM122" i="50"/>
  <c r="AQ111" i="50"/>
  <c r="H122" i="50"/>
  <c r="AK145" i="50"/>
  <c r="AE49" i="50"/>
  <c r="CT83" i="50"/>
  <c r="M145" i="50"/>
  <c r="D184" i="50"/>
  <c r="BX145" i="50"/>
  <c r="S184" i="50"/>
  <c r="CB146" i="50"/>
  <c r="AC185" i="50"/>
  <c r="C75" i="50"/>
  <c r="U32" i="50"/>
  <c r="F145" i="50"/>
  <c r="R32" i="50"/>
  <c r="DP146" i="50"/>
  <c r="Y51" i="50"/>
  <c r="BY146" i="50"/>
  <c r="R184" i="50"/>
  <c r="AB49" i="50"/>
  <c r="DP184" i="50"/>
  <c r="AV131" i="50"/>
  <c r="DJ131" i="50"/>
  <c r="ES115" i="50"/>
  <c r="AZ131" i="50"/>
  <c r="EB150" i="50"/>
  <c r="J25" i="50"/>
  <c r="R131" i="50"/>
  <c r="BW184" i="50"/>
  <c r="CA146" i="50"/>
  <c r="EC146" i="50"/>
  <c r="AO109" i="50"/>
  <c r="ET146" i="50"/>
  <c r="AX131" i="50"/>
  <c r="BD146" i="50"/>
  <c r="AB146" i="50"/>
  <c r="CS78" i="50"/>
  <c r="DN185" i="50"/>
  <c r="BC185" i="50"/>
  <c r="CO115" i="50"/>
  <c r="BK185" i="50"/>
  <c r="CT102" i="50"/>
  <c r="O78" i="50"/>
  <c r="AJ16" i="50"/>
  <c r="BH145" i="50"/>
  <c r="AT95" i="50"/>
  <c r="D145" i="50"/>
  <c r="BC101" i="50"/>
  <c r="AI145" i="50"/>
  <c r="J78" i="50"/>
  <c r="EU131" i="50"/>
  <c r="CR95" i="50"/>
  <c r="EB145" i="50"/>
  <c r="AW95" i="50"/>
  <c r="BK95" i="50"/>
  <c r="EQ95" i="50"/>
  <c r="H95" i="50"/>
  <c r="EV117" i="50"/>
  <c r="CO78" i="50"/>
  <c r="DM95" i="50"/>
  <c r="E145" i="50"/>
  <c r="DN101" i="50"/>
  <c r="AD146" i="50"/>
  <c r="AT101" i="50"/>
  <c r="DM146" i="50"/>
  <c r="CB131" i="50"/>
  <c r="BM145" i="50"/>
  <c r="EC217" i="50"/>
  <c r="AH16" i="50"/>
  <c r="O150" i="50"/>
  <c r="CT185" i="50"/>
  <c r="CP78" i="50"/>
  <c r="X150" i="50"/>
  <c r="AX75" i="50"/>
  <c r="CT86" i="50"/>
  <c r="CT217" i="50"/>
  <c r="CT113" i="50"/>
  <c r="V16" i="50"/>
  <c r="EQ150" i="50"/>
  <c r="AC51" i="50"/>
  <c r="EV91" i="50"/>
  <c r="CT147" i="50"/>
  <c r="EV131" i="50"/>
  <c r="AB95" i="50"/>
  <c r="L145" i="50"/>
  <c r="BD101" i="50"/>
  <c r="CR146" i="50"/>
  <c r="AZ101" i="50"/>
  <c r="F146" i="50"/>
  <c r="AB51" i="50"/>
  <c r="DK131" i="50"/>
  <c r="AN184" i="50"/>
  <c r="H150" i="50"/>
  <c r="AF51" i="50"/>
  <c r="AD95" i="50"/>
  <c r="K104" i="50"/>
  <c r="CP95" i="50"/>
  <c r="AC75" i="50"/>
  <c r="BZ146" i="50"/>
  <c r="EC184" i="50"/>
  <c r="P185" i="50"/>
  <c r="AZ78" i="50"/>
  <c r="AK131" i="50"/>
  <c r="AM184" i="50"/>
  <c r="ES145" i="50"/>
  <c r="EV126" i="50"/>
  <c r="EV82" i="50"/>
  <c r="U78" i="50"/>
  <c r="CR131" i="50"/>
  <c r="BB184" i="50"/>
  <c r="DM131" i="50"/>
  <c r="T184" i="50"/>
  <c r="H21" i="50"/>
  <c r="BH185" i="50"/>
  <c r="AR185" i="50"/>
  <c r="EV187" i="50"/>
  <c r="BY184" i="50"/>
  <c r="CA184" i="50"/>
  <c r="G115" i="50"/>
  <c r="F23" i="50"/>
  <c r="J115" i="50"/>
  <c r="BJ131" i="50"/>
  <c r="I21" i="50"/>
  <c r="AU184" i="50"/>
  <c r="DZ145" i="50"/>
  <c r="AJ145" i="50"/>
  <c r="CA109" i="50"/>
  <c r="J21" i="50"/>
  <c r="EU78" i="50"/>
  <c r="G95" i="50"/>
  <c r="AC49" i="50"/>
  <c r="R43" i="50"/>
  <c r="BN95" i="50"/>
  <c r="DO145" i="50"/>
  <c r="EB95" i="50"/>
  <c r="M21" i="50"/>
  <c r="I75" i="50"/>
  <c r="AK75" i="50"/>
  <c r="AW75" i="50"/>
  <c r="CR145" i="50"/>
  <c r="BL95" i="50"/>
  <c r="AF145" i="50"/>
  <c r="J95" i="50"/>
  <c r="X49" i="50"/>
  <c r="CQ78" i="50"/>
  <c r="DZ75" i="50"/>
  <c r="T217" i="50"/>
  <c r="BH131" i="50"/>
  <c r="EQ217" i="50"/>
  <c r="M25" i="50"/>
  <c r="W146" i="50"/>
  <c r="Y53" i="50"/>
  <c r="AB150" i="50"/>
  <c r="DL131" i="50"/>
  <c r="AK95" i="50"/>
  <c r="Y49" i="50"/>
  <c r="AX95" i="50"/>
  <c r="O95" i="50"/>
  <c r="CS101" i="50"/>
  <c r="CT81" i="50"/>
  <c r="AG75" i="50"/>
  <c r="AV184" i="50"/>
  <c r="EV147" i="50"/>
  <c r="ES131" i="50"/>
  <c r="AX217" i="50"/>
  <c r="W53" i="50"/>
  <c r="CS131" i="50"/>
  <c r="U53" i="50"/>
  <c r="CT98" i="50"/>
  <c r="AX78" i="50"/>
  <c r="S78" i="50"/>
  <c r="M23" i="50"/>
  <c r="U146" i="50"/>
  <c r="AC184" i="50"/>
  <c r="BX146" i="50"/>
  <c r="CB185" i="50"/>
  <c r="BN150" i="50"/>
  <c r="V36" i="50"/>
  <c r="R49" i="50"/>
  <c r="U184" i="50"/>
  <c r="DM145" i="50"/>
  <c r="BA104" i="50"/>
  <c r="E99" i="50"/>
  <c r="CP104" i="50"/>
  <c r="EV89" i="50"/>
  <c r="E21" i="50"/>
  <c r="DZ146" i="50"/>
  <c r="CP184" i="50"/>
  <c r="ER146" i="50"/>
  <c r="AH104" i="50"/>
  <c r="K122" i="50"/>
  <c r="DL104" i="50"/>
  <c r="AN131" i="50"/>
  <c r="BW95" i="50"/>
  <c r="Y185" i="50"/>
  <c r="C184" i="50"/>
  <c r="CR217" i="50"/>
  <c r="V185" i="50"/>
  <c r="R53" i="50"/>
  <c r="K185" i="50"/>
  <c r="O75" i="50"/>
  <c r="EV111" i="50"/>
  <c r="BC75" i="50"/>
  <c r="AG185" i="50"/>
  <c r="F217" i="50"/>
  <c r="I185" i="50"/>
  <c r="J217" i="50"/>
  <c r="Z185" i="50"/>
  <c r="CB150" i="50"/>
  <c r="EU185" i="50"/>
  <c r="BI146" i="50"/>
  <c r="AA184" i="50"/>
  <c r="AH146" i="50"/>
  <c r="X57" i="50"/>
  <c r="BL122" i="50"/>
  <c r="AG104" i="50"/>
  <c r="AE184" i="50"/>
  <c r="CP217" i="50"/>
  <c r="S53" i="50"/>
  <c r="E185" i="50"/>
  <c r="AH36" i="50"/>
  <c r="N99" i="50"/>
  <c r="EU111" i="50"/>
  <c r="O99" i="50"/>
  <c r="S51" i="50"/>
  <c r="ER184" i="50"/>
  <c r="Z131" i="50"/>
  <c r="F25" i="50"/>
  <c r="T131" i="50"/>
  <c r="BW217" i="50"/>
  <c r="E131" i="50"/>
  <c r="CT92" i="50"/>
  <c r="CT125" i="50"/>
  <c r="EV84" i="50"/>
  <c r="V131" i="50"/>
  <c r="S217" i="50"/>
  <c r="K131" i="50"/>
  <c r="AH217" i="50"/>
  <c r="BX131" i="50"/>
  <c r="CA78" i="50"/>
  <c r="V53" i="50"/>
  <c r="ET217" i="50"/>
  <c r="BJ185" i="50"/>
  <c r="T36" i="50"/>
  <c r="C217" i="50"/>
  <c r="CB134" i="50"/>
  <c r="H217" i="50"/>
  <c r="BM184" i="50"/>
  <c r="W184" i="50"/>
  <c r="DZ217" i="50"/>
  <c r="F131" i="50"/>
  <c r="BX217" i="50"/>
  <c r="BJ217" i="50"/>
  <c r="DN217" i="50"/>
  <c r="AD217" i="50"/>
  <c r="V75" i="50"/>
  <c r="Y145" i="50"/>
  <c r="DO217" i="50"/>
  <c r="DL184" i="50"/>
  <c r="Z28" i="50"/>
  <c r="AY184" i="50"/>
  <c r="AT145" i="50"/>
  <c r="Z51" i="50"/>
  <c r="AI185" i="50"/>
  <c r="J75" i="50"/>
  <c r="AY75" i="50"/>
  <c r="X184" i="50"/>
  <c r="AD145" i="50"/>
  <c r="T51" i="50"/>
  <c r="EU146" i="50"/>
  <c r="G184" i="50"/>
  <c r="CT220" i="50"/>
  <c r="AD184" i="50"/>
  <c r="EA185" i="50"/>
  <c r="CR78" i="50"/>
  <c r="AD131" i="50"/>
  <c r="P101" i="50"/>
  <c r="AZ104" i="50"/>
  <c r="Q101" i="50"/>
  <c r="EV79" i="50"/>
  <c r="ER217" i="50"/>
  <c r="AO145" i="50"/>
  <c r="I184" i="50"/>
  <c r="ES146" i="50"/>
  <c r="E104" i="50"/>
  <c r="W99" i="50"/>
  <c r="G104" i="50"/>
  <c r="AS75" i="50"/>
  <c r="AJ146" i="50"/>
  <c r="AD32" i="50"/>
  <c r="EV203" i="50"/>
  <c r="DK185" i="50"/>
  <c r="BZ101" i="50"/>
  <c r="W57" i="50"/>
  <c r="AN101" i="50"/>
  <c r="Q99" i="50"/>
  <c r="AQ217" i="50"/>
  <c r="DO115" i="50"/>
  <c r="AO122" i="50"/>
  <c r="X99" i="50"/>
  <c r="ES111" i="50"/>
  <c r="AA99" i="50"/>
  <c r="BH111" i="50"/>
  <c r="L111" i="50"/>
  <c r="EA79" i="50"/>
  <c r="AX111" i="50"/>
  <c r="BN120" i="50"/>
  <c r="AY111" i="50"/>
  <c r="CS120" i="50"/>
  <c r="EB146" i="50"/>
  <c r="I146" i="50"/>
  <c r="ER145" i="50"/>
  <c r="AL184" i="50"/>
  <c r="X146" i="50"/>
  <c r="CP111" i="50"/>
  <c r="DK122" i="50"/>
  <c r="CS115" i="50"/>
  <c r="AI122" i="50"/>
  <c r="M115" i="50"/>
  <c r="C33" i="50"/>
  <c r="AV104" i="50"/>
  <c r="Z57" i="50"/>
  <c r="AC217" i="50"/>
  <c r="O131" i="50"/>
  <c r="DP95" i="50"/>
  <c r="O122" i="50"/>
  <c r="BY111" i="50"/>
  <c r="X122" i="50"/>
  <c r="L184" i="50"/>
  <c r="R28" i="50"/>
  <c r="Y111" i="50"/>
  <c r="D122" i="50"/>
  <c r="BA111" i="50"/>
  <c r="P122" i="50"/>
  <c r="CR115" i="50"/>
  <c r="BX101" i="50"/>
  <c r="ER101" i="50"/>
  <c r="BN104" i="50"/>
  <c r="CS104" i="50"/>
  <c r="BL104" i="50"/>
  <c r="EB104" i="50"/>
  <c r="AF104" i="50"/>
  <c r="AB57" i="50"/>
  <c r="U104" i="50"/>
  <c r="X28" i="50"/>
  <c r="AH28" i="50"/>
  <c r="DZ115" i="50"/>
  <c r="H111" i="50"/>
  <c r="AR115" i="50"/>
  <c r="DK111" i="50"/>
  <c r="BB115" i="50"/>
  <c r="BN111" i="50"/>
  <c r="CS111" i="50"/>
  <c r="BL111" i="50"/>
  <c r="AH184" i="50"/>
  <c r="AW146" i="50"/>
  <c r="AM146" i="50"/>
  <c r="EB109" i="50"/>
  <c r="H146" i="50"/>
  <c r="BX150" i="50"/>
  <c r="DO95" i="50"/>
  <c r="AI109" i="50"/>
  <c r="CQ146" i="50"/>
  <c r="BK109" i="50"/>
  <c r="N146" i="50"/>
  <c r="C202" i="50"/>
  <c r="Z134" i="50"/>
  <c r="C124" i="50"/>
  <c r="AB134" i="50"/>
  <c r="K124" i="50"/>
  <c r="AE134" i="50"/>
  <c r="L124" i="50"/>
  <c r="EB134" i="50"/>
  <c r="Y124" i="50"/>
  <c r="AZ124" i="50"/>
  <c r="AB78" i="50"/>
  <c r="R146" i="50"/>
  <c r="DL202" i="50"/>
  <c r="CB217" i="50"/>
  <c r="AU202" i="50"/>
  <c r="AW217" i="50"/>
  <c r="DP134" i="50"/>
  <c r="Q124" i="50"/>
  <c r="L203" i="50"/>
  <c r="EQ124" i="50"/>
  <c r="ES101" i="50"/>
  <c r="AC145" i="50"/>
  <c r="BC150" i="50"/>
  <c r="AD53" i="50"/>
  <c r="EU104" i="50"/>
  <c r="BH217" i="50"/>
  <c r="AS146" i="50"/>
  <c r="BM104" i="50"/>
  <c r="Y101" i="50"/>
  <c r="ES217" i="50"/>
  <c r="DM101" i="50"/>
  <c r="AB53" i="50"/>
  <c r="DN104" i="50"/>
  <c r="CQ104" i="50"/>
  <c r="BE146" i="50"/>
  <c r="BB104" i="50"/>
  <c r="BE166" i="50"/>
  <c r="AM104" i="50"/>
  <c r="BE190" i="50"/>
  <c r="S57" i="50"/>
  <c r="EE95" i="50"/>
  <c r="EE89" i="50"/>
  <c r="CT146" i="50"/>
  <c r="N111" i="50"/>
  <c r="AD57" i="50"/>
  <c r="H101" i="50"/>
  <c r="E33" i="50"/>
  <c r="DK101" i="50"/>
  <c r="DZ104" i="50"/>
  <c r="Q104" i="50"/>
  <c r="EE113" i="50"/>
  <c r="AL21" i="50"/>
  <c r="BE93" i="50"/>
  <c r="CO101" i="50"/>
  <c r="BE101" i="50"/>
  <c r="AR101" i="50"/>
  <c r="BE165" i="50"/>
  <c r="Z115" i="50"/>
  <c r="EQ131" i="50"/>
  <c r="EQ122" i="50"/>
  <c r="Y184" i="50"/>
  <c r="S115" i="50"/>
  <c r="H185" i="50"/>
  <c r="AE115" i="50"/>
  <c r="H202" i="50"/>
  <c r="AP109" i="50"/>
  <c r="D202" i="50"/>
  <c r="AS109" i="50"/>
  <c r="N202" i="50"/>
  <c r="AM109" i="50"/>
  <c r="Q202" i="50"/>
  <c r="DY202" i="50"/>
  <c r="W202" i="50"/>
  <c r="AN150" i="50"/>
  <c r="AX146" i="50"/>
  <c r="BM109" i="50"/>
  <c r="K145" i="50"/>
  <c r="O109" i="50"/>
  <c r="AE145" i="50"/>
  <c r="EQ109" i="50"/>
  <c r="BD134" i="50"/>
  <c r="V134" i="50"/>
  <c r="EU134" i="50"/>
  <c r="DZ134" i="50"/>
  <c r="DY184" i="50"/>
  <c r="K21" i="50"/>
  <c r="V28" i="50"/>
  <c r="D109" i="50"/>
  <c r="N145" i="50"/>
  <c r="BB150" i="50"/>
  <c r="C145" i="50"/>
  <c r="DN115" i="50"/>
  <c r="U145" i="50"/>
  <c r="BZ109" i="50"/>
  <c r="G145" i="50"/>
  <c r="X109" i="50"/>
  <c r="AJ202" i="50"/>
  <c r="D134" i="50"/>
  <c r="DN202" i="50"/>
  <c r="I134" i="50"/>
  <c r="ES202" i="50"/>
  <c r="BI134" i="50"/>
  <c r="G134" i="50"/>
  <c r="BJ134" i="50"/>
  <c r="Y134" i="50"/>
  <c r="AG78" i="50"/>
  <c r="AE95" i="50"/>
  <c r="AT109" i="50"/>
  <c r="D146" i="50"/>
  <c r="EC202" i="50"/>
  <c r="P146" i="50"/>
  <c r="BI202" i="50"/>
  <c r="AL134" i="50"/>
  <c r="T124" i="50"/>
  <c r="ER134" i="50"/>
  <c r="L95" i="50"/>
  <c r="V145" i="50"/>
  <c r="AG95" i="50"/>
  <c r="R51" i="50"/>
  <c r="E101" i="50"/>
  <c r="ES185" i="50"/>
  <c r="S185" i="50"/>
  <c r="BC95" i="50"/>
  <c r="AI95" i="50"/>
  <c r="EV188" i="50"/>
  <c r="EB101" i="50"/>
  <c r="M131" i="50"/>
  <c r="BH101" i="50"/>
  <c r="L101" i="50"/>
  <c r="BE90" i="50"/>
  <c r="AX101" i="50"/>
  <c r="BE98" i="50"/>
  <c r="AY101" i="50"/>
  <c r="BE106" i="50"/>
  <c r="Z101" i="50"/>
  <c r="BE109" i="50"/>
  <c r="BE103" i="50"/>
  <c r="BK101" i="50"/>
  <c r="W21" i="50"/>
  <c r="AO101" i="50"/>
  <c r="AA53" i="50"/>
  <c r="ES104" i="50"/>
  <c r="F95" i="50"/>
  <c r="AO104" i="50"/>
  <c r="AS104" i="50"/>
  <c r="BE221" i="50"/>
  <c r="AR104" i="50"/>
  <c r="AK146" i="50"/>
  <c r="CA185" i="50"/>
  <c r="CS217" i="50"/>
  <c r="DP99" i="50"/>
  <c r="T122" i="50"/>
  <c r="CB99" i="50"/>
  <c r="I145" i="50"/>
  <c r="BK99" i="50"/>
  <c r="EB122" i="50"/>
  <c r="BX104" i="50"/>
  <c r="BH122" i="50"/>
  <c r="BM99" i="50"/>
  <c r="AZ122" i="50"/>
  <c r="AG122" i="50"/>
  <c r="AJ79" i="50"/>
  <c r="CO122" i="50"/>
  <c r="BK79" i="50"/>
  <c r="Z122" i="50"/>
  <c r="W79" i="50"/>
  <c r="AR122" i="50"/>
  <c r="R79" i="50"/>
  <c r="AW79" i="50"/>
  <c r="DZ95" i="50"/>
  <c r="AU115" i="50"/>
  <c r="BC111" i="50"/>
  <c r="EQ99" i="50"/>
  <c r="I111" i="50"/>
  <c r="ED122" i="50"/>
  <c r="AF111" i="50"/>
  <c r="S111" i="50"/>
  <c r="EV104" i="50"/>
  <c r="DM184" i="50"/>
  <c r="Y77" i="50"/>
  <c r="BZ122" i="50"/>
  <c r="BJ77" i="50"/>
  <c r="L122" i="50"/>
  <c r="BD79" i="50"/>
  <c r="DO185" i="50"/>
  <c r="BZ95" i="50"/>
  <c r="F134" i="50"/>
  <c r="Z53" i="50"/>
  <c r="AL32" i="50"/>
  <c r="R217" i="50"/>
  <c r="U28" i="50"/>
  <c r="L21" i="50"/>
  <c r="ER203" i="50"/>
  <c r="AV145" i="50"/>
  <c r="AK203" i="50"/>
  <c r="AB145" i="50"/>
  <c r="EB203" i="50"/>
  <c r="Y146" i="50"/>
  <c r="EU203" i="50"/>
  <c r="ED203" i="50"/>
  <c r="EU101" i="50"/>
  <c r="O146" i="50"/>
  <c r="E217" i="50"/>
  <c r="BD95" i="50"/>
  <c r="AE217" i="50"/>
  <c r="AJ95" i="50"/>
  <c r="P95" i="50"/>
  <c r="W95" i="50"/>
  <c r="DQ149" i="50"/>
  <c r="V95" i="50"/>
  <c r="DL217" i="50"/>
  <c r="ER131" i="50"/>
  <c r="EA217" i="50"/>
  <c r="AO217" i="50"/>
  <c r="V217" i="50"/>
  <c r="DM217" i="50"/>
  <c r="CO146" i="50"/>
  <c r="S49" i="50"/>
  <c r="AZ146" i="50"/>
  <c r="BK217" i="50"/>
  <c r="L217" i="50"/>
  <c r="EU95" i="50"/>
  <c r="AP217" i="50"/>
  <c r="AU217" i="50"/>
  <c r="DQ105" i="50"/>
  <c r="ED95" i="50"/>
  <c r="DQ113" i="50"/>
  <c r="BB95" i="50"/>
  <c r="DQ121" i="50"/>
  <c r="BJ95" i="50"/>
  <c r="DQ116" i="50"/>
  <c r="DQ203" i="50"/>
  <c r="C21" i="50"/>
  <c r="BK145" i="50"/>
  <c r="DO101" i="50"/>
  <c r="ER185" i="50"/>
  <c r="I101" i="50"/>
  <c r="AL145" i="50"/>
  <c r="AF101" i="50"/>
  <c r="S101" i="50"/>
  <c r="BE85" i="50"/>
  <c r="AG101" i="50"/>
  <c r="BC146" i="50"/>
  <c r="H184" i="50"/>
  <c r="AV146" i="50"/>
  <c r="I104" i="50"/>
  <c r="AZ99" i="50"/>
  <c r="DJ104" i="50"/>
  <c r="AL217" i="50"/>
  <c r="CQ95" i="50"/>
  <c r="K99" i="50"/>
  <c r="D104" i="50"/>
  <c r="V99" i="50"/>
  <c r="BI104" i="50"/>
  <c r="AD99" i="50"/>
  <c r="AB99" i="50"/>
  <c r="S77" i="50"/>
  <c r="AE99" i="50"/>
  <c r="Q77" i="50"/>
  <c r="DP122" i="50"/>
  <c r="AL15" i="50"/>
  <c r="BY122" i="50"/>
  <c r="AD77" i="50"/>
  <c r="AB77" i="50"/>
  <c r="C146" i="50"/>
  <c r="BN122" i="50"/>
  <c r="I122" i="50"/>
  <c r="CA99" i="50"/>
  <c r="AF122" i="50"/>
  <c r="BA99" i="50"/>
  <c r="BK122" i="50"/>
  <c r="AE122" i="50"/>
  <c r="M79" i="50"/>
  <c r="AU122" i="50"/>
  <c r="DN150" i="50"/>
  <c r="CT112" i="50"/>
  <c r="AU101" i="50"/>
  <c r="AT111" i="50"/>
  <c r="CT104" i="50"/>
  <c r="BK111" i="50"/>
  <c r="BI184" i="50"/>
  <c r="BZ104" i="50"/>
  <c r="BB101" i="50"/>
  <c r="DM111" i="50"/>
  <c r="EV74" i="50"/>
  <c r="EB111" i="50"/>
  <c r="W109" i="50"/>
  <c r="BH115" i="50"/>
  <c r="T109" i="50"/>
  <c r="T115" i="50"/>
  <c r="V109" i="50"/>
  <c r="AF115" i="50"/>
  <c r="AD109" i="50"/>
  <c r="BZ115" i="50"/>
  <c r="AJ115" i="50"/>
  <c r="BY115" i="50"/>
  <c r="AF28" i="50"/>
  <c r="O111" i="50"/>
  <c r="X185" i="50"/>
  <c r="AB115" i="50"/>
  <c r="BW131" i="50"/>
  <c r="AK115" i="50"/>
  <c r="X202" i="50"/>
  <c r="AW202" i="50"/>
  <c r="DK202" i="50"/>
  <c r="J202" i="50"/>
  <c r="C111" i="50"/>
  <c r="DJ111" i="50"/>
  <c r="F109" i="50"/>
  <c r="AU111" i="50"/>
  <c r="AL111" i="50"/>
  <c r="J185" i="50"/>
  <c r="Q122" i="50"/>
  <c r="T21" i="50"/>
  <c r="DP101" i="50"/>
  <c r="L104" i="50"/>
  <c r="D101" i="50"/>
  <c r="R104" i="50"/>
  <c r="AE57" i="50"/>
  <c r="EE132" i="50"/>
  <c r="DK104" i="50"/>
  <c r="EE148" i="50"/>
  <c r="DY104" i="50"/>
  <c r="EE184" i="50"/>
  <c r="Y21" i="50"/>
  <c r="EE149" i="50"/>
  <c r="EE135" i="50"/>
  <c r="BA145" i="50"/>
  <c r="AV202" i="50"/>
  <c r="DM104" i="50"/>
  <c r="CB104" i="50"/>
  <c r="DN99" i="50"/>
  <c r="AN104" i="50"/>
  <c r="F99" i="50"/>
  <c r="AR99" i="50"/>
  <c r="S15" i="50"/>
  <c r="AW99" i="50"/>
  <c r="EQ145" i="50"/>
  <c r="CB184" i="50"/>
  <c r="J145" i="50"/>
  <c r="AQ101" i="50"/>
  <c r="BC99" i="50"/>
  <c r="DP104" i="50"/>
  <c r="AA78" i="50"/>
  <c r="DK109" i="50"/>
  <c r="F33" i="50"/>
  <c r="BA101" i="50"/>
  <c r="BD99" i="50"/>
  <c r="CA104" i="50"/>
  <c r="AJ99" i="50"/>
  <c r="BB99" i="50"/>
  <c r="DN77" i="50"/>
  <c r="AM99" i="50"/>
  <c r="AJ77" i="50"/>
  <c r="AU99" i="50"/>
  <c r="BK77" i="50"/>
  <c r="J99" i="50"/>
  <c r="J77" i="50"/>
  <c r="AW77" i="50"/>
  <c r="S95" i="50"/>
  <c r="W101" i="50"/>
  <c r="T99" i="50"/>
  <c r="AB21" i="50"/>
  <c r="BJ99" i="50"/>
  <c r="P104" i="50"/>
  <c r="DO122" i="50"/>
  <c r="CA122" i="50"/>
  <c r="F30" i="50"/>
  <c r="BM122" i="50"/>
  <c r="BI95" i="50"/>
  <c r="BY145" i="50"/>
  <c r="AH95" i="50"/>
  <c r="BM111" i="50"/>
  <c r="BX115" i="50"/>
  <c r="BZ111" i="50"/>
  <c r="CS145" i="50"/>
  <c r="ES95" i="50"/>
  <c r="BI115" i="50"/>
  <c r="CB111" i="50"/>
  <c r="AH115" i="50"/>
  <c r="D111" i="50"/>
  <c r="AS115" i="50"/>
  <c r="C122" i="50"/>
  <c r="AV122" i="50"/>
  <c r="BI122" i="50"/>
  <c r="R122" i="50"/>
  <c r="DZ122" i="50"/>
  <c r="AH122" i="50"/>
  <c r="BW111" i="50"/>
  <c r="BI111" i="50"/>
  <c r="R111" i="50"/>
  <c r="Q184" i="50"/>
  <c r="AY104" i="50"/>
  <c r="BK150" i="50"/>
  <c r="AJ111" i="50"/>
  <c r="AY78" i="50"/>
  <c r="AW115" i="50"/>
  <c r="AZ109" i="50"/>
  <c r="AD115" i="50"/>
  <c r="Y109" i="50"/>
  <c r="CP115" i="50"/>
  <c r="AY185" i="50"/>
  <c r="AP146" i="50"/>
  <c r="AQ146" i="50"/>
  <c r="AR202" i="50"/>
  <c r="DP217" i="50"/>
  <c r="BJ78" i="50"/>
  <c r="DL145" i="50"/>
  <c r="U202" i="50"/>
  <c r="BA146" i="50"/>
  <c r="BX202" i="50"/>
  <c r="CA217" i="50"/>
  <c r="AM202" i="50"/>
  <c r="O124" i="50"/>
  <c r="ET124" i="50"/>
  <c r="X124" i="50"/>
  <c r="AW203" i="50"/>
  <c r="DK124" i="50"/>
  <c r="G203" i="50"/>
  <c r="AI124" i="50"/>
  <c r="DY203" i="50"/>
  <c r="R203" i="50"/>
  <c r="AD49" i="50"/>
  <c r="AS95" i="50"/>
  <c r="AE51" i="50"/>
  <c r="W36" i="50"/>
  <c r="AH145" i="50"/>
  <c r="AF217" i="50"/>
  <c r="E146" i="50"/>
  <c r="BL146" i="50"/>
  <c r="DO203" i="50"/>
  <c r="K146" i="50"/>
  <c r="S124" i="50"/>
  <c r="AK134" i="50"/>
  <c r="DZ124" i="50"/>
  <c r="CS124" i="50"/>
  <c r="AS124" i="50"/>
  <c r="AO124" i="50"/>
  <c r="BE147" i="50"/>
  <c r="EA146" i="50"/>
  <c r="BZ99" i="50"/>
  <c r="BC104" i="50"/>
  <c r="ET95" i="50"/>
  <c r="AT104" i="50"/>
  <c r="Y95" i="50"/>
  <c r="Z21" i="50"/>
  <c r="S21" i="50"/>
  <c r="EE103" i="50"/>
  <c r="V57" i="50"/>
  <c r="EE74" i="50"/>
  <c r="J104" i="50"/>
  <c r="EE82" i="50"/>
  <c r="X21" i="50"/>
  <c r="EE122" i="50"/>
  <c r="EE116" i="50"/>
  <c r="AL115" i="50"/>
  <c r="H109" i="50"/>
  <c r="BL202" i="50"/>
  <c r="DK134" i="50"/>
  <c r="EE145" i="50"/>
  <c r="CB121" i="50"/>
  <c r="BC121" i="50"/>
  <c r="AA4" i="26"/>
  <c r="BN77" i="50"/>
  <c r="AN121" i="50"/>
  <c r="EE79" i="50"/>
  <c r="R21" i="50"/>
  <c r="EE87" i="50"/>
  <c r="U21" i="50"/>
  <c r="EE90" i="50"/>
  <c r="EE84" i="50"/>
  <c r="BY185" i="50"/>
  <c r="ED115" i="50"/>
  <c r="U57" i="50"/>
  <c r="X101" i="50"/>
  <c r="BW104" i="50"/>
  <c r="AA101" i="50"/>
  <c r="AI104" i="50"/>
  <c r="Y104" i="50"/>
  <c r="EE185" i="50"/>
  <c r="BJ104" i="50"/>
  <c r="EE201" i="50"/>
  <c r="AD104" i="50"/>
  <c r="EE221" i="50"/>
  <c r="CQ99" i="50"/>
  <c r="ES77" i="50"/>
  <c r="ET77" i="50"/>
  <c r="EA145" i="50"/>
  <c r="X36" i="50"/>
  <c r="DQ81" i="50"/>
  <c r="DQ133" i="50"/>
  <c r="F77" i="50"/>
  <c r="Z121" i="50"/>
  <c r="BX121" i="50"/>
  <c r="AX77" i="50"/>
  <c r="BI77" i="50"/>
  <c r="AP121" i="50"/>
  <c r="EE121" i="50"/>
  <c r="Y57" i="50"/>
  <c r="EE133" i="50"/>
  <c r="AP104" i="50"/>
  <c r="AD10" i="26"/>
  <c r="EE218" i="50"/>
  <c r="AR146" i="50"/>
  <c r="BB202" i="50"/>
  <c r="ES99" i="50"/>
  <c r="BY104" i="50"/>
  <c r="AO99" i="50"/>
  <c r="C104" i="50"/>
  <c r="BH99" i="50"/>
  <c r="L99" i="50"/>
  <c r="D30" i="50"/>
  <c r="AX99" i="50"/>
  <c r="Z54" i="50"/>
  <c r="AY99" i="50"/>
  <c r="T54" i="50"/>
  <c r="Z99" i="50"/>
  <c r="DY77" i="50"/>
  <c r="T77" i="50"/>
  <c r="V104" i="50"/>
  <c r="EU99" i="50"/>
  <c r="EU77" i="50"/>
  <c r="Z15" i="50"/>
  <c r="BX77" i="50"/>
  <c r="U92" i="50"/>
  <c r="AY92" i="50"/>
  <c r="ED79" i="50"/>
  <c r="CS79" i="50"/>
  <c r="AV92" i="50"/>
  <c r="S54" i="50"/>
  <c r="G99" i="50"/>
  <c r="R54" i="50"/>
  <c r="DY99" i="50"/>
  <c r="BH77" i="50"/>
  <c r="O77" i="50"/>
  <c r="CT166" i="50"/>
  <c r="AJ104" i="50"/>
  <c r="Y99" i="50"/>
  <c r="AJ21" i="50"/>
  <c r="CR122" i="50"/>
  <c r="CO104" i="50"/>
  <c r="E122" i="50"/>
  <c r="AW122" i="50"/>
  <c r="AT77" i="50"/>
  <c r="G122" i="50"/>
  <c r="AO77" i="50"/>
  <c r="J122" i="50"/>
  <c r="DM77" i="50"/>
  <c r="S122" i="50"/>
  <c r="DN79" i="50"/>
  <c r="CQ79" i="50"/>
  <c r="T111" i="50"/>
  <c r="AN111" i="50"/>
  <c r="C101" i="50"/>
  <c r="EA104" i="50"/>
  <c r="F79" i="50"/>
  <c r="BZ105" i="50"/>
  <c r="AJ105" i="50"/>
  <c r="AA79" i="50"/>
  <c r="Y79" i="50"/>
  <c r="F105" i="50"/>
  <c r="C105" i="50"/>
  <c r="AQ79" i="50"/>
  <c r="DM79" i="50"/>
  <c r="J105" i="50"/>
  <c r="I105" i="50"/>
  <c r="AP77" i="50"/>
  <c r="BN217" i="50"/>
  <c r="Y122" i="50"/>
  <c r="V122" i="50"/>
  <c r="AN99" i="50"/>
  <c r="AD122" i="50"/>
  <c r="D99" i="50"/>
  <c r="BD111" i="50"/>
  <c r="AP122" i="50"/>
  <c r="U79" i="50"/>
  <c r="ED111" i="50"/>
  <c r="BW79" i="50"/>
  <c r="EC111" i="50"/>
  <c r="DZ79" i="50"/>
  <c r="J111" i="50"/>
  <c r="AL79" i="50"/>
  <c r="BA79" i="50"/>
  <c r="AT131" i="50"/>
  <c r="DM202" i="50"/>
  <c r="AT202" i="50"/>
  <c r="X134" i="50"/>
  <c r="ER104" i="50"/>
  <c r="AF57" i="50"/>
  <c r="N104" i="50"/>
  <c r="AA95" i="50"/>
  <c r="U111" i="50"/>
  <c r="DN111" i="50"/>
  <c r="AV79" i="50"/>
  <c r="AS122" i="50"/>
  <c r="C79" i="50"/>
  <c r="ET111" i="50"/>
  <c r="AH79" i="50"/>
  <c r="EQ79" i="50"/>
  <c r="D150" i="50"/>
  <c r="D75" i="50"/>
  <c r="K111" i="50"/>
  <c r="AP99" i="50"/>
  <c r="V111" i="50"/>
  <c r="BB122" i="50"/>
  <c r="AD111" i="50"/>
  <c r="AO146" i="50"/>
  <c r="BC217" i="50"/>
  <c r="O217" i="50"/>
  <c r="DK217" i="50"/>
  <c r="AS217" i="50"/>
  <c r="EC95" i="50"/>
  <c r="BW101" i="50"/>
  <c r="DZ101" i="50"/>
  <c r="R101" i="50"/>
  <c r="Y36" i="50"/>
  <c r="DJ217" i="50"/>
  <c r="X53" i="50"/>
  <c r="DQ123" i="50"/>
  <c r="R134" i="50"/>
  <c r="AD134" i="50"/>
  <c r="AF134" i="50"/>
  <c r="AV99" i="50"/>
  <c r="AH124" i="50"/>
  <c r="ER124" i="50"/>
  <c r="DZ185" i="50"/>
  <c r="AB28" i="50"/>
  <c r="S28" i="50"/>
  <c r="DK95" i="50"/>
  <c r="Q95" i="50"/>
  <c r="AM95" i="50"/>
  <c r="G185" i="50"/>
  <c r="BZ217" i="50"/>
  <c r="BN115" i="50"/>
  <c r="AA122" i="50"/>
  <c r="AV115" i="50"/>
  <c r="CP122" i="50"/>
  <c r="U115" i="50"/>
  <c r="Z104" i="50"/>
  <c r="AB104" i="50"/>
  <c r="CS99" i="50"/>
  <c r="CR99" i="50"/>
  <c r="EB99" i="50"/>
  <c r="AK99" i="50"/>
  <c r="BC122" i="50"/>
  <c r="ES122" i="50"/>
  <c r="BD122" i="50"/>
  <c r="EQ101" i="50"/>
  <c r="ED99" i="50"/>
  <c r="ET99" i="50"/>
  <c r="AU77" i="50"/>
  <c r="DQ131" i="50"/>
  <c r="DQ122" i="50"/>
  <c r="AK111" i="50"/>
  <c r="AM111" i="50"/>
  <c r="BE107" i="50"/>
  <c r="BE187" i="50"/>
  <c r="O104" i="50"/>
  <c r="W104" i="50"/>
  <c r="T104" i="50"/>
  <c r="EA99" i="50"/>
  <c r="C99" i="50"/>
  <c r="ER99" i="50"/>
  <c r="CT96" i="50"/>
  <c r="AR217" i="50"/>
  <c r="AP115" i="50"/>
  <c r="X111" i="50"/>
  <c r="CQ115" i="50"/>
  <c r="AA111" i="50"/>
  <c r="EU109" i="50"/>
  <c r="AH111" i="50"/>
  <c r="BC109" i="50"/>
  <c r="BX111" i="50"/>
  <c r="ES109" i="50"/>
  <c r="AR111" i="50"/>
  <c r="BH109" i="50"/>
  <c r="K115" i="50"/>
  <c r="H115" i="50"/>
  <c r="E115" i="50"/>
  <c r="CQ122" i="50"/>
  <c r="AL95" i="50"/>
  <c r="DJ101" i="50"/>
  <c r="AK104" i="50"/>
  <c r="AV77" i="50"/>
  <c r="U15" i="50"/>
  <c r="L109" i="50"/>
  <c r="DJ109" i="50"/>
  <c r="AC77" i="50"/>
  <c r="CB79" i="50"/>
  <c r="EA109" i="50"/>
  <c r="AR109" i="50"/>
  <c r="CO79" i="50"/>
  <c r="AR79" i="50"/>
  <c r="I202" i="50"/>
  <c r="AS111" i="50"/>
  <c r="AN185" i="50"/>
  <c r="BY99" i="50"/>
  <c r="DO78" i="50"/>
  <c r="ET115" i="50"/>
  <c r="N184" i="50"/>
  <c r="AX115" i="50"/>
  <c r="AQ109" i="50"/>
  <c r="CS109" i="50"/>
  <c r="CP109" i="50"/>
  <c r="DO109" i="50"/>
  <c r="BA109" i="50"/>
  <c r="C109" i="50"/>
  <c r="CR202" i="50"/>
  <c r="DL109" i="50"/>
  <c r="CO109" i="50"/>
  <c r="AH109" i="50"/>
  <c r="DP109" i="50"/>
  <c r="AK202" i="50"/>
  <c r="BN134" i="50"/>
  <c r="AY202" i="50"/>
  <c r="AN120" i="50"/>
  <c r="O120" i="50"/>
  <c r="BA202" i="50"/>
  <c r="ER202" i="50"/>
  <c r="F120" i="50"/>
  <c r="R120" i="50"/>
  <c r="BJ109" i="50"/>
  <c r="AN115" i="50"/>
  <c r="AN109" i="50"/>
  <c r="M109" i="50"/>
  <c r="G109" i="50"/>
  <c r="AV109" i="50"/>
  <c r="EU75" i="50"/>
  <c r="EC115" i="50"/>
  <c r="BL131" i="50"/>
  <c r="ER115" i="50"/>
  <c r="EU145" i="50"/>
  <c r="CB109" i="50"/>
  <c r="EQ202" i="50"/>
  <c r="AG202" i="50"/>
  <c r="AA202" i="50"/>
  <c r="Z202" i="50"/>
  <c r="AI202" i="50"/>
  <c r="AE202" i="50"/>
  <c r="BK202" i="50"/>
  <c r="CR134" i="50"/>
  <c r="ED134" i="50"/>
  <c r="AJ28" i="50"/>
  <c r="BK146" i="50"/>
  <c r="DQ110" i="50"/>
  <c r="DQ89" i="50"/>
  <c r="DL134" i="50"/>
  <c r="AP120" i="50"/>
  <c r="CS82" i="50"/>
  <c r="AJ134" i="50"/>
  <c r="BY134" i="50"/>
  <c r="BB82" i="50"/>
  <c r="AK82" i="50"/>
  <c r="P202" i="50"/>
  <c r="AX202" i="50"/>
  <c r="AC202" i="50"/>
  <c r="AL202" i="50"/>
  <c r="AQ202" i="50"/>
  <c r="AM150" i="50"/>
  <c r="CQ217" i="50"/>
  <c r="N109" i="50"/>
  <c r="BJ145" i="50"/>
  <c r="Q109" i="50"/>
  <c r="ED146" i="50"/>
  <c r="DM109" i="50"/>
  <c r="J134" i="50"/>
  <c r="AP134" i="50"/>
  <c r="L134" i="50"/>
  <c r="AO134" i="50"/>
  <c r="AX134" i="50"/>
  <c r="BA134" i="50"/>
  <c r="CO134" i="50"/>
  <c r="EU124" i="50"/>
  <c r="BD124" i="50"/>
  <c r="AC131" i="50"/>
  <c r="AA104" i="50"/>
  <c r="BD77" i="50"/>
  <c r="BC77" i="50"/>
  <c r="CO124" i="50"/>
  <c r="EQ82" i="50"/>
  <c r="Y82" i="50"/>
  <c r="AT124" i="50"/>
  <c r="BA124" i="50"/>
  <c r="CP82" i="50"/>
  <c r="DM82" i="50"/>
  <c r="AW134" i="50"/>
  <c r="AA134" i="50"/>
  <c r="AY134" i="50"/>
  <c r="AM134" i="50"/>
  <c r="AU134" i="50"/>
  <c r="EQ78" i="50"/>
  <c r="EA75" i="50"/>
  <c r="ED202" i="50"/>
  <c r="DK146" i="50"/>
  <c r="DJ202" i="50"/>
  <c r="AI146" i="50"/>
  <c r="DZ202" i="50"/>
  <c r="BL134" i="50"/>
  <c r="AB124" i="50"/>
  <c r="BC134" i="50"/>
  <c r="AP124" i="50"/>
  <c r="BN124" i="50"/>
  <c r="AR124" i="50"/>
  <c r="N124" i="50"/>
  <c r="CQ124" i="50"/>
  <c r="DN124" i="50"/>
  <c r="BI78" i="50"/>
  <c r="BJ111" i="50"/>
  <c r="BN101" i="50"/>
  <c r="BI101" i="50"/>
  <c r="DK203" i="50"/>
  <c r="T87" i="50"/>
  <c r="X87" i="50"/>
  <c r="DL203" i="50"/>
  <c r="AI203" i="50"/>
  <c r="E87" i="50"/>
  <c r="DZ87" i="50"/>
  <c r="AU203" i="50"/>
  <c r="BK203" i="50"/>
  <c r="AE87" i="50"/>
  <c r="AL87" i="50"/>
  <c r="ER78" i="50"/>
  <c r="EB217" i="50"/>
  <c r="AS202" i="50"/>
  <c r="BY217" i="50"/>
  <c r="ET202" i="50"/>
  <c r="AV217" i="50"/>
  <c r="CT121" i="50"/>
  <c r="AC124" i="50"/>
  <c r="S203" i="50"/>
  <c r="AC150" i="50"/>
  <c r="AG203" i="50"/>
  <c r="K78" i="50"/>
  <c r="CO203" i="50"/>
  <c r="AO131" i="50"/>
  <c r="AL203" i="50"/>
  <c r="AR203" i="50"/>
  <c r="AL185" i="50"/>
  <c r="BI145" i="50"/>
  <c r="AO202" i="50"/>
  <c r="DO202" i="50"/>
  <c r="CS203" i="50"/>
  <c r="ET94" i="50"/>
  <c r="BL94" i="50"/>
  <c r="DQ104" i="50"/>
  <c r="DQ106" i="50"/>
  <c r="AL20" i="50"/>
  <c r="AX203" i="50"/>
  <c r="AA124" i="50"/>
  <c r="AY203" i="50"/>
  <c r="AB32" i="50"/>
  <c r="Z203" i="50"/>
  <c r="AH203" i="50"/>
  <c r="AI184" i="50"/>
  <c r="EV118" i="50"/>
  <c r="Y131" i="50"/>
  <c r="I25" i="50"/>
  <c r="DO146" i="50"/>
  <c r="Y217" i="50"/>
  <c r="BD217" i="50"/>
  <c r="AT146" i="50"/>
  <c r="DQ78" i="50"/>
  <c r="EU217" i="50"/>
  <c r="DQ86" i="50"/>
  <c r="AJ217" i="50"/>
  <c r="DQ94" i="50"/>
  <c r="AF53" i="50"/>
  <c r="DQ97" i="50"/>
  <c r="DQ91" i="50"/>
  <c r="BX185" i="50"/>
  <c r="AT217" i="50"/>
  <c r="AE53" i="50"/>
  <c r="K95" i="50"/>
  <c r="DQ112" i="50"/>
  <c r="AB20" i="50"/>
  <c r="E17" i="50"/>
  <c r="DQ188" i="50"/>
  <c r="DQ190" i="50"/>
  <c r="AV94" i="50"/>
  <c r="CR203" i="50"/>
  <c r="T146" i="50"/>
  <c r="BD203" i="50"/>
  <c r="G25" i="50"/>
  <c r="DQ102" i="50"/>
  <c r="DQ96" i="50"/>
  <c r="DL146" i="50"/>
  <c r="BM217" i="50"/>
  <c r="AF36" i="50"/>
  <c r="DN95" i="50"/>
  <c r="X95" i="50"/>
  <c r="N95" i="50"/>
  <c r="EA95" i="50"/>
  <c r="BA95" i="50"/>
  <c r="DQ124" i="50"/>
  <c r="AQ95" i="50"/>
  <c r="DQ134" i="50"/>
  <c r="CB101" i="50"/>
  <c r="DQ150" i="50"/>
  <c r="J101" i="50"/>
  <c r="BE82" i="50"/>
  <c r="BE76" i="50"/>
  <c r="EA115" i="50"/>
  <c r="CP101" i="50"/>
  <c r="EC99" i="50"/>
  <c r="AS99" i="50"/>
  <c r="BE105" i="50"/>
  <c r="CR199" i="50"/>
  <c r="BM199" i="50"/>
  <c r="BE167" i="50"/>
  <c r="BE185" i="50"/>
  <c r="AF199" i="50"/>
  <c r="DQ185" i="50"/>
  <c r="AZ95" i="50"/>
  <c r="DQ201" i="50"/>
  <c r="BM101" i="50"/>
  <c r="DQ186" i="50"/>
  <c r="DQ164" i="50"/>
  <c r="DP185" i="50"/>
  <c r="AB217" i="50"/>
  <c r="K101" i="50"/>
  <c r="T28" i="50"/>
  <c r="V101" i="50"/>
  <c r="AF146" i="50"/>
  <c r="AD101" i="50"/>
  <c r="AB101" i="50"/>
  <c r="BE117" i="50"/>
  <c r="AE101" i="50"/>
  <c r="BE125" i="50"/>
  <c r="AS101" i="50"/>
  <c r="BE145" i="50"/>
  <c r="ET104" i="50"/>
  <c r="BE130" i="50"/>
  <c r="BE122" i="50"/>
  <c r="BN131" i="50"/>
  <c r="N122" i="50"/>
  <c r="AK101" i="50"/>
  <c r="AL104" i="50"/>
  <c r="EE91" i="50"/>
  <c r="V34" i="50"/>
  <c r="K24" i="50"/>
  <c r="EE92" i="50"/>
  <c r="EE94" i="50"/>
  <c r="S34" i="50"/>
  <c r="D24" i="50"/>
  <c r="EE134" i="50"/>
  <c r="EE136" i="50"/>
  <c r="AI199" i="50"/>
  <c r="AD199" i="50"/>
  <c r="EC203" i="50"/>
  <c r="DZ131" i="50"/>
  <c r="R115" i="50"/>
  <c r="BI99" i="50"/>
  <c r="DM99" i="50"/>
  <c r="AA203" i="50"/>
  <c r="K87" i="50"/>
  <c r="H87" i="50"/>
  <c r="AS203" i="50"/>
  <c r="AT203" i="50"/>
  <c r="AB87" i="50"/>
  <c r="ER87" i="50"/>
  <c r="ET203" i="50"/>
  <c r="BC203" i="50"/>
  <c r="ED94" i="50"/>
  <c r="CR94" i="50"/>
  <c r="DQ88" i="50"/>
  <c r="DO131" i="50"/>
  <c r="CP146" i="50"/>
  <c r="H124" i="50"/>
  <c r="P124" i="50"/>
  <c r="DQ93" i="50"/>
  <c r="AA94" i="50"/>
  <c r="Q94" i="50"/>
  <c r="DQ135" i="50"/>
  <c r="DQ145" i="50"/>
  <c r="R94" i="50"/>
  <c r="X94" i="50"/>
  <c r="DQ126" i="50"/>
  <c r="DQ130" i="50"/>
  <c r="Z45" i="50"/>
  <c r="N94" i="50"/>
  <c r="DQ219" i="50"/>
  <c r="DK99" i="50"/>
  <c r="AY199" i="50"/>
  <c r="AH34" i="50"/>
  <c r="S52" i="50"/>
  <c r="BE97" i="50"/>
  <c r="CS199" i="50"/>
  <c r="CA199" i="50"/>
  <c r="AO94" i="50"/>
  <c r="AF187" i="50"/>
  <c r="DM118" i="50"/>
  <c r="I123" i="50"/>
  <c r="ES199" i="50"/>
  <c r="AQ187" i="50"/>
  <c r="DN83" i="50"/>
  <c r="AF123" i="50"/>
  <c r="AP185" i="50"/>
  <c r="DN203" i="50"/>
  <c r="DQ74" i="50"/>
  <c r="DQ77" i="50"/>
  <c r="AS134" i="50"/>
  <c r="ET82" i="50"/>
  <c r="BL82" i="50"/>
  <c r="DP82" i="50"/>
  <c r="BL186" i="50"/>
  <c r="W42" i="50"/>
  <c r="AR186" i="50"/>
  <c r="Q121" i="50"/>
  <c r="BB77" i="50"/>
  <c r="EB77" i="50"/>
  <c r="BH121" i="50"/>
  <c r="N121" i="50"/>
  <c r="T15" i="50"/>
  <c r="P109" i="50"/>
  <c r="AJ109" i="50"/>
  <c r="CA134" i="50"/>
  <c r="BI124" i="50"/>
  <c r="EE220" i="50"/>
  <c r="BY121" i="50"/>
  <c r="BK121" i="50"/>
  <c r="CQ77" i="50"/>
  <c r="BL77" i="50"/>
  <c r="W121" i="50"/>
  <c r="O121" i="50"/>
  <c r="C30" i="50"/>
  <c r="E77" i="50"/>
  <c r="F121" i="50"/>
  <c r="AH121" i="50"/>
  <c r="AH15" i="50"/>
  <c r="T101" i="50"/>
  <c r="BD104" i="50"/>
  <c r="BE112" i="50"/>
  <c r="BE218" i="50"/>
  <c r="AJ15" i="50"/>
  <c r="ET92" i="50"/>
  <c r="BL92" i="50"/>
  <c r="Y54" i="50"/>
  <c r="CO77" i="50"/>
  <c r="EQ92" i="50"/>
  <c r="Y92" i="50"/>
  <c r="AS77" i="50"/>
  <c r="AL77" i="50"/>
  <c r="BI92" i="50"/>
  <c r="L92" i="50"/>
  <c r="ET79" i="50"/>
  <c r="BX79" i="50"/>
  <c r="EU105" i="50"/>
  <c r="BK105" i="50"/>
  <c r="H105" i="50"/>
  <c r="E79" i="50"/>
  <c r="BM105" i="50"/>
  <c r="DN105" i="50"/>
  <c r="ED105" i="50"/>
  <c r="G220" i="50"/>
  <c r="DL99" i="50"/>
  <c r="CQ220" i="50"/>
  <c r="AM105" i="50"/>
  <c r="DY220" i="50"/>
  <c r="EB124" i="50"/>
  <c r="CB190" i="50"/>
  <c r="AG115" i="50"/>
  <c r="BA199" i="50"/>
  <c r="CA121" i="50"/>
  <c r="AG121" i="50"/>
  <c r="BE133" i="50"/>
  <c r="EB199" i="50"/>
  <c r="AN199" i="50"/>
  <c r="BC199" i="50"/>
  <c r="AD187" i="50"/>
  <c r="ES83" i="50"/>
  <c r="V123" i="50"/>
  <c r="AE124" i="50"/>
  <c r="M122" i="50"/>
  <c r="Y203" i="50"/>
  <c r="BA203" i="50"/>
  <c r="AD203" i="50"/>
  <c r="AV111" i="50"/>
  <c r="D95" i="50"/>
  <c r="BY101" i="50"/>
  <c r="G101" i="50"/>
  <c r="BE108" i="50"/>
  <c r="AX124" i="50"/>
  <c r="BJ124" i="50"/>
  <c r="V124" i="50"/>
  <c r="DN122" i="50"/>
  <c r="T203" i="50"/>
  <c r="BJ203" i="50"/>
  <c r="AF203" i="50"/>
  <c r="CR111" i="50"/>
  <c r="DQ100" i="50"/>
  <c r="DQ103" i="50"/>
  <c r="AE111" i="50"/>
  <c r="AP111" i="50"/>
  <c r="EQ104" i="50"/>
  <c r="AX122" i="50"/>
  <c r="DY122" i="50"/>
  <c r="AX79" i="50"/>
  <c r="BE204" i="50"/>
  <c r="EE101" i="50"/>
  <c r="AI115" i="50"/>
  <c r="BJ115" i="50"/>
  <c r="EE147" i="50"/>
  <c r="DP77" i="50"/>
  <c r="EC109" i="50"/>
  <c r="CR109" i="50"/>
  <c r="W54" i="50"/>
  <c r="V77" i="50"/>
  <c r="S109" i="50"/>
  <c r="BW109" i="50"/>
  <c r="CB120" i="50"/>
  <c r="BN109" i="50"/>
  <c r="R109" i="50"/>
  <c r="AU109" i="50"/>
  <c r="BY120" i="50"/>
  <c r="BK120" i="50"/>
  <c r="ET120" i="50"/>
  <c r="DJ105" i="50"/>
  <c r="BO184" i="50"/>
  <c r="X115" i="50"/>
  <c r="W115" i="50"/>
  <c r="EE88" i="50"/>
  <c r="EE130" i="50"/>
  <c r="AT115" i="50"/>
  <c r="BA115" i="50"/>
  <c r="F104" i="50"/>
  <c r="S99" i="50"/>
  <c r="CO99" i="50"/>
  <c r="AB54" i="50"/>
  <c r="BE75" i="50"/>
  <c r="BE115" i="50"/>
  <c r="N115" i="50"/>
  <c r="I115" i="50"/>
  <c r="EE93" i="50"/>
  <c r="EE96" i="50"/>
  <c r="DM115" i="50"/>
  <c r="AQ115" i="50"/>
  <c r="AC10" i="26"/>
  <c r="BZ77" i="50"/>
  <c r="CQ109" i="50"/>
  <c r="BL109" i="50"/>
  <c r="EQ111" i="50"/>
  <c r="BB111" i="50"/>
  <c r="F115" i="50"/>
  <c r="AZ115" i="50"/>
  <c r="O79" i="50"/>
  <c r="DY79" i="50"/>
  <c r="CB202" i="50"/>
  <c r="EU202" i="50"/>
  <c r="BM120" i="50"/>
  <c r="DN120" i="50"/>
  <c r="AZ202" i="50"/>
  <c r="CO202" i="50"/>
  <c r="I120" i="50"/>
  <c r="D120" i="50"/>
  <c r="CA202" i="50"/>
  <c r="BI217" i="50"/>
  <c r="D203" i="50"/>
  <c r="P203" i="50"/>
  <c r="AC203" i="50"/>
  <c r="AZ134" i="50"/>
  <c r="AR120" i="50"/>
  <c r="BN82" i="50"/>
  <c r="AC120" i="50"/>
  <c r="BN186" i="50"/>
  <c r="M73" i="50"/>
  <c r="AA186" i="50"/>
  <c r="CB82" i="50"/>
  <c r="EB186" i="50"/>
  <c r="Z14" i="50"/>
  <c r="AP186" i="50"/>
  <c r="AN82" i="50"/>
  <c r="DZ109" i="50"/>
  <c r="V202" i="50"/>
  <c r="BY202" i="50"/>
  <c r="DJ134" i="50"/>
  <c r="EU122" i="50"/>
  <c r="EA122" i="50"/>
  <c r="DJ122" i="50"/>
  <c r="AD202" i="50"/>
  <c r="AB10" i="26"/>
  <c r="BC82" i="50"/>
  <c r="T190" i="50"/>
  <c r="E133" i="50"/>
  <c r="EU120" i="50"/>
  <c r="I87" i="50"/>
  <c r="C74" i="50"/>
  <c r="DZ199" i="50"/>
  <c r="BY187" i="50"/>
  <c r="T83" i="50"/>
  <c r="AD123" i="50"/>
  <c r="AA52" i="50"/>
  <c r="Q185" i="50"/>
  <c r="K121" i="50"/>
  <c r="AB121" i="50"/>
  <c r="ED92" i="50"/>
  <c r="BE116" i="50"/>
  <c r="J24" i="50"/>
  <c r="BW199" i="50"/>
  <c r="BK199" i="50"/>
  <c r="AN187" i="50"/>
  <c r="W83" i="50"/>
  <c r="BJ123" i="50"/>
  <c r="V199" i="50"/>
  <c r="EE123" i="50"/>
  <c r="P217" i="50"/>
  <c r="CA111" i="50"/>
  <c r="BW99" i="50"/>
  <c r="AK122" i="50"/>
  <c r="EE86" i="50"/>
  <c r="V52" i="50"/>
  <c r="AC52" i="50"/>
  <c r="EE124" i="50"/>
  <c r="EE126" i="50"/>
  <c r="AA199" i="50"/>
  <c r="BJ199" i="50"/>
  <c r="EE115" i="50"/>
  <c r="EE117" i="50"/>
  <c r="AQ199" i="50"/>
  <c r="BD121" i="50"/>
  <c r="EE203" i="50"/>
  <c r="M202" i="50"/>
  <c r="AP202" i="50"/>
  <c r="AM124" i="50"/>
  <c r="J203" i="50"/>
  <c r="DO77" i="50"/>
  <c r="T121" i="50"/>
  <c r="X121" i="50"/>
  <c r="V54" i="50"/>
  <c r="G77" i="50"/>
  <c r="E121" i="50"/>
  <c r="DZ121" i="50"/>
  <c r="N77" i="50"/>
  <c r="I77" i="50"/>
  <c r="AE121" i="50"/>
  <c r="AL121" i="50"/>
  <c r="W77" i="50"/>
  <c r="AW111" i="50"/>
  <c r="U52" i="50"/>
  <c r="AD52" i="50"/>
  <c r="R34" i="50"/>
  <c r="DL77" i="50"/>
  <c r="BW92" i="50"/>
  <c r="DY92" i="50"/>
  <c r="AG92" i="50"/>
  <c r="T188" i="50"/>
  <c r="BI93" i="50"/>
  <c r="M220" i="50"/>
  <c r="W92" i="50"/>
  <c r="BJ188" i="50"/>
  <c r="D93" i="50"/>
  <c r="BW220" i="50"/>
  <c r="AO184" i="50"/>
  <c r="AR87" i="50"/>
  <c r="CQ94" i="50"/>
  <c r="AZ94" i="50"/>
  <c r="DQ146" i="50"/>
  <c r="I94" i="50"/>
  <c r="J94" i="50"/>
  <c r="H17" i="50"/>
  <c r="BD187" i="50"/>
  <c r="L19" i="50"/>
  <c r="EA187" i="50"/>
  <c r="AB111" i="50"/>
  <c r="AL101" i="50"/>
  <c r="J109" i="50"/>
  <c r="AE109" i="50"/>
  <c r="DY109" i="50"/>
  <c r="AX104" i="50"/>
  <c r="AP145" i="50"/>
  <c r="DY134" i="50"/>
  <c r="AG134" i="50"/>
  <c r="DJ124" i="50"/>
  <c r="BX122" i="50"/>
  <c r="CO111" i="50"/>
  <c r="DO111" i="50"/>
  <c r="AH101" i="50"/>
  <c r="BL115" i="50"/>
  <c r="AX109" i="50"/>
  <c r="ET109" i="50"/>
  <c r="M104" i="50"/>
  <c r="CP202" i="50"/>
  <c r="AV134" i="50"/>
  <c r="BZ202" i="50"/>
  <c r="DO99" i="50"/>
  <c r="BH146" i="50"/>
  <c r="AP101" i="50"/>
  <c r="EC104" i="50"/>
  <c r="BE200" i="50"/>
  <c r="K203" i="50"/>
  <c r="V203" i="50"/>
  <c r="BH203" i="50"/>
  <c r="AL122" i="50"/>
  <c r="CB203" i="50"/>
  <c r="DQ108" i="50"/>
  <c r="Z111" i="50"/>
  <c r="DL111" i="50"/>
  <c r="DQ184" i="50"/>
  <c r="BE88" i="50"/>
  <c r="CA115" i="50"/>
  <c r="BC115" i="50"/>
  <c r="CR120" i="50"/>
  <c r="DK79" i="50"/>
  <c r="AI79" i="50"/>
  <c r="DP120" i="50"/>
  <c r="BM77" i="50"/>
  <c r="AC54" i="50"/>
  <c r="EE119" i="50"/>
  <c r="EA199" i="50"/>
  <c r="CC200" i="50"/>
  <c r="H18" i="50"/>
  <c r="L77" i="50"/>
  <c r="AD121" i="50"/>
  <c r="BO97" i="50"/>
  <c r="DY105" i="50"/>
  <c r="CA79" i="50"/>
  <c r="U109" i="50"/>
  <c r="AO199" i="50"/>
  <c r="ES121" i="50"/>
  <c r="P121" i="50"/>
  <c r="EA77" i="50"/>
  <c r="DJ92" i="50"/>
  <c r="J92" i="50"/>
  <c r="T92" i="50"/>
  <c r="Y188" i="50"/>
  <c r="U19" i="50"/>
  <c r="U220" i="50"/>
  <c r="E124" i="50"/>
  <c r="G124" i="50"/>
  <c r="J82" i="50"/>
  <c r="E82" i="50"/>
  <c r="BW124" i="50"/>
  <c r="CT149" i="50"/>
  <c r="ER95" i="50"/>
  <c r="DQ202" i="50"/>
  <c r="BE74" i="50"/>
  <c r="BK134" i="50"/>
  <c r="CQ82" i="50"/>
  <c r="EB82" i="50"/>
  <c r="EC124" i="50"/>
  <c r="F124" i="50"/>
  <c r="L82" i="50"/>
  <c r="K82" i="50"/>
  <c r="DY124" i="50"/>
  <c r="U124" i="50"/>
  <c r="P82" i="50"/>
  <c r="AF82" i="50"/>
  <c r="DM124" i="50"/>
  <c r="AJ185" i="50"/>
  <c r="F122" i="50"/>
  <c r="EU79" i="50"/>
  <c r="ES79" i="50"/>
  <c r="BZ124" i="50"/>
  <c r="CB87" i="50"/>
  <c r="BC87" i="50"/>
  <c r="M203" i="50"/>
  <c r="N203" i="50"/>
  <c r="AN87" i="50"/>
  <c r="Q87" i="50"/>
  <c r="BW203" i="50"/>
  <c r="Q203" i="50"/>
  <c r="BH87" i="50"/>
  <c r="N87" i="50"/>
  <c r="AP203" i="50"/>
  <c r="H99" i="50"/>
  <c r="EE190" i="50"/>
  <c r="K77" i="50"/>
  <c r="DP79" i="50"/>
  <c r="BN203" i="50"/>
  <c r="EC94" i="50"/>
  <c r="DO94" i="50"/>
  <c r="AQ87" i="50"/>
  <c r="DO164" i="50"/>
  <c r="DP118" i="50"/>
  <c r="DO124" i="50"/>
  <c r="BM124" i="50"/>
  <c r="BM87" i="50"/>
  <c r="DN87" i="50"/>
  <c r="BI203" i="50"/>
  <c r="H25" i="50"/>
  <c r="I99" i="50"/>
  <c r="U54" i="50"/>
  <c r="DK77" i="50"/>
  <c r="CP124" i="50"/>
  <c r="BA82" i="50"/>
  <c r="AO82" i="50"/>
  <c r="ES124" i="50"/>
  <c r="CA124" i="50"/>
  <c r="CA87" i="50"/>
  <c r="ES87" i="50"/>
  <c r="DJ203" i="50"/>
  <c r="O203" i="50"/>
  <c r="AG87" i="50"/>
  <c r="P87" i="50"/>
  <c r="DZ203" i="50"/>
  <c r="DJ75" i="50"/>
  <c r="AM101" i="50"/>
  <c r="K109" i="50"/>
  <c r="AF109" i="50"/>
  <c r="AO203" i="50"/>
  <c r="Z87" i="50"/>
  <c r="BX87" i="50"/>
  <c r="CQ203" i="50"/>
  <c r="ES203" i="50"/>
  <c r="AP87" i="50"/>
  <c r="CS94" i="50"/>
  <c r="DQ80" i="50"/>
  <c r="DQ82" i="50"/>
  <c r="BB94" i="50"/>
  <c r="AK94" i="50"/>
  <c r="DQ83" i="50"/>
  <c r="DM122" i="50"/>
  <c r="BY87" i="50"/>
  <c r="W87" i="50"/>
  <c r="F87" i="50"/>
  <c r="DQ189" i="50"/>
  <c r="U45" i="50"/>
  <c r="W45" i="50"/>
  <c r="T94" i="50"/>
  <c r="AT164" i="50"/>
  <c r="AB24" i="50"/>
  <c r="CO187" i="50"/>
  <c r="V20" i="50"/>
  <c r="EU187" i="50"/>
  <c r="P118" i="50"/>
  <c r="AL187" i="50"/>
  <c r="AC45" i="50"/>
  <c r="BB109" i="50"/>
  <c r="S202" i="50"/>
  <c r="EB202" i="50"/>
  <c r="AB202" i="50"/>
  <c r="K120" i="50"/>
  <c r="H120" i="50"/>
  <c r="AU120" i="50"/>
  <c r="AE46" i="50"/>
  <c r="BO135" i="50"/>
  <c r="BY186" i="50"/>
  <c r="U80" i="50"/>
  <c r="V80" i="50"/>
  <c r="AD21" i="50"/>
  <c r="D87" i="50"/>
  <c r="BH164" i="50"/>
  <c r="E92" i="50"/>
  <c r="BA188" i="50"/>
  <c r="F93" i="50"/>
  <c r="BX220" i="50"/>
  <c r="AR92" i="50"/>
  <c r="AE203" i="50"/>
  <c r="H121" i="50"/>
  <c r="ER121" i="50"/>
  <c r="CR92" i="50"/>
  <c r="DO79" i="50"/>
  <c r="AI92" i="50"/>
  <c r="AD92" i="50"/>
  <c r="K92" i="50"/>
  <c r="CP188" i="50"/>
  <c r="C93" i="50"/>
  <c r="DL220" i="50"/>
  <c r="AS92" i="50"/>
  <c r="U131" i="50"/>
  <c r="C115" i="50"/>
  <c r="DL115" i="50"/>
  <c r="DZ99" i="50"/>
  <c r="ER122" i="50"/>
  <c r="AZ79" i="50"/>
  <c r="CP105" i="50"/>
  <c r="AW105" i="50"/>
  <c r="CP79" i="50"/>
  <c r="AO79" i="50"/>
  <c r="Z22" i="50"/>
  <c r="M105" i="50"/>
  <c r="Q78" i="50"/>
  <c r="I95" i="50"/>
  <c r="DL101" i="50"/>
  <c r="BL101" i="50"/>
  <c r="AG217" i="50"/>
  <c r="AA146" i="50"/>
  <c r="CR124" i="50"/>
  <c r="D124" i="50"/>
  <c r="AV203" i="50"/>
  <c r="AA115" i="50"/>
  <c r="ED109" i="50"/>
  <c r="AO115" i="50"/>
  <c r="R57" i="50"/>
  <c r="T202" i="50"/>
  <c r="AN202" i="50"/>
  <c r="Y202" i="50"/>
  <c r="AE104" i="50"/>
  <c r="AN134" i="50"/>
  <c r="AW124" i="50"/>
  <c r="ES134" i="50"/>
  <c r="AH99" i="50"/>
  <c r="DY111" i="50"/>
  <c r="EE97" i="50"/>
  <c r="EE100" i="50"/>
  <c r="EE150" i="50"/>
  <c r="DQ95" i="50"/>
  <c r="DQ147" i="50"/>
  <c r="CA203" i="50"/>
  <c r="BD94" i="50"/>
  <c r="CC108" i="50"/>
  <c r="BL121" i="50"/>
  <c r="DQ132" i="50"/>
  <c r="DJ94" i="50"/>
  <c r="CC111" i="50"/>
  <c r="EU92" i="50"/>
  <c r="BE203" i="50"/>
  <c r="BN202" i="50"/>
  <c r="BN94" i="50"/>
  <c r="EB94" i="50"/>
  <c r="Y20" i="50"/>
  <c r="DJ77" i="50"/>
  <c r="AS121" i="50"/>
  <c r="EA121" i="50"/>
  <c r="AI121" i="50"/>
  <c r="AN133" i="50"/>
  <c r="BK93" i="50"/>
  <c r="AB188" i="50"/>
  <c r="K134" i="50"/>
  <c r="M134" i="50"/>
  <c r="CO120" i="50"/>
  <c r="DL120" i="50"/>
  <c r="EQ134" i="50"/>
  <c r="BA150" i="50"/>
  <c r="AC109" i="50"/>
  <c r="DN134" i="50"/>
  <c r="DP124" i="50"/>
  <c r="EA202" i="50"/>
  <c r="E120" i="50"/>
  <c r="BI120" i="50"/>
  <c r="C134" i="50"/>
  <c r="H134" i="50"/>
  <c r="AG120" i="50"/>
  <c r="AH120" i="50"/>
  <c r="BW134" i="50"/>
  <c r="Q134" i="50"/>
  <c r="AS120" i="50"/>
  <c r="EA120" i="50"/>
  <c r="CP134" i="50"/>
  <c r="T49" i="50"/>
  <c r="BJ101" i="50"/>
  <c r="BE189" i="50"/>
  <c r="BE120" i="50"/>
  <c r="ED124" i="50"/>
  <c r="AX82" i="50"/>
  <c r="I82" i="50"/>
  <c r="W124" i="50"/>
  <c r="AY124" i="50"/>
  <c r="DK82" i="50"/>
  <c r="V82" i="50"/>
  <c r="BX124" i="50"/>
  <c r="AD124" i="50"/>
  <c r="AI82" i="50"/>
  <c r="AD82" i="50"/>
  <c r="AJ124" i="50"/>
  <c r="BJ122" i="50"/>
  <c r="BH79" i="50"/>
  <c r="T79" i="50"/>
  <c r="BJ79" i="50"/>
  <c r="X203" i="50"/>
  <c r="V87" i="50"/>
  <c r="DK87" i="50"/>
  <c r="AM87" i="50"/>
  <c r="N98" i="50"/>
  <c r="AU74" i="50"/>
  <c r="F164" i="50"/>
  <c r="BI87" i="50"/>
  <c r="Q98" i="50"/>
  <c r="X74" i="50"/>
  <c r="W164" i="50"/>
  <c r="EQ87" i="50"/>
  <c r="BD202" i="50"/>
  <c r="EE163" i="50"/>
  <c r="ED77" i="50"/>
  <c r="AM77" i="50"/>
  <c r="BE80" i="50"/>
  <c r="BE83" i="50"/>
  <c r="DQ167" i="50"/>
  <c r="AE45" i="50"/>
  <c r="CC103" i="50"/>
  <c r="AT121" i="50"/>
  <c r="S20" i="50"/>
  <c r="BE92" i="50"/>
  <c r="BE94" i="50"/>
  <c r="BX94" i="50"/>
  <c r="BA94" i="50"/>
  <c r="BE95" i="50"/>
  <c r="AJ36" i="50"/>
  <c r="BZ184" i="50"/>
  <c r="AW101" i="50"/>
  <c r="DY101" i="50"/>
  <c r="DQ166" i="50"/>
  <c r="M94" i="50"/>
  <c r="V45" i="50"/>
  <c r="BE84" i="50"/>
  <c r="BE86" i="50"/>
  <c r="AW94" i="50"/>
  <c r="AC94" i="50"/>
  <c r="BE87" i="50"/>
  <c r="BE89" i="50"/>
  <c r="BN199" i="50"/>
  <c r="CB199" i="50"/>
  <c r="BE131" i="50"/>
  <c r="AA57" i="50"/>
  <c r="AQ104" i="50"/>
  <c r="AY122" i="50"/>
  <c r="AB122" i="50"/>
  <c r="BE124" i="50"/>
  <c r="Q199" i="50"/>
  <c r="S199" i="50"/>
  <c r="BE220" i="50"/>
  <c r="BE217" i="50"/>
  <c r="X199" i="50"/>
  <c r="AX199" i="50"/>
  <c r="EE105" i="50"/>
  <c r="EE107" i="50"/>
  <c r="N199" i="50"/>
  <c r="K199" i="50"/>
  <c r="EE108" i="50"/>
  <c r="CQ111" i="50"/>
  <c r="EE167" i="50"/>
  <c r="X15" i="50"/>
  <c r="BY79" i="50"/>
  <c r="EE125" i="50"/>
  <c r="DP121" i="50"/>
  <c r="EU121" i="50"/>
  <c r="AS199" i="50"/>
  <c r="BB123" i="50"/>
  <c r="M24" i="50"/>
  <c r="BE148" i="50"/>
  <c r="BE150" i="50"/>
  <c r="U199" i="50"/>
  <c r="T199" i="50"/>
  <c r="EE81" i="50"/>
  <c r="AW145" i="50"/>
  <c r="D33" i="50"/>
  <c r="AG99" i="50"/>
  <c r="CB122" i="50"/>
  <c r="BE149" i="50"/>
  <c r="AK199" i="50"/>
  <c r="AG199" i="50"/>
  <c r="BE132" i="50"/>
  <c r="BE134" i="50"/>
  <c r="X52" i="50"/>
  <c r="DY199" i="50"/>
  <c r="EE73" i="50"/>
  <c r="EE75" i="50"/>
  <c r="BI199" i="50"/>
  <c r="AB34" i="50"/>
  <c r="EE76" i="50"/>
  <c r="O101" i="50"/>
  <c r="AO111" i="50"/>
  <c r="EU115" i="50"/>
  <c r="Y115" i="50"/>
  <c r="EE118" i="50"/>
  <c r="F199" i="50"/>
  <c r="Y199" i="50"/>
  <c r="EE202" i="50"/>
  <c r="EE204" i="50"/>
  <c r="CP199" i="50"/>
  <c r="DM199" i="50"/>
  <c r="EE187" i="50"/>
  <c r="EE189" i="50"/>
  <c r="BM121" i="50"/>
  <c r="DN121" i="50"/>
  <c r="L202" i="50"/>
  <c r="BA122" i="50"/>
  <c r="DJ99" i="50"/>
  <c r="BX99" i="50"/>
  <c r="DL122" i="50"/>
  <c r="AZ77" i="50"/>
  <c r="BA77" i="50"/>
  <c r="AB109" i="50"/>
  <c r="BX109" i="50"/>
  <c r="AY79" i="50"/>
  <c r="Z79" i="50"/>
  <c r="E202" i="50"/>
  <c r="G202" i="50"/>
  <c r="BZ120" i="50"/>
  <c r="AJ120" i="50"/>
  <c r="BJ202" i="50"/>
  <c r="AA145" i="50"/>
  <c r="BW202" i="50"/>
  <c r="AU124" i="50"/>
  <c r="BB124" i="50"/>
  <c r="CS134" i="50"/>
  <c r="S120" i="50"/>
  <c r="DZ120" i="50"/>
  <c r="T134" i="50"/>
  <c r="U134" i="50"/>
  <c r="AE120" i="50"/>
  <c r="AL120" i="50"/>
  <c r="DM134" i="50"/>
  <c r="AQ134" i="50"/>
  <c r="EC82" i="50"/>
  <c r="DO82" i="50"/>
  <c r="ET134" i="50"/>
  <c r="W111" i="50"/>
  <c r="BE202" i="50"/>
  <c r="EE99" i="50"/>
  <c r="EE102" i="50"/>
  <c r="AF124" i="50"/>
  <c r="Q82" i="50"/>
  <c r="AZ82" i="50"/>
  <c r="AY82" i="50"/>
  <c r="DZ186" i="50"/>
  <c r="AG73" i="50"/>
  <c r="BH98" i="50"/>
  <c r="Z82" i="50"/>
  <c r="AO186" i="50"/>
  <c r="AB73" i="50"/>
  <c r="AZ98" i="50"/>
  <c r="AP82" i="50"/>
  <c r="O202" i="50"/>
  <c r="DQ73" i="50"/>
  <c r="DQ75" i="50"/>
  <c r="DQ115" i="50"/>
  <c r="CB124" i="50"/>
  <c r="R124" i="50"/>
  <c r="AV124" i="50"/>
  <c r="AT120" i="50"/>
  <c r="S190" i="50"/>
  <c r="L94" i="50"/>
  <c r="Y45" i="50"/>
  <c r="DQ107" i="50"/>
  <c r="DQ109" i="50"/>
  <c r="I17" i="50"/>
  <c r="U94" i="50"/>
  <c r="DQ187" i="50"/>
  <c r="DY217" i="50"/>
  <c r="BB146" i="50"/>
  <c r="S134" i="50"/>
  <c r="EA134" i="50"/>
  <c r="DQ98" i="50"/>
  <c r="AU94" i="50"/>
  <c r="M17" i="50"/>
  <c r="DQ99" i="50"/>
  <c r="DQ101" i="50"/>
  <c r="AI94" i="50"/>
  <c r="AD20" i="50"/>
  <c r="DQ163" i="50"/>
  <c r="DQ165" i="50"/>
  <c r="W20" i="50"/>
  <c r="BI94" i="50"/>
  <c r="DQ136" i="50"/>
  <c r="N101" i="50"/>
  <c r="D25" i="50"/>
  <c r="ED104" i="50"/>
  <c r="AU104" i="50"/>
  <c r="BE78" i="50"/>
  <c r="C94" i="50"/>
  <c r="F94" i="50"/>
  <c r="BE79" i="50"/>
  <c r="BE81" i="50"/>
  <c r="EA94" i="50"/>
  <c r="DP199" i="50"/>
  <c r="BE119" i="50"/>
  <c r="BE121" i="50"/>
  <c r="BL199" i="50"/>
  <c r="BY199" i="50"/>
  <c r="BE114" i="50"/>
  <c r="F111" i="50"/>
  <c r="DP105" i="50"/>
  <c r="BY105" i="50"/>
  <c r="R22" i="50"/>
  <c r="EE83" i="50"/>
  <c r="H24" i="50"/>
  <c r="T52" i="50"/>
  <c r="AE52" i="50"/>
  <c r="D123" i="50"/>
  <c r="DZ83" i="50"/>
  <c r="ED133" i="50"/>
  <c r="L199" i="50"/>
  <c r="P123" i="50"/>
  <c r="AL83" i="50"/>
  <c r="J133" i="50"/>
  <c r="AC99" i="50"/>
  <c r="EE188" i="50"/>
  <c r="EE165" i="50"/>
  <c r="CS77" i="50"/>
  <c r="AQ124" i="50"/>
  <c r="AC82" i="50"/>
  <c r="AT82" i="50"/>
  <c r="CO82" i="50"/>
  <c r="AT186" i="50"/>
  <c r="Z73" i="50"/>
  <c r="AF98" i="50"/>
  <c r="CS92" i="50"/>
  <c r="AD15" i="50"/>
  <c r="X54" i="50"/>
  <c r="BB92" i="50"/>
  <c r="AK92" i="50"/>
  <c r="Z77" i="50"/>
  <c r="E95" i="50"/>
  <c r="F101" i="50"/>
  <c r="DQ217" i="50"/>
  <c r="BE77" i="50"/>
  <c r="AB15" i="50"/>
  <c r="AR121" i="50"/>
  <c r="BN92" i="50"/>
  <c r="U77" i="50"/>
  <c r="P77" i="50"/>
  <c r="CQ92" i="50"/>
  <c r="EB92" i="50"/>
  <c r="AF54" i="50"/>
  <c r="AH77" i="50"/>
  <c r="AA92" i="50"/>
  <c r="S92" i="50"/>
  <c r="AR77" i="50"/>
  <c r="CS122" i="50"/>
  <c r="W122" i="50"/>
  <c r="BC79" i="50"/>
  <c r="DJ79" i="50"/>
  <c r="BL79" i="50"/>
  <c r="AC92" i="50"/>
  <c r="AT92" i="50"/>
  <c r="L79" i="50"/>
  <c r="I79" i="50"/>
  <c r="CB105" i="50"/>
  <c r="BC105" i="50"/>
  <c r="P79" i="50"/>
  <c r="V79" i="50"/>
  <c r="AN105" i="50"/>
  <c r="AT105" i="50"/>
  <c r="AC79" i="50"/>
  <c r="G111" i="50"/>
  <c r="EB115" i="50"/>
  <c r="AY109" i="50"/>
  <c r="ER109" i="50"/>
  <c r="U101" i="50"/>
  <c r="H104" i="50"/>
  <c r="EA101" i="50"/>
  <c r="Z217" i="50"/>
  <c r="EB220" i="50"/>
  <c r="AW92" i="50"/>
  <c r="AM79" i="50"/>
  <c r="AK79" i="50"/>
  <c r="CP92" i="50"/>
  <c r="DM92" i="50"/>
  <c r="G79" i="50"/>
  <c r="AT99" i="50"/>
  <c r="AF99" i="50"/>
  <c r="W15" i="50"/>
  <c r="AF15" i="50"/>
  <c r="BN79" i="50"/>
  <c r="M92" i="50"/>
  <c r="G92" i="50"/>
  <c r="BB79" i="50"/>
  <c r="EB79" i="50"/>
  <c r="BA92" i="50"/>
  <c r="AO92" i="50"/>
  <c r="J79" i="50"/>
  <c r="K79" i="50"/>
  <c r="CA105" i="50"/>
  <c r="ES105" i="50"/>
  <c r="Q79" i="50"/>
  <c r="AM115" i="50"/>
  <c r="E109" i="50"/>
  <c r="I109" i="50"/>
  <c r="EQ115" i="50"/>
  <c r="AT79" i="50"/>
  <c r="AC46" i="50"/>
  <c r="AV105" i="50"/>
  <c r="CA120" i="50"/>
  <c r="CS146" i="50"/>
  <c r="AC95" i="50"/>
  <c r="D217" i="50"/>
  <c r="C25" i="50"/>
  <c r="AL99" i="50"/>
  <c r="AJ122" i="50"/>
  <c r="U99" i="50"/>
  <c r="AV101" i="50"/>
  <c r="ER79" i="50"/>
  <c r="U203" i="50"/>
  <c r="BX203" i="50"/>
  <c r="AM203" i="50"/>
  <c r="EC134" i="50"/>
  <c r="P134" i="50"/>
  <c r="N134" i="50"/>
  <c r="BL120" i="50"/>
  <c r="AB190" i="50"/>
  <c r="AJ94" i="50"/>
  <c r="CC81" i="50"/>
  <c r="EU82" i="50"/>
  <c r="DY190" i="50"/>
  <c r="E94" i="50"/>
  <c r="CC121" i="50"/>
  <c r="BI109" i="50"/>
  <c r="ES120" i="50"/>
  <c r="N120" i="50"/>
  <c r="U120" i="50"/>
  <c r="EE217" i="50"/>
  <c r="BZ121" i="50"/>
  <c r="AJ121" i="50"/>
  <c r="EC121" i="50"/>
  <c r="F133" i="50"/>
  <c r="C80" i="50"/>
  <c r="ES133" i="50"/>
  <c r="ET121" i="50"/>
  <c r="P184" i="50"/>
  <c r="EQ203" i="50"/>
  <c r="P98" i="50"/>
  <c r="AR82" i="50"/>
  <c r="BC98" i="50"/>
  <c r="AP73" i="50"/>
  <c r="BA98" i="50"/>
  <c r="CQ87" i="50"/>
  <c r="CQ202" i="50"/>
  <c r="D77" i="50"/>
  <c r="AD54" i="50"/>
  <c r="E30" i="50"/>
  <c r="BY124" i="50"/>
  <c r="DP87" i="50"/>
  <c r="EU87" i="50"/>
  <c r="AS82" i="50"/>
  <c r="EU98" i="50"/>
  <c r="AR73" i="50"/>
  <c r="AD98" i="50"/>
  <c r="ET87" i="50"/>
  <c r="BK98" i="50"/>
  <c r="EC77" i="50"/>
  <c r="AH87" i="50"/>
  <c r="AV121" i="50"/>
  <c r="AC121" i="50"/>
  <c r="L115" i="50"/>
  <c r="DQ90" i="50"/>
  <c r="N164" i="50"/>
  <c r="DN133" i="50"/>
  <c r="CQ199" i="50"/>
  <c r="H199" i="50"/>
  <c r="AF77" i="50"/>
  <c r="AP94" i="50"/>
  <c r="I199" i="50"/>
  <c r="CQ74" i="50"/>
  <c r="CB164" i="50"/>
  <c r="BW87" i="50"/>
  <c r="S104" i="50"/>
  <c r="CP203" i="50"/>
  <c r="CC76" i="50"/>
  <c r="CC79" i="50"/>
  <c r="CR186" i="50"/>
  <c r="K14" i="50"/>
  <c r="AC186" i="50"/>
  <c r="BM82" i="50"/>
  <c r="ER186" i="50"/>
  <c r="H73" i="50"/>
  <c r="EC98" i="50"/>
  <c r="BX73" i="50"/>
  <c r="BN98" i="50"/>
  <c r="ER77" i="50"/>
  <c r="AJ87" i="50"/>
  <c r="DP164" i="50"/>
  <c r="E164" i="50"/>
  <c r="CP187" i="50"/>
  <c r="AJ83" i="50"/>
  <c r="AZ123" i="50"/>
  <c r="Y52" i="50"/>
  <c r="CS123" i="50"/>
  <c r="M83" i="50"/>
  <c r="CP123" i="50"/>
  <c r="CA80" i="50"/>
  <c r="AE123" i="50"/>
  <c r="BE136" i="50"/>
  <c r="Y34" i="50"/>
  <c r="AR199" i="50"/>
  <c r="U34" i="50"/>
  <c r="AB220" i="50"/>
  <c r="EE112" i="50"/>
  <c r="AN190" i="50"/>
  <c r="L105" i="50"/>
  <c r="AK220" i="50"/>
  <c r="EB120" i="50"/>
  <c r="BJ190" i="50"/>
  <c r="X79" i="50"/>
  <c r="EE98" i="50"/>
  <c r="AT134" i="50"/>
  <c r="BY109" i="50"/>
  <c r="EE78" i="50"/>
  <c r="DK123" i="50"/>
  <c r="C87" i="50"/>
  <c r="AC98" i="50"/>
  <c r="EQ74" i="50"/>
  <c r="AZ164" i="50"/>
  <c r="BA87" i="50"/>
  <c r="G217" i="50"/>
  <c r="DP202" i="50"/>
  <c r="AI134" i="50"/>
  <c r="AL124" i="50"/>
  <c r="DM203" i="50"/>
  <c r="CO87" i="50"/>
  <c r="DL87" i="50"/>
  <c r="AV87" i="50"/>
  <c r="AI98" i="50"/>
  <c r="Q74" i="50"/>
  <c r="AF164" i="50"/>
  <c r="AC87" i="50"/>
  <c r="BN164" i="50"/>
  <c r="BA74" i="50"/>
  <c r="AQ164" i="50"/>
  <c r="CB94" i="50"/>
  <c r="BE110" i="50"/>
  <c r="G82" i="50"/>
  <c r="DK73" i="50"/>
  <c r="AB42" i="50"/>
  <c r="DL186" i="50"/>
  <c r="J14" i="50"/>
  <c r="T98" i="50"/>
  <c r="AE82" i="50"/>
  <c r="BD98" i="50"/>
  <c r="AS73" i="50"/>
  <c r="BJ98" i="50"/>
  <c r="W74" i="50"/>
  <c r="CO98" i="50"/>
  <c r="R92" i="50"/>
  <c r="W199" i="50"/>
  <c r="BA123" i="50"/>
  <c r="EC133" i="50"/>
  <c r="Q123" i="50"/>
  <c r="EA83" i="50"/>
  <c r="L133" i="50"/>
  <c r="C24" i="50"/>
  <c r="DM123" i="50"/>
  <c r="BL80" i="50"/>
  <c r="AG133" i="50"/>
  <c r="AB80" i="50"/>
  <c r="U133" i="50"/>
  <c r="P115" i="50"/>
  <c r="V46" i="50"/>
  <c r="BL99" i="50"/>
  <c r="BA121" i="50"/>
  <c r="EB190" i="50"/>
  <c r="BL87" i="50"/>
  <c r="F190" i="50"/>
  <c r="AG79" i="50"/>
  <c r="AE190" i="50"/>
  <c r="EU94" i="50"/>
  <c r="CC110" i="50"/>
  <c r="Y87" i="50"/>
  <c r="EE114" i="50"/>
  <c r="BO163" i="50"/>
  <c r="J184" i="50"/>
  <c r="BA105" i="50"/>
  <c r="BM134" i="50"/>
  <c r="AU121" i="50"/>
  <c r="W133" i="50"/>
  <c r="BJ80" i="50"/>
  <c r="AW188" i="50"/>
  <c r="DJ121" i="50"/>
  <c r="AB203" i="50"/>
  <c r="ER120" i="50"/>
  <c r="CR82" i="50"/>
  <c r="BI82" i="50"/>
  <c r="CR77" i="50"/>
  <c r="V121" i="50"/>
  <c r="DK121" i="50"/>
  <c r="AM121" i="50"/>
  <c r="BH133" i="50"/>
  <c r="Y80" i="50"/>
  <c r="CA188" i="50"/>
  <c r="BI121" i="50"/>
  <c r="AZ133" i="50"/>
  <c r="DM80" i="50"/>
  <c r="AX188" i="50"/>
  <c r="EQ121" i="50"/>
  <c r="DO199" i="50"/>
  <c r="CP94" i="50"/>
  <c r="BM123" i="50"/>
  <c r="BH123" i="50"/>
  <c r="O123" i="50"/>
  <c r="DL83" i="50"/>
  <c r="ET133" i="50"/>
  <c r="D199" i="50"/>
  <c r="EQ123" i="50"/>
  <c r="BN80" i="50"/>
  <c r="AX133" i="50"/>
  <c r="S80" i="50"/>
  <c r="M133" i="50"/>
  <c r="BJ92" i="50"/>
  <c r="AE92" i="50"/>
  <c r="EC105" i="50"/>
  <c r="BW121" i="50"/>
  <c r="CS190" i="50"/>
  <c r="AV82" i="50"/>
  <c r="BH190" i="50"/>
  <c r="EE80" i="50"/>
  <c r="AK190" i="50"/>
  <c r="S87" i="50"/>
  <c r="CC78" i="50"/>
  <c r="CS87" i="50"/>
  <c r="EE186" i="50"/>
  <c r="AS79" i="50"/>
  <c r="BO114" i="50"/>
  <c r="BO200" i="50"/>
  <c r="M186" i="50"/>
  <c r="F14" i="50"/>
  <c r="BB98" i="50"/>
  <c r="H82" i="50"/>
  <c r="BW186" i="50"/>
  <c r="X42" i="50"/>
  <c r="I98" i="50"/>
  <c r="BL74" i="50"/>
  <c r="G98" i="50"/>
  <c r="AN164" i="50"/>
  <c r="ET187" i="50"/>
  <c r="CR101" i="50"/>
  <c r="H77" i="50"/>
  <c r="CC113" i="50"/>
  <c r="DL82" i="50"/>
  <c r="J190" i="50"/>
  <c r="AZ199" i="50"/>
  <c r="CC201" i="50"/>
  <c r="AW87" i="50"/>
  <c r="BN146" i="50"/>
  <c r="DQ118" i="50"/>
  <c r="DQ204" i="50"/>
  <c r="BE100" i="50"/>
  <c r="BL124" i="50"/>
  <c r="I203" i="50"/>
  <c r="F203" i="50"/>
  <c r="U82" i="50"/>
  <c r="L190" i="50"/>
  <c r="BB199" i="50"/>
  <c r="CC185" i="50"/>
  <c r="AX87" i="50"/>
  <c r="CC84" i="50"/>
  <c r="C199" i="50"/>
  <c r="DQ79" i="50"/>
  <c r="EQ94" i="50"/>
  <c r="AF34" i="50"/>
  <c r="BM92" i="50"/>
  <c r="CO92" i="50"/>
  <c r="CQ121" i="50"/>
  <c r="DO220" i="50"/>
  <c r="Y120" i="50"/>
  <c r="AF190" i="50"/>
  <c r="AZ203" i="50"/>
  <c r="CR190" i="50"/>
  <c r="BW82" i="50"/>
  <c r="I190" i="50"/>
  <c r="W82" i="50"/>
  <c r="EE200" i="50"/>
  <c r="EE120" i="50"/>
  <c r="CC122" i="50"/>
  <c r="CC220" i="50"/>
  <c r="AK186" i="50"/>
  <c r="AC42" i="50"/>
  <c r="ED98" i="50"/>
  <c r="X82" i="50"/>
  <c r="DJ186" i="50"/>
  <c r="AE42" i="50"/>
  <c r="AM98" i="50"/>
  <c r="BN74" i="50"/>
  <c r="BL98" i="50"/>
  <c r="DQ114" i="50"/>
  <c r="EA87" i="50"/>
  <c r="AD164" i="50"/>
  <c r="BY164" i="50"/>
  <c r="BN123" i="50"/>
  <c r="DJ83" i="50"/>
  <c r="AQ123" i="50"/>
  <c r="DK199" i="50"/>
  <c r="H123" i="50"/>
  <c r="BW83" i="50"/>
  <c r="EB123" i="50"/>
  <c r="AN80" i="50"/>
  <c r="AK123" i="50"/>
  <c r="BK124" i="50"/>
  <c r="AL109" i="50"/>
  <c r="CC86" i="50"/>
  <c r="CC89" i="50"/>
  <c r="Y133" i="50"/>
  <c r="BD93" i="50"/>
  <c r="AY188" i="50"/>
  <c r="AA121" i="50"/>
  <c r="CC105" i="50"/>
  <c r="AX74" i="50"/>
  <c r="DL79" i="50"/>
  <c r="C77" i="50"/>
  <c r="AD133" i="50"/>
  <c r="BY133" i="50"/>
  <c r="EC120" i="50"/>
  <c r="AM94" i="50"/>
  <c r="BZ118" i="50"/>
  <c r="ER111" i="50"/>
  <c r="CC167" i="50"/>
  <c r="BL203" i="50"/>
  <c r="BE126" i="50"/>
  <c r="CC147" i="50"/>
  <c r="DO123" i="50"/>
  <c r="C83" i="50"/>
  <c r="AN123" i="50"/>
  <c r="BH199" i="50"/>
  <c r="BE111" i="50"/>
  <c r="BM203" i="50"/>
  <c r="M199" i="50"/>
  <c r="S121" i="50"/>
  <c r="AJ164" i="50"/>
  <c r="AE47" i="50"/>
  <c r="AB187" i="50"/>
  <c r="AD45" i="50"/>
  <c r="ES187" i="50"/>
  <c r="AF118" i="50"/>
  <c r="AK187" i="50"/>
  <c r="BB83" i="50"/>
  <c r="AS187" i="50"/>
  <c r="CR79" i="50"/>
  <c r="EC87" i="50"/>
  <c r="AU87" i="50"/>
  <c r="DJ87" i="50"/>
  <c r="AD188" i="50"/>
  <c r="G93" i="50"/>
  <c r="DZ220" i="50"/>
  <c r="AB92" i="50"/>
  <c r="BY188" i="50"/>
  <c r="AO93" i="50"/>
  <c r="AR220" i="50"/>
  <c r="DY91" i="50"/>
  <c r="AH21" i="50"/>
  <c r="EE164" i="50"/>
  <c r="AO123" i="50"/>
  <c r="BD133" i="50"/>
  <c r="BD92" i="50"/>
  <c r="BO98" i="50"/>
  <c r="Y46" i="50"/>
  <c r="AP79" i="50"/>
  <c r="K105" i="50"/>
  <c r="BO148" i="50"/>
  <c r="DP186" i="50"/>
  <c r="BB73" i="50"/>
  <c r="AC105" i="50"/>
  <c r="T82" i="50"/>
  <c r="BN190" i="50"/>
  <c r="BJ146" i="50"/>
  <c r="J199" i="50"/>
  <c r="ER83" i="50"/>
  <c r="E199" i="50"/>
  <c r="AI123" i="50"/>
  <c r="CR80" i="50"/>
  <c r="DY133" i="50"/>
  <c r="AB199" i="50"/>
  <c r="BJ184" i="50"/>
  <c r="AF202" i="50"/>
  <c r="BB134" i="50"/>
  <c r="BC124" i="50"/>
  <c r="EE110" i="50"/>
  <c r="R52" i="50"/>
  <c r="AF52" i="50"/>
  <c r="G24" i="50"/>
  <c r="AA123" i="50"/>
  <c r="CS80" i="50"/>
  <c r="AY133" i="50"/>
  <c r="Z199" i="50"/>
  <c r="AT123" i="50"/>
  <c r="AK80" i="50"/>
  <c r="Z133" i="50"/>
  <c r="AP199" i="50"/>
  <c r="BE113" i="50"/>
  <c r="F82" i="50"/>
  <c r="F98" i="50"/>
  <c r="W98" i="50"/>
  <c r="Y187" i="50"/>
  <c r="EU83" i="50"/>
  <c r="W123" i="50"/>
  <c r="AJ199" i="50"/>
  <c r="BA187" i="50"/>
  <c r="BK83" i="50"/>
  <c r="Y123" i="50"/>
  <c r="CP83" i="50"/>
  <c r="AG123" i="50"/>
  <c r="C92" i="50"/>
  <c r="I24" i="50"/>
  <c r="X34" i="50"/>
  <c r="EQ199" i="50"/>
  <c r="S220" i="50"/>
  <c r="AQ203" i="50"/>
  <c r="CA190" i="50"/>
  <c r="E105" i="50"/>
  <c r="AE220" i="50"/>
  <c r="CA77" i="50"/>
  <c r="BA190" i="50"/>
  <c r="BE188" i="50"/>
  <c r="BH104" i="50"/>
  <c r="BD120" i="50"/>
  <c r="EA220" i="50"/>
  <c r="BL220" i="50"/>
  <c r="AL22" i="50"/>
  <c r="EU73" i="50"/>
  <c r="O186" i="50"/>
  <c r="AI120" i="50"/>
  <c r="AE105" i="50"/>
  <c r="BK73" i="50"/>
  <c r="EQ186" i="50"/>
  <c r="DY73" i="50"/>
  <c r="V186" i="50"/>
  <c r="CB186" i="50"/>
  <c r="AN186" i="50"/>
  <c r="BN99" i="50"/>
  <c r="AO105" i="50"/>
  <c r="DP190" i="50"/>
  <c r="DQ148" i="50"/>
  <c r="BL190" i="50"/>
  <c r="BN87" i="50"/>
  <c r="E190" i="50"/>
  <c r="AQ77" i="50"/>
  <c r="EA203" i="50"/>
  <c r="BX134" i="50"/>
  <c r="BZ134" i="50"/>
  <c r="J124" i="50"/>
  <c r="D115" i="50"/>
  <c r="AC115" i="50"/>
  <c r="DK115" i="50"/>
  <c r="DQ92" i="50"/>
  <c r="DO190" i="50"/>
  <c r="BX82" i="50"/>
  <c r="K190" i="50"/>
  <c r="V15" i="50"/>
  <c r="AL190" i="50"/>
  <c r="AZ87" i="50"/>
  <c r="CC94" i="50"/>
  <c r="W120" i="50"/>
  <c r="AL34" i="50"/>
  <c r="R20" i="50"/>
  <c r="DM94" i="50"/>
  <c r="DN199" i="50"/>
  <c r="L220" i="50"/>
  <c r="AG109" i="50"/>
  <c r="EC220" i="50"/>
  <c r="AS105" i="50"/>
  <c r="AG220" i="50"/>
  <c r="DQ87" i="50"/>
  <c r="BM190" i="50"/>
  <c r="E203" i="50"/>
  <c r="EE106" i="50"/>
  <c r="BI79" i="50"/>
  <c r="BZ188" i="50"/>
  <c r="J220" i="50"/>
  <c r="AA46" i="50"/>
  <c r="BO187" i="50"/>
  <c r="BA186" i="50"/>
  <c r="P120" i="50"/>
  <c r="J18" i="50"/>
  <c r="BC73" i="50"/>
  <c r="X186" i="50"/>
  <c r="F73" i="50"/>
  <c r="I186" i="50"/>
  <c r="DZ111" i="50"/>
  <c r="BC120" i="50"/>
  <c r="DL105" i="50"/>
  <c r="CA186" i="50"/>
  <c r="K187" i="50"/>
  <c r="Y24" i="50"/>
  <c r="CB123" i="50"/>
  <c r="AT94" i="50"/>
  <c r="V187" i="50"/>
  <c r="AO118" i="50"/>
  <c r="K123" i="50"/>
  <c r="AW83" i="50"/>
  <c r="AW123" i="50"/>
  <c r="BZ94" i="50"/>
  <c r="J17" i="50"/>
  <c r="CR104" i="50"/>
  <c r="AW121" i="50"/>
  <c r="BY82" i="50"/>
  <c r="AV186" i="50"/>
  <c r="AW73" i="50"/>
  <c r="CQ98" i="50"/>
  <c r="D82" i="50"/>
  <c r="AD36" i="50"/>
  <c r="DQ125" i="50"/>
  <c r="DQ120" i="50"/>
  <c r="DQ218" i="50"/>
  <c r="DO134" i="50"/>
  <c r="AU82" i="50"/>
  <c r="BH82" i="50"/>
  <c r="BZ82" i="50"/>
  <c r="C186" i="50"/>
  <c r="R14" i="50"/>
  <c r="ET98" i="50"/>
  <c r="N82" i="50"/>
  <c r="R186" i="50"/>
  <c r="AA42" i="50"/>
  <c r="E98" i="50"/>
  <c r="S82" i="50"/>
  <c r="T57" i="50"/>
  <c r="AG77" i="50"/>
  <c r="K188" i="50"/>
  <c r="V188" i="50"/>
  <c r="BH105" i="50"/>
  <c r="BO115" i="50"/>
  <c r="BM186" i="50"/>
  <c r="AV120" i="50"/>
  <c r="V105" i="50"/>
  <c r="BO203" i="50"/>
  <c r="H186" i="50"/>
  <c r="G14" i="50"/>
  <c r="BK186" i="50"/>
  <c r="AE77" i="50"/>
  <c r="EE111" i="50"/>
  <c r="ER105" i="50"/>
  <c r="AX105" i="50"/>
  <c r="BC187" i="50"/>
  <c r="AD24" i="50"/>
  <c r="ER187" i="50"/>
  <c r="S45" i="50"/>
  <c r="I187" i="50"/>
  <c r="Y118" i="50"/>
  <c r="CA123" i="50"/>
  <c r="AX83" i="50"/>
  <c r="BD123" i="50"/>
  <c r="BE163" i="50"/>
  <c r="AI87" i="50"/>
  <c r="DP94" i="50"/>
  <c r="BY94" i="50"/>
  <c r="AN188" i="50"/>
  <c r="AT93" i="50"/>
  <c r="AP220" i="50"/>
  <c r="AP92" i="50"/>
  <c r="AW220" i="50"/>
  <c r="M101" i="50"/>
  <c r="BB220" i="50"/>
  <c r="J91" i="50"/>
  <c r="AC57" i="50"/>
  <c r="C203" i="50"/>
  <c r="EE219" i="50"/>
  <c r="L120" i="50"/>
  <c r="CB92" i="50"/>
  <c r="EA190" i="50"/>
  <c r="AT87" i="50"/>
  <c r="CC102" i="50"/>
  <c r="AZ120" i="50"/>
  <c r="AH94" i="50"/>
  <c r="BK87" i="50"/>
  <c r="CO121" i="50"/>
  <c r="BC93" i="50"/>
  <c r="DZ93" i="50"/>
  <c r="BH120" i="50"/>
  <c r="AF94" i="50"/>
  <c r="EC187" i="50"/>
  <c r="R87" i="50"/>
  <c r="DL92" i="50"/>
  <c r="M77" i="50"/>
  <c r="BE219" i="50"/>
  <c r="O92" i="50"/>
  <c r="DO188" i="50"/>
  <c r="BD91" i="50"/>
  <c r="AU220" i="50"/>
  <c r="ET105" i="50"/>
  <c r="BE199" i="50"/>
  <c r="AN203" i="50"/>
  <c r="DQ84" i="50"/>
  <c r="DQ220" i="50"/>
  <c r="CP133" i="50"/>
  <c r="DN93" i="50"/>
  <c r="CO188" i="50"/>
  <c r="CP121" i="50"/>
  <c r="BN188" i="50"/>
  <c r="AF56" i="50"/>
  <c r="AL188" i="50"/>
  <c r="AV93" i="50"/>
  <c r="BK104" i="50"/>
  <c r="H203" i="50"/>
  <c r="AJ98" i="50"/>
  <c r="O98" i="50"/>
  <c r="BE135" i="50"/>
  <c r="CC119" i="50"/>
  <c r="AJ92" i="50"/>
  <c r="BE164" i="50"/>
  <c r="P199" i="50"/>
  <c r="CC114" i="50"/>
  <c r="DO105" i="50"/>
  <c r="BO92" i="50"/>
  <c r="BX92" i="50"/>
  <c r="DQ76" i="50"/>
  <c r="AC199" i="50"/>
  <c r="EB80" i="50"/>
  <c r="DJ80" i="50"/>
  <c r="ER98" i="50"/>
  <c r="AA74" i="50"/>
  <c r="Y164" i="50"/>
  <c r="CP87" i="50"/>
  <c r="CR164" i="50"/>
  <c r="AQ74" i="50"/>
  <c r="BA164" i="50"/>
  <c r="L118" i="50"/>
  <c r="EA164" i="50"/>
  <c r="J120" i="50"/>
  <c r="BK82" i="50"/>
  <c r="M99" i="50"/>
  <c r="Z34" i="50"/>
  <c r="G133" i="50"/>
  <c r="R46" i="50"/>
  <c r="Z220" i="50"/>
  <c r="BE118" i="50"/>
  <c r="BY190" i="50"/>
  <c r="AD46" i="50"/>
  <c r="EB131" i="50"/>
  <c r="K202" i="50"/>
  <c r="AR134" i="50"/>
  <c r="AK124" i="50"/>
  <c r="AD79" i="50"/>
  <c r="S46" i="50"/>
  <c r="G105" i="50"/>
  <c r="AR105" i="50"/>
  <c r="CO220" i="50"/>
  <c r="BE73" i="50"/>
  <c r="BZ190" i="50"/>
  <c r="D105" i="50"/>
  <c r="AL220" i="50"/>
  <c r="BM79" i="50"/>
  <c r="AQ190" i="50"/>
  <c r="EA111" i="50"/>
  <c r="BE201" i="50"/>
  <c r="O82" i="50"/>
  <c r="DY82" i="50"/>
  <c r="AB82" i="50"/>
  <c r="AF188" i="50"/>
  <c r="DJ93" i="50"/>
  <c r="BI220" i="50"/>
  <c r="I92" i="50"/>
  <c r="AQ188" i="50"/>
  <c r="E93" i="50"/>
  <c r="AH220" i="50"/>
  <c r="AA91" i="50"/>
  <c r="V21" i="50"/>
  <c r="BE186" i="50"/>
  <c r="CR123" i="50"/>
  <c r="N123" i="50"/>
  <c r="AB52" i="50"/>
  <c r="BO105" i="50"/>
  <c r="S105" i="50"/>
  <c r="AN79" i="50"/>
  <c r="AL92" i="50"/>
  <c r="BO106" i="50"/>
  <c r="AH105" i="50"/>
  <c r="ED73" i="50"/>
  <c r="AZ105" i="50"/>
  <c r="AG111" i="50"/>
  <c r="N105" i="50"/>
  <c r="R77" i="50"/>
  <c r="T120" i="50"/>
  <c r="EQ164" i="50"/>
  <c r="T24" i="50"/>
  <c r="L187" i="50"/>
  <c r="DY94" i="50"/>
  <c r="AO164" i="50"/>
  <c r="T47" i="50"/>
  <c r="AG187" i="50"/>
  <c r="AE118" i="50"/>
  <c r="U187" i="50"/>
  <c r="DJ120" i="50"/>
  <c r="DK120" i="50"/>
  <c r="CB115" i="50"/>
  <c r="BB105" i="50"/>
  <c r="X120" i="50"/>
  <c r="AG105" i="50"/>
  <c r="BD73" i="50"/>
  <c r="N186" i="50"/>
  <c r="AA120" i="50"/>
  <c r="W145" i="50"/>
  <c r="W134" i="50"/>
  <c r="AC134" i="50"/>
  <c r="CQ134" i="50"/>
  <c r="BC202" i="50"/>
  <c r="DY120" i="50"/>
  <c r="BW120" i="50"/>
  <c r="C120" i="50"/>
  <c r="AD22" i="50"/>
  <c r="BO218" i="50"/>
  <c r="D186" i="50"/>
  <c r="EQ120" i="50"/>
  <c r="Z105" i="50"/>
  <c r="DN73" i="50"/>
  <c r="P186" i="50"/>
  <c r="CP120" i="50"/>
  <c r="CA101" i="50"/>
  <c r="BE102" i="50"/>
  <c r="BH187" i="50"/>
  <c r="AZ187" i="50"/>
  <c r="G17" i="50"/>
  <c r="BO73" i="50"/>
  <c r="U46" i="50"/>
  <c r="BW77" i="50"/>
  <c r="DN92" i="50"/>
  <c r="BO74" i="50"/>
  <c r="BW105" i="50"/>
  <c r="BO165" i="50"/>
  <c r="U105" i="50"/>
  <c r="AZ92" i="50"/>
  <c r="AQ92" i="50"/>
  <c r="DM93" i="50"/>
  <c r="BM115" i="50"/>
  <c r="X164" i="50"/>
  <c r="AN118" i="50"/>
  <c r="CQ187" i="50"/>
  <c r="AF45" i="50"/>
  <c r="AA164" i="50"/>
  <c r="R47" i="50"/>
  <c r="AX187" i="50"/>
  <c r="Y47" i="50"/>
  <c r="M187" i="50"/>
  <c r="BD115" i="50"/>
  <c r="D79" i="50"/>
  <c r="CQ120" i="50"/>
  <c r="M120" i="50"/>
  <c r="F188" i="50"/>
  <c r="AC93" i="50"/>
  <c r="EB188" i="50"/>
  <c r="AN92" i="50"/>
  <c r="W188" i="50"/>
  <c r="E32" i="50"/>
  <c r="AV220" i="50"/>
  <c r="ED91" i="50"/>
  <c r="DK150" i="50"/>
  <c r="O164" i="50"/>
  <c r="DN109" i="50"/>
  <c r="AA54" i="50"/>
  <c r="BO89" i="50"/>
  <c r="Z20" i="50"/>
  <c r="E187" i="50"/>
  <c r="J19" i="50"/>
  <c r="DP123" i="50"/>
  <c r="AD94" i="50"/>
  <c r="T53" i="50"/>
  <c r="AA45" i="50"/>
  <c r="T45" i="50"/>
  <c r="G94" i="50"/>
  <c r="DQ221" i="50"/>
  <c r="H94" i="50"/>
  <c r="R45" i="50"/>
  <c r="K94" i="50"/>
  <c r="F187" i="50"/>
  <c r="AL24" i="50"/>
  <c r="DN187" i="50"/>
  <c r="BJ94" i="50"/>
  <c r="W187" i="50"/>
  <c r="AD118" i="50"/>
  <c r="F123" i="50"/>
  <c r="BD199" i="50"/>
  <c r="AQ94" i="50"/>
  <c r="AM92" i="50"/>
  <c r="P93" i="50"/>
  <c r="AB19" i="50"/>
  <c r="H164" i="50"/>
  <c r="CA118" i="50"/>
  <c r="EB164" i="50"/>
  <c r="AN94" i="50"/>
  <c r="DK164" i="50"/>
  <c r="J118" i="50"/>
  <c r="AW187" i="50"/>
  <c r="V118" i="50"/>
  <c r="DO187" i="50"/>
  <c r="EC79" i="50"/>
  <c r="EE77" i="50"/>
  <c r="EE199" i="50"/>
  <c r="AE54" i="50"/>
  <c r="BZ133" i="50"/>
  <c r="AZ93" i="50"/>
  <c r="EA188" i="50"/>
  <c r="CA92" i="50"/>
  <c r="E188" i="50"/>
  <c r="AD19" i="50"/>
  <c r="BL188" i="50"/>
  <c r="AE93" i="50"/>
  <c r="AF95" i="50"/>
  <c r="AJ203" i="50"/>
  <c r="EA98" i="50"/>
  <c r="BL164" i="50"/>
  <c r="AJ82" i="50"/>
  <c r="CC199" i="50"/>
  <c r="EA92" i="50"/>
  <c r="EE146" i="50"/>
  <c r="DL199" i="50"/>
  <c r="CC184" i="50"/>
  <c r="E18" i="50"/>
  <c r="BO124" i="50"/>
  <c r="S22" i="50"/>
  <c r="AW82" i="50"/>
  <c r="Z109" i="50"/>
  <c r="ER190" i="50"/>
  <c r="Z190" i="50"/>
  <c r="AB105" i="50"/>
  <c r="AJ73" i="50"/>
  <c r="Q186" i="50"/>
  <c r="AQ120" i="50"/>
  <c r="AG190" i="50"/>
  <c r="O220" i="50"/>
  <c r="O87" i="50"/>
  <c r="DL121" i="50"/>
  <c r="S188" i="50"/>
  <c r="AE188" i="50"/>
  <c r="AY120" i="50"/>
  <c r="BM94" i="50"/>
  <c r="EA133" i="50"/>
  <c r="BE123" i="50"/>
  <c r="EE104" i="50"/>
  <c r="X77" i="50"/>
  <c r="BE91" i="50"/>
  <c r="EE109" i="50"/>
  <c r="CC132" i="50"/>
  <c r="T22" i="50"/>
  <c r="CB77" i="50"/>
  <c r="AF121" i="50"/>
  <c r="BE184" i="50"/>
  <c r="AF87" i="50"/>
  <c r="DN94" i="50"/>
  <c r="BH92" i="50"/>
  <c r="CO190" i="50"/>
  <c r="V94" i="50"/>
  <c r="CC97" i="50"/>
  <c r="M82" i="50"/>
  <c r="AX190" i="50"/>
  <c r="ED199" i="50"/>
  <c r="CC149" i="50"/>
  <c r="D17" i="50"/>
  <c r="EQ77" i="50"/>
  <c r="BZ87" i="50"/>
  <c r="ET74" i="50"/>
  <c r="N74" i="50"/>
  <c r="DM186" i="50"/>
  <c r="AE73" i="50"/>
  <c r="Y98" i="50"/>
  <c r="ED87" i="50"/>
  <c r="DN98" i="50"/>
  <c r="EC74" i="50"/>
  <c r="AQ98" i="50"/>
  <c r="AZ74" i="50"/>
  <c r="AT98" i="50"/>
  <c r="DQ200" i="50"/>
  <c r="AT199" i="50"/>
  <c r="CO133" i="50"/>
  <c r="AL133" i="50"/>
  <c r="AC123" i="50"/>
  <c r="DO80" i="50"/>
  <c r="S133" i="50"/>
  <c r="AE199" i="50"/>
  <c r="AJ123" i="50"/>
  <c r="R80" i="50"/>
  <c r="AE133" i="50"/>
  <c r="AP80" i="50"/>
  <c r="DL133" i="50"/>
  <c r="Y190" i="50"/>
  <c r="W190" i="50"/>
  <c r="O115" i="50"/>
  <c r="DJ199" i="50"/>
  <c r="CP77" i="50"/>
  <c r="X92" i="50"/>
  <c r="BO90" i="50"/>
  <c r="EQ105" i="50"/>
  <c r="AB79" i="50"/>
  <c r="C18" i="50"/>
  <c r="BB203" i="50"/>
  <c r="AF21" i="50"/>
  <c r="R99" i="50"/>
  <c r="U122" i="50"/>
  <c r="BZ79" i="50"/>
  <c r="N79" i="50"/>
  <c r="AA77" i="50"/>
  <c r="AH92" i="50"/>
  <c r="BO82" i="50"/>
  <c r="DZ105" i="50"/>
  <c r="S79" i="50"/>
  <c r="AK105" i="50"/>
  <c r="BO122" i="50"/>
  <c r="BX105" i="50"/>
  <c r="BB120" i="50"/>
  <c r="AI99" i="50"/>
  <c r="M124" i="50"/>
  <c r="BI186" i="50"/>
  <c r="AH186" i="50"/>
  <c r="EA124" i="50"/>
  <c r="CC87" i="50"/>
  <c r="L121" i="50"/>
  <c r="BE96" i="50"/>
  <c r="AB94" i="50"/>
  <c r="CC131" i="50"/>
  <c r="Q92" i="50"/>
  <c r="BO99" i="50"/>
  <c r="BC92" i="50"/>
  <c r="AU92" i="50"/>
  <c r="AJ34" i="50"/>
  <c r="AV83" i="50"/>
  <c r="AH83" i="50"/>
  <c r="EQ98" i="50"/>
  <c r="DK74" i="50"/>
  <c r="T164" i="50"/>
  <c r="AA87" i="50"/>
  <c r="AL98" i="50"/>
  <c r="AI74" i="50"/>
  <c r="BJ164" i="50"/>
  <c r="S24" i="50"/>
  <c r="CO164" i="50"/>
  <c r="DP115" i="50"/>
  <c r="AH22" i="50"/>
  <c r="CP190" i="50"/>
  <c r="AZ190" i="50"/>
  <c r="T133" i="50"/>
  <c r="AD80" i="50"/>
  <c r="G188" i="50"/>
  <c r="M121" i="50"/>
  <c r="BJ133" i="50"/>
  <c r="EU93" i="50"/>
  <c r="DY188" i="50"/>
  <c r="T93" i="50"/>
  <c r="BI188" i="50"/>
  <c r="DK105" i="50"/>
  <c r="CS202" i="50"/>
  <c r="AF79" i="50"/>
  <c r="AY220" i="50"/>
  <c r="AB45" i="50"/>
  <c r="Q164" i="50"/>
  <c r="AC47" i="50"/>
  <c r="J187" i="50"/>
  <c r="S94" i="50"/>
  <c r="E134" i="50"/>
  <c r="AB120" i="50"/>
  <c r="ED82" i="50"/>
  <c r="AM82" i="50"/>
  <c r="DQ85" i="50"/>
  <c r="CO94" i="50"/>
  <c r="Y94" i="50"/>
  <c r="AG94" i="50"/>
  <c r="P164" i="50"/>
  <c r="V47" i="50"/>
  <c r="G187" i="50"/>
  <c r="BW94" i="50"/>
  <c r="AC164" i="50"/>
  <c r="I118" i="50"/>
  <c r="DY187" i="50"/>
  <c r="X20" i="50"/>
  <c r="AL94" i="50"/>
  <c r="ER94" i="50"/>
  <c r="BJ118" i="50"/>
  <c r="BD83" i="50"/>
  <c r="X98" i="50"/>
  <c r="O74" i="50"/>
  <c r="K164" i="50"/>
  <c r="M87" i="50"/>
  <c r="AA98" i="50"/>
  <c r="P74" i="50"/>
  <c r="V164" i="50"/>
  <c r="AJ118" i="50"/>
  <c r="AY164" i="50"/>
  <c r="AX92" i="50"/>
  <c r="BD105" i="50"/>
  <c r="AS220" i="50"/>
  <c r="ET220" i="50"/>
  <c r="K133" i="50"/>
  <c r="AF80" i="50"/>
  <c r="DP188" i="50"/>
  <c r="U121" i="50"/>
  <c r="V133" i="50"/>
  <c r="AT80" i="50"/>
  <c r="J188" i="50"/>
  <c r="BJ93" i="50"/>
  <c r="C188" i="50"/>
  <c r="V115" i="50"/>
  <c r="CR105" i="50"/>
  <c r="O105" i="50"/>
  <c r="AU105" i="50"/>
  <c r="G190" i="50"/>
  <c r="L24" i="50"/>
  <c r="CC116" i="50"/>
  <c r="AD87" i="50"/>
  <c r="CC100" i="50"/>
  <c r="BN121" i="50"/>
  <c r="CC134" i="50"/>
  <c r="AW199" i="50"/>
  <c r="BH124" i="50"/>
  <c r="BY118" i="50"/>
  <c r="V146" i="50"/>
  <c r="Y15" i="50"/>
  <c r="T105" i="50"/>
  <c r="DP92" i="50"/>
  <c r="CR188" i="50"/>
  <c r="AI93" i="50"/>
  <c r="AK188" i="50"/>
  <c r="BY92" i="50"/>
  <c r="O185" i="50"/>
  <c r="AY94" i="50"/>
  <c r="AH20" i="50"/>
  <c r="T20" i="50"/>
  <c r="AY77" i="50"/>
  <c r="EC92" i="50"/>
  <c r="DO92" i="50"/>
  <c r="AQ121" i="50"/>
  <c r="CS188" i="50"/>
  <c r="AA93" i="50"/>
  <c r="ER188" i="50"/>
  <c r="BZ92" i="50"/>
  <c r="I188" i="50"/>
  <c r="AJ19" i="50"/>
  <c r="ED220" i="50"/>
  <c r="Z92" i="50"/>
  <c r="BZ199" i="50"/>
  <c r="AF92" i="50"/>
  <c r="BM188" i="50"/>
  <c r="DJ220" i="50"/>
  <c r="EU133" i="50"/>
  <c r="M80" i="50"/>
  <c r="ER133" i="50"/>
  <c r="BB121" i="50"/>
  <c r="I133" i="50"/>
  <c r="AZ80" i="50"/>
  <c r="CB188" i="50"/>
  <c r="AB56" i="50"/>
  <c r="BB133" i="50"/>
  <c r="AU79" i="50"/>
  <c r="F24" i="50"/>
  <c r="DO121" i="50"/>
  <c r="F92" i="50"/>
  <c r="AY190" i="50"/>
  <c r="AE94" i="50"/>
  <c r="CC133" i="50"/>
  <c r="DO87" i="50"/>
  <c r="AW190" i="50"/>
  <c r="W52" i="50"/>
  <c r="CC124" i="50"/>
  <c r="CO199" i="50"/>
  <c r="BZ203" i="50"/>
  <c r="AS87" i="50"/>
  <c r="AC74" i="50"/>
  <c r="CB118" i="50"/>
  <c r="ES98" i="50"/>
  <c r="ED74" i="50"/>
  <c r="CP98" i="50"/>
  <c r="BB87" i="50"/>
  <c r="D98" i="50"/>
  <c r="AM74" i="50"/>
  <c r="BM164" i="50"/>
  <c r="AT74" i="50"/>
  <c r="EU164" i="50"/>
  <c r="Z124" i="50"/>
  <c r="F202" i="50"/>
  <c r="L87" i="50"/>
  <c r="AF20" i="50"/>
  <c r="DM164" i="50"/>
  <c r="Z47" i="50"/>
  <c r="S187" i="50"/>
  <c r="AX94" i="50"/>
  <c r="F17" i="50"/>
  <c r="BO77" i="50"/>
  <c r="BJ83" i="50"/>
  <c r="AL89" i="50"/>
  <c r="AQ83" i="50"/>
  <c r="CO123" i="50"/>
  <c r="BD80" i="50"/>
  <c r="DO100" i="50"/>
  <c r="DP80" i="50"/>
  <c r="Z123" i="50"/>
  <c r="EU80" i="50"/>
  <c r="BL100" i="50"/>
  <c r="BY80" i="50"/>
  <c r="ER123" i="50"/>
  <c r="BK80" i="50"/>
  <c r="I100" i="50"/>
  <c r="X45" i="50"/>
  <c r="DY121" i="50"/>
  <c r="DM83" i="50"/>
  <c r="CR100" i="50"/>
  <c r="BM80" i="50"/>
  <c r="EA123" i="50"/>
  <c r="DN80" i="50"/>
  <c r="E100" i="50"/>
  <c r="BZ80" i="50"/>
  <c r="AL123" i="50"/>
  <c r="AJ80" i="50"/>
  <c r="K100" i="50"/>
  <c r="AX80" i="50"/>
  <c r="CS133" i="50"/>
  <c r="I80" i="50"/>
  <c r="V100" i="50"/>
  <c r="AX121" i="50"/>
  <c r="BI105" i="50"/>
  <c r="ES80" i="50"/>
  <c r="F100" i="50"/>
  <c r="X80" i="50"/>
  <c r="BZ123" i="50"/>
  <c r="T80" i="50"/>
  <c r="W100" i="50"/>
  <c r="DK80" i="50"/>
  <c r="BN133" i="50"/>
  <c r="BH80" i="50"/>
  <c r="T100" i="50"/>
  <c r="AW80" i="50"/>
  <c r="AV133" i="50"/>
  <c r="BW80" i="50"/>
  <c r="BJ100" i="50"/>
  <c r="F18" i="50"/>
  <c r="BC186" i="50"/>
  <c r="W80" i="50"/>
  <c r="BH100" i="50"/>
  <c r="J80" i="50"/>
  <c r="DO133" i="50"/>
  <c r="E80" i="50"/>
  <c r="AZ100" i="50"/>
  <c r="G80" i="50"/>
  <c r="O134" i="50"/>
  <c r="AF46" i="50"/>
  <c r="CS186" i="50"/>
  <c r="D18" i="50"/>
  <c r="CC92" i="50"/>
  <c r="BX199" i="50"/>
  <c r="DQ111" i="50"/>
  <c r="DO186" i="50"/>
  <c r="BJ186" i="50"/>
  <c r="K80" i="50"/>
  <c r="AF100" i="50"/>
  <c r="AG80" i="50"/>
  <c r="DJ133" i="50"/>
  <c r="AH80" i="50"/>
  <c r="BK100" i="50"/>
  <c r="CO80" i="50"/>
  <c r="BI133" i="50"/>
  <c r="DL80" i="50"/>
  <c r="AT100" i="50"/>
  <c r="AR80" i="50"/>
  <c r="AH133" i="50"/>
  <c r="BN93" i="50"/>
  <c r="BC97" i="50"/>
  <c r="BX186" i="50"/>
  <c r="AY98" i="50"/>
  <c r="DZ80" i="50"/>
  <c r="AD100" i="50"/>
  <c r="AE80" i="50"/>
  <c r="BW133" i="50"/>
  <c r="AL80" i="50"/>
  <c r="BD97" i="50"/>
  <c r="AS80" i="50"/>
  <c r="DZ133" i="50"/>
  <c r="EA80" i="50"/>
  <c r="EU97" i="50"/>
  <c r="ET93" i="50"/>
  <c r="AR133" i="50"/>
  <c r="BL93" i="50"/>
  <c r="F97" i="50"/>
  <c r="DK98" i="50"/>
  <c r="G164" i="50"/>
  <c r="ER80" i="50"/>
  <c r="DM100" i="50"/>
  <c r="ED93" i="50"/>
  <c r="BX133" i="50"/>
  <c r="CR93" i="50"/>
  <c r="DN97" i="50"/>
  <c r="EC93" i="50"/>
  <c r="AP133" i="50"/>
  <c r="DO93" i="50"/>
  <c r="AJ97" i="50"/>
  <c r="AU93" i="50"/>
  <c r="CQ133" i="50"/>
  <c r="AL19" i="50"/>
  <c r="BH97" i="50"/>
  <c r="D164" i="50"/>
  <c r="BZ164" i="50"/>
  <c r="CS93" i="50"/>
  <c r="ES97" i="50"/>
  <c r="BB93" i="50"/>
  <c r="AU133" i="50"/>
  <c r="AK93" i="50"/>
  <c r="K97" i="50"/>
  <c r="AM93" i="50"/>
  <c r="DQ117" i="50"/>
  <c r="AI164" i="50"/>
  <c r="BK164" i="50"/>
  <c r="EA82" i="50"/>
  <c r="CC148" i="50"/>
  <c r="U22" i="50"/>
  <c r="BY77" i="50"/>
  <c r="BB164" i="50"/>
  <c r="DL187" i="50"/>
  <c r="EB93" i="50"/>
  <c r="E97" i="50"/>
  <c r="AF19" i="50"/>
  <c r="BD188" i="50"/>
  <c r="F32" i="50"/>
  <c r="T97" i="50"/>
  <c r="Y19" i="50"/>
  <c r="EU188" i="50"/>
  <c r="Z93" i="50"/>
  <c r="V97" i="50"/>
  <c r="U93" i="50"/>
  <c r="DJ188" i="50"/>
  <c r="DK93" i="50"/>
  <c r="AD97" i="50"/>
  <c r="BJ187" i="50"/>
  <c r="AX123" i="50"/>
  <c r="Y56" i="50"/>
  <c r="W97" i="50"/>
  <c r="AD93" i="50"/>
  <c r="AV188" i="50"/>
  <c r="S93" i="50"/>
  <c r="Y97" i="50"/>
  <c r="X56" i="50"/>
  <c r="M188" i="50"/>
  <c r="DY93" i="50"/>
  <c r="BJ97" i="50"/>
  <c r="AX93" i="50"/>
  <c r="BW188" i="50"/>
  <c r="V19" i="50"/>
  <c r="BN106" i="50"/>
  <c r="X123" i="50"/>
  <c r="CR133" i="50"/>
  <c r="Q93" i="50"/>
  <c r="AZ97" i="50"/>
  <c r="W93" i="50"/>
  <c r="R188" i="50"/>
  <c r="U56" i="50"/>
  <c r="AL97" i="50"/>
  <c r="X93" i="50"/>
  <c r="U188" i="50"/>
  <c r="BH93" i="50"/>
  <c r="EA97" i="50"/>
  <c r="M93" i="50"/>
  <c r="BX188" i="50"/>
  <c r="V56" i="50"/>
  <c r="BL106" i="50"/>
  <c r="BC133" i="50"/>
  <c r="AS133" i="50"/>
  <c r="AE56" i="50"/>
  <c r="ER97" i="50"/>
  <c r="Z56" i="50"/>
  <c r="AH188" i="50"/>
  <c r="AD56" i="50"/>
  <c r="CR106" i="50"/>
  <c r="N93" i="50"/>
  <c r="AK77" i="50"/>
  <c r="AF133" i="50"/>
  <c r="AQ133" i="50"/>
  <c r="H92" i="50"/>
  <c r="BO132" i="50"/>
  <c r="AQ105" i="50"/>
  <c r="AM120" i="50"/>
  <c r="BA133" i="50"/>
  <c r="DZ188" i="50"/>
  <c r="AH19" i="50"/>
  <c r="CS106" i="50"/>
  <c r="S19" i="50"/>
  <c r="AR188" i="50"/>
  <c r="S56" i="50"/>
  <c r="D106" i="50"/>
  <c r="H93" i="50"/>
  <c r="AS188" i="50"/>
  <c r="R19" i="50"/>
  <c r="N106" i="50"/>
  <c r="AP93" i="50"/>
  <c r="BN220" i="50"/>
  <c r="CS91" i="50"/>
  <c r="Q106" i="50"/>
  <c r="AZ188" i="50"/>
  <c r="AP188" i="50"/>
  <c r="AC56" i="50"/>
  <c r="H106" i="50"/>
  <c r="AS93" i="50"/>
  <c r="BB188" i="50"/>
  <c r="EA93" i="50"/>
  <c r="DK106" i="50"/>
  <c r="AR93" i="50"/>
  <c r="CQ188" i="50"/>
  <c r="BN91" i="50"/>
  <c r="P106" i="50"/>
  <c r="CQ91" i="50"/>
  <c r="N220" i="50"/>
  <c r="EB91" i="50"/>
  <c r="AC106" i="50"/>
  <c r="AX220" i="50"/>
  <c r="AM188" i="50"/>
  <c r="AL93" i="50"/>
  <c r="X106" i="50"/>
  <c r="EC91" i="50"/>
  <c r="H220" i="50"/>
  <c r="DO91" i="50"/>
  <c r="AA106" i="50"/>
  <c r="ET91" i="50"/>
  <c r="D220" i="50"/>
  <c r="BL91" i="50"/>
  <c r="AI106" i="50"/>
  <c r="EQ91" i="50"/>
  <c r="P220" i="50"/>
  <c r="Y91" i="50"/>
  <c r="BK106" i="50"/>
  <c r="CR220" i="50"/>
  <c r="CS220" i="50"/>
  <c r="CR91" i="50"/>
  <c r="EQ106" i="50"/>
  <c r="AM91" i="50"/>
  <c r="X220" i="50"/>
  <c r="AF91" i="50"/>
  <c r="AO106" i="50"/>
  <c r="AU91" i="50"/>
  <c r="DK220" i="50"/>
  <c r="AZ91" i="50"/>
  <c r="AT106" i="50"/>
  <c r="S91" i="50"/>
  <c r="AI220" i="50"/>
  <c r="T91" i="50"/>
  <c r="EU218" i="50"/>
  <c r="X17" i="50"/>
  <c r="ED218" i="50"/>
  <c r="AK91" i="50"/>
  <c r="DM106" i="50"/>
  <c r="AI91" i="50"/>
  <c r="EQ220" i="50"/>
  <c r="AD91" i="50"/>
  <c r="BB106" i="50"/>
  <c r="AC91" i="50"/>
  <c r="AA220" i="50"/>
  <c r="V91" i="50"/>
  <c r="BD218" i="50"/>
  <c r="L91" i="50"/>
  <c r="AT220" i="50"/>
  <c r="K91" i="50"/>
  <c r="AV218" i="50"/>
  <c r="CC95" i="50"/>
  <c r="Q220" i="50"/>
  <c r="BJ91" i="50"/>
  <c r="AJ106" i="50"/>
  <c r="AY91" i="50"/>
  <c r="DM220" i="50"/>
  <c r="BH91" i="50"/>
  <c r="ES218" i="50"/>
  <c r="AX91" i="50"/>
  <c r="AO220" i="50"/>
  <c r="I91" i="50"/>
  <c r="C218" i="50"/>
  <c r="BW122" i="50"/>
  <c r="ES220" i="50"/>
  <c r="DP203" i="50"/>
  <c r="R218" i="50"/>
  <c r="BO81" i="50"/>
  <c r="AC220" i="50"/>
  <c r="W91" i="50"/>
  <c r="BC218" i="50"/>
  <c r="G91" i="50"/>
  <c r="AJ220" i="50"/>
  <c r="BC145" i="50"/>
  <c r="DJ218" i="50"/>
  <c r="DO104" i="50"/>
  <c r="DN220" i="50"/>
  <c r="BH202" i="50"/>
  <c r="BI218" i="50"/>
  <c r="I124" i="50"/>
  <c r="BD190" i="50"/>
  <c r="R82" i="50"/>
  <c r="AH218" i="50"/>
  <c r="BO123" i="50"/>
  <c r="BK220" i="50"/>
  <c r="E91" i="50"/>
  <c r="M218" i="50"/>
  <c r="AK109" i="50"/>
  <c r="CB220" i="50"/>
  <c r="DO120" i="50"/>
  <c r="BW218" i="50"/>
  <c r="BH134" i="50"/>
  <c r="Z120" i="50"/>
  <c r="ES73" i="50"/>
  <c r="I73" i="50"/>
  <c r="U186" i="50"/>
  <c r="V73" i="50"/>
  <c r="K98" i="50"/>
  <c r="AG82" i="50"/>
  <c r="T42" i="50"/>
  <c r="BC220" i="50"/>
  <c r="EE131" i="50"/>
  <c r="U218" i="50"/>
  <c r="BY203" i="50"/>
  <c r="BC190" i="50"/>
  <c r="DM87" i="50"/>
  <c r="BX218" i="50"/>
  <c r="DQ119" i="50"/>
  <c r="ES190" i="50"/>
  <c r="DK94" i="50"/>
  <c r="AP218" i="50"/>
  <c r="DZ77" i="50"/>
  <c r="AO190" i="50"/>
  <c r="DZ92" i="50"/>
  <c r="BZ218" i="50"/>
  <c r="Y14" i="50"/>
  <c r="EU190" i="50"/>
  <c r="AK87" i="50"/>
  <c r="DL218" i="50"/>
  <c r="EE166" i="50"/>
  <c r="BK190" i="50"/>
  <c r="AL199" i="50"/>
  <c r="AU218" i="50"/>
  <c r="AN77" i="50"/>
  <c r="AT190" i="50"/>
  <c r="G121" i="50"/>
  <c r="AM218" i="50"/>
  <c r="G120" i="50"/>
  <c r="AA190" i="50"/>
  <c r="X46" i="50"/>
  <c r="DO110" i="50"/>
  <c r="AV74" i="50"/>
  <c r="AJ190" i="50"/>
  <c r="W34" i="50"/>
  <c r="AS218" i="50"/>
  <c r="ED120" i="50"/>
  <c r="AC190" i="50"/>
  <c r="K18" i="50"/>
  <c r="CS110" i="50"/>
  <c r="AK120" i="50"/>
  <c r="AI190" i="50"/>
  <c r="W22" i="50"/>
  <c r="CR110" i="50"/>
  <c r="ES82" i="50"/>
  <c r="DK190" i="50"/>
  <c r="AW186" i="50"/>
  <c r="DJ110" i="50"/>
  <c r="BM118" i="50"/>
  <c r="DM190" i="50"/>
  <c r="CS105" i="50"/>
  <c r="BN110" i="50"/>
  <c r="BJ120" i="50"/>
  <c r="Q190" i="50"/>
  <c r="AP105" i="50"/>
  <c r="AV110" i="50"/>
  <c r="DM120" i="50"/>
  <c r="P94" i="50"/>
  <c r="F118" i="50"/>
  <c r="F19" i="50"/>
  <c r="H98" i="50"/>
  <c r="BB74" i="50"/>
  <c r="CA164" i="50"/>
  <c r="U87" i="50"/>
  <c r="R118" i="50"/>
  <c r="EQ190" i="50"/>
  <c r="Y22" i="50"/>
  <c r="C110" i="50"/>
  <c r="C82" i="50"/>
  <c r="O190" i="50"/>
  <c r="AG186" i="50"/>
  <c r="R110" i="50"/>
  <c r="DZ82" i="50"/>
  <c r="N190" i="50"/>
  <c r="AE186" i="50"/>
  <c r="U110" i="50"/>
  <c r="J87" i="50"/>
  <c r="CC88" i="50"/>
  <c r="DL98" i="50"/>
  <c r="BX110" i="50"/>
  <c r="BC83" i="50"/>
  <c r="X190" i="50"/>
  <c r="AX186" i="50"/>
  <c r="BI110" i="50"/>
  <c r="EB87" i="50"/>
  <c r="CC73" i="50"/>
  <c r="M98" i="50"/>
  <c r="AH110" i="50"/>
  <c r="DY87" i="50"/>
  <c r="CC80" i="50"/>
  <c r="U98" i="50"/>
  <c r="DL110" i="50"/>
  <c r="BK94" i="50"/>
  <c r="CC83" i="50"/>
  <c r="U164" i="50"/>
  <c r="AU110" i="50"/>
  <c r="BX83" i="50"/>
  <c r="H190" i="50"/>
  <c r="BY98" i="50"/>
  <c r="DZ110" i="50"/>
  <c r="AO87" i="50"/>
  <c r="CC104" i="50"/>
  <c r="ET164" i="50"/>
  <c r="AR110" i="50"/>
  <c r="BC94" i="50"/>
  <c r="CC75" i="50"/>
  <c r="M164" i="50"/>
  <c r="AS110" i="50"/>
  <c r="U20" i="50"/>
  <c r="CC115" i="50"/>
  <c r="BZ187" i="50"/>
  <c r="BD148" i="50"/>
  <c r="AV80" i="50"/>
  <c r="CC96" i="50"/>
  <c r="AR98" i="50"/>
  <c r="AP110" i="50"/>
  <c r="AJ20" i="50"/>
  <c r="CC99" i="50"/>
  <c r="AS164" i="50"/>
  <c r="CQ110" i="50"/>
  <c r="BH94" i="50"/>
  <c r="I121" i="50"/>
  <c r="AO80" i="50"/>
  <c r="ES93" i="50"/>
  <c r="CS164" i="50"/>
  <c r="CP74" i="50"/>
  <c r="CP164" i="50"/>
  <c r="CA94" i="50"/>
  <c r="AJ93" i="50"/>
  <c r="CC91" i="50"/>
  <c r="DL164" i="50"/>
  <c r="AM110" i="50"/>
  <c r="AS94" i="50"/>
  <c r="CC135" i="50"/>
  <c r="Q187" i="50"/>
  <c r="AW148" i="50"/>
  <c r="EC199" i="50"/>
  <c r="CC163" i="50"/>
  <c r="AC187" i="50"/>
  <c r="G148" i="50"/>
  <c r="AV199" i="50"/>
  <c r="CC136" i="50"/>
  <c r="AH123" i="50"/>
  <c r="L148" i="50"/>
  <c r="I93" i="50"/>
  <c r="CC123" i="50"/>
  <c r="O187" i="50"/>
  <c r="EU148" i="50"/>
  <c r="R199" i="50"/>
  <c r="CC118" i="50"/>
  <c r="AV123" i="50"/>
  <c r="AX148" i="50"/>
  <c r="E24" i="50"/>
  <c r="CC126" i="50"/>
  <c r="R123" i="50"/>
  <c r="CC202" i="50"/>
  <c r="EB121" i="50"/>
  <c r="CC219" i="50"/>
  <c r="O133" i="50"/>
  <c r="AG148" i="50"/>
  <c r="BM202" i="50"/>
  <c r="CC203" i="50"/>
  <c r="EC123" i="50"/>
  <c r="CC150" i="50"/>
  <c r="ER199" i="50"/>
  <c r="CC188" i="50"/>
  <c r="DN123" i="50"/>
  <c r="CC186" i="50"/>
  <c r="CS121" i="50"/>
  <c r="CC204" i="50"/>
  <c r="BM133" i="50"/>
  <c r="BO91" i="50"/>
  <c r="AO121" i="50"/>
  <c r="BO101" i="50"/>
  <c r="ED188" i="50"/>
  <c r="AE148" i="50"/>
  <c r="AO120" i="50"/>
  <c r="CC164" i="50"/>
  <c r="AR123" i="50"/>
  <c r="BO75" i="50"/>
  <c r="J121" i="50"/>
  <c r="BO85" i="50"/>
  <c r="AC133" i="50"/>
  <c r="BO83" i="50"/>
  <c r="Y121" i="50"/>
  <c r="BO93" i="50"/>
  <c r="BK133" i="50"/>
  <c r="BO84" i="50"/>
  <c r="N92" i="50"/>
  <c r="BO94" i="50"/>
  <c r="AO188" i="50"/>
  <c r="AK148" i="50"/>
  <c r="AI188" i="50"/>
  <c r="BB148" i="50"/>
  <c r="Q133" i="50"/>
  <c r="BO107" i="50"/>
  <c r="BK92" i="50"/>
  <c r="BO78" i="50"/>
  <c r="DK188" i="50"/>
  <c r="BO76" i="50"/>
  <c r="P92" i="50"/>
  <c r="BO86" i="50"/>
  <c r="AA188" i="50"/>
  <c r="BO116" i="50"/>
  <c r="AL105" i="50"/>
  <c r="BO126" i="50"/>
  <c r="AZ220" i="50"/>
  <c r="BN135" i="50"/>
  <c r="AZ121" i="50"/>
  <c r="BO109" i="50"/>
  <c r="D188" i="50"/>
  <c r="BO100" i="50"/>
  <c r="BN105" i="50"/>
  <c r="BO110" i="50"/>
  <c r="E220" i="50"/>
  <c r="BO108" i="50"/>
  <c r="BL105" i="50"/>
  <c r="BO118" i="50"/>
  <c r="W220" i="50"/>
  <c r="BO186" i="50"/>
  <c r="AB22" i="50"/>
  <c r="BO204" i="50"/>
  <c r="ET190" i="50"/>
  <c r="N135" i="50"/>
  <c r="W105" i="50"/>
  <c r="BO102" i="50"/>
  <c r="DN188" i="50"/>
  <c r="BO134" i="50"/>
  <c r="Z46" i="50"/>
  <c r="BO164" i="50"/>
  <c r="BY220" i="50"/>
  <c r="BO150" i="50"/>
  <c r="T46" i="50"/>
  <c r="BO188" i="50"/>
  <c r="EU220" i="50"/>
  <c r="BO145" i="50"/>
  <c r="L18" i="50"/>
  <c r="BO167" i="50"/>
  <c r="DJ190" i="50"/>
  <c r="P135" i="50"/>
  <c r="BZ186" i="50"/>
  <c r="BO136" i="50"/>
  <c r="AQ220" i="50"/>
  <c r="BO117" i="50"/>
  <c r="X105" i="50"/>
  <c r="BO131" i="50"/>
  <c r="BX190" i="50"/>
  <c r="BO125" i="50"/>
  <c r="DL124" i="50"/>
  <c r="BX120" i="50"/>
  <c r="DK186" i="50"/>
  <c r="AI186" i="50"/>
  <c r="T187" i="50"/>
  <c r="AT118" i="50"/>
  <c r="E123" i="50"/>
  <c r="EU199" i="50"/>
  <c r="AS186" i="50"/>
  <c r="BO119" i="50"/>
  <c r="AU190" i="50"/>
  <c r="BO189" i="50"/>
  <c r="I18" i="50"/>
  <c r="BO219" i="50"/>
  <c r="CC106" i="50"/>
  <c r="BO217" i="50"/>
  <c r="Q105" i="50"/>
  <c r="BN73" i="50"/>
  <c r="CC101" i="50"/>
  <c r="CQ73" i="50"/>
  <c r="AI105" i="50"/>
  <c r="EB73" i="50"/>
  <c r="BO80" i="50"/>
  <c r="AT135" i="50"/>
  <c r="V98" i="50"/>
  <c r="BO199" i="50"/>
  <c r="CC74" i="50"/>
  <c r="EC73" i="50"/>
  <c r="CO105" i="50"/>
  <c r="DO73" i="50"/>
  <c r="CC190" i="50"/>
  <c r="ET73" i="50"/>
  <c r="AA105" i="50"/>
  <c r="BL73" i="50"/>
  <c r="BO87" i="50"/>
  <c r="AD42" i="50"/>
  <c r="EU186" i="50"/>
  <c r="Z42" i="50"/>
  <c r="BO221" i="50"/>
  <c r="ES135" i="50"/>
  <c r="I164" i="50"/>
  <c r="CR73" i="50"/>
  <c r="CC120" i="50"/>
  <c r="AM73" i="50"/>
  <c r="DM105" i="50"/>
  <c r="K73" i="50"/>
  <c r="BO166" i="50"/>
  <c r="AU73" i="50"/>
  <c r="BD186" i="50"/>
  <c r="N73" i="50"/>
  <c r="BO133" i="50"/>
  <c r="BH73" i="50"/>
  <c r="AJ186" i="50"/>
  <c r="AV73" i="50"/>
  <c r="D14" i="50"/>
  <c r="AW125" i="50"/>
  <c r="ED187" i="50"/>
  <c r="AK73" i="50"/>
  <c r="BO112" i="50"/>
  <c r="AH14" i="50"/>
  <c r="ES186" i="50"/>
  <c r="H14" i="50"/>
  <c r="J73" i="50"/>
  <c r="V14" i="50"/>
  <c r="AA82" i="50"/>
  <c r="L17" i="50"/>
  <c r="AY187" i="50"/>
  <c r="Z187" i="50"/>
  <c r="BL123" i="50"/>
  <c r="U83" i="50"/>
  <c r="BY123" i="50"/>
  <c r="O199" i="50"/>
  <c r="AE187" i="50"/>
  <c r="E14" i="50"/>
  <c r="BM73" i="50"/>
  <c r="G73" i="50"/>
  <c r="F186" i="50"/>
  <c r="T14" i="50"/>
  <c r="AF73" i="50"/>
  <c r="S42" i="50"/>
  <c r="E186" i="50"/>
  <c r="C73" i="50"/>
  <c r="Y73" i="50"/>
  <c r="T73" i="50"/>
  <c r="T186" i="50"/>
  <c r="U73" i="50"/>
  <c r="BW74" i="50"/>
  <c r="AG125" i="50"/>
  <c r="T123" i="50"/>
  <c r="S14" i="50"/>
  <c r="R73" i="50"/>
  <c r="X73" i="50"/>
  <c r="BH186" i="50"/>
  <c r="AY73" i="50"/>
  <c r="BK74" i="50"/>
  <c r="W73" i="50"/>
  <c r="W186" i="50"/>
  <c r="L14" i="50"/>
  <c r="H74" i="50"/>
  <c r="DZ73" i="50"/>
  <c r="Y186" i="50"/>
  <c r="AZ73" i="50"/>
  <c r="AV118" i="50"/>
  <c r="AE125" i="50"/>
  <c r="AW133" i="50"/>
  <c r="U42" i="50"/>
  <c r="BC74" i="50"/>
  <c r="S73" i="50"/>
  <c r="AF186" i="50"/>
  <c r="Q73" i="50"/>
  <c r="BN118" i="50"/>
  <c r="AD14" i="50"/>
  <c r="AZ186" i="50"/>
  <c r="M14" i="50"/>
  <c r="BL118" i="50"/>
  <c r="DL73" i="50"/>
  <c r="EA186" i="50"/>
  <c r="AC73" i="50"/>
  <c r="M19" i="50"/>
  <c r="AK125" i="50"/>
  <c r="AK133" i="50"/>
  <c r="I14" i="50"/>
  <c r="BX74" i="50"/>
  <c r="Y42" i="50"/>
  <c r="AD186" i="50"/>
  <c r="AA73" i="50"/>
  <c r="H19" i="50"/>
  <c r="AF42" i="50"/>
  <c r="BJ82" i="50"/>
  <c r="D121" i="50"/>
  <c r="L188" i="50"/>
  <c r="AG188" i="50"/>
  <c r="BK123" i="50"/>
  <c r="BI80" i="50"/>
  <c r="AB133" i="50"/>
  <c r="ED121" i="50"/>
  <c r="Z188" i="50"/>
  <c r="CO73" i="50"/>
  <c r="AW118" i="50"/>
  <c r="ER73" i="50"/>
  <c r="CS98" i="50"/>
  <c r="CP73" i="50"/>
  <c r="AQ118" i="50"/>
  <c r="AL73" i="50"/>
  <c r="CR98" i="50"/>
  <c r="AQ73" i="50"/>
  <c r="BM83" i="50"/>
  <c r="DO74" i="50"/>
  <c r="AW98" i="50"/>
  <c r="BZ74" i="50"/>
  <c r="ED80" i="50"/>
  <c r="DO136" i="50"/>
  <c r="R220" i="50"/>
  <c r="BA73" i="50"/>
  <c r="AI118" i="50"/>
  <c r="CS74" i="50"/>
  <c r="EB98" i="50"/>
  <c r="CA74" i="50"/>
  <c r="AG83" i="50"/>
  <c r="CR74" i="50"/>
  <c r="AK98" i="50"/>
  <c r="BM74" i="50"/>
  <c r="AE83" i="50"/>
  <c r="K74" i="50"/>
  <c r="AX98" i="50"/>
  <c r="L74" i="50"/>
  <c r="AA80" i="50"/>
  <c r="CP80" i="50"/>
  <c r="T74" i="50"/>
  <c r="Z98" i="50"/>
  <c r="S74" i="50"/>
  <c r="X19" i="50"/>
  <c r="V74" i="50"/>
  <c r="AB98" i="50"/>
  <c r="AG74" i="50"/>
  <c r="D32" i="50"/>
  <c r="AD74" i="50"/>
  <c r="BD164" i="50"/>
  <c r="AS74" i="50"/>
  <c r="BK91" i="50"/>
  <c r="L136" i="50"/>
  <c r="CC217" i="50"/>
  <c r="DY74" i="50"/>
  <c r="V93" i="50"/>
  <c r="Y74" i="50"/>
  <c r="AO98" i="50"/>
  <c r="AB74" i="50"/>
  <c r="BC91" i="50"/>
  <c r="BJ74" i="50"/>
  <c r="DM98" i="50"/>
  <c r="AE74" i="50"/>
  <c r="DN91" i="50"/>
  <c r="BD118" i="50"/>
  <c r="AW164" i="50"/>
  <c r="EC118" i="50"/>
  <c r="BI91" i="50"/>
  <c r="BD221" i="50"/>
  <c r="BO202" i="50"/>
  <c r="Z74" i="50"/>
  <c r="AQ93" i="50"/>
  <c r="AO74" i="50"/>
  <c r="BC164" i="50"/>
  <c r="AP74" i="50"/>
  <c r="BX91" i="50"/>
  <c r="DM74" i="50"/>
  <c r="ES164" i="50"/>
  <c r="ED118" i="50"/>
  <c r="U91" i="50"/>
  <c r="DN118" i="50"/>
  <c r="AX164" i="50"/>
  <c r="AM118" i="50"/>
  <c r="AL91" i="50"/>
  <c r="DN221" i="50"/>
  <c r="L73" i="50"/>
  <c r="AR74" i="50"/>
  <c r="AH91" i="50"/>
  <c r="BC118" i="50"/>
  <c r="J164" i="50"/>
  <c r="CQ118" i="50"/>
  <c r="C91" i="50"/>
  <c r="ES118" i="50"/>
  <c r="AN124" i="50"/>
  <c r="Q120" i="50"/>
  <c r="BA120" i="50"/>
  <c r="CA82" i="50"/>
  <c r="BH188" i="50"/>
  <c r="AY93" i="50"/>
  <c r="C220" i="50"/>
  <c r="V92" i="50"/>
  <c r="AL14" i="50"/>
  <c r="ET118" i="50"/>
  <c r="M91" i="50"/>
  <c r="BK118" i="50"/>
  <c r="DY164" i="50"/>
  <c r="D118" i="50"/>
  <c r="BN86" i="50"/>
  <c r="M118" i="50"/>
  <c r="S164" i="50"/>
  <c r="Z24" i="50"/>
  <c r="CS86" i="50"/>
  <c r="U24" i="50"/>
  <c r="AE164" i="50"/>
  <c r="AH24" i="50"/>
  <c r="AK86" i="50"/>
  <c r="AA221" i="50"/>
  <c r="I74" i="50"/>
  <c r="AU118" i="50"/>
  <c r="EA91" i="50"/>
  <c r="D19" i="50"/>
  <c r="Z164" i="50"/>
  <c r="R24" i="50"/>
  <c r="BL86" i="50"/>
  <c r="C19" i="50"/>
  <c r="AB164" i="50"/>
  <c r="AD47" i="50"/>
  <c r="EB86" i="50"/>
  <c r="BH118" i="50"/>
  <c r="AK164" i="50"/>
  <c r="X24" i="50"/>
  <c r="BW86" i="50"/>
  <c r="DK221" i="50"/>
  <c r="EU118" i="50"/>
  <c r="S47" i="50"/>
  <c r="DO86" i="50"/>
  <c r="DJ118" i="50"/>
  <c r="AL164" i="50"/>
  <c r="W47" i="50"/>
  <c r="AZ86" i="50"/>
  <c r="O118" i="50"/>
  <c r="ER164" i="50"/>
  <c r="AX118" i="50"/>
  <c r="Y86" i="50"/>
  <c r="AJ24" i="50"/>
  <c r="CR187" i="50"/>
  <c r="S118" i="50"/>
  <c r="DJ86" i="50"/>
  <c r="D221" i="50"/>
  <c r="U47" i="50"/>
  <c r="E19" i="50"/>
  <c r="AF86" i="50"/>
  <c r="W24" i="50"/>
  <c r="BN187" i="50"/>
  <c r="T118" i="50"/>
  <c r="R86" i="50"/>
  <c r="DK118" i="50"/>
  <c r="AQ82" i="50"/>
  <c r="Z94" i="50"/>
  <c r="W94" i="50"/>
  <c r="K17" i="50"/>
  <c r="BD220" i="50"/>
  <c r="EU91" i="50"/>
  <c r="AM220" i="50"/>
  <c r="CQ105" i="50"/>
  <c r="ED83" i="50"/>
  <c r="W118" i="50"/>
  <c r="U86" i="50"/>
  <c r="X47" i="50"/>
  <c r="BL187" i="50"/>
  <c r="DZ118" i="50"/>
  <c r="AV86" i="50"/>
  <c r="AG118" i="50"/>
  <c r="C187" i="50"/>
  <c r="EQ118" i="50"/>
  <c r="C86" i="50"/>
  <c r="AB118" i="50"/>
  <c r="R187" i="50"/>
  <c r="ER118" i="50"/>
  <c r="DM86" i="50"/>
  <c r="AK167" i="50"/>
  <c r="AA83" i="50"/>
  <c r="BW118" i="50"/>
  <c r="M86" i="50"/>
  <c r="AF47" i="50"/>
  <c r="DJ187" i="50"/>
  <c r="DL118" i="50"/>
  <c r="AT86" i="50"/>
  <c r="Z118" i="50"/>
  <c r="BI187" i="50"/>
  <c r="BX118" i="50"/>
  <c r="AO86" i="50"/>
  <c r="AP118" i="50"/>
  <c r="AH187" i="50"/>
  <c r="CS83" i="50"/>
  <c r="ES89" i="50"/>
  <c r="AE167" i="50"/>
  <c r="L80" i="50"/>
  <c r="AH118" i="50"/>
  <c r="AD86" i="50"/>
  <c r="AS118" i="50"/>
  <c r="BW187" i="50"/>
  <c r="EA118" i="50"/>
  <c r="EU89" i="50"/>
  <c r="AR118" i="50"/>
  <c r="DZ187" i="50"/>
  <c r="BN83" i="50"/>
  <c r="BC89" i="50"/>
  <c r="CQ83" i="50"/>
  <c r="AR187" i="50"/>
  <c r="EB83" i="50"/>
  <c r="BW89" i="50"/>
  <c r="AG167" i="50"/>
  <c r="CQ93" i="50"/>
  <c r="AL118" i="50"/>
  <c r="BD89" i="50"/>
  <c r="EC83" i="50"/>
  <c r="BX187" i="50"/>
  <c r="DO83" i="50"/>
  <c r="AJ89" i="50"/>
  <c r="ET83" i="50"/>
  <c r="BD87" i="50"/>
  <c r="R121" i="50"/>
  <c r="C121" i="50"/>
  <c r="T34" i="50"/>
  <c r="ER220" i="50"/>
  <c r="AE79" i="50"/>
  <c r="AD190" i="50"/>
  <c r="AW109" i="50"/>
  <c r="O93" i="50"/>
  <c r="CR83" i="50"/>
  <c r="DN89" i="50"/>
  <c r="AM83" i="50"/>
  <c r="AU187" i="50"/>
  <c r="BI83" i="50"/>
  <c r="R89" i="50"/>
  <c r="AU83" i="50"/>
  <c r="AM187" i="50"/>
  <c r="R83" i="50"/>
  <c r="BI89" i="50"/>
  <c r="G83" i="50"/>
  <c r="ES123" i="50"/>
  <c r="F83" i="50"/>
  <c r="DZ89" i="50"/>
  <c r="AW167" i="50"/>
  <c r="BB91" i="50"/>
  <c r="AK83" i="50"/>
  <c r="U89" i="50"/>
  <c r="L83" i="50"/>
  <c r="EU123" i="50"/>
  <c r="K83" i="50"/>
  <c r="AV89" i="50"/>
  <c r="J83" i="50"/>
  <c r="BC123" i="50"/>
  <c r="E83" i="50"/>
  <c r="C89" i="50"/>
  <c r="EQ83" i="50"/>
  <c r="L123" i="50"/>
  <c r="Y83" i="50"/>
  <c r="ER89" i="50"/>
  <c r="ET204" i="50"/>
  <c r="Q115" i="50"/>
  <c r="I83" i="50"/>
  <c r="M89" i="50"/>
  <c r="P83" i="50"/>
  <c r="G123" i="50"/>
  <c r="AF83" i="50"/>
  <c r="DL89" i="50"/>
  <c r="Q83" i="50"/>
  <c r="J123" i="50"/>
  <c r="AZ83" i="50"/>
  <c r="BX89" i="50"/>
  <c r="BA83" i="50"/>
  <c r="S123" i="50"/>
  <c r="AO83" i="50"/>
  <c r="CS100" i="50"/>
  <c r="AU204" i="50"/>
  <c r="V120" i="50"/>
  <c r="V83" i="50"/>
  <c r="AH89" i="50"/>
  <c r="AI83" i="50"/>
  <c r="AY123" i="50"/>
  <c r="AD83" i="50"/>
  <c r="EA89" i="50"/>
  <c r="AC83" i="50"/>
  <c r="DY123" i="50"/>
  <c r="AT83" i="50"/>
  <c r="BN100" i="50"/>
  <c r="CB80" i="50"/>
  <c r="AB123" i="50"/>
  <c r="BC80" i="50"/>
  <c r="EB100" i="50"/>
  <c r="BX204" i="50"/>
  <c r="BZ100" i="50"/>
  <c r="ER136" i="50"/>
  <c r="EB74" i="50"/>
  <c r="AK74" i="50"/>
  <c r="AW74" i="50"/>
  <c r="AB136" i="50"/>
  <c r="BH74" i="50"/>
  <c r="G74" i="50"/>
  <c r="AF74" i="50"/>
  <c r="S136" i="50"/>
  <c r="E31" i="50"/>
  <c r="CR218" i="50"/>
  <c r="AD55" i="50"/>
  <c r="D218" i="50"/>
  <c r="K84" i="50"/>
  <c r="I218" i="50"/>
  <c r="J84" i="50"/>
  <c r="N218" i="50"/>
  <c r="M111" i="50"/>
  <c r="BH218" i="50"/>
  <c r="AX120" i="50"/>
  <c r="Q218" i="50"/>
  <c r="DN82" i="50"/>
  <c r="AZ218" i="50"/>
  <c r="AJ204" i="50"/>
  <c r="BD163" i="50"/>
  <c r="BL147" i="50"/>
  <c r="ED219" i="50"/>
  <c r="AZ85" i="50"/>
  <c r="AH112" i="50"/>
  <c r="AC166" i="50"/>
  <c r="AT76" i="50"/>
  <c r="P204" i="50"/>
  <c r="F163" i="50"/>
  <c r="CQ117" i="50"/>
  <c r="DL94" i="50"/>
  <c r="BA85" i="50"/>
  <c r="AS112" i="50"/>
  <c r="AJ166" i="50"/>
  <c r="AW135" i="50"/>
  <c r="BJ121" i="50"/>
  <c r="AJ218" i="50"/>
  <c r="D92" i="50"/>
  <c r="BB218" i="50"/>
  <c r="AF105" i="50"/>
  <c r="BM110" i="50"/>
  <c r="BJ105" i="50"/>
  <c r="E110" i="50"/>
  <c r="Y105" i="50"/>
  <c r="H110" i="50"/>
  <c r="EC186" i="50"/>
  <c r="K110" i="50"/>
  <c r="CO186" i="50"/>
  <c r="DK110" i="50"/>
  <c r="AQ186" i="50"/>
  <c r="V110" i="50"/>
  <c r="BD119" i="50"/>
  <c r="I22" i="50"/>
  <c r="AF117" i="50"/>
  <c r="DZ190" i="50"/>
  <c r="W90" i="50"/>
  <c r="T201" i="50"/>
  <c r="AC126" i="50"/>
  <c r="Z17" i="50"/>
  <c r="DJ119" i="50"/>
  <c r="AA163" i="50"/>
  <c r="AB117" i="50"/>
  <c r="AH73" i="50"/>
  <c r="F90" i="50"/>
  <c r="BJ201" i="50"/>
  <c r="P126" i="50"/>
  <c r="CR135" i="50"/>
  <c r="DJ164" i="50"/>
  <c r="AT110" i="50"/>
  <c r="DZ164" i="50"/>
  <c r="AN110" i="50"/>
  <c r="H187" i="50"/>
  <c r="ED148" i="50"/>
  <c r="DK187" i="50"/>
  <c r="CR148" i="50"/>
  <c r="X187" i="50"/>
  <c r="EC148" i="50"/>
  <c r="AA187" i="50"/>
  <c r="H148" i="50"/>
  <c r="M123" i="50"/>
  <c r="BI148" i="50"/>
  <c r="BW123" i="50"/>
  <c r="N148" i="50"/>
  <c r="H84" i="50"/>
  <c r="AS96" i="50"/>
  <c r="T165" i="50"/>
  <c r="X86" i="50"/>
  <c r="V88" i="50"/>
  <c r="AX114" i="50"/>
  <c r="D132" i="50"/>
  <c r="EQ148" i="50"/>
  <c r="X55" i="50"/>
  <c r="L96" i="50"/>
  <c r="BJ165" i="50"/>
  <c r="X89" i="50"/>
  <c r="K88" i="50"/>
  <c r="CO114" i="50"/>
  <c r="AQ132" i="50"/>
  <c r="DN125" i="50"/>
  <c r="AJ133" i="50"/>
  <c r="AR148" i="50"/>
  <c r="ET188" i="50"/>
  <c r="EB148" i="50"/>
  <c r="AT188" i="50"/>
  <c r="CQ148" i="50"/>
  <c r="DP220" i="50"/>
  <c r="BL148" i="50"/>
  <c r="ES188" i="50"/>
  <c r="ET148" i="50"/>
  <c r="I220" i="50"/>
  <c r="D135" i="50"/>
  <c r="BZ220" i="50"/>
  <c r="I135" i="50"/>
  <c r="ED190" i="50"/>
  <c r="J135" i="50"/>
  <c r="EB130" i="50"/>
  <c r="BY132" i="50"/>
  <c r="I219" i="50"/>
  <c r="ET106" i="50"/>
  <c r="G103" i="50"/>
  <c r="AV116" i="50"/>
  <c r="ER108" i="50"/>
  <c r="S135" i="50"/>
  <c r="AY105" i="50"/>
  <c r="BO147" i="50"/>
  <c r="BW190" i="50"/>
  <c r="BO220" i="50"/>
  <c r="M18" i="50"/>
  <c r="CS73" i="50"/>
  <c r="CC145" i="50"/>
  <c r="AI135" i="50"/>
  <c r="CC109" i="50"/>
  <c r="AD135" i="50"/>
  <c r="CC189" i="50"/>
  <c r="BK135" i="50"/>
  <c r="BO88" i="50"/>
  <c r="BY135" i="50"/>
  <c r="BO130" i="50"/>
  <c r="AJ135" i="50"/>
  <c r="BO120" i="50"/>
  <c r="BZ135" i="50"/>
  <c r="BO113" i="50"/>
  <c r="BD125" i="50"/>
  <c r="U14" i="50"/>
  <c r="C125" i="50"/>
  <c r="V42" i="50"/>
  <c r="CS125" i="50"/>
  <c r="AZ130" i="50"/>
  <c r="ET113" i="50"/>
  <c r="D189" i="50"/>
  <c r="AQ148" i="50"/>
  <c r="BB200" i="50"/>
  <c r="DO107" i="50"/>
  <c r="U114" i="50"/>
  <c r="X125" i="50"/>
  <c r="BA130" i="50"/>
  <c r="AX113" i="50"/>
  <c r="P189" i="50"/>
  <c r="BX135" i="50"/>
  <c r="H200" i="50"/>
  <c r="BI107" i="50"/>
  <c r="ET116" i="50"/>
  <c r="AG221" i="50"/>
  <c r="BI74" i="50"/>
  <c r="AH125" i="50"/>
  <c r="AH74" i="50"/>
  <c r="EA125" i="50"/>
  <c r="G118" i="50"/>
  <c r="AS125" i="50"/>
  <c r="K19" i="50"/>
  <c r="AL125" i="50"/>
  <c r="N118" i="50"/>
  <c r="AU125" i="50"/>
  <c r="X118" i="50"/>
  <c r="DO125" i="50"/>
  <c r="DP83" i="50"/>
  <c r="EC125" i="50"/>
  <c r="BY83" i="50"/>
  <c r="BC125" i="50"/>
  <c r="M81" i="50"/>
  <c r="DP108" i="50"/>
  <c r="DP149" i="50"/>
  <c r="BY221" i="50"/>
  <c r="CA102" i="50"/>
  <c r="BD147" i="50"/>
  <c r="ED147" i="50"/>
  <c r="ES136" i="50"/>
  <c r="Z81" i="50"/>
  <c r="H108" i="50"/>
  <c r="BH149" i="50"/>
  <c r="J221" i="50"/>
  <c r="G102" i="50"/>
  <c r="K147" i="50"/>
  <c r="CO147" i="50"/>
  <c r="BO146" i="50"/>
  <c r="P80" i="50"/>
  <c r="CP136" i="50"/>
  <c r="AC80" i="50"/>
  <c r="Z136" i="50"/>
  <c r="DL93" i="50"/>
  <c r="AZ136" i="50"/>
  <c r="R93" i="50"/>
  <c r="CO136" i="50"/>
  <c r="AA56" i="50"/>
  <c r="AF136" i="50"/>
  <c r="T56" i="50"/>
  <c r="AX136" i="50"/>
  <c r="BM91" i="50"/>
  <c r="I136" i="50"/>
  <c r="AJ91" i="50"/>
  <c r="O136" i="50"/>
  <c r="T85" i="50"/>
  <c r="BK108" i="50"/>
  <c r="BM149" i="50"/>
  <c r="BZ204" i="50"/>
  <c r="AP102" i="50"/>
  <c r="BY147" i="50"/>
  <c r="W203" i="50"/>
  <c r="CS221" i="50"/>
  <c r="L85" i="50"/>
  <c r="ET112" i="50"/>
  <c r="AV166" i="50"/>
  <c r="AF204" i="50"/>
  <c r="BB163" i="50"/>
  <c r="DO117" i="50"/>
  <c r="AU186" i="50"/>
  <c r="CB89" i="50"/>
  <c r="BA91" i="50"/>
  <c r="AM221" i="50"/>
  <c r="AO91" i="50"/>
  <c r="DM221" i="50"/>
  <c r="CA86" i="50"/>
  <c r="BX221" i="50"/>
  <c r="ES86" i="50"/>
  <c r="AC221" i="50"/>
  <c r="BM86" i="50"/>
  <c r="DL221" i="50"/>
  <c r="DN86" i="50"/>
  <c r="P221" i="50"/>
  <c r="CO86" i="50"/>
  <c r="R221" i="50"/>
  <c r="DL86" i="50"/>
  <c r="BJ87" i="50"/>
  <c r="ER85" i="50"/>
  <c r="AL112" i="50"/>
  <c r="AM166" i="50"/>
  <c r="AQ76" i="50"/>
  <c r="P163" i="50"/>
  <c r="X58" i="50"/>
  <c r="BO201" i="50"/>
  <c r="AV98" i="50"/>
  <c r="CS187" i="50"/>
  <c r="Z10" i="26"/>
  <c r="J98" i="50"/>
  <c r="L98" i="50"/>
  <c r="AG98" i="50"/>
  <c r="V190" i="50"/>
  <c r="DY98" i="50"/>
  <c r="S98" i="50"/>
  <c r="AE98" i="50"/>
  <c r="K93" i="50"/>
  <c r="BK188" i="50"/>
  <c r="CS135" i="50"/>
  <c r="Y220" i="50"/>
  <c r="E135" i="50"/>
  <c r="BA220" i="50"/>
  <c r="H135" i="50"/>
  <c r="CP220" i="50"/>
  <c r="K135" i="50"/>
  <c r="BM220" i="50"/>
  <c r="DK135" i="50"/>
  <c r="DL190" i="50"/>
  <c r="V135" i="50"/>
  <c r="R190" i="50"/>
  <c r="DY135" i="50"/>
  <c r="AY130" i="50"/>
  <c r="L132" i="50"/>
  <c r="V219" i="50"/>
  <c r="AS106" i="50"/>
  <c r="AY103" i="50"/>
  <c r="R116" i="50"/>
  <c r="X112" i="50"/>
  <c r="AB135" i="50"/>
  <c r="H20" i="50"/>
  <c r="AG132" i="50"/>
  <c r="AD219" i="50"/>
  <c r="AE218" i="50"/>
  <c r="Z103" i="50"/>
  <c r="DL116" i="50"/>
  <c r="ED201" i="50"/>
  <c r="D136" i="50"/>
  <c r="BO95" i="50"/>
  <c r="AN135" i="50"/>
  <c r="BO96" i="50"/>
  <c r="BC135" i="50"/>
  <c r="DP73" i="50"/>
  <c r="EU135" i="50"/>
  <c r="BY73" i="50"/>
  <c r="CB135" i="50"/>
  <c r="BZ73" i="50"/>
  <c r="ED125" i="50"/>
  <c r="DJ73" i="50"/>
  <c r="L125" i="50"/>
  <c r="EQ73" i="50"/>
  <c r="BI125" i="50"/>
  <c r="AD73" i="50"/>
  <c r="O125" i="50"/>
  <c r="AC130" i="50"/>
  <c r="L113" i="50"/>
  <c r="DK189" i="50"/>
  <c r="BW135" i="50"/>
  <c r="AR200" i="50"/>
  <c r="DJ107" i="50"/>
  <c r="EB114" i="50"/>
  <c r="EQ125" i="50"/>
  <c r="CB81" i="50"/>
  <c r="AG113" i="50"/>
  <c r="AI189" i="50"/>
  <c r="W125" i="50"/>
  <c r="X200" i="50"/>
  <c r="DZ107" i="50"/>
  <c r="AI116" i="50"/>
  <c r="G18" i="50"/>
  <c r="EB118" i="50"/>
  <c r="AR125" i="50"/>
  <c r="H118" i="50"/>
  <c r="EB125" i="50"/>
  <c r="AZ118" i="50"/>
  <c r="CQ125" i="50"/>
  <c r="BA118" i="50"/>
  <c r="BL125" i="50"/>
  <c r="AC118" i="50"/>
  <c r="ET125" i="50"/>
  <c r="CB83" i="50"/>
  <c r="CR136" i="50"/>
  <c r="CO83" i="50"/>
  <c r="BM136" i="50"/>
  <c r="AR83" i="50"/>
  <c r="BC136" i="50"/>
  <c r="CO81" i="50"/>
  <c r="BZ108" i="50"/>
  <c r="I149" i="50"/>
  <c r="AX221" i="50"/>
  <c r="AW102" i="50"/>
  <c r="E147" i="50"/>
  <c r="S147" i="50"/>
  <c r="AT136" i="50"/>
  <c r="AR81" i="50"/>
  <c r="X108" i="50"/>
  <c r="AF149" i="50"/>
  <c r="AJ167" i="50"/>
  <c r="AY102" i="50"/>
  <c r="T147" i="50"/>
  <c r="ER147" i="50"/>
  <c r="EA74" i="50"/>
  <c r="AG93" i="50"/>
  <c r="Y136" i="50"/>
  <c r="BX93" i="50"/>
  <c r="DY136" i="50"/>
  <c r="AW93" i="50"/>
  <c r="W136" i="50"/>
  <c r="CB91" i="50"/>
  <c r="AY136" i="50"/>
  <c r="DP91" i="50"/>
  <c r="BH136" i="50"/>
  <c r="ES91" i="50"/>
  <c r="AW136" i="50"/>
  <c r="Q91" i="50"/>
  <c r="ED221" i="50"/>
  <c r="R91" i="50"/>
  <c r="BN221" i="50"/>
  <c r="DJ85" i="50"/>
  <c r="EC112" i="50"/>
  <c r="C166" i="50"/>
  <c r="Y204" i="50"/>
  <c r="CQ163" i="50"/>
  <c r="CR117" i="50"/>
  <c r="P105" i="50"/>
  <c r="EB221" i="50"/>
  <c r="L164" i="50"/>
  <c r="BB118" i="50"/>
  <c r="ER91" i="50"/>
  <c r="G19" i="50"/>
  <c r="AG164" i="50"/>
  <c r="E118" i="50"/>
  <c r="CR86" i="50"/>
  <c r="AO221" i="50"/>
  <c r="CB86" i="50"/>
  <c r="AP221" i="50"/>
  <c r="BC86" i="50"/>
  <c r="EQ221" i="50"/>
  <c r="AN86" i="50"/>
  <c r="BW221" i="50"/>
  <c r="DZ86" i="50"/>
  <c r="Q221" i="50"/>
  <c r="AG86" i="50"/>
  <c r="U221" i="50"/>
  <c r="AH86" i="50"/>
  <c r="N221" i="50"/>
  <c r="AY86" i="50"/>
  <c r="AV221" i="50"/>
  <c r="BH86" i="50"/>
  <c r="S186" i="50"/>
  <c r="CS90" i="50"/>
  <c r="DN112" i="50"/>
  <c r="EC166" i="50"/>
  <c r="J119" i="50"/>
  <c r="AF30" i="50"/>
  <c r="AH117" i="50"/>
  <c r="K118" i="50"/>
  <c r="C123" i="50"/>
  <c r="AK90" i="50"/>
  <c r="BZ201" i="50"/>
  <c r="BZ126" i="50"/>
  <c r="Z119" i="50"/>
  <c r="AK163" i="50"/>
  <c r="AS117" i="50"/>
  <c r="CO93" i="50"/>
  <c r="L218" i="50"/>
  <c r="AR86" i="50"/>
  <c r="BA167" i="50"/>
  <c r="BN89" i="50"/>
  <c r="AB167" i="50"/>
  <c r="CQ89" i="50"/>
  <c r="Y167" i="50"/>
  <c r="EB89" i="50"/>
  <c r="Z167" i="50"/>
  <c r="BB89" i="50"/>
  <c r="AZ167" i="50"/>
  <c r="AK89" i="50"/>
  <c r="AY167" i="50"/>
  <c r="AY89" i="50"/>
  <c r="BH167" i="50"/>
  <c r="BH89" i="50"/>
  <c r="CP118" i="50"/>
  <c r="AO90" i="50"/>
  <c r="AT201" i="50"/>
  <c r="I126" i="50"/>
  <c r="AJ17" i="50"/>
  <c r="AV96" i="50"/>
  <c r="CO165" i="50"/>
  <c r="AE89" i="50"/>
  <c r="CA91" i="50"/>
  <c r="ES88" i="50"/>
  <c r="EC114" i="50"/>
  <c r="BY96" i="50"/>
  <c r="F31" i="50"/>
  <c r="U96" i="50"/>
  <c r="AL165" i="50"/>
  <c r="AI100" i="50"/>
  <c r="CQ135" i="50"/>
  <c r="AC89" i="50"/>
  <c r="BL204" i="50"/>
  <c r="AT89" i="50"/>
  <c r="AS204" i="50"/>
  <c r="CB100" i="50"/>
  <c r="EA204" i="50"/>
  <c r="BC100" i="50"/>
  <c r="AR204" i="50"/>
  <c r="CA100" i="50"/>
  <c r="AE204" i="50"/>
  <c r="ES100" i="50"/>
  <c r="DZ204" i="50"/>
  <c r="G100" i="50"/>
  <c r="S204" i="50"/>
  <c r="M100" i="50"/>
  <c r="ET100" i="50"/>
  <c r="BX88" i="50"/>
  <c r="AQ114" i="50"/>
  <c r="CB113" i="50"/>
  <c r="W26" i="50"/>
  <c r="M132" i="50"/>
  <c r="DY219" i="50"/>
  <c r="AY218" i="50"/>
  <c r="DP97" i="50"/>
  <c r="CS103" i="50"/>
  <c r="DN114" i="50"/>
  <c r="AC113" i="50"/>
  <c r="AX130" i="50"/>
  <c r="BW132" i="50"/>
  <c r="AB219" i="50"/>
  <c r="L110" i="50"/>
  <c r="DP76" i="50"/>
  <c r="Z100" i="50"/>
  <c r="EU76" i="50"/>
  <c r="BX100" i="50"/>
  <c r="BY76" i="50"/>
  <c r="AR100" i="50"/>
  <c r="BK76" i="50"/>
  <c r="BN97" i="50"/>
  <c r="AN76" i="50"/>
  <c r="AP100" i="50"/>
  <c r="AV76" i="50"/>
  <c r="CS97" i="50"/>
  <c r="AX76" i="50"/>
  <c r="BB97" i="50"/>
  <c r="R76" i="50"/>
  <c r="AK97" i="50"/>
  <c r="AB218" i="50"/>
  <c r="Y103" i="50"/>
  <c r="Z116" i="50"/>
  <c r="AC112" i="50"/>
  <c r="BJ130" i="50"/>
  <c r="M113" i="50"/>
  <c r="W189" i="50"/>
  <c r="EC135" i="50"/>
  <c r="CO110" i="50"/>
  <c r="AM133" i="50"/>
  <c r="CB74" i="50"/>
  <c r="AN74" i="50"/>
  <c r="J74" i="50"/>
  <c r="AY74" i="50"/>
  <c r="BY74" i="50"/>
  <c r="E74" i="50"/>
  <c r="F74" i="50"/>
  <c r="CO74" i="50"/>
  <c r="T136" i="50"/>
  <c r="BA93" i="50"/>
  <c r="J136" i="50"/>
  <c r="AG91" i="50"/>
  <c r="E136" i="50"/>
  <c r="DL91" i="50"/>
  <c r="G136" i="50"/>
  <c r="Z91" i="50"/>
  <c r="F136" i="50"/>
  <c r="BW91" i="50"/>
  <c r="ES221" i="50"/>
  <c r="AW91" i="50"/>
  <c r="BB221" i="50"/>
  <c r="AT91" i="50"/>
  <c r="BL221" i="50"/>
  <c r="G16" i="50"/>
  <c r="J112" i="50"/>
  <c r="BI166" i="50"/>
  <c r="K204" i="50"/>
  <c r="H163" i="50"/>
  <c r="E117" i="50"/>
  <c r="R164" i="50"/>
  <c r="EA221" i="50"/>
  <c r="BW85" i="50"/>
  <c r="S112" i="50"/>
  <c r="AH166" i="50"/>
  <c r="G76" i="50"/>
  <c r="K22" i="50"/>
  <c r="DJ117" i="50"/>
  <c r="EB133" i="50"/>
  <c r="X100" i="50"/>
  <c r="BY86" i="50"/>
  <c r="DZ221" i="50"/>
  <c r="BK86" i="50"/>
  <c r="X221" i="50"/>
  <c r="S86" i="50"/>
  <c r="DJ221" i="50"/>
  <c r="T86" i="50"/>
  <c r="O221" i="50"/>
  <c r="DY86" i="50"/>
  <c r="M221" i="50"/>
  <c r="W86" i="50"/>
  <c r="CS167" i="50"/>
  <c r="G86" i="50"/>
  <c r="CA167" i="50"/>
  <c r="F86" i="50"/>
  <c r="P187" i="50"/>
  <c r="EB90" i="50"/>
  <c r="BM201" i="50"/>
  <c r="BM126" i="50"/>
  <c r="AG119" i="50"/>
  <c r="AD163" i="50"/>
  <c r="AR117" i="50"/>
  <c r="EQ80" i="50"/>
  <c r="F220" i="50"/>
  <c r="S90" i="50"/>
  <c r="O201" i="50"/>
  <c r="CP126" i="50"/>
  <c r="ET84" i="50"/>
  <c r="BN96" i="50"/>
  <c r="BN165" i="50"/>
  <c r="AS91" i="50"/>
  <c r="ED110" i="50"/>
  <c r="ET89" i="50"/>
  <c r="BJ167" i="50"/>
  <c r="BL89" i="50"/>
  <c r="S167" i="50"/>
  <c r="S89" i="50"/>
  <c r="T167" i="50"/>
  <c r="T89" i="50"/>
  <c r="DY167" i="50"/>
  <c r="DY89" i="50"/>
  <c r="W167" i="50"/>
  <c r="W89" i="50"/>
  <c r="G167" i="50"/>
  <c r="G89" i="50"/>
  <c r="F167" i="50"/>
  <c r="F89" i="50"/>
  <c r="W19" i="50"/>
  <c r="BC88" i="50"/>
  <c r="ED114" i="50"/>
  <c r="F22" i="50"/>
  <c r="AZ84" i="50"/>
  <c r="R96" i="50"/>
  <c r="EA165" i="50"/>
  <c r="P100" i="50"/>
  <c r="CQ86" i="50"/>
  <c r="DZ88" i="50"/>
  <c r="K114" i="50"/>
  <c r="DK96" i="50"/>
  <c r="BA84" i="50"/>
  <c r="DL96" i="50"/>
  <c r="BL165" i="50"/>
  <c r="O97" i="50"/>
  <c r="AD125" i="50"/>
  <c r="DP100" i="50"/>
  <c r="AL204" i="50"/>
  <c r="EU100" i="50"/>
  <c r="DL204" i="50"/>
  <c r="BY100" i="50"/>
  <c r="CO204" i="50"/>
  <c r="C100" i="50"/>
  <c r="AH204" i="50"/>
  <c r="AW100" i="50"/>
  <c r="AG204" i="50"/>
  <c r="AV100" i="50"/>
  <c r="BI204" i="50"/>
  <c r="AY100" i="50"/>
  <c r="L204" i="50"/>
  <c r="U100" i="50"/>
  <c r="AN100" i="50"/>
  <c r="BN103" i="50"/>
  <c r="BY114" i="50"/>
  <c r="EQ113" i="50"/>
  <c r="I20" i="50"/>
  <c r="U132" i="50"/>
  <c r="Z219" i="50"/>
  <c r="ET110" i="50"/>
  <c r="AA97" i="50"/>
  <c r="C133" i="50"/>
  <c r="F80" i="50"/>
  <c r="Y100" i="50"/>
  <c r="Z80" i="50"/>
  <c r="R133" i="50"/>
  <c r="BX80" i="50"/>
  <c r="AO100" i="50"/>
  <c r="BZ76" i="50"/>
  <c r="AS100" i="50"/>
  <c r="AJ76" i="50"/>
  <c r="EA100" i="50"/>
  <c r="J76" i="50"/>
  <c r="ET97" i="50"/>
  <c r="DJ76" i="50"/>
  <c r="BL97" i="50"/>
  <c r="L76" i="50"/>
  <c r="CQ97" i="50"/>
  <c r="BI76" i="50"/>
  <c r="EB97" i="50"/>
  <c r="AG76" i="50"/>
  <c r="J97" i="50"/>
  <c r="AH76" i="50"/>
  <c r="DJ97" i="50"/>
  <c r="AY110" i="50"/>
  <c r="AT103" i="50"/>
  <c r="AL116" i="50"/>
  <c r="AW201" i="50"/>
  <c r="DM130" i="50"/>
  <c r="U113" i="50"/>
  <c r="AZ189" i="50"/>
  <c r="CP125" i="50"/>
  <c r="BH148" i="50"/>
  <c r="BC200" i="50"/>
  <c r="ED107" i="50"/>
  <c r="AL201" i="50"/>
  <c r="DN81" i="50"/>
  <c r="BX113" i="50"/>
  <c r="CP189" i="50"/>
  <c r="AH136" i="50"/>
  <c r="EC119" i="50"/>
  <c r="AB97" i="50"/>
  <c r="DO119" i="50"/>
  <c r="BK97" i="50"/>
  <c r="AU119" i="50"/>
  <c r="DP106" i="50"/>
  <c r="AV119" i="50"/>
  <c r="EU106" i="50"/>
  <c r="D119" i="50"/>
  <c r="CB106" i="50"/>
  <c r="C119" i="50"/>
  <c r="BC106" i="50"/>
  <c r="DK119" i="50"/>
  <c r="K106" i="50"/>
  <c r="V119" i="50"/>
  <c r="L106" i="50"/>
  <c r="CA125" i="50"/>
  <c r="DZ200" i="50"/>
  <c r="AE107" i="50"/>
  <c r="DM116" i="50"/>
  <c r="ER81" i="50"/>
  <c r="I108" i="50"/>
  <c r="DY149" i="50"/>
  <c r="AP167" i="50"/>
  <c r="DJ136" i="50"/>
  <c r="BN102" i="50"/>
  <c r="ES107" i="50"/>
  <c r="X107" i="50"/>
  <c r="CR85" i="50"/>
  <c r="AF108" i="50"/>
  <c r="AB149" i="50"/>
  <c r="M167" i="50"/>
  <c r="AQ119" i="50"/>
  <c r="BJ106" i="50"/>
  <c r="BD84" i="50"/>
  <c r="AE106" i="50"/>
  <c r="BZ84" i="50"/>
  <c r="AN106" i="50"/>
  <c r="AJ84" i="50"/>
  <c r="BZ106" i="50"/>
  <c r="BY84" i="50"/>
  <c r="BY106" i="50"/>
  <c r="BK84" i="50"/>
  <c r="BN218" i="50"/>
  <c r="T55" i="50"/>
  <c r="CQ218" i="50"/>
  <c r="L84" i="50"/>
  <c r="E218" i="50"/>
  <c r="AH167" i="50"/>
  <c r="AZ102" i="50"/>
  <c r="AA147" i="50"/>
  <c r="U165" i="50"/>
  <c r="AV85" i="50"/>
  <c r="AV112" i="50"/>
  <c r="O166" i="50"/>
  <c r="BL76" i="50"/>
  <c r="AA6" i="26"/>
  <c r="AT102" i="50"/>
  <c r="AT147" i="50"/>
  <c r="AU165" i="50"/>
  <c r="X44" i="50"/>
  <c r="U112" i="50"/>
  <c r="EQ166" i="50"/>
  <c r="AO148" i="50"/>
  <c r="BD82" i="50"/>
  <c r="EQ218" i="50"/>
  <c r="AL82" i="50"/>
  <c r="Y218" i="50"/>
  <c r="ET199" i="50"/>
  <c r="AO218" i="50"/>
  <c r="G199" i="50"/>
  <c r="BA218" i="50"/>
  <c r="Z52" i="50"/>
  <c r="AT218" i="50"/>
  <c r="AK121" i="50"/>
  <c r="AN218" i="50"/>
  <c r="V22" i="50"/>
  <c r="CB110" i="50"/>
  <c r="AJ22" i="50"/>
  <c r="BC110" i="50"/>
  <c r="K76" i="50"/>
  <c r="AH30" i="50"/>
  <c r="AH23" i="50"/>
  <c r="DN164" i="50"/>
  <c r="BZ90" i="50"/>
  <c r="BC201" i="50"/>
  <c r="BC126" i="50"/>
  <c r="EA119" i="50"/>
  <c r="Y76" i="50"/>
  <c r="D83" i="50"/>
  <c r="DY80" i="50"/>
  <c r="H80" i="50"/>
  <c r="AH93" i="50"/>
  <c r="BB80" i="50"/>
  <c r="CA93" i="50"/>
  <c r="AN93" i="50"/>
  <c r="T19" i="50"/>
  <c r="Z204" i="50"/>
  <c r="AJ100" i="50"/>
  <c r="U204" i="50"/>
  <c r="L100" i="50"/>
  <c r="AY204" i="50"/>
  <c r="BI100" i="50"/>
  <c r="R204" i="50"/>
  <c r="AX100" i="50"/>
  <c r="AX204" i="50"/>
  <c r="R100" i="50"/>
  <c r="C204" i="50"/>
  <c r="CO100" i="50"/>
  <c r="BD76" i="50"/>
  <c r="DL100" i="50"/>
  <c r="DK97" i="50"/>
  <c r="BL103" i="50"/>
  <c r="CA116" i="50"/>
  <c r="EC108" i="50"/>
  <c r="K20" i="50"/>
  <c r="DL132" i="50"/>
  <c r="AL219" i="50"/>
  <c r="ER110" i="50"/>
  <c r="R106" i="50"/>
  <c r="I103" i="50"/>
  <c r="L116" i="50"/>
  <c r="AB108" i="50"/>
  <c r="D20" i="50"/>
  <c r="EA132" i="50"/>
  <c r="BC219" i="50"/>
  <c r="CP148" i="50"/>
  <c r="H76" i="50"/>
  <c r="EC97" i="50"/>
  <c r="M76" i="50"/>
  <c r="DO97" i="50"/>
  <c r="DY76" i="50"/>
  <c r="AW97" i="50"/>
  <c r="BW76" i="50"/>
  <c r="AV97" i="50"/>
  <c r="S76" i="50"/>
  <c r="G97" i="50"/>
  <c r="DZ76" i="50"/>
  <c r="M97" i="50"/>
  <c r="AE76" i="50"/>
  <c r="DY97" i="50"/>
  <c r="AL76" i="50"/>
  <c r="BW97" i="50"/>
  <c r="F148" i="50"/>
  <c r="EU200" i="50"/>
  <c r="EB116" i="50"/>
  <c r="AB201" i="50"/>
  <c r="ES81" i="50"/>
  <c r="DL113" i="50"/>
  <c r="AQ189" i="50"/>
  <c r="AR136" i="50"/>
  <c r="BM148" i="50"/>
  <c r="BK200" i="50"/>
  <c r="G107" i="50"/>
  <c r="BI114" i="50"/>
  <c r="T81" i="50"/>
  <c r="AU113" i="50"/>
  <c r="BZ189" i="50"/>
  <c r="AN221" i="50"/>
  <c r="AM119" i="50"/>
  <c r="AQ97" i="50"/>
  <c r="K119" i="50"/>
  <c r="BD106" i="50"/>
  <c r="O119" i="50"/>
  <c r="F106" i="50"/>
  <c r="W119" i="50"/>
  <c r="G106" i="50"/>
  <c r="X119" i="50"/>
  <c r="E106" i="50"/>
  <c r="T119" i="50"/>
  <c r="J106" i="50"/>
  <c r="AA119" i="50"/>
  <c r="T106" i="50"/>
  <c r="BJ119" i="50"/>
  <c r="S106" i="50"/>
  <c r="BW136" i="50"/>
  <c r="EA200" i="50"/>
  <c r="AK107" i="50"/>
  <c r="D107" i="50"/>
  <c r="CS85" i="50"/>
  <c r="V108" i="50"/>
  <c r="Z149" i="50"/>
  <c r="BI167" i="50"/>
  <c r="Y221" i="50"/>
  <c r="BL102" i="50"/>
  <c r="CA147" i="50"/>
  <c r="AJ107" i="50"/>
  <c r="AK85" i="50"/>
  <c r="AD108" i="50"/>
  <c r="ER149" i="50"/>
  <c r="DN204" i="50"/>
  <c r="BM84" i="50"/>
  <c r="BA106" i="50"/>
  <c r="DN84" i="50"/>
  <c r="AK106" i="50"/>
  <c r="W17" i="50"/>
  <c r="EC218" i="50"/>
  <c r="AB17" i="50"/>
  <c r="DO218" i="50"/>
  <c r="BH84" i="50"/>
  <c r="ET218" i="50"/>
  <c r="V17" i="50"/>
  <c r="F218" i="50"/>
  <c r="X104" i="50"/>
  <c r="O218" i="50"/>
  <c r="AG124" i="50"/>
  <c r="W218" i="50"/>
  <c r="AV167" i="50"/>
  <c r="BK102" i="50"/>
  <c r="AO147" i="50"/>
  <c r="AR165" i="50"/>
  <c r="AW85" i="50"/>
  <c r="R112" i="50"/>
  <c r="Q166" i="50"/>
  <c r="W76" i="50"/>
  <c r="AT204" i="50"/>
  <c r="AA5" i="26"/>
  <c r="AD120" i="50"/>
  <c r="DZ218" i="50"/>
  <c r="BE104" i="50"/>
  <c r="DN190" i="50"/>
  <c r="AR94" i="50"/>
  <c r="AR218" i="50"/>
  <c r="O94" i="50"/>
  <c r="DM218" i="50"/>
  <c r="AU199" i="50"/>
  <c r="CP218" i="50"/>
  <c r="DK92" i="50"/>
  <c r="DN218" i="50"/>
  <c r="EA105" i="50"/>
  <c r="BD110" i="50"/>
  <c r="EB105" i="50"/>
  <c r="DP110" i="50"/>
  <c r="W46" i="50"/>
  <c r="EU110" i="50"/>
  <c r="ED186" i="50"/>
  <c r="D110" i="50"/>
  <c r="AM186" i="50"/>
  <c r="I110" i="50"/>
  <c r="AF76" i="50"/>
  <c r="X163" i="50"/>
  <c r="W117" i="50"/>
  <c r="AT133" i="50"/>
  <c r="CO90" i="50"/>
  <c r="K201" i="50"/>
  <c r="BK126" i="50"/>
  <c r="BI84" i="50"/>
  <c r="BC119" i="50"/>
  <c r="Q163" i="50"/>
  <c r="AB58" i="50"/>
  <c r="CC93" i="50"/>
  <c r="BH90" i="50"/>
  <c r="V201" i="50"/>
  <c r="AI126" i="50"/>
  <c r="AK135" i="50"/>
  <c r="BW98" i="50"/>
  <c r="AI110" i="50"/>
  <c r="AU98" i="50"/>
  <c r="AD110" i="50"/>
  <c r="BW164" i="50"/>
  <c r="BK110" i="50"/>
  <c r="AP164" i="50"/>
  <c r="BY110" i="50"/>
  <c r="BX164" i="50"/>
  <c r="AJ110" i="50"/>
  <c r="AM164" i="50"/>
  <c r="BZ110" i="50"/>
  <c r="EQ187" i="50"/>
  <c r="C148" i="50"/>
  <c r="AO187" i="50"/>
  <c r="D148" i="50"/>
  <c r="O84" i="50"/>
  <c r="CQ96" i="50"/>
  <c r="K165" i="50"/>
  <c r="AE91" i="50"/>
  <c r="AM88" i="50"/>
  <c r="AW114" i="50"/>
  <c r="EQ96" i="50"/>
  <c r="X148" i="50"/>
  <c r="R55" i="50"/>
  <c r="AR96" i="50"/>
  <c r="V165" i="50"/>
  <c r="H86" i="50"/>
  <c r="T88" i="50"/>
  <c r="AY114" i="50"/>
  <c r="X132" i="50"/>
  <c r="AO125" i="50"/>
  <c r="H133" i="50"/>
  <c r="AH148" i="50"/>
  <c r="DK133" i="50"/>
  <c r="EA148" i="50"/>
  <c r="EC188" i="50"/>
  <c r="AS148" i="50"/>
  <c r="O188" i="50"/>
  <c r="AL148" i="50"/>
  <c r="N188" i="50"/>
  <c r="AU148" i="50"/>
  <c r="Q188" i="50"/>
  <c r="BC148" i="50"/>
  <c r="K220" i="50"/>
  <c r="DP135" i="50"/>
  <c r="V220" i="50"/>
  <c r="DO148" i="50"/>
  <c r="CS130" i="50"/>
  <c r="CB132" i="50"/>
  <c r="CB219" i="50"/>
  <c r="N97" i="50"/>
  <c r="BM103" i="50"/>
  <c r="EU116" i="50"/>
  <c r="AX108" i="50"/>
  <c r="L135" i="50"/>
  <c r="AK130" i="50"/>
  <c r="AW132" i="50"/>
  <c r="BH219" i="50"/>
  <c r="M106" i="50"/>
  <c r="J103" i="50"/>
  <c r="M116" i="50"/>
  <c r="DP112" i="50"/>
  <c r="AA136" i="50"/>
  <c r="U190" i="50"/>
  <c r="AF135" i="50"/>
  <c r="AV190" i="50"/>
  <c r="AC135" i="50"/>
  <c r="CC165" i="50"/>
  <c r="AQ135" i="50"/>
  <c r="CC146" i="50"/>
  <c r="DM135" i="50"/>
  <c r="CC130" i="50"/>
  <c r="CP135" i="50"/>
  <c r="CC221" i="50"/>
  <c r="DN135" i="50"/>
  <c r="BO190" i="50"/>
  <c r="BM135" i="50"/>
  <c r="BO185" i="50"/>
  <c r="BL135" i="50"/>
  <c r="S48" i="50"/>
  <c r="AR132" i="50"/>
  <c r="CA219" i="50"/>
  <c r="DN110" i="50"/>
  <c r="ED200" i="50"/>
  <c r="BZ116" i="50"/>
  <c r="AK201" i="50"/>
  <c r="H125" i="50"/>
  <c r="DN186" i="50"/>
  <c r="P190" i="50"/>
  <c r="CQ186" i="50"/>
  <c r="M110" i="50"/>
  <c r="ER82" i="50"/>
  <c r="D190" i="50"/>
  <c r="CB98" i="50"/>
  <c r="BW110" i="50"/>
  <c r="CP186" i="50"/>
  <c r="P110" i="50"/>
  <c r="BM98" i="50"/>
  <c r="AF110" i="50"/>
  <c r="BX98" i="50"/>
  <c r="AC110" i="50"/>
  <c r="ED164" i="50"/>
  <c r="AQ110" i="50"/>
  <c r="AP98" i="50"/>
  <c r="DM110" i="50"/>
  <c r="C164" i="50"/>
  <c r="CP110" i="50"/>
  <c r="AU164" i="50"/>
  <c r="BL110" i="50"/>
  <c r="CA187" i="50"/>
  <c r="BN148" i="50"/>
  <c r="CR84" i="50"/>
  <c r="AP163" i="50"/>
  <c r="EB117" i="50"/>
  <c r="BY93" i="50"/>
  <c r="EC88" i="50"/>
  <c r="BN114" i="50"/>
  <c r="O163" i="50"/>
  <c r="BJ84" i="50"/>
  <c r="N84" i="50"/>
  <c r="BB96" i="50"/>
  <c r="I165" i="50"/>
  <c r="ED86" i="50"/>
  <c r="AU88" i="50"/>
  <c r="G114" i="50"/>
  <c r="AP96" i="50"/>
  <c r="AA125" i="50"/>
  <c r="U123" i="50"/>
  <c r="R148" i="50"/>
  <c r="BX123" i="50"/>
  <c r="CO148" i="50"/>
  <c r="X133" i="50"/>
  <c r="DL148" i="50"/>
  <c r="AA133" i="50"/>
  <c r="Z148" i="50"/>
  <c r="EQ133" i="50"/>
  <c r="BX148" i="50"/>
  <c r="AO133" i="50"/>
  <c r="ER148" i="50"/>
  <c r="P188" i="50"/>
  <c r="AM148" i="50"/>
  <c r="AC188" i="50"/>
  <c r="BK148" i="50"/>
  <c r="ER84" i="50"/>
  <c r="Z96" i="50"/>
  <c r="BZ165" i="50"/>
  <c r="AA100" i="50"/>
  <c r="AQ88" i="50"/>
  <c r="AK114" i="50"/>
  <c r="BK113" i="50"/>
  <c r="BD135" i="50"/>
  <c r="CR130" i="50"/>
  <c r="CA132" i="50"/>
  <c r="F219" i="50"/>
  <c r="P97" i="50"/>
  <c r="BZ103" i="50"/>
  <c r="BC116" i="50"/>
  <c r="S108" i="50"/>
  <c r="AO136" i="50"/>
  <c r="AA7" i="26"/>
  <c r="BH135" i="50"/>
  <c r="BB190" i="50"/>
  <c r="Q135" i="50"/>
  <c r="M190" i="50"/>
  <c r="AZ135" i="50"/>
  <c r="CC90" i="50"/>
  <c r="EQ135" i="50"/>
  <c r="CC82" i="50"/>
  <c r="Y135" i="50"/>
  <c r="CC85" i="50"/>
  <c r="AO135" i="50"/>
  <c r="CC218" i="50"/>
  <c r="BA135" i="50"/>
  <c r="BO103" i="50"/>
  <c r="AL135" i="50"/>
  <c r="N130" i="50"/>
  <c r="AB132" i="50"/>
  <c r="BA219" i="50"/>
  <c r="J110" i="50"/>
  <c r="AU103" i="50"/>
  <c r="AR116" i="50"/>
  <c r="AX201" i="50"/>
  <c r="DO135" i="50"/>
  <c r="R26" i="50"/>
  <c r="AP132" i="50"/>
  <c r="BM219" i="50"/>
  <c r="E148" i="50"/>
  <c r="EC200" i="50"/>
  <c r="BN107" i="50"/>
  <c r="CB114" i="50"/>
  <c r="AK221" i="50"/>
  <c r="D73" i="50"/>
  <c r="AV125" i="50"/>
  <c r="X14" i="50"/>
  <c r="AY125" i="50"/>
  <c r="DM73" i="50"/>
  <c r="U125" i="50"/>
  <c r="DN74" i="50"/>
  <c r="DY125" i="50"/>
  <c r="ES74" i="50"/>
  <c r="BW125" i="50"/>
  <c r="DJ74" i="50"/>
  <c r="AB125" i="50"/>
  <c r="CS118" i="50"/>
  <c r="AP125" i="50"/>
  <c r="AK118" i="50"/>
  <c r="AC125" i="50"/>
  <c r="BZ81" i="50"/>
  <c r="AB113" i="50"/>
  <c r="AO189" i="50"/>
  <c r="BY125" i="50"/>
  <c r="Q200" i="50"/>
  <c r="BX107" i="50"/>
  <c r="CB107" i="50"/>
  <c r="AJ125" i="50"/>
  <c r="AL186" i="50"/>
  <c r="AI73" i="50"/>
  <c r="AA47" i="50"/>
  <c r="EA73" i="50"/>
  <c r="DO98" i="50"/>
  <c r="DP74" i="50"/>
  <c r="X83" i="50"/>
  <c r="CR125" i="50"/>
  <c r="BZ83" i="50"/>
  <c r="DP136" i="50"/>
  <c r="O83" i="50"/>
  <c r="BL136" i="50"/>
  <c r="EC80" i="50"/>
  <c r="BY136" i="50"/>
  <c r="AU80" i="50"/>
  <c r="EB136" i="50"/>
  <c r="AM80" i="50"/>
  <c r="AN136" i="50"/>
  <c r="N80" i="50"/>
  <c r="AE136" i="50"/>
  <c r="BM93" i="50"/>
  <c r="BJ136" i="50"/>
  <c r="EQ93" i="50"/>
  <c r="AC136" i="50"/>
  <c r="EC85" i="50"/>
  <c r="Q108" i="50"/>
  <c r="BJ149" i="50"/>
  <c r="AI167" i="50"/>
  <c r="AG102" i="50"/>
  <c r="AZ147" i="50"/>
  <c r="CA117" i="50"/>
  <c r="P136" i="50"/>
  <c r="AU85" i="50"/>
  <c r="DM108" i="50"/>
  <c r="AN149" i="50"/>
  <c r="H167" i="50"/>
  <c r="AU102" i="50"/>
  <c r="CP147" i="50"/>
  <c r="V23" i="50"/>
  <c r="AB91" i="50"/>
  <c r="BY91" i="50"/>
  <c r="K136" i="50"/>
  <c r="DZ91" i="50"/>
  <c r="EU221" i="50"/>
  <c r="O91" i="50"/>
  <c r="ET221" i="50"/>
  <c r="AV91" i="50"/>
  <c r="BC221" i="50"/>
  <c r="D91" i="50"/>
  <c r="CQ221" i="50"/>
  <c r="F91" i="50"/>
  <c r="AT221" i="50"/>
  <c r="DP86" i="50"/>
  <c r="AR221" i="50"/>
  <c r="EU86" i="50"/>
  <c r="AL221" i="50"/>
  <c r="S85" i="50"/>
  <c r="DY112" i="50"/>
  <c r="DZ166" i="50"/>
  <c r="AM76" i="50"/>
  <c r="I163" i="50"/>
  <c r="I117" i="50"/>
  <c r="N133" i="50"/>
  <c r="CO221" i="50"/>
  <c r="AH85" i="50"/>
  <c r="AB112" i="50"/>
  <c r="AR166" i="50"/>
  <c r="EQ76" i="50"/>
  <c r="AE50" i="50"/>
  <c r="AY117" i="50"/>
  <c r="BI190" i="50"/>
  <c r="BZ97" i="50"/>
  <c r="Z86" i="50"/>
  <c r="BI221" i="50"/>
  <c r="V86" i="50"/>
  <c r="H221" i="50"/>
  <c r="L86" i="50"/>
  <c r="DP167" i="50"/>
  <c r="K86" i="50"/>
  <c r="BN167" i="50"/>
  <c r="J86" i="50"/>
  <c r="CB167" i="50"/>
  <c r="E86" i="50"/>
  <c r="EB167" i="50"/>
  <c r="AS86" i="50"/>
  <c r="AN167" i="50"/>
  <c r="EA86" i="50"/>
  <c r="X188" i="50"/>
  <c r="Y90" i="50"/>
  <c r="N201" i="50"/>
  <c r="BA126" i="50"/>
  <c r="ED84" i="50"/>
  <c r="EA163" i="50"/>
  <c r="BZ117" i="50"/>
  <c r="X91" i="50"/>
  <c r="CC166" i="50"/>
  <c r="L90" i="50"/>
  <c r="Q201" i="50"/>
  <c r="Y126" i="50"/>
  <c r="DJ84" i="50"/>
  <c r="BL96" i="50"/>
  <c r="J165" i="50"/>
  <c r="O86" i="50"/>
  <c r="EA110" i="50"/>
  <c r="AU89" i="50"/>
  <c r="V167" i="50"/>
  <c r="V89" i="50"/>
  <c r="L167" i="50"/>
  <c r="L89" i="50"/>
  <c r="K167" i="50"/>
  <c r="K89" i="50"/>
  <c r="J167" i="50"/>
  <c r="J89" i="50"/>
  <c r="E167" i="50"/>
  <c r="E89" i="50"/>
  <c r="EC204" i="50"/>
  <c r="AI89" i="50"/>
  <c r="DO204" i="50"/>
  <c r="AD89" i="50"/>
  <c r="AP91" i="50"/>
  <c r="BK88" i="50"/>
  <c r="E114" i="50"/>
  <c r="N96" i="50"/>
  <c r="AC84" i="50"/>
  <c r="AH96" i="50"/>
  <c r="EB165" i="50"/>
  <c r="AN97" i="50"/>
  <c r="BA86" i="50"/>
  <c r="AY88" i="50"/>
  <c r="T114" i="50"/>
  <c r="CQ132" i="50"/>
  <c r="CB130" i="50"/>
  <c r="EU132" i="50"/>
  <c r="EU219" i="50"/>
  <c r="CQ106" i="50"/>
  <c r="AU136" i="50"/>
  <c r="AT200" i="50"/>
  <c r="J107" i="50"/>
  <c r="BW114" i="50"/>
  <c r="V81" i="50"/>
  <c r="AM113" i="50"/>
  <c r="BM189" i="50"/>
  <c r="AD221" i="50"/>
  <c r="F125" i="50"/>
  <c r="DJ200" i="50"/>
  <c r="S107" i="50"/>
  <c r="CQ116" i="50"/>
  <c r="AW81" i="50"/>
  <c r="BC108" i="50"/>
  <c r="G149" i="50"/>
  <c r="F221" i="50"/>
  <c r="V200" i="50"/>
  <c r="D102" i="50"/>
  <c r="AU130" i="50"/>
  <c r="DO126" i="50"/>
  <c r="BA103" i="50"/>
  <c r="BA81" i="50"/>
  <c r="C34" i="50"/>
  <c r="CR87" i="50"/>
  <c r="BB126" i="50"/>
  <c r="AB163" i="50"/>
  <c r="V116" i="50"/>
  <c r="DZ163" i="50"/>
  <c r="DL130" i="50"/>
  <c r="DO201" i="50"/>
  <c r="N90" i="50"/>
  <c r="AR135" i="50"/>
  <c r="CS147" i="50"/>
  <c r="M200" i="50"/>
  <c r="DY107" i="50"/>
  <c r="ED116" i="50"/>
  <c r="G81" i="50"/>
  <c r="EU108" i="50"/>
  <c r="AW149" i="50"/>
  <c r="K221" i="50"/>
  <c r="AN125" i="50"/>
  <c r="BW200" i="50"/>
  <c r="AB107" i="50"/>
  <c r="AA116" i="50"/>
  <c r="BX81" i="50"/>
  <c r="K108" i="50"/>
  <c r="AY149" i="50"/>
  <c r="AS167" i="50"/>
  <c r="BJ200" i="50"/>
  <c r="CB163" i="50"/>
  <c r="AW130" i="50"/>
  <c r="EE85" i="50"/>
  <c r="DP163" i="50"/>
  <c r="CB85" i="50"/>
  <c r="AE58" i="50"/>
  <c r="X97" i="50"/>
  <c r="DZ136" i="50"/>
  <c r="CP163" i="50"/>
  <c r="E107" i="50"/>
  <c r="AJ96" i="50"/>
  <c r="O81" i="50"/>
  <c r="AV147" i="50"/>
  <c r="BX90" i="50"/>
  <c r="BJ221" i="50"/>
  <c r="ED167" i="50"/>
  <c r="I102" i="50"/>
  <c r="O147" i="50"/>
  <c r="AT117" i="50"/>
  <c r="U85" i="50"/>
  <c r="BY108" i="50"/>
  <c r="CR149" i="50"/>
  <c r="Q204" i="50"/>
  <c r="BX167" i="50"/>
  <c r="AF102" i="50"/>
  <c r="EQ147" i="50"/>
  <c r="BI165" i="50"/>
  <c r="M85" i="50"/>
  <c r="C112" i="50"/>
  <c r="N166" i="50"/>
  <c r="CR76" i="50"/>
  <c r="BX102" i="50"/>
  <c r="F113" i="50"/>
  <c r="M90" i="50"/>
  <c r="R135" i="50"/>
  <c r="AR147" i="50"/>
  <c r="F85" i="50"/>
  <c r="AS165" i="50"/>
  <c r="U88" i="50"/>
  <c r="CS84" i="50"/>
  <c r="BM113" i="50"/>
  <c r="P165" i="50"/>
  <c r="AR108" i="50"/>
  <c r="DJ88" i="50"/>
  <c r="F116" i="50"/>
  <c r="H88" i="50"/>
  <c r="AM130" i="50"/>
  <c r="X204" i="50"/>
  <c r="C22" i="50"/>
  <c r="R23" i="50"/>
  <c r="AY121" i="50"/>
  <c r="CP85" i="50"/>
  <c r="AU112" i="50"/>
  <c r="DN166" i="50"/>
  <c r="F119" i="50"/>
  <c r="EB76" i="50"/>
  <c r="N163" i="50"/>
  <c r="N117" i="50"/>
  <c r="AV164" i="50"/>
  <c r="BM90" i="50"/>
  <c r="EU201" i="50"/>
  <c r="EU126" i="50"/>
  <c r="ER119" i="50"/>
  <c r="W30" i="50"/>
  <c r="BX201" i="50"/>
  <c r="BB102" i="50"/>
  <c r="T84" i="50"/>
  <c r="EB126" i="50"/>
  <c r="AH90" i="50"/>
  <c r="BI106" i="50"/>
  <c r="U201" i="50"/>
  <c r="BH130" i="50"/>
  <c r="EU163" i="50"/>
  <c r="EB147" i="50"/>
  <c r="C219" i="50"/>
  <c r="CO85" i="50"/>
  <c r="DL112" i="50"/>
  <c r="DM166" i="50"/>
  <c r="DN148" i="50"/>
  <c r="AY84" i="50"/>
  <c r="AW96" i="50"/>
  <c r="AF165" i="50"/>
  <c r="CP86" i="50"/>
  <c r="W88" i="50"/>
  <c r="DY114" i="50"/>
  <c r="Q132" i="50"/>
  <c r="AI148" i="50"/>
  <c r="EQ84" i="50"/>
  <c r="AY96" i="50"/>
  <c r="AQ165" i="50"/>
  <c r="AB89" i="50"/>
  <c r="F88" i="50"/>
  <c r="AB114" i="50"/>
  <c r="D113" i="50"/>
  <c r="S17" i="50"/>
  <c r="Q113" i="50"/>
  <c r="AT165" i="50"/>
  <c r="F112" i="50"/>
  <c r="AR88" i="50"/>
  <c r="L166" i="50"/>
  <c r="DM88" i="50"/>
  <c r="ER130" i="50"/>
  <c r="DL74" i="50"/>
  <c r="AA81" i="50"/>
  <c r="DN147" i="50"/>
  <c r="BI126" i="50"/>
  <c r="BK219" i="50"/>
  <c r="CR201" i="50"/>
  <c r="BI81" i="50"/>
  <c r="DN102" i="50"/>
  <c r="BK163" i="50"/>
  <c r="AG84" i="50"/>
  <c r="AX96" i="50"/>
  <c r="AD165" i="50"/>
  <c r="H89" i="50"/>
  <c r="E88" i="50"/>
  <c r="Z114" i="50"/>
  <c r="CA113" i="50"/>
  <c r="AT148" i="50"/>
  <c r="BX84" i="50"/>
  <c r="CO96" i="50"/>
  <c r="BY165" i="50"/>
  <c r="DK100" i="50"/>
  <c r="CP88" i="50"/>
  <c r="ER114" i="50"/>
  <c r="DM113" i="50"/>
  <c r="DM84" i="50"/>
  <c r="ED108" i="50"/>
  <c r="R219" i="50"/>
  <c r="AN112" i="50"/>
  <c r="EQ103" i="50"/>
  <c r="AG126" i="50"/>
  <c r="ES103" i="50"/>
  <c r="D81" i="50"/>
  <c r="DP89" i="50"/>
  <c r="CP81" i="50"/>
  <c r="K117" i="50"/>
  <c r="H188" i="50"/>
  <c r="M189" i="50"/>
  <c r="AR201" i="50"/>
  <c r="AV90" i="50"/>
  <c r="M102" i="50"/>
  <c r="I96" i="50"/>
  <c r="U130" i="50"/>
  <c r="AY132" i="50"/>
  <c r="AZ219" i="50"/>
  <c r="AW218" i="50"/>
  <c r="S103" i="50"/>
  <c r="BW116" i="50"/>
  <c r="AI112" i="50"/>
  <c r="EA135" i="50"/>
  <c r="Z48" i="50"/>
  <c r="Z132" i="50"/>
  <c r="CP219" i="50"/>
  <c r="EC110" i="50"/>
  <c r="AE103" i="50"/>
  <c r="AP116" i="50"/>
  <c r="J201" i="50"/>
  <c r="G20" i="50"/>
  <c r="ER201" i="50"/>
  <c r="AV149" i="50"/>
  <c r="T107" i="50"/>
  <c r="BX163" i="50"/>
  <c r="DY166" i="50"/>
  <c r="CS200" i="50"/>
  <c r="AV88" i="50"/>
  <c r="AQ204" i="50"/>
  <c r="AC44" i="50"/>
  <c r="DZ165" i="50"/>
  <c r="AE85" i="50"/>
  <c r="BC149" i="50"/>
  <c r="BI147" i="50"/>
  <c r="AQ116" i="50"/>
  <c r="R50" i="50"/>
  <c r="BC112" i="50"/>
  <c r="CP130" i="50"/>
  <c r="AY113" i="50"/>
  <c r="Q189" i="50"/>
  <c r="AU135" i="50"/>
  <c r="D200" i="50"/>
  <c r="R107" i="50"/>
  <c r="H116" i="50"/>
  <c r="AI125" i="50"/>
  <c r="BM81" i="50"/>
  <c r="Z113" i="50"/>
  <c r="DM189" i="50"/>
  <c r="AQ125" i="50"/>
  <c r="P200" i="50"/>
  <c r="DL107" i="50"/>
  <c r="AJ116" i="50"/>
  <c r="AU81" i="50"/>
  <c r="DM107" i="50"/>
  <c r="BM166" i="50"/>
  <c r="AC165" i="50"/>
  <c r="M108" i="50"/>
  <c r="BW88" i="50"/>
  <c r="AD200" i="50"/>
  <c r="BY163" i="50"/>
  <c r="AH130" i="50"/>
  <c r="CO130" i="50"/>
  <c r="AX73" i="50"/>
  <c r="AB14" i="50"/>
  <c r="C14" i="50"/>
  <c r="K186" i="50"/>
  <c r="BI73" i="50"/>
  <c r="AO73" i="50"/>
  <c r="AX125" i="50"/>
  <c r="BJ73" i="50"/>
  <c r="R125" i="50"/>
  <c r="BD74" i="50"/>
  <c r="CO125" i="50"/>
  <c r="DZ74" i="50"/>
  <c r="DL125" i="50"/>
  <c r="AL74" i="50"/>
  <c r="Z125" i="50"/>
  <c r="ER74" i="50"/>
  <c r="BX125" i="50"/>
  <c r="CR118" i="50"/>
  <c r="ER125" i="50"/>
  <c r="BI118" i="50"/>
  <c r="AM125" i="50"/>
  <c r="I19" i="50"/>
  <c r="BK125" i="50"/>
  <c r="DK81" i="50"/>
  <c r="ER113" i="50"/>
  <c r="DN189" i="50"/>
  <c r="DL136" i="50"/>
  <c r="AC200" i="50"/>
  <c r="AU107" i="50"/>
  <c r="EQ107" i="50"/>
  <c r="CB125" i="50"/>
  <c r="AV81" i="50"/>
  <c r="CB108" i="50"/>
  <c r="F149" i="50"/>
  <c r="AQ221" i="50"/>
  <c r="BM102" i="50"/>
  <c r="EU147" i="50"/>
  <c r="AW147" i="50"/>
  <c r="AN220" i="50"/>
  <c r="AS83" i="50"/>
  <c r="BZ136" i="50"/>
  <c r="ET80" i="50"/>
  <c r="AL136" i="50"/>
  <c r="AI80" i="50"/>
  <c r="AQ136" i="50"/>
  <c r="DP93" i="50"/>
  <c r="EA136" i="50"/>
  <c r="AQ80" i="50"/>
  <c r="AD136" i="50"/>
  <c r="BZ93" i="50"/>
  <c r="AG136" i="50"/>
  <c r="W56" i="50"/>
  <c r="V136" i="50"/>
  <c r="Z19" i="50"/>
  <c r="Q136" i="50"/>
  <c r="AM85" i="50"/>
  <c r="AC108" i="50"/>
  <c r="BA149" i="50"/>
  <c r="N167" i="50"/>
  <c r="AE102" i="50"/>
  <c r="AQ147" i="50"/>
  <c r="U23" i="50"/>
  <c r="N136" i="50"/>
  <c r="DY85" i="50"/>
  <c r="AJ108" i="50"/>
  <c r="CA149" i="50"/>
  <c r="AN204" i="50"/>
  <c r="ED163" i="50"/>
  <c r="BZ147" i="50"/>
  <c r="DJ82" i="50"/>
  <c r="EQ86" i="50"/>
  <c r="DK91" i="50"/>
  <c r="EC221" i="50"/>
  <c r="DJ91" i="50"/>
  <c r="AJ221" i="50"/>
  <c r="CP91" i="50"/>
  <c r="AU221" i="50"/>
  <c r="DM91" i="50"/>
  <c r="BK221" i="50"/>
  <c r="AQ91" i="50"/>
  <c r="AS221" i="50"/>
  <c r="BD86" i="50"/>
  <c r="AI221" i="50"/>
  <c r="BZ86" i="50"/>
  <c r="AH221" i="50"/>
  <c r="AJ86" i="50"/>
  <c r="Z221" i="50"/>
  <c r="Y44" i="50"/>
  <c r="Z112" i="50"/>
  <c r="AP166" i="50"/>
  <c r="P76" i="50"/>
  <c r="X30" i="50"/>
  <c r="E34" i="50"/>
  <c r="EC190" i="50"/>
  <c r="AH199" i="50"/>
  <c r="AL85" i="50"/>
  <c r="ER112" i="50"/>
  <c r="BB166" i="50"/>
  <c r="CB119" i="50"/>
  <c r="AD30" i="50"/>
  <c r="AG117" i="50"/>
  <c r="E73" i="50"/>
  <c r="AS97" i="50"/>
  <c r="AX86" i="50"/>
  <c r="C221" i="50"/>
  <c r="I86" i="50"/>
  <c r="DO167" i="50"/>
  <c r="AB86" i="50"/>
  <c r="BZ167" i="50"/>
  <c r="ER86" i="50"/>
  <c r="BL167" i="50"/>
  <c r="AE86" i="50"/>
  <c r="BY167" i="50"/>
  <c r="AL86" i="50"/>
  <c r="EA167" i="50"/>
  <c r="EC89" i="50"/>
  <c r="AD167" i="50"/>
  <c r="DO89" i="50"/>
  <c r="CC98" i="50"/>
  <c r="AX90" i="50"/>
  <c r="P201" i="50"/>
  <c r="BJ126" i="50"/>
  <c r="W84" i="50"/>
  <c r="DO96" i="50"/>
  <c r="G165" i="50"/>
  <c r="Q86" i="50"/>
  <c r="AJ74" i="50"/>
  <c r="AP187" i="50"/>
  <c r="BL83" i="50"/>
  <c r="BK89" i="50"/>
  <c r="AY83" i="50"/>
  <c r="BB187" i="50"/>
  <c r="BH83" i="50"/>
  <c r="DJ89" i="50"/>
  <c r="AX167" i="50"/>
  <c r="AX89" i="50"/>
  <c r="I167" i="50"/>
  <c r="I89" i="50"/>
  <c r="AA9" i="26"/>
  <c r="EQ89" i="50"/>
  <c r="CS204" i="50"/>
  <c r="Y89" i="50"/>
  <c r="ED204" i="50"/>
  <c r="AA89" i="50"/>
  <c r="CR204" i="50"/>
  <c r="BJ89" i="50"/>
  <c r="AM204" i="50"/>
  <c r="AQ89" i="50"/>
  <c r="ER204" i="50"/>
  <c r="BD100" i="50"/>
  <c r="D86" i="50"/>
  <c r="DY88" i="50"/>
  <c r="W114" i="50"/>
  <c r="EC132" i="50"/>
  <c r="DP130" i="50"/>
  <c r="BD132" i="50"/>
  <c r="BD219" i="50"/>
  <c r="AP97" i="50"/>
  <c r="D89" i="50"/>
  <c r="G88" i="50"/>
  <c r="Y114" i="50"/>
  <c r="EQ132" i="50"/>
  <c r="BY130" i="50"/>
  <c r="AJ132" i="50"/>
  <c r="L219" i="50"/>
  <c r="AU106" i="50"/>
  <c r="BW204" i="50"/>
  <c r="J100" i="50"/>
  <c r="DY204" i="50"/>
  <c r="DJ100" i="50"/>
  <c r="M204" i="50"/>
  <c r="S100" i="50"/>
  <c r="G204" i="50"/>
  <c r="DZ100" i="50"/>
  <c r="AV204" i="50"/>
  <c r="AG100" i="50"/>
  <c r="AW204" i="50"/>
  <c r="AH100" i="50"/>
  <c r="BM76" i="50"/>
  <c r="AU100" i="50"/>
  <c r="DN76" i="50"/>
  <c r="AL100" i="50"/>
  <c r="AV106" i="50"/>
  <c r="K103" i="50"/>
  <c r="J116" i="50"/>
  <c r="AG108" i="50"/>
  <c r="S26" i="50"/>
  <c r="AL132" i="50"/>
  <c r="BL219" i="50"/>
  <c r="Y148" i="50"/>
  <c r="BM218" i="50"/>
  <c r="V103" i="50"/>
  <c r="S116" i="50"/>
  <c r="D112" i="50"/>
  <c r="J20" i="50"/>
  <c r="DO113" i="50"/>
  <c r="K189" i="50"/>
  <c r="DZ135" i="50"/>
  <c r="AY76" i="50"/>
  <c r="AM97" i="50"/>
  <c r="U76" i="50"/>
  <c r="C97" i="50"/>
  <c r="Z76" i="50"/>
  <c r="AX97" i="50"/>
  <c r="BX76" i="50"/>
  <c r="R97" i="50"/>
  <c r="AB76" i="50"/>
  <c r="AY97" i="50"/>
  <c r="ER76" i="50"/>
  <c r="U97" i="50"/>
  <c r="ED119" i="50"/>
  <c r="Z97" i="50"/>
  <c r="CR119" i="50"/>
  <c r="BX97" i="50"/>
  <c r="AN148" i="50"/>
  <c r="AJ200" i="50"/>
  <c r="AW107" i="50"/>
  <c r="AV114" i="50"/>
  <c r="W81" i="50"/>
  <c r="AS113" i="50"/>
  <c r="BY189" i="50"/>
  <c r="CA221" i="50"/>
  <c r="AS135" i="50"/>
  <c r="AV200" i="50"/>
  <c r="AY107" i="50"/>
  <c r="AM114" i="50"/>
  <c r="J81" i="50"/>
  <c r="BD108" i="50"/>
  <c r="BD149" i="50"/>
  <c r="BH221" i="50"/>
  <c r="N119" i="50"/>
  <c r="BM106" i="50"/>
  <c r="BH119" i="50"/>
  <c r="AW106" i="50"/>
  <c r="Q119" i="50"/>
  <c r="BH106" i="50"/>
  <c r="AZ119" i="50"/>
  <c r="AY106" i="50"/>
  <c r="EQ119" i="50"/>
  <c r="W106" i="50"/>
  <c r="Y119" i="50"/>
  <c r="DY106" i="50"/>
  <c r="CP119" i="50"/>
  <c r="Y106" i="50"/>
  <c r="DM119" i="50"/>
  <c r="AB106" i="50"/>
  <c r="CP221" i="50"/>
  <c r="DO102" i="50"/>
  <c r="CB147" i="50"/>
  <c r="AO107" i="50"/>
  <c r="EB85" i="50"/>
  <c r="BJ108" i="50"/>
  <c r="AL149" i="50"/>
  <c r="BC204" i="50"/>
  <c r="E221" i="50"/>
  <c r="K102" i="50"/>
  <c r="N147" i="50"/>
  <c r="Y23" i="50"/>
  <c r="AJ18" i="50"/>
  <c r="AN108" i="50"/>
  <c r="DO149" i="50"/>
  <c r="AA204" i="50"/>
  <c r="R119" i="50"/>
  <c r="AI163" i="50"/>
  <c r="AE117" i="50"/>
  <c r="D74" i="50"/>
  <c r="AB90" i="50"/>
  <c r="AD201" i="50"/>
  <c r="DK126" i="50"/>
  <c r="S84" i="50"/>
  <c r="BN84" i="50"/>
  <c r="AR163" i="50"/>
  <c r="BL117" i="50"/>
  <c r="D80" i="50"/>
  <c r="ED88" i="50"/>
  <c r="BY201" i="50"/>
  <c r="H126" i="50"/>
  <c r="Y84" i="50"/>
  <c r="BZ96" i="50"/>
  <c r="M147" i="50"/>
  <c r="E132" i="50"/>
  <c r="AB18" i="50"/>
  <c r="DJ147" i="50"/>
  <c r="AK88" i="50"/>
  <c r="CA119" i="50"/>
  <c r="X149" i="50"/>
  <c r="ED81" i="50"/>
  <c r="AT116" i="50"/>
  <c r="V166" i="50"/>
  <c r="AF23" i="50"/>
  <c r="K113" i="50"/>
  <c r="EA126" i="50"/>
  <c r="K200" i="50"/>
  <c r="G200" i="50"/>
  <c r="AL119" i="50"/>
  <c r="AS163" i="50"/>
  <c r="AK117" i="50"/>
  <c r="AB83" i="50"/>
  <c r="AP90" i="50"/>
  <c r="AN201" i="50"/>
  <c r="D126" i="50"/>
  <c r="AF55" i="50"/>
  <c r="AE55" i="50"/>
  <c r="ET96" i="50"/>
  <c r="E165" i="50"/>
  <c r="P91" i="50"/>
  <c r="BB88" i="50"/>
  <c r="DO114" i="50"/>
  <c r="P96" i="50"/>
  <c r="AO84" i="50"/>
  <c r="X96" i="50"/>
  <c r="BB147" i="50"/>
  <c r="BD113" i="50"/>
  <c r="AB85" i="50"/>
  <c r="EU165" i="50"/>
  <c r="P88" i="50"/>
  <c r="I84" i="50"/>
  <c r="AX166" i="50"/>
  <c r="BB81" i="50"/>
  <c r="P107" i="50"/>
  <c r="BA166" i="50"/>
  <c r="O165" i="50"/>
  <c r="BZ113" i="50"/>
  <c r="P86" i="50"/>
  <c r="T200" i="50"/>
  <c r="CQ102" i="50"/>
  <c r="DL84" i="50"/>
  <c r="AG96" i="50"/>
  <c r="AN165" i="50"/>
  <c r="D100" i="50"/>
  <c r="BA88" i="50"/>
  <c r="AL114" i="50"/>
  <c r="AA113" i="50"/>
  <c r="ES148" i="50"/>
  <c r="BN130" i="50"/>
  <c r="DP132" i="50"/>
  <c r="DP219" i="50"/>
  <c r="BY97" i="50"/>
  <c r="CA103" i="50"/>
  <c r="BD116" i="50"/>
  <c r="G108" i="50"/>
  <c r="ES130" i="50"/>
  <c r="Z108" i="50"/>
  <c r="AR219" i="50"/>
  <c r="DZ201" i="50"/>
  <c r="CP200" i="50"/>
  <c r="Q76" i="50"/>
  <c r="AV103" i="50"/>
  <c r="BK85" i="50"/>
  <c r="AU97" i="50"/>
  <c r="CA85" i="50"/>
  <c r="AA58" i="50"/>
  <c r="Z218" i="50"/>
  <c r="DL189" i="50"/>
  <c r="Q114" i="50"/>
  <c r="AN103" i="50"/>
  <c r="U102" i="50"/>
  <c r="F132" i="50"/>
  <c r="E20" i="50"/>
  <c r="CO132" i="50"/>
  <c r="AQ219" i="50"/>
  <c r="AK218" i="50"/>
  <c r="AB103" i="50"/>
  <c r="BX116" i="50"/>
  <c r="CQ201" i="50"/>
  <c r="EB135" i="50"/>
  <c r="AC48" i="50"/>
  <c r="AS132" i="50"/>
  <c r="BZ219" i="50"/>
  <c r="AL110" i="50"/>
  <c r="AP103" i="50"/>
  <c r="AM116" i="50"/>
  <c r="EA201" i="50"/>
  <c r="AG130" i="50"/>
  <c r="R114" i="50"/>
  <c r="AH149" i="50"/>
  <c r="DO147" i="50"/>
  <c r="E96" i="50"/>
  <c r="H97" i="50"/>
  <c r="EB200" i="50"/>
  <c r="N103" i="50"/>
  <c r="AC76" i="50"/>
  <c r="AJ26" i="50"/>
  <c r="AX132" i="50"/>
  <c r="AF219" i="50"/>
  <c r="DP218" i="50"/>
  <c r="DY103" i="50"/>
  <c r="U116" i="50"/>
  <c r="Q112" i="50"/>
  <c r="DK136" i="50"/>
  <c r="AB81" i="50"/>
  <c r="D108" i="50"/>
  <c r="W149" i="50"/>
  <c r="AW221" i="50"/>
  <c r="J102" i="50"/>
  <c r="I147" i="50"/>
  <c r="AB147" i="50"/>
  <c r="DM136" i="50"/>
  <c r="ED85" i="50"/>
  <c r="P108" i="50"/>
  <c r="Y149" i="50"/>
  <c r="DM167" i="50"/>
  <c r="S102" i="50"/>
  <c r="AF147" i="50"/>
  <c r="DP117" i="50"/>
  <c r="BZ85" i="50"/>
  <c r="BW117" i="50"/>
  <c r="I125" i="50"/>
  <c r="AS189" i="50"/>
  <c r="BK114" i="50"/>
  <c r="O114" i="50"/>
  <c r="AK102" i="50"/>
  <c r="BH113" i="50"/>
  <c r="BI88" i="50"/>
  <c r="DO88" i="50"/>
  <c r="ED76" i="50"/>
  <c r="AH189" i="50"/>
  <c r="H130" i="50"/>
  <c r="M149" i="50"/>
  <c r="DM76" i="50"/>
  <c r="AA132" i="50"/>
  <c r="BA117" i="50"/>
  <c r="AP81" i="50"/>
  <c r="DK108" i="50"/>
  <c r="AZ149" i="50"/>
  <c r="AT167" i="50"/>
  <c r="DY102" i="50"/>
  <c r="V147" i="50"/>
  <c r="ES147" i="50"/>
  <c r="EQ136" i="50"/>
  <c r="BB85" i="50"/>
  <c r="AI108" i="50"/>
  <c r="CP149" i="50"/>
  <c r="X167" i="50"/>
  <c r="AB102" i="50"/>
  <c r="AD147" i="50"/>
  <c r="V58" i="50"/>
  <c r="W18" i="50"/>
  <c r="AI117" i="50"/>
  <c r="AU76" i="50"/>
  <c r="CS149" i="50"/>
  <c r="AZ116" i="50"/>
  <c r="V107" i="50"/>
  <c r="BN163" i="50"/>
  <c r="CS108" i="50"/>
  <c r="DY200" i="50"/>
  <c r="AF88" i="50"/>
  <c r="L119" i="50"/>
  <c r="AI149" i="50"/>
  <c r="DK85" i="50"/>
  <c r="DL149" i="50"/>
  <c r="AX84" i="50"/>
  <c r="N113" i="50"/>
  <c r="AI165" i="50"/>
  <c r="T18" i="50"/>
  <c r="AX112" i="50"/>
  <c r="U166" i="50"/>
  <c r="EC76" i="50"/>
  <c r="AV163" i="50"/>
  <c r="D117" i="50"/>
  <c r="AT187" i="50"/>
  <c r="AB221" i="50"/>
  <c r="EQ85" i="50"/>
  <c r="CO112" i="50"/>
  <c r="BX166" i="50"/>
  <c r="X76" i="50"/>
  <c r="W50" i="50"/>
  <c r="BI117" i="50"/>
  <c r="AF220" i="50"/>
  <c r="BJ85" i="50"/>
  <c r="BZ98" i="50"/>
  <c r="BZ163" i="50"/>
  <c r="EB166" i="50"/>
  <c r="AQ117" i="50"/>
  <c r="AV126" i="50"/>
  <c r="AG163" i="50"/>
  <c r="AA114" i="50"/>
  <c r="E113" i="50"/>
  <c r="DN103" i="50"/>
  <c r="Y81" i="50"/>
  <c r="CO89" i="50"/>
  <c r="BA113" i="50"/>
  <c r="AU126" i="50"/>
  <c r="O130" i="50"/>
  <c r="ET201" i="50"/>
  <c r="AL189" i="50"/>
  <c r="AF90" i="50"/>
  <c r="H201" i="50"/>
  <c r="BY126" i="50"/>
  <c r="AE119" i="50"/>
  <c r="ER163" i="50"/>
  <c r="AU117" i="50"/>
  <c r="C32" i="50"/>
  <c r="AP190" i="50"/>
  <c r="AY90" i="50"/>
  <c r="DK201" i="50"/>
  <c r="AD126" i="50"/>
  <c r="AU84" i="50"/>
  <c r="CR96" i="50"/>
  <c r="AW165" i="50"/>
  <c r="AM86" i="50"/>
  <c r="D90" i="50"/>
  <c r="V125" i="50"/>
  <c r="AH147" i="50"/>
  <c r="BA148" i="50"/>
  <c r="AY189" i="50"/>
  <c r="AB126" i="50"/>
  <c r="Q96" i="50"/>
  <c r="ES117" i="50"/>
  <c r="AM189" i="50"/>
  <c r="CR90" i="50"/>
  <c r="DY118" i="50"/>
  <c r="BI86" i="50"/>
  <c r="AB47" i="50"/>
  <c r="AV187" i="50"/>
  <c r="AF24" i="50"/>
  <c r="BJ86" i="50"/>
  <c r="CR167" i="50"/>
  <c r="AW86" i="50"/>
  <c r="BM167" i="50"/>
  <c r="BX86" i="50"/>
  <c r="ER167" i="50"/>
  <c r="AP86" i="50"/>
  <c r="CP167" i="50"/>
  <c r="CS89" i="50"/>
  <c r="AL167" i="50"/>
  <c r="ED89" i="50"/>
  <c r="AQ167" i="50"/>
  <c r="CR89" i="50"/>
  <c r="CO167" i="50"/>
  <c r="AM89" i="50"/>
  <c r="AF167" i="50"/>
  <c r="AF89" i="50"/>
  <c r="BW73" i="50"/>
  <c r="AW90" i="50"/>
  <c r="AI201" i="50"/>
  <c r="V126" i="50"/>
  <c r="C31" i="50"/>
  <c r="ER96" i="50"/>
  <c r="AY165" i="50"/>
  <c r="BM89" i="50"/>
  <c r="S83" i="50"/>
  <c r="DM90" i="50"/>
  <c r="BK201" i="50"/>
  <c r="K126" i="50"/>
  <c r="V84" i="50"/>
  <c r="M96" i="50"/>
  <c r="Z165" i="50"/>
  <c r="ED100" i="50"/>
  <c r="M135" i="50"/>
  <c r="AW89" i="50"/>
  <c r="BN204" i="50"/>
  <c r="AZ89" i="50"/>
  <c r="CQ204" i="50"/>
  <c r="BA89" i="50"/>
  <c r="EB204" i="50"/>
  <c r="AO89" i="50"/>
  <c r="BB204" i="50"/>
  <c r="CP89" i="50"/>
  <c r="AK204" i="50"/>
  <c r="DM89" i="50"/>
  <c r="AP204" i="50"/>
  <c r="BM100" i="50"/>
  <c r="AB204" i="50"/>
  <c r="DN100" i="50"/>
  <c r="DK89" i="50"/>
  <c r="J88" i="50"/>
  <c r="AZ114" i="50"/>
  <c r="DK132" i="50"/>
  <c r="BZ130" i="50"/>
  <c r="DN132" i="50"/>
  <c r="J219" i="50"/>
  <c r="BX106" i="50"/>
  <c r="H100" i="50"/>
  <c r="ER88" i="50"/>
  <c r="CP114" i="50"/>
  <c r="H113" i="50"/>
  <c r="R130" i="50"/>
  <c r="DJ132" i="50"/>
  <c r="S219" i="50"/>
  <c r="CO218" i="50"/>
  <c r="DJ204" i="50"/>
  <c r="DY100" i="50"/>
  <c r="J204" i="50"/>
  <c r="BW100" i="50"/>
  <c r="CB76" i="50"/>
  <c r="AB100" i="50"/>
  <c r="BC76" i="50"/>
  <c r="AK100" i="50"/>
  <c r="CA76" i="50"/>
  <c r="AE100" i="50"/>
  <c r="ES76" i="50"/>
  <c r="ER100" i="50"/>
  <c r="D76" i="50"/>
  <c r="ED97" i="50"/>
  <c r="C76" i="50"/>
  <c r="CR97" i="50"/>
  <c r="DN106" i="50"/>
  <c r="T103" i="50"/>
  <c r="DY116" i="50"/>
  <c r="CA112" i="50"/>
  <c r="M20" i="50"/>
  <c r="CR113" i="50"/>
  <c r="E189" i="50"/>
  <c r="BI135" i="50"/>
  <c r="ER218" i="50"/>
  <c r="BJ103" i="50"/>
  <c r="AB116" i="50"/>
  <c r="AT112" i="50"/>
  <c r="AD130" i="50"/>
  <c r="DJ113" i="50"/>
  <c r="T189" i="50"/>
  <c r="K125" i="50"/>
  <c r="CO76" i="50"/>
  <c r="L97" i="50"/>
  <c r="DL76" i="50"/>
  <c r="BI97" i="50"/>
  <c r="AR76" i="50"/>
  <c r="AG97" i="50"/>
  <c r="BN119" i="50"/>
  <c r="AH97" i="50"/>
  <c r="AP76" i="50"/>
  <c r="CO97" i="50"/>
  <c r="CS119" i="50"/>
  <c r="DL97" i="50"/>
  <c r="BB119" i="50"/>
  <c r="CP97" i="50"/>
  <c r="AK119" i="50"/>
  <c r="DM97" i="50"/>
  <c r="DL135" i="50"/>
  <c r="C200" i="50"/>
  <c r="AX107" i="50"/>
  <c r="AR114" i="50"/>
  <c r="L81" i="50"/>
  <c r="BB113" i="50"/>
  <c r="CB189" i="50"/>
  <c r="T221" i="50"/>
  <c r="AF125" i="50"/>
  <c r="DL188" i="50"/>
  <c r="J93" i="50"/>
  <c r="DO106" i="50"/>
  <c r="R56" i="50"/>
  <c r="AU188" i="50"/>
  <c r="ER93" i="50"/>
  <c r="O106" i="50"/>
  <c r="P119" i="50"/>
  <c r="I106" i="50"/>
  <c r="AF119" i="50"/>
  <c r="AX106" i="50"/>
  <c r="AC119" i="50"/>
  <c r="AF106" i="50"/>
  <c r="AT119" i="50"/>
  <c r="CO106" i="50"/>
  <c r="BA119" i="50"/>
  <c r="AZ106" i="50"/>
  <c r="AO119" i="50"/>
  <c r="Z106" i="50"/>
  <c r="CA84" i="50"/>
  <c r="CP106" i="50"/>
  <c r="ES84" i="50"/>
  <c r="ER106" i="50"/>
  <c r="I221" i="50"/>
  <c r="E102" i="50"/>
  <c r="D147" i="50"/>
  <c r="J147" i="50"/>
  <c r="AY85" i="50"/>
  <c r="BA108" i="50"/>
  <c r="BL149" i="50"/>
  <c r="AC204" i="50"/>
  <c r="AU167" i="50"/>
  <c r="T102" i="50"/>
  <c r="P147" i="50"/>
  <c r="C165" i="50"/>
  <c r="AH18" i="50"/>
  <c r="CR112" i="50"/>
  <c r="H166" i="50"/>
  <c r="DK148" i="50"/>
  <c r="AH17" i="50"/>
  <c r="H218" i="50"/>
  <c r="U17" i="50"/>
  <c r="K218" i="50"/>
  <c r="DQ199" i="50"/>
  <c r="DK218" i="50"/>
  <c r="AI77" i="50"/>
  <c r="V218" i="50"/>
  <c r="R15" i="50"/>
  <c r="P218" i="50"/>
  <c r="AW120" i="50"/>
  <c r="AF218" i="50"/>
  <c r="ES94" i="50"/>
  <c r="AC218" i="50"/>
  <c r="D94" i="50"/>
  <c r="AQ218" i="50"/>
  <c r="EQ204" i="50"/>
  <c r="DN163" i="50"/>
  <c r="ET117" i="50"/>
  <c r="AF120" i="50"/>
  <c r="AC85" i="50"/>
  <c r="AR112" i="50"/>
  <c r="BK166" i="50"/>
  <c r="AJ119" i="50"/>
  <c r="CS76" i="50"/>
  <c r="G22" i="50"/>
  <c r="AV117" i="50"/>
  <c r="AB186" i="50"/>
  <c r="CB90" i="50"/>
  <c r="BB112" i="50"/>
  <c r="CB166" i="50"/>
  <c r="AX135" i="50"/>
  <c r="R105" i="50"/>
  <c r="CA110" i="50"/>
  <c r="AB46" i="50"/>
  <c r="F110" i="50"/>
  <c r="G186" i="50"/>
  <c r="O110" i="50"/>
  <c r="DY186" i="50"/>
  <c r="W110" i="50"/>
  <c r="AY186" i="50"/>
  <c r="X110" i="50"/>
  <c r="Z186" i="50"/>
  <c r="T110" i="50"/>
  <c r="DJ98" i="50"/>
  <c r="AA110" i="50"/>
  <c r="DZ98" i="50"/>
  <c r="BJ110" i="50"/>
  <c r="E119" i="50"/>
  <c r="CO163" i="50"/>
  <c r="Z117" i="50"/>
  <c r="O73" i="50"/>
  <c r="E90" i="50"/>
  <c r="Y201" i="50"/>
  <c r="Q126" i="50"/>
  <c r="DK84" i="50"/>
  <c r="BX119" i="50"/>
  <c r="AU163" i="50"/>
  <c r="ER117" i="50"/>
  <c r="CA83" i="50"/>
  <c r="AR90" i="50"/>
  <c r="BA201" i="50"/>
  <c r="N126" i="50"/>
  <c r="D125" i="50"/>
  <c r="CB187" i="50"/>
  <c r="EB110" i="50"/>
  <c r="D187" i="50"/>
  <c r="CS148" i="50"/>
  <c r="AJ187" i="50"/>
  <c r="M148" i="50"/>
  <c r="CQ123" i="50"/>
  <c r="O148" i="50"/>
  <c r="ET123" i="50"/>
  <c r="DJ148" i="50"/>
  <c r="DJ123" i="50"/>
  <c r="S148" i="50"/>
  <c r="DP133" i="50"/>
  <c r="DZ148" i="50"/>
  <c r="D133" i="50"/>
  <c r="Q148" i="50"/>
  <c r="P84" i="50"/>
  <c r="J96" i="50"/>
  <c r="Y165" i="50"/>
  <c r="AN89" i="50"/>
  <c r="I88" i="50"/>
  <c r="AG114" i="50"/>
  <c r="AN132" i="50"/>
  <c r="DM148" i="50"/>
  <c r="AH84" i="50"/>
  <c r="S96" i="50"/>
  <c r="BA165" i="50"/>
  <c r="CQ100" i="50"/>
  <c r="AC88" i="50"/>
  <c r="EA114" i="50"/>
  <c r="P113" i="50"/>
  <c r="BD136" i="50"/>
  <c r="CA81" i="50"/>
  <c r="CO113" i="50"/>
  <c r="AC189" i="50"/>
  <c r="AZ125" i="50"/>
  <c r="DK200" i="50"/>
  <c r="AH107" i="50"/>
  <c r="AO116" i="50"/>
  <c r="AT125" i="50"/>
  <c r="X81" i="50"/>
  <c r="AL113" i="50"/>
  <c r="AJ189" i="50"/>
  <c r="AS136" i="50"/>
  <c r="AI200" i="50"/>
  <c r="AS107" i="50"/>
  <c r="DK107" i="50"/>
  <c r="BH81" i="50"/>
  <c r="AX147" i="50"/>
  <c r="AM126" i="50"/>
  <c r="O219" i="50"/>
  <c r="BD112" i="50"/>
  <c r="L200" i="50"/>
  <c r="BC102" i="50"/>
  <c r="BW163" i="50"/>
  <c r="ES85" i="50"/>
  <c r="Q90" i="50"/>
  <c r="CA218" i="50"/>
  <c r="BD114" i="50"/>
  <c r="L186" i="50"/>
  <c r="AS219" i="50"/>
  <c r="T44" i="50"/>
  <c r="AQ163" i="50"/>
  <c r="W107" i="50"/>
  <c r="AN81" i="50"/>
  <c r="EA113" i="50"/>
  <c r="BK189" i="50"/>
  <c r="CQ136" i="50"/>
  <c r="AA200" i="50"/>
  <c r="AR107" i="50"/>
  <c r="N107" i="50"/>
  <c r="ES125" i="50"/>
  <c r="DJ81" i="50"/>
  <c r="DN113" i="50"/>
  <c r="CS189" i="50"/>
  <c r="CB221" i="50"/>
  <c r="CB102" i="50"/>
  <c r="BB107" i="50"/>
  <c r="BL107" i="50"/>
  <c r="F81" i="50"/>
  <c r="EA147" i="50"/>
  <c r="DZ126" i="50"/>
  <c r="AC219" i="50"/>
  <c r="AQ112" i="50"/>
  <c r="AO163" i="50"/>
  <c r="C102" i="50"/>
  <c r="DN96" i="50"/>
  <c r="D16" i="50"/>
  <c r="O90" i="50"/>
  <c r="CA148" i="50"/>
  <c r="BH107" i="50"/>
  <c r="AC100" i="50"/>
  <c r="G189" i="50"/>
  <c r="BC113" i="50"/>
  <c r="BM96" i="50"/>
  <c r="CR147" i="50"/>
  <c r="CQ85" i="50"/>
  <c r="AA108" i="50"/>
  <c r="AQ149" i="50"/>
  <c r="P167" i="50"/>
  <c r="Z102" i="50"/>
  <c r="BJ147" i="50"/>
  <c r="T23" i="50"/>
  <c r="X136" i="50"/>
  <c r="W85" i="50"/>
  <c r="AT108" i="50"/>
  <c r="BZ149" i="50"/>
  <c r="CA204" i="50"/>
  <c r="AR102" i="50"/>
  <c r="AN147" i="50"/>
  <c r="R117" i="50"/>
  <c r="H16" i="50"/>
  <c r="BK117" i="50"/>
  <c r="W130" i="50"/>
  <c r="Q149" i="50"/>
  <c r="I107" i="50"/>
  <c r="U58" i="50"/>
  <c r="BL163" i="50"/>
  <c r="AP108" i="50"/>
  <c r="N102" i="50"/>
  <c r="DK88" i="50"/>
  <c r="C84" i="50"/>
  <c r="Z166" i="50"/>
  <c r="AN88" i="50"/>
  <c r="CQ149" i="50"/>
  <c r="AD84" i="50"/>
  <c r="AJ113" i="50"/>
  <c r="DJ219" i="50"/>
  <c r="DZ85" i="50"/>
  <c r="AG112" i="50"/>
  <c r="DL166" i="50"/>
  <c r="N76" i="50"/>
  <c r="T50" i="50"/>
  <c r="AB23" i="50"/>
  <c r="DM188" i="50"/>
  <c r="H79" i="50"/>
  <c r="BX85" i="50"/>
  <c r="EA112" i="50"/>
  <c r="AU166" i="50"/>
  <c r="BA76" i="50"/>
  <c r="AJ30" i="50"/>
  <c r="P117" i="50"/>
  <c r="BO111" i="50"/>
  <c r="DM85" i="50"/>
  <c r="EU74" i="50"/>
  <c r="K96" i="50"/>
  <c r="BL126" i="50"/>
  <c r="EQ165" i="50"/>
  <c r="I130" i="50"/>
  <c r="Z163" i="50"/>
  <c r="I116" i="50"/>
  <c r="AH108" i="50"/>
  <c r="E85" i="50"/>
  <c r="L112" i="50"/>
  <c r="R166" i="50"/>
  <c r="F204" i="50"/>
  <c r="G163" i="50"/>
  <c r="G117" i="50"/>
  <c r="BM187" i="50"/>
  <c r="Z89" i="50"/>
  <c r="DN88" i="50"/>
  <c r="ET114" i="50"/>
  <c r="BA96" i="50"/>
  <c r="AA84" i="50"/>
  <c r="BW96" i="50"/>
  <c r="ER165" i="50"/>
  <c r="CP100" i="50"/>
  <c r="DK86" i="50"/>
  <c r="S88" i="50"/>
  <c r="BH114" i="50"/>
  <c r="AC96" i="50"/>
  <c r="AQ84" i="50"/>
  <c r="DM96" i="50"/>
  <c r="DO165" i="50"/>
  <c r="AC97" i="50"/>
  <c r="O88" i="50"/>
  <c r="Y17" i="50"/>
  <c r="CS126" i="50"/>
  <c r="CQ103" i="50"/>
  <c r="F166" i="50"/>
  <c r="DN130" i="50"/>
  <c r="EA108" i="50"/>
  <c r="AU219" i="50"/>
  <c r="N149" i="50"/>
  <c r="DM200" i="50"/>
  <c r="Z30" i="50"/>
  <c r="AL130" i="50"/>
  <c r="AH164" i="50"/>
  <c r="Y50" i="50"/>
  <c r="AQ81" i="50"/>
  <c r="L117" i="50"/>
  <c r="BW93" i="50"/>
  <c r="AH88" i="50"/>
  <c r="I114" i="50"/>
  <c r="AA96" i="50"/>
  <c r="CP84" i="50"/>
  <c r="BX96" i="50"/>
  <c r="CR165" i="50"/>
  <c r="Q97" i="50"/>
  <c r="BY89" i="50"/>
  <c r="L88" i="50"/>
  <c r="AF114" i="50"/>
  <c r="O132" i="50"/>
  <c r="BM130" i="50"/>
  <c r="ES132" i="50"/>
  <c r="G219" i="50"/>
  <c r="BW106" i="50"/>
  <c r="Y88" i="50"/>
  <c r="T130" i="50"/>
  <c r="ER92" i="50"/>
  <c r="H102" i="50"/>
  <c r="AF166" i="50"/>
  <c r="AE48" i="50"/>
  <c r="O112" i="50"/>
  <c r="J189" i="50"/>
  <c r="CA73" i="50"/>
  <c r="ES102" i="50"/>
  <c r="AH163" i="50"/>
  <c r="H81" i="50"/>
  <c r="C118" i="50"/>
  <c r="BJ113" i="50"/>
  <c r="BM85" i="50"/>
  <c r="V117" i="50"/>
  <c r="CB148" i="50"/>
  <c r="F103" i="50"/>
  <c r="AW116" i="50"/>
  <c r="L108" i="50"/>
  <c r="K130" i="50"/>
  <c r="AK132" i="50"/>
  <c r="AK219" i="50"/>
  <c r="K148" i="50"/>
  <c r="AR106" i="50"/>
  <c r="W103" i="50"/>
  <c r="AY116" i="50"/>
  <c r="DN108" i="50"/>
  <c r="AF130" i="50"/>
  <c r="CS113" i="50"/>
  <c r="F189" i="50"/>
  <c r="C135" i="50"/>
  <c r="DZ103" i="50"/>
  <c r="EC90" i="50"/>
  <c r="BB135" i="50"/>
  <c r="BB116" i="50"/>
  <c r="AR91" i="50"/>
  <c r="AB130" i="50"/>
  <c r="EC116" i="50"/>
  <c r="ET149" i="50"/>
  <c r="K132" i="50"/>
  <c r="CS163" i="50"/>
  <c r="C108" i="50"/>
  <c r="C88" i="50"/>
  <c r="BC167" i="50"/>
  <c r="P219" i="50"/>
  <c r="AF85" i="50"/>
  <c r="CQ165" i="50"/>
  <c r="D103" i="50"/>
  <c r="ES200" i="50"/>
  <c r="EC107" i="50"/>
  <c r="DP114" i="50"/>
  <c r="AJ81" i="50"/>
  <c r="AP113" i="50"/>
  <c r="BA189" i="50"/>
  <c r="R136" i="50"/>
  <c r="U135" i="50"/>
  <c r="AO200" i="50"/>
  <c r="L107" i="50"/>
  <c r="DL114" i="50"/>
  <c r="AX81" i="50"/>
  <c r="CQ113" i="50"/>
  <c r="CA189" i="50"/>
  <c r="AF221" i="50"/>
  <c r="I200" i="50"/>
  <c r="AY200" i="50"/>
  <c r="AF84" i="50"/>
  <c r="AW166" i="50"/>
  <c r="BI90" i="50"/>
  <c r="EQ81" i="50"/>
  <c r="AK147" i="50"/>
  <c r="U126" i="50"/>
  <c r="DZ149" i="50"/>
  <c r="AO103" i="50"/>
  <c r="AF93" i="50"/>
  <c r="I97" i="50"/>
  <c r="Y93" i="50"/>
  <c r="BC188" i="50"/>
  <c r="AB93" i="50"/>
  <c r="AF97" i="50"/>
  <c r="AS76" i="50"/>
  <c r="S97" i="50"/>
  <c r="EA76" i="50"/>
  <c r="DZ97" i="50"/>
  <c r="ET119" i="50"/>
  <c r="AE97" i="50"/>
  <c r="BL119" i="50"/>
  <c r="AT97" i="50"/>
  <c r="CQ119" i="50"/>
  <c r="BA97" i="50"/>
  <c r="EB119" i="50"/>
  <c r="AO97" i="50"/>
  <c r="H119" i="50"/>
  <c r="CA106" i="50"/>
  <c r="I119" i="50"/>
  <c r="ES106" i="50"/>
  <c r="BH125" i="50"/>
  <c r="BI200" i="50"/>
  <c r="AG107" i="50"/>
  <c r="D116" i="50"/>
  <c r="DZ81" i="50"/>
  <c r="ES108" i="50"/>
  <c r="J149" i="50"/>
  <c r="EC167" i="50"/>
  <c r="ET136" i="50"/>
  <c r="AH200" i="50"/>
  <c r="EA107" i="50"/>
  <c r="BK116" i="50"/>
  <c r="AL81" i="50"/>
  <c r="BH108" i="50"/>
  <c r="S149" i="50"/>
  <c r="DL167" i="50"/>
  <c r="AI119" i="50"/>
  <c r="V106" i="50"/>
  <c r="AD119" i="50"/>
  <c r="AG106" i="50"/>
  <c r="DP84" i="50"/>
  <c r="AD106" i="50"/>
  <c r="EU84" i="50"/>
  <c r="EA106" i="50"/>
  <c r="CB84" i="50"/>
  <c r="AQ106" i="50"/>
  <c r="BC84" i="50"/>
  <c r="AL106" i="50"/>
  <c r="AN84" i="50"/>
  <c r="EB106" i="50"/>
  <c r="U55" i="50"/>
  <c r="CS218" i="50"/>
  <c r="BB167" i="50"/>
  <c r="W102" i="50"/>
  <c r="DK147" i="50"/>
  <c r="DP165" i="50"/>
  <c r="V18" i="50"/>
  <c r="CS112" i="50"/>
  <c r="CS166" i="50"/>
  <c r="O204" i="50"/>
  <c r="BW167" i="50"/>
  <c r="Y102" i="50"/>
  <c r="AI147" i="50"/>
  <c r="BW165" i="50"/>
  <c r="G85" i="50"/>
  <c r="M112" i="50"/>
  <c r="X166" i="50"/>
  <c r="AA148" i="50"/>
  <c r="AH134" i="50"/>
  <c r="X218" i="50"/>
  <c r="BE99" i="50"/>
  <c r="T218" i="50"/>
  <c r="AH82" i="50"/>
  <c r="AA218" i="50"/>
  <c r="G87" i="50"/>
  <c r="BJ218" i="50"/>
  <c r="AY87" i="50"/>
  <c r="AI218" i="50"/>
  <c r="DZ94" i="50"/>
  <c r="AD218" i="50"/>
  <c r="CR121" i="50"/>
  <c r="BK218" i="50"/>
  <c r="DM121" i="50"/>
  <c r="BY218" i="50"/>
  <c r="H204" i="50"/>
  <c r="AC50" i="50"/>
  <c r="AC58" i="50"/>
  <c r="ET186" i="50"/>
  <c r="DP90" i="50"/>
  <c r="CQ112" i="50"/>
  <c r="BC166" i="50"/>
  <c r="U119" i="50"/>
  <c r="F76" i="50"/>
  <c r="V30" i="50"/>
  <c r="O117" i="50"/>
  <c r="AI187" i="50"/>
  <c r="BY90" i="50"/>
  <c r="ES201" i="50"/>
  <c r="ES126" i="50"/>
  <c r="AG135" i="50"/>
  <c r="BB186" i="50"/>
  <c r="N110" i="50"/>
  <c r="J186" i="50"/>
  <c r="BH110" i="50"/>
  <c r="CA98" i="50"/>
  <c r="Q110" i="50"/>
  <c r="C98" i="50"/>
  <c r="AZ110" i="50"/>
  <c r="AN98" i="50"/>
  <c r="EQ110" i="50"/>
  <c r="BI98" i="50"/>
  <c r="Y110" i="50"/>
  <c r="CQ164" i="50"/>
  <c r="AO110" i="50"/>
  <c r="BI164" i="50"/>
  <c r="BA110" i="50"/>
  <c r="AH119" i="50"/>
  <c r="AM163" i="50"/>
  <c r="AL117" i="50"/>
  <c r="AY118" i="50"/>
  <c r="AS90" i="50"/>
  <c r="CP201" i="50"/>
  <c r="O126" i="50"/>
  <c r="AL17" i="50"/>
  <c r="BL84" i="50"/>
  <c r="CC107" i="50"/>
  <c r="DP187" i="50"/>
  <c r="BB110" i="50"/>
  <c r="AM199" i="50"/>
  <c r="CC187" i="50"/>
  <c r="BK187" i="50"/>
  <c r="J148" i="50"/>
  <c r="DM187" i="50"/>
  <c r="AV148" i="50"/>
  <c r="EB187" i="50"/>
  <c r="AY148" i="50"/>
  <c r="DL123" i="50"/>
  <c r="U148" i="50"/>
  <c r="AU123" i="50"/>
  <c r="DY148" i="50"/>
  <c r="AS123" i="50"/>
  <c r="BW148" i="50"/>
  <c r="CB133" i="50"/>
  <c r="AB148" i="50"/>
  <c r="DM133" i="50"/>
  <c r="AP148" i="50"/>
  <c r="BL133" i="50"/>
  <c r="AC148" i="50"/>
  <c r="CO84" i="50"/>
  <c r="DY96" i="50"/>
  <c r="CP165" i="50"/>
  <c r="AP89" i="50"/>
  <c r="AI88" i="50"/>
  <c r="AE114" i="50"/>
  <c r="X113" i="50"/>
  <c r="AJ148" i="50"/>
  <c r="AL84" i="50"/>
  <c r="AB96" i="50"/>
  <c r="EC165" i="50"/>
  <c r="BA100" i="50"/>
  <c r="DP103" i="50"/>
  <c r="CQ114" i="50"/>
  <c r="EB113" i="50"/>
  <c r="DN136" i="50"/>
  <c r="T220" i="50"/>
  <c r="F135" i="50"/>
  <c r="BJ220" i="50"/>
  <c r="O135" i="50"/>
  <c r="CQ190" i="50"/>
  <c r="W135" i="50"/>
  <c r="AR190" i="50"/>
  <c r="X135" i="50"/>
  <c r="AS190" i="50"/>
  <c r="T135" i="50"/>
  <c r="AH190" i="50"/>
  <c r="AA135" i="50"/>
  <c r="CC77" i="50"/>
  <c r="BJ135" i="50"/>
  <c r="CC117" i="50"/>
  <c r="Z135" i="50"/>
  <c r="Q130" i="50"/>
  <c r="S132" i="50"/>
  <c r="BJ219" i="50"/>
  <c r="AG218" i="50"/>
  <c r="CO103" i="50"/>
  <c r="AH116" i="50"/>
  <c r="AJ112" i="50"/>
  <c r="ER135" i="50"/>
  <c r="J130" i="50"/>
  <c r="AE132" i="50"/>
  <c r="AN219" i="50"/>
  <c r="DY110" i="50"/>
  <c r="AS103" i="50"/>
  <c r="AS116" i="50"/>
  <c r="S201" i="50"/>
  <c r="CR221" i="50"/>
  <c r="BO149" i="50"/>
  <c r="CA135" i="50"/>
  <c r="CB73" i="50"/>
  <c r="G125" i="50"/>
  <c r="R42" i="50"/>
  <c r="M125" i="50"/>
  <c r="P73" i="50"/>
  <c r="J125" i="50"/>
  <c r="AJ14" i="50"/>
  <c r="DJ125" i="50"/>
  <c r="AF14" i="50"/>
  <c r="S125" i="50"/>
  <c r="M74" i="50"/>
  <c r="DZ125" i="50"/>
  <c r="R74" i="50"/>
  <c r="Q125" i="50"/>
  <c r="DP81" i="50"/>
  <c r="S113" i="50"/>
  <c r="AA189" i="50"/>
  <c r="E125" i="50"/>
  <c r="O200" i="50"/>
  <c r="BW107" i="50"/>
  <c r="Q116" i="50"/>
  <c r="DM125" i="50"/>
  <c r="BY81" i="50"/>
  <c r="AE113" i="50"/>
  <c r="AT189" i="50"/>
  <c r="EU125" i="50"/>
  <c r="EQ200" i="50"/>
  <c r="AP107" i="50"/>
  <c r="BM107" i="50"/>
  <c r="EC164" i="50"/>
  <c r="U118" i="50"/>
  <c r="BB125" i="50"/>
  <c r="CO118" i="50"/>
  <c r="BN136" i="50"/>
  <c r="DK83" i="50"/>
  <c r="CB136" i="50"/>
  <c r="DY83" i="50"/>
  <c r="CS136" i="50"/>
  <c r="H83" i="50"/>
  <c r="CA136" i="50"/>
  <c r="Z83" i="50"/>
  <c r="AK136" i="50"/>
  <c r="O80" i="50"/>
  <c r="BA136" i="50"/>
  <c r="Q80" i="50"/>
  <c r="BK136" i="50"/>
  <c r="AS81" i="50"/>
  <c r="O108" i="50"/>
  <c r="V149" i="50"/>
  <c r="ES167" i="50"/>
  <c r="AX102" i="50"/>
  <c r="W147" i="50"/>
  <c r="AL147" i="50"/>
  <c r="AI136" i="50"/>
  <c r="ET85" i="50"/>
  <c r="EQ108" i="50"/>
  <c r="AD149" i="50"/>
  <c r="EQ167" i="50"/>
  <c r="CO102" i="50"/>
  <c r="Y147" i="50"/>
  <c r="BM117" i="50"/>
  <c r="AY80" i="50"/>
  <c r="DY90" i="50"/>
  <c r="X201" i="50"/>
  <c r="AQ126" i="50"/>
  <c r="BB84" i="50"/>
  <c r="CS96" i="50"/>
  <c r="CS165" i="50"/>
  <c r="EC86" i="50"/>
  <c r="AN73" i="50"/>
  <c r="G90" i="50"/>
  <c r="AA201" i="50"/>
  <c r="AF126" i="50"/>
  <c r="V55" i="50"/>
  <c r="AK96" i="50"/>
  <c r="AX165" i="50"/>
  <c r="AQ86" i="50"/>
  <c r="ER90" i="50"/>
  <c r="G221" i="50"/>
  <c r="DK165" i="50"/>
  <c r="AZ204" i="50"/>
  <c r="EA189" i="50"/>
  <c r="AK76" i="50"/>
  <c r="N132" i="50"/>
  <c r="AL23" i="50"/>
  <c r="AB166" i="50"/>
  <c r="AK200" i="50"/>
  <c r="P103" i="50"/>
  <c r="BZ119" i="50"/>
  <c r="BW189" i="50"/>
  <c r="BX130" i="50"/>
  <c r="AM81" i="50"/>
  <c r="AA107" i="50"/>
  <c r="BY166" i="50"/>
  <c r="J90" i="50"/>
  <c r="EQ201" i="50"/>
  <c r="AZ126" i="50"/>
  <c r="D31" i="50"/>
  <c r="EB96" i="50"/>
  <c r="L165" i="50"/>
  <c r="AI86" i="50"/>
  <c r="V24" i="50"/>
  <c r="AT90" i="50"/>
  <c r="AO201" i="50"/>
  <c r="BH126" i="50"/>
  <c r="R84" i="50"/>
  <c r="C96" i="50"/>
  <c r="AG165" i="50"/>
  <c r="AG89" i="50"/>
  <c r="CS88" i="50"/>
  <c r="BA204" i="50"/>
  <c r="ES219" i="50"/>
  <c r="ED130" i="50"/>
  <c r="EU189" i="50"/>
  <c r="DZ119" i="50"/>
  <c r="DP113" i="50"/>
  <c r="N165" i="50"/>
  <c r="N86" i="50"/>
  <c r="E200" i="50"/>
  <c r="AN200" i="50"/>
  <c r="D84" i="50"/>
  <c r="EQ149" i="50"/>
  <c r="V85" i="50"/>
  <c r="S81" i="50"/>
  <c r="G147" i="50"/>
  <c r="CQ126" i="50"/>
  <c r="AX88" i="50"/>
  <c r="V114" i="50"/>
  <c r="H132" i="50"/>
  <c r="CA130" i="50"/>
  <c r="BC132" i="50"/>
  <c r="AW219" i="50"/>
  <c r="DJ106" i="50"/>
  <c r="AR89" i="50"/>
  <c r="DL88" i="50"/>
  <c r="AD114" i="50"/>
  <c r="CP132" i="50"/>
  <c r="F20" i="50"/>
  <c r="AV132" i="50"/>
  <c r="AY219" i="50"/>
  <c r="G218" i="50"/>
  <c r="AO88" i="50"/>
  <c r="Y48" i="50"/>
  <c r="BO104" i="50"/>
  <c r="DM163" i="50"/>
  <c r="AN166" i="50"/>
  <c r="AD26" i="50"/>
  <c r="BK112" i="50"/>
  <c r="Z189" i="50"/>
  <c r="DP125" i="50"/>
  <c r="AV102" i="50"/>
  <c r="AO96" i="50"/>
  <c r="X18" i="50"/>
  <c r="BZ89" i="50"/>
  <c r="Y112" i="50"/>
  <c r="F16" i="50"/>
  <c r="AA117" i="50"/>
  <c r="BY204" i="50"/>
  <c r="BH103" i="50"/>
  <c r="AX116" i="50"/>
  <c r="AL108" i="50"/>
  <c r="R48" i="50"/>
  <c r="BN113" i="50"/>
  <c r="BN189" i="50"/>
  <c r="BZ148" i="50"/>
  <c r="S218" i="50"/>
  <c r="AZ103" i="50"/>
  <c r="CO116" i="50"/>
  <c r="EQ112" i="50"/>
  <c r="Y130" i="50"/>
  <c r="AV113" i="50"/>
  <c r="BH189" i="50"/>
  <c r="AM135" i="50"/>
  <c r="AK103" i="50"/>
  <c r="AI90" i="50"/>
  <c r="S221" i="50"/>
  <c r="CQ147" i="50"/>
  <c r="AH135" i="50"/>
  <c r="AP130" i="50"/>
  <c r="AC116" i="50"/>
  <c r="W166" i="50"/>
  <c r="E112" i="50"/>
  <c r="EB103" i="50"/>
  <c r="BM116" i="50"/>
  <c r="AW108" i="50"/>
  <c r="AD48" i="50"/>
  <c r="BX132" i="50"/>
  <c r="ER219" i="50"/>
  <c r="DP148" i="50"/>
  <c r="DP221" i="50"/>
  <c r="CS102" i="50"/>
  <c r="DN107" i="50"/>
  <c r="Q107" i="50"/>
  <c r="DO85" i="50"/>
  <c r="AZ108" i="50"/>
  <c r="AE149" i="50"/>
  <c r="C167" i="50"/>
  <c r="W221" i="50"/>
  <c r="F102" i="50"/>
  <c r="H147" i="50"/>
  <c r="ET147" i="50"/>
  <c r="X85" i="50"/>
  <c r="CP108" i="50"/>
  <c r="EB149" i="50"/>
  <c r="AO204" i="50"/>
  <c r="DJ102" i="50"/>
  <c r="V96" i="50"/>
  <c r="AD44" i="50"/>
  <c r="Q100" i="50"/>
  <c r="DL201" i="50"/>
  <c r="E16" i="50"/>
  <c r="DN117" i="50"/>
  <c r="EQ130" i="50"/>
  <c r="P149" i="50"/>
  <c r="AI96" i="50"/>
  <c r="Z23" i="50"/>
  <c r="W113" i="50"/>
  <c r="CQ90" i="50"/>
  <c r="CR166" i="50"/>
  <c r="AZ88" i="50"/>
  <c r="AB119" i="50"/>
  <c r="V221" i="50"/>
  <c r="EB102" i="50"/>
  <c r="BM147" i="50"/>
  <c r="EB107" i="50"/>
  <c r="BI85" i="50"/>
  <c r="AQ108" i="50"/>
  <c r="AK149" i="50"/>
  <c r="BK204" i="50"/>
  <c r="ET167" i="50"/>
  <c r="BH102" i="50"/>
  <c r="X147" i="50"/>
  <c r="AJ117" i="50"/>
  <c r="W44" i="50"/>
  <c r="BN112" i="50"/>
  <c r="BN166" i="50"/>
  <c r="DK204" i="50"/>
  <c r="BW102" i="50"/>
  <c r="BH132" i="50"/>
  <c r="AR85" i="50"/>
  <c r="DY218" i="50"/>
  <c r="CP116" i="50"/>
  <c r="Z18" i="50"/>
  <c r="R165" i="50"/>
  <c r="V44" i="50"/>
  <c r="V76" i="50"/>
  <c r="P132" i="50"/>
  <c r="BJ117" i="50"/>
  <c r="CR108" i="50"/>
  <c r="BA90" i="50"/>
  <c r="AM103" i="50"/>
  <c r="X88" i="50"/>
  <c r="AD17" i="50"/>
  <c r="DM204" i="50"/>
  <c r="BC163" i="50"/>
  <c r="ED117" i="50"/>
  <c r="M219" i="50"/>
  <c r="AA85" i="50"/>
  <c r="BX112" i="50"/>
  <c r="AO166" i="50"/>
  <c r="EU119" i="50"/>
  <c r="N204" i="50"/>
  <c r="S50" i="50"/>
  <c r="H117" i="50"/>
  <c r="X22" i="50"/>
  <c r="AQ85" i="50"/>
  <c r="AM112" i="50"/>
  <c r="ES166" i="50"/>
  <c r="BI119" i="50"/>
  <c r="AD50" i="50"/>
  <c r="BN201" i="50"/>
  <c r="J200" i="50"/>
  <c r="S119" i="50"/>
  <c r="J166" i="50"/>
  <c r="DN90" i="50"/>
  <c r="N89" i="50"/>
  <c r="BN108" i="50"/>
  <c r="DK130" i="50"/>
  <c r="P112" i="50"/>
  <c r="AX189" i="50"/>
  <c r="AI114" i="50"/>
  <c r="O102" i="50"/>
  <c r="DO166" i="50"/>
  <c r="DJ103" i="50"/>
  <c r="K16" i="50"/>
  <c r="DN119" i="50"/>
  <c r="M22" i="50"/>
  <c r="Y58" i="50"/>
  <c r="BO79" i="50"/>
  <c r="I90" i="50"/>
  <c r="AF201" i="50"/>
  <c r="AA126" i="50"/>
  <c r="S55" i="50"/>
  <c r="BW119" i="50"/>
  <c r="AC163" i="50"/>
  <c r="EA117" i="50"/>
  <c r="DO118" i="50"/>
  <c r="AE90" i="50"/>
  <c r="AQ201" i="50"/>
  <c r="X126" i="50"/>
  <c r="Q84" i="50"/>
  <c r="DP96" i="50"/>
  <c r="AZ107" i="50"/>
  <c r="BH96" i="50"/>
  <c r="AD81" i="50"/>
  <c r="P114" i="50"/>
  <c r="CR88" i="50"/>
  <c r="V204" i="50"/>
  <c r="DJ189" i="50"/>
  <c r="AE130" i="50"/>
  <c r="AY163" i="50"/>
  <c r="AW113" i="50"/>
  <c r="N189" i="50"/>
  <c r="BY148" i="50"/>
  <c r="AM200" i="50"/>
  <c r="C107" i="50"/>
  <c r="DZ114" i="50"/>
  <c r="AE221" i="50"/>
  <c r="BH85" i="50"/>
  <c r="EB108" i="50"/>
  <c r="EU149" i="50"/>
  <c r="CP204" i="50"/>
  <c r="EC163" i="50"/>
  <c r="BN117" i="50"/>
  <c r="C17" i="50"/>
  <c r="DO221" i="50"/>
  <c r="D85" i="50"/>
  <c r="G112" i="50"/>
  <c r="DJ166" i="50"/>
  <c r="BH204" i="50"/>
  <c r="C163" i="50"/>
  <c r="C117" i="50"/>
  <c r="AH98" i="50"/>
  <c r="R18" i="50"/>
  <c r="BX165" i="50"/>
  <c r="CP90" i="50"/>
  <c r="G166" i="50"/>
  <c r="AP147" i="50"/>
  <c r="C149" i="50"/>
  <c r="L163" i="50"/>
  <c r="BL201" i="50"/>
  <c r="T163" i="50"/>
  <c r="AD88" i="50"/>
  <c r="M130" i="50"/>
  <c r="AP123" i="50"/>
  <c r="S30" i="50"/>
  <c r="AD166" i="50"/>
  <c r="BK130" i="50"/>
  <c r="CB112" i="50"/>
  <c r="ET219" i="50"/>
  <c r="U18" i="50"/>
  <c r="AW112" i="50"/>
  <c r="M166" i="50"/>
  <c r="T204" i="50"/>
  <c r="AW163" i="50"/>
  <c r="F117" i="50"/>
  <c r="DP98" i="50"/>
  <c r="ER221" i="50"/>
  <c r="C16" i="50"/>
  <c r="AY112" i="50"/>
  <c r="BW166" i="50"/>
  <c r="CQ76" i="50"/>
  <c r="M163" i="50"/>
  <c r="AD58" i="50"/>
  <c r="DZ123" i="50"/>
  <c r="M16" i="50"/>
  <c r="BM165" i="50"/>
  <c r="CB200" i="50"/>
  <c r="CO166" i="50"/>
  <c r="D34" i="50"/>
  <c r="Y166" i="50"/>
  <c r="DK163" i="50"/>
  <c r="AU201" i="50"/>
  <c r="EU96" i="50"/>
  <c r="BD103" i="50"/>
  <c r="CS81" i="50"/>
  <c r="CQ80" i="50"/>
  <c r="T96" i="50"/>
  <c r="CA166" i="50"/>
  <c r="AA48" i="50"/>
  <c r="AA112" i="50"/>
  <c r="DY189" i="50"/>
  <c r="DO90" i="50"/>
  <c r="CB201" i="50"/>
  <c r="CB126" i="50"/>
  <c r="AX119" i="50"/>
  <c r="Y163" i="50"/>
  <c r="BX117" i="50"/>
  <c r="AN83" i="50"/>
  <c r="AI133" i="50"/>
  <c r="AZ90" i="50"/>
  <c r="D201" i="50"/>
  <c r="AN126" i="50"/>
  <c r="AR119" i="50"/>
  <c r="AL163" i="50"/>
  <c r="AM117" i="50"/>
  <c r="AN91" i="50"/>
  <c r="DK90" i="50"/>
  <c r="AG110" i="50"/>
  <c r="CR116" i="50"/>
  <c r="AA118" i="50"/>
  <c r="CQ219" i="50"/>
  <c r="R189" i="50"/>
  <c r="AN96" i="50"/>
  <c r="U147" i="50"/>
  <c r="BK165" i="50"/>
  <c r="AL103" i="50"/>
  <c r="BM88" i="50"/>
  <c r="AO167" i="50"/>
  <c r="Y117" i="50"/>
  <c r="AA167" i="50"/>
  <c r="AS130" i="50"/>
  <c r="DK116" i="50"/>
  <c r="E166" i="50"/>
  <c r="BD88" i="50"/>
  <c r="AJ201" i="50"/>
  <c r="E126" i="50"/>
  <c r="BW84" i="50"/>
  <c r="DJ96" i="50"/>
  <c r="AB165" i="50"/>
  <c r="BB100" i="50"/>
  <c r="H91" i="50"/>
  <c r="AJ88" i="50"/>
  <c r="F114" i="50"/>
  <c r="H96" i="50"/>
  <c r="AI84" i="50"/>
  <c r="DZ96" i="50"/>
  <c r="AK165" i="50"/>
  <c r="CA97" i="50"/>
  <c r="Q88" i="50"/>
  <c r="CQ84" i="50"/>
  <c r="CB149" i="50"/>
  <c r="BB90" i="50"/>
  <c r="AS149" i="50"/>
  <c r="BD130" i="50"/>
  <c r="CQ108" i="50"/>
  <c r="BW219" i="50"/>
  <c r="EU112" i="50"/>
  <c r="BJ90" i="50"/>
  <c r="AC201" i="50"/>
  <c r="T126" i="50"/>
  <c r="T17" i="50"/>
  <c r="AL96" i="50"/>
  <c r="DY165" i="50"/>
  <c r="Q89" i="50"/>
  <c r="AF148" i="50"/>
  <c r="AF103" i="50"/>
  <c r="AG116" i="50"/>
  <c r="DK112" i="50"/>
  <c r="AF48" i="50"/>
  <c r="C113" i="50"/>
  <c r="I189" i="50"/>
  <c r="AP135" i="50"/>
  <c r="G110" i="50"/>
  <c r="BK103" i="50"/>
  <c r="EA116" i="50"/>
  <c r="EC201" i="50"/>
  <c r="AO130" i="50"/>
  <c r="R113" i="50"/>
  <c r="AF189" i="50"/>
  <c r="Y125" i="50"/>
  <c r="BN200" i="50"/>
  <c r="R88" i="50"/>
  <c r="CB204" i="50"/>
  <c r="AA165" i="50"/>
  <c r="DP119" i="50"/>
  <c r="CQ81" i="50"/>
  <c r="O107" i="50"/>
  <c r="AQ166" i="50"/>
  <c r="CS116" i="50"/>
  <c r="V50" i="50"/>
  <c r="BJ112" i="50"/>
  <c r="BM200" i="50"/>
  <c r="CP76" i="50"/>
  <c r="DM149" i="50"/>
  <c r="AO85" i="50"/>
  <c r="CC112" i="50"/>
  <c r="ES96" i="50"/>
  <c r="AD103" i="50"/>
  <c r="AE116" i="50"/>
  <c r="BL112" i="50"/>
  <c r="AT130" i="50"/>
  <c r="BI113" i="50"/>
  <c r="V189" i="50"/>
  <c r="T125" i="50"/>
  <c r="ES110" i="50"/>
  <c r="BD200" i="50"/>
  <c r="BL116" i="50"/>
  <c r="AG201" i="50"/>
  <c r="BC81" i="50"/>
  <c r="AH113" i="50"/>
  <c r="AD189" i="50"/>
  <c r="BB136" i="50"/>
  <c r="BL200" i="50"/>
  <c r="BB103" i="50"/>
  <c r="O76" i="50"/>
  <c r="AJ219" i="50"/>
  <c r="BB130" i="50"/>
  <c r="AY81" i="50"/>
  <c r="BK107" i="50"/>
  <c r="EU166" i="50"/>
  <c r="AM147" i="50"/>
  <c r="DJ163" i="50"/>
  <c r="DJ201" i="50"/>
  <c r="Z200" i="50"/>
  <c r="X84" i="50"/>
  <c r="AL166" i="50"/>
  <c r="BC90" i="50"/>
  <c r="ET86" i="50"/>
  <c r="AO132" i="50"/>
  <c r="U200" i="50"/>
  <c r="Z107" i="50"/>
  <c r="P116" i="50"/>
  <c r="DL81" i="50"/>
  <c r="E108" i="50"/>
  <c r="AX149" i="50"/>
  <c r="AM167" i="50"/>
  <c r="BX136" i="50"/>
  <c r="BX200" i="50"/>
  <c r="ER107" i="50"/>
  <c r="CA107" i="50"/>
  <c r="BN85" i="50"/>
  <c r="T108" i="50"/>
  <c r="CO149" i="50"/>
  <c r="U167" i="50"/>
  <c r="EU102" i="50"/>
  <c r="W163" i="50"/>
  <c r="AK81" i="50"/>
  <c r="AM190" i="50"/>
  <c r="V132" i="50"/>
  <c r="BY85" i="50"/>
  <c r="DZ117" i="50"/>
  <c r="BA221" i="50"/>
  <c r="CA88" i="50"/>
  <c r="CA96" i="50"/>
  <c r="BY107" i="50"/>
  <c r="AD96" i="50"/>
  <c r="DN85" i="50"/>
  <c r="D165" i="50"/>
  <c r="BN88" i="50"/>
  <c r="AE10" i="26"/>
  <c r="AR167" i="50"/>
  <c r="V102" i="50"/>
  <c r="Q147" i="50"/>
  <c r="M165" i="50"/>
  <c r="I85" i="50"/>
  <c r="DO112" i="50"/>
  <c r="D166" i="50"/>
  <c r="BN76" i="50"/>
  <c r="DJ167" i="50"/>
  <c r="AD102" i="50"/>
  <c r="DM147" i="50"/>
  <c r="AP165" i="50"/>
  <c r="C85" i="50"/>
  <c r="BI112" i="50"/>
  <c r="P166" i="50"/>
  <c r="I76" i="50"/>
  <c r="EA102" i="50"/>
  <c r="AN113" i="50"/>
  <c r="CO88" i="50"/>
  <c r="BM221" i="50"/>
  <c r="AO165" i="50"/>
  <c r="J16" i="50"/>
  <c r="EC219" i="50"/>
  <c r="AX200" i="50"/>
  <c r="AF17" i="50"/>
  <c r="EB163" i="50"/>
  <c r="AM108" i="50"/>
  <c r="O103" i="50"/>
  <c r="BJ204" i="50"/>
  <c r="BX189" i="50"/>
  <c r="AT88" i="50"/>
  <c r="BK132" i="50"/>
  <c r="AL18" i="50"/>
  <c r="AT81" i="50"/>
  <c r="AD220" i="50"/>
  <c r="S163" i="50"/>
  <c r="CP166" i="50"/>
  <c r="DP107" i="50"/>
  <c r="BZ107" i="50"/>
  <c r="BK96" i="50"/>
  <c r="AQ102" i="50"/>
  <c r="ET130" i="50"/>
  <c r="AS108" i="50"/>
  <c r="AK166" i="50"/>
  <c r="AT114" i="50"/>
  <c r="CR200" i="50"/>
  <c r="AE88" i="50"/>
  <c r="W204" i="50"/>
  <c r="X219" i="50"/>
  <c r="E84" i="50"/>
  <c r="EC81" i="50"/>
  <c r="Z85" i="50"/>
  <c r="AP106" i="50"/>
  <c r="ES149" i="50"/>
  <c r="ED149" i="50"/>
  <c r="ER166" i="50"/>
  <c r="F34" i="50"/>
  <c r="P90" i="50"/>
  <c r="F96" i="50"/>
  <c r="AF81" i="50"/>
  <c r="E22" i="50"/>
  <c r="EC84" i="50"/>
  <c r="AZ200" i="50"/>
  <c r="AA102" i="50"/>
  <c r="V26" i="50"/>
  <c r="CO126" i="50"/>
  <c r="AE200" i="50"/>
  <c r="AI81" i="50"/>
  <c r="Q103" i="50"/>
  <c r="I204" i="50"/>
  <c r="CS201" i="50"/>
  <c r="EQ102" i="50"/>
  <c r="C190" i="50"/>
  <c r="AM219" i="50"/>
  <c r="ER200" i="50"/>
  <c r="AV108" i="50"/>
  <c r="CB88" i="50"/>
  <c r="AF107" i="50"/>
  <c r="O100" i="50"/>
  <c r="D88" i="50"/>
  <c r="EC130" i="50"/>
  <c r="S126" i="50"/>
  <c r="BY200" i="50"/>
  <c r="BH166" i="50"/>
  <c r="BC130" i="50"/>
  <c r="ET76" i="50"/>
  <c r="AI219" i="50"/>
  <c r="AE84" i="50"/>
  <c r="AS85" i="50"/>
  <c r="DN219" i="50"/>
  <c r="AV201" i="50"/>
  <c r="K166" i="50"/>
  <c r="BZ88" i="50"/>
  <c r="AP136" i="50"/>
  <c r="AF96" i="50"/>
  <c r="M126" i="50"/>
  <c r="BN219" i="50"/>
  <c r="AC114" i="50"/>
  <c r="DP201" i="50"/>
  <c r="DP126" i="50"/>
  <c r="AW119" i="50"/>
  <c r="Y30" i="50"/>
  <c r="DL117" i="50"/>
  <c r="Q118" i="50"/>
  <c r="AH106" i="50"/>
  <c r="AL88" i="50"/>
  <c r="BA114" i="50"/>
  <c r="O113" i="50"/>
  <c r="L20" i="50"/>
  <c r="BI132" i="50"/>
  <c r="AG219" i="50"/>
  <c r="EA218" i="50"/>
  <c r="D97" i="50"/>
  <c r="DO103" i="50"/>
  <c r="CB116" i="50"/>
  <c r="BL113" i="50"/>
  <c r="T48" i="50"/>
  <c r="AH132" i="50"/>
  <c r="EA219" i="50"/>
  <c r="AB110" i="50"/>
  <c r="C103" i="50"/>
  <c r="BC85" i="50"/>
  <c r="BM97" i="50"/>
  <c r="BX108" i="50"/>
  <c r="BX126" i="50"/>
  <c r="E130" i="50"/>
  <c r="DN201" i="50"/>
  <c r="DJ149" i="50"/>
  <c r="AP85" i="50"/>
  <c r="AH102" i="50"/>
  <c r="AD132" i="50"/>
  <c r="AU90" i="50"/>
  <c r="AK110" i="50"/>
  <c r="AD107" i="50"/>
  <c r="N85" i="50"/>
  <c r="AV165" i="50"/>
  <c r="AZ81" i="50"/>
  <c r="CR103" i="50"/>
  <c r="DP116" i="50"/>
  <c r="AT113" i="50"/>
  <c r="AB26" i="50"/>
  <c r="DZ132" i="50"/>
  <c r="AE219" i="50"/>
  <c r="S110" i="50"/>
  <c r="EC106" i="50"/>
  <c r="E103" i="50"/>
  <c r="G116" i="50"/>
  <c r="AY108" i="50"/>
  <c r="V48" i="50"/>
  <c r="ER132" i="50"/>
  <c r="EB219" i="50"/>
  <c r="T148" i="50"/>
  <c r="BI103" i="50"/>
  <c r="S18" i="50"/>
  <c r="EB218" i="50"/>
  <c r="AS201" i="50"/>
  <c r="DJ126" i="50"/>
  <c r="AL26" i="50"/>
  <c r="AH114" i="50"/>
  <c r="BX149" i="50"/>
  <c r="AM102" i="50"/>
  <c r="ER102" i="50"/>
  <c r="AF113" i="50"/>
  <c r="DP88" i="50"/>
  <c r="BA125" i="50"/>
  <c r="Q117" i="50"/>
  <c r="S44" i="50"/>
  <c r="AH165" i="50"/>
  <c r="AA90" i="50"/>
  <c r="DM103" i="50"/>
  <c r="AK116" i="50"/>
  <c r="AY201" i="50"/>
  <c r="EU81" i="50"/>
  <c r="DZ113" i="50"/>
  <c r="BJ189" i="50"/>
  <c r="ED136" i="50"/>
  <c r="AD148" i="50"/>
  <c r="DN200" i="50"/>
  <c r="ET107" i="50"/>
  <c r="BM114" i="50"/>
  <c r="BK81" i="50"/>
  <c r="AR113" i="50"/>
  <c r="AN189" i="50"/>
  <c r="AV136" i="50"/>
  <c r="AL200" i="50"/>
  <c r="CP103" i="50"/>
  <c r="AS119" i="50"/>
  <c r="ET189" i="50"/>
  <c r="EU85" i="50"/>
  <c r="I81" i="50"/>
  <c r="DY147" i="50"/>
  <c r="AS126" i="50"/>
  <c r="BI219" i="50"/>
  <c r="AA50" i="50"/>
  <c r="EU114" i="50"/>
  <c r="P102" i="50"/>
  <c r="AB84" i="50"/>
  <c r="AY126" i="50"/>
  <c r="BK90" i="50"/>
  <c r="AQ100" i="50"/>
  <c r="T112" i="50"/>
  <c r="DL200" i="50"/>
  <c r="AL107" i="50"/>
  <c r="DN116" i="50"/>
  <c r="EA81" i="50"/>
  <c r="W108" i="50"/>
  <c r="AG149" i="50"/>
  <c r="DZ167" i="50"/>
  <c r="BZ221" i="50"/>
  <c r="CR102" i="50"/>
  <c r="DP147" i="50"/>
  <c r="AI107" i="50"/>
  <c r="BL85" i="50"/>
  <c r="Y108" i="50"/>
  <c r="EA149" i="50"/>
  <c r="BD204" i="50"/>
  <c r="AJ102" i="50"/>
  <c r="BD96" i="50"/>
  <c r="DM81" i="50"/>
  <c r="N91" i="50"/>
  <c r="AU108" i="50"/>
  <c r="R85" i="50"/>
  <c r="AC117" i="50"/>
  <c r="G119" i="50"/>
  <c r="K112" i="50"/>
  <c r="R200" i="50"/>
  <c r="CO107" i="50"/>
  <c r="X116" i="50"/>
  <c r="AH81" i="50"/>
  <c r="F108" i="50"/>
  <c r="L149" i="50"/>
  <c r="CQ167" i="50"/>
  <c r="DO76" i="50"/>
  <c r="J163" i="50"/>
  <c r="M117" i="50"/>
  <c r="R98" i="50"/>
  <c r="CA90" i="50"/>
  <c r="BD201" i="50"/>
  <c r="BD126" i="50"/>
  <c r="DL119" i="50"/>
  <c r="T76" i="50"/>
  <c r="BI163" i="50"/>
  <c r="X117" i="50"/>
  <c r="CA133" i="50"/>
  <c r="AG90" i="50"/>
  <c r="E201" i="50"/>
  <c r="AJ126" i="50"/>
  <c r="EB84" i="50"/>
  <c r="X50" i="50"/>
  <c r="DK114" i="50"/>
  <c r="CP102" i="50"/>
  <c r="CQ130" i="50"/>
  <c r="BW81" i="50"/>
  <c r="X90" i="50"/>
  <c r="I148" i="50"/>
  <c r="Y116" i="50"/>
  <c r="U26" i="50"/>
  <c r="CO201" i="50"/>
  <c r="CR189" i="50"/>
  <c r="EU107" i="50"/>
  <c r="DY163" i="50"/>
  <c r="BW130" i="50"/>
  <c r="BX103" i="50"/>
  <c r="DJ90" i="50"/>
  <c r="BH76" i="50"/>
  <c r="AB30" i="50"/>
  <c r="AX117" i="50"/>
  <c r="BI123" i="50"/>
  <c r="AN90" i="50"/>
  <c r="F201" i="50"/>
  <c r="DN126" i="50"/>
  <c r="DO84" i="50"/>
  <c r="AO76" i="50"/>
  <c r="U163" i="50"/>
  <c r="AD23" i="50"/>
  <c r="CA220" i="50"/>
  <c r="T90" i="50"/>
  <c r="W201" i="50"/>
  <c r="DM126" i="50"/>
  <c r="M84" i="50"/>
  <c r="AF50" i="50"/>
  <c r="DO116" i="50"/>
  <c r="H22" i="50"/>
  <c r="G130" i="50"/>
  <c r="W132" i="50"/>
  <c r="H90" i="50"/>
  <c r="EC136" i="50"/>
  <c r="BC117" i="50"/>
  <c r="T26" i="50"/>
  <c r="CA114" i="50"/>
  <c r="R149" i="50"/>
  <c r="CP107" i="50"/>
  <c r="BC96" i="50"/>
  <c r="AN102" i="50"/>
  <c r="EA103" i="50"/>
  <c r="AG88" i="50"/>
  <c r="AK84" i="50"/>
  <c r="EC96" i="50"/>
  <c r="F165" i="50"/>
  <c r="BZ91" i="50"/>
  <c r="CQ88" i="50"/>
  <c r="CR114" i="50"/>
  <c r="O96" i="50"/>
  <c r="AT84" i="50"/>
  <c r="AC55" i="50"/>
  <c r="AU96" i="50"/>
  <c r="W165" i="50"/>
  <c r="AA86" i="50"/>
  <c r="AA88" i="50"/>
  <c r="L114" i="50"/>
  <c r="AM132" i="50"/>
  <c r="D204" i="50"/>
  <c r="BB132" i="50"/>
  <c r="DK117" i="50"/>
  <c r="AQ113" i="50"/>
  <c r="R90" i="50"/>
  <c r="C189" i="50"/>
  <c r="N88" i="50"/>
  <c r="AS84" i="50"/>
  <c r="ER126" i="50"/>
  <c r="DY81" i="50"/>
  <c r="EC147" i="50"/>
  <c r="EC126" i="50"/>
  <c r="BC165" i="50"/>
  <c r="DL108" i="50"/>
  <c r="AY221" i="50"/>
  <c r="Y200" i="50"/>
  <c r="BA102" i="50"/>
  <c r="EA84" i="50"/>
  <c r="AE96" i="50"/>
  <c r="ET165" i="50"/>
  <c r="CB97" i="50"/>
  <c r="CB103" i="50"/>
  <c r="BB114" i="50"/>
  <c r="ET108" i="50"/>
  <c r="G135" i="50"/>
  <c r="BL130" i="50"/>
  <c r="BZ132" i="50"/>
  <c r="K219" i="50"/>
  <c r="AR97" i="50"/>
  <c r="AW103" i="50"/>
  <c r="C116" i="50"/>
  <c r="AE108" i="50"/>
  <c r="X26" i="50"/>
  <c r="H112" i="50"/>
  <c r="AW189" i="50"/>
  <c r="N114" i="50"/>
  <c r="EC102" i="50"/>
  <c r="AA103" i="50"/>
  <c r="R103" i="50"/>
  <c r="AD18" i="50"/>
  <c r="AE110" i="50"/>
  <c r="AN85" i="50"/>
  <c r="EB112" i="50"/>
  <c r="AE189" i="50"/>
  <c r="BH116" i="50"/>
  <c r="BM163" i="50"/>
  <c r="AW126" i="50"/>
  <c r="C130" i="50"/>
  <c r="AA219" i="50"/>
  <c r="AZ112" i="50"/>
  <c r="ER189" i="50"/>
  <c r="U90" i="50"/>
  <c r="BJ148" i="50"/>
  <c r="AQ103" i="50"/>
  <c r="AZ166" i="50"/>
  <c r="CR126" i="50"/>
  <c r="X165" i="50"/>
  <c r="BL88" i="50"/>
  <c r="DO132" i="50"/>
  <c r="DK103" i="50"/>
  <c r="AP189" i="50"/>
  <c r="Q102" i="50"/>
  <c r="AB50" i="50"/>
  <c r="AO114" i="50"/>
  <c r="R30" i="50"/>
  <c r="S130" i="50"/>
  <c r="Y96" i="50"/>
  <c r="DL102" i="50"/>
  <c r="AD112" i="50"/>
  <c r="X103" i="50"/>
  <c r="AF22" i="50"/>
  <c r="AV135" i="50"/>
  <c r="T116" i="50"/>
  <c r="W14" i="50"/>
  <c r="AL218" i="50"/>
  <c r="Q165" i="50"/>
  <c r="DO108" i="50"/>
  <c r="BB108" i="50"/>
  <c r="AC167" i="50"/>
  <c r="CP96" i="50"/>
  <c r="DL147" i="50"/>
  <c r="AZ132" i="50"/>
  <c r="R44" i="50"/>
  <c r="BB189" i="50"/>
  <c r="DY108" i="50"/>
  <c r="AF116" i="50"/>
  <c r="T30" i="50"/>
  <c r="K85" i="50"/>
  <c r="AY119" i="50"/>
  <c r="AR189" i="50"/>
  <c r="N81" i="50"/>
  <c r="AI103" i="50"/>
  <c r="BI189" i="50"/>
  <c r="BB201" i="50"/>
  <c r="AH126" i="50"/>
  <c r="AS88" i="50"/>
  <c r="R102" i="50"/>
  <c r="CR132" i="50"/>
  <c r="AG85" i="50"/>
  <c r="ED106" i="50"/>
  <c r="DM114" i="50"/>
  <c r="P85" i="50"/>
  <c r="K163" i="50"/>
  <c r="AH26" i="50"/>
  <c r="DZ189" i="50"/>
  <c r="AU189" i="50"/>
  <c r="BN81" i="50"/>
  <c r="BI149" i="50"/>
  <c r="AE163" i="50"/>
  <c r="BC114" i="50"/>
  <c r="AB200" i="50"/>
  <c r="DK76" i="50"/>
  <c r="DK167" i="50"/>
  <c r="BB117" i="50"/>
  <c r="E204" i="50"/>
  <c r="AE44" i="50"/>
  <c r="BD102" i="50"/>
  <c r="AV189" i="50"/>
  <c r="D167" i="50"/>
  <c r="ER116" i="50"/>
  <c r="L201" i="50"/>
  <c r="BD81" i="50"/>
  <c r="BW113" i="50"/>
  <c r="Y189" i="50"/>
  <c r="BZ125" i="50"/>
  <c r="R167" i="50"/>
  <c r="BJ102" i="50"/>
  <c r="AC147" i="50"/>
  <c r="DL165" i="50"/>
  <c r="H85" i="50"/>
  <c r="DJ112" i="50"/>
  <c r="DK166" i="50"/>
  <c r="E76" i="50"/>
  <c r="ES204" i="50"/>
  <c r="DM102" i="50"/>
  <c r="AJ147" i="50"/>
  <c r="CA165" i="50"/>
  <c r="AB44" i="50"/>
  <c r="DZ112" i="50"/>
  <c r="AI166" i="50"/>
  <c r="BJ76" i="50"/>
  <c r="DO163" i="50"/>
  <c r="DZ108" i="50"/>
  <c r="EC103" i="50"/>
  <c r="O167" i="50"/>
  <c r="BD189" i="50"/>
  <c r="AD85" i="50"/>
  <c r="ED123" i="50"/>
  <c r="U50" i="50"/>
  <c r="EU130" i="50"/>
  <c r="J108" i="50"/>
  <c r="AH219" i="50"/>
  <c r="C201" i="50"/>
  <c r="DP200" i="50"/>
  <c r="AO219" i="50"/>
  <c r="EU103" i="50"/>
  <c r="EB81" i="50"/>
  <c r="EU204" i="50"/>
  <c r="AO102" i="50"/>
  <c r="BK147" i="50"/>
  <c r="BB165" i="50"/>
  <c r="Q85" i="50"/>
  <c r="BW112" i="50"/>
  <c r="AA166" i="50"/>
  <c r="AZ76" i="50"/>
  <c r="AI204" i="50"/>
  <c r="ES163" i="50"/>
  <c r="EC117" i="50"/>
  <c r="BK115" i="50"/>
  <c r="AI85" i="50"/>
  <c r="AP112" i="50"/>
  <c r="AT166" i="50"/>
  <c r="ES119" i="50"/>
  <c r="D22" i="50"/>
  <c r="I112" i="50"/>
  <c r="AC103" i="50"/>
  <c r="BB76" i="50"/>
  <c r="H149" i="50"/>
  <c r="BD90" i="50"/>
  <c r="N83" i="50"/>
  <c r="CS132" i="50"/>
  <c r="AJ130" i="50"/>
  <c r="AK108" i="50"/>
  <c r="BB219" i="50"/>
  <c r="AM201" i="50"/>
  <c r="S200" i="50"/>
  <c r="AA149" i="50"/>
  <c r="AJ103" i="50"/>
  <c r="AO81" i="50"/>
  <c r="AD76" i="50"/>
  <c r="L22" i="50"/>
  <c r="U117" i="50"/>
  <c r="BH220" i="50"/>
  <c r="V90" i="50"/>
  <c r="BH201" i="50"/>
  <c r="AO126" i="50"/>
  <c r="Z55" i="50"/>
  <c r="BK119" i="50"/>
  <c r="AZ163" i="50"/>
  <c r="AF58" i="50"/>
  <c r="BO121" i="50"/>
  <c r="K90" i="50"/>
  <c r="AZ201" i="50"/>
  <c r="EQ126" i="50"/>
  <c r="AW84" i="50"/>
  <c r="AN163" i="50"/>
  <c r="BA116" i="50"/>
  <c r="AT163" i="50"/>
  <c r="DO81" i="50"/>
  <c r="BH112" i="50"/>
  <c r="AL90" i="50"/>
  <c r="BK167" i="50"/>
  <c r="N219" i="50"/>
  <c r="AF26" i="50"/>
  <c r="BX114" i="50"/>
  <c r="AR149" i="50"/>
  <c r="BW147" i="50"/>
  <c r="AZ96" i="50"/>
  <c r="X114" i="50"/>
  <c r="DO200" i="50"/>
  <c r="ED103" i="50"/>
  <c r="AV84" i="50"/>
  <c r="AM96" i="50"/>
  <c r="BH165" i="50"/>
  <c r="BB86" i="50"/>
  <c r="EQ88" i="50"/>
  <c r="J114" i="50"/>
  <c r="ET132" i="50"/>
  <c r="P148" i="50"/>
  <c r="AA55" i="50"/>
  <c r="G96" i="50"/>
  <c r="AZ165" i="50"/>
  <c r="CA89" i="50"/>
  <c r="BH88" i="50"/>
  <c r="S114" i="50"/>
  <c r="AI132" i="50"/>
  <c r="M119" i="50"/>
  <c r="BA132" i="50"/>
  <c r="BD165" i="50"/>
  <c r="R108" i="50"/>
  <c r="BY88" i="50"/>
  <c r="D149" i="50"/>
  <c r="BJ88" i="50"/>
  <c r="W48" i="50"/>
  <c r="AS98" i="50"/>
  <c r="K81" i="50"/>
  <c r="ED96" i="50"/>
  <c r="ED165" i="50"/>
  <c r="L93" i="50"/>
  <c r="ET88" i="50"/>
  <c r="CS114" i="50"/>
  <c r="AQ96" i="50"/>
  <c r="DK125" i="50"/>
  <c r="Z26" i="50"/>
  <c r="AU132" i="50"/>
  <c r="BY219" i="50"/>
  <c r="Z110" i="50"/>
  <c r="AR103" i="50"/>
  <c r="AU116" i="50"/>
  <c r="Z201" i="50"/>
  <c r="BN125" i="50"/>
  <c r="AB48" i="50"/>
  <c r="EC113" i="50"/>
  <c r="H189" i="50"/>
  <c r="AZ148" i="50"/>
  <c r="CQ200" i="50"/>
  <c r="CR107" i="50"/>
  <c r="DJ114" i="50"/>
  <c r="Z130" i="50"/>
  <c r="BL114" i="50"/>
  <c r="BB149" i="50"/>
  <c r="AU147" i="50"/>
  <c r="BL132" i="50"/>
  <c r="BM204" i="50"/>
  <c r="F200" i="50"/>
  <c r="CA200" i="50"/>
  <c r="AM84" i="50"/>
  <c r="AF44" i="50"/>
  <c r="AV219" i="50"/>
  <c r="ET102" i="50"/>
  <c r="EA166" i="50"/>
  <c r="S117" i="50"/>
  <c r="S189" i="50"/>
  <c r="BH163" i="50"/>
  <c r="BW201" i="50"/>
  <c r="F130" i="50"/>
  <c r="ED113" i="50"/>
  <c r="ED189" i="50"/>
  <c r="W148" i="50"/>
  <c r="ET200" i="50"/>
  <c r="CS107" i="50"/>
  <c r="C114" i="50"/>
  <c r="N125" i="50"/>
  <c r="AI130" i="50"/>
  <c r="J113" i="50"/>
  <c r="X189" i="50"/>
  <c r="DJ135" i="50"/>
  <c r="AS200" i="50"/>
  <c r="M107" i="50"/>
  <c r="AU114" i="50"/>
  <c r="AR130" i="50"/>
  <c r="EQ116" i="50"/>
  <c r="I166" i="50"/>
  <c r="BH117" i="50"/>
  <c r="AT132" i="50"/>
  <c r="AB55" i="50"/>
  <c r="BH200" i="50"/>
  <c r="CO200" i="50"/>
  <c r="Z84" i="50"/>
  <c r="AT85" i="50"/>
  <c r="AJ188" i="50"/>
  <c r="AJ163" i="50"/>
  <c r="BN126" i="50"/>
  <c r="H165" i="50"/>
  <c r="AM149" i="50"/>
  <c r="V163" i="50"/>
  <c r="D114" i="50"/>
  <c r="Q81" i="50"/>
  <c r="ES113" i="50"/>
  <c r="BC189" i="50"/>
  <c r="M136" i="50"/>
  <c r="DP102" i="50"/>
  <c r="CQ107" i="50"/>
  <c r="AT107" i="50"/>
  <c r="EU136" i="50"/>
  <c r="AG81" i="50"/>
  <c r="BM108" i="50"/>
  <c r="K149" i="50"/>
  <c r="DY221" i="50"/>
  <c r="BY102" i="50"/>
  <c r="F147" i="50"/>
  <c r="AY147" i="50"/>
  <c r="AC81" i="50"/>
  <c r="AW117" i="50"/>
  <c r="C126" i="50"/>
  <c r="DO219" i="50"/>
  <c r="R201" i="50"/>
  <c r="W96" i="50"/>
  <c r="BI102" i="50"/>
  <c r="BJ96" i="50"/>
  <c r="ET90" i="50"/>
  <c r="DL90" i="50"/>
  <c r="BI136" i="50"/>
  <c r="W23" i="50"/>
  <c r="L221" i="50"/>
  <c r="CO189" i="50"/>
  <c r="S23" i="50"/>
  <c r="D96" i="50"/>
  <c r="AS147" i="50"/>
  <c r="U44" i="50"/>
  <c r="AO108" i="50"/>
  <c r="BY149" i="50"/>
  <c r="DP204" i="50"/>
  <c r="AS102" i="50"/>
  <c r="BA147" i="50"/>
  <c r="X23" i="50"/>
  <c r="H136" i="50"/>
  <c r="O85" i="50"/>
  <c r="ED112" i="50"/>
  <c r="ED166" i="50"/>
  <c r="AD204" i="50"/>
  <c r="ET163" i="50"/>
  <c r="CS117" i="50"/>
  <c r="ES92" i="50"/>
  <c r="J85" i="50"/>
  <c r="DJ165" i="50"/>
  <c r="AJ85" i="50"/>
  <c r="BK149" i="50"/>
  <c r="BN147" i="50"/>
  <c r="AP219" i="50"/>
  <c r="E163" i="50"/>
  <c r="V112" i="50"/>
  <c r="CA163" i="50"/>
  <c r="I16" i="50"/>
  <c r="AM165" i="50"/>
  <c r="AP88" i="50"/>
  <c r="AY166" i="50"/>
  <c r="EU117" i="50"/>
  <c r="BY117" i="50"/>
  <c r="DM219" i="50"/>
  <c r="U84" i="50"/>
  <c r="DO189" i="50"/>
  <c r="D163" i="50"/>
  <c r="BI201" i="50"/>
  <c r="BZ200" i="50"/>
  <c r="AW110" i="50"/>
  <c r="C136" i="50"/>
  <c r="R147" i="50"/>
  <c r="AX110" i="50"/>
  <c r="AW76" i="50"/>
  <c r="H219" i="50"/>
  <c r="DP189" i="50"/>
  <c r="Z88" i="50"/>
  <c r="DZ130" i="50"/>
  <c r="N116" i="50"/>
  <c r="DP166" i="50"/>
  <c r="R58" i="50"/>
  <c r="T132" i="50"/>
  <c r="DN165" i="50"/>
  <c r="DM132" i="50"/>
  <c r="EC189" i="50"/>
  <c r="W116" i="50"/>
  <c r="AW200" i="50"/>
  <c r="BA200" i="50"/>
  <c r="AN119" i="50"/>
  <c r="AN116" i="50"/>
  <c r="EQ114" i="50"/>
  <c r="AM106" i="50"/>
  <c r="L189" i="50"/>
  <c r="AS89" i="50"/>
  <c r="BY113" i="50"/>
  <c r="AG147" i="50"/>
  <c r="AP126" i="50"/>
  <c r="Q219" i="50"/>
  <c r="W112" i="50"/>
  <c r="AP119" i="50"/>
  <c r="BX219" i="50"/>
  <c r="S166" i="50"/>
  <c r="S58" i="50"/>
  <c r="Y85" i="50"/>
  <c r="DL163" i="50"/>
  <c r="EA130" i="50"/>
  <c r="DN149" i="50"/>
  <c r="AJ149" i="50"/>
  <c r="AF18" i="50"/>
  <c r="AP149" i="50"/>
  <c r="ED132" i="50"/>
  <c r="BD166" i="50"/>
  <c r="AO113" i="50"/>
  <c r="CR219" i="50"/>
  <c r="AF112" i="50"/>
  <c r="H103" i="50"/>
  <c r="DY117" i="50"/>
  <c r="AO117" i="50"/>
  <c r="J117" i="50"/>
  <c r="Y132" i="50"/>
  <c r="AH201" i="50"/>
  <c r="CR81" i="50"/>
  <c r="P133" i="50"/>
  <c r="DJ108" i="50"/>
  <c r="BJ116" i="50"/>
  <c r="AO149" i="50"/>
  <c r="BA107" i="50"/>
  <c r="CS219" i="50"/>
  <c r="AI102" i="50"/>
  <c r="AP84" i="50"/>
  <c r="DK219" i="50"/>
  <c r="AB189" i="50"/>
  <c r="AX85" i="50"/>
  <c r="BL108" i="50"/>
  <c r="ED90" i="50"/>
  <c r="T117" i="50"/>
  <c r="EQ188" i="50"/>
  <c r="Z90" i="50"/>
  <c r="I201" i="50"/>
  <c r="AT126" i="50"/>
  <c r="AE135" i="50"/>
  <c r="DO130" i="50"/>
  <c r="BM132" i="50"/>
  <c r="E219" i="50"/>
  <c r="AI97" i="50"/>
  <c r="BY103" i="50"/>
  <c r="ES116" i="50"/>
  <c r="CO108" i="50"/>
  <c r="AY135" i="50"/>
  <c r="X130" i="50"/>
  <c r="J132" i="50"/>
  <c r="T219" i="50"/>
  <c r="DL106" i="50"/>
  <c r="AX103" i="50"/>
  <c r="BI116" i="50"/>
  <c r="N112" i="50"/>
  <c r="V130" i="50"/>
  <c r="DM112" i="50"/>
  <c r="AG189" i="50"/>
  <c r="BN116" i="50"/>
  <c r="AC102" i="50"/>
  <c r="I113" i="50"/>
  <c r="AH103" i="50"/>
  <c r="AM90" i="50"/>
  <c r="BJ125" i="50"/>
  <c r="L16" i="50"/>
  <c r="DM117" i="50"/>
  <c r="W55" i="50"/>
  <c r="O149" i="50"/>
  <c r="BY116" i="50"/>
  <c r="CP113" i="50"/>
  <c r="AL102" i="50"/>
  <c r="AD113" i="50"/>
  <c r="BI130" i="50"/>
  <c r="G132" i="50"/>
  <c r="W219" i="50"/>
  <c r="U106" i="50"/>
  <c r="L103" i="50"/>
  <c r="DJ116" i="50"/>
  <c r="BM112" i="50"/>
  <c r="CO135" i="50"/>
  <c r="X48" i="50"/>
  <c r="DY132" i="50"/>
  <c r="Y219" i="50"/>
  <c r="AX218" i="50"/>
  <c r="AG103" i="50"/>
  <c r="DZ116" i="50"/>
  <c r="AO112" i="50"/>
  <c r="DJ130" i="50"/>
  <c r="G201" i="50"/>
  <c r="AK189" i="50"/>
  <c r="AD116" i="50"/>
  <c r="U30" i="50"/>
  <c r="Z58" i="50"/>
  <c r="ER103" i="50"/>
  <c r="AQ90" i="50"/>
  <c r="BD167" i="50"/>
  <c r="Z44" i="50"/>
  <c r="CB165" i="50"/>
  <c r="BL81" i="50"/>
  <c r="AC149" i="50"/>
  <c r="BJ107" i="50"/>
  <c r="BY112" i="50"/>
  <c r="CR163" i="50"/>
  <c r="BI108" i="50"/>
  <c r="AA130" i="50"/>
  <c r="G113" i="50"/>
  <c r="O189" i="50"/>
  <c r="ED135" i="50"/>
  <c r="AU200" i="50"/>
  <c r="AV107" i="50"/>
  <c r="AP114" i="50"/>
  <c r="P125" i="50"/>
  <c r="AQ130" i="50"/>
  <c r="DY113" i="50"/>
  <c r="EQ189" i="50"/>
  <c r="ET135" i="50"/>
  <c r="N200" i="50"/>
  <c r="U107" i="50"/>
  <c r="O116" i="50"/>
  <c r="ET81" i="50"/>
  <c r="H107" i="50"/>
  <c r="BJ166" i="50"/>
  <c r="AN117" i="50"/>
  <c r="Y113" i="50"/>
  <c r="BD85" i="50"/>
  <c r="AF200" i="50"/>
  <c r="DK102" i="50"/>
  <c r="DY130" i="50"/>
  <c r="EU90" i="50"/>
  <c r="CP93" i="50"/>
  <c r="I132" i="50"/>
  <c r="AL126" i="50"/>
  <c r="AJ165" i="50"/>
  <c r="BZ166" i="50"/>
  <c r="J22" i="50"/>
  <c r="BZ114" i="50"/>
  <c r="C81" i="50"/>
  <c r="CA108" i="50"/>
  <c r="E149" i="50"/>
  <c r="AZ221" i="50"/>
  <c r="BZ102" i="50"/>
  <c r="BC147" i="50"/>
  <c r="L147" i="50"/>
  <c r="AJ136" i="50"/>
  <c r="AE81" i="50"/>
  <c r="N108" i="50"/>
  <c r="T149" i="50"/>
  <c r="EU167" i="50"/>
  <c r="L102" i="50"/>
  <c r="BH147" i="50"/>
  <c r="AE147" i="50"/>
  <c r="DP85" i="50"/>
  <c r="W58" i="50"/>
  <c r="P89" i="50"/>
  <c r="U189" i="50"/>
  <c r="ES114" i="50"/>
  <c r="U108" i="50"/>
  <c r="DZ102" i="50"/>
  <c r="AF132" i="50"/>
  <c r="AC90" i="50"/>
  <c r="P81" i="50"/>
  <c r="AK113" i="50"/>
  <c r="ES189" i="50"/>
  <c r="U136" i="50"/>
  <c r="AQ200" i="50"/>
  <c r="AM107" i="50"/>
  <c r="AC107" i="50"/>
  <c r="AM123" i="50"/>
  <c r="DL85" i="50"/>
  <c r="AE112" i="50"/>
  <c r="AS166" i="50"/>
  <c r="AI76" i="50"/>
  <c r="R163" i="50"/>
  <c r="AJ23" i="50"/>
  <c r="CC125" i="50"/>
  <c r="AD105" i="50"/>
  <c r="BN90" i="50"/>
  <c r="ES112" i="50"/>
  <c r="ET166" i="50"/>
  <c r="BY119" i="50"/>
  <c r="AL30" i="50"/>
  <c r="CO117" i="50"/>
  <c r="U74" i="50"/>
  <c r="ES90" i="50"/>
  <c r="AC86" i="50"/>
  <c r="V113" i="50"/>
  <c r="Z126" i="50"/>
  <c r="D219" i="50"/>
  <c r="Z50" i="50"/>
  <c r="BA163" i="50"/>
  <c r="BD107" i="50"/>
  <c r="AP201" i="50"/>
  <c r="U103" i="50"/>
  <c r="Y18" i="50"/>
  <c r="V148" i="50"/>
  <c r="AJ114" i="50"/>
  <c r="N187" i="50"/>
  <c r="C20" i="50"/>
  <c r="M114" i="50"/>
  <c r="BW149" i="50"/>
  <c r="EA85" i="50"/>
  <c r="AK112" i="50"/>
  <c r="CQ166" i="50"/>
  <c r="BM119" i="50"/>
  <c r="AF163" i="50"/>
  <c r="EQ117" i="50"/>
  <c r="AT73" i="50"/>
  <c r="AR164" i="50"/>
  <c r="BL90" i="50"/>
  <c r="CA201" i="50"/>
  <c r="CA126" i="50"/>
  <c r="DY119" i="50"/>
  <c r="BJ163" i="50"/>
  <c r="AP117" i="50"/>
  <c r="AP83" i="50"/>
  <c r="DZ90" i="50"/>
  <c r="EQ97" i="50"/>
  <c r="BZ112" i="50"/>
  <c r="J126" i="50"/>
  <c r="DL219" i="50"/>
  <c r="F107" i="50"/>
  <c r="CB96" i="50"/>
  <c r="AQ107" i="50"/>
  <c r="Y107" i="50"/>
  <c r="DL103" i="50"/>
  <c r="BW90" i="50"/>
  <c r="AM136" i="50"/>
  <c r="AN107" i="50"/>
  <c r="C106" i="50"/>
  <c r="Y26" i="50"/>
  <c r="AS114" i="50"/>
  <c r="AU149" i="50"/>
  <c r="AD90" i="50"/>
  <c r="DM201" i="50"/>
  <c r="W126" i="50"/>
  <c r="R17" i="50"/>
  <c r="EA96" i="50"/>
  <c r="S165" i="50"/>
  <c r="O89" i="50"/>
  <c r="CB93" i="50"/>
  <c r="EU88" i="50"/>
  <c r="EB201" i="50"/>
  <c r="F126" i="50"/>
  <c r="DZ84" i="50"/>
  <c r="BI96" i="50"/>
  <c r="AE165" i="50"/>
  <c r="N100" i="50"/>
  <c r="EB88" i="50"/>
  <c r="AA76" i="50"/>
  <c r="BN149" i="50"/>
  <c r="R81" i="50"/>
  <c r="U149" i="50"/>
  <c r="DY84" i="50"/>
  <c r="AI113" i="50"/>
  <c r="ES165" i="50"/>
  <c r="C90" i="50"/>
  <c r="W200" i="50"/>
  <c r="AP200" i="50"/>
  <c r="AR84" i="50"/>
  <c r="AE166" i="50"/>
  <c r="M88" i="50"/>
  <c r="E81" i="50"/>
  <c r="Z147" i="50"/>
  <c r="DL126" i="50"/>
  <c r="AW88" i="50"/>
  <c r="BJ114" i="50"/>
  <c r="AC132" i="50"/>
  <c r="AN130" i="50"/>
  <c r="C132" i="50"/>
  <c r="AX219" i="50"/>
  <c r="CB218" i="50"/>
  <c r="EQ100" i="50"/>
  <c r="EA88" i="50"/>
  <c r="AN114" i="50"/>
  <c r="DK113" i="50"/>
  <c r="P130" i="50"/>
  <c r="R132" i="50"/>
  <c r="CO219" i="50"/>
  <c r="BL218" i="50"/>
  <c r="BC103" i="50"/>
  <c r="U81" i="50"/>
  <c r="AU86" i="50"/>
  <c r="BJ132" i="50"/>
  <c r="ET126" i="50"/>
  <c r="L130" i="50"/>
  <c r="DY201" i="50"/>
  <c r="BL189" i="50"/>
  <c r="U48" i="50"/>
  <c r="M103" i="50"/>
  <c r="AA44" i="50"/>
  <c r="DZ106" i="50"/>
  <c r="CP112" i="50"/>
  <c r="BW126" i="50"/>
  <c r="D130" i="50"/>
  <c r="AV130" i="50"/>
  <c r="L126" i="50"/>
  <c r="X102" i="50"/>
  <c r="BA112" i="50"/>
  <c r="DK149" i="50"/>
  <c r="BC107" i="50"/>
  <c r="H114" i="50"/>
  <c r="ED102" i="50"/>
  <c r="G84" i="50"/>
  <c r="BD117" i="50"/>
  <c r="CP117" i="50"/>
  <c r="BL166" i="50"/>
  <c r="DM165" i="50"/>
  <c r="AT219" i="50"/>
  <c r="AJ90" i="50"/>
  <c r="AM100" i="50"/>
  <c r="BW108" i="50"/>
  <c r="DY126" i="50"/>
  <c r="U219" i="50"/>
  <c r="EC100" i="50"/>
  <c r="G126" i="50"/>
  <c r="AG200" i="50"/>
  <c r="T166" i="50"/>
  <c r="AE201" i="50"/>
  <c r="K107" i="50"/>
  <c r="EQ163" i="50"/>
  <c r="ET103" i="50"/>
  <c r="F84" i="50"/>
  <c r="AT149" i="50"/>
  <c r="AK126" i="50"/>
  <c r="EC149" i="50"/>
  <c r="EA90" i="50"/>
  <c r="Q167" i="50"/>
  <c r="EQ219" i="50"/>
  <c r="CO119" i="50"/>
  <c r="EB189" i="50"/>
  <c r="AG166" i="50"/>
  <c r="J218" i="50"/>
  <c r="M201" i="50"/>
  <c r="R126" i="50"/>
  <c r="AD34" i="50"/>
  <c r="AD117" i="50"/>
  <c r="T113" i="50"/>
  <c r="C147" i="50"/>
  <c r="BJ81" i="50"/>
  <c r="BA80" i="50"/>
  <c r="K116" i="50"/>
  <c r="T58" i="50"/>
  <c r="DZ147" i="50"/>
  <c r="AZ117" i="50"/>
  <c r="DN167" i="50"/>
  <c r="CQ189" i="50"/>
  <c r="E116" i="50"/>
  <c r="AX163" i="50"/>
  <c r="Y55" i="50"/>
  <c r="AX126" i="50"/>
  <c r="DZ219" i="50"/>
  <c r="BW103" i="50"/>
  <c r="AZ113" i="50"/>
  <c r="EQ90" i="50"/>
  <c r="AT96" i="50"/>
  <c r="CO91" i="50"/>
  <c r="EB132" i="50"/>
  <c r="ED126" i="50"/>
  <c r="CB117" i="50"/>
  <c r="BX147" i="50"/>
  <c r="BN132" i="50"/>
  <c r="EU113" i="50"/>
  <c r="BM125" i="50"/>
  <c r="AB88" i="50"/>
  <c r="AR126" i="50"/>
  <c r="AE126" i="50"/>
  <c r="M43" i="9" l="1"/>
  <c r="M42" i="9"/>
  <c r="CF5" i="26"/>
  <c r="M41" i="9"/>
  <c r="Q41" i="9" s="1"/>
  <c r="E74" i="9" s="1"/>
  <c r="CF4" i="26"/>
  <c r="BN10" i="26"/>
  <c r="BN11" i="26"/>
  <c r="BN12" i="26"/>
  <c r="Z12" i="35" s="1"/>
  <c r="BT5" i="24"/>
  <c r="AQ5" i="24" s="1"/>
  <c r="R9" i="9" s="1"/>
  <c r="AG9" i="9" s="1"/>
  <c r="BN13" i="26"/>
  <c r="BT4" i="24"/>
  <c r="AQ4" i="24" s="1"/>
  <c r="R8" i="9" s="1"/>
  <c r="BN9" i="26"/>
  <c r="BN6" i="26"/>
  <c r="BN4" i="26"/>
  <c r="BN7" i="26"/>
  <c r="BN5" i="26"/>
  <c r="Z7" i="35" s="1"/>
  <c r="V7" i="35" s="1"/>
  <c r="C7" i="35" s="1"/>
  <c r="BN8" i="26"/>
  <c r="AF9" i="9"/>
  <c r="AI9" i="9"/>
  <c r="Z4" i="35"/>
  <c r="V4" i="35" s="1"/>
  <c r="C4" i="35" s="1"/>
  <c r="Z5" i="35"/>
  <c r="V5" i="35" s="1"/>
  <c r="C5" i="35" s="1"/>
  <c r="AI8" i="9"/>
  <c r="D163" i="49"/>
  <c r="N46" i="49"/>
  <c r="M31" i="43"/>
  <c r="N30" i="43"/>
  <c r="S163" i="49"/>
  <c r="CH46" i="49"/>
  <c r="D149" i="49"/>
  <c r="N32" i="49"/>
  <c r="X149" i="49"/>
  <c r="DF32" i="49"/>
  <c r="D234" i="49"/>
  <c r="V63" i="49"/>
  <c r="FA64" i="49"/>
  <c r="EF64" i="49"/>
  <c r="AD181" i="49" s="1"/>
  <c r="EA64" i="49"/>
  <c r="AA181" i="49" s="1"/>
  <c r="DE64" i="49"/>
  <c r="CJ64" i="49"/>
  <c r="T181" i="49" s="1"/>
  <c r="CE64" i="49"/>
  <c r="Q181" i="49" s="1"/>
  <c r="BI64" i="49"/>
  <c r="AN64" i="49"/>
  <c r="J181" i="49" s="1"/>
  <c r="AI64" i="49"/>
  <c r="G181" i="49" s="1"/>
  <c r="M64" i="49"/>
  <c r="FE64" i="49"/>
  <c r="EZ64" i="49"/>
  <c r="AG181" i="49" s="1"/>
  <c r="DI64" i="49"/>
  <c r="DD64" i="49"/>
  <c r="W181" i="49" s="1"/>
  <c r="BM64" i="49"/>
  <c r="BH64" i="49"/>
  <c r="M181" i="49" s="1"/>
  <c r="Q64" i="49"/>
  <c r="L64" i="49"/>
  <c r="C181" i="49" s="1"/>
  <c r="FD64" i="49"/>
  <c r="AI181" i="49" s="1"/>
  <c r="EY64" i="49"/>
  <c r="AF181" i="49" s="1"/>
  <c r="EC64" i="49"/>
  <c r="DH64" i="49"/>
  <c r="Y181" i="49" s="1"/>
  <c r="DC64" i="49"/>
  <c r="V181" i="49" s="1"/>
  <c r="CG64" i="49"/>
  <c r="BL64" i="49"/>
  <c r="O181" i="49" s="1"/>
  <c r="BG64" i="49"/>
  <c r="L181" i="49" s="1"/>
  <c r="AK64" i="49"/>
  <c r="P64" i="49"/>
  <c r="E181" i="49" s="1"/>
  <c r="K64" i="49"/>
  <c r="B181" i="49" s="1"/>
  <c r="EG64" i="49"/>
  <c r="EB64" i="49"/>
  <c r="AB181" i="49" s="1"/>
  <c r="CK64" i="49"/>
  <c r="CF64" i="49"/>
  <c r="R181" i="49" s="1"/>
  <c r="AO64" i="49"/>
  <c r="AJ64" i="49"/>
  <c r="H181" i="49" s="1"/>
  <c r="F162" i="7"/>
  <c r="N180" i="49"/>
  <c r="BJ63" i="49"/>
  <c r="N203" i="49"/>
  <c r="BR32" i="49"/>
  <c r="AH203" i="49"/>
  <c r="FJ32" i="49"/>
  <c r="AQ24" i="25"/>
  <c r="AS24" i="25" s="1"/>
  <c r="AQ4" i="25"/>
  <c r="AS4" i="25" s="1"/>
  <c r="AQ14" i="25"/>
  <c r="AS14" i="25" s="1"/>
  <c r="AH163" i="49"/>
  <c r="FB46" i="49"/>
  <c r="D217" i="49"/>
  <c r="V46" i="49"/>
  <c r="M12" i="43"/>
  <c r="N11" i="43"/>
  <c r="Z20" i="25"/>
  <c r="AB19" i="25"/>
  <c r="AC19" i="25" s="1"/>
  <c r="AA19" i="25"/>
  <c r="D27" i="32"/>
  <c r="E27" i="32" s="1"/>
  <c r="F27" i="32" s="1"/>
  <c r="E26" i="32"/>
  <c r="F26" i="32" s="1"/>
  <c r="X163" i="49"/>
  <c r="DF46" i="49"/>
  <c r="I163" i="49"/>
  <c r="AL46" i="49"/>
  <c r="AC217" i="49"/>
  <c r="EL46" i="49"/>
  <c r="AH217" i="49"/>
  <c r="FJ46" i="49"/>
  <c r="BH13" i="26"/>
  <c r="BX13" i="26"/>
  <c r="BY13" i="26"/>
  <c r="I149" i="49"/>
  <c r="AL32" i="49"/>
  <c r="AC149" i="49"/>
  <c r="ED32" i="49"/>
  <c r="D27" i="41"/>
  <c r="AC234" i="49"/>
  <c r="EL63" i="49"/>
  <c r="AH234" i="49"/>
  <c r="FJ63" i="49"/>
  <c r="D180" i="49"/>
  <c r="N63" i="49"/>
  <c r="AC180" i="49"/>
  <c r="ED63" i="49"/>
  <c r="S203" i="49"/>
  <c r="CP32" i="49"/>
  <c r="FD47" i="49"/>
  <c r="AI164" i="49" s="1"/>
  <c r="EY47" i="49"/>
  <c r="AF164" i="49" s="1"/>
  <c r="EF47" i="49"/>
  <c r="AD164" i="49" s="1"/>
  <c r="EA47" i="49"/>
  <c r="AA164" i="49" s="1"/>
  <c r="DH47" i="49"/>
  <c r="Y164" i="49" s="1"/>
  <c r="DC47" i="49"/>
  <c r="V164" i="49" s="1"/>
  <c r="CJ47" i="49"/>
  <c r="T164" i="49" s="1"/>
  <c r="CE47" i="49"/>
  <c r="Q164" i="49" s="1"/>
  <c r="BL47" i="49"/>
  <c r="O164" i="49" s="1"/>
  <c r="BG47" i="49"/>
  <c r="L164" i="49" s="1"/>
  <c r="AN47" i="49"/>
  <c r="J164" i="49" s="1"/>
  <c r="AI47" i="49"/>
  <c r="G164" i="49" s="1"/>
  <c r="P47" i="49"/>
  <c r="E164" i="49" s="1"/>
  <c r="K47" i="49"/>
  <c r="B164" i="49" s="1"/>
  <c r="FA47" i="49"/>
  <c r="EC47" i="49"/>
  <c r="DE47" i="49"/>
  <c r="CG47" i="49"/>
  <c r="BI47" i="49"/>
  <c r="AK47" i="49"/>
  <c r="M47" i="49"/>
  <c r="FE47" i="49"/>
  <c r="EZ47" i="49"/>
  <c r="AG164" i="49" s="1"/>
  <c r="EG47" i="49"/>
  <c r="EB47" i="49"/>
  <c r="AB164" i="49" s="1"/>
  <c r="DI47" i="49"/>
  <c r="DD47" i="49"/>
  <c r="W164" i="49" s="1"/>
  <c r="CK47" i="49"/>
  <c r="CF47" i="49"/>
  <c r="R164" i="49" s="1"/>
  <c r="BM47" i="49"/>
  <c r="BH47" i="49"/>
  <c r="M164" i="49" s="1"/>
  <c r="AO47" i="49"/>
  <c r="AJ47" i="49"/>
  <c r="H164" i="49" s="1"/>
  <c r="Q47" i="49"/>
  <c r="L47" i="49"/>
  <c r="C164" i="49" s="1"/>
  <c r="F145" i="7"/>
  <c r="N163" i="49"/>
  <c r="BJ46" i="49"/>
  <c r="FI47" i="49"/>
  <c r="EK47" i="49"/>
  <c r="DM47" i="49"/>
  <c r="CO47" i="49"/>
  <c r="BQ47" i="49"/>
  <c r="AS47" i="49"/>
  <c r="U47" i="49"/>
  <c r="FM47" i="49"/>
  <c r="FH47" i="49"/>
  <c r="AG218" i="49" s="1"/>
  <c r="EO47" i="49"/>
  <c r="EJ47" i="49"/>
  <c r="AB218" i="49" s="1"/>
  <c r="DQ47" i="49"/>
  <c r="DL47" i="49"/>
  <c r="W218" i="49" s="1"/>
  <c r="CS47" i="49"/>
  <c r="CN47" i="49"/>
  <c r="R218" i="49" s="1"/>
  <c r="BU47" i="49"/>
  <c r="BP47" i="49"/>
  <c r="M218" i="49" s="1"/>
  <c r="AW47" i="49"/>
  <c r="AR47" i="49"/>
  <c r="H218" i="49" s="1"/>
  <c r="Y47" i="49"/>
  <c r="T47" i="49"/>
  <c r="C218" i="49" s="1"/>
  <c r="FL47" i="49"/>
  <c r="AI218" i="49" s="1"/>
  <c r="FG47" i="49"/>
  <c r="AF218" i="49" s="1"/>
  <c r="EN47" i="49"/>
  <c r="AD218" i="49" s="1"/>
  <c r="EI47" i="49"/>
  <c r="AA218" i="49" s="1"/>
  <c r="DP47" i="49"/>
  <c r="Y218" i="49" s="1"/>
  <c r="DK47" i="49"/>
  <c r="V218" i="49" s="1"/>
  <c r="CR47" i="49"/>
  <c r="T218" i="49" s="1"/>
  <c r="CM47" i="49"/>
  <c r="Q218" i="49" s="1"/>
  <c r="BT47" i="49"/>
  <c r="O218" i="49" s="1"/>
  <c r="BO47" i="49"/>
  <c r="L218" i="49" s="1"/>
  <c r="AV47" i="49"/>
  <c r="J218" i="49" s="1"/>
  <c r="AQ47" i="49"/>
  <c r="G218" i="49" s="1"/>
  <c r="X47" i="49"/>
  <c r="E218" i="49" s="1"/>
  <c r="S47" i="49"/>
  <c r="B218" i="49" s="1"/>
  <c r="H145" i="7"/>
  <c r="S217" i="49"/>
  <c r="CP46" i="49"/>
  <c r="X217" i="49"/>
  <c r="DN46" i="49"/>
  <c r="BV14" i="26"/>
  <c r="BL14" i="26"/>
  <c r="BH14" i="26"/>
  <c r="BK14" i="26"/>
  <c r="BW14" i="26" s="1"/>
  <c r="BM13" i="26"/>
  <c r="N149" i="49"/>
  <c r="BJ32" i="49"/>
  <c r="AH149" i="49"/>
  <c r="FB32" i="49"/>
  <c r="AF13" i="25"/>
  <c r="AG13" i="25"/>
  <c r="AI12" i="25"/>
  <c r="FL64" i="49"/>
  <c r="AI235" i="49" s="1"/>
  <c r="FG64" i="49"/>
  <c r="AF235" i="49" s="1"/>
  <c r="EK64" i="49"/>
  <c r="DP64" i="49"/>
  <c r="Y235" i="49" s="1"/>
  <c r="DK64" i="49"/>
  <c r="V235" i="49" s="1"/>
  <c r="CO64" i="49"/>
  <c r="BT64" i="49"/>
  <c r="O235" i="49" s="1"/>
  <c r="BO64" i="49"/>
  <c r="L235" i="49" s="1"/>
  <c r="AS64" i="49"/>
  <c r="X64" i="49"/>
  <c r="E235" i="49" s="1"/>
  <c r="S64" i="49"/>
  <c r="B235" i="49" s="1"/>
  <c r="EO64" i="49"/>
  <c r="EJ64" i="49"/>
  <c r="AB235" i="49" s="1"/>
  <c r="CS64" i="49"/>
  <c r="CN64" i="49"/>
  <c r="R235" i="49" s="1"/>
  <c r="AW64" i="49"/>
  <c r="AR64" i="49"/>
  <c r="H235" i="49" s="1"/>
  <c r="FI64" i="49"/>
  <c r="EN64" i="49"/>
  <c r="AD235" i="49" s="1"/>
  <c r="EI64" i="49"/>
  <c r="AA235" i="49" s="1"/>
  <c r="DM64" i="49"/>
  <c r="CR64" i="49"/>
  <c r="T235" i="49" s="1"/>
  <c r="CM64" i="49"/>
  <c r="Q235" i="49" s="1"/>
  <c r="BQ64" i="49"/>
  <c r="AV64" i="49"/>
  <c r="J235" i="49" s="1"/>
  <c r="AQ64" i="49"/>
  <c r="G235" i="49" s="1"/>
  <c r="U64" i="49"/>
  <c r="FM64" i="49"/>
  <c r="FH64" i="49"/>
  <c r="AG235" i="49" s="1"/>
  <c r="DQ64" i="49"/>
  <c r="DL64" i="49"/>
  <c r="W235" i="49" s="1"/>
  <c r="BU64" i="49"/>
  <c r="BP64" i="49"/>
  <c r="M235" i="49" s="1"/>
  <c r="Y64" i="49"/>
  <c r="T64" i="49"/>
  <c r="C235" i="49" s="1"/>
  <c r="H162" i="7"/>
  <c r="S234" i="49"/>
  <c r="CP63" i="49"/>
  <c r="X234" i="49"/>
  <c r="DN63" i="49"/>
  <c r="AH180" i="49"/>
  <c r="FB63" i="49"/>
  <c r="S180" i="49"/>
  <c r="CH63" i="49"/>
  <c r="N17" i="34"/>
  <c r="M17" i="34"/>
  <c r="J18" i="34" s="1"/>
  <c r="L17" i="34"/>
  <c r="K17" i="34" s="1"/>
  <c r="D203" i="49"/>
  <c r="V32" i="49"/>
  <c r="X203" i="49"/>
  <c r="DN32" i="49"/>
  <c r="AC163" i="49"/>
  <c r="ED46" i="49"/>
  <c r="I217" i="49"/>
  <c r="AT46" i="49"/>
  <c r="N217" i="49"/>
  <c r="BR46" i="49"/>
  <c r="FA33" i="49"/>
  <c r="EC33" i="49"/>
  <c r="DE33" i="49"/>
  <c r="CG33" i="49"/>
  <c r="BI33" i="49"/>
  <c r="AK33" i="49"/>
  <c r="M33" i="49"/>
  <c r="FE33" i="49"/>
  <c r="EZ33" i="49"/>
  <c r="AG150" i="49" s="1"/>
  <c r="EG33" i="49"/>
  <c r="EB33" i="49"/>
  <c r="AB150" i="49" s="1"/>
  <c r="DI33" i="49"/>
  <c r="DD33" i="49"/>
  <c r="W150" i="49" s="1"/>
  <c r="CK33" i="49"/>
  <c r="CF33" i="49"/>
  <c r="R150" i="49" s="1"/>
  <c r="BM33" i="49"/>
  <c r="BH33" i="49"/>
  <c r="M150" i="49" s="1"/>
  <c r="AO33" i="49"/>
  <c r="AJ33" i="49"/>
  <c r="H150" i="49" s="1"/>
  <c r="Q33" i="49"/>
  <c r="L33" i="49"/>
  <c r="C150" i="49" s="1"/>
  <c r="FD33" i="49"/>
  <c r="AI150" i="49" s="1"/>
  <c r="EY33" i="49"/>
  <c r="AF150" i="49" s="1"/>
  <c r="EF33" i="49"/>
  <c r="AD150" i="49" s="1"/>
  <c r="EA33" i="49"/>
  <c r="AA150" i="49" s="1"/>
  <c r="DH33" i="49"/>
  <c r="Y150" i="49" s="1"/>
  <c r="DC33" i="49"/>
  <c r="V150" i="49" s="1"/>
  <c r="CJ33" i="49"/>
  <c r="T150" i="49" s="1"/>
  <c r="CE33" i="49"/>
  <c r="Q150" i="49" s="1"/>
  <c r="BL33" i="49"/>
  <c r="O150" i="49" s="1"/>
  <c r="BG33" i="49"/>
  <c r="L150" i="49" s="1"/>
  <c r="AN33" i="49"/>
  <c r="J150" i="49" s="1"/>
  <c r="AI33" i="49"/>
  <c r="G150" i="49" s="1"/>
  <c r="P33" i="49"/>
  <c r="E150" i="49" s="1"/>
  <c r="K33" i="49"/>
  <c r="B150" i="49" s="1"/>
  <c r="F131" i="7"/>
  <c r="S149" i="49"/>
  <c r="CH32" i="49"/>
  <c r="H27" i="41"/>
  <c r="I234" i="49"/>
  <c r="AT63" i="49"/>
  <c r="N234" i="49"/>
  <c r="BR63" i="49"/>
  <c r="N19" i="43"/>
  <c r="M20" i="43"/>
  <c r="V16" i="26"/>
  <c r="Y16" i="26"/>
  <c r="T17" i="26"/>
  <c r="U17" i="26" s="1"/>
  <c r="W16" i="26"/>
  <c r="S16" i="26"/>
  <c r="X180" i="49"/>
  <c r="DF63" i="49"/>
  <c r="I180" i="49"/>
  <c r="AL63" i="49"/>
  <c r="FL33" i="49"/>
  <c r="AI204" i="49" s="1"/>
  <c r="FG33" i="49"/>
  <c r="AF204" i="49" s="1"/>
  <c r="EN33" i="49"/>
  <c r="AD204" i="49" s="1"/>
  <c r="EI33" i="49"/>
  <c r="AA204" i="49" s="1"/>
  <c r="DP33" i="49"/>
  <c r="Y204" i="49" s="1"/>
  <c r="DK33" i="49"/>
  <c r="V204" i="49" s="1"/>
  <c r="CR33" i="49"/>
  <c r="T204" i="49" s="1"/>
  <c r="CM33" i="49"/>
  <c r="Q204" i="49" s="1"/>
  <c r="BT33" i="49"/>
  <c r="O204" i="49" s="1"/>
  <c r="BO33" i="49"/>
  <c r="L204" i="49" s="1"/>
  <c r="AV33" i="49"/>
  <c r="J204" i="49" s="1"/>
  <c r="AQ33" i="49"/>
  <c r="G204" i="49" s="1"/>
  <c r="X33" i="49"/>
  <c r="E204" i="49" s="1"/>
  <c r="S33" i="49"/>
  <c r="B204" i="49" s="1"/>
  <c r="FI33" i="49"/>
  <c r="EK33" i="49"/>
  <c r="DM33" i="49"/>
  <c r="CO33" i="49"/>
  <c r="BQ33" i="49"/>
  <c r="AS33" i="49"/>
  <c r="U33" i="49"/>
  <c r="FM33" i="49"/>
  <c r="FH33" i="49"/>
  <c r="AG204" i="49" s="1"/>
  <c r="EO33" i="49"/>
  <c r="EJ33" i="49"/>
  <c r="AB204" i="49" s="1"/>
  <c r="DQ33" i="49"/>
  <c r="DL33" i="49"/>
  <c r="W204" i="49" s="1"/>
  <c r="CS33" i="49"/>
  <c r="CN33" i="49"/>
  <c r="R204" i="49" s="1"/>
  <c r="BU33" i="49"/>
  <c r="BP33" i="49"/>
  <c r="M204" i="49" s="1"/>
  <c r="AW33" i="49"/>
  <c r="AR33" i="49"/>
  <c r="H204" i="49" s="1"/>
  <c r="Y33" i="49"/>
  <c r="T33" i="49"/>
  <c r="C204" i="49" s="1"/>
  <c r="H131" i="7"/>
  <c r="I203" i="49"/>
  <c r="AT32" i="49"/>
  <c r="AC203" i="49"/>
  <c r="EL32" i="49"/>
  <c r="Z6" i="35" l="1"/>
  <c r="V6" i="35" s="1"/>
  <c r="C6" i="35" s="1"/>
  <c r="AG8" i="9"/>
  <c r="AF8" i="9"/>
  <c r="Z10" i="35"/>
  <c r="V10" i="35" s="1"/>
  <c r="C10" i="35" s="1"/>
  <c r="Z9" i="35"/>
  <c r="V9" i="35" s="1"/>
  <c r="C9" i="35" s="1"/>
  <c r="Z8" i="35"/>
  <c r="V8" i="35" s="1"/>
  <c r="C8" i="35" s="1"/>
  <c r="AM9" i="9"/>
  <c r="AL9" i="9"/>
  <c r="AK9" i="9"/>
  <c r="AM8" i="9"/>
  <c r="AL8" i="9"/>
  <c r="AK8" i="9"/>
  <c r="AR9" i="9"/>
  <c r="D75" i="9"/>
  <c r="D74" i="9"/>
  <c r="AR8" i="9"/>
  <c r="S204" i="49"/>
  <c r="CP33" i="49"/>
  <c r="J27" i="41"/>
  <c r="L27" i="41" s="1"/>
  <c r="I27" i="41"/>
  <c r="K27" i="41" s="1"/>
  <c r="D150" i="49"/>
  <c r="N33" i="49"/>
  <c r="X150" i="49"/>
  <c r="DF33" i="49"/>
  <c r="FI65" i="49"/>
  <c r="EN65" i="49"/>
  <c r="AD236" i="49" s="1"/>
  <c r="EI65" i="49"/>
  <c r="AA236" i="49" s="1"/>
  <c r="DM65" i="49"/>
  <c r="CR65" i="49"/>
  <c r="T236" i="49" s="1"/>
  <c r="CM65" i="49"/>
  <c r="Q236" i="49" s="1"/>
  <c r="BQ65" i="49"/>
  <c r="AV65" i="49"/>
  <c r="J236" i="49" s="1"/>
  <c r="AQ65" i="49"/>
  <c r="G236" i="49" s="1"/>
  <c r="U65" i="49"/>
  <c r="FM65" i="49"/>
  <c r="FH65" i="49"/>
  <c r="AG236" i="49" s="1"/>
  <c r="DQ65" i="49"/>
  <c r="DL65" i="49"/>
  <c r="W236" i="49" s="1"/>
  <c r="BU65" i="49"/>
  <c r="BP65" i="49"/>
  <c r="M236" i="49" s="1"/>
  <c r="Y65" i="49"/>
  <c r="T65" i="49"/>
  <c r="C236" i="49" s="1"/>
  <c r="FL65" i="49"/>
  <c r="AI236" i="49" s="1"/>
  <c r="FG65" i="49"/>
  <c r="AF236" i="49" s="1"/>
  <c r="EK65" i="49"/>
  <c r="DP65" i="49"/>
  <c r="Y236" i="49" s="1"/>
  <c r="DK65" i="49"/>
  <c r="V236" i="49" s="1"/>
  <c r="CO65" i="49"/>
  <c r="BT65" i="49"/>
  <c r="O236" i="49" s="1"/>
  <c r="BO65" i="49"/>
  <c r="L236" i="49" s="1"/>
  <c r="AS65" i="49"/>
  <c r="X65" i="49"/>
  <c r="E236" i="49" s="1"/>
  <c r="S65" i="49"/>
  <c r="B236" i="49" s="1"/>
  <c r="EO65" i="49"/>
  <c r="EJ65" i="49"/>
  <c r="AB236" i="49" s="1"/>
  <c r="CS65" i="49"/>
  <c r="CN65" i="49"/>
  <c r="R236" i="49" s="1"/>
  <c r="AW65" i="49"/>
  <c r="AR65" i="49"/>
  <c r="H236" i="49" s="1"/>
  <c r="H163" i="7"/>
  <c r="N235" i="49"/>
  <c r="BR64" i="49"/>
  <c r="BX14" i="26"/>
  <c r="BY14" i="26"/>
  <c r="FI48" i="49"/>
  <c r="EK48" i="49"/>
  <c r="DM48" i="49"/>
  <c r="CO48" i="49"/>
  <c r="BQ48" i="49"/>
  <c r="AS48" i="49"/>
  <c r="U48" i="49"/>
  <c r="FM48" i="49"/>
  <c r="FH48" i="49"/>
  <c r="AG219" i="49" s="1"/>
  <c r="EO48" i="49"/>
  <c r="EJ48" i="49"/>
  <c r="AB219" i="49" s="1"/>
  <c r="DQ48" i="49"/>
  <c r="DL48" i="49"/>
  <c r="W219" i="49" s="1"/>
  <c r="CS48" i="49"/>
  <c r="CN48" i="49"/>
  <c r="R219" i="49" s="1"/>
  <c r="BU48" i="49"/>
  <c r="BP48" i="49"/>
  <c r="M219" i="49" s="1"/>
  <c r="AW48" i="49"/>
  <c r="AR48" i="49"/>
  <c r="H219" i="49" s="1"/>
  <c r="Y48" i="49"/>
  <c r="T48" i="49"/>
  <c r="C219" i="49" s="1"/>
  <c r="FL48" i="49"/>
  <c r="AI219" i="49" s="1"/>
  <c r="FG48" i="49"/>
  <c r="AF219" i="49" s="1"/>
  <c r="EN48" i="49"/>
  <c r="AD219" i="49" s="1"/>
  <c r="EI48" i="49"/>
  <c r="AA219" i="49" s="1"/>
  <c r="DP48" i="49"/>
  <c r="Y219" i="49" s="1"/>
  <c r="DK48" i="49"/>
  <c r="V219" i="49" s="1"/>
  <c r="CR48" i="49"/>
  <c r="T219" i="49" s="1"/>
  <c r="CM48" i="49"/>
  <c r="Q219" i="49" s="1"/>
  <c r="BT48" i="49"/>
  <c r="O219" i="49" s="1"/>
  <c r="BO48" i="49"/>
  <c r="L219" i="49" s="1"/>
  <c r="AV48" i="49"/>
  <c r="J219" i="49" s="1"/>
  <c r="AQ48" i="49"/>
  <c r="G219" i="49" s="1"/>
  <c r="X48" i="49"/>
  <c r="E219" i="49" s="1"/>
  <c r="S48" i="49"/>
  <c r="B219" i="49" s="1"/>
  <c r="H146" i="7"/>
  <c r="S218" i="49"/>
  <c r="CP47" i="49"/>
  <c r="S164" i="49"/>
  <c r="CH47" i="49"/>
  <c r="E27" i="41"/>
  <c r="B28" i="41" s="1"/>
  <c r="Z21" i="25"/>
  <c r="AB20" i="25"/>
  <c r="AC20" i="25" s="1"/>
  <c r="AA20" i="25"/>
  <c r="FD65" i="49"/>
  <c r="AI182" i="49" s="1"/>
  <c r="EY65" i="49"/>
  <c r="AF182" i="49" s="1"/>
  <c r="EC65" i="49"/>
  <c r="DH65" i="49"/>
  <c r="Y182" i="49" s="1"/>
  <c r="DC65" i="49"/>
  <c r="V182" i="49" s="1"/>
  <c r="CG65" i="49"/>
  <c r="BL65" i="49"/>
  <c r="O182" i="49" s="1"/>
  <c r="BG65" i="49"/>
  <c r="L182" i="49" s="1"/>
  <c r="AK65" i="49"/>
  <c r="P65" i="49"/>
  <c r="E182" i="49" s="1"/>
  <c r="K65" i="49"/>
  <c r="B182" i="49" s="1"/>
  <c r="EG65" i="49"/>
  <c r="EB65" i="49"/>
  <c r="AB182" i="49" s="1"/>
  <c r="CK65" i="49"/>
  <c r="CF65" i="49"/>
  <c r="R182" i="49" s="1"/>
  <c r="AO65" i="49"/>
  <c r="AJ65" i="49"/>
  <c r="H182" i="49" s="1"/>
  <c r="FA65" i="49"/>
  <c r="EF65" i="49"/>
  <c r="AD182" i="49" s="1"/>
  <c r="EA65" i="49"/>
  <c r="AA182" i="49" s="1"/>
  <c r="DE65" i="49"/>
  <c r="CJ65" i="49"/>
  <c r="T182" i="49" s="1"/>
  <c r="CE65" i="49"/>
  <c r="Q182" i="49" s="1"/>
  <c r="BI65" i="49"/>
  <c r="AN65" i="49"/>
  <c r="J182" i="49" s="1"/>
  <c r="AI65" i="49"/>
  <c r="G182" i="49" s="1"/>
  <c r="M65" i="49"/>
  <c r="FE65" i="49"/>
  <c r="EZ65" i="49"/>
  <c r="AG182" i="49" s="1"/>
  <c r="DI65" i="49"/>
  <c r="DD65" i="49"/>
  <c r="W182" i="49" s="1"/>
  <c r="BM65" i="49"/>
  <c r="BH65" i="49"/>
  <c r="M182" i="49" s="1"/>
  <c r="Q65" i="49"/>
  <c r="L65" i="49"/>
  <c r="C182" i="49" s="1"/>
  <c r="F163" i="7"/>
  <c r="S181" i="49"/>
  <c r="CH64" i="49"/>
  <c r="X181" i="49"/>
  <c r="DF64" i="49"/>
  <c r="N31" i="43"/>
  <c r="M32" i="43"/>
  <c r="X204" i="49"/>
  <c r="DN33" i="49"/>
  <c r="I204" i="49"/>
  <c r="AT33" i="49"/>
  <c r="AC204" i="49"/>
  <c r="EL33" i="49"/>
  <c r="I150" i="49"/>
  <c r="AL33" i="49"/>
  <c r="AC150" i="49"/>
  <c r="ED33" i="49"/>
  <c r="D235" i="49"/>
  <c r="V64" i="49"/>
  <c r="AC235" i="49"/>
  <c r="EL64" i="49"/>
  <c r="AE13" i="25"/>
  <c r="BO14" i="26"/>
  <c r="BI15" i="26"/>
  <c r="BJ15" i="26" s="1"/>
  <c r="BM14" i="26"/>
  <c r="BN14" i="26"/>
  <c r="D218" i="49"/>
  <c r="V47" i="49"/>
  <c r="X218" i="49"/>
  <c r="DN47" i="49"/>
  <c r="D164" i="49"/>
  <c r="N47" i="49"/>
  <c r="X164" i="49"/>
  <c r="DF47" i="49"/>
  <c r="I181" i="49"/>
  <c r="AL64" i="49"/>
  <c r="N181" i="49"/>
  <c r="BJ64" i="49"/>
  <c r="D204" i="49"/>
  <c r="V33" i="49"/>
  <c r="FL34" i="49"/>
  <c r="AI205" i="49" s="1"/>
  <c r="FG34" i="49"/>
  <c r="AF205" i="49" s="1"/>
  <c r="EN34" i="49"/>
  <c r="AD205" i="49" s="1"/>
  <c r="EI34" i="49"/>
  <c r="AA205" i="49" s="1"/>
  <c r="DP34" i="49"/>
  <c r="Y205" i="49" s="1"/>
  <c r="DK34" i="49"/>
  <c r="V205" i="49" s="1"/>
  <c r="CR34" i="49"/>
  <c r="T205" i="49" s="1"/>
  <c r="CM34" i="49"/>
  <c r="Q205" i="49" s="1"/>
  <c r="BT34" i="49"/>
  <c r="O205" i="49" s="1"/>
  <c r="BO34" i="49"/>
  <c r="L205" i="49" s="1"/>
  <c r="AV34" i="49"/>
  <c r="J205" i="49" s="1"/>
  <c r="AQ34" i="49"/>
  <c r="G205" i="49" s="1"/>
  <c r="X34" i="49"/>
  <c r="E205" i="49" s="1"/>
  <c r="S34" i="49"/>
  <c r="B205" i="49" s="1"/>
  <c r="FI34" i="49"/>
  <c r="EK34" i="49"/>
  <c r="DM34" i="49"/>
  <c r="CO34" i="49"/>
  <c r="BQ34" i="49"/>
  <c r="AS34" i="49"/>
  <c r="U34" i="49"/>
  <c r="FM34" i="49"/>
  <c r="FH34" i="49"/>
  <c r="AG205" i="49" s="1"/>
  <c r="EO34" i="49"/>
  <c r="EJ34" i="49"/>
  <c r="AB205" i="49" s="1"/>
  <c r="DQ34" i="49"/>
  <c r="DL34" i="49"/>
  <c r="W205" i="49" s="1"/>
  <c r="CS34" i="49"/>
  <c r="CN34" i="49"/>
  <c r="R205" i="49" s="1"/>
  <c r="BU34" i="49"/>
  <c r="BP34" i="49"/>
  <c r="M205" i="49" s="1"/>
  <c r="AW34" i="49"/>
  <c r="AR34" i="49"/>
  <c r="H205" i="49" s="1"/>
  <c r="Y34" i="49"/>
  <c r="T34" i="49"/>
  <c r="C205" i="49" s="1"/>
  <c r="H132" i="7"/>
  <c r="N204" i="49"/>
  <c r="BR33" i="49"/>
  <c r="AH204" i="49"/>
  <c r="FJ33" i="49"/>
  <c r="M21" i="43"/>
  <c r="N20" i="43"/>
  <c r="N150" i="49"/>
  <c r="BJ33" i="49"/>
  <c r="AH150" i="49"/>
  <c r="FB33" i="49"/>
  <c r="M18" i="34"/>
  <c r="J19" i="34" s="1"/>
  <c r="L18" i="34"/>
  <c r="K18" i="34" s="1"/>
  <c r="AH235" i="49"/>
  <c r="FJ64" i="49"/>
  <c r="S235" i="49"/>
  <c r="CP64" i="49"/>
  <c r="AH13" i="25"/>
  <c r="AI13" i="25" s="1"/>
  <c r="AJ13" i="25"/>
  <c r="BS14" i="26"/>
  <c r="BP14" i="26"/>
  <c r="BQ14" i="26"/>
  <c r="BR14" i="26"/>
  <c r="I218" i="49"/>
  <c r="AT47" i="49"/>
  <c r="AC218" i="49"/>
  <c r="EL47" i="49"/>
  <c r="FD48" i="49"/>
  <c r="AI165" i="49" s="1"/>
  <c r="EY48" i="49"/>
  <c r="AF165" i="49" s="1"/>
  <c r="EF48" i="49"/>
  <c r="AD165" i="49" s="1"/>
  <c r="EA48" i="49"/>
  <c r="AA165" i="49" s="1"/>
  <c r="DH48" i="49"/>
  <c r="Y165" i="49" s="1"/>
  <c r="DC48" i="49"/>
  <c r="V165" i="49" s="1"/>
  <c r="CJ48" i="49"/>
  <c r="T165" i="49" s="1"/>
  <c r="CE48" i="49"/>
  <c r="Q165" i="49" s="1"/>
  <c r="BL48" i="49"/>
  <c r="O165" i="49" s="1"/>
  <c r="BG48" i="49"/>
  <c r="L165" i="49" s="1"/>
  <c r="AN48" i="49"/>
  <c r="J165" i="49" s="1"/>
  <c r="AI48" i="49"/>
  <c r="G165" i="49" s="1"/>
  <c r="P48" i="49"/>
  <c r="E165" i="49" s="1"/>
  <c r="K48" i="49"/>
  <c r="B165" i="49" s="1"/>
  <c r="FA48" i="49"/>
  <c r="EC48" i="49"/>
  <c r="DE48" i="49"/>
  <c r="CG48" i="49"/>
  <c r="BI48" i="49"/>
  <c r="AK48" i="49"/>
  <c r="M48" i="49"/>
  <c r="FE48" i="49"/>
  <c r="EZ48" i="49"/>
  <c r="AG165" i="49" s="1"/>
  <c r="EG48" i="49"/>
  <c r="EB48" i="49"/>
  <c r="AB165" i="49" s="1"/>
  <c r="DI48" i="49"/>
  <c r="DD48" i="49"/>
  <c r="W165" i="49" s="1"/>
  <c r="CK48" i="49"/>
  <c r="CF48" i="49"/>
  <c r="R165" i="49" s="1"/>
  <c r="BM48" i="49"/>
  <c r="BH48" i="49"/>
  <c r="M165" i="49" s="1"/>
  <c r="AO48" i="49"/>
  <c r="AJ48" i="49"/>
  <c r="H165" i="49" s="1"/>
  <c r="Q48" i="49"/>
  <c r="L48" i="49"/>
  <c r="C165" i="49" s="1"/>
  <c r="F146" i="7"/>
  <c r="I164" i="49"/>
  <c r="AL47" i="49"/>
  <c r="AC164" i="49"/>
  <c r="ED47" i="49"/>
  <c r="M13" i="43"/>
  <c r="N12" i="43"/>
  <c r="D181" i="49"/>
  <c r="N64" i="49"/>
  <c r="V17" i="26"/>
  <c r="Y17" i="26"/>
  <c r="T18" i="26"/>
  <c r="U18" i="26" s="1"/>
  <c r="W17" i="26"/>
  <c r="S17" i="26"/>
  <c r="FA34" i="49"/>
  <c r="EC34" i="49"/>
  <c r="DE34" i="49"/>
  <c r="CG34" i="49"/>
  <c r="BI34" i="49"/>
  <c r="AK34" i="49"/>
  <c r="M34" i="49"/>
  <c r="FE34" i="49"/>
  <c r="EZ34" i="49"/>
  <c r="AG151" i="49" s="1"/>
  <c r="EG34" i="49"/>
  <c r="EB34" i="49"/>
  <c r="AB151" i="49" s="1"/>
  <c r="DI34" i="49"/>
  <c r="DD34" i="49"/>
  <c r="W151" i="49" s="1"/>
  <c r="CK34" i="49"/>
  <c r="CF34" i="49"/>
  <c r="R151" i="49" s="1"/>
  <c r="BM34" i="49"/>
  <c r="BH34" i="49"/>
  <c r="M151" i="49" s="1"/>
  <c r="AO34" i="49"/>
  <c r="AJ34" i="49"/>
  <c r="H151" i="49" s="1"/>
  <c r="Q34" i="49"/>
  <c r="L34" i="49"/>
  <c r="C151" i="49" s="1"/>
  <c r="FD34" i="49"/>
  <c r="AI151" i="49" s="1"/>
  <c r="EY34" i="49"/>
  <c r="AF151" i="49" s="1"/>
  <c r="EF34" i="49"/>
  <c r="AD151" i="49" s="1"/>
  <c r="EA34" i="49"/>
  <c r="AA151" i="49" s="1"/>
  <c r="DH34" i="49"/>
  <c r="Y151" i="49" s="1"/>
  <c r="DC34" i="49"/>
  <c r="V151" i="49" s="1"/>
  <c r="CJ34" i="49"/>
  <c r="T151" i="49" s="1"/>
  <c r="CE34" i="49"/>
  <c r="Q151" i="49" s="1"/>
  <c r="BL34" i="49"/>
  <c r="O151" i="49" s="1"/>
  <c r="BG34" i="49"/>
  <c r="L151" i="49" s="1"/>
  <c r="AN34" i="49"/>
  <c r="J151" i="49" s="1"/>
  <c r="AI34" i="49"/>
  <c r="G151" i="49" s="1"/>
  <c r="P34" i="49"/>
  <c r="E151" i="49" s="1"/>
  <c r="K34" i="49"/>
  <c r="B151" i="49" s="1"/>
  <c r="F132" i="7"/>
  <c r="S150" i="49"/>
  <c r="CH33" i="49"/>
  <c r="X235" i="49"/>
  <c r="DN64" i="49"/>
  <c r="I235" i="49"/>
  <c r="AT64" i="49"/>
  <c r="BT14" i="26"/>
  <c r="BU14" i="26"/>
  <c r="N218" i="49"/>
  <c r="BR47" i="49"/>
  <c r="AH218" i="49"/>
  <c r="FJ47" i="49"/>
  <c r="N164" i="49"/>
  <c r="BJ47" i="49"/>
  <c r="AH164" i="49"/>
  <c r="FB47" i="49"/>
  <c r="AC181" i="49"/>
  <c r="ED64" i="49"/>
  <c r="AH181" i="49"/>
  <c r="FB64" i="49"/>
  <c r="D151" i="49" l="1"/>
  <c r="N34" i="49"/>
  <c r="X151" i="49"/>
  <c r="DF34" i="49"/>
  <c r="FD49" i="49"/>
  <c r="AI166" i="49" s="1"/>
  <c r="EY49" i="49"/>
  <c r="AF166" i="49" s="1"/>
  <c r="EF49" i="49"/>
  <c r="AD166" i="49" s="1"/>
  <c r="EA49" i="49"/>
  <c r="AA166" i="49" s="1"/>
  <c r="DH49" i="49"/>
  <c r="Y166" i="49" s="1"/>
  <c r="DC49" i="49"/>
  <c r="V166" i="49" s="1"/>
  <c r="CJ49" i="49"/>
  <c r="T166" i="49" s="1"/>
  <c r="CE49" i="49"/>
  <c r="Q166" i="49" s="1"/>
  <c r="BL49" i="49"/>
  <c r="O166" i="49" s="1"/>
  <c r="BG49" i="49"/>
  <c r="L166" i="49" s="1"/>
  <c r="AN49" i="49"/>
  <c r="J166" i="49" s="1"/>
  <c r="AI49" i="49"/>
  <c r="G166" i="49" s="1"/>
  <c r="P49" i="49"/>
  <c r="E166" i="49" s="1"/>
  <c r="K49" i="49"/>
  <c r="B166" i="49" s="1"/>
  <c r="FA49" i="49"/>
  <c r="EC49" i="49"/>
  <c r="DE49" i="49"/>
  <c r="CG49" i="49"/>
  <c r="BI49" i="49"/>
  <c r="AK49" i="49"/>
  <c r="M49" i="49"/>
  <c r="FE49" i="49"/>
  <c r="EZ49" i="49"/>
  <c r="AG166" i="49" s="1"/>
  <c r="EG49" i="49"/>
  <c r="EB49" i="49"/>
  <c r="AB166" i="49" s="1"/>
  <c r="DI49" i="49"/>
  <c r="DD49" i="49"/>
  <c r="W166" i="49" s="1"/>
  <c r="CK49" i="49"/>
  <c r="CF49" i="49"/>
  <c r="R166" i="49" s="1"/>
  <c r="BM49" i="49"/>
  <c r="BH49" i="49"/>
  <c r="M166" i="49" s="1"/>
  <c r="AO49" i="49"/>
  <c r="AJ49" i="49"/>
  <c r="H166" i="49" s="1"/>
  <c r="Q49" i="49"/>
  <c r="L49" i="49"/>
  <c r="C166" i="49" s="1"/>
  <c r="F147" i="7"/>
  <c r="I165" i="49"/>
  <c r="AL48" i="49"/>
  <c r="AC165" i="49"/>
  <c r="ED48" i="49"/>
  <c r="L19" i="34"/>
  <c r="K19" i="34" s="1"/>
  <c r="N19" i="34"/>
  <c r="M19" i="34"/>
  <c r="J20" i="34" s="1"/>
  <c r="N205" i="49"/>
  <c r="BR34" i="49"/>
  <c r="AH205" i="49"/>
  <c r="FJ34" i="49"/>
  <c r="D182" i="49"/>
  <c r="N65" i="49"/>
  <c r="AC182" i="49"/>
  <c r="ED65" i="49"/>
  <c r="FI49" i="49"/>
  <c r="EK49" i="49"/>
  <c r="DM49" i="49"/>
  <c r="CO49" i="49"/>
  <c r="BQ49" i="49"/>
  <c r="AS49" i="49"/>
  <c r="U49" i="49"/>
  <c r="FM49" i="49"/>
  <c r="FH49" i="49"/>
  <c r="AG220" i="49" s="1"/>
  <c r="EO49" i="49"/>
  <c r="EJ49" i="49"/>
  <c r="AB220" i="49" s="1"/>
  <c r="DQ49" i="49"/>
  <c r="DL49" i="49"/>
  <c r="W220" i="49" s="1"/>
  <c r="CS49" i="49"/>
  <c r="CN49" i="49"/>
  <c r="R220" i="49" s="1"/>
  <c r="BU49" i="49"/>
  <c r="BP49" i="49"/>
  <c r="M220" i="49" s="1"/>
  <c r="AW49" i="49"/>
  <c r="AR49" i="49"/>
  <c r="H220" i="49" s="1"/>
  <c r="Y49" i="49"/>
  <c r="T49" i="49"/>
  <c r="C220" i="49" s="1"/>
  <c r="FL49" i="49"/>
  <c r="AI220" i="49" s="1"/>
  <c r="FG49" i="49"/>
  <c r="AF220" i="49" s="1"/>
  <c r="EN49" i="49"/>
  <c r="AD220" i="49" s="1"/>
  <c r="EI49" i="49"/>
  <c r="AA220" i="49" s="1"/>
  <c r="DP49" i="49"/>
  <c r="Y220" i="49" s="1"/>
  <c r="DK49" i="49"/>
  <c r="V220" i="49" s="1"/>
  <c r="CR49" i="49"/>
  <c r="T220" i="49" s="1"/>
  <c r="CM49" i="49"/>
  <c r="Q220" i="49" s="1"/>
  <c r="BT49" i="49"/>
  <c r="O220" i="49" s="1"/>
  <c r="BO49" i="49"/>
  <c r="L220" i="49" s="1"/>
  <c r="AV49" i="49"/>
  <c r="J220" i="49" s="1"/>
  <c r="AQ49" i="49"/>
  <c r="G220" i="49" s="1"/>
  <c r="X49" i="49"/>
  <c r="E220" i="49" s="1"/>
  <c r="S49" i="49"/>
  <c r="B220" i="49" s="1"/>
  <c r="H147" i="7"/>
  <c r="S219" i="49"/>
  <c r="CP48" i="49"/>
  <c r="FL66" i="49"/>
  <c r="AI237" i="49" s="1"/>
  <c r="FG66" i="49"/>
  <c r="AF237" i="49" s="1"/>
  <c r="EK66" i="49"/>
  <c r="DP66" i="49"/>
  <c r="Y237" i="49" s="1"/>
  <c r="DK66" i="49"/>
  <c r="V237" i="49" s="1"/>
  <c r="CO66" i="49"/>
  <c r="BT66" i="49"/>
  <c r="O237" i="49" s="1"/>
  <c r="BO66" i="49"/>
  <c r="L237" i="49" s="1"/>
  <c r="AS66" i="49"/>
  <c r="X66" i="49"/>
  <c r="E237" i="49" s="1"/>
  <c r="S66" i="49"/>
  <c r="B237" i="49" s="1"/>
  <c r="EO66" i="49"/>
  <c r="EJ66" i="49"/>
  <c r="AB237" i="49" s="1"/>
  <c r="CS66" i="49"/>
  <c r="CN66" i="49"/>
  <c r="R237" i="49" s="1"/>
  <c r="AW66" i="49"/>
  <c r="AR66" i="49"/>
  <c r="H237" i="49" s="1"/>
  <c r="FI66" i="49"/>
  <c r="EN66" i="49"/>
  <c r="AD237" i="49" s="1"/>
  <c r="EI66" i="49"/>
  <c r="AA237" i="49" s="1"/>
  <c r="DM66" i="49"/>
  <c r="CR66" i="49"/>
  <c r="T237" i="49" s="1"/>
  <c r="CM66" i="49"/>
  <c r="Q237" i="49" s="1"/>
  <c r="BQ66" i="49"/>
  <c r="AV66" i="49"/>
  <c r="J237" i="49" s="1"/>
  <c r="AQ66" i="49"/>
  <c r="G237" i="49" s="1"/>
  <c r="U66" i="49"/>
  <c r="FM66" i="49"/>
  <c r="FH66" i="49"/>
  <c r="AG237" i="49" s="1"/>
  <c r="DQ66" i="49"/>
  <c r="DL66" i="49"/>
  <c r="W237" i="49" s="1"/>
  <c r="BU66" i="49"/>
  <c r="BP66" i="49"/>
  <c r="M237" i="49" s="1"/>
  <c r="Y66" i="49"/>
  <c r="T66" i="49"/>
  <c r="C237" i="49" s="1"/>
  <c r="H164" i="7"/>
  <c r="S236" i="49"/>
  <c r="CP65" i="49"/>
  <c r="X236" i="49"/>
  <c r="DN65" i="49"/>
  <c r="I151" i="49"/>
  <c r="AL34" i="49"/>
  <c r="AC151" i="49"/>
  <c r="ED34" i="49"/>
  <c r="V18" i="26"/>
  <c r="T19" i="26"/>
  <c r="U19" i="26" s="1"/>
  <c r="W18" i="26"/>
  <c r="Y18" i="26" s="1"/>
  <c r="S18" i="26"/>
  <c r="N165" i="49"/>
  <c r="BJ48" i="49"/>
  <c r="AH165" i="49"/>
  <c r="FB48" i="49"/>
  <c r="S205" i="49"/>
  <c r="CP34" i="49"/>
  <c r="N32" i="43"/>
  <c r="M33" i="43"/>
  <c r="AH182" i="49"/>
  <c r="FB65" i="49"/>
  <c r="S182" i="49"/>
  <c r="CH65" i="49"/>
  <c r="Z22" i="25"/>
  <c r="AB21" i="25"/>
  <c r="AC21" i="25" s="1"/>
  <c r="AA21" i="25"/>
  <c r="D219" i="49"/>
  <c r="V48" i="49"/>
  <c r="X219" i="49"/>
  <c r="DN48" i="49"/>
  <c r="I236" i="49"/>
  <c r="AT65" i="49"/>
  <c r="N236" i="49"/>
  <c r="BR65" i="49"/>
  <c r="N151" i="49"/>
  <c r="BJ34" i="49"/>
  <c r="AH151" i="49"/>
  <c r="FB34" i="49"/>
  <c r="S165" i="49"/>
  <c r="CH48" i="49"/>
  <c r="M22" i="43"/>
  <c r="N21" i="43"/>
  <c r="D205" i="49"/>
  <c r="V34" i="49"/>
  <c r="X205" i="49"/>
  <c r="DN34" i="49"/>
  <c r="X182" i="49"/>
  <c r="DF65" i="49"/>
  <c r="I182" i="49"/>
  <c r="AL65" i="49"/>
  <c r="I219" i="49"/>
  <c r="AT48" i="49"/>
  <c r="AC219" i="49"/>
  <c r="EL48" i="49"/>
  <c r="D236" i="49"/>
  <c r="V65" i="49"/>
  <c r="FA35" i="49"/>
  <c r="EC35" i="49"/>
  <c r="DE35" i="49"/>
  <c r="CG35" i="49"/>
  <c r="BI35" i="49"/>
  <c r="AK35" i="49"/>
  <c r="M35" i="49"/>
  <c r="FE35" i="49"/>
  <c r="EZ35" i="49"/>
  <c r="AG152" i="49" s="1"/>
  <c r="EG35" i="49"/>
  <c r="EB35" i="49"/>
  <c r="AB152" i="49" s="1"/>
  <c r="DI35" i="49"/>
  <c r="DD35" i="49"/>
  <c r="W152" i="49" s="1"/>
  <c r="CK35" i="49"/>
  <c r="CF35" i="49"/>
  <c r="R152" i="49" s="1"/>
  <c r="BM35" i="49"/>
  <c r="BH35" i="49"/>
  <c r="M152" i="49" s="1"/>
  <c r="AO35" i="49"/>
  <c r="AJ35" i="49"/>
  <c r="H152" i="49" s="1"/>
  <c r="Q35" i="49"/>
  <c r="L35" i="49"/>
  <c r="C152" i="49" s="1"/>
  <c r="FD35" i="49"/>
  <c r="AI152" i="49" s="1"/>
  <c r="EY35" i="49"/>
  <c r="AF152" i="49" s="1"/>
  <c r="EF35" i="49"/>
  <c r="AD152" i="49" s="1"/>
  <c r="EA35" i="49"/>
  <c r="AA152" i="49" s="1"/>
  <c r="DH35" i="49"/>
  <c r="Y152" i="49" s="1"/>
  <c r="DC35" i="49"/>
  <c r="V152" i="49" s="1"/>
  <c r="CJ35" i="49"/>
  <c r="T152" i="49" s="1"/>
  <c r="CE35" i="49"/>
  <c r="Q152" i="49" s="1"/>
  <c r="BL35" i="49"/>
  <c r="O152" i="49" s="1"/>
  <c r="BG35" i="49"/>
  <c r="L152" i="49" s="1"/>
  <c r="AN35" i="49"/>
  <c r="J152" i="49" s="1"/>
  <c r="AI35" i="49"/>
  <c r="G152" i="49" s="1"/>
  <c r="P35" i="49"/>
  <c r="E152" i="49" s="1"/>
  <c r="K35" i="49"/>
  <c r="B152" i="49" s="1"/>
  <c r="S151" i="49"/>
  <c r="CH34" i="49"/>
  <c r="N13" i="43"/>
  <c r="M14" i="43"/>
  <c r="D165" i="49"/>
  <c r="N48" i="49"/>
  <c r="X165" i="49"/>
  <c r="DF48" i="49"/>
  <c r="N18" i="34"/>
  <c r="FL35" i="49"/>
  <c r="AI206" i="49" s="1"/>
  <c r="FG35" i="49"/>
  <c r="AF206" i="49" s="1"/>
  <c r="EN35" i="49"/>
  <c r="AD206" i="49" s="1"/>
  <c r="EI35" i="49"/>
  <c r="AA206" i="49" s="1"/>
  <c r="DP35" i="49"/>
  <c r="Y206" i="49" s="1"/>
  <c r="DK35" i="49"/>
  <c r="V206" i="49" s="1"/>
  <c r="CR35" i="49"/>
  <c r="T206" i="49" s="1"/>
  <c r="CM35" i="49"/>
  <c r="Q206" i="49" s="1"/>
  <c r="BT35" i="49"/>
  <c r="O206" i="49" s="1"/>
  <c r="BO35" i="49"/>
  <c r="L206" i="49" s="1"/>
  <c r="AV35" i="49"/>
  <c r="J206" i="49" s="1"/>
  <c r="AQ35" i="49"/>
  <c r="G206" i="49" s="1"/>
  <c r="X35" i="49"/>
  <c r="E206" i="49" s="1"/>
  <c r="S35" i="49"/>
  <c r="B206" i="49" s="1"/>
  <c r="FI35" i="49"/>
  <c r="EK35" i="49"/>
  <c r="DM35" i="49"/>
  <c r="CO35" i="49"/>
  <c r="BQ35" i="49"/>
  <c r="AS35" i="49"/>
  <c r="U35" i="49"/>
  <c r="FM35" i="49"/>
  <c r="FH35" i="49"/>
  <c r="AG206" i="49" s="1"/>
  <c r="EO35" i="49"/>
  <c r="EJ35" i="49"/>
  <c r="AB206" i="49" s="1"/>
  <c r="DQ35" i="49"/>
  <c r="DL35" i="49"/>
  <c r="W206" i="49" s="1"/>
  <c r="CS35" i="49"/>
  <c r="CN35" i="49"/>
  <c r="R206" i="49" s="1"/>
  <c r="BU35" i="49"/>
  <c r="BP35" i="49"/>
  <c r="M206" i="49" s="1"/>
  <c r="AW35" i="49"/>
  <c r="AR35" i="49"/>
  <c r="H206" i="49" s="1"/>
  <c r="Y35" i="49"/>
  <c r="T35" i="49"/>
  <c r="C206" i="49" s="1"/>
  <c r="I205" i="49"/>
  <c r="AT34" i="49"/>
  <c r="AC205" i="49"/>
  <c r="EL34" i="49"/>
  <c r="BK15" i="26"/>
  <c r="BW15" i="26" s="1"/>
  <c r="BV15" i="26"/>
  <c r="BY15" i="26"/>
  <c r="BX15" i="26"/>
  <c r="BL15" i="26"/>
  <c r="BH15" i="26"/>
  <c r="FA66" i="49"/>
  <c r="EF66" i="49"/>
  <c r="AD183" i="49" s="1"/>
  <c r="EA66" i="49"/>
  <c r="AA183" i="49" s="1"/>
  <c r="DE66" i="49"/>
  <c r="CJ66" i="49"/>
  <c r="T183" i="49" s="1"/>
  <c r="CE66" i="49"/>
  <c r="Q183" i="49" s="1"/>
  <c r="BI66" i="49"/>
  <c r="AN66" i="49"/>
  <c r="J183" i="49" s="1"/>
  <c r="AI66" i="49"/>
  <c r="G183" i="49" s="1"/>
  <c r="M66" i="49"/>
  <c r="FE66" i="49"/>
  <c r="EZ66" i="49"/>
  <c r="AG183" i="49" s="1"/>
  <c r="DI66" i="49"/>
  <c r="DD66" i="49"/>
  <c r="W183" i="49" s="1"/>
  <c r="BM66" i="49"/>
  <c r="BH66" i="49"/>
  <c r="M183" i="49" s="1"/>
  <c r="Q66" i="49"/>
  <c r="L66" i="49"/>
  <c r="C183" i="49" s="1"/>
  <c r="FD66" i="49"/>
  <c r="AI183" i="49" s="1"/>
  <c r="EY66" i="49"/>
  <c r="AF183" i="49" s="1"/>
  <c r="EC66" i="49"/>
  <c r="DH66" i="49"/>
  <c r="Y183" i="49" s="1"/>
  <c r="DC66" i="49"/>
  <c r="V183" i="49" s="1"/>
  <c r="CG66" i="49"/>
  <c r="BL66" i="49"/>
  <c r="O183" i="49" s="1"/>
  <c r="BG66" i="49"/>
  <c r="L183" i="49" s="1"/>
  <c r="AK66" i="49"/>
  <c r="P66" i="49"/>
  <c r="E183" i="49" s="1"/>
  <c r="K66" i="49"/>
  <c r="B183" i="49" s="1"/>
  <c r="EG66" i="49"/>
  <c r="EB66" i="49"/>
  <c r="AB183" i="49" s="1"/>
  <c r="CK66" i="49"/>
  <c r="CF66" i="49"/>
  <c r="R183" i="49" s="1"/>
  <c r="AO66" i="49"/>
  <c r="AJ66" i="49"/>
  <c r="H183" i="49" s="1"/>
  <c r="F164" i="7"/>
  <c r="N182" i="49"/>
  <c r="BJ65" i="49"/>
  <c r="F28" i="41"/>
  <c r="C28" i="41"/>
  <c r="D28" i="41" s="1"/>
  <c r="N219" i="49"/>
  <c r="BR48" i="49"/>
  <c r="AH219" i="49"/>
  <c r="FJ48" i="49"/>
  <c r="AC236" i="49"/>
  <c r="EL65" i="49"/>
  <c r="AH236" i="49"/>
  <c r="FJ65" i="49"/>
  <c r="EF80" i="50"/>
  <c r="EF92" i="50"/>
  <c r="CD202" i="50"/>
  <c r="AT168" i="50"/>
  <c r="BP137" i="50"/>
  <c r="Q223" i="50"/>
  <c r="ED223" i="50"/>
  <c r="AA152" i="50"/>
  <c r="EF88" i="50"/>
  <c r="EF100" i="50"/>
  <c r="CD115" i="50"/>
  <c r="AO168" i="50"/>
  <c r="BP151" i="50"/>
  <c r="P223" i="50"/>
  <c r="EC223" i="50"/>
  <c r="EQ152" i="50"/>
  <c r="EF127" i="50"/>
  <c r="EF147" i="50"/>
  <c r="CD189" i="50"/>
  <c r="EQ168" i="50"/>
  <c r="BP109" i="50"/>
  <c r="D223" i="50"/>
  <c r="AU223" i="50"/>
  <c r="O152" i="50"/>
  <c r="EF93" i="50"/>
  <c r="EF105" i="50"/>
  <c r="BD205" i="50"/>
  <c r="O168" i="50"/>
  <c r="BP132" i="50"/>
  <c r="EV192" i="50"/>
  <c r="DL223" i="50"/>
  <c r="EW223" i="50"/>
  <c r="BF135" i="50"/>
  <c r="BF187" i="50"/>
  <c r="CD101" i="50"/>
  <c r="M205" i="50"/>
  <c r="CU188" i="50"/>
  <c r="BC223" i="50"/>
  <c r="V152" i="50"/>
  <c r="BD152" i="50"/>
  <c r="BF149" i="50"/>
  <c r="BF201" i="50"/>
  <c r="CD109" i="50"/>
  <c r="AV205" i="50"/>
  <c r="CU204" i="50"/>
  <c r="ES223" i="50"/>
  <c r="T152" i="50"/>
  <c r="EU152" i="50"/>
  <c r="BP73" i="50"/>
  <c r="BP94" i="50"/>
  <c r="CD76" i="50"/>
  <c r="EU168" i="50"/>
  <c r="CU185" i="50"/>
  <c r="AO223" i="50"/>
  <c r="E152" i="50"/>
  <c r="BK152" i="50"/>
  <c r="EF74" i="50"/>
  <c r="EF84" i="50"/>
  <c r="CD186" i="50"/>
  <c r="BK168" i="50"/>
  <c r="BP127" i="50"/>
  <c r="EQ223" i="50"/>
  <c r="CT223" i="50"/>
  <c r="AI152" i="50"/>
  <c r="BF86" i="50"/>
  <c r="BF106" i="50"/>
  <c r="EW201" i="50"/>
  <c r="AS205" i="50"/>
  <c r="CU95" i="50"/>
  <c r="AY152" i="50"/>
  <c r="BM152" i="50"/>
  <c r="EX119" i="50"/>
  <c r="BF94" i="50"/>
  <c r="BF114" i="50"/>
  <c r="EW114" i="50"/>
  <c r="AR205" i="50"/>
  <c r="CU103" i="50"/>
  <c r="AX152" i="50"/>
  <c r="BZ152" i="50"/>
  <c r="EX127" i="50"/>
  <c r="BF136" i="50"/>
  <c r="BF190" i="50"/>
  <c r="EW190" i="50"/>
  <c r="DZ205" i="50"/>
  <c r="CU104" i="50"/>
  <c r="CU223" i="50"/>
  <c r="AQ152" i="50"/>
  <c r="EX205" i="50"/>
  <c r="BF125" i="50"/>
  <c r="BF163" i="50"/>
  <c r="CD93" i="50"/>
  <c r="DJ205" i="50"/>
  <c r="CU166" i="50"/>
  <c r="EU223" i="50"/>
  <c r="AF152" i="50"/>
  <c r="EV152" i="50"/>
  <c r="BP90" i="50"/>
  <c r="BP110" i="50"/>
  <c r="CD92" i="50"/>
  <c r="ES168" i="50"/>
  <c r="CU217" i="50"/>
  <c r="AC223" i="50"/>
  <c r="CD223" i="50"/>
  <c r="AO152" i="50"/>
  <c r="BP98" i="50"/>
  <c r="Z11" i="26"/>
  <c r="CD100" i="50"/>
  <c r="DN168" i="50"/>
  <c r="CU220" i="50"/>
  <c r="AI223" i="50"/>
  <c r="BF223" i="50"/>
  <c r="DM152" i="50"/>
  <c r="EF96" i="50"/>
  <c r="EF108" i="50"/>
  <c r="CD123" i="50"/>
  <c r="DM168" i="50"/>
  <c r="BP77" i="50"/>
  <c r="DK223" i="50"/>
  <c r="ET223" i="50"/>
  <c r="Q152" i="50"/>
  <c r="EF137" i="50"/>
  <c r="EF165" i="50"/>
  <c r="CD203" i="50"/>
  <c r="Q168" i="50"/>
  <c r="BP187" i="50"/>
  <c r="H223" i="50"/>
  <c r="AS223" i="50"/>
  <c r="N152" i="50"/>
  <c r="BY222" i="50"/>
  <c r="AS222" i="50"/>
  <c r="DR113" i="50"/>
  <c r="CD78" i="50"/>
  <c r="EC168" i="50"/>
  <c r="CU187" i="50"/>
  <c r="EX98" i="50"/>
  <c r="DK128" i="50"/>
  <c r="AN222" i="50"/>
  <c r="AR222" i="50"/>
  <c r="DR121" i="50"/>
  <c r="CD86" i="50"/>
  <c r="ET168" i="50"/>
  <c r="CU201" i="50"/>
  <c r="EX106" i="50"/>
  <c r="X128" i="50"/>
  <c r="BJ222" i="50"/>
  <c r="DZ222" i="50"/>
  <c r="DR201" i="50"/>
  <c r="CD204" i="50"/>
  <c r="AS168" i="50"/>
  <c r="BE152" i="50"/>
  <c r="EX152" i="50"/>
  <c r="EX73" i="50"/>
  <c r="T222" i="50"/>
  <c r="DJ222" i="50"/>
  <c r="EW94" i="50"/>
  <c r="CD167" i="50"/>
  <c r="AH168" i="50"/>
  <c r="BL152" i="50"/>
  <c r="EX125" i="50"/>
  <c r="EX76" i="50"/>
  <c r="X151" i="50"/>
  <c r="J151" i="50"/>
  <c r="DR105" i="50"/>
  <c r="EW200" i="50"/>
  <c r="AG205" i="50"/>
  <c r="CU106" i="50"/>
  <c r="BH128" i="50"/>
  <c r="DN128" i="50"/>
  <c r="O151" i="50"/>
  <c r="G151" i="50"/>
  <c r="DR76" i="50"/>
  <c r="EW220" i="50"/>
  <c r="S205" i="50"/>
  <c r="CU114" i="50"/>
  <c r="I128" i="50"/>
  <c r="AJ128" i="50"/>
  <c r="DQ222" i="50"/>
  <c r="EC222" i="50"/>
  <c r="DR116" i="50"/>
  <c r="CD103" i="50"/>
  <c r="J205" i="50"/>
  <c r="CU190" i="50"/>
  <c r="EX87" i="50"/>
  <c r="AC128" i="50"/>
  <c r="BZ222" i="50"/>
  <c r="AU222" i="50"/>
  <c r="DR200" i="50"/>
  <c r="CD164" i="50"/>
  <c r="ED168" i="50"/>
  <c r="CU163" i="50"/>
  <c r="EX90" i="50"/>
  <c r="P128" i="50"/>
  <c r="AJ151" i="50"/>
  <c r="AL151" i="50"/>
  <c r="BW191" i="50"/>
  <c r="EW115" i="50"/>
  <c r="CR205" i="50"/>
  <c r="J168" i="50"/>
  <c r="AN128" i="50"/>
  <c r="BG169" i="50"/>
  <c r="BK151" i="50"/>
  <c r="EA151" i="50"/>
  <c r="U191" i="50"/>
  <c r="EW123" i="50"/>
  <c r="DO205" i="50"/>
  <c r="G168" i="50"/>
  <c r="BA128" i="50"/>
  <c r="BG191" i="50"/>
  <c r="AI151" i="50"/>
  <c r="AG151" i="50"/>
  <c r="AV191" i="50"/>
  <c r="EW203" i="50"/>
  <c r="AL205" i="50"/>
  <c r="CU97" i="50"/>
  <c r="Y128" i="50"/>
  <c r="CC128" i="50"/>
  <c r="DK151" i="50"/>
  <c r="L151" i="50"/>
  <c r="DR97" i="50"/>
  <c r="EW184" i="50"/>
  <c r="CO205" i="50"/>
  <c r="CU98" i="50"/>
  <c r="W128" i="50"/>
  <c r="ES128" i="50"/>
  <c r="CB222" i="50"/>
  <c r="CQ222" i="50"/>
  <c r="DR134" i="50"/>
  <c r="CD118" i="50"/>
  <c r="AW205" i="50"/>
  <c r="CU121" i="50"/>
  <c r="EX103" i="50"/>
  <c r="AA128" i="50"/>
  <c r="CA222" i="50"/>
  <c r="BB222" i="50"/>
  <c r="DR150" i="50"/>
  <c r="CD126" i="50"/>
  <c r="EE168" i="50"/>
  <c r="CU131" i="50"/>
  <c r="EX74" i="50"/>
  <c r="EQ128" i="50"/>
  <c r="BA222" i="50"/>
  <c r="AP222" i="50"/>
  <c r="DR131" i="50"/>
  <c r="CD94" i="50"/>
  <c r="CQ168" i="50"/>
  <c r="CU219" i="50"/>
  <c r="EX114" i="50"/>
  <c r="O128" i="50"/>
  <c r="Y222" i="50"/>
  <c r="BW222" i="50"/>
  <c r="DR219" i="50"/>
  <c r="CD117" i="50"/>
  <c r="AR168" i="50"/>
  <c r="BN152" i="50"/>
  <c r="EX184" i="50"/>
  <c r="EX81" i="50"/>
  <c r="E222" i="50"/>
  <c r="BF81" i="50"/>
  <c r="EW97" i="50"/>
  <c r="CT205" i="50"/>
  <c r="BI168" i="50"/>
  <c r="EA152" i="50"/>
  <c r="EX203" i="50"/>
  <c r="EX116" i="50"/>
  <c r="F222" i="50"/>
  <c r="BF89" i="50"/>
  <c r="EW105" i="50"/>
  <c r="ED205" i="50"/>
  <c r="DJ168" i="50"/>
  <c r="AE152" i="50"/>
  <c r="EX221" i="50"/>
  <c r="EX124" i="50"/>
  <c r="BF109" i="50"/>
  <c r="BF90" i="50"/>
  <c r="EW163" i="50"/>
  <c r="AM205" i="50"/>
  <c r="CU79" i="50"/>
  <c r="S152" i="50"/>
  <c r="CB152" i="50"/>
  <c r="EX200" i="50"/>
  <c r="BF110" i="50"/>
  <c r="BF132" i="50"/>
  <c r="EW132" i="50"/>
  <c r="BX205" i="50"/>
  <c r="CU80" i="50"/>
  <c r="J152" i="50"/>
  <c r="AN152" i="50"/>
  <c r="EX151" i="50"/>
  <c r="AQ222" i="50"/>
  <c r="DL222" i="50"/>
  <c r="DR163" i="50"/>
  <c r="CD110" i="50"/>
  <c r="AM168" i="50"/>
  <c r="EW152" i="50"/>
  <c r="EX130" i="50"/>
  <c r="D128" i="50"/>
  <c r="AD222" i="50"/>
  <c r="AH222" i="50"/>
  <c r="DR187" i="50"/>
  <c r="CD188" i="50"/>
  <c r="AU168" i="50"/>
  <c r="EF152" i="50"/>
  <c r="EX138" i="50"/>
  <c r="H128" i="50"/>
  <c r="V222" i="50"/>
  <c r="BI222" i="50"/>
  <c r="EW86" i="50"/>
  <c r="CD149" i="50"/>
  <c r="DL168" i="50"/>
  <c r="DO152" i="50"/>
  <c r="EX117" i="50"/>
  <c r="EX105" i="50"/>
  <c r="K222" i="50"/>
  <c r="BF73" i="50"/>
  <c r="EW89" i="50"/>
  <c r="EE205" i="50"/>
  <c r="R168" i="50"/>
  <c r="AL152" i="50"/>
  <c r="EX189" i="50"/>
  <c r="EX108" i="50"/>
  <c r="H151" i="50"/>
  <c r="CT222" i="50"/>
  <c r="DR100" i="50"/>
  <c r="CD87" i="50"/>
  <c r="AX205" i="50"/>
  <c r="CU148" i="50"/>
  <c r="F128" i="50"/>
  <c r="AO128" i="50"/>
  <c r="BO222" i="50"/>
  <c r="ED222" i="50"/>
  <c r="DR108" i="50"/>
  <c r="CD95" i="50"/>
  <c r="L205" i="50"/>
  <c r="CU168" i="50"/>
  <c r="EX79" i="50"/>
  <c r="DM128" i="50"/>
  <c r="BM222" i="50"/>
  <c r="AM222" i="50"/>
  <c r="DR184" i="50"/>
  <c r="CD136" i="50"/>
  <c r="CT168" i="50"/>
  <c r="CU145" i="50"/>
  <c r="EX82" i="50"/>
  <c r="Q128" i="50"/>
  <c r="CP222" i="50"/>
  <c r="BX222" i="50"/>
  <c r="DR145" i="50"/>
  <c r="CD102" i="50"/>
  <c r="BB168" i="50"/>
  <c r="CU222" i="50"/>
  <c r="EX122" i="50"/>
  <c r="N128" i="50"/>
  <c r="W222" i="50"/>
  <c r="M222" i="50"/>
  <c r="EW102" i="50"/>
  <c r="CD191" i="50"/>
  <c r="DZ168" i="50"/>
  <c r="EB152" i="50"/>
  <c r="EX135" i="50"/>
  <c r="EX84" i="50"/>
  <c r="BH222" i="50"/>
  <c r="AV222" i="50"/>
  <c r="EW110" i="50"/>
  <c r="CD205" i="50"/>
  <c r="BW168" i="50"/>
  <c r="AK152" i="50"/>
  <c r="EX149" i="50"/>
  <c r="EX92" i="50"/>
  <c r="BF77" i="50"/>
  <c r="BF97" i="50"/>
  <c r="EW113" i="50"/>
  <c r="EC205" i="50"/>
  <c r="M168" i="50"/>
  <c r="AB152" i="50"/>
  <c r="DR152" i="50"/>
  <c r="EX132" i="50"/>
  <c r="BF78" i="50"/>
  <c r="BF98" i="50"/>
  <c r="EW187" i="50"/>
  <c r="AU205" i="50"/>
  <c r="CU87" i="50"/>
  <c r="DY152" i="50"/>
  <c r="CA152" i="50"/>
  <c r="EX111" i="50"/>
  <c r="EE151" i="50"/>
  <c r="DP151" i="50"/>
  <c r="AZ168" i="50"/>
  <c r="BP107" i="50"/>
  <c r="AJ191" i="50"/>
  <c r="EG165" i="50"/>
  <c r="EG74" i="50"/>
  <c r="AL192" i="50"/>
  <c r="CT151" i="50"/>
  <c r="CB151" i="50"/>
  <c r="AF168" i="50"/>
  <c r="BP185" i="50"/>
  <c r="BK191" i="50"/>
  <c r="EG187" i="50"/>
  <c r="EG82" i="50"/>
  <c r="EA192" i="50"/>
  <c r="BB151" i="50"/>
  <c r="AN151" i="50"/>
  <c r="I168" i="50"/>
  <c r="BP146" i="50"/>
  <c r="AI191" i="50"/>
  <c r="EG138" i="50"/>
  <c r="EG85" i="50"/>
  <c r="AG192" i="50"/>
  <c r="AP151" i="50"/>
  <c r="BJ151" i="50"/>
  <c r="CU83" i="50"/>
  <c r="CC127" i="50"/>
  <c r="DK191" i="50"/>
  <c r="EG217" i="50"/>
  <c r="EG125" i="50"/>
  <c r="L192" i="50"/>
  <c r="AB137" i="50"/>
  <c r="AA137" i="50"/>
  <c r="CB168" i="50"/>
  <c r="CU167" i="50"/>
  <c r="BI127" i="50"/>
  <c r="EG88" i="50"/>
  <c r="BX192" i="50"/>
  <c r="AW223" i="50"/>
  <c r="Z137" i="50"/>
  <c r="EQ137" i="50"/>
  <c r="CA168" i="50"/>
  <c r="CU191" i="50"/>
  <c r="DJ127" i="50"/>
  <c r="EG96" i="50"/>
  <c r="DL192" i="50"/>
  <c r="EW192" i="50"/>
  <c r="AY137" i="50"/>
  <c r="O137" i="50"/>
  <c r="BA168" i="50"/>
  <c r="BP135" i="50"/>
  <c r="EV191" i="50"/>
  <c r="EG99" i="50"/>
  <c r="R192" i="50"/>
  <c r="CR192" i="50"/>
  <c r="AW137" i="50"/>
  <c r="DQ151" i="50"/>
  <c r="Y168" i="50"/>
  <c r="BP99" i="50"/>
  <c r="DN191" i="50"/>
  <c r="EG147" i="50"/>
  <c r="C192" i="50"/>
  <c r="ER192" i="50"/>
  <c r="BE137" i="50"/>
  <c r="BD137" i="50"/>
  <c r="EQ205" i="50"/>
  <c r="CU102" i="50"/>
  <c r="AM127" i="50"/>
  <c r="AA192" i="50"/>
  <c r="EE192" i="50"/>
  <c r="AE223" i="50"/>
  <c r="BN137" i="50"/>
  <c r="EU137" i="50"/>
  <c r="Q205" i="50"/>
  <c r="CU110" i="50"/>
  <c r="AU127" i="50"/>
  <c r="EQ192" i="50"/>
  <c r="CT192" i="50"/>
  <c r="AB223" i="50"/>
  <c r="EB137" i="50"/>
  <c r="BK137" i="50"/>
  <c r="N205" i="50"/>
  <c r="CU186" i="50"/>
  <c r="DL127" i="50"/>
  <c r="O192" i="50"/>
  <c r="BB192" i="50"/>
  <c r="DY223" i="50"/>
  <c r="AE137" i="50"/>
  <c r="AI137" i="50"/>
  <c r="DP168" i="50"/>
  <c r="CU149" i="50"/>
  <c r="R127" i="50"/>
  <c r="EG80" i="50"/>
  <c r="AP192" i="50"/>
  <c r="G223" i="50"/>
  <c r="L137" i="50"/>
  <c r="D137" i="50"/>
  <c r="AQ168" i="50"/>
  <c r="BP75" i="50"/>
  <c r="EU191" i="50"/>
  <c r="EG115" i="50"/>
  <c r="DJ192" i="50"/>
  <c r="BL192" i="50"/>
  <c r="J137" i="50"/>
  <c r="H137" i="50"/>
  <c r="AD168" i="50"/>
  <c r="BP83" i="50"/>
  <c r="BC191" i="50"/>
  <c r="EG123" i="50"/>
  <c r="M192" i="50"/>
  <c r="EB192" i="50"/>
  <c r="ED151" i="50"/>
  <c r="CA151" i="50"/>
  <c r="V168" i="50"/>
  <c r="BP199" i="50"/>
  <c r="AT191" i="50"/>
  <c r="EG201" i="50"/>
  <c r="EG90" i="50"/>
  <c r="AE192" i="50"/>
  <c r="AM151" i="50"/>
  <c r="BA151" i="50"/>
  <c r="K168" i="50"/>
  <c r="BP166" i="50"/>
  <c r="AA191" i="50"/>
  <c r="EG152" i="50"/>
  <c r="EG93" i="50"/>
  <c r="BW151" i="50"/>
  <c r="T151" i="50"/>
  <c r="CU84" i="50"/>
  <c r="ES127" i="50"/>
  <c r="H191" i="50"/>
  <c r="BD206" i="50"/>
  <c r="EG203" i="50"/>
  <c r="EG84" i="50"/>
  <c r="U151" i="50"/>
  <c r="W151" i="50"/>
  <c r="CU92" i="50"/>
  <c r="DN127" i="50"/>
  <c r="AB11" i="26"/>
  <c r="EU206" i="50"/>
  <c r="EG116" i="50"/>
  <c r="EG92" i="50"/>
  <c r="AV151" i="50"/>
  <c r="F151" i="50"/>
  <c r="CU134" i="50"/>
  <c r="DM127" i="50"/>
  <c r="DR74" i="50"/>
  <c r="BK206" i="50"/>
  <c r="EG186" i="50"/>
  <c r="EG95" i="50"/>
  <c r="EU222" i="50"/>
  <c r="DO222" i="50"/>
  <c r="CU123" i="50"/>
  <c r="Q127" i="50"/>
  <c r="DR114" i="50"/>
  <c r="AI206" i="50"/>
  <c r="BF206" i="50"/>
  <c r="EG137" i="50"/>
  <c r="ET151" i="50"/>
  <c r="BZ151" i="50"/>
  <c r="W168" i="50"/>
  <c r="BP120" i="50"/>
  <c r="DM191" i="50"/>
  <c r="EG122" i="50"/>
  <c r="EG106" i="50"/>
  <c r="Z192" i="50"/>
  <c r="CQ151" i="50"/>
  <c r="BY151" i="50"/>
  <c r="BH168" i="50"/>
  <c r="BP130" i="50"/>
  <c r="AC191" i="50"/>
  <c r="EG130" i="50"/>
  <c r="EG77" i="50"/>
  <c r="CO192" i="50"/>
  <c r="AR151" i="50"/>
  <c r="AD151" i="50"/>
  <c r="CU75" i="50"/>
  <c r="BP217" i="50"/>
  <c r="P191" i="50"/>
  <c r="EG206" i="50"/>
  <c r="EG117" i="50"/>
  <c r="AX192" i="50"/>
  <c r="DZ151" i="50"/>
  <c r="V151" i="50"/>
  <c r="CU76" i="50"/>
  <c r="BC127" i="50"/>
  <c r="D191" i="50"/>
  <c r="EV206" i="50"/>
  <c r="EG189" i="50"/>
  <c r="EG76" i="50"/>
  <c r="S137" i="50"/>
  <c r="DK137" i="50"/>
  <c r="BY168" i="50"/>
  <c r="BP117" i="50"/>
  <c r="C127" i="50"/>
  <c r="EG83" i="50"/>
  <c r="BW192" i="50"/>
  <c r="BN192" i="50"/>
  <c r="DY137" i="50"/>
  <c r="X137" i="50"/>
  <c r="AN168" i="50"/>
  <c r="BP125" i="50"/>
  <c r="CC191" i="50"/>
  <c r="EG91" i="50"/>
  <c r="U192" i="50"/>
  <c r="CS192" i="50"/>
  <c r="G137" i="50"/>
  <c r="BO151" i="50"/>
  <c r="BJ168" i="50"/>
  <c r="BP91" i="50"/>
  <c r="ES191" i="50"/>
  <c r="EG133" i="50"/>
  <c r="AV192" i="50"/>
  <c r="AK192" i="50"/>
  <c r="EC151" i="50"/>
  <c r="BM151" i="50"/>
  <c r="T168" i="50"/>
  <c r="BP112" i="50"/>
  <c r="AO191" i="50"/>
  <c r="EG114" i="50"/>
  <c r="EG98" i="50"/>
  <c r="AB192" i="50"/>
  <c r="BX151" i="50"/>
  <c r="Y151" i="50"/>
  <c r="CU91" i="50"/>
  <c r="EV127" i="50"/>
  <c r="X191" i="50"/>
  <c r="CU206" i="50"/>
  <c r="EG135" i="50"/>
  <c r="J192" i="50"/>
  <c r="DL151" i="50"/>
  <c r="AZ151" i="50"/>
  <c r="CU99" i="50"/>
  <c r="BD127" i="50"/>
  <c r="O191" i="50"/>
  <c r="BP206" i="50"/>
  <c r="EG149" i="50"/>
  <c r="G192" i="50"/>
  <c r="R151" i="50"/>
  <c r="BH151" i="50"/>
  <c r="CU100" i="50"/>
  <c r="AJ127" i="50"/>
  <c r="DR79" i="50"/>
  <c r="BC206" i="50"/>
  <c r="EG124" i="50"/>
  <c r="EG100" i="50"/>
  <c r="C151" i="50"/>
  <c r="BE222" i="50"/>
  <c r="CU150" i="50"/>
  <c r="AC127" i="50"/>
  <c r="DR82" i="50"/>
  <c r="AT206" i="50"/>
  <c r="EG200" i="50"/>
  <c r="EG103" i="50"/>
  <c r="EF116" i="50"/>
  <c r="EF130" i="50"/>
  <c r="AJ205" i="50"/>
  <c r="CU77" i="50"/>
  <c r="BP219" i="50"/>
  <c r="DN192" i="50"/>
  <c r="R223" i="50"/>
  <c r="CR223" i="50"/>
  <c r="EF124" i="50"/>
  <c r="EF146" i="50"/>
  <c r="BK205" i="50"/>
  <c r="CU85" i="50"/>
  <c r="EE127" i="50"/>
  <c r="AJ192" i="50"/>
  <c r="BI223" i="50"/>
  <c r="DO223" i="50"/>
  <c r="EF220" i="50"/>
  <c r="CC137" i="50"/>
  <c r="AI205" i="50"/>
  <c r="CU86" i="50"/>
  <c r="CQ127" i="50"/>
  <c r="AC192" i="50"/>
  <c r="CD192" i="50"/>
  <c r="AL223" i="50"/>
  <c r="CR137" i="50"/>
  <c r="ES137" i="50"/>
  <c r="DK205" i="50"/>
  <c r="CU126" i="50"/>
  <c r="AR127" i="50"/>
  <c r="P192" i="50"/>
  <c r="EC192" i="50"/>
  <c r="CO223" i="50"/>
  <c r="EF111" i="50"/>
  <c r="EF123" i="50"/>
  <c r="CD147" i="50"/>
  <c r="AI168" i="50"/>
  <c r="BP93" i="50"/>
  <c r="O223" i="50"/>
  <c r="BB223" i="50"/>
  <c r="DK152" i="50"/>
  <c r="EF119" i="50"/>
  <c r="EF133" i="50"/>
  <c r="CD165" i="50"/>
  <c r="AA168" i="50"/>
  <c r="BP101" i="50"/>
  <c r="N223" i="50"/>
  <c r="AM223" i="50"/>
  <c r="X152" i="50"/>
  <c r="EF85" i="50"/>
  <c r="EF97" i="50"/>
  <c r="EV205" i="50"/>
  <c r="X168" i="50"/>
  <c r="BP122" i="50"/>
  <c r="CC192" i="50"/>
  <c r="BX223" i="50"/>
  <c r="AA12" i="26"/>
  <c r="EF203" i="50"/>
  <c r="EF120" i="50"/>
  <c r="DN205" i="50"/>
  <c r="AD11" i="26"/>
  <c r="BP218" i="50"/>
  <c r="ES192" i="50"/>
  <c r="U223" i="50"/>
  <c r="CS223" i="50"/>
  <c r="BF205" i="50"/>
  <c r="BP78" i="50"/>
  <c r="CD134" i="50"/>
  <c r="EV168" i="50"/>
  <c r="CU137" i="50"/>
  <c r="BK223" i="50"/>
  <c r="I152" i="50"/>
  <c r="DN152" i="50"/>
  <c r="BF218" i="50"/>
  <c r="BP86" i="50"/>
  <c r="CD150" i="50"/>
  <c r="BD168" i="50"/>
  <c r="CU151" i="50"/>
  <c r="AT223" i="50"/>
  <c r="K152" i="50"/>
  <c r="AJ152" i="50"/>
  <c r="BP106" i="50"/>
  <c r="EF76" i="50"/>
  <c r="CD108" i="50"/>
  <c r="AJ168" i="50"/>
  <c r="BP119" i="50"/>
  <c r="AA223" i="50"/>
  <c r="EE223" i="50"/>
  <c r="AC152" i="50"/>
  <c r="EF104" i="50"/>
  <c r="EF115" i="50"/>
  <c r="CD133" i="50"/>
  <c r="AC168" i="50"/>
  <c r="BP85" i="50"/>
  <c r="X223" i="50"/>
  <c r="CQ223" i="50"/>
  <c r="P152" i="50"/>
  <c r="EF101" i="50"/>
  <c r="EF185" i="50"/>
  <c r="EU205" i="50"/>
  <c r="N168" i="50"/>
  <c r="BP148" i="50"/>
  <c r="BD192" i="50"/>
  <c r="AH223" i="50"/>
  <c r="EF223" i="50"/>
  <c r="EF109" i="50"/>
  <c r="EF199" i="50"/>
  <c r="BC205" i="50"/>
  <c r="D168" i="50"/>
  <c r="BP168" i="50"/>
  <c r="EU192" i="50"/>
  <c r="DZ223" i="50"/>
  <c r="BE223" i="50"/>
  <c r="EF134" i="50"/>
  <c r="EF166" i="50"/>
  <c r="AT205" i="50"/>
  <c r="CU93" i="50"/>
  <c r="CT127" i="50"/>
  <c r="BK192" i="50"/>
  <c r="DJ223" i="50"/>
  <c r="BL223" i="50"/>
  <c r="EF221" i="50"/>
  <c r="EV137" i="50"/>
  <c r="AA205" i="50"/>
  <c r="CU94" i="50"/>
  <c r="BB127" i="50"/>
  <c r="AI192" i="50"/>
  <c r="BF192" i="50"/>
  <c r="EA223" i="50"/>
  <c r="ER137" i="50"/>
  <c r="AO137" i="50"/>
  <c r="H205" i="50"/>
  <c r="CU117" i="50"/>
  <c r="DZ127" i="50"/>
  <c r="D192" i="50"/>
  <c r="AU192" i="50"/>
  <c r="AX223" i="50"/>
  <c r="AL137" i="50"/>
  <c r="DM137" i="50"/>
  <c r="BO168" i="50"/>
  <c r="CU125" i="50"/>
  <c r="BW127" i="50"/>
  <c r="H192" i="50"/>
  <c r="AS192" i="50"/>
  <c r="L223" i="50"/>
  <c r="CO137" i="50"/>
  <c r="Q137" i="50"/>
  <c r="BM168" i="50"/>
  <c r="CU205" i="50"/>
  <c r="M127" i="50"/>
  <c r="EG104" i="50"/>
  <c r="AH192" i="50"/>
  <c r="EF192" i="50"/>
  <c r="AX137" i="50"/>
  <c r="N137" i="50"/>
  <c r="CP168" i="50"/>
  <c r="BP149" i="50"/>
  <c r="BD191" i="50"/>
  <c r="EG107" i="50"/>
  <c r="BI192" i="50"/>
  <c r="DO192" i="50"/>
  <c r="EF184" i="50"/>
  <c r="EF204" i="50"/>
  <c r="DM205" i="50"/>
  <c r="CU109" i="50"/>
  <c r="EC127" i="50"/>
  <c r="AO192" i="50"/>
  <c r="AV223" i="50"/>
  <c r="AK223" i="50"/>
  <c r="EF200" i="50"/>
  <c r="EF217" i="50"/>
  <c r="AC205" i="50"/>
  <c r="CU78" i="50"/>
  <c r="ET127" i="50"/>
  <c r="DM192" i="50"/>
  <c r="C223" i="50"/>
  <c r="ER223" i="50"/>
  <c r="CS137" i="50"/>
  <c r="BC137" i="50"/>
  <c r="P205" i="50"/>
  <c r="CU118" i="50"/>
  <c r="AS127" i="50"/>
  <c r="Q192" i="50"/>
  <c r="ED192" i="50"/>
  <c r="Z223" i="50"/>
  <c r="AK137" i="50"/>
  <c r="AT137" i="50"/>
  <c r="D205" i="50"/>
  <c r="CU202" i="50"/>
  <c r="AH127" i="50"/>
  <c r="N192" i="50"/>
  <c r="AM192" i="50"/>
  <c r="AY223" i="50"/>
  <c r="EF151" i="50"/>
  <c r="EF81" i="50"/>
  <c r="CD218" i="50"/>
  <c r="P168" i="50"/>
  <c r="BP201" i="50"/>
  <c r="CU192" i="50"/>
  <c r="AR223" i="50"/>
  <c r="D152" i="50"/>
  <c r="EF77" i="50"/>
  <c r="EF89" i="50"/>
  <c r="CC205" i="50"/>
  <c r="DK168" i="50"/>
  <c r="BP114" i="50"/>
  <c r="BP192" i="50"/>
  <c r="AP223" i="50"/>
  <c r="H152" i="50"/>
  <c r="EF189" i="50"/>
  <c r="EF112" i="50"/>
  <c r="ES205" i="50"/>
  <c r="H168" i="50"/>
  <c r="BP190" i="50"/>
  <c r="BC192" i="50"/>
  <c r="BW223" i="50"/>
  <c r="BN223" i="50"/>
  <c r="EF150" i="50"/>
  <c r="EF188" i="50"/>
  <c r="AO205" i="50"/>
  <c r="CU101" i="50"/>
  <c r="ED127" i="50"/>
  <c r="AT192" i="50"/>
  <c r="M223" i="50"/>
  <c r="EB223" i="50"/>
  <c r="DO137" i="50"/>
  <c r="DN137" i="50"/>
  <c r="X205" i="50"/>
  <c r="CU136" i="50"/>
  <c r="AP127" i="50"/>
  <c r="DK192" i="50"/>
  <c r="ET192" i="50"/>
  <c r="AG223" i="50"/>
  <c r="BL137" i="50"/>
  <c r="AJ137" i="50"/>
  <c r="O205" i="50"/>
  <c r="CU164" i="50"/>
  <c r="BX127" i="50"/>
  <c r="X192" i="50"/>
  <c r="CQ192" i="50"/>
  <c r="S223" i="50"/>
  <c r="EA137" i="50"/>
  <c r="AC137" i="50"/>
  <c r="DQ168" i="50"/>
  <c r="CU135" i="50"/>
  <c r="U127" i="50"/>
  <c r="EG73" i="50"/>
  <c r="AR192" i="50"/>
  <c r="J223" i="50"/>
  <c r="AG137" i="50"/>
  <c r="P137" i="50"/>
  <c r="BZ168" i="50"/>
  <c r="CU218" i="50"/>
  <c r="AV127" i="50"/>
  <c r="EG75" i="50"/>
  <c r="DZ192" i="50"/>
  <c r="BE192" i="50"/>
  <c r="BF204" i="50"/>
  <c r="BF123" i="50"/>
  <c r="AQ127" i="50"/>
  <c r="DR109" i="50"/>
  <c r="EW204" i="50"/>
  <c r="DS222" i="50"/>
  <c r="DS130" i="50"/>
  <c r="J206" i="50"/>
  <c r="BF119" i="50"/>
  <c r="BF133" i="50"/>
  <c r="AD127" i="50"/>
  <c r="DR80" i="50"/>
  <c r="EW217" i="50"/>
  <c r="CV76" i="50"/>
  <c r="DS138" i="50"/>
  <c r="G206" i="50"/>
  <c r="BF199" i="50"/>
  <c r="BF221" i="50"/>
  <c r="V127" i="50"/>
  <c r="DR120" i="50"/>
  <c r="CD107" i="50"/>
  <c r="CV117" i="50"/>
  <c r="DS119" i="50"/>
  <c r="DS99" i="50"/>
  <c r="BP92" i="50"/>
  <c r="BP104" i="50"/>
  <c r="K127" i="50"/>
  <c r="DR204" i="50"/>
  <c r="CD74" i="50"/>
  <c r="CV83" i="50"/>
  <c r="DS191" i="50"/>
  <c r="DS163" i="50"/>
  <c r="BF103" i="50"/>
  <c r="BF76" i="50"/>
  <c r="BP222" i="50"/>
  <c r="V191" i="50"/>
  <c r="EW119" i="50"/>
  <c r="DS150" i="50"/>
  <c r="DS73" i="50"/>
  <c r="AL206" i="50"/>
  <c r="BF111" i="50"/>
  <c r="BF84" i="50"/>
  <c r="BO127" i="50"/>
  <c r="T191" i="50"/>
  <c r="EW127" i="50"/>
  <c r="DS168" i="50"/>
  <c r="DS81" i="50"/>
  <c r="EA206" i="50"/>
  <c r="BF112" i="50"/>
  <c r="BF124" i="50"/>
  <c r="BM127" i="50"/>
  <c r="E191" i="50"/>
  <c r="EW112" i="50"/>
  <c r="DS135" i="50"/>
  <c r="DS84" i="50"/>
  <c r="AG206" i="50"/>
  <c r="BF188" i="50"/>
  <c r="BF115" i="50"/>
  <c r="CP127" i="50"/>
  <c r="DR101" i="50"/>
  <c r="EW188" i="50"/>
  <c r="DS221" i="50"/>
  <c r="DS122" i="50"/>
  <c r="DS102" i="50"/>
  <c r="Q222" i="50"/>
  <c r="DY222" i="50"/>
  <c r="BP89" i="50"/>
  <c r="BM191" i="50"/>
  <c r="DR217" i="50"/>
  <c r="DS87" i="50"/>
  <c r="BX206" i="50"/>
  <c r="EG221" i="50"/>
  <c r="P222" i="50"/>
  <c r="AY222" i="50"/>
  <c r="BP97" i="50"/>
  <c r="BZ191" i="50"/>
  <c r="DR220" i="50"/>
  <c r="DS95" i="50"/>
  <c r="DL206" i="50"/>
  <c r="EW206" i="50"/>
  <c r="D222" i="50"/>
  <c r="AW222" i="50"/>
  <c r="BP118" i="50"/>
  <c r="AQ191" i="50"/>
  <c r="EW108" i="50"/>
  <c r="DS98" i="50"/>
  <c r="R206" i="50"/>
  <c r="CR206" i="50"/>
  <c r="BF95" i="50"/>
  <c r="BF107" i="50"/>
  <c r="BP202" i="50"/>
  <c r="AF191" i="50"/>
  <c r="EW111" i="50"/>
  <c r="DS136" i="50"/>
  <c r="C206" i="50"/>
  <c r="ER206" i="50"/>
  <c r="BF130" i="50"/>
  <c r="BF150" i="50"/>
  <c r="BY127" i="50"/>
  <c r="DR77" i="50"/>
  <c r="EW130" i="50"/>
  <c r="DS167" i="50"/>
  <c r="DS100" i="50"/>
  <c r="DY206" i="50"/>
  <c r="BF146" i="50"/>
  <c r="BF184" i="50"/>
  <c r="AN127" i="50"/>
  <c r="DR85" i="50"/>
  <c r="EW146" i="50"/>
  <c r="DS189" i="50"/>
  <c r="DS108" i="50"/>
  <c r="AY206" i="50"/>
  <c r="BF127" i="50"/>
  <c r="BF147" i="50"/>
  <c r="BJ127" i="50"/>
  <c r="DR88" i="50"/>
  <c r="CD75" i="50"/>
  <c r="CV84" i="50"/>
  <c r="DS152" i="50"/>
  <c r="AW206" i="50"/>
  <c r="BF217" i="50"/>
  <c r="BP74" i="50"/>
  <c r="T127" i="50"/>
  <c r="DR130" i="50"/>
  <c r="CD114" i="50"/>
  <c r="CV125" i="50"/>
  <c r="DS127" i="50"/>
  <c r="AA11" i="26"/>
  <c r="EF90" i="50"/>
  <c r="BP163" i="50"/>
  <c r="CS191" i="50"/>
  <c r="DR167" i="50"/>
  <c r="CD184" i="50"/>
  <c r="CV191" i="50"/>
  <c r="CV86" i="50"/>
  <c r="EF78" i="50"/>
  <c r="EF98" i="50"/>
  <c r="BP79" i="50"/>
  <c r="CR191" i="50"/>
  <c r="DR191" i="50"/>
  <c r="CD200" i="50"/>
  <c r="CV205" i="50"/>
  <c r="CV94" i="50"/>
  <c r="EF117" i="50"/>
  <c r="EF145" i="50"/>
  <c r="BP189" i="50"/>
  <c r="ER191" i="50"/>
  <c r="EW90" i="50"/>
  <c r="CD163" i="50"/>
  <c r="CV166" i="50"/>
  <c r="CV137" i="50"/>
  <c r="EF83" i="50"/>
  <c r="EF103" i="50"/>
  <c r="BP150" i="50"/>
  <c r="Z191" i="50"/>
  <c r="EW93" i="50"/>
  <c r="DQ205" i="50"/>
  <c r="AA22" i="50"/>
  <c r="CV101" i="50"/>
  <c r="CV87" i="50"/>
  <c r="BF151" i="50"/>
  <c r="BF189" i="50"/>
  <c r="AZ127" i="50"/>
  <c r="DR104" i="50"/>
  <c r="CD91" i="50"/>
  <c r="CV100" i="50"/>
  <c r="DS192" i="50"/>
  <c r="DS83" i="50"/>
  <c r="BF185" i="50"/>
  <c r="BF203" i="50"/>
  <c r="AF127" i="50"/>
  <c r="DR112" i="50"/>
  <c r="CD99" i="50"/>
  <c r="CV108" i="50"/>
  <c r="DS111" i="50"/>
  <c r="DS91" i="50"/>
  <c r="BP84" i="50"/>
  <c r="BP96" i="50"/>
  <c r="I127" i="50"/>
  <c r="DR188" i="50"/>
  <c r="CD148" i="50"/>
  <c r="CV75" i="50"/>
  <c r="DS169" i="50"/>
  <c r="DS94" i="50"/>
  <c r="EF82" i="50"/>
  <c r="BP145" i="50"/>
  <c r="BN191" i="50"/>
  <c r="DR149" i="50"/>
  <c r="CD106" i="50"/>
  <c r="CV169" i="50"/>
  <c r="CV78" i="50"/>
  <c r="DS218" i="50"/>
  <c r="BF96" i="50"/>
  <c r="BF108" i="50"/>
  <c r="CB127" i="50"/>
  <c r="I191" i="50"/>
  <c r="EW185" i="50"/>
  <c r="DS117" i="50"/>
  <c r="DS105" i="50"/>
  <c r="Z206" i="50"/>
  <c r="BF104" i="50"/>
  <c r="BF116" i="50"/>
  <c r="CA127" i="50"/>
  <c r="K191" i="50"/>
  <c r="EW199" i="50"/>
  <c r="DS125" i="50"/>
  <c r="DS76" i="50"/>
  <c r="CO206" i="50"/>
  <c r="BF166" i="50"/>
  <c r="BF200" i="50"/>
  <c r="BA127" i="50"/>
  <c r="DR93" i="50"/>
  <c r="EW166" i="50"/>
  <c r="DS203" i="50"/>
  <c r="DS114" i="50"/>
  <c r="AX206" i="50"/>
  <c r="BF137" i="50"/>
  <c r="BF165" i="50"/>
  <c r="Y127" i="50"/>
  <c r="DR96" i="50"/>
  <c r="CD83" i="50"/>
  <c r="CV92" i="50"/>
  <c r="DS184" i="50"/>
  <c r="DS146" i="50"/>
  <c r="BP100" i="50"/>
  <c r="BP113" i="50"/>
  <c r="E127" i="50"/>
  <c r="DR117" i="50"/>
  <c r="CD82" i="50"/>
  <c r="CV91" i="50"/>
  <c r="DS205" i="50"/>
  <c r="DS110" i="50"/>
  <c r="BP108" i="50"/>
  <c r="BP121" i="50"/>
  <c r="F127" i="50"/>
  <c r="DR125" i="50"/>
  <c r="CD90" i="50"/>
  <c r="CV99" i="50"/>
  <c r="DS223" i="50"/>
  <c r="EF86" i="50"/>
  <c r="EF106" i="50"/>
  <c r="BP87" i="50"/>
  <c r="DO191" i="50"/>
  <c r="DR205" i="50"/>
  <c r="CD113" i="50"/>
  <c r="CV118" i="50"/>
  <c r="CV102" i="50"/>
  <c r="EF125" i="50"/>
  <c r="EF163" i="50"/>
  <c r="BP203" i="50"/>
  <c r="AL191" i="50"/>
  <c r="EW98" i="50"/>
  <c r="CD187" i="50"/>
  <c r="CV188" i="50"/>
  <c r="CV151" i="50"/>
  <c r="CV96" i="50"/>
  <c r="BK222" i="50"/>
  <c r="AL222" i="50"/>
  <c r="CU203" i="50"/>
  <c r="N127" i="50"/>
  <c r="DR190" i="50"/>
  <c r="DK206" i="50"/>
  <c r="ET206" i="50"/>
  <c r="EG118" i="50"/>
  <c r="AT222" i="50"/>
  <c r="EA222" i="50"/>
  <c r="CU221" i="50"/>
  <c r="D127" i="50"/>
  <c r="DR111" i="50"/>
  <c r="X206" i="50"/>
  <c r="CQ206" i="50"/>
  <c r="EG126" i="50"/>
  <c r="AA222" i="50"/>
  <c r="AG222" i="50"/>
  <c r="BP165" i="50"/>
  <c r="CB191" i="50"/>
  <c r="DR185" i="50"/>
  <c r="AD12" i="26"/>
  <c r="AR206" i="50"/>
  <c r="EG202" i="50"/>
  <c r="X222" i="50"/>
  <c r="L222" i="50"/>
  <c r="BP167" i="50"/>
  <c r="AN191" i="50"/>
  <c r="EW84" i="50"/>
  <c r="DS74" i="50"/>
  <c r="DZ206" i="50"/>
  <c r="BE206" i="50"/>
  <c r="DJ151" i="50"/>
  <c r="K151" i="50"/>
  <c r="CU116" i="50"/>
  <c r="AT127" i="50"/>
  <c r="DR95" i="50"/>
  <c r="DN206" i="50"/>
  <c r="EG146" i="50"/>
  <c r="EG79" i="50"/>
  <c r="M151" i="50"/>
  <c r="E151" i="50"/>
  <c r="CU124" i="50"/>
  <c r="AO127" i="50"/>
  <c r="DR103" i="50"/>
  <c r="AJ206" i="50"/>
  <c r="EG164" i="50"/>
  <c r="EG87" i="50"/>
  <c r="BD222" i="50"/>
  <c r="CR222" i="50"/>
  <c r="CU115" i="50"/>
  <c r="EQ127" i="50"/>
  <c r="DR106" i="50"/>
  <c r="AC206" i="50"/>
  <c r="CD206" i="50"/>
  <c r="EG127" i="50"/>
  <c r="AJ222" i="50"/>
  <c r="ER222" i="50"/>
  <c r="CU189" i="50"/>
  <c r="O127" i="50"/>
  <c r="DR168" i="50"/>
  <c r="P206" i="50"/>
  <c r="EC206" i="50"/>
  <c r="EG205" i="50"/>
  <c r="AU151" i="50"/>
  <c r="CP151" i="50"/>
  <c r="E168" i="50"/>
  <c r="BP188" i="50"/>
  <c r="EQ191" i="50"/>
  <c r="EG184" i="50"/>
  <c r="EG101" i="50"/>
  <c r="DY192" i="50"/>
  <c r="AS151" i="50"/>
  <c r="AQ151" i="50"/>
  <c r="F168" i="50"/>
  <c r="BP204" i="50"/>
  <c r="Q191" i="50"/>
  <c r="EG192" i="50"/>
  <c r="EG109" i="50"/>
  <c r="AY192" i="50"/>
  <c r="AH151" i="50"/>
  <c r="AF151" i="50"/>
  <c r="CU107" i="50"/>
  <c r="EU127" i="50"/>
  <c r="N191" i="50"/>
  <c r="CC206" i="50"/>
  <c r="EG167" i="50"/>
  <c r="AW192" i="50"/>
  <c r="BI151" i="50"/>
  <c r="I151" i="50"/>
  <c r="CU108" i="50"/>
  <c r="BK127" i="50"/>
  <c r="DR87" i="50"/>
  <c r="ES206" i="50"/>
  <c r="EG132" i="50"/>
  <c r="EG108" i="50"/>
  <c r="BC222" i="50"/>
  <c r="BL222" i="50"/>
  <c r="CU133" i="50"/>
  <c r="P127" i="50"/>
  <c r="DR122" i="50"/>
  <c r="AA206" i="50"/>
  <c r="EE206" i="50"/>
  <c r="EG151" i="50"/>
  <c r="ES222" i="50"/>
  <c r="EB222" i="50"/>
  <c r="CU147" i="50"/>
  <c r="DK127" i="50"/>
  <c r="DR132" i="50"/>
  <c r="EQ206" i="50"/>
  <c r="CT206" i="50"/>
  <c r="EG169" i="50"/>
  <c r="AO222" i="50"/>
  <c r="AE222" i="50"/>
  <c r="BP115" i="50"/>
  <c r="H127" i="50"/>
  <c r="DR119" i="50"/>
  <c r="O206" i="50"/>
  <c r="BB206" i="50"/>
  <c r="EG134" i="50"/>
  <c r="EQ222" i="50"/>
  <c r="S222" i="50"/>
  <c r="BP81" i="50"/>
  <c r="CA191" i="50"/>
  <c r="DR199" i="50"/>
  <c r="DS79" i="50"/>
  <c r="AP206" i="50"/>
  <c r="EG220" i="50"/>
  <c r="AC11" i="26"/>
  <c r="BF83" i="50"/>
  <c r="BP136" i="50"/>
  <c r="BJ191" i="50"/>
  <c r="EW87" i="50"/>
  <c r="DS112" i="50"/>
  <c r="DJ206" i="50"/>
  <c r="BL206" i="50"/>
  <c r="BF79" i="50"/>
  <c r="BF91" i="50"/>
  <c r="BP164" i="50"/>
  <c r="Y191" i="50"/>
  <c r="EW95" i="50"/>
  <c r="DS120" i="50"/>
  <c r="M206" i="50"/>
  <c r="EB206" i="50"/>
  <c r="BF80" i="50"/>
  <c r="BF92" i="50"/>
  <c r="DQ127" i="50"/>
  <c r="W191" i="50"/>
  <c r="EW137" i="50"/>
  <c r="DS190" i="50"/>
  <c r="DS89" i="50"/>
  <c r="AE206" i="50"/>
  <c r="BF120" i="50"/>
  <c r="BF134" i="50"/>
  <c r="BZ127" i="50"/>
  <c r="F191" i="50"/>
  <c r="EW120" i="50"/>
  <c r="DS149" i="50"/>
  <c r="DS92" i="50"/>
  <c r="S206" i="50"/>
  <c r="AC222" i="50"/>
  <c r="Z222" i="50"/>
  <c r="BP133" i="50"/>
  <c r="DQ191" i="50"/>
  <c r="DR137" i="50"/>
  <c r="D206" i="50"/>
  <c r="AU206" i="50"/>
  <c r="EG166" i="50"/>
  <c r="AI222" i="50"/>
  <c r="CO222" i="50"/>
  <c r="BP147" i="50"/>
  <c r="DP191" i="50"/>
  <c r="DR151" i="50"/>
  <c r="H206" i="50"/>
  <c r="AS206" i="50"/>
  <c r="EG188" i="50"/>
  <c r="DK222" i="50"/>
  <c r="AX222" i="50"/>
  <c r="BP105" i="50"/>
  <c r="BY191" i="50"/>
  <c r="EW76" i="50"/>
  <c r="DS103" i="50"/>
  <c r="AH206" i="50"/>
  <c r="EF206" i="50"/>
  <c r="H222" i="50"/>
  <c r="BF75" i="50"/>
  <c r="BP126" i="50"/>
  <c r="AD191" i="50"/>
  <c r="EW79" i="50"/>
  <c r="DS106" i="50"/>
  <c r="BI206" i="50"/>
  <c r="DO206" i="50"/>
  <c r="CC222" i="50"/>
  <c r="BN222" i="50"/>
  <c r="CU184" i="50"/>
  <c r="AI127" i="50"/>
  <c r="DR90" i="50"/>
  <c r="AO206" i="50"/>
  <c r="EG218" i="50"/>
  <c r="EG111" i="50"/>
  <c r="EV222" i="50"/>
  <c r="CS222" i="50"/>
  <c r="CU200" i="50"/>
  <c r="AA127" i="50"/>
  <c r="DR98" i="50"/>
  <c r="DM206" i="50"/>
  <c r="EG219" i="50"/>
  <c r="EG119" i="50"/>
  <c r="DN222" i="50"/>
  <c r="AK222" i="50"/>
  <c r="CU165" i="50"/>
  <c r="X127" i="50"/>
  <c r="DR148" i="50"/>
  <c r="Q206" i="50"/>
  <c r="ED206" i="50"/>
  <c r="EG191" i="50"/>
  <c r="DM222" i="50"/>
  <c r="AB222" i="50"/>
  <c r="BP123" i="50"/>
  <c r="BO191" i="50"/>
  <c r="DR127" i="50"/>
  <c r="N206" i="50"/>
  <c r="AM206" i="50"/>
  <c r="EG148" i="50"/>
  <c r="O222" i="50"/>
  <c r="J222" i="50"/>
  <c r="BP191" i="50"/>
  <c r="BA191" i="50"/>
  <c r="EW92" i="50"/>
  <c r="DS82" i="50"/>
  <c r="BW206" i="50"/>
  <c r="BN206" i="50"/>
  <c r="N222" i="50"/>
  <c r="G222" i="50"/>
  <c r="BP205" i="50"/>
  <c r="CP191" i="50"/>
  <c r="EW100" i="50"/>
  <c r="DS90" i="50"/>
  <c r="U206" i="50"/>
  <c r="CS206" i="50"/>
  <c r="BF87" i="50"/>
  <c r="BF99" i="50"/>
  <c r="BP186" i="50"/>
  <c r="AZ191" i="50"/>
  <c r="EW103" i="50"/>
  <c r="DS128" i="50"/>
  <c r="AV206" i="50"/>
  <c r="AK206" i="50"/>
  <c r="BF88" i="50"/>
  <c r="BF100" i="50"/>
  <c r="DP127" i="50"/>
  <c r="BH191" i="50"/>
  <c r="EW151" i="50"/>
  <c r="DS204" i="50"/>
  <c r="DS97" i="50"/>
  <c r="C137" i="50"/>
  <c r="BN151" i="50"/>
  <c r="AU191" i="50"/>
  <c r="EW88" i="50"/>
  <c r="CD151" i="50"/>
  <c r="Z168" i="50"/>
  <c r="BO128" i="50"/>
  <c r="BG150" i="50"/>
  <c r="CC151" i="50"/>
  <c r="CS151" i="50"/>
  <c r="AS191" i="50"/>
  <c r="EW96" i="50"/>
  <c r="CD185" i="50"/>
  <c r="CO168" i="50"/>
  <c r="DQ128" i="50"/>
  <c r="BG168" i="50"/>
  <c r="ES151" i="50"/>
  <c r="AK151" i="50"/>
  <c r="AH191" i="50"/>
  <c r="EW99" i="50"/>
  <c r="BN205" i="50"/>
  <c r="AX168" i="50"/>
  <c r="BZ128" i="50"/>
  <c r="BG137" i="50"/>
  <c r="AO151" i="50"/>
  <c r="AB151" i="50"/>
  <c r="BI191" i="50"/>
  <c r="EW147" i="50"/>
  <c r="EB205" i="50"/>
  <c r="CU73" i="50"/>
  <c r="AQ128" i="50"/>
  <c r="BG223" i="50"/>
  <c r="AP137" i="50"/>
  <c r="Y137" i="50"/>
  <c r="L127" i="50"/>
  <c r="DR186" i="50"/>
  <c r="CD146" i="50"/>
  <c r="BN168" i="50"/>
  <c r="BG188" i="50"/>
  <c r="BG89" i="50"/>
  <c r="BX137" i="50"/>
  <c r="AZ137" i="50"/>
  <c r="J127" i="50"/>
  <c r="DR202" i="50"/>
  <c r="CD166" i="50"/>
  <c r="CS168" i="50"/>
  <c r="BG202" i="50"/>
  <c r="BG97" i="50"/>
  <c r="U137" i="50"/>
  <c r="BH137" i="50"/>
  <c r="ED191" i="50"/>
  <c r="DR165" i="50"/>
  <c r="CD168" i="50"/>
  <c r="AK168" i="50"/>
  <c r="BG167" i="50"/>
  <c r="BG98" i="50"/>
  <c r="AV137" i="50"/>
  <c r="BE151" i="50"/>
  <c r="AM191" i="50"/>
  <c r="EW80" i="50"/>
  <c r="CD137" i="50"/>
  <c r="AB168" i="50"/>
  <c r="DR128" i="50"/>
  <c r="BG136" i="50"/>
  <c r="EF219" i="50"/>
  <c r="DP137" i="50"/>
  <c r="ER127" i="50"/>
  <c r="DR91" i="50"/>
  <c r="EW164" i="50"/>
  <c r="Y205" i="50"/>
  <c r="BG103" i="50"/>
  <c r="CV223" i="50"/>
  <c r="EE137" i="50"/>
  <c r="CB137" i="50"/>
  <c r="AL127" i="50"/>
  <c r="DR99" i="50"/>
  <c r="EW186" i="50"/>
  <c r="AZ205" i="50"/>
  <c r="BG111" i="50"/>
  <c r="AA26" i="50"/>
  <c r="CQ137" i="50"/>
  <c r="AN137" i="50"/>
  <c r="CO127" i="50"/>
  <c r="DR102" i="50"/>
  <c r="CD89" i="50"/>
  <c r="BH205" i="50"/>
  <c r="BG206" i="50"/>
  <c r="G30" i="50"/>
  <c r="AR137" i="50"/>
  <c r="BJ137" i="50"/>
  <c r="AX127" i="50"/>
  <c r="DR164" i="50"/>
  <c r="CD130" i="50"/>
  <c r="BE168" i="50"/>
  <c r="BG166" i="50"/>
  <c r="BG81" i="50"/>
  <c r="BI137" i="50"/>
  <c r="K137" i="50"/>
  <c r="ET191" i="50"/>
  <c r="DR203" i="50"/>
  <c r="CD217" i="50"/>
  <c r="AL168" i="50"/>
  <c r="BG203" i="50"/>
  <c r="BG112" i="50"/>
  <c r="DJ137" i="50"/>
  <c r="E137" i="50"/>
  <c r="CQ191" i="50"/>
  <c r="DR221" i="50"/>
  <c r="CD119" i="50"/>
  <c r="EA168" i="50"/>
  <c r="BG221" i="50"/>
  <c r="BG120" i="50"/>
  <c r="EV151" i="50"/>
  <c r="CR151" i="50"/>
  <c r="AR191" i="50"/>
  <c r="EW104" i="50"/>
  <c r="CD199" i="50"/>
  <c r="AG168" i="50"/>
  <c r="DP128" i="50"/>
  <c r="BG190" i="50"/>
  <c r="DN151" i="50"/>
  <c r="ER151" i="50"/>
  <c r="DZ191" i="50"/>
  <c r="EW107" i="50"/>
  <c r="CS205" i="50"/>
  <c r="L168" i="50"/>
  <c r="BY128" i="50"/>
  <c r="EQ151" i="50"/>
  <c r="DY151" i="50"/>
  <c r="DR73" i="50"/>
  <c r="EW124" i="50"/>
  <c r="AE205" i="50"/>
  <c r="CU74" i="50"/>
  <c r="AF128" i="50"/>
  <c r="BD128" i="50"/>
  <c r="Q151" i="50"/>
  <c r="AY151" i="50"/>
  <c r="DR81" i="50"/>
  <c r="EW134" i="50"/>
  <c r="AB205" i="50"/>
  <c r="CU82" i="50"/>
  <c r="V128" i="50"/>
  <c r="EU128" i="50"/>
  <c r="N151" i="50"/>
  <c r="AW151" i="50"/>
  <c r="DR84" i="50"/>
  <c r="EW221" i="50"/>
  <c r="DY205" i="50"/>
  <c r="CU122" i="50"/>
  <c r="K128" i="50"/>
  <c r="BK128" i="50"/>
  <c r="DP222" i="50"/>
  <c r="ET222" i="50"/>
  <c r="DR124" i="50"/>
  <c r="CD111" i="50"/>
  <c r="G205" i="50"/>
  <c r="CU113" i="50"/>
  <c r="EX95" i="50"/>
  <c r="AI128" i="50"/>
  <c r="EU151" i="50"/>
  <c r="BL151" i="50"/>
  <c r="BX191" i="50"/>
  <c r="EW83" i="50"/>
  <c r="CD222" i="50"/>
  <c r="DY168" i="50"/>
  <c r="CA128" i="50"/>
  <c r="BG119" i="50"/>
  <c r="BC151" i="50"/>
  <c r="EB151" i="50"/>
  <c r="DL191" i="50"/>
  <c r="EW91" i="50"/>
  <c r="BE205" i="50"/>
  <c r="AY168" i="50"/>
  <c r="BM128" i="50"/>
  <c r="BG127" i="50"/>
  <c r="AT151" i="50"/>
  <c r="AE151" i="50"/>
  <c r="R191" i="50"/>
  <c r="EW133" i="50"/>
  <c r="BL205" i="50"/>
  <c r="AW168" i="50"/>
  <c r="CP128" i="50"/>
  <c r="BG205" i="50"/>
  <c r="AA151" i="50"/>
  <c r="S151" i="50"/>
  <c r="C191" i="50"/>
  <c r="EW116" i="50"/>
  <c r="EA205" i="50"/>
  <c r="CU105" i="50"/>
  <c r="AZ128" i="50"/>
  <c r="EV128" i="50"/>
  <c r="DZ137" i="50"/>
  <c r="T137" i="50"/>
  <c r="EE191" i="50"/>
  <c r="DR133" i="50"/>
  <c r="CD96" i="50"/>
  <c r="BL168" i="50"/>
  <c r="BG135" i="50"/>
  <c r="BG82" i="50"/>
  <c r="BW137" i="50"/>
  <c r="W137" i="50"/>
  <c r="CT191" i="50"/>
  <c r="DR147" i="50"/>
  <c r="CD104" i="50"/>
  <c r="EB168" i="50"/>
  <c r="BG149" i="50"/>
  <c r="BG90" i="50"/>
  <c r="M137" i="50"/>
  <c r="F137" i="50"/>
  <c r="BB191" i="50"/>
  <c r="EW73" i="50"/>
  <c r="CD127" i="50"/>
  <c r="AE168" i="50"/>
  <c r="BG222" i="50"/>
  <c r="BG128" i="50"/>
  <c r="BD151" i="50"/>
  <c r="DO151" i="50"/>
  <c r="AP191" i="50"/>
  <c r="EW75" i="50"/>
  <c r="CD219" i="50"/>
  <c r="S168" i="50"/>
  <c r="CB128" i="50"/>
  <c r="BG204" i="50"/>
  <c r="DM151" i="50"/>
  <c r="Z151" i="50"/>
  <c r="DJ191" i="50"/>
  <c r="EW165" i="50"/>
  <c r="AK205" i="50"/>
  <c r="CU81" i="50"/>
  <c r="AD128" i="50"/>
  <c r="CU128" i="50"/>
  <c r="AC151" i="50"/>
  <c r="CO151" i="50"/>
  <c r="M191" i="50"/>
  <c r="EW189" i="50"/>
  <c r="ER205" i="50"/>
  <c r="CU89" i="50"/>
  <c r="BJ128" i="50"/>
  <c r="BP128" i="50"/>
  <c r="P151" i="50"/>
  <c r="AX151" i="50"/>
  <c r="DR89" i="50"/>
  <c r="EW150" i="50"/>
  <c r="Z205" i="50"/>
  <c r="CU90" i="50"/>
  <c r="T128" i="50"/>
  <c r="BC128" i="50"/>
  <c r="D151" i="50"/>
  <c r="EE222" i="50"/>
  <c r="DR92" i="50"/>
  <c r="CD79" i="50"/>
  <c r="AY205" i="50"/>
  <c r="CU132" i="50"/>
  <c r="E128" i="50"/>
  <c r="AT128" i="50"/>
  <c r="EF201" i="50"/>
  <c r="EF126" i="50"/>
  <c r="BE127" i="50"/>
  <c r="AY191" i="50"/>
  <c r="EW135" i="50"/>
  <c r="BZ205" i="50"/>
  <c r="AA24" i="50"/>
  <c r="CV120" i="50"/>
  <c r="EF114" i="50"/>
  <c r="EF136" i="50"/>
  <c r="BN127" i="50"/>
  <c r="AX191" i="50"/>
  <c r="EW149" i="50"/>
  <c r="BY205" i="50"/>
  <c r="AG47" i="50"/>
  <c r="CV128" i="50"/>
  <c r="EF190" i="50"/>
  <c r="BO137" i="50"/>
  <c r="EB127" i="50"/>
  <c r="DR75" i="50"/>
  <c r="EW126" i="50"/>
  <c r="AD205" i="50"/>
  <c r="BG87" i="50"/>
  <c r="CV204" i="50"/>
  <c r="ED137" i="50"/>
  <c r="BM137" i="50"/>
  <c r="AE127" i="50"/>
  <c r="DR78" i="50"/>
  <c r="EW222" i="50"/>
  <c r="V205" i="50"/>
  <c r="BG88" i="50"/>
  <c r="AA28" i="50"/>
  <c r="EF102" i="50"/>
  <c r="EF121" i="50"/>
  <c r="BP103" i="50"/>
  <c r="EB191" i="50"/>
  <c r="EW74" i="50"/>
  <c r="CD131" i="50"/>
  <c r="CV134" i="50"/>
  <c r="CV119" i="50"/>
  <c r="EF110" i="50"/>
  <c r="EF131" i="50"/>
  <c r="BP111" i="50"/>
  <c r="AK191" i="50"/>
  <c r="EW82" i="50"/>
  <c r="CD145" i="50"/>
  <c r="CV148" i="50"/>
  <c r="CV127" i="50"/>
  <c r="EF75" i="50"/>
  <c r="EF95" i="50"/>
  <c r="BP134" i="50"/>
  <c r="AB191" i="50"/>
  <c r="EW85" i="50"/>
  <c r="BO205" i="50"/>
  <c r="CV221" i="50"/>
  <c r="CV93" i="50"/>
  <c r="EF187" i="50"/>
  <c r="EF118" i="50"/>
  <c r="BP221" i="50"/>
  <c r="DY191" i="50"/>
  <c r="EW125" i="50"/>
  <c r="BM205" i="50"/>
  <c r="AG56" i="50"/>
  <c r="CV112" i="50"/>
  <c r="CV187" i="50"/>
  <c r="BF220" i="50"/>
  <c r="BP80" i="50"/>
  <c r="W127" i="50"/>
  <c r="DR146" i="50"/>
  <c r="CD122" i="50"/>
  <c r="CV135" i="50"/>
  <c r="DS137" i="50"/>
  <c r="DS78" i="50"/>
  <c r="BP76" i="50"/>
  <c r="BP88" i="50"/>
  <c r="BH127" i="50"/>
  <c r="DR166" i="50"/>
  <c r="CD132" i="50"/>
  <c r="CV149" i="50"/>
  <c r="DS151" i="50"/>
  <c r="DS86" i="50"/>
  <c r="EF73" i="50"/>
  <c r="BP131" i="50"/>
  <c r="BE191" i="50"/>
  <c r="DR135" i="50"/>
  <c r="CD98" i="50"/>
  <c r="CV107" i="50"/>
  <c r="Z12" i="26"/>
  <c r="EF94" i="50"/>
  <c r="EF113" i="50"/>
  <c r="BP95" i="50"/>
  <c r="BL191" i="50"/>
  <c r="DR218" i="50"/>
  <c r="CD121" i="50"/>
  <c r="CV126" i="50"/>
  <c r="CV110" i="50"/>
  <c r="EF91" i="50"/>
  <c r="EF167" i="50"/>
  <c r="BP184" i="50"/>
  <c r="CO191" i="50"/>
  <c r="EW101" i="50"/>
  <c r="DP205" i="50"/>
  <c r="AG49" i="50"/>
  <c r="CV109" i="50"/>
  <c r="EF99" i="50"/>
  <c r="EF191" i="50"/>
  <c r="BP200" i="50"/>
  <c r="AG191" i="50"/>
  <c r="EW109" i="50"/>
  <c r="CB205" i="50"/>
  <c r="AA21" i="50"/>
  <c r="CV185" i="50"/>
  <c r="EF122" i="50"/>
  <c r="EF164" i="50"/>
  <c r="CS127" i="50"/>
  <c r="L191" i="50"/>
  <c r="EW167" i="50"/>
  <c r="AN205" i="50"/>
  <c r="AA19" i="50"/>
  <c r="CV136" i="50"/>
  <c r="EF218" i="50"/>
  <c r="DQ137" i="50"/>
  <c r="AK127" i="50"/>
  <c r="DR83" i="50"/>
  <c r="EW136" i="50"/>
  <c r="BJ205" i="50"/>
  <c r="BG95" i="50"/>
  <c r="CV222" i="50"/>
  <c r="AM137" i="50"/>
  <c r="CP137" i="50"/>
  <c r="S127" i="50"/>
  <c r="DR118" i="50"/>
  <c r="CD105" i="50"/>
  <c r="K205" i="50"/>
  <c r="BG126" i="50"/>
  <c r="AA23" i="50"/>
  <c r="AU137" i="50"/>
  <c r="AQ137" i="50"/>
  <c r="DY127" i="50"/>
  <c r="DR126" i="50"/>
  <c r="CD112" i="50"/>
  <c r="E205" i="50"/>
  <c r="BG134" i="50"/>
  <c r="AG42" i="50"/>
  <c r="DL137" i="50"/>
  <c r="AF137" i="50"/>
  <c r="G127" i="50"/>
  <c r="DR115" i="50"/>
  <c r="CD80" i="50"/>
  <c r="CR168" i="50"/>
  <c r="BG117" i="50"/>
  <c r="BG105" i="50"/>
  <c r="R137" i="50"/>
  <c r="I137" i="50"/>
  <c r="EC191" i="50"/>
  <c r="DR189" i="50"/>
  <c r="CD190" i="50"/>
  <c r="ER168" i="50"/>
  <c r="BG189" i="50"/>
  <c r="BG106" i="50"/>
  <c r="EF148" i="50"/>
  <c r="EF202" i="50"/>
  <c r="DO127" i="50"/>
  <c r="G191" i="50"/>
  <c r="EW205" i="50"/>
  <c r="CP205" i="50"/>
  <c r="AG54" i="50"/>
  <c r="CV168" i="50"/>
  <c r="EF168" i="50"/>
  <c r="EF222" i="50"/>
  <c r="BL127" i="50"/>
  <c r="AW191" i="50"/>
  <c r="EW118" i="50"/>
  <c r="AQ205" i="50"/>
  <c r="BG79" i="50"/>
  <c r="CV190" i="50"/>
  <c r="CT137" i="50"/>
  <c r="CA137" i="50"/>
  <c r="EA127" i="50"/>
  <c r="DR107" i="50"/>
  <c r="EW202" i="50"/>
  <c r="AF205" i="50"/>
  <c r="BG80" i="50"/>
  <c r="AG53" i="50"/>
  <c r="BB137" i="50"/>
  <c r="BA137" i="50"/>
  <c r="AG127" i="50"/>
  <c r="DR110" i="50"/>
  <c r="CD97" i="50"/>
  <c r="I205" i="50"/>
  <c r="BG118" i="50"/>
  <c r="AG51" i="50"/>
  <c r="EF135" i="50"/>
  <c r="EF79" i="50"/>
  <c r="BP116" i="50"/>
  <c r="EA191" i="50"/>
  <c r="EW106" i="50"/>
  <c r="CD201" i="50"/>
  <c r="CV202" i="50"/>
  <c r="CV77" i="50"/>
  <c r="EF149" i="50"/>
  <c r="EF87" i="50"/>
  <c r="BP124" i="50"/>
  <c r="AE191" i="50"/>
  <c r="EW77" i="50"/>
  <c r="CD221" i="50"/>
  <c r="CV220" i="50"/>
  <c r="CV85" i="50"/>
  <c r="EF107" i="50"/>
  <c r="EF205" i="50"/>
  <c r="BP220" i="50"/>
  <c r="S191" i="50"/>
  <c r="EW117" i="50"/>
  <c r="CA205" i="50"/>
  <c r="AA36" i="50"/>
  <c r="CV199" i="50"/>
  <c r="EF132" i="50"/>
  <c r="EF186" i="50"/>
  <c r="CR127" i="50"/>
  <c r="J191" i="50"/>
  <c r="EW191" i="50"/>
  <c r="BA205" i="50"/>
  <c r="AA34" i="50"/>
  <c r="CV150" i="50"/>
  <c r="EC137" i="50"/>
  <c r="BZ137" i="50"/>
  <c r="AB127" i="50"/>
  <c r="DR86" i="50"/>
  <c r="CD73" i="50"/>
  <c r="T205" i="50"/>
  <c r="BG96" i="50"/>
  <c r="AG44" i="50"/>
  <c r="ET137" i="50"/>
  <c r="BY137" i="50"/>
  <c r="Z127" i="50"/>
  <c r="DR94" i="50"/>
  <c r="CD81" i="50"/>
  <c r="W205" i="50"/>
  <c r="BG104" i="50"/>
  <c r="BG73" i="50"/>
  <c r="AS137" i="50"/>
  <c r="AD137" i="50"/>
  <c r="AY127" i="50"/>
  <c r="DR136" i="50"/>
  <c r="CD120" i="50"/>
  <c r="F205" i="50"/>
  <c r="BG148" i="50"/>
  <c r="AG58" i="50"/>
  <c r="AH137" i="50"/>
  <c r="V137" i="50"/>
  <c r="AW127" i="50"/>
  <c r="DR123" i="50"/>
  <c r="CD88" i="50"/>
  <c r="DO168" i="50"/>
  <c r="BG125" i="50"/>
  <c r="BG74" i="50"/>
  <c r="BF186" i="50"/>
  <c r="BF121" i="50"/>
  <c r="EW219" i="50"/>
  <c r="U205" i="50"/>
  <c r="CU120" i="50"/>
  <c r="CC223" i="50"/>
  <c r="BJ152" i="50"/>
  <c r="CU152" i="50"/>
  <c r="BF202" i="50"/>
  <c r="BF131" i="50"/>
  <c r="CD77" i="50"/>
  <c r="R205" i="50"/>
  <c r="CU130" i="50"/>
  <c r="EV223" i="50"/>
  <c r="Y152" i="50"/>
  <c r="BP152" i="50"/>
  <c r="BF167" i="50"/>
  <c r="BF219" i="50"/>
  <c r="CD116" i="50"/>
  <c r="C205" i="50"/>
  <c r="CU119" i="50"/>
  <c r="DN223" i="50"/>
  <c r="W152" i="50"/>
  <c r="BC152" i="50"/>
  <c r="BP82" i="50"/>
  <c r="BP102" i="50"/>
  <c r="CD84" i="50"/>
  <c r="BC168" i="50"/>
  <c r="CU199" i="50"/>
  <c r="DM223" i="50"/>
  <c r="F152" i="50"/>
  <c r="AT152" i="50"/>
  <c r="BF93" i="50"/>
  <c r="BF74" i="50"/>
  <c r="EW131" i="50"/>
  <c r="CQ205" i="50"/>
  <c r="C168" i="50"/>
  <c r="CO152" i="50"/>
  <c r="DQ152" i="50"/>
  <c r="EX164" i="50"/>
  <c r="BF101" i="50"/>
  <c r="BF82" i="50"/>
  <c r="EW145" i="50"/>
  <c r="BB205" i="50"/>
  <c r="AE11" i="26"/>
  <c r="AG152" i="50"/>
  <c r="DP152" i="50"/>
  <c r="EX186" i="50"/>
  <c r="BF102" i="50"/>
  <c r="BF122" i="50"/>
  <c r="EW122" i="50"/>
  <c r="AP205" i="50"/>
  <c r="CU111" i="50"/>
  <c r="L152" i="50"/>
  <c r="BY152" i="50"/>
  <c r="EX137" i="50"/>
  <c r="BF164" i="50"/>
  <c r="BF113" i="50"/>
  <c r="EW218" i="50"/>
  <c r="BW205" i="50"/>
  <c r="CU112" i="50"/>
  <c r="BP223" i="50"/>
  <c r="AD152" i="50"/>
  <c r="EX223" i="50"/>
  <c r="AZ222" i="50"/>
  <c r="U222" i="50"/>
  <c r="DR222" i="50"/>
  <c r="CD125" i="50"/>
  <c r="AP168" i="50"/>
  <c r="CS152" i="50"/>
  <c r="EX192" i="50"/>
  <c r="EX89" i="50"/>
  <c r="AF222" i="50"/>
  <c r="R222" i="50"/>
  <c r="EW78" i="50"/>
  <c r="CD135" i="50"/>
  <c r="BX168" i="50"/>
  <c r="CR152" i="50"/>
  <c r="EX206" i="50"/>
  <c r="EX97" i="50"/>
  <c r="I222" i="50"/>
  <c r="C222" i="50"/>
  <c r="EW81" i="50"/>
  <c r="CD220" i="50"/>
  <c r="U168" i="50"/>
  <c r="ER152" i="50"/>
  <c r="EX167" i="50"/>
  <c r="EX100" i="50"/>
  <c r="BF85" i="50"/>
  <c r="BF105" i="50"/>
  <c r="EW121" i="50"/>
  <c r="ET205" i="50"/>
  <c r="AV168" i="50"/>
  <c r="Z152" i="50"/>
  <c r="BO152" i="50"/>
  <c r="EX146" i="50"/>
  <c r="BF118" i="50"/>
  <c r="BF148" i="50"/>
  <c r="EW148" i="50"/>
  <c r="DL205" i="50"/>
  <c r="CU88" i="50"/>
  <c r="G152" i="50"/>
  <c r="BA152" i="50"/>
  <c r="EX169" i="50"/>
  <c r="BF126" i="50"/>
  <c r="BF168" i="50"/>
  <c r="EW168" i="50"/>
  <c r="AH205" i="50"/>
  <c r="CU96" i="50"/>
  <c r="AW152" i="50"/>
  <c r="CP152" i="50"/>
  <c r="EX191" i="50"/>
  <c r="BF117" i="50"/>
  <c r="BF145" i="50"/>
  <c r="CD85" i="50"/>
  <c r="BI205" i="50"/>
  <c r="CU146" i="50"/>
  <c r="BD223" i="50"/>
  <c r="AZ152" i="50"/>
  <c r="CC152" i="50"/>
  <c r="BF191" i="50"/>
  <c r="BF222" i="50"/>
  <c r="CD124" i="50"/>
  <c r="CC168" i="50"/>
  <c r="CU127" i="50"/>
  <c r="AJ223" i="50"/>
  <c r="BH152" i="50"/>
  <c r="BG151" i="50"/>
  <c r="BG199" i="50"/>
  <c r="BG124" i="50"/>
  <c r="BQ131" i="50"/>
  <c r="EH189" i="50"/>
  <c r="DT128" i="50"/>
  <c r="DQ139" i="50"/>
  <c r="EH221" i="50"/>
  <c r="DT164" i="50"/>
  <c r="BG217" i="50"/>
  <c r="BG132" i="50"/>
  <c r="BQ145" i="50"/>
  <c r="EH201" i="50"/>
  <c r="DT136" i="50"/>
  <c r="DP139" i="50"/>
  <c r="EH222" i="50"/>
  <c r="DT184" i="50"/>
  <c r="CT128" i="50"/>
  <c r="BG115" i="50"/>
  <c r="BQ120" i="50"/>
  <c r="CW88" i="50"/>
  <c r="DT222" i="50"/>
  <c r="BY139" i="50"/>
  <c r="CW108" i="50"/>
  <c r="BG153" i="50"/>
  <c r="BB128" i="50"/>
  <c r="BG187" i="50"/>
  <c r="BQ190" i="50"/>
  <c r="CW91" i="50"/>
  <c r="EF153" i="50"/>
  <c r="AD139" i="50"/>
  <c r="CW111" i="50"/>
  <c r="BD153" i="50"/>
  <c r="BG122" i="50"/>
  <c r="AG50" i="50"/>
  <c r="F169" i="50"/>
  <c r="EH130" i="50"/>
  <c r="DT99" i="50"/>
  <c r="S224" i="50"/>
  <c r="EH166" i="50"/>
  <c r="DT119" i="50"/>
  <c r="BG130" i="50"/>
  <c r="BG77" i="50"/>
  <c r="BQ78" i="50"/>
  <c r="EH138" i="50"/>
  <c r="DT107" i="50"/>
  <c r="DY224" i="50"/>
  <c r="EH186" i="50"/>
  <c r="DT127" i="50"/>
  <c r="BG113" i="50"/>
  <c r="BG78" i="50"/>
  <c r="BQ81" i="50"/>
  <c r="EH115" i="50"/>
  <c r="DT151" i="50"/>
  <c r="G224" i="50"/>
  <c r="EH135" i="50"/>
  <c r="DT193" i="50"/>
  <c r="BG185" i="50"/>
  <c r="BG116" i="50"/>
  <c r="BQ121" i="50"/>
  <c r="EH167" i="50"/>
  <c r="DT120" i="50"/>
  <c r="BO139" i="50"/>
  <c r="EH205" i="50"/>
  <c r="DT146" i="50"/>
  <c r="BG184" i="50"/>
  <c r="BG101" i="50"/>
  <c r="BQ102" i="50"/>
  <c r="EH190" i="50"/>
  <c r="DT131" i="50"/>
  <c r="L224" i="50"/>
  <c r="EH119" i="50"/>
  <c r="DT163" i="50"/>
  <c r="BG192" i="50"/>
  <c r="BG109" i="50"/>
  <c r="BQ110" i="50"/>
  <c r="EH204" i="50"/>
  <c r="DT139" i="50"/>
  <c r="J224" i="50"/>
  <c r="EH127" i="50"/>
  <c r="DT185" i="50"/>
  <c r="BG163" i="50"/>
  <c r="BG110" i="50"/>
  <c r="BQ113" i="50"/>
  <c r="EH151" i="50"/>
  <c r="DT112" i="50"/>
  <c r="DR139" i="50"/>
  <c r="EH193" i="50"/>
  <c r="DT132" i="50"/>
  <c r="CD128" i="50"/>
  <c r="BG164" i="50"/>
  <c r="BQ185" i="50"/>
  <c r="EH218" i="50"/>
  <c r="DT168" i="50"/>
  <c r="CA139" i="50"/>
  <c r="CW84" i="50"/>
  <c r="DT218" i="50"/>
  <c r="BG131" i="50"/>
  <c r="BG94" i="50"/>
  <c r="BQ97" i="50"/>
  <c r="EH131" i="50"/>
  <c r="DT189" i="50"/>
  <c r="EX139" i="50"/>
  <c r="EH163" i="50"/>
  <c r="DT116" i="50"/>
  <c r="BG145" i="50"/>
  <c r="BG102" i="50"/>
  <c r="BQ105" i="50"/>
  <c r="EH139" i="50"/>
  <c r="DT201" i="50"/>
  <c r="EG139" i="50"/>
  <c r="EH185" i="50"/>
  <c r="DT124" i="50"/>
  <c r="BG218" i="50"/>
  <c r="BG146" i="50"/>
  <c r="BQ163" i="50"/>
  <c r="EH217" i="50"/>
  <c r="DT150" i="50"/>
  <c r="CB139" i="50"/>
  <c r="CW76" i="50"/>
  <c r="DT192" i="50"/>
  <c r="ED128" i="50"/>
  <c r="BG123" i="50"/>
  <c r="BQ128" i="50"/>
  <c r="CW96" i="50"/>
  <c r="DT219" i="50"/>
  <c r="AN139" i="50"/>
  <c r="CW79" i="50"/>
  <c r="CU153" i="50"/>
  <c r="BO223" i="50"/>
  <c r="J138" i="50"/>
  <c r="DN169" i="50"/>
  <c r="BR120" i="50"/>
  <c r="BJ193" i="50"/>
  <c r="CF80" i="50"/>
  <c r="BR146" i="50"/>
  <c r="EH136" i="50"/>
  <c r="DQ223" i="50"/>
  <c r="G138" i="50"/>
  <c r="AJ169" i="50"/>
  <c r="BR128" i="50"/>
  <c r="Y193" i="50"/>
  <c r="CF88" i="50"/>
  <c r="BR164" i="50"/>
  <c r="EH150" i="50"/>
  <c r="BZ223" i="50"/>
  <c r="CE101" i="50"/>
  <c r="AC169" i="50"/>
  <c r="BR202" i="50"/>
  <c r="W193" i="50"/>
  <c r="CF129" i="50"/>
  <c r="BR123" i="50"/>
  <c r="EH121" i="50"/>
  <c r="AQ223" i="50"/>
  <c r="CE102" i="50"/>
  <c r="P169" i="50"/>
  <c r="BR147" i="50"/>
  <c r="F193" i="50"/>
  <c r="CF89" i="50"/>
  <c r="BR189" i="50"/>
  <c r="EH187" i="50"/>
  <c r="AH152" i="50"/>
  <c r="AL138" i="50"/>
  <c r="CE169" i="50"/>
  <c r="R25" i="50"/>
  <c r="DQ193" i="50"/>
  <c r="DL207" i="50"/>
  <c r="BR83" i="50"/>
  <c r="EH77" i="50"/>
  <c r="DZ152" i="50"/>
  <c r="EA138" i="50"/>
  <c r="CE191" i="50"/>
  <c r="AC13" i="26"/>
  <c r="DP193" i="50"/>
  <c r="AH207" i="50"/>
  <c r="BR91" i="50"/>
  <c r="EH85" i="50"/>
  <c r="DJ152" i="50"/>
  <c r="AG138" i="50"/>
  <c r="CC169" i="50"/>
  <c r="BR111" i="50"/>
  <c r="BY193" i="50"/>
  <c r="BI207" i="50"/>
  <c r="BR92" i="50"/>
  <c r="EH88" i="50"/>
  <c r="DR223" i="50"/>
  <c r="L138" i="50"/>
  <c r="ES169" i="50"/>
  <c r="BR112" i="50"/>
  <c r="AD193" i="50"/>
  <c r="CF74" i="50"/>
  <c r="BR132" i="50"/>
  <c r="EH128" i="50"/>
  <c r="R152" i="50"/>
  <c r="Z138" i="50"/>
  <c r="CU169" i="50"/>
  <c r="BR95" i="50"/>
  <c r="BM193" i="50"/>
  <c r="U207" i="50"/>
  <c r="BR76" i="50"/>
  <c r="EH109" i="50"/>
  <c r="BI152" i="50"/>
  <c r="CO138" i="50"/>
  <c r="BP169" i="50"/>
  <c r="BR103" i="50"/>
  <c r="BZ193" i="50"/>
  <c r="R207" i="50"/>
  <c r="BR84" i="50"/>
  <c r="EH80" i="50"/>
  <c r="AB12" i="26"/>
  <c r="AX138" i="50"/>
  <c r="BC169" i="50"/>
  <c r="BR104" i="50"/>
  <c r="AQ193" i="50"/>
  <c r="C207" i="50"/>
  <c r="BR124" i="50"/>
  <c r="EH120" i="50"/>
  <c r="CB223" i="50"/>
  <c r="CE77" i="50"/>
  <c r="AT169" i="50"/>
  <c r="BR150" i="50"/>
  <c r="AF193" i="50"/>
  <c r="CF104" i="50"/>
  <c r="BR192" i="50"/>
  <c r="EH188" i="50"/>
  <c r="AV152" i="50"/>
  <c r="DY138" i="50"/>
  <c r="BD169" i="50"/>
  <c r="BR88" i="50"/>
  <c r="BA193" i="50"/>
  <c r="M207" i="50"/>
  <c r="BR108" i="50"/>
  <c r="EH104" i="50"/>
  <c r="C152" i="50"/>
  <c r="AY138" i="50"/>
  <c r="EU169" i="50"/>
  <c r="BR96" i="50"/>
  <c r="CP193" i="50"/>
  <c r="AV207" i="50"/>
  <c r="BR116" i="50"/>
  <c r="EH112" i="50"/>
  <c r="DP223" i="50"/>
  <c r="AW138" i="50"/>
  <c r="BK169" i="50"/>
  <c r="BR136" i="50"/>
  <c r="AZ193" i="50"/>
  <c r="CF96" i="50"/>
  <c r="BR184" i="50"/>
  <c r="EH168" i="50"/>
  <c r="BY223" i="50"/>
  <c r="CE109" i="50"/>
  <c r="AI169" i="50"/>
  <c r="BR217" i="50"/>
  <c r="BH193" i="50"/>
  <c r="CF137" i="50"/>
  <c r="BR131" i="50"/>
  <c r="EH129" i="50"/>
  <c r="DP206" i="50"/>
  <c r="BQ221" i="50"/>
  <c r="CE76" i="50"/>
  <c r="EY96" i="50"/>
  <c r="AA25" i="50"/>
  <c r="K153" i="50"/>
  <c r="EY116" i="50"/>
  <c r="AE13" i="26"/>
  <c r="CB206" i="50"/>
  <c r="EX128" i="50"/>
  <c r="CE84" i="50"/>
  <c r="EY104" i="50"/>
  <c r="CU129" i="50"/>
  <c r="E153" i="50"/>
  <c r="EY124" i="50"/>
  <c r="BR77" i="50"/>
  <c r="AN206" i="50"/>
  <c r="AC12" i="26"/>
  <c r="CE124" i="50"/>
  <c r="EY150" i="50"/>
  <c r="EU129" i="50"/>
  <c r="CC170" i="50"/>
  <c r="EY192" i="50"/>
  <c r="BR78" i="50"/>
  <c r="BJ206" i="50"/>
  <c r="CB138" i="50"/>
  <c r="CE200" i="50"/>
  <c r="EY123" i="50"/>
  <c r="BK129" i="50"/>
  <c r="ES170" i="50"/>
  <c r="EY147" i="50"/>
  <c r="BR118" i="50"/>
  <c r="EG120" i="50"/>
  <c r="BQ151" i="50"/>
  <c r="U138" i="50"/>
  <c r="AX139" i="50"/>
  <c r="CW203" i="50"/>
  <c r="CP153" i="50"/>
  <c r="D139" i="50"/>
  <c r="T129" i="50"/>
  <c r="EG128" i="50"/>
  <c r="BQ169" i="50"/>
  <c r="R138" i="50"/>
  <c r="L139" i="50"/>
  <c r="CW116" i="50"/>
  <c r="AQ153" i="50"/>
  <c r="H139" i="50"/>
  <c r="W129" i="50"/>
  <c r="EG204" i="50"/>
  <c r="BQ134" i="50"/>
  <c r="C138" i="50"/>
  <c r="EY85" i="50"/>
  <c r="CW184" i="50"/>
  <c r="AF153" i="50"/>
  <c r="EY105" i="50"/>
  <c r="N129" i="50"/>
  <c r="DQ206" i="50"/>
  <c r="BQ220" i="50"/>
  <c r="CE107" i="50"/>
  <c r="EY88" i="50"/>
  <c r="EX129" i="50"/>
  <c r="I153" i="50"/>
  <c r="EY108" i="50"/>
  <c r="R59" i="50"/>
  <c r="EG168" i="50"/>
  <c r="BQ118" i="50"/>
  <c r="M138" i="50"/>
  <c r="AW139" i="50"/>
  <c r="CW146" i="50"/>
  <c r="Y153" i="50"/>
  <c r="EY89" i="50"/>
  <c r="O129" i="50"/>
  <c r="EG190" i="50"/>
  <c r="BQ126" i="50"/>
  <c r="AV138" i="50"/>
  <c r="EY77" i="50"/>
  <c r="CW164" i="50"/>
  <c r="AZ153" i="50"/>
  <c r="EY97" i="50"/>
  <c r="Z59" i="50"/>
  <c r="BO206" i="50"/>
  <c r="BQ202" i="50"/>
  <c r="CE99" i="50"/>
  <c r="EY80" i="50"/>
  <c r="CW221" i="50"/>
  <c r="BH153" i="50"/>
  <c r="EY100" i="50"/>
  <c r="H129" i="50"/>
  <c r="BM206" i="50"/>
  <c r="EX133" i="50"/>
  <c r="CE100" i="50"/>
  <c r="EY120" i="50"/>
  <c r="CC129" i="50"/>
  <c r="BG170" i="50"/>
  <c r="EY146" i="50"/>
  <c r="BR93" i="50"/>
  <c r="EG223" i="50"/>
  <c r="BQ166" i="50"/>
  <c r="CE83" i="50"/>
  <c r="EY101" i="50"/>
  <c r="CW206" i="50"/>
  <c r="T153" i="50"/>
  <c r="EY84" i="50"/>
  <c r="AV129" i="50"/>
  <c r="DR206" i="50"/>
  <c r="BQ188" i="50"/>
  <c r="CE91" i="50"/>
  <c r="EY109" i="50"/>
  <c r="CW224" i="50"/>
  <c r="W153" i="50"/>
  <c r="EY92" i="50"/>
  <c r="AC59" i="50"/>
  <c r="CA206" i="50"/>
  <c r="EX190" i="50"/>
  <c r="CE92" i="50"/>
  <c r="EY112" i="50"/>
  <c r="BP129" i="50"/>
  <c r="F153" i="50"/>
  <c r="EY132" i="50"/>
  <c r="BR85" i="50"/>
  <c r="BA206" i="50"/>
  <c r="DR138" i="50"/>
  <c r="CE132" i="50"/>
  <c r="EY168" i="50"/>
  <c r="BC129" i="50"/>
  <c r="EV170" i="50"/>
  <c r="EY111" i="50"/>
  <c r="BG92" i="50"/>
  <c r="AA20" i="50"/>
  <c r="BH169" i="50"/>
  <c r="EH98" i="50"/>
  <c r="DT104" i="50"/>
  <c r="AB224" i="50"/>
  <c r="EH118" i="50"/>
  <c r="DT87" i="50"/>
  <c r="BG100" i="50"/>
  <c r="AG43" i="50"/>
  <c r="I169" i="50"/>
  <c r="EH106" i="50"/>
  <c r="DT75" i="50"/>
  <c r="Z224" i="50"/>
  <c r="EH126" i="50"/>
  <c r="DT95" i="50"/>
  <c r="BG138" i="50"/>
  <c r="BG85" i="50"/>
  <c r="BQ86" i="50"/>
  <c r="EH152" i="50"/>
  <c r="DT115" i="50"/>
  <c r="AY224" i="50"/>
  <c r="EH200" i="50"/>
  <c r="DT135" i="50"/>
  <c r="BG121" i="50"/>
  <c r="BG86" i="50"/>
  <c r="BQ89" i="50"/>
  <c r="EH123" i="50"/>
  <c r="DT167" i="50"/>
  <c r="AW224" i="50"/>
  <c r="EH147" i="50"/>
  <c r="DT205" i="50"/>
  <c r="AA16" i="50"/>
  <c r="CV132" i="50"/>
  <c r="AN169" i="50"/>
  <c r="BQ164" i="50"/>
  <c r="CF128" i="50"/>
  <c r="BE224" i="50"/>
  <c r="M193" i="50"/>
  <c r="CF164" i="50"/>
  <c r="G34" i="50"/>
  <c r="CV146" i="50"/>
  <c r="BA169" i="50"/>
  <c r="BQ186" i="50"/>
  <c r="CF136" i="50"/>
  <c r="BN224" i="50"/>
  <c r="C193" i="50"/>
  <c r="CF184" i="50"/>
  <c r="BG83" i="50"/>
  <c r="CV219" i="50"/>
  <c r="Y169" i="50"/>
  <c r="EH87" i="50"/>
  <c r="CF220" i="50"/>
  <c r="EB224" i="50"/>
  <c r="EH107" i="50"/>
  <c r="DT76" i="50"/>
  <c r="BG84" i="50"/>
  <c r="AG52" i="50"/>
  <c r="W169" i="50"/>
  <c r="EH90" i="50"/>
  <c r="DT96" i="50"/>
  <c r="AE224" i="50"/>
  <c r="EH110" i="50"/>
  <c r="DT79" i="50"/>
  <c r="AG46" i="50"/>
  <c r="CV200" i="50"/>
  <c r="AD169" i="50"/>
  <c r="BQ219" i="50"/>
  <c r="CF188" i="50"/>
  <c r="DO224" i="50"/>
  <c r="EH91" i="50"/>
  <c r="CF224" i="50"/>
  <c r="BG75" i="50"/>
  <c r="CV218" i="50"/>
  <c r="BJ169" i="50"/>
  <c r="EH79" i="50"/>
  <c r="CF202" i="50"/>
  <c r="BL224" i="50"/>
  <c r="EH99" i="50"/>
  <c r="CF221" i="50"/>
  <c r="BG76" i="50"/>
  <c r="AA32" i="50"/>
  <c r="T169" i="50"/>
  <c r="EH82" i="50"/>
  <c r="DT88" i="50"/>
  <c r="EA224" i="50"/>
  <c r="EH102" i="50"/>
  <c r="DT108" i="50"/>
  <c r="BG114" i="50"/>
  <c r="G33" i="50"/>
  <c r="E169" i="50"/>
  <c r="EH122" i="50"/>
  <c r="DT91" i="50"/>
  <c r="AG224" i="50"/>
  <c r="EH148" i="50"/>
  <c r="DT111" i="50"/>
  <c r="BG99" i="50"/>
  <c r="AG45" i="50"/>
  <c r="AF169" i="50"/>
  <c r="EH103" i="50"/>
  <c r="DT73" i="50"/>
  <c r="ER224" i="50"/>
  <c r="EH86" i="50"/>
  <c r="DT92" i="50"/>
  <c r="BG107" i="50"/>
  <c r="AA17" i="50"/>
  <c r="V169" i="50"/>
  <c r="EH74" i="50"/>
  <c r="DT80" i="50"/>
  <c r="AL224" i="50"/>
  <c r="EH94" i="50"/>
  <c r="DT100" i="50"/>
  <c r="BG108" i="50"/>
  <c r="AA15" i="50"/>
  <c r="K169" i="50"/>
  <c r="EH114" i="50"/>
  <c r="DT83" i="50"/>
  <c r="CO224" i="50"/>
  <c r="EH134" i="50"/>
  <c r="DT103" i="50"/>
  <c r="BG152" i="50"/>
  <c r="BG93" i="50"/>
  <c r="BQ94" i="50"/>
  <c r="EH170" i="50"/>
  <c r="DT123" i="50"/>
  <c r="AX224" i="50"/>
  <c r="EH111" i="50"/>
  <c r="ES152" i="50"/>
  <c r="AR152" i="50"/>
  <c r="BL138" i="50"/>
  <c r="CE119" i="50"/>
  <c r="J129" i="50"/>
  <c r="EX193" i="50"/>
  <c r="AS207" i="50"/>
  <c r="E129" i="50"/>
  <c r="BF193" i="50"/>
  <c r="AP152" i="50"/>
  <c r="EB138" i="50"/>
  <c r="CE127" i="50"/>
  <c r="V59" i="50"/>
  <c r="EG193" i="50"/>
  <c r="AR207" i="50"/>
  <c r="C129" i="50"/>
  <c r="EE193" i="50"/>
  <c r="BW152" i="50"/>
  <c r="AE138" i="50"/>
  <c r="CE205" i="50"/>
  <c r="BR79" i="50"/>
  <c r="CB193" i="50"/>
  <c r="DZ207" i="50"/>
  <c r="BR99" i="50"/>
  <c r="EH93" i="50"/>
  <c r="M152" i="50"/>
  <c r="S138" i="50"/>
  <c r="EV169" i="50"/>
  <c r="BR80" i="50"/>
  <c r="AN193" i="50"/>
  <c r="DJ207" i="50"/>
  <c r="BR100" i="50"/>
  <c r="EH96" i="50"/>
  <c r="CD152" i="50"/>
  <c r="EX168" i="50"/>
  <c r="CE82" i="50"/>
  <c r="AF25" i="50"/>
  <c r="BJ170" i="50"/>
  <c r="CV207" i="50"/>
  <c r="X59" i="50"/>
  <c r="DZ170" i="50"/>
  <c r="BF152" i="50"/>
  <c r="EX123" i="50"/>
  <c r="CE90" i="50"/>
  <c r="AL25" i="50"/>
  <c r="Y170" i="50"/>
  <c r="CD207" i="50"/>
  <c r="P129" i="50"/>
  <c r="BW170" i="50"/>
  <c r="ET152" i="50"/>
  <c r="EF138" i="50"/>
  <c r="CE130" i="50"/>
  <c r="E35" i="50"/>
  <c r="W170" i="50"/>
  <c r="EC207" i="50"/>
  <c r="W59" i="50"/>
  <c r="M170" i="50"/>
  <c r="AS152" i="50"/>
  <c r="DO138" i="50"/>
  <c r="CE206" i="50"/>
  <c r="AD59" i="50"/>
  <c r="F170" i="50"/>
  <c r="AU207" i="50"/>
  <c r="G129" i="50"/>
  <c r="CD193" i="50"/>
  <c r="ED152" i="50"/>
  <c r="AE12" i="26"/>
  <c r="CE114" i="50"/>
  <c r="DY129" i="50"/>
  <c r="V170" i="50"/>
  <c r="CT207" i="50"/>
  <c r="AE59" i="50"/>
  <c r="BI170" i="50"/>
  <c r="EC152" i="50"/>
  <c r="EW138" i="50"/>
  <c r="CE122" i="50"/>
  <c r="DK129" i="50"/>
  <c r="T170" i="50"/>
  <c r="ED207" i="50"/>
  <c r="BI129" i="50"/>
  <c r="DJ170" i="50"/>
  <c r="AU152" i="50"/>
  <c r="CR138" i="50"/>
  <c r="CE192" i="50"/>
  <c r="AH25" i="50"/>
  <c r="E170" i="50"/>
  <c r="AM207" i="50"/>
  <c r="D129" i="50"/>
  <c r="CV193" i="50"/>
  <c r="DL152" i="50"/>
  <c r="ER138" i="50"/>
  <c r="CE151" i="50"/>
  <c r="T25" i="50"/>
  <c r="BO193" i="50"/>
  <c r="BX207" i="50"/>
  <c r="BR75" i="50"/>
  <c r="ED193" i="50"/>
  <c r="BB152" i="50"/>
  <c r="BN138" i="50"/>
  <c r="CE152" i="50"/>
  <c r="BH129" i="50"/>
  <c r="I170" i="50"/>
  <c r="CQ207" i="50"/>
  <c r="I129" i="50"/>
  <c r="C170" i="50"/>
  <c r="AM152" i="50"/>
  <c r="CS138" i="50"/>
  <c r="CE184" i="50"/>
  <c r="T59" i="50"/>
  <c r="K170" i="50"/>
  <c r="BB207" i="50"/>
  <c r="D35" i="50"/>
  <c r="BQ193" i="50"/>
  <c r="BX152" i="50"/>
  <c r="AK138" i="50"/>
  <c r="CE137" i="50"/>
  <c r="C35" i="50"/>
  <c r="DR193" i="50"/>
  <c r="AP207" i="50"/>
  <c r="F129" i="50"/>
  <c r="CT193" i="50"/>
  <c r="U152" i="50"/>
  <c r="AB138" i="50"/>
  <c r="CE223" i="50"/>
  <c r="BR87" i="50"/>
  <c r="CA193" i="50"/>
  <c r="BW207" i="50"/>
  <c r="BR107" i="50"/>
  <c r="EH101" i="50"/>
  <c r="EG163" i="50"/>
  <c r="BQ111" i="50"/>
  <c r="DL138" i="50"/>
  <c r="AG139" i="50"/>
  <c r="CW145" i="50"/>
  <c r="BZ153" i="50"/>
  <c r="DK139" i="50"/>
  <c r="AB59" i="50"/>
  <c r="EG185" i="50"/>
  <c r="BQ119" i="50"/>
  <c r="AH138" i="50"/>
  <c r="S139" i="50"/>
  <c r="CW153" i="50"/>
  <c r="BY153" i="50"/>
  <c r="X139" i="50"/>
  <c r="AF129" i="50"/>
  <c r="EG136" i="50"/>
  <c r="BQ191" i="50"/>
  <c r="BI138" i="50"/>
  <c r="J139" i="50"/>
  <c r="CW124" i="50"/>
  <c r="AD153" i="50"/>
  <c r="EY73" i="50"/>
  <c r="X129" i="50"/>
  <c r="EG222" i="50"/>
  <c r="BQ148" i="50"/>
  <c r="CE75" i="50"/>
  <c r="EY93" i="50"/>
  <c r="CW192" i="50"/>
  <c r="V153" i="50"/>
  <c r="EY76" i="50"/>
  <c r="M129" i="50"/>
  <c r="EG86" i="50"/>
  <c r="J169" i="50"/>
  <c r="CT138" i="50"/>
  <c r="CR139" i="50"/>
  <c r="CW82" i="50"/>
  <c r="DT204" i="50"/>
  <c r="DN139" i="50"/>
  <c r="DO129" i="50"/>
  <c r="EG94" i="50"/>
  <c r="G169" i="50"/>
  <c r="ED138" i="50"/>
  <c r="DO139" i="50"/>
  <c r="CW90" i="50"/>
  <c r="DT224" i="50"/>
  <c r="AJ139" i="50"/>
  <c r="BL129" i="50"/>
  <c r="EG97" i="50"/>
  <c r="BQ100" i="50"/>
  <c r="AM138" i="50"/>
  <c r="AL139" i="50"/>
  <c r="CW93" i="50"/>
  <c r="BO153" i="50"/>
  <c r="AC139" i="50"/>
  <c r="EA129" i="50"/>
  <c r="EG145" i="50"/>
  <c r="BQ103" i="50"/>
  <c r="BX138" i="50"/>
  <c r="CO139" i="50"/>
  <c r="CW133" i="50"/>
  <c r="BM153" i="50"/>
  <c r="P139" i="50"/>
  <c r="Y59" i="50"/>
  <c r="EG81" i="50"/>
  <c r="BQ84" i="50"/>
  <c r="CQ138" i="50"/>
  <c r="AK139" i="50"/>
  <c r="CW77" i="50"/>
  <c r="EG153" i="50"/>
  <c r="AO139" i="50"/>
  <c r="ER129" i="50"/>
  <c r="EG89" i="50"/>
  <c r="BQ92" i="50"/>
  <c r="BB138" i="50"/>
  <c r="ER139" i="50"/>
  <c r="CW85" i="50"/>
  <c r="DR153" i="50"/>
  <c r="DM139" i="50"/>
  <c r="AL129" i="50"/>
  <c r="EG131" i="50"/>
  <c r="BQ95" i="50"/>
  <c r="AP138" i="50"/>
  <c r="Z139" i="50"/>
  <c r="CW125" i="50"/>
  <c r="CA153" i="50"/>
  <c r="Q139" i="50"/>
  <c r="Y25" i="50"/>
  <c r="EG112" i="50"/>
  <c r="BQ137" i="50"/>
  <c r="BW138" i="50"/>
  <c r="AY139" i="50"/>
  <c r="CW191" i="50"/>
  <c r="BA153" i="50"/>
  <c r="N139" i="50"/>
  <c r="U129" i="50"/>
  <c r="EG113" i="50"/>
  <c r="BQ79" i="50"/>
  <c r="AS138" i="50"/>
  <c r="AE139" i="50"/>
  <c r="CW109" i="50"/>
  <c r="DP153" i="50"/>
  <c r="AA139" i="50"/>
  <c r="AB129" i="50"/>
  <c r="EG121" i="50"/>
  <c r="BQ87" i="50"/>
  <c r="AR138" i="50"/>
  <c r="AB139" i="50"/>
  <c r="CW117" i="50"/>
  <c r="CB153" i="50"/>
  <c r="EQ139" i="50"/>
  <c r="Z129" i="50"/>
  <c r="EG199" i="50"/>
  <c r="BQ127" i="50"/>
  <c r="DZ138" i="50"/>
  <c r="DY139" i="50"/>
  <c r="CW169" i="50"/>
  <c r="AN153" i="50"/>
  <c r="O139" i="50"/>
  <c r="AD25" i="50"/>
  <c r="EG150" i="50"/>
  <c r="BQ205" i="50"/>
  <c r="DJ138" i="50"/>
  <c r="G139" i="50"/>
  <c r="CW132" i="50"/>
  <c r="BJ153" i="50"/>
  <c r="EY81" i="50"/>
  <c r="G32" i="50"/>
  <c r="CV189" i="50"/>
  <c r="CA169" i="50"/>
  <c r="BQ116" i="50"/>
  <c r="CF187" i="50"/>
  <c r="CE224" i="50"/>
  <c r="DL193" i="50"/>
  <c r="CF116" i="50"/>
  <c r="AG57" i="50"/>
  <c r="CV203" i="50"/>
  <c r="BM169" i="50"/>
  <c r="BQ124" i="50"/>
  <c r="CF199" i="50"/>
  <c r="DS224" i="50"/>
  <c r="DZ193" i="50"/>
  <c r="CF124" i="50"/>
  <c r="AG55" i="50"/>
  <c r="CV164" i="50"/>
  <c r="CP169" i="50"/>
  <c r="BQ200" i="50"/>
  <c r="CF150" i="50"/>
  <c r="CS224" i="50"/>
  <c r="EH75" i="50"/>
  <c r="CF192" i="50"/>
  <c r="BG91" i="50"/>
  <c r="AA18" i="50"/>
  <c r="AZ169" i="50"/>
  <c r="EH95" i="50"/>
  <c r="CF217" i="50"/>
  <c r="AK224" i="50"/>
  <c r="EH78" i="50"/>
  <c r="DT84" i="50"/>
  <c r="CV131" i="50"/>
  <c r="CV98" i="50"/>
  <c r="CE135" i="50"/>
  <c r="BQ77" i="50"/>
  <c r="CF102" i="50"/>
  <c r="BR190" i="50"/>
  <c r="DK193" i="50"/>
  <c r="CF123" i="50"/>
  <c r="CV201" i="50"/>
  <c r="CV106" i="50"/>
  <c r="CE149" i="50"/>
  <c r="BQ85" i="50"/>
  <c r="CF110" i="50"/>
  <c r="BR204" i="50"/>
  <c r="X193" i="50"/>
  <c r="CF131" i="50"/>
  <c r="CV152" i="50"/>
  <c r="CV165" i="50"/>
  <c r="CE222" i="50"/>
  <c r="BQ125" i="50"/>
  <c r="CF163" i="50"/>
  <c r="BR149" i="50"/>
  <c r="AB13" i="26"/>
  <c r="CF91" i="50"/>
  <c r="AA14" i="50"/>
  <c r="CV167" i="50"/>
  <c r="CB169" i="50"/>
  <c r="BQ203" i="50"/>
  <c r="CF111" i="50"/>
  <c r="BR220" i="50"/>
  <c r="AP193" i="50"/>
  <c r="CF203" i="50"/>
  <c r="CV130" i="50"/>
  <c r="CV133" i="50"/>
  <c r="CE203" i="50"/>
  <c r="BQ109" i="50"/>
  <c r="CF135" i="50"/>
  <c r="BR129" i="50"/>
  <c r="D193" i="50"/>
  <c r="CF75" i="50"/>
  <c r="CV138" i="50"/>
  <c r="CV147" i="50"/>
  <c r="CE221" i="50"/>
  <c r="BQ117" i="50"/>
  <c r="CF147" i="50"/>
  <c r="BR137" i="50"/>
  <c r="H193" i="50"/>
  <c r="CF83" i="50"/>
  <c r="CV217" i="50"/>
  <c r="CV105" i="50"/>
  <c r="DP169" i="50"/>
  <c r="BQ189" i="50"/>
  <c r="CF103" i="50"/>
  <c r="BR219" i="50"/>
  <c r="AS193" i="50"/>
  <c r="CF191" i="50"/>
  <c r="AG48" i="50"/>
  <c r="CV124" i="50"/>
  <c r="BY169" i="50"/>
  <c r="BQ146" i="50"/>
  <c r="CF120" i="50"/>
  <c r="EF224" i="50"/>
  <c r="BI193" i="50"/>
  <c r="CF146" i="50"/>
  <c r="CV192" i="50"/>
  <c r="CV89" i="50"/>
  <c r="BO169" i="50"/>
  <c r="BQ149" i="50"/>
  <c r="CF87" i="50"/>
  <c r="BR187" i="50"/>
  <c r="CQ193" i="50"/>
  <c r="CF107" i="50"/>
  <c r="CV206" i="50"/>
  <c r="CV97" i="50"/>
  <c r="DQ169" i="50"/>
  <c r="BQ167" i="50"/>
  <c r="CF95" i="50"/>
  <c r="BR199" i="50"/>
  <c r="AM193" i="50"/>
  <c r="CF169" i="50"/>
  <c r="G31" i="50"/>
  <c r="CV116" i="50"/>
  <c r="BZ169" i="50"/>
  <c r="BQ132" i="50"/>
  <c r="CF112" i="50"/>
  <c r="EW224" i="50"/>
  <c r="U193" i="50"/>
  <c r="CF132" i="50"/>
  <c r="AA30" i="50"/>
  <c r="CV186" i="50"/>
  <c r="AQ169" i="50"/>
  <c r="BQ218" i="50"/>
  <c r="CF168" i="50"/>
  <c r="CR224" i="50"/>
  <c r="EH83" i="50"/>
  <c r="CF206" i="50"/>
  <c r="EX131" i="50"/>
  <c r="EX96" i="50"/>
  <c r="CE89" i="50"/>
  <c r="AD129" i="50"/>
  <c r="BA170" i="50"/>
  <c r="EY203" i="50"/>
  <c r="AH129" i="50"/>
  <c r="AP170" i="50"/>
  <c r="EX145" i="50"/>
  <c r="EX104" i="50"/>
  <c r="CE97" i="50"/>
  <c r="BJ129" i="50"/>
  <c r="CP170" i="50"/>
  <c r="EY219" i="50"/>
  <c r="CO129" i="50"/>
  <c r="BX170" i="50"/>
  <c r="EE152" i="50"/>
  <c r="EX187" i="50"/>
  <c r="CE98" i="50"/>
  <c r="Q129" i="50"/>
  <c r="AZ170" i="50"/>
  <c r="BF207" i="50"/>
  <c r="AA59" i="50"/>
  <c r="U170" i="50"/>
  <c r="CQ152" i="50"/>
  <c r="BE138" i="50"/>
  <c r="CE138" i="50"/>
  <c r="U59" i="50"/>
  <c r="BH170" i="50"/>
  <c r="ET207" i="50"/>
  <c r="DJ129" i="50"/>
  <c r="AV170" i="50"/>
  <c r="EX94" i="50"/>
  <c r="AX128" i="50"/>
  <c r="AA138" i="50"/>
  <c r="BO129" i="50"/>
  <c r="EX170" i="50"/>
  <c r="EY138" i="50"/>
  <c r="ED129" i="50"/>
  <c r="BF170" i="50"/>
  <c r="EX102" i="50"/>
  <c r="L128" i="50"/>
  <c r="EQ138" i="50"/>
  <c r="DQ129" i="50"/>
  <c r="EG170" i="50"/>
  <c r="EY152" i="50"/>
  <c r="EC129" i="50"/>
  <c r="EE170" i="50"/>
  <c r="EX148" i="50"/>
  <c r="EX85" i="50"/>
  <c r="O138" i="50"/>
  <c r="BZ129" i="50"/>
  <c r="CB170" i="50"/>
  <c r="EY125" i="50"/>
  <c r="AU129" i="50"/>
  <c r="CQ170" i="50"/>
  <c r="EX121" i="50"/>
  <c r="EX88" i="50"/>
  <c r="CE81" i="50"/>
  <c r="AQ129" i="50"/>
  <c r="AN170" i="50"/>
  <c r="EY191" i="50"/>
  <c r="DL129" i="50"/>
  <c r="AR170" i="50"/>
  <c r="EX126" i="50"/>
  <c r="AW128" i="50"/>
  <c r="DK138" i="50"/>
  <c r="CA129" i="50"/>
  <c r="DQ170" i="50"/>
  <c r="EY204" i="50"/>
  <c r="BB129" i="50"/>
  <c r="EC170" i="50"/>
  <c r="EX134" i="50"/>
  <c r="EX77" i="50"/>
  <c r="X138" i="50"/>
  <c r="BM129" i="50"/>
  <c r="DP170" i="50"/>
  <c r="EY117" i="50"/>
  <c r="AM129" i="50"/>
  <c r="ET170" i="50"/>
  <c r="EX113" i="50"/>
  <c r="EX80" i="50"/>
  <c r="CE73" i="50"/>
  <c r="CP129" i="50"/>
  <c r="BY170" i="50"/>
  <c r="EY169" i="50"/>
  <c r="BX129" i="50"/>
  <c r="AS170" i="50"/>
  <c r="EX185" i="50"/>
  <c r="EX120" i="50"/>
  <c r="CE74" i="50"/>
  <c r="AF59" i="50"/>
  <c r="AD170" i="50"/>
  <c r="BQ207" i="50"/>
  <c r="AG129" i="50"/>
  <c r="AH170" i="50"/>
  <c r="EX188" i="50"/>
  <c r="EX101" i="50"/>
  <c r="D138" i="50"/>
  <c r="AN129" i="50"/>
  <c r="BM170" i="50"/>
  <c r="EY145" i="50"/>
  <c r="AR129" i="50"/>
  <c r="AM170" i="50"/>
  <c r="EX202" i="50"/>
  <c r="EX109" i="50"/>
  <c r="H138" i="50"/>
  <c r="BA129" i="50"/>
  <c r="BZ170" i="50"/>
  <c r="EY153" i="50"/>
  <c r="AP129" i="50"/>
  <c r="AU170" i="50"/>
  <c r="EX163" i="50"/>
  <c r="EX112" i="50"/>
  <c r="CE105" i="50"/>
  <c r="Y129" i="50"/>
  <c r="AQ170" i="50"/>
  <c r="EY218" i="50"/>
  <c r="EQ129" i="50"/>
  <c r="DL170" i="50"/>
  <c r="CT152" i="50"/>
  <c r="EX219" i="50"/>
  <c r="CE106" i="50"/>
  <c r="S129" i="50"/>
  <c r="AF170" i="50"/>
  <c r="EE207" i="50"/>
  <c r="AY129" i="50"/>
  <c r="S192" i="50"/>
  <c r="K192" i="50"/>
  <c r="DY169" i="50"/>
  <c r="EX222" i="50"/>
  <c r="EF139" i="50"/>
  <c r="EH203" i="50"/>
  <c r="DT138" i="50"/>
  <c r="BD139" i="50"/>
  <c r="BE129" i="50"/>
  <c r="E192" i="50"/>
  <c r="AY169" i="50"/>
  <c r="CD138" i="50"/>
  <c r="BE139" i="50"/>
  <c r="EH219" i="50"/>
  <c r="DT152" i="50"/>
  <c r="EU139" i="50"/>
  <c r="BN129" i="50"/>
  <c r="EG102" i="50"/>
  <c r="AW169" i="50"/>
  <c r="EC138" i="50"/>
  <c r="BL139" i="50"/>
  <c r="CW98" i="50"/>
  <c r="DT221" i="50"/>
  <c r="BK139" i="50"/>
  <c r="EB129" i="50"/>
  <c r="EG105" i="50"/>
  <c r="BQ108" i="50"/>
  <c r="AU138" i="50"/>
  <c r="EA139" i="50"/>
  <c r="CW101" i="50"/>
  <c r="DQ153" i="50"/>
  <c r="AI139" i="50"/>
  <c r="AE129" i="50"/>
  <c r="CP192" i="50"/>
  <c r="BL169" i="50"/>
  <c r="BQ122" i="50"/>
  <c r="DZ224" i="50"/>
  <c r="EH146" i="50"/>
  <c r="DT109" i="50"/>
  <c r="T224" i="50"/>
  <c r="CW136" i="50"/>
  <c r="AQ192" i="50"/>
  <c r="EB169" i="50"/>
  <c r="BQ130" i="50"/>
  <c r="BW224" i="50"/>
  <c r="EH164" i="50"/>
  <c r="DT117" i="50"/>
  <c r="W224" i="50"/>
  <c r="CW150" i="50"/>
  <c r="AF192" i="50"/>
  <c r="AE169" i="50"/>
  <c r="BQ206" i="50"/>
  <c r="M224" i="50"/>
  <c r="EH125" i="50"/>
  <c r="DT169" i="50"/>
  <c r="F224" i="50"/>
  <c r="CW217" i="50"/>
  <c r="I192" i="50"/>
  <c r="S169" i="50"/>
  <c r="EX217" i="50"/>
  <c r="EW139" i="50"/>
  <c r="EH191" i="50"/>
  <c r="DT130" i="50"/>
  <c r="EV139" i="50"/>
  <c r="EF129" i="50"/>
  <c r="Y192" i="50"/>
  <c r="AL169" i="50"/>
  <c r="BQ184" i="50"/>
  <c r="BI224" i="50"/>
  <c r="EH206" i="50"/>
  <c r="DT145" i="50"/>
  <c r="K224" i="50"/>
  <c r="CW202" i="50"/>
  <c r="AZ192" i="50"/>
  <c r="EA169" i="50"/>
  <c r="BQ192" i="50"/>
  <c r="DJ224" i="50"/>
  <c r="EH117" i="50"/>
  <c r="DT153" i="50"/>
  <c r="E224" i="50"/>
  <c r="CW220" i="50"/>
  <c r="BH192" i="50"/>
  <c r="AG169" i="50"/>
  <c r="EX165" i="50"/>
  <c r="DS139" i="50"/>
  <c r="EH169" i="50"/>
  <c r="DT122" i="50"/>
  <c r="CC139" i="50"/>
  <c r="EW129" i="50"/>
  <c r="EG78" i="50"/>
  <c r="L169" i="50"/>
  <c r="EE138" i="50"/>
  <c r="CS139" i="50"/>
  <c r="CW74" i="50"/>
  <c r="DT190" i="50"/>
  <c r="ES139" i="50"/>
  <c r="CR129" i="50"/>
  <c r="T192" i="50"/>
  <c r="Z169" i="50"/>
  <c r="EX150" i="50"/>
  <c r="C224" i="50"/>
  <c r="EH145" i="50"/>
  <c r="DT203" i="50"/>
  <c r="CU139" i="50"/>
  <c r="AG59" i="50"/>
  <c r="W192" i="50"/>
  <c r="CO169" i="50"/>
  <c r="EX115" i="50"/>
  <c r="CE139" i="50"/>
  <c r="EH153" i="50"/>
  <c r="DT114" i="50"/>
  <c r="BP139" i="50"/>
  <c r="DS129" i="50"/>
  <c r="F192" i="50"/>
  <c r="AX169" i="50"/>
  <c r="BF138" i="50"/>
  <c r="BN139" i="50"/>
  <c r="EH220" i="50"/>
  <c r="DT170" i="50"/>
  <c r="BC139" i="50"/>
  <c r="CS129" i="50"/>
  <c r="EG110" i="50"/>
  <c r="BQ76" i="50"/>
  <c r="ET138" i="50"/>
  <c r="EB139" i="50"/>
  <c r="CW106" i="50"/>
  <c r="EX153" i="50"/>
  <c r="AT139" i="50"/>
  <c r="DS113" i="50"/>
  <c r="DS220" i="50"/>
  <c r="CE190" i="50"/>
  <c r="BQ82" i="50"/>
  <c r="AA13" i="26"/>
  <c r="BR130" i="50"/>
  <c r="AA193" i="50"/>
  <c r="CF90" i="50"/>
  <c r="CV95" i="50"/>
  <c r="CV73" i="50"/>
  <c r="CE204" i="50"/>
  <c r="BQ90" i="50"/>
  <c r="CF78" i="50"/>
  <c r="BR138" i="50"/>
  <c r="EQ193" i="50"/>
  <c r="CF98" i="50"/>
  <c r="CV114" i="50"/>
  <c r="CV115" i="50"/>
  <c r="CE167" i="50"/>
  <c r="BQ93" i="50"/>
  <c r="CF119" i="50"/>
  <c r="BR113" i="50"/>
  <c r="O193" i="50"/>
  <c r="CF139" i="50"/>
  <c r="CV184" i="50"/>
  <c r="CV81" i="50"/>
  <c r="DR169" i="50"/>
  <c r="BQ135" i="50"/>
  <c r="CF79" i="50"/>
  <c r="BR165" i="50"/>
  <c r="EC193" i="50"/>
  <c r="CF99" i="50"/>
  <c r="CV139" i="50"/>
  <c r="DS148" i="50"/>
  <c r="CE103" i="50"/>
  <c r="DL169" i="50"/>
  <c r="AC207" i="50"/>
  <c r="BR73" i="50"/>
  <c r="BD193" i="50"/>
  <c r="CO207" i="50"/>
  <c r="CV74" i="50"/>
  <c r="DS166" i="50"/>
  <c r="CE111" i="50"/>
  <c r="AH169" i="50"/>
  <c r="AI207" i="50"/>
  <c r="BR81" i="50"/>
  <c r="EU193" i="50"/>
  <c r="AG207" i="50"/>
  <c r="CV113" i="50"/>
  <c r="DS133" i="50"/>
  <c r="CE112" i="50"/>
  <c r="BI169" i="50"/>
  <c r="DK207" i="50"/>
  <c r="BR82" i="50"/>
  <c r="BK193" i="50"/>
  <c r="L207" i="50"/>
  <c r="CV79" i="50"/>
  <c r="DS219" i="50"/>
  <c r="CE168" i="50"/>
  <c r="BQ74" i="50"/>
  <c r="H207" i="50"/>
  <c r="BR122" i="50"/>
  <c r="AI193" i="50"/>
  <c r="CF82" i="50"/>
  <c r="AI224" i="50"/>
  <c r="DS115" i="50"/>
  <c r="CE96" i="50"/>
  <c r="U169" i="50"/>
  <c r="Q207" i="50"/>
  <c r="BR105" i="50"/>
  <c r="DN193" i="50"/>
  <c r="AY207" i="50"/>
  <c r="CV104" i="50"/>
  <c r="DS123" i="50"/>
  <c r="CE104" i="50"/>
  <c r="R169" i="50"/>
  <c r="P207" i="50"/>
  <c r="BR74" i="50"/>
  <c r="AJ193" i="50"/>
  <c r="AX207" i="50"/>
  <c r="CV163" i="50"/>
  <c r="DS201" i="50"/>
  <c r="CE150" i="50"/>
  <c r="C169" i="50"/>
  <c r="D207" i="50"/>
  <c r="BR114" i="50"/>
  <c r="AC193" i="50"/>
  <c r="CF73" i="50"/>
  <c r="CV111" i="50"/>
  <c r="CV90" i="50"/>
  <c r="CE125" i="50"/>
  <c r="BQ106" i="50"/>
  <c r="CF94" i="50"/>
  <c r="BR170" i="50"/>
  <c r="P193" i="50"/>
  <c r="CF115" i="50"/>
  <c r="P224" i="50"/>
  <c r="DS165" i="50"/>
  <c r="CE128" i="50"/>
  <c r="M169" i="50"/>
  <c r="O207" i="50"/>
  <c r="BR98" i="50"/>
  <c r="AO193" i="50"/>
  <c r="G207" i="50"/>
  <c r="CV145" i="50"/>
  <c r="DS187" i="50"/>
  <c r="CE136" i="50"/>
  <c r="AV169" i="50"/>
  <c r="N207" i="50"/>
  <c r="BR106" i="50"/>
  <c r="DM193" i="50"/>
  <c r="AW207" i="50"/>
  <c r="CV103" i="50"/>
  <c r="CV82" i="50"/>
  <c r="CE117" i="50"/>
  <c r="BQ98" i="50"/>
  <c r="CF86" i="50"/>
  <c r="BR152" i="50"/>
  <c r="Q193" i="50"/>
  <c r="CF106" i="50"/>
  <c r="CV122" i="50"/>
  <c r="CV123" i="50"/>
  <c r="CE189" i="50"/>
  <c r="BQ101" i="50"/>
  <c r="CF127" i="50"/>
  <c r="BR121" i="50"/>
  <c r="N193" i="50"/>
  <c r="CF151" i="50"/>
  <c r="EX99" i="50"/>
  <c r="AG128" i="50"/>
  <c r="AO138" i="50"/>
  <c r="CE129" i="50"/>
  <c r="L153" i="50"/>
  <c r="EY106" i="50"/>
  <c r="CD129" i="50"/>
  <c r="H153" i="50"/>
  <c r="EX107" i="50"/>
  <c r="S128" i="50"/>
  <c r="DM138" i="50"/>
  <c r="G35" i="50"/>
  <c r="J153" i="50"/>
  <c r="EY114" i="50"/>
  <c r="BF129" i="50"/>
  <c r="BQ170" i="50"/>
  <c r="EX110" i="50"/>
  <c r="J128" i="50"/>
  <c r="Q138" i="50"/>
  <c r="DP129" i="50"/>
  <c r="DR170" i="50"/>
  <c r="EY170" i="50"/>
  <c r="ET129" i="50"/>
  <c r="CT170" i="50"/>
  <c r="EX166" i="50"/>
  <c r="EX93" i="50"/>
  <c r="N138" i="50"/>
  <c r="BY129" i="50"/>
  <c r="CA170" i="50"/>
  <c r="EY133" i="50"/>
  <c r="AS129" i="50"/>
  <c r="BB170" i="50"/>
  <c r="DZ128" i="50"/>
  <c r="CR128" i="50"/>
  <c r="CU138" i="50"/>
  <c r="CW189" i="50"/>
  <c r="ER153" i="50"/>
  <c r="I139" i="50"/>
  <c r="CW118" i="50"/>
  <c r="DM153" i="50"/>
  <c r="BW128" i="50"/>
  <c r="DO128" i="50"/>
  <c r="BP138" i="50"/>
  <c r="CW201" i="50"/>
  <c r="AL153" i="50"/>
  <c r="K139" i="50"/>
  <c r="CW126" i="50"/>
  <c r="AC153" i="50"/>
  <c r="M128" i="50"/>
  <c r="AL128" i="50"/>
  <c r="BC138" i="50"/>
  <c r="CW152" i="50"/>
  <c r="CO153" i="50"/>
  <c r="EY95" i="50"/>
  <c r="CW200" i="50"/>
  <c r="P153" i="50"/>
  <c r="EX91" i="50"/>
  <c r="CO128" i="50"/>
  <c r="AT138" i="50"/>
  <c r="CW219" i="50"/>
  <c r="AX153" i="50"/>
  <c r="EY98" i="50"/>
  <c r="CV129" i="50"/>
  <c r="D153" i="50"/>
  <c r="BI128" i="50"/>
  <c r="AK128" i="50"/>
  <c r="BD138" i="50"/>
  <c r="CW130" i="50"/>
  <c r="AB153" i="50"/>
  <c r="EY79" i="50"/>
  <c r="CW166" i="50"/>
  <c r="EQ153" i="50"/>
  <c r="DJ128" i="50"/>
  <c r="ER128" i="50"/>
  <c r="EU138" i="50"/>
  <c r="CW138" i="50"/>
  <c r="Z153" i="50"/>
  <c r="EY87" i="50"/>
  <c r="CW186" i="50"/>
  <c r="Q153" i="50"/>
  <c r="EX83" i="50"/>
  <c r="Z128" i="50"/>
  <c r="BK138" i="50"/>
  <c r="CW222" i="50"/>
  <c r="AY153" i="50"/>
  <c r="EY90" i="50"/>
  <c r="BG129" i="50"/>
  <c r="N153" i="50"/>
  <c r="EX86" i="50"/>
  <c r="AY128" i="50"/>
  <c r="AI138" i="50"/>
  <c r="DR129" i="50"/>
  <c r="AW153" i="50"/>
  <c r="EY130" i="50"/>
  <c r="CT129" i="50"/>
  <c r="CD170" i="50"/>
  <c r="C128" i="50"/>
  <c r="AE128" i="50"/>
  <c r="DN138" i="50"/>
  <c r="CW190" i="50"/>
  <c r="S153" i="50"/>
  <c r="EY74" i="50"/>
  <c r="CW207" i="50"/>
  <c r="X153" i="50"/>
  <c r="EX75" i="50"/>
  <c r="AB128" i="50"/>
  <c r="AJ138" i="50"/>
  <c r="CW204" i="50"/>
  <c r="DY153" i="50"/>
  <c r="EY82" i="50"/>
  <c r="CW223" i="50"/>
  <c r="O153" i="50"/>
  <c r="EX78" i="50"/>
  <c r="DY128" i="50"/>
  <c r="AC138" i="50"/>
  <c r="EG129" i="50"/>
  <c r="G153" i="50"/>
  <c r="EY122" i="50"/>
  <c r="EE129" i="50"/>
  <c r="CV170" i="50"/>
  <c r="EX118" i="50"/>
  <c r="G128" i="50"/>
  <c r="P138" i="50"/>
  <c r="CB129" i="50"/>
  <c r="BO170" i="50"/>
  <c r="EY190" i="50"/>
  <c r="CQ129" i="50"/>
  <c r="ED170" i="50"/>
  <c r="BZ192" i="50"/>
  <c r="BN169" i="50"/>
  <c r="BQ165" i="50"/>
  <c r="AP224" i="50"/>
  <c r="EH108" i="50"/>
  <c r="DT77" i="50"/>
  <c r="Y224" i="50"/>
  <c r="CW199" i="50"/>
  <c r="BY192" i="50"/>
  <c r="CS169" i="50"/>
  <c r="BQ187" i="50"/>
  <c r="BX224" i="50"/>
  <c r="EH116" i="50"/>
  <c r="DT85" i="50"/>
  <c r="AZ224" i="50"/>
  <c r="CW112" i="50"/>
  <c r="AD192" i="50"/>
  <c r="AK169" i="50"/>
  <c r="BQ138" i="50"/>
  <c r="U224" i="50"/>
  <c r="EH184" i="50"/>
  <c r="DT125" i="50"/>
  <c r="BH224" i="50"/>
  <c r="CW168" i="50"/>
  <c r="V192" i="50"/>
  <c r="AB169" i="50"/>
  <c r="BQ217" i="50"/>
  <c r="AV224" i="50"/>
  <c r="EH133" i="50"/>
  <c r="DT191" i="50"/>
  <c r="BG139" i="50"/>
  <c r="BQ129" i="50"/>
  <c r="BH223" i="50"/>
  <c r="CE115" i="50"/>
  <c r="BQ88" i="50"/>
  <c r="BF224" i="50"/>
  <c r="DJ193" i="50"/>
  <c r="CF138" i="50"/>
  <c r="DP224" i="50"/>
  <c r="CW110" i="50"/>
  <c r="I223" i="50"/>
  <c r="CE123" i="50"/>
  <c r="BQ96" i="50"/>
  <c r="EE224" i="50"/>
  <c r="AV193" i="50"/>
  <c r="CF152" i="50"/>
  <c r="CB224" i="50"/>
  <c r="CW81" i="50"/>
  <c r="BO192" i="50"/>
  <c r="CE201" i="50"/>
  <c r="BQ99" i="50"/>
  <c r="CQ224" i="50"/>
  <c r="EH97" i="50"/>
  <c r="CF219" i="50"/>
  <c r="AN224" i="50"/>
  <c r="CW121" i="50"/>
  <c r="BM192" i="50"/>
  <c r="BE169" i="50"/>
  <c r="BQ147" i="50"/>
  <c r="AR224" i="50"/>
  <c r="EH100" i="50"/>
  <c r="DT106" i="50"/>
  <c r="BJ224" i="50"/>
  <c r="CW187" i="50"/>
  <c r="F223" i="50"/>
  <c r="CE165" i="50"/>
  <c r="BQ83" i="50"/>
  <c r="EC224" i="50"/>
  <c r="EH81" i="50"/>
  <c r="CF204" i="50"/>
  <c r="BZ224" i="50"/>
  <c r="CW105" i="50"/>
  <c r="DR192" i="50"/>
  <c r="CE187" i="50"/>
  <c r="BQ91" i="50"/>
  <c r="ET224" i="50"/>
  <c r="EH89" i="50"/>
  <c r="CF222" i="50"/>
  <c r="BY224" i="50"/>
  <c r="CW113" i="50"/>
  <c r="CA192" i="50"/>
  <c r="EF169" i="50"/>
  <c r="BQ133" i="50"/>
  <c r="AS224" i="50"/>
  <c r="EH92" i="50"/>
  <c r="DT98" i="50"/>
  <c r="AD224" i="50"/>
  <c r="CW165" i="50"/>
  <c r="BA192" i="50"/>
  <c r="DO169" i="50"/>
  <c r="BQ114" i="50"/>
  <c r="AH224" i="50"/>
  <c r="EH132" i="50"/>
  <c r="DT101" i="50"/>
  <c r="V224" i="50"/>
  <c r="CW128" i="50"/>
  <c r="DP192" i="50"/>
  <c r="CE220" i="50"/>
  <c r="BQ115" i="50"/>
  <c r="AM224" i="50"/>
  <c r="EH76" i="50"/>
  <c r="DT82" i="50"/>
  <c r="CP224" i="50"/>
  <c r="CW137" i="50"/>
  <c r="CB192" i="50"/>
  <c r="EW169" i="50"/>
  <c r="BQ123" i="50"/>
  <c r="AU224" i="50"/>
  <c r="EH84" i="50"/>
  <c r="DT90" i="50"/>
  <c r="AQ224" i="50"/>
  <c r="CW149" i="50"/>
  <c r="AN192" i="50"/>
  <c r="CR169" i="50"/>
  <c r="BQ201" i="50"/>
  <c r="DL224" i="50"/>
  <c r="EH124" i="50"/>
  <c r="DT93" i="50"/>
  <c r="AF224" i="50"/>
  <c r="CW120" i="50"/>
  <c r="BJ192" i="50"/>
  <c r="ER169" i="50"/>
  <c r="BQ152" i="50"/>
  <c r="R224" i="50"/>
  <c r="EH192" i="50"/>
  <c r="DT133" i="50"/>
  <c r="AB206" i="50"/>
  <c r="DS206" i="50"/>
  <c r="F138" i="50"/>
  <c r="AS169" i="50"/>
  <c r="BK207" i="50"/>
  <c r="Z25" i="50"/>
  <c r="CU193" i="50"/>
  <c r="EA207" i="50"/>
  <c r="DS185" i="50"/>
  <c r="DS118" i="50"/>
  <c r="CE79" i="50"/>
  <c r="AR169" i="50"/>
  <c r="AT207" i="50"/>
  <c r="S25" i="50"/>
  <c r="BP193" i="50"/>
  <c r="AE207" i="50"/>
  <c r="CV80" i="50"/>
  <c r="DS188" i="50"/>
  <c r="CE80" i="50"/>
  <c r="DZ169" i="50"/>
  <c r="AA207" i="50"/>
  <c r="BR89" i="50"/>
  <c r="BC193" i="50"/>
  <c r="S207" i="50"/>
  <c r="CV121" i="50"/>
  <c r="DS147" i="50"/>
  <c r="CE120" i="50"/>
  <c r="DJ169" i="50"/>
  <c r="X207" i="50"/>
  <c r="BR90" i="50"/>
  <c r="AT193" i="50"/>
  <c r="J207" i="50"/>
  <c r="AT224" i="50"/>
  <c r="K206" i="50"/>
  <c r="AD138" i="50"/>
  <c r="CE218" i="50"/>
  <c r="EY224" i="50"/>
  <c r="DZ129" i="50"/>
  <c r="AA170" i="50"/>
  <c r="EW207" i="50"/>
  <c r="DS116" i="50"/>
  <c r="E206" i="50"/>
  <c r="BJ138" i="50"/>
  <c r="CD169" i="50"/>
  <c r="BG207" i="50"/>
  <c r="BW129" i="50"/>
  <c r="EQ170" i="50"/>
  <c r="EF207" i="50"/>
  <c r="DS186" i="50"/>
  <c r="DS101" i="50"/>
  <c r="T138" i="50"/>
  <c r="EC169" i="50"/>
  <c r="BD207" i="50"/>
  <c r="X25" i="50"/>
  <c r="O170" i="50"/>
  <c r="DO207" i="50"/>
  <c r="DS145" i="50"/>
  <c r="DS104" i="50"/>
  <c r="E138" i="50"/>
  <c r="AU169" i="50"/>
  <c r="AJ207" i="50"/>
  <c r="K129" i="50"/>
  <c r="BG193" i="50"/>
  <c r="AL207" i="50"/>
  <c r="BG224" i="50"/>
  <c r="DS85" i="50"/>
  <c r="AF138" i="50"/>
  <c r="CT169" i="50"/>
  <c r="CC207" i="50"/>
  <c r="R129" i="50"/>
  <c r="DK170" i="50"/>
  <c r="CS207" i="50"/>
  <c r="DS164" i="50"/>
  <c r="DS93" i="50"/>
  <c r="V138" i="50"/>
  <c r="ED169" i="50"/>
  <c r="EV207" i="50"/>
  <c r="W25" i="50"/>
  <c r="X170" i="50"/>
  <c r="CR207" i="50"/>
  <c r="DS131" i="50"/>
  <c r="DS96" i="50"/>
  <c r="K138" i="50"/>
  <c r="AM169" i="50"/>
  <c r="DN207" i="50"/>
  <c r="U25" i="50"/>
  <c r="AD13" i="26"/>
  <c r="ER207" i="50"/>
  <c r="DS217" i="50"/>
  <c r="DS134" i="50"/>
  <c r="CE95" i="50"/>
  <c r="BX169" i="50"/>
  <c r="DM207" i="50"/>
  <c r="AW129" i="50"/>
  <c r="EV193" i="50"/>
  <c r="Z207" i="50"/>
  <c r="EV224" i="50"/>
  <c r="DS80" i="50"/>
  <c r="BH138" i="50"/>
  <c r="CQ169" i="50"/>
  <c r="BC207" i="50"/>
  <c r="V25" i="50"/>
  <c r="D170" i="50"/>
  <c r="EB207" i="50"/>
  <c r="DS121" i="50"/>
  <c r="DS88" i="50"/>
  <c r="I138" i="50"/>
  <c r="BB169" i="50"/>
  <c r="ES207" i="50"/>
  <c r="L129" i="50"/>
  <c r="H170" i="50"/>
  <c r="AK207" i="50"/>
  <c r="DS199" i="50"/>
  <c r="DS126" i="50"/>
  <c r="CE87" i="50"/>
  <c r="AP169" i="50"/>
  <c r="AO207" i="50"/>
  <c r="S59" i="50"/>
  <c r="CC193" i="50"/>
  <c r="AB207" i="50"/>
  <c r="CV88" i="50"/>
  <c r="DS202" i="50"/>
  <c r="CE88" i="50"/>
  <c r="BW169" i="50"/>
  <c r="EQ207" i="50"/>
  <c r="BR97" i="50"/>
  <c r="ES193" i="50"/>
  <c r="DY207" i="50"/>
  <c r="AP128" i="50"/>
  <c r="EF128" i="50"/>
  <c r="EX204" i="50"/>
  <c r="CW131" i="50"/>
  <c r="DO153" i="50"/>
  <c r="V139" i="50"/>
  <c r="CW163" i="50"/>
  <c r="AJ153" i="50"/>
  <c r="BX128" i="50"/>
  <c r="BE128" i="50"/>
  <c r="EX147" i="50"/>
  <c r="CW139" i="50"/>
  <c r="BL153" i="50"/>
  <c r="T139" i="50"/>
  <c r="CW185" i="50"/>
  <c r="BK153" i="50"/>
  <c r="U128" i="50"/>
  <c r="BL128" i="50"/>
  <c r="CC138" i="50"/>
  <c r="CW114" i="50"/>
  <c r="EA153" i="50"/>
  <c r="E139" i="50"/>
  <c r="CW134" i="50"/>
  <c r="AI153" i="50"/>
  <c r="AV128" i="50"/>
  <c r="EA128" i="50"/>
  <c r="ES138" i="50"/>
  <c r="CW170" i="50"/>
  <c r="AG153" i="50"/>
  <c r="EY103" i="50"/>
  <c r="CW218" i="50"/>
  <c r="DK153" i="50"/>
  <c r="BF128" i="50"/>
  <c r="BG186" i="50"/>
  <c r="BQ199" i="50"/>
  <c r="CW73" i="50"/>
  <c r="DT188" i="50"/>
  <c r="BM139" i="50"/>
  <c r="CW92" i="50"/>
  <c r="DT207" i="50"/>
  <c r="EE128" i="50"/>
  <c r="BG200" i="50"/>
  <c r="BQ112" i="50"/>
  <c r="CW80" i="50"/>
  <c r="DT202" i="50"/>
  <c r="BZ139" i="50"/>
  <c r="CW100" i="50"/>
  <c r="DT223" i="50"/>
  <c r="CQ128" i="50"/>
  <c r="BG165" i="50"/>
  <c r="BQ168" i="50"/>
  <c r="CW83" i="50"/>
  <c r="EW153" i="50"/>
  <c r="AQ139" i="50"/>
  <c r="CW103" i="50"/>
  <c r="EV153" i="50"/>
  <c r="AR128" i="50"/>
  <c r="EW128" i="50"/>
  <c r="EX136" i="50"/>
  <c r="CW123" i="50"/>
  <c r="CR153" i="50"/>
  <c r="AF139" i="50"/>
  <c r="CW147" i="50"/>
  <c r="DN153" i="50"/>
  <c r="EC128" i="50"/>
  <c r="BG133" i="50"/>
  <c r="BQ136" i="50"/>
  <c r="CW104" i="50"/>
  <c r="CE153" i="50"/>
  <c r="BA139" i="50"/>
  <c r="CW87" i="50"/>
  <c r="BP153" i="50"/>
  <c r="ET128" i="50"/>
  <c r="BG147" i="50"/>
  <c r="BQ150" i="50"/>
  <c r="CW75" i="50"/>
  <c r="DS153" i="50"/>
  <c r="CP139" i="50"/>
  <c r="CW95" i="50"/>
  <c r="CC153" i="50"/>
  <c r="AS128" i="50"/>
  <c r="BG220" i="50"/>
  <c r="BQ223" i="50"/>
  <c r="CW115" i="50"/>
  <c r="CS153" i="50"/>
  <c r="AZ139" i="50"/>
  <c r="CW135" i="50"/>
  <c r="ES153" i="50"/>
  <c r="AH128" i="50"/>
  <c r="CS128" i="50"/>
  <c r="EX220" i="50"/>
  <c r="CW167" i="50"/>
  <c r="AK153" i="50"/>
  <c r="BH139" i="50"/>
  <c r="CW205" i="50"/>
  <c r="AO153" i="50"/>
  <c r="AM128" i="50"/>
  <c r="BG201" i="50"/>
  <c r="BQ204" i="50"/>
  <c r="CW99" i="50"/>
  <c r="BE153" i="50"/>
  <c r="BJ139" i="50"/>
  <c r="CW119" i="50"/>
  <c r="EU153" i="50"/>
  <c r="AU128" i="50"/>
  <c r="BG219" i="50"/>
  <c r="BQ222" i="50"/>
  <c r="CW107" i="50"/>
  <c r="BN153" i="50"/>
  <c r="Y139" i="50"/>
  <c r="CW127" i="50"/>
  <c r="BC153" i="50"/>
  <c r="DL128" i="50"/>
  <c r="BN128" i="50"/>
  <c r="EX201" i="50"/>
  <c r="CW151" i="50"/>
  <c r="EB153" i="50"/>
  <c r="W139" i="50"/>
  <c r="CW193" i="50"/>
  <c r="AT153" i="50"/>
  <c r="R128" i="50"/>
  <c r="EB128" i="50"/>
  <c r="EV138" i="50"/>
  <c r="CW122" i="50"/>
  <c r="AE153" i="50"/>
  <c r="F139" i="50"/>
  <c r="CW148" i="50"/>
  <c r="AA153" i="50"/>
  <c r="AF223" i="50"/>
  <c r="CE148" i="50"/>
  <c r="D169" i="50"/>
  <c r="BR218" i="50"/>
  <c r="BX193" i="50"/>
  <c r="CF201" i="50"/>
  <c r="EG224" i="50"/>
  <c r="CW78" i="50"/>
  <c r="V223" i="50"/>
  <c r="CE166" i="50"/>
  <c r="H169" i="50"/>
  <c r="BQ224" i="50"/>
  <c r="AH193" i="50"/>
  <c r="CF114" i="50"/>
  <c r="DR224" i="50"/>
  <c r="CW86" i="50"/>
  <c r="K223" i="50"/>
  <c r="CE133" i="50"/>
  <c r="BQ104" i="50"/>
  <c r="CT224" i="50"/>
  <c r="Z13" i="26"/>
  <c r="CF170" i="50"/>
  <c r="CA224" i="50"/>
  <c r="CW89" i="50"/>
  <c r="DQ192" i="50"/>
  <c r="CE219" i="50"/>
  <c r="BQ107" i="50"/>
  <c r="BB224" i="50"/>
  <c r="EH105" i="50"/>
  <c r="DT74" i="50"/>
  <c r="BA224" i="50"/>
  <c r="CW129" i="50"/>
  <c r="CA223" i="50"/>
  <c r="CE85" i="50"/>
  <c r="AO169" i="50"/>
  <c r="BR168" i="50"/>
  <c r="V193" i="50"/>
  <c r="CF113" i="50"/>
  <c r="BR206" i="50"/>
  <c r="EH202" i="50"/>
  <c r="BM223" i="50"/>
  <c r="CE93" i="50"/>
  <c r="DM169" i="50"/>
  <c r="BR188" i="50"/>
  <c r="T193" i="50"/>
  <c r="CF121" i="50"/>
  <c r="BR115" i="50"/>
  <c r="EH113" i="50"/>
  <c r="CP223" i="50"/>
  <c r="CE94" i="50"/>
  <c r="Q169" i="50"/>
  <c r="BR135" i="50"/>
  <c r="E193" i="50"/>
  <c r="CF81" i="50"/>
  <c r="BR167" i="50"/>
  <c r="EH165" i="50"/>
  <c r="AZ223" i="50"/>
  <c r="CE134" i="50"/>
  <c r="N169" i="50"/>
  <c r="BR205" i="50"/>
  <c r="AR193" i="50"/>
  <c r="CF189" i="50"/>
  <c r="EX224" i="50"/>
  <c r="EH224" i="50"/>
  <c r="AN223" i="50"/>
  <c r="CE78" i="50"/>
  <c r="AA169" i="50"/>
  <c r="BR119" i="50"/>
  <c r="I193" i="50"/>
  <c r="CF149" i="50"/>
  <c r="BR139" i="50"/>
  <c r="EH137" i="50"/>
  <c r="BA223" i="50"/>
  <c r="CE86" i="50"/>
  <c r="EQ169" i="50"/>
  <c r="BR127" i="50"/>
  <c r="K193" i="50"/>
  <c r="CF165" i="50"/>
  <c r="BR151" i="50"/>
  <c r="EH149" i="50"/>
  <c r="Y223" i="50"/>
  <c r="CE126" i="50"/>
  <c r="O169" i="50"/>
  <c r="BR193" i="50"/>
  <c r="AU193" i="50"/>
  <c r="CF167" i="50"/>
  <c r="BR222" i="50"/>
  <c r="EH223" i="50"/>
  <c r="W223" i="50"/>
  <c r="CE202" i="50"/>
  <c r="BQ80" i="50"/>
  <c r="CD224" i="50"/>
  <c r="R193" i="50"/>
  <c r="CF130" i="50"/>
  <c r="DQ224" i="50"/>
  <c r="CW102" i="50"/>
  <c r="AD223" i="50"/>
  <c r="CE110" i="50"/>
  <c r="DK169" i="50"/>
  <c r="BR163" i="50"/>
  <c r="ET193" i="50"/>
  <c r="CF97" i="50"/>
  <c r="BR201" i="50"/>
  <c r="EH199" i="50"/>
  <c r="BJ223" i="50"/>
  <c r="CE118" i="50"/>
  <c r="X169" i="50"/>
  <c r="BR185" i="50"/>
  <c r="BB193" i="50"/>
  <c r="CF105" i="50"/>
  <c r="BR221" i="50"/>
  <c r="EH207" i="50"/>
  <c r="T223" i="50"/>
  <c r="CE188" i="50"/>
  <c r="BQ73" i="50"/>
  <c r="CV224" i="50"/>
  <c r="BW193" i="50"/>
  <c r="CF122" i="50"/>
  <c r="BO224" i="50"/>
  <c r="CW94" i="50"/>
  <c r="E223" i="50"/>
  <c r="CE147" i="50"/>
  <c r="BQ75" i="50"/>
  <c r="ED224" i="50"/>
  <c r="EH73" i="50"/>
  <c r="CF190" i="50"/>
  <c r="BM224" i="50"/>
  <c r="CW97" i="50"/>
  <c r="T206" i="50"/>
  <c r="AN138" i="50"/>
  <c r="CE163" i="50"/>
  <c r="EY189" i="50"/>
  <c r="AI129" i="50"/>
  <c r="AO170" i="50"/>
  <c r="EY221" i="50"/>
  <c r="L206" i="50"/>
  <c r="W206" i="50"/>
  <c r="BA138" i="50"/>
  <c r="CE185" i="50"/>
  <c r="EY201" i="50"/>
  <c r="AA129" i="50"/>
  <c r="DM170" i="50"/>
  <c r="EY220" i="50"/>
  <c r="DS124" i="50"/>
  <c r="F206" i="50"/>
  <c r="Y138" i="50"/>
  <c r="BF169" i="50"/>
  <c r="CU207" i="50"/>
  <c r="V129" i="50"/>
  <c r="Q170" i="50"/>
  <c r="BE207" i="50"/>
  <c r="DS200" i="50"/>
  <c r="DS109" i="50"/>
  <c r="W138" i="50"/>
  <c r="ET169" i="50"/>
  <c r="EU207" i="50"/>
  <c r="AB25" i="50"/>
  <c r="N170" i="50"/>
  <c r="BL207" i="50"/>
  <c r="BR191" i="50"/>
  <c r="BZ206" i="50"/>
  <c r="EX199" i="50"/>
  <c r="CE108" i="50"/>
  <c r="EY128" i="50"/>
  <c r="EV129" i="50"/>
  <c r="CU170" i="50"/>
  <c r="EY164" i="50"/>
  <c r="BR101" i="50"/>
  <c r="BY206" i="50"/>
  <c r="EX218" i="50"/>
  <c r="CE116" i="50"/>
  <c r="EY136" i="50"/>
  <c r="BD129" i="50"/>
  <c r="BP170" i="50"/>
  <c r="EY184" i="50"/>
  <c r="BR109" i="50"/>
  <c r="AD206" i="50"/>
  <c r="DP138" i="50"/>
  <c r="CE186" i="50"/>
  <c r="EY115" i="50"/>
  <c r="AJ129" i="50"/>
  <c r="BC170" i="50"/>
  <c r="EY135" i="50"/>
  <c r="BR110" i="50"/>
  <c r="V206" i="50"/>
  <c r="BY138" i="50"/>
  <c r="CE145" i="50"/>
  <c r="EY167" i="50"/>
  <c r="AC129" i="50"/>
  <c r="AT170" i="50"/>
  <c r="EY205" i="50"/>
  <c r="BR134" i="50"/>
  <c r="CP206" i="50"/>
  <c r="BO138" i="50"/>
  <c r="CE146" i="50"/>
  <c r="EY188" i="50"/>
  <c r="ES129" i="50"/>
  <c r="BD170" i="50"/>
  <c r="EY119" i="50"/>
  <c r="BR94" i="50"/>
  <c r="AQ206" i="50"/>
  <c r="DQ138" i="50"/>
  <c r="CE164" i="50"/>
  <c r="EY202" i="50"/>
  <c r="DN129" i="50"/>
  <c r="EU170" i="50"/>
  <c r="EY127" i="50"/>
  <c r="BR102" i="50"/>
  <c r="AF206" i="50"/>
  <c r="BZ138" i="50"/>
  <c r="CE131" i="50"/>
  <c r="EY151" i="50"/>
  <c r="DM129" i="50"/>
  <c r="BK170" i="50"/>
  <c r="EY193" i="50"/>
  <c r="DS107" i="50"/>
  <c r="I206" i="50"/>
  <c r="AQ138" i="50"/>
  <c r="CE217" i="50"/>
  <c r="EY206" i="50"/>
  <c r="AZ129" i="50"/>
  <c r="AI170" i="50"/>
  <c r="DS207" i="50"/>
  <c r="BR200" i="50"/>
  <c r="Y206" i="50"/>
  <c r="CA138" i="50"/>
  <c r="CE113" i="50"/>
  <c r="EY131" i="50"/>
  <c r="AT129" i="50"/>
  <c r="DN170" i="50"/>
  <c r="EY163" i="50"/>
  <c r="BR126" i="50"/>
  <c r="AZ206" i="50"/>
  <c r="BM138" i="50"/>
  <c r="CE121" i="50"/>
  <c r="EY139" i="50"/>
  <c r="AO129" i="50"/>
  <c r="AJ170" i="50"/>
  <c r="EY185" i="50"/>
  <c r="DS75" i="50"/>
  <c r="BH206" i="50"/>
  <c r="CP138" i="50"/>
  <c r="CE199" i="50"/>
  <c r="EY217" i="50"/>
  <c r="F35" i="50"/>
  <c r="AC170" i="50"/>
  <c r="CE207" i="50"/>
  <c r="DS132" i="50"/>
  <c r="DS77" i="50"/>
  <c r="AZ138" i="50"/>
  <c r="EE169" i="50"/>
  <c r="BP207" i="50"/>
  <c r="AJ25" i="50"/>
  <c r="P170" i="50"/>
  <c r="BN207" i="50"/>
  <c r="I224" i="50"/>
  <c r="AK129" i="50"/>
  <c r="EB170" i="50"/>
  <c r="C153" i="50"/>
  <c r="BX153" i="50"/>
  <c r="AS153" i="50"/>
  <c r="CX76" i="50"/>
  <c r="EB154" i="50"/>
  <c r="CD140" i="50"/>
  <c r="BE194" i="50"/>
  <c r="CG218" i="50"/>
  <c r="BR225" i="50"/>
  <c r="P140" i="50"/>
  <c r="C194" i="50"/>
  <c r="BI208" i="50"/>
  <c r="CX149" i="50"/>
  <c r="DK154" i="50"/>
  <c r="EZ206" i="50"/>
  <c r="W225" i="50"/>
  <c r="BS188" i="50"/>
  <c r="AI208" i="50"/>
  <c r="CX208" i="50"/>
  <c r="ET171" i="50"/>
  <c r="CG82" i="50"/>
  <c r="DU97" i="50"/>
  <c r="CP140" i="50"/>
  <c r="EI89" i="50"/>
  <c r="AV153" i="50"/>
  <c r="AP153" i="50"/>
  <c r="EE153" i="50"/>
  <c r="CV153" i="50"/>
  <c r="DU152" i="50"/>
  <c r="CG217" i="50"/>
  <c r="EI135" i="50"/>
  <c r="T171" i="50"/>
  <c r="CG165" i="50"/>
  <c r="DL154" i="50"/>
  <c r="ES140" i="50"/>
  <c r="AP194" i="50"/>
  <c r="CA194" i="50"/>
  <c r="CX120" i="50"/>
  <c r="DN154" i="50"/>
  <c r="EZ83" i="50"/>
  <c r="BY225" i="50"/>
  <c r="BS107" i="50"/>
  <c r="EV208" i="50"/>
  <c r="DU133" i="50"/>
  <c r="J225" i="50"/>
  <c r="BS119" i="50"/>
  <c r="BH208" i="50"/>
  <c r="EI75" i="50"/>
  <c r="EZ120" i="50"/>
  <c r="U225" i="50"/>
  <c r="CF117" i="50"/>
  <c r="W207" i="50"/>
  <c r="AN207" i="50"/>
  <c r="BM207" i="50"/>
  <c r="CC194" i="50"/>
  <c r="CG206" i="50"/>
  <c r="CX101" i="50"/>
  <c r="DQ154" i="50"/>
  <c r="EI221" i="50"/>
  <c r="CX82" i="50"/>
  <c r="CX145" i="50"/>
  <c r="AW154" i="50"/>
  <c r="DZ140" i="50"/>
  <c r="DY194" i="50"/>
  <c r="AZ194" i="50"/>
  <c r="AB208" i="50"/>
  <c r="EZ113" i="50"/>
  <c r="EZ189" i="50"/>
  <c r="AI225" i="50"/>
  <c r="BS118" i="50"/>
  <c r="CU171" i="50"/>
  <c r="EI85" i="50"/>
  <c r="CS171" i="50"/>
  <c r="AC14" i="26"/>
  <c r="DU88" i="50"/>
  <c r="EI170" i="50"/>
  <c r="BS96" i="50"/>
  <c r="AO224" i="50"/>
  <c r="BP224" i="50"/>
  <c r="BR224" i="50"/>
  <c r="BQ154" i="50"/>
  <c r="EI153" i="50"/>
  <c r="AW171" i="50"/>
  <c r="CG132" i="50"/>
  <c r="DU164" i="50"/>
  <c r="CG91" i="50"/>
  <c r="AI194" i="50"/>
  <c r="BJ194" i="50"/>
  <c r="CX190" i="50"/>
  <c r="Y154" i="50"/>
  <c r="BL140" i="50"/>
  <c r="ER225" i="50"/>
  <c r="BS82" i="50"/>
  <c r="BY208" i="50"/>
  <c r="CX138" i="50"/>
  <c r="EZ87" i="50"/>
  <c r="CT225" i="50"/>
  <c r="J208" i="50"/>
  <c r="EI190" i="50"/>
  <c r="EZ190" i="50"/>
  <c r="D225" i="50"/>
  <c r="BS123" i="50"/>
  <c r="EI154" i="50"/>
  <c r="FA119" i="50"/>
  <c r="DV114" i="50"/>
  <c r="H226" i="50"/>
  <c r="CH94" i="50"/>
  <c r="EJ73" i="50"/>
  <c r="ES209" i="50"/>
  <c r="EY141" i="50"/>
  <c r="L141" i="50"/>
  <c r="AH172" i="50"/>
  <c r="H195" i="50"/>
  <c r="FA140" i="50"/>
  <c r="AB226" i="50"/>
  <c r="CY146" i="50"/>
  <c r="CH137" i="50"/>
  <c r="EJ169" i="50"/>
  <c r="CH222" i="50"/>
  <c r="DM141" i="50"/>
  <c r="CA172" i="50"/>
  <c r="CD155" i="50"/>
  <c r="BT99" i="50"/>
  <c r="DV132" i="50"/>
  <c r="CY73" i="50"/>
  <c r="CH104" i="50"/>
  <c r="D155" i="50"/>
  <c r="EJ138" i="50"/>
  <c r="AE195" i="50"/>
  <c r="W141" i="50"/>
  <c r="AE172" i="50"/>
  <c r="DJ195" i="50"/>
  <c r="FA118" i="50"/>
  <c r="DV104" i="50"/>
  <c r="CY96" i="50"/>
  <c r="CH188" i="50"/>
  <c r="EJ107" i="50"/>
  <c r="CH98" i="50"/>
  <c r="EI226" i="50"/>
  <c r="ED209" i="50"/>
  <c r="CE155" i="50"/>
  <c r="BT85" i="50"/>
  <c r="DV109" i="50"/>
  <c r="J226" i="50"/>
  <c r="CY147" i="50"/>
  <c r="EI195" i="50"/>
  <c r="EJ168" i="50"/>
  <c r="AX195" i="50"/>
  <c r="O141" i="50"/>
  <c r="EZ155" i="50"/>
  <c r="BI155" i="50"/>
  <c r="DJ141" i="50"/>
  <c r="DV219" i="50"/>
  <c r="CY133" i="50"/>
  <c r="CH220" i="50"/>
  <c r="EJ136" i="50"/>
  <c r="FA189" i="50"/>
  <c r="BC226" i="50"/>
  <c r="AB209" i="50"/>
  <c r="BZ155" i="50"/>
  <c r="BT130" i="50"/>
  <c r="DV204" i="50"/>
  <c r="BL141" i="50"/>
  <c r="BF172" i="50"/>
  <c r="BK195" i="50"/>
  <c r="FA93" i="50"/>
  <c r="BS226" i="50"/>
  <c r="W226" i="50"/>
  <c r="CH99" i="50"/>
  <c r="J155" i="50"/>
  <c r="BG209" i="50"/>
  <c r="DV218" i="50"/>
  <c r="CY206" i="50"/>
  <c r="DN172" i="50"/>
  <c r="AZ195" i="50"/>
  <c r="FA163" i="50"/>
  <c r="CT226" i="50"/>
  <c r="CP209" i="50"/>
  <c r="EU155" i="50"/>
  <c r="EJ100" i="50"/>
  <c r="P209" i="50"/>
  <c r="BO141" i="50"/>
  <c r="CY222" i="50"/>
  <c r="CT195" i="50"/>
  <c r="FA108" i="50"/>
  <c r="FA219" i="50"/>
  <c r="P226" i="50"/>
  <c r="CH85" i="50"/>
  <c r="W155" i="50"/>
  <c r="R141" i="50"/>
  <c r="DV203" i="50"/>
  <c r="CO141" i="50"/>
  <c r="AU172" i="50"/>
  <c r="P195" i="50"/>
  <c r="FA185" i="50"/>
  <c r="AX129" i="50"/>
  <c r="G170" i="50"/>
  <c r="AE170" i="50"/>
  <c r="BE170" i="50"/>
  <c r="DS170" i="50"/>
  <c r="CX133" i="50"/>
  <c r="G154" i="50"/>
  <c r="AH140" i="50"/>
  <c r="S194" i="50"/>
  <c r="AQ194" i="50"/>
  <c r="AE225" i="50"/>
  <c r="BS106" i="50"/>
  <c r="CP208" i="50"/>
  <c r="CX151" i="50"/>
  <c r="EZ111" i="50"/>
  <c r="DZ225" i="50"/>
  <c r="EI109" i="50"/>
  <c r="BL171" i="50"/>
  <c r="CG92" i="50"/>
  <c r="DU75" i="50"/>
  <c r="EI223" i="50"/>
  <c r="DJ171" i="50"/>
  <c r="CG201" i="50"/>
  <c r="DU170" i="50"/>
  <c r="CG120" i="50"/>
  <c r="EI113" i="50"/>
  <c r="EA170" i="50"/>
  <c r="EF170" i="50"/>
  <c r="BW153" i="50"/>
  <c r="DL153" i="50"/>
  <c r="CX108" i="50"/>
  <c r="EA154" i="50"/>
  <c r="ED140" i="50"/>
  <c r="DO194" i="50"/>
  <c r="BP171" i="50"/>
  <c r="EF225" i="50"/>
  <c r="N140" i="50"/>
  <c r="EG208" i="50"/>
  <c r="DU125" i="50"/>
  <c r="CX205" i="50"/>
  <c r="D154" i="50"/>
  <c r="EZ140" i="50"/>
  <c r="E225" i="50"/>
  <c r="BS129" i="50"/>
  <c r="P208" i="50"/>
  <c r="EZ165" i="50"/>
  <c r="AU171" i="50"/>
  <c r="CG77" i="50"/>
  <c r="DU129" i="50"/>
  <c r="BS87" i="50"/>
  <c r="EI84" i="50"/>
  <c r="DK171" i="50"/>
  <c r="CF148" i="50"/>
  <c r="CF77" i="50"/>
  <c r="F207" i="50"/>
  <c r="I207" i="50"/>
  <c r="Q194" i="50"/>
  <c r="EY208" i="50"/>
  <c r="CX119" i="50"/>
  <c r="V154" i="50"/>
  <c r="ER140" i="50"/>
  <c r="EI218" i="50"/>
  <c r="EZ107" i="50"/>
  <c r="CP225" i="50"/>
  <c r="BS92" i="50"/>
  <c r="BC208" i="50"/>
  <c r="DU194" i="50"/>
  <c r="DU108" i="50"/>
  <c r="AQ140" i="50"/>
  <c r="EI95" i="50"/>
  <c r="BO171" i="50"/>
  <c r="BS207" i="50"/>
  <c r="BS225" i="50"/>
  <c r="EI204" i="50"/>
  <c r="AY171" i="50"/>
  <c r="CG171" i="50"/>
  <c r="DU112" i="50"/>
  <c r="BS125" i="50"/>
  <c r="AS139" i="50"/>
  <c r="CD139" i="50"/>
  <c r="EQ224" i="50"/>
  <c r="AC224" i="50"/>
  <c r="BX154" i="50"/>
  <c r="BC140" i="50"/>
  <c r="AR194" i="50"/>
  <c r="DR194" i="50"/>
  <c r="CX112" i="50"/>
  <c r="ES154" i="50"/>
  <c r="EF208" i="50"/>
  <c r="DU130" i="50"/>
  <c r="EZ98" i="50"/>
  <c r="CC225" i="50"/>
  <c r="J140" i="50"/>
  <c r="EY171" i="50"/>
  <c r="BS147" i="50"/>
  <c r="E208" i="50"/>
  <c r="EI146" i="50"/>
  <c r="EZ148" i="50"/>
  <c r="DJ225" i="50"/>
  <c r="DU147" i="50"/>
  <c r="BS169" i="50"/>
  <c r="EI130" i="50"/>
  <c r="BA171" i="50"/>
  <c r="CG81" i="50"/>
  <c r="EF140" i="50"/>
  <c r="FA200" i="50"/>
  <c r="DV135" i="50"/>
  <c r="CY164" i="50"/>
  <c r="CH149" i="50"/>
  <c r="EJ171" i="50"/>
  <c r="CH225" i="50"/>
  <c r="EX226" i="50"/>
  <c r="CQ209" i="50"/>
  <c r="EF155" i="50"/>
  <c r="BT109" i="50"/>
  <c r="DV134" i="50"/>
  <c r="CY107" i="50"/>
  <c r="CY218" i="50"/>
  <c r="DQ195" i="50"/>
  <c r="FA80" i="50"/>
  <c r="BT167" i="50"/>
  <c r="CW209" i="50"/>
  <c r="BH172" i="50"/>
  <c r="AH155" i="50"/>
  <c r="BT219" i="50"/>
  <c r="DV155" i="50"/>
  <c r="CY184" i="50"/>
  <c r="CH165" i="50"/>
  <c r="EJ141" i="50"/>
  <c r="FA97" i="50"/>
  <c r="CF226" i="50"/>
  <c r="CR209" i="50"/>
  <c r="EX155" i="50"/>
  <c r="BT87" i="50"/>
  <c r="DV112" i="50"/>
  <c r="DV222" i="50"/>
  <c r="CY163" i="50"/>
  <c r="CF195" i="50"/>
  <c r="EJ170" i="50"/>
  <c r="AY195" i="50"/>
  <c r="CP226" i="50"/>
  <c r="R209" i="50"/>
  <c r="AB155" i="50"/>
  <c r="BT220" i="50"/>
  <c r="DV131" i="50"/>
  <c r="CY140" i="50"/>
  <c r="EV172" i="50"/>
  <c r="CP195" i="50"/>
  <c r="FA115" i="50"/>
  <c r="BQ226" i="50"/>
  <c r="BM209" i="50"/>
  <c r="AO155" i="50"/>
  <c r="EJ119" i="50"/>
  <c r="CH166" i="50"/>
  <c r="BY141" i="50"/>
  <c r="EF172" i="50"/>
  <c r="AU195" i="50"/>
  <c r="FA95" i="50"/>
  <c r="DV89" i="50"/>
  <c r="O226" i="50"/>
  <c r="CH109" i="50"/>
  <c r="K155" i="50"/>
  <c r="EH209" i="50"/>
  <c r="BQ141" i="50"/>
  <c r="J141" i="50"/>
  <c r="DZ172" i="50"/>
  <c r="BT74" i="50"/>
  <c r="FA152" i="50"/>
  <c r="AL226" i="50"/>
  <c r="CY118" i="50"/>
  <c r="CH113" i="50"/>
  <c r="EJ137" i="50"/>
  <c r="CH217" i="50"/>
  <c r="BK141" i="50"/>
  <c r="EX172" i="50"/>
  <c r="D172" i="50"/>
  <c r="BT127" i="50"/>
  <c r="DV75" i="50"/>
  <c r="U226" i="50"/>
  <c r="CH87" i="50"/>
  <c r="X155" i="50"/>
  <c r="EJ114" i="50"/>
  <c r="CS195" i="50"/>
  <c r="AF141" i="50"/>
  <c r="ER172" i="50"/>
  <c r="U195" i="50"/>
  <c r="FA126" i="50"/>
  <c r="DV168" i="50"/>
  <c r="CY104" i="50"/>
  <c r="CH200" i="50"/>
  <c r="EJ115" i="50"/>
  <c r="CH122" i="50"/>
  <c r="CQ141" i="50"/>
  <c r="BF209" i="50"/>
  <c r="BS155" i="50"/>
  <c r="BT147" i="50"/>
  <c r="DV85" i="50"/>
  <c r="CH167" i="50"/>
  <c r="ED153" i="50"/>
  <c r="DT166" i="50"/>
  <c r="DT129" i="50"/>
  <c r="DT105" i="50"/>
  <c r="DU92" i="50"/>
  <c r="DQ140" i="50"/>
  <c r="EI79" i="50"/>
  <c r="EG171" i="50"/>
  <c r="BS187" i="50"/>
  <c r="DR140" i="50"/>
  <c r="EI125" i="50"/>
  <c r="L171" i="50"/>
  <c r="CG203" i="50"/>
  <c r="DU128" i="50"/>
  <c r="BS201" i="50"/>
  <c r="CX168" i="50"/>
  <c r="S154" i="50"/>
  <c r="AU140" i="50"/>
  <c r="EA194" i="50"/>
  <c r="P171" i="50"/>
  <c r="BN225" i="50"/>
  <c r="H140" i="50"/>
  <c r="BO208" i="50"/>
  <c r="DU189" i="50"/>
  <c r="CX222" i="50"/>
  <c r="DT148" i="50"/>
  <c r="DT121" i="50"/>
  <c r="CF223" i="50"/>
  <c r="CF200" i="50"/>
  <c r="CO208" i="50"/>
  <c r="EZ114" i="50"/>
  <c r="EZ208" i="50"/>
  <c r="EQ225" i="50"/>
  <c r="BS134" i="50"/>
  <c r="AO171" i="50"/>
  <c r="EI96" i="50"/>
  <c r="ER171" i="50"/>
  <c r="CG79" i="50"/>
  <c r="DU99" i="50"/>
  <c r="BM140" i="50"/>
  <c r="CX99" i="50"/>
  <c r="DO154" i="50"/>
  <c r="BQ140" i="50"/>
  <c r="EW194" i="50"/>
  <c r="CG190" i="50"/>
  <c r="BI154" i="50"/>
  <c r="DM140" i="50"/>
  <c r="U194" i="50"/>
  <c r="CV208" i="50"/>
  <c r="CX192" i="50"/>
  <c r="AC154" i="50"/>
  <c r="EG207" i="50"/>
  <c r="EY121" i="50"/>
  <c r="EY94" i="50"/>
  <c r="EY107" i="50"/>
  <c r="CV171" i="50"/>
  <c r="BS171" i="50"/>
  <c r="DU78" i="50"/>
  <c r="EI139" i="50"/>
  <c r="EZ184" i="50"/>
  <c r="AV225" i="50"/>
  <c r="DU124" i="50"/>
  <c r="CG199" i="50"/>
  <c r="EI111" i="50"/>
  <c r="AZ171" i="50"/>
  <c r="CG129" i="50"/>
  <c r="AO194" i="50"/>
  <c r="DQ194" i="50"/>
  <c r="CX146" i="50"/>
  <c r="AQ154" i="50"/>
  <c r="CS140" i="50"/>
  <c r="EZ207" i="50"/>
  <c r="CX218" i="50"/>
  <c r="BO225" i="50"/>
  <c r="M140" i="50"/>
  <c r="AW194" i="50"/>
  <c r="AU208" i="50"/>
  <c r="AB14" i="26"/>
  <c r="G193" i="50"/>
  <c r="AE193" i="50"/>
  <c r="BE193" i="50"/>
  <c r="DS193" i="50"/>
  <c r="EZ124" i="50"/>
  <c r="I225" i="50"/>
  <c r="BS113" i="50"/>
  <c r="EQ208" i="50"/>
  <c r="EZ89" i="50"/>
  <c r="AR171" i="50"/>
  <c r="CG93" i="50"/>
  <c r="DU149" i="50"/>
  <c r="BS112" i="50"/>
  <c r="EI100" i="50"/>
  <c r="BB154" i="50"/>
  <c r="CU140" i="50"/>
  <c r="ET194" i="50"/>
  <c r="BC171" i="50"/>
  <c r="CX103" i="50"/>
  <c r="BP154" i="50"/>
  <c r="X194" i="50"/>
  <c r="BB208" i="50"/>
  <c r="CX147" i="50"/>
  <c r="BH154" i="50"/>
  <c r="AE140" i="50"/>
  <c r="AN140" i="50"/>
  <c r="EJ109" i="50"/>
  <c r="FA102" i="50"/>
  <c r="BT152" i="50"/>
  <c r="EF209" i="50"/>
  <c r="AW172" i="50"/>
  <c r="BT139" i="50"/>
  <c r="DV79" i="50"/>
  <c r="DV195" i="50"/>
  <c r="CY123" i="50"/>
  <c r="CH221" i="50"/>
  <c r="EJ126" i="50"/>
  <c r="EB195" i="50"/>
  <c r="DT147" i="50"/>
  <c r="ES224" i="50"/>
  <c r="CU224" i="50"/>
  <c r="BR117" i="50"/>
  <c r="BR186" i="50"/>
  <c r="DY193" i="50"/>
  <c r="EI120" i="50"/>
  <c r="AE171" i="50"/>
  <c r="CG103" i="50"/>
  <c r="DU123" i="50"/>
  <c r="V140" i="50"/>
  <c r="EV194" i="50"/>
  <c r="CG222" i="50"/>
  <c r="CX109" i="50"/>
  <c r="DP154" i="50"/>
  <c r="EI208" i="50"/>
  <c r="CE225" i="50"/>
  <c r="DK140" i="50"/>
  <c r="DT208" i="50"/>
  <c r="C208" i="50"/>
  <c r="CX165" i="50"/>
  <c r="X154" i="50"/>
  <c r="AL208" i="50"/>
  <c r="CX224" i="50"/>
  <c r="EZ145" i="50"/>
  <c r="AO225" i="50"/>
  <c r="BK154" i="50"/>
  <c r="BR207" i="50"/>
  <c r="AX193" i="50"/>
  <c r="ER193" i="50"/>
  <c r="BL193" i="50"/>
  <c r="EZ217" i="50"/>
  <c r="EF171" i="50"/>
  <c r="BS205" i="50"/>
  <c r="H208" i="50"/>
  <c r="EI86" i="50"/>
  <c r="R171" i="50"/>
  <c r="CG169" i="50"/>
  <c r="DU146" i="50"/>
  <c r="CG131" i="50"/>
  <c r="EI188" i="50"/>
  <c r="AH154" i="50"/>
  <c r="DN140" i="50"/>
  <c r="BX194" i="50"/>
  <c r="AN194" i="50"/>
  <c r="CX128" i="50"/>
  <c r="AJ154" i="50"/>
  <c r="DS208" i="50"/>
  <c r="DU145" i="50"/>
  <c r="EZ82" i="50"/>
  <c r="CU225" i="50"/>
  <c r="AX140" i="50"/>
  <c r="BS192" i="50"/>
  <c r="AR153" i="50"/>
  <c r="BF153" i="50"/>
  <c r="DT126" i="50"/>
  <c r="DT199" i="50"/>
  <c r="DU119" i="50"/>
  <c r="BS120" i="50"/>
  <c r="EI106" i="50"/>
  <c r="BZ171" i="50"/>
  <c r="CG94" i="50"/>
  <c r="CT154" i="50"/>
  <c r="EI225" i="50"/>
  <c r="BF194" i="50"/>
  <c r="CG200" i="50"/>
  <c r="DU217" i="50"/>
  <c r="CG225" i="50"/>
  <c r="CX153" i="50"/>
  <c r="DT225" i="50"/>
  <c r="BW140" i="50"/>
  <c r="AY194" i="50"/>
  <c r="T194" i="50"/>
  <c r="AL225" i="50"/>
  <c r="BS90" i="50"/>
  <c r="AN208" i="50"/>
  <c r="CX166" i="50"/>
  <c r="EZ95" i="50"/>
  <c r="ED225" i="50"/>
  <c r="DP207" i="50"/>
  <c r="EY165" i="50"/>
  <c r="EY126" i="50"/>
  <c r="EY102" i="50"/>
  <c r="CT171" i="50"/>
  <c r="BS208" i="50"/>
  <c r="DU110" i="50"/>
  <c r="BO140" i="50"/>
  <c r="EZ221" i="50"/>
  <c r="BG171" i="50"/>
  <c r="DU168" i="50"/>
  <c r="BR154" i="50"/>
  <c r="EI147" i="50"/>
  <c r="W171" i="50"/>
  <c r="CG185" i="50"/>
  <c r="AA194" i="50"/>
  <c r="V194" i="50"/>
  <c r="CX202" i="50"/>
  <c r="AZ154" i="50"/>
  <c r="EB140" i="50"/>
  <c r="EI115" i="50"/>
  <c r="EZ96" i="50"/>
  <c r="CA225" i="50"/>
  <c r="BS83" i="50"/>
  <c r="CU208" i="50"/>
  <c r="DU82" i="50"/>
  <c r="DL225" i="50"/>
  <c r="BB141" i="50"/>
  <c r="EE209" i="50"/>
  <c r="DU155" i="50"/>
  <c r="BT155" i="50"/>
  <c r="DV93" i="50"/>
  <c r="AX226" i="50"/>
  <c r="CY129" i="50"/>
  <c r="CH208" i="50"/>
  <c r="EJ140" i="50"/>
  <c r="AB195" i="50"/>
  <c r="DK141" i="50"/>
  <c r="AZ172" i="50"/>
  <c r="AS155" i="50"/>
  <c r="BT170" i="50"/>
  <c r="DV113" i="50"/>
  <c r="CY122" i="50"/>
  <c r="CH117" i="50"/>
  <c r="EJ133" i="50"/>
  <c r="FA89" i="50"/>
  <c r="EZ226" i="50"/>
  <c r="CS209" i="50"/>
  <c r="CW155" i="50"/>
  <c r="BT79" i="50"/>
  <c r="FA225" i="50"/>
  <c r="DV187" i="50"/>
  <c r="CY115" i="50"/>
  <c r="CH201" i="50"/>
  <c r="EJ118" i="50"/>
  <c r="CR195" i="50"/>
  <c r="DQ226" i="50"/>
  <c r="AS209" i="50"/>
  <c r="CR155" i="50"/>
  <c r="BT112" i="50"/>
  <c r="DV84" i="50"/>
  <c r="CY100" i="50"/>
  <c r="EH172" i="50"/>
  <c r="BM195" i="50"/>
  <c r="FA75" i="50"/>
  <c r="BT206" i="50"/>
  <c r="BO209" i="50"/>
  <c r="F172" i="50"/>
  <c r="R155" i="50"/>
  <c r="U141" i="50"/>
  <c r="DV206" i="50"/>
  <c r="CY125" i="50"/>
  <c r="CH223" i="50"/>
  <c r="FA92" i="50"/>
  <c r="FA218" i="50"/>
  <c r="EQ226" i="50"/>
  <c r="AW209" i="50"/>
  <c r="V155" i="50"/>
  <c r="BX141" i="50"/>
  <c r="DV185" i="50"/>
  <c r="AB141" i="50"/>
  <c r="BB172" i="50"/>
  <c r="EQ195" i="50"/>
  <c r="FA151" i="50"/>
  <c r="DO226" i="50"/>
  <c r="CY78" i="50"/>
  <c r="CH152" i="50"/>
  <c r="EJ97" i="50"/>
  <c r="CH74" i="50"/>
  <c r="EU141" i="50"/>
  <c r="CW172" i="50"/>
  <c r="N172" i="50"/>
  <c r="BT119" i="50"/>
  <c r="FA221" i="50"/>
  <c r="BW226" i="50"/>
  <c r="CH79" i="50"/>
  <c r="AA155" i="50"/>
  <c r="EJ153" i="50"/>
  <c r="CH187" i="50"/>
  <c r="AQ141" i="50"/>
  <c r="CR172" i="50"/>
  <c r="BX195" i="50"/>
  <c r="FA127" i="50"/>
  <c r="DV122" i="50"/>
  <c r="AC15" i="26"/>
  <c r="CH102" i="50"/>
  <c r="EJ80" i="50"/>
  <c r="AJ209" i="50"/>
  <c r="EE141" i="50"/>
  <c r="CX209" i="50"/>
  <c r="BI172" i="50"/>
  <c r="BT104" i="50"/>
  <c r="FA206" i="50"/>
  <c r="Z226" i="50"/>
  <c r="CY154" i="50"/>
  <c r="CH147" i="50"/>
  <c r="EJ189" i="50"/>
  <c r="BR195" i="50"/>
  <c r="AC141" i="50"/>
  <c r="N224" i="50"/>
  <c r="AA224" i="50"/>
  <c r="EU224" i="50"/>
  <c r="CC224" i="50"/>
  <c r="EE154" i="50"/>
  <c r="EI217" i="50"/>
  <c r="CD194" i="50"/>
  <c r="CG188" i="50"/>
  <c r="DU220" i="50"/>
  <c r="CG164" i="50"/>
  <c r="P194" i="50"/>
  <c r="BF208" i="50"/>
  <c r="CX127" i="50"/>
  <c r="T154" i="50"/>
  <c r="AL140" i="50"/>
  <c r="AB225" i="50"/>
  <c r="BS114" i="50"/>
  <c r="AQ208" i="50"/>
  <c r="CX219" i="50"/>
  <c r="EZ119" i="50"/>
  <c r="AU225" i="50"/>
  <c r="DU84" i="50"/>
  <c r="EX140" i="50"/>
  <c r="AA14" i="26"/>
  <c r="EX171" i="50"/>
  <c r="ET225" i="50"/>
  <c r="BD224" i="50"/>
  <c r="BR153" i="50"/>
  <c r="BR125" i="50"/>
  <c r="J193" i="50"/>
  <c r="EI164" i="50"/>
  <c r="AG171" i="50"/>
  <c r="CG135" i="50"/>
  <c r="DU167" i="50"/>
  <c r="BS104" i="50"/>
  <c r="ES194" i="50"/>
  <c r="DM171" i="50"/>
  <c r="CX102" i="50"/>
  <c r="BZ154" i="50"/>
  <c r="DS140" i="50"/>
  <c r="BE225" i="50"/>
  <c r="D140" i="50"/>
  <c r="DR208" i="50"/>
  <c r="DU153" i="50"/>
  <c r="CX225" i="50"/>
  <c r="H154" i="50"/>
  <c r="Z208" i="50"/>
  <c r="EZ149" i="50"/>
  <c r="EZ201" i="50"/>
  <c r="AA225" i="50"/>
  <c r="BS126" i="50"/>
  <c r="EG194" i="50"/>
  <c r="EW170" i="50"/>
  <c r="DZ153" i="50"/>
  <c r="ET153" i="50"/>
  <c r="CT153" i="50"/>
  <c r="DU208" i="50"/>
  <c r="EW154" i="50"/>
  <c r="EI191" i="50"/>
  <c r="K171" i="50"/>
  <c r="CG118" i="50"/>
  <c r="U154" i="50"/>
  <c r="AT140" i="50"/>
  <c r="DZ194" i="50"/>
  <c r="BH194" i="50"/>
  <c r="CX164" i="50"/>
  <c r="AO154" i="50"/>
  <c r="EZ115" i="50"/>
  <c r="AQ225" i="50"/>
  <c r="BS100" i="50"/>
  <c r="ES208" i="50"/>
  <c r="DU206" i="50"/>
  <c r="BQ171" i="50"/>
  <c r="BS163" i="50"/>
  <c r="F208" i="50"/>
  <c r="EI202" i="50"/>
  <c r="EZ164" i="50"/>
  <c r="M225" i="50"/>
  <c r="T207" i="50"/>
  <c r="BY207" i="50"/>
  <c r="EY222" i="50"/>
  <c r="EY199" i="50"/>
  <c r="U171" i="50"/>
  <c r="CG153" i="50"/>
  <c r="DU134" i="50"/>
  <c r="CG99" i="50"/>
  <c r="EI168" i="50"/>
  <c r="CD208" i="50"/>
  <c r="CX116" i="50"/>
  <c r="AE154" i="50"/>
  <c r="EC140" i="50"/>
  <c r="BL194" i="50"/>
  <c r="EV171" i="50"/>
  <c r="BE208" i="50"/>
  <c r="DU186" i="50"/>
  <c r="EZ106" i="50"/>
  <c r="EV225" i="50"/>
  <c r="G140" i="50"/>
  <c r="CG88" i="50"/>
  <c r="EZ116" i="50"/>
  <c r="BH225" i="50"/>
  <c r="BS200" i="50"/>
  <c r="AA208" i="50"/>
  <c r="EZ102" i="50"/>
  <c r="EZ137" i="50"/>
  <c r="AN226" i="50"/>
  <c r="BW209" i="50"/>
  <c r="EA155" i="50"/>
  <c r="BT190" i="50"/>
  <c r="DV115" i="50"/>
  <c r="CY124" i="50"/>
  <c r="BP172" i="50"/>
  <c r="AN195" i="50"/>
  <c r="FA99" i="50"/>
  <c r="CX226" i="50"/>
  <c r="CB209" i="50"/>
  <c r="CC155" i="50"/>
  <c r="EJ76" i="50"/>
  <c r="BK209" i="50"/>
  <c r="EX141" i="50"/>
  <c r="CY203" i="50"/>
  <c r="CD195" i="50"/>
  <c r="EJ222" i="50"/>
  <c r="FA148" i="50"/>
  <c r="AO226" i="50"/>
  <c r="AY209" i="50"/>
  <c r="AD155" i="50"/>
  <c r="BT204" i="50"/>
  <c r="DV184" i="50"/>
  <c r="CR141" i="50"/>
  <c r="CV172" i="50"/>
  <c r="DN195" i="50"/>
  <c r="FA77" i="50"/>
  <c r="BT224" i="50"/>
  <c r="V226" i="50"/>
  <c r="CH83" i="50"/>
  <c r="AX155" i="50"/>
  <c r="AV141" i="50"/>
  <c r="DV207" i="50"/>
  <c r="CY167" i="50"/>
  <c r="AC172" i="50"/>
  <c r="I195" i="50"/>
  <c r="FA130" i="50"/>
  <c r="AM226" i="50"/>
  <c r="AF209" i="50"/>
  <c r="AT155" i="50"/>
  <c r="EJ111" i="50"/>
  <c r="CH130" i="50"/>
  <c r="BZ141" i="50"/>
  <c r="EW172" i="50"/>
  <c r="AM195" i="50"/>
  <c r="FA205" i="50"/>
  <c r="DV96" i="50"/>
  <c r="CY88" i="50"/>
  <c r="CH170" i="50"/>
  <c r="EJ99" i="50"/>
  <c r="CH105" i="50"/>
  <c r="EC141" i="50"/>
  <c r="CV209" i="50"/>
  <c r="AV172" i="50"/>
  <c r="BT129" i="50"/>
  <c r="FA223" i="50"/>
  <c r="L226" i="50"/>
  <c r="CY137" i="50"/>
  <c r="CH224" i="50"/>
  <c r="EJ152" i="50"/>
  <c r="S195" i="50"/>
  <c r="X141" i="50"/>
  <c r="AD172" i="50"/>
  <c r="BB155" i="50"/>
  <c r="BT134" i="50"/>
  <c r="DV170" i="50"/>
  <c r="CY98" i="50"/>
  <c r="CH190" i="50"/>
  <c r="EJ77" i="50"/>
  <c r="EJ225" i="50"/>
  <c r="BT165" i="50"/>
  <c r="BR209" i="50"/>
  <c r="AX172" i="50"/>
  <c r="BT106" i="50"/>
  <c r="FA208" i="50"/>
  <c r="DV145" i="50"/>
  <c r="CY172" i="50"/>
  <c r="CH163" i="50"/>
  <c r="EJ191" i="50"/>
  <c r="DU195" i="50"/>
  <c r="DP226" i="50"/>
  <c r="AR209" i="50"/>
  <c r="DO155" i="50"/>
  <c r="BT120" i="50"/>
  <c r="DV92" i="50"/>
  <c r="CY76" i="50"/>
  <c r="CY226" i="50"/>
  <c r="DP195" i="50"/>
  <c r="FA88" i="50"/>
  <c r="BT205" i="50"/>
  <c r="EX209" i="50"/>
  <c r="BR86" i="50"/>
  <c r="EA193" i="50"/>
  <c r="EF193" i="50"/>
  <c r="S170" i="50"/>
  <c r="Z170" i="50"/>
  <c r="EZ99" i="50"/>
  <c r="BA225" i="50"/>
  <c r="BS84" i="50"/>
  <c r="EU208" i="50"/>
  <c r="DU138" i="50"/>
  <c r="CD171" i="50"/>
  <c r="BS191" i="50"/>
  <c r="DU86" i="50"/>
  <c r="EI199" i="50"/>
  <c r="EZ192" i="50"/>
  <c r="CG167" i="50"/>
  <c r="EI133" i="50"/>
  <c r="J171" i="50"/>
  <c r="CG116" i="50"/>
  <c r="DU136" i="50"/>
  <c r="BS222" i="50"/>
  <c r="AJ194" i="50"/>
  <c r="X171" i="50"/>
  <c r="CX118" i="50"/>
  <c r="AN154" i="50"/>
  <c r="BS167" i="50"/>
  <c r="EW193" i="50"/>
  <c r="AG170" i="50"/>
  <c r="DO170" i="50"/>
  <c r="BN170" i="50"/>
  <c r="CX189" i="50"/>
  <c r="EX225" i="50"/>
  <c r="R140" i="50"/>
  <c r="L194" i="50"/>
  <c r="BQ208" i="50"/>
  <c r="AG225" i="50"/>
  <c r="BS138" i="50"/>
  <c r="Y208" i="50"/>
  <c r="EZ105" i="50"/>
  <c r="EZ147" i="50"/>
  <c r="C225" i="50"/>
  <c r="EI104" i="50"/>
  <c r="AL171" i="50"/>
  <c r="CG87" i="50"/>
  <c r="DU107" i="50"/>
  <c r="BA140" i="50"/>
  <c r="CF194" i="50"/>
  <c r="CG138" i="50"/>
  <c r="DU207" i="50"/>
  <c r="CW154" i="50"/>
  <c r="EI149" i="50"/>
  <c r="DU106" i="50"/>
  <c r="DT113" i="50"/>
  <c r="CF207" i="50"/>
  <c r="CF185" i="50"/>
  <c r="CF93" i="50"/>
  <c r="CS208" i="50"/>
  <c r="CX89" i="50"/>
  <c r="EZ85" i="50"/>
  <c r="EU225" i="50"/>
  <c r="BS77" i="50"/>
  <c r="CG115" i="50"/>
  <c r="EZ188" i="50"/>
  <c r="CE171" i="50"/>
  <c r="BS165" i="50"/>
  <c r="O208" i="50"/>
  <c r="EZ186" i="50"/>
  <c r="DU132" i="50"/>
  <c r="CG128" i="50"/>
  <c r="EI119" i="50"/>
  <c r="AF171" i="50"/>
  <c r="CG137" i="50"/>
  <c r="AM154" i="50"/>
  <c r="BP140" i="50"/>
  <c r="CQ194" i="50"/>
  <c r="BK171" i="50"/>
  <c r="CX111" i="50"/>
  <c r="CC154" i="50"/>
  <c r="EY83" i="50"/>
  <c r="AH139" i="50"/>
  <c r="EC139" i="50"/>
  <c r="EE139" i="50"/>
  <c r="EW225" i="50"/>
  <c r="O140" i="50"/>
  <c r="EX208" i="50"/>
  <c r="DU93" i="50"/>
  <c r="CX193" i="50"/>
  <c r="N154" i="50"/>
  <c r="AG208" i="50"/>
  <c r="EZ150" i="50"/>
  <c r="EZ118" i="50"/>
  <c r="Q225" i="50"/>
  <c r="BS146" i="50"/>
  <c r="AP171" i="50"/>
  <c r="CG101" i="50"/>
  <c r="DU165" i="50"/>
  <c r="BS148" i="50"/>
  <c r="EI108" i="50"/>
  <c r="DP194" i="50"/>
  <c r="CX75" i="50"/>
  <c r="BN154" i="50"/>
  <c r="EI206" i="50"/>
  <c r="BR194" i="50"/>
  <c r="CG146" i="50"/>
  <c r="CG113" i="50"/>
  <c r="DV86" i="50"/>
  <c r="EF141" i="50"/>
  <c r="CG172" i="50"/>
  <c r="BD195" i="50"/>
  <c r="FA82" i="50"/>
  <c r="BT187" i="50"/>
  <c r="BJ226" i="50"/>
  <c r="M209" i="50"/>
  <c r="AG155" i="50"/>
  <c r="AU141" i="50"/>
  <c r="DV163" i="50"/>
  <c r="CY127" i="50"/>
  <c r="R170" i="50"/>
  <c r="EY149" i="50"/>
  <c r="EY118" i="50"/>
  <c r="C139" i="50"/>
  <c r="DJ139" i="50"/>
  <c r="AY225" i="50"/>
  <c r="BS186" i="50"/>
  <c r="V208" i="50"/>
  <c r="EZ122" i="50"/>
  <c r="EZ191" i="50"/>
  <c r="AH225" i="50"/>
  <c r="DU127" i="50"/>
  <c r="BS164" i="50"/>
  <c r="EI114" i="50"/>
  <c r="BY171" i="50"/>
  <c r="CG102" i="50"/>
  <c r="BD194" i="50"/>
  <c r="CG219" i="50"/>
  <c r="CX78" i="50"/>
  <c r="CB154" i="50"/>
  <c r="EI224" i="50"/>
  <c r="CX194" i="50"/>
  <c r="CX125" i="50"/>
  <c r="J154" i="50"/>
  <c r="DL140" i="50"/>
  <c r="AG194" i="50"/>
  <c r="EY110" i="50"/>
  <c r="AV139" i="50"/>
  <c r="AP139" i="50"/>
  <c r="AU139" i="50"/>
  <c r="EB225" i="50"/>
  <c r="BS105" i="50"/>
  <c r="BM208" i="50"/>
  <c r="CX90" i="50"/>
  <c r="EZ108" i="50"/>
  <c r="BF225" i="50"/>
  <c r="AW208" i="50"/>
  <c r="EI167" i="50"/>
  <c r="EZ222" i="50"/>
  <c r="DT171" i="50"/>
  <c r="BS139" i="50"/>
  <c r="BI171" i="50"/>
  <c r="CG189" i="50"/>
  <c r="DU154" i="50"/>
  <c r="CG187" i="50"/>
  <c r="EI200" i="50"/>
  <c r="AM208" i="50"/>
  <c r="CX100" i="50"/>
  <c r="AL154" i="50"/>
  <c r="CT140" i="50"/>
  <c r="CR194" i="50"/>
  <c r="BB225" i="50"/>
  <c r="CG112" i="50"/>
  <c r="AY193" i="50"/>
  <c r="AK193" i="50"/>
  <c r="CE193" i="50"/>
  <c r="J170" i="50"/>
  <c r="EZ187" i="50"/>
  <c r="V225" i="50"/>
  <c r="BS152" i="50"/>
  <c r="DM208" i="50"/>
  <c r="CX123" i="50"/>
  <c r="BB171" i="50"/>
  <c r="CG98" i="50"/>
  <c r="DU113" i="50"/>
  <c r="W140" i="50"/>
  <c r="EI105" i="50"/>
  <c r="ED154" i="50"/>
  <c r="EI220" i="50"/>
  <c r="EE194" i="50"/>
  <c r="CG208" i="50"/>
  <c r="DU225" i="50"/>
  <c r="CF154" i="50"/>
  <c r="EQ194" i="50"/>
  <c r="I194" i="50"/>
  <c r="CX217" i="50"/>
  <c r="AF154" i="50"/>
  <c r="AK140" i="50"/>
  <c r="EI151" i="50"/>
  <c r="DT149" i="50"/>
  <c r="DT94" i="50"/>
  <c r="CF126" i="50"/>
  <c r="CF193" i="50"/>
  <c r="EB208" i="50"/>
  <c r="CX186" i="50"/>
  <c r="EZ117" i="50"/>
  <c r="AJ225" i="50"/>
  <c r="BS109" i="50"/>
  <c r="CG220" i="50"/>
  <c r="EZ225" i="50"/>
  <c r="BE171" i="50"/>
  <c r="BS221" i="50"/>
  <c r="DU73" i="50"/>
  <c r="EI118" i="50"/>
  <c r="DU188" i="50"/>
  <c r="CE154" i="50"/>
  <c r="EI163" i="50"/>
  <c r="BH171" i="50"/>
  <c r="CG193" i="50"/>
  <c r="AP154" i="50"/>
  <c r="EU140" i="50"/>
  <c r="AS194" i="50"/>
  <c r="DT194" i="50"/>
  <c r="CX104" i="50"/>
  <c r="BC154" i="50"/>
  <c r="CY84" i="50"/>
  <c r="EZ172" i="50"/>
  <c r="CB195" i="50"/>
  <c r="FA96" i="50"/>
  <c r="BT132" i="50"/>
  <c r="EG209" i="50"/>
  <c r="K172" i="50"/>
  <c r="BW155" i="50"/>
  <c r="AP141" i="50"/>
  <c r="DV189" i="50"/>
  <c r="CY204" i="50"/>
  <c r="CH193" i="50"/>
  <c r="EJ148" i="50"/>
  <c r="FA199" i="50"/>
  <c r="ES226" i="50"/>
  <c r="Z209" i="50"/>
  <c r="BY155" i="50"/>
  <c r="BT138" i="50"/>
  <c r="DV110" i="50"/>
  <c r="CS141" i="50"/>
  <c r="BQ172" i="50"/>
  <c r="ES195" i="50"/>
  <c r="FA106" i="50"/>
  <c r="BT186" i="50"/>
  <c r="AD226" i="50"/>
  <c r="DJ209" i="50"/>
  <c r="CO155" i="50"/>
  <c r="BT221" i="50"/>
  <c r="DV149" i="50"/>
  <c r="CY168" i="50"/>
  <c r="EU172" i="50"/>
  <c r="AD195" i="50"/>
  <c r="FA131" i="50"/>
  <c r="CD226" i="50"/>
  <c r="BY209" i="50"/>
  <c r="BC155" i="50"/>
  <c r="EJ108" i="50"/>
  <c r="O209" i="50"/>
  <c r="DQ141" i="50"/>
  <c r="BS172" i="50"/>
  <c r="ED195" i="50"/>
  <c r="FA84" i="50"/>
  <c r="FA202" i="50"/>
  <c r="AA226" i="50"/>
  <c r="G209" i="50"/>
  <c r="AF155" i="50"/>
  <c r="AS141" i="50"/>
  <c r="CD141" i="50"/>
  <c r="AW141" i="50"/>
  <c r="U172" i="50"/>
  <c r="BT88" i="50"/>
  <c r="FA186" i="50"/>
  <c r="AE226" i="50"/>
  <c r="CY134" i="50"/>
  <c r="CH129" i="50"/>
  <c r="EJ155" i="50"/>
  <c r="CH195" i="50"/>
  <c r="AO141" i="50"/>
  <c r="BY172" i="50"/>
  <c r="CT155" i="50"/>
  <c r="BT189" i="50"/>
  <c r="DV74" i="50"/>
  <c r="CY97" i="50"/>
  <c r="CH128" i="50"/>
  <c r="EJ106" i="50"/>
  <c r="EJ217" i="50"/>
  <c r="BT141" i="50"/>
  <c r="DU209" i="50"/>
  <c r="AY172" i="50"/>
  <c r="BT98" i="50"/>
  <c r="FA146" i="50"/>
  <c r="DV194" i="50"/>
  <c r="CY120" i="50"/>
  <c r="CH115" i="50"/>
  <c r="EJ131" i="50"/>
  <c r="CH184" i="50"/>
  <c r="AM141" i="50"/>
  <c r="CT209" i="50"/>
  <c r="BR155" i="50"/>
  <c r="BT77" i="50"/>
  <c r="DV101" i="50"/>
  <c r="CY75" i="50"/>
  <c r="CY189" i="50"/>
  <c r="EX195" i="50"/>
  <c r="EJ218" i="50"/>
  <c r="BT117" i="50"/>
  <c r="H141" i="50"/>
  <c r="AF172" i="50"/>
  <c r="AR155" i="50"/>
  <c r="BT188" i="50"/>
  <c r="DV121" i="50"/>
  <c r="CY130" i="50"/>
  <c r="CH125" i="50"/>
  <c r="BZ207" i="50"/>
  <c r="EY223" i="50"/>
  <c r="EY186" i="50"/>
  <c r="EY134" i="50"/>
  <c r="CQ171" i="50"/>
  <c r="CG90" i="50"/>
  <c r="DU105" i="50"/>
  <c r="Y140" i="50"/>
  <c r="EI97" i="50"/>
  <c r="DN171" i="50"/>
  <c r="DU224" i="50"/>
  <c r="EF154" i="50"/>
  <c r="EI203" i="50"/>
  <c r="E171" i="50"/>
  <c r="CG126" i="50"/>
  <c r="DK194" i="50"/>
  <c r="ED208" i="50"/>
  <c r="CX135" i="50"/>
  <c r="W154" i="50"/>
  <c r="EA140" i="50"/>
  <c r="CA140" i="50"/>
  <c r="EZ91" i="50"/>
  <c r="AN225" i="50"/>
  <c r="BS76" i="50"/>
  <c r="BD208" i="50"/>
  <c r="EY207" i="50"/>
  <c r="EY166" i="50"/>
  <c r="EY99" i="50"/>
  <c r="EY75" i="50"/>
  <c r="G225" i="50"/>
  <c r="BS127" i="50"/>
  <c r="I208" i="50"/>
  <c r="EI107" i="50"/>
  <c r="EZ128" i="50"/>
  <c r="R225" i="50"/>
  <c r="DU171" i="50"/>
  <c r="CG80" i="50"/>
  <c r="EI150" i="50"/>
  <c r="AQ171" i="50"/>
  <c r="CG97" i="50"/>
  <c r="DN194" i="50"/>
  <c r="EQ171" i="50"/>
  <c r="CX110" i="50"/>
  <c r="BY154" i="50"/>
  <c r="EW140" i="50"/>
  <c r="EZ97" i="50"/>
  <c r="CX169" i="50"/>
  <c r="CW225" i="50"/>
  <c r="U140" i="50"/>
  <c r="AX194" i="50"/>
  <c r="K194" i="50"/>
  <c r="BD171" i="50"/>
  <c r="BR145" i="50"/>
  <c r="AW193" i="50"/>
  <c r="AB193" i="50"/>
  <c r="AL193" i="50"/>
  <c r="EI93" i="50"/>
  <c r="CR171" i="50"/>
  <c r="CG76" i="50"/>
  <c r="DU96" i="50"/>
  <c r="EI123" i="50"/>
  <c r="AV171" i="50"/>
  <c r="CG122" i="50"/>
  <c r="DU202" i="50"/>
  <c r="CG204" i="50"/>
  <c r="EI129" i="50"/>
  <c r="R154" i="50"/>
  <c r="AO140" i="50"/>
  <c r="BW194" i="50"/>
  <c r="E194" i="50"/>
  <c r="CX184" i="50"/>
  <c r="DM154" i="50"/>
  <c r="BN208" i="50"/>
  <c r="DU222" i="50"/>
  <c r="EZ77" i="50"/>
  <c r="BD225" i="50"/>
  <c r="AW140" i="50"/>
  <c r="CG83" i="50"/>
  <c r="CD153" i="50"/>
  <c r="DT118" i="50"/>
  <c r="DT97" i="50"/>
  <c r="DT110" i="50"/>
  <c r="G208" i="50"/>
  <c r="EI131" i="50"/>
  <c r="EZ202" i="50"/>
  <c r="H225" i="50"/>
  <c r="BS131" i="50"/>
  <c r="CX122" i="50"/>
  <c r="EI184" i="50"/>
  <c r="S171" i="50"/>
  <c r="CG147" i="50"/>
  <c r="DU187" i="50"/>
  <c r="BS128" i="50"/>
  <c r="CX124" i="50"/>
  <c r="AB154" i="50"/>
  <c r="ET140" i="50"/>
  <c r="EB194" i="50"/>
  <c r="EU171" i="50"/>
  <c r="DS225" i="50"/>
  <c r="X140" i="50"/>
  <c r="CW208" i="50"/>
  <c r="DU98" i="50"/>
  <c r="CX185" i="50"/>
  <c r="O154" i="50"/>
  <c r="CY145" i="50"/>
  <c r="AO172" i="50"/>
  <c r="W195" i="50"/>
  <c r="FA114" i="50"/>
  <c r="CQ226" i="50"/>
  <c r="Y209" i="50"/>
  <c r="AJ155" i="50"/>
  <c r="EJ95" i="50"/>
  <c r="CH82" i="50"/>
  <c r="CA141" i="50"/>
  <c r="CE172" i="50"/>
  <c r="CQ195" i="50"/>
  <c r="FA103" i="50"/>
  <c r="DV97" i="50"/>
  <c r="N226" i="50"/>
  <c r="CH78" i="50"/>
  <c r="E155" i="50"/>
  <c r="BP209" i="50"/>
  <c r="CG141" i="50"/>
  <c r="AY141" i="50"/>
  <c r="BX172" i="50"/>
  <c r="N195" i="50"/>
  <c r="FA124" i="50"/>
  <c r="CS226" i="50"/>
  <c r="CY101" i="50"/>
  <c r="CH132" i="50"/>
  <c r="EJ81" i="50"/>
  <c r="H209" i="50"/>
  <c r="EV141" i="50"/>
  <c r="EI172" i="50"/>
  <c r="X172" i="50"/>
  <c r="BT102" i="50"/>
  <c r="FA220" i="50"/>
  <c r="AH226" i="50"/>
  <c r="E209" i="50"/>
  <c r="O155" i="50"/>
  <c r="EJ122" i="50"/>
  <c r="BL195" i="50"/>
  <c r="V141" i="50"/>
  <c r="AL172" i="50"/>
  <c r="R195" i="50"/>
  <c r="FA195" i="50"/>
  <c r="DV88" i="50"/>
  <c r="CY80" i="50"/>
  <c r="CH154" i="50"/>
  <c r="EJ91" i="50"/>
  <c r="CH81" i="50"/>
  <c r="BO226" i="50"/>
  <c r="AU209" i="50"/>
  <c r="CS155" i="50"/>
  <c r="BT201" i="50"/>
  <c r="DV76" i="50"/>
  <c r="CY99" i="50"/>
  <c r="CY221" i="50"/>
  <c r="BO195" i="50"/>
  <c r="FA73" i="50"/>
  <c r="BT89" i="50"/>
  <c r="DT209" i="50"/>
  <c r="E172" i="50"/>
  <c r="U155" i="50"/>
  <c r="AH141" i="50"/>
  <c r="DV199" i="50"/>
  <c r="CY117" i="50"/>
  <c r="CH203" i="50"/>
  <c r="EJ120" i="50"/>
  <c r="FA155" i="50"/>
  <c r="BD226" i="50"/>
  <c r="EA209" i="50"/>
  <c r="CA155" i="50"/>
  <c r="BT114" i="50"/>
  <c r="DV136" i="50"/>
  <c r="BR141" i="50"/>
  <c r="CY201" i="50"/>
  <c r="CU195" i="50"/>
  <c r="EJ220" i="50"/>
  <c r="BT108" i="50"/>
  <c r="BA226" i="50"/>
  <c r="U209" i="50"/>
  <c r="AE155" i="50"/>
  <c r="BT202" i="50"/>
  <c r="DV123" i="50"/>
  <c r="CY186" i="50"/>
  <c r="BC172" i="50"/>
  <c r="BJ195" i="50"/>
  <c r="FA139" i="50"/>
  <c r="BF226" i="50"/>
  <c r="AN209" i="50"/>
  <c r="EV155" i="50"/>
  <c r="EJ84" i="50"/>
  <c r="DM209" i="50"/>
  <c r="EG141" i="50"/>
  <c r="CY217" i="50"/>
  <c r="BF195" i="50"/>
  <c r="DL139" i="50"/>
  <c r="ED139" i="50"/>
  <c r="X224" i="50"/>
  <c r="Q224" i="50"/>
  <c r="BW154" i="50"/>
  <c r="BK140" i="50"/>
  <c r="AH194" i="50"/>
  <c r="AF194" i="50"/>
  <c r="CX148" i="50"/>
  <c r="AT154" i="50"/>
  <c r="CR208" i="50"/>
  <c r="CX74" i="50"/>
  <c r="EZ93" i="50"/>
  <c r="BC225" i="50"/>
  <c r="BS85" i="50"/>
  <c r="BF171" i="50"/>
  <c r="BS203" i="50"/>
  <c r="DU94" i="50"/>
  <c r="DT140" i="50"/>
  <c r="EZ204" i="50"/>
  <c r="CF171" i="50"/>
  <c r="DU203" i="50"/>
  <c r="CG107" i="50"/>
  <c r="EI186" i="50"/>
  <c r="BJ171" i="50"/>
  <c r="CT139" i="50"/>
  <c r="DK224" i="50"/>
  <c r="AJ224" i="50"/>
  <c r="BC224" i="50"/>
  <c r="ET154" i="50"/>
  <c r="EH140" i="50"/>
  <c r="ED194" i="50"/>
  <c r="CG221" i="50"/>
  <c r="CX87" i="50"/>
  <c r="BG154" i="50"/>
  <c r="N194" i="50"/>
  <c r="AH208" i="50"/>
  <c r="CX171" i="50"/>
  <c r="K154" i="50"/>
  <c r="Z140" i="50"/>
  <c r="S225" i="50"/>
  <c r="BS150" i="50"/>
  <c r="AZ208" i="50"/>
  <c r="EZ129" i="50"/>
  <c r="EZ163" i="50"/>
  <c r="BX225" i="50"/>
  <c r="DU79" i="50"/>
  <c r="AZ140" i="50"/>
  <c r="EI103" i="50"/>
  <c r="DQ171" i="50"/>
  <c r="BS223" i="50"/>
  <c r="BS94" i="50"/>
  <c r="CO170" i="50"/>
  <c r="CR170" i="50"/>
  <c r="DJ153" i="50"/>
  <c r="U153" i="50"/>
  <c r="CX140" i="50"/>
  <c r="CO154" i="50"/>
  <c r="BB140" i="50"/>
  <c r="ER194" i="50"/>
  <c r="AT171" i="50"/>
  <c r="CR225" i="50"/>
  <c r="BS81" i="50"/>
  <c r="DP208" i="50"/>
  <c r="DU166" i="50"/>
  <c r="EZ84" i="50"/>
  <c r="BQ225" i="50"/>
  <c r="EZ200" i="50"/>
  <c r="DS171" i="50"/>
  <c r="BS185" i="50"/>
  <c r="N208" i="50"/>
  <c r="EZ223" i="50"/>
  <c r="BX171" i="50"/>
  <c r="CG109" i="50"/>
  <c r="DU185" i="50"/>
  <c r="BS204" i="50"/>
  <c r="EI116" i="50"/>
  <c r="BZ194" i="50"/>
  <c r="CF153" i="50"/>
  <c r="E207" i="50"/>
  <c r="AD207" i="50"/>
  <c r="BA207" i="50"/>
  <c r="BC194" i="50"/>
  <c r="ES171" i="50"/>
  <c r="CX94" i="50"/>
  <c r="BM154" i="50"/>
  <c r="CE140" i="50"/>
  <c r="CX199" i="50"/>
  <c r="CX201" i="50"/>
  <c r="EG225" i="50"/>
  <c r="BI140" i="50"/>
  <c r="J194" i="50"/>
  <c r="EE208" i="50"/>
  <c r="S208" i="50"/>
  <c r="EZ218" i="50"/>
  <c r="EZ126" i="50"/>
  <c r="P225" i="50"/>
  <c r="BS154" i="50"/>
  <c r="EC208" i="50"/>
  <c r="EI80" i="50"/>
  <c r="EB171" i="50"/>
  <c r="CG100" i="50"/>
  <c r="DU83" i="50"/>
  <c r="EG140" i="50"/>
  <c r="EW226" i="50"/>
  <c r="F226" i="50"/>
  <c r="CH100" i="50"/>
  <c r="EJ86" i="50"/>
  <c r="AC209" i="50"/>
  <c r="BG141" i="50"/>
  <c r="CY205" i="50"/>
  <c r="EQ172" i="50"/>
  <c r="F195" i="50"/>
  <c r="FA166" i="50"/>
  <c r="AR226" i="50"/>
  <c r="W209" i="50"/>
  <c r="Q155" i="50"/>
  <c r="CW188" i="50"/>
  <c r="DT86" i="50"/>
  <c r="CF118" i="50"/>
  <c r="CF133" i="50"/>
  <c r="CF108" i="50"/>
  <c r="AE14" i="26"/>
  <c r="DU90" i="50"/>
  <c r="CX223" i="50"/>
  <c r="CF225" i="50"/>
  <c r="S140" i="50"/>
  <c r="BS103" i="50"/>
  <c r="EZ199" i="50"/>
  <c r="T225" i="50"/>
  <c r="BS168" i="50"/>
  <c r="AC208" i="50"/>
  <c r="CX167" i="50"/>
  <c r="DU135" i="50"/>
  <c r="BS117" i="50"/>
  <c r="EI122" i="50"/>
  <c r="AN171" i="50"/>
  <c r="CG110" i="50"/>
  <c r="BF154" i="50"/>
  <c r="EI201" i="50"/>
  <c r="CV194" i="50"/>
  <c r="CG168" i="50"/>
  <c r="DU204" i="50"/>
  <c r="CF205" i="50"/>
  <c r="CF125" i="50"/>
  <c r="BH207" i="50"/>
  <c r="V207" i="50"/>
  <c r="AC194" i="50"/>
  <c r="BA194" i="50"/>
  <c r="CX170" i="50"/>
  <c r="BJ154" i="50"/>
  <c r="DO140" i="50"/>
  <c r="EI102" i="50"/>
  <c r="EZ75" i="50"/>
  <c r="BZ225" i="50"/>
  <c r="BS99" i="50"/>
  <c r="CC208" i="50"/>
  <c r="DU101" i="50"/>
  <c r="DU76" i="50"/>
  <c r="EI207" i="50"/>
  <c r="EZ219" i="50"/>
  <c r="CW171" i="50"/>
  <c r="BS151" i="50"/>
  <c r="AF140" i="50"/>
  <c r="EI148" i="50"/>
  <c r="CO171" i="50"/>
  <c r="CG127" i="50"/>
  <c r="DU151" i="50"/>
  <c r="BS111" i="50"/>
  <c r="M139" i="50"/>
  <c r="AR139" i="50"/>
  <c r="BF139" i="50"/>
  <c r="BQ139" i="50"/>
  <c r="Z14" i="26"/>
  <c r="Q140" i="50"/>
  <c r="AV194" i="50"/>
  <c r="BW208" i="50"/>
  <c r="CX137" i="50"/>
  <c r="P154" i="50"/>
  <c r="AE208" i="50"/>
  <c r="EZ81" i="50"/>
  <c r="EZ169" i="50"/>
  <c r="AC225" i="50"/>
  <c r="BS110" i="50"/>
  <c r="AM171" i="50"/>
  <c r="CG106" i="50"/>
  <c r="DU121" i="50"/>
  <c r="K140" i="50"/>
  <c r="EI76" i="50"/>
  <c r="AA171" i="50"/>
  <c r="DU200" i="50"/>
  <c r="DS154" i="50"/>
  <c r="EI171" i="50"/>
  <c r="I171" i="50"/>
  <c r="CG205" i="50"/>
  <c r="CG202" i="50"/>
  <c r="AY170" i="50"/>
  <c r="AK170" i="50"/>
  <c r="CE170" i="50"/>
  <c r="M153" i="50"/>
  <c r="CX200" i="50"/>
  <c r="AY154" i="50"/>
  <c r="AR140" i="50"/>
  <c r="AB194" i="50"/>
  <c r="CW194" i="50"/>
  <c r="AK225" i="50"/>
  <c r="BS74" i="50"/>
  <c r="BZ208" i="50"/>
  <c r="CX114" i="50"/>
  <c r="EZ79" i="50"/>
  <c r="EE225" i="50"/>
  <c r="EI77" i="50"/>
  <c r="BN171" i="50"/>
  <c r="BS218" i="50"/>
  <c r="DU80" i="50"/>
  <c r="EI134" i="50"/>
  <c r="BW171" i="50"/>
  <c r="CG145" i="50"/>
  <c r="DU126" i="50"/>
  <c r="CG104" i="50"/>
  <c r="EI152" i="50"/>
  <c r="F194" i="50"/>
  <c r="BD155" i="50"/>
  <c r="EJ92" i="50"/>
  <c r="AA209" i="50"/>
  <c r="DR141" i="50"/>
  <c r="CY225" i="50"/>
  <c r="EE195" i="50"/>
  <c r="EJ223" i="50"/>
  <c r="FA172" i="50"/>
  <c r="AC226" i="50"/>
  <c r="L209" i="50"/>
  <c r="Y155" i="50"/>
  <c r="BT209" i="50"/>
  <c r="DV193" i="50"/>
  <c r="Z141" i="50"/>
  <c r="AM172" i="50"/>
  <c r="Q195" i="50"/>
  <c r="FA165" i="50"/>
  <c r="BN226" i="50"/>
  <c r="CY93" i="50"/>
  <c r="CH124" i="50"/>
  <c r="EJ110" i="50"/>
  <c r="N209" i="50"/>
  <c r="CC141" i="50"/>
  <c r="CY195" i="50"/>
  <c r="AA172" i="50"/>
  <c r="E195" i="50"/>
  <c r="FA150" i="50"/>
  <c r="AS226" i="50"/>
  <c r="T209" i="50"/>
  <c r="DM155" i="50"/>
  <c r="EJ127" i="50"/>
  <c r="CH204" i="50"/>
  <c r="AN141" i="50"/>
  <c r="BE172" i="50"/>
  <c r="AS195" i="50"/>
  <c r="FA135" i="50"/>
  <c r="DV130" i="50"/>
  <c r="CY79" i="50"/>
  <c r="CH110" i="50"/>
  <c r="EJ88" i="50"/>
  <c r="AO209" i="50"/>
  <c r="CV141" i="50"/>
  <c r="G141" i="50"/>
  <c r="BW172" i="50"/>
  <c r="BT80" i="50"/>
  <c r="FA168" i="50"/>
  <c r="G226" i="50"/>
  <c r="CY155" i="50"/>
  <c r="DT195" i="50"/>
  <c r="EJ186" i="50"/>
  <c r="AW195" i="50"/>
  <c r="N141" i="50"/>
  <c r="Y172" i="50"/>
  <c r="AU155" i="50"/>
  <c r="BT154" i="50"/>
  <c r="DV200" i="50"/>
  <c r="CY114" i="50"/>
  <c r="CH209" i="50"/>
  <c r="EJ165" i="50"/>
  <c r="FA113" i="50"/>
  <c r="BG226" i="50"/>
  <c r="BL209" i="50"/>
  <c r="DR155" i="50"/>
  <c r="BT103" i="50"/>
  <c r="DV128" i="50"/>
  <c r="DU141" i="50"/>
  <c r="CY191" i="50"/>
  <c r="BG195" i="50"/>
  <c r="EJ200" i="50"/>
  <c r="BT84" i="50"/>
  <c r="CA226" i="50"/>
  <c r="BX209" i="50"/>
  <c r="EB155" i="50"/>
  <c r="BT136" i="50"/>
  <c r="DV108" i="50"/>
  <c r="CY92" i="50"/>
  <c r="CF172" i="50"/>
  <c r="CA195" i="50"/>
  <c r="FA104" i="50"/>
  <c r="BT168" i="50"/>
  <c r="DR209" i="50"/>
  <c r="EH155" i="50"/>
  <c r="M155" i="50"/>
  <c r="CF209" i="50"/>
  <c r="DV224" i="50"/>
  <c r="CY151" i="50"/>
  <c r="CX195" i="50"/>
  <c r="EJ164" i="50"/>
  <c r="FA112" i="50"/>
  <c r="DN226" i="50"/>
  <c r="CO209" i="50"/>
  <c r="AN155" i="50"/>
  <c r="BT150" i="50"/>
  <c r="DT206" i="50"/>
  <c r="DT89" i="50"/>
  <c r="CF186" i="50"/>
  <c r="CF134" i="50"/>
  <c r="EA208" i="50"/>
  <c r="EZ94" i="50"/>
  <c r="EZ153" i="50"/>
  <c r="DM225" i="50"/>
  <c r="BS102" i="50"/>
  <c r="BI225" i="50"/>
  <c r="EI101" i="50"/>
  <c r="DO171" i="50"/>
  <c r="CG84" i="50"/>
  <c r="DU104" i="50"/>
  <c r="EI187" i="50"/>
  <c r="DU221" i="50"/>
  <c r="BE154" i="50"/>
  <c r="EI219" i="50"/>
  <c r="F171" i="50"/>
  <c r="CG134" i="50"/>
  <c r="DZ154" i="50"/>
  <c r="AJ140" i="50"/>
  <c r="DL194" i="50"/>
  <c r="AD194" i="50"/>
  <c r="CX136" i="50"/>
  <c r="DT81" i="50"/>
  <c r="CF166" i="50"/>
  <c r="CF85" i="50"/>
  <c r="CF145" i="50"/>
  <c r="EW208" i="50"/>
  <c r="DU201" i="50"/>
  <c r="EZ90" i="50"/>
  <c r="BP225" i="50"/>
  <c r="L140" i="50"/>
  <c r="BS145" i="50"/>
  <c r="EZ132" i="50"/>
  <c r="K225" i="50"/>
  <c r="BS121" i="50"/>
  <c r="Q208" i="50"/>
  <c r="EZ121" i="50"/>
  <c r="DU191" i="50"/>
  <c r="CG75" i="50"/>
  <c r="EI166" i="50"/>
  <c r="AD171" i="50"/>
  <c r="CG105" i="50"/>
  <c r="EC154" i="50"/>
  <c r="CF140" i="50"/>
  <c r="CT194" i="50"/>
  <c r="CG224" i="50"/>
  <c r="CX79" i="50"/>
  <c r="EH154" i="50"/>
  <c r="EY148" i="50"/>
  <c r="EY91" i="50"/>
  <c r="DZ139" i="50"/>
  <c r="BX139" i="50"/>
  <c r="EA225" i="50"/>
  <c r="BS98" i="50"/>
  <c r="BA208" i="50"/>
  <c r="CX115" i="50"/>
  <c r="EZ103" i="50"/>
  <c r="EC225" i="50"/>
  <c r="DU100" i="50"/>
  <c r="BZ140" i="50"/>
  <c r="EI87" i="50"/>
  <c r="DR171" i="50"/>
  <c r="BS199" i="50"/>
  <c r="C171" i="50"/>
  <c r="CG130" i="50"/>
  <c r="DU218" i="50"/>
  <c r="DT154" i="50"/>
  <c r="EI137" i="50"/>
  <c r="DU74" i="50"/>
  <c r="CX132" i="50"/>
  <c r="Z154" i="50"/>
  <c r="CQ140" i="50"/>
  <c r="AK194" i="50"/>
  <c r="AJ171" i="50"/>
  <c r="EZ205" i="50"/>
  <c r="EB193" i="50"/>
  <c r="AW170" i="50"/>
  <c r="AB170" i="50"/>
  <c r="AL170" i="50"/>
  <c r="EZ104" i="50"/>
  <c r="BM225" i="50"/>
  <c r="BS91" i="50"/>
  <c r="BP208" i="50"/>
  <c r="DU77" i="50"/>
  <c r="AW225" i="50"/>
  <c r="BS135" i="50"/>
  <c r="K208" i="50"/>
  <c r="EI94" i="50"/>
  <c r="EZ136" i="50"/>
  <c r="EZ138" i="50"/>
  <c r="EI192" i="50"/>
  <c r="DY171" i="50"/>
  <c r="CG163" i="50"/>
  <c r="DU199" i="50"/>
  <c r="BS184" i="50"/>
  <c r="EU194" i="50"/>
  <c r="AM225" i="50"/>
  <c r="CX86" i="50"/>
  <c r="CA154" i="50"/>
  <c r="BR140" i="50"/>
  <c r="CX139" i="50"/>
  <c r="DK155" i="50"/>
  <c r="EJ205" i="50"/>
  <c r="EF195" i="50"/>
  <c r="AZ141" i="50"/>
  <c r="AK172" i="50"/>
  <c r="BW195" i="50"/>
  <c r="FA167" i="50"/>
  <c r="DV166" i="50"/>
  <c r="CY103" i="50"/>
  <c r="CH134" i="50"/>
  <c r="EJ75" i="50"/>
  <c r="X209" i="50"/>
  <c r="ET141" i="50"/>
  <c r="CD209" i="50"/>
  <c r="C172" i="50"/>
  <c r="BT137" i="50"/>
  <c r="DV77" i="50"/>
  <c r="DY226" i="50"/>
  <c r="CY113" i="50"/>
  <c r="CH199" i="50"/>
  <c r="EJ124" i="50"/>
  <c r="AK195" i="50"/>
  <c r="Q141" i="50"/>
  <c r="BM172" i="50"/>
  <c r="BF155" i="50"/>
  <c r="BT107" i="50"/>
  <c r="DV140" i="50"/>
  <c r="CY81" i="50"/>
  <c r="CH112" i="50"/>
  <c r="EJ90" i="50"/>
  <c r="EJ204" i="50"/>
  <c r="BT76" i="50"/>
  <c r="F141" i="50"/>
  <c r="S172" i="50"/>
  <c r="BT82" i="50"/>
  <c r="FA224" i="50"/>
  <c r="DV153" i="50"/>
  <c r="CY190" i="50"/>
  <c r="CH171" i="50"/>
  <c r="EJ201" i="50"/>
  <c r="DS195" i="50"/>
  <c r="DR226" i="50"/>
  <c r="AM209" i="50"/>
  <c r="BN155" i="50"/>
  <c r="BT191" i="50"/>
  <c r="DV154" i="50"/>
  <c r="CY152" i="50"/>
  <c r="BD172" i="50"/>
  <c r="AQ195" i="50"/>
  <c r="FA123" i="50"/>
  <c r="CV226" i="50"/>
  <c r="BZ209" i="50"/>
  <c r="BP155" i="50"/>
  <c r="AD15" i="26"/>
  <c r="BC209" i="50"/>
  <c r="CW141" i="50"/>
  <c r="CY193" i="50"/>
  <c r="CV195" i="50"/>
  <c r="FA76" i="50"/>
  <c r="FA190" i="50"/>
  <c r="AI226" i="50"/>
  <c r="J209" i="50"/>
  <c r="AZ155" i="50"/>
  <c r="BT223" i="50"/>
  <c r="DV151" i="50"/>
  <c r="EA141" i="50"/>
  <c r="ET172" i="50"/>
  <c r="AI195" i="50"/>
  <c r="FA133" i="50"/>
  <c r="DU226" i="50"/>
  <c r="BH226" i="50"/>
  <c r="CH107" i="50"/>
  <c r="G155" i="50"/>
  <c r="CC209" i="50"/>
  <c r="DV226" i="50"/>
  <c r="CY153" i="50"/>
  <c r="DM172" i="50"/>
  <c r="BH195" i="50"/>
  <c r="FA122" i="50"/>
  <c r="BB226" i="50"/>
  <c r="AZ209" i="50"/>
  <c r="AC155" i="50"/>
  <c r="EJ135" i="50"/>
  <c r="CH127" i="50"/>
  <c r="BA141" i="50"/>
  <c r="BN172" i="50"/>
  <c r="AR195" i="50"/>
  <c r="FA111" i="50"/>
  <c r="DV105" i="50"/>
  <c r="D226" i="50"/>
  <c r="CH86" i="50"/>
  <c r="F155" i="50"/>
  <c r="EV209" i="50"/>
  <c r="K207" i="50"/>
  <c r="AQ207" i="50"/>
  <c r="BO207" i="50"/>
  <c r="EX207" i="50"/>
  <c r="M171" i="50"/>
  <c r="CG114" i="50"/>
  <c r="DU190" i="50"/>
  <c r="CG148" i="50"/>
  <c r="EI121" i="50"/>
  <c r="R208" i="50"/>
  <c r="CX152" i="50"/>
  <c r="AG154" i="50"/>
  <c r="AM140" i="50"/>
  <c r="AL194" i="50"/>
  <c r="AI171" i="50"/>
  <c r="DO208" i="50"/>
  <c r="CX98" i="50"/>
  <c r="EZ101" i="50"/>
  <c r="ES225" i="50"/>
  <c r="BS93" i="50"/>
  <c r="CG136" i="50"/>
  <c r="EZ152" i="50"/>
  <c r="F225" i="50"/>
  <c r="BS137" i="50"/>
  <c r="DK208" i="50"/>
  <c r="CP207" i="50"/>
  <c r="DR207" i="50"/>
  <c r="EY129" i="50"/>
  <c r="EY200" i="50"/>
  <c r="AS171" i="50"/>
  <c r="CG85" i="50"/>
  <c r="DU137" i="50"/>
  <c r="BS80" i="50"/>
  <c r="EI92" i="50"/>
  <c r="H171" i="50"/>
  <c r="CX91" i="50"/>
  <c r="CR154" i="50"/>
  <c r="EY140" i="50"/>
  <c r="DS194" i="50"/>
  <c r="CG170" i="50"/>
  <c r="D194" i="50"/>
  <c r="U208" i="50"/>
  <c r="CX191" i="50"/>
  <c r="E154" i="50"/>
  <c r="CO140" i="50"/>
  <c r="BH140" i="50"/>
  <c r="EZ123" i="50"/>
  <c r="AD225" i="50"/>
  <c r="BS108" i="50"/>
  <c r="DN208" i="50"/>
  <c r="CX81" i="50"/>
  <c r="F140" i="50"/>
  <c r="DN224" i="50"/>
  <c r="BR223" i="50"/>
  <c r="BR169" i="50"/>
  <c r="L193" i="50"/>
  <c r="EI117" i="50"/>
  <c r="AX171" i="50"/>
  <c r="CG191" i="50"/>
  <c r="DU120" i="50"/>
  <c r="BS153" i="50"/>
  <c r="AT194" i="50"/>
  <c r="EX194" i="50"/>
  <c r="CX134" i="50"/>
  <c r="CP154" i="50"/>
  <c r="BN140" i="50"/>
  <c r="DO225" i="50"/>
  <c r="BS89" i="50"/>
  <c r="CB208" i="50"/>
  <c r="DU219" i="50"/>
  <c r="EZ92" i="50"/>
  <c r="CV225" i="50"/>
  <c r="DY208" i="50"/>
  <c r="EI83" i="50"/>
  <c r="EZ134" i="50"/>
  <c r="DK225" i="50"/>
  <c r="BS170" i="50"/>
  <c r="DU169" i="50"/>
  <c r="AH153" i="50"/>
  <c r="EC153" i="50"/>
  <c r="DT186" i="50"/>
  <c r="DT134" i="50"/>
  <c r="DU163" i="50"/>
  <c r="BS217" i="50"/>
  <c r="EI138" i="50"/>
  <c r="CP171" i="50"/>
  <c r="CG89" i="50"/>
  <c r="CQ154" i="50"/>
  <c r="BG140" i="50"/>
  <c r="EC194" i="50"/>
  <c r="CQ225" i="50"/>
  <c r="CX95" i="50"/>
  <c r="CU154" i="50"/>
  <c r="CX221" i="50"/>
  <c r="DR225" i="50"/>
  <c r="DJ140" i="50"/>
  <c r="G194" i="50"/>
  <c r="ET208" i="50"/>
  <c r="Z225" i="50"/>
  <c r="BS122" i="50"/>
  <c r="AD208" i="50"/>
  <c r="EZ78" i="50"/>
  <c r="EZ127" i="50"/>
  <c r="AS225" i="50"/>
  <c r="DQ172" i="50"/>
  <c r="EY155" i="50"/>
  <c r="BT75" i="50"/>
  <c r="DV107" i="50"/>
  <c r="M226" i="50"/>
  <c r="CH80" i="50"/>
  <c r="H155" i="50"/>
  <c r="EJ150" i="50"/>
  <c r="CO195" i="50"/>
  <c r="BH141" i="50"/>
  <c r="AB172" i="50"/>
  <c r="M195" i="50"/>
  <c r="FA170" i="50"/>
  <c r="DV119" i="50"/>
  <c r="CY136" i="50"/>
  <c r="CH131" i="50"/>
  <c r="EJ149" i="50"/>
  <c r="CH135" i="50"/>
  <c r="DT226" i="50"/>
  <c r="EC209" i="50"/>
  <c r="DS155" i="50"/>
  <c r="BT93" i="50"/>
  <c r="DV118" i="50"/>
  <c r="AY226" i="50"/>
  <c r="CY121" i="50"/>
  <c r="CH219" i="50"/>
  <c r="EJ132" i="50"/>
  <c r="AL195" i="50"/>
  <c r="P141" i="50"/>
  <c r="CP172" i="50"/>
  <c r="ET155" i="50"/>
  <c r="BT118" i="50"/>
  <c r="DV98" i="50"/>
  <c r="CY82" i="50"/>
  <c r="CH164" i="50"/>
  <c r="EJ125" i="50"/>
  <c r="FA81" i="50"/>
  <c r="BT217" i="50"/>
  <c r="BN209" i="50"/>
  <c r="DT155" i="50"/>
  <c r="BT163" i="50"/>
  <c r="DV95" i="50"/>
  <c r="DV217" i="50"/>
  <c r="CY139" i="50"/>
  <c r="CH226" i="50"/>
  <c r="EJ146" i="50"/>
  <c r="Z195" i="50"/>
  <c r="AF226" i="50"/>
  <c r="CH75" i="50"/>
  <c r="AY155" i="50"/>
  <c r="BI141" i="50"/>
  <c r="DV201" i="50"/>
  <c r="CY119" i="50"/>
  <c r="AJ172" i="50"/>
  <c r="AF195" i="50"/>
  <c r="FA171" i="50"/>
  <c r="ED226" i="50"/>
  <c r="AQ209" i="50"/>
  <c r="BK155" i="50"/>
  <c r="EJ103" i="50"/>
  <c r="CH106" i="50"/>
  <c r="BM141" i="50"/>
  <c r="DS172" i="50"/>
  <c r="BB195" i="50"/>
  <c r="FA79" i="50"/>
  <c r="DV73" i="50"/>
  <c r="DK226" i="50"/>
  <c r="CH93" i="50"/>
  <c r="BH155" i="50"/>
  <c r="M141" i="50"/>
  <c r="DV165" i="50"/>
  <c r="AE141" i="50"/>
  <c r="CQ172" i="50"/>
  <c r="AA195" i="50"/>
  <c r="FA141" i="50"/>
  <c r="EF226" i="50"/>
  <c r="CY77" i="50"/>
  <c r="CH108" i="50"/>
  <c r="EJ94" i="50"/>
  <c r="EQ209" i="50"/>
  <c r="CU141" i="50"/>
  <c r="DT172" i="50"/>
  <c r="O172" i="50"/>
  <c r="BT110" i="50"/>
  <c r="FA207" i="50"/>
  <c r="DZ226" i="50"/>
  <c r="F209" i="50"/>
  <c r="P155" i="50"/>
  <c r="EJ195" i="50"/>
  <c r="CE195" i="50"/>
  <c r="Y141" i="50"/>
  <c r="EB172" i="50"/>
  <c r="DZ195" i="50"/>
  <c r="R153" i="50"/>
  <c r="AM153" i="50"/>
  <c r="BQ153" i="50"/>
  <c r="DT200" i="50"/>
  <c r="DU116" i="50"/>
  <c r="CG139" i="50"/>
  <c r="EI194" i="50"/>
  <c r="Y171" i="50"/>
  <c r="CG121" i="50"/>
  <c r="AS154" i="50"/>
  <c r="EV140" i="50"/>
  <c r="AM194" i="50"/>
  <c r="Q171" i="50"/>
  <c r="CX88" i="50"/>
  <c r="BD154" i="50"/>
  <c r="EZ88" i="50"/>
  <c r="CB225" i="50"/>
  <c r="BS75" i="50"/>
  <c r="BG208" i="50"/>
  <c r="DJ208" i="50"/>
  <c r="DY225" i="50"/>
  <c r="BS166" i="50"/>
  <c r="AF208" i="50"/>
  <c r="EZ185" i="50"/>
  <c r="EZ171" i="50"/>
  <c r="BB153" i="50"/>
  <c r="DT217" i="50"/>
  <c r="DT187" i="50"/>
  <c r="DT137" i="50"/>
  <c r="DU87" i="50"/>
  <c r="T140" i="50"/>
  <c r="EI74" i="50"/>
  <c r="DP171" i="50"/>
  <c r="BS220" i="50"/>
  <c r="CV154" i="50"/>
  <c r="EI169" i="50"/>
  <c r="EY194" i="50"/>
  <c r="CG140" i="50"/>
  <c r="DU184" i="50"/>
  <c r="CG123" i="50"/>
  <c r="CX117" i="50"/>
  <c r="L154" i="50"/>
  <c r="BX140" i="50"/>
  <c r="CO194" i="50"/>
  <c r="CB194" i="50"/>
  <c r="BL225" i="50"/>
  <c r="BS97" i="50"/>
  <c r="CA208" i="50"/>
  <c r="CX97" i="50"/>
  <c r="EZ100" i="50"/>
  <c r="CD225" i="50"/>
  <c r="Y207" i="50"/>
  <c r="CB207" i="50"/>
  <c r="EY187" i="50"/>
  <c r="EY137" i="50"/>
  <c r="DL171" i="50"/>
  <c r="CG117" i="50"/>
  <c r="DU193" i="50"/>
  <c r="BS133" i="50"/>
  <c r="EI124" i="50"/>
  <c r="CP194" i="50"/>
  <c r="CX84" i="50"/>
  <c r="AK154" i="50"/>
  <c r="BF140" i="50"/>
  <c r="BN194" i="50"/>
  <c r="CG207" i="50"/>
  <c r="CE208" i="50"/>
  <c r="DU109" i="50"/>
  <c r="EZ74" i="50"/>
  <c r="BG225" i="50"/>
  <c r="AY140" i="50"/>
  <c r="BS136" i="50"/>
  <c r="EZ167" i="50"/>
  <c r="AF225" i="50"/>
  <c r="BS140" i="50"/>
  <c r="AO208" i="50"/>
  <c r="CX206" i="50"/>
  <c r="DL208" i="50"/>
  <c r="BR203" i="50"/>
  <c r="BR166" i="50"/>
  <c r="S193" i="50"/>
  <c r="Z193" i="50"/>
  <c r="EI88" i="50"/>
  <c r="AK171" i="50"/>
  <c r="CG108" i="50"/>
  <c r="DU91" i="50"/>
  <c r="DP140" i="50"/>
  <c r="BG194" i="50"/>
  <c r="CG166" i="50"/>
  <c r="CX77" i="50"/>
  <c r="EG154" i="50"/>
  <c r="EI185" i="50"/>
  <c r="AV154" i="50"/>
  <c r="AA140" i="50"/>
  <c r="DJ194" i="50"/>
  <c r="AS208" i="50"/>
  <c r="CX121" i="50"/>
  <c r="EQ154" i="50"/>
  <c r="BL208" i="50"/>
  <c r="CX130" i="50"/>
  <c r="EZ109" i="50"/>
  <c r="DN225" i="50"/>
  <c r="BS101" i="50"/>
  <c r="CG192" i="50"/>
  <c r="EJ172" i="50"/>
  <c r="FA120" i="50"/>
  <c r="AJ226" i="50"/>
  <c r="AG209" i="50"/>
  <c r="BA155" i="50"/>
  <c r="BT166" i="50"/>
  <c r="DV192" i="50"/>
  <c r="DO141" i="50"/>
  <c r="CD172" i="50"/>
  <c r="AJ195" i="50"/>
  <c r="FA85" i="50"/>
  <c r="CE226" i="50"/>
  <c r="K226" i="50"/>
  <c r="CH84" i="50"/>
  <c r="AE15" i="26"/>
  <c r="DN209" i="50"/>
  <c r="CF141" i="50"/>
  <c r="CY187" i="50"/>
  <c r="AI172" i="50"/>
  <c r="K195" i="50"/>
  <c r="FA138" i="50"/>
  <c r="AU226" i="50"/>
  <c r="V209" i="50"/>
  <c r="DN155" i="50"/>
  <c r="EJ87" i="50"/>
  <c r="CH97" i="50"/>
  <c r="CB141" i="50"/>
  <c r="BR172" i="50"/>
  <c r="ET195" i="50"/>
  <c r="FA100" i="50"/>
  <c r="FA226" i="50"/>
  <c r="Q226" i="50"/>
  <c r="CH77" i="50"/>
  <c r="T155" i="50"/>
  <c r="DZ141" i="50"/>
  <c r="DV220" i="50"/>
  <c r="DY141" i="50"/>
  <c r="AP172" i="50"/>
  <c r="O195" i="50"/>
  <c r="FA116" i="50"/>
  <c r="BL226" i="50"/>
  <c r="CY86" i="50"/>
  <c r="CH168" i="50"/>
  <c r="EJ105" i="50"/>
  <c r="CH90" i="50"/>
  <c r="BC141" i="50"/>
  <c r="BA172" i="50"/>
  <c r="EC155" i="50"/>
  <c r="BT208" i="50"/>
  <c r="DV90" i="50"/>
  <c r="CY74" i="50"/>
  <c r="CH148" i="50"/>
  <c r="EJ85" i="50"/>
  <c r="FA78" i="50"/>
  <c r="BT105" i="50"/>
  <c r="CE209" i="50"/>
  <c r="L172" i="50"/>
  <c r="BT115" i="50"/>
  <c r="DV87" i="50"/>
  <c r="DV205" i="50"/>
  <c r="CY131" i="50"/>
  <c r="CH218" i="50"/>
  <c r="EJ134" i="50"/>
  <c r="EA195" i="50"/>
  <c r="CB226" i="50"/>
  <c r="AP209" i="50"/>
  <c r="BL155" i="50"/>
  <c r="BT128" i="50"/>
  <c r="DV100" i="50"/>
  <c r="CY91" i="50"/>
  <c r="CY207" i="50"/>
  <c r="DR195" i="50"/>
  <c r="EJ219" i="50"/>
  <c r="BT151" i="50"/>
  <c r="EI209" i="50"/>
  <c r="T172" i="50"/>
  <c r="BX155" i="50"/>
  <c r="BT218" i="50"/>
  <c r="DV137" i="50"/>
  <c r="CY150" i="50"/>
  <c r="CH141" i="50"/>
  <c r="EJ112" i="50"/>
  <c r="FA147" i="50"/>
  <c r="EV226" i="50"/>
  <c r="AL209" i="50"/>
  <c r="CB155" i="50"/>
  <c r="BT203" i="50"/>
  <c r="DV78" i="50"/>
  <c r="EW141" i="50"/>
  <c r="CY220" i="50"/>
  <c r="EV195" i="50"/>
  <c r="FA74" i="50"/>
  <c r="BT97" i="50"/>
  <c r="BT173" i="50"/>
  <c r="FB227" i="50"/>
  <c r="W156" i="50"/>
  <c r="DW153" i="50"/>
  <c r="FB127" i="50"/>
  <c r="AS156" i="50"/>
  <c r="FB147" i="50"/>
  <c r="AE156" i="50"/>
  <c r="DW194" i="50"/>
  <c r="FB104" i="50"/>
  <c r="EU156" i="50"/>
  <c r="DW100" i="50"/>
  <c r="FB153" i="50"/>
  <c r="DW91" i="50"/>
  <c r="FB75" i="50"/>
  <c r="N210" i="50"/>
  <c r="EK186" i="50"/>
  <c r="AZ142" i="50"/>
  <c r="AE210" i="50"/>
  <c r="ES142" i="50"/>
  <c r="DP210" i="50"/>
  <c r="EK97" i="50"/>
  <c r="CE142" i="50"/>
  <c r="CG210" i="50"/>
  <c r="G173" i="50"/>
  <c r="CI152" i="50"/>
  <c r="CI74" i="50"/>
  <c r="I210" i="50"/>
  <c r="EH156" i="50"/>
  <c r="DR173" i="50"/>
  <c r="DW156" i="50"/>
  <c r="DW123" i="50"/>
  <c r="FB202" i="50"/>
  <c r="BY156" i="50"/>
  <c r="DW130" i="50"/>
  <c r="FB146" i="50"/>
  <c r="CV156" i="50"/>
  <c r="FB76" i="50"/>
  <c r="EF156" i="50"/>
  <c r="DW80" i="50"/>
  <c r="FB93" i="50"/>
  <c r="C210" i="50"/>
  <c r="EK206" i="50"/>
  <c r="BO142" i="50"/>
  <c r="EK140" i="50"/>
  <c r="BX142" i="50"/>
  <c r="AT210" i="50"/>
  <c r="EK149" i="50"/>
  <c r="CB142" i="50"/>
  <c r="EF210" i="50"/>
  <c r="CY142" i="50"/>
  <c r="CZ207" i="50"/>
  <c r="CI207" i="50"/>
  <c r="BU172" i="50"/>
  <c r="CZ130" i="50"/>
  <c r="BH173" i="50"/>
  <c r="EW196" i="50"/>
  <c r="EK221" i="50"/>
  <c r="AM142" i="50"/>
  <c r="BU89" i="50"/>
  <c r="K173" i="50"/>
  <c r="DL173" i="50"/>
  <c r="FB169" i="50"/>
  <c r="FB77" i="50"/>
  <c r="EK103" i="50"/>
  <c r="CD142" i="50"/>
  <c r="CF210" i="50"/>
  <c r="EK73" i="50"/>
  <c r="BU224" i="50"/>
  <c r="CZ172" i="50"/>
  <c r="BU120" i="50"/>
  <c r="CZ202" i="50"/>
  <c r="CI189" i="50"/>
  <c r="BU150" i="50"/>
  <c r="CZ114" i="50"/>
  <c r="CI188" i="50"/>
  <c r="BU149" i="50"/>
  <c r="CI124" i="50"/>
  <c r="BU101" i="50"/>
  <c r="CZ117" i="50"/>
  <c r="CI95" i="50"/>
  <c r="F196" i="50"/>
  <c r="L173" i="50"/>
  <c r="CZ189" i="50"/>
  <c r="AQ173" i="50"/>
  <c r="ER227" i="50"/>
  <c r="BL196" i="50"/>
  <c r="ED173" i="50"/>
  <c r="EK135" i="50"/>
  <c r="EQ210" i="50"/>
  <c r="CI170" i="50"/>
  <c r="BU221" i="50"/>
  <c r="EG142" i="50"/>
  <c r="DO156" i="50"/>
  <c r="BQ210" i="50"/>
  <c r="CI155" i="50"/>
  <c r="CI168" i="50"/>
  <c r="EK185" i="50"/>
  <c r="BB142" i="50"/>
  <c r="EU210" i="50"/>
  <c r="EK99" i="50"/>
  <c r="EX142" i="50"/>
  <c r="BS210" i="50"/>
  <c r="BP142" i="50"/>
  <c r="CW210" i="50"/>
  <c r="EK86" i="50"/>
  <c r="BU223" i="50"/>
  <c r="CZ196" i="50"/>
  <c r="CI167" i="50"/>
  <c r="BU136" i="50"/>
  <c r="CI113" i="50"/>
  <c r="BU173" i="50"/>
  <c r="CZ97" i="50"/>
  <c r="CI120" i="50"/>
  <c r="BU97" i="50"/>
  <c r="CZ104" i="50"/>
  <c r="ER210" i="50"/>
  <c r="W173" i="50"/>
  <c r="S227" i="50"/>
  <c r="Z196" i="50"/>
  <c r="AR173" i="50"/>
  <c r="BK227" i="50"/>
  <c r="AM196" i="50"/>
  <c r="DR196" i="50"/>
  <c r="EK209" i="50"/>
  <c r="DW82" i="50"/>
  <c r="FB148" i="50"/>
  <c r="FB186" i="50"/>
  <c r="EK108" i="50"/>
  <c r="CX142" i="50"/>
  <c r="CZ223" i="50"/>
  <c r="CI209" i="50"/>
  <c r="BU184" i="50"/>
  <c r="CZ132" i="50"/>
  <c r="BU104" i="50"/>
  <c r="CZ152" i="50"/>
  <c r="CI139" i="50"/>
  <c r="BU116" i="50"/>
  <c r="CZ169" i="50"/>
  <c r="CI138" i="50"/>
  <c r="BU115" i="50"/>
  <c r="CI92" i="50"/>
  <c r="BU106" i="50"/>
  <c r="CZ84" i="50"/>
  <c r="E227" i="50"/>
  <c r="BH196" i="50"/>
  <c r="S173" i="50"/>
  <c r="CZ80" i="50"/>
  <c r="BY173" i="50"/>
  <c r="DO227" i="50"/>
  <c r="BN196" i="50"/>
  <c r="CD173" i="50"/>
  <c r="CI219" i="50"/>
  <c r="CZ133" i="50"/>
  <c r="EJ142" i="50"/>
  <c r="CZ173" i="50"/>
  <c r="CZ135" i="50"/>
  <c r="AM227" i="50"/>
  <c r="CI141" i="50"/>
  <c r="CA142" i="50"/>
  <c r="AO210" i="50"/>
  <c r="U227" i="50"/>
  <c r="AH196" i="50"/>
  <c r="AC173" i="50"/>
  <c r="BA227" i="50"/>
  <c r="BZ196" i="50"/>
  <c r="CS173" i="50"/>
  <c r="DW227" i="50"/>
  <c r="BM173" i="50"/>
  <c r="CS227" i="50"/>
  <c r="EF196" i="50"/>
  <c r="BQ173" i="50"/>
  <c r="CY227" i="50"/>
  <c r="AV156" i="50"/>
  <c r="FB205" i="50"/>
  <c r="S156" i="50"/>
  <c r="DW141" i="50"/>
  <c r="FB117" i="50"/>
  <c r="BK156" i="50"/>
  <c r="DW140" i="50"/>
  <c r="FB119" i="50"/>
  <c r="DW99" i="50"/>
  <c r="FB83" i="50"/>
  <c r="D210" i="50"/>
  <c r="EK194" i="50"/>
  <c r="FB100" i="50"/>
  <c r="DW104" i="50"/>
  <c r="BU86" i="50"/>
  <c r="CZ73" i="50"/>
  <c r="CZ148" i="50"/>
  <c r="EK153" i="50"/>
  <c r="AZ227" i="50"/>
  <c r="CH196" i="50"/>
  <c r="BU84" i="50"/>
  <c r="F173" i="50"/>
  <c r="J227" i="50"/>
  <c r="AY196" i="50"/>
  <c r="DZ173" i="50"/>
  <c r="AC227" i="50"/>
  <c r="AT196" i="50"/>
  <c r="AH227" i="50"/>
  <c r="AP196" i="50"/>
  <c r="AT173" i="50"/>
  <c r="BZ227" i="50"/>
  <c r="CB196" i="50"/>
  <c r="EF173" i="50"/>
  <c r="DW150" i="50"/>
  <c r="EI173" i="50"/>
  <c r="AB16" i="26"/>
  <c r="I156" i="50"/>
  <c r="DW185" i="50"/>
  <c r="FB145" i="50"/>
  <c r="AP156" i="50"/>
  <c r="FB92" i="50"/>
  <c r="BN156" i="50"/>
  <c r="DW96" i="50"/>
  <c r="FB109" i="50"/>
  <c r="ES156" i="50"/>
  <c r="ES196" i="50"/>
  <c r="DW223" i="50"/>
  <c r="BR173" i="50"/>
  <c r="ET142" i="50"/>
  <c r="FB95" i="50"/>
  <c r="DS156" i="50"/>
  <c r="CZ224" i="50"/>
  <c r="AD173" i="50"/>
  <c r="AL227" i="50"/>
  <c r="EB196" i="50"/>
  <c r="EC173" i="50"/>
  <c r="CC227" i="50"/>
  <c r="BG196" i="50"/>
  <c r="ED227" i="50"/>
  <c r="BF196" i="50"/>
  <c r="BG173" i="50"/>
  <c r="EI227" i="50"/>
  <c r="H156" i="50"/>
  <c r="DW205" i="50"/>
  <c r="CI218" i="50"/>
  <c r="DW139" i="50"/>
  <c r="FB123" i="50"/>
  <c r="BA156" i="50"/>
  <c r="DW148" i="50"/>
  <c r="FB74" i="50"/>
  <c r="BF156" i="50"/>
  <c r="FB81" i="50"/>
  <c r="K210" i="50"/>
  <c r="EK202" i="50"/>
  <c r="S142" i="50"/>
  <c r="CY156" i="50"/>
  <c r="W210" i="50"/>
  <c r="DS142" i="50"/>
  <c r="CZ101" i="50"/>
  <c r="EB227" i="50"/>
  <c r="AI227" i="50"/>
  <c r="L156" i="50"/>
  <c r="CW196" i="50"/>
  <c r="EK95" i="50"/>
  <c r="EK163" i="50"/>
  <c r="DW102" i="50"/>
  <c r="FB124" i="50"/>
  <c r="DT156" i="50"/>
  <c r="EK227" i="50"/>
  <c r="I142" i="50"/>
  <c r="DY210" i="50"/>
  <c r="H142" i="50"/>
  <c r="BH210" i="50"/>
  <c r="EK184" i="50"/>
  <c r="CO142" i="50"/>
  <c r="AP210" i="50"/>
  <c r="EK173" i="50"/>
  <c r="V196" i="50"/>
  <c r="EK119" i="50"/>
  <c r="EE142" i="50"/>
  <c r="BG210" i="50"/>
  <c r="EK88" i="50"/>
  <c r="BU225" i="50"/>
  <c r="CZ200" i="50"/>
  <c r="BU73" i="50"/>
  <c r="CZ201" i="50"/>
  <c r="CI184" i="50"/>
  <c r="BU145" i="50"/>
  <c r="CZ153" i="50"/>
  <c r="CA173" i="50"/>
  <c r="CO196" i="50"/>
  <c r="DW218" i="50"/>
  <c r="G227" i="50"/>
  <c r="BG227" i="50"/>
  <c r="BU206" i="50"/>
  <c r="AD196" i="50"/>
  <c r="AZ173" i="50"/>
  <c r="BB173" i="50"/>
  <c r="DW184" i="50"/>
  <c r="FB102" i="50"/>
  <c r="CB156" i="50"/>
  <c r="DW98" i="50"/>
  <c r="FB112" i="50"/>
  <c r="CG156" i="50"/>
  <c r="FB130" i="50"/>
  <c r="BR156" i="50"/>
  <c r="DW85" i="50"/>
  <c r="G142" i="50"/>
  <c r="BI210" i="50"/>
  <c r="EK156" i="50"/>
  <c r="BU166" i="50"/>
  <c r="EK203" i="50"/>
  <c r="AU142" i="50"/>
  <c r="ES210" i="50"/>
  <c r="EK115" i="50"/>
  <c r="DR142" i="50"/>
  <c r="BR210" i="50"/>
  <c r="BU227" i="50"/>
  <c r="CZ184" i="50"/>
  <c r="CI163" i="50"/>
  <c r="BU132" i="50"/>
  <c r="CZ195" i="50"/>
  <c r="DW164" i="50"/>
  <c r="FB220" i="50"/>
  <c r="FB120" i="50"/>
  <c r="CZ220" i="50"/>
  <c r="BX210" i="50"/>
  <c r="EK150" i="50"/>
  <c r="CI224" i="50"/>
  <c r="DW107" i="50"/>
  <c r="FB91" i="50"/>
  <c r="H210" i="50"/>
  <c r="EK204" i="50"/>
  <c r="V142" i="50"/>
  <c r="Z210" i="50"/>
  <c r="X142" i="50"/>
  <c r="AF210" i="50"/>
  <c r="EK134" i="50"/>
  <c r="EA142" i="50"/>
  <c r="AM210" i="50"/>
  <c r="EK133" i="50"/>
  <c r="DQ196" i="50"/>
  <c r="EK87" i="50"/>
  <c r="BQ142" i="50"/>
  <c r="CY210" i="50"/>
  <c r="CI210" i="50"/>
  <c r="BU202" i="50"/>
  <c r="CZ150" i="50"/>
  <c r="AC196" i="50"/>
  <c r="CZ103" i="50"/>
  <c r="CI134" i="50"/>
  <c r="BU111" i="50"/>
  <c r="CZ119" i="50"/>
  <c r="DW207" i="50"/>
  <c r="DR156" i="50"/>
  <c r="CI73" i="50"/>
  <c r="C196" i="50"/>
  <c r="EQ156" i="50"/>
  <c r="DW152" i="50"/>
  <c r="DW135" i="50"/>
  <c r="EV142" i="50"/>
  <c r="BU193" i="50"/>
  <c r="CI169" i="50"/>
  <c r="BU138" i="50"/>
  <c r="CZ112" i="50"/>
  <c r="CI186" i="50"/>
  <c r="BU147" i="50"/>
  <c r="CZ155" i="50"/>
  <c r="BX156" i="50"/>
  <c r="CZ87" i="50"/>
  <c r="CI118" i="50"/>
  <c r="BU95" i="50"/>
  <c r="CZ102" i="50"/>
  <c r="CI81" i="50"/>
  <c r="D196" i="50"/>
  <c r="BI227" i="50"/>
  <c r="BW196" i="50"/>
  <c r="AA173" i="50"/>
  <c r="AQ227" i="50"/>
  <c r="AN196" i="50"/>
  <c r="DO173" i="50"/>
  <c r="DW116" i="50"/>
  <c r="DT173" i="50"/>
  <c r="FA227" i="50"/>
  <c r="K156" i="50"/>
  <c r="DW193" i="50"/>
  <c r="CI140" i="50"/>
  <c r="CZ146" i="50"/>
  <c r="CH227" i="50"/>
  <c r="AW156" i="50"/>
  <c r="AZ196" i="50"/>
  <c r="CZ95" i="50"/>
  <c r="CV173" i="50"/>
  <c r="EE227" i="50"/>
  <c r="BT227" i="50"/>
  <c r="U210" i="50"/>
  <c r="BZ226" i="50"/>
  <c r="AH209" i="50"/>
  <c r="ER155" i="50"/>
  <c r="BT164" i="50"/>
  <c r="DV190" i="50"/>
  <c r="CY108" i="50"/>
  <c r="BG172" i="50"/>
  <c r="BZ195" i="50"/>
  <c r="FA83" i="50"/>
  <c r="BT225" i="50"/>
  <c r="DQ209" i="50"/>
  <c r="I172" i="50"/>
  <c r="DZ155" i="50"/>
  <c r="AR141" i="50"/>
  <c r="DV169" i="50"/>
  <c r="CY192" i="50"/>
  <c r="CH185" i="50"/>
  <c r="EJ203" i="50"/>
  <c r="FA137" i="50"/>
  <c r="CC226" i="50"/>
  <c r="ER209" i="50"/>
  <c r="DP155" i="50"/>
  <c r="BT193" i="50"/>
  <c r="DV102" i="50"/>
  <c r="BN141" i="50"/>
  <c r="EY172" i="50"/>
  <c r="BC195" i="50"/>
  <c r="FA98" i="50"/>
  <c r="BT140" i="50"/>
  <c r="AZ226" i="50"/>
  <c r="C209" i="50"/>
  <c r="DY155" i="50"/>
  <c r="BW141" i="50"/>
  <c r="DV191" i="50"/>
  <c r="CY224" i="50"/>
  <c r="DK172" i="50"/>
  <c r="BT94" i="50"/>
  <c r="FA204" i="50"/>
  <c r="DL226" i="50"/>
  <c r="K209" i="50"/>
  <c r="EQ155" i="50"/>
  <c r="EJ167" i="50"/>
  <c r="CH205" i="50"/>
  <c r="AD141" i="50"/>
  <c r="DO172" i="50"/>
  <c r="DL195" i="50"/>
  <c r="FA187" i="50"/>
  <c r="DV80" i="50"/>
  <c r="CY111" i="50"/>
  <c r="CH146" i="50"/>
  <c r="EJ83" i="50"/>
  <c r="D209" i="50"/>
  <c r="CT141" i="50"/>
  <c r="EY209" i="50"/>
  <c r="DJ172" i="50"/>
  <c r="BT113" i="50"/>
  <c r="FA222" i="50"/>
  <c r="EA226" i="50"/>
  <c r="CY126" i="50"/>
  <c r="CH121" i="50"/>
  <c r="EJ147" i="50"/>
  <c r="CH153" i="50"/>
  <c r="AT141" i="50"/>
  <c r="DP172" i="50"/>
  <c r="BQ155" i="50"/>
  <c r="BT83" i="50"/>
  <c r="DV116" i="50"/>
  <c r="AV226" i="50"/>
  <c r="CH88" i="50"/>
  <c r="EJ98" i="50"/>
  <c r="EJ224" i="50"/>
  <c r="BT100" i="50"/>
  <c r="BS209" i="50"/>
  <c r="DY172" i="50"/>
  <c r="BT90" i="50"/>
  <c r="FA188" i="50"/>
  <c r="DV127" i="50"/>
  <c r="CY148" i="50"/>
  <c r="CH139" i="50"/>
  <c r="EJ163" i="50"/>
  <c r="BR133" i="50"/>
  <c r="BR148" i="50"/>
  <c r="AG193" i="50"/>
  <c r="DO193" i="50"/>
  <c r="BN193" i="50"/>
  <c r="EZ168" i="50"/>
  <c r="BR171" i="50"/>
  <c r="BS149" i="50"/>
  <c r="X208" i="50"/>
  <c r="EZ130" i="50"/>
  <c r="AH171" i="50"/>
  <c r="CG125" i="50"/>
  <c r="DU205" i="50"/>
  <c r="BS189" i="50"/>
  <c r="EI132" i="50"/>
  <c r="AR154" i="50"/>
  <c r="BD140" i="50"/>
  <c r="AU194" i="50"/>
  <c r="O171" i="50"/>
  <c r="CX96" i="50"/>
  <c r="EU154" i="50"/>
  <c r="H194" i="50"/>
  <c r="AV208" i="50"/>
  <c r="CX203" i="50"/>
  <c r="F154" i="50"/>
  <c r="DU114" i="50"/>
  <c r="CO193" i="50"/>
  <c r="CR193" i="50"/>
  <c r="L170" i="50"/>
  <c r="DY170" i="50"/>
  <c r="EZ131" i="50"/>
  <c r="BJ225" i="50"/>
  <c r="BS116" i="50"/>
  <c r="AJ208" i="50"/>
  <c r="CX105" i="50"/>
  <c r="ED171" i="50"/>
  <c r="BS224" i="50"/>
  <c r="DU81" i="50"/>
  <c r="CB140" i="50"/>
  <c r="EI73" i="50"/>
  <c r="CD154" i="50"/>
  <c r="EI189" i="50"/>
  <c r="BQ194" i="50"/>
  <c r="CG152" i="50"/>
  <c r="DU192" i="50"/>
  <c r="CG151" i="50"/>
  <c r="DM194" i="50"/>
  <c r="BM194" i="50"/>
  <c r="CX154" i="50"/>
  <c r="AD154" i="50"/>
  <c r="CR140" i="50"/>
  <c r="EI99" i="50"/>
  <c r="DT220" i="50"/>
  <c r="DT165" i="50"/>
  <c r="DT102" i="50"/>
  <c r="DT78" i="50"/>
  <c r="AY208" i="50"/>
  <c r="EI78" i="50"/>
  <c r="EZ146" i="50"/>
  <c r="X225" i="50"/>
  <c r="BS190" i="50"/>
  <c r="M208" i="50"/>
  <c r="EI128" i="50"/>
  <c r="AB171" i="50"/>
  <c r="CG111" i="50"/>
  <c r="DU131" i="50"/>
  <c r="I140" i="50"/>
  <c r="CX92" i="50"/>
  <c r="ER154" i="50"/>
  <c r="EE140" i="50"/>
  <c r="CS194" i="50"/>
  <c r="CG223" i="50"/>
  <c r="C154" i="50"/>
  <c r="EQ140" i="50"/>
  <c r="M194" i="50"/>
  <c r="BX208" i="50"/>
  <c r="CX129" i="50"/>
  <c r="Q154" i="50"/>
  <c r="EY113" i="50"/>
  <c r="EY86" i="50"/>
  <c r="BI139" i="50"/>
  <c r="BW139" i="50"/>
  <c r="CO225" i="50"/>
  <c r="BS130" i="50"/>
  <c r="BJ208" i="50"/>
  <c r="EZ110" i="50"/>
  <c r="EZ135" i="50"/>
  <c r="AR225" i="50"/>
  <c r="DU95" i="50"/>
  <c r="E140" i="50"/>
  <c r="EI82" i="50"/>
  <c r="CB171" i="50"/>
  <c r="AD14" i="26"/>
  <c r="CU194" i="50"/>
  <c r="CG186" i="50"/>
  <c r="CX85" i="50"/>
  <c r="DR154" i="50"/>
  <c r="EI193" i="50"/>
  <c r="DU150" i="50"/>
  <c r="CX188" i="50"/>
  <c r="DY154" i="50"/>
  <c r="AS140" i="50"/>
  <c r="AE194" i="50"/>
  <c r="N171" i="50"/>
  <c r="BJ140" i="50"/>
  <c r="DV209" i="50"/>
  <c r="AG141" i="50"/>
  <c r="AS172" i="50"/>
  <c r="DK195" i="50"/>
  <c r="FA193" i="50"/>
  <c r="CR226" i="50"/>
  <c r="CY109" i="50"/>
  <c r="CH140" i="50"/>
  <c r="EJ89" i="50"/>
  <c r="CH89" i="50"/>
  <c r="BD141" i="50"/>
  <c r="DR172" i="50"/>
  <c r="CG155" i="50"/>
  <c r="BT145" i="50"/>
  <c r="DV91" i="50"/>
  <c r="BI226" i="50"/>
  <c r="CH103" i="50"/>
  <c r="N155" i="50"/>
  <c r="EJ130" i="50"/>
  <c r="ER195" i="50"/>
  <c r="T141" i="50"/>
  <c r="EA172" i="50"/>
  <c r="BI195" i="50"/>
  <c r="FA153" i="50"/>
  <c r="DV150" i="50"/>
  <c r="CY95" i="50"/>
  <c r="CH126" i="50"/>
  <c r="EJ104" i="50"/>
  <c r="Q209" i="50"/>
  <c r="BF141" i="50"/>
  <c r="CG209" i="50"/>
  <c r="R172" i="50"/>
  <c r="BT96" i="50"/>
  <c r="FA194" i="50"/>
  <c r="S226" i="50"/>
  <c r="CY200" i="50"/>
  <c r="CH189" i="50"/>
  <c r="EJ116" i="50"/>
  <c r="DO195" i="50"/>
  <c r="EQ141" i="50"/>
  <c r="AN172" i="50"/>
  <c r="ED155" i="50"/>
  <c r="BT199" i="50"/>
  <c r="DV82" i="50"/>
  <c r="CY105" i="50"/>
  <c r="CH136" i="50"/>
  <c r="EJ193" i="50"/>
  <c r="FA129" i="50"/>
  <c r="BP226" i="50"/>
  <c r="AK209" i="50"/>
  <c r="DQ155" i="50"/>
  <c r="BT185" i="50"/>
  <c r="DV148" i="50"/>
  <c r="CE141" i="50"/>
  <c r="CY209" i="50"/>
  <c r="BP195" i="50"/>
  <c r="EJ207" i="50"/>
  <c r="BT133" i="50"/>
  <c r="Y226" i="50"/>
  <c r="AV209" i="50"/>
  <c r="S155" i="50"/>
  <c r="DL141" i="50"/>
  <c r="DV171" i="50"/>
  <c r="CY194" i="50"/>
  <c r="ES172" i="50"/>
  <c r="Y195" i="50"/>
  <c r="FA149" i="50"/>
  <c r="EE226" i="50"/>
  <c r="BA209" i="50"/>
  <c r="CU155" i="50"/>
  <c r="C155" i="50"/>
  <c r="BD209" i="50"/>
  <c r="DT141" i="50"/>
  <c r="CY185" i="50"/>
  <c r="BQ195" i="50"/>
  <c r="EJ190" i="50"/>
  <c r="FA128" i="50"/>
  <c r="BK226" i="50"/>
  <c r="S209" i="50"/>
  <c r="CP155" i="50"/>
  <c r="BT184" i="50"/>
  <c r="DV141" i="50"/>
  <c r="AL141" i="50"/>
  <c r="EC172" i="50"/>
  <c r="AC195" i="50"/>
  <c r="FA125" i="50"/>
  <c r="DS226" i="50"/>
  <c r="E226" i="50"/>
  <c r="CH92" i="50"/>
  <c r="EJ78" i="50"/>
  <c r="AT209" i="50"/>
  <c r="EH141" i="50"/>
  <c r="EZ142" i="50"/>
  <c r="CZ221" i="50"/>
  <c r="CI221" i="50"/>
  <c r="BU190" i="50"/>
  <c r="CZ138" i="50"/>
  <c r="CI119" i="50"/>
  <c r="BU189" i="50"/>
  <c r="CI137" i="50"/>
  <c r="BU114" i="50"/>
  <c r="CZ185" i="50"/>
  <c r="CI146" i="50"/>
  <c r="BU121" i="50"/>
  <c r="CZ129" i="50"/>
  <c r="L210" i="50"/>
  <c r="CZ82" i="50"/>
  <c r="AW227" i="50"/>
  <c r="L196" i="50"/>
  <c r="U173" i="50"/>
  <c r="AA227" i="50"/>
  <c r="DM196" i="50"/>
  <c r="ET227" i="50"/>
  <c r="CT196" i="50"/>
  <c r="BP173" i="50"/>
  <c r="CW227" i="50"/>
  <c r="FB224" i="50"/>
  <c r="AN142" i="50"/>
  <c r="O210" i="50"/>
  <c r="EA210" i="50"/>
  <c r="AX227" i="50"/>
  <c r="EK82" i="50"/>
  <c r="CV142" i="50"/>
  <c r="FA210" i="50"/>
  <c r="CZ210" i="50"/>
  <c r="CI192" i="50"/>
  <c r="BU153" i="50"/>
  <c r="CZ75" i="50"/>
  <c r="CI98" i="50"/>
  <c r="BU75" i="50"/>
  <c r="CI116" i="50"/>
  <c r="BU93" i="50"/>
  <c r="CZ108" i="50"/>
  <c r="CI87" i="50"/>
  <c r="E196" i="50"/>
  <c r="AX173" i="50"/>
  <c r="CZ124" i="50"/>
  <c r="Y173" i="50"/>
  <c r="AE227" i="50"/>
  <c r="ER196" i="50"/>
  <c r="CQ173" i="50"/>
  <c r="BD227" i="50"/>
  <c r="BP196" i="50"/>
  <c r="DV227" i="50"/>
  <c r="J156" i="50"/>
  <c r="DW201" i="50"/>
  <c r="FB165" i="50"/>
  <c r="BU210" i="50"/>
  <c r="R196" i="50"/>
  <c r="EX227" i="50"/>
  <c r="N196" i="50"/>
  <c r="DW146" i="50"/>
  <c r="DW121" i="50"/>
  <c r="DJ142" i="50"/>
  <c r="AQ142" i="50"/>
  <c r="CZ123" i="50"/>
  <c r="CZ99" i="50"/>
  <c r="BO173" i="50"/>
  <c r="DS227" i="50"/>
  <c r="DU196" i="50"/>
  <c r="DW224" i="50"/>
  <c r="FB209" i="50"/>
  <c r="U156" i="50"/>
  <c r="FB218" i="50"/>
  <c r="AX156" i="50"/>
  <c r="DW173" i="50"/>
  <c r="FB141" i="50"/>
  <c r="DM156" i="50"/>
  <c r="DW172" i="50"/>
  <c r="DM227" i="50"/>
  <c r="DW118" i="50"/>
  <c r="FB140" i="50"/>
  <c r="EX156" i="50"/>
  <c r="DW87" i="50"/>
  <c r="E142" i="50"/>
  <c r="AX210" i="50"/>
  <c r="AI142" i="50"/>
  <c r="CP210" i="50"/>
  <c r="EK169" i="50"/>
  <c r="DO142" i="50"/>
  <c r="DL210" i="50"/>
  <c r="CB210" i="50"/>
  <c r="Z142" i="50"/>
  <c r="J210" i="50"/>
  <c r="ES173" i="50"/>
  <c r="DW105" i="50"/>
  <c r="CI126" i="50"/>
  <c r="FB111" i="50"/>
  <c r="CV196" i="50"/>
  <c r="BA196" i="50"/>
  <c r="AN173" i="50"/>
  <c r="BL227" i="50"/>
  <c r="CS196" i="50"/>
  <c r="BF173" i="50"/>
  <c r="EH227" i="50"/>
  <c r="CY196" i="50"/>
  <c r="CD227" i="50"/>
  <c r="EY196" i="50"/>
  <c r="CY173" i="50"/>
  <c r="FB208" i="50"/>
  <c r="X156" i="50"/>
  <c r="DW155" i="50"/>
  <c r="CI122" i="50"/>
  <c r="DW202" i="50"/>
  <c r="FB184" i="50"/>
  <c r="BM156" i="50"/>
  <c r="DW114" i="50"/>
  <c r="FB128" i="50"/>
  <c r="EY156" i="50"/>
  <c r="N142" i="50"/>
  <c r="T210" i="50"/>
  <c r="EK152" i="50"/>
  <c r="AB142" i="50"/>
  <c r="M210" i="50"/>
  <c r="BL210" i="50"/>
  <c r="EK147" i="50"/>
  <c r="EK122" i="50"/>
  <c r="DJ196" i="50"/>
  <c r="BU102" i="50"/>
  <c r="CZ134" i="50"/>
  <c r="AV173" i="50"/>
  <c r="CW173" i="50"/>
  <c r="BS227" i="50"/>
  <c r="E156" i="50"/>
  <c r="DW203" i="50"/>
  <c r="FB167" i="50"/>
  <c r="DL156" i="50"/>
  <c r="FB195" i="50"/>
  <c r="AG156" i="50"/>
  <c r="DW133" i="50"/>
  <c r="FB204" i="50"/>
  <c r="AJ156" i="50"/>
  <c r="DW132" i="50"/>
  <c r="CF227" i="50"/>
  <c r="DW86" i="50"/>
  <c r="FB107" i="50"/>
  <c r="EJ156" i="50"/>
  <c r="EK226" i="50"/>
  <c r="W142" i="50"/>
  <c r="AG210" i="50"/>
  <c r="AT142" i="50"/>
  <c r="BZ210" i="50"/>
  <c r="EK129" i="50"/>
  <c r="BE142" i="50"/>
  <c r="AS210" i="50"/>
  <c r="CZ192" i="50"/>
  <c r="BU87" i="50"/>
  <c r="EB173" i="50"/>
  <c r="C142" i="50"/>
  <c r="Y142" i="50"/>
  <c r="BM210" i="50"/>
  <c r="CZ122" i="50"/>
  <c r="CI100" i="50"/>
  <c r="AN227" i="50"/>
  <c r="EK164" i="50"/>
  <c r="AH142" i="50"/>
  <c r="DM210" i="50"/>
  <c r="EK171" i="50"/>
  <c r="BM142" i="50"/>
  <c r="BN210" i="50"/>
  <c r="AJ142" i="50"/>
  <c r="CA210" i="50"/>
  <c r="EK113" i="50"/>
  <c r="EW142" i="50"/>
  <c r="EY210" i="50"/>
  <c r="EK74" i="50"/>
  <c r="BU226" i="50"/>
  <c r="CI195" i="50"/>
  <c r="BU156" i="50"/>
  <c r="CZ128" i="50"/>
  <c r="CI204" i="50"/>
  <c r="BU169" i="50"/>
  <c r="CZ85" i="50"/>
  <c r="AU156" i="50"/>
  <c r="CZ90" i="50"/>
  <c r="CI77" i="50"/>
  <c r="J196" i="50"/>
  <c r="R173" i="50"/>
  <c r="DW134" i="50"/>
  <c r="AZ156" i="50"/>
  <c r="EK165" i="50"/>
  <c r="FB110" i="50"/>
  <c r="FB135" i="50"/>
  <c r="ET196" i="50"/>
  <c r="AC156" i="50"/>
  <c r="DW94" i="50"/>
  <c r="FB89" i="50"/>
  <c r="E210" i="50"/>
  <c r="EK210" i="50"/>
  <c r="DY142" i="50"/>
  <c r="AH210" i="50"/>
  <c r="EK114" i="50"/>
  <c r="BU78" i="50"/>
  <c r="EK132" i="50"/>
  <c r="AP142" i="50"/>
  <c r="BK210" i="50"/>
  <c r="EK139" i="50"/>
  <c r="DP142" i="50"/>
  <c r="EW210" i="50"/>
  <c r="EH142" i="50"/>
  <c r="EJ210" i="50"/>
  <c r="CI222" i="50"/>
  <c r="BU208" i="50"/>
  <c r="CZ156" i="50"/>
  <c r="CI135" i="50"/>
  <c r="BU112" i="50"/>
  <c r="CI132" i="50"/>
  <c r="BU109" i="50"/>
  <c r="CZ125" i="50"/>
  <c r="CI103" i="50"/>
  <c r="BL173" i="50"/>
  <c r="DM142" i="50"/>
  <c r="BU200" i="50"/>
  <c r="BU88" i="50"/>
  <c r="BD173" i="50"/>
  <c r="CZ171" i="50"/>
  <c r="CI109" i="50"/>
  <c r="AA142" i="50"/>
  <c r="AQ210" i="50"/>
  <c r="EK187" i="50"/>
  <c r="BL142" i="50"/>
  <c r="ED210" i="50"/>
  <c r="EK93" i="50"/>
  <c r="N156" i="50"/>
  <c r="EK111" i="50"/>
  <c r="BF142" i="50"/>
  <c r="EH210" i="50"/>
  <c r="EK80" i="50"/>
  <c r="BU217" i="50"/>
  <c r="CZ190" i="50"/>
  <c r="BU131" i="50"/>
  <c r="CZ126" i="50"/>
  <c r="CI115" i="50"/>
  <c r="BU185" i="50"/>
  <c r="CZ91" i="50"/>
  <c r="CI114" i="50"/>
  <c r="BU91" i="50"/>
  <c r="CI75" i="50"/>
  <c r="M196" i="50"/>
  <c r="X173" i="50"/>
  <c r="AF227" i="50"/>
  <c r="EK138" i="50"/>
  <c r="R142" i="50"/>
  <c r="EK104" i="50"/>
  <c r="EU227" i="50"/>
  <c r="BC210" i="50"/>
  <c r="DU210" i="50"/>
  <c r="CI199" i="50"/>
  <c r="CI89" i="50"/>
  <c r="Z156" i="50"/>
  <c r="CI156" i="50"/>
  <c r="CZ131" i="50"/>
  <c r="CI78" i="50"/>
  <c r="BU92" i="50"/>
  <c r="C173" i="50"/>
  <c r="O227" i="50"/>
  <c r="P196" i="50"/>
  <c r="AV227" i="50"/>
  <c r="BI196" i="50"/>
  <c r="P173" i="50"/>
  <c r="Y227" i="50"/>
  <c r="AQ196" i="50"/>
  <c r="AK173" i="50"/>
  <c r="DS173" i="50"/>
  <c r="DP173" i="50"/>
  <c r="EF227" i="50"/>
  <c r="CE196" i="50"/>
  <c r="CG173" i="50"/>
  <c r="FB210" i="50"/>
  <c r="BI156" i="50"/>
  <c r="FB129" i="50"/>
  <c r="AL156" i="50"/>
  <c r="DW168" i="50"/>
  <c r="FB88" i="50"/>
  <c r="EJ196" i="50"/>
  <c r="ED196" i="50"/>
  <c r="CI111" i="50"/>
  <c r="BU139" i="50"/>
  <c r="CA156" i="50"/>
  <c r="CX156" i="50"/>
  <c r="DW120" i="50"/>
  <c r="DW81" i="50"/>
  <c r="DL142" i="50"/>
  <c r="BS173" i="50"/>
  <c r="CZ111" i="50"/>
  <c r="CI142" i="50"/>
  <c r="BU119" i="50"/>
  <c r="CZ127" i="50"/>
  <c r="CI105" i="50"/>
  <c r="BU80" i="50"/>
  <c r="CI84" i="50"/>
  <c r="BU98" i="50"/>
  <c r="CZ76" i="50"/>
  <c r="K227" i="50"/>
  <c r="W196" i="50"/>
  <c r="AG173" i="50"/>
  <c r="CZ113" i="50"/>
  <c r="CP173" i="50"/>
  <c r="AK227" i="50"/>
  <c r="DO196" i="50"/>
  <c r="CT173" i="50"/>
  <c r="CU227" i="50"/>
  <c r="CF196" i="50"/>
  <c r="FB217" i="50"/>
  <c r="DY156" i="50"/>
  <c r="DW151" i="50"/>
  <c r="FB125" i="50"/>
  <c r="BU105" i="50"/>
  <c r="BU218" i="50"/>
  <c r="CZ89" i="50"/>
  <c r="CZ96" i="50"/>
  <c r="FB86" i="50"/>
  <c r="AO227" i="50"/>
  <c r="DL196" i="50"/>
  <c r="FB136" i="50"/>
  <c r="CZ98" i="50"/>
  <c r="CI85" i="50"/>
  <c r="G196" i="50"/>
  <c r="BI173" i="50"/>
  <c r="Q227" i="50"/>
  <c r="AI196" i="50"/>
  <c r="R227" i="50"/>
  <c r="DZ196" i="50"/>
  <c r="AI173" i="50"/>
  <c r="CP227" i="50"/>
  <c r="BY196" i="50"/>
  <c r="CR173" i="50"/>
  <c r="DW137" i="50"/>
  <c r="EG173" i="50"/>
  <c r="BR227" i="50"/>
  <c r="FA196" i="50"/>
  <c r="DW225" i="50"/>
  <c r="FB193" i="50"/>
  <c r="DZ156" i="50"/>
  <c r="FB190" i="50"/>
  <c r="BL156" i="50"/>
  <c r="DW128" i="50"/>
  <c r="FB142" i="50"/>
  <c r="AT156" i="50"/>
  <c r="AY156" i="50"/>
  <c r="FB118" i="50"/>
  <c r="CQ156" i="50"/>
  <c r="CI208" i="50"/>
  <c r="EK106" i="50"/>
  <c r="BU133" i="50"/>
  <c r="BU118" i="50"/>
  <c r="DW149" i="50"/>
  <c r="DW210" i="50"/>
  <c r="DW163" i="50"/>
  <c r="FB139" i="50"/>
  <c r="AQ156" i="50"/>
  <c r="DW170" i="50"/>
  <c r="FB90" i="50"/>
  <c r="CT156" i="50"/>
  <c r="FB108" i="50"/>
  <c r="CR156" i="50"/>
  <c r="DW112" i="50"/>
  <c r="FB126" i="50"/>
  <c r="CF156" i="50"/>
  <c r="DW73" i="50"/>
  <c r="AF142" i="50"/>
  <c r="EK190" i="50"/>
  <c r="BW142" i="50"/>
  <c r="AI210" i="50"/>
  <c r="EK199" i="50"/>
  <c r="BY142" i="50"/>
  <c r="CR210" i="50"/>
  <c r="BG142" i="50"/>
  <c r="EI210" i="50"/>
  <c r="AE16" i="26"/>
  <c r="BU222" i="50"/>
  <c r="CZ170" i="50"/>
  <c r="CZ79" i="50"/>
  <c r="BU140" i="50"/>
  <c r="CZ226" i="50"/>
  <c r="EK224" i="50"/>
  <c r="CI127" i="50"/>
  <c r="FB206" i="50"/>
  <c r="DT142" i="50"/>
  <c r="EG210" i="50"/>
  <c r="BK172" i="50"/>
  <c r="V195" i="50"/>
  <c r="FA191" i="50"/>
  <c r="EC226" i="50"/>
  <c r="AD209" i="50"/>
  <c r="ES155" i="50"/>
  <c r="EJ79" i="50"/>
  <c r="CH73" i="50"/>
  <c r="DP141" i="50"/>
  <c r="DU172" i="50"/>
  <c r="EC195" i="50"/>
  <c r="EJ209" i="50"/>
  <c r="FA164" i="50"/>
  <c r="DM226" i="50"/>
  <c r="AX209" i="50"/>
  <c r="BJ155" i="50"/>
  <c r="BT222" i="50"/>
  <c r="DV133" i="50"/>
  <c r="ER141" i="50"/>
  <c r="ED172" i="50"/>
  <c r="DM195" i="50"/>
  <c r="FA117" i="50"/>
  <c r="BE226" i="50"/>
  <c r="CY85" i="50"/>
  <c r="CH116" i="50"/>
  <c r="EJ102" i="50"/>
  <c r="DK209" i="50"/>
  <c r="BP141" i="50"/>
  <c r="CY208" i="50"/>
  <c r="P172" i="50"/>
  <c r="BT86" i="50"/>
  <c r="FA192" i="50"/>
  <c r="BX226" i="50"/>
  <c r="I209" i="50"/>
  <c r="EJ82" i="50"/>
  <c r="EJ192" i="50"/>
  <c r="G195" i="50"/>
  <c r="E141" i="50"/>
  <c r="AG172" i="50"/>
  <c r="BT73" i="50"/>
  <c r="FA154" i="50"/>
  <c r="DV111" i="50"/>
  <c r="CY128" i="50"/>
  <c r="CH123" i="50"/>
  <c r="EJ139" i="50"/>
  <c r="CH119" i="50"/>
  <c r="EG226" i="50"/>
  <c r="BB209" i="50"/>
  <c r="BE155" i="50"/>
  <c r="BT171" i="50"/>
  <c r="DV146" i="50"/>
  <c r="CY83" i="50"/>
  <c r="CY199" i="50"/>
  <c r="EG195" i="50"/>
  <c r="EJ226" i="50"/>
  <c r="BT125" i="50"/>
  <c r="Z15" i="26"/>
  <c r="BJ172" i="50"/>
  <c r="AM155" i="50"/>
  <c r="BT146" i="50"/>
  <c r="DV188" i="50"/>
  <c r="CY106" i="50"/>
  <c r="CH202" i="50"/>
  <c r="EJ117" i="50"/>
  <c r="FA110" i="50"/>
  <c r="BT194" i="50"/>
  <c r="BE209" i="50"/>
  <c r="EI155" i="50"/>
  <c r="BT149" i="50"/>
  <c r="DV120" i="50"/>
  <c r="BS141" i="50"/>
  <c r="CY171" i="50"/>
  <c r="EH195" i="50"/>
  <c r="EJ188" i="50"/>
  <c r="J195" i="50"/>
  <c r="BY226" i="50"/>
  <c r="DZ209" i="50"/>
  <c r="AL155" i="50"/>
  <c r="BT172" i="50"/>
  <c r="DV202" i="50"/>
  <c r="EY78" i="50"/>
  <c r="R139" i="50"/>
  <c r="AM139" i="50"/>
  <c r="ET139" i="50"/>
  <c r="CS225" i="50"/>
  <c r="BS73" i="50"/>
  <c r="DQ208" i="50"/>
  <c r="DU122" i="50"/>
  <c r="EZ76" i="50"/>
  <c r="EY225" i="50"/>
  <c r="AX208" i="50"/>
  <c r="EI110" i="50"/>
  <c r="EZ154" i="50"/>
  <c r="O225" i="50"/>
  <c r="BS202" i="50"/>
  <c r="DZ171" i="50"/>
  <c r="CG133" i="50"/>
  <c r="DU118" i="50"/>
  <c r="CG73" i="50"/>
  <c r="EI140" i="50"/>
  <c r="W194" i="50"/>
  <c r="CX107" i="50"/>
  <c r="BL154" i="50"/>
  <c r="CV140" i="50"/>
  <c r="EF194" i="50"/>
  <c r="U139" i="50"/>
  <c r="BB139" i="50"/>
  <c r="H224" i="50"/>
  <c r="O224" i="50"/>
  <c r="DJ154" i="50"/>
  <c r="AC140" i="50"/>
  <c r="R194" i="50"/>
  <c r="CT208" i="50"/>
  <c r="CX204" i="50"/>
  <c r="AI154" i="50"/>
  <c r="AK208" i="50"/>
  <c r="CX131" i="50"/>
  <c r="EZ125" i="50"/>
  <c r="BK225" i="50"/>
  <c r="BS78" i="50"/>
  <c r="EC171" i="50"/>
  <c r="CG74" i="50"/>
  <c r="DU89" i="50"/>
  <c r="BY140" i="50"/>
  <c r="EI81" i="50"/>
  <c r="CC171" i="50"/>
  <c r="DU140" i="50"/>
  <c r="CG184" i="50"/>
  <c r="EI127" i="50"/>
  <c r="V171" i="50"/>
  <c r="CG149" i="50"/>
  <c r="BY194" i="50"/>
  <c r="CS193" i="50"/>
  <c r="AX170" i="50"/>
  <c r="ER170" i="50"/>
  <c r="BL170" i="50"/>
  <c r="EZ73" i="50"/>
  <c r="DQ225" i="50"/>
  <c r="AV140" i="50"/>
  <c r="CF208" i="50"/>
  <c r="AP208" i="50"/>
  <c r="AX225" i="50"/>
  <c r="BS194" i="50"/>
  <c r="T208" i="50"/>
  <c r="EZ166" i="50"/>
  <c r="EZ203" i="50"/>
  <c r="Y194" i="50"/>
  <c r="EI136" i="50"/>
  <c r="Z171" i="50"/>
  <c r="CG119" i="50"/>
  <c r="DU139" i="50"/>
  <c r="BS79" i="50"/>
  <c r="BP194" i="50"/>
  <c r="CG194" i="50"/>
  <c r="CX93" i="50"/>
  <c r="BO154" i="50"/>
  <c r="EI205" i="50"/>
  <c r="CX73" i="50"/>
  <c r="CF218" i="50"/>
  <c r="CF109" i="50"/>
  <c r="CF100" i="50"/>
  <c r="CF76" i="50"/>
  <c r="O194" i="50"/>
  <c r="AR208" i="50"/>
  <c r="CX163" i="50"/>
  <c r="I154" i="50"/>
  <c r="AB140" i="50"/>
  <c r="AD140" i="50"/>
  <c r="EZ139" i="50"/>
  <c r="Y225" i="50"/>
  <c r="BS124" i="50"/>
  <c r="BK208" i="50"/>
  <c r="CX106" i="50"/>
  <c r="DU103" i="50"/>
  <c r="BS95" i="50"/>
  <c r="EI90" i="50"/>
  <c r="CA171" i="50"/>
  <c r="CG78" i="50"/>
  <c r="EY154" i="50"/>
  <c r="EI145" i="50"/>
  <c r="G171" i="50"/>
  <c r="CG124" i="50"/>
  <c r="DU148" i="50"/>
  <c r="CG96" i="50"/>
  <c r="CO226" i="50"/>
  <c r="CY170" i="50"/>
  <c r="CH155" i="50"/>
  <c r="EJ199" i="50"/>
  <c r="EW195" i="50"/>
  <c r="AI141" i="50"/>
  <c r="BZ172" i="50"/>
  <c r="EE155" i="50"/>
  <c r="BT169" i="50"/>
  <c r="DV152" i="50"/>
  <c r="CY89" i="50"/>
  <c r="CH120" i="50"/>
  <c r="EJ93" i="50"/>
  <c r="FA86" i="50"/>
  <c r="BT195" i="50"/>
  <c r="DS209" i="50"/>
  <c r="J172" i="50"/>
  <c r="BT123" i="50"/>
  <c r="FA217" i="50"/>
  <c r="DV167" i="50"/>
  <c r="CY202" i="50"/>
  <c r="CH191" i="50"/>
  <c r="EJ208" i="50"/>
  <c r="BE195" i="50"/>
  <c r="CW226" i="50"/>
  <c r="ET209" i="50"/>
  <c r="EW155" i="50"/>
  <c r="BT101" i="50"/>
  <c r="DV126" i="50"/>
  <c r="AW226" i="50"/>
  <c r="CY169" i="50"/>
  <c r="CW195" i="50"/>
  <c r="EJ194" i="50"/>
  <c r="BT92" i="50"/>
  <c r="D141" i="50"/>
  <c r="W172" i="50"/>
  <c r="DL155" i="50"/>
  <c r="BT226" i="50"/>
  <c r="DV147" i="50"/>
  <c r="CY166" i="50"/>
  <c r="CH151" i="50"/>
  <c r="EJ185" i="50"/>
  <c r="FA121" i="50"/>
  <c r="CU226" i="50"/>
  <c r="EB209" i="50"/>
  <c r="BO155" i="50"/>
  <c r="BT111" i="50"/>
  <c r="DV125" i="50"/>
  <c r="AK141" i="50"/>
  <c r="CT172" i="50"/>
  <c r="AO195" i="50"/>
  <c r="FA109" i="50"/>
  <c r="BR226" i="50"/>
  <c r="I226" i="50"/>
  <c r="CH76" i="50"/>
  <c r="AW155" i="50"/>
  <c r="EU209" i="50"/>
  <c r="EZ141" i="50"/>
  <c r="CY219" i="50"/>
  <c r="Q172" i="50"/>
  <c r="BT78" i="50"/>
  <c r="FA184" i="50"/>
  <c r="AP226" i="50"/>
  <c r="BH209" i="50"/>
  <c r="AI155" i="50"/>
  <c r="EJ145" i="50"/>
  <c r="CH145" i="50"/>
  <c r="CP141" i="50"/>
  <c r="CS172" i="50"/>
  <c r="AP195" i="50"/>
  <c r="FA87" i="50"/>
  <c r="DV81" i="50"/>
  <c r="X226" i="50"/>
  <c r="CH101" i="50"/>
  <c r="I155" i="50"/>
  <c r="AA15" i="26"/>
  <c r="DV223" i="50"/>
  <c r="S141" i="50"/>
  <c r="AR172" i="50"/>
  <c r="X195" i="50"/>
  <c r="FA203" i="50"/>
  <c r="ER226" i="50"/>
  <c r="CY110" i="50"/>
  <c r="CH206" i="50"/>
  <c r="EJ129" i="50"/>
  <c r="CH192" i="50"/>
  <c r="AJ141" i="50"/>
  <c r="BO172" i="50"/>
  <c r="CX155" i="50"/>
  <c r="BT153" i="50"/>
  <c r="DV99" i="50"/>
  <c r="DJ226" i="50"/>
  <c r="CH111" i="50"/>
  <c r="CG227" i="50"/>
  <c r="G156" i="50"/>
  <c r="DW209" i="50"/>
  <c r="FB173" i="50"/>
  <c r="AA156" i="50"/>
  <c r="DW113" i="50"/>
  <c r="CI90" i="50"/>
  <c r="DW131" i="50"/>
  <c r="FB115" i="50"/>
  <c r="AN156" i="50"/>
  <c r="DW138" i="50"/>
  <c r="FB154" i="50"/>
  <c r="CD156" i="50"/>
  <c r="FB105" i="50"/>
  <c r="FA156" i="50"/>
  <c r="EK217" i="50"/>
  <c r="AX142" i="50"/>
  <c r="BW210" i="50"/>
  <c r="EK130" i="50"/>
  <c r="BU137" i="50"/>
  <c r="EK127" i="50"/>
  <c r="CT142" i="50"/>
  <c r="CU210" i="50"/>
  <c r="EK96" i="50"/>
  <c r="BU99" i="50"/>
  <c r="CI91" i="50"/>
  <c r="DP227" i="50"/>
  <c r="DY173" i="50"/>
  <c r="P210" i="50"/>
  <c r="AJ196" i="50"/>
  <c r="CF173" i="50"/>
  <c r="FB137" i="50"/>
  <c r="EA156" i="50"/>
  <c r="DW186" i="50"/>
  <c r="FB96" i="50"/>
  <c r="BD156" i="50"/>
  <c r="DW92" i="50"/>
  <c r="FB170" i="50"/>
  <c r="DW110" i="50"/>
  <c r="FB132" i="50"/>
  <c r="CW156" i="50"/>
  <c r="DW79" i="50"/>
  <c r="K142" i="50"/>
  <c r="AY210" i="50"/>
  <c r="Q142" i="50"/>
  <c r="BJ210" i="50"/>
  <c r="EK205" i="50"/>
  <c r="AK142" i="50"/>
  <c r="ET210" i="50"/>
  <c r="EK109" i="50"/>
  <c r="AI156" i="50"/>
  <c r="AD16" i="26"/>
  <c r="BU220" i="50"/>
  <c r="CZ186" i="50"/>
  <c r="CI151" i="50"/>
  <c r="BQ156" i="50"/>
  <c r="DY227" i="50"/>
  <c r="EY173" i="50"/>
  <c r="CF142" i="50"/>
  <c r="BU127" i="50"/>
  <c r="AO196" i="50"/>
  <c r="CZ168" i="50"/>
  <c r="DW190" i="50"/>
  <c r="FB116" i="50"/>
  <c r="BD142" i="50"/>
  <c r="DR210" i="50"/>
  <c r="EK110" i="50"/>
  <c r="BS142" i="50"/>
  <c r="CZ217" i="50"/>
  <c r="CI203" i="50"/>
  <c r="BU168" i="50"/>
  <c r="CI227" i="50"/>
  <c r="BU196" i="50"/>
  <c r="CZ154" i="50"/>
  <c r="CI133" i="50"/>
  <c r="BU205" i="50"/>
  <c r="CZ109" i="50"/>
  <c r="BW156" i="50"/>
  <c r="CZ149" i="50"/>
  <c r="CI94" i="50"/>
  <c r="BU108" i="50"/>
  <c r="CZ78" i="50"/>
  <c r="D227" i="50"/>
  <c r="X196" i="50"/>
  <c r="BX227" i="50"/>
  <c r="AS196" i="50"/>
  <c r="AJ173" i="50"/>
  <c r="CA227" i="50"/>
  <c r="H227" i="50"/>
  <c r="ED142" i="50"/>
  <c r="DW119" i="50"/>
  <c r="EH196" i="50"/>
  <c r="CS142" i="50"/>
  <c r="FB82" i="50"/>
  <c r="EV210" i="50"/>
  <c r="CZ227" i="50"/>
  <c r="CI123" i="50"/>
  <c r="AO142" i="50"/>
  <c r="BY210" i="50"/>
  <c r="EK137" i="50"/>
  <c r="BN142" i="50"/>
  <c r="CD210" i="50"/>
  <c r="EK98" i="50"/>
  <c r="CV210" i="50"/>
  <c r="EK79" i="50"/>
  <c r="EY142" i="50"/>
  <c r="CH210" i="50"/>
  <c r="CI223" i="50"/>
  <c r="BU192" i="50"/>
  <c r="CZ140" i="50"/>
  <c r="O196" i="50"/>
  <c r="CZ191" i="50"/>
  <c r="CI166" i="50"/>
  <c r="BU135" i="50"/>
  <c r="CZ145" i="50"/>
  <c r="CI82" i="50"/>
  <c r="BU96" i="50"/>
  <c r="DJ227" i="50"/>
  <c r="U196" i="50"/>
  <c r="EQ173" i="50"/>
  <c r="AD227" i="50"/>
  <c r="EK90" i="50"/>
  <c r="BE210" i="50"/>
  <c r="CR196" i="50"/>
  <c r="EZ196" i="50"/>
  <c r="EK121" i="50"/>
  <c r="FA173" i="50"/>
  <c r="FB131" i="50"/>
  <c r="CU142" i="50"/>
  <c r="DT210" i="50"/>
  <c r="EK78" i="50"/>
  <c r="BU209" i="50"/>
  <c r="CZ188" i="50"/>
  <c r="CI153" i="50"/>
  <c r="BU128" i="50"/>
  <c r="CI187" i="50"/>
  <c r="BU148" i="50"/>
  <c r="CZ120" i="50"/>
  <c r="CI194" i="50"/>
  <c r="BU155" i="50"/>
  <c r="CZ77" i="50"/>
  <c r="ET156" i="50"/>
  <c r="CZ115" i="50"/>
  <c r="CI101" i="50"/>
  <c r="BU76" i="50"/>
  <c r="M173" i="50"/>
  <c r="DK227" i="50"/>
  <c r="EQ196" i="50"/>
  <c r="AU227" i="50"/>
  <c r="CQ196" i="50"/>
  <c r="EU173" i="50"/>
  <c r="BO227" i="50"/>
  <c r="AJ227" i="50"/>
  <c r="BU188" i="50"/>
  <c r="CI125" i="50"/>
  <c r="BJ196" i="50"/>
  <c r="N173" i="50"/>
  <c r="AE173" i="50"/>
  <c r="CR227" i="50"/>
  <c r="EZ227" i="50"/>
  <c r="Y210" i="50"/>
  <c r="EV156" i="50"/>
  <c r="AF173" i="50"/>
  <c r="Z227" i="50"/>
  <c r="EA196" i="50"/>
  <c r="AM173" i="50"/>
  <c r="BC227" i="50"/>
  <c r="EV196" i="50"/>
  <c r="BB227" i="50"/>
  <c r="EC196" i="50"/>
  <c r="EV173" i="50"/>
  <c r="EG227" i="50"/>
  <c r="DT196" i="50"/>
  <c r="DW226" i="50"/>
  <c r="EK151" i="50"/>
  <c r="DW189" i="50"/>
  <c r="FB163" i="50"/>
  <c r="BJ156" i="50"/>
  <c r="DW196" i="50"/>
  <c r="FB106" i="50"/>
  <c r="EC156" i="50"/>
  <c r="FB114" i="50"/>
  <c r="BS156" i="50"/>
  <c r="EK225" i="50"/>
  <c r="L142" i="50"/>
  <c r="BG156" i="50"/>
  <c r="CS156" i="50"/>
  <c r="FB133" i="50"/>
  <c r="M156" i="50"/>
  <c r="CZ204" i="50"/>
  <c r="CZ208" i="50"/>
  <c r="EK192" i="50"/>
  <c r="CI196" i="50"/>
  <c r="BU130" i="50"/>
  <c r="CI83" i="50"/>
  <c r="AV196" i="50"/>
  <c r="O173" i="50"/>
  <c r="V227" i="50"/>
  <c r="Y196" i="50"/>
  <c r="EA173" i="50"/>
  <c r="Z173" i="50"/>
  <c r="BJ173" i="50"/>
  <c r="EA227" i="50"/>
  <c r="AK196" i="50"/>
  <c r="ET173" i="50"/>
  <c r="EV227" i="50"/>
  <c r="CU196" i="50"/>
  <c r="EY227" i="50"/>
  <c r="DV196" i="50"/>
  <c r="DW208" i="50"/>
  <c r="FB201" i="50"/>
  <c r="Q156" i="50"/>
  <c r="DW129" i="50"/>
  <c r="EQ227" i="50"/>
  <c r="DW126" i="50"/>
  <c r="FB150" i="50"/>
  <c r="EG156" i="50"/>
  <c r="DW95" i="50"/>
  <c r="EZ156" i="50"/>
  <c r="BA173" i="50"/>
  <c r="DW106" i="50"/>
  <c r="FB172" i="50"/>
  <c r="EF142" i="50"/>
  <c r="BP227" i="50"/>
  <c r="EI156" i="50"/>
  <c r="DL227" i="50"/>
  <c r="AR196" i="50"/>
  <c r="BK173" i="50"/>
  <c r="BM227" i="50"/>
  <c r="DP196" i="50"/>
  <c r="EW173" i="50"/>
  <c r="DW200" i="50"/>
  <c r="DQ173" i="50"/>
  <c r="EW227" i="50"/>
  <c r="BR196" i="50"/>
  <c r="DV173" i="50"/>
  <c r="FB223" i="50"/>
  <c r="R156" i="50"/>
  <c r="FB155" i="50"/>
  <c r="AB156" i="50"/>
  <c r="DW204" i="50"/>
  <c r="FB168" i="50"/>
  <c r="BC156" i="50"/>
  <c r="DW108" i="50"/>
  <c r="FB103" i="50"/>
  <c r="EK223" i="50"/>
  <c r="M142" i="50"/>
  <c r="DK210" i="50"/>
  <c r="EK146" i="50"/>
  <c r="DN142" i="50"/>
  <c r="EK166" i="50"/>
  <c r="CX210" i="50"/>
  <c r="CI200" i="50"/>
  <c r="CI112" i="50"/>
  <c r="X227" i="50"/>
  <c r="BE196" i="50"/>
  <c r="AK210" i="50"/>
  <c r="EK102" i="50"/>
  <c r="FB156" i="50"/>
  <c r="EW156" i="50"/>
  <c r="DW109" i="50"/>
  <c r="FB85" i="50"/>
  <c r="AV210" i="50"/>
  <c r="EK196" i="50"/>
  <c r="CW142" i="50"/>
  <c r="EK222" i="50"/>
  <c r="BI142" i="50"/>
  <c r="Q210" i="50"/>
  <c r="EK128" i="50"/>
  <c r="CP142" i="50"/>
  <c r="EB210" i="50"/>
  <c r="BC142" i="50"/>
  <c r="DQ210" i="50"/>
  <c r="EK89" i="50"/>
  <c r="BR142" i="50"/>
  <c r="DV210" i="50"/>
  <c r="CI225" i="50"/>
  <c r="BU194" i="50"/>
  <c r="CI121" i="50"/>
  <c r="BU191" i="50"/>
  <c r="CZ105" i="50"/>
  <c r="CI128" i="50"/>
  <c r="CZ93" i="50"/>
  <c r="BN227" i="50"/>
  <c r="CZ205" i="50"/>
  <c r="AR227" i="50"/>
  <c r="T227" i="50"/>
  <c r="BC196" i="50"/>
  <c r="BU103" i="50"/>
  <c r="H196" i="50"/>
  <c r="DM173" i="50"/>
  <c r="FB200" i="50"/>
  <c r="EB156" i="50"/>
  <c r="DW136" i="50"/>
  <c r="FB152" i="50"/>
  <c r="CU156" i="50"/>
  <c r="DW97" i="50"/>
  <c r="F142" i="50"/>
  <c r="DW78" i="50"/>
  <c r="FB99" i="50"/>
  <c r="BT156" i="50"/>
  <c r="EK218" i="50"/>
  <c r="T142" i="50"/>
  <c r="CO210" i="50"/>
  <c r="AC142" i="50"/>
  <c r="BA210" i="50"/>
  <c r="EK155" i="50"/>
  <c r="CR142" i="50"/>
  <c r="EE210" i="50"/>
  <c r="EK77" i="50"/>
  <c r="CQ210" i="50"/>
  <c r="CI205" i="50"/>
  <c r="BU170" i="50"/>
  <c r="CZ136" i="50"/>
  <c r="CI117" i="50"/>
  <c r="AB210" i="50"/>
  <c r="FB113" i="50"/>
  <c r="AY142" i="50"/>
  <c r="BU110" i="50"/>
  <c r="CZ151" i="50"/>
  <c r="AW210" i="50"/>
  <c r="EK118" i="50"/>
  <c r="FB122" i="50"/>
  <c r="DU156" i="50"/>
  <c r="DW77" i="50"/>
  <c r="J142" i="50"/>
  <c r="R210" i="50"/>
  <c r="EK148" i="50"/>
  <c r="BU187" i="50"/>
  <c r="EK172" i="50"/>
  <c r="DZ142" i="50"/>
  <c r="AC210" i="50"/>
  <c r="EK189" i="50"/>
  <c r="BZ142" i="50"/>
  <c r="CS210" i="50"/>
  <c r="CC142" i="50"/>
  <c r="EX210" i="50"/>
  <c r="EK94" i="50"/>
  <c r="AC16" i="26"/>
  <c r="CZ206" i="50"/>
  <c r="CI185" i="50"/>
  <c r="BU146" i="50"/>
  <c r="CI172" i="50"/>
  <c r="BU141" i="50"/>
  <c r="CZ165" i="50"/>
  <c r="CI96" i="50"/>
  <c r="J173" i="50"/>
  <c r="FB189" i="50"/>
  <c r="DW103" i="50"/>
  <c r="BN173" i="50"/>
  <c r="BH156" i="50"/>
  <c r="AR156" i="50"/>
  <c r="DW191" i="50"/>
  <c r="EK191" i="50"/>
  <c r="BU77" i="50"/>
  <c r="BK196" i="50"/>
  <c r="CZ142" i="50"/>
  <c r="CI131" i="50"/>
  <c r="BU203" i="50"/>
  <c r="CZ107" i="50"/>
  <c r="CI130" i="50"/>
  <c r="BU107" i="50"/>
  <c r="CI150" i="50"/>
  <c r="BU125" i="50"/>
  <c r="CZ141" i="50"/>
  <c r="CI80" i="50"/>
  <c r="BU94" i="50"/>
  <c r="AW173" i="50"/>
  <c r="CE210" i="50"/>
  <c r="T173" i="50"/>
  <c r="AG227" i="50"/>
  <c r="AB196" i="50"/>
  <c r="AS173" i="50"/>
  <c r="DN227" i="50"/>
  <c r="EU196" i="50"/>
  <c r="BQ227" i="50"/>
  <c r="CG196" i="50"/>
  <c r="DW222" i="50"/>
  <c r="FB207" i="50"/>
  <c r="AD142" i="50"/>
  <c r="BU117" i="50"/>
  <c r="EK120" i="50"/>
  <c r="EK201" i="50"/>
  <c r="AX196" i="50"/>
  <c r="BU199" i="50"/>
  <c r="DK173" i="50"/>
  <c r="ER173" i="50"/>
  <c r="CE227" i="50"/>
  <c r="EK219" i="50"/>
  <c r="EJ187" i="50"/>
  <c r="BS195" i="50"/>
  <c r="BJ141" i="50"/>
  <c r="BL172" i="50"/>
  <c r="AH195" i="50"/>
  <c r="FA145" i="50"/>
  <c r="DV138" i="50"/>
  <c r="CY87" i="50"/>
  <c r="CH118" i="50"/>
  <c r="EJ96" i="50"/>
  <c r="AI209" i="50"/>
  <c r="CX141" i="50"/>
  <c r="AX141" i="50"/>
  <c r="DL172" i="50"/>
  <c r="D195" i="50"/>
  <c r="FA132" i="50"/>
  <c r="AK226" i="50"/>
  <c r="CY102" i="50"/>
  <c r="CH194" i="50"/>
  <c r="EJ121" i="50"/>
  <c r="CH150" i="50"/>
  <c r="DN141" i="50"/>
  <c r="CB172" i="50"/>
  <c r="CV155" i="50"/>
  <c r="BT91" i="50"/>
  <c r="DV124" i="50"/>
  <c r="C226" i="50"/>
  <c r="CH96" i="50"/>
  <c r="EJ74" i="50"/>
  <c r="EJ184" i="50"/>
  <c r="L195" i="50"/>
  <c r="K141" i="50"/>
  <c r="CO172" i="50"/>
  <c r="C195" i="50"/>
  <c r="DV103" i="50"/>
  <c r="DV225" i="50"/>
  <c r="CY149" i="50"/>
  <c r="EZ195" i="50"/>
  <c r="EJ154" i="50"/>
  <c r="AG195" i="50"/>
  <c r="BM226" i="50"/>
  <c r="DL209" i="50"/>
  <c r="AK155" i="50"/>
  <c r="BT148" i="50"/>
  <c r="DV172" i="50"/>
  <c r="CY132" i="50"/>
  <c r="CC172" i="50"/>
  <c r="BA195" i="50"/>
  <c r="FA107" i="50"/>
  <c r="EY226" i="50"/>
  <c r="CA209" i="50"/>
  <c r="BG155" i="50"/>
  <c r="AV155" i="50"/>
  <c r="CU209" i="50"/>
  <c r="EI141" i="50"/>
  <c r="CY165" i="50"/>
  <c r="EY195" i="50"/>
  <c r="EJ128" i="50"/>
  <c r="FA169" i="50"/>
  <c r="EU226" i="50"/>
  <c r="AE209" i="50"/>
  <c r="BM155" i="50"/>
  <c r="BT122" i="50"/>
  <c r="DV94" i="50"/>
  <c r="BE141" i="50"/>
  <c r="CX172" i="50"/>
  <c r="EU195" i="50"/>
  <c r="FA90" i="50"/>
  <c r="BT116" i="50"/>
  <c r="T226" i="50"/>
  <c r="CH91" i="50"/>
  <c r="L155" i="50"/>
  <c r="EZ209" i="50"/>
  <c r="DV221" i="50"/>
  <c r="CY135" i="50"/>
  <c r="AT172" i="50"/>
  <c r="T195" i="50"/>
  <c r="FA201" i="50"/>
  <c r="ET226" i="50"/>
  <c r="BJ209" i="50"/>
  <c r="CF101" i="50"/>
  <c r="CF92" i="50"/>
  <c r="AF207" i="50"/>
  <c r="BJ207" i="50"/>
  <c r="BK194" i="50"/>
  <c r="D171" i="50"/>
  <c r="CX126" i="50"/>
  <c r="BA154" i="50"/>
  <c r="BE140" i="50"/>
  <c r="EZ193" i="50"/>
  <c r="EZ80" i="50"/>
  <c r="DP225" i="50"/>
  <c r="C140" i="50"/>
  <c r="EH208" i="50"/>
  <c r="DZ208" i="50"/>
  <c r="L208" i="50"/>
  <c r="EI126" i="50"/>
  <c r="EZ170" i="50"/>
  <c r="N225" i="50"/>
  <c r="BS115" i="50"/>
  <c r="EZ86" i="50"/>
  <c r="EI112" i="50"/>
  <c r="EA171" i="50"/>
  <c r="CG95" i="50"/>
  <c r="DU115" i="50"/>
  <c r="CF84" i="50"/>
  <c r="AZ207" i="50"/>
  <c r="CA207" i="50"/>
  <c r="DQ207" i="50"/>
  <c r="EH194" i="50"/>
  <c r="CG150" i="50"/>
  <c r="DU223" i="50"/>
  <c r="EX154" i="50"/>
  <c r="EI165" i="50"/>
  <c r="DU117" i="50"/>
  <c r="CX207" i="50"/>
  <c r="AX154" i="50"/>
  <c r="AP140" i="50"/>
  <c r="Z194" i="50"/>
  <c r="BO194" i="50"/>
  <c r="ER208" i="50"/>
  <c r="CX187" i="50"/>
  <c r="EZ133" i="50"/>
  <c r="AT225" i="50"/>
  <c r="BS86" i="50"/>
  <c r="AP225" i="50"/>
  <c r="EZ220" i="50"/>
  <c r="EW171" i="50"/>
  <c r="BS193" i="50"/>
  <c r="D208" i="50"/>
  <c r="EI91" i="50"/>
  <c r="CQ139" i="50"/>
  <c r="D224" i="50"/>
  <c r="DM224" i="50"/>
  <c r="BK224" i="50"/>
  <c r="AU154" i="50"/>
  <c r="CC140" i="50"/>
  <c r="BB194" i="50"/>
  <c r="AC171" i="50"/>
  <c r="CX80" i="50"/>
  <c r="EV154" i="50"/>
  <c r="BR208" i="50"/>
  <c r="DU85" i="50"/>
  <c r="CX220" i="50"/>
  <c r="EH225" i="50"/>
  <c r="DY140" i="50"/>
  <c r="L225" i="50"/>
  <c r="BS206" i="50"/>
  <c r="W208" i="50"/>
  <c r="EZ194" i="50"/>
  <c r="EZ112" i="50"/>
  <c r="BW225" i="50"/>
  <c r="DU111" i="50"/>
  <c r="BS88" i="50"/>
  <c r="EI98" i="50"/>
  <c r="BM171" i="50"/>
  <c r="CG86" i="50"/>
  <c r="AG140" i="50"/>
  <c r="CS170" i="50"/>
  <c r="BI153" i="50"/>
  <c r="AU153" i="50"/>
  <c r="CQ153" i="50"/>
  <c r="CX83" i="50"/>
  <c r="CS154" i="50"/>
  <c r="EI222" i="50"/>
  <c r="CE194" i="50"/>
  <c r="CG154" i="50"/>
  <c r="M154" i="50"/>
  <c r="AI140" i="50"/>
  <c r="BI194" i="50"/>
  <c r="CQ208" i="50"/>
  <c r="CX113" i="50"/>
  <c r="AA154" i="50"/>
  <c r="EZ151" i="50"/>
  <c r="AZ225" i="50"/>
  <c r="BS132" i="50"/>
  <c r="AT208" i="50"/>
  <c r="CX150" i="50"/>
  <c r="EE171" i="50"/>
  <c r="BS219" i="50"/>
  <c r="DU102" i="50"/>
  <c r="CW140" i="50"/>
  <c r="EZ224" i="50"/>
  <c r="EH171" i="50"/>
  <c r="V172" i="50"/>
  <c r="AP155" i="50"/>
  <c r="BT200" i="50"/>
  <c r="DV129" i="50"/>
  <c r="CY138" i="50"/>
  <c r="CH133" i="50"/>
  <c r="EJ151" i="50"/>
  <c r="FA105" i="50"/>
  <c r="EH226" i="50"/>
  <c r="DO209" i="50"/>
  <c r="EG155" i="50"/>
  <c r="BT95" i="50"/>
  <c r="DV164" i="50"/>
  <c r="DS141" i="50"/>
  <c r="CY223" i="50"/>
  <c r="CC195" i="50"/>
  <c r="EJ221" i="50"/>
  <c r="BT81" i="50"/>
  <c r="AQ226" i="50"/>
  <c r="BI209" i="50"/>
  <c r="Z155" i="50"/>
  <c r="BT207" i="50"/>
  <c r="DV139" i="50"/>
  <c r="CY116" i="50"/>
  <c r="CU172" i="50"/>
  <c r="BY195" i="50"/>
  <c r="FA91" i="50"/>
  <c r="CG226" i="50"/>
  <c r="DP209" i="50"/>
  <c r="CF155" i="50"/>
  <c r="DJ155" i="50"/>
  <c r="C141" i="50"/>
  <c r="DV208" i="50"/>
  <c r="CY141" i="50"/>
  <c r="CG195" i="50"/>
  <c r="EJ202" i="50"/>
  <c r="FA136" i="50"/>
  <c r="AT226" i="50"/>
  <c r="DY209" i="50"/>
  <c r="AQ155" i="50"/>
  <c r="BT192" i="50"/>
  <c r="DV117" i="50"/>
  <c r="EB141" i="50"/>
  <c r="EE172" i="50"/>
  <c r="AT195" i="50"/>
  <c r="FA101" i="50"/>
  <c r="EB226" i="50"/>
  <c r="CY94" i="50"/>
  <c r="CH186" i="50"/>
  <c r="EJ113" i="50"/>
  <c r="CH114" i="50"/>
  <c r="ES141" i="50"/>
  <c r="EG172" i="50"/>
  <c r="H172" i="50"/>
  <c r="BT135" i="50"/>
  <c r="DV83" i="50"/>
  <c r="R226" i="50"/>
  <c r="CH95" i="50"/>
  <c r="AB15" i="26"/>
  <c r="EJ166" i="50"/>
  <c r="DY195" i="50"/>
  <c r="I141" i="50"/>
  <c r="Z172" i="50"/>
  <c r="AV195" i="50"/>
  <c r="FA134" i="50"/>
  <c r="DV186" i="50"/>
  <c r="CY112" i="50"/>
  <c r="CH207" i="50"/>
  <c r="EJ123" i="50"/>
  <c r="CH138" i="50"/>
  <c r="ED141" i="50"/>
  <c r="BQ209" i="50"/>
  <c r="M172" i="50"/>
  <c r="BT121" i="50"/>
  <c r="FA209" i="50"/>
  <c r="AG226" i="50"/>
  <c r="CY188" i="50"/>
  <c r="CH169" i="50"/>
  <c r="EJ206" i="50"/>
  <c r="BN195" i="50"/>
  <c r="AA141" i="50"/>
  <c r="AQ172" i="50"/>
  <c r="CQ155" i="50"/>
  <c r="BT126" i="50"/>
  <c r="DV106" i="50"/>
  <c r="CY90" i="50"/>
  <c r="CH172" i="50"/>
  <c r="EJ101" i="50"/>
  <c r="FA94" i="50"/>
  <c r="BT124" i="50"/>
  <c r="EW209" i="50"/>
  <c r="G172" i="50"/>
  <c r="BT131" i="50"/>
  <c r="EK76" i="50"/>
  <c r="BU207" i="50"/>
  <c r="CZ194" i="50"/>
  <c r="CI165" i="50"/>
  <c r="BU134" i="50"/>
  <c r="CZ199" i="50"/>
  <c r="Q196" i="50"/>
  <c r="CZ118" i="50"/>
  <c r="CI202" i="50"/>
  <c r="BU167" i="50"/>
  <c r="CZ83" i="50"/>
  <c r="CI106" i="50"/>
  <c r="BU83" i="50"/>
  <c r="CI99" i="50"/>
  <c r="BU74" i="50"/>
  <c r="D173" i="50"/>
  <c r="W227" i="50"/>
  <c r="AF196" i="50"/>
  <c r="AB173" i="50"/>
  <c r="AL173" i="50"/>
  <c r="CB173" i="50"/>
  <c r="BE227" i="50"/>
  <c r="DS196" i="50"/>
  <c r="CX173" i="50"/>
  <c r="FB79" i="50"/>
  <c r="AK156" i="50"/>
  <c r="DZ210" i="50"/>
  <c r="CI164" i="50"/>
  <c r="CI88" i="50"/>
  <c r="BU171" i="50"/>
  <c r="FA142" i="50"/>
  <c r="CI129" i="50"/>
  <c r="BU201" i="50"/>
  <c r="CZ167" i="50"/>
  <c r="CI136" i="50"/>
  <c r="BU113" i="50"/>
  <c r="CZ121" i="50"/>
  <c r="EE156" i="50"/>
  <c r="CZ139" i="50"/>
  <c r="CI86" i="50"/>
  <c r="BU100" i="50"/>
  <c r="AA16" i="26"/>
  <c r="N227" i="50"/>
  <c r="DK196" i="50"/>
  <c r="DZ227" i="50"/>
  <c r="BX196" i="50"/>
  <c r="AO173" i="50"/>
  <c r="BY227" i="50"/>
  <c r="CA196" i="50"/>
  <c r="BE173" i="50"/>
  <c r="EK188" i="50"/>
  <c r="DW220" i="50"/>
  <c r="FB219" i="50"/>
  <c r="T156" i="50"/>
  <c r="DW145" i="50"/>
  <c r="M227" i="50"/>
  <c r="Q173" i="50"/>
  <c r="CP196" i="50"/>
  <c r="EJ173" i="50"/>
  <c r="DW167" i="50"/>
  <c r="BK142" i="50"/>
  <c r="DR227" i="50"/>
  <c r="BU163" i="50"/>
  <c r="CZ92" i="50"/>
  <c r="CT227" i="50"/>
  <c r="CD196" i="50"/>
  <c r="EH173" i="50"/>
  <c r="EJ227" i="50"/>
  <c r="D156" i="50"/>
  <c r="DW195" i="50"/>
  <c r="EK85" i="50"/>
  <c r="DW221" i="50"/>
  <c r="FB199" i="50"/>
  <c r="AF156" i="50"/>
  <c r="DW127" i="50"/>
  <c r="FB196" i="50"/>
  <c r="BB156" i="50"/>
  <c r="FB84" i="50"/>
  <c r="BE156" i="50"/>
  <c r="DW88" i="50"/>
  <c r="FB101" i="50"/>
  <c r="CH156" i="50"/>
  <c r="EK220" i="50"/>
  <c r="BT142" i="50"/>
  <c r="EK116" i="50"/>
  <c r="AS142" i="50"/>
  <c r="DN210" i="50"/>
  <c r="EK123" i="50"/>
  <c r="D142" i="50"/>
  <c r="EK105" i="50"/>
  <c r="EI196" i="50"/>
  <c r="DW192" i="50"/>
  <c r="EE173" i="50"/>
  <c r="C227" i="50"/>
  <c r="FB151" i="50"/>
  <c r="CI193" i="50"/>
  <c r="CP156" i="50"/>
  <c r="AS227" i="50"/>
  <c r="BB196" i="50"/>
  <c r="BC173" i="50"/>
  <c r="DQ227" i="50"/>
  <c r="EG196" i="50"/>
  <c r="DU173" i="50"/>
  <c r="DW89" i="50"/>
  <c r="EX173" i="50"/>
  <c r="DU227" i="50"/>
  <c r="F156" i="50"/>
  <c r="DW217" i="50"/>
  <c r="FB185" i="50"/>
  <c r="AH156" i="50"/>
  <c r="FB121" i="50"/>
  <c r="ER156" i="50"/>
  <c r="DW154" i="50"/>
  <c r="FB80" i="50"/>
  <c r="CC156" i="50"/>
  <c r="DW76" i="50"/>
  <c r="BH142" i="50"/>
  <c r="EK200" i="50"/>
  <c r="U142" i="50"/>
  <c r="AA210" i="50"/>
  <c r="EK112" i="50"/>
  <c r="BJ227" i="50"/>
  <c r="EK193" i="50"/>
  <c r="CI173" i="50"/>
  <c r="CH142" i="50"/>
  <c r="S196" i="50"/>
  <c r="I196" i="50"/>
  <c r="CZ203" i="50"/>
  <c r="CV227" i="50"/>
  <c r="CX196" i="50"/>
  <c r="CH173" i="50"/>
  <c r="FB221" i="50"/>
  <c r="DK156" i="50"/>
  <c r="DW147" i="50"/>
  <c r="CI145" i="50"/>
  <c r="DW171" i="50"/>
  <c r="FB149" i="50"/>
  <c r="AD156" i="50"/>
  <c r="DW188" i="50"/>
  <c r="FB98" i="50"/>
  <c r="ED156" i="50"/>
  <c r="FB138" i="50"/>
  <c r="CE156" i="50"/>
  <c r="DW93" i="50"/>
  <c r="AW142" i="50"/>
  <c r="DJ210" i="50"/>
  <c r="EK170" i="50"/>
  <c r="BU126" i="50"/>
  <c r="EK167" i="50"/>
  <c r="CQ142" i="50"/>
  <c r="BD210" i="50"/>
  <c r="EK91" i="50"/>
  <c r="BU154" i="50"/>
  <c r="CI171" i="50"/>
  <c r="CZ94" i="50"/>
  <c r="CX227" i="50"/>
  <c r="FB166" i="50"/>
  <c r="CT210" i="50"/>
  <c r="DQ156" i="50"/>
  <c r="CZ74" i="50"/>
  <c r="AB227" i="50"/>
  <c r="DK142" i="50"/>
  <c r="AZ210" i="50"/>
  <c r="EK126" i="50"/>
  <c r="AL142" i="50"/>
  <c r="BB210" i="50"/>
  <c r="EK125" i="50"/>
  <c r="BM196" i="50"/>
  <c r="EK145" i="50"/>
  <c r="EC142" i="50"/>
  <c r="CC210" i="50"/>
  <c r="EK75" i="50"/>
  <c r="EI142" i="50"/>
  <c r="CZ219" i="50"/>
  <c r="BU204" i="50"/>
  <c r="CZ166" i="50"/>
  <c r="CI149" i="50"/>
  <c r="BU124" i="50"/>
  <c r="CZ187" i="50"/>
  <c r="CI148" i="50"/>
  <c r="BU123" i="50"/>
  <c r="CI107" i="50"/>
  <c r="BU82" i="50"/>
  <c r="H173" i="50"/>
  <c r="BH227" i="50"/>
  <c r="DW84" i="50"/>
  <c r="FB164" i="50"/>
  <c r="AP173" i="50"/>
  <c r="FB97" i="50"/>
  <c r="FB191" i="50"/>
  <c r="EK207" i="50"/>
  <c r="V156" i="50"/>
  <c r="AM156" i="50"/>
  <c r="DW101" i="50"/>
  <c r="DW75" i="50"/>
  <c r="AV142" i="50"/>
  <c r="X210" i="50"/>
  <c r="EK154" i="50"/>
  <c r="BJ142" i="50"/>
  <c r="AL210" i="50"/>
  <c r="EQ142" i="50"/>
  <c r="AD210" i="50"/>
  <c r="EK195" i="50"/>
  <c r="EB142" i="50"/>
  <c r="EC210" i="50"/>
  <c r="EK101" i="50"/>
  <c r="P156" i="50"/>
  <c r="EK92" i="50"/>
  <c r="DV142" i="50"/>
  <c r="CZ222" i="50"/>
  <c r="CI191" i="50"/>
  <c r="BU152" i="50"/>
  <c r="CZ116" i="50"/>
  <c r="CC196" i="50"/>
  <c r="CZ163" i="50"/>
  <c r="CI102" i="50"/>
  <c r="BU79" i="50"/>
  <c r="CZ86" i="50"/>
  <c r="CI226" i="50"/>
  <c r="BU165" i="50"/>
  <c r="BU142" i="50"/>
  <c r="BZ173" i="50"/>
  <c r="CZ110" i="50"/>
  <c r="BW227" i="50"/>
  <c r="F227" i="50"/>
  <c r="EK124" i="50"/>
  <c r="AR142" i="50"/>
  <c r="AJ210" i="50"/>
  <c r="EK131" i="50"/>
  <c r="DQ142" i="50"/>
  <c r="DS210" i="50"/>
  <c r="EU142" i="50"/>
  <c r="BO210" i="50"/>
  <c r="EK81" i="50"/>
  <c r="DU142" i="50"/>
  <c r="CZ225" i="50"/>
  <c r="CI217" i="50"/>
  <c r="BU186" i="50"/>
  <c r="CI147" i="50"/>
  <c r="BU122" i="50"/>
  <c r="CZ193" i="50"/>
  <c r="CI154" i="50"/>
  <c r="BU129" i="50"/>
  <c r="CZ137" i="50"/>
  <c r="DV156" i="50"/>
  <c r="E173" i="50"/>
  <c r="L227" i="50"/>
  <c r="DY196" i="50"/>
  <c r="AH173" i="50"/>
  <c r="EK208" i="50"/>
  <c r="BP210" i="50"/>
  <c r="FB188" i="50"/>
  <c r="F210" i="50"/>
  <c r="BF210" i="50"/>
  <c r="CI220" i="50"/>
  <c r="EK83" i="50"/>
  <c r="CZ218" i="50"/>
  <c r="AL196" i="50"/>
  <c r="CI108" i="50"/>
  <c r="BU85" i="50"/>
  <c r="CZ100" i="50"/>
  <c r="CI79" i="50"/>
  <c r="K196" i="50"/>
  <c r="AY173" i="50"/>
  <c r="CZ164" i="50"/>
  <c r="I173" i="50"/>
  <c r="AY227" i="50"/>
  <c r="AG196" i="50"/>
  <c r="BX173" i="50"/>
  <c r="AT227" i="50"/>
  <c r="DN196" i="50"/>
  <c r="EC227" i="50"/>
  <c r="EE196" i="50"/>
  <c r="CU173" i="50"/>
  <c r="DT227" i="50"/>
  <c r="BT196" i="50"/>
  <c r="DW219" i="50"/>
  <c r="CI206" i="50"/>
  <c r="DW115" i="50"/>
  <c r="FB192" i="50"/>
  <c r="BZ156" i="50"/>
  <c r="DW122" i="50"/>
  <c r="CQ227" i="50"/>
  <c r="CC173" i="50"/>
  <c r="BA142" i="50"/>
  <c r="AN210" i="50"/>
  <c r="BP156" i="50"/>
  <c r="DW206" i="50"/>
  <c r="EK136" i="50"/>
  <c r="P142" i="50"/>
  <c r="ER142" i="50"/>
  <c r="CI190" i="50"/>
  <c r="BU151" i="50"/>
  <c r="CZ81" i="50"/>
  <c r="CI104" i="50"/>
  <c r="BU81" i="50"/>
  <c r="CZ88" i="50"/>
  <c r="S210" i="50"/>
  <c r="CZ106" i="50"/>
  <c r="CI93" i="50"/>
  <c r="AW196" i="50"/>
  <c r="DJ173" i="50"/>
  <c r="P227" i="50"/>
  <c r="AA196" i="50"/>
  <c r="AP227" i="50"/>
  <c r="AU196" i="50"/>
  <c r="DN173" i="50"/>
  <c r="CB227" i="50"/>
  <c r="BO196" i="50"/>
  <c r="CE173" i="50"/>
  <c r="EK117" i="50"/>
  <c r="DW199" i="50"/>
  <c r="FB171" i="50"/>
  <c r="Y156" i="50"/>
  <c r="DW111" i="50"/>
  <c r="BU195" i="50"/>
  <c r="BT210" i="50"/>
  <c r="BW173" i="50"/>
  <c r="FB226" i="50"/>
  <c r="FB134" i="50"/>
  <c r="DW187" i="50"/>
  <c r="BS196" i="50"/>
  <c r="CI76" i="50"/>
  <c r="BU90" i="50"/>
  <c r="Z16" i="26"/>
  <c r="I227" i="50"/>
  <c r="T196" i="50"/>
  <c r="CO173" i="50"/>
  <c r="CZ147" i="50"/>
  <c r="V173" i="50"/>
  <c r="CO227" i="50"/>
  <c r="AE196" i="50"/>
  <c r="AU173" i="50"/>
  <c r="ES227" i="50"/>
  <c r="BD196" i="50"/>
  <c r="BF227" i="50"/>
  <c r="BQ196" i="50"/>
  <c r="EZ173" i="50"/>
  <c r="FB222" i="50"/>
  <c r="O156" i="50"/>
  <c r="DW169" i="50"/>
  <c r="CI97" i="50"/>
  <c r="DW166" i="50"/>
  <c r="FB94" i="50"/>
  <c r="DP156" i="50"/>
  <c r="DW90" i="50"/>
  <c r="FB225" i="50"/>
  <c r="DW165" i="50"/>
  <c r="AO156" i="50"/>
  <c r="DW83" i="50"/>
  <c r="EK168" i="50"/>
  <c r="DO210" i="50"/>
  <c r="BU164" i="50"/>
  <c r="C156" i="50"/>
  <c r="DW117" i="50"/>
  <c r="FB187" i="50"/>
  <c r="CO156" i="50"/>
  <c r="DW125" i="50"/>
  <c r="FB194" i="50"/>
  <c r="DN156" i="50"/>
  <c r="DW124" i="50"/>
  <c r="FB203" i="50"/>
  <c r="DW142" i="50"/>
  <c r="FB78" i="50"/>
  <c r="BO156" i="50"/>
  <c r="DW74" i="50"/>
  <c r="FB87" i="50"/>
  <c r="G210" i="50"/>
  <c r="O142" i="50"/>
  <c r="V210" i="50"/>
  <c r="EK142" i="50"/>
  <c r="AE142" i="50"/>
  <c r="AU210" i="50"/>
  <c r="EK141" i="50"/>
  <c r="EX196" i="50"/>
  <c r="EK100" i="50"/>
  <c r="CG142" i="50"/>
  <c r="CZ209" i="50"/>
  <c r="CI201" i="50"/>
  <c r="DJ156" i="50"/>
  <c r="CI110" i="50"/>
  <c r="AR210" i="50"/>
  <c r="EK84" i="50"/>
  <c r="EK107" i="50"/>
  <c r="FB73" i="50"/>
  <c r="AG142" i="50"/>
  <c r="BU219" i="50"/>
  <c r="EZ210" i="50"/>
  <c r="DA189" i="50"/>
  <c r="AF197" i="50"/>
  <c r="DW211" i="50"/>
  <c r="BV208" i="50"/>
  <c r="BG174" i="50"/>
  <c r="DA157" i="50"/>
  <c r="Z197" i="50"/>
  <c r="EL223" i="50"/>
  <c r="BV201" i="50"/>
  <c r="EJ174" i="50"/>
  <c r="DA131" i="50"/>
  <c r="AR197" i="50"/>
  <c r="EL203" i="50"/>
  <c r="BV173" i="50"/>
  <c r="BS174" i="50"/>
  <c r="DA129" i="50"/>
  <c r="AO197" i="50"/>
  <c r="EL207" i="50"/>
  <c r="BV189" i="50"/>
  <c r="CI174" i="50"/>
  <c r="DA103" i="50"/>
  <c r="BY197" i="50"/>
  <c r="EL165" i="50"/>
  <c r="BV141" i="50"/>
  <c r="DX207" i="50"/>
  <c r="DA85" i="50"/>
  <c r="DO197" i="50"/>
  <c r="EL196" i="50"/>
  <c r="BV166" i="50"/>
  <c r="DX140" i="50"/>
  <c r="H157" i="50"/>
  <c r="CV197" i="50"/>
  <c r="EL170" i="50"/>
  <c r="BV140" i="50"/>
  <c r="DX114" i="50"/>
  <c r="W157" i="50"/>
  <c r="CY197" i="50"/>
  <c r="EL88" i="50"/>
  <c r="BV114" i="50"/>
  <c r="DX191" i="50"/>
  <c r="AX157" i="50"/>
  <c r="EI197" i="50"/>
  <c r="EL86" i="50"/>
  <c r="BV112" i="50"/>
  <c r="DX197" i="50"/>
  <c r="U157" i="50"/>
  <c r="FB197" i="50"/>
  <c r="EL148" i="50"/>
  <c r="BV86" i="50"/>
  <c r="DX149" i="50"/>
  <c r="AA157" i="50"/>
  <c r="FC210" i="50"/>
  <c r="EL128" i="50"/>
  <c r="BV107" i="50"/>
  <c r="DX138" i="50"/>
  <c r="K157" i="50"/>
  <c r="EH197" i="50"/>
  <c r="EL168" i="50"/>
  <c r="BV138" i="50"/>
  <c r="DX120" i="50"/>
  <c r="AY157" i="50"/>
  <c r="EJ197" i="50"/>
  <c r="EL78" i="50"/>
  <c r="BV104" i="50"/>
  <c r="DX189" i="50"/>
  <c r="BW157" i="50"/>
  <c r="CZ197" i="50"/>
  <c r="EL84" i="50"/>
  <c r="BV110" i="50"/>
  <c r="DX187" i="50"/>
  <c r="P157" i="50"/>
  <c r="CI197" i="50"/>
  <c r="EL154" i="50"/>
  <c r="BV92" i="50"/>
  <c r="DX147" i="50"/>
  <c r="BJ157" i="50"/>
  <c r="FC223" i="50"/>
  <c r="EL126" i="50"/>
  <c r="BV105" i="50"/>
  <c r="DX129" i="50"/>
  <c r="BL157" i="50"/>
  <c r="FC147" i="50"/>
  <c r="CJ211" i="50"/>
  <c r="H35" i="50"/>
  <c r="DX108" i="50"/>
  <c r="EC157" i="50"/>
  <c r="FC129" i="50"/>
  <c r="CJ196" i="50"/>
  <c r="AC23" i="50"/>
  <c r="DX74" i="50"/>
  <c r="CC157" i="50"/>
  <c r="FC196" i="50"/>
  <c r="CJ170" i="50"/>
  <c r="H33" i="50"/>
  <c r="DX80" i="50"/>
  <c r="BO157" i="50"/>
  <c r="FC194" i="50"/>
  <c r="CJ184" i="50"/>
  <c r="AH50" i="50"/>
  <c r="AI34" i="50"/>
  <c r="CE157" i="50"/>
  <c r="FC154" i="50"/>
  <c r="CJ134" i="50"/>
  <c r="M228" i="50"/>
  <c r="K30" i="50"/>
  <c r="CX157" i="50"/>
  <c r="FC134" i="50"/>
  <c r="DA195" i="50"/>
  <c r="EL211" i="50"/>
  <c r="BV193" i="50"/>
  <c r="BT174" i="50"/>
  <c r="DA123" i="50"/>
  <c r="AS197" i="50"/>
  <c r="EL195" i="50"/>
  <c r="BV165" i="50"/>
  <c r="DX211" i="50"/>
  <c r="DA89" i="50"/>
  <c r="ES197" i="50"/>
  <c r="EL155" i="50"/>
  <c r="BV135" i="50"/>
  <c r="DX206" i="50"/>
  <c r="DA95" i="50"/>
  <c r="BZ197" i="50"/>
  <c r="EL153" i="50"/>
  <c r="BV133" i="50"/>
  <c r="DX222" i="50"/>
  <c r="DA77" i="50"/>
  <c r="CR197" i="50"/>
  <c r="EL127" i="50"/>
  <c r="BV200" i="50"/>
  <c r="DX172" i="50"/>
  <c r="DA88" i="50"/>
  <c r="EE197" i="50"/>
  <c r="EL204" i="50"/>
  <c r="BV172" i="50"/>
  <c r="DX201" i="50"/>
  <c r="T157" i="50"/>
  <c r="CH197" i="50"/>
  <c r="EL80" i="50"/>
  <c r="BV106" i="50"/>
  <c r="DX173" i="50"/>
  <c r="CO157" i="50"/>
  <c r="FC220" i="50"/>
  <c r="EL132" i="50"/>
  <c r="BV111" i="50"/>
  <c r="DX143" i="50"/>
  <c r="BX157" i="50"/>
  <c r="FC219" i="50"/>
  <c r="EL138" i="50"/>
  <c r="BV78" i="50"/>
  <c r="DX141" i="50"/>
  <c r="AI157" i="50"/>
  <c r="FC225" i="50"/>
  <c r="EL120" i="50"/>
  <c r="BV99" i="50"/>
  <c r="DX115" i="50"/>
  <c r="BA157" i="50"/>
  <c r="FC187" i="50"/>
  <c r="EL93" i="50"/>
  <c r="AH59" i="50"/>
  <c r="DX97" i="50"/>
  <c r="DY157" i="50"/>
  <c r="BT197" i="50"/>
  <c r="EL164" i="50"/>
  <c r="BV96" i="50"/>
  <c r="DX171" i="50"/>
  <c r="DZ157" i="50"/>
  <c r="FC226" i="50"/>
  <c r="EL130" i="50"/>
  <c r="BV109" i="50"/>
  <c r="DX133" i="50"/>
  <c r="AC157" i="50"/>
  <c r="FC217" i="50"/>
  <c r="EL112" i="50"/>
  <c r="BV91" i="50"/>
  <c r="DX139" i="50"/>
  <c r="AD157" i="50"/>
  <c r="FC211" i="50"/>
  <c r="EL118" i="50"/>
  <c r="BV97" i="50"/>
  <c r="DX121" i="50"/>
  <c r="ER157" i="50"/>
  <c r="FC185" i="50"/>
  <c r="EL83" i="50"/>
  <c r="AC36" i="50"/>
  <c r="DX95" i="50"/>
  <c r="BB157" i="50"/>
  <c r="FC153" i="50"/>
  <c r="CJ188" i="50"/>
  <c r="AH58" i="50"/>
  <c r="AK46" i="50"/>
  <c r="BP157" i="50"/>
  <c r="FC188" i="50"/>
  <c r="CJ156" i="50"/>
  <c r="F228" i="50"/>
  <c r="AK43" i="50"/>
  <c r="DT157" i="50"/>
  <c r="FC138" i="50"/>
  <c r="CJ128" i="50"/>
  <c r="L228" i="50"/>
  <c r="AK44" i="50"/>
  <c r="BR157" i="50"/>
  <c r="FC146" i="50"/>
  <c r="CJ126" i="50"/>
  <c r="DJ228" i="50"/>
  <c r="AK56" i="50"/>
  <c r="CG157" i="50"/>
  <c r="FC126" i="50"/>
  <c r="CJ199" i="50"/>
  <c r="P228" i="50"/>
  <c r="AI26" i="50"/>
  <c r="AB17" i="26"/>
  <c r="FC100" i="50"/>
  <c r="CJ171" i="50"/>
  <c r="AZ228" i="50"/>
  <c r="AL157" i="50"/>
  <c r="FC193" i="50"/>
  <c r="EL91" i="50"/>
  <c r="AH55" i="50"/>
  <c r="DX103" i="50"/>
  <c r="AM157" i="50"/>
  <c r="FC165" i="50"/>
  <c r="CJ221" i="50"/>
  <c r="AH52" i="50"/>
  <c r="DX106" i="50"/>
  <c r="BC157" i="50"/>
  <c r="FC135" i="50"/>
  <c r="CJ222" i="50"/>
  <c r="AH57" i="50"/>
  <c r="DX75" i="50"/>
  <c r="CA157" i="50"/>
  <c r="FC133" i="50"/>
  <c r="CJ228" i="50"/>
  <c r="AC22" i="50"/>
  <c r="DX94" i="50"/>
  <c r="BE157" i="50"/>
  <c r="FC202" i="50"/>
  <c r="CJ174" i="50"/>
  <c r="AH46" i="50"/>
  <c r="AK50" i="50"/>
  <c r="CD157" i="50"/>
  <c r="FC174" i="50"/>
  <c r="CJ208" i="50"/>
  <c r="DK228" i="50"/>
  <c r="AK53" i="50"/>
  <c r="EK157" i="50"/>
  <c r="FC108" i="50"/>
  <c r="CJ189" i="50"/>
  <c r="AF228" i="50"/>
  <c r="AW211" i="50"/>
  <c r="I143" i="50"/>
  <c r="FC74" i="50"/>
  <c r="CJ99" i="50"/>
  <c r="AB228" i="50"/>
  <c r="M211" i="50"/>
  <c r="J143" i="50"/>
  <c r="FC80" i="50"/>
  <c r="CJ97" i="50"/>
  <c r="BX228" i="50"/>
  <c r="D211" i="50"/>
  <c r="BI143" i="50"/>
  <c r="FC99" i="50"/>
  <c r="CJ163" i="50"/>
  <c r="AT228" i="50"/>
  <c r="T211" i="50"/>
  <c r="Q143" i="50"/>
  <c r="FC73" i="50"/>
  <c r="CJ141" i="50"/>
  <c r="BY228" i="50"/>
  <c r="AK49" i="50"/>
  <c r="F143" i="50"/>
  <c r="FC98" i="50"/>
  <c r="CJ187" i="50"/>
  <c r="AG228" i="50"/>
  <c r="AE17" i="26"/>
  <c r="L143" i="50"/>
  <c r="FC109" i="50"/>
  <c r="CJ89" i="50"/>
  <c r="AP228" i="50"/>
  <c r="N211" i="50"/>
  <c r="R143" i="50"/>
  <c r="FC91" i="50"/>
  <c r="CJ95" i="50"/>
  <c r="AC228" i="50"/>
  <c r="I211" i="50"/>
  <c r="X143" i="50"/>
  <c r="FC97" i="50"/>
  <c r="CJ77" i="50"/>
  <c r="CP228" i="50"/>
  <c r="DY211" i="50"/>
  <c r="AZ143" i="50"/>
  <c r="E174" i="50"/>
  <c r="CJ139" i="50"/>
  <c r="EB228" i="50"/>
  <c r="DZ211" i="50"/>
  <c r="AK143" i="50"/>
  <c r="AG174" i="50"/>
  <c r="CJ74" i="50"/>
  <c r="CD228" i="50"/>
  <c r="BK211" i="50"/>
  <c r="CQ143" i="50"/>
  <c r="DL174" i="50"/>
  <c r="DA222" i="50"/>
  <c r="CF228" i="50"/>
  <c r="CA211" i="50"/>
  <c r="BD143" i="50"/>
  <c r="AO174" i="50"/>
  <c r="DA196" i="50"/>
  <c r="EJ228" i="50"/>
  <c r="DO211" i="50"/>
  <c r="DP143" i="50"/>
  <c r="CP174" i="50"/>
  <c r="DA204" i="50"/>
  <c r="BS228" i="50"/>
  <c r="ED211" i="50"/>
  <c r="EW143" i="50"/>
  <c r="EB174" i="50"/>
  <c r="DA154" i="50"/>
  <c r="H197" i="50"/>
  <c r="BP211" i="50"/>
  <c r="BQ143" i="50"/>
  <c r="ET174" i="50"/>
  <c r="BR143" i="50"/>
  <c r="CR174" i="50"/>
  <c r="DA128" i="50"/>
  <c r="O197" i="50"/>
  <c r="EH211" i="50"/>
  <c r="CG143" i="50"/>
  <c r="CT174" i="50"/>
  <c r="DA197" i="50"/>
  <c r="V197" i="50"/>
  <c r="BT211" i="50"/>
  <c r="BV222" i="50"/>
  <c r="CU174" i="50"/>
  <c r="DA169" i="50"/>
  <c r="CO197" i="50"/>
  <c r="FA211" i="50"/>
  <c r="BV228" i="50"/>
  <c r="EG174" i="50"/>
  <c r="DA185" i="50"/>
  <c r="DZ197" i="50"/>
  <c r="BU211" i="50"/>
  <c r="BV225" i="50"/>
  <c r="DU174" i="50"/>
  <c r="DA137" i="50"/>
  <c r="DM197" i="50"/>
  <c r="EL219" i="50"/>
  <c r="BV197" i="50"/>
  <c r="DV174" i="50"/>
  <c r="DA79" i="50"/>
  <c r="CA197" i="50"/>
  <c r="EL137" i="50"/>
  <c r="BV117" i="50"/>
  <c r="DX200" i="50"/>
  <c r="DA98" i="50"/>
  <c r="BN197" i="50"/>
  <c r="EL111" i="50"/>
  <c r="BV174" i="50"/>
  <c r="DX150" i="50"/>
  <c r="DA73" i="50"/>
  <c r="CD197" i="50"/>
  <c r="EL186" i="50"/>
  <c r="BV150" i="50"/>
  <c r="DX156" i="50"/>
  <c r="F157" i="50"/>
  <c r="CU197" i="50"/>
  <c r="EL192" i="50"/>
  <c r="BV156" i="50"/>
  <c r="DX136" i="50"/>
  <c r="L157" i="50"/>
  <c r="DT197" i="50"/>
  <c r="EL94" i="50"/>
  <c r="BV120" i="50"/>
  <c r="DX205" i="50"/>
  <c r="R157" i="50"/>
  <c r="FA197" i="50"/>
  <c r="EL135" i="50"/>
  <c r="BV115" i="50"/>
  <c r="DX188" i="50"/>
  <c r="DA96" i="50"/>
  <c r="CT197" i="50"/>
  <c r="EL117" i="50"/>
  <c r="BV188" i="50"/>
  <c r="DX148" i="50"/>
  <c r="E157" i="50"/>
  <c r="BG197" i="50"/>
  <c r="EL184" i="50"/>
  <c r="BV148" i="50"/>
  <c r="DX128" i="50"/>
  <c r="AW157" i="50"/>
  <c r="EG197" i="50"/>
  <c r="EL174" i="50"/>
  <c r="BV146" i="50"/>
  <c r="DX134" i="50"/>
  <c r="M157" i="50"/>
  <c r="BR197" i="50"/>
  <c r="EL92" i="50"/>
  <c r="BV118" i="50"/>
  <c r="DX195" i="50"/>
  <c r="DK157" i="50"/>
  <c r="DV197" i="50"/>
  <c r="EL74" i="50"/>
  <c r="BV100" i="50"/>
  <c r="DX123" i="50"/>
  <c r="CP157" i="50"/>
  <c r="FC195" i="50"/>
  <c r="EL101" i="50"/>
  <c r="BV81" i="50"/>
  <c r="DX105" i="50"/>
  <c r="EB157" i="50"/>
  <c r="FC155" i="50"/>
  <c r="CJ223" i="50"/>
  <c r="AH56" i="50"/>
  <c r="DX79" i="50"/>
  <c r="ET157" i="50"/>
  <c r="FC137" i="50"/>
  <c r="EL73" i="50"/>
  <c r="AC25" i="50"/>
  <c r="DX77" i="50"/>
  <c r="ES157" i="50"/>
  <c r="FC143" i="50"/>
  <c r="CJ207" i="50"/>
  <c r="AC26" i="50"/>
  <c r="DX88" i="50"/>
  <c r="DQ157" i="50"/>
  <c r="FC204" i="50"/>
  <c r="CJ192" i="50"/>
  <c r="EL100" i="50"/>
  <c r="BV126" i="50"/>
  <c r="DX203" i="50"/>
  <c r="X157" i="50"/>
  <c r="CG197" i="50"/>
  <c r="EL82" i="50"/>
  <c r="BV108" i="50"/>
  <c r="DX167" i="50"/>
  <c r="AZ157" i="50"/>
  <c r="FC222" i="50"/>
  <c r="EL142" i="50"/>
  <c r="BV82" i="50"/>
  <c r="DX145" i="50"/>
  <c r="AG157" i="50"/>
  <c r="FC228" i="50"/>
  <c r="EL140" i="50"/>
  <c r="BV80" i="50"/>
  <c r="DX151" i="50"/>
  <c r="DL157" i="50"/>
  <c r="FC227" i="50"/>
  <c r="EL114" i="50"/>
  <c r="BV93" i="50"/>
  <c r="DX117" i="50"/>
  <c r="AO157" i="50"/>
  <c r="FC197" i="50"/>
  <c r="EL95" i="50"/>
  <c r="BV75" i="50"/>
  <c r="DX96" i="50"/>
  <c r="DP157" i="50"/>
  <c r="FC117" i="50"/>
  <c r="CJ202" i="50"/>
  <c r="H32" i="50"/>
  <c r="DX78" i="50"/>
  <c r="EW157" i="50"/>
  <c r="FC184" i="50"/>
  <c r="CJ152" i="50"/>
  <c r="C228" i="50"/>
  <c r="AI15" i="50"/>
  <c r="BQ157" i="50"/>
  <c r="FC152" i="50"/>
  <c r="CJ164" i="50"/>
  <c r="AC16" i="50"/>
  <c r="DX73" i="50"/>
  <c r="BG157" i="50"/>
  <c r="FC164" i="50"/>
  <c r="CJ138" i="50"/>
  <c r="K228" i="50"/>
  <c r="AK48" i="50"/>
  <c r="EJ157" i="50"/>
  <c r="FC122" i="50"/>
  <c r="CJ112" i="50"/>
  <c r="AY228" i="50"/>
  <c r="AI17" i="50"/>
  <c r="BN157" i="50"/>
  <c r="FC115" i="50"/>
  <c r="CJ190" i="50"/>
  <c r="BV73" i="50"/>
  <c r="DX76" i="50"/>
  <c r="BF157" i="50"/>
  <c r="FC190" i="50"/>
  <c r="CJ150" i="50"/>
  <c r="H228" i="50"/>
  <c r="AK47" i="50"/>
  <c r="EH157" i="50"/>
  <c r="FC150" i="50"/>
  <c r="CJ130" i="50"/>
  <c r="I228" i="50"/>
  <c r="AK59" i="50"/>
  <c r="CW157" i="50"/>
  <c r="FC148" i="50"/>
  <c r="CJ136" i="50"/>
  <c r="J228" i="50"/>
  <c r="AI16" i="50"/>
  <c r="FA157" i="50"/>
  <c r="FC120" i="50"/>
  <c r="CJ201" i="50"/>
  <c r="U228" i="50"/>
  <c r="AK57" i="50"/>
  <c r="BU157" i="50"/>
  <c r="FC102" i="50"/>
  <c r="CJ79" i="50"/>
  <c r="AO228" i="50"/>
  <c r="W211" i="50"/>
  <c r="P143" i="50"/>
  <c r="FC81" i="50"/>
  <c r="CJ149" i="50"/>
  <c r="AN228" i="50"/>
  <c r="AG211" i="50"/>
  <c r="BJ143" i="50"/>
  <c r="I174" i="50"/>
  <c r="CJ123" i="50"/>
  <c r="DO228" i="50"/>
  <c r="DL211" i="50"/>
  <c r="Z143" i="50"/>
  <c r="J174" i="50"/>
  <c r="CJ121" i="50"/>
  <c r="ET228" i="50"/>
  <c r="AA211" i="50"/>
  <c r="AP143" i="50"/>
  <c r="BI174" i="50"/>
  <c r="CJ94" i="50"/>
  <c r="EV228" i="50"/>
  <c r="CP211" i="50"/>
  <c r="BK143" i="50"/>
  <c r="Q174" i="50"/>
  <c r="CJ76" i="50"/>
  <c r="DR228" i="50"/>
  <c r="DJ174" i="50"/>
  <c r="DX155" i="50"/>
  <c r="Y157" i="50"/>
  <c r="FC208" i="50"/>
  <c r="EL134" i="50"/>
  <c r="BV74" i="50"/>
  <c r="DX137" i="50"/>
  <c r="EA157" i="50"/>
  <c r="FC201" i="50"/>
  <c r="EL99" i="50"/>
  <c r="BV79" i="50"/>
  <c r="DX111" i="50"/>
  <c r="AU157" i="50"/>
  <c r="FC173" i="50"/>
  <c r="EL105" i="50"/>
  <c r="BV85" i="50"/>
  <c r="DX109" i="50"/>
  <c r="AT157" i="50"/>
  <c r="FC189" i="50"/>
  <c r="EL87" i="50"/>
  <c r="AH47" i="50"/>
  <c r="DX83" i="50"/>
  <c r="BM157" i="50"/>
  <c r="FC141" i="50"/>
  <c r="CJ217" i="50"/>
  <c r="AH44" i="50"/>
  <c r="DX102" i="50"/>
  <c r="DS157" i="50"/>
  <c r="FC168" i="50"/>
  <c r="CJ142" i="50"/>
  <c r="AV228" i="50"/>
  <c r="AK51" i="50"/>
  <c r="EY157" i="50"/>
  <c r="FC142" i="50"/>
  <c r="CJ116" i="50"/>
  <c r="X228" i="50"/>
  <c r="AI25" i="50"/>
  <c r="CH157" i="50"/>
  <c r="FC116" i="50"/>
  <c r="CJ197" i="50"/>
  <c r="V228" i="50"/>
  <c r="AI32" i="50"/>
  <c r="BT157" i="50"/>
  <c r="FC114" i="50"/>
  <c r="CJ203" i="50"/>
  <c r="DY228" i="50"/>
  <c r="AK45" i="50"/>
  <c r="G143" i="50"/>
  <c r="FC88" i="50"/>
  <c r="CJ105" i="50"/>
  <c r="DL228" i="50"/>
  <c r="H211" i="50"/>
  <c r="DJ143" i="50"/>
  <c r="FC107" i="50"/>
  <c r="CJ140" i="50"/>
  <c r="D228" i="50"/>
  <c r="AI24" i="50"/>
  <c r="CF157" i="50"/>
  <c r="FC140" i="50"/>
  <c r="CJ122" i="50"/>
  <c r="BH228" i="50"/>
  <c r="AI21" i="50"/>
  <c r="DW157" i="50"/>
  <c r="FC106" i="50"/>
  <c r="CJ195" i="50"/>
  <c r="S228" i="50"/>
  <c r="AI18" i="50"/>
  <c r="FB157" i="50"/>
  <c r="FC112" i="50"/>
  <c r="CJ193" i="50"/>
  <c r="BW228" i="50"/>
  <c r="K32" i="50"/>
  <c r="C143" i="50"/>
  <c r="FC94" i="50"/>
  <c r="CJ103" i="50"/>
  <c r="AI228" i="50"/>
  <c r="K211" i="50"/>
  <c r="O143" i="50"/>
  <c r="FC105" i="50"/>
  <c r="CJ85" i="50"/>
  <c r="AQ228" i="50"/>
  <c r="CO211" i="50"/>
  <c r="AD143" i="50"/>
  <c r="BH174" i="50"/>
  <c r="CJ115" i="50"/>
  <c r="CR228" i="50"/>
  <c r="BX211" i="50"/>
  <c r="ER143" i="50"/>
  <c r="S174" i="50"/>
  <c r="CJ80" i="50"/>
  <c r="BF228" i="50"/>
  <c r="AT211" i="50"/>
  <c r="BB143" i="50"/>
  <c r="AH174" i="50"/>
  <c r="CJ86" i="50"/>
  <c r="CC228" i="50"/>
  <c r="BA211" i="50"/>
  <c r="AJ143" i="50"/>
  <c r="EQ174" i="50"/>
  <c r="DA225" i="50"/>
  <c r="EG228" i="50"/>
  <c r="BL211" i="50"/>
  <c r="CB143" i="50"/>
  <c r="AQ174" i="50"/>
  <c r="DA218" i="50"/>
  <c r="DU228" i="50"/>
  <c r="EC211" i="50"/>
  <c r="AH48" i="50"/>
  <c r="CJ111" i="50"/>
  <c r="AA228" i="50"/>
  <c r="E211" i="50"/>
  <c r="N143" i="50"/>
  <c r="FC76" i="50"/>
  <c r="CJ93" i="50"/>
  <c r="AD228" i="50"/>
  <c r="AX211" i="50"/>
  <c r="V143" i="50"/>
  <c r="FC79" i="50"/>
  <c r="CJ155" i="50"/>
  <c r="ER228" i="50"/>
  <c r="U211" i="50"/>
  <c r="DY143" i="50"/>
  <c r="FC85" i="50"/>
  <c r="CJ153" i="50"/>
  <c r="AU228" i="50"/>
  <c r="DK211" i="50"/>
  <c r="DZ143" i="50"/>
  <c r="C174" i="50"/>
  <c r="CJ127" i="50"/>
  <c r="ES228" i="50"/>
  <c r="Y211" i="50"/>
  <c r="AC143" i="50"/>
  <c r="O174" i="50"/>
  <c r="CJ108" i="50"/>
  <c r="CB228" i="50"/>
  <c r="EB211" i="50"/>
  <c r="CA143" i="50"/>
  <c r="AD174" i="50"/>
  <c r="DA226" i="50"/>
  <c r="BR228" i="50"/>
  <c r="ET211" i="50"/>
  <c r="BE143" i="50"/>
  <c r="ER174" i="50"/>
  <c r="DA184" i="50"/>
  <c r="CI228" i="50"/>
  <c r="EV211" i="50"/>
  <c r="CD143" i="50"/>
  <c r="BB174" i="50"/>
  <c r="DA190" i="50"/>
  <c r="CH228" i="50"/>
  <c r="DQ211" i="50"/>
  <c r="BP143" i="50"/>
  <c r="AJ174" i="50"/>
  <c r="DA164" i="50"/>
  <c r="AW197" i="50"/>
  <c r="DS211" i="50"/>
  <c r="DT143" i="50"/>
  <c r="CB174" i="50"/>
  <c r="DA130" i="50"/>
  <c r="DJ197" i="50"/>
  <c r="EY211" i="50"/>
  <c r="CR143" i="50"/>
  <c r="AE174" i="50"/>
  <c r="DA210" i="50"/>
  <c r="CX228" i="50"/>
  <c r="BC211" i="50"/>
  <c r="CT143" i="50"/>
  <c r="AS174" i="50"/>
  <c r="DA174" i="50"/>
  <c r="EK228" i="50"/>
  <c r="BO211" i="50"/>
  <c r="CU143" i="50"/>
  <c r="DN174" i="50"/>
  <c r="DA150" i="50"/>
  <c r="G197" i="50"/>
  <c r="BE211" i="50"/>
  <c r="EG143" i="50"/>
  <c r="BZ174" i="50"/>
  <c r="DA156" i="50"/>
  <c r="C197" i="50"/>
  <c r="CD211" i="50"/>
  <c r="DU143" i="50"/>
  <c r="CS174" i="50"/>
  <c r="DA120" i="50"/>
  <c r="X197" i="50"/>
  <c r="CF211" i="50"/>
  <c r="DV143" i="50"/>
  <c r="EE174" i="50"/>
  <c r="DA143" i="50"/>
  <c r="AD197" i="50"/>
  <c r="EL217" i="50"/>
  <c r="BV195" i="50"/>
  <c r="CY174" i="50"/>
  <c r="DA125" i="50"/>
  <c r="AL197" i="50"/>
  <c r="EL189" i="50"/>
  <c r="BV155" i="50"/>
  <c r="DX217" i="50"/>
  <c r="DA99" i="50"/>
  <c r="BB197" i="50"/>
  <c r="EL157" i="50"/>
  <c r="BV137" i="50"/>
  <c r="DX223" i="50"/>
  <c r="DA97" i="50"/>
  <c r="DN197" i="50"/>
  <c r="EL167" i="50"/>
  <c r="BV143" i="50"/>
  <c r="DX224" i="50"/>
  <c r="DA108" i="50"/>
  <c r="CB197" i="50"/>
  <c r="EL129" i="50"/>
  <c r="BV202" i="50"/>
  <c r="DX190" i="50"/>
  <c r="DA90" i="50"/>
  <c r="BE197" i="50"/>
  <c r="DA84" i="50"/>
  <c r="BO197" i="50"/>
  <c r="EL200" i="50"/>
  <c r="BV168" i="50"/>
  <c r="DX152" i="50"/>
  <c r="C157" i="50"/>
  <c r="DS197" i="50"/>
  <c r="EL108" i="50"/>
  <c r="BV134" i="50"/>
  <c r="DX116" i="50"/>
  <c r="O157" i="50"/>
  <c r="CX197" i="50"/>
  <c r="EL90" i="50"/>
  <c r="BV116" i="50"/>
  <c r="DX122" i="50"/>
  <c r="BH157" i="50"/>
  <c r="EZ197" i="50"/>
  <c r="EL96" i="50"/>
  <c r="BV122" i="50"/>
  <c r="DX199" i="50"/>
  <c r="S157" i="50"/>
  <c r="DW197" i="50"/>
  <c r="EL150" i="50"/>
  <c r="BV88" i="50"/>
  <c r="DX163" i="50"/>
  <c r="AH157" i="50"/>
  <c r="FC218" i="50"/>
  <c r="EL89" i="50"/>
  <c r="AH51" i="50"/>
  <c r="DX93" i="50"/>
  <c r="AJ157" i="50"/>
  <c r="FC163" i="50"/>
  <c r="CJ227" i="50"/>
  <c r="AC21" i="50"/>
  <c r="DX104" i="50"/>
  <c r="CB157" i="50"/>
  <c r="FC125" i="50"/>
  <c r="CJ220" i="50"/>
  <c r="AH53" i="50"/>
  <c r="DX86" i="50"/>
  <c r="CR157" i="50"/>
  <c r="FC131" i="50"/>
  <c r="CJ218" i="50"/>
  <c r="AH49" i="50"/>
  <c r="DX92" i="50"/>
  <c r="CT157" i="50"/>
  <c r="FC113" i="50"/>
  <c r="CJ172" i="50"/>
  <c r="AH42" i="50"/>
  <c r="AI30" i="50"/>
  <c r="CU157" i="50"/>
  <c r="FC172" i="50"/>
  <c r="CJ148" i="50"/>
  <c r="E228" i="50"/>
  <c r="DX91" i="50"/>
  <c r="BZ157" i="50"/>
  <c r="FC149" i="50"/>
  <c r="CJ225" i="50"/>
  <c r="AC17" i="50"/>
  <c r="DX110" i="50"/>
  <c r="CS157" i="50"/>
  <c r="FC123" i="50"/>
  <c r="CJ200" i="50"/>
  <c r="AC30" i="50"/>
  <c r="DX84" i="50"/>
  <c r="EE157" i="50"/>
  <c r="FC200" i="50"/>
  <c r="CJ206" i="50"/>
  <c r="AH45" i="50"/>
  <c r="DX82" i="50"/>
  <c r="EV157" i="50"/>
  <c r="FC111" i="50"/>
  <c r="CJ186" i="50"/>
  <c r="AH54" i="50"/>
  <c r="AI23" i="50"/>
  <c r="EX157" i="50"/>
  <c r="FC156" i="50"/>
  <c r="CJ146" i="50"/>
  <c r="G228" i="50"/>
  <c r="K34" i="50"/>
  <c r="AW143" i="50"/>
  <c r="FC96" i="50"/>
  <c r="CJ167" i="50"/>
  <c r="AH228" i="50"/>
  <c r="AD17" i="26"/>
  <c r="M143" i="50"/>
  <c r="FC78" i="50"/>
  <c r="CJ87" i="50"/>
  <c r="DM228" i="50"/>
  <c r="BH211" i="50"/>
  <c r="DK143" i="50"/>
  <c r="FC89" i="50"/>
  <c r="CJ157" i="50"/>
  <c r="BA228" i="50"/>
  <c r="L211" i="50"/>
  <c r="T143" i="50"/>
  <c r="FC87" i="50"/>
  <c r="CJ75" i="50"/>
  <c r="AL228" i="50"/>
  <c r="R211" i="50"/>
  <c r="CO143" i="50"/>
  <c r="G174" i="50"/>
  <c r="CJ129" i="50"/>
  <c r="CQ228" i="50"/>
  <c r="EQ211" i="50"/>
  <c r="AK42" i="50"/>
  <c r="EG157" i="50"/>
  <c r="FC170" i="50"/>
  <c r="CJ154" i="50"/>
  <c r="AW228" i="50"/>
  <c r="AK55" i="50"/>
  <c r="DU157" i="50"/>
  <c r="FC136" i="50"/>
  <c r="CJ118" i="50"/>
  <c r="BI228" i="50"/>
  <c r="AI36" i="50"/>
  <c r="DV157" i="50"/>
  <c r="FC118" i="50"/>
  <c r="CJ124" i="50"/>
  <c r="O228" i="50"/>
  <c r="K35" i="50"/>
  <c r="CY157" i="50"/>
  <c r="FC124" i="50"/>
  <c r="CJ205" i="50"/>
  <c r="T228" i="50"/>
  <c r="AI22" i="50"/>
  <c r="E143" i="50"/>
  <c r="FC90" i="50"/>
  <c r="CJ169" i="50"/>
  <c r="CO228" i="50"/>
  <c r="C211" i="50"/>
  <c r="AG143" i="50"/>
  <c r="AW174" i="50"/>
  <c r="CJ137" i="50"/>
  <c r="BB228" i="50"/>
  <c r="Q211" i="50"/>
  <c r="DL143" i="50"/>
  <c r="M174" i="50"/>
  <c r="CJ110" i="50"/>
  <c r="EU228" i="50"/>
  <c r="AD211" i="50"/>
  <c r="AO143" i="50"/>
  <c r="DK174" i="50"/>
  <c r="CJ92" i="50"/>
  <c r="DQ228" i="50"/>
  <c r="AB211" i="50"/>
  <c r="CP143" i="50"/>
  <c r="T174" i="50"/>
  <c r="CJ98" i="50"/>
  <c r="BN228" i="50"/>
  <c r="AR211" i="50"/>
  <c r="EB143" i="50"/>
  <c r="CO174" i="50"/>
  <c r="DA221" i="50"/>
  <c r="CV228" i="50"/>
  <c r="AJ211" i="50"/>
  <c r="ET143" i="50"/>
  <c r="BX174" i="50"/>
  <c r="CJ135" i="50"/>
  <c r="DN228" i="50"/>
  <c r="AZ211" i="50"/>
  <c r="AI143" i="50"/>
  <c r="N174" i="50"/>
  <c r="CJ117" i="50"/>
  <c r="CA228" i="50"/>
  <c r="AE211" i="50"/>
  <c r="BA143" i="50"/>
  <c r="V174" i="50"/>
  <c r="CJ90" i="50"/>
  <c r="BE228" i="50"/>
  <c r="AS211" i="50"/>
  <c r="AL143" i="50"/>
  <c r="DY174" i="50"/>
  <c r="CJ88" i="50"/>
  <c r="EE228" i="50"/>
  <c r="AO211" i="50"/>
  <c r="AM143" i="50"/>
  <c r="DZ174" i="50"/>
  <c r="DA219" i="50"/>
  <c r="BG228" i="50"/>
  <c r="BZ211" i="50"/>
  <c r="BC143" i="50"/>
  <c r="AC174" i="50"/>
  <c r="DA220" i="50"/>
  <c r="DT228" i="50"/>
  <c r="EW211" i="50"/>
  <c r="CW143" i="50"/>
  <c r="CA174" i="50"/>
  <c r="DA138" i="50"/>
  <c r="M197" i="50"/>
  <c r="BQ211" i="50"/>
  <c r="FA143" i="50"/>
  <c r="BE174" i="50"/>
  <c r="DA199" i="50"/>
  <c r="P197" i="50"/>
  <c r="CY211" i="50"/>
  <c r="BU143" i="50"/>
  <c r="CD174" i="50"/>
  <c r="DA205" i="50"/>
  <c r="T197" i="50"/>
  <c r="EJ211" i="50"/>
  <c r="EK143" i="50"/>
  <c r="BP174" i="50"/>
  <c r="DA187" i="50"/>
  <c r="AG197" i="50"/>
  <c r="EL224" i="50"/>
  <c r="BV219" i="50"/>
  <c r="DT174" i="50"/>
  <c r="DA147" i="50"/>
  <c r="BX197" i="50"/>
  <c r="EL221" i="50"/>
  <c r="BV199" i="50"/>
  <c r="BS157" i="50"/>
  <c r="FC128" i="50"/>
  <c r="CJ210" i="50"/>
  <c r="R228" i="50"/>
  <c r="AI28" i="50"/>
  <c r="CI157" i="50"/>
  <c r="FC110" i="50"/>
  <c r="CJ173" i="50"/>
  <c r="EQ228" i="50"/>
  <c r="F211" i="50"/>
  <c r="D143" i="50"/>
  <c r="FC84" i="50"/>
  <c r="CJ101" i="50"/>
  <c r="BJ228" i="50"/>
  <c r="Z17" i="26"/>
  <c r="K143" i="50"/>
  <c r="FC82" i="50"/>
  <c r="CJ107" i="50"/>
  <c r="Z228" i="50"/>
  <c r="AV211" i="50"/>
  <c r="AY143" i="50"/>
  <c r="FC93" i="50"/>
  <c r="CJ165" i="50"/>
  <c r="AS228" i="50"/>
  <c r="X211" i="50"/>
  <c r="BW143" i="50"/>
  <c r="FC75" i="50"/>
  <c r="CJ102" i="50"/>
  <c r="BD228" i="50"/>
  <c r="AQ211" i="50"/>
  <c r="AT143" i="50"/>
  <c r="P174" i="50"/>
  <c r="CJ84" i="50"/>
  <c r="BO228" i="50"/>
  <c r="AK211" i="50"/>
  <c r="BM143" i="50"/>
  <c r="BJ174" i="50"/>
  <c r="DA211" i="50"/>
  <c r="CE228" i="50"/>
  <c r="CQ211" i="50"/>
  <c r="BL143" i="50"/>
  <c r="Z174" i="50"/>
  <c r="DA209" i="50"/>
  <c r="BQ228" i="50"/>
  <c r="DN211" i="50"/>
  <c r="EC143" i="50"/>
  <c r="AP174" i="50"/>
  <c r="DA200" i="50"/>
  <c r="CY228" i="50"/>
  <c r="DP211" i="50"/>
  <c r="CC143" i="50"/>
  <c r="BK174" i="50"/>
  <c r="DA172" i="50"/>
  <c r="DW228" i="50"/>
  <c r="EA211" i="50"/>
  <c r="AN143" i="50"/>
  <c r="AF174" i="50"/>
  <c r="CJ82" i="50"/>
  <c r="EF228" i="50"/>
  <c r="AU211" i="50"/>
  <c r="DO143" i="50"/>
  <c r="AB174" i="50"/>
  <c r="DA224" i="50"/>
  <c r="EY228" i="50"/>
  <c r="ES211" i="50"/>
  <c r="ED143" i="50"/>
  <c r="AR174" i="50"/>
  <c r="DA207" i="50"/>
  <c r="EH228" i="50"/>
  <c r="BM211" i="50"/>
  <c r="EU143" i="50"/>
  <c r="DM174" i="50"/>
  <c r="DA206" i="50"/>
  <c r="EI228" i="50"/>
  <c r="BN211" i="50"/>
  <c r="DR143" i="50"/>
  <c r="BY174" i="50"/>
  <c r="DA170" i="50"/>
  <c r="CZ228" i="50"/>
  <c r="BF211" i="50"/>
  <c r="FB143" i="50"/>
  <c r="EF174" i="50"/>
  <c r="DA191" i="50"/>
  <c r="Q197" i="50"/>
  <c r="CH211" i="50"/>
  <c r="BV224" i="50"/>
  <c r="CV174" i="50"/>
  <c r="DA151" i="50"/>
  <c r="BJ197" i="50"/>
  <c r="EL225" i="50"/>
  <c r="BV203" i="50"/>
  <c r="EZ174" i="50"/>
  <c r="DA133" i="50"/>
  <c r="EA197" i="50"/>
  <c r="EL210" i="50"/>
  <c r="BV209" i="50"/>
  <c r="EI174" i="50"/>
  <c r="DA139" i="50"/>
  <c r="AP197" i="50"/>
  <c r="EL209" i="50"/>
  <c r="BV191" i="50"/>
  <c r="CZ174" i="50"/>
  <c r="DA105" i="50"/>
  <c r="AJ197" i="50"/>
  <c r="EL185" i="50"/>
  <c r="BV151" i="50"/>
  <c r="DX209" i="50"/>
  <c r="BX143" i="50"/>
  <c r="CS211" i="50"/>
  <c r="BO143" i="50"/>
  <c r="AN174" i="50"/>
  <c r="DA186" i="50"/>
  <c r="FB228" i="50"/>
  <c r="EE211" i="50"/>
  <c r="CE143" i="50"/>
  <c r="DO174" i="50"/>
  <c r="DA136" i="50"/>
  <c r="N197" i="50"/>
  <c r="BG211" i="50"/>
  <c r="CX143" i="50"/>
  <c r="ED174" i="50"/>
  <c r="DA142" i="50"/>
  <c r="K197" i="50"/>
  <c r="EX211" i="50"/>
  <c r="CF143" i="50"/>
  <c r="EU174" i="50"/>
  <c r="DA124" i="50"/>
  <c r="AX197" i="50"/>
  <c r="BS211" i="50"/>
  <c r="DW143" i="50"/>
  <c r="DR174" i="50"/>
  <c r="DA193" i="50"/>
  <c r="BW197" i="50"/>
  <c r="CI211" i="50"/>
  <c r="BV218" i="50"/>
  <c r="FB174" i="50"/>
  <c r="DA113" i="50"/>
  <c r="BK197" i="50"/>
  <c r="EL193" i="50"/>
  <c r="BV163" i="50"/>
  <c r="DX221" i="50"/>
  <c r="DA87" i="50"/>
  <c r="BM197" i="50"/>
  <c r="EL145" i="50"/>
  <c r="BV125" i="50"/>
  <c r="DX210" i="50"/>
  <c r="DA106" i="50"/>
  <c r="CS197" i="50"/>
  <c r="EL151" i="50"/>
  <c r="BV131" i="50"/>
  <c r="DX208" i="50"/>
  <c r="DA75" i="50"/>
  <c r="EC197" i="50"/>
  <c r="EL133" i="50"/>
  <c r="BV113" i="50"/>
  <c r="DX170" i="50"/>
  <c r="DA78" i="50"/>
  <c r="BP197" i="50"/>
  <c r="EL202" i="50"/>
  <c r="BV170" i="50"/>
  <c r="DX146" i="50"/>
  <c r="DA111" i="50"/>
  <c r="AN197" i="50"/>
  <c r="EL173" i="50"/>
  <c r="BV149" i="50"/>
  <c r="DX219" i="50"/>
  <c r="DA93" i="50"/>
  <c r="BL197" i="50"/>
  <c r="EL143" i="50"/>
  <c r="BV123" i="50"/>
  <c r="DX196" i="50"/>
  <c r="DA104" i="50"/>
  <c r="ED197" i="50"/>
  <c r="EL125" i="50"/>
  <c r="BV196" i="50"/>
  <c r="DX204" i="50"/>
  <c r="DA102" i="50"/>
  <c r="BD197" i="50"/>
  <c r="EL131" i="50"/>
  <c r="BV204" i="50"/>
  <c r="DX184" i="50"/>
  <c r="DA76" i="50"/>
  <c r="DR197" i="50"/>
  <c r="EL190" i="50"/>
  <c r="BV154" i="50"/>
  <c r="DX142" i="50"/>
  <c r="AV157" i="50"/>
  <c r="CE197" i="50"/>
  <c r="EL156" i="50"/>
  <c r="BV94" i="50"/>
  <c r="DX157" i="50"/>
  <c r="EQ157" i="50"/>
  <c r="FC224" i="50"/>
  <c r="EL136" i="50"/>
  <c r="BV76" i="50"/>
  <c r="DX131" i="50"/>
  <c r="AQ157" i="50"/>
  <c r="FC203" i="50"/>
  <c r="EL109" i="50"/>
  <c r="BV89" i="50"/>
  <c r="DX113" i="50"/>
  <c r="AE157" i="50"/>
  <c r="FC209" i="50"/>
  <c r="EL107" i="50"/>
  <c r="BV87" i="50"/>
  <c r="DX119" i="50"/>
  <c r="AS157" i="50"/>
  <c r="FC191" i="50"/>
  <c r="EL81" i="50"/>
  <c r="H34" i="50"/>
  <c r="DX85" i="50"/>
  <c r="DN157" i="50"/>
  <c r="FC151" i="50"/>
  <c r="CJ219" i="50"/>
  <c r="AC15" i="50"/>
  <c r="CJ209" i="50"/>
  <c r="H31" i="50"/>
  <c r="DX98" i="50"/>
  <c r="EU157" i="50"/>
  <c r="FC127" i="50"/>
  <c r="CJ204" i="50"/>
  <c r="AC34" i="50"/>
  <c r="AK58" i="50"/>
  <c r="DR157" i="50"/>
  <c r="FC186" i="50"/>
  <c r="CJ168" i="50"/>
  <c r="AC24" i="50"/>
  <c r="AI19" i="50"/>
  <c r="EF157" i="50"/>
  <c r="FC192" i="50"/>
  <c r="CJ166" i="50"/>
  <c r="AC20" i="50"/>
  <c r="K33" i="50"/>
  <c r="CV157" i="50"/>
  <c r="FC166" i="50"/>
  <c r="CJ132" i="50"/>
  <c r="N228" i="50"/>
  <c r="AK52" i="50"/>
  <c r="EZ157" i="50"/>
  <c r="FC132" i="50"/>
  <c r="CJ114" i="50"/>
  <c r="W228" i="50"/>
  <c r="G211" i="50"/>
  <c r="BH143" i="50"/>
  <c r="FC103" i="50"/>
  <c r="CJ91" i="50"/>
  <c r="AE228" i="50"/>
  <c r="DJ211" i="50"/>
  <c r="S143" i="50"/>
  <c r="FC77" i="50"/>
  <c r="CJ145" i="50"/>
  <c r="AM228" i="50"/>
  <c r="P211" i="50"/>
  <c r="AH143" i="50"/>
  <c r="AV174" i="50"/>
  <c r="CJ151" i="50"/>
  <c r="BK228" i="50"/>
  <c r="V211" i="50"/>
  <c r="EQ143" i="50"/>
  <c r="H174" i="50"/>
  <c r="CJ133" i="50"/>
  <c r="BZ228" i="50"/>
  <c r="Z211" i="50"/>
  <c r="AQ143" i="50"/>
  <c r="W174" i="50"/>
  <c r="CJ106" i="50"/>
  <c r="CS228" i="50"/>
  <c r="AP211" i="50"/>
  <c r="AX143" i="50"/>
  <c r="FC101" i="50"/>
  <c r="CJ81" i="50"/>
  <c r="AR228" i="50"/>
  <c r="O211" i="50"/>
  <c r="U143" i="50"/>
  <c r="FC83" i="50"/>
  <c r="CJ143" i="50"/>
  <c r="AJ228" i="50"/>
  <c r="AF211" i="50"/>
  <c r="AA143" i="50"/>
  <c r="D174" i="50"/>
  <c r="CJ125" i="50"/>
  <c r="BM228" i="50"/>
  <c r="S211" i="50"/>
  <c r="Y143" i="50"/>
  <c r="K174" i="50"/>
  <c r="CJ131" i="50"/>
  <c r="BL228" i="50"/>
  <c r="AH211" i="50"/>
  <c r="EA143" i="50"/>
  <c r="AY174" i="50"/>
  <c r="CJ96" i="50"/>
  <c r="CT228" i="50"/>
  <c r="DM211" i="50"/>
  <c r="AU143" i="50"/>
  <c r="BW174" i="50"/>
  <c r="DA208" i="50"/>
  <c r="EZ228" i="50"/>
  <c r="CB211" i="50"/>
  <c r="EV143" i="50"/>
  <c r="AT174" i="50"/>
  <c r="DA188" i="50"/>
  <c r="BT228" i="50"/>
  <c r="EF211" i="50"/>
  <c r="EX143" i="50"/>
  <c r="BM174" i="50"/>
  <c r="DA148" i="50"/>
  <c r="AV197" i="50"/>
  <c r="CV211" i="50"/>
  <c r="DS143" i="50"/>
  <c r="BL174" i="50"/>
  <c r="DA146" i="50"/>
  <c r="D197" i="50"/>
  <c r="CU211" i="50"/>
  <c r="EY143" i="50"/>
  <c r="EC174" i="50"/>
  <c r="DA118" i="50"/>
  <c r="W197" i="50"/>
  <c r="EI211" i="50"/>
  <c r="CH143" i="50"/>
  <c r="BQ197" i="50"/>
  <c r="BV132" i="50"/>
  <c r="AE143" i="50"/>
  <c r="AX174" i="50"/>
  <c r="CJ104" i="50"/>
  <c r="ED228" i="50"/>
  <c r="AC211" i="50"/>
  <c r="AS143" i="50"/>
  <c r="U174" i="50"/>
  <c r="CJ78" i="50"/>
  <c r="BP228" i="50"/>
  <c r="AN211" i="50"/>
  <c r="DN143" i="50"/>
  <c r="AA174" i="50"/>
  <c r="DA217" i="50"/>
  <c r="EX228" i="50"/>
  <c r="ER211" i="50"/>
  <c r="BZ143" i="50"/>
  <c r="Y174" i="50"/>
  <c r="DA223" i="50"/>
  <c r="DS228" i="50"/>
  <c r="BB211" i="50"/>
  <c r="CS143" i="50"/>
  <c r="EA174" i="50"/>
  <c r="DA202" i="50"/>
  <c r="CG228" i="50"/>
  <c r="EU211" i="50"/>
  <c r="EE143" i="50"/>
  <c r="AU174" i="50"/>
  <c r="DA126" i="50"/>
  <c r="BH197" i="50"/>
  <c r="DT211" i="50"/>
  <c r="CY143" i="50"/>
  <c r="EV174" i="50"/>
  <c r="DA203" i="50"/>
  <c r="DY197" i="50"/>
  <c r="FB211" i="50"/>
  <c r="BV220" i="50"/>
  <c r="EX174" i="50"/>
  <c r="DA167" i="50"/>
  <c r="AH197" i="50"/>
  <c r="EL222" i="50"/>
  <c r="BV206" i="50"/>
  <c r="DS174" i="50"/>
  <c r="DA165" i="50"/>
  <c r="AA197" i="50"/>
  <c r="EL228" i="50"/>
  <c r="BV223" i="50"/>
  <c r="EY174" i="50"/>
  <c r="DA135" i="50"/>
  <c r="AQ197" i="50"/>
  <c r="EL206" i="50"/>
  <c r="BV187" i="50"/>
  <c r="CH174" i="50"/>
  <c r="DA117" i="50"/>
  <c r="ER197" i="50"/>
  <c r="DU211" i="50"/>
  <c r="BT143" i="50"/>
  <c r="BO174" i="50"/>
  <c r="DA201" i="50"/>
  <c r="U197" i="50"/>
  <c r="DV211" i="50"/>
  <c r="BV226" i="50"/>
  <c r="CE174" i="50"/>
  <c r="DA153" i="50"/>
  <c r="AI197" i="50"/>
  <c r="EL220" i="50"/>
  <c r="BV217" i="50"/>
  <c r="CX174" i="50"/>
  <c r="DA163" i="50"/>
  <c r="Y197" i="50"/>
  <c r="EL218" i="50"/>
  <c r="BV211" i="50"/>
  <c r="CF174" i="50"/>
  <c r="DA141" i="50"/>
  <c r="AE197" i="50"/>
  <c r="EL205" i="50"/>
  <c r="BV185" i="50"/>
  <c r="DW174" i="50"/>
  <c r="DA115" i="50"/>
  <c r="AU197" i="50"/>
  <c r="EL187" i="50"/>
  <c r="BV153" i="50"/>
  <c r="DX186" i="50"/>
  <c r="DA86" i="50"/>
  <c r="CC197" i="50"/>
  <c r="EL115" i="50"/>
  <c r="BV186" i="50"/>
  <c r="DX154" i="50"/>
  <c r="G157" i="50"/>
  <c r="EX197" i="50"/>
  <c r="EL110" i="50"/>
  <c r="BV136" i="50"/>
  <c r="DX126" i="50"/>
  <c r="DJ157" i="50"/>
  <c r="DU197" i="50"/>
  <c r="EL172" i="50"/>
  <c r="BV142" i="50"/>
  <c r="DX124" i="50"/>
  <c r="N157" i="50"/>
  <c r="EY197" i="50"/>
  <c r="EL98" i="50"/>
  <c r="BV124" i="50"/>
  <c r="DX193" i="50"/>
  <c r="V157" i="50"/>
  <c r="EK197" i="50"/>
  <c r="EL166" i="50"/>
  <c r="BV98" i="50"/>
  <c r="DX165" i="50"/>
  <c r="CC174" i="50"/>
  <c r="DA227" i="50"/>
  <c r="CU228" i="50"/>
  <c r="BY211" i="50"/>
  <c r="ES143" i="50"/>
  <c r="AI174" i="50"/>
  <c r="DA228" i="50"/>
  <c r="CW228" i="50"/>
  <c r="CR211" i="50"/>
  <c r="DQ143" i="50"/>
  <c r="BA174" i="50"/>
  <c r="DA194" i="50"/>
  <c r="FA228" i="50"/>
  <c r="CT211" i="50"/>
  <c r="BN143" i="50"/>
  <c r="AL174" i="50"/>
  <c r="DA192" i="50"/>
  <c r="DV228" i="50"/>
  <c r="BD211" i="50"/>
  <c r="BF143" i="50"/>
  <c r="AM174" i="50"/>
  <c r="DA152" i="50"/>
  <c r="E197" i="50"/>
  <c r="EG211" i="50"/>
  <c r="EH143" i="50"/>
  <c r="BC174" i="50"/>
  <c r="DA132" i="50"/>
  <c r="L197" i="50"/>
  <c r="CZ211" i="50"/>
  <c r="BV227" i="50"/>
  <c r="CW174" i="50"/>
  <c r="DA155" i="50"/>
  <c r="DL197" i="50"/>
  <c r="EL208" i="50"/>
  <c r="BV207" i="50"/>
  <c r="FA174" i="50"/>
  <c r="DA121" i="50"/>
  <c r="AT197" i="50"/>
  <c r="EL201" i="50"/>
  <c r="BV171" i="50"/>
  <c r="BU174" i="50"/>
  <c r="DA127" i="50"/>
  <c r="CP197" i="50"/>
  <c r="EL199" i="50"/>
  <c r="BV169" i="50"/>
  <c r="EK174" i="50"/>
  <c r="DA109" i="50"/>
  <c r="AK197" i="50"/>
  <c r="EL163" i="50"/>
  <c r="BV139" i="50"/>
  <c r="DX220" i="50"/>
  <c r="DA83" i="50"/>
  <c r="ET197" i="50"/>
  <c r="EL141" i="50"/>
  <c r="BV121" i="50"/>
  <c r="BR174" i="50"/>
  <c r="DA145" i="50"/>
  <c r="AC197" i="50"/>
  <c r="EL227" i="50"/>
  <c r="BV205" i="50"/>
  <c r="CG174" i="50"/>
  <c r="DA119" i="50"/>
  <c r="BA197" i="50"/>
  <c r="EL191" i="50"/>
  <c r="BV157" i="50"/>
  <c r="DX227" i="50"/>
  <c r="DA101" i="50"/>
  <c r="EB197" i="50"/>
  <c r="EL197" i="50"/>
  <c r="BV167" i="50"/>
  <c r="DX225" i="50"/>
  <c r="DA107" i="50"/>
  <c r="AM197" i="50"/>
  <c r="EL169" i="50"/>
  <c r="BV145" i="50"/>
  <c r="DX218" i="50"/>
  <c r="DA110" i="50"/>
  <c r="EU197" i="50"/>
  <c r="EL139" i="50"/>
  <c r="BV119" i="50"/>
  <c r="DX192" i="50"/>
  <c r="J157" i="50"/>
  <c r="CW197" i="50"/>
  <c r="EL102" i="50"/>
  <c r="BV128" i="50"/>
  <c r="DX118" i="50"/>
  <c r="BI157" i="50"/>
  <c r="BS197" i="50"/>
  <c r="EL76" i="50"/>
  <c r="BV102" i="50"/>
  <c r="DX169" i="50"/>
  <c r="Q157" i="50"/>
  <c r="BU197" i="50"/>
  <c r="EL146" i="50"/>
  <c r="BV84" i="50"/>
  <c r="DX185" i="50"/>
  <c r="AF157" i="50"/>
  <c r="AC17" i="26"/>
  <c r="EL152" i="50"/>
  <c r="BV90" i="50"/>
  <c r="DX153" i="50"/>
  <c r="AB157" i="50"/>
  <c r="FC221" i="50"/>
  <c r="EL116" i="50"/>
  <c r="BV95" i="50"/>
  <c r="DX127" i="50"/>
  <c r="AR157" i="50"/>
  <c r="FC199" i="50"/>
  <c r="S197" i="50"/>
  <c r="DX226" i="50"/>
  <c r="DA81" i="50"/>
  <c r="BC197" i="50"/>
  <c r="EL147" i="50"/>
  <c r="BV127" i="50"/>
  <c r="DX202" i="50"/>
  <c r="DA92" i="50"/>
  <c r="DQ197" i="50"/>
  <c r="EL113" i="50"/>
  <c r="BV184" i="50"/>
  <c r="DX166" i="50"/>
  <c r="DA74" i="50"/>
  <c r="EW197" i="50"/>
  <c r="EL119" i="50"/>
  <c r="BV190" i="50"/>
  <c r="DX164" i="50"/>
  <c r="DA80" i="50"/>
  <c r="BF197" i="50"/>
  <c r="EL194" i="50"/>
  <c r="BV164" i="50"/>
  <c r="DX130" i="50"/>
  <c r="I157" i="50"/>
  <c r="CF197" i="50"/>
  <c r="EL104" i="50"/>
  <c r="BV130" i="50"/>
  <c r="DX112" i="50"/>
  <c r="Z157" i="50"/>
  <c r="FC206" i="50"/>
  <c r="EL124" i="50"/>
  <c r="BV103" i="50"/>
  <c r="DX135" i="50"/>
  <c r="AP157" i="50"/>
  <c r="FC207" i="50"/>
  <c r="EL97" i="50"/>
  <c r="BV77" i="50"/>
  <c r="DX101" i="50"/>
  <c r="BK157" i="50"/>
  <c r="FC171" i="50"/>
  <c r="EL79" i="50"/>
  <c r="AC32" i="50"/>
  <c r="DX107" i="50"/>
  <c r="AN157" i="50"/>
  <c r="FC169" i="50"/>
  <c r="EL85" i="50"/>
  <c r="AH43" i="50"/>
  <c r="DX89" i="50"/>
  <c r="DO157" i="50"/>
  <c r="FC139" i="50"/>
  <c r="CJ226" i="50"/>
  <c r="AC18" i="50"/>
  <c r="DX100" i="50"/>
  <c r="ED157" i="50"/>
  <c r="FC121" i="50"/>
  <c r="EL122" i="50"/>
  <c r="BV101" i="50"/>
  <c r="DX125" i="50"/>
  <c r="DM157" i="50"/>
  <c r="FC205" i="50"/>
  <c r="EL103" i="50"/>
  <c r="BV83" i="50"/>
  <c r="DX99" i="50"/>
  <c r="BY157" i="50"/>
  <c r="FC157" i="50"/>
  <c r="EL77" i="50"/>
  <c r="H30" i="50"/>
  <c r="DX81" i="50"/>
  <c r="AK157" i="50"/>
  <c r="FC167" i="50"/>
  <c r="EL75" i="50"/>
  <c r="AC28" i="50"/>
  <c r="DX87" i="50"/>
  <c r="CQ157" i="50"/>
  <c r="FC145" i="50"/>
  <c r="CJ224" i="50"/>
  <c r="AC14" i="50"/>
  <c r="DX90" i="50"/>
  <c r="BD157" i="50"/>
  <c r="FC119" i="50"/>
  <c r="CJ194" i="50"/>
  <c r="AC19" i="50"/>
  <c r="AI20" i="50"/>
  <c r="EI157" i="50"/>
  <c r="FC130" i="50"/>
  <c r="CJ120" i="50"/>
  <c r="AX228" i="50"/>
  <c r="K31" i="50"/>
  <c r="CZ157" i="50"/>
  <c r="FC104" i="50"/>
  <c r="CJ185" i="50"/>
  <c r="DZ228" i="50"/>
  <c r="AI14" i="50"/>
  <c r="AV143" i="50"/>
  <c r="FC86" i="50"/>
  <c r="CJ191" i="50"/>
  <c r="Q228" i="50"/>
  <c r="AA17" i="26"/>
  <c r="H143" i="50"/>
  <c r="FC92" i="50"/>
  <c r="CJ109" i="50"/>
  <c r="Y228" i="50"/>
  <c r="J211" i="50"/>
  <c r="W143" i="50"/>
  <c r="FC95" i="50"/>
  <c r="CJ83" i="50"/>
  <c r="EA228" i="50"/>
  <c r="BI211" i="50"/>
  <c r="AK54" i="50"/>
  <c r="AY211" i="50"/>
  <c r="AF143" i="50"/>
  <c r="F174" i="50"/>
  <c r="CJ147" i="50"/>
  <c r="AK228" i="50"/>
  <c r="BW211" i="50"/>
  <c r="AB143" i="50"/>
  <c r="L174" i="50"/>
  <c r="CJ113" i="50"/>
  <c r="EC228" i="50"/>
  <c r="AI211" i="50"/>
  <c r="AR143" i="50"/>
  <c r="R174" i="50"/>
  <c r="CJ119" i="50"/>
  <c r="BC228" i="50"/>
  <c r="BJ211" i="50"/>
  <c r="DM143" i="50"/>
  <c r="X174" i="50"/>
  <c r="CJ100" i="50"/>
  <c r="DP228" i="50"/>
  <c r="AL211" i="50"/>
  <c r="BY143" i="50"/>
  <c r="AZ174" i="50"/>
  <c r="CJ73" i="50"/>
  <c r="EW228" i="50"/>
  <c r="AM211" i="50"/>
  <c r="EF143" i="50"/>
  <c r="AK174" i="50"/>
  <c r="DA168" i="50"/>
  <c r="BU228" i="50"/>
  <c r="CC211" i="50"/>
  <c r="CV143" i="50"/>
  <c r="CQ174" i="50"/>
  <c r="DA134" i="50"/>
  <c r="I197" i="50"/>
  <c r="CW211" i="50"/>
  <c r="EZ143" i="50"/>
  <c r="BD174" i="50"/>
  <c r="DA116" i="50"/>
  <c r="AY197" i="50"/>
  <c r="CE211" i="50"/>
  <c r="EI143" i="50"/>
  <c r="DP174" i="50"/>
  <c r="DA122" i="50"/>
  <c r="BI197" i="50"/>
  <c r="CX211" i="50"/>
  <c r="CZ143" i="50"/>
  <c r="EW174" i="50"/>
  <c r="DA173" i="50"/>
  <c r="EQ197" i="50"/>
  <c r="EK211" i="50"/>
  <c r="BV210" i="50"/>
  <c r="BQ174" i="50"/>
  <c r="DA166" i="50"/>
  <c r="F197" i="50"/>
  <c r="DR211" i="50"/>
  <c r="BG143" i="50"/>
  <c r="ES174" i="50"/>
  <c r="DA140" i="50"/>
  <c r="J197" i="50"/>
  <c r="BR211" i="50"/>
  <c r="EJ143" i="50"/>
  <c r="DQ174" i="50"/>
  <c r="DA114" i="50"/>
  <c r="R197" i="50"/>
  <c r="CG211" i="50"/>
  <c r="BS143" i="50"/>
  <c r="BN174" i="50"/>
  <c r="DA112" i="50"/>
  <c r="DK197" i="50"/>
  <c r="EZ211" i="50"/>
  <c r="CI143" i="50"/>
  <c r="BF174" i="50"/>
  <c r="DA171" i="50"/>
  <c r="AZ197" i="50"/>
  <c r="EL226" i="50"/>
  <c r="BV221" i="50"/>
  <c r="EH174" i="50"/>
  <c r="DA149" i="50"/>
  <c r="AB197" i="50"/>
  <c r="EL171" i="50"/>
  <c r="BV147" i="50"/>
  <c r="DX228" i="50"/>
  <c r="DA91" i="50"/>
  <c r="CQ197" i="50"/>
  <c r="EL149" i="50"/>
  <c r="BV129" i="50"/>
  <c r="DX194" i="50"/>
  <c r="DA94" i="50"/>
  <c r="EV197" i="50"/>
  <c r="EL123" i="50"/>
  <c r="BV194" i="50"/>
  <c r="DX168" i="50"/>
  <c r="DA100" i="50"/>
  <c r="DP197" i="50"/>
  <c r="EL121" i="50"/>
  <c r="BV192" i="50"/>
  <c r="DX174" i="50"/>
  <c r="DA82" i="50"/>
  <c r="EF197" i="50"/>
  <c r="EL188" i="50"/>
  <c r="BV152" i="50"/>
  <c r="DX132" i="50"/>
  <c r="D157" i="50"/>
  <c r="EL106" i="50"/>
  <c r="E28" i="41" l="1"/>
  <c r="S183" i="49"/>
  <c r="CH66" i="49"/>
  <c r="N206" i="49"/>
  <c r="BR35" i="49"/>
  <c r="AH206" i="49"/>
  <c r="FJ35" i="49"/>
  <c r="N14" i="43"/>
  <c r="M15" i="43"/>
  <c r="D152" i="49"/>
  <c r="N35" i="49"/>
  <c r="X152" i="49"/>
  <c r="DF35" i="49"/>
  <c r="V19" i="26"/>
  <c r="T20" i="26"/>
  <c r="U20" i="26" s="1"/>
  <c r="W19" i="26"/>
  <c r="Y19" i="26" s="1"/>
  <c r="S19" i="26"/>
  <c r="D237" i="49"/>
  <c r="V66" i="49"/>
  <c r="AC237" i="49"/>
  <c r="EL66" i="49"/>
  <c r="N220" i="49"/>
  <c r="BR49" i="49"/>
  <c r="AH220" i="49"/>
  <c r="FJ49" i="49"/>
  <c r="FD50" i="49"/>
  <c r="AI167" i="49" s="1"/>
  <c r="EY50" i="49"/>
  <c r="AF167" i="49" s="1"/>
  <c r="EF50" i="49"/>
  <c r="AD167" i="49" s="1"/>
  <c r="EA50" i="49"/>
  <c r="AA167" i="49" s="1"/>
  <c r="DH50" i="49"/>
  <c r="Y167" i="49" s="1"/>
  <c r="DC50" i="49"/>
  <c r="V167" i="49" s="1"/>
  <c r="CJ50" i="49"/>
  <c r="T167" i="49" s="1"/>
  <c r="CE50" i="49"/>
  <c r="Q167" i="49" s="1"/>
  <c r="BL50" i="49"/>
  <c r="O167" i="49" s="1"/>
  <c r="BG50" i="49"/>
  <c r="L167" i="49" s="1"/>
  <c r="AN50" i="49"/>
  <c r="J167" i="49" s="1"/>
  <c r="AI50" i="49"/>
  <c r="G167" i="49" s="1"/>
  <c r="P50" i="49"/>
  <c r="E167" i="49" s="1"/>
  <c r="K50" i="49"/>
  <c r="B167" i="49" s="1"/>
  <c r="FA50" i="49"/>
  <c r="EC50" i="49"/>
  <c r="DE50" i="49"/>
  <c r="CG50" i="49"/>
  <c r="BI50" i="49"/>
  <c r="AK50" i="49"/>
  <c r="M50" i="49"/>
  <c r="FE50" i="49"/>
  <c r="EZ50" i="49"/>
  <c r="AG167" i="49" s="1"/>
  <c r="EG50" i="49"/>
  <c r="EB50" i="49"/>
  <c r="AB167" i="49" s="1"/>
  <c r="DI50" i="49"/>
  <c r="DD50" i="49"/>
  <c r="W167" i="49" s="1"/>
  <c r="CK50" i="49"/>
  <c r="CF50" i="49"/>
  <c r="R167" i="49" s="1"/>
  <c r="BM50" i="49"/>
  <c r="BH50" i="49"/>
  <c r="M167" i="49" s="1"/>
  <c r="AO50" i="49"/>
  <c r="AJ50" i="49"/>
  <c r="H167" i="49" s="1"/>
  <c r="Q50" i="49"/>
  <c r="L50" i="49"/>
  <c r="C167" i="49" s="1"/>
  <c r="F148" i="7"/>
  <c r="I166" i="49"/>
  <c r="AL49" i="49"/>
  <c r="AC166" i="49"/>
  <c r="ED49" i="49"/>
  <c r="H28" i="41"/>
  <c r="X183" i="49"/>
  <c r="DF66" i="49"/>
  <c r="I183" i="49"/>
  <c r="AL66" i="49"/>
  <c r="N183" i="49"/>
  <c r="BJ66" i="49"/>
  <c r="BI16" i="26"/>
  <c r="BJ16" i="26" s="1"/>
  <c r="BM15" i="26"/>
  <c r="BN15" i="26"/>
  <c r="BO15" i="26"/>
  <c r="S206" i="49"/>
  <c r="CP35" i="49"/>
  <c r="I152" i="49"/>
  <c r="AL35" i="49"/>
  <c r="AC152" i="49"/>
  <c r="ED35" i="49"/>
  <c r="Z23" i="25"/>
  <c r="AB22" i="25"/>
  <c r="AC22" i="25" s="1"/>
  <c r="AA22" i="25"/>
  <c r="AH237" i="49"/>
  <c r="FJ66" i="49"/>
  <c r="S237" i="49"/>
  <c r="CP66" i="49"/>
  <c r="FI50" i="49"/>
  <c r="EK50" i="49"/>
  <c r="DM50" i="49"/>
  <c r="CO50" i="49"/>
  <c r="BQ50" i="49"/>
  <c r="AS50" i="49"/>
  <c r="U50" i="49"/>
  <c r="FM50" i="49"/>
  <c r="FH50" i="49"/>
  <c r="AG221" i="49" s="1"/>
  <c r="EO50" i="49"/>
  <c r="EJ50" i="49"/>
  <c r="AB221" i="49" s="1"/>
  <c r="DQ50" i="49"/>
  <c r="DL50" i="49"/>
  <c r="W221" i="49" s="1"/>
  <c r="CS50" i="49"/>
  <c r="CN50" i="49"/>
  <c r="R221" i="49" s="1"/>
  <c r="BU50" i="49"/>
  <c r="BP50" i="49"/>
  <c r="M221" i="49" s="1"/>
  <c r="AW50" i="49"/>
  <c r="AR50" i="49"/>
  <c r="H221" i="49" s="1"/>
  <c r="Y50" i="49"/>
  <c r="T50" i="49"/>
  <c r="C221" i="49" s="1"/>
  <c r="FL50" i="49"/>
  <c r="AI221" i="49" s="1"/>
  <c r="FG50" i="49"/>
  <c r="AF221" i="49" s="1"/>
  <c r="EN50" i="49"/>
  <c r="AD221" i="49" s="1"/>
  <c r="EI50" i="49"/>
  <c r="AA221" i="49" s="1"/>
  <c r="DP50" i="49"/>
  <c r="Y221" i="49" s="1"/>
  <c r="DK50" i="49"/>
  <c r="V221" i="49" s="1"/>
  <c r="CR50" i="49"/>
  <c r="T221" i="49" s="1"/>
  <c r="CM50" i="49"/>
  <c r="Q221" i="49" s="1"/>
  <c r="BT50" i="49"/>
  <c r="O221" i="49" s="1"/>
  <c r="BO50" i="49"/>
  <c r="L221" i="49" s="1"/>
  <c r="AV50" i="49"/>
  <c r="J221" i="49" s="1"/>
  <c r="AQ50" i="49"/>
  <c r="G221" i="49" s="1"/>
  <c r="X50" i="49"/>
  <c r="E221" i="49" s="1"/>
  <c r="S50" i="49"/>
  <c r="B221" i="49" s="1"/>
  <c r="H148" i="7"/>
  <c r="S220" i="49"/>
  <c r="CP49" i="49"/>
  <c r="N20" i="34"/>
  <c r="M20" i="34"/>
  <c r="J21" i="34" s="1"/>
  <c r="L20" i="34"/>
  <c r="K20" i="34" s="1"/>
  <c r="N166" i="49"/>
  <c r="BJ49" i="49"/>
  <c r="AH166" i="49"/>
  <c r="FB49" i="49"/>
  <c r="FA67" i="49"/>
  <c r="EC67" i="49"/>
  <c r="DE67" i="49"/>
  <c r="CG67" i="49"/>
  <c r="BI67" i="49"/>
  <c r="AK67" i="49"/>
  <c r="M67" i="49"/>
  <c r="FE67" i="49"/>
  <c r="EZ67" i="49"/>
  <c r="AG184" i="49" s="1"/>
  <c r="EG67" i="49"/>
  <c r="EB67" i="49"/>
  <c r="AB184" i="49" s="1"/>
  <c r="DI67" i="49"/>
  <c r="DD67" i="49"/>
  <c r="W184" i="49" s="1"/>
  <c r="CK67" i="49"/>
  <c r="CF67" i="49"/>
  <c r="R184" i="49" s="1"/>
  <c r="BM67" i="49"/>
  <c r="BH67" i="49"/>
  <c r="M184" i="49" s="1"/>
  <c r="AO67" i="49"/>
  <c r="AJ67" i="49"/>
  <c r="H184" i="49" s="1"/>
  <c r="Q67" i="49"/>
  <c r="L67" i="49"/>
  <c r="C184" i="49" s="1"/>
  <c r="FD67" i="49"/>
  <c r="AI184" i="49" s="1"/>
  <c r="EY67" i="49"/>
  <c r="AF184" i="49" s="1"/>
  <c r="EF67" i="49"/>
  <c r="AD184" i="49" s="1"/>
  <c r="EA67" i="49"/>
  <c r="AA184" i="49" s="1"/>
  <c r="DH67" i="49"/>
  <c r="Y184" i="49" s="1"/>
  <c r="DC67" i="49"/>
  <c r="V184" i="49" s="1"/>
  <c r="CJ67" i="49"/>
  <c r="T184" i="49" s="1"/>
  <c r="CE67" i="49"/>
  <c r="Q184" i="49" s="1"/>
  <c r="BL67" i="49"/>
  <c r="O184" i="49" s="1"/>
  <c r="BG67" i="49"/>
  <c r="L184" i="49" s="1"/>
  <c r="AN67" i="49"/>
  <c r="J184" i="49" s="1"/>
  <c r="AI67" i="49"/>
  <c r="G184" i="49" s="1"/>
  <c r="P67" i="49"/>
  <c r="E184" i="49" s="1"/>
  <c r="K67" i="49"/>
  <c r="B184" i="49" s="1"/>
  <c r="F165" i="7"/>
  <c r="D183" i="49"/>
  <c r="N66" i="49"/>
  <c r="BP15" i="26"/>
  <c r="BQ15" i="26"/>
  <c r="BR15" i="26"/>
  <c r="BS15" i="26"/>
  <c r="D206" i="49"/>
  <c r="V35" i="49"/>
  <c r="X206" i="49"/>
  <c r="DN35" i="49"/>
  <c r="N152" i="49"/>
  <c r="BJ35" i="49"/>
  <c r="AH152" i="49"/>
  <c r="FB35" i="49"/>
  <c r="N22" i="43"/>
  <c r="M23" i="43"/>
  <c r="M34" i="43"/>
  <c r="N33" i="43"/>
  <c r="X237" i="49"/>
  <c r="DN66" i="49"/>
  <c r="I237" i="49"/>
  <c r="AT66" i="49"/>
  <c r="D220" i="49"/>
  <c r="V49" i="49"/>
  <c r="X220" i="49"/>
  <c r="DN49" i="49"/>
  <c r="S166" i="49"/>
  <c r="CH49" i="49"/>
  <c r="B29" i="41"/>
  <c r="AC183" i="49"/>
  <c r="ED66" i="49"/>
  <c r="AH183" i="49"/>
  <c r="FB66" i="49"/>
  <c r="BT15" i="26"/>
  <c r="BU15" i="26"/>
  <c r="I206" i="49"/>
  <c r="AT35" i="49"/>
  <c r="AC206" i="49"/>
  <c r="EL35" i="49"/>
  <c r="S152" i="49"/>
  <c r="CH35" i="49"/>
  <c r="FL67" i="49"/>
  <c r="AI238" i="49" s="1"/>
  <c r="FG67" i="49"/>
  <c r="AF238" i="49" s="1"/>
  <c r="EN67" i="49"/>
  <c r="AD238" i="49" s="1"/>
  <c r="EI67" i="49"/>
  <c r="AA238" i="49" s="1"/>
  <c r="DP67" i="49"/>
  <c r="Y238" i="49" s="1"/>
  <c r="DK67" i="49"/>
  <c r="V238" i="49" s="1"/>
  <c r="CR67" i="49"/>
  <c r="T238" i="49" s="1"/>
  <c r="CM67" i="49"/>
  <c r="Q238" i="49" s="1"/>
  <c r="BT67" i="49"/>
  <c r="O238" i="49" s="1"/>
  <c r="BO67" i="49"/>
  <c r="L238" i="49" s="1"/>
  <c r="AV67" i="49"/>
  <c r="J238" i="49" s="1"/>
  <c r="AQ67" i="49"/>
  <c r="G238" i="49" s="1"/>
  <c r="X67" i="49"/>
  <c r="E238" i="49" s="1"/>
  <c r="S67" i="49"/>
  <c r="B238" i="49" s="1"/>
  <c r="FI67" i="49"/>
  <c r="EK67" i="49"/>
  <c r="DM67" i="49"/>
  <c r="CO67" i="49"/>
  <c r="BQ67" i="49"/>
  <c r="AS67" i="49"/>
  <c r="U67" i="49"/>
  <c r="FM67" i="49"/>
  <c r="FH67" i="49"/>
  <c r="AG238" i="49" s="1"/>
  <c r="EO67" i="49"/>
  <c r="EJ67" i="49"/>
  <c r="AB238" i="49" s="1"/>
  <c r="DQ67" i="49"/>
  <c r="DL67" i="49"/>
  <c r="W238" i="49" s="1"/>
  <c r="CS67" i="49"/>
  <c r="CN67" i="49"/>
  <c r="R238" i="49" s="1"/>
  <c r="BU67" i="49"/>
  <c r="BP67" i="49"/>
  <c r="M238" i="49" s="1"/>
  <c r="AW67" i="49"/>
  <c r="AR67" i="49"/>
  <c r="H238" i="49" s="1"/>
  <c r="Y67" i="49"/>
  <c r="T67" i="49"/>
  <c r="C238" i="49" s="1"/>
  <c r="H165" i="7"/>
  <c r="N237" i="49"/>
  <c r="BR66" i="49"/>
  <c r="I220" i="49"/>
  <c r="AT49" i="49"/>
  <c r="AC220" i="49"/>
  <c r="EL49" i="49"/>
  <c r="D166" i="49"/>
  <c r="N49" i="49"/>
  <c r="X166" i="49"/>
  <c r="DF49" i="49"/>
  <c r="EA158" i="50"/>
  <c r="BG212" i="50"/>
  <c r="ED144" i="50"/>
  <c r="CK94" i="50"/>
  <c r="Z212" i="50"/>
  <c r="S144" i="50"/>
  <c r="CK201" i="50"/>
  <c r="FD83" i="50"/>
  <c r="DB95" i="50"/>
  <c r="DX175" i="50"/>
  <c r="FD132" i="50"/>
  <c r="DB200" i="50"/>
  <c r="BZ175" i="50"/>
  <c r="CH229" i="50"/>
  <c r="H39" i="50"/>
  <c r="AV175" i="50"/>
  <c r="ER229" i="50"/>
  <c r="CR198" i="50"/>
  <c r="EM152" i="50"/>
  <c r="CJ158" i="50"/>
  <c r="AJ33" i="50"/>
  <c r="EM217" i="50"/>
  <c r="BB158" i="50"/>
  <c r="EM137" i="50"/>
  <c r="DT229" i="50"/>
  <c r="AK144" i="50"/>
  <c r="FD199" i="50"/>
  <c r="DQ144" i="50"/>
  <c r="FD190" i="50"/>
  <c r="T198" i="50"/>
  <c r="EM221" i="50"/>
  <c r="BY158" i="50"/>
  <c r="CG212" i="50"/>
  <c r="EW144" i="50"/>
  <c r="C158" i="50"/>
  <c r="CP212" i="50"/>
  <c r="AF60" i="50"/>
  <c r="CK163" i="50"/>
  <c r="FD90" i="50"/>
  <c r="R60" i="50"/>
  <c r="CK224" i="50"/>
  <c r="FD197" i="50"/>
  <c r="DB158" i="50"/>
  <c r="BD175" i="50"/>
  <c r="Z18" i="26"/>
  <c r="DB223" i="50"/>
  <c r="AY175" i="50"/>
  <c r="BM229" i="50"/>
  <c r="BO198" i="50"/>
  <c r="EM122" i="50"/>
  <c r="M229" i="50"/>
  <c r="EQ198" i="50"/>
  <c r="EM175" i="50"/>
  <c r="EM158" i="50"/>
  <c r="C144" i="50"/>
  <c r="CK169" i="50"/>
  <c r="L229" i="50"/>
  <c r="AW198" i="50"/>
  <c r="ER198" i="50"/>
  <c r="EM204" i="50"/>
  <c r="DT158" i="50"/>
  <c r="T63" i="50"/>
  <c r="BV144" i="50"/>
  <c r="AP158" i="50"/>
  <c r="EG212" i="50"/>
  <c r="EU144" i="50"/>
  <c r="CK100" i="50"/>
  <c r="AH212" i="50"/>
  <c r="U144" i="50"/>
  <c r="CK112" i="50"/>
  <c r="FD89" i="50"/>
  <c r="DB101" i="50"/>
  <c r="DA175" i="50"/>
  <c r="FD138" i="50"/>
  <c r="DB113" i="50"/>
  <c r="EB175" i="50"/>
  <c r="EJ229" i="50"/>
  <c r="DX198" i="50"/>
  <c r="H175" i="50"/>
  <c r="EM145" i="50"/>
  <c r="FD166" i="50"/>
  <c r="BY198" i="50"/>
  <c r="EA175" i="50"/>
  <c r="DL229" i="50"/>
  <c r="AB198" i="50"/>
  <c r="EM141" i="50"/>
  <c r="DR158" i="50"/>
  <c r="Z33" i="50"/>
  <c r="DB84" i="50"/>
  <c r="EM227" i="50"/>
  <c r="DB92" i="50"/>
  <c r="BP198" i="50"/>
  <c r="AN198" i="50"/>
  <c r="DP144" i="50"/>
  <c r="CK90" i="50"/>
  <c r="AI212" i="50"/>
  <c r="AD27" i="50"/>
  <c r="CK197" i="50"/>
  <c r="FD79" i="50"/>
  <c r="DB91" i="50"/>
  <c r="BV175" i="50"/>
  <c r="FD128" i="50"/>
  <c r="DB196" i="50"/>
  <c r="CQ175" i="50"/>
  <c r="FB229" i="50"/>
  <c r="BV198" i="50"/>
  <c r="K175" i="50"/>
  <c r="BK229" i="50"/>
  <c r="EU198" i="50"/>
  <c r="EM148" i="50"/>
  <c r="DX158" i="50"/>
  <c r="U198" i="50"/>
  <c r="EM209" i="50"/>
  <c r="BZ158" i="50"/>
  <c r="DV212" i="50"/>
  <c r="DS144" i="50"/>
  <c r="AV158" i="50"/>
  <c r="BL144" i="50"/>
  <c r="FB158" i="50"/>
  <c r="EK198" i="50"/>
  <c r="O229" i="50"/>
  <c r="DB225" i="50"/>
  <c r="AO158" i="50"/>
  <c r="EJ212" i="50"/>
  <c r="CU144" i="50"/>
  <c r="E158" i="50"/>
  <c r="AS212" i="50"/>
  <c r="F36" i="50"/>
  <c r="CK155" i="50"/>
  <c r="FD86" i="50"/>
  <c r="T27" i="50"/>
  <c r="CK220" i="50"/>
  <c r="FD193" i="50"/>
  <c r="DB154" i="50"/>
  <c r="BN175" i="50"/>
  <c r="FD227" i="50"/>
  <c r="DB219" i="50"/>
  <c r="DK175" i="50"/>
  <c r="ET229" i="50"/>
  <c r="BF198" i="50"/>
  <c r="EM118" i="50"/>
  <c r="I229" i="50"/>
  <c r="AF33" i="50"/>
  <c r="EM171" i="50"/>
  <c r="BD158" i="50"/>
  <c r="F198" i="50"/>
  <c r="CV144" i="50"/>
  <c r="BW175" i="50"/>
  <c r="CU198" i="50"/>
  <c r="EM112" i="50"/>
  <c r="CK152" i="50"/>
  <c r="FD133" i="50"/>
  <c r="O198" i="50"/>
  <c r="AD18" i="26"/>
  <c r="AQ158" i="50"/>
  <c r="CV212" i="50"/>
  <c r="CS144" i="50"/>
  <c r="CK96" i="50"/>
  <c r="Y212" i="50"/>
  <c r="V144" i="50"/>
  <c r="CK203" i="50"/>
  <c r="FD85" i="50"/>
  <c r="DB97" i="50"/>
  <c r="EL175" i="50"/>
  <c r="FD134" i="50"/>
  <c r="DB202" i="50"/>
  <c r="DN175" i="50"/>
  <c r="DV229" i="50"/>
  <c r="AC33" i="50"/>
  <c r="G175" i="50"/>
  <c r="BA229" i="50"/>
  <c r="CA198" i="50"/>
  <c r="EM154" i="50"/>
  <c r="EM170" i="50"/>
  <c r="AC18" i="26"/>
  <c r="DM212" i="50"/>
  <c r="EM222" i="50"/>
  <c r="CK86" i="50"/>
  <c r="AV198" i="50"/>
  <c r="DW144" i="50"/>
  <c r="AZ158" i="50"/>
  <c r="CT212" i="50"/>
  <c r="DB129" i="50"/>
  <c r="Y27" i="50"/>
  <c r="BB198" i="50"/>
  <c r="BI212" i="50"/>
  <c r="FD104" i="50"/>
  <c r="Q144" i="50"/>
  <c r="CK193" i="50"/>
  <c r="FD75" i="50"/>
  <c r="DB87" i="50"/>
  <c r="CK227" i="50"/>
  <c r="FD124" i="50"/>
  <c r="DB192" i="50"/>
  <c r="BM175" i="50"/>
  <c r="EK229" i="50"/>
  <c r="DB226" i="50"/>
  <c r="M175" i="50"/>
  <c r="AK229" i="50"/>
  <c r="CS198" i="50"/>
  <c r="EM144" i="50"/>
  <c r="BV158" i="50"/>
  <c r="V198" i="50"/>
  <c r="EM205" i="50"/>
  <c r="CQ158" i="50"/>
  <c r="BT212" i="50"/>
  <c r="G36" i="50"/>
  <c r="K158" i="50"/>
  <c r="AU212" i="50"/>
  <c r="Z144" i="50"/>
  <c r="CK147" i="50"/>
  <c r="DB121" i="50"/>
  <c r="CK218" i="50"/>
  <c r="EA212" i="50"/>
  <c r="CK148" i="50"/>
  <c r="Y63" i="50"/>
  <c r="EC175" i="50"/>
  <c r="BA212" i="50"/>
  <c r="AA144" i="50"/>
  <c r="CK151" i="50"/>
  <c r="FD82" i="50"/>
  <c r="H144" i="50"/>
  <c r="CK212" i="50"/>
  <c r="FD189" i="50"/>
  <c r="DB150" i="50"/>
  <c r="EV175" i="50"/>
  <c r="FD223" i="50"/>
  <c r="DB217" i="50"/>
  <c r="DY175" i="50"/>
  <c r="CA229" i="50"/>
  <c r="DR198" i="50"/>
  <c r="EM114" i="50"/>
  <c r="DJ229" i="50"/>
  <c r="CO198" i="50"/>
  <c r="EM167" i="50"/>
  <c r="BN158" i="50"/>
  <c r="R33" i="50"/>
  <c r="EZ144" i="50"/>
  <c r="DK158" i="50"/>
  <c r="DO212" i="50"/>
  <c r="EX198" i="50"/>
  <c r="EM75" i="50"/>
  <c r="ED212" i="50"/>
  <c r="FB198" i="50"/>
  <c r="EM194" i="50"/>
  <c r="EZ158" i="50"/>
  <c r="EX212" i="50"/>
  <c r="BD144" i="50"/>
  <c r="CK92" i="50"/>
  <c r="DL212" i="50"/>
  <c r="X60" i="50"/>
  <c r="CK199" i="50"/>
  <c r="FD81" i="50"/>
  <c r="DB93" i="50"/>
  <c r="FC175" i="50"/>
  <c r="FD130" i="50"/>
  <c r="DB198" i="50"/>
  <c r="BL175" i="50"/>
  <c r="BT229" i="50"/>
  <c r="AH63" i="50"/>
  <c r="D175" i="50"/>
  <c r="AU229" i="50"/>
  <c r="EC198" i="50"/>
  <c r="EM150" i="50"/>
  <c r="EL158" i="50"/>
  <c r="DY198" i="50"/>
  <c r="DL144" i="50"/>
  <c r="DB148" i="50"/>
  <c r="EM108" i="50"/>
  <c r="BC229" i="50"/>
  <c r="DB168" i="50"/>
  <c r="BI175" i="50"/>
  <c r="DQ212" i="50"/>
  <c r="DN144" i="50"/>
  <c r="CK87" i="50"/>
  <c r="U212" i="50"/>
  <c r="DA198" i="50"/>
  <c r="DS198" i="50"/>
  <c r="FD92" i="50"/>
  <c r="CY158" i="50"/>
  <c r="N229" i="50"/>
  <c r="DB83" i="50"/>
  <c r="CK223" i="50"/>
  <c r="FD120" i="50"/>
  <c r="DB188" i="50"/>
  <c r="ET175" i="50"/>
  <c r="CZ229" i="50"/>
  <c r="DB222" i="50"/>
  <c r="I175" i="50"/>
  <c r="AJ229" i="50"/>
  <c r="BD198" i="50"/>
  <c r="EM140" i="50"/>
  <c r="AW229" i="50"/>
  <c r="X63" i="50"/>
  <c r="EM201" i="50"/>
  <c r="BM158" i="50"/>
  <c r="CI212" i="50"/>
  <c r="AA27" i="50"/>
  <c r="M158" i="50"/>
  <c r="AN212" i="50"/>
  <c r="AI144" i="50"/>
  <c r="CK143" i="50"/>
  <c r="FD74" i="50"/>
  <c r="S27" i="50"/>
  <c r="CK204" i="50"/>
  <c r="AA63" i="50"/>
  <c r="EM149" i="50"/>
  <c r="FD225" i="50"/>
  <c r="EM87" i="50"/>
  <c r="FD129" i="50"/>
  <c r="CX144" i="50"/>
  <c r="FD78" i="50"/>
  <c r="C36" i="50"/>
  <c r="CK208" i="50"/>
  <c r="FD185" i="50"/>
  <c r="DB146" i="50"/>
  <c r="BE175" i="50"/>
  <c r="FD219" i="50"/>
  <c r="DB209" i="50"/>
  <c r="P175" i="50"/>
  <c r="EC229" i="50"/>
  <c r="CD198" i="50"/>
  <c r="EM110" i="50"/>
  <c r="BH229" i="50"/>
  <c r="AF63" i="50"/>
  <c r="EM163" i="50"/>
  <c r="EV158" i="50"/>
  <c r="C198" i="50"/>
  <c r="BS144" i="50"/>
  <c r="DY158" i="50"/>
  <c r="BC212" i="50"/>
  <c r="AS144" i="50"/>
  <c r="CK113" i="50"/>
  <c r="L212" i="50"/>
  <c r="BW212" i="50"/>
  <c r="S60" i="50"/>
  <c r="EY229" i="50"/>
  <c r="FD96" i="50"/>
  <c r="AB60" i="50"/>
  <c r="CK219" i="50"/>
  <c r="BJ212" i="50"/>
  <c r="BW144" i="50"/>
  <c r="CK195" i="50"/>
  <c r="FD77" i="50"/>
  <c r="DB89" i="50"/>
  <c r="CK229" i="50"/>
  <c r="FD126" i="50"/>
  <c r="DB194" i="50"/>
  <c r="ES175" i="50"/>
  <c r="CI229" i="50"/>
  <c r="DB228" i="50"/>
  <c r="J175" i="50"/>
  <c r="AN229" i="50"/>
  <c r="CB198" i="50"/>
  <c r="EM146" i="50"/>
  <c r="FC158" i="50"/>
  <c r="P198" i="50"/>
  <c r="EM207" i="50"/>
  <c r="BL158" i="50"/>
  <c r="CH212" i="50"/>
  <c r="G144" i="50"/>
  <c r="AC63" i="50"/>
  <c r="AX144" i="50"/>
  <c r="V158" i="50"/>
  <c r="R63" i="50"/>
  <c r="AL144" i="50"/>
  <c r="V212" i="50"/>
  <c r="W27" i="50"/>
  <c r="CK132" i="50"/>
  <c r="FD109" i="50"/>
  <c r="CQ198" i="50"/>
  <c r="FD113" i="50"/>
  <c r="AX229" i="50"/>
  <c r="ED175" i="50"/>
  <c r="CK156" i="50"/>
  <c r="ES212" i="50"/>
  <c r="DB175" i="50"/>
  <c r="S229" i="50"/>
  <c r="W144" i="50"/>
  <c r="T158" i="50"/>
  <c r="G158" i="50"/>
  <c r="CS229" i="50"/>
  <c r="DB75" i="50"/>
  <c r="EH175" i="50"/>
  <c r="DR229" i="50"/>
  <c r="DZ229" i="50"/>
  <c r="AD63" i="50"/>
  <c r="EF212" i="50"/>
  <c r="AY144" i="50"/>
  <c r="CK136" i="50"/>
  <c r="ES229" i="50"/>
  <c r="FD107" i="50"/>
  <c r="DB131" i="50"/>
  <c r="EM81" i="50"/>
  <c r="X33" i="50"/>
  <c r="CW212" i="50"/>
  <c r="BX212" i="50"/>
  <c r="EZ212" i="50"/>
  <c r="CK117" i="50"/>
  <c r="FD143" i="50"/>
  <c r="EX175" i="50"/>
  <c r="EF229" i="50"/>
  <c r="EM129" i="50"/>
  <c r="Y158" i="50"/>
  <c r="CW229" i="50"/>
  <c r="CK149" i="50"/>
  <c r="AY229" i="50"/>
  <c r="CA212" i="50"/>
  <c r="DB184" i="50"/>
  <c r="CA175" i="50"/>
  <c r="DA229" i="50"/>
  <c r="DB218" i="50"/>
  <c r="DJ175" i="50"/>
  <c r="EB229" i="50"/>
  <c r="BN198" i="50"/>
  <c r="EM136" i="50"/>
  <c r="H229" i="50"/>
  <c r="BW198" i="50"/>
  <c r="EM197" i="50"/>
  <c r="ET158" i="50"/>
  <c r="DW212" i="50"/>
  <c r="EX144" i="50"/>
  <c r="I158" i="50"/>
  <c r="AM212" i="50"/>
  <c r="AB144" i="50"/>
  <c r="CK139" i="50"/>
  <c r="F212" i="50"/>
  <c r="Z27" i="50"/>
  <c r="CK200" i="50"/>
  <c r="FD169" i="50"/>
  <c r="DB138" i="50"/>
  <c r="EF175" i="50"/>
  <c r="ER212" i="50"/>
  <c r="CZ198" i="50"/>
  <c r="EE158" i="50"/>
  <c r="EQ144" i="50"/>
  <c r="EX229" i="50"/>
  <c r="DB108" i="50"/>
  <c r="FD173" i="50"/>
  <c r="DB142" i="50"/>
  <c r="CC175" i="50"/>
  <c r="FD211" i="50"/>
  <c r="DB205" i="50"/>
  <c r="S175" i="50"/>
  <c r="CB229" i="50"/>
  <c r="EG198" i="50"/>
  <c r="EM106" i="50"/>
  <c r="BI229" i="50"/>
  <c r="AH198" i="50"/>
  <c r="EM155" i="50"/>
  <c r="BE158" i="50"/>
  <c r="T33" i="50"/>
  <c r="CY144" i="50"/>
  <c r="P158" i="50"/>
  <c r="CR212" i="50"/>
  <c r="BA144" i="50"/>
  <c r="CK109" i="50"/>
  <c r="O212" i="50"/>
  <c r="DJ144" i="50"/>
  <c r="CK158" i="50"/>
  <c r="FD135" i="50"/>
  <c r="CG229" i="50"/>
  <c r="Z198" i="50"/>
  <c r="BK158" i="50"/>
  <c r="DQ158" i="50"/>
  <c r="EF198" i="50"/>
  <c r="EM173" i="50"/>
  <c r="FD110" i="50"/>
  <c r="DB85" i="50"/>
  <c r="CK225" i="50"/>
  <c r="FD122" i="50"/>
  <c r="DB190" i="50"/>
  <c r="DO175" i="50"/>
  <c r="DW229" i="50"/>
  <c r="DB224" i="50"/>
  <c r="N175" i="50"/>
  <c r="AM229" i="50"/>
  <c r="ED198" i="50"/>
  <c r="EM142" i="50"/>
  <c r="F229" i="50"/>
  <c r="S198" i="50"/>
  <c r="EM203" i="50"/>
  <c r="ES158" i="50"/>
  <c r="FB212" i="50"/>
  <c r="AG60" i="50"/>
  <c r="J158" i="50"/>
  <c r="BK212" i="50"/>
  <c r="DB136" i="50"/>
  <c r="FD158" i="50"/>
  <c r="W33" i="50"/>
  <c r="AO175" i="50"/>
  <c r="FD186" i="50"/>
  <c r="CY198" i="50"/>
  <c r="FD105" i="50"/>
  <c r="DB80" i="50"/>
  <c r="CH175" i="50"/>
  <c r="FD154" i="50"/>
  <c r="AY198" i="50"/>
  <c r="AW158" i="50"/>
  <c r="EM83" i="50"/>
  <c r="ER144" i="50"/>
  <c r="CT144" i="50"/>
  <c r="DB210" i="50"/>
  <c r="BH175" i="50"/>
  <c r="DN229" i="50"/>
  <c r="EV198" i="50"/>
  <c r="EM132" i="50"/>
  <c r="G229" i="50"/>
  <c r="AF198" i="50"/>
  <c r="EM193" i="50"/>
  <c r="CA158" i="50"/>
  <c r="BU212" i="50"/>
  <c r="BQ144" i="50"/>
  <c r="DJ158" i="50"/>
  <c r="BY212" i="50"/>
  <c r="AC144" i="50"/>
  <c r="CK135" i="50"/>
  <c r="C212" i="50"/>
  <c r="AV144" i="50"/>
  <c r="CK196" i="50"/>
  <c r="FD165" i="50"/>
  <c r="DB134" i="50"/>
  <c r="BP175" i="50"/>
  <c r="FD226" i="50"/>
  <c r="DB197" i="50"/>
  <c r="AG175" i="50"/>
  <c r="FD228" i="50"/>
  <c r="AO212" i="50"/>
  <c r="CK144" i="50"/>
  <c r="F144" i="50"/>
  <c r="AL158" i="50"/>
  <c r="W63" i="50"/>
  <c r="FD207" i="50"/>
  <c r="DB201" i="50"/>
  <c r="Q175" i="50"/>
  <c r="ED229" i="50"/>
  <c r="CV198" i="50"/>
  <c r="EM102" i="50"/>
  <c r="W229" i="50"/>
  <c r="Y198" i="50"/>
  <c r="EM151" i="50"/>
  <c r="CC158" i="50"/>
  <c r="E198" i="50"/>
  <c r="FA144" i="50"/>
  <c r="S158" i="50"/>
  <c r="EU212" i="50"/>
  <c r="AU144" i="50"/>
  <c r="CK105" i="50"/>
  <c r="AX212" i="50"/>
  <c r="V27" i="50"/>
  <c r="CK154" i="50"/>
  <c r="FD131" i="50"/>
  <c r="DB106" i="50"/>
  <c r="EY175" i="50"/>
  <c r="FD192" i="50"/>
  <c r="DN158" i="50"/>
  <c r="T212" i="50"/>
  <c r="CT175" i="50"/>
  <c r="EZ175" i="50"/>
  <c r="BH212" i="50"/>
  <c r="DB153" i="50"/>
  <c r="FD118" i="50"/>
  <c r="DB186" i="50"/>
  <c r="BC175" i="50"/>
  <c r="BU229" i="50"/>
  <c r="DB220" i="50"/>
  <c r="L175" i="50"/>
  <c r="BY229" i="50"/>
  <c r="DP198" i="50"/>
  <c r="EM138" i="50"/>
  <c r="C229" i="50"/>
  <c r="AD33" i="50"/>
  <c r="EM199" i="50"/>
  <c r="DO158" i="50"/>
  <c r="EK212" i="50"/>
  <c r="BG144" i="50"/>
  <c r="N158" i="50"/>
  <c r="AK212" i="50"/>
  <c r="BJ144" i="50"/>
  <c r="CK141" i="50"/>
  <c r="FD73" i="50"/>
  <c r="AC198" i="50"/>
  <c r="AK158" i="50"/>
  <c r="FD195" i="50"/>
  <c r="EE144" i="50"/>
  <c r="CK82" i="50"/>
  <c r="CE212" i="50"/>
  <c r="FD150" i="50"/>
  <c r="DB125" i="50"/>
  <c r="BK175" i="50"/>
  <c r="CX229" i="50"/>
  <c r="BS212" i="50"/>
  <c r="EM104" i="50"/>
  <c r="R27" i="50"/>
  <c r="CH198" i="50"/>
  <c r="DB229" i="50"/>
  <c r="BE198" i="50"/>
  <c r="EM128" i="50"/>
  <c r="D229" i="50"/>
  <c r="DZ198" i="50"/>
  <c r="EM189" i="50"/>
  <c r="EC158" i="50"/>
  <c r="CJ212" i="50"/>
  <c r="CW144" i="50"/>
  <c r="BH158" i="50"/>
  <c r="BB212" i="50"/>
  <c r="AE144" i="50"/>
  <c r="CK131" i="50"/>
  <c r="E212" i="50"/>
  <c r="K144" i="50"/>
  <c r="CK192" i="50"/>
  <c r="FD157" i="50"/>
  <c r="DB130" i="50"/>
  <c r="EW175" i="50"/>
  <c r="FD222" i="50"/>
  <c r="DB193" i="50"/>
  <c r="EQ175" i="50"/>
  <c r="CT229" i="50"/>
  <c r="BG198" i="50"/>
  <c r="EM94" i="50"/>
  <c r="CD158" i="50"/>
  <c r="FD88" i="50"/>
  <c r="EM186" i="50"/>
  <c r="S63" i="50"/>
  <c r="CB175" i="50"/>
  <c r="FD108" i="50"/>
  <c r="DP229" i="50"/>
  <c r="G39" i="50"/>
  <c r="EM98" i="50"/>
  <c r="R229" i="50"/>
  <c r="DL198" i="50"/>
  <c r="EM147" i="50"/>
  <c r="EF158" i="50"/>
  <c r="C39" i="50"/>
  <c r="CH144" i="50"/>
  <c r="Q158" i="50"/>
  <c r="CS212" i="50"/>
  <c r="AN144" i="50"/>
  <c r="CK101" i="50"/>
  <c r="X212" i="50"/>
  <c r="AB27" i="50"/>
  <c r="CK150" i="50"/>
  <c r="FD127" i="50"/>
  <c r="DB102" i="50"/>
  <c r="DT175" i="50"/>
  <c r="FD188" i="50"/>
  <c r="DB151" i="50"/>
  <c r="AP175" i="50"/>
  <c r="DS229" i="50"/>
  <c r="CK202" i="50"/>
  <c r="AQ229" i="50"/>
  <c r="DV144" i="50"/>
  <c r="EM218" i="50"/>
  <c r="BJ229" i="50"/>
  <c r="AB212" i="50"/>
  <c r="CJ229" i="50"/>
  <c r="DB212" i="50"/>
  <c r="O175" i="50"/>
  <c r="BB229" i="50"/>
  <c r="CT198" i="50"/>
  <c r="EM134" i="50"/>
  <c r="E229" i="50"/>
  <c r="Q198" i="50"/>
  <c r="EM195" i="50"/>
  <c r="BC158" i="50"/>
  <c r="CZ212" i="50"/>
  <c r="CE144" i="50"/>
  <c r="L158" i="50"/>
  <c r="AJ212" i="50"/>
  <c r="BX144" i="50"/>
  <c r="CK137" i="50"/>
  <c r="AW212" i="50"/>
  <c r="V60" i="50"/>
  <c r="CK198" i="50"/>
  <c r="FD167" i="50"/>
  <c r="FD101" i="50"/>
  <c r="DQ175" i="50"/>
  <c r="BW158" i="50"/>
  <c r="DB164" i="50"/>
  <c r="W175" i="50"/>
  <c r="EL229" i="50"/>
  <c r="EI229" i="50"/>
  <c r="EL198" i="50"/>
  <c r="AB18" i="26"/>
  <c r="AR229" i="50"/>
  <c r="AL212" i="50"/>
  <c r="X27" i="50"/>
  <c r="H198" i="50"/>
  <c r="AE212" i="50"/>
  <c r="ET212" i="50"/>
  <c r="AL33" i="50"/>
  <c r="EM185" i="50"/>
  <c r="CB158" i="50"/>
  <c r="DX212" i="50"/>
  <c r="EY144" i="50"/>
  <c r="BI158" i="50"/>
  <c r="BZ212" i="50"/>
  <c r="DM144" i="50"/>
  <c r="CK127" i="50"/>
  <c r="AV212" i="50"/>
  <c r="M144" i="50"/>
  <c r="CK188" i="50"/>
  <c r="FD153" i="50"/>
  <c r="DB126" i="50"/>
  <c r="CU175" i="50"/>
  <c r="FD218" i="50"/>
  <c r="DB189" i="50"/>
  <c r="CO175" i="50"/>
  <c r="DQ229" i="50"/>
  <c r="CE198" i="50"/>
  <c r="EM90" i="50"/>
  <c r="U229" i="50"/>
  <c r="BX198" i="50"/>
  <c r="EM139" i="50"/>
  <c r="CK128" i="50"/>
  <c r="X229" i="50"/>
  <c r="AF27" i="50"/>
  <c r="FD174" i="50"/>
  <c r="EM169" i="50"/>
  <c r="J229" i="50"/>
  <c r="T229" i="50"/>
  <c r="BJ198" i="50"/>
  <c r="EM143" i="50"/>
  <c r="BP158" i="50"/>
  <c r="G198" i="50"/>
  <c r="FB144" i="50"/>
  <c r="AG158" i="50"/>
  <c r="BD212" i="50"/>
  <c r="AM144" i="50"/>
  <c r="CK97" i="50"/>
  <c r="AY212" i="50"/>
  <c r="BH144" i="50"/>
  <c r="CK146" i="50"/>
  <c r="FD123" i="50"/>
  <c r="DB98" i="50"/>
  <c r="CX175" i="50"/>
  <c r="FD184" i="50"/>
  <c r="DB147" i="50"/>
  <c r="AQ175" i="50"/>
  <c r="BG229" i="50"/>
  <c r="EJ198" i="50"/>
  <c r="EM97" i="50"/>
  <c r="Z229" i="50"/>
  <c r="DZ175" i="50"/>
  <c r="CK157" i="50"/>
  <c r="DB137" i="50"/>
  <c r="DB221" i="50"/>
  <c r="CK185" i="50"/>
  <c r="BL229" i="50"/>
  <c r="BZ229" i="50"/>
  <c r="DQ198" i="50"/>
  <c r="EM130" i="50"/>
  <c r="AV229" i="50"/>
  <c r="AG198" i="50"/>
  <c r="EM191" i="50"/>
  <c r="CR158" i="50"/>
  <c r="DA212" i="50"/>
  <c r="EH144" i="50"/>
  <c r="O158" i="50"/>
  <c r="EB212" i="50"/>
  <c r="AD144" i="50"/>
  <c r="CK133" i="50"/>
  <c r="H212" i="50"/>
  <c r="D144" i="50"/>
  <c r="CK194" i="50"/>
  <c r="FD163" i="50"/>
  <c r="DB132" i="50"/>
  <c r="DR175" i="50"/>
  <c r="FD224" i="50"/>
  <c r="DA158" i="50"/>
  <c r="BT144" i="50"/>
  <c r="BS175" i="50"/>
  <c r="F39" i="50"/>
  <c r="DB104" i="50"/>
  <c r="ED158" i="50"/>
  <c r="CP229" i="50"/>
  <c r="BM198" i="50"/>
  <c r="EM166" i="50"/>
  <c r="EK158" i="50"/>
  <c r="FD84" i="50"/>
  <c r="AE63" i="50"/>
  <c r="FD121" i="50"/>
  <c r="DO229" i="50"/>
  <c r="CV229" i="50"/>
  <c r="AY158" i="50"/>
  <c r="CC229" i="50"/>
  <c r="AE198" i="50"/>
  <c r="FD191" i="50"/>
  <c r="EG144" i="50"/>
  <c r="AH144" i="50"/>
  <c r="EM206" i="50"/>
  <c r="FD137" i="50"/>
  <c r="FD198" i="50"/>
  <c r="DU198" i="50"/>
  <c r="AR198" i="50"/>
  <c r="AK60" i="50"/>
  <c r="CK77" i="50"/>
  <c r="CK126" i="50"/>
  <c r="AA198" i="50"/>
  <c r="AE60" i="50"/>
  <c r="DV175" i="50"/>
  <c r="BA175" i="50"/>
  <c r="AE229" i="50"/>
  <c r="EM188" i="50"/>
  <c r="AS158" i="50"/>
  <c r="AF144" i="50"/>
  <c r="AL175" i="50"/>
  <c r="CP144" i="50"/>
  <c r="I144" i="50"/>
  <c r="DB171" i="50"/>
  <c r="EM80" i="50"/>
  <c r="CV158" i="50"/>
  <c r="ET198" i="50"/>
  <c r="DM175" i="50"/>
  <c r="FD80" i="50"/>
  <c r="DB141" i="50"/>
  <c r="BV212" i="50"/>
  <c r="DT144" i="50"/>
  <c r="W158" i="50"/>
  <c r="CQ212" i="50"/>
  <c r="EA144" i="50"/>
  <c r="CK123" i="50"/>
  <c r="K212" i="50"/>
  <c r="D36" i="50"/>
  <c r="CK184" i="50"/>
  <c r="FD149" i="50"/>
  <c r="DB122" i="50"/>
  <c r="DS175" i="50"/>
  <c r="FD212" i="50"/>
  <c r="DB185" i="50"/>
  <c r="AA175" i="50"/>
  <c r="EE229" i="50"/>
  <c r="EH198" i="50"/>
  <c r="EM86" i="50"/>
  <c r="V229" i="50"/>
  <c r="AD198" i="50"/>
  <c r="EM135" i="50"/>
  <c r="CU158" i="50"/>
  <c r="D198" i="50"/>
  <c r="EM211" i="50"/>
  <c r="AW175" i="50"/>
  <c r="CK140" i="50"/>
  <c r="DB206" i="50"/>
  <c r="AT158" i="50"/>
  <c r="AT144" i="50"/>
  <c r="CK164" i="50"/>
  <c r="EW158" i="50"/>
  <c r="V63" i="50"/>
  <c r="EK144" i="50"/>
  <c r="EQ158" i="50"/>
  <c r="BN212" i="50"/>
  <c r="BY144" i="50"/>
  <c r="CK93" i="50"/>
  <c r="DK212" i="50"/>
  <c r="BI144" i="50"/>
  <c r="CK142" i="50"/>
  <c r="FD119" i="50"/>
  <c r="DB94" i="50"/>
  <c r="EI175" i="50"/>
  <c r="FD172" i="50"/>
  <c r="DB143" i="50"/>
  <c r="AR175" i="50"/>
  <c r="CE229" i="50"/>
  <c r="DV198" i="50"/>
  <c r="EM93" i="50"/>
  <c r="AI229" i="50"/>
  <c r="BK198" i="50"/>
  <c r="EM200" i="50"/>
  <c r="CX158" i="50"/>
  <c r="BU144" i="50"/>
  <c r="V175" i="50"/>
  <c r="DU212" i="50"/>
  <c r="EC212" i="50"/>
  <c r="EM120" i="50"/>
  <c r="R158" i="50"/>
  <c r="K229" i="50"/>
  <c r="AB63" i="50"/>
  <c r="EM187" i="50"/>
  <c r="EU158" i="50"/>
  <c r="EL212" i="50"/>
  <c r="BR144" i="50"/>
  <c r="AX158" i="50"/>
  <c r="DN212" i="50"/>
  <c r="AP144" i="50"/>
  <c r="CK129" i="50"/>
  <c r="G212" i="50"/>
  <c r="J144" i="50"/>
  <c r="CK190" i="50"/>
  <c r="FD155" i="50"/>
  <c r="DB128" i="50"/>
  <c r="CD175" i="50"/>
  <c r="FD220" i="50"/>
  <c r="DB191" i="50"/>
  <c r="AZ175" i="50"/>
  <c r="EV229" i="50"/>
  <c r="CK145" i="50"/>
  <c r="DB88" i="50"/>
  <c r="BO144" i="50"/>
  <c r="BQ229" i="50"/>
  <c r="EH212" i="50"/>
  <c r="BR175" i="50"/>
  <c r="CZ158" i="50"/>
  <c r="DK198" i="50"/>
  <c r="EM223" i="50"/>
  <c r="AJ158" i="50"/>
  <c r="FD187" i="50"/>
  <c r="EU229" i="50"/>
  <c r="FA158" i="50"/>
  <c r="CK107" i="50"/>
  <c r="CK189" i="50"/>
  <c r="BM212" i="50"/>
  <c r="AO144" i="50"/>
  <c r="CK119" i="50"/>
  <c r="M212" i="50"/>
  <c r="N144" i="50"/>
  <c r="CK172" i="50"/>
  <c r="FD145" i="50"/>
  <c r="DB118" i="50"/>
  <c r="BG175" i="50"/>
  <c r="FD208" i="50"/>
  <c r="DB173" i="50"/>
  <c r="Z175" i="50"/>
  <c r="BO229" i="50"/>
  <c r="BR198" i="50"/>
  <c r="EM82" i="50"/>
  <c r="BW229" i="50"/>
  <c r="AP198" i="50"/>
  <c r="EM131" i="50"/>
  <c r="DS158" i="50"/>
  <c r="J198" i="50"/>
  <c r="DA144" i="50"/>
  <c r="AA158" i="50"/>
  <c r="BE212" i="50"/>
  <c r="DB195" i="50"/>
  <c r="EM219" i="50"/>
  <c r="EM79" i="50"/>
  <c r="CB212" i="50"/>
  <c r="CK207" i="50"/>
  <c r="FA198" i="50"/>
  <c r="CZ144" i="50"/>
  <c r="CO158" i="50"/>
  <c r="EV212" i="50"/>
  <c r="BB144" i="50"/>
  <c r="CK89" i="50"/>
  <c r="DY212" i="50"/>
  <c r="U60" i="50"/>
  <c r="CK138" i="50"/>
  <c r="FD115" i="50"/>
  <c r="DB90" i="50"/>
  <c r="CG175" i="50"/>
  <c r="FD168" i="50"/>
  <c r="DB139" i="50"/>
  <c r="CP175" i="50"/>
  <c r="EH229" i="50"/>
  <c r="BT198" i="50"/>
  <c r="EM89" i="50"/>
  <c r="AB229" i="50"/>
  <c r="AK198" i="50"/>
  <c r="EM196" i="50"/>
  <c r="EI158" i="50"/>
  <c r="AB33" i="50"/>
  <c r="EM228" i="50"/>
  <c r="AR158" i="50"/>
  <c r="DB76" i="50"/>
  <c r="AJ144" i="50"/>
  <c r="CR229" i="50"/>
  <c r="FD125" i="50"/>
  <c r="DB149" i="50"/>
  <c r="AE175" i="50"/>
  <c r="CS158" i="50"/>
  <c r="FC212" i="50"/>
  <c r="CF144" i="50"/>
  <c r="X158" i="50"/>
  <c r="BL212" i="50"/>
  <c r="AQ144" i="50"/>
  <c r="CK125" i="50"/>
  <c r="D212" i="50"/>
  <c r="U27" i="50"/>
  <c r="CK186" i="50"/>
  <c r="FD151" i="50"/>
  <c r="DB124" i="50"/>
  <c r="EG175" i="50"/>
  <c r="FD206" i="50"/>
  <c r="DB187" i="50"/>
  <c r="AH175" i="50"/>
  <c r="BE229" i="50"/>
  <c r="BQ198" i="50"/>
  <c r="EM88" i="50"/>
  <c r="P229" i="50"/>
  <c r="EM92" i="50"/>
  <c r="BZ198" i="50"/>
  <c r="EW198" i="50"/>
  <c r="CK78" i="50"/>
  <c r="FC229" i="50"/>
  <c r="EM99" i="50"/>
  <c r="EB158" i="50"/>
  <c r="CY212" i="50"/>
  <c r="CD144" i="50"/>
  <c r="H158" i="50"/>
  <c r="FD217" i="50"/>
  <c r="CK95" i="50"/>
  <c r="DP175" i="50"/>
  <c r="EM91" i="50"/>
  <c r="EM124" i="50"/>
  <c r="I212" i="50"/>
  <c r="L144" i="50"/>
  <c r="CK168" i="50"/>
  <c r="FD141" i="50"/>
  <c r="DB114" i="50"/>
  <c r="CE175" i="50"/>
  <c r="FD202" i="50"/>
  <c r="DB169" i="50"/>
  <c r="AI175" i="50"/>
  <c r="BF229" i="50"/>
  <c r="CF198" i="50"/>
  <c r="EM78" i="50"/>
  <c r="AF229" i="50"/>
  <c r="AQ198" i="50"/>
  <c r="EM127" i="50"/>
  <c r="BG158" i="50"/>
  <c r="U33" i="50"/>
  <c r="EL144" i="50"/>
  <c r="Z158" i="50"/>
  <c r="CC212" i="50"/>
  <c r="CQ144" i="50"/>
  <c r="CK81" i="50"/>
  <c r="S212" i="50"/>
  <c r="K198" i="50"/>
  <c r="EM100" i="50"/>
  <c r="CO144" i="50"/>
  <c r="AD229" i="50"/>
  <c r="EM165" i="50"/>
  <c r="AC212" i="50"/>
  <c r="BZ144" i="50"/>
  <c r="CK85" i="50"/>
  <c r="P212" i="50"/>
  <c r="E36" i="50"/>
  <c r="CK134" i="50"/>
  <c r="FD111" i="50"/>
  <c r="DB86" i="50"/>
  <c r="EJ175" i="50"/>
  <c r="FD164" i="50"/>
  <c r="DB135" i="50"/>
  <c r="AS175" i="50"/>
  <c r="BR229" i="50"/>
  <c r="CI198" i="50"/>
  <c r="EM85" i="50"/>
  <c r="AC229" i="50"/>
  <c r="AJ198" i="50"/>
  <c r="EM192" i="50"/>
  <c r="CG158" i="50"/>
  <c r="AX198" i="50"/>
  <c r="EM224" i="50"/>
  <c r="CP158" i="50"/>
  <c r="BQ212" i="50"/>
  <c r="BN144" i="50"/>
  <c r="CK88" i="50"/>
  <c r="K39" i="50"/>
  <c r="DB133" i="50"/>
  <c r="CK99" i="50"/>
  <c r="BX229" i="50"/>
  <c r="BH198" i="50"/>
  <c r="DU144" i="50"/>
  <c r="CK121" i="50"/>
  <c r="J212" i="50"/>
  <c r="AD60" i="50"/>
  <c r="CK174" i="50"/>
  <c r="FD147" i="50"/>
  <c r="DB120" i="50"/>
  <c r="CV175" i="50"/>
  <c r="FD210" i="50"/>
  <c r="CW198" i="50"/>
  <c r="EM133" i="50"/>
  <c r="R175" i="50"/>
  <c r="CK153" i="50"/>
  <c r="Z60" i="50"/>
  <c r="AB175" i="50"/>
  <c r="EM123" i="50"/>
  <c r="BM144" i="50"/>
  <c r="FD103" i="50"/>
  <c r="DB145" i="50"/>
  <c r="DB82" i="50"/>
  <c r="CF229" i="50"/>
  <c r="EJ158" i="50"/>
  <c r="EV144" i="50"/>
  <c r="FA212" i="50"/>
  <c r="FD112" i="50"/>
  <c r="CK170" i="50"/>
  <c r="DL175" i="50"/>
  <c r="Q229" i="50"/>
  <c r="CJ144" i="50"/>
  <c r="CG144" i="50"/>
  <c r="CK210" i="50"/>
  <c r="FD194" i="50"/>
  <c r="DB157" i="50"/>
  <c r="AC175" i="50"/>
  <c r="CD229" i="50"/>
  <c r="EZ198" i="50"/>
  <c r="EM107" i="50"/>
  <c r="AZ229" i="50"/>
  <c r="CP198" i="50"/>
  <c r="EM119" i="50"/>
  <c r="EH158" i="50"/>
  <c r="I198" i="50"/>
  <c r="DX144" i="50"/>
  <c r="AB158" i="50"/>
  <c r="BP212" i="50"/>
  <c r="ET144" i="50"/>
  <c r="CK110" i="50"/>
  <c r="AG212" i="50"/>
  <c r="DK144" i="50"/>
  <c r="CK122" i="50"/>
  <c r="FD99" i="50"/>
  <c r="DB74" i="50"/>
  <c r="CI175" i="50"/>
  <c r="FD148" i="50"/>
  <c r="FD146" i="50"/>
  <c r="ER175" i="50"/>
  <c r="FD117" i="50"/>
  <c r="T175" i="50"/>
  <c r="BR212" i="50"/>
  <c r="CK111" i="50"/>
  <c r="DB78" i="50"/>
  <c r="BT175" i="50"/>
  <c r="FD152" i="50"/>
  <c r="DB127" i="50"/>
  <c r="AU175" i="50"/>
  <c r="DU229" i="50"/>
  <c r="BU198" i="50"/>
  <c r="EM77" i="50"/>
  <c r="DM229" i="50"/>
  <c r="DN198" i="50"/>
  <c r="EM184" i="50"/>
  <c r="DV158" i="50"/>
  <c r="X198" i="50"/>
  <c r="EM212" i="50"/>
  <c r="BA158" i="50"/>
  <c r="EY212" i="50"/>
  <c r="BE144" i="50"/>
  <c r="CK80" i="50"/>
  <c r="AD212" i="50"/>
  <c r="DZ144" i="50"/>
  <c r="CK187" i="50"/>
  <c r="FD106" i="50"/>
  <c r="DB81" i="50"/>
  <c r="CK221" i="50"/>
  <c r="FD171" i="50"/>
  <c r="FD221" i="50"/>
  <c r="EM210" i="50"/>
  <c r="EM116" i="50"/>
  <c r="DP158" i="50"/>
  <c r="AH27" i="50"/>
  <c r="CK166" i="50"/>
  <c r="FD139" i="50"/>
  <c r="DB112" i="50"/>
  <c r="BQ175" i="50"/>
  <c r="FD200" i="50"/>
  <c r="DB167" i="50"/>
  <c r="BJ175" i="50"/>
  <c r="BP229" i="50"/>
  <c r="DT198" i="50"/>
  <c r="EM76" i="50"/>
  <c r="AG229" i="50"/>
  <c r="EA198" i="50"/>
  <c r="EM125" i="50"/>
  <c r="EX158" i="50"/>
  <c r="D39" i="50"/>
  <c r="K36" i="50"/>
  <c r="DL158" i="50"/>
  <c r="BO212" i="50"/>
  <c r="ES144" i="50"/>
  <c r="CK79" i="50"/>
  <c r="FD76" i="50"/>
  <c r="AT175" i="50"/>
  <c r="ER158" i="50"/>
  <c r="DB100" i="50"/>
  <c r="EM198" i="50"/>
  <c r="AC60" i="50"/>
  <c r="CK206" i="50"/>
  <c r="FD175" i="50"/>
  <c r="DB144" i="50"/>
  <c r="EE175" i="50"/>
  <c r="BF158" i="50"/>
  <c r="R212" i="50"/>
  <c r="CF212" i="50"/>
  <c r="BS158" i="50"/>
  <c r="FD116" i="50"/>
  <c r="EG229" i="50"/>
  <c r="BS198" i="50"/>
  <c r="EM103" i="50"/>
  <c r="AH229" i="50"/>
  <c r="AS198" i="50"/>
  <c r="EM115" i="50"/>
  <c r="BR158" i="50"/>
  <c r="AH33" i="50"/>
  <c r="AC27" i="50"/>
  <c r="AC158" i="50"/>
  <c r="EW212" i="50"/>
  <c r="CA144" i="50"/>
  <c r="CK106" i="50"/>
  <c r="EQ212" i="50"/>
  <c r="AJ27" i="50"/>
  <c r="CK118" i="50"/>
  <c r="FD95" i="50"/>
  <c r="DB107" i="50"/>
  <c r="DW175" i="50"/>
  <c r="FD144" i="50"/>
  <c r="DB119" i="50"/>
  <c r="AM175" i="50"/>
  <c r="BS229" i="50"/>
  <c r="AS229" i="50"/>
  <c r="DR144" i="50"/>
  <c r="CH158" i="50"/>
  <c r="EJ144" i="50"/>
  <c r="FD203" i="50"/>
  <c r="EM226" i="50"/>
  <c r="DB123" i="50"/>
  <c r="AN175" i="50"/>
  <c r="EZ229" i="50"/>
  <c r="CJ198" i="50"/>
  <c r="EM73" i="50"/>
  <c r="EA229" i="50"/>
  <c r="BL198" i="50"/>
  <c r="EM172" i="50"/>
  <c r="BT158" i="50"/>
  <c r="E39" i="50"/>
  <c r="EM208" i="50"/>
  <c r="AU158" i="50"/>
  <c r="DT212" i="50"/>
  <c r="CC144" i="50"/>
  <c r="CK76" i="50"/>
  <c r="AP212" i="50"/>
  <c r="AL27" i="50"/>
  <c r="CK175" i="50"/>
  <c r="FD102" i="50"/>
  <c r="DB77" i="50"/>
  <c r="CK217" i="50"/>
  <c r="FD114" i="50"/>
  <c r="DB174" i="50"/>
  <c r="CR175" i="50"/>
  <c r="DY229" i="50"/>
  <c r="BO158" i="50"/>
  <c r="DB156" i="50"/>
  <c r="O144" i="50"/>
  <c r="CF175" i="50"/>
  <c r="DB110" i="50"/>
  <c r="CW175" i="50"/>
  <c r="FD196" i="50"/>
  <c r="DB163" i="50"/>
  <c r="BX175" i="50"/>
  <c r="EW229" i="50"/>
  <c r="CX198" i="50"/>
  <c r="EM109" i="50"/>
  <c r="EQ229" i="50"/>
  <c r="AO198" i="50"/>
  <c r="EM121" i="50"/>
  <c r="BQ158" i="50"/>
  <c r="N198" i="50"/>
  <c r="AI27" i="50"/>
  <c r="BJ158" i="50"/>
  <c r="BF212" i="50"/>
  <c r="DO144" i="50"/>
  <c r="CK75" i="50"/>
  <c r="AF212" i="50"/>
  <c r="R144" i="50"/>
  <c r="CK124" i="50"/>
  <c r="BN229" i="50"/>
  <c r="BF144" i="50"/>
  <c r="CK226" i="50"/>
  <c r="BI198" i="50"/>
  <c r="AG144" i="50"/>
  <c r="DB140" i="50"/>
  <c r="BO175" i="50"/>
  <c r="FD209" i="50"/>
  <c r="DB203" i="50"/>
  <c r="CI144" i="50"/>
  <c r="DZ158" i="50"/>
  <c r="AP229" i="50"/>
  <c r="FD229" i="50"/>
  <c r="CK211" i="50"/>
  <c r="CK115" i="50"/>
  <c r="Y229" i="50"/>
  <c r="BA198" i="50"/>
  <c r="EM111" i="50"/>
  <c r="CF158" i="50"/>
  <c r="DJ198" i="50"/>
  <c r="AH60" i="50"/>
  <c r="AE158" i="50"/>
  <c r="CU212" i="50"/>
  <c r="EC144" i="50"/>
  <c r="CK102" i="50"/>
  <c r="CO212" i="50"/>
  <c r="DY144" i="50"/>
  <c r="CK114" i="50"/>
  <c r="FD91" i="50"/>
  <c r="DB103" i="50"/>
  <c r="BU175" i="50"/>
  <c r="FD140" i="50"/>
  <c r="DB115" i="50"/>
  <c r="BY175" i="50"/>
  <c r="CY229" i="50"/>
  <c r="AK63" i="50"/>
  <c r="C175" i="50"/>
  <c r="AL229" i="50"/>
  <c r="D158" i="50"/>
  <c r="DB207" i="50"/>
  <c r="CK222" i="50"/>
  <c r="DB96" i="50"/>
  <c r="CT158" i="50"/>
  <c r="DB172" i="50"/>
  <c r="AI33" i="50"/>
  <c r="F175" i="50"/>
  <c r="AO229" i="50"/>
  <c r="ES198" i="50"/>
  <c r="EM168" i="50"/>
  <c r="CI158" i="50"/>
  <c r="W198" i="50"/>
  <c r="EM229" i="50"/>
  <c r="AN158" i="50"/>
  <c r="CX212" i="50"/>
  <c r="EF144" i="50"/>
  <c r="CK73" i="50"/>
  <c r="AQ212" i="50"/>
  <c r="AZ144" i="50"/>
  <c r="CK171" i="50"/>
  <c r="FD98" i="50"/>
  <c r="DB73" i="50"/>
  <c r="CK209" i="50"/>
  <c r="FD205" i="50"/>
  <c r="DB170" i="50"/>
  <c r="EU175" i="50"/>
  <c r="DX229" i="50"/>
  <c r="DB208" i="50"/>
  <c r="AX175" i="50"/>
  <c r="AH158" i="50"/>
  <c r="CY175" i="50"/>
  <c r="Y33" i="50"/>
  <c r="AM198" i="50"/>
  <c r="EM95" i="50"/>
  <c r="DB155" i="50"/>
  <c r="AD175" i="50"/>
  <c r="CU229" i="50"/>
  <c r="EI198" i="50"/>
  <c r="EM105" i="50"/>
  <c r="CO229" i="50"/>
  <c r="AL198" i="50"/>
  <c r="EM117" i="50"/>
  <c r="CW158" i="50"/>
  <c r="L198" i="50"/>
  <c r="FC144" i="50"/>
  <c r="BX158" i="50"/>
  <c r="DR212" i="50"/>
  <c r="BC144" i="50"/>
  <c r="CK108" i="50"/>
  <c r="DZ212" i="50"/>
  <c r="T144" i="50"/>
  <c r="CK120" i="50"/>
  <c r="FD97" i="50"/>
  <c r="DB109" i="50"/>
  <c r="EK175" i="50"/>
  <c r="CK83" i="50"/>
  <c r="DB152" i="50"/>
  <c r="EM157" i="50"/>
  <c r="AA18" i="26"/>
  <c r="CC198" i="50"/>
  <c r="DB199" i="50"/>
  <c r="AF175" i="50"/>
  <c r="BD229" i="50"/>
  <c r="AA33" i="50"/>
  <c r="EB144" i="50"/>
  <c r="CK91" i="50"/>
  <c r="CK165" i="50"/>
  <c r="CK103" i="50"/>
  <c r="EI144" i="50"/>
  <c r="EM202" i="50"/>
  <c r="DU158" i="50"/>
  <c r="V33" i="50"/>
  <c r="AE18" i="26"/>
  <c r="DM158" i="50"/>
  <c r="DS212" i="50"/>
  <c r="CB144" i="50"/>
  <c r="CK98" i="50"/>
  <c r="AA212" i="50"/>
  <c r="P144" i="50"/>
  <c r="CK205" i="50"/>
  <c r="FD87" i="50"/>
  <c r="DB99" i="50"/>
  <c r="CJ175" i="50"/>
  <c r="FD136" i="50"/>
  <c r="DB204" i="50"/>
  <c r="BB175" i="50"/>
  <c r="FA229" i="50"/>
  <c r="FC198" i="50"/>
  <c r="E175" i="50"/>
  <c r="AT229" i="50"/>
  <c r="BC198" i="50"/>
  <c r="EM156" i="50"/>
  <c r="BU158" i="50"/>
  <c r="BF175" i="50"/>
  <c r="DP212" i="50"/>
  <c r="U175" i="50"/>
  <c r="U63" i="50"/>
  <c r="DU175" i="50"/>
  <c r="AZ198" i="50"/>
  <c r="DO198" i="50"/>
  <c r="EM164" i="50"/>
  <c r="DW158" i="50"/>
  <c r="R198" i="50"/>
  <c r="EM225" i="50"/>
  <c r="AM158" i="50"/>
  <c r="EI212" i="50"/>
  <c r="BP144" i="50"/>
  <c r="F158" i="50"/>
  <c r="AR212" i="50"/>
  <c r="Y60" i="50"/>
  <c r="CK167" i="50"/>
  <c r="FD94" i="50"/>
  <c r="AW144" i="50"/>
  <c r="CK228" i="50"/>
  <c r="FD201" i="50"/>
  <c r="DB166" i="50"/>
  <c r="CS175" i="50"/>
  <c r="BV229" i="50"/>
  <c r="DB227" i="50"/>
  <c r="X175" i="50"/>
  <c r="CQ229" i="50"/>
  <c r="EE198" i="50"/>
  <c r="EM126" i="50"/>
  <c r="FB175" i="50"/>
  <c r="EM174" i="50"/>
  <c r="FD170" i="50"/>
  <c r="FD100" i="50"/>
  <c r="DB79" i="50"/>
  <c r="CG198" i="50"/>
  <c r="EM101" i="50"/>
  <c r="AA229" i="50"/>
  <c r="AT198" i="50"/>
  <c r="EM113" i="50"/>
  <c r="EY158" i="50"/>
  <c r="Z63" i="50"/>
  <c r="H36" i="50"/>
  <c r="AD158" i="50"/>
  <c r="CD212" i="50"/>
  <c r="CR144" i="50"/>
  <c r="CK104" i="50"/>
  <c r="AZ212" i="50"/>
  <c r="AA60" i="50"/>
  <c r="CK116" i="50"/>
  <c r="FD93" i="50"/>
  <c r="DB105" i="50"/>
  <c r="CZ175" i="50"/>
  <c r="FD142" i="50"/>
  <c r="DB117" i="50"/>
  <c r="AJ175" i="50"/>
  <c r="AK175" i="50"/>
  <c r="S33" i="50"/>
  <c r="W60" i="50"/>
  <c r="U158" i="50"/>
  <c r="DJ212" i="50"/>
  <c r="AG63" i="50"/>
  <c r="EM96" i="50"/>
  <c r="DK229" i="50"/>
  <c r="AI198" i="50"/>
  <c r="X144" i="50"/>
  <c r="FA175" i="50"/>
  <c r="EM153" i="50"/>
  <c r="EM190" i="50"/>
  <c r="T60" i="50"/>
  <c r="AR144" i="50"/>
  <c r="Y175" i="50"/>
  <c r="EM84" i="50"/>
  <c r="EG158" i="50"/>
  <c r="W212" i="50"/>
  <c r="AT212" i="50"/>
  <c r="BK144" i="50"/>
  <c r="DB111" i="50"/>
  <c r="DB165" i="50"/>
  <c r="EM74" i="50"/>
  <c r="CE158" i="50"/>
  <c r="AI158" i="50"/>
  <c r="Q212" i="50"/>
  <c r="EE212" i="50"/>
  <c r="CK74" i="50"/>
  <c r="CK130" i="50"/>
  <c r="FD156" i="50"/>
  <c r="DW198" i="50"/>
  <c r="EB198" i="50"/>
  <c r="EM220" i="50"/>
  <c r="CK84" i="50"/>
  <c r="CK191" i="50"/>
  <c r="CK173" i="50"/>
  <c r="N212" i="50"/>
  <c r="DB116" i="50"/>
  <c r="FD204" i="50"/>
  <c r="EY198" i="50"/>
  <c r="DM198" i="50"/>
  <c r="M198" i="50"/>
  <c r="AF158" i="50"/>
  <c r="Y144" i="50"/>
  <c r="E144" i="50"/>
  <c r="DB211" i="50"/>
  <c r="AU198" i="50"/>
  <c r="D238" i="49" l="1"/>
  <c r="V67" i="49"/>
  <c r="X238" i="49"/>
  <c r="DN67" i="49"/>
  <c r="I184" i="49"/>
  <c r="AL67" i="49"/>
  <c r="AC184" i="49"/>
  <c r="ED67" i="49"/>
  <c r="D221" i="49"/>
  <c r="V50" i="49"/>
  <c r="X221" i="49"/>
  <c r="DN50" i="49"/>
  <c r="N167" i="49"/>
  <c r="BJ50" i="49"/>
  <c r="AH167" i="49"/>
  <c r="FB50" i="49"/>
  <c r="M16" i="43"/>
  <c r="N16" i="43" s="1"/>
  <c r="N15" i="43"/>
  <c r="FL68" i="49"/>
  <c r="AI239" i="49" s="1"/>
  <c r="FG68" i="49"/>
  <c r="AF239" i="49" s="1"/>
  <c r="EN68" i="49"/>
  <c r="AD239" i="49" s="1"/>
  <c r="EI68" i="49"/>
  <c r="AA239" i="49" s="1"/>
  <c r="DP68" i="49"/>
  <c r="Y239" i="49" s="1"/>
  <c r="DK68" i="49"/>
  <c r="V239" i="49" s="1"/>
  <c r="CR68" i="49"/>
  <c r="T239" i="49" s="1"/>
  <c r="CM68" i="49"/>
  <c r="Q239" i="49" s="1"/>
  <c r="BT68" i="49"/>
  <c r="O239" i="49" s="1"/>
  <c r="BO68" i="49"/>
  <c r="L239" i="49" s="1"/>
  <c r="AV68" i="49"/>
  <c r="J239" i="49" s="1"/>
  <c r="AQ68" i="49"/>
  <c r="G239" i="49" s="1"/>
  <c r="X68" i="49"/>
  <c r="E239" i="49" s="1"/>
  <c r="S68" i="49"/>
  <c r="B239" i="49" s="1"/>
  <c r="FI68" i="49"/>
  <c r="EK68" i="49"/>
  <c r="DM68" i="49"/>
  <c r="CO68" i="49"/>
  <c r="BQ68" i="49"/>
  <c r="AS68" i="49"/>
  <c r="U68" i="49"/>
  <c r="FM68" i="49"/>
  <c r="FH68" i="49"/>
  <c r="AG239" i="49" s="1"/>
  <c r="EO68" i="49"/>
  <c r="EJ68" i="49"/>
  <c r="AB239" i="49" s="1"/>
  <c r="DQ68" i="49"/>
  <c r="DL68" i="49"/>
  <c r="W239" i="49" s="1"/>
  <c r="CS68" i="49"/>
  <c r="CN68" i="49"/>
  <c r="R239" i="49" s="1"/>
  <c r="BU68" i="49"/>
  <c r="BP68" i="49"/>
  <c r="M239" i="49" s="1"/>
  <c r="AW68" i="49"/>
  <c r="AR68" i="49"/>
  <c r="H239" i="49" s="1"/>
  <c r="Y68" i="49"/>
  <c r="T68" i="49"/>
  <c r="C239" i="49" s="1"/>
  <c r="H166" i="7"/>
  <c r="I238" i="49"/>
  <c r="AT67" i="49"/>
  <c r="AC238" i="49"/>
  <c r="EL67" i="49"/>
  <c r="C29" i="41"/>
  <c r="D29" i="41" s="1"/>
  <c r="F29" i="41"/>
  <c r="M35" i="43"/>
  <c r="N34" i="43"/>
  <c r="N184" i="49"/>
  <c r="BJ67" i="49"/>
  <c r="AH184" i="49"/>
  <c r="FB67" i="49"/>
  <c r="I221" i="49"/>
  <c r="AT50" i="49"/>
  <c r="AC221" i="49"/>
  <c r="EL50" i="49"/>
  <c r="Z24" i="25"/>
  <c r="AB23" i="25"/>
  <c r="AC23" i="25" s="1"/>
  <c r="W7" i="25" s="1"/>
  <c r="AA23" i="25"/>
  <c r="S167" i="49"/>
  <c r="CH50" i="49"/>
  <c r="V20" i="26"/>
  <c r="Y20" i="26"/>
  <c r="T21" i="26"/>
  <c r="U21" i="26" s="1"/>
  <c r="W20" i="26"/>
  <c r="S20" i="26"/>
  <c r="N238" i="49"/>
  <c r="BR67" i="49"/>
  <c r="AH238" i="49"/>
  <c r="FJ67" i="49"/>
  <c r="N23" i="43"/>
  <c r="M24" i="43"/>
  <c r="FA68" i="49"/>
  <c r="EC68" i="49"/>
  <c r="DE68" i="49"/>
  <c r="CG68" i="49"/>
  <c r="BI68" i="49"/>
  <c r="AK68" i="49"/>
  <c r="M68" i="49"/>
  <c r="FE68" i="49"/>
  <c r="EZ68" i="49"/>
  <c r="AG185" i="49" s="1"/>
  <c r="EG68" i="49"/>
  <c r="EB68" i="49"/>
  <c r="AB185" i="49" s="1"/>
  <c r="DI68" i="49"/>
  <c r="DD68" i="49"/>
  <c r="W185" i="49" s="1"/>
  <c r="CK68" i="49"/>
  <c r="CF68" i="49"/>
  <c r="R185" i="49" s="1"/>
  <c r="BM68" i="49"/>
  <c r="BH68" i="49"/>
  <c r="M185" i="49" s="1"/>
  <c r="AO68" i="49"/>
  <c r="AJ68" i="49"/>
  <c r="H185" i="49" s="1"/>
  <c r="Q68" i="49"/>
  <c r="L68" i="49"/>
  <c r="C185" i="49" s="1"/>
  <c r="FD68" i="49"/>
  <c r="AI185" i="49" s="1"/>
  <c r="EY68" i="49"/>
  <c r="AF185" i="49" s="1"/>
  <c r="EF68" i="49"/>
  <c r="AD185" i="49" s="1"/>
  <c r="EA68" i="49"/>
  <c r="AA185" i="49" s="1"/>
  <c r="DH68" i="49"/>
  <c r="Y185" i="49" s="1"/>
  <c r="DC68" i="49"/>
  <c r="V185" i="49" s="1"/>
  <c r="CJ68" i="49"/>
  <c r="T185" i="49" s="1"/>
  <c r="CE68" i="49"/>
  <c r="Q185" i="49" s="1"/>
  <c r="BL68" i="49"/>
  <c r="O185" i="49" s="1"/>
  <c r="BG68" i="49"/>
  <c r="L185" i="49" s="1"/>
  <c r="AN68" i="49"/>
  <c r="J185" i="49" s="1"/>
  <c r="AI68" i="49"/>
  <c r="G185" i="49" s="1"/>
  <c r="P68" i="49"/>
  <c r="E185" i="49" s="1"/>
  <c r="K68" i="49"/>
  <c r="B185" i="49" s="1"/>
  <c r="F166" i="7"/>
  <c r="S184" i="49"/>
  <c r="CH67" i="49"/>
  <c r="N221" i="49"/>
  <c r="BR50" i="49"/>
  <c r="AH221" i="49"/>
  <c r="FJ50" i="49"/>
  <c r="J28" i="41"/>
  <c r="L28" i="41" s="1"/>
  <c r="I28" i="41"/>
  <c r="K28" i="41" s="1"/>
  <c r="D167" i="49"/>
  <c r="N50" i="49"/>
  <c r="X167" i="49"/>
  <c r="DF50" i="49"/>
  <c r="S238" i="49"/>
  <c r="CP67" i="49"/>
  <c r="D184" i="49"/>
  <c r="N67" i="49"/>
  <c r="X184" i="49"/>
  <c r="DF67" i="49"/>
  <c r="N21" i="34"/>
  <c r="M21" i="34"/>
  <c r="J22" i="34" s="1"/>
  <c r="L21" i="34"/>
  <c r="FI51" i="49"/>
  <c r="EK51" i="49"/>
  <c r="DM51" i="49"/>
  <c r="CO51" i="49"/>
  <c r="BQ51" i="49"/>
  <c r="AS51" i="49"/>
  <c r="U51" i="49"/>
  <c r="FM51" i="49"/>
  <c r="FH51" i="49"/>
  <c r="AG222" i="49" s="1"/>
  <c r="EO51" i="49"/>
  <c r="EJ51" i="49"/>
  <c r="AB222" i="49" s="1"/>
  <c r="DQ51" i="49"/>
  <c r="DL51" i="49"/>
  <c r="W222" i="49" s="1"/>
  <c r="CS51" i="49"/>
  <c r="CN51" i="49"/>
  <c r="R222" i="49" s="1"/>
  <c r="BU51" i="49"/>
  <c r="BP51" i="49"/>
  <c r="M222" i="49" s="1"/>
  <c r="AW51" i="49"/>
  <c r="AR51" i="49"/>
  <c r="H222" i="49" s="1"/>
  <c r="Y51" i="49"/>
  <c r="T51" i="49"/>
  <c r="C222" i="49" s="1"/>
  <c r="FL51" i="49"/>
  <c r="AI222" i="49" s="1"/>
  <c r="FG51" i="49"/>
  <c r="AF222" i="49" s="1"/>
  <c r="EN51" i="49"/>
  <c r="AD222" i="49" s="1"/>
  <c r="EI51" i="49"/>
  <c r="AA222" i="49" s="1"/>
  <c r="DP51" i="49"/>
  <c r="Y222" i="49" s="1"/>
  <c r="DK51" i="49"/>
  <c r="V222" i="49" s="1"/>
  <c r="CR51" i="49"/>
  <c r="T222" i="49" s="1"/>
  <c r="CM51" i="49"/>
  <c r="Q222" i="49" s="1"/>
  <c r="BT51" i="49"/>
  <c r="O222" i="49" s="1"/>
  <c r="BO51" i="49"/>
  <c r="L222" i="49" s="1"/>
  <c r="AV51" i="49"/>
  <c r="J222" i="49" s="1"/>
  <c r="AQ51" i="49"/>
  <c r="G222" i="49" s="1"/>
  <c r="X51" i="49"/>
  <c r="E222" i="49" s="1"/>
  <c r="S51" i="49"/>
  <c r="B222" i="49" s="1"/>
  <c r="H149" i="7"/>
  <c r="S221" i="49"/>
  <c r="CP50" i="49"/>
  <c r="BK16" i="26"/>
  <c r="BW16" i="26" s="1"/>
  <c r="BV16" i="26"/>
  <c r="BL16" i="26"/>
  <c r="BH16" i="26"/>
  <c r="FD51" i="49"/>
  <c r="AI168" i="49" s="1"/>
  <c r="EY51" i="49"/>
  <c r="AF168" i="49" s="1"/>
  <c r="EF51" i="49"/>
  <c r="AD168" i="49" s="1"/>
  <c r="EA51" i="49"/>
  <c r="AA168" i="49" s="1"/>
  <c r="DH51" i="49"/>
  <c r="Y168" i="49" s="1"/>
  <c r="DC51" i="49"/>
  <c r="V168" i="49" s="1"/>
  <c r="CJ51" i="49"/>
  <c r="T168" i="49" s="1"/>
  <c r="CE51" i="49"/>
  <c r="Q168" i="49" s="1"/>
  <c r="BL51" i="49"/>
  <c r="O168" i="49" s="1"/>
  <c r="BG51" i="49"/>
  <c r="L168" i="49" s="1"/>
  <c r="AN51" i="49"/>
  <c r="J168" i="49" s="1"/>
  <c r="AI51" i="49"/>
  <c r="G168" i="49" s="1"/>
  <c r="P51" i="49"/>
  <c r="E168" i="49" s="1"/>
  <c r="K51" i="49"/>
  <c r="B168" i="49" s="1"/>
  <c r="FA51" i="49"/>
  <c r="EC51" i="49"/>
  <c r="DE51" i="49"/>
  <c r="CG51" i="49"/>
  <c r="BI51" i="49"/>
  <c r="AK51" i="49"/>
  <c r="M51" i="49"/>
  <c r="FE51" i="49"/>
  <c r="EZ51" i="49"/>
  <c r="AG168" i="49" s="1"/>
  <c r="EG51" i="49"/>
  <c r="EB51" i="49"/>
  <c r="AB168" i="49" s="1"/>
  <c r="DI51" i="49"/>
  <c r="DD51" i="49"/>
  <c r="W168" i="49" s="1"/>
  <c r="CK51" i="49"/>
  <c r="CF51" i="49"/>
  <c r="R168" i="49" s="1"/>
  <c r="BM51" i="49"/>
  <c r="BH51" i="49"/>
  <c r="M168" i="49" s="1"/>
  <c r="AO51" i="49"/>
  <c r="AJ51" i="49"/>
  <c r="H168" i="49" s="1"/>
  <c r="Q51" i="49"/>
  <c r="L51" i="49"/>
  <c r="C168" i="49" s="1"/>
  <c r="F149" i="7"/>
  <c r="I167" i="49"/>
  <c r="AL50" i="49"/>
  <c r="AC167" i="49"/>
  <c r="ED50" i="49"/>
  <c r="FD176" i="50"/>
  <c r="BV213" i="50"/>
  <c r="DX230" i="50"/>
  <c r="DC89" i="50"/>
  <c r="CL97" i="50"/>
  <c r="CI159" i="50"/>
  <c r="FE104" i="50"/>
  <c r="EN75" i="50"/>
  <c r="EZ176" i="50"/>
  <c r="DU213" i="50"/>
  <c r="CF230" i="50"/>
  <c r="DC98" i="50"/>
  <c r="CL104" i="50"/>
  <c r="BG159" i="50"/>
  <c r="FE113" i="50"/>
  <c r="EN121" i="50"/>
  <c r="BO176" i="50"/>
  <c r="EE213" i="50"/>
  <c r="DQ230" i="50"/>
  <c r="DC142" i="50"/>
  <c r="CL150" i="50"/>
  <c r="CB159" i="50"/>
  <c r="FE159" i="50"/>
  <c r="EN169" i="50"/>
  <c r="BL176" i="50"/>
  <c r="DN213" i="50"/>
  <c r="EB230" i="50"/>
  <c r="DC198" i="50"/>
  <c r="CL113" i="50"/>
  <c r="ER159" i="50"/>
  <c r="FE120" i="50"/>
  <c r="EN128" i="50"/>
  <c r="AP176" i="50"/>
  <c r="AD213" i="50"/>
  <c r="BX230" i="50"/>
  <c r="DC151" i="50"/>
  <c r="CL159" i="50"/>
  <c r="AH159" i="50"/>
  <c r="FE170" i="50"/>
  <c r="EN184" i="50"/>
  <c r="P176" i="50"/>
  <c r="DY213" i="50"/>
  <c r="DK230" i="50"/>
  <c r="DC207" i="50"/>
  <c r="CL217" i="50"/>
  <c r="O159" i="50"/>
  <c r="FE226" i="50"/>
  <c r="EN209" i="50"/>
  <c r="E176" i="50"/>
  <c r="C213" i="50"/>
  <c r="F230" i="50"/>
  <c r="CK230" i="50"/>
  <c r="DC79" i="50"/>
  <c r="CL87" i="50"/>
  <c r="DA159" i="50"/>
  <c r="FE94" i="50"/>
  <c r="EN102" i="50"/>
  <c r="EJ176" i="50"/>
  <c r="CG213" i="50"/>
  <c r="EI230" i="50"/>
  <c r="DC88" i="50"/>
  <c r="CL94" i="50"/>
  <c r="CW159" i="50"/>
  <c r="FE103" i="50"/>
  <c r="EN111" i="50"/>
  <c r="EW176" i="50"/>
  <c r="BP213" i="50"/>
  <c r="EF230" i="50"/>
  <c r="DC132" i="50"/>
  <c r="CL140" i="50"/>
  <c r="BN159" i="50"/>
  <c r="FE149" i="50"/>
  <c r="DC81" i="50"/>
  <c r="BJ230" i="50"/>
  <c r="DC155" i="50"/>
  <c r="CL165" i="50"/>
  <c r="AZ159" i="50"/>
  <c r="FE174" i="50"/>
  <c r="EN188" i="50"/>
  <c r="DY176" i="50"/>
  <c r="DK213" i="50"/>
  <c r="AY230" i="50"/>
  <c r="DC211" i="50"/>
  <c r="CL219" i="50"/>
  <c r="L159" i="50"/>
  <c r="FE230" i="50"/>
  <c r="EN213" i="50"/>
  <c r="C176" i="50"/>
  <c r="F213" i="50"/>
  <c r="CK213" i="50"/>
  <c r="DB230" i="50"/>
  <c r="DC83" i="50"/>
  <c r="CL91" i="50"/>
  <c r="CZ159" i="50"/>
  <c r="FE98" i="50"/>
  <c r="EN106" i="50"/>
  <c r="CG176" i="50"/>
  <c r="EI213" i="50"/>
  <c r="CX230" i="50"/>
  <c r="DC92" i="50"/>
  <c r="CL98" i="50"/>
  <c r="BQ159" i="50"/>
  <c r="FE107" i="50"/>
  <c r="EN115" i="50"/>
  <c r="BP176" i="50"/>
  <c r="EF213" i="50"/>
  <c r="CC230" i="50"/>
  <c r="DC136" i="50"/>
  <c r="CL144" i="50"/>
  <c r="BD159" i="50"/>
  <c r="FE153" i="50"/>
  <c r="EN163" i="50"/>
  <c r="BM176" i="50"/>
  <c r="CQ213" i="50"/>
  <c r="BZ230" i="50"/>
  <c r="DC192" i="50"/>
  <c r="CL200" i="50"/>
  <c r="AN159" i="50"/>
  <c r="FE114" i="50"/>
  <c r="EN122" i="50"/>
  <c r="EA176" i="50"/>
  <c r="DM213" i="50"/>
  <c r="AE230" i="50"/>
  <c r="DC145" i="50"/>
  <c r="CL153" i="50"/>
  <c r="Z159" i="50"/>
  <c r="FE164" i="50"/>
  <c r="EN172" i="50"/>
  <c r="BW176" i="50"/>
  <c r="V213" i="50"/>
  <c r="U230" i="50"/>
  <c r="DC201" i="50"/>
  <c r="CL209" i="50"/>
  <c r="BI159" i="50"/>
  <c r="FE220" i="50"/>
  <c r="EN228" i="50"/>
  <c r="D176" i="50"/>
  <c r="G213" i="50"/>
  <c r="H230" i="50"/>
  <c r="DC230" i="50"/>
  <c r="DC111" i="50"/>
  <c r="CL81" i="50"/>
  <c r="DX159" i="50"/>
  <c r="FE88" i="50"/>
  <c r="EN96" i="50"/>
  <c r="CH176" i="50"/>
  <c r="DC140" i="50"/>
  <c r="CL148" i="50"/>
  <c r="CS159" i="50"/>
  <c r="FE157" i="50"/>
  <c r="EN167" i="50"/>
  <c r="CQ176" i="50"/>
  <c r="BZ213" i="50"/>
  <c r="BB230" i="50"/>
  <c r="DC196" i="50"/>
  <c r="CL204" i="50"/>
  <c r="AU159" i="50"/>
  <c r="FE118" i="50"/>
  <c r="EN126" i="50"/>
  <c r="DM176" i="50"/>
  <c r="AE213" i="50"/>
  <c r="AC230" i="50"/>
  <c r="DC149" i="50"/>
  <c r="CL157" i="50"/>
  <c r="AA159" i="50"/>
  <c r="FE168" i="50"/>
  <c r="EN176" i="50"/>
  <c r="V176" i="50"/>
  <c r="U213" i="50"/>
  <c r="T230" i="50"/>
  <c r="DC205" i="50"/>
  <c r="CL213" i="50"/>
  <c r="BH159" i="50"/>
  <c r="FE224" i="50"/>
  <c r="EN207" i="50"/>
  <c r="G176" i="50"/>
  <c r="H213" i="50"/>
  <c r="AW230" i="50"/>
  <c r="EM230" i="50"/>
  <c r="DC77" i="50"/>
  <c r="CL85" i="50"/>
  <c r="CJ159" i="50"/>
  <c r="FE92" i="50"/>
  <c r="EN100" i="50"/>
  <c r="FA176" i="50"/>
  <c r="CY213" i="50"/>
  <c r="BS230" i="50"/>
  <c r="DC86" i="50"/>
  <c r="CL92" i="50"/>
  <c r="BR159" i="50"/>
  <c r="FE101" i="50"/>
  <c r="EN109" i="50"/>
  <c r="CD176" i="50"/>
  <c r="DR213" i="50"/>
  <c r="BF230" i="50"/>
  <c r="DC130" i="50"/>
  <c r="CL138" i="50"/>
  <c r="CT159" i="50"/>
  <c r="FE147" i="50"/>
  <c r="EN155" i="50"/>
  <c r="BC176" i="50"/>
  <c r="DO213" i="50"/>
  <c r="ES230" i="50"/>
  <c r="DC186" i="50"/>
  <c r="CL194" i="50"/>
  <c r="AJ159" i="50"/>
  <c r="FE203" i="50"/>
  <c r="EN116" i="50"/>
  <c r="CP176" i="50"/>
  <c r="AR213" i="50"/>
  <c r="AQ230" i="50"/>
  <c r="DC139" i="50"/>
  <c r="CL147" i="50"/>
  <c r="BJ159" i="50"/>
  <c r="FE154" i="50"/>
  <c r="EN166" i="50"/>
  <c r="AG176" i="50"/>
  <c r="Q213" i="50"/>
  <c r="CL89" i="50"/>
  <c r="BU159" i="50"/>
  <c r="FE96" i="50"/>
  <c r="EN104" i="50"/>
  <c r="CY176" i="50"/>
  <c r="BS213" i="50"/>
  <c r="EZ230" i="50"/>
  <c r="DC90" i="50"/>
  <c r="CL96" i="50"/>
  <c r="EH159" i="50"/>
  <c r="FE105" i="50"/>
  <c r="EN113" i="50"/>
  <c r="DR176" i="50"/>
  <c r="BF213" i="50"/>
  <c r="BO230" i="50"/>
  <c r="DC134" i="50"/>
  <c r="CL142" i="50"/>
  <c r="DP159" i="50"/>
  <c r="FE151" i="50"/>
  <c r="EN159" i="50"/>
  <c r="DO176" i="50"/>
  <c r="ES213" i="50"/>
  <c r="BL230" i="50"/>
  <c r="DC190" i="50"/>
  <c r="CL198" i="50"/>
  <c r="AK159" i="50"/>
  <c r="FE112" i="50"/>
  <c r="EN120" i="50"/>
  <c r="AR176" i="50"/>
  <c r="AQ213" i="50"/>
  <c r="AP230" i="50"/>
  <c r="DC143" i="50"/>
  <c r="CL151" i="50"/>
  <c r="DL159" i="50"/>
  <c r="FE158" i="50"/>
  <c r="EN170" i="50"/>
  <c r="Q176" i="50"/>
  <c r="S213" i="50"/>
  <c r="P230" i="50"/>
  <c r="DC199" i="50"/>
  <c r="CL207" i="50"/>
  <c r="X159" i="50"/>
  <c r="FE218" i="50"/>
  <c r="EN226" i="50"/>
  <c r="K176" i="50"/>
  <c r="AV213" i="50"/>
  <c r="E230" i="50"/>
  <c r="DC228" i="50"/>
  <c r="DC73" i="50"/>
  <c r="CL79" i="50"/>
  <c r="FC159" i="50"/>
  <c r="FE86" i="50"/>
  <c r="EN94" i="50"/>
  <c r="BT176" i="50"/>
  <c r="DV213" i="50"/>
  <c r="EJ230" i="50"/>
  <c r="DC80" i="50"/>
  <c r="CL86" i="50"/>
  <c r="DT159" i="50"/>
  <c r="FE95" i="50"/>
  <c r="EN103" i="50"/>
  <c r="DS176" i="50"/>
  <c r="CU213" i="50"/>
  <c r="EW230" i="50"/>
  <c r="DC124" i="50"/>
  <c r="CL132" i="50"/>
  <c r="BE159" i="50"/>
  <c r="FE141" i="50"/>
  <c r="EN149" i="50"/>
  <c r="EC176" i="50"/>
  <c r="CA213" i="50"/>
  <c r="ET230" i="50"/>
  <c r="DC174" i="50"/>
  <c r="FE166" i="50"/>
  <c r="EN174" i="50"/>
  <c r="S176" i="50"/>
  <c r="P213" i="50"/>
  <c r="DY230" i="50"/>
  <c r="DC203" i="50"/>
  <c r="CL211" i="50"/>
  <c r="AX159" i="50"/>
  <c r="FE222" i="50"/>
  <c r="EN230" i="50"/>
  <c r="AV176" i="50"/>
  <c r="E213" i="50"/>
  <c r="C230" i="50"/>
  <c r="AC19" i="26"/>
  <c r="DC75" i="50"/>
  <c r="CL83" i="50"/>
  <c r="EL159" i="50"/>
  <c r="FE90" i="50"/>
  <c r="EN98" i="50"/>
  <c r="DV176" i="50"/>
  <c r="EJ213" i="50"/>
  <c r="CG230" i="50"/>
  <c r="DC84" i="50"/>
  <c r="CL90" i="50"/>
  <c r="EY159" i="50"/>
  <c r="FE99" i="50"/>
  <c r="EN107" i="50"/>
  <c r="CU176" i="50"/>
  <c r="EW213" i="50"/>
  <c r="BP230" i="50"/>
  <c r="DC128" i="50"/>
  <c r="CL136" i="50"/>
  <c r="EV159" i="50"/>
  <c r="FE145" i="50"/>
  <c r="EN153" i="50"/>
  <c r="CA176" i="50"/>
  <c r="ET213" i="50"/>
  <c r="BM230" i="50"/>
  <c r="DC184" i="50"/>
  <c r="CL192" i="50"/>
  <c r="BY159" i="50"/>
  <c r="FE201" i="50"/>
  <c r="EN114" i="50"/>
  <c r="AL176" i="50"/>
  <c r="AO213" i="50"/>
  <c r="EA230" i="50"/>
  <c r="DC137" i="50"/>
  <c r="CL145" i="50"/>
  <c r="AB159" i="50"/>
  <c r="FE152" i="50"/>
  <c r="EN164" i="50"/>
  <c r="DZ176" i="50"/>
  <c r="AF213" i="50"/>
  <c r="BW230" i="50"/>
  <c r="DC193" i="50"/>
  <c r="CL201" i="50"/>
  <c r="R159" i="50"/>
  <c r="FE208" i="50"/>
  <c r="EN220" i="50"/>
  <c r="N176" i="50"/>
  <c r="J213" i="50"/>
  <c r="D230" i="50"/>
  <c r="DC222" i="50"/>
  <c r="CL228" i="50"/>
  <c r="CL73" i="50"/>
  <c r="FD159" i="50"/>
  <c r="FE80" i="50"/>
  <c r="EN88" i="50"/>
  <c r="EK176" i="50"/>
  <c r="FB213" i="50"/>
  <c r="CH230" i="50"/>
  <c r="DC74" i="50"/>
  <c r="CL80" i="50"/>
  <c r="EN157" i="50"/>
  <c r="ET176" i="50"/>
  <c r="BM213" i="50"/>
  <c r="CQ230" i="50"/>
  <c r="DC188" i="50"/>
  <c r="CL196" i="50"/>
  <c r="AM159" i="50"/>
  <c r="FE205" i="50"/>
  <c r="EN118" i="50"/>
  <c r="AO176" i="50"/>
  <c r="EA213" i="50"/>
  <c r="DM230" i="50"/>
  <c r="DC141" i="50"/>
  <c r="CL149" i="50"/>
  <c r="AI159" i="50"/>
  <c r="FE156" i="50"/>
  <c r="EN168" i="50"/>
  <c r="AF176" i="50"/>
  <c r="BW213" i="50"/>
  <c r="V230" i="50"/>
  <c r="DC197" i="50"/>
  <c r="CL205" i="50"/>
  <c r="W159" i="50"/>
  <c r="FE212" i="50"/>
  <c r="EN224" i="50"/>
  <c r="J176" i="50"/>
  <c r="D213" i="50"/>
  <c r="G230" i="50"/>
  <c r="DC226" i="50"/>
  <c r="AB19" i="26"/>
  <c r="CL77" i="50"/>
  <c r="BV159" i="50"/>
  <c r="FE84" i="50"/>
  <c r="EN92" i="50"/>
  <c r="FB176" i="50"/>
  <c r="CH213" i="50"/>
  <c r="FA230" i="50"/>
  <c r="DC78" i="50"/>
  <c r="CL84" i="50"/>
  <c r="DU159" i="50"/>
  <c r="FE93" i="50"/>
  <c r="EN101" i="50"/>
  <c r="CV176" i="50"/>
  <c r="EG213" i="50"/>
  <c r="CD230" i="50"/>
  <c r="DC122" i="50"/>
  <c r="CL130" i="50"/>
  <c r="EE159" i="50"/>
  <c r="FE139" i="50"/>
  <c r="EN147" i="50"/>
  <c r="EU176" i="50"/>
  <c r="CR213" i="50"/>
  <c r="BC230" i="50"/>
  <c r="DC172" i="50"/>
  <c r="CL186" i="50"/>
  <c r="DN159" i="50"/>
  <c r="FE195" i="50"/>
  <c r="EN203" i="50"/>
  <c r="BA176" i="50"/>
  <c r="AS213" i="50"/>
  <c r="CP230" i="50"/>
  <c r="DC131" i="50"/>
  <c r="CL139" i="50"/>
  <c r="AD159" i="50"/>
  <c r="FE146" i="50"/>
  <c r="EN154" i="50"/>
  <c r="CO176" i="50"/>
  <c r="EQ213" i="50"/>
  <c r="AG230" i="50"/>
  <c r="DC187" i="50"/>
  <c r="CL195" i="50"/>
  <c r="DY159" i="50"/>
  <c r="FE202" i="50"/>
  <c r="BK176" i="50"/>
  <c r="FA213" i="50"/>
  <c r="CY230" i="50"/>
  <c r="DC82" i="50"/>
  <c r="CL88" i="50"/>
  <c r="CF159" i="50"/>
  <c r="FE97" i="50"/>
  <c r="EN105" i="50"/>
  <c r="EG176" i="50"/>
  <c r="CD213" i="50"/>
  <c r="DR230" i="50"/>
  <c r="DC126" i="50"/>
  <c r="CL134" i="50"/>
  <c r="DQ159" i="50"/>
  <c r="FE143" i="50"/>
  <c r="EN151" i="50"/>
  <c r="CR176" i="50"/>
  <c r="BC213" i="50"/>
  <c r="DO230" i="50"/>
  <c r="DC176" i="50"/>
  <c r="CL190" i="50"/>
  <c r="EB159" i="50"/>
  <c r="FE199" i="50"/>
  <c r="EN112" i="50"/>
  <c r="AS176" i="50"/>
  <c r="CP213" i="50"/>
  <c r="AR230" i="50"/>
  <c r="DC135" i="50"/>
  <c r="CL143" i="50"/>
  <c r="BX159" i="50"/>
  <c r="FE150" i="50"/>
  <c r="EN158" i="50"/>
  <c r="EQ176" i="50"/>
  <c r="AG213" i="50"/>
  <c r="Q230" i="50"/>
  <c r="DC191" i="50"/>
  <c r="CL199" i="50"/>
  <c r="DK159" i="50"/>
  <c r="FE206" i="50"/>
  <c r="EN218" i="50"/>
  <c r="I176" i="50"/>
  <c r="M213" i="50"/>
  <c r="K230" i="50"/>
  <c r="DC220" i="50"/>
  <c r="CL226" i="50"/>
  <c r="F159" i="50"/>
  <c r="CK159" i="50"/>
  <c r="FE78" i="50"/>
  <c r="EN86" i="50"/>
  <c r="DW176" i="50"/>
  <c r="CI213" i="50"/>
  <c r="BT230" i="50"/>
  <c r="DC109" i="50"/>
  <c r="CL78" i="50"/>
  <c r="EI159" i="50"/>
  <c r="FE87" i="50"/>
  <c r="EN95" i="50"/>
  <c r="CE176" i="50"/>
  <c r="BG213" i="50"/>
  <c r="DS230" i="50"/>
  <c r="DC116" i="50"/>
  <c r="CL124" i="50"/>
  <c r="EF159" i="50"/>
  <c r="FE133" i="50"/>
  <c r="EN141" i="50"/>
  <c r="ED176" i="50"/>
  <c r="CB213" i="50"/>
  <c r="EC230" i="50"/>
  <c r="DC166" i="50"/>
  <c r="CL174" i="50"/>
  <c r="CQ159" i="50"/>
  <c r="FE189" i="50"/>
  <c r="EN197" i="50"/>
  <c r="DC195" i="50"/>
  <c r="CL203" i="50"/>
  <c r="AY159" i="50"/>
  <c r="FE210" i="50"/>
  <c r="EN222" i="50"/>
  <c r="M176" i="50"/>
  <c r="K213" i="50"/>
  <c r="AV230" i="50"/>
  <c r="DC224" i="50"/>
  <c r="CL230" i="50"/>
  <c r="CL75" i="50"/>
  <c r="DB159" i="50"/>
  <c r="FE82" i="50"/>
  <c r="EN90" i="50"/>
  <c r="CI176" i="50"/>
  <c r="BT213" i="50"/>
  <c r="DV230" i="50"/>
  <c r="DC76" i="50"/>
  <c r="CL82" i="50"/>
  <c r="CX159" i="50"/>
  <c r="FE91" i="50"/>
  <c r="EN99" i="50"/>
  <c r="BG176" i="50"/>
  <c r="DS213" i="50"/>
  <c r="CU230" i="50"/>
  <c r="DC120" i="50"/>
  <c r="CL128" i="50"/>
  <c r="CC159" i="50"/>
  <c r="FE137" i="50"/>
  <c r="EN145" i="50"/>
  <c r="CB176" i="50"/>
  <c r="EC213" i="50"/>
  <c r="CA230" i="50"/>
  <c r="DC170" i="50"/>
  <c r="CL184" i="50"/>
  <c r="BZ159" i="50"/>
  <c r="FE193" i="50"/>
  <c r="EN201" i="50"/>
  <c r="ER176" i="50"/>
  <c r="AT213" i="50"/>
  <c r="AL230" i="50"/>
  <c r="DC129" i="50"/>
  <c r="CL137" i="50"/>
  <c r="AE159" i="50"/>
  <c r="FE144" i="50"/>
  <c r="EN152" i="50"/>
  <c r="AH176" i="50"/>
  <c r="AZ213" i="50"/>
  <c r="DZ230" i="50"/>
  <c r="DC185" i="50"/>
  <c r="CL193" i="50"/>
  <c r="U159" i="50"/>
  <c r="FE200" i="50"/>
  <c r="EN210" i="50"/>
  <c r="O176" i="50"/>
  <c r="L213" i="50"/>
  <c r="N230" i="50"/>
  <c r="DC210" i="50"/>
  <c r="CL220" i="50"/>
  <c r="H159" i="50"/>
  <c r="FE227" i="50"/>
  <c r="FE73" i="50"/>
  <c r="EN80" i="50"/>
  <c r="DA176" i="50"/>
  <c r="CZ213" i="50"/>
  <c r="EK230" i="50"/>
  <c r="DC103" i="50"/>
  <c r="CL111" i="50"/>
  <c r="CY159" i="50"/>
  <c r="FE81" i="50"/>
  <c r="EN89" i="50"/>
  <c r="CW176" i="50"/>
  <c r="BQ213" i="50"/>
  <c r="CL188" i="50"/>
  <c r="BB159" i="50"/>
  <c r="FE197" i="50"/>
  <c r="EN205" i="50"/>
  <c r="AT176" i="50"/>
  <c r="AL213" i="50"/>
  <c r="AO230" i="50"/>
  <c r="DC133" i="50"/>
  <c r="CL141" i="50"/>
  <c r="AC159" i="50"/>
  <c r="FE148" i="50"/>
  <c r="EN156" i="50"/>
  <c r="AZ176" i="50"/>
  <c r="DZ213" i="50"/>
  <c r="AF230" i="50"/>
  <c r="DC189" i="50"/>
  <c r="CL197" i="50"/>
  <c r="T159" i="50"/>
  <c r="FE204" i="50"/>
  <c r="EN206" i="50"/>
  <c r="L176" i="50"/>
  <c r="N213" i="50"/>
  <c r="J230" i="50"/>
  <c r="DC218" i="50"/>
  <c r="CL224" i="50"/>
  <c r="AW159" i="50"/>
  <c r="EM159" i="50"/>
  <c r="FE76" i="50"/>
  <c r="EN84" i="50"/>
  <c r="CZ176" i="50"/>
  <c r="EK213" i="50"/>
  <c r="FB230" i="50"/>
  <c r="DC107" i="50"/>
  <c r="CL76" i="50"/>
  <c r="BS159" i="50"/>
  <c r="FE85" i="50"/>
  <c r="EN93" i="50"/>
  <c r="BQ176" i="50"/>
  <c r="EX213" i="50"/>
  <c r="CV230" i="50"/>
  <c r="DC114" i="50"/>
  <c r="CL122" i="50"/>
  <c r="BF159" i="50"/>
  <c r="FE131" i="50"/>
  <c r="EN139" i="50"/>
  <c r="BD176" i="50"/>
  <c r="CS213" i="50"/>
  <c r="EU230" i="50"/>
  <c r="DC164" i="50"/>
  <c r="CL172" i="50"/>
  <c r="ES159" i="50"/>
  <c r="FE187" i="50"/>
  <c r="EN195" i="50"/>
  <c r="AN176" i="50"/>
  <c r="AU213" i="50"/>
  <c r="BA230" i="50"/>
  <c r="DC123" i="50"/>
  <c r="CL131" i="50"/>
  <c r="AQ159" i="50"/>
  <c r="FE138" i="50"/>
  <c r="EN146" i="50"/>
  <c r="Z176" i="50"/>
  <c r="AA213" i="50"/>
  <c r="CO230" i="50"/>
  <c r="DC171" i="50"/>
  <c r="CL187" i="50"/>
  <c r="S159" i="50"/>
  <c r="FE194" i="50"/>
  <c r="EN202" i="50"/>
  <c r="BI176" i="50"/>
  <c r="BH213" i="50"/>
  <c r="DJ230" i="50"/>
  <c r="DC227" i="50"/>
  <c r="EZ159" i="50"/>
  <c r="FE89" i="50"/>
  <c r="EN97" i="50"/>
  <c r="EX176" i="50"/>
  <c r="CV213" i="50"/>
  <c r="EG230" i="50"/>
  <c r="DC118" i="50"/>
  <c r="CL126" i="50"/>
  <c r="BO159" i="50"/>
  <c r="FE135" i="50"/>
  <c r="EN143" i="50"/>
  <c r="CS176" i="50"/>
  <c r="EU213" i="50"/>
  <c r="CR230" i="50"/>
  <c r="DC168" i="50"/>
  <c r="CL176" i="50"/>
  <c r="BL159" i="50"/>
  <c r="FE191" i="50"/>
  <c r="EN199" i="50"/>
  <c r="AU176" i="50"/>
  <c r="BA213" i="50"/>
  <c r="AS230" i="50"/>
  <c r="DC127" i="50"/>
  <c r="CL135" i="50"/>
  <c r="AP159" i="50"/>
  <c r="FE142" i="50"/>
  <c r="EN150" i="50"/>
  <c r="AA176" i="50"/>
  <c r="CO213" i="50"/>
  <c r="EQ230" i="50"/>
  <c r="DC175" i="50"/>
  <c r="CL191" i="50"/>
  <c r="P159" i="50"/>
  <c r="FE198" i="50"/>
  <c r="EN208" i="50"/>
  <c r="BH176" i="50"/>
  <c r="DJ213" i="50"/>
  <c r="I230" i="50"/>
  <c r="DC208" i="50"/>
  <c r="CL218" i="50"/>
  <c r="E159" i="50"/>
  <c r="FE225" i="50"/>
  <c r="AA19" i="26"/>
  <c r="EN78" i="50"/>
  <c r="CJ176" i="50"/>
  <c r="BU213" i="50"/>
  <c r="DW230" i="50"/>
  <c r="DC101" i="50"/>
  <c r="CL109" i="50"/>
  <c r="EJ159" i="50"/>
  <c r="FE79" i="50"/>
  <c r="EN87" i="50"/>
  <c r="BR176" i="50"/>
  <c r="EH213" i="50"/>
  <c r="CE230" i="50"/>
  <c r="DC110" i="50"/>
  <c r="CL116" i="50"/>
  <c r="EW159" i="50"/>
  <c r="FE125" i="50"/>
  <c r="EN133" i="50"/>
  <c r="CT176" i="50"/>
  <c r="DP213" i="50"/>
  <c r="ED230" i="50"/>
  <c r="DC154" i="50"/>
  <c r="CL166" i="50"/>
  <c r="ET159" i="50"/>
  <c r="FE173" i="50"/>
  <c r="EN189" i="50"/>
  <c r="AJ176" i="50"/>
  <c r="AK213" i="50"/>
  <c r="BK230" i="50"/>
  <c r="DC117" i="50"/>
  <c r="CL125" i="50"/>
  <c r="EN212" i="50"/>
  <c r="DJ176" i="50"/>
  <c r="I213" i="50"/>
  <c r="M230" i="50"/>
  <c r="DC212" i="50"/>
  <c r="CL222" i="50"/>
  <c r="C159" i="50"/>
  <c r="FE229" i="50"/>
  <c r="FE74" i="50"/>
  <c r="EN82" i="50"/>
  <c r="BU176" i="50"/>
  <c r="DW213" i="50"/>
  <c r="CI230" i="50"/>
  <c r="DC105" i="50"/>
  <c r="CL74" i="50"/>
  <c r="CG159" i="50"/>
  <c r="FE83" i="50"/>
  <c r="EN91" i="50"/>
  <c r="EH176" i="50"/>
  <c r="CE213" i="50"/>
  <c r="BG230" i="50"/>
  <c r="DC112" i="50"/>
  <c r="CL120" i="50"/>
  <c r="BP159" i="50"/>
  <c r="FE129" i="50"/>
  <c r="EN137" i="50"/>
  <c r="DP176" i="50"/>
  <c r="ED213" i="50"/>
  <c r="CB230" i="50"/>
  <c r="DC158" i="50"/>
  <c r="CL170" i="50"/>
  <c r="BM159" i="50"/>
  <c r="FE185" i="50"/>
  <c r="EN193" i="50"/>
  <c r="AK176" i="50"/>
  <c r="BK213" i="50"/>
  <c r="ER230" i="50"/>
  <c r="DC121" i="50"/>
  <c r="CL129" i="50"/>
  <c r="EA159" i="50"/>
  <c r="FE136" i="50"/>
  <c r="EN144" i="50"/>
  <c r="DL176" i="50"/>
  <c r="Y213" i="50"/>
  <c r="AH230" i="50"/>
  <c r="DC169" i="50"/>
  <c r="CL185" i="50"/>
  <c r="BW159" i="50"/>
  <c r="FE192" i="50"/>
  <c r="EN200" i="50"/>
  <c r="X176" i="50"/>
  <c r="AX213" i="50"/>
  <c r="O230" i="50"/>
  <c r="DC225" i="50"/>
  <c r="CL208" i="50"/>
  <c r="D159" i="50"/>
  <c r="FE219" i="50"/>
  <c r="EN227" i="50"/>
  <c r="EN73" i="50"/>
  <c r="FC176" i="50"/>
  <c r="EL213" i="50"/>
  <c r="DA230" i="50"/>
  <c r="DC95" i="50"/>
  <c r="CL103" i="50"/>
  <c r="CH159" i="50"/>
  <c r="FE110" i="50"/>
  <c r="EN81" i="50"/>
  <c r="DT176" i="50"/>
  <c r="EY213" i="50"/>
  <c r="CW230" i="50"/>
  <c r="DC104" i="50"/>
  <c r="CL110" i="50"/>
  <c r="EG159" i="50"/>
  <c r="ER213" i="50"/>
  <c r="AT230" i="50"/>
  <c r="DC125" i="50"/>
  <c r="CL133" i="50"/>
  <c r="DM159" i="50"/>
  <c r="FE140" i="50"/>
  <c r="EN148" i="50"/>
  <c r="Y176" i="50"/>
  <c r="AH213" i="50"/>
  <c r="AZ230" i="50"/>
  <c r="DC173" i="50"/>
  <c r="CL189" i="50"/>
  <c r="V159" i="50"/>
  <c r="FE196" i="50"/>
  <c r="EN204" i="50"/>
  <c r="AX176" i="50"/>
  <c r="O213" i="50"/>
  <c r="L230" i="50"/>
  <c r="DC229" i="50"/>
  <c r="CL212" i="50"/>
  <c r="G159" i="50"/>
  <c r="FE223" i="50"/>
  <c r="Z19" i="26"/>
  <c r="EN76" i="50"/>
  <c r="EL176" i="50"/>
  <c r="DA213" i="50"/>
  <c r="CZ230" i="50"/>
  <c r="DC99" i="50"/>
  <c r="CL107" i="50"/>
  <c r="FA159" i="50"/>
  <c r="FE77" i="50"/>
  <c r="EN85" i="50"/>
  <c r="EY176" i="50"/>
  <c r="CW213" i="50"/>
  <c r="BQ230" i="50"/>
  <c r="DC108" i="50"/>
  <c r="CL114" i="50"/>
  <c r="CD159" i="50"/>
  <c r="FE123" i="50"/>
  <c r="EN131" i="50"/>
  <c r="EV176" i="50"/>
  <c r="BN213" i="50"/>
  <c r="BD230" i="50"/>
  <c r="DC152" i="50"/>
  <c r="CL164" i="50"/>
  <c r="BC159" i="50"/>
  <c r="FE171" i="50"/>
  <c r="EN187" i="50"/>
  <c r="BY176" i="50"/>
  <c r="AM213" i="50"/>
  <c r="AN230" i="50"/>
  <c r="DC115" i="50"/>
  <c r="CL123" i="50"/>
  <c r="CP159" i="50"/>
  <c r="FE130" i="50"/>
  <c r="EN138" i="50"/>
  <c r="AB176" i="50"/>
  <c r="AI213" i="50"/>
  <c r="Z230" i="50"/>
  <c r="DC163" i="50"/>
  <c r="CL171" i="50"/>
  <c r="AG159" i="50"/>
  <c r="FE186" i="50"/>
  <c r="EN194" i="50"/>
  <c r="R176" i="50"/>
  <c r="W213" i="50"/>
  <c r="BI230" i="50"/>
  <c r="DC219" i="50"/>
  <c r="CL225" i="50"/>
  <c r="M159" i="50"/>
  <c r="FE211" i="50"/>
  <c r="EN221" i="50"/>
  <c r="S230" i="50"/>
  <c r="EX230" i="50"/>
  <c r="DC206" i="50"/>
  <c r="CL118" i="50"/>
  <c r="DR159" i="50"/>
  <c r="FE127" i="50"/>
  <c r="EN135" i="50"/>
  <c r="BN176" i="50"/>
  <c r="BD213" i="50"/>
  <c r="CS230" i="50"/>
  <c r="DC156" i="50"/>
  <c r="CL168" i="50"/>
  <c r="DO159" i="50"/>
  <c r="FE175" i="50"/>
  <c r="EN191" i="50"/>
  <c r="AM176" i="50"/>
  <c r="AN213" i="50"/>
  <c r="AU230" i="50"/>
  <c r="DC119" i="50"/>
  <c r="CL127" i="50"/>
  <c r="AR159" i="50"/>
  <c r="FE134" i="50"/>
  <c r="EN142" i="50"/>
  <c r="AI176" i="50"/>
  <c r="Z213" i="50"/>
  <c r="AA230" i="50"/>
  <c r="DC167" i="50"/>
  <c r="CL175" i="50"/>
  <c r="Q159" i="50"/>
  <c r="FE190" i="50"/>
  <c r="EN198" i="50"/>
  <c r="W176" i="50"/>
  <c r="BI213" i="50"/>
  <c r="BH230" i="50"/>
  <c r="DC223" i="50"/>
  <c r="CL229" i="50"/>
  <c r="K159" i="50"/>
  <c r="FE217" i="50"/>
  <c r="EN225" i="50"/>
  <c r="AE19" i="26"/>
  <c r="BV176" i="50"/>
  <c r="DX213" i="50"/>
  <c r="CJ230" i="50"/>
  <c r="DC93" i="50"/>
  <c r="CL101" i="50"/>
  <c r="BT159" i="50"/>
  <c r="FE108" i="50"/>
  <c r="EN79" i="50"/>
  <c r="DU176" i="50"/>
  <c r="CF213" i="50"/>
  <c r="BR230" i="50"/>
  <c r="DC102" i="50"/>
  <c r="CL108" i="50"/>
  <c r="DS159" i="50"/>
  <c r="FE117" i="50"/>
  <c r="EN125" i="50"/>
  <c r="EE176" i="50"/>
  <c r="DQ213" i="50"/>
  <c r="CT230" i="50"/>
  <c r="DC146" i="50"/>
  <c r="CL154" i="50"/>
  <c r="EC159" i="50"/>
  <c r="FE165" i="50"/>
  <c r="EN173" i="50"/>
  <c r="DN176" i="50"/>
  <c r="EB213" i="50"/>
  <c r="AJ230" i="50"/>
  <c r="DC202" i="50"/>
  <c r="CL117" i="50"/>
  <c r="AT159" i="50"/>
  <c r="FE124" i="50"/>
  <c r="EN132" i="50"/>
  <c r="AD176" i="50"/>
  <c r="BX213" i="50"/>
  <c r="CL210" i="50"/>
  <c r="AV159" i="50"/>
  <c r="FE221" i="50"/>
  <c r="EN229" i="50"/>
  <c r="EN74" i="50"/>
  <c r="DX176" i="50"/>
  <c r="CJ213" i="50"/>
  <c r="BU230" i="50"/>
  <c r="DC97" i="50"/>
  <c r="CL105" i="50"/>
  <c r="DV159" i="50"/>
  <c r="FE75" i="50"/>
  <c r="EN83" i="50"/>
  <c r="CF176" i="50"/>
  <c r="BR213" i="50"/>
  <c r="EH230" i="50"/>
  <c r="DC106" i="50"/>
  <c r="CL112" i="50"/>
  <c r="CU159" i="50"/>
  <c r="FE121" i="50"/>
  <c r="EN129" i="50"/>
  <c r="DQ176" i="50"/>
  <c r="CT213" i="50"/>
  <c r="DP230" i="50"/>
  <c r="DC150" i="50"/>
  <c r="CL158" i="50"/>
  <c r="CA159" i="50"/>
  <c r="FE169" i="50"/>
  <c r="EN185" i="50"/>
  <c r="EB176" i="50"/>
  <c r="AJ213" i="50"/>
  <c r="AK230" i="50"/>
  <c r="DC113" i="50"/>
  <c r="CL121" i="50"/>
  <c r="AL159" i="50"/>
  <c r="FE128" i="50"/>
  <c r="EN136" i="50"/>
  <c r="BX176" i="50"/>
  <c r="BJ213" i="50"/>
  <c r="DL230" i="50"/>
  <c r="DC159" i="50"/>
  <c r="CL169" i="50"/>
  <c r="DZ159" i="50"/>
  <c r="FE184" i="50"/>
  <c r="EN192" i="50"/>
  <c r="DK176" i="50"/>
  <c r="AY213" i="50"/>
  <c r="X230" i="50"/>
  <c r="DC217" i="50"/>
  <c r="CL223" i="50"/>
  <c r="N159" i="50"/>
  <c r="FE209" i="50"/>
  <c r="EN219" i="50"/>
  <c r="F176" i="50"/>
  <c r="CK176" i="50"/>
  <c r="DB213" i="50"/>
  <c r="FC230" i="50"/>
  <c r="DC87" i="50"/>
  <c r="CL95" i="50"/>
  <c r="EK159" i="50"/>
  <c r="FE102" i="50"/>
  <c r="EN110" i="50"/>
  <c r="EI176" i="50"/>
  <c r="CX213" i="50"/>
  <c r="DT230" i="50"/>
  <c r="DC96" i="50"/>
  <c r="CL102" i="50"/>
  <c r="EX159" i="50"/>
  <c r="FE111" i="50"/>
  <c r="EN119" i="50"/>
  <c r="EF176" i="50"/>
  <c r="CC213" i="50"/>
  <c r="BE230" i="50"/>
  <c r="AO159" i="50"/>
  <c r="FE132" i="50"/>
  <c r="EN140" i="50"/>
  <c r="BJ176" i="50"/>
  <c r="DL213" i="50"/>
  <c r="Y230" i="50"/>
  <c r="DC165" i="50"/>
  <c r="CL173" i="50"/>
  <c r="AF159" i="50"/>
  <c r="FE188" i="50"/>
  <c r="EN196" i="50"/>
  <c r="AY176" i="50"/>
  <c r="X213" i="50"/>
  <c r="AX230" i="50"/>
  <c r="DC221" i="50"/>
  <c r="CL227" i="50"/>
  <c r="J159" i="50"/>
  <c r="FE213" i="50"/>
  <c r="EN223" i="50"/>
  <c r="AD19" i="26"/>
  <c r="DB176" i="50"/>
  <c r="FC213" i="50"/>
  <c r="EL230" i="50"/>
  <c r="DC91" i="50"/>
  <c r="CL99" i="50"/>
  <c r="FB159" i="50"/>
  <c r="FE106" i="50"/>
  <c r="EN77" i="50"/>
  <c r="CX176" i="50"/>
  <c r="DT213" i="50"/>
  <c r="EY230" i="50"/>
  <c r="DC100" i="50"/>
  <c r="CL106" i="50"/>
  <c r="CV159" i="50"/>
  <c r="FE115" i="50"/>
  <c r="EN123" i="50"/>
  <c r="CC176" i="50"/>
  <c r="BE213" i="50"/>
  <c r="EV230" i="50"/>
  <c r="DC144" i="50"/>
  <c r="CL152" i="50"/>
  <c r="EU159" i="50"/>
  <c r="FE163" i="50"/>
  <c r="EN171" i="50"/>
  <c r="BZ176" i="50"/>
  <c r="BB213" i="50"/>
  <c r="BY230" i="50"/>
  <c r="DC200" i="50"/>
  <c r="CL115" i="50"/>
  <c r="BA159" i="50"/>
  <c r="FE122" i="50"/>
  <c r="EN130" i="50"/>
  <c r="AE176" i="50"/>
  <c r="AC213" i="50"/>
  <c r="AB230" i="50"/>
  <c r="DC153" i="50"/>
  <c r="CL163" i="50"/>
  <c r="CO159" i="50"/>
  <c r="FE172" i="50"/>
  <c r="EN186" i="50"/>
  <c r="U176" i="50"/>
  <c r="T213" i="50"/>
  <c r="R230" i="50"/>
  <c r="DC209" i="50"/>
  <c r="CL206" i="50"/>
  <c r="DJ159" i="50"/>
  <c r="FE228" i="50"/>
  <c r="EN211" i="50"/>
  <c r="H176" i="50"/>
  <c r="AW213" i="50"/>
  <c r="EM213" i="50"/>
  <c r="FD230" i="50"/>
  <c r="FE119" i="50"/>
  <c r="EN127" i="50"/>
  <c r="BE176" i="50"/>
  <c r="EV213" i="50"/>
  <c r="BN230" i="50"/>
  <c r="DC148" i="50"/>
  <c r="CL156" i="50"/>
  <c r="CR159" i="50"/>
  <c r="FE167" i="50"/>
  <c r="EN175" i="50"/>
  <c r="BB176" i="50"/>
  <c r="BY213" i="50"/>
  <c r="AM230" i="50"/>
  <c r="DC204" i="50"/>
  <c r="CL119" i="50"/>
  <c r="AS159" i="50"/>
  <c r="FE126" i="50"/>
  <c r="EN134" i="50"/>
  <c r="AC176" i="50"/>
  <c r="AB213" i="50"/>
  <c r="AI230" i="50"/>
  <c r="DC157" i="50"/>
  <c r="CL167" i="50"/>
  <c r="EQ159" i="50"/>
  <c r="FE176" i="50"/>
  <c r="EN190" i="50"/>
  <c r="T176" i="50"/>
  <c r="R213" i="50"/>
  <c r="W230" i="50"/>
  <c r="DC213" i="50"/>
  <c r="CL221" i="50"/>
  <c r="I159" i="50"/>
  <c r="FE207" i="50"/>
  <c r="EN217" i="50"/>
  <c r="AW176" i="50"/>
  <c r="EM176" i="50"/>
  <c r="FD213" i="50"/>
  <c r="BV230" i="50"/>
  <c r="DC85" i="50"/>
  <c r="CL93" i="50"/>
  <c r="DW159" i="50"/>
  <c r="FE100" i="50"/>
  <c r="EN108" i="50"/>
  <c r="BS176" i="50"/>
  <c r="EZ213" i="50"/>
  <c r="DU230" i="50"/>
  <c r="DC94" i="50"/>
  <c r="CL100" i="50"/>
  <c r="CE159" i="50"/>
  <c r="FE109" i="50"/>
  <c r="EN117" i="50"/>
  <c r="BF176" i="50"/>
  <c r="BO213" i="50"/>
  <c r="EE230" i="50"/>
  <c r="DC138" i="50"/>
  <c r="CL146" i="50"/>
  <c r="ED159" i="50"/>
  <c r="FE155" i="50"/>
  <c r="EN165" i="50"/>
  <c r="ES176" i="50"/>
  <c r="BL213" i="50"/>
  <c r="DN230" i="50"/>
  <c r="DC194" i="50"/>
  <c r="CL202" i="50"/>
  <c r="BK159" i="50"/>
  <c r="FE116" i="50"/>
  <c r="EN124" i="50"/>
  <c r="AQ176" i="50"/>
  <c r="AP213" i="50"/>
  <c r="AD230" i="50"/>
  <c r="DC147" i="50"/>
  <c r="CL155" i="50"/>
  <c r="Y159" i="50"/>
  <c r="E29" i="41" l="1"/>
  <c r="AC168" i="49"/>
  <c r="ED51" i="49"/>
  <c r="AC222" i="49"/>
  <c r="EL51" i="49"/>
  <c r="X185" i="49"/>
  <c r="DF68" i="49"/>
  <c r="N35" i="43"/>
  <c r="M36" i="43"/>
  <c r="N36" i="43" s="1"/>
  <c r="AC239" i="49"/>
  <c r="EL68" i="49"/>
  <c r="AH168" i="49"/>
  <c r="FB51" i="49"/>
  <c r="BI17" i="26"/>
  <c r="BJ17" i="26" s="1"/>
  <c r="BN16" i="26"/>
  <c r="N222" i="49"/>
  <c r="BR51" i="49"/>
  <c r="AH222" i="49"/>
  <c r="FJ51" i="49"/>
  <c r="I185" i="49"/>
  <c r="AL68" i="49"/>
  <c r="AC185" i="49"/>
  <c r="ED68" i="49"/>
  <c r="AQ25" i="25"/>
  <c r="AS25" i="25" s="1"/>
  <c r="AQ16" i="25"/>
  <c r="AS16" i="25" s="1"/>
  <c r="AQ5" i="25"/>
  <c r="AS5" i="25" s="1"/>
  <c r="AQ6" i="25"/>
  <c r="AS6" i="25" s="1"/>
  <c r="AQ15" i="25"/>
  <c r="AS15" i="25" s="1"/>
  <c r="AQ26" i="25"/>
  <c r="AS26" i="25" s="1"/>
  <c r="H29" i="41"/>
  <c r="N239" i="49"/>
  <c r="BR68" i="49"/>
  <c r="AH239" i="49"/>
  <c r="FJ68" i="49"/>
  <c r="I168" i="49"/>
  <c r="AL51" i="49"/>
  <c r="BX16" i="26"/>
  <c r="BY16" i="26"/>
  <c r="FL69" i="49"/>
  <c r="AI240" i="49" s="1"/>
  <c r="FG69" i="49"/>
  <c r="AF240" i="49" s="1"/>
  <c r="EN69" i="49"/>
  <c r="AD240" i="49" s="1"/>
  <c r="EI69" i="49"/>
  <c r="AA240" i="49" s="1"/>
  <c r="DP69" i="49"/>
  <c r="Y240" i="49" s="1"/>
  <c r="DK69" i="49"/>
  <c r="V240" i="49" s="1"/>
  <c r="CR69" i="49"/>
  <c r="T240" i="49" s="1"/>
  <c r="CM69" i="49"/>
  <c r="Q240" i="49" s="1"/>
  <c r="BT69" i="49"/>
  <c r="O240" i="49" s="1"/>
  <c r="BO69" i="49"/>
  <c r="L240" i="49" s="1"/>
  <c r="AV69" i="49"/>
  <c r="J240" i="49" s="1"/>
  <c r="AQ69" i="49"/>
  <c r="G240" i="49" s="1"/>
  <c r="X69" i="49"/>
  <c r="E240" i="49" s="1"/>
  <c r="S69" i="49"/>
  <c r="B240" i="49" s="1"/>
  <c r="FI69" i="49"/>
  <c r="EK69" i="49"/>
  <c r="DM69" i="49"/>
  <c r="CO69" i="49"/>
  <c r="BQ69" i="49"/>
  <c r="AS69" i="49"/>
  <c r="U69" i="49"/>
  <c r="FM69" i="49"/>
  <c r="FH69" i="49"/>
  <c r="AG240" i="49" s="1"/>
  <c r="EO69" i="49"/>
  <c r="EJ69" i="49"/>
  <c r="AB240" i="49" s="1"/>
  <c r="DQ69" i="49"/>
  <c r="DL69" i="49"/>
  <c r="W240" i="49" s="1"/>
  <c r="CS69" i="49"/>
  <c r="CN69" i="49"/>
  <c r="R240" i="49" s="1"/>
  <c r="BU69" i="49"/>
  <c r="BP69" i="49"/>
  <c r="M240" i="49" s="1"/>
  <c r="AW69" i="49"/>
  <c r="AR69" i="49"/>
  <c r="H240" i="49" s="1"/>
  <c r="Y69" i="49"/>
  <c r="T69" i="49"/>
  <c r="C240" i="49" s="1"/>
  <c r="H167" i="7"/>
  <c r="I239" i="49"/>
  <c r="AT68" i="49"/>
  <c r="N168" i="49"/>
  <c r="BJ51" i="49"/>
  <c r="BM16" i="26"/>
  <c r="BO16" i="26"/>
  <c r="S168" i="49"/>
  <c r="CH51" i="49"/>
  <c r="BP16" i="26"/>
  <c r="BQ16" i="26"/>
  <c r="BR16" i="26"/>
  <c r="BS16" i="26"/>
  <c r="FI52" i="49"/>
  <c r="EK52" i="49"/>
  <c r="DM52" i="49"/>
  <c r="CO52" i="49"/>
  <c r="BQ52" i="49"/>
  <c r="AS52" i="49"/>
  <c r="U52" i="49"/>
  <c r="FM52" i="49"/>
  <c r="FH52" i="49"/>
  <c r="AG223" i="49" s="1"/>
  <c r="EO52" i="49"/>
  <c r="EJ52" i="49"/>
  <c r="AB223" i="49" s="1"/>
  <c r="DQ52" i="49"/>
  <c r="DL52" i="49"/>
  <c r="W223" i="49" s="1"/>
  <c r="CS52" i="49"/>
  <c r="CN52" i="49"/>
  <c r="R223" i="49" s="1"/>
  <c r="BU52" i="49"/>
  <c r="BP52" i="49"/>
  <c r="M223" i="49" s="1"/>
  <c r="AW52" i="49"/>
  <c r="AR52" i="49"/>
  <c r="H223" i="49" s="1"/>
  <c r="Y52" i="49"/>
  <c r="T52" i="49"/>
  <c r="C223" i="49" s="1"/>
  <c r="FL52" i="49"/>
  <c r="AI223" i="49" s="1"/>
  <c r="FG52" i="49"/>
  <c r="AF223" i="49" s="1"/>
  <c r="EN52" i="49"/>
  <c r="AD223" i="49" s="1"/>
  <c r="EI52" i="49"/>
  <c r="AA223" i="49" s="1"/>
  <c r="DP52" i="49"/>
  <c r="Y223" i="49" s="1"/>
  <c r="DK52" i="49"/>
  <c r="V223" i="49" s="1"/>
  <c r="CR52" i="49"/>
  <c r="T223" i="49" s="1"/>
  <c r="CM52" i="49"/>
  <c r="Q223" i="49" s="1"/>
  <c r="BT52" i="49"/>
  <c r="O223" i="49" s="1"/>
  <c r="BO52" i="49"/>
  <c r="L223" i="49" s="1"/>
  <c r="AV52" i="49"/>
  <c r="J223" i="49" s="1"/>
  <c r="AQ52" i="49"/>
  <c r="G223" i="49" s="1"/>
  <c r="X52" i="49"/>
  <c r="E223" i="49" s="1"/>
  <c r="S52" i="49"/>
  <c r="B223" i="49" s="1"/>
  <c r="H150" i="7"/>
  <c r="S222" i="49"/>
  <c r="CP51" i="49"/>
  <c r="K21" i="34"/>
  <c r="N185" i="49"/>
  <c r="BJ68" i="49"/>
  <c r="AH185" i="49"/>
  <c r="FB68" i="49"/>
  <c r="AB24" i="25"/>
  <c r="AC24" i="25" s="1"/>
  <c r="Z25" i="25"/>
  <c r="AA24" i="25"/>
  <c r="S239" i="49"/>
  <c r="CP68" i="49"/>
  <c r="FD52" i="49"/>
  <c r="AI169" i="49" s="1"/>
  <c r="EY52" i="49"/>
  <c r="AF169" i="49" s="1"/>
  <c r="EF52" i="49"/>
  <c r="AD169" i="49" s="1"/>
  <c r="EA52" i="49"/>
  <c r="AA169" i="49" s="1"/>
  <c r="DH52" i="49"/>
  <c r="Y169" i="49" s="1"/>
  <c r="DC52" i="49"/>
  <c r="V169" i="49" s="1"/>
  <c r="CJ52" i="49"/>
  <c r="T169" i="49" s="1"/>
  <c r="CE52" i="49"/>
  <c r="Q169" i="49" s="1"/>
  <c r="BL52" i="49"/>
  <c r="O169" i="49" s="1"/>
  <c r="BG52" i="49"/>
  <c r="L169" i="49" s="1"/>
  <c r="AN52" i="49"/>
  <c r="J169" i="49" s="1"/>
  <c r="AI52" i="49"/>
  <c r="G169" i="49" s="1"/>
  <c r="P52" i="49"/>
  <c r="E169" i="49" s="1"/>
  <c r="K52" i="49"/>
  <c r="B169" i="49" s="1"/>
  <c r="FA52" i="49"/>
  <c r="EC52" i="49"/>
  <c r="DE52" i="49"/>
  <c r="CG52" i="49"/>
  <c r="BI52" i="49"/>
  <c r="AK52" i="49"/>
  <c r="M52" i="49"/>
  <c r="FE52" i="49"/>
  <c r="EZ52" i="49"/>
  <c r="AG169" i="49" s="1"/>
  <c r="EG52" i="49"/>
  <c r="EB52" i="49"/>
  <c r="AB169" i="49" s="1"/>
  <c r="DI52" i="49"/>
  <c r="DD52" i="49"/>
  <c r="W169" i="49" s="1"/>
  <c r="CK52" i="49"/>
  <c r="CF52" i="49"/>
  <c r="R169" i="49" s="1"/>
  <c r="BM52" i="49"/>
  <c r="BH52" i="49"/>
  <c r="M169" i="49" s="1"/>
  <c r="AO52" i="49"/>
  <c r="AJ52" i="49"/>
  <c r="H169" i="49" s="1"/>
  <c r="Q52" i="49"/>
  <c r="L52" i="49"/>
  <c r="C169" i="49" s="1"/>
  <c r="F150" i="7"/>
  <c r="I222" i="49"/>
  <c r="AT51" i="49"/>
  <c r="D185" i="49"/>
  <c r="N68" i="49"/>
  <c r="D168" i="49"/>
  <c r="N51" i="49"/>
  <c r="X168" i="49"/>
  <c r="DF51" i="49"/>
  <c r="BT16" i="26"/>
  <c r="BU16" i="26"/>
  <c r="D222" i="49"/>
  <c r="V51" i="49"/>
  <c r="X222" i="49"/>
  <c r="DN51" i="49"/>
  <c r="M22" i="34"/>
  <c r="J23" i="34" s="1"/>
  <c r="L22" i="34"/>
  <c r="K22" i="34" s="1"/>
  <c r="FA69" i="49"/>
  <c r="EC69" i="49"/>
  <c r="DE69" i="49"/>
  <c r="CG69" i="49"/>
  <c r="BI69" i="49"/>
  <c r="AK69" i="49"/>
  <c r="M69" i="49"/>
  <c r="FE69" i="49"/>
  <c r="EZ69" i="49"/>
  <c r="AG186" i="49" s="1"/>
  <c r="EG69" i="49"/>
  <c r="EB69" i="49"/>
  <c r="AB186" i="49" s="1"/>
  <c r="DI69" i="49"/>
  <c r="DD69" i="49"/>
  <c r="W186" i="49" s="1"/>
  <c r="CK69" i="49"/>
  <c r="CF69" i="49"/>
  <c r="R186" i="49" s="1"/>
  <c r="BM69" i="49"/>
  <c r="BH69" i="49"/>
  <c r="M186" i="49" s="1"/>
  <c r="AO69" i="49"/>
  <c r="AJ69" i="49"/>
  <c r="H186" i="49" s="1"/>
  <c r="Q69" i="49"/>
  <c r="L69" i="49"/>
  <c r="C186" i="49" s="1"/>
  <c r="FD69" i="49"/>
  <c r="AI186" i="49" s="1"/>
  <c r="EY69" i="49"/>
  <c r="AF186" i="49" s="1"/>
  <c r="EF69" i="49"/>
  <c r="AD186" i="49" s="1"/>
  <c r="EA69" i="49"/>
  <c r="AA186" i="49" s="1"/>
  <c r="DH69" i="49"/>
  <c r="Y186" i="49" s="1"/>
  <c r="DC69" i="49"/>
  <c r="V186" i="49" s="1"/>
  <c r="CJ69" i="49"/>
  <c r="T186" i="49" s="1"/>
  <c r="CE69" i="49"/>
  <c r="Q186" i="49" s="1"/>
  <c r="BL69" i="49"/>
  <c r="O186" i="49" s="1"/>
  <c r="BG69" i="49"/>
  <c r="L186" i="49" s="1"/>
  <c r="AN69" i="49"/>
  <c r="J186" i="49" s="1"/>
  <c r="AI69" i="49"/>
  <c r="G186" i="49" s="1"/>
  <c r="P69" i="49"/>
  <c r="E186" i="49" s="1"/>
  <c r="K69" i="49"/>
  <c r="B186" i="49" s="1"/>
  <c r="F167" i="7"/>
  <c r="S185" i="49"/>
  <c r="CH68" i="49"/>
  <c r="M25" i="43"/>
  <c r="N24" i="43"/>
  <c r="V21" i="26"/>
  <c r="T22" i="26"/>
  <c r="U22" i="26" s="1"/>
  <c r="W21" i="26"/>
  <c r="Y21" i="26" s="1"/>
  <c r="S21" i="26"/>
  <c r="B30" i="41"/>
  <c r="D239" i="49"/>
  <c r="V68" i="49"/>
  <c r="X239" i="49"/>
  <c r="DN68" i="49"/>
  <c r="FF152" i="50"/>
  <c r="DD187" i="50"/>
  <c r="BP231" i="50"/>
  <c r="AN177" i="50"/>
  <c r="CM175" i="50"/>
  <c r="EO97" i="50"/>
  <c r="FF110" i="50"/>
  <c r="DD140" i="50"/>
  <c r="BB231" i="50"/>
  <c r="BT214" i="50"/>
  <c r="BG214" i="50"/>
  <c r="EO187" i="50"/>
  <c r="FF155" i="50"/>
  <c r="DD209" i="50"/>
  <c r="FF84" i="50"/>
  <c r="DD210" i="50"/>
  <c r="BD231" i="50"/>
  <c r="AQ177" i="50"/>
  <c r="CM205" i="50"/>
  <c r="D160" i="50"/>
  <c r="DD81" i="50"/>
  <c r="CL231" i="50"/>
  <c r="CW177" i="50"/>
  <c r="CM164" i="50"/>
  <c r="CM225" i="50"/>
  <c r="FF105" i="50"/>
  <c r="DD141" i="50"/>
  <c r="CX231" i="50"/>
  <c r="EV177" i="50"/>
  <c r="AV177" i="50"/>
  <c r="EO83" i="50"/>
  <c r="FF104" i="50"/>
  <c r="DD118" i="50"/>
  <c r="FF79" i="50"/>
  <c r="DD105" i="50"/>
  <c r="DA231" i="50"/>
  <c r="DR177" i="50"/>
  <c r="CM194" i="50"/>
  <c r="FF87" i="50"/>
  <c r="DD115" i="50"/>
  <c r="EK231" i="50"/>
  <c r="BO177" i="50"/>
  <c r="CM202" i="50"/>
  <c r="AE20" i="26"/>
  <c r="FF138" i="50"/>
  <c r="DD175" i="50"/>
  <c r="CD231" i="50"/>
  <c r="AJ177" i="50"/>
  <c r="FC214" i="50"/>
  <c r="EO115" i="50"/>
  <c r="FF198" i="50"/>
  <c r="DD150" i="50"/>
  <c r="FF112" i="50"/>
  <c r="DD139" i="50"/>
  <c r="EZ231" i="50"/>
  <c r="CB177" i="50"/>
  <c r="CM166" i="50"/>
  <c r="AP160" i="50"/>
  <c r="ER231" i="50"/>
  <c r="CO214" i="50"/>
  <c r="EO209" i="50"/>
  <c r="CT177" i="50"/>
  <c r="CM129" i="50"/>
  <c r="AY160" i="50"/>
  <c r="DD84" i="50"/>
  <c r="DD120" i="50"/>
  <c r="CA231" i="50"/>
  <c r="AE177" i="50"/>
  <c r="CM229" i="50"/>
  <c r="FF101" i="50"/>
  <c r="CM196" i="50"/>
  <c r="AH160" i="50"/>
  <c r="L231" i="50"/>
  <c r="DY214" i="50"/>
  <c r="CL177" i="50"/>
  <c r="K214" i="50"/>
  <c r="EK214" i="50"/>
  <c r="EO131" i="50"/>
  <c r="FF213" i="50"/>
  <c r="DD168" i="50"/>
  <c r="CF160" i="50"/>
  <c r="H177" i="50"/>
  <c r="CV214" i="50"/>
  <c r="EO197" i="50"/>
  <c r="FF149" i="50"/>
  <c r="CM116" i="50"/>
  <c r="CQ160" i="50"/>
  <c r="E214" i="50"/>
  <c r="ER214" i="50"/>
  <c r="EO184" i="50"/>
  <c r="EZ214" i="50"/>
  <c r="EO155" i="50"/>
  <c r="FF131" i="50"/>
  <c r="DD198" i="50"/>
  <c r="I160" i="50"/>
  <c r="BW177" i="50"/>
  <c r="EO73" i="50"/>
  <c r="FF148" i="50"/>
  <c r="DD169" i="50"/>
  <c r="DD228" i="50"/>
  <c r="AZ231" i="50"/>
  <c r="G177" i="50"/>
  <c r="EO93" i="50"/>
  <c r="FF98" i="50"/>
  <c r="FF220" i="50"/>
  <c r="CG160" i="50"/>
  <c r="EQ177" i="50"/>
  <c r="CE214" i="50"/>
  <c r="EO169" i="50"/>
  <c r="BI177" i="50"/>
  <c r="EO96" i="50"/>
  <c r="FF80" i="50"/>
  <c r="DD199" i="50"/>
  <c r="FF82" i="50"/>
  <c r="DJ177" i="50"/>
  <c r="EO104" i="50"/>
  <c r="FF88" i="50"/>
  <c r="DD206" i="50"/>
  <c r="CL160" i="50"/>
  <c r="W231" i="50"/>
  <c r="DX214" i="50"/>
  <c r="EO125" i="50"/>
  <c r="FF192" i="50"/>
  <c r="CM93" i="50"/>
  <c r="CV160" i="50"/>
  <c r="EJ214" i="50"/>
  <c r="BE214" i="50"/>
  <c r="EO112" i="50"/>
  <c r="C177" i="50"/>
  <c r="EO91" i="50"/>
  <c r="FF168" i="50"/>
  <c r="DD171" i="50"/>
  <c r="EG231" i="50"/>
  <c r="BL177" i="50"/>
  <c r="CM173" i="50"/>
  <c r="K160" i="50"/>
  <c r="FF100" i="50"/>
  <c r="DD122" i="50"/>
  <c r="BC231" i="50"/>
  <c r="BJ177" i="50"/>
  <c r="CM223" i="50"/>
  <c r="EO171" i="50"/>
  <c r="FF137" i="50"/>
  <c r="DD207" i="50"/>
  <c r="DZ231" i="50"/>
  <c r="DD201" i="50"/>
  <c r="DQ231" i="50"/>
  <c r="ER177" i="50"/>
  <c r="CM203" i="50"/>
  <c r="FF77" i="50"/>
  <c r="EO109" i="50"/>
  <c r="EO202" i="50"/>
  <c r="CM87" i="50"/>
  <c r="DS160" i="50"/>
  <c r="DC214" i="50"/>
  <c r="T214" i="50"/>
  <c r="Q214" i="50"/>
  <c r="EO231" i="50"/>
  <c r="CM106" i="50"/>
  <c r="CB160" i="50"/>
  <c r="AB20" i="26"/>
  <c r="DD97" i="50"/>
  <c r="FC231" i="50"/>
  <c r="EG177" i="50"/>
  <c r="CM186" i="50"/>
  <c r="EO228" i="50"/>
  <c r="CM111" i="50"/>
  <c r="BE160" i="50"/>
  <c r="EX214" i="50"/>
  <c r="CO231" i="50"/>
  <c r="EO193" i="50"/>
  <c r="FF153" i="50"/>
  <c r="DD225" i="50"/>
  <c r="U231" i="50"/>
  <c r="EB231" i="50"/>
  <c r="BC214" i="50"/>
  <c r="EO148" i="50"/>
  <c r="FF231" i="50"/>
  <c r="DW160" i="50"/>
  <c r="AC160" i="50"/>
  <c r="AE231" i="50"/>
  <c r="AH214" i="50"/>
  <c r="EO225" i="50"/>
  <c r="CM84" i="50"/>
  <c r="EO122" i="50"/>
  <c r="FF185" i="50"/>
  <c r="DB160" i="50"/>
  <c r="DJ231" i="50"/>
  <c r="AY231" i="50"/>
  <c r="EO130" i="50"/>
  <c r="FF193" i="50"/>
  <c r="EL160" i="50"/>
  <c r="M231" i="50"/>
  <c r="G231" i="50"/>
  <c r="BK214" i="50"/>
  <c r="EO188" i="50"/>
  <c r="CM81" i="50"/>
  <c r="DT160" i="50"/>
  <c r="Q160" i="50"/>
  <c r="DD73" i="50"/>
  <c r="R214" i="50"/>
  <c r="CJ177" i="50"/>
  <c r="CM114" i="50"/>
  <c r="EO154" i="50"/>
  <c r="FF229" i="50"/>
  <c r="FA160" i="50"/>
  <c r="EO177" i="50"/>
  <c r="CL214" i="50"/>
  <c r="EO99" i="50"/>
  <c r="FF176" i="50"/>
  <c r="DD134" i="50"/>
  <c r="EK160" i="50"/>
  <c r="E231" i="50"/>
  <c r="CG214" i="50"/>
  <c r="EO157" i="50"/>
  <c r="FF117" i="50"/>
  <c r="CM86" i="50"/>
  <c r="CT160" i="50"/>
  <c r="BY214" i="50"/>
  <c r="DO214" i="50"/>
  <c r="EO144" i="50"/>
  <c r="DA214" i="50"/>
  <c r="EO123" i="50"/>
  <c r="FF206" i="50"/>
  <c r="DK160" i="50"/>
  <c r="DD88" i="50"/>
  <c r="DJ214" i="50"/>
  <c r="BT177" i="50"/>
  <c r="CM130" i="50"/>
  <c r="CM191" i="50"/>
  <c r="FF73" i="50"/>
  <c r="DD107" i="50"/>
  <c r="BU231" i="50"/>
  <c r="BG177" i="50"/>
  <c r="R177" i="50"/>
  <c r="EO88" i="50"/>
  <c r="FF166" i="50"/>
  <c r="DD191" i="50"/>
  <c r="N160" i="50"/>
  <c r="DD111" i="50"/>
  <c r="C214" i="50"/>
  <c r="DT177" i="50"/>
  <c r="CM154" i="50"/>
  <c r="DN160" i="50"/>
  <c r="CZ231" i="50"/>
  <c r="AU214" i="50"/>
  <c r="EO198" i="50"/>
  <c r="CM75" i="50"/>
  <c r="CM174" i="50"/>
  <c r="BX160" i="50"/>
  <c r="AB231" i="50"/>
  <c r="AG214" i="50"/>
  <c r="EO219" i="50"/>
  <c r="BB177" i="50"/>
  <c r="CM171" i="50"/>
  <c r="AW160" i="50"/>
  <c r="DD85" i="50"/>
  <c r="AT160" i="50"/>
  <c r="BN231" i="50"/>
  <c r="AP214" i="50"/>
  <c r="EO224" i="50"/>
  <c r="CM99" i="50"/>
  <c r="AO160" i="50"/>
  <c r="BL231" i="50"/>
  <c r="BX214" i="50"/>
  <c r="EO207" i="50"/>
  <c r="CM107" i="50"/>
  <c r="CM119" i="50"/>
  <c r="BW160" i="50"/>
  <c r="DD82" i="50"/>
  <c r="AX214" i="50"/>
  <c r="FC177" i="50"/>
  <c r="AR177" i="50"/>
  <c r="CM209" i="50"/>
  <c r="FF99" i="50"/>
  <c r="DD119" i="50"/>
  <c r="AI160" i="50"/>
  <c r="AG231" i="50"/>
  <c r="DZ214" i="50"/>
  <c r="DC177" i="50"/>
  <c r="CM77" i="50"/>
  <c r="EY160" i="50"/>
  <c r="D177" i="50"/>
  <c r="EW214" i="50"/>
  <c r="EO191" i="50"/>
  <c r="EO221" i="50"/>
  <c r="CM88" i="50"/>
  <c r="CS160" i="50"/>
  <c r="BM214" i="50"/>
  <c r="DD87" i="50"/>
  <c r="EM231" i="50"/>
  <c r="BR177" i="50"/>
  <c r="CM184" i="50"/>
  <c r="AD160" i="50"/>
  <c r="CM101" i="50"/>
  <c r="CD160" i="50"/>
  <c r="CW214" i="50"/>
  <c r="BN214" i="50"/>
  <c r="EO120" i="50"/>
  <c r="FF170" i="50"/>
  <c r="AQ160" i="50"/>
  <c r="BZ177" i="50"/>
  <c r="ER160" i="50"/>
  <c r="CJ160" i="50"/>
  <c r="EO206" i="50"/>
  <c r="CM127" i="50"/>
  <c r="DA177" i="50"/>
  <c r="FF224" i="50"/>
  <c r="CM226" i="50"/>
  <c r="FF130" i="50"/>
  <c r="DD167" i="50"/>
  <c r="CV231" i="50"/>
  <c r="DN177" i="50"/>
  <c r="M177" i="50"/>
  <c r="EO75" i="50"/>
  <c r="FF96" i="50"/>
  <c r="DD214" i="50"/>
  <c r="CH160" i="50"/>
  <c r="F231" i="50"/>
  <c r="CX214" i="50"/>
  <c r="EO167" i="50"/>
  <c r="FF125" i="50"/>
  <c r="EO86" i="50"/>
  <c r="FF154" i="50"/>
  <c r="DD197" i="50"/>
  <c r="EE231" i="50"/>
  <c r="AO177" i="50"/>
  <c r="CM143" i="50"/>
  <c r="BI160" i="50"/>
  <c r="DD106" i="50"/>
  <c r="G214" i="50"/>
  <c r="CH177" i="50"/>
  <c r="AS177" i="50"/>
  <c r="CM201" i="50"/>
  <c r="FF91" i="50"/>
  <c r="DD109" i="50"/>
  <c r="DD192" i="50"/>
  <c r="AD231" i="50"/>
  <c r="AX177" i="50"/>
  <c r="EO106" i="50"/>
  <c r="FF74" i="50"/>
  <c r="CM169" i="50"/>
  <c r="AV160" i="50"/>
  <c r="DD91" i="50"/>
  <c r="FD231" i="50"/>
  <c r="CF177" i="50"/>
  <c r="CM177" i="50"/>
  <c r="C160" i="50"/>
  <c r="DD99" i="50"/>
  <c r="DX231" i="50"/>
  <c r="EH177" i="50"/>
  <c r="DL177" i="50"/>
  <c r="CM210" i="50"/>
  <c r="FF124" i="50"/>
  <c r="DD143" i="50"/>
  <c r="DD211" i="50"/>
  <c r="AF231" i="50"/>
  <c r="AW177" i="50"/>
  <c r="EO101" i="50"/>
  <c r="FF106" i="50"/>
  <c r="CM207" i="50"/>
  <c r="FF89" i="50"/>
  <c r="DD125" i="50"/>
  <c r="DD93" i="50"/>
  <c r="DV177" i="50"/>
  <c r="CM142" i="50"/>
  <c r="AL160" i="50"/>
  <c r="BR231" i="50"/>
  <c r="DD113" i="50"/>
  <c r="DW231" i="50"/>
  <c r="EW177" i="50"/>
  <c r="CM115" i="50"/>
  <c r="AZ160" i="50"/>
  <c r="FF76" i="50"/>
  <c r="DD203" i="50"/>
  <c r="EV231" i="50"/>
  <c r="CP177" i="50"/>
  <c r="CM197" i="50"/>
  <c r="EY177" i="50"/>
  <c r="CM168" i="50"/>
  <c r="AB160" i="50"/>
  <c r="AK231" i="50"/>
  <c r="DV231" i="50"/>
  <c r="DD229" i="50"/>
  <c r="T231" i="50"/>
  <c r="FD214" i="50"/>
  <c r="EO117" i="50"/>
  <c r="FF184" i="50"/>
  <c r="FF210" i="50"/>
  <c r="DV160" i="50"/>
  <c r="BC177" i="50"/>
  <c r="BR214" i="50"/>
  <c r="EO159" i="50"/>
  <c r="EO229" i="50"/>
  <c r="CM96" i="50"/>
  <c r="CR160" i="50"/>
  <c r="AN214" i="50"/>
  <c r="FC160" i="50"/>
  <c r="I231" i="50"/>
  <c r="CI214" i="50"/>
  <c r="EO141" i="50"/>
  <c r="FF207" i="50"/>
  <c r="DD136" i="50"/>
  <c r="BZ231" i="50"/>
  <c r="Z177" i="50"/>
  <c r="CM222" i="50"/>
  <c r="FF118" i="50"/>
  <c r="FF119" i="50"/>
  <c r="DD194" i="50"/>
  <c r="AC231" i="50"/>
  <c r="I177" i="50"/>
  <c r="EO100" i="50"/>
  <c r="EO146" i="50"/>
  <c r="FF221" i="50"/>
  <c r="FB160" i="50"/>
  <c r="C231" i="50"/>
  <c r="DD160" i="50"/>
  <c r="BA231" i="50"/>
  <c r="S177" i="50"/>
  <c r="EO82" i="50"/>
  <c r="FF142" i="50"/>
  <c r="DD170" i="50"/>
  <c r="CP231" i="50"/>
  <c r="DY177" i="50"/>
  <c r="EO90" i="50"/>
  <c r="FF150" i="50"/>
  <c r="FF151" i="50"/>
  <c r="DD213" i="50"/>
  <c r="Q231" i="50"/>
  <c r="EN214" i="50"/>
  <c r="EO95" i="50"/>
  <c r="EO186" i="50"/>
  <c r="FF230" i="50"/>
  <c r="BR160" i="50"/>
  <c r="P177" i="50"/>
  <c r="DD200" i="50"/>
  <c r="BJ231" i="50"/>
  <c r="L177" i="50"/>
  <c r="EO77" i="50"/>
  <c r="FF120" i="50"/>
  <c r="DD147" i="50"/>
  <c r="CF231" i="50"/>
  <c r="CA177" i="50"/>
  <c r="CM141" i="50"/>
  <c r="EO102" i="50"/>
  <c r="FF78" i="50"/>
  <c r="DD212" i="50"/>
  <c r="ED231" i="50"/>
  <c r="AI177" i="50"/>
  <c r="CY214" i="50"/>
  <c r="EO147" i="50"/>
  <c r="FF123" i="50"/>
  <c r="DD190" i="50"/>
  <c r="FF144" i="50"/>
  <c r="DD173" i="50"/>
  <c r="CU231" i="50"/>
  <c r="BY177" i="50"/>
  <c r="CM167" i="50"/>
  <c r="EO79" i="50"/>
  <c r="AJ214" i="50"/>
  <c r="EO174" i="50"/>
  <c r="CM73" i="50"/>
  <c r="EI160" i="50"/>
  <c r="DM160" i="50"/>
  <c r="AL231" i="50"/>
  <c r="DL214" i="50"/>
  <c r="EO217" i="50"/>
  <c r="CM76" i="50"/>
  <c r="CM159" i="50"/>
  <c r="M160" i="50"/>
  <c r="DD83" i="50"/>
  <c r="FE231" i="50"/>
  <c r="AT177" i="50"/>
  <c r="AO214" i="50"/>
  <c r="EO204" i="50"/>
  <c r="CM97" i="50"/>
  <c r="EX160" i="50"/>
  <c r="CM92" i="50"/>
  <c r="CF214" i="50"/>
  <c r="EO165" i="50"/>
  <c r="FF139" i="50"/>
  <c r="DD218" i="50"/>
  <c r="BP160" i="50"/>
  <c r="DP214" i="50"/>
  <c r="CT214" i="50"/>
  <c r="EO134" i="50"/>
  <c r="FF189" i="50"/>
  <c r="CM148" i="50"/>
  <c r="AS160" i="50"/>
  <c r="BE231" i="50"/>
  <c r="AB214" i="50"/>
  <c r="EO218" i="50"/>
  <c r="CU214" i="50"/>
  <c r="EO195" i="50"/>
  <c r="FF165" i="50"/>
  <c r="DD219" i="50"/>
  <c r="EO84" i="50"/>
  <c r="BP214" i="50"/>
  <c r="EO203" i="50"/>
  <c r="FF173" i="50"/>
  <c r="DD227" i="50"/>
  <c r="EU160" i="50"/>
  <c r="V214" i="50"/>
  <c r="CQ214" i="50"/>
  <c r="EO168" i="50"/>
  <c r="FF208" i="50"/>
  <c r="CM188" i="50"/>
  <c r="DL160" i="50"/>
  <c r="S231" i="50"/>
  <c r="S214" i="50"/>
  <c r="EO227" i="50"/>
  <c r="BD214" i="50"/>
  <c r="EO132" i="50"/>
  <c r="FF203" i="50"/>
  <c r="DD220" i="50"/>
  <c r="Y231" i="50"/>
  <c r="J177" i="50"/>
  <c r="EO85" i="50"/>
  <c r="FF90" i="50"/>
  <c r="FF191" i="50"/>
  <c r="FD160" i="50"/>
  <c r="O231" i="50"/>
  <c r="FB214" i="50"/>
  <c r="EO127" i="50"/>
  <c r="EO220" i="50"/>
  <c r="CM103" i="50"/>
  <c r="EF160" i="50"/>
  <c r="EI214" i="50"/>
  <c r="DD221" i="50"/>
  <c r="V231" i="50"/>
  <c r="FE214" i="50"/>
  <c r="DD158" i="50"/>
  <c r="CM204" i="50"/>
  <c r="DZ160" i="50"/>
  <c r="DD74" i="50"/>
  <c r="AY214" i="50"/>
  <c r="CK177" i="50"/>
  <c r="CQ177" i="50"/>
  <c r="CM163" i="50"/>
  <c r="G160" i="50"/>
  <c r="DD77" i="50"/>
  <c r="DD152" i="50"/>
  <c r="AN231" i="50"/>
  <c r="AG177" i="50"/>
  <c r="EO74" i="50"/>
  <c r="FF134" i="50"/>
  <c r="CM135" i="50"/>
  <c r="R160" i="50"/>
  <c r="DD98" i="50"/>
  <c r="J214" i="50"/>
  <c r="EK177" i="50"/>
  <c r="CM102" i="50"/>
  <c r="EC160" i="50"/>
  <c r="AZ214" i="50"/>
  <c r="EB214" i="50"/>
  <c r="EO160" i="50"/>
  <c r="CG177" i="50"/>
  <c r="CM150" i="50"/>
  <c r="EA160" i="50"/>
  <c r="EF231" i="50"/>
  <c r="DD153" i="50"/>
  <c r="CW231" i="50"/>
  <c r="CR177" i="50"/>
  <c r="CM155" i="50"/>
  <c r="BH160" i="50"/>
  <c r="CM124" i="50"/>
  <c r="BB160" i="50"/>
  <c r="EL231" i="50"/>
  <c r="AL214" i="50"/>
  <c r="EO192" i="50"/>
  <c r="CM132" i="50"/>
  <c r="AM160" i="50"/>
  <c r="BS231" i="50"/>
  <c r="EA214" i="50"/>
  <c r="EO200" i="50"/>
  <c r="CV177" i="50"/>
  <c r="CM190" i="50"/>
  <c r="CO160" i="50"/>
  <c r="DY231" i="50"/>
  <c r="DD193" i="50"/>
  <c r="BO231" i="50"/>
  <c r="AK177" i="50"/>
  <c r="CM195" i="50"/>
  <c r="F160" i="50"/>
  <c r="CM156" i="50"/>
  <c r="AR160" i="50"/>
  <c r="DO231" i="50"/>
  <c r="ES177" i="50"/>
  <c r="EO164" i="50"/>
  <c r="FF212" i="50"/>
  <c r="BS160" i="50"/>
  <c r="AC177" i="50"/>
  <c r="BD177" i="50"/>
  <c r="AC214" i="50"/>
  <c r="EO222" i="50"/>
  <c r="CM74" i="50"/>
  <c r="DR160" i="50"/>
  <c r="O160" i="50"/>
  <c r="DD104" i="50"/>
  <c r="AV214" i="50"/>
  <c r="EI177" i="50"/>
  <c r="CM146" i="50"/>
  <c r="EO194" i="50"/>
  <c r="CM79" i="50"/>
  <c r="CE160" i="50"/>
  <c r="O177" i="50"/>
  <c r="EG214" i="50"/>
  <c r="CM170" i="50"/>
  <c r="CI177" i="50"/>
  <c r="EU214" i="50"/>
  <c r="AJ160" i="50"/>
  <c r="CM83" i="50"/>
  <c r="L214" i="50"/>
  <c r="EO166" i="50"/>
  <c r="BX177" i="50"/>
  <c r="CM227" i="50"/>
  <c r="FF116" i="50"/>
  <c r="DD135" i="50"/>
  <c r="DD184" i="50"/>
  <c r="AQ231" i="50"/>
  <c r="AY177" i="50"/>
  <c r="EO98" i="50"/>
  <c r="FF158" i="50"/>
  <c r="FF199" i="50"/>
  <c r="DX160" i="50"/>
  <c r="N231" i="50"/>
  <c r="FA214" i="50"/>
  <c r="EO135" i="50"/>
  <c r="DZ177" i="50"/>
  <c r="CM228" i="50"/>
  <c r="FF140" i="50"/>
  <c r="DD159" i="50"/>
  <c r="BV160" i="50"/>
  <c r="EE177" i="50"/>
  <c r="CM121" i="50"/>
  <c r="DY160" i="50"/>
  <c r="DD76" i="50"/>
  <c r="DD185" i="50"/>
  <c r="DR231" i="50"/>
  <c r="EB177" i="50"/>
  <c r="CM187" i="50"/>
  <c r="E160" i="50"/>
  <c r="FF202" i="50"/>
  <c r="DD164" i="50"/>
  <c r="AT231" i="50"/>
  <c r="T177" i="50"/>
  <c r="EO76" i="50"/>
  <c r="EC177" i="50"/>
  <c r="CM145" i="50"/>
  <c r="L160" i="50"/>
  <c r="DD100" i="50"/>
  <c r="FB231" i="50"/>
  <c r="ET177" i="50"/>
  <c r="CM153" i="50"/>
  <c r="J160" i="50"/>
  <c r="DD108" i="50"/>
  <c r="DD112" i="50"/>
  <c r="CB231" i="50"/>
  <c r="EA177" i="50"/>
  <c r="CM221" i="50"/>
  <c r="FF93" i="50"/>
  <c r="FF127" i="50"/>
  <c r="DD202" i="50"/>
  <c r="AI231" i="50"/>
  <c r="K177" i="50"/>
  <c r="EO108" i="50"/>
  <c r="AM177" i="50"/>
  <c r="CM185" i="50"/>
  <c r="FF75" i="50"/>
  <c r="DD78" i="50"/>
  <c r="X214" i="50"/>
  <c r="EL177" i="50"/>
  <c r="CM128" i="50"/>
  <c r="BZ160" i="50"/>
  <c r="H160" i="50"/>
  <c r="DD89" i="50"/>
  <c r="CK231" i="50"/>
  <c r="EX177" i="50"/>
  <c r="CM172" i="50"/>
  <c r="EO78" i="50"/>
  <c r="FF146" i="50"/>
  <c r="DD189" i="50"/>
  <c r="BF231" i="50"/>
  <c r="DD102" i="50"/>
  <c r="D214" i="50"/>
  <c r="FA177" i="50"/>
  <c r="CM152" i="50"/>
  <c r="BA160" i="50"/>
  <c r="EO226" i="50"/>
  <c r="FF143" i="50"/>
  <c r="DD230" i="50"/>
  <c r="EQ231" i="50"/>
  <c r="F177" i="50"/>
  <c r="EO87" i="50"/>
  <c r="EO138" i="50"/>
  <c r="FF201" i="50"/>
  <c r="CZ160" i="50"/>
  <c r="AV231" i="50"/>
  <c r="EZ177" i="50"/>
  <c r="AI214" i="50"/>
  <c r="EO230" i="50"/>
  <c r="CM82" i="50"/>
  <c r="BO160" i="50"/>
  <c r="FF169" i="50"/>
  <c r="DD231" i="50"/>
  <c r="DK231" i="50"/>
  <c r="EL214" i="50"/>
  <c r="EO111" i="50"/>
  <c r="FF92" i="50"/>
  <c r="DD114" i="50"/>
  <c r="EU231" i="50"/>
  <c r="AD177" i="50"/>
  <c r="CM213" i="50"/>
  <c r="EO129" i="50"/>
  <c r="FF204" i="50"/>
  <c r="DD174" i="50"/>
  <c r="AR231" i="50"/>
  <c r="Y214" i="50"/>
  <c r="EV214" i="50"/>
  <c r="EO124" i="50"/>
  <c r="FF195" i="50"/>
  <c r="EM160" i="50"/>
  <c r="FF172" i="50"/>
  <c r="DD138" i="50"/>
  <c r="DN231" i="50"/>
  <c r="AZ177" i="50"/>
  <c r="CM214" i="50"/>
  <c r="FF186" i="50"/>
  <c r="DD146" i="50"/>
  <c r="AJ231" i="50"/>
  <c r="AF177" i="50"/>
  <c r="CM224" i="50"/>
  <c r="EO163" i="50"/>
  <c r="FF129" i="50"/>
  <c r="DD224" i="50"/>
  <c r="AH231" i="50"/>
  <c r="FA231" i="50"/>
  <c r="ES214" i="50"/>
  <c r="EO156" i="50"/>
  <c r="FF214" i="50"/>
  <c r="BT160" i="50"/>
  <c r="FF209" i="50"/>
  <c r="DD172" i="50"/>
  <c r="AO231" i="50"/>
  <c r="W177" i="50"/>
  <c r="CM217" i="50"/>
  <c r="FF97" i="50"/>
  <c r="DD133" i="50"/>
  <c r="CG231" i="50"/>
  <c r="CC177" i="50"/>
  <c r="U177" i="50"/>
  <c r="EO80" i="50"/>
  <c r="FF156" i="50"/>
  <c r="DD177" i="50"/>
  <c r="CK160" i="50"/>
  <c r="BH231" i="50"/>
  <c r="BU214" i="50"/>
  <c r="EO133" i="50"/>
  <c r="FF200" i="50"/>
  <c r="CM218" i="50"/>
  <c r="FF122" i="50"/>
  <c r="DD157" i="50"/>
  <c r="BQ231" i="50"/>
  <c r="EU177" i="50"/>
  <c r="BD160" i="50"/>
  <c r="BJ214" i="50"/>
  <c r="ET214" i="50"/>
  <c r="EO158" i="50"/>
  <c r="FF225" i="50"/>
  <c r="CM140" i="50"/>
  <c r="AU160" i="50"/>
  <c r="CE231" i="50"/>
  <c r="AE214" i="50"/>
  <c r="EO208" i="50"/>
  <c r="ED177" i="50"/>
  <c r="CM137" i="50"/>
  <c r="AX160" i="50"/>
  <c r="DD92" i="50"/>
  <c r="ES160" i="50"/>
  <c r="F214" i="50"/>
  <c r="AM214" i="50"/>
  <c r="EO190" i="50"/>
  <c r="FF226" i="50"/>
  <c r="DA160" i="50"/>
  <c r="K231" i="50"/>
  <c r="DV214" i="50"/>
  <c r="EO149" i="50"/>
  <c r="FF217" i="50"/>
  <c r="CM85" i="50"/>
  <c r="BQ160" i="50"/>
  <c r="BV214" i="50"/>
  <c r="EF214" i="50"/>
  <c r="EO199" i="50"/>
  <c r="BU177" i="50"/>
  <c r="CM126" i="50"/>
  <c r="AK160" i="50"/>
  <c r="EN231" i="50"/>
  <c r="CY160" i="50"/>
  <c r="BK177" i="50"/>
  <c r="EY214" i="50"/>
  <c r="EO175" i="50"/>
  <c r="FF133" i="50"/>
  <c r="EZ160" i="50"/>
  <c r="DK177" i="50"/>
  <c r="BQ214" i="50"/>
  <c r="EO189" i="50"/>
  <c r="FF141" i="50"/>
  <c r="CM78" i="50"/>
  <c r="EE160" i="50"/>
  <c r="CA214" i="50"/>
  <c r="CR214" i="50"/>
  <c r="EO136" i="50"/>
  <c r="CX177" i="50"/>
  <c r="CM158" i="50"/>
  <c r="AE160" i="50"/>
  <c r="CR231" i="50"/>
  <c r="BG160" i="50"/>
  <c r="DT214" i="50"/>
  <c r="BF214" i="50"/>
  <c r="EO118" i="50"/>
  <c r="FF111" i="50"/>
  <c r="DD186" i="50"/>
  <c r="DM231" i="50"/>
  <c r="BH177" i="50"/>
  <c r="EO92" i="50"/>
  <c r="EO201" i="50"/>
  <c r="FF163" i="50"/>
  <c r="AC20" i="26"/>
  <c r="R231" i="50"/>
  <c r="EA231" i="50"/>
  <c r="AT214" i="50"/>
  <c r="EO196" i="50"/>
  <c r="CM89" i="50"/>
  <c r="CW160" i="50"/>
  <c r="FF135" i="50"/>
  <c r="DD222" i="50"/>
  <c r="AA231" i="50"/>
  <c r="BM160" i="50"/>
  <c r="BQ177" i="50"/>
  <c r="CM176" i="50"/>
  <c r="Z160" i="50"/>
  <c r="Z231" i="50"/>
  <c r="DD145" i="50"/>
  <c r="DT231" i="50"/>
  <c r="CS177" i="50"/>
  <c r="CM147" i="50"/>
  <c r="W160" i="50"/>
  <c r="FF108" i="50"/>
  <c r="DD130" i="50"/>
  <c r="ES231" i="50"/>
  <c r="Y177" i="50"/>
  <c r="CM231" i="50"/>
  <c r="BF177" i="50"/>
  <c r="CM113" i="50"/>
  <c r="S160" i="50"/>
  <c r="Z20" i="26"/>
  <c r="AU231" i="50"/>
  <c r="EO211" i="50"/>
  <c r="CM80" i="50"/>
  <c r="BN160" i="50"/>
  <c r="DQ214" i="50"/>
  <c r="DD86" i="50"/>
  <c r="O214" i="50"/>
  <c r="CZ177" i="50"/>
  <c r="CM136" i="50"/>
  <c r="BY160" i="50"/>
  <c r="FF103" i="50"/>
  <c r="DD131" i="50"/>
  <c r="CY231" i="50"/>
  <c r="DP177" i="50"/>
  <c r="CM125" i="50"/>
  <c r="FE177" i="50"/>
  <c r="CM104" i="50"/>
  <c r="DO160" i="50"/>
  <c r="AD214" i="50"/>
  <c r="DS214" i="50"/>
  <c r="FD177" i="50"/>
  <c r="CM206" i="50"/>
  <c r="BL160" i="50"/>
  <c r="AF214" i="50"/>
  <c r="DD79" i="50"/>
  <c r="DC231" i="50"/>
  <c r="DU177" i="50"/>
  <c r="FF136" i="50"/>
  <c r="BG231" i="50"/>
  <c r="CM134" i="50"/>
  <c r="EO140" i="50"/>
  <c r="DU231" i="50"/>
  <c r="DD90" i="50"/>
  <c r="CM133" i="50"/>
  <c r="DD208" i="50"/>
  <c r="DP231" i="50"/>
  <c r="AL177" i="50"/>
  <c r="CM211" i="50"/>
  <c r="FF85" i="50"/>
  <c r="FF194" i="50"/>
  <c r="DD154" i="50"/>
  <c r="BK231" i="50"/>
  <c r="V177" i="50"/>
  <c r="AD20" i="26"/>
  <c r="EO114" i="50"/>
  <c r="FF171" i="50"/>
  <c r="EN160" i="50"/>
  <c r="BI231" i="50"/>
  <c r="DD128" i="50"/>
  <c r="BM231" i="50"/>
  <c r="AB177" i="50"/>
  <c r="CM212" i="50"/>
  <c r="FF109" i="50"/>
  <c r="DD103" i="50"/>
  <c r="CJ231" i="50"/>
  <c r="DS177" i="50"/>
  <c r="CM200" i="50"/>
  <c r="Y160" i="50"/>
  <c r="FF128" i="50"/>
  <c r="DD155" i="50"/>
  <c r="EH231" i="50"/>
  <c r="BM177" i="50"/>
  <c r="CM149" i="50"/>
  <c r="EO105" i="50"/>
  <c r="FF174" i="50"/>
  <c r="DD148" i="50"/>
  <c r="AM231" i="50"/>
  <c r="DD129" i="50"/>
  <c r="EJ231" i="50"/>
  <c r="BE177" i="50"/>
  <c r="CM131" i="50"/>
  <c r="V160" i="50"/>
  <c r="DD137" i="50"/>
  <c r="EI231" i="50"/>
  <c r="BN177" i="50"/>
  <c r="CM139" i="50"/>
  <c r="T160" i="50"/>
  <c r="FF160" i="50"/>
  <c r="DD195" i="50"/>
  <c r="CC231" i="50"/>
  <c r="BA177" i="50"/>
  <c r="CM189" i="50"/>
  <c r="EO137" i="50"/>
  <c r="FF211" i="50"/>
  <c r="DD188" i="50"/>
  <c r="AP231" i="50"/>
  <c r="DD163" i="50"/>
  <c r="EX231" i="50"/>
  <c r="DO177" i="50"/>
  <c r="CM165" i="50"/>
  <c r="AA160" i="50"/>
  <c r="AX231" i="50"/>
  <c r="BW214" i="50"/>
  <c r="EM177" i="50"/>
  <c r="CM100" i="50"/>
  <c r="CM151" i="50"/>
  <c r="DJ160" i="50"/>
  <c r="DD75" i="50"/>
  <c r="AW214" i="50"/>
  <c r="CY177" i="50"/>
  <c r="AH177" i="50"/>
  <c r="CM220" i="50"/>
  <c r="FF132" i="50"/>
  <c r="DD151" i="50"/>
  <c r="P160" i="50"/>
  <c r="DD80" i="50"/>
  <c r="BI214" i="50"/>
  <c r="DW177" i="50"/>
  <c r="CM122" i="50"/>
  <c r="BX231" i="50"/>
  <c r="EO153" i="50"/>
  <c r="FF121" i="50"/>
  <c r="DD204" i="50"/>
  <c r="DL231" i="50"/>
  <c r="DB231" i="50"/>
  <c r="CC214" i="50"/>
  <c r="EO116" i="50"/>
  <c r="FF187" i="50"/>
  <c r="DC160" i="50"/>
  <c r="BK160" i="50"/>
  <c r="EW231" i="50"/>
  <c r="AR214" i="50"/>
  <c r="EO214" i="50"/>
  <c r="CM91" i="50"/>
  <c r="EO185" i="50"/>
  <c r="FF145" i="50"/>
  <c r="DD217" i="50"/>
  <c r="BW231" i="50"/>
  <c r="CS231" i="50"/>
  <c r="EO94" i="50"/>
  <c r="FF164" i="50"/>
  <c r="DD205" i="50"/>
  <c r="CT231" i="50"/>
  <c r="DM177" i="50"/>
  <c r="CK214" i="50"/>
  <c r="EO107" i="50"/>
  <c r="FF190" i="50"/>
  <c r="DD142" i="50"/>
  <c r="EH160" i="50"/>
  <c r="CJ214" i="50"/>
  <c r="CD214" i="50"/>
  <c r="EO205" i="50"/>
  <c r="FF157" i="50"/>
  <c r="EO81" i="50"/>
  <c r="FF94" i="50"/>
  <c r="DD124" i="50"/>
  <c r="ET231" i="50"/>
  <c r="N177" i="50"/>
  <c r="EO89" i="50"/>
  <c r="FF102" i="50"/>
  <c r="DD132" i="50"/>
  <c r="CQ231" i="50"/>
  <c r="EM214" i="50"/>
  <c r="CH214" i="50"/>
  <c r="EO139" i="50"/>
  <c r="FF115" i="50"/>
  <c r="DD176" i="50"/>
  <c r="CC160" i="50"/>
  <c r="BZ214" i="50"/>
  <c r="ED214" i="50"/>
  <c r="EO142" i="50"/>
  <c r="FF197" i="50"/>
  <c r="EO113" i="50"/>
  <c r="FF188" i="50"/>
  <c r="DD156" i="50"/>
  <c r="FF167" i="50"/>
  <c r="AU177" i="50"/>
  <c r="CM193" i="50"/>
  <c r="FF83" i="50"/>
  <c r="DD101" i="50"/>
  <c r="DD144" i="50"/>
  <c r="BY231" i="50"/>
  <c r="CO177" i="50"/>
  <c r="CM230" i="50"/>
  <c r="FF126" i="50"/>
  <c r="FF159" i="50"/>
  <c r="DD223" i="50"/>
  <c r="P231" i="50"/>
  <c r="DB214" i="50"/>
  <c r="EO103" i="50"/>
  <c r="AP177" i="50"/>
  <c r="CM219" i="50"/>
  <c r="FF107" i="50"/>
  <c r="DD127" i="50"/>
  <c r="DD126" i="50"/>
  <c r="CM109" i="50"/>
  <c r="BF160" i="50"/>
  <c r="BO214" i="50"/>
  <c r="CS214" i="50"/>
  <c r="EO128" i="50"/>
  <c r="DX177" i="50"/>
  <c r="CM118" i="50"/>
  <c r="EB160" i="50"/>
  <c r="I214" i="50"/>
  <c r="DD121" i="50"/>
  <c r="BT231" i="50"/>
  <c r="EF177" i="50"/>
  <c r="CM123" i="50"/>
  <c r="AF160" i="50"/>
  <c r="CM94" i="50"/>
  <c r="ED160" i="50"/>
  <c r="AQ214" i="50"/>
  <c r="BL214" i="50"/>
  <c r="EO152" i="50"/>
  <c r="FF177" i="50"/>
  <c r="FE160" i="50"/>
  <c r="X231" i="50"/>
  <c r="CZ214" i="50"/>
  <c r="EO119" i="50"/>
  <c r="EO172" i="50"/>
  <c r="FF222" i="50"/>
  <c r="DU160" i="50"/>
  <c r="AA177" i="50"/>
  <c r="Q177" i="50"/>
  <c r="P214" i="50"/>
  <c r="EN177" i="50"/>
  <c r="CM112" i="50"/>
  <c r="CA160" i="50"/>
  <c r="FF219" i="50"/>
  <c r="BU160" i="50"/>
  <c r="D231" i="50"/>
  <c r="BS214" i="50"/>
  <c r="EO143" i="50"/>
  <c r="FF227" i="50"/>
  <c r="CI160" i="50"/>
  <c r="H231" i="50"/>
  <c r="DU214" i="50"/>
  <c r="EO151" i="50"/>
  <c r="EO210" i="50"/>
  <c r="CM95" i="50"/>
  <c r="EW160" i="50"/>
  <c r="DW214" i="50"/>
  <c r="DD94" i="50"/>
  <c r="N214" i="50"/>
  <c r="FB177" i="50"/>
  <c r="CM144" i="50"/>
  <c r="AN160" i="50"/>
  <c r="FF228" i="50"/>
  <c r="CX160" i="50"/>
  <c r="X177" i="50"/>
  <c r="Z214" i="50"/>
  <c r="EO121" i="50"/>
  <c r="FF196" i="50"/>
  <c r="DD166" i="50"/>
  <c r="AS231" i="50"/>
  <c r="BA214" i="50"/>
  <c r="EH214" i="50"/>
  <c r="EO173" i="50"/>
  <c r="FF147" i="50"/>
  <c r="DD226" i="50"/>
  <c r="BC160" i="50"/>
  <c r="BH214" i="50"/>
  <c r="BB214" i="50"/>
  <c r="EO176" i="50"/>
  <c r="FF218" i="50"/>
  <c r="EO145" i="50"/>
  <c r="FF113" i="50"/>
  <c r="DD196" i="50"/>
  <c r="DD110" i="50"/>
  <c r="H214" i="50"/>
  <c r="BS177" i="50"/>
  <c r="CM160" i="50"/>
  <c r="CP160" i="50"/>
  <c r="FF95" i="50"/>
  <c r="DD123" i="50"/>
  <c r="CH231" i="50"/>
  <c r="DQ177" i="50"/>
  <c r="CM117" i="50"/>
  <c r="EO110" i="50"/>
  <c r="FF86" i="50"/>
  <c r="DD116" i="50"/>
  <c r="EC231" i="50"/>
  <c r="DD95" i="50"/>
  <c r="BV231" i="50"/>
  <c r="CE177" i="50"/>
  <c r="CM192" i="50"/>
  <c r="BJ160" i="50"/>
  <c r="BP177" i="50"/>
  <c r="DM214" i="50"/>
  <c r="EO212" i="50"/>
  <c r="CM105" i="50"/>
  <c r="EG160" i="50"/>
  <c r="EQ160" i="50"/>
  <c r="AW231" i="50"/>
  <c r="U214" i="50"/>
  <c r="BV177" i="50"/>
  <c r="CM108" i="50"/>
  <c r="CM199" i="50"/>
  <c r="FF81" i="50"/>
  <c r="DD117" i="50"/>
  <c r="CI231" i="50"/>
  <c r="DS231" i="50"/>
  <c r="AA214" i="50"/>
  <c r="EO213" i="50"/>
  <c r="CM90" i="50"/>
  <c r="DQ160" i="50"/>
  <c r="CB214" i="50"/>
  <c r="EQ214" i="50"/>
  <c r="EO223" i="50"/>
  <c r="CM98" i="50"/>
  <c r="DP160" i="50"/>
  <c r="X160" i="50"/>
  <c r="DD96" i="50"/>
  <c r="M214" i="50"/>
  <c r="EJ177" i="50"/>
  <c r="CM138" i="50"/>
  <c r="CM208" i="50"/>
  <c r="FF114" i="50"/>
  <c r="DD149" i="50"/>
  <c r="EY231" i="50"/>
  <c r="AA20" i="26"/>
  <c r="DK214" i="50"/>
  <c r="DB177" i="50"/>
  <c r="CM120" i="50"/>
  <c r="CU160" i="50"/>
  <c r="DR214" i="50"/>
  <c r="EE214" i="50"/>
  <c r="EO126" i="50"/>
  <c r="FF175" i="50"/>
  <c r="CM110" i="50"/>
  <c r="ET160" i="50"/>
  <c r="W214" i="50"/>
  <c r="AK214" i="50"/>
  <c r="EO170" i="50"/>
  <c r="CD177" i="50"/>
  <c r="CM198" i="50"/>
  <c r="AG160" i="50"/>
  <c r="J231" i="50"/>
  <c r="EV160" i="50"/>
  <c r="CP214" i="50"/>
  <c r="EC214" i="50"/>
  <c r="EO150" i="50"/>
  <c r="FF205" i="50"/>
  <c r="E177" i="50"/>
  <c r="DD165" i="50"/>
  <c r="CM157" i="50"/>
  <c r="CU177" i="50"/>
  <c r="FF223" i="50"/>
  <c r="AS214" i="50"/>
  <c r="U160" i="50"/>
  <c r="DN214" i="50"/>
  <c r="EJ160" i="50"/>
  <c r="FA70" i="49" l="1"/>
  <c r="EC70" i="49"/>
  <c r="DE70" i="49"/>
  <c r="CG70" i="49"/>
  <c r="BI70" i="49"/>
  <c r="AK70" i="49"/>
  <c r="M70" i="49"/>
  <c r="FE70" i="49"/>
  <c r="EZ70" i="49"/>
  <c r="AG187" i="49" s="1"/>
  <c r="EG70" i="49"/>
  <c r="EB70" i="49"/>
  <c r="AB187" i="49" s="1"/>
  <c r="DI70" i="49"/>
  <c r="DD70" i="49"/>
  <c r="W187" i="49" s="1"/>
  <c r="CK70" i="49"/>
  <c r="CF70" i="49"/>
  <c r="R187" i="49" s="1"/>
  <c r="BM70" i="49"/>
  <c r="BH70" i="49"/>
  <c r="M187" i="49" s="1"/>
  <c r="AO70" i="49"/>
  <c r="AJ70" i="49"/>
  <c r="H187" i="49" s="1"/>
  <c r="Q70" i="49"/>
  <c r="L70" i="49"/>
  <c r="C187" i="49" s="1"/>
  <c r="FD70" i="49"/>
  <c r="AI187" i="49" s="1"/>
  <c r="EY70" i="49"/>
  <c r="AF187" i="49" s="1"/>
  <c r="EF70" i="49"/>
  <c r="AD187" i="49" s="1"/>
  <c r="EA70" i="49"/>
  <c r="AA187" i="49" s="1"/>
  <c r="DH70" i="49"/>
  <c r="Y187" i="49" s="1"/>
  <c r="DC70" i="49"/>
  <c r="V187" i="49" s="1"/>
  <c r="CJ70" i="49"/>
  <c r="T187" i="49" s="1"/>
  <c r="CE70" i="49"/>
  <c r="Q187" i="49" s="1"/>
  <c r="BL70" i="49"/>
  <c r="O187" i="49" s="1"/>
  <c r="BG70" i="49"/>
  <c r="L187" i="49" s="1"/>
  <c r="AN70" i="49"/>
  <c r="J187" i="49" s="1"/>
  <c r="AI70" i="49"/>
  <c r="G187" i="49" s="1"/>
  <c r="P70" i="49"/>
  <c r="E187" i="49" s="1"/>
  <c r="K70" i="49"/>
  <c r="B187" i="49" s="1"/>
  <c r="F168" i="7"/>
  <c r="S186" i="49"/>
  <c r="CH69" i="49"/>
  <c r="F30" i="41"/>
  <c r="C30" i="41"/>
  <c r="D30" i="41" s="1"/>
  <c r="I186" i="49"/>
  <c r="AL69" i="49"/>
  <c r="AC186" i="49"/>
  <c r="ED69" i="49"/>
  <c r="L23" i="34"/>
  <c r="M23" i="34"/>
  <c r="J24" i="34" s="1"/>
  <c r="N169" i="49"/>
  <c r="BJ52" i="49"/>
  <c r="AH169" i="49"/>
  <c r="FB52" i="49"/>
  <c r="D223" i="49"/>
  <c r="V52" i="49"/>
  <c r="X223" i="49"/>
  <c r="DN52" i="49"/>
  <c r="N240" i="49"/>
  <c r="BR69" i="49"/>
  <c r="AH240" i="49"/>
  <c r="FJ69" i="49"/>
  <c r="N186" i="49"/>
  <c r="BJ69" i="49"/>
  <c r="AH186" i="49"/>
  <c r="FB69" i="49"/>
  <c r="S169" i="49"/>
  <c r="CH52" i="49"/>
  <c r="I223" i="49"/>
  <c r="AT52" i="49"/>
  <c r="AC223" i="49"/>
  <c r="EL52" i="49"/>
  <c r="S240" i="49"/>
  <c r="CP69" i="49"/>
  <c r="J29" i="41"/>
  <c r="L29" i="41" s="1"/>
  <c r="I29" i="41"/>
  <c r="K29" i="41" s="1"/>
  <c r="BW17" i="26"/>
  <c r="BS17" i="26"/>
  <c r="BK17" i="26"/>
  <c r="BM17" i="26" s="1"/>
  <c r="BV17" i="26"/>
  <c r="BR17" i="26"/>
  <c r="BU17" i="26"/>
  <c r="BQ17" i="26"/>
  <c r="BT17" i="26"/>
  <c r="BP17" i="26"/>
  <c r="BL17" i="26"/>
  <c r="BI18" i="26" s="1"/>
  <c r="BJ18" i="26" s="1"/>
  <c r="D169" i="49"/>
  <c r="N52" i="49"/>
  <c r="X169" i="49"/>
  <c r="DF52" i="49"/>
  <c r="AA25" i="25"/>
  <c r="Z26" i="25"/>
  <c r="AB25" i="25"/>
  <c r="AC25" i="25" s="1"/>
  <c r="N223" i="49"/>
  <c r="BR52" i="49"/>
  <c r="AH223" i="49"/>
  <c r="FJ52" i="49"/>
  <c r="D240" i="49"/>
  <c r="V69" i="49"/>
  <c r="X240" i="49"/>
  <c r="DN69" i="49"/>
  <c r="V22" i="26"/>
  <c r="Y22" i="26"/>
  <c r="T23" i="26"/>
  <c r="U23" i="26" s="1"/>
  <c r="W22" i="26"/>
  <c r="S22" i="26"/>
  <c r="M26" i="43"/>
  <c r="N26" i="43" s="1"/>
  <c r="N25" i="43"/>
  <c r="D186" i="49"/>
  <c r="N69" i="49"/>
  <c r="X186" i="49"/>
  <c r="DF69" i="49"/>
  <c r="N22" i="34"/>
  <c r="FD53" i="49"/>
  <c r="AI170" i="49" s="1"/>
  <c r="EY53" i="49"/>
  <c r="AF170" i="49" s="1"/>
  <c r="EF53" i="49"/>
  <c r="AD170" i="49" s="1"/>
  <c r="EA53" i="49"/>
  <c r="AA170" i="49" s="1"/>
  <c r="DH53" i="49"/>
  <c r="Y170" i="49" s="1"/>
  <c r="DC53" i="49"/>
  <c r="V170" i="49" s="1"/>
  <c r="CJ53" i="49"/>
  <c r="T170" i="49" s="1"/>
  <c r="CE53" i="49"/>
  <c r="Q170" i="49" s="1"/>
  <c r="BL53" i="49"/>
  <c r="O170" i="49" s="1"/>
  <c r="BG53" i="49"/>
  <c r="L170" i="49" s="1"/>
  <c r="AN53" i="49"/>
  <c r="J170" i="49" s="1"/>
  <c r="AI53" i="49"/>
  <c r="G170" i="49" s="1"/>
  <c r="P53" i="49"/>
  <c r="E170" i="49" s="1"/>
  <c r="K53" i="49"/>
  <c r="B170" i="49" s="1"/>
  <c r="FA53" i="49"/>
  <c r="EC53" i="49"/>
  <c r="DE53" i="49"/>
  <c r="CG53" i="49"/>
  <c r="BI53" i="49"/>
  <c r="AK53" i="49"/>
  <c r="M53" i="49"/>
  <c r="FE53" i="49"/>
  <c r="EZ53" i="49"/>
  <c r="AG170" i="49" s="1"/>
  <c r="EG53" i="49"/>
  <c r="EB53" i="49"/>
  <c r="AB170" i="49" s="1"/>
  <c r="DI53" i="49"/>
  <c r="DD53" i="49"/>
  <c r="W170" i="49" s="1"/>
  <c r="CK53" i="49"/>
  <c r="CF53" i="49"/>
  <c r="R170" i="49" s="1"/>
  <c r="BM53" i="49"/>
  <c r="BH53" i="49"/>
  <c r="M170" i="49" s="1"/>
  <c r="AO53" i="49"/>
  <c r="AJ53" i="49"/>
  <c r="H170" i="49" s="1"/>
  <c r="Q53" i="49"/>
  <c r="L53" i="49"/>
  <c r="C170" i="49" s="1"/>
  <c r="I169" i="49"/>
  <c r="AL52" i="49"/>
  <c r="AC169" i="49"/>
  <c r="ED52" i="49"/>
  <c r="FI53" i="49"/>
  <c r="EK53" i="49"/>
  <c r="DM53" i="49"/>
  <c r="CO53" i="49"/>
  <c r="BQ53" i="49"/>
  <c r="AS53" i="49"/>
  <c r="U53" i="49"/>
  <c r="FM53" i="49"/>
  <c r="FH53" i="49"/>
  <c r="AG224" i="49" s="1"/>
  <c r="EO53" i="49"/>
  <c r="EJ53" i="49"/>
  <c r="AB224" i="49" s="1"/>
  <c r="DQ53" i="49"/>
  <c r="DL53" i="49"/>
  <c r="W224" i="49" s="1"/>
  <c r="CS53" i="49"/>
  <c r="CN53" i="49"/>
  <c r="R224" i="49" s="1"/>
  <c r="BU53" i="49"/>
  <c r="BP53" i="49"/>
  <c r="M224" i="49" s="1"/>
  <c r="AW53" i="49"/>
  <c r="AR53" i="49"/>
  <c r="H224" i="49" s="1"/>
  <c r="Y53" i="49"/>
  <c r="T53" i="49"/>
  <c r="C224" i="49" s="1"/>
  <c r="FL53" i="49"/>
  <c r="AI224" i="49" s="1"/>
  <c r="FG53" i="49"/>
  <c r="AF224" i="49" s="1"/>
  <c r="EN53" i="49"/>
  <c r="AD224" i="49" s="1"/>
  <c r="EI53" i="49"/>
  <c r="AA224" i="49" s="1"/>
  <c r="DP53" i="49"/>
  <c r="Y224" i="49" s="1"/>
  <c r="DK53" i="49"/>
  <c r="V224" i="49" s="1"/>
  <c r="CR53" i="49"/>
  <c r="T224" i="49" s="1"/>
  <c r="CM53" i="49"/>
  <c r="Q224" i="49" s="1"/>
  <c r="BT53" i="49"/>
  <c r="O224" i="49" s="1"/>
  <c r="BO53" i="49"/>
  <c r="L224" i="49" s="1"/>
  <c r="AV53" i="49"/>
  <c r="J224" i="49" s="1"/>
  <c r="AQ53" i="49"/>
  <c r="G224" i="49" s="1"/>
  <c r="X53" i="49"/>
  <c r="E224" i="49" s="1"/>
  <c r="S53" i="49"/>
  <c r="B224" i="49" s="1"/>
  <c r="S223" i="49"/>
  <c r="CP52" i="49"/>
  <c r="FL70" i="49"/>
  <c r="AI241" i="49" s="1"/>
  <c r="FG70" i="49"/>
  <c r="AF241" i="49" s="1"/>
  <c r="EN70" i="49"/>
  <c r="AD241" i="49" s="1"/>
  <c r="EI70" i="49"/>
  <c r="AA241" i="49" s="1"/>
  <c r="DP70" i="49"/>
  <c r="Y241" i="49" s="1"/>
  <c r="DK70" i="49"/>
  <c r="V241" i="49" s="1"/>
  <c r="CR70" i="49"/>
  <c r="T241" i="49" s="1"/>
  <c r="CM70" i="49"/>
  <c r="Q241" i="49" s="1"/>
  <c r="BT70" i="49"/>
  <c r="O241" i="49" s="1"/>
  <c r="BO70" i="49"/>
  <c r="L241" i="49" s="1"/>
  <c r="AV70" i="49"/>
  <c r="J241" i="49" s="1"/>
  <c r="AQ70" i="49"/>
  <c r="G241" i="49" s="1"/>
  <c r="X70" i="49"/>
  <c r="E241" i="49" s="1"/>
  <c r="S70" i="49"/>
  <c r="B241" i="49" s="1"/>
  <c r="FI70" i="49"/>
  <c r="EK70" i="49"/>
  <c r="DM70" i="49"/>
  <c r="CO70" i="49"/>
  <c r="BQ70" i="49"/>
  <c r="AS70" i="49"/>
  <c r="U70" i="49"/>
  <c r="FM70" i="49"/>
  <c r="FH70" i="49"/>
  <c r="AG241" i="49" s="1"/>
  <c r="EO70" i="49"/>
  <c r="EJ70" i="49"/>
  <c r="AB241" i="49" s="1"/>
  <c r="DQ70" i="49"/>
  <c r="DL70" i="49"/>
  <c r="W241" i="49" s="1"/>
  <c r="CS70" i="49"/>
  <c r="CN70" i="49"/>
  <c r="R241" i="49" s="1"/>
  <c r="BU70" i="49"/>
  <c r="BP70" i="49"/>
  <c r="M241" i="49" s="1"/>
  <c r="AW70" i="49"/>
  <c r="AR70" i="49"/>
  <c r="H241" i="49" s="1"/>
  <c r="Y70" i="49"/>
  <c r="T70" i="49"/>
  <c r="C241" i="49" s="1"/>
  <c r="H168" i="7"/>
  <c r="I240" i="49"/>
  <c r="AT69" i="49"/>
  <c r="AC240" i="49"/>
  <c r="EL69" i="49"/>
  <c r="EW232" i="50"/>
  <c r="BN215" i="50"/>
  <c r="CN157" i="50"/>
  <c r="DE192" i="50"/>
  <c r="AL57" i="50"/>
  <c r="DA178" i="50"/>
  <c r="FG98" i="50"/>
  <c r="ET161" i="50"/>
  <c r="EP202" i="50"/>
  <c r="I178" i="50"/>
  <c r="FG229" i="50"/>
  <c r="I35" i="50"/>
  <c r="DE113" i="50"/>
  <c r="AT232" i="50"/>
  <c r="AC215" i="50"/>
  <c r="CN142" i="50"/>
  <c r="CK161" i="50"/>
  <c r="EP103" i="50"/>
  <c r="BE178" i="50"/>
  <c r="FG188" i="50"/>
  <c r="AZ161" i="50"/>
  <c r="EP177" i="50"/>
  <c r="EJ232" i="50"/>
  <c r="BT215" i="50"/>
  <c r="CN111" i="50"/>
  <c r="DE203" i="50"/>
  <c r="AX232" i="50"/>
  <c r="G215" i="50"/>
  <c r="CN217" i="50"/>
  <c r="EW161" i="50"/>
  <c r="EP96" i="50"/>
  <c r="DM178" i="50"/>
  <c r="FG177" i="50"/>
  <c r="AE33" i="50"/>
  <c r="DE104" i="50"/>
  <c r="EC232" i="50"/>
  <c r="ED215" i="50"/>
  <c r="CN201" i="50"/>
  <c r="DE198" i="50"/>
  <c r="AK18" i="50"/>
  <c r="DT178" i="50"/>
  <c r="FG104" i="50"/>
  <c r="AT161" i="50"/>
  <c r="EP131" i="50"/>
  <c r="J178" i="50"/>
  <c r="CM215" i="50"/>
  <c r="AI52" i="50"/>
  <c r="DE151" i="50"/>
  <c r="Y232" i="50"/>
  <c r="BJ215" i="50"/>
  <c r="CN186" i="50"/>
  <c r="BV161" i="50"/>
  <c r="EP109" i="50"/>
  <c r="CQ178" i="50"/>
  <c r="FG194" i="50"/>
  <c r="AX161" i="50"/>
  <c r="EP208" i="50"/>
  <c r="BS232" i="50"/>
  <c r="CE215" i="50"/>
  <c r="CN117" i="50"/>
  <c r="DE146" i="50"/>
  <c r="AK20" i="50"/>
  <c r="C215" i="50"/>
  <c r="FG95" i="50"/>
  <c r="BF161" i="50"/>
  <c r="EP102" i="50"/>
  <c r="AF178" i="50"/>
  <c r="FG189" i="50"/>
  <c r="AI54" i="50"/>
  <c r="DE110" i="50"/>
  <c r="BC232" i="50"/>
  <c r="AJ215" i="50"/>
  <c r="CN206" i="50"/>
  <c r="DE211" i="50"/>
  <c r="L39" i="50"/>
  <c r="BR178" i="50"/>
  <c r="FG142" i="50"/>
  <c r="CP161" i="50"/>
  <c r="EP137" i="50"/>
  <c r="EM232" i="50"/>
  <c r="DC215" i="50"/>
  <c r="CN108" i="50"/>
  <c r="FG160" i="50"/>
  <c r="W178" i="50"/>
  <c r="FC178" i="50"/>
  <c r="FG90" i="50"/>
  <c r="EC161" i="50"/>
  <c r="EP194" i="50"/>
  <c r="BH178" i="50"/>
  <c r="FG221" i="50"/>
  <c r="AE27" i="50"/>
  <c r="DE105" i="50"/>
  <c r="BK232" i="50"/>
  <c r="DM215" i="50"/>
  <c r="CN134" i="50"/>
  <c r="CL161" i="50"/>
  <c r="EP95" i="50"/>
  <c r="EF178" i="50"/>
  <c r="FG176" i="50"/>
  <c r="Y161" i="50"/>
  <c r="EP169" i="50"/>
  <c r="BT232" i="50"/>
  <c r="DW215" i="50"/>
  <c r="CN103" i="50"/>
  <c r="DE195" i="50"/>
  <c r="AY232" i="50"/>
  <c r="J215" i="50"/>
  <c r="CN209" i="50"/>
  <c r="DS161" i="50"/>
  <c r="EP88" i="50"/>
  <c r="AO178" i="50"/>
  <c r="FG169" i="50"/>
  <c r="AE18" i="50"/>
  <c r="DE96" i="50"/>
  <c r="ED232" i="50"/>
  <c r="CT215" i="50"/>
  <c r="CN193" i="50"/>
  <c r="DE190" i="50"/>
  <c r="AL53" i="50"/>
  <c r="EI178" i="50"/>
  <c r="FG96" i="50"/>
  <c r="BK161" i="50"/>
  <c r="EP123" i="50"/>
  <c r="L178" i="50"/>
  <c r="Z21" i="26"/>
  <c r="AE34" i="50"/>
  <c r="DE143" i="50"/>
  <c r="BJ232" i="50"/>
  <c r="AD215" i="50"/>
  <c r="CN174" i="50"/>
  <c r="EM161" i="50"/>
  <c r="EP101" i="50"/>
  <c r="ET178" i="50"/>
  <c r="FG186" i="50"/>
  <c r="AY161" i="50"/>
  <c r="EP225" i="50"/>
  <c r="FA232" i="50"/>
  <c r="BR215" i="50"/>
  <c r="CN109" i="50"/>
  <c r="DE138" i="50"/>
  <c r="C232" i="50"/>
  <c r="AV215" i="50"/>
  <c r="FG87" i="50"/>
  <c r="CD161" i="50"/>
  <c r="EP94" i="50"/>
  <c r="AZ178" i="50"/>
  <c r="FG175" i="50"/>
  <c r="AE36" i="50"/>
  <c r="DE102" i="50"/>
  <c r="EU232" i="50"/>
  <c r="DN215" i="50"/>
  <c r="CN199" i="50"/>
  <c r="DE230" i="50"/>
  <c r="L30" i="50"/>
  <c r="DU178" i="50"/>
  <c r="FG134" i="50"/>
  <c r="BA161" i="50"/>
  <c r="EP129" i="50"/>
  <c r="DC232" i="50"/>
  <c r="EO215" i="50"/>
  <c r="CN100" i="50"/>
  <c r="DE149" i="50"/>
  <c r="ED161" i="50"/>
  <c r="FG213" i="50"/>
  <c r="CN74" i="50"/>
  <c r="DE97" i="50"/>
  <c r="AJ232" i="50"/>
  <c r="AO215" i="50"/>
  <c r="CN126" i="50"/>
  <c r="CM161" i="50"/>
  <c r="EP87" i="50"/>
  <c r="EW178" i="50"/>
  <c r="FG168" i="50"/>
  <c r="BJ161" i="50"/>
  <c r="EP161" i="50"/>
  <c r="DW232" i="50"/>
  <c r="CJ215" i="50"/>
  <c r="CN95" i="50"/>
  <c r="DE187" i="50"/>
  <c r="DY232" i="50"/>
  <c r="L215" i="50"/>
  <c r="CN228" i="50"/>
  <c r="CE161" i="50"/>
  <c r="EP80" i="50"/>
  <c r="AT178" i="50"/>
  <c r="FG161" i="50"/>
  <c r="C161" i="50"/>
  <c r="DE88" i="50"/>
  <c r="CT232" i="50"/>
  <c r="EE215" i="50"/>
  <c r="CN185" i="50"/>
  <c r="DE178" i="50"/>
  <c r="AK34" i="50"/>
  <c r="EJ178" i="50"/>
  <c r="FG88" i="50"/>
  <c r="AJ161" i="50"/>
  <c r="EP115" i="50"/>
  <c r="AX178" i="50"/>
  <c r="FG226" i="50"/>
  <c r="AE23" i="50"/>
  <c r="DE135" i="50"/>
  <c r="AD232" i="50"/>
  <c r="AQ215" i="50"/>
  <c r="CN166" i="50"/>
  <c r="DC161" i="50"/>
  <c r="EP93" i="50"/>
  <c r="EC178" i="50"/>
  <c r="FG174" i="50"/>
  <c r="DY161" i="50"/>
  <c r="EP205" i="50"/>
  <c r="FB232" i="50"/>
  <c r="DU215" i="50"/>
  <c r="CN101" i="50"/>
  <c r="DE130" i="50"/>
  <c r="AV232" i="50"/>
  <c r="M215" i="50"/>
  <c r="FG79" i="50"/>
  <c r="CV161" i="50"/>
  <c r="EP86" i="50"/>
  <c r="Y178" i="50"/>
  <c r="FG167" i="50"/>
  <c r="AE25" i="50"/>
  <c r="DE94" i="50"/>
  <c r="BD232" i="50"/>
  <c r="ES215" i="50"/>
  <c r="CN191" i="50"/>
  <c r="DE222" i="50"/>
  <c r="AK17" i="50"/>
  <c r="BS178" i="50"/>
  <c r="FG126" i="50"/>
  <c r="AN161" i="50"/>
  <c r="EP121" i="50"/>
  <c r="EO232" i="50"/>
  <c r="FG232" i="50"/>
  <c r="CN92" i="50"/>
  <c r="DE141" i="50"/>
  <c r="AB232" i="50"/>
  <c r="AG215" i="50"/>
  <c r="CN172" i="50"/>
  <c r="FB161" i="50"/>
  <c r="EP132" i="50"/>
  <c r="BC178" i="50"/>
  <c r="FG121" i="50"/>
  <c r="R161" i="50"/>
  <c r="EP223" i="50"/>
  <c r="BQ232" i="50"/>
  <c r="CN184" i="50"/>
  <c r="CN118" i="50"/>
  <c r="DE227" i="50"/>
  <c r="EP79" i="50"/>
  <c r="DS178" i="50"/>
  <c r="FG158" i="50"/>
  <c r="AD161" i="50"/>
  <c r="EP153" i="50"/>
  <c r="CJ232" i="50"/>
  <c r="BV215" i="50"/>
  <c r="CN87" i="50"/>
  <c r="DE173" i="50"/>
  <c r="S232" i="50"/>
  <c r="AX215" i="50"/>
  <c r="CN220" i="50"/>
  <c r="BR161" i="50"/>
  <c r="EP166" i="50"/>
  <c r="BK178" i="50"/>
  <c r="FG153" i="50"/>
  <c r="AV161" i="50"/>
  <c r="DE80" i="50"/>
  <c r="EE232" i="50"/>
  <c r="BF215" i="50"/>
  <c r="CN171" i="50"/>
  <c r="DE170" i="50"/>
  <c r="AK23" i="50"/>
  <c r="BT178" i="50"/>
  <c r="FG80" i="50"/>
  <c r="DN161" i="50"/>
  <c r="EP215" i="50"/>
  <c r="AY178" i="50"/>
  <c r="FG218" i="50"/>
  <c r="CN73" i="50"/>
  <c r="DE127" i="50"/>
  <c r="AQ232" i="50"/>
  <c r="CP215" i="50"/>
  <c r="CN156" i="50"/>
  <c r="EO161" i="50"/>
  <c r="EP85" i="50"/>
  <c r="ED178" i="50"/>
  <c r="FG166" i="50"/>
  <c r="S161" i="50"/>
  <c r="EP197" i="50"/>
  <c r="CZ232" i="50"/>
  <c r="BS215" i="50"/>
  <c r="CN93" i="50"/>
  <c r="DE122" i="50"/>
  <c r="M232" i="50"/>
  <c r="DJ215" i="50"/>
  <c r="CN231" i="50"/>
  <c r="BQ161" i="50"/>
  <c r="EP78" i="50"/>
  <c r="BJ178" i="50"/>
  <c r="FG159" i="50"/>
  <c r="AI59" i="50"/>
  <c r="DE86" i="50"/>
  <c r="EV232" i="50"/>
  <c r="BC215" i="50"/>
  <c r="CN177" i="50"/>
  <c r="DE212" i="50"/>
  <c r="AL48" i="50"/>
  <c r="FA178" i="50"/>
  <c r="FG118" i="50"/>
  <c r="BY161" i="50"/>
  <c r="EP113" i="50"/>
  <c r="C178" i="50"/>
  <c r="FG224" i="50"/>
  <c r="CN84" i="50"/>
  <c r="DE133" i="50"/>
  <c r="AE232" i="50"/>
  <c r="CO215" i="50"/>
  <c r="CN164" i="50"/>
  <c r="CZ161" i="50"/>
  <c r="EP124" i="50"/>
  <c r="EU178" i="50"/>
  <c r="FG113" i="50"/>
  <c r="U161" i="50"/>
  <c r="EP203" i="50"/>
  <c r="EY232" i="50"/>
  <c r="CX215" i="50"/>
  <c r="DE128" i="50"/>
  <c r="D232" i="50"/>
  <c r="EP193" i="50"/>
  <c r="W232" i="50"/>
  <c r="AR178" i="50"/>
  <c r="CK178" i="50"/>
  <c r="AQ161" i="50"/>
  <c r="EP145" i="50"/>
  <c r="BV232" i="50"/>
  <c r="EM215" i="50"/>
  <c r="CN79" i="50"/>
  <c r="DE165" i="50"/>
  <c r="AG232" i="50"/>
  <c r="AY215" i="50"/>
  <c r="CN200" i="50"/>
  <c r="DU161" i="50"/>
  <c r="EP156" i="50"/>
  <c r="AJ178" i="50"/>
  <c r="FG145" i="50"/>
  <c r="M161" i="50"/>
  <c r="DE73" i="50"/>
  <c r="BF232" i="50"/>
  <c r="CD215" i="50"/>
  <c r="CN163" i="50"/>
  <c r="DE160" i="50"/>
  <c r="AL58" i="50"/>
  <c r="DW178" i="50"/>
  <c r="FG109" i="50"/>
  <c r="ES161" i="50"/>
  <c r="EP207" i="50"/>
  <c r="DY178" i="50"/>
  <c r="FG208" i="50"/>
  <c r="AI45" i="50"/>
  <c r="DE119" i="50"/>
  <c r="CP232" i="50"/>
  <c r="BA215" i="50"/>
  <c r="CN148" i="50"/>
  <c r="DE225" i="50"/>
  <c r="EP77" i="50"/>
  <c r="CT178" i="50"/>
  <c r="FG156" i="50"/>
  <c r="AG161" i="50"/>
  <c r="EP189" i="50"/>
  <c r="EL232" i="50"/>
  <c r="FA215" i="50"/>
  <c r="CN85" i="50"/>
  <c r="DE114" i="50"/>
  <c r="DJ232" i="50"/>
  <c r="BI215" i="50"/>
  <c r="CN223" i="50"/>
  <c r="EY161" i="50"/>
  <c r="EP164" i="50"/>
  <c r="AD178" i="50"/>
  <c r="FG151" i="50"/>
  <c r="AI43" i="50"/>
  <c r="DE78" i="50"/>
  <c r="CC232" i="50"/>
  <c r="EU215" i="50"/>
  <c r="CN169" i="50"/>
  <c r="DE204" i="50"/>
  <c r="L31" i="50"/>
  <c r="FB178" i="50"/>
  <c r="FG110" i="50"/>
  <c r="BZ161" i="50"/>
  <c r="EP213" i="50"/>
  <c r="AV178" i="50"/>
  <c r="FG214" i="50"/>
  <c r="CN76" i="50"/>
  <c r="DE125" i="50"/>
  <c r="EA232" i="50"/>
  <c r="Z215" i="50"/>
  <c r="CN154" i="50"/>
  <c r="EL161" i="50"/>
  <c r="EP116" i="50"/>
  <c r="BD178" i="50"/>
  <c r="FG200" i="50"/>
  <c r="BW161" i="50"/>
  <c r="EP195" i="50"/>
  <c r="CX232" i="50"/>
  <c r="CG215" i="50"/>
  <c r="CN123" i="50"/>
  <c r="DE120" i="50"/>
  <c r="N232" i="50"/>
  <c r="EO178" i="50"/>
  <c r="CN229" i="50"/>
  <c r="CC161" i="50"/>
  <c r="EP108" i="50"/>
  <c r="AB178" i="50"/>
  <c r="FG195" i="50"/>
  <c r="S215" i="50"/>
  <c r="DE157" i="50"/>
  <c r="CO232" i="50"/>
  <c r="DY215" i="50"/>
  <c r="CN192" i="50"/>
  <c r="BS161" i="50"/>
  <c r="EP148" i="50"/>
  <c r="DN178" i="50"/>
  <c r="FG137" i="50"/>
  <c r="DJ161" i="50"/>
  <c r="EP232" i="50"/>
  <c r="CD232" i="50"/>
  <c r="CV215" i="50"/>
  <c r="CN155" i="50"/>
  <c r="DE152" i="50"/>
  <c r="AL42" i="50"/>
  <c r="CJ178" i="50"/>
  <c r="FG101" i="50"/>
  <c r="BC161" i="50"/>
  <c r="EP200" i="50"/>
  <c r="S178" i="50"/>
  <c r="FG227" i="50"/>
  <c r="AE20" i="50"/>
  <c r="DE111" i="50"/>
  <c r="BA232" i="50"/>
  <c r="AN215" i="50"/>
  <c r="CN140" i="50"/>
  <c r="DE217" i="50"/>
  <c r="AL51" i="50"/>
  <c r="EE178" i="50"/>
  <c r="FG148" i="50"/>
  <c r="CO161" i="50"/>
  <c r="EP175" i="50"/>
  <c r="DB232" i="50"/>
  <c r="FB215" i="50"/>
  <c r="CN77" i="50"/>
  <c r="DE201" i="50"/>
  <c r="BI232" i="50"/>
  <c r="R215" i="50"/>
  <c r="CN215" i="50"/>
  <c r="CX161" i="50"/>
  <c r="EP154" i="50"/>
  <c r="AQ178" i="50"/>
  <c r="FG143" i="50"/>
  <c r="I30" i="50"/>
  <c r="AE21" i="26"/>
  <c r="BP232" i="50"/>
  <c r="BD215" i="50"/>
  <c r="CN161" i="50"/>
  <c r="DE196" i="50"/>
  <c r="AK14" i="50"/>
  <c r="CZ178" i="50"/>
  <c r="FG102" i="50"/>
  <c r="BM161" i="50"/>
  <c r="EP206" i="50"/>
  <c r="M178" i="50"/>
  <c r="FG206" i="50"/>
  <c r="AI48" i="50"/>
  <c r="DE117" i="50"/>
  <c r="AL232" i="50"/>
  <c r="AB215" i="50"/>
  <c r="CN146" i="50"/>
  <c r="DB161" i="50"/>
  <c r="EP107" i="50"/>
  <c r="EV178" i="50"/>
  <c r="FG192" i="50"/>
  <c r="DZ161" i="50"/>
  <c r="EP187" i="50"/>
  <c r="CG232" i="50"/>
  <c r="DV215" i="50"/>
  <c r="CN115" i="50"/>
  <c r="DE112" i="50"/>
  <c r="O232" i="50"/>
  <c r="H215" i="50"/>
  <c r="CN221" i="50"/>
  <c r="BP161" i="50"/>
  <c r="EP100" i="50"/>
  <c r="AE178" i="50"/>
  <c r="FG187" i="50"/>
  <c r="I39" i="50"/>
  <c r="CN205" i="50"/>
  <c r="ES178" i="50"/>
  <c r="FG129" i="50"/>
  <c r="BI161" i="50"/>
  <c r="EP214" i="50"/>
  <c r="CV232" i="50"/>
  <c r="BQ215" i="50"/>
  <c r="CN147" i="50"/>
  <c r="DE144" i="50"/>
  <c r="AK16" i="50"/>
  <c r="BV178" i="50"/>
  <c r="FG93" i="50"/>
  <c r="EU161" i="50"/>
  <c r="EP192" i="50"/>
  <c r="AG178" i="50"/>
  <c r="FG219" i="50"/>
  <c r="AI50" i="50"/>
  <c r="DE103" i="50"/>
  <c r="AN232" i="50"/>
  <c r="BY215" i="50"/>
  <c r="CN132" i="50"/>
  <c r="DE209" i="50"/>
  <c r="AK36" i="50"/>
  <c r="BF178" i="50"/>
  <c r="FG140" i="50"/>
  <c r="Z161" i="50"/>
  <c r="EP167" i="50"/>
  <c r="EN232" i="50"/>
  <c r="CZ215" i="50"/>
  <c r="CN106" i="50"/>
  <c r="DE193" i="50"/>
  <c r="R232" i="50"/>
  <c r="U215" i="50"/>
  <c r="CN207" i="50"/>
  <c r="CG161" i="50"/>
  <c r="EP146" i="50"/>
  <c r="CP178" i="50"/>
  <c r="FG135" i="50"/>
  <c r="AE14" i="50"/>
  <c r="EP224" i="50"/>
  <c r="CU232" i="50"/>
  <c r="EV215" i="50"/>
  <c r="CN153" i="50"/>
  <c r="DE188" i="50"/>
  <c r="AL49" i="50"/>
  <c r="EL178" i="50"/>
  <c r="FG94" i="50"/>
  <c r="CA161" i="50"/>
  <c r="EP198" i="50"/>
  <c r="DJ178" i="50"/>
  <c r="FG225" i="50"/>
  <c r="I31" i="50"/>
  <c r="DE109" i="50"/>
  <c r="ER232" i="50"/>
  <c r="AE215" i="50"/>
  <c r="CN138" i="50"/>
  <c r="EN161" i="50"/>
  <c r="EP99" i="50"/>
  <c r="CC178" i="50"/>
  <c r="FG184" i="50"/>
  <c r="AH161" i="50"/>
  <c r="EP173" i="50"/>
  <c r="DV232" i="50"/>
  <c r="CI215" i="50"/>
  <c r="CN107" i="50"/>
  <c r="DE199" i="50"/>
  <c r="X232" i="50"/>
  <c r="D215" i="50"/>
  <c r="CN213" i="50"/>
  <c r="CU161" i="50"/>
  <c r="EP92" i="50"/>
  <c r="EA178" i="50"/>
  <c r="FG173" i="50"/>
  <c r="AE26" i="50"/>
  <c r="DE100" i="50"/>
  <c r="CB232" i="50"/>
  <c r="DP215" i="50"/>
  <c r="CN197" i="50"/>
  <c r="DE194" i="50"/>
  <c r="EP75" i="50"/>
  <c r="CX178" i="50"/>
  <c r="FG100" i="50"/>
  <c r="ER161" i="50"/>
  <c r="EP127" i="50"/>
  <c r="DA232" i="50"/>
  <c r="EY215" i="50"/>
  <c r="CN139" i="50"/>
  <c r="DE136" i="50"/>
  <c r="H232" i="50"/>
  <c r="EM178" i="50"/>
  <c r="FG85" i="50"/>
  <c r="BD161" i="50"/>
  <c r="EP184" i="50"/>
  <c r="CO178" i="50"/>
  <c r="FG211" i="50"/>
  <c r="I33" i="50"/>
  <c r="DE95" i="50"/>
  <c r="BY232" i="50"/>
  <c r="BZ215" i="50"/>
  <c r="CN124" i="50"/>
  <c r="DE228" i="50"/>
  <c r="AK28" i="50"/>
  <c r="CD178" i="50"/>
  <c r="FG132" i="50"/>
  <c r="AB161" i="50"/>
  <c r="EP159" i="50"/>
  <c r="DD232" i="50"/>
  <c r="EL215" i="50"/>
  <c r="CN98" i="50"/>
  <c r="DE185" i="50"/>
  <c r="U232" i="50"/>
  <c r="BW215" i="50"/>
  <c r="CN226" i="50"/>
  <c r="DV161" i="50"/>
  <c r="EP138" i="50"/>
  <c r="BA178" i="50"/>
  <c r="FG127" i="50"/>
  <c r="H161" i="50"/>
  <c r="EP231" i="50"/>
  <c r="BG232" i="50"/>
  <c r="CC215" i="50"/>
  <c r="CN145" i="50"/>
  <c r="DE176" i="50"/>
  <c r="L32" i="50"/>
  <c r="DB178" i="50"/>
  <c r="FG86" i="50"/>
  <c r="CB161" i="50"/>
  <c r="EP190" i="50"/>
  <c r="BI178" i="50"/>
  <c r="FG217" i="50"/>
  <c r="AE19" i="50"/>
  <c r="DE101" i="50"/>
  <c r="AK232" i="50"/>
  <c r="EA215" i="50"/>
  <c r="CN130" i="50"/>
  <c r="DD161" i="50"/>
  <c r="EP91" i="50"/>
  <c r="BP178" i="50"/>
  <c r="FG172" i="50"/>
  <c r="DL161" i="50"/>
  <c r="EP165" i="50"/>
  <c r="CI232" i="50"/>
  <c r="BU215" i="50"/>
  <c r="CN99" i="50"/>
  <c r="DE191" i="50"/>
  <c r="DK232" i="50"/>
  <c r="N215" i="50"/>
  <c r="CN232" i="50"/>
  <c r="BG161" i="50"/>
  <c r="EP84" i="50"/>
  <c r="AL178" i="50"/>
  <c r="FG165" i="50"/>
  <c r="F161" i="50"/>
  <c r="DE92" i="50"/>
  <c r="DP232" i="50"/>
  <c r="DQ215" i="50"/>
  <c r="CN189" i="50"/>
  <c r="DE186" i="50"/>
  <c r="AL45" i="50"/>
  <c r="CG178" i="50"/>
  <c r="FG92" i="50"/>
  <c r="AK161" i="50"/>
  <c r="EP119" i="50"/>
  <c r="O178" i="50"/>
  <c r="FG230" i="50"/>
  <c r="AE30" i="50"/>
  <c r="DE139" i="50"/>
  <c r="BX232" i="50"/>
  <c r="EP186" i="50"/>
  <c r="AA161" i="50"/>
  <c r="CK232" i="50"/>
  <c r="DE197" i="50"/>
  <c r="EI161" i="50"/>
  <c r="EP150" i="50"/>
  <c r="EP140" i="50"/>
  <c r="FG77" i="50"/>
  <c r="EV161" i="50"/>
  <c r="EP172" i="50"/>
  <c r="Z178" i="50"/>
  <c r="FG203" i="50"/>
  <c r="AE21" i="50"/>
  <c r="DE87" i="50"/>
  <c r="BZ232" i="50"/>
  <c r="BM215" i="50"/>
  <c r="CN116" i="50"/>
  <c r="DE220" i="50"/>
  <c r="AL60" i="50"/>
  <c r="CV178" i="50"/>
  <c r="FG124" i="50"/>
  <c r="AE161" i="50"/>
  <c r="EP151" i="50"/>
  <c r="AB21" i="26"/>
  <c r="DB215" i="50"/>
  <c r="CN90" i="50"/>
  <c r="DE171" i="50"/>
  <c r="BW232" i="50"/>
  <c r="DZ215" i="50"/>
  <c r="CN218" i="50"/>
  <c r="CI161" i="50"/>
  <c r="EP130" i="50"/>
  <c r="AN178" i="50"/>
  <c r="FG119" i="50"/>
  <c r="D161" i="50"/>
  <c r="EP230" i="50"/>
  <c r="EH232" i="50"/>
  <c r="BP215" i="50"/>
  <c r="CN137" i="50"/>
  <c r="DE168" i="50"/>
  <c r="AK19" i="50"/>
  <c r="EN178" i="50"/>
  <c r="FG78" i="50"/>
  <c r="DP161" i="50"/>
  <c r="EP178" i="50"/>
  <c r="R178" i="50"/>
  <c r="FG209" i="50"/>
  <c r="AI57" i="50"/>
  <c r="DE93" i="50"/>
  <c r="EB232" i="50"/>
  <c r="AL215" i="50"/>
  <c r="CN122" i="50"/>
  <c r="DE231" i="50"/>
  <c r="EP83" i="50"/>
  <c r="CU178" i="50"/>
  <c r="FG164" i="50"/>
  <c r="BX161" i="50"/>
  <c r="EP157" i="50"/>
  <c r="BU232" i="50"/>
  <c r="DX215" i="50"/>
  <c r="CN91" i="50"/>
  <c r="DE177" i="50"/>
  <c r="P232" i="50"/>
  <c r="O215" i="50"/>
  <c r="CN224" i="50"/>
  <c r="EH161" i="50"/>
  <c r="EP76" i="50"/>
  <c r="ER178" i="50"/>
  <c r="FG157" i="50"/>
  <c r="E161" i="50"/>
  <c r="DE84" i="50"/>
  <c r="DQ232" i="50"/>
  <c r="BO215" i="50"/>
  <c r="CN175" i="50"/>
  <c r="DE174" i="50"/>
  <c r="AK30" i="50"/>
  <c r="DV178" i="50"/>
  <c r="FG84" i="50"/>
  <c r="EB161" i="50"/>
  <c r="EP111" i="50"/>
  <c r="X178" i="50"/>
  <c r="FG222" i="50"/>
  <c r="AE15" i="50"/>
  <c r="DE131" i="50"/>
  <c r="AP232" i="50"/>
  <c r="AR215" i="50"/>
  <c r="CN160" i="50"/>
  <c r="FF161" i="50"/>
  <c r="EP89" i="50"/>
  <c r="CB178" i="50"/>
  <c r="CB215" i="50"/>
  <c r="AI55" i="50"/>
  <c r="DE79" i="50"/>
  <c r="BM232" i="50"/>
  <c r="CA215" i="50"/>
  <c r="CN212" i="50"/>
  <c r="DE210" i="50"/>
  <c r="AL44" i="50"/>
  <c r="BQ178" i="50"/>
  <c r="FG116" i="50"/>
  <c r="EA161" i="50"/>
  <c r="EP143" i="50"/>
  <c r="H178" i="50"/>
  <c r="EN215" i="50"/>
  <c r="CN82" i="50"/>
  <c r="DE163" i="50"/>
  <c r="DZ232" i="50"/>
  <c r="AH215" i="50"/>
  <c r="CN198" i="50"/>
  <c r="BU161" i="50"/>
  <c r="EP122" i="50"/>
  <c r="BY178" i="50"/>
  <c r="FG111" i="50"/>
  <c r="N161" i="50"/>
  <c r="EP222" i="50"/>
  <c r="CF232" i="50"/>
  <c r="CU215" i="50"/>
  <c r="CN129" i="50"/>
  <c r="DE158" i="50"/>
  <c r="AL54" i="50"/>
  <c r="DD178" i="50"/>
  <c r="FG107" i="50"/>
  <c r="DQ161" i="50"/>
  <c r="EP170" i="50"/>
  <c r="U178" i="50"/>
  <c r="FG201" i="50"/>
  <c r="I36" i="50"/>
  <c r="DE85" i="50"/>
  <c r="BL232" i="50"/>
  <c r="ER215" i="50"/>
  <c r="CN114" i="50"/>
  <c r="DE223" i="50"/>
  <c r="AL63" i="50"/>
  <c r="BG178" i="50"/>
  <c r="FG154" i="50"/>
  <c r="AP161" i="50"/>
  <c r="EP149" i="50"/>
  <c r="DX232" i="50"/>
  <c r="FD215" i="50"/>
  <c r="CN83" i="50"/>
  <c r="DE169" i="50"/>
  <c r="Q232" i="50"/>
  <c r="X215" i="50"/>
  <c r="CN204" i="50"/>
  <c r="CF161" i="50"/>
  <c r="EP160" i="50"/>
  <c r="AK178" i="50"/>
  <c r="FG149" i="50"/>
  <c r="K161" i="50"/>
  <c r="DE76" i="50"/>
  <c r="BO232" i="50"/>
  <c r="DR215" i="50"/>
  <c r="CN167" i="50"/>
  <c r="DE166" i="50"/>
  <c r="AK15" i="50"/>
  <c r="CI178" i="50"/>
  <c r="FG76" i="50"/>
  <c r="BL161" i="50"/>
  <c r="EP211" i="50"/>
  <c r="DK178" i="50"/>
  <c r="FG212" i="50"/>
  <c r="AI53" i="50"/>
  <c r="DE123" i="50"/>
  <c r="AR232" i="50"/>
  <c r="AS215" i="50"/>
  <c r="CN152" i="50"/>
  <c r="DE229" i="50"/>
  <c r="EP81" i="50"/>
  <c r="DP178" i="50"/>
  <c r="Z232" i="50"/>
  <c r="DE202" i="50"/>
  <c r="AK26" i="50"/>
  <c r="EY178" i="50"/>
  <c r="FG108" i="50"/>
  <c r="AL161" i="50"/>
  <c r="EP135" i="50"/>
  <c r="D178" i="50"/>
  <c r="DD215" i="50"/>
  <c r="AI60" i="50"/>
  <c r="DE155" i="50"/>
  <c r="AH232" i="50"/>
  <c r="DL215" i="50"/>
  <c r="CN190" i="50"/>
  <c r="DX161" i="50"/>
  <c r="EP114" i="50"/>
  <c r="BZ178" i="50"/>
  <c r="FG198" i="50"/>
  <c r="O161" i="50"/>
  <c r="EP212" i="50"/>
  <c r="EZ232" i="50"/>
  <c r="BG215" i="50"/>
  <c r="CN121" i="50"/>
  <c r="DE150" i="50"/>
  <c r="L33" i="50"/>
  <c r="F215" i="50"/>
  <c r="FG99" i="50"/>
  <c r="BO161" i="50"/>
  <c r="EP106" i="50"/>
  <c r="BW178" i="50"/>
  <c r="FG193" i="50"/>
  <c r="AE16" i="50"/>
  <c r="DE77" i="50"/>
  <c r="DO232" i="50"/>
  <c r="AK215" i="50"/>
  <c r="CN210" i="50"/>
  <c r="DE215" i="50"/>
  <c r="AL47" i="50"/>
  <c r="EH178" i="50"/>
  <c r="FG146" i="50"/>
  <c r="AR161" i="50"/>
  <c r="EP141" i="50"/>
  <c r="FD232" i="50"/>
  <c r="FE215" i="50"/>
  <c r="CN75" i="50"/>
  <c r="DE161" i="50"/>
  <c r="EQ232" i="50"/>
  <c r="DK215" i="50"/>
  <c r="CN196" i="50"/>
  <c r="EZ161" i="50"/>
  <c r="EP152" i="50"/>
  <c r="EB178" i="50"/>
  <c r="FG141" i="50"/>
  <c r="I161" i="50"/>
  <c r="AD21" i="26"/>
  <c r="DR232" i="50"/>
  <c r="EG215" i="50"/>
  <c r="CN159" i="50"/>
  <c r="DE156" i="50"/>
  <c r="AL50" i="50"/>
  <c r="BU178" i="50"/>
  <c r="FG105" i="50"/>
  <c r="DO161" i="50"/>
  <c r="EP204" i="50"/>
  <c r="P178" i="50"/>
  <c r="FG231" i="50"/>
  <c r="I32" i="50"/>
  <c r="DE115" i="50"/>
  <c r="AS232" i="50"/>
  <c r="AU215" i="50"/>
  <c r="CN144" i="50"/>
  <c r="DE221" i="50"/>
  <c r="AL59" i="50"/>
  <c r="DQ178" i="50"/>
  <c r="FG152" i="50"/>
  <c r="EQ161" i="50"/>
  <c r="EP185" i="50"/>
  <c r="FC232" i="50"/>
  <c r="CH215" i="50"/>
  <c r="CN81" i="50"/>
  <c r="DE205" i="50"/>
  <c r="BH232" i="50"/>
  <c r="W215" i="50"/>
  <c r="CN219" i="50"/>
  <c r="DE108" i="50"/>
  <c r="CY215" i="50"/>
  <c r="N178" i="50"/>
  <c r="AC21" i="26"/>
  <c r="AI44" i="50"/>
  <c r="DE147" i="50"/>
  <c r="DL232" i="50"/>
  <c r="BX215" i="50"/>
  <c r="CN178" i="50"/>
  <c r="FD161" i="50"/>
  <c r="EP105" i="50"/>
  <c r="BM178" i="50"/>
  <c r="FG190" i="50"/>
  <c r="X161" i="50"/>
  <c r="EP229" i="50"/>
  <c r="CY232" i="50"/>
  <c r="EH215" i="50"/>
  <c r="CN113" i="50"/>
  <c r="DE142" i="50"/>
  <c r="F232" i="50"/>
  <c r="E215" i="50"/>
  <c r="FG91" i="50"/>
  <c r="DR161" i="50"/>
  <c r="EP98" i="50"/>
  <c r="DZ178" i="50"/>
  <c r="FG185" i="50"/>
  <c r="AI46" i="50"/>
  <c r="DE106" i="50"/>
  <c r="CR232" i="50"/>
  <c r="EB215" i="50"/>
  <c r="CN203" i="50"/>
  <c r="DE207" i="50"/>
  <c r="L34" i="50"/>
  <c r="CF178" i="50"/>
  <c r="FG138" i="50"/>
  <c r="AS161" i="50"/>
  <c r="EP133" i="50"/>
  <c r="FE232" i="50"/>
  <c r="FF215" i="50"/>
  <c r="CN104" i="50"/>
  <c r="DE153" i="50"/>
  <c r="AA232" i="50"/>
  <c r="P215" i="50"/>
  <c r="CN188" i="50"/>
  <c r="CY161" i="50"/>
  <c r="EP144" i="50"/>
  <c r="BL178" i="50"/>
  <c r="FG133" i="50"/>
  <c r="BH161" i="50"/>
  <c r="EP220" i="50"/>
  <c r="EG232" i="50"/>
  <c r="EX215" i="50"/>
  <c r="CN151" i="50"/>
  <c r="DE148" i="50"/>
  <c r="AK24" i="50"/>
  <c r="DX178" i="50"/>
  <c r="FG97" i="50"/>
  <c r="CR161" i="50"/>
  <c r="EP196" i="50"/>
  <c r="Q178" i="50"/>
  <c r="FG223" i="50"/>
  <c r="AI58" i="50"/>
  <c r="DE107" i="50"/>
  <c r="AU232" i="50"/>
  <c r="AM215" i="50"/>
  <c r="CN136" i="50"/>
  <c r="DE213" i="50"/>
  <c r="AL43" i="50"/>
  <c r="BO178" i="50"/>
  <c r="FG144" i="50"/>
  <c r="EP171" i="50"/>
  <c r="CN110" i="50"/>
  <c r="T215" i="50"/>
  <c r="FG139" i="50"/>
  <c r="AP215" i="50"/>
  <c r="CN170" i="50"/>
  <c r="FE161" i="50"/>
  <c r="EP97" i="50"/>
  <c r="CA178" i="50"/>
  <c r="FG178" i="50"/>
  <c r="DK161" i="50"/>
  <c r="EP221" i="50"/>
  <c r="CH232" i="50"/>
  <c r="CF215" i="50"/>
  <c r="CN105" i="50"/>
  <c r="DE134" i="50"/>
  <c r="E232" i="50"/>
  <c r="K215" i="50"/>
  <c r="FG83" i="50"/>
  <c r="EG161" i="50"/>
  <c r="EP90" i="50"/>
  <c r="AH178" i="50"/>
  <c r="FG171" i="50"/>
  <c r="AE32" i="50"/>
  <c r="DE98" i="50"/>
  <c r="CS232" i="50"/>
  <c r="BL215" i="50"/>
  <c r="CN195" i="50"/>
  <c r="DE226" i="50"/>
  <c r="AK25" i="50"/>
  <c r="EZ178" i="50"/>
  <c r="FG130" i="50"/>
  <c r="AU161" i="50"/>
  <c r="EP125" i="50"/>
  <c r="FF232" i="50"/>
  <c r="AA21" i="26"/>
  <c r="CN96" i="50"/>
  <c r="DE145" i="50"/>
  <c r="AI232" i="50"/>
  <c r="Q215" i="50"/>
  <c r="CN176" i="50"/>
  <c r="CH161" i="50"/>
  <c r="EP136" i="50"/>
  <c r="DO178" i="50"/>
  <c r="FG125" i="50"/>
  <c r="W161" i="50"/>
  <c r="EP227" i="50"/>
  <c r="EX232" i="50"/>
  <c r="CW215" i="50"/>
  <c r="CN143" i="50"/>
  <c r="DE140" i="50"/>
  <c r="AW232" i="50"/>
  <c r="FD178" i="50"/>
  <c r="FG89" i="50"/>
  <c r="CS161" i="50"/>
  <c r="EP188" i="50"/>
  <c r="EQ178" i="50"/>
  <c r="FG215" i="50"/>
  <c r="AI42" i="50"/>
  <c r="DE99" i="50"/>
  <c r="AM232" i="50"/>
  <c r="BB215" i="50"/>
  <c r="CN128" i="50"/>
  <c r="DE232" i="50"/>
  <c r="AK32" i="50"/>
  <c r="DR178" i="50"/>
  <c r="FG136" i="50"/>
  <c r="AI161" i="50"/>
  <c r="EP163" i="50"/>
  <c r="CL232" i="50"/>
  <c r="DA215" i="50"/>
  <c r="CN102" i="50"/>
  <c r="DE189" i="50"/>
  <c r="T232" i="50"/>
  <c r="V215" i="50"/>
  <c r="CN230" i="50"/>
  <c r="EJ161" i="50"/>
  <c r="EP142" i="50"/>
  <c r="AS178" i="50"/>
  <c r="FG131" i="50"/>
  <c r="AW161" i="50"/>
  <c r="EP228" i="50"/>
  <c r="DS232" i="50"/>
  <c r="BE215" i="50"/>
  <c r="CN149" i="50"/>
  <c r="DE184" i="50"/>
  <c r="L36" i="50"/>
  <c r="FA161" i="50"/>
  <c r="FG170" i="50"/>
  <c r="P161" i="50"/>
  <c r="EP201" i="50"/>
  <c r="EK232" i="50"/>
  <c r="EZ215" i="50"/>
  <c r="CN97" i="50"/>
  <c r="DE126" i="50"/>
  <c r="K232" i="50"/>
  <c r="I215" i="50"/>
  <c r="FG75" i="50"/>
  <c r="EX161" i="50"/>
  <c r="EP82" i="50"/>
  <c r="DL178" i="50"/>
  <c r="FG163" i="50"/>
  <c r="AE17" i="50"/>
  <c r="DE90" i="50"/>
  <c r="BN232" i="50"/>
  <c r="DO215" i="50"/>
  <c r="CN187" i="50"/>
  <c r="DE218" i="50"/>
  <c r="AL56" i="50"/>
  <c r="CY178" i="50"/>
  <c r="FG122" i="50"/>
  <c r="AM161" i="50"/>
  <c r="EP117" i="50"/>
  <c r="F178" i="50"/>
  <c r="FG228" i="50"/>
  <c r="CN88" i="50"/>
  <c r="DE137" i="50"/>
  <c r="AC232" i="50"/>
  <c r="EQ215" i="50"/>
  <c r="CN168" i="50"/>
  <c r="EK161" i="50"/>
  <c r="EP128" i="50"/>
  <c r="CR178" i="50"/>
  <c r="FG117" i="50"/>
  <c r="T161" i="50"/>
  <c r="EP219" i="50"/>
  <c r="CW232" i="50"/>
  <c r="DT215" i="50"/>
  <c r="CN135" i="50"/>
  <c r="DE132" i="50"/>
  <c r="G232" i="50"/>
  <c r="FE178" i="50"/>
  <c r="FG81" i="50"/>
  <c r="BN161" i="50"/>
  <c r="EP176" i="50"/>
  <c r="AA178" i="50"/>
  <c r="FG207" i="50"/>
  <c r="AE28" i="50"/>
  <c r="DE91" i="50"/>
  <c r="BB232" i="50"/>
  <c r="CQ215" i="50"/>
  <c r="CN120" i="50"/>
  <c r="DE224" i="50"/>
  <c r="AK21" i="50"/>
  <c r="EG178" i="50"/>
  <c r="FG128" i="50"/>
  <c r="AC161" i="50"/>
  <c r="EP155" i="50"/>
  <c r="CM232" i="50"/>
  <c r="FC215" i="50"/>
  <c r="CN94" i="50"/>
  <c r="DE175" i="50"/>
  <c r="V232" i="50"/>
  <c r="AF215" i="50"/>
  <c r="CN222" i="50"/>
  <c r="BT161" i="50"/>
  <c r="EP134" i="50"/>
  <c r="AU178" i="50"/>
  <c r="FG123" i="50"/>
  <c r="G161" i="50"/>
  <c r="EP210" i="50"/>
  <c r="CE232" i="50"/>
  <c r="EF215" i="50"/>
  <c r="CN141" i="50"/>
  <c r="DE172" i="50"/>
  <c r="AK27" i="50"/>
  <c r="Q161" i="50"/>
  <c r="CN89" i="50"/>
  <c r="DE118" i="50"/>
  <c r="I232" i="50"/>
  <c r="BH215" i="50"/>
  <c r="CN227" i="50"/>
  <c r="CW161" i="50"/>
  <c r="EP74" i="50"/>
  <c r="BX178" i="50"/>
  <c r="FG155" i="50"/>
  <c r="AI51" i="50"/>
  <c r="DE82" i="50"/>
  <c r="BE232" i="50"/>
  <c r="CR215" i="50"/>
  <c r="CN173" i="50"/>
  <c r="DE208" i="50"/>
  <c r="L35" i="50"/>
  <c r="CH178" i="50"/>
  <c r="FG114" i="50"/>
  <c r="BB161" i="50"/>
  <c r="EP217" i="50"/>
  <c r="E178" i="50"/>
  <c r="FG220" i="50"/>
  <c r="CN80" i="50"/>
  <c r="DE129" i="50"/>
  <c r="DM232" i="50"/>
  <c r="AA215" i="50"/>
  <c r="CN158" i="50"/>
  <c r="DA161" i="50"/>
  <c r="EP120" i="50"/>
  <c r="CS178" i="50"/>
  <c r="FG204" i="50"/>
  <c r="V161" i="50"/>
  <c r="EP199" i="50"/>
  <c r="DT232" i="50"/>
  <c r="EI215" i="50"/>
  <c r="CN127" i="50"/>
  <c r="DE124" i="50"/>
  <c r="J232" i="50"/>
  <c r="FF178" i="50"/>
  <c r="FG73" i="50"/>
  <c r="BE161" i="50"/>
  <c r="EP168" i="50"/>
  <c r="AI178" i="50"/>
  <c r="FG199" i="50"/>
  <c r="AI63" i="50"/>
  <c r="DE83" i="50"/>
  <c r="CQ232" i="50"/>
  <c r="ET215" i="50"/>
  <c r="CN112" i="50"/>
  <c r="DE214" i="50"/>
  <c r="AL52" i="50"/>
  <c r="EX178" i="50"/>
  <c r="FG120" i="50"/>
  <c r="DM161" i="50"/>
  <c r="EP147" i="50"/>
  <c r="AW178" i="50"/>
  <c r="CK215" i="50"/>
  <c r="CN86" i="50"/>
  <c r="DE167" i="50"/>
  <c r="AF232" i="50"/>
  <c r="AZ215" i="50"/>
  <c r="CN202" i="50"/>
  <c r="DW161" i="50"/>
  <c r="EP126" i="50"/>
  <c r="AM178" i="50"/>
  <c r="FG115" i="50"/>
  <c r="J161" i="50"/>
  <c r="EP226" i="50"/>
  <c r="BR232" i="50"/>
  <c r="EW215" i="50"/>
  <c r="CN133" i="50"/>
  <c r="DE164" i="50"/>
  <c r="EP73" i="50"/>
  <c r="CL178" i="50"/>
  <c r="FG74" i="50"/>
  <c r="CT161" i="50"/>
  <c r="EP174" i="50"/>
  <c r="T178" i="50"/>
  <c r="FG205" i="50"/>
  <c r="AI49" i="50"/>
  <c r="DE89" i="50"/>
  <c r="DN232" i="50"/>
  <c r="AT215" i="50"/>
  <c r="CA232" i="50"/>
  <c r="DT161" i="50"/>
  <c r="EP158" i="50"/>
  <c r="AP178" i="50"/>
  <c r="FG147" i="50"/>
  <c r="I34" i="50"/>
  <c r="DE74" i="50"/>
  <c r="EF232" i="50"/>
  <c r="CS215" i="50"/>
  <c r="CN165" i="50"/>
  <c r="DE200" i="50"/>
  <c r="AK22" i="50"/>
  <c r="EK178" i="50"/>
  <c r="FG106" i="50"/>
  <c r="CQ161" i="50"/>
  <c r="EP209" i="50"/>
  <c r="K178" i="50"/>
  <c r="FG210" i="50"/>
  <c r="AI56" i="50"/>
  <c r="DE121" i="50"/>
  <c r="AO232" i="50"/>
  <c r="AI215" i="50"/>
  <c r="CN150" i="50"/>
  <c r="FC161" i="50"/>
  <c r="EP112" i="50"/>
  <c r="BN178" i="50"/>
  <c r="FG196" i="50"/>
  <c r="AF161" i="50"/>
  <c r="EP191" i="50"/>
  <c r="EI232" i="50"/>
  <c r="EJ215" i="50"/>
  <c r="CN119" i="50"/>
  <c r="DE116" i="50"/>
  <c r="L232" i="50"/>
  <c r="AW215" i="50"/>
  <c r="CN225" i="50"/>
  <c r="EF161" i="50"/>
  <c r="EP104" i="50"/>
  <c r="AC178" i="50"/>
  <c r="FG191" i="50"/>
  <c r="AI47" i="50"/>
  <c r="DE75" i="50"/>
  <c r="ET232" i="50"/>
  <c r="EC215" i="50"/>
  <c r="CN208" i="50"/>
  <c r="DE206" i="50"/>
  <c r="AK33" i="50"/>
  <c r="CW178" i="50"/>
  <c r="FG112" i="50"/>
  <c r="AO161" i="50"/>
  <c r="EP139" i="50"/>
  <c r="G178" i="50"/>
  <c r="CL215" i="50"/>
  <c r="CN78" i="50"/>
  <c r="DE159" i="50"/>
  <c r="AZ232" i="50"/>
  <c r="Y215" i="50"/>
  <c r="CN194" i="50"/>
  <c r="CJ161" i="50"/>
  <c r="EP118" i="50"/>
  <c r="BB178" i="50"/>
  <c r="FG202" i="50"/>
  <c r="L161" i="50"/>
  <c r="EP218" i="50"/>
  <c r="DU232" i="50"/>
  <c r="DS215" i="50"/>
  <c r="CN125" i="50"/>
  <c r="DE154" i="50"/>
  <c r="AL46" i="50"/>
  <c r="CM178" i="50"/>
  <c r="FG103" i="50"/>
  <c r="EE161" i="50"/>
  <c r="EP110" i="50"/>
  <c r="V178" i="50"/>
  <c r="FG197" i="50"/>
  <c r="AE24" i="50"/>
  <c r="DE81" i="50"/>
  <c r="ES232" i="50"/>
  <c r="BK215" i="50"/>
  <c r="CN214" i="50"/>
  <c r="DE219" i="50"/>
  <c r="AL55" i="50"/>
  <c r="CE178" i="50"/>
  <c r="FG150" i="50"/>
  <c r="FG82" i="50"/>
  <c r="CN131" i="50"/>
  <c r="DC178" i="50"/>
  <c r="EK215" i="50"/>
  <c r="CN211" i="50"/>
  <c r="AE22" i="50"/>
  <c r="E30" i="41" l="1"/>
  <c r="S224" i="49"/>
  <c r="CP53" i="49"/>
  <c r="D241" i="49"/>
  <c r="V70" i="49"/>
  <c r="X241" i="49"/>
  <c r="DN70" i="49"/>
  <c r="I224" i="49"/>
  <c r="AT53" i="49"/>
  <c r="AC224" i="49"/>
  <c r="EL53" i="49"/>
  <c r="D170" i="49"/>
  <c r="N53" i="49"/>
  <c r="X170" i="49"/>
  <c r="DF53" i="49"/>
  <c r="BH17" i="26"/>
  <c r="BX17" i="26"/>
  <c r="BY17" i="26"/>
  <c r="K23" i="34"/>
  <c r="I187" i="49"/>
  <c r="AL70" i="49"/>
  <c r="AC187" i="49"/>
  <c r="ED70" i="49"/>
  <c r="AH241" i="49"/>
  <c r="FJ70" i="49"/>
  <c r="N170" i="49"/>
  <c r="BJ53" i="49"/>
  <c r="S241" i="49"/>
  <c r="CP70" i="49"/>
  <c r="FL71" i="49"/>
  <c r="AI242" i="49" s="1"/>
  <c r="FG71" i="49"/>
  <c r="AF242" i="49" s="1"/>
  <c r="EN71" i="49"/>
  <c r="AD242" i="49" s="1"/>
  <c r="EI71" i="49"/>
  <c r="AA242" i="49" s="1"/>
  <c r="DP71" i="49"/>
  <c r="Y242" i="49" s="1"/>
  <c r="DK71" i="49"/>
  <c r="V242" i="49" s="1"/>
  <c r="CR71" i="49"/>
  <c r="T242" i="49" s="1"/>
  <c r="CM71" i="49"/>
  <c r="Q242" i="49" s="1"/>
  <c r="BT71" i="49"/>
  <c r="O242" i="49" s="1"/>
  <c r="BO71" i="49"/>
  <c r="L242" i="49" s="1"/>
  <c r="AV71" i="49"/>
  <c r="J242" i="49" s="1"/>
  <c r="AQ71" i="49"/>
  <c r="G242" i="49" s="1"/>
  <c r="X71" i="49"/>
  <c r="E242" i="49" s="1"/>
  <c r="S71" i="49"/>
  <c r="B242" i="49" s="1"/>
  <c r="FI71" i="49"/>
  <c r="EK71" i="49"/>
  <c r="DM71" i="49"/>
  <c r="CO71" i="49"/>
  <c r="BQ71" i="49"/>
  <c r="AS71" i="49"/>
  <c r="U71" i="49"/>
  <c r="FM71" i="49"/>
  <c r="FH71" i="49"/>
  <c r="AG242" i="49" s="1"/>
  <c r="EO71" i="49"/>
  <c r="EJ71" i="49"/>
  <c r="AB242" i="49" s="1"/>
  <c r="DQ71" i="49"/>
  <c r="DL71" i="49"/>
  <c r="W242" i="49" s="1"/>
  <c r="CS71" i="49"/>
  <c r="CN71" i="49"/>
  <c r="R242" i="49" s="1"/>
  <c r="BU71" i="49"/>
  <c r="BP71" i="49"/>
  <c r="M242" i="49" s="1"/>
  <c r="AW71" i="49"/>
  <c r="AR71" i="49"/>
  <c r="H242" i="49" s="1"/>
  <c r="Y71" i="49"/>
  <c r="T71" i="49"/>
  <c r="C242" i="49" s="1"/>
  <c r="H169" i="7"/>
  <c r="I241" i="49"/>
  <c r="AT70" i="49"/>
  <c r="AC241" i="49"/>
  <c r="EL70" i="49"/>
  <c r="N224" i="49"/>
  <c r="BR53" i="49"/>
  <c r="AH224" i="49"/>
  <c r="FJ53" i="49"/>
  <c r="I170" i="49"/>
  <c r="AL53" i="49"/>
  <c r="AC170" i="49"/>
  <c r="ED53" i="49"/>
  <c r="BW18" i="26"/>
  <c r="BK18" i="26"/>
  <c r="BM18" i="26" s="1"/>
  <c r="BV18" i="26"/>
  <c r="BY18" i="26"/>
  <c r="BU18" i="26"/>
  <c r="BX18" i="26"/>
  <c r="BT18" i="26"/>
  <c r="BL18" i="26"/>
  <c r="BS18" i="26" s="1"/>
  <c r="BH18" i="26"/>
  <c r="BN17" i="26"/>
  <c r="BO17" i="26"/>
  <c r="N187" i="49"/>
  <c r="BJ70" i="49"/>
  <c r="AH187" i="49"/>
  <c r="FB70" i="49"/>
  <c r="N241" i="49"/>
  <c r="BR70" i="49"/>
  <c r="V23" i="26"/>
  <c r="T24" i="26"/>
  <c r="U24" i="26" s="1"/>
  <c r="W23" i="26"/>
  <c r="Y23" i="26" s="1"/>
  <c r="S23" i="26"/>
  <c r="AB26" i="25"/>
  <c r="AC26" i="25" s="1"/>
  <c r="Z27" i="25"/>
  <c r="AA26" i="25"/>
  <c r="N24" i="34"/>
  <c r="M24" i="34"/>
  <c r="J25" i="34" s="1"/>
  <c r="L24" i="34"/>
  <c r="K24" i="34" s="1"/>
  <c r="B31" i="41"/>
  <c r="FA71" i="49"/>
  <c r="EC71" i="49"/>
  <c r="DE71" i="49"/>
  <c r="CG71" i="49"/>
  <c r="BI71" i="49"/>
  <c r="AK71" i="49"/>
  <c r="M71" i="49"/>
  <c r="FE71" i="49"/>
  <c r="EZ71" i="49"/>
  <c r="AG188" i="49" s="1"/>
  <c r="EG71" i="49"/>
  <c r="EB71" i="49"/>
  <c r="AB188" i="49" s="1"/>
  <c r="DI71" i="49"/>
  <c r="DD71" i="49"/>
  <c r="W188" i="49" s="1"/>
  <c r="CK71" i="49"/>
  <c r="CF71" i="49"/>
  <c r="R188" i="49" s="1"/>
  <c r="BM71" i="49"/>
  <c r="BH71" i="49"/>
  <c r="M188" i="49" s="1"/>
  <c r="AO71" i="49"/>
  <c r="AJ71" i="49"/>
  <c r="H188" i="49" s="1"/>
  <c r="Q71" i="49"/>
  <c r="L71" i="49"/>
  <c r="C188" i="49" s="1"/>
  <c r="FD71" i="49"/>
  <c r="AI188" i="49" s="1"/>
  <c r="EY71" i="49"/>
  <c r="AF188" i="49" s="1"/>
  <c r="EF71" i="49"/>
  <c r="AD188" i="49" s="1"/>
  <c r="EA71" i="49"/>
  <c r="AA188" i="49" s="1"/>
  <c r="DH71" i="49"/>
  <c r="Y188" i="49" s="1"/>
  <c r="DC71" i="49"/>
  <c r="V188" i="49" s="1"/>
  <c r="CJ71" i="49"/>
  <c r="T188" i="49" s="1"/>
  <c r="CE71" i="49"/>
  <c r="Q188" i="49" s="1"/>
  <c r="BL71" i="49"/>
  <c r="O188" i="49" s="1"/>
  <c r="BG71" i="49"/>
  <c r="L188" i="49" s="1"/>
  <c r="AN71" i="49"/>
  <c r="J188" i="49" s="1"/>
  <c r="AI71" i="49"/>
  <c r="G188" i="49" s="1"/>
  <c r="P71" i="49"/>
  <c r="E188" i="49" s="1"/>
  <c r="K71" i="49"/>
  <c r="B188" i="49" s="1"/>
  <c r="F169" i="7"/>
  <c r="S187" i="49"/>
  <c r="CH70" i="49"/>
  <c r="AH170" i="49"/>
  <c r="FB53" i="49"/>
  <c r="D224" i="49"/>
  <c r="V53" i="49"/>
  <c r="X224" i="49"/>
  <c r="DN53" i="49"/>
  <c r="S170" i="49"/>
  <c r="CH53" i="49"/>
  <c r="N23" i="34"/>
  <c r="H30" i="41"/>
  <c r="D187" i="49"/>
  <c r="N70" i="49"/>
  <c r="X187" i="49"/>
  <c r="DF70" i="49"/>
  <c r="R179" i="50"/>
  <c r="AK179" i="50"/>
  <c r="EX179" i="50"/>
  <c r="DN179" i="50"/>
  <c r="FH152" i="50"/>
  <c r="FH103" i="50"/>
  <c r="FH110" i="50"/>
  <c r="FH91" i="50"/>
  <c r="BX216" i="50"/>
  <c r="BN216" i="50"/>
  <c r="FB216" i="50"/>
  <c r="CC216" i="50"/>
  <c r="FH136" i="50"/>
  <c r="FH87" i="50"/>
  <c r="FH94" i="50"/>
  <c r="FH75" i="50"/>
  <c r="DL216" i="50"/>
  <c r="BG162" i="50"/>
  <c r="E216" i="50"/>
  <c r="U216" i="50"/>
  <c r="BA216" i="50"/>
  <c r="BW216" i="50"/>
  <c r="DE216" i="50"/>
  <c r="DF199" i="50"/>
  <c r="DF202" i="50"/>
  <c r="DF187" i="50"/>
  <c r="M162" i="50"/>
  <c r="AL29" i="50"/>
  <c r="DN162" i="50"/>
  <c r="AL61" i="50"/>
  <c r="Y233" i="50"/>
  <c r="EU233" i="50"/>
  <c r="BX233" i="50"/>
  <c r="BK179" i="50"/>
  <c r="AP179" i="50"/>
  <c r="BE179" i="50"/>
  <c r="CJ179" i="50"/>
  <c r="BP179" i="50"/>
  <c r="FH193" i="50"/>
  <c r="FH139" i="50"/>
  <c r="S64" i="50"/>
  <c r="FH194" i="50"/>
  <c r="AS179" i="50"/>
  <c r="EW179" i="50"/>
  <c r="EM179" i="50"/>
  <c r="BG179" i="50"/>
  <c r="DZ216" i="50"/>
  <c r="FH219" i="50"/>
  <c r="FH154" i="50"/>
  <c r="FH105" i="50"/>
  <c r="FH142" i="50"/>
  <c r="BI216" i="50"/>
  <c r="AB216" i="50"/>
  <c r="DP216" i="50"/>
  <c r="DM216" i="50"/>
  <c r="DF227" i="50"/>
  <c r="DF139" i="50"/>
  <c r="DF88" i="50"/>
  <c r="DF127" i="50"/>
  <c r="AY216" i="50"/>
  <c r="EA216" i="50"/>
  <c r="BO216" i="50"/>
  <c r="AT216" i="50"/>
  <c r="DF137" i="50"/>
  <c r="CI233" i="50"/>
  <c r="H40" i="50"/>
  <c r="DF157" i="50"/>
  <c r="BE233" i="50"/>
  <c r="CJ233" i="50"/>
  <c r="AW179" i="50"/>
  <c r="FD233" i="50"/>
  <c r="D179" i="50"/>
  <c r="FE179" i="50"/>
  <c r="FH198" i="50"/>
  <c r="FH205" i="50"/>
  <c r="FH186" i="50"/>
  <c r="D216" i="50"/>
  <c r="AF216" i="50"/>
  <c r="BY216" i="50"/>
  <c r="AZ216" i="50"/>
  <c r="CN179" i="50"/>
  <c r="FH178" i="50"/>
  <c r="FH189" i="50"/>
  <c r="FH166" i="50"/>
  <c r="G216" i="50"/>
  <c r="DF74" i="50"/>
  <c r="FH85" i="50"/>
  <c r="FH92" i="50"/>
  <c r="V35" i="50"/>
  <c r="FH80" i="50"/>
  <c r="BF216" i="50"/>
  <c r="AK64" i="50"/>
  <c r="DF212" i="50"/>
  <c r="AH64" i="50"/>
  <c r="DF162" i="50"/>
  <c r="DF75" i="50"/>
  <c r="E37" i="50"/>
  <c r="DS162" i="50"/>
  <c r="AC29" i="50"/>
  <c r="X233" i="50"/>
  <c r="EN162" i="50"/>
  <c r="BS233" i="50"/>
  <c r="V179" i="50"/>
  <c r="S179" i="50"/>
  <c r="AD179" i="50"/>
  <c r="EQ179" i="50"/>
  <c r="FH230" i="50"/>
  <c r="FH138" i="50"/>
  <c r="FH89" i="50"/>
  <c r="FB233" i="50"/>
  <c r="BA179" i="50"/>
  <c r="CO179" i="50"/>
  <c r="CA179" i="50"/>
  <c r="AI179" i="50"/>
  <c r="FH107" i="50"/>
  <c r="CD179" i="50"/>
  <c r="EN179" i="50"/>
  <c r="FH200" i="50"/>
  <c r="CM179" i="50"/>
  <c r="FH121" i="50"/>
  <c r="AV216" i="50"/>
  <c r="Q216" i="50"/>
  <c r="AD64" i="50"/>
  <c r="CY216" i="50"/>
  <c r="AL64" i="50"/>
  <c r="DF185" i="50"/>
  <c r="DF230" i="50"/>
  <c r="FH106" i="50"/>
  <c r="N216" i="50"/>
  <c r="Y64" i="50"/>
  <c r="T64" i="50"/>
  <c r="CV216" i="50"/>
  <c r="C233" i="50"/>
  <c r="EX216" i="50"/>
  <c r="ET162" i="50"/>
  <c r="S233" i="50"/>
  <c r="BZ233" i="50"/>
  <c r="CF233" i="50"/>
  <c r="ET233" i="50"/>
  <c r="FH228" i="50"/>
  <c r="EC179" i="50"/>
  <c r="FA179" i="50"/>
  <c r="FH215" i="50"/>
  <c r="EK179" i="50"/>
  <c r="FH161" i="50"/>
  <c r="FH76" i="50"/>
  <c r="X35" i="50"/>
  <c r="FH96" i="50"/>
  <c r="CT179" i="50"/>
  <c r="CZ179" i="50"/>
  <c r="FH226" i="50"/>
  <c r="FC179" i="50"/>
  <c r="FH168" i="50"/>
  <c r="EV216" i="50"/>
  <c r="FH176" i="50"/>
  <c r="FH187" i="50"/>
  <c r="FH133" i="50"/>
  <c r="FH171" i="50"/>
  <c r="CO216" i="50"/>
  <c r="DO216" i="50"/>
  <c r="DU216" i="50"/>
  <c r="EU216" i="50"/>
  <c r="DF161" i="50"/>
  <c r="DF110" i="50"/>
  <c r="DF118" i="50"/>
  <c r="Z162" i="50"/>
  <c r="CB162" i="50"/>
  <c r="EJ162" i="50"/>
  <c r="CT162" i="50"/>
  <c r="AL233" i="50"/>
  <c r="DR233" i="50"/>
  <c r="CK233" i="50"/>
  <c r="CV233" i="50"/>
  <c r="FH127" i="50"/>
  <c r="BQ179" i="50"/>
  <c r="DE179" i="50"/>
  <c r="FH184" i="50"/>
  <c r="AK233" i="50"/>
  <c r="EX233" i="50"/>
  <c r="CM233" i="50"/>
  <c r="EY233" i="50"/>
  <c r="AW216" i="50"/>
  <c r="AT179" i="50"/>
  <c r="AH179" i="50"/>
  <c r="CR179" i="50"/>
  <c r="EJ179" i="50"/>
  <c r="BD179" i="50"/>
  <c r="FH120" i="50"/>
  <c r="FH163" i="50"/>
  <c r="FH78" i="50"/>
  <c r="FH151" i="50"/>
  <c r="T61" i="50"/>
  <c r="R35" i="50"/>
  <c r="DF113" i="50"/>
  <c r="DF156" i="50"/>
  <c r="AW162" i="50"/>
  <c r="DF144" i="50"/>
  <c r="EB162" i="50"/>
  <c r="CE162" i="50"/>
  <c r="FE162" i="50"/>
  <c r="CF162" i="50"/>
  <c r="CS233" i="50"/>
  <c r="BT233" i="50"/>
  <c r="CP179" i="50"/>
  <c r="BU233" i="50"/>
  <c r="DO162" i="50"/>
  <c r="DU162" i="50"/>
  <c r="AE29" i="50"/>
  <c r="CY162" i="50"/>
  <c r="C162" i="50"/>
  <c r="CS216" i="50"/>
  <c r="L233" i="50"/>
  <c r="CP233" i="50"/>
  <c r="BP233" i="50"/>
  <c r="AU233" i="50"/>
  <c r="EH179" i="50"/>
  <c r="AM179" i="50"/>
  <c r="CE179" i="50"/>
  <c r="EO179" i="50"/>
  <c r="CF179" i="50"/>
  <c r="FH101" i="50"/>
  <c r="FH108" i="50"/>
  <c r="D40" i="50"/>
  <c r="ED216" i="50"/>
  <c r="DV216" i="50"/>
  <c r="Z22" i="26"/>
  <c r="DW216" i="50"/>
  <c r="DF92" i="50"/>
  <c r="DF99" i="50"/>
  <c r="V29" i="50"/>
  <c r="DF87" i="50"/>
  <c r="EF162" i="50"/>
  <c r="EL162" i="50"/>
  <c r="N233" i="50"/>
  <c r="H37" i="50"/>
  <c r="DF76" i="50"/>
  <c r="DF83" i="50"/>
  <c r="U61" i="50"/>
  <c r="F162" i="50"/>
  <c r="FH216" i="50"/>
  <c r="AF162" i="50"/>
  <c r="BY162" i="50"/>
  <c r="EX162" i="50"/>
  <c r="CQ162" i="50"/>
  <c r="Z233" i="50"/>
  <c r="CB233" i="50"/>
  <c r="CH233" i="50"/>
  <c r="CT233" i="50"/>
  <c r="FH158" i="50"/>
  <c r="EE179" i="50"/>
  <c r="EL179" i="50"/>
  <c r="FH218" i="50"/>
  <c r="AE233" i="50"/>
  <c r="DQ233" i="50"/>
  <c r="DA233" i="50"/>
  <c r="BF233" i="50"/>
  <c r="FH191" i="50"/>
  <c r="AC61" i="50"/>
  <c r="DF97" i="50"/>
  <c r="DA216" i="50"/>
  <c r="P179" i="50"/>
  <c r="DF172" i="50"/>
  <c r="W233" i="50"/>
  <c r="BL179" i="50"/>
  <c r="DN233" i="50"/>
  <c r="BV216" i="50"/>
  <c r="CF216" i="50"/>
  <c r="FG216" i="50"/>
  <c r="DZ162" i="50"/>
  <c r="F233" i="50"/>
  <c r="Z61" i="50"/>
  <c r="K40" i="50"/>
  <c r="AL162" i="50"/>
  <c r="K37" i="50"/>
  <c r="DT233" i="50"/>
  <c r="BH179" i="50"/>
  <c r="FH148" i="50"/>
  <c r="AC35" i="50"/>
  <c r="DF217" i="50"/>
  <c r="P162" i="50"/>
  <c r="DF125" i="50"/>
  <c r="DF170" i="50"/>
  <c r="FA162" i="50"/>
  <c r="EW233" i="50"/>
  <c r="FF233" i="50"/>
  <c r="D233" i="50"/>
  <c r="AB22" i="26"/>
  <c r="Y179" i="50"/>
  <c r="EL216" i="50"/>
  <c r="DF164" i="50"/>
  <c r="AK162" i="50"/>
  <c r="FD162" i="50"/>
  <c r="T29" i="50"/>
  <c r="CU233" i="50"/>
  <c r="F37" i="50"/>
  <c r="J233" i="50"/>
  <c r="AS233" i="50"/>
  <c r="AU179" i="50"/>
  <c r="FH173" i="50"/>
  <c r="EC216" i="50"/>
  <c r="BT216" i="50"/>
  <c r="DF107" i="50"/>
  <c r="CT216" i="50"/>
  <c r="CJ216" i="50"/>
  <c r="DF211" i="50"/>
  <c r="DF204" i="50"/>
  <c r="BB162" i="50"/>
  <c r="EG162" i="50"/>
  <c r="FH207" i="50"/>
  <c r="AA22" i="26"/>
  <c r="BG216" i="50"/>
  <c r="EM216" i="50"/>
  <c r="FH137" i="50"/>
  <c r="BO179" i="50"/>
  <c r="BS216" i="50"/>
  <c r="DF102" i="50"/>
  <c r="AE162" i="50"/>
  <c r="ER233" i="50"/>
  <c r="CL233" i="50"/>
  <c r="EY179" i="50"/>
  <c r="FH225" i="50"/>
  <c r="Z64" i="50"/>
  <c r="CG179" i="50"/>
  <c r="FH156" i="50"/>
  <c r="FH112" i="50"/>
  <c r="FH143" i="50"/>
  <c r="CK216" i="50"/>
  <c r="DF140" i="50"/>
  <c r="CQ216" i="50"/>
  <c r="CM216" i="50"/>
  <c r="FH231" i="50"/>
  <c r="BL162" i="50"/>
  <c r="BR162" i="50"/>
  <c r="FF162" i="50"/>
  <c r="EZ162" i="50"/>
  <c r="BN233" i="50"/>
  <c r="DW233" i="50"/>
  <c r="BM179" i="50"/>
  <c r="DX233" i="50"/>
  <c r="H179" i="50"/>
  <c r="FD179" i="50"/>
  <c r="FH208" i="50"/>
  <c r="FH116" i="50"/>
  <c r="EF233" i="50"/>
  <c r="BV233" i="50"/>
  <c r="G179" i="50"/>
  <c r="FE233" i="50"/>
  <c r="N179" i="50"/>
  <c r="L37" i="50"/>
  <c r="AQ179" i="50"/>
  <c r="BB179" i="50"/>
  <c r="BR179" i="50"/>
  <c r="EP179" i="50"/>
  <c r="EZ179" i="50"/>
  <c r="FH93" i="50"/>
  <c r="FH100" i="50"/>
  <c r="AH35" i="50"/>
  <c r="FH88" i="50"/>
  <c r="EE216" i="50"/>
  <c r="BU216" i="50"/>
  <c r="DF220" i="50"/>
  <c r="DF84" i="50"/>
  <c r="DF91" i="50"/>
  <c r="W61" i="50"/>
  <c r="DF79" i="50"/>
  <c r="EW162" i="50"/>
  <c r="DX162" i="50"/>
  <c r="O233" i="50"/>
  <c r="DB162" i="50"/>
  <c r="DU233" i="50"/>
  <c r="I179" i="50"/>
  <c r="DY179" i="50"/>
  <c r="AF179" i="50"/>
  <c r="G37" i="50"/>
  <c r="CK162" i="50"/>
  <c r="DK233" i="50"/>
  <c r="DD162" i="50"/>
  <c r="BA233" i="50"/>
  <c r="AB233" i="50"/>
  <c r="DP233" i="50"/>
  <c r="EK233" i="50"/>
  <c r="EE233" i="50"/>
  <c r="FH126" i="50"/>
  <c r="BF179" i="50"/>
  <c r="DB179" i="50"/>
  <c r="FH210" i="50"/>
  <c r="CL179" i="50"/>
  <c r="FH129" i="50"/>
  <c r="C40" i="50"/>
  <c r="S216" i="50"/>
  <c r="K216" i="50"/>
  <c r="CV179" i="50"/>
  <c r="DD179" i="50"/>
  <c r="FH192" i="50"/>
  <c r="FG179" i="50"/>
  <c r="CQ179" i="50"/>
  <c r="FH74" i="50"/>
  <c r="BI162" i="50"/>
  <c r="DF233" i="50"/>
  <c r="W162" i="50"/>
  <c r="AQ162" i="50"/>
  <c r="CC162" i="50"/>
  <c r="AS162" i="50"/>
  <c r="DY233" i="50"/>
  <c r="BY233" i="50"/>
  <c r="EH233" i="50"/>
  <c r="CQ233" i="50"/>
  <c r="CK179" i="50"/>
  <c r="ET179" i="50"/>
  <c r="BS179" i="50"/>
  <c r="FH223" i="50"/>
  <c r="AG233" i="50"/>
  <c r="BM233" i="50"/>
  <c r="EZ233" i="50"/>
  <c r="EC233" i="50"/>
  <c r="FH233" i="50"/>
  <c r="Y162" i="50"/>
  <c r="DB233" i="50"/>
  <c r="AV179" i="50"/>
  <c r="AE179" i="50"/>
  <c r="DQ179" i="50"/>
  <c r="AO179" i="50"/>
  <c r="FH188" i="50"/>
  <c r="FH195" i="50"/>
  <c r="FH141" i="50"/>
  <c r="FH179" i="50"/>
  <c r="EQ216" i="50"/>
  <c r="BL216" i="50"/>
  <c r="BR216" i="50"/>
  <c r="DF177" i="50"/>
  <c r="DF184" i="50"/>
  <c r="DF134" i="50"/>
  <c r="DF168" i="50"/>
  <c r="AF61" i="50"/>
  <c r="CA162" i="50"/>
  <c r="EI162" i="50"/>
  <c r="ED162" i="50"/>
  <c r="EA233" i="50"/>
  <c r="BO233" i="50"/>
  <c r="FC233" i="50"/>
  <c r="CD233" i="50"/>
  <c r="AB162" i="50"/>
  <c r="DP162" i="50"/>
  <c r="BT162" i="50"/>
  <c r="EE162" i="50"/>
  <c r="DF179" i="50"/>
  <c r="EM162" i="50"/>
  <c r="T233" i="50"/>
  <c r="AJ233" i="50"/>
  <c r="BW233" i="50"/>
  <c r="BZ179" i="50"/>
  <c r="DZ179" i="50"/>
  <c r="DO179" i="50"/>
  <c r="EI179" i="50"/>
  <c r="EU179" i="50"/>
  <c r="FH128" i="50"/>
  <c r="FH79" i="50"/>
  <c r="FH86" i="50"/>
  <c r="CH179" i="50"/>
  <c r="DL179" i="50"/>
  <c r="CS179" i="50"/>
  <c r="BT179" i="50"/>
  <c r="EV179" i="50"/>
  <c r="EJ233" i="50"/>
  <c r="CY179" i="50"/>
  <c r="FH201" i="50"/>
  <c r="DF195" i="50"/>
  <c r="DF114" i="50"/>
  <c r="U29" i="50"/>
  <c r="AZ162" i="50"/>
  <c r="DJ162" i="50"/>
  <c r="CI162" i="50"/>
  <c r="E233" i="50"/>
  <c r="AC233" i="50"/>
  <c r="M233" i="50"/>
  <c r="DD233" i="50"/>
  <c r="DJ179" i="50"/>
  <c r="AL179" i="50"/>
  <c r="DR179" i="50"/>
  <c r="AI29" i="50"/>
  <c r="I233" i="50"/>
  <c r="AO233" i="50"/>
  <c r="BI233" i="50"/>
  <c r="DE162" i="50"/>
  <c r="DF86" i="50"/>
  <c r="DO233" i="50"/>
  <c r="EI233" i="50"/>
  <c r="T179" i="50"/>
  <c r="DV233" i="50"/>
  <c r="AZ179" i="50"/>
  <c r="CI179" i="50"/>
  <c r="FH232" i="50"/>
  <c r="FH140" i="50"/>
  <c r="FH220" i="50"/>
  <c r="F216" i="50"/>
  <c r="W216" i="50"/>
  <c r="AQ216" i="50"/>
  <c r="DB216" i="50"/>
  <c r="DF221" i="50"/>
  <c r="DF133" i="50"/>
  <c r="DF209" i="50"/>
  <c r="H162" i="50"/>
  <c r="DY162" i="50"/>
  <c r="AT162" i="50"/>
  <c r="X61" i="50"/>
  <c r="EO162" i="50"/>
  <c r="AF233" i="50"/>
  <c r="ES233" i="50"/>
  <c r="AH233" i="50"/>
  <c r="AV162" i="50"/>
  <c r="Q162" i="50"/>
  <c r="AJ162" i="50"/>
  <c r="EQ162" i="50"/>
  <c r="X64" i="50"/>
  <c r="BN162" i="50"/>
  <c r="FB162" i="50"/>
  <c r="H233" i="50"/>
  <c r="DA162" i="50"/>
  <c r="DS233" i="50"/>
  <c r="DC233" i="50"/>
  <c r="L179" i="50"/>
  <c r="CN233" i="50"/>
  <c r="X179" i="50"/>
  <c r="AA162" i="50"/>
  <c r="FH135" i="50"/>
  <c r="I216" i="50"/>
  <c r="AF35" i="50"/>
  <c r="BM216" i="50"/>
  <c r="AA216" i="50"/>
  <c r="DF224" i="50"/>
  <c r="DF163" i="50"/>
  <c r="DF111" i="50"/>
  <c r="DF151" i="50"/>
  <c r="AX162" i="50"/>
  <c r="BJ162" i="50"/>
  <c r="BD162" i="50"/>
  <c r="AP162" i="50"/>
  <c r="DF208" i="50"/>
  <c r="DF147" i="50"/>
  <c r="DF96" i="50"/>
  <c r="DF135" i="50"/>
  <c r="EN233" i="50"/>
  <c r="EU162" i="50"/>
  <c r="DF146" i="50"/>
  <c r="S61" i="50"/>
  <c r="AA61" i="50"/>
  <c r="G162" i="50"/>
  <c r="EY162" i="50"/>
  <c r="CM162" i="50"/>
  <c r="Q233" i="50"/>
  <c r="CN162" i="50"/>
  <c r="CZ233" i="50"/>
  <c r="BY179" i="50"/>
  <c r="Z179" i="50"/>
  <c r="CB179" i="50"/>
  <c r="FH214" i="50"/>
  <c r="FH122" i="50"/>
  <c r="FH165" i="50"/>
  <c r="FH206" i="50"/>
  <c r="P216" i="50"/>
  <c r="ER216" i="50"/>
  <c r="EG216" i="50"/>
  <c r="AJ216" i="50"/>
  <c r="DF197" i="50"/>
  <c r="DF200" i="50"/>
  <c r="DF150" i="50"/>
  <c r="DF188" i="50"/>
  <c r="AG216" i="50"/>
  <c r="EB216" i="50"/>
  <c r="CE216" i="50"/>
  <c r="ES216" i="50"/>
  <c r="FA216" i="50"/>
  <c r="EK216" i="50"/>
  <c r="DF226" i="50"/>
  <c r="DF165" i="50"/>
  <c r="DF214" i="50"/>
  <c r="DF89" i="50"/>
  <c r="BH162" i="50"/>
  <c r="AI162" i="50"/>
  <c r="W29" i="50"/>
  <c r="FC162" i="50"/>
  <c r="BH233" i="50"/>
  <c r="AT233" i="50"/>
  <c r="R233" i="50"/>
  <c r="DF73" i="50"/>
  <c r="AE61" i="50"/>
  <c r="DM162" i="50"/>
  <c r="AJ29" i="50"/>
  <c r="BC216" i="50"/>
  <c r="AA233" i="50"/>
  <c r="FH170" i="50"/>
  <c r="BZ162" i="50"/>
  <c r="FH77" i="50"/>
  <c r="C179" i="50"/>
  <c r="FH203" i="50"/>
  <c r="AK216" i="50"/>
  <c r="DN216" i="50"/>
  <c r="DF192" i="50"/>
  <c r="DF176" i="50"/>
  <c r="BM162" i="50"/>
  <c r="EC162" i="50"/>
  <c r="DF126" i="50"/>
  <c r="EA179" i="50"/>
  <c r="DF81" i="50"/>
  <c r="AY162" i="50"/>
  <c r="BK233" i="50"/>
  <c r="BW179" i="50"/>
  <c r="DT179" i="50"/>
  <c r="V233" i="50"/>
  <c r="BF162" i="50"/>
  <c r="AB61" i="50"/>
  <c r="EO216" i="50"/>
  <c r="DF122" i="50"/>
  <c r="I162" i="50"/>
  <c r="AI233" i="50"/>
  <c r="DF105" i="50"/>
  <c r="AB29" i="50"/>
  <c r="DR162" i="50"/>
  <c r="BL233" i="50"/>
  <c r="CG233" i="50"/>
  <c r="FH213" i="50"/>
  <c r="AX216" i="50"/>
  <c r="W35" i="50"/>
  <c r="DF141" i="50"/>
  <c r="AO162" i="50"/>
  <c r="DF213" i="50"/>
  <c r="AH61" i="50"/>
  <c r="DF124" i="50"/>
  <c r="CS162" i="50"/>
  <c r="EK162" i="50"/>
  <c r="J179" i="50"/>
  <c r="CZ162" i="50"/>
  <c r="CO162" i="50"/>
  <c r="FH175" i="50"/>
  <c r="AR216" i="50"/>
  <c r="DF121" i="50"/>
  <c r="DF77" i="50"/>
  <c r="AG61" i="50"/>
  <c r="DF198" i="50"/>
  <c r="DF136" i="50"/>
  <c r="AH29" i="50"/>
  <c r="DL162" i="50"/>
  <c r="AQ233" i="50"/>
  <c r="CC179" i="50"/>
  <c r="DC179" i="50"/>
  <c r="V64" i="50"/>
  <c r="FH111" i="50"/>
  <c r="AK35" i="50"/>
  <c r="L162" i="50"/>
  <c r="CI216" i="50"/>
  <c r="DF93" i="50"/>
  <c r="DF166" i="50"/>
  <c r="AD29" i="50"/>
  <c r="AA29" i="50"/>
  <c r="BR233" i="50"/>
  <c r="FB179" i="50"/>
  <c r="FH153" i="50"/>
  <c r="T35" i="50"/>
  <c r="FF216" i="50"/>
  <c r="DY216" i="50"/>
  <c r="L40" i="50"/>
  <c r="CR216" i="50"/>
  <c r="DF153" i="50"/>
  <c r="DF90" i="50"/>
  <c r="DQ162" i="50"/>
  <c r="EG233" i="50"/>
  <c r="AE22" i="26"/>
  <c r="FH98" i="50"/>
  <c r="W64" i="50"/>
  <c r="FH209" i="50"/>
  <c r="FH155" i="50"/>
  <c r="G40" i="50"/>
  <c r="DF190" i="50"/>
  <c r="DF128" i="50"/>
  <c r="EI216" i="50"/>
  <c r="FH177" i="50"/>
  <c r="D162" i="50"/>
  <c r="FH145" i="50"/>
  <c r="R64" i="50"/>
  <c r="DK216" i="50"/>
  <c r="AC64" i="50"/>
  <c r="EH216" i="50"/>
  <c r="DC216" i="50"/>
  <c r="DF207" i="50"/>
  <c r="I40" i="50"/>
  <c r="DF130" i="50"/>
  <c r="Z29" i="50"/>
  <c r="BW162" i="50"/>
  <c r="D37" i="50"/>
  <c r="EZ216" i="50"/>
  <c r="AI64" i="50"/>
  <c r="DF193" i="50"/>
  <c r="EP216" i="50"/>
  <c r="AX233" i="50"/>
  <c r="DF223" i="50"/>
  <c r="DF145" i="50"/>
  <c r="DF94" i="50"/>
  <c r="DF101" i="50"/>
  <c r="DF82" i="50"/>
  <c r="EA162" i="50"/>
  <c r="BO162" i="50"/>
  <c r="CJ162" i="50"/>
  <c r="CD162" i="50"/>
  <c r="EB233" i="50"/>
  <c r="CW233" i="50"/>
  <c r="FG233" i="50"/>
  <c r="CX233" i="50"/>
  <c r="CX179" i="50"/>
  <c r="FH229" i="50"/>
  <c r="FH164" i="50"/>
  <c r="FH217" i="50"/>
  <c r="FH90" i="50"/>
  <c r="O216" i="50"/>
  <c r="Y216" i="50"/>
  <c r="U64" i="50"/>
  <c r="AI35" i="50"/>
  <c r="DF210" i="50"/>
  <c r="DF149" i="50"/>
  <c r="DF225" i="50"/>
  <c r="FH73" i="50"/>
  <c r="X216" i="50"/>
  <c r="AD216" i="50"/>
  <c r="R216" i="50"/>
  <c r="FH124" i="50"/>
  <c r="BB216" i="50"/>
  <c r="BQ216" i="50"/>
  <c r="CL216" i="50"/>
  <c r="DT216" i="50"/>
  <c r="DF178" i="50"/>
  <c r="DF132" i="50"/>
  <c r="V61" i="50"/>
  <c r="DF120" i="50"/>
  <c r="CR162" i="50"/>
  <c r="BS162" i="50"/>
  <c r="FG162" i="50"/>
  <c r="CH162" i="50"/>
  <c r="DF108" i="50"/>
  <c r="DF116" i="50"/>
  <c r="AD61" i="50"/>
  <c r="DF103" i="50"/>
  <c r="FH99" i="50"/>
  <c r="V162" i="50"/>
  <c r="DS216" i="50"/>
  <c r="DF218" i="50"/>
  <c r="BH216" i="50"/>
  <c r="FH144" i="50"/>
  <c r="FH95" i="50"/>
  <c r="FH102" i="50"/>
  <c r="FH83" i="50"/>
  <c r="AP216" i="50"/>
  <c r="BE216" i="50"/>
  <c r="CZ216" i="50"/>
  <c r="BP216" i="50"/>
  <c r="DF129" i="50"/>
  <c r="DF78" i="50"/>
  <c r="DF85" i="50"/>
  <c r="DF160" i="50"/>
  <c r="AS216" i="50"/>
  <c r="EW216" i="50"/>
  <c r="DX216" i="50"/>
  <c r="AG64" i="50"/>
  <c r="ER162" i="50"/>
  <c r="AN216" i="50"/>
  <c r="CN216" i="50"/>
  <c r="DF191" i="50"/>
  <c r="DF194" i="50"/>
  <c r="DF175" i="50"/>
  <c r="N162" i="50"/>
  <c r="Y61" i="50"/>
  <c r="ES162" i="50"/>
  <c r="AH162" i="50"/>
  <c r="G233" i="50"/>
  <c r="AD233" i="50"/>
  <c r="EV233" i="50"/>
  <c r="AR233" i="50"/>
  <c r="AR179" i="50"/>
  <c r="EF179" i="50"/>
  <c r="BV179" i="50"/>
  <c r="CU179" i="50"/>
  <c r="FH185" i="50"/>
  <c r="FH131" i="50"/>
  <c r="S35" i="50"/>
  <c r="FH119" i="50"/>
  <c r="ET216" i="50"/>
  <c r="CX216" i="50"/>
  <c r="AE35" i="50"/>
  <c r="EJ216" i="50"/>
  <c r="FH109" i="50"/>
  <c r="FH115" i="50"/>
  <c r="J216" i="50"/>
  <c r="FH104" i="50"/>
  <c r="AM233" i="50"/>
  <c r="E40" i="50"/>
  <c r="AE216" i="50"/>
  <c r="DQ216" i="50"/>
  <c r="AO216" i="50"/>
  <c r="DF219" i="50"/>
  <c r="DF131" i="50"/>
  <c r="DF80" i="50"/>
  <c r="DF119" i="50"/>
  <c r="U162" i="50"/>
  <c r="BA162" i="50"/>
  <c r="CU162" i="50"/>
  <c r="AM162" i="50"/>
  <c r="DF205" i="50"/>
  <c r="DF115" i="50"/>
  <c r="DF158" i="50"/>
  <c r="DF196" i="50"/>
  <c r="CR233" i="50"/>
  <c r="DF186" i="50"/>
  <c r="CY233" i="50"/>
  <c r="CW162" i="50"/>
  <c r="BC179" i="50"/>
  <c r="FF179" i="50"/>
  <c r="FH190" i="50"/>
  <c r="FH197" i="50"/>
  <c r="FH174" i="50"/>
  <c r="U35" i="50"/>
  <c r="AL35" i="50"/>
  <c r="BZ216" i="50"/>
  <c r="Y35" i="50"/>
  <c r="DF232" i="50"/>
  <c r="DF171" i="50"/>
  <c r="DF174" i="50"/>
  <c r="DF159" i="50"/>
  <c r="DJ216" i="50"/>
  <c r="F40" i="50"/>
  <c r="CA216" i="50"/>
  <c r="AI216" i="50"/>
  <c r="DF138" i="50"/>
  <c r="FH125" i="50"/>
  <c r="CD216" i="50"/>
  <c r="FC216" i="50"/>
  <c r="DF231" i="50"/>
  <c r="FD216" i="50"/>
  <c r="DF154" i="50"/>
  <c r="R61" i="50"/>
  <c r="R162" i="50"/>
  <c r="E162" i="50"/>
  <c r="BQ162" i="50"/>
  <c r="CL162" i="50"/>
  <c r="P233" i="50"/>
  <c r="FA233" i="50"/>
  <c r="BJ179" i="50"/>
  <c r="AG179" i="50"/>
  <c r="AN179" i="50"/>
  <c r="AA179" i="50"/>
  <c r="FH222" i="50"/>
  <c r="FH130" i="50"/>
  <c r="FH81" i="50"/>
  <c r="FH118" i="50"/>
  <c r="AJ35" i="50"/>
  <c r="AL216" i="50"/>
  <c r="DR216" i="50"/>
  <c r="BK216" i="50"/>
  <c r="FH204" i="50"/>
  <c r="FH114" i="50"/>
  <c r="FH157" i="50"/>
  <c r="FH199" i="50"/>
  <c r="BX162" i="50"/>
  <c r="FH113" i="50"/>
  <c r="M216" i="50"/>
  <c r="AB64" i="50"/>
  <c r="L216" i="50"/>
  <c r="CH216" i="50"/>
  <c r="AD22" i="26"/>
  <c r="DF173" i="50"/>
  <c r="DF222" i="50"/>
  <c r="CA233" i="50"/>
  <c r="EP233" i="50"/>
  <c r="BU162" i="50"/>
  <c r="K233" i="50"/>
  <c r="DM233" i="50"/>
  <c r="DJ233" i="50"/>
  <c r="DE233" i="50"/>
  <c r="BI179" i="50"/>
  <c r="ER179" i="50"/>
  <c r="EG179" i="50"/>
  <c r="AJ179" i="50"/>
  <c r="FH160" i="50"/>
  <c r="FH167" i="50"/>
  <c r="FH117" i="50"/>
  <c r="Q179" i="50"/>
  <c r="U179" i="50"/>
  <c r="EB179" i="50"/>
  <c r="CW179" i="50"/>
  <c r="ES179" i="50"/>
  <c r="M179" i="50"/>
  <c r="FH202" i="50"/>
  <c r="BU179" i="50"/>
  <c r="FH224" i="50"/>
  <c r="FH132" i="50"/>
  <c r="FH212" i="50"/>
  <c r="C216" i="50"/>
  <c r="T216" i="50"/>
  <c r="CP216" i="50"/>
  <c r="V216" i="50"/>
  <c r="DD216" i="50"/>
  <c r="DF206" i="50"/>
  <c r="DF117" i="50"/>
  <c r="C37" i="50"/>
  <c r="S162" i="50"/>
  <c r="BK162" i="50"/>
  <c r="AG162" i="50"/>
  <c r="AI61" i="50"/>
  <c r="AZ233" i="50"/>
  <c r="BC233" i="50"/>
  <c r="DL233" i="50"/>
  <c r="AC179" i="50"/>
  <c r="BX179" i="50"/>
  <c r="BN179" i="50"/>
  <c r="DW179" i="50"/>
  <c r="AW233" i="50"/>
  <c r="BJ233" i="50"/>
  <c r="BD233" i="50"/>
  <c r="AP233" i="50"/>
  <c r="O179" i="50"/>
  <c r="CE233" i="50"/>
  <c r="EO233" i="50"/>
  <c r="AX179" i="50"/>
  <c r="K179" i="50"/>
  <c r="DK179" i="50"/>
  <c r="FH227" i="50"/>
  <c r="FH162" i="50"/>
  <c r="FH169" i="50"/>
  <c r="FH150" i="50"/>
  <c r="AB35" i="50"/>
  <c r="Z216" i="50"/>
  <c r="CB216" i="50"/>
  <c r="AC216" i="50"/>
  <c r="FH211" i="50"/>
  <c r="FH146" i="50"/>
  <c r="FH97" i="50"/>
  <c r="FH134" i="50"/>
  <c r="DX179" i="50"/>
  <c r="FE216" i="50"/>
  <c r="ED233" i="50"/>
  <c r="W179" i="50"/>
  <c r="DF216" i="50"/>
  <c r="DF155" i="50"/>
  <c r="DF104" i="50"/>
  <c r="DF143" i="50"/>
  <c r="X162" i="50"/>
  <c r="AD162" i="50"/>
  <c r="EV162" i="50"/>
  <c r="AR162" i="50"/>
  <c r="AY233" i="50"/>
  <c r="AN233" i="50"/>
  <c r="BG233" i="50"/>
  <c r="BB233" i="50"/>
  <c r="T162" i="50"/>
  <c r="CP162" i="50"/>
  <c r="BP162" i="50"/>
  <c r="AU162" i="50"/>
  <c r="DF98" i="50"/>
  <c r="FH84" i="50"/>
  <c r="CX162" i="50"/>
  <c r="I37" i="50"/>
  <c r="EQ233" i="50"/>
  <c r="AK29" i="50"/>
  <c r="EL233" i="50"/>
  <c r="AB179" i="50"/>
  <c r="DP179" i="50"/>
  <c r="DM179" i="50"/>
  <c r="FH196" i="50"/>
  <c r="FH149" i="50"/>
  <c r="AD35" i="50"/>
  <c r="AA35" i="50"/>
  <c r="DF189" i="50"/>
  <c r="DF142" i="50"/>
  <c r="AF29" i="50"/>
  <c r="DT162" i="50"/>
  <c r="DF169" i="50"/>
  <c r="DF106" i="50"/>
  <c r="X29" i="50"/>
  <c r="AC162" i="50"/>
  <c r="BV162" i="50"/>
  <c r="U233" i="50"/>
  <c r="F179" i="50"/>
  <c r="DC162" i="50"/>
  <c r="DZ233" i="50"/>
  <c r="AU216" i="50"/>
  <c r="CG162" i="50"/>
  <c r="DF201" i="50"/>
  <c r="J162" i="50"/>
  <c r="DV162" i="50"/>
  <c r="AV233" i="50"/>
  <c r="Y29" i="50"/>
  <c r="DU179" i="50"/>
  <c r="CV162" i="50"/>
  <c r="E179" i="50"/>
  <c r="DV179" i="50"/>
  <c r="FH82" i="50"/>
  <c r="BJ216" i="50"/>
  <c r="DF229" i="50"/>
  <c r="R29" i="50"/>
  <c r="DK162" i="50"/>
  <c r="EN216" i="50"/>
  <c r="DF203" i="50"/>
  <c r="K162" i="50"/>
  <c r="DF112" i="50"/>
  <c r="EP162" i="50"/>
  <c r="EM233" i="50"/>
  <c r="BE162" i="50"/>
  <c r="AK61" i="50"/>
  <c r="FH147" i="50"/>
  <c r="EF216" i="50"/>
  <c r="CU216" i="50"/>
  <c r="DF152" i="50"/>
  <c r="EH162" i="50"/>
  <c r="DF148" i="50"/>
  <c r="AA64" i="50"/>
  <c r="BC162" i="50"/>
  <c r="CC233" i="50"/>
  <c r="DS179" i="50"/>
  <c r="FH123" i="50"/>
  <c r="CG216" i="50"/>
  <c r="DF100" i="50"/>
  <c r="DF95" i="50"/>
  <c r="DF228" i="50"/>
  <c r="DF123" i="50"/>
  <c r="AN162" i="50"/>
  <c r="CO233" i="50"/>
  <c r="ED179" i="50"/>
  <c r="DA179" i="50"/>
  <c r="AE64" i="50"/>
  <c r="DF215" i="50"/>
  <c r="H216" i="50"/>
  <c r="Z35" i="50"/>
  <c r="AH216" i="50"/>
  <c r="BD216" i="50"/>
  <c r="DF109" i="50"/>
  <c r="DW162" i="50"/>
  <c r="BQ233" i="50"/>
  <c r="FH159" i="50"/>
  <c r="FH172" i="50"/>
  <c r="AF64" i="50"/>
  <c r="FH221" i="50"/>
  <c r="DF167" i="50"/>
  <c r="AC22" i="26"/>
  <c r="AM216" i="50"/>
  <c r="CW216" i="50"/>
  <c r="S29" i="50"/>
  <c r="EY216" i="50"/>
  <c r="O162" i="50"/>
  <c r="AY179" i="50"/>
  <c r="FA72" i="49" l="1"/>
  <c r="EC72" i="49"/>
  <c r="DE72" i="49"/>
  <c r="CG72" i="49"/>
  <c r="BI72" i="49"/>
  <c r="AK72" i="49"/>
  <c r="M72" i="49"/>
  <c r="FE72" i="49"/>
  <c r="EZ72" i="49"/>
  <c r="AG189" i="49" s="1"/>
  <c r="EG72" i="49"/>
  <c r="EB72" i="49"/>
  <c r="AB189" i="49" s="1"/>
  <c r="DI72" i="49"/>
  <c r="DD72" i="49"/>
  <c r="W189" i="49" s="1"/>
  <c r="CK72" i="49"/>
  <c r="CF72" i="49"/>
  <c r="R189" i="49" s="1"/>
  <c r="BM72" i="49"/>
  <c r="BH72" i="49"/>
  <c r="M189" i="49" s="1"/>
  <c r="AO72" i="49"/>
  <c r="AJ72" i="49"/>
  <c r="H189" i="49" s="1"/>
  <c r="Q72" i="49"/>
  <c r="L72" i="49"/>
  <c r="C189" i="49" s="1"/>
  <c r="FD72" i="49"/>
  <c r="AI189" i="49" s="1"/>
  <c r="EY72" i="49"/>
  <c r="AF189" i="49" s="1"/>
  <c r="EF72" i="49"/>
  <c r="AD189" i="49" s="1"/>
  <c r="EA72" i="49"/>
  <c r="AA189" i="49" s="1"/>
  <c r="DH72" i="49"/>
  <c r="Y189" i="49" s="1"/>
  <c r="DC72" i="49"/>
  <c r="V189" i="49" s="1"/>
  <c r="CJ72" i="49"/>
  <c r="T189" i="49" s="1"/>
  <c r="CE72" i="49"/>
  <c r="Q189" i="49" s="1"/>
  <c r="BL72" i="49"/>
  <c r="O189" i="49" s="1"/>
  <c r="BG72" i="49"/>
  <c r="L189" i="49" s="1"/>
  <c r="AN72" i="49"/>
  <c r="J189" i="49" s="1"/>
  <c r="AI72" i="49"/>
  <c r="G189" i="49" s="1"/>
  <c r="P72" i="49"/>
  <c r="E189" i="49" s="1"/>
  <c r="K72" i="49"/>
  <c r="B189" i="49" s="1"/>
  <c r="F170" i="7"/>
  <c r="J30" i="41"/>
  <c r="L30" i="41" s="1"/>
  <c r="I30" i="41"/>
  <c r="K30" i="41" s="1"/>
  <c r="I188" i="49"/>
  <c r="AL71" i="49"/>
  <c r="AC188" i="49"/>
  <c r="ED71" i="49"/>
  <c r="M25" i="34"/>
  <c r="J26" i="34" s="1"/>
  <c r="L25" i="34"/>
  <c r="K25" i="34" s="1"/>
  <c r="BP18" i="26"/>
  <c r="BQ18" i="26"/>
  <c r="BR18" i="26"/>
  <c r="S242" i="49"/>
  <c r="CP71" i="49"/>
  <c r="AH188" i="49"/>
  <c r="FB71" i="49"/>
  <c r="D242" i="49"/>
  <c r="V71" i="49"/>
  <c r="X242" i="49"/>
  <c r="DN71" i="49"/>
  <c r="N188" i="49"/>
  <c r="BJ71" i="49"/>
  <c r="S188" i="49"/>
  <c r="CH71" i="49"/>
  <c r="F31" i="41"/>
  <c r="D31" i="41"/>
  <c r="C31" i="41"/>
  <c r="FL72" i="49"/>
  <c r="AI243" i="49" s="1"/>
  <c r="FG72" i="49"/>
  <c r="AF243" i="49" s="1"/>
  <c r="EN72" i="49"/>
  <c r="AD243" i="49" s="1"/>
  <c r="EI72" i="49"/>
  <c r="AA243" i="49" s="1"/>
  <c r="DP72" i="49"/>
  <c r="Y243" i="49" s="1"/>
  <c r="DK72" i="49"/>
  <c r="V243" i="49" s="1"/>
  <c r="CR72" i="49"/>
  <c r="T243" i="49" s="1"/>
  <c r="CM72" i="49"/>
  <c r="Q243" i="49" s="1"/>
  <c r="BT72" i="49"/>
  <c r="O243" i="49" s="1"/>
  <c r="BO72" i="49"/>
  <c r="L243" i="49" s="1"/>
  <c r="AV72" i="49"/>
  <c r="J243" i="49" s="1"/>
  <c r="AQ72" i="49"/>
  <c r="G243" i="49" s="1"/>
  <c r="X72" i="49"/>
  <c r="E243" i="49" s="1"/>
  <c r="S72" i="49"/>
  <c r="B243" i="49" s="1"/>
  <c r="FI72" i="49"/>
  <c r="EK72" i="49"/>
  <c r="DM72" i="49"/>
  <c r="CO72" i="49"/>
  <c r="BQ72" i="49"/>
  <c r="AS72" i="49"/>
  <c r="U72" i="49"/>
  <c r="FM72" i="49"/>
  <c r="FH72" i="49"/>
  <c r="AG243" i="49" s="1"/>
  <c r="EO72" i="49"/>
  <c r="EJ72" i="49"/>
  <c r="AB243" i="49" s="1"/>
  <c r="DQ72" i="49"/>
  <c r="DL72" i="49"/>
  <c r="W243" i="49" s="1"/>
  <c r="CS72" i="49"/>
  <c r="CN72" i="49"/>
  <c r="R243" i="49" s="1"/>
  <c r="BU72" i="49"/>
  <c r="BP72" i="49"/>
  <c r="M243" i="49" s="1"/>
  <c r="AW72" i="49"/>
  <c r="AR72" i="49"/>
  <c r="H243" i="49" s="1"/>
  <c r="Y72" i="49"/>
  <c r="T72" i="49"/>
  <c r="C243" i="49" s="1"/>
  <c r="H170" i="7"/>
  <c r="I242" i="49"/>
  <c r="AT71" i="49"/>
  <c r="AC242" i="49"/>
  <c r="EL71" i="49"/>
  <c r="D188" i="49"/>
  <c r="N71" i="49"/>
  <c r="X188" i="49"/>
  <c r="DF71" i="49"/>
  <c r="Z28" i="25"/>
  <c r="AA27" i="25"/>
  <c r="AB27" i="25"/>
  <c r="AC27" i="25" s="1"/>
  <c r="T25" i="26"/>
  <c r="U25" i="26" s="1"/>
  <c r="S24" i="26"/>
  <c r="W24" i="26"/>
  <c r="Y24" i="26" s="1"/>
  <c r="V24" i="26"/>
  <c r="BI19" i="26"/>
  <c r="BJ19" i="26" s="1"/>
  <c r="BN18" i="26"/>
  <c r="BO18" i="26"/>
  <c r="N242" i="49"/>
  <c r="BR71" i="49"/>
  <c r="AH242" i="49"/>
  <c r="FJ71" i="49"/>
  <c r="AD23" i="26"/>
  <c r="DR234" i="50"/>
  <c r="DG189" i="50"/>
  <c r="FI108" i="50"/>
  <c r="EU180" i="50"/>
  <c r="FI228" i="50"/>
  <c r="EJ234" i="50"/>
  <c r="DG137" i="50"/>
  <c r="FI92" i="50"/>
  <c r="EV180" i="50"/>
  <c r="FI212" i="50"/>
  <c r="AX234" i="50"/>
  <c r="EZ180" i="50"/>
  <c r="FI154" i="50"/>
  <c r="F180" i="50"/>
  <c r="DG158" i="50"/>
  <c r="Z234" i="50"/>
  <c r="CK180" i="50"/>
  <c r="FI201" i="50"/>
  <c r="K180" i="50"/>
  <c r="DG142" i="50"/>
  <c r="CN234" i="50"/>
  <c r="AZ180" i="50"/>
  <c r="DG86" i="50"/>
  <c r="DO234" i="50"/>
  <c r="DG225" i="50"/>
  <c r="FI125" i="50"/>
  <c r="BA180" i="50"/>
  <c r="DG75" i="50"/>
  <c r="CS234" i="50"/>
  <c r="FI100" i="50"/>
  <c r="BD180" i="50"/>
  <c r="FI220" i="50"/>
  <c r="BT234" i="50"/>
  <c r="DG129" i="50"/>
  <c r="J234" i="50"/>
  <c r="EH180" i="50"/>
  <c r="FI170" i="50"/>
  <c r="CJ234" i="50"/>
  <c r="DG113" i="50"/>
  <c r="AS180" i="50"/>
  <c r="FI107" i="50"/>
  <c r="DW180" i="50"/>
  <c r="FI120" i="50"/>
  <c r="L180" i="50"/>
  <c r="DG124" i="50"/>
  <c r="AP234" i="50"/>
  <c r="EP180" i="50"/>
  <c r="FI163" i="50"/>
  <c r="AY180" i="50"/>
  <c r="DG108" i="50"/>
  <c r="AS234" i="50"/>
  <c r="AE180" i="50"/>
  <c r="DG89" i="50"/>
  <c r="ED234" i="50"/>
  <c r="DG201" i="50"/>
  <c r="FI91" i="50"/>
  <c r="BL180" i="50"/>
  <c r="FI211" i="50"/>
  <c r="BQ234" i="50"/>
  <c r="DG185" i="50"/>
  <c r="FI75" i="50"/>
  <c r="FG234" i="50"/>
  <c r="DG125" i="50"/>
  <c r="D234" i="50"/>
  <c r="CE180" i="50"/>
  <c r="FI166" i="50"/>
  <c r="FE234" i="50"/>
  <c r="DG170" i="50"/>
  <c r="Q234" i="50"/>
  <c r="DU180" i="50"/>
  <c r="AX180" i="50"/>
  <c r="DG116" i="50"/>
  <c r="AR234" i="50"/>
  <c r="Z23" i="26"/>
  <c r="FI155" i="50"/>
  <c r="Z180" i="50"/>
  <c r="DG105" i="50"/>
  <c r="ET234" i="50"/>
  <c r="DG220" i="50"/>
  <c r="FI139" i="50"/>
  <c r="CY180" i="50"/>
  <c r="FC234" i="50"/>
  <c r="BY180" i="50"/>
  <c r="FI221" i="50"/>
  <c r="CE234" i="50"/>
  <c r="DG159" i="50"/>
  <c r="FI98" i="50"/>
  <c r="DQ180" i="50"/>
  <c r="FI202" i="50"/>
  <c r="DU234" i="50"/>
  <c r="DG143" i="50"/>
  <c r="FI82" i="50"/>
  <c r="EN234" i="50"/>
  <c r="DG180" i="50"/>
  <c r="R234" i="50"/>
  <c r="BT180" i="50"/>
  <c r="FI128" i="50"/>
  <c r="J180" i="50"/>
  <c r="DG132" i="50"/>
  <c r="BX234" i="50"/>
  <c r="CJ180" i="50"/>
  <c r="FI112" i="50"/>
  <c r="EV234" i="50"/>
  <c r="DG228" i="50"/>
  <c r="FI147" i="50"/>
  <c r="AB180" i="50"/>
  <c r="DG97" i="50"/>
  <c r="EC234" i="50"/>
  <c r="DG207" i="50"/>
  <c r="FI99" i="50"/>
  <c r="EA180" i="50"/>
  <c r="BR234" i="50"/>
  <c r="DG151" i="50"/>
  <c r="FI90" i="50"/>
  <c r="BO180" i="50"/>
  <c r="FI194" i="50"/>
  <c r="EL234" i="50"/>
  <c r="DG198" i="50"/>
  <c r="DG111" i="50"/>
  <c r="DG154" i="50"/>
  <c r="AA234" i="50"/>
  <c r="DB180" i="50"/>
  <c r="FI197" i="50"/>
  <c r="BI180" i="50"/>
  <c r="DG106" i="50"/>
  <c r="BK234" i="50"/>
  <c r="DD180" i="50"/>
  <c r="FI177" i="50"/>
  <c r="U180" i="50"/>
  <c r="DG229" i="50"/>
  <c r="FI121" i="50"/>
  <c r="AR180" i="50"/>
  <c r="AE23" i="26"/>
  <c r="BP234" i="50"/>
  <c r="DG179" i="50"/>
  <c r="FI110" i="50"/>
  <c r="ET180" i="50"/>
  <c r="FI225" i="50"/>
  <c r="BG234" i="50"/>
  <c r="DP234" i="50"/>
  <c r="FI198" i="50"/>
  <c r="DA234" i="50"/>
  <c r="DG202" i="50"/>
  <c r="BH234" i="50"/>
  <c r="EY180" i="50"/>
  <c r="FI148" i="50"/>
  <c r="AC23" i="26"/>
  <c r="DG186" i="50"/>
  <c r="EN180" i="50"/>
  <c r="FI189" i="50"/>
  <c r="R180" i="50"/>
  <c r="DG98" i="50"/>
  <c r="AJ234" i="50"/>
  <c r="DG218" i="50"/>
  <c r="FI137" i="50"/>
  <c r="BX180" i="50"/>
  <c r="DG82" i="50"/>
  <c r="ES234" i="50"/>
  <c r="T234" i="50"/>
  <c r="FI176" i="50"/>
  <c r="AK180" i="50"/>
  <c r="FI227" i="50"/>
  <c r="CD234" i="50"/>
  <c r="DG165" i="50"/>
  <c r="FI96" i="50"/>
  <c r="BN180" i="50"/>
  <c r="FI208" i="50"/>
  <c r="DV234" i="50"/>
  <c r="DG149" i="50"/>
  <c r="FI80" i="50"/>
  <c r="AT180" i="50"/>
  <c r="DG188" i="50"/>
  <c r="DK234" i="50"/>
  <c r="FA180" i="50"/>
  <c r="FI134" i="50"/>
  <c r="C180" i="50"/>
  <c r="DG138" i="50"/>
  <c r="AC234" i="50"/>
  <c r="CZ180" i="50"/>
  <c r="FI118" i="50"/>
  <c r="M180" i="50"/>
  <c r="DG234" i="50"/>
  <c r="FI153" i="50"/>
  <c r="AH180" i="50"/>
  <c r="DG103" i="50"/>
  <c r="EU234" i="50"/>
  <c r="DG213" i="50"/>
  <c r="FI105" i="50"/>
  <c r="AU180" i="50"/>
  <c r="CP180" i="50"/>
  <c r="DG157" i="50"/>
  <c r="FI88" i="50"/>
  <c r="BE180" i="50"/>
  <c r="FI200" i="50"/>
  <c r="CI234" i="50"/>
  <c r="DG204" i="50"/>
  <c r="O234" i="50"/>
  <c r="EW180" i="50"/>
  <c r="FI184" i="50"/>
  <c r="DX234" i="50"/>
  <c r="BQ180" i="50"/>
  <c r="DG160" i="50"/>
  <c r="AZ234" i="50"/>
  <c r="BU180" i="50"/>
  <c r="FI203" i="50"/>
  <c r="X180" i="50"/>
  <c r="DG112" i="50"/>
  <c r="BA234" i="50"/>
  <c r="FH180" i="50"/>
  <c r="FI187" i="50"/>
  <c r="P180" i="50"/>
  <c r="DG178" i="50"/>
  <c r="FI127" i="50"/>
  <c r="AO180" i="50"/>
  <c r="DG77" i="50"/>
  <c r="BO234" i="50"/>
  <c r="DG197" i="50"/>
  <c r="FI79" i="50"/>
  <c r="BC180" i="50"/>
  <c r="FI207" i="50"/>
  <c r="EG234" i="50"/>
  <c r="DG177" i="50"/>
  <c r="FI146" i="50"/>
  <c r="DW234" i="50"/>
  <c r="DG121" i="50"/>
  <c r="L234" i="50"/>
  <c r="CF180" i="50"/>
  <c r="FI162" i="50"/>
  <c r="EP234" i="50"/>
  <c r="DG166" i="50"/>
  <c r="AY234" i="50"/>
  <c r="FI195" i="50"/>
  <c r="DK180" i="50"/>
  <c r="DG104" i="50"/>
  <c r="AN234" i="50"/>
  <c r="DG232" i="50"/>
  <c r="FI143" i="50"/>
  <c r="AC180" i="50"/>
  <c r="DG88" i="50"/>
  <c r="BZ234" i="50"/>
  <c r="DG216" i="50"/>
  <c r="FI109" i="50"/>
  <c r="DG199" i="50"/>
  <c r="FI89" i="50"/>
  <c r="BB180" i="50"/>
  <c r="FI209" i="50"/>
  <c r="CF234" i="50"/>
  <c r="DG147" i="50"/>
  <c r="FI78" i="50"/>
  <c r="EE180" i="50"/>
  <c r="FI222" i="50"/>
  <c r="CY234" i="50"/>
  <c r="EO234" i="50"/>
  <c r="FI164" i="50"/>
  <c r="CM234" i="50"/>
  <c r="DG168" i="50"/>
  <c r="AF234" i="50"/>
  <c r="CI180" i="50"/>
  <c r="FI116" i="50"/>
  <c r="O180" i="50"/>
  <c r="DG152" i="50"/>
  <c r="Y234" i="50"/>
  <c r="DX180" i="50"/>
  <c r="DG96" i="50"/>
  <c r="BY234" i="50"/>
  <c r="DG224" i="50"/>
  <c r="FI135" i="50"/>
  <c r="DM180" i="50"/>
  <c r="DG85" i="50"/>
  <c r="DQ234" i="50"/>
  <c r="DG205" i="50"/>
  <c r="FI156" i="50"/>
  <c r="FI230" i="50"/>
  <c r="EZ234" i="50"/>
  <c r="DG139" i="50"/>
  <c r="F234" i="50"/>
  <c r="BF180" i="50"/>
  <c r="FI180" i="50"/>
  <c r="CK234" i="50"/>
  <c r="M234" i="50"/>
  <c r="E180" i="50"/>
  <c r="DG150" i="50"/>
  <c r="AB234" i="50"/>
  <c r="CL180" i="50"/>
  <c r="FI193" i="50"/>
  <c r="V180" i="50"/>
  <c r="DG102" i="50"/>
  <c r="EA234" i="50"/>
  <c r="FG180" i="50"/>
  <c r="FI173" i="50"/>
  <c r="CR234" i="50"/>
  <c r="DG217" i="50"/>
  <c r="FI117" i="50"/>
  <c r="AN180" i="50"/>
  <c r="FI229" i="50"/>
  <c r="DS234" i="50"/>
  <c r="DG167" i="50"/>
  <c r="FI106" i="50"/>
  <c r="BZ180" i="50"/>
  <c r="FI213" i="50"/>
  <c r="DG211" i="50"/>
  <c r="DR180" i="50"/>
  <c r="FI186" i="50"/>
  <c r="DB234" i="50"/>
  <c r="DG190" i="50"/>
  <c r="BI234" i="50"/>
  <c r="EJ180" i="50"/>
  <c r="FI136" i="50"/>
  <c r="DD234" i="50"/>
  <c r="AE234" i="50"/>
  <c r="CM180" i="50"/>
  <c r="FI185" i="50"/>
  <c r="AF180" i="50"/>
  <c r="DG94" i="50"/>
  <c r="BL234" i="50"/>
  <c r="DG233" i="50"/>
  <c r="FI133" i="50"/>
  <c r="Y180" i="50"/>
  <c r="DG78" i="50"/>
  <c r="DG174" i="50"/>
  <c r="EI180" i="50"/>
  <c r="FI95" i="50"/>
  <c r="DN180" i="50"/>
  <c r="FI223" i="50"/>
  <c r="CW234" i="50"/>
  <c r="DG161" i="50"/>
  <c r="FI84" i="50"/>
  <c r="CC180" i="50"/>
  <c r="FI204" i="50"/>
  <c r="EI234" i="50"/>
  <c r="DG145" i="50"/>
  <c r="U234" i="50"/>
  <c r="DC234" i="50"/>
  <c r="DG184" i="50"/>
  <c r="S234" i="50"/>
  <c r="EK180" i="50"/>
  <c r="FI130" i="50"/>
  <c r="I180" i="50"/>
  <c r="DG134" i="50"/>
  <c r="CO234" i="50"/>
  <c r="FC180" i="50"/>
  <c r="FI114" i="50"/>
  <c r="AK234" i="50"/>
  <c r="DG222" i="50"/>
  <c r="FI149" i="50"/>
  <c r="AD180" i="50"/>
  <c r="DG99" i="50"/>
  <c r="BN234" i="50"/>
  <c r="DG203" i="50"/>
  <c r="FI101" i="50"/>
  <c r="CT234" i="50"/>
  <c r="DT234" i="50"/>
  <c r="DG153" i="50"/>
  <c r="FI76" i="50"/>
  <c r="BP180" i="50"/>
  <c r="FI196" i="50"/>
  <c r="BV234" i="50"/>
  <c r="DG200" i="50"/>
  <c r="G234" i="50"/>
  <c r="BG180" i="50"/>
  <c r="FI178" i="50"/>
  <c r="K234" i="50"/>
  <c r="AW180" i="50"/>
  <c r="DG148" i="50"/>
  <c r="AH234" i="50"/>
  <c r="EM180" i="50"/>
  <c r="FI191" i="50"/>
  <c r="DY180" i="50"/>
  <c r="DG100" i="50"/>
  <c r="AU234" i="50"/>
  <c r="EO180" i="50"/>
  <c r="FI171" i="50"/>
  <c r="P234" i="50"/>
  <c r="DG223" i="50"/>
  <c r="FI115" i="50"/>
  <c r="ER180" i="50"/>
  <c r="AB23" i="26"/>
  <c r="BF234" i="50"/>
  <c r="DG173" i="50"/>
  <c r="FI104" i="50"/>
  <c r="EB180" i="50"/>
  <c r="FI219" i="50"/>
  <c r="CV234" i="50"/>
  <c r="EF180" i="50"/>
  <c r="FI192" i="50"/>
  <c r="BU234" i="50"/>
  <c r="DG196" i="50"/>
  <c r="X234" i="50"/>
  <c r="BS180" i="50"/>
  <c r="FI142" i="50"/>
  <c r="FH234" i="50"/>
  <c r="FI113" i="50"/>
  <c r="DC180" i="50"/>
  <c r="FI179" i="50"/>
  <c r="S180" i="50"/>
  <c r="DG92" i="50"/>
  <c r="AM234" i="50"/>
  <c r="DG212" i="50"/>
  <c r="FI131" i="50"/>
  <c r="CO180" i="50"/>
  <c r="DG76" i="50"/>
  <c r="CQ234" i="50"/>
  <c r="CZ234" i="50"/>
  <c r="EF234" i="50"/>
  <c r="DG187" i="50"/>
  <c r="FI85" i="50"/>
  <c r="CA180" i="50"/>
  <c r="FI226" i="50"/>
  <c r="BS234" i="50"/>
  <c r="DG135" i="50"/>
  <c r="FI74" i="50"/>
  <c r="DP180" i="50"/>
  <c r="FI210" i="50"/>
  <c r="FI144" i="50"/>
  <c r="DT180" i="50"/>
  <c r="FI152" i="50"/>
  <c r="DF234" i="50"/>
  <c r="DG156" i="50"/>
  <c r="DZ234" i="50"/>
  <c r="BV180" i="50"/>
  <c r="FI199" i="50"/>
  <c r="G180" i="50"/>
  <c r="DG140" i="50"/>
  <c r="DL234" i="50"/>
  <c r="AG180" i="50"/>
  <c r="DG84" i="50"/>
  <c r="BB234" i="50"/>
  <c r="DG231" i="50"/>
  <c r="FI123" i="50"/>
  <c r="AL180" i="50"/>
  <c r="DG73" i="50"/>
  <c r="EE234" i="50"/>
  <c r="DG209" i="50"/>
  <c r="CB180" i="50"/>
  <c r="FI218" i="50"/>
  <c r="FA234" i="50"/>
  <c r="DG127" i="50"/>
  <c r="C234" i="50"/>
  <c r="EX180" i="50"/>
  <c r="FI168" i="50"/>
  <c r="FB180" i="50"/>
  <c r="FI126" i="50"/>
  <c r="AV180" i="50"/>
  <c r="DG130" i="50"/>
  <c r="DM234" i="50"/>
  <c r="DE180" i="50"/>
  <c r="FI169" i="50"/>
  <c r="BW180" i="50"/>
  <c r="DG114" i="50"/>
  <c r="AT234" i="50"/>
  <c r="FI150" i="50"/>
  <c r="DG95" i="50"/>
  <c r="BD234" i="50"/>
  <c r="DG206" i="50"/>
  <c r="FI97" i="50"/>
  <c r="AM180" i="50"/>
  <c r="FI217" i="50"/>
  <c r="EH234" i="50"/>
  <c r="DG191" i="50"/>
  <c r="FI81" i="50"/>
  <c r="CQ180" i="50"/>
  <c r="DG131" i="50"/>
  <c r="E234" i="50"/>
  <c r="CD180" i="50"/>
  <c r="FI172" i="50"/>
  <c r="CL234" i="50"/>
  <c r="DG176" i="50"/>
  <c r="V234" i="50"/>
  <c r="DV180" i="50"/>
  <c r="DG215" i="50"/>
  <c r="DG122" i="50"/>
  <c r="AO234" i="50"/>
  <c r="DF180" i="50"/>
  <c r="FI161" i="50"/>
  <c r="DZ180" i="50"/>
  <c r="DG74" i="50"/>
  <c r="BC234" i="50"/>
  <c r="DG226" i="50"/>
  <c r="FI145" i="50"/>
  <c r="DL180" i="50"/>
  <c r="DJ234" i="50"/>
  <c r="DG193" i="50"/>
  <c r="FI83" i="50"/>
  <c r="DO180" i="50"/>
  <c r="FI232" i="50"/>
  <c r="EY234" i="50"/>
  <c r="DG141" i="50"/>
  <c r="FI73" i="50"/>
  <c r="CS180" i="50"/>
  <c r="FI216" i="50"/>
  <c r="CG234" i="50"/>
  <c r="BR180" i="50"/>
  <c r="FI158" i="50"/>
  <c r="FF234" i="50"/>
  <c r="DG162" i="50"/>
  <c r="EQ234" i="50"/>
  <c r="EL180" i="50"/>
  <c r="FI205" i="50"/>
  <c r="DJ180" i="50"/>
  <c r="DG146" i="50"/>
  <c r="AI234" i="50"/>
  <c r="DG172" i="50"/>
  <c r="DG90" i="50"/>
  <c r="DN234" i="50"/>
  <c r="DG210" i="50"/>
  <c r="FI129" i="50"/>
  <c r="AP180" i="50"/>
  <c r="DG79" i="50"/>
  <c r="CC234" i="50"/>
  <c r="DG221" i="50"/>
  <c r="CR180" i="50"/>
  <c r="FI224" i="50"/>
  <c r="CX234" i="50"/>
  <c r="DG133" i="50"/>
  <c r="H234" i="50"/>
  <c r="DS180" i="50"/>
  <c r="FI174" i="50"/>
  <c r="FD234" i="50"/>
  <c r="DG117" i="50"/>
  <c r="N234" i="50"/>
  <c r="DG81" i="50"/>
  <c r="CV180" i="50"/>
  <c r="FI132" i="50"/>
  <c r="D180" i="50"/>
  <c r="DG136" i="50"/>
  <c r="AD234" i="50"/>
  <c r="FE180" i="50"/>
  <c r="FI175" i="50"/>
  <c r="Q180" i="50"/>
  <c r="DG120" i="50"/>
  <c r="CP234" i="50"/>
  <c r="CN180" i="50"/>
  <c r="DG101" i="50"/>
  <c r="CB234" i="50"/>
  <c r="DG219" i="50"/>
  <c r="FI103" i="50"/>
  <c r="AJ180" i="50"/>
  <c r="FI231" i="50"/>
  <c r="EX234" i="50"/>
  <c r="DG169" i="50"/>
  <c r="FI87" i="50"/>
  <c r="ES180" i="50"/>
  <c r="FI215" i="50"/>
  <c r="AW234" i="50"/>
  <c r="CU180" i="50"/>
  <c r="FI188" i="50"/>
  <c r="EM234" i="50"/>
  <c r="DG192" i="50"/>
  <c r="DY234" i="50"/>
  <c r="CH180" i="50"/>
  <c r="FI138" i="50"/>
  <c r="DG128" i="50"/>
  <c r="AQ234" i="50"/>
  <c r="FF180" i="50"/>
  <c r="FI167" i="50"/>
  <c r="EQ180" i="50"/>
  <c r="DG80" i="50"/>
  <c r="BM234" i="50"/>
  <c r="DG208" i="50"/>
  <c r="FI151" i="50"/>
  <c r="AI180" i="50"/>
  <c r="FI119" i="50"/>
  <c r="FI190" i="50"/>
  <c r="FI233" i="50"/>
  <c r="CU234" i="50"/>
  <c r="DG171" i="50"/>
  <c r="FI102" i="50"/>
  <c r="EC180" i="50"/>
  <c r="FI214" i="50"/>
  <c r="CH234" i="50"/>
  <c r="DG155" i="50"/>
  <c r="FI86" i="50"/>
  <c r="CT180" i="50"/>
  <c r="DG194" i="50"/>
  <c r="W234" i="50"/>
  <c r="CX180" i="50"/>
  <c r="FI140" i="50"/>
  <c r="H180" i="50"/>
  <c r="DG144" i="50"/>
  <c r="BJ234" i="50"/>
  <c r="FD180" i="50"/>
  <c r="FI124" i="50"/>
  <c r="N180" i="50"/>
  <c r="DG87" i="50"/>
  <c r="FI159" i="50"/>
  <c r="AA180" i="50"/>
  <c r="DG109" i="50"/>
  <c r="CA234" i="50"/>
  <c r="DG227" i="50"/>
  <c r="FI111" i="50"/>
  <c r="BK180" i="50"/>
  <c r="DG93" i="50"/>
  <c r="DG163" i="50"/>
  <c r="FI94" i="50"/>
  <c r="ED180" i="50"/>
  <c r="FI206" i="50"/>
  <c r="EK234" i="50"/>
  <c r="DG115" i="50"/>
  <c r="I234" i="50"/>
  <c r="DG123" i="50"/>
  <c r="AG234" i="50"/>
  <c r="DA180" i="50"/>
  <c r="FI122" i="50"/>
  <c r="BH180" i="50"/>
  <c r="DG126" i="50"/>
  <c r="AL234" i="50"/>
  <c r="AA23" i="26"/>
  <c r="FI165" i="50"/>
  <c r="T180" i="50"/>
  <c r="DG110" i="50"/>
  <c r="CG180" i="50"/>
  <c r="AQ180" i="50"/>
  <c r="DG91" i="50"/>
  <c r="BE234" i="50"/>
  <c r="DG195" i="50"/>
  <c r="FI93" i="50"/>
  <c r="BM180" i="50"/>
  <c r="FI234" i="50"/>
  <c r="EW234" i="50"/>
  <c r="DG175" i="50"/>
  <c r="FI77" i="50"/>
  <c r="FB234" i="50"/>
  <c r="DG119" i="50"/>
  <c r="AV234" i="50"/>
  <c r="CW180" i="50"/>
  <c r="FI160" i="50"/>
  <c r="DE234" i="50"/>
  <c r="DG164" i="50"/>
  <c r="BW234" i="50"/>
  <c r="DG83" i="50"/>
  <c r="W180" i="50"/>
  <c r="DG118" i="50"/>
  <c r="ER234" i="50"/>
  <c r="DG230" i="50"/>
  <c r="FI157" i="50"/>
  <c r="BJ180" i="50"/>
  <c r="DG107" i="50"/>
  <c r="EB234" i="50"/>
  <c r="DG214" i="50"/>
  <c r="FI141" i="50"/>
  <c r="EG180" i="50"/>
  <c r="N243" i="49" l="1"/>
  <c r="BR72" i="49"/>
  <c r="AH243" i="49"/>
  <c r="FJ72" i="49"/>
  <c r="E31" i="41"/>
  <c r="I189" i="49"/>
  <c r="AL72" i="49"/>
  <c r="AC189" i="49"/>
  <c r="ED72" i="49"/>
  <c r="S243" i="49"/>
  <c r="CP72" i="49"/>
  <c r="H31" i="41"/>
  <c r="N189" i="49"/>
  <c r="BJ72" i="49"/>
  <c r="AH189" i="49"/>
  <c r="FB72" i="49"/>
  <c r="Y25" i="26"/>
  <c r="T26" i="26"/>
  <c r="U26" i="26" s="1"/>
  <c r="S25" i="26"/>
  <c r="W25" i="26"/>
  <c r="V25" i="26"/>
  <c r="AB28" i="25"/>
  <c r="AC28" i="25" s="1"/>
  <c r="W8" i="25" s="1"/>
  <c r="Z29" i="25"/>
  <c r="AA28" i="25"/>
  <c r="D243" i="49"/>
  <c r="V72" i="49"/>
  <c r="X243" i="49"/>
  <c r="DN72" i="49"/>
  <c r="M26" i="34"/>
  <c r="J27" i="34" s="1"/>
  <c r="L26" i="34"/>
  <c r="FA73" i="49"/>
  <c r="EC73" i="49"/>
  <c r="DE73" i="49"/>
  <c r="CG73" i="49"/>
  <c r="BI73" i="49"/>
  <c r="AK73" i="49"/>
  <c r="M73" i="49"/>
  <c r="FE73" i="49"/>
  <c r="EZ73" i="49"/>
  <c r="AG190" i="49" s="1"/>
  <c r="EG73" i="49"/>
  <c r="EB73" i="49"/>
  <c r="AB190" i="49" s="1"/>
  <c r="DI73" i="49"/>
  <c r="DD73" i="49"/>
  <c r="W190" i="49" s="1"/>
  <c r="CK73" i="49"/>
  <c r="CF73" i="49"/>
  <c r="R190" i="49" s="1"/>
  <c r="BM73" i="49"/>
  <c r="BH73" i="49"/>
  <c r="M190" i="49" s="1"/>
  <c r="AO73" i="49"/>
  <c r="AJ73" i="49"/>
  <c r="H190" i="49" s="1"/>
  <c r="Q73" i="49"/>
  <c r="L73" i="49"/>
  <c r="C190" i="49" s="1"/>
  <c r="FD73" i="49"/>
  <c r="AI190" i="49" s="1"/>
  <c r="EY73" i="49"/>
  <c r="AF190" i="49" s="1"/>
  <c r="EF73" i="49"/>
  <c r="AD190" i="49" s="1"/>
  <c r="EA73" i="49"/>
  <c r="AA190" i="49" s="1"/>
  <c r="DH73" i="49"/>
  <c r="Y190" i="49" s="1"/>
  <c r="DC73" i="49"/>
  <c r="V190" i="49" s="1"/>
  <c r="CJ73" i="49"/>
  <c r="T190" i="49" s="1"/>
  <c r="CE73" i="49"/>
  <c r="Q190" i="49" s="1"/>
  <c r="BL73" i="49"/>
  <c r="O190" i="49" s="1"/>
  <c r="BG73" i="49"/>
  <c r="L190" i="49" s="1"/>
  <c r="AN73" i="49"/>
  <c r="J190" i="49" s="1"/>
  <c r="AI73" i="49"/>
  <c r="G190" i="49" s="1"/>
  <c r="P73" i="49"/>
  <c r="E190" i="49" s="1"/>
  <c r="K73" i="49"/>
  <c r="B190" i="49" s="1"/>
  <c r="F171" i="7"/>
  <c r="S189" i="49"/>
  <c r="CH72" i="49"/>
  <c r="BK19" i="26"/>
  <c r="BW19" i="26" s="1"/>
  <c r="BV19" i="26"/>
  <c r="BL19" i="26"/>
  <c r="BH19" i="26"/>
  <c r="FL73" i="49"/>
  <c r="AI244" i="49" s="1"/>
  <c r="FG73" i="49"/>
  <c r="AF244" i="49" s="1"/>
  <c r="EN73" i="49"/>
  <c r="AD244" i="49" s="1"/>
  <c r="EI73" i="49"/>
  <c r="AA244" i="49" s="1"/>
  <c r="DP73" i="49"/>
  <c r="Y244" i="49" s="1"/>
  <c r="DK73" i="49"/>
  <c r="V244" i="49" s="1"/>
  <c r="CR73" i="49"/>
  <c r="T244" i="49" s="1"/>
  <c r="CM73" i="49"/>
  <c r="Q244" i="49" s="1"/>
  <c r="BT73" i="49"/>
  <c r="O244" i="49" s="1"/>
  <c r="BO73" i="49"/>
  <c r="L244" i="49" s="1"/>
  <c r="AV73" i="49"/>
  <c r="J244" i="49" s="1"/>
  <c r="AQ73" i="49"/>
  <c r="G244" i="49" s="1"/>
  <c r="X73" i="49"/>
  <c r="E244" i="49" s="1"/>
  <c r="S73" i="49"/>
  <c r="B244" i="49" s="1"/>
  <c r="FI73" i="49"/>
  <c r="EK73" i="49"/>
  <c r="DM73" i="49"/>
  <c r="CO73" i="49"/>
  <c r="BQ73" i="49"/>
  <c r="AS73" i="49"/>
  <c r="U73" i="49"/>
  <c r="FM73" i="49"/>
  <c r="FH73" i="49"/>
  <c r="AG244" i="49" s="1"/>
  <c r="EO73" i="49"/>
  <c r="EJ73" i="49"/>
  <c r="AB244" i="49" s="1"/>
  <c r="DQ73" i="49"/>
  <c r="DL73" i="49"/>
  <c r="W244" i="49" s="1"/>
  <c r="CS73" i="49"/>
  <c r="CN73" i="49"/>
  <c r="R244" i="49" s="1"/>
  <c r="BU73" i="49"/>
  <c r="BP73" i="49"/>
  <c r="M244" i="49" s="1"/>
  <c r="AW73" i="49"/>
  <c r="AR73" i="49"/>
  <c r="H244" i="49" s="1"/>
  <c r="Y73" i="49"/>
  <c r="T73" i="49"/>
  <c r="C244" i="49" s="1"/>
  <c r="H171" i="7"/>
  <c r="I243" i="49"/>
  <c r="AT72" i="49"/>
  <c r="AC243" i="49"/>
  <c r="EL72" i="49"/>
  <c r="B32" i="41"/>
  <c r="N25" i="34"/>
  <c r="D189" i="49"/>
  <c r="N72" i="49"/>
  <c r="X189" i="49"/>
  <c r="DF72" i="49"/>
  <c r="DH101" i="50"/>
  <c r="ET235" i="50"/>
  <c r="DH224" i="50"/>
  <c r="FB181" i="50"/>
  <c r="FJ180" i="50"/>
  <c r="AH181" i="50"/>
  <c r="FF235" i="50"/>
  <c r="DH139" i="50"/>
  <c r="AO235" i="50"/>
  <c r="DH209" i="50"/>
  <c r="ET181" i="50"/>
  <c r="FJ195" i="50"/>
  <c r="DH91" i="50"/>
  <c r="BC235" i="50"/>
  <c r="DH188" i="50"/>
  <c r="FF181" i="50"/>
  <c r="FJ154" i="50"/>
  <c r="AO181" i="50"/>
  <c r="FJ222" i="50"/>
  <c r="DH105" i="50"/>
  <c r="DQ235" i="50"/>
  <c r="DH176" i="50"/>
  <c r="DG181" i="50"/>
  <c r="FJ168" i="50"/>
  <c r="BJ181" i="50"/>
  <c r="FJ228" i="50"/>
  <c r="DH127" i="50"/>
  <c r="EB235" i="50"/>
  <c r="DH226" i="50"/>
  <c r="DW181" i="50"/>
  <c r="FJ142" i="50"/>
  <c r="EA181" i="50"/>
  <c r="FJ210" i="50"/>
  <c r="DH141" i="50"/>
  <c r="AS235" i="50"/>
  <c r="DH232" i="50"/>
  <c r="FA181" i="50"/>
  <c r="FJ190" i="50"/>
  <c r="DZ181" i="50"/>
  <c r="FE235" i="50"/>
  <c r="DH129" i="50"/>
  <c r="FJ174" i="50"/>
  <c r="CO181" i="50"/>
  <c r="DF235" i="50"/>
  <c r="DH173" i="50"/>
  <c r="DL235" i="50"/>
  <c r="DH235" i="50"/>
  <c r="CE181" i="50"/>
  <c r="FJ115" i="50"/>
  <c r="BI181" i="50"/>
  <c r="CI235" i="50"/>
  <c r="DH180" i="50"/>
  <c r="DD181" i="50"/>
  <c r="FJ140" i="50"/>
  <c r="DL181" i="50"/>
  <c r="CN235" i="50"/>
  <c r="DH131" i="50"/>
  <c r="AT235" i="50"/>
  <c r="DH230" i="50"/>
  <c r="CI181" i="50"/>
  <c r="FJ196" i="50"/>
  <c r="EQ181" i="50"/>
  <c r="FJ230" i="50"/>
  <c r="DH113" i="50"/>
  <c r="CP235" i="50"/>
  <c r="DH223" i="50"/>
  <c r="CY181" i="50"/>
  <c r="FJ211" i="50"/>
  <c r="T181" i="50"/>
  <c r="EM235" i="50"/>
  <c r="DH167" i="50"/>
  <c r="AE235" i="50"/>
  <c r="DH234" i="50"/>
  <c r="BT181" i="50"/>
  <c r="FJ217" i="50"/>
  <c r="AX181" i="50"/>
  <c r="EL235" i="50"/>
  <c r="DH181" i="50"/>
  <c r="FJ223" i="50"/>
  <c r="FJ199" i="50"/>
  <c r="DH79" i="50"/>
  <c r="BE235" i="50"/>
  <c r="DH210" i="50"/>
  <c r="BV181" i="50"/>
  <c r="FJ158" i="50"/>
  <c r="AB181" i="50"/>
  <c r="FJ226" i="50"/>
  <c r="DH125" i="50"/>
  <c r="AM235" i="50"/>
  <c r="FJ78" i="50"/>
  <c r="CS181" i="50"/>
  <c r="FJ163" i="50"/>
  <c r="DH77" i="50"/>
  <c r="CT235" i="50"/>
  <c r="DH164" i="50"/>
  <c r="DF181" i="50"/>
  <c r="FJ124" i="50"/>
  <c r="AM181" i="50"/>
  <c r="FJ229" i="50"/>
  <c r="DH88" i="50"/>
  <c r="BP235" i="50"/>
  <c r="DH146" i="50"/>
  <c r="CN181" i="50"/>
  <c r="FJ146" i="50"/>
  <c r="AT181" i="50"/>
  <c r="FJ214" i="50"/>
  <c r="DH97" i="50"/>
  <c r="CA235" i="50"/>
  <c r="DH202" i="50"/>
  <c r="CL181" i="50"/>
  <c r="FJ128" i="50"/>
  <c r="AN181" i="50"/>
  <c r="FJ220" i="50"/>
  <c r="DH119" i="50"/>
  <c r="BL235" i="50"/>
  <c r="DH218" i="50"/>
  <c r="CJ181" i="50"/>
  <c r="FJ166" i="50"/>
  <c r="Z181" i="50"/>
  <c r="FJ234" i="50"/>
  <c r="DH207" i="50"/>
  <c r="BW181" i="50"/>
  <c r="FD235" i="50"/>
  <c r="DH189" i="50"/>
  <c r="Q235" i="50"/>
  <c r="FJ89" i="50"/>
  <c r="CD181" i="50"/>
  <c r="FJ145" i="50"/>
  <c r="D181" i="50"/>
  <c r="EZ235" i="50"/>
  <c r="DH203" i="50"/>
  <c r="FD181" i="50"/>
  <c r="FJ170" i="50"/>
  <c r="AC181" i="50"/>
  <c r="CK235" i="50"/>
  <c r="DH153" i="50"/>
  <c r="AQ235" i="50"/>
  <c r="DH231" i="50"/>
  <c r="EZ181" i="50"/>
  <c r="FJ111" i="50"/>
  <c r="W181" i="50"/>
  <c r="EP235" i="50"/>
  <c r="DH143" i="50"/>
  <c r="ER235" i="50"/>
  <c r="FJ77" i="50"/>
  <c r="EX181" i="50"/>
  <c r="FJ117" i="50"/>
  <c r="L181" i="50"/>
  <c r="CZ235" i="50"/>
  <c r="DH191" i="50"/>
  <c r="DZ235" i="50"/>
  <c r="DH219" i="50"/>
  <c r="DU181" i="50"/>
  <c r="FJ207" i="50"/>
  <c r="M181" i="50"/>
  <c r="CG235" i="50"/>
  <c r="DH197" i="50"/>
  <c r="P235" i="50"/>
  <c r="FJ97" i="50"/>
  <c r="BF181" i="50"/>
  <c r="FJ153" i="50"/>
  <c r="H181" i="50"/>
  <c r="DH229" i="50"/>
  <c r="FJ185" i="50"/>
  <c r="DH86" i="50"/>
  <c r="DP235" i="50"/>
  <c r="DH186" i="50"/>
  <c r="FG181" i="50"/>
  <c r="FJ144" i="50"/>
  <c r="CP181" i="50"/>
  <c r="FJ233" i="50"/>
  <c r="DH103" i="50"/>
  <c r="CR235" i="50"/>
  <c r="FJ101" i="50"/>
  <c r="BO181" i="50"/>
  <c r="FJ173" i="50"/>
  <c r="DH92" i="50"/>
  <c r="DS235" i="50"/>
  <c r="DH150" i="50"/>
  <c r="AV235" i="50"/>
  <c r="FJ102" i="50"/>
  <c r="BL181" i="50"/>
  <c r="FJ189" i="50"/>
  <c r="DH74" i="50"/>
  <c r="BQ235" i="50"/>
  <c r="DH156" i="50"/>
  <c r="AB24" i="26"/>
  <c r="FJ116" i="50"/>
  <c r="BB181" i="50"/>
  <c r="FJ221" i="50"/>
  <c r="DH75" i="50"/>
  <c r="BD235" i="50"/>
  <c r="DH170" i="50"/>
  <c r="I235" i="50"/>
  <c r="FJ106" i="50"/>
  <c r="BC181" i="50"/>
  <c r="FJ235" i="50"/>
  <c r="DH89" i="50"/>
  <c r="CB235" i="50"/>
  <c r="DH194" i="50"/>
  <c r="CM181" i="50"/>
  <c r="FJ152" i="50"/>
  <c r="AQ181" i="50"/>
  <c r="AN235" i="50"/>
  <c r="FH181" i="50"/>
  <c r="FJ138" i="50"/>
  <c r="BK181" i="50"/>
  <c r="DG235" i="50"/>
  <c r="DH121" i="50"/>
  <c r="BY235" i="50"/>
  <c r="DH228" i="50"/>
  <c r="DA181" i="50"/>
  <c r="FJ186" i="50"/>
  <c r="AZ181" i="50"/>
  <c r="EX235" i="50"/>
  <c r="DH144" i="50"/>
  <c r="L235" i="50"/>
  <c r="FJ136" i="50"/>
  <c r="BA181" i="50"/>
  <c r="FJ225" i="50"/>
  <c r="DH95" i="50"/>
  <c r="CS235" i="50"/>
  <c r="DH192" i="50"/>
  <c r="DC181" i="50"/>
  <c r="FJ110" i="50"/>
  <c r="EB181" i="50"/>
  <c r="FJ197" i="50"/>
  <c r="DH109" i="50"/>
  <c r="CQ235" i="50"/>
  <c r="DH198" i="50"/>
  <c r="DB181" i="50"/>
  <c r="FJ156" i="50"/>
  <c r="AP181" i="50"/>
  <c r="FJ232" i="50"/>
  <c r="DH83" i="50"/>
  <c r="EU235" i="50"/>
  <c r="DH178" i="50"/>
  <c r="DX181" i="50"/>
  <c r="FJ178" i="50"/>
  <c r="AI181" i="50"/>
  <c r="FG235" i="50"/>
  <c r="FJ175" i="50"/>
  <c r="EE181" i="50"/>
  <c r="FJ161" i="50"/>
  <c r="DH96" i="50"/>
  <c r="CC235" i="50"/>
  <c r="DH154" i="50"/>
  <c r="E235" i="50"/>
  <c r="FJ122" i="50"/>
  <c r="DN181" i="50"/>
  <c r="FJ219" i="50"/>
  <c r="DH110" i="50"/>
  <c r="BJ235" i="50"/>
  <c r="FJ79" i="50"/>
  <c r="EH181" i="50"/>
  <c r="FJ159" i="50"/>
  <c r="AA24" i="26"/>
  <c r="DT235" i="50"/>
  <c r="DH128" i="50"/>
  <c r="AY235" i="50"/>
  <c r="FJ88" i="50"/>
  <c r="CB181" i="50"/>
  <c r="FJ133" i="50"/>
  <c r="G181" i="50"/>
  <c r="FA235" i="50"/>
  <c r="DH142" i="50"/>
  <c r="M235" i="50"/>
  <c r="FJ94" i="50"/>
  <c r="DO181" i="50"/>
  <c r="FJ179" i="50"/>
  <c r="DH98" i="50"/>
  <c r="BF235" i="50"/>
  <c r="DH116" i="50"/>
  <c r="X235" i="50"/>
  <c r="FJ76" i="50"/>
  <c r="CQ181" i="50"/>
  <c r="FJ203" i="50"/>
  <c r="DH104" i="50"/>
  <c r="EV235" i="50"/>
  <c r="DH162" i="50"/>
  <c r="F235" i="50"/>
  <c r="FJ130" i="50"/>
  <c r="AJ181" i="50"/>
  <c r="EK181" i="50"/>
  <c r="FJ160" i="50"/>
  <c r="AD181" i="50"/>
  <c r="EO235" i="50"/>
  <c r="DH151" i="50"/>
  <c r="AL235" i="50"/>
  <c r="DH221" i="50"/>
  <c r="EI181" i="50"/>
  <c r="FJ200" i="50"/>
  <c r="DY181" i="50"/>
  <c r="EN235" i="50"/>
  <c r="DH166" i="50"/>
  <c r="FI181" i="50"/>
  <c r="FJ150" i="50"/>
  <c r="AE181" i="50"/>
  <c r="FJ218" i="50"/>
  <c r="DH117" i="50"/>
  <c r="BB235" i="50"/>
  <c r="DH208" i="50"/>
  <c r="EL181" i="50"/>
  <c r="FJ164" i="50"/>
  <c r="AU181" i="50"/>
  <c r="FJ208" i="50"/>
  <c r="DH123" i="50"/>
  <c r="BK235" i="50"/>
  <c r="DH222" i="50"/>
  <c r="BU181" i="50"/>
  <c r="FJ188" i="50"/>
  <c r="AA181" i="50"/>
  <c r="CM235" i="50"/>
  <c r="DH137" i="50"/>
  <c r="BM235" i="50"/>
  <c r="DH212" i="50"/>
  <c r="CK181" i="50"/>
  <c r="FJ202" i="50"/>
  <c r="V181" i="50"/>
  <c r="DC235" i="50"/>
  <c r="EA235" i="50"/>
  <c r="BD181" i="50"/>
  <c r="FJ83" i="50"/>
  <c r="EW181" i="50"/>
  <c r="FJ131" i="50"/>
  <c r="DH82" i="50"/>
  <c r="CV235" i="50"/>
  <c r="DH132" i="50"/>
  <c r="N235" i="50"/>
  <c r="FJ92" i="50"/>
  <c r="EC181" i="50"/>
  <c r="FJ187" i="50"/>
  <c r="DH147" i="50"/>
  <c r="DM235" i="50"/>
  <c r="DH217" i="50"/>
  <c r="CV181" i="50"/>
  <c r="FJ137" i="50"/>
  <c r="N181" i="50"/>
  <c r="CY235" i="50"/>
  <c r="DH195" i="50"/>
  <c r="AF235" i="50"/>
  <c r="FJ103" i="50"/>
  <c r="BP181" i="50"/>
  <c r="FJ119" i="50"/>
  <c r="BH181" i="50"/>
  <c r="EI235" i="50"/>
  <c r="DH120" i="50"/>
  <c r="DY235" i="50"/>
  <c r="FJ80" i="50"/>
  <c r="DP181" i="50"/>
  <c r="FJ157" i="50"/>
  <c r="DH76" i="50"/>
  <c r="BR235" i="50"/>
  <c r="DH199" i="50"/>
  <c r="BW235" i="50"/>
  <c r="FJ86" i="50"/>
  <c r="CR181" i="50"/>
  <c r="FJ171" i="50"/>
  <c r="DH90" i="50"/>
  <c r="CD235" i="50"/>
  <c r="DH140" i="50"/>
  <c r="D235" i="50"/>
  <c r="FJ100" i="50"/>
  <c r="DS181" i="50"/>
  <c r="DH134" i="50"/>
  <c r="DJ235" i="50"/>
  <c r="FJ118" i="50"/>
  <c r="AK181" i="50"/>
  <c r="FJ205" i="50"/>
  <c r="DH85" i="50"/>
  <c r="ED235" i="50"/>
  <c r="DH172" i="50"/>
  <c r="DE181" i="50"/>
  <c r="FJ132" i="50"/>
  <c r="DJ181" i="50"/>
  <c r="DV235" i="50"/>
  <c r="DH124" i="50"/>
  <c r="O235" i="50"/>
  <c r="FJ84" i="50"/>
  <c r="ED181" i="50"/>
  <c r="FJ177" i="50"/>
  <c r="DH80" i="50"/>
  <c r="CU235" i="50"/>
  <c r="DH138" i="50"/>
  <c r="V235" i="50"/>
  <c r="FJ74" i="50"/>
  <c r="CC181" i="50"/>
  <c r="FJ193" i="50"/>
  <c r="DH94" i="50"/>
  <c r="DR235" i="50"/>
  <c r="DH160" i="50"/>
  <c r="G235" i="50"/>
  <c r="FJ120" i="50"/>
  <c r="BY181" i="50"/>
  <c r="FJ165" i="50"/>
  <c r="DH84" i="50"/>
  <c r="CE235" i="50"/>
  <c r="DH174" i="50"/>
  <c r="EP181" i="50"/>
  <c r="FJ126" i="50"/>
  <c r="ER181" i="50"/>
  <c r="DH78" i="50"/>
  <c r="AD24" i="26"/>
  <c r="CW181" i="50"/>
  <c r="FJ141" i="50"/>
  <c r="AW181" i="50"/>
  <c r="BS235" i="50"/>
  <c r="DH118" i="50"/>
  <c r="R235" i="50"/>
  <c r="FJ107" i="50"/>
  <c r="BN181" i="50"/>
  <c r="FJ155" i="50"/>
  <c r="DH133" i="50"/>
  <c r="AU235" i="50"/>
  <c r="DH227" i="50"/>
  <c r="BR181" i="50"/>
  <c r="FJ215" i="50"/>
  <c r="R181" i="50"/>
  <c r="BU235" i="50"/>
  <c r="DH171" i="50"/>
  <c r="AA235" i="50"/>
  <c r="FJ73" i="50"/>
  <c r="DV181" i="50"/>
  <c r="FJ204" i="50"/>
  <c r="Q181" i="50"/>
  <c r="CH235" i="50"/>
  <c r="DH187" i="50"/>
  <c r="AZ235" i="50"/>
  <c r="FJ95" i="50"/>
  <c r="CU181" i="50"/>
  <c r="FJ143" i="50"/>
  <c r="E181" i="50"/>
  <c r="BV235" i="50"/>
  <c r="DH175" i="50"/>
  <c r="AB235" i="50"/>
  <c r="FJ109" i="50"/>
  <c r="DQ181" i="50"/>
  <c r="FJ149" i="50"/>
  <c r="AC24" i="26"/>
  <c r="DU235" i="50"/>
  <c r="DH126" i="50"/>
  <c r="BI235" i="50"/>
  <c r="AH235" i="50"/>
  <c r="DH148" i="50"/>
  <c r="H235" i="50"/>
  <c r="FJ108" i="50"/>
  <c r="AS181" i="50"/>
  <c r="FJ216" i="50"/>
  <c r="DH99" i="50"/>
  <c r="ES235" i="50"/>
  <c r="DH196" i="50"/>
  <c r="FE181" i="50"/>
  <c r="FJ162" i="50"/>
  <c r="DM181" i="50"/>
  <c r="CF235" i="50"/>
  <c r="DH114" i="50"/>
  <c r="K235" i="50"/>
  <c r="FJ114" i="50"/>
  <c r="ES181" i="50"/>
  <c r="FJ201" i="50"/>
  <c r="DH102" i="50"/>
  <c r="BO235" i="50"/>
  <c r="DH168" i="50"/>
  <c r="AW235" i="50"/>
  <c r="FJ96" i="50"/>
  <c r="CA181" i="50"/>
  <c r="FJ206" i="50"/>
  <c r="DH87" i="50"/>
  <c r="BN235" i="50"/>
  <c r="DH184" i="50"/>
  <c r="EO181" i="50"/>
  <c r="FJ134" i="50"/>
  <c r="AL181" i="50"/>
  <c r="FJ231" i="50"/>
  <c r="DH106" i="50"/>
  <c r="EE235" i="50"/>
  <c r="DH190" i="50"/>
  <c r="EN181" i="50"/>
  <c r="FJ148" i="50"/>
  <c r="AR181" i="50"/>
  <c r="FJ224" i="50"/>
  <c r="DH107" i="50"/>
  <c r="DN235" i="50"/>
  <c r="DH204" i="50"/>
  <c r="BA235" i="50"/>
  <c r="DH215" i="50"/>
  <c r="CH181" i="50"/>
  <c r="FJ127" i="50"/>
  <c r="I181" i="50"/>
  <c r="DW235" i="50"/>
  <c r="DH193" i="50"/>
  <c r="CO235" i="50"/>
  <c r="FJ93" i="50"/>
  <c r="DR181" i="50"/>
  <c r="FJ212" i="50"/>
  <c r="DH111" i="50"/>
  <c r="DO235" i="50"/>
  <c r="DH213" i="50"/>
  <c r="EJ181" i="50"/>
  <c r="FJ192" i="50"/>
  <c r="S181" i="50"/>
  <c r="DD235" i="50"/>
  <c r="DH157" i="50"/>
  <c r="AP235" i="50"/>
  <c r="DH216" i="50"/>
  <c r="CZ181" i="50"/>
  <c r="FJ172" i="50"/>
  <c r="U181" i="50"/>
  <c r="DX235" i="50"/>
  <c r="DH163" i="50"/>
  <c r="AI235" i="50"/>
  <c r="DH233" i="50"/>
  <c r="EY181" i="50"/>
  <c r="FJ121" i="50"/>
  <c r="X181" i="50"/>
  <c r="CL235" i="50"/>
  <c r="DH145" i="50"/>
  <c r="Y235" i="50"/>
  <c r="FJ87" i="50"/>
  <c r="BG181" i="50"/>
  <c r="FJ135" i="50"/>
  <c r="K181" i="50"/>
  <c r="BT235" i="50"/>
  <c r="DH201" i="50"/>
  <c r="AG235" i="50"/>
  <c r="FJ123" i="50"/>
  <c r="EK235" i="50"/>
  <c r="DH177" i="50"/>
  <c r="T235" i="50"/>
  <c r="FJ82" i="50"/>
  <c r="EV181" i="50"/>
  <c r="FJ167" i="50"/>
  <c r="AE24" i="26"/>
  <c r="CW235" i="50"/>
  <c r="DH136" i="50"/>
  <c r="AX235" i="50"/>
  <c r="FJ194" i="50"/>
  <c r="AF181" i="50"/>
  <c r="CJ235" i="50"/>
  <c r="DH185" i="50"/>
  <c r="Z235" i="50"/>
  <c r="FJ85" i="50"/>
  <c r="EG181" i="50"/>
  <c r="FJ125" i="50"/>
  <c r="J181" i="50"/>
  <c r="FB235" i="50"/>
  <c r="DH165" i="50"/>
  <c r="BX235" i="50"/>
  <c r="FJ91" i="50"/>
  <c r="EF181" i="50"/>
  <c r="FJ139" i="50"/>
  <c r="AV181" i="50"/>
  <c r="CX235" i="50"/>
  <c r="DH205" i="50"/>
  <c r="DK235" i="50"/>
  <c r="FJ105" i="50"/>
  <c r="BQ181" i="50"/>
  <c r="FJ129" i="50"/>
  <c r="O181" i="50"/>
  <c r="EH235" i="50"/>
  <c r="DH122" i="50"/>
  <c r="W235" i="50"/>
  <c r="FJ90" i="50"/>
  <c r="DH115" i="50"/>
  <c r="AJ235" i="50"/>
  <c r="DH214" i="50"/>
  <c r="CG181" i="50"/>
  <c r="FJ213" i="50"/>
  <c r="P181" i="50"/>
  <c r="FC235" i="50"/>
  <c r="DH161" i="50"/>
  <c r="AD235" i="50"/>
  <c r="Z24" i="26"/>
  <c r="CF181" i="50"/>
  <c r="FJ227" i="50"/>
  <c r="DH81" i="50"/>
  <c r="BZ235" i="50"/>
  <c r="DH220" i="50"/>
  <c r="FC181" i="50"/>
  <c r="FJ176" i="50"/>
  <c r="Y181" i="50"/>
  <c r="FI235" i="50"/>
  <c r="DH135" i="50"/>
  <c r="AK235" i="50"/>
  <c r="DH200" i="50"/>
  <c r="EM181" i="50"/>
  <c r="FJ184" i="50"/>
  <c r="AG181" i="50"/>
  <c r="DE235" i="50"/>
  <c r="DH149" i="50"/>
  <c r="AR235" i="50"/>
  <c r="DH211" i="50"/>
  <c r="BS181" i="50"/>
  <c r="FJ198" i="50"/>
  <c r="BX181" i="50"/>
  <c r="FH235" i="50"/>
  <c r="DH155" i="50"/>
  <c r="AC235" i="50"/>
  <c r="DH225" i="50"/>
  <c r="CX181" i="50"/>
  <c r="FJ113" i="50"/>
  <c r="DK181" i="50"/>
  <c r="DA235" i="50"/>
  <c r="DH169" i="50"/>
  <c r="FJ75" i="50"/>
  <c r="EJ235" i="50"/>
  <c r="DH112" i="50"/>
  <c r="S235" i="50"/>
  <c r="FJ104" i="50"/>
  <c r="BM181" i="50"/>
  <c r="FJ181" i="50"/>
  <c r="DH100" i="50"/>
  <c r="EW235" i="50"/>
  <c r="DH158" i="50"/>
  <c r="C235" i="50"/>
  <c r="FJ209" i="50"/>
  <c r="AY181" i="50"/>
  <c r="DB235" i="50"/>
  <c r="DH206" i="50"/>
  <c r="U235" i="50"/>
  <c r="FJ99" i="50"/>
  <c r="BE181" i="50"/>
  <c r="FJ147" i="50"/>
  <c r="C181" i="50"/>
  <c r="EY235" i="50"/>
  <c r="DH179" i="50"/>
  <c r="EQ235" i="50"/>
  <c r="FJ81" i="50"/>
  <c r="CT181" i="50"/>
  <c r="FJ169" i="50"/>
  <c r="DH73" i="50"/>
  <c r="BG235" i="50"/>
  <c r="DH130" i="50"/>
  <c r="BH235" i="50"/>
  <c r="FJ98" i="50"/>
  <c r="EU181" i="50"/>
  <c r="FJ151" i="50"/>
  <c r="F181" i="50"/>
  <c r="EG235" i="50"/>
  <c r="DH152" i="50"/>
  <c r="J235" i="50"/>
  <c r="FJ112" i="50"/>
  <c r="BZ181" i="50"/>
  <c r="FJ191" i="50"/>
  <c r="DH108" i="50"/>
  <c r="EF235" i="50"/>
  <c r="EC235" i="50"/>
  <c r="DH159" i="50"/>
  <c r="DT181" i="50"/>
  <c r="DH93" i="50"/>
  <c r="FL74" i="49" l="1"/>
  <c r="AI245" i="49" s="1"/>
  <c r="FG74" i="49"/>
  <c r="AF245" i="49" s="1"/>
  <c r="EN74" i="49"/>
  <c r="AD245" i="49" s="1"/>
  <c r="EI74" i="49"/>
  <c r="AA245" i="49" s="1"/>
  <c r="DP74" i="49"/>
  <c r="Y245" i="49" s="1"/>
  <c r="DK74" i="49"/>
  <c r="V245" i="49" s="1"/>
  <c r="CR74" i="49"/>
  <c r="T245" i="49" s="1"/>
  <c r="CM74" i="49"/>
  <c r="Q245" i="49" s="1"/>
  <c r="BT74" i="49"/>
  <c r="O245" i="49" s="1"/>
  <c r="BO74" i="49"/>
  <c r="L245" i="49" s="1"/>
  <c r="AV74" i="49"/>
  <c r="J245" i="49" s="1"/>
  <c r="AQ74" i="49"/>
  <c r="G245" i="49" s="1"/>
  <c r="X74" i="49"/>
  <c r="E245" i="49" s="1"/>
  <c r="S74" i="49"/>
  <c r="B245" i="49" s="1"/>
  <c r="FI74" i="49"/>
  <c r="EK74" i="49"/>
  <c r="DM74" i="49"/>
  <c r="CO74" i="49"/>
  <c r="BQ74" i="49"/>
  <c r="AS74" i="49"/>
  <c r="U74" i="49"/>
  <c r="FM74" i="49"/>
  <c r="FH74" i="49"/>
  <c r="AG245" i="49" s="1"/>
  <c r="EO74" i="49"/>
  <c r="EJ74" i="49"/>
  <c r="AB245" i="49" s="1"/>
  <c r="DQ74" i="49"/>
  <c r="DL74" i="49"/>
  <c r="W245" i="49" s="1"/>
  <c r="CS74" i="49"/>
  <c r="CN74" i="49"/>
  <c r="R245" i="49" s="1"/>
  <c r="BU74" i="49"/>
  <c r="BP74" i="49"/>
  <c r="M245" i="49" s="1"/>
  <c r="AW74" i="49"/>
  <c r="AR74" i="49"/>
  <c r="H245" i="49" s="1"/>
  <c r="Y74" i="49"/>
  <c r="T74" i="49"/>
  <c r="C245" i="49" s="1"/>
  <c r="I244" i="49"/>
  <c r="AT73" i="49"/>
  <c r="I190" i="49"/>
  <c r="AL73" i="49"/>
  <c r="L27" i="34"/>
  <c r="N27" i="34"/>
  <c r="M27" i="34"/>
  <c r="J28" i="34" s="1"/>
  <c r="N244" i="49"/>
  <c r="BR73" i="49"/>
  <c r="AH244" i="49"/>
  <c r="FJ73" i="49"/>
  <c r="BI20" i="26"/>
  <c r="BJ20" i="26" s="1"/>
  <c r="BM19" i="26"/>
  <c r="BN19" i="26"/>
  <c r="BO19" i="26"/>
  <c r="N190" i="49"/>
  <c r="BJ73" i="49"/>
  <c r="AH190" i="49"/>
  <c r="FB73" i="49"/>
  <c r="J31" i="41"/>
  <c r="L31" i="41" s="1"/>
  <c r="I31" i="41"/>
  <c r="K31" i="41" s="1"/>
  <c r="F32" i="41"/>
  <c r="C32" i="41"/>
  <c r="D32" i="41" s="1"/>
  <c r="AC244" i="49"/>
  <c r="EL73" i="49"/>
  <c r="BX19" i="26"/>
  <c r="BY19" i="26"/>
  <c r="AC190" i="49"/>
  <c r="ED73" i="49"/>
  <c r="S244" i="49"/>
  <c r="CP73" i="49"/>
  <c r="BP19" i="26"/>
  <c r="BQ19" i="26"/>
  <c r="BR19" i="26"/>
  <c r="BS19" i="26"/>
  <c r="FA74" i="49"/>
  <c r="EC74" i="49"/>
  <c r="DE74" i="49"/>
  <c r="CG74" i="49"/>
  <c r="BI74" i="49"/>
  <c r="AK74" i="49"/>
  <c r="M74" i="49"/>
  <c r="FE74" i="49"/>
  <c r="EZ74" i="49"/>
  <c r="AG191" i="49" s="1"/>
  <c r="EG74" i="49"/>
  <c r="EB74" i="49"/>
  <c r="AB191" i="49" s="1"/>
  <c r="DI74" i="49"/>
  <c r="DD74" i="49"/>
  <c r="W191" i="49" s="1"/>
  <c r="CK74" i="49"/>
  <c r="CF74" i="49"/>
  <c r="R191" i="49" s="1"/>
  <c r="BM74" i="49"/>
  <c r="BH74" i="49"/>
  <c r="M191" i="49" s="1"/>
  <c r="AO74" i="49"/>
  <c r="AJ74" i="49"/>
  <c r="H191" i="49" s="1"/>
  <c r="Q74" i="49"/>
  <c r="L74" i="49"/>
  <c r="C191" i="49" s="1"/>
  <c r="FD74" i="49"/>
  <c r="AI191" i="49" s="1"/>
  <c r="EY74" i="49"/>
  <c r="AF191" i="49" s="1"/>
  <c r="EF74" i="49"/>
  <c r="AD191" i="49" s="1"/>
  <c r="EA74" i="49"/>
  <c r="AA191" i="49" s="1"/>
  <c r="DH74" i="49"/>
  <c r="Y191" i="49" s="1"/>
  <c r="DC74" i="49"/>
  <c r="V191" i="49" s="1"/>
  <c r="CJ74" i="49"/>
  <c r="T191" i="49" s="1"/>
  <c r="CE74" i="49"/>
  <c r="Q191" i="49" s="1"/>
  <c r="BL74" i="49"/>
  <c r="O191" i="49" s="1"/>
  <c r="BG74" i="49"/>
  <c r="L191" i="49" s="1"/>
  <c r="AN74" i="49"/>
  <c r="J191" i="49" s="1"/>
  <c r="AI74" i="49"/>
  <c r="G191" i="49" s="1"/>
  <c r="P74" i="49"/>
  <c r="E191" i="49" s="1"/>
  <c r="K74" i="49"/>
  <c r="B191" i="49" s="1"/>
  <c r="S190" i="49"/>
  <c r="CH73" i="49"/>
  <c r="K26" i="34"/>
  <c r="AA29" i="25"/>
  <c r="AB29" i="25"/>
  <c r="AC29" i="25" s="1"/>
  <c r="Z30" i="25"/>
  <c r="D244" i="49"/>
  <c r="V73" i="49"/>
  <c r="X244" i="49"/>
  <c r="DN73" i="49"/>
  <c r="BT19" i="26"/>
  <c r="BU19" i="26"/>
  <c r="D190" i="49"/>
  <c r="N73" i="49"/>
  <c r="X190" i="49"/>
  <c r="DF73" i="49"/>
  <c r="N26" i="34"/>
  <c r="AQ8" i="25"/>
  <c r="AS8" i="25" s="1"/>
  <c r="AQ29" i="25"/>
  <c r="AS29" i="25" s="1"/>
  <c r="AQ9" i="25"/>
  <c r="AS9" i="25" s="1"/>
  <c r="AQ18" i="25"/>
  <c r="AS18" i="25" s="1"/>
  <c r="AQ7" i="25"/>
  <c r="AS7" i="25" s="1"/>
  <c r="AQ19" i="25"/>
  <c r="AS19" i="25" s="1"/>
  <c r="AQ17" i="25"/>
  <c r="AS17" i="25" s="1"/>
  <c r="AQ27" i="25"/>
  <c r="AS27" i="25" s="1"/>
  <c r="AQ28" i="25"/>
  <c r="AS28" i="25" s="1"/>
  <c r="V26" i="26"/>
  <c r="T27" i="26"/>
  <c r="U27" i="26" s="1"/>
  <c r="S26" i="26"/>
  <c r="W26" i="26"/>
  <c r="Y26" i="26" s="1"/>
  <c r="FK189" i="50"/>
  <c r="AJ45" i="50"/>
  <c r="DN182" i="50"/>
  <c r="FK197" i="50"/>
  <c r="AJ61" i="50"/>
  <c r="AJ182" i="50"/>
  <c r="FK206" i="50"/>
  <c r="DI110" i="50"/>
  <c r="AC182" i="50"/>
  <c r="FK214" i="50"/>
  <c r="DI81" i="50"/>
  <c r="AI182" i="50"/>
  <c r="DI109" i="50"/>
  <c r="EN236" i="50"/>
  <c r="FK186" i="50"/>
  <c r="AG20" i="50"/>
  <c r="EZ182" i="50"/>
  <c r="FK194" i="50"/>
  <c r="AG35" i="50"/>
  <c r="CF182" i="50"/>
  <c r="FK139" i="50"/>
  <c r="AJ55" i="50"/>
  <c r="CC182" i="50"/>
  <c r="FK147" i="50"/>
  <c r="AG18" i="50"/>
  <c r="EV182" i="50"/>
  <c r="AJ63" i="50"/>
  <c r="DI143" i="50"/>
  <c r="CE236" i="50"/>
  <c r="DI124" i="50"/>
  <c r="AM42" i="50"/>
  <c r="DS236" i="50"/>
  <c r="AZ182" i="50"/>
  <c r="CR236" i="50"/>
  <c r="BE236" i="50"/>
  <c r="DI156" i="50"/>
  <c r="AM61" i="50"/>
  <c r="BN236" i="50"/>
  <c r="DI164" i="50"/>
  <c r="AM27" i="50"/>
  <c r="EB236" i="50"/>
  <c r="DI204" i="50"/>
  <c r="FK93" i="50"/>
  <c r="AK236" i="50"/>
  <c r="DI212" i="50"/>
  <c r="FK101" i="50"/>
  <c r="AM15" i="50"/>
  <c r="FK181" i="50"/>
  <c r="DB236" i="50"/>
  <c r="DI153" i="50"/>
  <c r="D182" i="50"/>
  <c r="EL236" i="50"/>
  <c r="DI161" i="50"/>
  <c r="H182" i="50"/>
  <c r="DU236" i="50"/>
  <c r="DI203" i="50"/>
  <c r="AM17" i="50"/>
  <c r="BR236" i="50"/>
  <c r="DI116" i="50"/>
  <c r="AM32" i="50"/>
  <c r="R182" i="50"/>
  <c r="AX236" i="50"/>
  <c r="FK221" i="50"/>
  <c r="DI94" i="50"/>
  <c r="AO182" i="50"/>
  <c r="FK229" i="50"/>
  <c r="DI102" i="50"/>
  <c r="DM182" i="50"/>
  <c r="AD25" i="26"/>
  <c r="DI105" i="50"/>
  <c r="Q182" i="50"/>
  <c r="DH236" i="50"/>
  <c r="DI113" i="50"/>
  <c r="P182" i="50"/>
  <c r="ED182" i="50"/>
  <c r="AX182" i="50"/>
  <c r="AB236" i="50"/>
  <c r="DI221" i="50"/>
  <c r="FK104" i="50"/>
  <c r="Z236" i="50"/>
  <c r="AM54" i="50"/>
  <c r="DI178" i="50"/>
  <c r="S236" i="50"/>
  <c r="EO182" i="50"/>
  <c r="FK136" i="50"/>
  <c r="DY236" i="50"/>
  <c r="DC182" i="50"/>
  <c r="FK144" i="50"/>
  <c r="G236" i="50"/>
  <c r="BT182" i="50"/>
  <c r="FK184" i="50"/>
  <c r="AW236" i="50"/>
  <c r="EJ182" i="50"/>
  <c r="FK192" i="50"/>
  <c r="CS236" i="50"/>
  <c r="BH236" i="50"/>
  <c r="DI186" i="50"/>
  <c r="FK75" i="50"/>
  <c r="BB236" i="50"/>
  <c r="DI194" i="50"/>
  <c r="FK83" i="50"/>
  <c r="AM236" i="50"/>
  <c r="DI234" i="50"/>
  <c r="FK86" i="50"/>
  <c r="BX236" i="50"/>
  <c r="DI211" i="50"/>
  <c r="FK94" i="50"/>
  <c r="DL236" i="50"/>
  <c r="W236" i="50"/>
  <c r="FK158" i="50"/>
  <c r="DI185" i="50"/>
  <c r="M34" i="50"/>
  <c r="CX236" i="50"/>
  <c r="DI193" i="50"/>
  <c r="AM47" i="50"/>
  <c r="EY236" i="50"/>
  <c r="DI138" i="50"/>
  <c r="AM20" i="50"/>
  <c r="EE236" i="50"/>
  <c r="DI146" i="50"/>
  <c r="M36" i="50"/>
  <c r="CT236" i="50"/>
  <c r="CB236" i="50"/>
  <c r="AJ49" i="50"/>
  <c r="CE182" i="50"/>
  <c r="FK135" i="50"/>
  <c r="AJ47" i="50"/>
  <c r="DS182" i="50"/>
  <c r="FF182" i="50"/>
  <c r="ES182" i="50"/>
  <c r="BE182" i="50"/>
  <c r="FK167" i="50"/>
  <c r="AJ54" i="50"/>
  <c r="BN182" i="50"/>
  <c r="FK175" i="50"/>
  <c r="AG25" i="50"/>
  <c r="EB182" i="50"/>
  <c r="FK217" i="50"/>
  <c r="DI90" i="50"/>
  <c r="AK182" i="50"/>
  <c r="FK225" i="50"/>
  <c r="DI98" i="50"/>
  <c r="BH182" i="50"/>
  <c r="AM56" i="50"/>
  <c r="DB182" i="50"/>
  <c r="FK166" i="50"/>
  <c r="AV236" i="50"/>
  <c r="EL182" i="50"/>
  <c r="FK174" i="50"/>
  <c r="C236" i="50"/>
  <c r="DU182" i="50"/>
  <c r="FK119" i="50"/>
  <c r="AG27" i="50"/>
  <c r="BR182" i="50"/>
  <c r="FK127" i="50"/>
  <c r="AG34" i="50"/>
  <c r="EM182" i="50"/>
  <c r="FC236" i="50"/>
  <c r="DI218" i="50"/>
  <c r="FK107" i="50"/>
  <c r="AR236" i="50"/>
  <c r="DI226" i="50"/>
  <c r="FK78" i="50"/>
  <c r="AP236" i="50"/>
  <c r="DI235" i="50"/>
  <c r="FK118" i="50"/>
  <c r="BW236" i="50"/>
  <c r="DH182" i="50"/>
  <c r="FK126" i="50"/>
  <c r="U236" i="50"/>
  <c r="DI137" i="50"/>
  <c r="FC182" i="50"/>
  <c r="AB182" i="50"/>
  <c r="FK234" i="50"/>
  <c r="DI101" i="50"/>
  <c r="Z182" i="50"/>
  <c r="DD236" i="50"/>
  <c r="DX236" i="50"/>
  <c r="S182" i="50"/>
  <c r="CM236" i="50"/>
  <c r="DI133" i="50"/>
  <c r="DY182" i="50"/>
  <c r="CL236" i="50"/>
  <c r="DI141" i="50"/>
  <c r="G182" i="50"/>
  <c r="CH236" i="50"/>
  <c r="DI181" i="50"/>
  <c r="AW182" i="50"/>
  <c r="CY236" i="50"/>
  <c r="DI191" i="50"/>
  <c r="FK185" i="50"/>
  <c r="CQ236" i="50"/>
  <c r="DI139" i="50"/>
  <c r="DI179" i="50"/>
  <c r="J36" i="50"/>
  <c r="AG36" i="50"/>
  <c r="BZ182" i="50"/>
  <c r="FK203" i="50"/>
  <c r="AJ57" i="50"/>
  <c r="BY182" i="50"/>
  <c r="FK211" i="50"/>
  <c r="DI108" i="50"/>
  <c r="AD182" i="50"/>
  <c r="FK220" i="50"/>
  <c r="DI79" i="50"/>
  <c r="BJ182" i="50"/>
  <c r="FK228" i="50"/>
  <c r="CS182" i="50"/>
  <c r="CA236" i="50"/>
  <c r="AG16" i="50"/>
  <c r="EI182" i="50"/>
  <c r="FK200" i="50"/>
  <c r="J35" i="50"/>
  <c r="DT182" i="50"/>
  <c r="FK113" i="50"/>
  <c r="AJ51" i="50"/>
  <c r="BO182" i="50"/>
  <c r="FK153" i="50"/>
  <c r="AG14" i="50"/>
  <c r="DQ182" i="50"/>
  <c r="FK161" i="50"/>
  <c r="DD182" i="50"/>
  <c r="BM182" i="50"/>
  <c r="DI122" i="50"/>
  <c r="M37" i="50"/>
  <c r="CD236" i="50"/>
  <c r="DI130" i="50"/>
  <c r="BP182" i="50"/>
  <c r="I182" i="50"/>
  <c r="DI154" i="50"/>
  <c r="AM57" i="50"/>
  <c r="ED236" i="50"/>
  <c r="DI162" i="50"/>
  <c r="AM23" i="50"/>
  <c r="EC236" i="50"/>
  <c r="DI202" i="50"/>
  <c r="FK91" i="50"/>
  <c r="AU236" i="50"/>
  <c r="DI210" i="50"/>
  <c r="FK99" i="50"/>
  <c r="AS236" i="50"/>
  <c r="DC236" i="50"/>
  <c r="ES236" i="50"/>
  <c r="DI151" i="50"/>
  <c r="K182" i="50"/>
  <c r="BU236" i="50"/>
  <c r="DI159" i="50"/>
  <c r="E182" i="50"/>
  <c r="CI236" i="50"/>
  <c r="DI201" i="50"/>
  <c r="AM63" i="50"/>
  <c r="BQ236" i="50"/>
  <c r="DI114" i="50"/>
  <c r="AM28" i="50"/>
  <c r="CV236" i="50"/>
  <c r="FK140" i="50"/>
  <c r="DI180" i="50"/>
  <c r="DI92" i="50"/>
  <c r="CP182" i="50"/>
  <c r="FK235" i="50"/>
  <c r="DI100" i="50"/>
  <c r="AQ182" i="50"/>
  <c r="FK212" i="50"/>
  <c r="DI103" i="50"/>
  <c r="AF182" i="50"/>
  <c r="FH236" i="50"/>
  <c r="DI111" i="50"/>
  <c r="V182" i="50"/>
  <c r="CN236" i="50"/>
  <c r="AM19" i="50"/>
  <c r="FK193" i="50"/>
  <c r="DI219" i="50"/>
  <c r="FK102" i="50"/>
  <c r="AH236" i="50"/>
  <c r="DI227" i="50"/>
  <c r="FK145" i="50"/>
  <c r="N236" i="50"/>
  <c r="DF182" i="50"/>
  <c r="FK134" i="50"/>
  <c r="R236" i="50"/>
  <c r="DE182" i="50"/>
  <c r="FK142" i="50"/>
  <c r="BI236" i="50"/>
  <c r="CZ182" i="50"/>
  <c r="FK182" i="50"/>
  <c r="AA25" i="26"/>
  <c r="FB182" i="50"/>
  <c r="FK190" i="50"/>
  <c r="J31" i="50"/>
  <c r="AG17" i="50"/>
  <c r="DI190" i="50"/>
  <c r="AM48" i="50"/>
  <c r="DN236" i="50"/>
  <c r="DI200" i="50"/>
  <c r="AM64" i="50"/>
  <c r="AJ236" i="50"/>
  <c r="DI208" i="50"/>
  <c r="FK76" i="50"/>
  <c r="AC236" i="50"/>
  <c r="DI217" i="50"/>
  <c r="FK84" i="50"/>
  <c r="AI236" i="50"/>
  <c r="DI225" i="50"/>
  <c r="O236" i="50"/>
  <c r="FK195" i="50"/>
  <c r="AM22" i="50"/>
  <c r="EZ236" i="50"/>
  <c r="DI199" i="50"/>
  <c r="AM33" i="50"/>
  <c r="CF236" i="50"/>
  <c r="DI112" i="50"/>
  <c r="AM50" i="50"/>
  <c r="CC236" i="50"/>
  <c r="DI152" i="50"/>
  <c r="AM16" i="50"/>
  <c r="EV236" i="50"/>
  <c r="DI160" i="50"/>
  <c r="DI147" i="50"/>
  <c r="BQ182" i="50"/>
  <c r="FK125" i="50"/>
  <c r="AJ43" i="50"/>
  <c r="CV182" i="50"/>
  <c r="FK133" i="50"/>
  <c r="DI172" i="50"/>
  <c r="EE182" i="50"/>
  <c r="FK157" i="50"/>
  <c r="AJ50" i="50"/>
  <c r="CT182" i="50"/>
  <c r="FK165" i="50"/>
  <c r="AG21" i="50"/>
  <c r="BB182" i="50"/>
  <c r="FK207" i="50"/>
  <c r="DI88" i="50"/>
  <c r="AM182" i="50"/>
  <c r="FK215" i="50"/>
  <c r="DI96" i="50"/>
  <c r="AB25" i="26"/>
  <c r="FK187" i="50"/>
  <c r="FD182" i="50"/>
  <c r="FK156" i="50"/>
  <c r="D236" i="50"/>
  <c r="DX182" i="50"/>
  <c r="FK164" i="50"/>
  <c r="H236" i="50"/>
  <c r="CX182" i="50"/>
  <c r="FK204" i="50"/>
  <c r="AG23" i="50"/>
  <c r="EY182" i="50"/>
  <c r="FK117" i="50"/>
  <c r="J34" i="50"/>
  <c r="J40" i="50"/>
  <c r="CK182" i="50"/>
  <c r="AJ53" i="50"/>
  <c r="FK97" i="50"/>
  <c r="AO236" i="50"/>
  <c r="DI232" i="50"/>
  <c r="FK105" i="50"/>
  <c r="DM236" i="50"/>
  <c r="DI209" i="50"/>
  <c r="FK108" i="50"/>
  <c r="Q236" i="50"/>
  <c r="FJ182" i="50"/>
  <c r="FK116" i="50"/>
  <c r="P236" i="50"/>
  <c r="EG236" i="50"/>
  <c r="BC182" i="50"/>
  <c r="BX182" i="50"/>
  <c r="FK224" i="50"/>
  <c r="DI99" i="50"/>
  <c r="DL182" i="50"/>
  <c r="FK232" i="50"/>
  <c r="FK150" i="50"/>
  <c r="BW182" i="50"/>
  <c r="EP236" i="50"/>
  <c r="DI131" i="50"/>
  <c r="U182" i="50"/>
  <c r="DW236" i="50"/>
  <c r="BT236" i="50"/>
  <c r="DO182" i="50"/>
  <c r="FK201" i="50"/>
  <c r="DI74" i="50"/>
  <c r="BL182" i="50"/>
  <c r="FK209" i="50"/>
  <c r="DI82" i="50"/>
  <c r="EA182" i="50"/>
  <c r="FK218" i="50"/>
  <c r="DI85" i="50"/>
  <c r="AE182" i="50"/>
  <c r="FK226" i="50"/>
  <c r="DI93" i="50"/>
  <c r="AM34" i="50"/>
  <c r="DI155" i="50"/>
  <c r="FA182" i="50"/>
  <c r="FK198" i="50"/>
  <c r="AJ48" i="50"/>
  <c r="BS182" i="50"/>
  <c r="FK111" i="50"/>
  <c r="AJ64" i="50"/>
  <c r="EW182" i="50"/>
  <c r="FK151" i="50"/>
  <c r="AG26" i="50"/>
  <c r="EF182" i="50"/>
  <c r="FK159" i="50"/>
  <c r="J37" i="50"/>
  <c r="CA182" i="50"/>
  <c r="FK160" i="50"/>
  <c r="AM25" i="50"/>
  <c r="CU236" i="50"/>
  <c r="DI136" i="50"/>
  <c r="AM36" i="50"/>
  <c r="DI170" i="50"/>
  <c r="DI192" i="50"/>
  <c r="AM35" i="50"/>
  <c r="BD236" i="50"/>
  <c r="DI168" i="50"/>
  <c r="AM53" i="50"/>
  <c r="EU236" i="50"/>
  <c r="DI176" i="50"/>
  <c r="FK81" i="50"/>
  <c r="BK236" i="50"/>
  <c r="DI216" i="50"/>
  <c r="FK89" i="50"/>
  <c r="AT236" i="50"/>
  <c r="DI224" i="50"/>
  <c r="DI182" i="50"/>
  <c r="DI157" i="50"/>
  <c r="L182" i="50"/>
  <c r="DA236" i="50"/>
  <c r="DI165" i="50"/>
  <c r="J182" i="50"/>
  <c r="EK236" i="50"/>
  <c r="DI173" i="50"/>
  <c r="AM43" i="50"/>
  <c r="EH236" i="50"/>
  <c r="DI120" i="50"/>
  <c r="AM59" i="50"/>
  <c r="BG236" i="50"/>
  <c r="DI128" i="50"/>
  <c r="BC236" i="50"/>
  <c r="N182" i="50"/>
  <c r="ER182" i="50"/>
  <c r="FK233" i="50"/>
  <c r="DI106" i="50"/>
  <c r="AL182" i="50"/>
  <c r="FK210" i="50"/>
  <c r="DI77" i="50"/>
  <c r="CO182" i="50"/>
  <c r="DG236" i="50"/>
  <c r="DI117" i="50"/>
  <c r="AG182" i="50"/>
  <c r="FG236" i="50"/>
  <c r="DI125" i="50"/>
  <c r="CK236" i="50"/>
  <c r="M236" i="50"/>
  <c r="FK92" i="50"/>
  <c r="AA236" i="50"/>
  <c r="DI233" i="50"/>
  <c r="FK100" i="50"/>
  <c r="FK173" i="50"/>
  <c r="FH182" i="50"/>
  <c r="FK124" i="50"/>
  <c r="DK236" i="50"/>
  <c r="CN182" i="50"/>
  <c r="FK132" i="50"/>
  <c r="X236" i="50"/>
  <c r="BU182" i="50"/>
  <c r="FK172" i="50"/>
  <c r="AE25" i="26"/>
  <c r="CI182" i="50"/>
  <c r="FK180" i="50"/>
  <c r="AG24" i="50"/>
  <c r="DI97" i="50"/>
  <c r="O182" i="50"/>
  <c r="AM44" i="50"/>
  <c r="BM236" i="50"/>
  <c r="DI198" i="50"/>
  <c r="AM60" i="50"/>
  <c r="BZ236" i="50"/>
  <c r="DI206" i="50"/>
  <c r="FK74" i="50"/>
  <c r="AQ236" i="50"/>
  <c r="DI215" i="50"/>
  <c r="FK82" i="50"/>
  <c r="AD236" i="50"/>
  <c r="DI223" i="50"/>
  <c r="FK112" i="50"/>
  <c r="DI184" i="50"/>
  <c r="AM18" i="50"/>
  <c r="EJ236" i="50"/>
  <c r="DI197" i="50"/>
  <c r="M30" i="50"/>
  <c r="EI236" i="50"/>
  <c r="DI205" i="50"/>
  <c r="AM46" i="50"/>
  <c r="DR236" i="50"/>
  <c r="DI150" i="50"/>
  <c r="FK73" i="50"/>
  <c r="BO236" i="50"/>
  <c r="DI158" i="50"/>
  <c r="EQ182" i="50"/>
  <c r="BI182" i="50"/>
  <c r="FK123" i="50"/>
  <c r="AG30" i="50"/>
  <c r="CU182" i="50"/>
  <c r="FK131" i="50"/>
  <c r="DI229" i="50"/>
  <c r="DJ236" i="50"/>
  <c r="FK155" i="50"/>
  <c r="J33" i="50"/>
  <c r="BD182" i="50"/>
  <c r="FK163" i="50"/>
  <c r="AJ46" i="50"/>
  <c r="EU182" i="50"/>
  <c r="FK205" i="50"/>
  <c r="DI78" i="50"/>
  <c r="BK182" i="50"/>
  <c r="FK213" i="50"/>
  <c r="DI86" i="50"/>
  <c r="AT182" i="50"/>
  <c r="DZ236" i="50"/>
  <c r="AG28" i="50"/>
  <c r="FK154" i="50"/>
  <c r="I236" i="50"/>
  <c r="DA182" i="50"/>
  <c r="FK162" i="50"/>
  <c r="K236" i="50"/>
  <c r="EK182" i="50"/>
  <c r="FK202" i="50"/>
  <c r="AJ56" i="50"/>
  <c r="EH182" i="50"/>
  <c r="FK115" i="50"/>
  <c r="AG19" i="50"/>
  <c r="BG182" i="50"/>
  <c r="BF236" i="50"/>
  <c r="AM30" i="50"/>
  <c r="FK95" i="50"/>
  <c r="BA236" i="50"/>
  <c r="DI230" i="50"/>
  <c r="FK103" i="50"/>
  <c r="CP236" i="50"/>
  <c r="DI207" i="50"/>
  <c r="FK106" i="50"/>
  <c r="AZ236" i="50"/>
  <c r="DG182" i="50"/>
  <c r="FK114" i="50"/>
  <c r="AF236" i="50"/>
  <c r="FG182" i="50"/>
  <c r="FJ236" i="50"/>
  <c r="FK179" i="50"/>
  <c r="FK222" i="50"/>
  <c r="DI89" i="50"/>
  <c r="AA182" i="50"/>
  <c r="FK230" i="50"/>
  <c r="DR182" i="50"/>
  <c r="EC182" i="50"/>
  <c r="DF236" i="50"/>
  <c r="DI121" i="50"/>
  <c r="DK182" i="50"/>
  <c r="DE236" i="50"/>
  <c r="DI129" i="50"/>
  <c r="X182" i="50"/>
  <c r="CZ236" i="50"/>
  <c r="DI169" i="50"/>
  <c r="AM14" i="50"/>
  <c r="FB236" i="50"/>
  <c r="DI177" i="50"/>
  <c r="AM29" i="50"/>
  <c r="DI144" i="50"/>
  <c r="CR182" i="50"/>
  <c r="EO236" i="50"/>
  <c r="C182" i="50"/>
  <c r="AJ59" i="50"/>
  <c r="ET182" i="50"/>
  <c r="FK191" i="50"/>
  <c r="DI73" i="50"/>
  <c r="CQ182" i="50"/>
  <c r="FK199" i="50"/>
  <c r="DI80" i="50"/>
  <c r="AR182" i="50"/>
  <c r="FK208" i="50"/>
  <c r="DI83" i="50"/>
  <c r="AP182" i="50"/>
  <c r="FK216" i="50"/>
  <c r="DI91" i="50"/>
  <c r="FK143" i="50"/>
  <c r="FK152" i="50"/>
  <c r="DV182" i="50"/>
  <c r="FK188" i="50"/>
  <c r="AJ44" i="50"/>
  <c r="CG182" i="50"/>
  <c r="FK196" i="50"/>
  <c r="AJ60" i="50"/>
  <c r="CD182" i="50"/>
  <c r="FK141" i="50"/>
  <c r="AG22" i="50"/>
  <c r="BF182" i="50"/>
  <c r="FK149" i="50"/>
  <c r="AG33" i="50"/>
  <c r="BP236" i="50"/>
  <c r="FD236" i="50"/>
  <c r="AM21" i="50"/>
  <c r="EX236" i="50"/>
  <c r="DI134" i="50"/>
  <c r="M33" i="50"/>
  <c r="Y236" i="50"/>
  <c r="AG32" i="50"/>
  <c r="M32" i="50"/>
  <c r="DQ236" i="50"/>
  <c r="DI166" i="50"/>
  <c r="AM49" i="50"/>
  <c r="DP236" i="50"/>
  <c r="DI174" i="50"/>
  <c r="FK79" i="50"/>
  <c r="BY236" i="50"/>
  <c r="DI214" i="50"/>
  <c r="FK87" i="50"/>
  <c r="AN236" i="50"/>
  <c r="DI222" i="50"/>
  <c r="Z25" i="26"/>
  <c r="FE182" i="50"/>
  <c r="DJ182" i="50"/>
  <c r="BV236" i="50"/>
  <c r="DI163" i="50"/>
  <c r="M182" i="50"/>
  <c r="CJ236" i="50"/>
  <c r="DI171" i="50"/>
  <c r="M40" i="50"/>
  <c r="DT236" i="50"/>
  <c r="DI118" i="50"/>
  <c r="AM55" i="50"/>
  <c r="CW236" i="50"/>
  <c r="DI126" i="50"/>
  <c r="DI142" i="50"/>
  <c r="ET236" i="50"/>
  <c r="AU182" i="50"/>
  <c r="FK223" i="50"/>
  <c r="DI104" i="50"/>
  <c r="AS182" i="50"/>
  <c r="FK231" i="50"/>
  <c r="DI75" i="50"/>
  <c r="AH182" i="50"/>
  <c r="AC25" i="26"/>
  <c r="DI115" i="50"/>
  <c r="DZ182" i="50"/>
  <c r="FI236" i="50"/>
  <c r="DI123" i="50"/>
  <c r="DI107" i="50"/>
  <c r="DI149" i="50"/>
  <c r="FK90" i="50"/>
  <c r="BJ236" i="50"/>
  <c r="DI231" i="50"/>
  <c r="FK98" i="50"/>
  <c r="DI132" i="50"/>
  <c r="M35" i="50"/>
  <c r="FK122" i="50"/>
  <c r="V236" i="50"/>
  <c r="CM182" i="50"/>
  <c r="FK130" i="50"/>
  <c r="T236" i="50"/>
  <c r="CL182" i="50"/>
  <c r="FK170" i="50"/>
  <c r="E236" i="50"/>
  <c r="CH182" i="50"/>
  <c r="FK178" i="50"/>
  <c r="F236" i="50"/>
  <c r="CY182" i="50"/>
  <c r="AM58" i="50"/>
  <c r="FK146" i="50"/>
  <c r="DO236" i="50"/>
  <c r="DI188" i="50"/>
  <c r="FK77" i="50"/>
  <c r="BL236" i="50"/>
  <c r="DI196" i="50"/>
  <c r="FK85" i="50"/>
  <c r="EA236" i="50"/>
  <c r="DI236" i="50"/>
  <c r="FK88" i="50"/>
  <c r="AE236" i="50"/>
  <c r="DI213" i="50"/>
  <c r="FK96" i="50"/>
  <c r="FK171" i="50"/>
  <c r="EN182" i="50"/>
  <c r="FA236" i="50"/>
  <c r="DI187" i="50"/>
  <c r="M39" i="50"/>
  <c r="BS236" i="50"/>
  <c r="DI195" i="50"/>
  <c r="AM51" i="50"/>
  <c r="EW236" i="50"/>
  <c r="DI140" i="50"/>
  <c r="AM24" i="50"/>
  <c r="EF236" i="50"/>
  <c r="DI148" i="50"/>
  <c r="AM45" i="50"/>
  <c r="FK138" i="50"/>
  <c r="EM236" i="50"/>
  <c r="J30" i="50"/>
  <c r="EG182" i="50"/>
  <c r="FK137" i="50"/>
  <c r="J39" i="50"/>
  <c r="FK110" i="50"/>
  <c r="FK148" i="50"/>
  <c r="AG29" i="50"/>
  <c r="DP182" i="50"/>
  <c r="FK169" i="50"/>
  <c r="AJ42" i="50"/>
  <c r="CB182" i="50"/>
  <c r="FK177" i="50"/>
  <c r="DI76" i="50"/>
  <c r="AN182" i="50"/>
  <c r="FK219" i="50"/>
  <c r="DI84" i="50"/>
  <c r="BA182" i="50"/>
  <c r="FK227" i="50"/>
  <c r="DI135" i="50"/>
  <c r="BV182" i="50"/>
  <c r="L236" i="50"/>
  <c r="CJ182" i="50"/>
  <c r="FK168" i="50"/>
  <c r="J236" i="50"/>
  <c r="DW182" i="50"/>
  <c r="FK176" i="50"/>
  <c r="AJ52" i="50"/>
  <c r="CW182" i="50"/>
  <c r="FK121" i="50"/>
  <c r="AG15" i="50"/>
  <c r="EX182" i="50"/>
  <c r="FK129" i="50"/>
  <c r="AJ58" i="50"/>
  <c r="M31" i="50"/>
  <c r="ER236" i="50"/>
  <c r="DI220" i="50"/>
  <c r="FK109" i="50"/>
  <c r="AL236" i="50"/>
  <c r="DI228" i="50"/>
  <c r="FK80" i="50"/>
  <c r="CO236" i="50"/>
  <c r="FI182" i="50"/>
  <c r="FK120" i="50"/>
  <c r="AG236" i="50"/>
  <c r="EP182" i="50"/>
  <c r="FK128" i="50"/>
  <c r="AY236" i="50"/>
  <c r="DI145" i="50"/>
  <c r="DI87" i="50"/>
  <c r="Y182" i="50"/>
  <c r="FK236" i="50"/>
  <c r="DI95" i="50"/>
  <c r="EQ236" i="50"/>
  <c r="J32" i="50"/>
  <c r="DI119" i="50"/>
  <c r="T182" i="50"/>
  <c r="FF236" i="50"/>
  <c r="DI127" i="50"/>
  <c r="W182" i="50"/>
  <c r="FE236" i="50"/>
  <c r="DI167" i="50"/>
  <c r="F182" i="50"/>
  <c r="DV236" i="50"/>
  <c r="DI175" i="50"/>
  <c r="AM26" i="50"/>
  <c r="CG236" i="50"/>
  <c r="AY182" i="50"/>
  <c r="AM52" i="50"/>
  <c r="AV182" i="50"/>
  <c r="DI189" i="50"/>
  <c r="E32" i="41" l="1"/>
  <c r="D191" i="49"/>
  <c r="N74" i="49"/>
  <c r="X191" i="49"/>
  <c r="DF74" i="49"/>
  <c r="H32" i="41"/>
  <c r="K27" i="34"/>
  <c r="I245" i="49"/>
  <c r="AT74" i="49"/>
  <c r="AC245" i="49"/>
  <c r="EL74" i="49"/>
  <c r="I191" i="49"/>
  <c r="AL74" i="49"/>
  <c r="AC191" i="49"/>
  <c r="ED74" i="49"/>
  <c r="N245" i="49"/>
  <c r="BR74" i="49"/>
  <c r="AH245" i="49"/>
  <c r="FJ74" i="49"/>
  <c r="AB30" i="25"/>
  <c r="AC30" i="25" s="1"/>
  <c r="Z31" i="25"/>
  <c r="AA30" i="25"/>
  <c r="N191" i="49"/>
  <c r="BJ74" i="49"/>
  <c r="AH191" i="49"/>
  <c r="FB74" i="49"/>
  <c r="L28" i="34"/>
  <c r="K28" i="34" s="1"/>
  <c r="N28" i="34"/>
  <c r="M28" i="34"/>
  <c r="J29" i="34" s="1"/>
  <c r="S245" i="49"/>
  <c r="CP74" i="49"/>
  <c r="Y27" i="26"/>
  <c r="W27" i="26"/>
  <c r="V27" i="26"/>
  <c r="T28" i="26"/>
  <c r="U28" i="26" s="1"/>
  <c r="S27" i="26"/>
  <c r="S191" i="49"/>
  <c r="CH74" i="49"/>
  <c r="B33" i="41"/>
  <c r="BW20" i="26"/>
  <c r="BK20" i="26"/>
  <c r="BM20" i="26" s="1"/>
  <c r="BV20" i="26"/>
  <c r="BY20" i="26"/>
  <c r="BU20" i="26"/>
  <c r="BX20" i="26"/>
  <c r="BT20" i="26"/>
  <c r="BL20" i="26"/>
  <c r="BH20" i="26"/>
  <c r="D245" i="49"/>
  <c r="V74" i="49"/>
  <c r="X245" i="49"/>
  <c r="DN74" i="49"/>
  <c r="AE26" i="26"/>
  <c r="CF237" i="50"/>
  <c r="G41" i="50"/>
  <c r="G237" i="50"/>
  <c r="Q237" i="50"/>
  <c r="AF62" i="50"/>
  <c r="DX237" i="50"/>
  <c r="E237" i="50"/>
  <c r="E41" i="50"/>
  <c r="DS183" i="50"/>
  <c r="CC183" i="50"/>
  <c r="AM65" i="50"/>
  <c r="AE62" i="50"/>
  <c r="AG183" i="50"/>
  <c r="DK183" i="50"/>
  <c r="FE183" i="50"/>
  <c r="AJ183" i="50"/>
  <c r="AM37" i="50"/>
  <c r="AU183" i="50"/>
  <c r="CE183" i="50"/>
  <c r="H183" i="50"/>
  <c r="DH237" i="50"/>
  <c r="AA183" i="50"/>
  <c r="EZ183" i="50"/>
  <c r="DF183" i="50"/>
  <c r="BJ237" i="50"/>
  <c r="CJ237" i="50"/>
  <c r="J38" i="50"/>
  <c r="L183" i="50"/>
  <c r="CA237" i="50"/>
  <c r="CG183" i="50"/>
  <c r="AK62" i="50"/>
  <c r="Z183" i="50"/>
  <c r="DD237" i="50"/>
  <c r="BR237" i="50"/>
  <c r="W37" i="50"/>
  <c r="DI237" i="50"/>
  <c r="AH62" i="50"/>
  <c r="R183" i="50"/>
  <c r="AC31" i="50"/>
  <c r="AB37" i="50"/>
  <c r="W62" i="50"/>
  <c r="AD183" i="50"/>
  <c r="X37" i="50"/>
  <c r="CE237" i="50"/>
  <c r="DC183" i="50"/>
  <c r="S37" i="50"/>
  <c r="BL183" i="50"/>
  <c r="DZ183" i="50"/>
  <c r="AC37" i="50"/>
  <c r="BG237" i="50"/>
  <c r="EQ183" i="50"/>
  <c r="T237" i="50"/>
  <c r="AF237" i="50"/>
  <c r="BB183" i="50"/>
  <c r="DU183" i="50"/>
  <c r="U31" i="50"/>
  <c r="F38" i="50"/>
  <c r="CV183" i="50"/>
  <c r="CL183" i="50"/>
  <c r="AL37" i="50"/>
  <c r="AA37" i="50"/>
  <c r="FD183" i="50"/>
  <c r="K38" i="50"/>
  <c r="D237" i="50"/>
  <c r="DD183" i="50"/>
  <c r="EF183" i="50"/>
  <c r="CI237" i="50"/>
  <c r="J41" i="50"/>
  <c r="AE237" i="50"/>
  <c r="BP237" i="50"/>
  <c r="CI183" i="50"/>
  <c r="FF183" i="50"/>
  <c r="DA183" i="50"/>
  <c r="C237" i="50"/>
  <c r="BA237" i="50"/>
  <c r="AC26" i="26"/>
  <c r="C41" i="50"/>
  <c r="DG183" i="50"/>
  <c r="ED237" i="50"/>
  <c r="CA183" i="50"/>
  <c r="N183" i="50"/>
  <c r="I237" i="50"/>
  <c r="E38" i="50"/>
  <c r="CP183" i="50"/>
  <c r="FC237" i="50"/>
  <c r="T31" i="50"/>
  <c r="CT237" i="50"/>
  <c r="X31" i="50"/>
  <c r="Y62" i="50"/>
  <c r="Y37" i="50"/>
  <c r="T65" i="50"/>
  <c r="AE31" i="50"/>
  <c r="EM237" i="50"/>
  <c r="V31" i="50"/>
  <c r="EN237" i="50"/>
  <c r="EH183" i="50"/>
  <c r="AI62" i="50"/>
  <c r="AR237" i="50"/>
  <c r="BW183" i="50"/>
  <c r="CL237" i="50"/>
  <c r="DA237" i="50"/>
  <c r="BZ237" i="50"/>
  <c r="ES237" i="50"/>
  <c r="AA31" i="50"/>
  <c r="DJ237" i="50"/>
  <c r="AH37" i="50"/>
  <c r="AH183" i="50"/>
  <c r="DP183" i="50"/>
  <c r="FJ237" i="50"/>
  <c r="U62" i="50"/>
  <c r="AB65" i="50"/>
  <c r="BC237" i="50"/>
  <c r="BD183" i="50"/>
  <c r="FE237" i="50"/>
  <c r="EG237" i="50"/>
  <c r="BN237" i="50"/>
  <c r="EK183" i="50"/>
  <c r="AJ62" i="50"/>
  <c r="AP183" i="50"/>
  <c r="DR183" i="50"/>
  <c r="L38" i="50"/>
  <c r="CQ237" i="50"/>
  <c r="DQ237" i="50"/>
  <c r="BM183" i="50"/>
  <c r="AE65" i="50"/>
  <c r="BI237" i="50"/>
  <c r="AK37" i="50"/>
  <c r="CY237" i="50"/>
  <c r="EO183" i="50"/>
  <c r="E183" i="50"/>
  <c r="Q183" i="50"/>
  <c r="BQ237" i="50"/>
  <c r="AE37" i="50"/>
  <c r="AA26" i="26"/>
  <c r="AA65" i="50"/>
  <c r="Z31" i="50"/>
  <c r="DE237" i="50"/>
  <c r="BS237" i="50"/>
  <c r="EQ237" i="50"/>
  <c r="Y237" i="50"/>
  <c r="EX183" i="50"/>
  <c r="AZ183" i="50"/>
  <c r="EJ183" i="50"/>
  <c r="N237" i="50"/>
  <c r="EP183" i="50"/>
  <c r="AX183" i="50"/>
  <c r="AF65" i="50"/>
  <c r="BD237" i="50"/>
  <c r="DI183" i="50"/>
  <c r="U65" i="50"/>
  <c r="BL237" i="50"/>
  <c r="CF183" i="50"/>
  <c r="AK31" i="50"/>
  <c r="CO183" i="50"/>
  <c r="CB183" i="50"/>
  <c r="AG65" i="50"/>
  <c r="FF237" i="50"/>
  <c r="AH237" i="50"/>
  <c r="AN237" i="50"/>
  <c r="AG62" i="50"/>
  <c r="CU183" i="50"/>
  <c r="AF183" i="50"/>
  <c r="EH237" i="50"/>
  <c r="DR237" i="50"/>
  <c r="EL183" i="50"/>
  <c r="DS237" i="50"/>
  <c r="DB183" i="50"/>
  <c r="AY237" i="50"/>
  <c r="AM183" i="50"/>
  <c r="BR183" i="50"/>
  <c r="AI37" i="50"/>
  <c r="R62" i="50"/>
  <c r="BZ183" i="50"/>
  <c r="BO183" i="50"/>
  <c r="CM237" i="50"/>
  <c r="H237" i="50"/>
  <c r="BW237" i="50"/>
  <c r="CX183" i="50"/>
  <c r="V62" i="50"/>
  <c r="W237" i="50"/>
  <c r="AR183" i="50"/>
  <c r="EG183" i="50"/>
  <c r="C183" i="50"/>
  <c r="S183" i="50"/>
  <c r="AB237" i="50"/>
  <c r="CC237" i="50"/>
  <c r="FI237" i="50"/>
  <c r="BH237" i="50"/>
  <c r="AB183" i="50"/>
  <c r="DG237" i="50"/>
  <c r="AJ65" i="50"/>
  <c r="V183" i="50"/>
  <c r="F41" i="50"/>
  <c r="AT237" i="50"/>
  <c r="Z237" i="50"/>
  <c r="ED183" i="50"/>
  <c r="CZ183" i="50"/>
  <c r="BI183" i="50"/>
  <c r="AQ183" i="50"/>
  <c r="DO237" i="50"/>
  <c r="EJ237" i="50"/>
  <c r="AC237" i="50"/>
  <c r="EO237" i="50"/>
  <c r="H41" i="50"/>
  <c r="AB26" i="26"/>
  <c r="CG237" i="50"/>
  <c r="M237" i="50"/>
  <c r="CQ183" i="50"/>
  <c r="EU183" i="50"/>
  <c r="AA237" i="50"/>
  <c r="DV183" i="50"/>
  <c r="AI65" i="50"/>
  <c r="Z62" i="50"/>
  <c r="CR237" i="50"/>
  <c r="BT237" i="50"/>
  <c r="G183" i="50"/>
  <c r="V37" i="50"/>
  <c r="DM183" i="50"/>
  <c r="DE183" i="50"/>
  <c r="AP237" i="50"/>
  <c r="AA62" i="50"/>
  <c r="AN183" i="50"/>
  <c r="EW183" i="50"/>
  <c r="R31" i="50"/>
  <c r="X237" i="50"/>
  <c r="AO237" i="50"/>
  <c r="EM183" i="50"/>
  <c r="T37" i="50"/>
  <c r="X183" i="50"/>
  <c r="AS237" i="50"/>
  <c r="AY183" i="50"/>
  <c r="X62" i="50"/>
  <c r="BX183" i="50"/>
  <c r="AK183" i="50"/>
  <c r="EW237" i="50"/>
  <c r="FD237" i="50"/>
  <c r="U237" i="50"/>
  <c r="AJ237" i="50"/>
  <c r="BU237" i="50"/>
  <c r="AG31" i="50"/>
  <c r="CV237" i="50"/>
  <c r="BF183" i="50"/>
  <c r="H38" i="50"/>
  <c r="FH237" i="50"/>
  <c r="BH183" i="50"/>
  <c r="BY237" i="50"/>
  <c r="FA237" i="50"/>
  <c r="FH183" i="50"/>
  <c r="L237" i="50"/>
  <c r="BN183" i="50"/>
  <c r="BK183" i="50"/>
  <c r="I41" i="50"/>
  <c r="CN237" i="50"/>
  <c r="AL65" i="50"/>
  <c r="AB31" i="50"/>
  <c r="S62" i="50"/>
  <c r="CH183" i="50"/>
  <c r="AM31" i="50"/>
  <c r="D183" i="50"/>
  <c r="AF31" i="50"/>
  <c r="DW183" i="50"/>
  <c r="EE237" i="50"/>
  <c r="FB237" i="50"/>
  <c r="R65" i="50"/>
  <c r="T183" i="50"/>
  <c r="ET237" i="50"/>
  <c r="CK237" i="50"/>
  <c r="EE183" i="50"/>
  <c r="AE183" i="50"/>
  <c r="CS237" i="50"/>
  <c r="DW237" i="50"/>
  <c r="AX237" i="50"/>
  <c r="DM237" i="50"/>
  <c r="CS183" i="50"/>
  <c r="AO183" i="50"/>
  <c r="EN183" i="50"/>
  <c r="AG237" i="50"/>
  <c r="BM237" i="50"/>
  <c r="T62" i="50"/>
  <c r="Z65" i="50"/>
  <c r="DL237" i="50"/>
  <c r="CH237" i="50"/>
  <c r="F183" i="50"/>
  <c r="CR183" i="50"/>
  <c r="EY237" i="50"/>
  <c r="FG237" i="50"/>
  <c r="AF37" i="50"/>
  <c r="EU237" i="50"/>
  <c r="EY183" i="50"/>
  <c r="DT183" i="50"/>
  <c r="BU183" i="50"/>
  <c r="BX237" i="50"/>
  <c r="AT183" i="50"/>
  <c r="DF237" i="50"/>
  <c r="S31" i="50"/>
  <c r="DP237" i="50"/>
  <c r="ER237" i="50"/>
  <c r="M183" i="50"/>
  <c r="AD37" i="50"/>
  <c r="DN237" i="50"/>
  <c r="AL62" i="50"/>
  <c r="AD65" i="50"/>
  <c r="AD31" i="50"/>
  <c r="CD237" i="50"/>
  <c r="CT183" i="50"/>
  <c r="BS183" i="50"/>
  <c r="DK237" i="50"/>
  <c r="AI237" i="50"/>
  <c r="CW183" i="50"/>
  <c r="CY183" i="50"/>
  <c r="DH183" i="50"/>
  <c r="O237" i="50"/>
  <c r="U183" i="50"/>
  <c r="EA237" i="50"/>
  <c r="CU237" i="50"/>
  <c r="R37" i="50"/>
  <c r="V237" i="50"/>
  <c r="EA183" i="50"/>
  <c r="AW183" i="50"/>
  <c r="BP183" i="50"/>
  <c r="D38" i="50"/>
  <c r="DL183" i="50"/>
  <c r="ET183" i="50"/>
  <c r="EB237" i="50"/>
  <c r="EB183" i="50"/>
  <c r="G38" i="50"/>
  <c r="BG183" i="50"/>
  <c r="AJ37" i="50"/>
  <c r="BO237" i="50"/>
  <c r="AI31" i="50"/>
  <c r="FI183" i="50"/>
  <c r="AL183" i="50"/>
  <c r="EP237" i="50"/>
  <c r="FJ183" i="50"/>
  <c r="I183" i="50"/>
  <c r="Y183" i="50"/>
  <c r="DV237" i="50"/>
  <c r="M41" i="50"/>
  <c r="AV237" i="50"/>
  <c r="AZ237" i="50"/>
  <c r="CJ183" i="50"/>
  <c r="BT183" i="50"/>
  <c r="AV183" i="50"/>
  <c r="D41" i="50"/>
  <c r="DU237" i="50"/>
  <c r="P237" i="50"/>
  <c r="S65" i="50"/>
  <c r="EK237" i="50"/>
  <c r="AC65" i="50"/>
  <c r="EI183" i="50"/>
  <c r="BK237" i="50"/>
  <c r="Y65" i="50"/>
  <c r="DO183" i="50"/>
  <c r="Y31" i="50"/>
  <c r="AH31" i="50"/>
  <c r="AG37" i="50"/>
  <c r="BQ183" i="50"/>
  <c r="BV237" i="50"/>
  <c r="C38" i="50"/>
  <c r="AK237" i="50"/>
  <c r="CW237" i="50"/>
  <c r="BV183" i="50"/>
  <c r="AW237" i="50"/>
  <c r="DB237" i="50"/>
  <c r="K183" i="50"/>
  <c r="EL237" i="50"/>
  <c r="EC237" i="50"/>
  <c r="CP237" i="50"/>
  <c r="DZ237" i="50"/>
  <c r="DN183" i="50"/>
  <c r="X65" i="50"/>
  <c r="FC183" i="50"/>
  <c r="FK237" i="50"/>
  <c r="W31" i="50"/>
  <c r="EF237" i="50"/>
  <c r="AH65" i="50"/>
  <c r="FK183" i="50"/>
  <c r="W65" i="50"/>
  <c r="AM62" i="50"/>
  <c r="K41" i="50"/>
  <c r="AS183" i="50"/>
  <c r="BA183" i="50"/>
  <c r="Z37" i="50"/>
  <c r="AC183" i="50"/>
  <c r="AI183" i="50"/>
  <c r="DY183" i="50"/>
  <c r="DY237" i="50"/>
  <c r="ER183" i="50"/>
  <c r="AD62" i="50"/>
  <c r="AC62" i="50"/>
  <c r="F237" i="50"/>
  <c r="AQ237" i="50"/>
  <c r="EI237" i="50"/>
  <c r="CX237" i="50"/>
  <c r="CN183" i="50"/>
  <c r="AU237" i="50"/>
  <c r="EC183" i="50"/>
  <c r="FB183" i="50"/>
  <c r="DC237" i="50"/>
  <c r="J183" i="50"/>
  <c r="DX183" i="50"/>
  <c r="AD237" i="50"/>
  <c r="BE183" i="50"/>
  <c r="ES183" i="50"/>
  <c r="W183" i="50"/>
  <c r="AM237" i="50"/>
  <c r="CB237" i="50"/>
  <c r="AL31" i="50"/>
  <c r="FG183" i="50"/>
  <c r="DJ183" i="50"/>
  <c r="EV237" i="50"/>
  <c r="EV183" i="50"/>
  <c r="M38" i="50"/>
  <c r="BF237" i="50"/>
  <c r="K237" i="50"/>
  <c r="I38" i="50"/>
  <c r="O183" i="50"/>
  <c r="CO237" i="50"/>
  <c r="CZ237" i="50"/>
  <c r="BB237" i="50"/>
  <c r="U37" i="50"/>
  <c r="BC183" i="50"/>
  <c r="AL237" i="50"/>
  <c r="CD183" i="50"/>
  <c r="CK183" i="50"/>
  <c r="P183" i="50"/>
  <c r="BY183" i="50"/>
  <c r="BE237" i="50"/>
  <c r="AK65" i="50"/>
  <c r="EX237" i="50"/>
  <c r="J237" i="50"/>
  <c r="AB62" i="50"/>
  <c r="EZ237" i="50"/>
  <c r="L41" i="50"/>
  <c r="AD26" i="26"/>
  <c r="S237" i="50"/>
  <c r="R237" i="50"/>
  <c r="Z26" i="26"/>
  <c r="DQ183" i="50"/>
  <c r="BJ183" i="50"/>
  <c r="FA183" i="50"/>
  <c r="DT237" i="50"/>
  <c r="AJ31" i="50"/>
  <c r="V65" i="50"/>
  <c r="CM183" i="50"/>
  <c r="BI21" i="26" l="1"/>
  <c r="BJ21" i="26" s="1"/>
  <c r="BN20" i="26"/>
  <c r="BO20" i="26"/>
  <c r="BP20" i="26"/>
  <c r="BQ20" i="26"/>
  <c r="BR20" i="26"/>
  <c r="BS20" i="26"/>
  <c r="L29" i="34"/>
  <c r="M29" i="34"/>
  <c r="J30" i="34" s="1"/>
  <c r="AB31" i="25"/>
  <c r="AC31" i="25" s="1"/>
  <c r="Z32" i="25"/>
  <c r="AA31" i="25"/>
  <c r="T29" i="26"/>
  <c r="U29" i="26" s="1"/>
  <c r="S28" i="26"/>
  <c r="W28" i="26"/>
  <c r="Y28" i="26" s="1"/>
  <c r="V28" i="26"/>
  <c r="C33" i="41"/>
  <c r="D33" i="41"/>
  <c r="F33" i="41"/>
  <c r="J32" i="41"/>
  <c r="L32" i="41" s="1"/>
  <c r="I32" i="41"/>
  <c r="K32" i="41" s="1"/>
  <c r="AE27" i="26"/>
  <c r="AD27" i="26"/>
  <c r="Z27" i="26"/>
  <c r="AC27" i="26"/>
  <c r="AA27" i="26"/>
  <c r="AB27" i="26"/>
  <c r="M30" i="34" l="1"/>
  <c r="J31" i="34" s="1"/>
  <c r="L30" i="34"/>
  <c r="B34" i="41"/>
  <c r="AB32" i="25"/>
  <c r="AC32" i="25" s="1"/>
  <c r="Z33" i="25"/>
  <c r="AA32" i="25"/>
  <c r="N29" i="34"/>
  <c r="E33" i="41"/>
  <c r="H33" i="41"/>
  <c r="Y29" i="26"/>
  <c r="T30" i="26"/>
  <c r="U30" i="26" s="1"/>
  <c r="S29" i="26"/>
  <c r="W29" i="26"/>
  <c r="V29" i="26"/>
  <c r="K29" i="34"/>
  <c r="BK21" i="26"/>
  <c r="BM21" i="26" s="1"/>
  <c r="BV21" i="26"/>
  <c r="BL21" i="26"/>
  <c r="BW21" i="26" s="1"/>
  <c r="BH21" i="26"/>
  <c r="AE28" i="26"/>
  <c r="AA28" i="26"/>
  <c r="Z28" i="26"/>
  <c r="AC28" i="26"/>
  <c r="AD28" i="26"/>
  <c r="AB28" i="26"/>
  <c r="BX21" i="26" l="1"/>
  <c r="BY21" i="26"/>
  <c r="BP21" i="26"/>
  <c r="BQ21" i="26"/>
  <c r="BR21" i="26"/>
  <c r="BS21" i="26"/>
  <c r="BT21" i="26"/>
  <c r="BU21" i="26"/>
  <c r="AB33" i="25"/>
  <c r="AC33" i="25" s="1"/>
  <c r="W9" i="25" s="1"/>
  <c r="Z34" i="25"/>
  <c r="AA33" i="25"/>
  <c r="K30" i="34"/>
  <c r="T31" i="26"/>
  <c r="U31" i="26" s="1"/>
  <c r="V30" i="26"/>
  <c r="S30" i="26"/>
  <c r="W30" i="26"/>
  <c r="Y30" i="26" s="1"/>
  <c r="L31" i="34"/>
  <c r="K31" i="34" s="1"/>
  <c r="M31" i="34"/>
  <c r="J32" i="34" s="1"/>
  <c r="BI22" i="26"/>
  <c r="BJ22" i="26" s="1"/>
  <c r="BN21" i="26"/>
  <c r="BO21" i="26"/>
  <c r="F34" i="41"/>
  <c r="C34" i="41"/>
  <c r="D34" i="41"/>
  <c r="J33" i="41"/>
  <c r="L33" i="41" s="1"/>
  <c r="I33" i="41"/>
  <c r="K33" i="41" s="1"/>
  <c r="N30" i="34"/>
  <c r="AC29" i="26"/>
  <c r="AA29" i="26"/>
  <c r="AE29" i="26"/>
  <c r="AB29" i="26"/>
  <c r="Z29" i="26"/>
  <c r="AD29" i="26"/>
  <c r="BW22" i="26" l="1"/>
  <c r="BK22" i="26"/>
  <c r="BM22" i="26" s="1"/>
  <c r="BV22" i="26"/>
  <c r="BY22" i="26"/>
  <c r="BU22" i="26"/>
  <c r="BX22" i="26"/>
  <c r="BT22" i="26"/>
  <c r="BL22" i="26"/>
  <c r="BS22" i="26" s="1"/>
  <c r="BH22" i="26"/>
  <c r="AQ30" i="25"/>
  <c r="AS30" i="25" s="1"/>
  <c r="AQ32" i="25"/>
  <c r="AS32" i="25" s="1"/>
  <c r="AQ22" i="25"/>
  <c r="AS22" i="25" s="1"/>
  <c r="AQ12" i="25"/>
  <c r="AS12" i="25" s="1"/>
  <c r="AQ10" i="25"/>
  <c r="AS10" i="25" s="1"/>
  <c r="AQ31" i="25"/>
  <c r="AS31" i="25" s="1"/>
  <c r="AQ21" i="25"/>
  <c r="AS21" i="25" s="1"/>
  <c r="AQ11" i="25"/>
  <c r="AS11" i="25" s="1"/>
  <c r="AQ20" i="25"/>
  <c r="AS20" i="25" s="1"/>
  <c r="H34" i="41"/>
  <c r="N31" i="34"/>
  <c r="M32" i="34"/>
  <c r="J33" i="34" s="1"/>
  <c r="L32" i="34"/>
  <c r="K32" i="34" s="1"/>
  <c r="Y31" i="26"/>
  <c r="T32" i="26"/>
  <c r="U32" i="26" s="1"/>
  <c r="S31" i="26"/>
  <c r="W31" i="26"/>
  <c r="V31" i="26"/>
  <c r="AA34" i="25"/>
  <c r="Z35" i="25"/>
  <c r="AB34" i="25"/>
  <c r="AC34" i="25" s="1"/>
  <c r="E34" i="41"/>
  <c r="B35" i="41"/>
  <c r="Z30" i="26"/>
  <c r="AE30" i="26"/>
  <c r="AB30" i="26"/>
  <c r="AC30" i="26"/>
  <c r="AA30" i="26"/>
  <c r="AD30" i="26"/>
  <c r="AB35" i="25" l="1"/>
  <c r="AC35" i="25" s="1"/>
  <c r="AA35" i="25"/>
  <c r="Z36" i="25"/>
  <c r="N32" i="34"/>
  <c r="J34" i="41"/>
  <c r="L34" i="41" s="1"/>
  <c r="I34" i="41"/>
  <c r="K34" i="41" s="1"/>
  <c r="BP22" i="26"/>
  <c r="BQ22" i="26"/>
  <c r="BR22" i="26"/>
  <c r="F35" i="41"/>
  <c r="D35" i="41"/>
  <c r="C35" i="41"/>
  <c r="T33" i="26"/>
  <c r="U33" i="26" s="1"/>
  <c r="W32" i="26"/>
  <c r="Y32" i="26" s="1"/>
  <c r="V32" i="26"/>
  <c r="S32" i="26"/>
  <c r="M33" i="34"/>
  <c r="J34" i="34" s="1"/>
  <c r="L33" i="34"/>
  <c r="BI23" i="26"/>
  <c r="BJ23" i="26" s="1"/>
  <c r="BN22" i="26"/>
  <c r="BO22" i="26"/>
  <c r="AE31" i="26"/>
  <c r="AB31" i="26"/>
  <c r="AD31" i="26"/>
  <c r="AC31" i="26"/>
  <c r="AA31" i="26"/>
  <c r="Z31" i="26"/>
  <c r="N33" i="34" l="1"/>
  <c r="K33" i="34"/>
  <c r="BW23" i="26"/>
  <c r="BS23" i="26"/>
  <c r="BK23" i="26"/>
  <c r="BM23" i="26" s="1"/>
  <c r="BV23" i="26"/>
  <c r="BR23" i="26"/>
  <c r="BU23" i="26"/>
  <c r="BQ23" i="26"/>
  <c r="BX23" i="26"/>
  <c r="BT23" i="26"/>
  <c r="BP23" i="26"/>
  <c r="BL23" i="26"/>
  <c r="BH23" i="26"/>
  <c r="M34" i="34"/>
  <c r="J35" i="34" s="1"/>
  <c r="N34" i="34"/>
  <c r="L34" i="34"/>
  <c r="E35" i="41"/>
  <c r="B36" i="41" s="1"/>
  <c r="Z37" i="25"/>
  <c r="AB36" i="25"/>
  <c r="AC36" i="25" s="1"/>
  <c r="AA36" i="25"/>
  <c r="Y33" i="26"/>
  <c r="T34" i="26"/>
  <c r="U34" i="26" s="1"/>
  <c r="W33" i="26"/>
  <c r="V33" i="26"/>
  <c r="S33" i="26"/>
  <c r="H35" i="41"/>
  <c r="AB32" i="26"/>
  <c r="AA32" i="26"/>
  <c r="AD32" i="26"/>
  <c r="Z32" i="26"/>
  <c r="AE32" i="26"/>
  <c r="AC32" i="26"/>
  <c r="D36" i="41" l="1"/>
  <c r="F36" i="41"/>
  <c r="H36" i="41" s="1"/>
  <c r="C36" i="41"/>
  <c r="BY23" i="26"/>
  <c r="K34" i="34"/>
  <c r="BI24" i="26"/>
  <c r="BJ24" i="26" s="1"/>
  <c r="BN23" i="26"/>
  <c r="BO23" i="26"/>
  <c r="T35" i="26"/>
  <c r="U35" i="26" s="1"/>
  <c r="Y34" i="26"/>
  <c r="W34" i="26"/>
  <c r="V34" i="26"/>
  <c r="S34" i="26"/>
  <c r="Z38" i="25"/>
  <c r="AB37" i="25"/>
  <c r="AC37" i="25" s="1"/>
  <c r="AA37" i="25"/>
  <c r="J35" i="41"/>
  <c r="L35" i="41" s="1"/>
  <c r="I35" i="41"/>
  <c r="K35" i="41" s="1"/>
  <c r="L35" i="34"/>
  <c r="K35" i="34" s="1"/>
  <c r="N35" i="34"/>
  <c r="M35" i="34"/>
  <c r="J36" i="34" s="1"/>
  <c r="AC33" i="26"/>
  <c r="AD33" i="26"/>
  <c r="Z33" i="26"/>
  <c r="AE33" i="26"/>
  <c r="AB33" i="26"/>
  <c r="AA33" i="26"/>
  <c r="M36" i="34" l="1"/>
  <c r="J37" i="34" s="1"/>
  <c r="L36" i="34"/>
  <c r="K36" i="34" s="1"/>
  <c r="AA38" i="25"/>
  <c r="AB38" i="25"/>
  <c r="AC38" i="25" s="1"/>
  <c r="W10" i="25" s="1"/>
  <c r="BV24" i="26"/>
  <c r="BL24" i="26"/>
  <c r="BI25" i="26" s="1"/>
  <c r="BJ25" i="26" s="1"/>
  <c r="BK24" i="26"/>
  <c r="J36" i="41"/>
  <c r="L36" i="41" s="1"/>
  <c r="I36" i="41"/>
  <c r="K36" i="41" s="1"/>
  <c r="T36" i="26"/>
  <c r="U36" i="26" s="1"/>
  <c r="W35" i="26"/>
  <c r="S35" i="26"/>
  <c r="Y35" i="26"/>
  <c r="V35" i="26"/>
  <c r="E36" i="41"/>
  <c r="B37" i="41" s="1"/>
  <c r="AA34" i="26"/>
  <c r="Z34" i="26"/>
  <c r="AE34" i="26"/>
  <c r="AC34" i="26"/>
  <c r="AD34" i="26"/>
  <c r="AB34" i="26"/>
  <c r="C37" i="41" l="1"/>
  <c r="D37" i="41"/>
  <c r="F37" i="41"/>
  <c r="H37" i="41" s="1"/>
  <c r="BY24" i="26"/>
  <c r="BM24" i="26"/>
  <c r="BR24" i="26"/>
  <c r="BQ24" i="26"/>
  <c r="BS24" i="26"/>
  <c r="BO24" i="26"/>
  <c r="BP24" i="26"/>
  <c r="BW24" i="26"/>
  <c r="BX24" i="26"/>
  <c r="T37" i="26"/>
  <c r="U37" i="26" s="1"/>
  <c r="W36" i="26"/>
  <c r="Y36" i="26" s="1"/>
  <c r="S36" i="26"/>
  <c r="V36" i="26"/>
  <c r="BT24" i="26"/>
  <c r="BU24" i="26"/>
  <c r="BH24" i="26"/>
  <c r="BN24" i="26"/>
  <c r="BV25" i="26"/>
  <c r="BL25" i="26"/>
  <c r="BI26" i="26" s="1"/>
  <c r="BJ26" i="26" s="1"/>
  <c r="BK25" i="26"/>
  <c r="AQ13" i="25"/>
  <c r="AS13" i="25" s="1"/>
  <c r="AQ23" i="25"/>
  <c r="AS23" i="25" s="1"/>
  <c r="AQ33" i="25"/>
  <c r="AS33" i="25" s="1"/>
  <c r="M37" i="34"/>
  <c r="J38" i="34" s="1"/>
  <c r="L37" i="34"/>
  <c r="N36" i="34"/>
  <c r="Z35" i="26"/>
  <c r="AC35" i="26"/>
  <c r="AA35" i="26"/>
  <c r="AB35" i="26"/>
  <c r="AE35" i="26"/>
  <c r="AD35" i="26"/>
  <c r="W37" i="26" l="1"/>
  <c r="Y37" i="26" s="1"/>
  <c r="V37" i="26"/>
  <c r="T38" i="26"/>
  <c r="U38" i="26" s="1"/>
  <c r="S37" i="26"/>
  <c r="BP25" i="26"/>
  <c r="BW25" i="26"/>
  <c r="BX25" i="26"/>
  <c r="BN25" i="26"/>
  <c r="M38" i="34"/>
  <c r="J39" i="34" s="1"/>
  <c r="L38" i="34"/>
  <c r="K38" i="34" s="1"/>
  <c r="K37" i="34"/>
  <c r="BU25" i="26"/>
  <c r="BH25" i="26"/>
  <c r="BO25" i="26"/>
  <c r="BR25" i="26"/>
  <c r="J37" i="41"/>
  <c r="L37" i="41" s="1"/>
  <c r="I37" i="41"/>
  <c r="K37" i="41" s="1"/>
  <c r="BV26" i="26"/>
  <c r="BN26" i="26"/>
  <c r="BP26" i="26"/>
  <c r="BK26" i="26"/>
  <c r="BM26" i="26" s="1"/>
  <c r="BY26" i="26"/>
  <c r="BO26" i="26"/>
  <c r="BX26" i="26"/>
  <c r="BS26" i="26"/>
  <c r="BH26" i="26"/>
  <c r="BW26" i="26"/>
  <c r="BQ26" i="26"/>
  <c r="BL26" i="26"/>
  <c r="BM25" i="26"/>
  <c r="BT25" i="26"/>
  <c r="E37" i="41"/>
  <c r="N37" i="34"/>
  <c r="BQ25" i="26"/>
  <c r="BS25" i="26"/>
  <c r="BY25" i="26"/>
  <c r="B38" i="41"/>
  <c r="AC36" i="26"/>
  <c r="AB36" i="26"/>
  <c r="Z36" i="26"/>
  <c r="AD36" i="26"/>
  <c r="AA36" i="26"/>
  <c r="AE36" i="26"/>
  <c r="L39" i="34" l="1"/>
  <c r="K39" i="34" s="1"/>
  <c r="M39" i="34"/>
  <c r="J40" i="34" s="1"/>
  <c r="BR26" i="26"/>
  <c r="F38" i="41"/>
  <c r="H38" i="41" s="1"/>
  <c r="C38" i="41"/>
  <c r="D38" i="41"/>
  <c r="V38" i="26"/>
  <c r="T39" i="26"/>
  <c r="U39" i="26" s="1"/>
  <c r="S38" i="26"/>
  <c r="W38" i="26"/>
  <c r="Y38" i="26" s="1"/>
  <c r="BI27" i="26"/>
  <c r="BJ27" i="26" s="1"/>
  <c r="BT26" i="26"/>
  <c r="BU26" i="26"/>
  <c r="N38" i="34"/>
  <c r="AB37" i="26"/>
  <c r="AD37" i="26"/>
  <c r="AE37" i="26"/>
  <c r="Z37" i="26"/>
  <c r="AC37" i="26"/>
  <c r="AA37" i="26"/>
  <c r="T40" i="26" l="1"/>
  <c r="U40" i="26" s="1"/>
  <c r="W39" i="26"/>
  <c r="S39" i="26"/>
  <c r="V39" i="26"/>
  <c r="Y39" i="26"/>
  <c r="N39" i="34"/>
  <c r="BV27" i="26"/>
  <c r="BL27" i="26"/>
  <c r="BI28" i="26" s="1"/>
  <c r="BJ28" i="26" s="1"/>
  <c r="BK27" i="26"/>
  <c r="BM27" i="26" s="1"/>
  <c r="J38" i="41"/>
  <c r="L38" i="41" s="1"/>
  <c r="I38" i="41"/>
  <c r="K38" i="41" s="1"/>
  <c r="E38" i="41"/>
  <c r="B39" i="41" s="1"/>
  <c r="M40" i="34"/>
  <c r="J41" i="34" s="1"/>
  <c r="L40" i="34"/>
  <c r="Z38" i="26"/>
  <c r="AB38" i="26"/>
  <c r="AE38" i="26"/>
  <c r="AA38" i="26"/>
  <c r="AC38" i="26"/>
  <c r="AD38" i="26"/>
  <c r="F39" i="41" l="1"/>
  <c r="C39" i="41"/>
  <c r="BV28" i="26"/>
  <c r="BX28" i="26"/>
  <c r="BW28" i="26"/>
  <c r="BL28" i="26"/>
  <c r="BI29" i="26" s="1"/>
  <c r="BJ29" i="26" s="1"/>
  <c r="BP28" i="26"/>
  <c r="BK28" i="26"/>
  <c r="BY28" i="26"/>
  <c r="BO28" i="26"/>
  <c r="BH27" i="26"/>
  <c r="BO27" i="26"/>
  <c r="BP27" i="26"/>
  <c r="K40" i="34"/>
  <c r="BT27" i="26"/>
  <c r="BU27" i="26"/>
  <c r="BN27" i="26"/>
  <c r="BY27" i="26"/>
  <c r="T41" i="26"/>
  <c r="U41" i="26" s="1"/>
  <c r="W40" i="26"/>
  <c r="S40" i="26"/>
  <c r="Y40" i="26"/>
  <c r="V40" i="26"/>
  <c r="N41" i="34"/>
  <c r="M41" i="34"/>
  <c r="J42" i="34" s="1"/>
  <c r="L41" i="34"/>
  <c r="K41" i="34" s="1"/>
  <c r="BS27" i="26"/>
  <c r="BR27" i="26"/>
  <c r="BX27" i="26"/>
  <c r="BQ27" i="26"/>
  <c r="N40" i="34"/>
  <c r="BW27" i="26"/>
  <c r="AA39" i="26"/>
  <c r="AE39" i="26"/>
  <c r="Z39" i="26"/>
  <c r="AB39" i="26"/>
  <c r="AD39" i="26"/>
  <c r="AC39" i="26"/>
  <c r="V41" i="26" l="1"/>
  <c r="T42" i="26"/>
  <c r="U42" i="26" s="1"/>
  <c r="S41" i="26"/>
  <c r="W41" i="26"/>
  <c r="Y41" i="26" s="1"/>
  <c r="BQ28" i="26"/>
  <c r="BS28" i="26"/>
  <c r="M42" i="34"/>
  <c r="J43" i="34" s="1"/>
  <c r="N42" i="34"/>
  <c r="L42" i="34"/>
  <c r="K42" i="34" s="1"/>
  <c r="BT28" i="26"/>
  <c r="BU28" i="26"/>
  <c r="BH28" i="26"/>
  <c r="BN28" i="26"/>
  <c r="D39" i="41"/>
  <c r="BV29" i="26"/>
  <c r="BL29" i="26"/>
  <c r="BI30" i="26" s="1"/>
  <c r="BJ30" i="26" s="1"/>
  <c r="BK29" i="26"/>
  <c r="BM28" i="26"/>
  <c r="BR28" i="26"/>
  <c r="H39" i="41"/>
  <c r="Z40" i="26"/>
  <c r="AD40" i="26"/>
  <c r="AC40" i="26"/>
  <c r="AA40" i="26"/>
  <c r="AE40" i="26"/>
  <c r="AB40" i="26"/>
  <c r="BM29" i="26" l="1"/>
  <c r="BT29" i="26"/>
  <c r="BQ29" i="26"/>
  <c r="BY29" i="26"/>
  <c r="J39" i="41"/>
  <c r="L39" i="41" s="1"/>
  <c r="I39" i="41"/>
  <c r="K39" i="41" s="1"/>
  <c r="BP29" i="26"/>
  <c r="BU29" i="26"/>
  <c r="BH29" i="26"/>
  <c r="BO29" i="26"/>
  <c r="BR29" i="26"/>
  <c r="E39" i="41"/>
  <c r="B40" i="41" s="1"/>
  <c r="V42" i="26"/>
  <c r="Y42" i="26"/>
  <c r="W42" i="26"/>
  <c r="T43" i="26"/>
  <c r="U43" i="26" s="1"/>
  <c r="S42" i="26"/>
  <c r="BS29" i="26"/>
  <c r="BV30" i="26"/>
  <c r="BL30" i="26"/>
  <c r="BN30" i="26" s="1"/>
  <c r="BK30" i="26"/>
  <c r="BY30" i="26" s="1"/>
  <c r="BW29" i="26"/>
  <c r="BX29" i="26"/>
  <c r="BN29" i="26"/>
  <c r="L43" i="34"/>
  <c r="K43" i="34" s="1"/>
  <c r="M43" i="34"/>
  <c r="J44" i="34" s="1"/>
  <c r="AE41" i="26"/>
  <c r="AD41" i="26"/>
  <c r="Z41" i="26"/>
  <c r="AA41" i="26"/>
  <c r="AC41" i="26"/>
  <c r="AB41" i="26"/>
  <c r="BS30" i="26" l="1"/>
  <c r="BW30" i="26"/>
  <c r="BM30" i="26"/>
  <c r="BO30" i="26"/>
  <c r="BX30" i="26"/>
  <c r="L44" i="34"/>
  <c r="N44" i="34"/>
  <c r="M44" i="34"/>
  <c r="J45" i="34" s="1"/>
  <c r="BI31" i="26"/>
  <c r="BJ31" i="26" s="1"/>
  <c r="BH30" i="26"/>
  <c r="BQ30" i="26"/>
  <c r="BR30" i="26"/>
  <c r="T44" i="26"/>
  <c r="U44" i="26" s="1"/>
  <c r="W43" i="26"/>
  <c r="S43" i="26"/>
  <c r="V43" i="26"/>
  <c r="Y43" i="26"/>
  <c r="N43" i="34"/>
  <c r="BT30" i="26"/>
  <c r="BP30" i="26"/>
  <c r="BU30" i="26"/>
  <c r="F40" i="41"/>
  <c r="C40" i="41"/>
  <c r="Z42" i="26"/>
  <c r="AA42" i="26"/>
  <c r="AE42" i="26"/>
  <c r="AC42" i="26"/>
  <c r="AD42" i="26"/>
  <c r="AB42" i="26"/>
  <c r="L45" i="34" l="1"/>
  <c r="K45" i="34" s="1"/>
  <c r="M45" i="34"/>
  <c r="J46" i="34" s="1"/>
  <c r="D40" i="41"/>
  <c r="K44" i="34"/>
  <c r="T45" i="26"/>
  <c r="U45" i="26" s="1"/>
  <c r="W44" i="26"/>
  <c r="Y44" i="26" s="1"/>
  <c r="S44" i="26"/>
  <c r="V44" i="26"/>
  <c r="BV31" i="26"/>
  <c r="BL31" i="26"/>
  <c r="BK31" i="26"/>
  <c r="BM31" i="26" s="1"/>
  <c r="BH31" i="26"/>
  <c r="AD43" i="26"/>
  <c r="AE43" i="26"/>
  <c r="AC43" i="26"/>
  <c r="Z43" i="26"/>
  <c r="AA43" i="26"/>
  <c r="AB43" i="26"/>
  <c r="BW31" i="26" l="1"/>
  <c r="BY31" i="26"/>
  <c r="BX31" i="26"/>
  <c r="BT31" i="26"/>
  <c r="BQ31" i="26"/>
  <c r="BR31" i="26"/>
  <c r="E40" i="41"/>
  <c r="B41" i="41" s="1"/>
  <c r="M46" i="34"/>
  <c r="J47" i="34" s="1"/>
  <c r="L46" i="34"/>
  <c r="W45" i="26"/>
  <c r="Y45" i="26" s="1"/>
  <c r="V45" i="26"/>
  <c r="T46" i="26"/>
  <c r="U46" i="26" s="1"/>
  <c r="S45" i="26"/>
  <c r="N45" i="34"/>
  <c r="BO31" i="26"/>
  <c r="BU31" i="26"/>
  <c r="BS31" i="26"/>
  <c r="BP31" i="26"/>
  <c r="BI32" i="26"/>
  <c r="BJ32" i="26" s="1"/>
  <c r="BN31" i="26"/>
  <c r="H40" i="41"/>
  <c r="AB44" i="26"/>
  <c r="Z44" i="26"/>
  <c r="AC44" i="26"/>
  <c r="AE44" i="26"/>
  <c r="AA44" i="26"/>
  <c r="AD44" i="26"/>
  <c r="K46" i="34" l="1"/>
  <c r="BV32" i="26"/>
  <c r="BY32" i="26"/>
  <c r="BT32" i="26"/>
  <c r="BL32" i="26"/>
  <c r="BK32" i="26"/>
  <c r="BM32" i="26" s="1"/>
  <c r="BX32" i="26"/>
  <c r="BW32" i="26"/>
  <c r="BO32" i="26"/>
  <c r="L47" i="34"/>
  <c r="K47" i="34" s="1"/>
  <c r="M47" i="34"/>
  <c r="J48" i="34" s="1"/>
  <c r="N47" i="34"/>
  <c r="J40" i="41"/>
  <c r="L40" i="41" s="1"/>
  <c r="I40" i="41"/>
  <c r="K40" i="41" s="1"/>
  <c r="V46" i="26"/>
  <c r="Y46" i="26"/>
  <c r="T47" i="26"/>
  <c r="U47" i="26" s="1"/>
  <c r="S46" i="26"/>
  <c r="W46" i="26"/>
  <c r="N46" i="34"/>
  <c r="C41" i="41"/>
  <c r="D41" i="41" s="1"/>
  <c r="F41" i="41"/>
  <c r="AC45" i="26"/>
  <c r="AD45" i="26"/>
  <c r="AE45" i="26"/>
  <c r="AA45" i="26"/>
  <c r="AB45" i="26"/>
  <c r="Z45" i="26"/>
  <c r="E41" i="41" l="1"/>
  <c r="T48" i="26"/>
  <c r="U48" i="26" s="1"/>
  <c r="W47" i="26"/>
  <c r="S47" i="26"/>
  <c r="V47" i="26"/>
  <c r="Y47" i="26"/>
  <c r="H41" i="41"/>
  <c r="BP32" i="26"/>
  <c r="BI33" i="26"/>
  <c r="BJ33" i="26" s="1"/>
  <c r="BU32" i="26"/>
  <c r="B42" i="41"/>
  <c r="BN32" i="26"/>
  <c r="M48" i="34"/>
  <c r="J49" i="34" s="1"/>
  <c r="L48" i="34"/>
  <c r="K48" i="34" s="1"/>
  <c r="N48" i="34"/>
  <c r="BH32" i="26"/>
  <c r="BS32" i="26"/>
  <c r="BQ32" i="26"/>
  <c r="BR32" i="26"/>
  <c r="AB46" i="26"/>
  <c r="AC46" i="26"/>
  <c r="AE46" i="26"/>
  <c r="AA46" i="26"/>
  <c r="AD46" i="26"/>
  <c r="Z46" i="26"/>
  <c r="M49" i="34" l="1"/>
  <c r="J50" i="34" s="1"/>
  <c r="L49" i="34"/>
  <c r="K49" i="34" s="1"/>
  <c r="F42" i="41"/>
  <c r="C42" i="41"/>
  <c r="D42" i="41" s="1"/>
  <c r="J41" i="41"/>
  <c r="L41" i="41" s="1"/>
  <c r="I41" i="41"/>
  <c r="K41" i="41" s="1"/>
  <c r="T49" i="26"/>
  <c r="U49" i="26" s="1"/>
  <c r="W48" i="26"/>
  <c r="Y48" i="26" s="1"/>
  <c r="S48" i="26"/>
  <c r="V48" i="26"/>
  <c r="BV33" i="26"/>
  <c r="BR33" i="26"/>
  <c r="BY33" i="26"/>
  <c r="BQ33" i="26"/>
  <c r="BT33" i="26"/>
  <c r="BL33" i="26"/>
  <c r="BS33" i="26"/>
  <c r="BK33" i="26"/>
  <c r="BN33" i="26" s="1"/>
  <c r="BX33" i="26"/>
  <c r="BH33" i="26"/>
  <c r="BW33" i="26"/>
  <c r="BO33" i="26"/>
  <c r="AB47" i="26"/>
  <c r="AC47" i="26"/>
  <c r="AD47" i="26"/>
  <c r="AA47" i="26"/>
  <c r="AE47" i="26"/>
  <c r="Z47" i="26"/>
  <c r="E42" i="41" l="1"/>
  <c r="BP33" i="26"/>
  <c r="BI34" i="26"/>
  <c r="BJ34" i="26" s="1"/>
  <c r="BU33" i="26"/>
  <c r="H42" i="41"/>
  <c r="BM33" i="26"/>
  <c r="M50" i="34"/>
  <c r="J51" i="34" s="1"/>
  <c r="N50" i="34"/>
  <c r="L50" i="34"/>
  <c r="V49" i="26"/>
  <c r="T50" i="26"/>
  <c r="U50" i="26" s="1"/>
  <c r="S49" i="26"/>
  <c r="W49" i="26"/>
  <c r="Y49" i="26" s="1"/>
  <c r="B43" i="41"/>
  <c r="N49" i="34"/>
  <c r="AC48" i="26"/>
  <c r="AE48" i="26"/>
  <c r="Z48" i="26"/>
  <c r="AD48" i="26"/>
  <c r="AA48" i="26"/>
  <c r="AB48" i="26"/>
  <c r="K50" i="34" l="1"/>
  <c r="J42" i="41"/>
  <c r="L42" i="41" s="1"/>
  <c r="I42" i="41"/>
  <c r="K42" i="41" s="1"/>
  <c r="V50" i="26"/>
  <c r="W50" i="26"/>
  <c r="Y50" i="26" s="1"/>
  <c r="T51" i="26"/>
  <c r="U51" i="26" s="1"/>
  <c r="S50" i="26"/>
  <c r="F43" i="41"/>
  <c r="C43" i="41"/>
  <c r="D43" i="41" s="1"/>
  <c r="L51" i="34"/>
  <c r="K51" i="34" s="1"/>
  <c r="M51" i="34"/>
  <c r="J52" i="34" s="1"/>
  <c r="BY34" i="26"/>
  <c r="BX34" i="26"/>
  <c r="BL34" i="26"/>
  <c r="BH34" i="26"/>
  <c r="BW34" i="26"/>
  <c r="BV34" i="26"/>
  <c r="BK34" i="26"/>
  <c r="BN34" i="26" s="1"/>
  <c r="AA49" i="26"/>
  <c r="AE49" i="26"/>
  <c r="AC49" i="26"/>
  <c r="Z49" i="26"/>
  <c r="AD49" i="26"/>
  <c r="AB49" i="26"/>
  <c r="E43" i="41" l="1"/>
  <c r="BO34" i="26"/>
  <c r="BI35" i="26"/>
  <c r="BJ35" i="26" s="1"/>
  <c r="BM34" i="26"/>
  <c r="M52" i="34"/>
  <c r="J53" i="34" s="1"/>
  <c r="L52" i="34"/>
  <c r="BP34" i="26"/>
  <c r="BQ34" i="26"/>
  <c r="N51" i="34"/>
  <c r="H43" i="41"/>
  <c r="B44" i="41"/>
  <c r="BS34" i="26"/>
  <c r="BR34" i="26"/>
  <c r="BT34" i="26"/>
  <c r="BU34" i="26"/>
  <c r="T52" i="26"/>
  <c r="U52" i="26" s="1"/>
  <c r="W51" i="26"/>
  <c r="Y51" i="26" s="1"/>
  <c r="S51" i="26"/>
  <c r="V51" i="26"/>
  <c r="AA50" i="26"/>
  <c r="AC50" i="26"/>
  <c r="AE50" i="26"/>
  <c r="AB50" i="26"/>
  <c r="AD50" i="26"/>
  <c r="Z50" i="26"/>
  <c r="T53" i="26" l="1"/>
  <c r="U53" i="26" s="1"/>
  <c r="W52" i="26"/>
  <c r="Y52" i="26" s="1"/>
  <c r="S52" i="26"/>
  <c r="V52" i="26"/>
  <c r="N52" i="34"/>
  <c r="F44" i="41"/>
  <c r="C44" i="41"/>
  <c r="J43" i="41"/>
  <c r="L43" i="41" s="1"/>
  <c r="I43" i="41"/>
  <c r="K43" i="41" s="1"/>
  <c r="K52" i="34"/>
  <c r="BL35" i="26"/>
  <c r="BH35" i="26"/>
  <c r="BW35" i="26"/>
  <c r="BK35" i="26"/>
  <c r="BM35" i="26" s="1"/>
  <c r="BY35" i="26"/>
  <c r="BV35" i="26"/>
  <c r="BU35" i="26"/>
  <c r="M53" i="34"/>
  <c r="J54" i="34" s="1"/>
  <c r="L53" i="34"/>
  <c r="Z51" i="26"/>
  <c r="AB51" i="26"/>
  <c r="AA51" i="26"/>
  <c r="AD51" i="26"/>
  <c r="AC51" i="26"/>
  <c r="AE51" i="26"/>
  <c r="BT35" i="26" l="1"/>
  <c r="W53" i="26"/>
  <c r="Y53" i="26" s="1"/>
  <c r="V53" i="26"/>
  <c r="T54" i="26"/>
  <c r="U54" i="26" s="1"/>
  <c r="S53" i="26"/>
  <c r="M54" i="34"/>
  <c r="J55" i="34" s="1"/>
  <c r="L54" i="34"/>
  <c r="K54" i="34" s="1"/>
  <c r="BX35" i="26"/>
  <c r="BO35" i="26"/>
  <c r="BI36" i="26"/>
  <c r="BJ36" i="26" s="1"/>
  <c r="N53" i="34"/>
  <c r="BN35" i="26"/>
  <c r="BR35" i="26"/>
  <c r="K53" i="34"/>
  <c r="BQ35" i="26"/>
  <c r="BS35" i="26"/>
  <c r="BP35" i="26"/>
  <c r="D44" i="41"/>
  <c r="AA52" i="26"/>
  <c r="AE52" i="26"/>
  <c r="AC52" i="26"/>
  <c r="Z52" i="26"/>
  <c r="AD52" i="26"/>
  <c r="AB52" i="26"/>
  <c r="BL36" i="26" l="1"/>
  <c r="BX36" i="26" s="1"/>
  <c r="BW36" i="26"/>
  <c r="BK36" i="26"/>
  <c r="BM36" i="26" s="1"/>
  <c r="BY36" i="26"/>
  <c r="BV36" i="26"/>
  <c r="BN36" i="26"/>
  <c r="BU36" i="26"/>
  <c r="BR36" i="26"/>
  <c r="E44" i="41"/>
  <c r="B45" i="41" s="1"/>
  <c r="H44" i="41"/>
  <c r="V54" i="26"/>
  <c r="Y54" i="26"/>
  <c r="T55" i="26"/>
  <c r="U55" i="26" s="1"/>
  <c r="S54" i="26"/>
  <c r="W54" i="26"/>
  <c r="N54" i="34"/>
  <c r="L55" i="34"/>
  <c r="K55" i="34" s="1"/>
  <c r="M55" i="34"/>
  <c r="J56" i="34" s="1"/>
  <c r="AB53" i="26"/>
  <c r="Z53" i="26"/>
  <c r="AC53" i="26"/>
  <c r="AD53" i="26"/>
  <c r="AA53" i="26"/>
  <c r="AE53" i="26"/>
  <c r="BT36" i="26" l="1"/>
  <c r="BH36" i="26"/>
  <c r="BO36" i="26"/>
  <c r="BI37" i="26"/>
  <c r="BJ37" i="26" s="1"/>
  <c r="T56" i="26"/>
  <c r="U56" i="26" s="1"/>
  <c r="W55" i="26"/>
  <c r="S55" i="26"/>
  <c r="V55" i="26"/>
  <c r="Y55" i="26"/>
  <c r="C45" i="41"/>
  <c r="D45" i="41"/>
  <c r="F45" i="41"/>
  <c r="N56" i="34"/>
  <c r="M56" i="34"/>
  <c r="J57" i="34" s="1"/>
  <c r="L56" i="34"/>
  <c r="K56" i="34" s="1"/>
  <c r="N55" i="34"/>
  <c r="J44" i="41"/>
  <c r="L44" i="41" s="1"/>
  <c r="I44" i="41"/>
  <c r="K44" i="41" s="1"/>
  <c r="BQ36" i="26"/>
  <c r="BS36" i="26"/>
  <c r="BP36" i="26"/>
  <c r="Z54" i="26"/>
  <c r="AA54" i="26"/>
  <c r="AE54" i="26"/>
  <c r="AB54" i="26"/>
  <c r="AD54" i="26"/>
  <c r="AC54" i="26"/>
  <c r="E45" i="41" l="1"/>
  <c r="M57" i="34"/>
  <c r="J58" i="34" s="1"/>
  <c r="L57" i="34"/>
  <c r="K57" i="34" s="1"/>
  <c r="B46" i="41"/>
  <c r="T57" i="26"/>
  <c r="U57" i="26" s="1"/>
  <c r="W56" i="26"/>
  <c r="Y56" i="26" s="1"/>
  <c r="S56" i="26"/>
  <c r="V56" i="26"/>
  <c r="H45" i="41"/>
  <c r="BL37" i="26"/>
  <c r="BY37" i="26" s="1"/>
  <c r="BW37" i="26"/>
  <c r="BV37" i="26"/>
  <c r="BK37" i="26"/>
  <c r="BM37" i="26" s="1"/>
  <c r="AA55" i="26"/>
  <c r="AC55" i="26"/>
  <c r="AE55" i="26"/>
  <c r="AB55" i="26"/>
  <c r="AD55" i="26"/>
  <c r="Z55" i="26"/>
  <c r="V57" i="26" l="1"/>
  <c r="T58" i="26"/>
  <c r="U58" i="26" s="1"/>
  <c r="S57" i="26"/>
  <c r="W57" i="26"/>
  <c r="Y57" i="26" s="1"/>
  <c r="BN37" i="26"/>
  <c r="BR37" i="26"/>
  <c r="BT37" i="26"/>
  <c r="BU37" i="26"/>
  <c r="M58" i="34"/>
  <c r="J59" i="34" s="1"/>
  <c r="N58" i="34"/>
  <c r="L58" i="34"/>
  <c r="BP37" i="26"/>
  <c r="BQ37" i="26"/>
  <c r="BH37" i="26"/>
  <c r="BX37" i="26"/>
  <c r="N57" i="34"/>
  <c r="BI38" i="26"/>
  <c r="BJ38" i="26" s="1"/>
  <c r="J45" i="41"/>
  <c r="L45" i="41" s="1"/>
  <c r="I45" i="41"/>
  <c r="K45" i="41" s="1"/>
  <c r="F46" i="41"/>
  <c r="C46" i="41"/>
  <c r="BO37" i="26"/>
  <c r="BS37" i="26"/>
  <c r="AD56" i="26"/>
  <c r="AE56" i="26"/>
  <c r="Z56" i="26"/>
  <c r="AB56" i="26"/>
  <c r="AA56" i="26"/>
  <c r="AC56" i="26"/>
  <c r="L59" i="34" l="1"/>
  <c r="K59" i="34" s="1"/>
  <c r="M59" i="34"/>
  <c r="J60" i="34" s="1"/>
  <c r="K58" i="34"/>
  <c r="BV38" i="26"/>
  <c r="BK38" i="26"/>
  <c r="BU38" i="26" s="1"/>
  <c r="BW38" i="26"/>
  <c r="BL38" i="26"/>
  <c r="D46" i="41"/>
  <c r="V58" i="26"/>
  <c r="W58" i="26"/>
  <c r="Y58" i="26" s="1"/>
  <c r="T59" i="26"/>
  <c r="U59" i="26" s="1"/>
  <c r="S58" i="26"/>
  <c r="AA57" i="26"/>
  <c r="AD57" i="26"/>
  <c r="AE57" i="26"/>
  <c r="AC57" i="26"/>
  <c r="Z57" i="26"/>
  <c r="AB57" i="26"/>
  <c r="T60" i="26" l="1"/>
  <c r="U60" i="26" s="1"/>
  <c r="W59" i="26"/>
  <c r="S59" i="26"/>
  <c r="V59" i="26"/>
  <c r="Y59" i="26"/>
  <c r="E46" i="41"/>
  <c r="B47" i="41" s="1"/>
  <c r="BI39" i="26"/>
  <c r="BJ39" i="26" s="1"/>
  <c r="BY38" i="26"/>
  <c r="BH38" i="26"/>
  <c r="BS38" i="26"/>
  <c r="BT38" i="26"/>
  <c r="BP38" i="26"/>
  <c r="BM38" i="26"/>
  <c r="BN38" i="26"/>
  <c r="H46" i="41"/>
  <c r="BO38" i="26"/>
  <c r="BX38" i="26"/>
  <c r="BQ38" i="26"/>
  <c r="BR38" i="26"/>
  <c r="L60" i="34"/>
  <c r="K60" i="34" s="1"/>
  <c r="M60" i="34"/>
  <c r="J61" i="34" s="1"/>
  <c r="N59" i="34"/>
  <c r="AB58" i="26"/>
  <c r="AC58" i="26"/>
  <c r="AA58" i="26"/>
  <c r="AD58" i="26"/>
  <c r="Z58" i="26"/>
  <c r="AE58" i="26"/>
  <c r="L61" i="34" l="1"/>
  <c r="K61" i="34" s="1"/>
  <c r="M61" i="34"/>
  <c r="J62" i="34" s="1"/>
  <c r="N60" i="34"/>
  <c r="T61" i="26"/>
  <c r="U61" i="26" s="1"/>
  <c r="W60" i="26"/>
  <c r="Y60" i="26" s="1"/>
  <c r="S60" i="26"/>
  <c r="V60" i="26"/>
  <c r="J46" i="41"/>
  <c r="L46" i="41" s="1"/>
  <c r="I46" i="41"/>
  <c r="K46" i="41" s="1"/>
  <c r="BS39" i="26"/>
  <c r="BK39" i="26"/>
  <c r="BV39" i="26"/>
  <c r="BR39" i="26"/>
  <c r="BL39" i="26"/>
  <c r="BI40" i="26" s="1"/>
  <c r="BJ40" i="26" s="1"/>
  <c r="BY39" i="26"/>
  <c r="BP39" i="26"/>
  <c r="BH39" i="26"/>
  <c r="F47" i="41"/>
  <c r="D47" i="41"/>
  <c r="C47" i="41"/>
  <c r="AE59" i="26"/>
  <c r="AD59" i="26"/>
  <c r="Z59" i="26"/>
  <c r="AC59" i="26"/>
  <c r="AA59" i="26"/>
  <c r="AB59" i="26"/>
  <c r="E47" i="41" l="1"/>
  <c r="B48" i="41" s="1"/>
  <c r="H47" i="41"/>
  <c r="BU39" i="26"/>
  <c r="BQ39" i="26"/>
  <c r="BN39" i="26"/>
  <c r="BO39" i="26"/>
  <c r="W61" i="26"/>
  <c r="Y61" i="26" s="1"/>
  <c r="V61" i="26"/>
  <c r="T62" i="26"/>
  <c r="U62" i="26" s="1"/>
  <c r="S61" i="26"/>
  <c r="M62" i="34"/>
  <c r="J63" i="34" s="1"/>
  <c r="L62" i="34"/>
  <c r="N62" i="34"/>
  <c r="BW39" i="26"/>
  <c r="BP40" i="26"/>
  <c r="BL40" i="26"/>
  <c r="BH40" i="26"/>
  <c r="BW40" i="26"/>
  <c r="BS40" i="26"/>
  <c r="BK40" i="26"/>
  <c r="BO40" i="26" s="1"/>
  <c r="BU40" i="26"/>
  <c r="BM40" i="26"/>
  <c r="BY40" i="26"/>
  <c r="BQ40" i="26"/>
  <c r="BV40" i="26"/>
  <c r="BM39" i="26"/>
  <c r="BX39" i="26"/>
  <c r="BT39" i="26"/>
  <c r="N61" i="34"/>
  <c r="AC60" i="26"/>
  <c r="AD60" i="26"/>
  <c r="AB60" i="26"/>
  <c r="AE60" i="26"/>
  <c r="AA60" i="26"/>
  <c r="Z60" i="26"/>
  <c r="F48" i="41" l="1"/>
  <c r="C48" i="41"/>
  <c r="D48" i="41" s="1"/>
  <c r="BX40" i="26"/>
  <c r="L63" i="34"/>
  <c r="K63" i="34" s="1"/>
  <c r="M63" i="34"/>
  <c r="J64" i="34" s="1"/>
  <c r="N63" i="34"/>
  <c r="BN40" i="26"/>
  <c r="BR40" i="26"/>
  <c r="BI41" i="26"/>
  <c r="BJ41" i="26" s="1"/>
  <c r="V62" i="26"/>
  <c r="T63" i="26"/>
  <c r="U63" i="26" s="1"/>
  <c r="S62" i="26"/>
  <c r="W62" i="26"/>
  <c r="Y62" i="26" s="1"/>
  <c r="BT40" i="26"/>
  <c r="K62" i="34"/>
  <c r="J47" i="41"/>
  <c r="L47" i="41" s="1"/>
  <c r="I47" i="41"/>
  <c r="K47" i="41" s="1"/>
  <c r="AD61" i="26"/>
  <c r="Z61" i="26"/>
  <c r="AB61" i="26"/>
  <c r="AE61" i="26"/>
  <c r="AA61" i="26"/>
  <c r="AC61" i="26"/>
  <c r="E48" i="41" l="1"/>
  <c r="BL41" i="26"/>
  <c r="BH41" i="26"/>
  <c r="BV41" i="26"/>
  <c r="BK41" i="26"/>
  <c r="BX41" i="26" s="1"/>
  <c r="BR41" i="26"/>
  <c r="BW41" i="26"/>
  <c r="M64" i="34"/>
  <c r="J65" i="34" s="1"/>
  <c r="L64" i="34"/>
  <c r="K64" i="34" s="1"/>
  <c r="N64" i="34"/>
  <c r="H48" i="41"/>
  <c r="W63" i="26"/>
  <c r="Y63" i="26" s="1"/>
  <c r="S63" i="26"/>
  <c r="V63" i="26"/>
  <c r="B49" i="41"/>
  <c r="AC62" i="26"/>
  <c r="Z62" i="26"/>
  <c r="AE62" i="26"/>
  <c r="AA62" i="26"/>
  <c r="AB62" i="26"/>
  <c r="AD62" i="26"/>
  <c r="C49" i="41" l="1"/>
  <c r="D49" i="41"/>
  <c r="F49" i="41"/>
  <c r="M65" i="34"/>
  <c r="J66" i="34" s="1"/>
  <c r="L65" i="34"/>
  <c r="K65" i="34" s="1"/>
  <c r="J48" i="41"/>
  <c r="L48" i="41" s="1"/>
  <c r="I48" i="41"/>
  <c r="K48" i="41" s="1"/>
  <c r="BO41" i="26"/>
  <c r="BS41" i="26"/>
  <c r="BI42" i="26"/>
  <c r="BJ42" i="26" s="1"/>
  <c r="BM41" i="26"/>
  <c r="BN41" i="26"/>
  <c r="BP41" i="26"/>
  <c r="BQ41" i="26"/>
  <c r="BT41" i="26"/>
  <c r="BU41" i="26"/>
  <c r="BY41" i="26"/>
  <c r="AA63" i="26"/>
  <c r="AE63" i="26"/>
  <c r="AD63" i="26"/>
  <c r="AC63" i="26"/>
  <c r="Z63" i="26"/>
  <c r="AB63" i="26"/>
  <c r="AD64" i="26" l="1"/>
  <c r="AC64" i="26"/>
  <c r="AA64" i="26"/>
  <c r="Z64" i="26"/>
  <c r="AB64" i="26"/>
  <c r="CI9" i="26"/>
  <c r="CF14" i="26"/>
  <c r="CI5" i="26"/>
  <c r="CF13" i="26"/>
  <c r="CI13" i="26"/>
  <c r="CG8" i="26"/>
  <c r="CF6" i="26"/>
  <c r="CI29" i="26"/>
  <c r="CG18" i="26"/>
  <c r="BU31" i="24"/>
  <c r="AR31" i="24" s="1"/>
  <c r="S35" i="9" s="1"/>
  <c r="CI25" i="26"/>
  <c r="CF20" i="26"/>
  <c r="CF29" i="26"/>
  <c r="CG17" i="26"/>
  <c r="BT21" i="24"/>
  <c r="AQ21" i="24" s="1"/>
  <c r="R25" i="9" s="1"/>
  <c r="CG16" i="26"/>
  <c r="BU23" i="24"/>
  <c r="AR23" i="24" s="1"/>
  <c r="S27" i="9" s="1"/>
  <c r="CF16" i="26"/>
  <c r="CI28" i="26"/>
  <c r="CG19" i="26"/>
  <c r="CF25" i="26"/>
  <c r="CG9" i="26"/>
  <c r="CH23" i="26"/>
  <c r="CF21" i="26"/>
  <c r="CI24" i="26"/>
  <c r="CF22" i="26"/>
  <c r="CH27" i="26"/>
  <c r="BX8" i="24"/>
  <c r="AU8" i="24" s="1"/>
  <c r="V12" i="9" s="1"/>
  <c r="CG21" i="26"/>
  <c r="CG12" i="26"/>
  <c r="CG11" i="26"/>
  <c r="CF7" i="26"/>
  <c r="CG7" i="26"/>
  <c r="CF26" i="26"/>
  <c r="CF17" i="26"/>
  <c r="CG6" i="26"/>
  <c r="CF11" i="26"/>
  <c r="BX33" i="24"/>
  <c r="AU33" i="24" s="1"/>
  <c r="CF23" i="26"/>
  <c r="CH31" i="26"/>
  <c r="CF27" i="26"/>
  <c r="CF10" i="26"/>
  <c r="CI26" i="26"/>
  <c r="BU29" i="24"/>
  <c r="AR29" i="24" s="1"/>
  <c r="S33" i="9" s="1"/>
  <c r="CG10" i="26"/>
  <c r="CG15" i="26"/>
  <c r="CG22" i="26"/>
  <c r="CF32" i="26"/>
  <c r="CF24" i="26"/>
  <c r="BT9" i="24"/>
  <c r="AQ9" i="24" s="1"/>
  <c r="R13" i="9" s="1"/>
  <c r="CG13" i="26"/>
  <c r="CG20" i="26"/>
  <c r="CF19" i="26"/>
  <c r="CF30" i="26"/>
  <c r="CF31" i="26"/>
  <c r="CF28" i="26"/>
  <c r="BT13" i="24"/>
  <c r="AQ13" i="24" s="1"/>
  <c r="R17" i="9" s="1"/>
  <c r="CF18" i="26"/>
  <c r="CF33" i="26"/>
  <c r="BU15" i="24"/>
  <c r="AR15" i="24" s="1"/>
  <c r="S19" i="9" s="1"/>
  <c r="BX6" i="24"/>
  <c r="AU6" i="24" s="1"/>
  <c r="V10" i="9" s="1"/>
  <c r="CF15" i="26"/>
  <c r="BU18" i="24"/>
  <c r="AR18" i="24" s="1"/>
  <c r="S22" i="9" s="1"/>
  <c r="BX7" i="24"/>
  <c r="AU7" i="24" s="1"/>
  <c r="V11" i="9" s="1"/>
  <c r="CI19" i="26"/>
  <c r="CH6" i="26"/>
  <c r="BT10" i="24"/>
  <c r="AQ10" i="24" s="1"/>
  <c r="R14" i="9" s="1"/>
  <c r="CI33" i="26"/>
  <c r="BV17" i="24"/>
  <c r="AS17" i="24" s="1"/>
  <c r="T21" i="9" s="1"/>
  <c r="BW10" i="24"/>
  <c r="AT10" i="24" s="1"/>
  <c r="CH16" i="26"/>
  <c r="CH19" i="26"/>
  <c r="BS23" i="24"/>
  <c r="AP23" i="24" s="1"/>
  <c r="Q27" i="9" s="1"/>
  <c r="BX21" i="24"/>
  <c r="AU21" i="24" s="1"/>
  <c r="V25" i="9" s="1"/>
  <c r="BW9" i="24"/>
  <c r="AT9" i="24" s="1"/>
  <c r="BX23" i="24"/>
  <c r="AU23" i="24" s="1"/>
  <c r="V27" i="9" s="1"/>
  <c r="BS12" i="24"/>
  <c r="AP12" i="24" s="1"/>
  <c r="Q16" i="9" s="1"/>
  <c r="CG27" i="26"/>
  <c r="CE11" i="26"/>
  <c r="CH28" i="26"/>
  <c r="BS7" i="24"/>
  <c r="AP7" i="24" s="1"/>
  <c r="Q11" i="9" s="1"/>
  <c r="CI10" i="26"/>
  <c r="CG33" i="26"/>
  <c r="BW31" i="24"/>
  <c r="AT31" i="24" s="1"/>
  <c r="CH21" i="26"/>
  <c r="BX32" i="24"/>
  <c r="AU32" i="24" s="1"/>
  <c r="V36" i="9" s="1"/>
  <c r="CE19" i="26"/>
  <c r="CI8" i="26"/>
  <c r="CE22" i="26"/>
  <c r="CI20" i="26"/>
  <c r="CE21" i="26"/>
  <c r="CF12" i="26"/>
  <c r="BS29" i="24"/>
  <c r="AP29" i="24" s="1"/>
  <c r="Q33" i="9" s="1"/>
  <c r="CH29" i="26"/>
  <c r="BS13" i="24"/>
  <c r="AP13" i="24" s="1"/>
  <c r="Q17" i="9" s="1"/>
  <c r="BT11" i="24"/>
  <c r="AQ11" i="24" s="1"/>
  <c r="R15" i="9" s="1"/>
  <c r="CE30" i="26"/>
  <c r="BS19" i="24"/>
  <c r="AP19" i="24" s="1"/>
  <c r="Q23" i="9" s="1"/>
  <c r="BU28" i="24"/>
  <c r="AR28" i="24" s="1"/>
  <c r="S32" i="9" s="1"/>
  <c r="BS14" i="24"/>
  <c r="AP14" i="24" s="1"/>
  <c r="Q18" i="9" s="1"/>
  <c r="BS31" i="24"/>
  <c r="AP31" i="24" s="1"/>
  <c r="Q35" i="9" s="1"/>
  <c r="BS33" i="24"/>
  <c r="AP33" i="24" s="1"/>
  <c r="Q37" i="9" s="1"/>
  <c r="CI27" i="26"/>
  <c r="BW7" i="24"/>
  <c r="AT7" i="24" s="1"/>
  <c r="U11" i="9" s="1"/>
  <c r="BW25" i="24"/>
  <c r="AT25" i="24" s="1"/>
  <c r="BX18" i="24"/>
  <c r="AU18" i="24" s="1"/>
  <c r="V22" i="9" s="1"/>
  <c r="CI16" i="26"/>
  <c r="CG14" i="26"/>
  <c r="BW19" i="24"/>
  <c r="AT19" i="24" s="1"/>
  <c r="CI17" i="26"/>
  <c r="BX20" i="24"/>
  <c r="AU20" i="24" s="1"/>
  <c r="V24" i="9" s="1"/>
  <c r="BV23" i="24"/>
  <c r="AS23" i="24" s="1"/>
  <c r="T27" i="9" s="1"/>
  <c r="BW29" i="24"/>
  <c r="AT29" i="24" s="1"/>
  <c r="U33" i="9" s="1"/>
  <c r="BT24" i="24"/>
  <c r="AQ24" i="24" s="1"/>
  <c r="R28" i="9" s="1"/>
  <c r="BS9" i="24"/>
  <c r="AP9" i="24" s="1"/>
  <c r="Q13" i="9" s="1"/>
  <c r="CE14" i="26"/>
  <c r="CH32" i="26"/>
  <c r="BW21" i="24"/>
  <c r="AT21" i="24" s="1"/>
  <c r="U25" i="9" s="1"/>
  <c r="BU27" i="24"/>
  <c r="AR27" i="24" s="1"/>
  <c r="S31" i="9" s="1"/>
  <c r="BX15" i="24"/>
  <c r="AU15" i="24" s="1"/>
  <c r="V19" i="9" s="1"/>
  <c r="BV13" i="24"/>
  <c r="AS13" i="24" s="1"/>
  <c r="T17" i="9" s="1"/>
  <c r="CE13" i="26"/>
  <c r="BV24" i="24"/>
  <c r="AS24" i="24" s="1"/>
  <c r="T28" i="9" s="1"/>
  <c r="CH18" i="26"/>
  <c r="BX28" i="24"/>
  <c r="AU28" i="24" s="1"/>
  <c r="V32" i="9" s="1"/>
  <c r="BU9" i="24"/>
  <c r="AR9" i="24" s="1"/>
  <c r="S13" i="9" s="1"/>
  <c r="BT27" i="24"/>
  <c r="AQ27" i="24" s="1"/>
  <c r="R31" i="9" s="1"/>
  <c r="BW24" i="24"/>
  <c r="AT24" i="24" s="1"/>
  <c r="BV9" i="24"/>
  <c r="AS9" i="24" s="1"/>
  <c r="T13" i="9" s="1"/>
  <c r="BV33" i="24"/>
  <c r="AS33" i="24" s="1"/>
  <c r="T37" i="9" s="1"/>
  <c r="BV31" i="24"/>
  <c r="AS31" i="24" s="1"/>
  <c r="T35" i="9" s="1"/>
  <c r="BV27" i="24"/>
  <c r="AS27" i="24" s="1"/>
  <c r="T31" i="9" s="1"/>
  <c r="BS21" i="24"/>
  <c r="AP21" i="24" s="1"/>
  <c r="Q25" i="9" s="1"/>
  <c r="BV32" i="24"/>
  <c r="AS32" i="24" s="1"/>
  <c r="T36" i="9" s="1"/>
  <c r="CH24" i="26"/>
  <c r="BU14" i="24"/>
  <c r="AR14" i="24" s="1"/>
  <c r="S18" i="9" s="1"/>
  <c r="BS11" i="24"/>
  <c r="AP11" i="24" s="1"/>
  <c r="Q15" i="9" s="1"/>
  <c r="BX31" i="24"/>
  <c r="AU31" i="24" s="1"/>
  <c r="V35" i="9" s="1"/>
  <c r="CE6" i="26"/>
  <c r="CE23" i="26"/>
  <c r="BT32" i="24"/>
  <c r="AQ32" i="24" s="1"/>
  <c r="R36" i="9" s="1"/>
  <c r="CF9" i="26"/>
  <c r="BS20" i="24"/>
  <c r="AP20" i="24" s="1"/>
  <c r="Q24" i="9" s="1"/>
  <c r="CI7" i="26"/>
  <c r="BX19" i="24"/>
  <c r="AU19" i="24" s="1"/>
  <c r="V23" i="9" s="1"/>
  <c r="BW23" i="24"/>
  <c r="AT23" i="24" s="1"/>
  <c r="BV30" i="24"/>
  <c r="AS30" i="24" s="1"/>
  <c r="T34" i="9" s="1"/>
  <c r="CI18" i="26"/>
  <c r="BT22" i="24"/>
  <c r="AQ22" i="24" s="1"/>
  <c r="R26" i="9" s="1"/>
  <c r="BV18" i="24"/>
  <c r="AS18" i="24" s="1"/>
  <c r="T22" i="9" s="1"/>
  <c r="CE16" i="26"/>
  <c r="CH7" i="26"/>
  <c r="BW32" i="24"/>
  <c r="AT32" i="24" s="1"/>
  <c r="CE33" i="26"/>
  <c r="BS18" i="24"/>
  <c r="AP18" i="24" s="1"/>
  <c r="Q22" i="9" s="1"/>
  <c r="CI6" i="26"/>
  <c r="CE17" i="26"/>
  <c r="CI31" i="26"/>
  <c r="BW15" i="24"/>
  <c r="AT15" i="24" s="1"/>
  <c r="CH14" i="26"/>
  <c r="CE20" i="26"/>
  <c r="CH11" i="26"/>
  <c r="BW28" i="24"/>
  <c r="AT28" i="24" s="1"/>
  <c r="U32" i="9" s="1"/>
  <c r="CH12" i="26"/>
  <c r="CI21" i="26"/>
  <c r="BU24" i="24"/>
  <c r="AR24" i="24" s="1"/>
  <c r="S28" i="9" s="1"/>
  <c r="CH13" i="26"/>
  <c r="BS16" i="24"/>
  <c r="AP16" i="24" s="1"/>
  <c r="Q20" i="9" s="1"/>
  <c r="BV21" i="24"/>
  <c r="AS21" i="24" s="1"/>
  <c r="T25" i="9" s="1"/>
  <c r="BT6" i="24"/>
  <c r="AQ6" i="24" s="1"/>
  <c r="R10" i="9" s="1"/>
  <c r="BS24" i="24"/>
  <c r="AP24" i="24" s="1"/>
  <c r="Q28" i="9" s="1"/>
  <c r="BT8" i="24"/>
  <c r="AQ8" i="24" s="1"/>
  <c r="R12" i="9" s="1"/>
  <c r="CH17" i="26"/>
  <c r="BX13" i="24"/>
  <c r="AU13" i="24" s="1"/>
  <c r="V17" i="9" s="1"/>
  <c r="BX30" i="24"/>
  <c r="AU30" i="24" s="1"/>
  <c r="V34" i="9" s="1"/>
  <c r="BX29" i="24"/>
  <c r="AU29" i="24" s="1"/>
  <c r="V33" i="9" s="1"/>
  <c r="BV14" i="24"/>
  <c r="AS14" i="24" s="1"/>
  <c r="T18" i="9" s="1"/>
  <c r="BV29" i="24"/>
  <c r="AS29" i="24" s="1"/>
  <c r="T33" i="9" s="1"/>
  <c r="BX27" i="24"/>
  <c r="AU27" i="24" s="1"/>
  <c r="V31" i="9" s="1"/>
  <c r="CE18" i="26"/>
  <c r="CE7" i="26"/>
  <c r="BS25" i="24"/>
  <c r="AP25" i="24" s="1"/>
  <c r="Q29" i="9" s="1"/>
  <c r="CE10" i="26"/>
  <c r="CE27" i="26"/>
  <c r="CG28" i="26"/>
  <c r="BW26" i="24"/>
  <c r="AT26" i="24" s="1"/>
  <c r="BU11" i="24"/>
  <c r="AR11" i="24" s="1"/>
  <c r="S15" i="9" s="1"/>
  <c r="BV26" i="24"/>
  <c r="AS26" i="24" s="1"/>
  <c r="T30" i="9" s="1"/>
  <c r="BX22" i="24"/>
  <c r="AU22" i="24" s="1"/>
  <c r="V26" i="9" s="1"/>
  <c r="CH9" i="26"/>
  <c r="BV15" i="24"/>
  <c r="AS15" i="24" s="1"/>
  <c r="T19" i="9" s="1"/>
  <c r="BS27" i="24"/>
  <c r="AP27" i="24" s="1"/>
  <c r="Q31" i="9" s="1"/>
  <c r="CI30" i="26"/>
  <c r="CE9" i="26"/>
  <c r="CH8" i="26"/>
  <c r="BW27" i="24"/>
  <c r="AT27" i="24" s="1"/>
  <c r="U31" i="9" s="1"/>
  <c r="BX11" i="24"/>
  <c r="AU11" i="24" s="1"/>
  <c r="V15" i="9" s="1"/>
  <c r="CH33" i="26"/>
  <c r="BV19" i="24"/>
  <c r="AS19" i="24" s="1"/>
  <c r="T23" i="9" s="1"/>
  <c r="P69" i="9"/>
  <c r="M61" i="9"/>
  <c r="BW18" i="24"/>
  <c r="AT18" i="24" s="1"/>
  <c r="N54" i="9"/>
  <c r="O63" i="9"/>
  <c r="CE29" i="26"/>
  <c r="CI12" i="26"/>
  <c r="L62" i="9"/>
  <c r="L53" i="9"/>
  <c r="BU33" i="24"/>
  <c r="AR33" i="24" s="1"/>
  <c r="S37" i="9" s="1"/>
  <c r="BT7" i="24"/>
  <c r="AQ7" i="24" s="1"/>
  <c r="R11" i="9" s="1"/>
  <c r="BU10" i="24"/>
  <c r="AR10" i="24" s="1"/>
  <c r="S14" i="9" s="1"/>
  <c r="CI14" i="26"/>
  <c r="CF8" i="26"/>
  <c r="CI32" i="26"/>
  <c r="BS17" i="24"/>
  <c r="AP17" i="24" s="1"/>
  <c r="Q21" i="9" s="1"/>
  <c r="CE15" i="26"/>
  <c r="CH10" i="26"/>
  <c r="CH20" i="26"/>
  <c r="CH15" i="26"/>
  <c r="BV25" i="24"/>
  <c r="AS25" i="24" s="1"/>
  <c r="T29" i="9" s="1"/>
  <c r="BT26" i="24"/>
  <c r="AQ26" i="24" s="1"/>
  <c r="R30" i="9" s="1"/>
  <c r="BW11" i="24"/>
  <c r="AT11" i="24" s="1"/>
  <c r="U15" i="9" s="1"/>
  <c r="BS15" i="24"/>
  <c r="AP15" i="24" s="1"/>
  <c r="Q19" i="9" s="1"/>
  <c r="BW17" i="24"/>
  <c r="AT17" i="24" s="1"/>
  <c r="BT14" i="24"/>
  <c r="AQ14" i="24" s="1"/>
  <c r="O53" i="9"/>
  <c r="BT18" i="24"/>
  <c r="AQ18" i="24" s="1"/>
  <c r="R22" i="9" s="1"/>
  <c r="BS26" i="24"/>
  <c r="AP26" i="24" s="1"/>
  <c r="Q30" i="9" s="1"/>
  <c r="N66" i="9"/>
  <c r="O56" i="9"/>
  <c r="BV7" i="24"/>
  <c r="AS7" i="24" s="1"/>
  <c r="T11" i="9" s="1"/>
  <c r="CE8" i="26"/>
  <c r="M59" i="9"/>
  <c r="CG31" i="26"/>
  <c r="O45" i="9"/>
  <c r="BS10" i="24"/>
  <c r="AP10" i="24" s="1"/>
  <c r="Q14" i="9" s="1"/>
  <c r="CH26" i="26"/>
  <c r="L58" i="9"/>
  <c r="M68" i="9"/>
  <c r="BU30" i="24"/>
  <c r="AR30" i="24" s="1"/>
  <c r="S34" i="9" s="1"/>
  <c r="BU20" i="24"/>
  <c r="AR20" i="24" s="1"/>
  <c r="S24" i="9" s="1"/>
  <c r="BW20" i="24"/>
  <c r="AT20" i="24" s="1"/>
  <c r="BW30" i="24"/>
  <c r="AT30" i="24" s="1"/>
  <c r="BX12" i="24"/>
  <c r="AU12" i="24" s="1"/>
  <c r="V16" i="9" s="1"/>
  <c r="BW13" i="24"/>
  <c r="AT13" i="24" s="1"/>
  <c r="BX25" i="24"/>
  <c r="AU25" i="24" s="1"/>
  <c r="V29" i="9" s="1"/>
  <c r="BT29" i="24"/>
  <c r="AQ29" i="24" s="1"/>
  <c r="R33" i="9" s="1"/>
  <c r="BV10" i="24"/>
  <c r="AS10" i="24" s="1"/>
  <c r="T14" i="9" s="1"/>
  <c r="BW33" i="24"/>
  <c r="AT33" i="24" s="1"/>
  <c r="CI11" i="26"/>
  <c r="CH25" i="26"/>
  <c r="CG30" i="26"/>
  <c r="N68" i="9"/>
  <c r="BS22" i="24"/>
  <c r="AP22" i="24" s="1"/>
  <c r="Q26" i="9" s="1"/>
  <c r="BU12" i="24"/>
  <c r="AR12" i="24" s="1"/>
  <c r="S16" i="9" s="1"/>
  <c r="BV28" i="24"/>
  <c r="AS28" i="24" s="1"/>
  <c r="T32" i="9" s="1"/>
  <c r="M52" i="9"/>
  <c r="BX24" i="24"/>
  <c r="AU24" i="24" s="1"/>
  <c r="V28" i="9" s="1"/>
  <c r="BX26" i="24"/>
  <c r="AU26" i="24" s="1"/>
  <c r="V30" i="9" s="1"/>
  <c r="BU25" i="24"/>
  <c r="AR25" i="24" s="1"/>
  <c r="S29" i="9" s="1"/>
  <c r="P61" i="9"/>
  <c r="O57" i="9"/>
  <c r="BX14" i="24"/>
  <c r="AU14" i="24" s="1"/>
  <c r="V18" i="9" s="1"/>
  <c r="O46" i="9"/>
  <c r="L61" i="9"/>
  <c r="L65" i="9"/>
  <c r="BW12" i="24"/>
  <c r="AT12" i="24" s="1"/>
  <c r="CI15" i="26"/>
  <c r="BV11" i="24"/>
  <c r="AS11" i="24" s="1"/>
  <c r="T15" i="9" s="1"/>
  <c r="CI23" i="26"/>
  <c r="CE12" i="26"/>
  <c r="CH22" i="26"/>
  <c r="BU19" i="24"/>
  <c r="AR19" i="24" s="1"/>
  <c r="S23" i="9" s="1"/>
  <c r="CG24" i="26"/>
  <c r="BV22" i="24"/>
  <c r="AS22" i="24" s="1"/>
  <c r="T26" i="9" s="1"/>
  <c r="BT16" i="24"/>
  <c r="AQ16" i="24" s="1"/>
  <c r="R20" i="9" s="1"/>
  <c r="BV8" i="24"/>
  <c r="AS8" i="24" s="1"/>
  <c r="T12" i="9" s="1"/>
  <c r="BX10" i="24"/>
  <c r="AU10" i="24" s="1"/>
  <c r="V14" i="9" s="1"/>
  <c r="CE31" i="26"/>
  <c r="CG23" i="26"/>
  <c r="BX17" i="24"/>
  <c r="AU17" i="24" s="1"/>
  <c r="V21" i="9" s="1"/>
  <c r="BU32" i="24"/>
  <c r="AR32" i="24" s="1"/>
  <c r="S36" i="9" s="1"/>
  <c r="L64" i="9"/>
  <c r="BS32" i="24"/>
  <c r="AP32" i="24" s="1"/>
  <c r="Q36" i="9" s="1"/>
  <c r="BU7" i="24"/>
  <c r="AR7" i="24" s="1"/>
  <c r="S11" i="9" s="1"/>
  <c r="BT31" i="24"/>
  <c r="AQ31" i="24" s="1"/>
  <c r="R35" i="9" s="1"/>
  <c r="M54" i="9"/>
  <c r="CH30" i="26"/>
  <c r="BS30" i="24"/>
  <c r="AP30" i="24" s="1"/>
  <c r="Q34" i="9" s="1"/>
  <c r="CG29" i="26"/>
  <c r="O70" i="9"/>
  <c r="N50" i="9"/>
  <c r="BT30" i="24"/>
  <c r="AQ30" i="24" s="1"/>
  <c r="R34" i="9" s="1"/>
  <c r="BU22" i="24"/>
  <c r="AR22" i="24" s="1"/>
  <c r="S26" i="9" s="1"/>
  <c r="P43" i="9"/>
  <c r="P56" i="9"/>
  <c r="P68" i="9"/>
  <c r="P64" i="9"/>
  <c r="BW22" i="24"/>
  <c r="AT22" i="24" s="1"/>
  <c r="U26" i="9" s="1"/>
  <c r="CG32" i="26"/>
  <c r="BU26" i="24"/>
  <c r="AR26" i="24" s="1"/>
  <c r="S30" i="9" s="1"/>
  <c r="CI22" i="26"/>
  <c r="BS28" i="24"/>
  <c r="AP28" i="24" s="1"/>
  <c r="Q32" i="9" s="1"/>
  <c r="BT19" i="24"/>
  <c r="AQ19" i="24" s="1"/>
  <c r="R23" i="9" s="1"/>
  <c r="BT33" i="24"/>
  <c r="AQ33" i="24" s="1"/>
  <c r="R37" i="9" s="1"/>
  <c r="BV12" i="24"/>
  <c r="AS12" i="24" s="1"/>
  <c r="T16" i="9" s="1"/>
  <c r="CE32" i="26"/>
  <c r="L68" i="9"/>
  <c r="M65" i="9"/>
  <c r="BT12" i="24"/>
  <c r="AQ12" i="24" s="1"/>
  <c r="R16" i="9" s="1"/>
  <c r="N48" i="9"/>
  <c r="O69" i="9"/>
  <c r="CE28" i="26"/>
  <c r="N52" i="9"/>
  <c r="P47" i="9"/>
  <c r="P52" i="9"/>
  <c r="O55" i="9"/>
  <c r="L60" i="9"/>
  <c r="O59" i="9"/>
  <c r="BW14" i="24"/>
  <c r="AT14" i="24" s="1"/>
  <c r="U18" i="9" s="1"/>
  <c r="M63" i="9"/>
  <c r="CG25" i="26"/>
  <c r="N44" i="9"/>
  <c r="BV16" i="24"/>
  <c r="AS16" i="24" s="1"/>
  <c r="T20" i="9" s="1"/>
  <c r="O64" i="9"/>
  <c r="P54" i="9"/>
  <c r="P63" i="9"/>
  <c r="BT25" i="24"/>
  <c r="AQ25" i="24" s="1"/>
  <c r="R29" i="9" s="1"/>
  <c r="P65" i="9"/>
  <c r="BT28" i="24"/>
  <c r="AQ28" i="24" s="1"/>
  <c r="R32" i="9" s="1"/>
  <c r="M56" i="9"/>
  <c r="M64" i="9"/>
  <c r="P55" i="9"/>
  <c r="L55" i="9"/>
  <c r="M51" i="9"/>
  <c r="N61" i="9"/>
  <c r="O58" i="9"/>
  <c r="N70" i="9"/>
  <c r="CE25" i="26"/>
  <c r="N58" i="9"/>
  <c r="O62" i="9"/>
  <c r="M44" i="9"/>
  <c r="O44" i="9"/>
  <c r="N46" i="9"/>
  <c r="BU16" i="24"/>
  <c r="AR16" i="24" s="1"/>
  <c r="S20" i="9" s="1"/>
  <c r="L59" i="9"/>
  <c r="P53" i="9"/>
  <c r="M55" i="9"/>
  <c r="P59" i="9"/>
  <c r="N55" i="9"/>
  <c r="O67" i="9"/>
  <c r="BX16" i="24"/>
  <c r="AU16" i="24" s="1"/>
  <c r="V20" i="9" s="1"/>
  <c r="O61" i="9"/>
  <c r="M46" i="9"/>
  <c r="BU17" i="24"/>
  <c r="AR17" i="24" s="1"/>
  <c r="S21" i="9" s="1"/>
  <c r="P57" i="9"/>
  <c r="L69" i="9"/>
  <c r="M50" i="9"/>
  <c r="O54" i="9"/>
  <c r="BT17" i="24"/>
  <c r="AQ17" i="24" s="1"/>
  <c r="R21" i="9" s="1"/>
  <c r="L44" i="9"/>
  <c r="M48" i="9"/>
  <c r="L51" i="9"/>
  <c r="P67" i="9"/>
  <c r="N47" i="9"/>
  <c r="N69" i="9"/>
  <c r="N65" i="9"/>
  <c r="N49" i="9"/>
  <c r="BT23" i="24"/>
  <c r="AQ23" i="24" s="1"/>
  <c r="R27" i="9" s="1"/>
  <c r="M60" i="9"/>
  <c r="O50" i="9"/>
  <c r="P60" i="9"/>
  <c r="BS8" i="24"/>
  <c r="AP8" i="24" s="1"/>
  <c r="Q12" i="9" s="1"/>
  <c r="BU13" i="24"/>
  <c r="AR13" i="24" s="1"/>
  <c r="S17" i="9" s="1"/>
  <c r="L45" i="9"/>
  <c r="L46" i="9"/>
  <c r="N53" i="9"/>
  <c r="L66" i="9"/>
  <c r="P49" i="9"/>
  <c r="L47" i="9"/>
  <c r="L52" i="9"/>
  <c r="BU21" i="24"/>
  <c r="AR21" i="24" s="1"/>
  <c r="S25" i="9" s="1"/>
  <c r="O51" i="9"/>
  <c r="P70" i="9"/>
  <c r="P51" i="9"/>
  <c r="N62" i="9"/>
  <c r="P46" i="9"/>
  <c r="BT15" i="24"/>
  <c r="AQ15" i="24" s="1"/>
  <c r="R19" i="9" s="1"/>
  <c r="M47" i="9"/>
  <c r="BU8" i="24"/>
  <c r="AR8" i="24" s="1"/>
  <c r="S12" i="9" s="1"/>
  <c r="M67" i="9"/>
  <c r="N64" i="9"/>
  <c r="P66" i="9"/>
  <c r="BV20" i="24"/>
  <c r="AS20" i="24" s="1"/>
  <c r="T24" i="9" s="1"/>
  <c r="N60" i="9"/>
  <c r="L48" i="9"/>
  <c r="N51" i="9"/>
  <c r="BW8" i="24"/>
  <c r="AT8" i="24" s="1"/>
  <c r="CG26" i="26"/>
  <c r="P50" i="9"/>
  <c r="P44" i="9"/>
  <c r="P45" i="9"/>
  <c r="M45" i="9"/>
  <c r="N45" i="9"/>
  <c r="O47" i="9"/>
  <c r="O60" i="9"/>
  <c r="M53" i="9"/>
  <c r="N57" i="9"/>
  <c r="M69" i="9"/>
  <c r="CE26" i="26"/>
  <c r="L70" i="9"/>
  <c r="L67" i="9"/>
  <c r="P58" i="9"/>
  <c r="O52" i="9"/>
  <c r="M66" i="9"/>
  <c r="N56" i="9"/>
  <c r="M57" i="9"/>
  <c r="BW16" i="24"/>
  <c r="AT16" i="24" s="1"/>
  <c r="O49" i="9"/>
  <c r="O65" i="9"/>
  <c r="BT20" i="24"/>
  <c r="AQ20" i="24" s="1"/>
  <c r="R24" i="9" s="1"/>
  <c r="L49" i="9"/>
  <c r="L56" i="9"/>
  <c r="L50" i="9"/>
  <c r="N59" i="9"/>
  <c r="N63" i="9"/>
  <c r="O68" i="9"/>
  <c r="N67" i="9"/>
  <c r="M49" i="9"/>
  <c r="O66" i="9"/>
  <c r="BX9" i="24"/>
  <c r="AU9" i="24" s="1"/>
  <c r="V13" i="9" s="1"/>
  <c r="M62" i="9"/>
  <c r="L54" i="9"/>
  <c r="L57" i="9"/>
  <c r="M58" i="9"/>
  <c r="M70" i="9"/>
  <c r="P48" i="9"/>
  <c r="P62" i="9"/>
  <c r="O48" i="9"/>
  <c r="CE24" i="26"/>
  <c r="L63" i="9"/>
  <c r="M66" i="34"/>
  <c r="J67" i="34" s="1"/>
  <c r="N66" i="34"/>
  <c r="L66" i="34"/>
  <c r="N65" i="34"/>
  <c r="E49" i="41"/>
  <c r="B50" i="41" s="1"/>
  <c r="BV42" i="26"/>
  <c r="BL42" i="26"/>
  <c r="BI43" i="26" s="1"/>
  <c r="BJ43" i="26" s="1"/>
  <c r="BK42" i="26"/>
  <c r="H49" i="41"/>
  <c r="AI28" i="9" l="1"/>
  <c r="AI13" i="9"/>
  <c r="AI12" i="9"/>
  <c r="AI15" i="9"/>
  <c r="AL15" i="9" s="1"/>
  <c r="AI17" i="9"/>
  <c r="AL17" i="9" s="1"/>
  <c r="AI26" i="9"/>
  <c r="AJ18" i="9"/>
  <c r="AN18" i="9" s="1"/>
  <c r="AI36" i="9"/>
  <c r="AL36" i="9" s="1"/>
  <c r="AJ26" i="9"/>
  <c r="AN26" i="9" s="1"/>
  <c r="AI25" i="9"/>
  <c r="AL25" i="9" s="1"/>
  <c r="AI14" i="9"/>
  <c r="AJ31" i="9"/>
  <c r="AN31" i="9" s="1"/>
  <c r="AI32" i="9"/>
  <c r="AL32" i="9" s="1"/>
  <c r="F50" i="41"/>
  <c r="C50" i="41"/>
  <c r="D50" i="41" s="1"/>
  <c r="BW43" i="26"/>
  <c r="BK43" i="26"/>
  <c r="BN43" i="26" s="1"/>
  <c r="BV43" i="26"/>
  <c r="BX43" i="26"/>
  <c r="BP43" i="26"/>
  <c r="BM43" i="26"/>
  <c r="BT43" i="26"/>
  <c r="BL43" i="26"/>
  <c r="BO43" i="26" s="1"/>
  <c r="BQ43" i="26"/>
  <c r="BN42" i="26"/>
  <c r="AF33" i="9"/>
  <c r="AG33" i="9"/>
  <c r="AG22" i="9"/>
  <c r="AI19" i="9"/>
  <c r="AI21" i="9"/>
  <c r="AL28" i="9"/>
  <c r="AJ32" i="9"/>
  <c r="AN32" i="9" s="1"/>
  <c r="AI22" i="9"/>
  <c r="AI24" i="9"/>
  <c r="AF31" i="9"/>
  <c r="AG31" i="9"/>
  <c r="AL13" i="9"/>
  <c r="AG14" i="9"/>
  <c r="AF25" i="9"/>
  <c r="AG25" i="9"/>
  <c r="BM42" i="26"/>
  <c r="BX42" i="26"/>
  <c r="BQ42" i="26"/>
  <c r="BR42" i="26"/>
  <c r="AF32" i="9"/>
  <c r="AG32" i="9"/>
  <c r="AG16" i="9"/>
  <c r="AG35" i="9"/>
  <c r="AL26" i="9"/>
  <c r="AJ15" i="9"/>
  <c r="AN15" i="9" s="1"/>
  <c r="AF11" i="9"/>
  <c r="AG11" i="9"/>
  <c r="AI29" i="9"/>
  <c r="AF10" i="9"/>
  <c r="AG10" i="9"/>
  <c r="AI10" i="9"/>
  <c r="AJ25" i="9"/>
  <c r="AN25" i="9" s="1"/>
  <c r="AG28" i="9"/>
  <c r="AI37" i="9"/>
  <c r="AI23" i="9"/>
  <c r="AG13" i="9"/>
  <c r="V37" i="9"/>
  <c r="R18" i="9"/>
  <c r="AI18" i="9" s="1"/>
  <c r="U30" i="9"/>
  <c r="AJ30" i="9" s="1"/>
  <c r="AN30" i="9" s="1"/>
  <c r="U19" i="9"/>
  <c r="AJ19" i="9" s="1"/>
  <c r="AN19" i="9" s="1"/>
  <c r="U28" i="9"/>
  <c r="AJ28" i="9" s="1"/>
  <c r="AN28" i="9" s="1"/>
  <c r="U29" i="9"/>
  <c r="AJ29" i="9" s="1"/>
  <c r="AN29" i="9" s="1"/>
  <c r="U20" i="9"/>
  <c r="AJ20" i="9" s="1"/>
  <c r="AN20" i="9" s="1"/>
  <c r="U21" i="9"/>
  <c r="AJ21" i="9" s="1"/>
  <c r="AN21" i="9" s="1"/>
  <c r="U23" i="9"/>
  <c r="AJ23" i="9" s="1"/>
  <c r="AN23" i="9" s="1"/>
  <c r="U22" i="9"/>
  <c r="AJ22" i="9" s="1"/>
  <c r="AN22" i="9" s="1"/>
  <c r="U12" i="9"/>
  <c r="AJ12" i="9" s="1"/>
  <c r="AN12" i="9" s="1"/>
  <c r="U13" i="9"/>
  <c r="AJ13" i="9" s="1"/>
  <c r="AN13" i="9" s="1"/>
  <c r="U14" i="9"/>
  <c r="AJ14" i="9" s="1"/>
  <c r="AN14" i="9" s="1"/>
  <c r="U34" i="9"/>
  <c r="AJ34" i="9" s="1"/>
  <c r="AN34" i="9" s="1"/>
  <c r="U35" i="9"/>
  <c r="AJ35" i="9" s="1"/>
  <c r="AN35" i="9" s="1"/>
  <c r="U36" i="9"/>
  <c r="AJ36" i="9" s="1"/>
  <c r="AN36" i="9" s="1"/>
  <c r="U24" i="9"/>
  <c r="AJ24" i="9" s="1"/>
  <c r="AN24" i="9" s="1"/>
  <c r="U16" i="9"/>
  <c r="AJ16" i="9" s="1"/>
  <c r="AN16" i="9" s="1"/>
  <c r="U17" i="9"/>
  <c r="AJ17" i="9" s="1"/>
  <c r="AN17" i="9" s="1"/>
  <c r="U27" i="9"/>
  <c r="AJ27" i="9" s="1"/>
  <c r="AN27" i="9" s="1"/>
  <c r="U37" i="9"/>
  <c r="AJ37" i="9" s="1"/>
  <c r="AN37" i="9" s="1"/>
  <c r="BP42" i="26"/>
  <c r="L67" i="34"/>
  <c r="M67" i="34"/>
  <c r="J68" i="34" s="1"/>
  <c r="J49" i="41"/>
  <c r="L49" i="41" s="1"/>
  <c r="I49" i="41"/>
  <c r="K49" i="41" s="1"/>
  <c r="BO42" i="26"/>
  <c r="BU42" i="26"/>
  <c r="AG24" i="9"/>
  <c r="AL12" i="9"/>
  <c r="AM12" i="9"/>
  <c r="AG27" i="9"/>
  <c r="AG37" i="9"/>
  <c r="AG34" i="9"/>
  <c r="AI34" i="9"/>
  <c r="AG30" i="9"/>
  <c r="AF26" i="9"/>
  <c r="AG26" i="9"/>
  <c r="AG36" i="9"/>
  <c r="AK15" i="9"/>
  <c r="AJ33" i="9"/>
  <c r="AN33" i="9" s="1"/>
  <c r="AI35" i="9"/>
  <c r="AI33" i="9"/>
  <c r="AI11" i="9"/>
  <c r="AI16" i="9"/>
  <c r="AI27" i="9"/>
  <c r="AG17" i="9"/>
  <c r="BT42" i="26"/>
  <c r="BH42" i="26"/>
  <c r="BS42" i="26"/>
  <c r="BW42" i="26"/>
  <c r="BY42" i="26"/>
  <c r="K66" i="34"/>
  <c r="AG19" i="9"/>
  <c r="AG21" i="9"/>
  <c r="AG29" i="9"/>
  <c r="AG23" i="9"/>
  <c r="AG20" i="9"/>
  <c r="AL14" i="9"/>
  <c r="AI30" i="9"/>
  <c r="AI31" i="9"/>
  <c r="AG12" i="9"/>
  <c r="AI20" i="9"/>
  <c r="AJ11" i="9"/>
  <c r="AN11" i="9" s="1"/>
  <c r="AF15" i="9"/>
  <c r="AG15" i="9"/>
  <c r="AK26" i="9" l="1"/>
  <c r="AF20" i="9"/>
  <c r="AS10" i="9" s="1"/>
  <c r="AM26" i="9"/>
  <c r="AF30" i="9"/>
  <c r="AT10" i="9" s="1"/>
  <c r="AK12" i="9"/>
  <c r="AM15" i="9"/>
  <c r="AF19" i="9"/>
  <c r="AS9" i="9" s="1"/>
  <c r="AF23" i="9"/>
  <c r="D89" i="9" s="1"/>
  <c r="AF34" i="9"/>
  <c r="AT14" i="9" s="1"/>
  <c r="AM14" i="9"/>
  <c r="AK14" i="9"/>
  <c r="AM32" i="9"/>
  <c r="AF17" i="9"/>
  <c r="AR17" i="9" s="1"/>
  <c r="AK32" i="9"/>
  <c r="AM36" i="9"/>
  <c r="AK36" i="9"/>
  <c r="AF36" i="9"/>
  <c r="D102" i="9" s="1"/>
  <c r="AF21" i="9"/>
  <c r="AS11" i="9" s="1"/>
  <c r="AF12" i="9"/>
  <c r="AR12" i="9" s="1"/>
  <c r="AK25" i="9"/>
  <c r="AF27" i="9"/>
  <c r="AS17" i="9" s="1"/>
  <c r="AK13" i="9"/>
  <c r="AF35" i="9"/>
  <c r="D101" i="9" s="1"/>
  <c r="AM18" i="9"/>
  <c r="AL18" i="9"/>
  <c r="AK18" i="9"/>
  <c r="E50" i="41"/>
  <c r="N68" i="34"/>
  <c r="M68" i="34"/>
  <c r="J69" i="34" s="1"/>
  <c r="L68" i="34"/>
  <c r="K68" i="34" s="1"/>
  <c r="AF14" i="9"/>
  <c r="D97" i="9"/>
  <c r="AT11" i="9"/>
  <c r="AM19" i="9"/>
  <c r="AL19" i="9"/>
  <c r="AK19" i="9"/>
  <c r="AR15" i="9"/>
  <c r="D81" i="9"/>
  <c r="AS16" i="9"/>
  <c r="D92" i="9"/>
  <c r="N67" i="34"/>
  <c r="AL37" i="9"/>
  <c r="AK37" i="9"/>
  <c r="AM37" i="9"/>
  <c r="AM10" i="9"/>
  <c r="AL10" i="9"/>
  <c r="AK10" i="9"/>
  <c r="AK17" i="9"/>
  <c r="AK24" i="9"/>
  <c r="AM24" i="9"/>
  <c r="AL24" i="9"/>
  <c r="AM28" i="9"/>
  <c r="AT13" i="9"/>
  <c r="D99" i="9"/>
  <c r="D85" i="9"/>
  <c r="AL16" i="9"/>
  <c r="AM16" i="9"/>
  <c r="AK16" i="9"/>
  <c r="AM34" i="9"/>
  <c r="AL34" i="9"/>
  <c r="AK34" i="9"/>
  <c r="AF37" i="9"/>
  <c r="AF24" i="9"/>
  <c r="K67" i="34"/>
  <c r="AR11" i="9"/>
  <c r="D77" i="9"/>
  <c r="AF16" i="9"/>
  <c r="D91" i="9"/>
  <c r="AS15" i="9"/>
  <c r="AM13" i="9"/>
  <c r="AM22" i="9"/>
  <c r="AL22" i="9"/>
  <c r="AK22" i="9"/>
  <c r="AK28" i="9"/>
  <c r="AF22" i="9"/>
  <c r="BY43" i="26"/>
  <c r="BU43" i="26"/>
  <c r="B51" i="41"/>
  <c r="AL33" i="9"/>
  <c r="AK33" i="9"/>
  <c r="AM33" i="9"/>
  <c r="AF18" i="9"/>
  <c r="AG18" i="9"/>
  <c r="AM23" i="9"/>
  <c r="AL23" i="9"/>
  <c r="AK23" i="9"/>
  <c r="AL29" i="9"/>
  <c r="AK29" i="9"/>
  <c r="AM29" i="9"/>
  <c r="D98" i="9"/>
  <c r="AT12" i="9"/>
  <c r="AM27" i="9"/>
  <c r="AL27" i="9"/>
  <c r="AK27" i="9"/>
  <c r="AM35" i="9"/>
  <c r="AL35" i="9"/>
  <c r="AK35" i="9"/>
  <c r="AM31" i="9"/>
  <c r="AL31" i="9"/>
  <c r="AK31" i="9"/>
  <c r="AK20" i="9"/>
  <c r="AM20" i="9"/>
  <c r="AL20" i="9"/>
  <c r="AM30" i="9"/>
  <c r="AL30" i="9"/>
  <c r="AK30" i="9"/>
  <c r="AF29" i="9"/>
  <c r="AK11" i="9"/>
  <c r="AM11" i="9"/>
  <c r="AL11" i="9"/>
  <c r="AM25" i="9"/>
  <c r="AF13" i="9"/>
  <c r="AF28" i="9"/>
  <c r="D76" i="9"/>
  <c r="AR10" i="9"/>
  <c r="AM17" i="9"/>
  <c r="AL21" i="9"/>
  <c r="AK21" i="9"/>
  <c r="AM21" i="9"/>
  <c r="BI44" i="26"/>
  <c r="BJ44" i="26" s="1"/>
  <c r="BH43" i="26"/>
  <c r="BR43" i="26"/>
  <c r="BS43" i="26"/>
  <c r="H50" i="41"/>
  <c r="D86" i="9" l="1"/>
  <c r="D78" i="9"/>
  <c r="D96" i="9"/>
  <c r="AS13" i="9"/>
  <c r="D100" i="9"/>
  <c r="D93" i="9"/>
  <c r="AT16" i="9"/>
  <c r="D87" i="9"/>
  <c r="D83" i="9"/>
  <c r="AT15" i="9"/>
  <c r="D94" i="9"/>
  <c r="AT8" i="9"/>
  <c r="AS12" i="9"/>
  <c r="AU12" i="9" s="1"/>
  <c r="AY12" i="9" s="1"/>
  <c r="D88" i="9"/>
  <c r="D82" i="9"/>
  <c r="AR16" i="9"/>
  <c r="D90" i="9"/>
  <c r="AS14" i="9"/>
  <c r="BL44" i="26"/>
  <c r="BH44" i="26"/>
  <c r="BK44" i="26"/>
  <c r="BW44" i="26" s="1"/>
  <c r="BV44" i="26"/>
  <c r="D79" i="9"/>
  <c r="AR13" i="9"/>
  <c r="D84" i="9"/>
  <c r="AS8" i="9"/>
  <c r="F51" i="41"/>
  <c r="H51" i="41" s="1"/>
  <c r="D51" i="41"/>
  <c r="C51" i="41"/>
  <c r="AU15" i="9"/>
  <c r="AX15" i="9" s="1"/>
  <c r="M69" i="34"/>
  <c r="J70" i="34" s="1"/>
  <c r="L69" i="34"/>
  <c r="K69" i="34" s="1"/>
  <c r="AU10" i="9"/>
  <c r="AX10" i="9" s="1"/>
  <c r="D95" i="9"/>
  <c r="AT9" i="9"/>
  <c r="AU9" i="9" s="1"/>
  <c r="AU11" i="9"/>
  <c r="AX11" i="9" s="1"/>
  <c r="J50" i="41"/>
  <c r="L50" i="41" s="1"/>
  <c r="I50" i="41"/>
  <c r="K50" i="41" s="1"/>
  <c r="AT17" i="9"/>
  <c r="AU17" i="9" s="1"/>
  <c r="D103" i="9"/>
  <c r="D80" i="9"/>
  <c r="AR14" i="9"/>
  <c r="H76" i="9" l="1"/>
  <c r="H77" i="9"/>
  <c r="H82" i="9"/>
  <c r="H79" i="9"/>
  <c r="AW10" i="9"/>
  <c r="AY10" i="9"/>
  <c r="AY11" i="9"/>
  <c r="AW9" i="9"/>
  <c r="AX9" i="9"/>
  <c r="AW17" i="9"/>
  <c r="AX17" i="9"/>
  <c r="J51" i="41"/>
  <c r="L51" i="41" s="1"/>
  <c r="I51" i="41"/>
  <c r="K51" i="41" s="1"/>
  <c r="H80" i="9"/>
  <c r="H81" i="9"/>
  <c r="BN44" i="26"/>
  <c r="AU14" i="9"/>
  <c r="AY14" i="9" s="1"/>
  <c r="H78" i="9"/>
  <c r="AU8" i="9"/>
  <c r="AW8" i="9" s="1"/>
  <c r="BR44" i="26"/>
  <c r="BO44" i="26"/>
  <c r="BI45" i="26"/>
  <c r="BJ45" i="26" s="1"/>
  <c r="AY15" i="9"/>
  <c r="AX12" i="9"/>
  <c r="BX44" i="26"/>
  <c r="M70" i="34"/>
  <c r="J71" i="34" s="1"/>
  <c r="N70" i="34"/>
  <c r="L70" i="34"/>
  <c r="K70" i="34" s="1"/>
  <c r="AW15" i="9"/>
  <c r="AW11" i="9"/>
  <c r="AW12" i="9"/>
  <c r="N69" i="34"/>
  <c r="H75" i="9"/>
  <c r="H74" i="9"/>
  <c r="BM44" i="26"/>
  <c r="BQ44" i="26"/>
  <c r="BS44" i="26"/>
  <c r="BP44" i="26"/>
  <c r="AU16" i="9"/>
  <c r="AW16" i="9" s="1"/>
  <c r="AY17" i="9"/>
  <c r="AY9" i="9"/>
  <c r="E51" i="41"/>
  <c r="B52" i="41" s="1"/>
  <c r="AU13" i="9"/>
  <c r="AW13" i="9" s="1"/>
  <c r="BU44" i="26"/>
  <c r="BY44" i="26"/>
  <c r="BT44" i="26"/>
  <c r="F52" i="41" l="1"/>
  <c r="C52" i="41"/>
  <c r="AX13" i="9"/>
  <c r="AY13" i="9"/>
  <c r="L71" i="34"/>
  <c r="K71" i="34" s="1"/>
  <c r="N71" i="34"/>
  <c r="M71" i="34"/>
  <c r="J72" i="34" s="1"/>
  <c r="BL45" i="26"/>
  <c r="BW45" i="26"/>
  <c r="BV45" i="26"/>
  <c r="BK45" i="26"/>
  <c r="BQ45" i="26" s="1"/>
  <c r="AX8" i="9"/>
  <c r="AY8" i="9"/>
  <c r="AX16" i="9"/>
  <c r="AY16" i="9"/>
  <c r="AX14" i="9"/>
  <c r="AW14" i="9"/>
  <c r="BO45" i="26" l="1"/>
  <c r="BI46" i="26"/>
  <c r="BJ46" i="26" s="1"/>
  <c r="BM45" i="26"/>
  <c r="N72" i="34"/>
  <c r="M72" i="34"/>
  <c r="J73" i="34" s="1"/>
  <c r="L72" i="34"/>
  <c r="BS45" i="26"/>
  <c r="BP45" i="26"/>
  <c r="BN45" i="26"/>
  <c r="BR45" i="26"/>
  <c r="BT45" i="26"/>
  <c r="BU45" i="26"/>
  <c r="BH45" i="26"/>
  <c r="BX45" i="26"/>
  <c r="BY45" i="26"/>
  <c r="D52" i="41"/>
  <c r="E52" i="41" l="1"/>
  <c r="B53" i="41" s="1"/>
  <c r="H52" i="41"/>
  <c r="K72" i="34"/>
  <c r="BV46" i="26"/>
  <c r="BK46" i="26"/>
  <c r="BM46" i="26" s="1"/>
  <c r="BW46" i="26"/>
  <c r="BL46" i="26"/>
  <c r="N73" i="34"/>
  <c r="M73" i="34"/>
  <c r="J74" i="34" s="1"/>
  <c r="L73" i="34"/>
  <c r="K73" i="34" s="1"/>
  <c r="BI47" i="26" l="1"/>
  <c r="BJ47" i="26" s="1"/>
  <c r="BH46" i="26"/>
  <c r="BS46" i="26"/>
  <c r="BY46" i="26"/>
  <c r="BT46" i="26"/>
  <c r="BP46" i="26"/>
  <c r="BN46" i="26"/>
  <c r="J52" i="41"/>
  <c r="L52" i="41" s="1"/>
  <c r="I52" i="41"/>
  <c r="K52" i="41" s="1"/>
  <c r="BU46" i="26"/>
  <c r="M74" i="34"/>
  <c r="J75" i="34" s="1"/>
  <c r="L74" i="34"/>
  <c r="BO46" i="26"/>
  <c r="BX46" i="26"/>
  <c r="BQ46" i="26"/>
  <c r="BR46" i="26"/>
  <c r="C53" i="41"/>
  <c r="F53" i="41"/>
  <c r="N74" i="34" l="1"/>
  <c r="D53" i="41"/>
  <c r="L75" i="34"/>
  <c r="K75" i="34" s="1"/>
  <c r="M75" i="34"/>
  <c r="J76" i="34" s="1"/>
  <c r="K74" i="34"/>
  <c r="BW47" i="26"/>
  <c r="BK47" i="26"/>
  <c r="BM47" i="26" s="1"/>
  <c r="BV47" i="26"/>
  <c r="BL47" i="26"/>
  <c r="BI48" i="26" s="1"/>
  <c r="BJ48" i="26" s="1"/>
  <c r="BP47" i="26"/>
  <c r="BL48" i="26" l="1"/>
  <c r="BI49" i="26" s="1"/>
  <c r="BJ49" i="26" s="1"/>
  <c r="BO48" i="26"/>
  <c r="BK48" i="26"/>
  <c r="BM48" i="26" s="1"/>
  <c r="BR48" i="26"/>
  <c r="BV48" i="26"/>
  <c r="BN48" i="26"/>
  <c r="E53" i="41"/>
  <c r="B54" i="41" s="1"/>
  <c r="BU47" i="26"/>
  <c r="BQ47" i="26"/>
  <c r="BN47" i="26"/>
  <c r="BO47" i="26"/>
  <c r="BX47" i="26"/>
  <c r="BT47" i="26"/>
  <c r="L76" i="34"/>
  <c r="K76" i="34" s="1"/>
  <c r="N76" i="34"/>
  <c r="M76" i="34"/>
  <c r="J77" i="34" s="1"/>
  <c r="BH47" i="26"/>
  <c r="BY47" i="26"/>
  <c r="BR47" i="26"/>
  <c r="BS47" i="26"/>
  <c r="N75" i="34"/>
  <c r="H53" i="41"/>
  <c r="BL49" i="26" l="1"/>
  <c r="BI50" i="26" s="1"/>
  <c r="BJ50" i="26" s="1"/>
  <c r="BV49" i="26"/>
  <c r="BS49" i="26"/>
  <c r="BK49" i="26"/>
  <c r="BO49" i="26"/>
  <c r="L77" i="34"/>
  <c r="M77" i="34"/>
  <c r="J78" i="34" s="1"/>
  <c r="BS48" i="26"/>
  <c r="BP48" i="26"/>
  <c r="F54" i="41"/>
  <c r="C54" i="41"/>
  <c r="D54" i="41"/>
  <c r="BQ48" i="26"/>
  <c r="BU48" i="26"/>
  <c r="BW48" i="26"/>
  <c r="BT48" i="26"/>
  <c r="J53" i="41"/>
  <c r="L53" i="41" s="1"/>
  <c r="I53" i="41"/>
  <c r="K53" i="41" s="1"/>
  <c r="BY48" i="26"/>
  <c r="BH48" i="26"/>
  <c r="BX48" i="26"/>
  <c r="BV50" i="26" l="1"/>
  <c r="BY50" i="26"/>
  <c r="BW50" i="26"/>
  <c r="BL50" i="26"/>
  <c r="BS50" i="26"/>
  <c r="BK50" i="26"/>
  <c r="BU50" i="26" s="1"/>
  <c r="BH50" i="26"/>
  <c r="BM49" i="26"/>
  <c r="M78" i="34"/>
  <c r="J79" i="34" s="1"/>
  <c r="L78" i="34"/>
  <c r="K78" i="34" s="1"/>
  <c r="N78" i="34"/>
  <c r="BW49" i="26"/>
  <c r="BN49" i="26"/>
  <c r="BP49" i="26"/>
  <c r="BQ49" i="26"/>
  <c r="E54" i="41"/>
  <c r="B55" i="41" s="1"/>
  <c r="H54" i="41"/>
  <c r="K77" i="34"/>
  <c r="BR49" i="26"/>
  <c r="BT49" i="26"/>
  <c r="BU49" i="26"/>
  <c r="N77" i="34"/>
  <c r="BH49" i="26"/>
  <c r="BX49" i="26"/>
  <c r="BY49" i="26"/>
  <c r="F55" i="41" l="1"/>
  <c r="C55" i="41"/>
  <c r="L79" i="34"/>
  <c r="K79" i="34" s="1"/>
  <c r="M79" i="34"/>
  <c r="J80" i="34" s="1"/>
  <c r="BP50" i="26"/>
  <c r="BI51" i="26"/>
  <c r="BJ51" i="26" s="1"/>
  <c r="BM50" i="26"/>
  <c r="BN50" i="26"/>
  <c r="BX50" i="26"/>
  <c r="BT50" i="26"/>
  <c r="BQ50" i="26"/>
  <c r="BR50" i="26"/>
  <c r="J54" i="41"/>
  <c r="L54" i="41" s="1"/>
  <c r="I54" i="41"/>
  <c r="K54" i="41" s="1"/>
  <c r="BO50" i="26"/>
  <c r="BK51" i="26" l="1"/>
  <c r="BW51" i="26" s="1"/>
  <c r="BV51" i="26"/>
  <c r="BP51" i="26"/>
  <c r="BM51" i="26"/>
  <c r="BT51" i="26"/>
  <c r="BL51" i="26"/>
  <c r="BQ51" i="26"/>
  <c r="N79" i="34"/>
  <c r="D55" i="41"/>
  <c r="M80" i="34"/>
  <c r="J81" i="34" s="1"/>
  <c r="L80" i="34"/>
  <c r="K80" i="34" s="1"/>
  <c r="BX51" i="26" l="1"/>
  <c r="E55" i="41"/>
  <c r="B56" i="41" s="1"/>
  <c r="BY51" i="26"/>
  <c r="BU51" i="26"/>
  <c r="BN51" i="26"/>
  <c r="BO51" i="26"/>
  <c r="M81" i="34"/>
  <c r="J82" i="34" s="1"/>
  <c r="L81" i="34"/>
  <c r="K81" i="34" s="1"/>
  <c r="H55" i="41"/>
  <c r="N80" i="34"/>
  <c r="BI52" i="26"/>
  <c r="BJ52" i="26" s="1"/>
  <c r="BH51" i="26"/>
  <c r="BR51" i="26"/>
  <c r="BS51" i="26"/>
  <c r="J55" i="41" l="1"/>
  <c r="L55" i="41" s="1"/>
  <c r="I55" i="41"/>
  <c r="K55" i="41" s="1"/>
  <c r="N81" i="34"/>
  <c r="D56" i="41"/>
  <c r="F56" i="41"/>
  <c r="C56" i="41"/>
  <c r="BT52" i="26"/>
  <c r="BL52" i="26"/>
  <c r="BI53" i="26" s="1"/>
  <c r="BJ53" i="26" s="1"/>
  <c r="BW52" i="26"/>
  <c r="BK52" i="26"/>
  <c r="BM52" i="26" s="1"/>
  <c r="BY52" i="26"/>
  <c r="BV52" i="26"/>
  <c r="BU52" i="26"/>
  <c r="BR52" i="26"/>
  <c r="M82" i="34"/>
  <c r="J83" i="34" s="1"/>
  <c r="N82" i="34"/>
  <c r="L82" i="34"/>
  <c r="E56" i="41" l="1"/>
  <c r="L83" i="34"/>
  <c r="N83" i="34"/>
  <c r="M83" i="34"/>
  <c r="J84" i="34" s="1"/>
  <c r="BN52" i="26"/>
  <c r="BH52" i="26"/>
  <c r="BX52" i="26"/>
  <c r="BL53" i="26"/>
  <c r="BV53" i="26"/>
  <c r="BK53" i="26"/>
  <c r="BM53" i="26" s="1"/>
  <c r="B57" i="41"/>
  <c r="BO52" i="26"/>
  <c r="K82" i="34"/>
  <c r="BQ52" i="26"/>
  <c r="BS52" i="26"/>
  <c r="BP52" i="26"/>
  <c r="H56" i="41"/>
  <c r="BO53" i="26" l="1"/>
  <c r="BI54" i="26"/>
  <c r="BJ54" i="26" s="1"/>
  <c r="J56" i="41"/>
  <c r="L56" i="41" s="1"/>
  <c r="I56" i="41"/>
  <c r="K56" i="41" s="1"/>
  <c r="BS53" i="26"/>
  <c r="BW53" i="26"/>
  <c r="BP53" i="26"/>
  <c r="BQ53" i="26"/>
  <c r="K83" i="34"/>
  <c r="BN53" i="26"/>
  <c r="BR53" i="26"/>
  <c r="BT53" i="26"/>
  <c r="BU53" i="26"/>
  <c r="C57" i="41"/>
  <c r="D57" i="41"/>
  <c r="F57" i="41"/>
  <c r="H57" i="41" s="1"/>
  <c r="BH53" i="26"/>
  <c r="BX53" i="26"/>
  <c r="BY53" i="26"/>
  <c r="N84" i="34"/>
  <c r="M84" i="34"/>
  <c r="J85" i="34" s="1"/>
  <c r="L84" i="34"/>
  <c r="K84" i="34" s="1"/>
  <c r="E57" i="41" l="1"/>
  <c r="J57" i="41"/>
  <c r="L57" i="41" s="1"/>
  <c r="I57" i="41"/>
  <c r="K57" i="41" s="1"/>
  <c r="B58" i="41"/>
  <c r="BV54" i="26"/>
  <c r="BK54" i="26"/>
  <c r="BM54" i="26" s="1"/>
  <c r="BW54" i="26"/>
  <c r="BL54" i="26"/>
  <c r="BN54" i="26" s="1"/>
  <c r="N85" i="34"/>
  <c r="M85" i="34"/>
  <c r="J86" i="34" s="1"/>
  <c r="L85" i="34"/>
  <c r="K85" i="34" s="1"/>
  <c r="BU54" i="26" l="1"/>
  <c r="BH54" i="26"/>
  <c r="BT54" i="26"/>
  <c r="BP54" i="26"/>
  <c r="BI55" i="26"/>
  <c r="BJ55" i="26" s="1"/>
  <c r="BS54" i="26"/>
  <c r="BY54" i="26"/>
  <c r="M86" i="34"/>
  <c r="J87" i="34" s="1"/>
  <c r="L86" i="34"/>
  <c r="BO54" i="26"/>
  <c r="BX54" i="26"/>
  <c r="BQ54" i="26"/>
  <c r="BR54" i="26"/>
  <c r="F58" i="41"/>
  <c r="C58" i="41"/>
  <c r="L87" i="34" l="1"/>
  <c r="K87" i="34" s="1"/>
  <c r="N87" i="34"/>
  <c r="M87" i="34"/>
  <c r="J88" i="34" s="1"/>
  <c r="K86" i="34"/>
  <c r="D58" i="41"/>
  <c r="N86" i="34"/>
  <c r="BK55" i="26"/>
  <c r="BV55" i="26"/>
  <c r="BL55" i="26"/>
  <c r="BI56" i="26" s="1"/>
  <c r="BJ56" i="26" s="1"/>
  <c r="BP55" i="26" l="1"/>
  <c r="M88" i="34"/>
  <c r="J89" i="34" s="1"/>
  <c r="L88" i="34"/>
  <c r="K88" i="34" s="1"/>
  <c r="BL56" i="26"/>
  <c r="BH56" i="26"/>
  <c r="BK56" i="26"/>
  <c r="BX56" i="26" s="1"/>
  <c r="BY56" i="26"/>
  <c r="BV56" i="26"/>
  <c r="BX55" i="26"/>
  <c r="BQ55" i="26"/>
  <c r="BO55" i="26"/>
  <c r="E58" i="41"/>
  <c r="B59" i="41" s="1"/>
  <c r="BM55" i="26"/>
  <c r="BT55" i="26"/>
  <c r="BU55" i="26"/>
  <c r="BN55" i="26"/>
  <c r="BH55" i="26"/>
  <c r="BY55" i="26"/>
  <c r="BR55" i="26"/>
  <c r="BS55" i="26"/>
  <c r="BW55" i="26"/>
  <c r="H58" i="41"/>
  <c r="BN56" i="26" l="1"/>
  <c r="BR56" i="26"/>
  <c r="BO56" i="26"/>
  <c r="BI57" i="26"/>
  <c r="BJ57" i="26" s="1"/>
  <c r="J58" i="41"/>
  <c r="L58" i="41" s="1"/>
  <c r="I58" i="41"/>
  <c r="K58" i="41" s="1"/>
  <c r="BM56" i="26"/>
  <c r="BS56" i="26"/>
  <c r="BP56" i="26"/>
  <c r="M89" i="34"/>
  <c r="J90" i="34" s="1"/>
  <c r="L89" i="34"/>
  <c r="BQ56" i="26"/>
  <c r="BU56" i="26"/>
  <c r="BW56" i="26"/>
  <c r="BT56" i="26"/>
  <c r="N88" i="34"/>
  <c r="F59" i="41"/>
  <c r="D59" i="41"/>
  <c r="C59" i="41"/>
  <c r="K89" i="34" l="1"/>
  <c r="BL57" i="26"/>
  <c r="BY57" i="26" s="1"/>
  <c r="BV57" i="26"/>
  <c r="BK57" i="26"/>
  <c r="BM57" i="26" s="1"/>
  <c r="BR57" i="26"/>
  <c r="BW57" i="26"/>
  <c r="E59" i="41"/>
  <c r="B60" i="41" s="1"/>
  <c r="M90" i="34"/>
  <c r="J91" i="34" s="1"/>
  <c r="L90" i="34"/>
  <c r="H59" i="41"/>
  <c r="N89" i="34"/>
  <c r="F60" i="41" l="1"/>
  <c r="C60" i="41"/>
  <c r="BT57" i="26"/>
  <c r="BU57" i="26"/>
  <c r="L91" i="34"/>
  <c r="M91" i="34"/>
  <c r="J92" i="34" s="1"/>
  <c r="J59" i="41"/>
  <c r="L59" i="41" s="1"/>
  <c r="I59" i="41"/>
  <c r="K59" i="41" s="1"/>
  <c r="BH57" i="26"/>
  <c r="BX57" i="26"/>
  <c r="K90" i="34"/>
  <c r="N90" i="34"/>
  <c r="BO57" i="26"/>
  <c r="BS57" i="26"/>
  <c r="BI58" i="26"/>
  <c r="BJ58" i="26" s="1"/>
  <c r="BN57" i="26"/>
  <c r="BP57" i="26"/>
  <c r="BQ57" i="26"/>
  <c r="N91" i="34" l="1"/>
  <c r="L92" i="34"/>
  <c r="M92" i="34"/>
  <c r="J93" i="34" s="1"/>
  <c r="K91" i="34"/>
  <c r="BV58" i="26"/>
  <c r="BR58" i="26"/>
  <c r="BQ58" i="26"/>
  <c r="BW58" i="26"/>
  <c r="BT58" i="26"/>
  <c r="BL58" i="26"/>
  <c r="BY58" i="26" s="1"/>
  <c r="BK58" i="26"/>
  <c r="BM58" i="26" s="1"/>
  <c r="BX58" i="26"/>
  <c r="BH58" i="26"/>
  <c r="D60" i="41"/>
  <c r="L93" i="34" l="1"/>
  <c r="M93" i="34"/>
  <c r="J94" i="34" s="1"/>
  <c r="E60" i="41"/>
  <c r="B61" i="41" s="1"/>
  <c r="N92" i="34"/>
  <c r="H60" i="41"/>
  <c r="K92" i="34"/>
  <c r="BO58" i="26"/>
  <c r="BU58" i="26"/>
  <c r="BS58" i="26"/>
  <c r="BP58" i="26"/>
  <c r="BI59" i="26"/>
  <c r="BJ59" i="26" s="1"/>
  <c r="BN58" i="26"/>
  <c r="C61" i="41" l="1"/>
  <c r="F61" i="41"/>
  <c r="BK59" i="26"/>
  <c r="BV59" i="26"/>
  <c r="BL59" i="26"/>
  <c r="BI60" i="26" s="1"/>
  <c r="BJ60" i="26" s="1"/>
  <c r="J60" i="41"/>
  <c r="L60" i="41" s="1"/>
  <c r="I60" i="41"/>
  <c r="K60" i="41" s="1"/>
  <c r="M94" i="34"/>
  <c r="J95" i="34" s="1"/>
  <c r="L94" i="34"/>
  <c r="K94" i="34" s="1"/>
  <c r="N94" i="34"/>
  <c r="K93" i="34"/>
  <c r="N93" i="34"/>
  <c r="BW59" i="26" l="1"/>
  <c r="BL60" i="26"/>
  <c r="BI61" i="26" s="1"/>
  <c r="BJ61" i="26" s="1"/>
  <c r="BO60" i="26"/>
  <c r="BK60" i="26"/>
  <c r="BM60" i="26" s="1"/>
  <c r="BV60" i="26"/>
  <c r="BR60" i="26"/>
  <c r="BH59" i="26"/>
  <c r="BR59" i="26"/>
  <c r="BS59" i="26"/>
  <c r="BQ59" i="26"/>
  <c r="BT59" i="26"/>
  <c r="BP59" i="26"/>
  <c r="BM59" i="26"/>
  <c r="BX59" i="26"/>
  <c r="L95" i="34"/>
  <c r="M95" i="34"/>
  <c r="J96" i="34" s="1"/>
  <c r="BY59" i="26"/>
  <c r="BU59" i="26"/>
  <c r="BN59" i="26"/>
  <c r="BO59" i="26"/>
  <c r="D61" i="41"/>
  <c r="M96" i="34" l="1"/>
  <c r="J97" i="34" s="1"/>
  <c r="L96" i="34"/>
  <c r="K95" i="34"/>
  <c r="BQ60" i="26"/>
  <c r="BS60" i="26"/>
  <c r="BP60" i="26"/>
  <c r="E61" i="41"/>
  <c r="B62" i="41" s="1"/>
  <c r="BU60" i="26"/>
  <c r="BY60" i="26"/>
  <c r="BW60" i="26"/>
  <c r="BT60" i="26"/>
  <c r="N95" i="34"/>
  <c r="H61" i="41"/>
  <c r="BN60" i="26"/>
  <c r="BH60" i="26"/>
  <c r="BX60" i="26"/>
  <c r="BY61" i="26"/>
  <c r="BU61" i="26"/>
  <c r="BQ61" i="26"/>
  <c r="BX61" i="26"/>
  <c r="BT61" i="26"/>
  <c r="BP61" i="26"/>
  <c r="BL61" i="26"/>
  <c r="BH61" i="26"/>
  <c r="BR61" i="26"/>
  <c r="BW61" i="26"/>
  <c r="BV61" i="26"/>
  <c r="BN61" i="26"/>
  <c r="BS61" i="26"/>
  <c r="BK61" i="26"/>
  <c r="BM61" i="26" s="1"/>
  <c r="N96" i="34" l="1"/>
  <c r="J61" i="41"/>
  <c r="L61" i="41" s="1"/>
  <c r="I61" i="41"/>
  <c r="K61" i="41" s="1"/>
  <c r="BO61" i="26"/>
  <c r="BI62" i="26"/>
  <c r="BJ62" i="26" s="1"/>
  <c r="K96" i="34"/>
  <c r="C62" i="41"/>
  <c r="D62" i="41"/>
  <c r="F62" i="41"/>
  <c r="H62" i="41" s="1"/>
  <c r="N97" i="34"/>
  <c r="M97" i="34"/>
  <c r="J98" i="34" s="1"/>
  <c r="L97" i="34"/>
  <c r="K97" i="34" s="1"/>
  <c r="J62" i="41" l="1"/>
  <c r="L62" i="41" s="1"/>
  <c r="I62" i="41"/>
  <c r="K62" i="41" s="1"/>
  <c r="E62" i="41"/>
  <c r="M98" i="34"/>
  <c r="J99" i="34" s="1"/>
  <c r="L98" i="34"/>
  <c r="B63" i="41"/>
  <c r="BV62" i="26"/>
  <c r="BK62" i="26"/>
  <c r="BR62" i="26" s="1"/>
  <c r="BW62" i="26"/>
  <c r="BL62" i="26"/>
  <c r="L99" i="34" l="1"/>
  <c r="K99" i="34" s="1"/>
  <c r="N99" i="34"/>
  <c r="M99" i="34"/>
  <c r="J100" i="34" s="1"/>
  <c r="BI63" i="26"/>
  <c r="BJ63" i="26" s="1"/>
  <c r="BH62" i="26"/>
  <c r="BS62" i="26"/>
  <c r="BY62" i="26"/>
  <c r="F63" i="41"/>
  <c r="C63" i="41"/>
  <c r="D63" i="41"/>
  <c r="BU62" i="26"/>
  <c r="BT62" i="26"/>
  <c r="BP62" i="26"/>
  <c r="BM62" i="26"/>
  <c r="BN62" i="26"/>
  <c r="K98" i="34"/>
  <c r="BO62" i="26"/>
  <c r="BX62" i="26"/>
  <c r="BQ62" i="26"/>
  <c r="N98" i="34"/>
  <c r="H63" i="41" l="1"/>
  <c r="BK63" i="26"/>
  <c r="BP63" i="26" s="1"/>
  <c r="BV63" i="26"/>
  <c r="BL63" i="26"/>
  <c r="BS63" i="26" s="1"/>
  <c r="N100" i="34"/>
  <c r="M100" i="34"/>
  <c r="J101" i="34" s="1"/>
  <c r="L100" i="34"/>
  <c r="K100" i="34" s="1"/>
  <c r="E63" i="41"/>
  <c r="B64" i="41" s="1"/>
  <c r="C64" i="41" l="1"/>
  <c r="D64" i="41" s="1"/>
  <c r="F64" i="41"/>
  <c r="BU63" i="26"/>
  <c r="BQ63" i="26"/>
  <c r="BN63" i="26"/>
  <c r="BO63" i="26"/>
  <c r="BM63" i="26"/>
  <c r="BX63" i="26"/>
  <c r="BT63" i="26"/>
  <c r="J63" i="41"/>
  <c r="L63" i="41" s="1"/>
  <c r="I63" i="41"/>
  <c r="K63" i="41" s="1"/>
  <c r="N101" i="34"/>
  <c r="M101" i="34"/>
  <c r="J102" i="34" s="1"/>
  <c r="L101" i="34"/>
  <c r="K101" i="34" s="1"/>
  <c r="BH63" i="26"/>
  <c r="BY63" i="26"/>
  <c r="BR63" i="26"/>
  <c r="BI64" i="26"/>
  <c r="BJ64" i="26" s="1"/>
  <c r="BW63" i="26"/>
  <c r="E64" i="41" l="1"/>
  <c r="BP64" i="26"/>
  <c r="BL64" i="26"/>
  <c r="BX64" i="26" s="1"/>
  <c r="BW64" i="26"/>
  <c r="BS64" i="26"/>
  <c r="BO64" i="26"/>
  <c r="BK64" i="26"/>
  <c r="BU64" i="26"/>
  <c r="BM64" i="26"/>
  <c r="BR64" i="26"/>
  <c r="BY64" i="26"/>
  <c r="BQ64" i="26"/>
  <c r="BV64" i="26"/>
  <c r="BN64" i="26"/>
  <c r="H64" i="41"/>
  <c r="M102" i="34"/>
  <c r="J103" i="34" s="1"/>
  <c r="N102" i="34"/>
  <c r="L102" i="34"/>
  <c r="K102" i="34" s="1"/>
  <c r="B65" i="41"/>
  <c r="L103" i="34" l="1"/>
  <c r="K103" i="34" s="1"/>
  <c r="M103" i="34"/>
  <c r="J104" i="34" s="1"/>
  <c r="BT64" i="26"/>
  <c r="D65" i="41"/>
  <c r="F65" i="41"/>
  <c r="C65" i="41"/>
  <c r="J64" i="41"/>
  <c r="L64" i="41" s="1"/>
  <c r="I64" i="41"/>
  <c r="K64" i="41" s="1"/>
  <c r="BH64" i="26"/>
  <c r="BI65" i="26"/>
  <c r="BJ65" i="26" s="1"/>
  <c r="BV65" i="26" l="1"/>
  <c r="BK65" i="26"/>
  <c r="BR65" i="26" s="1"/>
  <c r="BW65" i="26"/>
  <c r="BL65" i="26"/>
  <c r="N104" i="34"/>
  <c r="M104" i="34"/>
  <c r="J105" i="34" s="1"/>
  <c r="L104" i="34"/>
  <c r="E65" i="41"/>
  <c r="B66" i="41" s="1"/>
  <c r="H65" i="41"/>
  <c r="N103" i="34"/>
  <c r="F66" i="41" l="1"/>
  <c r="C66" i="41"/>
  <c r="D66" i="41" s="1"/>
  <c r="BI66" i="26"/>
  <c r="BJ66" i="26" s="1"/>
  <c r="BH65" i="26"/>
  <c r="BS65" i="26"/>
  <c r="BY65" i="26"/>
  <c r="BU65" i="26"/>
  <c r="J65" i="41"/>
  <c r="L65" i="41" s="1"/>
  <c r="I65" i="41"/>
  <c r="K65" i="41" s="1"/>
  <c r="K104" i="34"/>
  <c r="BT65" i="26"/>
  <c r="BP65" i="26"/>
  <c r="BM65" i="26"/>
  <c r="BN65" i="26"/>
  <c r="N105" i="34"/>
  <c r="M105" i="34"/>
  <c r="J106" i="34" s="1"/>
  <c r="L105" i="34"/>
  <c r="K105" i="34" s="1"/>
  <c r="BO65" i="26"/>
  <c r="BX65" i="26"/>
  <c r="BQ65" i="26"/>
  <c r="E66" i="41" l="1"/>
  <c r="BL66" i="26"/>
  <c r="BI67" i="26" s="1"/>
  <c r="BJ67" i="26" s="1"/>
  <c r="BW66" i="26"/>
  <c r="BO66" i="26"/>
  <c r="BK66" i="26"/>
  <c r="BY66" i="26"/>
  <c r="BV66" i="26"/>
  <c r="BU66" i="26"/>
  <c r="BM66" i="26"/>
  <c r="BR66" i="26"/>
  <c r="B67" i="41"/>
  <c r="M106" i="34"/>
  <c r="J107" i="34" s="1"/>
  <c r="N106" i="34"/>
  <c r="L106" i="34"/>
  <c r="K106" i="34" s="1"/>
  <c r="H66" i="41"/>
  <c r="BT66" i="26" l="1"/>
  <c r="L107" i="34"/>
  <c r="K107" i="34" s="1"/>
  <c r="N107" i="34"/>
  <c r="M107" i="34"/>
  <c r="J108" i="34" s="1"/>
  <c r="J66" i="41"/>
  <c r="L66" i="41" s="1"/>
  <c r="I66" i="41"/>
  <c r="K66" i="41" s="1"/>
  <c r="D67" i="41"/>
  <c r="C67" i="41"/>
  <c r="F67" i="41"/>
  <c r="BN66" i="26"/>
  <c r="BH66" i="26"/>
  <c r="BX66" i="26"/>
  <c r="BV67" i="26"/>
  <c r="BR67" i="26"/>
  <c r="BQ67" i="26"/>
  <c r="BT67" i="26"/>
  <c r="BL67" i="26"/>
  <c r="BY67" i="26" s="1"/>
  <c r="BK67" i="26"/>
  <c r="BM67" i="26" s="1"/>
  <c r="BX67" i="26"/>
  <c r="BQ66" i="26"/>
  <c r="BS66" i="26"/>
  <c r="BP66" i="26"/>
  <c r="BH67" i="26" l="1"/>
  <c r="BS67" i="26"/>
  <c r="BW67" i="26"/>
  <c r="L108" i="34"/>
  <c r="N108" i="34"/>
  <c r="M108" i="34"/>
  <c r="J109" i="34" s="1"/>
  <c r="BP67" i="26"/>
  <c r="BI68" i="26"/>
  <c r="BJ68" i="26" s="1"/>
  <c r="BN67" i="26"/>
  <c r="E67" i="41"/>
  <c r="B68" i="41" s="1"/>
  <c r="BO67" i="26"/>
  <c r="BU67" i="26"/>
  <c r="H67" i="41"/>
  <c r="F68" i="41" l="1"/>
  <c r="C68" i="41"/>
  <c r="J67" i="41"/>
  <c r="L67" i="41" s="1"/>
  <c r="I67" i="41"/>
  <c r="K67" i="41" s="1"/>
  <c r="N109" i="34"/>
  <c r="L109" i="34"/>
  <c r="K109" i="34" s="1"/>
  <c r="M109" i="34"/>
  <c r="J110" i="34" s="1"/>
  <c r="BP68" i="26"/>
  <c r="BL68" i="26"/>
  <c r="BH68" i="26"/>
  <c r="BW68" i="26"/>
  <c r="BS68" i="26"/>
  <c r="BK68" i="26"/>
  <c r="BY68" i="26" s="1"/>
  <c r="BU68" i="26"/>
  <c r="BM68" i="26"/>
  <c r="BQ68" i="26"/>
  <c r="BV68" i="26"/>
  <c r="K108" i="34"/>
  <c r="BX68" i="26" l="1"/>
  <c r="BN68" i="26"/>
  <c r="BR68" i="26"/>
  <c r="BO68" i="26"/>
  <c r="BI69" i="26"/>
  <c r="BJ69" i="26" s="1"/>
  <c r="M110" i="34"/>
  <c r="J111" i="34" s="1"/>
  <c r="L110" i="34"/>
  <c r="BT68" i="26"/>
  <c r="D68" i="41"/>
  <c r="L111" i="34" l="1"/>
  <c r="K111" i="34" s="1"/>
  <c r="M111" i="34"/>
  <c r="J112" i="34" s="1"/>
  <c r="N110" i="34"/>
  <c r="E68" i="41"/>
  <c r="B69" i="41" s="1"/>
  <c r="H68" i="41"/>
  <c r="K110" i="34"/>
  <c r="BV69" i="26"/>
  <c r="BR69" i="26"/>
  <c r="BQ69" i="26"/>
  <c r="BK69" i="26"/>
  <c r="BU69" i="26" s="1"/>
  <c r="BX69" i="26"/>
  <c r="BW69" i="26"/>
  <c r="BO69" i="26"/>
  <c r="BL69" i="26"/>
  <c r="BI70" i="26" l="1"/>
  <c r="BJ70" i="26" s="1"/>
  <c r="BH69" i="26"/>
  <c r="BS69" i="26"/>
  <c r="BY69" i="26"/>
  <c r="BT69" i="26"/>
  <c r="BP69" i="26"/>
  <c r="BM69" i="26"/>
  <c r="BN69" i="26"/>
  <c r="J68" i="41"/>
  <c r="L68" i="41" s="1"/>
  <c r="I68" i="41"/>
  <c r="K68" i="41" s="1"/>
  <c r="N111" i="34"/>
  <c r="C69" i="41"/>
  <c r="D69" i="41" s="1"/>
  <c r="F69" i="41"/>
  <c r="M112" i="34"/>
  <c r="J113" i="34" s="1"/>
  <c r="L112" i="34"/>
  <c r="K112" i="34" s="1"/>
  <c r="G69" i="41" l="1"/>
  <c r="E69" i="41"/>
  <c r="G23" i="41"/>
  <c r="G24" i="41"/>
  <c r="G25" i="41"/>
  <c r="G26" i="41"/>
  <c r="G27" i="41"/>
  <c r="G28"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5" i="41"/>
  <c r="G64" i="41"/>
  <c r="G67" i="41"/>
  <c r="G68" i="41"/>
  <c r="G66" i="41"/>
  <c r="M113" i="34"/>
  <c r="J114" i="34" s="1"/>
  <c r="L113" i="34"/>
  <c r="K113" i="34" s="1"/>
  <c r="H69" i="41"/>
  <c r="N112" i="34"/>
  <c r="BL70" i="26"/>
  <c r="BH70" i="26"/>
  <c r="BW70" i="26"/>
  <c r="BK70" i="26"/>
  <c r="BO70" i="26" s="1"/>
  <c r="BV70" i="26"/>
  <c r="BU70" i="26" l="1"/>
  <c r="BI71" i="26"/>
  <c r="BJ71" i="26" s="1"/>
  <c r="BM70" i="26"/>
  <c r="BQ70" i="26"/>
  <c r="BS70" i="26"/>
  <c r="BP70" i="26"/>
  <c r="J69" i="41"/>
  <c r="L69" i="41" s="1"/>
  <c r="I69" i="41"/>
  <c r="K69" i="41" s="1"/>
  <c r="BT70" i="26"/>
  <c r="BX70" i="26"/>
  <c r="M114" i="34"/>
  <c r="J115" i="34" s="1"/>
  <c r="L114" i="34"/>
  <c r="BY70" i="26"/>
  <c r="BN70" i="26"/>
  <c r="BR70" i="26"/>
  <c r="N113" i="34"/>
  <c r="N114" i="34" l="1"/>
  <c r="L115" i="34"/>
  <c r="K115" i="34" s="1"/>
  <c r="N115" i="34"/>
  <c r="M115" i="34"/>
  <c r="J116" i="34" s="1"/>
  <c r="BV71" i="26"/>
  <c r="BW71" i="26"/>
  <c r="BL71" i="26"/>
  <c r="BY71" i="26" s="1"/>
  <c r="BS71" i="26"/>
  <c r="BK71" i="26"/>
  <c r="BM71" i="26" s="1"/>
  <c r="BH71" i="26"/>
  <c r="K114" i="34"/>
  <c r="M116" i="34" l="1"/>
  <c r="J117" i="34" s="1"/>
  <c r="L116" i="34"/>
  <c r="K116" i="34" s="1"/>
  <c r="BP71" i="26"/>
  <c r="BI72" i="26"/>
  <c r="BJ72" i="26" s="1"/>
  <c r="BN71" i="26"/>
  <c r="BX71" i="26"/>
  <c r="BT71" i="26"/>
  <c r="BQ71" i="26"/>
  <c r="BR71" i="26"/>
  <c r="BO71" i="26"/>
  <c r="BU71" i="26"/>
  <c r="N117" i="34" l="1"/>
  <c r="M117" i="34"/>
  <c r="J118" i="34" s="1"/>
  <c r="L117" i="34"/>
  <c r="K117" i="34" s="1"/>
  <c r="BL72" i="26"/>
  <c r="BI73" i="26" s="1"/>
  <c r="BJ73" i="26" s="1"/>
  <c r="BW72" i="26"/>
  <c r="BO72" i="26"/>
  <c r="BK72" i="26"/>
  <c r="BM72" i="26" s="1"/>
  <c r="BU72" i="26"/>
  <c r="BR72" i="26"/>
  <c r="BQ72" i="26"/>
  <c r="BV72" i="26"/>
  <c r="BN72" i="26"/>
  <c r="N116" i="34"/>
  <c r="BT72" i="26" l="1"/>
  <c r="BY72" i="26"/>
  <c r="BH72" i="26"/>
  <c r="BX72" i="26"/>
  <c r="BV73" i="26"/>
  <c r="BR73" i="26"/>
  <c r="BQ73" i="26"/>
  <c r="BK73" i="26"/>
  <c r="BM73" i="26" s="1"/>
  <c r="BX73" i="26"/>
  <c r="BW73" i="26"/>
  <c r="BO73" i="26"/>
  <c r="BL73" i="26"/>
  <c r="BI74" i="26" s="1"/>
  <c r="BJ74" i="26" s="1"/>
  <c r="BS72" i="26"/>
  <c r="BP72" i="26"/>
  <c r="M118" i="34"/>
  <c r="J119" i="34" s="1"/>
  <c r="N118" i="34"/>
  <c r="L118" i="34"/>
  <c r="K118" i="34" s="1"/>
  <c r="BL74" i="26" l="1"/>
  <c r="BI75" i="26" s="1"/>
  <c r="BJ75" i="26" s="1"/>
  <c r="BO74" i="26"/>
  <c r="BK74" i="26"/>
  <c r="BM74" i="26" s="1"/>
  <c r="BV74" i="26"/>
  <c r="BR74" i="26"/>
  <c r="BH73" i="26"/>
  <c r="BS73" i="26"/>
  <c r="BY73" i="26"/>
  <c r="L119" i="34"/>
  <c r="K119" i="34" s="1"/>
  <c r="M119" i="34"/>
  <c r="J120" i="34" s="1"/>
  <c r="BT73" i="26"/>
  <c r="BP73" i="26"/>
  <c r="BN73" i="26"/>
  <c r="BU73" i="26"/>
  <c r="BV75" i="26" l="1"/>
  <c r="BL75" i="26"/>
  <c r="BI76" i="26" s="1"/>
  <c r="BJ76" i="26" s="1"/>
  <c r="BK75" i="26"/>
  <c r="BM75" i="26" s="1"/>
  <c r="BH75" i="26"/>
  <c r="BQ74" i="26"/>
  <c r="BS74" i="26"/>
  <c r="BP74" i="26"/>
  <c r="N120" i="34"/>
  <c r="M120" i="34"/>
  <c r="J121" i="34" s="1"/>
  <c r="L120" i="34"/>
  <c r="BU74" i="26"/>
  <c r="BY74" i="26"/>
  <c r="BW74" i="26"/>
  <c r="BT74" i="26"/>
  <c r="N119" i="34"/>
  <c r="BN74" i="26"/>
  <c r="BH74" i="26"/>
  <c r="BX74" i="26"/>
  <c r="BL76" i="26" l="1"/>
  <c r="BI77" i="26" s="1"/>
  <c r="BJ77" i="26" s="1"/>
  <c r="BO76" i="26"/>
  <c r="BK76" i="26"/>
  <c r="BM76" i="26" s="1"/>
  <c r="BV76" i="26"/>
  <c r="BN76" i="26"/>
  <c r="BY76" i="26"/>
  <c r="BX75" i="26"/>
  <c r="BY75" i="26"/>
  <c r="BP75" i="26"/>
  <c r="BT75" i="26"/>
  <c r="BN75" i="26"/>
  <c r="K120" i="34"/>
  <c r="BO75" i="26"/>
  <c r="BQ75" i="26"/>
  <c r="BR75" i="26"/>
  <c r="M121" i="34"/>
  <c r="J122" i="34" s="1"/>
  <c r="L121" i="34"/>
  <c r="K121" i="34" s="1"/>
  <c r="BS75" i="26"/>
  <c r="BW75" i="26"/>
  <c r="BU75" i="26"/>
  <c r="BR76" i="26" l="1"/>
  <c r="BS76" i="26"/>
  <c r="BP76" i="26"/>
  <c r="BV77" i="26"/>
  <c r="BR77" i="26"/>
  <c r="BY77" i="26"/>
  <c r="BU77" i="26"/>
  <c r="BQ77" i="26"/>
  <c r="BX77" i="26"/>
  <c r="BT77" i="26"/>
  <c r="BP77" i="26"/>
  <c r="BL77" i="26"/>
  <c r="BH77" i="26"/>
  <c r="BS77" i="26"/>
  <c r="BO77" i="26"/>
  <c r="BK77" i="26"/>
  <c r="BM77" i="26" s="1"/>
  <c r="BW77" i="26"/>
  <c r="M122" i="34"/>
  <c r="J123" i="34" s="1"/>
  <c r="N122" i="34"/>
  <c r="L122" i="34"/>
  <c r="N121" i="34"/>
  <c r="BQ76" i="26"/>
  <c r="BW76" i="26"/>
  <c r="BT76" i="26"/>
  <c r="BU76" i="26"/>
  <c r="BH76" i="26"/>
  <c r="BX76" i="26"/>
  <c r="L123" i="34" l="1"/>
  <c r="K123" i="34" s="1"/>
  <c r="M123" i="34"/>
  <c r="J124" i="34" s="1"/>
  <c r="K122" i="34"/>
  <c r="BI78" i="26"/>
  <c r="BJ78" i="26" s="1"/>
  <c r="BN77" i="26"/>
  <c r="BL78" i="26" l="1"/>
  <c r="BW78" i="26"/>
  <c r="BK78" i="26"/>
  <c r="BR78" i="26" s="1"/>
  <c r="BV78" i="26"/>
  <c r="BQ78" i="26"/>
  <c r="BM78" i="26"/>
  <c r="L124" i="34"/>
  <c r="K124" i="34" s="1"/>
  <c r="N124" i="34"/>
  <c r="M124" i="34"/>
  <c r="J125" i="34" s="1"/>
  <c r="N123" i="34"/>
  <c r="BU78" i="26" l="1"/>
  <c r="BN78" i="26"/>
  <c r="BO78" i="26"/>
  <c r="BI79" i="26"/>
  <c r="BJ79" i="26" s="1"/>
  <c r="L125" i="34"/>
  <c r="M125" i="34"/>
  <c r="J126" i="34" s="1"/>
  <c r="BY78" i="26"/>
  <c r="BS78" i="26"/>
  <c r="BP78" i="26"/>
  <c r="BT78" i="26"/>
  <c r="BH78" i="26"/>
  <c r="BX78" i="26"/>
  <c r="BV79" i="26" l="1"/>
  <c r="BL79" i="26"/>
  <c r="BI80" i="26" s="1"/>
  <c r="BJ80" i="26" s="1"/>
  <c r="BK79" i="26"/>
  <c r="BM79" i="26" s="1"/>
  <c r="M126" i="34"/>
  <c r="J127" i="34" s="1"/>
  <c r="L126" i="34"/>
  <c r="K126" i="34" s="1"/>
  <c r="K125" i="34"/>
  <c r="N125" i="34"/>
  <c r="L127" i="34" l="1"/>
  <c r="K127" i="34" s="1"/>
  <c r="M127" i="34"/>
  <c r="J128" i="34" s="1"/>
  <c r="N127" i="34"/>
  <c r="BP79" i="26"/>
  <c r="BR79" i="26"/>
  <c r="BT79" i="26"/>
  <c r="BU79" i="26"/>
  <c r="N126" i="34"/>
  <c r="BH79" i="26"/>
  <c r="BX79" i="26"/>
  <c r="BY79" i="26"/>
  <c r="BO79" i="26"/>
  <c r="BL80" i="26"/>
  <c r="BI81" i="26" s="1"/>
  <c r="BJ81" i="26" s="1"/>
  <c r="BO80" i="26"/>
  <c r="BK80" i="26"/>
  <c r="BV80" i="26"/>
  <c r="BN80" i="26"/>
  <c r="BN79" i="26"/>
  <c r="BS79" i="26"/>
  <c r="BQ79" i="26"/>
  <c r="BW79" i="26"/>
  <c r="BR80" i="26" l="1"/>
  <c r="BS80" i="26"/>
  <c r="BP80" i="26"/>
  <c r="BQ80" i="26"/>
  <c r="BK81" i="26"/>
  <c r="BV81" i="26"/>
  <c r="BL81" i="26"/>
  <c r="BI82" i="26" s="1"/>
  <c r="BJ82" i="26" s="1"/>
  <c r="BM80" i="26"/>
  <c r="BW80" i="26"/>
  <c r="BT80" i="26"/>
  <c r="BU80" i="26"/>
  <c r="M128" i="34"/>
  <c r="J129" i="34" s="1"/>
  <c r="L128" i="34"/>
  <c r="BH80" i="26"/>
  <c r="BX80" i="26"/>
  <c r="BY80" i="26"/>
  <c r="M129" i="34" l="1"/>
  <c r="J130" i="34" s="1"/>
  <c r="L129" i="34"/>
  <c r="K129" i="34" s="1"/>
  <c r="BH81" i="26"/>
  <c r="BX81" i="26"/>
  <c r="BY81" i="26"/>
  <c r="N128" i="34"/>
  <c r="BU82" i="26"/>
  <c r="BQ82" i="26"/>
  <c r="BT82" i="26"/>
  <c r="BP82" i="26"/>
  <c r="BL82" i="26"/>
  <c r="BI83" i="26" s="1"/>
  <c r="BJ83" i="26" s="1"/>
  <c r="BW82" i="26"/>
  <c r="BS82" i="26"/>
  <c r="BO82" i="26"/>
  <c r="BK82" i="26"/>
  <c r="BV82" i="26"/>
  <c r="BR82" i="26"/>
  <c r="BN82" i="26"/>
  <c r="BM81" i="26"/>
  <c r="BN81" i="26"/>
  <c r="BO81" i="26"/>
  <c r="K128" i="34"/>
  <c r="BP81" i="26"/>
  <c r="BQ81" i="26"/>
  <c r="BR81" i="26"/>
  <c r="BS81" i="26"/>
  <c r="BT81" i="26"/>
  <c r="BU81" i="26"/>
  <c r="BW81" i="26"/>
  <c r="BH82" i="26" l="1"/>
  <c r="BX82" i="26"/>
  <c r="BY82" i="26"/>
  <c r="BK83" i="26"/>
  <c r="BM83" i="26" s="1"/>
  <c r="BV83" i="26"/>
  <c r="BY83" i="26"/>
  <c r="BU83" i="26"/>
  <c r="BX83" i="26"/>
  <c r="BT83" i="26"/>
  <c r="BL83" i="26"/>
  <c r="BH83" i="26"/>
  <c r="BM82" i="26"/>
  <c r="M130" i="34"/>
  <c r="J131" i="34" s="1"/>
  <c r="N130" i="34"/>
  <c r="L130" i="34"/>
  <c r="K130" i="34" s="1"/>
  <c r="N129" i="34"/>
  <c r="BW83" i="26" l="1"/>
  <c r="BI84" i="26"/>
  <c r="BJ84" i="26" s="1"/>
  <c r="BN83" i="26"/>
  <c r="BO83" i="26"/>
  <c r="L131" i="34"/>
  <c r="M131" i="34"/>
  <c r="J132" i="34" s="1"/>
  <c r="BP83" i="26"/>
  <c r="BQ83" i="26"/>
  <c r="BR83" i="26"/>
  <c r="BS83" i="26"/>
  <c r="M132" i="34" l="1"/>
  <c r="J133" i="34" s="1"/>
  <c r="L132" i="34"/>
  <c r="K132" i="34" s="1"/>
  <c r="N131" i="34"/>
  <c r="BL84" i="26"/>
  <c r="BI85" i="26" s="1"/>
  <c r="BJ85" i="26" s="1"/>
  <c r="BW84" i="26"/>
  <c r="BO84" i="26"/>
  <c r="BK84" i="26"/>
  <c r="BM84" i="26" s="1"/>
  <c r="BV84" i="26"/>
  <c r="BN84" i="26"/>
  <c r="K131" i="34"/>
  <c r="BW85" i="26" l="1"/>
  <c r="BK85" i="26"/>
  <c r="BM85" i="26" s="1"/>
  <c r="BV85" i="26"/>
  <c r="BY85" i="26"/>
  <c r="BU85" i="26"/>
  <c r="BX85" i="26"/>
  <c r="BT85" i="26"/>
  <c r="BL85" i="26"/>
  <c r="BI86" i="26" s="1"/>
  <c r="BJ86" i="26" s="1"/>
  <c r="BH85" i="26"/>
  <c r="BR84" i="26"/>
  <c r="BS84" i="26"/>
  <c r="BP84" i="26"/>
  <c r="BQ84" i="26"/>
  <c r="BT84" i="26"/>
  <c r="BU84" i="26"/>
  <c r="M133" i="34"/>
  <c r="J134" i="34" s="1"/>
  <c r="L133" i="34"/>
  <c r="K133" i="34" s="1"/>
  <c r="BH84" i="26"/>
  <c r="BX84" i="26"/>
  <c r="BY84" i="26"/>
  <c r="N132" i="34"/>
  <c r="BL86" i="26" l="1"/>
  <c r="BW86" i="26"/>
  <c r="BK86" i="26"/>
  <c r="BM86" i="26" s="1"/>
  <c r="BV86" i="26"/>
  <c r="BN85" i="26"/>
  <c r="BO85" i="26"/>
  <c r="M134" i="34"/>
  <c r="J135" i="34" s="1"/>
  <c r="N134" i="34"/>
  <c r="L134" i="34"/>
  <c r="K134" i="34" s="1"/>
  <c r="N133" i="34"/>
  <c r="BP85" i="26"/>
  <c r="BQ85" i="26"/>
  <c r="BR85" i="26"/>
  <c r="BS85" i="26"/>
  <c r="BN86" i="26" l="1"/>
  <c r="BO86" i="26"/>
  <c r="BI87" i="26"/>
  <c r="BJ87" i="26" s="1"/>
  <c r="L135" i="34"/>
  <c r="M135" i="34"/>
  <c r="J136" i="34" s="1"/>
  <c r="BR86" i="26"/>
  <c r="BS86" i="26"/>
  <c r="BP86" i="26"/>
  <c r="BQ86" i="26"/>
  <c r="BT86" i="26"/>
  <c r="BU86" i="26"/>
  <c r="BH86" i="26"/>
  <c r="BX86" i="26"/>
  <c r="BY86" i="26"/>
  <c r="N135" i="34" l="1"/>
  <c r="K135" i="34"/>
  <c r="BK87" i="26"/>
  <c r="BY87" i="26" s="1"/>
  <c r="BV87" i="26"/>
  <c r="BL87" i="26"/>
  <c r="BH87" i="26"/>
  <c r="N136" i="34"/>
  <c r="M136" i="34"/>
  <c r="J137" i="34" s="1"/>
  <c r="L136" i="34"/>
  <c r="K136" i="34" s="1"/>
  <c r="BX87" i="26" l="1"/>
  <c r="BI88" i="26"/>
  <c r="BJ88" i="26" s="1"/>
  <c r="BM87" i="26"/>
  <c r="BN87" i="26"/>
  <c r="BO87" i="26"/>
  <c r="M137" i="34"/>
  <c r="J138" i="34" s="1"/>
  <c r="L137" i="34"/>
  <c r="BP87" i="26"/>
  <c r="BQ87" i="26"/>
  <c r="BR87" i="26"/>
  <c r="BS87" i="26"/>
  <c r="BW87" i="26"/>
  <c r="BT87" i="26"/>
  <c r="BU87" i="26"/>
  <c r="K137" i="34" l="1"/>
  <c r="M138" i="34"/>
  <c r="J139" i="34" s="1"/>
  <c r="N138" i="34"/>
  <c r="L138" i="34"/>
  <c r="K138" i="34" s="1"/>
  <c r="N137" i="34"/>
  <c r="BL88" i="26"/>
  <c r="BY88" i="26" s="1"/>
  <c r="BW88" i="26"/>
  <c r="BK88" i="26"/>
  <c r="BM88" i="26" s="1"/>
  <c r="BV88" i="26"/>
  <c r="BN88" i="26" l="1"/>
  <c r="BO88" i="26"/>
  <c r="BR88" i="26"/>
  <c r="BS88" i="26"/>
  <c r="BP88" i="26"/>
  <c r="BQ88" i="26"/>
  <c r="BT88" i="26"/>
  <c r="BU88" i="26"/>
  <c r="BH88" i="26"/>
  <c r="BX88" i="26"/>
  <c r="L139" i="34"/>
  <c r="K139" i="34" s="1"/>
  <c r="M139" i="34"/>
  <c r="J140" i="34" s="1"/>
  <c r="BI89" i="26"/>
  <c r="BJ89" i="26" s="1"/>
  <c r="N139" i="34" l="1"/>
  <c r="BW89" i="26"/>
  <c r="BK89" i="26"/>
  <c r="BY89" i="26" s="1"/>
  <c r="BV89" i="26"/>
  <c r="BU89" i="26"/>
  <c r="BX89" i="26"/>
  <c r="BT89" i="26"/>
  <c r="BL89" i="26"/>
  <c r="BH89" i="26"/>
  <c r="L140" i="34"/>
  <c r="K140" i="34" s="1"/>
  <c r="M140" i="34"/>
  <c r="J141" i="34" s="1"/>
  <c r="BI90" i="26" l="1"/>
  <c r="BJ90" i="26" s="1"/>
  <c r="BM89" i="26"/>
  <c r="BN89" i="26"/>
  <c r="BO89" i="26"/>
  <c r="L141" i="34"/>
  <c r="K141" i="34" s="1"/>
  <c r="M141" i="34"/>
  <c r="J142" i="34" s="1"/>
  <c r="N140" i="34"/>
  <c r="BP89" i="26"/>
  <c r="BQ89" i="26"/>
  <c r="BR89" i="26"/>
  <c r="BS89" i="26"/>
  <c r="M142" i="34" l="1"/>
  <c r="J143" i="34" s="1"/>
  <c r="L142" i="34"/>
  <c r="K142" i="34" s="1"/>
  <c r="N142" i="34"/>
  <c r="N141" i="34"/>
  <c r="BL90" i="26"/>
  <c r="BW90" i="26"/>
  <c r="BK90" i="26"/>
  <c r="BM90" i="26" s="1"/>
  <c r="BV90" i="26"/>
  <c r="BN90" i="26"/>
  <c r="BI91" i="26" l="1"/>
  <c r="BJ91" i="26" s="1"/>
  <c r="BO90" i="26"/>
  <c r="BR90" i="26"/>
  <c r="BS90" i="26"/>
  <c r="BP90" i="26"/>
  <c r="BQ90" i="26"/>
  <c r="BT90" i="26"/>
  <c r="BU90" i="26"/>
  <c r="BH90" i="26"/>
  <c r="BX90" i="26"/>
  <c r="BY90" i="26"/>
  <c r="L143" i="34"/>
  <c r="M143" i="34"/>
  <c r="J144" i="34" s="1"/>
  <c r="N143" i="34"/>
  <c r="M144" i="34" l="1"/>
  <c r="J145" i="34" s="1"/>
  <c r="L144" i="34"/>
  <c r="K144" i="34" s="1"/>
  <c r="N144" i="34"/>
  <c r="K143" i="34"/>
  <c r="BW91" i="26"/>
  <c r="BK91" i="26"/>
  <c r="BM91" i="26" s="1"/>
  <c r="BV91" i="26"/>
  <c r="BU91" i="26"/>
  <c r="BT91" i="26"/>
  <c r="BL91" i="26"/>
  <c r="BO91" i="26" s="1"/>
  <c r="BH91" i="26" l="1"/>
  <c r="BX91" i="26"/>
  <c r="BY91" i="26"/>
  <c r="BI92" i="26"/>
  <c r="BJ92" i="26" s="1"/>
  <c r="BN91" i="26"/>
  <c r="BP91" i="26"/>
  <c r="BQ91" i="26"/>
  <c r="BR91" i="26"/>
  <c r="BS91" i="26"/>
  <c r="M145" i="34"/>
  <c r="J146" i="34" s="1"/>
  <c r="L145" i="34"/>
  <c r="M146" i="34" l="1"/>
  <c r="J147" i="34" s="1"/>
  <c r="N146" i="34"/>
  <c r="L146" i="34"/>
  <c r="K146" i="34" s="1"/>
  <c r="N145" i="34"/>
  <c r="K145" i="34"/>
  <c r="BL92" i="26"/>
  <c r="BY92" i="26" s="1"/>
  <c r="BW92" i="26"/>
  <c r="BK92" i="26"/>
  <c r="BM92" i="26" s="1"/>
  <c r="BV92" i="26"/>
  <c r="BN92" i="26" l="1"/>
  <c r="BR92" i="26"/>
  <c r="BS92" i="26"/>
  <c r="BP92" i="26"/>
  <c r="BQ92" i="26"/>
  <c r="BT92" i="26"/>
  <c r="BU92" i="26"/>
  <c r="BH92" i="26"/>
  <c r="BX92" i="26"/>
  <c r="BO92" i="26"/>
  <c r="BI93" i="26"/>
  <c r="BJ93" i="26" s="1"/>
  <c r="L147" i="34"/>
  <c r="M147" i="34"/>
  <c r="J148" i="34" s="1"/>
  <c r="M148" i="34" l="1"/>
  <c r="J149" i="34" s="1"/>
  <c r="L148" i="34"/>
  <c r="K148" i="34" s="1"/>
  <c r="N147" i="34"/>
  <c r="K147" i="34"/>
  <c r="BW93" i="26"/>
  <c r="BK93" i="26"/>
  <c r="BM93" i="26" s="1"/>
  <c r="BV93" i="26"/>
  <c r="BU93" i="26"/>
  <c r="BT93" i="26"/>
  <c r="BL93" i="26"/>
  <c r="BI94" i="26" s="1"/>
  <c r="BJ94" i="26" s="1"/>
  <c r="BL94" i="26" l="1"/>
  <c r="BW94" i="26"/>
  <c r="BK94" i="26"/>
  <c r="BM94" i="26" s="1"/>
  <c r="BV94" i="26"/>
  <c r="BN93" i="26"/>
  <c r="BO93" i="26"/>
  <c r="BH93" i="26"/>
  <c r="BX93" i="26"/>
  <c r="BY93" i="26"/>
  <c r="BP93" i="26"/>
  <c r="BQ93" i="26"/>
  <c r="BR93" i="26"/>
  <c r="BS93" i="26"/>
  <c r="N149" i="34"/>
  <c r="M149" i="34"/>
  <c r="J150" i="34" s="1"/>
  <c r="L149" i="34"/>
  <c r="K149" i="34" s="1"/>
  <c r="N148" i="34"/>
  <c r="BN94" i="26" l="1"/>
  <c r="BO94" i="26"/>
  <c r="BI95" i="26"/>
  <c r="BJ95" i="26" s="1"/>
  <c r="M150" i="34"/>
  <c r="J151" i="34" s="1"/>
  <c r="N150" i="34"/>
  <c r="L150" i="34"/>
  <c r="K150" i="34" s="1"/>
  <c r="BR94" i="26"/>
  <c r="BS94" i="26"/>
  <c r="BP94" i="26"/>
  <c r="BQ94" i="26"/>
  <c r="BT94" i="26"/>
  <c r="BU94" i="26"/>
  <c r="BH94" i="26"/>
  <c r="BX94" i="26"/>
  <c r="BY94" i="26"/>
  <c r="L151" i="34" l="1"/>
  <c r="M151" i="34"/>
  <c r="J152" i="34" s="1"/>
  <c r="BW95" i="26"/>
  <c r="BK95" i="26"/>
  <c r="BM95" i="26" s="1"/>
  <c r="BV95" i="26"/>
  <c r="BL95" i="26"/>
  <c r="BY95" i="26" s="1"/>
  <c r="BH95" i="26" l="1"/>
  <c r="BX95" i="26"/>
  <c r="M152" i="34"/>
  <c r="J153" i="34" s="1"/>
  <c r="L152" i="34"/>
  <c r="BT95" i="26"/>
  <c r="BU95" i="26"/>
  <c r="BI96" i="26"/>
  <c r="BJ96" i="26" s="1"/>
  <c r="BN95" i="26"/>
  <c r="BO95" i="26"/>
  <c r="N151" i="34"/>
  <c r="BP95" i="26"/>
  <c r="BQ95" i="26"/>
  <c r="BR95" i="26"/>
  <c r="BS95" i="26"/>
  <c r="K151" i="34"/>
  <c r="BL96" i="26" l="1"/>
  <c r="BW96" i="26"/>
  <c r="BO96" i="26"/>
  <c r="BK96" i="26"/>
  <c r="BR96" i="26" s="1"/>
  <c r="BV96" i="26"/>
  <c r="BN96" i="26"/>
  <c r="M153" i="34"/>
  <c r="J154" i="34" s="1"/>
  <c r="L153" i="34"/>
  <c r="N152" i="34"/>
  <c r="K152" i="34"/>
  <c r="BI97" i="26" l="1"/>
  <c r="BJ97" i="26" s="1"/>
  <c r="BM96" i="26"/>
  <c r="K153" i="34"/>
  <c r="BS96" i="26"/>
  <c r="BP96" i="26"/>
  <c r="BQ96" i="26"/>
  <c r="BT96" i="26"/>
  <c r="BU96" i="26"/>
  <c r="M154" i="34"/>
  <c r="J155" i="34" s="1"/>
  <c r="N154" i="34"/>
  <c r="L154" i="34"/>
  <c r="N153" i="34"/>
  <c r="BH96" i="26"/>
  <c r="BX96" i="26"/>
  <c r="BY96" i="26"/>
  <c r="L155" i="34" l="1"/>
  <c r="M155" i="34"/>
  <c r="J156" i="34" s="1"/>
  <c r="K154" i="34"/>
  <c r="BW97" i="26"/>
  <c r="BK97" i="26"/>
  <c r="BM97" i="26" s="1"/>
  <c r="BV97" i="26"/>
  <c r="BU97" i="26"/>
  <c r="BT97" i="26"/>
  <c r="BL97" i="26"/>
  <c r="BY97" i="26" s="1"/>
  <c r="BH97" i="26"/>
  <c r="BX97" i="26" l="1"/>
  <c r="L156" i="34"/>
  <c r="M156" i="34"/>
  <c r="J157" i="34" s="1"/>
  <c r="BI98" i="26"/>
  <c r="BJ98" i="26" s="1"/>
  <c r="BN97" i="26"/>
  <c r="BO97" i="26"/>
  <c r="BP97" i="26"/>
  <c r="BQ97" i="26"/>
  <c r="BR97" i="26"/>
  <c r="BS97" i="26"/>
  <c r="N155" i="34"/>
  <c r="K155" i="34"/>
  <c r="L157" i="34" l="1"/>
  <c r="M157" i="34"/>
  <c r="J158" i="34" s="1"/>
  <c r="N156" i="34"/>
  <c r="K156" i="34"/>
  <c r="BL98" i="26"/>
  <c r="BY98" i="26" s="1"/>
  <c r="BW98" i="26"/>
  <c r="BK98" i="26"/>
  <c r="BM98" i="26" s="1"/>
  <c r="BV98" i="26"/>
  <c r="BR98" i="26" l="1"/>
  <c r="BS98" i="26"/>
  <c r="BP98" i="26"/>
  <c r="BQ98" i="26"/>
  <c r="BT98" i="26"/>
  <c r="BU98" i="26"/>
  <c r="M158" i="34"/>
  <c r="J159" i="34" s="1"/>
  <c r="L158" i="34"/>
  <c r="BH98" i="26"/>
  <c r="BX98" i="26"/>
  <c r="K157" i="34"/>
  <c r="BN98" i="26"/>
  <c r="BO98" i="26"/>
  <c r="BI99" i="26"/>
  <c r="BJ99" i="26" s="1"/>
  <c r="N157" i="34"/>
  <c r="N158" i="34" l="1"/>
  <c r="K158" i="34"/>
  <c r="BW99" i="26"/>
  <c r="BK99" i="26"/>
  <c r="BM99" i="26" s="1"/>
  <c r="BV99" i="26"/>
  <c r="BU99" i="26"/>
  <c r="BT99" i="26"/>
  <c r="BL99" i="26"/>
  <c r="BS99" i="26" s="1"/>
  <c r="BH99" i="26"/>
  <c r="L159" i="34"/>
  <c r="K159" i="34" s="1"/>
  <c r="M159" i="34"/>
  <c r="J160" i="34" s="1"/>
  <c r="N159" i="34"/>
  <c r="M160" i="34" l="1"/>
  <c r="J161" i="34" s="1"/>
  <c r="L160" i="34"/>
  <c r="K160" i="34" s="1"/>
  <c r="N160" i="34"/>
  <c r="BP99" i="26"/>
  <c r="BQ99" i="26"/>
  <c r="BR99" i="26"/>
  <c r="BX99" i="26"/>
  <c r="BY99" i="26"/>
  <c r="BI100" i="26"/>
  <c r="BJ100" i="26" s="1"/>
  <c r="BN99" i="26"/>
  <c r="BO99" i="26"/>
  <c r="BL100" i="26" l="1"/>
  <c r="BW100" i="26"/>
  <c r="BK100" i="26"/>
  <c r="BN100" i="26" s="1"/>
  <c r="BV100" i="26"/>
  <c r="M161" i="34"/>
  <c r="J162" i="34" s="1"/>
  <c r="L161" i="34"/>
  <c r="M162" i="34" l="1"/>
  <c r="J163" i="34" s="1"/>
  <c r="L162" i="34"/>
  <c r="K162" i="34" s="1"/>
  <c r="N161" i="34"/>
  <c r="BO100" i="26"/>
  <c r="BI101" i="26"/>
  <c r="BJ101" i="26" s="1"/>
  <c r="BM100" i="26"/>
  <c r="K161" i="34"/>
  <c r="BR100" i="26"/>
  <c r="BS100" i="26"/>
  <c r="BP100" i="26"/>
  <c r="BQ100" i="26"/>
  <c r="BT100" i="26"/>
  <c r="BU100" i="26"/>
  <c r="BH100" i="26"/>
  <c r="BX100" i="26"/>
  <c r="BY100" i="26"/>
  <c r="BV101" i="26" l="1"/>
  <c r="BW101" i="26"/>
  <c r="BL101" i="26"/>
  <c r="BN101" i="26" s="1"/>
  <c r="BK101" i="26"/>
  <c r="BY101" i="26" s="1"/>
  <c r="BH101" i="26"/>
  <c r="N162" i="34"/>
  <c r="L163" i="34"/>
  <c r="M163" i="34"/>
  <c r="J164" i="34" s="1"/>
  <c r="BO101" i="26" l="1"/>
  <c r="BP101" i="26"/>
  <c r="N163" i="34"/>
  <c r="BM101" i="26"/>
  <c r="BT101" i="26"/>
  <c r="BU101" i="26"/>
  <c r="BX101" i="26"/>
  <c r="BQ101" i="26"/>
  <c r="M164" i="34"/>
  <c r="J165" i="34" s="1"/>
  <c r="L164" i="34"/>
  <c r="K163" i="34"/>
  <c r="BS101" i="26"/>
  <c r="BI102" i="26"/>
  <c r="BJ102" i="26" s="1"/>
  <c r="BR101" i="26"/>
  <c r="N164" i="34" l="1"/>
  <c r="K164" i="34"/>
  <c r="BL102" i="26"/>
  <c r="BX102" i="26" s="1"/>
  <c r="BW102" i="26"/>
  <c r="BV102" i="26"/>
  <c r="BK102" i="26"/>
  <c r="BY102" i="26" s="1"/>
  <c r="M165" i="34"/>
  <c r="J166" i="34" s="1"/>
  <c r="L165" i="34"/>
  <c r="K165" i="34" s="1"/>
  <c r="BN102" i="26" l="1"/>
  <c r="BU102" i="26"/>
  <c r="BT102" i="26"/>
  <c r="BQ102" i="26"/>
  <c r="M166" i="34"/>
  <c r="J167" i="34" s="1"/>
  <c r="L166" i="34"/>
  <c r="N165" i="34"/>
  <c r="BM102" i="26"/>
  <c r="BS102" i="26"/>
  <c r="BH102" i="26"/>
  <c r="BR102" i="26"/>
  <c r="BI103" i="26"/>
  <c r="BJ103" i="26" s="1"/>
  <c r="BO102" i="26"/>
  <c r="BP102" i="26"/>
  <c r="BV103" i="26" l="1"/>
  <c r="BW103" i="26"/>
  <c r="BL103" i="26"/>
  <c r="BN103" i="26" s="1"/>
  <c r="BK103" i="26"/>
  <c r="BM103" i="26" s="1"/>
  <c r="K166" i="34"/>
  <c r="N166" i="34"/>
  <c r="L167" i="34"/>
  <c r="M167" i="34"/>
  <c r="J168" i="34" s="1"/>
  <c r="BX103" i="26" l="1"/>
  <c r="BQ103" i="26"/>
  <c r="BS103" i="26"/>
  <c r="N167" i="34"/>
  <c r="BO103" i="26"/>
  <c r="BP103" i="26"/>
  <c r="K167" i="34"/>
  <c r="BT103" i="26"/>
  <c r="BU103" i="26"/>
  <c r="BH103" i="26"/>
  <c r="N168" i="34"/>
  <c r="M168" i="34"/>
  <c r="L168" i="34"/>
  <c r="K168" i="34" s="1"/>
  <c r="BY103" i="26"/>
  <c r="BI104" i="26"/>
  <c r="BJ104" i="26" s="1"/>
  <c r="BR103" i="26"/>
  <c r="BL104" i="26" l="1"/>
  <c r="BV104" i="26"/>
  <c r="BK104" i="26"/>
  <c r="BY104" i="26" s="1"/>
  <c r="BW104" i="26"/>
  <c r="BI105" i="26" l="1"/>
  <c r="BJ105" i="26" s="1"/>
  <c r="BM104" i="26"/>
  <c r="BS104" i="26"/>
  <c r="BR104" i="26"/>
  <c r="BQ104" i="26"/>
  <c r="BP104" i="26"/>
  <c r="BT104" i="26"/>
  <c r="BO104" i="26"/>
  <c r="BN104" i="26"/>
  <c r="BU104" i="26"/>
  <c r="BH104" i="26"/>
  <c r="BX104" i="26"/>
  <c r="BV105" i="26" l="1"/>
  <c r="BW105" i="26"/>
  <c r="BL105" i="26"/>
  <c r="BY105" i="26" s="1"/>
  <c r="BK105" i="26"/>
  <c r="BM105" i="26" s="1"/>
  <c r="BQ105" i="26" l="1"/>
  <c r="BS105" i="26"/>
  <c r="BI106" i="26"/>
  <c r="BJ106" i="26" s="1"/>
  <c r="BT105" i="26"/>
  <c r="BP105" i="26"/>
  <c r="BX105" i="26"/>
  <c r="BN105" i="26"/>
  <c r="BU105" i="26"/>
  <c r="BH105" i="26"/>
  <c r="BO105" i="26"/>
  <c r="BR105" i="26"/>
  <c r="BL106" i="26" l="1"/>
  <c r="BW106" i="26"/>
  <c r="BV106" i="26"/>
  <c r="BK106" i="26"/>
  <c r="BM106" i="26" s="1"/>
  <c r="BS106" i="26"/>
  <c r="BY106" i="26" l="1"/>
  <c r="BQ106" i="26"/>
  <c r="BO106" i="26"/>
  <c r="BN106" i="26"/>
  <c r="BU106" i="26"/>
  <c r="BI107" i="26"/>
  <c r="BJ107" i="26" s="1"/>
  <c r="BR106" i="26"/>
  <c r="BP106" i="26"/>
  <c r="BT106" i="26"/>
  <c r="BH106" i="26"/>
  <c r="BX106" i="26"/>
  <c r="BV107" i="26" l="1"/>
  <c r="BK107" i="26"/>
  <c r="BM107" i="26" s="1"/>
  <c r="BW107" i="26"/>
  <c r="BL107" i="26"/>
  <c r="BU107" i="26" s="1"/>
  <c r="BX107" i="26" l="1"/>
  <c r="BH107" i="26"/>
  <c r="BO107" i="26"/>
  <c r="BP107" i="26"/>
  <c r="BT107" i="26"/>
  <c r="BI108" i="26"/>
  <c r="BJ108" i="26" s="1"/>
  <c r="BQ107" i="26"/>
  <c r="BS107" i="26"/>
  <c r="BY107" i="26"/>
  <c r="BN107" i="26"/>
  <c r="BR107" i="26"/>
  <c r="BL108" i="26" l="1"/>
  <c r="BW108" i="26"/>
  <c r="BV108" i="26"/>
  <c r="BK108" i="26"/>
  <c r="BM108" i="26" s="1"/>
  <c r="BQ108" i="26" l="1"/>
  <c r="BO108" i="26"/>
  <c r="BN108" i="26"/>
  <c r="BI109" i="26"/>
  <c r="BJ109" i="26" s="1"/>
  <c r="BU108" i="26"/>
  <c r="BS108" i="26"/>
  <c r="BP108" i="26"/>
  <c r="BR108" i="26"/>
  <c r="BY108" i="26"/>
  <c r="BT108" i="26"/>
  <c r="BH108" i="26"/>
  <c r="BX108" i="26"/>
  <c r="BV109" i="26" l="1"/>
  <c r="BW109" i="26"/>
  <c r="BL109" i="26"/>
  <c r="BN109" i="26" s="1"/>
  <c r="BK109" i="26"/>
  <c r="BX109" i="26" s="1"/>
  <c r="BH109" i="26"/>
  <c r="BP109" i="26" l="1"/>
  <c r="BM109" i="26"/>
  <c r="BT109" i="26"/>
  <c r="BU109" i="26"/>
  <c r="BQ109" i="26"/>
  <c r="BO109" i="26"/>
  <c r="BS109" i="26"/>
  <c r="BY109" i="26"/>
  <c r="BI110" i="26"/>
  <c r="BJ110" i="26" s="1"/>
  <c r="BR109" i="26"/>
  <c r="BL110" i="26" l="1"/>
  <c r="BW110" i="26"/>
  <c r="BV110" i="26"/>
  <c r="BK110" i="26"/>
  <c r="BM110" i="26" s="1"/>
  <c r="BI111" i="26" l="1"/>
  <c r="BJ111" i="26" s="1"/>
  <c r="BR110" i="26"/>
  <c r="BY110" i="26"/>
  <c r="BQ110" i="26"/>
  <c r="BO110" i="26"/>
  <c r="BP110" i="26"/>
  <c r="BN110" i="26"/>
  <c r="BU110" i="26"/>
  <c r="BT110" i="26"/>
  <c r="BS110" i="26"/>
  <c r="BH110" i="26"/>
  <c r="BX110" i="26"/>
  <c r="BV111" i="26" l="1"/>
  <c r="BW111" i="26"/>
  <c r="BL111" i="26"/>
  <c r="BN111" i="26" s="1"/>
  <c r="BK111" i="26"/>
  <c r="BM111" i="26" s="1"/>
  <c r="BX111" i="26" l="1"/>
  <c r="BQ111" i="26"/>
  <c r="BS111" i="26"/>
  <c r="BO111" i="26"/>
  <c r="BP111" i="26"/>
  <c r="BT111" i="26"/>
  <c r="BU111" i="26"/>
  <c r="BH111" i="26"/>
  <c r="BY111" i="26"/>
  <c r="BI112" i="26"/>
  <c r="BJ112" i="26" s="1"/>
  <c r="BR111" i="26"/>
  <c r="BL112" i="26" l="1"/>
  <c r="BV112" i="26"/>
  <c r="BK112" i="26"/>
  <c r="BS112" i="26" s="1"/>
  <c r="BW112" i="26"/>
  <c r="BM112" i="26" l="1"/>
  <c r="BI113" i="26"/>
  <c r="BJ113" i="26" s="1"/>
  <c r="BR112" i="26"/>
  <c r="BY112" i="26"/>
  <c r="BQ112" i="26"/>
  <c r="BP112" i="26"/>
  <c r="BT112" i="26"/>
  <c r="BO112" i="26"/>
  <c r="BN112" i="26"/>
  <c r="BU112" i="26"/>
  <c r="BH112" i="26"/>
  <c r="BX112" i="26"/>
  <c r="BV113" i="26" l="1"/>
  <c r="BW113" i="26"/>
  <c r="BL113" i="26"/>
  <c r="BI114" i="26" s="1"/>
  <c r="BJ114" i="26" s="1"/>
  <c r="BK113" i="26"/>
  <c r="BM113" i="26" s="1"/>
  <c r="BX113" i="26" l="1"/>
  <c r="BN113" i="26"/>
  <c r="BQ113" i="26"/>
  <c r="BS113" i="26"/>
  <c r="BY113" i="26"/>
  <c r="BP113" i="26"/>
  <c r="BU113" i="26"/>
  <c r="BH113" i="26"/>
  <c r="BO113" i="26"/>
  <c r="BR113" i="26"/>
  <c r="BT114" i="26"/>
  <c r="BL114" i="26"/>
  <c r="BI115" i="26" s="1"/>
  <c r="BJ115" i="26" s="1"/>
  <c r="BW114" i="26"/>
  <c r="BM114" i="26"/>
  <c r="BV114" i="26"/>
  <c r="BQ114" i="26"/>
  <c r="BK114" i="26"/>
  <c r="BU114" i="26"/>
  <c r="BY114" i="26"/>
  <c r="BN114" i="26"/>
  <c r="BT113" i="26"/>
  <c r="BO114" i="26" l="1"/>
  <c r="BH114" i="26"/>
  <c r="BX114" i="26"/>
  <c r="BV115" i="26"/>
  <c r="BK115" i="26"/>
  <c r="BM115" i="26" s="1"/>
  <c r="BX115" i="26"/>
  <c r="BH115" i="26"/>
  <c r="BW115" i="26"/>
  <c r="BL115" i="26"/>
  <c r="BS114" i="26"/>
  <c r="BR114" i="26"/>
  <c r="BP114" i="26"/>
  <c r="BO115" i="26" l="1"/>
  <c r="BR115" i="26"/>
  <c r="BP115" i="26"/>
  <c r="BI116" i="26"/>
  <c r="BJ116" i="26" s="1"/>
  <c r="BT115" i="26"/>
  <c r="BU115" i="26"/>
  <c r="BQ115" i="26"/>
  <c r="BS115" i="26"/>
  <c r="BY115" i="26"/>
  <c r="BN115" i="26"/>
  <c r="BL116" i="26" l="1"/>
  <c r="BW116" i="26"/>
  <c r="BV116" i="26"/>
  <c r="BK116" i="26"/>
  <c r="BM116" i="26" s="1"/>
  <c r="BN116" i="26" l="1"/>
  <c r="BI117" i="26"/>
  <c r="BJ117" i="26" s="1"/>
  <c r="BQ116" i="26"/>
  <c r="BO116" i="26"/>
  <c r="BU116" i="26"/>
  <c r="BS116" i="26"/>
  <c r="BP116" i="26"/>
  <c r="BR116" i="26"/>
  <c r="BY116" i="26"/>
  <c r="BT116" i="26"/>
  <c r="BH116" i="26"/>
  <c r="BX116" i="26"/>
  <c r="BV117" i="26" l="1"/>
  <c r="BW117" i="26"/>
  <c r="BL117" i="26"/>
  <c r="BN117" i="26" s="1"/>
  <c r="BK117" i="26"/>
  <c r="BY117" i="26" s="1"/>
  <c r="BH117" i="26"/>
  <c r="BX117" i="26" l="1"/>
  <c r="BQ117" i="26"/>
  <c r="BO117" i="26"/>
  <c r="BM117" i="26"/>
  <c r="BT117" i="26"/>
  <c r="BU117" i="26"/>
  <c r="BP117" i="26"/>
  <c r="BS117" i="26"/>
  <c r="BI118" i="26"/>
  <c r="BJ118" i="26" s="1"/>
  <c r="BR117" i="26"/>
  <c r="BL118" i="26" l="1"/>
  <c r="BT118" i="26" s="1"/>
  <c r="BW118" i="26"/>
  <c r="BV118" i="26"/>
  <c r="BK118" i="26"/>
  <c r="BM118" i="26" s="1"/>
  <c r="BO118" i="26" l="1"/>
  <c r="BP118" i="26"/>
  <c r="BN118" i="26"/>
  <c r="BU118" i="26"/>
  <c r="BR118" i="26"/>
  <c r="BY118" i="26"/>
  <c r="BI119" i="26"/>
  <c r="BJ119" i="26" s="1"/>
  <c r="BQ118" i="26"/>
  <c r="BS118" i="26"/>
  <c r="BH118" i="26"/>
  <c r="BX118" i="26"/>
  <c r="BV119" i="26" l="1"/>
  <c r="BW119" i="26"/>
  <c r="BL119" i="26"/>
  <c r="BN119" i="26" s="1"/>
  <c r="BK119" i="26"/>
  <c r="BM119" i="26" s="1"/>
  <c r="BX119" i="26" l="1"/>
  <c r="BT119" i="26"/>
  <c r="BU119" i="26"/>
  <c r="BH119" i="26"/>
  <c r="BQ119" i="26"/>
  <c r="BS119" i="26"/>
  <c r="BO119" i="26"/>
  <c r="BP119" i="26"/>
  <c r="BY119" i="26"/>
  <c r="BI120" i="26"/>
  <c r="BJ120" i="26" s="1"/>
  <c r="BR119" i="26"/>
  <c r="BL120" i="26" l="1"/>
  <c r="BV120" i="26"/>
  <c r="BK120" i="26"/>
  <c r="BQ120" i="26" s="1"/>
  <c r="BW120" i="26"/>
  <c r="BI121" i="26" l="1"/>
  <c r="BJ121" i="26" s="1"/>
  <c r="BM120" i="26"/>
  <c r="BS120" i="26"/>
  <c r="BR120" i="26"/>
  <c r="BY120" i="26"/>
  <c r="BP120" i="26"/>
  <c r="BO120" i="26"/>
  <c r="BT120" i="26"/>
  <c r="BN120" i="26"/>
  <c r="BU120" i="26"/>
  <c r="BH120" i="26"/>
  <c r="BX120" i="26"/>
  <c r="BV121" i="26" l="1"/>
  <c r="BW121" i="26"/>
  <c r="BL121" i="26"/>
  <c r="BY121" i="26" s="1"/>
  <c r="BK121" i="26"/>
  <c r="BM121" i="26" s="1"/>
  <c r="BQ121" i="26" l="1"/>
  <c r="BS121" i="26"/>
  <c r="BI122" i="26"/>
  <c r="BJ122" i="26" s="1"/>
  <c r="BT121" i="26"/>
  <c r="BP121" i="26"/>
  <c r="BX121" i="26"/>
  <c r="BN121" i="26"/>
  <c r="BU121" i="26"/>
  <c r="BH121" i="26"/>
  <c r="BO121" i="26"/>
  <c r="BR121" i="26"/>
  <c r="BL122" i="26" l="1"/>
  <c r="BW122" i="26"/>
  <c r="BV122" i="26"/>
  <c r="BK122" i="26"/>
  <c r="BP122" i="26" s="1"/>
  <c r="BS122" i="26" l="1"/>
  <c r="BY122" i="26"/>
  <c r="BQ122" i="26"/>
  <c r="BO122" i="26"/>
  <c r="BN122" i="26"/>
  <c r="BU122" i="26"/>
  <c r="BM122" i="26"/>
  <c r="BI123" i="26"/>
  <c r="BJ123" i="26" s="1"/>
  <c r="BR122" i="26"/>
  <c r="BT122" i="26"/>
  <c r="BH122" i="26"/>
  <c r="BX122" i="26"/>
  <c r="BV123" i="26" l="1"/>
  <c r="BK123" i="26"/>
  <c r="BM123" i="26" s="1"/>
  <c r="BX123" i="26"/>
  <c r="BH123" i="26"/>
  <c r="BW123" i="26"/>
  <c r="BL123" i="26"/>
  <c r="BO123" i="26" l="1"/>
  <c r="BP123" i="26"/>
  <c r="BI124" i="26"/>
  <c r="BJ124" i="26" s="1"/>
  <c r="BT123" i="26"/>
  <c r="BU123" i="26"/>
  <c r="BQ123" i="26"/>
  <c r="BS123" i="26"/>
  <c r="BY123" i="26"/>
  <c r="BN123" i="26"/>
  <c r="BR123" i="26"/>
  <c r="BL124" i="26" l="1"/>
  <c r="BW124" i="26"/>
  <c r="BV124" i="26"/>
  <c r="BK124" i="26"/>
  <c r="BM124" i="26" s="1"/>
  <c r="BI125" i="26" l="1"/>
  <c r="BJ125" i="26" s="1"/>
  <c r="BQ124" i="26"/>
  <c r="BO124" i="26"/>
  <c r="BN124" i="26"/>
  <c r="BU124" i="26"/>
  <c r="BS124" i="26"/>
  <c r="BP124" i="26"/>
  <c r="BR124" i="26"/>
  <c r="BY124" i="26"/>
  <c r="BT124" i="26"/>
  <c r="BH124" i="26"/>
  <c r="BX124" i="26"/>
  <c r="BV125" i="26" l="1"/>
  <c r="BW125" i="26"/>
  <c r="BL125" i="26"/>
  <c r="BN125" i="26" s="1"/>
  <c r="BK125" i="26"/>
  <c r="BY125" i="26" s="1"/>
  <c r="BQ125" i="26" l="1"/>
  <c r="BH125" i="26"/>
  <c r="BO125" i="26"/>
  <c r="BP125" i="26"/>
  <c r="BM125" i="26"/>
  <c r="BT125" i="26"/>
  <c r="BU125" i="26"/>
  <c r="BX125" i="26"/>
  <c r="BS125" i="26"/>
  <c r="BI126" i="26"/>
  <c r="BJ126" i="26" s="1"/>
  <c r="BR125" i="26"/>
  <c r="BL126" i="26" l="1"/>
  <c r="BW126" i="26"/>
  <c r="BV126" i="26"/>
  <c r="BK126" i="26"/>
  <c r="BM126" i="26" s="1"/>
  <c r="BI127" i="26" l="1"/>
  <c r="BJ127" i="26" s="1"/>
  <c r="BO126" i="26"/>
  <c r="BP126" i="26"/>
  <c r="BN126" i="26"/>
  <c r="BU126" i="26"/>
  <c r="BT126" i="26"/>
  <c r="BR126" i="26"/>
  <c r="BY126" i="26"/>
  <c r="BQ126" i="26"/>
  <c r="BS126" i="26"/>
  <c r="BH126" i="26"/>
  <c r="BX126" i="26"/>
  <c r="BV127" i="26" l="1"/>
  <c r="BW127" i="26"/>
  <c r="BL127" i="26"/>
  <c r="BN127" i="26" s="1"/>
  <c r="BK127" i="26"/>
  <c r="BM127" i="26" s="1"/>
  <c r="BX127" i="26" l="1"/>
  <c r="BQ127" i="26"/>
  <c r="BS127" i="26"/>
  <c r="BO127" i="26"/>
  <c r="BP127" i="26"/>
  <c r="BT127" i="26"/>
  <c r="BU127" i="26"/>
  <c r="BH127" i="26"/>
  <c r="BY127" i="26"/>
  <c r="BI128" i="26"/>
  <c r="BJ128" i="26" s="1"/>
  <c r="BR127" i="26"/>
  <c r="BL128" i="26" l="1"/>
  <c r="BV128" i="26"/>
  <c r="BK128" i="26"/>
  <c r="BS128" i="26" s="1"/>
  <c r="BW128" i="26"/>
  <c r="BM128" i="26" l="1"/>
  <c r="BI129" i="26"/>
  <c r="BJ129" i="26" s="1"/>
  <c r="BR128" i="26"/>
  <c r="BY128" i="26"/>
  <c r="BQ128" i="26"/>
  <c r="BP128" i="26"/>
  <c r="BO128" i="26"/>
  <c r="BT128" i="26"/>
  <c r="BN128" i="26"/>
  <c r="BU128" i="26"/>
  <c r="BH128" i="26"/>
  <c r="BX128" i="26"/>
  <c r="BV129" i="26" l="1"/>
  <c r="BW129" i="26"/>
  <c r="BL129" i="26"/>
  <c r="BI130" i="26" s="1"/>
  <c r="BJ130" i="26" s="1"/>
  <c r="BK129" i="26"/>
  <c r="BL130" i="26" l="1"/>
  <c r="BI131" i="26" s="1"/>
  <c r="BJ131" i="26" s="1"/>
  <c r="BM130" i="26"/>
  <c r="BV130" i="26"/>
  <c r="BK130" i="26"/>
  <c r="BU130" i="26"/>
  <c r="BN130" i="26"/>
  <c r="BQ129" i="26"/>
  <c r="BS129" i="26"/>
  <c r="BY129" i="26"/>
  <c r="BP129" i="26"/>
  <c r="BN129" i="26"/>
  <c r="BX129" i="26"/>
  <c r="BU129" i="26"/>
  <c r="BH129" i="26"/>
  <c r="BO129" i="26"/>
  <c r="BR129" i="26"/>
  <c r="BM129" i="26"/>
  <c r="BT129" i="26"/>
  <c r="BV131" i="26" l="1"/>
  <c r="BP131" i="26"/>
  <c r="BK131" i="26"/>
  <c r="BM131" i="26" s="1"/>
  <c r="BO131" i="26"/>
  <c r="BX131" i="26"/>
  <c r="BH131" i="26"/>
  <c r="BW131" i="26"/>
  <c r="BL131" i="26"/>
  <c r="BS130" i="26"/>
  <c r="BR130" i="26"/>
  <c r="BP130" i="26"/>
  <c r="BY130" i="26"/>
  <c r="BQ130" i="26"/>
  <c r="BW130" i="26"/>
  <c r="BT130" i="26"/>
  <c r="BO130" i="26"/>
  <c r="BH130" i="26"/>
  <c r="BX130" i="26"/>
  <c r="BI132" i="26" l="1"/>
  <c r="BJ132" i="26" s="1"/>
  <c r="BT131" i="26"/>
  <c r="BU131" i="26"/>
  <c r="BQ131" i="26"/>
  <c r="BS131" i="26"/>
  <c r="BY131" i="26"/>
  <c r="BN131" i="26"/>
  <c r="BR131" i="26"/>
  <c r="BL132" i="26" l="1"/>
  <c r="BW132" i="26"/>
  <c r="BV132" i="26"/>
  <c r="BK132" i="26"/>
  <c r="BM132" i="26" s="1"/>
  <c r="BN132" i="26" l="1"/>
  <c r="BI133" i="26"/>
  <c r="BJ133" i="26" s="1"/>
  <c r="BQ132" i="26"/>
  <c r="BO132" i="26"/>
  <c r="BU132" i="26"/>
  <c r="BS132" i="26"/>
  <c r="BP132" i="26"/>
  <c r="BR132" i="26"/>
  <c r="BY132" i="26"/>
  <c r="BT132" i="26"/>
  <c r="BH132" i="26"/>
  <c r="BX132" i="26"/>
  <c r="BV133" i="26" l="1"/>
  <c r="BW133" i="26"/>
  <c r="BL133" i="26"/>
  <c r="BN133" i="26" s="1"/>
  <c r="BK133" i="26"/>
  <c r="BY133" i="26" s="1"/>
  <c r="BH133" i="26"/>
  <c r="BX133" i="26" l="1"/>
  <c r="BP133" i="26"/>
  <c r="BM133" i="26"/>
  <c r="BT133" i="26"/>
  <c r="BU133" i="26"/>
  <c r="BQ133" i="26"/>
  <c r="BO133" i="26"/>
  <c r="BS133" i="26"/>
  <c r="BI134" i="26"/>
  <c r="BJ134" i="26" s="1"/>
  <c r="BR133" i="26"/>
  <c r="BL134" i="26" l="1"/>
  <c r="BW134" i="26"/>
  <c r="BV134" i="26"/>
  <c r="BK134" i="26"/>
  <c r="BM134" i="26" s="1"/>
  <c r="BR134" i="26" l="1"/>
  <c r="BI135" i="26"/>
  <c r="BJ135" i="26" s="1"/>
  <c r="BY134" i="26"/>
  <c r="BQ134" i="26"/>
  <c r="BP134" i="26"/>
  <c r="BN134" i="26"/>
  <c r="BU134" i="26"/>
  <c r="BT134" i="26"/>
  <c r="BO134" i="26"/>
  <c r="BS134" i="26"/>
  <c r="BH134" i="26"/>
  <c r="BX134" i="26"/>
  <c r="BV135" i="26" l="1"/>
  <c r="BW135" i="26"/>
  <c r="BL135" i="26"/>
  <c r="BN135" i="26" s="1"/>
  <c r="BK135" i="26"/>
  <c r="BM135" i="26" s="1"/>
  <c r="BX135" i="26" l="1"/>
  <c r="BQ135" i="26"/>
  <c r="BS135" i="26"/>
  <c r="BO135" i="26"/>
  <c r="BP135" i="26"/>
  <c r="BT135" i="26"/>
  <c r="BU135" i="26"/>
  <c r="BH135" i="26"/>
  <c r="BY135" i="26"/>
  <c r="BI136" i="26"/>
  <c r="BJ136" i="26" s="1"/>
  <c r="BR135" i="26"/>
  <c r="BL136" i="26" l="1"/>
  <c r="BV136" i="26"/>
  <c r="BK136" i="26"/>
  <c r="BS136" i="26" s="1"/>
  <c r="BW136" i="26"/>
  <c r="BM136" i="26" l="1"/>
  <c r="BI137" i="26"/>
  <c r="BJ137" i="26" s="1"/>
  <c r="BR136" i="26"/>
  <c r="BY136" i="26"/>
  <c r="BQ136" i="26"/>
  <c r="BP136" i="26"/>
  <c r="BT136" i="26"/>
  <c r="BO136" i="26"/>
  <c r="BN136" i="26"/>
  <c r="BU136" i="26"/>
  <c r="BH136" i="26"/>
  <c r="BX136" i="26"/>
  <c r="BV137" i="26" l="1"/>
  <c r="BW137" i="26"/>
  <c r="BL137" i="26"/>
  <c r="BN137" i="26" s="1"/>
  <c r="BK137" i="26"/>
  <c r="BM137" i="26" s="1"/>
  <c r="BQ137" i="26" l="1"/>
  <c r="BS137" i="26"/>
  <c r="BY137" i="26"/>
  <c r="BX137" i="26"/>
  <c r="BI138" i="26"/>
  <c r="BJ138" i="26" s="1"/>
  <c r="BT137" i="26"/>
  <c r="BP137" i="26"/>
  <c r="BU137" i="26"/>
  <c r="BH137" i="26"/>
  <c r="BO137" i="26"/>
  <c r="BR137" i="26"/>
  <c r="BL138" i="26" l="1"/>
  <c r="BW138" i="26"/>
  <c r="BV138" i="26"/>
  <c r="BK138" i="26"/>
  <c r="BM138" i="26" s="1"/>
  <c r="BS138" i="26" l="1"/>
  <c r="BY138" i="26"/>
  <c r="BQ138" i="26"/>
  <c r="BO138" i="26"/>
  <c r="BN138" i="26"/>
  <c r="BU138" i="26"/>
  <c r="BI139" i="26"/>
  <c r="BJ139" i="26" s="1"/>
  <c r="BR138" i="26"/>
  <c r="BP138" i="26"/>
  <c r="BT138" i="26"/>
  <c r="BH138" i="26"/>
  <c r="BX138" i="26"/>
  <c r="BV139" i="26" l="1"/>
  <c r="BK139" i="26"/>
  <c r="BM139" i="26" s="1"/>
  <c r="BH139" i="26"/>
  <c r="BW139" i="26"/>
  <c r="BL139" i="26"/>
  <c r="BX139" i="26" l="1"/>
  <c r="BI140" i="26"/>
  <c r="BJ140" i="26" s="1"/>
  <c r="BT139" i="26"/>
  <c r="BU139" i="26"/>
  <c r="BO139" i="26"/>
  <c r="BP139" i="26"/>
  <c r="BQ139" i="26"/>
  <c r="BS139" i="26"/>
  <c r="BY139" i="26"/>
  <c r="BN139" i="26"/>
  <c r="BR139" i="26"/>
  <c r="BL140" i="26" l="1"/>
  <c r="BW140" i="26"/>
  <c r="BV140" i="26"/>
  <c r="BK140" i="26"/>
  <c r="BM140" i="26" s="1"/>
  <c r="BN140" i="26" l="1"/>
  <c r="BI141" i="26"/>
  <c r="BJ141" i="26" s="1"/>
  <c r="BQ140" i="26"/>
  <c r="BO140" i="26"/>
  <c r="BU140" i="26"/>
  <c r="BS140" i="26"/>
  <c r="BP140" i="26"/>
  <c r="BR140" i="26"/>
  <c r="BY140" i="26"/>
  <c r="BT140" i="26"/>
  <c r="BH140" i="26"/>
  <c r="BX140" i="26"/>
  <c r="BV141" i="26" l="1"/>
  <c r="BW141" i="26"/>
  <c r="BL141" i="26"/>
  <c r="BN141" i="26" s="1"/>
  <c r="BK141" i="26"/>
  <c r="BY141" i="26" s="1"/>
  <c r="BH141" i="26"/>
  <c r="BX141" i="26" l="1"/>
  <c r="BP141" i="26"/>
  <c r="BM141" i="26"/>
  <c r="BT141" i="26"/>
  <c r="BU141" i="26"/>
  <c r="BQ141" i="26"/>
  <c r="BO141" i="26"/>
  <c r="BS141" i="26"/>
  <c r="BI142" i="26"/>
  <c r="BJ142" i="26" s="1"/>
  <c r="BR141" i="26"/>
  <c r="BL142" i="26" l="1"/>
  <c r="BW142" i="26"/>
  <c r="BV142" i="26"/>
  <c r="BK142" i="26"/>
  <c r="BM142" i="26" s="1"/>
  <c r="BR142" i="26" l="1"/>
  <c r="BI143" i="26"/>
  <c r="BJ143" i="26" s="1"/>
  <c r="BP142" i="26"/>
  <c r="BY142" i="26"/>
  <c r="BQ142" i="26"/>
  <c r="BO142" i="26"/>
  <c r="BN142" i="26"/>
  <c r="BU142" i="26"/>
  <c r="BT142" i="26"/>
  <c r="BS142" i="26"/>
  <c r="BH142" i="26"/>
  <c r="BX142" i="26"/>
  <c r="BV143" i="26" l="1"/>
  <c r="BW143" i="26"/>
  <c r="BL143" i="26"/>
  <c r="BN143" i="26" s="1"/>
  <c r="BK143" i="26"/>
  <c r="BM143" i="26" s="1"/>
  <c r="BX143" i="26" l="1"/>
  <c r="BQ143" i="26"/>
  <c r="BS143" i="26"/>
  <c r="BO143" i="26"/>
  <c r="BP143" i="26"/>
  <c r="BT143" i="26"/>
  <c r="BU143" i="26"/>
  <c r="BH143" i="26"/>
  <c r="BY143" i="26"/>
  <c r="BI144" i="26"/>
  <c r="BJ144" i="26" s="1"/>
  <c r="BR143" i="26"/>
  <c r="BL144" i="26" l="1"/>
  <c r="BV144" i="26"/>
  <c r="BK144" i="26"/>
  <c r="BS144" i="26" s="1"/>
  <c r="BW144" i="26"/>
  <c r="BM144" i="26" l="1"/>
  <c r="BI145" i="26"/>
  <c r="BJ145" i="26" s="1"/>
  <c r="BR144" i="26"/>
  <c r="BY144" i="26"/>
  <c r="BQ144" i="26"/>
  <c r="BP144" i="26"/>
  <c r="BT144" i="26"/>
  <c r="BO144" i="26"/>
  <c r="BN144" i="26"/>
  <c r="BU144" i="26"/>
  <c r="BH144" i="26"/>
  <c r="BX144" i="26"/>
  <c r="BV145" i="26" l="1"/>
  <c r="BW145" i="26"/>
  <c r="BL145" i="26"/>
  <c r="BN145" i="26" s="1"/>
  <c r="BK145" i="26"/>
  <c r="BM145" i="26" s="1"/>
  <c r="BQ145" i="26" l="1"/>
  <c r="BS145" i="26"/>
  <c r="BY145" i="26"/>
  <c r="BX145" i="26"/>
  <c r="BI146" i="26"/>
  <c r="BJ146" i="26" s="1"/>
  <c r="BT145" i="26"/>
  <c r="BP145" i="26"/>
  <c r="BU145" i="26"/>
  <c r="BH145" i="26"/>
  <c r="BO145" i="26"/>
  <c r="BR145" i="26"/>
  <c r="BL146" i="26" l="1"/>
  <c r="BW146" i="26"/>
  <c r="BV146" i="26"/>
  <c r="BK146" i="26"/>
  <c r="BR146" i="26" s="1"/>
  <c r="BS146" i="26" l="1"/>
  <c r="BY146" i="26"/>
  <c r="BQ146" i="26"/>
  <c r="BO146" i="26"/>
  <c r="BN146" i="26"/>
  <c r="BU146" i="26"/>
  <c r="BM146" i="26"/>
  <c r="BI147" i="26"/>
  <c r="BJ147" i="26" s="1"/>
  <c r="BP146" i="26"/>
  <c r="BT146" i="26"/>
  <c r="BH146" i="26"/>
  <c r="BX146" i="26"/>
  <c r="BV147" i="26" l="1"/>
  <c r="BK147" i="26"/>
  <c r="BM147" i="26" s="1"/>
  <c r="BW147" i="26"/>
  <c r="BL147" i="26"/>
  <c r="BI148" i="26" l="1"/>
  <c r="BJ148" i="26" s="1"/>
  <c r="BT147" i="26"/>
  <c r="BU147" i="26"/>
  <c r="BX147" i="26"/>
  <c r="BH147" i="26"/>
  <c r="BO147" i="26"/>
  <c r="BP147" i="26"/>
  <c r="BQ147" i="26"/>
  <c r="BS147" i="26"/>
  <c r="BY147" i="26"/>
  <c r="BN147" i="26"/>
  <c r="BR147" i="26"/>
  <c r="BL148" i="26" l="1"/>
  <c r="BW148" i="26"/>
  <c r="BV148" i="26"/>
  <c r="BK148" i="26"/>
  <c r="BM148" i="26" s="1"/>
  <c r="BI149" i="26" l="1"/>
  <c r="BJ149" i="26" s="1"/>
  <c r="BQ148" i="26"/>
  <c r="BO148" i="26"/>
  <c r="BN148" i="26"/>
  <c r="BU148" i="26"/>
  <c r="BS148" i="26"/>
  <c r="BP148" i="26"/>
  <c r="BR148" i="26"/>
  <c r="BY148" i="26"/>
  <c r="BT148" i="26"/>
  <c r="BH148" i="26"/>
  <c r="BX148" i="26"/>
  <c r="BV149" i="26" l="1"/>
  <c r="BW149" i="26"/>
  <c r="BL149" i="26"/>
  <c r="BN149" i="26" s="1"/>
  <c r="BK149" i="26"/>
  <c r="BY149" i="26" s="1"/>
  <c r="BH149" i="26"/>
  <c r="BX149" i="26" l="1"/>
  <c r="BP149" i="26"/>
  <c r="BM149" i="26"/>
  <c r="BT149" i="26"/>
  <c r="BU149" i="26"/>
  <c r="BQ149" i="26"/>
  <c r="BO149" i="26"/>
  <c r="BS149" i="26"/>
  <c r="BI150" i="26"/>
  <c r="BJ150" i="26" s="1"/>
  <c r="BR149" i="26"/>
  <c r="BL150" i="26" l="1"/>
  <c r="BW150" i="26"/>
  <c r="BV150" i="26"/>
  <c r="BK150" i="26"/>
  <c r="BM150" i="26" s="1"/>
  <c r="BR150" i="26" l="1"/>
  <c r="BY150" i="26"/>
  <c r="BI151" i="26"/>
  <c r="BJ151" i="26" s="1"/>
  <c r="BQ150" i="26"/>
  <c r="BP150" i="26"/>
  <c r="BO150" i="26"/>
  <c r="BN150" i="26"/>
  <c r="BT150" i="26"/>
  <c r="BU150" i="26"/>
  <c r="BS150" i="26"/>
  <c r="BH150" i="26"/>
  <c r="BX150" i="26"/>
  <c r="BV151" i="26" l="1"/>
  <c r="BW151" i="26"/>
  <c r="BL151" i="26"/>
  <c r="BN151" i="26" s="1"/>
  <c r="BK151" i="26"/>
  <c r="BM151" i="26" s="1"/>
  <c r="BX151" i="26" l="1"/>
  <c r="BQ151" i="26"/>
  <c r="BS151" i="26"/>
  <c r="BO151" i="26"/>
  <c r="BP151" i="26"/>
  <c r="BT151" i="26"/>
  <c r="BU151" i="26"/>
  <c r="BH151" i="26"/>
  <c r="BY151" i="26"/>
  <c r="BI152" i="26"/>
  <c r="BJ152" i="26" s="1"/>
  <c r="BR151" i="26"/>
  <c r="BL152" i="26" l="1"/>
  <c r="BV152" i="26"/>
  <c r="BK152" i="26"/>
  <c r="BS152" i="26" s="1"/>
  <c r="BW152" i="26"/>
  <c r="BM152" i="26" l="1"/>
  <c r="BI153" i="26"/>
  <c r="BJ153" i="26" s="1"/>
  <c r="BR152" i="26"/>
  <c r="BY152" i="26"/>
  <c r="BQ152" i="26"/>
  <c r="BP152" i="26"/>
  <c r="BT152" i="26"/>
  <c r="BO152" i="26"/>
  <c r="BN152" i="26"/>
  <c r="BU152" i="26"/>
  <c r="BH152" i="26"/>
  <c r="BX152" i="26"/>
  <c r="BV153" i="26" l="1"/>
  <c r="BW153" i="26"/>
  <c r="BL153" i="26"/>
  <c r="BN153" i="26" s="1"/>
  <c r="BK153" i="26"/>
  <c r="BM153" i="26" s="1"/>
  <c r="BQ153" i="26" l="1"/>
  <c r="BS153" i="26"/>
  <c r="BY153" i="26"/>
  <c r="BX153" i="26"/>
  <c r="BI154" i="26"/>
  <c r="BJ154" i="26" s="1"/>
  <c r="BT153" i="26"/>
  <c r="BP153" i="26"/>
  <c r="BU153" i="26"/>
  <c r="BH153" i="26"/>
  <c r="BO153" i="26"/>
  <c r="BR153" i="26"/>
  <c r="BL154" i="26" l="1"/>
  <c r="BW154" i="26"/>
  <c r="BV154" i="26"/>
  <c r="BK154" i="26"/>
  <c r="BM154" i="26" s="1"/>
  <c r="BS154" i="26" l="1"/>
  <c r="BY154" i="26"/>
  <c r="BQ154" i="26"/>
  <c r="BO154" i="26"/>
  <c r="BN154" i="26"/>
  <c r="BU154" i="26"/>
  <c r="BI155" i="26"/>
  <c r="BJ155" i="26" s="1"/>
  <c r="BR154" i="26"/>
  <c r="BP154" i="26"/>
  <c r="BT154" i="26"/>
  <c r="BH154" i="26"/>
  <c r="BX154" i="26"/>
  <c r="BV155" i="26" l="1"/>
  <c r="BK155" i="26"/>
  <c r="BX155" i="26" s="1"/>
  <c r="BW155" i="26"/>
  <c r="BL155" i="26"/>
  <c r="BI156" i="26" l="1"/>
  <c r="BJ156" i="26" s="1"/>
  <c r="BM155" i="26"/>
  <c r="BT155" i="26"/>
  <c r="BU155" i="26"/>
  <c r="BH155" i="26"/>
  <c r="BO155" i="26"/>
  <c r="BP155" i="26"/>
  <c r="BQ155" i="26"/>
  <c r="BS155" i="26"/>
  <c r="BY155" i="26"/>
  <c r="BN155" i="26"/>
  <c r="BR155" i="26"/>
  <c r="BL156" i="26" l="1"/>
  <c r="BW156" i="26"/>
  <c r="BV156" i="26"/>
  <c r="BK156" i="26"/>
  <c r="BS156" i="26" s="1"/>
  <c r="BN156" i="26" l="1"/>
  <c r="BI157" i="26"/>
  <c r="BJ157" i="26" s="1"/>
  <c r="BQ156" i="26"/>
  <c r="BO156" i="26"/>
  <c r="BU156" i="26"/>
  <c r="BM156" i="26"/>
  <c r="BP156" i="26"/>
  <c r="BR156" i="26"/>
  <c r="BY156" i="26"/>
  <c r="BT156" i="26"/>
  <c r="BH156" i="26"/>
  <c r="BX156" i="26"/>
  <c r="BV157" i="26" l="1"/>
  <c r="BW157" i="26"/>
  <c r="BL157" i="26"/>
  <c r="BN157" i="26" s="1"/>
  <c r="BK157" i="26"/>
  <c r="BY157" i="26" s="1"/>
  <c r="BH157" i="26"/>
  <c r="BX157" i="26" l="1"/>
  <c r="BP157" i="26"/>
  <c r="BM157" i="26"/>
  <c r="BT157" i="26"/>
  <c r="BU157" i="26"/>
  <c r="BQ157" i="26"/>
  <c r="BO157" i="26"/>
  <c r="BS157" i="26"/>
  <c r="BI158" i="26"/>
  <c r="BJ158" i="26" s="1"/>
  <c r="BR157" i="26"/>
  <c r="BL158" i="26" l="1"/>
  <c r="BW158" i="26"/>
  <c r="BV158" i="26"/>
  <c r="BK158" i="26"/>
  <c r="BM158" i="26" s="1"/>
  <c r="BI159" i="26" l="1"/>
  <c r="BJ159" i="26" s="1"/>
  <c r="BP158" i="26"/>
  <c r="BR158" i="26"/>
  <c r="BY158" i="26"/>
  <c r="BQ158" i="26"/>
  <c r="BO158" i="26"/>
  <c r="BN158" i="26"/>
  <c r="BU158" i="26"/>
  <c r="BT158" i="26"/>
  <c r="BS158" i="26"/>
  <c r="BH158" i="26"/>
  <c r="BX158" i="26"/>
  <c r="BV159" i="26" l="1"/>
  <c r="BW159" i="26"/>
  <c r="BL159" i="26"/>
  <c r="BN159" i="26" s="1"/>
  <c r="BK159" i="26"/>
  <c r="BM159" i="26" s="1"/>
  <c r="BX159" i="26" l="1"/>
  <c r="BQ159" i="26"/>
  <c r="BS159" i="26"/>
  <c r="BO159" i="26"/>
  <c r="BP159" i="26"/>
  <c r="BT159" i="26"/>
  <c r="BU159" i="26"/>
  <c r="BH159" i="26"/>
  <c r="BY159" i="26"/>
  <c r="BI160" i="26"/>
  <c r="BJ160" i="26" s="1"/>
  <c r="BR159" i="26"/>
  <c r="BL160" i="26" l="1"/>
  <c r="BV160" i="26"/>
  <c r="BK160" i="26"/>
  <c r="BS160" i="26" s="1"/>
  <c r="BW160" i="26"/>
  <c r="BM160" i="26" l="1"/>
  <c r="BI161" i="26"/>
  <c r="BJ161" i="26" s="1"/>
  <c r="BR160" i="26"/>
  <c r="BY160" i="26"/>
  <c r="BQ160" i="26"/>
  <c r="BP160" i="26"/>
  <c r="BT160" i="26"/>
  <c r="BO160" i="26"/>
  <c r="BN160" i="26"/>
  <c r="BU160" i="26"/>
  <c r="BH160" i="26"/>
  <c r="BX160" i="26"/>
  <c r="BV161" i="26" l="1"/>
  <c r="BW161" i="26"/>
  <c r="BL161" i="26"/>
  <c r="BN161" i="26" s="1"/>
  <c r="BK161" i="26"/>
  <c r="BM161" i="26" s="1"/>
  <c r="BQ161" i="26" l="1"/>
  <c r="BS161" i="26"/>
  <c r="BY161" i="26"/>
  <c r="BX161" i="26"/>
  <c r="BI162" i="26"/>
  <c r="BJ162" i="26" s="1"/>
  <c r="BT161" i="26"/>
  <c r="BP161" i="26"/>
  <c r="BU161" i="26"/>
  <c r="BH161" i="26"/>
  <c r="BO161" i="26"/>
  <c r="BR161" i="26"/>
  <c r="BL162" i="26" l="1"/>
  <c r="BW162" i="26"/>
  <c r="BV162" i="26"/>
  <c r="BK162" i="26"/>
  <c r="BM162" i="26" s="1"/>
  <c r="BS162" i="26" l="1"/>
  <c r="BY162" i="26"/>
  <c r="BQ162" i="26"/>
  <c r="BO162" i="26"/>
  <c r="BN162" i="26"/>
  <c r="BU162" i="26"/>
  <c r="BI163" i="26"/>
  <c r="BJ163" i="26" s="1"/>
  <c r="BR162" i="26"/>
  <c r="BP162" i="26"/>
  <c r="BT162" i="26"/>
  <c r="BH162" i="26"/>
  <c r="BX162" i="26"/>
  <c r="BV163" i="26" l="1"/>
  <c r="BK163" i="26"/>
  <c r="BM163" i="26" s="1"/>
  <c r="BW163" i="26"/>
  <c r="BL163" i="26"/>
  <c r="BU163" i="26" s="1"/>
  <c r="BX163" i="26" l="1"/>
  <c r="BH163" i="26"/>
  <c r="BO163" i="26"/>
  <c r="BP163" i="26"/>
  <c r="BT163" i="26"/>
  <c r="BI164" i="26"/>
  <c r="BJ164" i="26" s="1"/>
  <c r="BQ163" i="26"/>
  <c r="BS163" i="26"/>
  <c r="BY163" i="26"/>
  <c r="BN163" i="26"/>
  <c r="BR163" i="26"/>
  <c r="BL164" i="26" l="1"/>
  <c r="BW164" i="26"/>
  <c r="BV164" i="26"/>
  <c r="BK164" i="26"/>
  <c r="BM164" i="26" s="1"/>
  <c r="BQ164" i="26" l="1"/>
  <c r="BO164" i="26"/>
  <c r="BN164" i="26"/>
  <c r="BI165" i="26"/>
  <c r="BJ165" i="26" s="1"/>
  <c r="BU164" i="26"/>
  <c r="BS164" i="26"/>
  <c r="BP164" i="26"/>
  <c r="BR164" i="26"/>
  <c r="BY164" i="26"/>
  <c r="BT164" i="26"/>
  <c r="BH164" i="26"/>
  <c r="BX164" i="26"/>
  <c r="BV165" i="26" l="1"/>
  <c r="BW165" i="26"/>
  <c r="BL165" i="26"/>
  <c r="BN165" i="26" s="1"/>
  <c r="BK165" i="26"/>
  <c r="BY165" i="26" s="1"/>
  <c r="BH165" i="26"/>
  <c r="BX165" i="26" l="1"/>
  <c r="BP165" i="26"/>
  <c r="BM165" i="26"/>
  <c r="BT165" i="26"/>
  <c r="BU165" i="26"/>
  <c r="BQ165" i="26"/>
  <c r="BO165" i="26"/>
  <c r="BS165" i="26"/>
  <c r="BI166" i="26"/>
  <c r="BJ166" i="26" s="1"/>
  <c r="BR165" i="26"/>
  <c r="BL166" i="26" l="1"/>
  <c r="BW166" i="26"/>
  <c r="BV166" i="26"/>
  <c r="BK166" i="26"/>
  <c r="BM166" i="26" s="1"/>
  <c r="BI167" i="26" l="1"/>
  <c r="BJ167" i="26" s="1"/>
  <c r="BP166" i="26"/>
  <c r="BR166" i="26"/>
  <c r="BY166" i="26"/>
  <c r="BQ166" i="26"/>
  <c r="BO166" i="26"/>
  <c r="BN166" i="26"/>
  <c r="BU166" i="26"/>
  <c r="BT166" i="26"/>
  <c r="BS166" i="26"/>
  <c r="BH166" i="26"/>
  <c r="BX166" i="26"/>
  <c r="BV167" i="26" l="1"/>
  <c r="BW167" i="26"/>
  <c r="BL167" i="26"/>
  <c r="BN167" i="26" s="1"/>
  <c r="BK167" i="26"/>
  <c r="BM167" i="26" s="1"/>
  <c r="BX167" i="26" l="1"/>
  <c r="BQ167" i="26"/>
  <c r="BS167" i="26"/>
  <c r="BO167" i="26"/>
  <c r="BP167" i="26"/>
  <c r="BT167" i="26"/>
  <c r="BU167" i="26"/>
  <c r="BH167" i="26"/>
  <c r="BY167" i="26"/>
  <c r="BI168" i="26"/>
  <c r="BJ168" i="26" s="1"/>
  <c r="BR167" i="26"/>
  <c r="BL168" i="26" l="1"/>
  <c r="BV168" i="26"/>
  <c r="BK168" i="26"/>
  <c r="BS168" i="26" s="1"/>
  <c r="BW168" i="26"/>
  <c r="BM168" i="26" l="1"/>
  <c r="BI169" i="26"/>
  <c r="BJ169" i="26" s="1"/>
  <c r="BR168" i="26"/>
  <c r="BY168" i="26"/>
  <c r="BQ168" i="26"/>
  <c r="BP168" i="26"/>
  <c r="BT168" i="26"/>
  <c r="BO168" i="26"/>
  <c r="BN168" i="26"/>
  <c r="BU168" i="26"/>
  <c r="BH168" i="26"/>
  <c r="BX168" i="26"/>
  <c r="BV169" i="26" l="1"/>
  <c r="BW169" i="26"/>
  <c r="BL169" i="26"/>
  <c r="BN169" i="26" s="1"/>
  <c r="BK169" i="26"/>
  <c r="BM169" i="26" s="1"/>
  <c r="BQ169" i="26" l="1"/>
  <c r="BS169" i="26"/>
  <c r="BY169" i="26"/>
  <c r="BX169" i="26"/>
  <c r="BI170" i="26"/>
  <c r="BJ170" i="26" s="1"/>
  <c r="BT169" i="26"/>
  <c r="BP169" i="26"/>
  <c r="BU169" i="26"/>
  <c r="BH169" i="26"/>
  <c r="BO169" i="26"/>
  <c r="BR169" i="26"/>
  <c r="BL170" i="26" l="1"/>
  <c r="BW170" i="26"/>
  <c r="BV170" i="26"/>
  <c r="BK170" i="26"/>
  <c r="BM170" i="26" s="1"/>
  <c r="BS170" i="26" l="1"/>
  <c r="BY170" i="26"/>
  <c r="BQ170" i="26"/>
  <c r="BO170" i="26"/>
  <c r="BN170" i="26"/>
  <c r="BU170" i="26"/>
  <c r="BI171" i="26"/>
  <c r="BJ171" i="26" s="1"/>
  <c r="BR170" i="26"/>
  <c r="BP170" i="26"/>
  <c r="BT170" i="26"/>
  <c r="BH170" i="26"/>
  <c r="BX170" i="26"/>
  <c r="BV171" i="26" l="1"/>
  <c r="BK171" i="26"/>
  <c r="BX171" i="26" s="1"/>
  <c r="BW171" i="26"/>
  <c r="BL171" i="26"/>
  <c r="BI172" i="26" l="1"/>
  <c r="BJ172" i="26" s="1"/>
  <c r="BM171" i="26"/>
  <c r="BT171" i="26"/>
  <c r="BU171" i="26"/>
  <c r="BH171" i="26"/>
  <c r="BO171" i="26"/>
  <c r="BP171" i="26"/>
  <c r="BQ171" i="26"/>
  <c r="BS171" i="26"/>
  <c r="BY171" i="26"/>
  <c r="BN171" i="26"/>
  <c r="BR171" i="26"/>
  <c r="BL172" i="26" l="1"/>
  <c r="BW172" i="26"/>
  <c r="BV172" i="26"/>
  <c r="BK172" i="26"/>
  <c r="BM172" i="26" s="1"/>
  <c r="BQ172" i="26" l="1"/>
  <c r="BO172" i="26"/>
  <c r="BN172" i="26"/>
  <c r="BI173" i="26"/>
  <c r="BJ173" i="26" s="1"/>
  <c r="BU172" i="26"/>
  <c r="BS172" i="26"/>
  <c r="BP172" i="26"/>
  <c r="BR172" i="26"/>
  <c r="BY172" i="26"/>
  <c r="BT172" i="26"/>
  <c r="BH172" i="26"/>
  <c r="BX172" i="26"/>
  <c r="BV173" i="26" l="1"/>
  <c r="BW173" i="26"/>
  <c r="BL173" i="26"/>
  <c r="BN173" i="26" s="1"/>
  <c r="BK173" i="26"/>
  <c r="BY173" i="26" s="1"/>
  <c r="BH173" i="26"/>
  <c r="BX173" i="26" l="1"/>
  <c r="BP173" i="26"/>
  <c r="BM173" i="26"/>
  <c r="BT173" i="26"/>
  <c r="BU173" i="26"/>
  <c r="BQ173" i="26"/>
  <c r="BO173" i="26"/>
  <c r="BS173" i="26"/>
  <c r="BI174" i="26"/>
  <c r="BJ174" i="26" s="1"/>
  <c r="BR173" i="26"/>
  <c r="BL174" i="26" l="1"/>
  <c r="BW174" i="26"/>
  <c r="BV174" i="26"/>
  <c r="BK174" i="26"/>
  <c r="BM174" i="26" s="1"/>
  <c r="BR174" i="26" l="1"/>
  <c r="BI175" i="26"/>
  <c r="BJ175" i="26" s="1"/>
  <c r="BY174" i="26"/>
  <c r="BQ174" i="26"/>
  <c r="BP174" i="26"/>
  <c r="BO174" i="26"/>
  <c r="BN174" i="26"/>
  <c r="BU174" i="26"/>
  <c r="BT174" i="26"/>
  <c r="BS174" i="26"/>
  <c r="BH174" i="26"/>
  <c r="BX174" i="26"/>
  <c r="BV175" i="26" l="1"/>
  <c r="BW175" i="26"/>
  <c r="BL175" i="26"/>
  <c r="BN175" i="26" s="1"/>
  <c r="BK175" i="26"/>
  <c r="BM175" i="26" s="1"/>
  <c r="BX175" i="26" l="1"/>
  <c r="BQ175" i="26"/>
  <c r="BS175" i="26"/>
  <c r="BO175" i="26"/>
  <c r="BP175" i="26"/>
  <c r="BT175" i="26"/>
  <c r="BU175" i="26"/>
  <c r="BH175" i="26"/>
  <c r="BY175" i="26"/>
  <c r="BI176" i="26"/>
  <c r="BJ176" i="26" s="1"/>
  <c r="BR175" i="26"/>
  <c r="BL176" i="26" l="1"/>
  <c r="BV176" i="26"/>
  <c r="BK176" i="26"/>
  <c r="BS176" i="26" s="1"/>
  <c r="BW176" i="26"/>
  <c r="BM176" i="26" l="1"/>
  <c r="BI177" i="26"/>
  <c r="BJ177" i="26" s="1"/>
  <c r="BR176" i="26"/>
  <c r="BY176" i="26"/>
  <c r="BQ176" i="26"/>
  <c r="BP176" i="26"/>
  <c r="BO176" i="26"/>
  <c r="BT176" i="26"/>
  <c r="BN176" i="26"/>
  <c r="BU176" i="26"/>
  <c r="BH176" i="26"/>
  <c r="BX176" i="26"/>
  <c r="BV177" i="26" l="1"/>
  <c r="BW177" i="26"/>
  <c r="BL177" i="26"/>
  <c r="BY177" i="26" s="1"/>
  <c r="BK177" i="26"/>
  <c r="BM177" i="26" s="1"/>
  <c r="BQ177" i="26" l="1"/>
  <c r="BS177" i="26"/>
  <c r="BI178" i="26"/>
  <c r="BJ178" i="26" s="1"/>
  <c r="BT177" i="26"/>
  <c r="BP177" i="26"/>
  <c r="BX177" i="26"/>
  <c r="BN177" i="26"/>
  <c r="BU177" i="26"/>
  <c r="BH177" i="26"/>
  <c r="BO177" i="26"/>
  <c r="BR177" i="26"/>
  <c r="BL178" i="26" l="1"/>
  <c r="BW178" i="26"/>
  <c r="BV178" i="26"/>
  <c r="BK178" i="26"/>
  <c r="BM178" i="26" s="1"/>
  <c r="BS178" i="26" l="1"/>
  <c r="BY178" i="26"/>
  <c r="BQ178" i="26"/>
  <c r="BO178" i="26"/>
  <c r="BN178" i="26"/>
  <c r="BU178" i="26"/>
  <c r="BI179" i="26"/>
  <c r="BJ179" i="26" s="1"/>
  <c r="BR178" i="26"/>
  <c r="BP178" i="26"/>
  <c r="BT178" i="26"/>
  <c r="BH178" i="26"/>
  <c r="BX178" i="26"/>
  <c r="BV179" i="26" l="1"/>
  <c r="BK179" i="26"/>
  <c r="BM179" i="26" s="1"/>
  <c r="BH179" i="26"/>
  <c r="BW179" i="26"/>
  <c r="BL179" i="26"/>
  <c r="BX179" i="26" l="1"/>
  <c r="BI180" i="26"/>
  <c r="BJ180" i="26" s="1"/>
  <c r="BT179" i="26"/>
  <c r="BU179" i="26"/>
  <c r="BO179" i="26"/>
  <c r="BP179" i="26"/>
  <c r="BQ179" i="26"/>
  <c r="BS179" i="26"/>
  <c r="BY179" i="26"/>
  <c r="BN179" i="26"/>
  <c r="BR179" i="26"/>
  <c r="BL180" i="26" l="1"/>
  <c r="BW180" i="26"/>
  <c r="BV180" i="26"/>
  <c r="BK180" i="26"/>
  <c r="BS180" i="26" s="1"/>
  <c r="BN180" i="26" l="1"/>
  <c r="BI181" i="26"/>
  <c r="BJ181" i="26" s="1"/>
  <c r="BQ180" i="26"/>
  <c r="BO180" i="26"/>
  <c r="BU180" i="26"/>
  <c r="BM180" i="26"/>
  <c r="BP180" i="26"/>
  <c r="BR180" i="26"/>
  <c r="BY180" i="26"/>
  <c r="BT180" i="26"/>
  <c r="BH180" i="26"/>
  <c r="BX180" i="26"/>
  <c r="BV181" i="26" l="1"/>
  <c r="BW181" i="26"/>
  <c r="BL181" i="26"/>
  <c r="BN181" i="26" s="1"/>
  <c r="BK181" i="26"/>
  <c r="BY181" i="26" s="1"/>
  <c r="BH181" i="26"/>
  <c r="BX181" i="26" l="1"/>
  <c r="BP181" i="26"/>
  <c r="BM181" i="26"/>
  <c r="BT181" i="26"/>
  <c r="BU181" i="26"/>
  <c r="BQ181" i="26"/>
  <c r="BO181" i="26"/>
  <c r="BS181" i="26"/>
  <c r="BI182" i="26"/>
  <c r="BJ182" i="26" s="1"/>
  <c r="BR181" i="26"/>
  <c r="BL182" i="26" l="1"/>
  <c r="BW182" i="26"/>
  <c r="BV182" i="26"/>
  <c r="BK182" i="26"/>
  <c r="BM182" i="26" s="1"/>
  <c r="BR182" i="26" l="1"/>
  <c r="BY182" i="26"/>
  <c r="BI183" i="26"/>
  <c r="BJ183" i="26" s="1"/>
  <c r="BQ182" i="26"/>
  <c r="BO182" i="26"/>
  <c r="BP182" i="26"/>
  <c r="BN182" i="26"/>
  <c r="BU182" i="26"/>
  <c r="BT182" i="26"/>
  <c r="BS182" i="26"/>
  <c r="BH182" i="26"/>
  <c r="BX182" i="26"/>
  <c r="BV183" i="26" l="1"/>
  <c r="BW183" i="26"/>
  <c r="BL183" i="26"/>
  <c r="BN183" i="26" s="1"/>
  <c r="BK183" i="26"/>
  <c r="BM183" i="26" s="1"/>
  <c r="BX183" i="26" l="1"/>
  <c r="BQ183" i="26"/>
  <c r="BS183" i="26"/>
  <c r="BO183" i="26"/>
  <c r="BP183" i="26"/>
  <c r="BT183" i="26"/>
  <c r="BU183" i="26"/>
  <c r="BH183" i="26"/>
  <c r="BY183" i="26"/>
  <c r="BI184" i="26"/>
  <c r="BJ184" i="26" s="1"/>
  <c r="BR183" i="26"/>
  <c r="BL184" i="26" l="1"/>
  <c r="BV184" i="26"/>
  <c r="BK184" i="26"/>
  <c r="BS184" i="26" s="1"/>
  <c r="BW184" i="26"/>
  <c r="BM184" i="26" l="1"/>
  <c r="BI185" i="26"/>
  <c r="BJ185" i="26" s="1"/>
  <c r="BR184" i="26"/>
  <c r="BY184" i="26"/>
  <c r="BQ184" i="26"/>
  <c r="BP184" i="26"/>
  <c r="BT184" i="26"/>
  <c r="BO184" i="26"/>
  <c r="BN184" i="26"/>
  <c r="BU184" i="26"/>
  <c r="BH184" i="26"/>
  <c r="BX184" i="26"/>
  <c r="BV185" i="26" l="1"/>
  <c r="BW185" i="26"/>
  <c r="BL185" i="26"/>
  <c r="BN185" i="26" s="1"/>
  <c r="BK185" i="26"/>
  <c r="BM185" i="26" s="1"/>
  <c r="BQ185" i="26" l="1"/>
  <c r="BS185" i="26"/>
  <c r="BY185" i="26"/>
  <c r="BX185" i="26"/>
  <c r="BI186" i="26"/>
  <c r="BJ186" i="26" s="1"/>
  <c r="BT185" i="26"/>
  <c r="BP185" i="26"/>
  <c r="BU185" i="26"/>
  <c r="BH185" i="26"/>
  <c r="BO185" i="26"/>
  <c r="BR185" i="26"/>
  <c r="BL186" i="26" l="1"/>
  <c r="BW186" i="26"/>
  <c r="BV186" i="26"/>
  <c r="BK186" i="26"/>
  <c r="BM186" i="26" s="1"/>
  <c r="BS186" i="26" l="1"/>
  <c r="BY186" i="26"/>
  <c r="BQ186" i="26"/>
  <c r="BO186" i="26"/>
  <c r="BN186" i="26"/>
  <c r="BU186" i="26"/>
  <c r="BI187" i="26"/>
  <c r="BJ187" i="26" s="1"/>
  <c r="BR186" i="26"/>
  <c r="BP186" i="26"/>
  <c r="BT186" i="26"/>
  <c r="BH186" i="26"/>
  <c r="BX186" i="26"/>
  <c r="BV187" i="26" l="1"/>
  <c r="BK187" i="26"/>
  <c r="BX187" i="26" s="1"/>
  <c r="BW187" i="26"/>
  <c r="BL187" i="26"/>
  <c r="BI188" i="26" l="1"/>
  <c r="BJ188" i="26" s="1"/>
  <c r="BM187" i="26"/>
  <c r="BT187" i="26"/>
  <c r="BU187" i="26"/>
  <c r="BH187" i="26"/>
  <c r="BO187" i="26"/>
  <c r="BP187" i="26"/>
  <c r="BQ187" i="26"/>
  <c r="BS187" i="26"/>
  <c r="BY187" i="26"/>
  <c r="BN187" i="26"/>
  <c r="BR187" i="26"/>
  <c r="BL188" i="26" l="1"/>
  <c r="BW188" i="26"/>
  <c r="BV188" i="26"/>
  <c r="BK188" i="26"/>
  <c r="BM188" i="26" s="1"/>
  <c r="BQ188" i="26" l="1"/>
  <c r="BO188" i="26"/>
  <c r="BN188" i="26"/>
  <c r="BI189" i="26"/>
  <c r="BJ189" i="26" s="1"/>
  <c r="BU188" i="26"/>
  <c r="BS188" i="26"/>
  <c r="BP188" i="26"/>
  <c r="BR188" i="26"/>
  <c r="BY188" i="26"/>
  <c r="BT188" i="26"/>
  <c r="BH188" i="26"/>
  <c r="BX188" i="26"/>
  <c r="BV189" i="26" l="1"/>
  <c r="BW189" i="26"/>
  <c r="BL189" i="26"/>
  <c r="BN189" i="26" s="1"/>
  <c r="BK189" i="26"/>
  <c r="BY189" i="26" s="1"/>
  <c r="BH189" i="26"/>
  <c r="BX189" i="26" l="1"/>
  <c r="BO189" i="26"/>
  <c r="BP189" i="26"/>
  <c r="BM189" i="26"/>
  <c r="BT189" i="26"/>
  <c r="BU189" i="26"/>
  <c r="BQ189" i="26"/>
  <c r="BS189" i="26"/>
  <c r="BI190" i="26"/>
  <c r="BJ190" i="26" s="1"/>
  <c r="BR189" i="26"/>
  <c r="BL190" i="26" l="1"/>
  <c r="BW190" i="26"/>
  <c r="BV190" i="26"/>
  <c r="BK190" i="26"/>
  <c r="BM190" i="26" s="1"/>
  <c r="BI191" i="26" l="1"/>
  <c r="BJ191" i="26" s="1"/>
  <c r="BP190" i="26"/>
  <c r="BR190" i="26"/>
  <c r="BY190" i="26"/>
  <c r="BQ190" i="26"/>
  <c r="BO190" i="26"/>
  <c r="BN190" i="26"/>
  <c r="BU190" i="26"/>
  <c r="BT190" i="26"/>
  <c r="BS190" i="26"/>
  <c r="BH190" i="26"/>
  <c r="BX190" i="26"/>
  <c r="BV191" i="26" l="1"/>
  <c r="BW191" i="26"/>
  <c r="BL191" i="26"/>
  <c r="BN191" i="26" s="1"/>
  <c r="BK191" i="26"/>
  <c r="BM191" i="26" s="1"/>
  <c r="BX191" i="26" l="1"/>
  <c r="BQ191" i="26"/>
  <c r="BS191" i="26"/>
  <c r="BO191" i="26"/>
  <c r="BP191" i="26"/>
  <c r="BT191" i="26"/>
  <c r="BU191" i="26"/>
  <c r="BH191" i="26"/>
  <c r="BY191" i="26"/>
  <c r="BI192" i="26"/>
  <c r="BJ192" i="26" s="1"/>
  <c r="BR191" i="26"/>
  <c r="BL192" i="26" l="1"/>
  <c r="BV192" i="26"/>
  <c r="BK192" i="26"/>
  <c r="BS192" i="26" s="1"/>
  <c r="BW192" i="26"/>
  <c r="BM192" i="26" l="1"/>
  <c r="BI193" i="26"/>
  <c r="BJ193" i="26" s="1"/>
  <c r="BR192" i="26"/>
  <c r="BY192" i="26"/>
  <c r="BQ192" i="26"/>
  <c r="BP192" i="26"/>
  <c r="BT192" i="26"/>
  <c r="BO192" i="26"/>
  <c r="BN192" i="26"/>
  <c r="BU192" i="26"/>
  <c r="BH192" i="26"/>
  <c r="BX192" i="26"/>
  <c r="BV193" i="26" l="1"/>
  <c r="BW193" i="26"/>
  <c r="BL193" i="26"/>
  <c r="BN193" i="26" s="1"/>
  <c r="BK193" i="26"/>
  <c r="BM193" i="26" s="1"/>
  <c r="BQ193" i="26" l="1"/>
  <c r="BS193" i="26"/>
  <c r="BY193" i="26"/>
  <c r="BX193" i="26"/>
  <c r="BI194" i="26"/>
  <c r="BJ194" i="26" s="1"/>
  <c r="BT193" i="26"/>
  <c r="BP193" i="26"/>
  <c r="BU193" i="26"/>
  <c r="BH193" i="26"/>
  <c r="BO193" i="26"/>
  <c r="BR193" i="26"/>
  <c r="BL194" i="26" l="1"/>
  <c r="BW194" i="26"/>
  <c r="BK194" i="26"/>
  <c r="BM194" i="26" s="1"/>
  <c r="BR194" i="26" l="1"/>
  <c r="BI195" i="26"/>
  <c r="BJ195" i="26" s="1"/>
  <c r="BS194" i="26"/>
  <c r="BQ194" i="26"/>
  <c r="BY194" i="26"/>
  <c r="BP194" i="26"/>
  <c r="BN194" i="26"/>
  <c r="BO194" i="26"/>
  <c r="BV194" i="26"/>
  <c r="BT194" i="26"/>
  <c r="BU194" i="26"/>
  <c r="BH194" i="26"/>
  <c r="BX194" i="26"/>
  <c r="BV195" i="26" l="1"/>
  <c r="BL195" i="26"/>
  <c r="BH195" i="26"/>
  <c r="BW195" i="26"/>
  <c r="BS195" i="26"/>
  <c r="BK195" i="26"/>
  <c r="BU195" i="26" s="1"/>
  <c r="BT195" i="26" l="1"/>
  <c r="BQ195" i="26"/>
  <c r="BM195" i="26"/>
  <c r="BX195" i="26"/>
  <c r="BY195" i="26"/>
  <c r="BI196" i="26"/>
  <c r="BJ196" i="26" s="1"/>
  <c r="BN195" i="26"/>
  <c r="BO195" i="26"/>
  <c r="BP195" i="26"/>
  <c r="BR195" i="26"/>
  <c r="BL196" i="26" l="1"/>
  <c r="BT196" i="26" s="1"/>
  <c r="BV196" i="26"/>
  <c r="BK196" i="26"/>
  <c r="BM196" i="26" s="1"/>
  <c r="BW196" i="26"/>
  <c r="BO196" i="26" l="1"/>
  <c r="BS196" i="26"/>
  <c r="BR196" i="26"/>
  <c r="BP196" i="26"/>
  <c r="BN196" i="26"/>
  <c r="BI197" i="26"/>
  <c r="BJ197" i="26" s="1"/>
  <c r="BQ196" i="26"/>
  <c r="BY196" i="26"/>
  <c r="BU196" i="26"/>
  <c r="BH196" i="26"/>
  <c r="BX196" i="26"/>
  <c r="BV197" i="26" l="1"/>
  <c r="BL197" i="26"/>
  <c r="BX197" i="26" s="1"/>
  <c r="BK197" i="26"/>
  <c r="BY197" i="26" s="1"/>
  <c r="BW197" i="26"/>
  <c r="BS197" i="26" l="1"/>
  <c r="BT197" i="26"/>
  <c r="BM197" i="26"/>
  <c r="BQ197" i="26"/>
  <c r="BH197" i="26"/>
  <c r="BO197" i="26"/>
  <c r="BU197" i="26"/>
  <c r="BI198" i="26"/>
  <c r="BJ198" i="26" s="1"/>
  <c r="BN197" i="26"/>
  <c r="BP197" i="26"/>
  <c r="BR197" i="26"/>
  <c r="BL198" i="26" l="1"/>
  <c r="BV198" i="26"/>
  <c r="BQ198" i="26"/>
  <c r="BW198" i="26"/>
  <c r="BM198" i="26"/>
  <c r="BS198" i="26"/>
  <c r="BK198" i="26"/>
  <c r="BN198" i="26" s="1"/>
  <c r="BO198" i="26" l="1"/>
  <c r="BI199" i="26"/>
  <c r="BJ199" i="26" s="1"/>
  <c r="BR198" i="26"/>
  <c r="BP198" i="26"/>
  <c r="BT198" i="26"/>
  <c r="BU198" i="26"/>
  <c r="BY198" i="26"/>
  <c r="BH198" i="26"/>
  <c r="BX198" i="26"/>
  <c r="BV199" i="26" l="1"/>
  <c r="BL199" i="26"/>
  <c r="BX199" i="26" s="1"/>
  <c r="BW199" i="26"/>
  <c r="BK199" i="26"/>
  <c r="BU199" i="26" s="1"/>
  <c r="BT199" i="26" l="1"/>
  <c r="BQ199" i="26"/>
  <c r="BM199" i="26"/>
  <c r="BH199" i="26"/>
  <c r="BS199" i="26"/>
  <c r="BY199" i="26"/>
  <c r="BI200" i="26"/>
  <c r="BJ200" i="26" s="1"/>
  <c r="BN199" i="26"/>
  <c r="BO199" i="26"/>
  <c r="BP199" i="26"/>
  <c r="BR199" i="26"/>
  <c r="BL200" i="26" l="1"/>
  <c r="BW200" i="26"/>
  <c r="BV200" i="26"/>
  <c r="BK200" i="26"/>
  <c r="BR200" i="26" s="1"/>
  <c r="BY200" i="26" l="1"/>
  <c r="BM200" i="26"/>
  <c r="BQ200" i="26"/>
  <c r="BU200" i="26"/>
  <c r="BO200" i="26"/>
  <c r="BS200" i="26"/>
  <c r="BI201" i="26"/>
  <c r="BJ201" i="26" s="1"/>
  <c r="BP200" i="26"/>
  <c r="BT200" i="26"/>
  <c r="BN200" i="26"/>
  <c r="BH200" i="26"/>
  <c r="BX200" i="26"/>
  <c r="BV201" i="26" l="1"/>
  <c r="BL201" i="26"/>
  <c r="BN201" i="26" s="1"/>
  <c r="BK201" i="26"/>
  <c r="BU201" i="26" s="1"/>
  <c r="BW201" i="26"/>
  <c r="BH201" i="26" l="1"/>
  <c r="BX201" i="26"/>
  <c r="BY201" i="26"/>
  <c r="BM201" i="26"/>
  <c r="BS201" i="26"/>
  <c r="BT201" i="26"/>
  <c r="BI202" i="26"/>
  <c r="BJ202" i="26" s="1"/>
  <c r="BO201" i="26"/>
  <c r="BP201" i="26"/>
  <c r="BQ201" i="26"/>
  <c r="BR201" i="26"/>
  <c r="BL202" i="26" l="1"/>
  <c r="BW202" i="26"/>
  <c r="BK202" i="26"/>
  <c r="BN202" i="26" s="1"/>
  <c r="BV202" i="26"/>
  <c r="BM202" i="26" l="1"/>
  <c r="BQ202" i="26"/>
  <c r="BI203" i="26"/>
  <c r="BJ203" i="26" s="1"/>
  <c r="BU202" i="26"/>
  <c r="BO202" i="26"/>
  <c r="BY202" i="26"/>
  <c r="BR202" i="26"/>
  <c r="BS202" i="26"/>
  <c r="BP202" i="26"/>
  <c r="BT202" i="26"/>
  <c r="BH202" i="26"/>
  <c r="BX202" i="26"/>
  <c r="BV203" i="26" l="1"/>
  <c r="BL203" i="26"/>
  <c r="BY203" i="26" s="1"/>
  <c r="BK203" i="26"/>
  <c r="BM203" i="26" s="1"/>
  <c r="BW203" i="26"/>
  <c r="BO203" i="26" l="1"/>
  <c r="BT203" i="26"/>
  <c r="BU203" i="26"/>
  <c r="BS203" i="26"/>
  <c r="BH203" i="26"/>
  <c r="BX203" i="26"/>
  <c r="BI204" i="26"/>
  <c r="BJ204" i="26" s="1"/>
  <c r="BN203" i="26"/>
  <c r="BP203" i="26"/>
  <c r="BQ203" i="26"/>
  <c r="BR203" i="26"/>
  <c r="BL204" i="26" l="1"/>
  <c r="BW204" i="26"/>
  <c r="BK204" i="26"/>
  <c r="BR204" i="26" s="1"/>
  <c r="BV204" i="26"/>
  <c r="BQ204" i="26" l="1"/>
  <c r="BO204" i="26"/>
  <c r="BI205" i="26"/>
  <c r="BJ205" i="26" s="1"/>
  <c r="BY204" i="26"/>
  <c r="BM204" i="26"/>
  <c r="BN204" i="26"/>
  <c r="BU204" i="26"/>
  <c r="BS204" i="26"/>
  <c r="BP204" i="26"/>
  <c r="BT204" i="26"/>
  <c r="BH204" i="26"/>
  <c r="BX204" i="26"/>
  <c r="BV205" i="26" l="1"/>
  <c r="BL205" i="26"/>
  <c r="BY205" i="26" s="1"/>
  <c r="BK205" i="26"/>
  <c r="BM205" i="26" s="1"/>
  <c r="BW205" i="26"/>
  <c r="BT205" i="26" l="1"/>
  <c r="BU205" i="26"/>
  <c r="BO205" i="26"/>
  <c r="BH205" i="26"/>
  <c r="BX205" i="26"/>
  <c r="BS205" i="26"/>
  <c r="BI206" i="26"/>
  <c r="BJ206" i="26" s="1"/>
  <c r="BN205" i="26"/>
  <c r="BP205" i="26"/>
  <c r="BQ205" i="26"/>
  <c r="BR205" i="26"/>
  <c r="BL206" i="26" l="1"/>
  <c r="BW206" i="26"/>
  <c r="BK206" i="26"/>
  <c r="BQ206" i="26" s="1"/>
  <c r="BV206" i="26"/>
  <c r="BU206" i="26" l="1"/>
  <c r="BM206" i="26"/>
  <c r="BO206" i="26"/>
  <c r="BI207" i="26"/>
  <c r="BJ207" i="26" s="1"/>
  <c r="BY206" i="26"/>
  <c r="BN206" i="26"/>
  <c r="BR206" i="26"/>
  <c r="BS206" i="26"/>
  <c r="BP206" i="26"/>
  <c r="BT206" i="26"/>
  <c r="BH206" i="26"/>
  <c r="BX206" i="26"/>
  <c r="BV207" i="26" l="1"/>
  <c r="BL207" i="26"/>
  <c r="BN207" i="26" s="1"/>
  <c r="BW207" i="26"/>
  <c r="BK207" i="26"/>
  <c r="BM207" i="26" s="1"/>
  <c r="BH207" i="26" l="1"/>
  <c r="BX207" i="26"/>
  <c r="BY207" i="26"/>
  <c r="BT207" i="26"/>
  <c r="BU207" i="26"/>
  <c r="BO207" i="26"/>
  <c r="BI208" i="26"/>
  <c r="BJ208" i="26" s="1"/>
  <c r="BS207" i="26"/>
  <c r="BP207" i="26"/>
  <c r="BQ207" i="26"/>
  <c r="BR207" i="26"/>
  <c r="BL208" i="26" l="1"/>
  <c r="BW208" i="26"/>
  <c r="BK208" i="26"/>
  <c r="BM208" i="26" s="1"/>
  <c r="BV208" i="26"/>
  <c r="BY208" i="26" l="1"/>
  <c r="BO208" i="26"/>
  <c r="BI209" i="26"/>
  <c r="BJ209" i="26" s="1"/>
  <c r="BQ208" i="26"/>
  <c r="BU208" i="26"/>
  <c r="BN208" i="26"/>
  <c r="BR208" i="26"/>
  <c r="BS208" i="26"/>
  <c r="BP208" i="26"/>
  <c r="BT208" i="26"/>
  <c r="BH208" i="26"/>
  <c r="BX208" i="26"/>
  <c r="BV209" i="26" l="1"/>
  <c r="BL209" i="26"/>
  <c r="BN209" i="26" s="1"/>
  <c r="BK209" i="26"/>
  <c r="BU209" i="26" s="1"/>
  <c r="BW209" i="26"/>
  <c r="BH209" i="26" l="1"/>
  <c r="BX209" i="26"/>
  <c r="BY209" i="26"/>
  <c r="BM209" i="26"/>
  <c r="BS209" i="26"/>
  <c r="BT209" i="26"/>
  <c r="BI210" i="26"/>
  <c r="BJ210" i="26" s="1"/>
  <c r="BO209" i="26"/>
  <c r="BP209" i="26"/>
  <c r="BQ209" i="26"/>
  <c r="BR209" i="26"/>
  <c r="BL210" i="26" l="1"/>
  <c r="BW210" i="26"/>
  <c r="BK210" i="26"/>
  <c r="BN210" i="26" s="1"/>
  <c r="BV210" i="26"/>
  <c r="BM210" i="26" l="1"/>
  <c r="BQ210" i="26"/>
  <c r="BI211" i="26"/>
  <c r="BJ211" i="26" s="1"/>
  <c r="BU210" i="26"/>
  <c r="BO210" i="26"/>
  <c r="BY210" i="26"/>
  <c r="BR210" i="26"/>
  <c r="BS210" i="26"/>
  <c r="BP210" i="26"/>
  <c r="BT210" i="26"/>
  <c r="BH210" i="26"/>
  <c r="BX210" i="26"/>
  <c r="BV211" i="26" l="1"/>
  <c r="BL211" i="26"/>
  <c r="BY211" i="26" s="1"/>
  <c r="BK211" i="26"/>
  <c r="BM211" i="26" s="1"/>
  <c r="BW211" i="26"/>
  <c r="BO211" i="26" l="1"/>
  <c r="BT211" i="26"/>
  <c r="BU211" i="26"/>
  <c r="BS211" i="26"/>
  <c r="BH211" i="26"/>
  <c r="BX211" i="26"/>
  <c r="BI212" i="26"/>
  <c r="BJ212" i="26" s="1"/>
  <c r="BN211" i="26"/>
  <c r="BP211" i="26"/>
  <c r="BQ211" i="26"/>
  <c r="BR211" i="26"/>
  <c r="BL212" i="26" l="1"/>
  <c r="BW212" i="26"/>
  <c r="BK212" i="26"/>
  <c r="BO212" i="26" s="1"/>
  <c r="BV212" i="26"/>
  <c r="BN212" i="26" l="1"/>
  <c r="BI213" i="26"/>
  <c r="BJ213" i="26" s="1"/>
  <c r="BY212" i="26"/>
  <c r="BM212" i="26"/>
  <c r="BQ212" i="26"/>
  <c r="BU212" i="26"/>
  <c r="BR212" i="26"/>
  <c r="BS212" i="26"/>
  <c r="BP212" i="26"/>
  <c r="BT212" i="26"/>
  <c r="BH212" i="26"/>
  <c r="BX212" i="26"/>
  <c r="BV213" i="26" l="1"/>
  <c r="BL213" i="26"/>
  <c r="BY213" i="26" s="1"/>
  <c r="BK213" i="26"/>
  <c r="BM213" i="26" s="1"/>
  <c r="BW213" i="26"/>
  <c r="BT213" i="26" l="1"/>
  <c r="BU213" i="26"/>
  <c r="BO213" i="26"/>
  <c r="BH213" i="26"/>
  <c r="BX213" i="26"/>
  <c r="BS213" i="26"/>
  <c r="BI214" i="26"/>
  <c r="BJ214" i="26" s="1"/>
  <c r="BN213" i="26"/>
  <c r="BP213" i="26"/>
  <c r="BQ213" i="26"/>
  <c r="BR213" i="26"/>
  <c r="BL214" i="26" l="1"/>
  <c r="BW214" i="26"/>
  <c r="BK214" i="26"/>
  <c r="BS214" i="26" s="1"/>
  <c r="BV214" i="26"/>
  <c r="BY214" i="26" l="1"/>
  <c r="BN214" i="26"/>
  <c r="BO214" i="26"/>
  <c r="BI215" i="26"/>
  <c r="BJ215" i="26" s="1"/>
  <c r="BU214" i="26"/>
  <c r="BM214" i="26"/>
  <c r="BQ214" i="26"/>
  <c r="BR214" i="26"/>
  <c r="BP214" i="26"/>
  <c r="BT214" i="26"/>
  <c r="BH214" i="26"/>
  <c r="BX214" i="26"/>
  <c r="BV215" i="26" l="1"/>
  <c r="BL215" i="26"/>
  <c r="BN215" i="26" s="1"/>
  <c r="BW215" i="26"/>
  <c r="BK215" i="26"/>
  <c r="BM215" i="26" s="1"/>
  <c r="BH215" i="26" l="1"/>
  <c r="BX215" i="26"/>
  <c r="BY215" i="26"/>
  <c r="BT215" i="26"/>
  <c r="BU215" i="26"/>
  <c r="BO215" i="26"/>
  <c r="BI216" i="26"/>
  <c r="BJ216" i="26" s="1"/>
  <c r="BS215" i="26"/>
  <c r="BP215" i="26"/>
  <c r="BQ215" i="26"/>
  <c r="BR215" i="26"/>
  <c r="BL216" i="26" l="1"/>
  <c r="BW216" i="26"/>
  <c r="BK216" i="26"/>
  <c r="BM216" i="26" s="1"/>
  <c r="BV216" i="26"/>
  <c r="BN216" i="26" l="1"/>
  <c r="BI217" i="26"/>
  <c r="BJ217" i="26" s="1"/>
  <c r="BQ216" i="26"/>
  <c r="BU216" i="26"/>
  <c r="BY216" i="26"/>
  <c r="BO216" i="26"/>
  <c r="BR216" i="26"/>
  <c r="BS216" i="26"/>
  <c r="BP216" i="26"/>
  <c r="BT216" i="26"/>
  <c r="BH216" i="26"/>
  <c r="BX216" i="26"/>
  <c r="BV217" i="26" l="1"/>
  <c r="BL217" i="26"/>
  <c r="BY217" i="26" s="1"/>
  <c r="BK217" i="26"/>
  <c r="BM217" i="26" s="1"/>
  <c r="BW217" i="26"/>
  <c r="BH217" i="26" l="1"/>
  <c r="BX217" i="26"/>
  <c r="BS217" i="26"/>
  <c r="BT217" i="26"/>
  <c r="BU217" i="26"/>
  <c r="BI218" i="26"/>
  <c r="BJ218" i="26" s="1"/>
  <c r="BN217" i="26"/>
  <c r="BO217" i="26"/>
  <c r="BP217" i="26"/>
  <c r="BQ217" i="26"/>
  <c r="BR217" i="26"/>
  <c r="BL218" i="26" l="1"/>
  <c r="BW218" i="26"/>
  <c r="BK218" i="26"/>
  <c r="BY218" i="26" s="1"/>
  <c r="BV218" i="26"/>
  <c r="BN218" i="26" l="1"/>
  <c r="BI219" i="26"/>
  <c r="BJ219" i="26" s="1"/>
  <c r="BM218" i="26"/>
  <c r="BQ218" i="26"/>
  <c r="BU218" i="26"/>
  <c r="BO218" i="26"/>
  <c r="BR218" i="26"/>
  <c r="BS218" i="26"/>
  <c r="BP218" i="26"/>
  <c r="BT218" i="26"/>
  <c r="BH218" i="26"/>
  <c r="BX218" i="26"/>
  <c r="BV219" i="26" l="1"/>
  <c r="BL219" i="26"/>
  <c r="BK219" i="26"/>
  <c r="BM219" i="26" s="1"/>
  <c r="BW219" i="26"/>
  <c r="BI220" i="26" l="1"/>
  <c r="BJ220" i="26" s="1"/>
  <c r="BO219" i="26"/>
  <c r="BT219" i="26"/>
  <c r="BU219" i="26"/>
  <c r="BS219" i="26"/>
  <c r="BH219" i="26"/>
  <c r="BX219" i="26"/>
  <c r="BY219" i="26"/>
  <c r="BN219" i="26"/>
  <c r="BP219" i="26"/>
  <c r="BQ219" i="26"/>
  <c r="BR219" i="26"/>
  <c r="BL220" i="26" l="1"/>
  <c r="BW220" i="26"/>
  <c r="BK220" i="26"/>
  <c r="BU220" i="26" s="1"/>
  <c r="BV220" i="26"/>
  <c r="BY220" i="26" l="1"/>
  <c r="BM220" i="26"/>
  <c r="BN220" i="26"/>
  <c r="BI221" i="26"/>
  <c r="BJ221" i="26" s="1"/>
  <c r="BQ220" i="26"/>
  <c r="BO220" i="26"/>
  <c r="BR220" i="26"/>
  <c r="BS220" i="26"/>
  <c r="BP220" i="26"/>
  <c r="BT220" i="26"/>
  <c r="BH220" i="26"/>
  <c r="BX220" i="26"/>
  <c r="BV221" i="26" l="1"/>
  <c r="BL221" i="26"/>
  <c r="BY221" i="26" s="1"/>
  <c r="BK221" i="26"/>
  <c r="BM221" i="26" s="1"/>
  <c r="BW221" i="26"/>
  <c r="BT221" i="26" l="1"/>
  <c r="BU221" i="26"/>
  <c r="BO221" i="26"/>
  <c r="BH221" i="26"/>
  <c r="BX221" i="26"/>
  <c r="BS221" i="26"/>
  <c r="BI222" i="26"/>
  <c r="BJ222" i="26" s="1"/>
  <c r="BN221" i="26"/>
  <c r="BP221" i="26"/>
  <c r="BQ221" i="26"/>
  <c r="BR221" i="26"/>
  <c r="BL222" i="26" l="1"/>
  <c r="BW222" i="26"/>
  <c r="BK222" i="26"/>
  <c r="BR222" i="26" s="1"/>
  <c r="BV222" i="26"/>
  <c r="BU222" i="26" l="1"/>
  <c r="BM222" i="26"/>
  <c r="BO222" i="26"/>
  <c r="BI223" i="26"/>
  <c r="BJ223" i="26" s="1"/>
  <c r="BY222" i="26"/>
  <c r="BN222" i="26"/>
  <c r="BQ222" i="26"/>
  <c r="BS222" i="26"/>
  <c r="BP222" i="26"/>
  <c r="BT222" i="26"/>
  <c r="BH222" i="26"/>
  <c r="BX222" i="26"/>
  <c r="BV223" i="26" l="1"/>
  <c r="BL223" i="26"/>
  <c r="BN223" i="26" s="1"/>
  <c r="BW223" i="26"/>
  <c r="BK223" i="26"/>
  <c r="BM223" i="26" s="1"/>
  <c r="BH223" i="26" l="1"/>
  <c r="BX223" i="26"/>
  <c r="BY223" i="26"/>
  <c r="BT223" i="26"/>
  <c r="BU223" i="26"/>
  <c r="BO223" i="26"/>
  <c r="BI224" i="26"/>
  <c r="BJ224" i="26" s="1"/>
  <c r="BS223" i="26"/>
  <c r="BP223" i="26"/>
  <c r="BQ223" i="26"/>
  <c r="BR223" i="26"/>
  <c r="BL224" i="26" l="1"/>
  <c r="BW224" i="26"/>
  <c r="BK224" i="26"/>
  <c r="BM224" i="26" s="1"/>
  <c r="BV224" i="26"/>
  <c r="BQ224" i="26" l="1"/>
  <c r="BU224" i="26"/>
  <c r="BN224" i="26"/>
  <c r="BI225" i="26"/>
  <c r="BJ225" i="26" s="1"/>
  <c r="BY224" i="26"/>
  <c r="BO224" i="26"/>
  <c r="BR224" i="26"/>
  <c r="BS224" i="26"/>
  <c r="BP224" i="26"/>
  <c r="BT224" i="26"/>
  <c r="BH224" i="26"/>
  <c r="BX224" i="26"/>
  <c r="BV225" i="26" l="1"/>
  <c r="BL225" i="26"/>
  <c r="BY225" i="26" s="1"/>
  <c r="BK225" i="26"/>
  <c r="BM225" i="26" s="1"/>
  <c r="BW225" i="26"/>
  <c r="BH225" i="26" l="1"/>
  <c r="BX225" i="26"/>
  <c r="BS225" i="26"/>
  <c r="BT225" i="26"/>
  <c r="BU225" i="26"/>
  <c r="BI226" i="26"/>
  <c r="BJ226" i="26" s="1"/>
  <c r="BN225" i="26"/>
  <c r="BO225" i="26"/>
  <c r="BP225" i="26"/>
  <c r="BQ225" i="26"/>
  <c r="BR225" i="26"/>
  <c r="BL226" i="26" l="1"/>
  <c r="BW226" i="26"/>
  <c r="BK226" i="26"/>
  <c r="BY226" i="26" s="1"/>
  <c r="BV226" i="26"/>
  <c r="BN226" i="26" l="1"/>
  <c r="BI227" i="26"/>
  <c r="BJ227" i="26" s="1"/>
  <c r="BM226" i="26"/>
  <c r="BQ226" i="26"/>
  <c r="BU226" i="26"/>
  <c r="BO226" i="26"/>
  <c r="BR226" i="26"/>
  <c r="BS226" i="26"/>
  <c r="BP226" i="26"/>
  <c r="BT226" i="26"/>
  <c r="BH226" i="26"/>
  <c r="BX226" i="26"/>
  <c r="BV227" i="26" l="1"/>
  <c r="BL227" i="26"/>
  <c r="BY227" i="26" s="1"/>
  <c r="BK227" i="26"/>
  <c r="BM227" i="26" s="1"/>
  <c r="BW227" i="26"/>
  <c r="BO227" i="26" l="1"/>
  <c r="BT227" i="26"/>
  <c r="BU227" i="26"/>
  <c r="BS227" i="26"/>
  <c r="BH227" i="26"/>
  <c r="BX227" i="26"/>
  <c r="BI228" i="26"/>
  <c r="BJ228" i="26" s="1"/>
  <c r="BN227" i="26"/>
  <c r="BP227" i="26"/>
  <c r="BQ227" i="26"/>
  <c r="BR227" i="26"/>
  <c r="BL228" i="26" l="1"/>
  <c r="BW228" i="26"/>
  <c r="BK228" i="26"/>
  <c r="BR228" i="26" s="1"/>
  <c r="BV228" i="26"/>
  <c r="BY228" i="26"/>
  <c r="BM228" i="26" l="1"/>
  <c r="BO228" i="26"/>
  <c r="BI229" i="26"/>
  <c r="BJ229" i="26" s="1"/>
  <c r="BT228" i="26"/>
  <c r="BQ228" i="26"/>
  <c r="BN228" i="26"/>
  <c r="BU228" i="26"/>
  <c r="BS228" i="26"/>
  <c r="BP228" i="26"/>
  <c r="BH228" i="26"/>
  <c r="BX228" i="26"/>
  <c r="BV229" i="26" l="1"/>
  <c r="BL229" i="26"/>
  <c r="BY229" i="26" s="1"/>
  <c r="BK229" i="26"/>
  <c r="BM229" i="26" s="1"/>
  <c r="BW229" i="26"/>
  <c r="BT229" i="26" l="1"/>
  <c r="BU229" i="26"/>
  <c r="BO229" i="26"/>
  <c r="BH229" i="26"/>
  <c r="BX229" i="26"/>
  <c r="BP229" i="26"/>
  <c r="BQ229" i="26"/>
  <c r="BR229" i="26"/>
  <c r="BS229" i="26"/>
  <c r="BI230" i="26"/>
  <c r="BJ230" i="26" s="1"/>
  <c r="BN229" i="26"/>
  <c r="BL230" i="26" l="1"/>
  <c r="BW230" i="26"/>
  <c r="BK230" i="26"/>
  <c r="BR230" i="26" s="1"/>
  <c r="BV230" i="26"/>
  <c r="BU230" i="26" l="1"/>
  <c r="BM230" i="26"/>
  <c r="BO230" i="26"/>
  <c r="BI231" i="26"/>
  <c r="BJ231" i="26" s="1"/>
  <c r="BY230" i="26"/>
  <c r="BN230" i="26"/>
  <c r="BQ230" i="26"/>
  <c r="BS230" i="26"/>
  <c r="BP230" i="26"/>
  <c r="BT230" i="26"/>
  <c r="BH230" i="26"/>
  <c r="BX230" i="26"/>
  <c r="BV231" i="26" l="1"/>
  <c r="BL231" i="26"/>
  <c r="BN231" i="26" s="1"/>
  <c r="BW231" i="26"/>
  <c r="BK231" i="26"/>
  <c r="BM231" i="26" s="1"/>
  <c r="BH231" i="26" l="1"/>
  <c r="BX231" i="26"/>
  <c r="BY231" i="26"/>
  <c r="BT231" i="26"/>
  <c r="BU231" i="26"/>
  <c r="BO231" i="26"/>
  <c r="BI232" i="26"/>
  <c r="BJ232" i="26" s="1"/>
  <c r="BS231" i="26"/>
  <c r="BP231" i="26"/>
  <c r="BQ231" i="26"/>
  <c r="BR231" i="26"/>
  <c r="BL232" i="26" l="1"/>
  <c r="BW232" i="26"/>
  <c r="BK232" i="26"/>
  <c r="BM232" i="26" s="1"/>
  <c r="BV232" i="26"/>
  <c r="BQ232" i="26" l="1"/>
  <c r="BU232" i="26"/>
  <c r="BO232" i="26"/>
  <c r="BI233" i="26"/>
  <c r="BJ233" i="26" s="1"/>
  <c r="BY232" i="26"/>
  <c r="BN232" i="26"/>
  <c r="BR232" i="26"/>
  <c r="BS232" i="26"/>
  <c r="BP232" i="26"/>
  <c r="BT232" i="26"/>
  <c r="BH232" i="26"/>
  <c r="BX232" i="26"/>
  <c r="BV233" i="26" l="1"/>
  <c r="BL233" i="26"/>
  <c r="BN233" i="26" s="1"/>
  <c r="BK233" i="26"/>
  <c r="BU233" i="26" s="1"/>
  <c r="BW233" i="26"/>
  <c r="BH233" i="26" l="1"/>
  <c r="BX233" i="26"/>
  <c r="BY233" i="26"/>
  <c r="BM233" i="26"/>
  <c r="BS233" i="26"/>
  <c r="BT233" i="26"/>
  <c r="BI234" i="26"/>
  <c r="BJ234" i="26" s="1"/>
  <c r="BO233" i="26"/>
  <c r="BP233" i="26"/>
  <c r="BQ233" i="26"/>
  <c r="BR233" i="26"/>
  <c r="BL234" i="26" l="1"/>
  <c r="BW234" i="26"/>
  <c r="BK234" i="26"/>
  <c r="BN234" i="26" s="1"/>
  <c r="BV234" i="26"/>
  <c r="BU234" i="26" l="1"/>
  <c r="BI235" i="26"/>
  <c r="BJ235" i="26" s="1"/>
  <c r="BM234" i="26"/>
  <c r="BQ234" i="26"/>
  <c r="BO234" i="26"/>
  <c r="BY234" i="26"/>
  <c r="BR234" i="26"/>
  <c r="BS234" i="26"/>
  <c r="BP234" i="26"/>
  <c r="BT234" i="26"/>
  <c r="BH234" i="26"/>
  <c r="BX234" i="26"/>
  <c r="BV235" i="26" l="1"/>
  <c r="BL235" i="26"/>
  <c r="BY235" i="26" s="1"/>
  <c r="BK235" i="26"/>
  <c r="BM235" i="26" s="1"/>
  <c r="BW235" i="26"/>
  <c r="BO235" i="26" l="1"/>
  <c r="BT235" i="26"/>
  <c r="BU235" i="26"/>
  <c r="BS235" i="26"/>
  <c r="BH235" i="26"/>
  <c r="BX235" i="26"/>
  <c r="BI236" i="26"/>
  <c r="BJ236" i="26" s="1"/>
  <c r="BN235" i="26"/>
  <c r="BP235" i="26"/>
  <c r="BQ235" i="26"/>
  <c r="BR235" i="26"/>
  <c r="BL236" i="26" l="1"/>
  <c r="BW236" i="26"/>
  <c r="BK236" i="26"/>
  <c r="BU236" i="26" s="1"/>
  <c r="BV236" i="26"/>
  <c r="BY236" i="26" l="1"/>
  <c r="BM236" i="26"/>
  <c r="BO236" i="26"/>
  <c r="BI237" i="26"/>
  <c r="BJ237" i="26" s="1"/>
  <c r="BQ236" i="26"/>
  <c r="BN236" i="26"/>
  <c r="BR236" i="26"/>
  <c r="BS236" i="26"/>
  <c r="BP236" i="26"/>
  <c r="BT236" i="26"/>
  <c r="BH236" i="26"/>
  <c r="BX236" i="26"/>
  <c r="BV237" i="26" l="1"/>
  <c r="BL237" i="26"/>
  <c r="BY237" i="26" s="1"/>
  <c r="BK237" i="26"/>
  <c r="BM237" i="26" s="1"/>
  <c r="BW237" i="26"/>
  <c r="BT237" i="26" l="1"/>
  <c r="BU237" i="26"/>
  <c r="BO237" i="26"/>
  <c r="BH237" i="26"/>
  <c r="BX237" i="26"/>
  <c r="BS237" i="26"/>
  <c r="BI238" i="26"/>
  <c r="BJ238" i="26" s="1"/>
  <c r="BN237" i="26"/>
  <c r="BP237" i="26"/>
  <c r="BQ237" i="26"/>
  <c r="BR237" i="26"/>
  <c r="BL238" i="26" l="1"/>
  <c r="BW238" i="26"/>
  <c r="BK238" i="26"/>
  <c r="BR238" i="26" s="1"/>
  <c r="BV238" i="26"/>
  <c r="BU238" i="26" l="1"/>
  <c r="BM238" i="26"/>
  <c r="BO238" i="26"/>
  <c r="BI239" i="26"/>
  <c r="BJ239" i="26" s="1"/>
  <c r="BY238" i="26"/>
  <c r="BN238" i="26"/>
  <c r="BQ238" i="26"/>
  <c r="BS238" i="26"/>
  <c r="BP238" i="26"/>
  <c r="BT238" i="26"/>
  <c r="BH238" i="26"/>
  <c r="BX238" i="26"/>
  <c r="BV239" i="26" l="1"/>
  <c r="BL239" i="26"/>
  <c r="BN239" i="26" s="1"/>
  <c r="BW239" i="26"/>
  <c r="BK239" i="26"/>
  <c r="BM239" i="26" s="1"/>
  <c r="BH239" i="26" l="1"/>
  <c r="BX239" i="26"/>
  <c r="BY239" i="26"/>
  <c r="BT239" i="26"/>
  <c r="BU239" i="26"/>
  <c r="BO239" i="26"/>
  <c r="BI240" i="26"/>
  <c r="BJ240" i="26" s="1"/>
  <c r="BS239" i="26"/>
  <c r="BP239" i="26"/>
  <c r="BQ239" i="26"/>
  <c r="BR239" i="26"/>
  <c r="BL240" i="26" l="1"/>
  <c r="BW240" i="26"/>
  <c r="BK240" i="26"/>
  <c r="BM240" i="26" s="1"/>
  <c r="BV240" i="26"/>
  <c r="BO240" i="26" l="1"/>
  <c r="BI241" i="26"/>
  <c r="BJ241" i="26" s="1"/>
  <c r="BQ240" i="26"/>
  <c r="BU240" i="26"/>
  <c r="BY240" i="26"/>
  <c r="BN240" i="26"/>
  <c r="BR240" i="26"/>
  <c r="BS240" i="26"/>
  <c r="BP240" i="26"/>
  <c r="BT240" i="26"/>
  <c r="BH240" i="26"/>
  <c r="BX240" i="26"/>
  <c r="BV241" i="26" l="1"/>
  <c r="BL241" i="26"/>
  <c r="BY241" i="26" s="1"/>
  <c r="BK241" i="26"/>
  <c r="BM241" i="26" s="1"/>
  <c r="BW241" i="26"/>
  <c r="BH241" i="26" l="1"/>
  <c r="BX241" i="26"/>
  <c r="BS241" i="26"/>
  <c r="BT241" i="26"/>
  <c r="BU241" i="26"/>
  <c r="BI242" i="26"/>
  <c r="BJ242" i="26" s="1"/>
  <c r="BN241" i="26"/>
  <c r="BO241" i="26"/>
  <c r="BP241" i="26"/>
  <c r="BQ241" i="26"/>
  <c r="BR241" i="26"/>
  <c r="BL242" i="26" l="1"/>
  <c r="BW242" i="26"/>
  <c r="BK242" i="26"/>
  <c r="BR242" i="26" s="1"/>
  <c r="BV242" i="26"/>
  <c r="BM242" i="26" l="1"/>
  <c r="BQ242" i="26"/>
  <c r="BU242" i="26"/>
  <c r="BO242" i="26"/>
  <c r="BI243" i="26"/>
  <c r="BJ243" i="26" s="1"/>
  <c r="BN242" i="26"/>
  <c r="BY242" i="26"/>
  <c r="BS242" i="26"/>
  <c r="BP242" i="26"/>
  <c r="BT242" i="26"/>
  <c r="BH242" i="26"/>
  <c r="BX242" i="26"/>
  <c r="BV243" i="26" l="1"/>
  <c r="BL243" i="26"/>
  <c r="BK243" i="26"/>
  <c r="BM243" i="26" s="1"/>
  <c r="BW243" i="26"/>
  <c r="BI244" i="26" l="1"/>
  <c r="BJ244" i="26" s="1"/>
  <c r="BO243" i="26"/>
  <c r="BT243" i="26"/>
  <c r="BU243" i="26"/>
  <c r="BS243" i="26"/>
  <c r="BH243" i="26"/>
  <c r="BX243" i="26"/>
  <c r="BY243" i="26"/>
  <c r="BN243" i="26"/>
  <c r="BP243" i="26"/>
  <c r="BQ243" i="26"/>
  <c r="BR243" i="26"/>
  <c r="BL244" i="26" l="1"/>
  <c r="BW244" i="26"/>
  <c r="BK244" i="26"/>
  <c r="BR244" i="26" s="1"/>
  <c r="BV244" i="26"/>
  <c r="BQ244" i="26" l="1"/>
  <c r="BO244" i="26"/>
  <c r="BI245" i="26"/>
  <c r="BJ245" i="26" s="1"/>
  <c r="BY244" i="26"/>
  <c r="BM244" i="26"/>
  <c r="BN244" i="26"/>
  <c r="BU244" i="26"/>
  <c r="BS244" i="26"/>
  <c r="BP244" i="26"/>
  <c r="BT244" i="26"/>
  <c r="BH244" i="26"/>
  <c r="BX244" i="26"/>
  <c r="BV245" i="26" l="1"/>
  <c r="BL245" i="26"/>
  <c r="BY245" i="26" s="1"/>
  <c r="BK245" i="26"/>
  <c r="BM245" i="26" s="1"/>
  <c r="BW245" i="26"/>
  <c r="BT245" i="26" l="1"/>
  <c r="BU245" i="26"/>
  <c r="BO245" i="26"/>
  <c r="BH245" i="26"/>
  <c r="BX245" i="26"/>
  <c r="BS245" i="26"/>
  <c r="BI246" i="26"/>
  <c r="BJ246" i="26" s="1"/>
  <c r="BN245" i="26"/>
  <c r="BP245" i="26"/>
  <c r="BQ245" i="26"/>
  <c r="BR245" i="26"/>
  <c r="BL246" i="26" l="1"/>
  <c r="BW246" i="26"/>
  <c r="BK246" i="26"/>
  <c r="BR246" i="26" s="1"/>
  <c r="BV246" i="26"/>
  <c r="BU246" i="26" l="1"/>
  <c r="BM246" i="26"/>
  <c r="BO246" i="26"/>
  <c r="BI247" i="26"/>
  <c r="BJ247" i="26" s="1"/>
  <c r="BY246" i="26"/>
  <c r="BN246" i="26"/>
  <c r="BQ246" i="26"/>
  <c r="BS246" i="26"/>
  <c r="BP246" i="26"/>
  <c r="BT246" i="26"/>
  <c r="BH246" i="26"/>
  <c r="BX246" i="26"/>
  <c r="BV247" i="26" l="1"/>
  <c r="BL247" i="26"/>
  <c r="BN247" i="26" s="1"/>
  <c r="BW247" i="26"/>
  <c r="BK247" i="26"/>
  <c r="BM247" i="26" s="1"/>
  <c r="BH247" i="26" l="1"/>
  <c r="BX247" i="26"/>
  <c r="BY247" i="26"/>
  <c r="BT247" i="26"/>
  <c r="BU247" i="26"/>
  <c r="BO247" i="26"/>
  <c r="BI248" i="26"/>
  <c r="BJ248" i="26" s="1"/>
  <c r="BS247" i="26"/>
  <c r="BP247" i="26"/>
  <c r="BQ247" i="26"/>
  <c r="BR247" i="26"/>
  <c r="BL248" i="26" l="1"/>
  <c r="BW248" i="26"/>
  <c r="BK248" i="26"/>
  <c r="BM248" i="26" s="1"/>
  <c r="BV248" i="26"/>
  <c r="BN248" i="26" l="1"/>
  <c r="BI249" i="26"/>
  <c r="BJ249" i="26" s="1"/>
  <c r="BQ248" i="26"/>
  <c r="BU248" i="26"/>
  <c r="BY248" i="26"/>
  <c r="BO248" i="26"/>
  <c r="BR248" i="26"/>
  <c r="BS248" i="26"/>
  <c r="BP248" i="26"/>
  <c r="BT248" i="26"/>
  <c r="BH248" i="26"/>
  <c r="BX248" i="26"/>
  <c r="BV249" i="26" l="1"/>
  <c r="BL249" i="26"/>
  <c r="BY249" i="26" s="1"/>
  <c r="BK249" i="26"/>
  <c r="BM249" i="26" s="1"/>
  <c r="BW249" i="26"/>
  <c r="BH249" i="26" l="1"/>
  <c r="BX249" i="26"/>
  <c r="BS249" i="26"/>
  <c r="BT249" i="26"/>
  <c r="BU249" i="26"/>
  <c r="BI250" i="26"/>
  <c r="BJ250" i="26" s="1"/>
  <c r="BN249" i="26"/>
  <c r="BO249" i="26"/>
  <c r="BP249" i="26"/>
  <c r="BQ249" i="26"/>
  <c r="BR249" i="26"/>
  <c r="BL250" i="26" l="1"/>
  <c r="BW250" i="26"/>
  <c r="BK250" i="26"/>
  <c r="BR250" i="26" s="1"/>
  <c r="BV250" i="26"/>
  <c r="BU250" i="26" l="1"/>
  <c r="BO250" i="26"/>
  <c r="BI251" i="26"/>
  <c r="BJ251" i="26" s="1"/>
  <c r="BM250" i="26"/>
  <c r="BQ250" i="26"/>
  <c r="BN250" i="26"/>
  <c r="BY250" i="26"/>
  <c r="BS250" i="26"/>
  <c r="BP250" i="26"/>
  <c r="BT250" i="26"/>
  <c r="BH250" i="26"/>
  <c r="BX250" i="26"/>
  <c r="BV251" i="26" l="1"/>
  <c r="BL251" i="26"/>
  <c r="BK251" i="26"/>
  <c r="BM251" i="26" s="1"/>
  <c r="BW251" i="26"/>
  <c r="BI252" i="26" l="1"/>
  <c r="BJ252" i="26" s="1"/>
  <c r="BO251" i="26"/>
  <c r="BT251" i="26"/>
  <c r="BU251" i="26"/>
  <c r="BS251" i="26"/>
  <c r="BH251" i="26"/>
  <c r="BX251" i="26"/>
  <c r="BY251" i="26"/>
  <c r="BN251" i="26"/>
  <c r="BP251" i="26"/>
  <c r="BQ251" i="26"/>
  <c r="BR251" i="26"/>
  <c r="BL252" i="26" l="1"/>
  <c r="BW252" i="26"/>
  <c r="BK252" i="26"/>
  <c r="BU252" i="26" s="1"/>
  <c r="BV252" i="26"/>
  <c r="BN252" i="26" l="1"/>
  <c r="BI253" i="26"/>
  <c r="BJ253" i="26" s="1"/>
  <c r="BY252" i="26"/>
  <c r="BM252" i="26"/>
  <c r="BQ252" i="26"/>
  <c r="BO252" i="26"/>
  <c r="BR252" i="26"/>
  <c r="BS252" i="26"/>
  <c r="BP252" i="26"/>
  <c r="BT252" i="26"/>
  <c r="BH252" i="26"/>
  <c r="BX252" i="26"/>
  <c r="BV253" i="26" l="1"/>
  <c r="BL253" i="26"/>
  <c r="BY253" i="26" s="1"/>
  <c r="BK253" i="26"/>
  <c r="BM253" i="26" s="1"/>
  <c r="BW253" i="26"/>
  <c r="BT253" i="26" l="1"/>
  <c r="BU253" i="26"/>
  <c r="BO253" i="26"/>
  <c r="BH253" i="26"/>
  <c r="BX253" i="26"/>
  <c r="BS253" i="26"/>
  <c r="BI254" i="26"/>
  <c r="BJ254" i="26" s="1"/>
  <c r="BN253" i="26"/>
  <c r="BP253" i="26"/>
  <c r="BQ253" i="26"/>
  <c r="BR253" i="26"/>
  <c r="BL254" i="26" l="1"/>
  <c r="BW254" i="26"/>
  <c r="BK254" i="26"/>
  <c r="BQ254" i="26" s="1"/>
  <c r="BV254" i="26"/>
  <c r="BU254" i="26" l="1"/>
  <c r="BM254" i="26"/>
  <c r="BO254" i="26"/>
  <c r="BI255" i="26"/>
  <c r="BJ255" i="26" s="1"/>
  <c r="BY254" i="26"/>
  <c r="BN254" i="26"/>
  <c r="BR254" i="26"/>
  <c r="BS254" i="26"/>
  <c r="BP254" i="26"/>
  <c r="BT254" i="26"/>
  <c r="BH254" i="26"/>
  <c r="BX254" i="26"/>
  <c r="BV255" i="26" l="1"/>
  <c r="BL255" i="26"/>
  <c r="BN255" i="26" s="1"/>
  <c r="BW255" i="26"/>
  <c r="BK255" i="26"/>
  <c r="BM255" i="26" s="1"/>
  <c r="BH255" i="26" l="1"/>
  <c r="BX255" i="26"/>
  <c r="BY255" i="26"/>
  <c r="BT255" i="26"/>
  <c r="BU255" i="26"/>
  <c r="BO255" i="26"/>
  <c r="BI256" i="26"/>
  <c r="BJ256" i="26" s="1"/>
  <c r="BS255" i="26"/>
  <c r="BP255" i="26"/>
  <c r="BQ255" i="26"/>
  <c r="BR255" i="26"/>
  <c r="BL256" i="26" l="1"/>
  <c r="BW256" i="26"/>
  <c r="BK256" i="26"/>
  <c r="BM256" i="26" s="1"/>
  <c r="BV256" i="26"/>
  <c r="BQ256" i="26" l="1"/>
  <c r="BN256" i="26"/>
  <c r="BI257" i="26"/>
  <c r="BJ257" i="26" s="1"/>
  <c r="BU256" i="26"/>
  <c r="BY256" i="26"/>
  <c r="BO256" i="26"/>
  <c r="BR256" i="26"/>
  <c r="BS256" i="26"/>
  <c r="BP256" i="26"/>
  <c r="BT256" i="26"/>
  <c r="BH256" i="26"/>
  <c r="BX256" i="26"/>
  <c r="BV257" i="26" l="1"/>
  <c r="BL257" i="26"/>
  <c r="BN257" i="26" s="1"/>
  <c r="BK257" i="26"/>
  <c r="BU257" i="26" s="1"/>
  <c r="BW257" i="26"/>
  <c r="BH257" i="26" l="1"/>
  <c r="BX257" i="26"/>
  <c r="BY257" i="26"/>
  <c r="BM257" i="26"/>
  <c r="BS257" i="26"/>
  <c r="BT257" i="26"/>
  <c r="BI258" i="26"/>
  <c r="BJ258" i="26" s="1"/>
  <c r="BO257" i="26"/>
  <c r="BP257" i="26"/>
  <c r="BQ257" i="26"/>
  <c r="BR257" i="26"/>
  <c r="BL258" i="26" l="1"/>
  <c r="BW258" i="26"/>
  <c r="BK258" i="26"/>
  <c r="BN258" i="26" s="1"/>
  <c r="BV258" i="26"/>
  <c r="BM258" i="26" l="1"/>
  <c r="BQ258" i="26"/>
  <c r="BI259" i="26"/>
  <c r="BJ259" i="26" s="1"/>
  <c r="BU258" i="26"/>
  <c r="BO258" i="26"/>
  <c r="BY258" i="26"/>
  <c r="BR258" i="26"/>
  <c r="BS258" i="26"/>
  <c r="BP258" i="26"/>
  <c r="BT258" i="26"/>
  <c r="BH258" i="26"/>
  <c r="BX258" i="26"/>
  <c r="BV259" i="26" l="1"/>
  <c r="BL259" i="26"/>
  <c r="BY259" i="26" s="1"/>
  <c r="BK259" i="26"/>
  <c r="BM259" i="26" s="1"/>
  <c r="BW259" i="26"/>
  <c r="BO259" i="26" l="1"/>
  <c r="BT259" i="26"/>
  <c r="BU259" i="26"/>
  <c r="BS259" i="26"/>
  <c r="BH259" i="26"/>
  <c r="BX259" i="26"/>
  <c r="BI260" i="26"/>
  <c r="BJ260" i="26" s="1"/>
  <c r="BN259" i="26"/>
  <c r="BP259" i="26"/>
  <c r="BQ259" i="26"/>
  <c r="BR259" i="26"/>
  <c r="BL260" i="26" l="1"/>
  <c r="BW260" i="26"/>
  <c r="BK260" i="26"/>
  <c r="BR260" i="26" s="1"/>
  <c r="BV260" i="26"/>
  <c r="BQ260" i="26" l="1"/>
  <c r="BO260" i="26"/>
  <c r="BI261" i="26"/>
  <c r="BJ261" i="26" s="1"/>
  <c r="BY260" i="26"/>
  <c r="BM260" i="26"/>
  <c r="BN260" i="26"/>
  <c r="BU260" i="26"/>
  <c r="BS260" i="26"/>
  <c r="BP260" i="26"/>
  <c r="BT260" i="26"/>
  <c r="BH260" i="26"/>
  <c r="BX260" i="26"/>
  <c r="BV261" i="26" l="1"/>
  <c r="BL261" i="26"/>
  <c r="BY261" i="26" s="1"/>
  <c r="BK261" i="26"/>
  <c r="BM261" i="26" s="1"/>
  <c r="BW261" i="26"/>
  <c r="BT261" i="26" l="1"/>
  <c r="BU261" i="26"/>
  <c r="BO261" i="26"/>
  <c r="BH261" i="26"/>
  <c r="BX261" i="26"/>
  <c r="BS261" i="26"/>
  <c r="BI262" i="26"/>
  <c r="BJ262" i="26" s="1"/>
  <c r="BN261" i="26"/>
  <c r="BP261" i="26"/>
  <c r="BQ261" i="26"/>
  <c r="BR261" i="26"/>
  <c r="BL262" i="26" l="1"/>
  <c r="BW262" i="26"/>
  <c r="BK262" i="26"/>
  <c r="BQ262" i="26" s="1"/>
  <c r="BV262" i="26"/>
  <c r="BY262" i="26" l="1"/>
  <c r="BO262" i="26"/>
  <c r="BI263" i="26"/>
  <c r="BJ263" i="26" s="1"/>
  <c r="BU262" i="26"/>
  <c r="BM262" i="26"/>
  <c r="BN262" i="26"/>
  <c r="BR262" i="26"/>
  <c r="BS262" i="26"/>
  <c r="BP262" i="26"/>
  <c r="BT262" i="26"/>
  <c r="BH262" i="26"/>
  <c r="BX262" i="26"/>
  <c r="BV263" i="26" l="1"/>
  <c r="BL263" i="26"/>
  <c r="BN263" i="26" s="1"/>
  <c r="BW263" i="26"/>
  <c r="BK263" i="26"/>
  <c r="BM263" i="26" s="1"/>
  <c r="BH263" i="26" l="1"/>
  <c r="BX263" i="26"/>
  <c r="BY263" i="26"/>
  <c r="BT263" i="26"/>
  <c r="BU263" i="26"/>
  <c r="BO263" i="26"/>
  <c r="BI264" i="26"/>
  <c r="BJ264" i="26" s="1"/>
  <c r="BS263" i="26"/>
  <c r="BP263" i="26"/>
  <c r="BQ263" i="26"/>
  <c r="BR263" i="26"/>
  <c r="BL264" i="26" l="1"/>
  <c r="BW264" i="26"/>
  <c r="BK264" i="26"/>
  <c r="BM264" i="26" s="1"/>
  <c r="BV264" i="26"/>
  <c r="BN264" i="26" l="1"/>
  <c r="BI265" i="26"/>
  <c r="BJ265" i="26" s="1"/>
  <c r="BQ264" i="26"/>
  <c r="BU264" i="26"/>
  <c r="BY264" i="26"/>
  <c r="BO264" i="26"/>
  <c r="BR264" i="26"/>
  <c r="BS264" i="26"/>
  <c r="BP264" i="26"/>
  <c r="BT264" i="26"/>
  <c r="BH264" i="26"/>
  <c r="BX264" i="26"/>
  <c r="BV265" i="26" l="1"/>
  <c r="BL265" i="26"/>
  <c r="BY265" i="26" s="1"/>
  <c r="BK265" i="26"/>
  <c r="BM265" i="26" s="1"/>
  <c r="BW265" i="26"/>
  <c r="BH265" i="26" l="1"/>
  <c r="BX265" i="26"/>
  <c r="BS265" i="26"/>
  <c r="BT265" i="26"/>
  <c r="BU265" i="26"/>
  <c r="BI266" i="26"/>
  <c r="BJ266" i="26" s="1"/>
  <c r="BN265" i="26"/>
  <c r="BO265" i="26"/>
  <c r="BP265" i="26"/>
  <c r="BQ265" i="26"/>
  <c r="BR265" i="26"/>
  <c r="BL266" i="26" l="1"/>
  <c r="BW266" i="26"/>
  <c r="BK266" i="26"/>
  <c r="BY266" i="26" s="1"/>
  <c r="BV266" i="26"/>
  <c r="BM266" i="26" l="1"/>
  <c r="BQ266" i="26"/>
  <c r="BN266" i="26"/>
  <c r="BI267" i="26"/>
  <c r="BJ267" i="26" s="1"/>
  <c r="BU266" i="26"/>
  <c r="BO266" i="26"/>
  <c r="BR266" i="26"/>
  <c r="BS266" i="26"/>
  <c r="BP266" i="26"/>
  <c r="BT266" i="26"/>
  <c r="BH266" i="26"/>
  <c r="BX266" i="26"/>
  <c r="BV267" i="26" l="1"/>
  <c r="BL267" i="26"/>
  <c r="BY267" i="26" s="1"/>
  <c r="BK267" i="26"/>
  <c r="BM267" i="26" s="1"/>
  <c r="BW267" i="26"/>
  <c r="BO267" i="26" l="1"/>
  <c r="BT267" i="26"/>
  <c r="BU267" i="26"/>
  <c r="BS267" i="26"/>
  <c r="BH267" i="26"/>
  <c r="BX267" i="26"/>
  <c r="BI268" i="26"/>
  <c r="BJ268" i="26" s="1"/>
  <c r="BN267" i="26"/>
  <c r="BP267" i="26"/>
  <c r="BQ267" i="26"/>
  <c r="BR267" i="26"/>
  <c r="BL268" i="26" l="1"/>
  <c r="BW268" i="26"/>
  <c r="BK268" i="26"/>
  <c r="BR268" i="26" s="1"/>
  <c r="BV268" i="26"/>
  <c r="BQ268" i="26" l="1"/>
  <c r="BO268" i="26"/>
  <c r="BI269" i="26"/>
  <c r="BJ269" i="26" s="1"/>
  <c r="BY268" i="26"/>
  <c r="BM268" i="26"/>
  <c r="BN268" i="26"/>
  <c r="BU268" i="26"/>
  <c r="BS268" i="26"/>
  <c r="BP268" i="26"/>
  <c r="BT268" i="26"/>
  <c r="BH268" i="26"/>
  <c r="BX268" i="26"/>
  <c r="BV269" i="26" l="1"/>
  <c r="BL269" i="26"/>
  <c r="BY269" i="26" s="1"/>
  <c r="BK269" i="26"/>
  <c r="BM269" i="26" s="1"/>
  <c r="BW269" i="26"/>
  <c r="BT269" i="26" l="1"/>
  <c r="BU269" i="26"/>
  <c r="BO269" i="26"/>
  <c r="BH269" i="26"/>
  <c r="BX269" i="26"/>
  <c r="BS269" i="26"/>
  <c r="BI270" i="26"/>
  <c r="BJ270" i="26" s="1"/>
  <c r="BN269" i="26"/>
  <c r="BP269" i="26"/>
  <c r="BQ269" i="26"/>
  <c r="BR269" i="26"/>
  <c r="BL270" i="26" l="1"/>
  <c r="BW270" i="26"/>
  <c r="BK270" i="26"/>
  <c r="BR270" i="26" s="1"/>
  <c r="BV270" i="26"/>
  <c r="BU270" i="26" l="1"/>
  <c r="BM270" i="26"/>
  <c r="BO270" i="26"/>
  <c r="BI271" i="26"/>
  <c r="BJ271" i="26" s="1"/>
  <c r="BY270" i="26"/>
  <c r="BN270" i="26"/>
  <c r="BQ270" i="26"/>
  <c r="BS270" i="26"/>
  <c r="BP270" i="26"/>
  <c r="BT270" i="26"/>
  <c r="BH270" i="26"/>
  <c r="BX270" i="26"/>
  <c r="BV271" i="26" l="1"/>
  <c r="BL271" i="26"/>
  <c r="BN271" i="26" s="1"/>
  <c r="BW271" i="26"/>
  <c r="BK271" i="26"/>
  <c r="BM271" i="26" s="1"/>
  <c r="BH271" i="26" l="1"/>
  <c r="BX271" i="26"/>
  <c r="BY271" i="26"/>
  <c r="BT271" i="26"/>
  <c r="BU271" i="26"/>
  <c r="BO271" i="26"/>
  <c r="BI272" i="26"/>
  <c r="BJ272" i="26" s="1"/>
  <c r="BS271" i="26"/>
  <c r="BP271" i="26"/>
  <c r="BQ271" i="26"/>
  <c r="BR271" i="26"/>
  <c r="BL272" i="26" l="1"/>
  <c r="BW272" i="26"/>
  <c r="BK272" i="26"/>
  <c r="BM272" i="26" s="1"/>
  <c r="BV272" i="26"/>
  <c r="BQ272" i="26" l="1"/>
  <c r="BU272" i="26"/>
  <c r="BO272" i="26"/>
  <c r="BI273" i="26"/>
  <c r="BJ273" i="26" s="1"/>
  <c r="BY272" i="26"/>
  <c r="BN272" i="26"/>
  <c r="BR272" i="26"/>
  <c r="BS272" i="26"/>
  <c r="BP272" i="26"/>
  <c r="BT272" i="26"/>
  <c r="BH272" i="26"/>
  <c r="BX272" i="26"/>
  <c r="BV273" i="26" l="1"/>
  <c r="BL273" i="26"/>
  <c r="BN273" i="26" s="1"/>
  <c r="BK273" i="26"/>
  <c r="BU273" i="26" s="1"/>
  <c r="BW273" i="26"/>
  <c r="BH273" i="26" l="1"/>
  <c r="BX273" i="26"/>
  <c r="BY273" i="26"/>
  <c r="BM273" i="26"/>
  <c r="BS273" i="26"/>
  <c r="BT273" i="26"/>
  <c r="BI274" i="26"/>
  <c r="BJ274" i="26" s="1"/>
  <c r="BO273" i="26"/>
  <c r="BP273" i="26"/>
  <c r="BQ273" i="26"/>
  <c r="BR273" i="26"/>
  <c r="BL274" i="26" l="1"/>
  <c r="BW274" i="26"/>
  <c r="BK274" i="26"/>
  <c r="BN274" i="26" s="1"/>
  <c r="BV274" i="26"/>
  <c r="BM274" i="26" l="1"/>
  <c r="BQ274" i="26"/>
  <c r="BI275" i="26"/>
  <c r="BJ275" i="26" s="1"/>
  <c r="BU274" i="26"/>
  <c r="BO274" i="26"/>
  <c r="BY274" i="26"/>
  <c r="BR274" i="26"/>
  <c r="BS274" i="26"/>
  <c r="BP274" i="26"/>
  <c r="BT274" i="26"/>
  <c r="BH274" i="26"/>
  <c r="BX274" i="26"/>
  <c r="BV275" i="26" l="1"/>
  <c r="BL275" i="26"/>
  <c r="BY275" i="26" s="1"/>
  <c r="BK275" i="26"/>
  <c r="BM275" i="26" s="1"/>
  <c r="BW275" i="26"/>
  <c r="BO275" i="26" l="1"/>
  <c r="BT275" i="26"/>
  <c r="BU275" i="26"/>
  <c r="BS275" i="26"/>
  <c r="BH275" i="26"/>
  <c r="BX275" i="26"/>
  <c r="BI276" i="26"/>
  <c r="BJ276" i="26" s="1"/>
  <c r="BN275" i="26"/>
  <c r="BP275" i="26"/>
  <c r="BQ275" i="26"/>
  <c r="BR275" i="26"/>
  <c r="BL276" i="26" l="1"/>
  <c r="BW276" i="26"/>
  <c r="BK276" i="26"/>
  <c r="BM276" i="26" s="1"/>
  <c r="BV276" i="26"/>
  <c r="BI277" i="26" l="1"/>
  <c r="BJ277" i="26" s="1"/>
  <c r="BY276" i="26"/>
  <c r="BQ276" i="26"/>
  <c r="BN276" i="26"/>
  <c r="BO276" i="26"/>
  <c r="BU276" i="26"/>
  <c r="BR276" i="26"/>
  <c r="BS276" i="26"/>
  <c r="BP276" i="26"/>
  <c r="BT276" i="26"/>
  <c r="BH276" i="26"/>
  <c r="BX276" i="26"/>
  <c r="BV277" i="26" l="1"/>
  <c r="BL277" i="26"/>
  <c r="BY277" i="26" s="1"/>
  <c r="BK277" i="26"/>
  <c r="BM277" i="26" s="1"/>
  <c r="BW277" i="26"/>
  <c r="BT277" i="26" l="1"/>
  <c r="BU277" i="26"/>
  <c r="BO277" i="26"/>
  <c r="BH277" i="26"/>
  <c r="BX277" i="26"/>
  <c r="BS277" i="26"/>
  <c r="BI278" i="26"/>
  <c r="BJ278" i="26" s="1"/>
  <c r="BN277" i="26"/>
  <c r="BP277" i="26"/>
  <c r="BQ277" i="26"/>
  <c r="BR277" i="26"/>
  <c r="BL278" i="26" l="1"/>
  <c r="BW278" i="26"/>
  <c r="BK278" i="26"/>
  <c r="BR278" i="26" s="1"/>
  <c r="BV278" i="26"/>
  <c r="BU278" i="26" l="1"/>
  <c r="BM278" i="26"/>
  <c r="BO278" i="26"/>
  <c r="BI279" i="26"/>
  <c r="BJ279" i="26" s="1"/>
  <c r="BY278" i="26"/>
  <c r="BN278" i="26"/>
  <c r="BQ278" i="26"/>
  <c r="BS278" i="26"/>
  <c r="BP278" i="26"/>
  <c r="BT278" i="26"/>
  <c r="BH278" i="26"/>
  <c r="BX278" i="26"/>
  <c r="BV279" i="26" l="1"/>
  <c r="BL279" i="26"/>
  <c r="BN279" i="26" s="1"/>
  <c r="BW279" i="26"/>
  <c r="BK279" i="26"/>
  <c r="BU279" i="26" s="1"/>
  <c r="BH279" i="26" l="1"/>
  <c r="BX279" i="26"/>
  <c r="BY279" i="26"/>
  <c r="BO279" i="26"/>
  <c r="BM279" i="26"/>
  <c r="BT279" i="26"/>
  <c r="BI280" i="26"/>
  <c r="BJ280" i="26" s="1"/>
  <c r="BS279" i="26"/>
  <c r="BP279" i="26"/>
  <c r="BQ279" i="26"/>
  <c r="BR279" i="26"/>
  <c r="BL280" i="26" l="1"/>
  <c r="BW280" i="26"/>
  <c r="BK280" i="26"/>
  <c r="BM280" i="26" s="1"/>
  <c r="BV280" i="26"/>
  <c r="BQ280" i="26"/>
  <c r="BU280" i="26" l="1"/>
  <c r="BY280" i="26"/>
  <c r="BN280" i="26"/>
  <c r="BO280" i="26"/>
  <c r="BI281" i="26"/>
  <c r="BJ281" i="26" s="1"/>
  <c r="BR280" i="26"/>
  <c r="BS280" i="26"/>
  <c r="BP280" i="26"/>
  <c r="BT280" i="26"/>
  <c r="BH280" i="26"/>
  <c r="BX280" i="26"/>
  <c r="BV281" i="26" l="1"/>
  <c r="BU281" i="26"/>
  <c r="BT281" i="26"/>
  <c r="BL281" i="26"/>
  <c r="BN281" i="26" s="1"/>
  <c r="BH281" i="26"/>
  <c r="BS281" i="26"/>
  <c r="BK281" i="26"/>
  <c r="BY281" i="26" s="1"/>
  <c r="BW281" i="26"/>
  <c r="BM281" i="26" l="1"/>
  <c r="BX281" i="26"/>
  <c r="BI282" i="26"/>
  <c r="BJ282" i="26" s="1"/>
  <c r="BO281" i="26"/>
  <c r="BP281" i="26"/>
  <c r="BQ281" i="26"/>
  <c r="BR281" i="26"/>
  <c r="BL282" i="26" l="1"/>
  <c r="BW282" i="26"/>
  <c r="BK282" i="26"/>
  <c r="BO282" i="26" s="1"/>
  <c r="BV282" i="26"/>
  <c r="BQ282" i="26"/>
  <c r="BM282" i="26"/>
  <c r="BU282" i="26" l="1"/>
  <c r="BN282" i="26"/>
  <c r="BI283" i="26"/>
  <c r="BJ283" i="26" s="1"/>
  <c r="BY282" i="26"/>
  <c r="BR282" i="26"/>
  <c r="BS282" i="26"/>
  <c r="BP282" i="26"/>
  <c r="BT282" i="26"/>
  <c r="BH282" i="26"/>
  <c r="BX282" i="26"/>
  <c r="BV283" i="26" l="1"/>
  <c r="BL283" i="26"/>
  <c r="BY283" i="26" s="1"/>
  <c r="BK283" i="26"/>
  <c r="BM283" i="26" s="1"/>
  <c r="BW283" i="26"/>
  <c r="BP283" i="26" l="1"/>
  <c r="BQ283" i="26"/>
  <c r="BR283" i="26"/>
  <c r="BO283" i="26"/>
  <c r="BT283" i="26"/>
  <c r="BU283" i="26"/>
  <c r="BS283" i="26"/>
  <c r="BH283" i="26"/>
  <c r="BX283" i="26"/>
  <c r="BI284" i="26"/>
  <c r="BJ284" i="26" s="1"/>
  <c r="BN283" i="26"/>
  <c r="BL284" i="26" l="1"/>
  <c r="BW284" i="26"/>
  <c r="BK284" i="26"/>
  <c r="BR284" i="26" s="1"/>
  <c r="BV284" i="26"/>
  <c r="BQ284" i="26" l="1"/>
  <c r="BO284" i="26"/>
  <c r="BI285" i="26"/>
  <c r="BJ285" i="26" s="1"/>
  <c r="BY284" i="26"/>
  <c r="BM284" i="26"/>
  <c r="BN284" i="26"/>
  <c r="BU284" i="26"/>
  <c r="BS284" i="26"/>
  <c r="BP284" i="26"/>
  <c r="BT284" i="26"/>
  <c r="BH284" i="26"/>
  <c r="BX284" i="26"/>
  <c r="BV285" i="26" l="1"/>
  <c r="BL285" i="26"/>
  <c r="BY285" i="26" s="1"/>
  <c r="BK285" i="26"/>
  <c r="BM285" i="26" s="1"/>
  <c r="BW285" i="26"/>
  <c r="BT285" i="26" l="1"/>
  <c r="BU285" i="26"/>
  <c r="BO285" i="26"/>
  <c r="BH285" i="26"/>
  <c r="BX285" i="26"/>
  <c r="BS285" i="26"/>
  <c r="BI286" i="26"/>
  <c r="BJ286" i="26" s="1"/>
  <c r="BN285" i="26"/>
  <c r="BP285" i="26"/>
  <c r="BQ285" i="26"/>
  <c r="BR285" i="26"/>
  <c r="BL286" i="26" l="1"/>
  <c r="BW286" i="26"/>
  <c r="BK286" i="26"/>
  <c r="BQ286" i="26" s="1"/>
  <c r="BV286" i="26"/>
  <c r="BU286" i="26" l="1"/>
  <c r="BM286" i="26"/>
  <c r="BO286" i="26"/>
  <c r="BI287" i="26"/>
  <c r="BJ287" i="26" s="1"/>
  <c r="BY286" i="26"/>
  <c r="BN286" i="26"/>
  <c r="BR286" i="26"/>
  <c r="BS286" i="26"/>
  <c r="BP286" i="26"/>
  <c r="BT286" i="26"/>
  <c r="BH286" i="26"/>
  <c r="BX286" i="26"/>
  <c r="BV287" i="26" l="1"/>
  <c r="BL287" i="26"/>
  <c r="BN287" i="26" s="1"/>
  <c r="BW287" i="26"/>
  <c r="BK287" i="26"/>
  <c r="BM287" i="26" s="1"/>
  <c r="BH287" i="26" l="1"/>
  <c r="BX287" i="26"/>
  <c r="BY287" i="26"/>
  <c r="BT287" i="26"/>
  <c r="BU287" i="26"/>
  <c r="BO287" i="26"/>
  <c r="BI288" i="26"/>
  <c r="BJ288" i="26" s="1"/>
  <c r="BS287" i="26"/>
  <c r="BP287" i="26"/>
  <c r="BQ287" i="26"/>
  <c r="BR287" i="26"/>
  <c r="BL288" i="26" l="1"/>
  <c r="BW288" i="26"/>
  <c r="BK288" i="26"/>
  <c r="BM288" i="26" s="1"/>
  <c r="BV288" i="26"/>
  <c r="BN288" i="26" l="1"/>
  <c r="BI289" i="26"/>
  <c r="BJ289" i="26" s="1"/>
  <c r="BQ288" i="26"/>
  <c r="BU288" i="26"/>
  <c r="BY288" i="26"/>
  <c r="BO288" i="26"/>
  <c r="BR288" i="26"/>
  <c r="BS288" i="26"/>
  <c r="BP288" i="26"/>
  <c r="BT288" i="26"/>
  <c r="BH288" i="26"/>
  <c r="BX288" i="26"/>
  <c r="BV289" i="26" l="1"/>
  <c r="BL289" i="26"/>
  <c r="BY289" i="26" s="1"/>
  <c r="BK289" i="26"/>
  <c r="BM289" i="26" s="1"/>
  <c r="BW289" i="26"/>
  <c r="BH289" i="26" l="1"/>
  <c r="BX289" i="26"/>
  <c r="BS289" i="26"/>
  <c r="BT289" i="26"/>
  <c r="BU289" i="26"/>
  <c r="BI290" i="26"/>
  <c r="BJ290" i="26" s="1"/>
  <c r="BN289" i="26"/>
  <c r="BO289" i="26"/>
  <c r="BP289" i="26"/>
  <c r="BQ289" i="26"/>
  <c r="BR289" i="26"/>
  <c r="BL290" i="26" l="1"/>
  <c r="BW290" i="26"/>
  <c r="BK290" i="26"/>
  <c r="BY290" i="26" s="1"/>
  <c r="BV290" i="26"/>
  <c r="BN290" i="26" l="1"/>
  <c r="BI291" i="26"/>
  <c r="BJ291" i="26" s="1"/>
  <c r="BM290" i="26"/>
  <c r="BQ290" i="26"/>
  <c r="BU290" i="26"/>
  <c r="BO290" i="26"/>
  <c r="BR290" i="26"/>
  <c r="BS290" i="26"/>
  <c r="BP290" i="26"/>
  <c r="BT290" i="26"/>
  <c r="BH290" i="26"/>
  <c r="BX290" i="26"/>
  <c r="BV291" i="26" l="1"/>
  <c r="BL291" i="26"/>
  <c r="BY291" i="26" s="1"/>
  <c r="BK291" i="26"/>
  <c r="BM291" i="26" s="1"/>
  <c r="BW291" i="26"/>
  <c r="BO291" i="26" l="1"/>
  <c r="BT291" i="26"/>
  <c r="BU291" i="26"/>
  <c r="BS291" i="26"/>
  <c r="BH291" i="26"/>
  <c r="BX291" i="26"/>
  <c r="BI292" i="26"/>
  <c r="BJ292" i="26" s="1"/>
  <c r="BN291" i="26"/>
  <c r="BP291" i="26"/>
  <c r="BQ291" i="26"/>
  <c r="BR291" i="26"/>
  <c r="BL292" i="26" l="1"/>
  <c r="BW292" i="26"/>
  <c r="BK292" i="26"/>
  <c r="BR292" i="26" s="1"/>
  <c r="BV292" i="26"/>
  <c r="BY292" i="26" l="1"/>
  <c r="BM292" i="26"/>
  <c r="BO292" i="26"/>
  <c r="BI293" i="26"/>
  <c r="BJ293" i="26" s="1"/>
  <c r="BQ292" i="26"/>
  <c r="BN292" i="26"/>
  <c r="BU292" i="26"/>
  <c r="BS292" i="26"/>
  <c r="BP292" i="26"/>
  <c r="BT292" i="26"/>
  <c r="BH292" i="26"/>
  <c r="BX292" i="26"/>
  <c r="BV293" i="26" l="1"/>
  <c r="BL293" i="26"/>
  <c r="BY293" i="26" s="1"/>
  <c r="BK293" i="26"/>
  <c r="BM293" i="26" s="1"/>
  <c r="BW293" i="26"/>
  <c r="BT293" i="26" l="1"/>
  <c r="BU293" i="26"/>
  <c r="BO293" i="26"/>
  <c r="BH293" i="26"/>
  <c r="BX293" i="26"/>
  <c r="BS293" i="26"/>
  <c r="BI294" i="26"/>
  <c r="BJ294" i="26" s="1"/>
  <c r="BN293" i="26"/>
  <c r="BP293" i="26"/>
  <c r="BQ293" i="26"/>
  <c r="BR293" i="26"/>
  <c r="BL294" i="26" l="1"/>
  <c r="BW294" i="26"/>
  <c r="BK294" i="26"/>
  <c r="BQ294" i="26" s="1"/>
  <c r="BV294" i="26"/>
  <c r="BY294" i="26" l="1"/>
  <c r="BO294" i="26"/>
  <c r="BI295" i="26"/>
  <c r="BJ295" i="26" s="1"/>
  <c r="BU294" i="26"/>
  <c r="BM294" i="26"/>
  <c r="BN294" i="26"/>
  <c r="BR294" i="26"/>
  <c r="BS294" i="26"/>
  <c r="BP294" i="26"/>
  <c r="BT294" i="26"/>
  <c r="BH294" i="26"/>
  <c r="BX294" i="26"/>
  <c r="BV295" i="26" l="1"/>
  <c r="BL295" i="26"/>
  <c r="BN295" i="26" s="1"/>
  <c r="BW295" i="26"/>
  <c r="BK295" i="26"/>
  <c r="BM295" i="26" s="1"/>
  <c r="BH295" i="26" l="1"/>
  <c r="BX295" i="26"/>
  <c r="BY295" i="26"/>
  <c r="BT295" i="26"/>
  <c r="BU295" i="26"/>
  <c r="BO295" i="26"/>
  <c r="BI296" i="26"/>
  <c r="BJ296" i="26" s="1"/>
  <c r="BS295" i="26"/>
  <c r="BP295" i="26"/>
  <c r="BQ295" i="26"/>
  <c r="BR295" i="26"/>
  <c r="BL296" i="26" l="1"/>
  <c r="BW296" i="26"/>
  <c r="BK296" i="26"/>
  <c r="BM296" i="26" s="1"/>
  <c r="BV296" i="26"/>
  <c r="BN296" i="26" l="1"/>
  <c r="BI297" i="26"/>
  <c r="BJ297" i="26" s="1"/>
  <c r="BQ296" i="26"/>
  <c r="BU296" i="26"/>
  <c r="BY296" i="26"/>
  <c r="BO296" i="26"/>
  <c r="BR296" i="26"/>
  <c r="BS296" i="26"/>
  <c r="BP296" i="26"/>
  <c r="BT296" i="26"/>
  <c r="BH296" i="26"/>
  <c r="BX296" i="26"/>
  <c r="BV297" i="26" l="1"/>
  <c r="BL297" i="26"/>
  <c r="BY297" i="26" s="1"/>
  <c r="BK297" i="26"/>
  <c r="BM297" i="26" s="1"/>
  <c r="BW297" i="26"/>
  <c r="BH297" i="26" l="1"/>
  <c r="BX297" i="26"/>
  <c r="BS297" i="26"/>
  <c r="BT297" i="26"/>
  <c r="BU297" i="26"/>
  <c r="BI298" i="26"/>
  <c r="BJ298" i="26" s="1"/>
  <c r="BN297" i="26"/>
  <c r="BO297" i="26"/>
  <c r="BP297" i="26"/>
  <c r="BQ297" i="26"/>
  <c r="BR297" i="26"/>
  <c r="BL298" i="26" l="1"/>
  <c r="BW298" i="26"/>
  <c r="BK298" i="26"/>
  <c r="BN298" i="26" s="1"/>
  <c r="BV298" i="26"/>
  <c r="BU298" i="26" l="1"/>
  <c r="BI299" i="26"/>
  <c r="BJ299" i="26" s="1"/>
  <c r="BM298" i="26"/>
  <c r="BQ298" i="26"/>
  <c r="BO298" i="26"/>
  <c r="BY298" i="26"/>
  <c r="BR298" i="26"/>
  <c r="BS298" i="26"/>
  <c r="BP298" i="26"/>
  <c r="BT298" i="26"/>
  <c r="BH298" i="26"/>
  <c r="BX298" i="26"/>
  <c r="BV299" i="26" l="1"/>
  <c r="BL299" i="26"/>
  <c r="BY299" i="26" s="1"/>
  <c r="BK299" i="26"/>
  <c r="BM299" i="26" s="1"/>
  <c r="BW299" i="26"/>
  <c r="BO299" i="26" l="1"/>
  <c r="BT299" i="26"/>
  <c r="BU299" i="26"/>
  <c r="BS299" i="26"/>
  <c r="BH299" i="26"/>
  <c r="BX299" i="26"/>
  <c r="BI300" i="26"/>
  <c r="BJ300" i="26" s="1"/>
  <c r="BN299" i="26"/>
  <c r="BP299" i="26"/>
  <c r="BQ299" i="26"/>
  <c r="BR299" i="26"/>
  <c r="BL300" i="26" l="1"/>
  <c r="BW300" i="26"/>
  <c r="BK300" i="26"/>
  <c r="BU300" i="26" s="1"/>
  <c r="BV300" i="26"/>
  <c r="BY300" i="26" l="1"/>
  <c r="BM300" i="26"/>
  <c r="BN300" i="26"/>
  <c r="BI301" i="26"/>
  <c r="BJ301" i="26" s="1"/>
  <c r="BQ300" i="26"/>
  <c r="BO300" i="26"/>
  <c r="BR300" i="26"/>
  <c r="BS300" i="26"/>
  <c r="BP300" i="26"/>
  <c r="BT300" i="26"/>
  <c r="BH300" i="26"/>
  <c r="BX300" i="26"/>
  <c r="BV301" i="26" l="1"/>
  <c r="BL301" i="26"/>
  <c r="BY301" i="26" s="1"/>
  <c r="BK301" i="26"/>
  <c r="BM301" i="26" s="1"/>
  <c r="BW301" i="26"/>
  <c r="BT301" i="26" l="1"/>
  <c r="BU301" i="26"/>
  <c r="BO301" i="26"/>
  <c r="BH301" i="26"/>
  <c r="BX301" i="26"/>
  <c r="BS301" i="26"/>
  <c r="BI302" i="26"/>
  <c r="BJ302" i="26" s="1"/>
  <c r="BN301" i="26"/>
  <c r="BP301" i="26"/>
  <c r="BQ301" i="26"/>
  <c r="BR301" i="26"/>
  <c r="BL302" i="26" l="1"/>
  <c r="BW302" i="26"/>
  <c r="BK302" i="26"/>
  <c r="BQ302" i="26" s="1"/>
  <c r="BV302" i="26"/>
  <c r="BU302" i="26" l="1"/>
  <c r="BM302" i="26"/>
  <c r="BO302" i="26"/>
  <c r="BI303" i="26"/>
  <c r="BJ303" i="26" s="1"/>
  <c r="BY302" i="26"/>
  <c r="BN302" i="26"/>
  <c r="BR302" i="26"/>
  <c r="BS302" i="26"/>
  <c r="BP302" i="26"/>
  <c r="BT302" i="26"/>
  <c r="BH302" i="26"/>
  <c r="BX302" i="26"/>
  <c r="BV303" i="26" l="1"/>
  <c r="BK303" i="26"/>
  <c r="BM303" i="26" s="1"/>
  <c r="BW303" i="26"/>
  <c r="BL303" i="26"/>
  <c r="BU303" i="26" s="1"/>
  <c r="BX303" i="26" l="1"/>
  <c r="BH303" i="26"/>
  <c r="BO303" i="26"/>
  <c r="BP303" i="26"/>
  <c r="BT303" i="26"/>
  <c r="BI304" i="26"/>
  <c r="BJ304" i="26" s="1"/>
  <c r="BQ303" i="26"/>
  <c r="BS303" i="26"/>
  <c r="BY303" i="26"/>
  <c r="BN303" i="26"/>
  <c r="BR303" i="26"/>
  <c r="BL304" i="26" l="1"/>
  <c r="BW304" i="26"/>
  <c r="BV304" i="26"/>
  <c r="BQ304" i="26"/>
  <c r="BK304" i="26"/>
  <c r="BM304" i="26" s="1"/>
  <c r="BO304" i="26"/>
  <c r="BN304" i="26" l="1"/>
  <c r="BI305" i="26"/>
  <c r="BJ305" i="26" s="1"/>
  <c r="BU304" i="26"/>
  <c r="BS304" i="26"/>
  <c r="BP304" i="26"/>
  <c r="BR304" i="26"/>
  <c r="BY304" i="26"/>
  <c r="BT304" i="26"/>
  <c r="BH304" i="26"/>
  <c r="BX304" i="26"/>
  <c r="BW305" i="26" l="1"/>
  <c r="BL305" i="26"/>
  <c r="BN305" i="26" s="1"/>
  <c r="BK305" i="26"/>
  <c r="BV305" i="26" s="1"/>
  <c r="BH305" i="26"/>
  <c r="BS305" i="26" l="1"/>
  <c r="BO305" i="26"/>
  <c r="BX305" i="26"/>
  <c r="BT305" i="26"/>
  <c r="BU305" i="26"/>
  <c r="BQ305" i="26"/>
  <c r="BP305" i="26"/>
  <c r="BY305" i="26"/>
  <c r="BI306" i="26"/>
  <c r="BJ306" i="26" s="1"/>
  <c r="BR305" i="26"/>
  <c r="BM305" i="26"/>
  <c r="BL306" i="26" l="1"/>
  <c r="BT306" i="26" s="1"/>
  <c r="BW306" i="26"/>
  <c r="BK306" i="26"/>
  <c r="BM306" i="26" s="1"/>
  <c r="BV306" i="26"/>
  <c r="BO306" i="26" l="1"/>
  <c r="BP306" i="26"/>
  <c r="BN306" i="26"/>
  <c r="BU306" i="26"/>
  <c r="BR306" i="26"/>
  <c r="BY306" i="26"/>
  <c r="BI307" i="26"/>
  <c r="BJ307" i="26" s="1"/>
  <c r="BQ306" i="26"/>
  <c r="BS306" i="26"/>
  <c r="BH306" i="26"/>
  <c r="BX306" i="26"/>
  <c r="BV307" i="26" l="1"/>
  <c r="BW307" i="26"/>
  <c r="BL307" i="26"/>
  <c r="BN307" i="26" s="1"/>
  <c r="BK307" i="26"/>
  <c r="BM307" i="26" s="1"/>
  <c r="BY307" i="26" l="1"/>
  <c r="BP307" i="26"/>
  <c r="BX307" i="26"/>
  <c r="BO307" i="26"/>
  <c r="BU307" i="26"/>
  <c r="BH307" i="26"/>
  <c r="BQ307" i="26"/>
  <c r="BS307" i="26"/>
  <c r="BT307" i="26"/>
  <c r="BI308" i="26"/>
  <c r="BJ308" i="26" s="1"/>
  <c r="BR307" i="26"/>
  <c r="BL308" i="26" l="1"/>
  <c r="BV308" i="26"/>
  <c r="BK308" i="26"/>
  <c r="BS308" i="26" s="1"/>
  <c r="BW308" i="26"/>
  <c r="BI309" i="26" l="1"/>
  <c r="BJ309" i="26" s="1"/>
  <c r="BR308" i="26"/>
  <c r="BY308" i="26"/>
  <c r="BQ308" i="26"/>
  <c r="BP308" i="26"/>
  <c r="BM308" i="26"/>
  <c r="BO308" i="26"/>
  <c r="BT308" i="26"/>
  <c r="BN308" i="26"/>
  <c r="BU308" i="26"/>
  <c r="BH308" i="26"/>
  <c r="BX308" i="26"/>
  <c r="BV309" i="26" l="1"/>
  <c r="BW309" i="26"/>
  <c r="BL309" i="26"/>
  <c r="BR309" i="26" s="1"/>
  <c r="BK309" i="26"/>
  <c r="BM309" i="26" s="1"/>
  <c r="BQ309" i="26" l="1"/>
  <c r="BS309" i="26"/>
  <c r="BY309" i="26"/>
  <c r="BT309" i="26"/>
  <c r="BP309" i="26"/>
  <c r="BN309" i="26"/>
  <c r="BX309" i="26"/>
  <c r="BU309" i="26"/>
  <c r="BH309" i="26"/>
  <c r="BO309" i="26"/>
  <c r="AZ17" i="35" l="1"/>
  <c r="AC22" i="35"/>
  <c r="AM20" i="35"/>
  <c r="AL27" i="35"/>
  <c r="AY6" i="35"/>
  <c r="AP30" i="35"/>
  <c r="Y12" i="35"/>
  <c r="BC14" i="35"/>
  <c r="AC31" i="35"/>
  <c r="AP13" i="35"/>
  <c r="AM33" i="35"/>
  <c r="AZ32" i="35"/>
  <c r="AZ25" i="35"/>
  <c r="BC22" i="35"/>
  <c r="AZ13" i="35"/>
  <c r="AP27" i="35"/>
  <c r="AP5" i="35"/>
  <c r="AZ5" i="35"/>
  <c r="Z19" i="35"/>
  <c r="BC35" i="35"/>
  <c r="AC33" i="35"/>
  <c r="Y22" i="35"/>
  <c r="Y24" i="35"/>
  <c r="AZ11" i="35"/>
  <c r="AL19" i="35"/>
  <c r="AP25" i="35"/>
  <c r="Z33" i="35"/>
  <c r="AM8" i="35"/>
  <c r="AM10" i="35"/>
  <c r="AY24" i="35"/>
  <c r="AL36" i="35"/>
  <c r="AY12" i="35"/>
  <c r="AL33" i="35"/>
  <c r="Z30" i="35"/>
  <c r="BC26" i="35"/>
  <c r="Z29" i="35"/>
  <c r="AL34" i="35"/>
  <c r="BC16" i="35"/>
  <c r="AC12" i="35"/>
  <c r="AM34" i="35"/>
  <c r="AM12" i="35"/>
  <c r="AY28" i="35"/>
  <c r="AP11" i="35"/>
  <c r="AY31" i="35"/>
  <c r="AL7" i="35"/>
  <c r="AZ7" i="35"/>
  <c r="AZ36" i="35"/>
  <c r="Z25" i="35"/>
  <c r="AZ35" i="35"/>
  <c r="Y16" i="35"/>
  <c r="AL21" i="35"/>
  <c r="AM28" i="35"/>
  <c r="AL25" i="35"/>
  <c r="AZ19" i="35"/>
  <c r="AY8" i="35"/>
  <c r="AL17" i="35"/>
  <c r="AP23" i="35"/>
  <c r="AL30" i="35"/>
  <c r="AY34" i="35"/>
  <c r="AM16" i="35"/>
  <c r="AY18" i="35"/>
  <c r="Z15" i="35"/>
  <c r="AY4" i="35"/>
  <c r="AP34" i="35"/>
  <c r="Y20" i="35"/>
  <c r="Y37" i="35"/>
  <c r="Y14" i="35"/>
  <c r="AL15" i="35"/>
  <c r="AC20" i="35"/>
  <c r="BC6" i="35"/>
  <c r="AC24" i="35"/>
  <c r="BC20" i="35"/>
  <c r="AZ9" i="35"/>
  <c r="AM24" i="35"/>
  <c r="BC4" i="35"/>
  <c r="AL5" i="35"/>
  <c r="AC18" i="35"/>
  <c r="BC31" i="35"/>
  <c r="Y28" i="35"/>
  <c r="AM37" i="35"/>
  <c r="BC10" i="35"/>
  <c r="BC12" i="35"/>
  <c r="AY26" i="35"/>
  <c r="AC30" i="35"/>
  <c r="AP9" i="35"/>
  <c r="Y36" i="35"/>
  <c r="AP29" i="35"/>
  <c r="Y32" i="35"/>
  <c r="AP15" i="35"/>
  <c r="AL37" i="35"/>
  <c r="BC8" i="35"/>
  <c r="AM31" i="35"/>
  <c r="AZ29" i="35"/>
  <c r="AY16" i="35"/>
  <c r="AP21" i="35"/>
  <c r="Z13" i="35"/>
  <c r="V13" i="35" s="1"/>
  <c r="C13" i="35" s="1"/>
  <c r="BC28" i="35"/>
  <c r="AM6" i="35"/>
  <c r="AL11" i="35"/>
  <c r="AL13" i="35"/>
  <c r="AP19" i="35"/>
  <c r="Z27" i="35"/>
  <c r="AC37" i="35"/>
  <c r="AM14" i="35"/>
  <c r="Z37" i="35"/>
  <c r="BC18" i="35"/>
  <c r="AY20" i="35"/>
  <c r="Z21" i="35"/>
  <c r="Y35" i="35"/>
  <c r="AL29" i="35"/>
  <c r="AY10" i="35"/>
  <c r="AC16" i="35"/>
  <c r="Z34" i="35"/>
  <c r="BC24" i="35"/>
  <c r="Y18" i="35"/>
  <c r="AL9" i="35"/>
  <c r="AC28" i="35"/>
  <c r="Z17" i="35"/>
  <c r="AY22" i="35"/>
  <c r="AP7" i="35"/>
  <c r="AM22" i="35"/>
  <c r="Y26" i="35"/>
  <c r="AZ15" i="35"/>
  <c r="AM18" i="35"/>
  <c r="AL23" i="35"/>
  <c r="AZ23" i="35"/>
  <c r="AC26" i="35"/>
  <c r="AC14" i="35"/>
  <c r="AY35" i="35"/>
  <c r="Z11" i="35"/>
  <c r="V11" i="35" s="1"/>
  <c r="C11" i="35" s="1"/>
  <c r="AM26" i="35"/>
  <c r="AL32" i="35"/>
  <c r="AZ21" i="35"/>
  <c r="Z23" i="35"/>
  <c r="Y33" i="35"/>
  <c r="AP17" i="35"/>
  <c r="AM35" i="35"/>
  <c r="AZ27" i="35"/>
  <c r="AM4" i="35"/>
  <c r="AY14" i="35"/>
  <c r="AP35" i="35"/>
  <c r="J48" i="9"/>
  <c r="AM7" i="35"/>
  <c r="AW27" i="35"/>
  <c r="AP14" i="35"/>
  <c r="BB37" i="35"/>
  <c r="BB19" i="35"/>
  <c r="J63" i="9"/>
  <c r="AV15" i="35"/>
  <c r="AX15" i="35" s="1"/>
  <c r="AP32" i="35"/>
  <c r="AH30" i="35"/>
  <c r="AY33" i="35"/>
  <c r="AV16" i="35"/>
  <c r="AX16" i="35" s="1"/>
  <c r="BA36" i="35"/>
  <c r="AO14" i="35"/>
  <c r="I70" i="9"/>
  <c r="K70" i="9" s="1"/>
  <c r="Q70" i="9" s="1"/>
  <c r="E103" i="9" s="1"/>
  <c r="AJ17" i="35"/>
  <c r="AZ30" i="35"/>
  <c r="BI11" i="35"/>
  <c r="BK11" i="35" s="1"/>
  <c r="AW9" i="35"/>
  <c r="J62" i="9"/>
  <c r="AP28" i="35"/>
  <c r="BH28" i="35"/>
  <c r="J54" i="9"/>
  <c r="BJ31" i="35"/>
  <c r="AA22" i="35"/>
  <c r="BA15" i="35"/>
  <c r="AV36" i="35"/>
  <c r="AX36" i="35" s="1"/>
  <c r="BI10" i="35"/>
  <c r="BK10" i="35" s="1"/>
  <c r="I52" i="9"/>
  <c r="K52" i="9" s="1"/>
  <c r="Q52" i="9" s="1"/>
  <c r="E85" i="9" s="1"/>
  <c r="Z36" i="35"/>
  <c r="AA24" i="35"/>
  <c r="AO28" i="35"/>
  <c r="BH26" i="35"/>
  <c r="AU35" i="35"/>
  <c r="AV5" i="35"/>
  <c r="AX5" i="35" s="1"/>
  <c r="I58" i="9"/>
  <c r="K58" i="9" s="1"/>
  <c r="Q58" i="9" s="1"/>
  <c r="E91" i="9" s="1"/>
  <c r="AU8" i="35"/>
  <c r="AI22" i="35"/>
  <c r="AV6" i="35"/>
  <c r="AX6" i="35" s="1"/>
  <c r="BJ14" i="35"/>
  <c r="BA27" i="35"/>
  <c r="AB28" i="35"/>
  <c r="AW34" i="35"/>
  <c r="AH33" i="35"/>
  <c r="BH9" i="35"/>
  <c r="J55" i="9"/>
  <c r="I69" i="9"/>
  <c r="K69" i="9" s="1"/>
  <c r="Q69" i="9" s="1"/>
  <c r="E102" i="9" s="1"/>
  <c r="AJ27" i="35"/>
  <c r="AJ26" i="35"/>
  <c r="BA19" i="35"/>
  <c r="AB20" i="35"/>
  <c r="J57" i="9"/>
  <c r="AI27" i="35"/>
  <c r="I68" i="9"/>
  <c r="K68" i="9" s="1"/>
  <c r="Q68" i="9" s="1"/>
  <c r="E101" i="9" s="1"/>
  <c r="AJ31" i="35"/>
  <c r="AO35" i="35"/>
  <c r="AU34" i="35"/>
  <c r="AV22" i="35"/>
  <c r="AX22" i="35" s="1"/>
  <c r="AJ20" i="35"/>
  <c r="Z35" i="35"/>
  <c r="BI35" i="35"/>
  <c r="BK35" i="35" s="1"/>
  <c r="AU13" i="35"/>
  <c r="AV8" i="35"/>
  <c r="AX8" i="35" s="1"/>
  <c r="AI31" i="35"/>
  <c r="BI34" i="35"/>
  <c r="BK34" i="35" s="1"/>
  <c r="AV35" i="35"/>
  <c r="AX35" i="35" s="1"/>
  <c r="AN37" i="35"/>
  <c r="AA18" i="35"/>
  <c r="I49" i="9"/>
  <c r="AO24" i="35"/>
  <c r="AN14" i="35"/>
  <c r="BB14" i="35"/>
  <c r="BI36" i="35"/>
  <c r="BK36" i="35" s="1"/>
  <c r="J42" i="9"/>
  <c r="AI36" i="35"/>
  <c r="BI16" i="35"/>
  <c r="BK16" i="35" s="1"/>
  <c r="G66" i="9"/>
  <c r="AV25" i="35"/>
  <c r="AX25" i="35" s="1"/>
  <c r="BH32" i="35"/>
  <c r="AI17" i="35"/>
  <c r="AW25" i="35"/>
  <c r="I51" i="9"/>
  <c r="K51" i="9" s="1"/>
  <c r="Q51" i="9" s="1"/>
  <c r="E84" i="9" s="1"/>
  <c r="AO22" i="35"/>
  <c r="BI20" i="35"/>
  <c r="BK20" i="35" s="1"/>
  <c r="AO33" i="35"/>
  <c r="BB7" i="35"/>
  <c r="AH21" i="35"/>
  <c r="I67" i="9"/>
  <c r="K67" i="9" s="1"/>
  <c r="Q67" i="9" s="1"/>
  <c r="E100" i="9" s="1"/>
  <c r="BH29" i="35"/>
  <c r="AO37" i="35"/>
  <c r="BI19" i="35"/>
  <c r="BK19" i="35" s="1"/>
  <c r="AW17" i="35"/>
  <c r="BA30" i="35"/>
  <c r="BH30" i="35"/>
  <c r="BH10" i="35"/>
  <c r="AB21" i="35"/>
  <c r="AW16" i="35"/>
  <c r="AW19" i="35"/>
  <c r="AP6" i="35"/>
  <c r="AN32" i="35"/>
  <c r="BA6" i="35"/>
  <c r="I53" i="9"/>
  <c r="K53" i="9" s="1"/>
  <c r="Q53" i="9" s="1"/>
  <c r="E86" i="9" s="1"/>
  <c r="AV9" i="35"/>
  <c r="AX9" i="35" s="1"/>
  <c r="AN23" i="35"/>
  <c r="J69" i="9"/>
  <c r="AU7" i="35"/>
  <c r="BA32" i="35"/>
  <c r="AI29" i="35"/>
  <c r="AJ24" i="35"/>
  <c r="J60" i="9"/>
  <c r="BI8" i="35"/>
  <c r="BK8" i="35" s="1"/>
  <c r="AU17" i="35"/>
  <c r="AO31" i="35"/>
  <c r="AP36" i="35"/>
  <c r="Z32" i="35"/>
  <c r="BJ33" i="35"/>
  <c r="BA10" i="35"/>
  <c r="BH15" i="35"/>
  <c r="Y34" i="35"/>
  <c r="G54" i="9"/>
  <c r="BA9" i="35"/>
  <c r="AN19" i="35"/>
  <c r="AU11" i="35"/>
  <c r="G52" i="9"/>
  <c r="BI27" i="35"/>
  <c r="BK27" i="35" s="1"/>
  <c r="AN11" i="35"/>
  <c r="AN6" i="35"/>
  <c r="BB6" i="35"/>
  <c r="AU31" i="35"/>
  <c r="I54" i="9"/>
  <c r="K54" i="9" s="1"/>
  <c r="Q54" i="9" s="1"/>
  <c r="E87" i="9" s="1"/>
  <c r="AU24" i="35"/>
  <c r="AB32" i="35"/>
  <c r="BC13" i="35"/>
  <c r="AH14" i="35"/>
  <c r="AL24" i="35"/>
  <c r="AM27" i="35"/>
  <c r="BJ4" i="35"/>
  <c r="BB15" i="35"/>
  <c r="AV19" i="35"/>
  <c r="AX19" i="35" s="1"/>
  <c r="AU21" i="35"/>
  <c r="BI5" i="35"/>
  <c r="BK5" i="35" s="1"/>
  <c r="AM17" i="35"/>
  <c r="BA25" i="35"/>
  <c r="AC32" i="35"/>
  <c r="BI31" i="35"/>
  <c r="BK31" i="35" s="1"/>
  <c r="BJ13" i="35"/>
  <c r="G63" i="9"/>
  <c r="BA26" i="35"/>
  <c r="BI33" i="35"/>
  <c r="BK33" i="35" s="1"/>
  <c r="BC17" i="35"/>
  <c r="AH18" i="35"/>
  <c r="BJ29" i="35"/>
  <c r="G61" i="9"/>
  <c r="AV37" i="35"/>
  <c r="AX37" i="35" s="1"/>
  <c r="AJ15" i="35"/>
  <c r="BB12" i="35"/>
  <c r="Y21" i="35"/>
  <c r="AI35" i="35"/>
  <c r="AM29" i="35"/>
  <c r="AU10" i="35"/>
  <c r="I43" i="9"/>
  <c r="BJ27" i="35"/>
  <c r="AV33" i="35"/>
  <c r="AX33" i="35" s="1"/>
  <c r="AV10" i="35"/>
  <c r="AX10" i="35" s="1"/>
  <c r="AW5" i="35"/>
  <c r="AH37" i="35"/>
  <c r="BC21" i="35"/>
  <c r="AH22" i="35"/>
  <c r="AC34" i="35"/>
  <c r="BJ5" i="35"/>
  <c r="AW23" i="35"/>
  <c r="AP10" i="35"/>
  <c r="BH35" i="35"/>
  <c r="AV28" i="35"/>
  <c r="AX28" i="35" s="1"/>
  <c r="AU16" i="35"/>
  <c r="AH29" i="35"/>
  <c r="AA23" i="35"/>
  <c r="AH34" i="35"/>
  <c r="AK34" i="35" s="1"/>
  <c r="BB28" i="35"/>
  <c r="BB9" i="35"/>
  <c r="AB17" i="35"/>
  <c r="AW15" i="35"/>
  <c r="BB21" i="35"/>
  <c r="AB22" i="35"/>
  <c r="Y25" i="35"/>
  <c r="AW37" i="35"/>
  <c r="Z28" i="35"/>
  <c r="AW8" i="35"/>
  <c r="BJ15" i="35"/>
  <c r="AU14" i="35"/>
  <c r="AY5" i="35"/>
  <c r="AZ8" i="35"/>
  <c r="BB30" i="35"/>
  <c r="AN22" i="35"/>
  <c r="BB22" i="35"/>
  <c r="G44" i="9"/>
  <c r="AJ25" i="35"/>
  <c r="BA20" i="35"/>
  <c r="AJ22" i="35"/>
  <c r="BJ32" i="35"/>
  <c r="AO23" i="35"/>
  <c r="BC32" i="35"/>
  <c r="AZ34" i="35"/>
  <c r="AJ34" i="35"/>
  <c r="BI12" i="35"/>
  <c r="BK12" i="35" s="1"/>
  <c r="BB16" i="35"/>
  <c r="AY19" i="35"/>
  <c r="AH36" i="35"/>
  <c r="AZ22" i="35"/>
  <c r="AP31" i="35"/>
  <c r="AO34" i="35"/>
  <c r="AH35" i="35"/>
  <c r="G60" i="9"/>
  <c r="AV29" i="35"/>
  <c r="AX29" i="35" s="1"/>
  <c r="AW32" i="35"/>
  <c r="AC21" i="35"/>
  <c r="J45" i="9"/>
  <c r="AM30" i="35"/>
  <c r="AU22" i="35"/>
  <c r="AM25" i="35"/>
  <c r="AM36" i="35"/>
  <c r="BB11" i="35"/>
  <c r="BI22" i="35"/>
  <c r="BK22" i="35" s="1"/>
  <c r="AM13" i="35"/>
  <c r="AA19" i="35"/>
  <c r="G58" i="9"/>
  <c r="AN17" i="35"/>
  <c r="I62" i="9"/>
  <c r="K62" i="9" s="1"/>
  <c r="Q62" i="9" s="1"/>
  <c r="E95" i="9" s="1"/>
  <c r="BJ11" i="35"/>
  <c r="BB25" i="35"/>
  <c r="BC5" i="35"/>
  <c r="AV31" i="35"/>
  <c r="AX31" i="35" s="1"/>
  <c r="AL16" i="35"/>
  <c r="AM19" i="35"/>
  <c r="J65" i="9"/>
  <c r="AP26" i="35"/>
  <c r="J44" i="9"/>
  <c r="AL6" i="35"/>
  <c r="BI30" i="35"/>
  <c r="BK30" i="35" s="1"/>
  <c r="Z20" i="35"/>
  <c r="AN28" i="35"/>
  <c r="BC29" i="35"/>
  <c r="AI30" i="35"/>
  <c r="I45" i="9"/>
  <c r="AN25" i="35"/>
  <c r="BJ20" i="35"/>
  <c r="BC7" i="35"/>
  <c r="AO32" i="35"/>
  <c r="AN30" i="35"/>
  <c r="AY32" i="35"/>
  <c r="BJ26" i="35"/>
  <c r="J66" i="9"/>
  <c r="AI24" i="35"/>
  <c r="AJ23" i="35"/>
  <c r="Z14" i="35"/>
  <c r="I61" i="9"/>
  <c r="K61" i="9" s="1"/>
  <c r="Q61" i="9" s="1"/>
  <c r="E94" i="9" s="1"/>
  <c r="AN15" i="35"/>
  <c r="BH18" i="35"/>
  <c r="AO6" i="35"/>
  <c r="AW29" i="35"/>
  <c r="J47" i="9"/>
  <c r="AU28" i="35"/>
  <c r="AN27" i="35"/>
  <c r="AY13" i="35"/>
  <c r="AZ16" i="35"/>
  <c r="AC36" i="35"/>
  <c r="BC23" i="35"/>
  <c r="I50" i="9"/>
  <c r="BA35" i="35"/>
  <c r="BJ9" i="35"/>
  <c r="AZ6" i="35"/>
  <c r="AA15" i="35"/>
  <c r="BH27" i="35"/>
  <c r="BB20" i="35"/>
  <c r="Y29" i="35"/>
  <c r="AL35" i="35"/>
  <c r="AB31" i="35"/>
  <c r="I44" i="9"/>
  <c r="BC30" i="35"/>
  <c r="BB29" i="35"/>
  <c r="AY25" i="35"/>
  <c r="AM23" i="35"/>
  <c r="J52" i="9"/>
  <c r="AY30" i="35"/>
  <c r="J67" i="9"/>
  <c r="AL10" i="35"/>
  <c r="BA24" i="35"/>
  <c r="AZ18" i="35"/>
  <c r="AN24" i="35"/>
  <c r="BB31" i="35"/>
  <c r="AU32" i="35"/>
  <c r="J50" i="9"/>
  <c r="AI20" i="35"/>
  <c r="BA34" i="35"/>
  <c r="BA33" i="35"/>
  <c r="AY21" i="35"/>
  <c r="AZ24" i="35"/>
  <c r="BJ12" i="35"/>
  <c r="AI28" i="35"/>
  <c r="AB33" i="35"/>
  <c r="AU29" i="35"/>
  <c r="AH23" i="35"/>
  <c r="AK23" i="35" s="1"/>
  <c r="BB13" i="35"/>
  <c r="AN10" i="35"/>
  <c r="BB10" i="35"/>
  <c r="BI37" i="35"/>
  <c r="BK37" i="35" s="1"/>
  <c r="AV20" i="35"/>
  <c r="AX20" i="35" s="1"/>
  <c r="I57" i="9"/>
  <c r="K57" i="9" s="1"/>
  <c r="Q57" i="9" s="1"/>
  <c r="E90" i="9" s="1"/>
  <c r="AB25" i="35"/>
  <c r="AW4" i="35"/>
  <c r="AO11" i="35"/>
  <c r="AL14" i="35"/>
  <c r="AB27" i="35"/>
  <c r="BJ10" i="35"/>
  <c r="I59" i="9"/>
  <c r="K59" i="9" s="1"/>
  <c r="Q59" i="9" s="1"/>
  <c r="E92" i="9" s="1"/>
  <c r="AC27" i="35"/>
  <c r="AU27" i="35"/>
  <c r="G67" i="9"/>
  <c r="AJ21" i="35"/>
  <c r="BH19" i="35"/>
  <c r="BA11" i="35"/>
  <c r="AP33" i="35"/>
  <c r="J59" i="9"/>
  <c r="AA16" i="35"/>
  <c r="AA30" i="35"/>
  <c r="AP8" i="35"/>
  <c r="BH8" i="35"/>
  <c r="J58" i="9"/>
  <c r="AI25" i="35"/>
  <c r="BJ22" i="35"/>
  <c r="G50" i="9"/>
  <c r="K50" i="9" s="1"/>
  <c r="Q50" i="9" s="1"/>
  <c r="E83" i="9" s="1"/>
  <c r="BH17" i="35"/>
  <c r="BA16" i="35"/>
  <c r="I56" i="9"/>
  <c r="K56" i="9" s="1"/>
  <c r="Q56" i="9" s="1"/>
  <c r="E89" i="9" s="1"/>
  <c r="AZ4" i="35"/>
  <c r="AI26" i="35"/>
  <c r="AN18" i="35"/>
  <c r="AZ10" i="35"/>
  <c r="AB30" i="35"/>
  <c r="BB5" i="35"/>
  <c r="AZ14" i="35"/>
  <c r="I55" i="9"/>
  <c r="K55" i="9" s="1"/>
  <c r="Q55" i="9" s="1"/>
  <c r="E88" i="9" s="1"/>
  <c r="AP24" i="35"/>
  <c r="BH24" i="35"/>
  <c r="BH5" i="35"/>
  <c r="J49" i="9"/>
  <c r="AN8" i="35"/>
  <c r="AC15" i="35"/>
  <c r="AU15" i="35"/>
  <c r="G43" i="9"/>
  <c r="AV26" i="35"/>
  <c r="AX26" i="35" s="1"/>
  <c r="AW21" i="35"/>
  <c r="BC37" i="35"/>
  <c r="BA4" i="35"/>
  <c r="BH14" i="35"/>
  <c r="AH27" i="35"/>
  <c r="AK27" i="35" s="1"/>
  <c r="AL31" i="35"/>
  <c r="BJ28" i="35"/>
  <c r="BC15" i="35"/>
  <c r="I46" i="9"/>
  <c r="AV21" i="35"/>
  <c r="AX21" i="35" s="1"/>
  <c r="AA14" i="35"/>
  <c r="AM9" i="35"/>
  <c r="BA17" i="35"/>
  <c r="AC19" i="35"/>
  <c r="AU19" i="35"/>
  <c r="AY29" i="35"/>
  <c r="I48" i="9"/>
  <c r="AV27" i="35"/>
  <c r="AX27" i="35" s="1"/>
  <c r="BC9" i="35"/>
  <c r="AO36" i="35"/>
  <c r="AI21" i="35"/>
  <c r="AJ16" i="35"/>
  <c r="AA29" i="35"/>
  <c r="AO29" i="35"/>
  <c r="AU9" i="35"/>
  <c r="BA18" i="35"/>
  <c r="AB23" i="35"/>
  <c r="AU37" i="35"/>
  <c r="AP37" i="35"/>
  <c r="BI14" i="35"/>
  <c r="BK14" i="35" s="1"/>
  <c r="AO20" i="35"/>
  <c r="BI23" i="35"/>
  <c r="BK23" i="35" s="1"/>
  <c r="BJ18" i="35"/>
  <c r="AM32" i="35"/>
  <c r="AN33" i="35"/>
  <c r="AN4" i="35"/>
  <c r="AO16" i="35"/>
  <c r="BJ6" i="35"/>
  <c r="G53" i="9"/>
  <c r="AJ32" i="35"/>
  <c r="AV34" i="35"/>
  <c r="AX34" i="35" s="1"/>
  <c r="AN7" i="35"/>
  <c r="AW10" i="35"/>
  <c r="AU33" i="35"/>
  <c r="G49" i="9"/>
  <c r="BB32" i="35"/>
  <c r="AU25" i="35"/>
  <c r="AV12" i="35"/>
  <c r="AX12" i="35" s="1"/>
  <c r="AB35" i="35"/>
  <c r="J46" i="9"/>
  <c r="BB23" i="35"/>
  <c r="BA28" i="35"/>
  <c r="AV18" i="35"/>
  <c r="AX18" i="35" s="1"/>
  <c r="AW13" i="35"/>
  <c r="AN26" i="35"/>
  <c r="BB26" i="35"/>
  <c r="BH6" i="35"/>
  <c r="AW14" i="35"/>
  <c r="AU18" i="35"/>
  <c r="BA13" i="35"/>
  <c r="AJ30" i="35"/>
  <c r="AO27" i="35"/>
  <c r="AL28" i="35"/>
  <c r="Z26" i="35"/>
  <c r="G59" i="9"/>
  <c r="AN13" i="35"/>
  <c r="AH20" i="35"/>
  <c r="AK20" i="35" s="1"/>
  <c r="BH37" i="35"/>
  <c r="AW33" i="35"/>
  <c r="AU20" i="35"/>
  <c r="AA33" i="35"/>
  <c r="BB8" i="35"/>
  <c r="AY11" i="35"/>
  <c r="AL20" i="35"/>
  <c r="AZ28" i="35"/>
  <c r="G69" i="9"/>
  <c r="AV17" i="35"/>
  <c r="AX17" i="35" s="1"/>
  <c r="BB17" i="35"/>
  <c r="BH22" i="35"/>
  <c r="BI9" i="35"/>
  <c r="BK9" i="35" s="1"/>
  <c r="BA37" i="35"/>
  <c r="BJ7" i="35"/>
  <c r="G65" i="9"/>
  <c r="AH19" i="35"/>
  <c r="AW24" i="35"/>
  <c r="AP4" i="35"/>
  <c r="AB29" i="35"/>
  <c r="AJ36" i="35"/>
  <c r="AP16" i="35"/>
  <c r="BH16" i="35"/>
  <c r="Y27" i="35"/>
  <c r="Y30" i="35"/>
  <c r="AW7" i="35"/>
  <c r="BJ19" i="35"/>
  <c r="BH23" i="35"/>
  <c r="AH24" i="35"/>
  <c r="AK24" i="35" s="1"/>
  <c r="AI19" i="35"/>
  <c r="J53" i="9"/>
  <c r="AW18" i="35"/>
  <c r="I66" i="9"/>
  <c r="K66" i="9" s="1"/>
  <c r="Q66" i="9" s="1"/>
  <c r="E99" i="9" s="1"/>
  <c r="AN21" i="35"/>
  <c r="AA36" i="35"/>
  <c r="AV14" i="35"/>
  <c r="AX14" i="35" s="1"/>
  <c r="AA25" i="35"/>
  <c r="AO25" i="35"/>
  <c r="AU5" i="35"/>
  <c r="I47" i="9"/>
  <c r="BI18" i="35"/>
  <c r="BK18" i="35" s="1"/>
  <c r="BA7" i="35"/>
  <c r="AO30" i="35"/>
  <c r="AN31" i="35"/>
  <c r="BI17" i="35"/>
  <c r="BK17" i="35" s="1"/>
  <c r="I63" i="9"/>
  <c r="K63" i="9" s="1"/>
  <c r="Q63" i="9" s="1"/>
  <c r="E96" i="9" s="1"/>
  <c r="BA5" i="35"/>
  <c r="AH17" i="35"/>
  <c r="AK17" i="35" s="1"/>
  <c r="AO19" i="35"/>
  <c r="AL22" i="35"/>
  <c r="AW31" i="35"/>
  <c r="AO12" i="35"/>
  <c r="BJ16" i="35"/>
  <c r="BJ36" i="35"/>
  <c r="AW35" i="35"/>
  <c r="AU36" i="35"/>
  <c r="AW36" i="35"/>
  <c r="AN5" i="35"/>
  <c r="AJ19" i="35"/>
  <c r="I60" i="9"/>
  <c r="K60" i="9" s="1"/>
  <c r="Q60" i="9" s="1"/>
  <c r="E93" i="9" s="1"/>
  <c r="BH4" i="35"/>
  <c r="AA35" i="35"/>
  <c r="BI15" i="35"/>
  <c r="BK15" i="35" s="1"/>
  <c r="BJ35" i="35"/>
  <c r="BA23" i="35"/>
  <c r="AB24" i="35"/>
  <c r="G56" i="9"/>
  <c r="AO10" i="35"/>
  <c r="AI14" i="35"/>
  <c r="AJ18" i="35"/>
  <c r="AV4" i="35"/>
  <c r="AX4" i="35" s="1"/>
  <c r="BB34" i="35"/>
  <c r="AU4" i="35"/>
  <c r="BA14" i="35"/>
  <c r="BI4" i="35"/>
  <c r="BK4" i="35" s="1"/>
  <c r="AL4" i="35"/>
  <c r="AO5" i="35"/>
  <c r="BB36" i="35"/>
  <c r="Y19" i="35"/>
  <c r="Z22" i="35"/>
  <c r="G70" i="9"/>
  <c r="BI6" i="35"/>
  <c r="BK6" i="35" s="1"/>
  <c r="AH16" i="35"/>
  <c r="AK16" i="35" s="1"/>
  <c r="AN29" i="35"/>
  <c r="BI24" i="35"/>
  <c r="BK24" i="35" s="1"/>
  <c r="BJ24" i="35"/>
  <c r="BC11" i="35"/>
  <c r="AA34" i="35"/>
  <c r="AH15" i="35"/>
  <c r="AK15" i="35" s="1"/>
  <c r="G57" i="9"/>
  <c r="AI37" i="35"/>
  <c r="AN35" i="35"/>
  <c r="AC23" i="35"/>
  <c r="AU23" i="35"/>
  <c r="BB18" i="35"/>
  <c r="AN16" i="35"/>
  <c r="AU30" i="35"/>
  <c r="AA21" i="35"/>
  <c r="AO21" i="35"/>
  <c r="I64" i="9"/>
  <c r="K64" i="9" s="1"/>
  <c r="Q64" i="9" s="1"/>
  <c r="E97" i="9" s="1"/>
  <c r="AZ31" i="35"/>
  <c r="AW22" i="35"/>
  <c r="AZ37" i="35"/>
  <c r="AO9" i="35"/>
  <c r="AB36" i="35"/>
  <c r="Y23" i="35"/>
  <c r="AZ20" i="35"/>
  <c r="BJ37" i="35"/>
  <c r="BC27" i="35"/>
  <c r="G47" i="9"/>
  <c r="K47" i="9" s="1"/>
  <c r="Q47" i="9" s="1"/>
  <c r="E80" i="9" s="1"/>
  <c r="I79" i="9" s="1"/>
  <c r="AY7" i="35"/>
  <c r="AW20" i="35"/>
  <c r="Z16" i="35"/>
  <c r="BA21" i="35"/>
  <c r="AN36" i="35"/>
  <c r="AW6" i="35"/>
  <c r="AV11" i="35"/>
  <c r="AX11" i="35" s="1"/>
  <c r="BI7" i="35"/>
  <c r="BK7" i="35" s="1"/>
  <c r="AZ33" i="35"/>
  <c r="BB33" i="35"/>
  <c r="AB16" i="35"/>
  <c r="G42" i="9"/>
  <c r="K42" i="9" s="1"/>
  <c r="Q42" i="9" s="1"/>
  <c r="E75" i="9" s="1"/>
  <c r="BI25" i="35"/>
  <c r="BK25" i="35" s="1"/>
  <c r="BH13" i="35"/>
  <c r="J51" i="9"/>
  <c r="AB37" i="35"/>
  <c r="AN34" i="35"/>
  <c r="AY17" i="35"/>
  <c r="AM15" i="35"/>
  <c r="BH36" i="35"/>
  <c r="AP22" i="35"/>
  <c r="J68" i="9"/>
  <c r="AH32" i="35"/>
  <c r="AK32" i="35" s="1"/>
  <c r="BH11" i="35"/>
  <c r="AM21" i="35"/>
  <c r="AA27" i="35"/>
  <c r="AA37" i="35"/>
  <c r="AY37" i="35"/>
  <c r="AY9" i="35"/>
  <c r="Z18" i="35"/>
  <c r="AI34" i="35"/>
  <c r="AC25" i="35"/>
  <c r="G64" i="9"/>
  <c r="AU26" i="35"/>
  <c r="AC35" i="35"/>
  <c r="AI33" i="35"/>
  <c r="BC25" i="35"/>
  <c r="AH26" i="35"/>
  <c r="AK26" i="35" s="1"/>
  <c r="BC36" i="35"/>
  <c r="AI32" i="35"/>
  <c r="BJ8" i="35"/>
  <c r="BH21" i="35"/>
  <c r="BJ21" i="35"/>
  <c r="AL18" i="35"/>
  <c r="AA31" i="35"/>
  <c r="AZ26" i="35"/>
  <c r="BC33" i="35"/>
  <c r="AV13" i="35"/>
  <c r="AX13" i="35" s="1"/>
  <c r="AW12" i="35"/>
  <c r="Y15" i="35"/>
  <c r="AZ12" i="35"/>
  <c r="AV32" i="35"/>
  <c r="AX32" i="35" s="1"/>
  <c r="BC19" i="35"/>
  <c r="J70" i="9"/>
  <c r="AA28" i="35"/>
  <c r="AV7" i="35"/>
  <c r="AX7" i="35" s="1"/>
  <c r="Z31" i="35"/>
  <c r="BH31" i="35"/>
  <c r="AP20" i="35"/>
  <c r="BH20" i="35"/>
  <c r="BI21" i="35"/>
  <c r="BK21" i="35" s="1"/>
  <c r="G62" i="9"/>
  <c r="BA22" i="35"/>
  <c r="BB35" i="35"/>
  <c r="BB4" i="35"/>
  <c r="BI28" i="35"/>
  <c r="BK28" i="35" s="1"/>
  <c r="AJ33" i="35"/>
  <c r="AB15" i="35"/>
  <c r="J64" i="9"/>
  <c r="AA32" i="35"/>
  <c r="BJ30" i="35"/>
  <c r="BI13" i="35"/>
  <c r="BK13" i="35" s="1"/>
  <c r="G45" i="9"/>
  <c r="K45" i="9" s="1"/>
  <c r="Q45" i="9" s="1"/>
  <c r="E78" i="9" s="1"/>
  <c r="BI26" i="35"/>
  <c r="BK26" i="35" s="1"/>
  <c r="AU6" i="35"/>
  <c r="AO7" i="35"/>
  <c r="AY15" i="35"/>
  <c r="BH33" i="35"/>
  <c r="Z24" i="35"/>
  <c r="BA29" i="35"/>
  <c r="AN9" i="35"/>
  <c r="AO8" i="35"/>
  <c r="G68" i="9"/>
  <c r="BB27" i="35"/>
  <c r="BJ17" i="35"/>
  <c r="AO13" i="35"/>
  <c r="AJ35" i="35"/>
  <c r="AI23" i="35"/>
  <c r="G48" i="9"/>
  <c r="K48" i="9" s="1"/>
  <c r="Q48" i="9" s="1"/>
  <c r="E81" i="9" s="1"/>
  <c r="AJ29" i="35"/>
  <c r="BA8" i="35"/>
  <c r="AB14" i="35"/>
  <c r="Y17" i="35"/>
  <c r="BC34" i="35"/>
  <c r="AH31" i="35"/>
  <c r="AK31" i="35" s="1"/>
  <c r="BA12" i="35"/>
  <c r="AA20" i="35"/>
  <c r="AB19" i="35"/>
  <c r="AL8" i="35"/>
  <c r="AM11" i="35"/>
  <c r="BJ34" i="35"/>
  <c r="AP18" i="35"/>
  <c r="J43" i="9"/>
  <c r="BH25" i="35"/>
  <c r="BH7" i="35"/>
  <c r="AJ14" i="35"/>
  <c r="AW30" i="35"/>
  <c r="AO15" i="35"/>
  <c r="AY23" i="35"/>
  <c r="BI32" i="35"/>
  <c r="BK32" i="35" s="1"/>
  <c r="AO18" i="35"/>
  <c r="BA31" i="35"/>
  <c r="AP12" i="35"/>
  <c r="BH12" i="35"/>
  <c r="AV24" i="35"/>
  <c r="AX24" i="35" s="1"/>
  <c r="J56" i="9"/>
  <c r="AN12" i="35"/>
  <c r="AV23" i="35"/>
  <c r="AX23" i="35" s="1"/>
  <c r="AB18" i="35"/>
  <c r="AL26" i="35"/>
  <c r="Y31" i="35"/>
  <c r="V31" i="35" s="1"/>
  <c r="C31" i="35" s="1"/>
  <c r="AJ28" i="35"/>
  <c r="J61" i="9"/>
  <c r="AW26" i="35"/>
  <c r="AH25" i="35"/>
  <c r="AK25" i="35" s="1"/>
  <c r="AL12" i="35"/>
  <c r="AB34" i="35"/>
  <c r="AV30" i="35"/>
  <c r="AX30" i="35" s="1"/>
  <c r="AC17" i="35"/>
  <c r="I65" i="9"/>
  <c r="K65" i="9" s="1"/>
  <c r="Q65" i="9" s="1"/>
  <c r="E98" i="9" s="1"/>
  <c r="BJ23" i="35"/>
  <c r="AY36" i="35"/>
  <c r="AM5" i="35"/>
  <c r="BJ25" i="35"/>
  <c r="BB24" i="35"/>
  <c r="AY27" i="35"/>
  <c r="AJ37" i="35"/>
  <c r="AW11" i="35"/>
  <c r="AO26" i="35"/>
  <c r="AA26" i="35"/>
  <c r="AH28" i="35"/>
  <c r="AI15" i="35"/>
  <c r="I42" i="9"/>
  <c r="AI16" i="35"/>
  <c r="AC29" i="35"/>
  <c r="G51" i="9"/>
  <c r="AI18" i="35"/>
  <c r="AN20" i="35"/>
  <c r="BI29" i="35"/>
  <c r="BK29" i="35" s="1"/>
  <c r="AB26" i="35"/>
  <c r="AO4" i="35"/>
  <c r="AU12" i="35"/>
  <c r="AW28" i="35"/>
  <c r="AA17" i="35"/>
  <c r="AO17" i="35"/>
  <c r="G55" i="9"/>
  <c r="G46" i="9"/>
  <c r="K46" i="9" s="1"/>
  <c r="Q46" i="9" s="1"/>
  <c r="E79" i="9" s="1"/>
  <c r="BH34" i="35"/>
  <c r="BM13" i="35" l="1"/>
  <c r="I74" i="9"/>
  <c r="BM9" i="35"/>
  <c r="BM4" i="35"/>
  <c r="X15" i="35"/>
  <c r="BM6" i="35"/>
  <c r="I80" i="9"/>
  <c r="V15" i="35"/>
  <c r="C15" i="35" s="1"/>
  <c r="X7" i="35"/>
  <c r="BM26" i="35"/>
  <c r="X23" i="35"/>
  <c r="X9" i="35"/>
  <c r="BM32" i="35"/>
  <c r="X17" i="35"/>
  <c r="W28" i="35"/>
  <c r="X27" i="35"/>
  <c r="W12" i="35"/>
  <c r="W6" i="35"/>
  <c r="X36" i="35"/>
  <c r="I78" i="9"/>
  <c r="W8" i="35"/>
  <c r="BM24" i="35"/>
  <c r="BM17" i="35"/>
  <c r="AK19" i="35"/>
  <c r="BM23" i="35"/>
  <c r="X29" i="35"/>
  <c r="I83" i="9"/>
  <c r="I97" i="9"/>
  <c r="H97" i="9"/>
  <c r="X19" i="35"/>
  <c r="X5" i="35"/>
  <c r="AK18" i="35"/>
  <c r="BM18" i="35" s="1"/>
  <c r="W24" i="35"/>
  <c r="V34" i="35"/>
  <c r="C34" i="35" s="1"/>
  <c r="BM8" i="35"/>
  <c r="BM19" i="35"/>
  <c r="AK21" i="35"/>
  <c r="X33" i="35"/>
  <c r="X14" i="35"/>
  <c r="W32" i="35"/>
  <c r="W9" i="35"/>
  <c r="W13" i="35"/>
  <c r="V32" i="35"/>
  <c r="C32" i="35" s="1"/>
  <c r="W5" i="35"/>
  <c r="W15" i="35"/>
  <c r="W17" i="35"/>
  <c r="X31" i="35"/>
  <c r="X12" i="35"/>
  <c r="W27" i="35"/>
  <c r="W4" i="35"/>
  <c r="V27" i="35"/>
  <c r="C27" i="35" s="1"/>
  <c r="K43" i="9"/>
  <c r="Q43" i="9" s="1"/>
  <c r="E76" i="9" s="1"/>
  <c r="I75" i="9" s="1"/>
  <c r="W10" i="35"/>
  <c r="X32" i="35"/>
  <c r="AK37" i="35"/>
  <c r="BM37" i="35" s="1"/>
  <c r="AK14" i="35"/>
  <c r="BM11" i="35"/>
  <c r="AK30" i="35"/>
  <c r="V30" i="35" s="1"/>
  <c r="C30" i="35" s="1"/>
  <c r="X22" i="35"/>
  <c r="V18" i="35"/>
  <c r="C18" i="35" s="1"/>
  <c r="X10" i="35"/>
  <c r="X20" i="35"/>
  <c r="W11" i="35"/>
  <c r="X26" i="35"/>
  <c r="V14" i="35"/>
  <c r="C14" i="35" s="1"/>
  <c r="X4" i="35"/>
  <c r="X34" i="35"/>
  <c r="X8" i="35"/>
  <c r="W21" i="35"/>
  <c r="W36" i="35"/>
  <c r="V24" i="35"/>
  <c r="C24" i="35" s="1"/>
  <c r="V12" i="35"/>
  <c r="C12" i="35" s="1"/>
  <c r="AK28" i="35"/>
  <c r="BM28" i="35" s="1"/>
  <c r="V17" i="35"/>
  <c r="C17" i="35" s="1"/>
  <c r="BM25" i="35"/>
  <c r="V19" i="35"/>
  <c r="C19" i="35" s="1"/>
  <c r="BM15" i="35"/>
  <c r="W20" i="35"/>
  <c r="BM14" i="35"/>
  <c r="W31" i="35"/>
  <c r="X25" i="35"/>
  <c r="W16" i="35"/>
  <c r="BM12" i="35"/>
  <c r="V25" i="35"/>
  <c r="C25" i="35" s="1"/>
  <c r="V21" i="35"/>
  <c r="C21" i="35" s="1"/>
  <c r="BM31" i="35"/>
  <c r="BM5" i="35"/>
  <c r="BM27" i="35"/>
  <c r="BM34" i="35"/>
  <c r="BM35" i="35"/>
  <c r="V26" i="35"/>
  <c r="C26" i="35" s="1"/>
  <c r="W29" i="35"/>
  <c r="X16" i="35"/>
  <c r="W37" i="35"/>
  <c r="W30" i="35"/>
  <c r="V16" i="35"/>
  <c r="C16" i="35" s="1"/>
  <c r="X28" i="35"/>
  <c r="X24" i="35"/>
  <c r="BM29" i="35"/>
  <c r="BM21" i="35"/>
  <c r="W26" i="35"/>
  <c r="W18" i="35"/>
  <c r="X37" i="35"/>
  <c r="BM7" i="35"/>
  <c r="V23" i="35"/>
  <c r="C23" i="35" s="1"/>
  <c r="W22" i="35"/>
  <c r="X11" i="35"/>
  <c r="K49" i="9"/>
  <c r="Q49" i="9" s="1"/>
  <c r="E82" i="9" s="1"/>
  <c r="I81" i="9" s="1"/>
  <c r="W14" i="35"/>
  <c r="X21" i="35"/>
  <c r="X30" i="35"/>
  <c r="W35" i="35"/>
  <c r="X13" i="35"/>
  <c r="AK35" i="35"/>
  <c r="AK36" i="35"/>
  <c r="V36" i="35" s="1"/>
  <c r="C36" i="35" s="1"/>
  <c r="K44" i="9"/>
  <c r="Q44" i="9" s="1"/>
  <c r="E77" i="9" s="1"/>
  <c r="I76" i="9" s="1"/>
  <c r="AK29" i="35"/>
  <c r="V29" i="35" s="1"/>
  <c r="C29" i="35" s="1"/>
  <c r="AK22" i="35"/>
  <c r="V22" i="35" s="1"/>
  <c r="C22" i="35" s="1"/>
  <c r="BM20" i="35"/>
  <c r="BM16" i="35"/>
  <c r="AK33" i="35"/>
  <c r="BM33" i="35" s="1"/>
  <c r="BM10" i="35"/>
  <c r="X35" i="35"/>
  <c r="W23" i="35"/>
  <c r="V35" i="35"/>
  <c r="C35" i="35" s="1"/>
  <c r="V20" i="35"/>
  <c r="C20" i="35" s="1"/>
  <c r="X18" i="35"/>
  <c r="W25" i="35"/>
  <c r="W7" i="35"/>
  <c r="W34" i="35"/>
  <c r="W33" i="35"/>
  <c r="W19" i="35"/>
  <c r="X6" i="35"/>
  <c r="V33" i="35" l="1"/>
  <c r="C33" i="35" s="1"/>
  <c r="BM22" i="35"/>
  <c r="V28" i="35"/>
  <c r="C28" i="35" s="1"/>
  <c r="BM30" i="35"/>
  <c r="I82" i="9"/>
  <c r="V37" i="35"/>
  <c r="C37" i="35" s="1"/>
  <c r="BM36" i="35"/>
  <c r="I77" i="9"/>
  <c r="H96" i="9"/>
  <c r="H92" i="9"/>
  <c r="H88" i="9"/>
  <c r="H84" i="9"/>
  <c r="H95" i="9"/>
  <c r="H91" i="9"/>
  <c r="H87" i="9"/>
  <c r="H83" i="9"/>
  <c r="H94" i="9"/>
  <c r="H90" i="9"/>
  <c r="H86" i="9"/>
  <c r="H93" i="9"/>
  <c r="H89" i="9"/>
  <c r="H85" i="9"/>
  <c r="I92" i="9" l="1"/>
  <c r="I86" i="9"/>
  <c r="I87" i="9"/>
  <c r="I93" i="9"/>
  <c r="I96" i="9"/>
  <c r="I94" i="9"/>
  <c r="I91" i="9"/>
  <c r="I84" i="9"/>
  <c r="I85" i="9"/>
  <c r="I90" i="9"/>
  <c r="I95" i="9"/>
  <c r="I88" i="9"/>
  <c r="I89" i="9"/>
</calcChain>
</file>

<file path=xl/comments1.xml><?xml version="1.0" encoding="utf-8"?>
<comments xmlns="http://schemas.openxmlformats.org/spreadsheetml/2006/main">
  <authors>
    <author>作者</author>
    <author>赵卿</author>
  </authors>
  <commentList>
    <comment ref="B2" authorId="0" shapeId="0">
      <text>
        <r>
          <rPr>
            <b/>
            <sz val="9"/>
            <rFont val="宋体"/>
            <charset val="134"/>
          </rPr>
          <t>作者:</t>
        </r>
        <r>
          <rPr>
            <sz val="9"/>
            <rFont val="宋体"/>
            <charset val="134"/>
          </rPr>
          <t xml:space="preserve">
坦克最大穿透力的比值.</t>
        </r>
      </text>
    </comment>
    <comment ref="E13" authorId="0" shapeId="0">
      <text>
        <r>
          <rPr>
            <b/>
            <sz val="9"/>
            <rFont val="宋体"/>
            <charset val="134"/>
          </rPr>
          <t>作者:</t>
        </r>
        <r>
          <rPr>
            <sz val="9"/>
            <rFont val="宋体"/>
            <charset val="134"/>
          </rPr>
          <t xml:space="preserve">
不考虑弹夹容量,设定每发子弹上弹时间.
主要为手感时间.</t>
        </r>
      </text>
    </comment>
    <comment ref="H23" authorId="1" shapeId="0">
      <text>
        <r>
          <rPr>
            <b/>
            <sz val="9"/>
            <rFont val="宋体"/>
            <charset val="134"/>
          </rPr>
          <t>赵卿:</t>
        </r>
        <r>
          <rPr>
            <sz val="9"/>
            <rFont val="宋体"/>
            <charset val="134"/>
          </rPr>
          <t xml:space="preserve">
不同坦克移动到最佳输出距离的远近导致需要迂回的距离系数</t>
        </r>
      </text>
    </comment>
    <comment ref="U23" authorId="0" shapeId="0">
      <text>
        <r>
          <rPr>
            <b/>
            <sz val="9"/>
            <rFont val="宋体"/>
            <charset val="134"/>
          </rPr>
          <t>作者:</t>
        </r>
        <r>
          <rPr>
            <sz val="9"/>
            <rFont val="宋体"/>
            <charset val="134"/>
          </rPr>
          <t xml:space="preserve">
每提高1点攻击力对实际造成伤害的影响.</t>
        </r>
      </text>
    </comment>
    <comment ref="C33" authorId="1" shapeId="0">
      <text>
        <r>
          <rPr>
            <b/>
            <sz val="9"/>
            <rFont val="宋体"/>
            <charset val="134"/>
          </rPr>
          <t>赵卿:</t>
        </r>
        <r>
          <rPr>
            <sz val="9"/>
            <rFont val="宋体"/>
            <charset val="134"/>
          </rPr>
          <t xml:space="preserve">
对该坦克类型所造成的平均伤害</t>
        </r>
      </text>
    </comment>
    <comment ref="B38" authorId="0" shapeId="0">
      <text>
        <r>
          <rPr>
            <b/>
            <sz val="9"/>
            <rFont val="宋体"/>
            <charset val="134"/>
          </rPr>
          <t>作者:</t>
        </r>
        <r>
          <rPr>
            <sz val="9"/>
            <rFont val="宋体"/>
            <charset val="134"/>
          </rPr>
          <t xml:space="preserve">
以轻坦为标准推导出各类型坦克的标准属性.</t>
        </r>
      </text>
    </comment>
    <comment ref="F49" authorId="0" shapeId="0">
      <text>
        <r>
          <rPr>
            <b/>
            <sz val="9"/>
            <rFont val="宋体"/>
            <charset val="134"/>
          </rPr>
          <t>作者:</t>
        </r>
        <r>
          <rPr>
            <sz val="9"/>
            <rFont val="宋体"/>
            <charset val="134"/>
          </rPr>
          <t xml:space="preserve">
考虑技能和被动技能效果的情况下.各个坦克间最短战斗时间.</t>
        </r>
      </text>
    </comment>
  </commentList>
</comments>
</file>

<file path=xl/comments2.xml><?xml version="1.0" encoding="utf-8"?>
<comments xmlns="http://schemas.openxmlformats.org/spreadsheetml/2006/main">
  <authors>
    <author>作者</author>
    <author>赵卿</author>
  </authors>
  <commentList>
    <comment ref="B22" authorId="0" shapeId="0">
      <text>
        <r>
          <rPr>
            <b/>
            <sz val="9"/>
            <rFont val="宋体"/>
            <family val="3"/>
            <charset val="134"/>
          </rPr>
          <t>作者:</t>
        </r>
        <r>
          <rPr>
            <sz val="9"/>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t>
        </r>
      </text>
    </comment>
    <comment ref="B28" authorId="0" shapeId="0">
      <text>
        <r>
          <rPr>
            <b/>
            <sz val="9"/>
            <rFont val="宋体"/>
            <family val="3"/>
            <charset val="134"/>
          </rPr>
          <t>作者:</t>
        </r>
        <r>
          <rPr>
            <sz val="9"/>
            <rFont val="宋体"/>
            <family val="3"/>
            <charset val="134"/>
          </rPr>
          <t xml:space="preserve">
    目前标准战场直线观测距离最远为100米.玩家可探测距离最远为100米.设计背后探测距离为25米.重坦攻击距离最远,轻坦攻击距离最近,中坦居中.
    重坦攻击方式:开镜一发后关镜一发;
    中坦攻击方式:不能开镜,三单发;
    轻坦攻击方式:不能开镜,三连发,三连发,三连发;
    轻坦半自动,中坦弹夹,重坦自动在衰减距离之内射击可以穿透目标装甲;
    轻坦弹夹,中坦单发,重坦单发在衰减10%后可以穿透目标装甲;
    轻坦单发在衰减20%后可以穿透目标装甲;</t>
        </r>
      </text>
    </comment>
    <comment ref="B55" authorId="0" shapeId="0">
      <text>
        <r>
          <rPr>
            <b/>
            <sz val="9"/>
            <rFont val="宋体"/>
            <family val="3"/>
            <charset val="134"/>
          </rPr>
          <t>作者:</t>
        </r>
        <r>
          <rPr>
            <sz val="9"/>
            <rFont val="宋体"/>
            <family val="3"/>
            <charset val="134"/>
          </rPr>
          <t xml:space="preserve">
坦克会产生碰撞伤害时最小的相对速度.</t>
        </r>
      </text>
    </comment>
    <comment ref="B56" authorId="0" shapeId="0">
      <text>
        <r>
          <rPr>
            <b/>
            <sz val="9"/>
            <rFont val="宋体"/>
            <family val="3"/>
            <charset val="134"/>
          </rPr>
          <t>作者:</t>
        </r>
        <r>
          <rPr>
            <sz val="9"/>
            <rFont val="宋体"/>
            <family val="3"/>
            <charset val="134"/>
          </rPr>
          <t xml:space="preserve">
受到撞击伤害时,反弹的最小伤害.</t>
        </r>
      </text>
    </comment>
    <comment ref="B57" authorId="0" shapeId="0">
      <text>
        <r>
          <rPr>
            <b/>
            <sz val="9"/>
            <rFont val="宋体"/>
            <family val="3"/>
            <charset val="134"/>
          </rPr>
          <t>作者:</t>
        </r>
        <r>
          <rPr>
            <sz val="9"/>
            <rFont val="宋体"/>
            <family val="3"/>
            <charset val="134"/>
          </rPr>
          <t xml:space="preserve">
撞击伤害与血量的比例系数.</t>
        </r>
      </text>
    </comment>
    <comment ref="B59" authorId="0" shapeId="0">
      <text>
        <r>
          <rPr>
            <b/>
            <sz val="9"/>
            <rFont val="宋体"/>
            <family val="3"/>
            <charset val="134"/>
          </rPr>
          <t>作者:</t>
        </r>
        <r>
          <rPr>
            <sz val="9"/>
            <rFont val="宋体"/>
            <family val="3"/>
            <charset val="134"/>
          </rPr>
          <t xml:space="preserve">
Center的定义为:1.穿破炮塔护甲后对穿甲能力的最终正面反馈.2.玩家长时间瞄准的补偿和目标.
所以,center的大小对所有的坦克来说应是统一的.同时,center不应超出炮塔之外.</t>
        </r>
      </text>
    </comment>
    <comment ref="E60" authorId="1" shapeId="0">
      <text>
        <r>
          <rPr>
            <b/>
            <sz val="9"/>
            <rFont val="宋体"/>
            <family val="3"/>
            <charset val="134"/>
          </rPr>
          <t>赵卿:</t>
        </r>
        <r>
          <rPr>
            <sz val="9"/>
            <rFont val="宋体"/>
            <family val="3"/>
            <charset val="134"/>
          </rPr>
          <t xml:space="preserve">
在瞄准射线与中心点的距离小于0.4时,跳过外层车身和履带护甲.</t>
        </r>
      </text>
    </comment>
    <comment ref="G64" authorId="0" shapeId="0">
      <text>
        <r>
          <rPr>
            <b/>
            <sz val="9"/>
            <rFont val="宋体"/>
            <family val="3"/>
            <charset val="134"/>
          </rPr>
          <t>作者:</t>
        </r>
        <r>
          <rPr>
            <sz val="9"/>
            <rFont val="宋体"/>
            <family val="3"/>
            <charset val="134"/>
          </rPr>
          <t xml:space="preserve">
可穿透前一层时,击中该部分的概率.</t>
        </r>
      </text>
    </comment>
    <comment ref="I64" authorId="0" shapeId="0">
      <text>
        <r>
          <rPr>
            <b/>
            <sz val="9"/>
            <rFont val="宋体"/>
            <family val="3"/>
            <charset val="134"/>
          </rPr>
          <t>作者:</t>
        </r>
        <r>
          <rPr>
            <sz val="9"/>
            <rFont val="宋体"/>
            <family val="3"/>
            <charset val="134"/>
          </rPr>
          <t xml:space="preserve">
射击命中此部位的平均概率</t>
        </r>
      </text>
    </comment>
    <comment ref="J64" authorId="0" shapeId="0">
      <text>
        <r>
          <rPr>
            <b/>
            <sz val="9"/>
            <rFont val="宋体"/>
            <family val="3"/>
            <charset val="134"/>
          </rPr>
          <t>作者:</t>
        </r>
        <r>
          <rPr>
            <sz val="9"/>
            <rFont val="宋体"/>
            <family val="3"/>
            <charset val="134"/>
          </rPr>
          <t xml:space="preserve">
穿透此部位可造成的平均伤害比例</t>
        </r>
      </text>
    </comment>
    <comment ref="K64" authorId="0" shapeId="0">
      <text>
        <r>
          <rPr>
            <b/>
            <sz val="9"/>
            <rFont val="宋体"/>
            <family val="3"/>
            <charset val="134"/>
          </rPr>
          <t>作者:</t>
        </r>
        <r>
          <rPr>
            <sz val="9"/>
            <rFont val="宋体"/>
            <family val="3"/>
            <charset val="134"/>
          </rPr>
          <t xml:space="preserve">
由于命中概率和部位伤害比例计算得出,此部位对总体伤害的影响系数.</t>
        </r>
      </text>
    </comment>
    <comment ref="B65" authorId="0" shapeId="0">
      <text>
        <r>
          <rPr>
            <b/>
            <sz val="9"/>
            <rFont val="宋体"/>
            <family val="3"/>
            <charset val="134"/>
          </rPr>
          <t>作者:</t>
        </r>
        <r>
          <rPr>
            <sz val="9"/>
            <rFont val="宋体"/>
            <family val="3"/>
            <charset val="134"/>
          </rPr>
          <t xml:space="preserve">
圆形</t>
        </r>
      </text>
    </comment>
    <comment ref="B66" authorId="0" shapeId="0">
      <text>
        <r>
          <rPr>
            <b/>
            <sz val="9"/>
            <rFont val="宋体"/>
            <family val="3"/>
            <charset val="134"/>
          </rPr>
          <t>作者:</t>
        </r>
        <r>
          <rPr>
            <sz val="9"/>
            <rFont val="宋体"/>
            <family val="3"/>
            <charset val="134"/>
          </rPr>
          <t xml:space="preserve">
圆形</t>
        </r>
      </text>
    </comment>
    <comment ref="F71" authorId="1" shapeId="0">
      <text>
        <r>
          <rPr>
            <b/>
            <sz val="9"/>
            <rFont val="宋体"/>
            <family val="3"/>
            <charset val="134"/>
          </rPr>
          <t>赵卿:</t>
        </r>
        <r>
          <rPr>
            <sz val="9"/>
            <rFont val="宋体"/>
            <family val="3"/>
            <charset val="134"/>
          </rPr>
          <t xml:space="preserve">
将长度映射到对角线上,近似认为是平均命中长度.计算命中概率</t>
        </r>
      </text>
    </comment>
    <comment ref="B94" authorId="1" shapeId="0">
      <text>
        <r>
          <rPr>
            <b/>
            <sz val="9"/>
            <rFont val="宋体"/>
            <family val="3"/>
            <charset val="134"/>
          </rPr>
          <t>赵卿:</t>
        </r>
        <r>
          <rPr>
            <sz val="9"/>
            <rFont val="宋体"/>
            <family val="3"/>
            <charset val="134"/>
          </rPr>
          <t xml:space="preserve">
大概模拟一定长度的坦克边线的实际生效入射长度的调整系数.
例:坦克长10米,侧面入射的实际生效长度由10米逐渐变为0米.计算实际生效长度时使用此调整系数1.6得生效长度为10/1.6=6.25米</t>
        </r>
      </text>
    </comment>
    <comment ref="B102" authorId="0" shapeId="0">
      <text>
        <r>
          <rPr>
            <b/>
            <sz val="9"/>
            <rFont val="宋体"/>
            <family val="3"/>
            <charset val="134"/>
          </rPr>
          <t>作者:</t>
        </r>
        <r>
          <rPr>
            <sz val="9"/>
            <rFont val="宋体"/>
            <family val="3"/>
            <charset val="134"/>
          </rPr>
          <t xml:space="preserve">
当炮弹不能击破当前装甲时,最多对此部件造成该部件最低伤害的75%(暂定值)(废弃)</t>
        </r>
      </text>
    </comment>
    <comment ref="B103" authorId="0" shapeId="0">
      <text>
        <r>
          <rPr>
            <b/>
            <sz val="9"/>
            <rFont val="宋体"/>
            <family val="3"/>
            <charset val="134"/>
          </rPr>
          <t>作者:</t>
        </r>
        <r>
          <rPr>
            <sz val="9"/>
            <rFont val="宋体"/>
            <family val="3"/>
            <charset val="134"/>
          </rPr>
          <t xml:space="preserve">
标准坦克在不考虑技能效果下的期望战斗时长.</t>
        </r>
      </text>
    </comment>
    <comment ref="B105" authorId="0" shapeId="0">
      <text>
        <r>
          <rPr>
            <b/>
            <sz val="9"/>
            <rFont val="宋体"/>
            <family val="3"/>
            <charset val="134"/>
          </rPr>
          <t>作者:</t>
        </r>
        <r>
          <rPr>
            <sz val="9"/>
            <rFont val="宋体"/>
            <family val="3"/>
            <charset val="134"/>
          </rPr>
          <t xml:space="preserve">
初始设定为,坦克拥有1个主动技能,可以镶嵌3个被动技能.所有技能占据40%输出效果.</t>
        </r>
      </text>
    </comment>
  </commentList>
</comments>
</file>

<file path=xl/comments3.xml><?xml version="1.0" encoding="utf-8"?>
<comments xmlns="http://schemas.openxmlformats.org/spreadsheetml/2006/main">
  <authors>
    <author>赵卿</author>
  </authors>
  <commentList>
    <comment ref="B2" authorId="0" shapeId="0">
      <text>
        <r>
          <rPr>
            <b/>
            <sz val="9"/>
            <rFont val="宋体"/>
            <family val="3"/>
            <charset val="134"/>
          </rPr>
          <t>赵卿:</t>
        </r>
        <r>
          <rPr>
            <sz val="9"/>
            <rFont val="宋体"/>
            <family val="3"/>
            <charset val="134"/>
          </rPr>
          <t xml:space="preserve">
初始值,与实际价值比例不同</t>
        </r>
      </text>
    </comment>
    <comment ref="B8" authorId="0" shapeId="0">
      <text>
        <r>
          <rPr>
            <b/>
            <sz val="9"/>
            <color rgb="FF000000"/>
            <rFont val="宋体"/>
            <family val="3"/>
            <charset val="134"/>
          </rPr>
          <t>赵卿:</t>
        </r>
        <r>
          <rPr>
            <sz val="9"/>
            <color rgb="FF000000"/>
            <rFont val="宋体"/>
            <family val="3"/>
            <charset val="134"/>
          </rPr>
          <t xml:space="preserve">
假设玩家每天极限游戏时长为10小时.</t>
        </r>
      </text>
    </comment>
    <comment ref="F82" authorId="0" shapeId="0">
      <text>
        <r>
          <rPr>
            <b/>
            <sz val="9"/>
            <rFont val="宋体"/>
            <family val="3"/>
            <charset val="134"/>
          </rPr>
          <t>赵卿:</t>
        </r>
        <r>
          <rPr>
            <sz val="9"/>
            <rFont val="宋体"/>
            <family val="3"/>
            <charset val="134"/>
          </rPr>
          <t xml:space="preserve">
平均每场获得75%军费奖励</t>
        </r>
      </text>
    </comment>
  </commentList>
</comments>
</file>

<file path=xl/comments4.xml><?xml version="1.0" encoding="utf-8"?>
<comments xmlns="http://schemas.openxmlformats.org/spreadsheetml/2006/main">
  <authors>
    <author>赵卿</author>
  </authors>
  <commentList>
    <comment ref="B8" authorId="0" shapeId="0">
      <text>
        <r>
          <rPr>
            <b/>
            <sz val="9"/>
            <rFont val="宋体"/>
            <family val="3"/>
            <charset val="134"/>
          </rPr>
          <t>赵卿:</t>
        </r>
        <r>
          <rPr>
            <sz val="9"/>
            <rFont val="宋体"/>
            <family val="3"/>
            <charset val="134"/>
          </rPr>
          <t xml:space="preserve">
玩家降级时需要降低当前分段分数的百分比.</t>
        </r>
      </text>
    </comment>
  </commentList>
</comments>
</file>

<file path=xl/comments5.xml><?xml version="1.0" encoding="utf-8"?>
<comments xmlns="http://schemas.openxmlformats.org/spreadsheetml/2006/main">
  <authors>
    <author>作者</author>
  </authors>
  <commentList>
    <comment ref="W70" authorId="0" shapeId="0">
      <text>
        <r>
          <rPr>
            <b/>
            <sz val="9"/>
            <rFont val="宋体"/>
            <family val="3"/>
            <charset val="134"/>
          </rPr>
          <t>作者:</t>
        </r>
        <r>
          <rPr>
            <sz val="9"/>
            <rFont val="宋体"/>
            <family val="3"/>
            <charset val="134"/>
          </rPr>
          <t xml:space="preserve">
0.1秒钟占据实际射击间隔的比例.</t>
        </r>
      </text>
    </comment>
    <comment ref="X70" authorId="0" shapeId="0">
      <text>
        <r>
          <rPr>
            <b/>
            <sz val="9"/>
            <rFont val="宋体"/>
            <family val="3"/>
            <charset val="134"/>
          </rPr>
          <t>作者:</t>
        </r>
        <r>
          <rPr>
            <sz val="9"/>
            <rFont val="宋体"/>
            <family val="3"/>
            <charset val="134"/>
          </rPr>
          <t xml:space="preserve">
延长0.1秒钟射击间隔,延长的战斗时长比例.</t>
        </r>
      </text>
    </comment>
    <comment ref="W80" authorId="0" shapeId="0">
      <text>
        <r>
          <rPr>
            <b/>
            <sz val="9"/>
            <rFont val="宋体"/>
            <family val="3"/>
            <charset val="134"/>
          </rPr>
          <t>作者:</t>
        </r>
        <r>
          <rPr>
            <sz val="9"/>
            <rFont val="宋体"/>
            <family val="3"/>
            <charset val="134"/>
          </rPr>
          <t xml:space="preserve">
1秒钟占据实际上弹时间的比例.</t>
        </r>
      </text>
    </comment>
    <comment ref="X80" authorId="0" shapeId="0">
      <text>
        <r>
          <rPr>
            <b/>
            <sz val="9"/>
            <rFont val="宋体"/>
            <family val="3"/>
            <charset val="134"/>
          </rPr>
          <t>作者:</t>
        </r>
        <r>
          <rPr>
            <sz val="9"/>
            <rFont val="宋体"/>
            <family val="3"/>
            <charset val="134"/>
          </rPr>
          <t xml:space="preserve">
加快1秒钟对应的上弹时间,缩短的战斗时长比例.</t>
        </r>
      </text>
    </comment>
    <comment ref="L90" authorId="0" shapeId="0">
      <text>
        <r>
          <rPr>
            <b/>
            <sz val="9"/>
            <rFont val="宋体"/>
            <family val="3"/>
            <charset val="134"/>
          </rPr>
          <t>作者:</t>
        </r>
        <r>
          <rPr>
            <sz val="9"/>
            <rFont val="宋体"/>
            <family val="3"/>
            <charset val="134"/>
          </rPr>
          <t xml:space="preserve">
连射期间,每个周期内射击间隔导致的额外缩圈时间.</t>
        </r>
      </text>
    </comment>
    <comment ref="Y90" authorId="0" shapeId="0">
      <text>
        <r>
          <rPr>
            <b/>
            <sz val="9"/>
            <rFont val="宋体"/>
            <family val="3"/>
            <charset val="134"/>
          </rPr>
          <t>作者:</t>
        </r>
        <r>
          <rPr>
            <sz val="9"/>
            <rFont val="宋体"/>
            <family val="3"/>
            <charset val="134"/>
          </rPr>
          <t xml:space="preserve">
调整一定比例的瞄准时间,会影响射击周期缩短时间对应的比例值.
例:此值为1,即为若缩短10%的瞄准时间,则射击周期缩短10%.</t>
        </r>
      </text>
    </comment>
    <comment ref="Y95" authorId="0" shapeId="0">
      <text>
        <r>
          <rPr>
            <b/>
            <sz val="9"/>
            <rFont val="宋体"/>
            <family val="3"/>
            <charset val="134"/>
          </rPr>
          <t>作者:</t>
        </r>
        <r>
          <rPr>
            <sz val="9"/>
            <rFont val="宋体"/>
            <family val="3"/>
            <charset val="134"/>
          </rPr>
          <t xml:space="preserve">
缩短时间30%以内平均值为80%,之后递减</t>
        </r>
      </text>
    </comment>
  </commentList>
</comments>
</file>

<file path=xl/comments6.xml><?xml version="1.0" encoding="utf-8"?>
<comments xmlns="http://schemas.openxmlformats.org/spreadsheetml/2006/main">
  <authors>
    <author>LINK_START</author>
  </authors>
  <commentList>
    <comment ref="A80" authorId="0" shapeId="0">
      <text>
        <r>
          <rPr>
            <b/>
            <sz val="9"/>
            <rFont val="宋体"/>
            <family val="3"/>
            <charset val="134"/>
          </rPr>
          <t>ID规则：品质*10000+Tier*100+等级</t>
        </r>
        <r>
          <rPr>
            <sz val="9"/>
            <rFont val="宋体"/>
            <family val="3"/>
            <charset val="134"/>
          </rPr>
          <t xml:space="preserve">
</t>
        </r>
      </text>
    </comment>
    <comment ref="F80" authorId="0" shapeId="0">
      <text>
        <r>
          <rPr>
            <b/>
            <sz val="9"/>
            <rFont val="宋体"/>
            <family val="3"/>
            <charset val="134"/>
          </rPr>
          <t>ID规则：品质*10000+Tier*100+等级</t>
        </r>
        <r>
          <rPr>
            <sz val="9"/>
            <rFont val="宋体"/>
            <family val="3"/>
            <charset val="134"/>
          </rPr>
          <t xml:space="preserve">
</t>
        </r>
      </text>
    </comment>
    <comment ref="K80" authorId="0" shapeId="0">
      <text>
        <r>
          <rPr>
            <b/>
            <sz val="9"/>
            <rFont val="宋体"/>
            <family val="3"/>
            <charset val="134"/>
          </rPr>
          <t>ID规则：品质*10000+Tier*100+等级</t>
        </r>
        <r>
          <rPr>
            <sz val="9"/>
            <rFont val="宋体"/>
            <family val="3"/>
            <charset val="134"/>
          </rPr>
          <t xml:space="preserve">
</t>
        </r>
      </text>
    </comment>
    <comment ref="P80" authorId="0" shapeId="0">
      <text>
        <r>
          <rPr>
            <b/>
            <sz val="9"/>
            <rFont val="宋体"/>
            <family val="3"/>
            <charset val="134"/>
          </rPr>
          <t>ID规则：品质*10000+Tier*100+等级</t>
        </r>
        <r>
          <rPr>
            <sz val="9"/>
            <rFont val="宋体"/>
            <family val="3"/>
            <charset val="134"/>
          </rPr>
          <t xml:space="preserve">
</t>
        </r>
      </text>
    </comment>
    <comment ref="U80" authorId="0" shapeId="0">
      <text>
        <r>
          <rPr>
            <b/>
            <sz val="9"/>
            <rFont val="宋体"/>
            <family val="3"/>
            <charset val="134"/>
          </rPr>
          <t>ID规则：品质*10000+Tier*100+等级</t>
        </r>
        <r>
          <rPr>
            <sz val="9"/>
            <rFont val="宋体"/>
            <family val="3"/>
            <charset val="134"/>
          </rPr>
          <t xml:space="preserve">
</t>
        </r>
      </text>
    </comment>
    <comment ref="Z80" authorId="0" shapeId="0">
      <text>
        <r>
          <rPr>
            <b/>
            <sz val="9"/>
            <rFont val="宋体"/>
            <family val="3"/>
            <charset val="134"/>
          </rPr>
          <t>ID规则：品质*10000+Tier*100+等级</t>
        </r>
        <r>
          <rPr>
            <sz val="9"/>
            <rFont val="宋体"/>
            <family val="3"/>
            <charset val="134"/>
          </rPr>
          <t xml:space="preserve">
</t>
        </r>
      </text>
    </comment>
    <comment ref="AE80" authorId="0" shapeId="0">
      <text>
        <r>
          <rPr>
            <b/>
            <sz val="9"/>
            <rFont val="宋体"/>
            <family val="3"/>
            <charset val="134"/>
          </rPr>
          <t>ID规则：品质*10000+Tier*100+等级</t>
        </r>
        <r>
          <rPr>
            <sz val="9"/>
            <rFont val="宋体"/>
            <family val="3"/>
            <charset val="134"/>
          </rPr>
          <t xml:space="preserve">
</t>
        </r>
      </text>
    </comment>
  </commentList>
</comments>
</file>

<file path=xl/comments7.xml><?xml version="1.0" encoding="utf-8"?>
<comments xmlns="http://schemas.openxmlformats.org/spreadsheetml/2006/main">
  <authors>
    <author>赵卿</author>
  </authors>
  <commentList>
    <comment ref="B2" authorId="0" shapeId="0">
      <text>
        <r>
          <rPr>
            <b/>
            <sz val="9"/>
            <rFont val="宋体"/>
            <family val="3"/>
            <charset val="134"/>
          </rPr>
          <t>赵卿:</t>
        </r>
        <r>
          <rPr>
            <sz val="9"/>
            <rFont val="宋体"/>
            <family val="3"/>
            <charset val="134"/>
          </rPr>
          <t xml:space="preserve">
每个坦克有初始和最终两个状态</t>
        </r>
      </text>
    </comment>
    <comment ref="C2" authorId="0" shapeId="0">
      <text>
        <r>
          <rPr>
            <b/>
            <sz val="9"/>
            <rFont val="宋体"/>
            <family val="3"/>
            <charset val="134"/>
          </rPr>
          <t>赵卿:</t>
        </r>
        <r>
          <rPr>
            <sz val="9"/>
            <rFont val="宋体"/>
            <family val="3"/>
            <charset val="134"/>
          </rPr>
          <t xml:space="preserve">
升星提供的穿透力增长中包含本应该分配给子弹的穿透力的60%,在没有子弹提供的穿透力时,满星的坦克可以穿透满培养的部件+坦克.</t>
        </r>
      </text>
    </comment>
  </commentList>
</comments>
</file>

<file path=xl/comments8.xml><?xml version="1.0" encoding="utf-8"?>
<comments xmlns="http://schemas.openxmlformats.org/spreadsheetml/2006/main">
  <authors>
    <author>作者</author>
    <author>赵卿</author>
  </authors>
  <commentList>
    <comment ref="AM2" authorId="0" shapeId="0">
      <text>
        <r>
          <rPr>
            <b/>
            <sz val="9"/>
            <rFont val="宋体"/>
            <family val="3"/>
            <charset val="134"/>
          </rPr>
          <t>作者:</t>
        </r>
        <r>
          <rPr>
            <sz val="9"/>
            <rFont val="宋体"/>
            <family val="3"/>
            <charset val="134"/>
          </rPr>
          <t xml:space="preserve">
通过调整单发/弹夹射击间隔;
</t>
        </r>
        <r>
          <rPr>
            <strike/>
            <sz val="9"/>
            <rFont val="宋体"/>
            <family val="3"/>
            <charset val="134"/>
          </rPr>
          <t xml:space="preserve">射击/被击缩圈滞留时间和坦克类型对其影响增加了细微的体验区别.稍稍影响射击速度.
</t>
        </r>
        <r>
          <rPr>
            <sz val="9"/>
            <rFont val="宋体"/>
            <family val="3"/>
            <charset val="134"/>
          </rPr>
          <t>射击滞留和被击滞留都被写死在代码中1帧.</t>
        </r>
      </text>
    </comment>
    <comment ref="AQ2" authorId="1" shapeId="0">
      <text>
        <r>
          <rPr>
            <b/>
            <sz val="9"/>
            <rFont val="宋体"/>
            <family val="3"/>
            <charset val="134"/>
          </rPr>
          <t>赵卿:</t>
        </r>
        <r>
          <rPr>
            <sz val="9"/>
            <rFont val="宋体"/>
            <family val="3"/>
            <charset val="134"/>
          </rPr>
          <t xml:space="preserve">
坦克在期望射击次数后的圈可以覆盖目标坦克的比例为标准.以此引导玩家射击套路.</t>
        </r>
      </text>
    </comment>
    <comment ref="BM2" authorId="0" shapeId="0">
      <text>
        <r>
          <rPr>
            <b/>
            <sz val="9"/>
            <rFont val="宋体"/>
            <family val="3"/>
            <charset val="134"/>
          </rPr>
          <t>作者:</t>
        </r>
        <r>
          <rPr>
            <sz val="9"/>
            <rFont val="宋体"/>
            <family val="3"/>
            <charset val="134"/>
          </rPr>
          <t xml:space="preserve">
旋转造成的偏移角度的意义在于是否建议坦克在旋转中射击.轻坦,可以;中坦,看技术;重坦不推荐.</t>
        </r>
      </text>
    </comment>
    <comment ref="BZ2" authorId="0" shapeId="0">
      <text>
        <r>
          <rPr>
            <b/>
            <sz val="9"/>
            <rFont val="宋体"/>
            <family val="3"/>
            <charset val="134"/>
          </rPr>
          <t>作者:</t>
        </r>
        <r>
          <rPr>
            <sz val="9"/>
            <rFont val="宋体"/>
            <family val="3"/>
            <charset val="134"/>
          </rPr>
          <t xml:space="preserve">
坦克行进速度对应坦克在地图中多长时间遇到敌人.不同类型的坦克因特点不同遇敌时间不同.</t>
        </r>
      </text>
    </comment>
    <comment ref="CQ2" authorId="0" shapeId="0">
      <text>
        <r>
          <rPr>
            <b/>
            <sz val="9"/>
            <rFont val="宋体"/>
            <family val="3"/>
            <charset val="134"/>
          </rPr>
          <t>作者:</t>
        </r>
        <r>
          <rPr>
            <sz val="9"/>
            <rFont val="宋体"/>
            <family val="3"/>
            <charset val="134"/>
          </rPr>
          <t xml:space="preserve">
炮塔转向角速度对应坦克在标准射击距离时炮塔的转向速度能否追的上坦克的前进速度.
初始角速度对应在标准战斗距离发现前方坦克,瞄准中心所用时间.
角速度上限对应在近战斗距离下发现前方坦克,瞄准中心所用时间.</t>
        </r>
      </text>
    </comment>
    <comment ref="DE2" authorId="0" shapeId="0">
      <text>
        <r>
          <rPr>
            <b/>
            <sz val="9"/>
            <rFont val="宋体"/>
            <family val="3"/>
            <charset val="134"/>
          </rPr>
          <t>作者:</t>
        </r>
        <r>
          <rPr>
            <sz val="9"/>
            <rFont val="宋体"/>
            <family val="3"/>
            <charset val="134"/>
          </rPr>
          <t xml:space="preserve">
此属性作用理解为走位需要调整时的转向速度,会直接影响玩家的操作手感,如果值太小,会使得负面反馈较大.暂定无变化,根据坦克类型不同,但均较大.</t>
        </r>
      </text>
    </comment>
    <comment ref="BA3" authorId="0" shapeId="0">
      <text>
        <r>
          <rPr>
            <b/>
            <sz val="9"/>
            <rFont val="宋体"/>
            <family val="3"/>
            <charset val="134"/>
          </rPr>
          <t>作者:</t>
        </r>
        <r>
          <rPr>
            <sz val="9"/>
            <rFont val="宋体"/>
            <family val="3"/>
            <charset val="134"/>
          </rPr>
          <t xml:space="preserve">
以攻击轻坦,导致被击轻坦要增加的额外瞄准时间为标准.以自身瞄准时间的1/2左右为初始值.同时考虑各种类型坦克的射击间隔.</t>
        </r>
      </text>
    </comment>
    <comment ref="BV3" authorId="0" shapeId="0">
      <text>
        <r>
          <rPr>
            <b/>
            <sz val="9"/>
            <rFont val="宋体"/>
            <family val="3"/>
            <charset val="134"/>
          </rPr>
          <t>作者:</t>
        </r>
        <r>
          <rPr>
            <sz val="9"/>
            <rFont val="宋体"/>
            <family val="3"/>
            <charset val="134"/>
          </rPr>
          <t xml:space="preserve">
1/3秒时炮塔旋转造成的偏移角度达到上限.</t>
        </r>
      </text>
    </comment>
    <comment ref="CQ8" authorId="0" shapeId="0">
      <text>
        <r>
          <rPr>
            <b/>
            <sz val="9"/>
            <rFont val="宋体"/>
            <family val="3"/>
            <charset val="134"/>
          </rPr>
          <t>作者:</t>
        </r>
        <r>
          <rPr>
            <sz val="9"/>
            <rFont val="宋体"/>
            <family val="3"/>
            <charset val="134"/>
          </rPr>
          <t xml:space="preserve">
若对应类型的坦克在此圈范围之内,则同向追逐,旋转炮塔追不上目标.</t>
        </r>
      </text>
    </comment>
    <comment ref="DE8" authorId="0" shapeId="0">
      <text>
        <r>
          <rPr>
            <b/>
            <sz val="9"/>
            <rFont val="宋体"/>
            <family val="3"/>
            <charset val="134"/>
          </rPr>
          <t>作者:</t>
        </r>
        <r>
          <rPr>
            <sz val="9"/>
            <rFont val="宋体"/>
            <family val="3"/>
            <charset val="134"/>
          </rPr>
          <t xml:space="preserve">
坦克在移动中转向,此时的前进后退最大速度与原速度的比例.前进后退的加速度与原加速度的比例.后退时减速加速度与原加速度的比例.</t>
        </r>
      </text>
    </comment>
    <comment ref="BM12" authorId="0" shapeId="0">
      <text>
        <r>
          <rPr>
            <b/>
            <sz val="9"/>
            <rFont val="宋体"/>
            <family val="3"/>
            <charset val="134"/>
          </rPr>
          <t>作者:</t>
        </r>
        <r>
          <rPr>
            <sz val="9"/>
            <rFont val="宋体"/>
            <family val="3"/>
            <charset val="134"/>
          </rPr>
          <t xml:space="preserve">
移动造成的偏移角度的意义在于是否建议坦克在移动中射击.轻坦,可以;中坦,看技术;重坦不推荐.</t>
        </r>
      </text>
    </comment>
    <comment ref="BC13" authorId="0" shapeId="0">
      <text>
        <r>
          <rPr>
            <b/>
            <sz val="9"/>
            <rFont val="宋体"/>
            <family val="3"/>
            <charset val="134"/>
          </rPr>
          <t>作者:</t>
        </r>
        <r>
          <rPr>
            <sz val="9"/>
            <rFont val="宋体"/>
            <family val="3"/>
            <charset val="134"/>
          </rPr>
          <t xml:space="preserve">
未被击中前,瞄准攻击坦克的比例.</t>
        </r>
      </text>
    </comment>
    <comment ref="BG13" authorId="0" shapeId="0">
      <text>
        <r>
          <rPr>
            <b/>
            <sz val="9"/>
            <rFont val="宋体"/>
            <family val="3"/>
            <charset val="134"/>
          </rPr>
          <t>作者:</t>
        </r>
        <r>
          <rPr>
            <sz val="9"/>
            <rFont val="宋体"/>
            <family val="3"/>
            <charset val="134"/>
          </rPr>
          <t xml:space="preserve">
被击导致标准瞄准距离下,瞄准圈完全覆盖目标坦克时,受到的偏移角度.
基本上是挨4发重坦炮弹造成的偏移角度.</t>
        </r>
      </text>
    </comment>
    <comment ref="BV13" authorId="0" shapeId="0">
      <text>
        <r>
          <rPr>
            <b/>
            <sz val="9"/>
            <rFont val="宋体"/>
            <family val="3"/>
            <charset val="134"/>
          </rPr>
          <t>作者:</t>
        </r>
        <r>
          <rPr>
            <sz val="9"/>
            <rFont val="宋体"/>
            <family val="3"/>
            <charset val="134"/>
          </rPr>
          <t xml:space="preserve">
1/3秒时炮塔旋转造成的偏移角度达到上限.</t>
        </r>
      </text>
    </comment>
    <comment ref="BZ14" authorId="1" shapeId="0">
      <text>
        <r>
          <rPr>
            <b/>
            <sz val="9"/>
            <rFont val="宋体"/>
            <family val="3"/>
            <charset val="134"/>
          </rPr>
          <t>赵卿:</t>
        </r>
        <r>
          <rPr>
            <sz val="9"/>
            <rFont val="宋体"/>
            <family val="3"/>
            <charset val="134"/>
          </rPr>
          <t xml:space="preserve">
前进后退最大速度一样,只是加速稍微慢些.</t>
        </r>
      </text>
    </comment>
    <comment ref="AK15" authorId="1" shapeId="0">
      <text>
        <r>
          <rPr>
            <b/>
            <sz val="9"/>
            <rFont val="宋体"/>
            <family val="3"/>
            <charset val="134"/>
          </rPr>
          <t>赵卿:</t>
        </r>
        <r>
          <rPr>
            <sz val="9"/>
            <rFont val="宋体"/>
            <family val="3"/>
            <charset val="134"/>
          </rPr>
          <t xml:space="preserve">
最小角度0.63,18像素
最大角度5,圈大小接近两侧显示数字
标准角度:
轻坦,0.78,22像素;
中坦,0.71,20像素;
重坦,0.64,18像素;</t>
        </r>
      </text>
    </comment>
    <comment ref="CS15" authorId="0" shapeId="0">
      <text>
        <r>
          <rPr>
            <b/>
            <sz val="9"/>
            <rFont val="宋体"/>
            <family val="3"/>
            <charset val="134"/>
          </rPr>
          <t>作者:</t>
        </r>
        <r>
          <rPr>
            <sz val="9"/>
            <rFont val="宋体"/>
            <family val="3"/>
            <charset val="134"/>
          </rPr>
          <t xml:space="preserve">
初始角速度=B
最终角速度=A
加速时间=T
角加速度=a
转过角度=△
∵(角速度上限-初始角速度)/加速度&gt;期望瞄准时间
∴△=(B*T+A*T)/2
  a =(A-B)/T
计算得
  A=sqrt(2*△*a+B²)
  T=(A-B)/a</t>
        </r>
      </text>
    </comment>
    <comment ref="CA21" authorId="0" shapeId="0">
      <text>
        <r>
          <rPr>
            <b/>
            <sz val="9"/>
            <rFont val="宋体"/>
            <family val="3"/>
            <charset val="134"/>
          </rPr>
          <t>作者:</t>
        </r>
        <r>
          <rPr>
            <sz val="9"/>
            <rFont val="宋体"/>
            <family val="3"/>
            <charset val="134"/>
          </rPr>
          <t xml:space="preserve">
单位转化为km/h</t>
        </r>
      </text>
    </comment>
    <comment ref="BC23" authorId="0" shapeId="0">
      <text>
        <r>
          <rPr>
            <b/>
            <sz val="9"/>
            <rFont val="宋体"/>
            <family val="3"/>
            <charset val="134"/>
          </rPr>
          <t>作者:</t>
        </r>
        <r>
          <rPr>
            <sz val="9"/>
            <rFont val="宋体"/>
            <family val="3"/>
            <charset val="134"/>
          </rPr>
          <t xml:space="preserve">
未被击中前,瞄准攻击坦克的比例.</t>
        </r>
      </text>
    </comment>
    <comment ref="BP23" authorId="0" shapeId="0">
      <text>
        <r>
          <rPr>
            <b/>
            <sz val="9"/>
            <rFont val="宋体"/>
            <family val="3"/>
            <charset val="134"/>
          </rPr>
          <t>作者:</t>
        </r>
        <r>
          <rPr>
            <sz val="9"/>
            <rFont val="宋体"/>
            <family val="3"/>
            <charset val="134"/>
          </rPr>
          <t xml:space="preserve">
轻坦射程距离下</t>
        </r>
      </text>
    </comment>
    <comment ref="BS23" authorId="0" shapeId="0">
      <text>
        <r>
          <rPr>
            <b/>
            <sz val="9"/>
            <rFont val="宋体"/>
            <family val="3"/>
            <charset val="134"/>
          </rPr>
          <t>作者:</t>
        </r>
        <r>
          <rPr>
            <sz val="9"/>
            <rFont val="宋体"/>
            <family val="3"/>
            <charset val="134"/>
          </rPr>
          <t xml:space="preserve">
中坦射程距离下</t>
        </r>
      </text>
    </comment>
    <comment ref="BV23" authorId="0" shapeId="0">
      <text>
        <r>
          <rPr>
            <b/>
            <sz val="9"/>
            <rFont val="宋体"/>
            <family val="3"/>
            <charset val="134"/>
          </rPr>
          <t>作者:</t>
        </r>
        <r>
          <rPr>
            <sz val="9"/>
            <rFont val="宋体"/>
            <family val="3"/>
            <charset val="134"/>
          </rPr>
          <t xml:space="preserve">
重坦射程距离下</t>
        </r>
      </text>
    </comment>
    <comment ref="BC33" authorId="0" shapeId="0">
      <text>
        <r>
          <rPr>
            <b/>
            <sz val="9"/>
            <rFont val="宋体"/>
            <family val="3"/>
            <charset val="134"/>
          </rPr>
          <t>作者:</t>
        </r>
        <r>
          <rPr>
            <sz val="9"/>
            <rFont val="宋体"/>
            <family val="3"/>
            <charset val="134"/>
          </rPr>
          <t xml:space="preserve">
未被击中前,瞄准攻击坦克的比例.</t>
        </r>
      </text>
    </comment>
  </commentList>
</comments>
</file>

<file path=xl/comments9.xml><?xml version="1.0" encoding="utf-8"?>
<comments xmlns="http://schemas.openxmlformats.org/spreadsheetml/2006/main">
  <authors>
    <author>作者</author>
    <author>赵卿</author>
  </authors>
  <commentList>
    <comment ref="B2" authorId="0" shapeId="0">
      <text>
        <r>
          <rPr>
            <b/>
            <sz val="9"/>
            <rFont val="宋体"/>
            <family val="3"/>
            <charset val="134"/>
          </rPr>
          <t>作者:</t>
        </r>
        <r>
          <rPr>
            <sz val="9"/>
            <rFont val="宋体"/>
            <family val="3"/>
            <charset val="134"/>
          </rPr>
          <t xml:space="preserve">
以标准坦克属性为基础个性化调整坦克属性时,需要在总值上保证对战斗时长的影响趋近于0.使微调前的属性尽量靠近期望属性.</t>
        </r>
      </text>
    </comment>
    <comment ref="L2" authorId="1" shapeId="0">
      <text>
        <r>
          <rPr>
            <b/>
            <sz val="9"/>
            <rFont val="宋体"/>
            <family val="3"/>
            <charset val="134"/>
          </rPr>
          <t>赵卿:</t>
        </r>
        <r>
          <rPr>
            <sz val="9"/>
            <rFont val="宋体"/>
            <family val="3"/>
            <charset val="134"/>
          </rPr>
          <t xml:space="preserve">
坦克炮塔旋转或者坦克车身旋转的角速度都是影响操作和战斗感受较重要的数据,因此,提高初始上限.减少成长区间.</t>
        </r>
      </text>
    </comment>
    <comment ref="B6" authorId="1" shapeId="0">
      <text>
        <r>
          <rPr>
            <b/>
            <sz val="9"/>
            <rFont val="宋体"/>
            <family val="3"/>
            <charset val="134"/>
          </rPr>
          <t>赵卿:</t>
        </r>
        <r>
          <rPr>
            <sz val="9"/>
            <rFont val="宋体"/>
            <family val="3"/>
            <charset val="134"/>
          </rPr>
          <t xml:space="preserve">
提升1%的穿透属性</t>
        </r>
      </text>
    </comment>
    <comment ref="B9" authorId="1" shapeId="0">
      <text>
        <r>
          <rPr>
            <b/>
            <sz val="9"/>
            <rFont val="宋体"/>
            <family val="3"/>
            <charset val="134"/>
          </rPr>
          <t>赵卿:</t>
        </r>
        <r>
          <rPr>
            <sz val="9"/>
            <rFont val="宋体"/>
            <family val="3"/>
            <charset val="134"/>
          </rPr>
          <t xml:space="preserve">
撞击伤害出现的情况较少,影响战斗节奏效果较弱.手填值0.2</t>
        </r>
      </text>
    </comment>
    <comment ref="B10" authorId="0" shapeId="0">
      <text>
        <r>
          <rPr>
            <b/>
            <sz val="9"/>
            <rFont val="宋体"/>
            <family val="3"/>
            <charset val="134"/>
          </rPr>
          <t>作者:</t>
        </r>
        <r>
          <rPr>
            <sz val="9"/>
            <rFont val="宋体"/>
            <family val="3"/>
            <charset val="134"/>
          </rPr>
          <t xml:space="preserve">
对应类型的换弹或者换弹夹缩短1秒对战斗时长缩短的比例.</t>
        </r>
      </text>
    </comment>
    <comment ref="B11" authorId="0" shapeId="0">
      <text>
        <r>
          <rPr>
            <b/>
            <sz val="9"/>
            <rFont val="宋体"/>
            <family val="3"/>
            <charset val="134"/>
          </rPr>
          <t>作者:</t>
        </r>
        <r>
          <rPr>
            <sz val="9"/>
            <rFont val="宋体"/>
            <family val="3"/>
            <charset val="134"/>
          </rPr>
          <t xml:space="preserve">
缩短一定比例的瞄准时间,对应战斗时间缩短的比例.</t>
        </r>
      </text>
    </comment>
    <comment ref="B12" authorId="0" shapeId="0">
      <text>
        <r>
          <rPr>
            <b/>
            <sz val="9"/>
            <rFont val="宋体"/>
            <family val="3"/>
            <charset val="134"/>
          </rPr>
          <t>作者:</t>
        </r>
        <r>
          <rPr>
            <sz val="9"/>
            <rFont val="宋体"/>
            <family val="3"/>
            <charset val="134"/>
          </rPr>
          <t xml:space="preserve">
提升一定比例的速度,延长对方瞄准时间的比例</t>
        </r>
      </text>
    </comment>
    <comment ref="B13" authorId="0" shapeId="0">
      <text>
        <r>
          <rPr>
            <b/>
            <sz val="9"/>
            <rFont val="宋体"/>
            <family val="3"/>
            <charset val="134"/>
          </rPr>
          <t>作者:</t>
        </r>
        <r>
          <rPr>
            <sz val="9"/>
            <rFont val="宋体"/>
            <family val="3"/>
            <charset val="134"/>
          </rPr>
          <t xml:space="preserve">
坦克转向速度和炮塔转向最大速度定义为两个对应的属性.调整转向速度则必定且只需调整炮塔转向速度.而且调整比例为1:2,即增加1度的转向速度,即对应减少2度的炮塔最大转向速度.</t>
        </r>
      </text>
    </comment>
    <comment ref="B15" authorId="1" shapeId="0">
      <text>
        <r>
          <rPr>
            <b/>
            <sz val="9"/>
            <rFont val="宋体"/>
            <family val="3"/>
            <charset val="134"/>
          </rPr>
          <t>赵卿:</t>
        </r>
        <r>
          <rPr>
            <sz val="9"/>
            <rFont val="宋体"/>
            <family val="3"/>
            <charset val="134"/>
          </rPr>
          <t xml:space="preserve">
每增加0.1秒射击间隔延长的总战斗时长</t>
        </r>
      </text>
    </comment>
    <comment ref="P18" authorId="1" shapeId="0">
      <text>
        <r>
          <rPr>
            <b/>
            <sz val="9"/>
            <rFont val="宋体"/>
            <family val="3"/>
            <charset val="134"/>
          </rPr>
          <t>赵卿:</t>
        </r>
        <r>
          <rPr>
            <sz val="9"/>
            <rFont val="宋体"/>
            <family val="3"/>
            <charset val="134"/>
          </rPr>
          <t xml:space="preserve">
精准度降低,则伤害上升.</t>
        </r>
      </text>
    </comment>
    <comment ref="Q18" authorId="1" shapeId="0">
      <text>
        <r>
          <rPr>
            <b/>
            <sz val="9"/>
            <rFont val="宋体"/>
            <family val="3"/>
            <charset val="134"/>
          </rPr>
          <t>赵卿:</t>
        </r>
        <r>
          <rPr>
            <sz val="9"/>
            <rFont val="宋体"/>
            <family val="3"/>
            <charset val="134"/>
          </rPr>
          <t xml:space="preserve">
射速升高则伤害下降.</t>
        </r>
      </text>
    </comment>
    <comment ref="Y18" authorId="1" shapeId="0">
      <text>
        <r>
          <rPr>
            <b/>
            <sz val="9"/>
            <rFont val="宋体"/>
            <family val="3"/>
            <charset val="134"/>
          </rPr>
          <t>赵卿:</t>
        </r>
        <r>
          <rPr>
            <sz val="9"/>
            <rFont val="宋体"/>
            <family val="3"/>
            <charset val="134"/>
          </rPr>
          <t xml:space="preserve">
原有数据,未作修改</t>
        </r>
      </text>
    </comment>
    <comment ref="Z18" authorId="1" shapeId="0">
      <text>
        <r>
          <rPr>
            <b/>
            <sz val="9"/>
            <rFont val="宋体"/>
            <family val="3"/>
            <charset val="134"/>
          </rPr>
          <t>赵卿:</t>
        </r>
        <r>
          <rPr>
            <sz val="9"/>
            <rFont val="宋体"/>
            <family val="3"/>
            <charset val="134"/>
          </rPr>
          <t xml:space="preserve">
炮塔转向角速度用系数</t>
        </r>
      </text>
    </comment>
    <comment ref="AA18" authorId="1" shapeId="0">
      <text>
        <r>
          <rPr>
            <b/>
            <sz val="9"/>
            <rFont val="宋体"/>
            <family val="3"/>
            <charset val="134"/>
          </rPr>
          <t>赵卿:</t>
        </r>
        <r>
          <rPr>
            <sz val="9"/>
            <rFont val="宋体"/>
            <family val="3"/>
            <charset val="134"/>
          </rPr>
          <t xml:space="preserve">
初始的炮塔旋转角速度</t>
        </r>
      </text>
    </comment>
    <comment ref="AB18" authorId="1" shapeId="0">
      <text>
        <r>
          <rPr>
            <b/>
            <sz val="9"/>
            <rFont val="宋体"/>
            <family val="3"/>
            <charset val="134"/>
          </rPr>
          <t>赵卿:</t>
        </r>
        <r>
          <rPr>
            <sz val="9"/>
            <rFont val="宋体"/>
            <family val="3"/>
            <charset val="134"/>
          </rPr>
          <t xml:space="preserve">
最大的炮塔旋转角速度</t>
        </r>
      </text>
    </comment>
    <comment ref="AC18" authorId="1" shapeId="0">
      <text>
        <r>
          <rPr>
            <b/>
            <sz val="9"/>
            <rFont val="宋体"/>
            <family val="3"/>
            <charset val="134"/>
          </rPr>
          <t>赵卿:</t>
        </r>
        <r>
          <rPr>
            <sz val="9"/>
            <rFont val="宋体"/>
            <family val="3"/>
            <charset val="134"/>
          </rPr>
          <t xml:space="preserve">
炮塔旋转角速度加速度</t>
        </r>
      </text>
    </comment>
    <comment ref="AD18" authorId="1" shapeId="0">
      <text>
        <r>
          <rPr>
            <b/>
            <sz val="9"/>
            <rFont val="宋体"/>
            <family val="3"/>
            <charset val="134"/>
          </rPr>
          <t>赵卿:</t>
        </r>
        <r>
          <rPr>
            <sz val="9"/>
            <rFont val="宋体"/>
            <family val="3"/>
            <charset val="134"/>
          </rPr>
          <t xml:space="preserve">
炮塔旋转造成的偏移角度的上限</t>
        </r>
      </text>
    </comment>
    <comment ref="AE18" authorId="1" shapeId="0">
      <text>
        <r>
          <rPr>
            <b/>
            <sz val="9"/>
            <rFont val="宋体"/>
            <family val="3"/>
            <charset val="134"/>
          </rPr>
          <t>赵卿:</t>
        </r>
        <r>
          <rPr>
            <sz val="9"/>
            <rFont val="宋体"/>
            <family val="3"/>
            <charset val="134"/>
          </rPr>
          <t xml:space="preserve">
车身转向速度系数,通过炮塔转向速度系数计算获得.</t>
        </r>
      </text>
    </comment>
    <comment ref="AF18" authorId="1" shapeId="0">
      <text>
        <r>
          <rPr>
            <b/>
            <sz val="9"/>
            <rFont val="宋体"/>
            <family val="3"/>
            <charset val="134"/>
          </rPr>
          <t>赵卿:</t>
        </r>
        <r>
          <rPr>
            <sz val="9"/>
            <rFont val="宋体"/>
            <family val="3"/>
            <charset val="134"/>
          </rPr>
          <t xml:space="preserve">
坦克车身旋转时的角速度</t>
        </r>
      </text>
    </comment>
  </commentList>
</comments>
</file>

<file path=xl/comments10.xml><?xml version="1.0" encoding="utf-8"?>
<comments xmlns="http://schemas.openxmlformats.org/spreadsheetml/2006/main">
  <authors>
    <author>赵卿</author>
  </authors>
  <commentList>
    <comment ref="AH3" authorId="0" shapeId="0">
      <text>
        <r>
          <rPr>
            <b/>
            <sz val="9"/>
            <rFont val="宋体"/>
            <family val="3"/>
            <charset val="134"/>
          </rPr>
          <t>赵卿:</t>
        </r>
        <r>
          <rPr>
            <sz val="9"/>
            <rFont val="宋体"/>
            <family val="3"/>
            <charset val="134"/>
          </rPr>
          <t xml:space="preserve">
提升20%的瞄准速度</t>
        </r>
      </text>
    </comment>
    <comment ref="B8" authorId="0" shapeId="0">
      <text>
        <r>
          <rPr>
            <b/>
            <sz val="9"/>
            <rFont val="宋体"/>
            <family val="3"/>
            <charset val="134"/>
          </rPr>
          <t>赵卿:</t>
        </r>
        <r>
          <rPr>
            <sz val="9"/>
            <rFont val="宋体"/>
            <family val="3"/>
            <charset val="134"/>
          </rPr>
          <t xml:space="preserve">
射速最终能提升的总区间</t>
        </r>
      </text>
    </comment>
  </commentList>
</comments>
</file>

<file path=xl/comments11.xml><?xml version="1.0" encoding="utf-8"?>
<comments xmlns="http://schemas.openxmlformats.org/spreadsheetml/2006/main">
  <authors>
    <author>赵卿</author>
  </authors>
  <commentList>
    <comment ref="B2" authorId="0" shapeId="0">
      <text>
        <r>
          <rPr>
            <b/>
            <sz val="9"/>
            <rFont val="宋体"/>
            <family val="3"/>
            <charset val="134"/>
          </rPr>
          <t>赵卿:</t>
        </r>
        <r>
          <rPr>
            <sz val="9"/>
            <rFont val="宋体"/>
            <family val="3"/>
            <charset val="134"/>
          </rPr>
          <t xml:space="preserve">
同一个属性有两个部件来提供.</t>
        </r>
      </text>
    </comment>
    <comment ref="L3" authorId="0" shapeId="0">
      <text>
        <r>
          <rPr>
            <b/>
            <sz val="9"/>
            <rFont val="宋体"/>
            <family val="3"/>
            <charset val="134"/>
          </rPr>
          <t>赵卿:</t>
        </r>
        <r>
          <rPr>
            <sz val="9"/>
            <rFont val="宋体"/>
            <family val="3"/>
            <charset val="134"/>
          </rPr>
          <t xml:space="preserve">
切换坦克之后,部件在新坦克上面加成的属性百分比降低.但平均增加属性不变.
例:假设T1部件在血量为1000的T1坦克上可以提供100点血量的增长,为10%,若此部件移动到血量为2000的T2坦克上,提升百分比不变的话,则会在没有进行任何养成的情况下额外提升了2000*10%-100=100点的血量,因此部件放到高Tier坦克上时需要进行效果衰减.</t>
        </r>
      </text>
    </comment>
    <comment ref="T3" authorId="0" shapeId="0">
      <text>
        <r>
          <rPr>
            <b/>
            <sz val="9"/>
            <rFont val="宋体"/>
            <family val="3"/>
            <charset val="134"/>
          </rPr>
          <t>赵卿:</t>
        </r>
        <r>
          <rPr>
            <sz val="9"/>
            <rFont val="宋体"/>
            <family val="3"/>
            <charset val="134"/>
          </rPr>
          <t xml:space="preserve">
部件从低级坦克换到高级坦克后损失的提升百分比在新的升级过程中获得.因此新的升级过程中增加的比例提升.</t>
        </r>
      </text>
    </comment>
    <comment ref="B5" authorId="0" shapeId="0">
      <text>
        <r>
          <rPr>
            <b/>
            <sz val="9"/>
            <rFont val="宋体"/>
            <family val="3"/>
            <charset val="134"/>
          </rPr>
          <t>赵卿:</t>
        </r>
        <r>
          <rPr>
            <sz val="9"/>
            <rFont val="宋体"/>
            <family val="3"/>
            <charset val="134"/>
          </rPr>
          <t xml:space="preserve">
设定部件每提升一次等级所能提升的坦克基础属性的比例.</t>
        </r>
      </text>
    </comment>
  </commentList>
</comments>
</file>

<file path=xl/comments12.xml><?xml version="1.0" encoding="utf-8"?>
<comments xmlns="http://schemas.openxmlformats.org/spreadsheetml/2006/main">
  <authors>
    <author>赵卿</author>
  </authors>
  <commentList>
    <comment ref="Q72" authorId="0" shapeId="0">
      <text>
        <r>
          <rPr>
            <b/>
            <sz val="9"/>
            <rFont val="宋体"/>
            <family val="3"/>
            <charset val="134"/>
          </rPr>
          <t>赵卿:</t>
        </r>
        <r>
          <rPr>
            <sz val="9"/>
            <rFont val="宋体"/>
            <family val="3"/>
            <charset val="134"/>
          </rPr>
          <t xml:space="preserve">
实际最大价值为售卖价格的1.67倍</t>
        </r>
      </text>
    </comment>
  </commentList>
</comments>
</file>

<file path=xl/comments13.xml><?xml version="1.0" encoding="utf-8"?>
<comments xmlns="http://schemas.openxmlformats.org/spreadsheetml/2006/main">
  <authors>
    <author>赵卿</author>
  </authors>
  <commentList>
    <comment ref="D68" authorId="0" shapeId="0">
      <text>
        <r>
          <rPr>
            <b/>
            <sz val="9"/>
            <rFont val="宋体"/>
            <family val="3"/>
            <charset val="134"/>
          </rPr>
          <t>赵卿:</t>
        </r>
        <r>
          <rPr>
            <sz val="9"/>
            <rFont val="宋体"/>
            <family val="3"/>
            <charset val="134"/>
          </rPr>
          <t xml:space="preserve">
此类宝箱中坦克相关的道具类型最多数量.</t>
        </r>
      </text>
    </comment>
  </commentList>
</comments>
</file>

<file path=xl/sharedStrings.xml><?xml version="1.0" encoding="utf-8"?>
<sst xmlns="http://schemas.openxmlformats.org/spreadsheetml/2006/main" count="13529" uniqueCount="3752">
  <si>
    <t>表名汇总</t>
  </si>
  <si>
    <t>说明</t>
  </si>
  <si>
    <t>标准坦克设计</t>
  </si>
  <si>
    <t>坦克属性推导</t>
  </si>
  <si>
    <t>基础属性系数</t>
  </si>
  <si>
    <t>轻中重分类</t>
  </si>
  <si>
    <t>设定轻中重坦克的攻击模式分别为缠斗,多变,狙击</t>
  </si>
  <si>
    <t>基础经济系数</t>
  </si>
  <si>
    <t>根据地图大小,设定轻中重坦克的遇敌时间和最佳攻击距离</t>
  </si>
  <si>
    <t>游戏时长规划</t>
  </si>
  <si>
    <t>根据轻中重坦克的攻击模式,设定射击间隔,受击晃动等坦克特性的区间,并计算区间是否合理</t>
  </si>
  <si>
    <t>玩家资源获取模拟</t>
  </si>
  <si>
    <t>根据坦克模型各部分的大小设定坦克各入射角命中的情况下会受到的伤害系数.以平衡各坦克受到的平均伤害</t>
  </si>
  <si>
    <t>坦克升星消耗</t>
  </si>
  <si>
    <t>七种坦克分类</t>
  </si>
  <si>
    <t>根据坦克的射击方式,细化坦克的玩法,不同比例的加强穿透力细分相同类型坦克的不同战斗距离</t>
  </si>
  <si>
    <t>属性说明</t>
  </si>
  <si>
    <t>根据坦克的上弹方式,设定坦克的弹夹容量,射击间隔,上弹速度等</t>
  </si>
  <si>
    <t>坦克等级成长</t>
  </si>
  <si>
    <t>根据已有的射击和上弹规则模拟出坦克的标准射击速度,设定初始的坦克血量和战斗时长推断出不同类型坦克的血量基础值和输出基础值</t>
  </si>
  <si>
    <t>类型坦克成长数据</t>
  </si>
  <si>
    <t>在已有基础血量和基础输出值的情况下计算出坦克的基础伤害.</t>
  </si>
  <si>
    <t>战斗时间模拟</t>
  </si>
  <si>
    <t>设定轻中重坦克的防御倾向比例和基础的穿透值,使用基础血量,标准战斗距离,基础输出,计算出对应的装甲值</t>
  </si>
  <si>
    <t>坦克标准养成属性</t>
  </si>
  <si>
    <t>重新计算七种坦克之间的期望战斗时间</t>
  </si>
  <si>
    <t>坦克类型系数</t>
  </si>
  <si>
    <t>30个坦克分类</t>
  </si>
  <si>
    <t>设定坦克分为5个Tier,高级Tier中有稀有度的区分,最终设定出12个坦克属性分段;</t>
  </si>
  <si>
    <t>图鉴</t>
  </si>
  <si>
    <t>调整每个坦克的成长区间,使12个坦克的属性相交情况满足老吴的需求;</t>
  </si>
  <si>
    <t>坦克个性化设定</t>
  </si>
  <si>
    <t>根据已有的基础坦克属性和坦克的属性成长系数计算出坦克的可成长属性的最终值;</t>
  </si>
  <si>
    <t>坦克个性化细分</t>
  </si>
  <si>
    <t>在已有坦克的属性基础上,计算小区间属性在成长的过程中对坦克之间战斗时长的影响,决定使用哪些小区间属性作为可成长属性以调整坦克的操作性.</t>
  </si>
  <si>
    <t>坦克属性统计</t>
  </si>
  <si>
    <t>根据坦克的升星流程,细化出不同坦克的小成长区间的属性的成长值</t>
  </si>
  <si>
    <t>坦克属性对比</t>
  </si>
  <si>
    <t>根据已有的30个坦克的模型设定坦克的类型和射击模式,再进行小范围的个性化,重新设定坦克的不可成长属性的属性值,以区分坦克的手感和玩法.</t>
  </si>
  <si>
    <t>坦克部件</t>
  </si>
  <si>
    <t>计算出所有坦克的详细属性变化;</t>
  </si>
  <si>
    <t>坦克部件养成</t>
  </si>
  <si>
    <t>把坦克的属性按系统规则分配给坦克升星和坦克部件,并计算出坦克的所有属性和部件的所有属性;</t>
  </si>
  <si>
    <t>坦克技能</t>
  </si>
  <si>
    <t>战斗力计算</t>
  </si>
  <si>
    <t>匹配分段</t>
  </si>
  <si>
    <t>商店道具</t>
  </si>
  <si>
    <t>道具价值</t>
  </si>
  <si>
    <t>道具ID</t>
  </si>
  <si>
    <t>经济系统推导</t>
  </si>
  <si>
    <t>推送礼包</t>
  </si>
  <si>
    <t>设定兑换率,每天产出价值,各个系统产出资源的分类和资源占比,最终得到每天产出的各种资源的实际值</t>
  </si>
  <si>
    <t>活动奖励</t>
  </si>
  <si>
    <t>将每天产出的资源分配给各个系统;得到各个系统平均每天可以消耗的对应资源的价值</t>
  </si>
  <si>
    <t>BattlePass</t>
  </si>
  <si>
    <t>设定最便宜坦克的基础价值,根据现有规则,坦克星级与坦克属性正相关,使用坦克属性成长系数计算获得最终所有坦克的价值</t>
  </si>
  <si>
    <t>成就</t>
  </si>
  <si>
    <t>根据老吴需求通过调整坦克合成所需要的碎片数量使高稀有度的坦克碎片价值更高,并保证价值不会过高以至于无法进入宝箱抽取</t>
  </si>
  <si>
    <t>联赛奖励</t>
  </si>
  <si>
    <t>根据部件可以给坦克增加的属性比例,获得最初始坦克部件的价值,通过人为设置的稀有度系数区分三种部件的初始价值</t>
  </si>
  <si>
    <t>任务设定</t>
  </si>
  <si>
    <t>根据期望的总游戏时长(消费深度),计算出坦克升星消耗资源</t>
  </si>
  <si>
    <t>宝箱设定</t>
  </si>
  <si>
    <t>部件则是根据规则直接获得的最低消费深度;</t>
  </si>
  <si>
    <t>宝箱内容</t>
  </si>
  <si>
    <t>名称-id</t>
  </si>
  <si>
    <t>碎片兑换</t>
  </si>
  <si>
    <t>资源获取模拟</t>
  </si>
  <si>
    <t>根据玩家的资源获取速度与消耗推导出玩家的属性成长速度,设定基础的期望胜率,得到玩家的奖牌数量变化,最终得到各个奖牌区间时玩家的属性强度,获得机器人属性强度</t>
  </si>
  <si>
    <t>根据之前获得的玩家属性强度给玩家设定适用可能性更高的奖励,以作为追求目标或者是付费目的</t>
  </si>
  <si>
    <t>坦克各类型穿透力和衰减区间</t>
  </si>
  <si>
    <t>希望达到的效果</t>
  </si>
  <si>
    <t>坦克类型</t>
  </si>
  <si>
    <t>穿透力比</t>
  </si>
  <si>
    <t>max穿透系</t>
  </si>
  <si>
    <t>min穿透系</t>
  </si>
  <si>
    <t>平均穿透</t>
  </si>
  <si>
    <t>最小穿透</t>
  </si>
  <si>
    <t>所有坦克达到合适距离可以打穿对方</t>
  </si>
  <si>
    <t>轻坦半自动</t>
  </si>
  <si>
    <t>重坦看到对方就可以打,不用等;轻坦需要到合适距离才能开火.不同距离伤害差异较大.</t>
  </si>
  <si>
    <t>轻坦弹夹</t>
  </si>
  <si>
    <t>穿透力衰减代表伤害差异区间变化,轻坦伤害衰减大,重坦伤害衰减小.轻坦爆发高.重坦爆发低.所有坦克的装甲厚度没有绝对差异.不同坦克的主要差异是灵活度</t>
  </si>
  <si>
    <t>轻坦单发</t>
  </si>
  <si>
    <t>玩法:重坦看到对面坦克之后就打,轻坦打重坦需要前进70米才能达到最大输出.贴近重坦后通过走位使自己受伤减少,对重坦进行伤害.</t>
  </si>
  <si>
    <t>中坦弹夹</t>
  </si>
  <si>
    <t>中坦自动</t>
  </si>
  <si>
    <t>重坦自动</t>
  </si>
  <si>
    <t>重坦单发</t>
  </si>
  <si>
    <t>标准坦克初始个性设定</t>
  </si>
  <si>
    <t>主炮类型</t>
  </si>
  <si>
    <t>弹夹容量</t>
  </si>
  <si>
    <t>设定单发</t>
  </si>
  <si>
    <t>单发时间</t>
  </si>
  <si>
    <t>弹夹时间</t>
  </si>
  <si>
    <t>射击间隔</t>
  </si>
  <si>
    <r>
      <rPr>
        <sz val="9"/>
        <color theme="1"/>
        <rFont val="微软雅黑"/>
        <charset val="134"/>
      </rPr>
      <t>6</t>
    </r>
    <r>
      <rPr>
        <sz val="9"/>
        <color theme="1"/>
        <rFont val="微软雅黑"/>
        <charset val="134"/>
      </rPr>
      <t>0S射数</t>
    </r>
  </si>
  <si>
    <t>半分连射数</t>
  </si>
  <si>
    <t>45S射数</t>
  </si>
  <si>
    <t>半自动装弹</t>
  </si>
  <si>
    <t>三联发弹夹装弹</t>
  </si>
  <si>
    <t>单发装弹</t>
  </si>
  <si>
    <t>弹夹装弹</t>
  </si>
  <si>
    <t>自动装弹</t>
  </si>
  <si>
    <t>战斗双方输出期望</t>
  </si>
  <si>
    <t>遇敌距离</t>
  </si>
  <si>
    <t>期望距离</t>
  </si>
  <si>
    <t>移动时间</t>
  </si>
  <si>
    <t>轻坦时间</t>
  </si>
  <si>
    <t>中坦时间</t>
  </si>
  <si>
    <t>重坦时间</t>
  </si>
  <si>
    <t>对轻最弱伤</t>
  </si>
  <si>
    <t>对轻最高伤</t>
  </si>
  <si>
    <t>对中最弱伤</t>
  </si>
  <si>
    <t>对中最高伤</t>
  </si>
  <si>
    <t>对重最弱伤</t>
  </si>
  <si>
    <t>对重最高伤</t>
  </si>
  <si>
    <t>轻坦时长</t>
  </si>
  <si>
    <t>中坦时长</t>
  </si>
  <si>
    <t>重坦时长</t>
  </si>
  <si>
    <t>对轻坦输出</t>
  </si>
  <si>
    <t>对中坦输出</t>
  </si>
  <si>
    <t>对重坦输出</t>
  </si>
  <si>
    <t>平均期望</t>
  </si>
  <si>
    <t>基础坦克属性</t>
  </si>
  <si>
    <t>FireType</t>
  </si>
  <si>
    <t>不同装弹方式描述：</t>
  </si>
  <si>
    <t>平均伤害</t>
  </si>
  <si>
    <t>基础血量</t>
  </si>
  <si>
    <t>装甲系数</t>
  </si>
  <si>
    <t>坦克装甲</t>
  </si>
  <si>
    <t>弹夹内所有炮弹打完才开始装弹，一次装填一发</t>
  </si>
  <si>
    <t>轻坦</t>
  </si>
  <si>
    <t>正常弹夹，一次装填所有</t>
  </si>
  <si>
    <t>中坦</t>
  </si>
  <si>
    <t>只有射击间隔</t>
  </si>
  <si>
    <t>重坦</t>
  </si>
  <si>
    <t>弹夹内有空格就自动装弹，一次装填一发，涉及到射击间隔和弹夹时间（装填时间）</t>
  </si>
  <si>
    <t>三连发，正常弹夹，一次装填所有，轻坦弹夹即为三联发弹夹装弹模式</t>
  </si>
  <si>
    <t>标准坦克基础属性</t>
  </si>
  <si>
    <t>射击发数</t>
  </si>
  <si>
    <t>基础DPS</t>
  </si>
  <si>
    <t>伤害系数</t>
  </si>
  <si>
    <t>基础伤害</t>
  </si>
  <si>
    <t>基础穿透</t>
  </si>
  <si>
    <t>基础装甲</t>
  </si>
  <si>
    <t>坦克间战斗时间期望</t>
  </si>
  <si>
    <t>对轻坦平均</t>
  </si>
  <si>
    <t>对中坦平均</t>
  </si>
  <si>
    <t>对重坦平均</t>
  </si>
  <si>
    <t>技能对轻坦</t>
  </si>
  <si>
    <t>技能对中坦</t>
  </si>
  <si>
    <t>技能对重坦</t>
  </si>
  <si>
    <t>玩法约定</t>
  </si>
  <si>
    <t>玩家可预期伤害</t>
  </si>
  <si>
    <t>玩家可预期弹着点范围</t>
  </si>
  <si>
    <t>越接近坦克中间伤害越高</t>
  </si>
  <si>
    <t>穿透力不足时会跳弹,(穿透/护甲)比例对弱者友好,穿透力不足时伤害衰减少,穿透力超出时伤害增幅少;</t>
  </si>
  <si>
    <t>伤害计算说明</t>
  </si>
  <si>
    <t>跳弹:最终伤害=穿透力/装甲厚度*炮弹攻击力*部位伤害系数</t>
  </si>
  <si>
    <t>穿透:打中center则直接暴击,未击中center则取所有部件中伤害最大值.部件伤害=炮弹攻击力*f(穿透力/装甲厚度)*部位伤害系数;</t>
  </si>
  <si>
    <t>射速计算说明</t>
  </si>
  <si>
    <t>((60-(bullet-1)*attackCd)/(magazineTime+attackCd*(bullet-1)+bulletTime*bullet)+1)*bullet</t>
  </si>
  <si>
    <t>单发装填炮 ((60-(弹夹数量-1)*max(弹夹炮射击间隔,炮弹装填时间))/max(弹夹炮射击间隔,炮弹装填时间)+1)*弹夹数量</t>
  </si>
  <si>
    <t>弹夹替换炮 ((60-(弹夹数量-1)*弹夹炮射击间隔)/(弹夹替换时间+弹夹炮射击间隔*(弹夹数量-1))+1)*弹夹数量</t>
  </si>
  <si>
    <t>物理标准值</t>
  </si>
  <si>
    <t>属性名称</t>
  </si>
  <si>
    <t>属性值</t>
  </si>
  <si>
    <t>每秒帧数</t>
  </si>
  <si>
    <t>标准地图(米)</t>
  </si>
  <si>
    <t>通用射击距离(根据坦克类型分类)</t>
  </si>
  <si>
    <t>射击距离</t>
  </si>
  <si>
    <t>始衰减距离</t>
  </si>
  <si>
    <t>终衰减距离</t>
  </si>
  <si>
    <t>标准射击距离(根据细类分类)</t>
  </si>
  <si>
    <t>坦克特征统计</t>
  </si>
  <si>
    <t>轻坦受伤系数集中,重坦受伤系数分散</t>
  </si>
  <si>
    <t>单发伤害</t>
  </si>
  <si>
    <t>瞄准速度</t>
  </si>
  <si>
    <t>瞄准精度</t>
  </si>
  <si>
    <t>机动效率</t>
  </si>
  <si>
    <t>装甲厚度</t>
  </si>
  <si>
    <t>低</t>
  </si>
  <si>
    <t>高</t>
  </si>
  <si>
    <t>中</t>
  </si>
  <si>
    <r>
      <rPr>
        <sz val="9"/>
        <color theme="1"/>
        <rFont val="微软雅黑"/>
        <charset val="134"/>
      </rPr>
      <t>主炮类型区别说明(示意数据</t>
    </r>
    <r>
      <rPr>
        <sz val="9"/>
        <color theme="1"/>
        <rFont val="微软雅黑"/>
        <charset val="134"/>
      </rPr>
      <t>)</t>
    </r>
  </si>
  <si>
    <t>对应ID</t>
  </si>
  <si>
    <t>装弹按键</t>
  </si>
  <si>
    <t>装弹类型</t>
  </si>
  <si>
    <t>发射类型</t>
  </si>
  <si>
    <t>可否连射</t>
  </si>
  <si>
    <t>无</t>
  </si>
  <si>
    <t>炮弹装弹</t>
  </si>
  <si>
    <t>单发</t>
  </si>
  <si>
    <t>4-8秒</t>
  </si>
  <si>
    <t>不可</t>
  </si>
  <si>
    <t>有</t>
  </si>
  <si>
    <t>3.5-4.5秒</t>
  </si>
  <si>
    <t>可</t>
  </si>
  <si>
    <t>弹夹自装弹</t>
  </si>
  <si>
    <t>弹夹替换</t>
  </si>
  <si>
    <t>15秒</t>
  </si>
  <si>
    <t>霰弹炮</t>
  </si>
  <si>
    <t>散射</t>
  </si>
  <si>
    <t>1.5-3秒</t>
  </si>
  <si>
    <t>3.5秒</t>
  </si>
  <si>
    <t>撞击伤害基础系数</t>
  </si>
  <si>
    <t>最小速度比</t>
  </si>
  <si>
    <t>基础反弹比</t>
  </si>
  <si>
    <t>标准Center大小</t>
  </si>
  <si>
    <t>轻坦对角线</t>
  </si>
  <si>
    <t>瞄准比例</t>
  </si>
  <si>
    <t>center直径</t>
  </si>
  <si>
    <t>无视距离</t>
  </si>
  <si>
    <t>部位受到伤害值系数</t>
  </si>
  <si>
    <t>部位名称</t>
  </si>
  <si>
    <t>最小系数</t>
  </si>
  <si>
    <t>最大系数</t>
  </si>
  <si>
    <t>标准长度</t>
  </si>
  <si>
    <t>标准宽度</t>
  </si>
  <si>
    <t>正面比例</t>
  </si>
  <si>
    <t>侧面比例</t>
  </si>
  <si>
    <t>命中概率</t>
  </si>
  <si>
    <t>影响伤害比</t>
  </si>
  <si>
    <t>CENTER</t>
  </si>
  <si>
    <t>炮塔</t>
  </si>
  <si>
    <t>车身</t>
  </si>
  <si>
    <t>履带</t>
  </si>
  <si>
    <t>入射点伤害系数</t>
  </si>
  <si>
    <t>入射点名称</t>
  </si>
  <si>
    <t>映射长度</t>
  </si>
  <si>
    <t>生效长度</t>
  </si>
  <si>
    <t>长度比例</t>
  </si>
  <si>
    <t>长度伤害</t>
  </si>
  <si>
    <t>累计伤害</t>
  </si>
  <si>
    <t>命中占比</t>
  </si>
  <si>
    <t>命中伤害</t>
  </si>
  <si>
    <t>期望伤害</t>
  </si>
  <si>
    <t>Center</t>
  </si>
  <si>
    <t>炮塔后方</t>
  </si>
  <si>
    <t>炮塔侧方</t>
  </si>
  <si>
    <t>炮塔前方</t>
  </si>
  <si>
    <t>车身后方</t>
  </si>
  <si>
    <t>车身侧方</t>
  </si>
  <si>
    <t>车身前方</t>
  </si>
  <si>
    <t>入射调整系数</t>
  </si>
  <si>
    <t>标准坦克属性</t>
  </si>
  <si>
    <t>车身对角线</t>
  </si>
  <si>
    <t>炮塔对角线</t>
  </si>
  <si>
    <t>标准伤害</t>
  </si>
  <si>
    <t>未击破系数</t>
  </si>
  <si>
    <t>战斗时间</t>
  </si>
  <si>
    <t>技能相关系数</t>
  </si>
  <si>
    <t>类别</t>
  </si>
  <si>
    <t>数值</t>
  </si>
  <si>
    <t>主动技能数</t>
  </si>
  <si>
    <t>被动技能数</t>
  </si>
  <si>
    <t>主动效果</t>
  </si>
  <si>
    <t>被动效果</t>
  </si>
  <si>
    <t>总计效果</t>
  </si>
  <si>
    <t>调整侦查距离,重坦自身的观察距离比较近,被观察到的距离远</t>
  </si>
  <si>
    <t>战场内掉落</t>
  </si>
  <si>
    <t>T1权重</t>
  </si>
  <si>
    <t>T1数量</t>
  </si>
  <si>
    <t>T2权重</t>
  </si>
  <si>
    <t>T2数量</t>
  </si>
  <si>
    <t>T3权重</t>
  </si>
  <si>
    <t>T3数量</t>
  </si>
  <si>
    <t>T4权重</t>
  </si>
  <si>
    <t>T4数量</t>
  </si>
  <si>
    <t>T5权重</t>
  </si>
  <si>
    <t>T5数量</t>
  </si>
  <si>
    <t>战场内Buff掉落</t>
  </si>
  <si>
    <t>钻石/美金</t>
  </si>
  <si>
    <t>如果到后期每日产出的资源数量变多.同时这些资源对应的实际价值也增加的话.玩家同样付费购买到的资源与每日产出量的比例会降低.导致玩家消费效果降低.因此资源对应的实际价值不应该提升,对应的就导致物品的实际价值随玩家游戏进程而贬值.游戏后期,玩家花同样的时间或者消费同样的金额可以获得更多数量的道具.</t>
  </si>
  <si>
    <t>军费</t>
  </si>
  <si>
    <t>战场内加速buff1（8秒）</t>
  </si>
  <si>
    <r>
      <rPr>
        <sz val="9"/>
        <color theme="1"/>
        <rFont val="微软雅黑"/>
        <charset val="134"/>
      </rPr>
      <t>(</t>
    </r>
    <r>
      <rPr>
        <sz val="9"/>
        <color theme="1"/>
        <rFont val="微软雅黑"/>
        <charset val="134"/>
      </rPr>
      <t>1,1)</t>
    </r>
  </si>
  <si>
    <t>日产出价值</t>
  </si>
  <si>
    <t>产出内容价值固定,道具贬值了</t>
  </si>
  <si>
    <t>钥匙</t>
  </si>
  <si>
    <t>战场内增加攻击力buff1（8秒）</t>
  </si>
  <si>
    <t>标准坦克</t>
  </si>
  <si>
    <t>产出内容价值变化,道具无贬值</t>
  </si>
  <si>
    <t>活跃值</t>
  </si>
  <si>
    <t>战场内增加防御力buff1（8秒）</t>
  </si>
  <si>
    <t>日标准场次</t>
  </si>
  <si>
    <t>额外20%,日标准20场</t>
  </si>
  <si>
    <t>3倍加速1</t>
  </si>
  <si>
    <t>战场内增加射速buff1（8秒）</t>
  </si>
  <si>
    <t>场军费价值</t>
  </si>
  <si>
    <t>Score</t>
  </si>
  <si>
    <t>战场内减冷却buff1（8秒）</t>
  </si>
  <si>
    <t>钥匙价值</t>
  </si>
  <si>
    <r>
      <rPr>
        <sz val="9"/>
        <color theme="1"/>
        <rFont val="微软雅黑"/>
        <charset val="134"/>
      </rPr>
      <t>每日满额奖励8</t>
    </r>
    <r>
      <rPr>
        <sz val="9"/>
        <color theme="1"/>
        <rFont val="微软雅黑"/>
        <charset val="134"/>
      </rPr>
      <t>0次,TableConst配置</t>
    </r>
  </si>
  <si>
    <t>战场内直接加血buff</t>
  </si>
  <si>
    <t>游戏时长(时)</t>
  </si>
  <si>
    <t>战场内加速buff2（20秒）</t>
  </si>
  <si>
    <t>每日钥匙</t>
  </si>
  <si>
    <t>战场内增加攻击力buff2（20秒）</t>
  </si>
  <si>
    <t>战场内增加防御力buff2（20秒）</t>
  </si>
  <si>
    <t>每日产出资源比例</t>
  </si>
  <si>
    <t>产出资源内容</t>
  </si>
  <si>
    <t>扣除钻石价值</t>
  </si>
  <si>
    <t>战场内增加射速buff2（20秒）</t>
  </si>
  <si>
    <t>产出途径</t>
  </si>
  <si>
    <t>产出总价值</t>
  </si>
  <si>
    <t>产出比例</t>
  </si>
  <si>
    <t>产出次数</t>
  </si>
  <si>
    <t>每次价值</t>
  </si>
  <si>
    <t>产出内容1</t>
  </si>
  <si>
    <t>产出内容2</t>
  </si>
  <si>
    <t>产出内容3</t>
  </si>
  <si>
    <t>产出内容4</t>
  </si>
  <si>
    <t>产出内容5</t>
  </si>
  <si>
    <t>包含钻石</t>
  </si>
  <si>
    <t>剩余价值</t>
  </si>
  <si>
    <t>军费价值</t>
  </si>
  <si>
    <t>钥匙个数</t>
  </si>
  <si>
    <t>战场内减冷却buff2（20秒）</t>
  </si>
  <si>
    <t>战斗</t>
  </si>
  <si>
    <t>任务</t>
  </si>
  <si>
    <t>钥匙宝箱</t>
  </si>
  <si>
    <t>碎片</t>
  </si>
  <si>
    <t>部件</t>
  </si>
  <si>
    <t>钻石</t>
  </si>
  <si>
    <t>在线奖励</t>
  </si>
  <si>
    <t>活跃度宝箱</t>
  </si>
  <si>
    <t>坦克</t>
  </si>
  <si>
    <t>单场平均击杀</t>
  </si>
  <si>
    <t>每天比赛次数上限</t>
  </si>
  <si>
    <t>Gacha产出坦克与部件比例</t>
  </si>
  <si>
    <t>每日消耗军费价值</t>
  </si>
  <si>
    <t>每天比赛次数平均</t>
  </si>
  <si>
    <t>产出类型</t>
  </si>
  <si>
    <t>价值比例</t>
  </si>
  <si>
    <t>价值基数</t>
  </si>
  <si>
    <t>消耗系数</t>
  </si>
  <si>
    <t>获取估算</t>
  </si>
  <si>
    <t>T1平均值</t>
  </si>
  <si>
    <t>T1极限值</t>
  </si>
  <si>
    <t>T2平均值</t>
  </si>
  <si>
    <t>T2极限值</t>
  </si>
  <si>
    <t>T3平均值</t>
  </si>
  <si>
    <t>T3极限值</t>
  </si>
  <si>
    <t>T4平均值</t>
  </si>
  <si>
    <t>T4极限值</t>
  </si>
  <si>
    <t>T5平均值</t>
  </si>
  <si>
    <t>T5极限值</t>
  </si>
  <si>
    <t>每日产出资源价值</t>
  </si>
  <si>
    <t>每日总价值</t>
  </si>
  <si>
    <t>坦克(碎片)价值</t>
  </si>
  <si>
    <t>坦克Tier</t>
  </si>
  <si>
    <t>坦克初始</t>
  </si>
  <si>
    <t>初始属性</t>
  </si>
  <si>
    <t>初始系数</t>
  </si>
  <si>
    <t>初始价值</t>
  </si>
  <si>
    <t>合成碎片数</t>
  </si>
  <si>
    <t>碎片价值</t>
  </si>
  <si>
    <r>
      <rPr>
        <sz val="9"/>
        <color theme="1"/>
        <rFont val="微软雅黑"/>
        <charset val="134"/>
      </rPr>
      <t>T</t>
    </r>
    <r>
      <rPr>
        <sz val="9"/>
        <color theme="1"/>
        <rFont val="微软雅黑"/>
        <charset val="134"/>
      </rPr>
      <t>1</t>
    </r>
  </si>
  <si>
    <r>
      <rPr>
        <sz val="9"/>
        <color theme="1"/>
        <rFont val="微软雅黑"/>
        <charset val="134"/>
      </rPr>
      <t>T1</t>
    </r>
    <r>
      <rPr>
        <sz val="9"/>
        <color theme="1"/>
        <rFont val="微软雅黑"/>
        <charset val="134"/>
      </rPr>
      <t>_</t>
    </r>
    <r>
      <rPr>
        <sz val="9"/>
        <color theme="1"/>
        <rFont val="微软雅黑"/>
        <charset val="134"/>
      </rPr>
      <t>低</t>
    </r>
    <r>
      <rPr>
        <sz val="9"/>
        <color theme="1"/>
        <rFont val="微软雅黑"/>
        <charset val="134"/>
      </rPr>
      <t>_</t>
    </r>
    <r>
      <rPr>
        <sz val="9"/>
        <color theme="1"/>
        <rFont val="微软雅黑"/>
        <charset val="134"/>
      </rPr>
      <t>1</t>
    </r>
  </si>
  <si>
    <r>
      <rPr>
        <sz val="9"/>
        <color theme="1"/>
        <rFont val="微软雅黑"/>
        <charset val="134"/>
      </rPr>
      <t>T</t>
    </r>
    <r>
      <rPr>
        <sz val="9"/>
        <color theme="1"/>
        <rFont val="微软雅黑"/>
        <charset val="134"/>
      </rPr>
      <t>2</t>
    </r>
  </si>
  <si>
    <r>
      <rPr>
        <sz val="9"/>
        <color theme="1"/>
        <rFont val="微软雅黑"/>
        <charset val="134"/>
      </rPr>
      <t>T2</t>
    </r>
    <r>
      <rPr>
        <sz val="9"/>
        <color theme="1"/>
        <rFont val="微软雅黑"/>
        <charset val="134"/>
      </rPr>
      <t>_</t>
    </r>
    <r>
      <rPr>
        <sz val="9"/>
        <color theme="1"/>
        <rFont val="微软雅黑"/>
        <charset val="134"/>
      </rPr>
      <t>低</t>
    </r>
    <r>
      <rPr>
        <sz val="9"/>
        <color theme="1"/>
        <rFont val="微软雅黑"/>
        <charset val="134"/>
      </rPr>
      <t>_</t>
    </r>
    <r>
      <rPr>
        <sz val="9"/>
        <color theme="1"/>
        <rFont val="微软雅黑"/>
        <charset val="134"/>
      </rPr>
      <t>2</t>
    </r>
  </si>
  <si>
    <r>
      <rPr>
        <sz val="9"/>
        <color theme="1"/>
        <rFont val="微软雅黑"/>
        <charset val="134"/>
      </rPr>
      <t>T2</t>
    </r>
    <r>
      <rPr>
        <sz val="9"/>
        <color theme="1"/>
        <rFont val="微软雅黑"/>
        <charset val="134"/>
      </rPr>
      <t>_</t>
    </r>
    <r>
      <rPr>
        <sz val="9"/>
        <color theme="1"/>
        <rFont val="微软雅黑"/>
        <charset val="134"/>
      </rPr>
      <t>中</t>
    </r>
    <r>
      <rPr>
        <sz val="9"/>
        <color theme="1"/>
        <rFont val="微软雅黑"/>
        <charset val="134"/>
      </rPr>
      <t>_</t>
    </r>
    <r>
      <rPr>
        <sz val="9"/>
        <color theme="1"/>
        <rFont val="微软雅黑"/>
        <charset val="134"/>
      </rPr>
      <t>2</t>
    </r>
  </si>
  <si>
    <r>
      <rPr>
        <sz val="9"/>
        <color theme="1"/>
        <rFont val="微软雅黑"/>
        <charset val="134"/>
      </rPr>
      <t>T</t>
    </r>
    <r>
      <rPr>
        <sz val="9"/>
        <color theme="1"/>
        <rFont val="微软雅黑"/>
        <charset val="134"/>
      </rPr>
      <t>3</t>
    </r>
  </si>
  <si>
    <r>
      <rPr>
        <sz val="9"/>
        <color theme="1"/>
        <rFont val="微软雅黑"/>
        <charset val="134"/>
      </rPr>
      <t>T3</t>
    </r>
    <r>
      <rPr>
        <sz val="9"/>
        <color theme="1"/>
        <rFont val="微软雅黑"/>
        <charset val="134"/>
      </rPr>
      <t>_</t>
    </r>
    <r>
      <rPr>
        <sz val="9"/>
        <color theme="1"/>
        <rFont val="微软雅黑"/>
        <charset val="134"/>
      </rPr>
      <t>低</t>
    </r>
    <r>
      <rPr>
        <sz val="9"/>
        <color theme="1"/>
        <rFont val="微软雅黑"/>
        <charset val="134"/>
      </rPr>
      <t>_</t>
    </r>
    <r>
      <rPr>
        <sz val="9"/>
        <color theme="1"/>
        <rFont val="微软雅黑"/>
        <charset val="134"/>
      </rPr>
      <t>3</t>
    </r>
  </si>
  <si>
    <r>
      <rPr>
        <sz val="9"/>
        <color theme="1"/>
        <rFont val="微软雅黑"/>
        <charset val="134"/>
      </rPr>
      <t>T3</t>
    </r>
    <r>
      <rPr>
        <sz val="9"/>
        <color theme="1"/>
        <rFont val="微软雅黑"/>
        <charset val="134"/>
      </rPr>
      <t>_</t>
    </r>
    <r>
      <rPr>
        <sz val="9"/>
        <color theme="1"/>
        <rFont val="微软雅黑"/>
        <charset val="134"/>
      </rPr>
      <t>中</t>
    </r>
    <r>
      <rPr>
        <sz val="9"/>
        <color theme="1"/>
        <rFont val="微软雅黑"/>
        <charset val="134"/>
      </rPr>
      <t>_</t>
    </r>
    <r>
      <rPr>
        <sz val="9"/>
        <color theme="1"/>
        <rFont val="微软雅黑"/>
        <charset val="134"/>
      </rPr>
      <t>3</t>
    </r>
  </si>
  <si>
    <r>
      <rPr>
        <sz val="9"/>
        <color theme="1"/>
        <rFont val="微软雅黑"/>
        <charset val="134"/>
      </rPr>
      <t>T3</t>
    </r>
    <r>
      <rPr>
        <sz val="9"/>
        <color theme="1"/>
        <rFont val="微软雅黑"/>
        <charset val="134"/>
      </rPr>
      <t>_</t>
    </r>
    <r>
      <rPr>
        <sz val="9"/>
        <color theme="1"/>
        <rFont val="微软雅黑"/>
        <charset val="134"/>
      </rPr>
      <t>高</t>
    </r>
    <r>
      <rPr>
        <sz val="9"/>
        <color theme="1"/>
        <rFont val="微软雅黑"/>
        <charset val="134"/>
      </rPr>
      <t>_</t>
    </r>
    <r>
      <rPr>
        <sz val="9"/>
        <color theme="1"/>
        <rFont val="微软雅黑"/>
        <charset val="134"/>
      </rPr>
      <t>3</t>
    </r>
  </si>
  <si>
    <r>
      <rPr>
        <sz val="9"/>
        <color theme="1"/>
        <rFont val="微软雅黑"/>
        <charset val="134"/>
      </rPr>
      <t>T</t>
    </r>
    <r>
      <rPr>
        <sz val="9"/>
        <color theme="1"/>
        <rFont val="微软雅黑"/>
        <charset val="134"/>
      </rPr>
      <t>4</t>
    </r>
  </si>
  <si>
    <r>
      <rPr>
        <sz val="9"/>
        <color theme="1"/>
        <rFont val="微软雅黑"/>
        <charset val="134"/>
      </rPr>
      <t>T4</t>
    </r>
    <r>
      <rPr>
        <sz val="9"/>
        <color theme="1"/>
        <rFont val="微软雅黑"/>
        <charset val="134"/>
      </rPr>
      <t>_</t>
    </r>
    <r>
      <rPr>
        <sz val="9"/>
        <color theme="1"/>
        <rFont val="微软雅黑"/>
        <charset val="134"/>
      </rPr>
      <t>低</t>
    </r>
    <r>
      <rPr>
        <sz val="9"/>
        <color theme="1"/>
        <rFont val="微软雅黑"/>
        <charset val="134"/>
      </rPr>
      <t>_</t>
    </r>
    <r>
      <rPr>
        <sz val="9"/>
        <color theme="1"/>
        <rFont val="微软雅黑"/>
        <charset val="134"/>
      </rPr>
      <t>4</t>
    </r>
  </si>
  <si>
    <r>
      <rPr>
        <sz val="9"/>
        <color theme="1"/>
        <rFont val="微软雅黑"/>
        <charset val="134"/>
      </rPr>
      <t>T4</t>
    </r>
    <r>
      <rPr>
        <sz val="9"/>
        <color theme="1"/>
        <rFont val="微软雅黑"/>
        <charset val="134"/>
      </rPr>
      <t>_</t>
    </r>
    <r>
      <rPr>
        <sz val="9"/>
        <color theme="1"/>
        <rFont val="微软雅黑"/>
        <charset val="134"/>
      </rPr>
      <t>中</t>
    </r>
    <r>
      <rPr>
        <sz val="9"/>
        <color theme="1"/>
        <rFont val="微软雅黑"/>
        <charset val="134"/>
      </rPr>
      <t>_</t>
    </r>
    <r>
      <rPr>
        <sz val="9"/>
        <color theme="1"/>
        <rFont val="微软雅黑"/>
        <charset val="134"/>
      </rPr>
      <t>4</t>
    </r>
  </si>
  <si>
    <r>
      <rPr>
        <sz val="9"/>
        <color theme="1"/>
        <rFont val="微软雅黑"/>
        <charset val="134"/>
      </rPr>
      <t>T4</t>
    </r>
    <r>
      <rPr>
        <sz val="9"/>
        <color theme="1"/>
        <rFont val="微软雅黑"/>
        <charset val="134"/>
      </rPr>
      <t>_</t>
    </r>
    <r>
      <rPr>
        <sz val="9"/>
        <color theme="1"/>
        <rFont val="微软雅黑"/>
        <charset val="134"/>
      </rPr>
      <t>高</t>
    </r>
    <r>
      <rPr>
        <sz val="9"/>
        <color theme="1"/>
        <rFont val="微软雅黑"/>
        <charset val="134"/>
      </rPr>
      <t>_</t>
    </r>
    <r>
      <rPr>
        <sz val="9"/>
        <color theme="1"/>
        <rFont val="微软雅黑"/>
        <charset val="134"/>
      </rPr>
      <t>4</t>
    </r>
  </si>
  <si>
    <r>
      <rPr>
        <sz val="9"/>
        <color theme="1"/>
        <rFont val="微软雅黑"/>
        <charset val="134"/>
      </rPr>
      <t>T</t>
    </r>
    <r>
      <rPr>
        <sz val="9"/>
        <color theme="1"/>
        <rFont val="微软雅黑"/>
        <charset val="134"/>
      </rPr>
      <t>5</t>
    </r>
  </si>
  <si>
    <r>
      <rPr>
        <sz val="9"/>
        <color theme="1"/>
        <rFont val="微软雅黑"/>
        <charset val="134"/>
      </rPr>
      <t>T5</t>
    </r>
    <r>
      <rPr>
        <sz val="9"/>
        <color theme="1"/>
        <rFont val="微软雅黑"/>
        <charset val="134"/>
      </rPr>
      <t>_</t>
    </r>
    <r>
      <rPr>
        <sz val="9"/>
        <color theme="1"/>
        <rFont val="微软雅黑"/>
        <charset val="134"/>
      </rPr>
      <t>低</t>
    </r>
    <r>
      <rPr>
        <sz val="9"/>
        <color theme="1"/>
        <rFont val="微软雅黑"/>
        <charset val="134"/>
      </rPr>
      <t>_</t>
    </r>
    <r>
      <rPr>
        <sz val="9"/>
        <color theme="1"/>
        <rFont val="微软雅黑"/>
        <charset val="134"/>
      </rPr>
      <t>5</t>
    </r>
  </si>
  <si>
    <r>
      <rPr>
        <sz val="9"/>
        <color theme="1"/>
        <rFont val="微软雅黑"/>
        <charset val="134"/>
      </rPr>
      <t>T5</t>
    </r>
    <r>
      <rPr>
        <sz val="9"/>
        <color theme="1"/>
        <rFont val="微软雅黑"/>
        <charset val="134"/>
      </rPr>
      <t>_</t>
    </r>
    <r>
      <rPr>
        <sz val="9"/>
        <color theme="1"/>
        <rFont val="微软雅黑"/>
        <charset val="134"/>
      </rPr>
      <t>中</t>
    </r>
    <r>
      <rPr>
        <sz val="9"/>
        <color theme="1"/>
        <rFont val="微软雅黑"/>
        <charset val="134"/>
      </rPr>
      <t>_</t>
    </r>
    <r>
      <rPr>
        <sz val="9"/>
        <color theme="1"/>
        <rFont val="微软雅黑"/>
        <charset val="134"/>
      </rPr>
      <t>5</t>
    </r>
  </si>
  <si>
    <r>
      <rPr>
        <sz val="9"/>
        <color theme="1"/>
        <rFont val="微软雅黑"/>
        <charset val="134"/>
      </rPr>
      <t>T5</t>
    </r>
    <r>
      <rPr>
        <sz val="9"/>
        <color theme="1"/>
        <rFont val="微软雅黑"/>
        <charset val="134"/>
      </rPr>
      <t>_</t>
    </r>
    <r>
      <rPr>
        <sz val="9"/>
        <color theme="1"/>
        <rFont val="微软雅黑"/>
        <charset val="134"/>
      </rPr>
      <t>高</t>
    </r>
    <r>
      <rPr>
        <sz val="9"/>
        <color theme="1"/>
        <rFont val="微软雅黑"/>
        <charset val="134"/>
      </rPr>
      <t>_</t>
    </r>
    <r>
      <rPr>
        <sz val="9"/>
        <color theme="1"/>
        <rFont val="微软雅黑"/>
        <charset val="134"/>
      </rPr>
      <t>5</t>
    </r>
  </si>
  <si>
    <t>货币兑换比例</t>
  </si>
  <si>
    <t>美金数</t>
  </si>
  <si>
    <t>人民币</t>
  </si>
  <si>
    <t>调整系数</t>
  </si>
  <si>
    <t>钻石数</t>
  </si>
  <si>
    <t>首次奖励</t>
  </si>
  <si>
    <t>钻石/元</t>
  </si>
  <si>
    <t>坦克开放节奏</t>
  </si>
  <si>
    <t>坦克解锁</t>
  </si>
  <si>
    <t>联赛等级</t>
  </si>
  <si>
    <t>T1低</t>
  </si>
  <si>
    <t>T2低</t>
  </si>
  <si>
    <t>T2中</t>
  </si>
  <si>
    <t>T3低</t>
  </si>
  <si>
    <t>T3中</t>
  </si>
  <si>
    <t>T3高</t>
  </si>
  <si>
    <t>T4低</t>
  </si>
  <si>
    <t>T4中</t>
  </si>
  <si>
    <t>T4高</t>
  </si>
  <si>
    <t>T5低</t>
  </si>
  <si>
    <t>T5中</t>
  </si>
  <si>
    <t>T5高</t>
  </si>
  <si>
    <t>解锁坦克1</t>
  </si>
  <si>
    <t>解锁坦克2</t>
  </si>
  <si>
    <t>解锁坦克3</t>
  </si>
  <si>
    <r>
      <rPr>
        <sz val="9"/>
        <color theme="1"/>
        <rFont val="微软雅黑"/>
        <charset val="134"/>
      </rPr>
      <t>A</t>
    </r>
    <r>
      <rPr>
        <sz val="9"/>
        <color theme="1"/>
        <rFont val="微软雅黑"/>
        <charset val="134"/>
      </rPr>
      <t>ll</t>
    </r>
  </si>
  <si>
    <r>
      <rPr>
        <sz val="9"/>
        <color theme="1"/>
        <rFont val="微软雅黑"/>
        <charset val="134"/>
      </rPr>
      <t>N</t>
    </r>
    <r>
      <rPr>
        <sz val="9"/>
        <color theme="1"/>
        <rFont val="微软雅黑"/>
        <charset val="134"/>
      </rPr>
      <t>one</t>
    </r>
  </si>
  <si>
    <r>
      <rPr>
        <sz val="9"/>
        <color theme="1"/>
        <rFont val="微软雅黑"/>
        <charset val="134"/>
      </rPr>
      <t>p</t>
    </r>
    <r>
      <rPr>
        <sz val="9"/>
        <color theme="1"/>
        <rFont val="微软雅黑"/>
        <charset val="134"/>
      </rPr>
      <t>art</t>
    </r>
  </si>
  <si>
    <t>坦克部件开放节奏</t>
  </si>
  <si>
    <t>坦克部件解锁</t>
  </si>
  <si>
    <t>轻坦血1</t>
  </si>
  <si>
    <t>轻坦血2</t>
  </si>
  <si>
    <t>轻坦攻1</t>
  </si>
  <si>
    <t>轻坦攻2</t>
  </si>
  <si>
    <t>轻坦甲1</t>
  </si>
  <si>
    <t>轻坦甲2</t>
  </si>
  <si>
    <t>中坦血1</t>
  </si>
  <si>
    <t>中坦血2</t>
  </si>
  <si>
    <t>中坦攻1</t>
  </si>
  <si>
    <t>中坦攻2</t>
  </si>
  <si>
    <t>中坦甲1</t>
  </si>
  <si>
    <t>中坦甲2</t>
  </si>
  <si>
    <t>重坦血1</t>
  </si>
  <si>
    <t>重坦血2</t>
  </si>
  <si>
    <t>重坦攻1</t>
  </si>
  <si>
    <t>重坦攻2</t>
  </si>
  <si>
    <t>重坦甲1</t>
  </si>
  <si>
    <t>重坦甲2</t>
  </si>
  <si>
    <t>解锁部件1</t>
  </si>
  <si>
    <t>解锁部件2</t>
  </si>
  <si>
    <t>解锁部件3</t>
  </si>
  <si>
    <t>解锁部件4</t>
  </si>
  <si>
    <t>解锁部件5</t>
  </si>
  <si>
    <t>解锁部件6</t>
  </si>
  <si>
    <t>解锁部件7</t>
  </si>
  <si>
    <t>解锁部件8</t>
  </si>
  <si>
    <t>解锁部件9</t>
  </si>
  <si>
    <t>T1LP1</t>
  </si>
  <si>
    <t>T1LP3</t>
  </si>
  <si>
    <t>T1LP5</t>
  </si>
  <si>
    <t>T1MP1</t>
  </si>
  <si>
    <t>T1MP3</t>
  </si>
  <si>
    <t>T1MP5</t>
  </si>
  <si>
    <t>T1HP1</t>
  </si>
  <si>
    <t>T1HP3</t>
  </si>
  <si>
    <t>T1HP5</t>
  </si>
  <si>
    <t>T1LP2</t>
  </si>
  <si>
    <t>T1LP4</t>
  </si>
  <si>
    <t>T1LP6</t>
  </si>
  <si>
    <t>T1MP2</t>
  </si>
  <si>
    <t>T1MP4</t>
  </si>
  <si>
    <t>T1MP6</t>
  </si>
  <si>
    <t>T1HP2</t>
  </si>
  <si>
    <t>T1HP4</t>
  </si>
  <si>
    <t>T1HP6</t>
  </si>
  <si>
    <t>T1T2</t>
  </si>
  <si>
    <t>T2LP1</t>
  </si>
  <si>
    <t>T2LP3</t>
  </si>
  <si>
    <t>T2LP5</t>
  </si>
  <si>
    <t>T2MP1</t>
  </si>
  <si>
    <t>T2MP3</t>
  </si>
  <si>
    <t>T2MP5</t>
  </si>
  <si>
    <t>T2HP1</t>
  </si>
  <si>
    <t>T2HP3</t>
  </si>
  <si>
    <t>T2HP5</t>
  </si>
  <si>
    <t>T2LP2</t>
  </si>
  <si>
    <t>T2LP4</t>
  </si>
  <si>
    <t>T2LP6</t>
  </si>
  <si>
    <t>T2MP2</t>
  </si>
  <si>
    <t>T2MP4</t>
  </si>
  <si>
    <t>T2MP6</t>
  </si>
  <si>
    <t>T2HP2</t>
  </si>
  <si>
    <t>T2HP4</t>
  </si>
  <si>
    <t>T2HP6</t>
  </si>
  <si>
    <t>T1T2T3</t>
  </si>
  <si>
    <t>T3LP1</t>
  </si>
  <si>
    <t>T3LP3</t>
  </si>
  <si>
    <t>T3LP5</t>
  </si>
  <si>
    <t>T3MP1</t>
  </si>
  <si>
    <t>T3MP3</t>
  </si>
  <si>
    <t>T3MP5</t>
  </si>
  <si>
    <t>T3HP1</t>
  </si>
  <si>
    <t>T3HP3</t>
  </si>
  <si>
    <t>T3HP5</t>
  </si>
  <si>
    <t>T3LP2</t>
  </si>
  <si>
    <t>T3LP4</t>
  </si>
  <si>
    <t>T3LP6</t>
  </si>
  <si>
    <t>T3MP2</t>
  </si>
  <si>
    <t>T3MP4</t>
  </si>
  <si>
    <t>T3MP6</t>
  </si>
  <si>
    <t>T3HP2</t>
  </si>
  <si>
    <t>T3HP4</t>
  </si>
  <si>
    <t>T3HP6</t>
  </si>
  <si>
    <t>等级类型</t>
  </si>
  <si>
    <t>军费系数</t>
  </si>
  <si>
    <t>比赛军费</t>
  </si>
  <si>
    <t>战斗军费</t>
  </si>
  <si>
    <t>每钻军费</t>
  </si>
  <si>
    <t>奖励军费</t>
  </si>
  <si>
    <t>任务军费</t>
  </si>
  <si>
    <t>宝箱军费</t>
  </si>
  <si>
    <t>活跃度军费</t>
  </si>
  <si>
    <t>累计军费</t>
  </si>
  <si>
    <t>胜败军费</t>
  </si>
  <si>
    <t>排名军费</t>
  </si>
  <si>
    <t>Gacha掉率分配</t>
  </si>
  <si>
    <t>成长</t>
  </si>
  <si>
    <t>T1部件</t>
  </si>
  <si>
    <t>T2部件</t>
  </si>
  <si>
    <t>T3部件</t>
  </si>
  <si>
    <t>巅峰</t>
  </si>
  <si>
    <t>免费钻石投放-总量</t>
  </si>
  <si>
    <t>Rank</t>
  </si>
  <si>
    <t>天数</t>
  </si>
  <si>
    <t>每日签到</t>
  </si>
  <si>
    <t>每日任务</t>
  </si>
  <si>
    <t>商店免费领取</t>
  </si>
  <si>
    <t>League奖励</t>
  </si>
  <si>
    <t>回归奖励</t>
  </si>
  <si>
    <t>升级奖励</t>
  </si>
  <si>
    <t>每天投放</t>
  </si>
  <si>
    <t>B-1碎片</t>
  </si>
  <si>
    <t>雷诺FT</t>
  </si>
  <si>
    <t>双倍钥匙</t>
  </si>
  <si>
    <t>Stuart</t>
  </si>
  <si>
    <t>碎片宝箱2</t>
  </si>
  <si>
    <t>高级自宝箱2</t>
  </si>
  <si>
    <t>部件宝箱2</t>
  </si>
  <si>
    <t>二号</t>
  </si>
  <si>
    <t>部件宝箱3</t>
  </si>
  <si>
    <t>T-34</t>
  </si>
  <si>
    <r>
      <rPr>
        <sz val="9"/>
        <color theme="1"/>
        <rFont val="微软雅黑"/>
        <charset val="134"/>
      </rPr>
      <t>T2MP</t>
    </r>
    <r>
      <rPr>
        <sz val="9"/>
        <color theme="1"/>
        <rFont val="微软雅黑"/>
        <charset val="134"/>
      </rPr>
      <t>2</t>
    </r>
  </si>
  <si>
    <r>
      <rPr>
        <sz val="9"/>
        <color theme="1"/>
        <rFont val="微软雅黑"/>
        <charset val="134"/>
      </rPr>
      <t>T2MP</t>
    </r>
    <r>
      <rPr>
        <sz val="9"/>
        <color theme="1"/>
        <rFont val="微软雅黑"/>
        <charset val="134"/>
      </rPr>
      <t>4</t>
    </r>
  </si>
  <si>
    <t>碎片宝箱4</t>
  </si>
  <si>
    <t>35(t)</t>
  </si>
  <si>
    <r>
      <rPr>
        <sz val="9"/>
        <color theme="1"/>
        <rFont val="微软雅黑"/>
        <charset val="134"/>
      </rPr>
      <t>T</t>
    </r>
    <r>
      <rPr>
        <sz val="9"/>
        <color theme="1"/>
        <rFont val="微软雅黑"/>
        <charset val="134"/>
      </rPr>
      <t>2</t>
    </r>
    <r>
      <rPr>
        <sz val="9"/>
        <color theme="1"/>
        <rFont val="微软雅黑"/>
        <charset val="134"/>
      </rPr>
      <t>LP1</t>
    </r>
  </si>
  <si>
    <r>
      <rPr>
        <sz val="9"/>
        <color theme="1"/>
        <rFont val="微软雅黑"/>
        <charset val="134"/>
      </rPr>
      <t>T</t>
    </r>
    <r>
      <rPr>
        <sz val="9"/>
        <color theme="1"/>
        <rFont val="微软雅黑"/>
        <charset val="134"/>
      </rPr>
      <t>2</t>
    </r>
    <r>
      <rPr>
        <sz val="9"/>
        <color theme="1"/>
        <rFont val="微软雅黑"/>
        <charset val="134"/>
      </rPr>
      <t>LP3</t>
    </r>
  </si>
  <si>
    <t>部件宝箱5</t>
  </si>
  <si>
    <t>玛蒂尔达</t>
  </si>
  <si>
    <r>
      <rPr>
        <sz val="9"/>
        <color theme="1"/>
        <rFont val="微软雅黑"/>
        <charset val="134"/>
      </rPr>
      <t>T3MP</t>
    </r>
    <r>
      <rPr>
        <sz val="9"/>
        <color theme="1"/>
        <rFont val="微软雅黑"/>
        <charset val="134"/>
      </rPr>
      <t>1</t>
    </r>
  </si>
  <si>
    <r>
      <rPr>
        <sz val="9"/>
        <color theme="1"/>
        <rFont val="微软雅黑"/>
        <charset val="134"/>
      </rPr>
      <t>T3MP</t>
    </r>
    <r>
      <rPr>
        <sz val="9"/>
        <color theme="1"/>
        <rFont val="微软雅黑"/>
        <charset val="134"/>
      </rPr>
      <t>3</t>
    </r>
  </si>
  <si>
    <t>碎片宝箱6</t>
  </si>
  <si>
    <t>黑豹</t>
  </si>
  <si>
    <r>
      <rPr>
        <sz val="9"/>
        <color theme="1"/>
        <rFont val="微软雅黑"/>
        <charset val="134"/>
      </rPr>
      <t>T3HP</t>
    </r>
    <r>
      <rPr>
        <sz val="9"/>
        <color theme="1"/>
        <rFont val="微软雅黑"/>
        <charset val="134"/>
      </rPr>
      <t>2</t>
    </r>
  </si>
  <si>
    <r>
      <rPr>
        <sz val="9"/>
        <color theme="1"/>
        <rFont val="微软雅黑"/>
        <charset val="134"/>
      </rPr>
      <t>T3HP</t>
    </r>
    <r>
      <rPr>
        <sz val="9"/>
        <color theme="1"/>
        <rFont val="微软雅黑"/>
        <charset val="134"/>
      </rPr>
      <t>4</t>
    </r>
  </si>
  <si>
    <t>部件宝箱6</t>
  </si>
  <si>
    <t>碎片宝箱7</t>
  </si>
  <si>
    <t>钢狼碎片</t>
  </si>
  <si>
    <t>预期每日个数</t>
  </si>
  <si>
    <t>T1坦克碎片投放</t>
  </si>
  <si>
    <t>每日任务-天</t>
  </si>
  <si>
    <t>每日任务-周</t>
  </si>
  <si>
    <t>每日总量</t>
  </si>
  <si>
    <t>More funds and keys</t>
  </si>
  <si>
    <t>当玩家奖牌数量小于某个值时，奖牌增减按特殊规则处理：</t>
  </si>
  <si>
    <t>系数配置</t>
  </si>
  <si>
    <t>坦克投放</t>
  </si>
  <si>
    <t>每日场次</t>
  </si>
  <si>
    <t>预期胜率</t>
  </si>
  <si>
    <t>预期得分</t>
  </si>
  <si>
    <t>预期场次</t>
  </si>
  <si>
    <t>中级胜率</t>
  </si>
  <si>
    <t>中级得分</t>
  </si>
  <si>
    <t>高级场次</t>
  </si>
  <si>
    <t>高级胜率</t>
  </si>
  <si>
    <t>高级得分</t>
  </si>
  <si>
    <t>胜利得分</t>
  </si>
  <si>
    <t>失败扣分</t>
  </si>
  <si>
    <t>等级历程设定</t>
  </si>
  <si>
    <t>需要配置：</t>
  </si>
  <si>
    <t>系数类型</t>
  </si>
  <si>
    <t>系数值</t>
  </si>
  <si>
    <t>玩家等级</t>
  </si>
  <si>
    <t>战斗次数</t>
  </si>
  <si>
    <t>战胜经验</t>
  </si>
  <si>
    <t>战败经验</t>
  </si>
  <si>
    <t>胜率</t>
  </si>
  <si>
    <t>需求经验</t>
  </si>
  <si>
    <t>升级经验</t>
  </si>
  <si>
    <t>等级上限</t>
  </si>
  <si>
    <t>每日上限</t>
  </si>
  <si>
    <t>奖励</t>
  </si>
  <si>
    <t>id</t>
  </si>
  <si>
    <t>数量</t>
  </si>
  <si>
    <t>特殊处理区间上限</t>
  </si>
  <si>
    <t>胜利获得奖牌数</t>
  </si>
  <si>
    <t>标准胜率</t>
  </si>
  <si>
    <t>平局获得奖牌数</t>
  </si>
  <si>
    <t>极限场次</t>
  </si>
  <si>
    <t>失败获得奖牌数</t>
  </si>
  <si>
    <t>极限胜率</t>
  </si>
  <si>
    <t>3倍加速2</t>
  </si>
  <si>
    <t>缓冲系数</t>
  </si>
  <si>
    <t>累计系数</t>
  </si>
  <si>
    <r>
      <rPr>
        <sz val="9"/>
        <color theme="1"/>
        <rFont val="微软雅黑"/>
        <charset val="134"/>
      </rPr>
      <t>T</t>
    </r>
    <r>
      <rPr>
        <sz val="9"/>
        <color theme="1"/>
        <rFont val="微软雅黑"/>
        <charset val="134"/>
      </rPr>
      <t>3高</t>
    </r>
  </si>
  <si>
    <t>联赛历程设定</t>
  </si>
  <si>
    <t>获得分数</t>
  </si>
  <si>
    <t>累计分数</t>
  </si>
  <si>
    <t>预期天数</t>
  </si>
  <si>
    <t>累计天数</t>
  </si>
  <si>
    <t>中级天数</t>
  </si>
  <si>
    <t>中级累计</t>
  </si>
  <si>
    <t>高级天数</t>
  </si>
  <si>
    <t>高级累计</t>
  </si>
  <si>
    <t>起始分数</t>
  </si>
  <si>
    <t>分数差</t>
  </si>
  <si>
    <t>坦克状态</t>
  </si>
  <si>
    <t>升星次数</t>
  </si>
  <si>
    <t>实际星级</t>
  </si>
  <si>
    <t>钻石汇总</t>
  </si>
  <si>
    <t>每日钻石</t>
  </si>
  <si>
    <t>坦克序号</t>
  </si>
  <si>
    <t>坦克名称</t>
  </si>
  <si>
    <t>正式名称</t>
  </si>
  <si>
    <t>是否上线</t>
  </si>
  <si>
    <t>坦克品质</t>
  </si>
  <si>
    <t>精灵</t>
  </si>
  <si>
    <t>T1</t>
  </si>
  <si>
    <t>豹</t>
  </si>
  <si>
    <t>T2</t>
  </si>
  <si>
    <t>Puma</t>
  </si>
  <si>
    <t>狼獾·S</t>
  </si>
  <si>
    <t>兽人</t>
  </si>
  <si>
    <t>T3</t>
  </si>
  <si>
    <t>十字军</t>
  </si>
  <si>
    <t>食月鸟·S</t>
  </si>
  <si>
    <t>AMX-13</t>
  </si>
  <si>
    <t>跳鼠·S</t>
  </si>
  <si>
    <t>霞飞</t>
  </si>
  <si>
    <t>神马</t>
  </si>
  <si>
    <t>T4</t>
  </si>
  <si>
    <t>M-41</t>
  </si>
  <si>
    <t>兰博·S</t>
  </si>
  <si>
    <t>BMP-3</t>
  </si>
  <si>
    <t>桑格·S</t>
  </si>
  <si>
    <t>59式</t>
  </si>
  <si>
    <t>朱雀</t>
  </si>
  <si>
    <t>T5</t>
  </si>
  <si>
    <t>海妖</t>
  </si>
  <si>
    <t>红柳</t>
  </si>
  <si>
    <t>四号</t>
  </si>
  <si>
    <t>牛头怪·S</t>
  </si>
  <si>
    <t>吸血鬼</t>
  </si>
  <si>
    <t>谢尔曼</t>
  </si>
  <si>
    <t>神秘猿·S</t>
  </si>
  <si>
    <t>彗星</t>
  </si>
  <si>
    <t>巨魔·S</t>
  </si>
  <si>
    <t>M-48</t>
  </si>
  <si>
    <t>鹿角兔</t>
  </si>
  <si>
    <t>潘兴</t>
  </si>
  <si>
    <t>地狱犬·S</t>
  </si>
  <si>
    <t>百夫长</t>
  </si>
  <si>
    <t>哮天犬·S</t>
  </si>
  <si>
    <t>挑战者</t>
  </si>
  <si>
    <t>高格</t>
  </si>
  <si>
    <t>B-1</t>
  </si>
  <si>
    <t>鹏</t>
  </si>
  <si>
    <t>KV-1</t>
  </si>
  <si>
    <t>巨犀兽</t>
  </si>
  <si>
    <t>丘吉尔</t>
  </si>
  <si>
    <t>冰龙·S</t>
  </si>
  <si>
    <t>森林精灵</t>
  </si>
  <si>
    <t>虎式</t>
  </si>
  <si>
    <t>偷火巨人·S</t>
  </si>
  <si>
    <t>KV-2</t>
  </si>
  <si>
    <t>融铜巨人·S</t>
  </si>
  <si>
    <t>征服者</t>
  </si>
  <si>
    <t>座狼</t>
  </si>
  <si>
    <t>IS-4</t>
  </si>
  <si>
    <t>雪怪·S</t>
  </si>
  <si>
    <t>T-32</t>
  </si>
  <si>
    <t>贝希摩斯·S</t>
  </si>
  <si>
    <t>M1A2</t>
  </si>
  <si>
    <t>利维坦</t>
  </si>
  <si>
    <t>PZIII</t>
  </si>
  <si>
    <t>阿莫若克·S</t>
  </si>
  <si>
    <t>坦克升星</t>
  </si>
  <si>
    <t>军费总额</t>
  </si>
  <si>
    <t>碎片总数</t>
  </si>
  <si>
    <t>部件升级</t>
  </si>
  <si>
    <t>部件Tier</t>
  </si>
  <si>
    <t>时间总额</t>
  </si>
  <si>
    <t>部件进阶</t>
  </si>
  <si>
    <t>部件数量总额</t>
  </si>
  <si>
    <t>宝箱军费值</t>
  </si>
  <si>
    <t>T1_低</t>
  </si>
  <si>
    <t>宝箱价格</t>
  </si>
  <si>
    <t>T2_低</t>
  </si>
  <si>
    <t>每秒钻石价值</t>
  </si>
  <si>
    <t>T2_中</t>
  </si>
  <si>
    <t>军费钻石价值</t>
  </si>
  <si>
    <t>T3_低</t>
  </si>
  <si>
    <t>T3_中</t>
  </si>
  <si>
    <t>T3_高</t>
  </si>
  <si>
    <t>T4_低</t>
  </si>
  <si>
    <t>T4_中</t>
  </si>
  <si>
    <t>T4_高</t>
  </si>
  <si>
    <t>T5_低</t>
  </si>
  <si>
    <t>计算方法：碎片和部件通过2000钻宝箱获得，其余军费通过钻石兑换获得，时间通过钻石跳过。</t>
  </si>
  <si>
    <t>宝箱需求个数</t>
  </si>
  <si>
    <t>宝箱军费投放</t>
  </si>
  <si>
    <t>军费需求</t>
  </si>
  <si>
    <t>玩家坦克</t>
  </si>
  <si>
    <t>玩家部件升级</t>
  </si>
  <si>
    <t>玩家部件进阶</t>
  </si>
  <si>
    <t>坦克id</t>
  </si>
  <si>
    <t>掉落数量</t>
  </si>
  <si>
    <t>碎片个数</t>
  </si>
  <si>
    <t>部件掉落数量</t>
  </si>
  <si>
    <t>部件掉落数</t>
  </si>
  <si>
    <t>玩家需要部件数</t>
  </si>
  <si>
    <t>玩家需要部件个数</t>
  </si>
  <si>
    <t>宝箱需求</t>
  </si>
  <si>
    <t>汇总</t>
  </si>
  <si>
    <t>需求军费</t>
  </si>
  <si>
    <t>需求时间</t>
  </si>
  <si>
    <t>汇总计算</t>
  </si>
  <si>
    <t>总价</t>
  </si>
  <si>
    <t>美金上限</t>
  </si>
  <si>
    <t>美金下限</t>
  </si>
  <si>
    <t>宝箱个数</t>
  </si>
  <si>
    <t>军费值</t>
  </si>
  <si>
    <t>时间值</t>
  </si>
  <si>
    <t>钻石总价</t>
  </si>
  <si>
    <t>碎片总价值</t>
  </si>
  <si>
    <t>军费总价值</t>
  </si>
  <si>
    <t>价值上限</t>
  </si>
  <si>
    <t>时间总价值</t>
  </si>
  <si>
    <t>价值下限</t>
  </si>
  <si>
    <t>名称</t>
  </si>
  <si>
    <t>类型</t>
  </si>
  <si>
    <t>雷诺FT-碎片</t>
  </si>
  <si>
    <t>T1碎片</t>
  </si>
  <si>
    <t>Stuart-碎片</t>
  </si>
  <si>
    <t>B-1-碎片</t>
  </si>
  <si>
    <t>二号-碎片</t>
  </si>
  <si>
    <t>T2碎片</t>
  </si>
  <si>
    <t>T-34-碎片</t>
  </si>
  <si>
    <t>KV-1-碎片</t>
  </si>
  <si>
    <t>35(t)-碎片</t>
  </si>
  <si>
    <t>T3碎片</t>
  </si>
  <si>
    <t>玛蒂尔达-碎片</t>
  </si>
  <si>
    <t>黑豹-碎片</t>
  </si>
  <si>
    <t>Tier</t>
  </si>
  <si>
    <t>品质</t>
  </si>
  <si>
    <t>星级</t>
  </si>
  <si>
    <t>大类标识</t>
  </si>
  <si>
    <t>唯一标识</t>
  </si>
  <si>
    <t>升星碎片数</t>
  </si>
  <si>
    <t>升星军费数</t>
  </si>
  <si>
    <t>坦克大星设定</t>
  </si>
  <si>
    <t>坦克小星设定</t>
  </si>
  <si>
    <t>从1星升星次数</t>
  </si>
  <si>
    <t>品质属性成长系数</t>
  </si>
  <si>
    <t>坦克系数整理</t>
  </si>
  <si>
    <t>轻坦半自动各阶段属性成长</t>
  </si>
  <si>
    <t>轻坦弹夹各阶段属性成长</t>
  </si>
  <si>
    <t>轻坦单发各阶段属性成长</t>
  </si>
  <si>
    <t>中坦弹夹各阶段属性成长</t>
  </si>
  <si>
    <t>中坦自动各阶段属性成长</t>
  </si>
  <si>
    <t>重坦自动各阶段属性成长</t>
  </si>
  <si>
    <t>重坦单发各阶段属性成长</t>
  </si>
  <si>
    <r>
      <rPr>
        <sz val="9"/>
        <color theme="1"/>
        <rFont val="微软雅黑"/>
        <charset val="134"/>
      </rPr>
      <t>T</t>
    </r>
    <r>
      <rPr>
        <sz val="9"/>
        <color theme="1"/>
        <rFont val="微软雅黑"/>
        <charset val="134"/>
      </rPr>
      <t>ier</t>
    </r>
  </si>
  <si>
    <t>低品初始</t>
  </si>
  <si>
    <t>低品最高</t>
  </si>
  <si>
    <t>中品初始</t>
  </si>
  <si>
    <t>中品最高</t>
  </si>
  <si>
    <t>高品初始</t>
  </si>
  <si>
    <t>高品最高</t>
  </si>
  <si>
    <t>低品坦克</t>
  </si>
  <si>
    <t>中品坦克</t>
  </si>
  <si>
    <t>高品坦克</t>
  </si>
  <si>
    <t>低品质</t>
  </si>
  <si>
    <t>中品质</t>
  </si>
  <si>
    <t>高品质</t>
  </si>
  <si>
    <t>坦克系数</t>
  </si>
  <si>
    <t>血量系数拆分</t>
  </si>
  <si>
    <t>养成系数</t>
  </si>
  <si>
    <t>血量</t>
  </si>
  <si>
    <t>坦克伤害</t>
  </si>
  <si>
    <t>最大穿透</t>
  </si>
  <si>
    <t>撞击伤害</t>
  </si>
  <si>
    <t>初始状态</t>
  </si>
  <si>
    <t>成长状态</t>
  </si>
  <si>
    <t>T1低1</t>
  </si>
  <si>
    <t>T2低2</t>
  </si>
  <si>
    <t>T2中2</t>
  </si>
  <si>
    <t>T1低3</t>
  </si>
  <si>
    <t>T3低3</t>
  </si>
  <si>
    <t>T3中3</t>
  </si>
  <si>
    <t>T3高3</t>
  </si>
  <si>
    <t>坦克各阶段属性系数</t>
  </si>
  <si>
    <t>坦克品级阶段</t>
  </si>
  <si>
    <t>T2低4</t>
  </si>
  <si>
    <t>坦克品级</t>
  </si>
  <si>
    <t>最终星级</t>
  </si>
  <si>
    <t>初始</t>
  </si>
  <si>
    <t>最终</t>
  </si>
  <si>
    <t>品质系数</t>
  </si>
  <si>
    <t>属性系数1</t>
  </si>
  <si>
    <t>属性系数2</t>
  </si>
  <si>
    <t>属性系数1公式备份</t>
  </si>
  <si>
    <t>填表品质</t>
  </si>
  <si>
    <t>T4低4</t>
  </si>
  <si>
    <t>白</t>
  </si>
  <si>
    <t>T4中4</t>
  </si>
  <si>
    <t>绿</t>
  </si>
  <si>
    <t>T4高4</t>
  </si>
  <si>
    <t>T3低5</t>
  </si>
  <si>
    <t>蓝</t>
  </si>
  <si>
    <t>T2中4</t>
  </si>
  <si>
    <t>T5低5</t>
  </si>
  <si>
    <t>T5中5</t>
  </si>
  <si>
    <t>紫</t>
  </si>
  <si>
    <t>T5高5</t>
  </si>
  <si>
    <t>T4低6</t>
  </si>
  <si>
    <t>T3中5</t>
  </si>
  <si>
    <t>橙</t>
  </si>
  <si>
    <t>T3高5</t>
  </si>
  <si>
    <t>T5低7</t>
  </si>
  <si>
    <t>T4中6</t>
  </si>
  <si>
    <t>T4高6</t>
  </si>
  <si>
    <t>颜色数值</t>
  </si>
  <si>
    <t>品级数值</t>
  </si>
  <si>
    <t>品质数值</t>
  </si>
  <si>
    <t>T5中7</t>
  </si>
  <si>
    <t>颜色</t>
  </si>
  <si>
    <r>
      <rPr>
        <sz val="9"/>
        <color theme="1"/>
        <rFont val="微软雅黑"/>
        <charset val="134"/>
      </rPr>
      <t>T5高</t>
    </r>
    <r>
      <rPr>
        <sz val="9"/>
        <color theme="1"/>
        <rFont val="微软雅黑"/>
        <charset val="134"/>
      </rPr>
      <t>7</t>
    </r>
  </si>
  <si>
    <t>轻坦半自动各初始阶段坦克属性</t>
  </si>
  <si>
    <t>轻坦弹夹各初始阶段坦克属性</t>
  </si>
  <si>
    <t>轻坦单发各初始阶段坦克属性</t>
  </si>
  <si>
    <t>中坦弹夹各初始阶段坦克属性</t>
  </si>
  <si>
    <t>中坦自动各初始阶段坦克属性</t>
  </si>
  <si>
    <t>重坦自动各初始阶段坦克属性</t>
  </si>
  <si>
    <t>重坦单发各初始阶段坦克属性</t>
  </si>
  <si>
    <t>阶段</t>
  </si>
  <si>
    <t>标准坦克初始属性</t>
  </si>
  <si>
    <t>标准坦克显示属性</t>
  </si>
  <si>
    <t>坦克弹夹容量增加对战斗时长的影响</t>
  </si>
  <si>
    <t>轻坦伤害比</t>
  </si>
  <si>
    <t>中坦伤害比</t>
  </si>
  <si>
    <t>重坦伤害比</t>
  </si>
  <si>
    <t>影响比例</t>
  </si>
  <si>
    <t>坦克射击间隔时间减少对战斗时长的影响</t>
  </si>
  <si>
    <t>调整时间1</t>
  </si>
  <si>
    <t>影响轻坦1</t>
  </si>
  <si>
    <t>影响中坦1</t>
  </si>
  <si>
    <t>影响重坦1</t>
  </si>
  <si>
    <t>调整时间2</t>
  </si>
  <si>
    <t>影响轻坦2</t>
  </si>
  <si>
    <t>影响中坦2</t>
  </si>
  <si>
    <t>影响重坦2</t>
  </si>
  <si>
    <r>
      <rPr>
        <sz val="9"/>
        <color theme="1"/>
        <rFont val="微软雅黑"/>
        <charset val="134"/>
      </rPr>
      <t>0</t>
    </r>
    <r>
      <rPr>
        <sz val="9"/>
        <color theme="1"/>
        <rFont val="微软雅黑"/>
        <charset val="134"/>
      </rPr>
      <t>.1</t>
    </r>
    <r>
      <rPr>
        <sz val="9"/>
        <color theme="1"/>
        <rFont val="微软雅黑"/>
        <charset val="134"/>
      </rPr>
      <t>秒/间隔</t>
    </r>
  </si>
  <si>
    <r>
      <rPr>
        <sz val="9"/>
        <color theme="1"/>
        <rFont val="微软雅黑"/>
        <charset val="134"/>
      </rPr>
      <t>0</t>
    </r>
    <r>
      <rPr>
        <sz val="9"/>
        <color theme="1"/>
        <rFont val="微软雅黑"/>
        <charset val="134"/>
      </rPr>
      <t>.1</t>
    </r>
    <r>
      <rPr>
        <sz val="9"/>
        <color theme="1"/>
        <rFont val="微软雅黑"/>
        <charset val="134"/>
      </rPr>
      <t>秒比例</t>
    </r>
  </si>
  <si>
    <t>坦克上弹时间减少对战斗时长的影响</t>
  </si>
  <si>
    <t>秒/上弹</t>
  </si>
  <si>
    <t>秒比例</t>
  </si>
  <si>
    <t>坦克瞄准时间减少对战斗时长的影响</t>
  </si>
  <si>
    <t>标准开炮数</t>
  </si>
  <si>
    <t>射击滞留</t>
  </si>
  <si>
    <t>单发偏移角</t>
  </si>
  <si>
    <t>缩圈时间</t>
  </si>
  <si>
    <t>连射间隔</t>
  </si>
  <si>
    <t>射击周期</t>
  </si>
  <si>
    <t>瞄准时间</t>
  </si>
  <si>
    <t>加速瞄准1</t>
  </si>
  <si>
    <t>后瞄准速度1</t>
  </si>
  <si>
    <t>后射击周期1</t>
  </si>
  <si>
    <t>影响比例1</t>
  </si>
  <si>
    <t>加速瞄准2</t>
  </si>
  <si>
    <t>后瞄准速度2</t>
  </si>
  <si>
    <t>后射击周期2</t>
  </si>
  <si>
    <t>影响比例2</t>
  </si>
  <si>
    <t>影响特征</t>
  </si>
  <si>
    <t>比例平均值</t>
  </si>
  <si>
    <t>基本平均</t>
  </si>
  <si>
    <t>不影响</t>
  </si>
  <si>
    <t>效果递减</t>
  </si>
  <si>
    <t>属性最终系数</t>
  </si>
  <si>
    <t>中坦单发</t>
  </si>
  <si>
    <t>ID</t>
  </si>
  <si>
    <t>进攻方</t>
  </si>
  <si>
    <t>防御方</t>
  </si>
  <si>
    <t>战斗公式=守生命/进攻方dps</t>
  </si>
  <si>
    <t>DPS=穿透/装甲*对类型坦克伤害系数*攻击力*每秒发数</t>
  </si>
  <si>
    <t>等级等于品质*10000+Tier*100+等级+1</t>
  </si>
  <si>
    <t>每Tier无培养战斗</t>
  </si>
  <si>
    <t>等级/战斗时间</t>
  </si>
  <si>
    <t>等/战斗时间</t>
  </si>
  <si>
    <t>每Tier满培养战斗</t>
  </si>
  <si>
    <t>坦克丰富度</t>
  </si>
  <si>
    <t>升星穿透力</t>
  </si>
  <si>
    <t>坦克养成属性分配设定</t>
  </si>
  <si>
    <t>所有坦克养成标准属性</t>
  </si>
  <si>
    <t>坦克小区间属性初始值</t>
  </si>
  <si>
    <t>坦克小区间属性成长区间</t>
  </si>
  <si>
    <t>坦克次要属性成长百分比</t>
  </si>
  <si>
    <t>坦克升星属性</t>
  </si>
  <si>
    <t>所有坦克部件养成标准属性</t>
  </si>
  <si>
    <t>最高属性</t>
  </si>
  <si>
    <t>最高部件星级</t>
  </si>
  <si>
    <t>部件提升比</t>
  </si>
  <si>
    <t>部件属性</t>
  </si>
  <si>
    <t>升星比例</t>
  </si>
  <si>
    <t>部件比例</t>
  </si>
  <si>
    <t>辅助列</t>
  </si>
  <si>
    <t>状态顺序</t>
  </si>
  <si>
    <t>最大炮角速</t>
  </si>
  <si>
    <t>身转角速度</t>
  </si>
  <si>
    <t>进最大速度</t>
  </si>
  <si>
    <t>换弹时间</t>
  </si>
  <si>
    <t>辅助列1</t>
  </si>
  <si>
    <r>
      <rPr>
        <sz val="9"/>
        <color theme="1"/>
        <rFont val="微软雅黑"/>
        <charset val="134"/>
      </rPr>
      <t>P</t>
    </r>
    <r>
      <rPr>
        <sz val="9"/>
        <color theme="1"/>
        <rFont val="微软雅黑"/>
        <charset val="134"/>
      </rPr>
      <t>ZIII</t>
    </r>
  </si>
  <si>
    <t>属性最大值</t>
  </si>
  <si>
    <t>原有坦克大小数据</t>
  </si>
  <si>
    <t>坦克部位伤害系数</t>
  </si>
  <si>
    <t>坦克大小统计</t>
  </si>
  <si>
    <t>射击间隔时间(秒)</t>
  </si>
  <si>
    <t>射击造成偏移角度扩大</t>
  </si>
  <si>
    <t>攻击给对方造成的偏移角度</t>
  </si>
  <si>
    <t>被击偏移角度系数</t>
  </si>
  <si>
    <t>炮塔旋转造成的偏移角度</t>
  </si>
  <si>
    <t>坦克行进速度</t>
  </si>
  <si>
    <t>炮塔转向角速度</t>
  </si>
  <si>
    <t>坦克旋转角速度</t>
  </si>
  <si>
    <t>坦克长度</t>
  </si>
  <si>
    <t>坦克宽度</t>
  </si>
  <si>
    <t>坦克对角线</t>
  </si>
  <si>
    <t>炮塔长度</t>
  </si>
  <si>
    <t>炮塔宽度</t>
  </si>
  <si>
    <t>核心伤害系</t>
  </si>
  <si>
    <t>炮后伤害系</t>
  </si>
  <si>
    <t>炮侧伤害系</t>
  </si>
  <si>
    <t>炮前伤害系</t>
  </si>
  <si>
    <t>身后伤害系</t>
  </si>
  <si>
    <t>身侧伤害系</t>
  </si>
  <si>
    <t>身前伤害系</t>
  </si>
  <si>
    <t>核心比例</t>
  </si>
  <si>
    <t>炮后比例</t>
  </si>
  <si>
    <t>炮侧比例</t>
  </si>
  <si>
    <t>炮前比例</t>
  </si>
  <si>
    <t>身后比例</t>
  </si>
  <si>
    <t>身侧比例</t>
  </si>
  <si>
    <t>身前比例</t>
  </si>
  <si>
    <t>核心伤害</t>
  </si>
  <si>
    <t>炮后伤害</t>
  </si>
  <si>
    <t>炮侧伤害</t>
  </si>
  <si>
    <t>炮前伤害</t>
  </si>
  <si>
    <t>身后伤害</t>
  </si>
  <si>
    <t>身侧伤害</t>
  </si>
  <si>
    <t>身前伤害</t>
  </si>
  <si>
    <t>总计伤害</t>
  </si>
  <si>
    <t>对角线平均值</t>
  </si>
  <si>
    <t>射击间隔min</t>
  </si>
  <si>
    <t>射击间隔max</t>
  </si>
  <si>
    <t>累积偏移角</t>
  </si>
  <si>
    <t>标准轮次数</t>
  </si>
  <si>
    <t>中坦偏移角</t>
  </si>
  <si>
    <t>重坦偏移角</t>
  </si>
  <si>
    <t>偏移系数</t>
  </si>
  <si>
    <t>偏移上限</t>
  </si>
  <si>
    <t>原最小角度</t>
  </si>
  <si>
    <t>射击后角度</t>
  </si>
  <si>
    <t>角度扩大比</t>
  </si>
  <si>
    <t>期望扩大比</t>
  </si>
  <si>
    <t>偏移角度</t>
  </si>
  <si>
    <t>原瞄准比例</t>
  </si>
  <si>
    <t>偏移后比例</t>
  </si>
  <si>
    <t>需瞄准时间</t>
  </si>
  <si>
    <t>帧偏移角度</t>
  </si>
  <si>
    <t>遇敌时间</t>
  </si>
  <si>
    <t>行进距离</t>
  </si>
  <si>
    <t>速度(米/秒)</t>
  </si>
  <si>
    <t>速度(km/h)</t>
  </si>
  <si>
    <t>标准距离</t>
  </si>
  <si>
    <t>初始角速度</t>
  </si>
  <si>
    <t>近距离</t>
  </si>
  <si>
    <t>角速度上限</t>
  </si>
  <si>
    <t>加速时间</t>
  </si>
  <si>
    <t>加速度</t>
  </si>
  <si>
    <t>旋转速度</t>
  </si>
  <si>
    <t>min旋转</t>
  </si>
  <si>
    <t>max旋转</t>
  </si>
  <si>
    <t>标准射击距离</t>
  </si>
  <si>
    <t>坦克行进速度区间</t>
  </si>
  <si>
    <t>最小安全圈半径</t>
  </si>
  <si>
    <t>极限安全圈半径</t>
  </si>
  <si>
    <t>移动中转向比例系数</t>
  </si>
  <si>
    <t>最小速度</t>
  </si>
  <si>
    <t>最大速度</t>
  </si>
  <si>
    <t>max遇敌</t>
  </si>
  <si>
    <t>min遇敌</t>
  </si>
  <si>
    <t>角速度下限</t>
  </si>
  <si>
    <t>敌方轻坦</t>
  </si>
  <si>
    <t>敌方中坦</t>
  </si>
  <si>
    <t>敌方重坦</t>
  </si>
  <si>
    <t>max角速度</t>
  </si>
  <si>
    <t>退加速度</t>
  </si>
  <si>
    <t>攻击给轻坦造成的偏移角度的效果</t>
  </si>
  <si>
    <t>坦克移动造成的偏移角度</t>
  </si>
  <si>
    <t>增加偏移角</t>
  </si>
  <si>
    <t>被击后比例</t>
  </si>
  <si>
    <t>2发被击</t>
  </si>
  <si>
    <t>3发被击</t>
  </si>
  <si>
    <t>全覆盖偏移</t>
  </si>
  <si>
    <t>坦克瞄准最小圈系数</t>
  </si>
  <si>
    <t>坦克后退速度区间</t>
  </si>
  <si>
    <t>不同情形下不同类型坦克瞄准速度差异</t>
  </si>
  <si>
    <t>瞄准系数</t>
  </si>
  <si>
    <t>半系数</t>
  </si>
  <si>
    <t>最小角度</t>
  </si>
  <si>
    <t>后退系数</t>
  </si>
  <si>
    <t>最小后退</t>
  </si>
  <si>
    <t>最大后退</t>
  </si>
  <si>
    <t>后退加速</t>
  </si>
  <si>
    <t>最终速度1</t>
  </si>
  <si>
    <t>实际时间1</t>
  </si>
  <si>
    <t>最终速度2</t>
  </si>
  <si>
    <t>实际时间2</t>
  </si>
  <si>
    <t>近距45°</t>
  </si>
  <si>
    <t>最终速度3</t>
  </si>
  <si>
    <t>实际时间3</t>
  </si>
  <si>
    <t>近距90°</t>
  </si>
  <si>
    <t>最大角度</t>
  </si>
  <si>
    <t>坦克速度统计</t>
  </si>
  <si>
    <t>坦克停止加速度</t>
  </si>
  <si>
    <t>坦克追逐模拟,最终角速度</t>
  </si>
  <si>
    <t>最小前进</t>
  </si>
  <si>
    <t>最大前进</t>
  </si>
  <si>
    <t>加速(m/s²)</t>
  </si>
  <si>
    <t>停止时间</t>
  </si>
  <si>
    <t>追轻坦</t>
  </si>
  <si>
    <t>追中坦</t>
  </si>
  <si>
    <t>追重坦</t>
  </si>
  <si>
    <t>45*追轻坦</t>
  </si>
  <si>
    <t>45*追中坦</t>
  </si>
  <si>
    <t>45*追重坦</t>
  </si>
  <si>
    <t>90*追轻坦</t>
  </si>
  <si>
    <t>90*追中坦</t>
  </si>
  <si>
    <t>90*追重坦</t>
  </si>
  <si>
    <t>最小圈下互相瞄准</t>
  </si>
  <si>
    <t>攻击给中坦造成的偏移角度的效果</t>
  </si>
  <si>
    <t>坦克移动同时旋转炮塔造成的偏移角度影响</t>
  </si>
  <si>
    <t>瞄轻坦比例</t>
  </si>
  <si>
    <t>瞄中坦比例</t>
  </si>
  <si>
    <t>瞄重坦比例</t>
  </si>
  <si>
    <t>运动中角度</t>
  </si>
  <si>
    <t>瞄轻坦</t>
  </si>
  <si>
    <t>瞄中坦</t>
  </si>
  <si>
    <t>瞄重坦</t>
  </si>
  <si>
    <t>坦克速度提升说明</t>
  </si>
  <si>
    <t>坦克追逐模拟,追逐时长</t>
  </si>
  <si>
    <t>重坦开镜</t>
  </si>
  <si>
    <t>提升5%</t>
  </si>
  <si>
    <t>提升10%</t>
  </si>
  <si>
    <t>提升15%</t>
  </si>
  <si>
    <t>提升20%</t>
  </si>
  <si>
    <t>攻击给重坦造成的偏移角度的效果</t>
  </si>
  <si>
    <t>被瞄准速度提升后瞄准坦克消耗时间</t>
  </si>
  <si>
    <t>瞄准轻坦1</t>
  </si>
  <si>
    <t>瞄准中坦1</t>
  </si>
  <si>
    <t>瞄准重坦1</t>
  </si>
  <si>
    <t>瞄准轻坦2</t>
  </si>
  <si>
    <t>瞄准中坦2</t>
  </si>
  <si>
    <t>瞄准重坦2</t>
  </si>
  <si>
    <t>瞄准轻坦3</t>
  </si>
  <si>
    <t>瞄准中坦3</t>
  </si>
  <si>
    <t>瞄准重坦3</t>
  </si>
  <si>
    <t>瞄准轻坦4</t>
  </si>
  <si>
    <t>瞄准中坦4</t>
  </si>
  <si>
    <t>瞄准重坦4</t>
  </si>
  <si>
    <t>瞄准轻坦5</t>
  </si>
  <si>
    <t>瞄准中坦5</t>
  </si>
  <si>
    <t>瞄准重坦5</t>
  </si>
  <si>
    <t>描边</t>
  </si>
  <si>
    <t>被轻坦瞄准时间变化</t>
  </si>
  <si>
    <t>被中坦瞄准时间变化</t>
  </si>
  <si>
    <t>被重坦瞄准时间变化</t>
  </si>
  <si>
    <t>瞄准1</t>
  </si>
  <si>
    <t>瞄准2</t>
  </si>
  <si>
    <t>瞄准3</t>
  </si>
  <si>
    <t>瞄准4</t>
  </si>
  <si>
    <t>被轻坦瞄准时间变化/速度变化</t>
  </si>
  <si>
    <t>被中坦瞄准时间变化/速度变化</t>
  </si>
  <si>
    <t>被重坦瞄准时间变化/速度变化</t>
  </si>
  <si>
    <t>时间/速度</t>
  </si>
  <si>
    <t>平均值</t>
  </si>
  <si>
    <t>图鉴所属类型</t>
  </si>
  <si>
    <t>图鉴对应坦克ID</t>
  </si>
  <si>
    <t>图鉴rank</t>
  </si>
  <si>
    <t>图鉴给予的经验</t>
  </si>
  <si>
    <t>是否已满</t>
  </si>
  <si>
    <t>等级</t>
  </si>
  <si>
    <t>对应经验类型</t>
  </si>
  <si>
    <t>是否已上线</t>
  </si>
  <si>
    <t>图鉴总经验</t>
  </si>
  <si>
    <t>当前最大经验</t>
  </si>
  <si>
    <t>攻击</t>
  </si>
  <si>
    <t>1</t>
  </si>
  <si>
    <t>2</t>
  </si>
  <si>
    <t>3</t>
  </si>
  <si>
    <t>坦克个性化设定基准规则</t>
  </si>
  <si>
    <t>角速度成长比例设定</t>
  </si>
  <si>
    <t>属性类型</t>
  </si>
  <si>
    <t>影响类型</t>
  </si>
  <si>
    <t>分类</t>
  </si>
  <si>
    <t>值</t>
  </si>
  <si>
    <t>延长</t>
  </si>
  <si>
    <t>初始值</t>
  </si>
  <si>
    <t>缩短</t>
  </si>
  <si>
    <t>成长值</t>
  </si>
  <si>
    <t>装填时间</t>
  </si>
  <si>
    <t>转向速度</t>
  </si>
  <si>
    <t>炮塔转向</t>
  </si>
  <si>
    <t>坦克属性个性化设定</t>
  </si>
  <si>
    <t>模型名称</t>
  </si>
  <si>
    <t>坦克类别</t>
  </si>
  <si>
    <t>坦克细类</t>
  </si>
  <si>
    <t>对角线</t>
  </si>
  <si>
    <t>血量系数调整</t>
  </si>
  <si>
    <t>血量系数</t>
  </si>
  <si>
    <t>标准准星</t>
  </si>
  <si>
    <t>准星调整</t>
  </si>
  <si>
    <t>准星最小角</t>
  </si>
  <si>
    <t>精准度影响</t>
  </si>
  <si>
    <t>射速影响</t>
  </si>
  <si>
    <t>准星影响</t>
  </si>
  <si>
    <t>射击间隔系</t>
  </si>
  <si>
    <t>间隔影响</t>
  </si>
  <si>
    <t>被击偏移比</t>
  </si>
  <si>
    <t>被击偏上限</t>
  </si>
  <si>
    <t>口径类型</t>
  </si>
  <si>
    <t>角速度系数</t>
  </si>
  <si>
    <t>初始炮角速</t>
  </si>
  <si>
    <t>炮角加速度</t>
  </si>
  <si>
    <t>炮转偏上限</t>
  </si>
  <si>
    <t>身速度系数</t>
  </si>
  <si>
    <t>速度系数</t>
  </si>
  <si>
    <t>速度影响</t>
  </si>
  <si>
    <t>退最大速度</t>
  </si>
  <si>
    <t>前进加速度</t>
  </si>
  <si>
    <t>后退加速度</t>
  </si>
  <si>
    <t>前停加速度</t>
  </si>
  <si>
    <t>后停加速度</t>
  </si>
  <si>
    <t>移动偏上限</t>
  </si>
  <si>
    <t>基础撞击比</t>
  </si>
  <si>
    <t>撞击速度阈</t>
  </si>
  <si>
    <t>移中-max速</t>
  </si>
  <si>
    <t>移中-加速度</t>
  </si>
  <si>
    <t>移中-退加速</t>
  </si>
  <si>
    <t>min衰减距</t>
  </si>
  <si>
    <t>max衰减距</t>
  </si>
  <si>
    <t>ft17</t>
  </si>
  <si>
    <t>弹夹换弹</t>
  </si>
  <si>
    <t>ii</t>
  </si>
  <si>
    <t>sdkfz234</t>
  </si>
  <si>
    <t>35t</t>
  </si>
  <si>
    <t>crusader</t>
  </si>
  <si>
    <t>amx13</t>
  </si>
  <si>
    <t>m24</t>
  </si>
  <si>
    <t>m41</t>
  </si>
  <si>
    <t>bmp-3</t>
  </si>
  <si>
    <t>stuart</t>
  </si>
  <si>
    <t>t34</t>
  </si>
  <si>
    <t>iv</t>
  </si>
  <si>
    <t>单发换弹</t>
  </si>
  <si>
    <t>mathilda</t>
  </si>
  <si>
    <t>m4</t>
  </si>
  <si>
    <t>comet</t>
  </si>
  <si>
    <t>m48</t>
  </si>
  <si>
    <t>m26</t>
  </si>
  <si>
    <t>centurion</t>
  </si>
  <si>
    <t>challenger1</t>
  </si>
  <si>
    <t>b1</t>
  </si>
  <si>
    <t>kv1</t>
  </si>
  <si>
    <t>churchill</t>
  </si>
  <si>
    <t>panzer-v</t>
  </si>
  <si>
    <t>tiger</t>
  </si>
  <si>
    <t>kv2</t>
  </si>
  <si>
    <t>fv214</t>
  </si>
  <si>
    <t>is4</t>
  </si>
  <si>
    <t>t32</t>
  </si>
  <si>
    <t>m1a2</t>
  </si>
  <si>
    <t>个性化设定后射速变化</t>
  </si>
  <si>
    <t>AI用连续射击次数和延迟时间</t>
  </si>
  <si>
    <t>标准子弹量</t>
  </si>
  <si>
    <t>容量系数</t>
  </si>
  <si>
    <t>单发系数</t>
  </si>
  <si>
    <t>射击偏移角</t>
  </si>
  <si>
    <t>攻击使偏移</t>
  </si>
  <si>
    <t>60S射速</t>
  </si>
  <si>
    <r>
      <rPr>
        <sz val="9"/>
        <color theme="1"/>
        <rFont val="微软雅黑"/>
        <charset val="134"/>
      </rPr>
      <t>6</t>
    </r>
    <r>
      <rPr>
        <sz val="9"/>
        <color theme="1"/>
        <rFont val="微软雅黑"/>
        <charset val="134"/>
      </rPr>
      <t>0</t>
    </r>
    <r>
      <rPr>
        <sz val="9"/>
        <color theme="1"/>
        <rFont val="微软雅黑"/>
        <charset val="134"/>
      </rPr>
      <t>S射速比</t>
    </r>
  </si>
  <si>
    <t>连射射速</t>
  </si>
  <si>
    <t>标准射速</t>
  </si>
  <si>
    <t>射速降低比</t>
  </si>
  <si>
    <t>连射次数</t>
  </si>
  <si>
    <t>延迟时间</t>
  </si>
  <si>
    <t>个性设定对坦克属性影响</t>
  </si>
  <si>
    <t>坦克小区间养成属性整理</t>
  </si>
  <si>
    <t>需调整价值属性整理</t>
  </si>
  <si>
    <t>伤害系数调整</t>
  </si>
  <si>
    <t>移速转速等品质差异</t>
  </si>
  <si>
    <t>坦克初始换弹时间统计</t>
  </si>
  <si>
    <t>各坦克移动操作手感属性成长区间统计</t>
  </si>
  <si>
    <t>初始坦克属性</t>
  </si>
  <si>
    <t>射速提升30%调整换弹时间和瞄准时间,获得成长区间</t>
  </si>
  <si>
    <t>系数</t>
  </si>
  <si>
    <t>养成区间1</t>
  </si>
  <si>
    <t>养成区间2</t>
  </si>
  <si>
    <t>养成区间3</t>
  </si>
  <si>
    <t>原瞄准速度</t>
  </si>
  <si>
    <t>瞄准区间</t>
  </si>
  <si>
    <t>原换弹时间</t>
  </si>
  <si>
    <t>换弹类型</t>
  </si>
  <si>
    <t>后射击间隔</t>
  </si>
  <si>
    <t>缩短比例</t>
  </si>
  <si>
    <t>换弹区间</t>
  </si>
  <si>
    <t>射速属性提升</t>
  </si>
  <si>
    <t>提升系数</t>
  </si>
  <si>
    <t>移动速度属性提升</t>
  </si>
  <si>
    <t>坦克个性化属性统计</t>
  </si>
  <si>
    <t>坦克初始成长属性统计</t>
  </si>
  <si>
    <t>生命等级</t>
  </si>
  <si>
    <t>伤害等级</t>
  </si>
  <si>
    <t>装甲等级</t>
  </si>
  <si>
    <t>开火方式</t>
  </si>
  <si>
    <t>中心区半径</t>
  </si>
  <si>
    <t>基础视野</t>
  </si>
  <si>
    <t>最小视野</t>
  </si>
  <si>
    <t>开火ID</t>
  </si>
  <si>
    <t>1星1</t>
  </si>
  <si>
    <t>部件状态</t>
  </si>
  <si>
    <t>弹夹</t>
  </si>
  <si>
    <t>半自动</t>
  </si>
  <si>
    <t>2星1</t>
  </si>
  <si>
    <t>自动</t>
  </si>
  <si>
    <t>3星1</t>
  </si>
  <si>
    <t>坦克养成属性系数调用</t>
  </si>
  <si>
    <t>坦克星级属性</t>
  </si>
  <si>
    <t>辅助系数</t>
  </si>
  <si>
    <t>属性比例</t>
  </si>
  <si>
    <t>最终属性</t>
  </si>
  <si>
    <t>坦克标识</t>
  </si>
  <si>
    <t>T1低0</t>
  </si>
  <si>
    <t>T1低2</t>
  </si>
  <si>
    <t>T2低0</t>
  </si>
  <si>
    <t>T2中0</t>
  </si>
  <si>
    <t>T2低1</t>
  </si>
  <si>
    <t>T2中1</t>
  </si>
  <si>
    <t>T1低4</t>
  </si>
  <si>
    <t>T2低3</t>
  </si>
  <si>
    <t>T3低0</t>
  </si>
  <si>
    <t>T3中0</t>
  </si>
  <si>
    <t>T2中3</t>
  </si>
  <si>
    <t>T3低1</t>
  </si>
  <si>
    <t>T3高0</t>
  </si>
  <si>
    <t>T3中1</t>
  </si>
  <si>
    <t>T3低2</t>
  </si>
  <si>
    <t>T2低5</t>
  </si>
  <si>
    <t>T3高1</t>
  </si>
  <si>
    <t>T3中2</t>
  </si>
  <si>
    <t>T2中5</t>
  </si>
  <si>
    <t>T2低6</t>
  </si>
  <si>
    <t>T3高2</t>
  </si>
  <si>
    <t>T2中6</t>
  </si>
  <si>
    <t>T3低4</t>
  </si>
  <si>
    <t>T4低0</t>
  </si>
  <si>
    <t>T4中0</t>
  </si>
  <si>
    <t>T3中4</t>
  </si>
  <si>
    <t>T2中7</t>
  </si>
  <si>
    <t>T4低1</t>
  </si>
  <si>
    <t>T4高0</t>
  </si>
  <si>
    <t>T3高4</t>
  </si>
  <si>
    <t>T4中1</t>
  </si>
  <si>
    <t>T2中8</t>
  </si>
  <si>
    <t>T3低6</t>
  </si>
  <si>
    <t>T4低2</t>
  </si>
  <si>
    <t>T4高1</t>
  </si>
  <si>
    <t>T4中2</t>
  </si>
  <si>
    <t>T3低7</t>
  </si>
  <si>
    <t>T4低3</t>
  </si>
  <si>
    <t>T3中6</t>
  </si>
  <si>
    <t>T2中9</t>
  </si>
  <si>
    <t>T4高2</t>
  </si>
  <si>
    <t>T3低8</t>
  </si>
  <si>
    <t>T4中3</t>
  </si>
  <si>
    <t>T3高6</t>
  </si>
  <si>
    <t>T3中7</t>
  </si>
  <si>
    <t>T2中10</t>
  </si>
  <si>
    <t>T4低5</t>
  </si>
  <si>
    <t>T5低0</t>
  </si>
  <si>
    <t>T4高3</t>
  </si>
  <si>
    <t>T3中8</t>
  </si>
  <si>
    <t>T2中11</t>
  </si>
  <si>
    <t>T3高7</t>
  </si>
  <si>
    <t>T5中0</t>
  </si>
  <si>
    <t>T5低1</t>
  </si>
  <si>
    <t>T4中5</t>
  </si>
  <si>
    <t>T3中9</t>
  </si>
  <si>
    <t>T3高8</t>
  </si>
  <si>
    <t>T4低7</t>
  </si>
  <si>
    <t>T5高0</t>
  </si>
  <si>
    <t>T5低2</t>
  </si>
  <si>
    <t>T5中1</t>
  </si>
  <si>
    <t>T4高5</t>
  </si>
  <si>
    <t>T3中10</t>
  </si>
  <si>
    <t>T3高9</t>
  </si>
  <si>
    <t>T4低8</t>
  </si>
  <si>
    <t>T5低3</t>
  </si>
  <si>
    <t>T5中2</t>
  </si>
  <si>
    <t>T5高1</t>
  </si>
  <si>
    <t>T4中7</t>
  </si>
  <si>
    <t>T3中11</t>
  </si>
  <si>
    <t>T3高10</t>
  </si>
  <si>
    <t>T4低9</t>
  </si>
  <si>
    <t>T5低4</t>
  </si>
  <si>
    <t>T5中3</t>
  </si>
  <si>
    <t>T5高2</t>
  </si>
  <si>
    <t>T4中8</t>
  </si>
  <si>
    <t>T3中12</t>
  </si>
  <si>
    <t>T4高7</t>
  </si>
  <si>
    <t>T3高11</t>
  </si>
  <si>
    <t>T4低10</t>
  </si>
  <si>
    <t>T5中4</t>
  </si>
  <si>
    <t>T5高3</t>
  </si>
  <si>
    <t>T4中9</t>
  </si>
  <si>
    <t>T3中13</t>
  </si>
  <si>
    <t>T4高8</t>
  </si>
  <si>
    <t>T3高12</t>
  </si>
  <si>
    <t>T5低6</t>
  </si>
  <si>
    <t>T4中10</t>
  </si>
  <si>
    <t>T5高4</t>
  </si>
  <si>
    <t>T3中14</t>
  </si>
  <si>
    <t>T4高9</t>
  </si>
  <si>
    <t>T3高13</t>
  </si>
  <si>
    <t>T5中6</t>
  </si>
  <si>
    <t>T4中11</t>
  </si>
  <si>
    <t>T5低8</t>
  </si>
  <si>
    <t>T4高10</t>
  </si>
  <si>
    <t>T3高14</t>
  </si>
  <si>
    <t>T4中12</t>
  </si>
  <si>
    <t>T5高6</t>
  </si>
  <si>
    <t>T5低9</t>
  </si>
  <si>
    <t>T4高11</t>
  </si>
  <si>
    <t>T5中8</t>
  </si>
  <si>
    <t>T4中13</t>
  </si>
  <si>
    <t>T5高7</t>
  </si>
  <si>
    <t>T5低10</t>
  </si>
  <si>
    <t>T4高12</t>
  </si>
  <si>
    <t>T5中9</t>
  </si>
  <si>
    <t>T4中14</t>
  </si>
  <si>
    <t>T5低11</t>
  </si>
  <si>
    <t>T5高8</t>
  </si>
  <si>
    <t>T4高13</t>
  </si>
  <si>
    <t>T5中10</t>
  </si>
  <si>
    <t>T4中15</t>
  </si>
  <si>
    <t>T5低12</t>
  </si>
  <si>
    <t>T5高9</t>
  </si>
  <si>
    <t>T4高14</t>
  </si>
  <si>
    <t>T5中11</t>
  </si>
  <si>
    <t>T4中16</t>
  </si>
  <si>
    <t>T5高10</t>
  </si>
  <si>
    <t>T4高15</t>
  </si>
  <si>
    <t>T5中12</t>
  </si>
  <si>
    <t>T4中17</t>
  </si>
  <si>
    <t>T5高11</t>
  </si>
  <si>
    <t>T4高16</t>
  </si>
  <si>
    <t>T5中13</t>
  </si>
  <si>
    <t>T5高12</t>
  </si>
  <si>
    <t>T5中14</t>
  </si>
  <si>
    <t>T4高17</t>
  </si>
  <si>
    <t>T5高13</t>
  </si>
  <si>
    <t>T5中15</t>
  </si>
  <si>
    <t>T5高14</t>
  </si>
  <si>
    <t>T5中16</t>
  </si>
  <si>
    <t>T5高15</t>
  </si>
  <si>
    <t>T5中17</t>
  </si>
  <si>
    <t>T5高16</t>
  </si>
  <si>
    <t>T5中18</t>
  </si>
  <si>
    <t>T5中19</t>
  </si>
  <si>
    <t>T5高17</t>
  </si>
  <si>
    <t>T5中20</t>
  </si>
  <si>
    <t>T5高18</t>
  </si>
  <si>
    <t>T5高19</t>
  </si>
  <si>
    <t>T5高20</t>
  </si>
  <si>
    <t>同属性部件数</t>
  </si>
  <si>
    <t>部件设定</t>
  </si>
  <si>
    <t>部件在坦克上更换设定</t>
  </si>
  <si>
    <t>部件属性成长设定</t>
  </si>
  <si>
    <t>部件升级获得属性</t>
  </si>
  <si>
    <t>部件升星获得属性</t>
  </si>
  <si>
    <t>初始星级</t>
  </si>
  <si>
    <t>最大星级</t>
  </si>
  <si>
    <t>初始星级属性</t>
  </si>
  <si>
    <t>额外效果</t>
  </si>
  <si>
    <t>坦克星级</t>
  </si>
  <si>
    <t>基础系数</t>
  </si>
  <si>
    <t>换坦克衰减比</t>
  </si>
  <si>
    <t>部件星级</t>
  </si>
  <si>
    <t>最大等级</t>
  </si>
  <si>
    <t>提升比例</t>
  </si>
  <si>
    <t>总提升比例</t>
  </si>
  <si>
    <t>等级提升比例</t>
  </si>
  <si>
    <t>计算比例</t>
  </si>
  <si>
    <t>初始提升比例</t>
  </si>
  <si>
    <t>升星属性</t>
  </si>
  <si>
    <t>满养成属性</t>
  </si>
  <si>
    <t>部件等级</t>
  </si>
  <si>
    <t>对应星级</t>
  </si>
  <si>
    <t>升级属性</t>
  </si>
  <si>
    <t>累计属性</t>
  </si>
  <si>
    <t>当前星级</t>
  </si>
  <si>
    <t>实际属性</t>
  </si>
  <si>
    <t>坦克稀有度</t>
  </si>
  <si>
    <t>加成比例</t>
  </si>
  <si>
    <t>每级提升比例</t>
  </si>
  <si>
    <t>次要属性</t>
  </si>
  <si>
    <t>被动技能</t>
  </si>
  <si>
    <t>坦克次要属性规划</t>
  </si>
  <si>
    <t>消耗军费</t>
  </si>
  <si>
    <t>升级时间</t>
  </si>
  <si>
    <t>消耗部件数</t>
  </si>
  <si>
    <t>技能类型</t>
  </si>
  <si>
    <t>CD</t>
  </si>
  <si>
    <t>主技能</t>
  </si>
  <si>
    <t>副技能</t>
  </si>
  <si>
    <t>技能名称</t>
  </si>
  <si>
    <t>技能描述</t>
  </si>
  <si>
    <t>小喷</t>
  </si>
  <si>
    <t>前冲一段</t>
  </si>
  <si>
    <t>启动后可快速移动一段距离</t>
  </si>
  <si>
    <t>抓勾</t>
  </si>
  <si>
    <t>抓过来</t>
  </si>
  <si>
    <t>能把敌人和道具拉向自己</t>
  </si>
  <si>
    <t>追踪导弹</t>
  </si>
  <si>
    <t>向目标位置发射5发导弹</t>
  </si>
  <si>
    <t>朝目标连续发射5枚导弹</t>
  </si>
  <si>
    <t>天火导弹</t>
  </si>
  <si>
    <t>锁定目标发射导弹.最多锁定3个</t>
  </si>
  <si>
    <t>锁定前方最多3个目标，发射导弹</t>
  </si>
  <si>
    <t>主动防御</t>
  </si>
  <si>
    <t>炮塔前方产生护盾,吸收50%伤害</t>
  </si>
  <si>
    <t>产生炮塔前方的护盾，吸收伤害</t>
  </si>
  <si>
    <t>战术维修</t>
  </si>
  <si>
    <t>持续给友方坦克加血</t>
  </si>
  <si>
    <t>持续修理友方坦克的血量</t>
  </si>
  <si>
    <t>信号弹</t>
  </si>
  <si>
    <t>命中的目标致盲</t>
  </si>
  <si>
    <t>产生致盲效果</t>
  </si>
  <si>
    <t>罐桶炸弹</t>
  </si>
  <si>
    <t>3枚延迟爆炸炸弹</t>
  </si>
  <si>
    <t>投掷3枚延迟爆炸的炸弹</t>
  </si>
  <si>
    <t>微型导弹</t>
  </si>
  <si>
    <t>前方发射导弹6枚</t>
  </si>
  <si>
    <t>发射5枚微型导弹</t>
  </si>
  <si>
    <t xml:space="preserve"> </t>
  </si>
  <si>
    <t>电锯</t>
  </si>
  <si>
    <t>最大距63m</t>
  </si>
  <si>
    <r>
      <rPr>
        <sz val="9"/>
        <color theme="1"/>
        <rFont val="微软雅黑"/>
        <charset val="134"/>
      </rPr>
      <t>速度3</t>
    </r>
    <r>
      <rPr>
        <sz val="9"/>
        <color theme="1"/>
        <rFont val="微软雅黑"/>
        <charset val="134"/>
      </rPr>
      <t>0m/s</t>
    </r>
  </si>
  <si>
    <t>宽度3m</t>
  </si>
  <si>
    <t>停留2s</t>
  </si>
  <si>
    <r>
      <rPr>
        <sz val="9"/>
        <color theme="1"/>
        <rFont val="微软雅黑"/>
        <charset val="134"/>
      </rPr>
      <t>伤害间隔0.</t>
    </r>
    <r>
      <rPr>
        <sz val="9"/>
        <color theme="1"/>
        <rFont val="微软雅黑"/>
        <charset val="134"/>
      </rPr>
      <t>3</t>
    </r>
  </si>
  <si>
    <t>持续3sBuff</t>
  </si>
  <si>
    <t>每秒5%</t>
  </si>
  <si>
    <t>切割伤害</t>
  </si>
  <si>
    <t>氮气加速</t>
  </si>
  <si>
    <t>将坦克速度大幅提升10秒</t>
  </si>
  <si>
    <t>地雷</t>
  </si>
  <si>
    <t>命中敌人后将对手履带损坏</t>
  </si>
  <si>
    <t>燃烧弹</t>
  </si>
  <si>
    <t>命中敌人后在地面燃烧，持续伤害</t>
  </si>
  <si>
    <t>冲锋</t>
  </si>
  <si>
    <t>加速冲向对手，产生少量伤害和减速效果</t>
  </si>
  <si>
    <t>触发概率</t>
  </si>
  <si>
    <t>触发条件</t>
  </si>
  <si>
    <t>触发效果</t>
  </si>
  <si>
    <t>加血总量</t>
  </si>
  <si>
    <t>加血时间</t>
  </si>
  <si>
    <r>
      <rPr>
        <sz val="9"/>
        <color theme="1"/>
        <rFont val="微软雅黑"/>
        <charset val="134"/>
      </rPr>
      <t>C</t>
    </r>
    <r>
      <rPr>
        <sz val="9"/>
        <color theme="1"/>
        <rFont val="微软雅黑"/>
        <charset val="134"/>
      </rPr>
      <t>D</t>
    </r>
  </si>
  <si>
    <t>拾取修理</t>
  </si>
  <si>
    <t>获得道具的同时恢复血量</t>
  </si>
  <si>
    <t>拾取</t>
  </si>
  <si>
    <t>反应装甲</t>
  </si>
  <si>
    <t>每当被击中时，会获得一个临时护盾</t>
  </si>
  <si>
    <t>被击回血</t>
  </si>
  <si>
    <t>被击</t>
  </si>
  <si>
    <t>修改概率</t>
  </si>
  <si>
    <t>再生装甲</t>
  </si>
  <si>
    <t>受到严重损伤时触发，回复血量</t>
  </si>
  <si>
    <r>
      <rPr>
        <sz val="9"/>
        <color theme="1"/>
        <rFont val="微软雅黑"/>
        <charset val="134"/>
      </rPr>
      <t>血量低于3</t>
    </r>
    <r>
      <rPr>
        <sz val="9"/>
        <color theme="1"/>
        <rFont val="微软雅黑"/>
        <charset val="134"/>
      </rPr>
      <t>0%</t>
    </r>
  </si>
  <si>
    <t>修改血量/时间</t>
  </si>
  <si>
    <t>维修强化</t>
  </si>
  <si>
    <t>受到的修理效果加强，血量越少效果越好</t>
  </si>
  <si>
    <t>加血</t>
  </si>
  <si>
    <t>血越低加血越多</t>
  </si>
  <si>
    <t>最高200%</t>
  </si>
  <si>
    <t>掠夺者</t>
  </si>
  <si>
    <t>持有的积分道具越多，增加越多的伤害减免和移动速度</t>
  </si>
  <si>
    <t>稳固</t>
  </si>
  <si>
    <t>增加正面装甲，减少受击时对瞄准精度的影响</t>
  </si>
  <si>
    <t>受击防护</t>
  </si>
  <si>
    <t>每当被攻击时，便会提升防护（累计）</t>
  </si>
  <si>
    <r>
      <rPr>
        <sz val="9"/>
        <color theme="1"/>
        <rFont val="微软雅黑"/>
        <charset val="134"/>
      </rPr>
      <t>当前是每被攻击3次增加一层持续</t>
    </r>
    <r>
      <rPr>
        <sz val="9"/>
        <color theme="1"/>
        <rFont val="微软雅黑"/>
        <charset val="134"/>
      </rPr>
      <t>8秒的增加护甲值的Buff</t>
    </r>
  </si>
  <si>
    <t>击杀装弹</t>
  </si>
  <si>
    <t>消灭一个敌人后，启动快速装弹</t>
  </si>
  <si>
    <t>击杀目标后增加快速装弹技能按钮</t>
  </si>
  <si>
    <t>击杀提速</t>
  </si>
  <si>
    <t>消灭一个敌人后，提升移动速度</t>
  </si>
  <si>
    <r>
      <rPr>
        <sz val="9"/>
        <color theme="1"/>
        <rFont val="微软雅黑"/>
        <charset val="134"/>
      </rPr>
      <t>击杀目标后提升1</t>
    </r>
    <r>
      <rPr>
        <sz val="9"/>
        <color theme="1"/>
        <rFont val="微软雅黑"/>
        <charset val="134"/>
      </rPr>
      <t>5%速度持续5秒</t>
    </r>
  </si>
  <si>
    <t>击杀回血</t>
  </si>
  <si>
    <t>消灭一个敌人后，回复血量</t>
  </si>
  <si>
    <r>
      <rPr>
        <sz val="9"/>
        <color theme="1"/>
        <rFont val="微软雅黑"/>
        <charset val="134"/>
      </rPr>
      <t>击杀目标恢复1</t>
    </r>
    <r>
      <rPr>
        <sz val="9"/>
        <color theme="1"/>
        <rFont val="微软雅黑"/>
        <charset val="134"/>
      </rPr>
      <t>5%血量</t>
    </r>
  </si>
  <si>
    <t>侵蚀</t>
  </si>
  <si>
    <t>连续攻击降低对手装甲值</t>
  </si>
  <si>
    <r>
      <rPr>
        <sz val="9"/>
        <color theme="1"/>
        <rFont val="微软雅黑"/>
        <charset val="134"/>
      </rPr>
      <t>每命中3次持续</t>
    </r>
    <r>
      <rPr>
        <sz val="9"/>
        <color theme="1"/>
        <rFont val="微软雅黑"/>
        <charset val="134"/>
      </rPr>
      <t>10秒的减少10%护甲值Buff</t>
    </r>
  </si>
  <si>
    <t>愤怒</t>
  </si>
  <si>
    <t>当你的坦克严重受损时会提高损害</t>
  </si>
  <si>
    <r>
      <rPr>
        <sz val="9"/>
        <color theme="1"/>
        <rFont val="微软雅黑"/>
        <charset val="134"/>
      </rPr>
      <t>血量低于3</t>
    </r>
    <r>
      <rPr>
        <sz val="9"/>
        <color theme="1"/>
        <rFont val="微软雅黑"/>
        <charset val="134"/>
      </rPr>
      <t>0%时增加30%伤害</t>
    </r>
  </si>
  <si>
    <t>磁铁</t>
  </si>
  <si>
    <t>增加拾取道具距离</t>
  </si>
  <si>
    <t>收割者</t>
  </si>
  <si>
    <t>对严重受损的敌人增加伤害</t>
  </si>
  <si>
    <t>点燃</t>
  </si>
  <si>
    <t>点燃目标，随时间推移会造成额外伤害</t>
  </si>
  <si>
    <t>20%攻击力+2%最大血量,只有单次攻击有效,有最大值150</t>
  </si>
  <si>
    <t>击回</t>
  </si>
  <si>
    <t>伤害的30%转化为护盾生命。护盾时间存在7秒，7秒没有攻击敌人则护盾消失</t>
  </si>
  <si>
    <t>注释掉了,没作用</t>
  </si>
  <si>
    <t>猎人</t>
  </si>
  <si>
    <t>提高对敌人侧面和后面的伤害，降低对其前面的伤害</t>
  </si>
  <si>
    <t>小喷 CD15秒 持续时间1秒 加速度增加6倍 速度上限增加2倍</t>
  </si>
  <si>
    <t>工程师</t>
  </si>
  <si>
    <t>提高损坏部件的修复速度</t>
  </si>
  <si>
    <t>抓钩 CD15秒</t>
  </si>
  <si>
    <t>主动防御 CD15秒 持续时间5秒 减伤50%</t>
  </si>
  <si>
    <r>
      <rPr>
        <sz val="9"/>
        <color theme="1"/>
        <rFont val="微软雅黑"/>
        <charset val="134"/>
      </rPr>
      <t>战术维修 CD30秒 能量上限100 使用技能扣除20 每点恢复0.5%血量上限值的血量 每帧消耗1点能量 释放距离30 中断距离60 连线经过墙会断 使用技能不扣除能量,中断技能扣除剩余能量的50%</t>
    </r>
    <r>
      <rPr>
        <sz val="9"/>
        <color theme="1"/>
        <rFont val="微软雅黑"/>
        <charset val="134"/>
      </rPr>
      <t>(实际实现为0.25s治疗2%血量或者造成1.5%伤害)</t>
    </r>
  </si>
  <si>
    <t>罐桶炸弹 CD30秒 爆炸范围2米半径 目标血量10%伤害</t>
  </si>
  <si>
    <t>微型导弹 CD30秒 命中目标和飞行到最远距离时均范围伤害 爆炸范围2米半径 目标血量7%伤害</t>
  </si>
  <si>
    <t>总伤害</t>
  </si>
  <si>
    <t>伤害次数</t>
  </si>
  <si>
    <t>每次伤害</t>
  </si>
  <si>
    <t>百分比血量</t>
  </si>
  <si>
    <t>剩余伤害</t>
  </si>
  <si>
    <t>攻击力比</t>
  </si>
  <si>
    <t>拾取道具时恢复5%血量</t>
  </si>
  <si>
    <t>轻</t>
  </si>
  <si>
    <t>每当被击中时有15%的概率增加回血Buff.每秒恢复2%的血量,持续8秒</t>
  </si>
  <si>
    <t>重</t>
  </si>
  <si>
    <t>能把敌人和道具拉向自己，轻坦由于重量太轻，只能把自己拉过去</t>
  </si>
  <si>
    <t>血量低于30%时,每秒恢复2%血量,持续10秒,CD60秒</t>
  </si>
  <si>
    <t>血量恢复加强效果最高200%</t>
  </si>
  <si>
    <t>每持有一个积分道具,增加1%的移动速度和2%的护甲值</t>
  </si>
  <si>
    <t>正面减少15%的伤害,受击缩圈减少30%</t>
  </si>
  <si>
    <t>每受到3次攻击增加10%护甲,持续8秒</t>
  </si>
  <si>
    <t>击杀敌人后,增加快速装弹按钮</t>
  </si>
  <si>
    <t>改成15S累计1个,最多累计3个.初始2个</t>
  </si>
  <si>
    <t>击杀敌人后,增加15%移动速度,持续5秒</t>
  </si>
  <si>
    <t>发射6枚微型导弹</t>
  </si>
  <si>
    <t>击杀敌人后恢复15%血量</t>
  </si>
  <si>
    <t>发射电锯</t>
  </si>
  <si>
    <t>每攻击敌人3次,减少对方10%护甲,持续10秒</t>
  </si>
  <si>
    <t>血量低于30%时,增加30%伤害</t>
  </si>
  <si>
    <t>对于血量低于30%的敌人造成200%伤害</t>
  </si>
  <si>
    <t>小技能</t>
  </si>
  <si>
    <t>大技能</t>
  </si>
  <si>
    <t>被动1</t>
  </si>
  <si>
    <t>被动2</t>
  </si>
  <si>
    <t>被动3</t>
  </si>
  <si>
    <t>技能ID1</t>
  </si>
  <si>
    <t>技能ID2</t>
  </si>
  <si>
    <t>技能ID3</t>
  </si>
  <si>
    <t>技能ID4</t>
  </si>
  <si>
    <t>技能ID5</t>
  </si>
  <si>
    <t>20190711-技能规划</t>
  </si>
  <si>
    <t>坦克正式名字</t>
  </si>
  <si>
    <t>坦克标识id</t>
  </si>
  <si>
    <t>技能1名字</t>
  </si>
  <si>
    <t>技能2名字</t>
  </si>
  <si>
    <t>技能1id</t>
  </si>
  <si>
    <t>技能2id</t>
  </si>
  <si>
    <t>导出数组</t>
  </si>
  <si>
    <t>技能等级上限</t>
  </si>
  <si>
    <t>老id</t>
  </si>
  <si>
    <t>老名字</t>
  </si>
  <si>
    <t>新名字</t>
  </si>
  <si>
    <t>新id</t>
  </si>
  <si>
    <t>主动防御系统</t>
  </si>
  <si>
    <t>炸药桶</t>
  </si>
  <si>
    <t>战术链</t>
  </si>
  <si>
    <t>钩子</t>
  </si>
  <si>
    <t>增加攻击速度</t>
  </si>
  <si>
    <t>最高星级</t>
  </si>
  <si>
    <t>技能等级数</t>
  </si>
  <si>
    <t>技能等级</t>
  </si>
  <si>
    <t>要求坦克星级</t>
  </si>
  <si>
    <t>[2]</t>
  </si>
  <si>
    <t>升星</t>
  </si>
  <si>
    <t>技能点获得</t>
  </si>
  <si>
    <t>技能点消耗</t>
  </si>
  <si>
    <t>[3]</t>
  </si>
  <si>
    <t>[4,4]</t>
  </si>
  <si>
    <t>[5,5]</t>
  </si>
  <si>
    <t>[6,6]</t>
  </si>
  <si>
    <t>军费消耗</t>
  </si>
  <si>
    <t>nameDescribe</t>
  </si>
  <si>
    <t>skillType</t>
  </si>
  <si>
    <t>被动技能规划</t>
  </si>
  <si>
    <t>int</t>
  </si>
  <si>
    <t>string</t>
  </si>
  <si>
    <t>主键</t>
  </si>
  <si>
    <t>技能名字(自用描述)</t>
  </si>
  <si>
    <t>技能类型：1主动 2被动</t>
  </si>
  <si>
    <t>描述</t>
  </si>
  <si>
    <t>null</t>
  </si>
  <si>
    <t>炮膛</t>
  </si>
  <si>
    <t>乘胜追击</t>
  </si>
  <si>
    <t>强化战术链</t>
  </si>
  <si>
    <t>捕食者</t>
  </si>
  <si>
    <t>重生</t>
  </si>
  <si>
    <t>击毁敌人后，增加#{number1}%移动速度，持续#{number2}秒。</t>
  </si>
  <si>
    <t>自动装弹机</t>
  </si>
  <si>
    <t>嗜血</t>
  </si>
  <si>
    <t>弱点识破</t>
  </si>
  <si>
    <t>拾取道具时恢复#{number1}%血量。</t>
  </si>
  <si>
    <t>底盘</t>
  </si>
  <si>
    <t>每当被击中时有15%的概率增加回血Buff。每秒恢复#{number1}%的血量，持续#{number2}秒。</t>
  </si>
  <si>
    <t>发动机</t>
  </si>
  <si>
    <t>血量恢复加强效果最高#{number1}%。</t>
  </si>
  <si>
    <t>血量低于30%时，增加#{number1}%伤害。</t>
  </si>
  <si>
    <t>装甲</t>
  </si>
  <si>
    <t>每受到3次攻击增加#{number1}%护甲，持续#{number2}秒。</t>
  </si>
  <si>
    <t>每持有一个积分道具，增加#{number1}%的移动速度和#{number2}%的护甲值。</t>
  </si>
  <si>
    <t>连锁效应</t>
  </si>
  <si>
    <t>正面减少#{number1}%的伤害，受击缩圈减少#{number2}%。</t>
  </si>
  <si>
    <t>当击毁敌方目标后，获得造成的伤害提升#{number1}%的效果，最高叠加3层，持续#{number2}秒。</t>
  </si>
  <si>
    <t>血量低于30%时，每秒恢复#{number1}%血量，持续10秒，每分钟可触发一次效果。</t>
  </si>
  <si>
    <t>增加拾取道具距离#{number1}米。</t>
  </si>
  <si>
    <t>从出生点可以获得#{number1}%的移动速度加成，持续#{number2}秒</t>
  </si>
  <si>
    <t>击中敌方坦克，会使目标移动速度降低#{number1}%，持续#{number2}秒。</t>
  </si>
  <si>
    <t>普通攻击击中敌方目标会使得主动技能的cd减少#{number1}秒</t>
  </si>
  <si>
    <t>每损失2%的血量，提升#{number1}%的攻击力和#{number2}%的移动速度</t>
  </si>
  <si>
    <t>战术链技能自动弹射到目标半径30米内血量最少的目标，最多弹射#{number1}个目标</t>
  </si>
  <si>
    <t>向前方投掷炸药桶，引发剧烈的爆炸，对敌方造成#{number1}%的平均伤害。</t>
  </si>
  <si>
    <t>坦克马力全开，移动速度提高#{number1}%。</t>
  </si>
  <si>
    <t>对友军坦克释放每秒#{number1}%最大血量的治疗对敌方坦克造成每秒#{number2}%的平均伤害，最高持续#{number3}秒。</t>
  </si>
  <si>
    <t>向前释放一排滚动的电锯，路过的敌方都将受到#{number1}%的平均伤害。</t>
  </si>
  <si>
    <t>按下按键可以发出去一个带抓钩的锁链，击中敌人后会把敌人钩过来，钩中墙壁则是把自己钩过去，钩到道具会把道具钩过来，范围#{number1}米。</t>
  </si>
  <si>
    <t>在坦克前方展开防御罩，抵挡#{number1}%的伤害,持续#{number2}秒。</t>
  </si>
  <si>
    <t>迅速发射六发导弹，威力惊人，每发对敌方造成#{number1}%的平均伤害。</t>
  </si>
  <si>
    <t>发射5枚飞弹，飞弹距离敌方坦克较近距离的时候会自动锁定并攻击敌方，每枚飞弹造成#{number1}%的平均伤害。</t>
  </si>
  <si>
    <t>点击技能进入锁定敌方坦克状态，锁定敌人后再次点击技能发射导弹，导弹总数为5枚，按照锁定敌人数量进行平均分配，每枚导弹造成#{number1}%的平均伤害。</t>
  </si>
  <si>
    <t>战术链弹射主动引导</t>
  </si>
  <si>
    <t>战术链主动引导（非实际技能）</t>
  </si>
  <si>
    <t>平均战斗时间</t>
  </si>
  <si>
    <t>技能伤害规划</t>
  </si>
  <si>
    <t>唯一id</t>
  </si>
  <si>
    <t>后端技能参数1</t>
  </si>
  <si>
    <t>后端技能参数2</t>
  </si>
  <si>
    <t>后端参数序号</t>
  </si>
  <si>
    <t>前端技能参数1</t>
  </si>
  <si>
    <t>前端技能参数2</t>
  </si>
  <si>
    <t>前端技能参数3</t>
  </si>
  <si>
    <r>
      <rPr>
        <sz val="9"/>
        <color theme="1"/>
        <rFont val="微软雅黑"/>
        <charset val="134"/>
      </rPr>
      <t>技能C</t>
    </r>
    <r>
      <rPr>
        <sz val="9"/>
        <color theme="1"/>
        <rFont val="微软雅黑"/>
        <charset val="134"/>
      </rPr>
      <t>D</t>
    </r>
  </si>
  <si>
    <t>伤害次数或人数</t>
  </si>
  <si>
    <t>伤害百分比</t>
  </si>
  <si>
    <t>[150]</t>
  </si>
  <si>
    <t xml:space="preserve">点击技能进入锁定敌方坦克状态，锁定敌人后再次点击技能发射导弹，导弹总数为5枚，按照锁定敌人数量进行平均分配，最多锁定#{number1}个敌人，每枚导弹造成#{number2}%的平均伤害。
</t>
  </si>
  <si>
    <t>[3,3,180]</t>
  </si>
  <si>
    <t>[60]</t>
  </si>
  <si>
    <t>[100]</t>
  </si>
  <si>
    <t>[3,30,7]</t>
  </si>
  <si>
    <t>[50]</t>
  </si>
  <si>
    <t>镭射光波</t>
  </si>
  <si>
    <t>对目标方向发射束状光波，对被光波命中的地方单位造成每秒#{number1}%的平均伤害，持续#{number2}秒。</t>
  </si>
  <si>
    <t>坦克默认技能规划</t>
  </si>
  <si>
    <t>持续时间/秒</t>
  </si>
  <si>
    <t>技能数值</t>
  </si>
  <si>
    <t>技能CD/秒</t>
  </si>
  <si>
    <t>换算参数</t>
  </si>
  <si>
    <t>DPS占比计算</t>
  </si>
  <si>
    <t>快速装弹</t>
  </si>
  <si>
    <t>坦克开启快速装弹射击系统，装弹速度提高#{number1}%，射击速度提高#{number1}%。</t>
  </si>
  <si>
    <t>战力指数</t>
  </si>
  <si>
    <r>
      <rPr>
        <sz val="9"/>
        <color theme="1"/>
        <rFont val="微软雅黑"/>
        <charset val="134"/>
      </rPr>
      <t>sqrt(attack*onminuteShootSpeed*HP/2+(maxpower+minpower)/2*</t>
    </r>
    <r>
      <rPr>
        <sz val="9"/>
        <color theme="1"/>
        <rFont val="微软雅黑"/>
        <charset val="134"/>
      </rPr>
      <t>armor</t>
    </r>
    <r>
      <rPr>
        <sz val="9"/>
        <color theme="1"/>
        <rFont val="微软雅黑"/>
        <charset val="134"/>
      </rPr>
      <t>*100</t>
    </r>
    <r>
      <rPr>
        <sz val="9"/>
        <color theme="1"/>
        <rFont val="微软雅黑"/>
        <charset val="134"/>
      </rPr>
      <t>)</t>
    </r>
  </si>
  <si>
    <t>战力系数</t>
  </si>
  <si>
    <t>开方(坦克伤害*射速*坦克血量/2+(最大穿透力+最小穿透力)/2*坦克装甲*100)</t>
  </si>
  <si>
    <r>
      <rPr>
        <sz val="9"/>
        <color theme="1"/>
        <rFont val="微软雅黑"/>
        <charset val="134"/>
      </rPr>
      <t>开方(坦克伤害*射速*坦克血量</t>
    </r>
    <r>
      <rPr>
        <sz val="9"/>
        <color theme="1"/>
        <rFont val="微软雅黑"/>
        <charset val="134"/>
      </rPr>
      <t>*(穿透力/坦克装甲)</t>
    </r>
    <r>
      <rPr>
        <sz val="9"/>
        <color theme="1"/>
        <rFont val="微软雅黑"/>
        <charset val="134"/>
      </rPr>
      <t>)</t>
    </r>
  </si>
  <si>
    <r>
      <rPr>
        <sz val="9"/>
        <color theme="1"/>
        <rFont val="微软雅黑"/>
        <charset val="134"/>
      </rPr>
      <t>Power(坦克伤害*射速*坦克血量*</t>
    </r>
    <r>
      <rPr>
        <sz val="9"/>
        <color theme="1"/>
        <rFont val="微软雅黑"/>
        <charset val="134"/>
      </rPr>
      <t>(最大穿透力+最小穿透力)</t>
    </r>
    <r>
      <rPr>
        <sz val="9"/>
        <color theme="1"/>
        <rFont val="微软雅黑"/>
        <charset val="134"/>
      </rPr>
      <t>/2</t>
    </r>
    <r>
      <rPr>
        <sz val="9"/>
        <color theme="1"/>
        <rFont val="微软雅黑"/>
        <charset val="134"/>
      </rPr>
      <t>*坦克装甲</t>
    </r>
    <r>
      <rPr>
        <sz val="9"/>
        <color theme="1"/>
        <rFont val="微软雅黑"/>
        <charset val="134"/>
      </rPr>
      <t>,0.25</t>
    </r>
    <r>
      <rPr>
        <sz val="9"/>
        <color theme="1"/>
        <rFont val="微软雅黑"/>
        <charset val="134"/>
      </rPr>
      <t>)</t>
    </r>
  </si>
  <si>
    <t>辅助查询</t>
  </si>
  <si>
    <t>生命系数</t>
  </si>
  <si>
    <t>射速</t>
  </si>
  <si>
    <t>初始战力</t>
  </si>
  <si>
    <t>DPS</t>
  </si>
  <si>
    <t>坦克最终战斗属性</t>
  </si>
  <si>
    <t>最高战力</t>
  </si>
  <si>
    <t>坦克战力变化</t>
  </si>
  <si>
    <t>模拟联赛等级期望战力</t>
  </si>
  <si>
    <t>参考战力1</t>
  </si>
  <si>
    <t>参考战力2</t>
  </si>
  <si>
    <t>参考战力3</t>
  </si>
  <si>
    <t>参考战力4</t>
  </si>
  <si>
    <t>参考战力5</t>
  </si>
  <si>
    <t>参考战力6</t>
  </si>
  <si>
    <t>期望战力</t>
  </si>
  <si>
    <t>模拟战力</t>
  </si>
  <si>
    <t>分段</t>
  </si>
  <si>
    <t>标准战力</t>
  </si>
  <si>
    <t>坦克1</t>
  </si>
  <si>
    <t>坦克2</t>
  </si>
  <si>
    <t>坦克3</t>
  </si>
  <si>
    <t>坦克1细类</t>
  </si>
  <si>
    <t>坦克2细类</t>
  </si>
  <si>
    <t>坦克3细类</t>
  </si>
  <si>
    <t>坦克1星级</t>
  </si>
  <si>
    <t>坦克2星级</t>
  </si>
  <si>
    <t>坦克3星级</t>
  </si>
  <si>
    <t>坦克1部件</t>
  </si>
  <si>
    <t>坦克2部件</t>
  </si>
  <si>
    <t>坦克3部件</t>
  </si>
  <si>
    <t>1部件数量</t>
  </si>
  <si>
    <t>2部件数量</t>
  </si>
  <si>
    <t>3部件数量</t>
  </si>
  <si>
    <t>1部件等级</t>
  </si>
  <si>
    <t>2部件等级</t>
  </si>
  <si>
    <t>3部件等级</t>
  </si>
  <si>
    <t>坦克1战力</t>
  </si>
  <si>
    <t>坦克2战力</t>
  </si>
  <si>
    <t>坦克3战力</t>
  </si>
  <si>
    <t>T111</t>
  </si>
  <si>
    <t>T112</t>
  </si>
  <si>
    <t>T113</t>
  </si>
  <si>
    <t>T221</t>
  </si>
  <si>
    <t>T223</t>
  </si>
  <si>
    <t>T222</t>
  </si>
  <si>
    <t>T233</t>
  </si>
  <si>
    <t>T334</t>
  </si>
  <si>
    <t>T333</t>
  </si>
  <si>
    <t>T441</t>
  </si>
  <si>
    <t>T344</t>
  </si>
  <si>
    <t>T442</t>
  </si>
  <si>
    <t>T443</t>
  </si>
  <si>
    <t>T444</t>
  </si>
  <si>
    <t>T454</t>
  </si>
  <si>
    <t>商店分类</t>
  </si>
  <si>
    <t>刷新间隔</t>
  </si>
  <si>
    <t>产出内容</t>
  </si>
  <si>
    <t>材料商店</t>
  </si>
  <si>
    <t>坦克碎片</t>
  </si>
  <si>
    <t>军费商店</t>
  </si>
  <si>
    <t>钻石商店</t>
  </si>
  <si>
    <t>玩家期望</t>
  </si>
  <si>
    <r>
      <rPr>
        <sz val="9"/>
        <color theme="1"/>
        <rFont val="微软雅黑"/>
        <charset val="134"/>
      </rPr>
      <t>开放Tier</t>
    </r>
    <r>
      <rPr>
        <sz val="9"/>
        <color theme="1"/>
        <rFont val="微软雅黑"/>
        <charset val="134"/>
      </rPr>
      <t>1</t>
    </r>
  </si>
  <si>
    <r>
      <rPr>
        <sz val="9"/>
        <color theme="1"/>
        <rFont val="微软雅黑"/>
        <charset val="134"/>
      </rPr>
      <t>开放Tier</t>
    </r>
    <r>
      <rPr>
        <sz val="9"/>
        <color theme="1"/>
        <rFont val="微软雅黑"/>
        <charset val="134"/>
      </rPr>
      <t>2</t>
    </r>
  </si>
  <si>
    <r>
      <rPr>
        <sz val="9"/>
        <color theme="1"/>
        <rFont val="微软雅黑"/>
        <charset val="134"/>
      </rPr>
      <t>开放Tier</t>
    </r>
    <r>
      <rPr>
        <sz val="9"/>
        <color theme="1"/>
        <rFont val="微软雅黑"/>
        <charset val="134"/>
      </rPr>
      <t>3</t>
    </r>
  </si>
  <si>
    <t>exchange_donor_email_title</t>
  </si>
  <si>
    <t>获取时间</t>
  </si>
  <si>
    <t>合成碎片</t>
  </si>
  <si>
    <t>每天个数</t>
  </si>
  <si>
    <t>坦克种类</t>
  </si>
  <si>
    <t>定向系数</t>
  </si>
  <si>
    <t>售卖上限</t>
  </si>
  <si>
    <t>每日优化</t>
  </si>
  <si>
    <t>商品数量</t>
  </si>
  <si>
    <t>8折概率</t>
  </si>
  <si>
    <t>5折概率</t>
  </si>
  <si>
    <t>打折概率</t>
  </si>
  <si>
    <t>标准价值</t>
  </si>
  <si>
    <t>坦克分类</t>
  </si>
  <si>
    <t>坦克价值衰减</t>
  </si>
  <si>
    <t>道具类型</t>
  </si>
  <si>
    <t>钻石数目</t>
  </si>
  <si>
    <t>回收系数</t>
  </si>
  <si>
    <t>回收价值</t>
  </si>
  <si>
    <t>回收军费</t>
  </si>
  <si>
    <t>坦克型号</t>
  </si>
  <si>
    <t>产出坦克1</t>
  </si>
  <si>
    <t>产出坦克2</t>
  </si>
  <si>
    <t>产出坦克3</t>
  </si>
  <si>
    <t>需求坦克1</t>
  </si>
  <si>
    <t>需求坦克2</t>
  </si>
  <si>
    <t>需求坦克3</t>
  </si>
  <si>
    <t>T4部件</t>
  </si>
  <si>
    <t>T5部件</t>
  </si>
  <si>
    <t>T1低碎片</t>
  </si>
  <si>
    <t>T2低碎片</t>
  </si>
  <si>
    <t>坦克价值</t>
  </si>
  <si>
    <t>T2中碎片</t>
  </si>
  <si>
    <t>T3低碎片</t>
  </si>
  <si>
    <t>T3中碎片</t>
  </si>
  <si>
    <t>T3高碎片</t>
  </si>
  <si>
    <t>T4低碎片</t>
  </si>
  <si>
    <t>T4中碎片</t>
  </si>
  <si>
    <t>T4高碎片</t>
  </si>
  <si>
    <t>T5低碎片</t>
  </si>
  <si>
    <t>T5中碎片</t>
  </si>
  <si>
    <t>T5高碎片</t>
  </si>
  <si>
    <t>基础价值</t>
  </si>
  <si>
    <t>商店价值</t>
  </si>
  <si>
    <t>时间长度(分)</t>
  </si>
  <si>
    <t>打折系数</t>
  </si>
  <si>
    <t>坦克碎片价值</t>
  </si>
  <si>
    <t>加速倍数</t>
  </si>
  <si>
    <t>标准秒时间钻石花费</t>
  </si>
  <si>
    <t>时间系数</t>
  </si>
  <si>
    <t>道具名称</t>
  </si>
  <si>
    <t>现实时间</t>
  </si>
  <si>
    <t>秒价值</t>
  </si>
  <si>
    <t>现实价值</t>
  </si>
  <si>
    <t>价格</t>
  </si>
  <si>
    <t>全队列价格</t>
  </si>
  <si>
    <r>
      <rPr>
        <sz val="9"/>
        <color theme="1"/>
        <rFont val="微软雅黑"/>
        <charset val="134"/>
      </rPr>
      <t>3倍加速</t>
    </r>
    <r>
      <rPr>
        <sz val="9"/>
        <color theme="1"/>
        <rFont val="微软雅黑"/>
        <charset val="134"/>
      </rPr>
      <t>1</t>
    </r>
  </si>
  <si>
    <r>
      <rPr>
        <sz val="9"/>
        <color theme="1"/>
        <rFont val="微软雅黑"/>
        <charset val="134"/>
      </rPr>
      <t>3倍加速</t>
    </r>
    <r>
      <rPr>
        <sz val="9"/>
        <color theme="1"/>
        <rFont val="微软雅黑"/>
        <charset val="134"/>
      </rPr>
      <t>2</t>
    </r>
  </si>
  <si>
    <t>5倍加速1</t>
  </si>
  <si>
    <t>5倍加速2</t>
  </si>
  <si>
    <t>5倍加速3</t>
  </si>
  <si>
    <t>8倍加速1</t>
  </si>
  <si>
    <t>8倍加速2</t>
  </si>
  <si>
    <t>8倍加速3</t>
  </si>
  <si>
    <t>货币价值</t>
  </si>
  <si>
    <t>军费售卖</t>
  </si>
  <si>
    <t>钥匙售卖</t>
  </si>
  <si>
    <t>双钥售卖</t>
  </si>
  <si>
    <t>军费价格</t>
  </si>
  <si>
    <t>出售系数</t>
  </si>
  <si>
    <t>军费数量</t>
  </si>
  <si>
    <t>取整系数</t>
  </si>
  <si>
    <t>实际每钻</t>
  </si>
  <si>
    <t>新版军费数量</t>
  </si>
  <si>
    <t>钻石价值</t>
  </si>
  <si>
    <t>档位</t>
  </si>
  <si>
    <t>美金</t>
  </si>
  <si>
    <t>双钥天数</t>
  </si>
  <si>
    <t>双钥数量</t>
  </si>
  <si>
    <t>双钥价格</t>
  </si>
  <si>
    <t>实际价格</t>
  </si>
  <si>
    <t>BattlePass代币价值</t>
  </si>
  <si>
    <t>代币数</t>
  </si>
  <si>
    <t>钻石单价</t>
  </si>
  <si>
    <t>补偿价值</t>
  </si>
  <si>
    <t>物品1</t>
  </si>
  <si>
    <t>数量1</t>
  </si>
  <si>
    <t>物品2</t>
  </si>
  <si>
    <t>数量2</t>
  </si>
  <si>
    <t>物品3</t>
  </si>
  <si>
    <t>数量3</t>
  </si>
  <si>
    <t>价值/钻石</t>
  </si>
  <si>
    <t>价值/美金</t>
  </si>
  <si>
    <t>部件价值</t>
  </si>
  <si>
    <t>部件品质</t>
  </si>
  <si>
    <t>出售价格</t>
  </si>
  <si>
    <t>货币名称</t>
  </si>
  <si>
    <t>货币ID</t>
  </si>
  <si>
    <t>图标ID</t>
  </si>
  <si>
    <t>StoreDiamond_1</t>
  </si>
  <si>
    <t>Diamond</t>
  </si>
  <si>
    <t>StoreFund_3</t>
  </si>
  <si>
    <t>Funds</t>
  </si>
  <si>
    <t>经验</t>
  </si>
  <si>
    <t>public_icon_handbook_exp</t>
  </si>
  <si>
    <t>科技值</t>
  </si>
  <si>
    <t>resource_icon_techpoint</t>
  </si>
  <si>
    <t>resource_icon_key</t>
  </si>
  <si>
    <t>联赛积分</t>
  </si>
  <si>
    <t>public_icon_league_legion</t>
  </si>
  <si>
    <t>军团贡献值</t>
  </si>
  <si>
    <t>public_icon_shard</t>
  </si>
  <si>
    <t>public_icon_handbook_unlock_icon</t>
  </si>
  <si>
    <t>钥匙槽</t>
  </si>
  <si>
    <t>图鉴经验</t>
  </si>
  <si>
    <t>StoreDoubleKey_1</t>
  </si>
  <si>
    <t>DoubleKeys</t>
  </si>
  <si>
    <t>坦克ID</t>
  </si>
  <si>
    <t>碎片ID</t>
  </si>
  <si>
    <t>售卖ID</t>
  </si>
  <si>
    <t>StoreQuikenItem_1</t>
  </si>
  <si>
    <r>
      <rPr>
        <sz val="9"/>
        <color theme="1"/>
        <rFont val="微软雅黑"/>
        <charset val="134"/>
      </rPr>
      <t>1</t>
    </r>
    <r>
      <rPr>
        <sz val="9"/>
        <color theme="1"/>
        <rFont val="微软雅黑"/>
        <charset val="134"/>
      </rPr>
      <t>H</t>
    </r>
    <r>
      <rPr>
        <sz val="9"/>
        <color theme="1"/>
        <rFont val="微软雅黑"/>
        <charset val="134"/>
      </rPr>
      <t>_X3_Accelerater</t>
    </r>
  </si>
  <si>
    <t>StoreQuikenItem_2</t>
  </si>
  <si>
    <t>StoreQuikenItem_3</t>
  </si>
  <si>
    <t>涂装简写</t>
  </si>
  <si>
    <t>对应涂装</t>
  </si>
  <si>
    <t>T2低轻贴三</t>
  </si>
  <si>
    <t>ii-S-1-T</t>
  </si>
  <si>
    <t>T2低中贴三</t>
  </si>
  <si>
    <t>t34-S-1-T</t>
  </si>
  <si>
    <t>T2低重贴三</t>
  </si>
  <si>
    <t>kv1-S-1-T</t>
  </si>
  <si>
    <t>T2低轻贴永</t>
  </si>
  <si>
    <t>ii-S-1-F</t>
  </si>
  <si>
    <t>T2低中贴永</t>
  </si>
  <si>
    <t>t34-S-1-F</t>
  </si>
  <si>
    <t>T2低重贴永</t>
  </si>
  <si>
    <t>kv1-S-1-F</t>
  </si>
  <si>
    <t>T2中轻贴三</t>
  </si>
  <si>
    <t>sdkfz234-S-1-T</t>
  </si>
  <si>
    <t>T2中中贴三</t>
  </si>
  <si>
    <t>iv-S-1-T</t>
  </si>
  <si>
    <t>T2中重贴三</t>
  </si>
  <si>
    <t>churchill-S-1-T</t>
  </si>
  <si>
    <t>雷诺FT碎片</t>
  </si>
  <si>
    <t>shard_ft17</t>
  </si>
  <si>
    <t>T2中轻贴永</t>
  </si>
  <si>
    <t>sdkfz234-S-1-F</t>
  </si>
  <si>
    <t>二号碎片</t>
  </si>
  <si>
    <t>shard_ii</t>
  </si>
  <si>
    <t>T2中中贴永</t>
  </si>
  <si>
    <t>iv-S-1-F</t>
  </si>
  <si>
    <t>Puma碎片</t>
  </si>
  <si>
    <t>shard_sdkfz234</t>
  </si>
  <si>
    <t>Gulon Shard</t>
  </si>
  <si>
    <t>T2中重贴永</t>
  </si>
  <si>
    <t>churchill-S-1-F</t>
  </si>
  <si>
    <t>35(t)碎片</t>
  </si>
  <si>
    <t>shard_35t</t>
  </si>
  <si>
    <t>T2低轻图三</t>
  </si>
  <si>
    <t>ii-S-2-T</t>
  </si>
  <si>
    <t>十字军碎片</t>
  </si>
  <si>
    <t>shard_crusader</t>
  </si>
  <si>
    <t>T2低中图三</t>
  </si>
  <si>
    <t>t34-S-2-T</t>
  </si>
  <si>
    <t>AMX-13碎片</t>
  </si>
  <si>
    <t>shard_amx13</t>
  </si>
  <si>
    <t>T2低重图三</t>
  </si>
  <si>
    <t>kv1-S-2-T</t>
  </si>
  <si>
    <t>霞飞碎片</t>
  </si>
  <si>
    <t>shard_m24</t>
  </si>
  <si>
    <t>T2低轻图永</t>
  </si>
  <si>
    <t>ii-S-2-F</t>
  </si>
  <si>
    <t>M-41碎片</t>
  </si>
  <si>
    <t>shard_m41</t>
  </si>
  <si>
    <t>T2低中图永</t>
  </si>
  <si>
    <t>t34-S-2-F</t>
  </si>
  <si>
    <t>BMP-3碎片</t>
  </si>
  <si>
    <t>shard_bmp-3</t>
  </si>
  <si>
    <t>T2低重图永</t>
  </si>
  <si>
    <t>kv1-S-2-F</t>
  </si>
  <si>
    <t>59式碎片</t>
  </si>
  <si>
    <t>shard_59</t>
  </si>
  <si>
    <t>T2中轻图三</t>
  </si>
  <si>
    <t>sdkfz234-S-2-T</t>
  </si>
  <si>
    <t>Stuart碎片</t>
  </si>
  <si>
    <t>shard_stuart</t>
  </si>
  <si>
    <t>T2中中图三</t>
  </si>
  <si>
    <t>iv-S-2-T</t>
  </si>
  <si>
    <t>T-34碎片</t>
  </si>
  <si>
    <t>shard_t34</t>
  </si>
  <si>
    <t>T2中重图三</t>
  </si>
  <si>
    <t>churchill-S-2-T</t>
  </si>
  <si>
    <t>四号碎片</t>
  </si>
  <si>
    <t>shard_iv</t>
  </si>
  <si>
    <t>Minotaur Shard</t>
  </si>
  <si>
    <t>T2中轻图永</t>
  </si>
  <si>
    <t>sdkfz234-S-2-F</t>
  </si>
  <si>
    <t>玛蒂尔达碎片</t>
  </si>
  <si>
    <t>shard_mathilda</t>
  </si>
  <si>
    <t>T2中中图永</t>
  </si>
  <si>
    <t>iv-S-2-F</t>
  </si>
  <si>
    <t>谢尔曼碎片</t>
  </si>
  <si>
    <t>shard_m4</t>
  </si>
  <si>
    <t>T2中重图永</t>
  </si>
  <si>
    <t>churchill-S-2-F</t>
  </si>
  <si>
    <t>彗星碎片</t>
  </si>
  <si>
    <t>shard_comet</t>
  </si>
  <si>
    <t>T3低轻贴三</t>
  </si>
  <si>
    <t>35t-S-1-T</t>
  </si>
  <si>
    <t>M-48碎片</t>
  </si>
  <si>
    <t>shard_m48</t>
  </si>
  <si>
    <t>T3低中贴三</t>
  </si>
  <si>
    <t>mathilda-S-1-T</t>
  </si>
  <si>
    <t>潘兴碎片</t>
  </si>
  <si>
    <t>shard_m26</t>
  </si>
  <si>
    <t>T3低重贴三</t>
  </si>
  <si>
    <t>panzer-v-S-1-T</t>
  </si>
  <si>
    <t>百夫长碎片</t>
  </si>
  <si>
    <t>shard_centurion</t>
  </si>
  <si>
    <t>T3低轻贴半</t>
  </si>
  <si>
    <t>35t-S-1-H</t>
  </si>
  <si>
    <t>挑战者碎片</t>
  </si>
  <si>
    <t>shard_challenger1</t>
  </si>
  <si>
    <t>T3低中贴半</t>
  </si>
  <si>
    <t>mathilda-S-1-H</t>
  </si>
  <si>
    <t>shard_b1</t>
  </si>
  <si>
    <t>T3低重贴半</t>
  </si>
  <si>
    <t>panzer-v-S-1-H</t>
  </si>
  <si>
    <t>KV-1碎片</t>
  </si>
  <si>
    <t>shard_kv1</t>
  </si>
  <si>
    <t>T3低轻贴永</t>
  </si>
  <si>
    <t>35t-S-1-F</t>
  </si>
  <si>
    <t>丘吉尔碎片</t>
  </si>
  <si>
    <t>shard_churchill</t>
  </si>
  <si>
    <t>Wyrm Shard</t>
  </si>
  <si>
    <t>T3低中贴永</t>
  </si>
  <si>
    <t>mathilda-S-1-F</t>
  </si>
  <si>
    <t>黑豹碎片</t>
  </si>
  <si>
    <t>shard_panzer-v</t>
  </si>
  <si>
    <t>T3低重贴永</t>
  </si>
  <si>
    <t>panzer-v-S-1-F</t>
  </si>
  <si>
    <t>虎式碎片</t>
  </si>
  <si>
    <t>shard_tiger</t>
  </si>
  <si>
    <t>T3低轻图三</t>
  </si>
  <si>
    <t>35t-S-2-T</t>
  </si>
  <si>
    <t>KV-2碎片</t>
  </si>
  <si>
    <t>shard_kv2</t>
  </si>
  <si>
    <t>T3低中图三</t>
  </si>
  <si>
    <t>mathilda-S-2-T</t>
  </si>
  <si>
    <t>征服者碎片</t>
  </si>
  <si>
    <t>shard_fv214</t>
  </si>
  <si>
    <t>T3低重图三</t>
  </si>
  <si>
    <t>panzer-v-S-2-T</t>
  </si>
  <si>
    <t>IS-4碎片</t>
  </si>
  <si>
    <t>shard_is4</t>
  </si>
  <si>
    <t>T3低轻图半</t>
  </si>
  <si>
    <t>35t-S-2-H</t>
  </si>
  <si>
    <t>T-32碎片</t>
  </si>
  <si>
    <t>shard_t32</t>
  </si>
  <si>
    <t>T3低中图半</t>
  </si>
  <si>
    <t>mathilda-S-2-H</t>
  </si>
  <si>
    <t>M1A2碎片</t>
  </si>
  <si>
    <t>shard_m1a2</t>
  </si>
  <si>
    <t>T3低重图半</t>
  </si>
  <si>
    <t>panzer-v-S-2-H</t>
  </si>
  <si>
    <t>shard_pziii</t>
  </si>
  <si>
    <t>T3低轻图永</t>
  </si>
  <si>
    <t>35t-S-2-F</t>
  </si>
  <si>
    <t>T3低中图永</t>
  </si>
  <si>
    <t>mathilda-S-2-F</t>
  </si>
  <si>
    <t>ii-rd1</t>
  </si>
  <si>
    <t>T3低重图永</t>
  </si>
  <si>
    <t>panzer-v-S-2-F</t>
  </si>
  <si>
    <t>t34-rd1</t>
  </si>
  <si>
    <t>T3中轻贴三</t>
  </si>
  <si>
    <t>crusader-S-1-T</t>
  </si>
  <si>
    <t>b1-rd1</t>
  </si>
  <si>
    <t>T3中中贴三</t>
  </si>
  <si>
    <t>m4-S-1-T</t>
  </si>
  <si>
    <t>T3中重贴三</t>
  </si>
  <si>
    <t>tiger-S-1-T</t>
  </si>
  <si>
    <t>T3中轻贴半</t>
  </si>
  <si>
    <t>crusader-S-1-H</t>
  </si>
  <si>
    <t>T3中中贴半</t>
  </si>
  <si>
    <t>m4-S-1-H</t>
  </si>
  <si>
    <t>sdkfz234-rd1</t>
  </si>
  <si>
    <t>T3中重贴半</t>
  </si>
  <si>
    <t>tiger-S-1-H</t>
  </si>
  <si>
    <t>iv-rd1</t>
  </si>
  <si>
    <t>T3中轻贴永</t>
  </si>
  <si>
    <t>crusader-S-1-F</t>
  </si>
  <si>
    <t>churchill-rd1</t>
  </si>
  <si>
    <t>T3中中贴永</t>
  </si>
  <si>
    <t>m4-S-1-F</t>
  </si>
  <si>
    <t>T3中重贴永</t>
  </si>
  <si>
    <t>tiger-S-1-F</t>
  </si>
  <si>
    <t>T3中轻图三</t>
  </si>
  <si>
    <t>crusader-S-2-T</t>
  </si>
  <si>
    <t>T3中中图三</t>
  </si>
  <si>
    <t>m4-S-2-T</t>
  </si>
  <si>
    <t>pziii-rd2</t>
  </si>
  <si>
    <t>T3中重图三</t>
  </si>
  <si>
    <t>tiger-S-2-T</t>
  </si>
  <si>
    <t>t34-rd2</t>
  </si>
  <si>
    <t>T3中轻图半</t>
  </si>
  <si>
    <t>crusader-S-2-H</t>
  </si>
  <si>
    <t>b1-rd2</t>
  </si>
  <si>
    <t>T3中中图半</t>
  </si>
  <si>
    <t>m4-S-2-H</t>
  </si>
  <si>
    <t>T3中重图半</t>
  </si>
  <si>
    <t>tiger-S-2-H</t>
  </si>
  <si>
    <t>T3中轻图永</t>
  </si>
  <si>
    <t>crusader-S-2-F</t>
  </si>
  <si>
    <t>T3中中图永</t>
  </si>
  <si>
    <t>m4-S-2-F</t>
  </si>
  <si>
    <t>sdkfz234-rd2</t>
  </si>
  <si>
    <t>T3中重图永</t>
  </si>
  <si>
    <t>tiger-S-2-F</t>
  </si>
  <si>
    <t>iv-rd2</t>
  </si>
  <si>
    <t>T3高轻贴三</t>
  </si>
  <si>
    <t>amx13-S-1-T</t>
  </si>
  <si>
    <t>churchill-rd2</t>
  </si>
  <si>
    <t>T3高中贴三</t>
  </si>
  <si>
    <t>comet-S-1-T</t>
  </si>
  <si>
    <t>T3高重贴三</t>
  </si>
  <si>
    <t>kv2-S-1-T</t>
  </si>
  <si>
    <t>T3高轻贴半</t>
  </si>
  <si>
    <t>amx13-S-1-H</t>
  </si>
  <si>
    <t>T3高中贴半</t>
  </si>
  <si>
    <t>comet-S-1-H</t>
  </si>
  <si>
    <t>35t-rd1</t>
  </si>
  <si>
    <t>T3高重贴半</t>
  </si>
  <si>
    <t>kv2-S-1-H</t>
  </si>
  <si>
    <t>mathilda-rd1</t>
  </si>
  <si>
    <t>T3高轻贴永</t>
  </si>
  <si>
    <t>amx13-S-1-F</t>
  </si>
  <si>
    <t>panzer-v-rd1</t>
  </si>
  <si>
    <t>T3高中贴永</t>
  </si>
  <si>
    <t>comet-S-1-F</t>
  </si>
  <si>
    <t>T3高重贴永</t>
  </si>
  <si>
    <t>kv2-S-1-F</t>
  </si>
  <si>
    <t>T3高轻图三</t>
  </si>
  <si>
    <t>amx13-S-2-T</t>
  </si>
  <si>
    <t>T3高中图三</t>
  </si>
  <si>
    <t>comet-S-2-T</t>
  </si>
  <si>
    <t>T3高重图三</t>
  </si>
  <si>
    <t>kv2-S-2-T</t>
  </si>
  <si>
    <t>T3高轻图半</t>
  </si>
  <si>
    <t>amx13-S-2-H</t>
  </si>
  <si>
    <t>T3高中图半</t>
  </si>
  <si>
    <t>comet-S-2-H</t>
  </si>
  <si>
    <t>35t-rd2</t>
  </si>
  <si>
    <t>T3高重图半</t>
  </si>
  <si>
    <t>kv2-S-2-H</t>
  </si>
  <si>
    <t>mathilda-rd2</t>
  </si>
  <si>
    <t>T3高轻图永</t>
  </si>
  <si>
    <t>amx13-S-2-F</t>
  </si>
  <si>
    <t>tiger-e-rd2</t>
  </si>
  <si>
    <t>T3高中图永</t>
  </si>
  <si>
    <t>comet-S-2-F</t>
  </si>
  <si>
    <t>T3高重图永</t>
  </si>
  <si>
    <t>kv2-S-2-F</t>
  </si>
  <si>
    <t>T4低轻贴三</t>
  </si>
  <si>
    <t>m24-S-1-T</t>
  </si>
  <si>
    <t>T4低中贴三</t>
  </si>
  <si>
    <t>m48-S-1-T</t>
  </si>
  <si>
    <t>T4低重贴三</t>
  </si>
  <si>
    <t>fv214-S-1-T</t>
  </si>
  <si>
    <t>T4低轻贴半</t>
  </si>
  <si>
    <t>m24-S-1-H</t>
  </si>
  <si>
    <t>T4低中贴半</t>
  </si>
  <si>
    <t>m48-S-1-H</t>
  </si>
  <si>
    <t>crusader-rd1</t>
  </si>
  <si>
    <t>T4低重贴半</t>
  </si>
  <si>
    <t>fv214-S-1-H</t>
  </si>
  <si>
    <t>m4-rd1</t>
  </si>
  <si>
    <t>T4低轻贴永</t>
  </si>
  <si>
    <t>m24-S-1-F</t>
  </si>
  <si>
    <t>tiger-rd1</t>
  </si>
  <si>
    <t>T4低中贴永</t>
  </si>
  <si>
    <t>m48-S-1-F</t>
  </si>
  <si>
    <t>T4低重贴永</t>
  </si>
  <si>
    <t>fv214-S-1-F</t>
  </si>
  <si>
    <t>T4低轻图三</t>
  </si>
  <si>
    <t>m24-S-2-T</t>
  </si>
  <si>
    <t>T4低中图三</t>
  </si>
  <si>
    <t>m48-S-2-T</t>
  </si>
  <si>
    <t>T4低重图三</t>
  </si>
  <si>
    <t>fv214-S-2-T</t>
  </si>
  <si>
    <t>T4低轻图半</t>
  </si>
  <si>
    <t>m24-S-2-H</t>
  </si>
  <si>
    <t>T4低中图半</t>
  </si>
  <si>
    <t>m48-S-2-H</t>
  </si>
  <si>
    <t>crusader-rd2</t>
  </si>
  <si>
    <t>T4低重图半</t>
  </si>
  <si>
    <t>fv214-S-2-H</t>
  </si>
  <si>
    <t>m4-rd2</t>
  </si>
  <si>
    <t>T4低轻图永</t>
  </si>
  <si>
    <t>m24-S-2-F</t>
  </si>
  <si>
    <t>tiger-rd2</t>
  </si>
  <si>
    <t>T4低中图永</t>
  </si>
  <si>
    <t>m48-S-2-F</t>
  </si>
  <si>
    <t>T4低重图永</t>
  </si>
  <si>
    <t>fv214-S-2-F</t>
  </si>
  <si>
    <t>T4中轻贴三</t>
  </si>
  <si>
    <t>m41-S-1-T</t>
  </si>
  <si>
    <t>T4中中贴三</t>
  </si>
  <si>
    <t>m26-S-1-T</t>
  </si>
  <si>
    <t>T4中重贴三</t>
  </si>
  <si>
    <t>is4-S-1-T</t>
  </si>
  <si>
    <t>T4中轻贴半</t>
  </si>
  <si>
    <t>m41-S-1-H</t>
  </si>
  <si>
    <t>T4中中贴半</t>
  </si>
  <si>
    <t>m26-S-1-H</t>
  </si>
  <si>
    <t>amx13-rd1</t>
  </si>
  <si>
    <t>T4中重贴半</t>
  </si>
  <si>
    <t>is4-S-1-H</t>
  </si>
  <si>
    <t>comet-rd1</t>
  </si>
  <si>
    <t>T4中轻贴永</t>
  </si>
  <si>
    <t>m41-S-1-F</t>
  </si>
  <si>
    <t>kv2-rd1</t>
  </si>
  <si>
    <t>T4中中贴永</t>
  </si>
  <si>
    <t>m26-S-1-F</t>
  </si>
  <si>
    <t>T4中重贴永</t>
  </si>
  <si>
    <t>is4-S-1-F</t>
  </si>
  <si>
    <t>T4中轻图三</t>
  </si>
  <si>
    <t>m41-S-2-T</t>
  </si>
  <si>
    <t>T4中中图三</t>
  </si>
  <si>
    <t>m26-S-2-T</t>
  </si>
  <si>
    <t>T4中重图三</t>
  </si>
  <si>
    <t>is4-S-2-T</t>
  </si>
  <si>
    <t>T4中轻图半</t>
  </si>
  <si>
    <t>m41-S-2-H</t>
  </si>
  <si>
    <t>T4中中图半</t>
  </si>
  <si>
    <t>m26-S-2-H</t>
  </si>
  <si>
    <t>amx13-rd2</t>
  </si>
  <si>
    <t>T4中重图半</t>
  </si>
  <si>
    <t>is4-S-2-H</t>
  </si>
  <si>
    <t>comet-rd2</t>
  </si>
  <si>
    <t>T4中轻图永</t>
  </si>
  <si>
    <t>m41-S-2-F</t>
  </si>
  <si>
    <t>kv2-rd2</t>
  </si>
  <si>
    <t>T4中中图永</t>
  </si>
  <si>
    <t>m26-S-2-F</t>
  </si>
  <si>
    <t>T4中重图永</t>
  </si>
  <si>
    <t>is4-S-2-F</t>
  </si>
  <si>
    <t>T4高轻贴三</t>
  </si>
  <si>
    <t>bmp-3-S-1-T</t>
  </si>
  <si>
    <t>T4高中贴三</t>
  </si>
  <si>
    <t>centurion-S-1-T</t>
  </si>
  <si>
    <t>T4高重贴三</t>
  </si>
  <si>
    <t>t32-S-1-T</t>
  </si>
  <si>
    <t>T4高轻贴半</t>
  </si>
  <si>
    <t>bmp-3-S-1-H</t>
  </si>
  <si>
    <t>T4高中贴半</t>
  </si>
  <si>
    <t>centurion-S-1-H</t>
  </si>
  <si>
    <t>m24-rd1</t>
  </si>
  <si>
    <t>T4高重贴半</t>
  </si>
  <si>
    <t>t32-S-1-H</t>
  </si>
  <si>
    <t>m48-rd1</t>
  </si>
  <si>
    <t>T4高轻贴永</t>
  </si>
  <si>
    <t>bmp-3-S-1-F</t>
  </si>
  <si>
    <t>fv214-rd1</t>
  </si>
  <si>
    <t>T4高中贴永</t>
  </si>
  <si>
    <t>centurion-S-1-F</t>
  </si>
  <si>
    <t>T4高重贴永</t>
  </si>
  <si>
    <t>t32-S-1-F</t>
  </si>
  <si>
    <t>T4高轻图三</t>
  </si>
  <si>
    <t>bmp-3-S-2-T</t>
  </si>
  <si>
    <t>T4高中图三</t>
  </si>
  <si>
    <t>centurion-S-2-T</t>
  </si>
  <si>
    <t>T4高重图三</t>
  </si>
  <si>
    <t>t32-S-2-T</t>
  </si>
  <si>
    <t>T4高轻图半</t>
  </si>
  <si>
    <t>bmp-3-S-2-H</t>
  </si>
  <si>
    <t>T4高中图半</t>
  </si>
  <si>
    <t>centurion-S-2-H</t>
  </si>
  <si>
    <t>m24-rd2</t>
  </si>
  <si>
    <t>T4高重图半</t>
  </si>
  <si>
    <t>t32-S-2-H</t>
  </si>
  <si>
    <t>m48-rd2</t>
  </si>
  <si>
    <t>T4高轻图永</t>
  </si>
  <si>
    <t>bmp-3-S-2-F</t>
  </si>
  <si>
    <t>fv214-rd2</t>
  </si>
  <si>
    <t>T4高中图永</t>
  </si>
  <si>
    <t>centurion-S-2-F</t>
  </si>
  <si>
    <t>T4高重图永</t>
  </si>
  <si>
    <t>t32-S-2-F</t>
  </si>
  <si>
    <t>T5低轻贴三</t>
  </si>
  <si>
    <t>59-S-1-T</t>
  </si>
  <si>
    <t>T5低中贴三</t>
  </si>
  <si>
    <t>challenger1-S-1-T</t>
  </si>
  <si>
    <t>T5低重贴三</t>
  </si>
  <si>
    <t>m1a2-S-1-T</t>
  </si>
  <si>
    <t>T5低轻贴半</t>
  </si>
  <si>
    <t>59-S-1-H</t>
  </si>
  <si>
    <t>T5低中贴半</t>
  </si>
  <si>
    <t>challenger1-S-1-H</t>
  </si>
  <si>
    <t>m41-rd1</t>
  </si>
  <si>
    <t>T5低重贴半</t>
  </si>
  <si>
    <t>m1a2-S-1-H</t>
  </si>
  <si>
    <t>m26-rd1</t>
  </si>
  <si>
    <t>T5低轻贴永</t>
  </si>
  <si>
    <t>59-S-1-F</t>
  </si>
  <si>
    <t>is4-rd1</t>
  </si>
  <si>
    <t>T5低中贴永</t>
  </si>
  <si>
    <t>challenger1-S-1-F</t>
  </si>
  <si>
    <t>T5低重贴永</t>
  </si>
  <si>
    <t>m1a2-S-1-F</t>
  </si>
  <si>
    <t>T5低轻图三</t>
  </si>
  <si>
    <t>59-S-2-T</t>
  </si>
  <si>
    <t>T5低中图三</t>
  </si>
  <si>
    <t>challenger1-S-2-T</t>
  </si>
  <si>
    <t>T5低重图三</t>
  </si>
  <si>
    <t>m1a2-S-2-T</t>
  </si>
  <si>
    <t>T5低轻图半</t>
  </si>
  <si>
    <t>59-S-2-H</t>
  </si>
  <si>
    <t>T5低中图半</t>
  </si>
  <si>
    <t>challenger1-S-2-H</t>
  </si>
  <si>
    <t>m41-rd2</t>
  </si>
  <si>
    <t>T5低重图半</t>
  </si>
  <si>
    <t>m1a2-S-2-H</t>
  </si>
  <si>
    <t>m26-rd2</t>
  </si>
  <si>
    <t>T5低轻图永</t>
  </si>
  <si>
    <t>59-S-2-F</t>
  </si>
  <si>
    <t>is4-rd2</t>
  </si>
  <si>
    <t>T5低中图永</t>
  </si>
  <si>
    <t>challenger1-S-2-F</t>
  </si>
  <si>
    <t>T5低重图永</t>
  </si>
  <si>
    <t>m1a2-S-2-F</t>
  </si>
  <si>
    <t>低材料</t>
  </si>
  <si>
    <t>中材料</t>
  </si>
  <si>
    <t>bmp-3-rd1</t>
  </si>
  <si>
    <t>高材料</t>
  </si>
  <si>
    <t>centurion-rd1</t>
  </si>
  <si>
    <t>t32-rd1</t>
  </si>
  <si>
    <t>部件名称</t>
  </si>
  <si>
    <t>部件ID</t>
  </si>
  <si>
    <t>bmp-3-rd2</t>
  </si>
  <si>
    <t>centurion-rd2</t>
  </si>
  <si>
    <t>t32-rd2</t>
  </si>
  <si>
    <t>59-rd1</t>
  </si>
  <si>
    <t>challenger1-rd1</t>
  </si>
  <si>
    <t>m1a2-rd1</t>
  </si>
  <si>
    <t>59-rd2</t>
  </si>
  <si>
    <t>challenger1-rd2</t>
  </si>
  <si>
    <t>m1a2-rd2</t>
  </si>
  <si>
    <t>tank_part_icon_t1_l_1</t>
  </si>
  <si>
    <t>tank_part_icon_t1_l_2</t>
  </si>
  <si>
    <t>tank_part_icon_t1_l_3</t>
  </si>
  <si>
    <t>tank_part_icon_t1_l_4</t>
  </si>
  <si>
    <t>tank_part_icon_t1_l_5</t>
  </si>
  <si>
    <t>tank_part_icon_t1_l_6</t>
  </si>
  <si>
    <t>tank_part_icon_t1_m_1</t>
  </si>
  <si>
    <t>tank_part_icon_t1_m_2</t>
  </si>
  <si>
    <t>tank_part_icon_t1_m_3</t>
  </si>
  <si>
    <t>tank_part_icon_t1_m_4</t>
  </si>
  <si>
    <t>tank_part_icon_t1_m_5</t>
  </si>
  <si>
    <t>tank_part_icon_t1_m_6</t>
  </si>
  <si>
    <t>tank_part_icon_t1_h_1</t>
  </si>
  <si>
    <t>tank_part_icon_t1_h_2</t>
  </si>
  <si>
    <t>tank_part_icon_t1_h_3</t>
  </si>
  <si>
    <t>tank_part_icon_t1_h_4</t>
  </si>
  <si>
    <t>tank_part_icon_t1_h_5</t>
  </si>
  <si>
    <t>tank_part_icon_t1_h_6</t>
  </si>
  <si>
    <t>tank_part_icon_t2_l_1</t>
  </si>
  <si>
    <t>tank_part_icon_t2_l_2</t>
  </si>
  <si>
    <t>tank_part_icon_t2_l_3</t>
  </si>
  <si>
    <t>T4LP1</t>
  </si>
  <si>
    <t>tank_part_icon_t2_l_4</t>
  </si>
  <si>
    <t>T4LP2</t>
  </si>
  <si>
    <t>tank_part_icon_t2_l_5</t>
  </si>
  <si>
    <t>T4LP3</t>
  </si>
  <si>
    <t>tank_part_icon_t2_l_6</t>
  </si>
  <si>
    <t>T4LP4</t>
  </si>
  <si>
    <t>tank_part_icon_t2_m_1</t>
  </si>
  <si>
    <t>T4LP5</t>
  </si>
  <si>
    <t>tank_part_icon_t2_m_2</t>
  </si>
  <si>
    <t>T4LP6</t>
  </si>
  <si>
    <t>tank_part_icon_t2_m_3</t>
  </si>
  <si>
    <t>T4MP1</t>
  </si>
  <si>
    <t>tank_part_icon_t2_m_4</t>
  </si>
  <si>
    <t>T4MP2</t>
  </si>
  <si>
    <t>tank_part_icon_t2_m_5</t>
  </si>
  <si>
    <t>T4MP3</t>
  </si>
  <si>
    <t>tank_part_icon_t2_m_6</t>
  </si>
  <si>
    <t>T4MP4</t>
  </si>
  <si>
    <t>tank_part_icon_t2_h_1</t>
  </si>
  <si>
    <t>T4MP5</t>
  </si>
  <si>
    <t>tank_part_icon_t2_h_2</t>
  </si>
  <si>
    <t>T4MP6</t>
  </si>
  <si>
    <t>tank_part_icon_t2_h_3</t>
  </si>
  <si>
    <t>T4HP1</t>
  </si>
  <si>
    <t>tank_part_icon_t2_h_4</t>
  </si>
  <si>
    <t>T4HP2</t>
  </si>
  <si>
    <t>tank_part_icon_t2_h_5</t>
  </si>
  <si>
    <t>T4HP3</t>
  </si>
  <si>
    <t>tank_part_icon_t2_h_6</t>
  </si>
  <si>
    <t>T4HP4</t>
  </si>
  <si>
    <t>tank_part_icon_t3_l_1</t>
  </si>
  <si>
    <t>T4HP5</t>
  </si>
  <si>
    <t>tank_part_icon_t3_l_2</t>
  </si>
  <si>
    <t>T4HP6</t>
  </si>
  <si>
    <t>tank_part_icon_t3_l_3</t>
  </si>
  <si>
    <t>T5LP1</t>
  </si>
  <si>
    <t>tank_part_icon_t3_l_4</t>
  </si>
  <si>
    <t>T5LP2</t>
  </si>
  <si>
    <t>tank_part_icon_t3_l_5</t>
  </si>
  <si>
    <t>T5LP3</t>
  </si>
  <si>
    <t>tank_part_icon_t3_l_6</t>
  </si>
  <si>
    <t>T5LP4</t>
  </si>
  <si>
    <t>tank_part_icon_t3_m_1</t>
  </si>
  <si>
    <t>T5LP5</t>
  </si>
  <si>
    <t>tank_part_icon_t3_m_2</t>
  </si>
  <si>
    <t>T5LP6</t>
  </si>
  <si>
    <t>tank_part_icon_t3_m_3</t>
  </si>
  <si>
    <t>T5MP1</t>
  </si>
  <si>
    <t>tank_part_icon_t3_m_4</t>
  </si>
  <si>
    <t>T5MP2</t>
  </si>
  <si>
    <t>tank_part_icon_t3_m_5</t>
  </si>
  <si>
    <t>T5MP3</t>
  </si>
  <si>
    <t>tank_part_icon_t3_m_6</t>
  </si>
  <si>
    <t>T5MP4</t>
  </si>
  <si>
    <t>tank_part_icon_t3_h_1</t>
  </si>
  <si>
    <t>T5MP5</t>
  </si>
  <si>
    <t>tank_part_icon_t3_h_2</t>
  </si>
  <si>
    <t>T5MP6</t>
  </si>
  <si>
    <t>tank_part_icon_t3_h_3</t>
  </si>
  <si>
    <t>T5HP1</t>
  </si>
  <si>
    <t>tank_part_icon_t3_h_4</t>
  </si>
  <si>
    <t>T5HP2</t>
  </si>
  <si>
    <t>tank_part_icon_t3_h_5</t>
  </si>
  <si>
    <t>T5HP3</t>
  </si>
  <si>
    <t>tank_part_icon_t3_h_6</t>
  </si>
  <si>
    <t>T5HP4</t>
  </si>
  <si>
    <t>tank_part_icon_t4_l_1</t>
  </si>
  <si>
    <t>T5HP5</t>
  </si>
  <si>
    <t>tank_part_icon_t4_l_2</t>
  </si>
  <si>
    <t>T5HP6</t>
  </si>
  <si>
    <t>tank_part_icon_t4_l_3</t>
  </si>
  <si>
    <t>tank_part_icon_t4_l_4</t>
  </si>
  <si>
    <t>tank_part_icon_t4_l_5</t>
  </si>
  <si>
    <t>宝箱名称</t>
  </si>
  <si>
    <t>宝箱ID</t>
  </si>
  <si>
    <t>tank_part_icon_t4_l_6</t>
  </si>
  <si>
    <t>部件宝箱0</t>
  </si>
  <si>
    <t>tank_part_icon_t4_m_1</t>
  </si>
  <si>
    <t>部件宝箱1</t>
  </si>
  <si>
    <t>tank_part_icon_t4_m_2</t>
  </si>
  <si>
    <t>tank_part_icon_t4_m_3</t>
  </si>
  <si>
    <t>tank_part_icon_t4_m_4</t>
  </si>
  <si>
    <t>部件宝箱4</t>
  </si>
  <si>
    <t>tank_part_icon_t4_m_5</t>
  </si>
  <si>
    <t>tank_part_icon_t4_m_6</t>
  </si>
  <si>
    <t>tank_part_icon_t4_h_1</t>
  </si>
  <si>
    <t>部件宝箱7</t>
  </si>
  <si>
    <t>tank_part_icon_t4_h_2</t>
  </si>
  <si>
    <t>部件宝箱8</t>
  </si>
  <si>
    <t>tank_part_icon_t4_h_3</t>
  </si>
  <si>
    <t>部件宝箱9</t>
  </si>
  <si>
    <t>tank_part_icon_t4_h_4</t>
  </si>
  <si>
    <t>部件宝箱10</t>
  </si>
  <si>
    <t>tank_part_icon_t4_h_5</t>
  </si>
  <si>
    <t>碎片宝箱1</t>
  </si>
  <si>
    <t>tank_part_icon_t4_h_6</t>
  </si>
  <si>
    <t>碎片宝箱3</t>
  </si>
  <si>
    <t>碎片宝箱5</t>
  </si>
  <si>
    <t>碎片宝箱8</t>
  </si>
  <si>
    <t>碎片宝箱9</t>
  </si>
  <si>
    <t>碎片宝箱10</t>
  </si>
  <si>
    <t>部件手宝箱1</t>
  </si>
  <si>
    <t>部件手宝箱2</t>
  </si>
  <si>
    <t>部件手宝箱3</t>
  </si>
  <si>
    <t>部件手宝箱4</t>
  </si>
  <si>
    <t>部件手宝箱5</t>
  </si>
  <si>
    <t>部件手宝箱6</t>
  </si>
  <si>
    <t>部件手宝箱7</t>
  </si>
  <si>
    <t>部件手宝箱8</t>
  </si>
  <si>
    <t>部件手宝箱9</t>
  </si>
  <si>
    <t>部件手宝箱10</t>
  </si>
  <si>
    <t>碎片手宝箱1</t>
  </si>
  <si>
    <t>碎片手宝箱2</t>
  </si>
  <si>
    <t>chest_tankpart</t>
  </si>
  <si>
    <t>碎片手宝箱3</t>
  </si>
  <si>
    <t>碎片手宝箱4</t>
  </si>
  <si>
    <t>碎片手宝箱5</t>
  </si>
  <si>
    <t>碎片手宝箱6</t>
  </si>
  <si>
    <t>碎片手宝箱7</t>
  </si>
  <si>
    <t>碎片手宝箱8</t>
  </si>
  <si>
    <t>碎片手宝箱9</t>
  </si>
  <si>
    <t>碎片手宝箱10</t>
  </si>
  <si>
    <t>普通宝箱1</t>
  </si>
  <si>
    <t>普通宝箱2</t>
  </si>
  <si>
    <t>普通宝箱3</t>
  </si>
  <si>
    <t>chest_shard</t>
  </si>
  <si>
    <t>普通宝箱4</t>
  </si>
  <si>
    <t>普通宝箱5</t>
  </si>
  <si>
    <t>普通宝箱6</t>
  </si>
  <si>
    <t>普通宝箱7</t>
  </si>
  <si>
    <t>普通宝箱8</t>
  </si>
  <si>
    <t>普通宝箱9</t>
  </si>
  <si>
    <t>普通宝箱10</t>
  </si>
  <si>
    <t>普通自宝箱1</t>
  </si>
  <si>
    <t>普通自宝箱2</t>
  </si>
  <si>
    <t>普通自宝箱3</t>
  </si>
  <si>
    <t>chest_activation_lv4_icon</t>
  </si>
  <si>
    <t>普通自宝箱4</t>
  </si>
  <si>
    <t>普通自宝箱5</t>
  </si>
  <si>
    <t>普通自宝箱6</t>
  </si>
  <si>
    <t>普通自宝箱7</t>
  </si>
  <si>
    <t>普通自宝箱8</t>
  </si>
  <si>
    <t>普通自宝箱9</t>
  </si>
  <si>
    <t>普通自宝箱10</t>
  </si>
  <si>
    <t>高级宝箱1</t>
  </si>
  <si>
    <t>高级宝箱2</t>
  </si>
  <si>
    <t>高级宝箱3</t>
  </si>
  <si>
    <t>chest_activation_lv2_icon</t>
  </si>
  <si>
    <t>高级宝箱4</t>
  </si>
  <si>
    <t>高级宝箱5</t>
  </si>
  <si>
    <t>高级宝箱6</t>
  </si>
  <si>
    <t>高级宝箱7</t>
  </si>
  <si>
    <t>高级宝箱8</t>
  </si>
  <si>
    <t>高级宝箱9</t>
  </si>
  <si>
    <t>高级宝箱10</t>
  </si>
  <si>
    <t>高级自宝箱1</t>
  </si>
  <si>
    <t>高级自宝箱3</t>
  </si>
  <si>
    <t>chest_lv2_icon</t>
  </si>
  <si>
    <t>高级自宝箱4</t>
  </si>
  <si>
    <t>高级自宝箱5</t>
  </si>
  <si>
    <t>高级自宝箱6</t>
  </si>
  <si>
    <t>高级自宝箱7</t>
  </si>
  <si>
    <t>高级自宝箱8</t>
  </si>
  <si>
    <t>高级自宝箱9</t>
  </si>
  <si>
    <t>高级自宝箱10</t>
  </si>
  <si>
    <t>稀有宝箱1</t>
  </si>
  <si>
    <t>稀有宝箱2</t>
  </si>
  <si>
    <t>稀有宝箱3</t>
  </si>
  <si>
    <t>稀有宝箱4</t>
  </si>
  <si>
    <t>稀有宝箱5</t>
  </si>
  <si>
    <t>稀有宝箱6</t>
  </si>
  <si>
    <t>稀有宝箱7</t>
  </si>
  <si>
    <t>稀有宝箱8</t>
  </si>
  <si>
    <t>稀有宝箱9</t>
  </si>
  <si>
    <t>稀有宝箱10</t>
  </si>
  <si>
    <t>稀有自宝箱1</t>
  </si>
  <si>
    <t>稀有自宝箱2</t>
  </si>
  <si>
    <t>稀有自宝箱3</t>
  </si>
  <si>
    <t>chest_lv4_icon</t>
  </si>
  <si>
    <t>稀有自宝箱4</t>
  </si>
  <si>
    <t>稀有自宝箱5</t>
  </si>
  <si>
    <t>稀有自宝箱6</t>
  </si>
  <si>
    <t>稀有自宝箱7</t>
  </si>
  <si>
    <t>稀有自宝箱8</t>
  </si>
  <si>
    <t>稀有自宝箱9</t>
  </si>
  <si>
    <t>稀有自宝箱10</t>
  </si>
  <si>
    <t>紫晶宝箱1</t>
  </si>
  <si>
    <t>紫晶宝箱2</t>
  </si>
  <si>
    <t>紫晶宝箱3</t>
  </si>
  <si>
    <t>紫晶宝箱4</t>
  </si>
  <si>
    <t>紫晶宝箱5</t>
  </si>
  <si>
    <t>紫晶宝箱6</t>
  </si>
  <si>
    <t>紫晶宝箱7</t>
  </si>
  <si>
    <t>紫晶宝箱8</t>
  </si>
  <si>
    <t>紫晶宝箱9</t>
  </si>
  <si>
    <t>紫晶宝箱10</t>
  </si>
  <si>
    <t>紫晶自宝箱1</t>
  </si>
  <si>
    <t>紫晶自宝箱2</t>
  </si>
  <si>
    <t>紫晶自宝箱3</t>
  </si>
  <si>
    <t>chest_lv5_icon</t>
  </si>
  <si>
    <t>紫晶自宝箱4</t>
  </si>
  <si>
    <t>紫晶自宝箱5</t>
  </si>
  <si>
    <t>紫晶自宝箱6</t>
  </si>
  <si>
    <t>紫晶自宝箱7</t>
  </si>
  <si>
    <t>紫晶自宝箱8</t>
  </si>
  <si>
    <t>紫晶自宝箱9</t>
  </si>
  <si>
    <t>紫晶自宝箱10</t>
  </si>
  <si>
    <t>黄金宝箱1</t>
  </si>
  <si>
    <t>黄金宝箱2</t>
  </si>
  <si>
    <t>黄金宝箱3</t>
  </si>
  <si>
    <t>黄金宝箱4</t>
  </si>
  <si>
    <t>黄金宝箱5</t>
  </si>
  <si>
    <t>黄金宝箱6</t>
  </si>
  <si>
    <t>黄金宝箱7</t>
  </si>
  <si>
    <t>黄金宝箱8</t>
  </si>
  <si>
    <t>黄金宝箱9</t>
  </si>
  <si>
    <t>黄金宝箱10</t>
  </si>
  <si>
    <t>黄金自宝箱1</t>
  </si>
  <si>
    <t>黄金自宝箱2</t>
  </si>
  <si>
    <t>黄金自宝箱3</t>
  </si>
  <si>
    <t>黄金自宝箱4</t>
  </si>
  <si>
    <t>黄金自宝箱5</t>
  </si>
  <si>
    <t>黄金自宝箱6</t>
  </si>
  <si>
    <t>黄金自宝箱7</t>
  </si>
  <si>
    <t>黄金自宝箱8</t>
  </si>
  <si>
    <t>黄金自宝箱9</t>
  </si>
  <si>
    <t>黄金自宝箱10</t>
  </si>
  <si>
    <t>史诗宝箱1</t>
  </si>
  <si>
    <t>史诗宝箱2</t>
  </si>
  <si>
    <t>史诗宝箱3</t>
  </si>
  <si>
    <t>史诗宝箱4</t>
  </si>
  <si>
    <t>史诗宝箱5</t>
  </si>
  <si>
    <t>史诗宝箱6</t>
  </si>
  <si>
    <t>史诗宝箱7</t>
  </si>
  <si>
    <t>史诗宝箱8</t>
  </si>
  <si>
    <t>史诗宝箱9</t>
  </si>
  <si>
    <t>史诗宝箱10</t>
  </si>
  <si>
    <t>史诗自宝箱1</t>
  </si>
  <si>
    <t>史诗自宝箱2</t>
  </si>
  <si>
    <t>史诗自宝箱3</t>
  </si>
  <si>
    <t>史诗自宝箱4</t>
  </si>
  <si>
    <t>史诗自宝箱5</t>
  </si>
  <si>
    <t>史诗自宝箱6</t>
  </si>
  <si>
    <t>史诗自宝箱7</t>
  </si>
  <si>
    <t>史诗自宝箱8</t>
  </si>
  <si>
    <t>史诗自宝箱9</t>
  </si>
  <si>
    <t>史诗自宝箱10</t>
  </si>
  <si>
    <t>部件礼包T1_1</t>
  </si>
  <si>
    <t>部件礼包T1_2</t>
  </si>
  <si>
    <t>部件礼包T2_1</t>
  </si>
  <si>
    <t>部件礼包T2_2</t>
  </si>
  <si>
    <t>部件礼包T3_1</t>
  </si>
  <si>
    <t>部件礼包T3_2</t>
  </si>
  <si>
    <t>部件礼包T4_1</t>
  </si>
  <si>
    <t>部件礼包T4_2</t>
  </si>
  <si>
    <t>碎片礼包T1_1</t>
  </si>
  <si>
    <t>碎片礼包T2_1</t>
  </si>
  <si>
    <t>碎片礼包T2_2</t>
  </si>
  <si>
    <t>碎片礼包T3_1</t>
  </si>
  <si>
    <t>碎片礼包T3_2</t>
  </si>
  <si>
    <t>chest_lv6_icon</t>
  </si>
  <si>
    <t>碎片礼包T4_1</t>
  </si>
  <si>
    <t>碎片礼包T4_2</t>
  </si>
  <si>
    <t>碎片礼包T4_3</t>
  </si>
  <si>
    <t>部件礼包1</t>
  </si>
  <si>
    <t>T1 Component</t>
  </si>
  <si>
    <t>部件礼包2</t>
  </si>
  <si>
    <t>部件礼包3</t>
  </si>
  <si>
    <t>部件礼包4</t>
  </si>
  <si>
    <t>T2 Component</t>
  </si>
  <si>
    <t>部件礼包5</t>
  </si>
  <si>
    <t>部件礼包6</t>
  </si>
  <si>
    <t>部件礼包7</t>
  </si>
  <si>
    <t>T3 Component</t>
  </si>
  <si>
    <t>部件礼包8</t>
  </si>
  <si>
    <t>部件礼包9</t>
  </si>
  <si>
    <t>碎片礼包1</t>
  </si>
  <si>
    <t xml:space="preserve"> T1 General Shard</t>
  </si>
  <si>
    <t>碎片礼包2</t>
  </si>
  <si>
    <r>
      <rPr>
        <sz val="9"/>
        <color theme="1"/>
        <rFont val="微软雅黑"/>
        <charset val="134"/>
      </rPr>
      <t xml:space="preserve"> T</t>
    </r>
    <r>
      <rPr>
        <sz val="9"/>
        <color theme="1"/>
        <rFont val="微软雅黑"/>
        <charset val="134"/>
      </rPr>
      <t>2</t>
    </r>
    <r>
      <rPr>
        <sz val="9"/>
        <color theme="1"/>
        <rFont val="微软雅黑"/>
        <charset val="134"/>
      </rPr>
      <t xml:space="preserve"> General Shard</t>
    </r>
  </si>
  <si>
    <t>碎片礼包3</t>
  </si>
  <si>
    <t>T2 Senior Shard</t>
  </si>
  <si>
    <t>碎片礼包4</t>
  </si>
  <si>
    <r>
      <rPr>
        <sz val="9"/>
        <color theme="1"/>
        <rFont val="微软雅黑"/>
        <charset val="134"/>
      </rPr>
      <t xml:space="preserve"> T</t>
    </r>
    <r>
      <rPr>
        <sz val="9"/>
        <color theme="1"/>
        <rFont val="微软雅黑"/>
        <charset val="134"/>
      </rPr>
      <t>3</t>
    </r>
    <r>
      <rPr>
        <sz val="9"/>
        <color theme="1"/>
        <rFont val="微软雅黑"/>
        <charset val="134"/>
      </rPr>
      <t>General Shard</t>
    </r>
  </si>
  <si>
    <t>碎片礼包5</t>
  </si>
  <si>
    <r>
      <rPr>
        <sz val="9"/>
        <color theme="1"/>
        <rFont val="微软雅黑"/>
        <charset val="134"/>
      </rPr>
      <t>T</t>
    </r>
    <r>
      <rPr>
        <sz val="9"/>
        <color theme="1"/>
        <rFont val="微软雅黑"/>
        <charset val="134"/>
      </rPr>
      <t xml:space="preserve">3 </t>
    </r>
    <r>
      <rPr>
        <sz val="9"/>
        <color theme="1"/>
        <rFont val="微软雅黑"/>
        <charset val="134"/>
      </rPr>
      <t>Senior Shard</t>
    </r>
  </si>
  <si>
    <t>碎片礼包6</t>
  </si>
  <si>
    <r>
      <rPr>
        <sz val="9"/>
        <color theme="1"/>
        <rFont val="微软雅黑"/>
        <charset val="134"/>
      </rPr>
      <t xml:space="preserve"> T</t>
    </r>
    <r>
      <rPr>
        <sz val="9"/>
        <color theme="1"/>
        <rFont val="微软雅黑"/>
        <charset val="134"/>
      </rPr>
      <t>4</t>
    </r>
    <r>
      <rPr>
        <sz val="9"/>
        <color theme="1"/>
        <rFont val="微软雅黑"/>
        <charset val="134"/>
      </rPr>
      <t xml:space="preserve"> General Shard</t>
    </r>
  </si>
  <si>
    <t>碎片礼包7</t>
  </si>
  <si>
    <r>
      <rPr>
        <sz val="9"/>
        <color theme="1"/>
        <rFont val="微软雅黑"/>
        <charset val="134"/>
      </rPr>
      <t>T</t>
    </r>
    <r>
      <rPr>
        <sz val="9"/>
        <color theme="1"/>
        <rFont val="微软雅黑"/>
        <charset val="134"/>
      </rPr>
      <t>4</t>
    </r>
    <r>
      <rPr>
        <sz val="9"/>
        <color theme="1"/>
        <rFont val="微软雅黑"/>
        <charset val="134"/>
      </rPr>
      <t xml:space="preserve"> Senior Shard</t>
    </r>
  </si>
  <si>
    <t>碎片礼包8</t>
  </si>
  <si>
    <t>涂鸦-失败者</t>
  </si>
  <si>
    <t>battle_pass_icon_decal_01</t>
  </si>
  <si>
    <t>涂鸦-鲨鱼</t>
  </si>
  <si>
    <t>battle_pass_icon_decal_02</t>
  </si>
  <si>
    <t>涂鸦-胜利骑士</t>
  </si>
  <si>
    <t>battle_pass_icon_decal_03</t>
  </si>
  <si>
    <t>涂鸦-裂缝</t>
  </si>
  <si>
    <t>battle_pass_icon_decal_04</t>
  </si>
  <si>
    <t>涂鸦-小丑</t>
  </si>
  <si>
    <t>battle_pass_icon_decal_05</t>
  </si>
  <si>
    <t>涂鸦-魔眼</t>
  </si>
  <si>
    <t>battle_pass_icon_decal_06</t>
  </si>
  <si>
    <t>涂鸦-死神</t>
  </si>
  <si>
    <t>battle_pass_icon_decal_07</t>
  </si>
  <si>
    <t>头像框-初级指挥官</t>
  </si>
  <si>
    <t>role_head_frame_icon_2</t>
  </si>
  <si>
    <t>头像框-针锋相对</t>
  </si>
  <si>
    <t>role_head_frame_icon_3</t>
  </si>
  <si>
    <t>头像框-S1·起航</t>
  </si>
  <si>
    <t>role_head_frame_icon_4</t>
  </si>
  <si>
    <t>头像框-战斗之星</t>
  </si>
  <si>
    <t>role_head_frame_icon_5</t>
  </si>
  <si>
    <t>头像框-我的战场</t>
  </si>
  <si>
    <t>role_head_frame_icon_6</t>
  </si>
  <si>
    <t>头像框-风驰电掣</t>
  </si>
  <si>
    <t>role_head_frame_icon_7</t>
  </si>
  <si>
    <t>头像框-钢铁信仰</t>
  </si>
  <si>
    <t>role_head_frame_icon_8</t>
  </si>
  <si>
    <t>摆件1-小丑</t>
  </si>
  <si>
    <t>battle_pass_icon_decoration_1</t>
  </si>
  <si>
    <t>摆件2-小黄鸭</t>
  </si>
  <si>
    <t>battle_pass_icon_decoration_2</t>
  </si>
  <si>
    <t>摆件3-机械蜘蛛</t>
  </si>
  <si>
    <t>battle_pass_icon_decoration_3</t>
  </si>
  <si>
    <t>摆件4-鲨鱼头</t>
  </si>
  <si>
    <t>battle_pass_icon_decoration_4</t>
  </si>
  <si>
    <t>摆件5-恶魔之眼</t>
  </si>
  <si>
    <t>battle_pass_icon_decoration_5</t>
  </si>
  <si>
    <t>战旗旗杆-雄心旗杆</t>
  </si>
  <si>
    <t>battle_pass_icon_flag_staff_01</t>
  </si>
  <si>
    <t>战旗旗杆-正义旗杆</t>
  </si>
  <si>
    <t>battle_pass_icon_flag_staff_02</t>
  </si>
  <si>
    <t>战旗旗杆-绝命旗杆</t>
  </si>
  <si>
    <t>battle_pass_icon_flag_staff_03</t>
  </si>
  <si>
    <t>战旗旗杆-荣耀旗杆</t>
  </si>
  <si>
    <t>battle_pass_icon_flag_staff_04</t>
  </si>
  <si>
    <t>战旗旗帜-雄心旗帜</t>
  </si>
  <si>
    <t>battle_pass_icon_flag_surface_01</t>
  </si>
  <si>
    <t>战旗旗帜-正义旗帜</t>
  </si>
  <si>
    <t>battle_pass_icon_flag_surface_02</t>
  </si>
  <si>
    <t>战旗旗帜-绝命旗帜</t>
  </si>
  <si>
    <t>battle_pass_icon_flag_surface_03</t>
  </si>
  <si>
    <t>战旗旗帜-荣耀旗帜</t>
  </si>
  <si>
    <t>battle_pass_icon_flag_surface_04</t>
  </si>
  <si>
    <t>战旗图案-雄心图案</t>
  </si>
  <si>
    <t>battle_pass_icon_flag_logo_01</t>
  </si>
  <si>
    <t>战旗图案-正义图案</t>
  </si>
  <si>
    <t>battle_pass_icon_flag_logo_02</t>
  </si>
  <si>
    <t>战旗图案-绝命图案</t>
  </si>
  <si>
    <t>battle_pass_icon_flag_logo_03</t>
  </si>
  <si>
    <t>战旗图案-荣耀图案</t>
  </si>
  <si>
    <t>battle_pass_icon_flag_logo_04</t>
  </si>
  <si>
    <t>坦克涂装-坦克皮肤:丛林</t>
  </si>
  <si>
    <t>tank_skin_icon_rd101</t>
  </si>
  <si>
    <t>坦克涂装-坦克皮肤:沙漠</t>
  </si>
  <si>
    <t>tank_skin_icon_rd102</t>
  </si>
  <si>
    <t>坦克涂装-坦克皮肤:雪地</t>
  </si>
  <si>
    <t>tank_skin_icon_rd103</t>
  </si>
  <si>
    <t>坦克涂装-坦克皮肤:红色丝网</t>
  </si>
  <si>
    <t>tank_skin_icon_rd104</t>
  </si>
  <si>
    <t>坦克涂装-坦克皮肤:霓虹灯</t>
  </si>
  <si>
    <t>tank_skin_icon_rd105</t>
  </si>
  <si>
    <t>坦克涂装-坦克皮肤:冰晶</t>
  </si>
  <si>
    <t>tank_skin_icon_rd106</t>
  </si>
  <si>
    <t>坦克涂装-坦克皮肤:喷彩</t>
  </si>
  <si>
    <t>tank_skin_icon_rd107</t>
  </si>
  <si>
    <t>坦克涂装-坦克皮肤:枫叶</t>
  </si>
  <si>
    <t>tank_skin_icon_rd108</t>
  </si>
  <si>
    <t>坦克涂装-坦克皮肤:黑白涂鸦</t>
  </si>
  <si>
    <t>tank_skin_icon_rd109</t>
  </si>
  <si>
    <t>坦克涂装-坦克皮肤:蓝天</t>
  </si>
  <si>
    <t>tank_skin_icon_rd110</t>
  </si>
  <si>
    <t>坦克涂装-坦克皮肤:滩涂</t>
  </si>
  <si>
    <t>tank_skin_icon_rd113</t>
  </si>
  <si>
    <t>坦克涂装-坦克皮肤:城市</t>
  </si>
  <si>
    <t>tank_skin_icon_rd114</t>
  </si>
  <si>
    <t>坦克涂装-坦克皮肤:山地</t>
  </si>
  <si>
    <t>tank_skin_icon_rd115</t>
  </si>
  <si>
    <t>坦克涂装-坦克皮肤:暗夜</t>
  </si>
  <si>
    <t>tank_skin_icon_rd116</t>
  </si>
  <si>
    <t>坦克流光特效-全电坦克</t>
  </si>
  <si>
    <t>tank_common_lighting</t>
  </si>
  <si>
    <t>坦克流光特效-美人鱼</t>
  </si>
  <si>
    <t>tank_common_fish</t>
  </si>
  <si>
    <t>坦克流光特效-地狱使者</t>
  </si>
  <si>
    <t>tank_common_fire</t>
  </si>
  <si>
    <t>BattlePass货币</t>
  </si>
  <si>
    <t>头像-默认头像</t>
  </si>
  <si>
    <t>role_head_icon_1</t>
  </si>
  <si>
    <t>头像-龙</t>
  </si>
  <si>
    <t>role_head_icon_2</t>
  </si>
  <si>
    <t>头像-S1奖牌</t>
  </si>
  <si>
    <t>role_head_icon_3</t>
  </si>
  <si>
    <t>头像-金光坦克</t>
  </si>
  <si>
    <t>role_head_icon_4</t>
  </si>
  <si>
    <t>头像-预注册-鹰</t>
  </si>
  <si>
    <t>role_head_icon_5</t>
  </si>
  <si>
    <t>头像-老虎</t>
  </si>
  <si>
    <t>role_head_icon_6</t>
  </si>
  <si>
    <t>头像-吐舌头</t>
  </si>
  <si>
    <t>role_head_icon_7</t>
  </si>
  <si>
    <t>头像-皇冠</t>
  </si>
  <si>
    <t>role_head_icon_8</t>
  </si>
  <si>
    <t>头像-头盔</t>
  </si>
  <si>
    <t>role_head_icon_9</t>
  </si>
  <si>
    <t>头像-蛇</t>
  </si>
  <si>
    <t>role_head_icon_10</t>
  </si>
  <si>
    <t>头像-狮子</t>
  </si>
  <si>
    <t>role_head_icon_11</t>
  </si>
  <si>
    <t>头像-IF抽象标识</t>
  </si>
  <si>
    <t>role_head_icon_12</t>
  </si>
  <si>
    <t>头像-炸弹头听音乐</t>
  </si>
  <si>
    <t>role_head_icon_13</t>
  </si>
  <si>
    <t>头像-熊猫</t>
  </si>
  <si>
    <t>role_head_icon_14</t>
  </si>
  <si>
    <t>坦克涂装-电磁炮-兽人</t>
  </si>
  <si>
    <t>35t-rd4</t>
  </si>
  <si>
    <t>坦克涂装-电磁炮-食月鸟</t>
  </si>
  <si>
    <t>crusader-rd4</t>
  </si>
  <si>
    <t>坦克涂装-金龙-吸血鬼</t>
  </si>
  <si>
    <t>mathilda-rd3</t>
  </si>
  <si>
    <t>坦克涂装-金龙-神秘猿</t>
  </si>
  <si>
    <t>m4-rd3</t>
  </si>
  <si>
    <t>坦克涂装-铠甲勇士-森林精灵</t>
  </si>
  <si>
    <t>panzer-v-rd5</t>
  </si>
  <si>
    <t>坦克涂装-铠甲勇士-偷火巨人</t>
  </si>
  <si>
    <t>tiger-rd5</t>
  </si>
  <si>
    <t>BattlePass经验</t>
  </si>
  <si>
    <t>雪花</t>
  </si>
  <si>
    <t>activity_christmas_item_icon_1</t>
  </si>
  <si>
    <t>铃铛</t>
  </si>
  <si>
    <t>activity_christmas_item_icon_2</t>
  </si>
  <si>
    <t>圣诞糖果</t>
  </si>
  <si>
    <t>activity_christmas_item_icon_3</t>
  </si>
  <si>
    <t>圣诞幸运币</t>
  </si>
  <si>
    <t>activity_christmas_item_icon_spincoin</t>
  </si>
  <si>
    <t>圣诞拼图</t>
  </si>
  <si>
    <t>activity_christmas_item_icon_puzzle</t>
  </si>
  <si>
    <t>拼图积分</t>
  </si>
  <si>
    <t>NULL</t>
  </si>
  <si>
    <t>车库装饰-圣诞雪人</t>
  </si>
  <si>
    <t>activity_christmas_decoration_icon_1</t>
  </si>
  <si>
    <t>车库装饰-圣诞树</t>
  </si>
  <si>
    <t>activity_christmas_decoration_icon_2</t>
  </si>
  <si>
    <t>车库装饰-圣诞礼盒</t>
  </si>
  <si>
    <t>activity_christmas_decoration_icon_3</t>
  </si>
  <si>
    <t>坦克涂装-圣诞皮肤</t>
  </si>
  <si>
    <t>tank_skin_icon_rd117</t>
  </si>
  <si>
    <t>涂鸦-圣诞标识</t>
  </si>
  <si>
    <t>battle_pass_icon_decal_08</t>
  </si>
  <si>
    <t>涂鸦-圣诞树</t>
  </si>
  <si>
    <t>battle_pass_icon_decal_09</t>
  </si>
  <si>
    <t>摆件6-圣诞老人</t>
  </si>
  <si>
    <t>battle_pass_icon_decoration_6</t>
  </si>
  <si>
    <t>battle_ui_scoresystem_icon</t>
  </si>
  <si>
    <t>chest_battle</t>
  </si>
  <si>
    <t>活跃小箱</t>
  </si>
  <si>
    <t>chest_activation_lv1_icon</t>
  </si>
  <si>
    <t>活跃中箱</t>
  </si>
  <si>
    <t>活跃大箱</t>
  </si>
  <si>
    <t>chest_activation_lv3_icon</t>
  </si>
  <si>
    <t>活跃巨箱</t>
  </si>
  <si>
    <t>雪花-售卖专用</t>
  </si>
  <si>
    <t>铃铛-售卖专用</t>
  </si>
  <si>
    <t>圣诞糖果-售卖专用</t>
  </si>
  <si>
    <t>圣诞幸运币-售卖专用</t>
  </si>
  <si>
    <t>圣诞拼图-售卖专用</t>
  </si>
  <si>
    <t>拼图积分-售卖专用</t>
  </si>
  <si>
    <t>头像-圣诞老人</t>
  </si>
  <si>
    <t>role_head_icon_21</t>
  </si>
  <si>
    <t>头像-雪人</t>
  </si>
  <si>
    <t>role_head_icon_22</t>
  </si>
  <si>
    <t>头像框-圣诞1</t>
  </si>
  <si>
    <t>role_head_frame_icon_9</t>
  </si>
  <si>
    <t>头像框-圣诞2</t>
  </si>
  <si>
    <t>role_head_frame_icon_10</t>
  </si>
  <si>
    <t>碎片宝箱-决胜活动奖励</t>
  </si>
  <si>
    <t>头像-滑雪运动员</t>
  </si>
  <si>
    <t>role_head_icon_23</t>
  </si>
  <si>
    <t>头像-企鹅</t>
  </si>
  <si>
    <t>role_head_icon_24</t>
  </si>
  <si>
    <t>头像-北极熊</t>
  </si>
  <si>
    <t>role_head_icon_25</t>
  </si>
  <si>
    <t>头像-雪花水晶球</t>
  </si>
  <si>
    <t>role_head_icon_26</t>
  </si>
  <si>
    <t>头像-勇攀雪山</t>
  </si>
  <si>
    <t>role_head_icon_27</t>
  </si>
  <si>
    <t>头像框-滑雪</t>
  </si>
  <si>
    <t>role_head_frame_icon_11</t>
  </si>
  <si>
    <t>头像框-冬季编织</t>
  </si>
  <si>
    <t>role_head_frame_icon_12</t>
  </si>
  <si>
    <t>头像框-冰雪</t>
  </si>
  <si>
    <t>role_head_frame_icon_13</t>
  </si>
  <si>
    <t>头像框-雪山</t>
  </si>
  <si>
    <t>role_head_frame_icon_14</t>
  </si>
  <si>
    <t>头像框-冰雪女王</t>
  </si>
  <si>
    <t>role_head_frame_icon_15</t>
  </si>
  <si>
    <t>头像框-暖炉</t>
  </si>
  <si>
    <t>role_head_frame_icon_16</t>
  </si>
  <si>
    <t>头像框-极光</t>
  </si>
  <si>
    <t>role_head_frame_icon_17</t>
  </si>
  <si>
    <t>坦克涂装-冰龙-巨魔</t>
  </si>
  <si>
    <t>comet-rd4</t>
  </si>
  <si>
    <t>涂鸦-冰雪女王</t>
  </si>
  <si>
    <t>battle_pass_icon_decal_10</t>
  </si>
  <si>
    <t>涂鸦-雪城</t>
  </si>
  <si>
    <t>battle_pass_icon_decal_11</t>
  </si>
  <si>
    <t>涂鸦-滑雪</t>
  </si>
  <si>
    <t>battle_pass_icon_decal_12</t>
  </si>
  <si>
    <t>摆件7-企鹅</t>
  </si>
  <si>
    <t>battle_pass_icon_decoration_7</t>
  </si>
  <si>
    <t>摆件8-北极熊</t>
  </si>
  <si>
    <t>battle_pass_icon_decoration_8</t>
  </si>
  <si>
    <t>摆件9-冰霜之冠</t>
  </si>
  <si>
    <t>battle_pass_icon_decoration_9</t>
  </si>
  <si>
    <t>坦克流光特效-流水</t>
  </si>
  <si>
    <t>tank_skin_icon_river</t>
  </si>
  <si>
    <t>坦克流光特效-飘雪</t>
  </si>
  <si>
    <t>tank_skin_icon_snow</t>
  </si>
  <si>
    <t>可推送内容</t>
  </si>
  <si>
    <t>礼包类型</t>
  </si>
  <si>
    <t>礼包内容1</t>
  </si>
  <si>
    <t>礼包内容2</t>
  </si>
  <si>
    <t>抽取次数</t>
  </si>
  <si>
    <t>新手破冰礼包</t>
  </si>
  <si>
    <t>道具</t>
  </si>
  <si>
    <t>价值</t>
  </si>
  <si>
    <t>总价/美金</t>
  </si>
  <si>
    <t>折扣</t>
  </si>
  <si>
    <t>物品内容</t>
  </si>
  <si>
    <t>物品价值/钻石</t>
  </si>
  <si>
    <t>总价值</t>
  </si>
  <si>
    <t>首充礼包</t>
  </si>
  <si>
    <t>坦克涂装-首充破冰礼包</t>
  </si>
  <si>
    <t>加速道具</t>
  </si>
  <si>
    <t>坦克涂装-首充豹</t>
  </si>
  <si>
    <t>出售宝箱</t>
  </si>
  <si>
    <r>
      <rPr>
        <sz val="9"/>
        <color theme="1"/>
        <rFont val="微软雅黑"/>
        <charset val="134"/>
      </rPr>
      <t>T</t>
    </r>
    <r>
      <rPr>
        <sz val="9"/>
        <color theme="1"/>
        <rFont val="微软雅黑"/>
        <charset val="134"/>
      </rPr>
      <t>2皮肤</t>
    </r>
  </si>
  <si>
    <t>坦克涂装-首充红柳</t>
  </si>
  <si>
    <t>碎片宝箱</t>
  </si>
  <si>
    <t>rank3礼包</t>
  </si>
  <si>
    <t>2星轻坦1部位</t>
  </si>
  <si>
    <t>2星轻坦2部位</t>
  </si>
  <si>
    <t>部件宝箱</t>
  </si>
  <si>
    <t>2星中坦1部位</t>
  </si>
  <si>
    <t>2星中坦2部位</t>
  </si>
  <si>
    <t>2星重坦1部位</t>
  </si>
  <si>
    <t>2星重坦2部位</t>
  </si>
  <si>
    <t>rank5礼包</t>
  </si>
  <si>
    <t>3星重坦1部位</t>
  </si>
  <si>
    <t>3星重坦2部位</t>
  </si>
  <si>
    <t>坦克涂装-虎式</t>
  </si>
  <si>
    <t>特定碎片</t>
  </si>
  <si>
    <t>3星轻坦1部位</t>
  </si>
  <si>
    <t>3星轻坦2部位</t>
  </si>
  <si>
    <t>坦克涂装-十字军</t>
  </si>
  <si>
    <t>特定部件</t>
  </si>
  <si>
    <t>3星中坦1部位</t>
  </si>
  <si>
    <t>3星中坦2部位</t>
  </si>
  <si>
    <t>坦克涂装-谢尔曼</t>
  </si>
  <si>
    <t>预注册礼包</t>
  </si>
  <si>
    <t>特殊头像</t>
  </si>
  <si>
    <t>主道具</t>
  </si>
  <si>
    <t>辅道具1</t>
  </si>
  <si>
    <t>辅道具2</t>
  </si>
  <si>
    <t>单价1</t>
  </si>
  <si>
    <t>单价2</t>
  </si>
  <si>
    <t>单价3</t>
  </si>
  <si>
    <t>价值倍数</t>
  </si>
  <si>
    <t>期望价值</t>
  </si>
  <si>
    <t>价值1</t>
  </si>
  <si>
    <t>比例1</t>
  </si>
  <si>
    <t>价值2</t>
  </si>
  <si>
    <t>比例2</t>
  </si>
  <si>
    <t>价值3</t>
  </si>
  <si>
    <t>比例3</t>
  </si>
  <si>
    <t>实际价值</t>
  </si>
  <si>
    <t>实际折扣</t>
  </si>
  <si>
    <r>
      <rPr>
        <sz val="9"/>
        <color theme="1"/>
        <rFont val="微软雅黑"/>
        <charset val="134"/>
      </rPr>
      <t>道具ID</t>
    </r>
    <r>
      <rPr>
        <sz val="9"/>
        <color theme="1"/>
        <rFont val="微软雅黑"/>
        <charset val="134"/>
      </rPr>
      <t>1</t>
    </r>
  </si>
  <si>
    <r>
      <rPr>
        <sz val="9"/>
        <color theme="1"/>
        <rFont val="微软雅黑"/>
        <charset val="134"/>
      </rPr>
      <t>道具ID</t>
    </r>
    <r>
      <rPr>
        <sz val="9"/>
        <color theme="1"/>
        <rFont val="微软雅黑"/>
        <charset val="134"/>
      </rPr>
      <t>2</t>
    </r>
  </si>
  <si>
    <r>
      <rPr>
        <sz val="9"/>
        <color theme="1"/>
        <rFont val="微软雅黑"/>
        <charset val="134"/>
      </rPr>
      <t>道具ID</t>
    </r>
    <r>
      <rPr>
        <sz val="9"/>
        <color theme="1"/>
        <rFont val="微软雅黑"/>
        <charset val="134"/>
      </rPr>
      <t>3</t>
    </r>
  </si>
  <si>
    <r>
      <rPr>
        <sz val="9"/>
        <color theme="1"/>
        <rFont val="微软雅黑"/>
        <charset val="134"/>
      </rPr>
      <t>Icon</t>
    </r>
    <r>
      <rPr>
        <sz val="9"/>
        <color theme="1"/>
        <rFont val="微软雅黑"/>
        <charset val="134"/>
      </rPr>
      <t>1</t>
    </r>
  </si>
  <si>
    <r>
      <rPr>
        <sz val="9"/>
        <color theme="1"/>
        <rFont val="微软雅黑"/>
        <charset val="134"/>
      </rPr>
      <t>Icon</t>
    </r>
    <r>
      <rPr>
        <sz val="9"/>
        <color theme="1"/>
        <rFont val="微软雅黑"/>
        <charset val="134"/>
      </rPr>
      <t>2</t>
    </r>
  </si>
  <si>
    <r>
      <rPr>
        <sz val="9"/>
        <color theme="1"/>
        <rFont val="微软雅黑"/>
        <charset val="134"/>
      </rPr>
      <t>Icon</t>
    </r>
    <r>
      <rPr>
        <sz val="9"/>
        <color theme="1"/>
        <rFont val="微软雅黑"/>
        <charset val="134"/>
      </rPr>
      <t>3</t>
    </r>
  </si>
  <si>
    <t>道具ID组</t>
  </si>
  <si>
    <t>道具数量组</t>
  </si>
  <si>
    <t>Icon组</t>
  </si>
  <si>
    <t>组分类</t>
  </si>
  <si>
    <t>GM用描述</t>
  </si>
  <si>
    <t>部件解锁节奏</t>
  </si>
  <si>
    <t>部件1</t>
  </si>
  <si>
    <t>部件2</t>
  </si>
  <si>
    <t>宝箱类别</t>
  </si>
  <si>
    <t>价值钻石</t>
  </si>
  <si>
    <t>普通宝箱</t>
  </si>
  <si>
    <t>高级宝箱</t>
  </si>
  <si>
    <t>史诗宝箱</t>
  </si>
  <si>
    <t>奖励分类</t>
  </si>
  <si>
    <t>玩家升级</t>
  </si>
  <si>
    <t>联赛积分差值</t>
  </si>
  <si>
    <t>RankLv</t>
  </si>
  <si>
    <t>积分差距</t>
  </si>
  <si>
    <t>奖励次数</t>
  </si>
  <si>
    <t>积分差值</t>
  </si>
  <si>
    <t>Rank积分</t>
  </si>
  <si>
    <t>奖牌奖励自动跳的功能,自动跳到没领奖励的地方.</t>
  </si>
  <si>
    <t>联赛积分分段奖励分值</t>
  </si>
  <si>
    <t>标准奖励价值</t>
  </si>
  <si>
    <t>奖励内容</t>
  </si>
  <si>
    <t>TableTrophyReward</t>
  </si>
  <si>
    <t>Rank分段</t>
  </si>
  <si>
    <t>分数差值</t>
  </si>
  <si>
    <t>游戏场次</t>
  </si>
  <si>
    <t>累计场次</t>
  </si>
  <si>
    <t>对应天数</t>
  </si>
  <si>
    <t>奖励价值</t>
  </si>
  <si>
    <t>调整后价值</t>
  </si>
  <si>
    <t>奖励数量</t>
  </si>
  <si>
    <t>道具ID填表</t>
  </si>
  <si>
    <t>道具数量填表</t>
  </si>
  <si>
    <t>TableRoleLevel</t>
  </si>
  <si>
    <t>战斗场次</t>
  </si>
  <si>
    <t>奖励ID</t>
  </si>
  <si>
    <t>等级奖励填表</t>
  </si>
  <si>
    <t>时间/天</t>
  </si>
  <si>
    <t>每天价值</t>
  </si>
  <si>
    <t>钻石总计</t>
  </si>
  <si>
    <t>圣诞节活动奖励</t>
  </si>
  <si>
    <t>兑换活动</t>
  </si>
  <si>
    <t>付费深度/美金</t>
  </si>
  <si>
    <t>付费深度/钻石</t>
  </si>
  <si>
    <t>预期游戏时间/天</t>
  </si>
  <si>
    <t>单天价值</t>
  </si>
  <si>
    <t>总时间</t>
  </si>
  <si>
    <t>大奖规划</t>
  </si>
  <si>
    <t>奖品名称</t>
  </si>
  <si>
    <t>投放途径</t>
  </si>
  <si>
    <t>兑换奖励</t>
  </si>
  <si>
    <t>拼图第三档</t>
  </si>
  <si>
    <t>转盘中</t>
  </si>
  <si>
    <t>转盘阶段最终奖励</t>
  </si>
  <si>
    <t>拼图最终大奖</t>
  </si>
  <si>
    <t>转盘阶段奖励</t>
  </si>
  <si>
    <t>兑换</t>
  </si>
  <si>
    <t>材料1</t>
  </si>
  <si>
    <t>材料2</t>
  </si>
  <si>
    <t>材料3</t>
  </si>
  <si>
    <t>奖励1</t>
  </si>
  <si>
    <t>奖励2</t>
  </si>
  <si>
    <t>需要时间/天</t>
  </si>
  <si>
    <t>极限总量计算</t>
  </si>
  <si>
    <t>导出配置</t>
  </si>
  <si>
    <t>战场掉落</t>
  </si>
  <si>
    <t>物品</t>
  </si>
  <si>
    <t>权重</t>
  </si>
  <si>
    <t>概率</t>
  </si>
  <si>
    <t>每天免费获取数量</t>
  </si>
  <si>
    <t>礼包内容</t>
  </si>
  <si>
    <t>礼包价格</t>
  </si>
  <si>
    <t>圣诞礼盒</t>
  </si>
  <si>
    <t>圣诞礼盒内容</t>
  </si>
  <si>
    <t>物品名称</t>
  </si>
  <si>
    <t>物品id</t>
  </si>
  <si>
    <t>计算数量</t>
  </si>
  <si>
    <t>极限花销</t>
  </si>
  <si>
    <t>拼图活动</t>
  </si>
  <si>
    <t>单次翻牌奖励</t>
  </si>
  <si>
    <t>阶段奖励</t>
  </si>
  <si>
    <t>转盘活动</t>
  </si>
  <si>
    <t>抽取价格/钻石</t>
  </si>
  <si>
    <t>轮盘内</t>
  </si>
  <si>
    <t>抽干以后</t>
  </si>
  <si>
    <t>价值计算</t>
  </si>
  <si>
    <r>
      <rPr>
        <sz val="9"/>
        <color theme="1"/>
        <rFont val="微软雅黑"/>
        <charset val="134"/>
      </rPr>
      <t>T2LP</t>
    </r>
    <r>
      <rPr>
        <sz val="9"/>
        <color theme="1"/>
        <rFont val="微软雅黑"/>
        <charset val="134"/>
      </rPr>
      <t>3</t>
    </r>
  </si>
  <si>
    <r>
      <rPr>
        <sz val="9"/>
        <color theme="1"/>
        <rFont val="微软雅黑"/>
        <charset val="134"/>
      </rPr>
      <t>T1LP</t>
    </r>
    <r>
      <rPr>
        <sz val="9"/>
        <color theme="1"/>
        <rFont val="微软雅黑"/>
        <charset val="134"/>
      </rPr>
      <t>3</t>
    </r>
  </si>
  <si>
    <t>轮盘阶段宝箱</t>
  </si>
  <si>
    <t>顺序</t>
  </si>
  <si>
    <t>累计次数</t>
  </si>
  <si>
    <t>累计价格</t>
  </si>
  <si>
    <r>
      <rPr>
        <sz val="9"/>
        <color theme="1"/>
        <rFont val="微软雅黑"/>
        <charset val="134"/>
      </rPr>
      <t>T3LP</t>
    </r>
    <r>
      <rPr>
        <sz val="9"/>
        <color theme="1"/>
        <rFont val="微软雅黑"/>
        <charset val="134"/>
      </rPr>
      <t>5</t>
    </r>
  </si>
  <si>
    <t>免费Pass</t>
  </si>
  <si>
    <t>付费Pass</t>
  </si>
  <si>
    <t>奖励内容汇总</t>
  </si>
  <si>
    <t>奖励配置内容</t>
  </si>
  <si>
    <t>赛季等级</t>
  </si>
  <si>
    <t>赛季序号</t>
  </si>
  <si>
    <t>物品数量</t>
  </si>
  <si>
    <t>阶段总价</t>
  </si>
  <si>
    <t>道具估值</t>
  </si>
  <si>
    <t>是否使用</t>
  </si>
  <si>
    <t>普通奖励</t>
  </si>
  <si>
    <t>特殊奖励</t>
  </si>
  <si>
    <t>头像</t>
  </si>
  <si>
    <t>免费Pass总价</t>
  </si>
  <si>
    <t>付费Pass总价</t>
  </si>
  <si>
    <t>整体Pass总价</t>
  </si>
  <si>
    <t>首周进度</t>
  </si>
  <si>
    <t>首周总价</t>
  </si>
  <si>
    <t>首周占比</t>
  </si>
  <si>
    <t>涂鸦</t>
  </si>
  <si>
    <t>个数总量统计</t>
  </si>
  <si>
    <t>总投放数</t>
  </si>
  <si>
    <t>免费投放数</t>
  </si>
  <si>
    <t>总数</t>
  </si>
  <si>
    <t>头像框</t>
  </si>
  <si>
    <t>摆件</t>
  </si>
  <si>
    <t>战旗</t>
  </si>
  <si>
    <t>涂装</t>
  </si>
  <si>
    <t>流光</t>
  </si>
  <si>
    <t>加速</t>
  </si>
  <si>
    <t>宝箱</t>
  </si>
  <si>
    <t>分类价值统计</t>
  </si>
  <si>
    <t/>
  </si>
  <si>
    <t>外观向</t>
  </si>
  <si>
    <t>非外观向</t>
  </si>
  <si>
    <t>S2豪华版额外奖励</t>
  </si>
  <si>
    <t>S1豪华版额外奖励</t>
  </si>
  <si>
    <t>所有总数</t>
  </si>
  <si>
    <t>赛季</t>
  </si>
  <si>
    <t>任务描述</t>
  </si>
  <si>
    <t>任务名称</t>
  </si>
  <si>
    <t>周序号</t>
  </si>
  <si>
    <t>任务参数（client）</t>
  </si>
  <si>
    <t>任务条件系数</t>
  </si>
  <si>
    <t>任务判断次数</t>
  </si>
  <si>
    <t>卡类型</t>
  </si>
  <si>
    <t>任务名称Key</t>
  </si>
  <si>
    <t>任务描述Key</t>
  </si>
  <si>
    <t>任务名</t>
  </si>
  <si>
    <t>回调方法</t>
  </si>
  <si>
    <t>任务类型(0:待定;1:参数战斗;2:击毁敌方坦克;3:敌方部件;4:获得空降道具;5:获得坦克;6:坦克升星;7:部件科技树升级;8::部件升星;9:军团捐献;10:获得宝箱;11:打开宝箱;12:战斗消耗道具待开发);13:聊天14:使用道具;15:获得物品;16:组队;17:购买物品</t>
  </si>
  <si>
    <t>参数抽取</t>
  </si>
  <si>
    <t>任务奖励</t>
  </si>
  <si>
    <t>奖励填表</t>
  </si>
  <si>
    <t>计算完成天数</t>
  </si>
  <si>
    <t>任务个数统计</t>
  </si>
  <si>
    <t>经验获取进度</t>
  </si>
  <si>
    <t>任务类型</t>
  </si>
  <si>
    <t>参数类型</t>
  </si>
  <si>
    <t>难度参数</t>
  </si>
  <si>
    <t>单场参数换算</t>
  </si>
  <si>
    <t>单场时间/分钟</t>
  </si>
  <si>
    <t>任务次数奖励</t>
  </si>
  <si>
    <t>个数</t>
  </si>
  <si>
    <t>免费个数</t>
  </si>
  <si>
    <t>天序号</t>
  </si>
  <si>
    <t>周天序号</t>
  </si>
  <si>
    <t>周进度</t>
  </si>
  <si>
    <t>总进度</t>
  </si>
  <si>
    <t>总进度（包含战场掉落和任务和周任务）</t>
  </si>
  <si>
    <t>每天平均游戏时间/分钟</t>
  </si>
  <si>
    <t>需要经验</t>
  </si>
  <si>
    <t>免费等级</t>
  </si>
  <si>
    <t>付费等级</t>
  </si>
  <si>
    <t>#{number1}分钟内获得胜利</t>
  </si>
  <si>
    <t>疾风闪电</t>
  </si>
  <si>
    <t>[(4,180)]</t>
  </si>
  <si>
    <t>BP_MISSION_NAME_BATTLE_WIN7</t>
  </si>
  <si>
    <t>BP_MISSION_BATTLE_WIN7</t>
  </si>
  <si>
    <t>RoleWinBattleWithSecondEvent</t>
  </si>
  <si>
    <t>dealRoleWinBattleWithSecondEvent</t>
  </si>
  <si>
    <t>累计击杀#{number1}辆坦克</t>
  </si>
  <si>
    <t>单场</t>
  </si>
  <si>
    <t>掉落概率</t>
  </si>
  <si>
    <t>部件升级#{number1}次</t>
  </si>
  <si>
    <t>潜心科研</t>
  </si>
  <si>
    <t>[6]</t>
  </si>
  <si>
    <t>[]</t>
  </si>
  <si>
    <t>BP_MISSION_NAME_STRONGER_UPGRADE</t>
  </si>
  <si>
    <t>BP_MISSION_STRONGER_UPGRADE</t>
  </si>
  <si>
    <t>RoleTankPartUpgradeEvent</t>
  </si>
  <si>
    <t>dealRoleTankPartUpgradeEvent</t>
  </si>
  <si>
    <t>持有至少#{number1}个补给箱的情况下获得胜利</t>
  </si>
  <si>
    <t>多天</t>
  </si>
  <si>
    <t>场均击杀</t>
  </si>
  <si>
    <t>胸有成竹</t>
  </si>
  <si>
    <t>[4]</t>
  </si>
  <si>
    <t>[(1,1024),(1,8192),(6,4)]</t>
  </si>
  <si>
    <t>BP_MISSION_NAME_BATTLE_WIN6</t>
  </si>
  <si>
    <t>BP_MISSION_BATTLE_WIN6</t>
  </si>
  <si>
    <t>RoleWinBattleWithPropEvent</t>
  </si>
  <si>
    <t>dealRoleWinBattleWithPropEvent</t>
  </si>
  <si>
    <t>组队完成#{number1}战斗</t>
  </si>
  <si>
    <t>单天</t>
  </si>
  <si>
    <t>每天获得经验值</t>
  </si>
  <si>
    <t>摧毁同一敌方玩家的坦克#{number1}次</t>
  </si>
  <si>
    <t>什么仇什么怨</t>
  </si>
  <si>
    <t>[(10,2)]</t>
  </si>
  <si>
    <t>BP_MISSION_NAME_BATTLE_KILL6</t>
  </si>
  <si>
    <t>BP_MISSION_BATTLE_KILL6</t>
  </si>
  <si>
    <t>RoleDestorySameTankEvent</t>
  </si>
  <si>
    <t>dealRoleDestorySameTankEvent</t>
  </si>
  <si>
    <t>获得#{number1}次冠军</t>
  </si>
  <si>
    <t>多场</t>
  </si>
  <si>
    <t>获得#{number1}场胜利</t>
  </si>
  <si>
    <t>心满意足</t>
  </si>
  <si>
    <t>[10]</t>
  </si>
  <si>
    <t>BP_MISSION_NAME_BATTLE_WIN3</t>
  </si>
  <si>
    <t>BP_MISSION_BATTLE_WIN3</t>
  </si>
  <si>
    <t>RoleWinBattleEvent</t>
  </si>
  <si>
    <t>dealRoleWinBattleEvent</t>
  </si>
  <si>
    <t>主宰</t>
  </si>
  <si>
    <t>BP_MISSION_NAME_BATTLE_CHAMPION</t>
  </si>
  <si>
    <t>BP_MISSION_BATTLE_CHAMPION</t>
  </si>
  <si>
    <t>RoleMVPInBattleEvent</t>
  </si>
  <si>
    <t>dealRoleMVPInBattleEvent</t>
  </si>
  <si>
    <t>击碎#{number1}个障碍物</t>
  </si>
  <si>
    <t>别挡路</t>
  </si>
  <si>
    <t>[30]</t>
  </si>
  <si>
    <t>BP_MISSION_NAME_BATTLE_KILL2</t>
  </si>
  <si>
    <t>BP_MISSION_BATTLE_KILL2</t>
  </si>
  <si>
    <t>RoleDestoryActorEvent</t>
  </si>
  <si>
    <t>dealRoleDestoryActorEvent</t>
  </si>
  <si>
    <t>横扫四方</t>
  </si>
  <si>
    <t>BP_MISSION_NAME_BATTLE_KILL</t>
  </si>
  <si>
    <t>BP_MISSION_BATTLE_KILL</t>
  </si>
  <si>
    <t>RoleDestoryTankEvent</t>
  </si>
  <si>
    <t>dealRoleDestoryTankEvent</t>
  </si>
  <si>
    <t>使用#{number1}次加速器</t>
  </si>
  <si>
    <t>世界频道聊天#{number1}次</t>
  </si>
  <si>
    <t>名扬四海</t>
  </si>
  <si>
    <t>BP_MISSION_NAME_SOCIAL_CHAT</t>
  </si>
  <si>
    <t>BP_MISSION_SOCIAL_CHAT</t>
  </si>
  <si>
    <t>RoleWorldChatEvent</t>
  </si>
  <si>
    <t>dealRoleWorldChatEvent</t>
  </si>
  <si>
    <t>在任意据点内获得#{number1}个击杀</t>
  </si>
  <si>
    <t>用主动技能摧毁#{number1}辆坦克</t>
  </si>
  <si>
    <t>摧枯拉朽</t>
  </si>
  <si>
    <t>BP_MISSION_NAME_BATTLE_KILL4</t>
  </si>
  <si>
    <t>BP_MISSION_BATTLE_KILL4</t>
  </si>
  <si>
    <t>RoleDestoryTankUseSkillEvent</t>
  </si>
  <si>
    <t>dealRoleDestoryTankUseSkillEvent</t>
  </si>
  <si>
    <t>#{number1}码范围外摧毁#{number2}辆坦克</t>
  </si>
  <si>
    <t>百步穿杨</t>
  </si>
  <si>
    <t>[30,5]</t>
  </si>
  <si>
    <t>[(5,30)]</t>
  </si>
  <si>
    <t>BP_MISSION_NAME_BATTLE_KILL8</t>
  </si>
  <si>
    <t>BP_MISSION_BATTLE_KILL8</t>
  </si>
  <si>
    <t>RoleDestoryTankWithDistanceEvent</t>
  </si>
  <si>
    <t>dealRoleDestoryTankWithDistanceEvent</t>
  </si>
  <si>
    <t>参与夺回#{number1}次据点</t>
  </si>
  <si>
    <t>这是我的据点</t>
  </si>
  <si>
    <t>[(1,32)]</t>
  </si>
  <si>
    <t>BP_MISSION_NAME_BATTLE_LOOT</t>
  </si>
  <si>
    <t>BP_MISSION_BATTLE_LOOT</t>
  </si>
  <si>
    <t>RoleOccupyResourceNodeFromEnemyEvent</t>
  </si>
  <si>
    <t>dealRoleOccupyResourceNodeFromEnemyEvent</t>
  </si>
  <si>
    <t>在敌方坦克加速时将其摧毁</t>
  </si>
  <si>
    <t>持有至少#{number1}个补给箱的情况下摧毁#{number2}辆坦克</t>
  </si>
  <si>
    <t>越战越勇</t>
  </si>
  <si>
    <t>[(1,1024),(1,8192),(6,5)]</t>
  </si>
  <si>
    <t>BP_MISSION_NAME_BATTLE_KILL7</t>
  </si>
  <si>
    <t>BP_MISSION__BATTLE_KILL7</t>
  </si>
  <si>
    <t>RoleDestoryTankWithPropEvent</t>
  </si>
  <si>
    <t>dealRoleDestoryTankWithPropEvent</t>
  </si>
  <si>
    <t>获得#{number1}把钥匙</t>
  </si>
  <si>
    <t>金光灿灿</t>
  </si>
  <si>
    <t>BP_MISSION_NAME_PICK_GET</t>
  </si>
  <si>
    <t>BP_MISSION_PICK_GET</t>
  </si>
  <si>
    <t>RoleEarnKeyEvent</t>
  </si>
  <si>
    <t>dealRoleEarnKeyEvent</t>
  </si>
  <si>
    <t>在资源落后#{number1}点的情况反超并获胜</t>
  </si>
  <si>
    <t>[15]</t>
  </si>
  <si>
    <t>在一个据点内持续生存#{number1}秒</t>
  </si>
  <si>
    <t>时光沙漏</t>
  </si>
  <si>
    <t>BP_MISSION_NAME_STRONGER_UPGRADE3</t>
  </si>
  <si>
    <t>BP_MISSION_STRONGER_UPGRADE3</t>
  </si>
  <si>
    <t>RoleTankPartAccelerateUpgradeEvent</t>
  </si>
  <si>
    <t>dealRoleTankPartAccelerateUpgradeEvent</t>
  </si>
  <si>
    <t>提升#{number1}次联赛等级</t>
  </si>
  <si>
    <t>统御全场</t>
  </si>
  <si>
    <t>[(1,32),(10,3)]</t>
  </si>
  <si>
    <t>BP_MISSION_NAME_BATTLE_KILL3</t>
  </si>
  <si>
    <t>BP_MISSION_BATTLE_KILL3</t>
  </si>
  <si>
    <t>RoleDestoryTankWithEveryResourceNodeEvent</t>
  </si>
  <si>
    <t>dealRoleDestoryTankWithEveryResourceNodeEvent</t>
  </si>
  <si>
    <t>在商店内累计购买#{number1}次物品</t>
  </si>
  <si>
    <t>采购</t>
  </si>
  <si>
    <t>BP_MISSION_NAME_STORE_BUY</t>
  </si>
  <si>
    <t>BP_MISSIONSTORE_BUY</t>
  </si>
  <si>
    <t>RolePurchaseTimesEvent</t>
  </si>
  <si>
    <t>dealRolePurchaseTimesEvent</t>
  </si>
  <si>
    <t>密切合作</t>
  </si>
  <si>
    <t>BP_MISSION_NAME_BATTLE_FRIEND</t>
  </si>
  <si>
    <t>BP_MISSION_BATTLE_FRIEND</t>
  </si>
  <si>
    <t>在所有据点都占据的情况下获得胜利</t>
  </si>
  <si>
    <t>部件进阶#{number1}次</t>
  </si>
  <si>
    <t>技术改革</t>
  </si>
  <si>
    <t>BP_MISSION_NAME_STRONGER_UPGRADE1</t>
  </si>
  <si>
    <t>BP_MISSION_STRONGER_UPGRADE1</t>
  </si>
  <si>
    <t>RoleTankPartStageUpgradeEvent</t>
  </si>
  <si>
    <t>dealRoleTankPartStageUpgradeEvent</t>
  </si>
  <si>
    <t>[(1,1024),(1,8192),(6,6)]</t>
  </si>
  <si>
    <t>[25]</t>
  </si>
  <si>
    <t>[80]</t>
  </si>
  <si>
    <t>以#{number1}点或更小的资源优势获胜</t>
  </si>
  <si>
    <t>累计开启宝箱#{number1}次</t>
  </si>
  <si>
    <t>宝箱，我的最爱</t>
  </si>
  <si>
    <t>BP_MISSION_NAME_STRONGER_OPEN</t>
  </si>
  <si>
    <t>BP_MISSION_STRONGER_OPEN</t>
  </si>
  <si>
    <t>RoleOpenChestEvent</t>
  </si>
  <si>
    <t>dealRoleOpenChestEvent</t>
  </si>
  <si>
    <t>在敌方队伍补给箱达到#{number1}以上后获得胜利</t>
  </si>
  <si>
    <t>累计消耗#{number1}军费</t>
  </si>
  <si>
    <t>临阵磨枪</t>
  </si>
  <si>
    <t>[20000]</t>
  </si>
  <si>
    <t>BP_MISSION_NAME_STRONGER_UPGRADE4</t>
  </si>
  <si>
    <t>BP_MISSION_STRONGER_UPGRADE4</t>
  </si>
  <si>
    <t>RoleCostFundEvent</t>
  </si>
  <si>
    <t>dealRoleCostFundEvent</t>
  </si>
  <si>
    <t>连续登陆#{number1}天</t>
  </si>
  <si>
    <t>抢夺敌方#{number1}个补给箱</t>
  </si>
  <si>
    <t>劫掠成性</t>
  </si>
  <si>
    <t>[(1,1024),(1,8192)]</t>
  </si>
  <si>
    <t>BP_MISSION_NAME_BATTLE_SUPPLY1</t>
  </si>
  <si>
    <t>BP_MISSION_BATTLE_SUPPLY1</t>
  </si>
  <si>
    <t>RolePickupItemEnemyEvent</t>
  </si>
  <si>
    <t>dealRolePickupItemEnemyEvent</t>
  </si>
  <si>
    <t>拿到#{number1}个补给箱</t>
  </si>
  <si>
    <t>在空投掉落区域内摧毁#{number1}辆坦克</t>
  </si>
  <si>
    <t>加速死亡?</t>
  </si>
  <si>
    <t>BP_MISSION_NAME_BATTLE_KILL5</t>
  </si>
  <si>
    <t>BP_MISSION_BATTLE_KILL5</t>
  </si>
  <si>
    <t>RoleDestoryTankStateSkillChargeEvent</t>
  </si>
  <si>
    <t>dealRoleDestoryTankStateSkillChargeEvent</t>
  </si>
  <si>
    <t>累计消耗#{number1}钻石</t>
  </si>
  <si>
    <t>[30,15]</t>
  </si>
  <si>
    <t>[5]</t>
  </si>
  <si>
    <t>获得#{number1}件旗帜</t>
  </si>
  <si>
    <t>挥金如土</t>
  </si>
  <si>
    <t>[500]</t>
  </si>
  <si>
    <t>BP_MISSION_NAME_BATTLE_BUY1</t>
  </si>
  <si>
    <t>BP_MISSION_BATTLE_BUY1</t>
  </si>
  <si>
    <t>RoleCostDiamondEvent</t>
  </si>
  <si>
    <t>dealRoleCostDiamondEvent</t>
  </si>
  <si>
    <t>连续登陆</t>
  </si>
  <si>
    <t>BP_MISSION_NAME_LOGIN_CONTINUOUS</t>
  </si>
  <si>
    <t>BP_MISSION_LOGIN_CONTINUOUS</t>
  </si>
  <si>
    <t>RoleContinueLoginDayEvent</t>
  </si>
  <si>
    <t>dealRoleContinueLoginDayEvent</t>
  </si>
  <si>
    <t>固若金汤</t>
  </si>
  <si>
    <t>[75]</t>
  </si>
  <si>
    <t>[(1,32),(3,75)]</t>
  </si>
  <si>
    <t>BP_MISSION_NAME_BATTLE_ALIVE</t>
  </si>
  <si>
    <t>BP_MISSION_BATTLE_ALIVE</t>
  </si>
  <si>
    <t>RoleAliveInResourceNodeEvent</t>
  </si>
  <si>
    <t>dealRoleAliveInResourceNodeEvent</t>
  </si>
  <si>
    <t>[8]</t>
  </si>
  <si>
    <t>登堂入室</t>
  </si>
  <si>
    <t>[1]</t>
  </si>
  <si>
    <t>BP_MISSION_NAME_STRONGER_UPGRADE2</t>
  </si>
  <si>
    <t>BP_MISSION_STRONGER_UPGRADE2</t>
  </si>
  <si>
    <t>RoleRankLevelupEvent</t>
  </si>
  <si>
    <t>dealRoleRankLevelupEvent</t>
  </si>
  <si>
    <t>[20]</t>
  </si>
  <si>
    <t>[5,10]</t>
  </si>
  <si>
    <t>毫不浪费</t>
  </si>
  <si>
    <t>BP_MISSION_NAME_BATTLE_WIN1</t>
  </si>
  <si>
    <t>BP_MISSION_BATTLE_WIN1</t>
  </si>
  <si>
    <t>RoleWinBattleWithResourceNodeEvent</t>
  </si>
  <si>
    <t>dealRoleWinBattleWithResourceNodeEvent</t>
  </si>
  <si>
    <t>不要以为你赢了</t>
  </si>
  <si>
    <t>[(1,32),(7,50)]</t>
  </si>
  <si>
    <t>BP_MISSION_NAME_BATTLE_WIN5</t>
  </si>
  <si>
    <t>BP_MISSION_BATTLE_WIN5</t>
  </si>
  <si>
    <t>RoleWinBattleWithMaxDifferenceEvent</t>
  </si>
  <si>
    <t>dealRoleWinBattleWithMaxDifferenceEvent</t>
  </si>
  <si>
    <t>补给爱好者</t>
  </si>
  <si>
    <t>BP_MISSION_NAME_BATTLE_SUPPLY</t>
  </si>
  <si>
    <t>BP_MISSION_BATTLE_SUPPLY</t>
  </si>
  <si>
    <t>RolePickupItemEvent</t>
  </si>
  <si>
    <t>dealRolePickupItemEvent</t>
  </si>
  <si>
    <t>BP_MISSION_NAME_SOCIAL_FRIEND</t>
  </si>
  <si>
    <t>BP_MISSION_SOCIAL_FRIEND</t>
  </si>
  <si>
    <t>旗鼓相当</t>
  </si>
  <si>
    <t>[(1,32),(8,10)]</t>
  </si>
  <si>
    <t>BP_MISSION_NAME_BATTLE_WIN4</t>
  </si>
  <si>
    <t>BP_MISSION_BATTLE_WIN4</t>
  </si>
  <si>
    <t>RoleWinBattleWithDifferenceEvent</t>
  </si>
  <si>
    <t>dealRoleWinBattleWithDifferenceEvent</t>
  </si>
  <si>
    <t>死亡呼吸</t>
  </si>
  <si>
    <t>[(1,1024),(1,8192),(6,20)]</t>
  </si>
  <si>
    <t>BP_MISSION_NAME_BATTLE_WIN</t>
  </si>
  <si>
    <t>BP_MISSION_BATTLE_WIN</t>
  </si>
  <si>
    <t>RoleWinBattleWithEnemyPropEvent</t>
  </si>
  <si>
    <t>dealRoleWinBattleWithEnemyPropEvent</t>
  </si>
  <si>
    <t>我拿补给，你吃炮弹</t>
  </si>
  <si>
    <t>BP_MISSION_NAME_BATTLE_KILL1</t>
  </si>
  <si>
    <t>RoleDestoryTankInDropZoneEvent</t>
  </si>
  <si>
    <t>dealRoleDestoryTankInDropZoneEvent</t>
  </si>
  <si>
    <t>[1000]</t>
  </si>
  <si>
    <t>[(10,3)]</t>
  </si>
  <si>
    <t>旗帜收集狂</t>
  </si>
  <si>
    <t>BP_MISSION_NAME_DECORATION_FLAG</t>
  </si>
  <si>
    <t>BP_MISSION_DECORATION_FLAG</t>
  </si>
  <si>
    <t>RoleEarnBattleFlagEvent</t>
  </si>
  <si>
    <t>dealRoleEarnBattleFlagEvent</t>
  </si>
  <si>
    <t>[2000]</t>
  </si>
  <si>
    <t>[5000]</t>
  </si>
  <si>
    <t>[300]</t>
  </si>
  <si>
    <t>[(1,32),(8,20)]</t>
  </si>
  <si>
    <t>[(1,1024),(1,8192),(6,10)]</t>
  </si>
  <si>
    <t>成就详情</t>
  </si>
  <si>
    <t>成就参数-计算</t>
  </si>
  <si>
    <t>成就参数-微调</t>
  </si>
  <si>
    <t>成就参数-取整</t>
  </si>
  <si>
    <t>奖励物品ID</t>
  </si>
  <si>
    <t>奖励物品数目</t>
  </si>
  <si>
    <t>填表</t>
  </si>
  <si>
    <t>是否开启</t>
  </si>
  <si>
    <t>成就类型</t>
  </si>
  <si>
    <t>成就阶段</t>
  </si>
  <si>
    <t>成就难度</t>
  </si>
  <si>
    <t>计算完成时间/天</t>
  </si>
  <si>
    <t>预期完成时间/天</t>
  </si>
  <si>
    <t>对应积分</t>
  </si>
  <si>
    <t>是否开启填表</t>
  </si>
  <si>
    <t>积分奖励</t>
  </si>
  <si>
    <t>对应时间</t>
  </si>
  <si>
    <t>积分取整</t>
  </si>
  <si>
    <t>计算参数</t>
  </si>
  <si>
    <t>累积击毁#{number1}辆坦克</t>
  </si>
  <si>
    <t>[101]</t>
  </si>
  <si>
    <t>总奖励</t>
  </si>
  <si>
    <t>类型描述</t>
  </si>
  <si>
    <t>难度设定</t>
  </si>
  <si>
    <t>参数值</t>
  </si>
  <si>
    <t>类型查找用</t>
  </si>
  <si>
    <t>总完成时间</t>
  </si>
  <si>
    <t>每天钻石</t>
  </si>
  <si>
    <t>获得#{number1}次MVP</t>
  </si>
  <si>
    <t>获得#{number1}次比赛胜利</t>
  </si>
  <si>
    <t>取得#{number1}个补给箱</t>
  </si>
  <si>
    <t>难度和奖励</t>
  </si>
  <si>
    <t>难度</t>
  </si>
  <si>
    <t>破坏#{number1}个障碍物</t>
  </si>
  <si>
    <t>难度和完成天数</t>
  </si>
  <si>
    <t>组合字段</t>
  </si>
  <si>
    <t>使用轻坦完成#{number1}场比赛</t>
  </si>
  <si>
    <t>使用中坦完成#{number1}场比赛</t>
  </si>
  <si>
    <t>使用重坦完成#{number1}场比赛</t>
  </si>
  <si>
    <t>参与占领#{number1}次据点</t>
  </si>
  <si>
    <t>利用油桶击毁#{number1}次敌人</t>
  </si>
  <si>
    <t>被油桶炸毁#{number1}次</t>
  </si>
  <si>
    <t>累积行驶#{number1}米</t>
  </si>
  <si>
    <t>撞毁敌方坦克#{number1}次</t>
  </si>
  <si>
    <t>拥有#{number1}辆轻坦</t>
  </si>
  <si>
    <t>拥有#{number1}辆中坦</t>
  </si>
  <si>
    <t>拥有#{number1}辆重坦</t>
  </si>
  <si>
    <t>拥有#{number1}辆三星坦克</t>
  </si>
  <si>
    <t>拥有#{number1}辆四星坦克</t>
  </si>
  <si>
    <t>拥有#{number1}辆五星坦克</t>
  </si>
  <si>
    <t>拥有#{number1}辆六星坦克</t>
  </si>
  <si>
    <t>拥有#{number1}辆T1坦克</t>
  </si>
  <si>
    <t>拥有#{number1}辆T2坦克</t>
  </si>
  <si>
    <t>拥有#{number1}辆T3坦克</t>
  </si>
  <si>
    <t>拥有#{number1}辆T4坦克</t>
  </si>
  <si>
    <t>拥有#{number1}个坦克皮肤</t>
  </si>
  <si>
    <t>拥有#{number1}个摆件</t>
  </si>
  <si>
    <t>上阵坦克战力达到#{number1}</t>
  </si>
  <si>
    <t>玩家排行榜进入前#{number1}名</t>
  </si>
  <si>
    <t>军团排行榜进入前#{number1}名</t>
  </si>
  <si>
    <t>参与#{number1}试验场</t>
  </si>
  <si>
    <t>每日活跃度</t>
  </si>
  <si>
    <t>登陆游戏（每日登陆）新增</t>
  </si>
  <si>
    <t>活跃度价值</t>
  </si>
  <si>
    <t>打开1个宝箱（寻宝）</t>
  </si>
  <si>
    <t>活跃度产出</t>
  </si>
  <si>
    <t>使用任意坦克参与3场战斗（参军）</t>
  </si>
  <si>
    <t>平均钻石</t>
  </si>
  <si>
    <t>使用任意坦克赢得3场战斗(制胜)</t>
  </si>
  <si>
    <t>平均军费</t>
  </si>
  <si>
    <t>任意单场比赛中击毁2辆敌方坦克（战士）</t>
  </si>
  <si>
    <t>活跃度/钻石</t>
  </si>
  <si>
    <t>任意模式累计击毁5辆敌方坦克 (毁灭者）</t>
  </si>
  <si>
    <t>每日任务数</t>
  </si>
  <si>
    <t>使用任意主动技能摧毁5辆坦克（科技战）新增</t>
  </si>
  <si>
    <t>摧毁10个障碍物（击碎障碍）新增</t>
  </si>
  <si>
    <t>任务活跃度设定</t>
  </si>
  <si>
    <t>奖励系数</t>
  </si>
  <si>
    <t>占领5次据点（占领）新增</t>
  </si>
  <si>
    <t>活跃度1</t>
  </si>
  <si>
    <t>活跃度2</t>
  </si>
  <si>
    <t>活跃度3</t>
  </si>
  <si>
    <t>总活跃度</t>
  </si>
  <si>
    <t>奖励系数1</t>
  </si>
  <si>
    <t>奖励系数2</t>
  </si>
  <si>
    <t>奖励系数3</t>
  </si>
  <si>
    <t>拾取20个补给箱（争夺）新增</t>
  </si>
  <si>
    <t>签到</t>
  </si>
  <si>
    <t>获得一次MVP（冠军）新增</t>
  </si>
  <si>
    <t>低时长</t>
  </si>
  <si>
    <t>累积在线时长20分钟（训练）新增</t>
  </si>
  <si>
    <t>中时长</t>
  </si>
  <si>
    <t>获得30把钥匙（金灿灿）新增</t>
  </si>
  <si>
    <t>高时长</t>
  </si>
  <si>
    <t>与好友组队完成1次比赛（开黑时光）新增</t>
  </si>
  <si>
    <t>对任意坦克部件升级1次（升级部件）</t>
  </si>
  <si>
    <t>宝箱对应活跃度</t>
  </si>
  <si>
    <t>收集10个任意坦克碎片（提升实力）新增</t>
  </si>
  <si>
    <t>宝箱类型</t>
  </si>
  <si>
    <t>标准时长</t>
  </si>
  <si>
    <t>组合中数目</t>
  </si>
  <si>
    <t>需活跃度</t>
  </si>
  <si>
    <t>宝箱价值</t>
  </si>
  <si>
    <t>掉落钻石</t>
  </si>
  <si>
    <t>任务日活跃度</t>
  </si>
  <si>
    <t>其他奖励</t>
  </si>
  <si>
    <t>组合序列</t>
  </si>
  <si>
    <t>宝箱位置1</t>
  </si>
  <si>
    <t>宝箱位置2</t>
  </si>
  <si>
    <t>宝箱位置3</t>
  </si>
  <si>
    <t>宝箱位置4</t>
  </si>
  <si>
    <t>宝箱位置5</t>
  </si>
  <si>
    <t>宝箱位置6</t>
  </si>
  <si>
    <t>宝箱位置7</t>
  </si>
  <si>
    <t>宝箱位置8</t>
  </si>
  <si>
    <t>宝箱位置9</t>
  </si>
  <si>
    <t>宝箱位置10</t>
  </si>
  <si>
    <t>宝箱位置11</t>
  </si>
  <si>
    <t>宝箱位置12</t>
  </si>
  <si>
    <t>宝箱位置13</t>
  </si>
  <si>
    <t>宝箱位置14</t>
  </si>
  <si>
    <t>宝箱位置15</t>
  </si>
  <si>
    <t>周活跃点数</t>
  </si>
  <si>
    <r>
      <rPr>
        <sz val="9"/>
        <color theme="1"/>
        <rFont val="微软雅黑"/>
        <charset val="134"/>
      </rPr>
      <t>[</t>
    </r>
    <r>
      <rPr>
        <sz val="9"/>
        <color theme="1"/>
        <rFont val="微软雅黑"/>
        <charset val="134"/>
      </rPr>
      <t>102,101,40005]</t>
    </r>
  </si>
  <si>
    <r>
      <rPr>
        <sz val="9"/>
        <color theme="1"/>
        <rFont val="微软雅黑"/>
        <charset val="134"/>
      </rPr>
      <t>[</t>
    </r>
    <r>
      <rPr>
        <sz val="9"/>
        <color theme="1"/>
        <rFont val="微软雅黑"/>
        <charset val="134"/>
      </rPr>
      <t>10000,50,1]</t>
    </r>
  </si>
  <si>
    <t>初始序列</t>
  </si>
  <si>
    <t>任务ID</t>
  </si>
  <si>
    <t>任务难度</t>
  </si>
  <si>
    <t>需求内容</t>
  </si>
  <si>
    <t>最低要求</t>
  </si>
  <si>
    <t>居中要求</t>
  </si>
  <si>
    <t>最高要求</t>
  </si>
  <si>
    <t>军费1</t>
  </si>
  <si>
    <t>军费2</t>
  </si>
  <si>
    <t>军费3</t>
  </si>
  <si>
    <t>活跃值1</t>
  </si>
  <si>
    <t>活跃值2</t>
  </si>
  <si>
    <t>活跃值3</t>
  </si>
  <si>
    <t>完成战斗</t>
  </si>
  <si>
    <t>易</t>
  </si>
  <si>
    <t>场次</t>
  </si>
  <si>
    <t>赢得战斗</t>
  </si>
  <si>
    <t>单场击毁</t>
  </si>
  <si>
    <t>难</t>
  </si>
  <si>
    <t>累计击毁</t>
  </si>
  <si>
    <t>打开宝箱</t>
  </si>
  <si>
    <t>消费</t>
  </si>
  <si>
    <t>拾取道具</t>
  </si>
  <si>
    <t>宝箱分类及产出内容</t>
  </si>
  <si>
    <t>产出定位</t>
  </si>
  <si>
    <t>内容价值分配比例</t>
  </si>
  <si>
    <t>以价值为衡量标准,则不同箱子中各部分占的价值比例应该性价比越高的箱子适用物品占比越大,至少相同.</t>
  </si>
  <si>
    <t>抽取价值</t>
  </si>
  <si>
    <t>目标玩家</t>
  </si>
  <si>
    <t>产出倾向</t>
  </si>
  <si>
    <t>坦克比例</t>
  </si>
  <si>
    <t>所有玩家</t>
  </si>
  <si>
    <t>平均产出</t>
  </si>
  <si>
    <t>免费玩家</t>
  </si>
  <si>
    <t>低一级产出</t>
  </si>
  <si>
    <t>出售宝箱1</t>
  </si>
  <si>
    <t>付费玩家</t>
  </si>
  <si>
    <t>倾向高级</t>
  </si>
  <si>
    <t>出售宝箱2</t>
  </si>
  <si>
    <t>出售宝箱3</t>
  </si>
  <si>
    <t>礼包分类</t>
  </si>
  <si>
    <t>部件数量</t>
  </si>
  <si>
    <t>道具个数</t>
  </si>
  <si>
    <r>
      <rPr>
        <sz val="9"/>
        <color theme="1"/>
        <rFont val="微软雅黑"/>
        <charset val="134"/>
      </rPr>
      <t>T</t>
    </r>
    <r>
      <rPr>
        <sz val="9"/>
        <color theme="1"/>
        <rFont val="微软雅黑"/>
        <charset val="134"/>
      </rPr>
      <t>2</t>
    </r>
    <r>
      <rPr>
        <sz val="9"/>
        <color theme="1"/>
        <rFont val="微软雅黑"/>
        <charset val="134"/>
      </rPr>
      <t>部件</t>
    </r>
  </si>
  <si>
    <r>
      <rPr>
        <sz val="9"/>
        <color theme="1"/>
        <rFont val="微软雅黑"/>
        <charset val="134"/>
      </rPr>
      <t>T3</t>
    </r>
    <r>
      <rPr>
        <sz val="9"/>
        <color theme="1"/>
        <rFont val="微软雅黑"/>
        <charset val="134"/>
      </rPr>
      <t>部件</t>
    </r>
  </si>
  <si>
    <r>
      <rPr>
        <sz val="9"/>
        <color theme="1"/>
        <rFont val="微软雅黑"/>
        <charset val="134"/>
      </rPr>
      <t>T4</t>
    </r>
    <r>
      <rPr>
        <sz val="9"/>
        <color theme="1"/>
        <rFont val="微软雅黑"/>
        <charset val="134"/>
      </rPr>
      <t>部件</t>
    </r>
  </si>
  <si>
    <t>碎片Tier</t>
  </si>
  <si>
    <t>碎片数量</t>
  </si>
  <si>
    <t>宝箱售卖节奏</t>
  </si>
  <si>
    <t>出售宝箱4</t>
  </si>
  <si>
    <t>出售宝箱5</t>
  </si>
  <si>
    <t>消耗比例</t>
  </si>
  <si>
    <t>每日宝箱</t>
  </si>
  <si>
    <t>宝箱分类</t>
  </si>
  <si>
    <t>总计比例</t>
  </si>
  <si>
    <t>M道具种类</t>
  </si>
  <si>
    <t>标准比例</t>
  </si>
  <si>
    <t>碎片+整体</t>
  </si>
  <si>
    <t>只有碎片</t>
  </si>
  <si>
    <t>对应大类</t>
  </si>
  <si>
    <t>调整比例</t>
  </si>
  <si>
    <t>宝箱活动</t>
  </si>
  <si>
    <t>必定掉落</t>
  </si>
  <si>
    <t>原掉落id</t>
  </si>
  <si>
    <t>新掉落id</t>
  </si>
  <si>
    <r>
      <rPr>
        <sz val="9"/>
        <color theme="1"/>
        <rFont val="微软雅黑"/>
        <charset val="134"/>
      </rPr>
      <t>T</t>
    </r>
    <r>
      <rPr>
        <sz val="9"/>
        <color theme="1"/>
        <rFont val="微软雅黑"/>
        <charset val="134"/>
      </rPr>
      <t>3-S坦克</t>
    </r>
    <r>
      <rPr>
        <sz val="9"/>
        <color theme="1"/>
        <rFont val="微软雅黑"/>
        <charset val="134"/>
      </rPr>
      <t>概率提升</t>
    </r>
  </si>
  <si>
    <t>合成需要数量</t>
  </si>
  <si>
    <t>满级需要数量</t>
  </si>
  <si>
    <t>投入碎片价值</t>
  </si>
  <si>
    <t>投入碎片贬值比例</t>
  </si>
  <si>
    <t>需要投入碎片个数</t>
  </si>
  <si>
    <t>估算参与人数</t>
  </si>
  <si>
    <t>公式CD/小时</t>
  </si>
  <si>
    <t>捐出碎片等级</t>
  </si>
  <si>
    <t>捐出碎片贡献值</t>
  </si>
  <si>
    <t>单次捐赠个数</t>
  </si>
  <si>
    <t>单人贡献值上限</t>
  </si>
  <si>
    <t>单人平均捐献碎片个数</t>
  </si>
  <si>
    <t>合成时间/天</t>
  </si>
  <si>
    <t>满级时间/天</t>
  </si>
  <si>
    <t>消耗碎片个数</t>
  </si>
  <si>
    <t>单天贡献值上限</t>
  </si>
  <si>
    <t>碎片等级</t>
  </si>
  <si>
    <t>贡献值</t>
  </si>
  <si>
    <t>FT17碎片获取</t>
  </si>
  <si>
    <t>rank</t>
  </si>
  <si>
    <t>DAU</t>
  </si>
  <si>
    <t>人均</t>
  </si>
  <si>
    <t>单天军费上限</t>
  </si>
  <si>
    <t>军费价值/钻石</t>
  </si>
  <si>
    <t>单天军费上限价值</t>
  </si>
  <si>
    <t>单人平均捐赠订单上限</t>
  </si>
  <si>
    <t>贡献上限</t>
  </si>
  <si>
    <t>军费上限</t>
  </si>
  <si>
    <t>订单上限</t>
  </si>
  <si>
    <t>占点模式</t>
  </si>
  <si>
    <t>占据点数量</t>
  </si>
  <si>
    <t>点数获取速度</t>
  </si>
  <si>
    <t>单点时间/分钟</t>
  </si>
  <si>
    <t>全部占据时间/分钟</t>
  </si>
  <si>
    <t>分钟</t>
  </si>
  <si>
    <t>时间</t>
  </si>
  <si>
    <t>补给争夺</t>
  </si>
  <si>
    <t>死亡竞赛</t>
  </si>
  <si>
    <t>补给争夺Loot-决胜</t>
  </si>
  <si>
    <t>胜场奖励</t>
  </si>
  <si>
    <t>胜场数</t>
  </si>
  <si>
    <t>奖励1数量</t>
  </si>
  <si>
    <t>奖励2数量</t>
  </si>
  <si>
    <t>预计免费胜场</t>
  </si>
  <si>
    <t>门票价格</t>
  </si>
  <si>
    <t>整体重置价格</t>
  </si>
  <si>
    <t>预计完成价格</t>
  </si>
  <si>
    <t>奖励碎片数量</t>
  </si>
  <si>
    <t>碎片单价</t>
  </si>
  <si>
    <t>完整坦克价格</t>
  </si>
  <si>
    <t>免费坦克时间获得/周</t>
  </si>
  <si>
    <t>属性ID</t>
  </si>
  <si>
    <t>详细说明</t>
  </si>
  <si>
    <t>射击流程</t>
  </si>
  <si>
    <t>gunType</t>
  </si>
  <si>
    <t>如右侧说明</t>
  </si>
  <si>
    <t>单发炮弹发射后,自动装填炮弹,装填过程不可干预,装填完成后可发射下一发.</t>
  </si>
  <si>
    <t>bullet</t>
  </si>
  <si>
    <t>单发炮弹发射后,手动装填炮弹,装填中点击射击则会打断当前装填进程,弹夹中炮弹打完后自动装填</t>
  </si>
  <si>
    <t>reloadType</t>
  </si>
  <si>
    <t>上弹方式</t>
  </si>
  <si>
    <t>单发/弹夹</t>
  </si>
  <si>
    <t>单发炮弹发射后,弹夹中如果还有炮弹则可继续开炮,没有炮弹则自动换弹夹,弹夹更换完成后可继续射击.</t>
  </si>
  <si>
    <t>bulletTime</t>
  </si>
  <si>
    <t>炮弹装填时间</t>
  </si>
  <si>
    <t>秒</t>
  </si>
  <si>
    <t>单发炮弹发射后,玩家可手动控制替换弹夹,弹夹更换完成后可继续射击.</t>
  </si>
  <si>
    <t>maxAttack</t>
  </si>
  <si>
    <t>最大炮弹伤害</t>
  </si>
  <si>
    <t>一次性发射所有炮弹,之后自动进入装填阶段,装填完成后可再次发射.</t>
  </si>
  <si>
    <t>attackCd</t>
  </si>
  <si>
    <t>弹夹炮射击间隔</t>
  </si>
  <si>
    <t>单发炮弹发射后,自动开始下一发炮弹的装填,装填过程中可以进行发射.弹夹空则不能发射</t>
  </si>
  <si>
    <t>hitAimDisturb</t>
  </si>
  <si>
    <t>每次攻击给对方造成的偏移角度</t>
  </si>
  <si>
    <t>跟坦克类型相关区间</t>
  </si>
  <si>
    <t>minScatteringAngle</t>
  </si>
  <si>
    <t>最小极限偏移角度</t>
  </si>
  <si>
    <t>缩圈最小角度</t>
  </si>
  <si>
    <t>shootScatteringAngleExpand</t>
  </si>
  <si>
    <t>每次射击瞬间扩大的偏移角度</t>
  </si>
  <si>
    <t>shootScatteringTime</t>
  </si>
  <si>
    <t>射击缩圈滞留时间(秒)</t>
  </si>
  <si>
    <t>跟坦克类型相关</t>
  </si>
  <si>
    <t>aimingSpeed</t>
  </si>
  <si>
    <t>瞄准速度(每帧偏移角度缩小)</t>
  </si>
  <si>
    <t>caliberType</t>
  </si>
  <si>
    <t>口径类型(影响客户端开火特效)</t>
  </si>
  <si>
    <t>turretStartAngularSpeed</t>
  </si>
  <si>
    <t>炮塔旋转初始角速度</t>
  </si>
  <si>
    <t>turretMaxAngularSpeed</t>
  </si>
  <si>
    <t>炮塔转向最大角速度(度/秒)</t>
  </si>
  <si>
    <t>turretAngularAcc</t>
  </si>
  <si>
    <t>炮塔旋转加速度</t>
  </si>
  <si>
    <t>turretSpinScatteringAngleExpand</t>
  </si>
  <si>
    <t>炮塔旋转每帧扩大的偏移角度</t>
  </si>
  <si>
    <t>turretSpinScatteringAngleExpandLimit</t>
  </si>
  <si>
    <t>炮塔旋转造成的偏移角度上限</t>
  </si>
  <si>
    <t>turretStuckHp</t>
  </si>
  <si>
    <t>炮塔卡住-血量</t>
  </si>
  <si>
    <t>turretStuckHit</t>
  </si>
  <si>
    <t>炮塔卡住-命中概率</t>
  </si>
  <si>
    <t>hp</t>
  </si>
  <si>
    <t>HP</t>
  </si>
  <si>
    <t>ramDmgRate</t>
  </si>
  <si>
    <t>撞击反弹伤害基础比例</t>
  </si>
  <si>
    <t>通用数据</t>
  </si>
  <si>
    <t>ramMaxDmg</t>
  </si>
  <si>
    <t>forwardMaxSpeed</t>
  </si>
  <si>
    <t>前进最大速度(米/秒)</t>
  </si>
  <si>
    <t>backwardMaxSpeed</t>
  </si>
  <si>
    <t>后退极限速度</t>
  </si>
  <si>
    <t>forwardAcc</t>
  </si>
  <si>
    <t>backwardAcc</t>
  </si>
  <si>
    <t>onFireHp</t>
  </si>
  <si>
    <t>引擎起火-血量</t>
  </si>
  <si>
    <t>onFireHit</t>
  </si>
  <si>
    <t>引擎起火-命中概率</t>
  </si>
  <si>
    <t>spinAngularSpeed</t>
  </si>
  <si>
    <t>坦克转向速度(度/秒)</t>
  </si>
  <si>
    <t>moveScatteringAngleExpand</t>
  </si>
  <si>
    <t>坦克移动每帧扩大的偏移角度</t>
  </si>
  <si>
    <t>moveScatteringAngleExpandLimit</t>
  </si>
  <si>
    <t>坦克移动造成的偏移角度上限</t>
  </si>
  <si>
    <t>spinScatteringAngleExpand</t>
  </si>
  <si>
    <t>坦克自转每帧扩大的偏移角度</t>
  </si>
  <si>
    <t>spinScatteringAngleExpandLimit</t>
  </si>
  <si>
    <t>坦克自转造成的偏移角度上限</t>
  </si>
  <si>
    <t>anchorHp</t>
  </si>
  <si>
    <t>悬挂击毁-血量</t>
  </si>
  <si>
    <t>anchorHit</t>
  </si>
  <si>
    <t>悬挂击毁-命中概率</t>
  </si>
  <si>
    <t>bodyLength</t>
  </si>
  <si>
    <t>长</t>
  </si>
  <si>
    <t>bodyWidth</t>
  </si>
  <si>
    <t>宽</t>
  </si>
  <si>
    <t>bodyTall</t>
  </si>
  <si>
    <t>onFireRepair</t>
  </si>
  <si>
    <t>引擎起火-修复时间</t>
  </si>
  <si>
    <t>turretStuckRepair</t>
  </si>
  <si>
    <t>炮塔卡住-修复时间</t>
  </si>
  <si>
    <t>anchorRepair</t>
  </si>
  <si>
    <t>悬挂击毁-修复时间</t>
  </si>
  <si>
    <t>ramMinSpeed</t>
  </si>
  <si>
    <t>撞击伤害最小速度比值</t>
  </si>
  <si>
    <t>hitScatteringAngleExpandLimit</t>
  </si>
  <si>
    <t>被击中造成的偏移角度上限</t>
  </si>
  <si>
    <t>hitScatteringTime</t>
  </si>
  <si>
    <t>被击中后缩圈滞留时间(秒)</t>
  </si>
  <si>
    <t>forwardStopAcc</t>
  </si>
  <si>
    <t>前进停止加速度</t>
  </si>
  <si>
    <t>backwardStopAcc</t>
  </si>
  <si>
    <t>后退停止加速度</t>
  </si>
  <si>
    <t>turnMaxSpeedRate</t>
  </si>
  <si>
    <t>移动中转向-前进后退最大速度比例</t>
  </si>
  <si>
    <t>turnAccRate</t>
  </si>
  <si>
    <t>移动中转向-前进后退加速度比例</t>
  </si>
  <si>
    <t>turnSlowAccRate</t>
  </si>
  <si>
    <t>移动中转向-前进后退降速加速度比例</t>
  </si>
  <si>
    <t>scopeFovRate</t>
  </si>
  <si>
    <t>开镜倍率</t>
  </si>
  <si>
    <t>switchFovTime</t>
  </si>
  <si>
    <t>开镜所需时间</t>
  </si>
  <si>
    <t>onminuteShootSpeed</t>
  </si>
  <si>
    <t>射速(发/分钟)</t>
  </si>
  <si>
    <t>magazineTime</t>
  </si>
  <si>
    <t>弹夹装填时间(秒)</t>
  </si>
  <si>
    <t>maxPower</t>
  </si>
  <si>
    <t>最大穿透力</t>
  </si>
  <si>
    <t>minPower</t>
  </si>
  <si>
    <t>最小穿透力</t>
  </si>
  <si>
    <t>minRange</t>
  </si>
  <si>
    <t>最小衰减距离</t>
  </si>
  <si>
    <t>maxRange</t>
  </si>
  <si>
    <t>最大衰减距离</t>
  </si>
  <si>
    <t>minAttack</t>
  </si>
  <si>
    <t>最小炮弹伤害</t>
  </si>
  <si>
    <t>armorValueTurret</t>
  </si>
  <si>
    <t>炮塔装甲厚度</t>
  </si>
  <si>
    <t>dmgParaMinTurret</t>
  </si>
  <si>
    <t>线性递减最小参数</t>
  </si>
  <si>
    <t>dmgParaMaxTurret</t>
  </si>
  <si>
    <t>线性递减最大参数</t>
  </si>
  <si>
    <t>armorValueBody</t>
  </si>
  <si>
    <t>车身装甲厚度</t>
  </si>
  <si>
    <t>dmgParaMinBody</t>
  </si>
  <si>
    <t>dmgParaMaxBody</t>
  </si>
  <si>
    <t>armorValueEngine</t>
  </si>
  <si>
    <t>引擎装甲厚度</t>
  </si>
  <si>
    <t>dmgParaMinEngine</t>
  </si>
  <si>
    <t>dmgParaMaxEngine</t>
  </si>
  <si>
    <t>armorValueTracks</t>
  </si>
  <si>
    <t>履带装甲厚度</t>
  </si>
  <si>
    <t>dmgParaMinTracks</t>
  </si>
  <si>
    <t>dmgParaMaxTracks</t>
  </si>
  <si>
    <t>reloadEfficiency</t>
  </si>
  <si>
    <t>装填效率(实际装弹时间=装弹时间/(1+装填效率))</t>
  </si>
  <si>
    <t>aimingTime</t>
  </si>
  <si>
    <t>瞄准时间(秒)</t>
  </si>
  <si>
    <t>hitAimDisturbPara</t>
  </si>
  <si>
    <t>undamagedParameter</t>
  </si>
  <si>
    <t>未击破伤害系数</t>
  </si>
  <si>
    <t>centerRange</t>
  </si>
  <si>
    <t>坦克中心区域半径</t>
  </si>
  <si>
    <t>basicObservationRange</t>
  </si>
  <si>
    <t>基础视野距离</t>
  </si>
  <si>
    <t>minObservationRange</t>
  </si>
  <si>
    <t>最小视野距离</t>
  </si>
  <si>
    <t>dmgParaCenter</t>
  </si>
  <si>
    <t>命中中心伤害系数</t>
  </si>
  <si>
    <t>dmgParaTurretFront</t>
  </si>
  <si>
    <t>炮塔前方伤害系数</t>
  </si>
  <si>
    <t>dmgParaTurretBack</t>
  </si>
  <si>
    <t>炮塔后方伤害系数</t>
  </si>
  <si>
    <t>dmgParaBodyFront</t>
  </si>
  <si>
    <t>车身前方伤害系数</t>
  </si>
  <si>
    <t>dmgParaBodySide</t>
  </si>
  <si>
    <t>车身侧方伤害系数</t>
  </si>
  <si>
    <t>dmgParaBodyBack</t>
  </si>
  <si>
    <t>车身后方伤害系数</t>
  </si>
  <si>
    <t>armorValue</t>
  </si>
  <si>
    <t>hpPower</t>
  </si>
  <si>
    <t>dmgPower</t>
  </si>
  <si>
    <t>armorPower</t>
  </si>
  <si>
    <t>piercePower</t>
  </si>
  <si>
    <t>穿透等级</t>
  </si>
  <si>
    <t>dmgParaTurretSide</t>
  </si>
  <si>
    <t>炮塔侧方伤害系数</t>
  </si>
  <si>
    <t>巨魔</t>
    <phoneticPr fontId="34" type="noConversion"/>
  </si>
  <si>
    <t>大星</t>
    <phoneticPr fontId="34" type="noConversion"/>
  </si>
  <si>
    <t>小星</t>
    <phoneticPr fontId="34" type="noConversion"/>
  </si>
  <si>
    <t>总数计算</t>
    <phoneticPr fontId="34" type="noConversion"/>
  </si>
  <si>
    <t>获得#{number1}次冠军</t>
    <phoneticPr fontId="34" type="noConversion"/>
  </si>
  <si>
    <t>坦克涂装-电磁炮-兽人</t>
    <phoneticPr fontId="34" type="noConversion"/>
  </si>
  <si>
    <t>坦克涂装-坦克皮肤:滩涂</t>
    <phoneticPr fontId="34" type="noConversion"/>
  </si>
  <si>
    <t>坦克涂装-坦克皮肤:滩涂</t>
    <phoneticPr fontId="34" type="noConversion"/>
  </si>
  <si>
    <t>dealRoleJoinBattleWithSquadEvent</t>
  </si>
  <si>
    <t>RoleJoinBattleWithSquadEvent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</si>
</sst>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76" formatCode="0.00_ "/>
    <numFmt numFmtId="177" formatCode="0_);[Red]\(0\)"/>
    <numFmt numFmtId="178" formatCode="0.0_ "/>
    <numFmt numFmtId="179" formatCode="0.0%"/>
    <numFmt numFmtId="180" formatCode="0.0_);[Red]\(0.0\)"/>
    <numFmt numFmtId="181" formatCode="0_ "/>
    <numFmt numFmtId="182" formatCode="\$#,##0.0_);[Red]\(\$#,##0.0\)"/>
    <numFmt numFmtId="183" formatCode="0.000_);[Red]\(0.000\)"/>
    <numFmt numFmtId="184" formatCode="0.000_ "/>
    <numFmt numFmtId="185" formatCode="\$#,##0.00;\-\$#,##0.00"/>
    <numFmt numFmtId="186" formatCode="0.00_);[Red]\(0.00\)"/>
  </numFmts>
  <fonts count="39" x14ac:knownFonts="1">
    <font>
      <sz val="11"/>
      <color theme="1"/>
      <name val="宋体"/>
      <charset val="134"/>
      <scheme val="minor"/>
    </font>
    <font>
      <sz val="9"/>
      <color theme="1"/>
      <name val="微软雅黑"/>
      <charset val="134"/>
    </font>
    <font>
      <b/>
      <sz val="14"/>
      <color theme="1"/>
      <name val="宋体"/>
      <charset val="134"/>
      <scheme val="minor"/>
    </font>
    <font>
      <b/>
      <sz val="11"/>
      <color theme="1"/>
      <name val="宋体"/>
      <charset val="134"/>
      <scheme val="minor"/>
    </font>
    <font>
      <sz val="9"/>
      <color indexed="8"/>
      <name val="微软雅黑"/>
      <charset val="134"/>
    </font>
    <font>
      <sz val="9"/>
      <color rgb="FFFF0000"/>
      <name val="微软雅黑"/>
      <charset val="134"/>
    </font>
    <font>
      <sz val="9"/>
      <name val="微软雅黑"/>
      <charset val="134"/>
    </font>
    <font>
      <sz val="9"/>
      <color rgb="FFFF0066"/>
      <name val="微软雅黑"/>
      <charset val="134"/>
    </font>
    <font>
      <b/>
      <sz val="11"/>
      <color theme="1"/>
      <name val="微软雅黑"/>
      <charset val="134"/>
    </font>
    <font>
      <b/>
      <sz val="9"/>
      <color theme="1"/>
      <name val="微软雅黑"/>
      <charset val="134"/>
    </font>
    <font>
      <b/>
      <sz val="9"/>
      <color indexed="8"/>
      <name val="微软雅黑"/>
      <charset val="134"/>
    </font>
    <font>
      <b/>
      <sz val="11"/>
      <color rgb="FFFF0000"/>
      <name val="宋体"/>
      <charset val="134"/>
      <scheme val="minor"/>
    </font>
    <font>
      <b/>
      <sz val="11"/>
      <color theme="9" tint="-0.249977111117893"/>
      <name val="宋体"/>
      <charset val="134"/>
      <scheme val="minor"/>
    </font>
    <font>
      <b/>
      <sz val="12"/>
      <color theme="1"/>
      <name val="微软雅黑"/>
      <charset val="134"/>
    </font>
    <font>
      <sz val="10"/>
      <color theme="1"/>
      <name val="微软雅黑"/>
      <charset val="134"/>
    </font>
    <font>
      <b/>
      <sz val="10"/>
      <color theme="1"/>
      <name val="微软雅黑"/>
      <charset val="134"/>
    </font>
    <font>
      <b/>
      <sz val="9"/>
      <color rgb="FFFF0000"/>
      <name val="微软雅黑"/>
      <charset val="134"/>
    </font>
    <font>
      <sz val="10"/>
      <color theme="1"/>
      <name val="宋体"/>
      <charset val="134"/>
      <scheme val="minor"/>
    </font>
    <font>
      <sz val="8"/>
      <color theme="1"/>
      <name val="微软雅黑"/>
      <charset val="134"/>
    </font>
    <font>
      <sz val="18"/>
      <color theme="1"/>
      <name val="宋体"/>
      <charset val="134"/>
      <scheme val="minor"/>
    </font>
    <font>
      <b/>
      <sz val="14"/>
      <color theme="9" tint="-0.249977111117893"/>
      <name val="宋体"/>
      <charset val="134"/>
      <scheme val="minor"/>
    </font>
    <font>
      <sz val="9"/>
      <color theme="5" tint="-0.249977111117893"/>
      <name val="微软雅黑"/>
      <charset val="134"/>
    </font>
    <font>
      <sz val="9"/>
      <color theme="8" tint="-0.249977111117893"/>
      <name val="微软雅黑"/>
      <charset val="134"/>
    </font>
    <font>
      <sz val="9"/>
      <color theme="9" tint="-0.499984740745262"/>
      <name val="微软雅黑"/>
      <charset val="134"/>
    </font>
    <font>
      <sz val="11"/>
      <color indexed="8"/>
      <name val="宋体"/>
      <charset val="134"/>
    </font>
    <font>
      <sz val="9"/>
      <name val="宋体"/>
      <charset val="134"/>
    </font>
    <font>
      <b/>
      <sz val="9"/>
      <name val="宋体"/>
      <charset val="134"/>
    </font>
    <font>
      <sz val="11"/>
      <color theme="1"/>
      <name val="宋体"/>
      <charset val="134"/>
      <scheme val="minor"/>
    </font>
    <font>
      <b/>
      <sz val="9"/>
      <name val="宋体"/>
      <family val="3"/>
      <charset val="134"/>
    </font>
    <font>
      <sz val="9"/>
      <name val="宋体"/>
      <family val="3"/>
      <charset val="134"/>
    </font>
    <font>
      <sz val="11"/>
      <color rgb="FF000000"/>
      <name val="宋体"/>
      <family val="3"/>
      <charset val="134"/>
    </font>
    <font>
      <b/>
      <sz val="9"/>
      <color rgb="FF000000"/>
      <name val="宋体"/>
      <family val="3"/>
      <charset val="134"/>
    </font>
    <font>
      <sz val="9"/>
      <color rgb="FF000000"/>
      <name val="宋体"/>
      <family val="3"/>
      <charset val="134"/>
    </font>
    <font>
      <strike/>
      <sz val="9"/>
      <name val="宋体"/>
      <family val="3"/>
      <charset val="134"/>
    </font>
    <font>
      <sz val="9"/>
      <name val="宋体"/>
      <family val="3"/>
      <charset val="134"/>
      <scheme val="minor"/>
    </font>
    <font>
      <sz val="9"/>
      <color indexed="8"/>
      <name val="微软雅黑"/>
      <family val="2"/>
      <charset val="134"/>
    </font>
    <font>
      <b/>
      <sz val="11"/>
      <color theme="1"/>
      <name val="宋体"/>
      <family val="3"/>
      <charset val="134"/>
      <scheme val="minor"/>
    </font>
    <font>
      <sz val="11"/>
      <color theme="1"/>
      <name val="宋体"/>
      <family val="3"/>
      <charset val="134"/>
      <scheme val="minor"/>
    </font>
    <font>
      <sz val="9"/>
      <color theme="1"/>
      <name val="微软雅黑"/>
      <family val="2"/>
      <charset val="134"/>
    </font>
  </fonts>
  <fills count="24">
    <fill>
      <patternFill patternType="none"/>
    </fill>
    <fill>
      <patternFill patternType="gray125"/>
    </fill>
    <fill>
      <patternFill patternType="solid">
        <fgColor theme="5" tint="0.39994506668294322"/>
        <bgColor indexed="64"/>
      </patternFill>
    </fill>
    <fill>
      <patternFill patternType="solid">
        <fgColor theme="9" tint="0.79995117038483843"/>
        <bgColor indexed="64"/>
      </patternFill>
    </fill>
    <fill>
      <patternFill patternType="solid">
        <fgColor theme="6" tint="0.79995117038483843"/>
        <bgColor indexed="64"/>
      </patternFill>
    </fill>
    <fill>
      <patternFill patternType="solid">
        <fgColor rgb="FFFF0000"/>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rgb="FFF0F2FE"/>
        <bgColor indexed="64"/>
      </patternFill>
    </fill>
    <fill>
      <patternFill patternType="solid">
        <fgColor theme="2" tint="-9.9978637043366805E-2"/>
        <bgColor indexed="64"/>
      </patternFill>
    </fill>
    <fill>
      <patternFill patternType="solid">
        <fgColor theme="5" tint="0.79995117038483843"/>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14996795556505021"/>
        <bgColor indexed="64"/>
      </patternFill>
    </fill>
    <fill>
      <patternFill patternType="solid">
        <fgColor theme="0"/>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rgb="FFFF0066"/>
        <bgColor indexed="64"/>
      </patternFill>
    </fill>
    <fill>
      <patternFill patternType="solid">
        <fgColor rgb="FF0070C0"/>
        <bgColor indexed="64"/>
      </patternFill>
    </fill>
    <fill>
      <patternFill patternType="solid">
        <fgColor rgb="FFFFFFCC"/>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medium">
        <color auto="1"/>
      </left>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top/>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right/>
      <top style="medium">
        <color auto="1"/>
      </top>
      <bottom/>
      <diagonal/>
    </border>
    <border>
      <left/>
      <right style="medium">
        <color auto="1"/>
      </right>
      <top/>
      <bottom/>
      <diagonal/>
    </border>
    <border>
      <left style="thin">
        <color auto="1"/>
      </left>
      <right style="medium">
        <color auto="1"/>
      </right>
      <top style="medium">
        <color auto="1"/>
      </top>
      <bottom style="medium">
        <color auto="1"/>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27" fillId="23" borderId="31" applyNumberFormat="0" applyFont="0" applyAlignment="0" applyProtection="0">
      <alignment vertical="center"/>
    </xf>
    <xf numFmtId="0" fontId="27" fillId="7" borderId="0" applyNumberFormat="0" applyBorder="0" applyAlignment="0" applyProtection="0">
      <alignment vertical="center"/>
    </xf>
    <xf numFmtId="0" fontId="27" fillId="13" borderId="0" applyNumberFormat="0" applyBorder="0" applyAlignment="0" applyProtection="0">
      <alignment vertical="center"/>
    </xf>
    <xf numFmtId="0" fontId="24" fillId="0" borderId="0"/>
  </cellStyleXfs>
  <cellXfs count="281">
    <xf numFmtId="0" fontId="0" fillId="0" borderId="0" xfId="0"/>
    <xf numFmtId="0" fontId="1" fillId="0" borderId="0" xfId="0" applyFont="1" applyAlignment="1">
      <alignment horizontal="center"/>
    </xf>
    <xf numFmtId="0" fontId="1" fillId="0" borderId="1" xfId="0" applyFont="1" applyBorder="1" applyAlignment="1">
      <alignment horizontal="center"/>
    </xf>
    <xf numFmtId="0" fontId="1" fillId="0" borderId="1" xfId="0" applyFont="1" applyBorder="1" applyAlignment="1">
      <alignment horizontal="left"/>
    </xf>
    <xf numFmtId="0" fontId="1" fillId="2" borderId="1" xfId="0" applyFont="1" applyFill="1" applyBorder="1" applyAlignment="1">
      <alignment horizontal="center"/>
    </xf>
    <xf numFmtId="0" fontId="1" fillId="2" borderId="1" xfId="0" applyFont="1" applyFill="1" applyBorder="1" applyAlignment="1">
      <alignment horizontal="left"/>
    </xf>
    <xf numFmtId="0" fontId="2" fillId="0" borderId="0" xfId="0" applyFont="1"/>
    <xf numFmtId="0" fontId="0" fillId="0" borderId="1" xfId="0" applyBorder="1"/>
    <xf numFmtId="178" fontId="0" fillId="0" borderId="1" xfId="0" applyNumberFormat="1" applyBorder="1"/>
    <xf numFmtId="0" fontId="0" fillId="3" borderId="0" xfId="0" applyFill="1"/>
    <xf numFmtId="0" fontId="0" fillId="0" borderId="0" xfId="0" applyFont="1" applyFill="1"/>
    <xf numFmtId="0" fontId="3" fillId="0" borderId="1" xfId="0" applyFont="1" applyBorder="1"/>
    <xf numFmtId="0" fontId="3" fillId="0" borderId="1" xfId="0" applyFont="1" applyFill="1" applyBorder="1"/>
    <xf numFmtId="0" fontId="0" fillId="0" borderId="1" xfId="0" applyFill="1" applyBorder="1"/>
    <xf numFmtId="9" fontId="0" fillId="0" borderId="1" xfId="0" applyNumberFormat="1" applyBorder="1"/>
    <xf numFmtId="0" fontId="4" fillId="0" borderId="0" xfId="0" applyFont="1" applyAlignment="1">
      <alignment horizontal="center"/>
    </xf>
    <xf numFmtId="10" fontId="0" fillId="4" borderId="0" xfId="0" applyNumberFormat="1" applyFill="1"/>
    <xf numFmtId="176" fontId="0" fillId="0" borderId="0" xfId="0" applyNumberFormat="1"/>
    <xf numFmtId="0" fontId="0" fillId="3" borderId="1" xfId="0" applyFill="1" applyBorder="1"/>
    <xf numFmtId="176" fontId="0" fillId="3" borderId="1" xfId="0" applyNumberFormat="1" applyFill="1" applyBorder="1"/>
    <xf numFmtId="176" fontId="0" fillId="0" borderId="1" xfId="0" applyNumberFormat="1" applyBorder="1"/>
    <xf numFmtId="0" fontId="5" fillId="0" borderId="1" xfId="0" applyFont="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5" fillId="0" borderId="0" xfId="0" applyFont="1" applyBorder="1" applyAlignment="1">
      <alignment horizontal="center"/>
    </xf>
    <xf numFmtId="0" fontId="1" fillId="0" borderId="0" xfId="0" applyFont="1" applyBorder="1" applyAlignment="1">
      <alignment horizontal="center"/>
    </xf>
    <xf numFmtId="0" fontId="1" fillId="0" borderId="3" xfId="0" applyFont="1" applyBorder="1" applyAlignment="1">
      <alignment horizontal="center"/>
    </xf>
    <xf numFmtId="0" fontId="5" fillId="0" borderId="0" xfId="0" applyFont="1" applyAlignment="1">
      <alignment horizontal="left"/>
    </xf>
    <xf numFmtId="0" fontId="6" fillId="0" borderId="1" xfId="0" applyNumberFormat="1" applyFont="1" applyBorder="1" applyAlignment="1">
      <alignment horizontal="center"/>
    </xf>
    <xf numFmtId="0" fontId="6" fillId="0" borderId="1" xfId="0" applyFont="1" applyBorder="1" applyAlignment="1">
      <alignment horizontal="center"/>
    </xf>
    <xf numFmtId="0" fontId="6" fillId="0" borderId="0" xfId="0" applyFont="1" applyBorder="1" applyAlignment="1">
      <alignment horizontal="center"/>
    </xf>
    <xf numFmtId="178" fontId="1" fillId="0" borderId="1" xfId="0" applyNumberFormat="1" applyFont="1" applyBorder="1" applyAlignment="1">
      <alignment horizontal="center"/>
    </xf>
    <xf numFmtId="0" fontId="7" fillId="0" borderId="1" xfId="0" applyFont="1" applyBorder="1" applyAlignment="1">
      <alignment horizontal="center"/>
    </xf>
    <xf numFmtId="0" fontId="1" fillId="0" borderId="1" xfId="0" applyNumberFormat="1" applyFont="1" applyBorder="1" applyAlignment="1">
      <alignment horizontal="center"/>
    </xf>
    <xf numFmtId="176" fontId="1" fillId="0" borderId="1" xfId="0" applyNumberFormat="1" applyFont="1" applyBorder="1" applyAlignment="1">
      <alignment horizontal="center"/>
    </xf>
    <xf numFmtId="0" fontId="8" fillId="0" borderId="0" xfId="0" applyFont="1" applyAlignment="1">
      <alignment horizontal="left"/>
    </xf>
    <xf numFmtId="0" fontId="1" fillId="0" borderId="0" xfId="0" applyFont="1" applyAlignment="1">
      <alignment horizontal="left"/>
    </xf>
    <xf numFmtId="0" fontId="1" fillId="3" borderId="0" xfId="0" applyFont="1" applyFill="1" applyAlignment="1">
      <alignment horizontal="left"/>
    </xf>
    <xf numFmtId="0" fontId="0" fillId="0" borderId="0" xfId="0" applyBorder="1"/>
    <xf numFmtId="0" fontId="1" fillId="0" borderId="4" xfId="0" applyFont="1" applyBorder="1" applyAlignment="1">
      <alignment horizontal="center"/>
    </xf>
    <xf numFmtId="178" fontId="1" fillId="0" borderId="0" xfId="0" applyNumberFormat="1" applyFont="1" applyBorder="1" applyAlignment="1">
      <alignment horizontal="center"/>
    </xf>
    <xf numFmtId="176" fontId="5" fillId="0" borderId="1" xfId="0" applyNumberFormat="1" applyFont="1" applyBorder="1" applyAlignment="1">
      <alignment horizontal="center"/>
    </xf>
    <xf numFmtId="181" fontId="1" fillId="0" borderId="1" xfId="0" applyNumberFormat="1" applyFont="1" applyBorder="1" applyAlignment="1">
      <alignment horizontal="center"/>
    </xf>
    <xf numFmtId="0" fontId="9" fillId="0" borderId="1" xfId="0" applyFont="1" applyBorder="1" applyAlignment="1">
      <alignment horizontal="left"/>
    </xf>
    <xf numFmtId="0" fontId="9" fillId="0" borderId="1" xfId="0" applyFont="1" applyBorder="1" applyAlignment="1">
      <alignment horizontal="center"/>
    </xf>
    <xf numFmtId="178" fontId="0" fillId="0" borderId="0" xfId="0" applyNumberFormat="1"/>
    <xf numFmtId="0" fontId="10" fillId="0" borderId="0" xfId="0" applyFont="1" applyAlignment="1">
      <alignment horizontal="center"/>
    </xf>
    <xf numFmtId="178" fontId="10" fillId="0" borderId="0" xfId="0" applyNumberFormat="1" applyFont="1" applyAlignment="1">
      <alignment horizontal="center"/>
    </xf>
    <xf numFmtId="0" fontId="3" fillId="0" borderId="0" xfId="0" applyFont="1"/>
    <xf numFmtId="0" fontId="0" fillId="5" borderId="0" xfId="0" applyFill="1"/>
    <xf numFmtId="0" fontId="0" fillId="0" borderId="0" xfId="0" applyAlignment="1">
      <alignment vertical="center"/>
    </xf>
    <xf numFmtId="0" fontId="3" fillId="6" borderId="1" xfId="0" applyFont="1" applyFill="1" applyBorder="1"/>
    <xf numFmtId="0" fontId="3" fillId="7" borderId="1" xfId="0" applyFont="1" applyFill="1" applyBorder="1"/>
    <xf numFmtId="0" fontId="3" fillId="0" borderId="0" xfId="0" applyFont="1" applyFill="1" applyBorder="1"/>
    <xf numFmtId="0" fontId="0" fillId="0" borderId="1" xfId="0" applyFont="1" applyFill="1" applyBorder="1"/>
    <xf numFmtId="0" fontId="0" fillId="8" borderId="0" xfId="0" applyFill="1"/>
    <xf numFmtId="180" fontId="0" fillId="0" borderId="0" xfId="0" applyNumberFormat="1"/>
    <xf numFmtId="177" fontId="0" fillId="0" borderId="0" xfId="0" applyNumberFormat="1"/>
    <xf numFmtId="182" fontId="0" fillId="0" borderId="0" xfId="0" applyNumberFormat="1"/>
    <xf numFmtId="0" fontId="3" fillId="0" borderId="2" xfId="0" applyFont="1" applyBorder="1"/>
    <xf numFmtId="0" fontId="3" fillId="9" borderId="2" xfId="0" applyFont="1" applyFill="1" applyBorder="1" applyAlignment="1"/>
    <xf numFmtId="0" fontId="3" fillId="9" borderId="5" xfId="0" applyFont="1" applyFill="1" applyBorder="1" applyAlignment="1"/>
    <xf numFmtId="0" fontId="3" fillId="9" borderId="3" xfId="0" applyFont="1" applyFill="1" applyBorder="1" applyAlignment="1"/>
    <xf numFmtId="0" fontId="3" fillId="10" borderId="2" xfId="0" applyFont="1" applyFill="1" applyBorder="1" applyAlignment="1"/>
    <xf numFmtId="0" fontId="3" fillId="10" borderId="5" xfId="0" applyFont="1" applyFill="1" applyBorder="1" applyAlignment="1"/>
    <xf numFmtId="0" fontId="3" fillId="4" borderId="1" xfId="0" applyFont="1" applyFill="1" applyBorder="1"/>
    <xf numFmtId="180" fontId="3" fillId="4" borderId="1" xfId="0" applyNumberFormat="1" applyFont="1" applyFill="1" applyBorder="1"/>
    <xf numFmtId="0" fontId="3" fillId="3" borderId="1" xfId="0" applyFont="1" applyFill="1" applyBorder="1"/>
    <xf numFmtId="180" fontId="0" fillId="0" borderId="1" xfId="0" applyNumberFormat="1" applyBorder="1"/>
    <xf numFmtId="0" fontId="0" fillId="0" borderId="1" xfId="0" applyNumberFormat="1" applyBorder="1"/>
    <xf numFmtId="0" fontId="0" fillId="11" borderId="1" xfId="0" applyFill="1" applyBorder="1"/>
    <xf numFmtId="180" fontId="0" fillId="11" borderId="1" xfId="0" applyNumberFormat="1" applyFill="1" applyBorder="1"/>
    <xf numFmtId="0" fontId="3" fillId="10" borderId="3" xfId="0" applyFont="1" applyFill="1" applyBorder="1" applyAlignment="1"/>
    <xf numFmtId="0" fontId="3" fillId="10" borderId="0" xfId="0" applyFont="1" applyFill="1" applyBorder="1" applyAlignment="1">
      <alignment horizontal="center"/>
    </xf>
    <xf numFmtId="180" fontId="3" fillId="3" borderId="1" xfId="0" applyNumberFormat="1" applyFont="1" applyFill="1" applyBorder="1"/>
    <xf numFmtId="177" fontId="3" fillId="3" borderId="1" xfId="0" applyNumberFormat="1" applyFont="1" applyFill="1" applyBorder="1"/>
    <xf numFmtId="177" fontId="0" fillId="0" borderId="1" xfId="0" applyNumberFormat="1" applyBorder="1"/>
    <xf numFmtId="177" fontId="0" fillId="11" borderId="1" xfId="0" applyNumberFormat="1" applyFill="1" applyBorder="1"/>
    <xf numFmtId="177" fontId="3" fillId="0" borderId="0" xfId="0" applyNumberFormat="1" applyFont="1"/>
    <xf numFmtId="182" fontId="3" fillId="0" borderId="0" xfId="0" applyNumberFormat="1" applyFont="1"/>
    <xf numFmtId="0" fontId="3" fillId="12" borderId="1" xfId="0" applyFont="1" applyFill="1" applyBorder="1"/>
    <xf numFmtId="0" fontId="0" fillId="13" borderId="1" xfId="0" applyFill="1" applyBorder="1"/>
    <xf numFmtId="177" fontId="3" fillId="13" borderId="1" xfId="0" applyNumberFormat="1" applyFont="1" applyFill="1" applyBorder="1"/>
    <xf numFmtId="182" fontId="3" fillId="13" borderId="1" xfId="0" applyNumberFormat="1" applyFont="1" applyFill="1" applyBorder="1"/>
    <xf numFmtId="0" fontId="1" fillId="3" borderId="1" xfId="0" applyFont="1" applyFill="1" applyBorder="1" applyAlignment="1">
      <alignment horizontal="center"/>
    </xf>
    <xf numFmtId="182" fontId="0" fillId="0" borderId="1" xfId="0" applyNumberFormat="1" applyBorder="1"/>
    <xf numFmtId="182" fontId="11" fillId="0" borderId="1" xfId="0" applyNumberFormat="1" applyFont="1" applyBorder="1"/>
    <xf numFmtId="9" fontId="12" fillId="0" borderId="1" xfId="0" applyNumberFormat="1" applyFont="1" applyBorder="1"/>
    <xf numFmtId="182" fontId="0" fillId="0" borderId="1" xfId="0" applyNumberFormat="1" applyFont="1" applyBorder="1"/>
    <xf numFmtId="177" fontId="3" fillId="0" borderId="1" xfId="0" applyNumberFormat="1" applyFont="1" applyBorder="1"/>
    <xf numFmtId="182" fontId="3" fillId="0" borderId="1" xfId="0" applyNumberFormat="1" applyFont="1" applyBorder="1"/>
    <xf numFmtId="0" fontId="0" fillId="4" borderId="1" xfId="0" applyFill="1" applyBorder="1"/>
    <xf numFmtId="177" fontId="0" fillId="4" borderId="1" xfId="0" applyNumberFormat="1" applyFill="1" applyBorder="1"/>
    <xf numFmtId="0" fontId="0" fillId="4" borderId="1" xfId="0" applyNumberFormat="1" applyFill="1" applyBorder="1"/>
    <xf numFmtId="0" fontId="0" fillId="11" borderId="1" xfId="0" applyNumberFormat="1" applyFill="1" applyBorder="1"/>
    <xf numFmtId="177" fontId="0" fillId="0" borderId="1" xfId="0" applyNumberFormat="1" applyFill="1" applyBorder="1"/>
    <xf numFmtId="0" fontId="0" fillId="0" borderId="1" xfId="0" applyNumberFormat="1" applyFill="1" applyBorder="1"/>
    <xf numFmtId="0" fontId="5" fillId="14" borderId="1" xfId="0" applyFont="1" applyFill="1" applyBorder="1" applyAlignment="1">
      <alignment horizontal="center"/>
    </xf>
    <xf numFmtId="0" fontId="5" fillId="14" borderId="0" xfId="0" applyFont="1" applyFill="1" applyAlignment="1">
      <alignment horizontal="center"/>
    </xf>
    <xf numFmtId="0" fontId="1" fillId="14" borderId="0" xfId="0" applyFont="1" applyFill="1" applyAlignment="1">
      <alignment horizontal="center"/>
    </xf>
    <xf numFmtId="0" fontId="13" fillId="0" borderId="0" xfId="0" applyFont="1" applyAlignment="1">
      <alignment horizontal="left"/>
    </xf>
    <xf numFmtId="0" fontId="9" fillId="4" borderId="1" xfId="0" applyFont="1" applyFill="1" applyBorder="1" applyAlignment="1">
      <alignment horizontal="center"/>
    </xf>
    <xf numFmtId="0" fontId="1" fillId="10" borderId="1" xfId="0" applyFont="1" applyFill="1" applyBorder="1" applyAlignment="1">
      <alignment horizontal="center"/>
    </xf>
    <xf numFmtId="0" fontId="1" fillId="4" borderId="1" xfId="0" applyFont="1" applyFill="1" applyBorder="1" applyAlignment="1">
      <alignment horizontal="center"/>
    </xf>
    <xf numFmtId="0" fontId="14" fillId="0" borderId="1" xfId="0" applyFont="1" applyBorder="1" applyAlignment="1">
      <alignment horizontal="left"/>
    </xf>
    <xf numFmtId="0" fontId="14" fillId="0" borderId="0" xfId="0" applyFont="1" applyBorder="1" applyAlignment="1">
      <alignment horizontal="left"/>
    </xf>
    <xf numFmtId="0" fontId="15" fillId="0" borderId="1" xfId="0" applyFont="1" applyBorder="1" applyAlignment="1">
      <alignment horizontal="center"/>
    </xf>
    <xf numFmtId="0" fontId="9" fillId="0" borderId="0" xfId="0" applyFont="1" applyAlignment="1">
      <alignment horizontal="left"/>
    </xf>
    <xf numFmtId="0" fontId="9" fillId="0" borderId="0" xfId="0" applyFont="1" applyBorder="1" applyAlignment="1">
      <alignment horizontal="left"/>
    </xf>
    <xf numFmtId="0" fontId="9" fillId="0" borderId="0" xfId="0" applyFont="1" applyAlignment="1">
      <alignment horizontal="center"/>
    </xf>
    <xf numFmtId="10" fontId="1" fillId="0" borderId="1" xfId="0" applyNumberFormat="1" applyFont="1" applyBorder="1" applyAlignment="1">
      <alignment horizontal="center"/>
    </xf>
    <xf numFmtId="0" fontId="1" fillId="15" borderId="0" xfId="0" applyFont="1" applyFill="1" applyAlignment="1">
      <alignment horizontal="center"/>
    </xf>
    <xf numFmtId="0" fontId="1" fillId="15" borderId="0" xfId="0" applyFont="1" applyFill="1" applyAlignment="1">
      <alignment horizontal="left"/>
    </xf>
    <xf numFmtId="0" fontId="9" fillId="0" borderId="0" xfId="0" applyFont="1" applyBorder="1" applyAlignment="1">
      <alignment horizontal="center"/>
    </xf>
    <xf numFmtId="0" fontId="1" fillId="3" borderId="0" xfId="0" applyFont="1" applyFill="1" applyAlignment="1">
      <alignment horizontal="center"/>
    </xf>
    <xf numFmtId="178" fontId="16" fillId="0" borderId="0" xfId="0" applyNumberFormat="1" applyFont="1" applyAlignment="1">
      <alignment horizontal="center"/>
    </xf>
    <xf numFmtId="0" fontId="1" fillId="16" borderId="1" xfId="0" applyFont="1" applyFill="1" applyBorder="1" applyAlignment="1">
      <alignment horizontal="center"/>
    </xf>
    <xf numFmtId="0" fontId="15" fillId="0" borderId="0" xfId="0" applyFont="1" applyBorder="1" applyAlignment="1">
      <alignment horizontal="left"/>
    </xf>
    <xf numFmtId="0" fontId="1" fillId="0" borderId="0" xfId="0" applyFont="1" applyBorder="1" applyAlignment="1">
      <alignment horizontal="left"/>
    </xf>
    <xf numFmtId="10" fontId="1" fillId="0" borderId="0" xfId="0" applyNumberFormat="1" applyFont="1" applyBorder="1" applyAlignment="1">
      <alignment horizontal="center"/>
    </xf>
    <xf numFmtId="10" fontId="3" fillId="7" borderId="1" xfId="0" applyNumberFormat="1" applyFont="1" applyFill="1" applyBorder="1"/>
    <xf numFmtId="0" fontId="4" fillId="0" borderId="0" xfId="4" applyFont="1" applyAlignment="1">
      <alignment horizontal="center"/>
    </xf>
    <xf numFmtId="0" fontId="1" fillId="17" borderId="1" xfId="0" applyFont="1" applyFill="1" applyBorder="1" applyAlignment="1">
      <alignment horizontal="center"/>
    </xf>
    <xf numFmtId="0" fontId="7" fillId="0" borderId="1" xfId="0" applyNumberFormat="1" applyFont="1" applyBorder="1" applyAlignment="1">
      <alignment horizontal="center"/>
    </xf>
    <xf numFmtId="181" fontId="1" fillId="0" borderId="0" xfId="0" applyNumberFormat="1" applyFont="1" applyBorder="1" applyAlignment="1">
      <alignment horizontal="center"/>
    </xf>
    <xf numFmtId="0" fontId="1" fillId="0" borderId="0" xfId="0" applyNumberFormat="1" applyFont="1" applyAlignment="1">
      <alignment horizontal="center"/>
    </xf>
    <xf numFmtId="0" fontId="5" fillId="16" borderId="1" xfId="0" applyFont="1" applyFill="1" applyBorder="1" applyAlignment="1">
      <alignment horizontal="center"/>
    </xf>
    <xf numFmtId="0" fontId="15" fillId="0" borderId="0" xfId="0" applyFont="1" applyAlignment="1">
      <alignment horizontal="left"/>
    </xf>
    <xf numFmtId="0" fontId="0" fillId="0" borderId="1" xfId="0" applyFont="1" applyBorder="1" applyAlignment="1">
      <alignment horizontal="center"/>
    </xf>
    <xf numFmtId="176" fontId="7" fillId="0" borderId="1" xfId="0" applyNumberFormat="1" applyFont="1" applyBorder="1" applyAlignment="1">
      <alignment horizontal="center"/>
    </xf>
    <xf numFmtId="176" fontId="1" fillId="0" borderId="0" xfId="0" applyNumberFormat="1" applyFont="1" applyAlignment="1">
      <alignment horizontal="center"/>
    </xf>
    <xf numFmtId="10" fontId="1" fillId="0" borderId="0" xfId="0" applyNumberFormat="1" applyFont="1" applyAlignment="1">
      <alignment horizontal="center"/>
    </xf>
    <xf numFmtId="9" fontId="1" fillId="0" borderId="0" xfId="0" applyNumberFormat="1" applyFont="1" applyAlignment="1">
      <alignment horizontal="center"/>
    </xf>
    <xf numFmtId="176" fontId="1" fillId="0" borderId="0" xfId="0" applyNumberFormat="1" applyFont="1" applyBorder="1" applyAlignment="1">
      <alignment horizontal="center"/>
    </xf>
    <xf numFmtId="181" fontId="1" fillId="0" borderId="0" xfId="0" applyNumberFormat="1" applyFont="1" applyAlignment="1">
      <alignment horizontal="center"/>
    </xf>
    <xf numFmtId="179" fontId="1" fillId="0" borderId="0" xfId="0" applyNumberFormat="1" applyFont="1" applyAlignment="1">
      <alignment horizontal="center"/>
    </xf>
    <xf numFmtId="0" fontId="8" fillId="0" borderId="1" xfId="0" applyFont="1" applyBorder="1" applyAlignment="1">
      <alignment horizontal="center"/>
    </xf>
    <xf numFmtId="0" fontId="8" fillId="0" borderId="1" xfId="0" applyFont="1" applyFill="1" applyBorder="1" applyAlignment="1">
      <alignment horizontal="center"/>
    </xf>
    <xf numFmtId="0" fontId="6" fillId="0" borderId="1" xfId="0" applyFont="1" applyFill="1" applyBorder="1" applyAlignment="1">
      <alignment horizontal="center"/>
    </xf>
    <xf numFmtId="0" fontId="1" fillId="16" borderId="0" xfId="0" applyFont="1" applyFill="1" applyAlignment="1">
      <alignment horizontal="center"/>
    </xf>
    <xf numFmtId="0" fontId="1" fillId="0" borderId="0" xfId="0" applyFont="1" applyFill="1" applyAlignment="1">
      <alignment horizontal="center"/>
    </xf>
    <xf numFmtId="0" fontId="0" fillId="0" borderId="0" xfId="0" applyNumberFormat="1"/>
    <xf numFmtId="0" fontId="8" fillId="0" borderId="1" xfId="0" applyFont="1" applyBorder="1" applyAlignment="1">
      <alignment horizontal="left"/>
    </xf>
    <xf numFmtId="9" fontId="1" fillId="0" borderId="1" xfId="0" applyNumberFormat="1" applyFont="1" applyBorder="1" applyAlignment="1">
      <alignment horizontal="center"/>
    </xf>
    <xf numFmtId="0" fontId="7" fillId="0" borderId="0" xfId="0" applyFont="1" applyBorder="1" applyAlignment="1">
      <alignment horizontal="center"/>
    </xf>
    <xf numFmtId="0" fontId="6" fillId="0" borderId="4" xfId="0" applyFont="1" applyBorder="1" applyAlignment="1">
      <alignment horizontal="center"/>
    </xf>
    <xf numFmtId="179" fontId="5" fillId="0" borderId="1" xfId="0" applyNumberFormat="1" applyFont="1" applyBorder="1" applyAlignment="1">
      <alignment horizontal="center"/>
    </xf>
    <xf numFmtId="10" fontId="5" fillId="0" borderId="1" xfId="0" applyNumberFormat="1" applyFont="1" applyBorder="1" applyAlignment="1">
      <alignment horizontal="center"/>
    </xf>
    <xf numFmtId="179" fontId="1" fillId="0" borderId="1" xfId="0" applyNumberFormat="1" applyFont="1" applyBorder="1" applyAlignment="1">
      <alignment horizontal="center"/>
    </xf>
    <xf numFmtId="176" fontId="5" fillId="9" borderId="1" xfId="0" applyNumberFormat="1" applyFont="1" applyFill="1" applyBorder="1" applyAlignment="1">
      <alignment horizontal="center"/>
    </xf>
    <xf numFmtId="0" fontId="1" fillId="9" borderId="1" xfId="0" applyFont="1" applyFill="1" applyBorder="1" applyAlignment="1">
      <alignment horizontal="center"/>
    </xf>
    <xf numFmtId="176" fontId="1" fillId="9" borderId="1" xfId="0" applyNumberFormat="1" applyFont="1" applyFill="1" applyBorder="1" applyAlignment="1">
      <alignment horizontal="center"/>
    </xf>
    <xf numFmtId="0" fontId="1" fillId="0" borderId="0" xfId="0" applyFont="1"/>
    <xf numFmtId="0" fontId="1" fillId="0" borderId="1" xfId="0" applyFont="1" applyBorder="1" applyAlignment="1"/>
    <xf numFmtId="0" fontId="5" fillId="0" borderId="1" xfId="0" applyNumberFormat="1" applyFont="1" applyBorder="1" applyAlignment="1">
      <alignment horizontal="center"/>
    </xf>
    <xf numFmtId="184" fontId="1" fillId="0" borderId="1" xfId="0" applyNumberFormat="1" applyFont="1" applyBorder="1" applyAlignment="1">
      <alignment horizontal="center"/>
    </xf>
    <xf numFmtId="9" fontId="7" fillId="0" borderId="1" xfId="0" applyNumberFormat="1" applyFont="1" applyBorder="1" applyAlignment="1">
      <alignment horizontal="center"/>
    </xf>
    <xf numFmtId="183" fontId="1" fillId="0" borderId="1" xfId="0" applyNumberFormat="1" applyFont="1" applyBorder="1" applyAlignment="1">
      <alignment horizontal="center"/>
    </xf>
    <xf numFmtId="9" fontId="5" fillId="0" borderId="1" xfId="0" applyNumberFormat="1" applyFont="1" applyBorder="1" applyAlignment="1">
      <alignment horizontal="center"/>
    </xf>
    <xf numFmtId="186" fontId="1" fillId="0" borderId="1" xfId="0" applyNumberFormat="1" applyFont="1" applyBorder="1" applyAlignment="1">
      <alignment horizontal="center"/>
    </xf>
    <xf numFmtId="176" fontId="6" fillId="0" borderId="1" xfId="0" applyNumberFormat="1" applyFont="1" applyBorder="1" applyAlignment="1">
      <alignment horizontal="center"/>
    </xf>
    <xf numFmtId="9" fontId="7" fillId="0" borderId="0" xfId="0" applyNumberFormat="1" applyFont="1" applyBorder="1" applyAlignment="1">
      <alignment horizontal="center"/>
    </xf>
    <xf numFmtId="184" fontId="6" fillId="0" borderId="1" xfId="0" applyNumberFormat="1" applyFont="1" applyBorder="1" applyAlignment="1">
      <alignment horizontal="center"/>
    </xf>
    <xf numFmtId="184" fontId="1" fillId="0" borderId="0" xfId="0" applyNumberFormat="1" applyFont="1" applyBorder="1" applyAlignment="1">
      <alignment horizontal="center"/>
    </xf>
    <xf numFmtId="0" fontId="27" fillId="13" borderId="1" xfId="3" applyBorder="1">
      <alignment vertical="center"/>
    </xf>
    <xf numFmtId="0" fontId="27" fillId="7" borderId="1" xfId="2" applyBorder="1">
      <alignment vertical="center"/>
    </xf>
    <xf numFmtId="0" fontId="27" fillId="18" borderId="1" xfId="3" applyFill="1" applyBorder="1">
      <alignment vertical="center"/>
    </xf>
    <xf numFmtId="0" fontId="27" fillId="18" borderId="1" xfId="2" applyFill="1" applyBorder="1">
      <alignment vertical="center"/>
    </xf>
    <xf numFmtId="0" fontId="0" fillId="0" borderId="1" xfId="0" applyBorder="1" applyAlignment="1">
      <alignment vertical="center"/>
    </xf>
    <xf numFmtId="0" fontId="0" fillId="7" borderId="1" xfId="0" applyFill="1" applyBorder="1" applyAlignment="1">
      <alignment vertical="center"/>
    </xf>
    <xf numFmtId="0" fontId="0" fillId="7" borderId="1" xfId="0" applyFill="1" applyBorder="1" applyAlignment="1">
      <alignment horizontal="center" vertical="center"/>
    </xf>
    <xf numFmtId="0" fontId="0" fillId="13" borderId="1" xfId="0" applyFill="1" applyBorder="1" applyAlignment="1">
      <alignment vertical="center"/>
    </xf>
    <xf numFmtId="0" fontId="0" fillId="13" borderId="1" xfId="0" applyFill="1" applyBorder="1" applyAlignment="1">
      <alignment horizontal="center" vertical="center"/>
    </xf>
    <xf numFmtId="176" fontId="0" fillId="0" borderId="1" xfId="0" applyNumberFormat="1" applyBorder="1" applyAlignment="1">
      <alignment vertical="center"/>
    </xf>
    <xf numFmtId="0" fontId="0" fillId="0" borderId="2" xfId="0" applyBorder="1" applyAlignment="1">
      <alignment vertical="center"/>
    </xf>
    <xf numFmtId="0" fontId="0" fillId="6" borderId="1" xfId="0" applyFill="1" applyBorder="1" applyAlignment="1">
      <alignment vertical="center"/>
    </xf>
    <xf numFmtId="0" fontId="0" fillId="0" borderId="3" xfId="0" applyBorder="1" applyAlignment="1">
      <alignment vertical="center"/>
    </xf>
    <xf numFmtId="0" fontId="0" fillId="3" borderId="1" xfId="0" applyFill="1" applyBorder="1" applyAlignment="1">
      <alignment vertical="center"/>
    </xf>
    <xf numFmtId="0" fontId="0" fillId="3" borderId="1" xfId="0" applyFill="1" applyBorder="1" applyAlignment="1">
      <alignment horizontal="center" vertical="center"/>
    </xf>
    <xf numFmtId="0" fontId="0" fillId="6" borderId="1" xfId="0"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177" fontId="0" fillId="0" borderId="0" xfId="0" applyNumberFormat="1" applyAlignment="1">
      <alignment vertical="center"/>
    </xf>
    <xf numFmtId="177" fontId="1" fillId="0" borderId="0" xfId="0" applyNumberFormat="1" applyFont="1" applyBorder="1" applyAlignment="1">
      <alignment horizontal="center"/>
    </xf>
    <xf numFmtId="0" fontId="0" fillId="0" borderId="0" xfId="0" applyNumberFormat="1" applyAlignment="1">
      <alignment vertical="center"/>
    </xf>
    <xf numFmtId="0" fontId="1" fillId="0" borderId="12" xfId="0" applyNumberFormat="1" applyFont="1" applyFill="1" applyBorder="1" applyAlignment="1">
      <alignment horizontal="center"/>
    </xf>
    <xf numFmtId="0" fontId="1" fillId="0" borderId="13" xfId="0" applyNumberFormat="1" applyFont="1" applyBorder="1" applyAlignment="1">
      <alignment horizontal="center"/>
    </xf>
    <xf numFmtId="0" fontId="0" fillId="0" borderId="0" xfId="0" applyNumberFormat="1" applyBorder="1" applyAlignment="1">
      <alignment vertical="center"/>
    </xf>
    <xf numFmtId="0" fontId="0" fillId="0" borderId="14" xfId="0" applyNumberFormat="1" applyBorder="1" applyAlignment="1">
      <alignment vertical="center"/>
    </xf>
    <xf numFmtId="0" fontId="1" fillId="0" borderId="15" xfId="0" applyNumberFormat="1" applyFont="1" applyBorder="1" applyAlignment="1">
      <alignment horizontal="center"/>
    </xf>
    <xf numFmtId="0" fontId="0" fillId="0" borderId="16" xfId="0" applyNumberFormat="1" applyBorder="1" applyAlignment="1">
      <alignment vertical="center"/>
    </xf>
    <xf numFmtId="0" fontId="0" fillId="0" borderId="17" xfId="0" applyNumberFormat="1" applyBorder="1" applyAlignment="1">
      <alignment vertical="center"/>
    </xf>
    <xf numFmtId="177" fontId="1" fillId="0" borderId="0" xfId="0" applyNumberFormat="1" applyFont="1" applyAlignment="1">
      <alignment horizontal="center"/>
    </xf>
    <xf numFmtId="0" fontId="1" fillId="0" borderId="18" xfId="0" applyNumberFormat="1" applyFont="1" applyBorder="1" applyAlignment="1">
      <alignment horizontal="center"/>
    </xf>
    <xf numFmtId="0" fontId="0" fillId="0" borderId="19" xfId="0" applyNumberFormat="1" applyBorder="1" applyAlignment="1">
      <alignment vertical="center"/>
    </xf>
    <xf numFmtId="0" fontId="1" fillId="0" borderId="20" xfId="0" applyNumberFormat="1" applyFont="1" applyBorder="1" applyAlignment="1">
      <alignment horizontal="center"/>
    </xf>
    <xf numFmtId="0" fontId="0" fillId="0" borderId="21" xfId="0" applyNumberFormat="1" applyBorder="1" applyAlignment="1">
      <alignment vertical="center"/>
    </xf>
    <xf numFmtId="0" fontId="0" fillId="0" borderId="3" xfId="0" applyNumberFormat="1" applyBorder="1" applyAlignment="1">
      <alignment vertical="center"/>
    </xf>
    <xf numFmtId="0" fontId="0" fillId="0" borderId="22" xfId="0" applyNumberFormat="1" applyBorder="1" applyAlignment="1">
      <alignment vertical="center"/>
    </xf>
    <xf numFmtId="0" fontId="1" fillId="0" borderId="23" xfId="0" applyNumberFormat="1" applyFont="1" applyBorder="1" applyAlignment="1">
      <alignment horizontal="center"/>
    </xf>
    <xf numFmtId="0" fontId="0" fillId="0" borderId="24" xfId="0" applyNumberFormat="1" applyBorder="1" applyAlignment="1">
      <alignment vertical="center"/>
    </xf>
    <xf numFmtId="0" fontId="0" fillId="0" borderId="12" xfId="0" applyNumberFormat="1" applyBorder="1" applyAlignment="1">
      <alignment vertical="center"/>
    </xf>
    <xf numFmtId="0" fontId="0" fillId="0" borderId="25" xfId="0" applyNumberFormat="1" applyBorder="1" applyAlignment="1">
      <alignment vertical="center"/>
    </xf>
    <xf numFmtId="0" fontId="0" fillId="0" borderId="26" xfId="0" applyNumberFormat="1" applyBorder="1" applyAlignment="1">
      <alignment vertical="center"/>
    </xf>
    <xf numFmtId="0" fontId="0" fillId="0" borderId="1" xfId="0" applyBorder="1" applyAlignment="1">
      <alignment horizontal="center" vertical="center"/>
    </xf>
    <xf numFmtId="177" fontId="0" fillId="0" borderId="1" xfId="0" applyNumberFormat="1" applyBorder="1" applyAlignment="1">
      <alignment vertical="center"/>
    </xf>
    <xf numFmtId="0" fontId="0" fillId="0" borderId="27" xfId="0" applyNumberFormat="1" applyBorder="1" applyAlignment="1">
      <alignment vertical="center"/>
    </xf>
    <xf numFmtId="0" fontId="0" fillId="0" borderId="28" xfId="0" applyNumberFormat="1" applyBorder="1" applyAlignment="1">
      <alignment vertical="center"/>
    </xf>
    <xf numFmtId="0" fontId="1" fillId="0" borderId="29" xfId="0" applyNumberFormat="1" applyFont="1" applyBorder="1" applyAlignment="1">
      <alignment horizontal="center"/>
    </xf>
    <xf numFmtId="0" fontId="0" fillId="0" borderId="30" xfId="0" applyNumberFormat="1" applyBorder="1" applyAlignment="1">
      <alignment vertical="center"/>
    </xf>
    <xf numFmtId="0" fontId="1" fillId="19" borderId="1" xfId="0" applyFont="1" applyFill="1" applyBorder="1" applyAlignment="1">
      <alignment horizontal="center"/>
    </xf>
    <xf numFmtId="0" fontId="1" fillId="20" borderId="1" xfId="0" applyFont="1" applyFill="1" applyBorder="1" applyAlignment="1">
      <alignment horizontal="center"/>
    </xf>
    <xf numFmtId="0" fontId="1" fillId="21" borderId="1" xfId="0" applyFont="1" applyFill="1" applyBorder="1" applyAlignment="1">
      <alignment horizontal="center"/>
    </xf>
    <xf numFmtId="0" fontId="1" fillId="22" borderId="1" xfId="0" applyFont="1" applyFill="1" applyBorder="1" applyAlignment="1">
      <alignment horizontal="center"/>
    </xf>
    <xf numFmtId="0" fontId="1" fillId="0" borderId="6" xfId="0" applyFont="1" applyBorder="1" applyAlignment="1"/>
    <xf numFmtId="0" fontId="1" fillId="0" borderId="0" xfId="0" applyFont="1" applyBorder="1" applyAlignment="1"/>
    <xf numFmtId="0" fontId="18" fillId="0" borderId="1" xfId="0" applyFont="1" applyBorder="1" applyAlignment="1">
      <alignment horizontal="center"/>
    </xf>
    <xf numFmtId="0" fontId="12" fillId="0" borderId="0" xfId="0" applyFont="1"/>
    <xf numFmtId="0" fontId="19" fillId="0" borderId="0" xfId="0" applyFont="1" applyAlignment="1">
      <alignment vertical="center"/>
    </xf>
    <xf numFmtId="185" fontId="0" fillId="0" borderId="1" xfId="0" applyNumberFormat="1" applyBorder="1"/>
    <xf numFmtId="185" fontId="3" fillId="0" borderId="0" xfId="0" applyNumberFormat="1" applyFont="1"/>
    <xf numFmtId="185" fontId="12" fillId="0" borderId="1" xfId="0" applyNumberFormat="1" applyFont="1" applyBorder="1"/>
    <xf numFmtId="0" fontId="7" fillId="0" borderId="0" xfId="0" applyNumberFormat="1" applyFont="1" applyBorder="1" applyAlignment="1">
      <alignment horizontal="center"/>
    </xf>
    <xf numFmtId="9" fontId="1" fillId="0" borderId="0" xfId="0" applyNumberFormat="1" applyFont="1" applyBorder="1" applyAlignment="1">
      <alignment horizontal="center"/>
    </xf>
    <xf numFmtId="0" fontId="5" fillId="0" borderId="1" xfId="0" applyFont="1" applyFill="1" applyBorder="1" applyAlignment="1">
      <alignment horizontal="center"/>
    </xf>
    <xf numFmtId="179" fontId="1" fillId="0" borderId="0" xfId="0" applyNumberFormat="1" applyFont="1" applyBorder="1" applyAlignment="1">
      <alignment horizontal="center"/>
    </xf>
    <xf numFmtId="0" fontId="1" fillId="0" borderId="0" xfId="0" applyNumberFormat="1" applyFont="1" applyBorder="1" applyAlignment="1">
      <alignment horizontal="center"/>
    </xf>
    <xf numFmtId="178" fontId="6" fillId="0" borderId="1" xfId="0" applyNumberFormat="1" applyFont="1" applyBorder="1" applyAlignment="1">
      <alignment horizontal="center"/>
    </xf>
    <xf numFmtId="181" fontId="7" fillId="0" borderId="1" xfId="0" applyNumberFormat="1" applyFont="1" applyBorder="1" applyAlignment="1">
      <alignment horizontal="center"/>
    </xf>
    <xf numFmtId="0" fontId="6" fillId="0" borderId="0" xfId="0" applyNumberFormat="1" applyFont="1" applyBorder="1" applyAlignment="1">
      <alignment horizontal="center"/>
    </xf>
    <xf numFmtId="0" fontId="21" fillId="0" borderId="1" xfId="0" applyFont="1" applyBorder="1" applyAlignment="1">
      <alignment horizontal="center"/>
    </xf>
    <xf numFmtId="0" fontId="22" fillId="0" borderId="1" xfId="0" applyFont="1" applyBorder="1" applyAlignment="1">
      <alignment horizontal="center"/>
    </xf>
    <xf numFmtId="0" fontId="1" fillId="4" borderId="0" xfId="0" applyFont="1" applyFill="1" applyAlignment="1">
      <alignment horizontal="center"/>
    </xf>
    <xf numFmtId="0" fontId="9" fillId="3" borderId="1" xfId="0" applyFont="1" applyFill="1" applyBorder="1" applyAlignment="1">
      <alignment horizontal="center"/>
    </xf>
    <xf numFmtId="178" fontId="9" fillId="3" borderId="1" xfId="0" applyNumberFormat="1" applyFont="1" applyFill="1" applyBorder="1" applyAlignment="1">
      <alignment horizontal="center"/>
    </xf>
    <xf numFmtId="9" fontId="5" fillId="0" borderId="0" xfId="0" applyNumberFormat="1" applyFont="1" applyBorder="1" applyAlignment="1">
      <alignment horizontal="center"/>
    </xf>
    <xf numFmtId="9" fontId="6" fillId="0" borderId="1" xfId="0" applyNumberFormat="1" applyFont="1" applyBorder="1" applyAlignment="1">
      <alignment horizontal="center"/>
    </xf>
    <xf numFmtId="0" fontId="5" fillId="0" borderId="0" xfId="0" applyNumberFormat="1" applyFont="1" applyBorder="1" applyAlignment="1">
      <alignment horizontal="center"/>
    </xf>
    <xf numFmtId="0" fontId="1" fillId="15" borderId="1" xfId="0" applyFont="1" applyFill="1" applyBorder="1" applyAlignment="1">
      <alignment horizontal="center"/>
    </xf>
    <xf numFmtId="0" fontId="5" fillId="15" borderId="1" xfId="0" applyFont="1" applyFill="1" applyBorder="1" applyAlignment="1">
      <alignment horizontal="center"/>
    </xf>
    <xf numFmtId="177" fontId="5" fillId="0" borderId="1" xfId="0" applyNumberFormat="1" applyFont="1" applyBorder="1" applyAlignment="1">
      <alignment horizontal="center"/>
    </xf>
    <xf numFmtId="177" fontId="1" fillId="0" borderId="1" xfId="0" applyNumberFormat="1" applyFont="1" applyBorder="1" applyAlignment="1">
      <alignment horizontal="center"/>
    </xf>
    <xf numFmtId="181" fontId="5" fillId="0" borderId="1" xfId="0" applyNumberFormat="1" applyFont="1" applyBorder="1" applyAlignment="1">
      <alignment horizontal="center"/>
    </xf>
    <xf numFmtId="181" fontId="6" fillId="0" borderId="1" xfId="0" applyNumberFormat="1" applyFont="1" applyBorder="1" applyAlignment="1">
      <alignment horizontal="center"/>
    </xf>
    <xf numFmtId="181" fontId="1" fillId="0" borderId="4" xfId="0" applyNumberFormat="1" applyFont="1" applyBorder="1" applyAlignment="1">
      <alignment horizontal="center"/>
    </xf>
    <xf numFmtId="176" fontId="1" fillId="0" borderId="4" xfId="0" applyNumberFormat="1" applyFont="1" applyBorder="1" applyAlignment="1">
      <alignment horizontal="center"/>
    </xf>
    <xf numFmtId="180" fontId="1" fillId="0" borderId="1" xfId="0" applyNumberFormat="1" applyFont="1" applyBorder="1" applyAlignment="1">
      <alignment horizontal="center"/>
    </xf>
    <xf numFmtId="0" fontId="23" fillId="0" borderId="0" xfId="0" applyFont="1" applyAlignment="1">
      <alignment horizontal="left"/>
    </xf>
    <xf numFmtId="180" fontId="1" fillId="0" borderId="0" xfId="0" applyNumberFormat="1" applyFont="1" applyAlignment="1">
      <alignment horizontal="center"/>
    </xf>
    <xf numFmtId="0" fontId="1" fillId="0" borderId="0" xfId="0" applyFont="1" applyAlignment="1">
      <alignment horizontal="left" vertical="center"/>
    </xf>
    <xf numFmtId="0" fontId="13" fillId="0" borderId="0" xfId="0" applyFont="1" applyAlignment="1">
      <alignment horizontal="center" vertical="center"/>
    </xf>
    <xf numFmtId="0" fontId="35" fillId="0" borderId="0" xfId="0" applyFont="1" applyAlignment="1">
      <alignment horizontal="center"/>
    </xf>
    <xf numFmtId="0" fontId="35" fillId="0" borderId="0" xfId="0" applyFont="1" applyAlignment="1">
      <alignment horizontal="center" vertical="top"/>
    </xf>
    <xf numFmtId="0" fontId="36" fillId="0" borderId="0" xfId="0" applyFont="1"/>
    <xf numFmtId="0" fontId="37" fillId="8" borderId="0" xfId="0" applyFont="1" applyFill="1"/>
    <xf numFmtId="0" fontId="1" fillId="0" borderId="1" xfId="0" applyFont="1" applyBorder="1" applyAlignment="1">
      <alignment horizontal="center"/>
    </xf>
    <xf numFmtId="0" fontId="37" fillId="0" borderId="0" xfId="0" applyFont="1"/>
    <xf numFmtId="0" fontId="38" fillId="3" borderId="1" xfId="0" applyFont="1" applyFill="1" applyBorder="1" applyAlignment="1">
      <alignment horizontal="center"/>
    </xf>
    <xf numFmtId="0" fontId="37" fillId="11" borderId="1" xfId="0" applyFont="1" applyFill="1" applyBorder="1"/>
    <xf numFmtId="0" fontId="1" fillId="0" borderId="0" xfId="0" applyFont="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1" xfId="0" applyFont="1" applyFill="1" applyBorder="1" applyAlignment="1">
      <alignment horizontal="center"/>
    </xf>
    <xf numFmtId="0" fontId="1" fillId="0" borderId="6" xfId="0" applyFont="1" applyBorder="1" applyAlignment="1">
      <alignment horizontal="center"/>
    </xf>
    <xf numFmtId="0" fontId="1" fillId="0" borderId="0" xfId="0" applyFont="1" applyBorder="1" applyAlignment="1">
      <alignment horizontal="center"/>
    </xf>
    <xf numFmtId="0" fontId="20" fillId="0" borderId="1" xfId="0" applyFont="1" applyBorder="1" applyAlignment="1">
      <alignment horizontal="center"/>
    </xf>
    <xf numFmtId="0" fontId="1" fillId="22" borderId="2" xfId="0" applyFont="1" applyFill="1" applyBorder="1" applyAlignment="1">
      <alignment horizontal="center"/>
    </xf>
    <xf numFmtId="0" fontId="1" fillId="22" borderId="5" xfId="0" applyFont="1" applyFill="1" applyBorder="1" applyAlignment="1">
      <alignment horizontal="center"/>
    </xf>
    <xf numFmtId="0" fontId="1" fillId="22" borderId="3" xfId="0" applyFont="1" applyFill="1" applyBorder="1" applyAlignment="1">
      <alignment horizontal="center"/>
    </xf>
    <xf numFmtId="0" fontId="0" fillId="0" borderId="11" xfId="0" applyNumberFormat="1" applyBorder="1" applyAlignment="1">
      <alignment horizontal="center" vertical="center"/>
    </xf>
    <xf numFmtId="177" fontId="17" fillId="0" borderId="1" xfId="0" applyNumberFormat="1"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left" vertical="center"/>
    </xf>
    <xf numFmtId="0" fontId="6" fillId="0" borderId="1" xfId="0" applyFon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cellXfs>
  <cellStyles count="5">
    <cellStyle name="20% - 着色 2" xfId="3" builtinId="34"/>
    <cellStyle name="20% - 着色 5" xfId="2" builtinId="46"/>
    <cellStyle name="常规" xfId="0" builtinId="0"/>
    <cellStyle name="常规 2" xfId="4"/>
    <cellStyle name="注释 2" xfId="1"/>
  </cellStyles>
  <dxfs count="6">
    <dxf>
      <font>
        <color rgb="FF9C0006"/>
      </font>
      <fill>
        <patternFill patternType="solid">
          <bgColor rgb="FFFFC7CE"/>
        </patternFill>
      </fill>
    </dxf>
    <dxf>
      <fill>
        <patternFill patternType="solid">
          <bgColor rgb="FFFF0000"/>
        </patternFill>
      </fill>
    </dxf>
    <dxf>
      <fill>
        <patternFill patternType="solid">
          <bgColor theme="6" tint="0.39991454817346722"/>
        </patternFill>
      </fill>
    </dxf>
    <dxf>
      <fill>
        <patternFill patternType="solid">
          <bgColor theme="6" tint="0.39991454817346722"/>
        </patternFill>
      </fill>
    </dxf>
    <dxf>
      <fill>
        <patternFill patternType="solid">
          <bgColor theme="6" tint="0.39991454817346722"/>
        </patternFill>
      </fill>
    </dxf>
    <dxf>
      <fill>
        <patternFill patternType="solid">
          <bgColor theme="6" tint="0.39991454817346722"/>
        </patternFill>
      </fill>
    </dxf>
  </dxfs>
  <tableStyles count="0" defaultTableStyle="TableStyleMedium2" defaultPivotStyle="PivotStyleMedium9"/>
  <colors>
    <mruColors>
      <color rgb="FFF0F2FE"/>
      <color rgb="FFECEEFE"/>
      <color rgb="FFCCECD7"/>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800" b="1" i="0" u="none" strike="noStrike" kern="1200" spc="0" baseline="0">
                <a:solidFill>
                  <a:schemeClr val="tx1">
                    <a:lumMod val="65000"/>
                    <a:lumOff val="35000"/>
                  </a:schemeClr>
                </a:solidFill>
                <a:latin typeface="+mn-lt"/>
                <a:ea typeface="+mn-ea"/>
                <a:cs typeface="+mn-cs"/>
              </a:defRPr>
            </a:pPr>
            <a:r>
              <a:rPr lang="zh-CN" altLang="en-US" sz="1800" b="1"/>
              <a:t>奖牌</a:t>
            </a:r>
            <a:r>
              <a:rPr lang="en-US" altLang="zh-CN" sz="1800" b="1"/>
              <a:t>-</a:t>
            </a:r>
            <a:r>
              <a:rPr lang="zh-CN" altLang="en-US" sz="1800" b="1"/>
              <a:t>游戏时间</a:t>
            </a:r>
          </a:p>
        </c:rich>
      </c:tx>
      <c:overlay val="0"/>
      <c:spPr>
        <a:noFill/>
        <a:ln>
          <a:noFill/>
        </a:ln>
        <a:effectLst/>
      </c:spPr>
      <c:txPr>
        <a:bodyPr rot="0" spcFirstLastPara="1" vertOverflow="ellipsis" vert="horz" wrap="square" anchor="ctr" anchorCtr="1"/>
        <a:lstStyle/>
        <a:p>
          <a:pPr>
            <a:defRPr lang="zh-CN" sz="1800" b="1"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intercept val="0"/>
            <c:dispRSqr val="0"/>
            <c:dispEq val="1"/>
            <c:trendlineLbl>
              <c:layout>
                <c:manualLayout>
                  <c:x val="-7.7270005173312395E-2"/>
                  <c:y val="-3.0031307214300501E-2"/>
                </c:manualLayout>
              </c:layout>
              <c:numFmt formatCode="General" sourceLinked="0"/>
              <c:spPr>
                <a:noFill/>
                <a:ln>
                  <a:noFill/>
                </a:ln>
                <a:effectLst/>
              </c:spPr>
              <c:txPr>
                <a:bodyPr rot="0" spcFirstLastPara="1" vertOverflow="ellipsis" vert="horz" wrap="square" anchor="ctr" anchorCtr="1"/>
                <a:lstStyle/>
                <a:p>
                  <a:pPr>
                    <a:defRPr lang="zh-CN" sz="2000" b="1" i="0" u="none" strike="noStrike" kern="1200" baseline="0">
                      <a:solidFill>
                        <a:schemeClr val="tx1">
                          <a:lumMod val="65000"/>
                          <a:lumOff val="35000"/>
                        </a:schemeClr>
                      </a:solidFill>
                      <a:latin typeface="+mn-lt"/>
                      <a:ea typeface="+mn-ea"/>
                      <a:cs typeface="+mn-cs"/>
                    </a:defRPr>
                  </a:pPr>
                  <a:endParaRPr lang="zh-CN"/>
                </a:p>
              </c:txPr>
            </c:trendlineLbl>
          </c:trendline>
          <c:xVal>
            <c:numRef>
              <c:f>游戏时长规划!$D$17:$D$26</c:f>
              <c:numCache>
                <c:formatCode>General</c:formatCode>
                <c:ptCount val="10"/>
                <c:pt idx="0">
                  <c:v>60</c:v>
                </c:pt>
                <c:pt idx="1">
                  <c:v>180</c:v>
                </c:pt>
                <c:pt idx="2">
                  <c:v>300</c:v>
                </c:pt>
                <c:pt idx="3">
                  <c:v>600</c:v>
                </c:pt>
                <c:pt idx="4">
                  <c:v>900</c:v>
                </c:pt>
                <c:pt idx="5">
                  <c:v>1200</c:v>
                </c:pt>
                <c:pt idx="6">
                  <c:v>1500</c:v>
                </c:pt>
                <c:pt idx="7">
                  <c:v>1700</c:v>
                </c:pt>
                <c:pt idx="8">
                  <c:v>2000</c:v>
                </c:pt>
                <c:pt idx="9">
                  <c:v>2300</c:v>
                </c:pt>
              </c:numCache>
            </c:numRef>
          </c:xVal>
          <c:yVal>
            <c:numRef>
              <c:f>游戏时长规划!$F$17:$F$26</c:f>
              <c:numCache>
                <c:formatCode>0.0_ </c:formatCode>
                <c:ptCount val="10"/>
                <c:pt idx="0">
                  <c:v>1.2244897959183674</c:v>
                </c:pt>
                <c:pt idx="1">
                  <c:v>3.7885923600209312</c:v>
                </c:pt>
                <c:pt idx="2">
                  <c:v>6.4912950627236334</c:v>
                </c:pt>
                <c:pt idx="3">
                  <c:v>15.062723634152205</c:v>
                </c:pt>
                <c:pt idx="4">
                  <c:v>27.062723634152206</c:v>
                </c:pt>
                <c:pt idx="5">
                  <c:v>37.062723634152206</c:v>
                </c:pt>
                <c:pt idx="6">
                  <c:v>52.062723634152206</c:v>
                </c:pt>
                <c:pt idx="7">
                  <c:v>68.729390300818878</c:v>
                </c:pt>
                <c:pt idx="8">
                  <c:v>88.729390300818878</c:v>
                </c:pt>
                <c:pt idx="9">
                  <c:v>108.72939030081888</c:v>
                </c:pt>
              </c:numCache>
            </c:numRef>
          </c:yVal>
          <c:smooth val="0"/>
          <c:extLst>
            <c:ext xmlns:c16="http://schemas.microsoft.com/office/drawing/2014/chart" uri="{C3380CC4-5D6E-409C-BE32-E72D297353CC}">
              <c16:uniqueId val="{00000000-0049-43C1-80DA-47C90015866E}"/>
            </c:ext>
          </c:extLst>
        </c:ser>
        <c:dLbls>
          <c:showLegendKey val="0"/>
          <c:showVal val="0"/>
          <c:showCatName val="0"/>
          <c:showSerName val="0"/>
          <c:showPercent val="0"/>
          <c:showBubbleSize val="0"/>
        </c:dLbls>
        <c:axId val="1464285232"/>
        <c:axId val="1464283056"/>
      </c:scatterChart>
      <c:valAx>
        <c:axId val="1464285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1464283056"/>
        <c:crosses val="autoZero"/>
        <c:crossBetween val="midCat"/>
      </c:valAx>
      <c:valAx>
        <c:axId val="1464283056"/>
        <c:scaling>
          <c:orientation val="minMax"/>
        </c:scaling>
        <c:delete val="0"/>
        <c:axPos val="l"/>
        <c:majorGridlines>
          <c:spPr>
            <a:ln w="9525" cap="flat" cmpd="sng" algn="ctr">
              <a:solidFill>
                <a:schemeClr val="tx1">
                  <a:lumMod val="15000"/>
                  <a:lumOff val="85000"/>
                </a:schemeClr>
              </a:solidFill>
              <a:round/>
            </a:ln>
            <a:effectLst/>
          </c:spPr>
        </c:majorGridlines>
        <c:numFmt formatCode="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1464285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r>
              <a:rPr lang="zh-CN" altLang="en-US"/>
              <a:t>坦克养成属性对比</a:t>
            </a:r>
          </a:p>
        </c:rich>
      </c:tx>
      <c:overlay val="0"/>
      <c:spPr>
        <a:noFill/>
        <a:ln>
          <a:noFill/>
        </a:ln>
        <a:effectLst/>
      </c:spPr>
      <c:txPr>
        <a:bodyPr rot="0" spcFirstLastPara="1" vertOverflow="ellipsis" vert="horz" wrap="square" anchor="ctr" anchorCtr="1"/>
        <a:lstStyle/>
        <a:p>
          <a:pPr>
            <a:defRPr lang="zh-CN"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areaChart>
        <c:grouping val="stacked"/>
        <c:varyColors val="0"/>
        <c:ser>
          <c:idx val="0"/>
          <c:order val="0"/>
          <c:tx>
            <c:strRef>
              <c:f>坦克属性对比!$G$3</c:f>
              <c:strCache>
                <c:ptCount val="1"/>
                <c:pt idx="0">
                  <c:v>初始属性</c:v>
                </c:pt>
              </c:strCache>
            </c:strRef>
          </c:tx>
          <c:spPr>
            <a:solidFill>
              <a:schemeClr val="accent1"/>
            </a:solidFill>
            <a:ln>
              <a:noFill/>
            </a:ln>
            <a:effectLst/>
          </c:spPr>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坦克属性对比!$G$4:$G$15</c:f>
              <c:numCache>
                <c:formatCode>0.00_ </c:formatCode>
                <c:ptCount val="12"/>
                <c:pt idx="0">
                  <c:v>1</c:v>
                </c:pt>
                <c:pt idx="1">
                  <c:v>1.2</c:v>
                </c:pt>
                <c:pt idx="2">
                  <c:v>1.22</c:v>
                </c:pt>
                <c:pt idx="3">
                  <c:v>1.48</c:v>
                </c:pt>
                <c:pt idx="4">
                  <c:v>1.54</c:v>
                </c:pt>
                <c:pt idx="5">
                  <c:v>1.54</c:v>
                </c:pt>
                <c:pt idx="6">
                  <c:v>1.92</c:v>
                </c:pt>
                <c:pt idx="7">
                  <c:v>2</c:v>
                </c:pt>
                <c:pt idx="8">
                  <c:v>2</c:v>
                </c:pt>
                <c:pt idx="9">
                  <c:v>2.52</c:v>
                </c:pt>
                <c:pt idx="10">
                  <c:v>2.62</c:v>
                </c:pt>
                <c:pt idx="11">
                  <c:v>2.62</c:v>
                </c:pt>
              </c:numCache>
            </c:numRef>
          </c:val>
          <c:extLst>
            <c:ext xmlns:c16="http://schemas.microsoft.com/office/drawing/2014/chart" uri="{C3380CC4-5D6E-409C-BE32-E72D297353CC}">
              <c16:uniqueId val="{00000000-A5BF-40FE-93E7-133173D6DF77}"/>
            </c:ext>
          </c:extLst>
        </c:ser>
        <c:dLbls>
          <c:showLegendKey val="0"/>
          <c:showVal val="0"/>
          <c:showCatName val="0"/>
          <c:showSerName val="0"/>
          <c:showPercent val="0"/>
          <c:showBubbleSize val="0"/>
        </c:dLbls>
        <c:axId val="1464286864"/>
        <c:axId val="1464287408"/>
      </c:areaChart>
      <c:barChart>
        <c:barDir val="col"/>
        <c:grouping val="clustered"/>
        <c:varyColors val="0"/>
        <c:ser>
          <c:idx val="1"/>
          <c:order val="1"/>
          <c:tx>
            <c:strRef>
              <c:f>坦克属性对比!$H$3</c:f>
              <c:strCache>
                <c:ptCount val="1"/>
                <c:pt idx="0">
                  <c:v>最终属性</c:v>
                </c:pt>
              </c:strCache>
            </c:strRef>
          </c:tx>
          <c:spPr>
            <a:solidFill>
              <a:schemeClr val="accent2"/>
            </a:solidFill>
            <a:ln>
              <a:noFill/>
            </a:ln>
            <a:effectLst/>
          </c:spPr>
          <c:invertIfNegative val="0"/>
          <c:cat>
            <c:strRef>
              <c:f>坦克属性对比!$C$4:$C$15</c:f>
              <c:strCache>
                <c:ptCount val="12"/>
                <c:pt idx="0">
                  <c:v>T1低</c:v>
                </c:pt>
                <c:pt idx="1">
                  <c:v>T2低</c:v>
                </c:pt>
                <c:pt idx="2">
                  <c:v>T2中</c:v>
                </c:pt>
                <c:pt idx="3">
                  <c:v>T3低</c:v>
                </c:pt>
                <c:pt idx="4">
                  <c:v>T3中</c:v>
                </c:pt>
                <c:pt idx="5">
                  <c:v>T3高</c:v>
                </c:pt>
                <c:pt idx="6">
                  <c:v>T4低</c:v>
                </c:pt>
                <c:pt idx="7">
                  <c:v>T4中</c:v>
                </c:pt>
                <c:pt idx="8">
                  <c:v>T4高</c:v>
                </c:pt>
                <c:pt idx="9">
                  <c:v>T5低</c:v>
                </c:pt>
                <c:pt idx="10">
                  <c:v>T5中</c:v>
                </c:pt>
                <c:pt idx="11">
                  <c:v>T5高</c:v>
                </c:pt>
              </c:strCache>
            </c:strRef>
          </c:cat>
          <c:val>
            <c:numRef>
              <c:f>坦克属性对比!$H$4:$H$15</c:f>
              <c:numCache>
                <c:formatCode>0.00_ </c:formatCode>
                <c:ptCount val="12"/>
                <c:pt idx="0">
                  <c:v>1.3</c:v>
                </c:pt>
                <c:pt idx="1">
                  <c:v>1.7</c:v>
                </c:pt>
                <c:pt idx="2">
                  <c:v>1.7599999999999998</c:v>
                </c:pt>
                <c:pt idx="3">
                  <c:v>2.17</c:v>
                </c:pt>
                <c:pt idx="4">
                  <c:v>2.2800000000000002</c:v>
                </c:pt>
                <c:pt idx="5">
                  <c:v>2.33</c:v>
                </c:pt>
                <c:pt idx="6">
                  <c:v>2.82</c:v>
                </c:pt>
                <c:pt idx="7">
                  <c:v>2.96</c:v>
                </c:pt>
                <c:pt idx="8">
                  <c:v>3.0199999999999996</c:v>
                </c:pt>
                <c:pt idx="9">
                  <c:v>3.65</c:v>
                </c:pt>
                <c:pt idx="10">
                  <c:v>3.82</c:v>
                </c:pt>
                <c:pt idx="11">
                  <c:v>3.89</c:v>
                </c:pt>
              </c:numCache>
            </c:numRef>
          </c:val>
          <c:extLst>
            <c:ext xmlns:c16="http://schemas.microsoft.com/office/drawing/2014/chart" uri="{C3380CC4-5D6E-409C-BE32-E72D297353CC}">
              <c16:uniqueId val="{00000001-A5BF-40FE-93E7-133173D6DF77}"/>
            </c:ext>
          </c:extLst>
        </c:ser>
        <c:dLbls>
          <c:showLegendKey val="0"/>
          <c:showVal val="0"/>
          <c:showCatName val="0"/>
          <c:showSerName val="0"/>
          <c:showPercent val="0"/>
          <c:showBubbleSize val="0"/>
        </c:dLbls>
        <c:gapWidth val="150"/>
        <c:axId val="1464286864"/>
        <c:axId val="1464287408"/>
      </c:barChart>
      <c:catAx>
        <c:axId val="1464286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1464287408"/>
        <c:crosses val="autoZero"/>
        <c:auto val="1"/>
        <c:lblAlgn val="ctr"/>
        <c:lblOffset val="100"/>
        <c:noMultiLvlLbl val="0"/>
      </c:catAx>
      <c:valAx>
        <c:axId val="1464287408"/>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crossAx val="146428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endParaRPr lang="zh-CN"/>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lang="zh-CN"/>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0</xdr:row>
          <xdr:rowOff>85725</xdr:rowOff>
        </xdr:from>
        <xdr:to>
          <xdr:col>2</xdr:col>
          <xdr:colOff>266700</xdr:colOff>
          <xdr:row>0</xdr:row>
          <xdr:rowOff>419100</xdr:rowOff>
        </xdr:to>
        <xdr:sp macro="" textlink="">
          <xdr:nvSpPr>
            <xdr:cNvPr id="211969" name="CommandButton1" hidden="1">
              <a:extLst>
                <a:ext uri="{63B3BB69-23CF-44E3-9099-C40C66FF867C}">
                  <a14:compatExt spid="_x0000_s2119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9524</xdr:colOff>
      <xdr:row>72</xdr:row>
      <xdr:rowOff>9525</xdr:rowOff>
    </xdr:from>
    <xdr:to>
      <xdr:col>19</xdr:col>
      <xdr:colOff>152399</xdr:colOff>
      <xdr:row>94</xdr:row>
      <xdr:rowOff>69839</xdr:rowOff>
    </xdr:to>
    <xdr:pic>
      <xdr:nvPicPr>
        <xdr:cNvPr id="7" name="图片 6"/>
        <xdr:cNvPicPr>
          <a:picLocks noChangeAspect="1"/>
        </xdr:cNvPicPr>
      </xdr:nvPicPr>
      <xdr:blipFill>
        <a:blip xmlns:r="http://schemas.openxmlformats.org/officeDocument/2006/relationships" r:embed="rId1"/>
        <a:stretch>
          <a:fillRect/>
        </a:stretch>
      </xdr:blipFill>
      <xdr:spPr>
        <a:xfrm>
          <a:off x="8238490" y="13039725"/>
          <a:ext cx="5153025" cy="4041140"/>
        </a:xfrm>
        <a:prstGeom prst="rect">
          <a:avLst/>
        </a:prstGeom>
      </xdr:spPr>
    </xdr:pic>
    <xdr:clientData/>
  </xdr:twoCellAnchor>
  <xdr:twoCellAnchor editAs="oneCell">
    <xdr:from>
      <xdr:col>12</xdr:col>
      <xdr:colOff>9525</xdr:colOff>
      <xdr:row>65</xdr:row>
      <xdr:rowOff>1</xdr:rowOff>
    </xdr:from>
    <xdr:to>
      <xdr:col>21</xdr:col>
      <xdr:colOff>342900</xdr:colOff>
      <xdr:row>71</xdr:row>
      <xdr:rowOff>87933</xdr:rowOff>
    </xdr:to>
    <xdr:pic>
      <xdr:nvPicPr>
        <xdr:cNvPr id="3" name="图片 2"/>
        <xdr:cNvPicPr>
          <a:picLocks noChangeAspect="1"/>
        </xdr:cNvPicPr>
      </xdr:nvPicPr>
      <xdr:blipFill>
        <a:blip xmlns:r="http://schemas.openxmlformats.org/officeDocument/2006/relationships" r:embed="rId2"/>
        <a:stretch>
          <a:fillRect/>
        </a:stretch>
      </xdr:blipFill>
      <xdr:spPr>
        <a:xfrm>
          <a:off x="8239125" y="11763375"/>
          <a:ext cx="6715125" cy="1173480"/>
        </a:xfrm>
        <a:prstGeom prst="rect">
          <a:avLst/>
        </a:prstGeom>
      </xdr:spPr>
    </xdr:pic>
    <xdr:clientData/>
  </xdr:twoCellAnchor>
  <xdr:twoCellAnchor editAs="oneCell">
    <xdr:from>
      <xdr:col>12</xdr:col>
      <xdr:colOff>9525</xdr:colOff>
      <xdr:row>37</xdr:row>
      <xdr:rowOff>9526</xdr:rowOff>
    </xdr:from>
    <xdr:to>
      <xdr:col>21</xdr:col>
      <xdr:colOff>590550</xdr:colOff>
      <xdr:row>64</xdr:row>
      <xdr:rowOff>145383</xdr:rowOff>
    </xdr:to>
    <xdr:pic>
      <xdr:nvPicPr>
        <xdr:cNvPr id="4" name="图片 3"/>
        <xdr:cNvPicPr>
          <a:picLocks noChangeAspect="1"/>
        </xdr:cNvPicPr>
      </xdr:nvPicPr>
      <xdr:blipFill>
        <a:blip xmlns:r="http://schemas.openxmlformats.org/officeDocument/2006/relationships" r:embed="rId3"/>
        <a:stretch>
          <a:fillRect/>
        </a:stretch>
      </xdr:blipFill>
      <xdr:spPr>
        <a:xfrm>
          <a:off x="8239125" y="6705600"/>
          <a:ext cx="6962775" cy="50215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28575</xdr:colOff>
          <xdr:row>0</xdr:row>
          <xdr:rowOff>28575</xdr:rowOff>
        </xdr:from>
        <xdr:to>
          <xdr:col>21</xdr:col>
          <xdr:colOff>352425</xdr:colOff>
          <xdr:row>2</xdr:row>
          <xdr:rowOff>9525</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取消隐藏</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285749</xdr:colOff>
      <xdr:row>14</xdr:row>
      <xdr:rowOff>33336</xdr:rowOff>
    </xdr:from>
    <xdr:to>
      <xdr:col>19</xdr:col>
      <xdr:colOff>295275</xdr:colOff>
      <xdr:row>33</xdr:row>
      <xdr:rowOff>142875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16</xdr:row>
      <xdr:rowOff>95249</xdr:rowOff>
    </xdr:from>
    <xdr:to>
      <xdr:col>8</xdr:col>
      <xdr:colOff>9525</xdr:colOff>
      <xdr:row>32</xdr:row>
      <xdr:rowOff>114300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IronForce2-resource\Document\Design\Numerical\&#23384;&#26723;\IF2&#24635;&#25968;&#20540;&#34920;-&#22791;&#20221;201911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453;&#31665;&#22635;&#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说明"/>
      <sheetName val="标准坦克设计"/>
      <sheetName val="基础属性系数"/>
      <sheetName val="基础经济系数"/>
      <sheetName val="游戏时长规划"/>
      <sheetName val="玩家资源获取模拟"/>
      <sheetName val="坦克升星消耗"/>
      <sheetName val="属性说明"/>
      <sheetName val="坦克等级成长"/>
      <sheetName val="类型坦克成长数据"/>
      <sheetName val="战斗时间模拟"/>
      <sheetName val="坦克标准养成属性"/>
      <sheetName val="坦克类型系数"/>
      <sheetName val="图鉴"/>
      <sheetName val="坦克个性化设定"/>
      <sheetName val="坦克个性化细分"/>
      <sheetName val="坦克属性统计"/>
      <sheetName val="坦克属性对比"/>
      <sheetName val="坦克部件"/>
      <sheetName val="坦克部件养成"/>
      <sheetName val="坦克技能"/>
      <sheetName val="战斗力计算"/>
      <sheetName val="匹配分段"/>
      <sheetName val="商店道具"/>
      <sheetName val="道具价值"/>
      <sheetName val="道具ID"/>
      <sheetName val="推送礼包"/>
      <sheetName val="活动奖励"/>
      <sheetName val="BattlePass"/>
      <sheetName val="成就"/>
      <sheetName val="联赛奖励"/>
      <sheetName val="任务设定"/>
      <sheetName val="宝箱设定"/>
      <sheetName val="宝箱内容"/>
      <sheetName val="名称-id"/>
      <sheetName val="碎片兑换"/>
    </sheetNames>
    <sheetDataSet>
      <sheetData sheetId="0"/>
      <sheetData sheetId="1"/>
      <sheetData sheetId="2"/>
      <sheetData sheetId="3">
        <row r="5">
          <cell r="C5">
            <v>10</v>
          </cell>
        </row>
        <row r="7">
          <cell r="C7">
            <v>1.25</v>
          </cell>
        </row>
        <row r="9">
          <cell r="C9">
            <v>200</v>
          </cell>
        </row>
        <row r="15">
          <cell r="E15">
            <v>2</v>
          </cell>
          <cell r="F15">
            <v>125</v>
          </cell>
          <cell r="L15">
            <v>5</v>
          </cell>
          <cell r="N15">
            <v>10</v>
          </cell>
        </row>
        <row r="21">
          <cell r="C21">
            <v>0.7</v>
          </cell>
        </row>
        <row r="22">
          <cell r="C22">
            <v>0.3</v>
          </cell>
        </row>
        <row r="33">
          <cell r="F33">
            <v>300</v>
          </cell>
        </row>
        <row r="34">
          <cell r="F34">
            <v>600</v>
          </cell>
        </row>
        <row r="35">
          <cell r="F35">
            <v>800</v>
          </cell>
        </row>
        <row r="36">
          <cell r="F36">
            <v>1650</v>
          </cell>
        </row>
        <row r="37">
          <cell r="F37">
            <v>2100</v>
          </cell>
        </row>
        <row r="38">
          <cell r="F38">
            <v>2400</v>
          </cell>
        </row>
        <row r="39">
          <cell r="F39">
            <v>5250</v>
          </cell>
        </row>
        <row r="40">
          <cell r="F40">
            <v>6500</v>
          </cell>
        </row>
        <row r="41">
          <cell r="F41">
            <v>7250</v>
          </cell>
        </row>
        <row r="42">
          <cell r="F42">
            <v>15600</v>
          </cell>
        </row>
        <row r="43">
          <cell r="F43">
            <v>18800</v>
          </cell>
        </row>
        <row r="44">
          <cell r="F44">
            <v>20000</v>
          </cell>
        </row>
        <row r="56">
          <cell r="B56" t="str">
            <v>联赛等级</v>
          </cell>
          <cell r="C56" t="str">
            <v>T1低</v>
          </cell>
          <cell r="D56" t="str">
            <v>T2低</v>
          </cell>
          <cell r="E56" t="str">
            <v>T2中</v>
          </cell>
          <cell r="F56" t="str">
            <v>T3低</v>
          </cell>
          <cell r="G56" t="str">
            <v>T3中</v>
          </cell>
          <cell r="H56" t="str">
            <v>T3高</v>
          </cell>
          <cell r="I56" t="str">
            <v>T4低</v>
          </cell>
          <cell r="J56" t="str">
            <v>T4中</v>
          </cell>
          <cell r="K56" t="str">
            <v>T4高</v>
          </cell>
          <cell r="L56" t="str">
            <v>T5低</v>
          </cell>
          <cell r="M56" t="str">
            <v>T5中</v>
          </cell>
          <cell r="N56" t="str">
            <v>T5高</v>
          </cell>
        </row>
        <row r="57">
          <cell r="B57">
            <v>1</v>
          </cell>
          <cell r="C57" t="str">
            <v>All</v>
          </cell>
          <cell r="D57" t="str">
            <v>None</v>
          </cell>
          <cell r="E57" t="str">
            <v>None</v>
          </cell>
          <cell r="F57" t="str">
            <v>None</v>
          </cell>
          <cell r="G57" t="str">
            <v>None</v>
          </cell>
          <cell r="H57" t="str">
            <v>None</v>
          </cell>
          <cell r="I57" t="str">
            <v>None</v>
          </cell>
          <cell r="J57" t="str">
            <v>None</v>
          </cell>
          <cell r="K57" t="str">
            <v>None</v>
          </cell>
          <cell r="L57" t="str">
            <v>None</v>
          </cell>
          <cell r="M57" t="str">
            <v>None</v>
          </cell>
          <cell r="N57" t="str">
            <v>None</v>
          </cell>
        </row>
        <row r="58">
          <cell r="B58">
            <v>2</v>
          </cell>
          <cell r="C58" t="str">
            <v>All</v>
          </cell>
          <cell r="D58" t="str">
            <v>All</v>
          </cell>
          <cell r="E58" t="str">
            <v>None</v>
          </cell>
          <cell r="F58" t="str">
            <v>None</v>
          </cell>
          <cell r="G58" t="str">
            <v>None</v>
          </cell>
          <cell r="H58" t="str">
            <v>None</v>
          </cell>
          <cell r="I58" t="str">
            <v>None</v>
          </cell>
          <cell r="J58" t="str">
            <v>None</v>
          </cell>
          <cell r="K58" t="str">
            <v>None</v>
          </cell>
          <cell r="L58" t="str">
            <v>None</v>
          </cell>
          <cell r="M58" t="str">
            <v>None</v>
          </cell>
          <cell r="N58" t="str">
            <v>None</v>
          </cell>
        </row>
        <row r="59">
          <cell r="B59">
            <v>3</v>
          </cell>
          <cell r="C59" t="str">
            <v>All</v>
          </cell>
          <cell r="D59" t="str">
            <v>All</v>
          </cell>
          <cell r="E59" t="str">
            <v>All</v>
          </cell>
          <cell r="F59" t="str">
            <v>None</v>
          </cell>
          <cell r="G59" t="str">
            <v>None</v>
          </cell>
          <cell r="H59" t="str">
            <v>None</v>
          </cell>
          <cell r="I59" t="str">
            <v>None</v>
          </cell>
          <cell r="J59" t="str">
            <v>None</v>
          </cell>
          <cell r="K59" t="str">
            <v>None</v>
          </cell>
          <cell r="L59" t="str">
            <v>None</v>
          </cell>
          <cell r="M59" t="str">
            <v>None</v>
          </cell>
          <cell r="N59" t="str">
            <v>None</v>
          </cell>
        </row>
        <row r="60">
          <cell r="B60">
            <v>4</v>
          </cell>
          <cell r="C60" t="str">
            <v>All</v>
          </cell>
          <cell r="D60" t="str">
            <v>All</v>
          </cell>
          <cell r="E60" t="str">
            <v>All</v>
          </cell>
          <cell r="F60" t="str">
            <v>None</v>
          </cell>
          <cell r="G60" t="str">
            <v>None</v>
          </cell>
          <cell r="H60" t="str">
            <v>None</v>
          </cell>
          <cell r="I60" t="str">
            <v>None</v>
          </cell>
          <cell r="J60" t="str">
            <v>None</v>
          </cell>
          <cell r="K60" t="str">
            <v>None</v>
          </cell>
          <cell r="L60" t="str">
            <v>None</v>
          </cell>
          <cell r="M60" t="str">
            <v>None</v>
          </cell>
          <cell r="N60" t="str">
            <v>None</v>
          </cell>
        </row>
        <row r="61">
          <cell r="B61">
            <v>5</v>
          </cell>
          <cell r="C61" t="str">
            <v>All</v>
          </cell>
          <cell r="D61" t="str">
            <v>All</v>
          </cell>
          <cell r="E61" t="str">
            <v>All</v>
          </cell>
          <cell r="F61" t="str">
            <v>All</v>
          </cell>
          <cell r="G61" t="str">
            <v>All</v>
          </cell>
          <cell r="H61" t="str">
            <v>None</v>
          </cell>
          <cell r="I61" t="str">
            <v>None</v>
          </cell>
          <cell r="J61" t="str">
            <v>None</v>
          </cell>
          <cell r="K61" t="str">
            <v>None</v>
          </cell>
          <cell r="L61" t="str">
            <v>None</v>
          </cell>
          <cell r="M61" t="str">
            <v>None</v>
          </cell>
          <cell r="N61" t="str">
            <v>None</v>
          </cell>
        </row>
        <row r="62">
          <cell r="B62">
            <v>6</v>
          </cell>
          <cell r="C62" t="str">
            <v>All</v>
          </cell>
          <cell r="D62" t="str">
            <v>All</v>
          </cell>
          <cell r="E62" t="str">
            <v>All</v>
          </cell>
          <cell r="F62" t="str">
            <v>All</v>
          </cell>
          <cell r="G62" t="str">
            <v>All</v>
          </cell>
          <cell r="H62" t="str">
            <v>None</v>
          </cell>
          <cell r="I62" t="str">
            <v>None</v>
          </cell>
          <cell r="J62" t="str">
            <v>None</v>
          </cell>
          <cell r="K62" t="str">
            <v>None</v>
          </cell>
          <cell r="L62" t="str">
            <v>None</v>
          </cell>
          <cell r="M62" t="str">
            <v>None</v>
          </cell>
          <cell r="N62" t="str">
            <v>None</v>
          </cell>
        </row>
        <row r="63">
          <cell r="B63">
            <v>7</v>
          </cell>
          <cell r="C63" t="str">
            <v>All</v>
          </cell>
          <cell r="D63" t="str">
            <v>All</v>
          </cell>
          <cell r="E63" t="str">
            <v>All</v>
          </cell>
          <cell r="F63" t="str">
            <v>All</v>
          </cell>
          <cell r="G63" t="str">
            <v>All</v>
          </cell>
          <cell r="H63" t="str">
            <v>None</v>
          </cell>
          <cell r="I63" t="str">
            <v>None</v>
          </cell>
          <cell r="J63" t="str">
            <v>None</v>
          </cell>
          <cell r="K63" t="str">
            <v>None</v>
          </cell>
          <cell r="L63" t="str">
            <v>None</v>
          </cell>
          <cell r="M63" t="str">
            <v>None</v>
          </cell>
          <cell r="N63" t="str">
            <v>None</v>
          </cell>
        </row>
        <row r="64">
          <cell r="B64">
            <v>8</v>
          </cell>
          <cell r="C64" t="str">
            <v>All</v>
          </cell>
          <cell r="D64" t="str">
            <v>All</v>
          </cell>
          <cell r="E64" t="str">
            <v>All</v>
          </cell>
          <cell r="F64" t="str">
            <v>All</v>
          </cell>
          <cell r="G64" t="str">
            <v>All</v>
          </cell>
          <cell r="H64" t="str">
            <v>None</v>
          </cell>
          <cell r="I64" t="str">
            <v>All</v>
          </cell>
          <cell r="J64" t="str">
            <v>part</v>
          </cell>
          <cell r="K64" t="str">
            <v>part</v>
          </cell>
          <cell r="L64" t="str">
            <v>None</v>
          </cell>
          <cell r="M64" t="str">
            <v>None</v>
          </cell>
          <cell r="N64" t="str">
            <v>None</v>
          </cell>
        </row>
        <row r="65">
          <cell r="B65">
            <v>9</v>
          </cell>
          <cell r="C65" t="str">
            <v>All</v>
          </cell>
          <cell r="D65" t="str">
            <v>All</v>
          </cell>
          <cell r="E65" t="str">
            <v>All</v>
          </cell>
          <cell r="F65" t="str">
            <v>All</v>
          </cell>
          <cell r="G65" t="str">
            <v>All</v>
          </cell>
          <cell r="H65" t="str">
            <v>None</v>
          </cell>
          <cell r="I65" t="str">
            <v>All</v>
          </cell>
          <cell r="J65" t="str">
            <v>part</v>
          </cell>
          <cell r="K65" t="str">
            <v>part</v>
          </cell>
          <cell r="L65" t="str">
            <v>None</v>
          </cell>
          <cell r="M65" t="str">
            <v>None</v>
          </cell>
          <cell r="N65" t="str">
            <v>None</v>
          </cell>
        </row>
        <row r="66">
          <cell r="B66">
            <v>10</v>
          </cell>
          <cell r="C66" t="str">
            <v>All</v>
          </cell>
          <cell r="D66" t="str">
            <v>All</v>
          </cell>
          <cell r="E66" t="str">
            <v>All</v>
          </cell>
          <cell r="F66" t="str">
            <v>All</v>
          </cell>
          <cell r="G66" t="str">
            <v>All</v>
          </cell>
          <cell r="H66" t="str">
            <v>None</v>
          </cell>
          <cell r="I66" t="str">
            <v>All</v>
          </cell>
          <cell r="J66" t="str">
            <v>All</v>
          </cell>
          <cell r="K66" t="str">
            <v>All</v>
          </cell>
          <cell r="L66" t="str">
            <v>None</v>
          </cell>
          <cell r="M66" t="str">
            <v>None</v>
          </cell>
          <cell r="N66" t="str">
            <v>None</v>
          </cell>
        </row>
        <row r="83">
          <cell r="G83">
            <v>200</v>
          </cell>
        </row>
        <row r="84">
          <cell r="G84">
            <v>216</v>
          </cell>
        </row>
        <row r="85">
          <cell r="G85">
            <v>234</v>
          </cell>
        </row>
        <row r="86">
          <cell r="G86">
            <v>250</v>
          </cell>
        </row>
        <row r="87">
          <cell r="G87">
            <v>266</v>
          </cell>
        </row>
        <row r="88">
          <cell r="G88">
            <v>284</v>
          </cell>
        </row>
        <row r="89">
          <cell r="G89">
            <v>300</v>
          </cell>
        </row>
        <row r="90">
          <cell r="G90">
            <v>316</v>
          </cell>
        </row>
        <row r="91">
          <cell r="G91">
            <v>334</v>
          </cell>
        </row>
        <row r="92">
          <cell r="G92">
            <v>350</v>
          </cell>
        </row>
        <row r="93">
          <cell r="G93">
            <v>366</v>
          </cell>
        </row>
        <row r="94">
          <cell r="G94">
            <v>384</v>
          </cell>
        </row>
        <row r="95">
          <cell r="G95">
            <v>400</v>
          </cell>
        </row>
        <row r="96">
          <cell r="G96">
            <v>470</v>
          </cell>
        </row>
        <row r="97">
          <cell r="G97">
            <v>490</v>
          </cell>
        </row>
        <row r="98">
          <cell r="G98">
            <v>505</v>
          </cell>
        </row>
        <row r="99">
          <cell r="G99">
            <v>525</v>
          </cell>
        </row>
        <row r="100">
          <cell r="G100">
            <v>545</v>
          </cell>
        </row>
        <row r="101">
          <cell r="G101">
            <v>565</v>
          </cell>
        </row>
        <row r="102">
          <cell r="G102">
            <v>580</v>
          </cell>
        </row>
        <row r="103">
          <cell r="G103">
            <v>600</v>
          </cell>
        </row>
        <row r="104">
          <cell r="G104">
            <v>620</v>
          </cell>
        </row>
        <row r="105">
          <cell r="G105">
            <v>640</v>
          </cell>
        </row>
        <row r="106">
          <cell r="G106">
            <v>655</v>
          </cell>
        </row>
      </sheetData>
      <sheetData sheetId="4">
        <row r="3">
          <cell r="G3">
            <v>5</v>
          </cell>
          <cell r="H3">
            <v>0.55000000000000004</v>
          </cell>
        </row>
        <row r="4">
          <cell r="C4">
            <v>7.5</v>
          </cell>
          <cell r="G4">
            <v>8</v>
          </cell>
          <cell r="H4">
            <v>0.55000000000000004</v>
          </cell>
        </row>
        <row r="5">
          <cell r="G5">
            <v>10</v>
          </cell>
          <cell r="H5">
            <v>0.55000000000000004</v>
          </cell>
        </row>
        <row r="6">
          <cell r="G6">
            <v>12</v>
          </cell>
          <cell r="H6">
            <v>0.55000000000000004</v>
          </cell>
        </row>
        <row r="7">
          <cell r="G7">
            <v>15</v>
          </cell>
          <cell r="H7">
            <v>0.55000000000000004</v>
          </cell>
        </row>
        <row r="8">
          <cell r="G8">
            <v>18</v>
          </cell>
          <cell r="H8">
            <v>0.55000000000000004</v>
          </cell>
        </row>
        <row r="9">
          <cell r="G9">
            <v>20</v>
          </cell>
          <cell r="H9">
            <v>0.55000000000000004</v>
          </cell>
        </row>
        <row r="10">
          <cell r="G10">
            <v>25</v>
          </cell>
          <cell r="H10">
            <v>0.55000000000000004</v>
          </cell>
        </row>
        <row r="11">
          <cell r="G11">
            <v>30</v>
          </cell>
          <cell r="H11">
            <v>0.55000000000000004</v>
          </cell>
        </row>
        <row r="12">
          <cell r="G12">
            <v>35</v>
          </cell>
          <cell r="H12">
            <v>0.55000000000000004</v>
          </cell>
        </row>
        <row r="73">
          <cell r="C73" t="str">
            <v>T1低</v>
          </cell>
          <cell r="D73" t="str">
            <v>T1低</v>
          </cell>
          <cell r="E73" t="str">
            <v>T1低</v>
          </cell>
        </row>
        <row r="74">
          <cell r="C74" t="str">
            <v>T2低</v>
          </cell>
          <cell r="D74" t="str">
            <v>T1低</v>
          </cell>
          <cell r="E74" t="str">
            <v>T1低</v>
          </cell>
        </row>
        <row r="75">
          <cell r="C75" t="str">
            <v>T2低</v>
          </cell>
          <cell r="D75" t="str">
            <v>T2低</v>
          </cell>
          <cell r="E75" t="str">
            <v>T1低</v>
          </cell>
        </row>
        <row r="76">
          <cell r="C76" t="str">
            <v>T2低</v>
          </cell>
          <cell r="D76" t="str">
            <v>T2低</v>
          </cell>
          <cell r="E76" t="str">
            <v>T2低</v>
          </cell>
        </row>
        <row r="77">
          <cell r="C77" t="str">
            <v>T3低</v>
          </cell>
          <cell r="D77" t="str">
            <v>T2低</v>
          </cell>
          <cell r="E77" t="str">
            <v>T2低</v>
          </cell>
        </row>
        <row r="78">
          <cell r="C78" t="str">
            <v>T3低</v>
          </cell>
          <cell r="D78" t="str">
            <v>T3低</v>
          </cell>
          <cell r="E78" t="str">
            <v>T2低</v>
          </cell>
        </row>
        <row r="79">
          <cell r="C79" t="str">
            <v>T3低</v>
          </cell>
          <cell r="D79" t="str">
            <v>T3低</v>
          </cell>
          <cell r="E79" t="str">
            <v>T3低</v>
          </cell>
        </row>
        <row r="80">
          <cell r="C80" t="str">
            <v>T3低</v>
          </cell>
          <cell r="D80" t="str">
            <v>T3低</v>
          </cell>
          <cell r="E80" t="str">
            <v>T3低</v>
          </cell>
        </row>
        <row r="81">
          <cell r="C81" t="str">
            <v>T4低</v>
          </cell>
          <cell r="D81" t="str">
            <v>T4低</v>
          </cell>
          <cell r="E81" t="str">
            <v>T3低</v>
          </cell>
        </row>
        <row r="82">
          <cell r="C82" t="str">
            <v>T4低</v>
          </cell>
          <cell r="D82" t="str">
            <v>T4低</v>
          </cell>
          <cell r="E82" t="str">
            <v>T4低</v>
          </cell>
        </row>
        <row r="83">
          <cell r="C83" t="str">
            <v>T5低</v>
          </cell>
          <cell r="D83" t="str">
            <v>T4低</v>
          </cell>
          <cell r="E83" t="str">
            <v>T4低</v>
          </cell>
        </row>
        <row r="84">
          <cell r="C84" t="str">
            <v>T5低</v>
          </cell>
          <cell r="D84" t="str">
            <v>T5低</v>
          </cell>
          <cell r="E84" t="str">
            <v>T4低</v>
          </cell>
        </row>
      </sheetData>
      <sheetData sheetId="5"/>
      <sheetData sheetId="6">
        <row r="2">
          <cell r="E2">
            <v>300</v>
          </cell>
        </row>
        <row r="21">
          <cell r="L21">
            <v>2700</v>
          </cell>
        </row>
        <row r="22">
          <cell r="L22">
            <v>12000</v>
          </cell>
        </row>
        <row r="23">
          <cell r="L23">
            <v>24200</v>
          </cell>
        </row>
        <row r="24">
          <cell r="J24">
            <v>26.515151515151501</v>
          </cell>
          <cell r="L24">
            <v>45400</v>
          </cell>
        </row>
        <row r="25">
          <cell r="J25">
            <v>33.1666666666667</v>
          </cell>
          <cell r="L25">
            <v>71750</v>
          </cell>
        </row>
        <row r="26">
          <cell r="J26">
            <v>41.3541666666667</v>
          </cell>
          <cell r="L26">
            <v>101650</v>
          </cell>
        </row>
        <row r="27">
          <cell r="J27">
            <v>33.504761904761899</v>
          </cell>
          <cell r="L27">
            <v>181150</v>
          </cell>
        </row>
        <row r="28">
          <cell r="J28">
            <v>41.661538461538498</v>
          </cell>
          <cell r="L28">
            <v>277300</v>
          </cell>
        </row>
        <row r="29">
          <cell r="J29">
            <v>51.951724137931002</v>
          </cell>
          <cell r="L29">
            <v>383900</v>
          </cell>
        </row>
        <row r="30">
          <cell r="J30">
            <v>38.894230769230802</v>
          </cell>
          <cell r="L30">
            <v>622350</v>
          </cell>
        </row>
        <row r="31">
          <cell r="J31">
            <v>47.023936170212799</v>
          </cell>
          <cell r="L31">
            <v>902850</v>
          </cell>
        </row>
        <row r="32">
          <cell r="J32">
            <v>58.952500000000001</v>
          </cell>
          <cell r="L32">
            <v>1199050</v>
          </cell>
        </row>
      </sheetData>
      <sheetData sheetId="7"/>
      <sheetData sheetId="8">
        <row r="3">
          <cell r="AE3" t="str">
            <v>坦克状态</v>
          </cell>
          <cell r="AF3" t="str">
            <v>血量</v>
          </cell>
          <cell r="AG3" t="str">
            <v>坦克伤害</v>
          </cell>
          <cell r="AH3" t="str">
            <v>最大穿透</v>
          </cell>
          <cell r="AI3" t="str">
            <v>最小穿透</v>
          </cell>
          <cell r="AJ3" t="str">
            <v>坦克装甲</v>
          </cell>
          <cell r="AK3" t="str">
            <v>撞击伤害</v>
          </cell>
          <cell r="AM3" t="str">
            <v>坦克状态</v>
          </cell>
          <cell r="AN3" t="str">
            <v>血量</v>
          </cell>
          <cell r="AO3" t="str">
            <v>坦克伤害</v>
          </cell>
          <cell r="AP3" t="str">
            <v>最大穿透</v>
          </cell>
          <cell r="AQ3" t="str">
            <v>最小穿透</v>
          </cell>
          <cell r="AR3" t="str">
            <v>坦克装甲</v>
          </cell>
          <cell r="AS3" t="str">
            <v>撞击伤害</v>
          </cell>
          <cell r="AU3" t="str">
            <v>坦克状态</v>
          </cell>
          <cell r="AV3" t="str">
            <v>血量</v>
          </cell>
          <cell r="AW3" t="str">
            <v>坦克伤害</v>
          </cell>
          <cell r="AX3" t="str">
            <v>最大穿透</v>
          </cell>
          <cell r="AY3" t="str">
            <v>最小穿透</v>
          </cell>
          <cell r="AZ3" t="str">
            <v>坦克装甲</v>
          </cell>
          <cell r="BA3" t="str">
            <v>撞击伤害</v>
          </cell>
          <cell r="BC3" t="str">
            <v>坦克状态</v>
          </cell>
          <cell r="BD3" t="str">
            <v>血量</v>
          </cell>
          <cell r="BE3" t="str">
            <v>坦克伤害</v>
          </cell>
          <cell r="BF3" t="str">
            <v>最大穿透</v>
          </cell>
          <cell r="BG3" t="str">
            <v>最小穿透</v>
          </cell>
          <cell r="BH3" t="str">
            <v>坦克装甲</v>
          </cell>
          <cell r="BI3" t="str">
            <v>撞击伤害</v>
          </cell>
          <cell r="BK3" t="str">
            <v>坦克状态</v>
          </cell>
          <cell r="BL3" t="str">
            <v>血量</v>
          </cell>
          <cell r="BM3" t="str">
            <v>坦克伤害</v>
          </cell>
          <cell r="BN3" t="str">
            <v>最大穿透</v>
          </cell>
          <cell r="BO3" t="str">
            <v>最小穿透</v>
          </cell>
          <cell r="BP3" t="str">
            <v>坦克装甲</v>
          </cell>
          <cell r="BQ3" t="str">
            <v>撞击伤害</v>
          </cell>
          <cell r="BS3" t="str">
            <v>坦克状态</v>
          </cell>
          <cell r="BT3" t="str">
            <v>血量</v>
          </cell>
          <cell r="BU3" t="str">
            <v>坦克伤害</v>
          </cell>
          <cell r="BV3" t="str">
            <v>最大穿透</v>
          </cell>
          <cell r="BW3" t="str">
            <v>最小穿透</v>
          </cell>
          <cell r="BX3" t="str">
            <v>坦克装甲</v>
          </cell>
          <cell r="BY3" t="str">
            <v>撞击伤害</v>
          </cell>
          <cell r="CA3" t="str">
            <v>坦克状态</v>
          </cell>
          <cell r="CB3" t="str">
            <v>血量</v>
          </cell>
          <cell r="CC3" t="str">
            <v>坦克伤害</v>
          </cell>
          <cell r="CD3" t="str">
            <v>最大穿透</v>
          </cell>
          <cell r="CE3" t="str">
            <v>最小穿透</v>
          </cell>
          <cell r="CF3" t="str">
            <v>坦克装甲</v>
          </cell>
          <cell r="CG3" t="str">
            <v>撞击伤害</v>
          </cell>
        </row>
        <row r="4">
          <cell r="AE4" t="str">
            <v>T1低1</v>
          </cell>
          <cell r="AF4">
            <v>600</v>
          </cell>
          <cell r="AG4">
            <v>80</v>
          </cell>
          <cell r="AH4">
            <v>300</v>
          </cell>
          <cell r="AI4">
            <v>210</v>
          </cell>
          <cell r="AJ4">
            <v>300</v>
          </cell>
          <cell r="AK4">
            <v>80</v>
          </cell>
          <cell r="AM4" t="str">
            <v>T1低1</v>
          </cell>
          <cell r="AN4">
            <v>600</v>
          </cell>
          <cell r="AO4">
            <v>42</v>
          </cell>
          <cell r="AP4">
            <v>329</v>
          </cell>
          <cell r="AQ4">
            <v>230</v>
          </cell>
          <cell r="AR4">
            <v>300</v>
          </cell>
          <cell r="AS4">
            <v>80</v>
          </cell>
          <cell r="AU4" t="str">
            <v>T1低1</v>
          </cell>
          <cell r="AV4">
            <v>600</v>
          </cell>
          <cell r="AW4">
            <v>161</v>
          </cell>
          <cell r="AX4">
            <v>357</v>
          </cell>
          <cell r="AY4">
            <v>250</v>
          </cell>
          <cell r="AZ4">
            <v>300</v>
          </cell>
          <cell r="BA4">
            <v>80</v>
          </cell>
          <cell r="BC4" t="str">
            <v>T1低1</v>
          </cell>
          <cell r="BD4">
            <v>648</v>
          </cell>
          <cell r="BE4">
            <v>74</v>
          </cell>
          <cell r="BF4">
            <v>286</v>
          </cell>
          <cell r="BG4">
            <v>214</v>
          </cell>
          <cell r="BH4">
            <v>360</v>
          </cell>
          <cell r="BI4">
            <v>86</v>
          </cell>
          <cell r="BK4" t="str">
            <v>T1低1</v>
          </cell>
          <cell r="BL4">
            <v>648</v>
          </cell>
          <cell r="BM4">
            <v>89</v>
          </cell>
          <cell r="BN4">
            <v>329</v>
          </cell>
          <cell r="BO4">
            <v>246</v>
          </cell>
          <cell r="BP4">
            <v>360</v>
          </cell>
          <cell r="BQ4">
            <v>86</v>
          </cell>
          <cell r="BS4" t="str">
            <v>T1低1</v>
          </cell>
          <cell r="BT4">
            <v>734</v>
          </cell>
          <cell r="BU4">
            <v>268</v>
          </cell>
          <cell r="BV4">
            <v>286</v>
          </cell>
          <cell r="BW4">
            <v>229</v>
          </cell>
          <cell r="BX4">
            <v>420</v>
          </cell>
          <cell r="BY4">
            <v>98</v>
          </cell>
          <cell r="CA4" t="str">
            <v>T1低1</v>
          </cell>
          <cell r="CB4">
            <v>734</v>
          </cell>
          <cell r="CC4">
            <v>354</v>
          </cell>
          <cell r="CD4">
            <v>314</v>
          </cell>
          <cell r="CE4">
            <v>251</v>
          </cell>
          <cell r="CF4">
            <v>420</v>
          </cell>
          <cell r="CG4">
            <v>98</v>
          </cell>
        </row>
        <row r="5">
          <cell r="AE5" t="str">
            <v>T2低2</v>
          </cell>
          <cell r="AF5">
            <v>944</v>
          </cell>
          <cell r="AG5">
            <v>96</v>
          </cell>
          <cell r="AH5">
            <v>360</v>
          </cell>
          <cell r="AI5">
            <v>252</v>
          </cell>
          <cell r="AJ5">
            <v>360</v>
          </cell>
          <cell r="AK5">
            <v>96</v>
          </cell>
          <cell r="AM5" t="str">
            <v>T2低2</v>
          </cell>
          <cell r="AN5">
            <v>944</v>
          </cell>
          <cell r="AO5">
            <v>51</v>
          </cell>
          <cell r="AP5">
            <v>394</v>
          </cell>
          <cell r="AQ5">
            <v>276</v>
          </cell>
          <cell r="AR5">
            <v>360</v>
          </cell>
          <cell r="AS5">
            <v>96</v>
          </cell>
          <cell r="AU5" t="str">
            <v>T2低2</v>
          </cell>
          <cell r="AV5">
            <v>944</v>
          </cell>
          <cell r="AW5">
            <v>193</v>
          </cell>
          <cell r="AX5">
            <v>429</v>
          </cell>
          <cell r="AY5">
            <v>300</v>
          </cell>
          <cell r="AZ5">
            <v>360</v>
          </cell>
          <cell r="BA5">
            <v>96</v>
          </cell>
          <cell r="BC5" t="str">
            <v>T2低2</v>
          </cell>
          <cell r="BD5">
            <v>1019</v>
          </cell>
          <cell r="BE5">
            <v>89</v>
          </cell>
          <cell r="BF5">
            <v>343</v>
          </cell>
          <cell r="BG5">
            <v>257</v>
          </cell>
          <cell r="BH5">
            <v>432</v>
          </cell>
          <cell r="BI5">
            <v>104</v>
          </cell>
          <cell r="BK5" t="str">
            <v>T2低2</v>
          </cell>
          <cell r="BL5">
            <v>1019</v>
          </cell>
          <cell r="BM5">
            <v>107</v>
          </cell>
          <cell r="BN5">
            <v>394</v>
          </cell>
          <cell r="BO5">
            <v>296</v>
          </cell>
          <cell r="BP5">
            <v>432</v>
          </cell>
          <cell r="BQ5">
            <v>104</v>
          </cell>
          <cell r="BS5" t="str">
            <v>T2低2</v>
          </cell>
          <cell r="BT5">
            <v>1155</v>
          </cell>
          <cell r="BU5">
            <v>322</v>
          </cell>
          <cell r="BV5">
            <v>343</v>
          </cell>
          <cell r="BW5">
            <v>274</v>
          </cell>
          <cell r="BX5">
            <v>504</v>
          </cell>
          <cell r="BY5">
            <v>117</v>
          </cell>
          <cell r="CA5" t="str">
            <v>T2低2</v>
          </cell>
          <cell r="CB5">
            <v>1155</v>
          </cell>
          <cell r="CC5">
            <v>425</v>
          </cell>
          <cell r="CD5">
            <v>377</v>
          </cell>
          <cell r="CE5">
            <v>302</v>
          </cell>
          <cell r="CF5">
            <v>504</v>
          </cell>
          <cell r="CG5">
            <v>117</v>
          </cell>
        </row>
        <row r="6">
          <cell r="AE6" t="str">
            <v>T2中2</v>
          </cell>
          <cell r="AF6">
            <v>976</v>
          </cell>
          <cell r="AG6">
            <v>97</v>
          </cell>
          <cell r="AH6">
            <v>366</v>
          </cell>
          <cell r="AI6">
            <v>256</v>
          </cell>
          <cell r="AJ6">
            <v>366</v>
          </cell>
          <cell r="AK6">
            <v>98</v>
          </cell>
          <cell r="AM6" t="str">
            <v>T2中2</v>
          </cell>
          <cell r="AN6">
            <v>976</v>
          </cell>
          <cell r="AO6">
            <v>52</v>
          </cell>
          <cell r="AP6">
            <v>401</v>
          </cell>
          <cell r="AQ6">
            <v>281</v>
          </cell>
          <cell r="AR6">
            <v>366</v>
          </cell>
          <cell r="AS6">
            <v>98</v>
          </cell>
          <cell r="AU6" t="str">
            <v>T2中2</v>
          </cell>
          <cell r="AV6">
            <v>976</v>
          </cell>
          <cell r="AW6">
            <v>196</v>
          </cell>
          <cell r="AX6">
            <v>436</v>
          </cell>
          <cell r="AY6">
            <v>305</v>
          </cell>
          <cell r="AZ6">
            <v>366</v>
          </cell>
          <cell r="BA6">
            <v>98</v>
          </cell>
          <cell r="BC6" t="str">
            <v>T2中2</v>
          </cell>
          <cell r="BD6">
            <v>1053</v>
          </cell>
          <cell r="BE6">
            <v>91</v>
          </cell>
          <cell r="BF6">
            <v>349</v>
          </cell>
          <cell r="BG6">
            <v>261</v>
          </cell>
          <cell r="BH6">
            <v>439</v>
          </cell>
          <cell r="BI6">
            <v>105</v>
          </cell>
          <cell r="BK6" t="str">
            <v>T2中2</v>
          </cell>
          <cell r="BL6">
            <v>1053</v>
          </cell>
          <cell r="BM6">
            <v>109</v>
          </cell>
          <cell r="BN6">
            <v>401</v>
          </cell>
          <cell r="BO6">
            <v>301</v>
          </cell>
          <cell r="BP6">
            <v>439</v>
          </cell>
          <cell r="BQ6">
            <v>105</v>
          </cell>
          <cell r="BS6" t="str">
            <v>T2中2</v>
          </cell>
          <cell r="BT6">
            <v>1194</v>
          </cell>
          <cell r="BU6">
            <v>327</v>
          </cell>
          <cell r="BV6">
            <v>349</v>
          </cell>
          <cell r="BW6">
            <v>279</v>
          </cell>
          <cell r="BX6">
            <v>512</v>
          </cell>
          <cell r="BY6">
            <v>119</v>
          </cell>
          <cell r="CA6" t="str">
            <v>T2中2</v>
          </cell>
          <cell r="CB6">
            <v>1194</v>
          </cell>
          <cell r="CC6">
            <v>432</v>
          </cell>
          <cell r="CD6">
            <v>383</v>
          </cell>
          <cell r="CE6">
            <v>307</v>
          </cell>
          <cell r="CF6">
            <v>512</v>
          </cell>
          <cell r="CG6">
            <v>119</v>
          </cell>
        </row>
        <row r="7">
          <cell r="AE7" t="str">
            <v>T1低3</v>
          </cell>
          <cell r="AF7">
            <v>1040</v>
          </cell>
          <cell r="AG7">
            <v>104</v>
          </cell>
          <cell r="AH7">
            <v>390</v>
          </cell>
          <cell r="AI7">
            <v>273</v>
          </cell>
          <cell r="AJ7">
            <v>390</v>
          </cell>
          <cell r="AK7">
            <v>104</v>
          </cell>
          <cell r="AM7" t="str">
            <v>T1低3</v>
          </cell>
          <cell r="AN7">
            <v>1040</v>
          </cell>
          <cell r="AO7">
            <v>55</v>
          </cell>
          <cell r="AP7">
            <v>427</v>
          </cell>
          <cell r="AQ7">
            <v>299</v>
          </cell>
          <cell r="AR7">
            <v>390</v>
          </cell>
          <cell r="AS7">
            <v>104</v>
          </cell>
          <cell r="AU7" t="str">
            <v>T1低3</v>
          </cell>
          <cell r="AV7">
            <v>1040</v>
          </cell>
          <cell r="AW7">
            <v>209</v>
          </cell>
          <cell r="AX7">
            <v>464</v>
          </cell>
          <cell r="AY7">
            <v>325</v>
          </cell>
          <cell r="AZ7">
            <v>390</v>
          </cell>
          <cell r="BA7">
            <v>104</v>
          </cell>
          <cell r="BC7" t="str">
            <v>T1低3</v>
          </cell>
          <cell r="BD7">
            <v>1123</v>
          </cell>
          <cell r="BE7">
            <v>97</v>
          </cell>
          <cell r="BF7">
            <v>371</v>
          </cell>
          <cell r="BG7">
            <v>279</v>
          </cell>
          <cell r="BH7">
            <v>468</v>
          </cell>
          <cell r="BI7">
            <v>112</v>
          </cell>
          <cell r="BK7" t="str">
            <v>T1低3</v>
          </cell>
          <cell r="BL7">
            <v>1123</v>
          </cell>
          <cell r="BM7">
            <v>116</v>
          </cell>
          <cell r="BN7">
            <v>427</v>
          </cell>
          <cell r="BO7">
            <v>320</v>
          </cell>
          <cell r="BP7">
            <v>468</v>
          </cell>
          <cell r="BQ7">
            <v>112</v>
          </cell>
          <cell r="BS7" t="str">
            <v>T1低3</v>
          </cell>
          <cell r="BT7">
            <v>1272</v>
          </cell>
          <cell r="BU7">
            <v>348</v>
          </cell>
          <cell r="BV7">
            <v>371</v>
          </cell>
          <cell r="BW7">
            <v>297</v>
          </cell>
          <cell r="BX7">
            <v>546</v>
          </cell>
          <cell r="BY7">
            <v>127</v>
          </cell>
          <cell r="CA7" t="str">
            <v>T1低3</v>
          </cell>
          <cell r="CB7">
            <v>1272</v>
          </cell>
          <cell r="CC7">
            <v>461</v>
          </cell>
          <cell r="CD7">
            <v>409</v>
          </cell>
          <cell r="CE7">
            <v>327</v>
          </cell>
          <cell r="CF7">
            <v>546</v>
          </cell>
          <cell r="CG7">
            <v>127</v>
          </cell>
        </row>
        <row r="8">
          <cell r="AE8" t="str">
            <v>T3低3</v>
          </cell>
          <cell r="AF8">
            <v>1184</v>
          </cell>
          <cell r="AG8">
            <v>118</v>
          </cell>
          <cell r="AH8">
            <v>444</v>
          </cell>
          <cell r="AI8">
            <v>311</v>
          </cell>
          <cell r="AJ8">
            <v>444</v>
          </cell>
          <cell r="AK8">
            <v>118</v>
          </cell>
          <cell r="AM8" t="str">
            <v>T3低3</v>
          </cell>
          <cell r="AN8">
            <v>1184</v>
          </cell>
          <cell r="AO8">
            <v>63</v>
          </cell>
          <cell r="AP8">
            <v>486</v>
          </cell>
          <cell r="AQ8">
            <v>340</v>
          </cell>
          <cell r="AR8">
            <v>444</v>
          </cell>
          <cell r="AS8">
            <v>118</v>
          </cell>
          <cell r="AU8" t="str">
            <v>T3低3</v>
          </cell>
          <cell r="AV8">
            <v>1184</v>
          </cell>
          <cell r="AW8">
            <v>238</v>
          </cell>
          <cell r="AX8">
            <v>529</v>
          </cell>
          <cell r="AY8">
            <v>370</v>
          </cell>
          <cell r="AZ8">
            <v>444</v>
          </cell>
          <cell r="BA8">
            <v>118</v>
          </cell>
          <cell r="BC8" t="str">
            <v>T3低3</v>
          </cell>
          <cell r="BD8">
            <v>1278</v>
          </cell>
          <cell r="BE8">
            <v>110</v>
          </cell>
          <cell r="BF8">
            <v>423</v>
          </cell>
          <cell r="BG8">
            <v>317</v>
          </cell>
          <cell r="BH8">
            <v>533</v>
          </cell>
          <cell r="BI8">
            <v>128</v>
          </cell>
          <cell r="BK8" t="str">
            <v>T3低3</v>
          </cell>
          <cell r="BL8">
            <v>1278</v>
          </cell>
          <cell r="BM8">
            <v>132</v>
          </cell>
          <cell r="BN8">
            <v>486</v>
          </cell>
          <cell r="BO8">
            <v>365</v>
          </cell>
          <cell r="BP8">
            <v>533</v>
          </cell>
          <cell r="BQ8">
            <v>128</v>
          </cell>
          <cell r="BS8" t="str">
            <v>T3低3</v>
          </cell>
          <cell r="BT8">
            <v>1448</v>
          </cell>
          <cell r="BU8">
            <v>397</v>
          </cell>
          <cell r="BV8">
            <v>423</v>
          </cell>
          <cell r="BW8">
            <v>338</v>
          </cell>
          <cell r="BX8">
            <v>622</v>
          </cell>
          <cell r="BY8">
            <v>145</v>
          </cell>
          <cell r="CA8" t="str">
            <v>T3低3</v>
          </cell>
          <cell r="CB8">
            <v>1448</v>
          </cell>
          <cell r="CC8">
            <v>524</v>
          </cell>
          <cell r="CD8">
            <v>465</v>
          </cell>
          <cell r="CE8">
            <v>372</v>
          </cell>
          <cell r="CF8">
            <v>622</v>
          </cell>
          <cell r="CG8">
            <v>145</v>
          </cell>
        </row>
        <row r="9">
          <cell r="AE9" t="str">
            <v>T3中3</v>
          </cell>
          <cell r="AF9">
            <v>1232</v>
          </cell>
          <cell r="AG9">
            <v>123</v>
          </cell>
          <cell r="AH9">
            <v>462</v>
          </cell>
          <cell r="AI9">
            <v>323</v>
          </cell>
          <cell r="AJ9">
            <v>462</v>
          </cell>
          <cell r="AK9">
            <v>123</v>
          </cell>
          <cell r="AM9" t="str">
            <v>T3中3</v>
          </cell>
          <cell r="AN9">
            <v>1232</v>
          </cell>
          <cell r="AO9">
            <v>65</v>
          </cell>
          <cell r="AP9">
            <v>506</v>
          </cell>
          <cell r="AQ9">
            <v>354</v>
          </cell>
          <cell r="AR9">
            <v>462</v>
          </cell>
          <cell r="AS9">
            <v>123</v>
          </cell>
          <cell r="AU9" t="str">
            <v>T3中3</v>
          </cell>
          <cell r="AV9">
            <v>1232</v>
          </cell>
          <cell r="AW9">
            <v>248</v>
          </cell>
          <cell r="AX9">
            <v>550</v>
          </cell>
          <cell r="AY9">
            <v>385</v>
          </cell>
          <cell r="AZ9">
            <v>462</v>
          </cell>
          <cell r="BA9">
            <v>123</v>
          </cell>
          <cell r="BC9" t="str">
            <v>T3中3</v>
          </cell>
          <cell r="BD9">
            <v>1330</v>
          </cell>
          <cell r="BE9">
            <v>114</v>
          </cell>
          <cell r="BF9">
            <v>440</v>
          </cell>
          <cell r="BG9">
            <v>330</v>
          </cell>
          <cell r="BH9">
            <v>554</v>
          </cell>
          <cell r="BI9">
            <v>133</v>
          </cell>
          <cell r="BK9" t="str">
            <v>T3中3</v>
          </cell>
          <cell r="BL9">
            <v>1330</v>
          </cell>
          <cell r="BM9">
            <v>137</v>
          </cell>
          <cell r="BN9">
            <v>506</v>
          </cell>
          <cell r="BO9">
            <v>380</v>
          </cell>
          <cell r="BP9">
            <v>554</v>
          </cell>
          <cell r="BQ9">
            <v>133</v>
          </cell>
          <cell r="BS9" t="str">
            <v>T3中3</v>
          </cell>
          <cell r="BT9">
            <v>1507</v>
          </cell>
          <cell r="BU9">
            <v>413</v>
          </cell>
          <cell r="BV9">
            <v>440</v>
          </cell>
          <cell r="BW9">
            <v>352</v>
          </cell>
          <cell r="BX9">
            <v>647</v>
          </cell>
          <cell r="BY9">
            <v>151</v>
          </cell>
          <cell r="CA9" t="str">
            <v>T3中3</v>
          </cell>
          <cell r="CB9">
            <v>1507</v>
          </cell>
          <cell r="CC9">
            <v>546</v>
          </cell>
          <cell r="CD9">
            <v>484</v>
          </cell>
          <cell r="CE9">
            <v>387</v>
          </cell>
          <cell r="CF9">
            <v>647</v>
          </cell>
          <cell r="CG9">
            <v>151</v>
          </cell>
        </row>
        <row r="10">
          <cell r="AE10" t="str">
            <v>T3高3</v>
          </cell>
          <cell r="AF10">
            <v>1232</v>
          </cell>
          <cell r="AG10">
            <v>123</v>
          </cell>
          <cell r="AH10">
            <v>462</v>
          </cell>
          <cell r="AI10">
            <v>323</v>
          </cell>
          <cell r="AJ10">
            <v>462</v>
          </cell>
          <cell r="AK10">
            <v>123</v>
          </cell>
          <cell r="AM10" t="str">
            <v>T3高3</v>
          </cell>
          <cell r="AN10">
            <v>1232</v>
          </cell>
          <cell r="AO10">
            <v>65</v>
          </cell>
          <cell r="AP10">
            <v>506</v>
          </cell>
          <cell r="AQ10">
            <v>354</v>
          </cell>
          <cell r="AR10">
            <v>462</v>
          </cell>
          <cell r="AS10">
            <v>123</v>
          </cell>
          <cell r="AU10" t="str">
            <v>T3高3</v>
          </cell>
          <cell r="AV10">
            <v>1232</v>
          </cell>
          <cell r="AW10">
            <v>248</v>
          </cell>
          <cell r="AX10">
            <v>550</v>
          </cell>
          <cell r="AY10">
            <v>385</v>
          </cell>
          <cell r="AZ10">
            <v>462</v>
          </cell>
          <cell r="BA10">
            <v>123</v>
          </cell>
          <cell r="BC10" t="str">
            <v>T3高3</v>
          </cell>
          <cell r="BD10">
            <v>1330</v>
          </cell>
          <cell r="BE10">
            <v>114</v>
          </cell>
          <cell r="BF10">
            <v>440</v>
          </cell>
          <cell r="BG10">
            <v>330</v>
          </cell>
          <cell r="BH10">
            <v>554</v>
          </cell>
          <cell r="BI10">
            <v>133</v>
          </cell>
          <cell r="BK10" t="str">
            <v>T3高3</v>
          </cell>
          <cell r="BL10">
            <v>1330</v>
          </cell>
          <cell r="BM10">
            <v>137</v>
          </cell>
          <cell r="BN10">
            <v>506</v>
          </cell>
          <cell r="BO10">
            <v>380</v>
          </cell>
          <cell r="BP10">
            <v>554</v>
          </cell>
          <cell r="BQ10">
            <v>133</v>
          </cell>
          <cell r="BS10" t="str">
            <v>T3高3</v>
          </cell>
          <cell r="BT10">
            <v>1507</v>
          </cell>
          <cell r="BU10">
            <v>413</v>
          </cell>
          <cell r="BV10">
            <v>440</v>
          </cell>
          <cell r="BW10">
            <v>352</v>
          </cell>
          <cell r="BX10">
            <v>647</v>
          </cell>
          <cell r="BY10">
            <v>151</v>
          </cell>
          <cell r="CA10" t="str">
            <v>T3高3</v>
          </cell>
          <cell r="CB10">
            <v>1507</v>
          </cell>
          <cell r="CC10">
            <v>546</v>
          </cell>
          <cell r="CD10">
            <v>484</v>
          </cell>
          <cell r="CE10">
            <v>387</v>
          </cell>
          <cell r="CF10">
            <v>647</v>
          </cell>
          <cell r="CG10">
            <v>151</v>
          </cell>
        </row>
        <row r="11">
          <cell r="AE11" t="str">
            <v>T2低4</v>
          </cell>
          <cell r="AF11">
            <v>1312</v>
          </cell>
          <cell r="AG11">
            <v>136</v>
          </cell>
          <cell r="AH11">
            <v>510</v>
          </cell>
          <cell r="AI11">
            <v>357</v>
          </cell>
          <cell r="AJ11">
            <v>510</v>
          </cell>
          <cell r="AK11">
            <v>136</v>
          </cell>
          <cell r="AM11" t="str">
            <v>T2低4</v>
          </cell>
          <cell r="AN11">
            <v>1312</v>
          </cell>
          <cell r="AO11">
            <v>72</v>
          </cell>
          <cell r="AP11">
            <v>559</v>
          </cell>
          <cell r="AQ11">
            <v>391</v>
          </cell>
          <cell r="AR11">
            <v>510</v>
          </cell>
          <cell r="AS11">
            <v>136</v>
          </cell>
          <cell r="AU11" t="str">
            <v>T2低4</v>
          </cell>
          <cell r="AV11">
            <v>1312</v>
          </cell>
          <cell r="AW11">
            <v>274</v>
          </cell>
          <cell r="AX11">
            <v>607</v>
          </cell>
          <cell r="AY11">
            <v>425</v>
          </cell>
          <cell r="AZ11">
            <v>510</v>
          </cell>
          <cell r="BA11">
            <v>136</v>
          </cell>
          <cell r="BC11" t="str">
            <v>T2低4</v>
          </cell>
          <cell r="BD11">
            <v>1416</v>
          </cell>
          <cell r="BE11">
            <v>126</v>
          </cell>
          <cell r="BF11">
            <v>486</v>
          </cell>
          <cell r="BG11">
            <v>364</v>
          </cell>
          <cell r="BH11">
            <v>612</v>
          </cell>
          <cell r="BI11">
            <v>147</v>
          </cell>
          <cell r="BK11" t="str">
            <v>T2低4</v>
          </cell>
          <cell r="BL11">
            <v>1416</v>
          </cell>
          <cell r="BM11">
            <v>151</v>
          </cell>
          <cell r="BN11">
            <v>559</v>
          </cell>
          <cell r="BO11">
            <v>419</v>
          </cell>
          <cell r="BP11">
            <v>612</v>
          </cell>
          <cell r="BQ11">
            <v>147</v>
          </cell>
          <cell r="BS11" t="str">
            <v>T2低4</v>
          </cell>
          <cell r="BT11">
            <v>1605</v>
          </cell>
          <cell r="BU11">
            <v>456</v>
          </cell>
          <cell r="BV11">
            <v>486</v>
          </cell>
          <cell r="BW11">
            <v>389</v>
          </cell>
          <cell r="BX11">
            <v>714</v>
          </cell>
          <cell r="BY11">
            <v>166</v>
          </cell>
          <cell r="CA11" t="str">
            <v>T2低4</v>
          </cell>
          <cell r="CB11">
            <v>1605</v>
          </cell>
          <cell r="CC11">
            <v>602</v>
          </cell>
          <cell r="CD11">
            <v>534</v>
          </cell>
          <cell r="CE11">
            <v>427</v>
          </cell>
          <cell r="CF11">
            <v>714</v>
          </cell>
          <cell r="CG11">
            <v>166</v>
          </cell>
        </row>
        <row r="12">
          <cell r="AE12" t="str">
            <v>T4低4</v>
          </cell>
          <cell r="AF12">
            <v>1536</v>
          </cell>
          <cell r="AG12">
            <v>153</v>
          </cell>
          <cell r="AH12">
            <v>576</v>
          </cell>
          <cell r="AI12">
            <v>403</v>
          </cell>
          <cell r="AJ12">
            <v>576</v>
          </cell>
          <cell r="AK12">
            <v>154</v>
          </cell>
          <cell r="AM12" t="str">
            <v>T4低4</v>
          </cell>
          <cell r="AN12">
            <v>1536</v>
          </cell>
          <cell r="AO12">
            <v>82</v>
          </cell>
          <cell r="AP12">
            <v>631</v>
          </cell>
          <cell r="AQ12">
            <v>442</v>
          </cell>
          <cell r="AR12">
            <v>576</v>
          </cell>
          <cell r="AS12">
            <v>154</v>
          </cell>
          <cell r="AU12" t="str">
            <v>T4低4</v>
          </cell>
          <cell r="AV12">
            <v>1536</v>
          </cell>
          <cell r="AW12">
            <v>309</v>
          </cell>
          <cell r="AX12">
            <v>686</v>
          </cell>
          <cell r="AY12">
            <v>480</v>
          </cell>
          <cell r="AZ12">
            <v>576</v>
          </cell>
          <cell r="BA12">
            <v>154</v>
          </cell>
          <cell r="BC12" t="str">
            <v>T4低4</v>
          </cell>
          <cell r="BD12">
            <v>1658</v>
          </cell>
          <cell r="BE12">
            <v>143</v>
          </cell>
          <cell r="BF12">
            <v>549</v>
          </cell>
          <cell r="BG12">
            <v>411</v>
          </cell>
          <cell r="BH12">
            <v>691</v>
          </cell>
          <cell r="BI12">
            <v>166</v>
          </cell>
          <cell r="BK12" t="str">
            <v>T4低4</v>
          </cell>
          <cell r="BL12">
            <v>1658</v>
          </cell>
          <cell r="BM12">
            <v>171</v>
          </cell>
          <cell r="BN12">
            <v>631</v>
          </cell>
          <cell r="BO12">
            <v>473</v>
          </cell>
          <cell r="BP12">
            <v>691</v>
          </cell>
          <cell r="BQ12">
            <v>166</v>
          </cell>
          <cell r="BS12" t="str">
            <v>T4低4</v>
          </cell>
          <cell r="BT12">
            <v>1879</v>
          </cell>
          <cell r="BU12">
            <v>515</v>
          </cell>
          <cell r="BV12">
            <v>549</v>
          </cell>
          <cell r="BW12">
            <v>439</v>
          </cell>
          <cell r="BX12">
            <v>806</v>
          </cell>
          <cell r="BY12">
            <v>188</v>
          </cell>
          <cell r="CA12" t="str">
            <v>T4低4</v>
          </cell>
          <cell r="CB12">
            <v>1879</v>
          </cell>
          <cell r="CC12">
            <v>680</v>
          </cell>
          <cell r="CD12">
            <v>603</v>
          </cell>
          <cell r="CE12">
            <v>483</v>
          </cell>
          <cell r="CF12">
            <v>806</v>
          </cell>
          <cell r="CG12">
            <v>188</v>
          </cell>
        </row>
        <row r="13">
          <cell r="AE13" t="str">
            <v>T4中4</v>
          </cell>
          <cell r="AF13">
            <v>1600</v>
          </cell>
          <cell r="AG13">
            <v>159</v>
          </cell>
          <cell r="AH13">
            <v>600</v>
          </cell>
          <cell r="AI13">
            <v>420</v>
          </cell>
          <cell r="AJ13">
            <v>600</v>
          </cell>
          <cell r="AK13">
            <v>160</v>
          </cell>
          <cell r="AM13" t="str">
            <v>T4中4</v>
          </cell>
          <cell r="AN13">
            <v>1600</v>
          </cell>
          <cell r="AO13">
            <v>85</v>
          </cell>
          <cell r="AP13">
            <v>657</v>
          </cell>
          <cell r="AQ13">
            <v>460</v>
          </cell>
          <cell r="AR13">
            <v>600</v>
          </cell>
          <cell r="AS13">
            <v>160</v>
          </cell>
          <cell r="AU13" t="str">
            <v>T4中4</v>
          </cell>
          <cell r="AV13">
            <v>1600</v>
          </cell>
          <cell r="AW13">
            <v>322</v>
          </cell>
          <cell r="AX13">
            <v>714</v>
          </cell>
          <cell r="AY13">
            <v>500</v>
          </cell>
          <cell r="AZ13">
            <v>600</v>
          </cell>
          <cell r="BA13">
            <v>160</v>
          </cell>
          <cell r="BC13" t="str">
            <v>T4中4</v>
          </cell>
          <cell r="BD13">
            <v>1727</v>
          </cell>
          <cell r="BE13">
            <v>148</v>
          </cell>
          <cell r="BF13">
            <v>571</v>
          </cell>
          <cell r="BG13">
            <v>429</v>
          </cell>
          <cell r="BH13">
            <v>720</v>
          </cell>
          <cell r="BI13">
            <v>173</v>
          </cell>
          <cell r="BK13" t="str">
            <v>T4中4</v>
          </cell>
          <cell r="BL13">
            <v>1727</v>
          </cell>
          <cell r="BM13">
            <v>178</v>
          </cell>
          <cell r="BN13">
            <v>657</v>
          </cell>
          <cell r="BO13">
            <v>493</v>
          </cell>
          <cell r="BP13">
            <v>720</v>
          </cell>
          <cell r="BQ13">
            <v>173</v>
          </cell>
          <cell r="BS13" t="str">
            <v>T4中4</v>
          </cell>
          <cell r="BT13">
            <v>1957</v>
          </cell>
          <cell r="BU13">
            <v>536</v>
          </cell>
          <cell r="BV13">
            <v>571</v>
          </cell>
          <cell r="BW13">
            <v>457</v>
          </cell>
          <cell r="BX13">
            <v>840</v>
          </cell>
          <cell r="BY13">
            <v>196</v>
          </cell>
          <cell r="CA13" t="str">
            <v>T4中4</v>
          </cell>
          <cell r="CB13">
            <v>1957</v>
          </cell>
          <cell r="CC13">
            <v>709</v>
          </cell>
          <cell r="CD13">
            <v>629</v>
          </cell>
          <cell r="CE13">
            <v>503</v>
          </cell>
          <cell r="CF13">
            <v>840</v>
          </cell>
          <cell r="CG13">
            <v>196</v>
          </cell>
        </row>
        <row r="14">
          <cell r="AE14" t="str">
            <v>T4高4</v>
          </cell>
          <cell r="AF14">
            <v>1600</v>
          </cell>
          <cell r="AG14">
            <v>159</v>
          </cell>
          <cell r="AH14">
            <v>600</v>
          </cell>
          <cell r="AI14">
            <v>420</v>
          </cell>
          <cell r="AJ14">
            <v>600</v>
          </cell>
          <cell r="AK14">
            <v>160</v>
          </cell>
          <cell r="AM14" t="str">
            <v>T4高4</v>
          </cell>
          <cell r="AN14">
            <v>1600</v>
          </cell>
          <cell r="AO14">
            <v>85</v>
          </cell>
          <cell r="AP14">
            <v>657</v>
          </cell>
          <cell r="AQ14">
            <v>460</v>
          </cell>
          <cell r="AR14">
            <v>600</v>
          </cell>
          <cell r="AS14">
            <v>160</v>
          </cell>
          <cell r="AU14" t="str">
            <v>T4高4</v>
          </cell>
          <cell r="AV14">
            <v>1600</v>
          </cell>
          <cell r="AW14">
            <v>322</v>
          </cell>
          <cell r="AX14">
            <v>714</v>
          </cell>
          <cell r="AY14">
            <v>500</v>
          </cell>
          <cell r="AZ14">
            <v>600</v>
          </cell>
          <cell r="BA14">
            <v>160</v>
          </cell>
          <cell r="BC14" t="str">
            <v>T4高4</v>
          </cell>
          <cell r="BD14">
            <v>1727</v>
          </cell>
          <cell r="BE14">
            <v>148</v>
          </cell>
          <cell r="BF14">
            <v>571</v>
          </cell>
          <cell r="BG14">
            <v>429</v>
          </cell>
          <cell r="BH14">
            <v>720</v>
          </cell>
          <cell r="BI14">
            <v>173</v>
          </cell>
          <cell r="BK14" t="str">
            <v>T4高4</v>
          </cell>
          <cell r="BL14">
            <v>1727</v>
          </cell>
          <cell r="BM14">
            <v>178</v>
          </cell>
          <cell r="BN14">
            <v>657</v>
          </cell>
          <cell r="BO14">
            <v>493</v>
          </cell>
          <cell r="BP14">
            <v>720</v>
          </cell>
          <cell r="BQ14">
            <v>173</v>
          </cell>
          <cell r="BS14" t="str">
            <v>T4高4</v>
          </cell>
          <cell r="BT14">
            <v>1957</v>
          </cell>
          <cell r="BU14">
            <v>536</v>
          </cell>
          <cell r="BV14">
            <v>571</v>
          </cell>
          <cell r="BW14">
            <v>457</v>
          </cell>
          <cell r="BX14">
            <v>840</v>
          </cell>
          <cell r="BY14">
            <v>196</v>
          </cell>
          <cell r="CA14" t="str">
            <v>T4高4</v>
          </cell>
          <cell r="CB14">
            <v>1957</v>
          </cell>
          <cell r="CC14">
            <v>709</v>
          </cell>
          <cell r="CD14">
            <v>629</v>
          </cell>
          <cell r="CE14">
            <v>503</v>
          </cell>
          <cell r="CF14">
            <v>840</v>
          </cell>
          <cell r="CG14">
            <v>196</v>
          </cell>
        </row>
        <row r="15">
          <cell r="AE15" t="str">
            <v>T3低5</v>
          </cell>
          <cell r="AF15">
            <v>1696</v>
          </cell>
          <cell r="AG15">
            <v>173</v>
          </cell>
          <cell r="AH15">
            <v>651</v>
          </cell>
          <cell r="AI15">
            <v>456</v>
          </cell>
          <cell r="AJ15">
            <v>651</v>
          </cell>
          <cell r="AK15">
            <v>174</v>
          </cell>
          <cell r="AM15" t="str">
            <v>T3低5</v>
          </cell>
          <cell r="AN15">
            <v>1696</v>
          </cell>
          <cell r="AO15">
            <v>92</v>
          </cell>
          <cell r="AP15">
            <v>713</v>
          </cell>
          <cell r="AQ15">
            <v>499</v>
          </cell>
          <cell r="AR15">
            <v>651</v>
          </cell>
          <cell r="AS15">
            <v>174</v>
          </cell>
          <cell r="AU15" t="str">
            <v>T3低5</v>
          </cell>
          <cell r="AV15">
            <v>1696</v>
          </cell>
          <cell r="AW15">
            <v>349</v>
          </cell>
          <cell r="AX15">
            <v>775</v>
          </cell>
          <cell r="AY15">
            <v>543</v>
          </cell>
          <cell r="AZ15">
            <v>651</v>
          </cell>
          <cell r="BA15">
            <v>174</v>
          </cell>
          <cell r="BC15" t="str">
            <v>T3低5</v>
          </cell>
          <cell r="BD15">
            <v>1831</v>
          </cell>
          <cell r="BE15">
            <v>161</v>
          </cell>
          <cell r="BF15">
            <v>620</v>
          </cell>
          <cell r="BG15">
            <v>465</v>
          </cell>
          <cell r="BH15">
            <v>781</v>
          </cell>
          <cell r="BI15">
            <v>187</v>
          </cell>
          <cell r="BK15" t="str">
            <v>T3低5</v>
          </cell>
          <cell r="BL15">
            <v>1831</v>
          </cell>
          <cell r="BM15">
            <v>193</v>
          </cell>
          <cell r="BN15">
            <v>713</v>
          </cell>
          <cell r="BO15">
            <v>535</v>
          </cell>
          <cell r="BP15">
            <v>781</v>
          </cell>
          <cell r="BQ15">
            <v>187</v>
          </cell>
          <cell r="BS15" t="str">
            <v>T3低5</v>
          </cell>
          <cell r="BT15">
            <v>2075</v>
          </cell>
          <cell r="BU15">
            <v>582</v>
          </cell>
          <cell r="BV15">
            <v>620</v>
          </cell>
          <cell r="BW15">
            <v>496</v>
          </cell>
          <cell r="BX15">
            <v>911</v>
          </cell>
          <cell r="BY15">
            <v>212</v>
          </cell>
          <cell r="CA15" t="str">
            <v>T3低5</v>
          </cell>
          <cell r="CB15">
            <v>2075</v>
          </cell>
          <cell r="CC15">
            <v>769</v>
          </cell>
          <cell r="CD15">
            <v>682</v>
          </cell>
          <cell r="CE15">
            <v>546</v>
          </cell>
          <cell r="CF15">
            <v>911</v>
          </cell>
          <cell r="CG15">
            <v>212</v>
          </cell>
        </row>
        <row r="16">
          <cell r="AE16" t="str">
            <v>T2中4</v>
          </cell>
          <cell r="AF16">
            <v>1408</v>
          </cell>
          <cell r="AG16">
            <v>140</v>
          </cell>
          <cell r="AH16">
            <v>528</v>
          </cell>
          <cell r="AI16">
            <v>370</v>
          </cell>
          <cell r="AJ16">
            <v>528</v>
          </cell>
          <cell r="AK16">
            <v>141</v>
          </cell>
          <cell r="AM16" t="str">
            <v>T2中4</v>
          </cell>
          <cell r="AN16">
            <v>1408</v>
          </cell>
          <cell r="AO16">
            <v>75</v>
          </cell>
          <cell r="AP16">
            <v>578</v>
          </cell>
          <cell r="AQ16">
            <v>405</v>
          </cell>
          <cell r="AR16">
            <v>528</v>
          </cell>
          <cell r="AS16">
            <v>141</v>
          </cell>
          <cell r="AU16" t="str">
            <v>T2中4</v>
          </cell>
          <cell r="AV16">
            <v>1408</v>
          </cell>
          <cell r="AW16">
            <v>283</v>
          </cell>
          <cell r="AX16">
            <v>629</v>
          </cell>
          <cell r="AY16">
            <v>440</v>
          </cell>
          <cell r="AZ16">
            <v>528</v>
          </cell>
          <cell r="BA16">
            <v>141</v>
          </cell>
          <cell r="BC16" t="str">
            <v>T2中4</v>
          </cell>
          <cell r="BD16">
            <v>1520</v>
          </cell>
          <cell r="BE16">
            <v>131</v>
          </cell>
          <cell r="BF16">
            <v>503</v>
          </cell>
          <cell r="BG16">
            <v>377</v>
          </cell>
          <cell r="BH16">
            <v>634</v>
          </cell>
          <cell r="BI16">
            <v>152</v>
          </cell>
          <cell r="BK16" t="str">
            <v>T2中4</v>
          </cell>
          <cell r="BL16">
            <v>1520</v>
          </cell>
          <cell r="BM16">
            <v>157</v>
          </cell>
          <cell r="BN16">
            <v>578</v>
          </cell>
          <cell r="BO16">
            <v>434</v>
          </cell>
          <cell r="BP16">
            <v>634</v>
          </cell>
          <cell r="BQ16">
            <v>152</v>
          </cell>
          <cell r="BS16" t="str">
            <v>T2中4</v>
          </cell>
          <cell r="BT16">
            <v>1722</v>
          </cell>
          <cell r="BU16">
            <v>472</v>
          </cell>
          <cell r="BV16">
            <v>503</v>
          </cell>
          <cell r="BW16">
            <v>402</v>
          </cell>
          <cell r="BX16">
            <v>739</v>
          </cell>
          <cell r="BY16">
            <v>172</v>
          </cell>
          <cell r="CA16" t="str">
            <v>T2中4</v>
          </cell>
          <cell r="CB16">
            <v>1722</v>
          </cell>
          <cell r="CC16">
            <v>624</v>
          </cell>
          <cell r="CD16">
            <v>553</v>
          </cell>
          <cell r="CE16">
            <v>443</v>
          </cell>
          <cell r="CF16">
            <v>739</v>
          </cell>
          <cell r="CG16">
            <v>172</v>
          </cell>
        </row>
        <row r="17">
          <cell r="AE17" t="str">
            <v>T5低5</v>
          </cell>
          <cell r="AF17">
            <v>2016</v>
          </cell>
          <cell r="AG17">
            <v>201</v>
          </cell>
          <cell r="AH17">
            <v>756</v>
          </cell>
          <cell r="AI17">
            <v>529</v>
          </cell>
          <cell r="AJ17">
            <v>756</v>
          </cell>
          <cell r="AK17">
            <v>202</v>
          </cell>
          <cell r="AM17" t="str">
            <v>T5低5</v>
          </cell>
          <cell r="AN17">
            <v>2016</v>
          </cell>
          <cell r="AO17">
            <v>107</v>
          </cell>
          <cell r="AP17">
            <v>828</v>
          </cell>
          <cell r="AQ17">
            <v>580</v>
          </cell>
          <cell r="AR17">
            <v>756</v>
          </cell>
          <cell r="AS17">
            <v>202</v>
          </cell>
          <cell r="AU17" t="str">
            <v>T5低5</v>
          </cell>
          <cell r="AV17">
            <v>2016</v>
          </cell>
          <cell r="AW17">
            <v>406</v>
          </cell>
          <cell r="AX17">
            <v>900</v>
          </cell>
          <cell r="AY17">
            <v>630</v>
          </cell>
          <cell r="AZ17">
            <v>756</v>
          </cell>
          <cell r="BA17">
            <v>202</v>
          </cell>
          <cell r="BC17" t="str">
            <v>T5低5</v>
          </cell>
          <cell r="BD17">
            <v>2176</v>
          </cell>
          <cell r="BE17">
            <v>187</v>
          </cell>
          <cell r="BF17">
            <v>720</v>
          </cell>
          <cell r="BG17">
            <v>540</v>
          </cell>
          <cell r="BH17">
            <v>907</v>
          </cell>
          <cell r="BI17">
            <v>218</v>
          </cell>
          <cell r="BK17" t="str">
            <v>T5低5</v>
          </cell>
          <cell r="BL17">
            <v>2176</v>
          </cell>
          <cell r="BM17">
            <v>224</v>
          </cell>
          <cell r="BN17">
            <v>828</v>
          </cell>
          <cell r="BO17">
            <v>621</v>
          </cell>
          <cell r="BP17">
            <v>907</v>
          </cell>
          <cell r="BQ17">
            <v>218</v>
          </cell>
          <cell r="BS17" t="str">
            <v>T5低5</v>
          </cell>
          <cell r="BT17">
            <v>2466</v>
          </cell>
          <cell r="BU17">
            <v>676</v>
          </cell>
          <cell r="BV17">
            <v>720</v>
          </cell>
          <cell r="BW17">
            <v>576</v>
          </cell>
          <cell r="BX17">
            <v>1058</v>
          </cell>
          <cell r="BY17">
            <v>247</v>
          </cell>
          <cell r="CA17" t="str">
            <v>T5低5</v>
          </cell>
          <cell r="CB17">
            <v>2466</v>
          </cell>
          <cell r="CC17">
            <v>893</v>
          </cell>
          <cell r="CD17">
            <v>792</v>
          </cell>
          <cell r="CE17">
            <v>634</v>
          </cell>
          <cell r="CF17">
            <v>1058</v>
          </cell>
          <cell r="CG17">
            <v>247</v>
          </cell>
        </row>
        <row r="18">
          <cell r="AE18" t="str">
            <v>T5中5</v>
          </cell>
          <cell r="AF18">
            <v>2096</v>
          </cell>
          <cell r="AG18">
            <v>209</v>
          </cell>
          <cell r="AH18">
            <v>786</v>
          </cell>
          <cell r="AI18">
            <v>550</v>
          </cell>
          <cell r="AJ18">
            <v>786</v>
          </cell>
          <cell r="AK18">
            <v>210</v>
          </cell>
          <cell r="AM18" t="str">
            <v>T5中5</v>
          </cell>
          <cell r="AN18">
            <v>2096</v>
          </cell>
          <cell r="AO18">
            <v>111</v>
          </cell>
          <cell r="AP18">
            <v>861</v>
          </cell>
          <cell r="AQ18">
            <v>603</v>
          </cell>
          <cell r="AR18">
            <v>786</v>
          </cell>
          <cell r="AS18">
            <v>210</v>
          </cell>
          <cell r="AU18" t="str">
            <v>T5中5</v>
          </cell>
          <cell r="AV18">
            <v>2096</v>
          </cell>
          <cell r="AW18">
            <v>422</v>
          </cell>
          <cell r="AX18">
            <v>936</v>
          </cell>
          <cell r="AY18">
            <v>655</v>
          </cell>
          <cell r="AZ18">
            <v>786</v>
          </cell>
          <cell r="BA18">
            <v>210</v>
          </cell>
          <cell r="BC18" t="str">
            <v>T5中5</v>
          </cell>
          <cell r="BD18">
            <v>2262</v>
          </cell>
          <cell r="BE18">
            <v>194</v>
          </cell>
          <cell r="BF18">
            <v>749</v>
          </cell>
          <cell r="BG18">
            <v>561</v>
          </cell>
          <cell r="BH18">
            <v>943</v>
          </cell>
          <cell r="BI18">
            <v>226</v>
          </cell>
          <cell r="BK18" t="str">
            <v>T5中5</v>
          </cell>
          <cell r="BL18">
            <v>2262</v>
          </cell>
          <cell r="BM18">
            <v>233</v>
          </cell>
          <cell r="BN18">
            <v>861</v>
          </cell>
          <cell r="BO18">
            <v>646</v>
          </cell>
          <cell r="BP18">
            <v>943</v>
          </cell>
          <cell r="BQ18">
            <v>226</v>
          </cell>
          <cell r="BS18" t="str">
            <v>T5中5</v>
          </cell>
          <cell r="BT18">
            <v>2564</v>
          </cell>
          <cell r="BU18">
            <v>702</v>
          </cell>
          <cell r="BV18">
            <v>749</v>
          </cell>
          <cell r="BW18">
            <v>599</v>
          </cell>
          <cell r="BX18">
            <v>1100</v>
          </cell>
          <cell r="BY18">
            <v>256</v>
          </cell>
          <cell r="CA18" t="str">
            <v>T5中5</v>
          </cell>
          <cell r="CB18">
            <v>2564</v>
          </cell>
          <cell r="CC18">
            <v>928</v>
          </cell>
          <cell r="CD18">
            <v>823</v>
          </cell>
          <cell r="CE18">
            <v>659</v>
          </cell>
          <cell r="CF18">
            <v>1100</v>
          </cell>
          <cell r="CG18">
            <v>256</v>
          </cell>
        </row>
        <row r="19">
          <cell r="AE19" t="str">
            <v>T5高5</v>
          </cell>
          <cell r="AF19">
            <v>2096</v>
          </cell>
          <cell r="AG19">
            <v>209</v>
          </cell>
          <cell r="AH19">
            <v>786</v>
          </cell>
          <cell r="AI19">
            <v>550</v>
          </cell>
          <cell r="AJ19">
            <v>786</v>
          </cell>
          <cell r="AK19">
            <v>210</v>
          </cell>
          <cell r="AM19" t="str">
            <v>T5高5</v>
          </cell>
          <cell r="AN19">
            <v>2096</v>
          </cell>
          <cell r="AO19">
            <v>111</v>
          </cell>
          <cell r="AP19">
            <v>861</v>
          </cell>
          <cell r="AQ19">
            <v>603</v>
          </cell>
          <cell r="AR19">
            <v>786</v>
          </cell>
          <cell r="AS19">
            <v>210</v>
          </cell>
          <cell r="AU19" t="str">
            <v>T5高5</v>
          </cell>
          <cell r="AV19">
            <v>2096</v>
          </cell>
          <cell r="AW19">
            <v>422</v>
          </cell>
          <cell r="AX19">
            <v>936</v>
          </cell>
          <cell r="AY19">
            <v>655</v>
          </cell>
          <cell r="AZ19">
            <v>786</v>
          </cell>
          <cell r="BA19">
            <v>210</v>
          </cell>
          <cell r="BC19" t="str">
            <v>T5高5</v>
          </cell>
          <cell r="BD19">
            <v>2262</v>
          </cell>
          <cell r="BE19">
            <v>194</v>
          </cell>
          <cell r="BF19">
            <v>749</v>
          </cell>
          <cell r="BG19">
            <v>561</v>
          </cell>
          <cell r="BH19">
            <v>943</v>
          </cell>
          <cell r="BI19">
            <v>226</v>
          </cell>
          <cell r="BK19" t="str">
            <v>T5高5</v>
          </cell>
          <cell r="BL19">
            <v>2262</v>
          </cell>
          <cell r="BM19">
            <v>233</v>
          </cell>
          <cell r="BN19">
            <v>861</v>
          </cell>
          <cell r="BO19">
            <v>646</v>
          </cell>
          <cell r="BP19">
            <v>943</v>
          </cell>
          <cell r="BQ19">
            <v>226</v>
          </cell>
          <cell r="BS19" t="str">
            <v>T5高5</v>
          </cell>
          <cell r="BT19">
            <v>2564</v>
          </cell>
          <cell r="BU19">
            <v>702</v>
          </cell>
          <cell r="BV19">
            <v>749</v>
          </cell>
          <cell r="BW19">
            <v>599</v>
          </cell>
          <cell r="BX19">
            <v>1100</v>
          </cell>
          <cell r="BY19">
            <v>256</v>
          </cell>
          <cell r="CA19" t="str">
            <v>T5高5</v>
          </cell>
          <cell r="CB19">
            <v>2564</v>
          </cell>
          <cell r="CC19">
            <v>928</v>
          </cell>
          <cell r="CD19">
            <v>823</v>
          </cell>
          <cell r="CE19">
            <v>659</v>
          </cell>
          <cell r="CF19">
            <v>1100</v>
          </cell>
          <cell r="CG19">
            <v>256</v>
          </cell>
        </row>
        <row r="20">
          <cell r="AE20" t="str">
            <v>T4低6</v>
          </cell>
          <cell r="AF20">
            <v>2208</v>
          </cell>
          <cell r="AG20">
            <v>225</v>
          </cell>
          <cell r="AH20">
            <v>846</v>
          </cell>
          <cell r="AI20">
            <v>592</v>
          </cell>
          <cell r="AJ20">
            <v>846</v>
          </cell>
          <cell r="AK20">
            <v>226</v>
          </cell>
          <cell r="AM20" t="str">
            <v>T4低6</v>
          </cell>
          <cell r="AN20">
            <v>2208</v>
          </cell>
          <cell r="AO20">
            <v>120</v>
          </cell>
          <cell r="AP20">
            <v>927</v>
          </cell>
          <cell r="AQ20">
            <v>649</v>
          </cell>
          <cell r="AR20">
            <v>846</v>
          </cell>
          <cell r="AS20">
            <v>226</v>
          </cell>
          <cell r="AU20" t="str">
            <v>T4低6</v>
          </cell>
          <cell r="AV20">
            <v>2208</v>
          </cell>
          <cell r="AW20">
            <v>454</v>
          </cell>
          <cell r="AX20">
            <v>1007</v>
          </cell>
          <cell r="AY20">
            <v>705</v>
          </cell>
          <cell r="AZ20">
            <v>846</v>
          </cell>
          <cell r="BA20">
            <v>226</v>
          </cell>
          <cell r="BC20" t="str">
            <v>T4低6</v>
          </cell>
          <cell r="BD20">
            <v>2383</v>
          </cell>
          <cell r="BE20">
            <v>209</v>
          </cell>
          <cell r="BF20">
            <v>806</v>
          </cell>
          <cell r="BG20">
            <v>604</v>
          </cell>
          <cell r="BH20">
            <v>1015</v>
          </cell>
          <cell r="BI20">
            <v>243</v>
          </cell>
          <cell r="BK20" t="str">
            <v>T4低6</v>
          </cell>
          <cell r="BL20">
            <v>2383</v>
          </cell>
          <cell r="BM20">
            <v>251</v>
          </cell>
          <cell r="BN20">
            <v>927</v>
          </cell>
          <cell r="BO20">
            <v>695</v>
          </cell>
          <cell r="BP20">
            <v>1015</v>
          </cell>
          <cell r="BQ20">
            <v>243</v>
          </cell>
          <cell r="BS20" t="str">
            <v>T4低6</v>
          </cell>
          <cell r="BT20">
            <v>2701</v>
          </cell>
          <cell r="BU20">
            <v>756</v>
          </cell>
          <cell r="BV20">
            <v>806</v>
          </cell>
          <cell r="BW20">
            <v>645</v>
          </cell>
          <cell r="BX20">
            <v>1184</v>
          </cell>
          <cell r="BY20">
            <v>276</v>
          </cell>
          <cell r="CA20" t="str">
            <v>T4低6</v>
          </cell>
          <cell r="CB20">
            <v>2701</v>
          </cell>
          <cell r="CC20">
            <v>999</v>
          </cell>
          <cell r="CD20">
            <v>886</v>
          </cell>
          <cell r="CE20">
            <v>709</v>
          </cell>
          <cell r="CF20">
            <v>1184</v>
          </cell>
          <cell r="CG20">
            <v>276</v>
          </cell>
        </row>
        <row r="21">
          <cell r="AE21" t="str">
            <v>T3中5</v>
          </cell>
          <cell r="AF21">
            <v>1824</v>
          </cell>
          <cell r="AG21">
            <v>182</v>
          </cell>
          <cell r="AH21">
            <v>684</v>
          </cell>
          <cell r="AI21">
            <v>479</v>
          </cell>
          <cell r="AJ21">
            <v>684</v>
          </cell>
          <cell r="AK21">
            <v>182</v>
          </cell>
          <cell r="AM21" t="str">
            <v>T3中5</v>
          </cell>
          <cell r="AN21">
            <v>1824</v>
          </cell>
          <cell r="AO21">
            <v>97</v>
          </cell>
          <cell r="AP21">
            <v>749</v>
          </cell>
          <cell r="AQ21">
            <v>524</v>
          </cell>
          <cell r="AR21">
            <v>684</v>
          </cell>
          <cell r="AS21">
            <v>182</v>
          </cell>
          <cell r="AU21" t="str">
            <v>T3中5</v>
          </cell>
          <cell r="AV21">
            <v>1824</v>
          </cell>
          <cell r="AW21">
            <v>367</v>
          </cell>
          <cell r="AX21">
            <v>814</v>
          </cell>
          <cell r="AY21">
            <v>570</v>
          </cell>
          <cell r="AZ21">
            <v>684</v>
          </cell>
          <cell r="BA21">
            <v>182</v>
          </cell>
          <cell r="BC21" t="str">
            <v>T3中5</v>
          </cell>
          <cell r="BD21">
            <v>1969</v>
          </cell>
          <cell r="BE21">
            <v>169</v>
          </cell>
          <cell r="BF21">
            <v>651</v>
          </cell>
          <cell r="BG21">
            <v>489</v>
          </cell>
          <cell r="BH21">
            <v>821</v>
          </cell>
          <cell r="BI21">
            <v>197</v>
          </cell>
          <cell r="BK21" t="str">
            <v>T3中5</v>
          </cell>
          <cell r="BL21">
            <v>1969</v>
          </cell>
          <cell r="BM21">
            <v>203</v>
          </cell>
          <cell r="BN21">
            <v>749</v>
          </cell>
          <cell r="BO21">
            <v>562</v>
          </cell>
          <cell r="BP21">
            <v>821</v>
          </cell>
          <cell r="BQ21">
            <v>197</v>
          </cell>
          <cell r="BS21" t="str">
            <v>T3中5</v>
          </cell>
          <cell r="BT21">
            <v>2231</v>
          </cell>
          <cell r="BU21">
            <v>611</v>
          </cell>
          <cell r="BV21">
            <v>651</v>
          </cell>
          <cell r="BW21">
            <v>521</v>
          </cell>
          <cell r="BX21">
            <v>958</v>
          </cell>
          <cell r="BY21">
            <v>223</v>
          </cell>
          <cell r="CA21" t="str">
            <v>T3中5</v>
          </cell>
          <cell r="CB21">
            <v>2231</v>
          </cell>
          <cell r="CC21">
            <v>808</v>
          </cell>
          <cell r="CD21">
            <v>717</v>
          </cell>
          <cell r="CE21">
            <v>573</v>
          </cell>
          <cell r="CF21">
            <v>958</v>
          </cell>
          <cell r="CG21">
            <v>223</v>
          </cell>
        </row>
        <row r="22">
          <cell r="AE22" t="str">
            <v>T3高5</v>
          </cell>
          <cell r="AF22">
            <v>1824</v>
          </cell>
          <cell r="AG22">
            <v>186</v>
          </cell>
          <cell r="AH22">
            <v>699</v>
          </cell>
          <cell r="AI22">
            <v>489</v>
          </cell>
          <cell r="AJ22">
            <v>699</v>
          </cell>
          <cell r="AK22">
            <v>186</v>
          </cell>
          <cell r="AM22" t="str">
            <v>T3高5</v>
          </cell>
          <cell r="AN22">
            <v>1824</v>
          </cell>
          <cell r="AO22">
            <v>99</v>
          </cell>
          <cell r="AP22">
            <v>766</v>
          </cell>
          <cell r="AQ22">
            <v>536</v>
          </cell>
          <cell r="AR22">
            <v>699</v>
          </cell>
          <cell r="AS22">
            <v>186</v>
          </cell>
          <cell r="AU22" t="str">
            <v>T3高5</v>
          </cell>
          <cell r="AV22">
            <v>1824</v>
          </cell>
          <cell r="AW22">
            <v>375</v>
          </cell>
          <cell r="AX22">
            <v>832</v>
          </cell>
          <cell r="AY22">
            <v>583</v>
          </cell>
          <cell r="AZ22">
            <v>699</v>
          </cell>
          <cell r="BA22">
            <v>186</v>
          </cell>
          <cell r="BC22" t="str">
            <v>T3高5</v>
          </cell>
          <cell r="BD22">
            <v>1969</v>
          </cell>
          <cell r="BE22">
            <v>173</v>
          </cell>
          <cell r="BF22">
            <v>666</v>
          </cell>
          <cell r="BG22">
            <v>499</v>
          </cell>
          <cell r="BH22">
            <v>839</v>
          </cell>
          <cell r="BI22">
            <v>201</v>
          </cell>
          <cell r="BK22" t="str">
            <v>T3高5</v>
          </cell>
          <cell r="BL22">
            <v>1969</v>
          </cell>
          <cell r="BM22">
            <v>207</v>
          </cell>
          <cell r="BN22">
            <v>766</v>
          </cell>
          <cell r="BO22">
            <v>574</v>
          </cell>
          <cell r="BP22">
            <v>839</v>
          </cell>
          <cell r="BQ22">
            <v>201</v>
          </cell>
          <cell r="BS22" t="str">
            <v>T3高5</v>
          </cell>
          <cell r="BT22">
            <v>2231</v>
          </cell>
          <cell r="BU22">
            <v>625</v>
          </cell>
          <cell r="BV22">
            <v>666</v>
          </cell>
          <cell r="BW22">
            <v>533</v>
          </cell>
          <cell r="BX22">
            <v>979</v>
          </cell>
          <cell r="BY22">
            <v>228</v>
          </cell>
          <cell r="CA22" t="str">
            <v>T3高5</v>
          </cell>
          <cell r="CB22">
            <v>2231</v>
          </cell>
          <cell r="CC22">
            <v>825</v>
          </cell>
          <cell r="CD22">
            <v>732</v>
          </cell>
          <cell r="CE22">
            <v>586</v>
          </cell>
          <cell r="CF22">
            <v>979</v>
          </cell>
          <cell r="CG22">
            <v>228</v>
          </cell>
        </row>
        <row r="23">
          <cell r="AE23" t="str">
            <v>T5低7</v>
          </cell>
          <cell r="AF23">
            <v>2864</v>
          </cell>
          <cell r="AG23">
            <v>291</v>
          </cell>
          <cell r="AH23">
            <v>1095</v>
          </cell>
          <cell r="AI23">
            <v>767</v>
          </cell>
          <cell r="AJ23">
            <v>1095</v>
          </cell>
          <cell r="AK23">
            <v>292</v>
          </cell>
          <cell r="AM23" t="str">
            <v>T5低7</v>
          </cell>
          <cell r="AN23">
            <v>2864</v>
          </cell>
          <cell r="AO23">
            <v>155</v>
          </cell>
          <cell r="AP23">
            <v>1199</v>
          </cell>
          <cell r="AQ23">
            <v>840</v>
          </cell>
          <cell r="AR23">
            <v>1095</v>
          </cell>
          <cell r="AS23">
            <v>292</v>
          </cell>
          <cell r="AU23" t="str">
            <v>T5低7</v>
          </cell>
          <cell r="AV23">
            <v>2864</v>
          </cell>
          <cell r="AW23">
            <v>588</v>
          </cell>
          <cell r="AX23">
            <v>1304</v>
          </cell>
          <cell r="AY23">
            <v>913</v>
          </cell>
          <cell r="AZ23">
            <v>1095</v>
          </cell>
          <cell r="BA23">
            <v>292</v>
          </cell>
          <cell r="BC23" t="str">
            <v>T5低7</v>
          </cell>
          <cell r="BD23">
            <v>3091</v>
          </cell>
          <cell r="BE23">
            <v>271</v>
          </cell>
          <cell r="BF23">
            <v>1043</v>
          </cell>
          <cell r="BG23">
            <v>782</v>
          </cell>
          <cell r="BH23">
            <v>1314</v>
          </cell>
          <cell r="BI23">
            <v>315</v>
          </cell>
          <cell r="BK23" t="str">
            <v>T5低7</v>
          </cell>
          <cell r="BL23">
            <v>3091</v>
          </cell>
          <cell r="BM23">
            <v>325</v>
          </cell>
          <cell r="BN23">
            <v>1199</v>
          </cell>
          <cell r="BO23">
            <v>899</v>
          </cell>
          <cell r="BP23">
            <v>1314</v>
          </cell>
          <cell r="BQ23">
            <v>315</v>
          </cell>
          <cell r="BS23" t="str">
            <v>T5低7</v>
          </cell>
          <cell r="BT23">
            <v>3504</v>
          </cell>
          <cell r="BU23">
            <v>978</v>
          </cell>
          <cell r="BV23">
            <v>1043</v>
          </cell>
          <cell r="BW23">
            <v>834</v>
          </cell>
          <cell r="BX23">
            <v>1533</v>
          </cell>
          <cell r="BY23">
            <v>357</v>
          </cell>
          <cell r="CA23" t="str">
            <v>T5低7</v>
          </cell>
          <cell r="CB23">
            <v>3504</v>
          </cell>
          <cell r="CC23">
            <v>1293</v>
          </cell>
          <cell r="CD23">
            <v>1147</v>
          </cell>
          <cell r="CE23">
            <v>918</v>
          </cell>
          <cell r="CF23">
            <v>1533</v>
          </cell>
          <cell r="CG23">
            <v>357</v>
          </cell>
        </row>
        <row r="24">
          <cell r="AE24" t="str">
            <v>T4中6</v>
          </cell>
          <cell r="AF24">
            <v>2368</v>
          </cell>
          <cell r="AG24">
            <v>236</v>
          </cell>
          <cell r="AH24">
            <v>888</v>
          </cell>
          <cell r="AI24">
            <v>622</v>
          </cell>
          <cell r="AJ24">
            <v>888</v>
          </cell>
          <cell r="AK24">
            <v>237</v>
          </cell>
          <cell r="AM24" t="str">
            <v>T4中6</v>
          </cell>
          <cell r="AN24">
            <v>2368</v>
          </cell>
          <cell r="AO24">
            <v>126</v>
          </cell>
          <cell r="AP24">
            <v>973</v>
          </cell>
          <cell r="AQ24">
            <v>681</v>
          </cell>
          <cell r="AR24">
            <v>888</v>
          </cell>
          <cell r="AS24">
            <v>237</v>
          </cell>
          <cell r="AU24" t="str">
            <v>T4中6</v>
          </cell>
          <cell r="AV24">
            <v>2368</v>
          </cell>
          <cell r="AW24">
            <v>477</v>
          </cell>
          <cell r="AX24">
            <v>1057</v>
          </cell>
          <cell r="AY24">
            <v>740</v>
          </cell>
          <cell r="AZ24">
            <v>888</v>
          </cell>
          <cell r="BA24">
            <v>237</v>
          </cell>
          <cell r="BC24" t="str">
            <v>T4中6</v>
          </cell>
          <cell r="BD24">
            <v>2556</v>
          </cell>
          <cell r="BE24">
            <v>220</v>
          </cell>
          <cell r="BF24">
            <v>846</v>
          </cell>
          <cell r="BG24">
            <v>634</v>
          </cell>
          <cell r="BH24">
            <v>1066</v>
          </cell>
          <cell r="BI24">
            <v>256</v>
          </cell>
          <cell r="BK24" t="str">
            <v>T4中6</v>
          </cell>
          <cell r="BL24">
            <v>2556</v>
          </cell>
          <cell r="BM24">
            <v>263</v>
          </cell>
          <cell r="BN24">
            <v>973</v>
          </cell>
          <cell r="BO24">
            <v>729</v>
          </cell>
          <cell r="BP24">
            <v>1066</v>
          </cell>
          <cell r="BQ24">
            <v>256</v>
          </cell>
          <cell r="BS24" t="str">
            <v>T4中6</v>
          </cell>
          <cell r="BT24">
            <v>2897</v>
          </cell>
          <cell r="BU24">
            <v>793</v>
          </cell>
          <cell r="BV24">
            <v>846</v>
          </cell>
          <cell r="BW24">
            <v>677</v>
          </cell>
          <cell r="BX24">
            <v>1243</v>
          </cell>
          <cell r="BY24">
            <v>290</v>
          </cell>
          <cell r="CA24" t="str">
            <v>T4中6</v>
          </cell>
          <cell r="CB24">
            <v>2897</v>
          </cell>
          <cell r="CC24">
            <v>1049</v>
          </cell>
          <cell r="CD24">
            <v>930</v>
          </cell>
          <cell r="CE24">
            <v>744</v>
          </cell>
          <cell r="CF24">
            <v>1243</v>
          </cell>
          <cell r="CG24">
            <v>290</v>
          </cell>
        </row>
        <row r="25">
          <cell r="AE25" t="str">
            <v>T4高6</v>
          </cell>
          <cell r="AF25">
            <v>2368</v>
          </cell>
          <cell r="AG25">
            <v>241</v>
          </cell>
          <cell r="AH25">
            <v>906</v>
          </cell>
          <cell r="AI25">
            <v>634</v>
          </cell>
          <cell r="AJ25">
            <v>906</v>
          </cell>
          <cell r="AK25">
            <v>242</v>
          </cell>
          <cell r="AM25" t="str">
            <v>T4高6</v>
          </cell>
          <cell r="AN25">
            <v>2368</v>
          </cell>
          <cell r="AO25">
            <v>128</v>
          </cell>
          <cell r="AP25">
            <v>992</v>
          </cell>
          <cell r="AQ25">
            <v>695</v>
          </cell>
          <cell r="AR25">
            <v>906</v>
          </cell>
          <cell r="AS25">
            <v>242</v>
          </cell>
          <cell r="AU25" t="str">
            <v>T4高6</v>
          </cell>
          <cell r="AV25">
            <v>2368</v>
          </cell>
          <cell r="AW25">
            <v>486</v>
          </cell>
          <cell r="AX25">
            <v>1079</v>
          </cell>
          <cell r="AY25">
            <v>755</v>
          </cell>
          <cell r="AZ25">
            <v>906</v>
          </cell>
          <cell r="BA25">
            <v>242</v>
          </cell>
          <cell r="BC25" t="str">
            <v>T4高6</v>
          </cell>
          <cell r="BD25">
            <v>2556</v>
          </cell>
          <cell r="BE25">
            <v>224</v>
          </cell>
          <cell r="BF25">
            <v>863</v>
          </cell>
          <cell r="BG25">
            <v>647</v>
          </cell>
          <cell r="BH25">
            <v>1087</v>
          </cell>
          <cell r="BI25">
            <v>261</v>
          </cell>
          <cell r="BK25" t="str">
            <v>T4高6</v>
          </cell>
          <cell r="BL25">
            <v>2556</v>
          </cell>
          <cell r="BM25">
            <v>269</v>
          </cell>
          <cell r="BN25">
            <v>992</v>
          </cell>
          <cell r="BO25">
            <v>744</v>
          </cell>
          <cell r="BP25">
            <v>1087</v>
          </cell>
          <cell r="BQ25">
            <v>261</v>
          </cell>
          <cell r="BS25" t="str">
            <v>T4高6</v>
          </cell>
          <cell r="BT25">
            <v>2897</v>
          </cell>
          <cell r="BU25">
            <v>810</v>
          </cell>
          <cell r="BV25">
            <v>863</v>
          </cell>
          <cell r="BW25">
            <v>690</v>
          </cell>
          <cell r="BX25">
            <v>1268</v>
          </cell>
          <cell r="BY25">
            <v>296</v>
          </cell>
          <cell r="CA25" t="str">
            <v>T4高6</v>
          </cell>
          <cell r="CB25">
            <v>2897</v>
          </cell>
          <cell r="CC25">
            <v>1070</v>
          </cell>
          <cell r="CD25">
            <v>949</v>
          </cell>
          <cell r="CE25">
            <v>759</v>
          </cell>
          <cell r="CF25">
            <v>1268</v>
          </cell>
          <cell r="CG25">
            <v>296</v>
          </cell>
        </row>
        <row r="26">
          <cell r="AE26" t="str">
            <v>T5中7</v>
          </cell>
          <cell r="AF26">
            <v>3056</v>
          </cell>
          <cell r="AG26">
            <v>305</v>
          </cell>
          <cell r="AH26">
            <v>1146</v>
          </cell>
          <cell r="AI26">
            <v>802</v>
          </cell>
          <cell r="AJ26">
            <v>1146</v>
          </cell>
          <cell r="AK26">
            <v>306</v>
          </cell>
          <cell r="AM26" t="str">
            <v>T5中7</v>
          </cell>
          <cell r="AN26">
            <v>3056</v>
          </cell>
          <cell r="AO26">
            <v>162</v>
          </cell>
          <cell r="AP26">
            <v>1255</v>
          </cell>
          <cell r="AQ26">
            <v>879</v>
          </cell>
          <cell r="AR26">
            <v>1146</v>
          </cell>
          <cell r="AS26">
            <v>306</v>
          </cell>
          <cell r="AU26" t="str">
            <v>T5中7</v>
          </cell>
          <cell r="AV26">
            <v>3056</v>
          </cell>
          <cell r="AW26">
            <v>615</v>
          </cell>
          <cell r="AX26">
            <v>1364</v>
          </cell>
          <cell r="AY26">
            <v>955</v>
          </cell>
          <cell r="AZ26">
            <v>1146</v>
          </cell>
          <cell r="BA26">
            <v>306</v>
          </cell>
          <cell r="BC26" t="str">
            <v>T5中7</v>
          </cell>
          <cell r="BD26">
            <v>3298</v>
          </cell>
          <cell r="BE26">
            <v>284</v>
          </cell>
          <cell r="BF26">
            <v>1091</v>
          </cell>
          <cell r="BG26">
            <v>819</v>
          </cell>
          <cell r="BH26">
            <v>1375</v>
          </cell>
          <cell r="BI26">
            <v>330</v>
          </cell>
          <cell r="BK26" t="str">
            <v>T5中7</v>
          </cell>
          <cell r="BL26">
            <v>3298</v>
          </cell>
          <cell r="BM26">
            <v>340</v>
          </cell>
          <cell r="BN26">
            <v>1255</v>
          </cell>
          <cell r="BO26">
            <v>941</v>
          </cell>
          <cell r="BP26">
            <v>1375</v>
          </cell>
          <cell r="BQ26">
            <v>330</v>
          </cell>
          <cell r="BS26" t="str">
            <v>T5中7</v>
          </cell>
          <cell r="BT26">
            <v>3738</v>
          </cell>
          <cell r="BU26">
            <v>1024</v>
          </cell>
          <cell r="BV26">
            <v>1091</v>
          </cell>
          <cell r="BW26">
            <v>873</v>
          </cell>
          <cell r="BX26">
            <v>1604</v>
          </cell>
          <cell r="BY26">
            <v>374</v>
          </cell>
          <cell r="CA26" t="str">
            <v>T5中7</v>
          </cell>
          <cell r="CB26">
            <v>3738</v>
          </cell>
          <cell r="CC26">
            <v>1353</v>
          </cell>
          <cell r="CD26">
            <v>1201</v>
          </cell>
          <cell r="CE26">
            <v>960</v>
          </cell>
          <cell r="CF26">
            <v>1604</v>
          </cell>
          <cell r="CG26">
            <v>374</v>
          </cell>
        </row>
        <row r="27">
          <cell r="AE27" t="str">
            <v>T5高7</v>
          </cell>
          <cell r="AF27">
            <v>3056</v>
          </cell>
          <cell r="AG27">
            <v>310</v>
          </cell>
          <cell r="AH27">
            <v>1167</v>
          </cell>
          <cell r="AI27">
            <v>817</v>
          </cell>
          <cell r="AJ27">
            <v>1167</v>
          </cell>
          <cell r="AK27">
            <v>311</v>
          </cell>
          <cell r="AM27" t="str">
            <v>T5高7</v>
          </cell>
          <cell r="AN27">
            <v>3056</v>
          </cell>
          <cell r="AO27">
            <v>165</v>
          </cell>
          <cell r="AP27">
            <v>1278</v>
          </cell>
          <cell r="AQ27">
            <v>895</v>
          </cell>
          <cell r="AR27">
            <v>1167</v>
          </cell>
          <cell r="AS27">
            <v>311</v>
          </cell>
          <cell r="AU27" t="str">
            <v>T5高7</v>
          </cell>
          <cell r="AV27">
            <v>3056</v>
          </cell>
          <cell r="AW27">
            <v>626</v>
          </cell>
          <cell r="AX27">
            <v>1389</v>
          </cell>
          <cell r="AY27">
            <v>973</v>
          </cell>
          <cell r="AZ27">
            <v>1167</v>
          </cell>
          <cell r="BA27">
            <v>311</v>
          </cell>
          <cell r="BC27" t="str">
            <v>T5高7</v>
          </cell>
          <cell r="BD27">
            <v>3298</v>
          </cell>
          <cell r="BE27">
            <v>289</v>
          </cell>
          <cell r="BF27">
            <v>1111</v>
          </cell>
          <cell r="BG27">
            <v>834</v>
          </cell>
          <cell r="BH27">
            <v>1400</v>
          </cell>
          <cell r="BI27">
            <v>336</v>
          </cell>
          <cell r="BK27" t="str">
            <v>T5高7</v>
          </cell>
          <cell r="BL27">
            <v>3298</v>
          </cell>
          <cell r="BM27">
            <v>346</v>
          </cell>
          <cell r="BN27">
            <v>1278</v>
          </cell>
          <cell r="BO27">
            <v>959</v>
          </cell>
          <cell r="BP27">
            <v>1400</v>
          </cell>
          <cell r="BQ27">
            <v>336</v>
          </cell>
          <cell r="BS27" t="str">
            <v>T5高7</v>
          </cell>
          <cell r="BT27">
            <v>3738</v>
          </cell>
          <cell r="BU27">
            <v>1043</v>
          </cell>
          <cell r="BV27">
            <v>1111</v>
          </cell>
          <cell r="BW27">
            <v>889</v>
          </cell>
          <cell r="BX27">
            <v>1634</v>
          </cell>
          <cell r="BY27">
            <v>381</v>
          </cell>
          <cell r="CA27" t="str">
            <v>T5高7</v>
          </cell>
          <cell r="CB27">
            <v>3738</v>
          </cell>
          <cell r="CC27">
            <v>1378</v>
          </cell>
          <cell r="CD27">
            <v>1223</v>
          </cell>
          <cell r="CE27">
            <v>978</v>
          </cell>
          <cell r="CF27">
            <v>1634</v>
          </cell>
          <cell r="CG27">
            <v>381</v>
          </cell>
        </row>
      </sheetData>
      <sheetData sheetId="9"/>
      <sheetData sheetId="10"/>
      <sheetData sheetId="11">
        <row r="3">
          <cell r="H3" t="str">
            <v>坦克状态</v>
          </cell>
          <cell r="I3" t="str">
            <v>升星次数</v>
          </cell>
          <cell r="J3" t="str">
            <v>初始属性</v>
          </cell>
          <cell r="K3" t="str">
            <v>最高属性</v>
          </cell>
          <cell r="L3" t="str">
            <v>最高部件星级</v>
          </cell>
          <cell r="M3" t="str">
            <v>部件提升比</v>
          </cell>
          <cell r="N3" t="str">
            <v>部件属性</v>
          </cell>
          <cell r="O3" t="str">
            <v>升星比例</v>
          </cell>
          <cell r="P3" t="str">
            <v>部件比例</v>
          </cell>
          <cell r="BH3" t="str">
            <v>辅助列1</v>
          </cell>
          <cell r="BI3" t="str">
            <v>辅助列</v>
          </cell>
          <cell r="BJ3" t="str">
            <v>标准坦克</v>
          </cell>
          <cell r="BK3" t="str">
            <v>坦克品质</v>
          </cell>
          <cell r="BL3" t="str">
            <v>升星次数</v>
          </cell>
          <cell r="BM3" t="str">
            <v>血量</v>
          </cell>
          <cell r="BN3" t="str">
            <v>坦克伤害</v>
          </cell>
          <cell r="BO3" t="str">
            <v>最大穿透</v>
          </cell>
          <cell r="BP3" t="str">
            <v>最小穿透</v>
          </cell>
          <cell r="BQ3" t="str">
            <v>坦克装甲</v>
          </cell>
          <cell r="BR3" t="str">
            <v>撞击伤害</v>
          </cell>
          <cell r="BS3" t="str">
            <v>最大炮角速</v>
          </cell>
          <cell r="BT3" t="str">
            <v>身转角速度</v>
          </cell>
          <cell r="BU3" t="str">
            <v>进最大速度</v>
          </cell>
          <cell r="BV3" t="str">
            <v>单发时间</v>
          </cell>
          <cell r="BW3" t="str">
            <v>弹夹时间</v>
          </cell>
          <cell r="BX3" t="str">
            <v>射击间隔</v>
          </cell>
          <cell r="BY3" t="str">
            <v>瞄准时间</v>
          </cell>
        </row>
        <row r="4">
          <cell r="H4" t="str">
            <v>T1低</v>
          </cell>
          <cell r="I4">
            <v>5</v>
          </cell>
          <cell r="J4">
            <v>1</v>
          </cell>
          <cell r="K4">
            <v>1.3</v>
          </cell>
          <cell r="L4">
            <v>3</v>
          </cell>
          <cell r="M4">
            <v>0.20200000000000001</v>
          </cell>
          <cell r="N4">
            <v>0.20200000000000001</v>
          </cell>
          <cell r="O4">
            <v>0.7</v>
          </cell>
          <cell r="P4">
            <v>0.3</v>
          </cell>
          <cell r="BH4" t="str">
            <v>雷诺FT0</v>
          </cell>
          <cell r="BI4">
            <v>1</v>
          </cell>
          <cell r="BJ4" t="str">
            <v>雷诺FT</v>
          </cell>
          <cell r="BK4" t="str">
            <v>低</v>
          </cell>
          <cell r="BL4">
            <v>0</v>
          </cell>
          <cell r="BM4">
            <v>578</v>
          </cell>
          <cell r="BN4">
            <v>42</v>
          </cell>
          <cell r="BO4">
            <v>329</v>
          </cell>
          <cell r="BP4">
            <v>230</v>
          </cell>
          <cell r="BQ4">
            <v>300</v>
          </cell>
          <cell r="BR4">
            <v>80</v>
          </cell>
          <cell r="BS4">
            <v>47.1</v>
          </cell>
          <cell r="BT4">
            <v>45</v>
          </cell>
          <cell r="BU4">
            <v>10.5</v>
          </cell>
          <cell r="BV4">
            <v>0</v>
          </cell>
          <cell r="BW4">
            <v>5</v>
          </cell>
          <cell r="BX4">
            <v>0.6</v>
          </cell>
          <cell r="BY4">
            <v>0.42</v>
          </cell>
        </row>
        <row r="5">
          <cell r="H5" t="str">
            <v>T2低</v>
          </cell>
          <cell r="I5">
            <v>7</v>
          </cell>
          <cell r="J5">
            <v>1.2</v>
          </cell>
          <cell r="K5">
            <v>1.7</v>
          </cell>
          <cell r="L5">
            <v>4</v>
          </cell>
          <cell r="M5">
            <v>0.25700000000000001</v>
          </cell>
          <cell r="N5">
            <v>0.30840000000000001</v>
          </cell>
          <cell r="O5">
            <v>0.65</v>
          </cell>
          <cell r="P5">
            <v>0.35</v>
          </cell>
          <cell r="BH5" t="str">
            <v>雷诺FT1</v>
          </cell>
          <cell r="BI5">
            <v>1</v>
          </cell>
          <cell r="BJ5" t="str">
            <v>雷诺FT</v>
          </cell>
          <cell r="BK5" t="str">
            <v>低</v>
          </cell>
          <cell r="BL5">
            <v>1</v>
          </cell>
          <cell r="BM5">
            <v>667</v>
          </cell>
          <cell r="BN5">
            <v>43</v>
          </cell>
          <cell r="BO5">
            <v>346</v>
          </cell>
          <cell r="BP5">
            <v>242</v>
          </cell>
          <cell r="BQ5">
            <v>313</v>
          </cell>
          <cell r="BR5">
            <v>85</v>
          </cell>
          <cell r="BS5">
            <v>49.5</v>
          </cell>
          <cell r="BT5">
            <v>47.3</v>
          </cell>
          <cell r="BU5">
            <v>10.5</v>
          </cell>
          <cell r="BV5">
            <v>0</v>
          </cell>
          <cell r="BW5">
            <v>5.6</v>
          </cell>
          <cell r="BX5">
            <v>0.53</v>
          </cell>
          <cell r="BY5">
            <v>0.4</v>
          </cell>
        </row>
        <row r="6">
          <cell r="H6" t="str">
            <v>T2中</v>
          </cell>
          <cell r="I6">
            <v>7</v>
          </cell>
          <cell r="J6">
            <v>1.22</v>
          </cell>
          <cell r="K6">
            <v>1.76</v>
          </cell>
          <cell r="L6">
            <v>4</v>
          </cell>
          <cell r="M6">
            <v>0.25700000000000001</v>
          </cell>
          <cell r="N6">
            <v>0.31353999999999999</v>
          </cell>
          <cell r="O6">
            <v>0.65</v>
          </cell>
          <cell r="P6">
            <v>0.35</v>
          </cell>
          <cell r="BH6" t="str">
            <v>雷诺FT2</v>
          </cell>
          <cell r="BI6">
            <v>1</v>
          </cell>
          <cell r="BJ6" t="str">
            <v>雷诺FT</v>
          </cell>
          <cell r="BK6" t="str">
            <v>低</v>
          </cell>
          <cell r="BL6">
            <v>2</v>
          </cell>
          <cell r="BM6">
            <v>757</v>
          </cell>
          <cell r="BN6">
            <v>45</v>
          </cell>
          <cell r="BO6">
            <v>363</v>
          </cell>
          <cell r="BP6">
            <v>254</v>
          </cell>
          <cell r="BQ6">
            <v>325</v>
          </cell>
          <cell r="BR6">
            <v>90</v>
          </cell>
          <cell r="BS6">
            <v>51.8</v>
          </cell>
          <cell r="BT6">
            <v>49.5</v>
          </cell>
          <cell r="BU6">
            <v>10.5</v>
          </cell>
          <cell r="BV6">
            <v>0</v>
          </cell>
          <cell r="BW6">
            <v>6.1</v>
          </cell>
          <cell r="BX6">
            <v>0.46</v>
          </cell>
          <cell r="BY6">
            <v>0.39</v>
          </cell>
        </row>
        <row r="7">
          <cell r="H7" t="str">
            <v>T3低</v>
          </cell>
          <cell r="I7">
            <v>9</v>
          </cell>
          <cell r="J7">
            <v>1.48</v>
          </cell>
          <cell r="K7">
            <v>2.17</v>
          </cell>
          <cell r="L7">
            <v>5</v>
          </cell>
          <cell r="M7">
            <v>0.309</v>
          </cell>
          <cell r="N7">
            <v>0.45732</v>
          </cell>
          <cell r="O7">
            <v>0.6</v>
          </cell>
          <cell r="P7">
            <v>0.4</v>
          </cell>
          <cell r="BH7" t="str">
            <v>雷诺FT3</v>
          </cell>
          <cell r="BI7">
            <v>1</v>
          </cell>
          <cell r="BJ7" t="str">
            <v>雷诺FT</v>
          </cell>
          <cell r="BK7" t="str">
            <v>低</v>
          </cell>
          <cell r="BL7">
            <v>3</v>
          </cell>
          <cell r="BM7">
            <v>846</v>
          </cell>
          <cell r="BN7">
            <v>47</v>
          </cell>
          <cell r="BO7">
            <v>381</v>
          </cell>
          <cell r="BP7">
            <v>266</v>
          </cell>
          <cell r="BQ7">
            <v>338</v>
          </cell>
          <cell r="BR7">
            <v>94</v>
          </cell>
          <cell r="BS7">
            <v>54.2</v>
          </cell>
          <cell r="BT7">
            <v>51.8</v>
          </cell>
          <cell r="BU7">
            <v>10.5</v>
          </cell>
          <cell r="BV7">
            <v>0</v>
          </cell>
          <cell r="BW7">
            <v>6.7</v>
          </cell>
          <cell r="BX7">
            <v>0.39</v>
          </cell>
          <cell r="BY7">
            <v>0.38</v>
          </cell>
        </row>
        <row r="8">
          <cell r="H8" t="str">
            <v>T3中</v>
          </cell>
          <cell r="I8">
            <v>9</v>
          </cell>
          <cell r="J8">
            <v>1.54</v>
          </cell>
          <cell r="K8">
            <v>2.2799999999999998</v>
          </cell>
          <cell r="L8">
            <v>5</v>
          </cell>
          <cell r="M8">
            <v>0.309</v>
          </cell>
          <cell r="N8">
            <v>0.47586000000000001</v>
          </cell>
          <cell r="O8">
            <v>0.6</v>
          </cell>
          <cell r="P8">
            <v>0.4</v>
          </cell>
          <cell r="BH8" t="str">
            <v>雷诺FT4</v>
          </cell>
          <cell r="BI8">
            <v>1</v>
          </cell>
          <cell r="BJ8" t="str">
            <v>雷诺FT</v>
          </cell>
          <cell r="BK8" t="str">
            <v>低</v>
          </cell>
          <cell r="BL8">
            <v>4</v>
          </cell>
          <cell r="BM8">
            <v>935</v>
          </cell>
          <cell r="BN8">
            <v>49</v>
          </cell>
          <cell r="BO8">
            <v>398</v>
          </cell>
          <cell r="BP8">
            <v>279</v>
          </cell>
          <cell r="BQ8">
            <v>350</v>
          </cell>
          <cell r="BR8">
            <v>99</v>
          </cell>
          <cell r="BS8">
            <v>56.5</v>
          </cell>
          <cell r="BT8">
            <v>54</v>
          </cell>
          <cell r="BU8">
            <v>10.5</v>
          </cell>
          <cell r="BV8">
            <v>0</v>
          </cell>
          <cell r="BW8">
            <v>7.2</v>
          </cell>
          <cell r="BX8">
            <v>0.32</v>
          </cell>
          <cell r="BY8">
            <v>0.36</v>
          </cell>
        </row>
        <row r="9">
          <cell r="H9" t="str">
            <v>T3高</v>
          </cell>
          <cell r="I9">
            <v>9</v>
          </cell>
          <cell r="J9">
            <v>1.54</v>
          </cell>
          <cell r="K9">
            <v>2.33</v>
          </cell>
          <cell r="L9">
            <v>5</v>
          </cell>
          <cell r="M9">
            <v>0.309</v>
          </cell>
          <cell r="N9">
            <v>0.47586000000000001</v>
          </cell>
          <cell r="O9">
            <v>0.6</v>
          </cell>
          <cell r="P9">
            <v>0.4</v>
          </cell>
          <cell r="BH9" t="str">
            <v>雷诺FT5</v>
          </cell>
          <cell r="BI9">
            <v>1</v>
          </cell>
          <cell r="BJ9" t="str">
            <v>雷诺FT</v>
          </cell>
          <cell r="BK9" t="str">
            <v>低</v>
          </cell>
          <cell r="BL9">
            <v>5</v>
          </cell>
          <cell r="BM9">
            <v>1025</v>
          </cell>
          <cell r="BN9">
            <v>51</v>
          </cell>
          <cell r="BO9">
            <v>415</v>
          </cell>
          <cell r="BP9">
            <v>291</v>
          </cell>
          <cell r="BQ9">
            <v>363</v>
          </cell>
          <cell r="BR9">
            <v>104</v>
          </cell>
          <cell r="BS9">
            <v>58.9</v>
          </cell>
          <cell r="BT9">
            <v>56.3</v>
          </cell>
          <cell r="BU9">
            <v>10.5</v>
          </cell>
          <cell r="BV9">
            <v>0</v>
          </cell>
          <cell r="BW9">
            <v>7.8</v>
          </cell>
          <cell r="BX9">
            <v>0.25</v>
          </cell>
          <cell r="BY9">
            <v>0.35</v>
          </cell>
        </row>
        <row r="10">
          <cell r="H10" t="str">
            <v>T4低</v>
          </cell>
          <cell r="I10">
            <v>11</v>
          </cell>
          <cell r="J10">
            <v>1.92</v>
          </cell>
          <cell r="K10">
            <v>2.82</v>
          </cell>
          <cell r="L10">
            <v>6</v>
          </cell>
          <cell r="M10">
            <v>0.35499999999999998</v>
          </cell>
          <cell r="N10">
            <v>0.68159999999999998</v>
          </cell>
          <cell r="O10">
            <v>0.55000000000000004</v>
          </cell>
          <cell r="P10">
            <v>0.45</v>
          </cell>
          <cell r="BH10" t="str">
            <v>二号0</v>
          </cell>
          <cell r="BI10">
            <v>2</v>
          </cell>
          <cell r="BJ10" t="str">
            <v>二号</v>
          </cell>
          <cell r="BK10" t="str">
            <v>低</v>
          </cell>
          <cell r="BL10">
            <v>0</v>
          </cell>
          <cell r="BM10">
            <v>876</v>
          </cell>
          <cell r="BN10">
            <v>72</v>
          </cell>
          <cell r="BO10">
            <v>394</v>
          </cell>
          <cell r="BP10">
            <v>276</v>
          </cell>
          <cell r="BQ10">
            <v>360</v>
          </cell>
          <cell r="BR10">
            <v>96</v>
          </cell>
          <cell r="BS10">
            <v>47.1</v>
          </cell>
          <cell r="BT10">
            <v>45</v>
          </cell>
          <cell r="BU10">
            <v>10.5</v>
          </cell>
          <cell r="BV10">
            <v>0</v>
          </cell>
          <cell r="BW10">
            <v>8.4</v>
          </cell>
          <cell r="BX10">
            <v>0.6</v>
          </cell>
          <cell r="BY10">
            <v>0.39</v>
          </cell>
        </row>
        <row r="11">
          <cell r="H11" t="str">
            <v>T4中</v>
          </cell>
          <cell r="I11">
            <v>11</v>
          </cell>
          <cell r="J11">
            <v>2</v>
          </cell>
          <cell r="K11">
            <v>2.96</v>
          </cell>
          <cell r="L11">
            <v>6</v>
          </cell>
          <cell r="M11">
            <v>0.35499999999999998</v>
          </cell>
          <cell r="N11">
            <v>0.71</v>
          </cell>
          <cell r="O11">
            <v>0.55000000000000004</v>
          </cell>
          <cell r="P11">
            <v>0.45</v>
          </cell>
          <cell r="BH11" t="str">
            <v>二号1</v>
          </cell>
          <cell r="BI11">
            <v>2</v>
          </cell>
          <cell r="BJ11" t="str">
            <v>二号</v>
          </cell>
          <cell r="BK11" t="str">
            <v>低</v>
          </cell>
          <cell r="BL11">
            <v>1</v>
          </cell>
          <cell r="BM11">
            <v>934</v>
          </cell>
          <cell r="BN11">
            <v>74</v>
          </cell>
          <cell r="BO11">
            <v>414</v>
          </cell>
          <cell r="BP11">
            <v>290</v>
          </cell>
          <cell r="BQ11">
            <v>374</v>
          </cell>
          <cell r="BR11">
            <v>102</v>
          </cell>
          <cell r="BS11">
            <v>48.8</v>
          </cell>
          <cell r="BT11">
            <v>46.6</v>
          </cell>
          <cell r="BU11">
            <v>10.5</v>
          </cell>
          <cell r="BV11">
            <v>0</v>
          </cell>
          <cell r="BW11">
            <v>8</v>
          </cell>
          <cell r="BX11">
            <v>0.6</v>
          </cell>
          <cell r="BY11">
            <v>0.38</v>
          </cell>
        </row>
        <row r="12">
          <cell r="H12" t="str">
            <v>T4高</v>
          </cell>
          <cell r="I12">
            <v>11</v>
          </cell>
          <cell r="J12">
            <v>2</v>
          </cell>
          <cell r="K12">
            <v>3.02</v>
          </cell>
          <cell r="L12">
            <v>6</v>
          </cell>
          <cell r="M12">
            <v>0.35499999999999998</v>
          </cell>
          <cell r="N12">
            <v>0.71</v>
          </cell>
          <cell r="O12">
            <v>0.55000000000000004</v>
          </cell>
          <cell r="P12">
            <v>0.45</v>
          </cell>
          <cell r="BH12" t="str">
            <v>二号2</v>
          </cell>
          <cell r="BI12">
            <v>2</v>
          </cell>
          <cell r="BJ12" t="str">
            <v>二号</v>
          </cell>
          <cell r="BK12" t="str">
            <v>低</v>
          </cell>
          <cell r="BL12">
            <v>2</v>
          </cell>
          <cell r="BM12">
            <v>991</v>
          </cell>
          <cell r="BN12">
            <v>77</v>
          </cell>
          <cell r="BO12">
            <v>435</v>
          </cell>
          <cell r="BP12">
            <v>304</v>
          </cell>
          <cell r="BQ12">
            <v>388</v>
          </cell>
          <cell r="BR12">
            <v>107</v>
          </cell>
          <cell r="BS12">
            <v>50.5</v>
          </cell>
          <cell r="BT12">
            <v>48.2</v>
          </cell>
          <cell r="BU12">
            <v>10.5</v>
          </cell>
          <cell r="BV12">
            <v>0</v>
          </cell>
          <cell r="BW12">
            <v>7.6</v>
          </cell>
          <cell r="BX12">
            <v>0.6</v>
          </cell>
          <cell r="BY12">
            <v>0.37</v>
          </cell>
        </row>
        <row r="13">
          <cell r="H13" t="str">
            <v>T5低</v>
          </cell>
          <cell r="I13">
            <v>13</v>
          </cell>
          <cell r="J13">
            <v>2.52</v>
          </cell>
          <cell r="K13">
            <v>3.65</v>
          </cell>
          <cell r="L13">
            <v>7</v>
          </cell>
          <cell r="M13">
            <v>0.35499999999999998</v>
          </cell>
          <cell r="N13">
            <v>0.89459999999999995</v>
          </cell>
          <cell r="O13">
            <v>0.5</v>
          </cell>
          <cell r="P13">
            <v>0.5</v>
          </cell>
          <cell r="BH13" t="str">
            <v>二号3</v>
          </cell>
          <cell r="BI13">
            <v>2</v>
          </cell>
          <cell r="BJ13" t="str">
            <v>二号</v>
          </cell>
          <cell r="BK13" t="str">
            <v>低</v>
          </cell>
          <cell r="BL13">
            <v>3</v>
          </cell>
          <cell r="BM13">
            <v>1049</v>
          </cell>
          <cell r="BN13">
            <v>80</v>
          </cell>
          <cell r="BO13">
            <v>455</v>
          </cell>
          <cell r="BP13">
            <v>318</v>
          </cell>
          <cell r="BQ13">
            <v>402</v>
          </cell>
          <cell r="BR13">
            <v>113</v>
          </cell>
          <cell r="BS13">
            <v>52.1</v>
          </cell>
          <cell r="BT13">
            <v>49.8</v>
          </cell>
          <cell r="BU13">
            <v>10.5</v>
          </cell>
          <cell r="BV13">
            <v>0</v>
          </cell>
          <cell r="BW13">
            <v>7.2</v>
          </cell>
          <cell r="BX13">
            <v>0.6</v>
          </cell>
          <cell r="BY13">
            <v>0.36</v>
          </cell>
        </row>
        <row r="14">
          <cell r="H14" t="str">
            <v>T5中</v>
          </cell>
          <cell r="I14">
            <v>13</v>
          </cell>
          <cell r="J14">
            <v>2.62</v>
          </cell>
          <cell r="K14">
            <v>3.82</v>
          </cell>
          <cell r="L14">
            <v>7</v>
          </cell>
          <cell r="M14">
            <v>0.35499999999999998</v>
          </cell>
          <cell r="N14">
            <v>0.93010000000000004</v>
          </cell>
          <cell r="O14">
            <v>0.5</v>
          </cell>
          <cell r="P14">
            <v>0.5</v>
          </cell>
          <cell r="BH14" t="str">
            <v>二号4</v>
          </cell>
          <cell r="BI14">
            <v>2</v>
          </cell>
          <cell r="BJ14" t="str">
            <v>二号</v>
          </cell>
          <cell r="BK14" t="str">
            <v>低</v>
          </cell>
          <cell r="BL14">
            <v>4</v>
          </cell>
          <cell r="BM14">
            <v>1107</v>
          </cell>
          <cell r="BN14">
            <v>83</v>
          </cell>
          <cell r="BO14">
            <v>475</v>
          </cell>
          <cell r="BP14">
            <v>333</v>
          </cell>
          <cell r="BQ14">
            <v>416</v>
          </cell>
          <cell r="BR14">
            <v>119</v>
          </cell>
          <cell r="BS14">
            <v>53.8</v>
          </cell>
          <cell r="BT14">
            <v>51.4</v>
          </cell>
          <cell r="BU14">
            <v>10.5</v>
          </cell>
          <cell r="BV14">
            <v>0</v>
          </cell>
          <cell r="BW14">
            <v>6.8</v>
          </cell>
          <cell r="BX14">
            <v>0.6</v>
          </cell>
          <cell r="BY14">
            <v>0.35</v>
          </cell>
        </row>
        <row r="15">
          <cell r="H15" t="str">
            <v>T5高</v>
          </cell>
          <cell r="I15">
            <v>13</v>
          </cell>
          <cell r="J15">
            <v>2.62</v>
          </cell>
          <cell r="K15">
            <v>3.89</v>
          </cell>
          <cell r="L15">
            <v>7</v>
          </cell>
          <cell r="M15">
            <v>0.35499999999999998</v>
          </cell>
          <cell r="N15">
            <v>0.93010000000000004</v>
          </cell>
          <cell r="O15">
            <v>0.5</v>
          </cell>
          <cell r="P15">
            <v>0.5</v>
          </cell>
          <cell r="BH15" t="str">
            <v>二号5</v>
          </cell>
          <cell r="BI15">
            <v>2</v>
          </cell>
          <cell r="BJ15" t="str">
            <v>二号</v>
          </cell>
          <cell r="BK15" t="str">
            <v>低</v>
          </cell>
          <cell r="BL15">
            <v>5</v>
          </cell>
          <cell r="BM15">
            <v>1165</v>
          </cell>
          <cell r="BN15">
            <v>85</v>
          </cell>
          <cell r="BO15">
            <v>495</v>
          </cell>
          <cell r="BP15">
            <v>347</v>
          </cell>
          <cell r="BQ15">
            <v>430</v>
          </cell>
          <cell r="BR15">
            <v>125</v>
          </cell>
          <cell r="BS15">
            <v>55.5</v>
          </cell>
          <cell r="BT15">
            <v>53</v>
          </cell>
          <cell r="BU15">
            <v>10.5</v>
          </cell>
          <cell r="BV15">
            <v>0</v>
          </cell>
          <cell r="BW15">
            <v>6.4</v>
          </cell>
          <cell r="BX15">
            <v>0.6</v>
          </cell>
          <cell r="BY15">
            <v>0.35</v>
          </cell>
        </row>
        <row r="16">
          <cell r="BH16" t="str">
            <v>二号6</v>
          </cell>
          <cell r="BI16">
            <v>2</v>
          </cell>
          <cell r="BJ16" t="str">
            <v>二号</v>
          </cell>
          <cell r="BK16" t="str">
            <v>低</v>
          </cell>
          <cell r="BL16">
            <v>6</v>
          </cell>
          <cell r="BM16">
            <v>1222</v>
          </cell>
          <cell r="BN16">
            <v>88</v>
          </cell>
          <cell r="BO16">
            <v>516</v>
          </cell>
          <cell r="BP16">
            <v>361</v>
          </cell>
          <cell r="BQ16">
            <v>444</v>
          </cell>
          <cell r="BR16">
            <v>130</v>
          </cell>
          <cell r="BS16">
            <v>57.2</v>
          </cell>
          <cell r="BT16">
            <v>54.6</v>
          </cell>
          <cell r="BU16">
            <v>10.5</v>
          </cell>
          <cell r="BV16">
            <v>0</v>
          </cell>
          <cell r="BW16">
            <v>6</v>
          </cell>
          <cell r="BX16">
            <v>0.6</v>
          </cell>
          <cell r="BY16">
            <v>0.34</v>
          </cell>
        </row>
        <row r="17">
          <cell r="BH17" t="str">
            <v>二号7</v>
          </cell>
          <cell r="BI17">
            <v>2</v>
          </cell>
          <cell r="BJ17" t="str">
            <v>二号</v>
          </cell>
          <cell r="BK17" t="str">
            <v>低</v>
          </cell>
          <cell r="BL17">
            <v>7</v>
          </cell>
          <cell r="BM17">
            <v>1280</v>
          </cell>
          <cell r="BN17">
            <v>91</v>
          </cell>
          <cell r="BO17">
            <v>536</v>
          </cell>
          <cell r="BP17">
            <v>375</v>
          </cell>
          <cell r="BQ17">
            <v>458</v>
          </cell>
          <cell r="BR17">
            <v>136</v>
          </cell>
          <cell r="BS17">
            <v>58.9</v>
          </cell>
          <cell r="BT17">
            <v>56.3</v>
          </cell>
          <cell r="BU17">
            <v>10.5</v>
          </cell>
          <cell r="BV17">
            <v>0</v>
          </cell>
          <cell r="BW17">
            <v>5.6</v>
          </cell>
          <cell r="BX17">
            <v>0.6</v>
          </cell>
          <cell r="BY17">
            <v>0.33</v>
          </cell>
        </row>
        <row r="18">
          <cell r="BH18" t="str">
            <v>Puma0</v>
          </cell>
          <cell r="BI18">
            <v>3</v>
          </cell>
          <cell r="BJ18" t="str">
            <v>Puma</v>
          </cell>
          <cell r="BK18" t="str">
            <v>中</v>
          </cell>
          <cell r="BL18">
            <v>0</v>
          </cell>
          <cell r="BM18">
            <v>1054</v>
          </cell>
          <cell r="BN18">
            <v>79</v>
          </cell>
          <cell r="BO18">
            <v>401</v>
          </cell>
          <cell r="BP18">
            <v>281</v>
          </cell>
          <cell r="BQ18">
            <v>366</v>
          </cell>
          <cell r="BR18">
            <v>98</v>
          </cell>
          <cell r="BS18">
            <v>43.3</v>
          </cell>
          <cell r="BT18">
            <v>51</v>
          </cell>
          <cell r="BU18">
            <v>10.199999999999999</v>
          </cell>
          <cell r="BV18">
            <v>0</v>
          </cell>
          <cell r="BW18">
            <v>3.2</v>
          </cell>
          <cell r="BX18">
            <v>0.8</v>
          </cell>
          <cell r="BY18">
            <v>0.57999999999999996</v>
          </cell>
        </row>
        <row r="19">
          <cell r="BH19" t="str">
            <v>Puma1</v>
          </cell>
          <cell r="BI19">
            <v>3</v>
          </cell>
          <cell r="BJ19" t="str">
            <v>Puma</v>
          </cell>
          <cell r="BK19" t="str">
            <v>中</v>
          </cell>
          <cell r="BL19">
            <v>1</v>
          </cell>
          <cell r="BM19">
            <v>1129</v>
          </cell>
          <cell r="BN19">
            <v>82</v>
          </cell>
          <cell r="BO19">
            <v>423</v>
          </cell>
          <cell r="BP19">
            <v>296</v>
          </cell>
          <cell r="BQ19">
            <v>381</v>
          </cell>
          <cell r="BR19">
            <v>104</v>
          </cell>
          <cell r="BS19">
            <v>44.8</v>
          </cell>
          <cell r="BT19">
            <v>52.8</v>
          </cell>
          <cell r="BU19">
            <v>10.199999999999999</v>
          </cell>
          <cell r="BV19">
            <v>0</v>
          </cell>
          <cell r="BW19">
            <v>3</v>
          </cell>
          <cell r="BX19">
            <v>0.8</v>
          </cell>
          <cell r="BY19">
            <v>0.56000000000000005</v>
          </cell>
        </row>
        <row r="20">
          <cell r="BH20" t="str">
            <v>Puma2</v>
          </cell>
          <cell r="BI20">
            <v>3</v>
          </cell>
          <cell r="BJ20" t="str">
            <v>Puma</v>
          </cell>
          <cell r="BK20" t="str">
            <v>中</v>
          </cell>
          <cell r="BL20">
            <v>2</v>
          </cell>
          <cell r="BM20">
            <v>1205</v>
          </cell>
          <cell r="BN20">
            <v>85</v>
          </cell>
          <cell r="BO20">
            <v>444</v>
          </cell>
          <cell r="BP20">
            <v>311</v>
          </cell>
          <cell r="BQ20">
            <v>396</v>
          </cell>
          <cell r="BR20">
            <v>110</v>
          </cell>
          <cell r="BS20">
            <v>46.4</v>
          </cell>
          <cell r="BT20">
            <v>54.6</v>
          </cell>
          <cell r="BU20">
            <v>10.199999999999999</v>
          </cell>
          <cell r="BV20">
            <v>0</v>
          </cell>
          <cell r="BW20">
            <v>2.9</v>
          </cell>
          <cell r="BX20">
            <v>0.8</v>
          </cell>
          <cell r="BY20">
            <v>0.55000000000000004</v>
          </cell>
        </row>
        <row r="21">
          <cell r="BH21" t="str">
            <v>Puma3</v>
          </cell>
          <cell r="BI21">
            <v>3</v>
          </cell>
          <cell r="BJ21" t="str">
            <v>Puma</v>
          </cell>
          <cell r="BK21" t="str">
            <v>中</v>
          </cell>
          <cell r="BL21">
            <v>3</v>
          </cell>
          <cell r="BM21">
            <v>1281</v>
          </cell>
          <cell r="BN21">
            <v>89</v>
          </cell>
          <cell r="BO21">
            <v>466</v>
          </cell>
          <cell r="BP21">
            <v>327</v>
          </cell>
          <cell r="BQ21">
            <v>411</v>
          </cell>
          <cell r="BR21">
            <v>116</v>
          </cell>
          <cell r="BS21">
            <v>47.9</v>
          </cell>
          <cell r="BT21">
            <v>56.5</v>
          </cell>
          <cell r="BU21">
            <v>10.199999999999999</v>
          </cell>
          <cell r="BV21">
            <v>0</v>
          </cell>
          <cell r="BW21">
            <v>2.7</v>
          </cell>
          <cell r="BX21">
            <v>0.8</v>
          </cell>
          <cell r="BY21">
            <v>0.53</v>
          </cell>
        </row>
        <row r="22">
          <cell r="BH22" t="str">
            <v>Puma4</v>
          </cell>
          <cell r="BI22">
            <v>3</v>
          </cell>
          <cell r="BJ22" t="str">
            <v>Puma</v>
          </cell>
          <cell r="BK22" t="str">
            <v>中</v>
          </cell>
          <cell r="BL22">
            <v>4</v>
          </cell>
          <cell r="BM22">
            <v>1357</v>
          </cell>
          <cell r="BN22">
            <v>92</v>
          </cell>
          <cell r="BO22">
            <v>488</v>
          </cell>
          <cell r="BP22">
            <v>342</v>
          </cell>
          <cell r="BQ22">
            <v>426</v>
          </cell>
          <cell r="BR22">
            <v>123</v>
          </cell>
          <cell r="BS22">
            <v>49.5</v>
          </cell>
          <cell r="BT22">
            <v>58.3</v>
          </cell>
          <cell r="BU22">
            <v>10.199999999999999</v>
          </cell>
          <cell r="BV22">
            <v>0</v>
          </cell>
          <cell r="BW22">
            <v>2.6</v>
          </cell>
          <cell r="BX22">
            <v>0.8</v>
          </cell>
          <cell r="BY22">
            <v>0.52</v>
          </cell>
        </row>
        <row r="23">
          <cell r="BH23" t="str">
            <v>Puma5</v>
          </cell>
          <cell r="BI23">
            <v>3</v>
          </cell>
          <cell r="BJ23" t="str">
            <v>Puma</v>
          </cell>
          <cell r="BK23" t="str">
            <v>中</v>
          </cell>
          <cell r="BL23">
            <v>5</v>
          </cell>
          <cell r="BM23">
            <v>1433</v>
          </cell>
          <cell r="BN23">
            <v>95</v>
          </cell>
          <cell r="BO23">
            <v>510</v>
          </cell>
          <cell r="BP23">
            <v>357</v>
          </cell>
          <cell r="BQ23">
            <v>441</v>
          </cell>
          <cell r="BR23">
            <v>129</v>
          </cell>
          <cell r="BS23">
            <v>51</v>
          </cell>
          <cell r="BT23">
            <v>60.1</v>
          </cell>
          <cell r="BU23">
            <v>10.199999999999999</v>
          </cell>
          <cell r="BV23">
            <v>0</v>
          </cell>
          <cell r="BW23">
            <v>2.4</v>
          </cell>
          <cell r="BX23">
            <v>0.8</v>
          </cell>
          <cell r="BY23">
            <v>0.51</v>
          </cell>
        </row>
        <row r="24">
          <cell r="BH24" t="str">
            <v>Puma6</v>
          </cell>
          <cell r="BI24">
            <v>3</v>
          </cell>
          <cell r="BJ24" t="str">
            <v>Puma</v>
          </cell>
          <cell r="BK24" t="str">
            <v>中</v>
          </cell>
          <cell r="BL24">
            <v>6</v>
          </cell>
          <cell r="BM24">
            <v>1509</v>
          </cell>
          <cell r="BN24">
            <v>98</v>
          </cell>
          <cell r="BO24">
            <v>531</v>
          </cell>
          <cell r="BP24">
            <v>372</v>
          </cell>
          <cell r="BQ24">
            <v>456</v>
          </cell>
          <cell r="BR24">
            <v>135</v>
          </cell>
          <cell r="BS24">
            <v>52.6</v>
          </cell>
          <cell r="BT24">
            <v>61.9</v>
          </cell>
          <cell r="BU24">
            <v>10.199999999999999</v>
          </cell>
          <cell r="BV24">
            <v>0</v>
          </cell>
          <cell r="BW24">
            <v>2.2999999999999998</v>
          </cell>
          <cell r="BX24">
            <v>0.8</v>
          </cell>
          <cell r="BY24">
            <v>0.49</v>
          </cell>
        </row>
        <row r="25">
          <cell r="BH25" t="str">
            <v>Puma7</v>
          </cell>
          <cell r="BI25">
            <v>3</v>
          </cell>
          <cell r="BJ25" t="str">
            <v>Puma</v>
          </cell>
          <cell r="BK25" t="str">
            <v>中</v>
          </cell>
          <cell r="BL25">
            <v>7</v>
          </cell>
          <cell r="BM25">
            <v>1585</v>
          </cell>
          <cell r="BN25">
            <v>102</v>
          </cell>
          <cell r="BO25">
            <v>553</v>
          </cell>
          <cell r="BP25">
            <v>388</v>
          </cell>
          <cell r="BQ25">
            <v>471</v>
          </cell>
          <cell r="BR25">
            <v>141</v>
          </cell>
          <cell r="BS25">
            <v>54.1</v>
          </cell>
          <cell r="BT25">
            <v>63.8</v>
          </cell>
          <cell r="BU25">
            <v>10.199999999999999</v>
          </cell>
          <cell r="BV25">
            <v>0</v>
          </cell>
          <cell r="BW25">
            <v>2.1</v>
          </cell>
          <cell r="BX25">
            <v>0.8</v>
          </cell>
          <cell r="BY25">
            <v>0.48</v>
          </cell>
        </row>
        <row r="26">
          <cell r="BH26" t="str">
            <v>35(t)0</v>
          </cell>
          <cell r="BI26">
            <v>4</v>
          </cell>
          <cell r="BJ26" t="str">
            <v>35(t)</v>
          </cell>
          <cell r="BK26" t="str">
            <v>低</v>
          </cell>
          <cell r="BL26">
            <v>0</v>
          </cell>
          <cell r="BM26">
            <v>1204</v>
          </cell>
          <cell r="BN26">
            <v>101</v>
          </cell>
          <cell r="BO26">
            <v>486</v>
          </cell>
          <cell r="BP26">
            <v>340</v>
          </cell>
          <cell r="BQ26">
            <v>444</v>
          </cell>
          <cell r="BR26">
            <v>118</v>
          </cell>
          <cell r="BS26">
            <v>42.4</v>
          </cell>
          <cell r="BT26">
            <v>50</v>
          </cell>
          <cell r="BU26">
            <v>10</v>
          </cell>
          <cell r="BV26">
            <v>0</v>
          </cell>
          <cell r="BW26">
            <v>6.3</v>
          </cell>
          <cell r="BX26">
            <v>0.8</v>
          </cell>
          <cell r="BY26">
            <v>0.52</v>
          </cell>
        </row>
        <row r="27">
          <cell r="BH27" t="str">
            <v>35(t)1</v>
          </cell>
          <cell r="BI27">
            <v>4</v>
          </cell>
          <cell r="BJ27" t="str">
            <v>35(t)</v>
          </cell>
          <cell r="BK27" t="str">
            <v>低</v>
          </cell>
          <cell r="BL27">
            <v>1</v>
          </cell>
          <cell r="BM27">
            <v>1267</v>
          </cell>
          <cell r="BN27">
            <v>104</v>
          </cell>
          <cell r="BO27">
            <v>507</v>
          </cell>
          <cell r="BP27">
            <v>355</v>
          </cell>
          <cell r="BQ27">
            <v>458</v>
          </cell>
          <cell r="BR27">
            <v>124</v>
          </cell>
          <cell r="BS27">
            <v>43.6</v>
          </cell>
          <cell r="BT27">
            <v>51.4</v>
          </cell>
          <cell r="BU27">
            <v>10</v>
          </cell>
          <cell r="BV27">
            <v>0</v>
          </cell>
          <cell r="BW27">
            <v>6.1</v>
          </cell>
          <cell r="BX27">
            <v>0.8</v>
          </cell>
          <cell r="BY27">
            <v>0.51</v>
          </cell>
        </row>
        <row r="28">
          <cell r="BH28" t="str">
            <v>35(t)2</v>
          </cell>
          <cell r="BI28">
            <v>4</v>
          </cell>
          <cell r="BJ28" t="str">
            <v>35(t)</v>
          </cell>
          <cell r="BK28" t="str">
            <v>低</v>
          </cell>
          <cell r="BL28">
            <v>2</v>
          </cell>
          <cell r="BM28">
            <v>1331</v>
          </cell>
          <cell r="BN28">
            <v>107</v>
          </cell>
          <cell r="BO28">
            <v>528</v>
          </cell>
          <cell r="BP28">
            <v>370</v>
          </cell>
          <cell r="BQ28">
            <v>472</v>
          </cell>
          <cell r="BR28">
            <v>130</v>
          </cell>
          <cell r="BS28">
            <v>44.8</v>
          </cell>
          <cell r="BT28">
            <v>52.8</v>
          </cell>
          <cell r="BU28">
            <v>10</v>
          </cell>
          <cell r="BV28">
            <v>0</v>
          </cell>
          <cell r="BW28">
            <v>5.9</v>
          </cell>
          <cell r="BX28">
            <v>0.8</v>
          </cell>
          <cell r="BY28">
            <v>0.5</v>
          </cell>
        </row>
        <row r="29">
          <cell r="BH29" t="str">
            <v>35(t)3</v>
          </cell>
          <cell r="BI29">
            <v>4</v>
          </cell>
          <cell r="BJ29" t="str">
            <v>35(t)</v>
          </cell>
          <cell r="BK29" t="str">
            <v>低</v>
          </cell>
          <cell r="BL29">
            <v>3</v>
          </cell>
          <cell r="BM29">
            <v>1394</v>
          </cell>
          <cell r="BN29">
            <v>111</v>
          </cell>
          <cell r="BO29">
            <v>550</v>
          </cell>
          <cell r="BP29">
            <v>385</v>
          </cell>
          <cell r="BQ29">
            <v>485</v>
          </cell>
          <cell r="BR29">
            <v>137</v>
          </cell>
          <cell r="BS29">
            <v>45.9</v>
          </cell>
          <cell r="BT29">
            <v>54.2</v>
          </cell>
          <cell r="BU29">
            <v>10</v>
          </cell>
          <cell r="BV29">
            <v>0</v>
          </cell>
          <cell r="BW29">
            <v>5.6</v>
          </cell>
          <cell r="BX29">
            <v>0.8</v>
          </cell>
          <cell r="BY29">
            <v>0.49</v>
          </cell>
        </row>
        <row r="30">
          <cell r="BH30" t="str">
            <v>35(t)4</v>
          </cell>
          <cell r="BI30">
            <v>4</v>
          </cell>
          <cell r="BJ30" t="str">
            <v>35(t)</v>
          </cell>
          <cell r="BK30" t="str">
            <v>低</v>
          </cell>
          <cell r="BL30">
            <v>4</v>
          </cell>
          <cell r="BM30">
            <v>1457</v>
          </cell>
          <cell r="BN30">
            <v>114</v>
          </cell>
          <cell r="BO30">
            <v>571</v>
          </cell>
          <cell r="BP30">
            <v>399</v>
          </cell>
          <cell r="BQ30">
            <v>499</v>
          </cell>
          <cell r="BR30">
            <v>143</v>
          </cell>
          <cell r="BS30">
            <v>47.1</v>
          </cell>
          <cell r="BT30">
            <v>55.6</v>
          </cell>
          <cell r="BU30">
            <v>10</v>
          </cell>
          <cell r="BV30">
            <v>0</v>
          </cell>
          <cell r="BW30">
            <v>5.4</v>
          </cell>
          <cell r="BX30">
            <v>0.8</v>
          </cell>
          <cell r="BY30">
            <v>0.48</v>
          </cell>
        </row>
        <row r="31">
          <cell r="BH31" t="str">
            <v>35(t)5</v>
          </cell>
          <cell r="BI31">
            <v>4</v>
          </cell>
          <cell r="BJ31" t="str">
            <v>35(t)</v>
          </cell>
          <cell r="BK31" t="str">
            <v>低</v>
          </cell>
          <cell r="BL31">
            <v>5</v>
          </cell>
          <cell r="BM31">
            <v>1521</v>
          </cell>
          <cell r="BN31">
            <v>117</v>
          </cell>
          <cell r="BO31">
            <v>592</v>
          </cell>
          <cell r="BP31">
            <v>414</v>
          </cell>
          <cell r="BQ31">
            <v>513</v>
          </cell>
          <cell r="BR31">
            <v>149</v>
          </cell>
          <cell r="BS31">
            <v>48.3</v>
          </cell>
          <cell r="BT31">
            <v>56.9</v>
          </cell>
          <cell r="BU31">
            <v>10</v>
          </cell>
          <cell r="BV31">
            <v>0</v>
          </cell>
          <cell r="BW31">
            <v>5.2</v>
          </cell>
          <cell r="BX31">
            <v>0.8</v>
          </cell>
          <cell r="BY31">
            <v>0.47</v>
          </cell>
        </row>
        <row r="32">
          <cell r="BH32" t="str">
            <v>35(t)6</v>
          </cell>
          <cell r="BI32">
            <v>4</v>
          </cell>
          <cell r="BJ32" t="str">
            <v>35(t)</v>
          </cell>
          <cell r="BK32" t="str">
            <v>低</v>
          </cell>
          <cell r="BL32">
            <v>6</v>
          </cell>
          <cell r="BM32">
            <v>1584</v>
          </cell>
          <cell r="BN32">
            <v>120</v>
          </cell>
          <cell r="BO32">
            <v>613</v>
          </cell>
          <cell r="BP32">
            <v>429</v>
          </cell>
          <cell r="BQ32">
            <v>527</v>
          </cell>
          <cell r="BR32">
            <v>155</v>
          </cell>
          <cell r="BS32">
            <v>49.5</v>
          </cell>
          <cell r="BT32">
            <v>58.3</v>
          </cell>
          <cell r="BU32">
            <v>10</v>
          </cell>
          <cell r="BV32">
            <v>0</v>
          </cell>
          <cell r="BW32">
            <v>5</v>
          </cell>
          <cell r="BX32">
            <v>0.8</v>
          </cell>
          <cell r="BY32">
            <v>0.46</v>
          </cell>
        </row>
        <row r="33">
          <cell r="BH33" t="str">
            <v>35(t)7</v>
          </cell>
          <cell r="BI33">
            <v>4</v>
          </cell>
          <cell r="BJ33" t="str">
            <v>35(t)</v>
          </cell>
          <cell r="BK33" t="str">
            <v>低</v>
          </cell>
          <cell r="BL33">
            <v>7</v>
          </cell>
          <cell r="BM33">
            <v>1648</v>
          </cell>
          <cell r="BN33">
            <v>123</v>
          </cell>
          <cell r="BO33">
            <v>634</v>
          </cell>
          <cell r="BP33">
            <v>444</v>
          </cell>
          <cell r="BQ33">
            <v>541</v>
          </cell>
          <cell r="BR33">
            <v>162</v>
          </cell>
          <cell r="BS33">
            <v>50.6</v>
          </cell>
          <cell r="BT33">
            <v>59.7</v>
          </cell>
          <cell r="BU33">
            <v>10</v>
          </cell>
          <cell r="BV33">
            <v>0</v>
          </cell>
          <cell r="BW33">
            <v>4.8</v>
          </cell>
          <cell r="BX33">
            <v>0.8</v>
          </cell>
          <cell r="BY33">
            <v>0.45</v>
          </cell>
        </row>
        <row r="34">
          <cell r="BH34" t="str">
            <v>35(t)8</v>
          </cell>
          <cell r="BI34">
            <v>4</v>
          </cell>
          <cell r="BJ34" t="str">
            <v>35(t)</v>
          </cell>
          <cell r="BK34" t="str">
            <v>低</v>
          </cell>
          <cell r="BL34">
            <v>8</v>
          </cell>
          <cell r="BM34">
            <v>1711</v>
          </cell>
          <cell r="BN34">
            <v>126</v>
          </cell>
          <cell r="BO34">
            <v>655</v>
          </cell>
          <cell r="BP34">
            <v>459</v>
          </cell>
          <cell r="BQ34">
            <v>554</v>
          </cell>
          <cell r="BR34">
            <v>168</v>
          </cell>
          <cell r="BS34">
            <v>51.8</v>
          </cell>
          <cell r="BT34">
            <v>61.1</v>
          </cell>
          <cell r="BU34">
            <v>10</v>
          </cell>
          <cell r="BV34">
            <v>0</v>
          </cell>
          <cell r="BW34">
            <v>4.5</v>
          </cell>
          <cell r="BX34">
            <v>0.8</v>
          </cell>
          <cell r="BY34">
            <v>0.44</v>
          </cell>
        </row>
        <row r="35">
          <cell r="BH35" t="str">
            <v>35(t)9</v>
          </cell>
          <cell r="BI35">
            <v>4</v>
          </cell>
          <cell r="BJ35" t="str">
            <v>35(t)</v>
          </cell>
          <cell r="BK35" t="str">
            <v>低</v>
          </cell>
          <cell r="BL35">
            <v>9</v>
          </cell>
          <cell r="BM35">
            <v>1775</v>
          </cell>
          <cell r="BN35">
            <v>129</v>
          </cell>
          <cell r="BO35">
            <v>677</v>
          </cell>
          <cell r="BP35">
            <v>474</v>
          </cell>
          <cell r="BQ35">
            <v>568</v>
          </cell>
          <cell r="BR35">
            <v>174</v>
          </cell>
          <cell r="BS35">
            <v>53</v>
          </cell>
          <cell r="BT35">
            <v>62.5</v>
          </cell>
          <cell r="BU35">
            <v>10</v>
          </cell>
          <cell r="BV35">
            <v>0</v>
          </cell>
          <cell r="BW35">
            <v>4.3</v>
          </cell>
          <cell r="BX35">
            <v>0.8</v>
          </cell>
          <cell r="BY35">
            <v>0.43</v>
          </cell>
        </row>
        <row r="36">
          <cell r="BH36" t="str">
            <v>十字军0</v>
          </cell>
          <cell r="BI36">
            <v>5</v>
          </cell>
          <cell r="BJ36" t="str">
            <v>十字军</v>
          </cell>
          <cell r="BK36" t="str">
            <v>中</v>
          </cell>
          <cell r="BL36">
            <v>0</v>
          </cell>
          <cell r="BM36">
            <v>1264</v>
          </cell>
          <cell r="BN36">
            <v>71</v>
          </cell>
          <cell r="BO36">
            <v>506</v>
          </cell>
          <cell r="BP36">
            <v>354</v>
          </cell>
          <cell r="BQ36">
            <v>462</v>
          </cell>
          <cell r="BR36">
            <v>123</v>
          </cell>
          <cell r="BS36">
            <v>48.1</v>
          </cell>
          <cell r="BT36">
            <v>45.9</v>
          </cell>
          <cell r="BU36">
            <v>10.7</v>
          </cell>
          <cell r="BV36">
            <v>0</v>
          </cell>
          <cell r="BW36">
            <v>8.4</v>
          </cell>
          <cell r="BX36">
            <v>0.6</v>
          </cell>
          <cell r="BY36">
            <v>0.42</v>
          </cell>
        </row>
        <row r="37">
          <cell r="BH37" t="str">
            <v>十字军1</v>
          </cell>
          <cell r="BI37">
            <v>5</v>
          </cell>
          <cell r="BJ37" t="str">
            <v>十字军</v>
          </cell>
          <cell r="BK37" t="str">
            <v>中</v>
          </cell>
          <cell r="BL37">
            <v>1</v>
          </cell>
          <cell r="BM37">
            <v>1335</v>
          </cell>
          <cell r="BN37">
            <v>73</v>
          </cell>
          <cell r="BO37">
            <v>529</v>
          </cell>
          <cell r="BP37">
            <v>370</v>
          </cell>
          <cell r="BQ37">
            <v>477</v>
          </cell>
          <cell r="BR37">
            <v>130</v>
          </cell>
          <cell r="BS37">
            <v>49.4</v>
          </cell>
          <cell r="BT37">
            <v>47.2</v>
          </cell>
          <cell r="BU37">
            <v>10.7</v>
          </cell>
          <cell r="BV37">
            <v>0</v>
          </cell>
          <cell r="BW37">
            <v>8.1</v>
          </cell>
          <cell r="BX37">
            <v>0.6</v>
          </cell>
          <cell r="BY37">
            <v>0.41</v>
          </cell>
        </row>
        <row r="38">
          <cell r="BH38" t="str">
            <v>十字军2</v>
          </cell>
          <cell r="BI38">
            <v>5</v>
          </cell>
          <cell r="BJ38" t="str">
            <v>十字军</v>
          </cell>
          <cell r="BK38" t="str">
            <v>中</v>
          </cell>
          <cell r="BL38">
            <v>2</v>
          </cell>
          <cell r="BM38">
            <v>1407</v>
          </cell>
          <cell r="BN38">
            <v>76</v>
          </cell>
          <cell r="BO38">
            <v>551</v>
          </cell>
          <cell r="BP38">
            <v>386</v>
          </cell>
          <cell r="BQ38">
            <v>492</v>
          </cell>
          <cell r="BR38">
            <v>136</v>
          </cell>
          <cell r="BS38">
            <v>50.8</v>
          </cell>
          <cell r="BT38">
            <v>48.5</v>
          </cell>
          <cell r="BU38">
            <v>10.7</v>
          </cell>
          <cell r="BV38">
            <v>0</v>
          </cell>
          <cell r="BW38">
            <v>7.9</v>
          </cell>
          <cell r="BX38">
            <v>0.6</v>
          </cell>
          <cell r="BY38">
            <v>0.4</v>
          </cell>
        </row>
        <row r="39">
          <cell r="BH39" t="str">
            <v>十字军3</v>
          </cell>
          <cell r="BI39">
            <v>5</v>
          </cell>
          <cell r="BJ39" t="str">
            <v>十字军</v>
          </cell>
          <cell r="BK39" t="str">
            <v>中</v>
          </cell>
          <cell r="BL39">
            <v>3</v>
          </cell>
          <cell r="BM39">
            <v>1479</v>
          </cell>
          <cell r="BN39">
            <v>78</v>
          </cell>
          <cell r="BO39">
            <v>574</v>
          </cell>
          <cell r="BP39">
            <v>402</v>
          </cell>
          <cell r="BQ39">
            <v>506</v>
          </cell>
          <cell r="BR39">
            <v>143</v>
          </cell>
          <cell r="BS39">
            <v>52.1</v>
          </cell>
          <cell r="BT39">
            <v>49.7</v>
          </cell>
          <cell r="BU39">
            <v>10.7</v>
          </cell>
          <cell r="BV39">
            <v>0</v>
          </cell>
          <cell r="BW39">
            <v>7.6</v>
          </cell>
          <cell r="BX39">
            <v>0.6</v>
          </cell>
          <cell r="BY39">
            <v>0.39</v>
          </cell>
        </row>
        <row r="40">
          <cell r="BH40" t="str">
            <v>十字军4</v>
          </cell>
          <cell r="BI40">
            <v>5</v>
          </cell>
          <cell r="BJ40" t="str">
            <v>十字军</v>
          </cell>
          <cell r="BK40" t="str">
            <v>中</v>
          </cell>
          <cell r="BL40">
            <v>4</v>
          </cell>
          <cell r="BM40">
            <v>1550</v>
          </cell>
          <cell r="BN40">
            <v>80</v>
          </cell>
          <cell r="BO40">
            <v>597</v>
          </cell>
          <cell r="BP40">
            <v>417</v>
          </cell>
          <cell r="BQ40">
            <v>521</v>
          </cell>
          <cell r="BR40">
            <v>149</v>
          </cell>
          <cell r="BS40">
            <v>53.4</v>
          </cell>
          <cell r="BT40">
            <v>51</v>
          </cell>
          <cell r="BU40">
            <v>10.7</v>
          </cell>
          <cell r="BV40">
            <v>0</v>
          </cell>
          <cell r="BW40">
            <v>7.3</v>
          </cell>
          <cell r="BX40">
            <v>0.6</v>
          </cell>
          <cell r="BY40">
            <v>0.39</v>
          </cell>
        </row>
        <row r="41">
          <cell r="BH41" t="str">
            <v>十字军5</v>
          </cell>
          <cell r="BI41">
            <v>5</v>
          </cell>
          <cell r="BJ41" t="str">
            <v>十字军</v>
          </cell>
          <cell r="BK41" t="str">
            <v>中</v>
          </cell>
          <cell r="BL41">
            <v>5</v>
          </cell>
          <cell r="BM41">
            <v>1622</v>
          </cell>
          <cell r="BN41">
            <v>83</v>
          </cell>
          <cell r="BO41">
            <v>619</v>
          </cell>
          <cell r="BP41">
            <v>433</v>
          </cell>
          <cell r="BQ41">
            <v>536</v>
          </cell>
          <cell r="BR41">
            <v>156</v>
          </cell>
          <cell r="BS41">
            <v>54.8</v>
          </cell>
          <cell r="BT41">
            <v>52.3</v>
          </cell>
          <cell r="BU41">
            <v>10.7</v>
          </cell>
          <cell r="BV41">
            <v>0</v>
          </cell>
          <cell r="BW41">
            <v>7.1</v>
          </cell>
          <cell r="BX41">
            <v>0.6</v>
          </cell>
          <cell r="BY41">
            <v>0.38</v>
          </cell>
        </row>
        <row r="42">
          <cell r="BH42" t="str">
            <v>十字军6</v>
          </cell>
          <cell r="BI42">
            <v>5</v>
          </cell>
          <cell r="BJ42" t="str">
            <v>十字军</v>
          </cell>
          <cell r="BK42" t="str">
            <v>中</v>
          </cell>
          <cell r="BL42">
            <v>6</v>
          </cell>
          <cell r="BM42">
            <v>1693</v>
          </cell>
          <cell r="BN42">
            <v>85</v>
          </cell>
          <cell r="BO42">
            <v>642</v>
          </cell>
          <cell r="BP42">
            <v>449</v>
          </cell>
          <cell r="BQ42">
            <v>551</v>
          </cell>
          <cell r="BR42">
            <v>162</v>
          </cell>
          <cell r="BS42">
            <v>56.1</v>
          </cell>
          <cell r="BT42">
            <v>53.6</v>
          </cell>
          <cell r="BU42">
            <v>10.7</v>
          </cell>
          <cell r="BV42">
            <v>0</v>
          </cell>
          <cell r="BW42">
            <v>6.8</v>
          </cell>
          <cell r="BX42">
            <v>0.6</v>
          </cell>
          <cell r="BY42">
            <v>0.37</v>
          </cell>
        </row>
        <row r="43">
          <cell r="BH43" t="str">
            <v>十字军7</v>
          </cell>
          <cell r="BI43">
            <v>5</v>
          </cell>
          <cell r="BJ43" t="str">
            <v>十字军</v>
          </cell>
          <cell r="BK43" t="str">
            <v>中</v>
          </cell>
          <cell r="BL43">
            <v>7</v>
          </cell>
          <cell r="BM43">
            <v>1765</v>
          </cell>
          <cell r="BN43">
            <v>87</v>
          </cell>
          <cell r="BO43">
            <v>665</v>
          </cell>
          <cell r="BP43">
            <v>465</v>
          </cell>
          <cell r="BQ43">
            <v>566</v>
          </cell>
          <cell r="BR43">
            <v>169</v>
          </cell>
          <cell r="BS43">
            <v>57.5</v>
          </cell>
          <cell r="BT43">
            <v>54.8</v>
          </cell>
          <cell r="BU43">
            <v>10.7</v>
          </cell>
          <cell r="BV43">
            <v>0</v>
          </cell>
          <cell r="BW43">
            <v>6.5</v>
          </cell>
          <cell r="BX43">
            <v>0.6</v>
          </cell>
          <cell r="BY43">
            <v>0.36</v>
          </cell>
        </row>
        <row r="44">
          <cell r="BH44" t="str">
            <v>十字军8</v>
          </cell>
          <cell r="BI44">
            <v>5</v>
          </cell>
          <cell r="BJ44" t="str">
            <v>十字军</v>
          </cell>
          <cell r="BK44" t="str">
            <v>中</v>
          </cell>
          <cell r="BL44">
            <v>8</v>
          </cell>
          <cell r="BM44">
            <v>1837</v>
          </cell>
          <cell r="BN44">
            <v>90</v>
          </cell>
          <cell r="BO44">
            <v>687</v>
          </cell>
          <cell r="BP44">
            <v>481</v>
          </cell>
          <cell r="BQ44">
            <v>580</v>
          </cell>
          <cell r="BR44">
            <v>175</v>
          </cell>
          <cell r="BS44">
            <v>58.8</v>
          </cell>
          <cell r="BT44">
            <v>56.1</v>
          </cell>
          <cell r="BU44">
            <v>10.7</v>
          </cell>
          <cell r="BV44">
            <v>0</v>
          </cell>
          <cell r="BW44">
            <v>6.3</v>
          </cell>
          <cell r="BX44">
            <v>0.6</v>
          </cell>
          <cell r="BY44">
            <v>0.35</v>
          </cell>
        </row>
        <row r="45">
          <cell r="BH45" t="str">
            <v>十字军9</v>
          </cell>
          <cell r="BI45">
            <v>5</v>
          </cell>
          <cell r="BJ45" t="str">
            <v>十字军</v>
          </cell>
          <cell r="BK45" t="str">
            <v>中</v>
          </cell>
          <cell r="BL45">
            <v>9</v>
          </cell>
          <cell r="BM45">
            <v>1908</v>
          </cell>
          <cell r="BN45">
            <v>92</v>
          </cell>
          <cell r="BO45">
            <v>710</v>
          </cell>
          <cell r="BP45">
            <v>497</v>
          </cell>
          <cell r="BQ45">
            <v>595</v>
          </cell>
          <cell r="BR45">
            <v>182</v>
          </cell>
          <cell r="BS45">
            <v>60.1</v>
          </cell>
          <cell r="BT45">
            <v>57.4</v>
          </cell>
          <cell r="BU45">
            <v>10.7</v>
          </cell>
          <cell r="BV45">
            <v>0</v>
          </cell>
          <cell r="BW45">
            <v>6</v>
          </cell>
          <cell r="BX45">
            <v>0.6</v>
          </cell>
          <cell r="BY45">
            <v>0.35</v>
          </cell>
        </row>
        <row r="46">
          <cell r="BH46" t="str">
            <v>AMX-130</v>
          </cell>
          <cell r="BI46">
            <v>6</v>
          </cell>
          <cell r="BJ46" t="str">
            <v>AMX-13</v>
          </cell>
          <cell r="BK46" t="str">
            <v>高</v>
          </cell>
          <cell r="BL46">
            <v>0</v>
          </cell>
          <cell r="BM46">
            <v>1168</v>
          </cell>
          <cell r="BN46">
            <v>95</v>
          </cell>
          <cell r="BO46">
            <v>506</v>
          </cell>
          <cell r="BP46">
            <v>354</v>
          </cell>
          <cell r="BQ46">
            <v>462</v>
          </cell>
          <cell r="BR46">
            <v>123</v>
          </cell>
          <cell r="BS46">
            <v>39.6</v>
          </cell>
          <cell r="BT46">
            <v>59.1</v>
          </cell>
          <cell r="BU46">
            <v>9.9</v>
          </cell>
          <cell r="BV46">
            <v>0</v>
          </cell>
          <cell r="BW46">
            <v>6.3</v>
          </cell>
          <cell r="BX46">
            <v>0.8</v>
          </cell>
          <cell r="BY46">
            <v>0.52</v>
          </cell>
        </row>
        <row r="47">
          <cell r="BH47" t="str">
            <v>AMX-131</v>
          </cell>
          <cell r="BI47">
            <v>6</v>
          </cell>
          <cell r="BJ47" t="str">
            <v>AMX-13</v>
          </cell>
          <cell r="BK47" t="str">
            <v>高</v>
          </cell>
          <cell r="BL47">
            <v>1</v>
          </cell>
          <cell r="BM47">
            <v>1235</v>
          </cell>
          <cell r="BN47">
            <v>98</v>
          </cell>
          <cell r="BO47">
            <v>530</v>
          </cell>
          <cell r="BP47">
            <v>371</v>
          </cell>
          <cell r="BQ47">
            <v>478</v>
          </cell>
          <cell r="BR47">
            <v>130</v>
          </cell>
          <cell r="BS47">
            <v>40.700000000000003</v>
          </cell>
          <cell r="BT47">
            <v>60.7</v>
          </cell>
          <cell r="BU47">
            <v>9.9</v>
          </cell>
          <cell r="BV47">
            <v>0</v>
          </cell>
          <cell r="BW47">
            <v>6.1</v>
          </cell>
          <cell r="BX47">
            <v>0.8</v>
          </cell>
          <cell r="BY47">
            <v>0.51</v>
          </cell>
        </row>
        <row r="48">
          <cell r="BH48" t="str">
            <v>AMX-132</v>
          </cell>
          <cell r="BI48">
            <v>6</v>
          </cell>
          <cell r="BJ48" t="str">
            <v>AMX-13</v>
          </cell>
          <cell r="BK48" t="str">
            <v>高</v>
          </cell>
          <cell r="BL48">
            <v>2</v>
          </cell>
          <cell r="BM48">
            <v>1301</v>
          </cell>
          <cell r="BN48">
            <v>102</v>
          </cell>
          <cell r="BO48">
            <v>555</v>
          </cell>
          <cell r="BP48">
            <v>388</v>
          </cell>
          <cell r="BQ48">
            <v>494</v>
          </cell>
          <cell r="BR48">
            <v>137</v>
          </cell>
          <cell r="BS48">
            <v>41.8</v>
          </cell>
          <cell r="BT48">
            <v>62.4</v>
          </cell>
          <cell r="BU48">
            <v>9.9</v>
          </cell>
          <cell r="BV48">
            <v>0</v>
          </cell>
          <cell r="BW48">
            <v>5.9</v>
          </cell>
          <cell r="BX48">
            <v>0.8</v>
          </cell>
          <cell r="BY48">
            <v>0.5</v>
          </cell>
        </row>
        <row r="49">
          <cell r="BH49" t="str">
            <v>AMX-133</v>
          </cell>
          <cell r="BI49">
            <v>6</v>
          </cell>
          <cell r="BJ49" t="str">
            <v>AMX-13</v>
          </cell>
          <cell r="BK49" t="str">
            <v>高</v>
          </cell>
          <cell r="BL49">
            <v>3</v>
          </cell>
          <cell r="BM49">
            <v>1367</v>
          </cell>
          <cell r="BN49">
            <v>105</v>
          </cell>
          <cell r="BO49">
            <v>579</v>
          </cell>
          <cell r="BP49">
            <v>405</v>
          </cell>
          <cell r="BQ49">
            <v>509</v>
          </cell>
          <cell r="BR49">
            <v>144</v>
          </cell>
          <cell r="BS49">
            <v>42.9</v>
          </cell>
          <cell r="BT49">
            <v>64</v>
          </cell>
          <cell r="BU49">
            <v>9.9</v>
          </cell>
          <cell r="BV49">
            <v>0</v>
          </cell>
          <cell r="BW49">
            <v>5.6</v>
          </cell>
          <cell r="BX49">
            <v>0.8</v>
          </cell>
          <cell r="BY49">
            <v>0.49</v>
          </cell>
        </row>
        <row r="50">
          <cell r="BH50" t="str">
            <v>AMX-134</v>
          </cell>
          <cell r="BI50">
            <v>6</v>
          </cell>
          <cell r="BJ50" t="str">
            <v>AMX-13</v>
          </cell>
          <cell r="BK50" t="str">
            <v>高</v>
          </cell>
          <cell r="BL50">
            <v>4</v>
          </cell>
          <cell r="BM50">
            <v>1434</v>
          </cell>
          <cell r="BN50">
            <v>108</v>
          </cell>
          <cell r="BO50">
            <v>603</v>
          </cell>
          <cell r="BP50">
            <v>422</v>
          </cell>
          <cell r="BQ50">
            <v>525</v>
          </cell>
          <cell r="BR50">
            <v>151</v>
          </cell>
          <cell r="BS50">
            <v>44</v>
          </cell>
          <cell r="BT50">
            <v>65.7</v>
          </cell>
          <cell r="BU50">
            <v>9.9</v>
          </cell>
          <cell r="BV50">
            <v>0</v>
          </cell>
          <cell r="BW50">
            <v>5.4</v>
          </cell>
          <cell r="BX50">
            <v>0.8</v>
          </cell>
          <cell r="BY50">
            <v>0.48</v>
          </cell>
        </row>
        <row r="51">
          <cell r="BH51" t="str">
            <v>AMX-135</v>
          </cell>
          <cell r="BI51">
            <v>6</v>
          </cell>
          <cell r="BJ51" t="str">
            <v>AMX-13</v>
          </cell>
          <cell r="BK51" t="str">
            <v>高</v>
          </cell>
          <cell r="BL51">
            <v>5</v>
          </cell>
          <cell r="BM51">
            <v>1500</v>
          </cell>
          <cell r="BN51">
            <v>112</v>
          </cell>
          <cell r="BO51">
            <v>627</v>
          </cell>
          <cell r="BP51">
            <v>439</v>
          </cell>
          <cell r="BQ51">
            <v>541</v>
          </cell>
          <cell r="BR51">
            <v>158</v>
          </cell>
          <cell r="BS51">
            <v>45.1</v>
          </cell>
          <cell r="BT51">
            <v>67.3</v>
          </cell>
          <cell r="BU51">
            <v>9.9</v>
          </cell>
          <cell r="BV51">
            <v>0</v>
          </cell>
          <cell r="BW51">
            <v>5.2</v>
          </cell>
          <cell r="BX51">
            <v>0.8</v>
          </cell>
          <cell r="BY51">
            <v>0.47</v>
          </cell>
        </row>
        <row r="52">
          <cell r="BH52" t="str">
            <v>AMX-136</v>
          </cell>
          <cell r="BI52">
            <v>6</v>
          </cell>
          <cell r="BJ52" t="str">
            <v>AMX-13</v>
          </cell>
          <cell r="BK52" t="str">
            <v>高</v>
          </cell>
          <cell r="BL52">
            <v>6</v>
          </cell>
          <cell r="BM52">
            <v>1566</v>
          </cell>
          <cell r="BN52">
            <v>115</v>
          </cell>
          <cell r="BO52">
            <v>652</v>
          </cell>
          <cell r="BP52">
            <v>456</v>
          </cell>
          <cell r="BQ52">
            <v>557</v>
          </cell>
          <cell r="BR52">
            <v>165</v>
          </cell>
          <cell r="BS52">
            <v>46.2</v>
          </cell>
          <cell r="BT52">
            <v>69</v>
          </cell>
          <cell r="BU52">
            <v>9.9</v>
          </cell>
          <cell r="BV52">
            <v>0</v>
          </cell>
          <cell r="BW52">
            <v>5</v>
          </cell>
          <cell r="BX52">
            <v>0.8</v>
          </cell>
          <cell r="BY52">
            <v>0.46</v>
          </cell>
        </row>
        <row r="53">
          <cell r="BH53" t="str">
            <v>AMX-137</v>
          </cell>
          <cell r="BI53">
            <v>6</v>
          </cell>
          <cell r="BJ53" t="str">
            <v>AMX-13</v>
          </cell>
          <cell r="BK53" t="str">
            <v>高</v>
          </cell>
          <cell r="BL53">
            <v>7</v>
          </cell>
          <cell r="BM53">
            <v>1632</v>
          </cell>
          <cell r="BN53">
            <v>118</v>
          </cell>
          <cell r="BO53">
            <v>676</v>
          </cell>
          <cell r="BP53">
            <v>473</v>
          </cell>
          <cell r="BQ53">
            <v>573</v>
          </cell>
          <cell r="BR53">
            <v>172</v>
          </cell>
          <cell r="BS53">
            <v>47.3</v>
          </cell>
          <cell r="BT53">
            <v>70.599999999999994</v>
          </cell>
          <cell r="BU53">
            <v>9.9</v>
          </cell>
          <cell r="BV53">
            <v>0</v>
          </cell>
          <cell r="BW53">
            <v>4.8</v>
          </cell>
          <cell r="BX53">
            <v>0.8</v>
          </cell>
          <cell r="BY53">
            <v>0.45</v>
          </cell>
        </row>
        <row r="54">
          <cell r="BH54" t="str">
            <v>AMX-138</v>
          </cell>
          <cell r="BI54">
            <v>6</v>
          </cell>
          <cell r="BJ54" t="str">
            <v>AMX-13</v>
          </cell>
          <cell r="BK54" t="str">
            <v>高</v>
          </cell>
          <cell r="BL54">
            <v>8</v>
          </cell>
          <cell r="BM54">
            <v>1699</v>
          </cell>
          <cell r="BN54">
            <v>122</v>
          </cell>
          <cell r="BO54">
            <v>700</v>
          </cell>
          <cell r="BP54">
            <v>490</v>
          </cell>
          <cell r="BQ54">
            <v>588</v>
          </cell>
          <cell r="BR54">
            <v>179</v>
          </cell>
          <cell r="BS54">
            <v>48.4</v>
          </cell>
          <cell r="BT54">
            <v>72.2</v>
          </cell>
          <cell r="BU54">
            <v>9.9</v>
          </cell>
          <cell r="BV54">
            <v>0</v>
          </cell>
          <cell r="BW54">
            <v>4.5</v>
          </cell>
          <cell r="BX54">
            <v>0.8</v>
          </cell>
          <cell r="BY54">
            <v>0.44</v>
          </cell>
        </row>
        <row r="55">
          <cell r="BH55" t="str">
            <v>AMX-139</v>
          </cell>
          <cell r="BI55">
            <v>6</v>
          </cell>
          <cell r="BJ55" t="str">
            <v>AMX-13</v>
          </cell>
          <cell r="BK55" t="str">
            <v>高</v>
          </cell>
          <cell r="BL55">
            <v>9</v>
          </cell>
          <cell r="BM55">
            <v>1765</v>
          </cell>
          <cell r="BN55">
            <v>125</v>
          </cell>
          <cell r="BO55">
            <v>724</v>
          </cell>
          <cell r="BP55">
            <v>507</v>
          </cell>
          <cell r="BQ55">
            <v>604</v>
          </cell>
          <cell r="BR55">
            <v>186</v>
          </cell>
          <cell r="BS55">
            <v>49.5</v>
          </cell>
          <cell r="BT55">
            <v>73.900000000000006</v>
          </cell>
          <cell r="BU55">
            <v>9.9</v>
          </cell>
          <cell r="BV55">
            <v>0</v>
          </cell>
          <cell r="BW55">
            <v>4.3</v>
          </cell>
          <cell r="BX55">
            <v>0.8</v>
          </cell>
          <cell r="BY55">
            <v>0.43</v>
          </cell>
        </row>
        <row r="56">
          <cell r="BH56" t="str">
            <v>霞飞0</v>
          </cell>
          <cell r="BI56">
            <v>7</v>
          </cell>
          <cell r="BJ56" t="str">
            <v>霞飞</v>
          </cell>
          <cell r="BK56" t="str">
            <v>低</v>
          </cell>
          <cell r="BL56">
            <v>0</v>
          </cell>
          <cell r="BM56">
            <v>1467</v>
          </cell>
          <cell r="BN56">
            <v>102</v>
          </cell>
          <cell r="BO56">
            <v>631</v>
          </cell>
          <cell r="BP56">
            <v>442</v>
          </cell>
          <cell r="BQ56">
            <v>576</v>
          </cell>
          <cell r="BR56">
            <v>154</v>
          </cell>
          <cell r="BS56">
            <v>42.4</v>
          </cell>
          <cell r="BT56">
            <v>50</v>
          </cell>
          <cell r="BU56">
            <v>10</v>
          </cell>
          <cell r="BV56">
            <v>0</v>
          </cell>
          <cell r="BW56">
            <v>6.3</v>
          </cell>
          <cell r="BX56">
            <v>0.6</v>
          </cell>
          <cell r="BY56">
            <v>0.45</v>
          </cell>
        </row>
        <row r="57">
          <cell r="BH57" t="str">
            <v>霞飞1</v>
          </cell>
          <cell r="BI57">
            <v>7</v>
          </cell>
          <cell r="BJ57" t="str">
            <v>霞飞</v>
          </cell>
          <cell r="BK57" t="str">
            <v>低</v>
          </cell>
          <cell r="BL57">
            <v>1</v>
          </cell>
          <cell r="BM57">
            <v>1528</v>
          </cell>
          <cell r="BN57">
            <v>105</v>
          </cell>
          <cell r="BO57">
            <v>653</v>
          </cell>
          <cell r="BP57">
            <v>457</v>
          </cell>
          <cell r="BQ57">
            <v>590</v>
          </cell>
          <cell r="BR57">
            <v>161</v>
          </cell>
          <cell r="BS57">
            <v>43.4</v>
          </cell>
          <cell r="BT57">
            <v>51.1</v>
          </cell>
          <cell r="BU57">
            <v>10</v>
          </cell>
          <cell r="BV57">
            <v>0</v>
          </cell>
          <cell r="BW57">
            <v>6.1</v>
          </cell>
          <cell r="BX57">
            <v>0.6</v>
          </cell>
          <cell r="BY57">
            <v>0.44</v>
          </cell>
        </row>
        <row r="58">
          <cell r="BH58" t="str">
            <v>霞飞2</v>
          </cell>
          <cell r="BI58">
            <v>7</v>
          </cell>
          <cell r="BJ58" t="str">
            <v>霞飞</v>
          </cell>
          <cell r="BK58" t="str">
            <v>低</v>
          </cell>
          <cell r="BL58">
            <v>2</v>
          </cell>
          <cell r="BM58">
            <v>1589</v>
          </cell>
          <cell r="BN58">
            <v>107</v>
          </cell>
          <cell r="BO58">
            <v>675</v>
          </cell>
          <cell r="BP58">
            <v>473</v>
          </cell>
          <cell r="BQ58">
            <v>603</v>
          </cell>
          <cell r="BR58">
            <v>167</v>
          </cell>
          <cell r="BS58">
            <v>44.3</v>
          </cell>
          <cell r="BT58">
            <v>52.3</v>
          </cell>
          <cell r="BU58">
            <v>10</v>
          </cell>
          <cell r="BV58">
            <v>0</v>
          </cell>
          <cell r="BW58">
            <v>6</v>
          </cell>
          <cell r="BX58">
            <v>0.6</v>
          </cell>
          <cell r="BY58">
            <v>0.44</v>
          </cell>
        </row>
        <row r="59">
          <cell r="BH59" t="str">
            <v>霞飞3</v>
          </cell>
          <cell r="BI59">
            <v>7</v>
          </cell>
          <cell r="BJ59" t="str">
            <v>霞飞</v>
          </cell>
          <cell r="BK59" t="str">
            <v>低</v>
          </cell>
          <cell r="BL59">
            <v>3</v>
          </cell>
          <cell r="BM59">
            <v>1650</v>
          </cell>
          <cell r="BN59">
            <v>109</v>
          </cell>
          <cell r="BO59">
            <v>697</v>
          </cell>
          <cell r="BP59">
            <v>488</v>
          </cell>
          <cell r="BQ59">
            <v>617</v>
          </cell>
          <cell r="BR59">
            <v>174</v>
          </cell>
          <cell r="BS59">
            <v>45.3</v>
          </cell>
          <cell r="BT59">
            <v>53.4</v>
          </cell>
          <cell r="BU59">
            <v>10</v>
          </cell>
          <cell r="BV59">
            <v>0</v>
          </cell>
          <cell r="BW59">
            <v>5.8</v>
          </cell>
          <cell r="BX59">
            <v>0.6</v>
          </cell>
          <cell r="BY59">
            <v>0.43</v>
          </cell>
        </row>
        <row r="60">
          <cell r="BH60" t="str">
            <v>霞飞4</v>
          </cell>
          <cell r="BI60">
            <v>7</v>
          </cell>
          <cell r="BJ60" t="str">
            <v>霞飞</v>
          </cell>
          <cell r="BK60" t="str">
            <v>低</v>
          </cell>
          <cell r="BL60">
            <v>4</v>
          </cell>
          <cell r="BM60">
            <v>1711</v>
          </cell>
          <cell r="BN60">
            <v>112</v>
          </cell>
          <cell r="BO60">
            <v>719</v>
          </cell>
          <cell r="BP60">
            <v>504</v>
          </cell>
          <cell r="BQ60">
            <v>630</v>
          </cell>
          <cell r="BR60">
            <v>180</v>
          </cell>
          <cell r="BS60">
            <v>46.3</v>
          </cell>
          <cell r="BT60">
            <v>54.5</v>
          </cell>
          <cell r="BU60">
            <v>10</v>
          </cell>
          <cell r="BV60">
            <v>0</v>
          </cell>
          <cell r="BW60">
            <v>5.7</v>
          </cell>
          <cell r="BX60">
            <v>0.6</v>
          </cell>
          <cell r="BY60">
            <v>0.42</v>
          </cell>
        </row>
        <row r="61">
          <cell r="BH61" t="str">
            <v>霞飞5</v>
          </cell>
          <cell r="BI61">
            <v>7</v>
          </cell>
          <cell r="BJ61" t="str">
            <v>霞飞</v>
          </cell>
          <cell r="BK61" t="str">
            <v>低</v>
          </cell>
          <cell r="BL61">
            <v>5</v>
          </cell>
          <cell r="BM61">
            <v>1772</v>
          </cell>
          <cell r="BN61">
            <v>114</v>
          </cell>
          <cell r="BO61">
            <v>741</v>
          </cell>
          <cell r="BP61">
            <v>519</v>
          </cell>
          <cell r="BQ61">
            <v>644</v>
          </cell>
          <cell r="BR61">
            <v>187</v>
          </cell>
          <cell r="BS61">
            <v>47.2</v>
          </cell>
          <cell r="BT61">
            <v>55.7</v>
          </cell>
          <cell r="BU61">
            <v>10</v>
          </cell>
          <cell r="BV61">
            <v>0</v>
          </cell>
          <cell r="BW61">
            <v>5.5</v>
          </cell>
          <cell r="BX61">
            <v>0.6</v>
          </cell>
          <cell r="BY61">
            <v>0.42</v>
          </cell>
        </row>
        <row r="62">
          <cell r="BH62" t="str">
            <v>霞飞6</v>
          </cell>
          <cell r="BI62">
            <v>7</v>
          </cell>
          <cell r="BJ62" t="str">
            <v>霞飞</v>
          </cell>
          <cell r="BK62" t="str">
            <v>低</v>
          </cell>
          <cell r="BL62">
            <v>6</v>
          </cell>
          <cell r="BM62">
            <v>1832</v>
          </cell>
          <cell r="BN62">
            <v>116</v>
          </cell>
          <cell r="BO62">
            <v>763</v>
          </cell>
          <cell r="BP62">
            <v>535</v>
          </cell>
          <cell r="BQ62">
            <v>657</v>
          </cell>
          <cell r="BR62">
            <v>193</v>
          </cell>
          <cell r="BS62">
            <v>48.2</v>
          </cell>
          <cell r="BT62">
            <v>56.8</v>
          </cell>
          <cell r="BU62">
            <v>10</v>
          </cell>
          <cell r="BV62">
            <v>0</v>
          </cell>
          <cell r="BW62">
            <v>5.4</v>
          </cell>
          <cell r="BX62">
            <v>0.6</v>
          </cell>
          <cell r="BY62">
            <v>0.41</v>
          </cell>
        </row>
        <row r="63">
          <cell r="BH63" t="str">
            <v>霞飞7</v>
          </cell>
          <cell r="BI63">
            <v>7</v>
          </cell>
          <cell r="BJ63" t="str">
            <v>霞飞</v>
          </cell>
          <cell r="BK63" t="str">
            <v>低</v>
          </cell>
          <cell r="BL63">
            <v>7</v>
          </cell>
          <cell r="BM63">
            <v>1893</v>
          </cell>
          <cell r="BN63">
            <v>119</v>
          </cell>
          <cell r="BO63">
            <v>785</v>
          </cell>
          <cell r="BP63">
            <v>550</v>
          </cell>
          <cell r="BQ63">
            <v>671</v>
          </cell>
          <cell r="BR63">
            <v>200</v>
          </cell>
          <cell r="BS63">
            <v>49.1</v>
          </cell>
          <cell r="BT63">
            <v>58</v>
          </cell>
          <cell r="BU63">
            <v>10</v>
          </cell>
          <cell r="BV63">
            <v>0</v>
          </cell>
          <cell r="BW63">
            <v>5.2</v>
          </cell>
          <cell r="BX63">
            <v>0.6</v>
          </cell>
          <cell r="BY63">
            <v>0.4</v>
          </cell>
        </row>
        <row r="64">
          <cell r="BH64" t="str">
            <v>霞飞8</v>
          </cell>
          <cell r="BI64">
            <v>7</v>
          </cell>
          <cell r="BJ64" t="str">
            <v>霞飞</v>
          </cell>
          <cell r="BK64" t="str">
            <v>低</v>
          </cell>
          <cell r="BL64">
            <v>8</v>
          </cell>
          <cell r="BM64">
            <v>1954</v>
          </cell>
          <cell r="BN64">
            <v>121</v>
          </cell>
          <cell r="BO64">
            <v>808</v>
          </cell>
          <cell r="BP64">
            <v>565</v>
          </cell>
          <cell r="BQ64">
            <v>684</v>
          </cell>
          <cell r="BR64">
            <v>206</v>
          </cell>
          <cell r="BS64">
            <v>50.1</v>
          </cell>
          <cell r="BT64">
            <v>59.1</v>
          </cell>
          <cell r="BU64">
            <v>10</v>
          </cell>
          <cell r="BV64">
            <v>0</v>
          </cell>
          <cell r="BW64">
            <v>5.0999999999999996</v>
          </cell>
          <cell r="BX64">
            <v>0.6</v>
          </cell>
          <cell r="BY64">
            <v>0.4</v>
          </cell>
        </row>
        <row r="65">
          <cell r="BH65" t="str">
            <v>霞飞9</v>
          </cell>
          <cell r="BI65">
            <v>7</v>
          </cell>
          <cell r="BJ65" t="str">
            <v>霞飞</v>
          </cell>
          <cell r="BK65" t="str">
            <v>低</v>
          </cell>
          <cell r="BL65">
            <v>9</v>
          </cell>
          <cell r="BM65">
            <v>2015</v>
          </cell>
          <cell r="BN65">
            <v>123</v>
          </cell>
          <cell r="BO65">
            <v>830</v>
          </cell>
          <cell r="BP65">
            <v>581</v>
          </cell>
          <cell r="BQ65">
            <v>698</v>
          </cell>
          <cell r="BR65">
            <v>213</v>
          </cell>
          <cell r="BS65">
            <v>51.1</v>
          </cell>
          <cell r="BT65">
            <v>60.2</v>
          </cell>
          <cell r="BU65">
            <v>10</v>
          </cell>
          <cell r="BV65">
            <v>0</v>
          </cell>
          <cell r="BW65">
            <v>4.9000000000000004</v>
          </cell>
          <cell r="BX65">
            <v>0.6</v>
          </cell>
          <cell r="BY65">
            <v>0.39</v>
          </cell>
        </row>
        <row r="66">
          <cell r="BH66" t="str">
            <v>霞飞10</v>
          </cell>
          <cell r="BI66">
            <v>7</v>
          </cell>
          <cell r="BJ66" t="str">
            <v>霞飞</v>
          </cell>
          <cell r="BK66" t="str">
            <v>低</v>
          </cell>
          <cell r="BL66">
            <v>10</v>
          </cell>
          <cell r="BM66">
            <v>2076</v>
          </cell>
          <cell r="BN66">
            <v>126</v>
          </cell>
          <cell r="BO66">
            <v>852</v>
          </cell>
          <cell r="BP66">
            <v>596</v>
          </cell>
          <cell r="BQ66">
            <v>711</v>
          </cell>
          <cell r="BR66">
            <v>219</v>
          </cell>
          <cell r="BS66">
            <v>52</v>
          </cell>
          <cell r="BT66">
            <v>61.4</v>
          </cell>
          <cell r="BU66">
            <v>10</v>
          </cell>
          <cell r="BV66">
            <v>0</v>
          </cell>
          <cell r="BW66">
            <v>4.8</v>
          </cell>
          <cell r="BX66">
            <v>0.6</v>
          </cell>
          <cell r="BY66">
            <v>0.38</v>
          </cell>
        </row>
        <row r="67">
          <cell r="BH67" t="str">
            <v>霞飞11</v>
          </cell>
          <cell r="BI67">
            <v>7</v>
          </cell>
          <cell r="BJ67" t="str">
            <v>霞飞</v>
          </cell>
          <cell r="BK67" t="str">
            <v>低</v>
          </cell>
          <cell r="BL67">
            <v>11</v>
          </cell>
          <cell r="BM67">
            <v>2137</v>
          </cell>
          <cell r="BN67">
            <v>128</v>
          </cell>
          <cell r="BO67">
            <v>874</v>
          </cell>
          <cell r="BP67">
            <v>612</v>
          </cell>
          <cell r="BQ67">
            <v>725</v>
          </cell>
          <cell r="BR67">
            <v>226</v>
          </cell>
          <cell r="BS67">
            <v>53</v>
          </cell>
          <cell r="BT67">
            <v>62.5</v>
          </cell>
          <cell r="BU67">
            <v>10</v>
          </cell>
          <cell r="BV67">
            <v>0</v>
          </cell>
          <cell r="BW67">
            <v>4.5999999999999996</v>
          </cell>
          <cell r="BX67">
            <v>0.6</v>
          </cell>
          <cell r="BY67">
            <v>0.38</v>
          </cell>
        </row>
        <row r="68">
          <cell r="BH68" t="str">
            <v>M-410</v>
          </cell>
          <cell r="BI68">
            <v>8</v>
          </cell>
          <cell r="BJ68" t="str">
            <v>M-41</v>
          </cell>
          <cell r="BK68" t="str">
            <v>中</v>
          </cell>
          <cell r="BL68">
            <v>0</v>
          </cell>
          <cell r="BM68">
            <v>1637</v>
          </cell>
          <cell r="BN68">
            <v>111</v>
          </cell>
          <cell r="BO68">
            <v>657</v>
          </cell>
          <cell r="BP68">
            <v>460</v>
          </cell>
          <cell r="BQ68">
            <v>600</v>
          </cell>
          <cell r="BR68">
            <v>160</v>
          </cell>
          <cell r="BS68">
            <v>38.5</v>
          </cell>
          <cell r="BT68">
            <v>57.4</v>
          </cell>
          <cell r="BU68">
            <v>9.6</v>
          </cell>
          <cell r="BV68">
            <v>0</v>
          </cell>
          <cell r="BW68">
            <v>8.4</v>
          </cell>
          <cell r="BX68">
            <v>0.8</v>
          </cell>
          <cell r="BY68">
            <v>0.49</v>
          </cell>
        </row>
        <row r="69">
          <cell r="BH69" t="str">
            <v>M-411</v>
          </cell>
          <cell r="BI69">
            <v>8</v>
          </cell>
          <cell r="BJ69" t="str">
            <v>M-41</v>
          </cell>
          <cell r="BK69" t="str">
            <v>中</v>
          </cell>
          <cell r="BL69">
            <v>1</v>
          </cell>
          <cell r="BM69">
            <v>1710</v>
          </cell>
          <cell r="BN69">
            <v>113</v>
          </cell>
          <cell r="BO69">
            <v>681</v>
          </cell>
          <cell r="BP69">
            <v>476</v>
          </cell>
          <cell r="BQ69">
            <v>614</v>
          </cell>
          <cell r="BR69">
            <v>167</v>
          </cell>
          <cell r="BS69">
            <v>39.4</v>
          </cell>
          <cell r="BT69">
            <v>58.7</v>
          </cell>
          <cell r="BU69">
            <v>9.6</v>
          </cell>
          <cell r="BV69">
            <v>0</v>
          </cell>
          <cell r="BW69">
            <v>8.1</v>
          </cell>
          <cell r="BX69">
            <v>0.8</v>
          </cell>
          <cell r="BY69">
            <v>0.48</v>
          </cell>
        </row>
        <row r="70">
          <cell r="BH70" t="str">
            <v>M-412</v>
          </cell>
          <cell r="BI70">
            <v>8</v>
          </cell>
          <cell r="BJ70" t="str">
            <v>M-41</v>
          </cell>
          <cell r="BK70" t="str">
            <v>中</v>
          </cell>
          <cell r="BL70">
            <v>2</v>
          </cell>
          <cell r="BM70">
            <v>1782</v>
          </cell>
          <cell r="BN70">
            <v>116</v>
          </cell>
          <cell r="BO70">
            <v>704</v>
          </cell>
          <cell r="BP70">
            <v>493</v>
          </cell>
          <cell r="BQ70">
            <v>629</v>
          </cell>
          <cell r="BR70">
            <v>174</v>
          </cell>
          <cell r="BS70">
            <v>40.299999999999997</v>
          </cell>
          <cell r="BT70">
            <v>60</v>
          </cell>
          <cell r="BU70">
            <v>9.6</v>
          </cell>
          <cell r="BV70">
            <v>0</v>
          </cell>
          <cell r="BW70">
            <v>7.9</v>
          </cell>
          <cell r="BX70">
            <v>0.8</v>
          </cell>
          <cell r="BY70">
            <v>0.48</v>
          </cell>
        </row>
        <row r="71">
          <cell r="BH71" t="str">
            <v>M-413</v>
          </cell>
          <cell r="BI71">
            <v>8</v>
          </cell>
          <cell r="BJ71" t="str">
            <v>M-41</v>
          </cell>
          <cell r="BK71" t="str">
            <v>中</v>
          </cell>
          <cell r="BL71">
            <v>3</v>
          </cell>
          <cell r="BM71">
            <v>1854</v>
          </cell>
          <cell r="BN71">
            <v>119</v>
          </cell>
          <cell r="BO71">
            <v>728</v>
          </cell>
          <cell r="BP71">
            <v>509</v>
          </cell>
          <cell r="BQ71">
            <v>643</v>
          </cell>
          <cell r="BR71">
            <v>181</v>
          </cell>
          <cell r="BS71">
            <v>41.1</v>
          </cell>
          <cell r="BT71">
            <v>61.3</v>
          </cell>
          <cell r="BU71">
            <v>9.6</v>
          </cell>
          <cell r="BV71">
            <v>0</v>
          </cell>
          <cell r="BW71">
            <v>7.6</v>
          </cell>
          <cell r="BX71">
            <v>0.8</v>
          </cell>
          <cell r="BY71">
            <v>0.47</v>
          </cell>
        </row>
        <row r="72">
          <cell r="BH72" t="str">
            <v>M-414</v>
          </cell>
          <cell r="BI72">
            <v>8</v>
          </cell>
          <cell r="BJ72" t="str">
            <v>M-41</v>
          </cell>
          <cell r="BK72" t="str">
            <v>中</v>
          </cell>
          <cell r="BL72">
            <v>4</v>
          </cell>
          <cell r="BM72">
            <v>1927</v>
          </cell>
          <cell r="BN72">
            <v>121</v>
          </cell>
          <cell r="BO72">
            <v>751</v>
          </cell>
          <cell r="BP72">
            <v>526</v>
          </cell>
          <cell r="BQ72">
            <v>658</v>
          </cell>
          <cell r="BR72">
            <v>188</v>
          </cell>
          <cell r="BS72">
            <v>42</v>
          </cell>
          <cell r="BT72">
            <v>62.6</v>
          </cell>
          <cell r="BU72">
            <v>9.6</v>
          </cell>
          <cell r="BV72">
            <v>0</v>
          </cell>
          <cell r="BW72">
            <v>7.4</v>
          </cell>
          <cell r="BX72">
            <v>0.8</v>
          </cell>
          <cell r="BY72">
            <v>0.46</v>
          </cell>
        </row>
        <row r="73">
          <cell r="BH73" t="str">
            <v>M-415</v>
          </cell>
          <cell r="BI73">
            <v>8</v>
          </cell>
          <cell r="BJ73" t="str">
            <v>M-41</v>
          </cell>
          <cell r="BK73" t="str">
            <v>中</v>
          </cell>
          <cell r="BL73">
            <v>5</v>
          </cell>
          <cell r="BM73">
            <v>1999</v>
          </cell>
          <cell r="BN73">
            <v>124</v>
          </cell>
          <cell r="BO73">
            <v>775</v>
          </cell>
          <cell r="BP73">
            <v>542</v>
          </cell>
          <cell r="BQ73">
            <v>672</v>
          </cell>
          <cell r="BR73">
            <v>195</v>
          </cell>
          <cell r="BS73">
            <v>42.9</v>
          </cell>
          <cell r="BT73">
            <v>63.9</v>
          </cell>
          <cell r="BU73">
            <v>9.6</v>
          </cell>
          <cell r="BV73">
            <v>0</v>
          </cell>
          <cell r="BW73">
            <v>7.1</v>
          </cell>
          <cell r="BX73">
            <v>0.8</v>
          </cell>
          <cell r="BY73">
            <v>0.45</v>
          </cell>
        </row>
        <row r="74">
          <cell r="BH74" t="str">
            <v>M-416</v>
          </cell>
          <cell r="BI74">
            <v>8</v>
          </cell>
          <cell r="BJ74" t="str">
            <v>M-41</v>
          </cell>
          <cell r="BK74" t="str">
            <v>中</v>
          </cell>
          <cell r="BL74">
            <v>6</v>
          </cell>
          <cell r="BM74">
            <v>2071</v>
          </cell>
          <cell r="BN74">
            <v>127</v>
          </cell>
          <cell r="BO74">
            <v>798</v>
          </cell>
          <cell r="BP74">
            <v>559</v>
          </cell>
          <cell r="BQ74">
            <v>686</v>
          </cell>
          <cell r="BR74">
            <v>202</v>
          </cell>
          <cell r="BS74">
            <v>43.8</v>
          </cell>
          <cell r="BT74">
            <v>65.2</v>
          </cell>
          <cell r="BU74">
            <v>9.6</v>
          </cell>
          <cell r="BV74">
            <v>0</v>
          </cell>
          <cell r="BW74">
            <v>6.8</v>
          </cell>
          <cell r="BX74">
            <v>0.8</v>
          </cell>
          <cell r="BY74">
            <v>0.45</v>
          </cell>
        </row>
        <row r="75">
          <cell r="BH75" t="str">
            <v>M-417</v>
          </cell>
          <cell r="BI75">
            <v>8</v>
          </cell>
          <cell r="BJ75" t="str">
            <v>M-41</v>
          </cell>
          <cell r="BK75" t="str">
            <v>中</v>
          </cell>
          <cell r="BL75">
            <v>7</v>
          </cell>
          <cell r="BM75">
            <v>2144</v>
          </cell>
          <cell r="BN75">
            <v>129</v>
          </cell>
          <cell r="BO75">
            <v>822</v>
          </cell>
          <cell r="BP75">
            <v>575</v>
          </cell>
          <cell r="BQ75">
            <v>701</v>
          </cell>
          <cell r="BR75">
            <v>209</v>
          </cell>
          <cell r="BS75">
            <v>44.6</v>
          </cell>
          <cell r="BT75">
            <v>66.5</v>
          </cell>
          <cell r="BU75">
            <v>9.6</v>
          </cell>
          <cell r="BV75">
            <v>0</v>
          </cell>
          <cell r="BW75">
            <v>6.6</v>
          </cell>
          <cell r="BX75">
            <v>0.8</v>
          </cell>
          <cell r="BY75">
            <v>0.44</v>
          </cell>
        </row>
        <row r="76">
          <cell r="BH76" t="str">
            <v>M-418</v>
          </cell>
          <cell r="BI76">
            <v>8</v>
          </cell>
          <cell r="BJ76" t="str">
            <v>M-41</v>
          </cell>
          <cell r="BK76" t="str">
            <v>中</v>
          </cell>
          <cell r="BL76">
            <v>8</v>
          </cell>
          <cell r="BM76">
            <v>2216</v>
          </cell>
          <cell r="BN76">
            <v>132</v>
          </cell>
          <cell r="BO76">
            <v>845</v>
          </cell>
          <cell r="BP76">
            <v>592</v>
          </cell>
          <cell r="BQ76">
            <v>715</v>
          </cell>
          <cell r="BR76">
            <v>216</v>
          </cell>
          <cell r="BS76">
            <v>45.5</v>
          </cell>
          <cell r="BT76">
            <v>67.8</v>
          </cell>
          <cell r="BU76">
            <v>9.6</v>
          </cell>
          <cell r="BV76">
            <v>0</v>
          </cell>
          <cell r="BW76">
            <v>6.3</v>
          </cell>
          <cell r="BX76">
            <v>0.8</v>
          </cell>
          <cell r="BY76">
            <v>0.43</v>
          </cell>
        </row>
        <row r="77">
          <cell r="BH77" t="str">
            <v>M-419</v>
          </cell>
          <cell r="BI77">
            <v>8</v>
          </cell>
          <cell r="BJ77" t="str">
            <v>M-41</v>
          </cell>
          <cell r="BK77" t="str">
            <v>中</v>
          </cell>
          <cell r="BL77">
            <v>9</v>
          </cell>
          <cell r="BM77">
            <v>2288</v>
          </cell>
          <cell r="BN77">
            <v>135</v>
          </cell>
          <cell r="BO77">
            <v>869</v>
          </cell>
          <cell r="BP77">
            <v>608</v>
          </cell>
          <cell r="BQ77">
            <v>730</v>
          </cell>
          <cell r="BR77">
            <v>223</v>
          </cell>
          <cell r="BS77">
            <v>46.4</v>
          </cell>
          <cell r="BT77">
            <v>69.099999999999994</v>
          </cell>
          <cell r="BU77">
            <v>9.6</v>
          </cell>
          <cell r="BV77">
            <v>0</v>
          </cell>
          <cell r="BW77">
            <v>6.1</v>
          </cell>
          <cell r="BX77">
            <v>0.8</v>
          </cell>
          <cell r="BY77">
            <v>0.42</v>
          </cell>
        </row>
        <row r="78">
          <cell r="BH78" t="str">
            <v>M-4110</v>
          </cell>
          <cell r="BI78">
            <v>8</v>
          </cell>
          <cell r="BJ78" t="str">
            <v>M-41</v>
          </cell>
          <cell r="BK78" t="str">
            <v>中</v>
          </cell>
          <cell r="BL78">
            <v>10</v>
          </cell>
          <cell r="BM78">
            <v>2361</v>
          </cell>
          <cell r="BN78">
            <v>137</v>
          </cell>
          <cell r="BO78">
            <v>893</v>
          </cell>
          <cell r="BP78">
            <v>625</v>
          </cell>
          <cell r="BQ78">
            <v>744</v>
          </cell>
          <cell r="BR78">
            <v>230</v>
          </cell>
          <cell r="BS78">
            <v>47.3</v>
          </cell>
          <cell r="BT78">
            <v>70.400000000000006</v>
          </cell>
          <cell r="BU78">
            <v>9.6</v>
          </cell>
          <cell r="BV78">
            <v>0</v>
          </cell>
          <cell r="BW78">
            <v>5.8</v>
          </cell>
          <cell r="BX78">
            <v>0.8</v>
          </cell>
          <cell r="BY78">
            <v>0.42</v>
          </cell>
        </row>
        <row r="79">
          <cell r="BH79" t="str">
            <v>M-4111</v>
          </cell>
          <cell r="BI79">
            <v>8</v>
          </cell>
          <cell r="BJ79" t="str">
            <v>M-41</v>
          </cell>
          <cell r="BK79" t="str">
            <v>中</v>
          </cell>
          <cell r="BL79">
            <v>11</v>
          </cell>
          <cell r="BM79">
            <v>2433</v>
          </cell>
          <cell r="BN79">
            <v>140</v>
          </cell>
          <cell r="BO79">
            <v>916</v>
          </cell>
          <cell r="BP79">
            <v>641</v>
          </cell>
          <cell r="BQ79">
            <v>758</v>
          </cell>
          <cell r="BR79">
            <v>237</v>
          </cell>
          <cell r="BS79">
            <v>48.1</v>
          </cell>
          <cell r="BT79">
            <v>71.8</v>
          </cell>
          <cell r="BU79">
            <v>9.6</v>
          </cell>
          <cell r="BV79">
            <v>0</v>
          </cell>
          <cell r="BW79">
            <v>5.5</v>
          </cell>
          <cell r="BX79">
            <v>0.8</v>
          </cell>
          <cell r="BY79">
            <v>0.41</v>
          </cell>
        </row>
        <row r="80">
          <cell r="BH80" t="str">
            <v>BMP-30</v>
          </cell>
          <cell r="BI80">
            <v>9</v>
          </cell>
          <cell r="BJ80" t="str">
            <v>BMP-3</v>
          </cell>
          <cell r="BK80" t="str">
            <v>高</v>
          </cell>
          <cell r="BL80">
            <v>0</v>
          </cell>
          <cell r="BM80">
            <v>1787</v>
          </cell>
          <cell r="BN80">
            <v>107</v>
          </cell>
          <cell r="BO80">
            <v>657</v>
          </cell>
          <cell r="BP80">
            <v>460</v>
          </cell>
          <cell r="BQ80">
            <v>600</v>
          </cell>
          <cell r="BR80">
            <v>160</v>
          </cell>
          <cell r="BS80">
            <v>44.5</v>
          </cell>
          <cell r="BT80">
            <v>52.5</v>
          </cell>
          <cell r="BU80">
            <v>10.5</v>
          </cell>
          <cell r="BV80">
            <v>0</v>
          </cell>
          <cell r="BW80">
            <v>4.2</v>
          </cell>
          <cell r="BX80">
            <v>0.8</v>
          </cell>
          <cell r="BY80">
            <v>0.57999999999999996</v>
          </cell>
        </row>
        <row r="81">
          <cell r="BH81" t="str">
            <v>BMP-31</v>
          </cell>
          <cell r="BI81">
            <v>9</v>
          </cell>
          <cell r="BJ81" t="str">
            <v>BMP-3</v>
          </cell>
          <cell r="BK81" t="str">
            <v>高</v>
          </cell>
          <cell r="BL81">
            <v>1</v>
          </cell>
          <cell r="BM81">
            <v>1866</v>
          </cell>
          <cell r="BN81">
            <v>109</v>
          </cell>
          <cell r="BO81">
            <v>682</v>
          </cell>
          <cell r="BP81">
            <v>478</v>
          </cell>
          <cell r="BQ81">
            <v>615</v>
          </cell>
          <cell r="BR81">
            <v>167</v>
          </cell>
          <cell r="BS81">
            <v>45.5</v>
          </cell>
          <cell r="BT81">
            <v>53.7</v>
          </cell>
          <cell r="BU81">
            <v>10.5</v>
          </cell>
          <cell r="BV81">
            <v>0</v>
          </cell>
          <cell r="BW81">
            <v>4.0999999999999996</v>
          </cell>
          <cell r="BX81">
            <v>0.8</v>
          </cell>
          <cell r="BY81">
            <v>0.56999999999999995</v>
          </cell>
        </row>
        <row r="82">
          <cell r="BH82" t="str">
            <v>BMP-32</v>
          </cell>
          <cell r="BI82">
            <v>9</v>
          </cell>
          <cell r="BJ82" t="str">
            <v>BMP-3</v>
          </cell>
          <cell r="BK82" t="str">
            <v>高</v>
          </cell>
          <cell r="BL82">
            <v>2</v>
          </cell>
          <cell r="BM82">
            <v>1945</v>
          </cell>
          <cell r="BN82">
            <v>112</v>
          </cell>
          <cell r="BO82">
            <v>707</v>
          </cell>
          <cell r="BP82">
            <v>495</v>
          </cell>
          <cell r="BQ82">
            <v>631</v>
          </cell>
          <cell r="BR82">
            <v>175</v>
          </cell>
          <cell r="BS82">
            <v>46.5</v>
          </cell>
          <cell r="BT82">
            <v>54.9</v>
          </cell>
          <cell r="BU82">
            <v>10.5</v>
          </cell>
          <cell r="BV82">
            <v>0</v>
          </cell>
          <cell r="BW82">
            <v>4</v>
          </cell>
          <cell r="BX82">
            <v>0.8</v>
          </cell>
          <cell r="BY82">
            <v>0.56000000000000005</v>
          </cell>
        </row>
        <row r="83">
          <cell r="BH83" t="str">
            <v>BMP-33</v>
          </cell>
          <cell r="BI83">
            <v>9</v>
          </cell>
          <cell r="BJ83" t="str">
            <v>BMP-3</v>
          </cell>
          <cell r="BK83" t="str">
            <v>高</v>
          </cell>
          <cell r="BL83">
            <v>3</v>
          </cell>
          <cell r="BM83">
            <v>2024</v>
          </cell>
          <cell r="BN83">
            <v>115</v>
          </cell>
          <cell r="BO83">
            <v>732</v>
          </cell>
          <cell r="BP83">
            <v>513</v>
          </cell>
          <cell r="BQ83">
            <v>646</v>
          </cell>
          <cell r="BR83">
            <v>182</v>
          </cell>
          <cell r="BS83">
            <v>47.5</v>
          </cell>
          <cell r="BT83">
            <v>56.1</v>
          </cell>
          <cell r="BU83">
            <v>10.5</v>
          </cell>
          <cell r="BV83">
            <v>0</v>
          </cell>
          <cell r="BW83">
            <v>3.9</v>
          </cell>
          <cell r="BX83">
            <v>0.8</v>
          </cell>
          <cell r="BY83">
            <v>0.55000000000000004</v>
          </cell>
        </row>
        <row r="84">
          <cell r="BH84" t="str">
            <v>BMP-34</v>
          </cell>
          <cell r="BI84">
            <v>9</v>
          </cell>
          <cell r="BJ84" t="str">
            <v>BMP-3</v>
          </cell>
          <cell r="BK84" t="str">
            <v>高</v>
          </cell>
          <cell r="BL84">
            <v>4</v>
          </cell>
          <cell r="BM84">
            <v>2103</v>
          </cell>
          <cell r="BN84">
            <v>117</v>
          </cell>
          <cell r="BO84">
            <v>757</v>
          </cell>
          <cell r="BP84">
            <v>530</v>
          </cell>
          <cell r="BQ84">
            <v>661</v>
          </cell>
          <cell r="BR84">
            <v>190</v>
          </cell>
          <cell r="BS84">
            <v>48.5</v>
          </cell>
          <cell r="BT84">
            <v>57.3</v>
          </cell>
          <cell r="BU84">
            <v>10.5</v>
          </cell>
          <cell r="BV84">
            <v>0</v>
          </cell>
          <cell r="BW84">
            <v>3.8</v>
          </cell>
          <cell r="BX84">
            <v>0.8</v>
          </cell>
          <cell r="BY84">
            <v>0.54</v>
          </cell>
        </row>
        <row r="85">
          <cell r="BH85" t="str">
            <v>BMP-35</v>
          </cell>
          <cell r="BI85">
            <v>9</v>
          </cell>
          <cell r="BJ85" t="str">
            <v>BMP-3</v>
          </cell>
          <cell r="BK85" t="str">
            <v>高</v>
          </cell>
          <cell r="BL85">
            <v>5</v>
          </cell>
          <cell r="BM85">
            <v>2182</v>
          </cell>
          <cell r="BN85">
            <v>120</v>
          </cell>
          <cell r="BO85">
            <v>782</v>
          </cell>
          <cell r="BP85">
            <v>548</v>
          </cell>
          <cell r="BQ85">
            <v>677</v>
          </cell>
          <cell r="BR85">
            <v>197</v>
          </cell>
          <cell r="BS85">
            <v>49.6</v>
          </cell>
          <cell r="BT85">
            <v>58.5</v>
          </cell>
          <cell r="BU85">
            <v>10.5</v>
          </cell>
          <cell r="BV85">
            <v>0</v>
          </cell>
          <cell r="BW85">
            <v>3.7</v>
          </cell>
          <cell r="BX85">
            <v>0.8</v>
          </cell>
          <cell r="BY85">
            <v>0.53</v>
          </cell>
        </row>
        <row r="86">
          <cell r="BH86" t="str">
            <v>BMP-36</v>
          </cell>
          <cell r="BI86">
            <v>9</v>
          </cell>
          <cell r="BJ86" t="str">
            <v>BMP-3</v>
          </cell>
          <cell r="BK86" t="str">
            <v>高</v>
          </cell>
          <cell r="BL86">
            <v>6</v>
          </cell>
          <cell r="BM86">
            <v>2261</v>
          </cell>
          <cell r="BN86">
            <v>123</v>
          </cell>
          <cell r="BO86">
            <v>807</v>
          </cell>
          <cell r="BP86">
            <v>565</v>
          </cell>
          <cell r="BQ86">
            <v>692</v>
          </cell>
          <cell r="BR86">
            <v>205</v>
          </cell>
          <cell r="BS86">
            <v>50.6</v>
          </cell>
          <cell r="BT86">
            <v>59.7</v>
          </cell>
          <cell r="BU86">
            <v>10.5</v>
          </cell>
          <cell r="BV86">
            <v>0</v>
          </cell>
          <cell r="BW86">
            <v>3.5</v>
          </cell>
          <cell r="BX86">
            <v>0.8</v>
          </cell>
          <cell r="BY86">
            <v>0.52</v>
          </cell>
        </row>
        <row r="87">
          <cell r="BH87" t="str">
            <v>BMP-37</v>
          </cell>
          <cell r="BI87">
            <v>9</v>
          </cell>
          <cell r="BJ87" t="str">
            <v>BMP-3</v>
          </cell>
          <cell r="BK87" t="str">
            <v>高</v>
          </cell>
          <cell r="BL87">
            <v>7</v>
          </cell>
          <cell r="BM87">
            <v>2340</v>
          </cell>
          <cell r="BN87">
            <v>125</v>
          </cell>
          <cell r="BO87">
            <v>832</v>
          </cell>
          <cell r="BP87">
            <v>583</v>
          </cell>
          <cell r="BQ87">
            <v>707</v>
          </cell>
          <cell r="BR87">
            <v>212</v>
          </cell>
          <cell r="BS87">
            <v>51.6</v>
          </cell>
          <cell r="BT87">
            <v>60.9</v>
          </cell>
          <cell r="BU87">
            <v>10.5</v>
          </cell>
          <cell r="BV87">
            <v>0</v>
          </cell>
          <cell r="BW87">
            <v>3.4</v>
          </cell>
          <cell r="BX87">
            <v>0.8</v>
          </cell>
          <cell r="BY87">
            <v>0.51</v>
          </cell>
        </row>
        <row r="88">
          <cell r="BH88" t="str">
            <v>BMP-38</v>
          </cell>
          <cell r="BI88">
            <v>9</v>
          </cell>
          <cell r="BJ88" t="str">
            <v>BMP-3</v>
          </cell>
          <cell r="BK88" t="str">
            <v>高</v>
          </cell>
          <cell r="BL88">
            <v>8</v>
          </cell>
          <cell r="BM88">
            <v>2419</v>
          </cell>
          <cell r="BN88">
            <v>128</v>
          </cell>
          <cell r="BO88">
            <v>857</v>
          </cell>
          <cell r="BP88">
            <v>600</v>
          </cell>
          <cell r="BQ88">
            <v>722</v>
          </cell>
          <cell r="BR88">
            <v>220</v>
          </cell>
          <cell r="BS88">
            <v>52.6</v>
          </cell>
          <cell r="BT88">
            <v>62</v>
          </cell>
          <cell r="BU88">
            <v>10.5</v>
          </cell>
          <cell r="BV88">
            <v>0</v>
          </cell>
          <cell r="BW88">
            <v>3.3</v>
          </cell>
          <cell r="BX88">
            <v>0.8</v>
          </cell>
          <cell r="BY88">
            <v>0.51</v>
          </cell>
        </row>
        <row r="89">
          <cell r="BH89" t="str">
            <v>BMP-39</v>
          </cell>
          <cell r="BI89">
            <v>9</v>
          </cell>
          <cell r="BJ89" t="str">
            <v>BMP-3</v>
          </cell>
          <cell r="BK89" t="str">
            <v>高</v>
          </cell>
          <cell r="BL89">
            <v>9</v>
          </cell>
          <cell r="BM89">
            <v>2498</v>
          </cell>
          <cell r="BN89">
            <v>131</v>
          </cell>
          <cell r="BO89">
            <v>882</v>
          </cell>
          <cell r="BP89">
            <v>618</v>
          </cell>
          <cell r="BQ89">
            <v>738</v>
          </cell>
          <cell r="BR89">
            <v>227</v>
          </cell>
          <cell r="BS89">
            <v>53.6</v>
          </cell>
          <cell r="BT89">
            <v>63.2</v>
          </cell>
          <cell r="BU89">
            <v>10.5</v>
          </cell>
          <cell r="BV89">
            <v>0</v>
          </cell>
          <cell r="BW89">
            <v>3.2</v>
          </cell>
          <cell r="BX89">
            <v>0.8</v>
          </cell>
          <cell r="BY89">
            <v>0.5</v>
          </cell>
        </row>
        <row r="90">
          <cell r="BH90" t="str">
            <v>BMP-310</v>
          </cell>
          <cell r="BI90">
            <v>9</v>
          </cell>
          <cell r="BJ90" t="str">
            <v>BMP-3</v>
          </cell>
          <cell r="BK90" t="str">
            <v>高</v>
          </cell>
          <cell r="BL90">
            <v>10</v>
          </cell>
          <cell r="BM90">
            <v>2577</v>
          </cell>
          <cell r="BN90">
            <v>133</v>
          </cell>
          <cell r="BO90">
            <v>907</v>
          </cell>
          <cell r="BP90">
            <v>635</v>
          </cell>
          <cell r="BQ90">
            <v>753</v>
          </cell>
          <cell r="BR90">
            <v>235</v>
          </cell>
          <cell r="BS90">
            <v>54.6</v>
          </cell>
          <cell r="BT90">
            <v>64.400000000000006</v>
          </cell>
          <cell r="BU90">
            <v>10.5</v>
          </cell>
          <cell r="BV90">
            <v>0</v>
          </cell>
          <cell r="BW90">
            <v>3.1</v>
          </cell>
          <cell r="BX90">
            <v>0.8</v>
          </cell>
          <cell r="BY90">
            <v>0.49</v>
          </cell>
        </row>
        <row r="91">
          <cell r="BH91" t="str">
            <v>BMP-311</v>
          </cell>
          <cell r="BI91">
            <v>9</v>
          </cell>
          <cell r="BJ91" t="str">
            <v>BMP-3</v>
          </cell>
          <cell r="BK91" t="str">
            <v>高</v>
          </cell>
          <cell r="BL91">
            <v>11</v>
          </cell>
          <cell r="BM91">
            <v>2656</v>
          </cell>
          <cell r="BN91">
            <v>136</v>
          </cell>
          <cell r="BO91">
            <v>932</v>
          </cell>
          <cell r="BP91">
            <v>653</v>
          </cell>
          <cell r="BQ91">
            <v>768</v>
          </cell>
          <cell r="BR91">
            <v>242</v>
          </cell>
          <cell r="BS91">
            <v>55.6</v>
          </cell>
          <cell r="BT91">
            <v>65.599999999999994</v>
          </cell>
          <cell r="BU91">
            <v>10.5</v>
          </cell>
          <cell r="BV91">
            <v>0</v>
          </cell>
          <cell r="BW91">
            <v>3</v>
          </cell>
          <cell r="BX91">
            <v>0.8</v>
          </cell>
          <cell r="BY91">
            <v>0.48</v>
          </cell>
        </row>
        <row r="92">
          <cell r="BH92" t="str">
            <v>59式0</v>
          </cell>
          <cell r="BI92">
            <v>10</v>
          </cell>
          <cell r="BJ92" t="str">
            <v>59式</v>
          </cell>
          <cell r="BK92" t="str">
            <v>低</v>
          </cell>
          <cell r="BL92">
            <v>0</v>
          </cell>
          <cell r="BM92">
            <v>2126</v>
          </cell>
          <cell r="BN92">
            <v>141</v>
          </cell>
          <cell r="BO92">
            <v>828</v>
          </cell>
          <cell r="BP92">
            <v>580</v>
          </cell>
          <cell r="BQ92">
            <v>756</v>
          </cell>
          <cell r="BR92">
            <v>202</v>
          </cell>
          <cell r="BS92">
            <v>37.700000000000003</v>
          </cell>
          <cell r="BT92">
            <v>56.3</v>
          </cell>
          <cell r="BU92">
            <v>9.5</v>
          </cell>
          <cell r="BV92">
            <v>0</v>
          </cell>
          <cell r="BW92">
            <v>6.3</v>
          </cell>
          <cell r="BX92">
            <v>0.8</v>
          </cell>
          <cell r="BY92">
            <v>0.52</v>
          </cell>
        </row>
        <row r="93">
          <cell r="BH93" t="str">
            <v>59式1</v>
          </cell>
          <cell r="BI93">
            <v>10</v>
          </cell>
          <cell r="BJ93" t="str">
            <v>59式</v>
          </cell>
          <cell r="BK93" t="str">
            <v>低</v>
          </cell>
          <cell r="BL93">
            <v>1</v>
          </cell>
          <cell r="BM93">
            <v>2195</v>
          </cell>
          <cell r="BN93">
            <v>143</v>
          </cell>
          <cell r="BO93">
            <v>851</v>
          </cell>
          <cell r="BP93">
            <v>596</v>
          </cell>
          <cell r="BQ93">
            <v>769</v>
          </cell>
          <cell r="BR93">
            <v>209</v>
          </cell>
          <cell r="BS93">
            <v>38.4</v>
          </cell>
          <cell r="BT93">
            <v>57.4</v>
          </cell>
          <cell r="BU93">
            <v>9.5</v>
          </cell>
          <cell r="BV93">
            <v>0</v>
          </cell>
          <cell r="BW93">
            <v>6.1</v>
          </cell>
          <cell r="BX93">
            <v>0.8</v>
          </cell>
          <cell r="BY93">
            <v>0.51</v>
          </cell>
        </row>
        <row r="94">
          <cell r="BH94" t="str">
            <v>59式2</v>
          </cell>
          <cell r="BI94">
            <v>10</v>
          </cell>
          <cell r="BJ94" t="str">
            <v>59式</v>
          </cell>
          <cell r="BK94" t="str">
            <v>低</v>
          </cell>
          <cell r="BL94">
            <v>2</v>
          </cell>
          <cell r="BM94">
            <v>2264</v>
          </cell>
          <cell r="BN94">
            <v>146</v>
          </cell>
          <cell r="BO94">
            <v>874</v>
          </cell>
          <cell r="BP94">
            <v>612</v>
          </cell>
          <cell r="BQ94">
            <v>782</v>
          </cell>
          <cell r="BR94">
            <v>216</v>
          </cell>
          <cell r="BS94">
            <v>39.200000000000003</v>
          </cell>
          <cell r="BT94">
            <v>58.5</v>
          </cell>
          <cell r="BU94">
            <v>9.5</v>
          </cell>
          <cell r="BV94">
            <v>0</v>
          </cell>
          <cell r="BW94">
            <v>6</v>
          </cell>
          <cell r="BX94">
            <v>0.8</v>
          </cell>
          <cell r="BY94">
            <v>0.5</v>
          </cell>
        </row>
        <row r="95">
          <cell r="BH95" t="str">
            <v>59式3</v>
          </cell>
          <cell r="BI95">
            <v>10</v>
          </cell>
          <cell r="BJ95" t="str">
            <v>59式</v>
          </cell>
          <cell r="BK95" t="str">
            <v>低</v>
          </cell>
          <cell r="BL95">
            <v>3</v>
          </cell>
          <cell r="BM95">
            <v>2333</v>
          </cell>
          <cell r="BN95">
            <v>148</v>
          </cell>
          <cell r="BO95">
            <v>896</v>
          </cell>
          <cell r="BP95">
            <v>628</v>
          </cell>
          <cell r="BQ95">
            <v>795</v>
          </cell>
          <cell r="BR95">
            <v>223</v>
          </cell>
          <cell r="BS95">
            <v>39.9</v>
          </cell>
          <cell r="BT95">
            <v>59.5</v>
          </cell>
          <cell r="BU95">
            <v>9.5</v>
          </cell>
          <cell r="BV95">
            <v>0</v>
          </cell>
          <cell r="BW95">
            <v>5.8</v>
          </cell>
          <cell r="BX95">
            <v>0.8</v>
          </cell>
          <cell r="BY95">
            <v>0.5</v>
          </cell>
        </row>
        <row r="96">
          <cell r="BH96" t="str">
            <v>59式4</v>
          </cell>
          <cell r="BI96">
            <v>10</v>
          </cell>
          <cell r="BJ96" t="str">
            <v>59式</v>
          </cell>
          <cell r="BK96" t="str">
            <v>低</v>
          </cell>
          <cell r="BL96">
            <v>4</v>
          </cell>
          <cell r="BM96">
            <v>2403</v>
          </cell>
          <cell r="BN96">
            <v>150</v>
          </cell>
          <cell r="BO96">
            <v>919</v>
          </cell>
          <cell r="BP96">
            <v>644</v>
          </cell>
          <cell r="BQ96">
            <v>808</v>
          </cell>
          <cell r="BR96">
            <v>230</v>
          </cell>
          <cell r="BS96">
            <v>40.6</v>
          </cell>
          <cell r="BT96">
            <v>60.6</v>
          </cell>
          <cell r="BU96">
            <v>9.5</v>
          </cell>
          <cell r="BV96">
            <v>0</v>
          </cell>
          <cell r="BW96">
            <v>5.7</v>
          </cell>
          <cell r="BX96">
            <v>0.8</v>
          </cell>
          <cell r="BY96">
            <v>0.49</v>
          </cell>
        </row>
        <row r="97">
          <cell r="BH97" t="str">
            <v>59式5</v>
          </cell>
          <cell r="BI97">
            <v>10</v>
          </cell>
          <cell r="BJ97" t="str">
            <v>59式</v>
          </cell>
          <cell r="BK97" t="str">
            <v>低</v>
          </cell>
          <cell r="BL97">
            <v>5</v>
          </cell>
          <cell r="BM97">
            <v>2472</v>
          </cell>
          <cell r="BN97">
            <v>153</v>
          </cell>
          <cell r="BO97">
            <v>942</v>
          </cell>
          <cell r="BP97">
            <v>660</v>
          </cell>
          <cell r="BQ97">
            <v>821</v>
          </cell>
          <cell r="BR97">
            <v>237</v>
          </cell>
          <cell r="BS97">
            <v>41.3</v>
          </cell>
          <cell r="BT97">
            <v>61.7</v>
          </cell>
          <cell r="BU97">
            <v>9.5</v>
          </cell>
          <cell r="BV97">
            <v>0</v>
          </cell>
          <cell r="BW97">
            <v>5.5</v>
          </cell>
          <cell r="BX97">
            <v>0.8</v>
          </cell>
          <cell r="BY97">
            <v>0.48</v>
          </cell>
        </row>
        <row r="98">
          <cell r="BH98" t="str">
            <v>59式6</v>
          </cell>
          <cell r="BI98">
            <v>10</v>
          </cell>
          <cell r="BJ98" t="str">
            <v>59式</v>
          </cell>
          <cell r="BK98" t="str">
            <v>低</v>
          </cell>
          <cell r="BL98">
            <v>6</v>
          </cell>
          <cell r="BM98">
            <v>2541</v>
          </cell>
          <cell r="BN98">
            <v>155</v>
          </cell>
          <cell r="BO98">
            <v>965</v>
          </cell>
          <cell r="BP98">
            <v>676</v>
          </cell>
          <cell r="BQ98">
            <v>834</v>
          </cell>
          <cell r="BR98">
            <v>244</v>
          </cell>
          <cell r="BS98">
            <v>42.1</v>
          </cell>
          <cell r="BT98">
            <v>62.8</v>
          </cell>
          <cell r="BU98">
            <v>9.5</v>
          </cell>
          <cell r="BV98">
            <v>0</v>
          </cell>
          <cell r="BW98">
            <v>5.4</v>
          </cell>
          <cell r="BX98">
            <v>0.8</v>
          </cell>
          <cell r="BY98">
            <v>0.48</v>
          </cell>
        </row>
        <row r="99">
          <cell r="BH99" t="str">
            <v>59式7</v>
          </cell>
          <cell r="BI99">
            <v>10</v>
          </cell>
          <cell r="BJ99" t="str">
            <v>59式</v>
          </cell>
          <cell r="BK99" t="str">
            <v>低</v>
          </cell>
          <cell r="BL99">
            <v>7</v>
          </cell>
          <cell r="BM99">
            <v>2610</v>
          </cell>
          <cell r="BN99">
            <v>158</v>
          </cell>
          <cell r="BO99">
            <v>988</v>
          </cell>
          <cell r="BP99">
            <v>692</v>
          </cell>
          <cell r="BQ99">
            <v>847</v>
          </cell>
          <cell r="BR99">
            <v>250</v>
          </cell>
          <cell r="BS99">
            <v>42.8</v>
          </cell>
          <cell r="BT99">
            <v>63.9</v>
          </cell>
          <cell r="BU99">
            <v>9.5</v>
          </cell>
          <cell r="BV99">
            <v>0</v>
          </cell>
          <cell r="BW99">
            <v>5.2</v>
          </cell>
          <cell r="BX99">
            <v>0.8</v>
          </cell>
          <cell r="BY99">
            <v>0.47</v>
          </cell>
        </row>
        <row r="100">
          <cell r="BH100" t="str">
            <v>59式8</v>
          </cell>
          <cell r="BI100">
            <v>10</v>
          </cell>
          <cell r="BJ100" t="str">
            <v>59式</v>
          </cell>
          <cell r="BK100" t="str">
            <v>低</v>
          </cell>
          <cell r="BL100">
            <v>8</v>
          </cell>
          <cell r="BM100">
            <v>2680</v>
          </cell>
          <cell r="BN100">
            <v>160</v>
          </cell>
          <cell r="BO100">
            <v>1011</v>
          </cell>
          <cell r="BP100">
            <v>708</v>
          </cell>
          <cell r="BQ100">
            <v>860</v>
          </cell>
          <cell r="BR100">
            <v>257</v>
          </cell>
          <cell r="BS100">
            <v>43.5</v>
          </cell>
          <cell r="BT100">
            <v>65</v>
          </cell>
          <cell r="BU100">
            <v>9.5</v>
          </cell>
          <cell r="BV100">
            <v>0</v>
          </cell>
          <cell r="BW100">
            <v>5.0999999999999996</v>
          </cell>
          <cell r="BX100">
            <v>0.8</v>
          </cell>
          <cell r="BY100">
            <v>0.46</v>
          </cell>
        </row>
        <row r="101">
          <cell r="BH101" t="str">
            <v>59式9</v>
          </cell>
          <cell r="BI101">
            <v>10</v>
          </cell>
          <cell r="BJ101" t="str">
            <v>59式</v>
          </cell>
          <cell r="BK101" t="str">
            <v>低</v>
          </cell>
          <cell r="BL101">
            <v>9</v>
          </cell>
          <cell r="BM101">
            <v>2749</v>
          </cell>
          <cell r="BN101">
            <v>163</v>
          </cell>
          <cell r="BO101">
            <v>1033</v>
          </cell>
          <cell r="BP101">
            <v>724</v>
          </cell>
          <cell r="BQ101">
            <v>873</v>
          </cell>
          <cell r="BR101">
            <v>264</v>
          </cell>
          <cell r="BS101">
            <v>44.2</v>
          </cell>
          <cell r="BT101">
            <v>66</v>
          </cell>
          <cell r="BU101">
            <v>9.5</v>
          </cell>
          <cell r="BV101">
            <v>0</v>
          </cell>
          <cell r="BW101">
            <v>4.9000000000000004</v>
          </cell>
          <cell r="BX101">
            <v>0.8</v>
          </cell>
          <cell r="BY101">
            <v>0.46</v>
          </cell>
        </row>
        <row r="102">
          <cell r="BH102" t="str">
            <v>59式10</v>
          </cell>
          <cell r="BI102">
            <v>10</v>
          </cell>
          <cell r="BJ102" t="str">
            <v>59式</v>
          </cell>
          <cell r="BK102" t="str">
            <v>低</v>
          </cell>
          <cell r="BL102">
            <v>10</v>
          </cell>
          <cell r="BM102">
            <v>2818</v>
          </cell>
          <cell r="BN102">
            <v>165</v>
          </cell>
          <cell r="BO102">
            <v>1056</v>
          </cell>
          <cell r="BP102">
            <v>740</v>
          </cell>
          <cell r="BQ102">
            <v>886</v>
          </cell>
          <cell r="BR102">
            <v>271</v>
          </cell>
          <cell r="BS102">
            <v>45</v>
          </cell>
          <cell r="BT102">
            <v>67.099999999999994</v>
          </cell>
          <cell r="BU102">
            <v>9.5</v>
          </cell>
          <cell r="BV102">
            <v>0</v>
          </cell>
          <cell r="BW102">
            <v>4.8</v>
          </cell>
          <cell r="BX102">
            <v>0.8</v>
          </cell>
          <cell r="BY102">
            <v>0.45</v>
          </cell>
        </row>
        <row r="103">
          <cell r="BH103" t="str">
            <v>59式11</v>
          </cell>
          <cell r="BI103">
            <v>10</v>
          </cell>
          <cell r="BJ103" t="str">
            <v>59式</v>
          </cell>
          <cell r="BK103" t="str">
            <v>低</v>
          </cell>
          <cell r="BL103">
            <v>11</v>
          </cell>
          <cell r="BM103">
            <v>2887</v>
          </cell>
          <cell r="BN103">
            <v>167</v>
          </cell>
          <cell r="BO103">
            <v>1079</v>
          </cell>
          <cell r="BP103">
            <v>756</v>
          </cell>
          <cell r="BQ103">
            <v>899</v>
          </cell>
          <cell r="BR103">
            <v>278</v>
          </cell>
          <cell r="BS103">
            <v>45.7</v>
          </cell>
          <cell r="BT103">
            <v>68.2</v>
          </cell>
          <cell r="BU103">
            <v>9.5</v>
          </cell>
          <cell r="BV103">
            <v>0</v>
          </cell>
          <cell r="BW103">
            <v>4.5999999999999996</v>
          </cell>
          <cell r="BX103">
            <v>0.8</v>
          </cell>
          <cell r="BY103">
            <v>0.44</v>
          </cell>
        </row>
        <row r="104">
          <cell r="BH104" t="str">
            <v>59式12</v>
          </cell>
          <cell r="BI104">
            <v>10</v>
          </cell>
          <cell r="BJ104" t="str">
            <v>59式</v>
          </cell>
          <cell r="BK104" t="str">
            <v>低</v>
          </cell>
          <cell r="BL104">
            <v>12</v>
          </cell>
          <cell r="BM104">
            <v>2957</v>
          </cell>
          <cell r="BN104">
            <v>170</v>
          </cell>
          <cell r="BO104">
            <v>1102</v>
          </cell>
          <cell r="BP104">
            <v>772</v>
          </cell>
          <cell r="BQ104">
            <v>912</v>
          </cell>
          <cell r="BR104">
            <v>285</v>
          </cell>
          <cell r="BS104">
            <v>46.4</v>
          </cell>
          <cell r="BT104">
            <v>69.3</v>
          </cell>
          <cell r="BU104">
            <v>9.5</v>
          </cell>
          <cell r="BV104">
            <v>0</v>
          </cell>
          <cell r="BW104">
            <v>4.5</v>
          </cell>
          <cell r="BX104">
            <v>0.8</v>
          </cell>
          <cell r="BY104">
            <v>0.44</v>
          </cell>
        </row>
        <row r="105">
          <cell r="BH105" t="str">
            <v>59式13</v>
          </cell>
          <cell r="BI105">
            <v>10</v>
          </cell>
          <cell r="BJ105" t="str">
            <v>59式</v>
          </cell>
          <cell r="BK105" t="str">
            <v>低</v>
          </cell>
          <cell r="BL105">
            <v>13</v>
          </cell>
          <cell r="BM105">
            <v>3026</v>
          </cell>
          <cell r="BN105">
            <v>172</v>
          </cell>
          <cell r="BO105">
            <v>1125</v>
          </cell>
          <cell r="BP105">
            <v>788</v>
          </cell>
          <cell r="BQ105">
            <v>926</v>
          </cell>
          <cell r="BR105">
            <v>292</v>
          </cell>
          <cell r="BS105">
            <v>47.1</v>
          </cell>
          <cell r="BT105">
            <v>70.400000000000006</v>
          </cell>
          <cell r="BU105">
            <v>9.5</v>
          </cell>
          <cell r="BV105">
            <v>0</v>
          </cell>
          <cell r="BW105">
            <v>4.3</v>
          </cell>
          <cell r="BX105">
            <v>0.8</v>
          </cell>
          <cell r="BY105">
            <v>0.43</v>
          </cell>
        </row>
        <row r="106">
          <cell r="BH106" t="str">
            <v>Stuart0</v>
          </cell>
          <cell r="BI106">
            <v>11</v>
          </cell>
          <cell r="BJ106" t="str">
            <v>Stuart</v>
          </cell>
          <cell r="BK106" t="str">
            <v>低</v>
          </cell>
          <cell r="BL106">
            <v>0</v>
          </cell>
          <cell r="BM106">
            <v>560</v>
          </cell>
          <cell r="BN106">
            <v>118</v>
          </cell>
          <cell r="BO106">
            <v>329</v>
          </cell>
          <cell r="BP106">
            <v>246</v>
          </cell>
          <cell r="BQ106">
            <v>360</v>
          </cell>
          <cell r="BR106">
            <v>86</v>
          </cell>
          <cell r="BS106">
            <v>44.5</v>
          </cell>
          <cell r="BT106">
            <v>40</v>
          </cell>
          <cell r="BU106">
            <v>8</v>
          </cell>
          <cell r="BV106">
            <v>0</v>
          </cell>
          <cell r="BW106">
            <v>3.2</v>
          </cell>
          <cell r="BX106">
            <v>0.3</v>
          </cell>
          <cell r="BY106">
            <v>1</v>
          </cell>
        </row>
        <row r="107">
          <cell r="BH107" t="str">
            <v>Stuart1</v>
          </cell>
          <cell r="BI107">
            <v>11</v>
          </cell>
          <cell r="BJ107" t="str">
            <v>Stuart</v>
          </cell>
          <cell r="BK107" t="str">
            <v>低</v>
          </cell>
          <cell r="BL107">
            <v>1</v>
          </cell>
          <cell r="BM107">
            <v>646</v>
          </cell>
          <cell r="BN107">
            <v>123</v>
          </cell>
          <cell r="BO107">
            <v>346</v>
          </cell>
          <cell r="BP107">
            <v>259</v>
          </cell>
          <cell r="BQ107">
            <v>375</v>
          </cell>
          <cell r="BR107">
            <v>91</v>
          </cell>
          <cell r="BS107">
            <v>46.7</v>
          </cell>
          <cell r="BT107">
            <v>42</v>
          </cell>
          <cell r="BU107">
            <v>8</v>
          </cell>
          <cell r="BV107">
            <v>0</v>
          </cell>
          <cell r="BW107">
            <v>3.1</v>
          </cell>
          <cell r="BX107">
            <v>0.3</v>
          </cell>
          <cell r="BY107">
            <v>0.97</v>
          </cell>
        </row>
        <row r="108">
          <cell r="BH108" t="str">
            <v>Stuart2</v>
          </cell>
          <cell r="BI108">
            <v>11</v>
          </cell>
          <cell r="BJ108" t="str">
            <v>Stuart</v>
          </cell>
          <cell r="BK108" t="str">
            <v>低</v>
          </cell>
          <cell r="BL108">
            <v>2</v>
          </cell>
          <cell r="BM108">
            <v>733</v>
          </cell>
          <cell r="BN108">
            <v>128</v>
          </cell>
          <cell r="BO108">
            <v>363</v>
          </cell>
          <cell r="BP108">
            <v>272</v>
          </cell>
          <cell r="BQ108">
            <v>390</v>
          </cell>
          <cell r="BR108">
            <v>96</v>
          </cell>
          <cell r="BS108">
            <v>49</v>
          </cell>
          <cell r="BT108">
            <v>44</v>
          </cell>
          <cell r="BU108">
            <v>8</v>
          </cell>
          <cell r="BV108">
            <v>0</v>
          </cell>
          <cell r="BW108">
            <v>3</v>
          </cell>
          <cell r="BX108">
            <v>0.3</v>
          </cell>
          <cell r="BY108">
            <v>0.93</v>
          </cell>
        </row>
        <row r="109">
          <cell r="BH109" t="str">
            <v>Stuart3</v>
          </cell>
          <cell r="BI109">
            <v>11</v>
          </cell>
          <cell r="BJ109" t="str">
            <v>Stuart</v>
          </cell>
          <cell r="BK109" t="str">
            <v>低</v>
          </cell>
          <cell r="BL109">
            <v>3</v>
          </cell>
          <cell r="BM109">
            <v>820</v>
          </cell>
          <cell r="BN109">
            <v>133</v>
          </cell>
          <cell r="BO109">
            <v>381</v>
          </cell>
          <cell r="BP109">
            <v>285</v>
          </cell>
          <cell r="BQ109">
            <v>405</v>
          </cell>
          <cell r="BR109">
            <v>102</v>
          </cell>
          <cell r="BS109">
            <v>51.2</v>
          </cell>
          <cell r="BT109">
            <v>46</v>
          </cell>
          <cell r="BU109">
            <v>8</v>
          </cell>
          <cell r="BV109">
            <v>0</v>
          </cell>
          <cell r="BW109">
            <v>2.9</v>
          </cell>
          <cell r="BX109">
            <v>0.3</v>
          </cell>
          <cell r="BY109">
            <v>0.9</v>
          </cell>
        </row>
        <row r="110">
          <cell r="BH110" t="str">
            <v>Stuart4</v>
          </cell>
          <cell r="BI110">
            <v>11</v>
          </cell>
          <cell r="BJ110" t="str">
            <v>Stuart</v>
          </cell>
          <cell r="BK110" t="str">
            <v>低</v>
          </cell>
          <cell r="BL110">
            <v>4</v>
          </cell>
          <cell r="BM110">
            <v>906</v>
          </cell>
          <cell r="BN110">
            <v>138</v>
          </cell>
          <cell r="BO110">
            <v>398</v>
          </cell>
          <cell r="BP110">
            <v>298</v>
          </cell>
          <cell r="BQ110">
            <v>420</v>
          </cell>
          <cell r="BR110">
            <v>107</v>
          </cell>
          <cell r="BS110">
            <v>53.4</v>
          </cell>
          <cell r="BT110">
            <v>48</v>
          </cell>
          <cell r="BU110">
            <v>8</v>
          </cell>
          <cell r="BV110">
            <v>0</v>
          </cell>
          <cell r="BW110">
            <v>2.7</v>
          </cell>
          <cell r="BX110">
            <v>0.3</v>
          </cell>
          <cell r="BY110">
            <v>0.87</v>
          </cell>
        </row>
        <row r="111">
          <cell r="BH111" t="str">
            <v>Stuart5</v>
          </cell>
          <cell r="BI111">
            <v>11</v>
          </cell>
          <cell r="BJ111" t="str">
            <v>Stuart</v>
          </cell>
          <cell r="BK111" t="str">
            <v>低</v>
          </cell>
          <cell r="BL111">
            <v>5</v>
          </cell>
          <cell r="BM111">
            <v>993</v>
          </cell>
          <cell r="BN111">
            <v>143</v>
          </cell>
          <cell r="BO111">
            <v>415</v>
          </cell>
          <cell r="BP111">
            <v>311</v>
          </cell>
          <cell r="BQ111">
            <v>436</v>
          </cell>
          <cell r="BR111">
            <v>112</v>
          </cell>
          <cell r="BS111">
            <v>55.6</v>
          </cell>
          <cell r="BT111">
            <v>50</v>
          </cell>
          <cell r="BU111">
            <v>8</v>
          </cell>
          <cell r="BV111">
            <v>0</v>
          </cell>
          <cell r="BW111">
            <v>2.6</v>
          </cell>
          <cell r="BX111">
            <v>0.3</v>
          </cell>
          <cell r="BY111">
            <v>0.83</v>
          </cell>
        </row>
        <row r="112">
          <cell r="BH112" t="str">
            <v>T-340</v>
          </cell>
          <cell r="BI112">
            <v>12</v>
          </cell>
          <cell r="BJ112" t="str">
            <v>T-34</v>
          </cell>
          <cell r="BK112" t="str">
            <v>低</v>
          </cell>
          <cell r="BL112">
            <v>0</v>
          </cell>
          <cell r="BM112">
            <v>945</v>
          </cell>
          <cell r="BN112">
            <v>132</v>
          </cell>
          <cell r="BO112">
            <v>394</v>
          </cell>
          <cell r="BP112">
            <v>296</v>
          </cell>
          <cell r="BQ112">
            <v>432</v>
          </cell>
          <cell r="BR112">
            <v>104</v>
          </cell>
          <cell r="BS112">
            <v>44.5</v>
          </cell>
          <cell r="BT112">
            <v>40</v>
          </cell>
          <cell r="BU112">
            <v>8</v>
          </cell>
          <cell r="BV112">
            <v>0</v>
          </cell>
          <cell r="BW112">
            <v>3.2</v>
          </cell>
          <cell r="BX112">
            <v>0.32</v>
          </cell>
          <cell r="BY112">
            <v>1.01</v>
          </cell>
        </row>
        <row r="113">
          <cell r="BH113" t="str">
            <v>T-341</v>
          </cell>
          <cell r="BI113">
            <v>12</v>
          </cell>
          <cell r="BJ113" t="str">
            <v>T-34</v>
          </cell>
          <cell r="BK113" t="str">
            <v>低</v>
          </cell>
          <cell r="BL113">
            <v>1</v>
          </cell>
          <cell r="BM113">
            <v>1007</v>
          </cell>
          <cell r="BN113">
            <v>137</v>
          </cell>
          <cell r="BO113">
            <v>414</v>
          </cell>
          <cell r="BP113">
            <v>311</v>
          </cell>
          <cell r="BQ113">
            <v>449</v>
          </cell>
          <cell r="BR113">
            <v>110</v>
          </cell>
          <cell r="BS113">
            <v>46.1</v>
          </cell>
          <cell r="BT113">
            <v>41.4</v>
          </cell>
          <cell r="BU113">
            <v>8</v>
          </cell>
          <cell r="BV113">
            <v>0</v>
          </cell>
          <cell r="BW113">
            <v>3.1</v>
          </cell>
          <cell r="BX113">
            <v>0.42</v>
          </cell>
          <cell r="BY113">
            <v>0.99</v>
          </cell>
        </row>
        <row r="114">
          <cell r="BH114" t="str">
            <v>T-342</v>
          </cell>
          <cell r="BI114">
            <v>12</v>
          </cell>
          <cell r="BJ114" t="str">
            <v>T-34</v>
          </cell>
          <cell r="BK114" t="str">
            <v>低</v>
          </cell>
          <cell r="BL114">
            <v>2</v>
          </cell>
          <cell r="BM114">
            <v>1070</v>
          </cell>
          <cell r="BN114">
            <v>142</v>
          </cell>
          <cell r="BO114">
            <v>435</v>
          </cell>
          <cell r="BP114">
            <v>326</v>
          </cell>
          <cell r="BQ114">
            <v>465</v>
          </cell>
          <cell r="BR114">
            <v>116</v>
          </cell>
          <cell r="BS114">
            <v>47.7</v>
          </cell>
          <cell r="BT114">
            <v>42.9</v>
          </cell>
          <cell r="BU114">
            <v>8</v>
          </cell>
          <cell r="BV114">
            <v>0</v>
          </cell>
          <cell r="BW114">
            <v>3</v>
          </cell>
          <cell r="BX114">
            <v>0.51</v>
          </cell>
          <cell r="BY114">
            <v>0.96</v>
          </cell>
        </row>
        <row r="115">
          <cell r="BH115" t="str">
            <v>T-343</v>
          </cell>
          <cell r="BI115">
            <v>12</v>
          </cell>
          <cell r="BJ115" t="str">
            <v>T-34</v>
          </cell>
          <cell r="BK115" t="str">
            <v>低</v>
          </cell>
          <cell r="BL115">
            <v>3</v>
          </cell>
          <cell r="BM115">
            <v>1132</v>
          </cell>
          <cell r="BN115">
            <v>147</v>
          </cell>
          <cell r="BO115">
            <v>455</v>
          </cell>
          <cell r="BP115">
            <v>341</v>
          </cell>
          <cell r="BQ115">
            <v>482</v>
          </cell>
          <cell r="BR115">
            <v>122</v>
          </cell>
          <cell r="BS115">
            <v>49.3</v>
          </cell>
          <cell r="BT115">
            <v>44.3</v>
          </cell>
          <cell r="BU115">
            <v>8</v>
          </cell>
          <cell r="BV115">
            <v>0</v>
          </cell>
          <cell r="BW115">
            <v>3</v>
          </cell>
          <cell r="BX115">
            <v>0.61</v>
          </cell>
          <cell r="BY115">
            <v>0.94</v>
          </cell>
        </row>
        <row r="116">
          <cell r="BH116" t="str">
            <v>T-344</v>
          </cell>
          <cell r="BI116">
            <v>12</v>
          </cell>
          <cell r="BJ116" t="str">
            <v>T-34</v>
          </cell>
          <cell r="BK116" t="str">
            <v>低</v>
          </cell>
          <cell r="BL116">
            <v>4</v>
          </cell>
          <cell r="BM116">
            <v>1194</v>
          </cell>
          <cell r="BN116">
            <v>152</v>
          </cell>
          <cell r="BO116">
            <v>475</v>
          </cell>
          <cell r="BP116">
            <v>356</v>
          </cell>
          <cell r="BQ116">
            <v>499</v>
          </cell>
          <cell r="BR116">
            <v>129</v>
          </cell>
          <cell r="BS116">
            <v>50.9</v>
          </cell>
          <cell r="BT116">
            <v>45.7</v>
          </cell>
          <cell r="BU116">
            <v>8</v>
          </cell>
          <cell r="BV116">
            <v>0</v>
          </cell>
          <cell r="BW116">
            <v>2.9</v>
          </cell>
          <cell r="BX116">
            <v>0.71</v>
          </cell>
          <cell r="BY116">
            <v>0.91</v>
          </cell>
        </row>
        <row r="117">
          <cell r="BH117" t="str">
            <v>T-345</v>
          </cell>
          <cell r="BI117">
            <v>12</v>
          </cell>
          <cell r="BJ117" t="str">
            <v>T-34</v>
          </cell>
          <cell r="BK117" t="str">
            <v>低</v>
          </cell>
          <cell r="BL117">
            <v>5</v>
          </cell>
          <cell r="BM117">
            <v>1257</v>
          </cell>
          <cell r="BN117">
            <v>157</v>
          </cell>
          <cell r="BO117">
            <v>495</v>
          </cell>
          <cell r="BP117">
            <v>372</v>
          </cell>
          <cell r="BQ117">
            <v>516</v>
          </cell>
          <cell r="BR117">
            <v>135</v>
          </cell>
          <cell r="BS117">
            <v>52.4</v>
          </cell>
          <cell r="BT117">
            <v>47.1</v>
          </cell>
          <cell r="BU117">
            <v>8</v>
          </cell>
          <cell r="BV117">
            <v>0</v>
          </cell>
          <cell r="BW117">
            <v>2.8</v>
          </cell>
          <cell r="BX117">
            <v>0.81</v>
          </cell>
          <cell r="BY117">
            <v>0.89</v>
          </cell>
        </row>
        <row r="118">
          <cell r="BH118" t="str">
            <v>T-346</v>
          </cell>
          <cell r="BI118">
            <v>12</v>
          </cell>
          <cell r="BJ118" t="str">
            <v>T-34</v>
          </cell>
          <cell r="BK118" t="str">
            <v>低</v>
          </cell>
          <cell r="BL118">
            <v>6</v>
          </cell>
          <cell r="BM118">
            <v>1319</v>
          </cell>
          <cell r="BN118">
            <v>162</v>
          </cell>
          <cell r="BO118">
            <v>516</v>
          </cell>
          <cell r="BP118">
            <v>387</v>
          </cell>
          <cell r="BQ118">
            <v>532</v>
          </cell>
          <cell r="BR118">
            <v>141</v>
          </cell>
          <cell r="BS118">
            <v>54</v>
          </cell>
          <cell r="BT118">
            <v>48.6</v>
          </cell>
          <cell r="BU118">
            <v>8</v>
          </cell>
          <cell r="BV118">
            <v>0</v>
          </cell>
          <cell r="BW118">
            <v>2.7</v>
          </cell>
          <cell r="BX118">
            <v>0.9</v>
          </cell>
          <cell r="BY118">
            <v>0.87</v>
          </cell>
        </row>
        <row r="119">
          <cell r="BH119" t="str">
            <v>T-347</v>
          </cell>
          <cell r="BI119">
            <v>12</v>
          </cell>
          <cell r="BJ119" t="str">
            <v>T-34</v>
          </cell>
          <cell r="BK119" t="str">
            <v>低</v>
          </cell>
          <cell r="BL119">
            <v>7</v>
          </cell>
          <cell r="BM119">
            <v>1381</v>
          </cell>
          <cell r="BN119">
            <v>167</v>
          </cell>
          <cell r="BO119">
            <v>536</v>
          </cell>
          <cell r="BP119">
            <v>402</v>
          </cell>
          <cell r="BQ119">
            <v>549</v>
          </cell>
          <cell r="BR119">
            <v>147</v>
          </cell>
          <cell r="BS119">
            <v>55.6</v>
          </cell>
          <cell r="BT119">
            <v>50</v>
          </cell>
          <cell r="BU119">
            <v>8</v>
          </cell>
          <cell r="BV119">
            <v>0</v>
          </cell>
          <cell r="BW119">
            <v>2.6</v>
          </cell>
          <cell r="BX119">
            <v>1</v>
          </cell>
          <cell r="BY119">
            <v>0.84</v>
          </cell>
        </row>
        <row r="120">
          <cell r="BH120" t="str">
            <v>四号0</v>
          </cell>
          <cell r="BI120">
            <v>13</v>
          </cell>
          <cell r="BJ120" t="str">
            <v>四号</v>
          </cell>
          <cell r="BK120" t="str">
            <v>中</v>
          </cell>
          <cell r="BL120">
            <v>0</v>
          </cell>
          <cell r="BM120">
            <v>1007</v>
          </cell>
          <cell r="BN120">
            <v>133</v>
          </cell>
          <cell r="BO120">
            <v>401</v>
          </cell>
          <cell r="BP120">
            <v>301</v>
          </cell>
          <cell r="BQ120">
            <v>439</v>
          </cell>
          <cell r="BR120">
            <v>105</v>
          </cell>
          <cell r="BS120">
            <v>36.299999999999997</v>
          </cell>
          <cell r="BT120">
            <v>51</v>
          </cell>
          <cell r="BU120">
            <v>7.3</v>
          </cell>
          <cell r="BV120">
            <v>2.4</v>
          </cell>
          <cell r="BW120">
            <v>0</v>
          </cell>
          <cell r="BX120">
            <v>0.4</v>
          </cell>
          <cell r="BY120">
            <v>1.4</v>
          </cell>
        </row>
        <row r="121">
          <cell r="BH121" t="str">
            <v>四号1</v>
          </cell>
          <cell r="BI121">
            <v>13</v>
          </cell>
          <cell r="BJ121" t="str">
            <v>四号</v>
          </cell>
          <cell r="BK121" t="str">
            <v>中</v>
          </cell>
          <cell r="BL121">
            <v>1</v>
          </cell>
          <cell r="BM121">
            <v>1080</v>
          </cell>
          <cell r="BN121">
            <v>138</v>
          </cell>
          <cell r="BO121">
            <v>423</v>
          </cell>
          <cell r="BP121">
            <v>317</v>
          </cell>
          <cell r="BQ121">
            <v>457</v>
          </cell>
          <cell r="BR121">
            <v>112</v>
          </cell>
          <cell r="BS121">
            <v>37.6</v>
          </cell>
          <cell r="BT121">
            <v>52.8</v>
          </cell>
          <cell r="BU121">
            <v>7.3</v>
          </cell>
          <cell r="BV121">
            <v>2.35</v>
          </cell>
          <cell r="BW121">
            <v>0</v>
          </cell>
          <cell r="BX121">
            <v>0.4</v>
          </cell>
          <cell r="BY121">
            <v>1.37</v>
          </cell>
        </row>
        <row r="122">
          <cell r="BH122" t="str">
            <v>四号2</v>
          </cell>
          <cell r="BI122">
            <v>13</v>
          </cell>
          <cell r="BJ122" t="str">
            <v>四号</v>
          </cell>
          <cell r="BK122" t="str">
            <v>中</v>
          </cell>
          <cell r="BL122">
            <v>2</v>
          </cell>
          <cell r="BM122">
            <v>1152</v>
          </cell>
          <cell r="BN122">
            <v>144</v>
          </cell>
          <cell r="BO122">
            <v>444</v>
          </cell>
          <cell r="BP122">
            <v>334</v>
          </cell>
          <cell r="BQ122">
            <v>475</v>
          </cell>
          <cell r="BR122">
            <v>118</v>
          </cell>
          <cell r="BS122">
            <v>38.9</v>
          </cell>
          <cell r="BT122">
            <v>54.6</v>
          </cell>
          <cell r="BU122">
            <v>7.3</v>
          </cell>
          <cell r="BV122">
            <v>2.29</v>
          </cell>
          <cell r="BW122">
            <v>0</v>
          </cell>
          <cell r="BX122">
            <v>0.4</v>
          </cell>
          <cell r="BY122">
            <v>1.33</v>
          </cell>
        </row>
        <row r="123">
          <cell r="BH123" t="str">
            <v>四号3</v>
          </cell>
          <cell r="BI123">
            <v>13</v>
          </cell>
          <cell r="BJ123" t="str">
            <v>四号</v>
          </cell>
          <cell r="BK123" t="str">
            <v>中</v>
          </cell>
          <cell r="BL123">
            <v>3</v>
          </cell>
          <cell r="BM123">
            <v>1225</v>
          </cell>
          <cell r="BN123">
            <v>149</v>
          </cell>
          <cell r="BO123">
            <v>466</v>
          </cell>
          <cell r="BP123">
            <v>350</v>
          </cell>
          <cell r="BQ123">
            <v>493</v>
          </cell>
          <cell r="BR123">
            <v>125</v>
          </cell>
          <cell r="BS123">
            <v>40.200000000000003</v>
          </cell>
          <cell r="BT123">
            <v>56.5</v>
          </cell>
          <cell r="BU123">
            <v>7.3</v>
          </cell>
          <cell r="BV123">
            <v>2.2400000000000002</v>
          </cell>
          <cell r="BW123">
            <v>0</v>
          </cell>
          <cell r="BX123">
            <v>0.4</v>
          </cell>
          <cell r="BY123">
            <v>1.3</v>
          </cell>
        </row>
        <row r="124">
          <cell r="BH124" t="str">
            <v>四号4</v>
          </cell>
          <cell r="BI124">
            <v>13</v>
          </cell>
          <cell r="BJ124" t="str">
            <v>四号</v>
          </cell>
          <cell r="BK124" t="str">
            <v>中</v>
          </cell>
          <cell r="BL124">
            <v>4</v>
          </cell>
          <cell r="BM124">
            <v>1298</v>
          </cell>
          <cell r="BN124">
            <v>155</v>
          </cell>
          <cell r="BO124">
            <v>488</v>
          </cell>
          <cell r="BP124">
            <v>366</v>
          </cell>
          <cell r="BQ124">
            <v>511</v>
          </cell>
          <cell r="BR124">
            <v>132</v>
          </cell>
          <cell r="BS124">
            <v>41.5</v>
          </cell>
          <cell r="BT124">
            <v>58.3</v>
          </cell>
          <cell r="BU124">
            <v>7.3</v>
          </cell>
          <cell r="BV124">
            <v>2.1800000000000002</v>
          </cell>
          <cell r="BW124">
            <v>0</v>
          </cell>
          <cell r="BX124">
            <v>0.4</v>
          </cell>
          <cell r="BY124">
            <v>1.27</v>
          </cell>
        </row>
        <row r="125">
          <cell r="BH125" t="str">
            <v>四号5</v>
          </cell>
          <cell r="BI125">
            <v>13</v>
          </cell>
          <cell r="BJ125" t="str">
            <v>四号</v>
          </cell>
          <cell r="BK125" t="str">
            <v>中</v>
          </cell>
          <cell r="BL125">
            <v>5</v>
          </cell>
          <cell r="BM125">
            <v>1370</v>
          </cell>
          <cell r="BN125">
            <v>160</v>
          </cell>
          <cell r="BO125">
            <v>510</v>
          </cell>
          <cell r="BP125">
            <v>383</v>
          </cell>
          <cell r="BQ125">
            <v>530</v>
          </cell>
          <cell r="BR125">
            <v>139</v>
          </cell>
          <cell r="BS125">
            <v>42.8</v>
          </cell>
          <cell r="BT125">
            <v>60.1</v>
          </cell>
          <cell r="BU125">
            <v>7.3</v>
          </cell>
          <cell r="BV125">
            <v>2.13</v>
          </cell>
          <cell r="BW125">
            <v>0</v>
          </cell>
          <cell r="BX125">
            <v>0.4</v>
          </cell>
          <cell r="BY125">
            <v>1.23</v>
          </cell>
        </row>
        <row r="126">
          <cell r="BH126" t="str">
            <v>四号6</v>
          </cell>
          <cell r="BI126">
            <v>13</v>
          </cell>
          <cell r="BJ126" t="str">
            <v>四号</v>
          </cell>
          <cell r="BK126" t="str">
            <v>中</v>
          </cell>
          <cell r="BL126">
            <v>6</v>
          </cell>
          <cell r="BM126">
            <v>1443</v>
          </cell>
          <cell r="BN126">
            <v>165</v>
          </cell>
          <cell r="BO126">
            <v>531</v>
          </cell>
          <cell r="BP126">
            <v>399</v>
          </cell>
          <cell r="BQ126">
            <v>548</v>
          </cell>
          <cell r="BR126">
            <v>145</v>
          </cell>
          <cell r="BS126">
            <v>44.1</v>
          </cell>
          <cell r="BT126">
            <v>61.9</v>
          </cell>
          <cell r="BU126">
            <v>7.3</v>
          </cell>
          <cell r="BV126">
            <v>2.08</v>
          </cell>
          <cell r="BW126">
            <v>0</v>
          </cell>
          <cell r="BX126">
            <v>0.4</v>
          </cell>
          <cell r="BY126">
            <v>1.2</v>
          </cell>
        </row>
        <row r="127">
          <cell r="BH127" t="str">
            <v>四号7</v>
          </cell>
          <cell r="BI127">
            <v>13</v>
          </cell>
          <cell r="BJ127" t="str">
            <v>四号</v>
          </cell>
          <cell r="BK127" t="str">
            <v>中</v>
          </cell>
          <cell r="BL127">
            <v>7</v>
          </cell>
          <cell r="BM127">
            <v>1516</v>
          </cell>
          <cell r="BN127">
            <v>171</v>
          </cell>
          <cell r="BO127">
            <v>553</v>
          </cell>
          <cell r="BP127">
            <v>415</v>
          </cell>
          <cell r="BQ127">
            <v>566</v>
          </cell>
          <cell r="BR127">
            <v>152</v>
          </cell>
          <cell r="BS127">
            <v>45.4</v>
          </cell>
          <cell r="BT127">
            <v>63.8</v>
          </cell>
          <cell r="BU127">
            <v>7.3</v>
          </cell>
          <cell r="BV127">
            <v>2.02</v>
          </cell>
          <cell r="BW127">
            <v>0</v>
          </cell>
          <cell r="BX127">
            <v>0.4</v>
          </cell>
          <cell r="BY127">
            <v>1.17</v>
          </cell>
        </row>
        <row r="128">
          <cell r="BH128" t="str">
            <v>玛蒂尔达0</v>
          </cell>
          <cell r="BI128">
            <v>14</v>
          </cell>
          <cell r="BJ128" t="str">
            <v>玛蒂尔达</v>
          </cell>
          <cell r="BK128" t="str">
            <v>低</v>
          </cell>
          <cell r="BL128">
            <v>0</v>
          </cell>
          <cell r="BM128">
            <v>1214</v>
          </cell>
          <cell r="BN128">
            <v>159</v>
          </cell>
          <cell r="BO128">
            <v>486</v>
          </cell>
          <cell r="BP128">
            <v>365</v>
          </cell>
          <cell r="BQ128">
            <v>533</v>
          </cell>
          <cell r="BR128">
            <v>128</v>
          </cell>
          <cell r="BS128">
            <v>44.5</v>
          </cell>
          <cell r="BT128">
            <v>40</v>
          </cell>
          <cell r="BU128">
            <v>8</v>
          </cell>
          <cell r="BV128">
            <v>0</v>
          </cell>
          <cell r="BW128">
            <v>3.2</v>
          </cell>
          <cell r="BX128">
            <v>0.28000000000000003</v>
          </cell>
          <cell r="BY128">
            <v>0.99</v>
          </cell>
        </row>
        <row r="129">
          <cell r="BH129" t="str">
            <v>玛蒂尔达1</v>
          </cell>
          <cell r="BI129">
            <v>14</v>
          </cell>
          <cell r="BJ129" t="str">
            <v>玛蒂尔达</v>
          </cell>
          <cell r="BK129" t="str">
            <v>低</v>
          </cell>
          <cell r="BL129">
            <v>1</v>
          </cell>
          <cell r="BM129">
            <v>1278</v>
          </cell>
          <cell r="BN129">
            <v>164</v>
          </cell>
          <cell r="BO129">
            <v>507</v>
          </cell>
          <cell r="BP129">
            <v>381</v>
          </cell>
          <cell r="BQ129">
            <v>550</v>
          </cell>
          <cell r="BR129">
            <v>135</v>
          </cell>
          <cell r="BS129">
            <v>45.7</v>
          </cell>
          <cell r="BT129">
            <v>41.1</v>
          </cell>
          <cell r="BU129">
            <v>8</v>
          </cell>
          <cell r="BV129">
            <v>0</v>
          </cell>
          <cell r="BW129">
            <v>3.1</v>
          </cell>
          <cell r="BX129">
            <v>0.32</v>
          </cell>
          <cell r="BY129">
            <v>0.97</v>
          </cell>
        </row>
        <row r="130">
          <cell r="BH130" t="str">
            <v>玛蒂尔达2</v>
          </cell>
          <cell r="BI130">
            <v>14</v>
          </cell>
          <cell r="BJ130" t="str">
            <v>玛蒂尔达</v>
          </cell>
          <cell r="BK130" t="str">
            <v>低</v>
          </cell>
          <cell r="BL130">
            <v>2</v>
          </cell>
          <cell r="BM130">
            <v>1342</v>
          </cell>
          <cell r="BN130">
            <v>169</v>
          </cell>
          <cell r="BO130">
            <v>528</v>
          </cell>
          <cell r="BP130">
            <v>397</v>
          </cell>
          <cell r="BQ130">
            <v>566</v>
          </cell>
          <cell r="BR130">
            <v>141</v>
          </cell>
          <cell r="BS130">
            <v>47</v>
          </cell>
          <cell r="BT130">
            <v>42.2</v>
          </cell>
          <cell r="BU130">
            <v>8</v>
          </cell>
          <cell r="BV130">
            <v>0</v>
          </cell>
          <cell r="BW130">
            <v>3.1</v>
          </cell>
          <cell r="BX130">
            <v>0.35</v>
          </cell>
          <cell r="BY130">
            <v>0.95</v>
          </cell>
        </row>
        <row r="131">
          <cell r="BH131" t="str">
            <v>玛蒂尔达3</v>
          </cell>
          <cell r="BI131">
            <v>14</v>
          </cell>
          <cell r="BJ131" t="str">
            <v>玛蒂尔达</v>
          </cell>
          <cell r="BK131" t="str">
            <v>低</v>
          </cell>
          <cell r="BL131">
            <v>3</v>
          </cell>
          <cell r="BM131">
            <v>1406</v>
          </cell>
          <cell r="BN131">
            <v>173</v>
          </cell>
          <cell r="BO131">
            <v>550</v>
          </cell>
          <cell r="BP131">
            <v>413</v>
          </cell>
          <cell r="BQ131">
            <v>583</v>
          </cell>
          <cell r="BR131">
            <v>148</v>
          </cell>
          <cell r="BS131">
            <v>48.2</v>
          </cell>
          <cell r="BT131">
            <v>43.3</v>
          </cell>
          <cell r="BU131">
            <v>8</v>
          </cell>
          <cell r="BV131">
            <v>0</v>
          </cell>
          <cell r="BW131">
            <v>3</v>
          </cell>
          <cell r="BX131">
            <v>0.39</v>
          </cell>
          <cell r="BY131">
            <v>0.94</v>
          </cell>
        </row>
        <row r="132">
          <cell r="BH132" t="str">
            <v>玛蒂尔达4</v>
          </cell>
          <cell r="BI132">
            <v>14</v>
          </cell>
          <cell r="BJ132" t="str">
            <v>玛蒂尔达</v>
          </cell>
          <cell r="BK132" t="str">
            <v>低</v>
          </cell>
          <cell r="BL132">
            <v>4</v>
          </cell>
          <cell r="BM132">
            <v>1470</v>
          </cell>
          <cell r="BN132">
            <v>178</v>
          </cell>
          <cell r="BO132">
            <v>571</v>
          </cell>
          <cell r="BP132">
            <v>428</v>
          </cell>
          <cell r="BQ132">
            <v>599</v>
          </cell>
          <cell r="BR132">
            <v>154</v>
          </cell>
          <cell r="BS132">
            <v>49.4</v>
          </cell>
          <cell r="BT132">
            <v>44.4</v>
          </cell>
          <cell r="BU132">
            <v>8</v>
          </cell>
          <cell r="BV132">
            <v>0</v>
          </cell>
          <cell r="BW132">
            <v>2.9</v>
          </cell>
          <cell r="BX132">
            <v>0.42</v>
          </cell>
          <cell r="BY132">
            <v>0.92</v>
          </cell>
        </row>
        <row r="133">
          <cell r="BH133" t="str">
            <v>玛蒂尔达5</v>
          </cell>
          <cell r="BI133">
            <v>14</v>
          </cell>
          <cell r="BJ133" t="str">
            <v>玛蒂尔达</v>
          </cell>
          <cell r="BK133" t="str">
            <v>低</v>
          </cell>
          <cell r="BL133">
            <v>5</v>
          </cell>
          <cell r="BM133">
            <v>1534</v>
          </cell>
          <cell r="BN133">
            <v>183</v>
          </cell>
          <cell r="BO133">
            <v>592</v>
          </cell>
          <cell r="BP133">
            <v>444</v>
          </cell>
          <cell r="BQ133">
            <v>616</v>
          </cell>
          <cell r="BR133">
            <v>161</v>
          </cell>
          <cell r="BS133">
            <v>50.7</v>
          </cell>
          <cell r="BT133">
            <v>45.6</v>
          </cell>
          <cell r="BU133">
            <v>8</v>
          </cell>
          <cell r="BV133">
            <v>0</v>
          </cell>
          <cell r="BW133">
            <v>2.9</v>
          </cell>
          <cell r="BX133">
            <v>0.46</v>
          </cell>
          <cell r="BY133">
            <v>0.9</v>
          </cell>
        </row>
        <row r="134">
          <cell r="BH134" t="str">
            <v>玛蒂尔达6</v>
          </cell>
          <cell r="BI134">
            <v>14</v>
          </cell>
          <cell r="BJ134" t="str">
            <v>玛蒂尔达</v>
          </cell>
          <cell r="BK134" t="str">
            <v>低</v>
          </cell>
          <cell r="BL134">
            <v>6</v>
          </cell>
          <cell r="BM134">
            <v>1598</v>
          </cell>
          <cell r="BN134">
            <v>188</v>
          </cell>
          <cell r="BO134">
            <v>613</v>
          </cell>
          <cell r="BP134">
            <v>460</v>
          </cell>
          <cell r="BQ134">
            <v>632</v>
          </cell>
          <cell r="BR134">
            <v>167</v>
          </cell>
          <cell r="BS134">
            <v>51.9</v>
          </cell>
          <cell r="BT134">
            <v>46.7</v>
          </cell>
          <cell r="BU134">
            <v>8</v>
          </cell>
          <cell r="BV134">
            <v>0</v>
          </cell>
          <cell r="BW134">
            <v>2.8</v>
          </cell>
          <cell r="BX134">
            <v>0.49</v>
          </cell>
          <cell r="BY134">
            <v>0.88</v>
          </cell>
        </row>
        <row r="135">
          <cell r="BH135" t="str">
            <v>玛蒂尔达7</v>
          </cell>
          <cell r="BI135">
            <v>14</v>
          </cell>
          <cell r="BJ135" t="str">
            <v>玛蒂尔达</v>
          </cell>
          <cell r="BK135" t="str">
            <v>低</v>
          </cell>
          <cell r="BL135">
            <v>7</v>
          </cell>
          <cell r="BM135">
            <v>1662</v>
          </cell>
          <cell r="BN135">
            <v>193</v>
          </cell>
          <cell r="BO135">
            <v>634</v>
          </cell>
          <cell r="BP135">
            <v>476</v>
          </cell>
          <cell r="BQ135">
            <v>649</v>
          </cell>
          <cell r="BR135">
            <v>174</v>
          </cell>
          <cell r="BS135">
            <v>53.2</v>
          </cell>
          <cell r="BT135">
            <v>47.8</v>
          </cell>
          <cell r="BU135">
            <v>8</v>
          </cell>
          <cell r="BV135">
            <v>0</v>
          </cell>
          <cell r="BW135">
            <v>2.7</v>
          </cell>
          <cell r="BX135">
            <v>0.53</v>
          </cell>
          <cell r="BY135">
            <v>0.86</v>
          </cell>
        </row>
        <row r="136">
          <cell r="BH136" t="str">
            <v>玛蒂尔达8</v>
          </cell>
          <cell r="BI136">
            <v>14</v>
          </cell>
          <cell r="BJ136" t="str">
            <v>玛蒂尔达</v>
          </cell>
          <cell r="BK136" t="str">
            <v>低</v>
          </cell>
          <cell r="BL136">
            <v>8</v>
          </cell>
          <cell r="BM136">
            <v>1726</v>
          </cell>
          <cell r="BN136">
            <v>198</v>
          </cell>
          <cell r="BO136">
            <v>655</v>
          </cell>
          <cell r="BP136">
            <v>492</v>
          </cell>
          <cell r="BQ136">
            <v>665</v>
          </cell>
          <cell r="BR136">
            <v>180</v>
          </cell>
          <cell r="BS136">
            <v>54.4</v>
          </cell>
          <cell r="BT136">
            <v>48.9</v>
          </cell>
          <cell r="BU136">
            <v>8</v>
          </cell>
          <cell r="BV136">
            <v>0</v>
          </cell>
          <cell r="BW136">
            <v>2.7</v>
          </cell>
          <cell r="BX136">
            <v>0.56000000000000005</v>
          </cell>
          <cell r="BY136">
            <v>0.84</v>
          </cell>
        </row>
        <row r="137">
          <cell r="BH137" t="str">
            <v>玛蒂尔达9</v>
          </cell>
          <cell r="BI137">
            <v>14</v>
          </cell>
          <cell r="BJ137" t="str">
            <v>玛蒂尔达</v>
          </cell>
          <cell r="BK137" t="str">
            <v>低</v>
          </cell>
          <cell r="BL137">
            <v>9</v>
          </cell>
          <cell r="BM137">
            <v>1790</v>
          </cell>
          <cell r="BN137">
            <v>203</v>
          </cell>
          <cell r="BO137">
            <v>677</v>
          </cell>
          <cell r="BP137">
            <v>508</v>
          </cell>
          <cell r="BQ137">
            <v>682</v>
          </cell>
          <cell r="BR137">
            <v>187</v>
          </cell>
          <cell r="BS137">
            <v>55.6</v>
          </cell>
          <cell r="BT137">
            <v>50</v>
          </cell>
          <cell r="BU137">
            <v>8</v>
          </cell>
          <cell r="BV137">
            <v>0</v>
          </cell>
          <cell r="BW137">
            <v>2.6</v>
          </cell>
          <cell r="BX137">
            <v>0.6</v>
          </cell>
          <cell r="BY137">
            <v>0.83</v>
          </cell>
        </row>
        <row r="138">
          <cell r="BH138" t="str">
            <v>谢尔曼0</v>
          </cell>
          <cell r="BI138">
            <v>15</v>
          </cell>
          <cell r="BJ138" t="str">
            <v>谢尔曼</v>
          </cell>
          <cell r="BK138" t="str">
            <v>中</v>
          </cell>
          <cell r="BL138">
            <v>0</v>
          </cell>
          <cell r="BM138">
            <v>1299</v>
          </cell>
          <cell r="BN138">
            <v>164</v>
          </cell>
          <cell r="BO138">
            <v>506</v>
          </cell>
          <cell r="BP138">
            <v>380</v>
          </cell>
          <cell r="BQ138">
            <v>554</v>
          </cell>
          <cell r="BR138">
            <v>133</v>
          </cell>
          <cell r="BS138">
            <v>36.299999999999997</v>
          </cell>
          <cell r="BT138">
            <v>51</v>
          </cell>
          <cell r="BU138">
            <v>7.3</v>
          </cell>
          <cell r="BV138">
            <v>2.4</v>
          </cell>
          <cell r="BW138">
            <v>0</v>
          </cell>
          <cell r="BX138">
            <v>0.4</v>
          </cell>
          <cell r="BY138">
            <v>1.4</v>
          </cell>
        </row>
        <row r="139">
          <cell r="BH139" t="str">
            <v>谢尔曼1</v>
          </cell>
          <cell r="BI139">
            <v>15</v>
          </cell>
          <cell r="BJ139" t="str">
            <v>谢尔曼</v>
          </cell>
          <cell r="BK139" t="str">
            <v>中</v>
          </cell>
          <cell r="BL139">
            <v>1</v>
          </cell>
          <cell r="BM139">
            <v>1372</v>
          </cell>
          <cell r="BN139">
            <v>169</v>
          </cell>
          <cell r="BO139">
            <v>529</v>
          </cell>
          <cell r="BP139">
            <v>397</v>
          </cell>
          <cell r="BQ139">
            <v>572</v>
          </cell>
          <cell r="BR139">
            <v>140</v>
          </cell>
          <cell r="BS139">
            <v>37.299999999999997</v>
          </cell>
          <cell r="BT139">
            <v>52.4</v>
          </cell>
          <cell r="BU139">
            <v>7.3</v>
          </cell>
          <cell r="BV139">
            <v>2.36</v>
          </cell>
          <cell r="BW139">
            <v>0</v>
          </cell>
          <cell r="BX139">
            <v>0.4</v>
          </cell>
          <cell r="BY139">
            <v>1.37</v>
          </cell>
        </row>
        <row r="140">
          <cell r="BH140" t="str">
            <v>谢尔曼2</v>
          </cell>
          <cell r="BI140">
            <v>15</v>
          </cell>
          <cell r="BJ140" t="str">
            <v>谢尔曼</v>
          </cell>
          <cell r="BK140" t="str">
            <v>中</v>
          </cell>
          <cell r="BL140">
            <v>2</v>
          </cell>
          <cell r="BM140">
            <v>1446</v>
          </cell>
          <cell r="BN140">
            <v>174</v>
          </cell>
          <cell r="BO140">
            <v>551</v>
          </cell>
          <cell r="BP140">
            <v>414</v>
          </cell>
          <cell r="BQ140">
            <v>590</v>
          </cell>
          <cell r="BR140">
            <v>147</v>
          </cell>
          <cell r="BS140">
            <v>38.299999999999997</v>
          </cell>
          <cell r="BT140">
            <v>53.8</v>
          </cell>
          <cell r="BU140">
            <v>7.3</v>
          </cell>
          <cell r="BV140">
            <v>2.3199999999999998</v>
          </cell>
          <cell r="BW140">
            <v>0</v>
          </cell>
          <cell r="BX140">
            <v>0.4</v>
          </cell>
          <cell r="BY140">
            <v>1.35</v>
          </cell>
        </row>
        <row r="141">
          <cell r="BH141" t="str">
            <v>谢尔曼3</v>
          </cell>
          <cell r="BI141">
            <v>15</v>
          </cell>
          <cell r="BJ141" t="str">
            <v>谢尔曼</v>
          </cell>
          <cell r="BK141" t="str">
            <v>中</v>
          </cell>
          <cell r="BL141">
            <v>3</v>
          </cell>
          <cell r="BM141">
            <v>1519</v>
          </cell>
          <cell r="BN141">
            <v>179</v>
          </cell>
          <cell r="BO141">
            <v>574</v>
          </cell>
          <cell r="BP141">
            <v>431</v>
          </cell>
          <cell r="BQ141">
            <v>607</v>
          </cell>
          <cell r="BR141">
            <v>154</v>
          </cell>
          <cell r="BS141">
            <v>39.299999999999997</v>
          </cell>
          <cell r="BT141">
            <v>55.3</v>
          </cell>
          <cell r="BU141">
            <v>7.3</v>
          </cell>
          <cell r="BV141">
            <v>2.27</v>
          </cell>
          <cell r="BW141">
            <v>0</v>
          </cell>
          <cell r="BX141">
            <v>0.4</v>
          </cell>
          <cell r="BY141">
            <v>1.32</v>
          </cell>
        </row>
        <row r="142">
          <cell r="BH142" t="str">
            <v>谢尔曼4</v>
          </cell>
          <cell r="BI142">
            <v>15</v>
          </cell>
          <cell r="BJ142" t="str">
            <v>谢尔曼</v>
          </cell>
          <cell r="BK142" t="str">
            <v>中</v>
          </cell>
          <cell r="BL142">
            <v>4</v>
          </cell>
          <cell r="BM142">
            <v>1593</v>
          </cell>
          <cell r="BN142">
            <v>185</v>
          </cell>
          <cell r="BO142">
            <v>597</v>
          </cell>
          <cell r="BP142">
            <v>448</v>
          </cell>
          <cell r="BQ142">
            <v>625</v>
          </cell>
          <cell r="BR142">
            <v>161</v>
          </cell>
          <cell r="BS142">
            <v>40.299999999999997</v>
          </cell>
          <cell r="BT142">
            <v>56.7</v>
          </cell>
          <cell r="BU142">
            <v>7.3</v>
          </cell>
          <cell r="BV142">
            <v>2.23</v>
          </cell>
          <cell r="BW142">
            <v>0</v>
          </cell>
          <cell r="BX142">
            <v>0.4</v>
          </cell>
          <cell r="BY142">
            <v>1.3</v>
          </cell>
        </row>
        <row r="143">
          <cell r="BH143" t="str">
            <v>谢尔曼5</v>
          </cell>
          <cell r="BI143">
            <v>15</v>
          </cell>
          <cell r="BJ143" t="str">
            <v>谢尔曼</v>
          </cell>
          <cell r="BK143" t="str">
            <v>中</v>
          </cell>
          <cell r="BL143">
            <v>5</v>
          </cell>
          <cell r="BM143">
            <v>1667</v>
          </cell>
          <cell r="BN143">
            <v>190</v>
          </cell>
          <cell r="BO143">
            <v>619</v>
          </cell>
          <cell r="BP143">
            <v>465</v>
          </cell>
          <cell r="BQ143">
            <v>643</v>
          </cell>
          <cell r="BR143">
            <v>169</v>
          </cell>
          <cell r="BS143">
            <v>41.3</v>
          </cell>
          <cell r="BT143">
            <v>58.1</v>
          </cell>
          <cell r="BU143">
            <v>7.3</v>
          </cell>
          <cell r="BV143">
            <v>2.19</v>
          </cell>
          <cell r="BW143">
            <v>0</v>
          </cell>
          <cell r="BX143">
            <v>0.4</v>
          </cell>
          <cell r="BY143">
            <v>1.27</v>
          </cell>
        </row>
        <row r="144">
          <cell r="BH144" t="str">
            <v>谢尔曼6</v>
          </cell>
          <cell r="BI144">
            <v>15</v>
          </cell>
          <cell r="BJ144" t="str">
            <v>谢尔曼</v>
          </cell>
          <cell r="BK144" t="str">
            <v>中</v>
          </cell>
          <cell r="BL144">
            <v>6</v>
          </cell>
          <cell r="BM144">
            <v>1740</v>
          </cell>
          <cell r="BN144">
            <v>195</v>
          </cell>
          <cell r="BO144">
            <v>642</v>
          </cell>
          <cell r="BP144">
            <v>482</v>
          </cell>
          <cell r="BQ144">
            <v>661</v>
          </cell>
          <cell r="BR144">
            <v>176</v>
          </cell>
          <cell r="BS144">
            <v>42.4</v>
          </cell>
          <cell r="BT144">
            <v>59.5</v>
          </cell>
          <cell r="BU144">
            <v>7.3</v>
          </cell>
          <cell r="BV144">
            <v>2.15</v>
          </cell>
          <cell r="BW144">
            <v>0</v>
          </cell>
          <cell r="BX144">
            <v>0.4</v>
          </cell>
          <cell r="BY144">
            <v>1.24</v>
          </cell>
        </row>
        <row r="145">
          <cell r="BH145" t="str">
            <v>谢尔曼7</v>
          </cell>
          <cell r="BI145">
            <v>15</v>
          </cell>
          <cell r="BJ145" t="str">
            <v>谢尔曼</v>
          </cell>
          <cell r="BK145" t="str">
            <v>中</v>
          </cell>
          <cell r="BL145">
            <v>7</v>
          </cell>
          <cell r="BM145">
            <v>1814</v>
          </cell>
          <cell r="BN145">
            <v>200</v>
          </cell>
          <cell r="BO145">
            <v>665</v>
          </cell>
          <cell r="BP145">
            <v>499</v>
          </cell>
          <cell r="BQ145">
            <v>679</v>
          </cell>
          <cell r="BR145">
            <v>183</v>
          </cell>
          <cell r="BS145">
            <v>43.4</v>
          </cell>
          <cell r="BT145">
            <v>60.9</v>
          </cell>
          <cell r="BU145">
            <v>7.3</v>
          </cell>
          <cell r="BV145">
            <v>2.11</v>
          </cell>
          <cell r="BW145">
            <v>0</v>
          </cell>
          <cell r="BX145">
            <v>0.4</v>
          </cell>
          <cell r="BY145">
            <v>1.22</v>
          </cell>
        </row>
        <row r="146">
          <cell r="BH146" t="str">
            <v>谢尔曼8</v>
          </cell>
          <cell r="BI146">
            <v>15</v>
          </cell>
          <cell r="BJ146" t="str">
            <v>谢尔曼</v>
          </cell>
          <cell r="BK146" t="str">
            <v>中</v>
          </cell>
          <cell r="BL146">
            <v>8</v>
          </cell>
          <cell r="BM146">
            <v>1888</v>
          </cell>
          <cell r="BN146">
            <v>206</v>
          </cell>
          <cell r="BO146">
            <v>687</v>
          </cell>
          <cell r="BP146">
            <v>516</v>
          </cell>
          <cell r="BQ146">
            <v>696</v>
          </cell>
          <cell r="BR146">
            <v>190</v>
          </cell>
          <cell r="BS146">
            <v>44.4</v>
          </cell>
          <cell r="BT146">
            <v>62.3</v>
          </cell>
          <cell r="BU146">
            <v>7.3</v>
          </cell>
          <cell r="BV146">
            <v>2.0699999999999998</v>
          </cell>
          <cell r="BW146">
            <v>0</v>
          </cell>
          <cell r="BX146">
            <v>0.4</v>
          </cell>
          <cell r="BY146">
            <v>1.19</v>
          </cell>
        </row>
        <row r="147">
          <cell r="BH147" t="str">
            <v>谢尔曼9</v>
          </cell>
          <cell r="BI147">
            <v>15</v>
          </cell>
          <cell r="BJ147" t="str">
            <v>谢尔曼</v>
          </cell>
          <cell r="BK147" t="str">
            <v>中</v>
          </cell>
          <cell r="BL147">
            <v>9</v>
          </cell>
          <cell r="BM147">
            <v>1961</v>
          </cell>
          <cell r="BN147">
            <v>211</v>
          </cell>
          <cell r="BO147">
            <v>710</v>
          </cell>
          <cell r="BP147">
            <v>533</v>
          </cell>
          <cell r="BQ147">
            <v>714</v>
          </cell>
          <cell r="BR147">
            <v>197</v>
          </cell>
          <cell r="BS147">
            <v>45.4</v>
          </cell>
          <cell r="BT147">
            <v>63.8</v>
          </cell>
          <cell r="BU147">
            <v>7.3</v>
          </cell>
          <cell r="BV147">
            <v>2.02</v>
          </cell>
          <cell r="BW147">
            <v>0</v>
          </cell>
          <cell r="BX147">
            <v>0.4</v>
          </cell>
          <cell r="BY147">
            <v>1.17</v>
          </cell>
        </row>
        <row r="148">
          <cell r="BH148" t="str">
            <v>彗星0</v>
          </cell>
          <cell r="BI148">
            <v>16</v>
          </cell>
          <cell r="BJ148" t="str">
            <v>彗星</v>
          </cell>
          <cell r="BK148" t="str">
            <v>高</v>
          </cell>
          <cell r="BL148">
            <v>0</v>
          </cell>
          <cell r="BM148">
            <v>1337</v>
          </cell>
          <cell r="BN148">
            <v>163</v>
          </cell>
          <cell r="BO148">
            <v>506</v>
          </cell>
          <cell r="BP148">
            <v>380</v>
          </cell>
          <cell r="BQ148">
            <v>554</v>
          </cell>
          <cell r="BR148">
            <v>133</v>
          </cell>
          <cell r="BS148">
            <v>37.4</v>
          </cell>
          <cell r="BT148">
            <v>52.5</v>
          </cell>
          <cell r="BU148">
            <v>7.6</v>
          </cell>
          <cell r="BV148">
            <v>3</v>
          </cell>
          <cell r="BW148">
            <v>0</v>
          </cell>
          <cell r="BX148">
            <v>0.4</v>
          </cell>
          <cell r="BY148">
            <v>1.1499999999999999</v>
          </cell>
        </row>
        <row r="149">
          <cell r="BH149" t="str">
            <v>彗星1</v>
          </cell>
          <cell r="BI149">
            <v>16</v>
          </cell>
          <cell r="BJ149" t="str">
            <v>彗星</v>
          </cell>
          <cell r="BK149" t="str">
            <v>高</v>
          </cell>
          <cell r="BL149">
            <v>1</v>
          </cell>
          <cell r="BM149">
            <v>1413</v>
          </cell>
          <cell r="BN149">
            <v>169</v>
          </cell>
          <cell r="BO149">
            <v>530</v>
          </cell>
          <cell r="BP149">
            <v>398</v>
          </cell>
          <cell r="BQ149">
            <v>573</v>
          </cell>
          <cell r="BR149">
            <v>141</v>
          </cell>
          <cell r="BS149">
            <v>38.4</v>
          </cell>
          <cell r="BT149">
            <v>54</v>
          </cell>
          <cell r="BU149">
            <v>7.6</v>
          </cell>
          <cell r="BV149">
            <v>2.94</v>
          </cell>
          <cell r="BW149">
            <v>0</v>
          </cell>
          <cell r="BX149">
            <v>0.4</v>
          </cell>
          <cell r="BY149">
            <v>1.1299999999999999</v>
          </cell>
        </row>
        <row r="150">
          <cell r="BH150" t="str">
            <v>彗星2</v>
          </cell>
          <cell r="BI150">
            <v>16</v>
          </cell>
          <cell r="BJ150" t="str">
            <v>彗星</v>
          </cell>
          <cell r="BK150" t="str">
            <v>高</v>
          </cell>
          <cell r="BL150">
            <v>2</v>
          </cell>
          <cell r="BM150">
            <v>1489</v>
          </cell>
          <cell r="BN150">
            <v>174</v>
          </cell>
          <cell r="BO150">
            <v>555</v>
          </cell>
          <cell r="BP150">
            <v>416</v>
          </cell>
          <cell r="BQ150">
            <v>592</v>
          </cell>
          <cell r="BR150">
            <v>148</v>
          </cell>
          <cell r="BS150">
            <v>39.5</v>
          </cell>
          <cell r="BT150">
            <v>55.4</v>
          </cell>
          <cell r="BU150">
            <v>7.6</v>
          </cell>
          <cell r="BV150">
            <v>2.88</v>
          </cell>
          <cell r="BW150">
            <v>0</v>
          </cell>
          <cell r="BX150">
            <v>0.4</v>
          </cell>
          <cell r="BY150">
            <v>1.1100000000000001</v>
          </cell>
        </row>
        <row r="151">
          <cell r="BH151" t="str">
            <v>彗星3</v>
          </cell>
          <cell r="BI151">
            <v>16</v>
          </cell>
          <cell r="BJ151" t="str">
            <v>彗星</v>
          </cell>
          <cell r="BK151" t="str">
            <v>高</v>
          </cell>
          <cell r="BL151">
            <v>3</v>
          </cell>
          <cell r="BM151">
            <v>1565</v>
          </cell>
          <cell r="BN151">
            <v>180</v>
          </cell>
          <cell r="BO151">
            <v>579</v>
          </cell>
          <cell r="BP151">
            <v>434</v>
          </cell>
          <cell r="BQ151">
            <v>611</v>
          </cell>
          <cell r="BR151">
            <v>156</v>
          </cell>
          <cell r="BS151">
            <v>40.5</v>
          </cell>
          <cell r="BT151">
            <v>56.9</v>
          </cell>
          <cell r="BU151">
            <v>7.6</v>
          </cell>
          <cell r="BV151">
            <v>2.83</v>
          </cell>
          <cell r="BW151">
            <v>0</v>
          </cell>
          <cell r="BX151">
            <v>0.4</v>
          </cell>
          <cell r="BY151">
            <v>1.0900000000000001</v>
          </cell>
        </row>
        <row r="152">
          <cell r="BH152" t="str">
            <v>彗星4</v>
          </cell>
          <cell r="BI152">
            <v>16</v>
          </cell>
          <cell r="BJ152" t="str">
            <v>彗星</v>
          </cell>
          <cell r="BK152" t="str">
            <v>高</v>
          </cell>
          <cell r="BL152">
            <v>4</v>
          </cell>
          <cell r="BM152">
            <v>1641</v>
          </cell>
          <cell r="BN152">
            <v>185</v>
          </cell>
          <cell r="BO152">
            <v>603</v>
          </cell>
          <cell r="BP152">
            <v>452</v>
          </cell>
          <cell r="BQ152">
            <v>630</v>
          </cell>
          <cell r="BR152">
            <v>163</v>
          </cell>
          <cell r="BS152">
            <v>41.6</v>
          </cell>
          <cell r="BT152">
            <v>58.3</v>
          </cell>
          <cell r="BU152">
            <v>7.6</v>
          </cell>
          <cell r="BV152">
            <v>2.77</v>
          </cell>
          <cell r="BW152">
            <v>0</v>
          </cell>
          <cell r="BX152">
            <v>0.4</v>
          </cell>
          <cell r="BY152">
            <v>1.06</v>
          </cell>
        </row>
        <row r="153">
          <cell r="BH153" t="str">
            <v>彗星5</v>
          </cell>
          <cell r="BI153">
            <v>16</v>
          </cell>
          <cell r="BJ153" t="str">
            <v>彗星</v>
          </cell>
          <cell r="BK153" t="str">
            <v>高</v>
          </cell>
          <cell r="BL153">
            <v>5</v>
          </cell>
          <cell r="BM153">
            <v>1716</v>
          </cell>
          <cell r="BN153">
            <v>191</v>
          </cell>
          <cell r="BO153">
            <v>627</v>
          </cell>
          <cell r="BP153">
            <v>471</v>
          </cell>
          <cell r="BQ153">
            <v>649</v>
          </cell>
          <cell r="BR153">
            <v>171</v>
          </cell>
          <cell r="BS153">
            <v>42.6</v>
          </cell>
          <cell r="BT153">
            <v>59.8</v>
          </cell>
          <cell r="BU153">
            <v>7.6</v>
          </cell>
          <cell r="BV153">
            <v>2.71</v>
          </cell>
          <cell r="BW153">
            <v>0</v>
          </cell>
          <cell r="BX153">
            <v>0.4</v>
          </cell>
          <cell r="BY153">
            <v>1.04</v>
          </cell>
        </row>
        <row r="154">
          <cell r="BH154" t="str">
            <v>彗星6</v>
          </cell>
          <cell r="BI154">
            <v>16</v>
          </cell>
          <cell r="BJ154" t="str">
            <v>彗星</v>
          </cell>
          <cell r="BK154" t="str">
            <v>高</v>
          </cell>
          <cell r="BL154">
            <v>6</v>
          </cell>
          <cell r="BM154">
            <v>1792</v>
          </cell>
          <cell r="BN154">
            <v>197</v>
          </cell>
          <cell r="BO154">
            <v>652</v>
          </cell>
          <cell r="BP154">
            <v>489</v>
          </cell>
          <cell r="BQ154">
            <v>668</v>
          </cell>
          <cell r="BR154">
            <v>178</v>
          </cell>
          <cell r="BS154">
            <v>43.6</v>
          </cell>
          <cell r="BT154">
            <v>61.3</v>
          </cell>
          <cell r="BU154">
            <v>7.6</v>
          </cell>
          <cell r="BV154">
            <v>2.65</v>
          </cell>
          <cell r="BW154">
            <v>0</v>
          </cell>
          <cell r="BX154">
            <v>0.4</v>
          </cell>
          <cell r="BY154">
            <v>1.02</v>
          </cell>
        </row>
        <row r="155">
          <cell r="BH155" t="str">
            <v>彗星7</v>
          </cell>
          <cell r="BI155">
            <v>16</v>
          </cell>
          <cell r="BJ155" t="str">
            <v>彗星</v>
          </cell>
          <cell r="BK155" t="str">
            <v>高</v>
          </cell>
          <cell r="BL155">
            <v>7</v>
          </cell>
          <cell r="BM155">
            <v>1868</v>
          </cell>
          <cell r="BN155">
            <v>202</v>
          </cell>
          <cell r="BO155">
            <v>676</v>
          </cell>
          <cell r="BP155">
            <v>507</v>
          </cell>
          <cell r="BQ155">
            <v>687</v>
          </cell>
          <cell r="BR155">
            <v>186</v>
          </cell>
          <cell r="BS155">
            <v>44.7</v>
          </cell>
          <cell r="BT155">
            <v>62.7</v>
          </cell>
          <cell r="BU155">
            <v>7.6</v>
          </cell>
          <cell r="BV155">
            <v>2.6</v>
          </cell>
          <cell r="BW155">
            <v>0</v>
          </cell>
          <cell r="BX155">
            <v>0.4</v>
          </cell>
          <cell r="BY155">
            <v>1</v>
          </cell>
        </row>
        <row r="156">
          <cell r="BH156" t="str">
            <v>彗星8</v>
          </cell>
          <cell r="BI156">
            <v>16</v>
          </cell>
          <cell r="BJ156" t="str">
            <v>彗星</v>
          </cell>
          <cell r="BK156" t="str">
            <v>高</v>
          </cell>
          <cell r="BL156">
            <v>8</v>
          </cell>
          <cell r="BM156">
            <v>1944</v>
          </cell>
          <cell r="BN156">
            <v>208</v>
          </cell>
          <cell r="BO156">
            <v>700</v>
          </cell>
          <cell r="BP156">
            <v>525</v>
          </cell>
          <cell r="BQ156">
            <v>706</v>
          </cell>
          <cell r="BR156">
            <v>193</v>
          </cell>
          <cell r="BS156">
            <v>45.7</v>
          </cell>
          <cell r="BT156">
            <v>64.2</v>
          </cell>
          <cell r="BU156">
            <v>7.6</v>
          </cell>
          <cell r="BV156">
            <v>2.54</v>
          </cell>
          <cell r="BW156">
            <v>0</v>
          </cell>
          <cell r="BX156">
            <v>0.4</v>
          </cell>
          <cell r="BY156">
            <v>0.98</v>
          </cell>
        </row>
        <row r="157">
          <cell r="BH157" t="str">
            <v>彗星9</v>
          </cell>
          <cell r="BI157">
            <v>16</v>
          </cell>
          <cell r="BJ157" t="str">
            <v>彗星</v>
          </cell>
          <cell r="BK157" t="str">
            <v>高</v>
          </cell>
          <cell r="BL157">
            <v>9</v>
          </cell>
          <cell r="BM157">
            <v>2020</v>
          </cell>
          <cell r="BN157">
            <v>213</v>
          </cell>
          <cell r="BO157">
            <v>724</v>
          </cell>
          <cell r="BP157">
            <v>543</v>
          </cell>
          <cell r="BQ157">
            <v>725</v>
          </cell>
          <cell r="BR157">
            <v>201</v>
          </cell>
          <cell r="BS157">
            <v>46.8</v>
          </cell>
          <cell r="BT157">
            <v>65.599999999999994</v>
          </cell>
          <cell r="BU157">
            <v>7.6</v>
          </cell>
          <cell r="BV157">
            <v>2.48</v>
          </cell>
          <cell r="BW157">
            <v>0</v>
          </cell>
          <cell r="BX157">
            <v>0.4</v>
          </cell>
          <cell r="BY157">
            <v>0.96</v>
          </cell>
        </row>
        <row r="158">
          <cell r="BH158" t="str">
            <v>M-480</v>
          </cell>
          <cell r="BI158">
            <v>17</v>
          </cell>
          <cell r="BJ158" t="str">
            <v>M-48</v>
          </cell>
          <cell r="BK158" t="str">
            <v>低</v>
          </cell>
          <cell r="BL158">
            <v>0</v>
          </cell>
          <cell r="BM158">
            <v>1779</v>
          </cell>
          <cell r="BN158">
            <v>181</v>
          </cell>
          <cell r="BO158">
            <v>631</v>
          </cell>
          <cell r="BP158">
            <v>473</v>
          </cell>
          <cell r="BQ158">
            <v>691</v>
          </cell>
          <cell r="BR158">
            <v>166</v>
          </cell>
          <cell r="BS158">
            <v>44.5</v>
          </cell>
          <cell r="BT158">
            <v>40</v>
          </cell>
          <cell r="BU158">
            <v>8</v>
          </cell>
          <cell r="BV158">
            <v>0</v>
          </cell>
          <cell r="BW158">
            <v>2.4</v>
          </cell>
          <cell r="BX158">
            <v>0.32</v>
          </cell>
          <cell r="BY158">
            <v>1.36</v>
          </cell>
        </row>
        <row r="159">
          <cell r="BH159" t="str">
            <v>M-481</v>
          </cell>
          <cell r="BI159">
            <v>17</v>
          </cell>
          <cell r="BJ159" t="str">
            <v>M-48</v>
          </cell>
          <cell r="BK159" t="str">
            <v>低</v>
          </cell>
          <cell r="BL159">
            <v>1</v>
          </cell>
          <cell r="BM159">
            <v>1853</v>
          </cell>
          <cell r="BN159">
            <v>185</v>
          </cell>
          <cell r="BO159">
            <v>653</v>
          </cell>
          <cell r="BP159">
            <v>490</v>
          </cell>
          <cell r="BQ159">
            <v>707</v>
          </cell>
          <cell r="BR159">
            <v>173</v>
          </cell>
          <cell r="BS159">
            <v>45.5</v>
          </cell>
          <cell r="BT159">
            <v>40.9</v>
          </cell>
          <cell r="BU159">
            <v>8</v>
          </cell>
          <cell r="BV159">
            <v>0</v>
          </cell>
          <cell r="BW159">
            <v>2.4</v>
          </cell>
          <cell r="BX159">
            <v>0.36</v>
          </cell>
          <cell r="BY159">
            <v>1.34</v>
          </cell>
        </row>
        <row r="160">
          <cell r="BH160" t="str">
            <v>M-482</v>
          </cell>
          <cell r="BI160">
            <v>17</v>
          </cell>
          <cell r="BJ160" t="str">
            <v>M-48</v>
          </cell>
          <cell r="BK160" t="str">
            <v>低</v>
          </cell>
          <cell r="BL160">
            <v>2</v>
          </cell>
          <cell r="BM160">
            <v>1926</v>
          </cell>
          <cell r="BN160">
            <v>189</v>
          </cell>
          <cell r="BO160">
            <v>675</v>
          </cell>
          <cell r="BP160">
            <v>506</v>
          </cell>
          <cell r="BQ160">
            <v>723</v>
          </cell>
          <cell r="BR160">
            <v>180</v>
          </cell>
          <cell r="BS160">
            <v>46.5</v>
          </cell>
          <cell r="BT160">
            <v>41.8</v>
          </cell>
          <cell r="BU160">
            <v>8</v>
          </cell>
          <cell r="BV160">
            <v>0</v>
          </cell>
          <cell r="BW160">
            <v>2.2999999999999998</v>
          </cell>
          <cell r="BX160">
            <v>0.4</v>
          </cell>
          <cell r="BY160">
            <v>1.32</v>
          </cell>
        </row>
        <row r="161">
          <cell r="BH161" t="str">
            <v>M-483</v>
          </cell>
          <cell r="BI161">
            <v>17</v>
          </cell>
          <cell r="BJ161" t="str">
            <v>M-48</v>
          </cell>
          <cell r="BK161" t="str">
            <v>低</v>
          </cell>
          <cell r="BL161">
            <v>3</v>
          </cell>
          <cell r="BM161">
            <v>2000</v>
          </cell>
          <cell r="BN161">
            <v>194</v>
          </cell>
          <cell r="BO161">
            <v>697</v>
          </cell>
          <cell r="BP161">
            <v>523</v>
          </cell>
          <cell r="BQ161">
            <v>740</v>
          </cell>
          <cell r="BR161">
            <v>187</v>
          </cell>
          <cell r="BS161">
            <v>47.5</v>
          </cell>
          <cell r="BT161">
            <v>42.7</v>
          </cell>
          <cell r="BU161">
            <v>8</v>
          </cell>
          <cell r="BV161">
            <v>0</v>
          </cell>
          <cell r="BW161">
            <v>2.2999999999999998</v>
          </cell>
          <cell r="BX161">
            <v>0.44</v>
          </cell>
          <cell r="BY161">
            <v>1.3</v>
          </cell>
        </row>
        <row r="162">
          <cell r="BH162" t="str">
            <v>M-484</v>
          </cell>
          <cell r="BI162">
            <v>17</v>
          </cell>
          <cell r="BJ162" t="str">
            <v>M-48</v>
          </cell>
          <cell r="BK162" t="str">
            <v>低</v>
          </cell>
          <cell r="BL162">
            <v>4</v>
          </cell>
          <cell r="BM162">
            <v>2074</v>
          </cell>
          <cell r="BN162">
            <v>198</v>
          </cell>
          <cell r="BO162">
            <v>719</v>
          </cell>
          <cell r="BP162">
            <v>539</v>
          </cell>
          <cell r="BQ162">
            <v>756</v>
          </cell>
          <cell r="BR162">
            <v>194</v>
          </cell>
          <cell r="BS162">
            <v>48.5</v>
          </cell>
          <cell r="BT162">
            <v>43.6</v>
          </cell>
          <cell r="BU162">
            <v>8</v>
          </cell>
          <cell r="BV162">
            <v>0</v>
          </cell>
          <cell r="BW162">
            <v>2.2999999999999998</v>
          </cell>
          <cell r="BX162">
            <v>0.48</v>
          </cell>
          <cell r="BY162">
            <v>1.28</v>
          </cell>
        </row>
        <row r="163">
          <cell r="BH163" t="str">
            <v>M-485</v>
          </cell>
          <cell r="BI163">
            <v>17</v>
          </cell>
          <cell r="BJ163" t="str">
            <v>M-48</v>
          </cell>
          <cell r="BK163" t="str">
            <v>低</v>
          </cell>
          <cell r="BL163">
            <v>5</v>
          </cell>
          <cell r="BM163">
            <v>2148</v>
          </cell>
          <cell r="BN163">
            <v>202</v>
          </cell>
          <cell r="BO163">
            <v>741</v>
          </cell>
          <cell r="BP163">
            <v>556</v>
          </cell>
          <cell r="BQ163">
            <v>772</v>
          </cell>
          <cell r="BR163">
            <v>201</v>
          </cell>
          <cell r="BS163">
            <v>49.6</v>
          </cell>
          <cell r="BT163">
            <v>44.5</v>
          </cell>
          <cell r="BU163">
            <v>8</v>
          </cell>
          <cell r="BV163">
            <v>0</v>
          </cell>
          <cell r="BW163">
            <v>2.2000000000000002</v>
          </cell>
          <cell r="BX163">
            <v>0.52</v>
          </cell>
          <cell r="BY163">
            <v>1.26</v>
          </cell>
        </row>
        <row r="164">
          <cell r="BH164" t="str">
            <v>M-486</v>
          </cell>
          <cell r="BI164">
            <v>17</v>
          </cell>
          <cell r="BJ164" t="str">
            <v>M-48</v>
          </cell>
          <cell r="BK164" t="str">
            <v>低</v>
          </cell>
          <cell r="BL164">
            <v>6</v>
          </cell>
          <cell r="BM164">
            <v>2221</v>
          </cell>
          <cell r="BN164">
            <v>206</v>
          </cell>
          <cell r="BO164">
            <v>763</v>
          </cell>
          <cell r="BP164">
            <v>572</v>
          </cell>
          <cell r="BQ164">
            <v>788</v>
          </cell>
          <cell r="BR164">
            <v>208</v>
          </cell>
          <cell r="BS164">
            <v>50.6</v>
          </cell>
          <cell r="BT164">
            <v>45.5</v>
          </cell>
          <cell r="BU164">
            <v>8</v>
          </cell>
          <cell r="BV164">
            <v>0</v>
          </cell>
          <cell r="BW164">
            <v>2.2000000000000002</v>
          </cell>
          <cell r="BX164">
            <v>0.55000000000000004</v>
          </cell>
          <cell r="BY164">
            <v>1.24</v>
          </cell>
        </row>
        <row r="165">
          <cell r="BH165" t="str">
            <v>M-487</v>
          </cell>
          <cell r="BI165">
            <v>17</v>
          </cell>
          <cell r="BJ165" t="str">
            <v>M-48</v>
          </cell>
          <cell r="BK165" t="str">
            <v>低</v>
          </cell>
          <cell r="BL165">
            <v>7</v>
          </cell>
          <cell r="BM165">
            <v>2295</v>
          </cell>
          <cell r="BN165">
            <v>211</v>
          </cell>
          <cell r="BO165">
            <v>785</v>
          </cell>
          <cell r="BP165">
            <v>589</v>
          </cell>
          <cell r="BQ165">
            <v>804</v>
          </cell>
          <cell r="BR165">
            <v>215</v>
          </cell>
          <cell r="BS165">
            <v>51.6</v>
          </cell>
          <cell r="BT165">
            <v>46.4</v>
          </cell>
          <cell r="BU165">
            <v>8</v>
          </cell>
          <cell r="BV165">
            <v>0</v>
          </cell>
          <cell r="BW165">
            <v>2.2000000000000002</v>
          </cell>
          <cell r="BX165">
            <v>0.59</v>
          </cell>
          <cell r="BY165">
            <v>1.22</v>
          </cell>
        </row>
        <row r="166">
          <cell r="BH166" t="str">
            <v>M-488</v>
          </cell>
          <cell r="BI166">
            <v>17</v>
          </cell>
          <cell r="BJ166" t="str">
            <v>M-48</v>
          </cell>
          <cell r="BK166" t="str">
            <v>低</v>
          </cell>
          <cell r="BL166">
            <v>8</v>
          </cell>
          <cell r="BM166">
            <v>2369</v>
          </cell>
          <cell r="BN166">
            <v>215</v>
          </cell>
          <cell r="BO166">
            <v>808</v>
          </cell>
          <cell r="BP166">
            <v>605</v>
          </cell>
          <cell r="BQ166">
            <v>821</v>
          </cell>
          <cell r="BR166">
            <v>222</v>
          </cell>
          <cell r="BS166">
            <v>52.6</v>
          </cell>
          <cell r="BT166">
            <v>47.3</v>
          </cell>
          <cell r="BU166">
            <v>8</v>
          </cell>
          <cell r="BV166">
            <v>0</v>
          </cell>
          <cell r="BW166">
            <v>2.1</v>
          </cell>
          <cell r="BX166">
            <v>0.63</v>
          </cell>
          <cell r="BY166">
            <v>1.2</v>
          </cell>
        </row>
        <row r="167">
          <cell r="BH167" t="str">
            <v>M-489</v>
          </cell>
          <cell r="BI167">
            <v>17</v>
          </cell>
          <cell r="BJ167" t="str">
            <v>M-48</v>
          </cell>
          <cell r="BK167" t="str">
            <v>低</v>
          </cell>
          <cell r="BL167">
            <v>9</v>
          </cell>
          <cell r="BM167">
            <v>2443</v>
          </cell>
          <cell r="BN167">
            <v>219</v>
          </cell>
          <cell r="BO167">
            <v>830</v>
          </cell>
          <cell r="BP167">
            <v>622</v>
          </cell>
          <cell r="BQ167">
            <v>837</v>
          </cell>
          <cell r="BR167">
            <v>229</v>
          </cell>
          <cell r="BS167">
            <v>53.6</v>
          </cell>
          <cell r="BT167">
            <v>48.2</v>
          </cell>
          <cell r="BU167">
            <v>8</v>
          </cell>
          <cell r="BV167">
            <v>0</v>
          </cell>
          <cell r="BW167">
            <v>2.1</v>
          </cell>
          <cell r="BX167">
            <v>0.67</v>
          </cell>
          <cell r="BY167">
            <v>1.17</v>
          </cell>
        </row>
        <row r="168">
          <cell r="BH168" t="str">
            <v>M-4810</v>
          </cell>
          <cell r="BI168">
            <v>17</v>
          </cell>
          <cell r="BJ168" t="str">
            <v>M-48</v>
          </cell>
          <cell r="BK168" t="str">
            <v>低</v>
          </cell>
          <cell r="BL168">
            <v>10</v>
          </cell>
          <cell r="BM168">
            <v>2516</v>
          </cell>
          <cell r="BN168">
            <v>223</v>
          </cell>
          <cell r="BO168">
            <v>852</v>
          </cell>
          <cell r="BP168">
            <v>638</v>
          </cell>
          <cell r="BQ168">
            <v>853</v>
          </cell>
          <cell r="BR168">
            <v>236</v>
          </cell>
          <cell r="BS168">
            <v>54.6</v>
          </cell>
          <cell r="BT168">
            <v>49.1</v>
          </cell>
          <cell r="BU168">
            <v>8</v>
          </cell>
          <cell r="BV168">
            <v>0</v>
          </cell>
          <cell r="BW168">
            <v>2.1</v>
          </cell>
          <cell r="BX168">
            <v>0.71</v>
          </cell>
          <cell r="BY168">
            <v>1.1499999999999999</v>
          </cell>
        </row>
        <row r="169">
          <cell r="BH169" t="str">
            <v>M-4811</v>
          </cell>
          <cell r="BI169">
            <v>17</v>
          </cell>
          <cell r="BJ169" t="str">
            <v>M-48</v>
          </cell>
          <cell r="BK169" t="str">
            <v>低</v>
          </cell>
          <cell r="BL169">
            <v>11</v>
          </cell>
          <cell r="BM169">
            <v>2590</v>
          </cell>
          <cell r="BN169">
            <v>227</v>
          </cell>
          <cell r="BO169">
            <v>874</v>
          </cell>
          <cell r="BP169">
            <v>655</v>
          </cell>
          <cell r="BQ169">
            <v>869</v>
          </cell>
          <cell r="BR169">
            <v>243</v>
          </cell>
          <cell r="BS169">
            <v>55.6</v>
          </cell>
          <cell r="BT169">
            <v>50</v>
          </cell>
          <cell r="BU169">
            <v>8</v>
          </cell>
          <cell r="BV169">
            <v>0</v>
          </cell>
          <cell r="BW169">
            <v>2</v>
          </cell>
          <cell r="BX169">
            <v>0.75</v>
          </cell>
          <cell r="BY169">
            <v>1.1299999999999999</v>
          </cell>
        </row>
        <row r="170">
          <cell r="BH170" t="str">
            <v>潘兴0</v>
          </cell>
          <cell r="BI170">
            <v>18</v>
          </cell>
          <cell r="BJ170" t="str">
            <v>潘兴</v>
          </cell>
          <cell r="BK170" t="str">
            <v>中</v>
          </cell>
          <cell r="BL170">
            <v>0</v>
          </cell>
          <cell r="BM170">
            <v>1717</v>
          </cell>
          <cell r="BN170">
            <v>211</v>
          </cell>
          <cell r="BO170">
            <v>657</v>
          </cell>
          <cell r="BP170">
            <v>493</v>
          </cell>
          <cell r="BQ170">
            <v>720</v>
          </cell>
          <cell r="BR170">
            <v>173</v>
          </cell>
          <cell r="BS170">
            <v>36.299999999999997</v>
          </cell>
          <cell r="BT170">
            <v>51</v>
          </cell>
          <cell r="BU170">
            <v>7.3</v>
          </cell>
          <cell r="BV170">
            <v>3.6</v>
          </cell>
          <cell r="BW170">
            <v>0</v>
          </cell>
          <cell r="BX170">
            <v>0.4</v>
          </cell>
          <cell r="BY170">
            <v>1</v>
          </cell>
        </row>
        <row r="171">
          <cell r="BH171" t="str">
            <v>潘兴1</v>
          </cell>
          <cell r="BI171">
            <v>18</v>
          </cell>
          <cell r="BJ171" t="str">
            <v>潘兴</v>
          </cell>
          <cell r="BK171" t="str">
            <v>中</v>
          </cell>
          <cell r="BL171">
            <v>1</v>
          </cell>
          <cell r="BM171">
            <v>1793</v>
          </cell>
          <cell r="BN171">
            <v>216</v>
          </cell>
          <cell r="BO171">
            <v>681</v>
          </cell>
          <cell r="BP171">
            <v>511</v>
          </cell>
          <cell r="BQ171">
            <v>737</v>
          </cell>
          <cell r="BR171">
            <v>181</v>
          </cell>
          <cell r="BS171">
            <v>37.1</v>
          </cell>
          <cell r="BT171">
            <v>52.2</v>
          </cell>
          <cell r="BU171">
            <v>7.3</v>
          </cell>
          <cell r="BV171">
            <v>3.54</v>
          </cell>
          <cell r="BW171">
            <v>0</v>
          </cell>
          <cell r="BX171">
            <v>0.4</v>
          </cell>
          <cell r="BY171">
            <v>0.98</v>
          </cell>
        </row>
        <row r="172">
          <cell r="BH172" t="str">
            <v>潘兴2</v>
          </cell>
          <cell r="BI172">
            <v>18</v>
          </cell>
          <cell r="BJ172" t="str">
            <v>潘兴</v>
          </cell>
          <cell r="BK172" t="str">
            <v>中</v>
          </cell>
          <cell r="BL172">
            <v>2</v>
          </cell>
          <cell r="BM172">
            <v>1869</v>
          </cell>
          <cell r="BN172">
            <v>221</v>
          </cell>
          <cell r="BO172">
            <v>704</v>
          </cell>
          <cell r="BP172">
            <v>528</v>
          </cell>
          <cell r="BQ172">
            <v>755</v>
          </cell>
          <cell r="BR172">
            <v>188</v>
          </cell>
          <cell r="BS172">
            <v>38</v>
          </cell>
          <cell r="BT172">
            <v>53.3</v>
          </cell>
          <cell r="BU172">
            <v>7.3</v>
          </cell>
          <cell r="BV172">
            <v>3.47</v>
          </cell>
          <cell r="BW172">
            <v>0</v>
          </cell>
          <cell r="BX172">
            <v>0.4</v>
          </cell>
          <cell r="BY172">
            <v>0.97</v>
          </cell>
        </row>
        <row r="173">
          <cell r="BH173" t="str">
            <v>潘兴3</v>
          </cell>
          <cell r="BI173">
            <v>18</v>
          </cell>
          <cell r="BJ173" t="str">
            <v>潘兴</v>
          </cell>
          <cell r="BK173" t="str">
            <v>中</v>
          </cell>
          <cell r="BL173">
            <v>3</v>
          </cell>
          <cell r="BM173">
            <v>1945</v>
          </cell>
          <cell r="BN173">
            <v>226</v>
          </cell>
          <cell r="BO173">
            <v>728</v>
          </cell>
          <cell r="BP173">
            <v>546</v>
          </cell>
          <cell r="BQ173">
            <v>772</v>
          </cell>
          <cell r="BR173">
            <v>196</v>
          </cell>
          <cell r="BS173">
            <v>38.799999999999997</v>
          </cell>
          <cell r="BT173">
            <v>54.5</v>
          </cell>
          <cell r="BU173">
            <v>7.3</v>
          </cell>
          <cell r="BV173">
            <v>3.41</v>
          </cell>
          <cell r="BW173">
            <v>0</v>
          </cell>
          <cell r="BX173">
            <v>0.4</v>
          </cell>
          <cell r="BY173">
            <v>0.95</v>
          </cell>
        </row>
        <row r="174">
          <cell r="BH174" t="str">
            <v>潘兴4</v>
          </cell>
          <cell r="BI174">
            <v>18</v>
          </cell>
          <cell r="BJ174" t="str">
            <v>潘兴</v>
          </cell>
          <cell r="BK174" t="str">
            <v>中</v>
          </cell>
          <cell r="BL174">
            <v>4</v>
          </cell>
          <cell r="BM174">
            <v>2021</v>
          </cell>
          <cell r="BN174">
            <v>231</v>
          </cell>
          <cell r="BO174">
            <v>751</v>
          </cell>
          <cell r="BP174">
            <v>563</v>
          </cell>
          <cell r="BQ174">
            <v>789</v>
          </cell>
          <cell r="BR174">
            <v>203</v>
          </cell>
          <cell r="BS174">
            <v>39.6</v>
          </cell>
          <cell r="BT174">
            <v>55.6</v>
          </cell>
          <cell r="BU174">
            <v>7.3</v>
          </cell>
          <cell r="BV174">
            <v>3.35</v>
          </cell>
          <cell r="BW174">
            <v>0</v>
          </cell>
          <cell r="BX174">
            <v>0.4</v>
          </cell>
          <cell r="BY174">
            <v>0.94</v>
          </cell>
        </row>
        <row r="175">
          <cell r="BH175" t="str">
            <v>潘兴5</v>
          </cell>
          <cell r="BI175">
            <v>18</v>
          </cell>
          <cell r="BJ175" t="str">
            <v>潘兴</v>
          </cell>
          <cell r="BK175" t="str">
            <v>中</v>
          </cell>
          <cell r="BL175">
            <v>5</v>
          </cell>
          <cell r="BM175">
            <v>2097</v>
          </cell>
          <cell r="BN175">
            <v>236</v>
          </cell>
          <cell r="BO175">
            <v>775</v>
          </cell>
          <cell r="BP175">
            <v>581</v>
          </cell>
          <cell r="BQ175">
            <v>807</v>
          </cell>
          <cell r="BR175">
            <v>211</v>
          </cell>
          <cell r="BS175">
            <v>40.4</v>
          </cell>
          <cell r="BT175">
            <v>56.8</v>
          </cell>
          <cell r="BU175">
            <v>7.3</v>
          </cell>
          <cell r="BV175">
            <v>3.28</v>
          </cell>
          <cell r="BW175">
            <v>0</v>
          </cell>
          <cell r="BX175">
            <v>0.4</v>
          </cell>
          <cell r="BY175">
            <v>0.92</v>
          </cell>
        </row>
        <row r="176">
          <cell r="BH176" t="str">
            <v>潘兴6</v>
          </cell>
          <cell r="BI176">
            <v>18</v>
          </cell>
          <cell r="BJ176" t="str">
            <v>潘兴</v>
          </cell>
          <cell r="BK176" t="str">
            <v>中</v>
          </cell>
          <cell r="BL176">
            <v>6</v>
          </cell>
          <cell r="BM176">
            <v>2173</v>
          </cell>
          <cell r="BN176">
            <v>241</v>
          </cell>
          <cell r="BO176">
            <v>798</v>
          </cell>
          <cell r="BP176">
            <v>599</v>
          </cell>
          <cell r="BQ176">
            <v>824</v>
          </cell>
          <cell r="BR176">
            <v>218</v>
          </cell>
          <cell r="BS176">
            <v>41.3</v>
          </cell>
          <cell r="BT176">
            <v>58</v>
          </cell>
          <cell r="BU176">
            <v>7.3</v>
          </cell>
          <cell r="BV176">
            <v>3.22</v>
          </cell>
          <cell r="BW176">
            <v>0</v>
          </cell>
          <cell r="BX176">
            <v>0.4</v>
          </cell>
          <cell r="BY176">
            <v>0.91</v>
          </cell>
        </row>
        <row r="177">
          <cell r="BH177" t="str">
            <v>潘兴7</v>
          </cell>
          <cell r="BI177">
            <v>18</v>
          </cell>
          <cell r="BJ177" t="str">
            <v>潘兴</v>
          </cell>
          <cell r="BK177" t="str">
            <v>中</v>
          </cell>
          <cell r="BL177">
            <v>7</v>
          </cell>
          <cell r="BM177">
            <v>2249</v>
          </cell>
          <cell r="BN177">
            <v>246</v>
          </cell>
          <cell r="BO177">
            <v>822</v>
          </cell>
          <cell r="BP177">
            <v>616</v>
          </cell>
          <cell r="BQ177">
            <v>841</v>
          </cell>
          <cell r="BR177">
            <v>226</v>
          </cell>
          <cell r="BS177">
            <v>42.1</v>
          </cell>
          <cell r="BT177">
            <v>59.1</v>
          </cell>
          <cell r="BU177">
            <v>7.3</v>
          </cell>
          <cell r="BV177">
            <v>3.16</v>
          </cell>
          <cell r="BW177">
            <v>0</v>
          </cell>
          <cell r="BX177">
            <v>0.4</v>
          </cell>
          <cell r="BY177">
            <v>0.89</v>
          </cell>
        </row>
        <row r="178">
          <cell r="BH178" t="str">
            <v>潘兴8</v>
          </cell>
          <cell r="BI178">
            <v>18</v>
          </cell>
          <cell r="BJ178" t="str">
            <v>潘兴</v>
          </cell>
          <cell r="BK178" t="str">
            <v>中</v>
          </cell>
          <cell r="BL178">
            <v>8</v>
          </cell>
          <cell r="BM178">
            <v>2325</v>
          </cell>
          <cell r="BN178">
            <v>251</v>
          </cell>
          <cell r="BO178">
            <v>845</v>
          </cell>
          <cell r="BP178">
            <v>634</v>
          </cell>
          <cell r="BQ178">
            <v>858</v>
          </cell>
          <cell r="BR178">
            <v>233</v>
          </cell>
          <cell r="BS178">
            <v>42.9</v>
          </cell>
          <cell r="BT178">
            <v>60.3</v>
          </cell>
          <cell r="BU178">
            <v>7.3</v>
          </cell>
          <cell r="BV178">
            <v>3.09</v>
          </cell>
          <cell r="BW178">
            <v>0</v>
          </cell>
          <cell r="BX178">
            <v>0.4</v>
          </cell>
          <cell r="BY178">
            <v>0.88</v>
          </cell>
        </row>
        <row r="179">
          <cell r="BH179" t="str">
            <v>潘兴9</v>
          </cell>
          <cell r="BI179">
            <v>18</v>
          </cell>
          <cell r="BJ179" t="str">
            <v>潘兴</v>
          </cell>
          <cell r="BK179" t="str">
            <v>中</v>
          </cell>
          <cell r="BL179">
            <v>9</v>
          </cell>
          <cell r="BM179">
            <v>2400</v>
          </cell>
          <cell r="BN179">
            <v>256</v>
          </cell>
          <cell r="BO179">
            <v>869</v>
          </cell>
          <cell r="BP179">
            <v>651</v>
          </cell>
          <cell r="BQ179">
            <v>876</v>
          </cell>
          <cell r="BR179">
            <v>241</v>
          </cell>
          <cell r="BS179">
            <v>43.7</v>
          </cell>
          <cell r="BT179">
            <v>61.4</v>
          </cell>
          <cell r="BU179">
            <v>7.3</v>
          </cell>
          <cell r="BV179">
            <v>3.03</v>
          </cell>
          <cell r="BW179">
            <v>0</v>
          </cell>
          <cell r="BX179">
            <v>0.4</v>
          </cell>
          <cell r="BY179">
            <v>0.86</v>
          </cell>
        </row>
        <row r="180">
          <cell r="BH180" t="str">
            <v>潘兴10</v>
          </cell>
          <cell r="BI180">
            <v>18</v>
          </cell>
          <cell r="BJ180" t="str">
            <v>潘兴</v>
          </cell>
          <cell r="BK180" t="str">
            <v>中</v>
          </cell>
          <cell r="BL180">
            <v>10</v>
          </cell>
          <cell r="BM180">
            <v>2476</v>
          </cell>
          <cell r="BN180">
            <v>261</v>
          </cell>
          <cell r="BO180">
            <v>893</v>
          </cell>
          <cell r="BP180">
            <v>669</v>
          </cell>
          <cell r="BQ180">
            <v>893</v>
          </cell>
          <cell r="BR180">
            <v>248</v>
          </cell>
          <cell r="BS180">
            <v>44.6</v>
          </cell>
          <cell r="BT180">
            <v>62.6</v>
          </cell>
          <cell r="BU180">
            <v>7.3</v>
          </cell>
          <cell r="BV180">
            <v>2.97</v>
          </cell>
          <cell r="BW180">
            <v>0</v>
          </cell>
          <cell r="BX180">
            <v>0.4</v>
          </cell>
          <cell r="BY180">
            <v>0.85</v>
          </cell>
        </row>
        <row r="181">
          <cell r="BH181" t="str">
            <v>潘兴11</v>
          </cell>
          <cell r="BI181">
            <v>18</v>
          </cell>
          <cell r="BJ181" t="str">
            <v>潘兴</v>
          </cell>
          <cell r="BK181" t="str">
            <v>中</v>
          </cell>
          <cell r="BL181">
            <v>11</v>
          </cell>
          <cell r="BM181">
            <v>2552</v>
          </cell>
          <cell r="BN181">
            <v>266</v>
          </cell>
          <cell r="BO181">
            <v>916</v>
          </cell>
          <cell r="BP181">
            <v>687</v>
          </cell>
          <cell r="BQ181">
            <v>910</v>
          </cell>
          <cell r="BR181">
            <v>256</v>
          </cell>
          <cell r="BS181">
            <v>45.4</v>
          </cell>
          <cell r="BT181">
            <v>63.8</v>
          </cell>
          <cell r="BU181">
            <v>7.3</v>
          </cell>
          <cell r="BV181">
            <v>2.9</v>
          </cell>
          <cell r="BW181">
            <v>0</v>
          </cell>
          <cell r="BX181">
            <v>0.4</v>
          </cell>
          <cell r="BY181">
            <v>0.83</v>
          </cell>
        </row>
        <row r="182">
          <cell r="BH182" t="str">
            <v>百夫长0</v>
          </cell>
          <cell r="BI182">
            <v>19</v>
          </cell>
          <cell r="BJ182" t="str">
            <v>百夫长</v>
          </cell>
          <cell r="BK182" t="str">
            <v>高</v>
          </cell>
          <cell r="BL182">
            <v>0</v>
          </cell>
          <cell r="BM182">
            <v>1945</v>
          </cell>
          <cell r="BN182">
            <v>201</v>
          </cell>
          <cell r="BO182">
            <v>657</v>
          </cell>
          <cell r="BP182">
            <v>493</v>
          </cell>
          <cell r="BQ182">
            <v>720</v>
          </cell>
          <cell r="BR182">
            <v>173</v>
          </cell>
          <cell r="BS182">
            <v>46.7</v>
          </cell>
          <cell r="BT182">
            <v>42</v>
          </cell>
          <cell r="BU182">
            <v>8.4</v>
          </cell>
          <cell r="BV182">
            <v>2.4</v>
          </cell>
          <cell r="BW182">
            <v>0</v>
          </cell>
          <cell r="BX182">
            <v>0.26</v>
          </cell>
          <cell r="BY182">
            <v>1.87</v>
          </cell>
        </row>
        <row r="183">
          <cell r="BH183" t="str">
            <v>百夫长1</v>
          </cell>
          <cell r="BI183">
            <v>19</v>
          </cell>
          <cell r="BJ183" t="str">
            <v>百夫长</v>
          </cell>
          <cell r="BK183" t="str">
            <v>高</v>
          </cell>
          <cell r="BL183">
            <v>1</v>
          </cell>
          <cell r="BM183">
            <v>2031</v>
          </cell>
          <cell r="BN183">
            <v>206</v>
          </cell>
          <cell r="BO183">
            <v>682</v>
          </cell>
          <cell r="BP183">
            <v>512</v>
          </cell>
          <cell r="BQ183">
            <v>738</v>
          </cell>
          <cell r="BR183">
            <v>181</v>
          </cell>
          <cell r="BS183">
            <v>47.8</v>
          </cell>
          <cell r="BT183">
            <v>43</v>
          </cell>
          <cell r="BU183">
            <v>8.4</v>
          </cell>
          <cell r="BV183">
            <v>2.37</v>
          </cell>
          <cell r="BW183">
            <v>0</v>
          </cell>
          <cell r="BX183">
            <v>0.26</v>
          </cell>
          <cell r="BY183">
            <v>1.84</v>
          </cell>
        </row>
        <row r="184">
          <cell r="BH184" t="str">
            <v>百夫长2</v>
          </cell>
          <cell r="BI184">
            <v>19</v>
          </cell>
          <cell r="BJ184" t="str">
            <v>百夫长</v>
          </cell>
          <cell r="BK184" t="str">
            <v>高</v>
          </cell>
          <cell r="BL184">
            <v>2</v>
          </cell>
          <cell r="BM184">
            <v>2116</v>
          </cell>
          <cell r="BN184">
            <v>211</v>
          </cell>
          <cell r="BO184">
            <v>707</v>
          </cell>
          <cell r="BP184">
            <v>530</v>
          </cell>
          <cell r="BQ184">
            <v>757</v>
          </cell>
          <cell r="BR184">
            <v>189</v>
          </cell>
          <cell r="BS184">
            <v>48.8</v>
          </cell>
          <cell r="BT184">
            <v>43.9</v>
          </cell>
          <cell r="BU184">
            <v>8.4</v>
          </cell>
          <cell r="BV184">
            <v>2.34</v>
          </cell>
          <cell r="BW184">
            <v>0</v>
          </cell>
          <cell r="BX184">
            <v>0.26</v>
          </cell>
          <cell r="BY184">
            <v>1.81</v>
          </cell>
        </row>
        <row r="185">
          <cell r="BH185" t="str">
            <v>百夫长3</v>
          </cell>
          <cell r="BI185">
            <v>19</v>
          </cell>
          <cell r="BJ185" t="str">
            <v>百夫长</v>
          </cell>
          <cell r="BK185" t="str">
            <v>高</v>
          </cell>
          <cell r="BL185">
            <v>3</v>
          </cell>
          <cell r="BM185">
            <v>2202</v>
          </cell>
          <cell r="BN185">
            <v>217</v>
          </cell>
          <cell r="BO185">
            <v>732</v>
          </cell>
          <cell r="BP185">
            <v>549</v>
          </cell>
          <cell r="BQ185">
            <v>775</v>
          </cell>
          <cell r="BR185">
            <v>197</v>
          </cell>
          <cell r="BS185">
            <v>49.9</v>
          </cell>
          <cell r="BT185">
            <v>44.9</v>
          </cell>
          <cell r="BU185">
            <v>8.4</v>
          </cell>
          <cell r="BV185">
            <v>2.2999999999999998</v>
          </cell>
          <cell r="BW185">
            <v>0</v>
          </cell>
          <cell r="BX185">
            <v>0.26</v>
          </cell>
          <cell r="BY185">
            <v>1.79</v>
          </cell>
        </row>
        <row r="186">
          <cell r="BH186" t="str">
            <v>百夫长4</v>
          </cell>
          <cell r="BI186">
            <v>19</v>
          </cell>
          <cell r="BJ186" t="str">
            <v>百夫长</v>
          </cell>
          <cell r="BK186" t="str">
            <v>高</v>
          </cell>
          <cell r="BL186">
            <v>4</v>
          </cell>
          <cell r="BM186">
            <v>2288</v>
          </cell>
          <cell r="BN186">
            <v>222</v>
          </cell>
          <cell r="BO186">
            <v>757</v>
          </cell>
          <cell r="BP186">
            <v>568</v>
          </cell>
          <cell r="BQ186">
            <v>793</v>
          </cell>
          <cell r="BR186">
            <v>205</v>
          </cell>
          <cell r="BS186">
            <v>50.9</v>
          </cell>
          <cell r="BT186">
            <v>45.8</v>
          </cell>
          <cell r="BU186">
            <v>8.4</v>
          </cell>
          <cell r="BV186">
            <v>2.27</v>
          </cell>
          <cell r="BW186">
            <v>0</v>
          </cell>
          <cell r="BX186">
            <v>0.26</v>
          </cell>
          <cell r="BY186">
            <v>1.76</v>
          </cell>
        </row>
        <row r="187">
          <cell r="BH187" t="str">
            <v>百夫长5</v>
          </cell>
          <cell r="BI187">
            <v>19</v>
          </cell>
          <cell r="BJ187" t="str">
            <v>百夫长</v>
          </cell>
          <cell r="BK187" t="str">
            <v>高</v>
          </cell>
          <cell r="BL187">
            <v>5</v>
          </cell>
          <cell r="BM187">
            <v>2374</v>
          </cell>
          <cell r="BN187">
            <v>227</v>
          </cell>
          <cell r="BO187">
            <v>782</v>
          </cell>
          <cell r="BP187">
            <v>587</v>
          </cell>
          <cell r="BQ187">
            <v>812</v>
          </cell>
          <cell r="BR187">
            <v>213</v>
          </cell>
          <cell r="BS187">
            <v>52</v>
          </cell>
          <cell r="BT187">
            <v>46.8</v>
          </cell>
          <cell r="BU187">
            <v>8.4</v>
          </cell>
          <cell r="BV187">
            <v>2.2400000000000002</v>
          </cell>
          <cell r="BW187">
            <v>0</v>
          </cell>
          <cell r="BX187">
            <v>0.26</v>
          </cell>
          <cell r="BY187">
            <v>1.73</v>
          </cell>
        </row>
        <row r="188">
          <cell r="BH188" t="str">
            <v>百夫长6</v>
          </cell>
          <cell r="BI188">
            <v>19</v>
          </cell>
          <cell r="BJ188" t="str">
            <v>百夫长</v>
          </cell>
          <cell r="BK188" t="str">
            <v>高</v>
          </cell>
          <cell r="BL188">
            <v>6</v>
          </cell>
          <cell r="BM188">
            <v>2460</v>
          </cell>
          <cell r="BN188">
            <v>232</v>
          </cell>
          <cell r="BO188">
            <v>807</v>
          </cell>
          <cell r="BP188">
            <v>605</v>
          </cell>
          <cell r="BQ188">
            <v>830</v>
          </cell>
          <cell r="BR188">
            <v>221</v>
          </cell>
          <cell r="BS188">
            <v>53.1</v>
          </cell>
          <cell r="BT188">
            <v>47.7</v>
          </cell>
          <cell r="BU188">
            <v>8.4</v>
          </cell>
          <cell r="BV188">
            <v>2.21</v>
          </cell>
          <cell r="BW188">
            <v>0</v>
          </cell>
          <cell r="BX188">
            <v>0.26</v>
          </cell>
          <cell r="BY188">
            <v>1.7</v>
          </cell>
        </row>
        <row r="189">
          <cell r="BH189" t="str">
            <v>百夫长7</v>
          </cell>
          <cell r="BI189">
            <v>19</v>
          </cell>
          <cell r="BJ189" t="str">
            <v>百夫长</v>
          </cell>
          <cell r="BK189" t="str">
            <v>高</v>
          </cell>
          <cell r="BL189">
            <v>7</v>
          </cell>
          <cell r="BM189">
            <v>2546</v>
          </cell>
          <cell r="BN189">
            <v>237</v>
          </cell>
          <cell r="BO189">
            <v>832</v>
          </cell>
          <cell r="BP189">
            <v>624</v>
          </cell>
          <cell r="BQ189">
            <v>848</v>
          </cell>
          <cell r="BR189">
            <v>229</v>
          </cell>
          <cell r="BS189">
            <v>54.1</v>
          </cell>
          <cell r="BT189">
            <v>48.7</v>
          </cell>
          <cell r="BU189">
            <v>8.4</v>
          </cell>
          <cell r="BV189">
            <v>2.17</v>
          </cell>
          <cell r="BW189">
            <v>0</v>
          </cell>
          <cell r="BX189">
            <v>0.26</v>
          </cell>
          <cell r="BY189">
            <v>1.67</v>
          </cell>
        </row>
        <row r="190">
          <cell r="BH190" t="str">
            <v>百夫长8</v>
          </cell>
          <cell r="BI190">
            <v>19</v>
          </cell>
          <cell r="BJ190" t="str">
            <v>百夫长</v>
          </cell>
          <cell r="BK190" t="str">
            <v>高</v>
          </cell>
          <cell r="BL190">
            <v>8</v>
          </cell>
          <cell r="BM190">
            <v>2632</v>
          </cell>
          <cell r="BN190">
            <v>242</v>
          </cell>
          <cell r="BO190">
            <v>857</v>
          </cell>
          <cell r="BP190">
            <v>643</v>
          </cell>
          <cell r="BQ190">
            <v>867</v>
          </cell>
          <cell r="BR190">
            <v>237</v>
          </cell>
          <cell r="BS190">
            <v>55.2</v>
          </cell>
          <cell r="BT190">
            <v>49.6</v>
          </cell>
          <cell r="BU190">
            <v>8.4</v>
          </cell>
          <cell r="BV190">
            <v>2.14</v>
          </cell>
          <cell r="BW190">
            <v>0</v>
          </cell>
          <cell r="BX190">
            <v>0.26</v>
          </cell>
          <cell r="BY190">
            <v>1.64</v>
          </cell>
        </row>
        <row r="191">
          <cell r="BH191" t="str">
            <v>百夫长9</v>
          </cell>
          <cell r="BI191">
            <v>19</v>
          </cell>
          <cell r="BJ191" t="str">
            <v>百夫长</v>
          </cell>
          <cell r="BK191" t="str">
            <v>高</v>
          </cell>
          <cell r="BL191">
            <v>9</v>
          </cell>
          <cell r="BM191">
            <v>2718</v>
          </cell>
          <cell r="BN191">
            <v>247</v>
          </cell>
          <cell r="BO191">
            <v>882</v>
          </cell>
          <cell r="BP191">
            <v>661</v>
          </cell>
          <cell r="BQ191">
            <v>885</v>
          </cell>
          <cell r="BR191">
            <v>245</v>
          </cell>
          <cell r="BS191">
            <v>56.3</v>
          </cell>
          <cell r="BT191">
            <v>50.6</v>
          </cell>
          <cell r="BU191">
            <v>8.4</v>
          </cell>
          <cell r="BV191">
            <v>2.11</v>
          </cell>
          <cell r="BW191">
            <v>0</v>
          </cell>
          <cell r="BX191">
            <v>0.26</v>
          </cell>
          <cell r="BY191">
            <v>1.62</v>
          </cell>
        </row>
        <row r="192">
          <cell r="BH192" t="str">
            <v>百夫长10</v>
          </cell>
          <cell r="BI192">
            <v>19</v>
          </cell>
          <cell r="BJ192" t="str">
            <v>百夫长</v>
          </cell>
          <cell r="BK192" t="str">
            <v>高</v>
          </cell>
          <cell r="BL192">
            <v>10</v>
          </cell>
          <cell r="BM192">
            <v>2804</v>
          </cell>
          <cell r="BN192">
            <v>253</v>
          </cell>
          <cell r="BO192">
            <v>907</v>
          </cell>
          <cell r="BP192">
            <v>680</v>
          </cell>
          <cell r="BQ192">
            <v>904</v>
          </cell>
          <cell r="BR192">
            <v>253</v>
          </cell>
          <cell r="BS192">
            <v>57.3</v>
          </cell>
          <cell r="BT192">
            <v>51.5</v>
          </cell>
          <cell r="BU192">
            <v>8.4</v>
          </cell>
          <cell r="BV192">
            <v>2.08</v>
          </cell>
          <cell r="BW192">
            <v>0</v>
          </cell>
          <cell r="BX192">
            <v>0.26</v>
          </cell>
          <cell r="BY192">
            <v>1.59</v>
          </cell>
        </row>
        <row r="193">
          <cell r="BH193" t="str">
            <v>百夫长11</v>
          </cell>
          <cell r="BI193">
            <v>19</v>
          </cell>
          <cell r="BJ193" t="str">
            <v>百夫长</v>
          </cell>
          <cell r="BK193" t="str">
            <v>高</v>
          </cell>
          <cell r="BL193">
            <v>11</v>
          </cell>
          <cell r="BM193">
            <v>2890</v>
          </cell>
          <cell r="BN193">
            <v>258</v>
          </cell>
          <cell r="BO193">
            <v>932</v>
          </cell>
          <cell r="BP193">
            <v>699</v>
          </cell>
          <cell r="BQ193">
            <v>922</v>
          </cell>
          <cell r="BR193">
            <v>261</v>
          </cell>
          <cell r="BS193">
            <v>58.4</v>
          </cell>
          <cell r="BT193">
            <v>52.5</v>
          </cell>
          <cell r="BU193">
            <v>8.4</v>
          </cell>
          <cell r="BV193">
            <v>2.04</v>
          </cell>
          <cell r="BW193">
            <v>0</v>
          </cell>
          <cell r="BX193">
            <v>0.26</v>
          </cell>
          <cell r="BY193">
            <v>1.56</v>
          </cell>
        </row>
        <row r="194">
          <cell r="BH194" t="str">
            <v>挑战者0</v>
          </cell>
          <cell r="BI194">
            <v>20</v>
          </cell>
          <cell r="BJ194" t="str">
            <v>挑战者</v>
          </cell>
          <cell r="BK194" t="str">
            <v>低</v>
          </cell>
          <cell r="BL194">
            <v>0</v>
          </cell>
          <cell r="BM194">
            <v>2455</v>
          </cell>
          <cell r="BN194">
            <v>231</v>
          </cell>
          <cell r="BO194">
            <v>828</v>
          </cell>
          <cell r="BP194">
            <v>621</v>
          </cell>
          <cell r="BQ194">
            <v>907</v>
          </cell>
          <cell r="BR194">
            <v>218</v>
          </cell>
          <cell r="BS194">
            <v>35.6</v>
          </cell>
          <cell r="BT194">
            <v>50</v>
          </cell>
          <cell r="BU194">
            <v>7.2</v>
          </cell>
          <cell r="BV194">
            <v>2.4</v>
          </cell>
          <cell r="BW194">
            <v>0</v>
          </cell>
          <cell r="BX194">
            <v>0.4</v>
          </cell>
          <cell r="BY194">
            <v>1.4</v>
          </cell>
        </row>
        <row r="195">
          <cell r="BH195" t="str">
            <v>挑战者1</v>
          </cell>
          <cell r="BI195">
            <v>20</v>
          </cell>
          <cell r="BJ195" t="str">
            <v>挑战者</v>
          </cell>
          <cell r="BK195" t="str">
            <v>低</v>
          </cell>
          <cell r="BL195">
            <v>1</v>
          </cell>
          <cell r="BM195">
            <v>2535</v>
          </cell>
          <cell r="BN195">
            <v>235</v>
          </cell>
          <cell r="BO195">
            <v>851</v>
          </cell>
          <cell r="BP195">
            <v>638</v>
          </cell>
          <cell r="BQ195">
            <v>923</v>
          </cell>
          <cell r="BR195">
            <v>225</v>
          </cell>
          <cell r="BS195">
            <v>36.299999999999997</v>
          </cell>
          <cell r="BT195">
            <v>51</v>
          </cell>
          <cell r="BU195">
            <v>7.2</v>
          </cell>
          <cell r="BV195">
            <v>2.37</v>
          </cell>
          <cell r="BW195">
            <v>0</v>
          </cell>
          <cell r="BX195">
            <v>0.4</v>
          </cell>
          <cell r="BY195">
            <v>1.38</v>
          </cell>
        </row>
        <row r="196">
          <cell r="BH196" t="str">
            <v>挑战者2</v>
          </cell>
          <cell r="BI196">
            <v>20</v>
          </cell>
          <cell r="BJ196" t="str">
            <v>挑战者</v>
          </cell>
          <cell r="BK196" t="str">
            <v>低</v>
          </cell>
          <cell r="BL196">
            <v>2</v>
          </cell>
          <cell r="BM196">
            <v>2615</v>
          </cell>
          <cell r="BN196">
            <v>239</v>
          </cell>
          <cell r="BO196">
            <v>874</v>
          </cell>
          <cell r="BP196">
            <v>655</v>
          </cell>
          <cell r="BQ196">
            <v>938</v>
          </cell>
          <cell r="BR196">
            <v>233</v>
          </cell>
          <cell r="BS196">
            <v>37</v>
          </cell>
          <cell r="BT196">
            <v>51.9</v>
          </cell>
          <cell r="BU196">
            <v>7.2</v>
          </cell>
          <cell r="BV196">
            <v>2.34</v>
          </cell>
          <cell r="BW196">
            <v>0</v>
          </cell>
          <cell r="BX196">
            <v>0.4</v>
          </cell>
          <cell r="BY196">
            <v>1.36</v>
          </cell>
        </row>
        <row r="197">
          <cell r="BH197" t="str">
            <v>挑战者3</v>
          </cell>
          <cell r="BI197">
            <v>20</v>
          </cell>
          <cell r="BJ197" t="str">
            <v>挑战者</v>
          </cell>
          <cell r="BK197" t="str">
            <v>低</v>
          </cell>
          <cell r="BL197">
            <v>3</v>
          </cell>
          <cell r="BM197">
            <v>2695</v>
          </cell>
          <cell r="BN197">
            <v>243</v>
          </cell>
          <cell r="BO197">
            <v>896</v>
          </cell>
          <cell r="BP197">
            <v>672</v>
          </cell>
          <cell r="BQ197">
            <v>954</v>
          </cell>
          <cell r="BR197">
            <v>240</v>
          </cell>
          <cell r="BS197">
            <v>37.700000000000003</v>
          </cell>
          <cell r="BT197">
            <v>52.9</v>
          </cell>
          <cell r="BU197">
            <v>7.2</v>
          </cell>
          <cell r="BV197">
            <v>2.31</v>
          </cell>
          <cell r="BW197">
            <v>0</v>
          </cell>
          <cell r="BX197">
            <v>0.4</v>
          </cell>
          <cell r="BY197">
            <v>1.35</v>
          </cell>
        </row>
        <row r="198">
          <cell r="BH198" t="str">
            <v>挑战者4</v>
          </cell>
          <cell r="BI198">
            <v>20</v>
          </cell>
          <cell r="BJ198" t="str">
            <v>挑战者</v>
          </cell>
          <cell r="BK198" t="str">
            <v>低</v>
          </cell>
          <cell r="BL198">
            <v>4</v>
          </cell>
          <cell r="BM198">
            <v>2775</v>
          </cell>
          <cell r="BN198">
            <v>247</v>
          </cell>
          <cell r="BO198">
            <v>919</v>
          </cell>
          <cell r="BP198">
            <v>689</v>
          </cell>
          <cell r="BQ198">
            <v>970</v>
          </cell>
          <cell r="BR198">
            <v>248</v>
          </cell>
          <cell r="BS198">
            <v>38.299999999999997</v>
          </cell>
          <cell r="BT198">
            <v>53.8</v>
          </cell>
          <cell r="BU198">
            <v>7.2</v>
          </cell>
          <cell r="BV198">
            <v>2.2799999999999998</v>
          </cell>
          <cell r="BW198">
            <v>0</v>
          </cell>
          <cell r="BX198">
            <v>0.4</v>
          </cell>
          <cell r="BY198">
            <v>1.33</v>
          </cell>
        </row>
        <row r="199">
          <cell r="BH199" t="str">
            <v>挑战者5</v>
          </cell>
          <cell r="BI199">
            <v>20</v>
          </cell>
          <cell r="BJ199" t="str">
            <v>挑战者</v>
          </cell>
          <cell r="BK199" t="str">
            <v>低</v>
          </cell>
          <cell r="BL199">
            <v>5</v>
          </cell>
          <cell r="BM199">
            <v>2855</v>
          </cell>
          <cell r="BN199">
            <v>251</v>
          </cell>
          <cell r="BO199">
            <v>942</v>
          </cell>
          <cell r="BP199">
            <v>707</v>
          </cell>
          <cell r="BQ199">
            <v>985</v>
          </cell>
          <cell r="BR199">
            <v>255</v>
          </cell>
          <cell r="BS199">
            <v>39</v>
          </cell>
          <cell r="BT199">
            <v>54.8</v>
          </cell>
          <cell r="BU199">
            <v>7.2</v>
          </cell>
          <cell r="BV199">
            <v>2.2599999999999998</v>
          </cell>
          <cell r="BW199">
            <v>0</v>
          </cell>
          <cell r="BX199">
            <v>0.4</v>
          </cell>
          <cell r="BY199">
            <v>1.31</v>
          </cell>
        </row>
        <row r="200">
          <cell r="BH200" t="str">
            <v>挑战者6</v>
          </cell>
          <cell r="BI200">
            <v>20</v>
          </cell>
          <cell r="BJ200" t="str">
            <v>挑战者</v>
          </cell>
          <cell r="BK200" t="str">
            <v>低</v>
          </cell>
          <cell r="BL200">
            <v>6</v>
          </cell>
          <cell r="BM200">
            <v>2935</v>
          </cell>
          <cell r="BN200">
            <v>255</v>
          </cell>
          <cell r="BO200">
            <v>965</v>
          </cell>
          <cell r="BP200">
            <v>724</v>
          </cell>
          <cell r="BQ200">
            <v>1001</v>
          </cell>
          <cell r="BR200">
            <v>263</v>
          </cell>
          <cell r="BS200">
            <v>39.700000000000003</v>
          </cell>
          <cell r="BT200">
            <v>55.8</v>
          </cell>
          <cell r="BU200">
            <v>7.2</v>
          </cell>
          <cell r="BV200">
            <v>2.23</v>
          </cell>
          <cell r="BW200">
            <v>0</v>
          </cell>
          <cell r="BX200">
            <v>0.4</v>
          </cell>
          <cell r="BY200">
            <v>1.29</v>
          </cell>
        </row>
        <row r="201">
          <cell r="BH201" t="str">
            <v>挑战者7</v>
          </cell>
          <cell r="BI201">
            <v>20</v>
          </cell>
          <cell r="BJ201" t="str">
            <v>挑战者</v>
          </cell>
          <cell r="BK201" t="str">
            <v>低</v>
          </cell>
          <cell r="BL201">
            <v>7</v>
          </cell>
          <cell r="BM201">
            <v>3015</v>
          </cell>
          <cell r="BN201">
            <v>260</v>
          </cell>
          <cell r="BO201">
            <v>988</v>
          </cell>
          <cell r="BP201">
            <v>741</v>
          </cell>
          <cell r="BQ201">
            <v>1017</v>
          </cell>
          <cell r="BR201">
            <v>270</v>
          </cell>
          <cell r="BS201">
            <v>40.4</v>
          </cell>
          <cell r="BT201">
            <v>56.7</v>
          </cell>
          <cell r="BU201">
            <v>7.2</v>
          </cell>
          <cell r="BV201">
            <v>2.2000000000000002</v>
          </cell>
          <cell r="BW201">
            <v>0</v>
          </cell>
          <cell r="BX201">
            <v>0.4</v>
          </cell>
          <cell r="BY201">
            <v>1.27</v>
          </cell>
        </row>
        <row r="202">
          <cell r="BH202" t="str">
            <v>挑战者8</v>
          </cell>
          <cell r="BI202">
            <v>20</v>
          </cell>
          <cell r="BJ202" t="str">
            <v>挑战者</v>
          </cell>
          <cell r="BK202" t="str">
            <v>低</v>
          </cell>
          <cell r="BL202">
            <v>8</v>
          </cell>
          <cell r="BM202">
            <v>3095</v>
          </cell>
          <cell r="BN202">
            <v>264</v>
          </cell>
          <cell r="BO202">
            <v>1011</v>
          </cell>
          <cell r="BP202">
            <v>758</v>
          </cell>
          <cell r="BQ202">
            <v>1032</v>
          </cell>
          <cell r="BR202">
            <v>278</v>
          </cell>
          <cell r="BS202">
            <v>41.1</v>
          </cell>
          <cell r="BT202">
            <v>57.7</v>
          </cell>
          <cell r="BU202">
            <v>7.2</v>
          </cell>
          <cell r="BV202">
            <v>2.17</v>
          </cell>
          <cell r="BW202">
            <v>0</v>
          </cell>
          <cell r="BX202">
            <v>0.4</v>
          </cell>
          <cell r="BY202">
            <v>1.26</v>
          </cell>
        </row>
        <row r="203">
          <cell r="BH203" t="str">
            <v>挑战者9</v>
          </cell>
          <cell r="BI203">
            <v>20</v>
          </cell>
          <cell r="BJ203" t="str">
            <v>挑战者</v>
          </cell>
          <cell r="BK203" t="str">
            <v>低</v>
          </cell>
          <cell r="BL203">
            <v>9</v>
          </cell>
          <cell r="BM203">
            <v>3175</v>
          </cell>
          <cell r="BN203">
            <v>268</v>
          </cell>
          <cell r="BO203">
            <v>1033</v>
          </cell>
          <cell r="BP203">
            <v>775</v>
          </cell>
          <cell r="BQ203">
            <v>1048</v>
          </cell>
          <cell r="BR203">
            <v>285</v>
          </cell>
          <cell r="BS203">
            <v>41.8</v>
          </cell>
          <cell r="BT203">
            <v>58.7</v>
          </cell>
          <cell r="BU203">
            <v>7.2</v>
          </cell>
          <cell r="BV203">
            <v>2.14</v>
          </cell>
          <cell r="BW203">
            <v>0</v>
          </cell>
          <cell r="BX203">
            <v>0.4</v>
          </cell>
          <cell r="BY203">
            <v>1.24</v>
          </cell>
        </row>
        <row r="204">
          <cell r="BH204" t="str">
            <v>挑战者10</v>
          </cell>
          <cell r="BI204">
            <v>20</v>
          </cell>
          <cell r="BJ204" t="str">
            <v>挑战者</v>
          </cell>
          <cell r="BK204" t="str">
            <v>低</v>
          </cell>
          <cell r="BL204">
            <v>10</v>
          </cell>
          <cell r="BM204">
            <v>3255</v>
          </cell>
          <cell r="BN204">
            <v>272</v>
          </cell>
          <cell r="BO204">
            <v>1056</v>
          </cell>
          <cell r="BP204">
            <v>792</v>
          </cell>
          <cell r="BQ204">
            <v>1064</v>
          </cell>
          <cell r="BR204">
            <v>293</v>
          </cell>
          <cell r="BS204">
            <v>42.4</v>
          </cell>
          <cell r="BT204">
            <v>59.6</v>
          </cell>
          <cell r="BU204">
            <v>7.2</v>
          </cell>
          <cell r="BV204">
            <v>2.11</v>
          </cell>
          <cell r="BW204">
            <v>0</v>
          </cell>
          <cell r="BX204">
            <v>0.4</v>
          </cell>
          <cell r="BY204">
            <v>1.22</v>
          </cell>
        </row>
        <row r="205">
          <cell r="BH205" t="str">
            <v>挑战者11</v>
          </cell>
          <cell r="BI205">
            <v>20</v>
          </cell>
          <cell r="BJ205" t="str">
            <v>挑战者</v>
          </cell>
          <cell r="BK205" t="str">
            <v>低</v>
          </cell>
          <cell r="BL205">
            <v>11</v>
          </cell>
          <cell r="BM205">
            <v>3335</v>
          </cell>
          <cell r="BN205">
            <v>276</v>
          </cell>
          <cell r="BO205">
            <v>1079</v>
          </cell>
          <cell r="BP205">
            <v>809</v>
          </cell>
          <cell r="BQ205">
            <v>1079</v>
          </cell>
          <cell r="BR205">
            <v>300</v>
          </cell>
          <cell r="BS205">
            <v>43.1</v>
          </cell>
          <cell r="BT205">
            <v>60.6</v>
          </cell>
          <cell r="BU205">
            <v>7.2</v>
          </cell>
          <cell r="BV205">
            <v>2.08</v>
          </cell>
          <cell r="BW205">
            <v>0</v>
          </cell>
          <cell r="BX205">
            <v>0.4</v>
          </cell>
          <cell r="BY205">
            <v>1.2</v>
          </cell>
        </row>
        <row r="206">
          <cell r="BH206" t="str">
            <v>挑战者12</v>
          </cell>
          <cell r="BI206">
            <v>20</v>
          </cell>
          <cell r="BJ206" t="str">
            <v>挑战者</v>
          </cell>
          <cell r="BK206" t="str">
            <v>低</v>
          </cell>
          <cell r="BL206">
            <v>12</v>
          </cell>
          <cell r="BM206">
            <v>3415</v>
          </cell>
          <cell r="BN206">
            <v>280</v>
          </cell>
          <cell r="BO206">
            <v>1102</v>
          </cell>
          <cell r="BP206">
            <v>826</v>
          </cell>
          <cell r="BQ206">
            <v>1095</v>
          </cell>
          <cell r="BR206">
            <v>308</v>
          </cell>
          <cell r="BS206">
            <v>43.8</v>
          </cell>
          <cell r="BT206">
            <v>61.5</v>
          </cell>
          <cell r="BU206">
            <v>7.2</v>
          </cell>
          <cell r="BV206">
            <v>2.0499999999999998</v>
          </cell>
          <cell r="BW206">
            <v>0</v>
          </cell>
          <cell r="BX206">
            <v>0.4</v>
          </cell>
          <cell r="BY206">
            <v>1.18</v>
          </cell>
        </row>
        <row r="207">
          <cell r="BH207" t="str">
            <v>挑战者13</v>
          </cell>
          <cell r="BI207">
            <v>20</v>
          </cell>
          <cell r="BJ207" t="str">
            <v>挑战者</v>
          </cell>
          <cell r="BK207" t="str">
            <v>低</v>
          </cell>
          <cell r="BL207">
            <v>13</v>
          </cell>
          <cell r="BM207">
            <v>3495</v>
          </cell>
          <cell r="BN207">
            <v>284</v>
          </cell>
          <cell r="BO207">
            <v>1125</v>
          </cell>
          <cell r="BP207">
            <v>843</v>
          </cell>
          <cell r="BQ207">
            <v>1111</v>
          </cell>
          <cell r="BR207">
            <v>315</v>
          </cell>
          <cell r="BS207">
            <v>44.5</v>
          </cell>
          <cell r="BT207">
            <v>62.5</v>
          </cell>
          <cell r="BU207">
            <v>7.2</v>
          </cell>
          <cell r="BV207">
            <v>2.02</v>
          </cell>
          <cell r="BW207">
            <v>0</v>
          </cell>
          <cell r="BX207">
            <v>0.4</v>
          </cell>
          <cell r="BY207">
            <v>1.17</v>
          </cell>
        </row>
        <row r="208">
          <cell r="BH208" t="str">
            <v>B-10</v>
          </cell>
          <cell r="BI208">
            <v>21</v>
          </cell>
          <cell r="BJ208" t="str">
            <v>B-1</v>
          </cell>
          <cell r="BK208" t="str">
            <v>低</v>
          </cell>
          <cell r="BL208">
            <v>0</v>
          </cell>
          <cell r="BM208">
            <v>726</v>
          </cell>
          <cell r="BN208">
            <v>358</v>
          </cell>
          <cell r="BO208">
            <v>286</v>
          </cell>
          <cell r="BP208">
            <v>229</v>
          </cell>
          <cell r="BQ208">
            <v>420</v>
          </cell>
          <cell r="BR208">
            <v>98</v>
          </cell>
          <cell r="BS208">
            <v>38.299999999999997</v>
          </cell>
          <cell r="BT208">
            <v>28</v>
          </cell>
          <cell r="BU208">
            <v>7</v>
          </cell>
          <cell r="BV208">
            <v>5.4</v>
          </cell>
          <cell r="BW208">
            <v>0</v>
          </cell>
          <cell r="BX208">
            <v>2.8</v>
          </cell>
          <cell r="BY208">
            <v>2.5</v>
          </cell>
        </row>
        <row r="209">
          <cell r="BH209" t="str">
            <v>B-11</v>
          </cell>
          <cell r="BI209">
            <v>21</v>
          </cell>
          <cell r="BJ209" t="str">
            <v>B-1</v>
          </cell>
          <cell r="BK209" t="str">
            <v>低</v>
          </cell>
          <cell r="BL209">
            <v>1</v>
          </cell>
          <cell r="BM209">
            <v>838</v>
          </cell>
          <cell r="BN209">
            <v>373</v>
          </cell>
          <cell r="BO209">
            <v>301</v>
          </cell>
          <cell r="BP209">
            <v>241</v>
          </cell>
          <cell r="BQ209">
            <v>438</v>
          </cell>
          <cell r="BR209">
            <v>104</v>
          </cell>
          <cell r="BS209">
            <v>40.200000000000003</v>
          </cell>
          <cell r="BT209">
            <v>29.4</v>
          </cell>
          <cell r="BU209">
            <v>7</v>
          </cell>
          <cell r="BV209">
            <v>5.25</v>
          </cell>
          <cell r="BW209">
            <v>0</v>
          </cell>
          <cell r="BX209">
            <v>2.8</v>
          </cell>
          <cell r="BY209">
            <v>2.42</v>
          </cell>
        </row>
        <row r="210">
          <cell r="BH210" t="str">
            <v>B-12</v>
          </cell>
          <cell r="BI210">
            <v>21</v>
          </cell>
          <cell r="BJ210" t="str">
            <v>B-1</v>
          </cell>
          <cell r="BK210" t="str">
            <v>低</v>
          </cell>
          <cell r="BL210">
            <v>2</v>
          </cell>
          <cell r="BM210">
            <v>950</v>
          </cell>
          <cell r="BN210">
            <v>388</v>
          </cell>
          <cell r="BO210">
            <v>316</v>
          </cell>
          <cell r="BP210">
            <v>253</v>
          </cell>
          <cell r="BQ210">
            <v>455</v>
          </cell>
          <cell r="BR210">
            <v>110</v>
          </cell>
          <cell r="BS210">
            <v>42.1</v>
          </cell>
          <cell r="BT210">
            <v>30.8</v>
          </cell>
          <cell r="BU210">
            <v>7</v>
          </cell>
          <cell r="BV210">
            <v>5.0999999999999996</v>
          </cell>
          <cell r="BW210">
            <v>0</v>
          </cell>
          <cell r="BX210">
            <v>2.8</v>
          </cell>
          <cell r="BY210">
            <v>2.33</v>
          </cell>
        </row>
        <row r="211">
          <cell r="BH211" t="str">
            <v>B-13</v>
          </cell>
          <cell r="BI211">
            <v>21</v>
          </cell>
          <cell r="BJ211" t="str">
            <v>B-1</v>
          </cell>
          <cell r="BK211" t="str">
            <v>低</v>
          </cell>
          <cell r="BL211">
            <v>3</v>
          </cell>
          <cell r="BM211">
            <v>1062</v>
          </cell>
          <cell r="BN211">
            <v>403</v>
          </cell>
          <cell r="BO211">
            <v>331</v>
          </cell>
          <cell r="BP211">
            <v>265</v>
          </cell>
          <cell r="BQ211">
            <v>473</v>
          </cell>
          <cell r="BR211">
            <v>115</v>
          </cell>
          <cell r="BS211">
            <v>44</v>
          </cell>
          <cell r="BT211">
            <v>32.200000000000003</v>
          </cell>
          <cell r="BU211">
            <v>7</v>
          </cell>
          <cell r="BV211">
            <v>4.9400000000000004</v>
          </cell>
          <cell r="BW211">
            <v>0</v>
          </cell>
          <cell r="BX211">
            <v>2.8</v>
          </cell>
          <cell r="BY211">
            <v>2.25</v>
          </cell>
        </row>
        <row r="212">
          <cell r="BH212" t="str">
            <v>B-14</v>
          </cell>
          <cell r="BI212">
            <v>21</v>
          </cell>
          <cell r="BJ212" t="str">
            <v>B-1</v>
          </cell>
          <cell r="BK212" t="str">
            <v>低</v>
          </cell>
          <cell r="BL212">
            <v>4</v>
          </cell>
          <cell r="BM212">
            <v>1174</v>
          </cell>
          <cell r="BN212">
            <v>418</v>
          </cell>
          <cell r="BO212">
            <v>346</v>
          </cell>
          <cell r="BP212">
            <v>277</v>
          </cell>
          <cell r="BQ212">
            <v>491</v>
          </cell>
          <cell r="BR212">
            <v>121</v>
          </cell>
          <cell r="BS212">
            <v>46</v>
          </cell>
          <cell r="BT212">
            <v>33.6</v>
          </cell>
          <cell r="BU212">
            <v>7</v>
          </cell>
          <cell r="BV212">
            <v>4.79</v>
          </cell>
          <cell r="BW212">
            <v>0</v>
          </cell>
          <cell r="BX212">
            <v>2.8</v>
          </cell>
          <cell r="BY212">
            <v>2.17</v>
          </cell>
        </row>
        <row r="213">
          <cell r="BH213" t="str">
            <v>B-15</v>
          </cell>
          <cell r="BI213">
            <v>21</v>
          </cell>
          <cell r="BJ213" t="str">
            <v>B-1</v>
          </cell>
          <cell r="BK213" t="str">
            <v>低</v>
          </cell>
          <cell r="BL213">
            <v>5</v>
          </cell>
          <cell r="BM213">
            <v>1287</v>
          </cell>
          <cell r="BN213">
            <v>433</v>
          </cell>
          <cell r="BO213">
            <v>361</v>
          </cell>
          <cell r="BP213">
            <v>289</v>
          </cell>
          <cell r="BQ213">
            <v>508</v>
          </cell>
          <cell r="BR213">
            <v>127</v>
          </cell>
          <cell r="BS213">
            <v>47.9</v>
          </cell>
          <cell r="BT213">
            <v>35</v>
          </cell>
          <cell r="BU213">
            <v>7</v>
          </cell>
          <cell r="BV213">
            <v>4.6399999999999997</v>
          </cell>
          <cell r="BW213">
            <v>0</v>
          </cell>
          <cell r="BX213">
            <v>2.8</v>
          </cell>
          <cell r="BY213">
            <v>2.08</v>
          </cell>
        </row>
        <row r="214">
          <cell r="BH214" t="str">
            <v>KV-10</v>
          </cell>
          <cell r="BI214">
            <v>22</v>
          </cell>
          <cell r="BJ214" t="str">
            <v>KV-1</v>
          </cell>
          <cell r="BK214" t="str">
            <v>低</v>
          </cell>
          <cell r="BL214">
            <v>0</v>
          </cell>
          <cell r="BM214">
            <v>1106</v>
          </cell>
          <cell r="BN214">
            <v>257</v>
          </cell>
          <cell r="BO214">
            <v>343</v>
          </cell>
          <cell r="BP214">
            <v>274</v>
          </cell>
          <cell r="BQ214">
            <v>504</v>
          </cell>
          <cell r="BR214">
            <v>117</v>
          </cell>
          <cell r="BS214">
            <v>38.299999999999997</v>
          </cell>
          <cell r="BT214">
            <v>28</v>
          </cell>
          <cell r="BU214">
            <v>7</v>
          </cell>
          <cell r="BV214">
            <v>3.6</v>
          </cell>
          <cell r="BW214">
            <v>0</v>
          </cell>
          <cell r="BX214">
            <v>1.88</v>
          </cell>
          <cell r="BY214">
            <v>2.08</v>
          </cell>
        </row>
        <row r="215">
          <cell r="BH215" t="str">
            <v>KV-11</v>
          </cell>
          <cell r="BI215">
            <v>22</v>
          </cell>
          <cell r="BJ215" t="str">
            <v>KV-1</v>
          </cell>
          <cell r="BK215" t="str">
            <v>低</v>
          </cell>
          <cell r="BL215">
            <v>1</v>
          </cell>
          <cell r="BM215">
            <v>1179</v>
          </cell>
          <cell r="BN215">
            <v>267</v>
          </cell>
          <cell r="BO215">
            <v>361</v>
          </cell>
          <cell r="BP215">
            <v>288</v>
          </cell>
          <cell r="BQ215">
            <v>524</v>
          </cell>
          <cell r="BR215">
            <v>124</v>
          </cell>
          <cell r="BS215">
            <v>39.700000000000003</v>
          </cell>
          <cell r="BT215">
            <v>29</v>
          </cell>
          <cell r="BU215">
            <v>7</v>
          </cell>
          <cell r="BV215">
            <v>3.52</v>
          </cell>
          <cell r="BW215">
            <v>0</v>
          </cell>
          <cell r="BX215">
            <v>1.88</v>
          </cell>
          <cell r="BY215">
            <v>2.0299999999999998</v>
          </cell>
        </row>
        <row r="216">
          <cell r="BH216" t="str">
            <v>KV-12</v>
          </cell>
          <cell r="BI216">
            <v>22</v>
          </cell>
          <cell r="BJ216" t="str">
            <v>KV-1</v>
          </cell>
          <cell r="BK216" t="str">
            <v>低</v>
          </cell>
          <cell r="BL216">
            <v>2</v>
          </cell>
          <cell r="BM216">
            <v>1252</v>
          </cell>
          <cell r="BN216">
            <v>277</v>
          </cell>
          <cell r="BO216">
            <v>378</v>
          </cell>
          <cell r="BP216">
            <v>302</v>
          </cell>
          <cell r="BQ216">
            <v>543</v>
          </cell>
          <cell r="BR216">
            <v>131</v>
          </cell>
          <cell r="BS216">
            <v>41</v>
          </cell>
          <cell r="BT216">
            <v>30</v>
          </cell>
          <cell r="BU216">
            <v>7</v>
          </cell>
          <cell r="BV216">
            <v>3.45</v>
          </cell>
          <cell r="BW216">
            <v>0</v>
          </cell>
          <cell r="BX216">
            <v>1.88</v>
          </cell>
          <cell r="BY216">
            <v>1.98</v>
          </cell>
        </row>
        <row r="217">
          <cell r="BH217" t="str">
            <v>KV-13</v>
          </cell>
          <cell r="BI217">
            <v>22</v>
          </cell>
          <cell r="BJ217" t="str">
            <v>KV-1</v>
          </cell>
          <cell r="BK217" t="str">
            <v>低</v>
          </cell>
          <cell r="BL217">
            <v>3</v>
          </cell>
          <cell r="BM217">
            <v>1325</v>
          </cell>
          <cell r="BN217">
            <v>287</v>
          </cell>
          <cell r="BO217">
            <v>396</v>
          </cell>
          <cell r="BP217">
            <v>316</v>
          </cell>
          <cell r="BQ217">
            <v>563</v>
          </cell>
          <cell r="BR217">
            <v>138</v>
          </cell>
          <cell r="BS217">
            <v>42.4</v>
          </cell>
          <cell r="BT217">
            <v>31</v>
          </cell>
          <cell r="BU217">
            <v>7</v>
          </cell>
          <cell r="BV217">
            <v>3.37</v>
          </cell>
          <cell r="BW217">
            <v>0</v>
          </cell>
          <cell r="BX217">
            <v>1.88</v>
          </cell>
          <cell r="BY217">
            <v>1.93</v>
          </cell>
        </row>
        <row r="218">
          <cell r="BH218" t="str">
            <v>KV-14</v>
          </cell>
          <cell r="BI218">
            <v>22</v>
          </cell>
          <cell r="BJ218" t="str">
            <v>KV-1</v>
          </cell>
          <cell r="BK218" t="str">
            <v>低</v>
          </cell>
          <cell r="BL218">
            <v>4</v>
          </cell>
          <cell r="BM218">
            <v>1398</v>
          </cell>
          <cell r="BN218">
            <v>297</v>
          </cell>
          <cell r="BO218">
            <v>413</v>
          </cell>
          <cell r="BP218">
            <v>331</v>
          </cell>
          <cell r="BQ218">
            <v>582</v>
          </cell>
          <cell r="BR218">
            <v>145</v>
          </cell>
          <cell r="BS218">
            <v>43.8</v>
          </cell>
          <cell r="BT218">
            <v>32</v>
          </cell>
          <cell r="BU218">
            <v>7</v>
          </cell>
          <cell r="BV218">
            <v>3.29</v>
          </cell>
          <cell r="BW218">
            <v>0</v>
          </cell>
          <cell r="BX218">
            <v>1.88</v>
          </cell>
          <cell r="BY218">
            <v>1.88</v>
          </cell>
        </row>
        <row r="219">
          <cell r="BH219" t="str">
            <v>KV-15</v>
          </cell>
          <cell r="BI219">
            <v>22</v>
          </cell>
          <cell r="BJ219" t="str">
            <v>KV-1</v>
          </cell>
          <cell r="BK219" t="str">
            <v>低</v>
          </cell>
          <cell r="BL219">
            <v>5</v>
          </cell>
          <cell r="BM219">
            <v>1471</v>
          </cell>
          <cell r="BN219">
            <v>307</v>
          </cell>
          <cell r="BO219">
            <v>431</v>
          </cell>
          <cell r="BP219">
            <v>345</v>
          </cell>
          <cell r="BQ219">
            <v>602</v>
          </cell>
          <cell r="BR219">
            <v>152</v>
          </cell>
          <cell r="BS219">
            <v>45.1</v>
          </cell>
          <cell r="BT219">
            <v>33</v>
          </cell>
          <cell r="BU219">
            <v>7</v>
          </cell>
          <cell r="BV219">
            <v>3.21</v>
          </cell>
          <cell r="BW219">
            <v>0</v>
          </cell>
          <cell r="BX219">
            <v>1.88</v>
          </cell>
          <cell r="BY219">
            <v>1.84</v>
          </cell>
        </row>
        <row r="220">
          <cell r="BH220" t="str">
            <v>KV-16</v>
          </cell>
          <cell r="BI220">
            <v>22</v>
          </cell>
          <cell r="BJ220" t="str">
            <v>KV-1</v>
          </cell>
          <cell r="BK220" t="str">
            <v>低</v>
          </cell>
          <cell r="BL220">
            <v>6</v>
          </cell>
          <cell r="BM220">
            <v>1544</v>
          </cell>
          <cell r="BN220">
            <v>317</v>
          </cell>
          <cell r="BO220">
            <v>448</v>
          </cell>
          <cell r="BP220">
            <v>359</v>
          </cell>
          <cell r="BQ220">
            <v>621</v>
          </cell>
          <cell r="BR220">
            <v>159</v>
          </cell>
          <cell r="BS220">
            <v>46.5</v>
          </cell>
          <cell r="BT220">
            <v>34</v>
          </cell>
          <cell r="BU220">
            <v>7</v>
          </cell>
          <cell r="BV220">
            <v>3.14</v>
          </cell>
          <cell r="BW220">
            <v>0</v>
          </cell>
          <cell r="BX220">
            <v>1.88</v>
          </cell>
          <cell r="BY220">
            <v>1.79</v>
          </cell>
        </row>
        <row r="221">
          <cell r="BH221" t="str">
            <v>KV-17</v>
          </cell>
          <cell r="BI221">
            <v>22</v>
          </cell>
          <cell r="BJ221" t="str">
            <v>KV-1</v>
          </cell>
          <cell r="BK221" t="str">
            <v>低</v>
          </cell>
          <cell r="BL221">
            <v>7</v>
          </cell>
          <cell r="BM221">
            <v>1617</v>
          </cell>
          <cell r="BN221">
            <v>327</v>
          </cell>
          <cell r="BO221">
            <v>466</v>
          </cell>
          <cell r="BP221">
            <v>373</v>
          </cell>
          <cell r="BQ221">
            <v>641</v>
          </cell>
          <cell r="BR221">
            <v>166</v>
          </cell>
          <cell r="BS221">
            <v>47.9</v>
          </cell>
          <cell r="BT221">
            <v>35</v>
          </cell>
          <cell r="BU221">
            <v>7</v>
          </cell>
          <cell r="BV221">
            <v>3.06</v>
          </cell>
          <cell r="BW221">
            <v>0</v>
          </cell>
          <cell r="BX221">
            <v>1.88</v>
          </cell>
          <cell r="BY221">
            <v>1.74</v>
          </cell>
        </row>
        <row r="222">
          <cell r="BH222" t="str">
            <v>丘吉尔0</v>
          </cell>
          <cell r="BI222">
            <v>23</v>
          </cell>
          <cell r="BJ222" t="str">
            <v>丘吉尔</v>
          </cell>
          <cell r="BK222" t="str">
            <v>中</v>
          </cell>
          <cell r="BL222">
            <v>0</v>
          </cell>
          <cell r="BM222">
            <v>1161</v>
          </cell>
          <cell r="BN222">
            <v>444</v>
          </cell>
          <cell r="BO222">
            <v>383</v>
          </cell>
          <cell r="BP222">
            <v>307</v>
          </cell>
          <cell r="BQ222">
            <v>512</v>
          </cell>
          <cell r="BR222">
            <v>119</v>
          </cell>
          <cell r="BS222">
            <v>31.3</v>
          </cell>
          <cell r="BT222">
            <v>31.4</v>
          </cell>
          <cell r="BU222">
            <v>6.4</v>
          </cell>
          <cell r="BV222">
            <v>6</v>
          </cell>
          <cell r="BW222">
            <v>0</v>
          </cell>
          <cell r="BX222">
            <v>0</v>
          </cell>
          <cell r="BY222">
            <v>3</v>
          </cell>
        </row>
        <row r="223">
          <cell r="BH223" t="str">
            <v>丘吉尔1</v>
          </cell>
          <cell r="BI223">
            <v>23</v>
          </cell>
          <cell r="BJ223" t="str">
            <v>丘吉尔</v>
          </cell>
          <cell r="BK223" t="str">
            <v>中</v>
          </cell>
          <cell r="BL223">
            <v>1</v>
          </cell>
          <cell r="BM223">
            <v>1245</v>
          </cell>
          <cell r="BN223">
            <v>463</v>
          </cell>
          <cell r="BO223">
            <v>404</v>
          </cell>
          <cell r="BP223">
            <v>324</v>
          </cell>
          <cell r="BQ223">
            <v>533</v>
          </cell>
          <cell r="BR223">
            <v>127</v>
          </cell>
          <cell r="BS223">
            <v>32.4</v>
          </cell>
          <cell r="BT223">
            <v>32.5</v>
          </cell>
          <cell r="BU223">
            <v>6.4</v>
          </cell>
          <cell r="BV223">
            <v>5.88</v>
          </cell>
          <cell r="BW223">
            <v>0</v>
          </cell>
          <cell r="BX223">
            <v>0</v>
          </cell>
          <cell r="BY223">
            <v>2.93</v>
          </cell>
        </row>
        <row r="224">
          <cell r="BH224" t="str">
            <v>丘吉尔2</v>
          </cell>
          <cell r="BI224">
            <v>23</v>
          </cell>
          <cell r="BJ224" t="str">
            <v>丘吉尔</v>
          </cell>
          <cell r="BK224" t="str">
            <v>中</v>
          </cell>
          <cell r="BL224">
            <v>2</v>
          </cell>
          <cell r="BM224">
            <v>1328</v>
          </cell>
          <cell r="BN224">
            <v>481</v>
          </cell>
          <cell r="BO224">
            <v>425</v>
          </cell>
          <cell r="BP224">
            <v>340</v>
          </cell>
          <cell r="BQ224">
            <v>554</v>
          </cell>
          <cell r="BR224">
            <v>134</v>
          </cell>
          <cell r="BS224">
            <v>33.5</v>
          </cell>
          <cell r="BT224">
            <v>33.6</v>
          </cell>
          <cell r="BU224">
            <v>6.4</v>
          </cell>
          <cell r="BV224">
            <v>5.76</v>
          </cell>
          <cell r="BW224">
            <v>0</v>
          </cell>
          <cell r="BX224">
            <v>0</v>
          </cell>
          <cell r="BY224">
            <v>2.86</v>
          </cell>
        </row>
        <row r="225">
          <cell r="BH225" t="str">
            <v>丘吉尔3</v>
          </cell>
          <cell r="BI225">
            <v>23</v>
          </cell>
          <cell r="BJ225" t="str">
            <v>丘吉尔</v>
          </cell>
          <cell r="BK225" t="str">
            <v>中</v>
          </cell>
          <cell r="BL225">
            <v>3</v>
          </cell>
          <cell r="BM225">
            <v>1412</v>
          </cell>
          <cell r="BN225">
            <v>499</v>
          </cell>
          <cell r="BO225">
            <v>446</v>
          </cell>
          <cell r="BP225">
            <v>357</v>
          </cell>
          <cell r="BQ225">
            <v>575</v>
          </cell>
          <cell r="BR225">
            <v>142</v>
          </cell>
          <cell r="BS225">
            <v>34.700000000000003</v>
          </cell>
          <cell r="BT225">
            <v>34.799999999999997</v>
          </cell>
          <cell r="BU225">
            <v>6.4</v>
          </cell>
          <cell r="BV225">
            <v>5.64</v>
          </cell>
          <cell r="BW225">
            <v>0</v>
          </cell>
          <cell r="BX225">
            <v>0</v>
          </cell>
          <cell r="BY225">
            <v>2.79</v>
          </cell>
        </row>
        <row r="226">
          <cell r="BH226" t="str">
            <v>丘吉尔4</v>
          </cell>
          <cell r="BI226">
            <v>23</v>
          </cell>
          <cell r="BJ226" t="str">
            <v>丘吉尔</v>
          </cell>
          <cell r="BK226" t="str">
            <v>中</v>
          </cell>
          <cell r="BL226">
            <v>4</v>
          </cell>
          <cell r="BM226">
            <v>1495</v>
          </cell>
          <cell r="BN226">
            <v>518</v>
          </cell>
          <cell r="BO226">
            <v>467</v>
          </cell>
          <cell r="BP226">
            <v>374</v>
          </cell>
          <cell r="BQ226">
            <v>596</v>
          </cell>
          <cell r="BR226">
            <v>149</v>
          </cell>
          <cell r="BS226">
            <v>35.799999999999997</v>
          </cell>
          <cell r="BT226">
            <v>35.9</v>
          </cell>
          <cell r="BU226">
            <v>6.4</v>
          </cell>
          <cell r="BV226">
            <v>5.51</v>
          </cell>
          <cell r="BW226">
            <v>0</v>
          </cell>
          <cell r="BX226">
            <v>0</v>
          </cell>
          <cell r="BY226">
            <v>2.71</v>
          </cell>
        </row>
        <row r="227">
          <cell r="BH227" t="str">
            <v>丘吉尔5</v>
          </cell>
          <cell r="BI227">
            <v>23</v>
          </cell>
          <cell r="BJ227" t="str">
            <v>丘吉尔</v>
          </cell>
          <cell r="BK227" t="str">
            <v>中</v>
          </cell>
          <cell r="BL227">
            <v>5</v>
          </cell>
          <cell r="BM227">
            <v>1579</v>
          </cell>
          <cell r="BN227">
            <v>536</v>
          </cell>
          <cell r="BO227">
            <v>487</v>
          </cell>
          <cell r="BP227">
            <v>391</v>
          </cell>
          <cell r="BQ227">
            <v>617</v>
          </cell>
          <cell r="BR227">
            <v>157</v>
          </cell>
          <cell r="BS227">
            <v>36.9</v>
          </cell>
          <cell r="BT227">
            <v>37</v>
          </cell>
          <cell r="BU227">
            <v>6.4</v>
          </cell>
          <cell r="BV227">
            <v>5.39</v>
          </cell>
          <cell r="BW227">
            <v>0</v>
          </cell>
          <cell r="BX227">
            <v>0</v>
          </cell>
          <cell r="BY227">
            <v>2.64</v>
          </cell>
        </row>
        <row r="228">
          <cell r="BH228" t="str">
            <v>丘吉尔6</v>
          </cell>
          <cell r="BI228">
            <v>23</v>
          </cell>
          <cell r="BJ228" t="str">
            <v>丘吉尔</v>
          </cell>
          <cell r="BK228" t="str">
            <v>中</v>
          </cell>
          <cell r="BL228">
            <v>6</v>
          </cell>
          <cell r="BM228">
            <v>1662</v>
          </cell>
          <cell r="BN228">
            <v>554</v>
          </cell>
          <cell r="BO228">
            <v>508</v>
          </cell>
          <cell r="BP228">
            <v>407</v>
          </cell>
          <cell r="BQ228">
            <v>638</v>
          </cell>
          <cell r="BR228">
            <v>164</v>
          </cell>
          <cell r="BS228">
            <v>38</v>
          </cell>
          <cell r="BT228">
            <v>38.1</v>
          </cell>
          <cell r="BU228">
            <v>6.4</v>
          </cell>
          <cell r="BV228">
            <v>5.27</v>
          </cell>
          <cell r="BW228">
            <v>0</v>
          </cell>
          <cell r="BX228">
            <v>0</v>
          </cell>
          <cell r="BY228">
            <v>2.57</v>
          </cell>
        </row>
        <row r="229">
          <cell r="BH229" t="str">
            <v>丘吉尔7</v>
          </cell>
          <cell r="BI229">
            <v>23</v>
          </cell>
          <cell r="BJ229" t="str">
            <v>丘吉尔</v>
          </cell>
          <cell r="BK229" t="str">
            <v>中</v>
          </cell>
          <cell r="BL229">
            <v>7</v>
          </cell>
          <cell r="BM229">
            <v>1746</v>
          </cell>
          <cell r="BN229">
            <v>573</v>
          </cell>
          <cell r="BO229">
            <v>529</v>
          </cell>
          <cell r="BP229">
            <v>424</v>
          </cell>
          <cell r="BQ229">
            <v>660</v>
          </cell>
          <cell r="BR229">
            <v>172</v>
          </cell>
          <cell r="BS229">
            <v>39.1</v>
          </cell>
          <cell r="BT229">
            <v>39.299999999999997</v>
          </cell>
          <cell r="BU229">
            <v>6.4</v>
          </cell>
          <cell r="BV229">
            <v>5.15</v>
          </cell>
          <cell r="BW229">
            <v>0</v>
          </cell>
          <cell r="BX229">
            <v>0</v>
          </cell>
          <cell r="BY229">
            <v>2.5</v>
          </cell>
        </row>
        <row r="230">
          <cell r="BH230" t="str">
            <v>黑豹0</v>
          </cell>
          <cell r="BI230">
            <v>24</v>
          </cell>
          <cell r="BJ230" t="str">
            <v>黑豹</v>
          </cell>
          <cell r="BK230" t="str">
            <v>低</v>
          </cell>
          <cell r="BL230">
            <v>0</v>
          </cell>
          <cell r="BM230">
            <v>1456</v>
          </cell>
          <cell r="BN230">
            <v>521</v>
          </cell>
          <cell r="BO230">
            <v>465</v>
          </cell>
          <cell r="BP230">
            <v>372</v>
          </cell>
          <cell r="BQ230">
            <v>622</v>
          </cell>
          <cell r="BR230">
            <v>145</v>
          </cell>
          <cell r="BS230">
            <v>30.7</v>
          </cell>
          <cell r="BT230">
            <v>33.6</v>
          </cell>
          <cell r="BU230">
            <v>6.3</v>
          </cell>
          <cell r="BV230">
            <v>6</v>
          </cell>
          <cell r="BW230">
            <v>0</v>
          </cell>
          <cell r="BX230">
            <v>0</v>
          </cell>
          <cell r="BY230">
            <v>3</v>
          </cell>
        </row>
        <row r="231">
          <cell r="BH231" t="str">
            <v>黑豹1</v>
          </cell>
          <cell r="BI231">
            <v>24</v>
          </cell>
          <cell r="BJ231" t="str">
            <v>黑豹</v>
          </cell>
          <cell r="BK231" t="str">
            <v>低</v>
          </cell>
          <cell r="BL231">
            <v>1</v>
          </cell>
          <cell r="BM231">
            <v>1532</v>
          </cell>
          <cell r="BN231">
            <v>537</v>
          </cell>
          <cell r="BO231">
            <v>485</v>
          </cell>
          <cell r="BP231">
            <v>388</v>
          </cell>
          <cell r="BQ231">
            <v>641</v>
          </cell>
          <cell r="BR231">
            <v>152</v>
          </cell>
          <cell r="BS231">
            <v>31.6</v>
          </cell>
          <cell r="BT231">
            <v>34.5</v>
          </cell>
          <cell r="BU231">
            <v>6.3</v>
          </cell>
          <cell r="BV231">
            <v>5.91</v>
          </cell>
          <cell r="BW231">
            <v>0</v>
          </cell>
          <cell r="BX231">
            <v>0</v>
          </cell>
          <cell r="BY231">
            <v>2.94</v>
          </cell>
        </row>
        <row r="232">
          <cell r="BH232" t="str">
            <v>黑豹2</v>
          </cell>
          <cell r="BI232">
            <v>24</v>
          </cell>
          <cell r="BJ232" t="str">
            <v>黑豹</v>
          </cell>
          <cell r="BK232" t="str">
            <v>低</v>
          </cell>
          <cell r="BL232">
            <v>2</v>
          </cell>
          <cell r="BM232">
            <v>1609</v>
          </cell>
          <cell r="BN232">
            <v>554</v>
          </cell>
          <cell r="BO232">
            <v>506</v>
          </cell>
          <cell r="BP232">
            <v>404</v>
          </cell>
          <cell r="BQ232">
            <v>661</v>
          </cell>
          <cell r="BR232">
            <v>160</v>
          </cell>
          <cell r="BS232">
            <v>32.4</v>
          </cell>
          <cell r="BT232">
            <v>35.5</v>
          </cell>
          <cell r="BU232">
            <v>6.3</v>
          </cell>
          <cell r="BV232">
            <v>5.81</v>
          </cell>
          <cell r="BW232">
            <v>0</v>
          </cell>
          <cell r="BX232">
            <v>0</v>
          </cell>
          <cell r="BY232">
            <v>2.89</v>
          </cell>
        </row>
        <row r="233">
          <cell r="BH233" t="str">
            <v>黑豹3</v>
          </cell>
          <cell r="BI233">
            <v>24</v>
          </cell>
          <cell r="BJ233" t="str">
            <v>黑豹</v>
          </cell>
          <cell r="BK233" t="str">
            <v>低</v>
          </cell>
          <cell r="BL233">
            <v>3</v>
          </cell>
          <cell r="BM233">
            <v>1686</v>
          </cell>
          <cell r="BN233">
            <v>570</v>
          </cell>
          <cell r="BO233">
            <v>526</v>
          </cell>
          <cell r="BP233">
            <v>421</v>
          </cell>
          <cell r="BQ233">
            <v>680</v>
          </cell>
          <cell r="BR233">
            <v>167</v>
          </cell>
          <cell r="BS233">
            <v>33.299999999999997</v>
          </cell>
          <cell r="BT233">
            <v>36.4</v>
          </cell>
          <cell r="BU233">
            <v>6.3</v>
          </cell>
          <cell r="BV233">
            <v>5.72</v>
          </cell>
          <cell r="BW233">
            <v>0</v>
          </cell>
          <cell r="BX233">
            <v>0</v>
          </cell>
          <cell r="BY233">
            <v>2.83</v>
          </cell>
        </row>
        <row r="234">
          <cell r="BH234" t="str">
            <v>黑豹4</v>
          </cell>
          <cell r="BI234">
            <v>24</v>
          </cell>
          <cell r="BJ234" t="str">
            <v>黑豹</v>
          </cell>
          <cell r="BK234" t="str">
            <v>低</v>
          </cell>
          <cell r="BL234">
            <v>4</v>
          </cell>
          <cell r="BM234">
            <v>1763</v>
          </cell>
          <cell r="BN234">
            <v>586</v>
          </cell>
          <cell r="BO234">
            <v>546</v>
          </cell>
          <cell r="BP234">
            <v>437</v>
          </cell>
          <cell r="BQ234">
            <v>699</v>
          </cell>
          <cell r="BR234">
            <v>175</v>
          </cell>
          <cell r="BS234">
            <v>34.1</v>
          </cell>
          <cell r="BT234">
            <v>37.299999999999997</v>
          </cell>
          <cell r="BU234">
            <v>6.3</v>
          </cell>
          <cell r="BV234">
            <v>5.62</v>
          </cell>
          <cell r="BW234">
            <v>0</v>
          </cell>
          <cell r="BX234">
            <v>0</v>
          </cell>
          <cell r="BY234">
            <v>2.78</v>
          </cell>
        </row>
        <row r="235">
          <cell r="BH235" t="str">
            <v>黑豹5</v>
          </cell>
          <cell r="BI235">
            <v>24</v>
          </cell>
          <cell r="BJ235" t="str">
            <v>黑豹</v>
          </cell>
          <cell r="BK235" t="str">
            <v>低</v>
          </cell>
          <cell r="BL235">
            <v>5</v>
          </cell>
          <cell r="BM235">
            <v>1840</v>
          </cell>
          <cell r="BN235">
            <v>602</v>
          </cell>
          <cell r="BO235">
            <v>566</v>
          </cell>
          <cell r="BP235">
            <v>453</v>
          </cell>
          <cell r="BQ235">
            <v>718</v>
          </cell>
          <cell r="BR235">
            <v>182</v>
          </cell>
          <cell r="BS235">
            <v>35</v>
          </cell>
          <cell r="BT235">
            <v>38.299999999999997</v>
          </cell>
          <cell r="BU235">
            <v>6.3</v>
          </cell>
          <cell r="BV235">
            <v>5.53</v>
          </cell>
          <cell r="BW235">
            <v>0</v>
          </cell>
          <cell r="BX235">
            <v>0</v>
          </cell>
          <cell r="BY235">
            <v>2.72</v>
          </cell>
        </row>
        <row r="236">
          <cell r="BH236" t="str">
            <v>黑豹6</v>
          </cell>
          <cell r="BI236">
            <v>24</v>
          </cell>
          <cell r="BJ236" t="str">
            <v>黑豹</v>
          </cell>
          <cell r="BK236" t="str">
            <v>低</v>
          </cell>
          <cell r="BL236">
            <v>6</v>
          </cell>
          <cell r="BM236">
            <v>1916</v>
          </cell>
          <cell r="BN236">
            <v>619</v>
          </cell>
          <cell r="BO236">
            <v>587</v>
          </cell>
          <cell r="BP236">
            <v>469</v>
          </cell>
          <cell r="BQ236">
            <v>738</v>
          </cell>
          <cell r="BR236">
            <v>190</v>
          </cell>
          <cell r="BS236">
            <v>35.799999999999997</v>
          </cell>
          <cell r="BT236">
            <v>39.200000000000003</v>
          </cell>
          <cell r="BU236">
            <v>6.3</v>
          </cell>
          <cell r="BV236">
            <v>5.43</v>
          </cell>
          <cell r="BW236">
            <v>0</v>
          </cell>
          <cell r="BX236">
            <v>0</v>
          </cell>
          <cell r="BY236">
            <v>2.67</v>
          </cell>
        </row>
        <row r="237">
          <cell r="BH237" t="str">
            <v>黑豹7</v>
          </cell>
          <cell r="BI237">
            <v>24</v>
          </cell>
          <cell r="BJ237" t="str">
            <v>黑豹</v>
          </cell>
          <cell r="BK237" t="str">
            <v>低</v>
          </cell>
          <cell r="BL237">
            <v>7</v>
          </cell>
          <cell r="BM237">
            <v>1993</v>
          </cell>
          <cell r="BN237">
            <v>635</v>
          </cell>
          <cell r="BO237">
            <v>607</v>
          </cell>
          <cell r="BP237">
            <v>486</v>
          </cell>
          <cell r="BQ237">
            <v>757</v>
          </cell>
          <cell r="BR237">
            <v>197</v>
          </cell>
          <cell r="BS237">
            <v>36.700000000000003</v>
          </cell>
          <cell r="BT237">
            <v>40.1</v>
          </cell>
          <cell r="BU237">
            <v>6.3</v>
          </cell>
          <cell r="BV237">
            <v>5.34</v>
          </cell>
          <cell r="BW237">
            <v>0</v>
          </cell>
          <cell r="BX237">
            <v>0</v>
          </cell>
          <cell r="BY237">
            <v>2.61</v>
          </cell>
        </row>
        <row r="238">
          <cell r="BH238" t="str">
            <v>黑豹8</v>
          </cell>
          <cell r="BI238">
            <v>24</v>
          </cell>
          <cell r="BJ238" t="str">
            <v>黑豹</v>
          </cell>
          <cell r="BK238" t="str">
            <v>低</v>
          </cell>
          <cell r="BL238">
            <v>8</v>
          </cell>
          <cell r="BM238">
            <v>2070</v>
          </cell>
          <cell r="BN238">
            <v>651</v>
          </cell>
          <cell r="BO238">
            <v>627</v>
          </cell>
          <cell r="BP238">
            <v>502</v>
          </cell>
          <cell r="BQ238">
            <v>776</v>
          </cell>
          <cell r="BR238">
            <v>205</v>
          </cell>
          <cell r="BS238">
            <v>37.5</v>
          </cell>
          <cell r="BT238">
            <v>41.1</v>
          </cell>
          <cell r="BU238">
            <v>6.3</v>
          </cell>
          <cell r="BV238">
            <v>5.24</v>
          </cell>
          <cell r="BW238">
            <v>0</v>
          </cell>
          <cell r="BX238">
            <v>0</v>
          </cell>
          <cell r="BY238">
            <v>2.56</v>
          </cell>
        </row>
        <row r="239">
          <cell r="BH239" t="str">
            <v>黑豹9</v>
          </cell>
          <cell r="BI239">
            <v>24</v>
          </cell>
          <cell r="BJ239" t="str">
            <v>黑豹</v>
          </cell>
          <cell r="BK239" t="str">
            <v>低</v>
          </cell>
          <cell r="BL239">
            <v>9</v>
          </cell>
          <cell r="BM239">
            <v>2147</v>
          </cell>
          <cell r="BN239">
            <v>667</v>
          </cell>
          <cell r="BO239">
            <v>647</v>
          </cell>
          <cell r="BP239">
            <v>518</v>
          </cell>
          <cell r="BQ239">
            <v>795</v>
          </cell>
          <cell r="BR239">
            <v>212</v>
          </cell>
          <cell r="BS239">
            <v>38.4</v>
          </cell>
          <cell r="BT239">
            <v>42</v>
          </cell>
          <cell r="BU239">
            <v>6.3</v>
          </cell>
          <cell r="BV239">
            <v>5.15</v>
          </cell>
          <cell r="BW239">
            <v>0</v>
          </cell>
          <cell r="BX239">
            <v>0</v>
          </cell>
          <cell r="BY239">
            <v>2.5</v>
          </cell>
        </row>
        <row r="240">
          <cell r="BH240" t="str">
            <v>虎式0</v>
          </cell>
          <cell r="BI240">
            <v>25</v>
          </cell>
          <cell r="BJ240" t="str">
            <v>虎式</v>
          </cell>
          <cell r="BK240" t="str">
            <v>中</v>
          </cell>
          <cell r="BL240">
            <v>0</v>
          </cell>
          <cell r="BM240">
            <v>1455</v>
          </cell>
          <cell r="BN240">
            <v>565</v>
          </cell>
          <cell r="BO240">
            <v>484</v>
          </cell>
          <cell r="BP240">
            <v>387</v>
          </cell>
          <cell r="BQ240">
            <v>647</v>
          </cell>
          <cell r="BR240">
            <v>151</v>
          </cell>
          <cell r="BS240">
            <v>31.3</v>
          </cell>
          <cell r="BT240">
            <v>35.700000000000003</v>
          </cell>
          <cell r="BU240">
            <v>6.4</v>
          </cell>
          <cell r="BV240">
            <v>6</v>
          </cell>
          <cell r="BW240">
            <v>0</v>
          </cell>
          <cell r="BX240">
            <v>0</v>
          </cell>
          <cell r="BY240">
            <v>3</v>
          </cell>
        </row>
        <row r="241">
          <cell r="BH241" t="str">
            <v>虎式1</v>
          </cell>
          <cell r="BI241">
            <v>25</v>
          </cell>
          <cell r="BJ241" t="str">
            <v>虎式</v>
          </cell>
          <cell r="BK241" t="str">
            <v>中</v>
          </cell>
          <cell r="BL241">
            <v>1</v>
          </cell>
          <cell r="BM241">
            <v>1538</v>
          </cell>
          <cell r="BN241">
            <v>584</v>
          </cell>
          <cell r="BO241">
            <v>506</v>
          </cell>
          <cell r="BP241">
            <v>404</v>
          </cell>
          <cell r="BQ241">
            <v>668</v>
          </cell>
          <cell r="BR241">
            <v>159</v>
          </cell>
          <cell r="BS241">
            <v>32.200000000000003</v>
          </cell>
          <cell r="BT241">
            <v>36.700000000000003</v>
          </cell>
          <cell r="BU241">
            <v>6.4</v>
          </cell>
          <cell r="BV241">
            <v>5.91</v>
          </cell>
          <cell r="BW241">
            <v>0</v>
          </cell>
          <cell r="BX241">
            <v>0</v>
          </cell>
          <cell r="BY241">
            <v>2.94</v>
          </cell>
        </row>
        <row r="242">
          <cell r="BH242" t="str">
            <v>虎式2</v>
          </cell>
          <cell r="BI242">
            <v>25</v>
          </cell>
          <cell r="BJ242" t="str">
            <v>虎式</v>
          </cell>
          <cell r="BK242" t="str">
            <v>中</v>
          </cell>
          <cell r="BL242">
            <v>2</v>
          </cell>
          <cell r="BM242">
            <v>1620</v>
          </cell>
          <cell r="BN242">
            <v>602</v>
          </cell>
          <cell r="BO242">
            <v>527</v>
          </cell>
          <cell r="BP242">
            <v>422</v>
          </cell>
          <cell r="BQ242">
            <v>688</v>
          </cell>
          <cell r="BR242">
            <v>167</v>
          </cell>
          <cell r="BS242">
            <v>33</v>
          </cell>
          <cell r="BT242">
            <v>37.700000000000003</v>
          </cell>
          <cell r="BU242">
            <v>6.4</v>
          </cell>
          <cell r="BV242">
            <v>5.81</v>
          </cell>
          <cell r="BW242">
            <v>0</v>
          </cell>
          <cell r="BX242">
            <v>0</v>
          </cell>
          <cell r="BY242">
            <v>2.89</v>
          </cell>
        </row>
        <row r="243">
          <cell r="BH243" t="str">
            <v>虎式3</v>
          </cell>
          <cell r="BI243">
            <v>25</v>
          </cell>
          <cell r="BJ243" t="str">
            <v>虎式</v>
          </cell>
          <cell r="BK243" t="str">
            <v>中</v>
          </cell>
          <cell r="BL243">
            <v>3</v>
          </cell>
          <cell r="BM243">
            <v>1703</v>
          </cell>
          <cell r="BN243">
            <v>620</v>
          </cell>
          <cell r="BO243">
            <v>549</v>
          </cell>
          <cell r="BP243">
            <v>439</v>
          </cell>
          <cell r="BQ243">
            <v>709</v>
          </cell>
          <cell r="BR243">
            <v>175</v>
          </cell>
          <cell r="BS243">
            <v>33.9</v>
          </cell>
          <cell r="BT243">
            <v>38.700000000000003</v>
          </cell>
          <cell r="BU243">
            <v>6.4</v>
          </cell>
          <cell r="BV243">
            <v>5.72</v>
          </cell>
          <cell r="BW243">
            <v>0</v>
          </cell>
          <cell r="BX243">
            <v>0</v>
          </cell>
          <cell r="BY243">
            <v>2.83</v>
          </cell>
        </row>
        <row r="244">
          <cell r="BH244" t="str">
            <v>虎式4</v>
          </cell>
          <cell r="BI244">
            <v>25</v>
          </cell>
          <cell r="BJ244" t="str">
            <v>虎式</v>
          </cell>
          <cell r="BK244" t="str">
            <v>中</v>
          </cell>
          <cell r="BL244">
            <v>4</v>
          </cell>
          <cell r="BM244">
            <v>1785</v>
          </cell>
          <cell r="BN244">
            <v>638</v>
          </cell>
          <cell r="BO244">
            <v>571</v>
          </cell>
          <cell r="BP244">
            <v>456</v>
          </cell>
          <cell r="BQ244">
            <v>730</v>
          </cell>
          <cell r="BR244">
            <v>183</v>
          </cell>
          <cell r="BS244">
            <v>34.799999999999997</v>
          </cell>
          <cell r="BT244">
            <v>39.700000000000003</v>
          </cell>
          <cell r="BU244">
            <v>6.4</v>
          </cell>
          <cell r="BV244">
            <v>5.62</v>
          </cell>
          <cell r="BW244">
            <v>0</v>
          </cell>
          <cell r="BX244">
            <v>0</v>
          </cell>
          <cell r="BY244">
            <v>2.78</v>
          </cell>
        </row>
        <row r="245">
          <cell r="BH245" t="str">
            <v>虎式5</v>
          </cell>
          <cell r="BI245">
            <v>25</v>
          </cell>
          <cell r="BJ245" t="str">
            <v>虎式</v>
          </cell>
          <cell r="BK245" t="str">
            <v>中</v>
          </cell>
          <cell r="BL245">
            <v>5</v>
          </cell>
          <cell r="BM245">
            <v>1868</v>
          </cell>
          <cell r="BN245">
            <v>656</v>
          </cell>
          <cell r="BO245">
            <v>593</v>
          </cell>
          <cell r="BP245">
            <v>474</v>
          </cell>
          <cell r="BQ245">
            <v>751</v>
          </cell>
          <cell r="BR245">
            <v>191</v>
          </cell>
          <cell r="BS245">
            <v>35.6</v>
          </cell>
          <cell r="BT245">
            <v>40.700000000000003</v>
          </cell>
          <cell r="BU245">
            <v>6.4</v>
          </cell>
          <cell r="BV245">
            <v>5.53</v>
          </cell>
          <cell r="BW245">
            <v>0</v>
          </cell>
          <cell r="BX245">
            <v>0</v>
          </cell>
          <cell r="BY245">
            <v>2.72</v>
          </cell>
        </row>
        <row r="246">
          <cell r="BH246" t="str">
            <v>虎式6</v>
          </cell>
          <cell r="BI246">
            <v>25</v>
          </cell>
          <cell r="BJ246" t="str">
            <v>虎式</v>
          </cell>
          <cell r="BK246" t="str">
            <v>中</v>
          </cell>
          <cell r="BL246">
            <v>6</v>
          </cell>
          <cell r="BM246">
            <v>1950</v>
          </cell>
          <cell r="BN246">
            <v>674</v>
          </cell>
          <cell r="BO246">
            <v>614</v>
          </cell>
          <cell r="BP246">
            <v>491</v>
          </cell>
          <cell r="BQ246">
            <v>771</v>
          </cell>
          <cell r="BR246">
            <v>199</v>
          </cell>
          <cell r="BS246">
            <v>36.5</v>
          </cell>
          <cell r="BT246">
            <v>41.7</v>
          </cell>
          <cell r="BU246">
            <v>6.4</v>
          </cell>
          <cell r="BV246">
            <v>5.43</v>
          </cell>
          <cell r="BW246">
            <v>0</v>
          </cell>
          <cell r="BX246">
            <v>0</v>
          </cell>
          <cell r="BY246">
            <v>2.67</v>
          </cell>
        </row>
        <row r="247">
          <cell r="BH247" t="str">
            <v>虎式7</v>
          </cell>
          <cell r="BI247">
            <v>25</v>
          </cell>
          <cell r="BJ247" t="str">
            <v>虎式</v>
          </cell>
          <cell r="BK247" t="str">
            <v>中</v>
          </cell>
          <cell r="BL247">
            <v>7</v>
          </cell>
          <cell r="BM247">
            <v>2033</v>
          </cell>
          <cell r="BN247">
            <v>692</v>
          </cell>
          <cell r="BO247">
            <v>636</v>
          </cell>
          <cell r="BP247">
            <v>509</v>
          </cell>
          <cell r="BQ247">
            <v>792</v>
          </cell>
          <cell r="BR247">
            <v>207</v>
          </cell>
          <cell r="BS247">
            <v>37.4</v>
          </cell>
          <cell r="BT247">
            <v>42.6</v>
          </cell>
          <cell r="BU247">
            <v>6.4</v>
          </cell>
          <cell r="BV247">
            <v>5.34</v>
          </cell>
          <cell r="BW247">
            <v>0</v>
          </cell>
          <cell r="BX247">
            <v>0</v>
          </cell>
          <cell r="BY247">
            <v>2.61</v>
          </cell>
        </row>
        <row r="248">
          <cell r="BH248" t="str">
            <v>虎式8</v>
          </cell>
          <cell r="BI248">
            <v>25</v>
          </cell>
          <cell r="BJ248" t="str">
            <v>虎式</v>
          </cell>
          <cell r="BK248" t="str">
            <v>中</v>
          </cell>
          <cell r="BL248">
            <v>8</v>
          </cell>
          <cell r="BM248">
            <v>2115</v>
          </cell>
          <cell r="BN248">
            <v>710</v>
          </cell>
          <cell r="BO248">
            <v>658</v>
          </cell>
          <cell r="BP248">
            <v>526</v>
          </cell>
          <cell r="BQ248">
            <v>813</v>
          </cell>
          <cell r="BR248">
            <v>215</v>
          </cell>
          <cell r="BS248">
            <v>38.299999999999997</v>
          </cell>
          <cell r="BT248">
            <v>43.6</v>
          </cell>
          <cell r="BU248">
            <v>6.4</v>
          </cell>
          <cell r="BV248">
            <v>5.24</v>
          </cell>
          <cell r="BW248">
            <v>0</v>
          </cell>
          <cell r="BX248">
            <v>0</v>
          </cell>
          <cell r="BY248">
            <v>2.56</v>
          </cell>
        </row>
        <row r="249">
          <cell r="BH249" t="str">
            <v>虎式9</v>
          </cell>
          <cell r="BI249">
            <v>25</v>
          </cell>
          <cell r="BJ249" t="str">
            <v>虎式</v>
          </cell>
          <cell r="BK249" t="str">
            <v>中</v>
          </cell>
          <cell r="BL249">
            <v>9</v>
          </cell>
          <cell r="BM249">
            <v>2198</v>
          </cell>
          <cell r="BN249">
            <v>728</v>
          </cell>
          <cell r="BO249">
            <v>680</v>
          </cell>
          <cell r="BP249">
            <v>543</v>
          </cell>
          <cell r="BQ249">
            <v>834</v>
          </cell>
          <cell r="BR249">
            <v>223</v>
          </cell>
          <cell r="BS249">
            <v>39.1</v>
          </cell>
          <cell r="BT249">
            <v>44.6</v>
          </cell>
          <cell r="BU249">
            <v>6.4</v>
          </cell>
          <cell r="BV249">
            <v>5.15</v>
          </cell>
          <cell r="BW249">
            <v>0</v>
          </cell>
          <cell r="BX249">
            <v>0</v>
          </cell>
          <cell r="BY249">
            <v>2.5</v>
          </cell>
        </row>
        <row r="250">
          <cell r="BH250" t="str">
            <v>KV-20</v>
          </cell>
          <cell r="BI250">
            <v>26</v>
          </cell>
          <cell r="BJ250" t="str">
            <v>KV-2</v>
          </cell>
          <cell r="BK250" t="str">
            <v>高</v>
          </cell>
          <cell r="BL250">
            <v>0</v>
          </cell>
          <cell r="BM250">
            <v>1483</v>
          </cell>
          <cell r="BN250">
            <v>387</v>
          </cell>
          <cell r="BO250">
            <v>440</v>
          </cell>
          <cell r="BP250">
            <v>352</v>
          </cell>
          <cell r="BQ250">
            <v>647</v>
          </cell>
          <cell r="BR250">
            <v>151</v>
          </cell>
          <cell r="BS250">
            <v>40.299999999999997</v>
          </cell>
          <cell r="BT250">
            <v>29.4</v>
          </cell>
          <cell r="BU250">
            <v>7.4</v>
          </cell>
          <cell r="BV250">
            <v>4.05</v>
          </cell>
          <cell r="BW250">
            <v>0</v>
          </cell>
          <cell r="BX250">
            <v>2</v>
          </cell>
          <cell r="BY250">
            <v>2.25</v>
          </cell>
        </row>
        <row r="251">
          <cell r="BH251" t="str">
            <v>KV-21</v>
          </cell>
          <cell r="BI251">
            <v>26</v>
          </cell>
          <cell r="BJ251" t="str">
            <v>KV-2</v>
          </cell>
          <cell r="BK251" t="str">
            <v>高</v>
          </cell>
          <cell r="BL251">
            <v>1</v>
          </cell>
          <cell r="BM251">
            <v>1567</v>
          </cell>
          <cell r="BN251">
            <v>400</v>
          </cell>
          <cell r="BO251">
            <v>461</v>
          </cell>
          <cell r="BP251">
            <v>369</v>
          </cell>
          <cell r="BQ251">
            <v>669</v>
          </cell>
          <cell r="BR251">
            <v>160</v>
          </cell>
          <cell r="BS251">
            <v>41.4</v>
          </cell>
          <cell r="BT251">
            <v>30.2</v>
          </cell>
          <cell r="BU251">
            <v>7.4</v>
          </cell>
          <cell r="BV251">
            <v>3.98</v>
          </cell>
          <cell r="BW251">
            <v>0</v>
          </cell>
          <cell r="BX251">
            <v>2</v>
          </cell>
          <cell r="BY251">
            <v>2.21</v>
          </cell>
        </row>
        <row r="252">
          <cell r="BH252" t="str">
            <v>KV-22</v>
          </cell>
          <cell r="BI252">
            <v>26</v>
          </cell>
          <cell r="BJ252" t="str">
            <v>KV-2</v>
          </cell>
          <cell r="BK252" t="str">
            <v>高</v>
          </cell>
          <cell r="BL252">
            <v>2</v>
          </cell>
          <cell r="BM252">
            <v>1651</v>
          </cell>
          <cell r="BN252">
            <v>413</v>
          </cell>
          <cell r="BO252">
            <v>482</v>
          </cell>
          <cell r="BP252">
            <v>386</v>
          </cell>
          <cell r="BQ252">
            <v>691</v>
          </cell>
          <cell r="BR252">
            <v>168</v>
          </cell>
          <cell r="BS252">
            <v>42.5</v>
          </cell>
          <cell r="BT252">
            <v>31</v>
          </cell>
          <cell r="BU252">
            <v>7.4</v>
          </cell>
          <cell r="BV252">
            <v>3.92</v>
          </cell>
          <cell r="BW252">
            <v>0</v>
          </cell>
          <cell r="BX252">
            <v>2</v>
          </cell>
          <cell r="BY252">
            <v>2.17</v>
          </cell>
        </row>
        <row r="253">
          <cell r="BH253" t="str">
            <v>KV-23</v>
          </cell>
          <cell r="BI253">
            <v>26</v>
          </cell>
          <cell r="BJ253" t="str">
            <v>KV-2</v>
          </cell>
          <cell r="BK253" t="str">
            <v>高</v>
          </cell>
          <cell r="BL253">
            <v>3</v>
          </cell>
          <cell r="BM253">
            <v>1735</v>
          </cell>
          <cell r="BN253">
            <v>426</v>
          </cell>
          <cell r="BO253">
            <v>503</v>
          </cell>
          <cell r="BP253">
            <v>403</v>
          </cell>
          <cell r="BQ253">
            <v>713</v>
          </cell>
          <cell r="BR253">
            <v>177</v>
          </cell>
          <cell r="BS253">
            <v>43.7</v>
          </cell>
          <cell r="BT253">
            <v>31.9</v>
          </cell>
          <cell r="BU253">
            <v>7.4</v>
          </cell>
          <cell r="BV253">
            <v>3.85</v>
          </cell>
          <cell r="BW253">
            <v>0</v>
          </cell>
          <cell r="BX253">
            <v>2</v>
          </cell>
          <cell r="BY253">
            <v>2.13</v>
          </cell>
        </row>
        <row r="254">
          <cell r="BH254" t="str">
            <v>KV-24</v>
          </cell>
          <cell r="BI254">
            <v>26</v>
          </cell>
          <cell r="BJ254" t="str">
            <v>KV-2</v>
          </cell>
          <cell r="BK254" t="str">
            <v>高</v>
          </cell>
          <cell r="BL254">
            <v>4</v>
          </cell>
          <cell r="BM254">
            <v>1819</v>
          </cell>
          <cell r="BN254">
            <v>440</v>
          </cell>
          <cell r="BO254">
            <v>524</v>
          </cell>
          <cell r="BP254">
            <v>420</v>
          </cell>
          <cell r="BQ254">
            <v>736</v>
          </cell>
          <cell r="BR254">
            <v>185</v>
          </cell>
          <cell r="BS254">
            <v>44.8</v>
          </cell>
          <cell r="BT254">
            <v>32.700000000000003</v>
          </cell>
          <cell r="BU254">
            <v>7.4</v>
          </cell>
          <cell r="BV254">
            <v>3.79</v>
          </cell>
          <cell r="BW254">
            <v>0</v>
          </cell>
          <cell r="BX254">
            <v>2</v>
          </cell>
          <cell r="BY254">
            <v>2.08</v>
          </cell>
        </row>
        <row r="255">
          <cell r="BH255" t="str">
            <v>KV-25</v>
          </cell>
          <cell r="BI255">
            <v>26</v>
          </cell>
          <cell r="BJ255" t="str">
            <v>KV-2</v>
          </cell>
          <cell r="BK255" t="str">
            <v>高</v>
          </cell>
          <cell r="BL255">
            <v>5</v>
          </cell>
          <cell r="BM255">
            <v>1903</v>
          </cell>
          <cell r="BN255">
            <v>453</v>
          </cell>
          <cell r="BO255">
            <v>545</v>
          </cell>
          <cell r="BP255">
            <v>436</v>
          </cell>
          <cell r="BQ255">
            <v>758</v>
          </cell>
          <cell r="BR255">
            <v>194</v>
          </cell>
          <cell r="BS255">
            <v>45.9</v>
          </cell>
          <cell r="BT255">
            <v>33.5</v>
          </cell>
          <cell r="BU255">
            <v>7.4</v>
          </cell>
          <cell r="BV255">
            <v>3.72</v>
          </cell>
          <cell r="BW255">
            <v>0</v>
          </cell>
          <cell r="BX255">
            <v>2</v>
          </cell>
          <cell r="BY255">
            <v>2.04</v>
          </cell>
        </row>
        <row r="256">
          <cell r="BH256" t="str">
            <v>KV-26</v>
          </cell>
          <cell r="BI256">
            <v>26</v>
          </cell>
          <cell r="BJ256" t="str">
            <v>KV-2</v>
          </cell>
          <cell r="BK256" t="str">
            <v>高</v>
          </cell>
          <cell r="BL256">
            <v>6</v>
          </cell>
          <cell r="BM256">
            <v>1987</v>
          </cell>
          <cell r="BN256">
            <v>466</v>
          </cell>
          <cell r="BO256">
            <v>567</v>
          </cell>
          <cell r="BP256">
            <v>453</v>
          </cell>
          <cell r="BQ256">
            <v>780</v>
          </cell>
          <cell r="BR256">
            <v>202</v>
          </cell>
          <cell r="BS256">
            <v>47</v>
          </cell>
          <cell r="BT256">
            <v>34.299999999999997</v>
          </cell>
          <cell r="BU256">
            <v>7.4</v>
          </cell>
          <cell r="BV256">
            <v>3.66</v>
          </cell>
          <cell r="BW256">
            <v>0</v>
          </cell>
          <cell r="BX256">
            <v>2</v>
          </cell>
          <cell r="BY256">
            <v>2</v>
          </cell>
        </row>
        <row r="257">
          <cell r="BH257" t="str">
            <v>KV-27</v>
          </cell>
          <cell r="BI257">
            <v>26</v>
          </cell>
          <cell r="BJ257" t="str">
            <v>KV-2</v>
          </cell>
          <cell r="BK257" t="str">
            <v>高</v>
          </cell>
          <cell r="BL257">
            <v>7</v>
          </cell>
          <cell r="BM257">
            <v>2071</v>
          </cell>
          <cell r="BN257">
            <v>479</v>
          </cell>
          <cell r="BO257">
            <v>588</v>
          </cell>
          <cell r="BP257">
            <v>470</v>
          </cell>
          <cell r="BQ257">
            <v>802</v>
          </cell>
          <cell r="BR257">
            <v>211</v>
          </cell>
          <cell r="BS257">
            <v>48.1</v>
          </cell>
          <cell r="BT257">
            <v>35.1</v>
          </cell>
          <cell r="BU257">
            <v>7.4</v>
          </cell>
          <cell r="BV257">
            <v>3.59</v>
          </cell>
          <cell r="BW257">
            <v>0</v>
          </cell>
          <cell r="BX257">
            <v>2</v>
          </cell>
          <cell r="BY257">
            <v>1.96</v>
          </cell>
        </row>
        <row r="258">
          <cell r="BH258" t="str">
            <v>KV-28</v>
          </cell>
          <cell r="BI258">
            <v>26</v>
          </cell>
          <cell r="BJ258" t="str">
            <v>KV-2</v>
          </cell>
          <cell r="BK258" t="str">
            <v>高</v>
          </cell>
          <cell r="BL258">
            <v>8</v>
          </cell>
          <cell r="BM258">
            <v>2155</v>
          </cell>
          <cell r="BN258">
            <v>493</v>
          </cell>
          <cell r="BO258">
            <v>609</v>
          </cell>
          <cell r="BP258">
            <v>487</v>
          </cell>
          <cell r="BQ258">
            <v>824</v>
          </cell>
          <cell r="BR258">
            <v>219</v>
          </cell>
          <cell r="BS258">
            <v>49.3</v>
          </cell>
          <cell r="BT258">
            <v>35.9</v>
          </cell>
          <cell r="BU258">
            <v>7.4</v>
          </cell>
          <cell r="BV258">
            <v>3.53</v>
          </cell>
          <cell r="BW258">
            <v>0</v>
          </cell>
          <cell r="BX258">
            <v>2</v>
          </cell>
          <cell r="BY258">
            <v>1.92</v>
          </cell>
        </row>
        <row r="259">
          <cell r="BH259" t="str">
            <v>KV-29</v>
          </cell>
          <cell r="BI259">
            <v>26</v>
          </cell>
          <cell r="BJ259" t="str">
            <v>KV-2</v>
          </cell>
          <cell r="BK259" t="str">
            <v>高</v>
          </cell>
          <cell r="BL259">
            <v>9</v>
          </cell>
          <cell r="BM259">
            <v>2239</v>
          </cell>
          <cell r="BN259">
            <v>506</v>
          </cell>
          <cell r="BO259">
            <v>630</v>
          </cell>
          <cell r="BP259">
            <v>504</v>
          </cell>
          <cell r="BQ259">
            <v>846</v>
          </cell>
          <cell r="BR259">
            <v>228</v>
          </cell>
          <cell r="BS259">
            <v>50.4</v>
          </cell>
          <cell r="BT259">
            <v>36.799999999999997</v>
          </cell>
          <cell r="BU259">
            <v>7.4</v>
          </cell>
          <cell r="BV259">
            <v>3.46</v>
          </cell>
          <cell r="BW259">
            <v>0</v>
          </cell>
          <cell r="BX259">
            <v>2</v>
          </cell>
          <cell r="BY259">
            <v>1.88</v>
          </cell>
        </row>
        <row r="260">
          <cell r="BH260" t="str">
            <v>征服者0</v>
          </cell>
          <cell r="BI260">
            <v>27</v>
          </cell>
          <cell r="BJ260" t="str">
            <v>征服者</v>
          </cell>
          <cell r="BK260" t="str">
            <v>低</v>
          </cell>
          <cell r="BL260">
            <v>0</v>
          </cell>
          <cell r="BM260">
            <v>2022</v>
          </cell>
          <cell r="BN260">
            <v>632</v>
          </cell>
          <cell r="BO260">
            <v>603</v>
          </cell>
          <cell r="BP260">
            <v>483</v>
          </cell>
          <cell r="BQ260">
            <v>806</v>
          </cell>
          <cell r="BR260">
            <v>188</v>
          </cell>
          <cell r="BS260">
            <v>30.7</v>
          </cell>
          <cell r="BT260">
            <v>35</v>
          </cell>
          <cell r="BU260">
            <v>6.3</v>
          </cell>
          <cell r="BV260">
            <v>6</v>
          </cell>
          <cell r="BW260">
            <v>0</v>
          </cell>
          <cell r="BX260">
            <v>0</v>
          </cell>
          <cell r="BY260">
            <v>3</v>
          </cell>
        </row>
        <row r="261">
          <cell r="BH261" t="str">
            <v>征服者1</v>
          </cell>
          <cell r="BI261">
            <v>27</v>
          </cell>
          <cell r="BJ261" t="str">
            <v>征服者</v>
          </cell>
          <cell r="BK261" t="str">
            <v>低</v>
          </cell>
          <cell r="BL261">
            <v>1</v>
          </cell>
          <cell r="BM261">
            <v>2106</v>
          </cell>
          <cell r="BN261">
            <v>647</v>
          </cell>
          <cell r="BO261">
            <v>624</v>
          </cell>
          <cell r="BP261">
            <v>500</v>
          </cell>
          <cell r="BQ261">
            <v>825</v>
          </cell>
          <cell r="BR261">
            <v>196</v>
          </cell>
          <cell r="BS261">
            <v>31.4</v>
          </cell>
          <cell r="BT261">
            <v>35.799999999999997</v>
          </cell>
          <cell r="BU261">
            <v>6.3</v>
          </cell>
          <cell r="BV261">
            <v>5.92</v>
          </cell>
          <cell r="BW261">
            <v>0</v>
          </cell>
          <cell r="BX261">
            <v>0</v>
          </cell>
          <cell r="BY261">
            <v>2.95</v>
          </cell>
        </row>
        <row r="262">
          <cell r="BH262" t="str">
            <v>征服者2</v>
          </cell>
          <cell r="BI262">
            <v>27</v>
          </cell>
          <cell r="BJ262" t="str">
            <v>征服者</v>
          </cell>
          <cell r="BK262" t="str">
            <v>低</v>
          </cell>
          <cell r="BL262">
            <v>2</v>
          </cell>
          <cell r="BM262">
            <v>2190</v>
          </cell>
          <cell r="BN262">
            <v>662</v>
          </cell>
          <cell r="BO262">
            <v>645</v>
          </cell>
          <cell r="BP262">
            <v>517</v>
          </cell>
          <cell r="BQ262">
            <v>844</v>
          </cell>
          <cell r="BR262">
            <v>204</v>
          </cell>
          <cell r="BS262">
            <v>32.1</v>
          </cell>
          <cell r="BT262">
            <v>36.6</v>
          </cell>
          <cell r="BU262">
            <v>6.3</v>
          </cell>
          <cell r="BV262">
            <v>5.85</v>
          </cell>
          <cell r="BW262">
            <v>0</v>
          </cell>
          <cell r="BX262">
            <v>0</v>
          </cell>
          <cell r="BY262">
            <v>2.91</v>
          </cell>
        </row>
        <row r="263">
          <cell r="BH263" t="str">
            <v>征服者3</v>
          </cell>
          <cell r="BI263">
            <v>27</v>
          </cell>
          <cell r="BJ263" t="str">
            <v>征服者</v>
          </cell>
          <cell r="BK263" t="str">
            <v>低</v>
          </cell>
          <cell r="BL263">
            <v>3</v>
          </cell>
          <cell r="BM263">
            <v>2274</v>
          </cell>
          <cell r="BN263">
            <v>676</v>
          </cell>
          <cell r="BO263">
            <v>666</v>
          </cell>
          <cell r="BP263">
            <v>534</v>
          </cell>
          <cell r="BQ263">
            <v>863</v>
          </cell>
          <cell r="BR263">
            <v>212</v>
          </cell>
          <cell r="BS263">
            <v>32.799999999999997</v>
          </cell>
          <cell r="BT263">
            <v>37.4</v>
          </cell>
          <cell r="BU263">
            <v>6.3</v>
          </cell>
          <cell r="BV263">
            <v>5.77</v>
          </cell>
          <cell r="BW263">
            <v>0</v>
          </cell>
          <cell r="BX263">
            <v>0</v>
          </cell>
          <cell r="BY263">
            <v>2.86</v>
          </cell>
        </row>
        <row r="264">
          <cell r="BH264" t="str">
            <v>征服者4</v>
          </cell>
          <cell r="BI264">
            <v>27</v>
          </cell>
          <cell r="BJ264" t="str">
            <v>征服者</v>
          </cell>
          <cell r="BK264" t="str">
            <v>低</v>
          </cell>
          <cell r="BL264">
            <v>4</v>
          </cell>
          <cell r="BM264">
            <v>2357</v>
          </cell>
          <cell r="BN264">
            <v>691</v>
          </cell>
          <cell r="BO264">
            <v>687</v>
          </cell>
          <cell r="BP264">
            <v>550</v>
          </cell>
          <cell r="BQ264">
            <v>882</v>
          </cell>
          <cell r="BR264">
            <v>220</v>
          </cell>
          <cell r="BS264">
            <v>33.5</v>
          </cell>
          <cell r="BT264">
            <v>38.200000000000003</v>
          </cell>
          <cell r="BU264">
            <v>6.3</v>
          </cell>
          <cell r="BV264">
            <v>5.69</v>
          </cell>
          <cell r="BW264">
            <v>0</v>
          </cell>
          <cell r="BX264">
            <v>0</v>
          </cell>
          <cell r="BY264">
            <v>2.82</v>
          </cell>
        </row>
        <row r="265">
          <cell r="BH265" t="str">
            <v>征服者5</v>
          </cell>
          <cell r="BI265">
            <v>27</v>
          </cell>
          <cell r="BJ265" t="str">
            <v>征服者</v>
          </cell>
          <cell r="BK265" t="str">
            <v>低</v>
          </cell>
          <cell r="BL265">
            <v>5</v>
          </cell>
          <cell r="BM265">
            <v>2441</v>
          </cell>
          <cell r="BN265">
            <v>706</v>
          </cell>
          <cell r="BO265">
            <v>708</v>
          </cell>
          <cell r="BP265">
            <v>567</v>
          </cell>
          <cell r="BQ265">
            <v>901</v>
          </cell>
          <cell r="BR265">
            <v>228</v>
          </cell>
          <cell r="BS265">
            <v>34.200000000000003</v>
          </cell>
          <cell r="BT265">
            <v>39</v>
          </cell>
          <cell r="BU265">
            <v>6.3</v>
          </cell>
          <cell r="BV265">
            <v>5.61</v>
          </cell>
          <cell r="BW265">
            <v>0</v>
          </cell>
          <cell r="BX265">
            <v>0</v>
          </cell>
          <cell r="BY265">
            <v>2.77</v>
          </cell>
        </row>
        <row r="266">
          <cell r="BH266" t="str">
            <v>征服者6</v>
          </cell>
          <cell r="BI266">
            <v>27</v>
          </cell>
          <cell r="BJ266" t="str">
            <v>征服者</v>
          </cell>
          <cell r="BK266" t="str">
            <v>低</v>
          </cell>
          <cell r="BL266">
            <v>6</v>
          </cell>
          <cell r="BM266">
            <v>2525</v>
          </cell>
          <cell r="BN266">
            <v>721</v>
          </cell>
          <cell r="BO266">
            <v>730</v>
          </cell>
          <cell r="BP266">
            <v>584</v>
          </cell>
          <cell r="BQ266">
            <v>919</v>
          </cell>
          <cell r="BR266">
            <v>236</v>
          </cell>
          <cell r="BS266">
            <v>34.9</v>
          </cell>
          <cell r="BT266">
            <v>39.799999999999997</v>
          </cell>
          <cell r="BU266">
            <v>6.3</v>
          </cell>
          <cell r="BV266">
            <v>5.54</v>
          </cell>
          <cell r="BW266">
            <v>0</v>
          </cell>
          <cell r="BX266">
            <v>0</v>
          </cell>
          <cell r="BY266">
            <v>2.73</v>
          </cell>
        </row>
        <row r="267">
          <cell r="BH267" t="str">
            <v>征服者7</v>
          </cell>
          <cell r="BI267">
            <v>27</v>
          </cell>
          <cell r="BJ267" t="str">
            <v>征服者</v>
          </cell>
          <cell r="BK267" t="str">
            <v>低</v>
          </cell>
          <cell r="BL267">
            <v>7</v>
          </cell>
          <cell r="BM267">
            <v>2609</v>
          </cell>
          <cell r="BN267">
            <v>736</v>
          </cell>
          <cell r="BO267">
            <v>751</v>
          </cell>
          <cell r="BP267">
            <v>601</v>
          </cell>
          <cell r="BQ267">
            <v>938</v>
          </cell>
          <cell r="BR267">
            <v>244</v>
          </cell>
          <cell r="BS267">
            <v>35.6</v>
          </cell>
          <cell r="BT267">
            <v>40.6</v>
          </cell>
          <cell r="BU267">
            <v>6.3</v>
          </cell>
          <cell r="BV267">
            <v>5.46</v>
          </cell>
          <cell r="BW267">
            <v>0</v>
          </cell>
          <cell r="BX267">
            <v>0</v>
          </cell>
          <cell r="BY267">
            <v>2.68</v>
          </cell>
        </row>
        <row r="268">
          <cell r="BH268" t="str">
            <v>征服者8</v>
          </cell>
          <cell r="BI268">
            <v>27</v>
          </cell>
          <cell r="BJ268" t="str">
            <v>征服者</v>
          </cell>
          <cell r="BK268" t="str">
            <v>低</v>
          </cell>
          <cell r="BL268">
            <v>8</v>
          </cell>
          <cell r="BM268">
            <v>2693</v>
          </cell>
          <cell r="BN268">
            <v>750</v>
          </cell>
          <cell r="BO268">
            <v>772</v>
          </cell>
          <cell r="BP268">
            <v>618</v>
          </cell>
          <cell r="BQ268">
            <v>957</v>
          </cell>
          <cell r="BR268">
            <v>252</v>
          </cell>
          <cell r="BS268">
            <v>36.299999999999997</v>
          </cell>
          <cell r="BT268">
            <v>41.4</v>
          </cell>
          <cell r="BU268">
            <v>6.3</v>
          </cell>
          <cell r="BV268">
            <v>5.38</v>
          </cell>
          <cell r="BW268">
            <v>0</v>
          </cell>
          <cell r="BX268">
            <v>0</v>
          </cell>
          <cell r="BY268">
            <v>2.64</v>
          </cell>
        </row>
        <row r="269">
          <cell r="BH269" t="str">
            <v>征服者9</v>
          </cell>
          <cell r="BI269">
            <v>27</v>
          </cell>
          <cell r="BJ269" t="str">
            <v>征服者</v>
          </cell>
          <cell r="BK269" t="str">
            <v>低</v>
          </cell>
          <cell r="BL269">
            <v>9</v>
          </cell>
          <cell r="BM269">
            <v>2777</v>
          </cell>
          <cell r="BN269">
            <v>765</v>
          </cell>
          <cell r="BO269">
            <v>793</v>
          </cell>
          <cell r="BP269">
            <v>635</v>
          </cell>
          <cell r="BQ269">
            <v>976</v>
          </cell>
          <cell r="BR269">
            <v>260</v>
          </cell>
          <cell r="BS269">
            <v>37</v>
          </cell>
          <cell r="BT269">
            <v>42.2</v>
          </cell>
          <cell r="BU269">
            <v>6.3</v>
          </cell>
          <cell r="BV269">
            <v>5.3</v>
          </cell>
          <cell r="BW269">
            <v>0</v>
          </cell>
          <cell r="BX269">
            <v>0</v>
          </cell>
          <cell r="BY269">
            <v>2.59</v>
          </cell>
        </row>
        <row r="270">
          <cell r="BH270" t="str">
            <v>征服者10</v>
          </cell>
          <cell r="BI270">
            <v>27</v>
          </cell>
          <cell r="BJ270" t="str">
            <v>征服者</v>
          </cell>
          <cell r="BK270" t="str">
            <v>低</v>
          </cell>
          <cell r="BL270">
            <v>10</v>
          </cell>
          <cell r="BM270">
            <v>2861</v>
          </cell>
          <cell r="BN270">
            <v>780</v>
          </cell>
          <cell r="BO270">
            <v>814</v>
          </cell>
          <cell r="BP270">
            <v>651</v>
          </cell>
          <cell r="BQ270">
            <v>995</v>
          </cell>
          <cell r="BR270">
            <v>268</v>
          </cell>
          <cell r="BS270">
            <v>37.700000000000003</v>
          </cell>
          <cell r="BT270">
            <v>43</v>
          </cell>
          <cell r="BU270">
            <v>6.3</v>
          </cell>
          <cell r="BV270">
            <v>5.23</v>
          </cell>
          <cell r="BW270">
            <v>0</v>
          </cell>
          <cell r="BX270">
            <v>0</v>
          </cell>
          <cell r="BY270">
            <v>2.5499999999999998</v>
          </cell>
        </row>
        <row r="271">
          <cell r="BH271" t="str">
            <v>征服者11</v>
          </cell>
          <cell r="BI271">
            <v>27</v>
          </cell>
          <cell r="BJ271" t="str">
            <v>征服者</v>
          </cell>
          <cell r="BK271" t="str">
            <v>低</v>
          </cell>
          <cell r="BL271">
            <v>11</v>
          </cell>
          <cell r="BM271">
            <v>2945</v>
          </cell>
          <cell r="BN271">
            <v>795</v>
          </cell>
          <cell r="BO271">
            <v>835</v>
          </cell>
          <cell r="BP271">
            <v>668</v>
          </cell>
          <cell r="BQ271">
            <v>1014</v>
          </cell>
          <cell r="BR271">
            <v>276</v>
          </cell>
          <cell r="BS271">
            <v>38.4</v>
          </cell>
          <cell r="BT271">
            <v>43.8</v>
          </cell>
          <cell r="BU271">
            <v>6.3</v>
          </cell>
          <cell r="BV271">
            <v>5.15</v>
          </cell>
          <cell r="BW271">
            <v>0</v>
          </cell>
          <cell r="BX271">
            <v>0</v>
          </cell>
          <cell r="BY271">
            <v>2.5</v>
          </cell>
        </row>
        <row r="272">
          <cell r="BH272" t="str">
            <v>IS-40</v>
          </cell>
          <cell r="BI272">
            <v>28</v>
          </cell>
          <cell r="BJ272" t="str">
            <v>IS-4</v>
          </cell>
          <cell r="BK272" t="str">
            <v>中</v>
          </cell>
          <cell r="BL272">
            <v>0</v>
          </cell>
          <cell r="BM272">
            <v>1940</v>
          </cell>
          <cell r="BN272">
            <v>550</v>
          </cell>
          <cell r="BO272">
            <v>571</v>
          </cell>
          <cell r="BP272">
            <v>457</v>
          </cell>
          <cell r="BQ272">
            <v>840</v>
          </cell>
          <cell r="BR272">
            <v>196</v>
          </cell>
          <cell r="BS272">
            <v>31.3</v>
          </cell>
          <cell r="BT272">
            <v>35.700000000000003</v>
          </cell>
          <cell r="BU272">
            <v>6.4</v>
          </cell>
          <cell r="BV272">
            <v>4.5</v>
          </cell>
          <cell r="BW272">
            <v>0</v>
          </cell>
          <cell r="BX272">
            <v>2</v>
          </cell>
          <cell r="BY272">
            <v>2.25</v>
          </cell>
        </row>
        <row r="273">
          <cell r="BH273" t="str">
            <v>IS-41</v>
          </cell>
          <cell r="BI273">
            <v>28</v>
          </cell>
          <cell r="BJ273" t="str">
            <v>IS-4</v>
          </cell>
          <cell r="BK273" t="str">
            <v>中</v>
          </cell>
          <cell r="BL273">
            <v>1</v>
          </cell>
          <cell r="BM273">
            <v>2026</v>
          </cell>
          <cell r="BN273">
            <v>563</v>
          </cell>
          <cell r="BO273">
            <v>592</v>
          </cell>
          <cell r="BP273">
            <v>473</v>
          </cell>
          <cell r="BQ273">
            <v>860</v>
          </cell>
          <cell r="BR273">
            <v>205</v>
          </cell>
          <cell r="BS273">
            <v>32</v>
          </cell>
          <cell r="BT273">
            <v>36.5</v>
          </cell>
          <cell r="BU273">
            <v>6.4</v>
          </cell>
          <cell r="BV273">
            <v>4.4400000000000004</v>
          </cell>
          <cell r="BW273">
            <v>0</v>
          </cell>
          <cell r="BX273">
            <v>2</v>
          </cell>
          <cell r="BY273">
            <v>2.2200000000000002</v>
          </cell>
        </row>
        <row r="274">
          <cell r="BH274" t="str">
            <v>IS-42</v>
          </cell>
          <cell r="BI274">
            <v>28</v>
          </cell>
          <cell r="BJ274" t="str">
            <v>IS-4</v>
          </cell>
          <cell r="BK274" t="str">
            <v>中</v>
          </cell>
          <cell r="BL274">
            <v>2</v>
          </cell>
          <cell r="BM274">
            <v>2112</v>
          </cell>
          <cell r="BN274">
            <v>576</v>
          </cell>
          <cell r="BO274">
            <v>612</v>
          </cell>
          <cell r="BP274">
            <v>490</v>
          </cell>
          <cell r="BQ274">
            <v>880</v>
          </cell>
          <cell r="BR274">
            <v>213</v>
          </cell>
          <cell r="BS274">
            <v>32.700000000000003</v>
          </cell>
          <cell r="BT274">
            <v>37.299999999999997</v>
          </cell>
          <cell r="BU274">
            <v>6.4</v>
          </cell>
          <cell r="BV274">
            <v>4.38</v>
          </cell>
          <cell r="BW274">
            <v>0</v>
          </cell>
          <cell r="BX274">
            <v>2</v>
          </cell>
          <cell r="BY274">
            <v>2.1800000000000002</v>
          </cell>
        </row>
        <row r="275">
          <cell r="BH275" t="str">
            <v>IS-43</v>
          </cell>
          <cell r="BI275">
            <v>28</v>
          </cell>
          <cell r="BJ275" t="str">
            <v>IS-4</v>
          </cell>
          <cell r="BK275" t="str">
            <v>中</v>
          </cell>
          <cell r="BL275">
            <v>3</v>
          </cell>
          <cell r="BM275">
            <v>2197</v>
          </cell>
          <cell r="BN275">
            <v>590</v>
          </cell>
          <cell r="BO275">
            <v>633</v>
          </cell>
          <cell r="BP275">
            <v>506</v>
          </cell>
          <cell r="BQ275">
            <v>900</v>
          </cell>
          <cell r="BR275">
            <v>222</v>
          </cell>
          <cell r="BS275">
            <v>33.4</v>
          </cell>
          <cell r="BT275">
            <v>38.1</v>
          </cell>
          <cell r="BU275">
            <v>6.4</v>
          </cell>
          <cell r="BV275">
            <v>4.32</v>
          </cell>
          <cell r="BW275">
            <v>0</v>
          </cell>
          <cell r="BX275">
            <v>2</v>
          </cell>
          <cell r="BY275">
            <v>2.15</v>
          </cell>
        </row>
        <row r="276">
          <cell r="BH276" t="str">
            <v>IS-44</v>
          </cell>
          <cell r="BI276">
            <v>28</v>
          </cell>
          <cell r="BJ276" t="str">
            <v>IS-4</v>
          </cell>
          <cell r="BK276" t="str">
            <v>中</v>
          </cell>
          <cell r="BL276">
            <v>4</v>
          </cell>
          <cell r="BM276">
            <v>2283</v>
          </cell>
          <cell r="BN276">
            <v>603</v>
          </cell>
          <cell r="BO276">
            <v>653</v>
          </cell>
          <cell r="BP276">
            <v>523</v>
          </cell>
          <cell r="BQ276">
            <v>921</v>
          </cell>
          <cell r="BR276">
            <v>230</v>
          </cell>
          <cell r="BS276">
            <v>34.1</v>
          </cell>
          <cell r="BT276">
            <v>38.9</v>
          </cell>
          <cell r="BU276">
            <v>6.4</v>
          </cell>
          <cell r="BV276">
            <v>4.26</v>
          </cell>
          <cell r="BW276">
            <v>0</v>
          </cell>
          <cell r="BX276">
            <v>2</v>
          </cell>
          <cell r="BY276">
            <v>2.11</v>
          </cell>
        </row>
        <row r="277">
          <cell r="BH277" t="str">
            <v>IS-45</v>
          </cell>
          <cell r="BI277">
            <v>28</v>
          </cell>
          <cell r="BJ277" t="str">
            <v>IS-4</v>
          </cell>
          <cell r="BK277" t="str">
            <v>中</v>
          </cell>
          <cell r="BL277">
            <v>5</v>
          </cell>
          <cell r="BM277">
            <v>2369</v>
          </cell>
          <cell r="BN277">
            <v>616</v>
          </cell>
          <cell r="BO277">
            <v>674</v>
          </cell>
          <cell r="BP277">
            <v>539</v>
          </cell>
          <cell r="BQ277">
            <v>941</v>
          </cell>
          <cell r="BR277">
            <v>239</v>
          </cell>
          <cell r="BS277">
            <v>34.9</v>
          </cell>
          <cell r="BT277">
            <v>39.799999999999997</v>
          </cell>
          <cell r="BU277">
            <v>6.4</v>
          </cell>
          <cell r="BV277">
            <v>4.2</v>
          </cell>
          <cell r="BW277">
            <v>0</v>
          </cell>
          <cell r="BX277">
            <v>2</v>
          </cell>
          <cell r="BY277">
            <v>2.08</v>
          </cell>
        </row>
        <row r="278">
          <cell r="BH278" t="str">
            <v>IS-46</v>
          </cell>
          <cell r="BI278">
            <v>28</v>
          </cell>
          <cell r="BJ278" t="str">
            <v>IS-4</v>
          </cell>
          <cell r="BK278" t="str">
            <v>中</v>
          </cell>
          <cell r="BL278">
            <v>6</v>
          </cell>
          <cell r="BM278">
            <v>2455</v>
          </cell>
          <cell r="BN278">
            <v>629</v>
          </cell>
          <cell r="BO278">
            <v>694</v>
          </cell>
          <cell r="BP278">
            <v>555</v>
          </cell>
          <cell r="BQ278">
            <v>961</v>
          </cell>
          <cell r="BR278">
            <v>247</v>
          </cell>
          <cell r="BS278">
            <v>35.6</v>
          </cell>
          <cell r="BT278">
            <v>40.6</v>
          </cell>
          <cell r="BU278">
            <v>6.4</v>
          </cell>
          <cell r="BV278">
            <v>4.1399999999999997</v>
          </cell>
          <cell r="BW278">
            <v>0</v>
          </cell>
          <cell r="BX278">
            <v>2</v>
          </cell>
          <cell r="BY278">
            <v>2.0499999999999998</v>
          </cell>
        </row>
        <row r="279">
          <cell r="BH279" t="str">
            <v>IS-47</v>
          </cell>
          <cell r="BI279">
            <v>28</v>
          </cell>
          <cell r="BJ279" t="str">
            <v>IS-4</v>
          </cell>
          <cell r="BK279" t="str">
            <v>中</v>
          </cell>
          <cell r="BL279">
            <v>7</v>
          </cell>
          <cell r="BM279">
            <v>2540</v>
          </cell>
          <cell r="BN279">
            <v>642</v>
          </cell>
          <cell r="BO279">
            <v>715</v>
          </cell>
          <cell r="BP279">
            <v>572</v>
          </cell>
          <cell r="BQ279">
            <v>981</v>
          </cell>
          <cell r="BR279">
            <v>256</v>
          </cell>
          <cell r="BS279">
            <v>36.299999999999997</v>
          </cell>
          <cell r="BT279">
            <v>41.4</v>
          </cell>
          <cell r="BU279">
            <v>6.4</v>
          </cell>
          <cell r="BV279">
            <v>4.08</v>
          </cell>
          <cell r="BW279">
            <v>0</v>
          </cell>
          <cell r="BX279">
            <v>2</v>
          </cell>
          <cell r="BY279">
            <v>2.0099999999999998</v>
          </cell>
        </row>
        <row r="280">
          <cell r="BH280" t="str">
            <v>IS-48</v>
          </cell>
          <cell r="BI280">
            <v>28</v>
          </cell>
          <cell r="BJ280" t="str">
            <v>IS-4</v>
          </cell>
          <cell r="BK280" t="str">
            <v>中</v>
          </cell>
          <cell r="BL280">
            <v>8</v>
          </cell>
          <cell r="BM280">
            <v>2626</v>
          </cell>
          <cell r="BN280">
            <v>656</v>
          </cell>
          <cell r="BO280">
            <v>735</v>
          </cell>
          <cell r="BP280">
            <v>588</v>
          </cell>
          <cell r="BQ280">
            <v>1001</v>
          </cell>
          <cell r="BR280">
            <v>264</v>
          </cell>
          <cell r="BS280">
            <v>37</v>
          </cell>
          <cell r="BT280">
            <v>42.2</v>
          </cell>
          <cell r="BU280">
            <v>6.4</v>
          </cell>
          <cell r="BV280">
            <v>4.0199999999999996</v>
          </cell>
          <cell r="BW280">
            <v>0</v>
          </cell>
          <cell r="BX280">
            <v>2</v>
          </cell>
          <cell r="BY280">
            <v>1.98</v>
          </cell>
        </row>
        <row r="281">
          <cell r="BH281" t="str">
            <v>IS-49</v>
          </cell>
          <cell r="BI281">
            <v>28</v>
          </cell>
          <cell r="BJ281" t="str">
            <v>IS-4</v>
          </cell>
          <cell r="BK281" t="str">
            <v>中</v>
          </cell>
          <cell r="BL281">
            <v>9</v>
          </cell>
          <cell r="BM281">
            <v>2712</v>
          </cell>
          <cell r="BN281">
            <v>669</v>
          </cell>
          <cell r="BO281">
            <v>756</v>
          </cell>
          <cell r="BP281">
            <v>605</v>
          </cell>
          <cell r="BQ281">
            <v>1021</v>
          </cell>
          <cell r="BR281">
            <v>273</v>
          </cell>
          <cell r="BS281">
            <v>37.700000000000003</v>
          </cell>
          <cell r="BT281">
            <v>43</v>
          </cell>
          <cell r="BU281">
            <v>6.4</v>
          </cell>
          <cell r="BV281">
            <v>3.96</v>
          </cell>
          <cell r="BW281">
            <v>0</v>
          </cell>
          <cell r="BX281">
            <v>2</v>
          </cell>
          <cell r="BY281">
            <v>1.94</v>
          </cell>
        </row>
        <row r="282">
          <cell r="BH282" t="str">
            <v>IS-410</v>
          </cell>
          <cell r="BI282">
            <v>28</v>
          </cell>
          <cell r="BJ282" t="str">
            <v>IS-4</v>
          </cell>
          <cell r="BK282" t="str">
            <v>中</v>
          </cell>
          <cell r="BL282">
            <v>10</v>
          </cell>
          <cell r="BM282">
            <v>2798</v>
          </cell>
          <cell r="BN282">
            <v>682</v>
          </cell>
          <cell r="BO282">
            <v>776</v>
          </cell>
          <cell r="BP282">
            <v>621</v>
          </cell>
          <cell r="BQ282">
            <v>1042</v>
          </cell>
          <cell r="BR282">
            <v>281</v>
          </cell>
          <cell r="BS282">
            <v>38.4</v>
          </cell>
          <cell r="BT282">
            <v>43.8</v>
          </cell>
          <cell r="BU282">
            <v>6.4</v>
          </cell>
          <cell r="BV282">
            <v>3.9</v>
          </cell>
          <cell r="BW282">
            <v>0</v>
          </cell>
          <cell r="BX282">
            <v>2</v>
          </cell>
          <cell r="BY282">
            <v>1.91</v>
          </cell>
        </row>
        <row r="283">
          <cell r="BH283" t="str">
            <v>IS-411</v>
          </cell>
          <cell r="BI283">
            <v>28</v>
          </cell>
          <cell r="BJ283" t="str">
            <v>IS-4</v>
          </cell>
          <cell r="BK283" t="str">
            <v>中</v>
          </cell>
          <cell r="BL283">
            <v>11</v>
          </cell>
          <cell r="BM283">
            <v>2883</v>
          </cell>
          <cell r="BN283">
            <v>695</v>
          </cell>
          <cell r="BO283">
            <v>797</v>
          </cell>
          <cell r="BP283">
            <v>637</v>
          </cell>
          <cell r="BQ283">
            <v>1062</v>
          </cell>
          <cell r="BR283">
            <v>290</v>
          </cell>
          <cell r="BS283">
            <v>39.1</v>
          </cell>
          <cell r="BT283">
            <v>44.6</v>
          </cell>
          <cell r="BU283">
            <v>6.4</v>
          </cell>
          <cell r="BV283">
            <v>3.84</v>
          </cell>
          <cell r="BW283">
            <v>0</v>
          </cell>
          <cell r="BX283">
            <v>2</v>
          </cell>
          <cell r="BY283">
            <v>1.88</v>
          </cell>
        </row>
        <row r="284">
          <cell r="BH284" t="str">
            <v>T-320</v>
          </cell>
          <cell r="BI284">
            <v>29</v>
          </cell>
          <cell r="BJ284" t="str">
            <v>T-32</v>
          </cell>
          <cell r="BK284" t="str">
            <v>高</v>
          </cell>
          <cell r="BL284">
            <v>0</v>
          </cell>
          <cell r="BM284">
            <v>1838</v>
          </cell>
          <cell r="BN284">
            <v>755</v>
          </cell>
          <cell r="BO284">
            <v>629</v>
          </cell>
          <cell r="BP284">
            <v>503</v>
          </cell>
          <cell r="BQ284">
            <v>840</v>
          </cell>
          <cell r="BR284">
            <v>196</v>
          </cell>
          <cell r="BS284">
            <v>32.200000000000003</v>
          </cell>
          <cell r="BT284">
            <v>36.799999999999997</v>
          </cell>
          <cell r="BU284">
            <v>6.6</v>
          </cell>
          <cell r="BV284">
            <v>6</v>
          </cell>
          <cell r="BW284">
            <v>0</v>
          </cell>
          <cell r="BX284">
            <v>0</v>
          </cell>
          <cell r="BY284">
            <v>3</v>
          </cell>
        </row>
        <row r="285">
          <cell r="BH285" t="str">
            <v>T-321</v>
          </cell>
          <cell r="BI285">
            <v>29</v>
          </cell>
          <cell r="BJ285" t="str">
            <v>T-32</v>
          </cell>
          <cell r="BK285" t="str">
            <v>高</v>
          </cell>
          <cell r="BL285">
            <v>1</v>
          </cell>
          <cell r="BM285">
            <v>1919</v>
          </cell>
          <cell r="BN285">
            <v>774</v>
          </cell>
          <cell r="BO285">
            <v>653</v>
          </cell>
          <cell r="BP285">
            <v>522</v>
          </cell>
          <cell r="BQ285">
            <v>861</v>
          </cell>
          <cell r="BR285">
            <v>205</v>
          </cell>
          <cell r="BS285">
            <v>32.9</v>
          </cell>
          <cell r="BT285">
            <v>37.6</v>
          </cell>
          <cell r="BU285">
            <v>6.6</v>
          </cell>
          <cell r="BV285">
            <v>5.92</v>
          </cell>
          <cell r="BW285">
            <v>0</v>
          </cell>
          <cell r="BX285">
            <v>0</v>
          </cell>
          <cell r="BY285">
            <v>2.95</v>
          </cell>
        </row>
        <row r="286">
          <cell r="BH286" t="str">
            <v>T-322</v>
          </cell>
          <cell r="BI286">
            <v>29</v>
          </cell>
          <cell r="BJ286" t="str">
            <v>T-32</v>
          </cell>
          <cell r="BK286" t="str">
            <v>高</v>
          </cell>
          <cell r="BL286">
            <v>2</v>
          </cell>
          <cell r="BM286">
            <v>2000</v>
          </cell>
          <cell r="BN286">
            <v>793</v>
          </cell>
          <cell r="BO286">
            <v>677</v>
          </cell>
          <cell r="BP286">
            <v>541</v>
          </cell>
          <cell r="BQ286">
            <v>883</v>
          </cell>
          <cell r="BR286">
            <v>214</v>
          </cell>
          <cell r="BS286">
            <v>33.700000000000003</v>
          </cell>
          <cell r="BT286">
            <v>38.5</v>
          </cell>
          <cell r="BU286">
            <v>6.6</v>
          </cell>
          <cell r="BV286">
            <v>5.85</v>
          </cell>
          <cell r="BW286">
            <v>0</v>
          </cell>
          <cell r="BX286">
            <v>0</v>
          </cell>
          <cell r="BY286">
            <v>2.91</v>
          </cell>
        </row>
        <row r="287">
          <cell r="BH287" t="str">
            <v>T-323</v>
          </cell>
          <cell r="BI287">
            <v>29</v>
          </cell>
          <cell r="BJ287" t="str">
            <v>T-32</v>
          </cell>
          <cell r="BK287" t="str">
            <v>高</v>
          </cell>
          <cell r="BL287">
            <v>3</v>
          </cell>
          <cell r="BM287">
            <v>2081</v>
          </cell>
          <cell r="BN287">
            <v>813</v>
          </cell>
          <cell r="BO287">
            <v>701</v>
          </cell>
          <cell r="BP287">
            <v>560</v>
          </cell>
          <cell r="BQ287">
            <v>904</v>
          </cell>
          <cell r="BR287">
            <v>223</v>
          </cell>
          <cell r="BS287">
            <v>34.4</v>
          </cell>
          <cell r="BT287">
            <v>39.299999999999997</v>
          </cell>
          <cell r="BU287">
            <v>6.6</v>
          </cell>
          <cell r="BV287">
            <v>5.77</v>
          </cell>
          <cell r="BW287">
            <v>0</v>
          </cell>
          <cell r="BX287">
            <v>0</v>
          </cell>
          <cell r="BY287">
            <v>2.86</v>
          </cell>
        </row>
        <row r="288">
          <cell r="BH288" t="str">
            <v>T-324</v>
          </cell>
          <cell r="BI288">
            <v>29</v>
          </cell>
          <cell r="BJ288" t="str">
            <v>T-32</v>
          </cell>
          <cell r="BK288" t="str">
            <v>高</v>
          </cell>
          <cell r="BL288">
            <v>4</v>
          </cell>
          <cell r="BM288">
            <v>2163</v>
          </cell>
          <cell r="BN288">
            <v>832</v>
          </cell>
          <cell r="BO288">
            <v>724</v>
          </cell>
          <cell r="BP288">
            <v>579</v>
          </cell>
          <cell r="BQ288">
            <v>926</v>
          </cell>
          <cell r="BR288">
            <v>232</v>
          </cell>
          <cell r="BS288">
            <v>35.1</v>
          </cell>
          <cell r="BT288">
            <v>40.1</v>
          </cell>
          <cell r="BU288">
            <v>6.6</v>
          </cell>
          <cell r="BV288">
            <v>5.69</v>
          </cell>
          <cell r="BW288">
            <v>0</v>
          </cell>
          <cell r="BX288">
            <v>0</v>
          </cell>
          <cell r="BY288">
            <v>2.82</v>
          </cell>
        </row>
        <row r="289">
          <cell r="BH289" t="str">
            <v>T-325</v>
          </cell>
          <cell r="BI289">
            <v>29</v>
          </cell>
          <cell r="BJ289" t="str">
            <v>T-32</v>
          </cell>
          <cell r="BK289" t="str">
            <v>高</v>
          </cell>
          <cell r="BL289">
            <v>5</v>
          </cell>
          <cell r="BM289">
            <v>2244</v>
          </cell>
          <cell r="BN289">
            <v>851</v>
          </cell>
          <cell r="BO289">
            <v>748</v>
          </cell>
          <cell r="BP289">
            <v>598</v>
          </cell>
          <cell r="BQ289">
            <v>947</v>
          </cell>
          <cell r="BR289">
            <v>241</v>
          </cell>
          <cell r="BS289">
            <v>35.9</v>
          </cell>
          <cell r="BT289">
            <v>41</v>
          </cell>
          <cell r="BU289">
            <v>6.6</v>
          </cell>
          <cell r="BV289">
            <v>5.61</v>
          </cell>
          <cell r="BW289">
            <v>0</v>
          </cell>
          <cell r="BX289">
            <v>0</v>
          </cell>
          <cell r="BY289">
            <v>2.77</v>
          </cell>
        </row>
        <row r="290">
          <cell r="BH290" t="str">
            <v>T-326</v>
          </cell>
          <cell r="BI290">
            <v>29</v>
          </cell>
          <cell r="BJ290" t="str">
            <v>T-32</v>
          </cell>
          <cell r="BK290" t="str">
            <v>高</v>
          </cell>
          <cell r="BL290">
            <v>6</v>
          </cell>
          <cell r="BM290">
            <v>2325</v>
          </cell>
          <cell r="BN290">
            <v>870</v>
          </cell>
          <cell r="BO290">
            <v>772</v>
          </cell>
          <cell r="BP290">
            <v>618</v>
          </cell>
          <cell r="BQ290">
            <v>968</v>
          </cell>
          <cell r="BR290">
            <v>251</v>
          </cell>
          <cell r="BS290">
            <v>36.6</v>
          </cell>
          <cell r="BT290">
            <v>41.8</v>
          </cell>
          <cell r="BU290">
            <v>6.6</v>
          </cell>
          <cell r="BV290">
            <v>5.54</v>
          </cell>
          <cell r="BW290">
            <v>0</v>
          </cell>
          <cell r="BX290">
            <v>0</v>
          </cell>
          <cell r="BY290">
            <v>2.73</v>
          </cell>
        </row>
        <row r="291">
          <cell r="BH291" t="str">
            <v>T-327</v>
          </cell>
          <cell r="BI291">
            <v>29</v>
          </cell>
          <cell r="BJ291" t="str">
            <v>T-32</v>
          </cell>
          <cell r="BK291" t="str">
            <v>高</v>
          </cell>
          <cell r="BL291">
            <v>7</v>
          </cell>
          <cell r="BM291">
            <v>2406</v>
          </cell>
          <cell r="BN291">
            <v>890</v>
          </cell>
          <cell r="BO291">
            <v>796</v>
          </cell>
          <cell r="BP291">
            <v>637</v>
          </cell>
          <cell r="BQ291">
            <v>990</v>
          </cell>
          <cell r="BR291">
            <v>260</v>
          </cell>
          <cell r="BS291">
            <v>37.299999999999997</v>
          </cell>
          <cell r="BT291">
            <v>42.7</v>
          </cell>
          <cell r="BU291">
            <v>6.6</v>
          </cell>
          <cell r="BV291">
            <v>5.46</v>
          </cell>
          <cell r="BW291">
            <v>0</v>
          </cell>
          <cell r="BX291">
            <v>0</v>
          </cell>
          <cell r="BY291">
            <v>2.68</v>
          </cell>
        </row>
        <row r="292">
          <cell r="BH292" t="str">
            <v>T-328</v>
          </cell>
          <cell r="BI292">
            <v>29</v>
          </cell>
          <cell r="BJ292" t="str">
            <v>T-32</v>
          </cell>
          <cell r="BK292" t="str">
            <v>高</v>
          </cell>
          <cell r="BL292">
            <v>8</v>
          </cell>
          <cell r="BM292">
            <v>2488</v>
          </cell>
          <cell r="BN292">
            <v>909</v>
          </cell>
          <cell r="BO292">
            <v>820</v>
          </cell>
          <cell r="BP292">
            <v>656</v>
          </cell>
          <cell r="BQ292">
            <v>1011</v>
          </cell>
          <cell r="BR292">
            <v>269</v>
          </cell>
          <cell r="BS292">
            <v>38.1</v>
          </cell>
          <cell r="BT292">
            <v>43.5</v>
          </cell>
          <cell r="BU292">
            <v>6.6</v>
          </cell>
          <cell r="BV292">
            <v>5.38</v>
          </cell>
          <cell r="BW292">
            <v>0</v>
          </cell>
          <cell r="BX292">
            <v>0</v>
          </cell>
          <cell r="BY292">
            <v>2.64</v>
          </cell>
        </row>
        <row r="293">
          <cell r="BH293" t="str">
            <v>T-329</v>
          </cell>
          <cell r="BI293">
            <v>29</v>
          </cell>
          <cell r="BJ293" t="str">
            <v>T-32</v>
          </cell>
          <cell r="BK293" t="str">
            <v>高</v>
          </cell>
          <cell r="BL293">
            <v>9</v>
          </cell>
          <cell r="BM293">
            <v>2569</v>
          </cell>
          <cell r="BN293">
            <v>928</v>
          </cell>
          <cell r="BO293">
            <v>844</v>
          </cell>
          <cell r="BP293">
            <v>675</v>
          </cell>
          <cell r="BQ293">
            <v>1033</v>
          </cell>
          <cell r="BR293">
            <v>278</v>
          </cell>
          <cell r="BS293">
            <v>38.799999999999997</v>
          </cell>
          <cell r="BT293">
            <v>44.3</v>
          </cell>
          <cell r="BU293">
            <v>6.6</v>
          </cell>
          <cell r="BV293">
            <v>5.3</v>
          </cell>
          <cell r="BW293">
            <v>0</v>
          </cell>
          <cell r="BX293">
            <v>0</v>
          </cell>
          <cell r="BY293">
            <v>2.59</v>
          </cell>
        </row>
        <row r="294">
          <cell r="BH294" t="str">
            <v>T-3210</v>
          </cell>
          <cell r="BI294">
            <v>29</v>
          </cell>
          <cell r="BJ294" t="str">
            <v>T-32</v>
          </cell>
          <cell r="BK294" t="str">
            <v>高</v>
          </cell>
          <cell r="BL294">
            <v>10</v>
          </cell>
          <cell r="BM294">
            <v>2650</v>
          </cell>
          <cell r="BN294">
            <v>947</v>
          </cell>
          <cell r="BO294">
            <v>868</v>
          </cell>
          <cell r="BP294">
            <v>694</v>
          </cell>
          <cell r="BQ294">
            <v>1054</v>
          </cell>
          <cell r="BR294">
            <v>287</v>
          </cell>
          <cell r="BS294">
            <v>39.5</v>
          </cell>
          <cell r="BT294">
            <v>45.2</v>
          </cell>
          <cell r="BU294">
            <v>6.6</v>
          </cell>
          <cell r="BV294">
            <v>5.23</v>
          </cell>
          <cell r="BW294">
            <v>0</v>
          </cell>
          <cell r="BX294">
            <v>0</v>
          </cell>
          <cell r="BY294">
            <v>2.5499999999999998</v>
          </cell>
        </row>
        <row r="295">
          <cell r="BH295" t="str">
            <v>T-3211</v>
          </cell>
          <cell r="BI295">
            <v>29</v>
          </cell>
          <cell r="BJ295" t="str">
            <v>T-32</v>
          </cell>
          <cell r="BK295" t="str">
            <v>高</v>
          </cell>
          <cell r="BL295">
            <v>11</v>
          </cell>
          <cell r="BM295">
            <v>2731</v>
          </cell>
          <cell r="BN295">
            <v>966</v>
          </cell>
          <cell r="BO295">
            <v>891</v>
          </cell>
          <cell r="BP295">
            <v>713</v>
          </cell>
          <cell r="BQ295">
            <v>1075</v>
          </cell>
          <cell r="BR295">
            <v>296</v>
          </cell>
          <cell r="BS295">
            <v>40.299999999999997</v>
          </cell>
          <cell r="BT295">
            <v>46</v>
          </cell>
          <cell r="BU295">
            <v>6.6</v>
          </cell>
          <cell r="BV295">
            <v>5.15</v>
          </cell>
          <cell r="BW295">
            <v>0</v>
          </cell>
          <cell r="BX295">
            <v>0</v>
          </cell>
          <cell r="BY295">
            <v>2.5</v>
          </cell>
        </row>
        <row r="296">
          <cell r="BH296" t="str">
            <v>M1A20</v>
          </cell>
          <cell r="BI296">
            <v>30</v>
          </cell>
          <cell r="BJ296" t="str">
            <v>M1A2</v>
          </cell>
          <cell r="BK296" t="str">
            <v>低</v>
          </cell>
          <cell r="BL296">
            <v>0</v>
          </cell>
          <cell r="BM296">
            <v>2618</v>
          </cell>
          <cell r="BN296">
            <v>841</v>
          </cell>
          <cell r="BO296">
            <v>792</v>
          </cell>
          <cell r="BP296">
            <v>634</v>
          </cell>
          <cell r="BQ296">
            <v>1058</v>
          </cell>
          <cell r="BR296">
            <v>247</v>
          </cell>
          <cell r="BS296">
            <v>30.7</v>
          </cell>
          <cell r="BT296">
            <v>35</v>
          </cell>
          <cell r="BU296">
            <v>6.3</v>
          </cell>
          <cell r="BV296">
            <v>6</v>
          </cell>
          <cell r="BW296">
            <v>0</v>
          </cell>
          <cell r="BX296">
            <v>0</v>
          </cell>
          <cell r="BY296">
            <v>3</v>
          </cell>
        </row>
        <row r="297">
          <cell r="BH297" t="str">
            <v>M1A21</v>
          </cell>
          <cell r="BI297">
            <v>30</v>
          </cell>
          <cell r="BJ297" t="str">
            <v>M1A2</v>
          </cell>
          <cell r="BK297" t="str">
            <v>低</v>
          </cell>
          <cell r="BL297">
            <v>1</v>
          </cell>
          <cell r="BM297">
            <v>2704</v>
          </cell>
          <cell r="BN297">
            <v>855</v>
          </cell>
          <cell r="BO297">
            <v>814</v>
          </cell>
          <cell r="BP297">
            <v>651</v>
          </cell>
          <cell r="BQ297">
            <v>1076</v>
          </cell>
          <cell r="BR297">
            <v>255</v>
          </cell>
          <cell r="BS297">
            <v>31.3</v>
          </cell>
          <cell r="BT297">
            <v>35.700000000000003</v>
          </cell>
          <cell r="BU297">
            <v>6.3</v>
          </cell>
          <cell r="BV297">
            <v>5.93</v>
          </cell>
          <cell r="BW297">
            <v>0</v>
          </cell>
          <cell r="BX297">
            <v>0</v>
          </cell>
          <cell r="BY297">
            <v>2.96</v>
          </cell>
        </row>
        <row r="298">
          <cell r="BH298" t="str">
            <v>M1A22</v>
          </cell>
          <cell r="BI298">
            <v>30</v>
          </cell>
          <cell r="BJ298" t="str">
            <v>M1A2</v>
          </cell>
          <cell r="BK298" t="str">
            <v>低</v>
          </cell>
          <cell r="BL298">
            <v>2</v>
          </cell>
          <cell r="BM298">
            <v>2789</v>
          </cell>
          <cell r="BN298">
            <v>870</v>
          </cell>
          <cell r="BO298">
            <v>836</v>
          </cell>
          <cell r="BP298">
            <v>669</v>
          </cell>
          <cell r="BQ298">
            <v>1095</v>
          </cell>
          <cell r="BR298">
            <v>264</v>
          </cell>
          <cell r="BS298">
            <v>31.9</v>
          </cell>
          <cell r="BT298">
            <v>36.299999999999997</v>
          </cell>
          <cell r="BU298">
            <v>6.3</v>
          </cell>
          <cell r="BV298">
            <v>5.87</v>
          </cell>
          <cell r="BW298">
            <v>0</v>
          </cell>
          <cell r="BX298">
            <v>0</v>
          </cell>
          <cell r="BY298">
            <v>2.92</v>
          </cell>
        </row>
        <row r="299">
          <cell r="BH299" t="str">
            <v>M1A23</v>
          </cell>
          <cell r="BI299">
            <v>30</v>
          </cell>
          <cell r="BJ299" t="str">
            <v>M1A2</v>
          </cell>
          <cell r="BK299" t="str">
            <v>低</v>
          </cell>
          <cell r="BL299">
            <v>3</v>
          </cell>
          <cell r="BM299">
            <v>2874</v>
          </cell>
          <cell r="BN299">
            <v>884</v>
          </cell>
          <cell r="BO299">
            <v>858</v>
          </cell>
          <cell r="BP299">
            <v>686</v>
          </cell>
          <cell r="BQ299">
            <v>1113</v>
          </cell>
          <cell r="BR299">
            <v>272</v>
          </cell>
          <cell r="BS299">
            <v>32.5</v>
          </cell>
          <cell r="BT299">
            <v>37</v>
          </cell>
          <cell r="BU299">
            <v>6.3</v>
          </cell>
          <cell r="BV299">
            <v>5.8</v>
          </cell>
          <cell r="BW299">
            <v>0</v>
          </cell>
          <cell r="BX299">
            <v>0</v>
          </cell>
          <cell r="BY299">
            <v>2.88</v>
          </cell>
        </row>
        <row r="300">
          <cell r="BH300" t="str">
            <v>M1A24</v>
          </cell>
          <cell r="BI300">
            <v>30</v>
          </cell>
          <cell r="BJ300" t="str">
            <v>M1A2</v>
          </cell>
          <cell r="BK300" t="str">
            <v>低</v>
          </cell>
          <cell r="BL300">
            <v>4</v>
          </cell>
          <cell r="BM300">
            <v>2960</v>
          </cell>
          <cell r="BN300">
            <v>899</v>
          </cell>
          <cell r="BO300">
            <v>879</v>
          </cell>
          <cell r="BP300">
            <v>704</v>
          </cell>
          <cell r="BQ300">
            <v>1131</v>
          </cell>
          <cell r="BR300">
            <v>281</v>
          </cell>
          <cell r="BS300">
            <v>33.1</v>
          </cell>
          <cell r="BT300">
            <v>37.700000000000003</v>
          </cell>
          <cell r="BU300">
            <v>6.3</v>
          </cell>
          <cell r="BV300">
            <v>5.74</v>
          </cell>
          <cell r="BW300">
            <v>0</v>
          </cell>
          <cell r="BX300">
            <v>0</v>
          </cell>
          <cell r="BY300">
            <v>2.85</v>
          </cell>
        </row>
        <row r="301">
          <cell r="BH301" t="str">
            <v>M1A25</v>
          </cell>
          <cell r="BI301">
            <v>30</v>
          </cell>
          <cell r="BJ301" t="str">
            <v>M1A2</v>
          </cell>
          <cell r="BK301" t="str">
            <v>低</v>
          </cell>
          <cell r="BL301">
            <v>5</v>
          </cell>
          <cell r="BM301">
            <v>3045</v>
          </cell>
          <cell r="BN301">
            <v>913</v>
          </cell>
          <cell r="BO301">
            <v>901</v>
          </cell>
          <cell r="BP301">
            <v>721</v>
          </cell>
          <cell r="BQ301">
            <v>1149</v>
          </cell>
          <cell r="BR301">
            <v>289</v>
          </cell>
          <cell r="BS301">
            <v>33.700000000000003</v>
          </cell>
          <cell r="BT301">
            <v>38.4</v>
          </cell>
          <cell r="BU301">
            <v>6.3</v>
          </cell>
          <cell r="BV301">
            <v>5.67</v>
          </cell>
          <cell r="BW301">
            <v>0</v>
          </cell>
          <cell r="BX301">
            <v>0</v>
          </cell>
          <cell r="BY301">
            <v>2.81</v>
          </cell>
        </row>
        <row r="302">
          <cell r="BH302" t="str">
            <v>M1A26</v>
          </cell>
          <cell r="BI302">
            <v>30</v>
          </cell>
          <cell r="BJ302" t="str">
            <v>M1A2</v>
          </cell>
          <cell r="BK302" t="str">
            <v>低</v>
          </cell>
          <cell r="BL302">
            <v>6</v>
          </cell>
          <cell r="BM302">
            <v>3130</v>
          </cell>
          <cell r="BN302">
            <v>928</v>
          </cell>
          <cell r="BO302">
            <v>923</v>
          </cell>
          <cell r="BP302">
            <v>739</v>
          </cell>
          <cell r="BQ302">
            <v>1168</v>
          </cell>
          <cell r="BR302">
            <v>298</v>
          </cell>
          <cell r="BS302">
            <v>34.200000000000003</v>
          </cell>
          <cell r="BT302">
            <v>39</v>
          </cell>
          <cell r="BU302">
            <v>6.3</v>
          </cell>
          <cell r="BV302">
            <v>5.61</v>
          </cell>
          <cell r="BW302">
            <v>0</v>
          </cell>
          <cell r="BX302">
            <v>0</v>
          </cell>
          <cell r="BY302">
            <v>2.77</v>
          </cell>
        </row>
        <row r="303">
          <cell r="BH303" t="str">
            <v>M1A27</v>
          </cell>
          <cell r="BI303">
            <v>30</v>
          </cell>
          <cell r="BJ303" t="str">
            <v>M1A2</v>
          </cell>
          <cell r="BK303" t="str">
            <v>低</v>
          </cell>
          <cell r="BL303">
            <v>7</v>
          </cell>
          <cell r="BM303">
            <v>3216</v>
          </cell>
          <cell r="BN303">
            <v>942</v>
          </cell>
          <cell r="BO303">
            <v>945</v>
          </cell>
          <cell r="BP303">
            <v>756</v>
          </cell>
          <cell r="BQ303">
            <v>1186</v>
          </cell>
          <cell r="BR303">
            <v>306</v>
          </cell>
          <cell r="BS303">
            <v>34.799999999999997</v>
          </cell>
          <cell r="BT303">
            <v>39.700000000000003</v>
          </cell>
          <cell r="BU303">
            <v>6.3</v>
          </cell>
          <cell r="BV303">
            <v>5.54</v>
          </cell>
          <cell r="BW303">
            <v>0</v>
          </cell>
          <cell r="BX303">
            <v>0</v>
          </cell>
          <cell r="BY303">
            <v>2.73</v>
          </cell>
        </row>
        <row r="304">
          <cell r="BH304" t="str">
            <v>M1A28</v>
          </cell>
          <cell r="BI304">
            <v>30</v>
          </cell>
          <cell r="BJ304" t="str">
            <v>M1A2</v>
          </cell>
          <cell r="BK304" t="str">
            <v>低</v>
          </cell>
          <cell r="BL304">
            <v>8</v>
          </cell>
          <cell r="BM304">
            <v>3301</v>
          </cell>
          <cell r="BN304">
            <v>957</v>
          </cell>
          <cell r="BO304">
            <v>967</v>
          </cell>
          <cell r="BP304">
            <v>774</v>
          </cell>
          <cell r="BQ304">
            <v>1204</v>
          </cell>
          <cell r="BR304">
            <v>315</v>
          </cell>
          <cell r="BS304">
            <v>35.4</v>
          </cell>
          <cell r="BT304">
            <v>40.4</v>
          </cell>
          <cell r="BU304">
            <v>6.3</v>
          </cell>
          <cell r="BV304">
            <v>5.48</v>
          </cell>
          <cell r="BW304">
            <v>0</v>
          </cell>
          <cell r="BX304">
            <v>0</v>
          </cell>
          <cell r="BY304">
            <v>2.69</v>
          </cell>
        </row>
        <row r="305">
          <cell r="BH305" t="str">
            <v>M1A29</v>
          </cell>
          <cell r="BI305">
            <v>30</v>
          </cell>
          <cell r="BJ305" t="str">
            <v>M1A2</v>
          </cell>
          <cell r="BK305" t="str">
            <v>低</v>
          </cell>
          <cell r="BL305">
            <v>9</v>
          </cell>
          <cell r="BM305">
            <v>3386</v>
          </cell>
          <cell r="BN305">
            <v>971</v>
          </cell>
          <cell r="BO305">
            <v>989</v>
          </cell>
          <cell r="BP305">
            <v>791</v>
          </cell>
          <cell r="BQ305">
            <v>1222</v>
          </cell>
          <cell r="BR305">
            <v>323</v>
          </cell>
          <cell r="BS305">
            <v>36</v>
          </cell>
          <cell r="BT305">
            <v>41.1</v>
          </cell>
          <cell r="BU305">
            <v>6.3</v>
          </cell>
          <cell r="BV305">
            <v>5.41</v>
          </cell>
          <cell r="BW305">
            <v>0</v>
          </cell>
          <cell r="BX305">
            <v>0</v>
          </cell>
          <cell r="BY305">
            <v>2.65</v>
          </cell>
        </row>
        <row r="306">
          <cell r="BH306" t="str">
            <v>M1A210</v>
          </cell>
          <cell r="BI306">
            <v>30</v>
          </cell>
          <cell r="BJ306" t="str">
            <v>M1A2</v>
          </cell>
          <cell r="BK306" t="str">
            <v>低</v>
          </cell>
          <cell r="BL306">
            <v>10</v>
          </cell>
          <cell r="BM306">
            <v>3472</v>
          </cell>
          <cell r="BN306">
            <v>986</v>
          </cell>
          <cell r="BO306">
            <v>1010</v>
          </cell>
          <cell r="BP306">
            <v>809</v>
          </cell>
          <cell r="BQ306">
            <v>1241</v>
          </cell>
          <cell r="BR306">
            <v>332</v>
          </cell>
          <cell r="BS306">
            <v>36.6</v>
          </cell>
          <cell r="BT306">
            <v>41.7</v>
          </cell>
          <cell r="BU306">
            <v>6.3</v>
          </cell>
          <cell r="BV306">
            <v>5.35</v>
          </cell>
          <cell r="BW306">
            <v>0</v>
          </cell>
          <cell r="BX306">
            <v>0</v>
          </cell>
          <cell r="BY306">
            <v>2.62</v>
          </cell>
        </row>
        <row r="307">
          <cell r="BH307" t="str">
            <v>M1A211</v>
          </cell>
          <cell r="BI307">
            <v>30</v>
          </cell>
          <cell r="BJ307" t="str">
            <v>M1A2</v>
          </cell>
          <cell r="BK307" t="str">
            <v>低</v>
          </cell>
          <cell r="BL307">
            <v>11</v>
          </cell>
          <cell r="BM307">
            <v>3557</v>
          </cell>
          <cell r="BN307">
            <v>1000</v>
          </cell>
          <cell r="BO307">
            <v>1032</v>
          </cell>
          <cell r="BP307">
            <v>826</v>
          </cell>
          <cell r="BQ307">
            <v>1259</v>
          </cell>
          <cell r="BR307">
            <v>340</v>
          </cell>
          <cell r="BS307">
            <v>37.200000000000003</v>
          </cell>
          <cell r="BT307">
            <v>42.4</v>
          </cell>
          <cell r="BU307">
            <v>6.3</v>
          </cell>
          <cell r="BV307">
            <v>5.28</v>
          </cell>
          <cell r="BW307">
            <v>0</v>
          </cell>
          <cell r="BX307">
            <v>0</v>
          </cell>
          <cell r="BY307">
            <v>2.58</v>
          </cell>
        </row>
        <row r="308">
          <cell r="BH308" t="str">
            <v>M1A212</v>
          </cell>
          <cell r="BI308">
            <v>30</v>
          </cell>
          <cell r="BJ308" t="str">
            <v>M1A2</v>
          </cell>
          <cell r="BK308" t="str">
            <v>低</v>
          </cell>
          <cell r="BL308">
            <v>12</v>
          </cell>
          <cell r="BM308">
            <v>3642</v>
          </cell>
          <cell r="BN308">
            <v>1015</v>
          </cell>
          <cell r="BO308">
            <v>1054</v>
          </cell>
          <cell r="BP308">
            <v>844</v>
          </cell>
          <cell r="BQ308">
            <v>1277</v>
          </cell>
          <cell r="BR308">
            <v>349</v>
          </cell>
          <cell r="BS308">
            <v>37.799999999999997</v>
          </cell>
          <cell r="BT308">
            <v>43.1</v>
          </cell>
          <cell r="BU308">
            <v>6.3</v>
          </cell>
          <cell r="BV308">
            <v>5.22</v>
          </cell>
          <cell r="BW308">
            <v>0</v>
          </cell>
          <cell r="BX308">
            <v>0</v>
          </cell>
          <cell r="BY308">
            <v>2.54</v>
          </cell>
        </row>
        <row r="309">
          <cell r="BH309" t="str">
            <v>M1A213</v>
          </cell>
          <cell r="BI309">
            <v>30</v>
          </cell>
          <cell r="BJ309" t="str">
            <v>M1A2</v>
          </cell>
          <cell r="BK309" t="str">
            <v>低</v>
          </cell>
          <cell r="BL309">
            <v>13</v>
          </cell>
          <cell r="BM309">
            <v>3728</v>
          </cell>
          <cell r="BN309">
            <v>1029</v>
          </cell>
          <cell r="BO309">
            <v>1076</v>
          </cell>
          <cell r="BP309">
            <v>861</v>
          </cell>
          <cell r="BQ309">
            <v>1296</v>
          </cell>
          <cell r="BR309">
            <v>357</v>
          </cell>
          <cell r="BS309">
            <v>38.4</v>
          </cell>
          <cell r="BT309">
            <v>43.8</v>
          </cell>
          <cell r="BU309">
            <v>6.3</v>
          </cell>
          <cell r="BV309">
            <v>5.15</v>
          </cell>
          <cell r="BW309">
            <v>0</v>
          </cell>
          <cell r="BX309">
            <v>0</v>
          </cell>
          <cell r="BY309">
            <v>2.5</v>
          </cell>
        </row>
      </sheetData>
      <sheetData sheetId="12"/>
      <sheetData sheetId="13"/>
      <sheetData sheetId="14">
        <row r="18">
          <cell r="B18" t="str">
            <v>坦克名称</v>
          </cell>
          <cell r="C18" t="str">
            <v>模型名称</v>
          </cell>
          <cell r="D18" t="str">
            <v>坦克类别</v>
          </cell>
          <cell r="E18" t="str">
            <v>坦克品级</v>
          </cell>
        </row>
        <row r="19">
          <cell r="B19" t="str">
            <v>雷诺FT</v>
          </cell>
          <cell r="C19" t="str">
            <v>ft17</v>
          </cell>
          <cell r="D19" t="str">
            <v>轻坦</v>
          </cell>
          <cell r="E19" t="str">
            <v>T1</v>
          </cell>
        </row>
        <row r="20">
          <cell r="B20" t="str">
            <v>二号</v>
          </cell>
          <cell r="C20" t="str">
            <v>ii</v>
          </cell>
          <cell r="D20" t="str">
            <v>轻坦</v>
          </cell>
          <cell r="E20" t="str">
            <v>T2</v>
          </cell>
        </row>
        <row r="21">
          <cell r="B21" t="str">
            <v>Puma</v>
          </cell>
          <cell r="C21" t="str">
            <v>sdkfz234</v>
          </cell>
          <cell r="D21" t="str">
            <v>轻坦</v>
          </cell>
          <cell r="E21" t="str">
            <v>T2</v>
          </cell>
        </row>
        <row r="22">
          <cell r="B22" t="str">
            <v>35(t)</v>
          </cell>
          <cell r="C22" t="str">
            <v>35t</v>
          </cell>
          <cell r="D22" t="str">
            <v>轻坦</v>
          </cell>
          <cell r="E22" t="str">
            <v>T3</v>
          </cell>
        </row>
        <row r="23">
          <cell r="B23" t="str">
            <v>十字军</v>
          </cell>
          <cell r="C23" t="str">
            <v>crusader</v>
          </cell>
          <cell r="D23" t="str">
            <v>轻坦</v>
          </cell>
          <cell r="E23" t="str">
            <v>T3</v>
          </cell>
        </row>
        <row r="24">
          <cell r="B24" t="str">
            <v>AMX-13</v>
          </cell>
          <cell r="C24" t="str">
            <v>amx13</v>
          </cell>
          <cell r="D24" t="str">
            <v>轻坦</v>
          </cell>
          <cell r="E24" t="str">
            <v>T3</v>
          </cell>
        </row>
        <row r="25">
          <cell r="B25" t="str">
            <v>霞飞</v>
          </cell>
          <cell r="C25" t="str">
            <v>m24</v>
          </cell>
          <cell r="D25" t="str">
            <v>轻坦</v>
          </cell>
          <cell r="E25" t="str">
            <v>T4</v>
          </cell>
        </row>
        <row r="26">
          <cell r="B26" t="str">
            <v>M-41</v>
          </cell>
          <cell r="C26" t="str">
            <v>m41</v>
          </cell>
          <cell r="D26" t="str">
            <v>轻坦</v>
          </cell>
          <cell r="E26" t="str">
            <v>T4</v>
          </cell>
        </row>
        <row r="27">
          <cell r="B27" t="str">
            <v>BMP-3</v>
          </cell>
          <cell r="C27" t="str">
            <v>bmp-3</v>
          </cell>
          <cell r="D27" t="str">
            <v>轻坦</v>
          </cell>
          <cell r="E27" t="str">
            <v>T4</v>
          </cell>
        </row>
        <row r="28">
          <cell r="B28" t="str">
            <v>59式</v>
          </cell>
          <cell r="C28">
            <v>59</v>
          </cell>
          <cell r="D28" t="str">
            <v>轻坦</v>
          </cell>
          <cell r="E28" t="str">
            <v>T5</v>
          </cell>
        </row>
        <row r="29">
          <cell r="B29" t="str">
            <v>Stuart</v>
          </cell>
          <cell r="C29" t="str">
            <v>stuart</v>
          </cell>
          <cell r="D29" t="str">
            <v>中坦</v>
          </cell>
          <cell r="E29" t="str">
            <v>T1</v>
          </cell>
        </row>
        <row r="30">
          <cell r="B30" t="str">
            <v>T-34</v>
          </cell>
          <cell r="C30" t="str">
            <v>t34</v>
          </cell>
          <cell r="D30" t="str">
            <v>中坦</v>
          </cell>
          <cell r="E30" t="str">
            <v>T2</v>
          </cell>
        </row>
        <row r="31">
          <cell r="B31" t="str">
            <v>四号</v>
          </cell>
          <cell r="C31" t="str">
            <v>iv</v>
          </cell>
          <cell r="D31" t="str">
            <v>中坦</v>
          </cell>
          <cell r="E31" t="str">
            <v>T2</v>
          </cell>
        </row>
        <row r="32">
          <cell r="B32" t="str">
            <v>玛蒂尔达</v>
          </cell>
          <cell r="C32" t="str">
            <v>mathilda</v>
          </cell>
          <cell r="D32" t="str">
            <v>中坦</v>
          </cell>
          <cell r="E32" t="str">
            <v>T3</v>
          </cell>
        </row>
        <row r="33">
          <cell r="B33" t="str">
            <v>谢尔曼</v>
          </cell>
          <cell r="C33" t="str">
            <v>m4</v>
          </cell>
          <cell r="D33" t="str">
            <v>中坦</v>
          </cell>
          <cell r="E33" t="str">
            <v>T3</v>
          </cell>
        </row>
        <row r="34">
          <cell r="B34" t="str">
            <v>彗星</v>
          </cell>
          <cell r="C34" t="str">
            <v>comet</v>
          </cell>
          <cell r="D34" t="str">
            <v>中坦</v>
          </cell>
          <cell r="E34" t="str">
            <v>T3</v>
          </cell>
        </row>
        <row r="35">
          <cell r="B35" t="str">
            <v>M-48</v>
          </cell>
          <cell r="C35" t="str">
            <v>m48</v>
          </cell>
          <cell r="D35" t="str">
            <v>中坦</v>
          </cell>
          <cell r="E35" t="str">
            <v>T4</v>
          </cell>
        </row>
        <row r="36">
          <cell r="B36" t="str">
            <v>潘兴</v>
          </cell>
          <cell r="C36" t="str">
            <v>m26</v>
          </cell>
          <cell r="D36" t="str">
            <v>中坦</v>
          </cell>
          <cell r="E36" t="str">
            <v>T4</v>
          </cell>
        </row>
        <row r="37">
          <cell r="B37" t="str">
            <v>百夫长</v>
          </cell>
          <cell r="C37" t="str">
            <v>centurion</v>
          </cell>
          <cell r="D37" t="str">
            <v>中坦</v>
          </cell>
          <cell r="E37" t="str">
            <v>T4</v>
          </cell>
        </row>
        <row r="38">
          <cell r="B38" t="str">
            <v>挑战者</v>
          </cell>
          <cell r="C38" t="str">
            <v>challenger1</v>
          </cell>
          <cell r="D38" t="str">
            <v>中坦</v>
          </cell>
          <cell r="E38" t="str">
            <v>T5</v>
          </cell>
        </row>
        <row r="39">
          <cell r="B39" t="str">
            <v>B-1</v>
          </cell>
          <cell r="C39" t="str">
            <v>b1</v>
          </cell>
          <cell r="D39" t="str">
            <v>重坦</v>
          </cell>
          <cell r="E39" t="str">
            <v>T1</v>
          </cell>
        </row>
        <row r="40">
          <cell r="B40" t="str">
            <v>KV-1</v>
          </cell>
          <cell r="C40" t="str">
            <v>kv1</v>
          </cell>
          <cell r="D40" t="str">
            <v>重坦</v>
          </cell>
          <cell r="E40" t="str">
            <v>T2</v>
          </cell>
        </row>
        <row r="41">
          <cell r="B41" t="str">
            <v>丘吉尔</v>
          </cell>
          <cell r="C41" t="str">
            <v>churchill</v>
          </cell>
          <cell r="D41" t="str">
            <v>重坦</v>
          </cell>
          <cell r="E41" t="str">
            <v>T2</v>
          </cell>
        </row>
        <row r="42">
          <cell r="B42" t="str">
            <v>黑豹</v>
          </cell>
          <cell r="C42" t="str">
            <v>panzer-v</v>
          </cell>
          <cell r="D42" t="str">
            <v>重坦</v>
          </cell>
          <cell r="E42" t="str">
            <v>T3</v>
          </cell>
        </row>
        <row r="43">
          <cell r="B43" t="str">
            <v>虎式</v>
          </cell>
          <cell r="C43" t="str">
            <v>tiger</v>
          </cell>
          <cell r="D43" t="str">
            <v>重坦</v>
          </cell>
          <cell r="E43" t="str">
            <v>T3</v>
          </cell>
        </row>
        <row r="44">
          <cell r="B44" t="str">
            <v>KV-2</v>
          </cell>
          <cell r="C44" t="str">
            <v>kv2</v>
          </cell>
          <cell r="D44" t="str">
            <v>重坦</v>
          </cell>
          <cell r="E44" t="str">
            <v>T3</v>
          </cell>
        </row>
        <row r="45">
          <cell r="B45" t="str">
            <v>征服者</v>
          </cell>
          <cell r="C45" t="str">
            <v>fv214</v>
          </cell>
          <cell r="D45" t="str">
            <v>重坦</v>
          </cell>
          <cell r="E45" t="str">
            <v>T4</v>
          </cell>
        </row>
        <row r="46">
          <cell r="B46" t="str">
            <v>IS-4</v>
          </cell>
          <cell r="C46" t="str">
            <v>is4</v>
          </cell>
          <cell r="D46" t="str">
            <v>重坦</v>
          </cell>
          <cell r="E46" t="str">
            <v>T4</v>
          </cell>
        </row>
        <row r="47">
          <cell r="B47" t="str">
            <v>T-32</v>
          </cell>
          <cell r="C47" t="str">
            <v>t32</v>
          </cell>
          <cell r="D47" t="str">
            <v>重坦</v>
          </cell>
          <cell r="E47" t="str">
            <v>T4</v>
          </cell>
        </row>
        <row r="48">
          <cell r="B48" t="str">
            <v>M1A2</v>
          </cell>
          <cell r="C48" t="str">
            <v>m1a2</v>
          </cell>
          <cell r="D48" t="str">
            <v>重坦</v>
          </cell>
          <cell r="E48" t="str">
            <v>T5</v>
          </cell>
        </row>
      </sheetData>
      <sheetData sheetId="15">
        <row r="3">
          <cell r="I3" t="str">
            <v>坦克名称</v>
          </cell>
          <cell r="J3" t="str">
            <v>坦克品质</v>
          </cell>
        </row>
        <row r="4">
          <cell r="I4" t="str">
            <v>雷诺FT</v>
          </cell>
          <cell r="J4" t="str">
            <v>低</v>
          </cell>
        </row>
        <row r="5">
          <cell r="I5" t="str">
            <v>二号</v>
          </cell>
          <cell r="J5" t="str">
            <v>低</v>
          </cell>
        </row>
        <row r="6">
          <cell r="I6" t="str">
            <v>Puma</v>
          </cell>
          <cell r="J6" t="str">
            <v>中</v>
          </cell>
        </row>
        <row r="7">
          <cell r="I7" t="str">
            <v>35(t)</v>
          </cell>
          <cell r="J7" t="str">
            <v>低</v>
          </cell>
        </row>
        <row r="8">
          <cell r="I8" t="str">
            <v>十字军</v>
          </cell>
          <cell r="J8" t="str">
            <v>中</v>
          </cell>
        </row>
        <row r="9">
          <cell r="I9" t="str">
            <v>AMX-13</v>
          </cell>
          <cell r="J9" t="str">
            <v>高</v>
          </cell>
        </row>
        <row r="10">
          <cell r="I10" t="str">
            <v>霞飞</v>
          </cell>
          <cell r="J10" t="str">
            <v>低</v>
          </cell>
        </row>
        <row r="11">
          <cell r="I11" t="str">
            <v>M-41</v>
          </cell>
          <cell r="J11" t="str">
            <v>中</v>
          </cell>
        </row>
        <row r="12">
          <cell r="I12" t="str">
            <v>BMP-3</v>
          </cell>
          <cell r="J12" t="str">
            <v>高</v>
          </cell>
        </row>
        <row r="13">
          <cell r="I13" t="str">
            <v>59式</v>
          </cell>
          <cell r="J13" t="str">
            <v>低</v>
          </cell>
        </row>
        <row r="14">
          <cell r="I14" t="str">
            <v>Stuart</v>
          </cell>
          <cell r="J14" t="str">
            <v>低</v>
          </cell>
        </row>
        <row r="15">
          <cell r="I15" t="str">
            <v>T-34</v>
          </cell>
          <cell r="J15" t="str">
            <v>低</v>
          </cell>
        </row>
        <row r="16">
          <cell r="I16" t="str">
            <v>四号</v>
          </cell>
          <cell r="J16" t="str">
            <v>中</v>
          </cell>
        </row>
        <row r="17">
          <cell r="I17" t="str">
            <v>玛蒂尔达</v>
          </cell>
          <cell r="J17" t="str">
            <v>低</v>
          </cell>
        </row>
        <row r="18">
          <cell r="I18" t="str">
            <v>谢尔曼</v>
          </cell>
          <cell r="J18" t="str">
            <v>中</v>
          </cell>
        </row>
        <row r="19">
          <cell r="I19" t="str">
            <v>彗星</v>
          </cell>
          <cell r="J19" t="str">
            <v>高</v>
          </cell>
        </row>
        <row r="20">
          <cell r="I20" t="str">
            <v>M-48</v>
          </cell>
          <cell r="J20" t="str">
            <v>低</v>
          </cell>
        </row>
        <row r="21">
          <cell r="I21" t="str">
            <v>潘兴</v>
          </cell>
          <cell r="J21" t="str">
            <v>中</v>
          </cell>
        </row>
        <row r="22">
          <cell r="I22" t="str">
            <v>百夫长</v>
          </cell>
          <cell r="J22" t="str">
            <v>高</v>
          </cell>
        </row>
        <row r="23">
          <cell r="I23" t="str">
            <v>挑战者</v>
          </cell>
          <cell r="J23" t="str">
            <v>低</v>
          </cell>
        </row>
        <row r="24">
          <cell r="I24" t="str">
            <v>B-1</v>
          </cell>
          <cell r="J24" t="str">
            <v>低</v>
          </cell>
        </row>
        <row r="25">
          <cell r="I25" t="str">
            <v>KV-1</v>
          </cell>
          <cell r="J25" t="str">
            <v>低</v>
          </cell>
        </row>
        <row r="26">
          <cell r="I26" t="str">
            <v>丘吉尔</v>
          </cell>
          <cell r="J26" t="str">
            <v>中</v>
          </cell>
        </row>
        <row r="27">
          <cell r="I27" t="str">
            <v>黑豹</v>
          </cell>
          <cell r="J27" t="str">
            <v>低</v>
          </cell>
        </row>
        <row r="28">
          <cell r="I28" t="str">
            <v>虎式</v>
          </cell>
          <cell r="J28" t="str">
            <v>中</v>
          </cell>
        </row>
        <row r="29">
          <cell r="I29" t="str">
            <v>KV-2</v>
          </cell>
          <cell r="J29" t="str">
            <v>高</v>
          </cell>
        </row>
        <row r="30">
          <cell r="I30" t="str">
            <v>征服者</v>
          </cell>
          <cell r="J30" t="str">
            <v>低</v>
          </cell>
        </row>
        <row r="31">
          <cell r="I31" t="str">
            <v>IS-4</v>
          </cell>
          <cell r="J31" t="str">
            <v>中</v>
          </cell>
        </row>
        <row r="32">
          <cell r="I32" t="str">
            <v>T-32</v>
          </cell>
          <cell r="J32" t="str">
            <v>高</v>
          </cell>
        </row>
        <row r="33">
          <cell r="I33" t="str">
            <v>M1A2</v>
          </cell>
          <cell r="J33" t="str">
            <v>低</v>
          </cell>
        </row>
      </sheetData>
      <sheetData sheetId="16"/>
      <sheetData sheetId="17"/>
      <sheetData sheetId="18"/>
      <sheetData sheetId="19">
        <row r="16">
          <cell r="G16">
            <v>40</v>
          </cell>
        </row>
        <row r="17">
          <cell r="G17">
            <v>70</v>
          </cell>
        </row>
        <row r="18">
          <cell r="G18">
            <v>120</v>
          </cell>
        </row>
        <row r="21">
          <cell r="B21" t="str">
            <v>时间戳(分)</v>
          </cell>
          <cell r="C21" t="str">
            <v>时间戳(秒)</v>
          </cell>
          <cell r="D21" t="str">
            <v>1钻时长(秒)</v>
          </cell>
          <cell r="E21" t="str">
            <v>消耗钻石</v>
          </cell>
          <cell r="F21" t="str">
            <v>时间/钻</v>
          </cell>
        </row>
        <row r="22">
          <cell r="B22">
            <v>0</v>
          </cell>
          <cell r="C22">
            <v>0</v>
          </cell>
          <cell r="D22">
            <v>60</v>
          </cell>
          <cell r="E22">
            <v>0</v>
          </cell>
          <cell r="F22">
            <v>60</v>
          </cell>
        </row>
        <row r="23">
          <cell r="B23">
            <v>10</v>
          </cell>
          <cell r="C23">
            <v>600</v>
          </cell>
          <cell r="D23">
            <v>80</v>
          </cell>
          <cell r="E23">
            <v>10</v>
          </cell>
          <cell r="F23">
            <v>75</v>
          </cell>
        </row>
        <row r="24">
          <cell r="B24">
            <v>60</v>
          </cell>
          <cell r="C24">
            <v>3600</v>
          </cell>
          <cell r="D24">
            <v>100</v>
          </cell>
          <cell r="E24">
            <v>48</v>
          </cell>
          <cell r="F24">
            <v>90</v>
          </cell>
        </row>
        <row r="25">
          <cell r="B25">
            <v>180</v>
          </cell>
          <cell r="C25">
            <v>10800</v>
          </cell>
          <cell r="D25">
            <v>120</v>
          </cell>
          <cell r="E25">
            <v>120</v>
          </cell>
          <cell r="F25">
            <v>110.769230769231</v>
          </cell>
        </row>
        <row r="26">
          <cell r="B26">
            <v>720</v>
          </cell>
          <cell r="C26">
            <v>43200</v>
          </cell>
          <cell r="D26">
            <v>140</v>
          </cell>
          <cell r="E26">
            <v>390</v>
          </cell>
          <cell r="F26">
            <v>123.605150214592</v>
          </cell>
        </row>
        <row r="27">
          <cell r="B27">
            <v>1440</v>
          </cell>
          <cell r="C27">
            <v>86400</v>
          </cell>
          <cell r="D27">
            <v>160</v>
          </cell>
          <cell r="E27">
            <v>699</v>
          </cell>
          <cell r="F27">
            <v>139.467312348668</v>
          </cell>
        </row>
        <row r="28">
          <cell r="B28">
            <v>2880</v>
          </cell>
          <cell r="C28">
            <v>172800</v>
          </cell>
          <cell r="D28">
            <v>180</v>
          </cell>
          <cell r="E28">
            <v>1239</v>
          </cell>
          <cell r="F28">
            <v>157.16234652114599</v>
          </cell>
        </row>
        <row r="29">
          <cell r="B29">
            <v>5760</v>
          </cell>
          <cell r="C29">
            <v>345600</v>
          </cell>
          <cell r="D29">
            <v>200</v>
          </cell>
          <cell r="E29">
            <v>2199</v>
          </cell>
          <cell r="F29">
            <v>176.012223071047</v>
          </cell>
        </row>
        <row r="30">
          <cell r="B30">
            <v>11520</v>
          </cell>
          <cell r="C30">
            <v>691200</v>
          </cell>
          <cell r="D30">
            <v>200</v>
          </cell>
          <cell r="E30">
            <v>3927</v>
          </cell>
          <cell r="F30">
            <v>176.012223071047</v>
          </cell>
        </row>
      </sheetData>
      <sheetData sheetId="20"/>
      <sheetData sheetId="21"/>
      <sheetData sheetId="22"/>
      <sheetData sheetId="23"/>
      <sheetData sheetId="24">
        <row r="16">
          <cell r="B16" t="str">
            <v>T1低碎片</v>
          </cell>
          <cell r="C16">
            <v>60</v>
          </cell>
        </row>
        <row r="17">
          <cell r="B17" t="str">
            <v>T2低碎片</v>
          </cell>
          <cell r="C17">
            <v>60</v>
          </cell>
        </row>
        <row r="18">
          <cell r="B18" t="str">
            <v>T2中碎片</v>
          </cell>
          <cell r="C18">
            <v>80</v>
          </cell>
        </row>
        <row r="19">
          <cell r="B19" t="str">
            <v>T3低碎片</v>
          </cell>
          <cell r="C19">
            <v>55</v>
          </cell>
        </row>
        <row r="20">
          <cell r="B20" t="str">
            <v>T3中碎片</v>
          </cell>
          <cell r="C20">
            <v>70</v>
          </cell>
        </row>
        <row r="21">
          <cell r="B21" t="str">
            <v>T3高碎片</v>
          </cell>
          <cell r="C21">
            <v>80</v>
          </cell>
        </row>
        <row r="22">
          <cell r="B22" t="str">
            <v>T4低碎片</v>
          </cell>
          <cell r="C22">
            <v>105</v>
          </cell>
        </row>
        <row r="23">
          <cell r="B23" t="str">
            <v>T4中碎片</v>
          </cell>
          <cell r="C23">
            <v>130</v>
          </cell>
        </row>
        <row r="24">
          <cell r="B24" t="str">
            <v>T4高碎片</v>
          </cell>
          <cell r="C24">
            <v>145</v>
          </cell>
        </row>
        <row r="25">
          <cell r="B25" t="str">
            <v>T5低碎片</v>
          </cell>
          <cell r="C25">
            <v>195</v>
          </cell>
        </row>
        <row r="26">
          <cell r="B26" t="str">
            <v>T5中碎片</v>
          </cell>
          <cell r="C26">
            <v>235</v>
          </cell>
        </row>
        <row r="27">
          <cell r="B27" t="str">
            <v>T5高碎片</v>
          </cell>
          <cell r="C27">
            <v>250</v>
          </cell>
        </row>
        <row r="28">
          <cell r="B28" t="str">
            <v>T1部件</v>
          </cell>
          <cell r="C28">
            <v>40</v>
          </cell>
        </row>
        <row r="29">
          <cell r="B29" t="str">
            <v>T2部件</v>
          </cell>
          <cell r="C29">
            <v>70</v>
          </cell>
        </row>
        <row r="30">
          <cell r="B30" t="str">
            <v>T3部件</v>
          </cell>
          <cell r="C30">
            <v>120</v>
          </cell>
        </row>
        <row r="33">
          <cell r="B33" t="str">
            <v>道具类型</v>
          </cell>
          <cell r="C33" t="str">
            <v>基础价值</v>
          </cell>
          <cell r="D33" t="str">
            <v>调整系数</v>
          </cell>
          <cell r="E33" t="str">
            <v>商店价值</v>
          </cell>
        </row>
        <row r="34">
          <cell r="B34" t="str">
            <v>T1低碎片</v>
          </cell>
          <cell r="C34">
            <v>60</v>
          </cell>
          <cell r="D34">
            <v>1</v>
          </cell>
          <cell r="E34">
            <v>60</v>
          </cell>
        </row>
        <row r="35">
          <cell r="B35" t="str">
            <v>T2低碎片</v>
          </cell>
          <cell r="C35">
            <v>60</v>
          </cell>
          <cell r="D35">
            <v>1</v>
          </cell>
          <cell r="E35">
            <v>60</v>
          </cell>
        </row>
        <row r="36">
          <cell r="B36" t="str">
            <v>T2中碎片</v>
          </cell>
          <cell r="C36">
            <v>80</v>
          </cell>
          <cell r="D36">
            <v>1</v>
          </cell>
          <cell r="E36">
            <v>80</v>
          </cell>
        </row>
        <row r="37">
          <cell r="B37" t="str">
            <v>T3低碎片</v>
          </cell>
          <cell r="C37">
            <v>55</v>
          </cell>
          <cell r="D37">
            <v>1</v>
          </cell>
          <cell r="E37">
            <v>60</v>
          </cell>
        </row>
        <row r="38">
          <cell r="B38" t="str">
            <v>T3中碎片</v>
          </cell>
          <cell r="C38">
            <v>70</v>
          </cell>
          <cell r="D38">
            <v>1</v>
          </cell>
          <cell r="E38">
            <v>70</v>
          </cell>
        </row>
        <row r="39">
          <cell r="B39" t="str">
            <v>T3高碎片</v>
          </cell>
          <cell r="C39">
            <v>80</v>
          </cell>
          <cell r="D39">
            <v>1</v>
          </cell>
          <cell r="E39">
            <v>80</v>
          </cell>
        </row>
        <row r="40">
          <cell r="B40" t="str">
            <v>T4低碎片</v>
          </cell>
          <cell r="C40">
            <v>105</v>
          </cell>
          <cell r="D40">
            <v>1</v>
          </cell>
          <cell r="E40">
            <v>110</v>
          </cell>
        </row>
        <row r="41">
          <cell r="B41" t="str">
            <v>T4中碎片</v>
          </cell>
          <cell r="C41">
            <v>130</v>
          </cell>
          <cell r="D41">
            <v>1</v>
          </cell>
          <cell r="E41">
            <v>130</v>
          </cell>
        </row>
        <row r="42">
          <cell r="B42" t="str">
            <v>T4高碎片</v>
          </cell>
          <cell r="C42">
            <v>145</v>
          </cell>
          <cell r="D42">
            <v>1</v>
          </cell>
          <cell r="E42">
            <v>150</v>
          </cell>
        </row>
        <row r="43">
          <cell r="B43" t="str">
            <v>T5低碎片</v>
          </cell>
          <cell r="C43">
            <v>195</v>
          </cell>
          <cell r="D43">
            <v>1</v>
          </cell>
          <cell r="E43">
            <v>200</v>
          </cell>
        </row>
        <row r="44">
          <cell r="B44" t="str">
            <v>T5中碎片</v>
          </cell>
          <cell r="C44">
            <v>235</v>
          </cell>
          <cell r="D44">
            <v>1</v>
          </cell>
          <cell r="E44">
            <v>240</v>
          </cell>
        </row>
        <row r="45">
          <cell r="B45" t="str">
            <v>T5高碎片</v>
          </cell>
          <cell r="C45">
            <v>250</v>
          </cell>
          <cell r="D45">
            <v>1</v>
          </cell>
          <cell r="E45">
            <v>250</v>
          </cell>
        </row>
        <row r="63">
          <cell r="J63">
            <v>35</v>
          </cell>
        </row>
        <row r="64">
          <cell r="J64">
            <v>60</v>
          </cell>
        </row>
        <row r="73">
          <cell r="O73">
            <v>1.25</v>
          </cell>
          <cell r="P73">
            <v>0.75</v>
          </cell>
          <cell r="AB73">
            <v>2.2222222222222199E-2</v>
          </cell>
        </row>
        <row r="99">
          <cell r="V99" t="str">
            <v>部件品质</v>
          </cell>
          <cell r="W99" t="str">
            <v>基础价值</v>
          </cell>
          <cell r="X99" t="str">
            <v>出售系数</v>
          </cell>
          <cell r="Y99" t="str">
            <v>出售价格</v>
          </cell>
        </row>
        <row r="100">
          <cell r="V100" t="str">
            <v>T1部件</v>
          </cell>
          <cell r="W100">
            <v>40</v>
          </cell>
          <cell r="X100">
            <v>1.3333333333333299</v>
          </cell>
          <cell r="Y100">
            <v>53.3333333333333</v>
          </cell>
        </row>
        <row r="101">
          <cell r="V101" t="str">
            <v>T2部件</v>
          </cell>
          <cell r="W101">
            <v>70</v>
          </cell>
          <cell r="X101">
            <v>1.3333333333333299</v>
          </cell>
          <cell r="Y101">
            <v>93.3333333333333</v>
          </cell>
        </row>
        <row r="102">
          <cell r="V102" t="str">
            <v>T3部件</v>
          </cell>
          <cell r="W102">
            <v>120</v>
          </cell>
          <cell r="X102">
            <v>1.3333333333333299</v>
          </cell>
          <cell r="Y102">
            <v>160</v>
          </cell>
        </row>
      </sheetData>
      <sheetData sheetId="25">
        <row r="2">
          <cell r="L2" t="str">
            <v>货币名称</v>
          </cell>
          <cell r="M2" t="str">
            <v>货币ID</v>
          </cell>
          <cell r="N2" t="str">
            <v>图标ID</v>
          </cell>
        </row>
        <row r="3">
          <cell r="L3" t="str">
            <v>钻石</v>
          </cell>
          <cell r="M3">
            <v>101</v>
          </cell>
          <cell r="N3" t="str">
            <v>StoreDiamond_1</v>
          </cell>
          <cell r="O3" t="str">
            <v>Diamond</v>
          </cell>
        </row>
        <row r="4">
          <cell r="L4" t="str">
            <v>军费</v>
          </cell>
          <cell r="M4">
            <v>102</v>
          </cell>
          <cell r="N4" t="str">
            <v>StoreFund_3</v>
          </cell>
          <cell r="O4" t="str">
            <v>Funds</v>
          </cell>
        </row>
        <row r="5">
          <cell r="L5" t="str">
            <v>经验</v>
          </cell>
          <cell r="M5">
            <v>103</v>
          </cell>
          <cell r="N5" t="str">
            <v>public_icon_handbook_exp</v>
          </cell>
        </row>
        <row r="6">
          <cell r="L6" t="str">
            <v>科技值</v>
          </cell>
          <cell r="M6">
            <v>104</v>
          </cell>
          <cell r="N6" t="str">
            <v>resource_icon_techpoint</v>
          </cell>
        </row>
        <row r="7">
          <cell r="L7" t="str">
            <v>钥匙</v>
          </cell>
          <cell r="M7">
            <v>105</v>
          </cell>
          <cell r="N7" t="str">
            <v>resource_icon_key</v>
          </cell>
        </row>
        <row r="8">
          <cell r="L8" t="str">
            <v>联赛积分</v>
          </cell>
          <cell r="M8">
            <v>106</v>
          </cell>
          <cell r="N8" t="str">
            <v>public_icon_league_legion</v>
          </cell>
        </row>
        <row r="9">
          <cell r="L9" t="str">
            <v>军团贡献值</v>
          </cell>
          <cell r="M9">
            <v>107</v>
          </cell>
          <cell r="N9" t="str">
            <v>public_icon_shard</v>
          </cell>
        </row>
        <row r="10">
          <cell r="L10" t="str">
            <v>活跃值</v>
          </cell>
          <cell r="M10">
            <v>108</v>
          </cell>
          <cell r="N10" t="str">
            <v>public_icon_handbook_unlock_icon</v>
          </cell>
        </row>
        <row r="11">
          <cell r="L11" t="str">
            <v>钥匙槽</v>
          </cell>
          <cell r="M11">
            <v>109</v>
          </cell>
          <cell r="N11" t="str">
            <v>resource_icon_key</v>
          </cell>
        </row>
        <row r="12">
          <cell r="L12" t="str">
            <v>图鉴经验</v>
          </cell>
          <cell r="M12">
            <v>110</v>
          </cell>
          <cell r="N12" t="str">
            <v>public_icon_handbook_exp</v>
          </cell>
        </row>
        <row r="13">
          <cell r="L13" t="str">
            <v>双倍钥匙</v>
          </cell>
          <cell r="M13">
            <v>111</v>
          </cell>
          <cell r="N13" t="str">
            <v>StoreDoubleKey_1</v>
          </cell>
          <cell r="O13" t="str">
            <v>DoubleKeys</v>
          </cell>
        </row>
        <row r="14">
          <cell r="L14">
            <v>0</v>
          </cell>
          <cell r="M14">
            <v>0</v>
          </cell>
        </row>
        <row r="15">
          <cell r="L15" t="str">
            <v>道具名称</v>
          </cell>
          <cell r="M15" t="str">
            <v>道具ID</v>
          </cell>
          <cell r="N15" t="str">
            <v>图标ID</v>
          </cell>
        </row>
        <row r="16">
          <cell r="L16" t="str">
            <v>3倍加速1</v>
          </cell>
          <cell r="M16">
            <v>100301</v>
          </cell>
          <cell r="N16" t="str">
            <v>StoreQuikenItem_1</v>
          </cell>
        </row>
        <row r="17">
          <cell r="L17" t="str">
            <v>3倍加速2</v>
          </cell>
          <cell r="M17">
            <v>100302</v>
          </cell>
          <cell r="N17" t="str">
            <v>StoreQuikenItem_1</v>
          </cell>
          <cell r="O17" t="str">
            <v>1H_X3_Accelerater</v>
          </cell>
        </row>
        <row r="18">
          <cell r="L18" t="str">
            <v>5倍加速1</v>
          </cell>
          <cell r="M18">
            <v>100501</v>
          </cell>
          <cell r="N18" t="str">
            <v>StoreQuikenItem_2</v>
          </cell>
        </row>
        <row r="19">
          <cell r="L19" t="str">
            <v>5倍加速2</v>
          </cell>
          <cell r="M19">
            <v>100502</v>
          </cell>
          <cell r="N19" t="str">
            <v>StoreQuikenItem_2</v>
          </cell>
        </row>
        <row r="20">
          <cell r="L20" t="str">
            <v>5倍加速3</v>
          </cell>
          <cell r="M20">
            <v>100503</v>
          </cell>
          <cell r="N20" t="str">
            <v>StoreQuikenItem_2</v>
          </cell>
        </row>
        <row r="21">
          <cell r="L21" t="str">
            <v>8倍加速1</v>
          </cell>
          <cell r="M21">
            <v>100801</v>
          </cell>
          <cell r="N21" t="str">
            <v>StoreQuikenItem_3</v>
          </cell>
        </row>
        <row r="22">
          <cell r="L22" t="str">
            <v>8倍加速2</v>
          </cell>
          <cell r="M22">
            <v>100802</v>
          </cell>
          <cell r="N22" t="str">
            <v>StoreQuikenItem_3</v>
          </cell>
        </row>
        <row r="23">
          <cell r="L23" t="str">
            <v>8倍加速3</v>
          </cell>
          <cell r="M23">
            <v>100803</v>
          </cell>
          <cell r="N23" t="str">
            <v>StoreQuikenItem_3</v>
          </cell>
        </row>
        <row r="25">
          <cell r="L25" t="str">
            <v>坦克名称</v>
          </cell>
          <cell r="M25" t="str">
            <v>道具ID</v>
          </cell>
          <cell r="N25" t="str">
            <v>图标ID</v>
          </cell>
        </row>
        <row r="26">
          <cell r="L26" t="str">
            <v>雷诺FT</v>
          </cell>
          <cell r="M26">
            <v>11111</v>
          </cell>
          <cell r="N26" t="str">
            <v>ft17</v>
          </cell>
        </row>
        <row r="27">
          <cell r="L27" t="str">
            <v>二号</v>
          </cell>
          <cell r="M27">
            <v>11211</v>
          </cell>
          <cell r="N27" t="str">
            <v>ii</v>
          </cell>
        </row>
        <row r="28">
          <cell r="L28" t="str">
            <v>Puma</v>
          </cell>
          <cell r="M28">
            <v>11221</v>
          </cell>
          <cell r="N28" t="str">
            <v>sdkfz234</v>
          </cell>
        </row>
        <row r="29">
          <cell r="L29" t="str">
            <v>35(t)</v>
          </cell>
          <cell r="M29">
            <v>11311</v>
          </cell>
          <cell r="N29" t="str">
            <v>35t</v>
          </cell>
        </row>
        <row r="30">
          <cell r="L30" t="str">
            <v>十字军</v>
          </cell>
          <cell r="M30">
            <v>11321</v>
          </cell>
          <cell r="N30" t="str">
            <v>crusader</v>
          </cell>
        </row>
        <row r="31">
          <cell r="L31" t="str">
            <v>AMX-13</v>
          </cell>
          <cell r="M31">
            <v>11331</v>
          </cell>
          <cell r="N31" t="str">
            <v>amx13</v>
          </cell>
        </row>
        <row r="32">
          <cell r="L32" t="str">
            <v>霞飞</v>
          </cell>
          <cell r="M32">
            <v>11411</v>
          </cell>
          <cell r="N32" t="str">
            <v>m24</v>
          </cell>
        </row>
        <row r="33">
          <cell r="L33" t="str">
            <v>M-41</v>
          </cell>
          <cell r="M33">
            <v>11421</v>
          </cell>
          <cell r="N33" t="str">
            <v>m41</v>
          </cell>
        </row>
        <row r="34">
          <cell r="L34" t="str">
            <v>BMP-3</v>
          </cell>
          <cell r="M34">
            <v>11431</v>
          </cell>
          <cell r="N34" t="str">
            <v>bmp-3</v>
          </cell>
        </row>
        <row r="35">
          <cell r="L35" t="str">
            <v>59式</v>
          </cell>
          <cell r="M35">
            <v>11511</v>
          </cell>
          <cell r="N35">
            <v>59</v>
          </cell>
        </row>
        <row r="36">
          <cell r="L36" t="str">
            <v>Stuart</v>
          </cell>
          <cell r="M36">
            <v>12111</v>
          </cell>
          <cell r="N36" t="str">
            <v>stuart</v>
          </cell>
        </row>
        <row r="37">
          <cell r="L37" t="str">
            <v>T-34</v>
          </cell>
          <cell r="M37">
            <v>12211</v>
          </cell>
          <cell r="N37" t="str">
            <v>t34</v>
          </cell>
        </row>
        <row r="38">
          <cell r="L38" t="str">
            <v>四号</v>
          </cell>
          <cell r="M38">
            <v>12221</v>
          </cell>
          <cell r="N38" t="str">
            <v>iv</v>
          </cell>
        </row>
        <row r="39">
          <cell r="L39" t="str">
            <v>玛蒂尔达</v>
          </cell>
          <cell r="M39">
            <v>12311</v>
          </cell>
          <cell r="N39" t="str">
            <v>mathilda</v>
          </cell>
        </row>
        <row r="40">
          <cell r="L40" t="str">
            <v>谢尔曼</v>
          </cell>
          <cell r="M40">
            <v>12321</v>
          </cell>
          <cell r="N40" t="str">
            <v>m4</v>
          </cell>
        </row>
        <row r="41">
          <cell r="L41" t="str">
            <v>彗星</v>
          </cell>
          <cell r="M41">
            <v>12331</v>
          </cell>
          <cell r="N41" t="str">
            <v>comet</v>
          </cell>
        </row>
        <row r="42">
          <cell r="L42" t="str">
            <v>M-48</v>
          </cell>
          <cell r="M42">
            <v>12411</v>
          </cell>
          <cell r="N42" t="str">
            <v>m48</v>
          </cell>
        </row>
        <row r="43">
          <cell r="L43" t="str">
            <v>潘兴</v>
          </cell>
          <cell r="M43">
            <v>12421</v>
          </cell>
          <cell r="N43" t="str">
            <v>m26</v>
          </cell>
        </row>
        <row r="44">
          <cell r="L44" t="str">
            <v>百夫长</v>
          </cell>
          <cell r="M44">
            <v>12431</v>
          </cell>
          <cell r="N44" t="str">
            <v>centurion</v>
          </cell>
        </row>
        <row r="45">
          <cell r="L45" t="str">
            <v>挑战者</v>
          </cell>
          <cell r="M45">
            <v>12511</v>
          </cell>
          <cell r="N45" t="str">
            <v>challenger1</v>
          </cell>
        </row>
        <row r="46">
          <cell r="L46" t="str">
            <v>B-1</v>
          </cell>
          <cell r="M46">
            <v>13111</v>
          </cell>
          <cell r="N46" t="str">
            <v>kv1</v>
          </cell>
        </row>
        <row r="47">
          <cell r="L47" t="str">
            <v>KV-1</v>
          </cell>
          <cell r="M47">
            <v>13211</v>
          </cell>
          <cell r="N47" t="str">
            <v>b1</v>
          </cell>
        </row>
        <row r="48">
          <cell r="L48" t="str">
            <v>丘吉尔</v>
          </cell>
          <cell r="M48">
            <v>13221</v>
          </cell>
          <cell r="N48" t="str">
            <v>churchill</v>
          </cell>
        </row>
        <row r="49">
          <cell r="L49" t="str">
            <v>黑豹</v>
          </cell>
          <cell r="M49">
            <v>13311</v>
          </cell>
          <cell r="N49" t="str">
            <v>panzer-v</v>
          </cell>
        </row>
        <row r="50">
          <cell r="L50" t="str">
            <v>虎式</v>
          </cell>
          <cell r="M50">
            <v>13321</v>
          </cell>
          <cell r="N50" t="str">
            <v>tiger</v>
          </cell>
        </row>
        <row r="51">
          <cell r="L51" t="str">
            <v>KV-2</v>
          </cell>
          <cell r="M51">
            <v>13331</v>
          </cell>
          <cell r="N51" t="str">
            <v>kv2</v>
          </cell>
        </row>
        <row r="52">
          <cell r="L52" t="str">
            <v>征服者</v>
          </cell>
          <cell r="M52">
            <v>13411</v>
          </cell>
          <cell r="N52" t="str">
            <v>fv214</v>
          </cell>
        </row>
        <row r="53">
          <cell r="L53" t="str">
            <v>IS-4</v>
          </cell>
          <cell r="M53">
            <v>13421</v>
          </cell>
          <cell r="N53" t="str">
            <v>is4</v>
          </cell>
        </row>
        <row r="54">
          <cell r="L54" t="str">
            <v>T-32</v>
          </cell>
          <cell r="M54">
            <v>13431</v>
          </cell>
          <cell r="N54" t="str">
            <v>t32</v>
          </cell>
        </row>
        <row r="55">
          <cell r="L55" t="str">
            <v>M1A2</v>
          </cell>
          <cell r="M55">
            <v>13511</v>
          </cell>
          <cell r="N55" t="str">
            <v>m1a2</v>
          </cell>
        </row>
        <row r="56">
          <cell r="L56" t="str">
            <v>雷诺FT碎片</v>
          </cell>
          <cell r="M56">
            <v>51111</v>
          </cell>
          <cell r="N56" t="str">
            <v>shard_ft17</v>
          </cell>
        </row>
        <row r="57">
          <cell r="L57" t="str">
            <v>二号碎片</v>
          </cell>
          <cell r="M57">
            <v>51211</v>
          </cell>
          <cell r="N57" t="str">
            <v>shard_ii</v>
          </cell>
        </row>
        <row r="58">
          <cell r="L58" t="str">
            <v>Puma碎片</v>
          </cell>
          <cell r="M58">
            <v>51221</v>
          </cell>
          <cell r="N58" t="str">
            <v>shard_sdkfz234</v>
          </cell>
          <cell r="O58" t="str">
            <v>Gulon Shard</v>
          </cell>
        </row>
        <row r="59">
          <cell r="L59" t="str">
            <v>35(t)碎片</v>
          </cell>
          <cell r="M59">
            <v>51311</v>
          </cell>
          <cell r="N59" t="str">
            <v>shard_35t</v>
          </cell>
        </row>
        <row r="60">
          <cell r="L60" t="str">
            <v>十字军碎片</v>
          </cell>
          <cell r="M60">
            <v>51321</v>
          </cell>
          <cell r="N60" t="str">
            <v>shard_crusader</v>
          </cell>
        </row>
        <row r="61">
          <cell r="L61" t="str">
            <v>AMX-13碎片</v>
          </cell>
          <cell r="M61">
            <v>51331</v>
          </cell>
          <cell r="N61" t="str">
            <v>shard_amx13</v>
          </cell>
        </row>
        <row r="62">
          <cell r="L62" t="str">
            <v>霞飞碎片</v>
          </cell>
          <cell r="M62">
            <v>51411</v>
          </cell>
          <cell r="N62" t="str">
            <v>shard_m24</v>
          </cell>
        </row>
        <row r="63">
          <cell r="L63" t="str">
            <v>M-41碎片</v>
          </cell>
          <cell r="M63">
            <v>51421</v>
          </cell>
          <cell r="N63" t="str">
            <v>shard_m41</v>
          </cell>
        </row>
        <row r="64">
          <cell r="L64" t="str">
            <v>BMP-3碎片</v>
          </cell>
          <cell r="M64">
            <v>51431</v>
          </cell>
          <cell r="N64" t="str">
            <v>shard_bmp-3</v>
          </cell>
        </row>
        <row r="65">
          <cell r="L65" t="str">
            <v>59式碎片</v>
          </cell>
          <cell r="M65">
            <v>51511</v>
          </cell>
          <cell r="N65" t="str">
            <v>shard_59</v>
          </cell>
        </row>
        <row r="66">
          <cell r="L66" t="str">
            <v>Stuart碎片</v>
          </cell>
          <cell r="M66">
            <v>52111</v>
          </cell>
          <cell r="N66" t="str">
            <v>shard_stuart</v>
          </cell>
        </row>
        <row r="67">
          <cell r="L67" t="str">
            <v>T-34碎片</v>
          </cell>
          <cell r="M67">
            <v>52211</v>
          </cell>
          <cell r="N67" t="str">
            <v>shard_t34</v>
          </cell>
        </row>
        <row r="68">
          <cell r="L68" t="str">
            <v>四号碎片</v>
          </cell>
          <cell r="M68">
            <v>52221</v>
          </cell>
          <cell r="N68" t="str">
            <v>shard_iv</v>
          </cell>
          <cell r="O68" t="str">
            <v>Minotaur Shard</v>
          </cell>
        </row>
        <row r="69">
          <cell r="L69" t="str">
            <v>玛蒂尔达碎片</v>
          </cell>
          <cell r="M69">
            <v>52311</v>
          </cell>
          <cell r="N69" t="str">
            <v>shard_mathilda</v>
          </cell>
        </row>
        <row r="70">
          <cell r="L70" t="str">
            <v>谢尔曼碎片</v>
          </cell>
          <cell r="M70">
            <v>52321</v>
          </cell>
          <cell r="N70" t="str">
            <v>shard_m4</v>
          </cell>
        </row>
        <row r="71">
          <cell r="L71" t="str">
            <v>彗星碎片</v>
          </cell>
          <cell r="M71">
            <v>52331</v>
          </cell>
          <cell r="N71" t="str">
            <v>shard_comet</v>
          </cell>
        </row>
        <row r="72">
          <cell r="L72" t="str">
            <v>M-48碎片</v>
          </cell>
          <cell r="M72">
            <v>52411</v>
          </cell>
          <cell r="N72" t="str">
            <v>shard_m48</v>
          </cell>
        </row>
        <row r="73">
          <cell r="L73" t="str">
            <v>潘兴碎片</v>
          </cell>
          <cell r="M73">
            <v>52421</v>
          </cell>
          <cell r="N73" t="str">
            <v>shard_m26</v>
          </cell>
        </row>
        <row r="74">
          <cell r="L74" t="str">
            <v>百夫长碎片</v>
          </cell>
          <cell r="M74">
            <v>52431</v>
          </cell>
          <cell r="N74" t="str">
            <v>shard_centurion</v>
          </cell>
        </row>
        <row r="75">
          <cell r="L75" t="str">
            <v>挑战者碎片</v>
          </cell>
          <cell r="M75">
            <v>52511</v>
          </cell>
          <cell r="N75" t="str">
            <v>shard_challenger1</v>
          </cell>
        </row>
        <row r="76">
          <cell r="L76" t="str">
            <v>B-1碎片</v>
          </cell>
          <cell r="M76">
            <v>53111</v>
          </cell>
          <cell r="N76" t="str">
            <v>shard_kv1</v>
          </cell>
        </row>
        <row r="77">
          <cell r="L77" t="str">
            <v>KV-1碎片</v>
          </cell>
          <cell r="M77">
            <v>53211</v>
          </cell>
          <cell r="N77" t="str">
            <v>shard_b1</v>
          </cell>
        </row>
        <row r="78">
          <cell r="L78" t="str">
            <v>丘吉尔碎片</v>
          </cell>
          <cell r="M78">
            <v>53221</v>
          </cell>
          <cell r="N78" t="str">
            <v>shard_churchill</v>
          </cell>
          <cell r="O78" t="str">
            <v>Wyrm Shard</v>
          </cell>
        </row>
        <row r="79">
          <cell r="L79" t="str">
            <v>黑豹碎片</v>
          </cell>
          <cell r="M79">
            <v>53311</v>
          </cell>
          <cell r="N79" t="str">
            <v>shard_panzer-v</v>
          </cell>
        </row>
        <row r="80">
          <cell r="L80" t="str">
            <v>虎式碎片</v>
          </cell>
          <cell r="M80">
            <v>53321</v>
          </cell>
          <cell r="N80" t="str">
            <v>shard_tiger</v>
          </cell>
        </row>
        <row r="81">
          <cell r="L81" t="str">
            <v>KV-2碎片</v>
          </cell>
          <cell r="M81">
            <v>53331</v>
          </cell>
          <cell r="N81" t="str">
            <v>shard_kv2</v>
          </cell>
        </row>
        <row r="82">
          <cell r="L82" t="str">
            <v>征服者碎片</v>
          </cell>
          <cell r="M82">
            <v>53411</v>
          </cell>
          <cell r="N82" t="str">
            <v>shard_fv214</v>
          </cell>
        </row>
        <row r="83">
          <cell r="L83" t="str">
            <v>IS-4碎片</v>
          </cell>
          <cell r="M83">
            <v>53421</v>
          </cell>
          <cell r="N83" t="str">
            <v>shard_is4</v>
          </cell>
        </row>
        <row r="84">
          <cell r="L84" t="str">
            <v>T-32碎片</v>
          </cell>
          <cell r="M84">
            <v>53431</v>
          </cell>
          <cell r="N84" t="str">
            <v>shard_t32</v>
          </cell>
        </row>
        <row r="85">
          <cell r="L85" t="str">
            <v>M1A2碎片</v>
          </cell>
          <cell r="M85">
            <v>53511</v>
          </cell>
          <cell r="N85" t="str">
            <v>shard_m1a2</v>
          </cell>
        </row>
        <row r="86">
          <cell r="L86" t="str">
            <v>征服者碎片</v>
          </cell>
          <cell r="M86">
            <v>53341</v>
          </cell>
          <cell r="N86" t="str">
            <v>shard_pziii</v>
          </cell>
        </row>
        <row r="87">
          <cell r="L87" t="str">
            <v>涂装简写</v>
          </cell>
          <cell r="M87" t="str">
            <v>道具ID</v>
          </cell>
          <cell r="N87" t="str">
            <v>图标ID</v>
          </cell>
        </row>
        <row r="88">
          <cell r="L88" t="str">
            <v>T2低轻贴三</v>
          </cell>
          <cell r="M88">
            <v>80101</v>
          </cell>
          <cell r="N88" t="str">
            <v>ii-rd1</v>
          </cell>
        </row>
        <row r="89">
          <cell r="L89" t="str">
            <v>T2低中贴三</v>
          </cell>
          <cell r="M89">
            <v>81901</v>
          </cell>
          <cell r="N89" t="str">
            <v>t34-rd1</v>
          </cell>
        </row>
        <row r="90">
          <cell r="L90" t="str">
            <v>T2低重贴三</v>
          </cell>
          <cell r="M90">
            <v>83701</v>
          </cell>
          <cell r="N90" t="str">
            <v>b1-rd1</v>
          </cell>
        </row>
        <row r="91">
          <cell r="L91" t="str">
            <v>T2低轻贴永</v>
          </cell>
          <cell r="M91">
            <v>80102</v>
          </cell>
          <cell r="N91" t="str">
            <v>ii-rd1</v>
          </cell>
        </row>
        <row r="92">
          <cell r="L92" t="str">
            <v>T2低中贴永</v>
          </cell>
          <cell r="M92">
            <v>81902</v>
          </cell>
          <cell r="N92" t="str">
            <v>t34-rd1</v>
          </cell>
        </row>
        <row r="93">
          <cell r="L93" t="str">
            <v>T2低重贴永</v>
          </cell>
          <cell r="M93">
            <v>83702</v>
          </cell>
          <cell r="N93" t="str">
            <v>b1-rd1</v>
          </cell>
        </row>
        <row r="94">
          <cell r="L94" t="str">
            <v>T2中轻贴三</v>
          </cell>
          <cell r="M94">
            <v>80301</v>
          </cell>
          <cell r="N94" t="str">
            <v>sdkfz234-rd1</v>
          </cell>
        </row>
        <row r="95">
          <cell r="L95" t="str">
            <v>T2中中贴三</v>
          </cell>
          <cell r="M95">
            <v>82101</v>
          </cell>
          <cell r="N95" t="str">
            <v>iv-rd1</v>
          </cell>
        </row>
        <row r="96">
          <cell r="L96" t="str">
            <v>T2中重贴三</v>
          </cell>
          <cell r="M96">
            <v>83901</v>
          </cell>
          <cell r="N96" t="str">
            <v>churchill-rd1</v>
          </cell>
        </row>
        <row r="97">
          <cell r="L97" t="str">
            <v>T2中轻贴永</v>
          </cell>
          <cell r="M97">
            <v>80302</v>
          </cell>
          <cell r="N97" t="str">
            <v>sdkfz234-rd1</v>
          </cell>
        </row>
        <row r="98">
          <cell r="L98" t="str">
            <v>T2中中贴永</v>
          </cell>
          <cell r="M98">
            <v>82102</v>
          </cell>
          <cell r="N98" t="str">
            <v>iv-rd1</v>
          </cell>
        </row>
        <row r="99">
          <cell r="L99" t="str">
            <v>T2中重贴永</v>
          </cell>
          <cell r="M99">
            <v>83902</v>
          </cell>
          <cell r="N99" t="str">
            <v>churchill-rd1</v>
          </cell>
        </row>
        <row r="100">
          <cell r="L100" t="str">
            <v>T2低轻图三</v>
          </cell>
          <cell r="M100">
            <v>80201</v>
          </cell>
          <cell r="N100" t="str">
            <v>pziii-rd2</v>
          </cell>
        </row>
        <row r="101">
          <cell r="L101" t="str">
            <v>T2低中图三</v>
          </cell>
          <cell r="M101">
            <v>82001</v>
          </cell>
          <cell r="N101" t="str">
            <v>t34-rd2</v>
          </cell>
        </row>
        <row r="102">
          <cell r="L102" t="str">
            <v>T2低重图三</v>
          </cell>
          <cell r="M102">
            <v>83801</v>
          </cell>
          <cell r="N102" t="str">
            <v>b1-rd2</v>
          </cell>
        </row>
        <row r="103">
          <cell r="L103" t="str">
            <v>T2低轻图永</v>
          </cell>
          <cell r="M103">
            <v>80202</v>
          </cell>
          <cell r="N103" t="str">
            <v>pziii-rd2</v>
          </cell>
        </row>
        <row r="104">
          <cell r="L104" t="str">
            <v>T2低中图永</v>
          </cell>
          <cell r="M104">
            <v>82002</v>
          </cell>
          <cell r="N104" t="str">
            <v>t34-rd2</v>
          </cell>
        </row>
        <row r="105">
          <cell r="L105" t="str">
            <v>T2低重图永</v>
          </cell>
          <cell r="M105">
            <v>83802</v>
          </cell>
          <cell r="N105" t="str">
            <v>b1-rd2</v>
          </cell>
        </row>
        <row r="106">
          <cell r="L106" t="str">
            <v>T2中轻图三</v>
          </cell>
          <cell r="M106">
            <v>80401</v>
          </cell>
          <cell r="N106" t="str">
            <v>sdkfz234-rd2</v>
          </cell>
        </row>
        <row r="107">
          <cell r="L107" t="str">
            <v>T2中中图三</v>
          </cell>
          <cell r="M107">
            <v>82201</v>
          </cell>
          <cell r="N107" t="str">
            <v>iv-rd2</v>
          </cell>
        </row>
        <row r="108">
          <cell r="L108" t="str">
            <v>T2中重图三</v>
          </cell>
          <cell r="M108">
            <v>84001</v>
          </cell>
          <cell r="N108" t="str">
            <v>churchill-rd2</v>
          </cell>
        </row>
        <row r="109">
          <cell r="L109" t="str">
            <v>T2中轻图永</v>
          </cell>
          <cell r="M109">
            <v>80402</v>
          </cell>
          <cell r="N109" t="str">
            <v>sdkfz234-rd2</v>
          </cell>
        </row>
        <row r="110">
          <cell r="L110" t="str">
            <v>T2中中图永</v>
          </cell>
          <cell r="M110">
            <v>82202</v>
          </cell>
          <cell r="N110" t="str">
            <v>iv-rd2</v>
          </cell>
        </row>
        <row r="111">
          <cell r="L111" t="str">
            <v>T2中重图永</v>
          </cell>
          <cell r="M111">
            <v>84002</v>
          </cell>
          <cell r="N111" t="str">
            <v>churchill-rd2</v>
          </cell>
        </row>
        <row r="112">
          <cell r="L112" t="str">
            <v>T3低轻贴三</v>
          </cell>
          <cell r="M112">
            <v>80501</v>
          </cell>
          <cell r="N112" t="str">
            <v>35t-rd1</v>
          </cell>
        </row>
        <row r="113">
          <cell r="L113" t="str">
            <v>T3低中贴三</v>
          </cell>
          <cell r="M113">
            <v>82301</v>
          </cell>
          <cell r="N113" t="str">
            <v>mathilda-rd1</v>
          </cell>
        </row>
        <row r="114">
          <cell r="L114" t="str">
            <v>T3低重贴三</v>
          </cell>
          <cell r="M114">
            <v>84101</v>
          </cell>
          <cell r="N114" t="str">
            <v>panzer-v-rd1</v>
          </cell>
        </row>
        <row r="115">
          <cell r="L115" t="str">
            <v>T3低轻贴半</v>
          </cell>
          <cell r="M115">
            <v>80502</v>
          </cell>
          <cell r="N115" t="str">
            <v>35t-rd1</v>
          </cell>
        </row>
        <row r="116">
          <cell r="L116" t="str">
            <v>T3低中贴半</v>
          </cell>
          <cell r="M116">
            <v>82302</v>
          </cell>
          <cell r="N116" t="str">
            <v>mathilda-rd1</v>
          </cell>
        </row>
        <row r="117">
          <cell r="L117" t="str">
            <v>T3低重贴半</v>
          </cell>
          <cell r="M117">
            <v>84102</v>
          </cell>
          <cell r="N117" t="str">
            <v>panzer-v-rd1</v>
          </cell>
        </row>
        <row r="118">
          <cell r="L118" t="str">
            <v>T3低轻贴永</v>
          </cell>
          <cell r="M118">
            <v>80503</v>
          </cell>
          <cell r="N118" t="str">
            <v>35t-rd1</v>
          </cell>
        </row>
        <row r="119">
          <cell r="L119" t="str">
            <v>T3低中贴永</v>
          </cell>
          <cell r="M119">
            <v>82303</v>
          </cell>
          <cell r="N119" t="str">
            <v>mathilda-rd1</v>
          </cell>
        </row>
        <row r="120">
          <cell r="L120" t="str">
            <v>T3低重贴永</v>
          </cell>
          <cell r="M120">
            <v>84103</v>
          </cell>
          <cell r="N120" t="str">
            <v>panzer-v-rd1</v>
          </cell>
        </row>
        <row r="121">
          <cell r="L121" t="str">
            <v>T3低轻图三</v>
          </cell>
          <cell r="M121">
            <v>80601</v>
          </cell>
          <cell r="N121" t="str">
            <v>35t-rd2</v>
          </cell>
        </row>
        <row r="122">
          <cell r="L122" t="str">
            <v>T3低中图三</v>
          </cell>
          <cell r="M122">
            <v>82401</v>
          </cell>
          <cell r="N122" t="str">
            <v>mathilda-rd2</v>
          </cell>
        </row>
        <row r="123">
          <cell r="L123" t="str">
            <v>T3低重图三</v>
          </cell>
          <cell r="M123">
            <v>84201</v>
          </cell>
          <cell r="N123" t="str">
            <v>tiger-e-rd2</v>
          </cell>
        </row>
        <row r="124">
          <cell r="L124" t="str">
            <v>T3低轻图半</v>
          </cell>
          <cell r="M124">
            <v>80602</v>
          </cell>
          <cell r="N124" t="str">
            <v>35t-rd2</v>
          </cell>
        </row>
        <row r="125">
          <cell r="L125" t="str">
            <v>T3低中图半</v>
          </cell>
          <cell r="M125">
            <v>82402</v>
          </cell>
          <cell r="N125" t="str">
            <v>mathilda-rd2</v>
          </cell>
        </row>
        <row r="126">
          <cell r="L126" t="str">
            <v>T3低重图半</v>
          </cell>
          <cell r="M126">
            <v>84202</v>
          </cell>
          <cell r="N126" t="str">
            <v>tiger-e-rd2</v>
          </cell>
        </row>
        <row r="127">
          <cell r="L127" t="str">
            <v>T3低轻图永</v>
          </cell>
          <cell r="M127">
            <v>80603</v>
          </cell>
          <cell r="N127" t="str">
            <v>35t-rd2</v>
          </cell>
        </row>
        <row r="128">
          <cell r="L128" t="str">
            <v>T3低中图永</v>
          </cell>
          <cell r="M128">
            <v>82403</v>
          </cell>
          <cell r="N128" t="str">
            <v>mathilda-rd2</v>
          </cell>
        </row>
        <row r="129">
          <cell r="L129" t="str">
            <v>T3低重图永</v>
          </cell>
          <cell r="M129">
            <v>84203</v>
          </cell>
          <cell r="N129" t="str">
            <v>tiger-e-rd2</v>
          </cell>
        </row>
        <row r="130">
          <cell r="L130" t="str">
            <v>T3中轻贴三</v>
          </cell>
          <cell r="M130">
            <v>80701</v>
          </cell>
          <cell r="N130" t="str">
            <v>crusader-rd1</v>
          </cell>
        </row>
        <row r="131">
          <cell r="L131" t="str">
            <v>T3中中贴三</v>
          </cell>
          <cell r="M131">
            <v>82501</v>
          </cell>
          <cell r="N131" t="str">
            <v>m4-rd1</v>
          </cell>
        </row>
        <row r="132">
          <cell r="L132" t="str">
            <v>T3中重贴三</v>
          </cell>
          <cell r="M132">
            <v>84301</v>
          </cell>
          <cell r="N132" t="str">
            <v>tiger-rd1</v>
          </cell>
        </row>
        <row r="133">
          <cell r="L133" t="str">
            <v>T3中轻贴半</v>
          </cell>
          <cell r="M133">
            <v>80702</v>
          </cell>
          <cell r="N133" t="str">
            <v>crusader-rd1</v>
          </cell>
        </row>
        <row r="134">
          <cell r="L134" t="str">
            <v>T3中中贴半</v>
          </cell>
          <cell r="M134">
            <v>82502</v>
          </cell>
          <cell r="N134" t="str">
            <v>m4-rd1</v>
          </cell>
        </row>
        <row r="135">
          <cell r="L135" t="str">
            <v>T3中重贴半</v>
          </cell>
          <cell r="M135">
            <v>84302</v>
          </cell>
          <cell r="N135" t="str">
            <v>tiger-rd1</v>
          </cell>
        </row>
        <row r="136">
          <cell r="L136" t="str">
            <v>T3中轻贴永</v>
          </cell>
          <cell r="M136">
            <v>80703</v>
          </cell>
          <cell r="N136" t="str">
            <v>crusader-rd1</v>
          </cell>
        </row>
        <row r="137">
          <cell r="L137" t="str">
            <v>T3中中贴永</v>
          </cell>
          <cell r="M137">
            <v>82503</v>
          </cell>
          <cell r="N137" t="str">
            <v>m4-rd1</v>
          </cell>
        </row>
        <row r="138">
          <cell r="L138" t="str">
            <v>T3中重贴永</v>
          </cell>
          <cell r="M138">
            <v>84303</v>
          </cell>
          <cell r="N138" t="str">
            <v>tiger-rd1</v>
          </cell>
        </row>
        <row r="139">
          <cell r="L139" t="str">
            <v>T3中轻图三</v>
          </cell>
          <cell r="M139">
            <v>80801</v>
          </cell>
          <cell r="N139" t="str">
            <v>crusader-rd2</v>
          </cell>
        </row>
        <row r="140">
          <cell r="L140" t="str">
            <v>T3中中图三</v>
          </cell>
          <cell r="M140">
            <v>82601</v>
          </cell>
          <cell r="N140" t="str">
            <v>m4-rd2</v>
          </cell>
        </row>
        <row r="141">
          <cell r="L141" t="str">
            <v>T3中重图三</v>
          </cell>
          <cell r="M141">
            <v>84401</v>
          </cell>
          <cell r="N141" t="str">
            <v>tiger-rd2</v>
          </cell>
        </row>
        <row r="142">
          <cell r="L142" t="str">
            <v>T3中轻图半</v>
          </cell>
          <cell r="M142">
            <v>80802</v>
          </cell>
          <cell r="N142" t="str">
            <v>crusader-rd2</v>
          </cell>
        </row>
        <row r="143">
          <cell r="L143" t="str">
            <v>T3中中图半</v>
          </cell>
          <cell r="M143">
            <v>82602</v>
          </cell>
          <cell r="N143" t="str">
            <v>m4-rd2</v>
          </cell>
        </row>
        <row r="144">
          <cell r="L144" t="str">
            <v>T3中重图半</v>
          </cell>
          <cell r="M144">
            <v>84402</v>
          </cell>
          <cell r="N144" t="str">
            <v>tiger-rd2</v>
          </cell>
        </row>
        <row r="145">
          <cell r="L145" t="str">
            <v>T3中轻图永</v>
          </cell>
          <cell r="M145">
            <v>80803</v>
          </cell>
          <cell r="N145" t="str">
            <v>crusader-rd2</v>
          </cell>
        </row>
        <row r="146">
          <cell r="L146" t="str">
            <v>T3中中图永</v>
          </cell>
          <cell r="M146">
            <v>82603</v>
          </cell>
          <cell r="N146" t="str">
            <v>m4-rd2</v>
          </cell>
        </row>
        <row r="147">
          <cell r="L147" t="str">
            <v>T3中重图永</v>
          </cell>
          <cell r="M147">
            <v>84403</v>
          </cell>
          <cell r="N147" t="str">
            <v>tiger-rd2</v>
          </cell>
        </row>
        <row r="148">
          <cell r="L148" t="str">
            <v>T3高轻贴三</v>
          </cell>
          <cell r="M148">
            <v>80901</v>
          </cell>
          <cell r="N148" t="str">
            <v>amx13-rd1</v>
          </cell>
        </row>
        <row r="149">
          <cell r="L149" t="str">
            <v>T3高中贴三</v>
          </cell>
          <cell r="M149">
            <v>82701</v>
          </cell>
          <cell r="N149" t="str">
            <v>comet-rd1</v>
          </cell>
        </row>
        <row r="150">
          <cell r="L150" t="str">
            <v>T3高重贴三</v>
          </cell>
          <cell r="M150">
            <v>84501</v>
          </cell>
          <cell r="N150" t="str">
            <v>kv2-rd1</v>
          </cell>
        </row>
        <row r="151">
          <cell r="L151" t="str">
            <v>T3高轻贴半</v>
          </cell>
          <cell r="M151">
            <v>80902</v>
          </cell>
          <cell r="N151" t="str">
            <v>amx13-rd1</v>
          </cell>
        </row>
        <row r="152">
          <cell r="L152" t="str">
            <v>T3高中贴半</v>
          </cell>
          <cell r="M152">
            <v>82702</v>
          </cell>
          <cell r="N152" t="str">
            <v>comet-rd1</v>
          </cell>
        </row>
        <row r="153">
          <cell r="L153" t="str">
            <v>T3高重贴半</v>
          </cell>
          <cell r="M153">
            <v>84502</v>
          </cell>
          <cell r="N153" t="str">
            <v>kv2-rd1</v>
          </cell>
        </row>
        <row r="154">
          <cell r="L154" t="str">
            <v>T3高轻贴永</v>
          </cell>
          <cell r="M154">
            <v>80903</v>
          </cell>
          <cell r="N154" t="str">
            <v>amx13-rd1</v>
          </cell>
        </row>
        <row r="155">
          <cell r="L155" t="str">
            <v>T3高中贴永</v>
          </cell>
          <cell r="M155">
            <v>82703</v>
          </cell>
          <cell r="N155" t="str">
            <v>comet-rd1</v>
          </cell>
        </row>
        <row r="156">
          <cell r="L156" t="str">
            <v>T3高重贴永</v>
          </cell>
          <cell r="M156">
            <v>84503</v>
          </cell>
          <cell r="N156" t="str">
            <v>kv2-rd1</v>
          </cell>
        </row>
        <row r="157">
          <cell r="L157" t="str">
            <v>T3高轻图三</v>
          </cell>
          <cell r="M157">
            <v>81001</v>
          </cell>
          <cell r="N157" t="str">
            <v>amx13-rd2</v>
          </cell>
        </row>
        <row r="158">
          <cell r="L158" t="str">
            <v>T3高中图三</v>
          </cell>
          <cell r="M158">
            <v>82801</v>
          </cell>
          <cell r="N158" t="str">
            <v>comet-rd2</v>
          </cell>
        </row>
        <row r="159">
          <cell r="L159" t="str">
            <v>T3高重图三</v>
          </cell>
          <cell r="M159">
            <v>84601</v>
          </cell>
          <cell r="N159" t="str">
            <v>kv2-rd2</v>
          </cell>
        </row>
        <row r="160">
          <cell r="L160" t="str">
            <v>T3高轻图半</v>
          </cell>
          <cell r="M160">
            <v>81002</v>
          </cell>
          <cell r="N160" t="str">
            <v>amx13-rd2</v>
          </cell>
        </row>
        <row r="161">
          <cell r="L161" t="str">
            <v>T3高中图半</v>
          </cell>
          <cell r="M161">
            <v>82802</v>
          </cell>
          <cell r="N161" t="str">
            <v>comet-rd2</v>
          </cell>
        </row>
        <row r="162">
          <cell r="L162" t="str">
            <v>T3高重图半</v>
          </cell>
          <cell r="M162">
            <v>84602</v>
          </cell>
          <cell r="N162" t="str">
            <v>kv2-rd2</v>
          </cell>
        </row>
        <row r="163">
          <cell r="L163" t="str">
            <v>T3高轻图永</v>
          </cell>
          <cell r="M163">
            <v>81003</v>
          </cell>
          <cell r="N163" t="str">
            <v>amx13-rd2</v>
          </cell>
        </row>
        <row r="164">
          <cell r="L164" t="str">
            <v>T3高中图永</v>
          </cell>
          <cell r="M164">
            <v>82803</v>
          </cell>
          <cell r="N164" t="str">
            <v>comet-rd2</v>
          </cell>
        </row>
        <row r="165">
          <cell r="L165" t="str">
            <v>T3高重图永</v>
          </cell>
          <cell r="M165">
            <v>84603</v>
          </cell>
          <cell r="N165" t="str">
            <v>kv2-rd2</v>
          </cell>
        </row>
        <row r="166">
          <cell r="L166" t="str">
            <v>T4低轻贴三</v>
          </cell>
          <cell r="M166">
            <v>81101</v>
          </cell>
          <cell r="N166" t="str">
            <v>m24-rd1</v>
          </cell>
        </row>
        <row r="167">
          <cell r="L167" t="str">
            <v>T4低中贴三</v>
          </cell>
          <cell r="M167">
            <v>82901</v>
          </cell>
          <cell r="N167" t="str">
            <v>m48-rd1</v>
          </cell>
        </row>
        <row r="168">
          <cell r="L168" t="str">
            <v>T4低重贴三</v>
          </cell>
          <cell r="M168">
            <v>84701</v>
          </cell>
          <cell r="N168" t="str">
            <v>fv214-rd1</v>
          </cell>
        </row>
        <row r="169">
          <cell r="L169" t="str">
            <v>T4低轻贴半</v>
          </cell>
          <cell r="M169">
            <v>81102</v>
          </cell>
          <cell r="N169" t="str">
            <v>m24-rd1</v>
          </cell>
        </row>
        <row r="170">
          <cell r="L170" t="str">
            <v>T4低中贴半</v>
          </cell>
          <cell r="M170">
            <v>82902</v>
          </cell>
          <cell r="N170" t="str">
            <v>m48-rd1</v>
          </cell>
        </row>
        <row r="171">
          <cell r="L171" t="str">
            <v>T4低重贴半</v>
          </cell>
          <cell r="M171">
            <v>84702</v>
          </cell>
          <cell r="N171" t="str">
            <v>fv214-rd1</v>
          </cell>
        </row>
        <row r="172">
          <cell r="L172" t="str">
            <v>T4低轻贴永</v>
          </cell>
          <cell r="M172">
            <v>81103</v>
          </cell>
          <cell r="N172" t="str">
            <v>m24-rd1</v>
          </cell>
        </row>
        <row r="173">
          <cell r="L173" t="str">
            <v>T4低中贴永</v>
          </cell>
          <cell r="M173">
            <v>82903</v>
          </cell>
          <cell r="N173" t="str">
            <v>m48-rd1</v>
          </cell>
        </row>
        <row r="174">
          <cell r="L174" t="str">
            <v>T4低重贴永</v>
          </cell>
          <cell r="M174">
            <v>84703</v>
          </cell>
          <cell r="N174" t="str">
            <v>fv214-rd1</v>
          </cell>
        </row>
        <row r="175">
          <cell r="L175" t="str">
            <v>T4低轻图三</v>
          </cell>
          <cell r="M175">
            <v>81201</v>
          </cell>
          <cell r="N175" t="str">
            <v>m24-rd2</v>
          </cell>
        </row>
        <row r="176">
          <cell r="L176" t="str">
            <v>T4低中图三</v>
          </cell>
          <cell r="M176">
            <v>83001</v>
          </cell>
          <cell r="N176" t="str">
            <v>m48-rd2</v>
          </cell>
        </row>
        <row r="177">
          <cell r="L177" t="str">
            <v>T4低重图三</v>
          </cell>
          <cell r="M177">
            <v>84801</v>
          </cell>
          <cell r="N177" t="str">
            <v>fv214-rd2</v>
          </cell>
        </row>
        <row r="178">
          <cell r="L178" t="str">
            <v>T4低轻图半</v>
          </cell>
          <cell r="M178">
            <v>81202</v>
          </cell>
          <cell r="N178" t="str">
            <v>m24-rd2</v>
          </cell>
        </row>
        <row r="179">
          <cell r="L179" t="str">
            <v>T4低中图半</v>
          </cell>
          <cell r="M179">
            <v>83002</v>
          </cell>
          <cell r="N179" t="str">
            <v>m48-rd2</v>
          </cell>
        </row>
        <row r="180">
          <cell r="L180" t="str">
            <v>T4低重图半</v>
          </cell>
          <cell r="M180">
            <v>84802</v>
          </cell>
          <cell r="N180" t="str">
            <v>fv214-rd2</v>
          </cell>
        </row>
        <row r="181">
          <cell r="L181" t="str">
            <v>T4低轻图永</v>
          </cell>
          <cell r="M181">
            <v>81203</v>
          </cell>
          <cell r="N181" t="str">
            <v>m24-rd2</v>
          </cell>
        </row>
        <row r="182">
          <cell r="L182" t="str">
            <v>T4低中图永</v>
          </cell>
          <cell r="M182">
            <v>83003</v>
          </cell>
          <cell r="N182" t="str">
            <v>m48-rd2</v>
          </cell>
        </row>
        <row r="183">
          <cell r="L183" t="str">
            <v>T4低重图永</v>
          </cell>
          <cell r="M183">
            <v>84803</v>
          </cell>
          <cell r="N183" t="str">
            <v>fv214-rd2</v>
          </cell>
        </row>
        <row r="184">
          <cell r="L184" t="str">
            <v>T4中轻贴三</v>
          </cell>
          <cell r="M184">
            <v>81301</v>
          </cell>
          <cell r="N184" t="str">
            <v>m41-rd1</v>
          </cell>
        </row>
        <row r="185">
          <cell r="L185" t="str">
            <v>T4中中贴三</v>
          </cell>
          <cell r="M185">
            <v>83101</v>
          </cell>
          <cell r="N185" t="str">
            <v>m26-rd1</v>
          </cell>
        </row>
        <row r="186">
          <cell r="L186" t="str">
            <v>T4中重贴三</v>
          </cell>
          <cell r="M186">
            <v>84901</v>
          </cell>
          <cell r="N186" t="str">
            <v>is4-rd1</v>
          </cell>
        </row>
        <row r="187">
          <cell r="L187" t="str">
            <v>T4中轻贴半</v>
          </cell>
          <cell r="M187">
            <v>81302</v>
          </cell>
          <cell r="N187" t="str">
            <v>m41-rd1</v>
          </cell>
        </row>
        <row r="188">
          <cell r="L188" t="str">
            <v>T4中中贴半</v>
          </cell>
          <cell r="M188">
            <v>83102</v>
          </cell>
          <cell r="N188" t="str">
            <v>m26-rd1</v>
          </cell>
        </row>
        <row r="189">
          <cell r="L189" t="str">
            <v>T4中重贴半</v>
          </cell>
          <cell r="M189">
            <v>84902</v>
          </cell>
          <cell r="N189" t="str">
            <v>is4-rd1</v>
          </cell>
        </row>
        <row r="190">
          <cell r="L190" t="str">
            <v>T4中轻贴永</v>
          </cell>
          <cell r="M190">
            <v>81303</v>
          </cell>
          <cell r="N190" t="str">
            <v>m41-rd1</v>
          </cell>
        </row>
        <row r="191">
          <cell r="L191" t="str">
            <v>T4中中贴永</v>
          </cell>
          <cell r="M191">
            <v>83103</v>
          </cell>
          <cell r="N191" t="str">
            <v>m26-rd1</v>
          </cell>
        </row>
        <row r="192">
          <cell r="L192" t="str">
            <v>T4中重贴永</v>
          </cell>
          <cell r="M192">
            <v>84903</v>
          </cell>
          <cell r="N192" t="str">
            <v>is4-rd1</v>
          </cell>
        </row>
        <row r="193">
          <cell r="L193" t="str">
            <v>T4中轻图三</v>
          </cell>
          <cell r="M193">
            <v>81401</v>
          </cell>
          <cell r="N193" t="str">
            <v>m41-rd2</v>
          </cell>
        </row>
        <row r="194">
          <cell r="L194" t="str">
            <v>T4中中图三</v>
          </cell>
          <cell r="M194">
            <v>83201</v>
          </cell>
          <cell r="N194" t="str">
            <v>m26-rd2</v>
          </cell>
        </row>
        <row r="195">
          <cell r="L195" t="str">
            <v>T4中重图三</v>
          </cell>
          <cell r="M195">
            <v>85001</v>
          </cell>
          <cell r="N195" t="str">
            <v>is4-rd2</v>
          </cell>
        </row>
        <row r="196">
          <cell r="L196" t="str">
            <v>T4中轻图半</v>
          </cell>
          <cell r="M196">
            <v>81402</v>
          </cell>
          <cell r="N196" t="str">
            <v>m41-rd2</v>
          </cell>
        </row>
        <row r="197">
          <cell r="L197" t="str">
            <v>T4中中图半</v>
          </cell>
          <cell r="M197">
            <v>83202</v>
          </cell>
          <cell r="N197" t="str">
            <v>m26-rd2</v>
          </cell>
        </row>
        <row r="198">
          <cell r="L198" t="str">
            <v>T4中重图半</v>
          </cell>
          <cell r="M198">
            <v>85002</v>
          </cell>
          <cell r="N198" t="str">
            <v>is4-rd2</v>
          </cell>
        </row>
        <row r="199">
          <cell r="L199" t="str">
            <v>T4中轻图永</v>
          </cell>
          <cell r="M199">
            <v>81403</v>
          </cell>
          <cell r="N199" t="str">
            <v>m41-rd2</v>
          </cell>
        </row>
        <row r="200">
          <cell r="L200" t="str">
            <v>T4中中图永</v>
          </cell>
          <cell r="M200">
            <v>83203</v>
          </cell>
          <cell r="N200" t="str">
            <v>m26-rd2</v>
          </cell>
        </row>
        <row r="201">
          <cell r="L201" t="str">
            <v>T4中重图永</v>
          </cell>
          <cell r="M201">
            <v>85003</v>
          </cell>
          <cell r="N201" t="str">
            <v>is4-rd2</v>
          </cell>
        </row>
        <row r="202">
          <cell r="L202" t="str">
            <v>T4高轻贴三</v>
          </cell>
          <cell r="M202">
            <v>81501</v>
          </cell>
          <cell r="N202" t="str">
            <v>bmp-3-rd1</v>
          </cell>
        </row>
        <row r="203">
          <cell r="L203" t="str">
            <v>T4高中贴三</v>
          </cell>
          <cell r="M203">
            <v>83301</v>
          </cell>
          <cell r="N203" t="str">
            <v>centurion-rd1</v>
          </cell>
        </row>
        <row r="204">
          <cell r="L204" t="str">
            <v>T4高重贴三</v>
          </cell>
          <cell r="M204">
            <v>85101</v>
          </cell>
          <cell r="N204" t="str">
            <v>t32-rd1</v>
          </cell>
        </row>
        <row r="205">
          <cell r="L205" t="str">
            <v>T4高轻贴半</v>
          </cell>
          <cell r="M205">
            <v>81502</v>
          </cell>
          <cell r="N205" t="str">
            <v>bmp-3-rd1</v>
          </cell>
        </row>
        <row r="206">
          <cell r="B206" t="str">
            <v>部件名称</v>
          </cell>
          <cell r="C206" t="str">
            <v>道具ID</v>
          </cell>
          <cell r="D206" t="str">
            <v>部件ID</v>
          </cell>
          <cell r="L206" t="str">
            <v>T4高中贴半</v>
          </cell>
          <cell r="M206">
            <v>83302</v>
          </cell>
          <cell r="N206" t="str">
            <v>centurion-rd1</v>
          </cell>
        </row>
        <row r="207">
          <cell r="B207" t="str">
            <v>T1LP1</v>
          </cell>
          <cell r="C207">
            <v>91001</v>
          </cell>
          <cell r="D207">
            <v>1110</v>
          </cell>
          <cell r="L207" t="str">
            <v>T4高重贴半</v>
          </cell>
          <cell r="M207">
            <v>85102</v>
          </cell>
          <cell r="N207" t="str">
            <v>t32-rd1</v>
          </cell>
        </row>
        <row r="208">
          <cell r="B208" t="str">
            <v>T1LP2</v>
          </cell>
          <cell r="C208">
            <v>91002</v>
          </cell>
          <cell r="D208">
            <v>1120</v>
          </cell>
          <cell r="L208" t="str">
            <v>T4高轻贴永</v>
          </cell>
          <cell r="M208">
            <v>81503</v>
          </cell>
          <cell r="N208" t="str">
            <v>bmp-3-rd1</v>
          </cell>
        </row>
        <row r="209">
          <cell r="B209" t="str">
            <v>T1LP3</v>
          </cell>
          <cell r="C209">
            <v>91003</v>
          </cell>
          <cell r="D209">
            <v>1130</v>
          </cell>
          <cell r="L209" t="str">
            <v>T4高中贴永</v>
          </cell>
          <cell r="M209">
            <v>83303</v>
          </cell>
          <cell r="N209" t="str">
            <v>centurion-rd1</v>
          </cell>
        </row>
        <row r="210">
          <cell r="B210" t="str">
            <v>T1LP4</v>
          </cell>
          <cell r="C210">
            <v>91004</v>
          </cell>
          <cell r="D210">
            <v>1140</v>
          </cell>
          <cell r="L210" t="str">
            <v>T4高重贴永</v>
          </cell>
          <cell r="M210">
            <v>85103</v>
          </cell>
          <cell r="N210" t="str">
            <v>t32-rd1</v>
          </cell>
        </row>
        <row r="211">
          <cell r="B211" t="str">
            <v>T1LP5</v>
          </cell>
          <cell r="C211">
            <v>91005</v>
          </cell>
          <cell r="D211">
            <v>1150</v>
          </cell>
          <cell r="L211" t="str">
            <v>T4高轻图三</v>
          </cell>
          <cell r="M211">
            <v>81601</v>
          </cell>
          <cell r="N211" t="str">
            <v>bmp-3-rd2</v>
          </cell>
        </row>
        <row r="212">
          <cell r="B212" t="str">
            <v>T1LP6</v>
          </cell>
          <cell r="C212">
            <v>91006</v>
          </cell>
          <cell r="D212">
            <v>1160</v>
          </cell>
          <cell r="L212" t="str">
            <v>T4高中图三</v>
          </cell>
          <cell r="M212">
            <v>83401</v>
          </cell>
          <cell r="N212" t="str">
            <v>centurion-rd2</v>
          </cell>
        </row>
        <row r="213">
          <cell r="B213" t="str">
            <v>T1MP1</v>
          </cell>
          <cell r="C213">
            <v>91101</v>
          </cell>
          <cell r="D213">
            <v>1210</v>
          </cell>
          <cell r="L213" t="str">
            <v>T4高重图三</v>
          </cell>
          <cell r="M213">
            <v>85201</v>
          </cell>
          <cell r="N213" t="str">
            <v>t32-rd2</v>
          </cell>
        </row>
        <row r="214">
          <cell r="B214" t="str">
            <v>T1MP2</v>
          </cell>
          <cell r="C214">
            <v>91102</v>
          </cell>
          <cell r="D214">
            <v>1220</v>
          </cell>
          <cell r="L214" t="str">
            <v>T4高轻图半</v>
          </cell>
          <cell r="M214">
            <v>81602</v>
          </cell>
          <cell r="N214" t="str">
            <v>bmp-3-rd2</v>
          </cell>
        </row>
        <row r="215">
          <cell r="B215" t="str">
            <v>T1MP3</v>
          </cell>
          <cell r="C215">
            <v>91103</v>
          </cell>
          <cell r="D215">
            <v>1230</v>
          </cell>
          <cell r="L215" t="str">
            <v>T4高中图半</v>
          </cell>
          <cell r="M215">
            <v>83402</v>
          </cell>
          <cell r="N215" t="str">
            <v>centurion-rd2</v>
          </cell>
        </row>
        <row r="216">
          <cell r="B216" t="str">
            <v>T1MP4</v>
          </cell>
          <cell r="C216">
            <v>91104</v>
          </cell>
          <cell r="D216">
            <v>1240</v>
          </cell>
          <cell r="L216" t="str">
            <v>T4高重图半</v>
          </cell>
          <cell r="M216">
            <v>85202</v>
          </cell>
          <cell r="N216" t="str">
            <v>t32-rd2</v>
          </cell>
        </row>
        <row r="217">
          <cell r="B217" t="str">
            <v>T1MP5</v>
          </cell>
          <cell r="C217">
            <v>91105</v>
          </cell>
          <cell r="D217">
            <v>1250</v>
          </cell>
          <cell r="L217" t="str">
            <v>T4高轻图永</v>
          </cell>
          <cell r="M217">
            <v>81603</v>
          </cell>
          <cell r="N217" t="str">
            <v>bmp-3-rd2</v>
          </cell>
        </row>
        <row r="218">
          <cell r="B218" t="str">
            <v>T1MP6</v>
          </cell>
          <cell r="C218">
            <v>91106</v>
          </cell>
          <cell r="D218">
            <v>1260</v>
          </cell>
          <cell r="L218" t="str">
            <v>T4高中图永</v>
          </cell>
          <cell r="M218">
            <v>83403</v>
          </cell>
          <cell r="N218" t="str">
            <v>centurion-rd2</v>
          </cell>
        </row>
        <row r="219">
          <cell r="B219" t="str">
            <v>T1HP1</v>
          </cell>
          <cell r="C219">
            <v>91201</v>
          </cell>
          <cell r="D219">
            <v>1310</v>
          </cell>
          <cell r="L219" t="str">
            <v>T4高重图永</v>
          </cell>
          <cell r="M219">
            <v>85203</v>
          </cell>
          <cell r="N219" t="str">
            <v>t32-rd2</v>
          </cell>
        </row>
        <row r="220">
          <cell r="B220" t="str">
            <v>T1HP2</v>
          </cell>
          <cell r="C220">
            <v>91202</v>
          </cell>
          <cell r="D220">
            <v>1320</v>
          </cell>
          <cell r="L220" t="str">
            <v>T5低轻贴三</v>
          </cell>
          <cell r="M220">
            <v>81701</v>
          </cell>
          <cell r="N220" t="str">
            <v>59-rd1</v>
          </cell>
        </row>
        <row r="221">
          <cell r="B221" t="str">
            <v>T1HP3</v>
          </cell>
          <cell r="C221">
            <v>91203</v>
          </cell>
          <cell r="D221">
            <v>1330</v>
          </cell>
          <cell r="L221" t="str">
            <v>T5低中贴三</v>
          </cell>
          <cell r="M221">
            <v>83501</v>
          </cell>
          <cell r="N221" t="str">
            <v>challenger1-rd1</v>
          </cell>
        </row>
        <row r="222">
          <cell r="B222" t="str">
            <v>T1HP4</v>
          </cell>
          <cell r="C222">
            <v>91204</v>
          </cell>
          <cell r="D222">
            <v>1340</v>
          </cell>
          <cell r="L222" t="str">
            <v>T5低重贴三</v>
          </cell>
          <cell r="M222">
            <v>85301</v>
          </cell>
          <cell r="N222" t="str">
            <v>m1a2-rd1</v>
          </cell>
        </row>
        <row r="223">
          <cell r="B223" t="str">
            <v>T1HP5</v>
          </cell>
          <cell r="C223">
            <v>91205</v>
          </cell>
          <cell r="D223">
            <v>1350</v>
          </cell>
          <cell r="L223" t="str">
            <v>T5低轻贴半</v>
          </cell>
          <cell r="M223">
            <v>81702</v>
          </cell>
          <cell r="N223" t="str">
            <v>59-rd1</v>
          </cell>
        </row>
        <row r="224">
          <cell r="B224" t="str">
            <v>T1HP6</v>
          </cell>
          <cell r="C224">
            <v>91206</v>
          </cell>
          <cell r="D224">
            <v>1360</v>
          </cell>
          <cell r="L224" t="str">
            <v>T5低中贴半</v>
          </cell>
          <cell r="M224">
            <v>83502</v>
          </cell>
          <cell r="N224" t="str">
            <v>challenger1-rd1</v>
          </cell>
        </row>
        <row r="225">
          <cell r="B225" t="str">
            <v>T2LP1</v>
          </cell>
          <cell r="C225">
            <v>92001</v>
          </cell>
          <cell r="D225">
            <v>2110</v>
          </cell>
          <cell r="L225" t="str">
            <v>T5低重贴半</v>
          </cell>
          <cell r="M225">
            <v>85302</v>
          </cell>
          <cell r="N225" t="str">
            <v>m1a2-rd1</v>
          </cell>
        </row>
        <row r="226">
          <cell r="B226" t="str">
            <v>T2LP2</v>
          </cell>
          <cell r="C226">
            <v>92002</v>
          </cell>
          <cell r="D226">
            <v>2120</v>
          </cell>
          <cell r="L226" t="str">
            <v>T5低轻贴永</v>
          </cell>
          <cell r="M226">
            <v>81703</v>
          </cell>
          <cell r="N226" t="str">
            <v>59-rd1</v>
          </cell>
        </row>
        <row r="227">
          <cell r="B227" t="str">
            <v>T2LP3</v>
          </cell>
          <cell r="C227">
            <v>92003</v>
          </cell>
          <cell r="D227">
            <v>2130</v>
          </cell>
          <cell r="L227" t="str">
            <v>T5低中贴永</v>
          </cell>
          <cell r="M227">
            <v>83503</v>
          </cell>
          <cell r="N227" t="str">
            <v>challenger1-rd1</v>
          </cell>
        </row>
        <row r="228">
          <cell r="B228" t="str">
            <v>T2LP4</v>
          </cell>
          <cell r="C228">
            <v>92004</v>
          </cell>
          <cell r="D228">
            <v>2140</v>
          </cell>
          <cell r="L228" t="str">
            <v>T5低重贴永</v>
          </cell>
          <cell r="M228">
            <v>85303</v>
          </cell>
          <cell r="N228" t="str">
            <v>m1a2-rd1</v>
          </cell>
        </row>
        <row r="229">
          <cell r="B229" t="str">
            <v>T2LP5</v>
          </cell>
          <cell r="C229">
            <v>92005</v>
          </cell>
          <cell r="D229">
            <v>2150</v>
          </cell>
          <cell r="L229" t="str">
            <v>T5低轻图三</v>
          </cell>
          <cell r="M229">
            <v>81801</v>
          </cell>
          <cell r="N229" t="str">
            <v>59-rd2</v>
          </cell>
        </row>
        <row r="230">
          <cell r="B230" t="str">
            <v>T2LP6</v>
          </cell>
          <cell r="C230">
            <v>92006</v>
          </cell>
          <cell r="D230">
            <v>2160</v>
          </cell>
          <cell r="L230" t="str">
            <v>T5低中图三</v>
          </cell>
          <cell r="M230">
            <v>83601</v>
          </cell>
          <cell r="N230" t="str">
            <v>challenger1-rd2</v>
          </cell>
        </row>
        <row r="231">
          <cell r="B231" t="str">
            <v>T2MP1</v>
          </cell>
          <cell r="C231">
            <v>92101</v>
          </cell>
          <cell r="D231">
            <v>2210</v>
          </cell>
          <cell r="L231" t="str">
            <v>T5低重图三</v>
          </cell>
          <cell r="M231">
            <v>85401</v>
          </cell>
          <cell r="N231" t="str">
            <v>m1a2-rd2</v>
          </cell>
        </row>
        <row r="232">
          <cell r="B232" t="str">
            <v>T2MP2</v>
          </cell>
          <cell r="C232">
            <v>92102</v>
          </cell>
          <cell r="D232">
            <v>2220</v>
          </cell>
          <cell r="L232" t="str">
            <v>T5低轻图半</v>
          </cell>
          <cell r="M232">
            <v>81802</v>
          </cell>
          <cell r="N232" t="str">
            <v>59-rd2</v>
          </cell>
        </row>
        <row r="233">
          <cell r="B233" t="str">
            <v>T2MP3</v>
          </cell>
          <cell r="C233">
            <v>92103</v>
          </cell>
          <cell r="D233">
            <v>2230</v>
          </cell>
          <cell r="L233" t="str">
            <v>T5低中图半</v>
          </cell>
          <cell r="M233">
            <v>83602</v>
          </cell>
          <cell r="N233" t="str">
            <v>challenger1-rd2</v>
          </cell>
        </row>
        <row r="234">
          <cell r="B234" t="str">
            <v>T2MP4</v>
          </cell>
          <cell r="C234">
            <v>92104</v>
          </cell>
          <cell r="D234">
            <v>2240</v>
          </cell>
          <cell r="L234" t="str">
            <v>T5低重图半</v>
          </cell>
          <cell r="M234">
            <v>85402</v>
          </cell>
          <cell r="N234" t="str">
            <v>m1a2-rd2</v>
          </cell>
        </row>
        <row r="235">
          <cell r="B235" t="str">
            <v>T2MP5</v>
          </cell>
          <cell r="C235">
            <v>92105</v>
          </cell>
          <cell r="D235">
            <v>2250</v>
          </cell>
          <cell r="L235" t="str">
            <v>T5低轻图永</v>
          </cell>
          <cell r="M235">
            <v>81803</v>
          </cell>
          <cell r="N235" t="str">
            <v>59-rd2</v>
          </cell>
        </row>
        <row r="236">
          <cell r="B236" t="str">
            <v>T2MP6</v>
          </cell>
          <cell r="C236">
            <v>92106</v>
          </cell>
          <cell r="D236">
            <v>2260</v>
          </cell>
          <cell r="L236" t="str">
            <v>T5低中图永</v>
          </cell>
          <cell r="M236">
            <v>83603</v>
          </cell>
          <cell r="N236" t="str">
            <v>challenger1-rd2</v>
          </cell>
        </row>
        <row r="237">
          <cell r="B237" t="str">
            <v>T2HP1</v>
          </cell>
          <cell r="C237">
            <v>92201</v>
          </cell>
          <cell r="D237">
            <v>2310</v>
          </cell>
          <cell r="L237" t="str">
            <v>T5低重图永</v>
          </cell>
          <cell r="M237">
            <v>85403</v>
          </cell>
          <cell r="N237" t="str">
            <v>m1a2-rd2</v>
          </cell>
        </row>
        <row r="238">
          <cell r="B238" t="str">
            <v>T2HP2</v>
          </cell>
          <cell r="C238">
            <v>92202</v>
          </cell>
          <cell r="D238">
            <v>2320</v>
          </cell>
        </row>
        <row r="239">
          <cell r="B239" t="str">
            <v>T2HP3</v>
          </cell>
          <cell r="C239">
            <v>92203</v>
          </cell>
          <cell r="D239">
            <v>2330</v>
          </cell>
          <cell r="L239" t="str">
            <v>部件名称</v>
          </cell>
          <cell r="M239" t="str">
            <v>道具ID</v>
          </cell>
          <cell r="N239" t="str">
            <v>图标ID</v>
          </cell>
        </row>
        <row r="240">
          <cell r="B240" t="str">
            <v>T2HP4</v>
          </cell>
          <cell r="C240">
            <v>92204</v>
          </cell>
          <cell r="D240">
            <v>2340</v>
          </cell>
          <cell r="L240" t="str">
            <v>T1LP1</v>
          </cell>
          <cell r="M240">
            <v>91001</v>
          </cell>
          <cell r="N240" t="str">
            <v>tank_part_icon_1_1</v>
          </cell>
        </row>
        <row r="241">
          <cell r="B241" t="str">
            <v>T2HP5</v>
          </cell>
          <cell r="C241">
            <v>92205</v>
          </cell>
          <cell r="D241">
            <v>2350</v>
          </cell>
          <cell r="L241" t="str">
            <v>T1LP2</v>
          </cell>
          <cell r="M241">
            <v>91002</v>
          </cell>
          <cell r="N241" t="str">
            <v>tank_part_icon_2_1</v>
          </cell>
        </row>
        <row r="242">
          <cell r="B242" t="str">
            <v>T2HP6</v>
          </cell>
          <cell r="C242">
            <v>92206</v>
          </cell>
          <cell r="D242">
            <v>2360</v>
          </cell>
          <cell r="L242" t="str">
            <v>T1LP3</v>
          </cell>
          <cell r="M242">
            <v>91003</v>
          </cell>
          <cell r="N242" t="str">
            <v>tank_part_icon_3_1</v>
          </cell>
        </row>
        <row r="243">
          <cell r="B243" t="str">
            <v>T3LP1</v>
          </cell>
          <cell r="C243">
            <v>93001</v>
          </cell>
          <cell r="D243">
            <v>3110</v>
          </cell>
          <cell r="L243" t="str">
            <v>T1LP4</v>
          </cell>
          <cell r="M243">
            <v>91004</v>
          </cell>
          <cell r="N243" t="str">
            <v>tank_part_icon_4_1</v>
          </cell>
        </row>
        <row r="244">
          <cell r="B244" t="str">
            <v>T3LP2</v>
          </cell>
          <cell r="C244">
            <v>93002</v>
          </cell>
          <cell r="D244">
            <v>3120</v>
          </cell>
          <cell r="L244" t="str">
            <v>T1LP5</v>
          </cell>
          <cell r="M244">
            <v>91005</v>
          </cell>
          <cell r="N244" t="str">
            <v>tank_part_icon_5_1</v>
          </cell>
        </row>
        <row r="245">
          <cell r="B245" t="str">
            <v>T3LP3</v>
          </cell>
          <cell r="C245">
            <v>93003</v>
          </cell>
          <cell r="D245">
            <v>3130</v>
          </cell>
          <cell r="L245" t="str">
            <v>T1LP6</v>
          </cell>
          <cell r="M245">
            <v>91006</v>
          </cell>
          <cell r="N245" t="str">
            <v>tank_part_icon_6_1</v>
          </cell>
        </row>
        <row r="246">
          <cell r="B246" t="str">
            <v>T3LP4</v>
          </cell>
          <cell r="C246">
            <v>93004</v>
          </cell>
          <cell r="D246">
            <v>3140</v>
          </cell>
          <cell r="L246" t="str">
            <v>T1MP1</v>
          </cell>
          <cell r="M246">
            <v>91101</v>
          </cell>
          <cell r="N246" t="str">
            <v>tank_part_icon_1_2</v>
          </cell>
        </row>
        <row r="247">
          <cell r="B247" t="str">
            <v>T3LP5</v>
          </cell>
          <cell r="C247">
            <v>93005</v>
          </cell>
          <cell r="D247">
            <v>3150</v>
          </cell>
          <cell r="L247" t="str">
            <v>T1MP2</v>
          </cell>
          <cell r="M247">
            <v>91102</v>
          </cell>
          <cell r="N247" t="str">
            <v>tank_part_icon_2_2</v>
          </cell>
        </row>
        <row r="248">
          <cell r="B248" t="str">
            <v>T3LP6</v>
          </cell>
          <cell r="C248">
            <v>93006</v>
          </cell>
          <cell r="D248">
            <v>3160</v>
          </cell>
          <cell r="L248" t="str">
            <v>T1MP3</v>
          </cell>
          <cell r="M248">
            <v>91103</v>
          </cell>
          <cell r="N248" t="str">
            <v>tank_part_icon_3_2</v>
          </cell>
        </row>
        <row r="249">
          <cell r="B249" t="str">
            <v>T3MP1</v>
          </cell>
          <cell r="C249">
            <v>93101</v>
          </cell>
          <cell r="D249">
            <v>3210</v>
          </cell>
          <cell r="L249" t="str">
            <v>T1MP4</v>
          </cell>
          <cell r="M249">
            <v>91104</v>
          </cell>
          <cell r="N249" t="str">
            <v>tank_part_icon_4_2</v>
          </cell>
        </row>
        <row r="250">
          <cell r="B250" t="str">
            <v>T3MP2</v>
          </cell>
          <cell r="C250">
            <v>93102</v>
          </cell>
          <cell r="D250">
            <v>3220</v>
          </cell>
          <cell r="L250" t="str">
            <v>T1MP5</v>
          </cell>
          <cell r="M250">
            <v>91105</v>
          </cell>
          <cell r="N250" t="str">
            <v>tank_part_icon_5_2</v>
          </cell>
        </row>
        <row r="251">
          <cell r="B251" t="str">
            <v>T3MP3</v>
          </cell>
          <cell r="C251">
            <v>93103</v>
          </cell>
          <cell r="D251">
            <v>3230</v>
          </cell>
          <cell r="L251" t="str">
            <v>T1MP6</v>
          </cell>
          <cell r="M251">
            <v>91106</v>
          </cell>
          <cell r="N251" t="str">
            <v>tank_part_icon_6_2</v>
          </cell>
        </row>
        <row r="252">
          <cell r="B252" t="str">
            <v>T3MP4</v>
          </cell>
          <cell r="C252">
            <v>93104</v>
          </cell>
          <cell r="D252">
            <v>3240</v>
          </cell>
          <cell r="L252" t="str">
            <v>T1HP1</v>
          </cell>
          <cell r="M252">
            <v>91201</v>
          </cell>
          <cell r="N252" t="str">
            <v>tank_part_icon_1_3</v>
          </cell>
        </row>
        <row r="253">
          <cell r="B253" t="str">
            <v>T3MP5</v>
          </cell>
          <cell r="C253">
            <v>93105</v>
          </cell>
          <cell r="D253">
            <v>3250</v>
          </cell>
          <cell r="L253" t="str">
            <v>T1HP2</v>
          </cell>
          <cell r="M253">
            <v>91202</v>
          </cell>
          <cell r="N253" t="str">
            <v>tank_part_icon_2_3</v>
          </cell>
        </row>
        <row r="254">
          <cell r="B254" t="str">
            <v>T3MP6</v>
          </cell>
          <cell r="C254">
            <v>93106</v>
          </cell>
          <cell r="D254">
            <v>3260</v>
          </cell>
          <cell r="L254" t="str">
            <v>T1HP3</v>
          </cell>
          <cell r="M254">
            <v>91203</v>
          </cell>
          <cell r="N254" t="str">
            <v>tank_part_icon_3_3</v>
          </cell>
        </row>
        <row r="255">
          <cell r="B255" t="str">
            <v>T3HP1</v>
          </cell>
          <cell r="C255">
            <v>93201</v>
          </cell>
          <cell r="D255">
            <v>3310</v>
          </cell>
          <cell r="L255" t="str">
            <v>T1HP4</v>
          </cell>
          <cell r="M255">
            <v>91204</v>
          </cell>
          <cell r="N255" t="str">
            <v>tank_part_icon_4_3</v>
          </cell>
        </row>
        <row r="256">
          <cell r="B256" t="str">
            <v>T3HP2</v>
          </cell>
          <cell r="C256">
            <v>93202</v>
          </cell>
          <cell r="D256">
            <v>3320</v>
          </cell>
          <cell r="L256" t="str">
            <v>T1HP5</v>
          </cell>
          <cell r="M256">
            <v>91205</v>
          </cell>
          <cell r="N256" t="str">
            <v>tank_part_icon_5_3</v>
          </cell>
        </row>
        <row r="257">
          <cell r="B257" t="str">
            <v>T3HP3</v>
          </cell>
          <cell r="C257">
            <v>93203</v>
          </cell>
          <cell r="D257">
            <v>3330</v>
          </cell>
          <cell r="L257" t="str">
            <v>T1HP6</v>
          </cell>
          <cell r="M257">
            <v>91206</v>
          </cell>
          <cell r="N257" t="str">
            <v>tank_part_icon_6_3</v>
          </cell>
        </row>
        <row r="258">
          <cell r="B258" t="str">
            <v>T3HP4</v>
          </cell>
          <cell r="C258">
            <v>93204</v>
          </cell>
          <cell r="D258">
            <v>3340</v>
          </cell>
          <cell r="L258" t="str">
            <v>T2LP1</v>
          </cell>
          <cell r="M258">
            <v>92001</v>
          </cell>
          <cell r="N258" t="str">
            <v>tank_part_icon_1_1</v>
          </cell>
        </row>
        <row r="259">
          <cell r="B259" t="str">
            <v>T3HP5</v>
          </cell>
          <cell r="C259">
            <v>93205</v>
          </cell>
          <cell r="D259">
            <v>3350</v>
          </cell>
          <cell r="L259" t="str">
            <v>T2LP2</v>
          </cell>
          <cell r="M259">
            <v>92002</v>
          </cell>
          <cell r="N259" t="str">
            <v>tank_part_icon_2_1</v>
          </cell>
        </row>
        <row r="260">
          <cell r="B260" t="str">
            <v>T3HP6</v>
          </cell>
          <cell r="C260">
            <v>93206</v>
          </cell>
          <cell r="D260">
            <v>3360</v>
          </cell>
          <cell r="L260" t="str">
            <v>T2LP3</v>
          </cell>
          <cell r="M260">
            <v>92003</v>
          </cell>
          <cell r="N260" t="str">
            <v>tank_part_icon_3_1</v>
          </cell>
        </row>
        <row r="261">
          <cell r="B261" t="str">
            <v>T4LP1</v>
          </cell>
          <cell r="C261">
            <v>94001</v>
          </cell>
          <cell r="D261">
            <v>4110</v>
          </cell>
          <cell r="L261" t="str">
            <v>T2LP4</v>
          </cell>
          <cell r="M261">
            <v>92004</v>
          </cell>
          <cell r="N261" t="str">
            <v>tank_part_icon_4_1</v>
          </cell>
        </row>
        <row r="262">
          <cell r="B262" t="str">
            <v>T4LP2</v>
          </cell>
          <cell r="C262">
            <v>94002</v>
          </cell>
          <cell r="D262">
            <v>4120</v>
          </cell>
          <cell r="L262" t="str">
            <v>T2LP5</v>
          </cell>
          <cell r="M262">
            <v>92005</v>
          </cell>
          <cell r="N262" t="str">
            <v>tank_part_icon_5_1</v>
          </cell>
        </row>
        <row r="263">
          <cell r="B263" t="str">
            <v>T4LP3</v>
          </cell>
          <cell r="C263">
            <v>94003</v>
          </cell>
          <cell r="D263">
            <v>4130</v>
          </cell>
          <cell r="L263" t="str">
            <v>T2LP6</v>
          </cell>
          <cell r="M263">
            <v>92006</v>
          </cell>
          <cell r="N263" t="str">
            <v>tank_part_icon_6_1</v>
          </cell>
        </row>
        <row r="264">
          <cell r="B264" t="str">
            <v>T4LP4</v>
          </cell>
          <cell r="C264">
            <v>94004</v>
          </cell>
          <cell r="D264">
            <v>4140</v>
          </cell>
          <cell r="L264" t="str">
            <v>T2MP1</v>
          </cell>
          <cell r="M264">
            <v>92101</v>
          </cell>
          <cell r="N264" t="str">
            <v>tank_part_icon_1_2</v>
          </cell>
        </row>
        <row r="265">
          <cell r="B265" t="str">
            <v>T4LP5</v>
          </cell>
          <cell r="C265">
            <v>94005</v>
          </cell>
          <cell r="D265">
            <v>4150</v>
          </cell>
          <cell r="L265" t="str">
            <v>T2MP2</v>
          </cell>
          <cell r="M265">
            <v>92102</v>
          </cell>
          <cell r="N265" t="str">
            <v>tank_part_icon_2_2</v>
          </cell>
        </row>
        <row r="266">
          <cell r="B266" t="str">
            <v>T4LP6</v>
          </cell>
          <cell r="C266">
            <v>94006</v>
          </cell>
          <cell r="D266">
            <v>4160</v>
          </cell>
          <cell r="L266" t="str">
            <v>T2MP3</v>
          </cell>
          <cell r="M266">
            <v>92103</v>
          </cell>
          <cell r="N266" t="str">
            <v>tank_part_icon_3_2</v>
          </cell>
        </row>
        <row r="267">
          <cell r="B267" t="str">
            <v>T4MP1</v>
          </cell>
          <cell r="C267">
            <v>94101</v>
          </cell>
          <cell r="D267">
            <v>4210</v>
          </cell>
          <cell r="L267" t="str">
            <v>T2MP4</v>
          </cell>
          <cell r="M267">
            <v>92104</v>
          </cell>
          <cell r="N267" t="str">
            <v>tank_part_icon_4_2</v>
          </cell>
        </row>
        <row r="268">
          <cell r="B268" t="str">
            <v>T4MP2</v>
          </cell>
          <cell r="C268">
            <v>94102</v>
          </cell>
          <cell r="D268">
            <v>4220</v>
          </cell>
          <cell r="L268" t="str">
            <v>T2MP5</v>
          </cell>
          <cell r="M268">
            <v>92105</v>
          </cell>
          <cell r="N268" t="str">
            <v>tank_part_icon_5_2</v>
          </cell>
        </row>
        <row r="269">
          <cell r="B269" t="str">
            <v>T4MP3</v>
          </cell>
          <cell r="C269">
            <v>94103</v>
          </cell>
          <cell r="D269">
            <v>4230</v>
          </cell>
          <cell r="L269" t="str">
            <v>T2MP6</v>
          </cell>
          <cell r="M269">
            <v>92106</v>
          </cell>
          <cell r="N269" t="str">
            <v>tank_part_icon_6_2</v>
          </cell>
        </row>
        <row r="270">
          <cell r="B270" t="str">
            <v>T4MP4</v>
          </cell>
          <cell r="C270">
            <v>94104</v>
          </cell>
          <cell r="D270">
            <v>4240</v>
          </cell>
          <cell r="L270" t="str">
            <v>T2HP1</v>
          </cell>
          <cell r="M270">
            <v>92201</v>
          </cell>
          <cell r="N270" t="str">
            <v>tank_part_icon_1_3</v>
          </cell>
        </row>
        <row r="271">
          <cell r="B271" t="str">
            <v>T4MP5</v>
          </cell>
          <cell r="C271">
            <v>94105</v>
          </cell>
          <cell r="D271">
            <v>4250</v>
          </cell>
          <cell r="L271" t="str">
            <v>T2HP2</v>
          </cell>
          <cell r="M271">
            <v>92202</v>
          </cell>
          <cell r="N271" t="str">
            <v>tank_part_icon_2_3</v>
          </cell>
        </row>
        <row r="272">
          <cell r="B272" t="str">
            <v>T4MP6</v>
          </cell>
          <cell r="C272">
            <v>94106</v>
          </cell>
          <cell r="D272">
            <v>4260</v>
          </cell>
          <cell r="L272" t="str">
            <v>T2HP3</v>
          </cell>
          <cell r="M272">
            <v>92203</v>
          </cell>
          <cell r="N272" t="str">
            <v>tank_part_icon_3_3</v>
          </cell>
        </row>
        <row r="273">
          <cell r="B273" t="str">
            <v>T4HP1</v>
          </cell>
          <cell r="C273">
            <v>94201</v>
          </cell>
          <cell r="D273">
            <v>4310</v>
          </cell>
          <cell r="L273" t="str">
            <v>T2HP4</v>
          </cell>
          <cell r="M273">
            <v>92204</v>
          </cell>
          <cell r="N273" t="str">
            <v>tank_part_icon_4_3</v>
          </cell>
        </row>
        <row r="274">
          <cell r="B274" t="str">
            <v>T4HP2</v>
          </cell>
          <cell r="C274">
            <v>94202</v>
          </cell>
          <cell r="D274">
            <v>4320</v>
          </cell>
          <cell r="L274" t="str">
            <v>T2HP5</v>
          </cell>
          <cell r="M274">
            <v>92205</v>
          </cell>
          <cell r="N274" t="str">
            <v>tank_part_icon_5_3</v>
          </cell>
        </row>
        <row r="275">
          <cell r="B275" t="str">
            <v>T4HP3</v>
          </cell>
          <cell r="C275">
            <v>94203</v>
          </cell>
          <cell r="D275">
            <v>4330</v>
          </cell>
          <cell r="L275" t="str">
            <v>T2HP6</v>
          </cell>
          <cell r="M275">
            <v>92206</v>
          </cell>
          <cell r="N275" t="str">
            <v>tank_part_icon_6_3</v>
          </cell>
        </row>
        <row r="276">
          <cell r="B276" t="str">
            <v>T4HP4</v>
          </cell>
          <cell r="C276">
            <v>94204</v>
          </cell>
          <cell r="D276">
            <v>4340</v>
          </cell>
          <cell r="L276" t="str">
            <v>T3LP1</v>
          </cell>
          <cell r="M276">
            <v>93001</v>
          </cell>
          <cell r="N276" t="str">
            <v>tank_part_icon_1_1</v>
          </cell>
        </row>
        <row r="277">
          <cell r="B277" t="str">
            <v>T4HP5</v>
          </cell>
          <cell r="C277">
            <v>94205</v>
          </cell>
          <cell r="D277">
            <v>4350</v>
          </cell>
          <cell r="L277" t="str">
            <v>T3LP2</v>
          </cell>
          <cell r="M277">
            <v>93002</v>
          </cell>
          <cell r="N277" t="str">
            <v>tank_part_icon_2_1</v>
          </cell>
        </row>
        <row r="278">
          <cell r="B278" t="str">
            <v>T4HP6</v>
          </cell>
          <cell r="C278">
            <v>94206</v>
          </cell>
          <cell r="D278">
            <v>4360</v>
          </cell>
          <cell r="L278" t="str">
            <v>T3LP3</v>
          </cell>
          <cell r="M278">
            <v>93003</v>
          </cell>
          <cell r="N278" t="str">
            <v>tank_part_icon_3_1</v>
          </cell>
        </row>
        <row r="279">
          <cell r="B279" t="str">
            <v>T5LP1</v>
          </cell>
          <cell r="C279">
            <v>95001</v>
          </cell>
          <cell r="D279">
            <v>5110</v>
          </cell>
          <cell r="L279" t="str">
            <v>T3LP4</v>
          </cell>
          <cell r="M279">
            <v>93004</v>
          </cell>
          <cell r="N279" t="str">
            <v>tank_part_icon_4_1</v>
          </cell>
        </row>
        <row r="280">
          <cell r="B280" t="str">
            <v>T5LP2</v>
          </cell>
          <cell r="C280">
            <v>95002</v>
          </cell>
          <cell r="D280">
            <v>5120</v>
          </cell>
          <cell r="L280" t="str">
            <v>T3LP5</v>
          </cell>
          <cell r="M280">
            <v>93005</v>
          </cell>
          <cell r="N280" t="str">
            <v>tank_part_icon_5_1</v>
          </cell>
        </row>
        <row r="281">
          <cell r="B281" t="str">
            <v>T5LP3</v>
          </cell>
          <cell r="C281">
            <v>95003</v>
          </cell>
          <cell r="D281">
            <v>5130</v>
          </cell>
          <cell r="L281" t="str">
            <v>T3LP6</v>
          </cell>
          <cell r="M281">
            <v>93006</v>
          </cell>
          <cell r="N281" t="str">
            <v>tank_part_icon_6_1</v>
          </cell>
        </row>
        <row r="282">
          <cell r="B282" t="str">
            <v>T5LP4</v>
          </cell>
          <cell r="C282">
            <v>95004</v>
          </cell>
          <cell r="D282">
            <v>5140</v>
          </cell>
          <cell r="L282" t="str">
            <v>T3MP1</v>
          </cell>
          <cell r="M282">
            <v>93101</v>
          </cell>
          <cell r="N282" t="str">
            <v>tank_part_icon_1_2</v>
          </cell>
        </row>
        <row r="283">
          <cell r="B283" t="str">
            <v>T5LP5</v>
          </cell>
          <cell r="C283">
            <v>95005</v>
          </cell>
          <cell r="D283">
            <v>5150</v>
          </cell>
          <cell r="L283" t="str">
            <v>T3MP2</v>
          </cell>
          <cell r="M283">
            <v>93102</v>
          </cell>
          <cell r="N283" t="str">
            <v>tank_part_icon_2_2</v>
          </cell>
        </row>
        <row r="284">
          <cell r="B284" t="str">
            <v>T5LP6</v>
          </cell>
          <cell r="C284">
            <v>95006</v>
          </cell>
          <cell r="D284">
            <v>5160</v>
          </cell>
          <cell r="L284" t="str">
            <v>T3MP3</v>
          </cell>
          <cell r="M284">
            <v>93103</v>
          </cell>
          <cell r="N284" t="str">
            <v>tank_part_icon_3_2</v>
          </cell>
        </row>
        <row r="285">
          <cell r="B285" t="str">
            <v>T5MP1</v>
          </cell>
          <cell r="C285">
            <v>95101</v>
          </cell>
          <cell r="D285">
            <v>5210</v>
          </cell>
          <cell r="L285" t="str">
            <v>T3MP4</v>
          </cell>
          <cell r="M285">
            <v>93104</v>
          </cell>
          <cell r="N285" t="str">
            <v>tank_part_icon_4_2</v>
          </cell>
        </row>
        <row r="286">
          <cell r="B286" t="str">
            <v>T5MP2</v>
          </cell>
          <cell r="C286">
            <v>95102</v>
          </cell>
          <cell r="D286">
            <v>5220</v>
          </cell>
          <cell r="L286" t="str">
            <v>T3MP5</v>
          </cell>
          <cell r="M286">
            <v>93105</v>
          </cell>
          <cell r="N286" t="str">
            <v>tank_part_icon_5_2</v>
          </cell>
        </row>
        <row r="287">
          <cell r="B287" t="str">
            <v>T5MP3</v>
          </cell>
          <cell r="C287">
            <v>95103</v>
          </cell>
          <cell r="D287">
            <v>5230</v>
          </cell>
          <cell r="L287" t="str">
            <v>T3MP6</v>
          </cell>
          <cell r="M287">
            <v>93106</v>
          </cell>
          <cell r="N287" t="str">
            <v>tank_part_icon_6_2</v>
          </cell>
        </row>
        <row r="288">
          <cell r="B288" t="str">
            <v>T5MP4</v>
          </cell>
          <cell r="C288">
            <v>95104</v>
          </cell>
          <cell r="D288">
            <v>5240</v>
          </cell>
          <cell r="L288" t="str">
            <v>T3HP1</v>
          </cell>
          <cell r="M288">
            <v>93201</v>
          </cell>
          <cell r="N288" t="str">
            <v>tank_part_icon_1_3</v>
          </cell>
        </row>
        <row r="289">
          <cell r="B289" t="str">
            <v>T5MP5</v>
          </cell>
          <cell r="C289">
            <v>95105</v>
          </cell>
          <cell r="D289">
            <v>5250</v>
          </cell>
          <cell r="L289" t="str">
            <v>T3HP2</v>
          </cell>
          <cell r="M289">
            <v>93202</v>
          </cell>
          <cell r="N289" t="str">
            <v>tank_part_icon_2_3</v>
          </cell>
        </row>
        <row r="290">
          <cell r="B290" t="str">
            <v>T5MP6</v>
          </cell>
          <cell r="C290">
            <v>95106</v>
          </cell>
          <cell r="D290">
            <v>5260</v>
          </cell>
          <cell r="L290" t="str">
            <v>T3HP3</v>
          </cell>
          <cell r="M290">
            <v>93203</v>
          </cell>
          <cell r="N290" t="str">
            <v>tank_part_icon_3_3</v>
          </cell>
        </row>
        <row r="291">
          <cell r="B291" t="str">
            <v>T5HP1</v>
          </cell>
          <cell r="C291">
            <v>95201</v>
          </cell>
          <cell r="D291">
            <v>5310</v>
          </cell>
          <cell r="L291" t="str">
            <v>T3HP4</v>
          </cell>
          <cell r="M291">
            <v>93204</v>
          </cell>
          <cell r="N291" t="str">
            <v>tank_part_icon_4_3</v>
          </cell>
        </row>
        <row r="292">
          <cell r="B292" t="str">
            <v>T5HP2</v>
          </cell>
          <cell r="C292">
            <v>95202</v>
          </cell>
          <cell r="D292">
            <v>5320</v>
          </cell>
          <cell r="L292" t="str">
            <v>T3HP5</v>
          </cell>
          <cell r="M292">
            <v>93205</v>
          </cell>
          <cell r="N292" t="str">
            <v>tank_part_icon_5_3</v>
          </cell>
        </row>
        <row r="293">
          <cell r="B293" t="str">
            <v>T5HP3</v>
          </cell>
          <cell r="C293">
            <v>95203</v>
          </cell>
          <cell r="D293">
            <v>5330</v>
          </cell>
          <cell r="L293" t="str">
            <v>T3HP6</v>
          </cell>
          <cell r="M293">
            <v>93206</v>
          </cell>
          <cell r="N293" t="str">
            <v>tank_part_icon_6_3</v>
          </cell>
        </row>
        <row r="294">
          <cell r="B294" t="str">
            <v>T5HP4</v>
          </cell>
          <cell r="C294">
            <v>95204</v>
          </cell>
          <cell r="D294">
            <v>5340</v>
          </cell>
          <cell r="L294" t="str">
            <v>T4LP1</v>
          </cell>
          <cell r="M294">
            <v>94001</v>
          </cell>
          <cell r="N294" t="str">
            <v>tank_part_icon_1_1</v>
          </cell>
        </row>
        <row r="295">
          <cell r="B295" t="str">
            <v>T5HP5</v>
          </cell>
          <cell r="C295">
            <v>95205</v>
          </cell>
          <cell r="D295">
            <v>5350</v>
          </cell>
          <cell r="L295" t="str">
            <v>T4LP2</v>
          </cell>
          <cell r="M295">
            <v>94002</v>
          </cell>
          <cell r="N295" t="str">
            <v>tank_part_icon_2_1</v>
          </cell>
        </row>
        <row r="296">
          <cell r="B296" t="str">
            <v>T5HP6</v>
          </cell>
          <cell r="C296">
            <v>95206</v>
          </cell>
          <cell r="D296">
            <v>5360</v>
          </cell>
          <cell r="L296" t="str">
            <v>T4LP3</v>
          </cell>
          <cell r="M296">
            <v>94003</v>
          </cell>
          <cell r="N296" t="str">
            <v>tank_part_icon_3_1</v>
          </cell>
        </row>
        <row r="297">
          <cell r="L297" t="str">
            <v>T4LP4</v>
          </cell>
          <cell r="M297">
            <v>94004</v>
          </cell>
          <cell r="N297" t="str">
            <v>tank_part_icon_4_1</v>
          </cell>
        </row>
        <row r="298">
          <cell r="L298" t="str">
            <v>T4LP5</v>
          </cell>
          <cell r="M298">
            <v>94005</v>
          </cell>
          <cell r="N298" t="str">
            <v>tank_part_icon_5_1</v>
          </cell>
        </row>
        <row r="299">
          <cell r="L299" t="str">
            <v>T4LP6</v>
          </cell>
          <cell r="M299">
            <v>94006</v>
          </cell>
          <cell r="N299" t="str">
            <v>tank_part_icon_6_1</v>
          </cell>
        </row>
        <row r="300">
          <cell r="L300" t="str">
            <v>T4MP1</v>
          </cell>
          <cell r="M300">
            <v>94101</v>
          </cell>
          <cell r="N300" t="str">
            <v>tank_part_icon_1_2</v>
          </cell>
        </row>
        <row r="301">
          <cell r="L301" t="str">
            <v>T4MP2</v>
          </cell>
          <cell r="M301">
            <v>94102</v>
          </cell>
          <cell r="N301" t="str">
            <v>tank_part_icon_2_2</v>
          </cell>
        </row>
        <row r="302">
          <cell r="L302" t="str">
            <v>T4MP3</v>
          </cell>
          <cell r="M302">
            <v>94103</v>
          </cell>
          <cell r="N302" t="str">
            <v>tank_part_icon_3_2</v>
          </cell>
        </row>
        <row r="303">
          <cell r="L303" t="str">
            <v>T4MP4</v>
          </cell>
          <cell r="M303">
            <v>94104</v>
          </cell>
          <cell r="N303" t="str">
            <v>tank_part_icon_4_2</v>
          </cell>
        </row>
        <row r="304">
          <cell r="L304" t="str">
            <v>T4MP5</v>
          </cell>
          <cell r="M304">
            <v>94105</v>
          </cell>
          <cell r="N304" t="str">
            <v>tank_part_icon_5_2</v>
          </cell>
        </row>
        <row r="305">
          <cell r="L305" t="str">
            <v>T4MP6</v>
          </cell>
          <cell r="M305">
            <v>94106</v>
          </cell>
          <cell r="N305" t="str">
            <v>tank_part_icon_6_2</v>
          </cell>
        </row>
        <row r="306">
          <cell r="L306" t="str">
            <v>T4HP1</v>
          </cell>
          <cell r="M306">
            <v>94201</v>
          </cell>
          <cell r="N306" t="str">
            <v>tank_part_icon_1_3</v>
          </cell>
        </row>
        <row r="307">
          <cell r="L307" t="str">
            <v>T4HP2</v>
          </cell>
          <cell r="M307">
            <v>94202</v>
          </cell>
          <cell r="N307" t="str">
            <v>tank_part_icon_2_3</v>
          </cell>
        </row>
        <row r="308">
          <cell r="L308" t="str">
            <v>T4HP3</v>
          </cell>
          <cell r="M308">
            <v>94203</v>
          </cell>
          <cell r="N308" t="str">
            <v>tank_part_icon_3_3</v>
          </cell>
        </row>
        <row r="309">
          <cell r="L309" t="str">
            <v>T4HP4</v>
          </cell>
          <cell r="M309">
            <v>94204</v>
          </cell>
          <cell r="N309" t="str">
            <v>tank_part_icon_4_3</v>
          </cell>
        </row>
        <row r="310">
          <cell r="L310" t="str">
            <v>T4HP5</v>
          </cell>
          <cell r="M310">
            <v>94205</v>
          </cell>
          <cell r="N310" t="str">
            <v>tank_part_icon_5_3</v>
          </cell>
        </row>
        <row r="311">
          <cell r="L311" t="str">
            <v>T4HP6</v>
          </cell>
          <cell r="M311">
            <v>94206</v>
          </cell>
          <cell r="N311" t="str">
            <v>tank_part_icon_6_3</v>
          </cell>
        </row>
        <row r="312">
          <cell r="L312" t="str">
            <v>T5LP1</v>
          </cell>
          <cell r="M312">
            <v>95001</v>
          </cell>
          <cell r="N312" t="str">
            <v>tank_part_icon_1_1</v>
          </cell>
        </row>
        <row r="313">
          <cell r="L313" t="str">
            <v>T5LP2</v>
          </cell>
          <cell r="M313">
            <v>95002</v>
          </cell>
          <cell r="N313" t="str">
            <v>tank_part_icon_2_1</v>
          </cell>
        </row>
        <row r="314">
          <cell r="L314" t="str">
            <v>T5LP3</v>
          </cell>
          <cell r="M314">
            <v>95003</v>
          </cell>
          <cell r="N314" t="str">
            <v>tank_part_icon_3_1</v>
          </cell>
        </row>
        <row r="315">
          <cell r="L315" t="str">
            <v>T5LP4</v>
          </cell>
          <cell r="M315">
            <v>95004</v>
          </cell>
          <cell r="N315" t="str">
            <v>tank_part_icon_4_1</v>
          </cell>
        </row>
        <row r="316">
          <cell r="L316" t="str">
            <v>T5LP5</v>
          </cell>
          <cell r="M316">
            <v>95005</v>
          </cell>
          <cell r="N316" t="str">
            <v>tank_part_icon_5_1</v>
          </cell>
        </row>
        <row r="317">
          <cell r="L317" t="str">
            <v>T5LP6</v>
          </cell>
          <cell r="M317">
            <v>95006</v>
          </cell>
          <cell r="N317" t="str">
            <v>tank_part_icon_6_1</v>
          </cell>
        </row>
        <row r="318">
          <cell r="L318" t="str">
            <v>T5MP1</v>
          </cell>
          <cell r="M318">
            <v>95101</v>
          </cell>
          <cell r="N318" t="str">
            <v>tank_part_icon_1_2</v>
          </cell>
        </row>
        <row r="319">
          <cell r="L319" t="str">
            <v>T5MP2</v>
          </cell>
          <cell r="M319">
            <v>95102</v>
          </cell>
          <cell r="N319" t="str">
            <v>tank_part_icon_2_2</v>
          </cell>
        </row>
        <row r="320">
          <cell r="L320" t="str">
            <v>T5MP3</v>
          </cell>
          <cell r="M320">
            <v>95103</v>
          </cell>
          <cell r="N320" t="str">
            <v>tank_part_icon_3_2</v>
          </cell>
        </row>
        <row r="321">
          <cell r="L321" t="str">
            <v>T5MP4</v>
          </cell>
          <cell r="M321">
            <v>95104</v>
          </cell>
          <cell r="N321" t="str">
            <v>tank_part_icon_4_2</v>
          </cell>
        </row>
        <row r="322">
          <cell r="L322" t="str">
            <v>T5MP5</v>
          </cell>
          <cell r="M322">
            <v>95105</v>
          </cell>
          <cell r="N322" t="str">
            <v>tank_part_icon_5_2</v>
          </cell>
        </row>
        <row r="323">
          <cell r="L323" t="str">
            <v>T5MP6</v>
          </cell>
          <cell r="M323">
            <v>95106</v>
          </cell>
          <cell r="N323" t="str">
            <v>tank_part_icon_6_2</v>
          </cell>
        </row>
        <row r="324">
          <cell r="L324" t="str">
            <v>T5HP1</v>
          </cell>
          <cell r="M324">
            <v>95201</v>
          </cell>
          <cell r="N324" t="str">
            <v>tank_part_icon_1_3</v>
          </cell>
        </row>
        <row r="325">
          <cell r="L325" t="str">
            <v>T5HP2</v>
          </cell>
          <cell r="M325">
            <v>95202</v>
          </cell>
          <cell r="N325" t="str">
            <v>tank_part_icon_2_3</v>
          </cell>
        </row>
        <row r="326">
          <cell r="L326" t="str">
            <v>T5HP3</v>
          </cell>
          <cell r="M326">
            <v>95203</v>
          </cell>
          <cell r="N326" t="str">
            <v>tank_part_icon_3_3</v>
          </cell>
        </row>
        <row r="327">
          <cell r="L327" t="str">
            <v>T5HP4</v>
          </cell>
          <cell r="M327">
            <v>95204</v>
          </cell>
          <cell r="N327" t="str">
            <v>tank_part_icon_4_3</v>
          </cell>
        </row>
        <row r="328">
          <cell r="L328" t="str">
            <v>T5HP5</v>
          </cell>
          <cell r="M328">
            <v>95205</v>
          </cell>
          <cell r="N328" t="str">
            <v>tank_part_icon_5_3</v>
          </cell>
        </row>
        <row r="329">
          <cell r="L329" t="str">
            <v>T5HP6</v>
          </cell>
          <cell r="M329">
            <v>95206</v>
          </cell>
          <cell r="N329" t="str">
            <v>tank_part_icon_6_3</v>
          </cell>
        </row>
        <row r="331">
          <cell r="L331" t="str">
            <v>宝箱名称</v>
          </cell>
          <cell r="M331" t="str">
            <v>宝箱ID</v>
          </cell>
          <cell r="N331" t="str">
            <v>图标ID</v>
          </cell>
        </row>
        <row r="332">
          <cell r="L332" t="str">
            <v>部件宝箱0</v>
          </cell>
          <cell r="M332">
            <v>23000</v>
          </cell>
          <cell r="N332" t="str">
            <v>chest_tankpart</v>
          </cell>
        </row>
        <row r="333">
          <cell r="L333" t="str">
            <v>部件宝箱1</v>
          </cell>
          <cell r="M333">
            <v>23001</v>
          </cell>
          <cell r="N333" t="str">
            <v>chest_tankpart</v>
          </cell>
        </row>
        <row r="334">
          <cell r="L334" t="str">
            <v>部件宝箱2</v>
          </cell>
          <cell r="M334">
            <v>23002</v>
          </cell>
          <cell r="N334" t="str">
            <v>chest_tankpart</v>
          </cell>
        </row>
        <row r="335">
          <cell r="L335" t="str">
            <v>部件宝箱3</v>
          </cell>
          <cell r="M335">
            <v>23003</v>
          </cell>
          <cell r="N335" t="str">
            <v>chest_tankpart</v>
          </cell>
        </row>
        <row r="336">
          <cell r="L336" t="str">
            <v>部件宝箱4</v>
          </cell>
          <cell r="M336">
            <v>23004</v>
          </cell>
          <cell r="N336" t="str">
            <v>chest_tankpart</v>
          </cell>
        </row>
        <row r="337">
          <cell r="L337" t="str">
            <v>部件宝箱5</v>
          </cell>
          <cell r="M337">
            <v>23005</v>
          </cell>
          <cell r="N337" t="str">
            <v>chest_tankpart</v>
          </cell>
        </row>
        <row r="338">
          <cell r="L338" t="str">
            <v>部件宝箱6</v>
          </cell>
          <cell r="M338">
            <v>23006</v>
          </cell>
          <cell r="N338" t="str">
            <v>chest_tankpart</v>
          </cell>
        </row>
        <row r="339">
          <cell r="L339" t="str">
            <v>部件宝箱7</v>
          </cell>
          <cell r="M339">
            <v>23007</v>
          </cell>
          <cell r="N339" t="str">
            <v>chest_tankpart</v>
          </cell>
        </row>
        <row r="340">
          <cell r="L340" t="str">
            <v>部件宝箱8</v>
          </cell>
          <cell r="M340">
            <v>23008</v>
          </cell>
          <cell r="N340" t="str">
            <v>chest_tankpart</v>
          </cell>
        </row>
        <row r="341">
          <cell r="L341" t="str">
            <v>部件宝箱9</v>
          </cell>
          <cell r="M341">
            <v>23009</v>
          </cell>
          <cell r="N341" t="str">
            <v>chest_tankpart</v>
          </cell>
        </row>
        <row r="342">
          <cell r="L342" t="str">
            <v>部件宝箱10</v>
          </cell>
          <cell r="M342">
            <v>23010</v>
          </cell>
          <cell r="N342" t="str">
            <v>chest_tankpart</v>
          </cell>
        </row>
        <row r="343">
          <cell r="L343" t="str">
            <v>碎片宝箱1</v>
          </cell>
          <cell r="M343">
            <v>24001</v>
          </cell>
          <cell r="N343" t="str">
            <v>chest_shard</v>
          </cell>
        </row>
        <row r="344">
          <cell r="L344" t="str">
            <v>碎片宝箱2</v>
          </cell>
          <cell r="M344">
            <v>24002</v>
          </cell>
          <cell r="N344" t="str">
            <v>chest_shard</v>
          </cell>
        </row>
        <row r="345">
          <cell r="L345" t="str">
            <v>碎片宝箱3</v>
          </cell>
          <cell r="M345">
            <v>24003</v>
          </cell>
          <cell r="N345" t="str">
            <v>chest_shard</v>
          </cell>
        </row>
        <row r="346">
          <cell r="L346" t="str">
            <v>碎片宝箱4</v>
          </cell>
          <cell r="M346">
            <v>24004</v>
          </cell>
          <cell r="N346" t="str">
            <v>chest_shard</v>
          </cell>
        </row>
        <row r="347">
          <cell r="L347" t="str">
            <v>碎片宝箱5</v>
          </cell>
          <cell r="M347">
            <v>24005</v>
          </cell>
          <cell r="N347" t="str">
            <v>chest_shard</v>
          </cell>
        </row>
        <row r="348">
          <cell r="L348" t="str">
            <v>碎片宝箱6</v>
          </cell>
          <cell r="M348">
            <v>24006</v>
          </cell>
          <cell r="N348" t="str">
            <v>chest_shard</v>
          </cell>
        </row>
        <row r="349">
          <cell r="L349" t="str">
            <v>碎片宝箱7</v>
          </cell>
          <cell r="M349">
            <v>24007</v>
          </cell>
          <cell r="N349" t="str">
            <v>chest_shard</v>
          </cell>
        </row>
        <row r="350">
          <cell r="L350" t="str">
            <v>碎片宝箱8</v>
          </cell>
          <cell r="M350">
            <v>24008</v>
          </cell>
          <cell r="N350" t="str">
            <v>chest_shard</v>
          </cell>
        </row>
        <row r="351">
          <cell r="L351" t="str">
            <v>碎片宝箱9</v>
          </cell>
          <cell r="M351">
            <v>24009</v>
          </cell>
          <cell r="N351" t="str">
            <v>chest_shard</v>
          </cell>
        </row>
        <row r="352">
          <cell r="L352" t="str">
            <v>碎片宝箱10</v>
          </cell>
          <cell r="M352">
            <v>24010</v>
          </cell>
          <cell r="N352" t="str">
            <v>chest_shard</v>
          </cell>
        </row>
        <row r="353">
          <cell r="L353" t="str">
            <v>部件手宝箱1</v>
          </cell>
          <cell r="M353">
            <v>23101</v>
          </cell>
          <cell r="N353" t="str">
            <v>chest_activation_lv4_icon</v>
          </cell>
        </row>
        <row r="354">
          <cell r="L354" t="str">
            <v>部件手宝箱2</v>
          </cell>
          <cell r="M354">
            <v>23102</v>
          </cell>
          <cell r="N354" t="str">
            <v>chest_activation_lv4_icon</v>
          </cell>
        </row>
        <row r="355">
          <cell r="L355" t="str">
            <v>部件手宝箱3</v>
          </cell>
          <cell r="M355">
            <v>23103</v>
          </cell>
          <cell r="N355" t="str">
            <v>chest_activation_lv4_icon</v>
          </cell>
        </row>
        <row r="356">
          <cell r="L356" t="str">
            <v>部件手宝箱4</v>
          </cell>
          <cell r="M356">
            <v>23104</v>
          </cell>
          <cell r="N356" t="str">
            <v>chest_activation_lv4_icon</v>
          </cell>
        </row>
        <row r="357">
          <cell r="L357" t="str">
            <v>部件手宝箱5</v>
          </cell>
          <cell r="M357">
            <v>23105</v>
          </cell>
          <cell r="N357" t="str">
            <v>chest_activation_lv4_icon</v>
          </cell>
        </row>
        <row r="358">
          <cell r="L358" t="str">
            <v>部件手宝箱6</v>
          </cell>
          <cell r="M358">
            <v>23106</v>
          </cell>
          <cell r="N358" t="str">
            <v>chest_activation_lv4_icon</v>
          </cell>
        </row>
        <row r="359">
          <cell r="L359" t="str">
            <v>部件手宝箱7</v>
          </cell>
          <cell r="M359">
            <v>23107</v>
          </cell>
          <cell r="N359" t="str">
            <v>chest_activation_lv4_icon</v>
          </cell>
        </row>
        <row r="360">
          <cell r="L360" t="str">
            <v>部件手宝箱8</v>
          </cell>
          <cell r="M360">
            <v>23108</v>
          </cell>
          <cell r="N360" t="str">
            <v>chest_activation_lv4_icon</v>
          </cell>
        </row>
        <row r="361">
          <cell r="L361" t="str">
            <v>部件手宝箱9</v>
          </cell>
          <cell r="M361">
            <v>23109</v>
          </cell>
          <cell r="N361" t="str">
            <v>chest_activation_lv4_icon</v>
          </cell>
        </row>
        <row r="362">
          <cell r="L362" t="str">
            <v>部件手宝箱10</v>
          </cell>
          <cell r="M362">
            <v>23110</v>
          </cell>
          <cell r="N362" t="str">
            <v>chest_activation_lv4_icon</v>
          </cell>
        </row>
        <row r="363">
          <cell r="L363" t="str">
            <v>碎片手宝箱1</v>
          </cell>
          <cell r="M363">
            <v>24101</v>
          </cell>
          <cell r="N363" t="str">
            <v>chest_activation_lv2_icon</v>
          </cell>
        </row>
        <row r="364">
          <cell r="L364" t="str">
            <v>碎片手宝箱2</v>
          </cell>
          <cell r="M364">
            <v>24102</v>
          </cell>
          <cell r="N364" t="str">
            <v>chest_activation_lv2_icon</v>
          </cell>
        </row>
        <row r="365">
          <cell r="L365" t="str">
            <v>碎片手宝箱3</v>
          </cell>
          <cell r="M365">
            <v>24103</v>
          </cell>
          <cell r="N365" t="str">
            <v>chest_activation_lv2_icon</v>
          </cell>
        </row>
        <row r="366">
          <cell r="L366" t="str">
            <v>碎片手宝箱4</v>
          </cell>
          <cell r="M366">
            <v>24104</v>
          </cell>
          <cell r="N366" t="str">
            <v>chest_activation_lv2_icon</v>
          </cell>
        </row>
        <row r="367">
          <cell r="L367" t="str">
            <v>碎片手宝箱5</v>
          </cell>
          <cell r="M367">
            <v>24105</v>
          </cell>
          <cell r="N367" t="str">
            <v>chest_activation_lv2_icon</v>
          </cell>
        </row>
        <row r="368">
          <cell r="L368" t="str">
            <v>碎片手宝箱6</v>
          </cell>
          <cell r="M368">
            <v>24106</v>
          </cell>
          <cell r="N368" t="str">
            <v>chest_activation_lv2_icon</v>
          </cell>
        </row>
        <row r="369">
          <cell r="L369" t="str">
            <v>碎片手宝箱7</v>
          </cell>
          <cell r="M369">
            <v>24107</v>
          </cell>
          <cell r="N369" t="str">
            <v>chest_activation_lv2_icon</v>
          </cell>
        </row>
        <row r="370">
          <cell r="L370" t="str">
            <v>碎片手宝箱8</v>
          </cell>
          <cell r="M370">
            <v>24108</v>
          </cell>
          <cell r="N370" t="str">
            <v>chest_activation_lv2_icon</v>
          </cell>
        </row>
        <row r="371">
          <cell r="L371" t="str">
            <v>碎片手宝箱9</v>
          </cell>
          <cell r="M371">
            <v>24109</v>
          </cell>
          <cell r="N371" t="str">
            <v>chest_activation_lv2_icon</v>
          </cell>
        </row>
        <row r="372">
          <cell r="L372" t="str">
            <v>碎片手宝箱10</v>
          </cell>
          <cell r="M372">
            <v>24110</v>
          </cell>
          <cell r="N372" t="str">
            <v>chest_activation_lv2_icon</v>
          </cell>
        </row>
        <row r="373">
          <cell r="L373" t="str">
            <v>普通宝箱1</v>
          </cell>
          <cell r="M373">
            <v>25001</v>
          </cell>
          <cell r="N373" t="str">
            <v>chest_lv1_icon</v>
          </cell>
        </row>
        <row r="374">
          <cell r="L374" t="str">
            <v>普通宝箱2</v>
          </cell>
          <cell r="M374">
            <v>25002</v>
          </cell>
          <cell r="N374" t="str">
            <v>chest_lv1_icon</v>
          </cell>
        </row>
        <row r="375">
          <cell r="L375" t="str">
            <v>普通宝箱3</v>
          </cell>
          <cell r="M375">
            <v>25003</v>
          </cell>
          <cell r="N375" t="str">
            <v>chest_lv1_icon</v>
          </cell>
        </row>
        <row r="376">
          <cell r="L376" t="str">
            <v>普通宝箱4</v>
          </cell>
          <cell r="M376">
            <v>25004</v>
          </cell>
          <cell r="N376" t="str">
            <v>chest_lv1_icon</v>
          </cell>
        </row>
        <row r="377">
          <cell r="L377" t="str">
            <v>普通宝箱5</v>
          </cell>
          <cell r="M377">
            <v>25005</v>
          </cell>
          <cell r="N377" t="str">
            <v>chest_lv1_icon</v>
          </cell>
        </row>
        <row r="378">
          <cell r="L378" t="str">
            <v>普通宝箱6</v>
          </cell>
          <cell r="M378">
            <v>25006</v>
          </cell>
          <cell r="N378" t="str">
            <v>chest_lv1_icon</v>
          </cell>
        </row>
        <row r="379">
          <cell r="L379" t="str">
            <v>普通宝箱7</v>
          </cell>
          <cell r="M379">
            <v>25007</v>
          </cell>
          <cell r="N379" t="str">
            <v>chest_lv1_icon</v>
          </cell>
        </row>
        <row r="380">
          <cell r="L380" t="str">
            <v>普通宝箱8</v>
          </cell>
          <cell r="M380">
            <v>25008</v>
          </cell>
          <cell r="N380" t="str">
            <v>chest_lv1_icon</v>
          </cell>
        </row>
        <row r="381">
          <cell r="L381" t="str">
            <v>普通宝箱9</v>
          </cell>
          <cell r="M381">
            <v>25009</v>
          </cell>
          <cell r="N381" t="str">
            <v>chest_lv1_icon</v>
          </cell>
        </row>
        <row r="382">
          <cell r="L382" t="str">
            <v>普通宝箱10</v>
          </cell>
          <cell r="M382">
            <v>25010</v>
          </cell>
          <cell r="N382" t="str">
            <v>chest_lv1_icon</v>
          </cell>
        </row>
        <row r="383">
          <cell r="L383" t="str">
            <v>普通自宝箱1</v>
          </cell>
          <cell r="M383">
            <v>25051</v>
          </cell>
          <cell r="N383" t="str">
            <v>chest_lv1_icon</v>
          </cell>
        </row>
        <row r="384">
          <cell r="L384" t="str">
            <v>普通自宝箱2</v>
          </cell>
          <cell r="M384">
            <v>25052</v>
          </cell>
          <cell r="N384" t="str">
            <v>chest_lv1_icon</v>
          </cell>
        </row>
        <row r="385">
          <cell r="L385" t="str">
            <v>普通自宝箱3</v>
          </cell>
          <cell r="M385">
            <v>25053</v>
          </cell>
          <cell r="N385" t="str">
            <v>chest_lv1_icon</v>
          </cell>
        </row>
        <row r="386">
          <cell r="L386" t="str">
            <v>普通自宝箱4</v>
          </cell>
          <cell r="M386">
            <v>25054</v>
          </cell>
          <cell r="N386" t="str">
            <v>chest_lv1_icon</v>
          </cell>
        </row>
        <row r="387">
          <cell r="L387" t="str">
            <v>普通自宝箱5</v>
          </cell>
          <cell r="M387">
            <v>25055</v>
          </cell>
          <cell r="N387" t="str">
            <v>chest_lv1_icon</v>
          </cell>
        </row>
        <row r="388">
          <cell r="L388" t="str">
            <v>普通自宝箱6</v>
          </cell>
          <cell r="M388">
            <v>25056</v>
          </cell>
          <cell r="N388" t="str">
            <v>chest_lv1_icon</v>
          </cell>
        </row>
        <row r="389">
          <cell r="L389" t="str">
            <v>普通自宝箱7</v>
          </cell>
          <cell r="M389">
            <v>25057</v>
          </cell>
          <cell r="N389" t="str">
            <v>chest_lv1_icon</v>
          </cell>
        </row>
        <row r="390">
          <cell r="L390" t="str">
            <v>普通自宝箱8</v>
          </cell>
          <cell r="M390">
            <v>25058</v>
          </cell>
          <cell r="N390" t="str">
            <v>chest_lv1_icon</v>
          </cell>
        </row>
        <row r="391">
          <cell r="L391" t="str">
            <v>普通自宝箱9</v>
          </cell>
          <cell r="M391">
            <v>25059</v>
          </cell>
          <cell r="N391" t="str">
            <v>chest_lv1_icon</v>
          </cell>
        </row>
        <row r="392">
          <cell r="L392" t="str">
            <v>普通自宝箱10</v>
          </cell>
          <cell r="M392">
            <v>25060</v>
          </cell>
          <cell r="N392" t="str">
            <v>chest_lv1_icon</v>
          </cell>
        </row>
        <row r="393">
          <cell r="L393" t="str">
            <v>高级宝箱1</v>
          </cell>
          <cell r="M393">
            <v>25101</v>
          </cell>
          <cell r="N393" t="str">
            <v>chest_lv2_icon</v>
          </cell>
        </row>
        <row r="394">
          <cell r="L394" t="str">
            <v>高级宝箱2</v>
          </cell>
          <cell r="M394">
            <v>25102</v>
          </cell>
          <cell r="N394" t="str">
            <v>chest_lv2_icon</v>
          </cell>
        </row>
        <row r="395">
          <cell r="L395" t="str">
            <v>高级宝箱3</v>
          </cell>
          <cell r="M395">
            <v>25103</v>
          </cell>
          <cell r="N395" t="str">
            <v>chest_lv2_icon</v>
          </cell>
        </row>
        <row r="396">
          <cell r="L396" t="str">
            <v>高级宝箱4</v>
          </cell>
          <cell r="M396">
            <v>25104</v>
          </cell>
          <cell r="N396" t="str">
            <v>chest_lv2_icon</v>
          </cell>
        </row>
        <row r="397">
          <cell r="L397" t="str">
            <v>高级宝箱5</v>
          </cell>
          <cell r="M397">
            <v>25105</v>
          </cell>
          <cell r="N397" t="str">
            <v>chest_lv2_icon</v>
          </cell>
        </row>
        <row r="398">
          <cell r="L398" t="str">
            <v>高级宝箱6</v>
          </cell>
          <cell r="M398">
            <v>25106</v>
          </cell>
          <cell r="N398" t="str">
            <v>chest_lv2_icon</v>
          </cell>
        </row>
        <row r="399">
          <cell r="L399" t="str">
            <v>高级宝箱7</v>
          </cell>
          <cell r="M399">
            <v>25107</v>
          </cell>
          <cell r="N399" t="str">
            <v>chest_lv2_icon</v>
          </cell>
        </row>
        <row r="400">
          <cell r="L400" t="str">
            <v>高级宝箱8</v>
          </cell>
          <cell r="M400">
            <v>25108</v>
          </cell>
          <cell r="N400" t="str">
            <v>chest_lv2_icon</v>
          </cell>
        </row>
        <row r="401">
          <cell r="L401" t="str">
            <v>高级宝箱9</v>
          </cell>
          <cell r="M401">
            <v>25109</v>
          </cell>
          <cell r="N401" t="str">
            <v>chest_lv2_icon</v>
          </cell>
        </row>
        <row r="402">
          <cell r="L402" t="str">
            <v>高级宝箱10</v>
          </cell>
          <cell r="M402">
            <v>25110</v>
          </cell>
          <cell r="N402" t="str">
            <v>chest_lv2_icon</v>
          </cell>
        </row>
        <row r="403">
          <cell r="L403" t="str">
            <v>高级自宝箱1</v>
          </cell>
          <cell r="M403">
            <v>25151</v>
          </cell>
          <cell r="N403" t="str">
            <v>chest_lv2_icon</v>
          </cell>
        </row>
        <row r="404">
          <cell r="L404" t="str">
            <v>高级自宝箱2</v>
          </cell>
          <cell r="M404">
            <v>25152</v>
          </cell>
          <cell r="N404" t="str">
            <v>chest_lv2_icon</v>
          </cell>
        </row>
        <row r="405">
          <cell r="L405" t="str">
            <v>高级自宝箱3</v>
          </cell>
          <cell r="M405">
            <v>25153</v>
          </cell>
          <cell r="N405" t="str">
            <v>chest_lv2_icon</v>
          </cell>
        </row>
        <row r="406">
          <cell r="L406" t="str">
            <v>高级自宝箱4</v>
          </cell>
          <cell r="M406">
            <v>25154</v>
          </cell>
          <cell r="N406" t="str">
            <v>chest_lv2_icon</v>
          </cell>
        </row>
        <row r="407">
          <cell r="L407" t="str">
            <v>高级自宝箱5</v>
          </cell>
          <cell r="M407">
            <v>25155</v>
          </cell>
          <cell r="N407" t="str">
            <v>chest_lv2_icon</v>
          </cell>
        </row>
        <row r="408">
          <cell r="L408" t="str">
            <v>高级自宝箱6</v>
          </cell>
          <cell r="M408">
            <v>25156</v>
          </cell>
          <cell r="N408" t="str">
            <v>chest_lv2_icon</v>
          </cell>
        </row>
        <row r="409">
          <cell r="L409" t="str">
            <v>高级自宝箱7</v>
          </cell>
          <cell r="M409">
            <v>25157</v>
          </cell>
          <cell r="N409" t="str">
            <v>chest_lv2_icon</v>
          </cell>
        </row>
        <row r="410">
          <cell r="L410" t="str">
            <v>高级自宝箱8</v>
          </cell>
          <cell r="M410">
            <v>25158</v>
          </cell>
          <cell r="N410" t="str">
            <v>chest_lv2_icon</v>
          </cell>
        </row>
        <row r="411">
          <cell r="L411" t="str">
            <v>高级自宝箱9</v>
          </cell>
          <cell r="M411">
            <v>25159</v>
          </cell>
          <cell r="N411" t="str">
            <v>chest_lv2_icon</v>
          </cell>
        </row>
        <row r="412">
          <cell r="L412" t="str">
            <v>高级自宝箱10</v>
          </cell>
          <cell r="M412">
            <v>25160</v>
          </cell>
          <cell r="N412" t="str">
            <v>chest_lv2_icon</v>
          </cell>
        </row>
        <row r="413">
          <cell r="L413" t="str">
            <v>稀有宝箱1</v>
          </cell>
          <cell r="M413">
            <v>25201</v>
          </cell>
          <cell r="N413" t="str">
            <v>chest_lv3_icon</v>
          </cell>
        </row>
        <row r="414">
          <cell r="L414" t="str">
            <v>稀有宝箱2</v>
          </cell>
          <cell r="M414">
            <v>25202</v>
          </cell>
          <cell r="N414" t="str">
            <v>chest_lv3_icon</v>
          </cell>
        </row>
        <row r="415">
          <cell r="L415" t="str">
            <v>稀有宝箱3</v>
          </cell>
          <cell r="M415">
            <v>25203</v>
          </cell>
          <cell r="N415" t="str">
            <v>chest_lv3_icon</v>
          </cell>
        </row>
        <row r="416">
          <cell r="L416" t="str">
            <v>稀有宝箱4</v>
          </cell>
          <cell r="M416">
            <v>25204</v>
          </cell>
          <cell r="N416" t="str">
            <v>chest_lv3_icon</v>
          </cell>
        </row>
        <row r="417">
          <cell r="L417" t="str">
            <v>稀有宝箱5</v>
          </cell>
          <cell r="M417">
            <v>25205</v>
          </cell>
          <cell r="N417" t="str">
            <v>chest_lv3_icon</v>
          </cell>
        </row>
        <row r="418">
          <cell r="L418" t="str">
            <v>稀有宝箱6</v>
          </cell>
          <cell r="M418">
            <v>25206</v>
          </cell>
          <cell r="N418" t="str">
            <v>chest_lv3_icon</v>
          </cell>
        </row>
        <row r="419">
          <cell r="L419" t="str">
            <v>稀有宝箱7</v>
          </cell>
          <cell r="M419">
            <v>25207</v>
          </cell>
          <cell r="N419" t="str">
            <v>chest_lv3_icon</v>
          </cell>
        </row>
        <row r="420">
          <cell r="L420" t="str">
            <v>稀有宝箱8</v>
          </cell>
          <cell r="M420">
            <v>25208</v>
          </cell>
          <cell r="N420" t="str">
            <v>chest_lv3_icon</v>
          </cell>
        </row>
        <row r="421">
          <cell r="L421" t="str">
            <v>稀有宝箱9</v>
          </cell>
          <cell r="M421">
            <v>25209</v>
          </cell>
          <cell r="N421" t="str">
            <v>chest_lv3_icon</v>
          </cell>
        </row>
        <row r="422">
          <cell r="L422" t="str">
            <v>稀有宝箱10</v>
          </cell>
          <cell r="M422">
            <v>25210</v>
          </cell>
          <cell r="N422" t="str">
            <v>chest_lv3_icon</v>
          </cell>
        </row>
        <row r="423">
          <cell r="L423" t="str">
            <v>稀有自宝箱1</v>
          </cell>
          <cell r="M423">
            <v>25251</v>
          </cell>
          <cell r="N423" t="str">
            <v>chest_lv3_icon</v>
          </cell>
        </row>
        <row r="424">
          <cell r="L424" t="str">
            <v>稀有自宝箱2</v>
          </cell>
          <cell r="M424">
            <v>25252</v>
          </cell>
          <cell r="N424" t="str">
            <v>chest_lv3_icon</v>
          </cell>
        </row>
        <row r="425">
          <cell r="L425" t="str">
            <v>稀有自宝箱3</v>
          </cell>
          <cell r="M425">
            <v>25253</v>
          </cell>
          <cell r="N425" t="str">
            <v>chest_lv3_icon</v>
          </cell>
        </row>
        <row r="426">
          <cell r="L426" t="str">
            <v>稀有自宝箱4</v>
          </cell>
          <cell r="M426">
            <v>25254</v>
          </cell>
          <cell r="N426" t="str">
            <v>chest_lv3_icon</v>
          </cell>
        </row>
        <row r="427">
          <cell r="L427" t="str">
            <v>稀有自宝箱5</v>
          </cell>
          <cell r="M427">
            <v>25255</v>
          </cell>
          <cell r="N427" t="str">
            <v>chest_lv3_icon</v>
          </cell>
        </row>
        <row r="428">
          <cell r="L428" t="str">
            <v>稀有自宝箱6</v>
          </cell>
          <cell r="M428">
            <v>25256</v>
          </cell>
          <cell r="N428" t="str">
            <v>chest_lv3_icon</v>
          </cell>
        </row>
        <row r="429">
          <cell r="L429" t="str">
            <v>稀有自宝箱7</v>
          </cell>
          <cell r="M429">
            <v>25257</v>
          </cell>
          <cell r="N429" t="str">
            <v>chest_lv3_icon</v>
          </cell>
        </row>
        <row r="430">
          <cell r="L430" t="str">
            <v>稀有自宝箱8</v>
          </cell>
          <cell r="M430">
            <v>25258</v>
          </cell>
          <cell r="N430" t="str">
            <v>chest_lv3_icon</v>
          </cell>
        </row>
        <row r="431">
          <cell r="L431" t="str">
            <v>稀有自宝箱9</v>
          </cell>
          <cell r="M431">
            <v>25259</v>
          </cell>
          <cell r="N431" t="str">
            <v>chest_lv3_icon</v>
          </cell>
        </row>
        <row r="432">
          <cell r="L432" t="str">
            <v>稀有自宝箱10</v>
          </cell>
          <cell r="M432">
            <v>25260</v>
          </cell>
          <cell r="N432" t="str">
            <v>chest_lv3_icon</v>
          </cell>
        </row>
        <row r="433">
          <cell r="L433" t="str">
            <v>紫晶宝箱1</v>
          </cell>
          <cell r="M433">
            <v>25301</v>
          </cell>
          <cell r="N433" t="str">
            <v>chest_lv4_icon</v>
          </cell>
        </row>
        <row r="434">
          <cell r="L434" t="str">
            <v>紫晶宝箱2</v>
          </cell>
          <cell r="M434">
            <v>25302</v>
          </cell>
          <cell r="N434" t="str">
            <v>chest_lv4_icon</v>
          </cell>
        </row>
        <row r="435">
          <cell r="L435" t="str">
            <v>紫晶宝箱3</v>
          </cell>
          <cell r="M435">
            <v>25303</v>
          </cell>
          <cell r="N435" t="str">
            <v>chest_lv4_icon</v>
          </cell>
        </row>
        <row r="436">
          <cell r="L436" t="str">
            <v>紫晶宝箱4</v>
          </cell>
          <cell r="M436">
            <v>25304</v>
          </cell>
          <cell r="N436" t="str">
            <v>chest_lv4_icon</v>
          </cell>
        </row>
        <row r="437">
          <cell r="L437" t="str">
            <v>紫晶宝箱5</v>
          </cell>
          <cell r="M437">
            <v>25305</v>
          </cell>
          <cell r="N437" t="str">
            <v>chest_lv4_icon</v>
          </cell>
        </row>
        <row r="438">
          <cell r="L438" t="str">
            <v>紫晶宝箱6</v>
          </cell>
          <cell r="M438">
            <v>25306</v>
          </cell>
          <cell r="N438" t="str">
            <v>chest_lv4_icon</v>
          </cell>
        </row>
        <row r="439">
          <cell r="L439" t="str">
            <v>紫晶宝箱7</v>
          </cell>
          <cell r="M439">
            <v>25307</v>
          </cell>
          <cell r="N439" t="str">
            <v>chest_lv4_icon</v>
          </cell>
        </row>
        <row r="440">
          <cell r="L440" t="str">
            <v>紫晶宝箱8</v>
          </cell>
          <cell r="M440">
            <v>25308</v>
          </cell>
          <cell r="N440" t="str">
            <v>chest_lv4_icon</v>
          </cell>
        </row>
        <row r="441">
          <cell r="L441" t="str">
            <v>紫晶宝箱9</v>
          </cell>
          <cell r="M441">
            <v>25309</v>
          </cell>
          <cell r="N441" t="str">
            <v>chest_lv4_icon</v>
          </cell>
        </row>
        <row r="442">
          <cell r="L442" t="str">
            <v>紫晶宝箱10</v>
          </cell>
          <cell r="M442">
            <v>25310</v>
          </cell>
          <cell r="N442" t="str">
            <v>chest_lv4_icon</v>
          </cell>
        </row>
        <row r="443">
          <cell r="L443" t="str">
            <v>紫晶自宝箱1</v>
          </cell>
          <cell r="M443">
            <v>25351</v>
          </cell>
          <cell r="N443" t="str">
            <v>chest_lv4_icon</v>
          </cell>
        </row>
        <row r="444">
          <cell r="L444" t="str">
            <v>紫晶自宝箱2</v>
          </cell>
          <cell r="M444">
            <v>25352</v>
          </cell>
          <cell r="N444" t="str">
            <v>chest_lv4_icon</v>
          </cell>
        </row>
        <row r="445">
          <cell r="L445" t="str">
            <v>紫晶自宝箱3</v>
          </cell>
          <cell r="M445">
            <v>25353</v>
          </cell>
          <cell r="N445" t="str">
            <v>chest_lv4_icon</v>
          </cell>
        </row>
        <row r="446">
          <cell r="L446" t="str">
            <v>紫晶自宝箱4</v>
          </cell>
          <cell r="M446">
            <v>25354</v>
          </cell>
          <cell r="N446" t="str">
            <v>chest_lv4_icon</v>
          </cell>
        </row>
        <row r="447">
          <cell r="L447" t="str">
            <v>紫晶自宝箱5</v>
          </cell>
          <cell r="M447">
            <v>25355</v>
          </cell>
          <cell r="N447" t="str">
            <v>chest_lv4_icon</v>
          </cell>
        </row>
        <row r="448">
          <cell r="L448" t="str">
            <v>紫晶自宝箱6</v>
          </cell>
          <cell r="M448">
            <v>25356</v>
          </cell>
          <cell r="N448" t="str">
            <v>chest_lv4_icon</v>
          </cell>
        </row>
        <row r="449">
          <cell r="L449" t="str">
            <v>紫晶自宝箱7</v>
          </cell>
          <cell r="M449">
            <v>25357</v>
          </cell>
          <cell r="N449" t="str">
            <v>chest_lv4_icon</v>
          </cell>
        </row>
        <row r="450">
          <cell r="L450" t="str">
            <v>紫晶自宝箱8</v>
          </cell>
          <cell r="M450">
            <v>25358</v>
          </cell>
          <cell r="N450" t="str">
            <v>chest_lv4_icon</v>
          </cell>
        </row>
        <row r="451">
          <cell r="L451" t="str">
            <v>紫晶自宝箱9</v>
          </cell>
          <cell r="M451">
            <v>25359</v>
          </cell>
          <cell r="N451" t="str">
            <v>chest_lv4_icon</v>
          </cell>
        </row>
        <row r="452">
          <cell r="L452" t="str">
            <v>紫晶自宝箱10</v>
          </cell>
          <cell r="M452">
            <v>25360</v>
          </cell>
          <cell r="N452" t="str">
            <v>chest_lv4_icon</v>
          </cell>
        </row>
        <row r="453">
          <cell r="L453" t="str">
            <v>黄金宝箱1</v>
          </cell>
          <cell r="M453">
            <v>25401</v>
          </cell>
          <cell r="N453" t="str">
            <v>chest_lv5_icon</v>
          </cell>
        </row>
        <row r="454">
          <cell r="L454" t="str">
            <v>黄金宝箱2</v>
          </cell>
          <cell r="M454">
            <v>25402</v>
          </cell>
          <cell r="N454" t="str">
            <v>chest_lv5_icon</v>
          </cell>
        </row>
        <row r="455">
          <cell r="L455" t="str">
            <v>黄金宝箱3</v>
          </cell>
          <cell r="M455">
            <v>25403</v>
          </cell>
          <cell r="N455" t="str">
            <v>chest_lv5_icon</v>
          </cell>
        </row>
        <row r="456">
          <cell r="L456" t="str">
            <v>黄金宝箱4</v>
          </cell>
          <cell r="M456">
            <v>25404</v>
          </cell>
          <cell r="N456" t="str">
            <v>chest_lv5_icon</v>
          </cell>
        </row>
        <row r="457">
          <cell r="L457" t="str">
            <v>黄金宝箱5</v>
          </cell>
          <cell r="M457">
            <v>25405</v>
          </cell>
          <cell r="N457" t="str">
            <v>chest_lv5_icon</v>
          </cell>
        </row>
        <row r="458">
          <cell r="L458" t="str">
            <v>黄金宝箱6</v>
          </cell>
          <cell r="M458">
            <v>25406</v>
          </cell>
          <cell r="N458" t="str">
            <v>chest_lv5_icon</v>
          </cell>
        </row>
        <row r="459">
          <cell r="L459" t="str">
            <v>黄金宝箱7</v>
          </cell>
          <cell r="M459">
            <v>25407</v>
          </cell>
          <cell r="N459" t="str">
            <v>chest_lv5_icon</v>
          </cell>
        </row>
        <row r="460">
          <cell r="L460" t="str">
            <v>黄金宝箱8</v>
          </cell>
          <cell r="M460">
            <v>25408</v>
          </cell>
          <cell r="N460" t="str">
            <v>chest_lv5_icon</v>
          </cell>
        </row>
        <row r="461">
          <cell r="L461" t="str">
            <v>黄金宝箱9</v>
          </cell>
          <cell r="M461">
            <v>25409</v>
          </cell>
          <cell r="N461" t="str">
            <v>chest_lv5_icon</v>
          </cell>
        </row>
        <row r="462">
          <cell r="L462" t="str">
            <v>黄金宝箱10</v>
          </cell>
          <cell r="M462">
            <v>25410</v>
          </cell>
          <cell r="N462" t="str">
            <v>chest_lv5_icon</v>
          </cell>
        </row>
        <row r="463">
          <cell r="L463" t="str">
            <v>黄金自宝箱1</v>
          </cell>
          <cell r="M463">
            <v>25451</v>
          </cell>
          <cell r="N463" t="str">
            <v>chest_lv5_icon</v>
          </cell>
        </row>
        <row r="464">
          <cell r="L464" t="str">
            <v>黄金自宝箱2</v>
          </cell>
          <cell r="M464">
            <v>25452</v>
          </cell>
          <cell r="N464" t="str">
            <v>chest_lv5_icon</v>
          </cell>
        </row>
        <row r="465">
          <cell r="L465" t="str">
            <v>黄金自宝箱3</v>
          </cell>
          <cell r="M465">
            <v>25453</v>
          </cell>
          <cell r="N465" t="str">
            <v>chest_lv5_icon</v>
          </cell>
        </row>
        <row r="466">
          <cell r="L466" t="str">
            <v>黄金自宝箱4</v>
          </cell>
          <cell r="M466">
            <v>25454</v>
          </cell>
          <cell r="N466" t="str">
            <v>chest_lv5_icon</v>
          </cell>
        </row>
        <row r="467">
          <cell r="L467" t="str">
            <v>黄金自宝箱5</v>
          </cell>
          <cell r="M467">
            <v>25455</v>
          </cell>
          <cell r="N467" t="str">
            <v>chest_lv5_icon</v>
          </cell>
        </row>
        <row r="468">
          <cell r="L468" t="str">
            <v>黄金自宝箱6</v>
          </cell>
          <cell r="M468">
            <v>25456</v>
          </cell>
          <cell r="N468" t="str">
            <v>chest_lv5_icon</v>
          </cell>
        </row>
        <row r="469">
          <cell r="L469" t="str">
            <v>黄金自宝箱7</v>
          </cell>
          <cell r="M469">
            <v>25457</v>
          </cell>
          <cell r="N469" t="str">
            <v>chest_lv5_icon</v>
          </cell>
        </row>
        <row r="470">
          <cell r="L470" t="str">
            <v>黄金自宝箱8</v>
          </cell>
          <cell r="M470">
            <v>25458</v>
          </cell>
          <cell r="N470" t="str">
            <v>chest_lv5_icon</v>
          </cell>
        </row>
        <row r="471">
          <cell r="L471" t="str">
            <v>黄金自宝箱9</v>
          </cell>
          <cell r="M471">
            <v>25459</v>
          </cell>
          <cell r="N471" t="str">
            <v>chest_lv5_icon</v>
          </cell>
        </row>
        <row r="472">
          <cell r="L472" t="str">
            <v>黄金自宝箱10</v>
          </cell>
          <cell r="M472">
            <v>25460</v>
          </cell>
          <cell r="N472" t="str">
            <v>chest_lv5_icon</v>
          </cell>
        </row>
        <row r="473">
          <cell r="L473" t="str">
            <v>史诗宝箱1</v>
          </cell>
          <cell r="M473">
            <v>25501</v>
          </cell>
          <cell r="N473" t="str">
            <v>chest_lv6_icon</v>
          </cell>
          <cell r="O473" t="str">
            <v>Rank 1 Epic Chest</v>
          </cell>
        </row>
        <row r="474">
          <cell r="L474" t="str">
            <v>史诗宝箱2</v>
          </cell>
          <cell r="M474">
            <v>25502</v>
          </cell>
          <cell r="N474" t="str">
            <v>chest_lv6_icon</v>
          </cell>
          <cell r="O474" t="str">
            <v>Rank 2 Epic Chest</v>
          </cell>
        </row>
        <row r="475">
          <cell r="L475" t="str">
            <v>史诗宝箱3</v>
          </cell>
          <cell r="M475">
            <v>25503</v>
          </cell>
          <cell r="N475" t="str">
            <v>chest_lv6_icon</v>
          </cell>
          <cell r="O475" t="str">
            <v>Rank 3 Epic Chest</v>
          </cell>
        </row>
        <row r="476">
          <cell r="L476" t="str">
            <v>史诗宝箱4</v>
          </cell>
          <cell r="M476">
            <v>25504</v>
          </cell>
          <cell r="N476" t="str">
            <v>chest_lv6_icon</v>
          </cell>
          <cell r="O476" t="str">
            <v>Rank 4 Epic Chest</v>
          </cell>
        </row>
        <row r="477">
          <cell r="L477" t="str">
            <v>史诗宝箱5</v>
          </cell>
          <cell r="M477">
            <v>25505</v>
          </cell>
          <cell r="N477" t="str">
            <v>chest_lv6_icon</v>
          </cell>
          <cell r="O477" t="str">
            <v>Rank 5 Epic Chest</v>
          </cell>
        </row>
        <row r="478">
          <cell r="L478" t="str">
            <v>史诗宝箱6</v>
          </cell>
          <cell r="M478">
            <v>25506</v>
          </cell>
          <cell r="N478" t="str">
            <v>chest_lv6_icon</v>
          </cell>
          <cell r="O478" t="str">
            <v>Rank 6 Epic Chest</v>
          </cell>
        </row>
        <row r="479">
          <cell r="L479" t="str">
            <v>史诗宝箱7</v>
          </cell>
          <cell r="M479">
            <v>25507</v>
          </cell>
          <cell r="N479" t="str">
            <v>chest_lv6_icon</v>
          </cell>
          <cell r="O479" t="str">
            <v>Rank 7 Epic Chest</v>
          </cell>
        </row>
        <row r="480">
          <cell r="L480" t="str">
            <v>史诗宝箱8</v>
          </cell>
          <cell r="M480">
            <v>25508</v>
          </cell>
          <cell r="N480" t="str">
            <v>chest_lv6_icon</v>
          </cell>
          <cell r="O480" t="str">
            <v>Rank 8 Epic Chest</v>
          </cell>
        </row>
        <row r="481">
          <cell r="L481" t="str">
            <v>史诗宝箱9</v>
          </cell>
          <cell r="M481">
            <v>25509</v>
          </cell>
          <cell r="N481" t="str">
            <v>chest_lv6_icon</v>
          </cell>
          <cell r="O481" t="str">
            <v>Rank 9 Epic Chest</v>
          </cell>
        </row>
        <row r="482">
          <cell r="L482" t="str">
            <v>史诗宝箱10</v>
          </cell>
          <cell r="M482">
            <v>25510</v>
          </cell>
          <cell r="N482" t="str">
            <v>chest_lv6_icon</v>
          </cell>
          <cell r="O482" t="str">
            <v>Rank 10 Epic Chest</v>
          </cell>
        </row>
        <row r="483">
          <cell r="L483" t="str">
            <v>史诗自宝箱1</v>
          </cell>
          <cell r="M483">
            <v>25551</v>
          </cell>
          <cell r="N483" t="str">
            <v>chest_lv6_icon</v>
          </cell>
          <cell r="O483" t="str">
            <v>Rank 1 Epic Chest</v>
          </cell>
        </row>
        <row r="484">
          <cell r="L484" t="str">
            <v>史诗自宝箱2</v>
          </cell>
          <cell r="M484">
            <v>25552</v>
          </cell>
          <cell r="N484" t="str">
            <v>chest_lv6_icon</v>
          </cell>
          <cell r="O484" t="str">
            <v>Rank 2 Epic Chest</v>
          </cell>
        </row>
        <row r="485">
          <cell r="L485" t="str">
            <v>史诗自宝箱3</v>
          </cell>
          <cell r="M485">
            <v>25553</v>
          </cell>
          <cell r="N485" t="str">
            <v>chest_lv6_icon</v>
          </cell>
          <cell r="O485" t="str">
            <v>Rank 3 Epic Chest</v>
          </cell>
        </row>
        <row r="486">
          <cell r="L486" t="str">
            <v>史诗自宝箱4</v>
          </cell>
          <cell r="M486">
            <v>25554</v>
          </cell>
          <cell r="N486" t="str">
            <v>chest_lv6_icon</v>
          </cell>
          <cell r="O486" t="str">
            <v>Rank 4 Epic Chest</v>
          </cell>
        </row>
        <row r="487">
          <cell r="L487" t="str">
            <v>史诗自宝箱5</v>
          </cell>
          <cell r="M487">
            <v>25555</v>
          </cell>
          <cell r="N487" t="str">
            <v>chest_lv6_icon</v>
          </cell>
          <cell r="O487" t="str">
            <v>Rank 5 Epic Chest</v>
          </cell>
        </row>
        <row r="488">
          <cell r="L488" t="str">
            <v>史诗自宝箱6</v>
          </cell>
          <cell r="M488">
            <v>25556</v>
          </cell>
          <cell r="N488" t="str">
            <v>chest_lv6_icon</v>
          </cell>
          <cell r="O488" t="str">
            <v>Rank 6 Epic Chest</v>
          </cell>
        </row>
        <row r="489">
          <cell r="L489" t="str">
            <v>史诗自宝箱7</v>
          </cell>
          <cell r="M489">
            <v>25557</v>
          </cell>
          <cell r="N489" t="str">
            <v>chest_lv6_icon</v>
          </cell>
          <cell r="O489" t="str">
            <v>Rank 7 Epic Chest</v>
          </cell>
        </row>
        <row r="490">
          <cell r="L490" t="str">
            <v>史诗自宝箱8</v>
          </cell>
          <cell r="M490">
            <v>25558</v>
          </cell>
          <cell r="N490" t="str">
            <v>chest_lv6_icon</v>
          </cell>
          <cell r="O490" t="str">
            <v>Rank 8 Epic Chest</v>
          </cell>
        </row>
        <row r="491">
          <cell r="L491" t="str">
            <v>史诗自宝箱9</v>
          </cell>
          <cell r="M491">
            <v>25559</v>
          </cell>
          <cell r="N491" t="str">
            <v>chest_lv6_icon</v>
          </cell>
          <cell r="O491" t="str">
            <v>Rank 9 Epic Chest</v>
          </cell>
        </row>
        <row r="492">
          <cell r="L492" t="str">
            <v>史诗自宝箱10</v>
          </cell>
          <cell r="M492">
            <v>25560</v>
          </cell>
          <cell r="N492" t="str">
            <v>chest_lv6_icon</v>
          </cell>
          <cell r="O492" t="str">
            <v>Rank 10 Epic Chest</v>
          </cell>
        </row>
        <row r="493">
          <cell r="L493" t="str">
            <v>部件礼包1</v>
          </cell>
          <cell r="M493">
            <v>23201</v>
          </cell>
          <cell r="N493" t="str">
            <v>chest_tankpart</v>
          </cell>
          <cell r="O493" t="str">
            <v>T1 Component</v>
          </cell>
        </row>
        <row r="494">
          <cell r="L494" t="str">
            <v>部件礼包2</v>
          </cell>
          <cell r="M494">
            <v>23202</v>
          </cell>
          <cell r="N494" t="str">
            <v>chest_tankpart</v>
          </cell>
          <cell r="O494" t="str">
            <v>T1 Component</v>
          </cell>
        </row>
        <row r="495">
          <cell r="L495" t="str">
            <v>部件礼包3</v>
          </cell>
          <cell r="M495">
            <v>23203</v>
          </cell>
          <cell r="N495" t="str">
            <v>chest_tankpart</v>
          </cell>
          <cell r="O495" t="str">
            <v>T1 Component</v>
          </cell>
        </row>
        <row r="496">
          <cell r="L496" t="str">
            <v>部件礼包4</v>
          </cell>
          <cell r="M496">
            <v>23204</v>
          </cell>
          <cell r="N496" t="str">
            <v>chest_tankpart</v>
          </cell>
          <cell r="O496" t="str">
            <v>T2 Component</v>
          </cell>
        </row>
        <row r="497">
          <cell r="L497" t="str">
            <v>部件礼包5</v>
          </cell>
          <cell r="M497">
            <v>23205</v>
          </cell>
          <cell r="N497" t="str">
            <v>chest_tankpart</v>
          </cell>
          <cell r="O497" t="str">
            <v>T2 Component</v>
          </cell>
        </row>
        <row r="498">
          <cell r="L498" t="str">
            <v>部件礼包6</v>
          </cell>
          <cell r="M498">
            <v>23206</v>
          </cell>
          <cell r="N498" t="str">
            <v>chest_tankpart</v>
          </cell>
          <cell r="O498" t="str">
            <v>T2 Component</v>
          </cell>
        </row>
        <row r="499">
          <cell r="L499" t="str">
            <v>部件礼包7</v>
          </cell>
          <cell r="M499">
            <v>23207</v>
          </cell>
          <cell r="N499" t="str">
            <v>chest_tankpart</v>
          </cell>
          <cell r="O499" t="str">
            <v>T3 Component</v>
          </cell>
        </row>
        <row r="500">
          <cell r="L500" t="str">
            <v>部件礼包8</v>
          </cell>
          <cell r="M500">
            <v>23208</v>
          </cell>
          <cell r="N500" t="str">
            <v>chest_tankpart</v>
          </cell>
          <cell r="O500" t="str">
            <v>T3 Component</v>
          </cell>
        </row>
        <row r="501">
          <cell r="L501" t="str">
            <v>部件礼包9</v>
          </cell>
          <cell r="M501">
            <v>23209</v>
          </cell>
          <cell r="N501" t="str">
            <v>chest_tankpart</v>
          </cell>
          <cell r="O501" t="str">
            <v>T3 Component</v>
          </cell>
        </row>
        <row r="502">
          <cell r="L502" t="str">
            <v>碎片礼包1</v>
          </cell>
          <cell r="M502">
            <v>24201</v>
          </cell>
          <cell r="N502" t="str">
            <v>chest_shard</v>
          </cell>
          <cell r="O502" t="str">
            <v>T1 General Shard</v>
          </cell>
        </row>
        <row r="503">
          <cell r="L503" t="str">
            <v>碎片礼包2</v>
          </cell>
          <cell r="M503">
            <v>24202</v>
          </cell>
          <cell r="N503" t="str">
            <v>chest_shard</v>
          </cell>
          <cell r="O503" t="str">
            <v>T2 General Shard</v>
          </cell>
        </row>
        <row r="504">
          <cell r="L504" t="str">
            <v>碎片礼包3</v>
          </cell>
          <cell r="M504">
            <v>24203</v>
          </cell>
          <cell r="N504" t="str">
            <v>chest_shard</v>
          </cell>
          <cell r="O504" t="str">
            <v>T2 Senior Shard</v>
          </cell>
        </row>
        <row r="505">
          <cell r="L505" t="str">
            <v>碎片礼包4</v>
          </cell>
          <cell r="M505">
            <v>24204</v>
          </cell>
          <cell r="N505" t="str">
            <v>chest_shard</v>
          </cell>
          <cell r="O505" t="str">
            <v>T3General Shard</v>
          </cell>
        </row>
        <row r="506">
          <cell r="L506" t="str">
            <v>碎片礼包5</v>
          </cell>
          <cell r="M506">
            <v>24205</v>
          </cell>
          <cell r="N506" t="str">
            <v>chest_shard</v>
          </cell>
          <cell r="O506" t="str">
            <v>T3 Senior Shard</v>
          </cell>
        </row>
        <row r="507">
          <cell r="L507" t="str">
            <v>碎片礼包6</v>
          </cell>
          <cell r="M507">
            <v>24206</v>
          </cell>
          <cell r="N507" t="str">
            <v>chest_shard</v>
          </cell>
          <cell r="O507" t="str">
            <v>T4 General Shard</v>
          </cell>
        </row>
        <row r="508">
          <cell r="L508" t="str">
            <v>碎片礼包7</v>
          </cell>
          <cell r="M508">
            <v>24207</v>
          </cell>
          <cell r="N508" t="str">
            <v>chest_shard</v>
          </cell>
          <cell r="O508" t="str">
            <v>T4 Senior Shard</v>
          </cell>
        </row>
        <row r="509">
          <cell r="L509" t="str">
            <v>碎片礼包8</v>
          </cell>
          <cell r="M509">
            <v>24208</v>
          </cell>
          <cell r="N509" t="str">
            <v>chest_shard</v>
          </cell>
        </row>
        <row r="511">
          <cell r="L511" t="str">
            <v>涂鸦-失败者</v>
          </cell>
          <cell r="M511">
            <v>150101</v>
          </cell>
          <cell r="N511" t="str">
            <v>battle_pass_icon_decal_01</v>
          </cell>
        </row>
        <row r="512">
          <cell r="L512" t="str">
            <v>涂鸦-鲨鱼</v>
          </cell>
          <cell r="M512">
            <v>150102</v>
          </cell>
          <cell r="N512" t="str">
            <v>battle_pass_icon_decal_02</v>
          </cell>
        </row>
        <row r="513">
          <cell r="L513" t="str">
            <v>涂鸦-胜利骑士</v>
          </cell>
          <cell r="M513">
            <v>150103</v>
          </cell>
          <cell r="N513" t="str">
            <v>battle_pass_icon_decal_03</v>
          </cell>
        </row>
        <row r="514">
          <cell r="L514" t="str">
            <v>涂鸦-裂缝</v>
          </cell>
          <cell r="M514">
            <v>150104</v>
          </cell>
          <cell r="N514" t="str">
            <v>battle_pass_icon_decal_04</v>
          </cell>
        </row>
        <row r="515">
          <cell r="L515" t="str">
            <v>涂鸦-小丑</v>
          </cell>
          <cell r="M515">
            <v>150105</v>
          </cell>
          <cell r="N515" t="str">
            <v>battle_pass_icon_decal_05</v>
          </cell>
        </row>
        <row r="516">
          <cell r="L516" t="str">
            <v>涂鸦-魔眼</v>
          </cell>
          <cell r="M516">
            <v>150106</v>
          </cell>
          <cell r="N516" t="str">
            <v>battle_pass_icon_decal_06</v>
          </cell>
        </row>
        <row r="517">
          <cell r="L517" t="str">
            <v>涂鸦-死神</v>
          </cell>
          <cell r="M517">
            <v>150107</v>
          </cell>
          <cell r="N517" t="str">
            <v>battle_pass_icon_decal_07</v>
          </cell>
        </row>
        <row r="518">
          <cell r="L518" t="str">
            <v>头像框-初级指挥官</v>
          </cell>
          <cell r="M518">
            <v>130102</v>
          </cell>
          <cell r="N518" t="str">
            <v>role_head_frame_icon_2</v>
          </cell>
        </row>
        <row r="519">
          <cell r="L519" t="str">
            <v>头像框-针锋相对</v>
          </cell>
          <cell r="M519">
            <v>130103</v>
          </cell>
          <cell r="N519" t="str">
            <v>role_head_frame_icon_3</v>
          </cell>
        </row>
        <row r="520">
          <cell r="L520" t="str">
            <v>头像框-S1·起航</v>
          </cell>
          <cell r="M520">
            <v>130104</v>
          </cell>
          <cell r="N520" t="str">
            <v>role_head_frame_icon_4</v>
          </cell>
        </row>
        <row r="521">
          <cell r="L521" t="str">
            <v>头像框-战斗之星</v>
          </cell>
          <cell r="M521">
            <v>130105</v>
          </cell>
          <cell r="N521" t="str">
            <v>role_head_frame_icon_5</v>
          </cell>
        </row>
        <row r="522">
          <cell r="L522" t="str">
            <v>头像框-我的战场</v>
          </cell>
          <cell r="M522">
            <v>130106</v>
          </cell>
          <cell r="N522" t="str">
            <v>role_head_frame_icon_6</v>
          </cell>
        </row>
        <row r="523">
          <cell r="L523" t="str">
            <v>头像框-风驰电掣</v>
          </cell>
          <cell r="M523">
            <v>130107</v>
          </cell>
          <cell r="N523" t="str">
            <v>role_head_frame_icon_7</v>
          </cell>
        </row>
        <row r="524">
          <cell r="L524" t="str">
            <v>头像框-钢铁信仰</v>
          </cell>
          <cell r="M524">
            <v>130108</v>
          </cell>
          <cell r="N524" t="str">
            <v>role_head_frame_icon_8</v>
          </cell>
        </row>
        <row r="525">
          <cell r="L525" t="str">
            <v>摆件1-小丑</v>
          </cell>
          <cell r="M525">
            <v>110101</v>
          </cell>
          <cell r="N525" t="str">
            <v>battle_pass_icon_decoration_1</v>
          </cell>
        </row>
        <row r="526">
          <cell r="L526" t="str">
            <v>摆件2-小黄鸭</v>
          </cell>
          <cell r="M526">
            <v>110102</v>
          </cell>
          <cell r="N526" t="str">
            <v>battle_pass_icon_decoration_2</v>
          </cell>
        </row>
        <row r="527">
          <cell r="L527" t="str">
            <v>摆件3-机械蜘蛛</v>
          </cell>
          <cell r="M527">
            <v>110103</v>
          </cell>
          <cell r="N527" t="str">
            <v>battle_pass_icon_decoration_3</v>
          </cell>
        </row>
        <row r="528">
          <cell r="L528" t="str">
            <v>摆件4-鲨鱼头</v>
          </cell>
          <cell r="M528">
            <v>110104</v>
          </cell>
          <cell r="N528" t="str">
            <v>battle_pass_icon_decoration_4</v>
          </cell>
        </row>
        <row r="529">
          <cell r="L529" t="str">
            <v>摆件5-恶魔之眼</v>
          </cell>
          <cell r="M529">
            <v>110105</v>
          </cell>
          <cell r="N529" t="str">
            <v>battle_pass_icon_decoration_5</v>
          </cell>
        </row>
        <row r="530">
          <cell r="L530" t="str">
            <v>战旗旗杆-雄心旗杆</v>
          </cell>
          <cell r="M530">
            <v>120101</v>
          </cell>
          <cell r="N530" t="str">
            <v>battle_pass_icon_flag_staff_01</v>
          </cell>
        </row>
        <row r="531">
          <cell r="L531" t="str">
            <v>战旗旗杆-正义旗杆</v>
          </cell>
          <cell r="M531">
            <v>120102</v>
          </cell>
          <cell r="N531" t="str">
            <v>battle_pass_icon_flag_staff_02</v>
          </cell>
        </row>
        <row r="532">
          <cell r="L532" t="str">
            <v>战旗旗杆-绝命旗杆</v>
          </cell>
          <cell r="M532">
            <v>120103</v>
          </cell>
          <cell r="N532" t="str">
            <v>battle_pass_icon_flag_staff_03</v>
          </cell>
        </row>
        <row r="533">
          <cell r="L533" t="str">
            <v>战旗旗杆-荣耀旗杆</v>
          </cell>
          <cell r="M533">
            <v>120104</v>
          </cell>
          <cell r="N533" t="str">
            <v>battle_pass_icon_flag_staff_04</v>
          </cell>
        </row>
        <row r="534">
          <cell r="L534" t="str">
            <v>战旗旗帜-雄心旗帜</v>
          </cell>
          <cell r="M534">
            <v>120201</v>
          </cell>
          <cell r="N534" t="str">
            <v>battle_pass_icon_flag_surface_01</v>
          </cell>
        </row>
        <row r="535">
          <cell r="L535" t="str">
            <v>战旗旗帜-正义旗帜</v>
          </cell>
          <cell r="M535">
            <v>120202</v>
          </cell>
          <cell r="N535" t="str">
            <v>battle_pass_icon_flag_surface_02</v>
          </cell>
        </row>
        <row r="536">
          <cell r="L536" t="str">
            <v>战旗旗帜-绝命旗帜</v>
          </cell>
          <cell r="M536">
            <v>120203</v>
          </cell>
          <cell r="N536" t="str">
            <v>battle_pass_icon_flag_surface_03</v>
          </cell>
        </row>
        <row r="537">
          <cell r="L537" t="str">
            <v>战旗旗帜-荣耀旗帜</v>
          </cell>
          <cell r="M537">
            <v>120204</v>
          </cell>
          <cell r="N537" t="str">
            <v>battle_pass_icon_flag_surface_04</v>
          </cell>
        </row>
        <row r="538">
          <cell r="L538" t="str">
            <v>战旗图案-雄心图案</v>
          </cell>
          <cell r="M538">
            <v>120301</v>
          </cell>
          <cell r="N538" t="str">
            <v>battle_pass_icon_flag_logo_01</v>
          </cell>
        </row>
        <row r="539">
          <cell r="L539" t="str">
            <v>战旗图案-正义图案</v>
          </cell>
          <cell r="M539">
            <v>120302</v>
          </cell>
          <cell r="N539" t="str">
            <v>battle_pass_icon_flag_logo_02</v>
          </cell>
        </row>
        <row r="540">
          <cell r="L540" t="str">
            <v>战旗图案-绝命图案</v>
          </cell>
          <cell r="M540">
            <v>120303</v>
          </cell>
          <cell r="N540" t="str">
            <v>battle_pass_icon_flag_logo_03</v>
          </cell>
        </row>
        <row r="541">
          <cell r="L541" t="str">
            <v>战旗图案-荣耀图案</v>
          </cell>
          <cell r="M541">
            <v>120304</v>
          </cell>
          <cell r="N541" t="str">
            <v>battle_pass_icon_flag_logo_04</v>
          </cell>
        </row>
        <row r="542">
          <cell r="L542" t="str">
            <v>坦克涂装-坦克皮肤:丛林</v>
          </cell>
          <cell r="M542">
            <v>180001</v>
          </cell>
          <cell r="N542" t="str">
            <v>tank_skin_icon_rd101</v>
          </cell>
        </row>
        <row r="543">
          <cell r="L543" t="str">
            <v>坦克涂装-坦克皮肤:沙漠</v>
          </cell>
          <cell r="M543">
            <v>180002</v>
          </cell>
          <cell r="N543" t="str">
            <v>tank_skin_icon_rd102</v>
          </cell>
        </row>
        <row r="544">
          <cell r="L544" t="str">
            <v>坦克涂装-坦克皮肤:雪地</v>
          </cell>
          <cell r="M544">
            <v>180003</v>
          </cell>
          <cell r="N544" t="str">
            <v>tank_skin_icon_rd103</v>
          </cell>
        </row>
        <row r="545">
          <cell r="L545" t="str">
            <v>坦克涂装-坦克皮肤:红色丝网</v>
          </cell>
          <cell r="M545">
            <v>180004</v>
          </cell>
          <cell r="N545" t="str">
            <v>tank_skin_icon_rd104</v>
          </cell>
        </row>
        <row r="546">
          <cell r="L546" t="str">
            <v>坦克涂装-坦克皮肤:霓虹灯</v>
          </cell>
          <cell r="M546">
            <v>180005</v>
          </cell>
          <cell r="N546" t="str">
            <v>tank_skin_icon_rd105</v>
          </cell>
        </row>
        <row r="547">
          <cell r="L547" t="str">
            <v>坦克涂装-坦克皮肤:冰晶</v>
          </cell>
          <cell r="M547">
            <v>180006</v>
          </cell>
          <cell r="N547" t="str">
            <v>tank_skin_icon_rd106</v>
          </cell>
        </row>
        <row r="548">
          <cell r="L548" t="str">
            <v>坦克涂装-坦克皮肤:喷彩</v>
          </cell>
          <cell r="M548">
            <v>180007</v>
          </cell>
          <cell r="N548" t="str">
            <v>tank_skin_icon_rd107</v>
          </cell>
        </row>
        <row r="549">
          <cell r="L549" t="str">
            <v>坦克涂装-坦克皮肤:枫叶</v>
          </cell>
          <cell r="M549">
            <v>180008</v>
          </cell>
          <cell r="N549" t="str">
            <v>tank_skin_icon_rd108</v>
          </cell>
        </row>
        <row r="550">
          <cell r="L550" t="str">
            <v>坦克涂装-坦克皮肤:黑白涂鸦</v>
          </cell>
          <cell r="M550">
            <v>180009</v>
          </cell>
          <cell r="N550" t="str">
            <v>tank_skin_icon_rd109</v>
          </cell>
        </row>
        <row r="551">
          <cell r="L551" t="str">
            <v>坦克涂装-坦克皮肤:蓝天</v>
          </cell>
          <cell r="M551">
            <v>180010</v>
          </cell>
          <cell r="N551" t="str">
            <v>tank_skin_icon_rd110</v>
          </cell>
        </row>
        <row r="552">
          <cell r="L552" t="str">
            <v>坦克涂装-坦克皮肤:滩涂</v>
          </cell>
          <cell r="M552">
            <v>180013</v>
          </cell>
          <cell r="N552" t="str">
            <v>tank_skin_icon_rd113</v>
          </cell>
        </row>
        <row r="553">
          <cell r="L553" t="str">
            <v>坦克涂装-坦克皮肤:城市</v>
          </cell>
          <cell r="M553">
            <v>180014</v>
          </cell>
          <cell r="N553" t="str">
            <v>tank_skin_icon_rd114</v>
          </cell>
        </row>
        <row r="554">
          <cell r="L554" t="str">
            <v>坦克涂装-坦克皮肤:山地</v>
          </cell>
          <cell r="M554">
            <v>180015</v>
          </cell>
          <cell r="N554" t="str">
            <v>tank_skin_icon_rd115</v>
          </cell>
        </row>
        <row r="555">
          <cell r="L555" t="str">
            <v>坦克涂装-坦克皮肤:暗夜</v>
          </cell>
          <cell r="M555">
            <v>180016</v>
          </cell>
          <cell r="N555" t="str">
            <v>tank_skin_icon_rd116</v>
          </cell>
        </row>
        <row r="556">
          <cell r="L556" t="str">
            <v>坦克流光特效-全电坦克</v>
          </cell>
          <cell r="M556">
            <v>190001</v>
          </cell>
          <cell r="N556" t="str">
            <v>tank_common_lighting</v>
          </cell>
        </row>
        <row r="557">
          <cell r="L557" t="str">
            <v>坦克流光特效-美人鱼</v>
          </cell>
          <cell r="M557">
            <v>190002</v>
          </cell>
          <cell r="N557" t="str">
            <v>tank_common_fish</v>
          </cell>
        </row>
        <row r="558">
          <cell r="L558" t="str">
            <v>坦克流光特效-地狱使者</v>
          </cell>
          <cell r="M558">
            <v>190003</v>
          </cell>
          <cell r="N558" t="str">
            <v>tank_common_fire</v>
          </cell>
        </row>
        <row r="559">
          <cell r="L559" t="str">
            <v>BattlePass货币</v>
          </cell>
          <cell r="M559">
            <v>113</v>
          </cell>
          <cell r="N559" t="str">
            <v>public_icon_handbook_exp</v>
          </cell>
        </row>
        <row r="560">
          <cell r="L560" t="str">
            <v>头像-默认头像</v>
          </cell>
          <cell r="M560">
            <v>140101</v>
          </cell>
          <cell r="N560" t="str">
            <v>role_head_icon_1</v>
          </cell>
        </row>
        <row r="561">
          <cell r="L561" t="str">
            <v>头像-龙</v>
          </cell>
          <cell r="M561">
            <v>140102</v>
          </cell>
          <cell r="N561" t="str">
            <v>role_head_icon_2</v>
          </cell>
        </row>
        <row r="562">
          <cell r="L562" t="str">
            <v>头像-S1奖牌</v>
          </cell>
          <cell r="M562">
            <v>140103</v>
          </cell>
          <cell r="N562" t="str">
            <v>role_head_icon_3</v>
          </cell>
        </row>
        <row r="563">
          <cell r="L563" t="str">
            <v>头像-金光坦克</v>
          </cell>
          <cell r="M563">
            <v>140104</v>
          </cell>
          <cell r="N563" t="str">
            <v>role_head_icon_4</v>
          </cell>
        </row>
        <row r="564">
          <cell r="L564" t="str">
            <v>头像-预注册-鹰</v>
          </cell>
          <cell r="M564">
            <v>140105</v>
          </cell>
          <cell r="N564" t="str">
            <v>role_head_icon_5</v>
          </cell>
        </row>
        <row r="565">
          <cell r="L565" t="str">
            <v>头像-老虎</v>
          </cell>
          <cell r="M565">
            <v>140106</v>
          </cell>
          <cell r="N565" t="str">
            <v>role_head_icon_6</v>
          </cell>
        </row>
        <row r="566">
          <cell r="L566" t="str">
            <v>头像-吐舌头</v>
          </cell>
          <cell r="M566">
            <v>140107</v>
          </cell>
          <cell r="N566" t="str">
            <v>role_head_icon_7</v>
          </cell>
        </row>
        <row r="567">
          <cell r="L567" t="str">
            <v>头像-皇冠</v>
          </cell>
          <cell r="M567">
            <v>140108</v>
          </cell>
          <cell r="N567" t="str">
            <v>role_head_icon_8</v>
          </cell>
        </row>
        <row r="568">
          <cell r="L568" t="str">
            <v>头像-头盔</v>
          </cell>
          <cell r="M568">
            <v>140109</v>
          </cell>
          <cell r="N568" t="str">
            <v>role_head_icon_9</v>
          </cell>
        </row>
        <row r="569">
          <cell r="L569" t="str">
            <v>头像-蛇</v>
          </cell>
          <cell r="M569">
            <v>140110</v>
          </cell>
          <cell r="N569" t="str">
            <v>role_head_icon_10</v>
          </cell>
        </row>
        <row r="570">
          <cell r="L570" t="str">
            <v>头像-狮子</v>
          </cell>
          <cell r="M570">
            <v>140111</v>
          </cell>
          <cell r="N570" t="str">
            <v>role_head_icon_11</v>
          </cell>
        </row>
        <row r="571">
          <cell r="L571" t="str">
            <v>头像-IF抽象标识</v>
          </cell>
          <cell r="M571">
            <v>140112</v>
          </cell>
          <cell r="N571" t="str">
            <v>role_head_icon_12</v>
          </cell>
        </row>
        <row r="572">
          <cell r="L572" t="str">
            <v>头像-炸弹头听音乐</v>
          </cell>
          <cell r="M572">
            <v>140113</v>
          </cell>
          <cell r="N572" t="str">
            <v>role_head_icon_13</v>
          </cell>
        </row>
        <row r="573">
          <cell r="L573" t="str">
            <v>头像-熊猫</v>
          </cell>
          <cell r="M573">
            <v>140114</v>
          </cell>
          <cell r="N573" t="str">
            <v>role_head_icon_14</v>
          </cell>
        </row>
        <row r="574">
          <cell r="L574" t="str">
            <v>坦克涂装-电磁炮-兽人</v>
          </cell>
          <cell r="M574">
            <v>180017</v>
          </cell>
          <cell r="N574" t="str">
            <v>35t-rd4</v>
          </cell>
        </row>
        <row r="575">
          <cell r="L575" t="str">
            <v>坦克涂装-电磁炮-食月鸟</v>
          </cell>
          <cell r="M575">
            <v>180018</v>
          </cell>
          <cell r="N575" t="str">
            <v>crusader-rd4</v>
          </cell>
        </row>
        <row r="576">
          <cell r="L576" t="str">
            <v>坦克涂装-金龙-吸血鬼</v>
          </cell>
          <cell r="M576">
            <v>180020</v>
          </cell>
          <cell r="N576" t="str">
            <v>mathilda-rd3</v>
          </cell>
        </row>
        <row r="577">
          <cell r="L577" t="str">
            <v>坦克涂装-金龙-神秘猿</v>
          </cell>
          <cell r="M577">
            <v>180021</v>
          </cell>
          <cell r="N577" t="str">
            <v>m4-rd3</v>
          </cell>
        </row>
        <row r="578">
          <cell r="L578" t="str">
            <v>坦克涂装-铠甲勇士-森林精灵</v>
          </cell>
          <cell r="M578">
            <v>180023</v>
          </cell>
          <cell r="N578" t="str">
            <v>panzer-v-rd5</v>
          </cell>
        </row>
        <row r="579">
          <cell r="L579" t="str">
            <v>坦克涂装-铠甲勇士-偷火巨人</v>
          </cell>
          <cell r="M579">
            <v>180024</v>
          </cell>
          <cell r="N579" t="str">
            <v>tiger-rd5</v>
          </cell>
        </row>
        <row r="580">
          <cell r="L580" t="str">
            <v>BattlePass经验</v>
          </cell>
          <cell r="M580">
            <v>112</v>
          </cell>
          <cell r="N580" t="str">
            <v>public_icon_handbook_exp</v>
          </cell>
        </row>
      </sheetData>
      <sheetData sheetId="26"/>
      <sheetData sheetId="27"/>
      <sheetData sheetId="28"/>
      <sheetData sheetId="29"/>
      <sheetData sheetId="30"/>
      <sheetData sheetId="31">
        <row r="4">
          <cell r="C4">
            <v>180</v>
          </cell>
        </row>
        <row r="6">
          <cell r="C6">
            <v>5.4166666666666696</v>
          </cell>
        </row>
        <row r="19">
          <cell r="F19">
            <v>54</v>
          </cell>
          <cell r="G19">
            <v>5</v>
          </cell>
          <cell r="H19">
            <v>2</v>
          </cell>
        </row>
        <row r="20">
          <cell r="F20">
            <v>108</v>
          </cell>
          <cell r="G20">
            <v>9</v>
          </cell>
          <cell r="H20">
            <v>4</v>
          </cell>
        </row>
        <row r="21">
          <cell r="F21">
            <v>216</v>
          </cell>
          <cell r="G21">
            <v>18</v>
          </cell>
          <cell r="H21">
            <v>6</v>
          </cell>
        </row>
        <row r="22">
          <cell r="F22">
            <v>432</v>
          </cell>
          <cell r="G22">
            <v>36</v>
          </cell>
          <cell r="H22">
            <v>8</v>
          </cell>
        </row>
      </sheetData>
      <sheetData sheetId="32">
        <row r="9">
          <cell r="C9">
            <v>200</v>
          </cell>
        </row>
        <row r="10">
          <cell r="C10">
            <v>600</v>
          </cell>
        </row>
        <row r="11">
          <cell r="C11">
            <v>2000</v>
          </cell>
        </row>
        <row r="12">
          <cell r="C12">
            <v>100</v>
          </cell>
        </row>
        <row r="13">
          <cell r="C13">
            <v>100</v>
          </cell>
        </row>
      </sheetData>
      <sheetData sheetId="33"/>
      <sheetData sheetId="34"/>
      <sheetData sheetId="3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导出汇总"/>
      <sheetName val="出售宝箱1"/>
      <sheetName val="出售宝箱2"/>
      <sheetName val="出售宝箱3"/>
      <sheetName val="出售宝箱3-概率提升"/>
      <sheetName val="碎片宝箱"/>
      <sheetName val="钥匙宝箱"/>
      <sheetName val="活跃小箱"/>
      <sheetName val="活跃中箱"/>
      <sheetName val="活跃大箱"/>
      <sheetName val="活跃巨箱"/>
      <sheetName val="名称-id-价值"/>
      <sheetName val="展示字符串"/>
      <sheetName val="数据源"/>
      <sheetName val="数据导出"/>
    </sheetNames>
    <sheetDataSet>
      <sheetData sheetId="0" refreshError="1"/>
      <sheetData sheetId="1" refreshError="1"/>
      <sheetData sheetId="2" refreshError="1"/>
      <sheetData sheetId="3">
        <row r="1">
          <cell r="B1" t="str">
            <v>物品id</v>
          </cell>
          <cell r="I1" t="str">
            <v>类别</v>
          </cell>
          <cell r="J1" t="str">
            <v>联赛等级</v>
          </cell>
          <cell r="K1" t="str">
            <v>计算个数</v>
          </cell>
        </row>
        <row r="2">
          <cell r="B2">
            <v>51111</v>
          </cell>
          <cell r="I2" t="str">
            <v>T1碎片</v>
          </cell>
          <cell r="J2">
            <v>1</v>
          </cell>
          <cell r="K2">
            <v>7.8648483614899201</v>
          </cell>
        </row>
        <row r="3">
          <cell r="B3">
            <v>52111</v>
          </cell>
          <cell r="I3" t="str">
            <v>T1碎片</v>
          </cell>
          <cell r="J3">
            <v>1</v>
          </cell>
          <cell r="K3">
            <v>7.8648483614899201</v>
          </cell>
        </row>
        <row r="4">
          <cell r="B4">
            <v>53111</v>
          </cell>
          <cell r="I4" t="str">
            <v>T1碎片</v>
          </cell>
          <cell r="J4">
            <v>1</v>
          </cell>
          <cell r="K4">
            <v>7.8648483614899201</v>
          </cell>
        </row>
        <row r="5">
          <cell r="B5">
            <v>51211</v>
          </cell>
          <cell r="I5" t="str">
            <v>T2碎片</v>
          </cell>
          <cell r="J5">
            <v>1</v>
          </cell>
          <cell r="K5">
            <v>4.0708324852432302E-2</v>
          </cell>
        </row>
        <row r="6">
          <cell r="B6">
            <v>51221</v>
          </cell>
          <cell r="I6" t="str">
            <v>T2碎片</v>
          </cell>
          <cell r="J6">
            <v>1</v>
          </cell>
          <cell r="K6">
            <v>4.0708324852432302E-2</v>
          </cell>
        </row>
        <row r="7">
          <cell r="B7">
            <v>52211</v>
          </cell>
          <cell r="I7" t="str">
            <v>T2碎片</v>
          </cell>
          <cell r="J7">
            <v>1</v>
          </cell>
          <cell r="K7">
            <v>4.0708324852432302E-2</v>
          </cell>
        </row>
        <row r="8">
          <cell r="B8">
            <v>52221</v>
          </cell>
          <cell r="I8" t="str">
            <v>T2碎片</v>
          </cell>
          <cell r="J8">
            <v>1</v>
          </cell>
          <cell r="K8">
            <v>4.0708324852432302E-2</v>
          </cell>
        </row>
        <row r="9">
          <cell r="B9">
            <v>53211</v>
          </cell>
          <cell r="I9" t="str">
            <v>T2碎片</v>
          </cell>
          <cell r="J9">
            <v>1</v>
          </cell>
          <cell r="K9">
            <v>4.0708324852432302E-2</v>
          </cell>
        </row>
        <row r="10">
          <cell r="B10">
            <v>53221</v>
          </cell>
          <cell r="I10" t="str">
            <v>T2碎片</v>
          </cell>
          <cell r="J10">
            <v>1</v>
          </cell>
          <cell r="K10">
            <v>4.0708324852432302E-2</v>
          </cell>
        </row>
        <row r="11">
          <cell r="B11">
            <v>51311</v>
          </cell>
          <cell r="I11" t="str">
            <v>T3碎片</v>
          </cell>
          <cell r="J11">
            <v>1</v>
          </cell>
          <cell r="K11">
            <v>1.22124974557297E-2</v>
          </cell>
        </row>
        <row r="12">
          <cell r="B12">
            <v>51321</v>
          </cell>
          <cell r="I12" t="str">
            <v>T3碎片</v>
          </cell>
          <cell r="J12">
            <v>1</v>
          </cell>
          <cell r="K12">
            <v>1.22124974557297E-2</v>
          </cell>
        </row>
        <row r="13">
          <cell r="B13">
            <v>52311</v>
          </cell>
          <cell r="I13" t="str">
            <v>T3碎片</v>
          </cell>
          <cell r="J13">
            <v>1</v>
          </cell>
          <cell r="K13">
            <v>1.22124974557297E-2</v>
          </cell>
        </row>
        <row r="14">
          <cell r="B14">
            <v>52321</v>
          </cell>
          <cell r="I14" t="str">
            <v>T3碎片</v>
          </cell>
          <cell r="J14">
            <v>1</v>
          </cell>
          <cell r="K14">
            <v>1.22124974557297E-2</v>
          </cell>
        </row>
        <row r="15">
          <cell r="B15">
            <v>53311</v>
          </cell>
          <cell r="I15" t="str">
            <v>T3碎片</v>
          </cell>
          <cell r="J15">
            <v>1</v>
          </cell>
          <cell r="K15">
            <v>1.22124974557297E-2</v>
          </cell>
        </row>
        <row r="16">
          <cell r="B16">
            <v>53321</v>
          </cell>
          <cell r="I16" t="str">
            <v>T3碎片</v>
          </cell>
          <cell r="J16">
            <v>1</v>
          </cell>
          <cell r="K16">
            <v>1.22124974557297E-2</v>
          </cell>
        </row>
        <row r="17">
          <cell r="B17">
            <v>91001</v>
          </cell>
          <cell r="I17" t="str">
            <v>T1部件</v>
          </cell>
          <cell r="J17">
            <v>1</v>
          </cell>
          <cell r="K17">
            <v>1.51882760024425</v>
          </cell>
        </row>
        <row r="18">
          <cell r="B18">
            <v>91003</v>
          </cell>
          <cell r="I18" t="str">
            <v>T1部件</v>
          </cell>
          <cell r="J18">
            <v>1</v>
          </cell>
          <cell r="K18">
            <v>1.51882760024425</v>
          </cell>
        </row>
        <row r="19">
          <cell r="B19">
            <v>91005</v>
          </cell>
          <cell r="I19" t="str">
            <v>T1部件</v>
          </cell>
          <cell r="J19">
            <v>1</v>
          </cell>
          <cell r="K19">
            <v>1.51882760024425</v>
          </cell>
        </row>
        <row r="20">
          <cell r="B20">
            <v>91101</v>
          </cell>
          <cell r="I20" t="str">
            <v>T1部件</v>
          </cell>
          <cell r="J20">
            <v>1</v>
          </cell>
          <cell r="K20">
            <v>1.51882760024425</v>
          </cell>
        </row>
        <row r="21">
          <cell r="B21">
            <v>91103</v>
          </cell>
          <cell r="I21" t="str">
            <v>T1部件</v>
          </cell>
          <cell r="J21">
            <v>1</v>
          </cell>
          <cell r="K21">
            <v>1.51882760024425</v>
          </cell>
        </row>
        <row r="22">
          <cell r="B22">
            <v>91105</v>
          </cell>
          <cell r="I22" t="str">
            <v>T1部件</v>
          </cell>
          <cell r="J22">
            <v>1</v>
          </cell>
          <cell r="K22">
            <v>1.51882760024425</v>
          </cell>
        </row>
        <row r="23">
          <cell r="B23">
            <v>91201</v>
          </cell>
          <cell r="I23" t="str">
            <v>T1部件</v>
          </cell>
          <cell r="J23">
            <v>1</v>
          </cell>
          <cell r="K23">
            <v>1.51882760024425</v>
          </cell>
        </row>
        <row r="24">
          <cell r="B24">
            <v>91203</v>
          </cell>
          <cell r="I24" t="str">
            <v>T1部件</v>
          </cell>
          <cell r="J24">
            <v>1</v>
          </cell>
          <cell r="K24">
            <v>1.51882760024425</v>
          </cell>
        </row>
        <row r="25">
          <cell r="B25">
            <v>91205</v>
          </cell>
          <cell r="I25" t="str">
            <v>T1部件</v>
          </cell>
          <cell r="J25">
            <v>1</v>
          </cell>
          <cell r="K25">
            <v>1.5611642580907801</v>
          </cell>
        </row>
        <row r="26">
          <cell r="B26">
            <v>11211</v>
          </cell>
          <cell r="I26" t="str">
            <v>T2坦克</v>
          </cell>
          <cell r="J26">
            <v>2</v>
          </cell>
          <cell r="K26">
            <v>0.52459016393442603</v>
          </cell>
        </row>
        <row r="27">
          <cell r="B27">
            <v>12211</v>
          </cell>
          <cell r="I27" t="str">
            <v>T2坦克</v>
          </cell>
          <cell r="J27">
            <v>2</v>
          </cell>
          <cell r="K27">
            <v>0.52459016393442603</v>
          </cell>
        </row>
        <row r="28">
          <cell r="B28">
            <v>13211</v>
          </cell>
          <cell r="I28" t="str">
            <v>T2坦克</v>
          </cell>
          <cell r="J28">
            <v>2</v>
          </cell>
          <cell r="K28">
            <v>0.52459016393442603</v>
          </cell>
        </row>
        <row r="29">
          <cell r="B29">
            <v>51111</v>
          </cell>
          <cell r="I29" t="str">
            <v>T1碎片</v>
          </cell>
          <cell r="J29">
            <v>2</v>
          </cell>
          <cell r="K29">
            <v>1.3923497267759599</v>
          </cell>
        </row>
        <row r="30">
          <cell r="B30">
            <v>52111</v>
          </cell>
          <cell r="I30" t="str">
            <v>T1碎片</v>
          </cell>
          <cell r="J30">
            <v>2</v>
          </cell>
          <cell r="K30">
            <v>1.3923497267759599</v>
          </cell>
        </row>
        <row r="31">
          <cell r="B31">
            <v>53111</v>
          </cell>
          <cell r="I31" t="str">
            <v>T1碎片</v>
          </cell>
          <cell r="J31">
            <v>2</v>
          </cell>
          <cell r="K31">
            <v>1.3923497267759599</v>
          </cell>
        </row>
        <row r="32">
          <cell r="B32">
            <v>51211</v>
          </cell>
          <cell r="I32" t="str">
            <v>T2碎片</v>
          </cell>
          <cell r="J32">
            <v>2</v>
          </cell>
          <cell r="K32">
            <v>1.0338797814207601</v>
          </cell>
        </row>
        <row r="33">
          <cell r="B33">
            <v>52211</v>
          </cell>
          <cell r="I33" t="str">
            <v>T2碎片</v>
          </cell>
          <cell r="J33">
            <v>2</v>
          </cell>
          <cell r="K33">
            <v>1.0338797814207601</v>
          </cell>
        </row>
        <row r="34">
          <cell r="B34">
            <v>53211</v>
          </cell>
          <cell r="I34" t="str">
            <v>T2碎片</v>
          </cell>
          <cell r="J34">
            <v>2</v>
          </cell>
          <cell r="K34">
            <v>1.0338797814207601</v>
          </cell>
        </row>
        <row r="35">
          <cell r="B35">
            <v>51221</v>
          </cell>
          <cell r="I35" t="str">
            <v>T2碎片</v>
          </cell>
          <cell r="J35">
            <v>2</v>
          </cell>
          <cell r="K35">
            <v>4.3715846994535498E-2</v>
          </cell>
        </row>
        <row r="36">
          <cell r="B36">
            <v>52221</v>
          </cell>
          <cell r="I36" t="str">
            <v>T2碎片</v>
          </cell>
          <cell r="J36">
            <v>2</v>
          </cell>
          <cell r="K36">
            <v>4.3715846994535498E-2</v>
          </cell>
        </row>
        <row r="37">
          <cell r="B37">
            <v>53221</v>
          </cell>
          <cell r="I37" t="str">
            <v>T2碎片</v>
          </cell>
          <cell r="J37">
            <v>2</v>
          </cell>
          <cell r="K37">
            <v>4.3715846994535498E-2</v>
          </cell>
        </row>
        <row r="38">
          <cell r="B38">
            <v>51311</v>
          </cell>
          <cell r="I38" t="str">
            <v>T3碎片</v>
          </cell>
          <cell r="J38">
            <v>2</v>
          </cell>
          <cell r="K38">
            <v>2.6229508196721301E-2</v>
          </cell>
        </row>
        <row r="39">
          <cell r="B39">
            <v>51321</v>
          </cell>
          <cell r="I39" t="str">
            <v>T3碎片</v>
          </cell>
          <cell r="J39">
            <v>2</v>
          </cell>
          <cell r="K39">
            <v>2.6229508196721301E-2</v>
          </cell>
        </row>
        <row r="40">
          <cell r="B40">
            <v>52311</v>
          </cell>
          <cell r="I40" t="str">
            <v>T3碎片</v>
          </cell>
          <cell r="J40">
            <v>2</v>
          </cell>
          <cell r="K40">
            <v>2.6229508196721301E-2</v>
          </cell>
        </row>
        <row r="41">
          <cell r="B41">
            <v>52321</v>
          </cell>
          <cell r="I41" t="str">
            <v>T3碎片</v>
          </cell>
          <cell r="J41">
            <v>2</v>
          </cell>
          <cell r="K41">
            <v>2.6229508196721301E-2</v>
          </cell>
        </row>
        <row r="42">
          <cell r="B42">
            <v>53311</v>
          </cell>
          <cell r="I42" t="str">
            <v>T3碎片</v>
          </cell>
          <cell r="J42">
            <v>2</v>
          </cell>
          <cell r="K42">
            <v>2.6229508196721301E-2</v>
          </cell>
        </row>
        <row r="43">
          <cell r="B43">
            <v>53321</v>
          </cell>
          <cell r="I43" t="str">
            <v>T3碎片</v>
          </cell>
          <cell r="J43">
            <v>2</v>
          </cell>
          <cell r="K43">
            <v>2.6229508196721301E-2</v>
          </cell>
        </row>
        <row r="44">
          <cell r="B44">
            <v>91001</v>
          </cell>
          <cell r="I44" t="str">
            <v>T1部件</v>
          </cell>
          <cell r="J44">
            <v>2</v>
          </cell>
          <cell r="K44">
            <v>0.858142076502732</v>
          </cell>
        </row>
        <row r="45">
          <cell r="B45">
            <v>91003</v>
          </cell>
          <cell r="I45" t="str">
            <v>T1部件</v>
          </cell>
          <cell r="J45">
            <v>2</v>
          </cell>
          <cell r="K45">
            <v>0.858142076502732</v>
          </cell>
        </row>
        <row r="46">
          <cell r="B46">
            <v>91005</v>
          </cell>
          <cell r="I46" t="str">
            <v>T1部件</v>
          </cell>
          <cell r="J46">
            <v>2</v>
          </cell>
          <cell r="K46">
            <v>0.858142076502732</v>
          </cell>
        </row>
        <row r="47">
          <cell r="B47">
            <v>91101</v>
          </cell>
          <cell r="I47" t="str">
            <v>T1部件</v>
          </cell>
          <cell r="J47">
            <v>2</v>
          </cell>
          <cell r="K47">
            <v>0.858142076502732</v>
          </cell>
        </row>
        <row r="48">
          <cell r="B48">
            <v>91103</v>
          </cell>
          <cell r="I48" t="str">
            <v>T1部件</v>
          </cell>
          <cell r="J48">
            <v>2</v>
          </cell>
          <cell r="K48">
            <v>0.858142076502732</v>
          </cell>
        </row>
        <row r="49">
          <cell r="B49">
            <v>91105</v>
          </cell>
          <cell r="I49" t="str">
            <v>T1部件</v>
          </cell>
          <cell r="J49">
            <v>2</v>
          </cell>
          <cell r="K49">
            <v>0.858142076502732</v>
          </cell>
        </row>
        <row r="50">
          <cell r="B50">
            <v>91201</v>
          </cell>
          <cell r="I50" t="str">
            <v>T1部件</v>
          </cell>
          <cell r="J50">
            <v>2</v>
          </cell>
          <cell r="K50">
            <v>0.858142076502732</v>
          </cell>
        </row>
        <row r="51">
          <cell r="B51">
            <v>91203</v>
          </cell>
          <cell r="I51" t="str">
            <v>T1部件</v>
          </cell>
          <cell r="J51">
            <v>2</v>
          </cell>
          <cell r="K51">
            <v>0.858142076502732</v>
          </cell>
        </row>
        <row r="52">
          <cell r="B52">
            <v>91205</v>
          </cell>
          <cell r="I52" t="str">
            <v>T1部件</v>
          </cell>
          <cell r="J52">
            <v>2</v>
          </cell>
          <cell r="K52">
            <v>0.858142076502732</v>
          </cell>
        </row>
        <row r="53">
          <cell r="B53">
            <v>91002</v>
          </cell>
          <cell r="I53" t="str">
            <v>T1部件</v>
          </cell>
          <cell r="J53">
            <v>2</v>
          </cell>
          <cell r="K53">
            <v>0.858142076502732</v>
          </cell>
        </row>
        <row r="54">
          <cell r="B54">
            <v>91004</v>
          </cell>
          <cell r="I54" t="str">
            <v>T1部件</v>
          </cell>
          <cell r="J54">
            <v>2</v>
          </cell>
          <cell r="K54">
            <v>0.858142076502732</v>
          </cell>
        </row>
        <row r="55">
          <cell r="B55">
            <v>91006</v>
          </cell>
          <cell r="I55" t="str">
            <v>T1部件</v>
          </cell>
          <cell r="J55">
            <v>2</v>
          </cell>
          <cell r="K55">
            <v>0.858142076502732</v>
          </cell>
        </row>
        <row r="56">
          <cell r="B56">
            <v>91102</v>
          </cell>
          <cell r="I56" t="str">
            <v>T1部件</v>
          </cell>
          <cell r="J56">
            <v>2</v>
          </cell>
          <cell r="K56">
            <v>0.858142076502732</v>
          </cell>
        </row>
        <row r="57">
          <cell r="B57">
            <v>91104</v>
          </cell>
          <cell r="I57" t="str">
            <v>T1部件</v>
          </cell>
          <cell r="J57">
            <v>2</v>
          </cell>
          <cell r="K57">
            <v>0.858142076502732</v>
          </cell>
        </row>
        <row r="58">
          <cell r="B58">
            <v>91106</v>
          </cell>
          <cell r="I58" t="str">
            <v>T1部件</v>
          </cell>
          <cell r="J58">
            <v>2</v>
          </cell>
          <cell r="K58">
            <v>0.858142076502732</v>
          </cell>
        </row>
        <row r="59">
          <cell r="B59">
            <v>91202</v>
          </cell>
          <cell r="I59" t="str">
            <v>T1部件</v>
          </cell>
          <cell r="J59">
            <v>2</v>
          </cell>
          <cell r="K59">
            <v>0.858142076502732</v>
          </cell>
        </row>
        <row r="60">
          <cell r="B60">
            <v>91204</v>
          </cell>
          <cell r="I60" t="str">
            <v>T1部件</v>
          </cell>
          <cell r="J60">
            <v>2</v>
          </cell>
          <cell r="K60">
            <v>0.858142076502732</v>
          </cell>
        </row>
        <row r="61">
          <cell r="B61">
            <v>91206</v>
          </cell>
          <cell r="I61" t="str">
            <v>T1部件</v>
          </cell>
          <cell r="J61">
            <v>2</v>
          </cell>
          <cell r="K61">
            <v>0.90928961748633896</v>
          </cell>
        </row>
        <row r="62">
          <cell r="B62">
            <v>11211</v>
          </cell>
          <cell r="I62" t="str">
            <v>T2坦克</v>
          </cell>
          <cell r="J62">
            <v>3</v>
          </cell>
          <cell r="K62">
            <v>0.109598031173093</v>
          </cell>
        </row>
        <row r="63">
          <cell r="B63">
            <v>12211</v>
          </cell>
          <cell r="I63" t="str">
            <v>T2坦克</v>
          </cell>
          <cell r="J63">
            <v>3</v>
          </cell>
          <cell r="K63">
            <v>0.109598031173093</v>
          </cell>
        </row>
        <row r="64">
          <cell r="B64">
            <v>13211</v>
          </cell>
          <cell r="I64" t="str">
            <v>T2坦克</v>
          </cell>
          <cell r="J64">
            <v>3</v>
          </cell>
          <cell r="K64">
            <v>0.109598031173093</v>
          </cell>
        </row>
        <row r="65">
          <cell r="B65">
            <v>11221</v>
          </cell>
          <cell r="I65" t="str">
            <v>T2坦克</v>
          </cell>
          <cell r="J65">
            <v>3</v>
          </cell>
          <cell r="K65">
            <v>0.19031993437243599</v>
          </cell>
        </row>
        <row r="66">
          <cell r="B66">
            <v>12221</v>
          </cell>
          <cell r="I66" t="str">
            <v>T2坦克</v>
          </cell>
          <cell r="J66">
            <v>3</v>
          </cell>
          <cell r="K66">
            <v>0.19031993437243599</v>
          </cell>
        </row>
        <row r="67">
          <cell r="B67">
            <v>13221</v>
          </cell>
          <cell r="I67" t="str">
            <v>T2坦克</v>
          </cell>
          <cell r="J67">
            <v>3</v>
          </cell>
          <cell r="K67">
            <v>0.19031993437243599</v>
          </cell>
        </row>
        <row r="68">
          <cell r="B68">
            <v>51211</v>
          </cell>
          <cell r="I68" t="str">
            <v>T2碎片</v>
          </cell>
          <cell r="J68">
            <v>3</v>
          </cell>
          <cell r="K68">
            <v>1.60853158326497</v>
          </cell>
        </row>
        <row r="69">
          <cell r="B69">
            <v>52211</v>
          </cell>
          <cell r="I69" t="str">
            <v>T2碎片</v>
          </cell>
          <cell r="J69">
            <v>3</v>
          </cell>
          <cell r="K69">
            <v>1.60853158326497</v>
          </cell>
        </row>
        <row r="70">
          <cell r="B70">
            <v>53211</v>
          </cell>
          <cell r="I70" t="str">
            <v>T2碎片</v>
          </cell>
          <cell r="J70">
            <v>3</v>
          </cell>
          <cell r="K70">
            <v>1.60853158326497</v>
          </cell>
        </row>
        <row r="71">
          <cell r="B71">
            <v>51221</v>
          </cell>
          <cell r="I71" t="str">
            <v>T2碎片</v>
          </cell>
          <cell r="J71">
            <v>3</v>
          </cell>
          <cell r="K71">
            <v>1.24725184577523</v>
          </cell>
        </row>
        <row r="72">
          <cell r="B72">
            <v>52221</v>
          </cell>
          <cell r="I72" t="str">
            <v>T2碎片</v>
          </cell>
          <cell r="J72">
            <v>3</v>
          </cell>
          <cell r="K72">
            <v>1.24725184577523</v>
          </cell>
        </row>
        <row r="73">
          <cell r="B73">
            <v>53221</v>
          </cell>
          <cell r="I73" t="str">
            <v>T2碎片</v>
          </cell>
          <cell r="J73">
            <v>3</v>
          </cell>
          <cell r="K73">
            <v>1.24725184577523</v>
          </cell>
        </row>
        <row r="74">
          <cell r="B74">
            <v>51311</v>
          </cell>
          <cell r="I74" t="str">
            <v>T3碎片</v>
          </cell>
          <cell r="J74">
            <v>3</v>
          </cell>
          <cell r="K74">
            <v>0.15750615258408501</v>
          </cell>
        </row>
        <row r="75">
          <cell r="B75">
            <v>51321</v>
          </cell>
          <cell r="I75" t="str">
            <v>T3碎片</v>
          </cell>
          <cell r="J75">
            <v>3</v>
          </cell>
          <cell r="K75">
            <v>0.15750615258408501</v>
          </cell>
        </row>
        <row r="76">
          <cell r="B76">
            <v>52311</v>
          </cell>
          <cell r="I76" t="str">
            <v>T3碎片</v>
          </cell>
          <cell r="J76">
            <v>3</v>
          </cell>
          <cell r="K76">
            <v>0.15750615258408501</v>
          </cell>
        </row>
        <row r="77">
          <cell r="B77">
            <v>52321</v>
          </cell>
          <cell r="I77" t="str">
            <v>T3碎片</v>
          </cell>
          <cell r="J77">
            <v>3</v>
          </cell>
          <cell r="K77">
            <v>9.8441345365053307E-2</v>
          </cell>
        </row>
        <row r="78">
          <cell r="B78">
            <v>53311</v>
          </cell>
          <cell r="I78" t="str">
            <v>T3碎片</v>
          </cell>
          <cell r="J78">
            <v>3</v>
          </cell>
          <cell r="K78">
            <v>9.8441345365053307E-2</v>
          </cell>
        </row>
        <row r="79">
          <cell r="B79">
            <v>53321</v>
          </cell>
          <cell r="I79" t="str">
            <v>T3碎片</v>
          </cell>
          <cell r="J79">
            <v>3</v>
          </cell>
          <cell r="K79">
            <v>9.8441345365053307E-2</v>
          </cell>
        </row>
        <row r="80">
          <cell r="B80">
            <v>91001</v>
          </cell>
          <cell r="I80" t="str">
            <v>T1部件</v>
          </cell>
          <cell r="J80">
            <v>3</v>
          </cell>
          <cell r="K80">
            <v>0.66152584085315802</v>
          </cell>
        </row>
        <row r="81">
          <cell r="B81">
            <v>91003</v>
          </cell>
          <cell r="I81" t="str">
            <v>T1部件</v>
          </cell>
          <cell r="J81">
            <v>3</v>
          </cell>
          <cell r="K81">
            <v>0.66152584085315802</v>
          </cell>
        </row>
        <row r="82">
          <cell r="B82">
            <v>91005</v>
          </cell>
          <cell r="I82" t="str">
            <v>T1部件</v>
          </cell>
          <cell r="J82">
            <v>3</v>
          </cell>
          <cell r="K82">
            <v>0.66152584085315802</v>
          </cell>
        </row>
        <row r="83">
          <cell r="B83">
            <v>91101</v>
          </cell>
          <cell r="I83" t="str">
            <v>T1部件</v>
          </cell>
          <cell r="J83">
            <v>3</v>
          </cell>
          <cell r="K83">
            <v>0.66152584085315802</v>
          </cell>
        </row>
        <row r="84">
          <cell r="B84">
            <v>91103</v>
          </cell>
          <cell r="I84" t="str">
            <v>T1部件</v>
          </cell>
          <cell r="J84">
            <v>3</v>
          </cell>
          <cell r="K84">
            <v>0.66152584085315802</v>
          </cell>
        </row>
        <row r="85">
          <cell r="B85">
            <v>91105</v>
          </cell>
          <cell r="I85" t="str">
            <v>T1部件</v>
          </cell>
          <cell r="J85">
            <v>3</v>
          </cell>
          <cell r="K85">
            <v>0.66152584085315802</v>
          </cell>
        </row>
        <row r="86">
          <cell r="B86">
            <v>91201</v>
          </cell>
          <cell r="I86" t="str">
            <v>T1部件</v>
          </cell>
          <cell r="J86">
            <v>3</v>
          </cell>
          <cell r="K86">
            <v>0.66152584085315802</v>
          </cell>
        </row>
        <row r="87">
          <cell r="B87">
            <v>91203</v>
          </cell>
          <cell r="I87" t="str">
            <v>T1部件</v>
          </cell>
          <cell r="J87">
            <v>3</v>
          </cell>
          <cell r="K87">
            <v>0.66152584085315802</v>
          </cell>
        </row>
        <row r="88">
          <cell r="B88">
            <v>91205</v>
          </cell>
          <cell r="I88" t="str">
            <v>T1部件</v>
          </cell>
          <cell r="J88">
            <v>3</v>
          </cell>
          <cell r="K88">
            <v>0.66152584085315802</v>
          </cell>
        </row>
        <row r="89">
          <cell r="B89">
            <v>91002</v>
          </cell>
          <cell r="I89" t="str">
            <v>T1部件</v>
          </cell>
          <cell r="J89">
            <v>3</v>
          </cell>
          <cell r="K89">
            <v>0.66152584085315802</v>
          </cell>
        </row>
        <row r="90">
          <cell r="B90">
            <v>91004</v>
          </cell>
          <cell r="I90" t="str">
            <v>T1部件</v>
          </cell>
          <cell r="J90">
            <v>3</v>
          </cell>
          <cell r="K90">
            <v>0.66152584085315802</v>
          </cell>
        </row>
        <row r="91">
          <cell r="B91">
            <v>91006</v>
          </cell>
          <cell r="I91" t="str">
            <v>T1部件</v>
          </cell>
          <cell r="J91">
            <v>3</v>
          </cell>
          <cell r="K91">
            <v>0.66152584085315802</v>
          </cell>
        </row>
        <row r="92">
          <cell r="B92">
            <v>91102</v>
          </cell>
          <cell r="I92" t="str">
            <v>T1部件</v>
          </cell>
          <cell r="J92">
            <v>3</v>
          </cell>
          <cell r="K92">
            <v>0.66152584085315802</v>
          </cell>
        </row>
        <row r="93">
          <cell r="B93">
            <v>91104</v>
          </cell>
          <cell r="I93" t="str">
            <v>T1部件</v>
          </cell>
          <cell r="J93">
            <v>3</v>
          </cell>
          <cell r="K93">
            <v>0.66152584085315802</v>
          </cell>
        </row>
        <row r="94">
          <cell r="B94">
            <v>91106</v>
          </cell>
          <cell r="I94" t="str">
            <v>T1部件</v>
          </cell>
          <cell r="J94">
            <v>3</v>
          </cell>
          <cell r="K94">
            <v>0.66152584085315802</v>
          </cell>
        </row>
        <row r="95">
          <cell r="B95">
            <v>91202</v>
          </cell>
          <cell r="I95" t="str">
            <v>T1部件</v>
          </cell>
          <cell r="J95">
            <v>3</v>
          </cell>
          <cell r="K95">
            <v>0.66152584085315802</v>
          </cell>
        </row>
        <row r="96">
          <cell r="B96">
            <v>91204</v>
          </cell>
          <cell r="I96" t="str">
            <v>T1部件</v>
          </cell>
          <cell r="J96">
            <v>3</v>
          </cell>
          <cell r="K96">
            <v>0.66152584085315802</v>
          </cell>
        </row>
        <row r="97">
          <cell r="B97">
            <v>91206</v>
          </cell>
          <cell r="I97" t="str">
            <v>T1部件</v>
          </cell>
          <cell r="J97">
            <v>3</v>
          </cell>
          <cell r="K97">
            <v>0.66152584085315802</v>
          </cell>
        </row>
        <row r="98">
          <cell r="B98">
            <v>92001</v>
          </cell>
          <cell r="I98" t="str">
            <v>T2部件</v>
          </cell>
          <cell r="J98">
            <v>3</v>
          </cell>
          <cell r="K98">
            <v>0.341263330598851</v>
          </cell>
        </row>
        <row r="99">
          <cell r="B99">
            <v>92003</v>
          </cell>
          <cell r="I99" t="str">
            <v>T2部件</v>
          </cell>
          <cell r="J99">
            <v>3</v>
          </cell>
          <cell r="K99">
            <v>0.341263330598851</v>
          </cell>
        </row>
        <row r="100">
          <cell r="B100">
            <v>92005</v>
          </cell>
          <cell r="I100" t="str">
            <v>T2部件</v>
          </cell>
          <cell r="J100">
            <v>3</v>
          </cell>
          <cell r="K100">
            <v>0.341263330598851</v>
          </cell>
        </row>
        <row r="101">
          <cell r="B101">
            <v>92101</v>
          </cell>
          <cell r="I101" t="str">
            <v>T2部件</v>
          </cell>
          <cell r="J101">
            <v>3</v>
          </cell>
          <cell r="K101">
            <v>0.341263330598851</v>
          </cell>
        </row>
        <row r="102">
          <cell r="B102">
            <v>92103</v>
          </cell>
          <cell r="I102" t="str">
            <v>T2部件</v>
          </cell>
          <cell r="J102">
            <v>3</v>
          </cell>
          <cell r="K102">
            <v>0.341263330598851</v>
          </cell>
        </row>
        <row r="103">
          <cell r="B103">
            <v>92105</v>
          </cell>
          <cell r="I103" t="str">
            <v>T2部件</v>
          </cell>
          <cell r="J103">
            <v>3</v>
          </cell>
          <cell r="K103">
            <v>0.341263330598851</v>
          </cell>
        </row>
        <row r="104">
          <cell r="B104">
            <v>92201</v>
          </cell>
          <cell r="I104" t="str">
            <v>T2部件</v>
          </cell>
          <cell r="J104">
            <v>3</v>
          </cell>
          <cell r="K104">
            <v>0.341263330598851</v>
          </cell>
        </row>
        <row r="105">
          <cell r="B105">
            <v>92203</v>
          </cell>
          <cell r="I105" t="str">
            <v>T2部件</v>
          </cell>
          <cell r="J105">
            <v>3</v>
          </cell>
          <cell r="K105">
            <v>0.341263330598851</v>
          </cell>
        </row>
        <row r="106">
          <cell r="B106">
            <v>92205</v>
          </cell>
          <cell r="I106" t="str">
            <v>T2部件</v>
          </cell>
          <cell r="J106">
            <v>3</v>
          </cell>
          <cell r="K106">
            <v>0.3701394585726</v>
          </cell>
        </row>
        <row r="107">
          <cell r="B107">
            <v>11211</v>
          </cell>
          <cell r="I107" t="str">
            <v>T2坦克</v>
          </cell>
          <cell r="J107">
            <v>4</v>
          </cell>
          <cell r="K107">
            <v>7.3427625639482394E-2</v>
          </cell>
        </row>
        <row r="108">
          <cell r="B108">
            <v>12211</v>
          </cell>
          <cell r="I108" t="str">
            <v>T2坦克</v>
          </cell>
          <cell r="J108">
            <v>4</v>
          </cell>
          <cell r="K108">
            <v>7.3427625639482394E-2</v>
          </cell>
        </row>
        <row r="109">
          <cell r="B109">
            <v>13211</v>
          </cell>
          <cell r="I109" t="str">
            <v>T2坦克</v>
          </cell>
          <cell r="J109">
            <v>4</v>
          </cell>
          <cell r="K109">
            <v>7.3427625639482394E-2</v>
          </cell>
        </row>
        <row r="110">
          <cell r="B110">
            <v>11221</v>
          </cell>
          <cell r="I110" t="str">
            <v>T2坦克</v>
          </cell>
          <cell r="J110">
            <v>4</v>
          </cell>
          <cell r="K110">
            <v>0.20162503761661099</v>
          </cell>
        </row>
        <row r="111">
          <cell r="B111">
            <v>12221</v>
          </cell>
          <cell r="I111" t="str">
            <v>T2坦克</v>
          </cell>
          <cell r="J111">
            <v>4</v>
          </cell>
          <cell r="K111">
            <v>0.20162503761661099</v>
          </cell>
        </row>
        <row r="112">
          <cell r="B112">
            <v>13221</v>
          </cell>
          <cell r="I112" t="str">
            <v>T2坦克</v>
          </cell>
          <cell r="J112">
            <v>4</v>
          </cell>
          <cell r="K112">
            <v>0.20162503761661099</v>
          </cell>
        </row>
        <row r="113">
          <cell r="B113">
            <v>51211</v>
          </cell>
          <cell r="I113" t="str">
            <v>T2碎片</v>
          </cell>
          <cell r="J113">
            <v>4</v>
          </cell>
          <cell r="K113">
            <v>3.15738790249774</v>
          </cell>
        </row>
        <row r="114">
          <cell r="B114">
            <v>52211</v>
          </cell>
          <cell r="I114" t="str">
            <v>T2碎片</v>
          </cell>
          <cell r="J114">
            <v>4</v>
          </cell>
          <cell r="K114">
            <v>3.15738790249774</v>
          </cell>
        </row>
        <row r="115">
          <cell r="B115">
            <v>53211</v>
          </cell>
          <cell r="I115" t="str">
            <v>T2碎片</v>
          </cell>
          <cell r="J115">
            <v>4</v>
          </cell>
          <cell r="K115">
            <v>3.15738790249774</v>
          </cell>
        </row>
        <row r="116">
          <cell r="B116">
            <v>51221</v>
          </cell>
          <cell r="I116" t="str">
            <v>T2碎片</v>
          </cell>
          <cell r="J116">
            <v>4</v>
          </cell>
          <cell r="K116">
            <v>0.80650015046644596</v>
          </cell>
        </row>
        <row r="117">
          <cell r="B117">
            <v>52221</v>
          </cell>
          <cell r="I117" t="str">
            <v>T2碎片</v>
          </cell>
          <cell r="J117">
            <v>4</v>
          </cell>
          <cell r="K117">
            <v>0.80650015046644596</v>
          </cell>
        </row>
        <row r="118">
          <cell r="B118">
            <v>53221</v>
          </cell>
          <cell r="I118" t="str">
            <v>T2碎片</v>
          </cell>
          <cell r="J118">
            <v>4</v>
          </cell>
          <cell r="K118">
            <v>0.80650015046644596</v>
          </cell>
        </row>
        <row r="119">
          <cell r="B119">
            <v>51311</v>
          </cell>
          <cell r="I119" t="str">
            <v>T3碎片</v>
          </cell>
          <cell r="J119">
            <v>4</v>
          </cell>
          <cell r="K119">
            <v>0.21667168221486599</v>
          </cell>
        </row>
        <row r="120">
          <cell r="B120">
            <v>51321</v>
          </cell>
          <cell r="I120" t="str">
            <v>T3碎片</v>
          </cell>
          <cell r="J120">
            <v>4</v>
          </cell>
          <cell r="K120">
            <v>0.21667168221486599</v>
          </cell>
        </row>
        <row r="121">
          <cell r="B121">
            <v>52311</v>
          </cell>
          <cell r="I121" t="str">
            <v>T3碎片</v>
          </cell>
          <cell r="J121">
            <v>4</v>
          </cell>
          <cell r="K121">
            <v>0.21667168221486599</v>
          </cell>
        </row>
        <row r="122">
          <cell r="B122">
            <v>52321</v>
          </cell>
          <cell r="I122" t="str">
            <v>T3碎片</v>
          </cell>
          <cell r="J122">
            <v>4</v>
          </cell>
          <cell r="K122">
            <v>0.16250376166114999</v>
          </cell>
        </row>
        <row r="123">
          <cell r="B123">
            <v>53311</v>
          </cell>
          <cell r="I123" t="str">
            <v>T3碎片</v>
          </cell>
          <cell r="J123">
            <v>4</v>
          </cell>
          <cell r="K123">
            <v>0.16250376166114999</v>
          </cell>
        </row>
        <row r="124">
          <cell r="B124">
            <v>53321</v>
          </cell>
          <cell r="I124" t="str">
            <v>T3碎片</v>
          </cell>
          <cell r="J124">
            <v>4</v>
          </cell>
          <cell r="K124">
            <v>0.16250376166114999</v>
          </cell>
        </row>
        <row r="125">
          <cell r="B125">
            <v>92001</v>
          </cell>
          <cell r="I125" t="str">
            <v>T2部件</v>
          </cell>
          <cell r="J125">
            <v>4</v>
          </cell>
          <cell r="K125">
            <v>0.48450195606379798</v>
          </cell>
        </row>
        <row r="126">
          <cell r="B126">
            <v>92003</v>
          </cell>
          <cell r="I126" t="str">
            <v>T2部件</v>
          </cell>
          <cell r="J126">
            <v>4</v>
          </cell>
          <cell r="K126">
            <v>0.48450195606379798</v>
          </cell>
        </row>
        <row r="127">
          <cell r="B127">
            <v>92005</v>
          </cell>
          <cell r="I127" t="str">
            <v>T2部件</v>
          </cell>
          <cell r="J127">
            <v>4</v>
          </cell>
          <cell r="K127">
            <v>0.48450195606379798</v>
          </cell>
        </row>
        <row r="128">
          <cell r="B128">
            <v>92101</v>
          </cell>
          <cell r="I128" t="str">
            <v>T2部件</v>
          </cell>
          <cell r="J128">
            <v>4</v>
          </cell>
          <cell r="K128">
            <v>0.48450195606379798</v>
          </cell>
        </row>
        <row r="129">
          <cell r="B129">
            <v>92103</v>
          </cell>
          <cell r="I129" t="str">
            <v>T2部件</v>
          </cell>
          <cell r="J129">
            <v>4</v>
          </cell>
          <cell r="K129">
            <v>0.48450195606379798</v>
          </cell>
        </row>
        <row r="130">
          <cell r="B130">
            <v>92105</v>
          </cell>
          <cell r="I130" t="str">
            <v>T2部件</v>
          </cell>
          <cell r="J130">
            <v>4</v>
          </cell>
          <cell r="K130">
            <v>0.48450195606379798</v>
          </cell>
        </row>
        <row r="131">
          <cell r="B131">
            <v>92201</v>
          </cell>
          <cell r="I131" t="str">
            <v>T2部件</v>
          </cell>
          <cell r="J131">
            <v>4</v>
          </cell>
          <cell r="K131">
            <v>0.48450195606379798</v>
          </cell>
        </row>
        <row r="132">
          <cell r="B132">
            <v>92203</v>
          </cell>
          <cell r="I132" t="str">
            <v>T2部件</v>
          </cell>
          <cell r="J132">
            <v>4</v>
          </cell>
          <cell r="K132">
            <v>0.48450195606379798</v>
          </cell>
        </row>
        <row r="133">
          <cell r="B133">
            <v>92205</v>
          </cell>
          <cell r="I133" t="str">
            <v>T2部件</v>
          </cell>
          <cell r="J133">
            <v>4</v>
          </cell>
          <cell r="K133">
            <v>0.48450195606379798</v>
          </cell>
        </row>
        <row r="134">
          <cell r="B134">
            <v>92002</v>
          </cell>
          <cell r="I134" t="str">
            <v>T2部件</v>
          </cell>
          <cell r="J134">
            <v>4</v>
          </cell>
          <cell r="K134">
            <v>0.48450195606379798</v>
          </cell>
        </row>
        <row r="135">
          <cell r="B135">
            <v>92004</v>
          </cell>
          <cell r="I135" t="str">
            <v>T2部件</v>
          </cell>
          <cell r="J135">
            <v>4</v>
          </cell>
          <cell r="K135">
            <v>0.48450195606379798</v>
          </cell>
        </row>
        <row r="136">
          <cell r="B136">
            <v>92006</v>
          </cell>
          <cell r="I136" t="str">
            <v>T2部件</v>
          </cell>
          <cell r="J136">
            <v>4</v>
          </cell>
          <cell r="K136">
            <v>0.48450195606379798</v>
          </cell>
        </row>
        <row r="137">
          <cell r="B137">
            <v>92102</v>
          </cell>
          <cell r="I137" t="str">
            <v>T2部件</v>
          </cell>
          <cell r="J137">
            <v>4</v>
          </cell>
          <cell r="K137">
            <v>0.48450195606379798</v>
          </cell>
        </row>
        <row r="138">
          <cell r="B138">
            <v>92104</v>
          </cell>
          <cell r="I138" t="str">
            <v>T2部件</v>
          </cell>
          <cell r="J138">
            <v>4</v>
          </cell>
          <cell r="K138">
            <v>0.48450195606379798</v>
          </cell>
        </row>
        <row r="139">
          <cell r="B139">
            <v>92106</v>
          </cell>
          <cell r="I139" t="str">
            <v>T2部件</v>
          </cell>
          <cell r="J139">
            <v>4</v>
          </cell>
          <cell r="K139">
            <v>0.48450195606379798</v>
          </cell>
        </row>
        <row r="140">
          <cell r="B140">
            <v>92202</v>
          </cell>
          <cell r="I140" t="str">
            <v>T2部件</v>
          </cell>
          <cell r="J140">
            <v>4</v>
          </cell>
          <cell r="K140">
            <v>0.48450195606379798</v>
          </cell>
        </row>
        <row r="141">
          <cell r="B141">
            <v>92204</v>
          </cell>
          <cell r="I141" t="str">
            <v>T2部件</v>
          </cell>
          <cell r="J141">
            <v>4</v>
          </cell>
          <cell r="K141">
            <v>0.48450195606379798</v>
          </cell>
        </row>
        <row r="142">
          <cell r="B142">
            <v>92206</v>
          </cell>
          <cell r="I142" t="str">
            <v>T2部件</v>
          </cell>
          <cell r="J142">
            <v>4</v>
          </cell>
          <cell r="K142">
            <v>0.51459524526030698</v>
          </cell>
        </row>
        <row r="143">
          <cell r="B143">
            <v>11221</v>
          </cell>
          <cell r="I143" t="str">
            <v>T2坦克</v>
          </cell>
          <cell r="J143">
            <v>5</v>
          </cell>
          <cell r="K143">
            <v>0.14240305149396101</v>
          </cell>
        </row>
        <row r="144">
          <cell r="B144">
            <v>12221</v>
          </cell>
          <cell r="I144" t="str">
            <v>T2坦克</v>
          </cell>
          <cell r="J144">
            <v>5</v>
          </cell>
          <cell r="K144">
            <v>0.14240305149396101</v>
          </cell>
        </row>
        <row r="145">
          <cell r="B145">
            <v>13221</v>
          </cell>
          <cell r="I145" t="str">
            <v>T2坦克</v>
          </cell>
          <cell r="J145">
            <v>5</v>
          </cell>
          <cell r="K145">
            <v>0.14240305149396101</v>
          </cell>
        </row>
        <row r="146">
          <cell r="B146">
            <v>11311</v>
          </cell>
          <cell r="I146" t="str">
            <v>T3坦克</v>
          </cell>
          <cell r="J146">
            <v>5</v>
          </cell>
          <cell r="K146">
            <v>4.7806738715829598E-2</v>
          </cell>
        </row>
        <row r="147">
          <cell r="B147">
            <v>12311</v>
          </cell>
          <cell r="I147" t="str">
            <v>T3坦克</v>
          </cell>
          <cell r="J147">
            <v>5</v>
          </cell>
          <cell r="K147">
            <v>4.7806738715829598E-2</v>
          </cell>
        </row>
        <row r="148">
          <cell r="B148">
            <v>13311</v>
          </cell>
          <cell r="I148" t="str">
            <v>T3坦克</v>
          </cell>
          <cell r="J148">
            <v>5</v>
          </cell>
          <cell r="K148">
            <v>4.7806738715829598E-2</v>
          </cell>
        </row>
        <row r="149">
          <cell r="B149">
            <v>11321</v>
          </cell>
          <cell r="I149" t="str">
            <v>T3坦克</v>
          </cell>
          <cell r="J149">
            <v>5</v>
          </cell>
          <cell r="K149">
            <v>3.7635092180546698E-2</v>
          </cell>
        </row>
        <row r="150">
          <cell r="B150">
            <v>12321</v>
          </cell>
          <cell r="I150" t="str">
            <v>T3坦克</v>
          </cell>
          <cell r="J150">
            <v>5</v>
          </cell>
          <cell r="K150">
            <v>3.7635092180546698E-2</v>
          </cell>
        </row>
        <row r="151">
          <cell r="B151">
            <v>13321</v>
          </cell>
          <cell r="I151" t="str">
            <v>T3坦克</v>
          </cell>
          <cell r="J151">
            <v>5</v>
          </cell>
          <cell r="K151">
            <v>3.7635092180546698E-2</v>
          </cell>
        </row>
        <row r="152">
          <cell r="B152">
            <v>51221</v>
          </cell>
          <cell r="I152" t="str">
            <v>T2碎片</v>
          </cell>
          <cell r="J152">
            <v>5</v>
          </cell>
          <cell r="K152">
            <v>1.0489510489510501</v>
          </cell>
        </row>
        <row r="153">
          <cell r="B153">
            <v>52221</v>
          </cell>
          <cell r="I153" t="str">
            <v>T2碎片</v>
          </cell>
          <cell r="J153">
            <v>5</v>
          </cell>
          <cell r="K153">
            <v>1.0489510489510501</v>
          </cell>
        </row>
        <row r="154">
          <cell r="B154">
            <v>53221</v>
          </cell>
          <cell r="I154" t="str">
            <v>T2碎片</v>
          </cell>
          <cell r="J154">
            <v>5</v>
          </cell>
          <cell r="K154">
            <v>1.0489510489510501</v>
          </cell>
        </row>
        <row r="155">
          <cell r="B155">
            <v>51311</v>
          </cell>
          <cell r="I155" t="str">
            <v>T3碎片</v>
          </cell>
          <cell r="J155">
            <v>5</v>
          </cell>
          <cell r="K155">
            <v>0.713286713286713</v>
          </cell>
        </row>
        <row r="156">
          <cell r="B156">
            <v>52311</v>
          </cell>
          <cell r="I156" t="str">
            <v>T3碎片</v>
          </cell>
          <cell r="J156">
            <v>5</v>
          </cell>
          <cell r="K156">
            <v>0.713286713286713</v>
          </cell>
        </row>
        <row r="157">
          <cell r="B157">
            <v>53311</v>
          </cell>
          <cell r="I157" t="str">
            <v>T3碎片</v>
          </cell>
          <cell r="J157">
            <v>5</v>
          </cell>
          <cell r="K157">
            <v>0.713286713286713</v>
          </cell>
        </row>
        <row r="158">
          <cell r="B158">
            <v>51321</v>
          </cell>
          <cell r="I158" t="str">
            <v>T3碎片</v>
          </cell>
          <cell r="J158">
            <v>5</v>
          </cell>
          <cell r="K158">
            <v>0.72091544818817499</v>
          </cell>
        </row>
        <row r="159">
          <cell r="B159">
            <v>52321</v>
          </cell>
          <cell r="I159" t="str">
            <v>T3碎片</v>
          </cell>
          <cell r="J159">
            <v>5</v>
          </cell>
          <cell r="K159">
            <v>0.72091544818817499</v>
          </cell>
        </row>
        <row r="160">
          <cell r="B160">
            <v>53321</v>
          </cell>
          <cell r="I160" t="str">
            <v>T3碎片</v>
          </cell>
          <cell r="J160">
            <v>5</v>
          </cell>
          <cell r="K160">
            <v>0.72091544818817499</v>
          </cell>
        </row>
        <row r="161">
          <cell r="B161">
            <v>92001</v>
          </cell>
          <cell r="I161" t="str">
            <v>T2部件</v>
          </cell>
          <cell r="J161">
            <v>5</v>
          </cell>
          <cell r="K161">
            <v>0.48620470438652302</v>
          </cell>
        </row>
        <row r="162">
          <cell r="B162">
            <v>92003</v>
          </cell>
          <cell r="I162" t="str">
            <v>T2部件</v>
          </cell>
          <cell r="J162">
            <v>5</v>
          </cell>
          <cell r="K162">
            <v>0.48620470438652302</v>
          </cell>
        </row>
        <row r="163">
          <cell r="B163">
            <v>92005</v>
          </cell>
          <cell r="I163" t="str">
            <v>T2部件</v>
          </cell>
          <cell r="J163">
            <v>5</v>
          </cell>
          <cell r="K163">
            <v>0.48620470438652302</v>
          </cell>
        </row>
        <row r="164">
          <cell r="B164">
            <v>92101</v>
          </cell>
          <cell r="I164" t="str">
            <v>T2部件</v>
          </cell>
          <cell r="J164">
            <v>5</v>
          </cell>
          <cell r="K164">
            <v>0.48620470438652302</v>
          </cell>
        </row>
        <row r="165">
          <cell r="B165">
            <v>92103</v>
          </cell>
          <cell r="I165" t="str">
            <v>T2部件</v>
          </cell>
          <cell r="J165">
            <v>5</v>
          </cell>
          <cell r="K165">
            <v>0.48620470438652302</v>
          </cell>
        </row>
        <row r="166">
          <cell r="B166">
            <v>92105</v>
          </cell>
          <cell r="I166" t="str">
            <v>T2部件</v>
          </cell>
          <cell r="J166">
            <v>5</v>
          </cell>
          <cell r="K166">
            <v>0.48620470438652302</v>
          </cell>
        </row>
        <row r="167">
          <cell r="B167">
            <v>92201</v>
          </cell>
          <cell r="I167" t="str">
            <v>T2部件</v>
          </cell>
          <cell r="J167">
            <v>5</v>
          </cell>
          <cell r="K167">
            <v>0.48620470438652302</v>
          </cell>
        </row>
        <row r="168">
          <cell r="B168">
            <v>92203</v>
          </cell>
          <cell r="I168" t="str">
            <v>T2部件</v>
          </cell>
          <cell r="J168">
            <v>5</v>
          </cell>
          <cell r="K168">
            <v>0.48620470438652302</v>
          </cell>
        </row>
        <row r="169">
          <cell r="B169">
            <v>92205</v>
          </cell>
          <cell r="I169" t="str">
            <v>T2部件</v>
          </cell>
          <cell r="J169">
            <v>5</v>
          </cell>
          <cell r="K169">
            <v>0.48620470438652302</v>
          </cell>
        </row>
        <row r="170">
          <cell r="B170">
            <v>92002</v>
          </cell>
          <cell r="I170" t="str">
            <v>T2部件</v>
          </cell>
          <cell r="J170">
            <v>5</v>
          </cell>
          <cell r="K170">
            <v>0.48620470438652302</v>
          </cell>
        </row>
        <row r="171">
          <cell r="B171">
            <v>92004</v>
          </cell>
          <cell r="I171" t="str">
            <v>T2部件</v>
          </cell>
          <cell r="J171">
            <v>5</v>
          </cell>
          <cell r="K171">
            <v>0.48620470438652302</v>
          </cell>
        </row>
        <row r="172">
          <cell r="B172">
            <v>92006</v>
          </cell>
          <cell r="I172" t="str">
            <v>T2部件</v>
          </cell>
          <cell r="J172">
            <v>5</v>
          </cell>
          <cell r="K172">
            <v>0.48620470438652302</v>
          </cell>
        </row>
        <row r="173">
          <cell r="B173">
            <v>92102</v>
          </cell>
          <cell r="I173" t="str">
            <v>T2部件</v>
          </cell>
          <cell r="J173">
            <v>5</v>
          </cell>
          <cell r="K173">
            <v>0.48620470438652302</v>
          </cell>
        </row>
        <row r="174">
          <cell r="B174">
            <v>92104</v>
          </cell>
          <cell r="I174" t="str">
            <v>T2部件</v>
          </cell>
          <cell r="J174">
            <v>5</v>
          </cell>
          <cell r="K174">
            <v>0.48620470438652302</v>
          </cell>
        </row>
        <row r="175">
          <cell r="B175">
            <v>92106</v>
          </cell>
          <cell r="I175" t="str">
            <v>T2部件</v>
          </cell>
          <cell r="J175">
            <v>5</v>
          </cell>
          <cell r="K175">
            <v>0.48620470438652302</v>
          </cell>
        </row>
        <row r="176">
          <cell r="B176">
            <v>92202</v>
          </cell>
          <cell r="I176" t="str">
            <v>T2部件</v>
          </cell>
          <cell r="J176">
            <v>5</v>
          </cell>
          <cell r="K176">
            <v>0.48620470438652302</v>
          </cell>
        </row>
        <row r="177">
          <cell r="B177">
            <v>92204</v>
          </cell>
          <cell r="I177" t="str">
            <v>T2部件</v>
          </cell>
          <cell r="J177">
            <v>5</v>
          </cell>
          <cell r="K177">
            <v>0.48620470438652302</v>
          </cell>
        </row>
        <row r="178">
          <cell r="B178">
            <v>92206</v>
          </cell>
          <cell r="I178" t="str">
            <v>T2部件</v>
          </cell>
          <cell r="J178">
            <v>5</v>
          </cell>
          <cell r="K178">
            <v>0.51468531468531498</v>
          </cell>
        </row>
        <row r="179">
          <cell r="B179">
            <v>11311</v>
          </cell>
          <cell r="I179" t="str">
            <v>T3坦克</v>
          </cell>
          <cell r="J179">
            <v>6</v>
          </cell>
          <cell r="K179">
            <v>5.9779338014042102E-2</v>
          </cell>
        </row>
        <row r="180">
          <cell r="B180">
            <v>12311</v>
          </cell>
          <cell r="I180" t="str">
            <v>T3坦克</v>
          </cell>
          <cell r="J180">
            <v>6</v>
          </cell>
          <cell r="K180">
            <v>5.9779338014042102E-2</v>
          </cell>
        </row>
        <row r="181">
          <cell r="B181">
            <v>13311</v>
          </cell>
          <cell r="I181" t="str">
            <v>T3坦克</v>
          </cell>
          <cell r="J181">
            <v>6</v>
          </cell>
          <cell r="K181">
            <v>5.9779338014042102E-2</v>
          </cell>
        </row>
        <row r="182">
          <cell r="B182">
            <v>11321</v>
          </cell>
          <cell r="I182" t="str">
            <v>T3坦克</v>
          </cell>
          <cell r="J182">
            <v>6</v>
          </cell>
          <cell r="K182">
            <v>4.6138415245737197E-2</v>
          </cell>
        </row>
        <row r="183">
          <cell r="B183">
            <v>12321</v>
          </cell>
          <cell r="I183" t="str">
            <v>T3坦克</v>
          </cell>
          <cell r="J183">
            <v>6</v>
          </cell>
          <cell r="K183">
            <v>4.6138415245737197E-2</v>
          </cell>
        </row>
        <row r="184">
          <cell r="B184">
            <v>13321</v>
          </cell>
          <cell r="I184" t="str">
            <v>T3坦克</v>
          </cell>
          <cell r="J184">
            <v>6</v>
          </cell>
          <cell r="K184">
            <v>4.6138415245737197E-2</v>
          </cell>
        </row>
        <row r="185">
          <cell r="B185">
            <v>51311</v>
          </cell>
          <cell r="I185" t="str">
            <v>T3碎片</v>
          </cell>
          <cell r="J185">
            <v>6</v>
          </cell>
          <cell r="K185">
            <v>1.57131394182548</v>
          </cell>
        </row>
        <row r="186">
          <cell r="B186">
            <v>52311</v>
          </cell>
          <cell r="I186" t="str">
            <v>T3碎片</v>
          </cell>
          <cell r="J186">
            <v>6</v>
          </cell>
          <cell r="K186">
            <v>1.57131394182548</v>
          </cell>
        </row>
        <row r="187">
          <cell r="B187">
            <v>53311</v>
          </cell>
          <cell r="I187" t="str">
            <v>T3碎片</v>
          </cell>
          <cell r="J187">
            <v>6</v>
          </cell>
          <cell r="K187">
            <v>1.57131394182548</v>
          </cell>
        </row>
        <row r="188">
          <cell r="B188">
            <v>51321</v>
          </cell>
          <cell r="I188" t="str">
            <v>T3碎片</v>
          </cell>
          <cell r="J188">
            <v>6</v>
          </cell>
          <cell r="K188">
            <v>0.84252758274824502</v>
          </cell>
        </row>
        <row r="189">
          <cell r="B189">
            <v>52321</v>
          </cell>
          <cell r="I189" t="str">
            <v>T3碎片</v>
          </cell>
          <cell r="J189">
            <v>6</v>
          </cell>
          <cell r="K189">
            <v>0.84252758274824502</v>
          </cell>
        </row>
        <row r="190">
          <cell r="B190">
            <v>53321</v>
          </cell>
          <cell r="I190" t="str">
            <v>T3碎片</v>
          </cell>
          <cell r="J190">
            <v>6</v>
          </cell>
          <cell r="K190">
            <v>0.84252758274824502</v>
          </cell>
        </row>
        <row r="191">
          <cell r="B191">
            <v>92001</v>
          </cell>
          <cell r="I191" t="str">
            <v>T2部件</v>
          </cell>
          <cell r="J191">
            <v>6</v>
          </cell>
          <cell r="K191">
            <v>0.44132397191574702</v>
          </cell>
        </row>
        <row r="192">
          <cell r="B192">
            <v>92003</v>
          </cell>
          <cell r="I192" t="str">
            <v>T2部件</v>
          </cell>
          <cell r="J192">
            <v>6</v>
          </cell>
          <cell r="K192">
            <v>0.44132397191574702</v>
          </cell>
        </row>
        <row r="193">
          <cell r="B193">
            <v>92005</v>
          </cell>
          <cell r="I193" t="str">
            <v>T2部件</v>
          </cell>
          <cell r="J193">
            <v>6</v>
          </cell>
          <cell r="K193">
            <v>0.44132397191574702</v>
          </cell>
        </row>
        <row r="194">
          <cell r="B194">
            <v>92101</v>
          </cell>
          <cell r="I194" t="str">
            <v>T2部件</v>
          </cell>
          <cell r="J194">
            <v>6</v>
          </cell>
          <cell r="K194">
            <v>0.44132397191574702</v>
          </cell>
        </row>
        <row r="195">
          <cell r="B195">
            <v>92103</v>
          </cell>
          <cell r="I195" t="str">
            <v>T2部件</v>
          </cell>
          <cell r="J195">
            <v>6</v>
          </cell>
          <cell r="K195">
            <v>0.44132397191574702</v>
          </cell>
        </row>
        <row r="196">
          <cell r="B196">
            <v>92105</v>
          </cell>
          <cell r="I196" t="str">
            <v>T2部件</v>
          </cell>
          <cell r="J196">
            <v>6</v>
          </cell>
          <cell r="K196">
            <v>0.44132397191574702</v>
          </cell>
        </row>
        <row r="197">
          <cell r="B197">
            <v>92201</v>
          </cell>
          <cell r="I197" t="str">
            <v>T2部件</v>
          </cell>
          <cell r="J197">
            <v>6</v>
          </cell>
          <cell r="K197">
            <v>0.44132397191574702</v>
          </cell>
        </row>
        <row r="198">
          <cell r="B198">
            <v>92203</v>
          </cell>
          <cell r="I198" t="str">
            <v>T2部件</v>
          </cell>
          <cell r="J198">
            <v>6</v>
          </cell>
          <cell r="K198">
            <v>0.44132397191574702</v>
          </cell>
        </row>
        <row r="199">
          <cell r="B199">
            <v>92205</v>
          </cell>
          <cell r="I199" t="str">
            <v>T2部件</v>
          </cell>
          <cell r="J199">
            <v>6</v>
          </cell>
          <cell r="K199">
            <v>0.44132397191574702</v>
          </cell>
        </row>
        <row r="200">
          <cell r="B200">
            <v>92002</v>
          </cell>
          <cell r="I200" t="str">
            <v>T2部件</v>
          </cell>
          <cell r="J200">
            <v>6</v>
          </cell>
          <cell r="K200">
            <v>0.44132397191574702</v>
          </cell>
        </row>
        <row r="201">
          <cell r="B201">
            <v>92004</v>
          </cell>
          <cell r="I201" t="str">
            <v>T2部件</v>
          </cell>
          <cell r="J201">
            <v>6</v>
          </cell>
          <cell r="K201">
            <v>0.44132397191574702</v>
          </cell>
        </row>
        <row r="202">
          <cell r="B202">
            <v>92006</v>
          </cell>
          <cell r="I202" t="str">
            <v>T2部件</v>
          </cell>
          <cell r="J202">
            <v>6</v>
          </cell>
          <cell r="K202">
            <v>0.44132397191574702</v>
          </cell>
        </row>
        <row r="203">
          <cell r="B203">
            <v>92102</v>
          </cell>
          <cell r="I203" t="str">
            <v>T2部件</v>
          </cell>
          <cell r="J203">
            <v>6</v>
          </cell>
          <cell r="K203">
            <v>0.44132397191574702</v>
          </cell>
        </row>
        <row r="204">
          <cell r="B204">
            <v>92104</v>
          </cell>
          <cell r="I204" t="str">
            <v>T2部件</v>
          </cell>
          <cell r="J204">
            <v>6</v>
          </cell>
          <cell r="K204">
            <v>0.44132397191574702</v>
          </cell>
        </row>
        <row r="205">
          <cell r="B205">
            <v>92106</v>
          </cell>
          <cell r="I205" t="str">
            <v>T2部件</v>
          </cell>
          <cell r="J205">
            <v>6</v>
          </cell>
          <cell r="K205">
            <v>0.44132397191574702</v>
          </cell>
        </row>
        <row r="206">
          <cell r="B206">
            <v>92202</v>
          </cell>
          <cell r="I206" t="str">
            <v>T2部件</v>
          </cell>
          <cell r="J206">
            <v>6</v>
          </cell>
          <cell r="K206">
            <v>0.44132397191574702</v>
          </cell>
        </row>
        <row r="207">
          <cell r="B207">
            <v>92204</v>
          </cell>
          <cell r="I207" t="str">
            <v>T2部件</v>
          </cell>
          <cell r="J207">
            <v>6</v>
          </cell>
          <cell r="K207">
            <v>0.44132397191574702</v>
          </cell>
        </row>
        <row r="208">
          <cell r="B208">
            <v>92206</v>
          </cell>
          <cell r="I208" t="str">
            <v>T2部件</v>
          </cell>
          <cell r="J208">
            <v>6</v>
          </cell>
          <cell r="K208">
            <v>0.44132397191574702</v>
          </cell>
        </row>
        <row r="209">
          <cell r="B209">
            <v>93001</v>
          </cell>
          <cell r="I209" t="str">
            <v>T3部件</v>
          </cell>
          <cell r="J209">
            <v>6</v>
          </cell>
          <cell r="K209">
            <v>0.23109327983951899</v>
          </cell>
        </row>
        <row r="210">
          <cell r="B210">
            <v>93003</v>
          </cell>
          <cell r="I210" t="str">
            <v>T3部件</v>
          </cell>
          <cell r="J210">
            <v>6</v>
          </cell>
          <cell r="K210">
            <v>0.23109327983951899</v>
          </cell>
        </row>
        <row r="211">
          <cell r="B211">
            <v>93005</v>
          </cell>
          <cell r="I211" t="str">
            <v>T3部件</v>
          </cell>
          <cell r="J211">
            <v>6</v>
          </cell>
          <cell r="K211">
            <v>0.23109327983951899</v>
          </cell>
        </row>
        <row r="212">
          <cell r="B212">
            <v>93101</v>
          </cell>
          <cell r="I212" t="str">
            <v>T3部件</v>
          </cell>
          <cell r="J212">
            <v>6</v>
          </cell>
          <cell r="K212">
            <v>0.23109327983951899</v>
          </cell>
        </row>
        <row r="213">
          <cell r="B213">
            <v>93103</v>
          </cell>
          <cell r="I213" t="str">
            <v>T3部件</v>
          </cell>
          <cell r="J213">
            <v>6</v>
          </cell>
          <cell r="K213">
            <v>0.23109327983951899</v>
          </cell>
        </row>
        <row r="214">
          <cell r="B214">
            <v>93105</v>
          </cell>
          <cell r="I214" t="str">
            <v>T3部件</v>
          </cell>
          <cell r="J214">
            <v>6</v>
          </cell>
          <cell r="K214">
            <v>0.23109327983951899</v>
          </cell>
        </row>
        <row r="215">
          <cell r="B215">
            <v>93201</v>
          </cell>
          <cell r="I215" t="str">
            <v>T3部件</v>
          </cell>
          <cell r="J215">
            <v>6</v>
          </cell>
          <cell r="K215">
            <v>0.23109327983951899</v>
          </cell>
        </row>
        <row r="216">
          <cell r="B216">
            <v>93203</v>
          </cell>
          <cell r="I216" t="str">
            <v>T3部件</v>
          </cell>
          <cell r="J216">
            <v>6</v>
          </cell>
          <cell r="K216">
            <v>0.23109327983951899</v>
          </cell>
        </row>
        <row r="217">
          <cell r="B217">
            <v>93205</v>
          </cell>
          <cell r="I217" t="str">
            <v>T3部件</v>
          </cell>
          <cell r="J217">
            <v>6</v>
          </cell>
          <cell r="K217">
            <v>0.20280842527582699</v>
          </cell>
        </row>
        <row r="218">
          <cell r="B218">
            <v>11311</v>
          </cell>
          <cell r="I218" t="str">
            <v>T3坦克</v>
          </cell>
          <cell r="J218">
            <v>7</v>
          </cell>
          <cell r="K218">
            <v>8.0181200453001103E-2</v>
          </cell>
        </row>
        <row r="219">
          <cell r="B219">
            <v>12311</v>
          </cell>
          <cell r="I219" t="str">
            <v>T3坦克</v>
          </cell>
          <cell r="J219">
            <v>7</v>
          </cell>
          <cell r="K219">
            <v>8.0181200453001103E-2</v>
          </cell>
        </row>
        <row r="220">
          <cell r="B220">
            <v>13311</v>
          </cell>
          <cell r="I220" t="str">
            <v>T3坦克</v>
          </cell>
          <cell r="J220">
            <v>7</v>
          </cell>
          <cell r="K220">
            <v>8.0181200453001103E-2</v>
          </cell>
        </row>
        <row r="221">
          <cell r="B221">
            <v>11321</v>
          </cell>
          <cell r="I221" t="str">
            <v>T3坦克</v>
          </cell>
          <cell r="J221">
            <v>7</v>
          </cell>
          <cell r="K221">
            <v>6.0249150622876599E-2</v>
          </cell>
        </row>
        <row r="222">
          <cell r="B222">
            <v>12321</v>
          </cell>
          <cell r="I222" t="str">
            <v>T3坦克</v>
          </cell>
          <cell r="J222">
            <v>7</v>
          </cell>
          <cell r="K222">
            <v>6.0249150622876599E-2</v>
          </cell>
        </row>
        <row r="223">
          <cell r="B223">
            <v>13321</v>
          </cell>
          <cell r="I223" t="str">
            <v>T3坦克</v>
          </cell>
          <cell r="J223">
            <v>7</v>
          </cell>
          <cell r="K223">
            <v>6.0249150622876599E-2</v>
          </cell>
        </row>
        <row r="224">
          <cell r="B224">
            <v>51311</v>
          </cell>
          <cell r="I224" t="str">
            <v>T3碎片</v>
          </cell>
          <cell r="J224">
            <v>7</v>
          </cell>
          <cell r="K224">
            <v>1.57916194790487</v>
          </cell>
        </row>
        <row r="225">
          <cell r="B225">
            <v>52311</v>
          </cell>
          <cell r="I225" t="str">
            <v>T3碎片</v>
          </cell>
          <cell r="J225">
            <v>7</v>
          </cell>
          <cell r="K225">
            <v>1.57916194790487</v>
          </cell>
        </row>
        <row r="226">
          <cell r="B226">
            <v>53311</v>
          </cell>
          <cell r="I226" t="str">
            <v>T3碎片</v>
          </cell>
          <cell r="J226">
            <v>7</v>
          </cell>
          <cell r="K226">
            <v>1.57916194790487</v>
          </cell>
        </row>
        <row r="227">
          <cell r="B227">
            <v>51321</v>
          </cell>
          <cell r="I227" t="str">
            <v>T3碎片</v>
          </cell>
          <cell r="J227">
            <v>7</v>
          </cell>
          <cell r="K227">
            <v>1.2067950169875401</v>
          </cell>
        </row>
        <row r="228">
          <cell r="B228">
            <v>52321</v>
          </cell>
          <cell r="I228" t="str">
            <v>T3碎片</v>
          </cell>
          <cell r="J228">
            <v>7</v>
          </cell>
          <cell r="K228">
            <v>1.2067950169875401</v>
          </cell>
        </row>
        <row r="229">
          <cell r="B229">
            <v>53321</v>
          </cell>
          <cell r="I229" t="str">
            <v>T3碎片</v>
          </cell>
          <cell r="J229">
            <v>7</v>
          </cell>
          <cell r="K229">
            <v>1.2067950169875401</v>
          </cell>
        </row>
        <row r="230">
          <cell r="B230">
            <v>92001</v>
          </cell>
          <cell r="I230" t="str">
            <v>T2部件</v>
          </cell>
          <cell r="J230">
            <v>7</v>
          </cell>
          <cell r="K230">
            <v>0.29762174405435998</v>
          </cell>
        </row>
        <row r="231">
          <cell r="B231">
            <v>92003</v>
          </cell>
          <cell r="I231" t="str">
            <v>T2部件</v>
          </cell>
          <cell r="J231">
            <v>7</v>
          </cell>
          <cell r="K231">
            <v>0.29762174405435998</v>
          </cell>
        </row>
        <row r="232">
          <cell r="B232">
            <v>92005</v>
          </cell>
          <cell r="I232" t="str">
            <v>T2部件</v>
          </cell>
          <cell r="J232">
            <v>7</v>
          </cell>
          <cell r="K232">
            <v>0.29762174405435998</v>
          </cell>
        </row>
        <row r="233">
          <cell r="B233">
            <v>92101</v>
          </cell>
          <cell r="I233" t="str">
            <v>T2部件</v>
          </cell>
          <cell r="J233">
            <v>7</v>
          </cell>
          <cell r="K233">
            <v>0.29762174405435998</v>
          </cell>
        </row>
        <row r="234">
          <cell r="B234">
            <v>92103</v>
          </cell>
          <cell r="I234" t="str">
            <v>T2部件</v>
          </cell>
          <cell r="J234">
            <v>7</v>
          </cell>
          <cell r="K234">
            <v>0.29762174405435998</v>
          </cell>
        </row>
        <row r="235">
          <cell r="B235">
            <v>92105</v>
          </cell>
          <cell r="I235" t="str">
            <v>T2部件</v>
          </cell>
          <cell r="J235">
            <v>7</v>
          </cell>
          <cell r="K235">
            <v>0.29762174405435998</v>
          </cell>
        </row>
        <row r="236">
          <cell r="B236">
            <v>92201</v>
          </cell>
          <cell r="I236" t="str">
            <v>T2部件</v>
          </cell>
          <cell r="J236">
            <v>7</v>
          </cell>
          <cell r="K236">
            <v>0.29762174405435998</v>
          </cell>
        </row>
        <row r="237">
          <cell r="B237">
            <v>92203</v>
          </cell>
          <cell r="I237" t="str">
            <v>T2部件</v>
          </cell>
          <cell r="J237">
            <v>7</v>
          </cell>
          <cell r="K237">
            <v>0.29762174405435998</v>
          </cell>
        </row>
        <row r="238">
          <cell r="B238">
            <v>92205</v>
          </cell>
          <cell r="I238" t="str">
            <v>T2部件</v>
          </cell>
          <cell r="J238">
            <v>7</v>
          </cell>
          <cell r="K238">
            <v>0.29762174405435998</v>
          </cell>
        </row>
        <row r="239">
          <cell r="B239">
            <v>92002</v>
          </cell>
          <cell r="I239" t="str">
            <v>T2部件</v>
          </cell>
          <cell r="J239">
            <v>7</v>
          </cell>
          <cell r="K239">
            <v>0.29762174405435998</v>
          </cell>
        </row>
        <row r="240">
          <cell r="B240">
            <v>92004</v>
          </cell>
          <cell r="I240" t="str">
            <v>T2部件</v>
          </cell>
          <cell r="J240">
            <v>7</v>
          </cell>
          <cell r="K240">
            <v>0.29762174405435998</v>
          </cell>
        </row>
        <row r="241">
          <cell r="B241">
            <v>92006</v>
          </cell>
          <cell r="I241" t="str">
            <v>T2部件</v>
          </cell>
          <cell r="J241">
            <v>7</v>
          </cell>
          <cell r="K241">
            <v>0.29762174405435998</v>
          </cell>
        </row>
        <row r="242">
          <cell r="B242">
            <v>92102</v>
          </cell>
          <cell r="I242" t="str">
            <v>T2部件</v>
          </cell>
          <cell r="J242">
            <v>7</v>
          </cell>
          <cell r="K242">
            <v>0.29762174405435998</v>
          </cell>
        </row>
        <row r="243">
          <cell r="B243">
            <v>92104</v>
          </cell>
          <cell r="I243" t="str">
            <v>T2部件</v>
          </cell>
          <cell r="J243">
            <v>7</v>
          </cell>
          <cell r="K243">
            <v>0.29762174405435998</v>
          </cell>
        </row>
        <row r="244">
          <cell r="B244">
            <v>92106</v>
          </cell>
          <cell r="I244" t="str">
            <v>T2部件</v>
          </cell>
          <cell r="J244">
            <v>7</v>
          </cell>
          <cell r="K244">
            <v>0.29762174405435998</v>
          </cell>
        </row>
        <row r="245">
          <cell r="B245">
            <v>92202</v>
          </cell>
          <cell r="I245" t="str">
            <v>T2部件</v>
          </cell>
          <cell r="J245">
            <v>7</v>
          </cell>
          <cell r="K245">
            <v>0.29762174405435998</v>
          </cell>
        </row>
        <row r="246">
          <cell r="B246">
            <v>92204</v>
          </cell>
          <cell r="I246" t="str">
            <v>T2部件</v>
          </cell>
          <cell r="J246">
            <v>7</v>
          </cell>
          <cell r="K246">
            <v>0.29762174405435998</v>
          </cell>
        </row>
        <row r="247">
          <cell r="B247">
            <v>92206</v>
          </cell>
          <cell r="I247" t="str">
            <v>T2部件</v>
          </cell>
          <cell r="J247">
            <v>7</v>
          </cell>
          <cell r="K247">
            <v>0.29762174405435998</v>
          </cell>
        </row>
        <row r="248">
          <cell r="B248">
            <v>93001</v>
          </cell>
          <cell r="I248" t="str">
            <v>T3部件</v>
          </cell>
          <cell r="J248">
            <v>7</v>
          </cell>
          <cell r="K248">
            <v>0.1039637599094</v>
          </cell>
        </row>
        <row r="249">
          <cell r="B249">
            <v>93003</v>
          </cell>
          <cell r="I249" t="str">
            <v>T3部件</v>
          </cell>
          <cell r="J249">
            <v>7</v>
          </cell>
          <cell r="K249">
            <v>0.1039637599094</v>
          </cell>
        </row>
        <row r="250">
          <cell r="B250">
            <v>93005</v>
          </cell>
          <cell r="I250" t="str">
            <v>T3部件</v>
          </cell>
          <cell r="J250">
            <v>7</v>
          </cell>
          <cell r="K250">
            <v>0.1039637599094</v>
          </cell>
        </row>
        <row r="251">
          <cell r="B251">
            <v>93101</v>
          </cell>
          <cell r="I251" t="str">
            <v>T3部件</v>
          </cell>
          <cell r="J251">
            <v>7</v>
          </cell>
          <cell r="K251">
            <v>0.1039637599094</v>
          </cell>
        </row>
        <row r="252">
          <cell r="B252">
            <v>93103</v>
          </cell>
          <cell r="I252" t="str">
            <v>T3部件</v>
          </cell>
          <cell r="J252">
            <v>7</v>
          </cell>
          <cell r="K252">
            <v>0.1039637599094</v>
          </cell>
        </row>
        <row r="253">
          <cell r="B253">
            <v>93105</v>
          </cell>
          <cell r="I253" t="str">
            <v>T3部件</v>
          </cell>
          <cell r="J253">
            <v>7</v>
          </cell>
          <cell r="K253">
            <v>0.1039637599094</v>
          </cell>
        </row>
        <row r="254">
          <cell r="B254">
            <v>93201</v>
          </cell>
          <cell r="I254" t="str">
            <v>T3部件</v>
          </cell>
          <cell r="J254">
            <v>7</v>
          </cell>
          <cell r="K254">
            <v>0.11687429218573001</v>
          </cell>
        </row>
        <row r="255">
          <cell r="B255">
            <v>93203</v>
          </cell>
          <cell r="I255" t="str">
            <v>T3部件</v>
          </cell>
          <cell r="J255">
            <v>7</v>
          </cell>
          <cell r="K255">
            <v>0.11687429218573001</v>
          </cell>
        </row>
        <row r="256">
          <cell r="B256">
            <v>93205</v>
          </cell>
          <cell r="I256" t="str">
            <v>T3部件</v>
          </cell>
          <cell r="J256">
            <v>7</v>
          </cell>
          <cell r="K256">
            <v>0.11687429218573001</v>
          </cell>
        </row>
        <row r="257">
          <cell r="B257">
            <v>93002</v>
          </cell>
          <cell r="I257" t="str">
            <v>T3部件</v>
          </cell>
          <cell r="J257">
            <v>7</v>
          </cell>
          <cell r="K257">
            <v>0.11687429218573001</v>
          </cell>
        </row>
        <row r="258">
          <cell r="B258">
            <v>93004</v>
          </cell>
          <cell r="I258" t="str">
            <v>T3部件</v>
          </cell>
          <cell r="J258">
            <v>7</v>
          </cell>
          <cell r="K258">
            <v>0.11687429218573001</v>
          </cell>
        </row>
        <row r="259">
          <cell r="B259">
            <v>93006</v>
          </cell>
          <cell r="I259" t="str">
            <v>T3部件</v>
          </cell>
          <cell r="J259">
            <v>7</v>
          </cell>
          <cell r="K259">
            <v>0.11687429218573001</v>
          </cell>
        </row>
        <row r="260">
          <cell r="B260">
            <v>93102</v>
          </cell>
          <cell r="I260" t="str">
            <v>T3部件</v>
          </cell>
          <cell r="J260">
            <v>7</v>
          </cell>
          <cell r="K260">
            <v>0.11687429218573001</v>
          </cell>
        </row>
        <row r="261">
          <cell r="B261">
            <v>93104</v>
          </cell>
          <cell r="I261" t="str">
            <v>T3部件</v>
          </cell>
          <cell r="J261">
            <v>7</v>
          </cell>
          <cell r="K261">
            <v>0.11687429218573001</v>
          </cell>
        </row>
        <row r="262">
          <cell r="B262">
            <v>93106</v>
          </cell>
          <cell r="I262" t="str">
            <v>T3部件</v>
          </cell>
          <cell r="J262">
            <v>7</v>
          </cell>
          <cell r="K262">
            <v>0.11687429218573001</v>
          </cell>
        </row>
        <row r="263">
          <cell r="B263">
            <v>93202</v>
          </cell>
          <cell r="I263" t="str">
            <v>T3部件</v>
          </cell>
          <cell r="J263">
            <v>7</v>
          </cell>
          <cell r="K263">
            <v>0.11687429218573001</v>
          </cell>
        </row>
        <row r="264">
          <cell r="B264">
            <v>93204</v>
          </cell>
          <cell r="I264" t="str">
            <v>T3部件</v>
          </cell>
          <cell r="J264">
            <v>7</v>
          </cell>
          <cell r="K264">
            <v>0.11687429218573001</v>
          </cell>
        </row>
        <row r="265">
          <cell r="B265">
            <v>93206</v>
          </cell>
          <cell r="I265" t="str">
            <v>T3部件</v>
          </cell>
          <cell r="J265">
            <v>7</v>
          </cell>
          <cell r="K265">
            <v>9.1053227633069098E-2</v>
          </cell>
        </row>
        <row r="266">
          <cell r="B266">
            <v>11311</v>
          </cell>
          <cell r="I266" t="str">
            <v>T3坦克</v>
          </cell>
          <cell r="J266">
            <v>8</v>
          </cell>
          <cell r="K266">
            <v>8.0181200453001103E-2</v>
          </cell>
        </row>
        <row r="267">
          <cell r="B267">
            <v>12311</v>
          </cell>
          <cell r="I267" t="str">
            <v>T3坦克</v>
          </cell>
          <cell r="J267">
            <v>8</v>
          </cell>
          <cell r="K267">
            <v>8.0181200453001103E-2</v>
          </cell>
        </row>
        <row r="268">
          <cell r="B268">
            <v>13311</v>
          </cell>
          <cell r="I268" t="str">
            <v>T3坦克</v>
          </cell>
          <cell r="J268">
            <v>8</v>
          </cell>
          <cell r="K268">
            <v>8.0181200453001103E-2</v>
          </cell>
        </row>
        <row r="269">
          <cell r="B269">
            <v>11321</v>
          </cell>
          <cell r="I269" t="str">
            <v>T3坦克</v>
          </cell>
          <cell r="J269">
            <v>8</v>
          </cell>
          <cell r="K269">
            <v>6.0249150622876599E-2</v>
          </cell>
        </row>
        <row r="270">
          <cell r="B270">
            <v>12321</v>
          </cell>
          <cell r="I270" t="str">
            <v>T3坦克</v>
          </cell>
          <cell r="J270">
            <v>8</v>
          </cell>
          <cell r="K270">
            <v>6.0249150622876599E-2</v>
          </cell>
        </row>
        <row r="271">
          <cell r="B271">
            <v>13321</v>
          </cell>
          <cell r="I271" t="str">
            <v>T3坦克</v>
          </cell>
          <cell r="J271">
            <v>8</v>
          </cell>
          <cell r="K271">
            <v>6.0249150622876599E-2</v>
          </cell>
        </row>
        <row r="272">
          <cell r="B272">
            <v>51311</v>
          </cell>
          <cell r="I272" t="str">
            <v>T3碎片</v>
          </cell>
          <cell r="J272">
            <v>8</v>
          </cell>
          <cell r="K272">
            <v>1.57916194790487</v>
          </cell>
        </row>
        <row r="273">
          <cell r="B273">
            <v>52311</v>
          </cell>
          <cell r="I273" t="str">
            <v>T3碎片</v>
          </cell>
          <cell r="J273">
            <v>8</v>
          </cell>
          <cell r="K273">
            <v>1.57916194790487</v>
          </cell>
        </row>
        <row r="274">
          <cell r="B274">
            <v>53311</v>
          </cell>
          <cell r="I274" t="str">
            <v>T3碎片</v>
          </cell>
          <cell r="J274">
            <v>8</v>
          </cell>
          <cell r="K274">
            <v>1.57916194790487</v>
          </cell>
        </row>
        <row r="275">
          <cell r="B275">
            <v>51321</v>
          </cell>
          <cell r="I275" t="str">
            <v>T3碎片</v>
          </cell>
          <cell r="J275">
            <v>8</v>
          </cell>
          <cell r="K275">
            <v>1.50849377123443</v>
          </cell>
        </row>
        <row r="276">
          <cell r="B276">
            <v>52321</v>
          </cell>
          <cell r="I276" t="str">
            <v>T3碎片</v>
          </cell>
          <cell r="J276">
            <v>8</v>
          </cell>
          <cell r="K276">
            <v>1.50849377123443</v>
          </cell>
        </row>
        <row r="277">
          <cell r="B277">
            <v>53321</v>
          </cell>
          <cell r="I277" t="str">
            <v>T3碎片</v>
          </cell>
          <cell r="J277">
            <v>8</v>
          </cell>
          <cell r="K277">
            <v>1.50849377123443</v>
          </cell>
        </row>
        <row r="278">
          <cell r="B278">
            <v>92001</v>
          </cell>
          <cell r="I278" t="str">
            <v>T2部件</v>
          </cell>
          <cell r="J278">
            <v>8</v>
          </cell>
          <cell r="K278">
            <v>0.29762174405435998</v>
          </cell>
        </row>
        <row r="279">
          <cell r="B279">
            <v>92003</v>
          </cell>
          <cell r="I279" t="str">
            <v>T2部件</v>
          </cell>
          <cell r="J279">
            <v>8</v>
          </cell>
          <cell r="K279">
            <v>0.29762174405435998</v>
          </cell>
        </row>
        <row r="280">
          <cell r="B280">
            <v>92005</v>
          </cell>
          <cell r="I280" t="str">
            <v>T2部件</v>
          </cell>
          <cell r="J280">
            <v>8</v>
          </cell>
          <cell r="K280">
            <v>0.29762174405435998</v>
          </cell>
        </row>
        <row r="281">
          <cell r="B281">
            <v>92101</v>
          </cell>
          <cell r="I281" t="str">
            <v>T2部件</v>
          </cell>
          <cell r="J281">
            <v>8</v>
          </cell>
          <cell r="K281">
            <v>0.29762174405435998</v>
          </cell>
        </row>
        <row r="282">
          <cell r="B282">
            <v>92103</v>
          </cell>
          <cell r="I282" t="str">
            <v>T2部件</v>
          </cell>
          <cell r="J282">
            <v>8</v>
          </cell>
          <cell r="K282">
            <v>0.29762174405435998</v>
          </cell>
        </row>
        <row r="283">
          <cell r="B283">
            <v>92105</v>
          </cell>
          <cell r="I283" t="str">
            <v>T2部件</v>
          </cell>
          <cell r="J283">
            <v>8</v>
          </cell>
          <cell r="K283">
            <v>0.29762174405435998</v>
          </cell>
        </row>
        <row r="284">
          <cell r="B284">
            <v>92201</v>
          </cell>
          <cell r="I284" t="str">
            <v>T2部件</v>
          </cell>
          <cell r="J284">
            <v>8</v>
          </cell>
          <cell r="K284">
            <v>0.29762174405435998</v>
          </cell>
        </row>
        <row r="285">
          <cell r="B285">
            <v>92203</v>
          </cell>
          <cell r="I285" t="str">
            <v>T2部件</v>
          </cell>
          <cell r="J285">
            <v>8</v>
          </cell>
          <cell r="K285">
            <v>0.29762174405435998</v>
          </cell>
        </row>
        <row r="286">
          <cell r="B286">
            <v>92205</v>
          </cell>
          <cell r="I286" t="str">
            <v>T2部件</v>
          </cell>
          <cell r="J286">
            <v>8</v>
          </cell>
          <cell r="K286">
            <v>0.29762174405435998</v>
          </cell>
        </row>
        <row r="287">
          <cell r="B287">
            <v>92002</v>
          </cell>
          <cell r="I287" t="str">
            <v>T2部件</v>
          </cell>
          <cell r="J287">
            <v>8</v>
          </cell>
          <cell r="K287">
            <v>0.29762174405435998</v>
          </cell>
        </row>
        <row r="288">
          <cell r="B288">
            <v>92004</v>
          </cell>
          <cell r="I288" t="str">
            <v>T2部件</v>
          </cell>
          <cell r="J288">
            <v>8</v>
          </cell>
          <cell r="K288">
            <v>0.29762174405435998</v>
          </cell>
        </row>
        <row r="289">
          <cell r="B289">
            <v>92006</v>
          </cell>
          <cell r="I289" t="str">
            <v>T2部件</v>
          </cell>
          <cell r="J289">
            <v>8</v>
          </cell>
          <cell r="K289">
            <v>0.29762174405435998</v>
          </cell>
        </row>
        <row r="290">
          <cell r="B290">
            <v>92102</v>
          </cell>
          <cell r="I290" t="str">
            <v>T2部件</v>
          </cell>
          <cell r="J290">
            <v>8</v>
          </cell>
          <cell r="K290">
            <v>0.29762174405435998</v>
          </cell>
        </row>
        <row r="291">
          <cell r="B291">
            <v>92104</v>
          </cell>
          <cell r="I291" t="str">
            <v>T2部件</v>
          </cell>
          <cell r="J291">
            <v>8</v>
          </cell>
          <cell r="K291">
            <v>0.29762174405435998</v>
          </cell>
        </row>
        <row r="292">
          <cell r="B292">
            <v>92106</v>
          </cell>
          <cell r="I292" t="str">
            <v>T2部件</v>
          </cell>
          <cell r="J292">
            <v>8</v>
          </cell>
          <cell r="K292">
            <v>0.29762174405435998</v>
          </cell>
        </row>
        <row r="293">
          <cell r="B293">
            <v>92202</v>
          </cell>
          <cell r="I293" t="str">
            <v>T2部件</v>
          </cell>
          <cell r="J293">
            <v>8</v>
          </cell>
          <cell r="K293">
            <v>0.29762174405435998</v>
          </cell>
        </row>
        <row r="294">
          <cell r="B294">
            <v>92204</v>
          </cell>
          <cell r="I294" t="str">
            <v>T2部件</v>
          </cell>
          <cell r="J294">
            <v>8</v>
          </cell>
          <cell r="K294">
            <v>0.29762174405435998</v>
          </cell>
        </row>
        <row r="295">
          <cell r="B295">
            <v>92206</v>
          </cell>
          <cell r="I295" t="str">
            <v>T2部件</v>
          </cell>
          <cell r="J295">
            <v>8</v>
          </cell>
          <cell r="K295">
            <v>0.29762174405435998</v>
          </cell>
        </row>
        <row r="296">
          <cell r="B296">
            <v>93001</v>
          </cell>
          <cell r="I296" t="str">
            <v>T3部件</v>
          </cell>
          <cell r="J296">
            <v>8</v>
          </cell>
          <cell r="K296">
            <v>0.1039637599094</v>
          </cell>
        </row>
        <row r="297">
          <cell r="B297">
            <v>93003</v>
          </cell>
          <cell r="I297" t="str">
            <v>T3部件</v>
          </cell>
          <cell r="J297">
            <v>8</v>
          </cell>
          <cell r="K297">
            <v>0.1039637599094</v>
          </cell>
        </row>
        <row r="298">
          <cell r="B298">
            <v>93005</v>
          </cell>
          <cell r="I298" t="str">
            <v>T3部件</v>
          </cell>
          <cell r="J298">
            <v>8</v>
          </cell>
          <cell r="K298">
            <v>0.1039637599094</v>
          </cell>
        </row>
        <row r="299">
          <cell r="B299">
            <v>93101</v>
          </cell>
          <cell r="I299" t="str">
            <v>T3部件</v>
          </cell>
          <cell r="J299">
            <v>8</v>
          </cell>
          <cell r="K299">
            <v>0.1039637599094</v>
          </cell>
        </row>
        <row r="300">
          <cell r="B300">
            <v>93103</v>
          </cell>
          <cell r="I300" t="str">
            <v>T3部件</v>
          </cell>
          <cell r="J300">
            <v>8</v>
          </cell>
          <cell r="K300">
            <v>0.1039637599094</v>
          </cell>
        </row>
        <row r="301">
          <cell r="B301">
            <v>93105</v>
          </cell>
          <cell r="I301" t="str">
            <v>T3部件</v>
          </cell>
          <cell r="J301">
            <v>8</v>
          </cell>
          <cell r="K301">
            <v>0.1039637599094</v>
          </cell>
        </row>
        <row r="302">
          <cell r="B302">
            <v>93201</v>
          </cell>
          <cell r="I302" t="str">
            <v>T3部件</v>
          </cell>
          <cell r="J302">
            <v>8</v>
          </cell>
          <cell r="K302">
            <v>0.11687429218573001</v>
          </cell>
        </row>
        <row r="303">
          <cell r="B303">
            <v>93203</v>
          </cell>
          <cell r="I303" t="str">
            <v>T3部件</v>
          </cell>
          <cell r="J303">
            <v>8</v>
          </cell>
          <cell r="K303">
            <v>0.11687429218573001</v>
          </cell>
        </row>
        <row r="304">
          <cell r="B304">
            <v>93205</v>
          </cell>
          <cell r="I304" t="str">
            <v>T3部件</v>
          </cell>
          <cell r="J304">
            <v>8</v>
          </cell>
          <cell r="K304">
            <v>0.11687429218573001</v>
          </cell>
        </row>
        <row r="305">
          <cell r="B305">
            <v>93002</v>
          </cell>
          <cell r="I305" t="str">
            <v>T3部件</v>
          </cell>
          <cell r="J305">
            <v>8</v>
          </cell>
          <cell r="K305">
            <v>0.11687429218573001</v>
          </cell>
        </row>
        <row r="306">
          <cell r="B306">
            <v>93004</v>
          </cell>
          <cell r="I306" t="str">
            <v>T3部件</v>
          </cell>
          <cell r="J306">
            <v>8</v>
          </cell>
          <cell r="K306">
            <v>0.11687429218573001</v>
          </cell>
        </row>
        <row r="307">
          <cell r="B307">
            <v>93006</v>
          </cell>
          <cell r="I307" t="str">
            <v>T3部件</v>
          </cell>
          <cell r="J307">
            <v>8</v>
          </cell>
          <cell r="K307">
            <v>0.11687429218573001</v>
          </cell>
        </row>
        <row r="308">
          <cell r="B308">
            <v>93102</v>
          </cell>
          <cell r="I308" t="str">
            <v>T3部件</v>
          </cell>
          <cell r="J308">
            <v>8</v>
          </cell>
          <cell r="K308">
            <v>0.11687429218573001</v>
          </cell>
        </row>
        <row r="309">
          <cell r="B309">
            <v>93104</v>
          </cell>
          <cell r="I309" t="str">
            <v>T3部件</v>
          </cell>
          <cell r="J309">
            <v>8</v>
          </cell>
          <cell r="K309">
            <v>0.11687429218573001</v>
          </cell>
        </row>
        <row r="310">
          <cell r="B310">
            <v>93106</v>
          </cell>
          <cell r="I310" t="str">
            <v>T3部件</v>
          </cell>
          <cell r="J310">
            <v>8</v>
          </cell>
          <cell r="K310">
            <v>0.11687429218573001</v>
          </cell>
        </row>
        <row r="311">
          <cell r="B311">
            <v>93202</v>
          </cell>
          <cell r="I311" t="str">
            <v>T3部件</v>
          </cell>
          <cell r="J311">
            <v>8</v>
          </cell>
          <cell r="K311">
            <v>0.11687429218573001</v>
          </cell>
        </row>
        <row r="312">
          <cell r="B312">
            <v>93204</v>
          </cell>
          <cell r="I312" t="str">
            <v>T3部件</v>
          </cell>
          <cell r="J312">
            <v>8</v>
          </cell>
          <cell r="K312">
            <v>0.11687429218573001</v>
          </cell>
        </row>
        <row r="313">
          <cell r="B313">
            <v>93206</v>
          </cell>
          <cell r="I313" t="str">
            <v>T3部件</v>
          </cell>
          <cell r="J313">
            <v>8</v>
          </cell>
          <cell r="K313">
            <v>9.1053227633069098E-2</v>
          </cell>
        </row>
        <row r="314">
          <cell r="B314">
            <v>11311</v>
          </cell>
          <cell r="I314" t="str">
            <v>T3坦克</v>
          </cell>
          <cell r="J314">
            <v>9</v>
          </cell>
          <cell r="K314">
            <v>8.0181200453001103E-2</v>
          </cell>
        </row>
        <row r="315">
          <cell r="B315">
            <v>12311</v>
          </cell>
          <cell r="I315" t="str">
            <v>T3坦克</v>
          </cell>
          <cell r="J315">
            <v>9</v>
          </cell>
          <cell r="K315">
            <v>8.0181200453001103E-2</v>
          </cell>
        </row>
        <row r="316">
          <cell r="B316">
            <v>13311</v>
          </cell>
          <cell r="I316" t="str">
            <v>T3坦克</v>
          </cell>
          <cell r="J316">
            <v>9</v>
          </cell>
          <cell r="K316">
            <v>8.0181200453001103E-2</v>
          </cell>
        </row>
        <row r="317">
          <cell r="B317">
            <v>11321</v>
          </cell>
          <cell r="I317" t="str">
            <v>T3坦克</v>
          </cell>
          <cell r="J317">
            <v>9</v>
          </cell>
          <cell r="K317">
            <v>6.0249150622876599E-2</v>
          </cell>
        </row>
        <row r="318">
          <cell r="B318">
            <v>12321</v>
          </cell>
          <cell r="I318" t="str">
            <v>T3坦克</v>
          </cell>
          <cell r="J318">
            <v>9</v>
          </cell>
          <cell r="K318">
            <v>6.0249150622876599E-2</v>
          </cell>
        </row>
        <row r="319">
          <cell r="B319">
            <v>13321</v>
          </cell>
          <cell r="I319" t="str">
            <v>T3坦克</v>
          </cell>
          <cell r="J319">
            <v>9</v>
          </cell>
          <cell r="K319">
            <v>6.0249150622876599E-2</v>
          </cell>
        </row>
        <row r="320">
          <cell r="B320">
            <v>51311</v>
          </cell>
          <cell r="I320" t="str">
            <v>T3碎片</v>
          </cell>
          <cell r="J320">
            <v>9</v>
          </cell>
          <cell r="K320">
            <v>2.1055492638731601</v>
          </cell>
        </row>
        <row r="321">
          <cell r="B321">
            <v>52311</v>
          </cell>
          <cell r="I321" t="str">
            <v>T3碎片</v>
          </cell>
          <cell r="J321">
            <v>9</v>
          </cell>
          <cell r="K321">
            <v>2.1055492638731601</v>
          </cell>
        </row>
        <row r="322">
          <cell r="B322">
            <v>53311</v>
          </cell>
          <cell r="I322" t="str">
            <v>T3碎片</v>
          </cell>
          <cell r="J322">
            <v>9</v>
          </cell>
          <cell r="K322">
            <v>2.1055492638731601</v>
          </cell>
        </row>
        <row r="323">
          <cell r="B323">
            <v>51321</v>
          </cell>
          <cell r="I323" t="str">
            <v>T3碎片</v>
          </cell>
          <cell r="J323">
            <v>9</v>
          </cell>
          <cell r="K323">
            <v>1.50849377123443</v>
          </cell>
        </row>
        <row r="324">
          <cell r="B324">
            <v>52321</v>
          </cell>
          <cell r="I324" t="str">
            <v>T3碎片</v>
          </cell>
          <cell r="J324">
            <v>9</v>
          </cell>
          <cell r="K324">
            <v>1.50849377123443</v>
          </cell>
        </row>
        <row r="325">
          <cell r="B325">
            <v>53321</v>
          </cell>
          <cell r="I325" t="str">
            <v>T3碎片</v>
          </cell>
          <cell r="J325">
            <v>9</v>
          </cell>
          <cell r="K325">
            <v>1.50849377123443</v>
          </cell>
        </row>
        <row r="326">
          <cell r="B326">
            <v>92001</v>
          </cell>
          <cell r="I326" t="str">
            <v>T2部件</v>
          </cell>
          <cell r="J326">
            <v>9</v>
          </cell>
          <cell r="K326">
            <v>0.29762174405435998</v>
          </cell>
        </row>
        <row r="327">
          <cell r="B327">
            <v>92003</v>
          </cell>
          <cell r="I327" t="str">
            <v>T2部件</v>
          </cell>
          <cell r="J327">
            <v>9</v>
          </cell>
          <cell r="K327">
            <v>0.29762174405435998</v>
          </cell>
        </row>
        <row r="328">
          <cell r="B328">
            <v>92005</v>
          </cell>
          <cell r="I328" t="str">
            <v>T2部件</v>
          </cell>
          <cell r="J328">
            <v>9</v>
          </cell>
          <cell r="K328">
            <v>0.29762174405435998</v>
          </cell>
        </row>
        <row r="329">
          <cell r="B329">
            <v>92101</v>
          </cell>
          <cell r="I329" t="str">
            <v>T2部件</v>
          </cell>
          <cell r="J329">
            <v>9</v>
          </cell>
          <cell r="K329">
            <v>0.29762174405435998</v>
          </cell>
        </row>
        <row r="330">
          <cell r="B330">
            <v>92103</v>
          </cell>
          <cell r="I330" t="str">
            <v>T2部件</v>
          </cell>
          <cell r="J330">
            <v>9</v>
          </cell>
          <cell r="K330">
            <v>0.29762174405435998</v>
          </cell>
        </row>
        <row r="331">
          <cell r="B331">
            <v>92105</v>
          </cell>
          <cell r="I331" t="str">
            <v>T2部件</v>
          </cell>
          <cell r="J331">
            <v>9</v>
          </cell>
          <cell r="K331">
            <v>0.29762174405435998</v>
          </cell>
        </row>
        <row r="332">
          <cell r="B332">
            <v>92201</v>
          </cell>
          <cell r="I332" t="str">
            <v>T2部件</v>
          </cell>
          <cell r="J332">
            <v>9</v>
          </cell>
          <cell r="K332">
            <v>0.29762174405435998</v>
          </cell>
        </row>
        <row r="333">
          <cell r="B333">
            <v>92203</v>
          </cell>
          <cell r="I333" t="str">
            <v>T2部件</v>
          </cell>
          <cell r="J333">
            <v>9</v>
          </cell>
          <cell r="K333">
            <v>0.29762174405435998</v>
          </cell>
        </row>
        <row r="334">
          <cell r="B334">
            <v>92205</v>
          </cell>
          <cell r="I334" t="str">
            <v>T2部件</v>
          </cell>
          <cell r="J334">
            <v>9</v>
          </cell>
          <cell r="K334">
            <v>0.29762174405435998</v>
          </cell>
        </row>
        <row r="335">
          <cell r="B335">
            <v>92002</v>
          </cell>
          <cell r="I335" t="str">
            <v>T2部件</v>
          </cell>
          <cell r="J335">
            <v>9</v>
          </cell>
          <cell r="K335">
            <v>0.29762174405435998</v>
          </cell>
        </row>
        <row r="336">
          <cell r="B336">
            <v>92004</v>
          </cell>
          <cell r="I336" t="str">
            <v>T2部件</v>
          </cell>
          <cell r="J336">
            <v>9</v>
          </cell>
          <cell r="K336">
            <v>0.29762174405435998</v>
          </cell>
        </row>
        <row r="337">
          <cell r="B337">
            <v>92006</v>
          </cell>
          <cell r="I337" t="str">
            <v>T2部件</v>
          </cell>
          <cell r="J337">
            <v>9</v>
          </cell>
          <cell r="K337">
            <v>0.29762174405435998</v>
          </cell>
        </row>
        <row r="338">
          <cell r="B338">
            <v>92102</v>
          </cell>
          <cell r="I338" t="str">
            <v>T2部件</v>
          </cell>
          <cell r="J338">
            <v>9</v>
          </cell>
          <cell r="K338">
            <v>0.29762174405435998</v>
          </cell>
        </row>
        <row r="339">
          <cell r="B339">
            <v>92104</v>
          </cell>
          <cell r="I339" t="str">
            <v>T2部件</v>
          </cell>
          <cell r="J339">
            <v>9</v>
          </cell>
          <cell r="K339">
            <v>0.29762174405435998</v>
          </cell>
        </row>
        <row r="340">
          <cell r="B340">
            <v>92106</v>
          </cell>
          <cell r="I340" t="str">
            <v>T2部件</v>
          </cell>
          <cell r="J340">
            <v>9</v>
          </cell>
          <cell r="K340">
            <v>0.29762174405435998</v>
          </cell>
        </row>
        <row r="341">
          <cell r="B341">
            <v>92202</v>
          </cell>
          <cell r="I341" t="str">
            <v>T2部件</v>
          </cell>
          <cell r="J341">
            <v>9</v>
          </cell>
          <cell r="K341">
            <v>0.29762174405435998</v>
          </cell>
        </row>
        <row r="342">
          <cell r="B342">
            <v>92204</v>
          </cell>
          <cell r="I342" t="str">
            <v>T2部件</v>
          </cell>
          <cell r="J342">
            <v>9</v>
          </cell>
          <cell r="K342">
            <v>0.29762174405435998</v>
          </cell>
        </row>
        <row r="343">
          <cell r="B343">
            <v>92206</v>
          </cell>
          <cell r="I343" t="str">
            <v>T2部件</v>
          </cell>
          <cell r="J343">
            <v>9</v>
          </cell>
          <cell r="K343">
            <v>0.29762174405435998</v>
          </cell>
        </row>
        <row r="344">
          <cell r="B344">
            <v>93001</v>
          </cell>
          <cell r="I344" t="str">
            <v>T3部件</v>
          </cell>
          <cell r="J344">
            <v>9</v>
          </cell>
          <cell r="K344">
            <v>0.1039637599094</v>
          </cell>
        </row>
        <row r="345">
          <cell r="B345">
            <v>93003</v>
          </cell>
          <cell r="I345" t="str">
            <v>T3部件</v>
          </cell>
          <cell r="J345">
            <v>9</v>
          </cell>
          <cell r="K345">
            <v>0.1039637599094</v>
          </cell>
        </row>
        <row r="346">
          <cell r="B346">
            <v>93005</v>
          </cell>
          <cell r="I346" t="str">
            <v>T3部件</v>
          </cell>
          <cell r="J346">
            <v>9</v>
          </cell>
          <cell r="K346">
            <v>0.1039637599094</v>
          </cell>
        </row>
        <row r="347">
          <cell r="B347">
            <v>93101</v>
          </cell>
          <cell r="I347" t="str">
            <v>T3部件</v>
          </cell>
          <cell r="J347">
            <v>9</v>
          </cell>
          <cell r="K347">
            <v>0.1039637599094</v>
          </cell>
        </row>
        <row r="348">
          <cell r="B348">
            <v>93103</v>
          </cell>
          <cell r="I348" t="str">
            <v>T3部件</v>
          </cell>
          <cell r="J348">
            <v>9</v>
          </cell>
          <cell r="K348">
            <v>0.1039637599094</v>
          </cell>
        </row>
        <row r="349">
          <cell r="B349">
            <v>93105</v>
          </cell>
          <cell r="I349" t="str">
            <v>T3部件</v>
          </cell>
          <cell r="J349">
            <v>9</v>
          </cell>
          <cell r="K349">
            <v>0.1039637599094</v>
          </cell>
        </row>
        <row r="350">
          <cell r="B350">
            <v>93201</v>
          </cell>
          <cell r="I350" t="str">
            <v>T3部件</v>
          </cell>
          <cell r="J350">
            <v>9</v>
          </cell>
          <cell r="K350">
            <v>0.11687429218573001</v>
          </cell>
        </row>
        <row r="351">
          <cell r="B351">
            <v>93203</v>
          </cell>
          <cell r="I351" t="str">
            <v>T3部件</v>
          </cell>
          <cell r="J351">
            <v>9</v>
          </cell>
          <cell r="K351">
            <v>0.11687429218573001</v>
          </cell>
        </row>
        <row r="352">
          <cell r="B352">
            <v>93205</v>
          </cell>
          <cell r="I352" t="str">
            <v>T3部件</v>
          </cell>
          <cell r="J352">
            <v>9</v>
          </cell>
          <cell r="K352">
            <v>0.11687429218573001</v>
          </cell>
        </row>
        <row r="353">
          <cell r="B353">
            <v>93002</v>
          </cell>
          <cell r="I353" t="str">
            <v>T3部件</v>
          </cell>
          <cell r="J353">
            <v>9</v>
          </cell>
          <cell r="K353">
            <v>0.11687429218573001</v>
          </cell>
        </row>
        <row r="354">
          <cell r="B354">
            <v>93004</v>
          </cell>
          <cell r="I354" t="str">
            <v>T3部件</v>
          </cell>
          <cell r="J354">
            <v>9</v>
          </cell>
          <cell r="K354">
            <v>0.11687429218573001</v>
          </cell>
        </row>
        <row r="355">
          <cell r="B355">
            <v>93006</v>
          </cell>
          <cell r="I355" t="str">
            <v>T3部件</v>
          </cell>
          <cell r="J355">
            <v>9</v>
          </cell>
          <cell r="K355">
            <v>0.11687429218573001</v>
          </cell>
        </row>
        <row r="356">
          <cell r="B356">
            <v>93102</v>
          </cell>
          <cell r="I356" t="str">
            <v>T3部件</v>
          </cell>
          <cell r="J356">
            <v>9</v>
          </cell>
          <cell r="K356">
            <v>0.11687429218573001</v>
          </cell>
        </row>
        <row r="357">
          <cell r="B357">
            <v>93104</v>
          </cell>
          <cell r="I357" t="str">
            <v>T3部件</v>
          </cell>
          <cell r="J357">
            <v>9</v>
          </cell>
          <cell r="K357">
            <v>0.11687429218573001</v>
          </cell>
        </row>
        <row r="358">
          <cell r="B358">
            <v>93106</v>
          </cell>
          <cell r="I358" t="str">
            <v>T3部件</v>
          </cell>
          <cell r="J358">
            <v>9</v>
          </cell>
          <cell r="K358">
            <v>0.11687429218573001</v>
          </cell>
        </row>
        <row r="359">
          <cell r="B359">
            <v>93202</v>
          </cell>
          <cell r="I359" t="str">
            <v>T3部件</v>
          </cell>
          <cell r="J359">
            <v>9</v>
          </cell>
          <cell r="K359">
            <v>0.11687429218573001</v>
          </cell>
        </row>
        <row r="360">
          <cell r="B360">
            <v>93204</v>
          </cell>
          <cell r="I360" t="str">
            <v>T3部件</v>
          </cell>
          <cell r="J360">
            <v>9</v>
          </cell>
          <cell r="K360">
            <v>0.11687429218573001</v>
          </cell>
        </row>
        <row r="361">
          <cell r="B361">
            <v>93206</v>
          </cell>
          <cell r="I361" t="str">
            <v>T3部件</v>
          </cell>
          <cell r="J361">
            <v>9</v>
          </cell>
          <cell r="K361">
            <v>9.1053227633069098E-2</v>
          </cell>
        </row>
        <row r="362">
          <cell r="B362">
            <v>11311</v>
          </cell>
          <cell r="I362" t="str">
            <v>T3坦克</v>
          </cell>
          <cell r="J362">
            <v>10</v>
          </cell>
          <cell r="K362">
            <v>8.0181200453001103E-2</v>
          </cell>
        </row>
        <row r="363">
          <cell r="B363">
            <v>12311</v>
          </cell>
          <cell r="I363" t="str">
            <v>T3坦克</v>
          </cell>
          <cell r="J363">
            <v>10</v>
          </cell>
          <cell r="K363">
            <v>8.0181200453001103E-2</v>
          </cell>
        </row>
        <row r="364">
          <cell r="B364">
            <v>13311</v>
          </cell>
          <cell r="I364" t="str">
            <v>T3坦克</v>
          </cell>
          <cell r="J364">
            <v>10</v>
          </cell>
          <cell r="K364">
            <v>8.0181200453001103E-2</v>
          </cell>
        </row>
        <row r="365">
          <cell r="B365">
            <v>11321</v>
          </cell>
          <cell r="I365" t="str">
            <v>T3坦克</v>
          </cell>
          <cell r="J365">
            <v>10</v>
          </cell>
          <cell r="K365">
            <v>6.0249150622876599E-2</v>
          </cell>
        </row>
        <row r="366">
          <cell r="B366">
            <v>12321</v>
          </cell>
          <cell r="I366" t="str">
            <v>T3坦克</v>
          </cell>
          <cell r="J366">
            <v>10</v>
          </cell>
          <cell r="K366">
            <v>6.0249150622876599E-2</v>
          </cell>
        </row>
        <row r="367">
          <cell r="B367">
            <v>13321</v>
          </cell>
          <cell r="I367" t="str">
            <v>T3坦克</v>
          </cell>
          <cell r="J367">
            <v>10</v>
          </cell>
          <cell r="K367">
            <v>6.0249150622876599E-2</v>
          </cell>
        </row>
        <row r="368">
          <cell r="B368">
            <v>51311</v>
          </cell>
          <cell r="I368" t="str">
            <v>T3碎片</v>
          </cell>
          <cell r="J368">
            <v>10</v>
          </cell>
          <cell r="K368">
            <v>2.1055492638731601</v>
          </cell>
        </row>
        <row r="369">
          <cell r="B369">
            <v>52311</v>
          </cell>
          <cell r="I369" t="str">
            <v>T3碎片</v>
          </cell>
          <cell r="J369">
            <v>10</v>
          </cell>
          <cell r="K369">
            <v>2.1055492638731601</v>
          </cell>
        </row>
        <row r="370">
          <cell r="B370">
            <v>53311</v>
          </cell>
          <cell r="I370" t="str">
            <v>T3碎片</v>
          </cell>
          <cell r="J370">
            <v>10</v>
          </cell>
          <cell r="K370">
            <v>2.1055492638731601</v>
          </cell>
        </row>
        <row r="371">
          <cell r="B371">
            <v>51321</v>
          </cell>
          <cell r="I371" t="str">
            <v>T3碎片</v>
          </cell>
          <cell r="J371">
            <v>10</v>
          </cell>
          <cell r="K371">
            <v>1.50849377123443</v>
          </cell>
        </row>
        <row r="372">
          <cell r="B372">
            <v>52321</v>
          </cell>
          <cell r="I372" t="str">
            <v>T3碎片</v>
          </cell>
          <cell r="J372">
            <v>10</v>
          </cell>
          <cell r="K372">
            <v>1.50849377123443</v>
          </cell>
        </row>
        <row r="373">
          <cell r="B373">
            <v>53321</v>
          </cell>
          <cell r="I373" t="str">
            <v>T3碎片</v>
          </cell>
          <cell r="J373">
            <v>10</v>
          </cell>
          <cell r="K373">
            <v>1.50849377123443</v>
          </cell>
        </row>
        <row r="374">
          <cell r="B374">
            <v>92001</v>
          </cell>
          <cell r="I374" t="str">
            <v>T2部件</v>
          </cell>
          <cell r="J374">
            <v>10</v>
          </cell>
          <cell r="K374">
            <v>0.29762174405435998</v>
          </cell>
        </row>
        <row r="375">
          <cell r="B375">
            <v>92003</v>
          </cell>
          <cell r="I375" t="str">
            <v>T2部件</v>
          </cell>
          <cell r="J375">
            <v>10</v>
          </cell>
          <cell r="K375">
            <v>0.29762174405435998</v>
          </cell>
        </row>
        <row r="376">
          <cell r="B376">
            <v>92005</v>
          </cell>
          <cell r="I376" t="str">
            <v>T2部件</v>
          </cell>
          <cell r="J376">
            <v>10</v>
          </cell>
          <cell r="K376">
            <v>0.29762174405435998</v>
          </cell>
        </row>
        <row r="377">
          <cell r="B377">
            <v>92101</v>
          </cell>
          <cell r="I377" t="str">
            <v>T2部件</v>
          </cell>
          <cell r="J377">
            <v>10</v>
          </cell>
          <cell r="K377">
            <v>0.29762174405435998</v>
          </cell>
        </row>
        <row r="378">
          <cell r="B378">
            <v>92103</v>
          </cell>
          <cell r="I378" t="str">
            <v>T2部件</v>
          </cell>
          <cell r="J378">
            <v>10</v>
          </cell>
          <cell r="K378">
            <v>0.29762174405435998</v>
          </cell>
        </row>
        <row r="379">
          <cell r="B379">
            <v>92105</v>
          </cell>
          <cell r="I379" t="str">
            <v>T2部件</v>
          </cell>
          <cell r="J379">
            <v>10</v>
          </cell>
          <cell r="K379">
            <v>0.29762174405435998</v>
          </cell>
        </row>
        <row r="380">
          <cell r="B380">
            <v>92201</v>
          </cell>
          <cell r="I380" t="str">
            <v>T2部件</v>
          </cell>
          <cell r="J380">
            <v>10</v>
          </cell>
          <cell r="K380">
            <v>0.29762174405435998</v>
          </cell>
        </row>
        <row r="381">
          <cell r="B381">
            <v>92203</v>
          </cell>
          <cell r="I381" t="str">
            <v>T2部件</v>
          </cell>
          <cell r="J381">
            <v>10</v>
          </cell>
          <cell r="K381">
            <v>0.29762174405435998</v>
          </cell>
        </row>
        <row r="382">
          <cell r="B382">
            <v>92205</v>
          </cell>
          <cell r="I382" t="str">
            <v>T2部件</v>
          </cell>
          <cell r="J382">
            <v>10</v>
          </cell>
          <cell r="K382">
            <v>0.29762174405435998</v>
          </cell>
        </row>
        <row r="383">
          <cell r="B383">
            <v>92002</v>
          </cell>
          <cell r="I383" t="str">
            <v>T2部件</v>
          </cell>
          <cell r="J383">
            <v>10</v>
          </cell>
          <cell r="K383">
            <v>0.29762174405435998</v>
          </cell>
        </row>
        <row r="384">
          <cell r="B384">
            <v>92004</v>
          </cell>
          <cell r="I384" t="str">
            <v>T2部件</v>
          </cell>
          <cell r="J384">
            <v>10</v>
          </cell>
          <cell r="K384">
            <v>0.29762174405435998</v>
          </cell>
        </row>
        <row r="385">
          <cell r="B385">
            <v>92006</v>
          </cell>
          <cell r="I385" t="str">
            <v>T2部件</v>
          </cell>
          <cell r="J385">
            <v>10</v>
          </cell>
          <cell r="K385">
            <v>0.29762174405435998</v>
          </cell>
        </row>
        <row r="386">
          <cell r="B386">
            <v>92102</v>
          </cell>
          <cell r="I386" t="str">
            <v>T2部件</v>
          </cell>
          <cell r="J386">
            <v>10</v>
          </cell>
          <cell r="K386">
            <v>0.29762174405435998</v>
          </cell>
        </row>
        <row r="387">
          <cell r="B387">
            <v>92104</v>
          </cell>
          <cell r="I387" t="str">
            <v>T2部件</v>
          </cell>
          <cell r="J387">
            <v>10</v>
          </cell>
          <cell r="K387">
            <v>0.29762174405435998</v>
          </cell>
        </row>
        <row r="388">
          <cell r="B388">
            <v>92106</v>
          </cell>
          <cell r="I388" t="str">
            <v>T2部件</v>
          </cell>
          <cell r="J388">
            <v>10</v>
          </cell>
          <cell r="K388">
            <v>0.29762174405435998</v>
          </cell>
        </row>
        <row r="389">
          <cell r="B389">
            <v>92202</v>
          </cell>
          <cell r="I389" t="str">
            <v>T2部件</v>
          </cell>
          <cell r="J389">
            <v>10</v>
          </cell>
          <cell r="K389">
            <v>0.29762174405435998</v>
          </cell>
        </row>
        <row r="390">
          <cell r="B390">
            <v>92204</v>
          </cell>
          <cell r="I390" t="str">
            <v>T2部件</v>
          </cell>
          <cell r="J390">
            <v>10</v>
          </cell>
          <cell r="K390">
            <v>0.29762174405435998</v>
          </cell>
        </row>
        <row r="391">
          <cell r="B391">
            <v>92206</v>
          </cell>
          <cell r="I391" t="str">
            <v>T2部件</v>
          </cell>
          <cell r="J391">
            <v>10</v>
          </cell>
          <cell r="K391">
            <v>0.29762174405435998</v>
          </cell>
        </row>
        <row r="392">
          <cell r="B392">
            <v>93001</v>
          </cell>
          <cell r="I392" t="str">
            <v>T3部件</v>
          </cell>
          <cell r="J392">
            <v>10</v>
          </cell>
          <cell r="K392">
            <v>0.13861834654586599</v>
          </cell>
        </row>
        <row r="393">
          <cell r="B393">
            <v>93003</v>
          </cell>
          <cell r="I393" t="str">
            <v>T3部件</v>
          </cell>
          <cell r="J393">
            <v>10</v>
          </cell>
          <cell r="K393">
            <v>0.13861834654586599</v>
          </cell>
        </row>
        <row r="394">
          <cell r="B394">
            <v>93005</v>
          </cell>
          <cell r="I394" t="str">
            <v>T3部件</v>
          </cell>
          <cell r="J394">
            <v>10</v>
          </cell>
          <cell r="K394">
            <v>0.13861834654586599</v>
          </cell>
        </row>
        <row r="395">
          <cell r="B395">
            <v>93101</v>
          </cell>
          <cell r="I395" t="str">
            <v>T3部件</v>
          </cell>
          <cell r="J395">
            <v>10</v>
          </cell>
          <cell r="K395">
            <v>0.13861834654586599</v>
          </cell>
        </row>
        <row r="396">
          <cell r="B396">
            <v>93103</v>
          </cell>
          <cell r="I396" t="str">
            <v>T3部件</v>
          </cell>
          <cell r="J396">
            <v>10</v>
          </cell>
          <cell r="K396">
            <v>0.13861834654586599</v>
          </cell>
        </row>
        <row r="397">
          <cell r="B397">
            <v>93105</v>
          </cell>
          <cell r="I397" t="str">
            <v>T3部件</v>
          </cell>
          <cell r="J397">
            <v>10</v>
          </cell>
          <cell r="K397">
            <v>0.13861834654586599</v>
          </cell>
        </row>
        <row r="398">
          <cell r="B398">
            <v>93201</v>
          </cell>
          <cell r="I398" t="str">
            <v>T3部件</v>
          </cell>
          <cell r="J398">
            <v>10</v>
          </cell>
          <cell r="K398">
            <v>0.15583238958097401</v>
          </cell>
        </row>
        <row r="399">
          <cell r="B399">
            <v>93203</v>
          </cell>
          <cell r="I399" t="str">
            <v>T3部件</v>
          </cell>
          <cell r="J399">
            <v>10</v>
          </cell>
          <cell r="K399">
            <v>0.15583238958097401</v>
          </cell>
        </row>
        <row r="400">
          <cell r="B400">
            <v>93205</v>
          </cell>
          <cell r="I400" t="str">
            <v>T3部件</v>
          </cell>
          <cell r="J400">
            <v>10</v>
          </cell>
          <cell r="K400">
            <v>0.15583238958097401</v>
          </cell>
        </row>
        <row r="401">
          <cell r="B401">
            <v>93002</v>
          </cell>
          <cell r="I401" t="str">
            <v>T3部件</v>
          </cell>
          <cell r="J401">
            <v>10</v>
          </cell>
          <cell r="K401">
            <v>0.15583238958097401</v>
          </cell>
        </row>
        <row r="402">
          <cell r="B402">
            <v>93004</v>
          </cell>
          <cell r="I402" t="str">
            <v>T3部件</v>
          </cell>
          <cell r="J402">
            <v>10</v>
          </cell>
          <cell r="K402">
            <v>0.15583238958097401</v>
          </cell>
        </row>
        <row r="403">
          <cell r="B403">
            <v>93006</v>
          </cell>
          <cell r="I403" t="str">
            <v>T3部件</v>
          </cell>
          <cell r="J403">
            <v>10</v>
          </cell>
          <cell r="K403">
            <v>0.15583238958097401</v>
          </cell>
        </row>
        <row r="404">
          <cell r="B404">
            <v>93102</v>
          </cell>
          <cell r="I404" t="str">
            <v>T3部件</v>
          </cell>
          <cell r="J404">
            <v>10</v>
          </cell>
          <cell r="K404">
            <v>0.15583238958097401</v>
          </cell>
        </row>
        <row r="405">
          <cell r="B405">
            <v>93104</v>
          </cell>
          <cell r="I405" t="str">
            <v>T3部件</v>
          </cell>
          <cell r="J405">
            <v>10</v>
          </cell>
          <cell r="K405">
            <v>0.15583238958097401</v>
          </cell>
        </row>
        <row r="406">
          <cell r="B406">
            <v>93106</v>
          </cell>
          <cell r="I406" t="str">
            <v>T3部件</v>
          </cell>
          <cell r="J406">
            <v>10</v>
          </cell>
          <cell r="K406">
            <v>0.15583238958097401</v>
          </cell>
        </row>
        <row r="407">
          <cell r="B407">
            <v>93202</v>
          </cell>
          <cell r="I407" t="str">
            <v>T3部件</v>
          </cell>
          <cell r="J407">
            <v>10</v>
          </cell>
          <cell r="K407">
            <v>0.15583238958097401</v>
          </cell>
        </row>
        <row r="408">
          <cell r="B408">
            <v>93204</v>
          </cell>
          <cell r="I408" t="str">
            <v>T3部件</v>
          </cell>
          <cell r="J408">
            <v>10</v>
          </cell>
          <cell r="K408">
            <v>0.15583238958097401</v>
          </cell>
        </row>
        <row r="409">
          <cell r="B409">
            <v>93206</v>
          </cell>
          <cell r="I409" t="str">
            <v>T3部件</v>
          </cell>
          <cell r="J409">
            <v>10</v>
          </cell>
          <cell r="K409">
            <v>0.121404303510759</v>
          </cell>
        </row>
      </sheetData>
      <sheetData sheetId="4" refreshError="1"/>
      <sheetData sheetId="5" refreshError="1"/>
      <sheetData sheetId="6">
        <row r="1">
          <cell r="H1" t="str">
            <v>名称</v>
          </cell>
          <cell r="I1" t="str">
            <v>类别</v>
          </cell>
          <cell r="J1" t="str">
            <v>联赛等级</v>
          </cell>
          <cell r="K1" t="str">
            <v>计算个数</v>
          </cell>
        </row>
        <row r="2">
          <cell r="H2" t="str">
            <v>雷诺FT-碎片</v>
          </cell>
          <cell r="I2" t="str">
            <v>T1碎片</v>
          </cell>
          <cell r="J2">
            <v>1</v>
          </cell>
          <cell r="K2">
            <v>0.151058397166625</v>
          </cell>
        </row>
        <row r="3">
          <cell r="H3" t="str">
            <v>Stuart-碎片</v>
          </cell>
          <cell r="I3" t="str">
            <v>T1碎片</v>
          </cell>
          <cell r="J3">
            <v>1</v>
          </cell>
          <cell r="K3">
            <v>0.151058397166625</v>
          </cell>
        </row>
        <row r="4">
          <cell r="H4" t="str">
            <v>B-1-碎片</v>
          </cell>
          <cell r="I4" t="str">
            <v>T1碎片</v>
          </cell>
          <cell r="J4">
            <v>1</v>
          </cell>
          <cell r="K4">
            <v>0.151058397166625</v>
          </cell>
        </row>
        <row r="5">
          <cell r="H5" t="str">
            <v>二号-碎片</v>
          </cell>
          <cell r="I5" t="str">
            <v>T2碎片</v>
          </cell>
          <cell r="J5">
            <v>1</v>
          </cell>
          <cell r="K5">
            <v>8.2365538258792493E-3</v>
          </cell>
        </row>
        <row r="6">
          <cell r="H6" t="str">
            <v>二号-碎片</v>
          </cell>
          <cell r="I6" t="str">
            <v>T2碎片</v>
          </cell>
          <cell r="J6">
            <v>1</v>
          </cell>
          <cell r="K6">
            <v>8.2365538258792493E-3</v>
          </cell>
        </row>
        <row r="7">
          <cell r="H7" t="str">
            <v>T-34-碎片</v>
          </cell>
          <cell r="I7" t="str">
            <v>T2碎片</v>
          </cell>
          <cell r="J7">
            <v>1</v>
          </cell>
          <cell r="K7">
            <v>8.2365538258792493E-3</v>
          </cell>
        </row>
        <row r="8">
          <cell r="H8" t="str">
            <v>T-34-碎片</v>
          </cell>
          <cell r="I8" t="str">
            <v>T2碎片</v>
          </cell>
          <cell r="J8">
            <v>1</v>
          </cell>
          <cell r="K8">
            <v>8.2365538258792493E-3</v>
          </cell>
        </row>
        <row r="9">
          <cell r="H9" t="str">
            <v>KV-1-碎片</v>
          </cell>
          <cell r="I9" t="str">
            <v>T2碎片</v>
          </cell>
          <cell r="J9">
            <v>1</v>
          </cell>
          <cell r="K9">
            <v>8.2365538258792493E-3</v>
          </cell>
        </row>
        <row r="10">
          <cell r="H10" t="str">
            <v>KV-1-碎片</v>
          </cell>
          <cell r="I10" t="str">
            <v>T2碎片</v>
          </cell>
          <cell r="J10">
            <v>1</v>
          </cell>
          <cell r="K10">
            <v>8.2365538258792493E-3</v>
          </cell>
        </row>
        <row r="11">
          <cell r="H11" t="str">
            <v>35(t)-碎片</v>
          </cell>
          <cell r="I11" t="str">
            <v>T3碎片</v>
          </cell>
          <cell r="J11">
            <v>1</v>
          </cell>
          <cell r="K11">
            <v>2.4709661477637802E-3</v>
          </cell>
        </row>
        <row r="12">
          <cell r="H12" t="str">
            <v>35(t)-碎片</v>
          </cell>
          <cell r="I12" t="str">
            <v>T3碎片</v>
          </cell>
          <cell r="J12">
            <v>1</v>
          </cell>
          <cell r="K12">
            <v>2.4709661477637802E-3</v>
          </cell>
        </row>
        <row r="13">
          <cell r="H13" t="str">
            <v>玛蒂尔达-碎片</v>
          </cell>
          <cell r="I13" t="str">
            <v>T3碎片</v>
          </cell>
          <cell r="J13">
            <v>1</v>
          </cell>
          <cell r="K13">
            <v>2.4709661477637802E-3</v>
          </cell>
        </row>
        <row r="14">
          <cell r="H14" t="str">
            <v>玛蒂尔达-碎片</v>
          </cell>
          <cell r="I14" t="str">
            <v>T3碎片</v>
          </cell>
          <cell r="J14">
            <v>1</v>
          </cell>
          <cell r="K14">
            <v>2.4709661477637802E-3</v>
          </cell>
        </row>
        <row r="15">
          <cell r="H15" t="str">
            <v>黑豹-碎片</v>
          </cell>
          <cell r="I15" t="str">
            <v>T3碎片</v>
          </cell>
          <cell r="J15">
            <v>1</v>
          </cell>
          <cell r="K15">
            <v>2.4709661477637802E-3</v>
          </cell>
        </row>
        <row r="16">
          <cell r="H16" t="str">
            <v>黑豹-碎片</v>
          </cell>
          <cell r="I16" t="str">
            <v>T3碎片</v>
          </cell>
          <cell r="J16">
            <v>1</v>
          </cell>
          <cell r="K16">
            <v>2.4709661477637802E-3</v>
          </cell>
        </row>
        <row r="17">
          <cell r="H17" t="str">
            <v>T1LP1</v>
          </cell>
          <cell r="I17" t="str">
            <v>T1部件</v>
          </cell>
          <cell r="J17">
            <v>1</v>
          </cell>
          <cell r="K17">
            <v>0.16473107651758501</v>
          </cell>
        </row>
        <row r="18">
          <cell r="H18" t="str">
            <v>T1LP3</v>
          </cell>
          <cell r="I18" t="str">
            <v>T1部件</v>
          </cell>
          <cell r="J18">
            <v>1</v>
          </cell>
          <cell r="K18">
            <v>0.16473107651758501</v>
          </cell>
        </row>
        <row r="19">
          <cell r="H19" t="str">
            <v>T1LP5</v>
          </cell>
          <cell r="I19" t="str">
            <v>T1部件</v>
          </cell>
          <cell r="J19">
            <v>1</v>
          </cell>
          <cell r="K19">
            <v>0.16473107651758501</v>
          </cell>
        </row>
        <row r="20">
          <cell r="H20" t="str">
            <v>T1MP1</v>
          </cell>
          <cell r="I20" t="str">
            <v>T1部件</v>
          </cell>
          <cell r="J20">
            <v>1</v>
          </cell>
          <cell r="K20">
            <v>0.16473107651758501</v>
          </cell>
        </row>
        <row r="21">
          <cell r="H21" t="str">
            <v>T1MP3</v>
          </cell>
          <cell r="I21" t="str">
            <v>T1部件</v>
          </cell>
          <cell r="J21">
            <v>1</v>
          </cell>
          <cell r="K21">
            <v>0.16473107651758501</v>
          </cell>
        </row>
        <row r="22">
          <cell r="H22" t="str">
            <v>T1MP5</v>
          </cell>
          <cell r="I22" t="str">
            <v>T1部件</v>
          </cell>
          <cell r="J22">
            <v>1</v>
          </cell>
          <cell r="K22">
            <v>0.16473107651758501</v>
          </cell>
        </row>
        <row r="23">
          <cell r="H23" t="str">
            <v>T1HP1</v>
          </cell>
          <cell r="I23" t="str">
            <v>T1部件</v>
          </cell>
          <cell r="J23">
            <v>1</v>
          </cell>
          <cell r="K23">
            <v>0.16473107651758501</v>
          </cell>
        </row>
        <row r="24">
          <cell r="H24" t="str">
            <v>T1HP3</v>
          </cell>
          <cell r="I24" t="str">
            <v>T1部件</v>
          </cell>
          <cell r="J24">
            <v>1</v>
          </cell>
          <cell r="K24">
            <v>0.16473107651758501</v>
          </cell>
        </row>
        <row r="25">
          <cell r="H25" t="str">
            <v>T1HP5</v>
          </cell>
          <cell r="I25" t="str">
            <v>T1部件</v>
          </cell>
          <cell r="J25">
            <v>1</v>
          </cell>
          <cell r="K25">
            <v>0.16473107651758501</v>
          </cell>
        </row>
        <row r="26">
          <cell r="H26" t="str">
            <v>雷诺FT-碎片</v>
          </cell>
          <cell r="I26" t="str">
            <v>T1碎片</v>
          </cell>
          <cell r="J26">
            <v>2</v>
          </cell>
          <cell r="K26">
            <v>0.15544041450777199</v>
          </cell>
        </row>
        <row r="27">
          <cell r="H27" t="str">
            <v>Stuart-碎片</v>
          </cell>
          <cell r="I27" t="str">
            <v>T1碎片</v>
          </cell>
          <cell r="J27">
            <v>2</v>
          </cell>
          <cell r="K27">
            <v>0.15544041450777199</v>
          </cell>
        </row>
        <row r="28">
          <cell r="H28" t="str">
            <v>B-1-碎片</v>
          </cell>
          <cell r="I28" t="str">
            <v>T1碎片</v>
          </cell>
          <cell r="J28">
            <v>2</v>
          </cell>
          <cell r="K28">
            <v>0.15544041450777199</v>
          </cell>
        </row>
        <row r="29">
          <cell r="H29" t="str">
            <v>二号-碎片</v>
          </cell>
          <cell r="I29" t="str">
            <v>T2碎片</v>
          </cell>
          <cell r="J29">
            <v>2</v>
          </cell>
          <cell r="K29">
            <v>2.59067357512953E-2</v>
          </cell>
        </row>
        <row r="30">
          <cell r="H30" t="str">
            <v>T-34-碎片</v>
          </cell>
          <cell r="I30" t="str">
            <v>T2碎片</v>
          </cell>
          <cell r="J30">
            <v>2</v>
          </cell>
          <cell r="K30">
            <v>2.59067357512953E-2</v>
          </cell>
        </row>
        <row r="31">
          <cell r="H31" t="str">
            <v>KV-1-碎片</v>
          </cell>
          <cell r="I31" t="str">
            <v>T2碎片</v>
          </cell>
          <cell r="J31">
            <v>2</v>
          </cell>
          <cell r="K31">
            <v>2.59067357512953E-2</v>
          </cell>
        </row>
        <row r="32">
          <cell r="H32" t="str">
            <v>二号-碎片</v>
          </cell>
          <cell r="I32" t="str">
            <v>T2碎片</v>
          </cell>
          <cell r="J32">
            <v>2</v>
          </cell>
          <cell r="K32">
            <v>8.6355785837651106E-3</v>
          </cell>
        </row>
        <row r="33">
          <cell r="H33" t="str">
            <v>T-34-碎片</v>
          </cell>
          <cell r="I33" t="str">
            <v>T2碎片</v>
          </cell>
          <cell r="J33">
            <v>2</v>
          </cell>
          <cell r="K33">
            <v>8.6355785837651106E-3</v>
          </cell>
        </row>
        <row r="34">
          <cell r="H34" t="str">
            <v>KV-1-碎片</v>
          </cell>
          <cell r="I34" t="str">
            <v>T2碎片</v>
          </cell>
          <cell r="J34">
            <v>2</v>
          </cell>
          <cell r="K34">
            <v>8.6355785837651106E-3</v>
          </cell>
        </row>
        <row r="35">
          <cell r="H35" t="str">
            <v>35(t)-碎片</v>
          </cell>
          <cell r="I35" t="str">
            <v>T3碎片</v>
          </cell>
          <cell r="J35">
            <v>2</v>
          </cell>
          <cell r="K35">
            <v>5.1813471502590702E-3</v>
          </cell>
        </row>
        <row r="36">
          <cell r="H36" t="str">
            <v>35(t)-碎片</v>
          </cell>
          <cell r="I36" t="str">
            <v>T3碎片</v>
          </cell>
          <cell r="J36">
            <v>2</v>
          </cell>
          <cell r="K36">
            <v>5.1813471502590702E-3</v>
          </cell>
        </row>
        <row r="37">
          <cell r="H37" t="str">
            <v>玛蒂尔达-碎片</v>
          </cell>
          <cell r="I37" t="str">
            <v>T3碎片</v>
          </cell>
          <cell r="J37">
            <v>2</v>
          </cell>
          <cell r="K37">
            <v>5.1813471502590702E-3</v>
          </cell>
        </row>
        <row r="38">
          <cell r="H38" t="str">
            <v>玛蒂尔达-碎片</v>
          </cell>
          <cell r="I38" t="str">
            <v>T3碎片</v>
          </cell>
          <cell r="J38">
            <v>2</v>
          </cell>
          <cell r="K38">
            <v>5.1813471502590702E-3</v>
          </cell>
        </row>
        <row r="39">
          <cell r="H39" t="str">
            <v>黑豹-碎片</v>
          </cell>
          <cell r="I39" t="str">
            <v>T3碎片</v>
          </cell>
          <cell r="J39">
            <v>2</v>
          </cell>
          <cell r="K39">
            <v>5.1813471502590702E-3</v>
          </cell>
        </row>
        <row r="40">
          <cell r="H40" t="str">
            <v>黑豹-碎片</v>
          </cell>
          <cell r="I40" t="str">
            <v>T3碎片</v>
          </cell>
          <cell r="J40">
            <v>2</v>
          </cell>
          <cell r="K40">
            <v>5.1813471502590702E-3</v>
          </cell>
        </row>
        <row r="41">
          <cell r="H41" t="str">
            <v>T1LP1</v>
          </cell>
          <cell r="I41" t="str">
            <v>T1部件</v>
          </cell>
          <cell r="J41">
            <v>2</v>
          </cell>
          <cell r="K41">
            <v>8.6355785837651106E-2</v>
          </cell>
        </row>
        <row r="42">
          <cell r="H42" t="str">
            <v>T1LP3</v>
          </cell>
          <cell r="I42" t="str">
            <v>T1部件</v>
          </cell>
          <cell r="J42">
            <v>2</v>
          </cell>
          <cell r="K42">
            <v>8.6355785837651106E-2</v>
          </cell>
        </row>
        <row r="43">
          <cell r="H43" t="str">
            <v>T1LP5</v>
          </cell>
          <cell r="I43" t="str">
            <v>T1部件</v>
          </cell>
          <cell r="J43">
            <v>2</v>
          </cell>
          <cell r="K43">
            <v>8.6355785837651106E-2</v>
          </cell>
        </row>
        <row r="44">
          <cell r="H44" t="str">
            <v>T1MP1</v>
          </cell>
          <cell r="I44" t="str">
            <v>T1部件</v>
          </cell>
          <cell r="J44">
            <v>2</v>
          </cell>
          <cell r="K44">
            <v>8.6355785837651106E-2</v>
          </cell>
        </row>
        <row r="45">
          <cell r="H45" t="str">
            <v>T1MP3</v>
          </cell>
          <cell r="I45" t="str">
            <v>T1部件</v>
          </cell>
          <cell r="J45">
            <v>2</v>
          </cell>
          <cell r="K45">
            <v>8.6355785837651106E-2</v>
          </cell>
        </row>
        <row r="46">
          <cell r="H46" t="str">
            <v>T1MP5</v>
          </cell>
          <cell r="I46" t="str">
            <v>T1部件</v>
          </cell>
          <cell r="J46">
            <v>2</v>
          </cell>
          <cell r="K46">
            <v>8.6355785837651106E-2</v>
          </cell>
        </row>
        <row r="47">
          <cell r="H47" t="str">
            <v>T1HP1</v>
          </cell>
          <cell r="I47" t="str">
            <v>T1部件</v>
          </cell>
          <cell r="J47">
            <v>2</v>
          </cell>
          <cell r="K47">
            <v>8.6355785837651106E-2</v>
          </cell>
        </row>
        <row r="48">
          <cell r="H48" t="str">
            <v>T1HP3</v>
          </cell>
          <cell r="I48" t="str">
            <v>T1部件</v>
          </cell>
          <cell r="J48">
            <v>2</v>
          </cell>
          <cell r="K48">
            <v>8.6355785837651106E-2</v>
          </cell>
        </row>
        <row r="49">
          <cell r="H49" t="str">
            <v>T1HP5</v>
          </cell>
          <cell r="I49" t="str">
            <v>T1部件</v>
          </cell>
          <cell r="J49">
            <v>2</v>
          </cell>
          <cell r="K49">
            <v>8.6355785837651106E-2</v>
          </cell>
        </row>
        <row r="50">
          <cell r="H50" t="str">
            <v>T1LP2</v>
          </cell>
          <cell r="I50" t="str">
            <v>T1部件</v>
          </cell>
          <cell r="J50">
            <v>2</v>
          </cell>
          <cell r="K50">
            <v>8.6355785837651106E-2</v>
          </cell>
        </row>
        <row r="51">
          <cell r="H51" t="str">
            <v>T1LP4</v>
          </cell>
          <cell r="I51" t="str">
            <v>T1部件</v>
          </cell>
          <cell r="J51">
            <v>2</v>
          </cell>
          <cell r="K51">
            <v>8.6355785837651106E-2</v>
          </cell>
        </row>
        <row r="52">
          <cell r="H52" t="str">
            <v>T1LP6</v>
          </cell>
          <cell r="I52" t="str">
            <v>T1部件</v>
          </cell>
          <cell r="J52">
            <v>2</v>
          </cell>
          <cell r="K52">
            <v>8.6355785837651106E-2</v>
          </cell>
        </row>
        <row r="53">
          <cell r="H53" t="str">
            <v>T1MP2</v>
          </cell>
          <cell r="I53" t="str">
            <v>T1部件</v>
          </cell>
          <cell r="J53">
            <v>2</v>
          </cell>
          <cell r="K53">
            <v>8.6355785837651106E-2</v>
          </cell>
        </row>
        <row r="54">
          <cell r="H54" t="str">
            <v>T1MP4</v>
          </cell>
          <cell r="I54" t="str">
            <v>T1部件</v>
          </cell>
          <cell r="J54">
            <v>2</v>
          </cell>
          <cell r="K54">
            <v>8.6355785837651106E-2</v>
          </cell>
        </row>
        <row r="55">
          <cell r="H55" t="str">
            <v>T1MP6</v>
          </cell>
          <cell r="I55" t="str">
            <v>T1部件</v>
          </cell>
          <cell r="J55">
            <v>2</v>
          </cell>
          <cell r="K55">
            <v>8.6355785837651106E-2</v>
          </cell>
        </row>
        <row r="56">
          <cell r="H56" t="str">
            <v>T1HP2</v>
          </cell>
          <cell r="I56" t="str">
            <v>T1部件</v>
          </cell>
          <cell r="J56">
            <v>2</v>
          </cell>
          <cell r="K56">
            <v>8.6355785837651106E-2</v>
          </cell>
        </row>
        <row r="57">
          <cell r="H57" t="str">
            <v>T1HP4</v>
          </cell>
          <cell r="I57" t="str">
            <v>T1部件</v>
          </cell>
          <cell r="J57">
            <v>2</v>
          </cell>
          <cell r="K57">
            <v>8.6355785837651106E-2</v>
          </cell>
        </row>
        <row r="58">
          <cell r="H58" t="str">
            <v>T1HP6</v>
          </cell>
          <cell r="I58" t="str">
            <v>T1部件</v>
          </cell>
          <cell r="J58">
            <v>2</v>
          </cell>
          <cell r="K58">
            <v>8.6355785837651106E-2</v>
          </cell>
        </row>
        <row r="59">
          <cell r="H59" t="str">
            <v>雷诺FT-碎片</v>
          </cell>
          <cell r="I59" t="str">
            <v>T1碎片</v>
          </cell>
          <cell r="J59">
            <v>3</v>
          </cell>
          <cell r="K59">
            <v>0.14231499051233401</v>
          </cell>
        </row>
        <row r="60">
          <cell r="H60" t="str">
            <v>Stuart-碎片</v>
          </cell>
          <cell r="I60" t="str">
            <v>T1碎片</v>
          </cell>
          <cell r="J60">
            <v>3</v>
          </cell>
          <cell r="K60">
            <v>0.14231499051233401</v>
          </cell>
        </row>
        <row r="61">
          <cell r="H61" t="str">
            <v>B-1-碎片</v>
          </cell>
          <cell r="I61" t="str">
            <v>T1碎片</v>
          </cell>
          <cell r="J61">
            <v>3</v>
          </cell>
          <cell r="K61">
            <v>0.14231499051233401</v>
          </cell>
        </row>
        <row r="62">
          <cell r="H62" t="str">
            <v>二号-碎片</v>
          </cell>
          <cell r="I62" t="str">
            <v>T2碎片</v>
          </cell>
          <cell r="J62">
            <v>3</v>
          </cell>
          <cell r="K62">
            <v>8.5863377609108199E-2</v>
          </cell>
        </row>
        <row r="63">
          <cell r="H63" t="str">
            <v>T-34-碎片</v>
          </cell>
          <cell r="I63" t="str">
            <v>T2碎片</v>
          </cell>
          <cell r="J63">
            <v>3</v>
          </cell>
          <cell r="K63">
            <v>8.5863377609108199E-2</v>
          </cell>
        </row>
        <row r="64">
          <cell r="H64" t="str">
            <v>KV-1-碎片</v>
          </cell>
          <cell r="I64" t="str">
            <v>T2碎片</v>
          </cell>
          <cell r="J64">
            <v>3</v>
          </cell>
          <cell r="K64">
            <v>8.5863377609108199E-2</v>
          </cell>
        </row>
        <row r="65">
          <cell r="H65" t="str">
            <v>二号-碎片</v>
          </cell>
          <cell r="I65" t="str">
            <v>T2碎片</v>
          </cell>
          <cell r="J65">
            <v>3</v>
          </cell>
          <cell r="K65">
            <v>8.5863377609108199E-2</v>
          </cell>
        </row>
        <row r="66">
          <cell r="H66" t="str">
            <v>T-34-碎片</v>
          </cell>
          <cell r="I66" t="str">
            <v>T2碎片</v>
          </cell>
          <cell r="J66">
            <v>3</v>
          </cell>
          <cell r="K66">
            <v>8.5863377609108199E-2</v>
          </cell>
        </row>
        <row r="67">
          <cell r="H67" t="str">
            <v>KV-1-碎片</v>
          </cell>
          <cell r="I67" t="str">
            <v>T2碎片</v>
          </cell>
          <cell r="J67">
            <v>3</v>
          </cell>
          <cell r="K67">
            <v>8.5863377609108199E-2</v>
          </cell>
        </row>
        <row r="68">
          <cell r="H68" t="str">
            <v>35(t)-碎片</v>
          </cell>
          <cell r="I68" t="str">
            <v>T3碎片</v>
          </cell>
          <cell r="J68">
            <v>3</v>
          </cell>
          <cell r="K68">
            <v>9.4876660341556007E-3</v>
          </cell>
        </row>
        <row r="69">
          <cell r="H69" t="str">
            <v>35(t)-碎片</v>
          </cell>
          <cell r="I69" t="str">
            <v>T3碎片</v>
          </cell>
          <cell r="J69">
            <v>3</v>
          </cell>
          <cell r="K69">
            <v>9.4876660341556007E-3</v>
          </cell>
        </row>
        <row r="70">
          <cell r="H70" t="str">
            <v>玛蒂尔达-碎片</v>
          </cell>
          <cell r="I70" t="str">
            <v>T3碎片</v>
          </cell>
          <cell r="J70">
            <v>3</v>
          </cell>
          <cell r="K70">
            <v>9.4876660341556007E-3</v>
          </cell>
        </row>
        <row r="71">
          <cell r="H71" t="str">
            <v>玛蒂尔达-碎片</v>
          </cell>
          <cell r="I71" t="str">
            <v>T3碎片</v>
          </cell>
          <cell r="J71">
            <v>3</v>
          </cell>
          <cell r="K71">
            <v>9.4876660341556007E-3</v>
          </cell>
        </row>
        <row r="72">
          <cell r="H72" t="str">
            <v>黑豹-碎片</v>
          </cell>
          <cell r="I72" t="str">
            <v>T3碎片</v>
          </cell>
          <cell r="J72">
            <v>3</v>
          </cell>
          <cell r="K72">
            <v>9.4876660341556007E-3</v>
          </cell>
        </row>
        <row r="73">
          <cell r="H73" t="str">
            <v>黑豹-碎片</v>
          </cell>
          <cell r="I73" t="str">
            <v>T3碎片</v>
          </cell>
          <cell r="J73">
            <v>3</v>
          </cell>
          <cell r="K73">
            <v>9.4876660341556007E-3</v>
          </cell>
        </row>
        <row r="74">
          <cell r="H74" t="str">
            <v>T1LP1</v>
          </cell>
          <cell r="I74" t="str">
            <v>T1部件</v>
          </cell>
          <cell r="J74">
            <v>3</v>
          </cell>
          <cell r="K74">
            <v>7.7798861480075907E-2</v>
          </cell>
        </row>
        <row r="75">
          <cell r="H75" t="str">
            <v>T1LP3</v>
          </cell>
          <cell r="I75" t="str">
            <v>T1部件</v>
          </cell>
          <cell r="J75">
            <v>3</v>
          </cell>
          <cell r="K75">
            <v>7.7798861480075907E-2</v>
          </cell>
        </row>
        <row r="76">
          <cell r="H76" t="str">
            <v>T1LP5</v>
          </cell>
          <cell r="I76" t="str">
            <v>T1部件</v>
          </cell>
          <cell r="J76">
            <v>3</v>
          </cell>
          <cell r="K76">
            <v>7.7798861480075907E-2</v>
          </cell>
        </row>
        <row r="77">
          <cell r="H77" t="str">
            <v>T1MP1</v>
          </cell>
          <cell r="I77" t="str">
            <v>T1部件</v>
          </cell>
          <cell r="J77">
            <v>3</v>
          </cell>
          <cell r="K77">
            <v>7.7798861480075907E-2</v>
          </cell>
        </row>
        <row r="78">
          <cell r="H78" t="str">
            <v>T1MP3</v>
          </cell>
          <cell r="I78" t="str">
            <v>T1部件</v>
          </cell>
          <cell r="J78">
            <v>3</v>
          </cell>
          <cell r="K78">
            <v>7.7798861480075907E-2</v>
          </cell>
        </row>
        <row r="79">
          <cell r="H79" t="str">
            <v>T1MP5</v>
          </cell>
          <cell r="I79" t="str">
            <v>T1部件</v>
          </cell>
          <cell r="J79">
            <v>3</v>
          </cell>
          <cell r="K79">
            <v>7.7798861480075907E-2</v>
          </cell>
        </row>
        <row r="80">
          <cell r="H80" t="str">
            <v>T1HP1</v>
          </cell>
          <cell r="I80" t="str">
            <v>T1部件</v>
          </cell>
          <cell r="J80">
            <v>3</v>
          </cell>
          <cell r="K80">
            <v>7.7798861480075907E-2</v>
          </cell>
        </row>
        <row r="81">
          <cell r="H81" t="str">
            <v>T1HP3</v>
          </cell>
          <cell r="I81" t="str">
            <v>T1部件</v>
          </cell>
          <cell r="J81">
            <v>3</v>
          </cell>
          <cell r="K81">
            <v>7.7798861480075907E-2</v>
          </cell>
        </row>
        <row r="82">
          <cell r="H82" t="str">
            <v>T1HP5</v>
          </cell>
          <cell r="I82" t="str">
            <v>T1部件</v>
          </cell>
          <cell r="J82">
            <v>3</v>
          </cell>
          <cell r="K82">
            <v>7.7798861480075907E-2</v>
          </cell>
        </row>
        <row r="83">
          <cell r="H83" t="str">
            <v>T1LP2</v>
          </cell>
          <cell r="I83" t="str">
            <v>T1部件</v>
          </cell>
          <cell r="J83">
            <v>3</v>
          </cell>
          <cell r="K83">
            <v>7.7798861480075907E-2</v>
          </cell>
        </row>
        <row r="84">
          <cell r="H84" t="str">
            <v>T1LP4</v>
          </cell>
          <cell r="I84" t="str">
            <v>T1部件</v>
          </cell>
          <cell r="J84">
            <v>3</v>
          </cell>
          <cell r="K84">
            <v>7.7798861480075907E-2</v>
          </cell>
        </row>
        <row r="85">
          <cell r="H85" t="str">
            <v>T1LP6</v>
          </cell>
          <cell r="I85" t="str">
            <v>T1部件</v>
          </cell>
          <cell r="J85">
            <v>3</v>
          </cell>
          <cell r="K85">
            <v>7.7798861480075907E-2</v>
          </cell>
        </row>
        <row r="86">
          <cell r="H86" t="str">
            <v>T1MP2</v>
          </cell>
          <cell r="I86" t="str">
            <v>T1部件</v>
          </cell>
          <cell r="J86">
            <v>3</v>
          </cell>
          <cell r="K86">
            <v>7.7798861480075907E-2</v>
          </cell>
        </row>
        <row r="87">
          <cell r="H87" t="str">
            <v>T1MP4</v>
          </cell>
          <cell r="I87" t="str">
            <v>T1部件</v>
          </cell>
          <cell r="J87">
            <v>3</v>
          </cell>
          <cell r="K87">
            <v>7.7798861480075907E-2</v>
          </cell>
        </row>
        <row r="88">
          <cell r="H88" t="str">
            <v>T1MP6</v>
          </cell>
          <cell r="I88" t="str">
            <v>T1部件</v>
          </cell>
          <cell r="J88">
            <v>3</v>
          </cell>
          <cell r="K88">
            <v>7.7798861480075907E-2</v>
          </cell>
        </row>
        <row r="89">
          <cell r="H89" t="str">
            <v>T1HP2</v>
          </cell>
          <cell r="I89" t="str">
            <v>T1部件</v>
          </cell>
          <cell r="J89">
            <v>3</v>
          </cell>
          <cell r="K89">
            <v>7.7798861480075907E-2</v>
          </cell>
        </row>
        <row r="90">
          <cell r="H90" t="str">
            <v>T1HP4</v>
          </cell>
          <cell r="I90" t="str">
            <v>T1部件</v>
          </cell>
          <cell r="J90">
            <v>3</v>
          </cell>
          <cell r="K90">
            <v>7.7798861480075907E-2</v>
          </cell>
        </row>
        <row r="91">
          <cell r="H91" t="str">
            <v>T1HP6</v>
          </cell>
          <cell r="I91" t="str">
            <v>T1部件</v>
          </cell>
          <cell r="J91">
            <v>3</v>
          </cell>
          <cell r="K91">
            <v>7.7798861480075907E-2</v>
          </cell>
        </row>
        <row r="92">
          <cell r="H92" t="str">
            <v>T2LP1</v>
          </cell>
          <cell r="I92" t="str">
            <v>T2部件</v>
          </cell>
          <cell r="J92">
            <v>3</v>
          </cell>
          <cell r="K92">
            <v>6.3251106894370596E-3</v>
          </cell>
        </row>
        <row r="93">
          <cell r="H93" t="str">
            <v>T2LP3</v>
          </cell>
          <cell r="I93" t="str">
            <v>T2部件</v>
          </cell>
          <cell r="J93">
            <v>3</v>
          </cell>
          <cell r="K93">
            <v>6.3251106894370596E-3</v>
          </cell>
        </row>
        <row r="94">
          <cell r="H94" t="str">
            <v>T2LP5</v>
          </cell>
          <cell r="I94" t="str">
            <v>T2部件</v>
          </cell>
          <cell r="J94">
            <v>3</v>
          </cell>
          <cell r="K94">
            <v>6.3251106894370596E-3</v>
          </cell>
        </row>
        <row r="95">
          <cell r="H95" t="str">
            <v>T2MP1</v>
          </cell>
          <cell r="I95" t="str">
            <v>T2部件</v>
          </cell>
          <cell r="J95">
            <v>3</v>
          </cell>
          <cell r="K95">
            <v>6.3251106894370596E-3</v>
          </cell>
        </row>
        <row r="96">
          <cell r="H96" t="str">
            <v>T2MP3</v>
          </cell>
          <cell r="I96" t="str">
            <v>T2部件</v>
          </cell>
          <cell r="J96">
            <v>3</v>
          </cell>
          <cell r="K96">
            <v>6.3251106894370596E-3</v>
          </cell>
        </row>
        <row r="97">
          <cell r="H97" t="str">
            <v>T2MP5</v>
          </cell>
          <cell r="I97" t="str">
            <v>T2部件</v>
          </cell>
          <cell r="J97">
            <v>3</v>
          </cell>
          <cell r="K97">
            <v>6.3251106894370596E-3</v>
          </cell>
        </row>
        <row r="98">
          <cell r="H98" t="str">
            <v>T2HP1</v>
          </cell>
          <cell r="I98" t="str">
            <v>T2部件</v>
          </cell>
          <cell r="J98">
            <v>3</v>
          </cell>
          <cell r="K98">
            <v>6.3251106894370596E-3</v>
          </cell>
        </row>
        <row r="99">
          <cell r="H99" t="str">
            <v>T2HP3</v>
          </cell>
          <cell r="I99" t="str">
            <v>T2部件</v>
          </cell>
          <cell r="J99">
            <v>3</v>
          </cell>
          <cell r="K99">
            <v>6.3251106894370596E-3</v>
          </cell>
        </row>
        <row r="100">
          <cell r="H100" t="str">
            <v>T2HP5</v>
          </cell>
          <cell r="I100" t="str">
            <v>T2部件</v>
          </cell>
          <cell r="J100">
            <v>3</v>
          </cell>
          <cell r="K100">
            <v>6.3251106894370596E-3</v>
          </cell>
        </row>
        <row r="101">
          <cell r="H101" t="str">
            <v>雷诺FT-碎片</v>
          </cell>
          <cell r="I101" t="str">
            <v>T1碎片</v>
          </cell>
          <cell r="J101">
            <v>4</v>
          </cell>
          <cell r="K101">
            <v>0.15325670498084301</v>
          </cell>
        </row>
        <row r="102">
          <cell r="H102" t="str">
            <v>Stuart-碎片</v>
          </cell>
          <cell r="I102" t="str">
            <v>T1碎片</v>
          </cell>
          <cell r="J102">
            <v>4</v>
          </cell>
          <cell r="K102">
            <v>0.15325670498084301</v>
          </cell>
        </row>
        <row r="103">
          <cell r="H103" t="str">
            <v>B-1-碎片</v>
          </cell>
          <cell r="I103" t="str">
            <v>T1碎片</v>
          </cell>
          <cell r="J103">
            <v>4</v>
          </cell>
          <cell r="K103">
            <v>0.15325670498084301</v>
          </cell>
        </row>
        <row r="104">
          <cell r="H104" t="str">
            <v>二号-碎片</v>
          </cell>
          <cell r="I104" t="str">
            <v>T2碎片</v>
          </cell>
          <cell r="J104">
            <v>4</v>
          </cell>
          <cell r="K104">
            <v>0.126436781609195</v>
          </cell>
        </row>
        <row r="105">
          <cell r="H105" t="str">
            <v>T-34-碎片</v>
          </cell>
          <cell r="I105" t="str">
            <v>T2碎片</v>
          </cell>
          <cell r="J105">
            <v>4</v>
          </cell>
          <cell r="K105">
            <v>0.126436781609195</v>
          </cell>
        </row>
        <row r="106">
          <cell r="H106" t="str">
            <v>KV-1-碎片</v>
          </cell>
          <cell r="I106" t="str">
            <v>T2碎片</v>
          </cell>
          <cell r="J106">
            <v>4</v>
          </cell>
          <cell r="K106">
            <v>0.126436781609195</v>
          </cell>
        </row>
        <row r="107">
          <cell r="H107" t="str">
            <v>二号-碎片</v>
          </cell>
          <cell r="I107" t="str">
            <v>T2碎片</v>
          </cell>
          <cell r="J107">
            <v>4</v>
          </cell>
          <cell r="K107">
            <v>0.126436781609195</v>
          </cell>
        </row>
        <row r="108">
          <cell r="H108" t="str">
            <v>T-34-碎片</v>
          </cell>
          <cell r="I108" t="str">
            <v>T2碎片</v>
          </cell>
          <cell r="J108">
            <v>4</v>
          </cell>
          <cell r="K108">
            <v>0.126436781609195</v>
          </cell>
        </row>
        <row r="109">
          <cell r="H109" t="str">
            <v>KV-1-碎片</v>
          </cell>
          <cell r="I109" t="str">
            <v>T2碎片</v>
          </cell>
          <cell r="J109">
            <v>4</v>
          </cell>
          <cell r="K109">
            <v>0.126436781609195</v>
          </cell>
        </row>
        <row r="110">
          <cell r="H110" t="str">
            <v>35(t)-碎片</v>
          </cell>
          <cell r="I110" t="str">
            <v>T3碎片</v>
          </cell>
          <cell r="J110">
            <v>4</v>
          </cell>
          <cell r="K110">
            <v>3.0651340996168602E-2</v>
          </cell>
        </row>
        <row r="111">
          <cell r="H111" t="str">
            <v>35(t)-碎片</v>
          </cell>
          <cell r="I111" t="str">
            <v>T3碎片</v>
          </cell>
          <cell r="J111">
            <v>4</v>
          </cell>
          <cell r="K111">
            <v>3.0651340996168602E-2</v>
          </cell>
        </row>
        <row r="112">
          <cell r="H112" t="str">
            <v>玛蒂尔达-碎片</v>
          </cell>
          <cell r="I112" t="str">
            <v>T3碎片</v>
          </cell>
          <cell r="J112">
            <v>4</v>
          </cell>
          <cell r="K112">
            <v>3.0651340996168602E-2</v>
          </cell>
        </row>
        <row r="113">
          <cell r="H113" t="str">
            <v>玛蒂尔达-碎片</v>
          </cell>
          <cell r="I113" t="str">
            <v>T3碎片</v>
          </cell>
          <cell r="J113">
            <v>4</v>
          </cell>
          <cell r="K113">
            <v>3.0651340996168602E-2</v>
          </cell>
        </row>
        <row r="114">
          <cell r="H114" t="str">
            <v>黑豹-碎片</v>
          </cell>
          <cell r="I114" t="str">
            <v>T3碎片</v>
          </cell>
          <cell r="J114">
            <v>4</v>
          </cell>
          <cell r="K114">
            <v>3.0651340996168602E-2</v>
          </cell>
        </row>
        <row r="115">
          <cell r="H115" t="str">
            <v>黑豹-碎片</v>
          </cell>
          <cell r="I115" t="str">
            <v>T3碎片</v>
          </cell>
          <cell r="J115">
            <v>4</v>
          </cell>
          <cell r="K115">
            <v>3.0651340996168602E-2</v>
          </cell>
        </row>
        <row r="116">
          <cell r="H116" t="str">
            <v>T1LP1</v>
          </cell>
          <cell r="I116" t="str">
            <v>T1部件</v>
          </cell>
          <cell r="J116">
            <v>4</v>
          </cell>
          <cell r="K116">
            <v>3.8314176245210697E-2</v>
          </cell>
        </row>
        <row r="117">
          <cell r="H117" t="str">
            <v>T1LP3</v>
          </cell>
          <cell r="I117" t="str">
            <v>T1部件</v>
          </cell>
          <cell r="J117">
            <v>4</v>
          </cell>
          <cell r="K117">
            <v>3.8314176245210697E-2</v>
          </cell>
        </row>
        <row r="118">
          <cell r="H118" t="str">
            <v>T1LP5</v>
          </cell>
          <cell r="I118" t="str">
            <v>T1部件</v>
          </cell>
          <cell r="J118">
            <v>4</v>
          </cell>
          <cell r="K118">
            <v>3.8314176245210697E-2</v>
          </cell>
        </row>
        <row r="119">
          <cell r="H119" t="str">
            <v>T1MP1</v>
          </cell>
          <cell r="I119" t="str">
            <v>T1部件</v>
          </cell>
          <cell r="J119">
            <v>4</v>
          </cell>
          <cell r="K119">
            <v>3.8314176245210697E-2</v>
          </cell>
        </row>
        <row r="120">
          <cell r="H120" t="str">
            <v>T1MP3</v>
          </cell>
          <cell r="I120" t="str">
            <v>T1部件</v>
          </cell>
          <cell r="J120">
            <v>4</v>
          </cell>
          <cell r="K120">
            <v>3.8314176245210697E-2</v>
          </cell>
        </row>
        <row r="121">
          <cell r="H121" t="str">
            <v>T1MP5</v>
          </cell>
          <cell r="I121" t="str">
            <v>T1部件</v>
          </cell>
          <cell r="J121">
            <v>4</v>
          </cell>
          <cell r="K121">
            <v>3.8314176245210697E-2</v>
          </cell>
        </row>
        <row r="122">
          <cell r="H122" t="str">
            <v>T1HP1</v>
          </cell>
          <cell r="I122" t="str">
            <v>T1部件</v>
          </cell>
          <cell r="J122">
            <v>4</v>
          </cell>
          <cell r="K122">
            <v>3.8314176245210697E-2</v>
          </cell>
        </row>
        <row r="123">
          <cell r="H123" t="str">
            <v>T1HP3</v>
          </cell>
          <cell r="I123" t="str">
            <v>T1部件</v>
          </cell>
          <cell r="J123">
            <v>4</v>
          </cell>
          <cell r="K123">
            <v>3.8314176245210697E-2</v>
          </cell>
        </row>
        <row r="124">
          <cell r="H124" t="str">
            <v>T1HP5</v>
          </cell>
          <cell r="I124" t="str">
            <v>T1部件</v>
          </cell>
          <cell r="J124">
            <v>4</v>
          </cell>
          <cell r="K124">
            <v>3.8314176245210697E-2</v>
          </cell>
        </row>
        <row r="125">
          <cell r="H125" t="str">
            <v>T1LP2</v>
          </cell>
          <cell r="I125" t="str">
            <v>T1部件</v>
          </cell>
          <cell r="J125">
            <v>4</v>
          </cell>
          <cell r="K125">
            <v>3.8314176245210697E-2</v>
          </cell>
        </row>
        <row r="126">
          <cell r="H126" t="str">
            <v>T1LP4</v>
          </cell>
          <cell r="I126" t="str">
            <v>T1部件</v>
          </cell>
          <cell r="J126">
            <v>4</v>
          </cell>
          <cell r="K126">
            <v>3.8314176245210697E-2</v>
          </cell>
        </row>
        <row r="127">
          <cell r="H127" t="str">
            <v>T1LP6</v>
          </cell>
          <cell r="I127" t="str">
            <v>T1部件</v>
          </cell>
          <cell r="J127">
            <v>4</v>
          </cell>
          <cell r="K127">
            <v>3.8314176245210697E-2</v>
          </cell>
        </row>
        <row r="128">
          <cell r="H128" t="str">
            <v>T1MP2</v>
          </cell>
          <cell r="I128" t="str">
            <v>T1部件</v>
          </cell>
          <cell r="J128">
            <v>4</v>
          </cell>
          <cell r="K128">
            <v>3.8314176245210697E-2</v>
          </cell>
        </row>
        <row r="129">
          <cell r="H129" t="str">
            <v>T1MP4</v>
          </cell>
          <cell r="I129" t="str">
            <v>T1部件</v>
          </cell>
          <cell r="J129">
            <v>4</v>
          </cell>
          <cell r="K129">
            <v>3.8314176245210697E-2</v>
          </cell>
        </row>
        <row r="130">
          <cell r="H130" t="str">
            <v>T1MP6</v>
          </cell>
          <cell r="I130" t="str">
            <v>T1部件</v>
          </cell>
          <cell r="J130">
            <v>4</v>
          </cell>
          <cell r="K130">
            <v>3.8314176245210697E-2</v>
          </cell>
        </row>
        <row r="131">
          <cell r="H131" t="str">
            <v>T1HP2</v>
          </cell>
          <cell r="I131" t="str">
            <v>T1部件</v>
          </cell>
          <cell r="J131">
            <v>4</v>
          </cell>
          <cell r="K131">
            <v>3.8314176245210697E-2</v>
          </cell>
        </row>
        <row r="132">
          <cell r="H132" t="str">
            <v>T1HP4</v>
          </cell>
          <cell r="I132" t="str">
            <v>T1部件</v>
          </cell>
          <cell r="J132">
            <v>4</v>
          </cell>
          <cell r="K132">
            <v>3.8314176245210697E-2</v>
          </cell>
        </row>
        <row r="133">
          <cell r="H133" t="str">
            <v>T1HP6</v>
          </cell>
          <cell r="I133" t="str">
            <v>T1部件</v>
          </cell>
          <cell r="J133">
            <v>4</v>
          </cell>
          <cell r="K133">
            <v>3.8314176245210697E-2</v>
          </cell>
        </row>
        <row r="134">
          <cell r="H134" t="str">
            <v>T2LP1</v>
          </cell>
          <cell r="I134" t="str">
            <v>T2部件</v>
          </cell>
          <cell r="J134">
            <v>4</v>
          </cell>
          <cell r="K134">
            <v>1.37931034482759E-2</v>
          </cell>
        </row>
        <row r="135">
          <cell r="H135" t="str">
            <v>T2LP3</v>
          </cell>
          <cell r="I135" t="str">
            <v>T2部件</v>
          </cell>
          <cell r="J135">
            <v>4</v>
          </cell>
          <cell r="K135">
            <v>1.37931034482759E-2</v>
          </cell>
        </row>
        <row r="136">
          <cell r="H136" t="str">
            <v>T2LP5</v>
          </cell>
          <cell r="I136" t="str">
            <v>T2部件</v>
          </cell>
          <cell r="J136">
            <v>4</v>
          </cell>
          <cell r="K136">
            <v>1.37931034482759E-2</v>
          </cell>
        </row>
        <row r="137">
          <cell r="H137" t="str">
            <v>T2MP1</v>
          </cell>
          <cell r="I137" t="str">
            <v>T2部件</v>
          </cell>
          <cell r="J137">
            <v>4</v>
          </cell>
          <cell r="K137">
            <v>1.37931034482759E-2</v>
          </cell>
        </row>
        <row r="138">
          <cell r="H138" t="str">
            <v>T2MP3</v>
          </cell>
          <cell r="I138" t="str">
            <v>T2部件</v>
          </cell>
          <cell r="J138">
            <v>4</v>
          </cell>
          <cell r="K138">
            <v>1.37931034482759E-2</v>
          </cell>
        </row>
        <row r="139">
          <cell r="H139" t="str">
            <v>T2MP5</v>
          </cell>
          <cell r="I139" t="str">
            <v>T2部件</v>
          </cell>
          <cell r="J139">
            <v>4</v>
          </cell>
          <cell r="K139">
            <v>1.37931034482759E-2</v>
          </cell>
        </row>
        <row r="140">
          <cell r="H140" t="str">
            <v>T2HP1</v>
          </cell>
          <cell r="I140" t="str">
            <v>T2部件</v>
          </cell>
          <cell r="J140">
            <v>4</v>
          </cell>
          <cell r="K140">
            <v>1.37931034482759E-2</v>
          </cell>
        </row>
        <row r="141">
          <cell r="H141" t="str">
            <v>T2HP3</v>
          </cell>
          <cell r="I141" t="str">
            <v>T2部件</v>
          </cell>
          <cell r="J141">
            <v>4</v>
          </cell>
          <cell r="K141">
            <v>1.37931034482759E-2</v>
          </cell>
        </row>
        <row r="142">
          <cell r="H142" t="str">
            <v>T2HP5</v>
          </cell>
          <cell r="I142" t="str">
            <v>T2部件</v>
          </cell>
          <cell r="J142">
            <v>4</v>
          </cell>
          <cell r="K142">
            <v>1.37931034482759E-2</v>
          </cell>
        </row>
        <row r="143">
          <cell r="H143" t="str">
            <v>T2LP2</v>
          </cell>
          <cell r="I143" t="str">
            <v>T2部件</v>
          </cell>
          <cell r="J143">
            <v>4</v>
          </cell>
          <cell r="K143">
            <v>1.37931034482759E-2</v>
          </cell>
        </row>
        <row r="144">
          <cell r="H144" t="str">
            <v>T2LP4</v>
          </cell>
          <cell r="I144" t="str">
            <v>T2部件</v>
          </cell>
          <cell r="J144">
            <v>4</v>
          </cell>
          <cell r="K144">
            <v>1.37931034482759E-2</v>
          </cell>
        </row>
        <row r="145">
          <cell r="H145" t="str">
            <v>T2LP6</v>
          </cell>
          <cell r="I145" t="str">
            <v>T2部件</v>
          </cell>
          <cell r="J145">
            <v>4</v>
          </cell>
          <cell r="K145">
            <v>1.37931034482759E-2</v>
          </cell>
        </row>
        <row r="146">
          <cell r="H146" t="str">
            <v>T2MP2</v>
          </cell>
          <cell r="I146" t="str">
            <v>T2部件</v>
          </cell>
          <cell r="J146">
            <v>4</v>
          </cell>
          <cell r="K146">
            <v>1.37931034482759E-2</v>
          </cell>
        </row>
        <row r="147">
          <cell r="H147" t="str">
            <v>T2MP4</v>
          </cell>
          <cell r="I147" t="str">
            <v>T2部件</v>
          </cell>
          <cell r="J147">
            <v>4</v>
          </cell>
          <cell r="K147">
            <v>1.37931034482759E-2</v>
          </cell>
        </row>
        <row r="148">
          <cell r="H148" t="str">
            <v>T2MP6</v>
          </cell>
          <cell r="I148" t="str">
            <v>T2部件</v>
          </cell>
          <cell r="J148">
            <v>4</v>
          </cell>
          <cell r="K148">
            <v>1.37931034482759E-2</v>
          </cell>
        </row>
        <row r="149">
          <cell r="H149" t="str">
            <v>T2HP2</v>
          </cell>
          <cell r="I149" t="str">
            <v>T2部件</v>
          </cell>
          <cell r="J149">
            <v>4</v>
          </cell>
          <cell r="K149">
            <v>1.37931034482759E-2</v>
          </cell>
        </row>
        <row r="150">
          <cell r="H150" t="str">
            <v>T2HP4</v>
          </cell>
          <cell r="I150" t="str">
            <v>T2部件</v>
          </cell>
          <cell r="J150">
            <v>4</v>
          </cell>
          <cell r="K150">
            <v>1.37931034482759E-2</v>
          </cell>
        </row>
        <row r="151">
          <cell r="H151" t="str">
            <v>T2HP6</v>
          </cell>
          <cell r="I151" t="str">
            <v>T2部件</v>
          </cell>
          <cell r="J151">
            <v>4</v>
          </cell>
          <cell r="K151">
            <v>1.8390804597701101E-2</v>
          </cell>
        </row>
        <row r="152">
          <cell r="H152" t="str">
            <v>雷诺FT-碎片</v>
          </cell>
          <cell r="I152" t="str">
            <v>T1碎片</v>
          </cell>
          <cell r="J152">
            <v>5</v>
          </cell>
          <cell r="K152">
            <v>0.149309443822322</v>
          </cell>
        </row>
        <row r="153">
          <cell r="H153" t="str">
            <v>Stuart-碎片</v>
          </cell>
          <cell r="I153" t="str">
            <v>T1碎片</v>
          </cell>
          <cell r="J153">
            <v>5</v>
          </cell>
          <cell r="K153">
            <v>0.149309443822322</v>
          </cell>
        </row>
        <row r="154">
          <cell r="H154" t="str">
            <v>B-1-碎片</v>
          </cell>
          <cell r="I154" t="str">
            <v>T1碎片</v>
          </cell>
          <cell r="J154">
            <v>5</v>
          </cell>
          <cell r="K154">
            <v>0.149309443822322</v>
          </cell>
        </row>
        <row r="155">
          <cell r="H155" t="str">
            <v>二号-碎片</v>
          </cell>
          <cell r="I155" t="str">
            <v>T2碎片</v>
          </cell>
          <cell r="J155">
            <v>5</v>
          </cell>
          <cell r="K155">
            <v>0.149309443822322</v>
          </cell>
        </row>
        <row r="156">
          <cell r="H156" t="str">
            <v>T-34-碎片</v>
          </cell>
          <cell r="I156" t="str">
            <v>T2碎片</v>
          </cell>
          <cell r="J156">
            <v>5</v>
          </cell>
          <cell r="K156">
            <v>0.149309443822322</v>
          </cell>
        </row>
        <row r="157">
          <cell r="H157" t="str">
            <v>KV-1-碎片</v>
          </cell>
          <cell r="I157" t="str">
            <v>T2碎片</v>
          </cell>
          <cell r="J157">
            <v>5</v>
          </cell>
          <cell r="K157">
            <v>0.149309443822322</v>
          </cell>
        </row>
        <row r="158">
          <cell r="H158" t="str">
            <v>35(t)-碎片</v>
          </cell>
          <cell r="I158" t="str">
            <v>T3碎片</v>
          </cell>
          <cell r="J158">
            <v>5</v>
          </cell>
          <cell r="K158">
            <v>0.111982082866741</v>
          </cell>
        </row>
        <row r="159">
          <cell r="H159" t="str">
            <v>玛蒂尔达-碎片</v>
          </cell>
          <cell r="I159" t="str">
            <v>T3碎片</v>
          </cell>
          <cell r="J159">
            <v>5</v>
          </cell>
          <cell r="K159">
            <v>0.111982082866741</v>
          </cell>
        </row>
        <row r="160">
          <cell r="H160" t="str">
            <v>黑豹-碎片</v>
          </cell>
          <cell r="I160" t="str">
            <v>T3碎片</v>
          </cell>
          <cell r="J160">
            <v>5</v>
          </cell>
          <cell r="K160">
            <v>0.111982082866741</v>
          </cell>
        </row>
        <row r="161">
          <cell r="H161" t="str">
            <v>35(t)-碎片</v>
          </cell>
          <cell r="I161" t="str">
            <v>T3碎片</v>
          </cell>
          <cell r="J161">
            <v>5</v>
          </cell>
          <cell r="K161">
            <v>6.1216871967151899E-2</v>
          </cell>
        </row>
        <row r="162">
          <cell r="H162" t="str">
            <v>玛蒂尔达-碎片</v>
          </cell>
          <cell r="I162" t="str">
            <v>T3碎片</v>
          </cell>
          <cell r="J162">
            <v>5</v>
          </cell>
          <cell r="K162">
            <v>6.1216871967151899E-2</v>
          </cell>
        </row>
        <row r="163">
          <cell r="H163" t="str">
            <v>黑豹-碎片</v>
          </cell>
          <cell r="I163" t="str">
            <v>T3碎片</v>
          </cell>
          <cell r="J163">
            <v>5</v>
          </cell>
          <cell r="K163">
            <v>6.1216871967151899E-2</v>
          </cell>
        </row>
        <row r="164">
          <cell r="H164" t="str">
            <v>T1LP1</v>
          </cell>
          <cell r="I164" t="str">
            <v>T1部件</v>
          </cell>
          <cell r="J164">
            <v>5</v>
          </cell>
          <cell r="K164">
            <v>5.5991041433370699E-2</v>
          </cell>
        </row>
        <row r="165">
          <cell r="H165" t="str">
            <v>T1LP3</v>
          </cell>
          <cell r="I165" t="str">
            <v>T1部件</v>
          </cell>
          <cell r="J165">
            <v>5</v>
          </cell>
          <cell r="K165">
            <v>5.5991041433370699E-2</v>
          </cell>
        </row>
        <row r="166">
          <cell r="H166" t="str">
            <v>T1LP5</v>
          </cell>
          <cell r="I166" t="str">
            <v>T1部件</v>
          </cell>
          <cell r="J166">
            <v>5</v>
          </cell>
          <cell r="K166">
            <v>5.5991041433370699E-2</v>
          </cell>
        </row>
        <row r="167">
          <cell r="H167" t="str">
            <v>T1MP1</v>
          </cell>
          <cell r="I167" t="str">
            <v>T1部件</v>
          </cell>
          <cell r="J167">
            <v>5</v>
          </cell>
          <cell r="K167">
            <v>5.5991041433370699E-2</v>
          </cell>
        </row>
        <row r="168">
          <cell r="H168" t="str">
            <v>T1MP3</v>
          </cell>
          <cell r="I168" t="str">
            <v>T1部件</v>
          </cell>
          <cell r="J168">
            <v>5</v>
          </cell>
          <cell r="K168">
            <v>5.5991041433370699E-2</v>
          </cell>
        </row>
        <row r="169">
          <cell r="H169" t="str">
            <v>T1MP5</v>
          </cell>
          <cell r="I169" t="str">
            <v>T1部件</v>
          </cell>
          <cell r="J169">
            <v>5</v>
          </cell>
          <cell r="K169">
            <v>5.5991041433370699E-2</v>
          </cell>
        </row>
        <row r="170">
          <cell r="H170" t="str">
            <v>T1HP1</v>
          </cell>
          <cell r="I170" t="str">
            <v>T1部件</v>
          </cell>
          <cell r="J170">
            <v>5</v>
          </cell>
          <cell r="K170">
            <v>5.5991041433370699E-2</v>
          </cell>
        </row>
        <row r="171">
          <cell r="H171" t="str">
            <v>T1HP3</v>
          </cell>
          <cell r="I171" t="str">
            <v>T1部件</v>
          </cell>
          <cell r="J171">
            <v>5</v>
          </cell>
          <cell r="K171">
            <v>5.5991041433370699E-2</v>
          </cell>
        </row>
        <row r="172">
          <cell r="H172" t="str">
            <v>T1HP5</v>
          </cell>
          <cell r="I172" t="str">
            <v>T1部件</v>
          </cell>
          <cell r="J172">
            <v>5</v>
          </cell>
          <cell r="K172">
            <v>5.5991041433370699E-2</v>
          </cell>
        </row>
        <row r="173">
          <cell r="H173" t="str">
            <v>T1LP2</v>
          </cell>
          <cell r="I173" t="str">
            <v>T1部件</v>
          </cell>
          <cell r="J173">
            <v>5</v>
          </cell>
          <cell r="K173">
            <v>5.5991041433370699E-2</v>
          </cell>
        </row>
        <row r="174">
          <cell r="H174" t="str">
            <v>T1LP4</v>
          </cell>
          <cell r="I174" t="str">
            <v>T1部件</v>
          </cell>
          <cell r="J174">
            <v>5</v>
          </cell>
          <cell r="K174">
            <v>5.5991041433370699E-2</v>
          </cell>
        </row>
        <row r="175">
          <cell r="H175" t="str">
            <v>T1LP6</v>
          </cell>
          <cell r="I175" t="str">
            <v>T1部件</v>
          </cell>
          <cell r="J175">
            <v>5</v>
          </cell>
          <cell r="K175">
            <v>5.5991041433370699E-2</v>
          </cell>
        </row>
        <row r="176">
          <cell r="H176" t="str">
            <v>T1MP2</v>
          </cell>
          <cell r="I176" t="str">
            <v>T1部件</v>
          </cell>
          <cell r="J176">
            <v>5</v>
          </cell>
          <cell r="K176">
            <v>5.5991041433370699E-2</v>
          </cell>
        </row>
        <row r="177">
          <cell r="H177" t="str">
            <v>T1MP4</v>
          </cell>
          <cell r="I177" t="str">
            <v>T1部件</v>
          </cell>
          <cell r="J177">
            <v>5</v>
          </cell>
          <cell r="K177">
            <v>5.5991041433370699E-2</v>
          </cell>
        </row>
        <row r="178">
          <cell r="H178" t="str">
            <v>T1MP6</v>
          </cell>
          <cell r="I178" t="str">
            <v>T1部件</v>
          </cell>
          <cell r="J178">
            <v>5</v>
          </cell>
          <cell r="K178">
            <v>5.5991041433370699E-2</v>
          </cell>
        </row>
        <row r="179">
          <cell r="H179" t="str">
            <v>T1HP2</v>
          </cell>
          <cell r="I179" t="str">
            <v>T1部件</v>
          </cell>
          <cell r="J179">
            <v>5</v>
          </cell>
          <cell r="K179">
            <v>5.5991041433370699E-2</v>
          </cell>
        </row>
        <row r="180">
          <cell r="H180" t="str">
            <v>T1HP4</v>
          </cell>
          <cell r="I180" t="str">
            <v>T1部件</v>
          </cell>
          <cell r="J180">
            <v>5</v>
          </cell>
          <cell r="K180">
            <v>5.5991041433370699E-2</v>
          </cell>
        </row>
        <row r="181">
          <cell r="H181" t="str">
            <v>T1HP6</v>
          </cell>
          <cell r="I181" t="str">
            <v>T1部件</v>
          </cell>
          <cell r="J181">
            <v>5</v>
          </cell>
          <cell r="K181">
            <v>5.5991041433370699E-2</v>
          </cell>
        </row>
        <row r="182">
          <cell r="H182" t="str">
            <v>T2LP1</v>
          </cell>
          <cell r="I182" t="str">
            <v>T2部件</v>
          </cell>
          <cell r="J182">
            <v>5</v>
          </cell>
          <cell r="K182">
            <v>1.38111235535648E-2</v>
          </cell>
        </row>
        <row r="183">
          <cell r="H183" t="str">
            <v>T2LP3</v>
          </cell>
          <cell r="I183" t="str">
            <v>T2部件</v>
          </cell>
          <cell r="J183">
            <v>5</v>
          </cell>
          <cell r="K183">
            <v>1.38111235535648E-2</v>
          </cell>
        </row>
        <row r="184">
          <cell r="H184" t="str">
            <v>T2LP5</v>
          </cell>
          <cell r="I184" t="str">
            <v>T2部件</v>
          </cell>
          <cell r="J184">
            <v>5</v>
          </cell>
          <cell r="K184">
            <v>1.38111235535648E-2</v>
          </cell>
        </row>
        <row r="185">
          <cell r="H185" t="str">
            <v>T2MP1</v>
          </cell>
          <cell r="I185" t="str">
            <v>T2部件</v>
          </cell>
          <cell r="J185">
            <v>5</v>
          </cell>
          <cell r="K185">
            <v>1.38111235535648E-2</v>
          </cell>
        </row>
        <row r="186">
          <cell r="H186" t="str">
            <v>T2MP3</v>
          </cell>
          <cell r="I186" t="str">
            <v>T2部件</v>
          </cell>
          <cell r="J186">
            <v>5</v>
          </cell>
          <cell r="K186">
            <v>1.38111235535648E-2</v>
          </cell>
        </row>
        <row r="187">
          <cell r="H187" t="str">
            <v>T2MP5</v>
          </cell>
          <cell r="I187" t="str">
            <v>T2部件</v>
          </cell>
          <cell r="J187">
            <v>5</v>
          </cell>
          <cell r="K187">
            <v>1.38111235535648E-2</v>
          </cell>
        </row>
        <row r="188">
          <cell r="H188" t="str">
            <v>T2HP1</v>
          </cell>
          <cell r="I188" t="str">
            <v>T2部件</v>
          </cell>
          <cell r="J188">
            <v>5</v>
          </cell>
          <cell r="K188">
            <v>1.38111235535648E-2</v>
          </cell>
        </row>
        <row r="189">
          <cell r="H189" t="str">
            <v>T2HP3</v>
          </cell>
          <cell r="I189" t="str">
            <v>T2部件</v>
          </cell>
          <cell r="J189">
            <v>5</v>
          </cell>
          <cell r="K189">
            <v>1.38111235535648E-2</v>
          </cell>
        </row>
        <row r="190">
          <cell r="H190" t="str">
            <v>T2HP5</v>
          </cell>
          <cell r="I190" t="str">
            <v>T2部件</v>
          </cell>
          <cell r="J190">
            <v>5</v>
          </cell>
          <cell r="K190">
            <v>1.38111235535648E-2</v>
          </cell>
        </row>
        <row r="191">
          <cell r="H191" t="str">
            <v>T2LP2</v>
          </cell>
          <cell r="I191" t="str">
            <v>T2部件</v>
          </cell>
          <cell r="J191">
            <v>5</v>
          </cell>
          <cell r="K191">
            <v>1.38111235535648E-2</v>
          </cell>
        </row>
        <row r="192">
          <cell r="H192" t="str">
            <v>T2LP4</v>
          </cell>
          <cell r="I192" t="str">
            <v>T2部件</v>
          </cell>
          <cell r="J192">
            <v>5</v>
          </cell>
          <cell r="K192">
            <v>1.38111235535648E-2</v>
          </cell>
        </row>
        <row r="193">
          <cell r="H193" t="str">
            <v>T2LP6</v>
          </cell>
          <cell r="I193" t="str">
            <v>T2部件</v>
          </cell>
          <cell r="J193">
            <v>5</v>
          </cell>
          <cell r="K193">
            <v>1.38111235535648E-2</v>
          </cell>
        </row>
        <row r="194">
          <cell r="H194" t="str">
            <v>T2MP2</v>
          </cell>
          <cell r="I194" t="str">
            <v>T2部件</v>
          </cell>
          <cell r="J194">
            <v>5</v>
          </cell>
          <cell r="K194">
            <v>1.38111235535648E-2</v>
          </cell>
        </row>
        <row r="195">
          <cell r="H195" t="str">
            <v>T2MP4</v>
          </cell>
          <cell r="I195" t="str">
            <v>T2部件</v>
          </cell>
          <cell r="J195">
            <v>5</v>
          </cell>
          <cell r="K195">
            <v>1.38111235535648E-2</v>
          </cell>
        </row>
        <row r="196">
          <cell r="H196" t="str">
            <v>T2MP6</v>
          </cell>
          <cell r="I196" t="str">
            <v>T2部件</v>
          </cell>
          <cell r="J196">
            <v>5</v>
          </cell>
          <cell r="K196">
            <v>1.38111235535648E-2</v>
          </cell>
        </row>
        <row r="197">
          <cell r="H197" t="str">
            <v>T2HP2</v>
          </cell>
          <cell r="I197" t="str">
            <v>T2部件</v>
          </cell>
          <cell r="J197">
            <v>5</v>
          </cell>
          <cell r="K197">
            <v>1.38111235535648E-2</v>
          </cell>
        </row>
        <row r="198">
          <cell r="H198" t="str">
            <v>T2HP4</v>
          </cell>
          <cell r="I198" t="str">
            <v>T2部件</v>
          </cell>
          <cell r="J198">
            <v>5</v>
          </cell>
          <cell r="K198">
            <v>1.38111235535648E-2</v>
          </cell>
        </row>
        <row r="199">
          <cell r="H199" t="str">
            <v>T2HP6</v>
          </cell>
          <cell r="I199" t="str">
            <v>T2部件</v>
          </cell>
          <cell r="J199">
            <v>5</v>
          </cell>
          <cell r="K199">
            <v>1.38111235535648E-2</v>
          </cell>
        </row>
        <row r="200">
          <cell r="H200" t="str">
            <v>雷诺FT-碎片</v>
          </cell>
          <cell r="I200" t="str">
            <v>T1碎片</v>
          </cell>
          <cell r="J200">
            <v>6</v>
          </cell>
          <cell r="K200">
            <v>0.14306151645207399</v>
          </cell>
        </row>
        <row r="201">
          <cell r="H201" t="str">
            <v>Stuart-碎片</v>
          </cell>
          <cell r="I201" t="str">
            <v>T1碎片</v>
          </cell>
          <cell r="J201">
            <v>6</v>
          </cell>
          <cell r="K201">
            <v>0.14306151645207399</v>
          </cell>
        </row>
        <row r="202">
          <cell r="H202" t="str">
            <v>B-1-碎片</v>
          </cell>
          <cell r="I202" t="str">
            <v>T1碎片</v>
          </cell>
          <cell r="J202">
            <v>6</v>
          </cell>
          <cell r="K202">
            <v>0.14306151645207399</v>
          </cell>
        </row>
        <row r="203">
          <cell r="H203" t="str">
            <v>二号-碎片</v>
          </cell>
          <cell r="I203" t="str">
            <v>T2碎片</v>
          </cell>
          <cell r="J203">
            <v>6</v>
          </cell>
          <cell r="K203">
            <v>0.119635193133047</v>
          </cell>
        </row>
        <row r="204">
          <cell r="H204" t="str">
            <v>T-34-碎片</v>
          </cell>
          <cell r="I204" t="str">
            <v>T2碎片</v>
          </cell>
          <cell r="J204">
            <v>6</v>
          </cell>
          <cell r="K204">
            <v>0.119635193133047</v>
          </cell>
        </row>
        <row r="205">
          <cell r="H205" t="str">
            <v>KV-1-碎片</v>
          </cell>
          <cell r="I205" t="str">
            <v>T2碎片</v>
          </cell>
          <cell r="J205">
            <v>6</v>
          </cell>
          <cell r="K205">
            <v>0.119635193133047</v>
          </cell>
        </row>
        <row r="206">
          <cell r="H206" t="str">
            <v>35(t)-碎片</v>
          </cell>
          <cell r="I206" t="str">
            <v>T3碎片</v>
          </cell>
          <cell r="J206">
            <v>6</v>
          </cell>
          <cell r="K206">
            <v>0.12696709585121599</v>
          </cell>
        </row>
        <row r="207">
          <cell r="H207" t="str">
            <v>玛蒂尔达-碎片</v>
          </cell>
          <cell r="I207" t="str">
            <v>T3碎片</v>
          </cell>
          <cell r="J207">
            <v>6</v>
          </cell>
          <cell r="K207">
            <v>0.12696709585121599</v>
          </cell>
        </row>
        <row r="208">
          <cell r="H208" t="str">
            <v>黑豹-碎片</v>
          </cell>
          <cell r="I208" t="str">
            <v>T3碎片</v>
          </cell>
          <cell r="J208">
            <v>6</v>
          </cell>
          <cell r="K208">
            <v>0.12696709585121599</v>
          </cell>
        </row>
        <row r="209">
          <cell r="H209" t="str">
            <v>35(t)-碎片</v>
          </cell>
          <cell r="I209" t="str">
            <v>T3碎片</v>
          </cell>
          <cell r="J209">
            <v>6</v>
          </cell>
          <cell r="K209">
            <v>0.12696709585121599</v>
          </cell>
        </row>
        <row r="210">
          <cell r="H210" t="str">
            <v>玛蒂尔达-碎片</v>
          </cell>
          <cell r="I210" t="str">
            <v>T3碎片</v>
          </cell>
          <cell r="J210">
            <v>6</v>
          </cell>
          <cell r="K210">
            <v>0.12696709585121599</v>
          </cell>
        </row>
        <row r="211">
          <cell r="H211" t="str">
            <v>黑豹-碎片</v>
          </cell>
          <cell r="I211" t="str">
            <v>T3碎片</v>
          </cell>
          <cell r="J211">
            <v>6</v>
          </cell>
          <cell r="K211">
            <v>0.12696709585121599</v>
          </cell>
        </row>
        <row r="212">
          <cell r="H212" t="str">
            <v>T1LP1</v>
          </cell>
          <cell r="I212" t="str">
            <v>T1部件</v>
          </cell>
          <cell r="J212">
            <v>6</v>
          </cell>
          <cell r="K212">
            <v>5.3648068669527899E-2</v>
          </cell>
        </row>
        <row r="213">
          <cell r="H213" t="str">
            <v>T1LP3</v>
          </cell>
          <cell r="I213" t="str">
            <v>T1部件</v>
          </cell>
          <cell r="J213">
            <v>6</v>
          </cell>
          <cell r="K213">
            <v>5.3648068669527899E-2</v>
          </cell>
        </row>
        <row r="214">
          <cell r="H214" t="str">
            <v>T1LP5</v>
          </cell>
          <cell r="I214" t="str">
            <v>T1部件</v>
          </cell>
          <cell r="J214">
            <v>6</v>
          </cell>
          <cell r="K214">
            <v>5.3648068669527899E-2</v>
          </cell>
        </row>
        <row r="215">
          <cell r="H215" t="str">
            <v>T1MP1</v>
          </cell>
          <cell r="I215" t="str">
            <v>T1部件</v>
          </cell>
          <cell r="J215">
            <v>6</v>
          </cell>
          <cell r="K215">
            <v>5.3648068669527899E-2</v>
          </cell>
        </row>
        <row r="216">
          <cell r="H216" t="str">
            <v>T1MP3</v>
          </cell>
          <cell r="I216" t="str">
            <v>T1部件</v>
          </cell>
          <cell r="J216">
            <v>6</v>
          </cell>
          <cell r="K216">
            <v>5.3648068669527899E-2</v>
          </cell>
        </row>
        <row r="217">
          <cell r="H217" t="str">
            <v>T1MP5</v>
          </cell>
          <cell r="I217" t="str">
            <v>T1部件</v>
          </cell>
          <cell r="J217">
            <v>6</v>
          </cell>
          <cell r="K217">
            <v>5.3648068669527899E-2</v>
          </cell>
        </row>
        <row r="218">
          <cell r="H218" t="str">
            <v>T1HP1</v>
          </cell>
          <cell r="I218" t="str">
            <v>T1部件</v>
          </cell>
          <cell r="J218">
            <v>6</v>
          </cell>
          <cell r="K218">
            <v>5.3648068669527899E-2</v>
          </cell>
        </row>
        <row r="219">
          <cell r="H219" t="str">
            <v>T1HP3</v>
          </cell>
          <cell r="I219" t="str">
            <v>T1部件</v>
          </cell>
          <cell r="J219">
            <v>6</v>
          </cell>
          <cell r="K219">
            <v>5.3648068669527899E-2</v>
          </cell>
        </row>
        <row r="220">
          <cell r="H220" t="str">
            <v>T1HP5</v>
          </cell>
          <cell r="I220" t="str">
            <v>T1部件</v>
          </cell>
          <cell r="J220">
            <v>6</v>
          </cell>
          <cell r="K220">
            <v>5.3648068669527899E-2</v>
          </cell>
        </row>
        <row r="221">
          <cell r="H221" t="str">
            <v>T1LP2</v>
          </cell>
          <cell r="I221" t="str">
            <v>T1部件</v>
          </cell>
          <cell r="J221">
            <v>6</v>
          </cell>
          <cell r="K221">
            <v>5.3648068669527899E-2</v>
          </cell>
        </row>
        <row r="222">
          <cell r="H222" t="str">
            <v>T1LP4</v>
          </cell>
          <cell r="I222" t="str">
            <v>T1部件</v>
          </cell>
          <cell r="J222">
            <v>6</v>
          </cell>
          <cell r="K222">
            <v>5.3648068669527899E-2</v>
          </cell>
        </row>
        <row r="223">
          <cell r="H223" t="str">
            <v>T1LP6</v>
          </cell>
          <cell r="I223" t="str">
            <v>T1部件</v>
          </cell>
          <cell r="J223">
            <v>6</v>
          </cell>
          <cell r="K223">
            <v>5.3648068669527899E-2</v>
          </cell>
        </row>
        <row r="224">
          <cell r="H224" t="str">
            <v>T1MP2</v>
          </cell>
          <cell r="I224" t="str">
            <v>T1部件</v>
          </cell>
          <cell r="J224">
            <v>6</v>
          </cell>
          <cell r="K224">
            <v>5.3648068669527899E-2</v>
          </cell>
        </row>
        <row r="225">
          <cell r="H225" t="str">
            <v>T1MP4</v>
          </cell>
          <cell r="I225" t="str">
            <v>T1部件</v>
          </cell>
          <cell r="J225">
            <v>6</v>
          </cell>
          <cell r="K225">
            <v>5.3648068669527899E-2</v>
          </cell>
        </row>
        <row r="226">
          <cell r="H226" t="str">
            <v>T1MP6</v>
          </cell>
          <cell r="I226" t="str">
            <v>T1部件</v>
          </cell>
          <cell r="J226">
            <v>6</v>
          </cell>
          <cell r="K226">
            <v>5.3648068669527899E-2</v>
          </cell>
        </row>
        <row r="227">
          <cell r="H227" t="str">
            <v>T1HP2</v>
          </cell>
          <cell r="I227" t="str">
            <v>T1部件</v>
          </cell>
          <cell r="J227">
            <v>6</v>
          </cell>
          <cell r="K227">
            <v>5.3648068669527899E-2</v>
          </cell>
        </row>
        <row r="228">
          <cell r="H228" t="str">
            <v>T1HP4</v>
          </cell>
          <cell r="I228" t="str">
            <v>T1部件</v>
          </cell>
          <cell r="J228">
            <v>6</v>
          </cell>
          <cell r="K228">
            <v>5.3648068669527899E-2</v>
          </cell>
        </row>
        <row r="229">
          <cell r="H229" t="str">
            <v>T1HP6</v>
          </cell>
          <cell r="I229" t="str">
            <v>T1部件</v>
          </cell>
          <cell r="J229">
            <v>6</v>
          </cell>
          <cell r="K229">
            <v>5.3648068669527899E-2</v>
          </cell>
        </row>
        <row r="230">
          <cell r="H230" t="str">
            <v>T2LP1</v>
          </cell>
          <cell r="I230" t="str">
            <v>T2部件</v>
          </cell>
          <cell r="J230">
            <v>6</v>
          </cell>
          <cell r="K230">
            <v>1.1087267525035799E-2</v>
          </cell>
        </row>
        <row r="231">
          <cell r="H231" t="str">
            <v>T2LP3</v>
          </cell>
          <cell r="I231" t="str">
            <v>T2部件</v>
          </cell>
          <cell r="J231">
            <v>6</v>
          </cell>
          <cell r="K231">
            <v>1.1087267525035799E-2</v>
          </cell>
        </row>
        <row r="232">
          <cell r="H232" t="str">
            <v>T2LP5</v>
          </cell>
          <cell r="I232" t="str">
            <v>T2部件</v>
          </cell>
          <cell r="J232">
            <v>6</v>
          </cell>
          <cell r="K232">
            <v>1.1087267525035799E-2</v>
          </cell>
        </row>
        <row r="233">
          <cell r="H233" t="str">
            <v>T2MP1</v>
          </cell>
          <cell r="I233" t="str">
            <v>T2部件</v>
          </cell>
          <cell r="J233">
            <v>6</v>
          </cell>
          <cell r="K233">
            <v>1.1087267525035799E-2</v>
          </cell>
        </row>
        <row r="234">
          <cell r="H234" t="str">
            <v>T2MP3</v>
          </cell>
          <cell r="I234" t="str">
            <v>T2部件</v>
          </cell>
          <cell r="J234">
            <v>6</v>
          </cell>
          <cell r="K234">
            <v>1.1087267525035799E-2</v>
          </cell>
        </row>
        <row r="235">
          <cell r="H235" t="str">
            <v>T2MP5</v>
          </cell>
          <cell r="I235" t="str">
            <v>T2部件</v>
          </cell>
          <cell r="J235">
            <v>6</v>
          </cell>
          <cell r="K235">
            <v>1.1087267525035799E-2</v>
          </cell>
        </row>
        <row r="236">
          <cell r="H236" t="str">
            <v>T2HP1</v>
          </cell>
          <cell r="I236" t="str">
            <v>T2部件</v>
          </cell>
          <cell r="J236">
            <v>6</v>
          </cell>
          <cell r="K236">
            <v>1.1087267525035799E-2</v>
          </cell>
        </row>
        <row r="237">
          <cell r="H237" t="str">
            <v>T2HP3</v>
          </cell>
          <cell r="I237" t="str">
            <v>T2部件</v>
          </cell>
          <cell r="J237">
            <v>6</v>
          </cell>
          <cell r="K237">
            <v>1.1087267525035799E-2</v>
          </cell>
        </row>
        <row r="238">
          <cell r="H238" t="str">
            <v>T2HP5</v>
          </cell>
          <cell r="I238" t="str">
            <v>T2部件</v>
          </cell>
          <cell r="J238">
            <v>6</v>
          </cell>
          <cell r="K238">
            <v>1.1087267525035799E-2</v>
          </cell>
        </row>
        <row r="239">
          <cell r="H239" t="str">
            <v>T2LP2</v>
          </cell>
          <cell r="I239" t="str">
            <v>T2部件</v>
          </cell>
          <cell r="J239">
            <v>6</v>
          </cell>
          <cell r="K239">
            <v>1.1087267525035799E-2</v>
          </cell>
        </row>
        <row r="240">
          <cell r="H240" t="str">
            <v>T2LP4</v>
          </cell>
          <cell r="I240" t="str">
            <v>T2部件</v>
          </cell>
          <cell r="J240">
            <v>6</v>
          </cell>
          <cell r="K240">
            <v>1.1087267525035799E-2</v>
          </cell>
        </row>
        <row r="241">
          <cell r="H241" t="str">
            <v>T2LP6</v>
          </cell>
          <cell r="I241" t="str">
            <v>T2部件</v>
          </cell>
          <cell r="J241">
            <v>6</v>
          </cell>
          <cell r="K241">
            <v>1.1087267525035799E-2</v>
          </cell>
        </row>
        <row r="242">
          <cell r="H242" t="str">
            <v>T2MP2</v>
          </cell>
          <cell r="I242" t="str">
            <v>T2部件</v>
          </cell>
          <cell r="J242">
            <v>6</v>
          </cell>
          <cell r="K242">
            <v>1.1087267525035799E-2</v>
          </cell>
        </row>
        <row r="243">
          <cell r="H243" t="str">
            <v>T2MP4</v>
          </cell>
          <cell r="I243" t="str">
            <v>T2部件</v>
          </cell>
          <cell r="J243">
            <v>6</v>
          </cell>
          <cell r="K243">
            <v>1.1087267525035799E-2</v>
          </cell>
        </row>
        <row r="244">
          <cell r="H244" t="str">
            <v>T2MP6</v>
          </cell>
          <cell r="I244" t="str">
            <v>T2部件</v>
          </cell>
          <cell r="J244">
            <v>6</v>
          </cell>
          <cell r="K244">
            <v>1.1087267525035799E-2</v>
          </cell>
        </row>
        <row r="245">
          <cell r="H245" t="str">
            <v>T2HP2</v>
          </cell>
          <cell r="I245" t="str">
            <v>T2部件</v>
          </cell>
          <cell r="J245">
            <v>6</v>
          </cell>
          <cell r="K245">
            <v>1.1087267525035799E-2</v>
          </cell>
        </row>
        <row r="246">
          <cell r="H246" t="str">
            <v>T2HP4</v>
          </cell>
          <cell r="I246" t="str">
            <v>T2部件</v>
          </cell>
          <cell r="J246">
            <v>6</v>
          </cell>
          <cell r="K246">
            <v>1.1087267525035799E-2</v>
          </cell>
        </row>
        <row r="247">
          <cell r="H247" t="str">
            <v>T2HP6</v>
          </cell>
          <cell r="I247" t="str">
            <v>T2部件</v>
          </cell>
          <cell r="J247">
            <v>6</v>
          </cell>
          <cell r="K247">
            <v>1.1087267525035799E-2</v>
          </cell>
        </row>
        <row r="248">
          <cell r="H248" t="str">
            <v>T3LP1</v>
          </cell>
          <cell r="I248" t="str">
            <v>T3部件</v>
          </cell>
          <cell r="J248">
            <v>6</v>
          </cell>
          <cell r="K248">
            <v>5.3648068669527897E-3</v>
          </cell>
        </row>
        <row r="249">
          <cell r="H249" t="str">
            <v>T3LP3</v>
          </cell>
          <cell r="I249" t="str">
            <v>T3部件</v>
          </cell>
          <cell r="J249">
            <v>6</v>
          </cell>
          <cell r="K249">
            <v>5.3648068669527897E-3</v>
          </cell>
        </row>
        <row r="250">
          <cell r="H250" t="str">
            <v>T3LP5</v>
          </cell>
          <cell r="I250" t="str">
            <v>T3部件</v>
          </cell>
          <cell r="J250">
            <v>6</v>
          </cell>
          <cell r="K250">
            <v>5.3648068669527897E-3</v>
          </cell>
        </row>
        <row r="251">
          <cell r="H251" t="str">
            <v>T3MP1</v>
          </cell>
          <cell r="I251" t="str">
            <v>T3部件</v>
          </cell>
          <cell r="J251">
            <v>6</v>
          </cell>
          <cell r="K251">
            <v>5.3648068669527897E-3</v>
          </cell>
        </row>
        <row r="252">
          <cell r="H252" t="str">
            <v>T3MP3</v>
          </cell>
          <cell r="I252" t="str">
            <v>T3部件</v>
          </cell>
          <cell r="J252">
            <v>6</v>
          </cell>
          <cell r="K252">
            <v>5.3648068669527897E-3</v>
          </cell>
        </row>
        <row r="253">
          <cell r="H253" t="str">
            <v>T3MP5</v>
          </cell>
          <cell r="I253" t="str">
            <v>T3部件</v>
          </cell>
          <cell r="J253">
            <v>6</v>
          </cell>
          <cell r="K253">
            <v>5.3648068669527897E-3</v>
          </cell>
        </row>
        <row r="254">
          <cell r="H254" t="str">
            <v>T3HP1</v>
          </cell>
          <cell r="I254" t="str">
            <v>T3部件</v>
          </cell>
          <cell r="J254">
            <v>6</v>
          </cell>
          <cell r="K254">
            <v>5.3648068669527897E-3</v>
          </cell>
        </row>
        <row r="255">
          <cell r="H255" t="str">
            <v>T3HP3</v>
          </cell>
          <cell r="I255" t="str">
            <v>T3部件</v>
          </cell>
          <cell r="J255">
            <v>6</v>
          </cell>
          <cell r="K255">
            <v>5.3648068669527897E-3</v>
          </cell>
        </row>
        <row r="256">
          <cell r="H256" t="str">
            <v>T3HP5</v>
          </cell>
          <cell r="I256" t="str">
            <v>T3部件</v>
          </cell>
          <cell r="J256">
            <v>6</v>
          </cell>
          <cell r="K256">
            <v>5.3648068669527897E-3</v>
          </cell>
        </row>
        <row r="257">
          <cell r="H257" t="str">
            <v>雷诺FT-碎片</v>
          </cell>
          <cell r="I257" t="str">
            <v>T1碎片</v>
          </cell>
          <cell r="J257">
            <v>7</v>
          </cell>
          <cell r="K257">
            <v>0.145454545454545</v>
          </cell>
        </row>
        <row r="258">
          <cell r="H258" t="str">
            <v>Stuart-碎片</v>
          </cell>
          <cell r="I258" t="str">
            <v>T1碎片</v>
          </cell>
          <cell r="J258">
            <v>7</v>
          </cell>
          <cell r="K258">
            <v>0.145454545454545</v>
          </cell>
        </row>
        <row r="259">
          <cell r="H259" t="str">
            <v>B-1-碎片</v>
          </cell>
          <cell r="I259" t="str">
            <v>T1碎片</v>
          </cell>
          <cell r="J259">
            <v>7</v>
          </cell>
          <cell r="K259">
            <v>0.145454545454545</v>
          </cell>
        </row>
        <row r="260">
          <cell r="H260" t="str">
            <v>二号-碎片</v>
          </cell>
          <cell r="I260" t="str">
            <v>T2碎片</v>
          </cell>
          <cell r="J260">
            <v>7</v>
          </cell>
          <cell r="K260">
            <v>6.6666666666666693E-2</v>
          </cell>
        </row>
        <row r="261">
          <cell r="H261" t="str">
            <v>T-34-碎片</v>
          </cell>
          <cell r="I261" t="str">
            <v>T2碎片</v>
          </cell>
          <cell r="J261">
            <v>7</v>
          </cell>
          <cell r="K261">
            <v>6.6666666666666693E-2</v>
          </cell>
        </row>
        <row r="262">
          <cell r="H262" t="str">
            <v>KV-1-碎片</v>
          </cell>
          <cell r="I262" t="str">
            <v>T2碎片</v>
          </cell>
          <cell r="J262">
            <v>7</v>
          </cell>
          <cell r="K262">
            <v>6.6666666666666693E-2</v>
          </cell>
        </row>
        <row r="263">
          <cell r="H263" t="str">
            <v>35(t)-碎片</v>
          </cell>
          <cell r="I263" t="str">
            <v>T3碎片</v>
          </cell>
          <cell r="J263">
            <v>7</v>
          </cell>
          <cell r="K263">
            <v>0.22136363636363601</v>
          </cell>
        </row>
        <row r="264">
          <cell r="H264" t="str">
            <v>玛蒂尔达-碎片</v>
          </cell>
          <cell r="I264" t="str">
            <v>T3碎片</v>
          </cell>
          <cell r="J264">
            <v>7</v>
          </cell>
          <cell r="K264">
            <v>0.22136363636363601</v>
          </cell>
        </row>
        <row r="265">
          <cell r="H265" t="str">
            <v>黑豹-碎片</v>
          </cell>
          <cell r="I265" t="str">
            <v>T3碎片</v>
          </cell>
          <cell r="J265">
            <v>7</v>
          </cell>
          <cell r="K265">
            <v>0.22136363636363601</v>
          </cell>
        </row>
        <row r="266">
          <cell r="H266" t="str">
            <v>35(t)-碎片</v>
          </cell>
          <cell r="I266" t="str">
            <v>T3碎片</v>
          </cell>
          <cell r="J266">
            <v>7</v>
          </cell>
          <cell r="K266">
            <v>0.22136363636363601</v>
          </cell>
        </row>
        <row r="267">
          <cell r="H267" t="str">
            <v>玛蒂尔达-碎片</v>
          </cell>
          <cell r="I267" t="str">
            <v>T3碎片</v>
          </cell>
          <cell r="J267">
            <v>7</v>
          </cell>
          <cell r="K267">
            <v>0.22136363636363601</v>
          </cell>
        </row>
        <row r="268">
          <cell r="H268" t="str">
            <v>黑豹-碎片</v>
          </cell>
          <cell r="I268" t="str">
            <v>T3碎片</v>
          </cell>
          <cell r="J268">
            <v>7</v>
          </cell>
          <cell r="K268">
            <v>0.22136363636363601</v>
          </cell>
        </row>
        <row r="269">
          <cell r="H269" t="str">
            <v>T1LP1</v>
          </cell>
          <cell r="I269" t="str">
            <v>T1部件</v>
          </cell>
          <cell r="J269">
            <v>7</v>
          </cell>
          <cell r="K269">
            <v>3.6363636363636397E-2</v>
          </cell>
        </row>
        <row r="270">
          <cell r="H270" t="str">
            <v>T1LP3</v>
          </cell>
          <cell r="I270" t="str">
            <v>T1部件</v>
          </cell>
          <cell r="J270">
            <v>7</v>
          </cell>
          <cell r="K270">
            <v>3.6363636363636397E-2</v>
          </cell>
        </row>
        <row r="271">
          <cell r="H271" t="str">
            <v>T1LP5</v>
          </cell>
          <cell r="I271" t="str">
            <v>T1部件</v>
          </cell>
          <cell r="J271">
            <v>7</v>
          </cell>
          <cell r="K271">
            <v>3.6363636363636397E-2</v>
          </cell>
        </row>
        <row r="272">
          <cell r="H272" t="str">
            <v>T1MP1</v>
          </cell>
          <cell r="I272" t="str">
            <v>T1部件</v>
          </cell>
          <cell r="J272">
            <v>7</v>
          </cell>
          <cell r="K272">
            <v>3.6363636363636397E-2</v>
          </cell>
        </row>
        <row r="273">
          <cell r="H273" t="str">
            <v>T1MP3</v>
          </cell>
          <cell r="I273" t="str">
            <v>T1部件</v>
          </cell>
          <cell r="J273">
            <v>7</v>
          </cell>
          <cell r="K273">
            <v>3.6363636363636397E-2</v>
          </cell>
        </row>
        <row r="274">
          <cell r="H274" t="str">
            <v>T1MP5</v>
          </cell>
          <cell r="I274" t="str">
            <v>T1部件</v>
          </cell>
          <cell r="J274">
            <v>7</v>
          </cell>
          <cell r="K274">
            <v>3.6363636363636397E-2</v>
          </cell>
        </row>
        <row r="275">
          <cell r="H275" t="str">
            <v>T1HP1</v>
          </cell>
          <cell r="I275" t="str">
            <v>T1部件</v>
          </cell>
          <cell r="J275">
            <v>7</v>
          </cell>
          <cell r="K275">
            <v>3.6363636363636397E-2</v>
          </cell>
        </row>
        <row r="276">
          <cell r="H276" t="str">
            <v>T1HP3</v>
          </cell>
          <cell r="I276" t="str">
            <v>T1部件</v>
          </cell>
          <cell r="J276">
            <v>7</v>
          </cell>
          <cell r="K276">
            <v>3.6363636363636397E-2</v>
          </cell>
        </row>
        <row r="277">
          <cell r="H277" t="str">
            <v>T1HP5</v>
          </cell>
          <cell r="I277" t="str">
            <v>T1部件</v>
          </cell>
          <cell r="J277">
            <v>7</v>
          </cell>
          <cell r="K277">
            <v>3.6363636363636397E-2</v>
          </cell>
        </row>
        <row r="278">
          <cell r="H278" t="str">
            <v>T1LP2</v>
          </cell>
          <cell r="I278" t="str">
            <v>T1部件</v>
          </cell>
          <cell r="J278">
            <v>7</v>
          </cell>
          <cell r="K278">
            <v>3.6363636363636397E-2</v>
          </cell>
        </row>
        <row r="279">
          <cell r="H279" t="str">
            <v>T1LP4</v>
          </cell>
          <cell r="I279" t="str">
            <v>T1部件</v>
          </cell>
          <cell r="J279">
            <v>7</v>
          </cell>
          <cell r="K279">
            <v>3.6363636363636397E-2</v>
          </cell>
        </row>
        <row r="280">
          <cell r="H280" t="str">
            <v>T1LP6</v>
          </cell>
          <cell r="I280" t="str">
            <v>T1部件</v>
          </cell>
          <cell r="J280">
            <v>7</v>
          </cell>
          <cell r="K280">
            <v>3.6363636363636397E-2</v>
          </cell>
        </row>
        <row r="281">
          <cell r="H281" t="str">
            <v>T1MP2</v>
          </cell>
          <cell r="I281" t="str">
            <v>T1部件</v>
          </cell>
          <cell r="J281">
            <v>7</v>
          </cell>
          <cell r="K281">
            <v>3.6363636363636397E-2</v>
          </cell>
        </row>
        <row r="282">
          <cell r="H282" t="str">
            <v>T1MP4</v>
          </cell>
          <cell r="I282" t="str">
            <v>T1部件</v>
          </cell>
          <cell r="J282">
            <v>7</v>
          </cell>
          <cell r="K282">
            <v>3.6363636363636397E-2</v>
          </cell>
        </row>
        <row r="283">
          <cell r="H283" t="str">
            <v>T1MP6</v>
          </cell>
          <cell r="I283" t="str">
            <v>T1部件</v>
          </cell>
          <cell r="J283">
            <v>7</v>
          </cell>
          <cell r="K283">
            <v>3.6363636363636397E-2</v>
          </cell>
        </row>
        <row r="284">
          <cell r="H284" t="str">
            <v>T1HP2</v>
          </cell>
          <cell r="I284" t="str">
            <v>T1部件</v>
          </cell>
          <cell r="J284">
            <v>7</v>
          </cell>
          <cell r="K284">
            <v>3.6363636363636397E-2</v>
          </cell>
        </row>
        <row r="285">
          <cell r="H285" t="str">
            <v>T1HP4</v>
          </cell>
          <cell r="I285" t="str">
            <v>T1部件</v>
          </cell>
          <cell r="J285">
            <v>7</v>
          </cell>
          <cell r="K285">
            <v>3.6363636363636397E-2</v>
          </cell>
        </row>
        <row r="286">
          <cell r="H286" t="str">
            <v>T1HP6</v>
          </cell>
          <cell r="I286" t="str">
            <v>T1部件</v>
          </cell>
          <cell r="J286">
            <v>7</v>
          </cell>
          <cell r="K286">
            <v>3.6363636363636397E-2</v>
          </cell>
        </row>
        <row r="287">
          <cell r="H287" t="str">
            <v>T2LP1</v>
          </cell>
          <cell r="I287" t="str">
            <v>T2部件</v>
          </cell>
          <cell r="J287">
            <v>7</v>
          </cell>
          <cell r="K287">
            <v>1.09090909090909E-2</v>
          </cell>
        </row>
        <row r="288">
          <cell r="H288" t="str">
            <v>T2LP3</v>
          </cell>
          <cell r="I288" t="str">
            <v>T2部件</v>
          </cell>
          <cell r="J288">
            <v>7</v>
          </cell>
          <cell r="K288">
            <v>1.09090909090909E-2</v>
          </cell>
        </row>
        <row r="289">
          <cell r="H289" t="str">
            <v>T2LP5</v>
          </cell>
          <cell r="I289" t="str">
            <v>T2部件</v>
          </cell>
          <cell r="J289">
            <v>7</v>
          </cell>
          <cell r="K289">
            <v>1.09090909090909E-2</v>
          </cell>
        </row>
        <row r="290">
          <cell r="H290" t="str">
            <v>T2MP1</v>
          </cell>
          <cell r="I290" t="str">
            <v>T2部件</v>
          </cell>
          <cell r="J290">
            <v>7</v>
          </cell>
          <cell r="K290">
            <v>1.09090909090909E-2</v>
          </cell>
        </row>
        <row r="291">
          <cell r="H291" t="str">
            <v>T2MP3</v>
          </cell>
          <cell r="I291" t="str">
            <v>T2部件</v>
          </cell>
          <cell r="J291">
            <v>7</v>
          </cell>
          <cell r="K291">
            <v>1.09090909090909E-2</v>
          </cell>
        </row>
        <row r="292">
          <cell r="H292" t="str">
            <v>T2MP5</v>
          </cell>
          <cell r="I292" t="str">
            <v>T2部件</v>
          </cell>
          <cell r="J292">
            <v>7</v>
          </cell>
          <cell r="K292">
            <v>1.09090909090909E-2</v>
          </cell>
        </row>
        <row r="293">
          <cell r="H293" t="str">
            <v>T2HP1</v>
          </cell>
          <cell r="I293" t="str">
            <v>T2部件</v>
          </cell>
          <cell r="J293">
            <v>7</v>
          </cell>
          <cell r="K293">
            <v>1.09090909090909E-2</v>
          </cell>
        </row>
        <row r="294">
          <cell r="H294" t="str">
            <v>T2HP3</v>
          </cell>
          <cell r="I294" t="str">
            <v>T2部件</v>
          </cell>
          <cell r="J294">
            <v>7</v>
          </cell>
          <cell r="K294">
            <v>1.09090909090909E-2</v>
          </cell>
        </row>
        <row r="295">
          <cell r="H295" t="str">
            <v>T2HP5</v>
          </cell>
          <cell r="I295" t="str">
            <v>T2部件</v>
          </cell>
          <cell r="J295">
            <v>7</v>
          </cell>
          <cell r="K295">
            <v>1.09090909090909E-2</v>
          </cell>
        </row>
        <row r="296">
          <cell r="H296" t="str">
            <v>T2LP2</v>
          </cell>
          <cell r="I296" t="str">
            <v>T2部件</v>
          </cell>
          <cell r="J296">
            <v>7</v>
          </cell>
          <cell r="K296">
            <v>1.09090909090909E-2</v>
          </cell>
        </row>
        <row r="297">
          <cell r="H297" t="str">
            <v>T2LP4</v>
          </cell>
          <cell r="I297" t="str">
            <v>T2部件</v>
          </cell>
          <cell r="J297">
            <v>7</v>
          </cell>
          <cell r="K297">
            <v>1.09090909090909E-2</v>
          </cell>
        </row>
        <row r="298">
          <cell r="H298" t="str">
            <v>T2LP6</v>
          </cell>
          <cell r="I298" t="str">
            <v>T2部件</v>
          </cell>
          <cell r="J298">
            <v>7</v>
          </cell>
          <cell r="K298">
            <v>1.09090909090909E-2</v>
          </cell>
        </row>
        <row r="299">
          <cell r="H299" t="str">
            <v>T2MP2</v>
          </cell>
          <cell r="I299" t="str">
            <v>T2部件</v>
          </cell>
          <cell r="J299">
            <v>7</v>
          </cell>
          <cell r="K299">
            <v>1.09090909090909E-2</v>
          </cell>
        </row>
        <row r="300">
          <cell r="H300" t="str">
            <v>T2MP4</v>
          </cell>
          <cell r="I300" t="str">
            <v>T2部件</v>
          </cell>
          <cell r="J300">
            <v>7</v>
          </cell>
          <cell r="K300">
            <v>1.09090909090909E-2</v>
          </cell>
        </row>
        <row r="301">
          <cell r="H301" t="str">
            <v>T2MP6</v>
          </cell>
          <cell r="I301" t="str">
            <v>T2部件</v>
          </cell>
          <cell r="J301">
            <v>7</v>
          </cell>
          <cell r="K301">
            <v>1.09090909090909E-2</v>
          </cell>
        </row>
        <row r="302">
          <cell r="H302" t="str">
            <v>T2HP2</v>
          </cell>
          <cell r="I302" t="str">
            <v>T2部件</v>
          </cell>
          <cell r="J302">
            <v>7</v>
          </cell>
          <cell r="K302">
            <v>1.09090909090909E-2</v>
          </cell>
        </row>
        <row r="303">
          <cell r="H303" t="str">
            <v>T2HP4</v>
          </cell>
          <cell r="I303" t="str">
            <v>T2部件</v>
          </cell>
          <cell r="J303">
            <v>7</v>
          </cell>
          <cell r="K303">
            <v>1.09090909090909E-2</v>
          </cell>
        </row>
        <row r="304">
          <cell r="H304" t="str">
            <v>T2HP6</v>
          </cell>
          <cell r="I304" t="str">
            <v>T2部件</v>
          </cell>
          <cell r="J304">
            <v>7</v>
          </cell>
          <cell r="K304">
            <v>1.09090909090909E-2</v>
          </cell>
        </row>
        <row r="305">
          <cell r="H305" t="str">
            <v>T3LP1</v>
          </cell>
          <cell r="I305" t="str">
            <v>T3部件</v>
          </cell>
          <cell r="J305">
            <v>7</v>
          </cell>
          <cell r="K305">
            <v>3.0303030303030299E-3</v>
          </cell>
        </row>
        <row r="306">
          <cell r="H306" t="str">
            <v>T3LP3</v>
          </cell>
          <cell r="I306" t="str">
            <v>T3部件</v>
          </cell>
          <cell r="J306">
            <v>7</v>
          </cell>
          <cell r="K306">
            <v>3.0303030303030299E-3</v>
          </cell>
        </row>
        <row r="307">
          <cell r="H307" t="str">
            <v>T3LP5</v>
          </cell>
          <cell r="I307" t="str">
            <v>T3部件</v>
          </cell>
          <cell r="J307">
            <v>7</v>
          </cell>
          <cell r="K307">
            <v>3.0303030303030299E-3</v>
          </cell>
        </row>
        <row r="308">
          <cell r="H308" t="str">
            <v>T3MP1</v>
          </cell>
          <cell r="I308" t="str">
            <v>T3部件</v>
          </cell>
          <cell r="J308">
            <v>7</v>
          </cell>
          <cell r="K308">
            <v>3.0303030303030299E-3</v>
          </cell>
        </row>
        <row r="309">
          <cell r="H309" t="str">
            <v>T3MP3</v>
          </cell>
          <cell r="I309" t="str">
            <v>T3部件</v>
          </cell>
          <cell r="J309">
            <v>7</v>
          </cell>
          <cell r="K309">
            <v>3.0303030303030299E-3</v>
          </cell>
        </row>
        <row r="310">
          <cell r="H310" t="str">
            <v>T3MP5</v>
          </cell>
          <cell r="I310" t="str">
            <v>T3部件</v>
          </cell>
          <cell r="J310">
            <v>7</v>
          </cell>
          <cell r="K310">
            <v>3.0303030303030299E-3</v>
          </cell>
        </row>
        <row r="311">
          <cell r="H311" t="str">
            <v>T3HP1</v>
          </cell>
          <cell r="I311" t="str">
            <v>T3部件</v>
          </cell>
          <cell r="J311">
            <v>7</v>
          </cell>
          <cell r="K311">
            <v>3.0303030303030299E-3</v>
          </cell>
        </row>
        <row r="312">
          <cell r="H312" t="str">
            <v>T3HP3</v>
          </cell>
          <cell r="I312" t="str">
            <v>T3部件</v>
          </cell>
          <cell r="J312">
            <v>7</v>
          </cell>
          <cell r="K312">
            <v>3.0303030303030299E-3</v>
          </cell>
        </row>
        <row r="313">
          <cell r="H313" t="str">
            <v>T3HP5</v>
          </cell>
          <cell r="I313" t="str">
            <v>T3部件</v>
          </cell>
          <cell r="J313">
            <v>7</v>
          </cell>
          <cell r="K313">
            <v>3.0303030303030299E-3</v>
          </cell>
        </row>
        <row r="314">
          <cell r="H314" t="str">
            <v>T3LP2</v>
          </cell>
          <cell r="I314" t="str">
            <v>T3部件</v>
          </cell>
          <cell r="J314">
            <v>7</v>
          </cell>
          <cell r="K314">
            <v>3.0303030303030299E-3</v>
          </cell>
        </row>
        <row r="315">
          <cell r="H315" t="str">
            <v>T3LP4</v>
          </cell>
          <cell r="I315" t="str">
            <v>T3部件</v>
          </cell>
          <cell r="J315">
            <v>7</v>
          </cell>
          <cell r="K315">
            <v>3.0303030303030299E-3</v>
          </cell>
        </row>
        <row r="316">
          <cell r="H316" t="str">
            <v>T3LP6</v>
          </cell>
          <cell r="I316" t="str">
            <v>T3部件</v>
          </cell>
          <cell r="J316">
            <v>7</v>
          </cell>
          <cell r="K316">
            <v>3.0303030303030299E-3</v>
          </cell>
        </row>
        <row r="317">
          <cell r="H317" t="str">
            <v>T3MP2</v>
          </cell>
          <cell r="I317" t="str">
            <v>T3部件</v>
          </cell>
          <cell r="J317">
            <v>7</v>
          </cell>
          <cell r="K317">
            <v>3.0303030303030299E-3</v>
          </cell>
        </row>
        <row r="318">
          <cell r="H318" t="str">
            <v>T3MP4</v>
          </cell>
          <cell r="I318" t="str">
            <v>T3部件</v>
          </cell>
          <cell r="J318">
            <v>7</v>
          </cell>
          <cell r="K318">
            <v>3.0303030303030299E-3</v>
          </cell>
        </row>
        <row r="319">
          <cell r="H319" t="str">
            <v>T3MP6</v>
          </cell>
          <cell r="I319" t="str">
            <v>T3部件</v>
          </cell>
          <cell r="J319">
            <v>7</v>
          </cell>
          <cell r="K319">
            <v>3.0303030303030299E-3</v>
          </cell>
        </row>
        <row r="320">
          <cell r="H320" t="str">
            <v>T3HP2</v>
          </cell>
          <cell r="I320" t="str">
            <v>T3部件</v>
          </cell>
          <cell r="J320">
            <v>7</v>
          </cell>
          <cell r="K320">
            <v>3.0303030303030299E-3</v>
          </cell>
        </row>
        <row r="321">
          <cell r="H321" t="str">
            <v>T3HP4</v>
          </cell>
          <cell r="I321" t="str">
            <v>T3部件</v>
          </cell>
          <cell r="J321">
            <v>7</v>
          </cell>
          <cell r="K321">
            <v>3.0303030303030299E-3</v>
          </cell>
        </row>
        <row r="322">
          <cell r="H322" t="str">
            <v>T3HP6</v>
          </cell>
          <cell r="I322" t="str">
            <v>T3部件</v>
          </cell>
          <cell r="J322">
            <v>7</v>
          </cell>
          <cell r="K322">
            <v>3.0303030303030299E-3</v>
          </cell>
        </row>
        <row r="323">
          <cell r="H323" t="str">
            <v>雷诺FT-碎片</v>
          </cell>
          <cell r="I323" t="str">
            <v>T1碎片</v>
          </cell>
          <cell r="J323">
            <v>8</v>
          </cell>
          <cell r="K323">
            <v>0.141025641025641</v>
          </cell>
        </row>
        <row r="324">
          <cell r="H324" t="str">
            <v>Stuart-碎片</v>
          </cell>
          <cell r="I324" t="str">
            <v>T1碎片</v>
          </cell>
          <cell r="J324">
            <v>8</v>
          </cell>
          <cell r="K324">
            <v>0.141025641025641</v>
          </cell>
        </row>
        <row r="325">
          <cell r="H325" t="str">
            <v>B-1-碎片</v>
          </cell>
          <cell r="I325" t="str">
            <v>T1碎片</v>
          </cell>
          <cell r="J325">
            <v>8</v>
          </cell>
          <cell r="K325">
            <v>0.141025641025641</v>
          </cell>
        </row>
        <row r="326">
          <cell r="H326" t="str">
            <v>二号-碎片</v>
          </cell>
          <cell r="I326" t="str">
            <v>T2碎片</v>
          </cell>
          <cell r="J326">
            <v>8</v>
          </cell>
          <cell r="K326">
            <v>5.7692307692307702E-2</v>
          </cell>
        </row>
        <row r="327">
          <cell r="H327" t="str">
            <v>T-34-碎片</v>
          </cell>
          <cell r="I327" t="str">
            <v>T2碎片</v>
          </cell>
          <cell r="J327">
            <v>8</v>
          </cell>
          <cell r="K327">
            <v>5.7692307692307702E-2</v>
          </cell>
        </row>
        <row r="328">
          <cell r="H328" t="str">
            <v>KV-1-碎片</v>
          </cell>
          <cell r="I328" t="str">
            <v>T2碎片</v>
          </cell>
          <cell r="J328">
            <v>8</v>
          </cell>
          <cell r="K328">
            <v>5.7692307692307702E-2</v>
          </cell>
        </row>
        <row r="329">
          <cell r="H329" t="str">
            <v>35(t)-碎片</v>
          </cell>
          <cell r="I329" t="str">
            <v>T3碎片</v>
          </cell>
          <cell r="J329">
            <v>8</v>
          </cell>
          <cell r="K329">
            <v>0.234134615384615</v>
          </cell>
        </row>
        <row r="330">
          <cell r="H330" t="str">
            <v>玛蒂尔达-碎片</v>
          </cell>
          <cell r="I330" t="str">
            <v>T3碎片</v>
          </cell>
          <cell r="J330">
            <v>8</v>
          </cell>
          <cell r="K330">
            <v>0.234134615384615</v>
          </cell>
        </row>
        <row r="331">
          <cell r="H331" t="str">
            <v>黑豹-碎片</v>
          </cell>
          <cell r="I331" t="str">
            <v>T3碎片</v>
          </cell>
          <cell r="J331">
            <v>8</v>
          </cell>
          <cell r="K331">
            <v>0.234134615384615</v>
          </cell>
        </row>
        <row r="332">
          <cell r="H332" t="str">
            <v>35(t)-碎片</v>
          </cell>
          <cell r="I332" t="str">
            <v>T3碎片</v>
          </cell>
          <cell r="J332">
            <v>8</v>
          </cell>
          <cell r="K332">
            <v>0.234134615384615</v>
          </cell>
        </row>
        <row r="333">
          <cell r="H333" t="str">
            <v>玛蒂尔达-碎片</v>
          </cell>
          <cell r="I333" t="str">
            <v>T3碎片</v>
          </cell>
          <cell r="J333">
            <v>8</v>
          </cell>
          <cell r="K333">
            <v>0.234134615384615</v>
          </cell>
        </row>
        <row r="334">
          <cell r="H334" t="str">
            <v>黑豹-碎片</v>
          </cell>
          <cell r="I334" t="str">
            <v>T3碎片</v>
          </cell>
          <cell r="J334">
            <v>8</v>
          </cell>
          <cell r="K334">
            <v>0.234134615384615</v>
          </cell>
        </row>
        <row r="335">
          <cell r="H335" t="str">
            <v>T1LP1</v>
          </cell>
          <cell r="I335" t="str">
            <v>T1部件</v>
          </cell>
          <cell r="J335">
            <v>8</v>
          </cell>
          <cell r="K335">
            <v>3.2051282051282E-2</v>
          </cell>
        </row>
        <row r="336">
          <cell r="H336" t="str">
            <v>T1LP3</v>
          </cell>
          <cell r="I336" t="str">
            <v>T1部件</v>
          </cell>
          <cell r="J336">
            <v>8</v>
          </cell>
          <cell r="K336">
            <v>3.2051282051282E-2</v>
          </cell>
        </row>
        <row r="337">
          <cell r="H337" t="str">
            <v>T1LP5</v>
          </cell>
          <cell r="I337" t="str">
            <v>T1部件</v>
          </cell>
          <cell r="J337">
            <v>8</v>
          </cell>
          <cell r="K337">
            <v>3.2051282051282E-2</v>
          </cell>
        </row>
        <row r="338">
          <cell r="H338" t="str">
            <v>T1MP1</v>
          </cell>
          <cell r="I338" t="str">
            <v>T1部件</v>
          </cell>
          <cell r="J338">
            <v>8</v>
          </cell>
          <cell r="K338">
            <v>3.2051282051282E-2</v>
          </cell>
        </row>
        <row r="339">
          <cell r="H339" t="str">
            <v>T1MP3</v>
          </cell>
          <cell r="I339" t="str">
            <v>T1部件</v>
          </cell>
          <cell r="J339">
            <v>8</v>
          </cell>
          <cell r="K339">
            <v>3.2051282051282E-2</v>
          </cell>
        </row>
        <row r="340">
          <cell r="H340" t="str">
            <v>T1MP5</v>
          </cell>
          <cell r="I340" t="str">
            <v>T1部件</v>
          </cell>
          <cell r="J340">
            <v>8</v>
          </cell>
          <cell r="K340">
            <v>3.2051282051282E-2</v>
          </cell>
        </row>
        <row r="341">
          <cell r="H341" t="str">
            <v>T1HP1</v>
          </cell>
          <cell r="I341" t="str">
            <v>T1部件</v>
          </cell>
          <cell r="J341">
            <v>8</v>
          </cell>
          <cell r="K341">
            <v>3.2051282051282E-2</v>
          </cell>
        </row>
        <row r="342">
          <cell r="H342" t="str">
            <v>T1HP3</v>
          </cell>
          <cell r="I342" t="str">
            <v>T1部件</v>
          </cell>
          <cell r="J342">
            <v>8</v>
          </cell>
          <cell r="K342">
            <v>3.2051282051282E-2</v>
          </cell>
        </row>
        <row r="343">
          <cell r="H343" t="str">
            <v>T1HP5</v>
          </cell>
          <cell r="I343" t="str">
            <v>T1部件</v>
          </cell>
          <cell r="J343">
            <v>8</v>
          </cell>
          <cell r="K343">
            <v>3.2051282051282E-2</v>
          </cell>
        </row>
        <row r="344">
          <cell r="H344" t="str">
            <v>T1LP2</v>
          </cell>
          <cell r="I344" t="str">
            <v>T1部件</v>
          </cell>
          <cell r="J344">
            <v>8</v>
          </cell>
          <cell r="K344">
            <v>3.2051282051282E-2</v>
          </cell>
        </row>
        <row r="345">
          <cell r="H345" t="str">
            <v>T1LP4</v>
          </cell>
          <cell r="I345" t="str">
            <v>T1部件</v>
          </cell>
          <cell r="J345">
            <v>8</v>
          </cell>
          <cell r="K345">
            <v>3.2051282051282E-2</v>
          </cell>
        </row>
        <row r="346">
          <cell r="H346" t="str">
            <v>T1LP6</v>
          </cell>
          <cell r="I346" t="str">
            <v>T1部件</v>
          </cell>
          <cell r="J346">
            <v>8</v>
          </cell>
          <cell r="K346">
            <v>3.2051282051282E-2</v>
          </cell>
        </row>
        <row r="347">
          <cell r="H347" t="str">
            <v>T1MP2</v>
          </cell>
          <cell r="I347" t="str">
            <v>T1部件</v>
          </cell>
          <cell r="J347">
            <v>8</v>
          </cell>
          <cell r="K347">
            <v>3.2051282051282E-2</v>
          </cell>
        </row>
        <row r="348">
          <cell r="H348" t="str">
            <v>T1MP4</v>
          </cell>
          <cell r="I348" t="str">
            <v>T1部件</v>
          </cell>
          <cell r="J348">
            <v>8</v>
          </cell>
          <cell r="K348">
            <v>3.2051282051282E-2</v>
          </cell>
        </row>
        <row r="349">
          <cell r="H349" t="str">
            <v>T1MP6</v>
          </cell>
          <cell r="I349" t="str">
            <v>T1部件</v>
          </cell>
          <cell r="J349">
            <v>8</v>
          </cell>
          <cell r="K349">
            <v>3.2051282051282E-2</v>
          </cell>
        </row>
        <row r="350">
          <cell r="H350" t="str">
            <v>T1HP2</v>
          </cell>
          <cell r="I350" t="str">
            <v>T1部件</v>
          </cell>
          <cell r="J350">
            <v>8</v>
          </cell>
          <cell r="K350">
            <v>3.2051282051282E-2</v>
          </cell>
        </row>
        <row r="351">
          <cell r="H351" t="str">
            <v>T1HP4</v>
          </cell>
          <cell r="I351" t="str">
            <v>T1部件</v>
          </cell>
          <cell r="J351">
            <v>8</v>
          </cell>
          <cell r="K351">
            <v>3.2051282051282E-2</v>
          </cell>
        </row>
        <row r="352">
          <cell r="H352" t="str">
            <v>T1HP6</v>
          </cell>
          <cell r="I352" t="str">
            <v>T1部件</v>
          </cell>
          <cell r="J352">
            <v>8</v>
          </cell>
          <cell r="K352">
            <v>3.2051282051282E-2</v>
          </cell>
        </row>
        <row r="353">
          <cell r="H353" t="str">
            <v>T2LP1</v>
          </cell>
          <cell r="I353" t="str">
            <v>T2部件</v>
          </cell>
          <cell r="J353">
            <v>8</v>
          </cell>
          <cell r="K353">
            <v>1.1538461538461499E-2</v>
          </cell>
        </row>
        <row r="354">
          <cell r="H354" t="str">
            <v>T2LP3</v>
          </cell>
          <cell r="I354" t="str">
            <v>T2部件</v>
          </cell>
          <cell r="J354">
            <v>8</v>
          </cell>
          <cell r="K354">
            <v>1.1538461538461499E-2</v>
          </cell>
        </row>
        <row r="355">
          <cell r="H355" t="str">
            <v>T2LP5</v>
          </cell>
          <cell r="I355" t="str">
            <v>T2部件</v>
          </cell>
          <cell r="J355">
            <v>8</v>
          </cell>
          <cell r="K355">
            <v>1.1538461538461499E-2</v>
          </cell>
        </row>
        <row r="356">
          <cell r="H356" t="str">
            <v>T2MP1</v>
          </cell>
          <cell r="I356" t="str">
            <v>T2部件</v>
          </cell>
          <cell r="J356">
            <v>8</v>
          </cell>
          <cell r="K356">
            <v>1.1538461538461499E-2</v>
          </cell>
        </row>
        <row r="357">
          <cell r="H357" t="str">
            <v>T2MP3</v>
          </cell>
          <cell r="I357" t="str">
            <v>T2部件</v>
          </cell>
          <cell r="J357">
            <v>8</v>
          </cell>
          <cell r="K357">
            <v>1.1538461538461499E-2</v>
          </cell>
        </row>
        <row r="358">
          <cell r="H358" t="str">
            <v>T2MP5</v>
          </cell>
          <cell r="I358" t="str">
            <v>T2部件</v>
          </cell>
          <cell r="J358">
            <v>8</v>
          </cell>
          <cell r="K358">
            <v>1.1538461538461499E-2</v>
          </cell>
        </row>
        <row r="359">
          <cell r="H359" t="str">
            <v>T2HP1</v>
          </cell>
          <cell r="I359" t="str">
            <v>T2部件</v>
          </cell>
          <cell r="J359">
            <v>8</v>
          </cell>
          <cell r="K359">
            <v>1.1538461538461499E-2</v>
          </cell>
        </row>
        <row r="360">
          <cell r="H360" t="str">
            <v>T2HP3</v>
          </cell>
          <cell r="I360" t="str">
            <v>T2部件</v>
          </cell>
          <cell r="J360">
            <v>8</v>
          </cell>
          <cell r="K360">
            <v>1.1538461538461499E-2</v>
          </cell>
        </row>
        <row r="361">
          <cell r="H361" t="str">
            <v>T2HP5</v>
          </cell>
          <cell r="I361" t="str">
            <v>T2部件</v>
          </cell>
          <cell r="J361">
            <v>8</v>
          </cell>
          <cell r="K361">
            <v>1.1538461538461499E-2</v>
          </cell>
        </row>
        <row r="362">
          <cell r="H362" t="str">
            <v>T2LP2</v>
          </cell>
          <cell r="I362" t="str">
            <v>T2部件</v>
          </cell>
          <cell r="J362">
            <v>8</v>
          </cell>
          <cell r="K362">
            <v>1.1538461538461499E-2</v>
          </cell>
        </row>
        <row r="363">
          <cell r="H363" t="str">
            <v>T2LP4</v>
          </cell>
          <cell r="I363" t="str">
            <v>T2部件</v>
          </cell>
          <cell r="J363">
            <v>8</v>
          </cell>
          <cell r="K363">
            <v>1.1538461538461499E-2</v>
          </cell>
        </row>
        <row r="364">
          <cell r="H364" t="str">
            <v>T2LP6</v>
          </cell>
          <cell r="I364" t="str">
            <v>T2部件</v>
          </cell>
          <cell r="J364">
            <v>8</v>
          </cell>
          <cell r="K364">
            <v>1.1538461538461499E-2</v>
          </cell>
        </row>
        <row r="365">
          <cell r="H365" t="str">
            <v>T2MP2</v>
          </cell>
          <cell r="I365" t="str">
            <v>T2部件</v>
          </cell>
          <cell r="J365">
            <v>8</v>
          </cell>
          <cell r="K365">
            <v>1.1538461538461499E-2</v>
          </cell>
        </row>
        <row r="366">
          <cell r="H366" t="str">
            <v>T2MP4</v>
          </cell>
          <cell r="I366" t="str">
            <v>T2部件</v>
          </cell>
          <cell r="J366">
            <v>8</v>
          </cell>
          <cell r="K366">
            <v>1.1538461538461499E-2</v>
          </cell>
        </row>
        <row r="367">
          <cell r="H367" t="str">
            <v>T2MP6</v>
          </cell>
          <cell r="I367" t="str">
            <v>T2部件</v>
          </cell>
          <cell r="J367">
            <v>8</v>
          </cell>
          <cell r="K367">
            <v>1.1538461538461499E-2</v>
          </cell>
        </row>
        <row r="368">
          <cell r="H368" t="str">
            <v>T2HP2</v>
          </cell>
          <cell r="I368" t="str">
            <v>T2部件</v>
          </cell>
          <cell r="J368">
            <v>8</v>
          </cell>
          <cell r="K368">
            <v>1.1538461538461499E-2</v>
          </cell>
        </row>
        <row r="369">
          <cell r="H369" t="str">
            <v>T2HP4</v>
          </cell>
          <cell r="I369" t="str">
            <v>T2部件</v>
          </cell>
          <cell r="J369">
            <v>8</v>
          </cell>
          <cell r="K369">
            <v>1.1538461538461499E-2</v>
          </cell>
        </row>
        <row r="370">
          <cell r="H370" t="str">
            <v>T2HP6</v>
          </cell>
          <cell r="I370" t="str">
            <v>T2部件</v>
          </cell>
          <cell r="J370">
            <v>8</v>
          </cell>
          <cell r="K370">
            <v>1.1538461538461499E-2</v>
          </cell>
        </row>
        <row r="371">
          <cell r="H371" t="str">
            <v>T3LP1</v>
          </cell>
          <cell r="I371" t="str">
            <v>T3部件</v>
          </cell>
          <cell r="J371">
            <v>8</v>
          </cell>
          <cell r="K371">
            <v>4.8076923076923097E-3</v>
          </cell>
        </row>
        <row r="372">
          <cell r="H372" t="str">
            <v>T3LP3</v>
          </cell>
          <cell r="I372" t="str">
            <v>T3部件</v>
          </cell>
          <cell r="J372">
            <v>8</v>
          </cell>
          <cell r="K372">
            <v>4.8076923076923097E-3</v>
          </cell>
        </row>
        <row r="373">
          <cell r="H373" t="str">
            <v>T3LP5</v>
          </cell>
          <cell r="I373" t="str">
            <v>T3部件</v>
          </cell>
          <cell r="J373">
            <v>8</v>
          </cell>
          <cell r="K373">
            <v>4.8076923076923097E-3</v>
          </cell>
        </row>
        <row r="374">
          <cell r="H374" t="str">
            <v>T3MP1</v>
          </cell>
          <cell r="I374" t="str">
            <v>T3部件</v>
          </cell>
          <cell r="J374">
            <v>8</v>
          </cell>
          <cell r="K374">
            <v>4.8076923076923097E-3</v>
          </cell>
        </row>
        <row r="375">
          <cell r="H375" t="str">
            <v>T3MP3</v>
          </cell>
          <cell r="I375" t="str">
            <v>T3部件</v>
          </cell>
          <cell r="J375">
            <v>8</v>
          </cell>
          <cell r="K375">
            <v>4.8076923076923097E-3</v>
          </cell>
        </row>
        <row r="376">
          <cell r="H376" t="str">
            <v>T3MP5</v>
          </cell>
          <cell r="I376" t="str">
            <v>T3部件</v>
          </cell>
          <cell r="J376">
            <v>8</v>
          </cell>
          <cell r="K376">
            <v>4.8076923076923097E-3</v>
          </cell>
        </row>
        <row r="377">
          <cell r="H377" t="str">
            <v>T3HP1</v>
          </cell>
          <cell r="I377" t="str">
            <v>T3部件</v>
          </cell>
          <cell r="J377">
            <v>8</v>
          </cell>
          <cell r="K377">
            <v>4.8076923076923097E-3</v>
          </cell>
        </row>
        <row r="378">
          <cell r="H378" t="str">
            <v>T3HP3</v>
          </cell>
          <cell r="I378" t="str">
            <v>T3部件</v>
          </cell>
          <cell r="J378">
            <v>8</v>
          </cell>
          <cell r="K378">
            <v>4.8076923076923097E-3</v>
          </cell>
        </row>
        <row r="379">
          <cell r="H379" t="str">
            <v>T3HP5</v>
          </cell>
          <cell r="I379" t="str">
            <v>T3部件</v>
          </cell>
          <cell r="J379">
            <v>8</v>
          </cell>
          <cell r="K379">
            <v>4.8076923076923097E-3</v>
          </cell>
        </row>
        <row r="380">
          <cell r="H380" t="str">
            <v>T3LP2</v>
          </cell>
          <cell r="I380" t="str">
            <v>T3部件</v>
          </cell>
          <cell r="J380">
            <v>8</v>
          </cell>
          <cell r="K380">
            <v>4.8076923076923097E-3</v>
          </cell>
        </row>
        <row r="381">
          <cell r="H381" t="str">
            <v>T3LP4</v>
          </cell>
          <cell r="I381" t="str">
            <v>T3部件</v>
          </cell>
          <cell r="J381">
            <v>8</v>
          </cell>
          <cell r="K381">
            <v>4.8076923076923097E-3</v>
          </cell>
        </row>
        <row r="382">
          <cell r="H382" t="str">
            <v>T3LP6</v>
          </cell>
          <cell r="I382" t="str">
            <v>T3部件</v>
          </cell>
          <cell r="J382">
            <v>8</v>
          </cell>
          <cell r="K382">
            <v>4.8076923076923097E-3</v>
          </cell>
        </row>
        <row r="383">
          <cell r="H383" t="str">
            <v>T3MP2</v>
          </cell>
          <cell r="I383" t="str">
            <v>T3部件</v>
          </cell>
          <cell r="J383">
            <v>8</v>
          </cell>
          <cell r="K383">
            <v>4.8076923076923097E-3</v>
          </cell>
        </row>
        <row r="384">
          <cell r="H384" t="str">
            <v>T3MP4</v>
          </cell>
          <cell r="I384" t="str">
            <v>T3部件</v>
          </cell>
          <cell r="J384">
            <v>8</v>
          </cell>
          <cell r="K384">
            <v>4.8076923076923097E-3</v>
          </cell>
        </row>
        <row r="385">
          <cell r="H385" t="str">
            <v>T3MP6</v>
          </cell>
          <cell r="I385" t="str">
            <v>T3部件</v>
          </cell>
          <cell r="J385">
            <v>8</v>
          </cell>
          <cell r="K385">
            <v>4.8076923076923097E-3</v>
          </cell>
        </row>
        <row r="386">
          <cell r="H386" t="str">
            <v>T3HP2</v>
          </cell>
          <cell r="I386" t="str">
            <v>T3部件</v>
          </cell>
          <cell r="J386">
            <v>8</v>
          </cell>
          <cell r="K386">
            <v>4.8076923076923097E-3</v>
          </cell>
        </row>
        <row r="387">
          <cell r="H387" t="str">
            <v>T3HP4</v>
          </cell>
          <cell r="I387" t="str">
            <v>T3部件</v>
          </cell>
          <cell r="J387">
            <v>8</v>
          </cell>
          <cell r="K387">
            <v>4.8076923076923097E-3</v>
          </cell>
        </row>
        <row r="388">
          <cell r="H388" t="str">
            <v>T3HP6</v>
          </cell>
          <cell r="I388" t="str">
            <v>T3部件</v>
          </cell>
          <cell r="J388">
            <v>8</v>
          </cell>
          <cell r="K388">
            <v>4.8076923076923097E-3</v>
          </cell>
        </row>
        <row r="389">
          <cell r="H389" t="str">
            <v>雷诺FT-碎片</v>
          </cell>
          <cell r="I389" t="str">
            <v>T1碎片</v>
          </cell>
          <cell r="J389">
            <v>9</v>
          </cell>
          <cell r="K389">
            <v>0.130861504907306</v>
          </cell>
        </row>
        <row r="390">
          <cell r="H390" t="str">
            <v>Stuart-碎片</v>
          </cell>
          <cell r="I390" t="str">
            <v>T1碎片</v>
          </cell>
          <cell r="J390">
            <v>9</v>
          </cell>
          <cell r="K390">
            <v>0.130861504907306</v>
          </cell>
        </row>
        <row r="391">
          <cell r="H391" t="str">
            <v>B-1-碎片</v>
          </cell>
          <cell r="I391" t="str">
            <v>T1碎片</v>
          </cell>
          <cell r="J391">
            <v>9</v>
          </cell>
          <cell r="K391">
            <v>0.130861504907306</v>
          </cell>
        </row>
        <row r="392">
          <cell r="H392" t="str">
            <v>二号-碎片</v>
          </cell>
          <cell r="I392" t="str">
            <v>T2碎片</v>
          </cell>
          <cell r="J392">
            <v>9</v>
          </cell>
          <cell r="K392">
            <v>5.81606688476917E-2</v>
          </cell>
        </row>
        <row r="393">
          <cell r="H393" t="str">
            <v>T-34-碎片</v>
          </cell>
          <cell r="I393" t="str">
            <v>T2碎片</v>
          </cell>
          <cell r="J393">
            <v>9</v>
          </cell>
          <cell r="K393">
            <v>5.81606688476917E-2</v>
          </cell>
        </row>
        <row r="394">
          <cell r="H394" t="str">
            <v>KV-1-碎片</v>
          </cell>
          <cell r="I394" t="str">
            <v>T2碎片</v>
          </cell>
          <cell r="J394">
            <v>9</v>
          </cell>
          <cell r="K394">
            <v>5.81606688476917E-2</v>
          </cell>
        </row>
        <row r="395">
          <cell r="H395" t="str">
            <v>35(t)-碎片</v>
          </cell>
          <cell r="I395" t="str">
            <v>T3碎片</v>
          </cell>
          <cell r="J395">
            <v>9</v>
          </cell>
          <cell r="K395">
            <v>0.26553980370774299</v>
          </cell>
        </row>
        <row r="396">
          <cell r="H396" t="str">
            <v>玛蒂尔达-碎片</v>
          </cell>
          <cell r="I396" t="str">
            <v>T3碎片</v>
          </cell>
          <cell r="J396">
            <v>9</v>
          </cell>
          <cell r="K396">
            <v>0.26553980370774299</v>
          </cell>
        </row>
        <row r="397">
          <cell r="H397" t="str">
            <v>黑豹-碎片</v>
          </cell>
          <cell r="I397" t="str">
            <v>T3碎片</v>
          </cell>
          <cell r="J397">
            <v>9</v>
          </cell>
          <cell r="K397">
            <v>0.26553980370774299</v>
          </cell>
        </row>
        <row r="398">
          <cell r="H398" t="str">
            <v>35(t)-碎片</v>
          </cell>
          <cell r="I398" t="str">
            <v>T3碎片</v>
          </cell>
          <cell r="J398">
            <v>9</v>
          </cell>
          <cell r="K398">
            <v>0.26553980370774299</v>
          </cell>
        </row>
        <row r="399">
          <cell r="H399" t="str">
            <v>玛蒂尔达-碎片</v>
          </cell>
          <cell r="I399" t="str">
            <v>T3碎片</v>
          </cell>
          <cell r="J399">
            <v>9</v>
          </cell>
          <cell r="K399">
            <v>0.26553980370774299</v>
          </cell>
        </row>
        <row r="400">
          <cell r="H400" t="str">
            <v>黑豹-碎片</v>
          </cell>
          <cell r="I400" t="str">
            <v>T3碎片</v>
          </cell>
          <cell r="J400">
            <v>9</v>
          </cell>
          <cell r="K400">
            <v>0.26553980370774299</v>
          </cell>
        </row>
        <row r="401">
          <cell r="H401" t="str">
            <v>T1LP1</v>
          </cell>
          <cell r="I401" t="str">
            <v>T1部件</v>
          </cell>
          <cell r="J401">
            <v>9</v>
          </cell>
          <cell r="K401">
            <v>2.1810250817884399E-2</v>
          </cell>
        </row>
        <row r="402">
          <cell r="H402" t="str">
            <v>T1LP3</v>
          </cell>
          <cell r="I402" t="str">
            <v>T1部件</v>
          </cell>
          <cell r="J402">
            <v>9</v>
          </cell>
          <cell r="K402">
            <v>2.1810250817884399E-2</v>
          </cell>
        </row>
        <row r="403">
          <cell r="H403" t="str">
            <v>T1LP5</v>
          </cell>
          <cell r="I403" t="str">
            <v>T1部件</v>
          </cell>
          <cell r="J403">
            <v>9</v>
          </cell>
          <cell r="K403">
            <v>2.1810250817884399E-2</v>
          </cell>
        </row>
        <row r="404">
          <cell r="H404" t="str">
            <v>T1MP1</v>
          </cell>
          <cell r="I404" t="str">
            <v>T1部件</v>
          </cell>
          <cell r="J404">
            <v>9</v>
          </cell>
          <cell r="K404">
            <v>2.1810250817884399E-2</v>
          </cell>
        </row>
        <row r="405">
          <cell r="H405" t="str">
            <v>T1MP3</v>
          </cell>
          <cell r="I405" t="str">
            <v>T1部件</v>
          </cell>
          <cell r="J405">
            <v>9</v>
          </cell>
          <cell r="K405">
            <v>2.1810250817884399E-2</v>
          </cell>
        </row>
        <row r="406">
          <cell r="H406" t="str">
            <v>T1MP5</v>
          </cell>
          <cell r="I406" t="str">
            <v>T1部件</v>
          </cell>
          <cell r="J406">
            <v>9</v>
          </cell>
          <cell r="K406">
            <v>2.1810250817884399E-2</v>
          </cell>
        </row>
        <row r="407">
          <cell r="H407" t="str">
            <v>T1HP1</v>
          </cell>
          <cell r="I407" t="str">
            <v>T1部件</v>
          </cell>
          <cell r="J407">
            <v>9</v>
          </cell>
          <cell r="K407">
            <v>2.1810250817884399E-2</v>
          </cell>
        </row>
        <row r="408">
          <cell r="H408" t="str">
            <v>T1HP3</v>
          </cell>
          <cell r="I408" t="str">
            <v>T1部件</v>
          </cell>
          <cell r="J408">
            <v>9</v>
          </cell>
          <cell r="K408">
            <v>2.1810250817884399E-2</v>
          </cell>
        </row>
        <row r="409">
          <cell r="H409" t="str">
            <v>T1HP5</v>
          </cell>
          <cell r="I409" t="str">
            <v>T1部件</v>
          </cell>
          <cell r="J409">
            <v>9</v>
          </cell>
          <cell r="K409">
            <v>2.1810250817884399E-2</v>
          </cell>
        </row>
        <row r="410">
          <cell r="H410" t="str">
            <v>T1LP2</v>
          </cell>
          <cell r="I410" t="str">
            <v>T1部件</v>
          </cell>
          <cell r="J410">
            <v>9</v>
          </cell>
          <cell r="K410">
            <v>2.1810250817884399E-2</v>
          </cell>
        </row>
        <row r="411">
          <cell r="H411" t="str">
            <v>T1LP4</v>
          </cell>
          <cell r="I411" t="str">
            <v>T1部件</v>
          </cell>
          <cell r="J411">
            <v>9</v>
          </cell>
          <cell r="K411">
            <v>2.1810250817884399E-2</v>
          </cell>
        </row>
        <row r="412">
          <cell r="H412" t="str">
            <v>T1LP6</v>
          </cell>
          <cell r="I412" t="str">
            <v>T1部件</v>
          </cell>
          <cell r="J412">
            <v>9</v>
          </cell>
          <cell r="K412">
            <v>2.1810250817884399E-2</v>
          </cell>
        </row>
        <row r="413">
          <cell r="H413" t="str">
            <v>T1MP2</v>
          </cell>
          <cell r="I413" t="str">
            <v>T1部件</v>
          </cell>
          <cell r="J413">
            <v>9</v>
          </cell>
          <cell r="K413">
            <v>2.1810250817884399E-2</v>
          </cell>
        </row>
        <row r="414">
          <cell r="H414" t="str">
            <v>T1MP4</v>
          </cell>
          <cell r="I414" t="str">
            <v>T1部件</v>
          </cell>
          <cell r="J414">
            <v>9</v>
          </cell>
          <cell r="K414">
            <v>2.1810250817884399E-2</v>
          </cell>
        </row>
        <row r="415">
          <cell r="H415" t="str">
            <v>T1MP6</v>
          </cell>
          <cell r="I415" t="str">
            <v>T1部件</v>
          </cell>
          <cell r="J415">
            <v>9</v>
          </cell>
          <cell r="K415">
            <v>2.1810250817884399E-2</v>
          </cell>
        </row>
        <row r="416">
          <cell r="H416" t="str">
            <v>T1HP2</v>
          </cell>
          <cell r="I416" t="str">
            <v>T1部件</v>
          </cell>
          <cell r="J416">
            <v>9</v>
          </cell>
          <cell r="K416">
            <v>2.1810250817884399E-2</v>
          </cell>
        </row>
        <row r="417">
          <cell r="H417" t="str">
            <v>T1HP4</v>
          </cell>
          <cell r="I417" t="str">
            <v>T1部件</v>
          </cell>
          <cell r="J417">
            <v>9</v>
          </cell>
          <cell r="K417">
            <v>2.1810250817884399E-2</v>
          </cell>
        </row>
        <row r="418">
          <cell r="H418" t="str">
            <v>T1HP6</v>
          </cell>
          <cell r="I418" t="str">
            <v>T1部件</v>
          </cell>
          <cell r="J418">
            <v>9</v>
          </cell>
          <cell r="K418">
            <v>2.1810250817884399E-2</v>
          </cell>
        </row>
        <row r="419">
          <cell r="H419" t="str">
            <v>T2LP1</v>
          </cell>
          <cell r="I419" t="str">
            <v>T2部件</v>
          </cell>
          <cell r="J419">
            <v>9</v>
          </cell>
          <cell r="K419">
            <v>1.30861504907306E-2</v>
          </cell>
        </row>
        <row r="420">
          <cell r="H420" t="str">
            <v>T2LP3</v>
          </cell>
          <cell r="I420" t="str">
            <v>T2部件</v>
          </cell>
          <cell r="J420">
            <v>9</v>
          </cell>
          <cell r="K420">
            <v>1.30861504907306E-2</v>
          </cell>
        </row>
        <row r="421">
          <cell r="H421" t="str">
            <v>T2LP5</v>
          </cell>
          <cell r="I421" t="str">
            <v>T2部件</v>
          </cell>
          <cell r="J421">
            <v>9</v>
          </cell>
          <cell r="K421">
            <v>1.30861504907306E-2</v>
          </cell>
        </row>
        <row r="422">
          <cell r="H422" t="str">
            <v>T2MP1</v>
          </cell>
          <cell r="I422" t="str">
            <v>T2部件</v>
          </cell>
          <cell r="J422">
            <v>9</v>
          </cell>
          <cell r="K422">
            <v>1.30861504907306E-2</v>
          </cell>
        </row>
        <row r="423">
          <cell r="H423" t="str">
            <v>T2MP3</v>
          </cell>
          <cell r="I423" t="str">
            <v>T2部件</v>
          </cell>
          <cell r="J423">
            <v>9</v>
          </cell>
          <cell r="K423">
            <v>1.30861504907306E-2</v>
          </cell>
        </row>
        <row r="424">
          <cell r="H424" t="str">
            <v>T2MP5</v>
          </cell>
          <cell r="I424" t="str">
            <v>T2部件</v>
          </cell>
          <cell r="J424">
            <v>9</v>
          </cell>
          <cell r="K424">
            <v>1.30861504907306E-2</v>
          </cell>
        </row>
        <row r="425">
          <cell r="H425" t="str">
            <v>T2HP1</v>
          </cell>
          <cell r="I425" t="str">
            <v>T2部件</v>
          </cell>
          <cell r="J425">
            <v>9</v>
          </cell>
          <cell r="K425">
            <v>1.30861504907306E-2</v>
          </cell>
        </row>
        <row r="426">
          <cell r="H426" t="str">
            <v>T2HP3</v>
          </cell>
          <cell r="I426" t="str">
            <v>T2部件</v>
          </cell>
          <cell r="J426">
            <v>9</v>
          </cell>
          <cell r="K426">
            <v>1.30861504907306E-2</v>
          </cell>
        </row>
        <row r="427">
          <cell r="H427" t="str">
            <v>T2HP5</v>
          </cell>
          <cell r="I427" t="str">
            <v>T2部件</v>
          </cell>
          <cell r="J427">
            <v>9</v>
          </cell>
          <cell r="K427">
            <v>1.30861504907306E-2</v>
          </cell>
        </row>
        <row r="428">
          <cell r="H428" t="str">
            <v>T2LP2</v>
          </cell>
          <cell r="I428" t="str">
            <v>T2部件</v>
          </cell>
          <cell r="J428">
            <v>9</v>
          </cell>
          <cell r="K428">
            <v>1.30861504907306E-2</v>
          </cell>
        </row>
        <row r="429">
          <cell r="H429" t="str">
            <v>T2LP4</v>
          </cell>
          <cell r="I429" t="str">
            <v>T2部件</v>
          </cell>
          <cell r="J429">
            <v>9</v>
          </cell>
          <cell r="K429">
            <v>1.30861504907306E-2</v>
          </cell>
        </row>
        <row r="430">
          <cell r="H430" t="str">
            <v>T2LP6</v>
          </cell>
          <cell r="I430" t="str">
            <v>T2部件</v>
          </cell>
          <cell r="J430">
            <v>9</v>
          </cell>
          <cell r="K430">
            <v>1.30861504907306E-2</v>
          </cell>
        </row>
        <row r="431">
          <cell r="H431" t="str">
            <v>T2MP2</v>
          </cell>
          <cell r="I431" t="str">
            <v>T2部件</v>
          </cell>
          <cell r="J431">
            <v>9</v>
          </cell>
          <cell r="K431">
            <v>1.30861504907306E-2</v>
          </cell>
        </row>
        <row r="432">
          <cell r="H432" t="str">
            <v>T2MP4</v>
          </cell>
          <cell r="I432" t="str">
            <v>T2部件</v>
          </cell>
          <cell r="J432">
            <v>9</v>
          </cell>
          <cell r="K432">
            <v>1.30861504907306E-2</v>
          </cell>
        </row>
        <row r="433">
          <cell r="H433" t="str">
            <v>T2MP6</v>
          </cell>
          <cell r="I433" t="str">
            <v>T2部件</v>
          </cell>
          <cell r="J433">
            <v>9</v>
          </cell>
          <cell r="K433">
            <v>1.30861504907306E-2</v>
          </cell>
        </row>
        <row r="434">
          <cell r="H434" t="str">
            <v>T2HP2</v>
          </cell>
          <cell r="I434" t="str">
            <v>T2部件</v>
          </cell>
          <cell r="J434">
            <v>9</v>
          </cell>
          <cell r="K434">
            <v>1.30861504907306E-2</v>
          </cell>
        </row>
        <row r="435">
          <cell r="H435" t="str">
            <v>T2HP4</v>
          </cell>
          <cell r="I435" t="str">
            <v>T2部件</v>
          </cell>
          <cell r="J435">
            <v>9</v>
          </cell>
          <cell r="K435">
            <v>1.30861504907306E-2</v>
          </cell>
        </row>
        <row r="436">
          <cell r="H436" t="str">
            <v>T2HP6</v>
          </cell>
          <cell r="I436" t="str">
            <v>T2部件</v>
          </cell>
          <cell r="J436">
            <v>9</v>
          </cell>
          <cell r="K436">
            <v>1.30861504907306E-2</v>
          </cell>
        </row>
        <row r="437">
          <cell r="H437" t="str">
            <v>T3LP1</v>
          </cell>
          <cell r="I437" t="str">
            <v>T3部件</v>
          </cell>
          <cell r="J437">
            <v>9</v>
          </cell>
          <cell r="K437">
            <v>6.9065794256633999E-3</v>
          </cell>
        </row>
        <row r="438">
          <cell r="H438" t="str">
            <v>T3LP3</v>
          </cell>
          <cell r="I438" t="str">
            <v>T3部件</v>
          </cell>
          <cell r="J438">
            <v>9</v>
          </cell>
          <cell r="K438">
            <v>6.9065794256633999E-3</v>
          </cell>
        </row>
        <row r="439">
          <cell r="H439" t="str">
            <v>T3LP5</v>
          </cell>
          <cell r="I439" t="str">
            <v>T3部件</v>
          </cell>
          <cell r="J439">
            <v>9</v>
          </cell>
          <cell r="K439">
            <v>6.9065794256633999E-3</v>
          </cell>
        </row>
        <row r="440">
          <cell r="H440" t="str">
            <v>T3MP1</v>
          </cell>
          <cell r="I440" t="str">
            <v>T3部件</v>
          </cell>
          <cell r="J440">
            <v>9</v>
          </cell>
          <cell r="K440">
            <v>6.9065794256633999E-3</v>
          </cell>
        </row>
        <row r="441">
          <cell r="H441" t="str">
            <v>T3MP3</v>
          </cell>
          <cell r="I441" t="str">
            <v>T3部件</v>
          </cell>
          <cell r="J441">
            <v>9</v>
          </cell>
          <cell r="K441">
            <v>6.9065794256633999E-3</v>
          </cell>
        </row>
        <row r="442">
          <cell r="H442" t="str">
            <v>T3MP5</v>
          </cell>
          <cell r="I442" t="str">
            <v>T3部件</v>
          </cell>
          <cell r="J442">
            <v>9</v>
          </cell>
          <cell r="K442">
            <v>6.9065794256633999E-3</v>
          </cell>
        </row>
        <row r="443">
          <cell r="H443" t="str">
            <v>T3HP1</v>
          </cell>
          <cell r="I443" t="str">
            <v>T3部件</v>
          </cell>
          <cell r="J443">
            <v>9</v>
          </cell>
          <cell r="K443">
            <v>6.9065794256633999E-3</v>
          </cell>
        </row>
        <row r="444">
          <cell r="H444" t="str">
            <v>T3HP3</v>
          </cell>
          <cell r="I444" t="str">
            <v>T3部件</v>
          </cell>
          <cell r="J444">
            <v>9</v>
          </cell>
          <cell r="K444">
            <v>6.9065794256633999E-3</v>
          </cell>
        </row>
        <row r="445">
          <cell r="H445" t="str">
            <v>T3HP5</v>
          </cell>
          <cell r="I445" t="str">
            <v>T3部件</v>
          </cell>
          <cell r="J445">
            <v>9</v>
          </cell>
          <cell r="K445">
            <v>6.9065794256633999E-3</v>
          </cell>
        </row>
        <row r="446">
          <cell r="H446" t="str">
            <v>T3LP2</v>
          </cell>
          <cell r="I446" t="str">
            <v>T3部件</v>
          </cell>
          <cell r="J446">
            <v>9</v>
          </cell>
          <cell r="K446">
            <v>6.9065794256633999E-3</v>
          </cell>
        </row>
        <row r="447">
          <cell r="H447" t="str">
            <v>T3LP4</v>
          </cell>
          <cell r="I447" t="str">
            <v>T3部件</v>
          </cell>
          <cell r="J447">
            <v>9</v>
          </cell>
          <cell r="K447">
            <v>6.9065794256633999E-3</v>
          </cell>
        </row>
        <row r="448">
          <cell r="H448" t="str">
            <v>T3LP6</v>
          </cell>
          <cell r="I448" t="str">
            <v>T3部件</v>
          </cell>
          <cell r="J448">
            <v>9</v>
          </cell>
          <cell r="K448">
            <v>6.9065794256633999E-3</v>
          </cell>
        </row>
        <row r="449">
          <cell r="H449" t="str">
            <v>T3MP2</v>
          </cell>
          <cell r="I449" t="str">
            <v>T3部件</v>
          </cell>
          <cell r="J449">
            <v>9</v>
          </cell>
          <cell r="K449">
            <v>6.9065794256633999E-3</v>
          </cell>
        </row>
        <row r="450">
          <cell r="H450" t="str">
            <v>T3MP4</v>
          </cell>
          <cell r="I450" t="str">
            <v>T3部件</v>
          </cell>
          <cell r="J450">
            <v>9</v>
          </cell>
          <cell r="K450">
            <v>6.9065794256633999E-3</v>
          </cell>
        </row>
        <row r="451">
          <cell r="H451" t="str">
            <v>T3MP6</v>
          </cell>
          <cell r="I451" t="str">
            <v>T3部件</v>
          </cell>
          <cell r="J451">
            <v>9</v>
          </cell>
          <cell r="K451">
            <v>6.9065794256633999E-3</v>
          </cell>
        </row>
        <row r="452">
          <cell r="H452" t="str">
            <v>T3HP2</v>
          </cell>
          <cell r="I452" t="str">
            <v>T3部件</v>
          </cell>
          <cell r="J452">
            <v>9</v>
          </cell>
          <cell r="K452">
            <v>6.9065794256633999E-3</v>
          </cell>
        </row>
        <row r="453">
          <cell r="H453" t="str">
            <v>T3HP4</v>
          </cell>
          <cell r="I453" t="str">
            <v>T3部件</v>
          </cell>
          <cell r="J453">
            <v>9</v>
          </cell>
          <cell r="K453">
            <v>6.9065794256633999E-3</v>
          </cell>
        </row>
        <row r="454">
          <cell r="H454" t="str">
            <v>T3HP6</v>
          </cell>
          <cell r="I454" t="str">
            <v>T3部件</v>
          </cell>
          <cell r="J454">
            <v>9</v>
          </cell>
          <cell r="K454">
            <v>6.9065794256633999E-3</v>
          </cell>
        </row>
        <row r="455">
          <cell r="H455" t="str">
            <v>雷诺FT-碎片</v>
          </cell>
          <cell r="I455" t="str">
            <v>T1碎片</v>
          </cell>
          <cell r="J455">
            <v>10</v>
          </cell>
          <cell r="K455">
            <v>0.12624934245134101</v>
          </cell>
        </row>
        <row r="456">
          <cell r="H456" t="str">
            <v>Stuart-碎片</v>
          </cell>
          <cell r="I456" t="str">
            <v>T1碎片</v>
          </cell>
          <cell r="J456">
            <v>10</v>
          </cell>
          <cell r="K456">
            <v>0.12624934245134101</v>
          </cell>
        </row>
        <row r="457">
          <cell r="H457" t="str">
            <v>B-1-碎片</v>
          </cell>
          <cell r="I457" t="str">
            <v>T1碎片</v>
          </cell>
          <cell r="J457">
            <v>10</v>
          </cell>
          <cell r="K457">
            <v>0.12624934245134101</v>
          </cell>
        </row>
        <row r="458">
          <cell r="H458" t="str">
            <v>二号-碎片</v>
          </cell>
          <cell r="I458" t="str">
            <v>T2碎片</v>
          </cell>
          <cell r="J458">
            <v>10</v>
          </cell>
          <cell r="K458">
            <v>5.6110818867262803E-2</v>
          </cell>
        </row>
        <row r="459">
          <cell r="H459" t="str">
            <v>T-34-碎片</v>
          </cell>
          <cell r="I459" t="str">
            <v>T2碎片</v>
          </cell>
          <cell r="J459">
            <v>10</v>
          </cell>
          <cell r="K459">
            <v>5.6110818867262803E-2</v>
          </cell>
        </row>
        <row r="460">
          <cell r="H460" t="str">
            <v>KV-1-碎片</v>
          </cell>
          <cell r="I460" t="str">
            <v>T2碎片</v>
          </cell>
          <cell r="J460">
            <v>10</v>
          </cell>
          <cell r="K460">
            <v>5.6110818867262803E-2</v>
          </cell>
        </row>
        <row r="461">
          <cell r="H461" t="str">
            <v>35(t)-碎片</v>
          </cell>
          <cell r="I461" t="str">
            <v>T3碎片</v>
          </cell>
          <cell r="J461">
            <v>10</v>
          </cell>
          <cell r="K461">
            <v>0.28055409433631401</v>
          </cell>
        </row>
        <row r="462">
          <cell r="H462" t="str">
            <v>玛蒂尔达-碎片</v>
          </cell>
          <cell r="I462" t="str">
            <v>T3碎片</v>
          </cell>
          <cell r="J462">
            <v>10</v>
          </cell>
          <cell r="K462">
            <v>0.28055409433631401</v>
          </cell>
        </row>
        <row r="463">
          <cell r="H463" t="str">
            <v>黑豹-碎片</v>
          </cell>
          <cell r="I463" t="str">
            <v>T3碎片</v>
          </cell>
          <cell r="J463">
            <v>10</v>
          </cell>
          <cell r="K463">
            <v>0.28055409433631401</v>
          </cell>
        </row>
        <row r="464">
          <cell r="H464" t="str">
            <v>35(t)-碎片</v>
          </cell>
          <cell r="I464" t="str">
            <v>T3碎片</v>
          </cell>
          <cell r="J464">
            <v>10</v>
          </cell>
          <cell r="K464">
            <v>0.28055409433631401</v>
          </cell>
        </row>
        <row r="465">
          <cell r="H465" t="str">
            <v>玛蒂尔达-碎片</v>
          </cell>
          <cell r="I465" t="str">
            <v>T3碎片</v>
          </cell>
          <cell r="J465">
            <v>10</v>
          </cell>
          <cell r="K465">
            <v>0.28055409433631401</v>
          </cell>
        </row>
        <row r="466">
          <cell r="H466" t="str">
            <v>黑豹-碎片</v>
          </cell>
          <cell r="I466" t="str">
            <v>T3碎片</v>
          </cell>
          <cell r="J466">
            <v>10</v>
          </cell>
          <cell r="K466">
            <v>0.28055409433631401</v>
          </cell>
        </row>
        <row r="467">
          <cell r="H467" t="str">
            <v>T1LP1</v>
          </cell>
          <cell r="I467" t="str">
            <v>T1部件</v>
          </cell>
          <cell r="J467">
            <v>10</v>
          </cell>
          <cell r="K467">
            <v>3.50692617920393E-2</v>
          </cell>
        </row>
        <row r="468">
          <cell r="H468" t="str">
            <v>T1LP3</v>
          </cell>
          <cell r="I468" t="str">
            <v>T1部件</v>
          </cell>
          <cell r="J468">
            <v>10</v>
          </cell>
          <cell r="K468">
            <v>3.50692617920393E-2</v>
          </cell>
        </row>
        <row r="469">
          <cell r="H469" t="str">
            <v>T1LP5</v>
          </cell>
          <cell r="I469" t="str">
            <v>T1部件</v>
          </cell>
          <cell r="J469">
            <v>10</v>
          </cell>
          <cell r="K469">
            <v>3.50692617920393E-2</v>
          </cell>
        </row>
        <row r="470">
          <cell r="H470" t="str">
            <v>T1MP1</v>
          </cell>
          <cell r="I470" t="str">
            <v>T1部件</v>
          </cell>
          <cell r="J470">
            <v>10</v>
          </cell>
          <cell r="K470">
            <v>3.50692617920393E-2</v>
          </cell>
        </row>
        <row r="471">
          <cell r="H471" t="str">
            <v>T1MP3</v>
          </cell>
          <cell r="I471" t="str">
            <v>T1部件</v>
          </cell>
          <cell r="J471">
            <v>10</v>
          </cell>
          <cell r="K471">
            <v>3.50692617920393E-2</v>
          </cell>
        </row>
        <row r="472">
          <cell r="H472" t="str">
            <v>T1MP5</v>
          </cell>
          <cell r="I472" t="str">
            <v>T1部件</v>
          </cell>
          <cell r="J472">
            <v>10</v>
          </cell>
          <cell r="K472">
            <v>3.50692617920393E-2</v>
          </cell>
        </row>
        <row r="473">
          <cell r="H473" t="str">
            <v>T1HP1</v>
          </cell>
          <cell r="I473" t="str">
            <v>T1部件</v>
          </cell>
          <cell r="J473">
            <v>10</v>
          </cell>
          <cell r="K473">
            <v>3.50692617920393E-2</v>
          </cell>
        </row>
        <row r="474">
          <cell r="H474" t="str">
            <v>T1HP3</v>
          </cell>
          <cell r="I474" t="str">
            <v>T1部件</v>
          </cell>
          <cell r="J474">
            <v>10</v>
          </cell>
          <cell r="K474">
            <v>3.50692617920393E-2</v>
          </cell>
        </row>
        <row r="475">
          <cell r="H475" t="str">
            <v>T1HP5</v>
          </cell>
          <cell r="I475" t="str">
            <v>T1部件</v>
          </cell>
          <cell r="J475">
            <v>10</v>
          </cell>
          <cell r="K475">
            <v>3.50692617920393E-2</v>
          </cell>
        </row>
        <row r="476">
          <cell r="H476" t="str">
            <v>T1LP2</v>
          </cell>
          <cell r="I476" t="str">
            <v>T1部件</v>
          </cell>
          <cell r="J476">
            <v>10</v>
          </cell>
          <cell r="K476">
            <v>3.50692617920393E-2</v>
          </cell>
        </row>
        <row r="477">
          <cell r="H477" t="str">
            <v>T1LP4</v>
          </cell>
          <cell r="I477" t="str">
            <v>T1部件</v>
          </cell>
          <cell r="J477">
            <v>10</v>
          </cell>
          <cell r="K477">
            <v>3.50692617920393E-2</v>
          </cell>
        </row>
        <row r="478">
          <cell r="H478" t="str">
            <v>T1LP6</v>
          </cell>
          <cell r="I478" t="str">
            <v>T1部件</v>
          </cell>
          <cell r="J478">
            <v>10</v>
          </cell>
          <cell r="K478">
            <v>3.50692617920393E-2</v>
          </cell>
        </row>
        <row r="479">
          <cell r="H479" t="str">
            <v>T1MP2</v>
          </cell>
          <cell r="I479" t="str">
            <v>T1部件</v>
          </cell>
          <cell r="J479">
            <v>10</v>
          </cell>
          <cell r="K479">
            <v>3.50692617920393E-2</v>
          </cell>
        </row>
        <row r="480">
          <cell r="H480" t="str">
            <v>T1MP4</v>
          </cell>
          <cell r="I480" t="str">
            <v>T1部件</v>
          </cell>
          <cell r="J480">
            <v>10</v>
          </cell>
          <cell r="K480">
            <v>3.50692617920393E-2</v>
          </cell>
        </row>
        <row r="481">
          <cell r="H481" t="str">
            <v>T1MP6</v>
          </cell>
          <cell r="I481" t="str">
            <v>T1部件</v>
          </cell>
          <cell r="J481">
            <v>10</v>
          </cell>
          <cell r="K481">
            <v>3.50692617920393E-2</v>
          </cell>
        </row>
        <row r="482">
          <cell r="H482" t="str">
            <v>T1HP2</v>
          </cell>
          <cell r="I482" t="str">
            <v>T1部件</v>
          </cell>
          <cell r="J482">
            <v>10</v>
          </cell>
          <cell r="K482">
            <v>3.50692617920393E-2</v>
          </cell>
        </row>
        <row r="483">
          <cell r="H483" t="str">
            <v>T1HP4</v>
          </cell>
          <cell r="I483" t="str">
            <v>T1部件</v>
          </cell>
          <cell r="J483">
            <v>10</v>
          </cell>
          <cell r="K483">
            <v>3.50692617920393E-2</v>
          </cell>
        </row>
        <row r="484">
          <cell r="H484" t="str">
            <v>T1HP6</v>
          </cell>
          <cell r="I484" t="str">
            <v>T1部件</v>
          </cell>
          <cell r="J484">
            <v>10</v>
          </cell>
          <cell r="K484">
            <v>3.50692617920393E-2</v>
          </cell>
        </row>
        <row r="485">
          <cell r="H485" t="str">
            <v>T2LP1</v>
          </cell>
          <cell r="I485" t="str">
            <v>T2部件</v>
          </cell>
          <cell r="J485">
            <v>10</v>
          </cell>
          <cell r="K485">
            <v>1.26249342451341E-2</v>
          </cell>
        </row>
        <row r="486">
          <cell r="H486" t="str">
            <v>T2LP3</v>
          </cell>
          <cell r="I486" t="str">
            <v>T2部件</v>
          </cell>
          <cell r="J486">
            <v>10</v>
          </cell>
          <cell r="K486">
            <v>1.26249342451341E-2</v>
          </cell>
        </row>
        <row r="487">
          <cell r="H487" t="str">
            <v>T2LP5</v>
          </cell>
          <cell r="I487" t="str">
            <v>T2部件</v>
          </cell>
          <cell r="J487">
            <v>10</v>
          </cell>
          <cell r="K487">
            <v>1.26249342451341E-2</v>
          </cell>
        </row>
        <row r="488">
          <cell r="H488" t="str">
            <v>T2MP1</v>
          </cell>
          <cell r="I488" t="str">
            <v>T2部件</v>
          </cell>
          <cell r="J488">
            <v>10</v>
          </cell>
          <cell r="K488">
            <v>1.26249342451341E-2</v>
          </cell>
        </row>
        <row r="489">
          <cell r="H489" t="str">
            <v>T2MP3</v>
          </cell>
          <cell r="I489" t="str">
            <v>T2部件</v>
          </cell>
          <cell r="J489">
            <v>10</v>
          </cell>
          <cell r="K489">
            <v>1.26249342451341E-2</v>
          </cell>
        </row>
        <row r="490">
          <cell r="H490" t="str">
            <v>T2MP5</v>
          </cell>
          <cell r="I490" t="str">
            <v>T2部件</v>
          </cell>
          <cell r="J490">
            <v>10</v>
          </cell>
          <cell r="K490">
            <v>1.26249342451341E-2</v>
          </cell>
        </row>
        <row r="491">
          <cell r="H491" t="str">
            <v>T2HP1</v>
          </cell>
          <cell r="I491" t="str">
            <v>T2部件</v>
          </cell>
          <cell r="J491">
            <v>10</v>
          </cell>
          <cell r="K491">
            <v>1.26249342451341E-2</v>
          </cell>
        </row>
        <row r="492">
          <cell r="H492" t="str">
            <v>T2HP3</v>
          </cell>
          <cell r="I492" t="str">
            <v>T2部件</v>
          </cell>
          <cell r="J492">
            <v>10</v>
          </cell>
          <cell r="K492">
            <v>1.26249342451341E-2</v>
          </cell>
        </row>
        <row r="493">
          <cell r="H493" t="str">
            <v>T2HP5</v>
          </cell>
          <cell r="I493" t="str">
            <v>T2部件</v>
          </cell>
          <cell r="J493">
            <v>10</v>
          </cell>
          <cell r="K493">
            <v>1.26249342451341E-2</v>
          </cell>
        </row>
        <row r="494">
          <cell r="H494" t="str">
            <v>T2LP2</v>
          </cell>
          <cell r="I494" t="str">
            <v>T2部件</v>
          </cell>
          <cell r="J494">
            <v>10</v>
          </cell>
          <cell r="K494">
            <v>1.26249342451341E-2</v>
          </cell>
        </row>
        <row r="495">
          <cell r="H495" t="str">
            <v>T2LP4</v>
          </cell>
          <cell r="I495" t="str">
            <v>T2部件</v>
          </cell>
          <cell r="J495">
            <v>10</v>
          </cell>
          <cell r="K495">
            <v>1.26249342451341E-2</v>
          </cell>
        </row>
        <row r="496">
          <cell r="H496" t="str">
            <v>T2LP6</v>
          </cell>
          <cell r="I496" t="str">
            <v>T2部件</v>
          </cell>
          <cell r="J496">
            <v>10</v>
          </cell>
          <cell r="K496">
            <v>1.26249342451341E-2</v>
          </cell>
        </row>
        <row r="497">
          <cell r="H497" t="str">
            <v>T2MP2</v>
          </cell>
          <cell r="I497" t="str">
            <v>T2部件</v>
          </cell>
          <cell r="J497">
            <v>10</v>
          </cell>
          <cell r="K497">
            <v>1.26249342451341E-2</v>
          </cell>
        </row>
        <row r="498">
          <cell r="H498" t="str">
            <v>T2MP4</v>
          </cell>
          <cell r="I498" t="str">
            <v>T2部件</v>
          </cell>
          <cell r="J498">
            <v>10</v>
          </cell>
          <cell r="K498">
            <v>1.26249342451341E-2</v>
          </cell>
        </row>
        <row r="499">
          <cell r="H499" t="str">
            <v>T2MP6</v>
          </cell>
          <cell r="I499" t="str">
            <v>T2部件</v>
          </cell>
          <cell r="J499">
            <v>10</v>
          </cell>
          <cell r="K499">
            <v>1.26249342451341E-2</v>
          </cell>
        </row>
        <row r="500">
          <cell r="H500" t="str">
            <v>T2HP2</v>
          </cell>
          <cell r="I500" t="str">
            <v>T2部件</v>
          </cell>
          <cell r="J500">
            <v>10</v>
          </cell>
          <cell r="K500">
            <v>1.26249342451341E-2</v>
          </cell>
        </row>
        <row r="501">
          <cell r="H501" t="str">
            <v>T2HP4</v>
          </cell>
          <cell r="I501" t="str">
            <v>T2部件</v>
          </cell>
          <cell r="J501">
            <v>10</v>
          </cell>
          <cell r="K501">
            <v>1.26249342451341E-2</v>
          </cell>
        </row>
        <row r="502">
          <cell r="H502" t="str">
            <v>T2HP6</v>
          </cell>
          <cell r="I502" t="str">
            <v>T2部件</v>
          </cell>
          <cell r="J502">
            <v>10</v>
          </cell>
          <cell r="K502">
            <v>1.26249342451341E-2</v>
          </cell>
        </row>
        <row r="503">
          <cell r="H503" t="str">
            <v>T3LP1</v>
          </cell>
          <cell r="I503" t="str">
            <v>T3部件</v>
          </cell>
          <cell r="J503">
            <v>10</v>
          </cell>
          <cell r="K503">
            <v>6.6631597404874596E-3</v>
          </cell>
        </row>
        <row r="504">
          <cell r="H504" t="str">
            <v>T3LP3</v>
          </cell>
          <cell r="I504" t="str">
            <v>T3部件</v>
          </cell>
          <cell r="J504">
            <v>10</v>
          </cell>
          <cell r="K504">
            <v>6.6631597404874596E-3</v>
          </cell>
        </row>
        <row r="505">
          <cell r="H505" t="str">
            <v>T3LP5</v>
          </cell>
          <cell r="I505" t="str">
            <v>T3部件</v>
          </cell>
          <cell r="J505">
            <v>10</v>
          </cell>
          <cell r="K505">
            <v>6.6631597404874596E-3</v>
          </cell>
        </row>
        <row r="506">
          <cell r="H506" t="str">
            <v>T3MP1</v>
          </cell>
          <cell r="I506" t="str">
            <v>T3部件</v>
          </cell>
          <cell r="J506">
            <v>10</v>
          </cell>
          <cell r="K506">
            <v>6.6631597404874596E-3</v>
          </cell>
        </row>
        <row r="507">
          <cell r="H507" t="str">
            <v>T3MP3</v>
          </cell>
          <cell r="I507" t="str">
            <v>T3部件</v>
          </cell>
          <cell r="J507">
            <v>10</v>
          </cell>
          <cell r="K507">
            <v>6.6631597404874596E-3</v>
          </cell>
        </row>
        <row r="508">
          <cell r="H508" t="str">
            <v>T3MP5</v>
          </cell>
          <cell r="I508" t="str">
            <v>T3部件</v>
          </cell>
          <cell r="J508">
            <v>10</v>
          </cell>
          <cell r="K508">
            <v>6.6631597404874596E-3</v>
          </cell>
        </row>
        <row r="509">
          <cell r="H509" t="str">
            <v>T3HP1</v>
          </cell>
          <cell r="I509" t="str">
            <v>T3部件</v>
          </cell>
          <cell r="J509">
            <v>10</v>
          </cell>
          <cell r="K509">
            <v>6.6631597404874596E-3</v>
          </cell>
        </row>
        <row r="510">
          <cell r="H510" t="str">
            <v>T3HP3</v>
          </cell>
          <cell r="I510" t="str">
            <v>T3部件</v>
          </cell>
          <cell r="J510">
            <v>10</v>
          </cell>
          <cell r="K510">
            <v>6.6631597404874596E-3</v>
          </cell>
        </row>
        <row r="511">
          <cell r="H511" t="str">
            <v>T3HP5</v>
          </cell>
          <cell r="I511" t="str">
            <v>T3部件</v>
          </cell>
          <cell r="J511">
            <v>10</v>
          </cell>
          <cell r="K511">
            <v>6.6631597404874596E-3</v>
          </cell>
        </row>
        <row r="512">
          <cell r="H512" t="str">
            <v>T3LP2</v>
          </cell>
          <cell r="I512" t="str">
            <v>T3部件</v>
          </cell>
          <cell r="J512">
            <v>10</v>
          </cell>
          <cell r="K512">
            <v>6.6631597404874596E-3</v>
          </cell>
        </row>
        <row r="513">
          <cell r="H513" t="str">
            <v>T3LP4</v>
          </cell>
          <cell r="I513" t="str">
            <v>T3部件</v>
          </cell>
          <cell r="J513">
            <v>10</v>
          </cell>
          <cell r="K513">
            <v>6.6631597404874596E-3</v>
          </cell>
        </row>
        <row r="514">
          <cell r="H514" t="str">
            <v>T3LP6</v>
          </cell>
          <cell r="I514" t="str">
            <v>T3部件</v>
          </cell>
          <cell r="J514">
            <v>10</v>
          </cell>
          <cell r="K514">
            <v>6.6631597404874596E-3</v>
          </cell>
        </row>
        <row r="515">
          <cell r="H515" t="str">
            <v>T3MP2</v>
          </cell>
          <cell r="I515" t="str">
            <v>T3部件</v>
          </cell>
          <cell r="J515">
            <v>10</v>
          </cell>
          <cell r="K515">
            <v>6.6631597404874596E-3</v>
          </cell>
        </row>
        <row r="516">
          <cell r="H516" t="str">
            <v>T3MP4</v>
          </cell>
          <cell r="I516" t="str">
            <v>T3部件</v>
          </cell>
          <cell r="J516">
            <v>10</v>
          </cell>
          <cell r="K516">
            <v>6.6631597404874596E-3</v>
          </cell>
        </row>
        <row r="517">
          <cell r="H517" t="str">
            <v>T3MP6</v>
          </cell>
          <cell r="I517" t="str">
            <v>T3部件</v>
          </cell>
          <cell r="J517">
            <v>10</v>
          </cell>
          <cell r="K517">
            <v>6.6631597404874596E-3</v>
          </cell>
        </row>
        <row r="518">
          <cell r="H518" t="str">
            <v>T3HP2</v>
          </cell>
          <cell r="I518" t="str">
            <v>T3部件</v>
          </cell>
          <cell r="J518">
            <v>10</v>
          </cell>
          <cell r="K518">
            <v>6.6631597404874596E-3</v>
          </cell>
        </row>
        <row r="519">
          <cell r="H519" t="str">
            <v>T3HP4</v>
          </cell>
          <cell r="I519" t="str">
            <v>T3部件</v>
          </cell>
          <cell r="J519">
            <v>10</v>
          </cell>
          <cell r="K519">
            <v>6.6631597404874596E-3</v>
          </cell>
        </row>
        <row r="520">
          <cell r="H520" t="str">
            <v>T3HP6</v>
          </cell>
          <cell r="I520" t="str">
            <v>T3部件</v>
          </cell>
          <cell r="J520">
            <v>10</v>
          </cell>
          <cell r="K520">
            <v>7.7152375942486397E-3</v>
          </cell>
        </row>
      </sheetData>
      <sheetData sheetId="7">
        <row r="1">
          <cell r="I1" t="str">
            <v>类别</v>
          </cell>
          <cell r="J1" t="str">
            <v>联赛等级</v>
          </cell>
          <cell r="K1" t="str">
            <v>计算个数</v>
          </cell>
        </row>
        <row r="2">
          <cell r="I2" t="str">
            <v>T1碎片</v>
          </cell>
          <cell r="J2">
            <v>1</v>
          </cell>
          <cell r="K2">
            <v>0.32132211116956</v>
          </cell>
        </row>
        <row r="3">
          <cell r="I3" t="str">
            <v>T1碎片</v>
          </cell>
          <cell r="J3">
            <v>1</v>
          </cell>
          <cell r="K3">
            <v>0.32132211116956</v>
          </cell>
        </row>
        <row r="4">
          <cell r="I4" t="str">
            <v>T1碎片</v>
          </cell>
          <cell r="J4">
            <v>1</v>
          </cell>
          <cell r="K4">
            <v>0.32132211116956</v>
          </cell>
        </row>
        <row r="5">
          <cell r="I5" t="str">
            <v>T1部件</v>
          </cell>
          <cell r="J5">
            <v>1</v>
          </cell>
          <cell r="K5">
            <v>6.8034367876556201E-2</v>
          </cell>
        </row>
        <row r="6">
          <cell r="I6" t="str">
            <v>T1部件</v>
          </cell>
          <cell r="J6">
            <v>1</v>
          </cell>
          <cell r="K6">
            <v>6.8034367876556201E-2</v>
          </cell>
        </row>
        <row r="7">
          <cell r="I7" t="str">
            <v>T1部件</v>
          </cell>
          <cell r="J7">
            <v>1</v>
          </cell>
          <cell r="K7">
            <v>6.8034367876556201E-2</v>
          </cell>
        </row>
        <row r="8">
          <cell r="I8" t="str">
            <v>T1部件</v>
          </cell>
          <cell r="J8">
            <v>1</v>
          </cell>
          <cell r="K8">
            <v>6.8034367876556201E-2</v>
          </cell>
        </row>
        <row r="9">
          <cell r="I9" t="str">
            <v>T1部件</v>
          </cell>
          <cell r="J9">
            <v>1</v>
          </cell>
          <cell r="K9">
            <v>6.8034367876556201E-2</v>
          </cell>
        </row>
        <row r="10">
          <cell r="I10" t="str">
            <v>T1部件</v>
          </cell>
          <cell r="J10">
            <v>1</v>
          </cell>
          <cell r="K10">
            <v>6.8034367876556201E-2</v>
          </cell>
        </row>
        <row r="11">
          <cell r="I11" t="str">
            <v>T1部件</v>
          </cell>
          <cell r="J11">
            <v>1</v>
          </cell>
          <cell r="K11">
            <v>6.8034367876556201E-2</v>
          </cell>
        </row>
        <row r="12">
          <cell r="I12" t="str">
            <v>T1部件</v>
          </cell>
          <cell r="J12">
            <v>1</v>
          </cell>
          <cell r="K12">
            <v>6.8034367876556201E-2</v>
          </cell>
        </row>
        <row r="13">
          <cell r="I13" t="str">
            <v>T1部件</v>
          </cell>
          <cell r="J13">
            <v>1</v>
          </cell>
          <cell r="K13">
            <v>7.0138523584078599E-2</v>
          </cell>
        </row>
        <row r="14">
          <cell r="I14" t="str">
            <v>T1碎片</v>
          </cell>
          <cell r="J14">
            <v>2</v>
          </cell>
          <cell r="K14">
            <v>0.209381044487427</v>
          </cell>
        </row>
        <row r="15">
          <cell r="I15" t="str">
            <v>T1碎片</v>
          </cell>
          <cell r="J15">
            <v>2</v>
          </cell>
          <cell r="K15">
            <v>0.209381044487427</v>
          </cell>
        </row>
        <row r="16">
          <cell r="I16" t="str">
            <v>T1碎片</v>
          </cell>
          <cell r="J16">
            <v>2</v>
          </cell>
          <cell r="K16">
            <v>0.209381044487427</v>
          </cell>
        </row>
        <row r="17">
          <cell r="I17" t="str">
            <v>T2碎片</v>
          </cell>
          <cell r="J17">
            <v>2</v>
          </cell>
          <cell r="K17">
            <v>9.8404255319148898E-2</v>
          </cell>
        </row>
        <row r="18">
          <cell r="I18" t="str">
            <v>T2碎片</v>
          </cell>
          <cell r="J18">
            <v>2</v>
          </cell>
          <cell r="K18">
            <v>9.8404255319148898E-2</v>
          </cell>
        </row>
        <row r="19">
          <cell r="I19" t="str">
            <v>T2碎片</v>
          </cell>
          <cell r="J19">
            <v>2</v>
          </cell>
          <cell r="K19">
            <v>9.8404255319148898E-2</v>
          </cell>
        </row>
        <row r="20">
          <cell r="I20" t="str">
            <v>T1部件</v>
          </cell>
          <cell r="J20">
            <v>2</v>
          </cell>
          <cell r="K20">
            <v>3.2882011605415901E-2</v>
          </cell>
        </row>
        <row r="21">
          <cell r="I21" t="str">
            <v>T1部件</v>
          </cell>
          <cell r="J21">
            <v>2</v>
          </cell>
          <cell r="K21">
            <v>3.2882011605415901E-2</v>
          </cell>
        </row>
        <row r="22">
          <cell r="I22" t="str">
            <v>T1部件</v>
          </cell>
          <cell r="J22">
            <v>2</v>
          </cell>
          <cell r="K22">
            <v>3.2882011605415901E-2</v>
          </cell>
        </row>
        <row r="23">
          <cell r="I23" t="str">
            <v>T1部件</v>
          </cell>
          <cell r="J23">
            <v>2</v>
          </cell>
          <cell r="K23">
            <v>3.2882011605415901E-2</v>
          </cell>
        </row>
        <row r="24">
          <cell r="I24" t="str">
            <v>T1部件</v>
          </cell>
          <cell r="J24">
            <v>2</v>
          </cell>
          <cell r="K24">
            <v>3.2882011605415901E-2</v>
          </cell>
        </row>
        <row r="25">
          <cell r="I25" t="str">
            <v>T1部件</v>
          </cell>
          <cell r="J25">
            <v>2</v>
          </cell>
          <cell r="K25">
            <v>3.2882011605415901E-2</v>
          </cell>
        </row>
        <row r="26">
          <cell r="I26" t="str">
            <v>T1部件</v>
          </cell>
          <cell r="J26">
            <v>2</v>
          </cell>
          <cell r="K26">
            <v>3.2882011605415901E-2</v>
          </cell>
        </row>
        <row r="27">
          <cell r="I27" t="str">
            <v>T1部件</v>
          </cell>
          <cell r="J27">
            <v>2</v>
          </cell>
          <cell r="K27">
            <v>3.2882011605415901E-2</v>
          </cell>
        </row>
        <row r="28">
          <cell r="I28" t="str">
            <v>T1部件</v>
          </cell>
          <cell r="J28">
            <v>2</v>
          </cell>
          <cell r="K28">
            <v>3.2882011605415901E-2</v>
          </cell>
        </row>
        <row r="29">
          <cell r="I29" t="str">
            <v>T1部件</v>
          </cell>
          <cell r="J29">
            <v>2</v>
          </cell>
          <cell r="K29">
            <v>3.2882011605415901E-2</v>
          </cell>
        </row>
        <row r="30">
          <cell r="I30" t="str">
            <v>T1部件</v>
          </cell>
          <cell r="J30">
            <v>2</v>
          </cell>
          <cell r="K30">
            <v>3.2882011605415901E-2</v>
          </cell>
        </row>
        <row r="31">
          <cell r="I31" t="str">
            <v>T1部件</v>
          </cell>
          <cell r="J31">
            <v>2</v>
          </cell>
          <cell r="K31">
            <v>3.2882011605415901E-2</v>
          </cell>
        </row>
        <row r="32">
          <cell r="I32" t="str">
            <v>T1部件</v>
          </cell>
          <cell r="J32">
            <v>2</v>
          </cell>
          <cell r="K32">
            <v>3.2882011605415901E-2</v>
          </cell>
        </row>
        <row r="33">
          <cell r="I33" t="str">
            <v>T1部件</v>
          </cell>
          <cell r="J33">
            <v>2</v>
          </cell>
          <cell r="K33">
            <v>3.2882011605415901E-2</v>
          </cell>
        </row>
        <row r="34">
          <cell r="I34" t="str">
            <v>T1部件</v>
          </cell>
          <cell r="J34">
            <v>2</v>
          </cell>
          <cell r="K34">
            <v>3.2882011605415901E-2</v>
          </cell>
        </row>
        <row r="35">
          <cell r="I35" t="str">
            <v>T1部件</v>
          </cell>
          <cell r="J35">
            <v>2</v>
          </cell>
          <cell r="K35">
            <v>3.2882011605415901E-2</v>
          </cell>
        </row>
        <row r="36">
          <cell r="I36" t="str">
            <v>T1部件</v>
          </cell>
          <cell r="J36">
            <v>2</v>
          </cell>
          <cell r="K36">
            <v>3.2882011605415901E-2</v>
          </cell>
        </row>
        <row r="37">
          <cell r="I37" t="str">
            <v>T1部件</v>
          </cell>
          <cell r="J37">
            <v>2</v>
          </cell>
          <cell r="K37">
            <v>3.4816247582205001E-2</v>
          </cell>
        </row>
        <row r="38">
          <cell r="I38" t="str">
            <v>T1碎片</v>
          </cell>
          <cell r="J38">
            <v>3</v>
          </cell>
          <cell r="K38">
            <v>0.107785359801489</v>
          </cell>
        </row>
        <row r="39">
          <cell r="I39" t="str">
            <v>T1碎片</v>
          </cell>
          <cell r="J39">
            <v>3</v>
          </cell>
          <cell r="K39">
            <v>0.107785359801489</v>
          </cell>
        </row>
        <row r="40">
          <cell r="I40" t="str">
            <v>T1碎片</v>
          </cell>
          <cell r="J40">
            <v>3</v>
          </cell>
          <cell r="K40">
            <v>0.107785359801489</v>
          </cell>
        </row>
        <row r="41">
          <cell r="I41" t="str">
            <v>T2碎片</v>
          </cell>
          <cell r="J41">
            <v>3</v>
          </cell>
          <cell r="K41">
            <v>0.100806451612903</v>
          </cell>
        </row>
        <row r="42">
          <cell r="I42" t="str">
            <v>T2碎片</v>
          </cell>
          <cell r="J42">
            <v>3</v>
          </cell>
          <cell r="K42">
            <v>0.100806451612903</v>
          </cell>
        </row>
        <row r="43">
          <cell r="I43" t="str">
            <v>T2碎片</v>
          </cell>
          <cell r="J43">
            <v>3</v>
          </cell>
          <cell r="K43">
            <v>0.100806451612903</v>
          </cell>
        </row>
        <row r="44">
          <cell r="I44" t="str">
            <v>T2碎片</v>
          </cell>
          <cell r="J44">
            <v>3</v>
          </cell>
          <cell r="K44">
            <v>7.1029776674937997E-2</v>
          </cell>
        </row>
        <row r="45">
          <cell r="I45" t="str">
            <v>T2碎片</v>
          </cell>
          <cell r="J45">
            <v>3</v>
          </cell>
          <cell r="K45">
            <v>7.1029776674937997E-2</v>
          </cell>
        </row>
        <row r="46">
          <cell r="I46" t="str">
            <v>T2碎片</v>
          </cell>
          <cell r="J46">
            <v>3</v>
          </cell>
          <cell r="K46">
            <v>7.1029776674937997E-2</v>
          </cell>
        </row>
        <row r="47">
          <cell r="I47" t="str">
            <v>T1部件</v>
          </cell>
          <cell r="J47">
            <v>3</v>
          </cell>
          <cell r="K47">
            <v>2.2332506203473899E-2</v>
          </cell>
        </row>
        <row r="48">
          <cell r="I48" t="str">
            <v>T1部件</v>
          </cell>
          <cell r="J48">
            <v>3</v>
          </cell>
          <cell r="K48">
            <v>2.2332506203473899E-2</v>
          </cell>
        </row>
        <row r="49">
          <cell r="I49" t="str">
            <v>T1部件</v>
          </cell>
          <cell r="J49">
            <v>3</v>
          </cell>
          <cell r="K49">
            <v>2.2332506203473899E-2</v>
          </cell>
        </row>
        <row r="50">
          <cell r="I50" t="str">
            <v>T1部件</v>
          </cell>
          <cell r="J50">
            <v>3</v>
          </cell>
          <cell r="K50">
            <v>2.2332506203473899E-2</v>
          </cell>
        </row>
        <row r="51">
          <cell r="I51" t="str">
            <v>T1部件</v>
          </cell>
          <cell r="J51">
            <v>3</v>
          </cell>
          <cell r="K51">
            <v>2.2332506203473899E-2</v>
          </cell>
        </row>
        <row r="52">
          <cell r="I52" t="str">
            <v>T1部件</v>
          </cell>
          <cell r="J52">
            <v>3</v>
          </cell>
          <cell r="K52">
            <v>2.2332506203473899E-2</v>
          </cell>
        </row>
        <row r="53">
          <cell r="I53" t="str">
            <v>T1部件</v>
          </cell>
          <cell r="J53">
            <v>3</v>
          </cell>
          <cell r="K53">
            <v>2.2332506203473899E-2</v>
          </cell>
        </row>
        <row r="54">
          <cell r="I54" t="str">
            <v>T1部件</v>
          </cell>
          <cell r="J54">
            <v>3</v>
          </cell>
          <cell r="K54">
            <v>2.2332506203473899E-2</v>
          </cell>
        </row>
        <row r="55">
          <cell r="I55" t="str">
            <v>T1部件</v>
          </cell>
          <cell r="J55">
            <v>3</v>
          </cell>
          <cell r="K55">
            <v>2.2332506203473899E-2</v>
          </cell>
        </row>
        <row r="56">
          <cell r="I56" t="str">
            <v>T1部件</v>
          </cell>
          <cell r="J56">
            <v>3</v>
          </cell>
          <cell r="K56">
            <v>2.2332506203473899E-2</v>
          </cell>
        </row>
        <row r="57">
          <cell r="I57" t="str">
            <v>T1部件</v>
          </cell>
          <cell r="J57">
            <v>3</v>
          </cell>
          <cell r="K57">
            <v>2.2332506203473899E-2</v>
          </cell>
        </row>
        <row r="58">
          <cell r="I58" t="str">
            <v>T1部件</v>
          </cell>
          <cell r="J58">
            <v>3</v>
          </cell>
          <cell r="K58">
            <v>2.2332506203473899E-2</v>
          </cell>
        </row>
        <row r="59">
          <cell r="I59" t="str">
            <v>T1部件</v>
          </cell>
          <cell r="J59">
            <v>3</v>
          </cell>
          <cell r="K59">
            <v>2.2332506203473899E-2</v>
          </cell>
        </row>
        <row r="60">
          <cell r="I60" t="str">
            <v>T1部件</v>
          </cell>
          <cell r="J60">
            <v>3</v>
          </cell>
          <cell r="K60">
            <v>2.2332506203473899E-2</v>
          </cell>
        </row>
        <row r="61">
          <cell r="I61" t="str">
            <v>T1部件</v>
          </cell>
          <cell r="J61">
            <v>3</v>
          </cell>
          <cell r="K61">
            <v>2.2332506203473899E-2</v>
          </cell>
        </row>
        <row r="62">
          <cell r="I62" t="str">
            <v>T1部件</v>
          </cell>
          <cell r="J62">
            <v>3</v>
          </cell>
          <cell r="K62">
            <v>2.2332506203473899E-2</v>
          </cell>
        </row>
        <row r="63">
          <cell r="I63" t="str">
            <v>T1部件</v>
          </cell>
          <cell r="J63">
            <v>3</v>
          </cell>
          <cell r="K63">
            <v>2.2332506203473899E-2</v>
          </cell>
        </row>
        <row r="64">
          <cell r="I64" t="str">
            <v>T1部件</v>
          </cell>
          <cell r="J64">
            <v>3</v>
          </cell>
          <cell r="K64">
            <v>2.2332506203473899E-2</v>
          </cell>
        </row>
        <row r="65">
          <cell r="I65" t="str">
            <v>T2部件</v>
          </cell>
          <cell r="J65">
            <v>3</v>
          </cell>
          <cell r="K65">
            <v>1.14764267990074E-2</v>
          </cell>
        </row>
        <row r="66">
          <cell r="I66" t="str">
            <v>T2部件</v>
          </cell>
          <cell r="J66">
            <v>3</v>
          </cell>
          <cell r="K66">
            <v>1.14764267990074E-2</v>
          </cell>
        </row>
        <row r="67">
          <cell r="I67" t="str">
            <v>T2部件</v>
          </cell>
          <cell r="J67">
            <v>3</v>
          </cell>
          <cell r="K67">
            <v>1.14764267990074E-2</v>
          </cell>
        </row>
        <row r="68">
          <cell r="I68" t="str">
            <v>T2部件</v>
          </cell>
          <cell r="J68">
            <v>3</v>
          </cell>
          <cell r="K68">
            <v>1.14764267990074E-2</v>
          </cell>
        </row>
        <row r="69">
          <cell r="I69" t="str">
            <v>T2部件</v>
          </cell>
          <cell r="J69">
            <v>3</v>
          </cell>
          <cell r="K69">
            <v>1.14764267990074E-2</v>
          </cell>
        </row>
        <row r="70">
          <cell r="I70" t="str">
            <v>T2部件</v>
          </cell>
          <cell r="J70">
            <v>3</v>
          </cell>
          <cell r="K70">
            <v>1.14764267990074E-2</v>
          </cell>
        </row>
        <row r="71">
          <cell r="I71" t="str">
            <v>T2部件</v>
          </cell>
          <cell r="J71">
            <v>3</v>
          </cell>
          <cell r="K71">
            <v>1.14764267990074E-2</v>
          </cell>
        </row>
        <row r="72">
          <cell r="I72" t="str">
            <v>T2部件</v>
          </cell>
          <cell r="J72">
            <v>3</v>
          </cell>
          <cell r="K72">
            <v>1.14764267990074E-2</v>
          </cell>
        </row>
        <row r="73">
          <cell r="I73" t="str">
            <v>T2部件</v>
          </cell>
          <cell r="J73">
            <v>3</v>
          </cell>
          <cell r="K73">
            <v>1.25620347394541E-2</v>
          </cell>
        </row>
        <row r="74">
          <cell r="I74" t="str">
            <v>T1碎片</v>
          </cell>
          <cell r="J74">
            <v>4</v>
          </cell>
          <cell r="K74">
            <v>0.102354145342886</v>
          </cell>
        </row>
        <row r="75">
          <cell r="I75" t="str">
            <v>T1碎片</v>
          </cell>
          <cell r="J75">
            <v>4</v>
          </cell>
          <cell r="K75">
            <v>0.102354145342886</v>
          </cell>
        </row>
        <row r="76">
          <cell r="I76" t="str">
            <v>T1碎片</v>
          </cell>
          <cell r="J76">
            <v>4</v>
          </cell>
          <cell r="K76">
            <v>0.102354145342886</v>
          </cell>
        </row>
        <row r="77">
          <cell r="I77" t="str">
            <v>T2碎片</v>
          </cell>
          <cell r="J77">
            <v>4</v>
          </cell>
          <cell r="K77">
            <v>0.19301067407515701</v>
          </cell>
        </row>
        <row r="78">
          <cell r="I78" t="str">
            <v>T2碎片</v>
          </cell>
          <cell r="J78">
            <v>4</v>
          </cell>
          <cell r="K78">
            <v>0.19301067407515701</v>
          </cell>
        </row>
        <row r="79">
          <cell r="I79" t="str">
            <v>T2碎片</v>
          </cell>
          <cell r="J79">
            <v>4</v>
          </cell>
          <cell r="K79">
            <v>0.19301067407515701</v>
          </cell>
        </row>
        <row r="80">
          <cell r="I80" t="str">
            <v>T2碎片</v>
          </cell>
          <cell r="J80">
            <v>4</v>
          </cell>
          <cell r="K80">
            <v>7.6765609007164795E-2</v>
          </cell>
        </row>
        <row r="81">
          <cell r="I81" t="str">
            <v>T2碎片</v>
          </cell>
          <cell r="J81">
            <v>4</v>
          </cell>
          <cell r="K81">
            <v>7.6765609007164795E-2</v>
          </cell>
        </row>
        <row r="82">
          <cell r="I82" t="str">
            <v>T2碎片</v>
          </cell>
          <cell r="J82">
            <v>4</v>
          </cell>
          <cell r="K82">
            <v>7.6765609007164795E-2</v>
          </cell>
        </row>
        <row r="83">
          <cell r="I83" t="str">
            <v>T1部件</v>
          </cell>
          <cell r="J83">
            <v>4</v>
          </cell>
          <cell r="K83">
            <v>1.65228834624945E-2</v>
          </cell>
        </row>
        <row r="84">
          <cell r="I84" t="str">
            <v>T1部件</v>
          </cell>
          <cell r="J84">
            <v>4</v>
          </cell>
          <cell r="K84">
            <v>1.65228834624945E-2</v>
          </cell>
        </row>
        <row r="85">
          <cell r="I85" t="str">
            <v>T1部件</v>
          </cell>
          <cell r="J85">
            <v>4</v>
          </cell>
          <cell r="K85">
            <v>1.65228834624945E-2</v>
          </cell>
        </row>
        <row r="86">
          <cell r="I86" t="str">
            <v>T1部件</v>
          </cell>
          <cell r="J86">
            <v>4</v>
          </cell>
          <cell r="K86">
            <v>1.65228834624945E-2</v>
          </cell>
        </row>
        <row r="87">
          <cell r="I87" t="str">
            <v>T1部件</v>
          </cell>
          <cell r="J87">
            <v>4</v>
          </cell>
          <cell r="K87">
            <v>1.65228834624945E-2</v>
          </cell>
        </row>
        <row r="88">
          <cell r="I88" t="str">
            <v>T1部件</v>
          </cell>
          <cell r="J88">
            <v>4</v>
          </cell>
          <cell r="K88">
            <v>1.65228834624945E-2</v>
          </cell>
        </row>
        <row r="89">
          <cell r="I89" t="str">
            <v>T1部件</v>
          </cell>
          <cell r="J89">
            <v>4</v>
          </cell>
          <cell r="K89">
            <v>1.65228834624945E-2</v>
          </cell>
        </row>
        <row r="90">
          <cell r="I90" t="str">
            <v>T1部件</v>
          </cell>
          <cell r="J90">
            <v>4</v>
          </cell>
          <cell r="K90">
            <v>1.65228834624945E-2</v>
          </cell>
        </row>
        <row r="91">
          <cell r="I91" t="str">
            <v>T1部件</v>
          </cell>
          <cell r="J91">
            <v>4</v>
          </cell>
          <cell r="K91">
            <v>1.65228834624945E-2</v>
          </cell>
        </row>
        <row r="92">
          <cell r="I92" t="str">
            <v>T1部件</v>
          </cell>
          <cell r="J92">
            <v>4</v>
          </cell>
          <cell r="K92">
            <v>1.65228834624945E-2</v>
          </cell>
        </row>
        <row r="93">
          <cell r="I93" t="str">
            <v>T1部件</v>
          </cell>
          <cell r="J93">
            <v>4</v>
          </cell>
          <cell r="K93">
            <v>1.65228834624945E-2</v>
          </cell>
        </row>
        <row r="94">
          <cell r="I94" t="str">
            <v>T1部件</v>
          </cell>
          <cell r="J94">
            <v>4</v>
          </cell>
          <cell r="K94">
            <v>1.65228834624945E-2</v>
          </cell>
        </row>
        <row r="95">
          <cell r="I95" t="str">
            <v>T1部件</v>
          </cell>
          <cell r="J95">
            <v>4</v>
          </cell>
          <cell r="K95">
            <v>1.65228834624945E-2</v>
          </cell>
        </row>
        <row r="96">
          <cell r="I96" t="str">
            <v>T1部件</v>
          </cell>
          <cell r="J96">
            <v>4</v>
          </cell>
          <cell r="K96">
            <v>1.65228834624945E-2</v>
          </cell>
        </row>
        <row r="97">
          <cell r="I97" t="str">
            <v>T1部件</v>
          </cell>
          <cell r="J97">
            <v>4</v>
          </cell>
          <cell r="K97">
            <v>1.65228834624945E-2</v>
          </cell>
        </row>
        <row r="98">
          <cell r="I98" t="str">
            <v>T1部件</v>
          </cell>
          <cell r="J98">
            <v>4</v>
          </cell>
          <cell r="K98">
            <v>1.65228834624945E-2</v>
          </cell>
        </row>
        <row r="99">
          <cell r="I99" t="str">
            <v>T1部件</v>
          </cell>
          <cell r="J99">
            <v>4</v>
          </cell>
          <cell r="K99">
            <v>1.65228834624945E-2</v>
          </cell>
        </row>
        <row r="100">
          <cell r="I100" t="str">
            <v>T1部件</v>
          </cell>
          <cell r="J100">
            <v>4</v>
          </cell>
          <cell r="K100">
            <v>1.65228834624945E-2</v>
          </cell>
        </row>
        <row r="101">
          <cell r="I101" t="str">
            <v>T2部件</v>
          </cell>
          <cell r="J101">
            <v>4</v>
          </cell>
          <cell r="K101">
            <v>8.3345518350636093E-3</v>
          </cell>
        </row>
        <row r="102">
          <cell r="I102" t="str">
            <v>T2部件</v>
          </cell>
          <cell r="J102">
            <v>4</v>
          </cell>
          <cell r="K102">
            <v>8.3345518350636093E-3</v>
          </cell>
        </row>
        <row r="103">
          <cell r="I103" t="str">
            <v>T2部件</v>
          </cell>
          <cell r="J103">
            <v>4</v>
          </cell>
          <cell r="K103">
            <v>8.3345518350636093E-3</v>
          </cell>
        </row>
        <row r="104">
          <cell r="I104" t="str">
            <v>T2部件</v>
          </cell>
          <cell r="J104">
            <v>4</v>
          </cell>
          <cell r="K104">
            <v>8.3345518350636093E-3</v>
          </cell>
        </row>
        <row r="105">
          <cell r="I105" t="str">
            <v>T2部件</v>
          </cell>
          <cell r="J105">
            <v>4</v>
          </cell>
          <cell r="K105">
            <v>8.3345518350636093E-3</v>
          </cell>
        </row>
        <row r="106">
          <cell r="I106" t="str">
            <v>T2部件</v>
          </cell>
          <cell r="J106">
            <v>4</v>
          </cell>
          <cell r="K106">
            <v>8.3345518350636093E-3</v>
          </cell>
        </row>
        <row r="107">
          <cell r="I107" t="str">
            <v>T2部件</v>
          </cell>
          <cell r="J107">
            <v>4</v>
          </cell>
          <cell r="K107">
            <v>8.3345518350636093E-3</v>
          </cell>
        </row>
        <row r="108">
          <cell r="I108" t="str">
            <v>T2部件</v>
          </cell>
          <cell r="J108">
            <v>4</v>
          </cell>
          <cell r="K108">
            <v>8.3345518350636093E-3</v>
          </cell>
        </row>
        <row r="109">
          <cell r="I109" t="str">
            <v>T2部件</v>
          </cell>
          <cell r="J109">
            <v>4</v>
          </cell>
          <cell r="K109">
            <v>8.3345518350636093E-3</v>
          </cell>
        </row>
        <row r="110">
          <cell r="I110" t="str">
            <v>T2部件</v>
          </cell>
          <cell r="J110">
            <v>4</v>
          </cell>
          <cell r="K110">
            <v>8.3345518350636093E-3</v>
          </cell>
        </row>
        <row r="111">
          <cell r="I111" t="str">
            <v>T2部件</v>
          </cell>
          <cell r="J111">
            <v>4</v>
          </cell>
          <cell r="K111">
            <v>8.3345518350636093E-3</v>
          </cell>
        </row>
        <row r="112">
          <cell r="I112" t="str">
            <v>T2部件</v>
          </cell>
          <cell r="J112">
            <v>4</v>
          </cell>
          <cell r="K112">
            <v>8.3345518350636093E-3</v>
          </cell>
        </row>
        <row r="113">
          <cell r="I113" t="str">
            <v>T2部件</v>
          </cell>
          <cell r="J113">
            <v>4</v>
          </cell>
          <cell r="K113">
            <v>8.3345518350636093E-3</v>
          </cell>
        </row>
        <row r="114">
          <cell r="I114" t="str">
            <v>T2部件</v>
          </cell>
          <cell r="J114">
            <v>4</v>
          </cell>
          <cell r="K114">
            <v>8.3345518350636093E-3</v>
          </cell>
        </row>
        <row r="115">
          <cell r="I115" t="str">
            <v>T2部件</v>
          </cell>
          <cell r="J115">
            <v>4</v>
          </cell>
          <cell r="K115">
            <v>8.3345518350636093E-3</v>
          </cell>
        </row>
        <row r="116">
          <cell r="I116" t="str">
            <v>T2部件</v>
          </cell>
          <cell r="J116">
            <v>4</v>
          </cell>
          <cell r="K116">
            <v>8.3345518350636093E-3</v>
          </cell>
        </row>
        <row r="117">
          <cell r="I117" t="str">
            <v>T2部件</v>
          </cell>
          <cell r="J117">
            <v>4</v>
          </cell>
          <cell r="K117">
            <v>8.3345518350636093E-3</v>
          </cell>
        </row>
        <row r="118">
          <cell r="I118" t="str">
            <v>T2部件</v>
          </cell>
          <cell r="J118">
            <v>4</v>
          </cell>
          <cell r="K118">
            <v>1.1258955987717501E-2</v>
          </cell>
        </row>
        <row r="119">
          <cell r="I119" t="str">
            <v>T1碎片</v>
          </cell>
          <cell r="J119">
            <v>5</v>
          </cell>
          <cell r="K119">
            <v>0.100458886270619</v>
          </cell>
        </row>
        <row r="120">
          <cell r="I120" t="str">
            <v>T1碎片</v>
          </cell>
          <cell r="J120">
            <v>5</v>
          </cell>
          <cell r="K120">
            <v>0.100458886270619</v>
          </cell>
        </row>
        <row r="121">
          <cell r="I121" t="str">
            <v>T1碎片</v>
          </cell>
          <cell r="J121">
            <v>5</v>
          </cell>
          <cell r="K121">
            <v>0.100458886270619</v>
          </cell>
        </row>
        <row r="122">
          <cell r="I122" t="str">
            <v>T2碎片</v>
          </cell>
          <cell r="J122">
            <v>5</v>
          </cell>
          <cell r="K122">
            <v>9.2645417338459601E-2</v>
          </cell>
        </row>
        <row r="123">
          <cell r="I123" t="str">
            <v>T2碎片</v>
          </cell>
          <cell r="J123">
            <v>5</v>
          </cell>
          <cell r="K123">
            <v>9.2645417338459601E-2</v>
          </cell>
        </row>
        <row r="124">
          <cell r="I124" t="str">
            <v>T2碎片</v>
          </cell>
          <cell r="J124">
            <v>5</v>
          </cell>
          <cell r="K124">
            <v>9.2645417338459601E-2</v>
          </cell>
        </row>
        <row r="125">
          <cell r="I125" t="str">
            <v>T3碎片</v>
          </cell>
          <cell r="J125">
            <v>5</v>
          </cell>
          <cell r="K125">
            <v>8.27235520277812E-2</v>
          </cell>
        </row>
        <row r="126">
          <cell r="I126" t="str">
            <v>T3碎片</v>
          </cell>
          <cell r="J126">
            <v>5</v>
          </cell>
          <cell r="K126">
            <v>8.27235520277812E-2</v>
          </cell>
        </row>
        <row r="127">
          <cell r="I127" t="str">
            <v>T3碎片</v>
          </cell>
          <cell r="J127">
            <v>5</v>
          </cell>
          <cell r="K127">
            <v>8.27235520277812E-2</v>
          </cell>
        </row>
        <row r="128">
          <cell r="I128" t="str">
            <v>T3碎片</v>
          </cell>
          <cell r="J128">
            <v>5</v>
          </cell>
          <cell r="K128">
            <v>3.2494108892471799E-2</v>
          </cell>
        </row>
        <row r="129">
          <cell r="I129" t="str">
            <v>T3碎片</v>
          </cell>
          <cell r="J129">
            <v>5</v>
          </cell>
          <cell r="K129">
            <v>3.2494108892471799E-2</v>
          </cell>
        </row>
        <row r="130">
          <cell r="I130" t="str">
            <v>T3碎片</v>
          </cell>
          <cell r="J130">
            <v>5</v>
          </cell>
          <cell r="K130">
            <v>3.2494108892471799E-2</v>
          </cell>
        </row>
        <row r="131">
          <cell r="I131" t="str">
            <v>T1部件</v>
          </cell>
          <cell r="J131">
            <v>5</v>
          </cell>
          <cell r="K131">
            <v>1.4882797966017601E-2</v>
          </cell>
        </row>
        <row r="132">
          <cell r="I132" t="str">
            <v>T1部件</v>
          </cell>
          <cell r="J132">
            <v>5</v>
          </cell>
          <cell r="K132">
            <v>1.4882797966017601E-2</v>
          </cell>
        </row>
        <row r="133">
          <cell r="I133" t="str">
            <v>T1部件</v>
          </cell>
          <cell r="J133">
            <v>5</v>
          </cell>
          <cell r="K133">
            <v>1.4882797966017601E-2</v>
          </cell>
        </row>
        <row r="134">
          <cell r="I134" t="str">
            <v>T1部件</v>
          </cell>
          <cell r="J134">
            <v>5</v>
          </cell>
          <cell r="K134">
            <v>1.4882797966017601E-2</v>
          </cell>
        </row>
        <row r="135">
          <cell r="I135" t="str">
            <v>T1部件</v>
          </cell>
          <cell r="J135">
            <v>5</v>
          </cell>
          <cell r="K135">
            <v>1.4882797966017601E-2</v>
          </cell>
        </row>
        <row r="136">
          <cell r="I136" t="str">
            <v>T1部件</v>
          </cell>
          <cell r="J136">
            <v>5</v>
          </cell>
          <cell r="K136">
            <v>1.4882797966017601E-2</v>
          </cell>
        </row>
        <row r="137">
          <cell r="I137" t="str">
            <v>T1部件</v>
          </cell>
          <cell r="J137">
            <v>5</v>
          </cell>
          <cell r="K137">
            <v>1.4882797966017601E-2</v>
          </cell>
        </row>
        <row r="138">
          <cell r="I138" t="str">
            <v>T1部件</v>
          </cell>
          <cell r="J138">
            <v>5</v>
          </cell>
          <cell r="K138">
            <v>1.4882797966017601E-2</v>
          </cell>
        </row>
        <row r="139">
          <cell r="I139" t="str">
            <v>T1部件</v>
          </cell>
          <cell r="J139">
            <v>5</v>
          </cell>
          <cell r="K139">
            <v>1.4882797966017601E-2</v>
          </cell>
        </row>
        <row r="140">
          <cell r="I140" t="str">
            <v>T1部件</v>
          </cell>
          <cell r="J140">
            <v>5</v>
          </cell>
          <cell r="K140">
            <v>1.4882797966017601E-2</v>
          </cell>
        </row>
        <row r="141">
          <cell r="I141" t="str">
            <v>T1部件</v>
          </cell>
          <cell r="J141">
            <v>5</v>
          </cell>
          <cell r="K141">
            <v>1.4882797966017601E-2</v>
          </cell>
        </row>
        <row r="142">
          <cell r="I142" t="str">
            <v>T1部件</v>
          </cell>
          <cell r="J142">
            <v>5</v>
          </cell>
          <cell r="K142">
            <v>1.4882797966017601E-2</v>
          </cell>
        </row>
        <row r="143">
          <cell r="I143" t="str">
            <v>T1部件</v>
          </cell>
          <cell r="J143">
            <v>5</v>
          </cell>
          <cell r="K143">
            <v>1.4882797966017601E-2</v>
          </cell>
        </row>
        <row r="144">
          <cell r="I144" t="str">
            <v>T1部件</v>
          </cell>
          <cell r="J144">
            <v>5</v>
          </cell>
          <cell r="K144">
            <v>1.4882797966017601E-2</v>
          </cell>
        </row>
        <row r="145">
          <cell r="I145" t="str">
            <v>T1部件</v>
          </cell>
          <cell r="J145">
            <v>5</v>
          </cell>
          <cell r="K145">
            <v>1.4882797966017601E-2</v>
          </cell>
        </row>
        <row r="146">
          <cell r="I146" t="str">
            <v>T1部件</v>
          </cell>
          <cell r="J146">
            <v>5</v>
          </cell>
          <cell r="K146">
            <v>1.4882797966017601E-2</v>
          </cell>
        </row>
        <row r="147">
          <cell r="I147" t="str">
            <v>T1部件</v>
          </cell>
          <cell r="J147">
            <v>5</v>
          </cell>
          <cell r="K147">
            <v>1.4882797966017601E-2</v>
          </cell>
        </row>
        <row r="148">
          <cell r="I148" t="str">
            <v>T1部件</v>
          </cell>
          <cell r="J148">
            <v>5</v>
          </cell>
          <cell r="K148">
            <v>1.4882797966017601E-2</v>
          </cell>
        </row>
        <row r="149">
          <cell r="I149" t="str">
            <v>T2部件</v>
          </cell>
          <cell r="J149">
            <v>5</v>
          </cell>
          <cell r="K149">
            <v>7.3173756666253297E-3</v>
          </cell>
        </row>
        <row r="150">
          <cell r="I150" t="str">
            <v>T2部件</v>
          </cell>
          <cell r="J150">
            <v>5</v>
          </cell>
          <cell r="K150">
            <v>7.3173756666253297E-3</v>
          </cell>
        </row>
        <row r="151">
          <cell r="I151" t="str">
            <v>T2部件</v>
          </cell>
          <cell r="J151">
            <v>5</v>
          </cell>
          <cell r="K151">
            <v>7.3173756666253297E-3</v>
          </cell>
        </row>
        <row r="152">
          <cell r="I152" t="str">
            <v>T2部件</v>
          </cell>
          <cell r="J152">
            <v>5</v>
          </cell>
          <cell r="K152">
            <v>7.3173756666253297E-3</v>
          </cell>
        </row>
        <row r="153">
          <cell r="I153" t="str">
            <v>T2部件</v>
          </cell>
          <cell r="J153">
            <v>5</v>
          </cell>
          <cell r="K153">
            <v>7.3173756666253297E-3</v>
          </cell>
        </row>
        <row r="154">
          <cell r="I154" t="str">
            <v>T2部件</v>
          </cell>
          <cell r="J154">
            <v>5</v>
          </cell>
          <cell r="K154">
            <v>7.3173756666253297E-3</v>
          </cell>
        </row>
        <row r="155">
          <cell r="I155" t="str">
            <v>T2部件</v>
          </cell>
          <cell r="J155">
            <v>5</v>
          </cell>
          <cell r="K155">
            <v>7.3173756666253297E-3</v>
          </cell>
        </row>
        <row r="156">
          <cell r="I156" t="str">
            <v>T2部件</v>
          </cell>
          <cell r="J156">
            <v>5</v>
          </cell>
          <cell r="K156">
            <v>7.3173756666253297E-3</v>
          </cell>
        </row>
        <row r="157">
          <cell r="I157" t="str">
            <v>T2部件</v>
          </cell>
          <cell r="J157">
            <v>5</v>
          </cell>
          <cell r="K157">
            <v>7.3173756666253297E-3</v>
          </cell>
        </row>
        <row r="158">
          <cell r="I158" t="str">
            <v>T2部件</v>
          </cell>
          <cell r="J158">
            <v>5</v>
          </cell>
          <cell r="K158">
            <v>7.3173756666253297E-3</v>
          </cell>
        </row>
        <row r="159">
          <cell r="I159" t="str">
            <v>T2部件</v>
          </cell>
          <cell r="J159">
            <v>5</v>
          </cell>
          <cell r="K159">
            <v>7.3173756666253297E-3</v>
          </cell>
        </row>
        <row r="160">
          <cell r="I160" t="str">
            <v>T2部件</v>
          </cell>
          <cell r="J160">
            <v>5</v>
          </cell>
          <cell r="K160">
            <v>7.3173756666253297E-3</v>
          </cell>
        </row>
        <row r="161">
          <cell r="I161" t="str">
            <v>T2部件</v>
          </cell>
          <cell r="J161">
            <v>5</v>
          </cell>
          <cell r="K161">
            <v>7.3173756666253297E-3</v>
          </cell>
        </row>
        <row r="162">
          <cell r="I162" t="str">
            <v>T2部件</v>
          </cell>
          <cell r="J162">
            <v>5</v>
          </cell>
          <cell r="K162">
            <v>7.3173756666253297E-3</v>
          </cell>
        </row>
        <row r="163">
          <cell r="I163" t="str">
            <v>T2部件</v>
          </cell>
          <cell r="J163">
            <v>5</v>
          </cell>
          <cell r="K163">
            <v>7.3173756666253297E-3</v>
          </cell>
        </row>
        <row r="164">
          <cell r="I164" t="str">
            <v>T2部件</v>
          </cell>
          <cell r="J164">
            <v>5</v>
          </cell>
          <cell r="K164">
            <v>7.3173756666253297E-3</v>
          </cell>
        </row>
        <row r="165">
          <cell r="I165" t="str">
            <v>T2部件</v>
          </cell>
          <cell r="J165">
            <v>5</v>
          </cell>
          <cell r="K165">
            <v>7.3173756666253297E-3</v>
          </cell>
        </row>
        <row r="166">
          <cell r="I166" t="str">
            <v>T2部件</v>
          </cell>
          <cell r="J166">
            <v>5</v>
          </cell>
          <cell r="K166">
            <v>9.7978419942949292E-3</v>
          </cell>
        </row>
        <row r="167">
          <cell r="I167" t="str">
            <v>T1碎片</v>
          </cell>
          <cell r="J167">
            <v>6</v>
          </cell>
          <cell r="K167">
            <v>0.101500984251968</v>
          </cell>
        </row>
        <row r="168">
          <cell r="I168" t="str">
            <v>T1碎片</v>
          </cell>
          <cell r="J168">
            <v>6</v>
          </cell>
          <cell r="K168">
            <v>0.101500984251968</v>
          </cell>
        </row>
        <row r="169">
          <cell r="I169" t="str">
            <v>T1碎片</v>
          </cell>
          <cell r="J169">
            <v>6</v>
          </cell>
          <cell r="K169">
            <v>0.101500984251968</v>
          </cell>
        </row>
        <row r="170">
          <cell r="I170" t="str">
            <v>T2碎片</v>
          </cell>
          <cell r="J170">
            <v>6</v>
          </cell>
          <cell r="K170">
            <v>7.6956200787401605E-2</v>
          </cell>
        </row>
        <row r="171">
          <cell r="I171" t="str">
            <v>T2碎片</v>
          </cell>
          <cell r="J171">
            <v>6</v>
          </cell>
          <cell r="K171">
            <v>7.6956200787401605E-2</v>
          </cell>
        </row>
        <row r="172">
          <cell r="I172" t="str">
            <v>T2碎片</v>
          </cell>
          <cell r="J172">
            <v>6</v>
          </cell>
          <cell r="K172">
            <v>7.6956200787401605E-2</v>
          </cell>
        </row>
        <row r="173">
          <cell r="I173" t="str">
            <v>T3碎片</v>
          </cell>
          <cell r="J173">
            <v>6</v>
          </cell>
          <cell r="K173">
            <v>8.7229330708661401E-2</v>
          </cell>
        </row>
        <row r="174">
          <cell r="I174" t="str">
            <v>T3碎片</v>
          </cell>
          <cell r="J174">
            <v>6</v>
          </cell>
          <cell r="K174">
            <v>8.7229330708661401E-2</v>
          </cell>
        </row>
        <row r="175">
          <cell r="I175" t="str">
            <v>T3碎片</v>
          </cell>
          <cell r="J175">
            <v>6</v>
          </cell>
          <cell r="K175">
            <v>8.7229330708661401E-2</v>
          </cell>
        </row>
        <row r="176">
          <cell r="I176" t="str">
            <v>T3碎片</v>
          </cell>
          <cell r="J176">
            <v>6</v>
          </cell>
          <cell r="K176">
            <v>5.3641732283464597E-2</v>
          </cell>
        </row>
        <row r="177">
          <cell r="I177" t="str">
            <v>T3碎片</v>
          </cell>
          <cell r="J177">
            <v>6</v>
          </cell>
          <cell r="K177">
            <v>5.3641732283464597E-2</v>
          </cell>
        </row>
        <row r="178">
          <cell r="I178" t="str">
            <v>T3碎片</v>
          </cell>
          <cell r="J178">
            <v>6</v>
          </cell>
          <cell r="K178">
            <v>5.3641732283464597E-2</v>
          </cell>
        </row>
        <row r="179">
          <cell r="I179" t="str">
            <v>T1部件</v>
          </cell>
          <cell r="J179">
            <v>6</v>
          </cell>
          <cell r="K179">
            <v>1.2672244094488199E-2</v>
          </cell>
        </row>
        <row r="180">
          <cell r="I180" t="str">
            <v>T1部件</v>
          </cell>
          <cell r="J180">
            <v>6</v>
          </cell>
          <cell r="K180">
            <v>1.2672244094488199E-2</v>
          </cell>
        </row>
        <row r="181">
          <cell r="I181" t="str">
            <v>T1部件</v>
          </cell>
          <cell r="J181">
            <v>6</v>
          </cell>
          <cell r="K181">
            <v>1.2672244094488199E-2</v>
          </cell>
        </row>
        <row r="182">
          <cell r="I182" t="str">
            <v>T1部件</v>
          </cell>
          <cell r="J182">
            <v>6</v>
          </cell>
          <cell r="K182">
            <v>1.2672244094488199E-2</v>
          </cell>
        </row>
        <row r="183">
          <cell r="I183" t="str">
            <v>T1部件</v>
          </cell>
          <cell r="J183">
            <v>6</v>
          </cell>
          <cell r="K183">
            <v>1.2672244094488199E-2</v>
          </cell>
        </row>
        <row r="184">
          <cell r="I184" t="str">
            <v>T1部件</v>
          </cell>
          <cell r="J184">
            <v>6</v>
          </cell>
          <cell r="K184">
            <v>1.2672244094488199E-2</v>
          </cell>
        </row>
        <row r="185">
          <cell r="I185" t="str">
            <v>T1部件</v>
          </cell>
          <cell r="J185">
            <v>6</v>
          </cell>
          <cell r="K185">
            <v>1.2672244094488199E-2</v>
          </cell>
        </row>
        <row r="186">
          <cell r="I186" t="str">
            <v>T1部件</v>
          </cell>
          <cell r="J186">
            <v>6</v>
          </cell>
          <cell r="K186">
            <v>1.2672244094488199E-2</v>
          </cell>
        </row>
        <row r="187">
          <cell r="I187" t="str">
            <v>T1部件</v>
          </cell>
          <cell r="J187">
            <v>6</v>
          </cell>
          <cell r="K187">
            <v>1.2672244094488199E-2</v>
          </cell>
        </row>
        <row r="188">
          <cell r="I188" t="str">
            <v>T1部件</v>
          </cell>
          <cell r="J188">
            <v>6</v>
          </cell>
          <cell r="K188">
            <v>1.2672244094488199E-2</v>
          </cell>
        </row>
        <row r="189">
          <cell r="I189" t="str">
            <v>T1部件</v>
          </cell>
          <cell r="J189">
            <v>6</v>
          </cell>
          <cell r="K189">
            <v>1.2672244094488199E-2</v>
          </cell>
        </row>
        <row r="190">
          <cell r="I190" t="str">
            <v>T1部件</v>
          </cell>
          <cell r="J190">
            <v>6</v>
          </cell>
          <cell r="K190">
            <v>1.2672244094488199E-2</v>
          </cell>
        </row>
        <row r="191">
          <cell r="I191" t="str">
            <v>T1部件</v>
          </cell>
          <cell r="J191">
            <v>6</v>
          </cell>
          <cell r="K191">
            <v>1.2672244094488199E-2</v>
          </cell>
        </row>
        <row r="192">
          <cell r="I192" t="str">
            <v>T1部件</v>
          </cell>
          <cell r="J192">
            <v>6</v>
          </cell>
          <cell r="K192">
            <v>1.2672244094488199E-2</v>
          </cell>
        </row>
        <row r="193">
          <cell r="I193" t="str">
            <v>T1部件</v>
          </cell>
          <cell r="J193">
            <v>6</v>
          </cell>
          <cell r="K193">
            <v>1.2672244094488199E-2</v>
          </cell>
        </row>
        <row r="194">
          <cell r="I194" t="str">
            <v>T1部件</v>
          </cell>
          <cell r="J194">
            <v>6</v>
          </cell>
          <cell r="K194">
            <v>1.2672244094488199E-2</v>
          </cell>
        </row>
        <row r="195">
          <cell r="I195" t="str">
            <v>T1部件</v>
          </cell>
          <cell r="J195">
            <v>6</v>
          </cell>
          <cell r="K195">
            <v>1.2672244094488199E-2</v>
          </cell>
        </row>
        <row r="196">
          <cell r="I196" t="str">
            <v>T1部件</v>
          </cell>
          <cell r="J196">
            <v>6</v>
          </cell>
          <cell r="K196">
            <v>1.2672244094488199E-2</v>
          </cell>
        </row>
        <row r="197">
          <cell r="I197" t="str">
            <v>T2部件</v>
          </cell>
          <cell r="J197">
            <v>6</v>
          </cell>
          <cell r="K197">
            <v>6.1515748031496101E-3</v>
          </cell>
        </row>
        <row r="198">
          <cell r="I198" t="str">
            <v>T2部件</v>
          </cell>
          <cell r="J198">
            <v>6</v>
          </cell>
          <cell r="K198">
            <v>6.1515748031496101E-3</v>
          </cell>
        </row>
        <row r="199">
          <cell r="I199" t="str">
            <v>T2部件</v>
          </cell>
          <cell r="J199">
            <v>6</v>
          </cell>
          <cell r="K199">
            <v>6.1515748031496101E-3</v>
          </cell>
        </row>
        <row r="200">
          <cell r="I200" t="str">
            <v>T2部件</v>
          </cell>
          <cell r="J200">
            <v>6</v>
          </cell>
          <cell r="K200">
            <v>6.1515748031496101E-3</v>
          </cell>
        </row>
        <row r="201">
          <cell r="I201" t="str">
            <v>T2部件</v>
          </cell>
          <cell r="J201">
            <v>6</v>
          </cell>
          <cell r="K201">
            <v>6.1515748031496101E-3</v>
          </cell>
        </row>
        <row r="202">
          <cell r="I202" t="str">
            <v>T2部件</v>
          </cell>
          <cell r="J202">
            <v>6</v>
          </cell>
          <cell r="K202">
            <v>6.1515748031496101E-3</v>
          </cell>
        </row>
        <row r="203">
          <cell r="I203" t="str">
            <v>T2部件</v>
          </cell>
          <cell r="J203">
            <v>6</v>
          </cell>
          <cell r="K203">
            <v>6.1515748031496101E-3</v>
          </cell>
        </row>
        <row r="204">
          <cell r="I204" t="str">
            <v>T2部件</v>
          </cell>
          <cell r="J204">
            <v>6</v>
          </cell>
          <cell r="K204">
            <v>6.1515748031496101E-3</v>
          </cell>
        </row>
        <row r="205">
          <cell r="I205" t="str">
            <v>T2部件</v>
          </cell>
          <cell r="J205">
            <v>6</v>
          </cell>
          <cell r="K205">
            <v>6.1515748031496101E-3</v>
          </cell>
        </row>
        <row r="206">
          <cell r="I206" t="str">
            <v>T2部件</v>
          </cell>
          <cell r="J206">
            <v>6</v>
          </cell>
          <cell r="K206">
            <v>6.1515748031496101E-3</v>
          </cell>
        </row>
        <row r="207">
          <cell r="I207" t="str">
            <v>T2部件</v>
          </cell>
          <cell r="J207">
            <v>6</v>
          </cell>
          <cell r="K207">
            <v>6.1515748031496101E-3</v>
          </cell>
        </row>
        <row r="208">
          <cell r="I208" t="str">
            <v>T2部件</v>
          </cell>
          <cell r="J208">
            <v>6</v>
          </cell>
          <cell r="K208">
            <v>6.1515748031496101E-3</v>
          </cell>
        </row>
        <row r="209">
          <cell r="I209" t="str">
            <v>T2部件</v>
          </cell>
          <cell r="J209">
            <v>6</v>
          </cell>
          <cell r="K209">
            <v>6.1515748031496101E-3</v>
          </cell>
        </row>
        <row r="210">
          <cell r="I210" t="str">
            <v>T2部件</v>
          </cell>
          <cell r="J210">
            <v>6</v>
          </cell>
          <cell r="K210">
            <v>6.1515748031496101E-3</v>
          </cell>
        </row>
        <row r="211">
          <cell r="I211" t="str">
            <v>T2部件</v>
          </cell>
          <cell r="J211">
            <v>6</v>
          </cell>
          <cell r="K211">
            <v>6.1515748031496101E-3</v>
          </cell>
        </row>
        <row r="212">
          <cell r="I212" t="str">
            <v>T2部件</v>
          </cell>
          <cell r="J212">
            <v>6</v>
          </cell>
          <cell r="K212">
            <v>6.1515748031496101E-3</v>
          </cell>
        </row>
        <row r="213">
          <cell r="I213" t="str">
            <v>T2部件</v>
          </cell>
          <cell r="J213">
            <v>6</v>
          </cell>
          <cell r="K213">
            <v>6.1515748031496101E-3</v>
          </cell>
        </row>
        <row r="214">
          <cell r="I214" t="str">
            <v>T2部件</v>
          </cell>
          <cell r="J214">
            <v>6</v>
          </cell>
          <cell r="K214">
            <v>6.1515748031496101E-3</v>
          </cell>
        </row>
        <row r="215">
          <cell r="I215" t="str">
            <v>T3部件</v>
          </cell>
          <cell r="J215">
            <v>6</v>
          </cell>
          <cell r="K215">
            <v>3.1988188976378E-3</v>
          </cell>
        </row>
        <row r="216">
          <cell r="I216" t="str">
            <v>T3部件</v>
          </cell>
          <cell r="J216">
            <v>6</v>
          </cell>
          <cell r="K216">
            <v>3.1988188976378E-3</v>
          </cell>
        </row>
        <row r="217">
          <cell r="I217" t="str">
            <v>T3部件</v>
          </cell>
          <cell r="J217">
            <v>6</v>
          </cell>
          <cell r="K217">
            <v>3.1988188976378E-3</v>
          </cell>
        </row>
        <row r="218">
          <cell r="I218" t="str">
            <v>T3部件</v>
          </cell>
          <cell r="J218">
            <v>6</v>
          </cell>
          <cell r="K218">
            <v>3.1988188976378E-3</v>
          </cell>
        </row>
        <row r="219">
          <cell r="I219" t="str">
            <v>T3部件</v>
          </cell>
          <cell r="J219">
            <v>6</v>
          </cell>
          <cell r="K219">
            <v>3.1988188976378E-3</v>
          </cell>
        </row>
        <row r="220">
          <cell r="I220" t="str">
            <v>T3部件</v>
          </cell>
          <cell r="J220">
            <v>6</v>
          </cell>
          <cell r="K220">
            <v>3.1988188976378E-3</v>
          </cell>
        </row>
        <row r="221">
          <cell r="I221" t="str">
            <v>T3部件</v>
          </cell>
          <cell r="J221">
            <v>6</v>
          </cell>
          <cell r="K221">
            <v>3.1988188976378E-3</v>
          </cell>
        </row>
        <row r="222">
          <cell r="I222" t="str">
            <v>T3部件</v>
          </cell>
          <cell r="J222">
            <v>6</v>
          </cell>
          <cell r="K222">
            <v>3.1988188976378E-3</v>
          </cell>
        </row>
        <row r="223">
          <cell r="I223" t="str">
            <v>T3部件</v>
          </cell>
          <cell r="J223">
            <v>6</v>
          </cell>
          <cell r="K223">
            <v>3.6909448818897598E-3</v>
          </cell>
        </row>
        <row r="224">
          <cell r="I224" t="str">
            <v>T1碎片</v>
          </cell>
          <cell r="J224">
            <v>7</v>
          </cell>
          <cell r="K224">
            <v>9.73221658605639E-2</v>
          </cell>
        </row>
        <row r="225">
          <cell r="I225" t="str">
            <v>T1碎片</v>
          </cell>
          <cell r="J225">
            <v>7</v>
          </cell>
          <cell r="K225">
            <v>9.73221658605639E-2</v>
          </cell>
        </row>
        <row r="226">
          <cell r="I226" t="str">
            <v>T1碎片</v>
          </cell>
          <cell r="J226">
            <v>7</v>
          </cell>
          <cell r="K226">
            <v>9.73221658605639E-2</v>
          </cell>
        </row>
        <row r="227">
          <cell r="I227" t="str">
            <v>T2碎片</v>
          </cell>
          <cell r="J227">
            <v>7</v>
          </cell>
          <cell r="K227">
            <v>2.47729149463254E-2</v>
          </cell>
        </row>
        <row r="228">
          <cell r="I228" t="str">
            <v>T2碎片</v>
          </cell>
          <cell r="J228">
            <v>7</v>
          </cell>
          <cell r="K228">
            <v>2.47729149463254E-2</v>
          </cell>
        </row>
        <row r="229">
          <cell r="I229" t="str">
            <v>T2碎片</v>
          </cell>
          <cell r="J229">
            <v>7</v>
          </cell>
          <cell r="K229">
            <v>2.47729149463254E-2</v>
          </cell>
        </row>
        <row r="230">
          <cell r="I230" t="str">
            <v>T3碎片</v>
          </cell>
          <cell r="J230">
            <v>7</v>
          </cell>
          <cell r="K230">
            <v>0.160846997758641</v>
          </cell>
        </row>
        <row r="231">
          <cell r="I231" t="str">
            <v>T3碎片</v>
          </cell>
          <cell r="J231">
            <v>7</v>
          </cell>
          <cell r="K231">
            <v>0.160846997758641</v>
          </cell>
        </row>
        <row r="232">
          <cell r="I232" t="str">
            <v>T3碎片</v>
          </cell>
          <cell r="J232">
            <v>7</v>
          </cell>
          <cell r="K232">
            <v>0.160846997758641</v>
          </cell>
        </row>
        <row r="233">
          <cell r="I233" t="str">
            <v>T3碎片</v>
          </cell>
          <cell r="J233">
            <v>7</v>
          </cell>
          <cell r="K233">
            <v>8.0570956706381994E-2</v>
          </cell>
        </row>
        <row r="234">
          <cell r="I234" t="str">
            <v>T3碎片</v>
          </cell>
          <cell r="J234">
            <v>7</v>
          </cell>
          <cell r="K234">
            <v>8.0570956706381994E-2</v>
          </cell>
        </row>
        <row r="235">
          <cell r="I235" t="str">
            <v>T3碎片</v>
          </cell>
          <cell r="J235">
            <v>7</v>
          </cell>
          <cell r="K235">
            <v>8.0570956706381994E-2</v>
          </cell>
        </row>
        <row r="236">
          <cell r="I236" t="str">
            <v>T1部件</v>
          </cell>
          <cell r="J236">
            <v>7</v>
          </cell>
          <cell r="K236">
            <v>1.0852896071723499E-2</v>
          </cell>
        </row>
        <row r="237">
          <cell r="I237" t="str">
            <v>T1部件</v>
          </cell>
          <cell r="J237">
            <v>7</v>
          </cell>
          <cell r="K237">
            <v>1.0852896071723499E-2</v>
          </cell>
        </row>
        <row r="238">
          <cell r="I238" t="str">
            <v>T1部件</v>
          </cell>
          <cell r="J238">
            <v>7</v>
          </cell>
          <cell r="K238">
            <v>1.0852896071723499E-2</v>
          </cell>
        </row>
        <row r="239">
          <cell r="I239" t="str">
            <v>T1部件</v>
          </cell>
          <cell r="J239">
            <v>7</v>
          </cell>
          <cell r="K239">
            <v>1.0852896071723499E-2</v>
          </cell>
        </row>
        <row r="240">
          <cell r="I240" t="str">
            <v>T1部件</v>
          </cell>
          <cell r="J240">
            <v>7</v>
          </cell>
          <cell r="K240">
            <v>1.0852896071723499E-2</v>
          </cell>
        </row>
        <row r="241">
          <cell r="I241" t="str">
            <v>T1部件</v>
          </cell>
          <cell r="J241">
            <v>7</v>
          </cell>
          <cell r="K241">
            <v>1.0852896071723499E-2</v>
          </cell>
        </row>
        <row r="242">
          <cell r="I242" t="str">
            <v>T1部件</v>
          </cell>
          <cell r="J242">
            <v>7</v>
          </cell>
          <cell r="K242">
            <v>1.0852896071723499E-2</v>
          </cell>
        </row>
        <row r="243">
          <cell r="I243" t="str">
            <v>T1部件</v>
          </cell>
          <cell r="J243">
            <v>7</v>
          </cell>
          <cell r="K243">
            <v>1.0852896071723499E-2</v>
          </cell>
        </row>
        <row r="244">
          <cell r="I244" t="str">
            <v>T1部件</v>
          </cell>
          <cell r="J244">
            <v>7</v>
          </cell>
          <cell r="K244">
            <v>1.0852896071723499E-2</v>
          </cell>
        </row>
        <row r="245">
          <cell r="I245" t="str">
            <v>T1部件</v>
          </cell>
          <cell r="J245">
            <v>7</v>
          </cell>
          <cell r="K245">
            <v>1.0852896071723499E-2</v>
          </cell>
        </row>
        <row r="246">
          <cell r="I246" t="str">
            <v>T1部件</v>
          </cell>
          <cell r="J246">
            <v>7</v>
          </cell>
          <cell r="K246">
            <v>1.0852896071723499E-2</v>
          </cell>
        </row>
        <row r="247">
          <cell r="I247" t="str">
            <v>T1部件</v>
          </cell>
          <cell r="J247">
            <v>7</v>
          </cell>
          <cell r="K247">
            <v>1.0852896071723499E-2</v>
          </cell>
        </row>
        <row r="248">
          <cell r="I248" t="str">
            <v>T1部件</v>
          </cell>
          <cell r="J248">
            <v>7</v>
          </cell>
          <cell r="K248">
            <v>1.0852896071723499E-2</v>
          </cell>
        </row>
        <row r="249">
          <cell r="I249" t="str">
            <v>T1部件</v>
          </cell>
          <cell r="J249">
            <v>7</v>
          </cell>
          <cell r="K249">
            <v>1.0852896071723499E-2</v>
          </cell>
        </row>
        <row r="250">
          <cell r="I250" t="str">
            <v>T1部件</v>
          </cell>
          <cell r="J250">
            <v>7</v>
          </cell>
          <cell r="K250">
            <v>1.0852896071723499E-2</v>
          </cell>
        </row>
        <row r="251">
          <cell r="I251" t="str">
            <v>T1部件</v>
          </cell>
          <cell r="J251">
            <v>7</v>
          </cell>
          <cell r="K251">
            <v>1.0852896071723499E-2</v>
          </cell>
        </row>
        <row r="252">
          <cell r="I252" t="str">
            <v>T1部件</v>
          </cell>
          <cell r="J252">
            <v>7</v>
          </cell>
          <cell r="K252">
            <v>1.0852896071723499E-2</v>
          </cell>
        </row>
        <row r="253">
          <cell r="I253" t="str">
            <v>T1部件</v>
          </cell>
          <cell r="J253">
            <v>7</v>
          </cell>
          <cell r="K253">
            <v>1.0852896071723499E-2</v>
          </cell>
        </row>
        <row r="254">
          <cell r="I254" t="str">
            <v>T2部件</v>
          </cell>
          <cell r="J254">
            <v>7</v>
          </cell>
          <cell r="K254">
            <v>5.0725492509142399E-3</v>
          </cell>
        </row>
        <row r="255">
          <cell r="I255" t="str">
            <v>T2部件</v>
          </cell>
          <cell r="J255">
            <v>7</v>
          </cell>
          <cell r="K255">
            <v>5.0725492509142399E-3</v>
          </cell>
        </row>
        <row r="256">
          <cell r="I256" t="str">
            <v>T2部件</v>
          </cell>
          <cell r="J256">
            <v>7</v>
          </cell>
          <cell r="K256">
            <v>5.0725492509142399E-3</v>
          </cell>
        </row>
        <row r="257">
          <cell r="I257" t="str">
            <v>T2部件</v>
          </cell>
          <cell r="J257">
            <v>7</v>
          </cell>
          <cell r="K257">
            <v>5.0725492509142399E-3</v>
          </cell>
        </row>
        <row r="258">
          <cell r="I258" t="str">
            <v>T2部件</v>
          </cell>
          <cell r="J258">
            <v>7</v>
          </cell>
          <cell r="K258">
            <v>5.0725492509142399E-3</v>
          </cell>
        </row>
        <row r="259">
          <cell r="I259" t="str">
            <v>T2部件</v>
          </cell>
          <cell r="J259">
            <v>7</v>
          </cell>
          <cell r="K259">
            <v>5.0725492509142399E-3</v>
          </cell>
        </row>
        <row r="260">
          <cell r="I260" t="str">
            <v>T2部件</v>
          </cell>
          <cell r="J260">
            <v>7</v>
          </cell>
          <cell r="K260">
            <v>5.0725492509142399E-3</v>
          </cell>
        </row>
        <row r="261">
          <cell r="I261" t="str">
            <v>T2部件</v>
          </cell>
          <cell r="J261">
            <v>7</v>
          </cell>
          <cell r="K261">
            <v>5.0725492509142399E-3</v>
          </cell>
        </row>
        <row r="262">
          <cell r="I262" t="str">
            <v>T2部件</v>
          </cell>
          <cell r="J262">
            <v>7</v>
          </cell>
          <cell r="K262">
            <v>5.0725492509142399E-3</v>
          </cell>
        </row>
        <row r="263">
          <cell r="I263" t="str">
            <v>T2部件</v>
          </cell>
          <cell r="J263">
            <v>7</v>
          </cell>
          <cell r="K263">
            <v>5.0725492509142399E-3</v>
          </cell>
        </row>
        <row r="264">
          <cell r="I264" t="str">
            <v>T2部件</v>
          </cell>
          <cell r="J264">
            <v>7</v>
          </cell>
          <cell r="K264">
            <v>5.0725492509142399E-3</v>
          </cell>
        </row>
        <row r="265">
          <cell r="I265" t="str">
            <v>T2部件</v>
          </cell>
          <cell r="J265">
            <v>7</v>
          </cell>
          <cell r="K265">
            <v>5.0725492509142399E-3</v>
          </cell>
        </row>
        <row r="266">
          <cell r="I266" t="str">
            <v>T2部件</v>
          </cell>
          <cell r="J266">
            <v>7</v>
          </cell>
          <cell r="K266">
            <v>5.0725492509142399E-3</v>
          </cell>
        </row>
        <row r="267">
          <cell r="I267" t="str">
            <v>T2部件</v>
          </cell>
          <cell r="J267">
            <v>7</v>
          </cell>
          <cell r="K267">
            <v>5.0725492509142399E-3</v>
          </cell>
        </row>
        <row r="268">
          <cell r="I268" t="str">
            <v>T2部件</v>
          </cell>
          <cell r="J268">
            <v>7</v>
          </cell>
          <cell r="K268">
            <v>5.0725492509142399E-3</v>
          </cell>
        </row>
        <row r="269">
          <cell r="I269" t="str">
            <v>T2部件</v>
          </cell>
          <cell r="J269">
            <v>7</v>
          </cell>
          <cell r="K269">
            <v>5.0725492509142399E-3</v>
          </cell>
        </row>
        <row r="270">
          <cell r="I270" t="str">
            <v>T2部件</v>
          </cell>
          <cell r="J270">
            <v>7</v>
          </cell>
          <cell r="K270">
            <v>5.0725492509142399E-3</v>
          </cell>
        </row>
        <row r="271">
          <cell r="I271" t="str">
            <v>T2部件</v>
          </cell>
          <cell r="J271">
            <v>7</v>
          </cell>
          <cell r="K271">
            <v>5.0725492509142399E-3</v>
          </cell>
        </row>
        <row r="272">
          <cell r="I272" t="str">
            <v>T3部件</v>
          </cell>
          <cell r="J272">
            <v>7</v>
          </cell>
          <cell r="K272">
            <v>2.5952577562817001E-3</v>
          </cell>
        </row>
        <row r="273">
          <cell r="I273" t="str">
            <v>T3部件</v>
          </cell>
          <cell r="J273">
            <v>7</v>
          </cell>
          <cell r="K273">
            <v>2.5952577562817001E-3</v>
          </cell>
        </row>
        <row r="274">
          <cell r="I274" t="str">
            <v>T3部件</v>
          </cell>
          <cell r="J274">
            <v>7</v>
          </cell>
          <cell r="K274">
            <v>2.5952577562817001E-3</v>
          </cell>
        </row>
        <row r="275">
          <cell r="I275" t="str">
            <v>T3部件</v>
          </cell>
          <cell r="J275">
            <v>7</v>
          </cell>
          <cell r="K275">
            <v>2.5952577562817001E-3</v>
          </cell>
        </row>
        <row r="276">
          <cell r="I276" t="str">
            <v>T3部件</v>
          </cell>
          <cell r="J276">
            <v>7</v>
          </cell>
          <cell r="K276">
            <v>2.5952577562817001E-3</v>
          </cell>
        </row>
        <row r="277">
          <cell r="I277" t="str">
            <v>T3部件</v>
          </cell>
          <cell r="J277">
            <v>7</v>
          </cell>
          <cell r="K277">
            <v>2.5952577562817001E-3</v>
          </cell>
        </row>
        <row r="278">
          <cell r="I278" t="str">
            <v>T3部件</v>
          </cell>
          <cell r="J278">
            <v>7</v>
          </cell>
          <cell r="K278">
            <v>2.5952577562817001E-3</v>
          </cell>
        </row>
        <row r="279">
          <cell r="I279" t="str">
            <v>T3部件</v>
          </cell>
          <cell r="J279">
            <v>7</v>
          </cell>
          <cell r="K279">
            <v>2.5952577562817001E-3</v>
          </cell>
        </row>
        <row r="280">
          <cell r="I280" t="str">
            <v>T3部件</v>
          </cell>
          <cell r="J280">
            <v>7</v>
          </cell>
          <cell r="K280">
            <v>2.5952577562817001E-3</v>
          </cell>
        </row>
        <row r="281">
          <cell r="I281" t="str">
            <v>T3部件</v>
          </cell>
          <cell r="J281">
            <v>7</v>
          </cell>
          <cell r="K281">
            <v>2.5952577562817001E-3</v>
          </cell>
        </row>
        <row r="282">
          <cell r="I282" t="str">
            <v>T3部件</v>
          </cell>
          <cell r="J282">
            <v>7</v>
          </cell>
          <cell r="K282">
            <v>2.5952577562817001E-3</v>
          </cell>
        </row>
        <row r="283">
          <cell r="I283" t="str">
            <v>T3部件</v>
          </cell>
          <cell r="J283">
            <v>7</v>
          </cell>
          <cell r="K283">
            <v>2.5952577562817001E-3</v>
          </cell>
        </row>
        <row r="284">
          <cell r="I284" t="str">
            <v>T3部件</v>
          </cell>
          <cell r="J284">
            <v>7</v>
          </cell>
          <cell r="K284">
            <v>2.5952577562817001E-3</v>
          </cell>
        </row>
        <row r="285">
          <cell r="I285" t="str">
            <v>T3部件</v>
          </cell>
          <cell r="J285">
            <v>7</v>
          </cell>
          <cell r="K285">
            <v>2.5952577562817001E-3</v>
          </cell>
        </row>
        <row r="286">
          <cell r="I286" t="str">
            <v>T3部件</v>
          </cell>
          <cell r="J286">
            <v>7</v>
          </cell>
          <cell r="K286">
            <v>2.5952577562817001E-3</v>
          </cell>
        </row>
        <row r="287">
          <cell r="I287" t="str">
            <v>T3部件</v>
          </cell>
          <cell r="J287">
            <v>7</v>
          </cell>
          <cell r="K287">
            <v>2.5952577562817001E-3</v>
          </cell>
        </row>
        <row r="288">
          <cell r="I288" t="str">
            <v>T3部件</v>
          </cell>
          <cell r="J288">
            <v>7</v>
          </cell>
          <cell r="K288">
            <v>2.5952577562817001E-3</v>
          </cell>
        </row>
        <row r="289">
          <cell r="I289" t="str">
            <v>T3部件</v>
          </cell>
          <cell r="J289">
            <v>7</v>
          </cell>
          <cell r="K289">
            <v>3.1850890645275499E-3</v>
          </cell>
        </row>
        <row r="290">
          <cell r="I290" t="str">
            <v>T1碎片</v>
          </cell>
          <cell r="J290">
            <v>8</v>
          </cell>
          <cell r="K290">
            <v>9.73221658605639E-2</v>
          </cell>
        </row>
        <row r="291">
          <cell r="I291" t="str">
            <v>T1碎片</v>
          </cell>
          <cell r="J291">
            <v>8</v>
          </cell>
          <cell r="K291">
            <v>9.73221658605639E-2</v>
          </cell>
        </row>
        <row r="292">
          <cell r="I292" t="str">
            <v>T1碎片</v>
          </cell>
          <cell r="J292">
            <v>8</v>
          </cell>
          <cell r="K292">
            <v>9.73221658605639E-2</v>
          </cell>
        </row>
        <row r="293">
          <cell r="I293" t="str">
            <v>T2碎片</v>
          </cell>
          <cell r="J293">
            <v>8</v>
          </cell>
          <cell r="K293">
            <v>2.47729149463254E-2</v>
          </cell>
        </row>
        <row r="294">
          <cell r="I294" t="str">
            <v>T2碎片</v>
          </cell>
          <cell r="J294">
            <v>8</v>
          </cell>
          <cell r="K294">
            <v>2.47729149463254E-2</v>
          </cell>
        </row>
        <row r="295">
          <cell r="I295" t="str">
            <v>T2碎片</v>
          </cell>
          <cell r="J295">
            <v>8</v>
          </cell>
          <cell r="K295">
            <v>2.47729149463254E-2</v>
          </cell>
        </row>
        <row r="296">
          <cell r="I296" t="str">
            <v>T3碎片</v>
          </cell>
          <cell r="J296">
            <v>8</v>
          </cell>
          <cell r="K296">
            <v>0.160846997758641</v>
          </cell>
        </row>
        <row r="297">
          <cell r="I297" t="str">
            <v>T3碎片</v>
          </cell>
          <cell r="J297">
            <v>8</v>
          </cell>
          <cell r="K297">
            <v>0.160846997758641</v>
          </cell>
        </row>
        <row r="298">
          <cell r="I298" t="str">
            <v>T3碎片</v>
          </cell>
          <cell r="J298">
            <v>8</v>
          </cell>
          <cell r="K298">
            <v>0.160846997758641</v>
          </cell>
        </row>
        <row r="299">
          <cell r="I299" t="str">
            <v>T3碎片</v>
          </cell>
          <cell r="J299">
            <v>8</v>
          </cell>
          <cell r="K299">
            <v>8.0570956706381994E-2</v>
          </cell>
        </row>
        <row r="300">
          <cell r="I300" t="str">
            <v>T3碎片</v>
          </cell>
          <cell r="J300">
            <v>8</v>
          </cell>
          <cell r="K300">
            <v>8.0570956706381994E-2</v>
          </cell>
        </row>
        <row r="301">
          <cell r="I301" t="str">
            <v>T3碎片</v>
          </cell>
          <cell r="J301">
            <v>8</v>
          </cell>
          <cell r="K301">
            <v>8.0570956706381994E-2</v>
          </cell>
        </row>
        <row r="302">
          <cell r="I302" t="str">
            <v>T1部件</v>
          </cell>
          <cell r="J302">
            <v>8</v>
          </cell>
          <cell r="K302">
            <v>1.0852896071723499E-2</v>
          </cell>
        </row>
        <row r="303">
          <cell r="I303" t="str">
            <v>T1部件</v>
          </cell>
          <cell r="J303">
            <v>8</v>
          </cell>
          <cell r="K303">
            <v>1.0852896071723499E-2</v>
          </cell>
        </row>
        <row r="304">
          <cell r="I304" t="str">
            <v>T1部件</v>
          </cell>
          <cell r="J304">
            <v>8</v>
          </cell>
          <cell r="K304">
            <v>1.0852896071723499E-2</v>
          </cell>
        </row>
        <row r="305">
          <cell r="I305" t="str">
            <v>T1部件</v>
          </cell>
          <cell r="J305">
            <v>8</v>
          </cell>
          <cell r="K305">
            <v>1.0852896071723499E-2</v>
          </cell>
        </row>
        <row r="306">
          <cell r="I306" t="str">
            <v>T1部件</v>
          </cell>
          <cell r="J306">
            <v>8</v>
          </cell>
          <cell r="K306">
            <v>1.0852896071723499E-2</v>
          </cell>
        </row>
        <row r="307">
          <cell r="I307" t="str">
            <v>T1部件</v>
          </cell>
          <cell r="J307">
            <v>8</v>
          </cell>
          <cell r="K307">
            <v>1.0852896071723499E-2</v>
          </cell>
        </row>
        <row r="308">
          <cell r="I308" t="str">
            <v>T1部件</v>
          </cell>
          <cell r="J308">
            <v>8</v>
          </cell>
          <cell r="K308">
            <v>1.0852896071723499E-2</v>
          </cell>
        </row>
        <row r="309">
          <cell r="I309" t="str">
            <v>T1部件</v>
          </cell>
          <cell r="J309">
            <v>8</v>
          </cell>
          <cell r="K309">
            <v>1.0852896071723499E-2</v>
          </cell>
        </row>
        <row r="310">
          <cell r="I310" t="str">
            <v>T1部件</v>
          </cell>
          <cell r="J310">
            <v>8</v>
          </cell>
          <cell r="K310">
            <v>1.0852896071723499E-2</v>
          </cell>
        </row>
        <row r="311">
          <cell r="I311" t="str">
            <v>T1部件</v>
          </cell>
          <cell r="J311">
            <v>8</v>
          </cell>
          <cell r="K311">
            <v>1.0852896071723499E-2</v>
          </cell>
        </row>
        <row r="312">
          <cell r="I312" t="str">
            <v>T1部件</v>
          </cell>
          <cell r="J312">
            <v>8</v>
          </cell>
          <cell r="K312">
            <v>1.0852896071723499E-2</v>
          </cell>
        </row>
        <row r="313">
          <cell r="I313" t="str">
            <v>T1部件</v>
          </cell>
          <cell r="J313">
            <v>8</v>
          </cell>
          <cell r="K313">
            <v>1.0852896071723499E-2</v>
          </cell>
        </row>
        <row r="314">
          <cell r="I314" t="str">
            <v>T1部件</v>
          </cell>
          <cell r="J314">
            <v>8</v>
          </cell>
          <cell r="K314">
            <v>1.0852896071723499E-2</v>
          </cell>
        </row>
        <row r="315">
          <cell r="I315" t="str">
            <v>T1部件</v>
          </cell>
          <cell r="J315">
            <v>8</v>
          </cell>
          <cell r="K315">
            <v>1.0852896071723499E-2</v>
          </cell>
        </row>
        <row r="316">
          <cell r="I316" t="str">
            <v>T1部件</v>
          </cell>
          <cell r="J316">
            <v>8</v>
          </cell>
          <cell r="K316">
            <v>1.0852896071723499E-2</v>
          </cell>
        </row>
        <row r="317">
          <cell r="I317" t="str">
            <v>T1部件</v>
          </cell>
          <cell r="J317">
            <v>8</v>
          </cell>
          <cell r="K317">
            <v>1.0852896071723499E-2</v>
          </cell>
        </row>
        <row r="318">
          <cell r="I318" t="str">
            <v>T1部件</v>
          </cell>
          <cell r="J318">
            <v>8</v>
          </cell>
          <cell r="K318">
            <v>1.0852896071723499E-2</v>
          </cell>
        </row>
        <row r="319">
          <cell r="I319" t="str">
            <v>T1部件</v>
          </cell>
          <cell r="J319">
            <v>8</v>
          </cell>
          <cell r="K319">
            <v>1.0852896071723499E-2</v>
          </cell>
        </row>
        <row r="320">
          <cell r="I320" t="str">
            <v>T2部件</v>
          </cell>
          <cell r="J320">
            <v>8</v>
          </cell>
          <cell r="K320">
            <v>5.0725492509142399E-3</v>
          </cell>
        </row>
        <row r="321">
          <cell r="I321" t="str">
            <v>T2部件</v>
          </cell>
          <cell r="J321">
            <v>8</v>
          </cell>
          <cell r="K321">
            <v>5.0725492509142399E-3</v>
          </cell>
        </row>
        <row r="322">
          <cell r="I322" t="str">
            <v>T2部件</v>
          </cell>
          <cell r="J322">
            <v>8</v>
          </cell>
          <cell r="K322">
            <v>5.0725492509142399E-3</v>
          </cell>
        </row>
        <row r="323">
          <cell r="I323" t="str">
            <v>T2部件</v>
          </cell>
          <cell r="J323">
            <v>8</v>
          </cell>
          <cell r="K323">
            <v>5.0725492509142399E-3</v>
          </cell>
        </row>
        <row r="324">
          <cell r="I324" t="str">
            <v>T2部件</v>
          </cell>
          <cell r="J324">
            <v>8</v>
          </cell>
          <cell r="K324">
            <v>5.0725492509142399E-3</v>
          </cell>
        </row>
        <row r="325">
          <cell r="I325" t="str">
            <v>T2部件</v>
          </cell>
          <cell r="J325">
            <v>8</v>
          </cell>
          <cell r="K325">
            <v>5.0725492509142399E-3</v>
          </cell>
        </row>
        <row r="326">
          <cell r="I326" t="str">
            <v>T2部件</v>
          </cell>
          <cell r="J326">
            <v>8</v>
          </cell>
          <cell r="K326">
            <v>5.0725492509142399E-3</v>
          </cell>
        </row>
        <row r="327">
          <cell r="I327" t="str">
            <v>T2部件</v>
          </cell>
          <cell r="J327">
            <v>8</v>
          </cell>
          <cell r="K327">
            <v>5.0725492509142399E-3</v>
          </cell>
        </row>
        <row r="328">
          <cell r="I328" t="str">
            <v>T2部件</v>
          </cell>
          <cell r="J328">
            <v>8</v>
          </cell>
          <cell r="K328">
            <v>5.0725492509142399E-3</v>
          </cell>
        </row>
        <row r="329">
          <cell r="I329" t="str">
            <v>T2部件</v>
          </cell>
          <cell r="J329">
            <v>8</v>
          </cell>
          <cell r="K329">
            <v>5.0725492509142399E-3</v>
          </cell>
        </row>
        <row r="330">
          <cell r="I330" t="str">
            <v>T2部件</v>
          </cell>
          <cell r="J330">
            <v>8</v>
          </cell>
          <cell r="K330">
            <v>5.0725492509142399E-3</v>
          </cell>
        </row>
        <row r="331">
          <cell r="I331" t="str">
            <v>T2部件</v>
          </cell>
          <cell r="J331">
            <v>8</v>
          </cell>
          <cell r="K331">
            <v>5.0725492509142399E-3</v>
          </cell>
        </row>
        <row r="332">
          <cell r="I332" t="str">
            <v>T2部件</v>
          </cell>
          <cell r="J332">
            <v>8</v>
          </cell>
          <cell r="K332">
            <v>5.0725492509142399E-3</v>
          </cell>
        </row>
        <row r="333">
          <cell r="I333" t="str">
            <v>T2部件</v>
          </cell>
          <cell r="J333">
            <v>8</v>
          </cell>
          <cell r="K333">
            <v>5.0725492509142399E-3</v>
          </cell>
        </row>
        <row r="334">
          <cell r="I334" t="str">
            <v>T2部件</v>
          </cell>
          <cell r="J334">
            <v>8</v>
          </cell>
          <cell r="K334">
            <v>5.0725492509142399E-3</v>
          </cell>
        </row>
        <row r="335">
          <cell r="I335" t="str">
            <v>T2部件</v>
          </cell>
          <cell r="J335">
            <v>8</v>
          </cell>
          <cell r="K335">
            <v>5.0725492509142399E-3</v>
          </cell>
        </row>
        <row r="336">
          <cell r="I336" t="str">
            <v>T2部件</v>
          </cell>
          <cell r="J336">
            <v>8</v>
          </cell>
          <cell r="K336">
            <v>5.0725492509142399E-3</v>
          </cell>
        </row>
        <row r="337">
          <cell r="I337" t="str">
            <v>T2部件</v>
          </cell>
          <cell r="J337">
            <v>8</v>
          </cell>
          <cell r="K337">
            <v>5.0725492509142399E-3</v>
          </cell>
        </row>
        <row r="338">
          <cell r="I338" t="str">
            <v>T3部件</v>
          </cell>
          <cell r="J338">
            <v>8</v>
          </cell>
          <cell r="K338">
            <v>2.5952577562817001E-3</v>
          </cell>
        </row>
        <row r="339">
          <cell r="I339" t="str">
            <v>T3部件</v>
          </cell>
          <cell r="J339">
            <v>8</v>
          </cell>
          <cell r="K339">
            <v>2.5952577562817001E-3</v>
          </cell>
        </row>
        <row r="340">
          <cell r="I340" t="str">
            <v>T3部件</v>
          </cell>
          <cell r="J340">
            <v>8</v>
          </cell>
          <cell r="K340">
            <v>2.5952577562817001E-3</v>
          </cell>
        </row>
        <row r="341">
          <cell r="I341" t="str">
            <v>T3部件</v>
          </cell>
          <cell r="J341">
            <v>8</v>
          </cell>
          <cell r="K341">
            <v>2.5952577562817001E-3</v>
          </cell>
        </row>
        <row r="342">
          <cell r="I342" t="str">
            <v>T3部件</v>
          </cell>
          <cell r="J342">
            <v>8</v>
          </cell>
          <cell r="K342">
            <v>2.5952577562817001E-3</v>
          </cell>
        </row>
        <row r="343">
          <cell r="I343" t="str">
            <v>T3部件</v>
          </cell>
          <cell r="J343">
            <v>8</v>
          </cell>
          <cell r="K343">
            <v>2.5952577562817001E-3</v>
          </cell>
        </row>
        <row r="344">
          <cell r="I344" t="str">
            <v>T3部件</v>
          </cell>
          <cell r="J344">
            <v>8</v>
          </cell>
          <cell r="K344">
            <v>2.5952577562817001E-3</v>
          </cell>
        </row>
        <row r="345">
          <cell r="I345" t="str">
            <v>T3部件</v>
          </cell>
          <cell r="J345">
            <v>8</v>
          </cell>
          <cell r="K345">
            <v>2.5952577562817001E-3</v>
          </cell>
        </row>
        <row r="346">
          <cell r="I346" t="str">
            <v>T3部件</v>
          </cell>
          <cell r="J346">
            <v>8</v>
          </cell>
          <cell r="K346">
            <v>2.5952577562817001E-3</v>
          </cell>
        </row>
        <row r="347">
          <cell r="I347" t="str">
            <v>T3部件</v>
          </cell>
          <cell r="J347">
            <v>8</v>
          </cell>
          <cell r="K347">
            <v>2.5952577562817001E-3</v>
          </cell>
        </row>
        <row r="348">
          <cell r="I348" t="str">
            <v>T3部件</v>
          </cell>
          <cell r="J348">
            <v>8</v>
          </cell>
          <cell r="K348">
            <v>2.5952577562817001E-3</v>
          </cell>
        </row>
        <row r="349">
          <cell r="I349" t="str">
            <v>T3部件</v>
          </cell>
          <cell r="J349">
            <v>8</v>
          </cell>
          <cell r="K349">
            <v>2.5952577562817001E-3</v>
          </cell>
        </row>
        <row r="350">
          <cell r="I350" t="str">
            <v>T3部件</v>
          </cell>
          <cell r="J350">
            <v>8</v>
          </cell>
          <cell r="K350">
            <v>2.5952577562817001E-3</v>
          </cell>
        </row>
        <row r="351">
          <cell r="I351" t="str">
            <v>T3部件</v>
          </cell>
          <cell r="J351">
            <v>8</v>
          </cell>
          <cell r="K351">
            <v>2.5952577562817001E-3</v>
          </cell>
        </row>
        <row r="352">
          <cell r="I352" t="str">
            <v>T3部件</v>
          </cell>
          <cell r="J352">
            <v>8</v>
          </cell>
          <cell r="K352">
            <v>2.5952577562817001E-3</v>
          </cell>
        </row>
        <row r="353">
          <cell r="I353" t="str">
            <v>T3部件</v>
          </cell>
          <cell r="J353">
            <v>8</v>
          </cell>
          <cell r="K353">
            <v>2.5952577562817001E-3</v>
          </cell>
        </row>
        <row r="354">
          <cell r="I354" t="str">
            <v>T3部件</v>
          </cell>
          <cell r="J354">
            <v>8</v>
          </cell>
          <cell r="K354">
            <v>2.5952577562817001E-3</v>
          </cell>
        </row>
        <row r="355">
          <cell r="I355" t="str">
            <v>T3部件</v>
          </cell>
          <cell r="J355">
            <v>8</v>
          </cell>
          <cell r="K355">
            <v>3.1850890645275499E-3</v>
          </cell>
        </row>
        <row r="356">
          <cell r="I356" t="str">
            <v>T1碎片</v>
          </cell>
          <cell r="J356">
            <v>9</v>
          </cell>
          <cell r="K356">
            <v>9.73221658605639E-2</v>
          </cell>
        </row>
        <row r="357">
          <cell r="I357" t="str">
            <v>T1碎片</v>
          </cell>
          <cell r="J357">
            <v>9</v>
          </cell>
          <cell r="K357">
            <v>9.73221658605639E-2</v>
          </cell>
        </row>
        <row r="358">
          <cell r="I358" t="str">
            <v>T1碎片</v>
          </cell>
          <cell r="J358">
            <v>9</v>
          </cell>
          <cell r="K358">
            <v>9.73221658605639E-2</v>
          </cell>
        </row>
        <row r="359">
          <cell r="I359" t="str">
            <v>T2碎片</v>
          </cell>
          <cell r="J359">
            <v>9</v>
          </cell>
          <cell r="K359">
            <v>2.47729149463254E-2</v>
          </cell>
        </row>
        <row r="360">
          <cell r="I360" t="str">
            <v>T2碎片</v>
          </cell>
          <cell r="J360">
            <v>9</v>
          </cell>
          <cell r="K360">
            <v>2.47729149463254E-2</v>
          </cell>
        </row>
        <row r="361">
          <cell r="I361" t="str">
            <v>T2碎片</v>
          </cell>
          <cell r="J361">
            <v>9</v>
          </cell>
          <cell r="K361">
            <v>2.47729149463254E-2</v>
          </cell>
        </row>
        <row r="362">
          <cell r="I362" t="str">
            <v>T3碎片</v>
          </cell>
          <cell r="J362">
            <v>9</v>
          </cell>
          <cell r="K362">
            <v>0.160846997758641</v>
          </cell>
        </row>
        <row r="363">
          <cell r="I363" t="str">
            <v>T3碎片</v>
          </cell>
          <cell r="J363">
            <v>9</v>
          </cell>
          <cell r="K363">
            <v>0.160846997758641</v>
          </cell>
        </row>
        <row r="364">
          <cell r="I364" t="str">
            <v>T3碎片</v>
          </cell>
          <cell r="J364">
            <v>9</v>
          </cell>
          <cell r="K364">
            <v>0.160846997758641</v>
          </cell>
        </row>
        <row r="365">
          <cell r="I365" t="str">
            <v>T3碎片</v>
          </cell>
          <cell r="J365">
            <v>9</v>
          </cell>
          <cell r="K365">
            <v>8.0570956706381994E-2</v>
          </cell>
        </row>
        <row r="366">
          <cell r="I366" t="str">
            <v>T3碎片</v>
          </cell>
          <cell r="J366">
            <v>9</v>
          </cell>
          <cell r="K366">
            <v>8.0570956706381994E-2</v>
          </cell>
        </row>
        <row r="367">
          <cell r="I367" t="str">
            <v>T3碎片</v>
          </cell>
          <cell r="J367">
            <v>9</v>
          </cell>
          <cell r="K367">
            <v>8.0570956706381994E-2</v>
          </cell>
        </row>
        <row r="368">
          <cell r="I368" t="str">
            <v>T1部件</v>
          </cell>
          <cell r="J368">
            <v>9</v>
          </cell>
          <cell r="K368">
            <v>1.0852896071723499E-2</v>
          </cell>
        </row>
        <row r="369">
          <cell r="I369" t="str">
            <v>T1部件</v>
          </cell>
          <cell r="J369">
            <v>9</v>
          </cell>
          <cell r="K369">
            <v>1.0852896071723499E-2</v>
          </cell>
        </row>
        <row r="370">
          <cell r="I370" t="str">
            <v>T1部件</v>
          </cell>
          <cell r="J370">
            <v>9</v>
          </cell>
          <cell r="K370">
            <v>1.0852896071723499E-2</v>
          </cell>
        </row>
        <row r="371">
          <cell r="I371" t="str">
            <v>T1部件</v>
          </cell>
          <cell r="J371">
            <v>9</v>
          </cell>
          <cell r="K371">
            <v>1.0852896071723499E-2</v>
          </cell>
        </row>
        <row r="372">
          <cell r="I372" t="str">
            <v>T1部件</v>
          </cell>
          <cell r="J372">
            <v>9</v>
          </cell>
          <cell r="K372">
            <v>1.0852896071723499E-2</v>
          </cell>
        </row>
        <row r="373">
          <cell r="I373" t="str">
            <v>T1部件</v>
          </cell>
          <cell r="J373">
            <v>9</v>
          </cell>
          <cell r="K373">
            <v>1.0852896071723499E-2</v>
          </cell>
        </row>
        <row r="374">
          <cell r="I374" t="str">
            <v>T1部件</v>
          </cell>
          <cell r="J374">
            <v>9</v>
          </cell>
          <cell r="K374">
            <v>1.0852896071723499E-2</v>
          </cell>
        </row>
        <row r="375">
          <cell r="I375" t="str">
            <v>T1部件</v>
          </cell>
          <cell r="J375">
            <v>9</v>
          </cell>
          <cell r="K375">
            <v>1.0852896071723499E-2</v>
          </cell>
        </row>
        <row r="376">
          <cell r="I376" t="str">
            <v>T1部件</v>
          </cell>
          <cell r="J376">
            <v>9</v>
          </cell>
          <cell r="K376">
            <v>1.0852896071723499E-2</v>
          </cell>
        </row>
        <row r="377">
          <cell r="I377" t="str">
            <v>T1部件</v>
          </cell>
          <cell r="J377">
            <v>9</v>
          </cell>
          <cell r="K377">
            <v>1.0852896071723499E-2</v>
          </cell>
        </row>
        <row r="378">
          <cell r="I378" t="str">
            <v>T1部件</v>
          </cell>
          <cell r="J378">
            <v>9</v>
          </cell>
          <cell r="K378">
            <v>1.0852896071723499E-2</v>
          </cell>
        </row>
        <row r="379">
          <cell r="I379" t="str">
            <v>T1部件</v>
          </cell>
          <cell r="J379">
            <v>9</v>
          </cell>
          <cell r="K379">
            <v>1.0852896071723499E-2</v>
          </cell>
        </row>
        <row r="380">
          <cell r="I380" t="str">
            <v>T1部件</v>
          </cell>
          <cell r="J380">
            <v>9</v>
          </cell>
          <cell r="K380">
            <v>1.0852896071723499E-2</v>
          </cell>
        </row>
        <row r="381">
          <cell r="I381" t="str">
            <v>T1部件</v>
          </cell>
          <cell r="J381">
            <v>9</v>
          </cell>
          <cell r="K381">
            <v>1.0852896071723499E-2</v>
          </cell>
        </row>
        <row r="382">
          <cell r="I382" t="str">
            <v>T1部件</v>
          </cell>
          <cell r="J382">
            <v>9</v>
          </cell>
          <cell r="K382">
            <v>1.0852896071723499E-2</v>
          </cell>
        </row>
        <row r="383">
          <cell r="I383" t="str">
            <v>T1部件</v>
          </cell>
          <cell r="J383">
            <v>9</v>
          </cell>
          <cell r="K383">
            <v>1.0852896071723499E-2</v>
          </cell>
        </row>
        <row r="384">
          <cell r="I384" t="str">
            <v>T1部件</v>
          </cell>
          <cell r="J384">
            <v>9</v>
          </cell>
          <cell r="K384">
            <v>1.0852896071723499E-2</v>
          </cell>
        </row>
        <row r="385">
          <cell r="I385" t="str">
            <v>T1部件</v>
          </cell>
          <cell r="J385">
            <v>9</v>
          </cell>
          <cell r="K385">
            <v>1.0852896071723499E-2</v>
          </cell>
        </row>
        <row r="386">
          <cell r="I386" t="str">
            <v>T2部件</v>
          </cell>
          <cell r="J386">
            <v>9</v>
          </cell>
          <cell r="K386">
            <v>5.0725492509142399E-3</v>
          </cell>
        </row>
        <row r="387">
          <cell r="I387" t="str">
            <v>T2部件</v>
          </cell>
          <cell r="J387">
            <v>9</v>
          </cell>
          <cell r="K387">
            <v>5.0725492509142399E-3</v>
          </cell>
        </row>
        <row r="388">
          <cell r="I388" t="str">
            <v>T2部件</v>
          </cell>
          <cell r="J388">
            <v>9</v>
          </cell>
          <cell r="K388">
            <v>5.0725492509142399E-3</v>
          </cell>
        </row>
        <row r="389">
          <cell r="I389" t="str">
            <v>T2部件</v>
          </cell>
          <cell r="J389">
            <v>9</v>
          </cell>
          <cell r="K389">
            <v>5.0725492509142399E-3</v>
          </cell>
        </row>
        <row r="390">
          <cell r="I390" t="str">
            <v>T2部件</v>
          </cell>
          <cell r="J390">
            <v>9</v>
          </cell>
          <cell r="K390">
            <v>5.0725492509142399E-3</v>
          </cell>
        </row>
        <row r="391">
          <cell r="I391" t="str">
            <v>T2部件</v>
          </cell>
          <cell r="J391">
            <v>9</v>
          </cell>
          <cell r="K391">
            <v>5.0725492509142399E-3</v>
          </cell>
        </row>
        <row r="392">
          <cell r="I392" t="str">
            <v>T2部件</v>
          </cell>
          <cell r="J392">
            <v>9</v>
          </cell>
          <cell r="K392">
            <v>5.0725492509142399E-3</v>
          </cell>
        </row>
        <row r="393">
          <cell r="I393" t="str">
            <v>T2部件</v>
          </cell>
          <cell r="J393">
            <v>9</v>
          </cell>
          <cell r="K393">
            <v>5.0725492509142399E-3</v>
          </cell>
        </row>
        <row r="394">
          <cell r="I394" t="str">
            <v>T2部件</v>
          </cell>
          <cell r="J394">
            <v>9</v>
          </cell>
          <cell r="K394">
            <v>5.0725492509142399E-3</v>
          </cell>
        </row>
        <row r="395">
          <cell r="I395" t="str">
            <v>T2部件</v>
          </cell>
          <cell r="J395">
            <v>9</v>
          </cell>
          <cell r="K395">
            <v>5.0725492509142399E-3</v>
          </cell>
        </row>
        <row r="396">
          <cell r="I396" t="str">
            <v>T2部件</v>
          </cell>
          <cell r="J396">
            <v>9</v>
          </cell>
          <cell r="K396">
            <v>5.0725492509142399E-3</v>
          </cell>
        </row>
        <row r="397">
          <cell r="I397" t="str">
            <v>T2部件</v>
          </cell>
          <cell r="J397">
            <v>9</v>
          </cell>
          <cell r="K397">
            <v>5.0725492509142399E-3</v>
          </cell>
        </row>
        <row r="398">
          <cell r="I398" t="str">
            <v>T2部件</v>
          </cell>
          <cell r="J398">
            <v>9</v>
          </cell>
          <cell r="K398">
            <v>5.0725492509142399E-3</v>
          </cell>
        </row>
        <row r="399">
          <cell r="I399" t="str">
            <v>T2部件</v>
          </cell>
          <cell r="J399">
            <v>9</v>
          </cell>
          <cell r="K399">
            <v>5.0725492509142399E-3</v>
          </cell>
        </row>
        <row r="400">
          <cell r="I400" t="str">
            <v>T2部件</v>
          </cell>
          <cell r="J400">
            <v>9</v>
          </cell>
          <cell r="K400">
            <v>5.0725492509142399E-3</v>
          </cell>
        </row>
        <row r="401">
          <cell r="I401" t="str">
            <v>T2部件</v>
          </cell>
          <cell r="J401">
            <v>9</v>
          </cell>
          <cell r="K401">
            <v>5.0725492509142399E-3</v>
          </cell>
        </row>
        <row r="402">
          <cell r="I402" t="str">
            <v>T2部件</v>
          </cell>
          <cell r="J402">
            <v>9</v>
          </cell>
          <cell r="K402">
            <v>5.0725492509142399E-3</v>
          </cell>
        </row>
        <row r="403">
          <cell r="I403" t="str">
            <v>T2部件</v>
          </cell>
          <cell r="J403">
            <v>9</v>
          </cell>
          <cell r="K403">
            <v>5.0725492509142399E-3</v>
          </cell>
        </row>
        <row r="404">
          <cell r="I404" t="str">
            <v>T3部件</v>
          </cell>
          <cell r="J404">
            <v>9</v>
          </cell>
          <cell r="K404">
            <v>2.5952577562817001E-3</v>
          </cell>
        </row>
        <row r="405">
          <cell r="I405" t="str">
            <v>T3部件</v>
          </cell>
          <cell r="J405">
            <v>9</v>
          </cell>
          <cell r="K405">
            <v>2.5952577562817001E-3</v>
          </cell>
        </row>
        <row r="406">
          <cell r="I406" t="str">
            <v>T3部件</v>
          </cell>
          <cell r="J406">
            <v>9</v>
          </cell>
          <cell r="K406">
            <v>2.5952577562817001E-3</v>
          </cell>
        </row>
        <row r="407">
          <cell r="I407" t="str">
            <v>T3部件</v>
          </cell>
          <cell r="J407">
            <v>9</v>
          </cell>
          <cell r="K407">
            <v>2.5952577562817001E-3</v>
          </cell>
        </row>
        <row r="408">
          <cell r="I408" t="str">
            <v>T3部件</v>
          </cell>
          <cell r="J408">
            <v>9</v>
          </cell>
          <cell r="K408">
            <v>2.5952577562817001E-3</v>
          </cell>
        </row>
        <row r="409">
          <cell r="I409" t="str">
            <v>T3部件</v>
          </cell>
          <cell r="J409">
            <v>9</v>
          </cell>
          <cell r="K409">
            <v>2.5952577562817001E-3</v>
          </cell>
        </row>
        <row r="410">
          <cell r="I410" t="str">
            <v>T3部件</v>
          </cell>
          <cell r="J410">
            <v>9</v>
          </cell>
          <cell r="K410">
            <v>2.5952577562817001E-3</v>
          </cell>
        </row>
        <row r="411">
          <cell r="I411" t="str">
            <v>T3部件</v>
          </cell>
          <cell r="J411">
            <v>9</v>
          </cell>
          <cell r="K411">
            <v>2.5952577562817001E-3</v>
          </cell>
        </row>
        <row r="412">
          <cell r="I412" t="str">
            <v>T3部件</v>
          </cell>
          <cell r="J412">
            <v>9</v>
          </cell>
          <cell r="K412">
            <v>2.5952577562817001E-3</v>
          </cell>
        </row>
        <row r="413">
          <cell r="I413" t="str">
            <v>T3部件</v>
          </cell>
          <cell r="J413">
            <v>9</v>
          </cell>
          <cell r="K413">
            <v>2.5952577562817001E-3</v>
          </cell>
        </row>
        <row r="414">
          <cell r="I414" t="str">
            <v>T3部件</v>
          </cell>
          <cell r="J414">
            <v>9</v>
          </cell>
          <cell r="K414">
            <v>2.5952577562817001E-3</v>
          </cell>
        </row>
        <row r="415">
          <cell r="I415" t="str">
            <v>T3部件</v>
          </cell>
          <cell r="J415">
            <v>9</v>
          </cell>
          <cell r="K415">
            <v>2.5952577562817001E-3</v>
          </cell>
        </row>
        <row r="416">
          <cell r="I416" t="str">
            <v>T3部件</v>
          </cell>
          <cell r="J416">
            <v>9</v>
          </cell>
          <cell r="K416">
            <v>2.5952577562817001E-3</v>
          </cell>
        </row>
        <row r="417">
          <cell r="I417" t="str">
            <v>T3部件</v>
          </cell>
          <cell r="J417">
            <v>9</v>
          </cell>
          <cell r="K417">
            <v>2.5952577562817001E-3</v>
          </cell>
        </row>
        <row r="418">
          <cell r="I418" t="str">
            <v>T3部件</v>
          </cell>
          <cell r="J418">
            <v>9</v>
          </cell>
          <cell r="K418">
            <v>2.5952577562817001E-3</v>
          </cell>
        </row>
        <row r="419">
          <cell r="I419" t="str">
            <v>T3部件</v>
          </cell>
          <cell r="J419">
            <v>9</v>
          </cell>
          <cell r="K419">
            <v>2.5952577562817001E-3</v>
          </cell>
        </row>
        <row r="420">
          <cell r="I420" t="str">
            <v>T3部件</v>
          </cell>
          <cell r="J420">
            <v>9</v>
          </cell>
          <cell r="K420">
            <v>2.5952577562817001E-3</v>
          </cell>
        </row>
        <row r="421">
          <cell r="I421" t="str">
            <v>T3部件</v>
          </cell>
          <cell r="J421">
            <v>9</v>
          </cell>
          <cell r="K421">
            <v>3.1850890645275499E-3</v>
          </cell>
        </row>
        <row r="422">
          <cell r="I422" t="str">
            <v>T1碎片</v>
          </cell>
          <cell r="J422">
            <v>10</v>
          </cell>
          <cell r="K422">
            <v>9.73221658605639E-2</v>
          </cell>
        </row>
        <row r="423">
          <cell r="I423" t="str">
            <v>T1碎片</v>
          </cell>
          <cell r="J423">
            <v>10</v>
          </cell>
          <cell r="K423">
            <v>9.73221658605639E-2</v>
          </cell>
        </row>
        <row r="424">
          <cell r="I424" t="str">
            <v>T1碎片</v>
          </cell>
          <cell r="J424">
            <v>10</v>
          </cell>
          <cell r="K424">
            <v>9.73221658605639E-2</v>
          </cell>
        </row>
        <row r="425">
          <cell r="I425" t="str">
            <v>T2碎片</v>
          </cell>
          <cell r="J425">
            <v>10</v>
          </cell>
          <cell r="K425">
            <v>2.47729149463254E-2</v>
          </cell>
        </row>
        <row r="426">
          <cell r="I426" t="str">
            <v>T2碎片</v>
          </cell>
          <cell r="J426">
            <v>10</v>
          </cell>
          <cell r="K426">
            <v>2.47729149463254E-2</v>
          </cell>
        </row>
        <row r="427">
          <cell r="I427" t="str">
            <v>T2碎片</v>
          </cell>
          <cell r="J427">
            <v>10</v>
          </cell>
          <cell r="K427">
            <v>2.47729149463254E-2</v>
          </cell>
        </row>
        <row r="428">
          <cell r="I428" t="str">
            <v>T3碎片</v>
          </cell>
          <cell r="J428">
            <v>10</v>
          </cell>
          <cell r="K428">
            <v>0.160846997758641</v>
          </cell>
        </row>
        <row r="429">
          <cell r="I429" t="str">
            <v>T3碎片</v>
          </cell>
          <cell r="J429">
            <v>10</v>
          </cell>
          <cell r="K429">
            <v>0.160846997758641</v>
          </cell>
        </row>
        <row r="430">
          <cell r="I430" t="str">
            <v>T3碎片</v>
          </cell>
          <cell r="J430">
            <v>10</v>
          </cell>
          <cell r="K430">
            <v>0.160846997758641</v>
          </cell>
        </row>
        <row r="431">
          <cell r="I431" t="str">
            <v>T3碎片</v>
          </cell>
          <cell r="J431">
            <v>10</v>
          </cell>
          <cell r="K431">
            <v>8.0570956706381994E-2</v>
          </cell>
        </row>
        <row r="432">
          <cell r="I432" t="str">
            <v>T3碎片</v>
          </cell>
          <cell r="J432">
            <v>10</v>
          </cell>
          <cell r="K432">
            <v>8.0570956706381994E-2</v>
          </cell>
        </row>
        <row r="433">
          <cell r="I433" t="str">
            <v>T3碎片</v>
          </cell>
          <cell r="J433">
            <v>10</v>
          </cell>
          <cell r="K433">
            <v>8.0570956706381994E-2</v>
          </cell>
        </row>
        <row r="434">
          <cell r="I434" t="str">
            <v>T1部件</v>
          </cell>
          <cell r="J434">
            <v>10</v>
          </cell>
          <cell r="K434">
            <v>1.0852896071723499E-2</v>
          </cell>
        </row>
        <row r="435">
          <cell r="I435" t="str">
            <v>T1部件</v>
          </cell>
          <cell r="J435">
            <v>10</v>
          </cell>
          <cell r="K435">
            <v>1.0852896071723499E-2</v>
          </cell>
        </row>
        <row r="436">
          <cell r="I436" t="str">
            <v>T1部件</v>
          </cell>
          <cell r="J436">
            <v>10</v>
          </cell>
          <cell r="K436">
            <v>1.0852896071723499E-2</v>
          </cell>
        </row>
        <row r="437">
          <cell r="I437" t="str">
            <v>T1部件</v>
          </cell>
          <cell r="J437">
            <v>10</v>
          </cell>
          <cell r="K437">
            <v>1.0852896071723499E-2</v>
          </cell>
        </row>
        <row r="438">
          <cell r="I438" t="str">
            <v>T1部件</v>
          </cell>
          <cell r="J438">
            <v>10</v>
          </cell>
          <cell r="K438">
            <v>1.0852896071723499E-2</v>
          </cell>
        </row>
        <row r="439">
          <cell r="I439" t="str">
            <v>T1部件</v>
          </cell>
          <cell r="J439">
            <v>10</v>
          </cell>
          <cell r="K439">
            <v>1.0852896071723499E-2</v>
          </cell>
        </row>
        <row r="440">
          <cell r="I440" t="str">
            <v>T1部件</v>
          </cell>
          <cell r="J440">
            <v>10</v>
          </cell>
          <cell r="K440">
            <v>1.0852896071723499E-2</v>
          </cell>
        </row>
        <row r="441">
          <cell r="I441" t="str">
            <v>T1部件</v>
          </cell>
          <cell r="J441">
            <v>10</v>
          </cell>
          <cell r="K441">
            <v>1.0852896071723499E-2</v>
          </cell>
        </row>
        <row r="442">
          <cell r="I442" t="str">
            <v>T1部件</v>
          </cell>
          <cell r="J442">
            <v>10</v>
          </cell>
          <cell r="K442">
            <v>1.0852896071723499E-2</v>
          </cell>
        </row>
        <row r="443">
          <cell r="I443" t="str">
            <v>T1部件</v>
          </cell>
          <cell r="J443">
            <v>10</v>
          </cell>
          <cell r="K443">
            <v>1.0852896071723499E-2</v>
          </cell>
        </row>
        <row r="444">
          <cell r="I444" t="str">
            <v>T1部件</v>
          </cell>
          <cell r="J444">
            <v>10</v>
          </cell>
          <cell r="K444">
            <v>1.0852896071723499E-2</v>
          </cell>
        </row>
        <row r="445">
          <cell r="I445" t="str">
            <v>T1部件</v>
          </cell>
          <cell r="J445">
            <v>10</v>
          </cell>
          <cell r="K445">
            <v>1.0852896071723499E-2</v>
          </cell>
        </row>
        <row r="446">
          <cell r="I446" t="str">
            <v>T1部件</v>
          </cell>
          <cell r="J446">
            <v>10</v>
          </cell>
          <cell r="K446">
            <v>1.0852896071723499E-2</v>
          </cell>
        </row>
        <row r="447">
          <cell r="I447" t="str">
            <v>T1部件</v>
          </cell>
          <cell r="J447">
            <v>10</v>
          </cell>
          <cell r="K447">
            <v>1.0852896071723499E-2</v>
          </cell>
        </row>
        <row r="448">
          <cell r="I448" t="str">
            <v>T1部件</v>
          </cell>
          <cell r="J448">
            <v>10</v>
          </cell>
          <cell r="K448">
            <v>1.0852896071723499E-2</v>
          </cell>
        </row>
        <row r="449">
          <cell r="I449" t="str">
            <v>T1部件</v>
          </cell>
          <cell r="J449">
            <v>10</v>
          </cell>
          <cell r="K449">
            <v>1.0852896071723499E-2</v>
          </cell>
        </row>
        <row r="450">
          <cell r="I450" t="str">
            <v>T1部件</v>
          </cell>
          <cell r="J450">
            <v>10</v>
          </cell>
          <cell r="K450">
            <v>1.0852896071723499E-2</v>
          </cell>
        </row>
        <row r="451">
          <cell r="I451" t="str">
            <v>T1部件</v>
          </cell>
          <cell r="J451">
            <v>10</v>
          </cell>
          <cell r="K451">
            <v>1.0852896071723499E-2</v>
          </cell>
        </row>
        <row r="452">
          <cell r="I452" t="str">
            <v>T2部件</v>
          </cell>
          <cell r="J452">
            <v>10</v>
          </cell>
          <cell r="K452">
            <v>5.0725492509142399E-3</v>
          </cell>
        </row>
        <row r="453">
          <cell r="I453" t="str">
            <v>T2部件</v>
          </cell>
          <cell r="J453">
            <v>10</v>
          </cell>
          <cell r="K453">
            <v>5.0725492509142399E-3</v>
          </cell>
        </row>
        <row r="454">
          <cell r="I454" t="str">
            <v>T2部件</v>
          </cell>
          <cell r="J454">
            <v>10</v>
          </cell>
          <cell r="K454">
            <v>5.0725492509142399E-3</v>
          </cell>
        </row>
        <row r="455">
          <cell r="I455" t="str">
            <v>T2部件</v>
          </cell>
          <cell r="J455">
            <v>10</v>
          </cell>
          <cell r="K455">
            <v>5.0725492509142399E-3</v>
          </cell>
        </row>
        <row r="456">
          <cell r="I456" t="str">
            <v>T2部件</v>
          </cell>
          <cell r="J456">
            <v>10</v>
          </cell>
          <cell r="K456">
            <v>5.0725492509142399E-3</v>
          </cell>
        </row>
        <row r="457">
          <cell r="I457" t="str">
            <v>T2部件</v>
          </cell>
          <cell r="J457">
            <v>10</v>
          </cell>
          <cell r="K457">
            <v>5.0725492509142399E-3</v>
          </cell>
        </row>
        <row r="458">
          <cell r="I458" t="str">
            <v>T2部件</v>
          </cell>
          <cell r="J458">
            <v>10</v>
          </cell>
          <cell r="K458">
            <v>5.0725492509142399E-3</v>
          </cell>
        </row>
        <row r="459">
          <cell r="I459" t="str">
            <v>T2部件</v>
          </cell>
          <cell r="J459">
            <v>10</v>
          </cell>
          <cell r="K459">
            <v>5.0725492509142399E-3</v>
          </cell>
        </row>
        <row r="460">
          <cell r="I460" t="str">
            <v>T2部件</v>
          </cell>
          <cell r="J460">
            <v>10</v>
          </cell>
          <cell r="K460">
            <v>5.0725492509142399E-3</v>
          </cell>
        </row>
        <row r="461">
          <cell r="I461" t="str">
            <v>T2部件</v>
          </cell>
          <cell r="J461">
            <v>10</v>
          </cell>
          <cell r="K461">
            <v>5.0725492509142399E-3</v>
          </cell>
        </row>
        <row r="462">
          <cell r="I462" t="str">
            <v>T2部件</v>
          </cell>
          <cell r="J462">
            <v>10</v>
          </cell>
          <cell r="K462">
            <v>5.0725492509142399E-3</v>
          </cell>
        </row>
        <row r="463">
          <cell r="I463" t="str">
            <v>T2部件</v>
          </cell>
          <cell r="J463">
            <v>10</v>
          </cell>
          <cell r="K463">
            <v>5.0725492509142399E-3</v>
          </cell>
        </row>
        <row r="464">
          <cell r="I464" t="str">
            <v>T2部件</v>
          </cell>
          <cell r="J464">
            <v>10</v>
          </cell>
          <cell r="K464">
            <v>5.0725492509142399E-3</v>
          </cell>
        </row>
        <row r="465">
          <cell r="I465" t="str">
            <v>T2部件</v>
          </cell>
          <cell r="J465">
            <v>10</v>
          </cell>
          <cell r="K465">
            <v>5.0725492509142399E-3</v>
          </cell>
        </row>
        <row r="466">
          <cell r="I466" t="str">
            <v>T2部件</v>
          </cell>
          <cell r="J466">
            <v>10</v>
          </cell>
          <cell r="K466">
            <v>5.0725492509142399E-3</v>
          </cell>
        </row>
        <row r="467">
          <cell r="I467" t="str">
            <v>T2部件</v>
          </cell>
          <cell r="J467">
            <v>10</v>
          </cell>
          <cell r="K467">
            <v>5.0725492509142399E-3</v>
          </cell>
        </row>
        <row r="468">
          <cell r="I468" t="str">
            <v>T2部件</v>
          </cell>
          <cell r="J468">
            <v>10</v>
          </cell>
          <cell r="K468">
            <v>5.0725492509142399E-3</v>
          </cell>
        </row>
        <row r="469">
          <cell r="I469" t="str">
            <v>T2部件</v>
          </cell>
          <cell r="J469">
            <v>10</v>
          </cell>
          <cell r="K469">
            <v>5.0725492509142399E-3</v>
          </cell>
        </row>
        <row r="470">
          <cell r="I470" t="str">
            <v>T3部件</v>
          </cell>
          <cell r="J470">
            <v>10</v>
          </cell>
          <cell r="K470">
            <v>2.5952577562817001E-3</v>
          </cell>
        </row>
        <row r="471">
          <cell r="I471" t="str">
            <v>T3部件</v>
          </cell>
          <cell r="J471">
            <v>10</v>
          </cell>
          <cell r="K471">
            <v>2.5952577562817001E-3</v>
          </cell>
        </row>
        <row r="472">
          <cell r="I472" t="str">
            <v>T3部件</v>
          </cell>
          <cell r="J472">
            <v>10</v>
          </cell>
          <cell r="K472">
            <v>2.5952577562817001E-3</v>
          </cell>
        </row>
        <row r="473">
          <cell r="I473" t="str">
            <v>T3部件</v>
          </cell>
          <cell r="J473">
            <v>10</v>
          </cell>
          <cell r="K473">
            <v>2.5952577562817001E-3</v>
          </cell>
        </row>
        <row r="474">
          <cell r="I474" t="str">
            <v>T3部件</v>
          </cell>
          <cell r="J474">
            <v>10</v>
          </cell>
          <cell r="K474">
            <v>2.5952577562817001E-3</v>
          </cell>
        </row>
        <row r="475">
          <cell r="I475" t="str">
            <v>T3部件</v>
          </cell>
          <cell r="J475">
            <v>10</v>
          </cell>
          <cell r="K475">
            <v>2.5952577562817001E-3</v>
          </cell>
        </row>
        <row r="476">
          <cell r="I476" t="str">
            <v>T3部件</v>
          </cell>
          <cell r="J476">
            <v>10</v>
          </cell>
          <cell r="K476">
            <v>2.5952577562817001E-3</v>
          </cell>
        </row>
        <row r="477">
          <cell r="I477" t="str">
            <v>T3部件</v>
          </cell>
          <cell r="J477">
            <v>10</v>
          </cell>
          <cell r="K477">
            <v>2.5952577562817001E-3</v>
          </cell>
        </row>
        <row r="478">
          <cell r="I478" t="str">
            <v>T3部件</v>
          </cell>
          <cell r="J478">
            <v>10</v>
          </cell>
          <cell r="K478">
            <v>2.5952577562817001E-3</v>
          </cell>
        </row>
        <row r="479">
          <cell r="I479" t="str">
            <v>T3部件</v>
          </cell>
          <cell r="J479">
            <v>10</v>
          </cell>
          <cell r="K479">
            <v>2.5952577562817001E-3</v>
          </cell>
        </row>
        <row r="480">
          <cell r="I480" t="str">
            <v>T3部件</v>
          </cell>
          <cell r="J480">
            <v>10</v>
          </cell>
          <cell r="K480">
            <v>2.5952577562817001E-3</v>
          </cell>
        </row>
        <row r="481">
          <cell r="I481" t="str">
            <v>T3部件</v>
          </cell>
          <cell r="J481">
            <v>10</v>
          </cell>
          <cell r="K481">
            <v>2.5952577562817001E-3</v>
          </cell>
        </row>
        <row r="482">
          <cell r="I482" t="str">
            <v>T3部件</v>
          </cell>
          <cell r="J482">
            <v>10</v>
          </cell>
          <cell r="K482">
            <v>2.5952577562817001E-3</v>
          </cell>
        </row>
        <row r="483">
          <cell r="I483" t="str">
            <v>T3部件</v>
          </cell>
          <cell r="J483">
            <v>10</v>
          </cell>
          <cell r="K483">
            <v>2.5952577562817001E-3</v>
          </cell>
        </row>
        <row r="484">
          <cell r="I484" t="str">
            <v>T3部件</v>
          </cell>
          <cell r="J484">
            <v>10</v>
          </cell>
          <cell r="K484">
            <v>2.5952577562817001E-3</v>
          </cell>
        </row>
        <row r="485">
          <cell r="I485" t="str">
            <v>T3部件</v>
          </cell>
          <cell r="J485">
            <v>10</v>
          </cell>
          <cell r="K485">
            <v>2.5952577562817001E-3</v>
          </cell>
        </row>
        <row r="486">
          <cell r="I486" t="str">
            <v>T3部件</v>
          </cell>
          <cell r="J486">
            <v>10</v>
          </cell>
          <cell r="K486">
            <v>2.5952577562817001E-3</v>
          </cell>
        </row>
        <row r="487">
          <cell r="I487" t="str">
            <v>T3部件</v>
          </cell>
          <cell r="J487">
            <v>10</v>
          </cell>
          <cell r="K487">
            <v>3.1850890645275499E-3</v>
          </cell>
        </row>
      </sheetData>
      <sheetData sheetId="8">
        <row r="1">
          <cell r="I1" t="str">
            <v>类别</v>
          </cell>
          <cell r="J1" t="str">
            <v>联赛等级</v>
          </cell>
          <cell r="K1" t="str">
            <v>计算个数</v>
          </cell>
        </row>
        <row r="2">
          <cell r="I2" t="str">
            <v>T1碎片</v>
          </cell>
          <cell r="J2">
            <v>1</v>
          </cell>
          <cell r="K2">
            <v>0.64289432587194195</v>
          </cell>
        </row>
        <row r="3">
          <cell r="I3" t="str">
            <v>T1碎片</v>
          </cell>
          <cell r="J3">
            <v>1</v>
          </cell>
          <cell r="K3">
            <v>0.64289432587194195</v>
          </cell>
        </row>
        <row r="4">
          <cell r="I4" t="str">
            <v>T1碎片</v>
          </cell>
          <cell r="J4">
            <v>1</v>
          </cell>
          <cell r="K4">
            <v>0.64289432587194195</v>
          </cell>
        </row>
        <row r="5">
          <cell r="I5" t="str">
            <v>T1部件</v>
          </cell>
          <cell r="J5">
            <v>1</v>
          </cell>
          <cell r="K5">
            <v>0.13604025681068899</v>
          </cell>
        </row>
        <row r="6">
          <cell r="I6" t="str">
            <v>T1部件</v>
          </cell>
          <cell r="J6">
            <v>1</v>
          </cell>
          <cell r="K6">
            <v>0.13604025681068899</v>
          </cell>
        </row>
        <row r="7">
          <cell r="I7" t="str">
            <v>T1部件</v>
          </cell>
          <cell r="J7">
            <v>1</v>
          </cell>
          <cell r="K7">
            <v>0.13604025681068899</v>
          </cell>
        </row>
        <row r="8">
          <cell r="I8" t="str">
            <v>T1部件</v>
          </cell>
          <cell r="J8">
            <v>1</v>
          </cell>
          <cell r="K8">
            <v>0.13604025681068899</v>
          </cell>
        </row>
        <row r="9">
          <cell r="I9" t="str">
            <v>T1部件</v>
          </cell>
          <cell r="J9">
            <v>1</v>
          </cell>
          <cell r="K9">
            <v>0.13604025681068899</v>
          </cell>
        </row>
        <row r="10">
          <cell r="I10" t="str">
            <v>T1部件</v>
          </cell>
          <cell r="J10">
            <v>1</v>
          </cell>
          <cell r="K10">
            <v>0.13604025681068899</v>
          </cell>
        </row>
        <row r="11">
          <cell r="I11" t="str">
            <v>T1部件</v>
          </cell>
          <cell r="J11">
            <v>1</v>
          </cell>
          <cell r="K11">
            <v>0.13604025681068899</v>
          </cell>
        </row>
        <row r="12">
          <cell r="I12" t="str">
            <v>T1部件</v>
          </cell>
          <cell r="J12">
            <v>1</v>
          </cell>
          <cell r="K12">
            <v>0.13604025681068899</v>
          </cell>
        </row>
        <row r="13">
          <cell r="I13" t="str">
            <v>T1部件</v>
          </cell>
          <cell r="J13">
            <v>1</v>
          </cell>
          <cell r="K13">
            <v>0.140204754468159</v>
          </cell>
        </row>
        <row r="14">
          <cell r="I14" t="str">
            <v>T1碎片</v>
          </cell>
          <cell r="J14">
            <v>2</v>
          </cell>
          <cell r="K14">
            <v>0.419071918354329</v>
          </cell>
        </row>
        <row r="15">
          <cell r="I15" t="str">
            <v>T1碎片</v>
          </cell>
          <cell r="J15">
            <v>2</v>
          </cell>
          <cell r="K15">
            <v>0.419071918354329</v>
          </cell>
        </row>
        <row r="16">
          <cell r="I16" t="str">
            <v>T1碎片</v>
          </cell>
          <cell r="J16">
            <v>2</v>
          </cell>
          <cell r="K16">
            <v>0.419071918354329</v>
          </cell>
        </row>
        <row r="17">
          <cell r="I17" t="str">
            <v>T2碎片</v>
          </cell>
          <cell r="J17">
            <v>2</v>
          </cell>
          <cell r="K17">
            <v>0.19709775155477599</v>
          </cell>
        </row>
        <row r="18">
          <cell r="I18" t="str">
            <v>T2碎片</v>
          </cell>
          <cell r="J18">
            <v>2</v>
          </cell>
          <cell r="K18">
            <v>0.19709775155477599</v>
          </cell>
        </row>
        <row r="19">
          <cell r="I19" t="str">
            <v>T2碎片</v>
          </cell>
          <cell r="J19">
            <v>2</v>
          </cell>
          <cell r="K19">
            <v>0.19709775155477599</v>
          </cell>
        </row>
        <row r="20">
          <cell r="I20" t="str">
            <v>T1部件</v>
          </cell>
          <cell r="J20">
            <v>2</v>
          </cell>
          <cell r="K20">
            <v>6.5699250518258603E-2</v>
          </cell>
        </row>
        <row r="21">
          <cell r="I21" t="str">
            <v>T1部件</v>
          </cell>
          <cell r="J21">
            <v>2</v>
          </cell>
          <cell r="K21">
            <v>6.5699250518258603E-2</v>
          </cell>
        </row>
        <row r="22">
          <cell r="I22" t="str">
            <v>T1部件</v>
          </cell>
          <cell r="J22">
            <v>2</v>
          </cell>
          <cell r="K22">
            <v>6.5699250518258603E-2</v>
          </cell>
        </row>
        <row r="23">
          <cell r="I23" t="str">
            <v>T1部件</v>
          </cell>
          <cell r="J23">
            <v>2</v>
          </cell>
          <cell r="K23">
            <v>6.5699250518258603E-2</v>
          </cell>
        </row>
        <row r="24">
          <cell r="I24" t="str">
            <v>T1部件</v>
          </cell>
          <cell r="J24">
            <v>2</v>
          </cell>
          <cell r="K24">
            <v>6.5699250518258603E-2</v>
          </cell>
        </row>
        <row r="25">
          <cell r="I25" t="str">
            <v>T1部件</v>
          </cell>
          <cell r="J25">
            <v>2</v>
          </cell>
          <cell r="K25">
            <v>6.5699250518258603E-2</v>
          </cell>
        </row>
        <row r="26">
          <cell r="I26" t="str">
            <v>T1部件</v>
          </cell>
          <cell r="J26">
            <v>2</v>
          </cell>
          <cell r="K26">
            <v>6.5699250518258603E-2</v>
          </cell>
        </row>
        <row r="27">
          <cell r="I27" t="str">
            <v>T1部件</v>
          </cell>
          <cell r="J27">
            <v>2</v>
          </cell>
          <cell r="K27">
            <v>6.5699250518258603E-2</v>
          </cell>
        </row>
        <row r="28">
          <cell r="I28" t="str">
            <v>T1部件</v>
          </cell>
          <cell r="J28">
            <v>2</v>
          </cell>
          <cell r="K28">
            <v>6.5699250518258603E-2</v>
          </cell>
        </row>
        <row r="29">
          <cell r="I29" t="str">
            <v>T1部件</v>
          </cell>
          <cell r="J29">
            <v>2</v>
          </cell>
          <cell r="K29">
            <v>6.5699250518258603E-2</v>
          </cell>
        </row>
        <row r="30">
          <cell r="I30" t="str">
            <v>T1部件</v>
          </cell>
          <cell r="J30">
            <v>2</v>
          </cell>
          <cell r="K30">
            <v>6.5699250518258603E-2</v>
          </cell>
        </row>
        <row r="31">
          <cell r="I31" t="str">
            <v>T1部件</v>
          </cell>
          <cell r="J31">
            <v>2</v>
          </cell>
          <cell r="K31">
            <v>6.5699250518258603E-2</v>
          </cell>
        </row>
        <row r="32">
          <cell r="I32" t="str">
            <v>T1部件</v>
          </cell>
          <cell r="J32">
            <v>2</v>
          </cell>
          <cell r="K32">
            <v>6.5699250518258603E-2</v>
          </cell>
        </row>
        <row r="33">
          <cell r="I33" t="str">
            <v>T1部件</v>
          </cell>
          <cell r="J33">
            <v>2</v>
          </cell>
          <cell r="K33">
            <v>6.5699250518258603E-2</v>
          </cell>
        </row>
        <row r="34">
          <cell r="I34" t="str">
            <v>T1部件</v>
          </cell>
          <cell r="J34">
            <v>2</v>
          </cell>
          <cell r="K34">
            <v>6.5699250518258603E-2</v>
          </cell>
        </row>
        <row r="35">
          <cell r="I35" t="str">
            <v>T1部件</v>
          </cell>
          <cell r="J35">
            <v>2</v>
          </cell>
          <cell r="K35">
            <v>6.5699250518258603E-2</v>
          </cell>
        </row>
        <row r="36">
          <cell r="I36" t="str">
            <v>T1部件</v>
          </cell>
          <cell r="J36">
            <v>2</v>
          </cell>
          <cell r="K36">
            <v>6.5699250518258603E-2</v>
          </cell>
        </row>
        <row r="37">
          <cell r="I37" t="str">
            <v>T1部件</v>
          </cell>
          <cell r="J37">
            <v>2</v>
          </cell>
          <cell r="K37">
            <v>6.9845319725721597E-2</v>
          </cell>
        </row>
        <row r="38">
          <cell r="I38" t="str">
            <v>T1碎片</v>
          </cell>
          <cell r="J38">
            <v>3</v>
          </cell>
          <cell r="K38">
            <v>0.34547410481020402</v>
          </cell>
        </row>
        <row r="39">
          <cell r="I39" t="str">
            <v>T1碎片</v>
          </cell>
          <cell r="J39">
            <v>3</v>
          </cell>
          <cell r="K39">
            <v>0.34547410481020402</v>
          </cell>
        </row>
        <row r="40">
          <cell r="I40" t="str">
            <v>T1碎片</v>
          </cell>
          <cell r="J40">
            <v>3</v>
          </cell>
          <cell r="K40">
            <v>0.34547410481020402</v>
          </cell>
        </row>
        <row r="41">
          <cell r="I41" t="str">
            <v>T2碎片</v>
          </cell>
          <cell r="J41">
            <v>3</v>
          </cell>
          <cell r="K41">
            <v>0.20162901490702301</v>
          </cell>
        </row>
        <row r="42">
          <cell r="I42" t="str">
            <v>T2碎片</v>
          </cell>
          <cell r="J42">
            <v>3</v>
          </cell>
          <cell r="K42">
            <v>0.20162901490702301</v>
          </cell>
        </row>
        <row r="43">
          <cell r="I43" t="str">
            <v>T2碎片</v>
          </cell>
          <cell r="J43">
            <v>3</v>
          </cell>
          <cell r="K43">
            <v>0.20162901490702301</v>
          </cell>
        </row>
        <row r="44">
          <cell r="I44" t="str">
            <v>T2碎片</v>
          </cell>
          <cell r="J44">
            <v>3</v>
          </cell>
          <cell r="K44">
            <v>0.14230828338712201</v>
          </cell>
        </row>
        <row r="45">
          <cell r="I45" t="str">
            <v>T2碎片</v>
          </cell>
          <cell r="J45">
            <v>3</v>
          </cell>
          <cell r="K45">
            <v>0.14230828338712201</v>
          </cell>
        </row>
        <row r="46">
          <cell r="I46" t="str">
            <v>T2碎片</v>
          </cell>
          <cell r="J46">
            <v>3</v>
          </cell>
          <cell r="K46">
            <v>0.14230828338712201</v>
          </cell>
        </row>
        <row r="47">
          <cell r="I47" t="str">
            <v>T1部件</v>
          </cell>
          <cell r="J47">
            <v>3</v>
          </cell>
          <cell r="K47">
            <v>4.4567388965729197E-2</v>
          </cell>
        </row>
        <row r="48">
          <cell r="I48" t="str">
            <v>T1部件</v>
          </cell>
          <cell r="J48">
            <v>3</v>
          </cell>
          <cell r="K48">
            <v>4.4567388965729197E-2</v>
          </cell>
        </row>
        <row r="49">
          <cell r="I49" t="str">
            <v>T1部件</v>
          </cell>
          <cell r="J49">
            <v>3</v>
          </cell>
          <cell r="K49">
            <v>4.4567388965729197E-2</v>
          </cell>
        </row>
        <row r="50">
          <cell r="I50" t="str">
            <v>T1部件</v>
          </cell>
          <cell r="J50">
            <v>3</v>
          </cell>
          <cell r="K50">
            <v>4.4567388965729197E-2</v>
          </cell>
        </row>
        <row r="51">
          <cell r="I51" t="str">
            <v>T1部件</v>
          </cell>
          <cell r="J51">
            <v>3</v>
          </cell>
          <cell r="K51">
            <v>4.4567388965729197E-2</v>
          </cell>
        </row>
        <row r="52">
          <cell r="I52" t="str">
            <v>T1部件</v>
          </cell>
          <cell r="J52">
            <v>3</v>
          </cell>
          <cell r="K52">
            <v>4.4567388965729197E-2</v>
          </cell>
        </row>
        <row r="53">
          <cell r="I53" t="str">
            <v>T1部件</v>
          </cell>
          <cell r="J53">
            <v>3</v>
          </cell>
          <cell r="K53">
            <v>4.4567388965729197E-2</v>
          </cell>
        </row>
        <row r="54">
          <cell r="I54" t="str">
            <v>T1部件</v>
          </cell>
          <cell r="J54">
            <v>3</v>
          </cell>
          <cell r="K54">
            <v>4.4567388965729197E-2</v>
          </cell>
        </row>
        <row r="55">
          <cell r="I55" t="str">
            <v>T1部件</v>
          </cell>
          <cell r="J55">
            <v>3</v>
          </cell>
          <cell r="K55">
            <v>4.4567388965729197E-2</v>
          </cell>
        </row>
        <row r="56">
          <cell r="I56" t="str">
            <v>T1部件</v>
          </cell>
          <cell r="J56">
            <v>3</v>
          </cell>
          <cell r="K56">
            <v>4.4567388965729197E-2</v>
          </cell>
        </row>
        <row r="57">
          <cell r="I57" t="str">
            <v>T1部件</v>
          </cell>
          <cell r="J57">
            <v>3</v>
          </cell>
          <cell r="K57">
            <v>4.4567388965729197E-2</v>
          </cell>
        </row>
        <row r="58">
          <cell r="I58" t="str">
            <v>T1部件</v>
          </cell>
          <cell r="J58">
            <v>3</v>
          </cell>
          <cell r="K58">
            <v>4.4567388965729197E-2</v>
          </cell>
        </row>
        <row r="59">
          <cell r="I59" t="str">
            <v>T1部件</v>
          </cell>
          <cell r="J59">
            <v>3</v>
          </cell>
          <cell r="K59">
            <v>4.4567388965729197E-2</v>
          </cell>
        </row>
        <row r="60">
          <cell r="I60" t="str">
            <v>T1部件</v>
          </cell>
          <cell r="J60">
            <v>3</v>
          </cell>
          <cell r="K60">
            <v>4.4567388965729197E-2</v>
          </cell>
        </row>
        <row r="61">
          <cell r="I61" t="str">
            <v>T1部件</v>
          </cell>
          <cell r="J61">
            <v>3</v>
          </cell>
          <cell r="K61">
            <v>4.4567388965729197E-2</v>
          </cell>
        </row>
        <row r="62">
          <cell r="I62" t="str">
            <v>T1部件</v>
          </cell>
          <cell r="J62">
            <v>3</v>
          </cell>
          <cell r="K62">
            <v>4.4567388965729197E-2</v>
          </cell>
        </row>
        <row r="63">
          <cell r="I63" t="str">
            <v>T1部件</v>
          </cell>
          <cell r="J63">
            <v>3</v>
          </cell>
          <cell r="K63">
            <v>4.4567388965729197E-2</v>
          </cell>
        </row>
        <row r="64">
          <cell r="I64" t="str">
            <v>T1部件</v>
          </cell>
          <cell r="J64">
            <v>3</v>
          </cell>
          <cell r="K64">
            <v>4.4567388965729197E-2</v>
          </cell>
        </row>
        <row r="65">
          <cell r="I65" t="str">
            <v>T2部件</v>
          </cell>
          <cell r="J65">
            <v>3</v>
          </cell>
          <cell r="K65">
            <v>2.3052097740894398E-2</v>
          </cell>
        </row>
        <row r="66">
          <cell r="I66" t="str">
            <v>T2部件</v>
          </cell>
          <cell r="J66">
            <v>3</v>
          </cell>
          <cell r="K66">
            <v>2.3052097740894398E-2</v>
          </cell>
        </row>
        <row r="67">
          <cell r="I67" t="str">
            <v>T2部件</v>
          </cell>
          <cell r="J67">
            <v>3</v>
          </cell>
          <cell r="K67">
            <v>2.3052097740894398E-2</v>
          </cell>
        </row>
        <row r="68">
          <cell r="I68" t="str">
            <v>T2部件</v>
          </cell>
          <cell r="J68">
            <v>3</v>
          </cell>
          <cell r="K68">
            <v>2.3052097740894398E-2</v>
          </cell>
        </row>
        <row r="69">
          <cell r="I69" t="str">
            <v>T2部件</v>
          </cell>
          <cell r="J69">
            <v>3</v>
          </cell>
          <cell r="K69">
            <v>2.3052097740894398E-2</v>
          </cell>
        </row>
        <row r="70">
          <cell r="I70" t="str">
            <v>T2部件</v>
          </cell>
          <cell r="J70">
            <v>3</v>
          </cell>
          <cell r="K70">
            <v>2.3052097740894398E-2</v>
          </cell>
        </row>
        <row r="71">
          <cell r="I71" t="str">
            <v>T2部件</v>
          </cell>
          <cell r="J71">
            <v>3</v>
          </cell>
          <cell r="K71">
            <v>2.3052097740894398E-2</v>
          </cell>
        </row>
        <row r="72">
          <cell r="I72" t="str">
            <v>T2部件</v>
          </cell>
          <cell r="J72">
            <v>3</v>
          </cell>
          <cell r="K72">
            <v>2.3052097740894398E-2</v>
          </cell>
        </row>
        <row r="73">
          <cell r="I73" t="str">
            <v>T2部件</v>
          </cell>
          <cell r="J73">
            <v>3</v>
          </cell>
          <cell r="K73">
            <v>2.4896265560166001E-2</v>
          </cell>
        </row>
        <row r="74">
          <cell r="I74" t="str">
            <v>T1碎片</v>
          </cell>
          <cell r="J74">
            <v>4</v>
          </cell>
          <cell r="K74">
            <v>0.34657039711191301</v>
          </cell>
        </row>
        <row r="75">
          <cell r="I75" t="str">
            <v>T1碎片</v>
          </cell>
          <cell r="J75">
            <v>4</v>
          </cell>
          <cell r="K75">
            <v>0.34657039711191301</v>
          </cell>
        </row>
        <row r="76">
          <cell r="I76" t="str">
            <v>T1碎片</v>
          </cell>
          <cell r="J76">
            <v>4</v>
          </cell>
          <cell r="K76">
            <v>0.34657039711191301</v>
          </cell>
        </row>
        <row r="77">
          <cell r="I77" t="str">
            <v>T2碎片</v>
          </cell>
          <cell r="J77">
            <v>4</v>
          </cell>
          <cell r="K77">
            <v>0.38483754512635399</v>
          </cell>
        </row>
        <row r="78">
          <cell r="I78" t="str">
            <v>T2碎片</v>
          </cell>
          <cell r="J78">
            <v>4</v>
          </cell>
          <cell r="K78">
            <v>0.38483754512635399</v>
          </cell>
        </row>
        <row r="79">
          <cell r="I79" t="str">
            <v>T2碎片</v>
          </cell>
          <cell r="J79">
            <v>4</v>
          </cell>
          <cell r="K79">
            <v>0.38483754512635399</v>
          </cell>
        </row>
        <row r="80">
          <cell r="I80" t="str">
            <v>T2碎片</v>
          </cell>
          <cell r="J80">
            <v>4</v>
          </cell>
          <cell r="K80">
            <v>0.153357400722022</v>
          </cell>
        </row>
        <row r="81">
          <cell r="I81" t="str">
            <v>T2碎片</v>
          </cell>
          <cell r="J81">
            <v>4</v>
          </cell>
          <cell r="K81">
            <v>0.153357400722022</v>
          </cell>
        </row>
        <row r="82">
          <cell r="I82" t="str">
            <v>T2碎片</v>
          </cell>
          <cell r="J82">
            <v>4</v>
          </cell>
          <cell r="K82">
            <v>0.153357400722022</v>
          </cell>
        </row>
        <row r="83">
          <cell r="I83" t="str">
            <v>T1部件</v>
          </cell>
          <cell r="J83">
            <v>4</v>
          </cell>
          <cell r="K83">
            <v>3.3212996389891697E-2</v>
          </cell>
        </row>
        <row r="84">
          <cell r="I84" t="str">
            <v>T1部件</v>
          </cell>
          <cell r="J84">
            <v>4</v>
          </cell>
          <cell r="K84">
            <v>3.3212996389891697E-2</v>
          </cell>
        </row>
        <row r="85">
          <cell r="I85" t="str">
            <v>T1部件</v>
          </cell>
          <cell r="J85">
            <v>4</v>
          </cell>
          <cell r="K85">
            <v>3.3212996389891697E-2</v>
          </cell>
        </row>
        <row r="86">
          <cell r="I86" t="str">
            <v>T1部件</v>
          </cell>
          <cell r="J86">
            <v>4</v>
          </cell>
          <cell r="K86">
            <v>3.3212996389891697E-2</v>
          </cell>
        </row>
        <row r="87">
          <cell r="I87" t="str">
            <v>T1部件</v>
          </cell>
          <cell r="J87">
            <v>4</v>
          </cell>
          <cell r="K87">
            <v>3.3212996389891697E-2</v>
          </cell>
        </row>
        <row r="88">
          <cell r="I88" t="str">
            <v>T1部件</v>
          </cell>
          <cell r="J88">
            <v>4</v>
          </cell>
          <cell r="K88">
            <v>3.3212996389891697E-2</v>
          </cell>
        </row>
        <row r="89">
          <cell r="I89" t="str">
            <v>T1部件</v>
          </cell>
          <cell r="J89">
            <v>4</v>
          </cell>
          <cell r="K89">
            <v>3.3212996389891697E-2</v>
          </cell>
        </row>
        <row r="90">
          <cell r="I90" t="str">
            <v>T1部件</v>
          </cell>
          <cell r="J90">
            <v>4</v>
          </cell>
          <cell r="K90">
            <v>3.3212996389891697E-2</v>
          </cell>
        </row>
        <row r="91">
          <cell r="I91" t="str">
            <v>T1部件</v>
          </cell>
          <cell r="J91">
            <v>4</v>
          </cell>
          <cell r="K91">
            <v>3.3212996389891697E-2</v>
          </cell>
        </row>
        <row r="92">
          <cell r="I92" t="str">
            <v>T1部件</v>
          </cell>
          <cell r="J92">
            <v>4</v>
          </cell>
          <cell r="K92">
            <v>3.3212996389891697E-2</v>
          </cell>
        </row>
        <row r="93">
          <cell r="I93" t="str">
            <v>T1部件</v>
          </cell>
          <cell r="J93">
            <v>4</v>
          </cell>
          <cell r="K93">
            <v>3.3212996389891697E-2</v>
          </cell>
        </row>
        <row r="94">
          <cell r="I94" t="str">
            <v>T1部件</v>
          </cell>
          <cell r="J94">
            <v>4</v>
          </cell>
          <cell r="K94">
            <v>3.3212996389891697E-2</v>
          </cell>
        </row>
        <row r="95">
          <cell r="I95" t="str">
            <v>T1部件</v>
          </cell>
          <cell r="J95">
            <v>4</v>
          </cell>
          <cell r="K95">
            <v>3.3212996389891697E-2</v>
          </cell>
        </row>
        <row r="96">
          <cell r="I96" t="str">
            <v>T1部件</v>
          </cell>
          <cell r="J96">
            <v>4</v>
          </cell>
          <cell r="K96">
            <v>3.3212996389891697E-2</v>
          </cell>
        </row>
        <row r="97">
          <cell r="I97" t="str">
            <v>T1部件</v>
          </cell>
          <cell r="J97">
            <v>4</v>
          </cell>
          <cell r="K97">
            <v>3.3212996389891697E-2</v>
          </cell>
        </row>
        <row r="98">
          <cell r="I98" t="str">
            <v>T1部件</v>
          </cell>
          <cell r="J98">
            <v>4</v>
          </cell>
          <cell r="K98">
            <v>3.3212996389891697E-2</v>
          </cell>
        </row>
        <row r="99">
          <cell r="I99" t="str">
            <v>T1部件</v>
          </cell>
          <cell r="J99">
            <v>4</v>
          </cell>
          <cell r="K99">
            <v>3.3212996389891697E-2</v>
          </cell>
        </row>
        <row r="100">
          <cell r="I100" t="str">
            <v>T1部件</v>
          </cell>
          <cell r="J100">
            <v>4</v>
          </cell>
          <cell r="K100">
            <v>3.3212996389891697E-2</v>
          </cell>
        </row>
        <row r="101">
          <cell r="I101" t="str">
            <v>T2部件</v>
          </cell>
          <cell r="J101">
            <v>4</v>
          </cell>
          <cell r="K101">
            <v>1.6750902527075801E-2</v>
          </cell>
        </row>
        <row r="102">
          <cell r="I102" t="str">
            <v>T2部件</v>
          </cell>
          <cell r="J102">
            <v>4</v>
          </cell>
          <cell r="K102">
            <v>1.6750902527075801E-2</v>
          </cell>
        </row>
        <row r="103">
          <cell r="I103" t="str">
            <v>T2部件</v>
          </cell>
          <cell r="J103">
            <v>4</v>
          </cell>
          <cell r="K103">
            <v>1.6750902527075801E-2</v>
          </cell>
        </row>
        <row r="104">
          <cell r="I104" t="str">
            <v>T2部件</v>
          </cell>
          <cell r="J104">
            <v>4</v>
          </cell>
          <cell r="K104">
            <v>1.6750902527075801E-2</v>
          </cell>
        </row>
        <row r="105">
          <cell r="I105" t="str">
            <v>T2部件</v>
          </cell>
          <cell r="J105">
            <v>4</v>
          </cell>
          <cell r="K105">
            <v>1.6750902527075801E-2</v>
          </cell>
        </row>
        <row r="106">
          <cell r="I106" t="str">
            <v>T2部件</v>
          </cell>
          <cell r="J106">
            <v>4</v>
          </cell>
          <cell r="K106">
            <v>1.6750902527075801E-2</v>
          </cell>
        </row>
        <row r="107">
          <cell r="I107" t="str">
            <v>T2部件</v>
          </cell>
          <cell r="J107">
            <v>4</v>
          </cell>
          <cell r="K107">
            <v>1.6750902527075801E-2</v>
          </cell>
        </row>
        <row r="108">
          <cell r="I108" t="str">
            <v>T2部件</v>
          </cell>
          <cell r="J108">
            <v>4</v>
          </cell>
          <cell r="K108">
            <v>1.6750902527075801E-2</v>
          </cell>
        </row>
        <row r="109">
          <cell r="I109" t="str">
            <v>T2部件</v>
          </cell>
          <cell r="J109">
            <v>4</v>
          </cell>
          <cell r="K109">
            <v>1.6750902527075801E-2</v>
          </cell>
        </row>
        <row r="110">
          <cell r="I110" t="str">
            <v>T2部件</v>
          </cell>
          <cell r="J110">
            <v>4</v>
          </cell>
          <cell r="K110">
            <v>1.6750902527075801E-2</v>
          </cell>
        </row>
        <row r="111">
          <cell r="I111" t="str">
            <v>T2部件</v>
          </cell>
          <cell r="J111">
            <v>4</v>
          </cell>
          <cell r="K111">
            <v>1.6750902527075801E-2</v>
          </cell>
        </row>
        <row r="112">
          <cell r="I112" t="str">
            <v>T2部件</v>
          </cell>
          <cell r="J112">
            <v>4</v>
          </cell>
          <cell r="K112">
            <v>1.6750902527075801E-2</v>
          </cell>
        </row>
        <row r="113">
          <cell r="I113" t="str">
            <v>T2部件</v>
          </cell>
          <cell r="J113">
            <v>4</v>
          </cell>
          <cell r="K113">
            <v>1.6750902527075801E-2</v>
          </cell>
        </row>
        <row r="114">
          <cell r="I114" t="str">
            <v>T2部件</v>
          </cell>
          <cell r="J114">
            <v>4</v>
          </cell>
          <cell r="K114">
            <v>1.6750902527075801E-2</v>
          </cell>
        </row>
        <row r="115">
          <cell r="I115" t="str">
            <v>T2部件</v>
          </cell>
          <cell r="J115">
            <v>4</v>
          </cell>
          <cell r="K115">
            <v>1.6750902527075801E-2</v>
          </cell>
        </row>
        <row r="116">
          <cell r="I116" t="str">
            <v>T2部件</v>
          </cell>
          <cell r="J116">
            <v>4</v>
          </cell>
          <cell r="K116">
            <v>1.6750902527075801E-2</v>
          </cell>
        </row>
        <row r="117">
          <cell r="I117" t="str">
            <v>T2部件</v>
          </cell>
          <cell r="J117">
            <v>4</v>
          </cell>
          <cell r="K117">
            <v>1.6750902527075801E-2</v>
          </cell>
        </row>
        <row r="118">
          <cell r="I118" t="str">
            <v>T2部件</v>
          </cell>
          <cell r="J118">
            <v>4</v>
          </cell>
          <cell r="K118">
            <v>2.2238267148014398E-2</v>
          </cell>
        </row>
        <row r="119">
          <cell r="I119" t="str">
            <v>T1碎片</v>
          </cell>
          <cell r="J119">
            <v>5</v>
          </cell>
          <cell r="K119">
            <v>0.29189978107516401</v>
          </cell>
        </row>
        <row r="120">
          <cell r="I120" t="str">
            <v>T1碎片</v>
          </cell>
          <cell r="J120">
            <v>5</v>
          </cell>
          <cell r="K120">
            <v>0.29189978107516401</v>
          </cell>
        </row>
        <row r="121">
          <cell r="I121" t="str">
            <v>T1碎片</v>
          </cell>
          <cell r="J121">
            <v>5</v>
          </cell>
          <cell r="K121">
            <v>0.29189978107516401</v>
          </cell>
        </row>
        <row r="122">
          <cell r="I122" t="str">
            <v>T2碎片</v>
          </cell>
          <cell r="J122">
            <v>5</v>
          </cell>
          <cell r="K122">
            <v>0.18353198735100901</v>
          </cell>
        </row>
        <row r="123">
          <cell r="I123" t="str">
            <v>T2碎片</v>
          </cell>
          <cell r="J123">
            <v>5</v>
          </cell>
          <cell r="K123">
            <v>0.18353198735100901</v>
          </cell>
        </row>
        <row r="124">
          <cell r="I124" t="str">
            <v>T2碎片</v>
          </cell>
          <cell r="J124">
            <v>5</v>
          </cell>
          <cell r="K124">
            <v>0.18353198735100901</v>
          </cell>
        </row>
        <row r="125">
          <cell r="I125" t="str">
            <v>T3碎片</v>
          </cell>
          <cell r="J125">
            <v>5</v>
          </cell>
          <cell r="K125">
            <v>0.16395037703721699</v>
          </cell>
        </row>
        <row r="126">
          <cell r="I126" t="str">
            <v>T3碎片</v>
          </cell>
          <cell r="J126">
            <v>5</v>
          </cell>
          <cell r="K126">
            <v>0.16395037703721699</v>
          </cell>
        </row>
        <row r="127">
          <cell r="I127" t="str">
            <v>T3碎片</v>
          </cell>
          <cell r="J127">
            <v>5</v>
          </cell>
          <cell r="K127">
            <v>0.16395037703721699</v>
          </cell>
        </row>
        <row r="128">
          <cell r="I128" t="str">
            <v>T3碎片</v>
          </cell>
          <cell r="J128">
            <v>5</v>
          </cell>
          <cell r="K128">
            <v>6.4461201654098799E-2</v>
          </cell>
        </row>
        <row r="129">
          <cell r="I129" t="str">
            <v>T3碎片</v>
          </cell>
          <cell r="J129">
            <v>5</v>
          </cell>
          <cell r="K129">
            <v>6.4461201654098799E-2</v>
          </cell>
        </row>
        <row r="130">
          <cell r="I130" t="str">
            <v>T3碎片</v>
          </cell>
          <cell r="J130">
            <v>5</v>
          </cell>
          <cell r="K130">
            <v>6.4461201654098799E-2</v>
          </cell>
        </row>
        <row r="131">
          <cell r="I131" t="str">
            <v>T1部件</v>
          </cell>
          <cell r="J131">
            <v>5</v>
          </cell>
          <cell r="K131">
            <v>2.9676477742641701E-2</v>
          </cell>
        </row>
        <row r="132">
          <cell r="I132" t="str">
            <v>T1部件</v>
          </cell>
          <cell r="J132">
            <v>5</v>
          </cell>
          <cell r="K132">
            <v>2.9676477742641701E-2</v>
          </cell>
        </row>
        <row r="133">
          <cell r="I133" t="str">
            <v>T1部件</v>
          </cell>
          <cell r="J133">
            <v>5</v>
          </cell>
          <cell r="K133">
            <v>2.9676477742641701E-2</v>
          </cell>
        </row>
        <row r="134">
          <cell r="I134" t="str">
            <v>T1部件</v>
          </cell>
          <cell r="J134">
            <v>5</v>
          </cell>
          <cell r="K134">
            <v>2.9676477742641701E-2</v>
          </cell>
        </row>
        <row r="135">
          <cell r="I135" t="str">
            <v>T1部件</v>
          </cell>
          <cell r="J135">
            <v>5</v>
          </cell>
          <cell r="K135">
            <v>2.9676477742641701E-2</v>
          </cell>
        </row>
        <row r="136">
          <cell r="I136" t="str">
            <v>T1部件</v>
          </cell>
          <cell r="J136">
            <v>5</v>
          </cell>
          <cell r="K136">
            <v>2.9676477742641701E-2</v>
          </cell>
        </row>
        <row r="137">
          <cell r="I137" t="str">
            <v>T1部件</v>
          </cell>
          <cell r="J137">
            <v>5</v>
          </cell>
          <cell r="K137">
            <v>2.9676477742641701E-2</v>
          </cell>
        </row>
        <row r="138">
          <cell r="I138" t="str">
            <v>T1部件</v>
          </cell>
          <cell r="J138">
            <v>5</v>
          </cell>
          <cell r="K138">
            <v>2.9676477742641701E-2</v>
          </cell>
        </row>
        <row r="139">
          <cell r="I139" t="str">
            <v>T1部件</v>
          </cell>
          <cell r="J139">
            <v>5</v>
          </cell>
          <cell r="K139">
            <v>2.9676477742641701E-2</v>
          </cell>
        </row>
        <row r="140">
          <cell r="I140" t="str">
            <v>T1部件</v>
          </cell>
          <cell r="J140">
            <v>5</v>
          </cell>
          <cell r="K140">
            <v>2.9676477742641701E-2</v>
          </cell>
        </row>
        <row r="141">
          <cell r="I141" t="str">
            <v>T1部件</v>
          </cell>
          <cell r="J141">
            <v>5</v>
          </cell>
          <cell r="K141">
            <v>2.9676477742641701E-2</v>
          </cell>
        </row>
        <row r="142">
          <cell r="I142" t="str">
            <v>T1部件</v>
          </cell>
          <cell r="J142">
            <v>5</v>
          </cell>
          <cell r="K142">
            <v>2.9676477742641701E-2</v>
          </cell>
        </row>
        <row r="143">
          <cell r="I143" t="str">
            <v>T1部件</v>
          </cell>
          <cell r="J143">
            <v>5</v>
          </cell>
          <cell r="K143">
            <v>2.9676477742641701E-2</v>
          </cell>
        </row>
        <row r="144">
          <cell r="I144" t="str">
            <v>T1部件</v>
          </cell>
          <cell r="J144">
            <v>5</v>
          </cell>
          <cell r="K144">
            <v>2.9676477742641701E-2</v>
          </cell>
        </row>
        <row r="145">
          <cell r="I145" t="str">
            <v>T1部件</v>
          </cell>
          <cell r="J145">
            <v>5</v>
          </cell>
          <cell r="K145">
            <v>2.9676477742641701E-2</v>
          </cell>
        </row>
        <row r="146">
          <cell r="I146" t="str">
            <v>T1部件</v>
          </cell>
          <cell r="J146">
            <v>5</v>
          </cell>
          <cell r="K146">
            <v>2.9676477742641701E-2</v>
          </cell>
        </row>
        <row r="147">
          <cell r="I147" t="str">
            <v>T1部件</v>
          </cell>
          <cell r="J147">
            <v>5</v>
          </cell>
          <cell r="K147">
            <v>2.9676477742641701E-2</v>
          </cell>
        </row>
        <row r="148">
          <cell r="I148" t="str">
            <v>T1部件</v>
          </cell>
          <cell r="J148">
            <v>5</v>
          </cell>
          <cell r="K148">
            <v>2.9676477742641701E-2</v>
          </cell>
        </row>
        <row r="149">
          <cell r="I149" t="str">
            <v>T2部件</v>
          </cell>
          <cell r="J149">
            <v>5</v>
          </cell>
          <cell r="K149">
            <v>1.45949890537582E-2</v>
          </cell>
        </row>
        <row r="150">
          <cell r="I150" t="str">
            <v>T2部件</v>
          </cell>
          <cell r="J150">
            <v>5</v>
          </cell>
          <cell r="K150">
            <v>1.45949890537582E-2</v>
          </cell>
        </row>
        <row r="151">
          <cell r="I151" t="str">
            <v>T2部件</v>
          </cell>
          <cell r="J151">
            <v>5</v>
          </cell>
          <cell r="K151">
            <v>1.45949890537582E-2</v>
          </cell>
        </row>
        <row r="152">
          <cell r="I152" t="str">
            <v>T2部件</v>
          </cell>
          <cell r="J152">
            <v>5</v>
          </cell>
          <cell r="K152">
            <v>1.45949890537582E-2</v>
          </cell>
        </row>
        <row r="153">
          <cell r="I153" t="str">
            <v>T2部件</v>
          </cell>
          <cell r="J153">
            <v>5</v>
          </cell>
          <cell r="K153">
            <v>1.45949890537582E-2</v>
          </cell>
        </row>
        <row r="154">
          <cell r="I154" t="str">
            <v>T2部件</v>
          </cell>
          <cell r="J154">
            <v>5</v>
          </cell>
          <cell r="K154">
            <v>1.45949890537582E-2</v>
          </cell>
        </row>
        <row r="155">
          <cell r="I155" t="str">
            <v>T2部件</v>
          </cell>
          <cell r="J155">
            <v>5</v>
          </cell>
          <cell r="K155">
            <v>1.45949890537582E-2</v>
          </cell>
        </row>
        <row r="156">
          <cell r="I156" t="str">
            <v>T2部件</v>
          </cell>
          <cell r="J156">
            <v>5</v>
          </cell>
          <cell r="K156">
            <v>1.45949890537582E-2</v>
          </cell>
        </row>
        <row r="157">
          <cell r="I157" t="str">
            <v>T2部件</v>
          </cell>
          <cell r="J157">
            <v>5</v>
          </cell>
          <cell r="K157">
            <v>1.45949890537582E-2</v>
          </cell>
        </row>
        <row r="158">
          <cell r="I158" t="str">
            <v>T2部件</v>
          </cell>
          <cell r="J158">
            <v>5</v>
          </cell>
          <cell r="K158">
            <v>1.45949890537582E-2</v>
          </cell>
        </row>
        <row r="159">
          <cell r="I159" t="str">
            <v>T2部件</v>
          </cell>
          <cell r="J159">
            <v>5</v>
          </cell>
          <cell r="K159">
            <v>1.45949890537582E-2</v>
          </cell>
        </row>
        <row r="160">
          <cell r="I160" t="str">
            <v>T2部件</v>
          </cell>
          <cell r="J160">
            <v>5</v>
          </cell>
          <cell r="K160">
            <v>1.45949890537582E-2</v>
          </cell>
        </row>
        <row r="161">
          <cell r="I161" t="str">
            <v>T2部件</v>
          </cell>
          <cell r="J161">
            <v>5</v>
          </cell>
          <cell r="K161">
            <v>1.45949890537582E-2</v>
          </cell>
        </row>
        <row r="162">
          <cell r="I162" t="str">
            <v>T2部件</v>
          </cell>
          <cell r="J162">
            <v>5</v>
          </cell>
          <cell r="K162">
            <v>1.45949890537582E-2</v>
          </cell>
        </row>
        <row r="163">
          <cell r="I163" t="str">
            <v>T2部件</v>
          </cell>
          <cell r="J163">
            <v>5</v>
          </cell>
          <cell r="K163">
            <v>1.45949890537582E-2</v>
          </cell>
        </row>
        <row r="164">
          <cell r="I164" t="str">
            <v>T2部件</v>
          </cell>
          <cell r="J164">
            <v>5</v>
          </cell>
          <cell r="K164">
            <v>1.45949890537582E-2</v>
          </cell>
        </row>
        <row r="165">
          <cell r="I165" t="str">
            <v>T2部件</v>
          </cell>
          <cell r="J165">
            <v>5</v>
          </cell>
          <cell r="K165">
            <v>1.45949890537582E-2</v>
          </cell>
        </row>
        <row r="166">
          <cell r="I166" t="str">
            <v>T2部件</v>
          </cell>
          <cell r="J166">
            <v>5</v>
          </cell>
          <cell r="K166">
            <v>1.9459985405010899E-2</v>
          </cell>
        </row>
        <row r="167">
          <cell r="I167" t="str">
            <v>T1碎片</v>
          </cell>
          <cell r="J167">
            <v>6</v>
          </cell>
          <cell r="K167">
            <v>0.28660138524002898</v>
          </cell>
        </row>
        <row r="168">
          <cell r="I168" t="str">
            <v>T1碎片</v>
          </cell>
          <cell r="J168">
            <v>6</v>
          </cell>
          <cell r="K168">
            <v>0.28660138524002898</v>
          </cell>
        </row>
        <row r="169">
          <cell r="I169" t="str">
            <v>T1碎片</v>
          </cell>
          <cell r="J169">
            <v>6</v>
          </cell>
          <cell r="K169">
            <v>0.28660138524002898</v>
          </cell>
        </row>
        <row r="170">
          <cell r="I170" t="str">
            <v>T2碎片</v>
          </cell>
          <cell r="J170">
            <v>6</v>
          </cell>
          <cell r="K170">
            <v>0.150823978982565</v>
          </cell>
        </row>
        <row r="171">
          <cell r="I171" t="str">
            <v>T2碎片</v>
          </cell>
          <cell r="J171">
            <v>6</v>
          </cell>
          <cell r="K171">
            <v>0.150823978982565</v>
          </cell>
        </row>
        <row r="172">
          <cell r="I172" t="str">
            <v>T2碎片</v>
          </cell>
          <cell r="J172">
            <v>6</v>
          </cell>
          <cell r="K172">
            <v>0.150823978982565</v>
          </cell>
        </row>
        <row r="173">
          <cell r="I173" t="str">
            <v>T3碎片</v>
          </cell>
          <cell r="J173">
            <v>6</v>
          </cell>
          <cell r="K173">
            <v>0.17124432768091699</v>
          </cell>
        </row>
        <row r="174">
          <cell r="I174" t="str">
            <v>T3碎片</v>
          </cell>
          <cell r="J174">
            <v>6</v>
          </cell>
          <cell r="K174">
            <v>0.17124432768091699</v>
          </cell>
        </row>
        <row r="175">
          <cell r="I175" t="str">
            <v>T3碎片</v>
          </cell>
          <cell r="J175">
            <v>6</v>
          </cell>
          <cell r="K175">
            <v>0.17124432768091699</v>
          </cell>
        </row>
        <row r="176">
          <cell r="I176" t="str">
            <v>T3碎片</v>
          </cell>
          <cell r="J176">
            <v>6</v>
          </cell>
          <cell r="K176">
            <v>0.10532600907571101</v>
          </cell>
        </row>
        <row r="177">
          <cell r="I177" t="str">
            <v>T3碎片</v>
          </cell>
          <cell r="J177">
            <v>6</v>
          </cell>
          <cell r="K177">
            <v>0.10532600907571101</v>
          </cell>
        </row>
        <row r="178">
          <cell r="I178" t="str">
            <v>T3碎片</v>
          </cell>
          <cell r="J178">
            <v>6</v>
          </cell>
          <cell r="K178">
            <v>0.10532600907571101</v>
          </cell>
        </row>
        <row r="179">
          <cell r="I179" t="str">
            <v>T1部件</v>
          </cell>
          <cell r="J179">
            <v>6</v>
          </cell>
          <cell r="K179">
            <v>2.5077621208502501E-2</v>
          </cell>
        </row>
        <row r="180">
          <cell r="I180" t="str">
            <v>T1部件</v>
          </cell>
          <cell r="J180">
            <v>6</v>
          </cell>
          <cell r="K180">
            <v>2.5077621208502501E-2</v>
          </cell>
        </row>
        <row r="181">
          <cell r="I181" t="str">
            <v>T1部件</v>
          </cell>
          <cell r="J181">
            <v>6</v>
          </cell>
          <cell r="K181">
            <v>2.5077621208502501E-2</v>
          </cell>
        </row>
        <row r="182">
          <cell r="I182" t="str">
            <v>T1部件</v>
          </cell>
          <cell r="J182">
            <v>6</v>
          </cell>
          <cell r="K182">
            <v>2.5077621208502501E-2</v>
          </cell>
        </row>
        <row r="183">
          <cell r="I183" t="str">
            <v>T1部件</v>
          </cell>
          <cell r="J183">
            <v>6</v>
          </cell>
          <cell r="K183">
            <v>2.5077621208502501E-2</v>
          </cell>
        </row>
        <row r="184">
          <cell r="I184" t="str">
            <v>T1部件</v>
          </cell>
          <cell r="J184">
            <v>6</v>
          </cell>
          <cell r="K184">
            <v>2.5077621208502501E-2</v>
          </cell>
        </row>
        <row r="185">
          <cell r="I185" t="str">
            <v>T1部件</v>
          </cell>
          <cell r="J185">
            <v>6</v>
          </cell>
          <cell r="K185">
            <v>2.5077621208502501E-2</v>
          </cell>
        </row>
        <row r="186">
          <cell r="I186" t="str">
            <v>T1部件</v>
          </cell>
          <cell r="J186">
            <v>6</v>
          </cell>
          <cell r="K186">
            <v>2.5077621208502501E-2</v>
          </cell>
        </row>
        <row r="187">
          <cell r="I187" t="str">
            <v>T1部件</v>
          </cell>
          <cell r="J187">
            <v>6</v>
          </cell>
          <cell r="K187">
            <v>2.5077621208502501E-2</v>
          </cell>
        </row>
        <row r="188">
          <cell r="I188" t="str">
            <v>T1部件</v>
          </cell>
          <cell r="J188">
            <v>6</v>
          </cell>
          <cell r="K188">
            <v>2.5077621208502501E-2</v>
          </cell>
        </row>
        <row r="189">
          <cell r="I189" t="str">
            <v>T1部件</v>
          </cell>
          <cell r="J189">
            <v>6</v>
          </cell>
          <cell r="K189">
            <v>2.5077621208502501E-2</v>
          </cell>
        </row>
        <row r="190">
          <cell r="I190" t="str">
            <v>T1部件</v>
          </cell>
          <cell r="J190">
            <v>6</v>
          </cell>
          <cell r="K190">
            <v>2.5077621208502501E-2</v>
          </cell>
        </row>
        <row r="191">
          <cell r="I191" t="str">
            <v>T1部件</v>
          </cell>
          <cell r="J191">
            <v>6</v>
          </cell>
          <cell r="K191">
            <v>2.5077621208502501E-2</v>
          </cell>
        </row>
        <row r="192">
          <cell r="I192" t="str">
            <v>T1部件</v>
          </cell>
          <cell r="J192">
            <v>6</v>
          </cell>
          <cell r="K192">
            <v>2.5077621208502501E-2</v>
          </cell>
        </row>
        <row r="193">
          <cell r="I193" t="str">
            <v>T1部件</v>
          </cell>
          <cell r="J193">
            <v>6</v>
          </cell>
          <cell r="K193">
            <v>2.5077621208502501E-2</v>
          </cell>
        </row>
        <row r="194">
          <cell r="I194" t="str">
            <v>T1部件</v>
          </cell>
          <cell r="J194">
            <v>6</v>
          </cell>
          <cell r="K194">
            <v>2.5077621208502501E-2</v>
          </cell>
        </row>
        <row r="195">
          <cell r="I195" t="str">
            <v>T1部件</v>
          </cell>
          <cell r="J195">
            <v>6</v>
          </cell>
          <cell r="K195">
            <v>2.5077621208502501E-2</v>
          </cell>
        </row>
        <row r="196">
          <cell r="I196" t="str">
            <v>T1部件</v>
          </cell>
          <cell r="J196">
            <v>6</v>
          </cell>
          <cell r="K196">
            <v>2.5077621208502501E-2</v>
          </cell>
        </row>
        <row r="197">
          <cell r="I197" t="str">
            <v>T2部件</v>
          </cell>
          <cell r="J197">
            <v>6</v>
          </cell>
          <cell r="K197">
            <v>1.19417243850012E-2</v>
          </cell>
        </row>
        <row r="198">
          <cell r="I198" t="str">
            <v>T2部件</v>
          </cell>
          <cell r="J198">
            <v>6</v>
          </cell>
          <cell r="K198">
            <v>1.19417243850012E-2</v>
          </cell>
        </row>
        <row r="199">
          <cell r="I199" t="str">
            <v>T2部件</v>
          </cell>
          <cell r="J199">
            <v>6</v>
          </cell>
          <cell r="K199">
            <v>1.19417243850012E-2</v>
          </cell>
        </row>
        <row r="200">
          <cell r="I200" t="str">
            <v>T2部件</v>
          </cell>
          <cell r="J200">
            <v>6</v>
          </cell>
          <cell r="K200">
            <v>1.19417243850012E-2</v>
          </cell>
        </row>
        <row r="201">
          <cell r="I201" t="str">
            <v>T2部件</v>
          </cell>
          <cell r="J201">
            <v>6</v>
          </cell>
          <cell r="K201">
            <v>1.19417243850012E-2</v>
          </cell>
        </row>
        <row r="202">
          <cell r="I202" t="str">
            <v>T2部件</v>
          </cell>
          <cell r="J202">
            <v>6</v>
          </cell>
          <cell r="K202">
            <v>1.19417243850012E-2</v>
          </cell>
        </row>
        <row r="203">
          <cell r="I203" t="str">
            <v>T2部件</v>
          </cell>
          <cell r="J203">
            <v>6</v>
          </cell>
          <cell r="K203">
            <v>1.19417243850012E-2</v>
          </cell>
        </row>
        <row r="204">
          <cell r="I204" t="str">
            <v>T2部件</v>
          </cell>
          <cell r="J204">
            <v>6</v>
          </cell>
          <cell r="K204">
            <v>1.19417243850012E-2</v>
          </cell>
        </row>
        <row r="205">
          <cell r="I205" t="str">
            <v>T2部件</v>
          </cell>
          <cell r="J205">
            <v>6</v>
          </cell>
          <cell r="K205">
            <v>1.19417243850012E-2</v>
          </cell>
        </row>
        <row r="206">
          <cell r="I206" t="str">
            <v>T2部件</v>
          </cell>
          <cell r="J206">
            <v>6</v>
          </cell>
          <cell r="K206">
            <v>1.19417243850012E-2</v>
          </cell>
        </row>
        <row r="207">
          <cell r="I207" t="str">
            <v>T2部件</v>
          </cell>
          <cell r="J207">
            <v>6</v>
          </cell>
          <cell r="K207">
            <v>1.19417243850012E-2</v>
          </cell>
        </row>
        <row r="208">
          <cell r="I208" t="str">
            <v>T2部件</v>
          </cell>
          <cell r="J208">
            <v>6</v>
          </cell>
          <cell r="K208">
            <v>1.19417243850012E-2</v>
          </cell>
        </row>
        <row r="209">
          <cell r="I209" t="str">
            <v>T2部件</v>
          </cell>
          <cell r="J209">
            <v>6</v>
          </cell>
          <cell r="K209">
            <v>1.19417243850012E-2</v>
          </cell>
        </row>
        <row r="210">
          <cell r="I210" t="str">
            <v>T2部件</v>
          </cell>
          <cell r="J210">
            <v>6</v>
          </cell>
          <cell r="K210">
            <v>1.19417243850012E-2</v>
          </cell>
        </row>
        <row r="211">
          <cell r="I211" t="str">
            <v>T2部件</v>
          </cell>
          <cell r="J211">
            <v>6</v>
          </cell>
          <cell r="K211">
            <v>1.19417243850012E-2</v>
          </cell>
        </row>
        <row r="212">
          <cell r="I212" t="str">
            <v>T2部件</v>
          </cell>
          <cell r="J212">
            <v>6</v>
          </cell>
          <cell r="K212">
            <v>1.19417243850012E-2</v>
          </cell>
        </row>
        <row r="213">
          <cell r="I213" t="str">
            <v>T2部件</v>
          </cell>
          <cell r="J213">
            <v>6</v>
          </cell>
          <cell r="K213">
            <v>1.19417243850012E-2</v>
          </cell>
        </row>
        <row r="214">
          <cell r="I214" t="str">
            <v>T2部件</v>
          </cell>
          <cell r="J214">
            <v>6</v>
          </cell>
          <cell r="K214">
            <v>1.19417243850012E-2</v>
          </cell>
        </row>
        <row r="215">
          <cell r="I215" t="str">
            <v>T3部件</v>
          </cell>
          <cell r="J215">
            <v>6</v>
          </cell>
          <cell r="K215">
            <v>6.4485311679006504E-3</v>
          </cell>
        </row>
        <row r="216">
          <cell r="I216" t="str">
            <v>T3部件</v>
          </cell>
          <cell r="J216">
            <v>6</v>
          </cell>
          <cell r="K216">
            <v>6.4485311679006504E-3</v>
          </cell>
        </row>
        <row r="217">
          <cell r="I217" t="str">
            <v>T3部件</v>
          </cell>
          <cell r="J217">
            <v>6</v>
          </cell>
          <cell r="K217">
            <v>6.4485311679006504E-3</v>
          </cell>
        </row>
        <row r="218">
          <cell r="I218" t="str">
            <v>T3部件</v>
          </cell>
          <cell r="J218">
            <v>6</v>
          </cell>
          <cell r="K218">
            <v>6.4485311679006504E-3</v>
          </cell>
        </row>
        <row r="219">
          <cell r="I219" t="str">
            <v>T3部件</v>
          </cell>
          <cell r="J219">
            <v>6</v>
          </cell>
          <cell r="K219">
            <v>6.4485311679006504E-3</v>
          </cell>
        </row>
        <row r="220">
          <cell r="I220" t="str">
            <v>T3部件</v>
          </cell>
          <cell r="J220">
            <v>6</v>
          </cell>
          <cell r="K220">
            <v>6.4485311679006504E-3</v>
          </cell>
        </row>
        <row r="221">
          <cell r="I221" t="str">
            <v>T3部件</v>
          </cell>
          <cell r="J221">
            <v>6</v>
          </cell>
          <cell r="K221">
            <v>6.4485311679006504E-3</v>
          </cell>
        </row>
        <row r="222">
          <cell r="I222" t="str">
            <v>T3部件</v>
          </cell>
          <cell r="J222">
            <v>6</v>
          </cell>
          <cell r="K222">
            <v>6.4485311679006504E-3</v>
          </cell>
        </row>
        <row r="223">
          <cell r="I223" t="str">
            <v>T3部件</v>
          </cell>
          <cell r="J223">
            <v>6</v>
          </cell>
          <cell r="K223">
            <v>7.4038691187007398E-3</v>
          </cell>
        </row>
        <row r="224">
          <cell r="I224" t="str">
            <v>T1碎片</v>
          </cell>
          <cell r="J224">
            <v>7</v>
          </cell>
          <cell r="K224">
            <v>0.26067729547305901</v>
          </cell>
        </row>
        <row r="225">
          <cell r="I225" t="str">
            <v>T1碎片</v>
          </cell>
          <cell r="J225">
            <v>7</v>
          </cell>
          <cell r="K225">
            <v>0.26067729547305901</v>
          </cell>
        </row>
        <row r="226">
          <cell r="I226" t="str">
            <v>T1碎片</v>
          </cell>
          <cell r="J226">
            <v>7</v>
          </cell>
          <cell r="K226">
            <v>0.26067729547305901</v>
          </cell>
        </row>
        <row r="227">
          <cell r="I227" t="str">
            <v>T2碎片</v>
          </cell>
          <cell r="J227">
            <v>7</v>
          </cell>
          <cell r="K227">
            <v>4.88769929011987E-2</v>
          </cell>
        </row>
        <row r="228">
          <cell r="I228" t="str">
            <v>T2碎片</v>
          </cell>
          <cell r="J228">
            <v>7</v>
          </cell>
          <cell r="K228">
            <v>4.88769929011987E-2</v>
          </cell>
        </row>
        <row r="229">
          <cell r="I229" t="str">
            <v>T2碎片</v>
          </cell>
          <cell r="J229">
            <v>7</v>
          </cell>
          <cell r="K229">
            <v>4.88769929011987E-2</v>
          </cell>
        </row>
        <row r="230">
          <cell r="I230" t="str">
            <v>T3碎片</v>
          </cell>
          <cell r="J230">
            <v>7</v>
          </cell>
          <cell r="K230">
            <v>0.32084254625858299</v>
          </cell>
        </row>
        <row r="231">
          <cell r="I231" t="str">
            <v>T3碎片</v>
          </cell>
          <cell r="J231">
            <v>7</v>
          </cell>
          <cell r="K231">
            <v>0.32084254625858299</v>
          </cell>
        </row>
        <row r="232">
          <cell r="I232" t="str">
            <v>T3碎片</v>
          </cell>
          <cell r="J232">
            <v>7</v>
          </cell>
          <cell r="K232">
            <v>0.32084254625858299</v>
          </cell>
        </row>
        <row r="233">
          <cell r="I233" t="str">
            <v>T3碎片</v>
          </cell>
          <cell r="J233">
            <v>7</v>
          </cell>
          <cell r="K233">
            <v>0.16059583381822401</v>
          </cell>
        </row>
        <row r="234">
          <cell r="I234" t="str">
            <v>T3碎片</v>
          </cell>
          <cell r="J234">
            <v>7</v>
          </cell>
          <cell r="K234">
            <v>0.16059583381822401</v>
          </cell>
        </row>
        <row r="235">
          <cell r="I235" t="str">
            <v>T3碎片</v>
          </cell>
          <cell r="J235">
            <v>7</v>
          </cell>
          <cell r="K235">
            <v>0.16059583381822401</v>
          </cell>
        </row>
        <row r="236">
          <cell r="I236" t="str">
            <v>T1部件</v>
          </cell>
          <cell r="J236">
            <v>7</v>
          </cell>
          <cell r="K236">
            <v>2.1645525427673701E-2</v>
          </cell>
        </row>
        <row r="237">
          <cell r="I237" t="str">
            <v>T1部件</v>
          </cell>
          <cell r="J237">
            <v>7</v>
          </cell>
          <cell r="K237">
            <v>2.1645525427673701E-2</v>
          </cell>
        </row>
        <row r="238">
          <cell r="I238" t="str">
            <v>T1部件</v>
          </cell>
          <cell r="J238">
            <v>7</v>
          </cell>
          <cell r="K238">
            <v>2.1645525427673701E-2</v>
          </cell>
        </row>
        <row r="239">
          <cell r="I239" t="str">
            <v>T1部件</v>
          </cell>
          <cell r="J239">
            <v>7</v>
          </cell>
          <cell r="K239">
            <v>2.1645525427673701E-2</v>
          </cell>
        </row>
        <row r="240">
          <cell r="I240" t="str">
            <v>T1部件</v>
          </cell>
          <cell r="J240">
            <v>7</v>
          </cell>
          <cell r="K240">
            <v>2.1645525427673701E-2</v>
          </cell>
        </row>
        <row r="241">
          <cell r="I241" t="str">
            <v>T1部件</v>
          </cell>
          <cell r="J241">
            <v>7</v>
          </cell>
          <cell r="K241">
            <v>2.1645525427673701E-2</v>
          </cell>
        </row>
        <row r="242">
          <cell r="I242" t="str">
            <v>T1部件</v>
          </cell>
          <cell r="J242">
            <v>7</v>
          </cell>
          <cell r="K242">
            <v>2.1645525427673701E-2</v>
          </cell>
        </row>
        <row r="243">
          <cell r="I243" t="str">
            <v>T1部件</v>
          </cell>
          <cell r="J243">
            <v>7</v>
          </cell>
          <cell r="K243">
            <v>2.1645525427673701E-2</v>
          </cell>
        </row>
        <row r="244">
          <cell r="I244" t="str">
            <v>T1部件</v>
          </cell>
          <cell r="J244">
            <v>7</v>
          </cell>
          <cell r="K244">
            <v>2.1645525427673701E-2</v>
          </cell>
        </row>
        <row r="245">
          <cell r="I245" t="str">
            <v>T1部件</v>
          </cell>
          <cell r="J245">
            <v>7</v>
          </cell>
          <cell r="K245">
            <v>2.1645525427673701E-2</v>
          </cell>
        </row>
        <row r="246">
          <cell r="I246" t="str">
            <v>T1部件</v>
          </cell>
          <cell r="J246">
            <v>7</v>
          </cell>
          <cell r="K246">
            <v>2.1645525427673701E-2</v>
          </cell>
        </row>
        <row r="247">
          <cell r="I247" t="str">
            <v>T1部件</v>
          </cell>
          <cell r="J247">
            <v>7</v>
          </cell>
          <cell r="K247">
            <v>2.1645525427673701E-2</v>
          </cell>
        </row>
        <row r="248">
          <cell r="I248" t="str">
            <v>T1部件</v>
          </cell>
          <cell r="J248">
            <v>7</v>
          </cell>
          <cell r="K248">
            <v>2.1645525427673701E-2</v>
          </cell>
        </row>
        <row r="249">
          <cell r="I249" t="str">
            <v>T1部件</v>
          </cell>
          <cell r="J249">
            <v>7</v>
          </cell>
          <cell r="K249">
            <v>2.1645525427673701E-2</v>
          </cell>
        </row>
        <row r="250">
          <cell r="I250" t="str">
            <v>T1部件</v>
          </cell>
          <cell r="J250">
            <v>7</v>
          </cell>
          <cell r="K250">
            <v>2.1645525427673701E-2</v>
          </cell>
        </row>
        <row r="251">
          <cell r="I251" t="str">
            <v>T1部件</v>
          </cell>
          <cell r="J251">
            <v>7</v>
          </cell>
          <cell r="K251">
            <v>2.1645525427673701E-2</v>
          </cell>
        </row>
        <row r="252">
          <cell r="I252" t="str">
            <v>T1部件</v>
          </cell>
          <cell r="J252">
            <v>7</v>
          </cell>
          <cell r="K252">
            <v>2.1645525427673701E-2</v>
          </cell>
        </row>
        <row r="253">
          <cell r="I253" t="str">
            <v>T1部件</v>
          </cell>
          <cell r="J253">
            <v>7</v>
          </cell>
          <cell r="K253">
            <v>2.1645525427673701E-2</v>
          </cell>
        </row>
        <row r="254">
          <cell r="I254" t="str">
            <v>T2部件</v>
          </cell>
          <cell r="J254">
            <v>7</v>
          </cell>
          <cell r="K254">
            <v>1.0008146165483499E-2</v>
          </cell>
        </row>
        <row r="255">
          <cell r="I255" t="str">
            <v>T2部件</v>
          </cell>
          <cell r="J255">
            <v>7</v>
          </cell>
          <cell r="K255">
            <v>1.0008146165483499E-2</v>
          </cell>
        </row>
        <row r="256">
          <cell r="I256" t="str">
            <v>T2部件</v>
          </cell>
          <cell r="J256">
            <v>7</v>
          </cell>
          <cell r="K256">
            <v>1.0008146165483499E-2</v>
          </cell>
        </row>
        <row r="257">
          <cell r="I257" t="str">
            <v>T2部件</v>
          </cell>
          <cell r="J257">
            <v>7</v>
          </cell>
          <cell r="K257">
            <v>1.0008146165483499E-2</v>
          </cell>
        </row>
        <row r="258">
          <cell r="I258" t="str">
            <v>T2部件</v>
          </cell>
          <cell r="J258">
            <v>7</v>
          </cell>
          <cell r="K258">
            <v>1.0008146165483499E-2</v>
          </cell>
        </row>
        <row r="259">
          <cell r="I259" t="str">
            <v>T2部件</v>
          </cell>
          <cell r="J259">
            <v>7</v>
          </cell>
          <cell r="K259">
            <v>1.0008146165483499E-2</v>
          </cell>
        </row>
        <row r="260">
          <cell r="I260" t="str">
            <v>T2部件</v>
          </cell>
          <cell r="J260">
            <v>7</v>
          </cell>
          <cell r="K260">
            <v>1.0008146165483499E-2</v>
          </cell>
        </row>
        <row r="261">
          <cell r="I261" t="str">
            <v>T2部件</v>
          </cell>
          <cell r="J261">
            <v>7</v>
          </cell>
          <cell r="K261">
            <v>1.0008146165483499E-2</v>
          </cell>
        </row>
        <row r="262">
          <cell r="I262" t="str">
            <v>T2部件</v>
          </cell>
          <cell r="J262">
            <v>7</v>
          </cell>
          <cell r="K262">
            <v>1.0008146165483499E-2</v>
          </cell>
        </row>
        <row r="263">
          <cell r="I263" t="str">
            <v>T2部件</v>
          </cell>
          <cell r="J263">
            <v>7</v>
          </cell>
          <cell r="K263">
            <v>1.0008146165483499E-2</v>
          </cell>
        </row>
        <row r="264">
          <cell r="I264" t="str">
            <v>T2部件</v>
          </cell>
          <cell r="J264">
            <v>7</v>
          </cell>
          <cell r="K264">
            <v>1.0008146165483499E-2</v>
          </cell>
        </row>
        <row r="265">
          <cell r="I265" t="str">
            <v>T2部件</v>
          </cell>
          <cell r="J265">
            <v>7</v>
          </cell>
          <cell r="K265">
            <v>1.0008146165483499E-2</v>
          </cell>
        </row>
        <row r="266">
          <cell r="I266" t="str">
            <v>T2部件</v>
          </cell>
          <cell r="J266">
            <v>7</v>
          </cell>
          <cell r="K266">
            <v>1.0008146165483499E-2</v>
          </cell>
        </row>
        <row r="267">
          <cell r="I267" t="str">
            <v>T2部件</v>
          </cell>
          <cell r="J267">
            <v>7</v>
          </cell>
          <cell r="K267">
            <v>1.0008146165483499E-2</v>
          </cell>
        </row>
        <row r="268">
          <cell r="I268" t="str">
            <v>T2部件</v>
          </cell>
          <cell r="J268">
            <v>7</v>
          </cell>
          <cell r="K268">
            <v>1.0008146165483499E-2</v>
          </cell>
        </row>
        <row r="269">
          <cell r="I269" t="str">
            <v>T2部件</v>
          </cell>
          <cell r="J269">
            <v>7</v>
          </cell>
          <cell r="K269">
            <v>1.0008146165483499E-2</v>
          </cell>
        </row>
        <row r="270">
          <cell r="I270" t="str">
            <v>T2部件</v>
          </cell>
          <cell r="J270">
            <v>7</v>
          </cell>
          <cell r="K270">
            <v>1.0008146165483499E-2</v>
          </cell>
        </row>
        <row r="271">
          <cell r="I271" t="str">
            <v>T2部件</v>
          </cell>
          <cell r="J271">
            <v>7</v>
          </cell>
          <cell r="K271">
            <v>1.0008146165483499E-2</v>
          </cell>
        </row>
        <row r="272">
          <cell r="I272" t="str">
            <v>T3部件</v>
          </cell>
          <cell r="J272">
            <v>7</v>
          </cell>
          <cell r="K272">
            <v>5.3531944606074701E-3</v>
          </cell>
        </row>
        <row r="273">
          <cell r="I273" t="str">
            <v>T3部件</v>
          </cell>
          <cell r="J273">
            <v>7</v>
          </cell>
          <cell r="K273">
            <v>5.3531944606074701E-3</v>
          </cell>
        </row>
        <row r="274">
          <cell r="I274" t="str">
            <v>T3部件</v>
          </cell>
          <cell r="J274">
            <v>7</v>
          </cell>
          <cell r="K274">
            <v>5.3531944606074701E-3</v>
          </cell>
        </row>
        <row r="275">
          <cell r="I275" t="str">
            <v>T3部件</v>
          </cell>
          <cell r="J275">
            <v>7</v>
          </cell>
          <cell r="K275">
            <v>5.3531944606074701E-3</v>
          </cell>
        </row>
        <row r="276">
          <cell r="I276" t="str">
            <v>T3部件</v>
          </cell>
          <cell r="J276">
            <v>7</v>
          </cell>
          <cell r="K276">
            <v>5.3531944606074701E-3</v>
          </cell>
        </row>
        <row r="277">
          <cell r="I277" t="str">
            <v>T3部件</v>
          </cell>
          <cell r="J277">
            <v>7</v>
          </cell>
          <cell r="K277">
            <v>5.3531944606074701E-3</v>
          </cell>
        </row>
        <row r="278">
          <cell r="I278" t="str">
            <v>T3部件</v>
          </cell>
          <cell r="J278">
            <v>7</v>
          </cell>
          <cell r="K278">
            <v>5.3531944606074701E-3</v>
          </cell>
        </row>
        <row r="279">
          <cell r="I279" t="str">
            <v>T3部件</v>
          </cell>
          <cell r="J279">
            <v>7</v>
          </cell>
          <cell r="K279">
            <v>5.3531944606074701E-3</v>
          </cell>
        </row>
        <row r="280">
          <cell r="I280" t="str">
            <v>T3部件</v>
          </cell>
          <cell r="J280">
            <v>7</v>
          </cell>
          <cell r="K280">
            <v>5.3531944606074701E-3</v>
          </cell>
        </row>
        <row r="281">
          <cell r="I281" t="str">
            <v>T3部件</v>
          </cell>
          <cell r="J281">
            <v>7</v>
          </cell>
          <cell r="K281">
            <v>5.3531944606074701E-3</v>
          </cell>
        </row>
        <row r="282">
          <cell r="I282" t="str">
            <v>T3部件</v>
          </cell>
          <cell r="J282">
            <v>7</v>
          </cell>
          <cell r="K282">
            <v>5.3531944606074701E-3</v>
          </cell>
        </row>
        <row r="283">
          <cell r="I283" t="str">
            <v>T3部件</v>
          </cell>
          <cell r="J283">
            <v>7</v>
          </cell>
          <cell r="K283">
            <v>5.3531944606074701E-3</v>
          </cell>
        </row>
        <row r="284">
          <cell r="I284" t="str">
            <v>T3部件</v>
          </cell>
          <cell r="J284">
            <v>7</v>
          </cell>
          <cell r="K284">
            <v>5.3531944606074701E-3</v>
          </cell>
        </row>
        <row r="285">
          <cell r="I285" t="str">
            <v>T3部件</v>
          </cell>
          <cell r="J285">
            <v>7</v>
          </cell>
          <cell r="K285">
            <v>5.3531944606074701E-3</v>
          </cell>
        </row>
        <row r="286">
          <cell r="I286" t="str">
            <v>T3部件</v>
          </cell>
          <cell r="J286">
            <v>7</v>
          </cell>
          <cell r="K286">
            <v>5.3531944606074701E-3</v>
          </cell>
        </row>
        <row r="287">
          <cell r="I287" t="str">
            <v>T3部件</v>
          </cell>
          <cell r="J287">
            <v>7</v>
          </cell>
          <cell r="K287">
            <v>5.3531944606074701E-3</v>
          </cell>
        </row>
        <row r="288">
          <cell r="I288" t="str">
            <v>T3部件</v>
          </cell>
          <cell r="J288">
            <v>7</v>
          </cell>
          <cell r="K288">
            <v>5.3531944606074701E-3</v>
          </cell>
        </row>
        <row r="289">
          <cell r="I289" t="str">
            <v>T3部件</v>
          </cell>
          <cell r="J289">
            <v>7</v>
          </cell>
          <cell r="K289">
            <v>6.2841848015826804E-3</v>
          </cell>
        </row>
        <row r="290">
          <cell r="I290" t="str">
            <v>T1碎片</v>
          </cell>
          <cell r="J290">
            <v>8</v>
          </cell>
          <cell r="K290">
            <v>0.24524115380123801</v>
          </cell>
        </row>
        <row r="291">
          <cell r="I291" t="str">
            <v>T1碎片</v>
          </cell>
          <cell r="J291">
            <v>8</v>
          </cell>
          <cell r="K291">
            <v>0.24524115380123801</v>
          </cell>
        </row>
        <row r="292">
          <cell r="I292" t="str">
            <v>T1碎片</v>
          </cell>
          <cell r="J292">
            <v>8</v>
          </cell>
          <cell r="K292">
            <v>0.24524115380123801</v>
          </cell>
        </row>
        <row r="293">
          <cell r="I293" t="str">
            <v>T2碎片</v>
          </cell>
          <cell r="J293">
            <v>8</v>
          </cell>
          <cell r="K293">
            <v>4.9048230760247599E-2</v>
          </cell>
        </row>
        <row r="294">
          <cell r="I294" t="str">
            <v>T2碎片</v>
          </cell>
          <cell r="J294">
            <v>8</v>
          </cell>
          <cell r="K294">
            <v>4.9048230760247599E-2</v>
          </cell>
        </row>
        <row r="295">
          <cell r="I295" t="str">
            <v>T2碎片</v>
          </cell>
          <cell r="J295">
            <v>8</v>
          </cell>
          <cell r="K295">
            <v>4.9048230760247599E-2</v>
          </cell>
        </row>
        <row r="296">
          <cell r="I296" t="str">
            <v>T3碎片</v>
          </cell>
          <cell r="J296">
            <v>8</v>
          </cell>
          <cell r="K296">
            <v>0.32196660049048198</v>
          </cell>
        </row>
        <row r="297">
          <cell r="I297" t="str">
            <v>T3碎片</v>
          </cell>
          <cell r="J297">
            <v>8</v>
          </cell>
          <cell r="K297">
            <v>0.32196660049048198</v>
          </cell>
        </row>
        <row r="298">
          <cell r="I298" t="str">
            <v>T3碎片</v>
          </cell>
          <cell r="J298">
            <v>8</v>
          </cell>
          <cell r="K298">
            <v>0.32196660049048198</v>
          </cell>
        </row>
        <row r="299">
          <cell r="I299" t="str">
            <v>T3碎片</v>
          </cell>
          <cell r="J299">
            <v>8</v>
          </cell>
          <cell r="K299">
            <v>0.16115847249795601</v>
          </cell>
        </row>
        <row r="300">
          <cell r="I300" t="str">
            <v>T3碎片</v>
          </cell>
          <cell r="J300">
            <v>8</v>
          </cell>
          <cell r="K300">
            <v>0.16115847249795601</v>
          </cell>
        </row>
        <row r="301">
          <cell r="I301" t="str">
            <v>T3碎片</v>
          </cell>
          <cell r="J301">
            <v>8</v>
          </cell>
          <cell r="K301">
            <v>0.16115847249795601</v>
          </cell>
        </row>
        <row r="302">
          <cell r="I302" t="str">
            <v>T1部件</v>
          </cell>
          <cell r="J302">
            <v>8</v>
          </cell>
          <cell r="K302">
            <v>2.1721359336681099E-2</v>
          </cell>
        </row>
        <row r="303">
          <cell r="I303" t="str">
            <v>T1部件</v>
          </cell>
          <cell r="J303">
            <v>8</v>
          </cell>
          <cell r="K303">
            <v>2.1721359336681099E-2</v>
          </cell>
        </row>
        <row r="304">
          <cell r="I304" t="str">
            <v>T1部件</v>
          </cell>
          <cell r="J304">
            <v>8</v>
          </cell>
          <cell r="K304">
            <v>2.1721359336681099E-2</v>
          </cell>
        </row>
        <row r="305">
          <cell r="I305" t="str">
            <v>T1部件</v>
          </cell>
          <cell r="J305">
            <v>8</v>
          </cell>
          <cell r="K305">
            <v>2.1721359336681099E-2</v>
          </cell>
        </row>
        <row r="306">
          <cell r="I306" t="str">
            <v>T1部件</v>
          </cell>
          <cell r="J306">
            <v>8</v>
          </cell>
          <cell r="K306">
            <v>2.1721359336681099E-2</v>
          </cell>
        </row>
        <row r="307">
          <cell r="I307" t="str">
            <v>T1部件</v>
          </cell>
          <cell r="J307">
            <v>8</v>
          </cell>
          <cell r="K307">
            <v>2.1721359336681099E-2</v>
          </cell>
        </row>
        <row r="308">
          <cell r="I308" t="str">
            <v>T1部件</v>
          </cell>
          <cell r="J308">
            <v>8</v>
          </cell>
          <cell r="K308">
            <v>2.1721359336681099E-2</v>
          </cell>
        </row>
        <row r="309">
          <cell r="I309" t="str">
            <v>T1部件</v>
          </cell>
          <cell r="J309">
            <v>8</v>
          </cell>
          <cell r="K309">
            <v>2.1721359336681099E-2</v>
          </cell>
        </row>
        <row r="310">
          <cell r="I310" t="str">
            <v>T1部件</v>
          </cell>
          <cell r="J310">
            <v>8</v>
          </cell>
          <cell r="K310">
            <v>2.1721359336681099E-2</v>
          </cell>
        </row>
        <row r="311">
          <cell r="I311" t="str">
            <v>T1部件</v>
          </cell>
          <cell r="J311">
            <v>8</v>
          </cell>
          <cell r="K311">
            <v>2.1721359336681099E-2</v>
          </cell>
        </row>
        <row r="312">
          <cell r="I312" t="str">
            <v>T1部件</v>
          </cell>
          <cell r="J312">
            <v>8</v>
          </cell>
          <cell r="K312">
            <v>2.1721359336681099E-2</v>
          </cell>
        </row>
        <row r="313">
          <cell r="I313" t="str">
            <v>T1部件</v>
          </cell>
          <cell r="J313">
            <v>8</v>
          </cell>
          <cell r="K313">
            <v>2.1721359336681099E-2</v>
          </cell>
        </row>
        <row r="314">
          <cell r="I314" t="str">
            <v>T1部件</v>
          </cell>
          <cell r="J314">
            <v>8</v>
          </cell>
          <cell r="K314">
            <v>2.1721359336681099E-2</v>
          </cell>
        </row>
        <row r="315">
          <cell r="I315" t="str">
            <v>T1部件</v>
          </cell>
          <cell r="J315">
            <v>8</v>
          </cell>
          <cell r="K315">
            <v>2.1721359336681099E-2</v>
          </cell>
        </row>
        <row r="316">
          <cell r="I316" t="str">
            <v>T1部件</v>
          </cell>
          <cell r="J316">
            <v>8</v>
          </cell>
          <cell r="K316">
            <v>2.1721359336681099E-2</v>
          </cell>
        </row>
        <row r="317">
          <cell r="I317" t="str">
            <v>T1部件</v>
          </cell>
          <cell r="J317">
            <v>8</v>
          </cell>
          <cell r="K317">
            <v>2.1721359336681099E-2</v>
          </cell>
        </row>
        <row r="318">
          <cell r="I318" t="str">
            <v>T1部件</v>
          </cell>
          <cell r="J318">
            <v>8</v>
          </cell>
          <cell r="K318">
            <v>2.1721359336681099E-2</v>
          </cell>
        </row>
        <row r="319">
          <cell r="I319" t="str">
            <v>T1部件</v>
          </cell>
          <cell r="J319">
            <v>8</v>
          </cell>
          <cell r="K319">
            <v>2.1721359336681099E-2</v>
          </cell>
        </row>
        <row r="320">
          <cell r="I320" t="str">
            <v>T2部件</v>
          </cell>
          <cell r="J320">
            <v>8</v>
          </cell>
          <cell r="K320">
            <v>1.00432091556697E-2</v>
          </cell>
        </row>
        <row r="321">
          <cell r="I321" t="str">
            <v>T2部件</v>
          </cell>
          <cell r="J321">
            <v>8</v>
          </cell>
          <cell r="K321">
            <v>1.00432091556697E-2</v>
          </cell>
        </row>
        <row r="322">
          <cell r="I322" t="str">
            <v>T2部件</v>
          </cell>
          <cell r="J322">
            <v>8</v>
          </cell>
          <cell r="K322">
            <v>1.00432091556697E-2</v>
          </cell>
        </row>
        <row r="323">
          <cell r="I323" t="str">
            <v>T2部件</v>
          </cell>
          <cell r="J323">
            <v>8</v>
          </cell>
          <cell r="K323">
            <v>1.00432091556697E-2</v>
          </cell>
        </row>
        <row r="324">
          <cell r="I324" t="str">
            <v>T2部件</v>
          </cell>
          <cell r="J324">
            <v>8</v>
          </cell>
          <cell r="K324">
            <v>1.00432091556697E-2</v>
          </cell>
        </row>
        <row r="325">
          <cell r="I325" t="str">
            <v>T2部件</v>
          </cell>
          <cell r="J325">
            <v>8</v>
          </cell>
          <cell r="K325">
            <v>1.00432091556697E-2</v>
          </cell>
        </row>
        <row r="326">
          <cell r="I326" t="str">
            <v>T2部件</v>
          </cell>
          <cell r="J326">
            <v>8</v>
          </cell>
          <cell r="K326">
            <v>1.00432091556697E-2</v>
          </cell>
        </row>
        <row r="327">
          <cell r="I327" t="str">
            <v>T2部件</v>
          </cell>
          <cell r="J327">
            <v>8</v>
          </cell>
          <cell r="K327">
            <v>1.00432091556697E-2</v>
          </cell>
        </row>
        <row r="328">
          <cell r="I328" t="str">
            <v>T2部件</v>
          </cell>
          <cell r="J328">
            <v>8</v>
          </cell>
          <cell r="K328">
            <v>1.00432091556697E-2</v>
          </cell>
        </row>
        <row r="329">
          <cell r="I329" t="str">
            <v>T2部件</v>
          </cell>
          <cell r="J329">
            <v>8</v>
          </cell>
          <cell r="K329">
            <v>1.00432091556697E-2</v>
          </cell>
        </row>
        <row r="330">
          <cell r="I330" t="str">
            <v>T2部件</v>
          </cell>
          <cell r="J330">
            <v>8</v>
          </cell>
          <cell r="K330">
            <v>1.00432091556697E-2</v>
          </cell>
        </row>
        <row r="331">
          <cell r="I331" t="str">
            <v>T2部件</v>
          </cell>
          <cell r="J331">
            <v>8</v>
          </cell>
          <cell r="K331">
            <v>1.00432091556697E-2</v>
          </cell>
        </row>
        <row r="332">
          <cell r="I332" t="str">
            <v>T2部件</v>
          </cell>
          <cell r="J332">
            <v>8</v>
          </cell>
          <cell r="K332">
            <v>1.00432091556697E-2</v>
          </cell>
        </row>
        <row r="333">
          <cell r="I333" t="str">
            <v>T2部件</v>
          </cell>
          <cell r="J333">
            <v>8</v>
          </cell>
          <cell r="K333">
            <v>1.00432091556697E-2</v>
          </cell>
        </row>
        <row r="334">
          <cell r="I334" t="str">
            <v>T2部件</v>
          </cell>
          <cell r="J334">
            <v>8</v>
          </cell>
          <cell r="K334">
            <v>1.00432091556697E-2</v>
          </cell>
        </row>
        <row r="335">
          <cell r="I335" t="str">
            <v>T2部件</v>
          </cell>
          <cell r="J335">
            <v>8</v>
          </cell>
          <cell r="K335">
            <v>1.00432091556697E-2</v>
          </cell>
        </row>
        <row r="336">
          <cell r="I336" t="str">
            <v>T2部件</v>
          </cell>
          <cell r="J336">
            <v>8</v>
          </cell>
          <cell r="K336">
            <v>1.00432091556697E-2</v>
          </cell>
        </row>
        <row r="337">
          <cell r="I337" t="str">
            <v>T2部件</v>
          </cell>
          <cell r="J337">
            <v>8</v>
          </cell>
          <cell r="K337">
            <v>1.00432091556697E-2</v>
          </cell>
        </row>
        <row r="338">
          <cell r="I338" t="str">
            <v>T3部件</v>
          </cell>
          <cell r="J338">
            <v>8</v>
          </cell>
          <cell r="K338">
            <v>5.3719490832652098E-3</v>
          </cell>
        </row>
        <row r="339">
          <cell r="I339" t="str">
            <v>T3部件</v>
          </cell>
          <cell r="J339">
            <v>8</v>
          </cell>
          <cell r="K339">
            <v>5.3719490832652098E-3</v>
          </cell>
        </row>
        <row r="340">
          <cell r="I340" t="str">
            <v>T3部件</v>
          </cell>
          <cell r="J340">
            <v>8</v>
          </cell>
          <cell r="K340">
            <v>5.3719490832652098E-3</v>
          </cell>
        </row>
        <row r="341">
          <cell r="I341" t="str">
            <v>T3部件</v>
          </cell>
          <cell r="J341">
            <v>8</v>
          </cell>
          <cell r="K341">
            <v>5.3719490832652098E-3</v>
          </cell>
        </row>
        <row r="342">
          <cell r="I342" t="str">
            <v>T3部件</v>
          </cell>
          <cell r="J342">
            <v>8</v>
          </cell>
          <cell r="K342">
            <v>5.3719490832652098E-3</v>
          </cell>
        </row>
        <row r="343">
          <cell r="I343" t="str">
            <v>T3部件</v>
          </cell>
          <cell r="J343">
            <v>8</v>
          </cell>
          <cell r="K343">
            <v>5.3719490832652098E-3</v>
          </cell>
        </row>
        <row r="344">
          <cell r="I344" t="str">
            <v>T3部件</v>
          </cell>
          <cell r="J344">
            <v>8</v>
          </cell>
          <cell r="K344">
            <v>5.3719490832652098E-3</v>
          </cell>
        </row>
        <row r="345">
          <cell r="I345" t="str">
            <v>T3部件</v>
          </cell>
          <cell r="J345">
            <v>8</v>
          </cell>
          <cell r="K345">
            <v>5.3719490832652098E-3</v>
          </cell>
        </row>
        <row r="346">
          <cell r="I346" t="str">
            <v>T3部件</v>
          </cell>
          <cell r="J346">
            <v>8</v>
          </cell>
          <cell r="K346">
            <v>5.3719490832652098E-3</v>
          </cell>
        </row>
        <row r="347">
          <cell r="I347" t="str">
            <v>T3部件</v>
          </cell>
          <cell r="J347">
            <v>8</v>
          </cell>
          <cell r="K347">
            <v>5.3719490832652098E-3</v>
          </cell>
        </row>
        <row r="348">
          <cell r="I348" t="str">
            <v>T3部件</v>
          </cell>
          <cell r="J348">
            <v>8</v>
          </cell>
          <cell r="K348">
            <v>5.3719490832652098E-3</v>
          </cell>
        </row>
        <row r="349">
          <cell r="I349" t="str">
            <v>T3部件</v>
          </cell>
          <cell r="J349">
            <v>8</v>
          </cell>
          <cell r="K349">
            <v>5.3719490832652098E-3</v>
          </cell>
        </row>
        <row r="350">
          <cell r="I350" t="str">
            <v>T3部件</v>
          </cell>
          <cell r="J350">
            <v>8</v>
          </cell>
          <cell r="K350">
            <v>5.3719490832652098E-3</v>
          </cell>
        </row>
        <row r="351">
          <cell r="I351" t="str">
            <v>T3部件</v>
          </cell>
          <cell r="J351">
            <v>8</v>
          </cell>
          <cell r="K351">
            <v>5.3719490832652098E-3</v>
          </cell>
        </row>
        <row r="352">
          <cell r="I352" t="str">
            <v>T3部件</v>
          </cell>
          <cell r="J352">
            <v>8</v>
          </cell>
          <cell r="K352">
            <v>5.3719490832652098E-3</v>
          </cell>
        </row>
        <row r="353">
          <cell r="I353" t="str">
            <v>T3部件</v>
          </cell>
          <cell r="J353">
            <v>8</v>
          </cell>
          <cell r="K353">
            <v>5.3719490832652098E-3</v>
          </cell>
        </row>
        <row r="354">
          <cell r="I354" t="str">
            <v>T3部件</v>
          </cell>
          <cell r="J354">
            <v>8</v>
          </cell>
          <cell r="K354">
            <v>5.3719490832652098E-3</v>
          </cell>
        </row>
        <row r="355">
          <cell r="I355" t="str">
            <v>T3部件</v>
          </cell>
          <cell r="J355">
            <v>8</v>
          </cell>
          <cell r="K355">
            <v>6.3062010977461202E-3</v>
          </cell>
        </row>
        <row r="356">
          <cell r="I356" t="str">
            <v>T1碎片</v>
          </cell>
          <cell r="J356">
            <v>9</v>
          </cell>
          <cell r="K356">
            <v>0.24524115380123801</v>
          </cell>
        </row>
        <row r="357">
          <cell r="I357" t="str">
            <v>T1碎片</v>
          </cell>
          <cell r="J357">
            <v>9</v>
          </cell>
          <cell r="K357">
            <v>0.24524115380123801</v>
          </cell>
        </row>
        <row r="358">
          <cell r="I358" t="str">
            <v>T1碎片</v>
          </cell>
          <cell r="J358">
            <v>9</v>
          </cell>
          <cell r="K358">
            <v>0.24524115380123801</v>
          </cell>
        </row>
        <row r="359">
          <cell r="I359" t="str">
            <v>T2碎片</v>
          </cell>
          <cell r="J359">
            <v>9</v>
          </cell>
          <cell r="K359">
            <v>4.9048230760247599E-2</v>
          </cell>
        </row>
        <row r="360">
          <cell r="I360" t="str">
            <v>T2碎片</v>
          </cell>
          <cell r="J360">
            <v>9</v>
          </cell>
          <cell r="K360">
            <v>4.9048230760247599E-2</v>
          </cell>
        </row>
        <row r="361">
          <cell r="I361" t="str">
            <v>T2碎片</v>
          </cell>
          <cell r="J361">
            <v>9</v>
          </cell>
          <cell r="K361">
            <v>4.9048230760247599E-2</v>
          </cell>
        </row>
        <row r="362">
          <cell r="I362" t="str">
            <v>T3碎片</v>
          </cell>
          <cell r="J362">
            <v>9</v>
          </cell>
          <cell r="K362">
            <v>0.32196660049048198</v>
          </cell>
        </row>
        <row r="363">
          <cell r="I363" t="str">
            <v>T3碎片</v>
          </cell>
          <cell r="J363">
            <v>9</v>
          </cell>
          <cell r="K363">
            <v>0.32196660049048198</v>
          </cell>
        </row>
        <row r="364">
          <cell r="I364" t="str">
            <v>T3碎片</v>
          </cell>
          <cell r="J364">
            <v>9</v>
          </cell>
          <cell r="K364">
            <v>0.32196660049048198</v>
          </cell>
        </row>
        <row r="365">
          <cell r="I365" t="str">
            <v>T3碎片</v>
          </cell>
          <cell r="J365">
            <v>9</v>
          </cell>
          <cell r="K365">
            <v>0.16115847249795601</v>
          </cell>
        </row>
        <row r="366">
          <cell r="I366" t="str">
            <v>T3碎片</v>
          </cell>
          <cell r="J366">
            <v>9</v>
          </cell>
          <cell r="K366">
            <v>0.16115847249795601</v>
          </cell>
        </row>
        <row r="367">
          <cell r="I367" t="str">
            <v>T3碎片</v>
          </cell>
          <cell r="J367">
            <v>9</v>
          </cell>
          <cell r="K367">
            <v>0.16115847249795601</v>
          </cell>
        </row>
        <row r="368">
          <cell r="I368" t="str">
            <v>T1部件</v>
          </cell>
          <cell r="J368">
            <v>9</v>
          </cell>
          <cell r="K368">
            <v>2.1721359336681099E-2</v>
          </cell>
        </row>
        <row r="369">
          <cell r="I369" t="str">
            <v>T1部件</v>
          </cell>
          <cell r="J369">
            <v>9</v>
          </cell>
          <cell r="K369">
            <v>2.1721359336681099E-2</v>
          </cell>
        </row>
        <row r="370">
          <cell r="I370" t="str">
            <v>T1部件</v>
          </cell>
          <cell r="J370">
            <v>9</v>
          </cell>
          <cell r="K370">
            <v>2.1721359336681099E-2</v>
          </cell>
        </row>
        <row r="371">
          <cell r="I371" t="str">
            <v>T1部件</v>
          </cell>
          <cell r="J371">
            <v>9</v>
          </cell>
          <cell r="K371">
            <v>2.1721359336681099E-2</v>
          </cell>
        </row>
        <row r="372">
          <cell r="I372" t="str">
            <v>T1部件</v>
          </cell>
          <cell r="J372">
            <v>9</v>
          </cell>
          <cell r="K372">
            <v>2.1721359336681099E-2</v>
          </cell>
        </row>
        <row r="373">
          <cell r="I373" t="str">
            <v>T1部件</v>
          </cell>
          <cell r="J373">
            <v>9</v>
          </cell>
          <cell r="K373">
            <v>2.1721359336681099E-2</v>
          </cell>
        </row>
        <row r="374">
          <cell r="I374" t="str">
            <v>T1部件</v>
          </cell>
          <cell r="J374">
            <v>9</v>
          </cell>
          <cell r="K374">
            <v>2.1721359336681099E-2</v>
          </cell>
        </row>
        <row r="375">
          <cell r="I375" t="str">
            <v>T1部件</v>
          </cell>
          <cell r="J375">
            <v>9</v>
          </cell>
          <cell r="K375">
            <v>2.1721359336681099E-2</v>
          </cell>
        </row>
        <row r="376">
          <cell r="I376" t="str">
            <v>T1部件</v>
          </cell>
          <cell r="J376">
            <v>9</v>
          </cell>
          <cell r="K376">
            <v>2.1721359336681099E-2</v>
          </cell>
        </row>
        <row r="377">
          <cell r="I377" t="str">
            <v>T1部件</v>
          </cell>
          <cell r="J377">
            <v>9</v>
          </cell>
          <cell r="K377">
            <v>2.1721359336681099E-2</v>
          </cell>
        </row>
        <row r="378">
          <cell r="I378" t="str">
            <v>T1部件</v>
          </cell>
          <cell r="J378">
            <v>9</v>
          </cell>
          <cell r="K378">
            <v>2.1721359336681099E-2</v>
          </cell>
        </row>
        <row r="379">
          <cell r="I379" t="str">
            <v>T1部件</v>
          </cell>
          <cell r="J379">
            <v>9</v>
          </cell>
          <cell r="K379">
            <v>2.1721359336681099E-2</v>
          </cell>
        </row>
        <row r="380">
          <cell r="I380" t="str">
            <v>T1部件</v>
          </cell>
          <cell r="J380">
            <v>9</v>
          </cell>
          <cell r="K380">
            <v>2.1721359336681099E-2</v>
          </cell>
        </row>
        <row r="381">
          <cell r="I381" t="str">
            <v>T1部件</v>
          </cell>
          <cell r="J381">
            <v>9</v>
          </cell>
          <cell r="K381">
            <v>2.1721359336681099E-2</v>
          </cell>
        </row>
        <row r="382">
          <cell r="I382" t="str">
            <v>T1部件</v>
          </cell>
          <cell r="J382">
            <v>9</v>
          </cell>
          <cell r="K382">
            <v>2.1721359336681099E-2</v>
          </cell>
        </row>
        <row r="383">
          <cell r="I383" t="str">
            <v>T1部件</v>
          </cell>
          <cell r="J383">
            <v>9</v>
          </cell>
          <cell r="K383">
            <v>2.1721359336681099E-2</v>
          </cell>
        </row>
        <row r="384">
          <cell r="I384" t="str">
            <v>T1部件</v>
          </cell>
          <cell r="J384">
            <v>9</v>
          </cell>
          <cell r="K384">
            <v>2.1721359336681099E-2</v>
          </cell>
        </row>
        <row r="385">
          <cell r="I385" t="str">
            <v>T1部件</v>
          </cell>
          <cell r="J385">
            <v>9</v>
          </cell>
          <cell r="K385">
            <v>2.1721359336681099E-2</v>
          </cell>
        </row>
        <row r="386">
          <cell r="I386" t="str">
            <v>T2部件</v>
          </cell>
          <cell r="J386">
            <v>9</v>
          </cell>
          <cell r="K386">
            <v>1.00432091556697E-2</v>
          </cell>
        </row>
        <row r="387">
          <cell r="I387" t="str">
            <v>T2部件</v>
          </cell>
          <cell r="J387">
            <v>9</v>
          </cell>
          <cell r="K387">
            <v>1.00432091556697E-2</v>
          </cell>
        </row>
        <row r="388">
          <cell r="I388" t="str">
            <v>T2部件</v>
          </cell>
          <cell r="J388">
            <v>9</v>
          </cell>
          <cell r="K388">
            <v>1.00432091556697E-2</v>
          </cell>
        </row>
        <row r="389">
          <cell r="I389" t="str">
            <v>T2部件</v>
          </cell>
          <cell r="J389">
            <v>9</v>
          </cell>
          <cell r="K389">
            <v>1.00432091556697E-2</v>
          </cell>
        </row>
        <row r="390">
          <cell r="I390" t="str">
            <v>T2部件</v>
          </cell>
          <cell r="J390">
            <v>9</v>
          </cell>
          <cell r="K390">
            <v>1.00432091556697E-2</v>
          </cell>
        </row>
        <row r="391">
          <cell r="I391" t="str">
            <v>T2部件</v>
          </cell>
          <cell r="J391">
            <v>9</v>
          </cell>
          <cell r="K391">
            <v>1.00432091556697E-2</v>
          </cell>
        </row>
        <row r="392">
          <cell r="I392" t="str">
            <v>T2部件</v>
          </cell>
          <cell r="J392">
            <v>9</v>
          </cell>
          <cell r="K392">
            <v>1.00432091556697E-2</v>
          </cell>
        </row>
        <row r="393">
          <cell r="I393" t="str">
            <v>T2部件</v>
          </cell>
          <cell r="J393">
            <v>9</v>
          </cell>
          <cell r="K393">
            <v>1.00432091556697E-2</v>
          </cell>
        </row>
        <row r="394">
          <cell r="I394" t="str">
            <v>T2部件</v>
          </cell>
          <cell r="J394">
            <v>9</v>
          </cell>
          <cell r="K394">
            <v>1.00432091556697E-2</v>
          </cell>
        </row>
        <row r="395">
          <cell r="I395" t="str">
            <v>T2部件</v>
          </cell>
          <cell r="J395">
            <v>9</v>
          </cell>
          <cell r="K395">
            <v>1.00432091556697E-2</v>
          </cell>
        </row>
        <row r="396">
          <cell r="I396" t="str">
            <v>T2部件</v>
          </cell>
          <cell r="J396">
            <v>9</v>
          </cell>
          <cell r="K396">
            <v>1.00432091556697E-2</v>
          </cell>
        </row>
        <row r="397">
          <cell r="I397" t="str">
            <v>T2部件</v>
          </cell>
          <cell r="J397">
            <v>9</v>
          </cell>
          <cell r="K397">
            <v>1.00432091556697E-2</v>
          </cell>
        </row>
        <row r="398">
          <cell r="I398" t="str">
            <v>T2部件</v>
          </cell>
          <cell r="J398">
            <v>9</v>
          </cell>
          <cell r="K398">
            <v>1.00432091556697E-2</v>
          </cell>
        </row>
        <row r="399">
          <cell r="I399" t="str">
            <v>T2部件</v>
          </cell>
          <cell r="J399">
            <v>9</v>
          </cell>
          <cell r="K399">
            <v>1.00432091556697E-2</v>
          </cell>
        </row>
        <row r="400">
          <cell r="I400" t="str">
            <v>T2部件</v>
          </cell>
          <cell r="J400">
            <v>9</v>
          </cell>
          <cell r="K400">
            <v>1.00432091556697E-2</v>
          </cell>
        </row>
        <row r="401">
          <cell r="I401" t="str">
            <v>T2部件</v>
          </cell>
          <cell r="J401">
            <v>9</v>
          </cell>
          <cell r="K401">
            <v>1.00432091556697E-2</v>
          </cell>
        </row>
        <row r="402">
          <cell r="I402" t="str">
            <v>T2部件</v>
          </cell>
          <cell r="J402">
            <v>9</v>
          </cell>
          <cell r="K402">
            <v>1.00432091556697E-2</v>
          </cell>
        </row>
        <row r="403">
          <cell r="I403" t="str">
            <v>T2部件</v>
          </cell>
          <cell r="J403">
            <v>9</v>
          </cell>
          <cell r="K403">
            <v>1.00432091556697E-2</v>
          </cell>
        </row>
        <row r="404">
          <cell r="I404" t="str">
            <v>T3部件</v>
          </cell>
          <cell r="J404">
            <v>9</v>
          </cell>
          <cell r="K404">
            <v>5.3719490832652098E-3</v>
          </cell>
        </row>
        <row r="405">
          <cell r="I405" t="str">
            <v>T3部件</v>
          </cell>
          <cell r="J405">
            <v>9</v>
          </cell>
          <cell r="K405">
            <v>5.3719490832652098E-3</v>
          </cell>
        </row>
        <row r="406">
          <cell r="I406" t="str">
            <v>T3部件</v>
          </cell>
          <cell r="J406">
            <v>9</v>
          </cell>
          <cell r="K406">
            <v>5.3719490832652098E-3</v>
          </cell>
        </row>
        <row r="407">
          <cell r="I407" t="str">
            <v>T3部件</v>
          </cell>
          <cell r="J407">
            <v>9</v>
          </cell>
          <cell r="K407">
            <v>5.3719490832652098E-3</v>
          </cell>
        </row>
        <row r="408">
          <cell r="I408" t="str">
            <v>T3部件</v>
          </cell>
          <cell r="J408">
            <v>9</v>
          </cell>
          <cell r="K408">
            <v>5.3719490832652098E-3</v>
          </cell>
        </row>
        <row r="409">
          <cell r="I409" t="str">
            <v>T3部件</v>
          </cell>
          <cell r="J409">
            <v>9</v>
          </cell>
          <cell r="K409">
            <v>5.3719490832652098E-3</v>
          </cell>
        </row>
        <row r="410">
          <cell r="I410" t="str">
            <v>T3部件</v>
          </cell>
          <cell r="J410">
            <v>9</v>
          </cell>
          <cell r="K410">
            <v>5.3719490832652098E-3</v>
          </cell>
        </row>
        <row r="411">
          <cell r="I411" t="str">
            <v>T3部件</v>
          </cell>
          <cell r="J411">
            <v>9</v>
          </cell>
          <cell r="K411">
            <v>5.3719490832652098E-3</v>
          </cell>
        </row>
        <row r="412">
          <cell r="I412" t="str">
            <v>T3部件</v>
          </cell>
          <cell r="J412">
            <v>9</v>
          </cell>
          <cell r="K412">
            <v>5.3719490832652098E-3</v>
          </cell>
        </row>
        <row r="413">
          <cell r="I413" t="str">
            <v>T3部件</v>
          </cell>
          <cell r="J413">
            <v>9</v>
          </cell>
          <cell r="K413">
            <v>5.3719490832652098E-3</v>
          </cell>
        </row>
        <row r="414">
          <cell r="I414" t="str">
            <v>T3部件</v>
          </cell>
          <cell r="J414">
            <v>9</v>
          </cell>
          <cell r="K414">
            <v>5.3719490832652098E-3</v>
          </cell>
        </row>
        <row r="415">
          <cell r="I415" t="str">
            <v>T3部件</v>
          </cell>
          <cell r="J415">
            <v>9</v>
          </cell>
          <cell r="K415">
            <v>5.3719490832652098E-3</v>
          </cell>
        </row>
        <row r="416">
          <cell r="I416" t="str">
            <v>T3部件</v>
          </cell>
          <cell r="J416">
            <v>9</v>
          </cell>
          <cell r="K416">
            <v>5.3719490832652098E-3</v>
          </cell>
        </row>
        <row r="417">
          <cell r="I417" t="str">
            <v>T3部件</v>
          </cell>
          <cell r="J417">
            <v>9</v>
          </cell>
          <cell r="K417">
            <v>5.3719490832652098E-3</v>
          </cell>
        </row>
        <row r="418">
          <cell r="I418" t="str">
            <v>T3部件</v>
          </cell>
          <cell r="J418">
            <v>9</v>
          </cell>
          <cell r="K418">
            <v>5.3719490832652098E-3</v>
          </cell>
        </row>
        <row r="419">
          <cell r="I419" t="str">
            <v>T3部件</v>
          </cell>
          <cell r="J419">
            <v>9</v>
          </cell>
          <cell r="K419">
            <v>5.3719490832652098E-3</v>
          </cell>
        </row>
        <row r="420">
          <cell r="I420" t="str">
            <v>T3部件</v>
          </cell>
          <cell r="J420">
            <v>9</v>
          </cell>
          <cell r="K420">
            <v>5.3719490832652098E-3</v>
          </cell>
        </row>
        <row r="421">
          <cell r="I421" t="str">
            <v>T3部件</v>
          </cell>
          <cell r="J421">
            <v>9</v>
          </cell>
          <cell r="K421">
            <v>6.3062010977461202E-3</v>
          </cell>
        </row>
        <row r="422">
          <cell r="I422" t="str">
            <v>T1碎片</v>
          </cell>
          <cell r="J422">
            <v>10</v>
          </cell>
          <cell r="K422">
            <v>0.24524115380123801</v>
          </cell>
        </row>
        <row r="423">
          <cell r="I423" t="str">
            <v>T1碎片</v>
          </cell>
          <cell r="J423">
            <v>10</v>
          </cell>
          <cell r="K423">
            <v>0.24524115380123801</v>
          </cell>
        </row>
        <row r="424">
          <cell r="I424" t="str">
            <v>T1碎片</v>
          </cell>
          <cell r="J424">
            <v>10</v>
          </cell>
          <cell r="K424">
            <v>0.24524115380123801</v>
          </cell>
        </row>
        <row r="425">
          <cell r="I425" t="str">
            <v>T2碎片</v>
          </cell>
          <cell r="J425">
            <v>10</v>
          </cell>
          <cell r="K425">
            <v>4.9048230760247599E-2</v>
          </cell>
        </row>
        <row r="426">
          <cell r="I426" t="str">
            <v>T2碎片</v>
          </cell>
          <cell r="J426">
            <v>10</v>
          </cell>
          <cell r="K426">
            <v>4.9048230760247599E-2</v>
          </cell>
        </row>
        <row r="427">
          <cell r="I427" t="str">
            <v>T2碎片</v>
          </cell>
          <cell r="J427">
            <v>10</v>
          </cell>
          <cell r="K427">
            <v>4.9048230760247599E-2</v>
          </cell>
        </row>
        <row r="428">
          <cell r="I428" t="str">
            <v>T3碎片</v>
          </cell>
          <cell r="J428">
            <v>10</v>
          </cell>
          <cell r="K428">
            <v>0.32196660049048198</v>
          </cell>
        </row>
        <row r="429">
          <cell r="I429" t="str">
            <v>T3碎片</v>
          </cell>
          <cell r="J429">
            <v>10</v>
          </cell>
          <cell r="K429">
            <v>0.32196660049048198</v>
          </cell>
        </row>
        <row r="430">
          <cell r="I430" t="str">
            <v>T3碎片</v>
          </cell>
          <cell r="J430">
            <v>10</v>
          </cell>
          <cell r="K430">
            <v>0.32196660049048198</v>
          </cell>
        </row>
        <row r="431">
          <cell r="I431" t="str">
            <v>T3碎片</v>
          </cell>
          <cell r="J431">
            <v>10</v>
          </cell>
          <cell r="K431">
            <v>0.16115847249795601</v>
          </cell>
        </row>
        <row r="432">
          <cell r="I432" t="str">
            <v>T3碎片</v>
          </cell>
          <cell r="J432">
            <v>10</v>
          </cell>
          <cell r="K432">
            <v>0.16115847249795601</v>
          </cell>
        </row>
        <row r="433">
          <cell r="I433" t="str">
            <v>T3碎片</v>
          </cell>
          <cell r="J433">
            <v>10</v>
          </cell>
          <cell r="K433">
            <v>0.16115847249795601</v>
          </cell>
        </row>
        <row r="434">
          <cell r="I434" t="str">
            <v>T1部件</v>
          </cell>
          <cell r="J434">
            <v>10</v>
          </cell>
          <cell r="K434">
            <v>2.1721359336681099E-2</v>
          </cell>
        </row>
        <row r="435">
          <cell r="I435" t="str">
            <v>T1部件</v>
          </cell>
          <cell r="J435">
            <v>10</v>
          </cell>
          <cell r="K435">
            <v>2.1721359336681099E-2</v>
          </cell>
        </row>
        <row r="436">
          <cell r="I436" t="str">
            <v>T1部件</v>
          </cell>
          <cell r="J436">
            <v>10</v>
          </cell>
          <cell r="K436">
            <v>2.1721359336681099E-2</v>
          </cell>
        </row>
        <row r="437">
          <cell r="I437" t="str">
            <v>T1部件</v>
          </cell>
          <cell r="J437">
            <v>10</v>
          </cell>
          <cell r="K437">
            <v>2.1721359336681099E-2</v>
          </cell>
        </row>
        <row r="438">
          <cell r="I438" t="str">
            <v>T1部件</v>
          </cell>
          <cell r="J438">
            <v>10</v>
          </cell>
          <cell r="K438">
            <v>2.1721359336681099E-2</v>
          </cell>
        </row>
        <row r="439">
          <cell r="I439" t="str">
            <v>T1部件</v>
          </cell>
          <cell r="J439">
            <v>10</v>
          </cell>
          <cell r="K439">
            <v>2.1721359336681099E-2</v>
          </cell>
        </row>
        <row r="440">
          <cell r="I440" t="str">
            <v>T1部件</v>
          </cell>
          <cell r="J440">
            <v>10</v>
          </cell>
          <cell r="K440">
            <v>2.1721359336681099E-2</v>
          </cell>
        </row>
        <row r="441">
          <cell r="I441" t="str">
            <v>T1部件</v>
          </cell>
          <cell r="J441">
            <v>10</v>
          </cell>
          <cell r="K441">
            <v>2.1721359336681099E-2</v>
          </cell>
        </row>
        <row r="442">
          <cell r="I442" t="str">
            <v>T1部件</v>
          </cell>
          <cell r="J442">
            <v>10</v>
          </cell>
          <cell r="K442">
            <v>2.1721359336681099E-2</v>
          </cell>
        </row>
        <row r="443">
          <cell r="I443" t="str">
            <v>T1部件</v>
          </cell>
          <cell r="J443">
            <v>10</v>
          </cell>
          <cell r="K443">
            <v>2.1721359336681099E-2</v>
          </cell>
        </row>
        <row r="444">
          <cell r="I444" t="str">
            <v>T1部件</v>
          </cell>
          <cell r="J444">
            <v>10</v>
          </cell>
          <cell r="K444">
            <v>2.1721359336681099E-2</v>
          </cell>
        </row>
        <row r="445">
          <cell r="I445" t="str">
            <v>T1部件</v>
          </cell>
          <cell r="J445">
            <v>10</v>
          </cell>
          <cell r="K445">
            <v>2.1721359336681099E-2</v>
          </cell>
        </row>
        <row r="446">
          <cell r="I446" t="str">
            <v>T1部件</v>
          </cell>
          <cell r="J446">
            <v>10</v>
          </cell>
          <cell r="K446">
            <v>2.1721359336681099E-2</v>
          </cell>
        </row>
        <row r="447">
          <cell r="I447" t="str">
            <v>T1部件</v>
          </cell>
          <cell r="J447">
            <v>10</v>
          </cell>
          <cell r="K447">
            <v>2.1721359336681099E-2</v>
          </cell>
        </row>
        <row r="448">
          <cell r="I448" t="str">
            <v>T1部件</v>
          </cell>
          <cell r="J448">
            <v>10</v>
          </cell>
          <cell r="K448">
            <v>2.1721359336681099E-2</v>
          </cell>
        </row>
        <row r="449">
          <cell r="I449" t="str">
            <v>T1部件</v>
          </cell>
          <cell r="J449">
            <v>10</v>
          </cell>
          <cell r="K449">
            <v>2.1721359336681099E-2</v>
          </cell>
        </row>
        <row r="450">
          <cell r="I450" t="str">
            <v>T1部件</v>
          </cell>
          <cell r="J450">
            <v>10</v>
          </cell>
          <cell r="K450">
            <v>2.1721359336681099E-2</v>
          </cell>
        </row>
        <row r="451">
          <cell r="I451" t="str">
            <v>T1部件</v>
          </cell>
          <cell r="J451">
            <v>10</v>
          </cell>
          <cell r="K451">
            <v>2.1721359336681099E-2</v>
          </cell>
        </row>
        <row r="452">
          <cell r="I452" t="str">
            <v>T2部件</v>
          </cell>
          <cell r="J452">
            <v>10</v>
          </cell>
          <cell r="K452">
            <v>1.00432091556697E-2</v>
          </cell>
        </row>
        <row r="453">
          <cell r="I453" t="str">
            <v>T2部件</v>
          </cell>
          <cell r="J453">
            <v>10</v>
          </cell>
          <cell r="K453">
            <v>1.00432091556697E-2</v>
          </cell>
        </row>
        <row r="454">
          <cell r="I454" t="str">
            <v>T2部件</v>
          </cell>
          <cell r="J454">
            <v>10</v>
          </cell>
          <cell r="K454">
            <v>1.00432091556697E-2</v>
          </cell>
        </row>
        <row r="455">
          <cell r="I455" t="str">
            <v>T2部件</v>
          </cell>
          <cell r="J455">
            <v>10</v>
          </cell>
          <cell r="K455">
            <v>1.00432091556697E-2</v>
          </cell>
        </row>
        <row r="456">
          <cell r="I456" t="str">
            <v>T2部件</v>
          </cell>
          <cell r="J456">
            <v>10</v>
          </cell>
          <cell r="K456">
            <v>1.00432091556697E-2</v>
          </cell>
        </row>
        <row r="457">
          <cell r="I457" t="str">
            <v>T2部件</v>
          </cell>
          <cell r="J457">
            <v>10</v>
          </cell>
          <cell r="K457">
            <v>1.00432091556697E-2</v>
          </cell>
        </row>
        <row r="458">
          <cell r="I458" t="str">
            <v>T2部件</v>
          </cell>
          <cell r="J458">
            <v>10</v>
          </cell>
          <cell r="K458">
            <v>1.00432091556697E-2</v>
          </cell>
        </row>
        <row r="459">
          <cell r="I459" t="str">
            <v>T2部件</v>
          </cell>
          <cell r="J459">
            <v>10</v>
          </cell>
          <cell r="K459">
            <v>1.00432091556697E-2</v>
          </cell>
        </row>
        <row r="460">
          <cell r="I460" t="str">
            <v>T2部件</v>
          </cell>
          <cell r="J460">
            <v>10</v>
          </cell>
          <cell r="K460">
            <v>1.00432091556697E-2</v>
          </cell>
        </row>
        <row r="461">
          <cell r="I461" t="str">
            <v>T2部件</v>
          </cell>
          <cell r="J461">
            <v>10</v>
          </cell>
          <cell r="K461">
            <v>1.00432091556697E-2</v>
          </cell>
        </row>
        <row r="462">
          <cell r="I462" t="str">
            <v>T2部件</v>
          </cell>
          <cell r="J462">
            <v>10</v>
          </cell>
          <cell r="K462">
            <v>1.00432091556697E-2</v>
          </cell>
        </row>
        <row r="463">
          <cell r="I463" t="str">
            <v>T2部件</v>
          </cell>
          <cell r="J463">
            <v>10</v>
          </cell>
          <cell r="K463">
            <v>1.00432091556697E-2</v>
          </cell>
        </row>
        <row r="464">
          <cell r="I464" t="str">
            <v>T2部件</v>
          </cell>
          <cell r="J464">
            <v>10</v>
          </cell>
          <cell r="K464">
            <v>1.00432091556697E-2</v>
          </cell>
        </row>
        <row r="465">
          <cell r="I465" t="str">
            <v>T2部件</v>
          </cell>
          <cell r="J465">
            <v>10</v>
          </cell>
          <cell r="K465">
            <v>1.00432091556697E-2</v>
          </cell>
        </row>
        <row r="466">
          <cell r="I466" t="str">
            <v>T2部件</v>
          </cell>
          <cell r="J466">
            <v>10</v>
          </cell>
          <cell r="K466">
            <v>1.00432091556697E-2</v>
          </cell>
        </row>
        <row r="467">
          <cell r="I467" t="str">
            <v>T2部件</v>
          </cell>
          <cell r="J467">
            <v>10</v>
          </cell>
          <cell r="K467">
            <v>1.00432091556697E-2</v>
          </cell>
        </row>
        <row r="468">
          <cell r="I468" t="str">
            <v>T2部件</v>
          </cell>
          <cell r="J468">
            <v>10</v>
          </cell>
          <cell r="K468">
            <v>1.00432091556697E-2</v>
          </cell>
        </row>
        <row r="469">
          <cell r="I469" t="str">
            <v>T2部件</v>
          </cell>
          <cell r="J469">
            <v>10</v>
          </cell>
          <cell r="K469">
            <v>1.00432091556697E-2</v>
          </cell>
        </row>
        <row r="470">
          <cell r="I470" t="str">
            <v>T3部件</v>
          </cell>
          <cell r="J470">
            <v>10</v>
          </cell>
          <cell r="K470">
            <v>5.3719490832652098E-3</v>
          </cell>
        </row>
        <row r="471">
          <cell r="I471" t="str">
            <v>T3部件</v>
          </cell>
          <cell r="J471">
            <v>10</v>
          </cell>
          <cell r="K471">
            <v>5.3719490832652098E-3</v>
          </cell>
        </row>
        <row r="472">
          <cell r="I472" t="str">
            <v>T3部件</v>
          </cell>
          <cell r="J472">
            <v>10</v>
          </cell>
          <cell r="K472">
            <v>5.3719490832652098E-3</v>
          </cell>
        </row>
        <row r="473">
          <cell r="I473" t="str">
            <v>T3部件</v>
          </cell>
          <cell r="J473">
            <v>10</v>
          </cell>
          <cell r="K473">
            <v>5.3719490832652098E-3</v>
          </cell>
        </row>
        <row r="474">
          <cell r="I474" t="str">
            <v>T3部件</v>
          </cell>
          <cell r="J474">
            <v>10</v>
          </cell>
          <cell r="K474">
            <v>5.3719490832652098E-3</v>
          </cell>
        </row>
        <row r="475">
          <cell r="I475" t="str">
            <v>T3部件</v>
          </cell>
          <cell r="J475">
            <v>10</v>
          </cell>
          <cell r="K475">
            <v>5.3719490832652098E-3</v>
          </cell>
        </row>
        <row r="476">
          <cell r="I476" t="str">
            <v>T3部件</v>
          </cell>
          <cell r="J476">
            <v>10</v>
          </cell>
          <cell r="K476">
            <v>5.3719490832652098E-3</v>
          </cell>
        </row>
        <row r="477">
          <cell r="I477" t="str">
            <v>T3部件</v>
          </cell>
          <cell r="J477">
            <v>10</v>
          </cell>
          <cell r="K477">
            <v>5.3719490832652098E-3</v>
          </cell>
        </row>
        <row r="478">
          <cell r="I478" t="str">
            <v>T3部件</v>
          </cell>
          <cell r="J478">
            <v>10</v>
          </cell>
          <cell r="K478">
            <v>5.3719490832652098E-3</v>
          </cell>
        </row>
        <row r="479">
          <cell r="I479" t="str">
            <v>T3部件</v>
          </cell>
          <cell r="J479">
            <v>10</v>
          </cell>
          <cell r="K479">
            <v>5.3719490832652098E-3</v>
          </cell>
        </row>
        <row r="480">
          <cell r="I480" t="str">
            <v>T3部件</v>
          </cell>
          <cell r="J480">
            <v>10</v>
          </cell>
          <cell r="K480">
            <v>5.3719490832652098E-3</v>
          </cell>
        </row>
        <row r="481">
          <cell r="I481" t="str">
            <v>T3部件</v>
          </cell>
          <cell r="J481">
            <v>10</v>
          </cell>
          <cell r="K481">
            <v>5.3719490832652098E-3</v>
          </cell>
        </row>
        <row r="482">
          <cell r="I482" t="str">
            <v>T3部件</v>
          </cell>
          <cell r="J482">
            <v>10</v>
          </cell>
          <cell r="K482">
            <v>5.3719490832652098E-3</v>
          </cell>
        </row>
        <row r="483">
          <cell r="I483" t="str">
            <v>T3部件</v>
          </cell>
          <cell r="J483">
            <v>10</v>
          </cell>
          <cell r="K483">
            <v>5.3719490832652098E-3</v>
          </cell>
        </row>
        <row r="484">
          <cell r="I484" t="str">
            <v>T3部件</v>
          </cell>
          <cell r="J484">
            <v>10</v>
          </cell>
          <cell r="K484">
            <v>5.3719490832652098E-3</v>
          </cell>
        </row>
        <row r="485">
          <cell r="I485" t="str">
            <v>T3部件</v>
          </cell>
          <cell r="J485">
            <v>10</v>
          </cell>
          <cell r="K485">
            <v>5.3719490832652098E-3</v>
          </cell>
        </row>
        <row r="486">
          <cell r="I486" t="str">
            <v>T3部件</v>
          </cell>
          <cell r="J486">
            <v>10</v>
          </cell>
          <cell r="K486">
            <v>5.3719490832652098E-3</v>
          </cell>
        </row>
        <row r="487">
          <cell r="I487" t="str">
            <v>T3部件</v>
          </cell>
          <cell r="J487">
            <v>10</v>
          </cell>
          <cell r="K487">
            <v>6.3062010977461202E-3</v>
          </cell>
        </row>
      </sheetData>
      <sheetData sheetId="9">
        <row r="1">
          <cell r="I1" t="str">
            <v>类别</v>
          </cell>
          <cell r="J1" t="str">
            <v>联赛等级</v>
          </cell>
          <cell r="K1" t="str">
            <v>计算个数</v>
          </cell>
        </row>
        <row r="2">
          <cell r="I2" t="str">
            <v>T1碎片</v>
          </cell>
          <cell r="J2">
            <v>1</v>
          </cell>
          <cell r="K2">
            <v>0.96431332130894098</v>
          </cell>
        </row>
        <row r="3">
          <cell r="I3" t="str">
            <v>T1碎片</v>
          </cell>
          <cell r="J3">
            <v>1</v>
          </cell>
          <cell r="K3">
            <v>0.96431332130894098</v>
          </cell>
        </row>
        <row r="4">
          <cell r="I4" t="str">
            <v>T1碎片</v>
          </cell>
          <cell r="J4">
            <v>1</v>
          </cell>
          <cell r="K4">
            <v>0.96431332130894098</v>
          </cell>
        </row>
        <row r="5">
          <cell r="I5" t="str">
            <v>T1部件</v>
          </cell>
          <cell r="J5">
            <v>1</v>
          </cell>
          <cell r="K5">
            <v>0.20407111569183201</v>
          </cell>
        </row>
        <row r="6">
          <cell r="I6" t="str">
            <v>T1部件</v>
          </cell>
          <cell r="J6">
            <v>1</v>
          </cell>
          <cell r="K6">
            <v>0.20407111569183201</v>
          </cell>
        </row>
        <row r="7">
          <cell r="I7" t="str">
            <v>T1部件</v>
          </cell>
          <cell r="J7">
            <v>1</v>
          </cell>
          <cell r="K7">
            <v>0.20407111569183201</v>
          </cell>
        </row>
        <row r="8">
          <cell r="I8" t="str">
            <v>T1部件</v>
          </cell>
          <cell r="J8">
            <v>1</v>
          </cell>
          <cell r="K8">
            <v>0.20407111569183201</v>
          </cell>
        </row>
        <row r="9">
          <cell r="I9" t="str">
            <v>T1部件</v>
          </cell>
          <cell r="J9">
            <v>1</v>
          </cell>
          <cell r="K9">
            <v>0.20407111569183201</v>
          </cell>
        </row>
        <row r="10">
          <cell r="I10" t="str">
            <v>T1部件</v>
          </cell>
          <cell r="J10">
            <v>1</v>
          </cell>
          <cell r="K10">
            <v>0.20407111569183201</v>
          </cell>
        </row>
        <row r="11">
          <cell r="I11" t="str">
            <v>T1部件</v>
          </cell>
          <cell r="J11">
            <v>1</v>
          </cell>
          <cell r="K11">
            <v>0.20407111569183201</v>
          </cell>
        </row>
        <row r="12">
          <cell r="I12" t="str">
            <v>T1部件</v>
          </cell>
          <cell r="J12">
            <v>1</v>
          </cell>
          <cell r="K12">
            <v>0.20407111569183201</v>
          </cell>
        </row>
        <row r="13">
          <cell r="I13" t="str">
            <v>T1部件</v>
          </cell>
          <cell r="J13">
            <v>1</v>
          </cell>
          <cell r="K13">
            <v>0.210255088894615</v>
          </cell>
        </row>
        <row r="14">
          <cell r="I14" t="str">
            <v>T1碎片</v>
          </cell>
          <cell r="J14">
            <v>2</v>
          </cell>
          <cell r="K14">
            <v>0.86145360155743</v>
          </cell>
        </row>
        <row r="15">
          <cell r="I15" t="str">
            <v>T1碎片</v>
          </cell>
          <cell r="J15">
            <v>2</v>
          </cell>
          <cell r="K15">
            <v>0.86145360155743</v>
          </cell>
        </row>
        <row r="16">
          <cell r="I16" t="str">
            <v>T1碎片</v>
          </cell>
          <cell r="J16">
            <v>2</v>
          </cell>
          <cell r="K16">
            <v>0.86145360155743</v>
          </cell>
        </row>
        <row r="17">
          <cell r="I17" t="str">
            <v>T2碎片</v>
          </cell>
          <cell r="J17">
            <v>2</v>
          </cell>
          <cell r="K17">
            <v>0.40517521090201197</v>
          </cell>
        </row>
        <row r="18">
          <cell r="I18" t="str">
            <v>T2碎片</v>
          </cell>
          <cell r="J18">
            <v>2</v>
          </cell>
          <cell r="K18">
            <v>0.40517521090201197</v>
          </cell>
        </row>
        <row r="19">
          <cell r="I19" t="str">
            <v>T2碎片</v>
          </cell>
          <cell r="J19">
            <v>2</v>
          </cell>
          <cell r="K19">
            <v>0.40517521090201197</v>
          </cell>
        </row>
        <row r="20">
          <cell r="I20" t="str">
            <v>T1部件</v>
          </cell>
          <cell r="J20">
            <v>2</v>
          </cell>
          <cell r="K20">
            <v>0.121917585983128</v>
          </cell>
        </row>
        <row r="21">
          <cell r="I21" t="str">
            <v>T1部件</v>
          </cell>
          <cell r="J21">
            <v>2</v>
          </cell>
          <cell r="K21">
            <v>0.121917585983128</v>
          </cell>
        </row>
        <row r="22">
          <cell r="I22" t="str">
            <v>T1部件</v>
          </cell>
          <cell r="J22">
            <v>2</v>
          </cell>
          <cell r="K22">
            <v>0.121917585983128</v>
          </cell>
        </row>
        <row r="23">
          <cell r="I23" t="str">
            <v>T1部件</v>
          </cell>
          <cell r="J23">
            <v>2</v>
          </cell>
          <cell r="K23">
            <v>0.121917585983128</v>
          </cell>
        </row>
        <row r="24">
          <cell r="I24" t="str">
            <v>T1部件</v>
          </cell>
          <cell r="J24">
            <v>2</v>
          </cell>
          <cell r="K24">
            <v>0.121917585983128</v>
          </cell>
        </row>
        <row r="25">
          <cell r="I25" t="str">
            <v>T1部件</v>
          </cell>
          <cell r="J25">
            <v>2</v>
          </cell>
          <cell r="K25">
            <v>0.121917585983128</v>
          </cell>
        </row>
        <row r="26">
          <cell r="I26" t="str">
            <v>T1部件</v>
          </cell>
          <cell r="J26">
            <v>2</v>
          </cell>
          <cell r="K26">
            <v>0.121917585983128</v>
          </cell>
        </row>
        <row r="27">
          <cell r="I27" t="str">
            <v>T1部件</v>
          </cell>
          <cell r="J27">
            <v>2</v>
          </cell>
          <cell r="K27">
            <v>0.121917585983128</v>
          </cell>
        </row>
        <row r="28">
          <cell r="I28" t="str">
            <v>T1部件</v>
          </cell>
          <cell r="J28">
            <v>2</v>
          </cell>
          <cell r="K28">
            <v>0.121917585983128</v>
          </cell>
        </row>
        <row r="29">
          <cell r="I29" t="str">
            <v>T1部件</v>
          </cell>
          <cell r="J29">
            <v>2</v>
          </cell>
          <cell r="K29">
            <v>0.121917585983128</v>
          </cell>
        </row>
        <row r="30">
          <cell r="I30" t="str">
            <v>T1部件</v>
          </cell>
          <cell r="J30">
            <v>2</v>
          </cell>
          <cell r="K30">
            <v>0.121917585983128</v>
          </cell>
        </row>
        <row r="31">
          <cell r="I31" t="str">
            <v>T1部件</v>
          </cell>
          <cell r="J31">
            <v>2</v>
          </cell>
          <cell r="K31">
            <v>0.121917585983128</v>
          </cell>
        </row>
        <row r="32">
          <cell r="I32" t="str">
            <v>T1部件</v>
          </cell>
          <cell r="J32">
            <v>2</v>
          </cell>
          <cell r="K32">
            <v>0.121917585983128</v>
          </cell>
        </row>
        <row r="33">
          <cell r="I33" t="str">
            <v>T1部件</v>
          </cell>
          <cell r="J33">
            <v>2</v>
          </cell>
          <cell r="K33">
            <v>0.121917585983128</v>
          </cell>
        </row>
        <row r="34">
          <cell r="I34" t="str">
            <v>T1部件</v>
          </cell>
          <cell r="J34">
            <v>2</v>
          </cell>
          <cell r="K34">
            <v>0.121917585983128</v>
          </cell>
        </row>
        <row r="35">
          <cell r="I35" t="str">
            <v>T1部件</v>
          </cell>
          <cell r="J35">
            <v>2</v>
          </cell>
          <cell r="K35">
            <v>0.121917585983128</v>
          </cell>
        </row>
        <row r="36">
          <cell r="I36" t="str">
            <v>T1部件</v>
          </cell>
          <cell r="J36">
            <v>2</v>
          </cell>
          <cell r="K36">
            <v>0.121917585983128</v>
          </cell>
        </row>
        <row r="37">
          <cell r="I37" t="str">
            <v>T1部件</v>
          </cell>
          <cell r="J37">
            <v>2</v>
          </cell>
          <cell r="K37">
            <v>0.121917585983128</v>
          </cell>
        </row>
        <row r="38">
          <cell r="I38" t="str">
            <v>T0坦克</v>
          </cell>
          <cell r="J38">
            <v>2</v>
          </cell>
          <cell r="K38">
            <v>0.13238157040882501</v>
          </cell>
        </row>
        <row r="39">
          <cell r="I39" t="str">
            <v>T0坦克</v>
          </cell>
          <cell r="J39">
            <v>2</v>
          </cell>
          <cell r="K39">
            <v>7.7384815055158998E-2</v>
          </cell>
        </row>
        <row r="40">
          <cell r="I40" t="str">
            <v>T1碎片</v>
          </cell>
          <cell r="J40">
            <v>3</v>
          </cell>
          <cell r="K40">
            <v>0.57119806373537696</v>
          </cell>
        </row>
        <row r="41">
          <cell r="I41" t="str">
            <v>T1碎片</v>
          </cell>
          <cell r="J41">
            <v>3</v>
          </cell>
          <cell r="K41">
            <v>0.57119806373537696</v>
          </cell>
        </row>
        <row r="42">
          <cell r="I42" t="str">
            <v>T1碎片</v>
          </cell>
          <cell r="J42">
            <v>3</v>
          </cell>
          <cell r="K42">
            <v>0.57119806373537696</v>
          </cell>
        </row>
        <row r="43">
          <cell r="I43" t="str">
            <v>T2碎片</v>
          </cell>
          <cell r="J43">
            <v>3</v>
          </cell>
          <cell r="K43">
            <v>0.35699878983461097</v>
          </cell>
        </row>
        <row r="44">
          <cell r="I44" t="str">
            <v>T2碎片</v>
          </cell>
          <cell r="J44">
            <v>3</v>
          </cell>
          <cell r="K44">
            <v>0.35699878983461097</v>
          </cell>
        </row>
        <row r="45">
          <cell r="I45" t="str">
            <v>T2碎片</v>
          </cell>
          <cell r="J45">
            <v>3</v>
          </cell>
          <cell r="K45">
            <v>0.35699878983461097</v>
          </cell>
        </row>
        <row r="46">
          <cell r="I46" t="str">
            <v>T2碎片</v>
          </cell>
          <cell r="J46">
            <v>3</v>
          </cell>
          <cell r="K46">
            <v>0.25171440096813202</v>
          </cell>
        </row>
        <row r="47">
          <cell r="I47" t="str">
            <v>T2碎片</v>
          </cell>
          <cell r="J47">
            <v>3</v>
          </cell>
          <cell r="K47">
            <v>0.25171440096813202</v>
          </cell>
        </row>
        <row r="48">
          <cell r="I48" t="str">
            <v>T2碎片</v>
          </cell>
          <cell r="J48">
            <v>3</v>
          </cell>
          <cell r="K48">
            <v>0.25171440096813202</v>
          </cell>
        </row>
        <row r="49">
          <cell r="I49" t="str">
            <v>T1部件</v>
          </cell>
          <cell r="J49">
            <v>3</v>
          </cell>
          <cell r="K49">
            <v>7.1803146430012094E-2</v>
          </cell>
        </row>
        <row r="50">
          <cell r="I50" t="str">
            <v>T1部件</v>
          </cell>
          <cell r="J50">
            <v>3</v>
          </cell>
          <cell r="K50">
            <v>7.1803146430012094E-2</v>
          </cell>
        </row>
        <row r="51">
          <cell r="I51" t="str">
            <v>T1部件</v>
          </cell>
          <cell r="J51">
            <v>3</v>
          </cell>
          <cell r="K51">
            <v>7.1803146430012094E-2</v>
          </cell>
        </row>
        <row r="52">
          <cell r="I52" t="str">
            <v>T1部件</v>
          </cell>
          <cell r="J52">
            <v>3</v>
          </cell>
          <cell r="K52">
            <v>7.1803146430012094E-2</v>
          </cell>
        </row>
        <row r="53">
          <cell r="I53" t="str">
            <v>T1部件</v>
          </cell>
          <cell r="J53">
            <v>3</v>
          </cell>
          <cell r="K53">
            <v>7.1803146430012094E-2</v>
          </cell>
        </row>
        <row r="54">
          <cell r="I54" t="str">
            <v>T1部件</v>
          </cell>
          <cell r="J54">
            <v>3</v>
          </cell>
          <cell r="K54">
            <v>7.1803146430012094E-2</v>
          </cell>
        </row>
        <row r="55">
          <cell r="I55" t="str">
            <v>T1部件</v>
          </cell>
          <cell r="J55">
            <v>3</v>
          </cell>
          <cell r="K55">
            <v>7.1803146430012094E-2</v>
          </cell>
        </row>
        <row r="56">
          <cell r="I56" t="str">
            <v>T1部件</v>
          </cell>
          <cell r="J56">
            <v>3</v>
          </cell>
          <cell r="K56">
            <v>7.90641387656313E-2</v>
          </cell>
        </row>
        <row r="57">
          <cell r="I57" t="str">
            <v>T1部件</v>
          </cell>
          <cell r="J57">
            <v>3</v>
          </cell>
          <cell r="K57">
            <v>7.90641387656313E-2</v>
          </cell>
        </row>
        <row r="58">
          <cell r="I58" t="str">
            <v>T1部件</v>
          </cell>
          <cell r="J58">
            <v>3</v>
          </cell>
          <cell r="K58">
            <v>7.90641387656313E-2</v>
          </cell>
        </row>
        <row r="59">
          <cell r="I59" t="str">
            <v>T1部件</v>
          </cell>
          <cell r="J59">
            <v>3</v>
          </cell>
          <cell r="K59">
            <v>7.90641387656313E-2</v>
          </cell>
        </row>
        <row r="60">
          <cell r="I60" t="str">
            <v>T1部件</v>
          </cell>
          <cell r="J60">
            <v>3</v>
          </cell>
          <cell r="K60">
            <v>7.90641387656313E-2</v>
          </cell>
        </row>
        <row r="61">
          <cell r="I61" t="str">
            <v>T1部件</v>
          </cell>
          <cell r="J61">
            <v>3</v>
          </cell>
          <cell r="K61">
            <v>7.90641387656313E-2</v>
          </cell>
        </row>
        <row r="62">
          <cell r="I62" t="str">
            <v>T1部件</v>
          </cell>
          <cell r="J62">
            <v>3</v>
          </cell>
          <cell r="K62">
            <v>7.90641387656313E-2</v>
          </cell>
        </row>
        <row r="63">
          <cell r="I63" t="str">
            <v>T1部件</v>
          </cell>
          <cell r="J63">
            <v>3</v>
          </cell>
          <cell r="K63">
            <v>7.90641387656313E-2</v>
          </cell>
        </row>
        <row r="64">
          <cell r="I64" t="str">
            <v>T1部件</v>
          </cell>
          <cell r="J64">
            <v>3</v>
          </cell>
          <cell r="K64">
            <v>7.90641387656313E-2</v>
          </cell>
        </row>
        <row r="65">
          <cell r="I65" t="str">
            <v>T1部件</v>
          </cell>
          <cell r="J65">
            <v>3</v>
          </cell>
          <cell r="K65">
            <v>7.90641387656313E-2</v>
          </cell>
        </row>
        <row r="66">
          <cell r="I66" t="str">
            <v>T1部件</v>
          </cell>
          <cell r="J66">
            <v>3</v>
          </cell>
          <cell r="K66">
            <v>7.90641387656313E-2</v>
          </cell>
        </row>
        <row r="67">
          <cell r="I67" t="str">
            <v>T2部件</v>
          </cell>
          <cell r="J67">
            <v>3</v>
          </cell>
          <cell r="K67">
            <v>4.0742234772085502E-2</v>
          </cell>
        </row>
        <row r="68">
          <cell r="I68" t="str">
            <v>T2部件</v>
          </cell>
          <cell r="J68">
            <v>3</v>
          </cell>
          <cell r="K68">
            <v>4.0742234772085502E-2</v>
          </cell>
        </row>
        <row r="69">
          <cell r="I69" t="str">
            <v>T2部件</v>
          </cell>
          <cell r="J69">
            <v>3</v>
          </cell>
          <cell r="K69">
            <v>4.0742234772085502E-2</v>
          </cell>
        </row>
        <row r="70">
          <cell r="I70" t="str">
            <v>T2部件</v>
          </cell>
          <cell r="J70">
            <v>3</v>
          </cell>
          <cell r="K70">
            <v>4.0742234772085502E-2</v>
          </cell>
        </row>
        <row r="71">
          <cell r="I71" t="str">
            <v>T2部件</v>
          </cell>
          <cell r="J71">
            <v>3</v>
          </cell>
          <cell r="K71">
            <v>4.0742234772085502E-2</v>
          </cell>
        </row>
        <row r="72">
          <cell r="I72" t="str">
            <v>T2部件</v>
          </cell>
          <cell r="J72">
            <v>3</v>
          </cell>
          <cell r="K72">
            <v>4.0742234772085502E-2</v>
          </cell>
        </row>
        <row r="73">
          <cell r="I73" t="str">
            <v>T2部件</v>
          </cell>
          <cell r="J73">
            <v>3</v>
          </cell>
          <cell r="K73">
            <v>4.0742234772085502E-2</v>
          </cell>
        </row>
        <row r="74">
          <cell r="I74" t="str">
            <v>T2部件</v>
          </cell>
          <cell r="J74">
            <v>3</v>
          </cell>
          <cell r="K74">
            <v>4.0742234772085502E-2</v>
          </cell>
        </row>
        <row r="75">
          <cell r="I75" t="str">
            <v>T2部件</v>
          </cell>
          <cell r="J75">
            <v>3</v>
          </cell>
          <cell r="K75">
            <v>4.0742234772085502E-2</v>
          </cell>
        </row>
        <row r="76">
          <cell r="I76" t="str">
            <v>T0坦克</v>
          </cell>
          <cell r="J76">
            <v>3</v>
          </cell>
          <cell r="K76">
            <v>2.2186365469947601E-2</v>
          </cell>
        </row>
        <row r="77">
          <cell r="I77" t="str">
            <v>T0坦克</v>
          </cell>
          <cell r="J77">
            <v>3</v>
          </cell>
          <cell r="K77">
            <v>2.1379588543767598E-2</v>
          </cell>
        </row>
        <row r="78">
          <cell r="I78" t="str">
            <v>T1碎片</v>
          </cell>
          <cell r="J78">
            <v>4</v>
          </cell>
          <cell r="K78">
            <v>0.47405846721095601</v>
          </cell>
        </row>
        <row r="79">
          <cell r="I79" t="str">
            <v>T1碎片</v>
          </cell>
          <cell r="J79">
            <v>4</v>
          </cell>
          <cell r="K79">
            <v>0.47405846721095601</v>
          </cell>
        </row>
        <row r="80">
          <cell r="I80" t="str">
            <v>T1碎片</v>
          </cell>
          <cell r="J80">
            <v>4</v>
          </cell>
          <cell r="K80">
            <v>0.47405846721095601</v>
          </cell>
        </row>
        <row r="81">
          <cell r="I81" t="str">
            <v>T2碎片</v>
          </cell>
          <cell r="J81">
            <v>4</v>
          </cell>
          <cell r="K81">
            <v>0.70950750592573097</v>
          </cell>
        </row>
        <row r="82">
          <cell r="I82" t="str">
            <v>T2碎片</v>
          </cell>
          <cell r="J82">
            <v>4</v>
          </cell>
          <cell r="K82">
            <v>0.70950750592573097</v>
          </cell>
        </row>
        <row r="83">
          <cell r="I83" t="str">
            <v>T2碎片</v>
          </cell>
          <cell r="J83">
            <v>4</v>
          </cell>
          <cell r="K83">
            <v>0.70950750592573097</v>
          </cell>
        </row>
        <row r="84">
          <cell r="I84" t="str">
            <v>T2碎片</v>
          </cell>
          <cell r="J84">
            <v>4</v>
          </cell>
          <cell r="K84">
            <v>0.28265736107453299</v>
          </cell>
        </row>
        <row r="85">
          <cell r="I85" t="str">
            <v>T2碎片</v>
          </cell>
          <cell r="J85">
            <v>4</v>
          </cell>
          <cell r="K85">
            <v>0.28265736107453299</v>
          </cell>
        </row>
        <row r="86">
          <cell r="I86" t="str">
            <v>T2碎片</v>
          </cell>
          <cell r="J86">
            <v>4</v>
          </cell>
          <cell r="K86">
            <v>0.28265736107453299</v>
          </cell>
        </row>
        <row r="87">
          <cell r="I87" t="str">
            <v>T1部件</v>
          </cell>
          <cell r="J87">
            <v>4</v>
          </cell>
          <cell r="K87">
            <v>5.9652357124045298E-2</v>
          </cell>
        </row>
        <row r="88">
          <cell r="I88" t="str">
            <v>T1部件</v>
          </cell>
          <cell r="J88">
            <v>4</v>
          </cell>
          <cell r="K88">
            <v>5.9652357124045298E-2</v>
          </cell>
        </row>
        <row r="89">
          <cell r="I89" t="str">
            <v>T1部件</v>
          </cell>
          <cell r="J89">
            <v>4</v>
          </cell>
          <cell r="K89">
            <v>5.9652357124045298E-2</v>
          </cell>
        </row>
        <row r="90">
          <cell r="I90" t="str">
            <v>T1部件</v>
          </cell>
          <cell r="J90">
            <v>4</v>
          </cell>
          <cell r="K90">
            <v>5.9652357124045298E-2</v>
          </cell>
        </row>
        <row r="91">
          <cell r="I91" t="str">
            <v>T1部件</v>
          </cell>
          <cell r="J91">
            <v>4</v>
          </cell>
          <cell r="K91">
            <v>5.9652357124045298E-2</v>
          </cell>
        </row>
        <row r="92">
          <cell r="I92" t="str">
            <v>T1部件</v>
          </cell>
          <cell r="J92">
            <v>4</v>
          </cell>
          <cell r="K92">
            <v>5.9652357124045298E-2</v>
          </cell>
        </row>
        <row r="93">
          <cell r="I93" t="str">
            <v>T1部件</v>
          </cell>
          <cell r="J93">
            <v>4</v>
          </cell>
          <cell r="K93">
            <v>5.9652357124045298E-2</v>
          </cell>
        </row>
        <row r="94">
          <cell r="I94" t="str">
            <v>T1部件</v>
          </cell>
          <cell r="J94">
            <v>4</v>
          </cell>
          <cell r="K94">
            <v>5.9652357124045298E-2</v>
          </cell>
        </row>
        <row r="95">
          <cell r="I95" t="str">
            <v>T1部件</v>
          </cell>
          <cell r="J95">
            <v>4</v>
          </cell>
          <cell r="K95">
            <v>5.9652357124045298E-2</v>
          </cell>
        </row>
        <row r="96">
          <cell r="I96" t="str">
            <v>T1部件</v>
          </cell>
          <cell r="J96">
            <v>4</v>
          </cell>
          <cell r="K96">
            <v>5.9652357124045298E-2</v>
          </cell>
        </row>
        <row r="97">
          <cell r="I97" t="str">
            <v>T1部件</v>
          </cell>
          <cell r="J97">
            <v>4</v>
          </cell>
          <cell r="K97">
            <v>5.9652357124045298E-2</v>
          </cell>
        </row>
        <row r="98">
          <cell r="I98" t="str">
            <v>T1部件</v>
          </cell>
          <cell r="J98">
            <v>4</v>
          </cell>
          <cell r="K98">
            <v>5.9652357124045298E-2</v>
          </cell>
        </row>
        <row r="99">
          <cell r="I99" t="str">
            <v>T1部件</v>
          </cell>
          <cell r="J99">
            <v>4</v>
          </cell>
          <cell r="K99">
            <v>5.9652357124045298E-2</v>
          </cell>
        </row>
        <row r="100">
          <cell r="I100" t="str">
            <v>T1部件</v>
          </cell>
          <cell r="J100">
            <v>4</v>
          </cell>
          <cell r="K100">
            <v>5.9652357124045298E-2</v>
          </cell>
        </row>
        <row r="101">
          <cell r="I101" t="str">
            <v>T1部件</v>
          </cell>
          <cell r="J101">
            <v>4</v>
          </cell>
          <cell r="K101">
            <v>5.9652357124045298E-2</v>
          </cell>
        </row>
        <row r="102">
          <cell r="I102" t="str">
            <v>T1部件</v>
          </cell>
          <cell r="J102">
            <v>4</v>
          </cell>
          <cell r="K102">
            <v>5.9652357124045298E-2</v>
          </cell>
        </row>
        <row r="103">
          <cell r="I103" t="str">
            <v>T1部件</v>
          </cell>
          <cell r="J103">
            <v>4</v>
          </cell>
          <cell r="K103">
            <v>5.9652357124045298E-2</v>
          </cell>
        </row>
        <row r="104">
          <cell r="I104" t="str">
            <v>T1部件</v>
          </cell>
          <cell r="J104">
            <v>4</v>
          </cell>
          <cell r="K104">
            <v>5.9652357124045298E-2</v>
          </cell>
        </row>
        <row r="105">
          <cell r="I105" t="str">
            <v>T2部件</v>
          </cell>
          <cell r="J105">
            <v>4</v>
          </cell>
          <cell r="K105">
            <v>3.0023702923360499E-2</v>
          </cell>
        </row>
        <row r="106">
          <cell r="I106" t="str">
            <v>T2部件</v>
          </cell>
          <cell r="J106">
            <v>4</v>
          </cell>
          <cell r="K106">
            <v>3.0023702923360499E-2</v>
          </cell>
        </row>
        <row r="107">
          <cell r="I107" t="str">
            <v>T2部件</v>
          </cell>
          <cell r="J107">
            <v>4</v>
          </cell>
          <cell r="K107">
            <v>3.0023702923360499E-2</v>
          </cell>
        </row>
        <row r="108">
          <cell r="I108" t="str">
            <v>T2部件</v>
          </cell>
          <cell r="J108">
            <v>4</v>
          </cell>
          <cell r="K108">
            <v>3.0023702923360499E-2</v>
          </cell>
        </row>
        <row r="109">
          <cell r="I109" t="str">
            <v>T2部件</v>
          </cell>
          <cell r="J109">
            <v>4</v>
          </cell>
          <cell r="K109">
            <v>3.0023702923360499E-2</v>
          </cell>
        </row>
        <row r="110">
          <cell r="I110" t="str">
            <v>T2部件</v>
          </cell>
          <cell r="J110">
            <v>4</v>
          </cell>
          <cell r="K110">
            <v>3.0023702923360499E-2</v>
          </cell>
        </row>
        <row r="111">
          <cell r="I111" t="str">
            <v>T2部件</v>
          </cell>
          <cell r="J111">
            <v>4</v>
          </cell>
          <cell r="K111">
            <v>3.0023702923360499E-2</v>
          </cell>
        </row>
        <row r="112">
          <cell r="I112" t="str">
            <v>T2部件</v>
          </cell>
          <cell r="J112">
            <v>4</v>
          </cell>
          <cell r="K112">
            <v>3.0023702923360499E-2</v>
          </cell>
        </row>
        <row r="113">
          <cell r="I113" t="str">
            <v>T2部件</v>
          </cell>
          <cell r="J113">
            <v>4</v>
          </cell>
          <cell r="K113">
            <v>3.0023702923360499E-2</v>
          </cell>
        </row>
        <row r="114">
          <cell r="I114" t="str">
            <v>T2部件</v>
          </cell>
          <cell r="J114">
            <v>4</v>
          </cell>
          <cell r="K114">
            <v>3.0023702923360499E-2</v>
          </cell>
        </row>
        <row r="115">
          <cell r="I115" t="str">
            <v>T2部件</v>
          </cell>
          <cell r="J115">
            <v>4</v>
          </cell>
          <cell r="K115">
            <v>3.0023702923360499E-2</v>
          </cell>
        </row>
        <row r="116">
          <cell r="I116" t="str">
            <v>T2部件</v>
          </cell>
          <cell r="J116">
            <v>4</v>
          </cell>
          <cell r="K116">
            <v>3.0023702923360499E-2</v>
          </cell>
        </row>
        <row r="117">
          <cell r="I117" t="str">
            <v>T2部件</v>
          </cell>
          <cell r="J117">
            <v>4</v>
          </cell>
          <cell r="K117">
            <v>3.0023702923360499E-2</v>
          </cell>
        </row>
        <row r="118">
          <cell r="I118" t="str">
            <v>T2部件</v>
          </cell>
          <cell r="J118">
            <v>4</v>
          </cell>
          <cell r="K118">
            <v>3.0023702923360499E-2</v>
          </cell>
        </row>
        <row r="119">
          <cell r="I119" t="str">
            <v>T2部件</v>
          </cell>
          <cell r="J119">
            <v>4</v>
          </cell>
          <cell r="K119">
            <v>3.0023702923360499E-2</v>
          </cell>
        </row>
        <row r="120">
          <cell r="I120" t="str">
            <v>T2部件</v>
          </cell>
          <cell r="J120">
            <v>4</v>
          </cell>
          <cell r="K120">
            <v>3.0023702923360499E-2</v>
          </cell>
        </row>
        <row r="121">
          <cell r="I121" t="str">
            <v>T2部件</v>
          </cell>
          <cell r="J121">
            <v>4</v>
          </cell>
          <cell r="K121">
            <v>3.0023702923360499E-2</v>
          </cell>
        </row>
        <row r="122">
          <cell r="I122" t="str">
            <v>T2部件</v>
          </cell>
          <cell r="J122">
            <v>4</v>
          </cell>
          <cell r="K122">
            <v>3.0023702923360499E-2</v>
          </cell>
        </row>
        <row r="123">
          <cell r="I123" t="str">
            <v>T0坦克</v>
          </cell>
          <cell r="J123">
            <v>4</v>
          </cell>
          <cell r="K123">
            <v>2.1727679747168799E-2</v>
          </cell>
        </row>
        <row r="124">
          <cell r="I124" t="str">
            <v>T0坦克</v>
          </cell>
          <cell r="J124">
            <v>4</v>
          </cell>
          <cell r="K124">
            <v>2.9628654200684799E-2</v>
          </cell>
        </row>
        <row r="125">
          <cell r="I125" t="str">
            <v>T1碎片</v>
          </cell>
          <cell r="J125">
            <v>5</v>
          </cell>
          <cell r="K125">
            <v>0.47118564005668401</v>
          </cell>
        </row>
        <row r="126">
          <cell r="I126" t="str">
            <v>T1碎片</v>
          </cell>
          <cell r="J126">
            <v>5</v>
          </cell>
          <cell r="K126">
            <v>0.47118564005668401</v>
          </cell>
        </row>
        <row r="127">
          <cell r="I127" t="str">
            <v>T1碎片</v>
          </cell>
          <cell r="J127">
            <v>5</v>
          </cell>
          <cell r="K127">
            <v>0.47118564005668401</v>
          </cell>
        </row>
        <row r="128">
          <cell r="I128" t="str">
            <v>T2碎片</v>
          </cell>
          <cell r="J128">
            <v>5</v>
          </cell>
          <cell r="K128">
            <v>0.36065186584789799</v>
          </cell>
        </row>
        <row r="129">
          <cell r="I129" t="str">
            <v>T2碎片</v>
          </cell>
          <cell r="J129">
            <v>5</v>
          </cell>
          <cell r="K129">
            <v>0.36065186584789799</v>
          </cell>
        </row>
        <row r="130">
          <cell r="I130" t="str">
            <v>T2碎片</v>
          </cell>
          <cell r="J130">
            <v>5</v>
          </cell>
          <cell r="K130">
            <v>0.36065186584789799</v>
          </cell>
        </row>
        <row r="131">
          <cell r="I131" t="str">
            <v>T3碎片</v>
          </cell>
          <cell r="J131">
            <v>5</v>
          </cell>
          <cell r="K131">
            <v>0.32150448748228599</v>
          </cell>
        </row>
        <row r="132">
          <cell r="I132" t="str">
            <v>T3碎片</v>
          </cell>
          <cell r="J132">
            <v>5</v>
          </cell>
          <cell r="K132">
            <v>0.32150448748228599</v>
          </cell>
        </row>
        <row r="133">
          <cell r="I133" t="str">
            <v>T3碎片</v>
          </cell>
          <cell r="J133">
            <v>5</v>
          </cell>
          <cell r="K133">
            <v>0.32150448748228599</v>
          </cell>
        </row>
        <row r="134">
          <cell r="I134" t="str">
            <v>T3碎片</v>
          </cell>
          <cell r="J134">
            <v>5</v>
          </cell>
          <cell r="K134">
            <v>0.12647614548889899</v>
          </cell>
        </row>
        <row r="135">
          <cell r="I135" t="str">
            <v>T3碎片</v>
          </cell>
          <cell r="J135">
            <v>5</v>
          </cell>
          <cell r="K135">
            <v>0.12647614548889899</v>
          </cell>
        </row>
        <row r="136">
          <cell r="I136" t="str">
            <v>T3碎片</v>
          </cell>
          <cell r="J136">
            <v>5</v>
          </cell>
          <cell r="K136">
            <v>0.12647614548889899</v>
          </cell>
        </row>
        <row r="137">
          <cell r="I137" t="str">
            <v>T1部件</v>
          </cell>
          <cell r="J137">
            <v>5</v>
          </cell>
          <cell r="K137">
            <v>5.6861124232404303E-2</v>
          </cell>
        </row>
        <row r="138">
          <cell r="I138" t="str">
            <v>T1部件</v>
          </cell>
          <cell r="J138">
            <v>5</v>
          </cell>
          <cell r="K138">
            <v>5.6861124232404303E-2</v>
          </cell>
        </row>
        <row r="139">
          <cell r="I139" t="str">
            <v>T1部件</v>
          </cell>
          <cell r="J139">
            <v>5</v>
          </cell>
          <cell r="K139">
            <v>5.6861124232404303E-2</v>
          </cell>
        </row>
        <row r="140">
          <cell r="I140" t="str">
            <v>T1部件</v>
          </cell>
          <cell r="J140">
            <v>5</v>
          </cell>
          <cell r="K140">
            <v>5.6861124232404303E-2</v>
          </cell>
        </row>
        <row r="141">
          <cell r="I141" t="str">
            <v>T1部件</v>
          </cell>
          <cell r="J141">
            <v>5</v>
          </cell>
          <cell r="K141">
            <v>5.6861124232404303E-2</v>
          </cell>
        </row>
        <row r="142">
          <cell r="I142" t="str">
            <v>T1部件</v>
          </cell>
          <cell r="J142">
            <v>5</v>
          </cell>
          <cell r="K142">
            <v>5.6861124232404303E-2</v>
          </cell>
        </row>
        <row r="143">
          <cell r="I143" t="str">
            <v>T1部件</v>
          </cell>
          <cell r="J143">
            <v>5</v>
          </cell>
          <cell r="K143">
            <v>5.6861124232404303E-2</v>
          </cell>
        </row>
        <row r="144">
          <cell r="I144" t="str">
            <v>T1部件</v>
          </cell>
          <cell r="J144">
            <v>5</v>
          </cell>
          <cell r="K144">
            <v>5.6861124232404303E-2</v>
          </cell>
        </row>
        <row r="145">
          <cell r="I145" t="str">
            <v>T1部件</v>
          </cell>
          <cell r="J145">
            <v>5</v>
          </cell>
          <cell r="K145">
            <v>5.6861124232404303E-2</v>
          </cell>
        </row>
        <row r="146">
          <cell r="I146" t="str">
            <v>T1部件</v>
          </cell>
          <cell r="J146">
            <v>5</v>
          </cell>
          <cell r="K146">
            <v>5.6861124232404303E-2</v>
          </cell>
        </row>
        <row r="147">
          <cell r="I147" t="str">
            <v>T1部件</v>
          </cell>
          <cell r="J147">
            <v>5</v>
          </cell>
          <cell r="K147">
            <v>5.6861124232404303E-2</v>
          </cell>
        </row>
        <row r="148">
          <cell r="I148" t="str">
            <v>T1部件</v>
          </cell>
          <cell r="J148">
            <v>5</v>
          </cell>
          <cell r="K148">
            <v>5.6861124232404303E-2</v>
          </cell>
        </row>
        <row r="149">
          <cell r="I149" t="str">
            <v>T1部件</v>
          </cell>
          <cell r="J149">
            <v>5</v>
          </cell>
          <cell r="K149">
            <v>5.6861124232404303E-2</v>
          </cell>
        </row>
        <row r="150">
          <cell r="I150" t="str">
            <v>T1部件</v>
          </cell>
          <cell r="J150">
            <v>5</v>
          </cell>
          <cell r="K150">
            <v>5.6861124232404303E-2</v>
          </cell>
        </row>
        <row r="151">
          <cell r="I151" t="str">
            <v>T1部件</v>
          </cell>
          <cell r="J151">
            <v>5</v>
          </cell>
          <cell r="K151">
            <v>5.6861124232404303E-2</v>
          </cell>
        </row>
        <row r="152">
          <cell r="I152" t="str">
            <v>T1部件</v>
          </cell>
          <cell r="J152">
            <v>5</v>
          </cell>
          <cell r="K152">
            <v>5.6861124232404303E-2</v>
          </cell>
        </row>
        <row r="153">
          <cell r="I153" t="str">
            <v>T1部件</v>
          </cell>
          <cell r="J153">
            <v>5</v>
          </cell>
          <cell r="K153">
            <v>5.6861124232404303E-2</v>
          </cell>
        </row>
        <row r="154">
          <cell r="I154" t="str">
            <v>T1部件</v>
          </cell>
          <cell r="J154">
            <v>5</v>
          </cell>
          <cell r="K154">
            <v>5.6861124232404303E-2</v>
          </cell>
        </row>
        <row r="155">
          <cell r="I155" t="str">
            <v>T2部件</v>
          </cell>
          <cell r="J155">
            <v>5</v>
          </cell>
          <cell r="K155">
            <v>2.7987718469532401E-2</v>
          </cell>
        </row>
        <row r="156">
          <cell r="I156" t="str">
            <v>T2部件</v>
          </cell>
          <cell r="J156">
            <v>5</v>
          </cell>
          <cell r="K156">
            <v>2.7987718469532401E-2</v>
          </cell>
        </row>
        <row r="157">
          <cell r="I157" t="str">
            <v>T2部件</v>
          </cell>
          <cell r="J157">
            <v>5</v>
          </cell>
          <cell r="K157">
            <v>2.7987718469532401E-2</v>
          </cell>
        </row>
        <row r="158">
          <cell r="I158" t="str">
            <v>T2部件</v>
          </cell>
          <cell r="J158">
            <v>5</v>
          </cell>
          <cell r="K158">
            <v>2.7987718469532401E-2</v>
          </cell>
        </row>
        <row r="159">
          <cell r="I159" t="str">
            <v>T2部件</v>
          </cell>
          <cell r="J159">
            <v>5</v>
          </cell>
          <cell r="K159">
            <v>2.7987718469532401E-2</v>
          </cell>
        </row>
        <row r="160">
          <cell r="I160" t="str">
            <v>T2部件</v>
          </cell>
          <cell r="J160">
            <v>5</v>
          </cell>
          <cell r="K160">
            <v>2.7987718469532401E-2</v>
          </cell>
        </row>
        <row r="161">
          <cell r="I161" t="str">
            <v>T2部件</v>
          </cell>
          <cell r="J161">
            <v>5</v>
          </cell>
          <cell r="K161">
            <v>2.7987718469532401E-2</v>
          </cell>
        </row>
        <row r="162">
          <cell r="I162" t="str">
            <v>T2部件</v>
          </cell>
          <cell r="J162">
            <v>5</v>
          </cell>
          <cell r="K162">
            <v>2.7987718469532401E-2</v>
          </cell>
        </row>
        <row r="163">
          <cell r="I163" t="str">
            <v>T2部件</v>
          </cell>
          <cell r="J163">
            <v>5</v>
          </cell>
          <cell r="K163">
            <v>2.7987718469532401E-2</v>
          </cell>
        </row>
        <row r="164">
          <cell r="I164" t="str">
            <v>T2部件</v>
          </cell>
          <cell r="J164">
            <v>5</v>
          </cell>
          <cell r="K164">
            <v>2.7987718469532401E-2</v>
          </cell>
        </row>
        <row r="165">
          <cell r="I165" t="str">
            <v>T2部件</v>
          </cell>
          <cell r="J165">
            <v>5</v>
          </cell>
          <cell r="K165">
            <v>2.7987718469532401E-2</v>
          </cell>
        </row>
        <row r="166">
          <cell r="I166" t="str">
            <v>T2部件</v>
          </cell>
          <cell r="J166">
            <v>5</v>
          </cell>
          <cell r="K166">
            <v>2.7987718469532401E-2</v>
          </cell>
        </row>
        <row r="167">
          <cell r="I167" t="str">
            <v>T2部件</v>
          </cell>
          <cell r="J167">
            <v>5</v>
          </cell>
          <cell r="K167">
            <v>2.7987718469532401E-2</v>
          </cell>
        </row>
        <row r="168">
          <cell r="I168" t="str">
            <v>T2部件</v>
          </cell>
          <cell r="J168">
            <v>5</v>
          </cell>
          <cell r="K168">
            <v>2.7987718469532401E-2</v>
          </cell>
        </row>
        <row r="169">
          <cell r="I169" t="str">
            <v>T2部件</v>
          </cell>
          <cell r="J169">
            <v>5</v>
          </cell>
          <cell r="K169">
            <v>2.7987718469532401E-2</v>
          </cell>
        </row>
        <row r="170">
          <cell r="I170" t="str">
            <v>T2部件</v>
          </cell>
          <cell r="J170">
            <v>5</v>
          </cell>
          <cell r="K170">
            <v>2.7987718469532401E-2</v>
          </cell>
        </row>
        <row r="171">
          <cell r="I171" t="str">
            <v>T2部件</v>
          </cell>
          <cell r="J171">
            <v>5</v>
          </cell>
          <cell r="K171">
            <v>2.7987718469532401E-2</v>
          </cell>
        </row>
        <row r="172">
          <cell r="I172" t="str">
            <v>T2部件</v>
          </cell>
          <cell r="J172">
            <v>5</v>
          </cell>
          <cell r="K172">
            <v>2.7987718469532401E-2</v>
          </cell>
        </row>
        <row r="173">
          <cell r="I173" t="str">
            <v>T0坦克</v>
          </cell>
          <cell r="J173">
            <v>5</v>
          </cell>
          <cell r="K173">
            <v>2.5862068965517199E-2</v>
          </cell>
        </row>
        <row r="174">
          <cell r="I174" t="str">
            <v>T0坦克</v>
          </cell>
          <cell r="J174">
            <v>5</v>
          </cell>
          <cell r="K174">
            <v>2.26735947094946E-2</v>
          </cell>
        </row>
        <row r="175">
          <cell r="I175" t="str">
            <v>T1碎片</v>
          </cell>
          <cell r="J175">
            <v>6</v>
          </cell>
          <cell r="K175">
            <v>0.45383236216943101</v>
          </cell>
        </row>
        <row r="176">
          <cell r="I176" t="str">
            <v>T1碎片</v>
          </cell>
          <cell r="J176">
            <v>6</v>
          </cell>
          <cell r="K176">
            <v>0.45383236216943101</v>
          </cell>
        </row>
        <row r="177">
          <cell r="I177" t="str">
            <v>T1碎片</v>
          </cell>
          <cell r="J177">
            <v>6</v>
          </cell>
          <cell r="K177">
            <v>0.45383236216943101</v>
          </cell>
        </row>
        <row r="178">
          <cell r="I178" t="str">
            <v>T2碎片</v>
          </cell>
          <cell r="J178">
            <v>6</v>
          </cell>
          <cell r="K178">
            <v>0.28574630210667901</v>
          </cell>
        </row>
        <row r="179">
          <cell r="I179" t="str">
            <v>T2碎片</v>
          </cell>
          <cell r="J179">
            <v>6</v>
          </cell>
          <cell r="K179">
            <v>0.28574630210667901</v>
          </cell>
        </row>
        <row r="180">
          <cell r="I180" t="str">
            <v>T2碎片</v>
          </cell>
          <cell r="J180">
            <v>6</v>
          </cell>
          <cell r="K180">
            <v>0.28574630210667901</v>
          </cell>
        </row>
        <row r="181">
          <cell r="I181" t="str">
            <v>T3碎片</v>
          </cell>
          <cell r="J181">
            <v>6</v>
          </cell>
          <cell r="K181">
            <v>0.32474226804123701</v>
          </cell>
        </row>
        <row r="182">
          <cell r="I182" t="str">
            <v>T3碎片</v>
          </cell>
          <cell r="J182">
            <v>6</v>
          </cell>
          <cell r="K182">
            <v>0.32474226804123701</v>
          </cell>
        </row>
        <row r="183">
          <cell r="I183" t="str">
            <v>T3碎片</v>
          </cell>
          <cell r="J183">
            <v>6</v>
          </cell>
          <cell r="K183">
            <v>0.32474226804123701</v>
          </cell>
        </row>
        <row r="184">
          <cell r="I184" t="str">
            <v>T3碎片</v>
          </cell>
          <cell r="J184">
            <v>6</v>
          </cell>
          <cell r="K184">
            <v>0.19968623935454999</v>
          </cell>
        </row>
        <row r="185">
          <cell r="I185" t="str">
            <v>T3碎片</v>
          </cell>
          <cell r="J185">
            <v>6</v>
          </cell>
          <cell r="K185">
            <v>0.19968623935454999</v>
          </cell>
        </row>
        <row r="186">
          <cell r="I186" t="str">
            <v>T3碎片</v>
          </cell>
          <cell r="J186">
            <v>6</v>
          </cell>
          <cell r="K186">
            <v>0.19968623935454999</v>
          </cell>
        </row>
        <row r="187">
          <cell r="I187" t="str">
            <v>T1部件</v>
          </cell>
          <cell r="J187">
            <v>6</v>
          </cell>
          <cell r="K187">
            <v>4.6727924697445099E-2</v>
          </cell>
        </row>
        <row r="188">
          <cell r="I188" t="str">
            <v>T1部件</v>
          </cell>
          <cell r="J188">
            <v>6</v>
          </cell>
          <cell r="K188">
            <v>4.6727924697445099E-2</v>
          </cell>
        </row>
        <row r="189">
          <cell r="I189" t="str">
            <v>T1部件</v>
          </cell>
          <cell r="J189">
            <v>6</v>
          </cell>
          <cell r="K189">
            <v>4.6727924697445099E-2</v>
          </cell>
        </row>
        <row r="190">
          <cell r="I190" t="str">
            <v>T1部件</v>
          </cell>
          <cell r="J190">
            <v>6</v>
          </cell>
          <cell r="K190">
            <v>4.6727924697445099E-2</v>
          </cell>
        </row>
        <row r="191">
          <cell r="I191" t="str">
            <v>T1部件</v>
          </cell>
          <cell r="J191">
            <v>6</v>
          </cell>
          <cell r="K191">
            <v>4.6727924697445099E-2</v>
          </cell>
        </row>
        <row r="192">
          <cell r="I192" t="str">
            <v>T1部件</v>
          </cell>
          <cell r="J192">
            <v>6</v>
          </cell>
          <cell r="K192">
            <v>4.6727924697445099E-2</v>
          </cell>
        </row>
        <row r="193">
          <cell r="I193" t="str">
            <v>T1部件</v>
          </cell>
          <cell r="J193">
            <v>6</v>
          </cell>
          <cell r="K193">
            <v>4.6727924697445099E-2</v>
          </cell>
        </row>
        <row r="194">
          <cell r="I194" t="str">
            <v>T1部件</v>
          </cell>
          <cell r="J194">
            <v>6</v>
          </cell>
          <cell r="K194">
            <v>4.6727924697445099E-2</v>
          </cell>
        </row>
        <row r="195">
          <cell r="I195" t="str">
            <v>T1部件</v>
          </cell>
          <cell r="J195">
            <v>6</v>
          </cell>
          <cell r="K195">
            <v>4.6727924697445099E-2</v>
          </cell>
        </row>
        <row r="196">
          <cell r="I196" t="str">
            <v>T1部件</v>
          </cell>
          <cell r="J196">
            <v>6</v>
          </cell>
          <cell r="K196">
            <v>4.6727924697445099E-2</v>
          </cell>
        </row>
        <row r="197">
          <cell r="I197" t="str">
            <v>T1部件</v>
          </cell>
          <cell r="J197">
            <v>6</v>
          </cell>
          <cell r="K197">
            <v>4.6727924697445099E-2</v>
          </cell>
        </row>
        <row r="198">
          <cell r="I198" t="str">
            <v>T1部件</v>
          </cell>
          <cell r="J198">
            <v>6</v>
          </cell>
          <cell r="K198">
            <v>4.6727924697445099E-2</v>
          </cell>
        </row>
        <row r="199">
          <cell r="I199" t="str">
            <v>T1部件</v>
          </cell>
          <cell r="J199">
            <v>6</v>
          </cell>
          <cell r="K199">
            <v>4.6727924697445099E-2</v>
          </cell>
        </row>
        <row r="200">
          <cell r="I200" t="str">
            <v>T1部件</v>
          </cell>
          <cell r="J200">
            <v>6</v>
          </cell>
          <cell r="K200">
            <v>4.6727924697445099E-2</v>
          </cell>
        </row>
        <row r="201">
          <cell r="I201" t="str">
            <v>T1部件</v>
          </cell>
          <cell r="J201">
            <v>6</v>
          </cell>
          <cell r="K201">
            <v>4.6727924697445099E-2</v>
          </cell>
        </row>
        <row r="202">
          <cell r="I202" t="str">
            <v>T1部件</v>
          </cell>
          <cell r="J202">
            <v>6</v>
          </cell>
          <cell r="K202">
            <v>4.6727924697445099E-2</v>
          </cell>
        </row>
        <row r="203">
          <cell r="I203" t="str">
            <v>T1部件</v>
          </cell>
          <cell r="J203">
            <v>6</v>
          </cell>
          <cell r="K203">
            <v>4.6727924697445099E-2</v>
          </cell>
        </row>
        <row r="204">
          <cell r="I204" t="str">
            <v>T1部件</v>
          </cell>
          <cell r="J204">
            <v>6</v>
          </cell>
          <cell r="K204">
            <v>4.6727924697445099E-2</v>
          </cell>
        </row>
        <row r="205">
          <cell r="I205" t="str">
            <v>T2部件</v>
          </cell>
          <cell r="J205">
            <v>6</v>
          </cell>
          <cell r="K205">
            <v>2.2187359928283301E-2</v>
          </cell>
        </row>
        <row r="206">
          <cell r="I206" t="str">
            <v>T2部件</v>
          </cell>
          <cell r="J206">
            <v>6</v>
          </cell>
          <cell r="K206">
            <v>2.2187359928283301E-2</v>
          </cell>
        </row>
        <row r="207">
          <cell r="I207" t="str">
            <v>T2部件</v>
          </cell>
          <cell r="J207">
            <v>6</v>
          </cell>
          <cell r="K207">
            <v>2.2187359928283301E-2</v>
          </cell>
        </row>
        <row r="208">
          <cell r="I208" t="str">
            <v>T2部件</v>
          </cell>
          <cell r="J208">
            <v>6</v>
          </cell>
          <cell r="K208">
            <v>2.2187359928283301E-2</v>
          </cell>
        </row>
        <row r="209">
          <cell r="I209" t="str">
            <v>T2部件</v>
          </cell>
          <cell r="J209">
            <v>6</v>
          </cell>
          <cell r="K209">
            <v>2.2187359928283301E-2</v>
          </cell>
        </row>
        <row r="210">
          <cell r="I210" t="str">
            <v>T2部件</v>
          </cell>
          <cell r="J210">
            <v>6</v>
          </cell>
          <cell r="K210">
            <v>2.2187359928283301E-2</v>
          </cell>
        </row>
        <row r="211">
          <cell r="I211" t="str">
            <v>T2部件</v>
          </cell>
          <cell r="J211">
            <v>6</v>
          </cell>
          <cell r="K211">
            <v>2.2187359928283301E-2</v>
          </cell>
        </row>
        <row r="212">
          <cell r="I212" t="str">
            <v>T2部件</v>
          </cell>
          <cell r="J212">
            <v>6</v>
          </cell>
          <cell r="K212">
            <v>2.2187359928283301E-2</v>
          </cell>
        </row>
        <row r="213">
          <cell r="I213" t="str">
            <v>T2部件</v>
          </cell>
          <cell r="J213">
            <v>6</v>
          </cell>
          <cell r="K213">
            <v>2.2187359928283301E-2</v>
          </cell>
        </row>
        <row r="214">
          <cell r="I214" t="str">
            <v>T2部件</v>
          </cell>
          <cell r="J214">
            <v>6</v>
          </cell>
          <cell r="K214">
            <v>2.2187359928283301E-2</v>
          </cell>
        </row>
        <row r="215">
          <cell r="I215" t="str">
            <v>T2部件</v>
          </cell>
          <cell r="J215">
            <v>6</v>
          </cell>
          <cell r="K215">
            <v>2.2187359928283301E-2</v>
          </cell>
        </row>
        <row r="216">
          <cell r="I216" t="str">
            <v>T2部件</v>
          </cell>
          <cell r="J216">
            <v>6</v>
          </cell>
          <cell r="K216">
            <v>2.2187359928283301E-2</v>
          </cell>
        </row>
        <row r="217">
          <cell r="I217" t="str">
            <v>T2部件</v>
          </cell>
          <cell r="J217">
            <v>6</v>
          </cell>
          <cell r="K217">
            <v>2.2187359928283301E-2</v>
          </cell>
        </row>
        <row r="218">
          <cell r="I218" t="str">
            <v>T2部件</v>
          </cell>
          <cell r="J218">
            <v>6</v>
          </cell>
          <cell r="K218">
            <v>2.2187359928283301E-2</v>
          </cell>
        </row>
        <row r="219">
          <cell r="I219" t="str">
            <v>T2部件</v>
          </cell>
          <cell r="J219">
            <v>6</v>
          </cell>
          <cell r="K219">
            <v>2.2187359928283301E-2</v>
          </cell>
        </row>
        <row r="220">
          <cell r="I220" t="str">
            <v>T2部件</v>
          </cell>
          <cell r="J220">
            <v>6</v>
          </cell>
          <cell r="K220">
            <v>2.2187359928283301E-2</v>
          </cell>
        </row>
        <row r="221">
          <cell r="I221" t="str">
            <v>T2部件</v>
          </cell>
          <cell r="J221">
            <v>6</v>
          </cell>
          <cell r="K221">
            <v>2.2187359928283301E-2</v>
          </cell>
        </row>
        <row r="222">
          <cell r="I222" t="str">
            <v>T2部件</v>
          </cell>
          <cell r="J222">
            <v>6</v>
          </cell>
          <cell r="K222">
            <v>2.2187359928283301E-2</v>
          </cell>
        </row>
        <row r="223">
          <cell r="I223" t="str">
            <v>T3部件</v>
          </cell>
          <cell r="J223">
            <v>6</v>
          </cell>
          <cell r="K223">
            <v>1.17660242043926E-2</v>
          </cell>
        </row>
        <row r="224">
          <cell r="I224" t="str">
            <v>T3部件</v>
          </cell>
          <cell r="J224">
            <v>6</v>
          </cell>
          <cell r="K224">
            <v>1.17660242043926E-2</v>
          </cell>
        </row>
        <row r="225">
          <cell r="I225" t="str">
            <v>T3部件</v>
          </cell>
          <cell r="J225">
            <v>6</v>
          </cell>
          <cell r="K225">
            <v>1.17660242043926E-2</v>
          </cell>
        </row>
        <row r="226">
          <cell r="I226" t="str">
            <v>T3部件</v>
          </cell>
          <cell r="J226">
            <v>6</v>
          </cell>
          <cell r="K226">
            <v>1.17660242043926E-2</v>
          </cell>
        </row>
        <row r="227">
          <cell r="I227" t="str">
            <v>T3部件</v>
          </cell>
          <cell r="J227">
            <v>6</v>
          </cell>
          <cell r="K227">
            <v>1.17660242043926E-2</v>
          </cell>
        </row>
        <row r="228">
          <cell r="I228" t="str">
            <v>T3部件</v>
          </cell>
          <cell r="J228">
            <v>6</v>
          </cell>
          <cell r="K228">
            <v>1.17660242043926E-2</v>
          </cell>
        </row>
        <row r="229">
          <cell r="I229" t="str">
            <v>T3部件</v>
          </cell>
          <cell r="J229">
            <v>6</v>
          </cell>
          <cell r="K229">
            <v>1.17660242043926E-2</v>
          </cell>
        </row>
        <row r="230">
          <cell r="I230" t="str">
            <v>T3部件</v>
          </cell>
          <cell r="J230">
            <v>6</v>
          </cell>
          <cell r="K230">
            <v>1.17660242043926E-2</v>
          </cell>
        </row>
        <row r="231">
          <cell r="I231" t="str">
            <v>T3部件</v>
          </cell>
          <cell r="J231">
            <v>6</v>
          </cell>
          <cell r="K231">
            <v>1.17660242043926E-2</v>
          </cell>
        </row>
        <row r="232">
          <cell r="I232" t="str">
            <v>T0坦克</v>
          </cell>
          <cell r="J232">
            <v>6</v>
          </cell>
          <cell r="K232">
            <v>1.24383684446437E-2</v>
          </cell>
        </row>
        <row r="233">
          <cell r="I233" t="str">
            <v>T0坦克</v>
          </cell>
          <cell r="J233">
            <v>6</v>
          </cell>
          <cell r="K233">
            <v>1.24383684446437E-2</v>
          </cell>
        </row>
        <row r="234">
          <cell r="I234" t="str">
            <v>T1碎片</v>
          </cell>
          <cell r="J234">
            <v>7</v>
          </cell>
          <cell r="K234">
            <v>0.46471600688468201</v>
          </cell>
        </row>
        <row r="235">
          <cell r="I235" t="str">
            <v>T1碎片</v>
          </cell>
          <cell r="J235">
            <v>7</v>
          </cell>
          <cell r="K235">
            <v>0.46471600688468201</v>
          </cell>
        </row>
        <row r="236">
          <cell r="I236" t="str">
            <v>T1碎片</v>
          </cell>
          <cell r="J236">
            <v>7</v>
          </cell>
          <cell r="K236">
            <v>0.46471600688468201</v>
          </cell>
        </row>
        <row r="237">
          <cell r="I237" t="str">
            <v>T2碎片</v>
          </cell>
          <cell r="J237">
            <v>7</v>
          </cell>
          <cell r="K237">
            <v>9.1795754446356806E-2</v>
          </cell>
        </row>
        <row r="238">
          <cell r="I238" t="str">
            <v>T2碎片</v>
          </cell>
          <cell r="J238">
            <v>7</v>
          </cell>
          <cell r="K238">
            <v>9.1795754446356806E-2</v>
          </cell>
        </row>
        <row r="239">
          <cell r="I239" t="str">
            <v>T2碎片</v>
          </cell>
          <cell r="J239">
            <v>7</v>
          </cell>
          <cell r="K239">
            <v>9.1795754446356806E-2</v>
          </cell>
        </row>
        <row r="240">
          <cell r="I240" t="str">
            <v>T3碎片</v>
          </cell>
          <cell r="J240">
            <v>7</v>
          </cell>
          <cell r="K240">
            <v>0.53241537578886999</v>
          </cell>
        </row>
        <row r="241">
          <cell r="I241" t="str">
            <v>T3碎片</v>
          </cell>
          <cell r="J241">
            <v>7</v>
          </cell>
          <cell r="K241">
            <v>0.53241537578886999</v>
          </cell>
        </row>
        <row r="242">
          <cell r="I242" t="str">
            <v>T3碎片</v>
          </cell>
          <cell r="J242">
            <v>7</v>
          </cell>
          <cell r="K242">
            <v>0.53241537578886999</v>
          </cell>
        </row>
        <row r="243">
          <cell r="I243" t="str">
            <v>T3碎片</v>
          </cell>
          <cell r="J243">
            <v>7</v>
          </cell>
          <cell r="K243">
            <v>0.266781411359725</v>
          </cell>
        </row>
        <row r="244">
          <cell r="I244" t="str">
            <v>T3碎片</v>
          </cell>
          <cell r="J244">
            <v>7</v>
          </cell>
          <cell r="K244">
            <v>0.266781411359725</v>
          </cell>
        </row>
        <row r="245">
          <cell r="I245" t="str">
            <v>T3碎片</v>
          </cell>
          <cell r="J245">
            <v>7</v>
          </cell>
          <cell r="K245">
            <v>0.266781411359725</v>
          </cell>
        </row>
        <row r="246">
          <cell r="I246" t="str">
            <v>T1部件</v>
          </cell>
          <cell r="J246">
            <v>7</v>
          </cell>
          <cell r="K246">
            <v>3.52839931153184E-2</v>
          </cell>
        </row>
        <row r="247">
          <cell r="I247" t="str">
            <v>T1部件</v>
          </cell>
          <cell r="J247">
            <v>7</v>
          </cell>
          <cell r="K247">
            <v>3.52839931153184E-2</v>
          </cell>
        </row>
        <row r="248">
          <cell r="I248" t="str">
            <v>T1部件</v>
          </cell>
          <cell r="J248">
            <v>7</v>
          </cell>
          <cell r="K248">
            <v>3.52839931153184E-2</v>
          </cell>
        </row>
        <row r="249">
          <cell r="I249" t="str">
            <v>T1部件</v>
          </cell>
          <cell r="J249">
            <v>7</v>
          </cell>
          <cell r="K249">
            <v>3.52839931153184E-2</v>
          </cell>
        </row>
        <row r="250">
          <cell r="I250" t="str">
            <v>T1部件</v>
          </cell>
          <cell r="J250">
            <v>7</v>
          </cell>
          <cell r="K250">
            <v>3.52839931153184E-2</v>
          </cell>
        </row>
        <row r="251">
          <cell r="I251" t="str">
            <v>T1部件</v>
          </cell>
          <cell r="J251">
            <v>7</v>
          </cell>
          <cell r="K251">
            <v>3.52839931153184E-2</v>
          </cell>
        </row>
        <row r="252">
          <cell r="I252" t="str">
            <v>T1部件</v>
          </cell>
          <cell r="J252">
            <v>7</v>
          </cell>
          <cell r="K252">
            <v>3.52839931153184E-2</v>
          </cell>
        </row>
        <row r="253">
          <cell r="I253" t="str">
            <v>T1部件</v>
          </cell>
          <cell r="J253">
            <v>7</v>
          </cell>
          <cell r="K253">
            <v>3.52839931153184E-2</v>
          </cell>
        </row>
        <row r="254">
          <cell r="I254" t="str">
            <v>T1部件</v>
          </cell>
          <cell r="J254">
            <v>7</v>
          </cell>
          <cell r="K254">
            <v>3.52839931153184E-2</v>
          </cell>
        </row>
        <row r="255">
          <cell r="I255" t="str">
            <v>T1部件</v>
          </cell>
          <cell r="J255">
            <v>7</v>
          </cell>
          <cell r="K255">
            <v>3.52839931153184E-2</v>
          </cell>
        </row>
        <row r="256">
          <cell r="I256" t="str">
            <v>T1部件</v>
          </cell>
          <cell r="J256">
            <v>7</v>
          </cell>
          <cell r="K256">
            <v>3.52839931153184E-2</v>
          </cell>
        </row>
        <row r="257">
          <cell r="I257" t="str">
            <v>T1部件</v>
          </cell>
          <cell r="J257">
            <v>7</v>
          </cell>
          <cell r="K257">
            <v>3.52839931153184E-2</v>
          </cell>
        </row>
        <row r="258">
          <cell r="I258" t="str">
            <v>T1部件</v>
          </cell>
          <cell r="J258">
            <v>7</v>
          </cell>
          <cell r="K258">
            <v>3.52839931153184E-2</v>
          </cell>
        </row>
        <row r="259">
          <cell r="I259" t="str">
            <v>T1部件</v>
          </cell>
          <cell r="J259">
            <v>7</v>
          </cell>
          <cell r="K259">
            <v>3.52839931153184E-2</v>
          </cell>
        </row>
        <row r="260">
          <cell r="I260" t="str">
            <v>T1部件</v>
          </cell>
          <cell r="J260">
            <v>7</v>
          </cell>
          <cell r="K260">
            <v>3.52839931153184E-2</v>
          </cell>
        </row>
        <row r="261">
          <cell r="I261" t="str">
            <v>T1部件</v>
          </cell>
          <cell r="J261">
            <v>7</v>
          </cell>
          <cell r="K261">
            <v>3.52839931153184E-2</v>
          </cell>
        </row>
        <row r="262">
          <cell r="I262" t="str">
            <v>T1部件</v>
          </cell>
          <cell r="J262">
            <v>7</v>
          </cell>
          <cell r="K262">
            <v>3.52839931153184E-2</v>
          </cell>
        </row>
        <row r="263">
          <cell r="I263" t="str">
            <v>T1部件</v>
          </cell>
          <cell r="J263">
            <v>7</v>
          </cell>
          <cell r="K263">
            <v>3.52839931153184E-2</v>
          </cell>
        </row>
        <row r="264">
          <cell r="I264" t="str">
            <v>T2部件</v>
          </cell>
          <cell r="J264">
            <v>7</v>
          </cell>
          <cell r="K264">
            <v>1.6351118760757299E-2</v>
          </cell>
        </row>
        <row r="265">
          <cell r="I265" t="str">
            <v>T2部件</v>
          </cell>
          <cell r="J265">
            <v>7</v>
          </cell>
          <cell r="K265">
            <v>1.6351118760757299E-2</v>
          </cell>
        </row>
        <row r="266">
          <cell r="I266" t="str">
            <v>T2部件</v>
          </cell>
          <cell r="J266">
            <v>7</v>
          </cell>
          <cell r="K266">
            <v>1.6351118760757299E-2</v>
          </cell>
        </row>
        <row r="267">
          <cell r="I267" t="str">
            <v>T2部件</v>
          </cell>
          <cell r="J267">
            <v>7</v>
          </cell>
          <cell r="K267">
            <v>1.6351118760757299E-2</v>
          </cell>
        </row>
        <row r="268">
          <cell r="I268" t="str">
            <v>T2部件</v>
          </cell>
          <cell r="J268">
            <v>7</v>
          </cell>
          <cell r="K268">
            <v>1.6351118760757299E-2</v>
          </cell>
        </row>
        <row r="269">
          <cell r="I269" t="str">
            <v>T2部件</v>
          </cell>
          <cell r="J269">
            <v>7</v>
          </cell>
          <cell r="K269">
            <v>1.6351118760757299E-2</v>
          </cell>
        </row>
        <row r="270">
          <cell r="I270" t="str">
            <v>T2部件</v>
          </cell>
          <cell r="J270">
            <v>7</v>
          </cell>
          <cell r="K270">
            <v>1.6351118760757299E-2</v>
          </cell>
        </row>
        <row r="271">
          <cell r="I271" t="str">
            <v>T2部件</v>
          </cell>
          <cell r="J271">
            <v>7</v>
          </cell>
          <cell r="K271">
            <v>1.6351118760757299E-2</v>
          </cell>
        </row>
        <row r="272">
          <cell r="I272" t="str">
            <v>T2部件</v>
          </cell>
          <cell r="J272">
            <v>7</v>
          </cell>
          <cell r="K272">
            <v>1.6351118760757299E-2</v>
          </cell>
        </row>
        <row r="273">
          <cell r="I273" t="str">
            <v>T2部件</v>
          </cell>
          <cell r="J273">
            <v>7</v>
          </cell>
          <cell r="K273">
            <v>1.6351118760757299E-2</v>
          </cell>
        </row>
        <row r="274">
          <cell r="I274" t="str">
            <v>T2部件</v>
          </cell>
          <cell r="J274">
            <v>7</v>
          </cell>
          <cell r="K274">
            <v>1.6351118760757299E-2</v>
          </cell>
        </row>
        <row r="275">
          <cell r="I275" t="str">
            <v>T2部件</v>
          </cell>
          <cell r="J275">
            <v>7</v>
          </cell>
          <cell r="K275">
            <v>1.6351118760757299E-2</v>
          </cell>
        </row>
        <row r="276">
          <cell r="I276" t="str">
            <v>T2部件</v>
          </cell>
          <cell r="J276">
            <v>7</v>
          </cell>
          <cell r="K276">
            <v>1.6351118760757299E-2</v>
          </cell>
        </row>
        <row r="277">
          <cell r="I277" t="str">
            <v>T2部件</v>
          </cell>
          <cell r="J277">
            <v>7</v>
          </cell>
          <cell r="K277">
            <v>1.6351118760757299E-2</v>
          </cell>
        </row>
        <row r="278">
          <cell r="I278" t="str">
            <v>T2部件</v>
          </cell>
          <cell r="J278">
            <v>7</v>
          </cell>
          <cell r="K278">
            <v>1.6351118760757299E-2</v>
          </cell>
        </row>
        <row r="279">
          <cell r="I279" t="str">
            <v>T2部件</v>
          </cell>
          <cell r="J279">
            <v>7</v>
          </cell>
          <cell r="K279">
            <v>1.6351118760757299E-2</v>
          </cell>
        </row>
        <row r="280">
          <cell r="I280" t="str">
            <v>T2部件</v>
          </cell>
          <cell r="J280">
            <v>7</v>
          </cell>
          <cell r="K280">
            <v>1.6351118760757299E-2</v>
          </cell>
        </row>
        <row r="281">
          <cell r="I281" t="str">
            <v>T2部件</v>
          </cell>
          <cell r="J281">
            <v>7</v>
          </cell>
          <cell r="K281">
            <v>1.6351118760757299E-2</v>
          </cell>
        </row>
        <row r="282">
          <cell r="I282" t="str">
            <v>T3部件</v>
          </cell>
          <cell r="J282">
            <v>7</v>
          </cell>
          <cell r="K282">
            <v>8.6058519793459597E-3</v>
          </cell>
        </row>
        <row r="283">
          <cell r="I283" t="str">
            <v>T3部件</v>
          </cell>
          <cell r="J283">
            <v>7</v>
          </cell>
          <cell r="K283">
            <v>8.6058519793459597E-3</v>
          </cell>
        </row>
        <row r="284">
          <cell r="I284" t="str">
            <v>T3部件</v>
          </cell>
          <cell r="J284">
            <v>7</v>
          </cell>
          <cell r="K284">
            <v>8.6058519793459597E-3</v>
          </cell>
        </row>
        <row r="285">
          <cell r="I285" t="str">
            <v>T3部件</v>
          </cell>
          <cell r="J285">
            <v>7</v>
          </cell>
          <cell r="K285">
            <v>8.6058519793459597E-3</v>
          </cell>
        </row>
        <row r="286">
          <cell r="I286" t="str">
            <v>T3部件</v>
          </cell>
          <cell r="J286">
            <v>7</v>
          </cell>
          <cell r="K286">
            <v>8.6058519793459597E-3</v>
          </cell>
        </row>
        <row r="287">
          <cell r="I287" t="str">
            <v>T3部件</v>
          </cell>
          <cell r="J287">
            <v>7</v>
          </cell>
          <cell r="K287">
            <v>8.6058519793459597E-3</v>
          </cell>
        </row>
        <row r="288">
          <cell r="I288" t="str">
            <v>T3部件</v>
          </cell>
          <cell r="J288">
            <v>7</v>
          </cell>
          <cell r="K288">
            <v>8.6058519793459597E-3</v>
          </cell>
        </row>
        <row r="289">
          <cell r="I289" t="str">
            <v>T3部件</v>
          </cell>
          <cell r="J289">
            <v>7</v>
          </cell>
          <cell r="K289">
            <v>8.6058519793459597E-3</v>
          </cell>
        </row>
        <row r="290">
          <cell r="I290" t="str">
            <v>T3部件</v>
          </cell>
          <cell r="J290">
            <v>7</v>
          </cell>
          <cell r="K290">
            <v>8.6058519793459597E-3</v>
          </cell>
        </row>
        <row r="291">
          <cell r="I291" t="str">
            <v>T3部件</v>
          </cell>
          <cell r="J291">
            <v>7</v>
          </cell>
          <cell r="K291">
            <v>8.6058519793459597E-3</v>
          </cell>
        </row>
        <row r="292">
          <cell r="I292" t="str">
            <v>T3部件</v>
          </cell>
          <cell r="J292">
            <v>7</v>
          </cell>
          <cell r="K292">
            <v>8.6058519793459597E-3</v>
          </cell>
        </row>
        <row r="293">
          <cell r="I293" t="str">
            <v>T3部件</v>
          </cell>
          <cell r="J293">
            <v>7</v>
          </cell>
          <cell r="K293">
            <v>8.6058519793459597E-3</v>
          </cell>
        </row>
        <row r="294">
          <cell r="I294" t="str">
            <v>T3部件</v>
          </cell>
          <cell r="J294">
            <v>7</v>
          </cell>
          <cell r="K294">
            <v>8.6058519793459597E-3</v>
          </cell>
        </row>
        <row r="295">
          <cell r="I295" t="str">
            <v>T3部件</v>
          </cell>
          <cell r="J295">
            <v>7</v>
          </cell>
          <cell r="K295">
            <v>8.6058519793459597E-3</v>
          </cell>
        </row>
        <row r="296">
          <cell r="I296" t="str">
            <v>T3部件</v>
          </cell>
          <cell r="J296">
            <v>7</v>
          </cell>
          <cell r="K296">
            <v>8.6058519793459597E-3</v>
          </cell>
        </row>
        <row r="297">
          <cell r="I297" t="str">
            <v>T3部件</v>
          </cell>
          <cell r="J297">
            <v>7</v>
          </cell>
          <cell r="K297">
            <v>8.6058519793459597E-3</v>
          </cell>
        </row>
        <row r="298">
          <cell r="I298" t="str">
            <v>T3部件</v>
          </cell>
          <cell r="J298">
            <v>7</v>
          </cell>
          <cell r="K298">
            <v>8.6058519793459597E-3</v>
          </cell>
        </row>
        <row r="299">
          <cell r="I299" t="str">
            <v>T3部件</v>
          </cell>
          <cell r="J299">
            <v>7</v>
          </cell>
          <cell r="K299">
            <v>8.6058519793459597E-3</v>
          </cell>
        </row>
        <row r="300">
          <cell r="I300" t="str">
            <v>T0坦克</v>
          </cell>
          <cell r="J300">
            <v>7</v>
          </cell>
          <cell r="K300">
            <v>1.0613884107859999E-2</v>
          </cell>
        </row>
        <row r="301">
          <cell r="I301" t="str">
            <v>T0坦克</v>
          </cell>
          <cell r="J301">
            <v>7</v>
          </cell>
          <cell r="K301">
            <v>1.3482501434308699E-2</v>
          </cell>
        </row>
        <row r="302">
          <cell r="I302" t="str">
            <v>T1碎片</v>
          </cell>
          <cell r="J302">
            <v>8</v>
          </cell>
          <cell r="K302">
            <v>0.46471600688468201</v>
          </cell>
        </row>
        <row r="303">
          <cell r="I303" t="str">
            <v>T1碎片</v>
          </cell>
          <cell r="J303">
            <v>8</v>
          </cell>
          <cell r="K303">
            <v>0.46471600688468201</v>
          </cell>
        </row>
        <row r="304">
          <cell r="I304" t="str">
            <v>T1碎片</v>
          </cell>
          <cell r="J304">
            <v>8</v>
          </cell>
          <cell r="K304">
            <v>0.46471600688468201</v>
          </cell>
        </row>
        <row r="305">
          <cell r="I305" t="str">
            <v>T2碎片</v>
          </cell>
          <cell r="J305">
            <v>8</v>
          </cell>
          <cell r="K305">
            <v>9.1795754446356806E-2</v>
          </cell>
        </row>
        <row r="306">
          <cell r="I306" t="str">
            <v>T2碎片</v>
          </cell>
          <cell r="J306">
            <v>8</v>
          </cell>
          <cell r="K306">
            <v>9.1795754446356806E-2</v>
          </cell>
        </row>
        <row r="307">
          <cell r="I307" t="str">
            <v>T2碎片</v>
          </cell>
          <cell r="J307">
            <v>8</v>
          </cell>
          <cell r="K307">
            <v>9.1795754446356806E-2</v>
          </cell>
        </row>
        <row r="308">
          <cell r="I308" t="str">
            <v>T3碎片</v>
          </cell>
          <cell r="J308">
            <v>8</v>
          </cell>
          <cell r="K308">
            <v>0.53241537578886999</v>
          </cell>
        </row>
        <row r="309">
          <cell r="I309" t="str">
            <v>T3碎片</v>
          </cell>
          <cell r="J309">
            <v>8</v>
          </cell>
          <cell r="K309">
            <v>0.53241537578886999</v>
          </cell>
        </row>
        <row r="310">
          <cell r="I310" t="str">
            <v>T3碎片</v>
          </cell>
          <cell r="J310">
            <v>8</v>
          </cell>
          <cell r="K310">
            <v>0.53241537578886999</v>
          </cell>
        </row>
        <row r="311">
          <cell r="I311" t="str">
            <v>T3碎片</v>
          </cell>
          <cell r="J311">
            <v>8</v>
          </cell>
          <cell r="K311">
            <v>0.266781411359725</v>
          </cell>
        </row>
        <row r="312">
          <cell r="I312" t="str">
            <v>T3碎片</v>
          </cell>
          <cell r="J312">
            <v>8</v>
          </cell>
          <cell r="K312">
            <v>0.266781411359725</v>
          </cell>
        </row>
        <row r="313">
          <cell r="I313" t="str">
            <v>T3碎片</v>
          </cell>
          <cell r="J313">
            <v>8</v>
          </cell>
          <cell r="K313">
            <v>0.266781411359725</v>
          </cell>
        </row>
        <row r="314">
          <cell r="I314" t="str">
            <v>T1部件</v>
          </cell>
          <cell r="J314">
            <v>8</v>
          </cell>
          <cell r="K314">
            <v>3.52839931153184E-2</v>
          </cell>
        </row>
        <row r="315">
          <cell r="I315" t="str">
            <v>T1部件</v>
          </cell>
          <cell r="J315">
            <v>8</v>
          </cell>
          <cell r="K315">
            <v>3.52839931153184E-2</v>
          </cell>
        </row>
        <row r="316">
          <cell r="I316" t="str">
            <v>T1部件</v>
          </cell>
          <cell r="J316">
            <v>8</v>
          </cell>
          <cell r="K316">
            <v>3.52839931153184E-2</v>
          </cell>
        </row>
        <row r="317">
          <cell r="I317" t="str">
            <v>T1部件</v>
          </cell>
          <cell r="J317">
            <v>8</v>
          </cell>
          <cell r="K317">
            <v>3.52839931153184E-2</v>
          </cell>
        </row>
        <row r="318">
          <cell r="I318" t="str">
            <v>T1部件</v>
          </cell>
          <cell r="J318">
            <v>8</v>
          </cell>
          <cell r="K318">
            <v>3.52839931153184E-2</v>
          </cell>
        </row>
        <row r="319">
          <cell r="I319" t="str">
            <v>T1部件</v>
          </cell>
          <cell r="J319">
            <v>8</v>
          </cell>
          <cell r="K319">
            <v>3.52839931153184E-2</v>
          </cell>
        </row>
        <row r="320">
          <cell r="I320" t="str">
            <v>T1部件</v>
          </cell>
          <cell r="J320">
            <v>8</v>
          </cell>
          <cell r="K320">
            <v>3.52839931153184E-2</v>
          </cell>
        </row>
        <row r="321">
          <cell r="I321" t="str">
            <v>T1部件</v>
          </cell>
          <cell r="J321">
            <v>8</v>
          </cell>
          <cell r="K321">
            <v>3.52839931153184E-2</v>
          </cell>
        </row>
        <row r="322">
          <cell r="I322" t="str">
            <v>T1部件</v>
          </cell>
          <cell r="J322">
            <v>8</v>
          </cell>
          <cell r="K322">
            <v>3.52839931153184E-2</v>
          </cell>
        </row>
        <row r="323">
          <cell r="I323" t="str">
            <v>T1部件</v>
          </cell>
          <cell r="J323">
            <v>8</v>
          </cell>
          <cell r="K323">
            <v>3.52839931153184E-2</v>
          </cell>
        </row>
        <row r="324">
          <cell r="I324" t="str">
            <v>T1部件</v>
          </cell>
          <cell r="J324">
            <v>8</v>
          </cell>
          <cell r="K324">
            <v>3.52839931153184E-2</v>
          </cell>
        </row>
        <row r="325">
          <cell r="I325" t="str">
            <v>T1部件</v>
          </cell>
          <cell r="J325">
            <v>8</v>
          </cell>
          <cell r="K325">
            <v>3.52839931153184E-2</v>
          </cell>
        </row>
        <row r="326">
          <cell r="I326" t="str">
            <v>T1部件</v>
          </cell>
          <cell r="J326">
            <v>8</v>
          </cell>
          <cell r="K326">
            <v>3.52839931153184E-2</v>
          </cell>
        </row>
        <row r="327">
          <cell r="I327" t="str">
            <v>T1部件</v>
          </cell>
          <cell r="J327">
            <v>8</v>
          </cell>
          <cell r="K327">
            <v>3.52839931153184E-2</v>
          </cell>
        </row>
        <row r="328">
          <cell r="I328" t="str">
            <v>T1部件</v>
          </cell>
          <cell r="J328">
            <v>8</v>
          </cell>
          <cell r="K328">
            <v>3.52839931153184E-2</v>
          </cell>
        </row>
        <row r="329">
          <cell r="I329" t="str">
            <v>T1部件</v>
          </cell>
          <cell r="J329">
            <v>8</v>
          </cell>
          <cell r="K329">
            <v>3.52839931153184E-2</v>
          </cell>
        </row>
        <row r="330">
          <cell r="I330" t="str">
            <v>T1部件</v>
          </cell>
          <cell r="J330">
            <v>8</v>
          </cell>
          <cell r="K330">
            <v>3.52839931153184E-2</v>
          </cell>
        </row>
        <row r="331">
          <cell r="I331" t="str">
            <v>T1部件</v>
          </cell>
          <cell r="J331">
            <v>8</v>
          </cell>
          <cell r="K331">
            <v>3.52839931153184E-2</v>
          </cell>
        </row>
        <row r="332">
          <cell r="I332" t="str">
            <v>T2部件</v>
          </cell>
          <cell r="J332">
            <v>8</v>
          </cell>
          <cell r="K332">
            <v>1.6351118760757299E-2</v>
          </cell>
        </row>
        <row r="333">
          <cell r="I333" t="str">
            <v>T2部件</v>
          </cell>
          <cell r="J333">
            <v>8</v>
          </cell>
          <cell r="K333">
            <v>1.6351118760757299E-2</v>
          </cell>
        </row>
        <row r="334">
          <cell r="I334" t="str">
            <v>T2部件</v>
          </cell>
          <cell r="J334">
            <v>8</v>
          </cell>
          <cell r="K334">
            <v>1.6351118760757299E-2</v>
          </cell>
        </row>
        <row r="335">
          <cell r="I335" t="str">
            <v>T2部件</v>
          </cell>
          <cell r="J335">
            <v>8</v>
          </cell>
          <cell r="K335">
            <v>1.6351118760757299E-2</v>
          </cell>
        </row>
        <row r="336">
          <cell r="I336" t="str">
            <v>T2部件</v>
          </cell>
          <cell r="J336">
            <v>8</v>
          </cell>
          <cell r="K336">
            <v>1.6351118760757299E-2</v>
          </cell>
        </row>
        <row r="337">
          <cell r="I337" t="str">
            <v>T2部件</v>
          </cell>
          <cell r="J337">
            <v>8</v>
          </cell>
          <cell r="K337">
            <v>1.6351118760757299E-2</v>
          </cell>
        </row>
        <row r="338">
          <cell r="I338" t="str">
            <v>T2部件</v>
          </cell>
          <cell r="J338">
            <v>8</v>
          </cell>
          <cell r="K338">
            <v>1.6351118760757299E-2</v>
          </cell>
        </row>
        <row r="339">
          <cell r="I339" t="str">
            <v>T2部件</v>
          </cell>
          <cell r="J339">
            <v>8</v>
          </cell>
          <cell r="K339">
            <v>1.6351118760757299E-2</v>
          </cell>
        </row>
        <row r="340">
          <cell r="I340" t="str">
            <v>T2部件</v>
          </cell>
          <cell r="J340">
            <v>8</v>
          </cell>
          <cell r="K340">
            <v>1.6351118760757299E-2</v>
          </cell>
        </row>
        <row r="341">
          <cell r="I341" t="str">
            <v>T2部件</v>
          </cell>
          <cell r="J341">
            <v>8</v>
          </cell>
          <cell r="K341">
            <v>1.6351118760757299E-2</v>
          </cell>
        </row>
        <row r="342">
          <cell r="I342" t="str">
            <v>T2部件</v>
          </cell>
          <cell r="J342">
            <v>8</v>
          </cell>
          <cell r="K342">
            <v>1.6351118760757299E-2</v>
          </cell>
        </row>
        <row r="343">
          <cell r="I343" t="str">
            <v>T2部件</v>
          </cell>
          <cell r="J343">
            <v>8</v>
          </cell>
          <cell r="K343">
            <v>1.6351118760757299E-2</v>
          </cell>
        </row>
        <row r="344">
          <cell r="I344" t="str">
            <v>T2部件</v>
          </cell>
          <cell r="J344">
            <v>8</v>
          </cell>
          <cell r="K344">
            <v>1.6351118760757299E-2</v>
          </cell>
        </row>
        <row r="345">
          <cell r="I345" t="str">
            <v>T2部件</v>
          </cell>
          <cell r="J345">
            <v>8</v>
          </cell>
          <cell r="K345">
            <v>1.6351118760757299E-2</v>
          </cell>
        </row>
        <row r="346">
          <cell r="I346" t="str">
            <v>T2部件</v>
          </cell>
          <cell r="J346">
            <v>8</v>
          </cell>
          <cell r="K346">
            <v>1.6351118760757299E-2</v>
          </cell>
        </row>
        <row r="347">
          <cell r="I347" t="str">
            <v>T2部件</v>
          </cell>
          <cell r="J347">
            <v>8</v>
          </cell>
          <cell r="K347">
            <v>1.6351118760757299E-2</v>
          </cell>
        </row>
        <row r="348">
          <cell r="I348" t="str">
            <v>T2部件</v>
          </cell>
          <cell r="J348">
            <v>8</v>
          </cell>
          <cell r="K348">
            <v>1.6351118760757299E-2</v>
          </cell>
        </row>
        <row r="349">
          <cell r="I349" t="str">
            <v>T2部件</v>
          </cell>
          <cell r="J349">
            <v>8</v>
          </cell>
          <cell r="K349">
            <v>1.6351118760757299E-2</v>
          </cell>
        </row>
        <row r="350">
          <cell r="I350" t="str">
            <v>T3部件</v>
          </cell>
          <cell r="J350">
            <v>8</v>
          </cell>
          <cell r="K350">
            <v>8.6058519793459597E-3</v>
          </cell>
        </row>
        <row r="351">
          <cell r="I351" t="str">
            <v>T3部件</v>
          </cell>
          <cell r="J351">
            <v>8</v>
          </cell>
          <cell r="K351">
            <v>8.6058519793459597E-3</v>
          </cell>
        </row>
        <row r="352">
          <cell r="I352" t="str">
            <v>T3部件</v>
          </cell>
          <cell r="J352">
            <v>8</v>
          </cell>
          <cell r="K352">
            <v>8.6058519793459597E-3</v>
          </cell>
        </row>
        <row r="353">
          <cell r="I353" t="str">
            <v>T3部件</v>
          </cell>
          <cell r="J353">
            <v>8</v>
          </cell>
          <cell r="K353">
            <v>8.6058519793459597E-3</v>
          </cell>
        </row>
        <row r="354">
          <cell r="I354" t="str">
            <v>T3部件</v>
          </cell>
          <cell r="J354">
            <v>8</v>
          </cell>
          <cell r="K354">
            <v>8.6058519793459597E-3</v>
          </cell>
        </row>
        <row r="355">
          <cell r="I355" t="str">
            <v>T3部件</v>
          </cell>
          <cell r="J355">
            <v>8</v>
          </cell>
          <cell r="K355">
            <v>8.6058519793459597E-3</v>
          </cell>
        </row>
        <row r="356">
          <cell r="I356" t="str">
            <v>T3部件</v>
          </cell>
          <cell r="J356">
            <v>8</v>
          </cell>
          <cell r="K356">
            <v>8.6058519793459597E-3</v>
          </cell>
        </row>
        <row r="357">
          <cell r="I357" t="str">
            <v>T3部件</v>
          </cell>
          <cell r="J357">
            <v>8</v>
          </cell>
          <cell r="K357">
            <v>8.6058519793459597E-3</v>
          </cell>
        </row>
        <row r="358">
          <cell r="I358" t="str">
            <v>T3部件</v>
          </cell>
          <cell r="J358">
            <v>8</v>
          </cell>
          <cell r="K358">
            <v>8.6058519793459597E-3</v>
          </cell>
        </row>
        <row r="359">
          <cell r="I359" t="str">
            <v>T3部件</v>
          </cell>
          <cell r="J359">
            <v>8</v>
          </cell>
          <cell r="K359">
            <v>8.6058519793459597E-3</v>
          </cell>
        </row>
        <row r="360">
          <cell r="I360" t="str">
            <v>T3部件</v>
          </cell>
          <cell r="J360">
            <v>8</v>
          </cell>
          <cell r="K360">
            <v>8.6058519793459597E-3</v>
          </cell>
        </row>
        <row r="361">
          <cell r="I361" t="str">
            <v>T3部件</v>
          </cell>
          <cell r="J361">
            <v>8</v>
          </cell>
          <cell r="K361">
            <v>8.6058519793459597E-3</v>
          </cell>
        </row>
        <row r="362">
          <cell r="I362" t="str">
            <v>T3部件</v>
          </cell>
          <cell r="J362">
            <v>8</v>
          </cell>
          <cell r="K362">
            <v>8.6058519793459597E-3</v>
          </cell>
        </row>
        <row r="363">
          <cell r="I363" t="str">
            <v>T3部件</v>
          </cell>
          <cell r="J363">
            <v>8</v>
          </cell>
          <cell r="K363">
            <v>8.6058519793459597E-3</v>
          </cell>
        </row>
        <row r="364">
          <cell r="I364" t="str">
            <v>T3部件</v>
          </cell>
          <cell r="J364">
            <v>8</v>
          </cell>
          <cell r="K364">
            <v>8.6058519793459597E-3</v>
          </cell>
        </row>
        <row r="365">
          <cell r="I365" t="str">
            <v>T3部件</v>
          </cell>
          <cell r="J365">
            <v>8</v>
          </cell>
          <cell r="K365">
            <v>8.6058519793459597E-3</v>
          </cell>
        </row>
        <row r="366">
          <cell r="I366" t="str">
            <v>T3部件</v>
          </cell>
          <cell r="J366">
            <v>8</v>
          </cell>
          <cell r="K366">
            <v>8.6058519793459597E-3</v>
          </cell>
        </row>
        <row r="367">
          <cell r="I367" t="str">
            <v>T3部件</v>
          </cell>
          <cell r="J367">
            <v>8</v>
          </cell>
          <cell r="K367">
            <v>8.6058519793459597E-3</v>
          </cell>
        </row>
        <row r="368">
          <cell r="I368" t="str">
            <v>T0坦克</v>
          </cell>
          <cell r="J368">
            <v>8</v>
          </cell>
          <cell r="K368">
            <v>1.0613884107859999E-2</v>
          </cell>
        </row>
        <row r="369">
          <cell r="I369" t="str">
            <v>T0坦克</v>
          </cell>
          <cell r="J369">
            <v>8</v>
          </cell>
          <cell r="K369">
            <v>1.3482501434308699E-2</v>
          </cell>
        </row>
        <row r="370">
          <cell r="I370" t="str">
            <v>T1碎片</v>
          </cell>
          <cell r="J370">
            <v>9</v>
          </cell>
          <cell r="K370">
            <v>0.46471600688468201</v>
          </cell>
        </row>
        <row r="371">
          <cell r="I371" t="str">
            <v>T1碎片</v>
          </cell>
          <cell r="J371">
            <v>9</v>
          </cell>
          <cell r="K371">
            <v>0.46471600688468201</v>
          </cell>
        </row>
        <row r="372">
          <cell r="I372" t="str">
            <v>T1碎片</v>
          </cell>
          <cell r="J372">
            <v>9</v>
          </cell>
          <cell r="K372">
            <v>0.46471600688468201</v>
          </cell>
        </row>
        <row r="373">
          <cell r="I373" t="str">
            <v>T2碎片</v>
          </cell>
          <cell r="J373">
            <v>9</v>
          </cell>
          <cell r="K373">
            <v>9.1795754446356806E-2</v>
          </cell>
        </row>
        <row r="374">
          <cell r="I374" t="str">
            <v>T2碎片</v>
          </cell>
          <cell r="J374">
            <v>9</v>
          </cell>
          <cell r="K374">
            <v>9.1795754446356806E-2</v>
          </cell>
        </row>
        <row r="375">
          <cell r="I375" t="str">
            <v>T2碎片</v>
          </cell>
          <cell r="J375">
            <v>9</v>
          </cell>
          <cell r="K375">
            <v>9.1795754446356806E-2</v>
          </cell>
        </row>
        <row r="376">
          <cell r="I376" t="str">
            <v>T3碎片</v>
          </cell>
          <cell r="J376">
            <v>9</v>
          </cell>
          <cell r="K376">
            <v>0.53241537578886999</v>
          </cell>
        </row>
        <row r="377">
          <cell r="I377" t="str">
            <v>T3碎片</v>
          </cell>
          <cell r="J377">
            <v>9</v>
          </cell>
          <cell r="K377">
            <v>0.53241537578886999</v>
          </cell>
        </row>
        <row r="378">
          <cell r="I378" t="str">
            <v>T3碎片</v>
          </cell>
          <cell r="J378">
            <v>9</v>
          </cell>
          <cell r="K378">
            <v>0.53241537578886999</v>
          </cell>
        </row>
        <row r="379">
          <cell r="I379" t="str">
            <v>T3碎片</v>
          </cell>
          <cell r="J379">
            <v>9</v>
          </cell>
          <cell r="K379">
            <v>0.266781411359725</v>
          </cell>
        </row>
        <row r="380">
          <cell r="I380" t="str">
            <v>T3碎片</v>
          </cell>
          <cell r="J380">
            <v>9</v>
          </cell>
          <cell r="K380">
            <v>0.266781411359725</v>
          </cell>
        </row>
        <row r="381">
          <cell r="I381" t="str">
            <v>T3碎片</v>
          </cell>
          <cell r="J381">
            <v>9</v>
          </cell>
          <cell r="K381">
            <v>0.266781411359725</v>
          </cell>
        </row>
        <row r="382">
          <cell r="I382" t="str">
            <v>T1部件</v>
          </cell>
          <cell r="J382">
            <v>9</v>
          </cell>
          <cell r="K382">
            <v>3.52839931153184E-2</v>
          </cell>
        </row>
        <row r="383">
          <cell r="I383" t="str">
            <v>T1部件</v>
          </cell>
          <cell r="J383">
            <v>9</v>
          </cell>
          <cell r="K383">
            <v>3.52839931153184E-2</v>
          </cell>
        </row>
        <row r="384">
          <cell r="I384" t="str">
            <v>T1部件</v>
          </cell>
          <cell r="J384">
            <v>9</v>
          </cell>
          <cell r="K384">
            <v>3.52839931153184E-2</v>
          </cell>
        </row>
        <row r="385">
          <cell r="I385" t="str">
            <v>T1部件</v>
          </cell>
          <cell r="J385">
            <v>9</v>
          </cell>
          <cell r="K385">
            <v>3.52839931153184E-2</v>
          </cell>
        </row>
        <row r="386">
          <cell r="I386" t="str">
            <v>T1部件</v>
          </cell>
          <cell r="J386">
            <v>9</v>
          </cell>
          <cell r="K386">
            <v>3.52839931153184E-2</v>
          </cell>
        </row>
        <row r="387">
          <cell r="I387" t="str">
            <v>T1部件</v>
          </cell>
          <cell r="J387">
            <v>9</v>
          </cell>
          <cell r="K387">
            <v>3.52839931153184E-2</v>
          </cell>
        </row>
        <row r="388">
          <cell r="I388" t="str">
            <v>T1部件</v>
          </cell>
          <cell r="J388">
            <v>9</v>
          </cell>
          <cell r="K388">
            <v>3.52839931153184E-2</v>
          </cell>
        </row>
        <row r="389">
          <cell r="I389" t="str">
            <v>T1部件</v>
          </cell>
          <cell r="J389">
            <v>9</v>
          </cell>
          <cell r="K389">
            <v>3.52839931153184E-2</v>
          </cell>
        </row>
        <row r="390">
          <cell r="I390" t="str">
            <v>T1部件</v>
          </cell>
          <cell r="J390">
            <v>9</v>
          </cell>
          <cell r="K390">
            <v>3.52839931153184E-2</v>
          </cell>
        </row>
        <row r="391">
          <cell r="I391" t="str">
            <v>T1部件</v>
          </cell>
          <cell r="J391">
            <v>9</v>
          </cell>
          <cell r="K391">
            <v>3.52839931153184E-2</v>
          </cell>
        </row>
        <row r="392">
          <cell r="I392" t="str">
            <v>T1部件</v>
          </cell>
          <cell r="J392">
            <v>9</v>
          </cell>
          <cell r="K392">
            <v>3.52839931153184E-2</v>
          </cell>
        </row>
        <row r="393">
          <cell r="I393" t="str">
            <v>T1部件</v>
          </cell>
          <cell r="J393">
            <v>9</v>
          </cell>
          <cell r="K393">
            <v>3.52839931153184E-2</v>
          </cell>
        </row>
        <row r="394">
          <cell r="I394" t="str">
            <v>T1部件</v>
          </cell>
          <cell r="J394">
            <v>9</v>
          </cell>
          <cell r="K394">
            <v>3.52839931153184E-2</v>
          </cell>
        </row>
        <row r="395">
          <cell r="I395" t="str">
            <v>T1部件</v>
          </cell>
          <cell r="J395">
            <v>9</v>
          </cell>
          <cell r="K395">
            <v>3.52839931153184E-2</v>
          </cell>
        </row>
        <row r="396">
          <cell r="I396" t="str">
            <v>T1部件</v>
          </cell>
          <cell r="J396">
            <v>9</v>
          </cell>
          <cell r="K396">
            <v>3.52839931153184E-2</v>
          </cell>
        </row>
        <row r="397">
          <cell r="I397" t="str">
            <v>T1部件</v>
          </cell>
          <cell r="J397">
            <v>9</v>
          </cell>
          <cell r="K397">
            <v>3.52839931153184E-2</v>
          </cell>
        </row>
        <row r="398">
          <cell r="I398" t="str">
            <v>T1部件</v>
          </cell>
          <cell r="J398">
            <v>9</v>
          </cell>
          <cell r="K398">
            <v>3.52839931153184E-2</v>
          </cell>
        </row>
        <row r="399">
          <cell r="I399" t="str">
            <v>T1部件</v>
          </cell>
          <cell r="J399">
            <v>9</v>
          </cell>
          <cell r="K399">
            <v>3.52839931153184E-2</v>
          </cell>
        </row>
        <row r="400">
          <cell r="I400" t="str">
            <v>T2部件</v>
          </cell>
          <cell r="J400">
            <v>9</v>
          </cell>
          <cell r="K400">
            <v>1.6351118760757299E-2</v>
          </cell>
        </row>
        <row r="401">
          <cell r="I401" t="str">
            <v>T2部件</v>
          </cell>
          <cell r="J401">
            <v>9</v>
          </cell>
          <cell r="K401">
            <v>1.6351118760757299E-2</v>
          </cell>
        </row>
        <row r="402">
          <cell r="I402" t="str">
            <v>T2部件</v>
          </cell>
          <cell r="J402">
            <v>9</v>
          </cell>
          <cell r="K402">
            <v>1.6351118760757299E-2</v>
          </cell>
        </row>
        <row r="403">
          <cell r="I403" t="str">
            <v>T2部件</v>
          </cell>
          <cell r="J403">
            <v>9</v>
          </cell>
          <cell r="K403">
            <v>1.6351118760757299E-2</v>
          </cell>
        </row>
        <row r="404">
          <cell r="I404" t="str">
            <v>T2部件</v>
          </cell>
          <cell r="J404">
            <v>9</v>
          </cell>
          <cell r="K404">
            <v>1.6351118760757299E-2</v>
          </cell>
        </row>
        <row r="405">
          <cell r="I405" t="str">
            <v>T2部件</v>
          </cell>
          <cell r="J405">
            <v>9</v>
          </cell>
          <cell r="K405">
            <v>1.6351118760757299E-2</v>
          </cell>
        </row>
        <row r="406">
          <cell r="I406" t="str">
            <v>T2部件</v>
          </cell>
          <cell r="J406">
            <v>9</v>
          </cell>
          <cell r="K406">
            <v>1.6351118760757299E-2</v>
          </cell>
        </row>
        <row r="407">
          <cell r="I407" t="str">
            <v>T2部件</v>
          </cell>
          <cell r="J407">
            <v>9</v>
          </cell>
          <cell r="K407">
            <v>1.6351118760757299E-2</v>
          </cell>
        </row>
        <row r="408">
          <cell r="I408" t="str">
            <v>T2部件</v>
          </cell>
          <cell r="J408">
            <v>9</v>
          </cell>
          <cell r="K408">
            <v>1.6351118760757299E-2</v>
          </cell>
        </row>
        <row r="409">
          <cell r="I409" t="str">
            <v>T2部件</v>
          </cell>
          <cell r="J409">
            <v>9</v>
          </cell>
          <cell r="K409">
            <v>1.6351118760757299E-2</v>
          </cell>
        </row>
        <row r="410">
          <cell r="I410" t="str">
            <v>T2部件</v>
          </cell>
          <cell r="J410">
            <v>9</v>
          </cell>
          <cell r="K410">
            <v>1.6351118760757299E-2</v>
          </cell>
        </row>
        <row r="411">
          <cell r="I411" t="str">
            <v>T2部件</v>
          </cell>
          <cell r="J411">
            <v>9</v>
          </cell>
          <cell r="K411">
            <v>1.6351118760757299E-2</v>
          </cell>
        </row>
        <row r="412">
          <cell r="I412" t="str">
            <v>T2部件</v>
          </cell>
          <cell r="J412">
            <v>9</v>
          </cell>
          <cell r="K412">
            <v>1.6351118760757299E-2</v>
          </cell>
        </row>
        <row r="413">
          <cell r="I413" t="str">
            <v>T2部件</v>
          </cell>
          <cell r="J413">
            <v>9</v>
          </cell>
          <cell r="K413">
            <v>1.6351118760757299E-2</v>
          </cell>
        </row>
        <row r="414">
          <cell r="I414" t="str">
            <v>T2部件</v>
          </cell>
          <cell r="J414">
            <v>9</v>
          </cell>
          <cell r="K414">
            <v>1.6351118760757299E-2</v>
          </cell>
        </row>
        <row r="415">
          <cell r="I415" t="str">
            <v>T2部件</v>
          </cell>
          <cell r="J415">
            <v>9</v>
          </cell>
          <cell r="K415">
            <v>1.6351118760757299E-2</v>
          </cell>
        </row>
        <row r="416">
          <cell r="I416" t="str">
            <v>T2部件</v>
          </cell>
          <cell r="J416">
            <v>9</v>
          </cell>
          <cell r="K416">
            <v>1.6351118760757299E-2</v>
          </cell>
        </row>
        <row r="417">
          <cell r="I417" t="str">
            <v>T2部件</v>
          </cell>
          <cell r="J417">
            <v>9</v>
          </cell>
          <cell r="K417">
            <v>1.6351118760757299E-2</v>
          </cell>
        </row>
        <row r="418">
          <cell r="I418" t="str">
            <v>T3部件</v>
          </cell>
          <cell r="J418">
            <v>9</v>
          </cell>
          <cell r="K418">
            <v>8.6058519793459597E-3</v>
          </cell>
        </row>
        <row r="419">
          <cell r="I419" t="str">
            <v>T3部件</v>
          </cell>
          <cell r="J419">
            <v>9</v>
          </cell>
          <cell r="K419">
            <v>8.6058519793459597E-3</v>
          </cell>
        </row>
        <row r="420">
          <cell r="I420" t="str">
            <v>T3部件</v>
          </cell>
          <cell r="J420">
            <v>9</v>
          </cell>
          <cell r="K420">
            <v>8.6058519793459597E-3</v>
          </cell>
        </row>
        <row r="421">
          <cell r="I421" t="str">
            <v>T3部件</v>
          </cell>
          <cell r="J421">
            <v>9</v>
          </cell>
          <cell r="K421">
            <v>8.6058519793459597E-3</v>
          </cell>
        </row>
        <row r="422">
          <cell r="I422" t="str">
            <v>T3部件</v>
          </cell>
          <cell r="J422">
            <v>9</v>
          </cell>
          <cell r="K422">
            <v>8.6058519793459597E-3</v>
          </cell>
        </row>
        <row r="423">
          <cell r="I423" t="str">
            <v>T3部件</v>
          </cell>
          <cell r="J423">
            <v>9</v>
          </cell>
          <cell r="K423">
            <v>8.6058519793459597E-3</v>
          </cell>
        </row>
        <row r="424">
          <cell r="I424" t="str">
            <v>T3部件</v>
          </cell>
          <cell r="J424">
            <v>9</v>
          </cell>
          <cell r="K424">
            <v>8.6058519793459597E-3</v>
          </cell>
        </row>
        <row r="425">
          <cell r="I425" t="str">
            <v>T3部件</v>
          </cell>
          <cell r="J425">
            <v>9</v>
          </cell>
          <cell r="K425">
            <v>8.6058519793459597E-3</v>
          </cell>
        </row>
        <row r="426">
          <cell r="I426" t="str">
            <v>T3部件</v>
          </cell>
          <cell r="J426">
            <v>9</v>
          </cell>
          <cell r="K426">
            <v>8.6058519793459597E-3</v>
          </cell>
        </row>
        <row r="427">
          <cell r="I427" t="str">
            <v>T3部件</v>
          </cell>
          <cell r="J427">
            <v>9</v>
          </cell>
          <cell r="K427">
            <v>8.6058519793459597E-3</v>
          </cell>
        </row>
        <row r="428">
          <cell r="I428" t="str">
            <v>T3部件</v>
          </cell>
          <cell r="J428">
            <v>9</v>
          </cell>
          <cell r="K428">
            <v>8.6058519793459597E-3</v>
          </cell>
        </row>
        <row r="429">
          <cell r="I429" t="str">
            <v>T3部件</v>
          </cell>
          <cell r="J429">
            <v>9</v>
          </cell>
          <cell r="K429">
            <v>8.6058519793459597E-3</v>
          </cell>
        </row>
        <row r="430">
          <cell r="I430" t="str">
            <v>T3部件</v>
          </cell>
          <cell r="J430">
            <v>9</v>
          </cell>
          <cell r="K430">
            <v>8.6058519793459597E-3</v>
          </cell>
        </row>
        <row r="431">
          <cell r="I431" t="str">
            <v>T3部件</v>
          </cell>
          <cell r="J431">
            <v>9</v>
          </cell>
          <cell r="K431">
            <v>8.6058519793459597E-3</v>
          </cell>
        </row>
        <row r="432">
          <cell r="I432" t="str">
            <v>T3部件</v>
          </cell>
          <cell r="J432">
            <v>9</v>
          </cell>
          <cell r="K432">
            <v>8.6058519793459597E-3</v>
          </cell>
        </row>
        <row r="433">
          <cell r="I433" t="str">
            <v>T3部件</v>
          </cell>
          <cell r="J433">
            <v>9</v>
          </cell>
          <cell r="K433">
            <v>8.6058519793459597E-3</v>
          </cell>
        </row>
        <row r="434">
          <cell r="I434" t="str">
            <v>T3部件</v>
          </cell>
          <cell r="J434">
            <v>9</v>
          </cell>
          <cell r="K434">
            <v>8.6058519793459597E-3</v>
          </cell>
        </row>
        <row r="435">
          <cell r="I435" t="str">
            <v>T3部件</v>
          </cell>
          <cell r="J435">
            <v>9</v>
          </cell>
          <cell r="K435">
            <v>8.6058519793459597E-3</v>
          </cell>
        </row>
        <row r="436">
          <cell r="I436" t="str">
            <v>T0坦克</v>
          </cell>
          <cell r="J436">
            <v>9</v>
          </cell>
          <cell r="K436">
            <v>1.0613884107859999E-2</v>
          </cell>
        </row>
        <row r="437">
          <cell r="I437" t="str">
            <v>T0坦克</v>
          </cell>
          <cell r="J437">
            <v>9</v>
          </cell>
          <cell r="K437">
            <v>1.3482501434308699E-2</v>
          </cell>
        </row>
        <row r="438">
          <cell r="I438" t="str">
            <v>T1碎片</v>
          </cell>
          <cell r="J438">
            <v>10</v>
          </cell>
          <cell r="K438">
            <v>0.46471600688468201</v>
          </cell>
        </row>
        <row r="439">
          <cell r="I439" t="str">
            <v>T1碎片</v>
          </cell>
          <cell r="J439">
            <v>10</v>
          </cell>
          <cell r="K439">
            <v>0.46471600688468201</v>
          </cell>
        </row>
        <row r="440">
          <cell r="I440" t="str">
            <v>T1碎片</v>
          </cell>
          <cell r="J440">
            <v>10</v>
          </cell>
          <cell r="K440">
            <v>0.46471600688468201</v>
          </cell>
        </row>
        <row r="441">
          <cell r="I441" t="str">
            <v>T2碎片</v>
          </cell>
          <cell r="J441">
            <v>10</v>
          </cell>
          <cell r="K441">
            <v>9.1795754446356806E-2</v>
          </cell>
        </row>
        <row r="442">
          <cell r="I442" t="str">
            <v>T2碎片</v>
          </cell>
          <cell r="J442">
            <v>10</v>
          </cell>
          <cell r="K442">
            <v>9.1795754446356806E-2</v>
          </cell>
        </row>
        <row r="443">
          <cell r="I443" t="str">
            <v>T2碎片</v>
          </cell>
          <cell r="J443">
            <v>10</v>
          </cell>
          <cell r="K443">
            <v>9.1795754446356806E-2</v>
          </cell>
        </row>
        <row r="444">
          <cell r="I444" t="str">
            <v>T3碎片</v>
          </cell>
          <cell r="J444">
            <v>10</v>
          </cell>
          <cell r="K444">
            <v>0.53241537578886999</v>
          </cell>
        </row>
        <row r="445">
          <cell r="I445" t="str">
            <v>T3碎片</v>
          </cell>
          <cell r="J445">
            <v>10</v>
          </cell>
          <cell r="K445">
            <v>0.53241537578886999</v>
          </cell>
        </row>
        <row r="446">
          <cell r="I446" t="str">
            <v>T3碎片</v>
          </cell>
          <cell r="J446">
            <v>10</v>
          </cell>
          <cell r="K446">
            <v>0.53241537578886999</v>
          </cell>
        </row>
        <row r="447">
          <cell r="I447" t="str">
            <v>T3碎片</v>
          </cell>
          <cell r="J447">
            <v>10</v>
          </cell>
          <cell r="K447">
            <v>0.266781411359725</v>
          </cell>
        </row>
        <row r="448">
          <cell r="I448" t="str">
            <v>T3碎片</v>
          </cell>
          <cell r="J448">
            <v>10</v>
          </cell>
          <cell r="K448">
            <v>0.266781411359725</v>
          </cell>
        </row>
        <row r="449">
          <cell r="I449" t="str">
            <v>T3碎片</v>
          </cell>
          <cell r="J449">
            <v>10</v>
          </cell>
          <cell r="K449">
            <v>0.266781411359725</v>
          </cell>
        </row>
        <row r="450">
          <cell r="I450" t="str">
            <v>T1部件</v>
          </cell>
          <cell r="J450">
            <v>10</v>
          </cell>
          <cell r="K450">
            <v>3.52839931153184E-2</v>
          </cell>
        </row>
        <row r="451">
          <cell r="I451" t="str">
            <v>T1部件</v>
          </cell>
          <cell r="J451">
            <v>10</v>
          </cell>
          <cell r="K451">
            <v>3.52839931153184E-2</v>
          </cell>
        </row>
        <row r="452">
          <cell r="I452" t="str">
            <v>T1部件</v>
          </cell>
          <cell r="J452">
            <v>10</v>
          </cell>
          <cell r="K452">
            <v>3.52839931153184E-2</v>
          </cell>
        </row>
        <row r="453">
          <cell r="I453" t="str">
            <v>T1部件</v>
          </cell>
          <cell r="J453">
            <v>10</v>
          </cell>
          <cell r="K453">
            <v>3.52839931153184E-2</v>
          </cell>
        </row>
        <row r="454">
          <cell r="I454" t="str">
            <v>T1部件</v>
          </cell>
          <cell r="J454">
            <v>10</v>
          </cell>
          <cell r="K454">
            <v>3.52839931153184E-2</v>
          </cell>
        </row>
        <row r="455">
          <cell r="I455" t="str">
            <v>T1部件</v>
          </cell>
          <cell r="J455">
            <v>10</v>
          </cell>
          <cell r="K455">
            <v>3.52839931153184E-2</v>
          </cell>
        </row>
        <row r="456">
          <cell r="I456" t="str">
            <v>T1部件</v>
          </cell>
          <cell r="J456">
            <v>10</v>
          </cell>
          <cell r="K456">
            <v>3.52839931153184E-2</v>
          </cell>
        </row>
        <row r="457">
          <cell r="I457" t="str">
            <v>T1部件</v>
          </cell>
          <cell r="J457">
            <v>10</v>
          </cell>
          <cell r="K457">
            <v>3.52839931153184E-2</v>
          </cell>
        </row>
        <row r="458">
          <cell r="I458" t="str">
            <v>T1部件</v>
          </cell>
          <cell r="J458">
            <v>10</v>
          </cell>
          <cell r="K458">
            <v>3.52839931153184E-2</v>
          </cell>
        </row>
        <row r="459">
          <cell r="I459" t="str">
            <v>T1部件</v>
          </cell>
          <cell r="J459">
            <v>10</v>
          </cell>
          <cell r="K459">
            <v>3.52839931153184E-2</v>
          </cell>
        </row>
        <row r="460">
          <cell r="I460" t="str">
            <v>T1部件</v>
          </cell>
          <cell r="J460">
            <v>10</v>
          </cell>
          <cell r="K460">
            <v>3.52839931153184E-2</v>
          </cell>
        </row>
        <row r="461">
          <cell r="I461" t="str">
            <v>T1部件</v>
          </cell>
          <cell r="J461">
            <v>10</v>
          </cell>
          <cell r="K461">
            <v>3.52839931153184E-2</v>
          </cell>
        </row>
        <row r="462">
          <cell r="I462" t="str">
            <v>T1部件</v>
          </cell>
          <cell r="J462">
            <v>10</v>
          </cell>
          <cell r="K462">
            <v>3.52839931153184E-2</v>
          </cell>
        </row>
        <row r="463">
          <cell r="I463" t="str">
            <v>T1部件</v>
          </cell>
          <cell r="J463">
            <v>10</v>
          </cell>
          <cell r="K463">
            <v>3.52839931153184E-2</v>
          </cell>
        </row>
        <row r="464">
          <cell r="I464" t="str">
            <v>T1部件</v>
          </cell>
          <cell r="J464">
            <v>10</v>
          </cell>
          <cell r="K464">
            <v>3.52839931153184E-2</v>
          </cell>
        </row>
        <row r="465">
          <cell r="I465" t="str">
            <v>T1部件</v>
          </cell>
          <cell r="J465">
            <v>10</v>
          </cell>
          <cell r="K465">
            <v>3.52839931153184E-2</v>
          </cell>
        </row>
        <row r="466">
          <cell r="I466" t="str">
            <v>T1部件</v>
          </cell>
          <cell r="J466">
            <v>10</v>
          </cell>
          <cell r="K466">
            <v>3.52839931153184E-2</v>
          </cell>
        </row>
        <row r="467">
          <cell r="I467" t="str">
            <v>T1部件</v>
          </cell>
          <cell r="J467">
            <v>10</v>
          </cell>
          <cell r="K467">
            <v>3.52839931153184E-2</v>
          </cell>
        </row>
        <row r="468">
          <cell r="I468" t="str">
            <v>T2部件</v>
          </cell>
          <cell r="J468">
            <v>10</v>
          </cell>
          <cell r="K468">
            <v>1.6351118760757299E-2</v>
          </cell>
        </row>
        <row r="469">
          <cell r="I469" t="str">
            <v>T2部件</v>
          </cell>
          <cell r="J469">
            <v>10</v>
          </cell>
          <cell r="K469">
            <v>1.6351118760757299E-2</v>
          </cell>
        </row>
        <row r="470">
          <cell r="I470" t="str">
            <v>T2部件</v>
          </cell>
          <cell r="J470">
            <v>10</v>
          </cell>
          <cell r="K470">
            <v>1.6351118760757299E-2</v>
          </cell>
        </row>
        <row r="471">
          <cell r="I471" t="str">
            <v>T2部件</v>
          </cell>
          <cell r="J471">
            <v>10</v>
          </cell>
          <cell r="K471">
            <v>1.6351118760757299E-2</v>
          </cell>
        </row>
        <row r="472">
          <cell r="I472" t="str">
            <v>T2部件</v>
          </cell>
          <cell r="J472">
            <v>10</v>
          </cell>
          <cell r="K472">
            <v>1.6351118760757299E-2</v>
          </cell>
        </row>
        <row r="473">
          <cell r="I473" t="str">
            <v>T2部件</v>
          </cell>
          <cell r="J473">
            <v>10</v>
          </cell>
          <cell r="K473">
            <v>1.6351118760757299E-2</v>
          </cell>
        </row>
        <row r="474">
          <cell r="I474" t="str">
            <v>T2部件</v>
          </cell>
          <cell r="J474">
            <v>10</v>
          </cell>
          <cell r="K474">
            <v>1.6351118760757299E-2</v>
          </cell>
        </row>
        <row r="475">
          <cell r="I475" t="str">
            <v>T2部件</v>
          </cell>
          <cell r="J475">
            <v>10</v>
          </cell>
          <cell r="K475">
            <v>1.6351118760757299E-2</v>
          </cell>
        </row>
        <row r="476">
          <cell r="I476" t="str">
            <v>T2部件</v>
          </cell>
          <cell r="J476">
            <v>10</v>
          </cell>
          <cell r="K476">
            <v>1.6351118760757299E-2</v>
          </cell>
        </row>
        <row r="477">
          <cell r="I477" t="str">
            <v>T2部件</v>
          </cell>
          <cell r="J477">
            <v>10</v>
          </cell>
          <cell r="K477">
            <v>1.6351118760757299E-2</v>
          </cell>
        </row>
        <row r="478">
          <cell r="I478" t="str">
            <v>T2部件</v>
          </cell>
          <cell r="J478">
            <v>10</v>
          </cell>
          <cell r="K478">
            <v>1.6351118760757299E-2</v>
          </cell>
        </row>
        <row r="479">
          <cell r="I479" t="str">
            <v>T2部件</v>
          </cell>
          <cell r="J479">
            <v>10</v>
          </cell>
          <cell r="K479">
            <v>1.6351118760757299E-2</v>
          </cell>
        </row>
        <row r="480">
          <cell r="I480" t="str">
            <v>T2部件</v>
          </cell>
          <cell r="J480">
            <v>10</v>
          </cell>
          <cell r="K480">
            <v>1.6351118760757299E-2</v>
          </cell>
        </row>
        <row r="481">
          <cell r="I481" t="str">
            <v>T2部件</v>
          </cell>
          <cell r="J481">
            <v>10</v>
          </cell>
          <cell r="K481">
            <v>1.6351118760757299E-2</v>
          </cell>
        </row>
        <row r="482">
          <cell r="I482" t="str">
            <v>T2部件</v>
          </cell>
          <cell r="J482">
            <v>10</v>
          </cell>
          <cell r="K482">
            <v>1.6351118760757299E-2</v>
          </cell>
        </row>
        <row r="483">
          <cell r="I483" t="str">
            <v>T2部件</v>
          </cell>
          <cell r="J483">
            <v>10</v>
          </cell>
          <cell r="K483">
            <v>1.6351118760757299E-2</v>
          </cell>
        </row>
        <row r="484">
          <cell r="I484" t="str">
            <v>T2部件</v>
          </cell>
          <cell r="J484">
            <v>10</v>
          </cell>
          <cell r="K484">
            <v>1.6351118760757299E-2</v>
          </cell>
        </row>
        <row r="485">
          <cell r="I485" t="str">
            <v>T2部件</v>
          </cell>
          <cell r="J485">
            <v>10</v>
          </cell>
          <cell r="K485">
            <v>1.6351118760757299E-2</v>
          </cell>
        </row>
        <row r="486">
          <cell r="I486" t="str">
            <v>T3部件</v>
          </cell>
          <cell r="J486">
            <v>10</v>
          </cell>
          <cell r="K486">
            <v>8.6058519793459597E-3</v>
          </cell>
        </row>
        <row r="487">
          <cell r="I487" t="str">
            <v>T3部件</v>
          </cell>
          <cell r="J487">
            <v>10</v>
          </cell>
          <cell r="K487">
            <v>8.6058519793459597E-3</v>
          </cell>
        </row>
        <row r="488">
          <cell r="I488" t="str">
            <v>T3部件</v>
          </cell>
          <cell r="J488">
            <v>10</v>
          </cell>
          <cell r="K488">
            <v>8.6058519793459597E-3</v>
          </cell>
        </row>
        <row r="489">
          <cell r="I489" t="str">
            <v>T3部件</v>
          </cell>
          <cell r="J489">
            <v>10</v>
          </cell>
          <cell r="K489">
            <v>8.6058519793459597E-3</v>
          </cell>
        </row>
        <row r="490">
          <cell r="I490" t="str">
            <v>T3部件</v>
          </cell>
          <cell r="J490">
            <v>10</v>
          </cell>
          <cell r="K490">
            <v>8.6058519793459597E-3</v>
          </cell>
        </row>
        <row r="491">
          <cell r="I491" t="str">
            <v>T3部件</v>
          </cell>
          <cell r="J491">
            <v>10</v>
          </cell>
          <cell r="K491">
            <v>8.6058519793459597E-3</v>
          </cell>
        </row>
        <row r="492">
          <cell r="I492" t="str">
            <v>T3部件</v>
          </cell>
          <cell r="J492">
            <v>10</v>
          </cell>
          <cell r="K492">
            <v>8.6058519793459597E-3</v>
          </cell>
        </row>
        <row r="493">
          <cell r="I493" t="str">
            <v>T3部件</v>
          </cell>
          <cell r="J493">
            <v>10</v>
          </cell>
          <cell r="K493">
            <v>8.6058519793459597E-3</v>
          </cell>
        </row>
        <row r="494">
          <cell r="I494" t="str">
            <v>T3部件</v>
          </cell>
          <cell r="J494">
            <v>10</v>
          </cell>
          <cell r="K494">
            <v>8.6058519793459597E-3</v>
          </cell>
        </row>
        <row r="495">
          <cell r="I495" t="str">
            <v>T3部件</v>
          </cell>
          <cell r="J495">
            <v>10</v>
          </cell>
          <cell r="K495">
            <v>8.6058519793459597E-3</v>
          </cell>
        </row>
        <row r="496">
          <cell r="I496" t="str">
            <v>T3部件</v>
          </cell>
          <cell r="J496">
            <v>10</v>
          </cell>
          <cell r="K496">
            <v>8.6058519793459597E-3</v>
          </cell>
        </row>
        <row r="497">
          <cell r="I497" t="str">
            <v>T3部件</v>
          </cell>
          <cell r="J497">
            <v>10</v>
          </cell>
          <cell r="K497">
            <v>8.6058519793459597E-3</v>
          </cell>
        </row>
        <row r="498">
          <cell r="I498" t="str">
            <v>T3部件</v>
          </cell>
          <cell r="J498">
            <v>10</v>
          </cell>
          <cell r="K498">
            <v>8.6058519793459597E-3</v>
          </cell>
        </row>
        <row r="499">
          <cell r="I499" t="str">
            <v>T3部件</v>
          </cell>
          <cell r="J499">
            <v>10</v>
          </cell>
          <cell r="K499">
            <v>8.6058519793459597E-3</v>
          </cell>
        </row>
        <row r="500">
          <cell r="I500" t="str">
            <v>T3部件</v>
          </cell>
          <cell r="J500">
            <v>10</v>
          </cell>
          <cell r="K500">
            <v>8.6058519793459597E-3</v>
          </cell>
        </row>
        <row r="501">
          <cell r="I501" t="str">
            <v>T3部件</v>
          </cell>
          <cell r="J501">
            <v>10</v>
          </cell>
          <cell r="K501">
            <v>8.6058519793459597E-3</v>
          </cell>
        </row>
        <row r="502">
          <cell r="I502" t="str">
            <v>T3部件</v>
          </cell>
          <cell r="J502">
            <v>10</v>
          </cell>
          <cell r="K502">
            <v>8.6058519793459597E-3</v>
          </cell>
        </row>
        <row r="503">
          <cell r="I503" t="str">
            <v>T3部件</v>
          </cell>
          <cell r="J503">
            <v>10</v>
          </cell>
          <cell r="K503">
            <v>8.6058519793459597E-3</v>
          </cell>
        </row>
        <row r="504">
          <cell r="I504" t="str">
            <v>T0坦克</v>
          </cell>
          <cell r="J504">
            <v>10</v>
          </cell>
          <cell r="K504">
            <v>1.0613884107859999E-2</v>
          </cell>
        </row>
        <row r="505">
          <cell r="I505" t="str">
            <v>T0坦克</v>
          </cell>
          <cell r="J505">
            <v>10</v>
          </cell>
          <cell r="K505">
            <v>1.3482501434308699E-2</v>
          </cell>
        </row>
      </sheetData>
      <sheetData sheetId="10">
        <row r="1">
          <cell r="I1" t="str">
            <v>类别</v>
          </cell>
          <cell r="J1" t="str">
            <v>联赛等级</v>
          </cell>
          <cell r="K1" t="str">
            <v>计算个数</v>
          </cell>
        </row>
        <row r="2">
          <cell r="I2" t="str">
            <v>T1碎片</v>
          </cell>
          <cell r="J2">
            <v>1</v>
          </cell>
          <cell r="K2">
            <v>2.93333333333333</v>
          </cell>
        </row>
        <row r="3">
          <cell r="I3" t="str">
            <v>T1碎片</v>
          </cell>
          <cell r="J3">
            <v>1</v>
          </cell>
          <cell r="K3">
            <v>2.93333333333333</v>
          </cell>
        </row>
        <row r="4">
          <cell r="I4" t="str">
            <v>T1碎片</v>
          </cell>
          <cell r="J4">
            <v>1</v>
          </cell>
          <cell r="K4">
            <v>2.93333333333333</v>
          </cell>
        </row>
        <row r="5">
          <cell r="I5" t="str">
            <v>T1部件</v>
          </cell>
          <cell r="J5">
            <v>1</v>
          </cell>
          <cell r="K5">
            <v>0.49612403100775199</v>
          </cell>
        </row>
        <row r="6">
          <cell r="I6" t="str">
            <v>T1部件</v>
          </cell>
          <cell r="J6">
            <v>1</v>
          </cell>
          <cell r="K6">
            <v>0.49612403100775199</v>
          </cell>
        </row>
        <row r="7">
          <cell r="I7" t="str">
            <v>T1部件</v>
          </cell>
          <cell r="J7">
            <v>1</v>
          </cell>
          <cell r="K7">
            <v>0.49612403100775199</v>
          </cell>
        </row>
        <row r="8">
          <cell r="I8" t="str">
            <v>T1部件</v>
          </cell>
          <cell r="J8">
            <v>1</v>
          </cell>
          <cell r="K8">
            <v>0.49612403100775199</v>
          </cell>
        </row>
        <row r="9">
          <cell r="I9" t="str">
            <v>T1部件</v>
          </cell>
          <cell r="J9">
            <v>1</v>
          </cell>
          <cell r="K9">
            <v>0.49612403100775199</v>
          </cell>
        </row>
        <row r="10">
          <cell r="I10" t="str">
            <v>T1部件</v>
          </cell>
          <cell r="J10">
            <v>1</v>
          </cell>
          <cell r="K10">
            <v>0.49612403100775199</v>
          </cell>
        </row>
        <row r="11">
          <cell r="I11" t="str">
            <v>T1部件</v>
          </cell>
          <cell r="J11">
            <v>1</v>
          </cell>
          <cell r="K11">
            <v>0.49612403100775199</v>
          </cell>
        </row>
        <row r="12">
          <cell r="I12" t="str">
            <v>T1部件</v>
          </cell>
          <cell r="J12">
            <v>1</v>
          </cell>
          <cell r="K12">
            <v>0.49612403100775199</v>
          </cell>
        </row>
        <row r="13">
          <cell r="I13" t="str">
            <v>T1部件</v>
          </cell>
          <cell r="J13">
            <v>1</v>
          </cell>
          <cell r="K13">
            <v>0.51100775193798498</v>
          </cell>
        </row>
        <row r="14">
          <cell r="I14" t="str">
            <v>T1碎片</v>
          </cell>
          <cell r="J14">
            <v>2</v>
          </cell>
          <cell r="K14">
            <v>2.1313367649352699</v>
          </cell>
        </row>
        <row r="15">
          <cell r="I15" t="str">
            <v>T1碎片</v>
          </cell>
          <cell r="J15">
            <v>2</v>
          </cell>
          <cell r="K15">
            <v>2.1313367649352699</v>
          </cell>
        </row>
        <row r="16">
          <cell r="I16" t="str">
            <v>T1碎片</v>
          </cell>
          <cell r="J16">
            <v>2</v>
          </cell>
          <cell r="K16">
            <v>2.1313367649352699</v>
          </cell>
        </row>
        <row r="17">
          <cell r="I17" t="str">
            <v>T2碎片</v>
          </cell>
          <cell r="J17">
            <v>2</v>
          </cell>
          <cell r="K17">
            <v>0.78614880673841803</v>
          </cell>
        </row>
        <row r="18">
          <cell r="I18" t="str">
            <v>T2碎片</v>
          </cell>
          <cell r="J18">
            <v>2</v>
          </cell>
          <cell r="K18">
            <v>0.78614880673841803</v>
          </cell>
        </row>
        <row r="19">
          <cell r="I19" t="str">
            <v>T2碎片</v>
          </cell>
          <cell r="J19">
            <v>2</v>
          </cell>
          <cell r="K19">
            <v>0.78614880673841803</v>
          </cell>
        </row>
        <row r="20">
          <cell r="I20" t="str">
            <v>T1部件</v>
          </cell>
          <cell r="J20">
            <v>2</v>
          </cell>
          <cell r="K20">
            <v>0.223366089533614</v>
          </cell>
        </row>
        <row r="21">
          <cell r="I21" t="str">
            <v>T1部件</v>
          </cell>
          <cell r="J21">
            <v>2</v>
          </cell>
          <cell r="K21">
            <v>0.223366089533614</v>
          </cell>
        </row>
        <row r="22">
          <cell r="I22" t="str">
            <v>T1部件</v>
          </cell>
          <cell r="J22">
            <v>2</v>
          </cell>
          <cell r="K22">
            <v>0.223366089533614</v>
          </cell>
        </row>
        <row r="23">
          <cell r="I23" t="str">
            <v>T1部件</v>
          </cell>
          <cell r="J23">
            <v>2</v>
          </cell>
          <cell r="K23">
            <v>0.223366089533614</v>
          </cell>
        </row>
        <row r="24">
          <cell r="I24" t="str">
            <v>T1部件</v>
          </cell>
          <cell r="J24">
            <v>2</v>
          </cell>
          <cell r="K24">
            <v>0.223366089533614</v>
          </cell>
        </row>
        <row r="25">
          <cell r="I25" t="str">
            <v>T1部件</v>
          </cell>
          <cell r="J25">
            <v>2</v>
          </cell>
          <cell r="K25">
            <v>0.223366089533614</v>
          </cell>
        </row>
        <row r="26">
          <cell r="I26" t="str">
            <v>T1部件</v>
          </cell>
          <cell r="J26">
            <v>2</v>
          </cell>
          <cell r="K26">
            <v>0.223366089533614</v>
          </cell>
        </row>
        <row r="27">
          <cell r="I27" t="str">
            <v>T1部件</v>
          </cell>
          <cell r="J27">
            <v>2</v>
          </cell>
          <cell r="K27">
            <v>0.223366089533614</v>
          </cell>
        </row>
        <row r="28">
          <cell r="I28" t="str">
            <v>T1部件</v>
          </cell>
          <cell r="J28">
            <v>2</v>
          </cell>
          <cell r="K28">
            <v>0.223366089533614</v>
          </cell>
        </row>
        <row r="29">
          <cell r="I29" t="str">
            <v>T1部件</v>
          </cell>
          <cell r="J29">
            <v>2</v>
          </cell>
          <cell r="K29">
            <v>0.223366089533614</v>
          </cell>
        </row>
        <row r="30">
          <cell r="I30" t="str">
            <v>T1部件</v>
          </cell>
          <cell r="J30">
            <v>2</v>
          </cell>
          <cell r="K30">
            <v>0.223366089533614</v>
          </cell>
        </row>
        <row r="31">
          <cell r="I31" t="str">
            <v>T1部件</v>
          </cell>
          <cell r="J31">
            <v>2</v>
          </cell>
          <cell r="K31">
            <v>0.223366089533614</v>
          </cell>
        </row>
        <row r="32">
          <cell r="I32" t="str">
            <v>T1部件</v>
          </cell>
          <cell r="J32">
            <v>2</v>
          </cell>
          <cell r="K32">
            <v>0.223366089533614</v>
          </cell>
        </row>
        <row r="33">
          <cell r="I33" t="str">
            <v>T1部件</v>
          </cell>
          <cell r="J33">
            <v>2</v>
          </cell>
          <cell r="K33">
            <v>0.223366089533614</v>
          </cell>
        </row>
        <row r="34">
          <cell r="I34" t="str">
            <v>T1部件</v>
          </cell>
          <cell r="J34">
            <v>2</v>
          </cell>
          <cell r="K34">
            <v>0.223366089533614</v>
          </cell>
        </row>
        <row r="35">
          <cell r="I35" t="str">
            <v>T1部件</v>
          </cell>
          <cell r="J35">
            <v>2</v>
          </cell>
          <cell r="K35">
            <v>0.223366089533614</v>
          </cell>
        </row>
        <row r="36">
          <cell r="I36" t="str">
            <v>T1部件</v>
          </cell>
          <cell r="J36">
            <v>2</v>
          </cell>
          <cell r="K36">
            <v>0.223366089533614</v>
          </cell>
        </row>
        <row r="37">
          <cell r="I37" t="str">
            <v>T1部件</v>
          </cell>
          <cell r="J37">
            <v>2</v>
          </cell>
          <cell r="K37">
            <v>0.223366089533614</v>
          </cell>
        </row>
        <row r="38">
          <cell r="I38" t="str">
            <v>T0坦克</v>
          </cell>
          <cell r="J38">
            <v>2</v>
          </cell>
          <cell r="K38">
            <v>0.13851193261581701</v>
          </cell>
        </row>
        <row r="39">
          <cell r="I39" t="str">
            <v>T0坦克</v>
          </cell>
          <cell r="J39">
            <v>2</v>
          </cell>
          <cell r="K39">
            <v>8.0486663547028506E-2</v>
          </cell>
        </row>
        <row r="40">
          <cell r="I40" t="str">
            <v>T0坦克</v>
          </cell>
          <cell r="J40">
            <v>2</v>
          </cell>
          <cell r="K40">
            <v>8.6725939790984294E-2</v>
          </cell>
        </row>
        <row r="41">
          <cell r="I41" t="str">
            <v>T0坦克</v>
          </cell>
          <cell r="J41">
            <v>2</v>
          </cell>
          <cell r="K41">
            <v>9.6708781781313397E-2</v>
          </cell>
        </row>
        <row r="42">
          <cell r="I42" t="str">
            <v>T1碎片</v>
          </cell>
          <cell r="J42">
            <v>3</v>
          </cell>
          <cell r="K42">
            <v>0.92658805629516905</v>
          </cell>
        </row>
        <row r="43">
          <cell r="I43" t="str">
            <v>T1碎片</v>
          </cell>
          <cell r="J43">
            <v>3</v>
          </cell>
          <cell r="K43">
            <v>0.92658805629516905</v>
          </cell>
        </row>
        <row r="44">
          <cell r="I44" t="str">
            <v>T1碎片</v>
          </cell>
          <cell r="J44">
            <v>3</v>
          </cell>
          <cell r="K44">
            <v>0.92658805629516905</v>
          </cell>
        </row>
        <row r="45">
          <cell r="I45" t="str">
            <v>T2碎片</v>
          </cell>
          <cell r="J45">
            <v>3</v>
          </cell>
          <cell r="K45">
            <v>0.67959934068720695</v>
          </cell>
        </row>
        <row r="46">
          <cell r="I46" t="str">
            <v>T2碎片</v>
          </cell>
          <cell r="J46">
            <v>3</v>
          </cell>
          <cell r="K46">
            <v>0.67959934068720695</v>
          </cell>
        </row>
        <row r="47">
          <cell r="I47" t="str">
            <v>T2碎片</v>
          </cell>
          <cell r="J47">
            <v>3</v>
          </cell>
          <cell r="K47">
            <v>0.67959934068720695</v>
          </cell>
        </row>
        <row r="48">
          <cell r="I48" t="str">
            <v>T2碎片</v>
          </cell>
          <cell r="J48">
            <v>3</v>
          </cell>
          <cell r="K48">
            <v>0.47926968429060501</v>
          </cell>
        </row>
        <row r="49">
          <cell r="I49" t="str">
            <v>T2碎片</v>
          </cell>
          <cell r="J49">
            <v>3</v>
          </cell>
          <cell r="K49">
            <v>0.47926968429060501</v>
          </cell>
        </row>
        <row r="50">
          <cell r="I50" t="str">
            <v>T2碎片</v>
          </cell>
          <cell r="J50">
            <v>3</v>
          </cell>
          <cell r="K50">
            <v>0.47926968429060501</v>
          </cell>
        </row>
        <row r="51">
          <cell r="I51" t="str">
            <v>T1部件</v>
          </cell>
          <cell r="J51">
            <v>3</v>
          </cell>
          <cell r="K51">
            <v>0.13693419551160099</v>
          </cell>
        </row>
        <row r="52">
          <cell r="I52" t="str">
            <v>T1部件</v>
          </cell>
          <cell r="J52">
            <v>3</v>
          </cell>
          <cell r="K52">
            <v>0.13693419551160099</v>
          </cell>
        </row>
        <row r="53">
          <cell r="I53" t="str">
            <v>T1部件</v>
          </cell>
          <cell r="J53">
            <v>3</v>
          </cell>
          <cell r="K53">
            <v>0.13693419551160099</v>
          </cell>
        </row>
        <row r="54">
          <cell r="I54" t="str">
            <v>T1部件</v>
          </cell>
          <cell r="J54">
            <v>3</v>
          </cell>
          <cell r="K54">
            <v>0.13693419551160099</v>
          </cell>
        </row>
        <row r="55">
          <cell r="I55" t="str">
            <v>T1部件</v>
          </cell>
          <cell r="J55">
            <v>3</v>
          </cell>
          <cell r="K55">
            <v>0.13693419551160099</v>
          </cell>
        </row>
        <row r="56">
          <cell r="I56" t="str">
            <v>T1部件</v>
          </cell>
          <cell r="J56">
            <v>3</v>
          </cell>
          <cell r="K56">
            <v>0.13693419551160099</v>
          </cell>
        </row>
        <row r="57">
          <cell r="I57" t="str">
            <v>T1部件</v>
          </cell>
          <cell r="J57">
            <v>3</v>
          </cell>
          <cell r="K57">
            <v>0.13693419551160099</v>
          </cell>
        </row>
        <row r="58">
          <cell r="I58" t="str">
            <v>T1部件</v>
          </cell>
          <cell r="J58">
            <v>3</v>
          </cell>
          <cell r="K58">
            <v>0.13693419551160099</v>
          </cell>
        </row>
        <row r="59">
          <cell r="I59" t="str">
            <v>T1部件</v>
          </cell>
          <cell r="J59">
            <v>3</v>
          </cell>
          <cell r="K59">
            <v>0.13693419551160099</v>
          </cell>
        </row>
        <row r="60">
          <cell r="I60" t="str">
            <v>T1部件</v>
          </cell>
          <cell r="J60">
            <v>3</v>
          </cell>
          <cell r="K60">
            <v>0.13693419551160099</v>
          </cell>
        </row>
        <row r="61">
          <cell r="I61" t="str">
            <v>T1部件</v>
          </cell>
          <cell r="J61">
            <v>3</v>
          </cell>
          <cell r="K61">
            <v>0.13693419551160099</v>
          </cell>
        </row>
        <row r="62">
          <cell r="I62" t="str">
            <v>T1部件</v>
          </cell>
          <cell r="J62">
            <v>3</v>
          </cell>
          <cell r="K62">
            <v>0.13693419551160099</v>
          </cell>
        </row>
        <row r="63">
          <cell r="I63" t="str">
            <v>T1部件</v>
          </cell>
          <cell r="J63">
            <v>3</v>
          </cell>
          <cell r="K63">
            <v>0.13693419551160099</v>
          </cell>
        </row>
        <row r="64">
          <cell r="I64" t="str">
            <v>T1部件</v>
          </cell>
          <cell r="J64">
            <v>3</v>
          </cell>
          <cell r="K64">
            <v>0.13693419551160099</v>
          </cell>
        </row>
        <row r="65">
          <cell r="I65" t="str">
            <v>T1部件</v>
          </cell>
          <cell r="J65">
            <v>3</v>
          </cell>
          <cell r="K65">
            <v>0.13693419551160099</v>
          </cell>
        </row>
        <row r="66">
          <cell r="I66" t="str">
            <v>T1部件</v>
          </cell>
          <cell r="J66">
            <v>3</v>
          </cell>
          <cell r="K66">
            <v>0.13693419551160099</v>
          </cell>
        </row>
        <row r="67">
          <cell r="I67" t="str">
            <v>T1部件</v>
          </cell>
          <cell r="J67">
            <v>3</v>
          </cell>
          <cell r="K67">
            <v>0.13693419551160099</v>
          </cell>
        </row>
        <row r="68">
          <cell r="I68" t="str">
            <v>T1部件</v>
          </cell>
          <cell r="J68">
            <v>3</v>
          </cell>
          <cell r="K68">
            <v>0.13693419551160099</v>
          </cell>
        </row>
        <row r="69">
          <cell r="I69" t="str">
            <v>T2部件</v>
          </cell>
          <cell r="J69">
            <v>3</v>
          </cell>
          <cell r="K69">
            <v>7.0495752504120698E-2</v>
          </cell>
        </row>
        <row r="70">
          <cell r="I70" t="str">
            <v>T2部件</v>
          </cell>
          <cell r="J70">
            <v>3</v>
          </cell>
          <cell r="K70">
            <v>7.0495752504120698E-2</v>
          </cell>
        </row>
        <row r="71">
          <cell r="I71" t="str">
            <v>T2部件</v>
          </cell>
          <cell r="J71">
            <v>3</v>
          </cell>
          <cell r="K71">
            <v>7.0495752504120698E-2</v>
          </cell>
        </row>
        <row r="72">
          <cell r="I72" t="str">
            <v>T2部件</v>
          </cell>
          <cell r="J72">
            <v>3</v>
          </cell>
          <cell r="K72">
            <v>7.0495752504120698E-2</v>
          </cell>
        </row>
        <row r="73">
          <cell r="I73" t="str">
            <v>T2部件</v>
          </cell>
          <cell r="J73">
            <v>3</v>
          </cell>
          <cell r="K73">
            <v>7.0495752504120698E-2</v>
          </cell>
        </row>
        <row r="74">
          <cell r="I74" t="str">
            <v>T2部件</v>
          </cell>
          <cell r="J74">
            <v>3</v>
          </cell>
          <cell r="K74">
            <v>7.0495752504120698E-2</v>
          </cell>
        </row>
        <row r="75">
          <cell r="I75" t="str">
            <v>T2部件</v>
          </cell>
          <cell r="J75">
            <v>3</v>
          </cell>
          <cell r="K75">
            <v>7.0495752504120698E-2</v>
          </cell>
        </row>
        <row r="76">
          <cell r="I76" t="str">
            <v>T2部件</v>
          </cell>
          <cell r="J76">
            <v>3</v>
          </cell>
          <cell r="K76">
            <v>7.0495752504120698E-2</v>
          </cell>
        </row>
        <row r="77">
          <cell r="I77" t="str">
            <v>T2部件</v>
          </cell>
          <cell r="J77">
            <v>3</v>
          </cell>
          <cell r="K77">
            <v>7.0495752504120698E-2</v>
          </cell>
        </row>
        <row r="78">
          <cell r="I78" t="str">
            <v>T0坦克</v>
          </cell>
          <cell r="J78">
            <v>3</v>
          </cell>
          <cell r="K78">
            <v>7.0495752504120698E-2</v>
          </cell>
        </row>
        <row r="79">
          <cell r="I79" t="str">
            <v>T0坦克</v>
          </cell>
          <cell r="J79">
            <v>3</v>
          </cell>
          <cell r="K79">
            <v>4.9194877646760497E-2</v>
          </cell>
        </row>
        <row r="80">
          <cell r="I80" t="str">
            <v>T0坦克</v>
          </cell>
          <cell r="J80">
            <v>3</v>
          </cell>
          <cell r="K80">
            <v>0.49194877646760499</v>
          </cell>
        </row>
        <row r="81">
          <cell r="I81" t="str">
            <v>T0坦克</v>
          </cell>
          <cell r="J81">
            <v>3</v>
          </cell>
          <cell r="K81">
            <v>3.9558767592240397E-2</v>
          </cell>
        </row>
        <row r="82">
          <cell r="I82" t="str">
            <v>T1碎片</v>
          </cell>
          <cell r="J82">
            <v>4</v>
          </cell>
          <cell r="K82">
            <v>0.89145052833813598</v>
          </cell>
        </row>
        <row r="83">
          <cell r="I83" t="str">
            <v>T1碎片</v>
          </cell>
          <cell r="J83">
            <v>4</v>
          </cell>
          <cell r="K83">
            <v>0.89145052833813598</v>
          </cell>
        </row>
        <row r="84">
          <cell r="I84" t="str">
            <v>T1碎片</v>
          </cell>
          <cell r="J84">
            <v>4</v>
          </cell>
          <cell r="K84">
            <v>0.89145052833813598</v>
          </cell>
        </row>
        <row r="85">
          <cell r="I85" t="str">
            <v>T2碎片</v>
          </cell>
          <cell r="J85">
            <v>4</v>
          </cell>
          <cell r="K85">
            <v>1.16234390009606</v>
          </cell>
        </row>
        <row r="86">
          <cell r="I86" t="str">
            <v>T2碎片</v>
          </cell>
          <cell r="J86">
            <v>4</v>
          </cell>
          <cell r="K86">
            <v>1.16234390009606</v>
          </cell>
        </row>
        <row r="87">
          <cell r="I87" t="str">
            <v>T2碎片</v>
          </cell>
          <cell r="J87">
            <v>4</v>
          </cell>
          <cell r="K87">
            <v>1.16234390009606</v>
          </cell>
        </row>
        <row r="88">
          <cell r="I88" t="str">
            <v>T2碎片</v>
          </cell>
          <cell r="J88">
            <v>4</v>
          </cell>
          <cell r="K88">
            <v>0.462162450635073</v>
          </cell>
        </row>
        <row r="89">
          <cell r="I89" t="str">
            <v>T2碎片</v>
          </cell>
          <cell r="J89">
            <v>4</v>
          </cell>
          <cell r="K89">
            <v>0.462162450635073</v>
          </cell>
        </row>
        <row r="90">
          <cell r="I90" t="str">
            <v>T2碎片</v>
          </cell>
          <cell r="J90">
            <v>4</v>
          </cell>
          <cell r="K90">
            <v>0.462162450635073</v>
          </cell>
        </row>
        <row r="91">
          <cell r="I91" t="str">
            <v>T1部件</v>
          </cell>
          <cell r="J91">
            <v>4</v>
          </cell>
          <cell r="K91">
            <v>9.1578610310598801E-2</v>
          </cell>
        </row>
        <row r="92">
          <cell r="I92" t="str">
            <v>T1部件</v>
          </cell>
          <cell r="J92">
            <v>4</v>
          </cell>
          <cell r="K92">
            <v>9.1578610310598801E-2</v>
          </cell>
        </row>
        <row r="93">
          <cell r="I93" t="str">
            <v>T1部件</v>
          </cell>
          <cell r="J93">
            <v>4</v>
          </cell>
          <cell r="K93">
            <v>9.1578610310598801E-2</v>
          </cell>
        </row>
        <row r="94">
          <cell r="I94" t="str">
            <v>T1部件</v>
          </cell>
          <cell r="J94">
            <v>4</v>
          </cell>
          <cell r="K94">
            <v>9.1578610310598801E-2</v>
          </cell>
        </row>
        <row r="95">
          <cell r="I95" t="str">
            <v>T1部件</v>
          </cell>
          <cell r="J95">
            <v>4</v>
          </cell>
          <cell r="K95">
            <v>9.1578610310598801E-2</v>
          </cell>
        </row>
        <row r="96">
          <cell r="I96" t="str">
            <v>T1部件</v>
          </cell>
          <cell r="J96">
            <v>4</v>
          </cell>
          <cell r="K96">
            <v>9.1578610310598801E-2</v>
          </cell>
        </row>
        <row r="97">
          <cell r="I97" t="str">
            <v>T1部件</v>
          </cell>
          <cell r="J97">
            <v>4</v>
          </cell>
          <cell r="K97">
            <v>9.1578610310598801E-2</v>
          </cell>
        </row>
        <row r="98">
          <cell r="I98" t="str">
            <v>T1部件</v>
          </cell>
          <cell r="J98">
            <v>4</v>
          </cell>
          <cell r="K98">
            <v>9.1578610310598801E-2</v>
          </cell>
        </row>
        <row r="99">
          <cell r="I99" t="str">
            <v>T1部件</v>
          </cell>
          <cell r="J99">
            <v>4</v>
          </cell>
          <cell r="K99">
            <v>9.1578610310598801E-2</v>
          </cell>
        </row>
        <row r="100">
          <cell r="I100" t="str">
            <v>T1部件</v>
          </cell>
          <cell r="J100">
            <v>4</v>
          </cell>
          <cell r="K100">
            <v>9.1578610310598801E-2</v>
          </cell>
        </row>
        <row r="101">
          <cell r="I101" t="str">
            <v>T1部件</v>
          </cell>
          <cell r="J101">
            <v>4</v>
          </cell>
          <cell r="K101">
            <v>9.1578610310598801E-2</v>
          </cell>
        </row>
        <row r="102">
          <cell r="I102" t="str">
            <v>T1部件</v>
          </cell>
          <cell r="J102">
            <v>4</v>
          </cell>
          <cell r="K102">
            <v>9.1578610310598801E-2</v>
          </cell>
        </row>
        <row r="103">
          <cell r="I103" t="str">
            <v>T1部件</v>
          </cell>
          <cell r="J103">
            <v>4</v>
          </cell>
          <cell r="K103">
            <v>9.1578610310598801E-2</v>
          </cell>
        </row>
        <row r="104">
          <cell r="I104" t="str">
            <v>T1部件</v>
          </cell>
          <cell r="J104">
            <v>4</v>
          </cell>
          <cell r="K104">
            <v>9.1578610310598801E-2</v>
          </cell>
        </row>
        <row r="105">
          <cell r="I105" t="str">
            <v>T1部件</v>
          </cell>
          <cell r="J105">
            <v>4</v>
          </cell>
          <cell r="K105">
            <v>9.1578610310598801E-2</v>
          </cell>
        </row>
        <row r="106">
          <cell r="I106" t="str">
            <v>T1部件</v>
          </cell>
          <cell r="J106">
            <v>4</v>
          </cell>
          <cell r="K106">
            <v>9.1578610310598801E-2</v>
          </cell>
        </row>
        <row r="107">
          <cell r="I107" t="str">
            <v>T1部件</v>
          </cell>
          <cell r="J107">
            <v>4</v>
          </cell>
          <cell r="K107">
            <v>9.1578610310598801E-2</v>
          </cell>
        </row>
        <row r="108">
          <cell r="I108" t="str">
            <v>T1部件</v>
          </cell>
          <cell r="J108">
            <v>4</v>
          </cell>
          <cell r="K108">
            <v>9.1578610310598801E-2</v>
          </cell>
        </row>
        <row r="109">
          <cell r="I109" t="str">
            <v>T2部件</v>
          </cell>
          <cell r="J109">
            <v>4</v>
          </cell>
          <cell r="K109">
            <v>4.6109510086455301E-2</v>
          </cell>
        </row>
        <row r="110">
          <cell r="I110" t="str">
            <v>T2部件</v>
          </cell>
          <cell r="J110">
            <v>4</v>
          </cell>
          <cell r="K110">
            <v>4.6109510086455301E-2</v>
          </cell>
        </row>
        <row r="111">
          <cell r="I111" t="str">
            <v>T2部件</v>
          </cell>
          <cell r="J111">
            <v>4</v>
          </cell>
          <cell r="K111">
            <v>4.6109510086455301E-2</v>
          </cell>
        </row>
        <row r="112">
          <cell r="I112" t="str">
            <v>T2部件</v>
          </cell>
          <cell r="J112">
            <v>4</v>
          </cell>
          <cell r="K112">
            <v>4.6109510086455301E-2</v>
          </cell>
        </row>
        <row r="113">
          <cell r="I113" t="str">
            <v>T2部件</v>
          </cell>
          <cell r="J113">
            <v>4</v>
          </cell>
          <cell r="K113">
            <v>4.6109510086455301E-2</v>
          </cell>
        </row>
        <row r="114">
          <cell r="I114" t="str">
            <v>T2部件</v>
          </cell>
          <cell r="J114">
            <v>4</v>
          </cell>
          <cell r="K114">
            <v>4.6109510086455301E-2</v>
          </cell>
        </row>
        <row r="115">
          <cell r="I115" t="str">
            <v>T2部件</v>
          </cell>
          <cell r="J115">
            <v>4</v>
          </cell>
          <cell r="K115">
            <v>4.6109510086455301E-2</v>
          </cell>
        </row>
        <row r="116">
          <cell r="I116" t="str">
            <v>T2部件</v>
          </cell>
          <cell r="J116">
            <v>4</v>
          </cell>
          <cell r="K116">
            <v>4.6109510086455301E-2</v>
          </cell>
        </row>
        <row r="117">
          <cell r="I117" t="str">
            <v>T2部件</v>
          </cell>
          <cell r="J117">
            <v>4</v>
          </cell>
          <cell r="K117">
            <v>4.6109510086455301E-2</v>
          </cell>
        </row>
        <row r="118">
          <cell r="I118" t="str">
            <v>T2部件</v>
          </cell>
          <cell r="J118">
            <v>4</v>
          </cell>
          <cell r="K118">
            <v>4.6109510086455301E-2</v>
          </cell>
        </row>
        <row r="119">
          <cell r="I119" t="str">
            <v>T2部件</v>
          </cell>
          <cell r="J119">
            <v>4</v>
          </cell>
          <cell r="K119">
            <v>4.6109510086455301E-2</v>
          </cell>
        </row>
        <row r="120">
          <cell r="I120" t="str">
            <v>T2部件</v>
          </cell>
          <cell r="J120">
            <v>4</v>
          </cell>
          <cell r="K120">
            <v>4.6109510086455301E-2</v>
          </cell>
        </row>
        <row r="121">
          <cell r="I121" t="str">
            <v>T2部件</v>
          </cell>
          <cell r="J121">
            <v>4</v>
          </cell>
          <cell r="K121">
            <v>4.6109510086455301E-2</v>
          </cell>
        </row>
        <row r="122">
          <cell r="I122" t="str">
            <v>T2部件</v>
          </cell>
          <cell r="J122">
            <v>4</v>
          </cell>
          <cell r="K122">
            <v>4.6109510086455301E-2</v>
          </cell>
        </row>
        <row r="123">
          <cell r="I123" t="str">
            <v>T2部件</v>
          </cell>
          <cell r="J123">
            <v>4</v>
          </cell>
          <cell r="K123">
            <v>4.6109510086455301E-2</v>
          </cell>
        </row>
        <row r="124">
          <cell r="I124" t="str">
            <v>T2部件</v>
          </cell>
          <cell r="J124">
            <v>4</v>
          </cell>
          <cell r="K124">
            <v>4.6109510086455301E-2</v>
          </cell>
        </row>
        <row r="125">
          <cell r="I125" t="str">
            <v>T2部件</v>
          </cell>
          <cell r="J125">
            <v>4</v>
          </cell>
          <cell r="K125">
            <v>4.6109510086455301E-2</v>
          </cell>
        </row>
        <row r="126">
          <cell r="I126" t="str">
            <v>T2部件</v>
          </cell>
          <cell r="J126">
            <v>4</v>
          </cell>
          <cell r="K126">
            <v>4.6109510086455301E-2</v>
          </cell>
        </row>
        <row r="127">
          <cell r="I127" t="str">
            <v>T0坦克</v>
          </cell>
          <cell r="J127">
            <v>4</v>
          </cell>
          <cell r="K127">
            <v>5.93446472409008E-2</v>
          </cell>
        </row>
        <row r="128">
          <cell r="I128" t="str">
            <v>T0坦克</v>
          </cell>
          <cell r="J128">
            <v>4</v>
          </cell>
          <cell r="K128">
            <v>4.1413171096168197E-2</v>
          </cell>
        </row>
        <row r="129">
          <cell r="I129" t="str">
            <v>T0坦克</v>
          </cell>
          <cell r="J129">
            <v>4</v>
          </cell>
          <cell r="K129">
            <v>0.414131710961682</v>
          </cell>
        </row>
        <row r="130">
          <cell r="I130" t="str">
            <v>T0坦克</v>
          </cell>
          <cell r="J130">
            <v>4</v>
          </cell>
          <cell r="K130">
            <v>3.3301312840217701E-2</v>
          </cell>
        </row>
        <row r="131">
          <cell r="I131" t="str">
            <v>T1碎片</v>
          </cell>
          <cell r="J131">
            <v>5</v>
          </cell>
          <cell r="K131">
            <v>0.91099476439790605</v>
          </cell>
        </row>
        <row r="132">
          <cell r="I132" t="str">
            <v>T1碎片</v>
          </cell>
          <cell r="J132">
            <v>5</v>
          </cell>
          <cell r="K132">
            <v>0.91099476439790605</v>
          </cell>
        </row>
        <row r="133">
          <cell r="I133" t="str">
            <v>T1碎片</v>
          </cell>
          <cell r="J133">
            <v>5</v>
          </cell>
          <cell r="K133">
            <v>0.91099476439790605</v>
          </cell>
        </row>
        <row r="134">
          <cell r="I134" t="str">
            <v>T2碎片</v>
          </cell>
          <cell r="J134">
            <v>5</v>
          </cell>
          <cell r="K134">
            <v>0.59860383944153595</v>
          </cell>
        </row>
        <row r="135">
          <cell r="I135" t="str">
            <v>T2碎片</v>
          </cell>
          <cell r="J135">
            <v>5</v>
          </cell>
          <cell r="K135">
            <v>0.59860383944153595</v>
          </cell>
        </row>
        <row r="136">
          <cell r="I136" t="str">
            <v>T2碎片</v>
          </cell>
          <cell r="J136">
            <v>5</v>
          </cell>
          <cell r="K136">
            <v>0.59860383944153595</v>
          </cell>
        </row>
        <row r="137">
          <cell r="I137" t="str">
            <v>T3碎片</v>
          </cell>
          <cell r="J137">
            <v>5</v>
          </cell>
          <cell r="K137">
            <v>0.53325576885786297</v>
          </cell>
        </row>
        <row r="138">
          <cell r="I138" t="str">
            <v>T3碎片</v>
          </cell>
          <cell r="J138">
            <v>5</v>
          </cell>
          <cell r="K138">
            <v>0.53325576885786297</v>
          </cell>
        </row>
        <row r="139">
          <cell r="I139" t="str">
            <v>T3碎片</v>
          </cell>
          <cell r="J139">
            <v>5</v>
          </cell>
          <cell r="K139">
            <v>0.53325576885786297</v>
          </cell>
        </row>
        <row r="140">
          <cell r="I140" t="str">
            <v>T3碎片</v>
          </cell>
          <cell r="J140">
            <v>5</v>
          </cell>
          <cell r="K140">
            <v>0.20942408376963401</v>
          </cell>
        </row>
        <row r="141">
          <cell r="I141" t="str">
            <v>T3碎片</v>
          </cell>
          <cell r="J141">
            <v>5</v>
          </cell>
          <cell r="K141">
            <v>0.20942408376963401</v>
          </cell>
        </row>
        <row r="142">
          <cell r="I142" t="str">
            <v>T3碎片</v>
          </cell>
          <cell r="J142">
            <v>5</v>
          </cell>
          <cell r="K142">
            <v>0.20942408376963401</v>
          </cell>
        </row>
        <row r="143">
          <cell r="I143" t="str">
            <v>T1部件</v>
          </cell>
          <cell r="J143">
            <v>5</v>
          </cell>
          <cell r="K143">
            <v>8.8229590847391903E-2</v>
          </cell>
        </row>
        <row r="144">
          <cell r="I144" t="str">
            <v>T1部件</v>
          </cell>
          <cell r="J144">
            <v>5</v>
          </cell>
          <cell r="K144">
            <v>8.8229590847391903E-2</v>
          </cell>
        </row>
        <row r="145">
          <cell r="I145" t="str">
            <v>T1部件</v>
          </cell>
          <cell r="J145">
            <v>5</v>
          </cell>
          <cell r="K145">
            <v>8.8229590847391903E-2</v>
          </cell>
        </row>
        <row r="146">
          <cell r="I146" t="str">
            <v>T1部件</v>
          </cell>
          <cell r="J146">
            <v>5</v>
          </cell>
          <cell r="K146">
            <v>8.8229590847391903E-2</v>
          </cell>
        </row>
        <row r="147">
          <cell r="I147" t="str">
            <v>T1部件</v>
          </cell>
          <cell r="J147">
            <v>5</v>
          </cell>
          <cell r="K147">
            <v>8.8229590847391903E-2</v>
          </cell>
        </row>
        <row r="148">
          <cell r="I148" t="str">
            <v>T1部件</v>
          </cell>
          <cell r="J148">
            <v>5</v>
          </cell>
          <cell r="K148">
            <v>8.8229590847391903E-2</v>
          </cell>
        </row>
        <row r="149">
          <cell r="I149" t="str">
            <v>T1部件</v>
          </cell>
          <cell r="J149">
            <v>5</v>
          </cell>
          <cell r="K149">
            <v>8.8229590847391903E-2</v>
          </cell>
        </row>
        <row r="150">
          <cell r="I150" t="str">
            <v>T1部件</v>
          </cell>
          <cell r="J150">
            <v>5</v>
          </cell>
          <cell r="K150">
            <v>8.8229590847391903E-2</v>
          </cell>
        </row>
        <row r="151">
          <cell r="I151" t="str">
            <v>T1部件</v>
          </cell>
          <cell r="J151">
            <v>5</v>
          </cell>
          <cell r="K151">
            <v>8.8229590847391903E-2</v>
          </cell>
        </row>
        <row r="152">
          <cell r="I152" t="str">
            <v>T1部件</v>
          </cell>
          <cell r="J152">
            <v>5</v>
          </cell>
          <cell r="K152">
            <v>8.8229590847391903E-2</v>
          </cell>
        </row>
        <row r="153">
          <cell r="I153" t="str">
            <v>T1部件</v>
          </cell>
          <cell r="J153">
            <v>5</v>
          </cell>
          <cell r="K153">
            <v>8.8229590847391903E-2</v>
          </cell>
        </row>
        <row r="154">
          <cell r="I154" t="str">
            <v>T1部件</v>
          </cell>
          <cell r="J154">
            <v>5</v>
          </cell>
          <cell r="K154">
            <v>8.8229590847391903E-2</v>
          </cell>
        </row>
        <row r="155">
          <cell r="I155" t="str">
            <v>T1部件</v>
          </cell>
          <cell r="J155">
            <v>5</v>
          </cell>
          <cell r="K155">
            <v>8.8229590847391903E-2</v>
          </cell>
        </row>
        <row r="156">
          <cell r="I156" t="str">
            <v>T1部件</v>
          </cell>
          <cell r="J156">
            <v>5</v>
          </cell>
          <cell r="K156">
            <v>8.8229590847391903E-2</v>
          </cell>
        </row>
        <row r="157">
          <cell r="I157" t="str">
            <v>T1部件</v>
          </cell>
          <cell r="J157">
            <v>5</v>
          </cell>
          <cell r="K157">
            <v>8.8229590847391903E-2</v>
          </cell>
        </row>
        <row r="158">
          <cell r="I158" t="str">
            <v>T1部件</v>
          </cell>
          <cell r="J158">
            <v>5</v>
          </cell>
          <cell r="K158">
            <v>8.8229590847391903E-2</v>
          </cell>
        </row>
        <row r="159">
          <cell r="I159" t="str">
            <v>T1部件</v>
          </cell>
          <cell r="J159">
            <v>5</v>
          </cell>
          <cell r="K159">
            <v>8.8229590847391903E-2</v>
          </cell>
        </row>
        <row r="160">
          <cell r="I160" t="str">
            <v>T1部件</v>
          </cell>
          <cell r="J160">
            <v>5</v>
          </cell>
          <cell r="K160">
            <v>8.8229590847391903E-2</v>
          </cell>
        </row>
        <row r="161">
          <cell r="I161" t="str">
            <v>T2部件</v>
          </cell>
          <cell r="J161">
            <v>5</v>
          </cell>
          <cell r="K161">
            <v>4.34361062633314E-2</v>
          </cell>
        </row>
        <row r="162">
          <cell r="I162" t="str">
            <v>T2部件</v>
          </cell>
          <cell r="J162">
            <v>5</v>
          </cell>
          <cell r="K162">
            <v>4.34361062633314E-2</v>
          </cell>
        </row>
        <row r="163">
          <cell r="I163" t="str">
            <v>T2部件</v>
          </cell>
          <cell r="J163">
            <v>5</v>
          </cell>
          <cell r="K163">
            <v>4.34361062633314E-2</v>
          </cell>
        </row>
        <row r="164">
          <cell r="I164" t="str">
            <v>T2部件</v>
          </cell>
          <cell r="J164">
            <v>5</v>
          </cell>
          <cell r="K164">
            <v>4.34361062633314E-2</v>
          </cell>
        </row>
        <row r="165">
          <cell r="I165" t="str">
            <v>T2部件</v>
          </cell>
          <cell r="J165">
            <v>5</v>
          </cell>
          <cell r="K165">
            <v>4.34361062633314E-2</v>
          </cell>
        </row>
        <row r="166">
          <cell r="I166" t="str">
            <v>T2部件</v>
          </cell>
          <cell r="J166">
            <v>5</v>
          </cell>
          <cell r="K166">
            <v>4.34361062633314E-2</v>
          </cell>
        </row>
        <row r="167">
          <cell r="I167" t="str">
            <v>T2部件</v>
          </cell>
          <cell r="J167">
            <v>5</v>
          </cell>
          <cell r="K167">
            <v>4.34361062633314E-2</v>
          </cell>
        </row>
        <row r="168">
          <cell r="I168" t="str">
            <v>T2部件</v>
          </cell>
          <cell r="J168">
            <v>5</v>
          </cell>
          <cell r="K168">
            <v>4.34361062633314E-2</v>
          </cell>
        </row>
        <row r="169">
          <cell r="I169" t="str">
            <v>T2部件</v>
          </cell>
          <cell r="J169">
            <v>5</v>
          </cell>
          <cell r="K169">
            <v>4.34361062633314E-2</v>
          </cell>
        </row>
        <row r="170">
          <cell r="I170" t="str">
            <v>T2部件</v>
          </cell>
          <cell r="J170">
            <v>5</v>
          </cell>
          <cell r="K170">
            <v>4.34361062633314E-2</v>
          </cell>
        </row>
        <row r="171">
          <cell r="I171" t="str">
            <v>T2部件</v>
          </cell>
          <cell r="J171">
            <v>5</v>
          </cell>
          <cell r="K171">
            <v>4.34361062633314E-2</v>
          </cell>
        </row>
        <row r="172">
          <cell r="I172" t="str">
            <v>T2部件</v>
          </cell>
          <cell r="J172">
            <v>5</v>
          </cell>
          <cell r="K172">
            <v>4.34361062633314E-2</v>
          </cell>
        </row>
        <row r="173">
          <cell r="I173" t="str">
            <v>T2部件</v>
          </cell>
          <cell r="J173">
            <v>5</v>
          </cell>
          <cell r="K173">
            <v>4.34361062633314E-2</v>
          </cell>
        </row>
        <row r="174">
          <cell r="I174" t="str">
            <v>T2部件</v>
          </cell>
          <cell r="J174">
            <v>5</v>
          </cell>
          <cell r="K174">
            <v>4.34361062633314E-2</v>
          </cell>
        </row>
        <row r="175">
          <cell r="I175" t="str">
            <v>T2部件</v>
          </cell>
          <cell r="J175">
            <v>5</v>
          </cell>
          <cell r="K175">
            <v>4.34361062633314E-2</v>
          </cell>
        </row>
        <row r="176">
          <cell r="I176" t="str">
            <v>T2部件</v>
          </cell>
          <cell r="J176">
            <v>5</v>
          </cell>
          <cell r="K176">
            <v>4.34361062633314E-2</v>
          </cell>
        </row>
        <row r="177">
          <cell r="I177" t="str">
            <v>T2部件</v>
          </cell>
          <cell r="J177">
            <v>5</v>
          </cell>
          <cell r="K177">
            <v>4.34361062633314E-2</v>
          </cell>
        </row>
        <row r="178">
          <cell r="I178" t="str">
            <v>T2部件</v>
          </cell>
          <cell r="J178">
            <v>5</v>
          </cell>
          <cell r="K178">
            <v>4.34361062633314E-2</v>
          </cell>
        </row>
        <row r="179">
          <cell r="I179" t="str">
            <v>T0坦克</v>
          </cell>
          <cell r="J179">
            <v>5</v>
          </cell>
          <cell r="K179">
            <v>5.3907310451813101E-2</v>
          </cell>
        </row>
        <row r="180">
          <cell r="I180" t="str">
            <v>T0坦克</v>
          </cell>
          <cell r="J180">
            <v>5</v>
          </cell>
          <cell r="K180">
            <v>3.7618770603063803E-2</v>
          </cell>
        </row>
        <row r="181">
          <cell r="I181" t="str">
            <v>T0坦克</v>
          </cell>
          <cell r="J181">
            <v>5</v>
          </cell>
          <cell r="K181">
            <v>0.376187706030638</v>
          </cell>
        </row>
        <row r="182">
          <cell r="I182" t="str">
            <v>T0坦克</v>
          </cell>
          <cell r="J182">
            <v>5</v>
          </cell>
          <cell r="K182">
            <v>3.0250145433391499E-2</v>
          </cell>
        </row>
        <row r="183">
          <cell r="I183" t="str">
            <v>T1碎片</v>
          </cell>
          <cell r="J183">
            <v>6</v>
          </cell>
          <cell r="K183">
            <v>0.85455330168321098</v>
          </cell>
        </row>
        <row r="184">
          <cell r="I184" t="str">
            <v>T1碎片</v>
          </cell>
          <cell r="J184">
            <v>6</v>
          </cell>
          <cell r="K184">
            <v>0.85455330168321098</v>
          </cell>
        </row>
        <row r="185">
          <cell r="I185" t="str">
            <v>T1碎片</v>
          </cell>
          <cell r="J185">
            <v>6</v>
          </cell>
          <cell r="K185">
            <v>0.85455330168321098</v>
          </cell>
        </row>
        <row r="186">
          <cell r="I186" t="str">
            <v>T2碎片</v>
          </cell>
          <cell r="J186">
            <v>6</v>
          </cell>
          <cell r="K186">
            <v>0.55675442382391005</v>
          </cell>
        </row>
        <row r="187">
          <cell r="I187" t="str">
            <v>T2碎片</v>
          </cell>
          <cell r="J187">
            <v>6</v>
          </cell>
          <cell r="K187">
            <v>0.55675442382391005</v>
          </cell>
        </row>
        <row r="188">
          <cell r="I188" t="str">
            <v>T2碎片</v>
          </cell>
          <cell r="J188">
            <v>6</v>
          </cell>
          <cell r="K188">
            <v>0.55675442382391005</v>
          </cell>
        </row>
        <row r="189">
          <cell r="I189" t="str">
            <v>T3碎片</v>
          </cell>
          <cell r="J189">
            <v>6</v>
          </cell>
          <cell r="K189">
            <v>0.63185153215364698</v>
          </cell>
        </row>
        <row r="190">
          <cell r="I190" t="str">
            <v>T3碎片</v>
          </cell>
          <cell r="J190">
            <v>6</v>
          </cell>
          <cell r="K190">
            <v>0.63185153215364698</v>
          </cell>
        </row>
        <row r="191">
          <cell r="I191" t="str">
            <v>T3碎片</v>
          </cell>
          <cell r="J191">
            <v>6</v>
          </cell>
          <cell r="K191">
            <v>0.63185153215364698</v>
          </cell>
        </row>
        <row r="192">
          <cell r="I192" t="str">
            <v>T3碎片</v>
          </cell>
          <cell r="J192">
            <v>6</v>
          </cell>
          <cell r="K192">
            <v>0.38843331894691402</v>
          </cell>
        </row>
        <row r="193">
          <cell r="I193" t="str">
            <v>T3碎片</v>
          </cell>
          <cell r="J193">
            <v>6</v>
          </cell>
          <cell r="K193">
            <v>0.38843331894691402</v>
          </cell>
        </row>
        <row r="194">
          <cell r="I194" t="str">
            <v>T3碎片</v>
          </cell>
          <cell r="J194">
            <v>6</v>
          </cell>
          <cell r="K194">
            <v>0.38843331894691402</v>
          </cell>
        </row>
        <row r="195">
          <cell r="I195" t="str">
            <v>T1部件</v>
          </cell>
          <cell r="J195">
            <v>6</v>
          </cell>
          <cell r="K195">
            <v>8.6318515321536504E-2</v>
          </cell>
        </row>
        <row r="196">
          <cell r="I196" t="str">
            <v>T1部件</v>
          </cell>
          <cell r="J196">
            <v>6</v>
          </cell>
          <cell r="K196">
            <v>8.6318515321536504E-2</v>
          </cell>
        </row>
        <row r="197">
          <cell r="I197" t="str">
            <v>T1部件</v>
          </cell>
          <cell r="J197">
            <v>6</v>
          </cell>
          <cell r="K197">
            <v>8.6318515321536504E-2</v>
          </cell>
        </row>
        <row r="198">
          <cell r="I198" t="str">
            <v>T1部件</v>
          </cell>
          <cell r="J198">
            <v>6</v>
          </cell>
          <cell r="K198">
            <v>8.6318515321536504E-2</v>
          </cell>
        </row>
        <row r="199">
          <cell r="I199" t="str">
            <v>T1部件</v>
          </cell>
          <cell r="J199">
            <v>6</v>
          </cell>
          <cell r="K199">
            <v>8.6318515321536504E-2</v>
          </cell>
        </row>
        <row r="200">
          <cell r="I200" t="str">
            <v>T1部件</v>
          </cell>
          <cell r="J200">
            <v>6</v>
          </cell>
          <cell r="K200">
            <v>8.6318515321536504E-2</v>
          </cell>
        </row>
        <row r="201">
          <cell r="I201" t="str">
            <v>T1部件</v>
          </cell>
          <cell r="J201">
            <v>6</v>
          </cell>
          <cell r="K201">
            <v>8.6318515321536504E-2</v>
          </cell>
        </row>
        <row r="202">
          <cell r="I202" t="str">
            <v>T1部件</v>
          </cell>
          <cell r="J202">
            <v>6</v>
          </cell>
          <cell r="K202">
            <v>8.6318515321536504E-2</v>
          </cell>
        </row>
        <row r="203">
          <cell r="I203" t="str">
            <v>T1部件</v>
          </cell>
          <cell r="J203">
            <v>6</v>
          </cell>
          <cell r="K203">
            <v>8.6318515321536504E-2</v>
          </cell>
        </row>
        <row r="204">
          <cell r="I204" t="str">
            <v>T1部件</v>
          </cell>
          <cell r="J204">
            <v>6</v>
          </cell>
          <cell r="K204">
            <v>8.6318515321536504E-2</v>
          </cell>
        </row>
        <row r="205">
          <cell r="I205" t="str">
            <v>T1部件</v>
          </cell>
          <cell r="J205">
            <v>6</v>
          </cell>
          <cell r="K205">
            <v>8.6318515321536504E-2</v>
          </cell>
        </row>
        <row r="206">
          <cell r="I206" t="str">
            <v>T1部件</v>
          </cell>
          <cell r="J206">
            <v>6</v>
          </cell>
          <cell r="K206">
            <v>8.6318515321536504E-2</v>
          </cell>
        </row>
        <row r="207">
          <cell r="I207" t="str">
            <v>T1部件</v>
          </cell>
          <cell r="J207">
            <v>6</v>
          </cell>
          <cell r="K207">
            <v>8.6318515321536504E-2</v>
          </cell>
        </row>
        <row r="208">
          <cell r="I208" t="str">
            <v>T1部件</v>
          </cell>
          <cell r="J208">
            <v>6</v>
          </cell>
          <cell r="K208">
            <v>8.6318515321536504E-2</v>
          </cell>
        </row>
        <row r="209">
          <cell r="I209" t="str">
            <v>T1部件</v>
          </cell>
          <cell r="J209">
            <v>6</v>
          </cell>
          <cell r="K209">
            <v>8.6318515321536504E-2</v>
          </cell>
        </row>
        <row r="210">
          <cell r="I210" t="str">
            <v>T1部件</v>
          </cell>
          <cell r="J210">
            <v>6</v>
          </cell>
          <cell r="K210">
            <v>8.6318515321536504E-2</v>
          </cell>
        </row>
        <row r="211">
          <cell r="I211" t="str">
            <v>T1部件</v>
          </cell>
          <cell r="J211">
            <v>6</v>
          </cell>
          <cell r="K211">
            <v>8.6318515321536504E-2</v>
          </cell>
        </row>
        <row r="212">
          <cell r="I212" t="str">
            <v>T1部件</v>
          </cell>
          <cell r="J212">
            <v>6</v>
          </cell>
          <cell r="K212">
            <v>8.6318515321536504E-2</v>
          </cell>
        </row>
        <row r="213">
          <cell r="I213" t="str">
            <v>T2部件</v>
          </cell>
          <cell r="J213">
            <v>6</v>
          </cell>
          <cell r="K213">
            <v>4.1432887354337498E-2</v>
          </cell>
        </row>
        <row r="214">
          <cell r="I214" t="str">
            <v>T2部件</v>
          </cell>
          <cell r="J214">
            <v>6</v>
          </cell>
          <cell r="K214">
            <v>4.1432887354337498E-2</v>
          </cell>
        </row>
        <row r="215">
          <cell r="I215" t="str">
            <v>T2部件</v>
          </cell>
          <cell r="J215">
            <v>6</v>
          </cell>
          <cell r="K215">
            <v>4.1432887354337498E-2</v>
          </cell>
        </row>
        <row r="216">
          <cell r="I216" t="str">
            <v>T2部件</v>
          </cell>
          <cell r="J216">
            <v>6</v>
          </cell>
          <cell r="K216">
            <v>4.1432887354337498E-2</v>
          </cell>
        </row>
        <row r="217">
          <cell r="I217" t="str">
            <v>T2部件</v>
          </cell>
          <cell r="J217">
            <v>6</v>
          </cell>
          <cell r="K217">
            <v>4.1432887354337498E-2</v>
          </cell>
        </row>
        <row r="218">
          <cell r="I218" t="str">
            <v>T2部件</v>
          </cell>
          <cell r="J218">
            <v>6</v>
          </cell>
          <cell r="K218">
            <v>4.1432887354337498E-2</v>
          </cell>
        </row>
        <row r="219">
          <cell r="I219" t="str">
            <v>T2部件</v>
          </cell>
          <cell r="J219">
            <v>6</v>
          </cell>
          <cell r="K219">
            <v>4.1432887354337498E-2</v>
          </cell>
        </row>
        <row r="220">
          <cell r="I220" t="str">
            <v>T2部件</v>
          </cell>
          <cell r="J220">
            <v>6</v>
          </cell>
          <cell r="K220">
            <v>4.1432887354337498E-2</v>
          </cell>
        </row>
        <row r="221">
          <cell r="I221" t="str">
            <v>T2部件</v>
          </cell>
          <cell r="J221">
            <v>6</v>
          </cell>
          <cell r="K221">
            <v>4.1432887354337498E-2</v>
          </cell>
        </row>
        <row r="222">
          <cell r="I222" t="str">
            <v>T2部件</v>
          </cell>
          <cell r="J222">
            <v>6</v>
          </cell>
          <cell r="K222">
            <v>4.1432887354337498E-2</v>
          </cell>
        </row>
        <row r="223">
          <cell r="I223" t="str">
            <v>T2部件</v>
          </cell>
          <cell r="J223">
            <v>6</v>
          </cell>
          <cell r="K223">
            <v>4.1432887354337498E-2</v>
          </cell>
        </row>
        <row r="224">
          <cell r="I224" t="str">
            <v>T2部件</v>
          </cell>
          <cell r="J224">
            <v>6</v>
          </cell>
          <cell r="K224">
            <v>4.1432887354337498E-2</v>
          </cell>
        </row>
        <row r="225">
          <cell r="I225" t="str">
            <v>T2部件</v>
          </cell>
          <cell r="J225">
            <v>6</v>
          </cell>
          <cell r="K225">
            <v>4.1432887354337498E-2</v>
          </cell>
        </row>
        <row r="226">
          <cell r="I226" t="str">
            <v>T2部件</v>
          </cell>
          <cell r="J226">
            <v>6</v>
          </cell>
          <cell r="K226">
            <v>4.1432887354337498E-2</v>
          </cell>
        </row>
        <row r="227">
          <cell r="I227" t="str">
            <v>T2部件</v>
          </cell>
          <cell r="J227">
            <v>6</v>
          </cell>
          <cell r="K227">
            <v>4.1432887354337498E-2</v>
          </cell>
        </row>
        <row r="228">
          <cell r="I228" t="str">
            <v>T2部件</v>
          </cell>
          <cell r="J228">
            <v>6</v>
          </cell>
          <cell r="K228">
            <v>4.1432887354337498E-2</v>
          </cell>
        </row>
        <row r="229">
          <cell r="I229" t="str">
            <v>T2部件</v>
          </cell>
          <cell r="J229">
            <v>6</v>
          </cell>
          <cell r="K229">
            <v>4.1432887354337498E-2</v>
          </cell>
        </row>
        <row r="230">
          <cell r="I230" t="str">
            <v>T2部件</v>
          </cell>
          <cell r="J230">
            <v>6</v>
          </cell>
          <cell r="K230">
            <v>4.1432887354337498E-2</v>
          </cell>
        </row>
        <row r="231">
          <cell r="I231" t="str">
            <v>T3部件</v>
          </cell>
          <cell r="J231">
            <v>6</v>
          </cell>
          <cell r="K231">
            <v>2.2011221406991799E-2</v>
          </cell>
        </row>
        <row r="232">
          <cell r="I232" t="str">
            <v>T3部件</v>
          </cell>
          <cell r="J232">
            <v>6</v>
          </cell>
          <cell r="K232">
            <v>2.2011221406991799E-2</v>
          </cell>
        </row>
        <row r="233">
          <cell r="I233" t="str">
            <v>T3部件</v>
          </cell>
          <cell r="J233">
            <v>6</v>
          </cell>
          <cell r="K233">
            <v>2.2011221406991799E-2</v>
          </cell>
        </row>
        <row r="234">
          <cell r="I234" t="str">
            <v>T3部件</v>
          </cell>
          <cell r="J234">
            <v>6</v>
          </cell>
          <cell r="K234">
            <v>2.2011221406991799E-2</v>
          </cell>
        </row>
        <row r="235">
          <cell r="I235" t="str">
            <v>T3部件</v>
          </cell>
          <cell r="J235">
            <v>6</v>
          </cell>
          <cell r="K235">
            <v>2.2011221406991799E-2</v>
          </cell>
        </row>
        <row r="236">
          <cell r="I236" t="str">
            <v>T3部件</v>
          </cell>
          <cell r="J236">
            <v>6</v>
          </cell>
          <cell r="K236">
            <v>2.2011221406991799E-2</v>
          </cell>
        </row>
        <row r="237">
          <cell r="I237" t="str">
            <v>T3部件</v>
          </cell>
          <cell r="J237">
            <v>6</v>
          </cell>
          <cell r="K237">
            <v>2.2011221406991799E-2</v>
          </cell>
        </row>
        <row r="238">
          <cell r="I238" t="str">
            <v>T3部件</v>
          </cell>
          <cell r="J238">
            <v>6</v>
          </cell>
          <cell r="K238">
            <v>2.2011221406991799E-2</v>
          </cell>
        </row>
        <row r="239">
          <cell r="I239" t="str">
            <v>T3部件</v>
          </cell>
          <cell r="J239">
            <v>6</v>
          </cell>
          <cell r="K239">
            <v>2.2011221406991799E-2</v>
          </cell>
        </row>
        <row r="240">
          <cell r="I240" t="str">
            <v>T0坦克</v>
          </cell>
          <cell r="J240">
            <v>6</v>
          </cell>
          <cell r="K240">
            <v>3.5822183858437599E-2</v>
          </cell>
        </row>
        <row r="241">
          <cell r="I241" t="str">
            <v>T0坦克</v>
          </cell>
          <cell r="J241">
            <v>6</v>
          </cell>
          <cell r="K241">
            <v>2.8053517479499399E-2</v>
          </cell>
        </row>
        <row r="242">
          <cell r="I242" t="str">
            <v>T0坦克</v>
          </cell>
          <cell r="J242">
            <v>6</v>
          </cell>
          <cell r="K242">
            <v>2.97798877859301E-2</v>
          </cell>
        </row>
        <row r="243">
          <cell r="I243" t="str">
            <v>T0坦克</v>
          </cell>
          <cell r="J243">
            <v>6</v>
          </cell>
          <cell r="K243">
            <v>2.33059991368148E-2</v>
          </cell>
        </row>
        <row r="244">
          <cell r="I244" t="str">
            <v>T1碎片</v>
          </cell>
          <cell r="J244">
            <v>7</v>
          </cell>
          <cell r="K244">
            <v>0.79870915691811195</v>
          </cell>
        </row>
        <row r="245">
          <cell r="I245" t="str">
            <v>T1碎片</v>
          </cell>
          <cell r="J245">
            <v>7</v>
          </cell>
          <cell r="K245">
            <v>0.79870915691811195</v>
          </cell>
        </row>
        <row r="246">
          <cell r="I246" t="str">
            <v>T1碎片</v>
          </cell>
          <cell r="J246">
            <v>7</v>
          </cell>
          <cell r="K246">
            <v>0.79870915691811195</v>
          </cell>
        </row>
        <row r="247">
          <cell r="I247" t="str">
            <v>T2碎片</v>
          </cell>
          <cell r="J247">
            <v>7</v>
          </cell>
          <cell r="K247">
            <v>0.19362646228317901</v>
          </cell>
        </row>
        <row r="248">
          <cell r="I248" t="str">
            <v>T2碎片</v>
          </cell>
          <cell r="J248">
            <v>7</v>
          </cell>
          <cell r="K248">
            <v>0.19362646228317901</v>
          </cell>
        </row>
        <row r="249">
          <cell r="I249" t="str">
            <v>T2碎片</v>
          </cell>
          <cell r="J249">
            <v>7</v>
          </cell>
          <cell r="K249">
            <v>0.19362646228317901</v>
          </cell>
        </row>
        <row r="250">
          <cell r="I250" t="str">
            <v>T3碎片</v>
          </cell>
          <cell r="J250">
            <v>7</v>
          </cell>
          <cell r="K250">
            <v>1.1343283582089601</v>
          </cell>
        </row>
        <row r="251">
          <cell r="I251" t="str">
            <v>T3碎片</v>
          </cell>
          <cell r="J251">
            <v>7</v>
          </cell>
          <cell r="K251">
            <v>1.1343283582089601</v>
          </cell>
        </row>
        <row r="252">
          <cell r="I252" t="str">
            <v>T3碎片</v>
          </cell>
          <cell r="J252">
            <v>7</v>
          </cell>
          <cell r="K252">
            <v>1.1343283582089601</v>
          </cell>
        </row>
        <row r="253">
          <cell r="I253" t="str">
            <v>T3碎片</v>
          </cell>
          <cell r="J253">
            <v>7</v>
          </cell>
          <cell r="K253">
            <v>0.56877773295683698</v>
          </cell>
        </row>
        <row r="254">
          <cell r="I254" t="str">
            <v>T3碎片</v>
          </cell>
          <cell r="J254">
            <v>7</v>
          </cell>
          <cell r="K254">
            <v>0.56877773295683698</v>
          </cell>
        </row>
        <row r="255">
          <cell r="I255" t="str">
            <v>T3碎片</v>
          </cell>
          <cell r="J255">
            <v>7</v>
          </cell>
          <cell r="K255">
            <v>0.56877773295683698</v>
          </cell>
        </row>
        <row r="256">
          <cell r="I256" t="str">
            <v>T1部件</v>
          </cell>
          <cell r="J256">
            <v>7</v>
          </cell>
          <cell r="K256">
            <v>7.2609923356191999E-2</v>
          </cell>
        </row>
        <row r="257">
          <cell r="I257" t="str">
            <v>T1部件</v>
          </cell>
          <cell r="J257">
            <v>7</v>
          </cell>
          <cell r="K257">
            <v>7.2609923356191999E-2</v>
          </cell>
        </row>
        <row r="258">
          <cell r="I258" t="str">
            <v>T1部件</v>
          </cell>
          <cell r="J258">
            <v>7</v>
          </cell>
          <cell r="K258">
            <v>7.2609923356191999E-2</v>
          </cell>
        </row>
        <row r="259">
          <cell r="I259" t="str">
            <v>T1部件</v>
          </cell>
          <cell r="J259">
            <v>7</v>
          </cell>
          <cell r="K259">
            <v>7.2609923356191999E-2</v>
          </cell>
        </row>
        <row r="260">
          <cell r="I260" t="str">
            <v>T1部件</v>
          </cell>
          <cell r="J260">
            <v>7</v>
          </cell>
          <cell r="K260">
            <v>7.2609923356191999E-2</v>
          </cell>
        </row>
        <row r="261">
          <cell r="I261" t="str">
            <v>T1部件</v>
          </cell>
          <cell r="J261">
            <v>7</v>
          </cell>
          <cell r="K261">
            <v>7.2609923356191999E-2</v>
          </cell>
        </row>
        <row r="262">
          <cell r="I262" t="str">
            <v>T1部件</v>
          </cell>
          <cell r="J262">
            <v>7</v>
          </cell>
          <cell r="K262">
            <v>7.2609923356191999E-2</v>
          </cell>
        </row>
        <row r="263">
          <cell r="I263" t="str">
            <v>T1部件</v>
          </cell>
          <cell r="J263">
            <v>7</v>
          </cell>
          <cell r="K263">
            <v>7.2609923356191999E-2</v>
          </cell>
        </row>
        <row r="264">
          <cell r="I264" t="str">
            <v>T1部件</v>
          </cell>
          <cell r="J264">
            <v>7</v>
          </cell>
          <cell r="K264">
            <v>7.2609923356191999E-2</v>
          </cell>
        </row>
        <row r="265">
          <cell r="I265" t="str">
            <v>T1部件</v>
          </cell>
          <cell r="J265">
            <v>7</v>
          </cell>
          <cell r="K265">
            <v>7.2609923356191999E-2</v>
          </cell>
        </row>
        <row r="266">
          <cell r="I266" t="str">
            <v>T1部件</v>
          </cell>
          <cell r="J266">
            <v>7</v>
          </cell>
          <cell r="K266">
            <v>7.2609923356191999E-2</v>
          </cell>
        </row>
        <row r="267">
          <cell r="I267" t="str">
            <v>T1部件</v>
          </cell>
          <cell r="J267">
            <v>7</v>
          </cell>
          <cell r="K267">
            <v>7.2609923356191999E-2</v>
          </cell>
        </row>
        <row r="268">
          <cell r="I268" t="str">
            <v>T1部件</v>
          </cell>
          <cell r="J268">
            <v>7</v>
          </cell>
          <cell r="K268">
            <v>7.2609923356191999E-2</v>
          </cell>
        </row>
        <row r="269">
          <cell r="I269" t="str">
            <v>T1部件</v>
          </cell>
          <cell r="J269">
            <v>7</v>
          </cell>
          <cell r="K269">
            <v>7.2609923356191999E-2</v>
          </cell>
        </row>
        <row r="270">
          <cell r="I270" t="str">
            <v>T1部件</v>
          </cell>
          <cell r="J270">
            <v>7</v>
          </cell>
          <cell r="K270">
            <v>7.2609923356191999E-2</v>
          </cell>
        </row>
        <row r="271">
          <cell r="I271" t="str">
            <v>T1部件</v>
          </cell>
          <cell r="J271">
            <v>7</v>
          </cell>
          <cell r="K271">
            <v>7.2609923356191999E-2</v>
          </cell>
        </row>
        <row r="272">
          <cell r="I272" t="str">
            <v>T1部件</v>
          </cell>
          <cell r="J272">
            <v>7</v>
          </cell>
          <cell r="K272">
            <v>7.2609923356191999E-2</v>
          </cell>
        </row>
        <row r="273">
          <cell r="I273" t="str">
            <v>T1部件</v>
          </cell>
          <cell r="J273">
            <v>7</v>
          </cell>
          <cell r="K273">
            <v>7.2609923356191999E-2</v>
          </cell>
        </row>
        <row r="274">
          <cell r="I274" t="str">
            <v>T2部件</v>
          </cell>
          <cell r="J274">
            <v>7</v>
          </cell>
          <cell r="K274">
            <v>3.3884630899556303E-2</v>
          </cell>
        </row>
        <row r="275">
          <cell r="I275" t="str">
            <v>T2部件</v>
          </cell>
          <cell r="J275">
            <v>7</v>
          </cell>
          <cell r="K275">
            <v>3.3884630899556303E-2</v>
          </cell>
        </row>
        <row r="276">
          <cell r="I276" t="str">
            <v>T2部件</v>
          </cell>
          <cell r="J276">
            <v>7</v>
          </cell>
          <cell r="K276">
            <v>3.3884630899556303E-2</v>
          </cell>
        </row>
        <row r="277">
          <cell r="I277" t="str">
            <v>T2部件</v>
          </cell>
          <cell r="J277">
            <v>7</v>
          </cell>
          <cell r="K277">
            <v>3.3884630899556303E-2</v>
          </cell>
        </row>
        <row r="278">
          <cell r="I278" t="str">
            <v>T2部件</v>
          </cell>
          <cell r="J278">
            <v>7</v>
          </cell>
          <cell r="K278">
            <v>3.3884630899556303E-2</v>
          </cell>
        </row>
        <row r="279">
          <cell r="I279" t="str">
            <v>T2部件</v>
          </cell>
          <cell r="J279">
            <v>7</v>
          </cell>
          <cell r="K279">
            <v>3.3884630899556303E-2</v>
          </cell>
        </row>
        <row r="280">
          <cell r="I280" t="str">
            <v>T2部件</v>
          </cell>
          <cell r="J280">
            <v>7</v>
          </cell>
          <cell r="K280">
            <v>3.3884630899556303E-2</v>
          </cell>
        </row>
        <row r="281">
          <cell r="I281" t="str">
            <v>T2部件</v>
          </cell>
          <cell r="J281">
            <v>7</v>
          </cell>
          <cell r="K281">
            <v>3.3884630899556303E-2</v>
          </cell>
        </row>
        <row r="282">
          <cell r="I282" t="str">
            <v>T2部件</v>
          </cell>
          <cell r="J282">
            <v>7</v>
          </cell>
          <cell r="K282">
            <v>3.3884630899556303E-2</v>
          </cell>
        </row>
        <row r="283">
          <cell r="I283" t="str">
            <v>T2部件</v>
          </cell>
          <cell r="J283">
            <v>7</v>
          </cell>
          <cell r="K283">
            <v>3.3884630899556303E-2</v>
          </cell>
        </row>
        <row r="284">
          <cell r="I284" t="str">
            <v>T2部件</v>
          </cell>
          <cell r="J284">
            <v>7</v>
          </cell>
          <cell r="K284">
            <v>3.3884630899556303E-2</v>
          </cell>
        </row>
        <row r="285">
          <cell r="I285" t="str">
            <v>T2部件</v>
          </cell>
          <cell r="J285">
            <v>7</v>
          </cell>
          <cell r="K285">
            <v>3.3884630899556303E-2</v>
          </cell>
        </row>
        <row r="286">
          <cell r="I286" t="str">
            <v>T2部件</v>
          </cell>
          <cell r="J286">
            <v>7</v>
          </cell>
          <cell r="K286">
            <v>3.3884630899556303E-2</v>
          </cell>
        </row>
        <row r="287">
          <cell r="I287" t="str">
            <v>T2部件</v>
          </cell>
          <cell r="J287">
            <v>7</v>
          </cell>
          <cell r="K287">
            <v>3.3884630899556303E-2</v>
          </cell>
        </row>
        <row r="288">
          <cell r="I288" t="str">
            <v>T2部件</v>
          </cell>
          <cell r="J288">
            <v>7</v>
          </cell>
          <cell r="K288">
            <v>3.3884630899556303E-2</v>
          </cell>
        </row>
        <row r="289">
          <cell r="I289" t="str">
            <v>T2部件</v>
          </cell>
          <cell r="J289">
            <v>7</v>
          </cell>
          <cell r="K289">
            <v>3.3884630899556303E-2</v>
          </cell>
        </row>
        <row r="290">
          <cell r="I290" t="str">
            <v>T2部件</v>
          </cell>
          <cell r="J290">
            <v>7</v>
          </cell>
          <cell r="K290">
            <v>3.3884630899556303E-2</v>
          </cell>
        </row>
        <row r="291">
          <cell r="I291" t="str">
            <v>T2部件</v>
          </cell>
          <cell r="J291">
            <v>7</v>
          </cell>
          <cell r="K291">
            <v>3.3884630899556303E-2</v>
          </cell>
        </row>
        <row r="292">
          <cell r="I292" t="str">
            <v>T3部件</v>
          </cell>
          <cell r="J292">
            <v>7</v>
          </cell>
          <cell r="K292">
            <v>1.7749092375957998E-2</v>
          </cell>
        </row>
        <row r="293">
          <cell r="I293" t="str">
            <v>T3部件</v>
          </cell>
          <cell r="J293">
            <v>7</v>
          </cell>
          <cell r="K293">
            <v>1.7749092375957998E-2</v>
          </cell>
        </row>
        <row r="294">
          <cell r="I294" t="str">
            <v>T3部件</v>
          </cell>
          <cell r="J294">
            <v>7</v>
          </cell>
          <cell r="K294">
            <v>1.7749092375957998E-2</v>
          </cell>
        </row>
        <row r="295">
          <cell r="I295" t="str">
            <v>T3部件</v>
          </cell>
          <cell r="J295">
            <v>7</v>
          </cell>
          <cell r="K295">
            <v>1.7749092375957998E-2</v>
          </cell>
        </row>
        <row r="296">
          <cell r="I296" t="str">
            <v>T3部件</v>
          </cell>
          <cell r="J296">
            <v>7</v>
          </cell>
          <cell r="K296">
            <v>1.7749092375957998E-2</v>
          </cell>
        </row>
        <row r="297">
          <cell r="I297" t="str">
            <v>T3部件</v>
          </cell>
          <cell r="J297">
            <v>7</v>
          </cell>
          <cell r="K297">
            <v>1.7749092375957998E-2</v>
          </cell>
        </row>
        <row r="298">
          <cell r="I298" t="str">
            <v>T3部件</v>
          </cell>
          <cell r="J298">
            <v>7</v>
          </cell>
          <cell r="K298">
            <v>1.7749092375957998E-2</v>
          </cell>
        </row>
        <row r="299">
          <cell r="I299" t="str">
            <v>T3部件</v>
          </cell>
          <cell r="J299">
            <v>7</v>
          </cell>
          <cell r="K299">
            <v>1.7749092375957998E-2</v>
          </cell>
        </row>
        <row r="300">
          <cell r="I300" t="str">
            <v>T3部件</v>
          </cell>
          <cell r="J300">
            <v>7</v>
          </cell>
          <cell r="K300">
            <v>1.7749092375957998E-2</v>
          </cell>
        </row>
        <row r="301">
          <cell r="I301" t="str">
            <v>T3部件</v>
          </cell>
          <cell r="J301">
            <v>7</v>
          </cell>
          <cell r="K301">
            <v>1.7749092375957998E-2</v>
          </cell>
        </row>
        <row r="302">
          <cell r="I302" t="str">
            <v>T3部件</v>
          </cell>
          <cell r="J302">
            <v>7</v>
          </cell>
          <cell r="K302">
            <v>1.7749092375957998E-2</v>
          </cell>
        </row>
        <row r="303">
          <cell r="I303" t="str">
            <v>T3部件</v>
          </cell>
          <cell r="J303">
            <v>7</v>
          </cell>
          <cell r="K303">
            <v>1.7749092375957998E-2</v>
          </cell>
        </row>
        <row r="304">
          <cell r="I304" t="str">
            <v>T3部件</v>
          </cell>
          <cell r="J304">
            <v>7</v>
          </cell>
          <cell r="K304">
            <v>1.7749092375957998E-2</v>
          </cell>
        </row>
        <row r="305">
          <cell r="I305" t="str">
            <v>T3部件</v>
          </cell>
          <cell r="J305">
            <v>7</v>
          </cell>
          <cell r="K305">
            <v>1.7749092375957998E-2</v>
          </cell>
        </row>
        <row r="306">
          <cell r="I306" t="str">
            <v>T3部件</v>
          </cell>
          <cell r="J306">
            <v>7</v>
          </cell>
          <cell r="K306">
            <v>1.7749092375957998E-2</v>
          </cell>
        </row>
        <row r="307">
          <cell r="I307" t="str">
            <v>T3部件</v>
          </cell>
          <cell r="J307">
            <v>7</v>
          </cell>
          <cell r="K307">
            <v>1.7749092375957998E-2</v>
          </cell>
        </row>
        <row r="308">
          <cell r="I308" t="str">
            <v>T3部件</v>
          </cell>
          <cell r="J308">
            <v>7</v>
          </cell>
          <cell r="K308">
            <v>1.7749092375957998E-2</v>
          </cell>
        </row>
        <row r="309">
          <cell r="I309" t="str">
            <v>T3部件</v>
          </cell>
          <cell r="J309">
            <v>7</v>
          </cell>
          <cell r="K309">
            <v>1.7749092375957998E-2</v>
          </cell>
        </row>
        <row r="310">
          <cell r="I310" t="str">
            <v>T0坦克</v>
          </cell>
          <cell r="J310">
            <v>7</v>
          </cell>
          <cell r="K310">
            <v>2.2186365469947601E-2</v>
          </cell>
        </row>
        <row r="311">
          <cell r="I311" t="str">
            <v>T0坦克</v>
          </cell>
          <cell r="J311">
            <v>7</v>
          </cell>
          <cell r="K311">
            <v>1.45219846712384E-2</v>
          </cell>
        </row>
        <row r="312">
          <cell r="I312" t="str">
            <v>T0坦克</v>
          </cell>
          <cell r="J312">
            <v>7</v>
          </cell>
          <cell r="K312">
            <v>2.2186365469947601E-2</v>
          </cell>
        </row>
        <row r="313">
          <cell r="I313" t="str">
            <v>T0坦克</v>
          </cell>
          <cell r="J313">
            <v>7</v>
          </cell>
          <cell r="K313">
            <v>2.5010084711577299E-2</v>
          </cell>
        </row>
        <row r="314">
          <cell r="I314" t="str">
            <v>T1碎片</v>
          </cell>
          <cell r="J314">
            <v>8</v>
          </cell>
          <cell r="K314">
            <v>0.72609923356191997</v>
          </cell>
        </row>
        <row r="315">
          <cell r="I315" t="str">
            <v>T1碎片</v>
          </cell>
          <cell r="J315">
            <v>8</v>
          </cell>
          <cell r="K315">
            <v>0.72609923356191997</v>
          </cell>
        </row>
        <row r="316">
          <cell r="I316" t="str">
            <v>T1碎片</v>
          </cell>
          <cell r="J316">
            <v>8</v>
          </cell>
          <cell r="K316">
            <v>0.72609923356191997</v>
          </cell>
        </row>
        <row r="317">
          <cell r="I317" t="str">
            <v>T2碎片</v>
          </cell>
          <cell r="J317">
            <v>8</v>
          </cell>
          <cell r="K317">
            <v>0.19362646228317901</v>
          </cell>
        </row>
        <row r="318">
          <cell r="I318" t="str">
            <v>T2碎片</v>
          </cell>
          <cell r="J318">
            <v>8</v>
          </cell>
          <cell r="K318">
            <v>0.19362646228317901</v>
          </cell>
        </row>
        <row r="319">
          <cell r="I319" t="str">
            <v>T2碎片</v>
          </cell>
          <cell r="J319">
            <v>8</v>
          </cell>
          <cell r="K319">
            <v>0.19362646228317901</v>
          </cell>
        </row>
        <row r="320">
          <cell r="I320" t="str">
            <v>T3碎片</v>
          </cell>
          <cell r="J320">
            <v>8</v>
          </cell>
          <cell r="K320">
            <v>1.1343283582089601</v>
          </cell>
        </row>
        <row r="321">
          <cell r="I321" t="str">
            <v>T3碎片</v>
          </cell>
          <cell r="J321">
            <v>8</v>
          </cell>
          <cell r="K321">
            <v>1.1343283582089601</v>
          </cell>
        </row>
        <row r="322">
          <cell r="I322" t="str">
            <v>T3碎片</v>
          </cell>
          <cell r="J322">
            <v>8</v>
          </cell>
          <cell r="K322">
            <v>1.1343283582089601</v>
          </cell>
        </row>
        <row r="323">
          <cell r="I323" t="str">
            <v>T3碎片</v>
          </cell>
          <cell r="J323">
            <v>8</v>
          </cell>
          <cell r="K323">
            <v>0.56877773295683698</v>
          </cell>
        </row>
        <row r="324">
          <cell r="I324" t="str">
            <v>T3碎片</v>
          </cell>
          <cell r="J324">
            <v>8</v>
          </cell>
          <cell r="K324">
            <v>0.56877773295683698</v>
          </cell>
        </row>
        <row r="325">
          <cell r="I325" t="str">
            <v>T3碎片</v>
          </cell>
          <cell r="J325">
            <v>8</v>
          </cell>
          <cell r="K325">
            <v>0.56877773295683698</v>
          </cell>
        </row>
        <row r="326">
          <cell r="I326" t="str">
            <v>T1部件</v>
          </cell>
          <cell r="J326">
            <v>8</v>
          </cell>
          <cell r="K326">
            <v>7.2609923356191999E-2</v>
          </cell>
        </row>
        <row r="327">
          <cell r="I327" t="str">
            <v>T1部件</v>
          </cell>
          <cell r="J327">
            <v>8</v>
          </cell>
          <cell r="K327">
            <v>7.2609923356191999E-2</v>
          </cell>
        </row>
        <row r="328">
          <cell r="I328" t="str">
            <v>T1部件</v>
          </cell>
          <cell r="J328">
            <v>8</v>
          </cell>
          <cell r="K328">
            <v>7.2609923356191999E-2</v>
          </cell>
        </row>
        <row r="329">
          <cell r="I329" t="str">
            <v>T1部件</v>
          </cell>
          <cell r="J329">
            <v>8</v>
          </cell>
          <cell r="K329">
            <v>7.2609923356191999E-2</v>
          </cell>
        </row>
        <row r="330">
          <cell r="I330" t="str">
            <v>T1部件</v>
          </cell>
          <cell r="J330">
            <v>8</v>
          </cell>
          <cell r="K330">
            <v>7.2609923356191999E-2</v>
          </cell>
        </row>
        <row r="331">
          <cell r="I331" t="str">
            <v>T1部件</v>
          </cell>
          <cell r="J331">
            <v>8</v>
          </cell>
          <cell r="K331">
            <v>7.2609923356191999E-2</v>
          </cell>
        </row>
        <row r="332">
          <cell r="I332" t="str">
            <v>T1部件</v>
          </cell>
          <cell r="J332">
            <v>8</v>
          </cell>
          <cell r="K332">
            <v>7.2609923356191999E-2</v>
          </cell>
        </row>
        <row r="333">
          <cell r="I333" t="str">
            <v>T1部件</v>
          </cell>
          <cell r="J333">
            <v>8</v>
          </cell>
          <cell r="K333">
            <v>7.2609923356191999E-2</v>
          </cell>
        </row>
        <row r="334">
          <cell r="I334" t="str">
            <v>T1部件</v>
          </cell>
          <cell r="J334">
            <v>8</v>
          </cell>
          <cell r="K334">
            <v>7.2609923356191999E-2</v>
          </cell>
        </row>
        <row r="335">
          <cell r="I335" t="str">
            <v>T1部件</v>
          </cell>
          <cell r="J335">
            <v>8</v>
          </cell>
          <cell r="K335">
            <v>7.2609923356191999E-2</v>
          </cell>
        </row>
        <row r="336">
          <cell r="I336" t="str">
            <v>T1部件</v>
          </cell>
          <cell r="J336">
            <v>8</v>
          </cell>
          <cell r="K336">
            <v>7.2609923356191999E-2</v>
          </cell>
        </row>
        <row r="337">
          <cell r="I337" t="str">
            <v>T1部件</v>
          </cell>
          <cell r="J337">
            <v>8</v>
          </cell>
          <cell r="K337">
            <v>7.2609923356191999E-2</v>
          </cell>
        </row>
        <row r="338">
          <cell r="I338" t="str">
            <v>T1部件</v>
          </cell>
          <cell r="J338">
            <v>8</v>
          </cell>
          <cell r="K338">
            <v>7.2609923356191999E-2</v>
          </cell>
        </row>
        <row r="339">
          <cell r="I339" t="str">
            <v>T1部件</v>
          </cell>
          <cell r="J339">
            <v>8</v>
          </cell>
          <cell r="K339">
            <v>7.2609923356191999E-2</v>
          </cell>
        </row>
        <row r="340">
          <cell r="I340" t="str">
            <v>T1部件</v>
          </cell>
          <cell r="J340">
            <v>8</v>
          </cell>
          <cell r="K340">
            <v>7.2609923356191999E-2</v>
          </cell>
        </row>
        <row r="341">
          <cell r="I341" t="str">
            <v>T1部件</v>
          </cell>
          <cell r="J341">
            <v>8</v>
          </cell>
          <cell r="K341">
            <v>7.2609923356191999E-2</v>
          </cell>
        </row>
        <row r="342">
          <cell r="I342" t="str">
            <v>T1部件</v>
          </cell>
          <cell r="J342">
            <v>8</v>
          </cell>
          <cell r="K342">
            <v>7.2609923356191999E-2</v>
          </cell>
        </row>
        <row r="343">
          <cell r="I343" t="str">
            <v>T1部件</v>
          </cell>
          <cell r="J343">
            <v>8</v>
          </cell>
          <cell r="K343">
            <v>7.2609923356191999E-2</v>
          </cell>
        </row>
        <row r="344">
          <cell r="I344" t="str">
            <v>T2部件</v>
          </cell>
          <cell r="J344">
            <v>8</v>
          </cell>
          <cell r="K344">
            <v>3.3884630899556303E-2</v>
          </cell>
        </row>
        <row r="345">
          <cell r="I345" t="str">
            <v>T2部件</v>
          </cell>
          <cell r="J345">
            <v>8</v>
          </cell>
          <cell r="K345">
            <v>3.3884630899556303E-2</v>
          </cell>
        </row>
        <row r="346">
          <cell r="I346" t="str">
            <v>T2部件</v>
          </cell>
          <cell r="J346">
            <v>8</v>
          </cell>
          <cell r="K346">
            <v>3.3884630899556303E-2</v>
          </cell>
        </row>
        <row r="347">
          <cell r="I347" t="str">
            <v>T2部件</v>
          </cell>
          <cell r="J347">
            <v>8</v>
          </cell>
          <cell r="K347">
            <v>3.3884630899556303E-2</v>
          </cell>
        </row>
        <row r="348">
          <cell r="I348" t="str">
            <v>T2部件</v>
          </cell>
          <cell r="J348">
            <v>8</v>
          </cell>
          <cell r="K348">
            <v>3.3884630899556303E-2</v>
          </cell>
        </row>
        <row r="349">
          <cell r="I349" t="str">
            <v>T2部件</v>
          </cell>
          <cell r="J349">
            <v>8</v>
          </cell>
          <cell r="K349">
            <v>3.3884630899556303E-2</v>
          </cell>
        </row>
        <row r="350">
          <cell r="I350" t="str">
            <v>T2部件</v>
          </cell>
          <cell r="J350">
            <v>8</v>
          </cell>
          <cell r="K350">
            <v>3.3884630899556303E-2</v>
          </cell>
        </row>
        <row r="351">
          <cell r="I351" t="str">
            <v>T2部件</v>
          </cell>
          <cell r="J351">
            <v>8</v>
          </cell>
          <cell r="K351">
            <v>3.3884630899556303E-2</v>
          </cell>
        </row>
        <row r="352">
          <cell r="I352" t="str">
            <v>T2部件</v>
          </cell>
          <cell r="J352">
            <v>8</v>
          </cell>
          <cell r="K352">
            <v>3.3884630899556303E-2</v>
          </cell>
        </row>
        <row r="353">
          <cell r="I353" t="str">
            <v>T2部件</v>
          </cell>
          <cell r="J353">
            <v>8</v>
          </cell>
          <cell r="K353">
            <v>3.3884630899556303E-2</v>
          </cell>
        </row>
        <row r="354">
          <cell r="I354" t="str">
            <v>T2部件</v>
          </cell>
          <cell r="J354">
            <v>8</v>
          </cell>
          <cell r="K354">
            <v>3.3884630899556303E-2</v>
          </cell>
        </row>
        <row r="355">
          <cell r="I355" t="str">
            <v>T2部件</v>
          </cell>
          <cell r="J355">
            <v>8</v>
          </cell>
          <cell r="K355">
            <v>3.3884630899556303E-2</v>
          </cell>
        </row>
        <row r="356">
          <cell r="I356" t="str">
            <v>T2部件</v>
          </cell>
          <cell r="J356">
            <v>8</v>
          </cell>
          <cell r="K356">
            <v>3.3884630899556303E-2</v>
          </cell>
        </row>
        <row r="357">
          <cell r="I357" t="str">
            <v>T2部件</v>
          </cell>
          <cell r="J357">
            <v>8</v>
          </cell>
          <cell r="K357">
            <v>3.3884630899556303E-2</v>
          </cell>
        </row>
        <row r="358">
          <cell r="I358" t="str">
            <v>T2部件</v>
          </cell>
          <cell r="J358">
            <v>8</v>
          </cell>
          <cell r="K358">
            <v>3.3884630899556303E-2</v>
          </cell>
        </row>
        <row r="359">
          <cell r="I359" t="str">
            <v>T2部件</v>
          </cell>
          <cell r="J359">
            <v>8</v>
          </cell>
          <cell r="K359">
            <v>3.3884630899556303E-2</v>
          </cell>
        </row>
        <row r="360">
          <cell r="I360" t="str">
            <v>T2部件</v>
          </cell>
          <cell r="J360">
            <v>8</v>
          </cell>
          <cell r="K360">
            <v>3.3884630899556303E-2</v>
          </cell>
        </row>
        <row r="361">
          <cell r="I361" t="str">
            <v>T2部件</v>
          </cell>
          <cell r="J361">
            <v>8</v>
          </cell>
          <cell r="K361">
            <v>3.3884630899556303E-2</v>
          </cell>
        </row>
        <row r="362">
          <cell r="I362" t="str">
            <v>T3部件</v>
          </cell>
          <cell r="J362">
            <v>8</v>
          </cell>
          <cell r="K362">
            <v>1.7749092375957998E-2</v>
          </cell>
        </row>
        <row r="363">
          <cell r="I363" t="str">
            <v>T3部件</v>
          </cell>
          <cell r="J363">
            <v>8</v>
          </cell>
          <cell r="K363">
            <v>1.7749092375957998E-2</v>
          </cell>
        </row>
        <row r="364">
          <cell r="I364" t="str">
            <v>T3部件</v>
          </cell>
          <cell r="J364">
            <v>8</v>
          </cell>
          <cell r="K364">
            <v>1.7749092375957998E-2</v>
          </cell>
        </row>
        <row r="365">
          <cell r="I365" t="str">
            <v>T3部件</v>
          </cell>
          <cell r="J365">
            <v>8</v>
          </cell>
          <cell r="K365">
            <v>1.7749092375957998E-2</v>
          </cell>
        </row>
        <row r="366">
          <cell r="I366" t="str">
            <v>T3部件</v>
          </cell>
          <cell r="J366">
            <v>8</v>
          </cell>
          <cell r="K366">
            <v>1.7749092375957998E-2</v>
          </cell>
        </row>
        <row r="367">
          <cell r="I367" t="str">
            <v>T3部件</v>
          </cell>
          <cell r="J367">
            <v>8</v>
          </cell>
          <cell r="K367">
            <v>1.7749092375957998E-2</v>
          </cell>
        </row>
        <row r="368">
          <cell r="I368" t="str">
            <v>T3部件</v>
          </cell>
          <cell r="J368">
            <v>8</v>
          </cell>
          <cell r="K368">
            <v>1.7749092375957998E-2</v>
          </cell>
        </row>
        <row r="369">
          <cell r="I369" t="str">
            <v>T3部件</v>
          </cell>
          <cell r="J369">
            <v>8</v>
          </cell>
          <cell r="K369">
            <v>1.7749092375957998E-2</v>
          </cell>
        </row>
        <row r="370">
          <cell r="I370" t="str">
            <v>T3部件</v>
          </cell>
          <cell r="J370">
            <v>8</v>
          </cell>
          <cell r="K370">
            <v>1.7749092375957998E-2</v>
          </cell>
        </row>
        <row r="371">
          <cell r="I371" t="str">
            <v>T3部件</v>
          </cell>
          <cell r="J371">
            <v>8</v>
          </cell>
          <cell r="K371">
            <v>1.7749092375957998E-2</v>
          </cell>
        </row>
        <row r="372">
          <cell r="I372" t="str">
            <v>T3部件</v>
          </cell>
          <cell r="J372">
            <v>8</v>
          </cell>
          <cell r="K372">
            <v>1.7749092375957998E-2</v>
          </cell>
        </row>
        <row r="373">
          <cell r="I373" t="str">
            <v>T3部件</v>
          </cell>
          <cell r="J373">
            <v>8</v>
          </cell>
          <cell r="K373">
            <v>1.7749092375957998E-2</v>
          </cell>
        </row>
        <row r="374">
          <cell r="I374" t="str">
            <v>T3部件</v>
          </cell>
          <cell r="J374">
            <v>8</v>
          </cell>
          <cell r="K374">
            <v>1.7749092375957998E-2</v>
          </cell>
        </row>
        <row r="375">
          <cell r="I375" t="str">
            <v>T3部件</v>
          </cell>
          <cell r="J375">
            <v>8</v>
          </cell>
          <cell r="K375">
            <v>1.7749092375957998E-2</v>
          </cell>
        </row>
        <row r="376">
          <cell r="I376" t="str">
            <v>T3部件</v>
          </cell>
          <cell r="J376">
            <v>8</v>
          </cell>
          <cell r="K376">
            <v>1.7749092375957998E-2</v>
          </cell>
        </row>
        <row r="377">
          <cell r="I377" t="str">
            <v>T3部件</v>
          </cell>
          <cell r="J377">
            <v>8</v>
          </cell>
          <cell r="K377">
            <v>1.7749092375957998E-2</v>
          </cell>
        </row>
        <row r="378">
          <cell r="I378" t="str">
            <v>T3部件</v>
          </cell>
          <cell r="J378">
            <v>8</v>
          </cell>
          <cell r="K378">
            <v>1.7749092375957998E-2</v>
          </cell>
        </row>
        <row r="379">
          <cell r="I379" t="str">
            <v>T3部件</v>
          </cell>
          <cell r="J379">
            <v>8</v>
          </cell>
          <cell r="K379">
            <v>1.7749092375957998E-2</v>
          </cell>
        </row>
        <row r="380">
          <cell r="I380" t="str">
            <v>T0坦克</v>
          </cell>
          <cell r="J380">
            <v>8</v>
          </cell>
          <cell r="K380">
            <v>2.2186365469947601E-2</v>
          </cell>
        </row>
        <row r="381">
          <cell r="I381" t="str">
            <v>T0坦克</v>
          </cell>
          <cell r="J381">
            <v>8</v>
          </cell>
          <cell r="K381">
            <v>1.45219846712384E-2</v>
          </cell>
        </row>
        <row r="382">
          <cell r="I382" t="str">
            <v>T0坦克</v>
          </cell>
          <cell r="J382">
            <v>8</v>
          </cell>
          <cell r="K382">
            <v>2.2186365469947601E-2</v>
          </cell>
        </row>
        <row r="383">
          <cell r="I383" t="str">
            <v>T0坦克</v>
          </cell>
          <cell r="J383">
            <v>8</v>
          </cell>
          <cell r="K383">
            <v>2.5010084711577299E-2</v>
          </cell>
        </row>
        <row r="384">
          <cell r="I384" t="str">
            <v>T1碎片</v>
          </cell>
          <cell r="J384">
            <v>9</v>
          </cell>
          <cell r="K384">
            <v>0.72609923356191997</v>
          </cell>
        </row>
        <row r="385">
          <cell r="I385" t="str">
            <v>T1碎片</v>
          </cell>
          <cell r="J385">
            <v>9</v>
          </cell>
          <cell r="K385">
            <v>0.72609923356191997</v>
          </cell>
        </row>
        <row r="386">
          <cell r="I386" t="str">
            <v>T1碎片</v>
          </cell>
          <cell r="J386">
            <v>9</v>
          </cell>
          <cell r="K386">
            <v>0.72609923356191997</v>
          </cell>
        </row>
        <row r="387">
          <cell r="I387" t="str">
            <v>T2碎片</v>
          </cell>
          <cell r="J387">
            <v>9</v>
          </cell>
          <cell r="K387">
            <v>0.19362646228317901</v>
          </cell>
        </row>
        <row r="388">
          <cell r="I388" t="str">
            <v>T2碎片</v>
          </cell>
          <cell r="J388">
            <v>9</v>
          </cell>
          <cell r="K388">
            <v>0.19362646228317901</v>
          </cell>
        </row>
        <row r="389">
          <cell r="I389" t="str">
            <v>T2碎片</v>
          </cell>
          <cell r="J389">
            <v>9</v>
          </cell>
          <cell r="K389">
            <v>0.19362646228317901</v>
          </cell>
        </row>
        <row r="390">
          <cell r="I390" t="str">
            <v>T3碎片</v>
          </cell>
          <cell r="J390">
            <v>9</v>
          </cell>
          <cell r="K390">
            <v>1.1343283582089601</v>
          </cell>
        </row>
        <row r="391">
          <cell r="I391" t="str">
            <v>T3碎片</v>
          </cell>
          <cell r="J391">
            <v>9</v>
          </cell>
          <cell r="K391">
            <v>1.1343283582089601</v>
          </cell>
        </row>
        <row r="392">
          <cell r="I392" t="str">
            <v>T3碎片</v>
          </cell>
          <cell r="J392">
            <v>9</v>
          </cell>
          <cell r="K392">
            <v>1.1343283582089601</v>
          </cell>
        </row>
        <row r="393">
          <cell r="I393" t="str">
            <v>T3碎片</v>
          </cell>
          <cell r="J393">
            <v>9</v>
          </cell>
          <cell r="K393">
            <v>0.56877773295683698</v>
          </cell>
        </row>
        <row r="394">
          <cell r="I394" t="str">
            <v>T3碎片</v>
          </cell>
          <cell r="J394">
            <v>9</v>
          </cell>
          <cell r="K394">
            <v>0.56877773295683698</v>
          </cell>
        </row>
        <row r="395">
          <cell r="I395" t="str">
            <v>T3碎片</v>
          </cell>
          <cell r="J395">
            <v>9</v>
          </cell>
          <cell r="K395">
            <v>0.56877773295683698</v>
          </cell>
        </row>
        <row r="396">
          <cell r="I396" t="str">
            <v>T1部件</v>
          </cell>
          <cell r="J396">
            <v>9</v>
          </cell>
          <cell r="K396">
            <v>7.2609923356191999E-2</v>
          </cell>
        </row>
        <row r="397">
          <cell r="I397" t="str">
            <v>T1部件</v>
          </cell>
          <cell r="J397">
            <v>9</v>
          </cell>
          <cell r="K397">
            <v>7.2609923356191999E-2</v>
          </cell>
        </row>
        <row r="398">
          <cell r="I398" t="str">
            <v>T1部件</v>
          </cell>
          <cell r="J398">
            <v>9</v>
          </cell>
          <cell r="K398">
            <v>7.2609923356191999E-2</v>
          </cell>
        </row>
        <row r="399">
          <cell r="I399" t="str">
            <v>T1部件</v>
          </cell>
          <cell r="J399">
            <v>9</v>
          </cell>
          <cell r="K399">
            <v>7.2609923356191999E-2</v>
          </cell>
        </row>
        <row r="400">
          <cell r="I400" t="str">
            <v>T1部件</v>
          </cell>
          <cell r="J400">
            <v>9</v>
          </cell>
          <cell r="K400">
            <v>7.2609923356191999E-2</v>
          </cell>
        </row>
        <row r="401">
          <cell r="I401" t="str">
            <v>T1部件</v>
          </cell>
          <cell r="J401">
            <v>9</v>
          </cell>
          <cell r="K401">
            <v>7.2609923356191999E-2</v>
          </cell>
        </row>
        <row r="402">
          <cell r="I402" t="str">
            <v>T1部件</v>
          </cell>
          <cell r="J402">
            <v>9</v>
          </cell>
          <cell r="K402">
            <v>7.2609923356191999E-2</v>
          </cell>
        </row>
        <row r="403">
          <cell r="I403" t="str">
            <v>T1部件</v>
          </cell>
          <cell r="J403">
            <v>9</v>
          </cell>
          <cell r="K403">
            <v>7.2609923356191999E-2</v>
          </cell>
        </row>
        <row r="404">
          <cell r="I404" t="str">
            <v>T1部件</v>
          </cell>
          <cell r="J404">
            <v>9</v>
          </cell>
          <cell r="K404">
            <v>7.2609923356191999E-2</v>
          </cell>
        </row>
        <row r="405">
          <cell r="I405" t="str">
            <v>T1部件</v>
          </cell>
          <cell r="J405">
            <v>9</v>
          </cell>
          <cell r="K405">
            <v>7.2609923356191999E-2</v>
          </cell>
        </row>
        <row r="406">
          <cell r="I406" t="str">
            <v>T1部件</v>
          </cell>
          <cell r="J406">
            <v>9</v>
          </cell>
          <cell r="K406">
            <v>7.2609923356191999E-2</v>
          </cell>
        </row>
        <row r="407">
          <cell r="I407" t="str">
            <v>T1部件</v>
          </cell>
          <cell r="J407">
            <v>9</v>
          </cell>
          <cell r="K407">
            <v>7.2609923356191999E-2</v>
          </cell>
        </row>
        <row r="408">
          <cell r="I408" t="str">
            <v>T1部件</v>
          </cell>
          <cell r="J408">
            <v>9</v>
          </cell>
          <cell r="K408">
            <v>7.2609923356191999E-2</v>
          </cell>
        </row>
        <row r="409">
          <cell r="I409" t="str">
            <v>T1部件</v>
          </cell>
          <cell r="J409">
            <v>9</v>
          </cell>
          <cell r="K409">
            <v>7.2609923356191999E-2</v>
          </cell>
        </row>
        <row r="410">
          <cell r="I410" t="str">
            <v>T1部件</v>
          </cell>
          <cell r="J410">
            <v>9</v>
          </cell>
          <cell r="K410">
            <v>7.2609923356191999E-2</v>
          </cell>
        </row>
        <row r="411">
          <cell r="I411" t="str">
            <v>T1部件</v>
          </cell>
          <cell r="J411">
            <v>9</v>
          </cell>
          <cell r="K411">
            <v>7.2609923356191999E-2</v>
          </cell>
        </row>
        <row r="412">
          <cell r="I412" t="str">
            <v>T1部件</v>
          </cell>
          <cell r="J412">
            <v>9</v>
          </cell>
          <cell r="K412">
            <v>7.2609923356191999E-2</v>
          </cell>
        </row>
        <row r="413">
          <cell r="I413" t="str">
            <v>T1部件</v>
          </cell>
          <cell r="J413">
            <v>9</v>
          </cell>
          <cell r="K413">
            <v>7.2609923356191999E-2</v>
          </cell>
        </row>
        <row r="414">
          <cell r="I414" t="str">
            <v>T2部件</v>
          </cell>
          <cell r="J414">
            <v>9</v>
          </cell>
          <cell r="K414">
            <v>3.3884630899556303E-2</v>
          </cell>
        </row>
        <row r="415">
          <cell r="I415" t="str">
            <v>T2部件</v>
          </cell>
          <cell r="J415">
            <v>9</v>
          </cell>
          <cell r="K415">
            <v>3.3884630899556303E-2</v>
          </cell>
        </row>
        <row r="416">
          <cell r="I416" t="str">
            <v>T2部件</v>
          </cell>
          <cell r="J416">
            <v>9</v>
          </cell>
          <cell r="K416">
            <v>3.3884630899556303E-2</v>
          </cell>
        </row>
        <row r="417">
          <cell r="I417" t="str">
            <v>T2部件</v>
          </cell>
          <cell r="J417">
            <v>9</v>
          </cell>
          <cell r="K417">
            <v>3.3884630899556303E-2</v>
          </cell>
        </row>
        <row r="418">
          <cell r="I418" t="str">
            <v>T2部件</v>
          </cell>
          <cell r="J418">
            <v>9</v>
          </cell>
          <cell r="K418">
            <v>3.3884630899556303E-2</v>
          </cell>
        </row>
        <row r="419">
          <cell r="I419" t="str">
            <v>T2部件</v>
          </cell>
          <cell r="J419">
            <v>9</v>
          </cell>
          <cell r="K419">
            <v>3.3884630899556303E-2</v>
          </cell>
        </row>
        <row r="420">
          <cell r="I420" t="str">
            <v>T2部件</v>
          </cell>
          <cell r="J420">
            <v>9</v>
          </cell>
          <cell r="K420">
            <v>3.3884630899556303E-2</v>
          </cell>
        </row>
        <row r="421">
          <cell r="I421" t="str">
            <v>T2部件</v>
          </cell>
          <cell r="J421">
            <v>9</v>
          </cell>
          <cell r="K421">
            <v>3.3884630899556303E-2</v>
          </cell>
        </row>
        <row r="422">
          <cell r="I422" t="str">
            <v>T2部件</v>
          </cell>
          <cell r="J422">
            <v>9</v>
          </cell>
          <cell r="K422">
            <v>3.3884630899556303E-2</v>
          </cell>
        </row>
        <row r="423">
          <cell r="I423" t="str">
            <v>T2部件</v>
          </cell>
          <cell r="J423">
            <v>9</v>
          </cell>
          <cell r="K423">
            <v>3.3884630899556303E-2</v>
          </cell>
        </row>
        <row r="424">
          <cell r="I424" t="str">
            <v>T2部件</v>
          </cell>
          <cell r="J424">
            <v>9</v>
          </cell>
          <cell r="K424">
            <v>3.3884630899556303E-2</v>
          </cell>
        </row>
        <row r="425">
          <cell r="I425" t="str">
            <v>T2部件</v>
          </cell>
          <cell r="J425">
            <v>9</v>
          </cell>
          <cell r="K425">
            <v>3.3884630899556303E-2</v>
          </cell>
        </row>
        <row r="426">
          <cell r="I426" t="str">
            <v>T2部件</v>
          </cell>
          <cell r="J426">
            <v>9</v>
          </cell>
          <cell r="K426">
            <v>3.3884630899556303E-2</v>
          </cell>
        </row>
        <row r="427">
          <cell r="I427" t="str">
            <v>T2部件</v>
          </cell>
          <cell r="J427">
            <v>9</v>
          </cell>
          <cell r="K427">
            <v>3.3884630899556303E-2</v>
          </cell>
        </row>
        <row r="428">
          <cell r="I428" t="str">
            <v>T2部件</v>
          </cell>
          <cell r="J428">
            <v>9</v>
          </cell>
          <cell r="K428">
            <v>3.3884630899556303E-2</v>
          </cell>
        </row>
        <row r="429">
          <cell r="I429" t="str">
            <v>T2部件</v>
          </cell>
          <cell r="J429">
            <v>9</v>
          </cell>
          <cell r="K429">
            <v>3.3884630899556303E-2</v>
          </cell>
        </row>
        <row r="430">
          <cell r="I430" t="str">
            <v>T2部件</v>
          </cell>
          <cell r="J430">
            <v>9</v>
          </cell>
          <cell r="K430">
            <v>3.3884630899556303E-2</v>
          </cell>
        </row>
        <row r="431">
          <cell r="I431" t="str">
            <v>T2部件</v>
          </cell>
          <cell r="J431">
            <v>9</v>
          </cell>
          <cell r="K431">
            <v>3.3884630899556303E-2</v>
          </cell>
        </row>
        <row r="432">
          <cell r="I432" t="str">
            <v>T3部件</v>
          </cell>
          <cell r="J432">
            <v>9</v>
          </cell>
          <cell r="K432">
            <v>1.7749092375957998E-2</v>
          </cell>
        </row>
        <row r="433">
          <cell r="I433" t="str">
            <v>T3部件</v>
          </cell>
          <cell r="J433">
            <v>9</v>
          </cell>
          <cell r="K433">
            <v>1.7749092375957998E-2</v>
          </cell>
        </row>
        <row r="434">
          <cell r="I434" t="str">
            <v>T3部件</v>
          </cell>
          <cell r="J434">
            <v>9</v>
          </cell>
          <cell r="K434">
            <v>1.7749092375957998E-2</v>
          </cell>
        </row>
        <row r="435">
          <cell r="I435" t="str">
            <v>T3部件</v>
          </cell>
          <cell r="J435">
            <v>9</v>
          </cell>
          <cell r="K435">
            <v>1.7749092375957998E-2</v>
          </cell>
        </row>
        <row r="436">
          <cell r="I436" t="str">
            <v>T3部件</v>
          </cell>
          <cell r="J436">
            <v>9</v>
          </cell>
          <cell r="K436">
            <v>1.7749092375957998E-2</v>
          </cell>
        </row>
        <row r="437">
          <cell r="I437" t="str">
            <v>T3部件</v>
          </cell>
          <cell r="J437">
            <v>9</v>
          </cell>
          <cell r="K437">
            <v>1.7749092375957998E-2</v>
          </cell>
        </row>
        <row r="438">
          <cell r="I438" t="str">
            <v>T3部件</v>
          </cell>
          <cell r="J438">
            <v>9</v>
          </cell>
          <cell r="K438">
            <v>1.7749092375957998E-2</v>
          </cell>
        </row>
        <row r="439">
          <cell r="I439" t="str">
            <v>T3部件</v>
          </cell>
          <cell r="J439">
            <v>9</v>
          </cell>
          <cell r="K439">
            <v>1.7749092375957998E-2</v>
          </cell>
        </row>
        <row r="440">
          <cell r="I440" t="str">
            <v>T3部件</v>
          </cell>
          <cell r="J440">
            <v>9</v>
          </cell>
          <cell r="K440">
            <v>1.7749092375957998E-2</v>
          </cell>
        </row>
        <row r="441">
          <cell r="I441" t="str">
            <v>T3部件</v>
          </cell>
          <cell r="J441">
            <v>9</v>
          </cell>
          <cell r="K441">
            <v>1.7749092375957998E-2</v>
          </cell>
        </row>
        <row r="442">
          <cell r="I442" t="str">
            <v>T3部件</v>
          </cell>
          <cell r="J442">
            <v>9</v>
          </cell>
          <cell r="K442">
            <v>1.7749092375957998E-2</v>
          </cell>
        </row>
        <row r="443">
          <cell r="I443" t="str">
            <v>T3部件</v>
          </cell>
          <cell r="J443">
            <v>9</v>
          </cell>
          <cell r="K443">
            <v>1.7749092375957998E-2</v>
          </cell>
        </row>
        <row r="444">
          <cell r="I444" t="str">
            <v>T3部件</v>
          </cell>
          <cell r="J444">
            <v>9</v>
          </cell>
          <cell r="K444">
            <v>1.7749092375957998E-2</v>
          </cell>
        </row>
        <row r="445">
          <cell r="I445" t="str">
            <v>T3部件</v>
          </cell>
          <cell r="J445">
            <v>9</v>
          </cell>
          <cell r="K445">
            <v>1.7749092375957998E-2</v>
          </cell>
        </row>
        <row r="446">
          <cell r="I446" t="str">
            <v>T3部件</v>
          </cell>
          <cell r="J446">
            <v>9</v>
          </cell>
          <cell r="K446">
            <v>1.7749092375957998E-2</v>
          </cell>
        </row>
        <row r="447">
          <cell r="I447" t="str">
            <v>T3部件</v>
          </cell>
          <cell r="J447">
            <v>9</v>
          </cell>
          <cell r="K447">
            <v>1.7749092375957998E-2</v>
          </cell>
        </row>
        <row r="448">
          <cell r="I448" t="str">
            <v>T3部件</v>
          </cell>
          <cell r="J448">
            <v>9</v>
          </cell>
          <cell r="K448">
            <v>1.7749092375957998E-2</v>
          </cell>
        </row>
        <row r="449">
          <cell r="I449" t="str">
            <v>T3部件</v>
          </cell>
          <cell r="J449">
            <v>9</v>
          </cell>
          <cell r="K449">
            <v>1.7749092375957998E-2</v>
          </cell>
        </row>
        <row r="450">
          <cell r="I450" t="str">
            <v>T0坦克</v>
          </cell>
          <cell r="J450">
            <v>9</v>
          </cell>
          <cell r="K450">
            <v>2.2186365469947601E-2</v>
          </cell>
        </row>
        <row r="451">
          <cell r="I451" t="str">
            <v>T0坦克</v>
          </cell>
          <cell r="J451">
            <v>9</v>
          </cell>
          <cell r="K451">
            <v>1.45219846712384E-2</v>
          </cell>
        </row>
        <row r="452">
          <cell r="I452" t="str">
            <v>T0坦克</v>
          </cell>
          <cell r="J452">
            <v>9</v>
          </cell>
          <cell r="K452">
            <v>2.2186365469947601E-2</v>
          </cell>
        </row>
        <row r="453">
          <cell r="I453" t="str">
            <v>T0坦克</v>
          </cell>
          <cell r="J453">
            <v>9</v>
          </cell>
          <cell r="K453">
            <v>2.5010084711577299E-2</v>
          </cell>
        </row>
        <row r="454">
          <cell r="I454" t="str">
            <v>T1碎片</v>
          </cell>
          <cell r="J454">
            <v>10</v>
          </cell>
          <cell r="K454">
            <v>0.72609923356191997</v>
          </cell>
        </row>
        <row r="455">
          <cell r="I455" t="str">
            <v>T1碎片</v>
          </cell>
          <cell r="J455">
            <v>10</v>
          </cell>
          <cell r="K455">
            <v>0.72609923356191997</v>
          </cell>
        </row>
        <row r="456">
          <cell r="I456" t="str">
            <v>T1碎片</v>
          </cell>
          <cell r="J456">
            <v>10</v>
          </cell>
          <cell r="K456">
            <v>0.72609923356191997</v>
          </cell>
        </row>
        <row r="457">
          <cell r="I457" t="str">
            <v>T2碎片</v>
          </cell>
          <cell r="J457">
            <v>10</v>
          </cell>
          <cell r="K457">
            <v>0.19362646228317901</v>
          </cell>
        </row>
        <row r="458">
          <cell r="I458" t="str">
            <v>T2碎片</v>
          </cell>
          <cell r="J458">
            <v>10</v>
          </cell>
          <cell r="K458">
            <v>0.19362646228317901</v>
          </cell>
        </row>
        <row r="459">
          <cell r="I459" t="str">
            <v>T2碎片</v>
          </cell>
          <cell r="J459">
            <v>10</v>
          </cell>
          <cell r="K459">
            <v>0.19362646228317901</v>
          </cell>
        </row>
        <row r="460">
          <cell r="I460" t="str">
            <v>T3碎片</v>
          </cell>
          <cell r="J460">
            <v>10</v>
          </cell>
          <cell r="K460">
            <v>1.1343283582089601</v>
          </cell>
        </row>
        <row r="461">
          <cell r="I461" t="str">
            <v>T3碎片</v>
          </cell>
          <cell r="J461">
            <v>10</v>
          </cell>
          <cell r="K461">
            <v>1.1343283582089601</v>
          </cell>
        </row>
        <row r="462">
          <cell r="I462" t="str">
            <v>T3碎片</v>
          </cell>
          <cell r="J462">
            <v>10</v>
          </cell>
          <cell r="K462">
            <v>1.1343283582089601</v>
          </cell>
        </row>
        <row r="463">
          <cell r="I463" t="str">
            <v>T3碎片</v>
          </cell>
          <cell r="J463">
            <v>10</v>
          </cell>
          <cell r="K463">
            <v>0.56877773295683698</v>
          </cell>
        </row>
        <row r="464">
          <cell r="I464" t="str">
            <v>T3碎片</v>
          </cell>
          <cell r="J464">
            <v>10</v>
          </cell>
          <cell r="K464">
            <v>0.56877773295683698</v>
          </cell>
        </row>
        <row r="465">
          <cell r="I465" t="str">
            <v>T3碎片</v>
          </cell>
          <cell r="J465">
            <v>10</v>
          </cell>
          <cell r="K465">
            <v>0.56877773295683698</v>
          </cell>
        </row>
        <row r="466">
          <cell r="I466" t="str">
            <v>T1部件</v>
          </cell>
          <cell r="J466">
            <v>10</v>
          </cell>
          <cell r="K466">
            <v>7.2609923356191999E-2</v>
          </cell>
        </row>
        <row r="467">
          <cell r="I467" t="str">
            <v>T1部件</v>
          </cell>
          <cell r="J467">
            <v>10</v>
          </cell>
          <cell r="K467">
            <v>7.2609923356191999E-2</v>
          </cell>
        </row>
        <row r="468">
          <cell r="I468" t="str">
            <v>T1部件</v>
          </cell>
          <cell r="J468">
            <v>10</v>
          </cell>
          <cell r="K468">
            <v>7.2609923356191999E-2</v>
          </cell>
        </row>
        <row r="469">
          <cell r="I469" t="str">
            <v>T1部件</v>
          </cell>
          <cell r="J469">
            <v>10</v>
          </cell>
          <cell r="K469">
            <v>7.2609923356191999E-2</v>
          </cell>
        </row>
        <row r="470">
          <cell r="I470" t="str">
            <v>T1部件</v>
          </cell>
          <cell r="J470">
            <v>10</v>
          </cell>
          <cell r="K470">
            <v>7.2609923356191999E-2</v>
          </cell>
        </row>
        <row r="471">
          <cell r="I471" t="str">
            <v>T1部件</v>
          </cell>
          <cell r="J471">
            <v>10</v>
          </cell>
          <cell r="K471">
            <v>7.2609923356191999E-2</v>
          </cell>
        </row>
        <row r="472">
          <cell r="I472" t="str">
            <v>T1部件</v>
          </cell>
          <cell r="J472">
            <v>10</v>
          </cell>
          <cell r="K472">
            <v>7.2609923356191999E-2</v>
          </cell>
        </row>
        <row r="473">
          <cell r="I473" t="str">
            <v>T1部件</v>
          </cell>
          <cell r="J473">
            <v>10</v>
          </cell>
          <cell r="K473">
            <v>7.2609923356191999E-2</v>
          </cell>
        </row>
        <row r="474">
          <cell r="I474" t="str">
            <v>T1部件</v>
          </cell>
          <cell r="J474">
            <v>10</v>
          </cell>
          <cell r="K474">
            <v>7.2609923356191999E-2</v>
          </cell>
        </row>
        <row r="475">
          <cell r="I475" t="str">
            <v>T1部件</v>
          </cell>
          <cell r="J475">
            <v>10</v>
          </cell>
          <cell r="K475">
            <v>7.2609923356191999E-2</v>
          </cell>
        </row>
        <row r="476">
          <cell r="I476" t="str">
            <v>T1部件</v>
          </cell>
          <cell r="J476">
            <v>10</v>
          </cell>
          <cell r="K476">
            <v>7.2609923356191999E-2</v>
          </cell>
        </row>
        <row r="477">
          <cell r="I477" t="str">
            <v>T1部件</v>
          </cell>
          <cell r="J477">
            <v>10</v>
          </cell>
          <cell r="K477">
            <v>7.2609923356191999E-2</v>
          </cell>
        </row>
        <row r="478">
          <cell r="I478" t="str">
            <v>T1部件</v>
          </cell>
          <cell r="J478">
            <v>10</v>
          </cell>
          <cell r="K478">
            <v>7.2609923356191999E-2</v>
          </cell>
        </row>
        <row r="479">
          <cell r="I479" t="str">
            <v>T1部件</v>
          </cell>
          <cell r="J479">
            <v>10</v>
          </cell>
          <cell r="K479">
            <v>7.2609923356191999E-2</v>
          </cell>
        </row>
        <row r="480">
          <cell r="I480" t="str">
            <v>T1部件</v>
          </cell>
          <cell r="J480">
            <v>10</v>
          </cell>
          <cell r="K480">
            <v>7.2609923356191999E-2</v>
          </cell>
        </row>
        <row r="481">
          <cell r="I481" t="str">
            <v>T1部件</v>
          </cell>
          <cell r="J481">
            <v>10</v>
          </cell>
          <cell r="K481">
            <v>7.2609923356191999E-2</v>
          </cell>
        </row>
        <row r="482">
          <cell r="I482" t="str">
            <v>T1部件</v>
          </cell>
          <cell r="J482">
            <v>10</v>
          </cell>
          <cell r="K482">
            <v>7.2609923356191999E-2</v>
          </cell>
        </row>
        <row r="483">
          <cell r="I483" t="str">
            <v>T1部件</v>
          </cell>
          <cell r="J483">
            <v>10</v>
          </cell>
          <cell r="K483">
            <v>7.2609923356191999E-2</v>
          </cell>
        </row>
        <row r="484">
          <cell r="I484" t="str">
            <v>T2部件</v>
          </cell>
          <cell r="J484">
            <v>10</v>
          </cell>
          <cell r="K484">
            <v>3.3884630899556303E-2</v>
          </cell>
        </row>
        <row r="485">
          <cell r="I485" t="str">
            <v>T2部件</v>
          </cell>
          <cell r="J485">
            <v>10</v>
          </cell>
          <cell r="K485">
            <v>3.3884630899556303E-2</v>
          </cell>
        </row>
        <row r="486">
          <cell r="I486" t="str">
            <v>T2部件</v>
          </cell>
          <cell r="J486">
            <v>10</v>
          </cell>
          <cell r="K486">
            <v>3.3884630899556303E-2</v>
          </cell>
        </row>
        <row r="487">
          <cell r="I487" t="str">
            <v>T2部件</v>
          </cell>
          <cell r="J487">
            <v>10</v>
          </cell>
          <cell r="K487">
            <v>3.3884630899556303E-2</v>
          </cell>
        </row>
        <row r="488">
          <cell r="I488" t="str">
            <v>T2部件</v>
          </cell>
          <cell r="J488">
            <v>10</v>
          </cell>
          <cell r="K488">
            <v>3.3884630899556303E-2</v>
          </cell>
        </row>
        <row r="489">
          <cell r="I489" t="str">
            <v>T2部件</v>
          </cell>
          <cell r="J489">
            <v>10</v>
          </cell>
          <cell r="K489">
            <v>3.3884630899556303E-2</v>
          </cell>
        </row>
        <row r="490">
          <cell r="I490" t="str">
            <v>T2部件</v>
          </cell>
          <cell r="J490">
            <v>10</v>
          </cell>
          <cell r="K490">
            <v>3.3884630899556303E-2</v>
          </cell>
        </row>
        <row r="491">
          <cell r="I491" t="str">
            <v>T2部件</v>
          </cell>
          <cell r="J491">
            <v>10</v>
          </cell>
          <cell r="K491">
            <v>3.3884630899556303E-2</v>
          </cell>
        </row>
        <row r="492">
          <cell r="I492" t="str">
            <v>T2部件</v>
          </cell>
          <cell r="J492">
            <v>10</v>
          </cell>
          <cell r="K492">
            <v>3.3884630899556303E-2</v>
          </cell>
        </row>
        <row r="493">
          <cell r="I493" t="str">
            <v>T2部件</v>
          </cell>
          <cell r="J493">
            <v>10</v>
          </cell>
          <cell r="K493">
            <v>3.3884630899556303E-2</v>
          </cell>
        </row>
        <row r="494">
          <cell r="I494" t="str">
            <v>T2部件</v>
          </cell>
          <cell r="J494">
            <v>10</v>
          </cell>
          <cell r="K494">
            <v>3.3884630899556303E-2</v>
          </cell>
        </row>
        <row r="495">
          <cell r="I495" t="str">
            <v>T2部件</v>
          </cell>
          <cell r="J495">
            <v>10</v>
          </cell>
          <cell r="K495">
            <v>3.3884630899556303E-2</v>
          </cell>
        </row>
        <row r="496">
          <cell r="I496" t="str">
            <v>T2部件</v>
          </cell>
          <cell r="J496">
            <v>10</v>
          </cell>
          <cell r="K496">
            <v>3.3884630899556303E-2</v>
          </cell>
        </row>
        <row r="497">
          <cell r="I497" t="str">
            <v>T2部件</v>
          </cell>
          <cell r="J497">
            <v>10</v>
          </cell>
          <cell r="K497">
            <v>3.3884630899556303E-2</v>
          </cell>
        </row>
        <row r="498">
          <cell r="I498" t="str">
            <v>T2部件</v>
          </cell>
          <cell r="J498">
            <v>10</v>
          </cell>
          <cell r="K498">
            <v>3.3884630899556303E-2</v>
          </cell>
        </row>
        <row r="499">
          <cell r="I499" t="str">
            <v>T2部件</v>
          </cell>
          <cell r="J499">
            <v>10</v>
          </cell>
          <cell r="K499">
            <v>3.3884630899556303E-2</v>
          </cell>
        </row>
        <row r="500">
          <cell r="I500" t="str">
            <v>T2部件</v>
          </cell>
          <cell r="J500">
            <v>10</v>
          </cell>
          <cell r="K500">
            <v>3.3884630899556303E-2</v>
          </cell>
        </row>
        <row r="501">
          <cell r="I501" t="str">
            <v>T2部件</v>
          </cell>
          <cell r="J501">
            <v>10</v>
          </cell>
          <cell r="K501">
            <v>3.3884630899556303E-2</v>
          </cell>
        </row>
        <row r="502">
          <cell r="I502" t="str">
            <v>T3部件</v>
          </cell>
          <cell r="J502">
            <v>10</v>
          </cell>
          <cell r="K502">
            <v>1.7749092375957998E-2</v>
          </cell>
        </row>
        <row r="503">
          <cell r="I503" t="str">
            <v>T3部件</v>
          </cell>
          <cell r="J503">
            <v>10</v>
          </cell>
          <cell r="K503">
            <v>1.7749092375957998E-2</v>
          </cell>
        </row>
        <row r="504">
          <cell r="I504" t="str">
            <v>T3部件</v>
          </cell>
          <cell r="J504">
            <v>10</v>
          </cell>
          <cell r="K504">
            <v>1.7749092375957998E-2</v>
          </cell>
        </row>
        <row r="505">
          <cell r="I505" t="str">
            <v>T3部件</v>
          </cell>
          <cell r="J505">
            <v>10</v>
          </cell>
          <cell r="K505">
            <v>1.7749092375957998E-2</v>
          </cell>
        </row>
        <row r="506">
          <cell r="I506" t="str">
            <v>T3部件</v>
          </cell>
          <cell r="J506">
            <v>10</v>
          </cell>
          <cell r="K506">
            <v>1.7749092375957998E-2</v>
          </cell>
        </row>
        <row r="507">
          <cell r="I507" t="str">
            <v>T3部件</v>
          </cell>
          <cell r="J507">
            <v>10</v>
          </cell>
          <cell r="K507">
            <v>1.7749092375957998E-2</v>
          </cell>
        </row>
        <row r="508">
          <cell r="I508" t="str">
            <v>T3部件</v>
          </cell>
          <cell r="J508">
            <v>10</v>
          </cell>
          <cell r="K508">
            <v>1.7749092375957998E-2</v>
          </cell>
        </row>
        <row r="509">
          <cell r="I509" t="str">
            <v>T3部件</v>
          </cell>
          <cell r="J509">
            <v>10</v>
          </cell>
          <cell r="K509">
            <v>1.7749092375957998E-2</v>
          </cell>
        </row>
        <row r="510">
          <cell r="I510" t="str">
            <v>T3部件</v>
          </cell>
          <cell r="J510">
            <v>10</v>
          </cell>
          <cell r="K510">
            <v>1.7749092375957998E-2</v>
          </cell>
        </row>
        <row r="511">
          <cell r="I511" t="str">
            <v>T3部件</v>
          </cell>
          <cell r="J511">
            <v>10</v>
          </cell>
          <cell r="K511">
            <v>1.7749092375957998E-2</v>
          </cell>
        </row>
        <row r="512">
          <cell r="I512" t="str">
            <v>T3部件</v>
          </cell>
          <cell r="J512">
            <v>10</v>
          </cell>
          <cell r="K512">
            <v>1.7749092375957998E-2</v>
          </cell>
        </row>
        <row r="513">
          <cell r="I513" t="str">
            <v>T3部件</v>
          </cell>
          <cell r="J513">
            <v>10</v>
          </cell>
          <cell r="K513">
            <v>1.7749092375957998E-2</v>
          </cell>
        </row>
        <row r="514">
          <cell r="I514" t="str">
            <v>T3部件</v>
          </cell>
          <cell r="J514">
            <v>10</v>
          </cell>
          <cell r="K514">
            <v>1.7749092375957998E-2</v>
          </cell>
        </row>
        <row r="515">
          <cell r="I515" t="str">
            <v>T3部件</v>
          </cell>
          <cell r="J515">
            <v>10</v>
          </cell>
          <cell r="K515">
            <v>1.7749092375957998E-2</v>
          </cell>
        </row>
        <row r="516">
          <cell r="I516" t="str">
            <v>T3部件</v>
          </cell>
          <cell r="J516">
            <v>10</v>
          </cell>
          <cell r="K516">
            <v>1.7749092375957998E-2</v>
          </cell>
        </row>
        <row r="517">
          <cell r="I517" t="str">
            <v>T3部件</v>
          </cell>
          <cell r="J517">
            <v>10</v>
          </cell>
          <cell r="K517">
            <v>1.7749092375957998E-2</v>
          </cell>
        </row>
        <row r="518">
          <cell r="I518" t="str">
            <v>T3部件</v>
          </cell>
          <cell r="J518">
            <v>10</v>
          </cell>
          <cell r="K518">
            <v>1.7749092375957998E-2</v>
          </cell>
        </row>
        <row r="519">
          <cell r="I519" t="str">
            <v>T3部件</v>
          </cell>
          <cell r="J519">
            <v>10</v>
          </cell>
          <cell r="K519">
            <v>1.7749092375957998E-2</v>
          </cell>
        </row>
        <row r="520">
          <cell r="I520" t="str">
            <v>T0坦克</v>
          </cell>
          <cell r="J520">
            <v>10</v>
          </cell>
          <cell r="K520">
            <v>2.2186365469947601E-2</v>
          </cell>
        </row>
        <row r="521">
          <cell r="I521" t="str">
            <v>T0坦克</v>
          </cell>
          <cell r="J521">
            <v>10</v>
          </cell>
          <cell r="K521">
            <v>1.45219846712384E-2</v>
          </cell>
        </row>
        <row r="522">
          <cell r="I522" t="str">
            <v>T0坦克</v>
          </cell>
          <cell r="J522">
            <v>10</v>
          </cell>
          <cell r="K522">
            <v>2.2186365469947601E-2</v>
          </cell>
        </row>
        <row r="523">
          <cell r="I523" t="str">
            <v>T0坦克</v>
          </cell>
          <cell r="J523">
            <v>10</v>
          </cell>
          <cell r="K523">
            <v>2.5010084711577299E-2</v>
          </cell>
        </row>
      </sheetData>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40"/>
  <sheetViews>
    <sheetView workbookViewId="0">
      <selection activeCell="H20" sqref="H20"/>
    </sheetView>
  </sheetViews>
  <sheetFormatPr defaultColWidth="9" defaultRowHeight="14.25" x14ac:dyDescent="0.15"/>
  <cols>
    <col min="1" max="1" width="15.25" style="251" customWidth="1"/>
    <col min="2" max="2" width="10.5" style="251" customWidth="1"/>
    <col min="3" max="16384" width="9" style="251"/>
  </cols>
  <sheetData>
    <row r="1" spans="1:3" ht="42.75" customHeight="1" x14ac:dyDescent="0.15">
      <c r="A1" s="252" t="s">
        <v>0</v>
      </c>
    </row>
    <row r="2" spans="1:3" x14ac:dyDescent="0.15">
      <c r="A2" s="251" t="s">
        <v>1</v>
      </c>
    </row>
    <row r="3" spans="1:3" x14ac:dyDescent="0.15">
      <c r="A3" s="251" t="s">
        <v>2</v>
      </c>
      <c r="C3" s="251" t="s">
        <v>3</v>
      </c>
    </row>
    <row r="4" spans="1:3" x14ac:dyDescent="0.15">
      <c r="A4" s="251" t="s">
        <v>4</v>
      </c>
      <c r="B4" s="261" t="s">
        <v>5</v>
      </c>
      <c r="C4" s="251" t="s">
        <v>6</v>
      </c>
    </row>
    <row r="5" spans="1:3" x14ac:dyDescent="0.15">
      <c r="A5" s="251" t="s">
        <v>7</v>
      </c>
      <c r="B5" s="261"/>
      <c r="C5" s="251" t="s">
        <v>8</v>
      </c>
    </row>
    <row r="6" spans="1:3" x14ac:dyDescent="0.15">
      <c r="A6" s="251" t="s">
        <v>9</v>
      </c>
      <c r="B6" s="261"/>
      <c r="C6" s="251" t="s">
        <v>10</v>
      </c>
    </row>
    <row r="7" spans="1:3" x14ac:dyDescent="0.15">
      <c r="A7" s="251" t="s">
        <v>11</v>
      </c>
      <c r="B7" s="261"/>
      <c r="C7" s="251" t="s">
        <v>12</v>
      </c>
    </row>
    <row r="8" spans="1:3" x14ac:dyDescent="0.15">
      <c r="A8" s="251" t="s">
        <v>13</v>
      </c>
      <c r="B8" s="261" t="s">
        <v>14</v>
      </c>
      <c r="C8" s="251" t="s">
        <v>15</v>
      </c>
    </row>
    <row r="9" spans="1:3" x14ac:dyDescent="0.15">
      <c r="A9" s="251" t="s">
        <v>16</v>
      </c>
      <c r="B9" s="261"/>
      <c r="C9" s="251" t="s">
        <v>17</v>
      </c>
    </row>
    <row r="10" spans="1:3" x14ac:dyDescent="0.15">
      <c r="A10" s="251" t="s">
        <v>18</v>
      </c>
      <c r="B10" s="261"/>
      <c r="C10" s="251" t="s">
        <v>19</v>
      </c>
    </row>
    <row r="11" spans="1:3" x14ac:dyDescent="0.15">
      <c r="A11" s="251" t="s">
        <v>20</v>
      </c>
      <c r="B11" s="261"/>
      <c r="C11" s="251" t="s">
        <v>21</v>
      </c>
    </row>
    <row r="12" spans="1:3" x14ac:dyDescent="0.15">
      <c r="A12" s="251" t="s">
        <v>22</v>
      </c>
      <c r="B12" s="261"/>
      <c r="C12" s="251" t="s">
        <v>23</v>
      </c>
    </row>
    <row r="13" spans="1:3" x14ac:dyDescent="0.15">
      <c r="A13" s="251" t="s">
        <v>24</v>
      </c>
      <c r="B13" s="261"/>
      <c r="C13" s="251" t="s">
        <v>25</v>
      </c>
    </row>
    <row r="14" spans="1:3" x14ac:dyDescent="0.15">
      <c r="A14" s="251" t="s">
        <v>26</v>
      </c>
      <c r="B14" s="261" t="s">
        <v>27</v>
      </c>
      <c r="C14" s="251" t="s">
        <v>28</v>
      </c>
    </row>
    <row r="15" spans="1:3" x14ac:dyDescent="0.15">
      <c r="A15" s="251" t="s">
        <v>29</v>
      </c>
      <c r="B15" s="261"/>
      <c r="C15" s="251" t="s">
        <v>30</v>
      </c>
    </row>
    <row r="16" spans="1:3" x14ac:dyDescent="0.15">
      <c r="A16" s="251" t="s">
        <v>31</v>
      </c>
      <c r="B16" s="261"/>
      <c r="C16" s="251" t="s">
        <v>32</v>
      </c>
    </row>
    <row r="17" spans="1:3" x14ac:dyDescent="0.15">
      <c r="A17" s="251" t="s">
        <v>33</v>
      </c>
      <c r="B17" s="261"/>
      <c r="C17" s="251" t="s">
        <v>34</v>
      </c>
    </row>
    <row r="18" spans="1:3" x14ac:dyDescent="0.15">
      <c r="A18" s="251" t="s">
        <v>35</v>
      </c>
      <c r="B18" s="261"/>
      <c r="C18" s="251" t="s">
        <v>36</v>
      </c>
    </row>
    <row r="19" spans="1:3" x14ac:dyDescent="0.15">
      <c r="A19" s="251" t="s">
        <v>37</v>
      </c>
      <c r="B19" s="261"/>
      <c r="C19" s="251" t="s">
        <v>38</v>
      </c>
    </row>
    <row r="20" spans="1:3" x14ac:dyDescent="0.15">
      <c r="A20" s="251" t="s">
        <v>39</v>
      </c>
      <c r="B20" s="261"/>
      <c r="C20" s="251" t="s">
        <v>40</v>
      </c>
    </row>
    <row r="21" spans="1:3" x14ac:dyDescent="0.15">
      <c r="A21" s="251" t="s">
        <v>41</v>
      </c>
      <c r="B21" s="261"/>
      <c r="C21" s="251" t="s">
        <v>42</v>
      </c>
    </row>
    <row r="22" spans="1:3" x14ac:dyDescent="0.15">
      <c r="A22" s="251" t="s">
        <v>43</v>
      </c>
    </row>
    <row r="23" spans="1:3" x14ac:dyDescent="0.15">
      <c r="A23" s="251" t="s">
        <v>44</v>
      </c>
    </row>
    <row r="24" spans="1:3" x14ac:dyDescent="0.15">
      <c r="A24" s="251" t="s">
        <v>45</v>
      </c>
    </row>
    <row r="25" spans="1:3" x14ac:dyDescent="0.15">
      <c r="A25" s="251" t="s">
        <v>46</v>
      </c>
    </row>
    <row r="26" spans="1:3" x14ac:dyDescent="0.15">
      <c r="A26" s="251" t="s">
        <v>47</v>
      </c>
    </row>
    <row r="27" spans="1:3" x14ac:dyDescent="0.15">
      <c r="A27" s="251" t="s">
        <v>48</v>
      </c>
      <c r="C27" s="251" t="s">
        <v>49</v>
      </c>
    </row>
    <row r="28" spans="1:3" x14ac:dyDescent="0.15">
      <c r="A28" s="251" t="s">
        <v>50</v>
      </c>
      <c r="C28" s="251" t="s">
        <v>51</v>
      </c>
    </row>
    <row r="29" spans="1:3" x14ac:dyDescent="0.15">
      <c r="A29" s="251" t="s">
        <v>52</v>
      </c>
      <c r="C29" s="251" t="s">
        <v>53</v>
      </c>
    </row>
    <row r="30" spans="1:3" x14ac:dyDescent="0.15">
      <c r="A30" s="251" t="s">
        <v>54</v>
      </c>
      <c r="C30" s="251" t="s">
        <v>55</v>
      </c>
    </row>
    <row r="31" spans="1:3" x14ac:dyDescent="0.15">
      <c r="A31" s="251" t="s">
        <v>56</v>
      </c>
      <c r="C31" s="251" t="s">
        <v>57</v>
      </c>
    </row>
    <row r="32" spans="1:3" x14ac:dyDescent="0.15">
      <c r="A32" s="251" t="s">
        <v>58</v>
      </c>
      <c r="C32" s="251" t="s">
        <v>59</v>
      </c>
    </row>
    <row r="33" spans="1:3" x14ac:dyDescent="0.15">
      <c r="A33" s="251" t="s">
        <v>60</v>
      </c>
      <c r="C33" s="251" t="s">
        <v>61</v>
      </c>
    </row>
    <row r="34" spans="1:3" x14ac:dyDescent="0.15">
      <c r="A34" s="251" t="s">
        <v>62</v>
      </c>
      <c r="C34" s="251" t="s">
        <v>63</v>
      </c>
    </row>
    <row r="35" spans="1:3" x14ac:dyDescent="0.15">
      <c r="A35" s="251" t="s">
        <v>64</v>
      </c>
    </row>
    <row r="36" spans="1:3" x14ac:dyDescent="0.15">
      <c r="A36" s="251" t="s">
        <v>65</v>
      </c>
    </row>
    <row r="37" spans="1:3" x14ac:dyDescent="0.15">
      <c r="A37" s="251" t="s">
        <v>66</v>
      </c>
    </row>
    <row r="38" spans="1:3" x14ac:dyDescent="0.15">
      <c r="C38" s="251" t="s">
        <v>67</v>
      </c>
    </row>
    <row r="39" spans="1:3" x14ac:dyDescent="0.15">
      <c r="C39" s="251" t="s">
        <v>68</v>
      </c>
    </row>
    <row r="40" spans="1:3" x14ac:dyDescent="0.15">
      <c r="C40" s="251" t="s">
        <v>69</v>
      </c>
    </row>
  </sheetData>
  <mergeCells count="3">
    <mergeCell ref="B4:B7"/>
    <mergeCell ref="B8:B13"/>
    <mergeCell ref="B14:B21"/>
  </mergeCells>
  <phoneticPr fontId="34" type="noConversion"/>
  <pageMargins left="0.7" right="0.7" top="0.75" bottom="0.75" header="0.3" footer="0.3"/>
  <drawing r:id="rId1"/>
  <legacyDrawing r:id="rId2"/>
  <controls>
    <mc:AlternateContent xmlns:mc="http://schemas.openxmlformats.org/markup-compatibility/2006">
      <mc:Choice Requires="x14">
        <control shapeId="211969" r:id="rId3" name="CommandButton1">
          <controlPr defaultSize="0" altText="" r:id="rId4">
            <anchor moveWithCells="1">
              <from>
                <xdr:col>1</xdr:col>
                <xdr:colOff>142875</xdr:colOff>
                <xdr:row>0</xdr:row>
                <xdr:rowOff>85725</xdr:rowOff>
              </from>
              <to>
                <xdr:col>2</xdr:col>
                <xdr:colOff>266700</xdr:colOff>
                <xdr:row>0</xdr:row>
                <xdr:rowOff>419100</xdr:rowOff>
              </to>
            </anchor>
          </controlPr>
        </control>
      </mc:Choice>
      <mc:Fallback>
        <control shapeId="211969"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U56"/>
  <sheetViews>
    <sheetView topLeftCell="A13" workbookViewId="0">
      <selection activeCell="I35" sqref="I35"/>
    </sheetView>
  </sheetViews>
  <sheetFormatPr defaultColWidth="9" defaultRowHeight="14.25" x14ac:dyDescent="0.3"/>
  <cols>
    <col min="1" max="12" width="9" style="1"/>
    <col min="13" max="13" width="11.75" style="1" customWidth="1"/>
    <col min="14" max="16384" width="9" style="1"/>
  </cols>
  <sheetData>
    <row r="2" spans="2:14" x14ac:dyDescent="0.3">
      <c r="B2" s="262" t="s">
        <v>70</v>
      </c>
      <c r="C2" s="262"/>
      <c r="D2" s="262"/>
      <c r="E2" s="262"/>
      <c r="F2" s="262"/>
      <c r="G2" s="262"/>
      <c r="M2" s="36" t="s">
        <v>71</v>
      </c>
    </row>
    <row r="3" spans="2:14" x14ac:dyDescent="0.3">
      <c r="B3" s="2" t="s">
        <v>72</v>
      </c>
      <c r="C3" s="2" t="s">
        <v>73</v>
      </c>
      <c r="D3" s="2" t="s">
        <v>74</v>
      </c>
      <c r="E3" s="2" t="s">
        <v>75</v>
      </c>
      <c r="F3" s="2" t="s">
        <v>76</v>
      </c>
      <c r="G3" s="2" t="s">
        <v>77</v>
      </c>
      <c r="M3" s="36" t="s">
        <v>78</v>
      </c>
    </row>
    <row r="4" spans="2:14" x14ac:dyDescent="0.3">
      <c r="B4" s="2" t="s">
        <v>79</v>
      </c>
      <c r="C4" s="21">
        <v>1.05</v>
      </c>
      <c r="D4" s="21">
        <v>1</v>
      </c>
      <c r="E4" s="21">
        <v>0.7</v>
      </c>
      <c r="F4" s="2">
        <f>C4*AVERAGE(D4:E4)</f>
        <v>0.89249999999999996</v>
      </c>
      <c r="G4" s="2">
        <f>C4*E4</f>
        <v>0.73499999999999999</v>
      </c>
      <c r="M4" s="36" t="s">
        <v>80</v>
      </c>
    </row>
    <row r="5" spans="2:14" x14ac:dyDescent="0.3">
      <c r="B5" s="2" t="s">
        <v>81</v>
      </c>
      <c r="C5" s="21">
        <v>1.1499999999999999</v>
      </c>
      <c r="D5" s="21">
        <v>1</v>
      </c>
      <c r="E5" s="21">
        <v>0.7</v>
      </c>
      <c r="F5" s="2">
        <f t="shared" ref="F5:F10" si="0">C5*AVERAGE(D5:E5)</f>
        <v>0.97749999999999992</v>
      </c>
      <c r="G5" s="2">
        <f t="shared" ref="G5:G10" si="1">C5*E5</f>
        <v>0.80499999999999994</v>
      </c>
      <c r="M5" s="36" t="s">
        <v>82</v>
      </c>
    </row>
    <row r="6" spans="2:14" x14ac:dyDescent="0.3">
      <c r="B6" s="2" t="s">
        <v>83</v>
      </c>
      <c r="C6" s="21">
        <v>1.25</v>
      </c>
      <c r="D6" s="21">
        <v>1</v>
      </c>
      <c r="E6" s="21">
        <v>0.7</v>
      </c>
      <c r="F6" s="2">
        <f t="shared" si="0"/>
        <v>1.0625</v>
      </c>
      <c r="G6" s="2">
        <f t="shared" si="1"/>
        <v>0.875</v>
      </c>
      <c r="M6" s="36" t="s">
        <v>84</v>
      </c>
    </row>
    <row r="7" spans="2:14" x14ac:dyDescent="0.3">
      <c r="B7" s="2" t="s">
        <v>85</v>
      </c>
      <c r="C7" s="21">
        <v>1</v>
      </c>
      <c r="D7" s="21">
        <v>1</v>
      </c>
      <c r="E7" s="21">
        <v>0.75</v>
      </c>
      <c r="F7" s="2">
        <f t="shared" si="0"/>
        <v>0.875</v>
      </c>
      <c r="G7" s="2">
        <f t="shared" si="1"/>
        <v>0.75</v>
      </c>
    </row>
    <row r="8" spans="2:14" x14ac:dyDescent="0.3">
      <c r="B8" s="2" t="s">
        <v>86</v>
      </c>
      <c r="C8" s="21">
        <v>1.1499999999999999</v>
      </c>
      <c r="D8" s="21">
        <v>1</v>
      </c>
      <c r="E8" s="21">
        <v>0.75</v>
      </c>
      <c r="F8" s="2">
        <f t="shared" si="0"/>
        <v>1.0062499999999999</v>
      </c>
      <c r="G8" s="2">
        <f t="shared" si="1"/>
        <v>0.86249999999999993</v>
      </c>
    </row>
    <row r="9" spans="2:14" x14ac:dyDescent="0.3">
      <c r="B9" s="2" t="s">
        <v>87</v>
      </c>
      <c r="C9" s="21">
        <v>1</v>
      </c>
      <c r="D9" s="21">
        <v>1</v>
      </c>
      <c r="E9" s="21">
        <v>0.8</v>
      </c>
      <c r="F9" s="2">
        <f t="shared" si="0"/>
        <v>0.9</v>
      </c>
      <c r="G9" s="2">
        <f t="shared" si="1"/>
        <v>0.8</v>
      </c>
    </row>
    <row r="10" spans="2:14" x14ac:dyDescent="0.3">
      <c r="B10" s="2" t="s">
        <v>88</v>
      </c>
      <c r="C10" s="21">
        <v>1.1000000000000001</v>
      </c>
      <c r="D10" s="21">
        <v>1</v>
      </c>
      <c r="E10" s="21">
        <v>0.8</v>
      </c>
      <c r="F10" s="2">
        <f t="shared" si="0"/>
        <v>0.9900000000000001</v>
      </c>
      <c r="G10" s="2">
        <f t="shared" si="1"/>
        <v>0.88000000000000012</v>
      </c>
    </row>
    <row r="12" spans="2:14" x14ac:dyDescent="0.3">
      <c r="B12" s="263" t="s">
        <v>89</v>
      </c>
      <c r="C12" s="264"/>
      <c r="D12" s="264"/>
      <c r="E12" s="264"/>
      <c r="F12" s="264"/>
      <c r="G12" s="264"/>
      <c r="H12" s="264"/>
      <c r="I12" s="264"/>
      <c r="J12" s="264"/>
      <c r="K12" s="265"/>
      <c r="L12" s="133"/>
    </row>
    <row r="13" spans="2:14" x14ac:dyDescent="0.3">
      <c r="B13" s="2" t="s">
        <v>72</v>
      </c>
      <c r="C13" s="2" t="s">
        <v>90</v>
      </c>
      <c r="D13" s="2" t="s">
        <v>91</v>
      </c>
      <c r="E13" s="2" t="s">
        <v>92</v>
      </c>
      <c r="F13" s="2" t="s">
        <v>93</v>
      </c>
      <c r="G13" s="2" t="s">
        <v>94</v>
      </c>
      <c r="H13" s="2" t="s">
        <v>95</v>
      </c>
      <c r="I13" s="2" t="s">
        <v>96</v>
      </c>
      <c r="J13" s="2" t="s">
        <v>97</v>
      </c>
      <c r="K13" s="2" t="s">
        <v>98</v>
      </c>
      <c r="L13" s="133"/>
    </row>
    <row r="14" spans="2:14" x14ac:dyDescent="0.3">
      <c r="B14" s="2" t="s">
        <v>79</v>
      </c>
      <c r="C14" s="2" t="s">
        <v>99</v>
      </c>
      <c r="D14" s="21">
        <v>6</v>
      </c>
      <c r="E14" s="21">
        <v>1.4</v>
      </c>
      <c r="F14" s="2">
        <f>E14</f>
        <v>1.4</v>
      </c>
      <c r="G14" s="2">
        <v>0</v>
      </c>
      <c r="H14" s="2">
        <f>坦克类型系数!AO4</f>
        <v>0.4</v>
      </c>
      <c r="I14" s="34">
        <f t="shared" ref="I14:I20" si="2">IF(LEN(C14)=5,(60-(D14-1)*H14)/F14+D14,IF(LEFT(C14,2)="弹夹",((60-(D14-1)*H14)/(G14+(D14-1)*H14)+1)*D14,60/F14+D14))</f>
        <v>47.428571428571431</v>
      </c>
      <c r="J14" s="34">
        <f t="shared" ref="J14:J20" si="3">IF(LEN(C14)=5,(30-(D14-1)*H14)/F14+D14,IF(LEFT(C14,2)="弹夹",((30-(D14-1)*H14)/(G14+(D14-1)*H14)+1)*D14,30/F14+D14))</f>
        <v>26</v>
      </c>
      <c r="K14" s="34">
        <f t="shared" ref="K14:K20" si="4">IF(LEN(C14)=5,(45-(D14-1)*H14)/F14+D14,IF(LEFT(C14,2)="弹夹",((45-(D14-1)*H14)/(G14+(D14-1)*H14)+1)*D14,45/F14+D14))</f>
        <v>36.714285714285715</v>
      </c>
      <c r="N14" s="133"/>
    </row>
    <row r="15" spans="2:14" x14ac:dyDescent="0.3">
      <c r="B15" s="22" t="s">
        <v>81</v>
      </c>
      <c r="C15" s="22" t="s">
        <v>100</v>
      </c>
      <c r="D15" s="226">
        <v>9</v>
      </c>
      <c r="E15" s="226">
        <v>0.7</v>
      </c>
      <c r="F15" s="22">
        <v>0</v>
      </c>
      <c r="G15" s="22">
        <f>E15*D15</f>
        <v>6.3</v>
      </c>
      <c r="H15" s="22">
        <f>坦克类型系数!AN5</f>
        <v>0.4</v>
      </c>
      <c r="I15" s="34">
        <f>IF(LEN(C15)=5,(60-(D15-1)*H15)/F15+D15,IF(LEFT(C15,2)="弹夹",((60-(D15-1)*H15)/(G15+(D15-1)*H15)+1)*D15,IF(LEFT(C15,3)="三联发",((60-(D15/3-1)*H15)/(G15+(D15/3-1)*H15)+1)*D15,60/F15+D15)))</f>
        <v>84.042253521126767</v>
      </c>
      <c r="J15" s="34">
        <f>IF(LEN(C15)=5,(30-(D15-1)*H15)/F15+D15,IF(LEFT(C15,2)="弹夹",((30-(D15-1)*H15)/(G15+(D15-1)*H15)+1)*D15,IF(LEFT(C15,3)="三联发",((30-(D15-1)*H15)/(G15+(D15-1)*H15)+1)*D15,30/F15+D15)))</f>
        <v>34.389473684210529</v>
      </c>
      <c r="K15" s="34">
        <f>IF(LEN(C15)=5,(45-(D15-1)*H15)/F15+D15,IF(LEFT(C15,2)="弹夹",((45-(D15-1)*H15)/(G15+(D15-1)*H15)+1)*D15,IF(LEFT(C15,3)="三联发",((45-(D15/3-1)*H15)/(G15+(D15/3-1)*H15)+1)*D15,45/F15+D15)))</f>
        <v>65.028169014084511</v>
      </c>
      <c r="N15" s="133"/>
    </row>
    <row r="16" spans="2:14" x14ac:dyDescent="0.3">
      <c r="B16" s="2" t="s">
        <v>83</v>
      </c>
      <c r="C16" s="2" t="s">
        <v>101</v>
      </c>
      <c r="D16" s="21">
        <v>1</v>
      </c>
      <c r="E16" s="21">
        <v>3</v>
      </c>
      <c r="F16" s="2">
        <f>E16</f>
        <v>3</v>
      </c>
      <c r="G16" s="2">
        <v>0</v>
      </c>
      <c r="H16" s="2">
        <v>0</v>
      </c>
      <c r="I16" s="34">
        <f t="shared" si="2"/>
        <v>21</v>
      </c>
      <c r="J16" s="34">
        <f t="shared" si="3"/>
        <v>11</v>
      </c>
      <c r="K16" s="34">
        <f t="shared" si="4"/>
        <v>16</v>
      </c>
      <c r="N16" s="133"/>
    </row>
    <row r="17" spans="2:21" x14ac:dyDescent="0.3">
      <c r="B17" s="22" t="s">
        <v>85</v>
      </c>
      <c r="C17" s="22" t="s">
        <v>102</v>
      </c>
      <c r="D17" s="226">
        <v>6</v>
      </c>
      <c r="E17" s="226">
        <v>1</v>
      </c>
      <c r="F17" s="22">
        <v>0</v>
      </c>
      <c r="G17" s="22">
        <f>E17*D17</f>
        <v>6</v>
      </c>
      <c r="H17" s="22">
        <v>0.5</v>
      </c>
      <c r="I17" s="34">
        <f t="shared" si="2"/>
        <v>46.588235294117645</v>
      </c>
      <c r="J17" s="34">
        <f t="shared" si="3"/>
        <v>25.411764705882355</v>
      </c>
      <c r="K17" s="34">
        <f t="shared" si="4"/>
        <v>36</v>
      </c>
      <c r="N17" s="133"/>
    </row>
    <row r="18" spans="2:21" x14ac:dyDescent="0.3">
      <c r="B18" s="22" t="s">
        <v>86</v>
      </c>
      <c r="C18" s="22" t="s">
        <v>103</v>
      </c>
      <c r="D18" s="226">
        <v>6</v>
      </c>
      <c r="E18" s="226">
        <v>2</v>
      </c>
      <c r="F18" s="22">
        <f>E18</f>
        <v>2</v>
      </c>
      <c r="G18" s="22">
        <v>0</v>
      </c>
      <c r="H18" s="22">
        <v>1</v>
      </c>
      <c r="I18" s="34">
        <f t="shared" si="2"/>
        <v>36</v>
      </c>
      <c r="J18" s="34">
        <f t="shared" si="3"/>
        <v>21</v>
      </c>
      <c r="K18" s="34">
        <f t="shared" si="4"/>
        <v>28.5</v>
      </c>
      <c r="N18" s="133"/>
    </row>
    <row r="19" spans="2:21" x14ac:dyDescent="0.3">
      <c r="B19" s="22" t="s">
        <v>87</v>
      </c>
      <c r="C19" s="22" t="s">
        <v>103</v>
      </c>
      <c r="D19" s="226">
        <v>2</v>
      </c>
      <c r="E19" s="226">
        <v>4.5</v>
      </c>
      <c r="F19" s="22">
        <f>E19</f>
        <v>4.5</v>
      </c>
      <c r="G19" s="22">
        <v>0</v>
      </c>
      <c r="H19" s="22">
        <f>AVERAGE(坦克类型系数!AN10:AO10)</f>
        <v>1.8</v>
      </c>
      <c r="I19" s="34">
        <f t="shared" si="2"/>
        <v>15.333333333333334</v>
      </c>
      <c r="J19" s="34">
        <f t="shared" si="3"/>
        <v>8.6666666666666679</v>
      </c>
      <c r="K19" s="34">
        <f t="shared" si="4"/>
        <v>12</v>
      </c>
      <c r="N19" s="133"/>
    </row>
    <row r="20" spans="2:21" x14ac:dyDescent="0.3">
      <c r="B20" s="2" t="s">
        <v>88</v>
      </c>
      <c r="C20" s="2" t="s">
        <v>101</v>
      </c>
      <c r="D20" s="21">
        <v>1</v>
      </c>
      <c r="E20" s="21">
        <v>6</v>
      </c>
      <c r="F20" s="2">
        <f>E20</f>
        <v>6</v>
      </c>
      <c r="G20" s="2">
        <v>0</v>
      </c>
      <c r="H20" s="2">
        <v>0</v>
      </c>
      <c r="I20" s="34">
        <f t="shared" si="2"/>
        <v>11</v>
      </c>
      <c r="J20" s="34">
        <f t="shared" si="3"/>
        <v>6</v>
      </c>
      <c r="K20" s="34">
        <f t="shared" si="4"/>
        <v>8.5</v>
      </c>
      <c r="N20" s="133"/>
    </row>
    <row r="21" spans="2:21" x14ac:dyDescent="0.3">
      <c r="B21" s="25"/>
      <c r="C21" s="25"/>
      <c r="D21" s="24"/>
      <c r="E21" s="24"/>
      <c r="F21" s="25"/>
      <c r="G21" s="25"/>
      <c r="H21" s="24"/>
      <c r="I21" s="25"/>
      <c r="J21" s="133"/>
      <c r="K21" s="133"/>
      <c r="L21" s="133"/>
      <c r="O21" s="133"/>
    </row>
    <row r="22" spans="2:21" x14ac:dyDescent="0.3">
      <c r="B22" s="262" t="s">
        <v>104</v>
      </c>
      <c r="C22" s="262"/>
      <c r="D22" s="262"/>
      <c r="E22" s="262"/>
      <c r="F22" s="262"/>
      <c r="G22" s="262"/>
      <c r="H22" s="262"/>
      <c r="I22" s="262"/>
      <c r="J22" s="262"/>
      <c r="K22" s="262"/>
      <c r="L22" s="262"/>
      <c r="M22" s="262"/>
      <c r="N22" s="262"/>
      <c r="O22" s="262"/>
      <c r="P22" s="262"/>
      <c r="Q22" s="262"/>
      <c r="R22" s="262"/>
      <c r="S22" s="262"/>
      <c r="T22" s="262"/>
      <c r="U22" s="262"/>
    </row>
    <row r="23" spans="2:21" x14ac:dyDescent="0.3">
      <c r="B23" s="2" t="s">
        <v>72</v>
      </c>
      <c r="C23" s="2" t="s">
        <v>105</v>
      </c>
      <c r="D23" s="2" t="s">
        <v>106</v>
      </c>
      <c r="E23" s="2" t="s">
        <v>107</v>
      </c>
      <c r="F23" s="2" t="s">
        <v>108</v>
      </c>
      <c r="G23" s="2" t="s">
        <v>109</v>
      </c>
      <c r="H23" s="2" t="s">
        <v>110</v>
      </c>
      <c r="I23" s="2" t="s">
        <v>111</v>
      </c>
      <c r="J23" s="2" t="s">
        <v>112</v>
      </c>
      <c r="K23" s="2" t="s">
        <v>113</v>
      </c>
      <c r="L23" s="2" t="s">
        <v>114</v>
      </c>
      <c r="M23" s="2" t="s">
        <v>115</v>
      </c>
      <c r="N23" s="2" t="s">
        <v>116</v>
      </c>
      <c r="O23" s="2" t="s">
        <v>117</v>
      </c>
      <c r="P23" s="2" t="s">
        <v>118</v>
      </c>
      <c r="Q23" s="2" t="s">
        <v>119</v>
      </c>
      <c r="R23" s="34" t="s">
        <v>120</v>
      </c>
      <c r="S23" s="2" t="s">
        <v>121</v>
      </c>
      <c r="T23" s="2" t="s">
        <v>122</v>
      </c>
      <c r="U23" s="2" t="s">
        <v>123</v>
      </c>
    </row>
    <row r="24" spans="2:21" x14ac:dyDescent="0.3">
      <c r="B24" s="2" t="s">
        <v>79</v>
      </c>
      <c r="C24" s="2">
        <f>基础属性系数!$C$20</f>
        <v>100</v>
      </c>
      <c r="D24" s="2">
        <f>基础属性系数!C30</f>
        <v>40</v>
      </c>
      <c r="E24" s="2">
        <f>(C24-D24)/坦克类型系数!$CC$4</f>
        <v>3.5999999999999996</v>
      </c>
      <c r="F24" s="2">
        <v>0.5</v>
      </c>
      <c r="G24" s="2">
        <v>1</v>
      </c>
      <c r="H24" s="2">
        <v>2.5</v>
      </c>
      <c r="I24" s="34">
        <f>AVERAGE(基础属性系数!$L$72,基础属性系数!$L$79,基础属性系数!$L$86)*POWER(G4/$E$34,0.45)</f>
        <v>1.1140589582779077</v>
      </c>
      <c r="J24" s="34">
        <f>AVERAGE(基础属性系数!$L$72,基础属性系数!$L$79,基础属性系数!$L$86)*POWER(C4/$E$34,0.45)</f>
        <v>1.3080190141255335</v>
      </c>
      <c r="K24" s="34">
        <f>AVERAGE(基础属性系数!$L$72,基础属性系数!$L$79,基础属性系数!$L$86)*POWER(G4/$E$35,0.45)</f>
        <v>1.0263054011471655</v>
      </c>
      <c r="L24" s="34">
        <f>AVERAGE(基础属性系数!$L$72,基础属性系数!$L$79,基础属性系数!$L$86)*POWER(C4/$E$35,0.45)</f>
        <v>1.2049873743444648</v>
      </c>
      <c r="M24" s="34">
        <f>AVERAGE(基础属性系数!$L$72,基础属性系数!$L$79,基础属性系数!$L$86)*POWER(G4/$E$36,0.45)</f>
        <v>0.95752596430304637</v>
      </c>
      <c r="N24" s="34">
        <f>AVERAGE(基础属性系数!$L$72,基础属性系数!$L$79,基础属性系数!$L$86)*POWER(C4/$E$36,0.45)</f>
        <v>1.124233289917892</v>
      </c>
      <c r="O24" s="21">
        <v>11</v>
      </c>
      <c r="P24" s="21">
        <v>13</v>
      </c>
      <c r="Q24" s="21">
        <v>16</v>
      </c>
      <c r="R24" s="34">
        <f t="shared" ref="R24:R30" si="5">((O24-F24*$E24)*$J24+$I24*$E24*F24)/O24</f>
        <v>1.276280095895922</v>
      </c>
      <c r="S24" s="34">
        <f>((P24-G24*$E24)*$L24+$K24*$E24*G24)/P24</f>
        <v>1.1555062125359821</v>
      </c>
      <c r="T24" s="34">
        <f>((Q24-H24*$E24)*$N24+$M24*$E24*H24)/Q24</f>
        <v>1.0304604192595412</v>
      </c>
      <c r="U24" s="34">
        <f>AVERAGE(R24:T24)</f>
        <v>1.1540822425638151</v>
      </c>
    </row>
    <row r="25" spans="2:21" x14ac:dyDescent="0.3">
      <c r="B25" s="2" t="s">
        <v>81</v>
      </c>
      <c r="C25" s="2">
        <f>基础属性系数!$C$20</f>
        <v>100</v>
      </c>
      <c r="D25" s="2">
        <f>基础属性系数!C31</f>
        <v>60</v>
      </c>
      <c r="E25" s="2">
        <f>(C25-D25)/坦克类型系数!$CC$4</f>
        <v>2.4</v>
      </c>
      <c r="F25" s="2">
        <v>0.5</v>
      </c>
      <c r="G25" s="2">
        <v>1</v>
      </c>
      <c r="H25" s="2">
        <v>2.5</v>
      </c>
      <c r="I25" s="34">
        <f>AVERAGE(基础属性系数!$L$72,基础属性系数!$L$79,基础属性系数!$L$86)*POWER(G5/$E$34,0.45)</f>
        <v>1.1606118989596994</v>
      </c>
      <c r="J25" s="34">
        <f>AVERAGE(基础属性系数!$L$72,基础属性系数!$L$79,基础属性系数!$L$86)*POWER(C5/$E$34,0.45)</f>
        <v>1.3626769217010604</v>
      </c>
      <c r="K25" s="34">
        <f>AVERAGE(基础属性系数!$L$72,基础属性系数!$L$79,基础属性系数!$L$86)*POWER(G5/$E$35,0.45)</f>
        <v>1.0691914029211289</v>
      </c>
      <c r="L25" s="34">
        <f>AVERAGE(基础属性系数!$L$72,基础属性系数!$L$79,基础属性系数!$L$86)*POWER(C5/$E$35,0.45)</f>
        <v>1.2553399210776084</v>
      </c>
      <c r="M25" s="34">
        <f>AVERAGE(基础属性系数!$L$72,基础属性系数!$L$79,基础属性系数!$L$86)*POWER(G5/$E$36,0.45)</f>
        <v>0.99753789462886988</v>
      </c>
      <c r="N25" s="34">
        <f>AVERAGE(基础属性系数!$L$72,基础属性系数!$L$79,基础属性系数!$L$86)*POWER(C5/$E$36,0.45)</f>
        <v>1.1712113831948794</v>
      </c>
      <c r="O25" s="21">
        <v>11</v>
      </c>
      <c r="P25" s="33">
        <f t="shared" ref="P25:P30" si="6">$P$24/$O$24*O25</f>
        <v>13</v>
      </c>
      <c r="Q25" s="33">
        <f t="shared" ref="Q25:Q30" si="7">$Q$24/$O$24*O25</f>
        <v>16</v>
      </c>
      <c r="R25" s="34">
        <f t="shared" si="5"/>
        <v>1.3406334646747302</v>
      </c>
      <c r="S25" s="34">
        <f t="shared" ref="S25:S30" si="8">((P25-G25*$E25)*$L25+$K25*$E25*G25)/P25</f>
        <v>1.220974040802566</v>
      </c>
      <c r="T25" s="34">
        <f t="shared" ref="T25:T30" si="9">((Q25-H25*$E25)*$N25+$M25*$E25*H25)/Q25</f>
        <v>1.1060838249826259</v>
      </c>
      <c r="U25" s="34">
        <f t="shared" ref="U25:U30" si="10">AVERAGE(R25:T25)</f>
        <v>1.222563776819974</v>
      </c>
    </row>
    <row r="26" spans="2:21" x14ac:dyDescent="0.3">
      <c r="B26" s="2" t="s">
        <v>83</v>
      </c>
      <c r="C26" s="2">
        <f>基础属性系数!$C$20</f>
        <v>100</v>
      </c>
      <c r="D26" s="2">
        <f>基础属性系数!C32</f>
        <v>80</v>
      </c>
      <c r="E26" s="2">
        <f>(C26-D26)/坦克类型系数!$CC$4</f>
        <v>1.2</v>
      </c>
      <c r="F26" s="2">
        <v>0.5</v>
      </c>
      <c r="G26" s="2">
        <v>1</v>
      </c>
      <c r="H26" s="2">
        <v>2.5</v>
      </c>
      <c r="I26" s="34">
        <f>AVERAGE(基础属性系数!$L$72,基础属性系数!$L$79,基础属性系数!$L$86)*POWER(G6/$E$34,0.45)</f>
        <v>1.2049873743444646</v>
      </c>
      <c r="J26" s="34">
        <f>AVERAGE(基础属性系数!$L$72,基础属性系数!$L$79,基础属性系数!$L$86)*POWER(C6/$E$34,0.45)</f>
        <v>1.4147782625976462</v>
      </c>
      <c r="K26" s="34">
        <f>AVERAGE(基础属性系数!$L$72,基础属性系数!$L$79,基础属性系数!$L$86)*POWER(G6/$E$35,0.45)</f>
        <v>1.1100714566449075</v>
      </c>
      <c r="L26" s="34">
        <f>AVERAGE(基础属性系数!$L$72,基础属性系数!$L$79,基础属性系数!$L$86)*POWER(C6/$E$35,0.45)</f>
        <v>1.3033372798994713</v>
      </c>
      <c r="M26" s="34">
        <f>AVERAGE(基础属性系数!$L$72,基础属性系数!$L$79,基础属性系数!$L$86)*POWER(G6/$E$36,0.45)</f>
        <v>1.0356783086020087</v>
      </c>
      <c r="N26" s="34">
        <f>AVERAGE(基础属性系数!$L$72,基础属性系数!$L$79,基础属性系数!$L$86)*POWER(C6/$E$36,0.45)</f>
        <v>1.2159921251051655</v>
      </c>
      <c r="O26" s="21">
        <v>11</v>
      </c>
      <c r="P26" s="33">
        <f t="shared" si="6"/>
        <v>13</v>
      </c>
      <c r="Q26" s="33">
        <f t="shared" si="7"/>
        <v>16</v>
      </c>
      <c r="R26" s="34">
        <f t="shared" si="5"/>
        <v>1.4033351232383817</v>
      </c>
      <c r="S26" s="34">
        <f t="shared" si="8"/>
        <v>1.2854973577528963</v>
      </c>
      <c r="T26" s="34">
        <f t="shared" si="9"/>
        <v>1.1821832845108236</v>
      </c>
      <c r="U26" s="34">
        <f t="shared" si="10"/>
        <v>1.2903385885007006</v>
      </c>
    </row>
    <row r="27" spans="2:21" x14ac:dyDescent="0.3">
      <c r="B27" s="2" t="s">
        <v>85</v>
      </c>
      <c r="C27" s="2">
        <f>基础属性系数!$C$20</f>
        <v>100</v>
      </c>
      <c r="D27" s="2">
        <f>基础属性系数!C33</f>
        <v>55</v>
      </c>
      <c r="E27" s="2">
        <f>(C27-D27)/坦克类型系数!$CC$5</f>
        <v>3.15</v>
      </c>
      <c r="F27" s="2">
        <v>0.5</v>
      </c>
      <c r="G27" s="2">
        <v>1</v>
      </c>
      <c r="H27" s="2">
        <v>1.5</v>
      </c>
      <c r="I27" s="34">
        <f>AVERAGE(基础属性系数!$L$72,基础属性系数!$L$79,基础属性系数!$L$86)*POWER(G7/$E$34,0.45)</f>
        <v>1.1242332899178917</v>
      </c>
      <c r="J27" s="34">
        <f>AVERAGE(基础属性系数!$L$72,基础属性系数!$L$79,基础属性系数!$L$86)*POWER(C7/$E$34,0.45)</f>
        <v>1.2796136748423363</v>
      </c>
      <c r="K27" s="34">
        <f>AVERAGE(基础属性系数!$L$72,基础属性系数!$L$79,基础属性系数!$L$86)*POWER(G7/$E$35,0.45)</f>
        <v>1.0356783086020087</v>
      </c>
      <c r="L27" s="34">
        <f>AVERAGE(基础属性系数!$L$72,基础属性系数!$L$79,基础属性系数!$L$86)*POWER(C7/$E$35,0.45)</f>
        <v>1.1788195015302407</v>
      </c>
      <c r="M27" s="34">
        <f>AVERAGE(基础属性系数!$L$72,基础属性系数!$L$79,基础属性系数!$L$86)*POWER(G7/$E$36,0.45)</f>
        <v>0.96627073193165913</v>
      </c>
      <c r="N27" s="34">
        <f>AVERAGE(基础属性系数!$L$72,基础属性系数!$L$79,基础属性系数!$L$86)*POWER(C7/$E$36,0.45)</f>
        <v>1.0998190973956736</v>
      </c>
      <c r="O27" s="21">
        <v>12</v>
      </c>
      <c r="P27" s="33">
        <f t="shared" si="6"/>
        <v>14.181818181818183</v>
      </c>
      <c r="Q27" s="33">
        <f t="shared" si="7"/>
        <v>17.454545454545453</v>
      </c>
      <c r="R27" s="34">
        <f t="shared" si="5"/>
        <v>1.2592199993210031</v>
      </c>
      <c r="S27" s="34">
        <f t="shared" si="8"/>
        <v>1.1470256404086814</v>
      </c>
      <c r="T27" s="34">
        <f t="shared" si="9"/>
        <v>1.063667137525923</v>
      </c>
      <c r="U27" s="34">
        <f t="shared" si="10"/>
        <v>1.1566375924185357</v>
      </c>
    </row>
    <row r="28" spans="2:21" x14ac:dyDescent="0.3">
      <c r="B28" s="2" t="s">
        <v>86</v>
      </c>
      <c r="C28" s="2">
        <f>基础属性系数!$C$20</f>
        <v>100</v>
      </c>
      <c r="D28" s="2">
        <f>基础属性系数!C34</f>
        <v>80</v>
      </c>
      <c r="E28" s="2">
        <f>(C28-D28)/坦克类型系数!$CC$5</f>
        <v>1.4</v>
      </c>
      <c r="F28" s="2">
        <v>0.5</v>
      </c>
      <c r="G28" s="2">
        <v>1</v>
      </c>
      <c r="H28" s="2">
        <v>1.5</v>
      </c>
      <c r="I28" s="34">
        <f>AVERAGE(基础属性系数!$L$72,基础属性系数!$L$79,基础属性系数!$L$86)*POWER(G8/$E$34,0.45)</f>
        <v>1.1972103681745394</v>
      </c>
      <c r="J28" s="34">
        <f>AVERAGE(基础属性系数!$L$72,基础属性系数!$L$79,基础属性系数!$L$86)*POWER(C8/$E$34,0.45)</f>
        <v>1.3626769217010604</v>
      </c>
      <c r="K28" s="34">
        <f>AVERAGE(基础属性系数!$L$72,基础属性系数!$L$79,基础属性系数!$L$86)*POWER(G8/$E$35,0.45)</f>
        <v>1.1029070391985571</v>
      </c>
      <c r="L28" s="34">
        <f>AVERAGE(基础属性系数!$L$72,基础属性系数!$L$79,基础属性系数!$L$86)*POWER(C8/$E$35,0.45)</f>
        <v>1.2553399210776084</v>
      </c>
      <c r="M28" s="34">
        <f>AVERAGE(基础属性系数!$L$72,基础属性系数!$L$79,基础属性系数!$L$86)*POWER(G8/$E$36,0.45)</f>
        <v>1.0289940256231624</v>
      </c>
      <c r="N28" s="34">
        <f>AVERAGE(基础属性系数!$L$72,基础属性系数!$L$79,基础属性系数!$L$86)*POWER(C8/$E$36,0.45)</f>
        <v>1.1712113831948794</v>
      </c>
      <c r="O28" s="21">
        <v>12</v>
      </c>
      <c r="P28" s="33">
        <f t="shared" si="6"/>
        <v>14.181818181818183</v>
      </c>
      <c r="Q28" s="33">
        <f t="shared" si="7"/>
        <v>17.454545454545453</v>
      </c>
      <c r="R28" s="34">
        <f t="shared" si="5"/>
        <v>1.3530247060786802</v>
      </c>
      <c r="S28" s="34">
        <f t="shared" si="8"/>
        <v>1.2402920596613429</v>
      </c>
      <c r="T28" s="34">
        <f t="shared" si="9"/>
        <v>1.1541008573620322</v>
      </c>
      <c r="U28" s="34">
        <f t="shared" si="10"/>
        <v>1.2491392077006851</v>
      </c>
    </row>
    <row r="29" spans="2:21" x14ac:dyDescent="0.3">
      <c r="B29" s="2" t="s">
        <v>87</v>
      </c>
      <c r="C29" s="2">
        <f>基础属性系数!$C$20</f>
        <v>100</v>
      </c>
      <c r="D29" s="2">
        <f>基础属性系数!C35</f>
        <v>70</v>
      </c>
      <c r="E29" s="2">
        <f>(C29-D29)/坦克类型系数!$CC$6</f>
        <v>2.4</v>
      </c>
      <c r="F29" s="2">
        <v>0.5</v>
      </c>
      <c r="G29" s="2">
        <v>1</v>
      </c>
      <c r="H29" s="2">
        <v>1</v>
      </c>
      <c r="I29" s="34">
        <f>AVERAGE(基础属性系数!$L$72,基础属性系数!$L$79,基础属性系数!$L$86)*POWER(G9/$E$34,0.45)</f>
        <v>1.1573623939041093</v>
      </c>
      <c r="J29" s="34">
        <f>AVERAGE(基础属性系数!$L$72,基础属性系数!$L$79,基础属性系数!$L$86)*POWER(C9/$E$34,0.45)</f>
        <v>1.2796136748423363</v>
      </c>
      <c r="K29" s="34">
        <f>AVERAGE(基础属性系数!$L$72,基础属性系数!$L$79,基础属性系数!$L$86)*POWER(G9/$E$35,0.45)</f>
        <v>1.0661978588498509</v>
      </c>
      <c r="L29" s="34">
        <f>AVERAGE(基础属性系数!$L$72,基础属性系数!$L$79,基础属性系数!$L$86)*POWER(C9/$E$35,0.45)</f>
        <v>1.1788195015302407</v>
      </c>
      <c r="M29" s="34">
        <f>AVERAGE(基础属性系数!$L$72,基础属性系数!$L$79,基础属性系数!$L$86)*POWER(G9/$E$36,0.45)</f>
        <v>0.99474496752322439</v>
      </c>
      <c r="N29" s="34">
        <f>AVERAGE(基础属性系数!$L$72,基础属性系数!$L$79,基础属性系数!$L$86)*POWER(C9/$E$36,0.45)</f>
        <v>1.0998190973956736</v>
      </c>
      <c r="O29" s="21">
        <v>10</v>
      </c>
      <c r="P29" s="33">
        <f t="shared" si="6"/>
        <v>11.818181818181818</v>
      </c>
      <c r="Q29" s="33">
        <f t="shared" si="7"/>
        <v>14.545454545454547</v>
      </c>
      <c r="R29" s="34">
        <f t="shared" si="5"/>
        <v>1.2649435211297493</v>
      </c>
      <c r="S29" s="34">
        <f t="shared" si="8"/>
        <v>1.1559486448628384</v>
      </c>
      <c r="T29" s="34">
        <f t="shared" si="9"/>
        <v>1.0824818659667195</v>
      </c>
      <c r="U29" s="34">
        <f t="shared" si="10"/>
        <v>1.1677913439864358</v>
      </c>
    </row>
    <row r="30" spans="2:21" x14ac:dyDescent="0.3">
      <c r="B30" s="2" t="s">
        <v>88</v>
      </c>
      <c r="C30" s="2">
        <f>基础属性系数!$C$20</f>
        <v>100</v>
      </c>
      <c r="D30" s="2">
        <f>基础属性系数!C36</f>
        <v>90</v>
      </c>
      <c r="E30" s="2">
        <f>(C30-D30)/坦克类型系数!$CC$6</f>
        <v>0.8</v>
      </c>
      <c r="F30" s="2">
        <v>0.5</v>
      </c>
      <c r="G30" s="2">
        <v>1</v>
      </c>
      <c r="H30" s="2">
        <v>1</v>
      </c>
      <c r="I30" s="34">
        <f>AVERAGE(基础属性系数!$L$72,基础属性系数!$L$79,基础属性系数!$L$86)*POWER(G10/$E$34,0.45)</f>
        <v>1.2080810584977872</v>
      </c>
      <c r="J30" s="34">
        <f>AVERAGE(基础属性系数!$L$72,基础属性系数!$L$79,基础属性系数!$L$86)*POWER(C10/$E$34,0.45)</f>
        <v>1.3356897121541116</v>
      </c>
      <c r="K30" s="34">
        <f>AVERAGE(基础属性系数!$L$72,基础属性系数!$L$79,基础属性系数!$L$86)*POWER(G10/$E$35,0.45)</f>
        <v>1.1129214537051229</v>
      </c>
      <c r="L30" s="34">
        <f>AVERAGE(基础属性系数!$L$72,基础属性系数!$L$79,基础属性系数!$L$86)*POWER(C10/$E$35,0.45)</f>
        <v>1.2304784730239633</v>
      </c>
      <c r="M30" s="34">
        <f>AVERAGE(基础属性系数!$L$72,基础属性系数!$L$79,基础属性系数!$L$86)*POWER(G10/$E$36,0.45)</f>
        <v>1.0383373087205829</v>
      </c>
      <c r="N30" s="34">
        <f>AVERAGE(基础属性系数!$L$72,基础属性系数!$L$79,基础属性系数!$L$86)*POWER(C10/$E$36,0.45)</f>
        <v>1.1480160633661738</v>
      </c>
      <c r="O30" s="21">
        <v>10</v>
      </c>
      <c r="P30" s="33">
        <f t="shared" si="6"/>
        <v>11.818181818181818</v>
      </c>
      <c r="Q30" s="33">
        <f t="shared" si="7"/>
        <v>14.545454545454547</v>
      </c>
      <c r="R30" s="34">
        <f t="shared" si="5"/>
        <v>1.3305853660078584</v>
      </c>
      <c r="S30" s="34">
        <f t="shared" si="8"/>
        <v>1.2225207671008416</v>
      </c>
      <c r="T30" s="34">
        <f t="shared" si="9"/>
        <v>1.1419837318606663</v>
      </c>
      <c r="U30" s="34">
        <f t="shared" si="10"/>
        <v>1.2316966216564553</v>
      </c>
    </row>
    <row r="31" spans="2:21" x14ac:dyDescent="0.3">
      <c r="F31" s="130"/>
      <c r="G31" s="130"/>
      <c r="H31" s="130"/>
    </row>
    <row r="32" spans="2:21" x14ac:dyDescent="0.3">
      <c r="B32" s="263" t="s">
        <v>124</v>
      </c>
      <c r="C32" s="264"/>
      <c r="D32" s="264"/>
      <c r="E32" s="264"/>
      <c r="F32" s="265"/>
      <c r="G32" s="25"/>
      <c r="L32" s="109" t="s">
        <v>125</v>
      </c>
      <c r="M32" s="107" t="s">
        <v>126</v>
      </c>
    </row>
    <row r="33" spans="2:14" x14ac:dyDescent="0.3">
      <c r="B33" s="39" t="s">
        <v>72</v>
      </c>
      <c r="C33" s="39" t="s">
        <v>127</v>
      </c>
      <c r="D33" s="39" t="s">
        <v>128</v>
      </c>
      <c r="E33" s="39" t="s">
        <v>129</v>
      </c>
      <c r="F33" s="39" t="s">
        <v>130</v>
      </c>
      <c r="J33" s="130"/>
      <c r="L33" s="1">
        <v>2</v>
      </c>
      <c r="M33" s="249" t="s">
        <v>99</v>
      </c>
      <c r="N33" s="36" t="s">
        <v>131</v>
      </c>
    </row>
    <row r="34" spans="2:14" x14ac:dyDescent="0.3">
      <c r="B34" s="2" t="s">
        <v>132</v>
      </c>
      <c r="C34" s="34">
        <f>AVERAGE(R24:R30)</f>
        <v>1.3182888966209034</v>
      </c>
      <c r="D34" s="242">
        <v>800</v>
      </c>
      <c r="E34" s="32">
        <v>1</v>
      </c>
      <c r="F34" s="42">
        <f>$H$40*E34</f>
        <v>300</v>
      </c>
      <c r="J34" s="130"/>
      <c r="L34" s="1">
        <v>4</v>
      </c>
      <c r="M34" s="249" t="s">
        <v>102</v>
      </c>
      <c r="N34" s="36" t="s">
        <v>133</v>
      </c>
    </row>
    <row r="35" spans="2:14" x14ac:dyDescent="0.3">
      <c r="B35" s="2" t="s">
        <v>134</v>
      </c>
      <c r="C35" s="34">
        <f>AVERAGE(S24:S30)</f>
        <v>1.2039663890178784</v>
      </c>
      <c r="D35" s="243">
        <f>D34/C34/O24*P24*C35</f>
        <v>863.46437263423684</v>
      </c>
      <c r="E35" s="32">
        <v>1.2</v>
      </c>
      <c r="F35" s="42">
        <f>$H$40*E35</f>
        <v>360</v>
      </c>
      <c r="J35" s="130"/>
      <c r="L35" s="1">
        <v>1</v>
      </c>
      <c r="M35" s="249" t="s">
        <v>101</v>
      </c>
      <c r="N35" s="36" t="s">
        <v>135</v>
      </c>
    </row>
    <row r="36" spans="2:14" x14ac:dyDescent="0.3">
      <c r="B36" s="2" t="s">
        <v>136</v>
      </c>
      <c r="C36" s="34">
        <f>AVERAGE(T24:T30)</f>
        <v>1.1087087316383331</v>
      </c>
      <c r="D36" s="243">
        <f>D34/O24/C34*C36*Q24</f>
        <v>978.64269366331098</v>
      </c>
      <c r="E36" s="32">
        <v>1.4</v>
      </c>
      <c r="F36" s="42">
        <f>$H$40*E36</f>
        <v>420</v>
      </c>
      <c r="L36" s="1">
        <v>6</v>
      </c>
      <c r="M36" s="249" t="s">
        <v>103</v>
      </c>
      <c r="N36" s="36" t="s">
        <v>137</v>
      </c>
    </row>
    <row r="37" spans="2:14" x14ac:dyDescent="0.3">
      <c r="L37" s="1">
        <v>7</v>
      </c>
      <c r="M37" s="249" t="s">
        <v>100</v>
      </c>
      <c r="N37" s="36" t="s">
        <v>138</v>
      </c>
    </row>
    <row r="38" spans="2:14" x14ac:dyDescent="0.3">
      <c r="B38" s="263" t="s">
        <v>139</v>
      </c>
      <c r="C38" s="264"/>
      <c r="D38" s="264"/>
      <c r="E38" s="264"/>
      <c r="F38" s="264"/>
      <c r="G38" s="264"/>
      <c r="H38" s="265"/>
    </row>
    <row r="39" spans="2:14" x14ac:dyDescent="0.3">
      <c r="B39" s="2" t="s">
        <v>72</v>
      </c>
      <c r="C39" s="2" t="s">
        <v>128</v>
      </c>
      <c r="D39" s="2" t="s">
        <v>140</v>
      </c>
      <c r="E39" s="2" t="s">
        <v>141</v>
      </c>
      <c r="F39" s="2" t="s">
        <v>142</v>
      </c>
      <c r="G39" s="2" t="s">
        <v>143</v>
      </c>
      <c r="H39" s="2" t="s">
        <v>144</v>
      </c>
      <c r="I39" s="1" t="s">
        <v>145</v>
      </c>
    </row>
    <row r="40" spans="2:14" x14ac:dyDescent="0.3">
      <c r="B40" s="2" t="s">
        <v>79</v>
      </c>
      <c r="C40" s="42">
        <f>$D$34</f>
        <v>800</v>
      </c>
      <c r="D40" s="34">
        <f>O24/60*I14</f>
        <v>8.6952380952380945</v>
      </c>
      <c r="E40" s="34">
        <f>$D$34/D40</f>
        <v>92.004381161007672</v>
      </c>
      <c r="F40" s="34">
        <f t="shared" ref="F40:F46" si="11">U24</f>
        <v>1.1540822425638151</v>
      </c>
      <c r="G40" s="42">
        <f t="shared" ref="G40:G46" si="12">E40/F40</f>
        <v>79.720818645141122</v>
      </c>
      <c r="H40" s="244">
        <v>300</v>
      </c>
      <c r="I40" s="130">
        <f>$F$34</f>
        <v>300</v>
      </c>
      <c r="J40" s="130"/>
      <c r="K40" s="130"/>
    </row>
    <row r="41" spans="2:14" x14ac:dyDescent="0.3">
      <c r="B41" s="2" t="s">
        <v>81</v>
      </c>
      <c r="C41" s="42">
        <f>$D$34</f>
        <v>800</v>
      </c>
      <c r="D41" s="34">
        <f>O25/60*I15</f>
        <v>15.407746478873239</v>
      </c>
      <c r="E41" s="34">
        <f t="shared" ref="E41:E46" si="13">$D$34/D41</f>
        <v>51.921934274875454</v>
      </c>
      <c r="F41" s="34">
        <f t="shared" si="11"/>
        <v>1.222563776819974</v>
      </c>
      <c r="G41" s="42">
        <f t="shared" si="12"/>
        <v>42.469714267120075</v>
      </c>
      <c r="H41" s="245">
        <f t="shared" ref="H41:H46" si="14">$H$40/$C$4*VLOOKUP(B41,$B$3:$C$10,2,FALSE)</f>
        <v>328.57142857142856</v>
      </c>
      <c r="I41" s="130">
        <f>$F$34</f>
        <v>300</v>
      </c>
      <c r="J41" s="130"/>
      <c r="K41" s="130"/>
    </row>
    <row r="42" spans="2:14" x14ac:dyDescent="0.3">
      <c r="B42" s="2" t="s">
        <v>83</v>
      </c>
      <c r="C42" s="42">
        <f>$D$34</f>
        <v>800</v>
      </c>
      <c r="D42" s="34">
        <f>O26/60*I16</f>
        <v>3.8499999999999996</v>
      </c>
      <c r="E42" s="34">
        <f t="shared" si="13"/>
        <v>207.79220779220782</v>
      </c>
      <c r="F42" s="34">
        <f t="shared" si="11"/>
        <v>1.2903385885007006</v>
      </c>
      <c r="G42" s="42">
        <f t="shared" si="12"/>
        <v>161.03696320021743</v>
      </c>
      <c r="H42" s="245">
        <f t="shared" si="14"/>
        <v>357.14285714285717</v>
      </c>
      <c r="I42" s="130">
        <f>$F$34</f>
        <v>300</v>
      </c>
      <c r="J42" s="130"/>
      <c r="K42" s="130"/>
    </row>
    <row r="43" spans="2:14" x14ac:dyDescent="0.3">
      <c r="B43" s="2" t="s">
        <v>85</v>
      </c>
      <c r="C43" s="42">
        <f>$D$35</f>
        <v>863.46437263423684</v>
      </c>
      <c r="D43" s="34">
        <f>O27/60*I17</f>
        <v>9.3176470588235301</v>
      </c>
      <c r="E43" s="34">
        <f t="shared" si="13"/>
        <v>85.858585858585855</v>
      </c>
      <c r="F43" s="34">
        <f t="shared" si="11"/>
        <v>1.1566375924185357</v>
      </c>
      <c r="G43" s="42">
        <f t="shared" si="12"/>
        <v>74.231190842634703</v>
      </c>
      <c r="H43" s="245">
        <f t="shared" si="14"/>
        <v>285.71428571428572</v>
      </c>
      <c r="I43" s="130">
        <f>$F$35</f>
        <v>360</v>
      </c>
      <c r="J43" s="130"/>
      <c r="K43" s="130"/>
    </row>
    <row r="44" spans="2:14" x14ac:dyDescent="0.3">
      <c r="B44" s="2" t="s">
        <v>86</v>
      </c>
      <c r="C44" s="42">
        <f>$D$35</f>
        <v>863.46437263423684</v>
      </c>
      <c r="D44" s="34">
        <f>O28/60*I18</f>
        <v>7.2</v>
      </c>
      <c r="E44" s="34">
        <f t="shared" si="13"/>
        <v>111.11111111111111</v>
      </c>
      <c r="F44" s="34">
        <f t="shared" si="11"/>
        <v>1.2491392077006851</v>
      </c>
      <c r="G44" s="42">
        <f t="shared" si="12"/>
        <v>88.950142967360307</v>
      </c>
      <c r="H44" s="245">
        <f t="shared" si="14"/>
        <v>328.57142857142856</v>
      </c>
      <c r="I44" s="130">
        <f>$F$35</f>
        <v>360</v>
      </c>
      <c r="J44" s="130"/>
      <c r="K44" s="130"/>
    </row>
    <row r="45" spans="2:14" x14ac:dyDescent="0.3">
      <c r="B45" s="2" t="s">
        <v>87</v>
      </c>
      <c r="C45" s="42">
        <f>$D$36</f>
        <v>978.64269366331098</v>
      </c>
      <c r="D45" s="34">
        <f t="shared" ref="D45:D46" si="15">O29/60*I19</f>
        <v>2.5555555555555554</v>
      </c>
      <c r="E45" s="34">
        <f t="shared" si="13"/>
        <v>313.04347826086956</v>
      </c>
      <c r="F45" s="34">
        <f t="shared" si="11"/>
        <v>1.1677913439864358</v>
      </c>
      <c r="G45" s="42">
        <f t="shared" si="12"/>
        <v>268.06456467835034</v>
      </c>
      <c r="H45" s="245">
        <f t="shared" si="14"/>
        <v>285.71428571428572</v>
      </c>
      <c r="I45" s="130">
        <f>$F$36</f>
        <v>420</v>
      </c>
      <c r="J45" s="130"/>
      <c r="K45" s="130"/>
    </row>
    <row r="46" spans="2:14" x14ac:dyDescent="0.3">
      <c r="B46" s="2" t="s">
        <v>88</v>
      </c>
      <c r="C46" s="42">
        <f>$D$36</f>
        <v>978.64269366331098</v>
      </c>
      <c r="D46" s="34">
        <f t="shared" si="15"/>
        <v>1.8333333333333333</v>
      </c>
      <c r="E46" s="34">
        <f t="shared" si="13"/>
        <v>436.36363636363637</v>
      </c>
      <c r="F46" s="34">
        <f t="shared" si="11"/>
        <v>1.2316966216564553</v>
      </c>
      <c r="G46" s="42">
        <f t="shared" si="12"/>
        <v>354.2785038874182</v>
      </c>
      <c r="H46" s="245">
        <f t="shared" si="14"/>
        <v>314.28571428571433</v>
      </c>
      <c r="I46" s="130">
        <f>$F$36</f>
        <v>420</v>
      </c>
      <c r="J46" s="130"/>
      <c r="K46" s="130"/>
    </row>
    <row r="47" spans="2:14" x14ac:dyDescent="0.3">
      <c r="B47" s="25"/>
      <c r="C47" s="124"/>
      <c r="D47" s="133"/>
      <c r="E47" s="133"/>
      <c r="F47" s="133"/>
      <c r="G47" s="124"/>
      <c r="H47" s="30"/>
      <c r="I47" s="130"/>
      <c r="J47" s="130"/>
      <c r="K47" s="130"/>
    </row>
    <row r="48" spans="2:14" x14ac:dyDescent="0.3">
      <c r="B48" s="262" t="s">
        <v>146</v>
      </c>
      <c r="C48" s="262"/>
      <c r="D48" s="262"/>
      <c r="E48" s="262"/>
      <c r="F48" s="262"/>
      <c r="G48" s="262"/>
      <c r="H48" s="262"/>
      <c r="I48" s="25"/>
      <c r="J48" s="25"/>
      <c r="K48" s="25"/>
    </row>
    <row r="49" spans="2:14" x14ac:dyDescent="0.3">
      <c r="B49" s="39" t="s">
        <v>72</v>
      </c>
      <c r="C49" s="246" t="s">
        <v>147</v>
      </c>
      <c r="D49" s="247" t="s">
        <v>148</v>
      </c>
      <c r="E49" s="247" t="s">
        <v>149</v>
      </c>
      <c r="F49" s="247" t="s">
        <v>150</v>
      </c>
      <c r="G49" s="246" t="s">
        <v>151</v>
      </c>
      <c r="H49" s="145" t="s">
        <v>152</v>
      </c>
    </row>
    <row r="50" spans="2:14" x14ac:dyDescent="0.3">
      <c r="B50" s="2" t="s">
        <v>79</v>
      </c>
      <c r="C50" s="248">
        <f t="shared" ref="C50:C56" si="16">$D$34/($G40*VLOOKUP(B50,$B$23:$U$30,MATCH("对轻坦输出",$B$23:$U$23,0),FALSE))/$J14*30</f>
        <v>9.072357337710649</v>
      </c>
      <c r="D50" s="248">
        <f t="shared" ref="D50:D56" si="17">$D$35/($G40*VLOOKUP(B50,$B$23:$U$30,MATCH("对中坦输出",$B$23:$U$23,0),FALSE))/$J14*30</f>
        <v>10.815542171813123</v>
      </c>
      <c r="E50" s="248">
        <f t="shared" ref="E50:E56" si="18">$D$36/($G40*VLOOKUP(B50,$B$23:$U$30,MATCH("对重坦输出",$B$23:$U$23,0),FALSE))/$J14*30</f>
        <v>13.745767701183105</v>
      </c>
      <c r="F50" s="248">
        <f>$D$34*(1-基础属性系数!$C$111)/($G40*VLOOKUP(B50,$B$23:$U$30,MATCH("对轻坦输出",$B$23:$U$23,0),FALSE))/$J14*30</f>
        <v>5.4434144026263898</v>
      </c>
      <c r="G50" s="248">
        <f>$D$35*(1-基础属性系数!$C$111)/($G40*VLOOKUP(B50,$B$23:$U$30,MATCH("对中坦输出",$B$23:$U$23,0),FALSE))/$J14*30</f>
        <v>6.4893253030878721</v>
      </c>
      <c r="H50" s="248">
        <f>$D$36*(1-基础属性系数!$C$111)/($G40*VLOOKUP(B50,$B$23:$U$30,MATCH("对重坦输出",$B$23:$U$23,0),FALSE))/$J14*30</f>
        <v>8.2474606207098624</v>
      </c>
      <c r="J50" s="250"/>
    </row>
    <row r="51" spans="2:14" x14ac:dyDescent="0.3">
      <c r="B51" s="2" t="s">
        <v>81</v>
      </c>
      <c r="C51" s="248">
        <f t="shared" si="16"/>
        <v>12.257342385113589</v>
      </c>
      <c r="D51" s="248">
        <f t="shared" si="17"/>
        <v>14.526278919799994</v>
      </c>
      <c r="E51" s="248">
        <f t="shared" si="18"/>
        <v>18.174082833656236</v>
      </c>
      <c r="F51" s="248">
        <f>$D$34*(1-基础属性系数!$C$111)/($G41*VLOOKUP(B51,$B$23:$U$30,MATCH("对轻坦输出",$B$23:$U$23,0),FALSE))/$J15*30</f>
        <v>7.3544054310681535</v>
      </c>
      <c r="G51" s="248">
        <f>$D$35*(1-基础属性系数!$C$111)/($G41*VLOOKUP(B51,$B$23:$U$30,MATCH("对中坦输出",$B$23:$U$23,0),FALSE))/$J15*30</f>
        <v>8.715767351879995</v>
      </c>
      <c r="H51" s="248">
        <f>$D$36*(1-基础属性系数!$C$111)/($G41*VLOOKUP(B51,$B$23:$U$30,MATCH("对重坦输出",$B$23:$U$23,0),FALSE))/$J15*30</f>
        <v>10.904449700193739</v>
      </c>
      <c r="J51" s="250"/>
      <c r="N51" s="250"/>
    </row>
    <row r="52" spans="2:14" x14ac:dyDescent="0.3">
      <c r="B52" s="2" t="s">
        <v>83</v>
      </c>
      <c r="C52" s="248">
        <f t="shared" si="16"/>
        <v>9.65454007022376</v>
      </c>
      <c r="D52" s="248">
        <f t="shared" si="17"/>
        <v>11.375650275944173</v>
      </c>
      <c r="E52" s="248">
        <f t="shared" si="18"/>
        <v>14.019816882033812</v>
      </c>
      <c r="F52" s="248">
        <f>$D$34*(1-基础属性系数!$C$111)/($G42*VLOOKUP(B52,$B$23:$U$30,MATCH("对轻坦输出",$B$23:$U$23,0),FALSE))/$J16*30</f>
        <v>5.7927240421342558</v>
      </c>
      <c r="G52" s="248">
        <f>$D$35*(1-基础属性系数!$C$111)/($G42*VLOOKUP(B52,$B$23:$U$30,MATCH("对中坦输出",$B$23:$U$23,0),FALSE))/$J16*30</f>
        <v>6.8253901655665032</v>
      </c>
      <c r="H52" s="248">
        <f>$D$36*(1-基础属性系数!$C$111)/($G42*VLOOKUP(B52,$B$23:$U$30,MATCH("对重坦输出",$B$23:$U$23,0),FALSE))/$J16*30</f>
        <v>8.4118901292202874</v>
      </c>
      <c r="J52" s="250"/>
      <c r="N52" s="250"/>
    </row>
    <row r="53" spans="2:14" x14ac:dyDescent="0.3">
      <c r="B53" s="2" t="s">
        <v>85</v>
      </c>
      <c r="C53" s="248">
        <f t="shared" si="16"/>
        <v>10.103884566211146</v>
      </c>
      <c r="D53" s="248">
        <f t="shared" si="17"/>
        <v>11.972126534391446</v>
      </c>
      <c r="E53" s="248">
        <f t="shared" si="18"/>
        <v>14.632496130750882</v>
      </c>
      <c r="F53" s="248">
        <f>$D$34*(1-基础属性系数!$C$111)/($G43*VLOOKUP(B53,$B$23:$U$30,MATCH("对轻坦输出",$B$23:$U$23,0),FALSE))/$J17*30</f>
        <v>6.0623307397266881</v>
      </c>
      <c r="G53" s="248">
        <f>$D$35*(1-基础属性系数!$C$111)/($G43*VLOOKUP(B53,$B$23:$U$30,MATCH("对中坦输出",$B$23:$U$23,0),FALSE))/$J17*30</f>
        <v>7.183275920634868</v>
      </c>
      <c r="H53" s="248">
        <f>$D$36*(1-基础属性系数!$C$111)/($G43*VLOOKUP(B53,$B$23:$U$30,MATCH("对重坦输出",$B$23:$U$23,0),FALSE))/$J17*30</f>
        <v>8.7794976784505288</v>
      </c>
    </row>
    <row r="54" spans="2:14" x14ac:dyDescent="0.3">
      <c r="B54" s="2" t="s">
        <v>86</v>
      </c>
      <c r="C54" s="248">
        <f t="shared" si="16"/>
        <v>9.4959751553462137</v>
      </c>
      <c r="D54" s="248">
        <f t="shared" si="17"/>
        <v>11.180874404512013</v>
      </c>
      <c r="E54" s="248">
        <f t="shared" si="18"/>
        <v>13.618701594998575</v>
      </c>
      <c r="F54" s="248">
        <f>$D$34*(1-基础属性系数!$C$111)/($G44*VLOOKUP(B54,$B$23:$U$30,MATCH("对轻坦输出",$B$23:$U$23,0),FALSE))/$J18*30</f>
        <v>5.6975850932077279</v>
      </c>
      <c r="G54" s="248">
        <f>$D$35*(1-基础属性系数!$C$111)/($G44*VLOOKUP(B54,$B$23:$U$30,MATCH("对中坦输出",$B$23:$U$23,0),FALSE))/$J18*30</f>
        <v>6.7085246427072081</v>
      </c>
      <c r="H54" s="248">
        <f>$D$36*(1-基础属性系数!$C$111)/($G44*VLOOKUP(B54,$B$23:$U$30,MATCH("对重坦输出",$B$23:$U$23,0),FALSE))/$J18*30</f>
        <v>8.171220956999143</v>
      </c>
    </row>
    <row r="55" spans="2:14" x14ac:dyDescent="0.3">
      <c r="B55" s="2" t="s">
        <v>87</v>
      </c>
      <c r="C55" s="248">
        <f t="shared" si="16"/>
        <v>8.1667376578872144</v>
      </c>
      <c r="D55" s="248">
        <f t="shared" si="17"/>
        <v>9.6457418693991261</v>
      </c>
      <c r="E55" s="248">
        <f t="shared" si="18"/>
        <v>11.674365372528523</v>
      </c>
      <c r="F55" s="248">
        <f>$D$34*(1-基础属性系数!$C$111)/($G45*VLOOKUP(B55,$B$23:$U$30,MATCH("对轻坦输出",$B$23:$U$23,0),FALSE))/$J19*30</f>
        <v>4.9000425947323283</v>
      </c>
      <c r="G55" s="248">
        <f>$D$35*(1-基础属性系数!$C$111)/($G45*VLOOKUP(B55,$B$23:$U$30,MATCH("对中坦输出",$B$23:$U$23,0),FALSE))/$J19*30</f>
        <v>5.7874451216394753</v>
      </c>
      <c r="H55" s="248">
        <f>$D$36*(1-基础属性系数!$C$111)/($G45*VLOOKUP(B55,$B$23:$U$30,MATCH("对重坦输出",$B$23:$U$23,0),FALSE))/$J19*30</f>
        <v>7.004619223517115</v>
      </c>
    </row>
    <row r="56" spans="2:14" x14ac:dyDescent="0.3">
      <c r="B56" s="2" t="s">
        <v>88</v>
      </c>
      <c r="C56" s="248">
        <f t="shared" si="16"/>
        <v>8.4854024804579833</v>
      </c>
      <c r="D56" s="248">
        <f t="shared" si="17"/>
        <v>9.9681228092929306</v>
      </c>
      <c r="E56" s="248">
        <f t="shared" si="18"/>
        <v>12.094542452027076</v>
      </c>
      <c r="F56" s="248">
        <f>$D$34*(1-基础属性系数!$C$111)/($G46*VLOOKUP(B56,$B$23:$U$30,MATCH("对轻坦输出",$B$23:$U$23,0),FALSE))/$J20*30</f>
        <v>5.0912414882747896</v>
      </c>
      <c r="G56" s="248">
        <f>$D$35*(1-基础属性系数!$C$111)/($G46*VLOOKUP(B56,$B$23:$U$30,MATCH("对中坦输出",$B$23:$U$23,0),FALSE))/$J20*30</f>
        <v>5.9808736855757569</v>
      </c>
      <c r="H56" s="248">
        <f>$D$36*(1-基础属性系数!$C$111)/($G46*VLOOKUP(B56,$B$23:$U$30,MATCH("对重坦输出",$B$23:$U$23,0),FALSE))/$J20*30</f>
        <v>7.2567254712162441</v>
      </c>
      <c r="J56" s="250"/>
    </row>
  </sheetData>
  <mergeCells count="6">
    <mergeCell ref="B48:H48"/>
    <mergeCell ref="B2:G2"/>
    <mergeCell ref="B12:K12"/>
    <mergeCell ref="B22:U22"/>
    <mergeCell ref="B32:F32"/>
    <mergeCell ref="B38:H38"/>
  </mergeCells>
  <phoneticPr fontId="34" type="noConversion"/>
  <pageMargins left="0.7" right="0.7" top="0.75" bottom="0.75" header="0.3" footer="0.3"/>
  <pageSetup paperSize="9"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U140"/>
  <sheetViews>
    <sheetView topLeftCell="A82" workbookViewId="0">
      <selection activeCell="E129" sqref="E129"/>
    </sheetView>
  </sheetViews>
  <sheetFormatPr defaultColWidth="9" defaultRowHeight="14.25" x14ac:dyDescent="0.3"/>
  <cols>
    <col min="1" max="1" width="9" style="1"/>
    <col min="2" max="2" width="10.875" style="1" customWidth="1"/>
    <col min="3" max="3" width="9" style="1"/>
    <col min="4" max="4" width="9" style="1" customWidth="1"/>
    <col min="5" max="16384" width="9" style="1"/>
  </cols>
  <sheetData>
    <row r="2" spans="2:7" x14ac:dyDescent="0.3">
      <c r="B2" s="107" t="s">
        <v>153</v>
      </c>
    </row>
    <row r="3" spans="2:7" x14ac:dyDescent="0.3">
      <c r="B3" s="36" t="s">
        <v>154</v>
      </c>
    </row>
    <row r="4" spans="2:7" x14ac:dyDescent="0.3">
      <c r="B4" s="36" t="s">
        <v>155</v>
      </c>
    </row>
    <row r="5" spans="2:7" x14ac:dyDescent="0.3">
      <c r="B5" s="36" t="s">
        <v>156</v>
      </c>
    </row>
    <row r="6" spans="2:7" x14ac:dyDescent="0.3">
      <c r="B6" s="36" t="s">
        <v>157</v>
      </c>
    </row>
    <row r="7" spans="2:7" x14ac:dyDescent="0.3">
      <c r="B7" s="36"/>
    </row>
    <row r="8" spans="2:7" x14ac:dyDescent="0.3">
      <c r="B8" s="107" t="s">
        <v>158</v>
      </c>
    </row>
    <row r="9" spans="2:7" x14ac:dyDescent="0.3">
      <c r="B9" s="36" t="s">
        <v>159</v>
      </c>
    </row>
    <row r="10" spans="2:7" x14ac:dyDescent="0.3">
      <c r="B10" s="36" t="s">
        <v>160</v>
      </c>
    </row>
    <row r="11" spans="2:7" x14ac:dyDescent="0.3">
      <c r="B11" s="36"/>
    </row>
    <row r="12" spans="2:7" x14ac:dyDescent="0.3">
      <c r="B12" s="36" t="s">
        <v>161</v>
      </c>
      <c r="G12" s="1" t="s">
        <v>162</v>
      </c>
    </row>
    <row r="13" spans="2:7" x14ac:dyDescent="0.3">
      <c r="B13" s="36" t="s">
        <v>163</v>
      </c>
    </row>
    <row r="14" spans="2:7" x14ac:dyDescent="0.3">
      <c r="B14" s="36" t="s">
        <v>164</v>
      </c>
    </row>
    <row r="16" spans="2:7" x14ac:dyDescent="0.3">
      <c r="B16" s="262" t="s">
        <v>165</v>
      </c>
      <c r="C16" s="262"/>
    </row>
    <row r="17" spans="2:5" x14ac:dyDescent="0.3">
      <c r="B17" s="2" t="s">
        <v>166</v>
      </c>
      <c r="C17" s="2" t="s">
        <v>167</v>
      </c>
    </row>
    <row r="18" spans="2:5" x14ac:dyDescent="0.3">
      <c r="B18" s="2" t="s">
        <v>168</v>
      </c>
      <c r="C18" s="21">
        <v>15</v>
      </c>
    </row>
    <row r="19" spans="2:5" x14ac:dyDescent="0.3">
      <c r="B19" s="2" t="s">
        <v>169</v>
      </c>
      <c r="C19" s="21">
        <v>400</v>
      </c>
    </row>
    <row r="20" spans="2:5" x14ac:dyDescent="0.3">
      <c r="B20" s="2" t="s">
        <v>105</v>
      </c>
      <c r="C20" s="21">
        <v>100</v>
      </c>
    </row>
    <row r="22" spans="2:5" x14ac:dyDescent="0.3">
      <c r="B22" s="266" t="s">
        <v>170</v>
      </c>
      <c r="C22" s="266"/>
      <c r="D22" s="266"/>
      <c r="E22" s="266"/>
    </row>
    <row r="23" spans="2:5" x14ac:dyDescent="0.3">
      <c r="B23" s="22" t="s">
        <v>72</v>
      </c>
      <c r="C23" s="22" t="s">
        <v>171</v>
      </c>
      <c r="D23" s="22" t="s">
        <v>172</v>
      </c>
      <c r="E23" s="22" t="s">
        <v>173</v>
      </c>
    </row>
    <row r="24" spans="2:5" x14ac:dyDescent="0.3">
      <c r="B24" s="22" t="s">
        <v>132</v>
      </c>
      <c r="C24" s="226">
        <v>60</v>
      </c>
      <c r="D24" s="226">
        <v>40</v>
      </c>
      <c r="E24" s="226">
        <v>100</v>
      </c>
    </row>
    <row r="25" spans="2:5" x14ac:dyDescent="0.3">
      <c r="B25" s="22" t="s">
        <v>134</v>
      </c>
      <c r="C25" s="226">
        <v>75</v>
      </c>
      <c r="D25" s="226">
        <v>55</v>
      </c>
      <c r="E25" s="226">
        <v>105</v>
      </c>
    </row>
    <row r="26" spans="2:5" x14ac:dyDescent="0.3">
      <c r="B26" s="22" t="s">
        <v>136</v>
      </c>
      <c r="C26" s="226">
        <v>90</v>
      </c>
      <c r="D26" s="226">
        <v>70</v>
      </c>
      <c r="E26" s="226">
        <v>110</v>
      </c>
    </row>
    <row r="27" spans="2:5" x14ac:dyDescent="0.3">
      <c r="B27" s="25"/>
      <c r="C27" s="24"/>
      <c r="D27" s="24"/>
      <c r="E27" s="24"/>
    </row>
    <row r="28" spans="2:5" x14ac:dyDescent="0.3">
      <c r="B28" s="262" t="s">
        <v>174</v>
      </c>
      <c r="C28" s="262"/>
      <c r="D28" s="262"/>
      <c r="E28" s="262"/>
    </row>
    <row r="29" spans="2:5" x14ac:dyDescent="0.3">
      <c r="B29" s="2" t="s">
        <v>72</v>
      </c>
      <c r="C29" s="2" t="s">
        <v>171</v>
      </c>
      <c r="D29" s="2" t="s">
        <v>172</v>
      </c>
      <c r="E29" s="2" t="s">
        <v>173</v>
      </c>
    </row>
    <row r="30" spans="2:5" x14ac:dyDescent="0.3">
      <c r="B30" s="2" t="s">
        <v>79</v>
      </c>
      <c r="C30" s="21">
        <v>40</v>
      </c>
      <c r="D30" s="21">
        <v>40</v>
      </c>
      <c r="E30" s="21">
        <v>100</v>
      </c>
    </row>
    <row r="31" spans="2:5" x14ac:dyDescent="0.3">
      <c r="B31" s="2" t="s">
        <v>81</v>
      </c>
      <c r="C31" s="21">
        <v>60</v>
      </c>
      <c r="D31" s="21">
        <v>40</v>
      </c>
      <c r="E31" s="21">
        <v>100</v>
      </c>
    </row>
    <row r="32" spans="2:5" x14ac:dyDescent="0.3">
      <c r="B32" s="2" t="s">
        <v>83</v>
      </c>
      <c r="C32" s="21">
        <v>80</v>
      </c>
      <c r="D32" s="21">
        <v>40</v>
      </c>
      <c r="E32" s="21">
        <v>100</v>
      </c>
    </row>
    <row r="33" spans="2:12" x14ac:dyDescent="0.3">
      <c r="B33" s="2" t="s">
        <v>85</v>
      </c>
      <c r="C33" s="21">
        <v>55</v>
      </c>
      <c r="D33" s="21">
        <v>55</v>
      </c>
      <c r="E33" s="21">
        <v>105</v>
      </c>
    </row>
    <row r="34" spans="2:12" x14ac:dyDescent="0.3">
      <c r="B34" s="2" t="s">
        <v>86</v>
      </c>
      <c r="C34" s="21">
        <v>80</v>
      </c>
      <c r="D34" s="21">
        <v>55</v>
      </c>
      <c r="E34" s="21">
        <v>105</v>
      </c>
    </row>
    <row r="35" spans="2:12" x14ac:dyDescent="0.3">
      <c r="B35" s="2" t="s">
        <v>87</v>
      </c>
      <c r="C35" s="21">
        <v>70</v>
      </c>
      <c r="D35" s="21">
        <v>70</v>
      </c>
      <c r="E35" s="21">
        <v>110</v>
      </c>
    </row>
    <row r="36" spans="2:12" x14ac:dyDescent="0.3">
      <c r="B36" s="2" t="s">
        <v>88</v>
      </c>
      <c r="C36" s="21">
        <v>90</v>
      </c>
      <c r="D36" s="21">
        <v>70</v>
      </c>
      <c r="E36" s="21">
        <v>110</v>
      </c>
    </row>
    <row r="38" spans="2:12" x14ac:dyDescent="0.3">
      <c r="B38" s="262" t="s">
        <v>175</v>
      </c>
      <c r="C38" s="262"/>
      <c r="D38" s="262"/>
      <c r="E38" s="262"/>
      <c r="F38" s="262"/>
      <c r="G38" s="262"/>
      <c r="L38" s="1" t="s">
        <v>176</v>
      </c>
    </row>
    <row r="39" spans="2:12" x14ac:dyDescent="0.3">
      <c r="B39" s="2" t="s">
        <v>72</v>
      </c>
      <c r="C39" s="2" t="s">
        <v>177</v>
      </c>
      <c r="D39" s="2" t="s">
        <v>178</v>
      </c>
      <c r="E39" s="2" t="s">
        <v>179</v>
      </c>
      <c r="F39" s="2" t="s">
        <v>180</v>
      </c>
      <c r="G39" s="2" t="s">
        <v>181</v>
      </c>
    </row>
    <row r="40" spans="2:12" x14ac:dyDescent="0.3">
      <c r="B40" s="2" t="s">
        <v>132</v>
      </c>
      <c r="C40" s="2" t="s">
        <v>182</v>
      </c>
      <c r="D40" s="2" t="s">
        <v>183</v>
      </c>
      <c r="E40" s="2" t="s">
        <v>182</v>
      </c>
      <c r="F40" s="2" t="s">
        <v>183</v>
      </c>
      <c r="G40" s="2" t="s">
        <v>182</v>
      </c>
    </row>
    <row r="41" spans="2:12" x14ac:dyDescent="0.3">
      <c r="B41" s="2" t="s">
        <v>134</v>
      </c>
      <c r="C41" s="2" t="s">
        <v>184</v>
      </c>
      <c r="D41" s="2" t="s">
        <v>184</v>
      </c>
      <c r="E41" s="2" t="s">
        <v>184</v>
      </c>
      <c r="F41" s="2" t="s">
        <v>184</v>
      </c>
      <c r="G41" s="2" t="s">
        <v>184</v>
      </c>
    </row>
    <row r="42" spans="2:12" x14ac:dyDescent="0.3">
      <c r="B42" s="2" t="s">
        <v>136</v>
      </c>
      <c r="C42" s="2" t="s">
        <v>183</v>
      </c>
      <c r="D42" s="2" t="s">
        <v>182</v>
      </c>
      <c r="E42" s="2" t="s">
        <v>183</v>
      </c>
      <c r="F42" s="2" t="s">
        <v>182</v>
      </c>
      <c r="G42" s="2" t="s">
        <v>183</v>
      </c>
    </row>
    <row r="44" spans="2:12" x14ac:dyDescent="0.3">
      <c r="B44" s="262" t="s">
        <v>185</v>
      </c>
      <c r="C44" s="262"/>
      <c r="D44" s="262"/>
      <c r="E44" s="262"/>
      <c r="F44" s="262"/>
      <c r="G44" s="262"/>
      <c r="H44" s="262"/>
      <c r="I44" s="262"/>
      <c r="J44" s="262"/>
      <c r="K44" s="262"/>
    </row>
    <row r="45" spans="2:12" x14ac:dyDescent="0.3">
      <c r="B45" s="2" t="s">
        <v>90</v>
      </c>
      <c r="C45" s="2" t="s">
        <v>186</v>
      </c>
      <c r="D45" s="2" t="s">
        <v>91</v>
      </c>
      <c r="E45" s="2" t="s">
        <v>187</v>
      </c>
      <c r="F45" s="2" t="s">
        <v>188</v>
      </c>
      <c r="G45" s="2" t="s">
        <v>189</v>
      </c>
      <c r="H45" s="2" t="s">
        <v>93</v>
      </c>
      <c r="I45" s="2" t="s">
        <v>190</v>
      </c>
      <c r="J45" s="2" t="s">
        <v>94</v>
      </c>
      <c r="K45" s="2" t="s">
        <v>95</v>
      </c>
    </row>
    <row r="46" spans="2:12" x14ac:dyDescent="0.3">
      <c r="B46" s="2" t="s">
        <v>101</v>
      </c>
      <c r="C46" s="2">
        <v>1</v>
      </c>
      <c r="D46" s="2">
        <v>1</v>
      </c>
      <c r="E46" s="2" t="s">
        <v>191</v>
      </c>
      <c r="F46" s="2" t="s">
        <v>192</v>
      </c>
      <c r="G46" s="2" t="s">
        <v>193</v>
      </c>
      <c r="H46" s="2" t="s">
        <v>194</v>
      </c>
      <c r="I46" s="2" t="s">
        <v>195</v>
      </c>
      <c r="J46" s="2">
        <v>0</v>
      </c>
      <c r="K46" s="2">
        <v>0</v>
      </c>
    </row>
    <row r="47" spans="2:12" x14ac:dyDescent="0.3">
      <c r="B47" s="2" t="s">
        <v>99</v>
      </c>
      <c r="C47" s="2">
        <v>2</v>
      </c>
      <c r="D47" s="2">
        <v>6</v>
      </c>
      <c r="E47" s="2" t="s">
        <v>196</v>
      </c>
      <c r="F47" s="2" t="s">
        <v>192</v>
      </c>
      <c r="G47" s="2" t="s">
        <v>193</v>
      </c>
      <c r="H47" s="2" t="s">
        <v>197</v>
      </c>
      <c r="I47" s="2" t="s">
        <v>198</v>
      </c>
      <c r="J47" s="2">
        <v>0</v>
      </c>
      <c r="K47" s="2">
        <v>0.5</v>
      </c>
    </row>
    <row r="48" spans="2:12" x14ac:dyDescent="0.3">
      <c r="B48" s="4" t="s">
        <v>199</v>
      </c>
      <c r="C48" s="2">
        <v>3</v>
      </c>
      <c r="D48" s="2">
        <v>6</v>
      </c>
      <c r="E48" s="2" t="s">
        <v>191</v>
      </c>
      <c r="F48" s="2" t="s">
        <v>200</v>
      </c>
      <c r="G48" s="2" t="s">
        <v>193</v>
      </c>
      <c r="H48" s="2">
        <v>0</v>
      </c>
      <c r="I48" s="2" t="s">
        <v>198</v>
      </c>
      <c r="J48" s="2" t="s">
        <v>201</v>
      </c>
      <c r="K48" s="2">
        <v>0.25</v>
      </c>
    </row>
    <row r="49" spans="2:15" x14ac:dyDescent="0.3">
      <c r="B49" s="2" t="s">
        <v>102</v>
      </c>
      <c r="C49" s="2">
        <v>4</v>
      </c>
      <c r="D49" s="2">
        <v>6</v>
      </c>
      <c r="E49" s="2" t="s">
        <v>196</v>
      </c>
      <c r="F49" s="2" t="s">
        <v>200</v>
      </c>
      <c r="G49" s="2" t="s">
        <v>193</v>
      </c>
      <c r="H49" s="2">
        <v>0</v>
      </c>
      <c r="I49" s="2" t="s">
        <v>198</v>
      </c>
      <c r="J49" s="2" t="s">
        <v>201</v>
      </c>
      <c r="K49" s="2">
        <v>0.25</v>
      </c>
    </row>
    <row r="50" spans="2:15" x14ac:dyDescent="0.3">
      <c r="B50" s="4" t="s">
        <v>202</v>
      </c>
      <c r="C50" s="2">
        <v>5</v>
      </c>
      <c r="D50" s="2">
        <v>6</v>
      </c>
      <c r="E50" s="2" t="s">
        <v>191</v>
      </c>
      <c r="F50" s="2" t="s">
        <v>192</v>
      </c>
      <c r="G50" s="2" t="s">
        <v>203</v>
      </c>
      <c r="H50" s="2" t="s">
        <v>204</v>
      </c>
      <c r="I50" s="2" t="s">
        <v>195</v>
      </c>
      <c r="J50" s="2">
        <v>0</v>
      </c>
      <c r="K50" s="2">
        <v>0</v>
      </c>
    </row>
    <row r="51" spans="2:15" x14ac:dyDescent="0.3">
      <c r="B51" s="2" t="s">
        <v>103</v>
      </c>
      <c r="C51" s="2">
        <v>6</v>
      </c>
      <c r="D51" s="2">
        <v>3</v>
      </c>
      <c r="E51" s="2" t="s">
        <v>191</v>
      </c>
      <c r="F51" s="2" t="s">
        <v>192</v>
      </c>
      <c r="G51" s="2" t="s">
        <v>193</v>
      </c>
      <c r="H51" s="2" t="s">
        <v>205</v>
      </c>
      <c r="I51" s="2" t="s">
        <v>198</v>
      </c>
      <c r="J51" s="2">
        <v>0</v>
      </c>
      <c r="K51" s="2">
        <v>0.25</v>
      </c>
    </row>
    <row r="53" spans="2:15" x14ac:dyDescent="0.3">
      <c r="B53" s="262" t="s">
        <v>206</v>
      </c>
      <c r="C53" s="262"/>
    </row>
    <row r="54" spans="2:15" x14ac:dyDescent="0.3">
      <c r="B54" s="2" t="s">
        <v>166</v>
      </c>
      <c r="C54" s="2" t="s">
        <v>167</v>
      </c>
      <c r="M54" s="125"/>
      <c r="N54" s="125"/>
      <c r="O54" s="125"/>
    </row>
    <row r="55" spans="2:15" x14ac:dyDescent="0.3">
      <c r="B55" s="2" t="s">
        <v>207</v>
      </c>
      <c r="C55" s="158">
        <v>0.3</v>
      </c>
      <c r="M55" s="125"/>
      <c r="N55" s="125"/>
      <c r="O55" s="125"/>
    </row>
    <row r="56" spans="2:15" x14ac:dyDescent="0.3">
      <c r="B56" s="2" t="s">
        <v>208</v>
      </c>
      <c r="C56" s="158">
        <v>0.2</v>
      </c>
      <c r="M56" s="125"/>
      <c r="N56" s="125"/>
      <c r="O56" s="125"/>
    </row>
    <row r="57" spans="2:15" x14ac:dyDescent="0.3">
      <c r="B57" s="2" t="s">
        <v>142</v>
      </c>
      <c r="C57" s="158">
        <v>0.1</v>
      </c>
      <c r="M57" s="125"/>
      <c r="N57" s="125"/>
      <c r="O57" s="125"/>
    </row>
    <row r="58" spans="2:15" x14ac:dyDescent="0.3">
      <c r="M58" s="125"/>
      <c r="N58" s="125"/>
      <c r="O58" s="125"/>
    </row>
    <row r="59" spans="2:15" x14ac:dyDescent="0.3">
      <c r="B59" s="262" t="s">
        <v>209</v>
      </c>
      <c r="C59" s="262"/>
      <c r="D59" s="262"/>
      <c r="E59" s="262"/>
      <c r="M59" s="125"/>
      <c r="N59" s="125"/>
      <c r="O59" s="125"/>
    </row>
    <row r="60" spans="2:15" x14ac:dyDescent="0.3">
      <c r="B60" s="2" t="s">
        <v>210</v>
      </c>
      <c r="C60" s="2" t="s">
        <v>211</v>
      </c>
      <c r="D60" s="2" t="s">
        <v>212</v>
      </c>
      <c r="E60" s="2" t="s">
        <v>213</v>
      </c>
      <c r="M60" s="125"/>
      <c r="N60" s="125"/>
      <c r="O60" s="125"/>
    </row>
    <row r="61" spans="2:15" x14ac:dyDescent="0.3">
      <c r="B61" s="2">
        <f>坦克类型系数!AK4</f>
        <v>6.17</v>
      </c>
      <c r="C61" s="143">
        <f>AVERAGE(坦克类型系数!AI24:AK26)</f>
        <v>0.26128690825157513</v>
      </c>
      <c r="D61" s="2">
        <f>ROUND(B61*C61,2)</f>
        <v>1.61</v>
      </c>
      <c r="E61" s="21">
        <v>0</v>
      </c>
      <c r="M61" s="125"/>
      <c r="N61" s="125"/>
      <c r="O61" s="125"/>
    </row>
    <row r="62" spans="2:15" x14ac:dyDescent="0.3">
      <c r="K62" s="125"/>
      <c r="M62" s="125"/>
      <c r="N62" s="125"/>
      <c r="O62" s="125"/>
    </row>
    <row r="63" spans="2:15" x14ac:dyDescent="0.3">
      <c r="B63" s="262" t="s">
        <v>214</v>
      </c>
      <c r="C63" s="262"/>
      <c r="D63" s="262"/>
      <c r="E63" s="262"/>
      <c r="F63" s="262"/>
      <c r="G63" s="262"/>
      <c r="H63" s="262"/>
      <c r="I63" s="262"/>
      <c r="J63" s="262"/>
      <c r="K63" s="262"/>
      <c r="M63" s="125"/>
      <c r="N63" s="125"/>
      <c r="O63" s="125"/>
    </row>
    <row r="64" spans="2:15" x14ac:dyDescent="0.3">
      <c r="B64" s="2" t="s">
        <v>215</v>
      </c>
      <c r="C64" s="2" t="s">
        <v>216</v>
      </c>
      <c r="D64" s="2" t="s">
        <v>217</v>
      </c>
      <c r="E64" s="2" t="s">
        <v>218</v>
      </c>
      <c r="F64" s="2" t="s">
        <v>219</v>
      </c>
      <c r="G64" s="2" t="s">
        <v>220</v>
      </c>
      <c r="H64" s="2" t="s">
        <v>221</v>
      </c>
      <c r="I64" s="2" t="s">
        <v>222</v>
      </c>
      <c r="J64" s="2" t="s">
        <v>127</v>
      </c>
      <c r="K64" s="33" t="s">
        <v>223</v>
      </c>
      <c r="M64" s="125"/>
      <c r="N64" s="125"/>
    </row>
    <row r="65" spans="2:16" x14ac:dyDescent="0.3">
      <c r="B65" s="2" t="s">
        <v>224</v>
      </c>
      <c r="C65" s="158">
        <v>0</v>
      </c>
      <c r="D65" s="158">
        <v>0</v>
      </c>
      <c r="E65" s="21">
        <v>0</v>
      </c>
      <c r="F65" s="21">
        <v>0</v>
      </c>
      <c r="G65" s="34">
        <f>F65/($F$67+$F$68*2)</f>
        <v>0</v>
      </c>
      <c r="H65" s="34">
        <f>E65/$E$67</f>
        <v>0</v>
      </c>
      <c r="I65" s="34">
        <f>AVERAGE(G65:H65)</f>
        <v>0</v>
      </c>
      <c r="J65" s="34">
        <f>AVERAGE(C65:D65)</f>
        <v>0</v>
      </c>
      <c r="K65" s="34">
        <f>I65*J65</f>
        <v>0</v>
      </c>
      <c r="M65" s="125"/>
      <c r="N65" s="125"/>
      <c r="P65" s="125"/>
    </row>
    <row r="66" spans="2:16" x14ac:dyDescent="0.3">
      <c r="B66" s="2" t="s">
        <v>225</v>
      </c>
      <c r="C66" s="158">
        <v>1.2</v>
      </c>
      <c r="D66" s="158">
        <v>1.6</v>
      </c>
      <c r="E66" s="21">
        <v>2.2000000000000002</v>
      </c>
      <c r="F66" s="21">
        <v>2.2000000000000002</v>
      </c>
      <c r="G66" s="34">
        <f>F66/($F$67+$F$68*2)</f>
        <v>0.73333333333333339</v>
      </c>
      <c r="H66" s="34">
        <f>E66/$E$67</f>
        <v>0.3666666666666667</v>
      </c>
      <c r="I66" s="34">
        <f>AVERAGE(G66:H66)</f>
        <v>0.55000000000000004</v>
      </c>
      <c r="J66" s="34">
        <f>AVERAGE(C66:D66)</f>
        <v>1.4</v>
      </c>
      <c r="K66" s="34">
        <f>I66*J66</f>
        <v>0.77</v>
      </c>
      <c r="M66" s="125"/>
      <c r="N66" s="125"/>
    </row>
    <row r="67" spans="2:16" x14ac:dyDescent="0.3">
      <c r="B67" s="2" t="s">
        <v>226</v>
      </c>
      <c r="C67" s="158">
        <v>0.8</v>
      </c>
      <c r="D67" s="158">
        <v>1</v>
      </c>
      <c r="E67" s="21">
        <v>6</v>
      </c>
      <c r="F67" s="21">
        <v>2</v>
      </c>
      <c r="G67" s="34">
        <f>F67/($F$67+$F$68*2)</f>
        <v>0.66666666666666663</v>
      </c>
      <c r="H67" s="34">
        <f>E67/$E$67</f>
        <v>1</v>
      </c>
      <c r="I67" s="34">
        <f>AVERAGE(G67:H67)</f>
        <v>0.83333333333333326</v>
      </c>
      <c r="J67" s="34">
        <f>AVERAGE(C67:D67)</f>
        <v>0.9</v>
      </c>
      <c r="K67" s="34">
        <f>I67*J67</f>
        <v>0.75</v>
      </c>
      <c r="M67" s="125"/>
      <c r="N67" s="125"/>
      <c r="P67" s="125"/>
    </row>
    <row r="68" spans="2:16" x14ac:dyDescent="0.3">
      <c r="B68" s="2" t="s">
        <v>227</v>
      </c>
      <c r="C68" s="158">
        <v>0.5</v>
      </c>
      <c r="D68" s="158">
        <v>0.7</v>
      </c>
      <c r="E68" s="21">
        <v>6</v>
      </c>
      <c r="F68" s="21">
        <v>0.5</v>
      </c>
      <c r="G68" s="34">
        <f>F68*2/($F$67+$F$68*2)</f>
        <v>0.33333333333333331</v>
      </c>
      <c r="H68" s="34">
        <f>E68/$E$67</f>
        <v>1</v>
      </c>
      <c r="I68" s="34">
        <f>AVERAGE(G68:H68)</f>
        <v>0.66666666666666663</v>
      </c>
      <c r="J68" s="34">
        <f>AVERAGE(C68:D68)</f>
        <v>0.6</v>
      </c>
      <c r="K68" s="34">
        <f>I68*J68</f>
        <v>0.39999999999999997</v>
      </c>
      <c r="M68" s="125"/>
      <c r="N68" s="125"/>
      <c r="O68" s="125"/>
    </row>
    <row r="69" spans="2:16" x14ac:dyDescent="0.3">
      <c r="B69" s="25"/>
      <c r="C69" s="237"/>
      <c r="D69" s="237"/>
      <c r="E69" s="24"/>
      <c r="F69" s="24"/>
      <c r="G69" s="133"/>
      <c r="H69" s="133"/>
      <c r="I69" s="133"/>
      <c r="J69" s="133"/>
      <c r="K69" s="133"/>
      <c r="M69" s="125"/>
      <c r="N69" s="125"/>
      <c r="O69" s="125"/>
      <c r="P69" s="125"/>
    </row>
    <row r="70" spans="2:16" x14ac:dyDescent="0.3">
      <c r="B70" s="262" t="s">
        <v>228</v>
      </c>
      <c r="C70" s="262"/>
      <c r="D70" s="262"/>
      <c r="E70" s="262"/>
      <c r="F70" s="262"/>
      <c r="G70" s="262"/>
      <c r="H70" s="262"/>
      <c r="I70" s="262"/>
      <c r="J70" s="262"/>
      <c r="K70" s="262"/>
      <c r="L70" s="262"/>
      <c r="M70" s="125"/>
      <c r="N70" s="125"/>
      <c r="O70" s="125"/>
    </row>
    <row r="71" spans="2:16" x14ac:dyDescent="0.3">
      <c r="B71" s="2" t="s">
        <v>229</v>
      </c>
      <c r="C71" s="2" t="s">
        <v>72</v>
      </c>
      <c r="D71" s="2" t="s">
        <v>142</v>
      </c>
      <c r="E71" s="2" t="s">
        <v>230</v>
      </c>
      <c r="F71" s="2" t="s">
        <v>231</v>
      </c>
      <c r="G71" s="2" t="s">
        <v>232</v>
      </c>
      <c r="H71" s="2" t="s">
        <v>233</v>
      </c>
      <c r="I71" s="33" t="s">
        <v>234</v>
      </c>
      <c r="J71" s="2" t="s">
        <v>235</v>
      </c>
      <c r="K71" s="2" t="s">
        <v>236</v>
      </c>
      <c r="L71" s="2" t="s">
        <v>237</v>
      </c>
      <c r="O71" s="125"/>
    </row>
    <row r="72" spans="2:16" x14ac:dyDescent="0.3">
      <c r="B72" s="2" t="s">
        <v>238</v>
      </c>
      <c r="C72" s="238" t="s">
        <v>132</v>
      </c>
      <c r="D72" s="156">
        <v>0</v>
      </c>
      <c r="E72" s="2">
        <f>$E$61*2</f>
        <v>0</v>
      </c>
      <c r="F72" s="29">
        <f>E72</f>
        <v>0</v>
      </c>
      <c r="G72" s="160">
        <f>F72/AVERAGE(坦克类型系数!$F$4:$F$13)</f>
        <v>0</v>
      </c>
      <c r="H72" s="34">
        <f t="shared" ref="H72:H92" si="0">D72*G72</f>
        <v>0</v>
      </c>
      <c r="I72" s="155">
        <f>SUM(H72:H78)</f>
        <v>2.1043608945404459</v>
      </c>
      <c r="J72" s="34">
        <f t="shared" ref="J72:J78" si="1">G72/SUM($G$72:$G$78)</f>
        <v>0</v>
      </c>
      <c r="K72" s="34">
        <f>J72*D72</f>
        <v>0</v>
      </c>
      <c r="L72" s="34">
        <f>SUM(K72:K78)</f>
        <v>1.2361556302539127</v>
      </c>
      <c r="O72" s="125"/>
    </row>
    <row r="73" spans="2:16" x14ac:dyDescent="0.3">
      <c r="B73" s="2" t="s">
        <v>239</v>
      </c>
      <c r="C73" s="238" t="s">
        <v>132</v>
      </c>
      <c r="D73" s="156">
        <v>2.0099999999999998</v>
      </c>
      <c r="E73" s="34">
        <f>AVERAGE(坦克类型系数!$H$4:$H$13)/$C$94</f>
        <v>1.0062500000000001</v>
      </c>
      <c r="F73" s="160">
        <f>E73-F72*E73/AVERAGE(坦克类型系数!$I$4:$I$13)</f>
        <v>1.0062500000000001</v>
      </c>
      <c r="G73" s="160">
        <f>F73/AVERAGE(坦克类型系数!$F$4:$F$13)</f>
        <v>0.16321978913219787</v>
      </c>
      <c r="H73" s="34">
        <f t="shared" si="0"/>
        <v>0.3280717761557177</v>
      </c>
      <c r="I73" s="34"/>
      <c r="J73" s="34">
        <f t="shared" si="1"/>
        <v>9.5879495683502805E-2</v>
      </c>
      <c r="K73" s="34">
        <f t="shared" ref="K73:K92" si="2">J73*D73</f>
        <v>0.19271778632384062</v>
      </c>
      <c r="L73" s="2"/>
      <c r="O73" s="125"/>
    </row>
    <row r="74" spans="2:16" x14ac:dyDescent="0.3">
      <c r="B74" s="2" t="s">
        <v>240</v>
      </c>
      <c r="C74" s="238" t="s">
        <v>132</v>
      </c>
      <c r="D74" s="156">
        <v>1.6</v>
      </c>
      <c r="E74" s="34">
        <f>AVERAGE(坦克类型系数!$G$4:$G$13)/$C$94</f>
        <v>1.21875</v>
      </c>
      <c r="F74" s="160">
        <f>(E74-F72*E74/AVERAGE(坦克类型系数!$I$4:$I$13))*2</f>
        <v>2.4375</v>
      </c>
      <c r="G74" s="160">
        <f>F74/AVERAGE(坦克类型系数!$F$4:$F$13)</f>
        <v>0.39537712895377125</v>
      </c>
      <c r="H74" s="34">
        <f t="shared" si="0"/>
        <v>0.63260340632603407</v>
      </c>
      <c r="I74" s="34"/>
      <c r="J74" s="34">
        <f t="shared" si="1"/>
        <v>0.23225467898488258</v>
      </c>
      <c r="K74" s="34">
        <f t="shared" si="2"/>
        <v>0.37160748637581215</v>
      </c>
      <c r="L74" s="2"/>
      <c r="O74" s="125"/>
    </row>
    <row r="75" spans="2:16" x14ac:dyDescent="0.3">
      <c r="B75" s="2" t="s">
        <v>241</v>
      </c>
      <c r="C75" s="238" t="s">
        <v>132</v>
      </c>
      <c r="D75" s="156">
        <v>1.3</v>
      </c>
      <c r="E75" s="34">
        <f>AVERAGE(坦克类型系数!$H$4:$H$13)/$C$94</f>
        <v>1.0062500000000001</v>
      </c>
      <c r="F75" s="160">
        <f>E75-F72*E75/AVERAGE(坦克类型系数!$I$4:$I$13)</f>
        <v>1.0062500000000001</v>
      </c>
      <c r="G75" s="160">
        <f>F75/AVERAGE(坦克类型系数!$F$4:$F$13)</f>
        <v>0.16321978913219787</v>
      </c>
      <c r="H75" s="34">
        <f t="shared" si="0"/>
        <v>0.21218572587185724</v>
      </c>
      <c r="I75" s="34"/>
      <c r="J75" s="34">
        <f t="shared" si="1"/>
        <v>9.5879495683502805E-2</v>
      </c>
      <c r="K75" s="34">
        <f t="shared" si="2"/>
        <v>0.12464334438855365</v>
      </c>
      <c r="L75" s="2"/>
      <c r="O75" s="125"/>
    </row>
    <row r="76" spans="2:16" x14ac:dyDescent="0.3">
      <c r="B76" s="2" t="s">
        <v>242</v>
      </c>
      <c r="C76" s="238" t="s">
        <v>132</v>
      </c>
      <c r="D76" s="156">
        <v>1.1000000000000001</v>
      </c>
      <c r="E76" s="34">
        <f>AVERAGE(坦克类型系数!$E$4:$E$13)/$C$94</f>
        <v>1.6812500000000001</v>
      </c>
      <c r="F76" s="160">
        <f>E76-AVERAGE(坦克类型系数!$I$4:$I$13)*E76/AVERAGE(坦克类型系数!$F$4:$F$13)</f>
        <v>0.98802412814274154</v>
      </c>
      <c r="G76" s="160">
        <f>F76/AVERAGE(坦克类型系数!$F$4:$F$13)</f>
        <v>0.16026344333215595</v>
      </c>
      <c r="H76" s="34">
        <f t="shared" si="0"/>
        <v>0.17628978766537157</v>
      </c>
      <c r="I76" s="34"/>
      <c r="J76" s="34">
        <f t="shared" si="1"/>
        <v>9.414286224045576E-2</v>
      </c>
      <c r="K76" s="34">
        <f t="shared" si="2"/>
        <v>0.10355714846450134</v>
      </c>
      <c r="L76" s="2"/>
      <c r="O76" s="125"/>
    </row>
    <row r="77" spans="2:16" x14ac:dyDescent="0.3">
      <c r="B77" s="2" t="s">
        <v>243</v>
      </c>
      <c r="C77" s="238" t="s">
        <v>132</v>
      </c>
      <c r="D77" s="156">
        <v>0.95</v>
      </c>
      <c r="E77" s="34">
        <f>AVERAGE(坦克类型系数!$D$4:$D$13)/$C$94</f>
        <v>3.4618749999999996</v>
      </c>
      <c r="F77" s="160">
        <f>(E77-AVERAGE(坦克类型系数!$I$4:$I$13)*E77/AVERAGE(坦克类型系数!$F$4:$F$13))*2</f>
        <v>4.0688963909164642</v>
      </c>
      <c r="G77" s="160">
        <f>F77/AVERAGE(坦克类型系数!$F$4:$F$13)</f>
        <v>0.65999941458499001</v>
      </c>
      <c r="H77" s="34">
        <f t="shared" si="0"/>
        <v>0.62699944385574047</v>
      </c>
      <c r="I77" s="34"/>
      <c r="J77" s="34">
        <f t="shared" si="1"/>
        <v>0.38770060516720029</v>
      </c>
      <c r="K77" s="34">
        <f t="shared" si="2"/>
        <v>0.36831557490884026</v>
      </c>
      <c r="L77" s="2"/>
      <c r="O77" s="125"/>
    </row>
    <row r="78" spans="2:16" x14ac:dyDescent="0.3">
      <c r="B78" s="2" t="s">
        <v>244</v>
      </c>
      <c r="C78" s="238" t="s">
        <v>132</v>
      </c>
      <c r="D78" s="156">
        <v>0.8</v>
      </c>
      <c r="E78" s="34">
        <f>AVERAGE(坦克类型系数!$E$4:$E$13)/$C$94</f>
        <v>1.6812500000000001</v>
      </c>
      <c r="F78" s="160">
        <f>E78-AVERAGE(坦克类型系数!$I$4:$I$13)*E78/AVERAGE(坦克类型系数!$F$4:$F$13)</f>
        <v>0.98802412814274154</v>
      </c>
      <c r="G78" s="160">
        <f>F78/AVERAGE(坦克类型系数!$F$4:$F$13)</f>
        <v>0.16026344333215595</v>
      </c>
      <c r="H78" s="34">
        <f t="shared" si="0"/>
        <v>0.12821075466572476</v>
      </c>
      <c r="I78" s="34"/>
      <c r="J78" s="34">
        <f t="shared" si="1"/>
        <v>9.414286224045576E-2</v>
      </c>
      <c r="K78" s="34">
        <f t="shared" si="2"/>
        <v>7.5314289792364611E-2</v>
      </c>
      <c r="L78" s="2"/>
      <c r="O78" s="125"/>
    </row>
    <row r="79" spans="2:16" x14ac:dyDescent="0.3">
      <c r="B79" s="2" t="s">
        <v>238</v>
      </c>
      <c r="C79" s="238" t="s">
        <v>134</v>
      </c>
      <c r="D79" s="156">
        <v>0</v>
      </c>
      <c r="E79" s="2">
        <f>$E$61*2</f>
        <v>0</v>
      </c>
      <c r="F79" s="29">
        <f>E79</f>
        <v>0</v>
      </c>
      <c r="G79" s="160">
        <f>F79/AVERAGE(坦克类型系数!$F$14:$F$23)</f>
        <v>0</v>
      </c>
      <c r="H79" s="34">
        <f t="shared" si="0"/>
        <v>0</v>
      </c>
      <c r="I79" s="155">
        <f>SUM(H79:H85)</f>
        <v>2.1680424314696287</v>
      </c>
      <c r="J79" s="34">
        <f t="shared" ref="J79:J85" si="3">G79/SUM($G$79:$G$85)</f>
        <v>0</v>
      </c>
      <c r="K79" s="34">
        <f t="shared" si="2"/>
        <v>0</v>
      </c>
      <c r="L79" s="34">
        <f>SUM(K79:K85)</f>
        <v>1.2727618929465889</v>
      </c>
      <c r="O79" s="125"/>
    </row>
    <row r="80" spans="2:16" x14ac:dyDescent="0.3">
      <c r="B80" s="2" t="s">
        <v>239</v>
      </c>
      <c r="C80" s="238" t="s">
        <v>134</v>
      </c>
      <c r="D80" s="156">
        <v>2.25</v>
      </c>
      <c r="E80" s="34">
        <f>AVERAGE(坦克类型系数!$H$14:$H$23)/$C$94</f>
        <v>1.25</v>
      </c>
      <c r="F80" s="160">
        <f>E80-F79*E80/AVERAGE(坦克类型系数!$I$14:$I$23)</f>
        <v>1.25</v>
      </c>
      <c r="G80" s="160">
        <f>F80/AVERAGE(坦克类型系数!$F$14:$F$23)</f>
        <v>0.17170329670329668</v>
      </c>
      <c r="H80" s="34">
        <f t="shared" si="0"/>
        <v>0.38633241758241754</v>
      </c>
      <c r="I80" s="34"/>
      <c r="J80" s="34">
        <f t="shared" si="3"/>
        <v>0.1007994169141422</v>
      </c>
      <c r="K80" s="34">
        <f t="shared" si="2"/>
        <v>0.22679868805681994</v>
      </c>
      <c r="L80" s="2"/>
      <c r="O80" s="125"/>
    </row>
    <row r="81" spans="2:16" x14ac:dyDescent="0.3">
      <c r="B81" s="2" t="s">
        <v>240</v>
      </c>
      <c r="C81" s="238" t="s">
        <v>134</v>
      </c>
      <c r="D81" s="156">
        <v>1.85</v>
      </c>
      <c r="E81" s="34">
        <f>AVERAGE(坦克类型系数!$G$14:$G$23)/$C$94</f>
        <v>1.51875</v>
      </c>
      <c r="F81" s="160">
        <f>(E81-F79*E81/AVERAGE(坦克类型系数!$I$14:$I$23))*2</f>
        <v>3.0375000000000001</v>
      </c>
      <c r="G81" s="160">
        <f>F81/AVERAGE(坦克类型系数!$F$14:$F$23)</f>
        <v>0.41723901098901095</v>
      </c>
      <c r="H81" s="34">
        <f t="shared" si="0"/>
        <v>0.77189217032967028</v>
      </c>
      <c r="I81" s="34"/>
      <c r="J81" s="34">
        <f t="shared" si="3"/>
        <v>0.24494258310136555</v>
      </c>
      <c r="K81" s="34">
        <f t="shared" si="2"/>
        <v>0.45314377873752626</v>
      </c>
      <c r="L81" s="2"/>
      <c r="O81" s="125"/>
    </row>
    <row r="82" spans="2:16" x14ac:dyDescent="0.3">
      <c r="B82" s="2" t="s">
        <v>241</v>
      </c>
      <c r="C82" s="238" t="s">
        <v>134</v>
      </c>
      <c r="D82" s="156">
        <v>1.4</v>
      </c>
      <c r="E82" s="34">
        <f>AVERAGE(坦克类型系数!$H$14:$H$23)/$C$94</f>
        <v>1.25</v>
      </c>
      <c r="F82" s="160">
        <f>E82-F79*E82/AVERAGE(坦克类型系数!$I$14:$I$23)</f>
        <v>1.25</v>
      </c>
      <c r="G82" s="160">
        <f>F82/AVERAGE(坦克类型系数!$F$14:$F$23)</f>
        <v>0.17170329670329668</v>
      </c>
      <c r="H82" s="34">
        <f t="shared" si="0"/>
        <v>0.24038461538461534</v>
      </c>
      <c r="I82" s="34"/>
      <c r="J82" s="34">
        <f t="shared" si="3"/>
        <v>0.1007994169141422</v>
      </c>
      <c r="K82" s="34">
        <f t="shared" si="2"/>
        <v>0.14111918367979906</v>
      </c>
      <c r="L82" s="2"/>
      <c r="O82" s="125"/>
    </row>
    <row r="83" spans="2:16" x14ac:dyDescent="0.3">
      <c r="B83" s="2" t="s">
        <v>242</v>
      </c>
      <c r="C83" s="238" t="s">
        <v>134</v>
      </c>
      <c r="D83" s="156">
        <v>1.1499999999999999</v>
      </c>
      <c r="E83" s="34">
        <f>AVERAGE(坦克类型系数!$E$14:$E$23)/$C$94</f>
        <v>1.9574999999999998</v>
      </c>
      <c r="F83" s="160">
        <f>E83-AVERAGE(坦克类型系数!$I$14:$I$23)*E83/AVERAGE(坦克类型系数!$F$14:$F$23)</f>
        <v>1.1078159340659339</v>
      </c>
      <c r="G83" s="160">
        <f>F83/AVERAGE(坦克类型系数!$F$14:$F$23)</f>
        <v>0.15217251841565024</v>
      </c>
      <c r="H83" s="34">
        <f t="shared" si="0"/>
        <v>0.17499839617799776</v>
      </c>
      <c r="I83" s="34"/>
      <c r="J83" s="34">
        <f t="shared" si="3"/>
        <v>8.9333760161633552E-2</v>
      </c>
      <c r="K83" s="34">
        <f t="shared" si="2"/>
        <v>0.10273382418587858</v>
      </c>
      <c r="L83" s="2"/>
      <c r="O83" s="125"/>
    </row>
    <row r="84" spans="2:16" x14ac:dyDescent="0.3">
      <c r="B84" s="2" t="s">
        <v>243</v>
      </c>
      <c r="C84" s="238" t="s">
        <v>134</v>
      </c>
      <c r="D84" s="156">
        <v>0.8</v>
      </c>
      <c r="E84" s="34">
        <f>AVERAGE(坦克类型系数!$D$14:$D$23)/$C$94</f>
        <v>4.1062499999999984</v>
      </c>
      <c r="F84" s="160">
        <f>(E84-AVERAGE(坦克类型系数!$I$14:$I$23)*E84/AVERAGE(坦克类型系数!$F$14:$F$23))*2</f>
        <v>4.6477335164835143</v>
      </c>
      <c r="G84" s="160">
        <f>F84/AVERAGE(坦克类型系数!$F$14:$F$23)</f>
        <v>0.6384249335829002</v>
      </c>
      <c r="H84" s="34">
        <f t="shared" si="0"/>
        <v>0.51073994686632018</v>
      </c>
      <c r="I84" s="34"/>
      <c r="J84" s="34">
        <f t="shared" si="3"/>
        <v>0.37479106274708313</v>
      </c>
      <c r="K84" s="34">
        <f t="shared" si="2"/>
        <v>0.29983285019766653</v>
      </c>
      <c r="L84" s="2"/>
      <c r="O84" s="125"/>
    </row>
    <row r="85" spans="2:16" x14ac:dyDescent="0.3">
      <c r="B85" s="2" t="s">
        <v>244</v>
      </c>
      <c r="C85" s="238" t="s">
        <v>134</v>
      </c>
      <c r="D85" s="156">
        <v>0.55000000000000004</v>
      </c>
      <c r="E85" s="34">
        <f>AVERAGE(坦克类型系数!$E$14:$E$23)/$C$94</f>
        <v>1.9574999999999998</v>
      </c>
      <c r="F85" s="160">
        <f>E85-AVERAGE(坦克类型系数!$I$14:$I$23)*E85/AVERAGE(坦克类型系数!$F$14:$F$23)</f>
        <v>1.1078159340659339</v>
      </c>
      <c r="G85" s="160">
        <f>F85/AVERAGE(坦克类型系数!$F$14:$F$23)</f>
        <v>0.15217251841565024</v>
      </c>
      <c r="H85" s="34">
        <f t="shared" si="0"/>
        <v>8.3694885128607635E-2</v>
      </c>
      <c r="I85" s="34"/>
      <c r="J85" s="34">
        <f t="shared" si="3"/>
        <v>8.9333760161633552E-2</v>
      </c>
      <c r="K85" s="34">
        <f t="shared" si="2"/>
        <v>4.9133568088898461E-2</v>
      </c>
      <c r="L85" s="2"/>
      <c r="O85" s="125"/>
    </row>
    <row r="86" spans="2:16" x14ac:dyDescent="0.3">
      <c r="B86" s="2" t="s">
        <v>238</v>
      </c>
      <c r="C86" s="238" t="s">
        <v>136</v>
      </c>
      <c r="D86" s="156">
        <v>0</v>
      </c>
      <c r="E86" s="2">
        <f>$E$61*2</f>
        <v>0</v>
      </c>
      <c r="F86" s="29">
        <f>E86</f>
        <v>0</v>
      </c>
      <c r="G86" s="160">
        <f>F86/AVERAGE(坦克类型系数!$F$24:$F$33)</f>
        <v>0</v>
      </c>
      <c r="H86" s="34">
        <f t="shared" si="0"/>
        <v>0</v>
      </c>
      <c r="I86" s="155">
        <f>SUM(H86:H92)</f>
        <v>2.2608084012626852</v>
      </c>
      <c r="J86" s="34">
        <f t="shared" ref="J86:J92" si="4">G86/SUM($G$86:$G$92)</f>
        <v>0</v>
      </c>
      <c r="K86" s="34">
        <f t="shared" si="2"/>
        <v>0</v>
      </c>
      <c r="L86" s="34">
        <f>SUM(K86:K92)</f>
        <v>1.3299235013265076</v>
      </c>
      <c r="O86" s="125"/>
    </row>
    <row r="87" spans="2:16" x14ac:dyDescent="0.3">
      <c r="B87" s="2" t="s">
        <v>239</v>
      </c>
      <c r="C87" s="238" t="s">
        <v>136</v>
      </c>
      <c r="D87" s="156">
        <v>2.6</v>
      </c>
      <c r="E87" s="34">
        <f>AVERAGE(坦克类型系数!$H$24:$H$33)/$C$94</f>
        <v>1.2374999999999998</v>
      </c>
      <c r="F87" s="160">
        <f>E87-F86*E87/AVERAGE(坦克类型系数!$I$24:$I$33)</f>
        <v>1.2374999999999998</v>
      </c>
      <c r="G87" s="160">
        <f>F87/AVERAGE(坦克类型系数!$F$24:$F$33)</f>
        <v>0.16427718040621267</v>
      </c>
      <c r="H87" s="34">
        <f t="shared" si="0"/>
        <v>0.42712066905615298</v>
      </c>
      <c r="I87" s="34"/>
      <c r="J87" s="34">
        <f t="shared" si="4"/>
        <v>9.6636266404466459E-2</v>
      </c>
      <c r="K87" s="34">
        <f t="shared" si="2"/>
        <v>0.25125429265161281</v>
      </c>
      <c r="L87" s="2"/>
      <c r="O87" s="125"/>
      <c r="P87" s="125"/>
    </row>
    <row r="88" spans="2:16" x14ac:dyDescent="0.3">
      <c r="B88" s="2" t="s">
        <v>240</v>
      </c>
      <c r="C88" s="238" t="s">
        <v>136</v>
      </c>
      <c r="D88" s="156">
        <v>2</v>
      </c>
      <c r="E88" s="34">
        <f>AVERAGE(坦克类型系数!$G$24:$G$33)/$C$94</f>
        <v>1.7750000000000001</v>
      </c>
      <c r="F88" s="160">
        <f>(E88-F86*E88/AVERAGE(坦克类型系数!$I$24:$I$33))*2</f>
        <v>3.5500000000000003</v>
      </c>
      <c r="G88" s="160">
        <f>F88/AVERAGE(坦克类型系数!$F$24:$F$33)</f>
        <v>0.47125979025620612</v>
      </c>
      <c r="H88" s="34">
        <f t="shared" si="0"/>
        <v>0.94251958051241225</v>
      </c>
      <c r="I88" s="34"/>
      <c r="J88" s="34">
        <f t="shared" si="4"/>
        <v>0.27721918847341898</v>
      </c>
      <c r="K88" s="34">
        <f t="shared" si="2"/>
        <v>0.55443837694683795</v>
      </c>
      <c r="L88" s="2"/>
      <c r="O88" s="125"/>
      <c r="P88" s="125"/>
    </row>
    <row r="89" spans="2:16" x14ac:dyDescent="0.3">
      <c r="B89" s="2" t="s">
        <v>241</v>
      </c>
      <c r="C89" s="238" t="s">
        <v>136</v>
      </c>
      <c r="D89" s="156">
        <v>1.5</v>
      </c>
      <c r="E89" s="34">
        <f>AVERAGE(坦克类型系数!$H$24:$H$33)/$C$94</f>
        <v>1.2374999999999998</v>
      </c>
      <c r="F89" s="160">
        <f>E89-F86*E89/AVERAGE(坦克类型系数!$I$24:$I$33)</f>
        <v>1.2374999999999998</v>
      </c>
      <c r="G89" s="160">
        <f>F89/AVERAGE(坦克类型系数!$F$24:$F$33)</f>
        <v>0.16427718040621267</v>
      </c>
      <c r="H89" s="34">
        <f t="shared" si="0"/>
        <v>0.24641577060931902</v>
      </c>
      <c r="I89" s="34"/>
      <c r="J89" s="34">
        <f t="shared" si="4"/>
        <v>9.6636266404466459E-2</v>
      </c>
      <c r="K89" s="34">
        <f t="shared" si="2"/>
        <v>0.1449543996066997</v>
      </c>
      <c r="L89" s="2"/>
      <c r="O89" s="125"/>
      <c r="P89" s="125"/>
    </row>
    <row r="90" spans="2:16" x14ac:dyDescent="0.3">
      <c r="B90" s="2" t="s">
        <v>242</v>
      </c>
      <c r="C90" s="238" t="s">
        <v>136</v>
      </c>
      <c r="D90" s="156">
        <v>1.1000000000000001</v>
      </c>
      <c r="E90" s="34">
        <f>AVERAGE(坦克类型系数!$E$24:$E$33)/$C$94</f>
        <v>2.0462499999999997</v>
      </c>
      <c r="F90" s="160">
        <f>E90-AVERAGE(坦克类型系数!$I$24:$I$33)*E90/AVERAGE(坦克类型系数!$F$24:$F$33)</f>
        <v>1.1039373423602812</v>
      </c>
      <c r="G90" s="160">
        <f>F90/AVERAGE(坦克类型系数!$F$24:$F$33)</f>
        <v>0.14654683955399991</v>
      </c>
      <c r="H90" s="34">
        <f t="shared" si="0"/>
        <v>0.16120152350939992</v>
      </c>
      <c r="I90" s="34"/>
      <c r="J90" s="34">
        <f t="shared" si="4"/>
        <v>8.6206370190033813E-2</v>
      </c>
      <c r="K90" s="34">
        <f t="shared" si="2"/>
        <v>9.4827007209037195E-2</v>
      </c>
      <c r="L90" s="2"/>
      <c r="O90" s="125"/>
      <c r="P90" s="125"/>
    </row>
    <row r="91" spans="2:16" x14ac:dyDescent="0.3">
      <c r="B91" s="2" t="s">
        <v>243</v>
      </c>
      <c r="C91" s="238" t="s">
        <v>136</v>
      </c>
      <c r="D91" s="156">
        <v>0.7</v>
      </c>
      <c r="E91" s="34">
        <f>AVERAGE(坦克类型系数!$D$24:$D$33)/$C$94</f>
        <v>4.2381250000000001</v>
      </c>
      <c r="F91" s="160">
        <f>(E91-AVERAGE(坦克类型系数!$I$24:$I$33)*E91/AVERAGE(坦克类型系数!$F$24:$F$33))*2</f>
        <v>4.5728766759591126</v>
      </c>
      <c r="G91" s="160">
        <f>F91/AVERAGE(坦克类型系数!$F$24:$F$33)</f>
        <v>0.60704588821971506</v>
      </c>
      <c r="H91" s="34">
        <f t="shared" si="0"/>
        <v>0.42493212175380052</v>
      </c>
      <c r="I91" s="34"/>
      <c r="J91" s="34">
        <f t="shared" si="4"/>
        <v>0.35709553833758056</v>
      </c>
      <c r="K91" s="34">
        <f t="shared" si="2"/>
        <v>0.24996687683630639</v>
      </c>
      <c r="L91" s="2"/>
      <c r="O91" s="125"/>
      <c r="P91" s="125"/>
    </row>
    <row r="92" spans="2:16" x14ac:dyDescent="0.3">
      <c r="B92" s="2" t="s">
        <v>244</v>
      </c>
      <c r="C92" s="238" t="s">
        <v>136</v>
      </c>
      <c r="D92" s="156">
        <v>0.4</v>
      </c>
      <c r="E92" s="34">
        <f>AVERAGE(坦克类型系数!$E$24:$E$33)/$C$94</f>
        <v>2.0462499999999997</v>
      </c>
      <c r="F92" s="160">
        <f>E92-AVERAGE(坦克类型系数!$I$24:$I$33)*E92/AVERAGE(坦克类型系数!$F$24:$F$33)</f>
        <v>1.1039373423602812</v>
      </c>
      <c r="G92" s="160">
        <f>F92/AVERAGE(坦克类型系数!$F$24:$F$33)</f>
        <v>0.14654683955399991</v>
      </c>
      <c r="H92" s="34">
        <f t="shared" si="0"/>
        <v>5.8618735821599967E-2</v>
      </c>
      <c r="I92" s="34"/>
      <c r="J92" s="34">
        <f t="shared" si="4"/>
        <v>8.6206370190033813E-2</v>
      </c>
      <c r="K92" s="34">
        <f t="shared" si="2"/>
        <v>3.4482548076013524E-2</v>
      </c>
      <c r="L92" s="2"/>
      <c r="O92" s="125"/>
      <c r="P92" s="125"/>
    </row>
    <row r="93" spans="2:16" x14ac:dyDescent="0.3">
      <c r="B93" s="25"/>
      <c r="C93" s="237"/>
      <c r="D93" s="237"/>
      <c r="E93" s="24"/>
      <c r="F93" s="24"/>
      <c r="G93" s="133"/>
      <c r="H93" s="133"/>
      <c r="I93" s="133"/>
      <c r="J93" s="133"/>
      <c r="K93" s="133"/>
      <c r="M93" s="125"/>
      <c r="N93" s="125"/>
      <c r="O93" s="125"/>
      <c r="P93" s="125"/>
    </row>
    <row r="94" spans="2:16" x14ac:dyDescent="0.3">
      <c r="B94" s="2" t="s">
        <v>245</v>
      </c>
      <c r="C94" s="154">
        <v>1.6</v>
      </c>
      <c r="D94" s="237"/>
      <c r="E94" s="24"/>
      <c r="F94" s="24"/>
      <c r="G94" s="133"/>
      <c r="H94" s="133"/>
      <c r="I94" s="133"/>
      <c r="J94" s="133"/>
      <c r="K94" s="133"/>
      <c r="M94" s="125"/>
      <c r="N94" s="125"/>
      <c r="O94" s="125"/>
      <c r="P94" s="125"/>
    </row>
    <row r="95" spans="2:16" x14ac:dyDescent="0.3">
      <c r="B95" s="25"/>
      <c r="C95" s="239"/>
      <c r="D95" s="237"/>
      <c r="E95" s="24"/>
      <c r="F95" s="24"/>
      <c r="G95" s="133"/>
      <c r="H95" s="133"/>
      <c r="I95" s="133"/>
      <c r="J95" s="133"/>
      <c r="K95" s="133"/>
      <c r="M95" s="125"/>
      <c r="N95" s="125"/>
      <c r="O95" s="125"/>
      <c r="P95" s="125"/>
    </row>
    <row r="96" spans="2:16" x14ac:dyDescent="0.3">
      <c r="B96" s="263" t="s">
        <v>246</v>
      </c>
      <c r="C96" s="264"/>
      <c r="D96" s="264"/>
      <c r="E96" s="265"/>
      <c r="F96" s="24"/>
      <c r="G96" s="133"/>
      <c r="H96" s="133"/>
      <c r="I96" s="133"/>
      <c r="J96" s="133"/>
      <c r="K96" s="133"/>
      <c r="M96" s="125"/>
      <c r="N96" s="125"/>
      <c r="O96" s="125"/>
      <c r="P96" s="125"/>
    </row>
    <row r="97" spans="2:16" x14ac:dyDescent="0.3">
      <c r="B97" s="2" t="s">
        <v>72</v>
      </c>
      <c r="C97" s="28" t="s">
        <v>247</v>
      </c>
      <c r="D97" s="238" t="s">
        <v>248</v>
      </c>
      <c r="E97" s="29" t="s">
        <v>249</v>
      </c>
      <c r="F97" s="24"/>
      <c r="G97" s="133"/>
      <c r="H97" s="133"/>
      <c r="I97" s="133"/>
      <c r="J97" s="133"/>
      <c r="K97" s="133"/>
      <c r="M97" s="125"/>
      <c r="N97" s="125"/>
      <c r="O97" s="125"/>
      <c r="P97" s="125"/>
    </row>
    <row r="98" spans="2:16" x14ac:dyDescent="0.3">
      <c r="B98" s="2" t="s">
        <v>132</v>
      </c>
      <c r="C98" s="28">
        <f>AVERAGE(坦克类型系数!$F$4:$F$13)</f>
        <v>6.1650000000000009</v>
      </c>
      <c r="D98" s="28">
        <f>AVERAGE(坦克类型系数!$I$4:$I$13)</f>
        <v>2.5419999999999998</v>
      </c>
      <c r="E98" s="162">
        <f>I72</f>
        <v>2.1043608945404459</v>
      </c>
      <c r="F98" s="24"/>
      <c r="G98" s="133"/>
      <c r="H98" s="133"/>
      <c r="I98" s="133"/>
      <c r="J98" s="133"/>
      <c r="K98" s="133"/>
      <c r="M98" s="125"/>
      <c r="N98" s="125"/>
      <c r="O98" s="125"/>
      <c r="P98" s="125"/>
    </row>
    <row r="99" spans="2:16" x14ac:dyDescent="0.3">
      <c r="B99" s="2" t="s">
        <v>134</v>
      </c>
      <c r="C99" s="28">
        <f>AVERAGE(坦克类型系数!$F$14:$F$23)</f>
        <v>7.2800000000000011</v>
      </c>
      <c r="D99" s="28">
        <f>AVERAGE(坦克类型系数!$I$14:$I$23)</f>
        <v>3.16</v>
      </c>
      <c r="E99" s="162">
        <f>I79</f>
        <v>2.1680424314696287</v>
      </c>
      <c r="F99" s="24"/>
      <c r="G99" s="133"/>
      <c r="H99" s="133"/>
      <c r="I99" s="133"/>
      <c r="J99" s="133"/>
      <c r="K99" s="133"/>
      <c r="M99" s="125"/>
      <c r="N99" s="125"/>
      <c r="O99" s="125"/>
      <c r="P99" s="125"/>
    </row>
    <row r="100" spans="2:16" x14ac:dyDescent="0.3">
      <c r="B100" s="2" t="s">
        <v>136</v>
      </c>
      <c r="C100" s="28">
        <f>AVERAGE(坦克类型系数!$F$24:$F$33)</f>
        <v>7.5329999999999986</v>
      </c>
      <c r="D100" s="28">
        <f>AVERAGE(坦克类型系数!$I$24:$I$33)</f>
        <v>3.4689999999999999</v>
      </c>
      <c r="E100" s="162">
        <f>I86</f>
        <v>2.2608084012626852</v>
      </c>
      <c r="F100" s="24"/>
      <c r="G100" s="133"/>
      <c r="H100" s="133"/>
      <c r="I100" s="133"/>
      <c r="J100" s="133"/>
      <c r="K100" s="133"/>
      <c r="M100" s="125"/>
      <c r="N100" s="125"/>
      <c r="O100" s="125"/>
      <c r="P100" s="125"/>
    </row>
    <row r="101" spans="2:16" x14ac:dyDescent="0.3">
      <c r="K101" s="125"/>
      <c r="M101" s="125"/>
      <c r="N101" s="125"/>
      <c r="O101" s="125"/>
      <c r="P101" s="125"/>
    </row>
    <row r="102" spans="2:16" x14ac:dyDescent="0.3">
      <c r="B102" s="240" t="s">
        <v>250</v>
      </c>
      <c r="C102" s="241">
        <v>0.8</v>
      </c>
      <c r="K102" s="125"/>
      <c r="M102" s="125"/>
      <c r="N102" s="125"/>
      <c r="O102" s="125"/>
      <c r="P102" s="125"/>
    </row>
    <row r="103" spans="2:16" x14ac:dyDescent="0.3">
      <c r="B103" s="2" t="s">
        <v>251</v>
      </c>
      <c r="C103" s="21">
        <v>20</v>
      </c>
      <c r="K103" s="125"/>
      <c r="M103" s="125"/>
      <c r="N103" s="125"/>
      <c r="O103" s="125"/>
      <c r="P103" s="125"/>
    </row>
    <row r="104" spans="2:16" x14ac:dyDescent="0.3">
      <c r="K104" s="125"/>
      <c r="M104" s="125"/>
      <c r="N104" s="125"/>
      <c r="O104" s="125"/>
      <c r="P104" s="125"/>
    </row>
    <row r="105" spans="2:16" x14ac:dyDescent="0.3">
      <c r="B105" s="262" t="s">
        <v>252</v>
      </c>
      <c r="C105" s="262"/>
      <c r="K105" s="125"/>
      <c r="M105" s="125"/>
      <c r="N105" s="125"/>
      <c r="O105" s="125"/>
      <c r="P105" s="125"/>
    </row>
    <row r="106" spans="2:16" x14ac:dyDescent="0.3">
      <c r="B106" s="2" t="s">
        <v>253</v>
      </c>
      <c r="C106" s="2" t="s">
        <v>254</v>
      </c>
      <c r="K106" s="125"/>
      <c r="M106" s="125"/>
      <c r="N106" s="125"/>
      <c r="O106" s="125"/>
      <c r="P106" s="125"/>
    </row>
    <row r="107" spans="2:16" x14ac:dyDescent="0.3">
      <c r="B107" s="2" t="s">
        <v>255</v>
      </c>
      <c r="C107" s="21">
        <v>1</v>
      </c>
      <c r="K107" s="125"/>
      <c r="M107" s="125"/>
      <c r="N107" s="125"/>
      <c r="O107" s="125"/>
    </row>
    <row r="108" spans="2:16" x14ac:dyDescent="0.3">
      <c r="B108" s="2" t="s">
        <v>256</v>
      </c>
      <c r="C108" s="21">
        <v>3</v>
      </c>
      <c r="K108" s="125"/>
      <c r="M108" s="125"/>
      <c r="N108" s="125"/>
      <c r="O108" s="125"/>
    </row>
    <row r="109" spans="2:16" x14ac:dyDescent="0.3">
      <c r="B109" s="2" t="s">
        <v>257</v>
      </c>
      <c r="C109" s="158">
        <v>0.16</v>
      </c>
      <c r="K109" s="125"/>
      <c r="M109" s="125"/>
      <c r="N109" s="125"/>
      <c r="O109" s="125"/>
    </row>
    <row r="110" spans="2:16" x14ac:dyDescent="0.3">
      <c r="B110" s="2" t="s">
        <v>258</v>
      </c>
      <c r="C110" s="158">
        <v>0.08</v>
      </c>
      <c r="K110" s="125"/>
      <c r="M110" s="125"/>
      <c r="N110" s="125"/>
      <c r="O110" s="125"/>
      <c r="P110" s="125"/>
    </row>
    <row r="111" spans="2:16" x14ac:dyDescent="0.3">
      <c r="B111" s="2" t="s">
        <v>259</v>
      </c>
      <c r="C111" s="143">
        <f>C107*C109+C108*C110</f>
        <v>0.4</v>
      </c>
      <c r="K111" s="125"/>
      <c r="M111" s="125"/>
      <c r="N111" s="125"/>
      <c r="O111" s="125"/>
    </row>
    <row r="112" spans="2:16" x14ac:dyDescent="0.3">
      <c r="K112" s="125"/>
      <c r="M112" s="125"/>
      <c r="N112" s="125"/>
      <c r="O112" s="125"/>
    </row>
    <row r="113" spans="2:21" x14ac:dyDescent="0.3">
      <c r="B113" s="36" t="s">
        <v>260</v>
      </c>
      <c r="K113" s="125"/>
      <c r="M113" s="125"/>
      <c r="N113" s="125"/>
      <c r="O113" s="125"/>
    </row>
    <row r="114" spans="2:21" x14ac:dyDescent="0.3">
      <c r="K114" s="125"/>
      <c r="M114" s="125"/>
      <c r="N114" s="125"/>
      <c r="O114" s="125"/>
    </row>
    <row r="117" spans="2:21" x14ac:dyDescent="0.3">
      <c r="O117" s="125"/>
    </row>
    <row r="118" spans="2:21" x14ac:dyDescent="0.3">
      <c r="O118" s="125"/>
    </row>
    <row r="119" spans="2:21" x14ac:dyDescent="0.3">
      <c r="O119" s="125"/>
    </row>
    <row r="120" spans="2:21" x14ac:dyDescent="0.3">
      <c r="O120" s="125"/>
      <c r="U120" s="132"/>
    </row>
    <row r="121" spans="2:21" x14ac:dyDescent="0.3">
      <c r="O121" s="125"/>
    </row>
    <row r="122" spans="2:21" x14ac:dyDescent="0.3">
      <c r="O122" s="125"/>
    </row>
    <row r="123" spans="2:21" x14ac:dyDescent="0.3">
      <c r="I123" s="125"/>
      <c r="O123" s="125"/>
    </row>
    <row r="124" spans="2:21" x14ac:dyDescent="0.3">
      <c r="O124" s="125"/>
    </row>
    <row r="125" spans="2:21" x14ac:dyDescent="0.3">
      <c r="O125" s="125"/>
    </row>
    <row r="126" spans="2:21" x14ac:dyDescent="0.3">
      <c r="O126" s="125"/>
    </row>
    <row r="127" spans="2:21" x14ac:dyDescent="0.3">
      <c r="O127" s="125"/>
    </row>
    <row r="128" spans="2:21" x14ac:dyDescent="0.3">
      <c r="O128" s="125"/>
    </row>
    <row r="132" spans="4:15" x14ac:dyDescent="0.3">
      <c r="O132" s="125"/>
    </row>
    <row r="135" spans="4:15" x14ac:dyDescent="0.3">
      <c r="D135" s="130"/>
      <c r="E135" s="130"/>
    </row>
    <row r="136" spans="4:15" x14ac:dyDescent="0.3">
      <c r="D136" s="130"/>
      <c r="E136" s="130"/>
    </row>
    <row r="137" spans="4:15" x14ac:dyDescent="0.3">
      <c r="D137" s="130"/>
      <c r="E137" s="130"/>
    </row>
    <row r="138" spans="4:15" x14ac:dyDescent="0.3">
      <c r="D138" s="130"/>
      <c r="E138" s="130"/>
    </row>
    <row r="139" spans="4:15" x14ac:dyDescent="0.3">
      <c r="D139" s="130"/>
      <c r="E139" s="130"/>
    </row>
    <row r="140" spans="4:15" x14ac:dyDescent="0.3">
      <c r="K140" s="125"/>
      <c r="N140" s="125"/>
    </row>
  </sheetData>
  <mergeCells count="11">
    <mergeCell ref="B16:C16"/>
    <mergeCell ref="B22:E22"/>
    <mergeCell ref="B28:E28"/>
    <mergeCell ref="B38:G38"/>
    <mergeCell ref="B44:K44"/>
    <mergeCell ref="B105:C105"/>
    <mergeCell ref="B53:C53"/>
    <mergeCell ref="B59:E59"/>
    <mergeCell ref="B63:K63"/>
    <mergeCell ref="B70:L70"/>
    <mergeCell ref="B96:E96"/>
  </mergeCells>
  <phoneticPr fontId="34" type="noConversion"/>
  <pageMargins left="0.7" right="0.7" top="0.75" bottom="0.75" header="0.3" footer="0.3"/>
  <pageSetup paperSize="9" orientation="portrait" r:id="rId1"/>
  <ignoredErrors>
    <ignoredError sqref="J65:J6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Pict="0" macro="[0]!ThisWorkbook.unhide">
                <anchor moveWithCells="1" sizeWithCells="1">
                  <from>
                    <xdr:col>20</xdr:col>
                    <xdr:colOff>28575</xdr:colOff>
                    <xdr:row>0</xdr:row>
                    <xdr:rowOff>28575</xdr:rowOff>
                  </from>
                  <to>
                    <xdr:col>21</xdr:col>
                    <xdr:colOff>352425</xdr:colOff>
                    <xdr:row>2</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Y666"/>
  <sheetViews>
    <sheetView topLeftCell="A25" workbookViewId="0">
      <selection activeCell="O52" sqref="O52"/>
    </sheetView>
  </sheetViews>
  <sheetFormatPr defaultColWidth="9" defaultRowHeight="14.25" x14ac:dyDescent="0.3"/>
  <cols>
    <col min="1" max="1" width="9" style="1"/>
    <col min="2" max="2" width="10.5" style="1" customWidth="1"/>
    <col min="3" max="3" width="18.375" style="1" customWidth="1"/>
    <col min="4" max="4" width="9" style="1"/>
    <col min="5" max="5" width="14.875" style="1" customWidth="1"/>
    <col min="6" max="6" width="9" style="1"/>
    <col min="7" max="7" width="19.5" style="1" customWidth="1"/>
    <col min="8" max="8" width="9.75" style="1" customWidth="1"/>
    <col min="9" max="30" width="9" style="1"/>
    <col min="31" max="31" width="13.875" style="1" customWidth="1"/>
    <col min="32" max="32" width="14.75" style="1" customWidth="1"/>
    <col min="33" max="38" width="9" style="1"/>
    <col min="39" max="40" width="9.25" style="1" customWidth="1"/>
    <col min="41" max="45" width="9" style="1"/>
    <col min="46" max="46" width="38.25" style="1" customWidth="1"/>
    <col min="47" max="47" width="24.875" style="1" customWidth="1"/>
    <col min="48" max="48" width="9" style="1"/>
    <col min="49" max="49" width="20.75" style="1" customWidth="1"/>
    <col min="50" max="50" width="9" style="1"/>
    <col min="51" max="51" width="24.5" style="1" customWidth="1"/>
    <col min="52" max="52" width="9" style="1"/>
    <col min="53" max="53" width="31.75" style="1" customWidth="1"/>
    <col min="54" max="60" width="9" style="1"/>
    <col min="61" max="61" width="13.25" style="1" customWidth="1"/>
    <col min="62" max="62" width="21.25" style="1" customWidth="1"/>
    <col min="63" max="16384" width="9" style="1"/>
  </cols>
  <sheetData>
    <row r="1" spans="1:51" ht="15.75" x14ac:dyDescent="0.3">
      <c r="AE1" s="35" t="s">
        <v>261</v>
      </c>
      <c r="AG1" s="1" t="s">
        <v>262</v>
      </c>
      <c r="AH1" s="1" t="s">
        <v>263</v>
      </c>
      <c r="AI1" s="1" t="s">
        <v>264</v>
      </c>
      <c r="AJ1" s="1" t="s">
        <v>265</v>
      </c>
      <c r="AK1" s="1" t="s">
        <v>266</v>
      </c>
      <c r="AL1" s="1" t="s">
        <v>267</v>
      </c>
      <c r="AM1" s="1" t="s">
        <v>268</v>
      </c>
      <c r="AN1" s="1" t="s">
        <v>269</v>
      </c>
      <c r="AO1" s="1" t="s">
        <v>270</v>
      </c>
      <c r="AP1" s="1" t="s">
        <v>271</v>
      </c>
      <c r="AS1" s="107" t="s">
        <v>272</v>
      </c>
      <c r="AT1" s="107"/>
    </row>
    <row r="2" spans="1:51" x14ac:dyDescent="0.3">
      <c r="B2" s="2" t="s">
        <v>273</v>
      </c>
      <c r="C2" s="21">
        <v>100</v>
      </c>
      <c r="D2" s="25"/>
      <c r="E2" s="118" t="s">
        <v>274</v>
      </c>
      <c r="F2" s="25"/>
      <c r="G2" s="25"/>
      <c r="H2" s="25"/>
      <c r="I2" s="25"/>
      <c r="AE2" s="1">
        <v>102</v>
      </c>
      <c r="AF2" s="1" t="s">
        <v>275</v>
      </c>
      <c r="AH2" s="1">
        <f>(AG10/SUM($AG$10:$AG$14))*AH10</f>
        <v>1.9083969465648856</v>
      </c>
      <c r="AJ2" s="1">
        <f>(AI10/SUM($AG$10:$AG$14))*AJ10</f>
        <v>1.9083969465648856</v>
      </c>
      <c r="AL2" s="1">
        <f>(AK10/SUM($AG$10:$AG$14))*AL10</f>
        <v>3.8167938931297711</v>
      </c>
      <c r="AN2" s="1">
        <f>(AM10/SUM($AG$10:$AG$14))*AN10</f>
        <v>5.7251908396946565</v>
      </c>
      <c r="AP2" s="1">
        <f>(AO10/SUM($AG$10:$AG$14))*AP10</f>
        <v>76.335877862595424</v>
      </c>
      <c r="AS2" s="1">
        <v>160101</v>
      </c>
      <c r="AU2" s="1" t="s">
        <v>276</v>
      </c>
      <c r="AV2" s="1">
        <v>100</v>
      </c>
      <c r="AX2" s="1" t="s">
        <v>277</v>
      </c>
    </row>
    <row r="3" spans="1:51" x14ac:dyDescent="0.3">
      <c r="B3" s="2" t="s">
        <v>278</v>
      </c>
      <c r="C3" s="21">
        <v>600</v>
      </c>
      <c r="E3" s="36" t="s">
        <v>279</v>
      </c>
      <c r="AE3" s="1">
        <v>105</v>
      </c>
      <c r="AF3" s="1" t="s">
        <v>280</v>
      </c>
      <c r="AH3" s="1">
        <f>(AG11/SUM($AG$10:$AG$14))*AH11</f>
        <v>0.19083969465648856</v>
      </c>
      <c r="AJ3" s="1">
        <f>(AI11/SUM($AG$10:$AG$14))*AJ11</f>
        <v>0.19083969465648856</v>
      </c>
      <c r="AL3" s="1">
        <f>(AK11/SUM($AG$10:$AG$14))*AL11</f>
        <v>0.19083969465648856</v>
      </c>
      <c r="AN3" s="1">
        <f>(AM11/SUM($AG$10:$AG$14))*AN11</f>
        <v>0.19083969465648856</v>
      </c>
      <c r="AP3" s="1">
        <f>(AO11/SUM($AG$10:$AG$14))*AP11</f>
        <v>0.19083969465648856</v>
      </c>
      <c r="AS3" s="1">
        <v>160103</v>
      </c>
      <c r="AU3" s="1" t="s">
        <v>281</v>
      </c>
      <c r="AV3" s="1">
        <v>100</v>
      </c>
      <c r="AX3" s="1" t="s">
        <v>277</v>
      </c>
    </row>
    <row r="4" spans="1:51" x14ac:dyDescent="0.3">
      <c r="B4" s="2" t="s">
        <v>282</v>
      </c>
      <c r="C4" s="21">
        <f>[1]坦克升星消耗!E2</f>
        <v>300</v>
      </c>
      <c r="E4" s="36" t="s">
        <v>283</v>
      </c>
      <c r="L4" s="132"/>
      <c r="N4" s="132"/>
      <c r="AE4" s="1">
        <v>108</v>
      </c>
      <c r="AF4" s="1" t="s">
        <v>284</v>
      </c>
      <c r="AH4" s="1">
        <f>(AG12/SUM($AG$10:$AG$14))*AH12</f>
        <v>0.19083969465648856</v>
      </c>
      <c r="AJ4" s="1">
        <f>(AI12/SUM($AG$10:$AG$14))*AJ12</f>
        <v>0.19083969465648856</v>
      </c>
      <c r="AL4" s="1">
        <f>(AK12/SUM($AG$10:$AG$14))*AL12</f>
        <v>0.19083969465648856</v>
      </c>
      <c r="AN4" s="1">
        <f>(AM12/SUM($AG$10:$AG$14))*AN12</f>
        <v>0.19083969465648856</v>
      </c>
      <c r="AP4" s="1">
        <f>(AO12/SUM($AG$10:$AG$14))*AP12</f>
        <v>0.19083969465648856</v>
      </c>
      <c r="AS4" s="1">
        <v>160105</v>
      </c>
      <c r="AU4" s="1" t="s">
        <v>285</v>
      </c>
      <c r="AV4" s="1">
        <v>100</v>
      </c>
      <c r="AX4" s="1" t="s">
        <v>277</v>
      </c>
    </row>
    <row r="5" spans="1:51" x14ac:dyDescent="0.3">
      <c r="B5" s="2" t="s">
        <v>286</v>
      </c>
      <c r="C5" s="21">
        <v>10</v>
      </c>
      <c r="E5" s="36" t="s">
        <v>287</v>
      </c>
      <c r="AE5" s="1">
        <v>100301</v>
      </c>
      <c r="AF5" s="1" t="s">
        <v>288</v>
      </c>
      <c r="AH5" s="1">
        <f>(AG13/SUM($AG$10:$AG$14))*AH13</f>
        <v>7.6335877862595417E-3</v>
      </c>
      <c r="AJ5" s="1">
        <f>(AI13/SUM($AG$10:$AG$14))*AJ13</f>
        <v>7.6335877862595417E-3</v>
      </c>
      <c r="AL5" s="1">
        <f>(AK13/SUM($AG$10:$AG$14))*AL13</f>
        <v>7.6335877862595417E-3</v>
      </c>
      <c r="AN5" s="1">
        <f>(AM13/SUM($AG$10:$AG$14))*AN13</f>
        <v>7.6335877862595417E-3</v>
      </c>
      <c r="AP5" s="1">
        <f>(AO13/SUM($AG$10:$AG$14))*AP13</f>
        <v>7.6335877862595417E-3</v>
      </c>
      <c r="AS5" s="1">
        <v>160107</v>
      </c>
      <c r="AU5" s="1" t="s">
        <v>289</v>
      </c>
      <c r="AV5" s="1">
        <v>100</v>
      </c>
      <c r="AX5" s="1" t="s">
        <v>277</v>
      </c>
    </row>
    <row r="6" spans="1:51" x14ac:dyDescent="0.3">
      <c r="B6" s="2" t="s">
        <v>290</v>
      </c>
      <c r="C6" s="21">
        <v>2</v>
      </c>
      <c r="E6" s="36"/>
      <c r="N6" s="132"/>
      <c r="P6" s="132"/>
      <c r="AE6" s="1">
        <v>170101</v>
      </c>
      <c r="AF6" s="1" t="s">
        <v>291</v>
      </c>
      <c r="AH6" s="1">
        <f>(AG14/SUM($AG$10:$AG$14))*AH14</f>
        <v>3.8167938931297711</v>
      </c>
      <c r="AJ6" s="1">
        <f>(AI14/SUM($AG$10:$AG$14))*AJ14</f>
        <v>3.8167938931297711</v>
      </c>
      <c r="AL6" s="1">
        <f>(AK14/SUM($AG$10:$AG$14))*AL14</f>
        <v>3.8167938931297711</v>
      </c>
      <c r="AN6" s="1">
        <f>(AM14/SUM($AG$10:$AG$14))*AN14</f>
        <v>3.8167938931297711</v>
      </c>
      <c r="AP6" s="1">
        <f>(AO14/SUM($AG$10:$AG$14))*AP14</f>
        <v>3.8167938931297711</v>
      </c>
      <c r="AS6" s="1">
        <v>160110</v>
      </c>
      <c r="AU6" s="1" t="s">
        <v>292</v>
      </c>
      <c r="AV6" s="1">
        <v>100</v>
      </c>
      <c r="AX6" s="1" t="s">
        <v>277</v>
      </c>
    </row>
    <row r="7" spans="1:51" x14ac:dyDescent="0.3">
      <c r="B7" s="2" t="s">
        <v>293</v>
      </c>
      <c r="C7" s="21">
        <f>F15/(C9/E15)</f>
        <v>1.2500000000000009</v>
      </c>
      <c r="E7" s="36" t="s">
        <v>294</v>
      </c>
      <c r="N7" s="132"/>
      <c r="P7" s="132"/>
      <c r="AE7" s="1" t="str">
        <f>"["&amp;AE2&amp;","&amp;AE3&amp;","&amp;AE4&amp;","&amp;AE5&amp;","&amp;AE6&amp;"]"</f>
        <v>[102,105,108,100301,170101]</v>
      </c>
      <c r="AS7" s="1">
        <v>160109</v>
      </c>
      <c r="AT7" s="1" t="str">
        <f>"["&amp;AS2&amp;","&amp;AS3&amp;","&amp;AS4&amp;","&amp;AS5&amp;","&amp;AS6&amp;","&amp;AS7&amp;"]"</f>
        <v>[160101,160103,160105,160107,160110,160109]</v>
      </c>
      <c r="AU7" s="1" t="s">
        <v>295</v>
      </c>
      <c r="AV7" s="1">
        <v>100</v>
      </c>
      <c r="AW7" s="1" t="str">
        <f>"["&amp;AV2&amp;","&amp;AV3&amp;","&amp;AV4&amp;","&amp;AV5&amp;","&amp;AV6&amp;","&amp;AV7&amp;"]"</f>
        <v>[100,100,100,100,100,100]</v>
      </c>
      <c r="AX7" s="1" t="s">
        <v>277</v>
      </c>
      <c r="AY7" s="1" t="str">
        <f>"["&amp;AX2&amp;","&amp;AX3&amp;","&amp;AX4&amp;","&amp;AX5&amp;","&amp;AX6&amp;","&amp;AX7&amp;"]"</f>
        <v>[(1,1),(1,1),(1,1),(1,1),(1,1),(1,1)]</v>
      </c>
    </row>
    <row r="8" spans="1:51" x14ac:dyDescent="0.3">
      <c r="B8" s="22" t="s">
        <v>296</v>
      </c>
      <c r="C8" s="226">
        <v>10</v>
      </c>
      <c r="E8" s="36"/>
      <c r="AS8" s="1">
        <v>160102</v>
      </c>
      <c r="AU8" s="1" t="s">
        <v>297</v>
      </c>
      <c r="AV8" s="1">
        <v>100</v>
      </c>
      <c r="AX8" s="1" t="s">
        <v>277</v>
      </c>
    </row>
    <row r="9" spans="1:51" x14ac:dyDescent="0.3">
      <c r="B9" s="22" t="s">
        <v>298</v>
      </c>
      <c r="C9" s="226">
        <v>200</v>
      </c>
      <c r="E9" s="36"/>
      <c r="AG9" s="1" t="s">
        <v>262</v>
      </c>
      <c r="AH9" s="1" t="s">
        <v>263</v>
      </c>
      <c r="AI9" s="1" t="s">
        <v>264</v>
      </c>
      <c r="AJ9" s="1" t="s">
        <v>265</v>
      </c>
      <c r="AK9" s="1" t="s">
        <v>266</v>
      </c>
      <c r="AL9" s="1" t="s">
        <v>267</v>
      </c>
      <c r="AM9" s="1" t="s">
        <v>268</v>
      </c>
      <c r="AN9" s="1" t="s">
        <v>269</v>
      </c>
      <c r="AO9" s="1" t="s">
        <v>270</v>
      </c>
      <c r="AP9" s="1" t="s">
        <v>271</v>
      </c>
      <c r="AS9" s="1">
        <v>160104</v>
      </c>
      <c r="AU9" s="1" t="s">
        <v>299</v>
      </c>
      <c r="AV9" s="1">
        <v>100</v>
      </c>
      <c r="AX9" s="1" t="s">
        <v>277</v>
      </c>
    </row>
    <row r="10" spans="1:51" x14ac:dyDescent="0.3">
      <c r="B10" s="25"/>
      <c r="C10" s="25"/>
      <c r="E10" s="36"/>
      <c r="H10" s="25"/>
      <c r="I10" s="25"/>
      <c r="J10" s="25"/>
      <c r="K10" s="25"/>
      <c r="S10" s="25"/>
      <c r="AF10" s="1" t="s">
        <v>275</v>
      </c>
      <c r="AG10" s="1">
        <v>100</v>
      </c>
      <c r="AH10" s="1">
        <v>5</v>
      </c>
      <c r="AI10" s="1">
        <v>100</v>
      </c>
      <c r="AJ10" s="1">
        <v>5</v>
      </c>
      <c r="AK10" s="1">
        <v>100</v>
      </c>
      <c r="AL10" s="1">
        <v>10</v>
      </c>
      <c r="AM10" s="1">
        <v>100</v>
      </c>
      <c r="AN10" s="1">
        <v>15</v>
      </c>
      <c r="AO10" s="1">
        <v>100</v>
      </c>
      <c r="AP10" s="1">
        <v>200</v>
      </c>
      <c r="AS10" s="1">
        <v>160106</v>
      </c>
      <c r="AU10" s="1" t="s">
        <v>300</v>
      </c>
      <c r="AV10" s="1">
        <v>100</v>
      </c>
      <c r="AX10" s="1" t="s">
        <v>277</v>
      </c>
    </row>
    <row r="11" spans="1:51" x14ac:dyDescent="0.3">
      <c r="B11" s="263" t="s">
        <v>301</v>
      </c>
      <c r="C11" s="264"/>
      <c r="D11" s="264"/>
      <c r="E11" s="264"/>
      <c r="F11" s="265"/>
      <c r="G11" s="262" t="s">
        <v>302</v>
      </c>
      <c r="H11" s="262"/>
      <c r="I11" s="262"/>
      <c r="J11" s="262"/>
      <c r="K11" s="262"/>
      <c r="L11" s="263" t="s">
        <v>303</v>
      </c>
      <c r="M11" s="265"/>
      <c r="N11" s="262"/>
      <c r="O11" s="262"/>
      <c r="P11" s="2"/>
      <c r="AF11" s="1" t="s">
        <v>280</v>
      </c>
      <c r="AG11" s="1">
        <v>50</v>
      </c>
      <c r="AH11" s="1">
        <v>1</v>
      </c>
      <c r="AI11" s="1">
        <v>50</v>
      </c>
      <c r="AJ11" s="1">
        <v>1</v>
      </c>
      <c r="AK11" s="1">
        <v>50</v>
      </c>
      <c r="AL11" s="1">
        <v>1</v>
      </c>
      <c r="AM11" s="1">
        <v>50</v>
      </c>
      <c r="AN11" s="1">
        <v>1</v>
      </c>
      <c r="AO11" s="1">
        <v>50</v>
      </c>
      <c r="AP11" s="1">
        <v>1</v>
      </c>
      <c r="AS11" s="1">
        <v>160108</v>
      </c>
      <c r="AU11" s="1" t="s">
        <v>304</v>
      </c>
      <c r="AV11" s="1">
        <v>100</v>
      </c>
      <c r="AX11" s="1" t="s">
        <v>277</v>
      </c>
    </row>
    <row r="12" spans="1:51" x14ac:dyDescent="0.3">
      <c r="B12" s="2" t="s">
        <v>305</v>
      </c>
      <c r="C12" s="2" t="s">
        <v>306</v>
      </c>
      <c r="D12" s="2" t="s">
        <v>307</v>
      </c>
      <c r="E12" s="2" t="s">
        <v>308</v>
      </c>
      <c r="F12" s="2" t="s">
        <v>309</v>
      </c>
      <c r="G12" s="2" t="s">
        <v>310</v>
      </c>
      <c r="H12" s="2" t="s">
        <v>311</v>
      </c>
      <c r="I12" s="2" t="s">
        <v>312</v>
      </c>
      <c r="J12" s="2" t="s">
        <v>313</v>
      </c>
      <c r="K12" s="2" t="s">
        <v>314</v>
      </c>
      <c r="L12" s="2" t="s">
        <v>315</v>
      </c>
      <c r="M12" s="2" t="s">
        <v>316</v>
      </c>
      <c r="N12" s="2" t="s">
        <v>317</v>
      </c>
      <c r="O12" s="2" t="s">
        <v>318</v>
      </c>
      <c r="P12" s="2" t="s">
        <v>293</v>
      </c>
      <c r="AF12" s="1" t="s">
        <v>284</v>
      </c>
      <c r="AG12" s="1">
        <v>10</v>
      </c>
      <c r="AH12" s="1">
        <v>5</v>
      </c>
      <c r="AI12" s="1">
        <v>10</v>
      </c>
      <c r="AJ12" s="1">
        <v>5</v>
      </c>
      <c r="AK12" s="1">
        <v>10</v>
      </c>
      <c r="AL12" s="1">
        <v>5</v>
      </c>
      <c r="AM12" s="1">
        <v>10</v>
      </c>
      <c r="AN12" s="1">
        <v>5</v>
      </c>
      <c r="AO12" s="1">
        <v>10</v>
      </c>
      <c r="AP12" s="1">
        <v>5</v>
      </c>
      <c r="AS12" s="1">
        <v>160111</v>
      </c>
      <c r="AU12" s="1" t="s">
        <v>319</v>
      </c>
      <c r="AV12" s="1">
        <v>100</v>
      </c>
      <c r="AX12" s="1" t="s">
        <v>277</v>
      </c>
    </row>
    <row r="13" spans="1:51" x14ac:dyDescent="0.3">
      <c r="B13" s="2" t="s">
        <v>320</v>
      </c>
      <c r="C13" s="42">
        <f>C5*C6</f>
        <v>20</v>
      </c>
      <c r="D13" s="148">
        <f>C13/$C$3</f>
        <v>3.3333333333333333E-2</v>
      </c>
      <c r="E13" s="2">
        <f>C5</f>
        <v>10</v>
      </c>
      <c r="F13" s="2">
        <f>C13/E13</f>
        <v>2</v>
      </c>
      <c r="G13" s="2" t="s">
        <v>275</v>
      </c>
      <c r="H13" s="2"/>
      <c r="I13" s="2"/>
      <c r="J13" s="2"/>
      <c r="K13" s="2"/>
      <c r="L13" s="2">
        <v>0</v>
      </c>
      <c r="M13" s="42">
        <f>C13-L13</f>
        <v>20</v>
      </c>
      <c r="N13" s="33">
        <f>M13</f>
        <v>20</v>
      </c>
      <c r="O13" s="2"/>
      <c r="P13" s="2"/>
      <c r="R13" s="1">
        <v>20</v>
      </c>
      <c r="AF13" s="1" t="s">
        <v>288</v>
      </c>
      <c r="AG13" s="1">
        <v>2</v>
      </c>
      <c r="AH13" s="1">
        <v>1</v>
      </c>
      <c r="AI13" s="1">
        <v>2</v>
      </c>
      <c r="AJ13" s="1">
        <v>1</v>
      </c>
      <c r="AK13" s="1">
        <v>2</v>
      </c>
      <c r="AL13" s="1">
        <v>1</v>
      </c>
      <c r="AM13" s="1">
        <v>2</v>
      </c>
      <c r="AN13" s="1">
        <v>1</v>
      </c>
      <c r="AO13" s="1">
        <v>2</v>
      </c>
      <c r="AP13" s="1">
        <v>1</v>
      </c>
      <c r="AS13" s="1">
        <v>160109</v>
      </c>
      <c r="AT13" s="1" t="str">
        <f>"["&amp;AS8&amp;","&amp;AS9&amp;","&amp;AS10&amp;","&amp;AS11&amp;","&amp;AS12&amp;","&amp;AS13&amp;"]"</f>
        <v>[160102,160104,160106,160108,160111,160109]</v>
      </c>
      <c r="AU13" s="1" t="s">
        <v>295</v>
      </c>
      <c r="AV13" s="1">
        <v>100</v>
      </c>
      <c r="AW13" s="1" t="str">
        <f>"["&amp;AV8&amp;","&amp;AV9&amp;","&amp;AV10&amp;","&amp;AV11&amp;","&amp;AV12&amp;","&amp;AV13&amp;"]"</f>
        <v>[100,100,100,100,100,100]</v>
      </c>
      <c r="AX13" s="1" t="s">
        <v>277</v>
      </c>
      <c r="AY13" s="1" t="str">
        <f>"["&amp;AX8&amp;","&amp;AX9&amp;","&amp;AX10&amp;","&amp;AX11&amp;","&amp;AX12&amp;","&amp;AX13&amp;"]"</f>
        <v>[(1,1),(1,1),(1,1),(1,1),(1,1),(1,1)]</v>
      </c>
    </row>
    <row r="14" spans="1:51" x14ac:dyDescent="0.3">
      <c r="B14" s="2" t="s">
        <v>321</v>
      </c>
      <c r="C14" s="42">
        <f>$C$3*D14</f>
        <v>59.999999999999751</v>
      </c>
      <c r="D14" s="148">
        <f>1-D13-D15-D16-D17</f>
        <v>9.9999999999999589E-2</v>
      </c>
      <c r="E14" s="32">
        <v>3</v>
      </c>
      <c r="F14" s="2">
        <f>C14/E14</f>
        <v>19.999999999999918</v>
      </c>
      <c r="G14" s="2" t="s">
        <v>275</v>
      </c>
      <c r="H14" s="2" t="s">
        <v>284</v>
      </c>
      <c r="I14" s="2"/>
      <c r="J14" s="2"/>
      <c r="K14" s="2"/>
      <c r="L14" s="2">
        <v>0</v>
      </c>
      <c r="M14" s="42">
        <f>C14-L14</f>
        <v>59.999999999999751</v>
      </c>
      <c r="N14" s="33">
        <f>M14-P14</f>
        <v>59.999999999999751</v>
      </c>
      <c r="O14" s="230"/>
      <c r="P14" s="2"/>
      <c r="R14" s="1">
        <v>20</v>
      </c>
      <c r="AF14" s="1" t="s">
        <v>291</v>
      </c>
      <c r="AG14" s="1">
        <v>100</v>
      </c>
      <c r="AH14" s="1">
        <v>10</v>
      </c>
      <c r="AI14" s="1">
        <v>100</v>
      </c>
      <c r="AJ14" s="1">
        <v>10</v>
      </c>
      <c r="AK14" s="1">
        <v>100</v>
      </c>
      <c r="AL14" s="1">
        <v>10</v>
      </c>
      <c r="AM14" s="1">
        <v>100</v>
      </c>
      <c r="AN14" s="1">
        <v>10</v>
      </c>
      <c r="AO14" s="1">
        <v>100</v>
      </c>
      <c r="AP14" s="1">
        <v>10</v>
      </c>
    </row>
    <row r="15" spans="1:51" x14ac:dyDescent="0.3">
      <c r="B15" s="2" t="s">
        <v>322</v>
      </c>
      <c r="C15" s="42">
        <f>$C$3*D15</f>
        <v>250.0000000000002</v>
      </c>
      <c r="D15" s="146">
        <v>0.41666666666666702</v>
      </c>
      <c r="E15" s="32">
        <v>3</v>
      </c>
      <c r="F15" s="2">
        <f>C15/E15</f>
        <v>83.3333333333334</v>
      </c>
      <c r="G15" s="2" t="s">
        <v>323</v>
      </c>
      <c r="H15" s="2" t="s">
        <v>275</v>
      </c>
      <c r="I15" s="2" t="s">
        <v>324</v>
      </c>
      <c r="J15" s="2" t="s">
        <v>325</v>
      </c>
      <c r="K15" s="2"/>
      <c r="L15" s="21">
        <v>5</v>
      </c>
      <c r="M15" s="42">
        <f>C15-L15</f>
        <v>245.0000000000002</v>
      </c>
      <c r="N15" s="154">
        <v>10</v>
      </c>
      <c r="O15" s="2"/>
      <c r="P15" s="2"/>
      <c r="R15" s="1">
        <v>125</v>
      </c>
      <c r="S15" s="1">
        <f>R15/$C$3</f>
        <v>0.20833333333333334</v>
      </c>
      <c r="AG15" s="1" t="str">
        <f>"["&amp;AG10&amp;","&amp;AG11&amp;","&amp;AG12&amp;","&amp;AG13&amp;","&amp;AG14&amp;"]"</f>
        <v>[100,50,10,2,100]</v>
      </c>
      <c r="AI15" s="1" t="str">
        <f>"["&amp;AI10&amp;","&amp;AI11&amp;","&amp;AI12&amp;","&amp;AI13&amp;","&amp;AI14&amp;"]"</f>
        <v>[100,50,10,2,100]</v>
      </c>
      <c r="AK15" s="1" t="str">
        <f>"["&amp;AK10&amp;","&amp;AK11&amp;","&amp;AK12&amp;","&amp;AK13&amp;","&amp;AK14&amp;"]"</f>
        <v>[100,50,10,2,100]</v>
      </c>
      <c r="AM15" s="1" t="str">
        <f>"["&amp;AM10&amp;","&amp;AM11&amp;","&amp;AM12&amp;","&amp;AM13&amp;","&amp;AM14&amp;"]"</f>
        <v>[100,50,10,2,100]</v>
      </c>
      <c r="AO15" s="1" t="str">
        <f>"["&amp;AO10&amp;","&amp;AO11&amp;","&amp;AO12&amp;","&amp;AO13&amp;","&amp;AO14&amp;"]"</f>
        <v>[100,50,10,2,100]</v>
      </c>
    </row>
    <row r="16" spans="1:51" x14ac:dyDescent="0.3">
      <c r="A16" s="134"/>
      <c r="B16" s="2" t="s">
        <v>326</v>
      </c>
      <c r="C16" s="42">
        <f>$C$3*D16</f>
        <v>90</v>
      </c>
      <c r="D16" s="146">
        <v>0.15</v>
      </c>
      <c r="E16" s="32">
        <v>1</v>
      </c>
      <c r="F16" s="2">
        <f>C16/E16</f>
        <v>90</v>
      </c>
      <c r="G16" s="2" t="s">
        <v>280</v>
      </c>
      <c r="H16" s="2" t="s">
        <v>275</v>
      </c>
      <c r="I16" s="2" t="s">
        <v>325</v>
      </c>
      <c r="J16" s="2"/>
      <c r="K16" s="2"/>
      <c r="L16" s="21">
        <v>10</v>
      </c>
      <c r="M16" s="42">
        <f>C16-L16</f>
        <v>80</v>
      </c>
      <c r="N16" s="28">
        <f>M16-P16</f>
        <v>29.999999999999964</v>
      </c>
      <c r="O16" s="230">
        <v>40</v>
      </c>
      <c r="P16" s="2">
        <f>O16*$C$7</f>
        <v>50.000000000000036</v>
      </c>
      <c r="Q16" s="1">
        <f>N16*G83</f>
        <v>5999.9999999999927</v>
      </c>
      <c r="R16" s="1">
        <v>45</v>
      </c>
      <c r="S16" s="1">
        <f>R16/$C$3</f>
        <v>7.4999999999999997E-2</v>
      </c>
      <c r="AG16" s="1">
        <f>SUM(AG10:AG14)</f>
        <v>262</v>
      </c>
      <c r="AI16" s="1">
        <f>SUM(AI10:AI14)</f>
        <v>262</v>
      </c>
      <c r="AK16" s="1">
        <f>SUM(AK10:AK14)</f>
        <v>262</v>
      </c>
      <c r="AM16" s="1">
        <f>SUM(AM10:AM14)</f>
        <v>262</v>
      </c>
      <c r="AO16" s="1">
        <f>SUM(AO10:AO14)</f>
        <v>262</v>
      </c>
    </row>
    <row r="17" spans="2:42" x14ac:dyDescent="0.3">
      <c r="B17" s="2" t="s">
        <v>327</v>
      </c>
      <c r="C17" s="42">
        <f>[1]任务设定!C4</f>
        <v>180</v>
      </c>
      <c r="D17" s="148">
        <f>C17/$C$3</f>
        <v>0.3</v>
      </c>
      <c r="E17" s="32">
        <v>1</v>
      </c>
      <c r="F17" s="2">
        <f>C17/E17</f>
        <v>180</v>
      </c>
      <c r="G17" s="2" t="s">
        <v>323</v>
      </c>
      <c r="H17" s="2" t="s">
        <v>328</v>
      </c>
      <c r="I17" s="2" t="s">
        <v>275</v>
      </c>
      <c r="J17" s="2" t="s">
        <v>324</v>
      </c>
      <c r="K17" s="2" t="s">
        <v>325</v>
      </c>
      <c r="L17" s="21">
        <v>15</v>
      </c>
      <c r="M17" s="42">
        <f>C17-L17</f>
        <v>165</v>
      </c>
      <c r="N17" s="28">
        <f>[1]任务设定!C6</f>
        <v>5.4166666666666696</v>
      </c>
      <c r="O17" s="2"/>
      <c r="P17" s="2"/>
      <c r="R17" s="1">
        <v>90</v>
      </c>
      <c r="AE17" s="2" t="s">
        <v>329</v>
      </c>
      <c r="AF17" s="2">
        <v>5</v>
      </c>
    </row>
    <row r="18" spans="2:42" x14ac:dyDescent="0.3">
      <c r="B18" s="25"/>
      <c r="C18" s="124"/>
      <c r="D18" s="227"/>
      <c r="E18" s="144"/>
      <c r="F18" s="25"/>
      <c r="G18" s="25"/>
      <c r="H18" s="25"/>
      <c r="I18" s="25"/>
      <c r="J18" s="25"/>
      <c r="K18" s="25"/>
      <c r="L18" s="24"/>
      <c r="M18" s="124"/>
      <c r="N18" s="231"/>
      <c r="O18" s="25"/>
      <c r="P18" s="25"/>
      <c r="AE18" s="2" t="s">
        <v>330</v>
      </c>
      <c r="AF18" s="2">
        <f>16*60/4</f>
        <v>240</v>
      </c>
    </row>
    <row r="19" spans="2:42" x14ac:dyDescent="0.3">
      <c r="B19" s="263" t="s">
        <v>331</v>
      </c>
      <c r="C19" s="265"/>
      <c r="D19" s="227"/>
      <c r="E19" s="267" t="s">
        <v>332</v>
      </c>
      <c r="F19" s="268"/>
      <c r="G19" s="268"/>
      <c r="H19" s="268"/>
      <c r="I19" s="25"/>
      <c r="J19" s="25"/>
      <c r="K19" s="25"/>
      <c r="L19" s="24"/>
      <c r="M19" s="124"/>
      <c r="N19" s="231"/>
      <c r="O19" s="25"/>
      <c r="P19" s="25"/>
      <c r="AE19" s="2" t="s">
        <v>333</v>
      </c>
      <c r="AF19" s="2">
        <v>10</v>
      </c>
    </row>
    <row r="20" spans="2:42" x14ac:dyDescent="0.3">
      <c r="B20" s="2" t="s">
        <v>334</v>
      </c>
      <c r="C20" s="42" t="s">
        <v>335</v>
      </c>
      <c r="D20" s="227"/>
      <c r="E20" s="2" t="s">
        <v>334</v>
      </c>
      <c r="F20" s="42" t="s">
        <v>336</v>
      </c>
      <c r="H20" s="116" t="s">
        <v>337</v>
      </c>
      <c r="I20" s="116" t="s">
        <v>335</v>
      </c>
      <c r="J20" s="25"/>
      <c r="K20" s="25"/>
      <c r="L20" s="24"/>
      <c r="M20" s="124"/>
      <c r="N20" s="231"/>
      <c r="O20" s="25"/>
      <c r="P20" s="25"/>
    </row>
    <row r="21" spans="2:42" x14ac:dyDescent="0.3">
      <c r="B21" s="2" t="s">
        <v>328</v>
      </c>
      <c r="C21" s="123">
        <v>0.7</v>
      </c>
      <c r="D21" s="227"/>
      <c r="E21" s="2" t="s">
        <v>328</v>
      </c>
      <c r="F21" s="28">
        <f>$C$26*C21</f>
        <v>87.791666666666472</v>
      </c>
      <c r="H21" s="116">
        <v>1</v>
      </c>
      <c r="I21" s="116">
        <f>$C$28/$C$26*H21</f>
        <v>2.481395348837216</v>
      </c>
      <c r="J21" s="25"/>
      <c r="K21" s="25"/>
      <c r="L21" s="24"/>
      <c r="M21" s="124"/>
      <c r="N21" s="231"/>
      <c r="O21" s="25"/>
      <c r="P21" s="25"/>
    </row>
    <row r="22" spans="2:42" ht="15.75" x14ac:dyDescent="0.3">
      <c r="B22" s="2" t="s">
        <v>324</v>
      </c>
      <c r="C22" s="33">
        <f>1-C21</f>
        <v>0.30000000000000004</v>
      </c>
      <c r="D22" s="227"/>
      <c r="E22" s="2" t="s">
        <v>324</v>
      </c>
      <c r="F22" s="28">
        <f>$C$26*C22</f>
        <v>37.624999999999922</v>
      </c>
      <c r="H22" s="116">
        <v>1</v>
      </c>
      <c r="I22" s="116">
        <f>$C$29/$C$26*H22</f>
        <v>1.0634551495016642</v>
      </c>
      <c r="J22" s="25"/>
      <c r="K22" s="25"/>
      <c r="L22" s="24"/>
      <c r="M22" s="124"/>
      <c r="N22" s="231"/>
      <c r="O22" s="25"/>
      <c r="P22" s="25"/>
      <c r="AF22" s="35" t="s">
        <v>338</v>
      </c>
    </row>
    <row r="23" spans="2:42" x14ac:dyDescent="0.3">
      <c r="B23" s="25"/>
      <c r="C23" s="228"/>
      <c r="D23" s="227"/>
      <c r="E23" s="144"/>
      <c r="F23" s="25"/>
      <c r="G23" s="25"/>
      <c r="H23" s="25"/>
      <c r="I23" s="25"/>
      <c r="J23" s="25"/>
      <c r="K23" s="25"/>
      <c r="L23" s="24"/>
      <c r="M23" s="124"/>
      <c r="N23" s="231"/>
      <c r="O23" s="25"/>
      <c r="P23" s="25"/>
      <c r="AG23" s="1" t="s">
        <v>339</v>
      </c>
      <c r="AH23" s="1" t="s">
        <v>340</v>
      </c>
      <c r="AI23" s="1" t="s">
        <v>341</v>
      </c>
      <c r="AJ23" s="1" t="s">
        <v>342</v>
      </c>
      <c r="AK23" s="1" t="s">
        <v>343</v>
      </c>
      <c r="AL23" s="1" t="s">
        <v>344</v>
      </c>
      <c r="AM23" s="1" t="s">
        <v>345</v>
      </c>
      <c r="AN23" s="1" t="s">
        <v>346</v>
      </c>
      <c r="AO23" s="1" t="s">
        <v>347</v>
      </c>
      <c r="AP23" s="1" t="s">
        <v>348</v>
      </c>
    </row>
    <row r="24" spans="2:42" x14ac:dyDescent="0.3">
      <c r="B24" s="263" t="s">
        <v>349</v>
      </c>
      <c r="C24" s="265"/>
      <c r="D24" s="227"/>
      <c r="E24" s="144"/>
      <c r="F24" s="25"/>
      <c r="G24" s="25"/>
      <c r="H24" s="25"/>
      <c r="I24" s="25"/>
      <c r="J24" s="25"/>
      <c r="K24" s="25"/>
      <c r="L24" s="24"/>
      <c r="M24" s="124"/>
      <c r="N24" s="231"/>
      <c r="O24" s="25"/>
      <c r="P24" s="25"/>
      <c r="AF24" s="1" t="s">
        <v>275</v>
      </c>
      <c r="AG24" s="134">
        <f>AH2*$AF$19*$AF$17</f>
        <v>95.419847328244288</v>
      </c>
      <c r="AH24" s="134">
        <f>AH2*$AF$18*$AF$17</f>
        <v>2290.0763358778627</v>
      </c>
      <c r="AI24" s="134">
        <f>AJ2*$AF$19*$AF$17</f>
        <v>95.419847328244288</v>
      </c>
      <c r="AJ24" s="134">
        <f>AJ2*$AF$18*$AF$17</f>
        <v>2290.0763358778627</v>
      </c>
      <c r="AK24" s="134">
        <f>AL2*$AF$19*$AF$17</f>
        <v>190.83969465648858</v>
      </c>
      <c r="AL24" s="134">
        <f>AL2*$AF$18*$AF$17</f>
        <v>4580.1526717557254</v>
      </c>
      <c r="AM24" s="134">
        <f>AN2*$AF$19*$AF$17</f>
        <v>286.25954198473278</v>
      </c>
      <c r="AN24" s="134">
        <f>AN2*$AF$18*$AF$17</f>
        <v>6870.2290076335876</v>
      </c>
      <c r="AO24" s="134">
        <f>AP2*$AF$19*$AF$17</f>
        <v>3816.7938931297713</v>
      </c>
      <c r="AP24" s="134">
        <f>AP2*$AF$18*$AF$17</f>
        <v>91603.053435114503</v>
      </c>
    </row>
    <row r="25" spans="2:42" x14ac:dyDescent="0.3">
      <c r="B25" s="2" t="s">
        <v>334</v>
      </c>
      <c r="C25" s="33" t="s">
        <v>350</v>
      </c>
      <c r="D25" s="227"/>
      <c r="E25" s="144"/>
      <c r="F25" s="25"/>
      <c r="G25" s="25"/>
      <c r="H25" s="25"/>
      <c r="I25" s="25"/>
      <c r="J25" s="25"/>
      <c r="K25" s="25"/>
      <c r="L25" s="24"/>
      <c r="M25" s="124"/>
      <c r="N25" s="231"/>
      <c r="O25" s="25"/>
      <c r="P25" s="25"/>
      <c r="AE25" s="23"/>
      <c r="AF25" s="1" t="s">
        <v>280</v>
      </c>
      <c r="AG25" s="134">
        <f>AH3*$AF$19*$AF$17</f>
        <v>9.5419847328244281</v>
      </c>
      <c r="AH25" s="134">
        <f>AH3*$AF$18*$AF$17</f>
        <v>229.00763358778624</v>
      </c>
      <c r="AI25" s="134">
        <f>AJ3*$AF$19*$AF$17</f>
        <v>9.5419847328244281</v>
      </c>
      <c r="AJ25" s="134">
        <f>AJ3*$AF$18*$AF$17</f>
        <v>229.00763358778624</v>
      </c>
      <c r="AK25" s="134">
        <f>AL3*$AF$19*$AF$17</f>
        <v>9.5419847328244281</v>
      </c>
      <c r="AL25" s="134">
        <f>AL3*$AF$18*$AF$17</f>
        <v>229.00763358778624</v>
      </c>
      <c r="AM25" s="134">
        <f>AN3*$AF$19*$AF$17</f>
        <v>9.5419847328244281</v>
      </c>
      <c r="AN25" s="134">
        <f>AN3*$AF$18*$AF$17</f>
        <v>229.00763358778624</v>
      </c>
      <c r="AO25" s="134">
        <f>AP3*$AF$19*$AF$17</f>
        <v>9.5419847328244281</v>
      </c>
      <c r="AP25" s="134">
        <f>AP3*$AF$18*$AF$17</f>
        <v>229.00763358778624</v>
      </c>
    </row>
    <row r="26" spans="2:42" x14ac:dyDescent="0.3">
      <c r="B26" s="2" t="s">
        <v>275</v>
      </c>
      <c r="C26" s="33">
        <f>SUM(N13:N17)</f>
        <v>125.41666666666639</v>
      </c>
      <c r="D26" s="227"/>
      <c r="E26" s="144"/>
      <c r="F26" s="25"/>
      <c r="G26" s="25"/>
      <c r="H26" s="25"/>
      <c r="I26" s="25"/>
      <c r="J26" s="25"/>
      <c r="K26" s="25"/>
      <c r="L26" s="24"/>
      <c r="M26" s="124"/>
      <c r="N26" s="231"/>
      <c r="O26" s="25"/>
      <c r="P26" s="25"/>
      <c r="AE26" s="23"/>
      <c r="AF26" s="1" t="s">
        <v>284</v>
      </c>
      <c r="AG26" s="134">
        <f>AH4*$AF$19*$AF$17</f>
        <v>9.5419847328244281</v>
      </c>
      <c r="AH26" s="134">
        <f>AH4*$AF$18*$AF$17</f>
        <v>229.00763358778624</v>
      </c>
      <c r="AI26" s="134">
        <f>AJ4*$AF$19*$AF$17</f>
        <v>9.5419847328244281</v>
      </c>
      <c r="AJ26" s="134">
        <f>AJ4*$AF$18*$AF$17</f>
        <v>229.00763358778624</v>
      </c>
      <c r="AK26" s="134">
        <f>AL4*$AF$19*$AF$17</f>
        <v>9.5419847328244281</v>
      </c>
      <c r="AL26" s="134">
        <f>AL4*$AF$18*$AF$17</f>
        <v>229.00763358778624</v>
      </c>
      <c r="AM26" s="134">
        <f>AN4*$AF$19*$AF$17</f>
        <v>9.5419847328244281</v>
      </c>
      <c r="AN26" s="134">
        <f>AN4*$AF$18*$AF$17</f>
        <v>229.00763358778624</v>
      </c>
      <c r="AO26" s="134">
        <f>AP4*$AF$19*$AF$17</f>
        <v>9.5419847328244281</v>
      </c>
      <c r="AP26" s="134">
        <f>AP4*$AF$18*$AF$17</f>
        <v>229.00763358778624</v>
      </c>
    </row>
    <row r="27" spans="2:42" x14ac:dyDescent="0.3">
      <c r="B27" s="2" t="s">
        <v>325</v>
      </c>
      <c r="C27" s="33">
        <f>SUM(L15:L17)</f>
        <v>30</v>
      </c>
      <c r="D27" s="227"/>
      <c r="E27" s="144"/>
      <c r="F27" s="25"/>
      <c r="G27" s="25"/>
      <c r="H27" s="25"/>
      <c r="I27" s="25"/>
      <c r="J27" s="25"/>
      <c r="K27" s="25"/>
      <c r="L27" s="24"/>
      <c r="M27" s="124"/>
      <c r="N27" s="231"/>
      <c r="O27" s="25"/>
      <c r="P27" s="25"/>
      <c r="AE27" s="23"/>
      <c r="AF27" s="1" t="s">
        <v>288</v>
      </c>
      <c r="AG27" s="134">
        <f>AH5*$AF$19*$AF$17</f>
        <v>0.38167938931297712</v>
      </c>
      <c r="AH27" s="134">
        <f>AH5*$AF$18*$AF$17</f>
        <v>9.1603053435114496</v>
      </c>
      <c r="AI27" s="134">
        <f>AJ5*$AF$19*$AF$17</f>
        <v>0.38167938931297712</v>
      </c>
      <c r="AJ27" s="134">
        <f>AJ5*$AF$18*$AF$17</f>
        <v>9.1603053435114496</v>
      </c>
      <c r="AK27" s="134">
        <f>AL5*$AF$19*$AF$17</f>
        <v>0.38167938931297712</v>
      </c>
      <c r="AL27" s="134">
        <f>AL5*$AF$18*$AF$17</f>
        <v>9.1603053435114496</v>
      </c>
      <c r="AM27" s="134">
        <f>AN5*$AF$19*$AF$17</f>
        <v>0.38167938931297712</v>
      </c>
      <c r="AN27" s="134">
        <f>AN5*$AF$18*$AF$17</f>
        <v>9.1603053435114496</v>
      </c>
      <c r="AO27" s="134">
        <f>AP5*$AF$19*$AF$17</f>
        <v>0.38167938931297712</v>
      </c>
      <c r="AP27" s="134">
        <f>AP5*$AF$18*$AF$17</f>
        <v>9.1603053435114496</v>
      </c>
    </row>
    <row r="28" spans="2:42" x14ac:dyDescent="0.3">
      <c r="B28" s="2" t="s">
        <v>328</v>
      </c>
      <c r="C28" s="33">
        <f>(C3-C26-C27)*$C$21</f>
        <v>311.20833333333348</v>
      </c>
      <c r="D28" s="227"/>
      <c r="E28" s="144"/>
      <c r="F28" s="25"/>
      <c r="G28" s="25"/>
      <c r="H28" s="25"/>
      <c r="I28" s="25"/>
      <c r="J28" s="25"/>
      <c r="K28" s="25"/>
      <c r="L28" s="24"/>
      <c r="M28" s="124"/>
      <c r="N28" s="231"/>
      <c r="O28" s="25"/>
      <c r="P28" s="25"/>
      <c r="AE28" s="23"/>
      <c r="AF28" s="1" t="s">
        <v>291</v>
      </c>
      <c r="AG28" s="134">
        <f>AH6*$AF$19*$AF$17</f>
        <v>190.83969465648858</v>
      </c>
      <c r="AH28" s="134">
        <f>AH6*$AF$18*$AF$17</f>
        <v>4580.1526717557254</v>
      </c>
      <c r="AI28" s="134">
        <f>AJ6*$AF$19*$AF$17</f>
        <v>190.83969465648858</v>
      </c>
      <c r="AJ28" s="134">
        <f>AJ6*$AF$18*$AF$17</f>
        <v>4580.1526717557254</v>
      </c>
      <c r="AK28" s="134">
        <f>AL6*$AF$19*$AF$17</f>
        <v>190.83969465648858</v>
      </c>
      <c r="AL28" s="134">
        <f>AL6*$AF$18*$AF$17</f>
        <v>4580.1526717557254</v>
      </c>
      <c r="AM28" s="134">
        <f>AN6*$AF$19*$AF$17</f>
        <v>190.83969465648858</v>
      </c>
      <c r="AN28" s="134">
        <f>AN6*$AF$18*$AF$17</f>
        <v>4580.1526717557254</v>
      </c>
      <c r="AO28" s="134">
        <f>AP6*$AF$19*$AF$17</f>
        <v>190.83969465648858</v>
      </c>
      <c r="AP28" s="134">
        <f>AP6*$AF$18*$AF$17</f>
        <v>4580.1526717557254</v>
      </c>
    </row>
    <row r="29" spans="2:42" x14ac:dyDescent="0.3">
      <c r="B29" s="2" t="s">
        <v>324</v>
      </c>
      <c r="C29" s="33">
        <f>C28/C21*C22</f>
        <v>133.37500000000009</v>
      </c>
      <c r="D29" s="227"/>
      <c r="E29" s="144"/>
      <c r="F29" s="25"/>
      <c r="G29" s="25"/>
      <c r="H29" s="25"/>
      <c r="I29" s="25"/>
      <c r="J29" s="25"/>
      <c r="K29" s="25"/>
      <c r="L29" s="24"/>
      <c r="M29" s="124"/>
      <c r="N29" s="231"/>
      <c r="O29" s="25"/>
      <c r="P29" s="25"/>
      <c r="AE29" s="23"/>
      <c r="AF29" s="23"/>
      <c r="AG29" s="23"/>
    </row>
    <row r="30" spans="2:42" x14ac:dyDescent="0.3">
      <c r="D30" s="25"/>
      <c r="E30" s="25"/>
      <c r="F30" s="25"/>
      <c r="G30" s="25"/>
      <c r="I30" s="25"/>
      <c r="J30" s="25"/>
      <c r="K30" s="25"/>
      <c r="M30" s="25"/>
      <c r="N30" s="25"/>
      <c r="O30" s="25"/>
      <c r="P30" s="25"/>
      <c r="Q30" s="25"/>
      <c r="R30" s="25"/>
      <c r="S30" s="25"/>
    </row>
    <row r="31" spans="2:42" x14ac:dyDescent="0.3">
      <c r="B31" s="262" t="s">
        <v>351</v>
      </c>
      <c r="C31" s="262"/>
      <c r="D31" s="262"/>
      <c r="E31" s="262"/>
      <c r="F31" s="262"/>
      <c r="G31" s="262"/>
      <c r="H31" s="262"/>
      <c r="I31" s="25"/>
      <c r="J31" s="25"/>
      <c r="K31" s="25"/>
      <c r="L31" s="25"/>
      <c r="M31" s="25"/>
      <c r="N31" s="25"/>
      <c r="O31" s="25"/>
      <c r="P31" s="25"/>
      <c r="Q31" s="25"/>
      <c r="R31" s="25"/>
      <c r="S31" s="25"/>
      <c r="AH31" s="1" t="str">
        <f>"("&amp;AH10&amp;","&amp;AH10&amp;")"</f>
        <v>(5,5)</v>
      </c>
      <c r="AJ31" s="1" t="str">
        <f>"("&amp;AJ10&amp;","&amp;AJ10&amp;")"</f>
        <v>(5,5)</v>
      </c>
      <c r="AL31" s="1" t="str">
        <f>"("&amp;AL10&amp;","&amp;AL10&amp;")"</f>
        <v>(10,10)</v>
      </c>
      <c r="AN31" s="1" t="str">
        <f>"("&amp;AN10&amp;","&amp;AN10&amp;")"</f>
        <v>(15,15)</v>
      </c>
      <c r="AP31" s="1" t="str">
        <f>"("&amp;AP10&amp;","&amp;AP10&amp;")"</f>
        <v>(200,200)</v>
      </c>
    </row>
    <row r="32" spans="2:42" x14ac:dyDescent="0.3">
      <c r="B32" s="2" t="s">
        <v>352</v>
      </c>
      <c r="C32" s="2" t="s">
        <v>353</v>
      </c>
      <c r="D32" s="2" t="s">
        <v>354</v>
      </c>
      <c r="E32" s="2" t="s">
        <v>355</v>
      </c>
      <c r="F32" s="2" t="s">
        <v>356</v>
      </c>
      <c r="G32" s="2" t="s">
        <v>357</v>
      </c>
      <c r="H32" s="2" t="s">
        <v>358</v>
      </c>
      <c r="I32" s="25"/>
      <c r="O32" s="25"/>
      <c r="P32" s="25"/>
      <c r="Q32" s="25"/>
      <c r="R32" s="25"/>
      <c r="S32" s="25"/>
      <c r="AH32" s="1" t="str">
        <f t="shared" ref="AH32:AJ33" si="0">"("&amp;AH11&amp;","&amp;AH11&amp;")"</f>
        <v>(1,1)</v>
      </c>
      <c r="AJ32" s="1" t="str">
        <f t="shared" si="0"/>
        <v>(1,1)</v>
      </c>
      <c r="AL32" s="1" t="str">
        <f t="shared" ref="AL32:AL35" si="1">"("&amp;AL11&amp;","&amp;AL11&amp;")"</f>
        <v>(1,1)</v>
      </c>
      <c r="AN32" s="1" t="str">
        <f t="shared" ref="AN32:AN35" si="2">"("&amp;AN11&amp;","&amp;AN11&amp;")"</f>
        <v>(1,1)</v>
      </c>
      <c r="AP32" s="1" t="str">
        <f t="shared" ref="AP32:AP35" si="3">"("&amp;AP11&amp;","&amp;AP11&amp;")"</f>
        <v>(1,1)</v>
      </c>
    </row>
    <row r="33" spans="2:42" x14ac:dyDescent="0.3">
      <c r="B33" s="2" t="s">
        <v>359</v>
      </c>
      <c r="C33" s="2" t="s">
        <v>360</v>
      </c>
      <c r="D33" s="2">
        <v>1</v>
      </c>
      <c r="E33" s="229">
        <v>1</v>
      </c>
      <c r="F33" s="42">
        <v>300</v>
      </c>
      <c r="G33" s="21">
        <f>VLOOKUP(C33,坦克升星消耗!$E:$F,2,FALSE)</f>
        <v>3</v>
      </c>
      <c r="H33" s="42">
        <f>F33/G33</f>
        <v>100</v>
      </c>
      <c r="J33" s="134"/>
      <c r="L33" s="134"/>
      <c r="S33" s="25"/>
      <c r="AH33" s="1" t="str">
        <f t="shared" si="0"/>
        <v>(5,5)</v>
      </c>
      <c r="AJ33" s="1" t="str">
        <f t="shared" si="0"/>
        <v>(5,5)</v>
      </c>
      <c r="AL33" s="1" t="str">
        <f t="shared" si="1"/>
        <v>(5,5)</v>
      </c>
      <c r="AN33" s="1" t="str">
        <f t="shared" si="2"/>
        <v>(5,5)</v>
      </c>
      <c r="AP33" s="1" t="str">
        <f t="shared" si="3"/>
        <v>(5,5)</v>
      </c>
    </row>
    <row r="34" spans="2:42" x14ac:dyDescent="0.3">
      <c r="B34" s="2" t="s">
        <v>361</v>
      </c>
      <c r="C34" s="2" t="s">
        <v>362</v>
      </c>
      <c r="D34" s="2">
        <v>1.2</v>
      </c>
      <c r="E34" s="229">
        <v>1.728</v>
      </c>
      <c r="F34" s="42">
        <v>600</v>
      </c>
      <c r="G34" s="21">
        <f>VLOOKUP(C34,坦克升星消耗!$E:$F,2,FALSE)</f>
        <v>6</v>
      </c>
      <c r="H34" s="42">
        <f t="shared" ref="H34:H44" si="4">F34/G34</f>
        <v>100</v>
      </c>
      <c r="J34" s="134"/>
      <c r="L34" s="134"/>
      <c r="S34" s="25"/>
      <c r="AE34" s="25"/>
      <c r="AF34" s="25"/>
      <c r="AG34" s="25"/>
      <c r="AH34" s="1" t="str">
        <f>"("&amp;AH13&amp;","&amp;AH13&amp;")"</f>
        <v>(1,1)</v>
      </c>
      <c r="AJ34" s="1" t="str">
        <f>"("&amp;AJ13&amp;","&amp;AJ13&amp;")"</f>
        <v>(1,1)</v>
      </c>
      <c r="AL34" s="1" t="str">
        <f t="shared" si="1"/>
        <v>(1,1)</v>
      </c>
      <c r="AN34" s="1" t="str">
        <f t="shared" si="2"/>
        <v>(1,1)</v>
      </c>
      <c r="AP34" s="1" t="str">
        <f t="shared" si="3"/>
        <v>(1,1)</v>
      </c>
    </row>
    <row r="35" spans="2:42" x14ac:dyDescent="0.3">
      <c r="B35" s="2" t="s">
        <v>361</v>
      </c>
      <c r="C35" s="2" t="s">
        <v>363</v>
      </c>
      <c r="D35" s="2">
        <v>1.22</v>
      </c>
      <c r="E35" s="229">
        <v>1.8158479999999999</v>
      </c>
      <c r="F35" s="42">
        <v>800</v>
      </c>
      <c r="G35" s="21">
        <f>VLOOKUP(C35,坦克升星消耗!$E:$F,2,FALSE)</f>
        <v>6</v>
      </c>
      <c r="H35" s="42">
        <f t="shared" si="4"/>
        <v>133.33333333333334</v>
      </c>
      <c r="J35" s="134"/>
      <c r="S35" s="25"/>
      <c r="AE35" s="25"/>
      <c r="AF35" s="25"/>
      <c r="AG35" s="25"/>
      <c r="AH35" s="1" t="str">
        <f>"("&amp;AH14&amp;","&amp;AH14&amp;")"</f>
        <v>(10,10)</v>
      </c>
      <c r="AJ35" s="1" t="str">
        <f>"("&amp;AJ14&amp;","&amp;AJ14&amp;")"</f>
        <v>(10,10)</v>
      </c>
      <c r="AL35" s="1" t="str">
        <f t="shared" si="1"/>
        <v>(10,10)</v>
      </c>
      <c r="AN35" s="1" t="str">
        <f t="shared" si="2"/>
        <v>(10,10)</v>
      </c>
      <c r="AP35" s="1" t="str">
        <f t="shared" si="3"/>
        <v>(10,10)</v>
      </c>
    </row>
    <row r="36" spans="2:42" x14ac:dyDescent="0.3">
      <c r="B36" s="2" t="s">
        <v>364</v>
      </c>
      <c r="C36" s="2" t="s">
        <v>365</v>
      </c>
      <c r="D36" s="2">
        <v>1.48</v>
      </c>
      <c r="E36" s="229">
        <v>3.2417919999999998</v>
      </c>
      <c r="F36" s="42">
        <v>1650</v>
      </c>
      <c r="G36" s="21">
        <f>VLOOKUP(C36,坦克升星消耗!$E:$F,2,FALSE)</f>
        <v>24</v>
      </c>
      <c r="H36" s="42">
        <f t="shared" si="4"/>
        <v>68.75</v>
      </c>
      <c r="J36" s="134">
        <f>F36*[1]坦克升星消耗!J24</f>
        <v>43749.999999999978</v>
      </c>
      <c r="L36" s="134"/>
      <c r="S36" s="25"/>
      <c r="AE36" s="25"/>
      <c r="AF36" s="25"/>
      <c r="AG36" s="25"/>
      <c r="AH36" s="1" t="str">
        <f>"["&amp;AH31&amp;","&amp;AH32&amp;","&amp;AH33&amp;","&amp;AH34&amp;","&amp;AH35&amp;"]"</f>
        <v>[(5,5),(1,1),(5,5),(1,1),(10,10)]</v>
      </c>
      <c r="AJ36" s="1" t="str">
        <f>"["&amp;AJ31&amp;","&amp;AJ32&amp;","&amp;AJ33&amp;","&amp;AJ34&amp;","&amp;AJ35&amp;"]"</f>
        <v>[(5,5),(1,1),(5,5),(1,1),(10,10)]</v>
      </c>
      <c r="AL36" s="1" t="str">
        <f>"["&amp;AL31&amp;","&amp;AL32&amp;","&amp;AL33&amp;","&amp;AL34&amp;","&amp;AL35&amp;"]"</f>
        <v>[(10,10),(1,1),(5,5),(1,1),(10,10)]</v>
      </c>
      <c r="AN36" s="1" t="str">
        <f>"["&amp;AN31&amp;","&amp;AN32&amp;","&amp;AN33&amp;","&amp;AN34&amp;","&amp;AN35&amp;"]"</f>
        <v>[(15,15),(1,1),(5,5),(1,1),(10,10)]</v>
      </c>
      <c r="AP36" s="1" t="str">
        <f>"["&amp;AP31&amp;","&amp;AP32&amp;","&amp;AP33&amp;","&amp;AP34&amp;","&amp;AP35&amp;"]"</f>
        <v>[(200,200),(1,1),(5,5),(1,1),(10,10)]</v>
      </c>
    </row>
    <row r="37" spans="2:42" x14ac:dyDescent="0.3">
      <c r="B37" s="2" t="s">
        <v>364</v>
      </c>
      <c r="C37" s="2" t="s">
        <v>366</v>
      </c>
      <c r="D37" s="2">
        <v>1.54</v>
      </c>
      <c r="E37" s="229">
        <v>3.6522640000000002</v>
      </c>
      <c r="F37" s="42">
        <v>2100</v>
      </c>
      <c r="G37" s="21">
        <f>VLOOKUP(C37,坦克升星消耗!$E:$F,2,FALSE)</f>
        <v>24</v>
      </c>
      <c r="H37" s="42">
        <f t="shared" si="4"/>
        <v>87.5</v>
      </c>
      <c r="J37" s="134">
        <f>F37*[1]坦克升星消耗!J25</f>
        <v>69650.000000000073</v>
      </c>
      <c r="K37" s="1">
        <f>J37/J36</f>
        <v>1.5920000000000025</v>
      </c>
      <c r="S37" s="25"/>
      <c r="AE37" s="25"/>
      <c r="AF37" s="25"/>
      <c r="AG37" s="25"/>
      <c r="AH37" s="25"/>
    </row>
    <row r="38" spans="2:42" x14ac:dyDescent="0.3">
      <c r="B38" s="2" t="s">
        <v>364</v>
      </c>
      <c r="C38" s="2" t="s">
        <v>367</v>
      </c>
      <c r="D38" s="2">
        <v>1.54</v>
      </c>
      <c r="E38" s="229">
        <v>3.6522640000000002</v>
      </c>
      <c r="F38" s="42">
        <v>2400</v>
      </c>
      <c r="G38" s="21">
        <f>VLOOKUP(C38,坦克升星消耗!$E:$F,2,FALSE)</f>
        <v>24</v>
      </c>
      <c r="H38" s="42">
        <f t="shared" si="4"/>
        <v>100</v>
      </c>
      <c r="J38" s="134">
        <f>F38*[1]坦克升星消耗!J26</f>
        <v>99250.000000000073</v>
      </c>
      <c r="K38" s="1">
        <f>J38/J36</f>
        <v>2.2685714285714313</v>
      </c>
      <c r="S38" s="25"/>
      <c r="AE38" s="25"/>
      <c r="AF38" s="25"/>
      <c r="AG38" s="25"/>
      <c r="AH38" s="25"/>
    </row>
    <row r="39" spans="2:42" x14ac:dyDescent="0.3">
      <c r="B39" s="2" t="s">
        <v>368</v>
      </c>
      <c r="C39" s="2" t="s">
        <v>369</v>
      </c>
      <c r="D39" s="2">
        <v>1.92</v>
      </c>
      <c r="E39" s="229">
        <v>7.0778879999999997</v>
      </c>
      <c r="F39" s="42">
        <v>5250</v>
      </c>
      <c r="G39" s="21">
        <f>VLOOKUP(C39,坦克升星消耗!$E:$F,2,FALSE)</f>
        <v>50</v>
      </c>
      <c r="H39" s="42">
        <f t="shared" si="4"/>
        <v>105</v>
      </c>
      <c r="J39" s="134">
        <f>F39*[1]坦克升星消耗!J27</f>
        <v>175899.99999999997</v>
      </c>
      <c r="L39" s="134"/>
      <c r="S39" s="25"/>
      <c r="AE39" s="25"/>
      <c r="AF39" s="25"/>
      <c r="AG39" s="25"/>
      <c r="AH39" s="25"/>
    </row>
    <row r="40" spans="2:42" x14ac:dyDescent="0.3">
      <c r="B40" s="2" t="s">
        <v>368</v>
      </c>
      <c r="C40" s="2" t="s">
        <v>370</v>
      </c>
      <c r="D40" s="2">
        <v>2</v>
      </c>
      <c r="E40" s="229">
        <v>8</v>
      </c>
      <c r="F40" s="42">
        <v>6500</v>
      </c>
      <c r="G40" s="21">
        <f>VLOOKUP(C40,坦克升星消耗!$E:$F,2,FALSE)</f>
        <v>50</v>
      </c>
      <c r="H40" s="42">
        <f t="shared" si="4"/>
        <v>130</v>
      </c>
      <c r="J40" s="134">
        <f>F40*[1]坦克升星消耗!J28</f>
        <v>270800.00000000023</v>
      </c>
      <c r="K40" s="1">
        <f>J40/J39</f>
        <v>1.5395110858442314</v>
      </c>
      <c r="S40" s="25"/>
      <c r="AE40" s="25"/>
      <c r="AF40" s="25"/>
      <c r="AG40" s="25"/>
      <c r="AH40" s="25"/>
    </row>
    <row r="41" spans="2:42" x14ac:dyDescent="0.3">
      <c r="B41" s="2" t="s">
        <v>368</v>
      </c>
      <c r="C41" s="2" t="s">
        <v>371</v>
      </c>
      <c r="D41" s="2">
        <v>2</v>
      </c>
      <c r="E41" s="229">
        <v>8</v>
      </c>
      <c r="F41" s="42">
        <v>7250</v>
      </c>
      <c r="G41" s="21">
        <f>VLOOKUP(C41,坦克升星消耗!$E:$F,2,FALSE)</f>
        <v>50</v>
      </c>
      <c r="H41" s="42">
        <f t="shared" si="4"/>
        <v>145</v>
      </c>
      <c r="J41" s="134">
        <f>F41*[1]坦克升星消耗!J29</f>
        <v>376649.99999999977</v>
      </c>
      <c r="K41" s="1">
        <f>J41/J39</f>
        <v>2.1412734508243312</v>
      </c>
      <c r="S41" s="25"/>
      <c r="AE41" s="25"/>
      <c r="AF41" s="25"/>
      <c r="AG41" s="25"/>
      <c r="AH41" s="25"/>
    </row>
    <row r="42" spans="2:42" x14ac:dyDescent="0.3">
      <c r="B42" s="2" t="s">
        <v>372</v>
      </c>
      <c r="C42" s="2" t="s">
        <v>373</v>
      </c>
      <c r="D42" s="2">
        <v>2.52</v>
      </c>
      <c r="E42" s="229">
        <v>16.003008000000001</v>
      </c>
      <c r="F42" s="42">
        <v>15600</v>
      </c>
      <c r="G42" s="21">
        <f>VLOOKUP(C42,坦克升星消耗!$E:$F,2,FALSE)</f>
        <v>80</v>
      </c>
      <c r="H42" s="42">
        <f t="shared" si="4"/>
        <v>195</v>
      </c>
      <c r="J42" s="134">
        <f>F42*[1]坦克升星消耗!J30</f>
        <v>606750.00000000047</v>
      </c>
      <c r="L42" s="134"/>
      <c r="S42" s="25"/>
      <c r="AE42" s="25"/>
      <c r="AF42" s="25"/>
      <c r="AG42" s="25"/>
      <c r="AH42" s="25"/>
    </row>
    <row r="43" spans="2:42" x14ac:dyDescent="0.3">
      <c r="B43" s="2" t="s">
        <v>372</v>
      </c>
      <c r="C43" s="2" t="s">
        <v>374</v>
      </c>
      <c r="D43" s="2">
        <v>2.62</v>
      </c>
      <c r="E43" s="229">
        <v>17.984728</v>
      </c>
      <c r="F43" s="42">
        <v>18800</v>
      </c>
      <c r="G43" s="21" t="e">
        <f>VLOOKUP(C43,坦克升星消耗!$E:$F,2,FALSE)</f>
        <v>#N/A</v>
      </c>
      <c r="H43" s="42" t="e">
        <f t="shared" si="4"/>
        <v>#N/A</v>
      </c>
      <c r="J43" s="134">
        <f>F43*[1]坦克升星消耗!J31</f>
        <v>884050.00000000058</v>
      </c>
      <c r="S43" s="25"/>
      <c r="AE43" s="25"/>
      <c r="AF43" s="25"/>
      <c r="AG43" s="25"/>
      <c r="AH43" s="25"/>
    </row>
    <row r="44" spans="2:42" x14ac:dyDescent="0.3">
      <c r="B44" s="2" t="s">
        <v>372</v>
      </c>
      <c r="C44" s="2" t="s">
        <v>375</v>
      </c>
      <c r="D44" s="2">
        <v>2.62</v>
      </c>
      <c r="E44" s="229">
        <v>17.984728</v>
      </c>
      <c r="F44" s="42">
        <v>20000</v>
      </c>
      <c r="G44" s="21" t="e">
        <f>VLOOKUP(C44,坦克升星消耗!$E:$F,2,FALSE)</f>
        <v>#N/A</v>
      </c>
      <c r="H44" s="42" t="e">
        <f t="shared" si="4"/>
        <v>#N/A</v>
      </c>
      <c r="J44" s="134">
        <f>F44*[1]坦克升星消耗!J32</f>
        <v>1179050</v>
      </c>
      <c r="S44" s="25"/>
      <c r="AE44" s="25"/>
      <c r="AF44" s="25"/>
      <c r="AG44" s="25"/>
      <c r="AH44" s="25"/>
    </row>
    <row r="45" spans="2:42" x14ac:dyDescent="0.3">
      <c r="B45" s="25"/>
      <c r="C45" s="25"/>
      <c r="D45" s="25"/>
      <c r="E45" s="25"/>
      <c r="F45" s="124"/>
      <c r="G45" s="25"/>
      <c r="H45" s="25"/>
      <c r="AE45" s="25"/>
      <c r="AF45" s="25"/>
      <c r="AG45" s="25"/>
      <c r="AH45" s="25"/>
    </row>
    <row r="46" spans="2:42" x14ac:dyDescent="0.3">
      <c r="B46" s="263" t="s">
        <v>376</v>
      </c>
      <c r="C46" s="264"/>
      <c r="D46" s="264"/>
      <c r="E46" s="264"/>
      <c r="F46" s="264"/>
      <c r="G46" s="264"/>
      <c r="H46" s="265"/>
      <c r="AE46" s="25"/>
      <c r="AF46" s="25"/>
      <c r="AG46" s="25"/>
      <c r="AH46" s="25"/>
    </row>
    <row r="47" spans="2:42" x14ac:dyDescent="0.3">
      <c r="B47" s="2" t="s">
        <v>377</v>
      </c>
      <c r="C47" s="2" t="s">
        <v>378</v>
      </c>
      <c r="D47" s="2" t="s">
        <v>379</v>
      </c>
      <c r="E47" s="2" t="s">
        <v>380</v>
      </c>
      <c r="F47" s="2" t="s">
        <v>381</v>
      </c>
      <c r="G47" s="2" t="s">
        <v>273</v>
      </c>
      <c r="H47" s="2" t="s">
        <v>382</v>
      </c>
      <c r="I47" s="1" t="s">
        <v>317</v>
      </c>
      <c r="AE47" s="25"/>
      <c r="AF47" s="25"/>
      <c r="AG47" s="25"/>
      <c r="AH47" s="25"/>
    </row>
    <row r="48" spans="2:42" x14ac:dyDescent="0.3">
      <c r="B48" s="2">
        <v>3</v>
      </c>
      <c r="C48" s="2">
        <v>18</v>
      </c>
      <c r="D48" s="21">
        <v>0.75</v>
      </c>
      <c r="E48" s="2">
        <f t="shared" ref="E48:E53" si="5">B48*$C$2*D48</f>
        <v>225</v>
      </c>
      <c r="F48" s="2">
        <f t="shared" ref="F48:F53" si="6">E48</f>
        <v>225</v>
      </c>
      <c r="G48" s="2">
        <f t="shared" ref="G48:G53" si="7">E48/B48</f>
        <v>75</v>
      </c>
      <c r="H48" s="34">
        <f t="shared" ref="H48:H53" si="8">E48/C48</f>
        <v>12.5</v>
      </c>
      <c r="I48" s="1">
        <v>200</v>
      </c>
    </row>
    <row r="49" spans="2:24" x14ac:dyDescent="0.3">
      <c r="B49" s="2">
        <v>5</v>
      </c>
      <c r="C49" s="2">
        <v>30</v>
      </c>
      <c r="D49" s="21">
        <v>0.8</v>
      </c>
      <c r="E49" s="2">
        <f t="shared" si="5"/>
        <v>400</v>
      </c>
      <c r="F49" s="2">
        <f t="shared" si="6"/>
        <v>400</v>
      </c>
      <c r="G49" s="2">
        <f t="shared" si="7"/>
        <v>80</v>
      </c>
      <c r="H49" s="34">
        <f t="shared" si="8"/>
        <v>13.333333333333334</v>
      </c>
      <c r="I49" s="1">
        <v>360</v>
      </c>
    </row>
    <row r="50" spans="2:24" x14ac:dyDescent="0.3">
      <c r="B50" s="2">
        <v>10</v>
      </c>
      <c r="C50" s="2">
        <v>68</v>
      </c>
      <c r="D50" s="21">
        <v>0.85</v>
      </c>
      <c r="E50" s="2">
        <f t="shared" si="5"/>
        <v>850</v>
      </c>
      <c r="F50" s="2">
        <f t="shared" si="6"/>
        <v>850</v>
      </c>
      <c r="G50" s="2">
        <f t="shared" si="7"/>
        <v>85</v>
      </c>
      <c r="H50" s="34">
        <f t="shared" si="8"/>
        <v>12.5</v>
      </c>
      <c r="I50" s="1">
        <v>380</v>
      </c>
    </row>
    <row r="51" spans="2:24" x14ac:dyDescent="0.3">
      <c r="B51" s="2">
        <v>20</v>
      </c>
      <c r="C51" s="2">
        <v>128</v>
      </c>
      <c r="D51" s="21">
        <v>0.9</v>
      </c>
      <c r="E51" s="2">
        <f t="shared" si="5"/>
        <v>1800</v>
      </c>
      <c r="F51" s="2">
        <f t="shared" si="6"/>
        <v>1800</v>
      </c>
      <c r="G51" s="2">
        <f t="shared" si="7"/>
        <v>90</v>
      </c>
      <c r="H51" s="34">
        <f t="shared" si="8"/>
        <v>14.0625</v>
      </c>
      <c r="I51" s="1">
        <v>400</v>
      </c>
    </row>
    <row r="52" spans="2:24" x14ac:dyDescent="0.3">
      <c r="B52" s="2">
        <v>50</v>
      </c>
      <c r="C52" s="2">
        <v>328</v>
      </c>
      <c r="D52" s="21">
        <v>0.95</v>
      </c>
      <c r="E52" s="2">
        <f t="shared" si="5"/>
        <v>4750</v>
      </c>
      <c r="F52" s="2">
        <f t="shared" si="6"/>
        <v>4750</v>
      </c>
      <c r="G52" s="2">
        <f t="shared" si="7"/>
        <v>95</v>
      </c>
      <c r="H52" s="34">
        <f t="shared" si="8"/>
        <v>14.481707317073171</v>
      </c>
      <c r="U52" s="25"/>
    </row>
    <row r="53" spans="2:24" x14ac:dyDescent="0.3">
      <c r="B53" s="2">
        <v>100</v>
      </c>
      <c r="C53" s="2">
        <v>648</v>
      </c>
      <c r="D53" s="21">
        <v>1</v>
      </c>
      <c r="E53" s="2">
        <f t="shared" si="5"/>
        <v>10000</v>
      </c>
      <c r="F53" s="2">
        <f t="shared" si="6"/>
        <v>10000</v>
      </c>
      <c r="G53" s="2">
        <f t="shared" si="7"/>
        <v>100</v>
      </c>
      <c r="H53" s="34">
        <f t="shared" si="8"/>
        <v>15.432098765432098</v>
      </c>
      <c r="U53" s="25"/>
    </row>
    <row r="54" spans="2:24" x14ac:dyDescent="0.3">
      <c r="B54" s="25"/>
      <c r="C54" s="25"/>
      <c r="D54" s="25"/>
      <c r="E54" s="25"/>
      <c r="F54" s="124"/>
      <c r="G54" s="25"/>
      <c r="H54" s="25"/>
      <c r="U54" s="25"/>
    </row>
    <row r="55" spans="2:24" x14ac:dyDescent="0.3">
      <c r="B55" s="263" t="s">
        <v>383</v>
      </c>
      <c r="C55" s="264"/>
      <c r="D55" s="264"/>
      <c r="E55" s="264"/>
      <c r="F55" s="264"/>
      <c r="G55" s="264"/>
      <c r="H55" s="264"/>
      <c r="I55" s="264"/>
      <c r="J55" s="264"/>
      <c r="K55" s="264"/>
      <c r="L55" s="264"/>
      <c r="M55" s="264"/>
      <c r="N55" s="265"/>
      <c r="P55" s="263" t="s">
        <v>384</v>
      </c>
      <c r="Q55" s="264"/>
      <c r="R55" s="264"/>
      <c r="S55" s="265"/>
    </row>
    <row r="56" spans="2:24" x14ac:dyDescent="0.3">
      <c r="B56" s="2" t="s">
        <v>385</v>
      </c>
      <c r="C56" s="2" t="s">
        <v>386</v>
      </c>
      <c r="D56" s="2" t="s">
        <v>387</v>
      </c>
      <c r="E56" s="2" t="s">
        <v>388</v>
      </c>
      <c r="F56" s="2" t="s">
        <v>389</v>
      </c>
      <c r="G56" s="2" t="s">
        <v>390</v>
      </c>
      <c r="H56" s="2" t="s">
        <v>391</v>
      </c>
      <c r="I56" s="2" t="s">
        <v>392</v>
      </c>
      <c r="J56" s="2" t="s">
        <v>393</v>
      </c>
      <c r="K56" s="2" t="s">
        <v>394</v>
      </c>
      <c r="L56" s="2" t="s">
        <v>395</v>
      </c>
      <c r="M56" s="2" t="s">
        <v>396</v>
      </c>
      <c r="N56" s="2" t="s">
        <v>397</v>
      </c>
      <c r="P56" s="2" t="s">
        <v>385</v>
      </c>
      <c r="Q56" s="2" t="s">
        <v>398</v>
      </c>
      <c r="R56" s="2" t="s">
        <v>399</v>
      </c>
      <c r="S56" s="2" t="s">
        <v>400</v>
      </c>
    </row>
    <row r="57" spans="2:24" x14ac:dyDescent="0.3">
      <c r="B57" s="2">
        <v>1</v>
      </c>
      <c r="C57" s="2" t="s">
        <v>401</v>
      </c>
      <c r="D57" s="2" t="s">
        <v>402</v>
      </c>
      <c r="E57" s="2" t="s">
        <v>402</v>
      </c>
      <c r="F57" s="2" t="s">
        <v>402</v>
      </c>
      <c r="G57" s="2" t="s">
        <v>402</v>
      </c>
      <c r="H57" s="2" t="s">
        <v>402</v>
      </c>
      <c r="I57" s="2" t="s">
        <v>402</v>
      </c>
      <c r="J57" s="2" t="s">
        <v>402</v>
      </c>
      <c r="K57" s="2" t="s">
        <v>402</v>
      </c>
      <c r="L57" s="2" t="s">
        <v>402</v>
      </c>
      <c r="M57" s="2" t="s">
        <v>402</v>
      </c>
      <c r="N57" s="2" t="s">
        <v>402</v>
      </c>
      <c r="P57" s="2">
        <v>1</v>
      </c>
      <c r="Q57" s="2" t="s">
        <v>386</v>
      </c>
      <c r="R57" s="2"/>
      <c r="S57" s="2"/>
      <c r="U57" s="1" t="str">
        <f>CONCATENATE("[",V57,",",W57,",",X57,"]")</f>
        <v>[1111,2111,3111]</v>
      </c>
      <c r="V57" s="1">
        <v>1111</v>
      </c>
      <c r="W57" s="1">
        <v>2111</v>
      </c>
      <c r="X57" s="1">
        <v>3111</v>
      </c>
    </row>
    <row r="58" spans="2:24" x14ac:dyDescent="0.3">
      <c r="B58" s="2">
        <v>2</v>
      </c>
      <c r="C58" s="2" t="s">
        <v>401</v>
      </c>
      <c r="D58" s="2" t="s">
        <v>401</v>
      </c>
      <c r="E58" s="2" t="s">
        <v>402</v>
      </c>
      <c r="F58" s="2" t="s">
        <v>402</v>
      </c>
      <c r="G58" s="2" t="s">
        <v>402</v>
      </c>
      <c r="H58" s="2" t="s">
        <v>402</v>
      </c>
      <c r="I58" s="2" t="s">
        <v>402</v>
      </c>
      <c r="J58" s="2" t="s">
        <v>402</v>
      </c>
      <c r="K58" s="2" t="s">
        <v>402</v>
      </c>
      <c r="L58" s="2" t="s">
        <v>402</v>
      </c>
      <c r="M58" s="2" t="s">
        <v>402</v>
      </c>
      <c r="N58" s="2" t="s">
        <v>402</v>
      </c>
      <c r="P58" s="2">
        <v>2</v>
      </c>
      <c r="Q58" s="2" t="s">
        <v>387</v>
      </c>
      <c r="R58" s="2"/>
      <c r="S58" s="2"/>
      <c r="U58" s="1" t="str">
        <f>CONCATENATE("[",V58,",",W58,",",X58,"]")</f>
        <v>[1211,2211,3211]</v>
      </c>
      <c r="V58" s="1">
        <v>1211</v>
      </c>
      <c r="W58" s="1">
        <v>2211</v>
      </c>
      <c r="X58" s="1">
        <v>3211</v>
      </c>
    </row>
    <row r="59" spans="2:24" x14ac:dyDescent="0.3">
      <c r="B59" s="2">
        <v>3</v>
      </c>
      <c r="C59" s="2" t="s">
        <v>401</v>
      </c>
      <c r="D59" s="2" t="s">
        <v>401</v>
      </c>
      <c r="E59" s="2" t="s">
        <v>401</v>
      </c>
      <c r="F59" s="2" t="s">
        <v>402</v>
      </c>
      <c r="G59" s="2" t="s">
        <v>402</v>
      </c>
      <c r="H59" s="2" t="s">
        <v>402</v>
      </c>
      <c r="I59" s="2" t="s">
        <v>402</v>
      </c>
      <c r="J59" s="2" t="s">
        <v>402</v>
      </c>
      <c r="K59" s="2" t="s">
        <v>402</v>
      </c>
      <c r="L59" s="2" t="s">
        <v>402</v>
      </c>
      <c r="M59" s="2" t="s">
        <v>402</v>
      </c>
      <c r="N59" s="2" t="s">
        <v>402</v>
      </c>
      <c r="P59" s="2">
        <v>3</v>
      </c>
      <c r="Q59" s="2" t="s">
        <v>388</v>
      </c>
      <c r="R59" s="2"/>
      <c r="S59" s="2"/>
      <c r="U59" s="1" t="str">
        <f>CONCATENATE("[",V59,",",W59,",",X59,"]")</f>
        <v>[1221,2221,3221]</v>
      </c>
      <c r="V59" s="1">
        <v>1221</v>
      </c>
      <c r="W59" s="1">
        <v>2221</v>
      </c>
      <c r="X59" s="1">
        <v>3221</v>
      </c>
    </row>
    <row r="60" spans="2:24" x14ac:dyDescent="0.3">
      <c r="B60" s="2">
        <v>4</v>
      </c>
      <c r="C60" s="2" t="s">
        <v>401</v>
      </c>
      <c r="D60" s="2" t="s">
        <v>401</v>
      </c>
      <c r="E60" s="2" t="s">
        <v>401</v>
      </c>
      <c r="F60" s="2" t="s">
        <v>402</v>
      </c>
      <c r="G60" s="2" t="s">
        <v>402</v>
      </c>
      <c r="H60" s="2" t="s">
        <v>402</v>
      </c>
      <c r="I60" s="2" t="s">
        <v>402</v>
      </c>
      <c r="J60" s="2" t="s">
        <v>402</v>
      </c>
      <c r="K60" s="2" t="s">
        <v>402</v>
      </c>
      <c r="L60" s="2" t="s">
        <v>402</v>
      </c>
      <c r="M60" s="2" t="s">
        <v>402</v>
      </c>
      <c r="N60" s="2" t="s">
        <v>402</v>
      </c>
      <c r="P60" s="2">
        <v>4</v>
      </c>
      <c r="Q60" s="2"/>
      <c r="R60" s="2"/>
      <c r="S60" s="2"/>
      <c r="V60" s="1">
        <v>1311</v>
      </c>
      <c r="W60" s="1">
        <v>2311</v>
      </c>
      <c r="X60" s="1">
        <v>3311</v>
      </c>
    </row>
    <row r="61" spans="2:24" x14ac:dyDescent="0.3">
      <c r="B61" s="2">
        <v>5</v>
      </c>
      <c r="C61" s="2" t="s">
        <v>401</v>
      </c>
      <c r="D61" s="2" t="s">
        <v>401</v>
      </c>
      <c r="E61" s="2" t="s">
        <v>401</v>
      </c>
      <c r="F61" s="2" t="s">
        <v>401</v>
      </c>
      <c r="G61" s="2" t="s">
        <v>401</v>
      </c>
      <c r="H61" s="2" t="s">
        <v>402</v>
      </c>
      <c r="I61" s="2" t="s">
        <v>402</v>
      </c>
      <c r="J61" s="2" t="s">
        <v>402</v>
      </c>
      <c r="K61" s="2" t="s">
        <v>402</v>
      </c>
      <c r="L61" s="2" t="s">
        <v>402</v>
      </c>
      <c r="M61" s="2" t="s">
        <v>402</v>
      </c>
      <c r="N61" s="2" t="s">
        <v>402</v>
      </c>
      <c r="P61" s="2">
        <v>5</v>
      </c>
      <c r="Q61" s="2" t="s">
        <v>389</v>
      </c>
      <c r="R61" s="2" t="s">
        <v>390</v>
      </c>
      <c r="S61" s="2"/>
      <c r="U61" s="1" t="str">
        <f>CONCATENATE("[",V60,",",W60,",",X60,",",V61,",",W61,",",X61,"]")</f>
        <v>[1311,2311,3311,1321,2321,3321]</v>
      </c>
      <c r="V61" s="1">
        <v>1321</v>
      </c>
      <c r="W61" s="1">
        <v>2321</v>
      </c>
      <c r="X61" s="25">
        <v>3321</v>
      </c>
    </row>
    <row r="62" spans="2:24" x14ac:dyDescent="0.3">
      <c r="B62" s="2">
        <v>6</v>
      </c>
      <c r="C62" s="2" t="s">
        <v>401</v>
      </c>
      <c r="D62" s="2" t="s">
        <v>401</v>
      </c>
      <c r="E62" s="2" t="s">
        <v>401</v>
      </c>
      <c r="F62" s="2" t="s">
        <v>401</v>
      </c>
      <c r="G62" s="2" t="s">
        <v>401</v>
      </c>
      <c r="H62" s="2" t="s">
        <v>402</v>
      </c>
      <c r="I62" s="2" t="s">
        <v>402</v>
      </c>
      <c r="J62" s="2" t="s">
        <v>402</v>
      </c>
      <c r="K62" s="2" t="s">
        <v>402</v>
      </c>
      <c r="L62" s="2" t="s">
        <v>402</v>
      </c>
      <c r="M62" s="2" t="s">
        <v>402</v>
      </c>
      <c r="N62" s="2" t="s">
        <v>402</v>
      </c>
      <c r="P62" s="2">
        <v>6</v>
      </c>
      <c r="Q62" s="2"/>
      <c r="R62" s="2"/>
      <c r="S62" s="2"/>
      <c r="X62" s="25"/>
    </row>
    <row r="63" spans="2:24" x14ac:dyDescent="0.3">
      <c r="B63" s="2">
        <v>7</v>
      </c>
      <c r="C63" s="2" t="s">
        <v>401</v>
      </c>
      <c r="D63" s="2" t="s">
        <v>401</v>
      </c>
      <c r="E63" s="2" t="s">
        <v>401</v>
      </c>
      <c r="F63" s="2" t="s">
        <v>401</v>
      </c>
      <c r="G63" s="2" t="s">
        <v>401</v>
      </c>
      <c r="H63" s="2" t="s">
        <v>402</v>
      </c>
      <c r="I63" s="2" t="s">
        <v>402</v>
      </c>
      <c r="J63" s="2" t="s">
        <v>402</v>
      </c>
      <c r="K63" s="2" t="s">
        <v>402</v>
      </c>
      <c r="L63" s="2" t="s">
        <v>402</v>
      </c>
      <c r="M63" s="2" t="s">
        <v>402</v>
      </c>
      <c r="N63" s="2" t="s">
        <v>402</v>
      </c>
      <c r="P63" s="2">
        <v>7</v>
      </c>
      <c r="Q63" s="2"/>
      <c r="R63" s="2"/>
      <c r="S63" s="2"/>
      <c r="V63" s="1">
        <v>1411</v>
      </c>
      <c r="W63" s="1">
        <v>2411</v>
      </c>
      <c r="X63" s="25">
        <v>3411</v>
      </c>
    </row>
    <row r="64" spans="2:24" x14ac:dyDescent="0.3">
      <c r="B64" s="2">
        <v>8</v>
      </c>
      <c r="C64" s="2" t="s">
        <v>401</v>
      </c>
      <c r="D64" s="2" t="s">
        <v>401</v>
      </c>
      <c r="E64" s="2" t="s">
        <v>401</v>
      </c>
      <c r="F64" s="2" t="s">
        <v>401</v>
      </c>
      <c r="G64" s="2" t="s">
        <v>401</v>
      </c>
      <c r="H64" s="2" t="s">
        <v>402</v>
      </c>
      <c r="I64" s="2" t="s">
        <v>401</v>
      </c>
      <c r="J64" s="2" t="s">
        <v>403</v>
      </c>
      <c r="K64" s="2" t="s">
        <v>403</v>
      </c>
      <c r="L64" s="2" t="s">
        <v>402</v>
      </c>
      <c r="M64" s="2" t="s">
        <v>402</v>
      </c>
      <c r="N64" s="2" t="s">
        <v>402</v>
      </c>
      <c r="P64" s="2">
        <v>8</v>
      </c>
      <c r="Q64" s="2" t="s">
        <v>392</v>
      </c>
      <c r="R64" s="2" t="s">
        <v>393</v>
      </c>
      <c r="S64" s="2" t="s">
        <v>394</v>
      </c>
      <c r="U64" s="1" t="str">
        <f>CONCATENATE("[",V63,",",W63,",",X63,",",V64,",",V65,"]")</f>
        <v>[1411,2411,3411,1421,1431]</v>
      </c>
      <c r="V64" s="1">
        <v>1421</v>
      </c>
      <c r="W64" s="1">
        <v>2421</v>
      </c>
      <c r="X64" s="25">
        <v>3421</v>
      </c>
    </row>
    <row r="65" spans="2:48" x14ac:dyDescent="0.3">
      <c r="B65" s="2">
        <v>9</v>
      </c>
      <c r="C65" s="2" t="s">
        <v>401</v>
      </c>
      <c r="D65" s="2" t="s">
        <v>401</v>
      </c>
      <c r="E65" s="2" t="s">
        <v>401</v>
      </c>
      <c r="F65" s="2" t="s">
        <v>401</v>
      </c>
      <c r="G65" s="2" t="s">
        <v>401</v>
      </c>
      <c r="H65" s="2" t="s">
        <v>402</v>
      </c>
      <c r="I65" s="2" t="s">
        <v>401</v>
      </c>
      <c r="J65" s="2" t="s">
        <v>403</v>
      </c>
      <c r="K65" s="2" t="s">
        <v>403</v>
      </c>
      <c r="L65" s="2" t="s">
        <v>402</v>
      </c>
      <c r="M65" s="2" t="s">
        <v>402</v>
      </c>
      <c r="N65" s="2" t="s">
        <v>402</v>
      </c>
      <c r="P65" s="2">
        <v>9</v>
      </c>
      <c r="Q65" s="2" t="s">
        <v>393</v>
      </c>
      <c r="R65" s="2" t="s">
        <v>394</v>
      </c>
      <c r="S65" s="2"/>
      <c r="U65" s="1" t="str">
        <f>CONCATENATE("[",W64,",",X64,",",W65,",",X65,"]")</f>
        <v>[2421,3421,2431,3431]</v>
      </c>
      <c r="V65" s="1">
        <v>1431</v>
      </c>
      <c r="W65" s="1">
        <v>2431</v>
      </c>
      <c r="X65" s="25">
        <v>3431</v>
      </c>
    </row>
    <row r="66" spans="2:48" x14ac:dyDescent="0.3">
      <c r="B66" s="2">
        <v>10</v>
      </c>
      <c r="C66" s="2" t="s">
        <v>401</v>
      </c>
      <c r="D66" s="2" t="s">
        <v>401</v>
      </c>
      <c r="E66" s="2" t="s">
        <v>401</v>
      </c>
      <c r="F66" s="2" t="s">
        <v>401</v>
      </c>
      <c r="G66" s="2" t="s">
        <v>401</v>
      </c>
      <c r="H66" s="2" t="s">
        <v>402</v>
      </c>
      <c r="I66" s="2" t="s">
        <v>401</v>
      </c>
      <c r="J66" s="2" t="s">
        <v>401</v>
      </c>
      <c r="K66" s="2" t="s">
        <v>401</v>
      </c>
      <c r="L66" s="2" t="s">
        <v>402</v>
      </c>
      <c r="M66" s="2" t="s">
        <v>402</v>
      </c>
      <c r="N66" s="2" t="s">
        <v>402</v>
      </c>
      <c r="P66" s="2">
        <v>10</v>
      </c>
      <c r="Q66" s="2" t="s">
        <v>393</v>
      </c>
      <c r="R66" s="2" t="s">
        <v>394</v>
      </c>
      <c r="S66" s="2"/>
      <c r="X66" s="25"/>
    </row>
    <row r="67" spans="2:48" x14ac:dyDescent="0.3">
      <c r="R67" s="25"/>
    </row>
    <row r="68" spans="2:48" x14ac:dyDescent="0.3">
      <c r="B68" s="262" t="s">
        <v>404</v>
      </c>
      <c r="C68" s="262"/>
      <c r="D68" s="262"/>
      <c r="E68" s="262"/>
      <c r="F68" s="262"/>
      <c r="G68" s="262"/>
      <c r="H68" s="262"/>
      <c r="I68" s="262"/>
      <c r="J68" s="262"/>
      <c r="K68" s="262"/>
      <c r="L68" s="262"/>
      <c r="M68" s="262"/>
      <c r="N68" s="262"/>
      <c r="O68" s="262"/>
      <c r="P68" s="262"/>
      <c r="Q68" s="262"/>
      <c r="R68" s="262"/>
      <c r="S68" s="262"/>
      <c r="T68" s="262"/>
      <c r="V68" s="262" t="s">
        <v>405</v>
      </c>
      <c r="W68" s="262"/>
      <c r="X68" s="262"/>
      <c r="Y68" s="262"/>
      <c r="Z68" s="262"/>
      <c r="AA68" s="262"/>
      <c r="AB68" s="262"/>
      <c r="AC68" s="262"/>
      <c r="AD68" s="262"/>
      <c r="AE68" s="262"/>
    </row>
    <row r="69" spans="2:48" x14ac:dyDescent="0.3">
      <c r="B69" s="2" t="s">
        <v>385</v>
      </c>
      <c r="C69" s="2" t="s">
        <v>406</v>
      </c>
      <c r="D69" s="2" t="s">
        <v>407</v>
      </c>
      <c r="E69" s="2" t="s">
        <v>408</v>
      </c>
      <c r="F69" s="2" t="s">
        <v>409</v>
      </c>
      <c r="G69" s="2" t="s">
        <v>410</v>
      </c>
      <c r="H69" s="2" t="s">
        <v>411</v>
      </c>
      <c r="I69" s="2" t="s">
        <v>412</v>
      </c>
      <c r="J69" s="2" t="s">
        <v>413</v>
      </c>
      <c r="K69" s="2" t="s">
        <v>414</v>
      </c>
      <c r="L69" s="2" t="s">
        <v>415</v>
      </c>
      <c r="M69" s="2" t="s">
        <v>416</v>
      </c>
      <c r="N69" s="2" t="s">
        <v>417</v>
      </c>
      <c r="O69" s="2" t="s">
        <v>418</v>
      </c>
      <c r="P69" s="2" t="s">
        <v>419</v>
      </c>
      <c r="Q69" s="2" t="s">
        <v>420</v>
      </c>
      <c r="R69" s="2" t="s">
        <v>421</v>
      </c>
      <c r="S69" s="2" t="s">
        <v>422</v>
      </c>
      <c r="T69" s="2" t="s">
        <v>423</v>
      </c>
      <c r="V69" s="2" t="s">
        <v>385</v>
      </c>
      <c r="W69" s="2" t="s">
        <v>424</v>
      </c>
      <c r="X69" s="2" t="s">
        <v>425</v>
      </c>
      <c r="Y69" s="2" t="s">
        <v>426</v>
      </c>
      <c r="Z69" s="2" t="s">
        <v>427</v>
      </c>
      <c r="AA69" s="2" t="s">
        <v>428</v>
      </c>
      <c r="AB69" s="2" t="s">
        <v>429</v>
      </c>
      <c r="AC69" s="2" t="s">
        <v>430</v>
      </c>
      <c r="AD69" s="2" t="s">
        <v>431</v>
      </c>
      <c r="AE69" s="2" t="s">
        <v>432</v>
      </c>
    </row>
    <row r="70" spans="2:48" x14ac:dyDescent="0.3">
      <c r="B70" s="2">
        <v>1</v>
      </c>
      <c r="C70" s="2" t="s">
        <v>359</v>
      </c>
      <c r="D70" s="2"/>
      <c r="E70" s="2" t="s">
        <v>359</v>
      </c>
      <c r="F70" s="2"/>
      <c r="G70" s="2" t="s">
        <v>359</v>
      </c>
      <c r="H70" s="2"/>
      <c r="I70" s="2" t="s">
        <v>359</v>
      </c>
      <c r="J70" s="2"/>
      <c r="K70" s="2" t="s">
        <v>359</v>
      </c>
      <c r="L70" s="2"/>
      <c r="M70" s="2" t="s">
        <v>359</v>
      </c>
      <c r="N70" s="2"/>
      <c r="O70" s="2" t="s">
        <v>359</v>
      </c>
      <c r="P70" s="2"/>
      <c r="Q70" s="2" t="s">
        <v>359</v>
      </c>
      <c r="R70" s="2"/>
      <c r="S70" s="2" t="s">
        <v>359</v>
      </c>
      <c r="T70" s="2"/>
      <c r="V70" s="2">
        <v>1</v>
      </c>
      <c r="W70" s="2" t="s">
        <v>433</v>
      </c>
      <c r="X70" s="2" t="s">
        <v>434</v>
      </c>
      <c r="Y70" s="2" t="s">
        <v>435</v>
      </c>
      <c r="Z70" s="2" t="s">
        <v>436</v>
      </c>
      <c r="AA70" s="2" t="s">
        <v>437</v>
      </c>
      <c r="AB70" s="2" t="s">
        <v>438</v>
      </c>
      <c r="AC70" s="2" t="s">
        <v>439</v>
      </c>
      <c r="AD70" s="2" t="s">
        <v>440</v>
      </c>
      <c r="AE70" s="2" t="s">
        <v>441</v>
      </c>
      <c r="AG70" s="1">
        <f>IF(W70&lt;&gt;"",VLOOKUP(W70,[1]道具ID!$B$206:$D$296,3,FALSE),"")</f>
        <v>1110</v>
      </c>
      <c r="AI70" s="1">
        <f>IF(X70&lt;&gt;"",VLOOKUP(X70,[1]道具ID!$B$206:$D$296,3,FALSE),"")</f>
        <v>1130</v>
      </c>
      <c r="AK70" s="1">
        <f>IF(Y70&lt;&gt;"",VLOOKUP(Y70,[1]道具ID!$B$206:$D$296,3,FALSE),"")</f>
        <v>1150</v>
      </c>
      <c r="AM70" s="1">
        <f>IF(Z70&lt;&gt;"",VLOOKUP(Z70,[1]道具ID!$B$206:$D$296,3,FALSE),"")</f>
        <v>1210</v>
      </c>
      <c r="AO70" s="1">
        <f>IF(AA70&lt;&gt;"",VLOOKUP(AA70,[1]道具ID!$B$206:$D$296,3,FALSE),"")</f>
        <v>1230</v>
      </c>
      <c r="AP70" s="1">
        <f>IF(AB70&lt;&gt;"",VLOOKUP(AB70,[1]道具ID!$B$206:$D$296,3,FALSE),"")</f>
        <v>1250</v>
      </c>
      <c r="AQ70" s="1">
        <f>IF(AC70&lt;&gt;"",VLOOKUP(AC70,[1]道具ID!$B$206:$D$296,3,FALSE),"")</f>
        <v>1310</v>
      </c>
      <c r="AR70" s="1">
        <f>IF(AD70&lt;&gt;"",VLOOKUP(AD70,[1]道具ID!$B$206:$D$296,3,FALSE),"")</f>
        <v>1330</v>
      </c>
      <c r="AS70" s="1">
        <f>IF(AE70&lt;&gt;"",VLOOKUP(AE70,[1]道具ID!$B$206:$D$296,3,FALSE),"")</f>
        <v>1350</v>
      </c>
      <c r="AV70" s="1" t="str">
        <f>"["&amp;AG70&amp;","&amp;AI70&amp;","&amp;AK70&amp;","&amp;AM70&amp;","&amp;AO70&amp;","&amp;AP70&amp;","&amp;AQ70&amp;","&amp;AR70&amp;","&amp;AS70&amp;"]"</f>
        <v>[1110,1130,1150,1210,1230,1250,1310,1330,1350]</v>
      </c>
    </row>
    <row r="71" spans="2:48" x14ac:dyDescent="0.3">
      <c r="B71" s="2">
        <v>2</v>
      </c>
      <c r="C71" s="2" t="s">
        <v>359</v>
      </c>
      <c r="D71" s="2" t="s">
        <v>359</v>
      </c>
      <c r="E71" s="2" t="s">
        <v>359</v>
      </c>
      <c r="F71" s="2" t="s">
        <v>359</v>
      </c>
      <c r="G71" s="2" t="s">
        <v>359</v>
      </c>
      <c r="H71" s="2" t="s">
        <v>359</v>
      </c>
      <c r="I71" s="2" t="s">
        <v>359</v>
      </c>
      <c r="J71" s="2" t="s">
        <v>359</v>
      </c>
      <c r="K71" s="2" t="s">
        <v>359</v>
      </c>
      <c r="L71" s="2" t="s">
        <v>359</v>
      </c>
      <c r="M71" s="2" t="s">
        <v>359</v>
      </c>
      <c r="N71" s="2" t="s">
        <v>359</v>
      </c>
      <c r="O71" s="2" t="s">
        <v>359</v>
      </c>
      <c r="P71" s="2" t="s">
        <v>359</v>
      </c>
      <c r="Q71" s="2" t="s">
        <v>359</v>
      </c>
      <c r="R71" s="2" t="s">
        <v>359</v>
      </c>
      <c r="S71" s="2" t="s">
        <v>359</v>
      </c>
      <c r="T71" s="2" t="s">
        <v>359</v>
      </c>
      <c r="V71" s="2">
        <v>2</v>
      </c>
      <c r="W71" s="2" t="s">
        <v>442</v>
      </c>
      <c r="X71" s="2" t="s">
        <v>443</v>
      </c>
      <c r="Y71" s="2" t="s">
        <v>444</v>
      </c>
      <c r="Z71" s="2" t="s">
        <v>445</v>
      </c>
      <c r="AA71" s="2" t="s">
        <v>446</v>
      </c>
      <c r="AB71" s="2" t="s">
        <v>447</v>
      </c>
      <c r="AC71" s="2" t="s">
        <v>448</v>
      </c>
      <c r="AD71" s="2" t="s">
        <v>449</v>
      </c>
      <c r="AE71" s="2" t="s">
        <v>450</v>
      </c>
      <c r="AG71" s="1">
        <f>IF(W71&lt;&gt;"",VLOOKUP(W71,[1]道具ID!$B$206:$D$296,3,FALSE),"")</f>
        <v>1120</v>
      </c>
      <c r="AI71" s="1">
        <f>IF(X71&lt;&gt;"",VLOOKUP(X71,[1]道具ID!$B$206:$D$296,3,FALSE),"")</f>
        <v>1140</v>
      </c>
      <c r="AK71" s="1">
        <f>IF(Y71&lt;&gt;"",VLOOKUP(Y71,[1]道具ID!$B$206:$D$296,3,FALSE),"")</f>
        <v>1160</v>
      </c>
      <c r="AM71" s="1">
        <f>IF(Z71&lt;&gt;"",VLOOKUP(Z71,[1]道具ID!$B$206:$D$296,3,FALSE),"")</f>
        <v>1220</v>
      </c>
      <c r="AO71" s="1">
        <f>IF(AA71&lt;&gt;"",VLOOKUP(AA71,[1]道具ID!$B$206:$D$296,3,FALSE),"")</f>
        <v>1240</v>
      </c>
      <c r="AP71" s="1">
        <f>IF(AB71&lt;&gt;"",VLOOKUP(AB71,[1]道具ID!$B$206:$D$296,3,FALSE),"")</f>
        <v>1260</v>
      </c>
      <c r="AQ71" s="1">
        <f>IF(AC71&lt;&gt;"",VLOOKUP(AC71,[1]道具ID!$B$206:$D$296,3,FALSE),"")</f>
        <v>1320</v>
      </c>
      <c r="AR71" s="1">
        <f>IF(AD71&lt;&gt;"",VLOOKUP(AD71,[1]道具ID!$B$206:$D$296,3,FALSE),"")</f>
        <v>1340</v>
      </c>
      <c r="AS71" s="1">
        <f>IF(AE71&lt;&gt;"",VLOOKUP(AE71,[1]道具ID!$B$206:$D$296,3,FALSE),"")</f>
        <v>1360</v>
      </c>
      <c r="AV71" s="1" t="str">
        <f t="shared" ref="AV71:AV76" si="9">"["&amp;AG71&amp;","&amp;AI71&amp;","&amp;AK71&amp;","&amp;AM71&amp;","&amp;AO71&amp;","&amp;AP71&amp;","&amp;AQ71&amp;","&amp;AR71&amp;","&amp;AS71&amp;"]"</f>
        <v>[1120,1140,1160,1220,1240,1260,1320,1340,1360]</v>
      </c>
    </row>
    <row r="72" spans="2:48" x14ac:dyDescent="0.3">
      <c r="B72" s="2">
        <v>3</v>
      </c>
      <c r="C72" s="2" t="s">
        <v>451</v>
      </c>
      <c r="D72" s="2" t="s">
        <v>359</v>
      </c>
      <c r="E72" s="2" t="s">
        <v>451</v>
      </c>
      <c r="F72" s="2" t="s">
        <v>359</v>
      </c>
      <c r="G72" s="2" t="s">
        <v>451</v>
      </c>
      <c r="H72" s="2" t="s">
        <v>359</v>
      </c>
      <c r="I72" s="2" t="s">
        <v>451</v>
      </c>
      <c r="J72" s="2" t="s">
        <v>359</v>
      </c>
      <c r="K72" s="2" t="s">
        <v>451</v>
      </c>
      <c r="L72" s="2" t="s">
        <v>359</v>
      </c>
      <c r="M72" s="2" t="s">
        <v>451</v>
      </c>
      <c r="N72" s="2" t="s">
        <v>359</v>
      </c>
      <c r="O72" s="2" t="s">
        <v>451</v>
      </c>
      <c r="P72" s="2" t="s">
        <v>359</v>
      </c>
      <c r="Q72" s="2" t="s">
        <v>451</v>
      </c>
      <c r="R72" s="2" t="s">
        <v>359</v>
      </c>
      <c r="S72" s="2" t="s">
        <v>451</v>
      </c>
      <c r="T72" s="2" t="s">
        <v>359</v>
      </c>
      <c r="V72" s="2">
        <v>3</v>
      </c>
      <c r="W72" s="2" t="s">
        <v>452</v>
      </c>
      <c r="X72" s="2" t="s">
        <v>453</v>
      </c>
      <c r="Y72" s="2" t="s">
        <v>454</v>
      </c>
      <c r="Z72" s="2" t="s">
        <v>455</v>
      </c>
      <c r="AA72" s="2" t="s">
        <v>456</v>
      </c>
      <c r="AB72" s="2" t="s">
        <v>457</v>
      </c>
      <c r="AC72" s="2" t="s">
        <v>458</v>
      </c>
      <c r="AD72" s="2" t="s">
        <v>459</v>
      </c>
      <c r="AE72" s="2" t="s">
        <v>460</v>
      </c>
      <c r="AG72" s="1">
        <f>IF(W72&lt;&gt;"",VLOOKUP(W72,[1]道具ID!$B$206:$D$296,3,FALSE),"")</f>
        <v>2110</v>
      </c>
      <c r="AI72" s="1">
        <f>IF(X72&lt;&gt;"",VLOOKUP(X72,[1]道具ID!$B$206:$D$296,3,FALSE),"")</f>
        <v>2130</v>
      </c>
      <c r="AK72" s="1">
        <f>IF(Y72&lt;&gt;"",VLOOKUP(Y72,[1]道具ID!$B$206:$D$296,3,FALSE),"")</f>
        <v>2150</v>
      </c>
      <c r="AM72" s="1">
        <f>IF(Z72&lt;&gt;"",VLOOKUP(Z72,[1]道具ID!$B$206:$D$296,3,FALSE),"")</f>
        <v>2210</v>
      </c>
      <c r="AO72" s="1">
        <f>IF(AA72&lt;&gt;"",VLOOKUP(AA72,[1]道具ID!$B$206:$D$296,3,FALSE),"")</f>
        <v>2230</v>
      </c>
      <c r="AP72" s="1">
        <f>IF(AB72&lt;&gt;"",VLOOKUP(AB72,[1]道具ID!$B$206:$D$296,3,FALSE),"")</f>
        <v>2250</v>
      </c>
      <c r="AQ72" s="1">
        <f>IF(AC72&lt;&gt;"",VLOOKUP(AC72,[1]道具ID!$B$206:$D$296,3,FALSE),"")</f>
        <v>2310</v>
      </c>
      <c r="AR72" s="1">
        <f>IF(AD72&lt;&gt;"",VLOOKUP(AD72,[1]道具ID!$B$206:$D$296,3,FALSE),"")</f>
        <v>2330</v>
      </c>
      <c r="AS72" s="1">
        <f>IF(AE72&lt;&gt;"",VLOOKUP(AE72,[1]道具ID!$B$206:$D$296,3,FALSE),"")</f>
        <v>2350</v>
      </c>
      <c r="AV72" s="1" t="str">
        <f t="shared" si="9"/>
        <v>[2110,2130,2150,2210,2230,2250,2310,2330,2350]</v>
      </c>
    </row>
    <row r="73" spans="2:48" x14ac:dyDescent="0.3">
      <c r="B73" s="2">
        <v>4</v>
      </c>
      <c r="C73" s="2" t="s">
        <v>451</v>
      </c>
      <c r="D73" s="2" t="s">
        <v>451</v>
      </c>
      <c r="E73" s="2" t="s">
        <v>451</v>
      </c>
      <c r="F73" s="2" t="s">
        <v>451</v>
      </c>
      <c r="G73" s="2" t="s">
        <v>451</v>
      </c>
      <c r="H73" s="2" t="s">
        <v>451</v>
      </c>
      <c r="I73" s="2" t="s">
        <v>451</v>
      </c>
      <c r="J73" s="2" t="s">
        <v>451</v>
      </c>
      <c r="K73" s="2" t="s">
        <v>451</v>
      </c>
      <c r="L73" s="2" t="s">
        <v>451</v>
      </c>
      <c r="M73" s="2" t="s">
        <v>451</v>
      </c>
      <c r="N73" s="2" t="s">
        <v>451</v>
      </c>
      <c r="O73" s="2" t="s">
        <v>451</v>
      </c>
      <c r="P73" s="2" t="s">
        <v>451</v>
      </c>
      <c r="Q73" s="2" t="s">
        <v>451</v>
      </c>
      <c r="R73" s="2" t="s">
        <v>451</v>
      </c>
      <c r="S73" s="2" t="s">
        <v>451</v>
      </c>
      <c r="T73" s="2" t="s">
        <v>451</v>
      </c>
      <c r="V73" s="2">
        <v>4</v>
      </c>
      <c r="W73" s="2" t="s">
        <v>461</v>
      </c>
      <c r="X73" s="2" t="s">
        <v>462</v>
      </c>
      <c r="Y73" s="2" t="s">
        <v>463</v>
      </c>
      <c r="Z73" s="2" t="s">
        <v>464</v>
      </c>
      <c r="AA73" s="2" t="s">
        <v>465</v>
      </c>
      <c r="AB73" s="2" t="s">
        <v>466</v>
      </c>
      <c r="AC73" s="2" t="s">
        <v>467</v>
      </c>
      <c r="AD73" s="2" t="s">
        <v>468</v>
      </c>
      <c r="AE73" s="2" t="s">
        <v>469</v>
      </c>
      <c r="AG73" s="1">
        <f>IF(W73&lt;&gt;"",VLOOKUP(W73,[1]道具ID!$B$206:$D$296,3,FALSE),"")</f>
        <v>2120</v>
      </c>
      <c r="AI73" s="1">
        <f>IF(X73&lt;&gt;"",VLOOKUP(X73,[1]道具ID!$B$206:$D$296,3,FALSE),"")</f>
        <v>2140</v>
      </c>
      <c r="AK73" s="1">
        <f>IF(Y73&lt;&gt;"",VLOOKUP(Y73,[1]道具ID!$B$206:$D$296,3,FALSE),"")</f>
        <v>2160</v>
      </c>
      <c r="AM73" s="1">
        <f>IF(Z73&lt;&gt;"",VLOOKUP(Z73,[1]道具ID!$B$206:$D$296,3,FALSE),"")</f>
        <v>2220</v>
      </c>
      <c r="AO73" s="1">
        <f>IF(AA73&lt;&gt;"",VLOOKUP(AA73,[1]道具ID!$B$206:$D$296,3,FALSE),"")</f>
        <v>2240</v>
      </c>
      <c r="AP73" s="1">
        <f>IF(AB73&lt;&gt;"",VLOOKUP(AB73,[1]道具ID!$B$206:$D$296,3,FALSE),"")</f>
        <v>2260</v>
      </c>
      <c r="AQ73" s="1">
        <f>IF(AC73&lt;&gt;"",VLOOKUP(AC73,[1]道具ID!$B$206:$D$296,3,FALSE),"")</f>
        <v>2320</v>
      </c>
      <c r="AR73" s="1">
        <f>IF(AD73&lt;&gt;"",VLOOKUP(AD73,[1]道具ID!$B$206:$D$296,3,FALSE),"")</f>
        <v>2340</v>
      </c>
      <c r="AS73" s="1">
        <f>IF(AE73&lt;&gt;"",VLOOKUP(AE73,[1]道具ID!$B$206:$D$296,3,FALSE),"")</f>
        <v>2360</v>
      </c>
      <c r="AV73" s="1" t="str">
        <f t="shared" si="9"/>
        <v>[2120,2140,2160,2220,2240,2260,2320,2340,2360]</v>
      </c>
    </row>
    <row r="74" spans="2:48" x14ac:dyDescent="0.3">
      <c r="B74" s="2">
        <v>5</v>
      </c>
      <c r="C74" s="2" t="s">
        <v>451</v>
      </c>
      <c r="D74" s="2" t="s">
        <v>451</v>
      </c>
      <c r="E74" s="2" t="s">
        <v>451</v>
      </c>
      <c r="F74" s="2" t="s">
        <v>451</v>
      </c>
      <c r="G74" s="2" t="s">
        <v>451</v>
      </c>
      <c r="H74" s="2" t="s">
        <v>451</v>
      </c>
      <c r="I74" s="2" t="s">
        <v>451</v>
      </c>
      <c r="J74" s="2" t="s">
        <v>451</v>
      </c>
      <c r="K74" s="2" t="s">
        <v>451</v>
      </c>
      <c r="L74" s="2" t="s">
        <v>451</v>
      </c>
      <c r="M74" s="2" t="s">
        <v>451</v>
      </c>
      <c r="N74" s="2" t="s">
        <v>451</v>
      </c>
      <c r="O74" s="2" t="s">
        <v>451</v>
      </c>
      <c r="P74" s="2" t="s">
        <v>451</v>
      </c>
      <c r="Q74" s="2" t="s">
        <v>451</v>
      </c>
      <c r="R74" s="2" t="s">
        <v>451</v>
      </c>
      <c r="S74" s="2" t="s">
        <v>451</v>
      </c>
      <c r="T74" s="2" t="s">
        <v>451</v>
      </c>
      <c r="V74" s="2">
        <v>5</v>
      </c>
      <c r="W74" s="2"/>
      <c r="X74" s="2"/>
      <c r="Y74" s="2"/>
      <c r="Z74" s="2"/>
      <c r="AA74" s="2"/>
      <c r="AB74" s="2"/>
      <c r="AC74" s="2"/>
      <c r="AD74" s="2"/>
      <c r="AE74" s="2"/>
      <c r="AG74" s="1" t="str">
        <f>IF(W74&lt;&gt;"",VLOOKUP(W74,[1]道具ID!$B$206:$D$296,3,FALSE),"")</f>
        <v/>
      </c>
      <c r="AI74" s="1" t="str">
        <f>IF(X74&lt;&gt;"",VLOOKUP(X74,[1]道具ID!$B$206:$D$296,3,FALSE),"")</f>
        <v/>
      </c>
      <c r="AK74" s="1" t="str">
        <f>IF(Y74&lt;&gt;"",VLOOKUP(Y74,[1]道具ID!$B$206:$D$296,3,FALSE),"")</f>
        <v/>
      </c>
      <c r="AM74" s="1" t="str">
        <f>IF(Z74&lt;&gt;"",VLOOKUP(Z74,[1]道具ID!$B$206:$D$296,3,FALSE),"")</f>
        <v/>
      </c>
      <c r="AO74" s="1" t="str">
        <f>IF(AA74&lt;&gt;"",VLOOKUP(AA74,[1]道具ID!$B$206:$D$296,3,FALSE),"")</f>
        <v/>
      </c>
      <c r="AP74" s="1" t="str">
        <f>IF(AB74&lt;&gt;"",VLOOKUP(AB74,[1]道具ID!$B$206:$D$296,3,FALSE),"")</f>
        <v/>
      </c>
      <c r="AQ74" s="1" t="str">
        <f>IF(AC74&lt;&gt;"",VLOOKUP(AC74,[1]道具ID!$B$206:$D$296,3,FALSE),"")</f>
        <v/>
      </c>
      <c r="AR74" s="1" t="str">
        <f>IF(AD74&lt;&gt;"",VLOOKUP(AD74,[1]道具ID!$B$206:$D$296,3,FALSE),"")</f>
        <v/>
      </c>
      <c r="AS74" s="1" t="str">
        <f>IF(AE74&lt;&gt;"",VLOOKUP(AE74,[1]道具ID!$B$206:$D$296,3,FALSE),"")</f>
        <v/>
      </c>
    </row>
    <row r="75" spans="2:48" x14ac:dyDescent="0.3">
      <c r="B75" s="2">
        <v>6</v>
      </c>
      <c r="C75" s="2" t="s">
        <v>470</v>
      </c>
      <c r="D75" s="2" t="s">
        <v>451</v>
      </c>
      <c r="E75" s="2" t="s">
        <v>470</v>
      </c>
      <c r="F75" s="2" t="s">
        <v>451</v>
      </c>
      <c r="G75" s="2" t="s">
        <v>470</v>
      </c>
      <c r="H75" s="2" t="s">
        <v>451</v>
      </c>
      <c r="I75" s="2" t="s">
        <v>470</v>
      </c>
      <c r="J75" s="2" t="s">
        <v>451</v>
      </c>
      <c r="K75" s="2" t="s">
        <v>470</v>
      </c>
      <c r="L75" s="2" t="s">
        <v>451</v>
      </c>
      <c r="M75" s="2" t="s">
        <v>470</v>
      </c>
      <c r="N75" s="2" t="s">
        <v>451</v>
      </c>
      <c r="O75" s="2" t="s">
        <v>470</v>
      </c>
      <c r="P75" s="2" t="s">
        <v>451</v>
      </c>
      <c r="Q75" s="2" t="s">
        <v>470</v>
      </c>
      <c r="R75" s="2" t="s">
        <v>451</v>
      </c>
      <c r="S75" s="2" t="s">
        <v>470</v>
      </c>
      <c r="T75" s="2" t="s">
        <v>451</v>
      </c>
      <c r="V75" s="2">
        <v>6</v>
      </c>
      <c r="W75" s="2" t="s">
        <v>471</v>
      </c>
      <c r="X75" s="2" t="s">
        <v>472</v>
      </c>
      <c r="Y75" s="2" t="s">
        <v>473</v>
      </c>
      <c r="Z75" s="2" t="s">
        <v>474</v>
      </c>
      <c r="AA75" s="2" t="s">
        <v>475</v>
      </c>
      <c r="AB75" s="2" t="s">
        <v>476</v>
      </c>
      <c r="AC75" s="2" t="s">
        <v>477</v>
      </c>
      <c r="AD75" s="2" t="s">
        <v>478</v>
      </c>
      <c r="AE75" s="2" t="s">
        <v>479</v>
      </c>
      <c r="AG75" s="1">
        <f>IF(W75&lt;&gt;"",VLOOKUP(W75,[1]道具ID!$B$206:$D$296,3,FALSE),"")</f>
        <v>3110</v>
      </c>
      <c r="AI75" s="1">
        <f>IF(X75&lt;&gt;"",VLOOKUP(X75,[1]道具ID!$B$206:$D$296,3,FALSE),"")</f>
        <v>3130</v>
      </c>
      <c r="AK75" s="1">
        <f>IF(Y75&lt;&gt;"",VLOOKUP(Y75,[1]道具ID!$B$206:$D$296,3,FALSE),"")</f>
        <v>3150</v>
      </c>
      <c r="AM75" s="1">
        <f>IF(Z75&lt;&gt;"",VLOOKUP(Z75,[1]道具ID!$B$206:$D$296,3,FALSE),"")</f>
        <v>3210</v>
      </c>
      <c r="AO75" s="1">
        <f>IF(AA75&lt;&gt;"",VLOOKUP(AA75,[1]道具ID!$B$206:$D$296,3,FALSE),"")</f>
        <v>3230</v>
      </c>
      <c r="AP75" s="1">
        <f>IF(AB75&lt;&gt;"",VLOOKUP(AB75,[1]道具ID!$B$206:$D$296,3,FALSE),"")</f>
        <v>3250</v>
      </c>
      <c r="AQ75" s="1">
        <f>IF(AC75&lt;&gt;"",VLOOKUP(AC75,[1]道具ID!$B$206:$D$296,3,FALSE),"")</f>
        <v>3310</v>
      </c>
      <c r="AR75" s="1">
        <f>IF(AD75&lt;&gt;"",VLOOKUP(AD75,[1]道具ID!$B$206:$D$296,3,FALSE),"")</f>
        <v>3330</v>
      </c>
      <c r="AS75" s="1">
        <f>IF(AE75&lt;&gt;"",VLOOKUP(AE75,[1]道具ID!$B$206:$D$296,3,FALSE),"")</f>
        <v>3350</v>
      </c>
      <c r="AV75" s="1" t="str">
        <f t="shared" si="9"/>
        <v>[3110,3130,3150,3210,3230,3250,3310,3330,3350]</v>
      </c>
    </row>
    <row r="76" spans="2:48" x14ac:dyDescent="0.3">
      <c r="B76" s="2">
        <v>7</v>
      </c>
      <c r="C76" s="2" t="s">
        <v>470</v>
      </c>
      <c r="D76" s="2" t="s">
        <v>470</v>
      </c>
      <c r="E76" s="2" t="s">
        <v>470</v>
      </c>
      <c r="F76" s="2" t="s">
        <v>470</v>
      </c>
      <c r="G76" s="2" t="s">
        <v>470</v>
      </c>
      <c r="H76" s="2" t="s">
        <v>470</v>
      </c>
      <c r="I76" s="2" t="s">
        <v>470</v>
      </c>
      <c r="J76" s="2" t="s">
        <v>470</v>
      </c>
      <c r="K76" s="2" t="s">
        <v>470</v>
      </c>
      <c r="L76" s="2" t="s">
        <v>470</v>
      </c>
      <c r="M76" s="2" t="s">
        <v>470</v>
      </c>
      <c r="N76" s="2" t="s">
        <v>470</v>
      </c>
      <c r="O76" s="2" t="s">
        <v>470</v>
      </c>
      <c r="P76" s="2" t="s">
        <v>470</v>
      </c>
      <c r="Q76" s="2" t="s">
        <v>470</v>
      </c>
      <c r="R76" s="2" t="s">
        <v>470</v>
      </c>
      <c r="S76" s="2" t="s">
        <v>470</v>
      </c>
      <c r="T76" s="2" t="s">
        <v>470</v>
      </c>
      <c r="V76" s="2">
        <v>7</v>
      </c>
      <c r="W76" s="2" t="s">
        <v>480</v>
      </c>
      <c r="X76" s="2" t="s">
        <v>481</v>
      </c>
      <c r="Y76" s="2" t="s">
        <v>482</v>
      </c>
      <c r="Z76" s="2" t="s">
        <v>483</v>
      </c>
      <c r="AA76" s="2" t="s">
        <v>484</v>
      </c>
      <c r="AB76" s="2" t="s">
        <v>485</v>
      </c>
      <c r="AC76" s="2" t="s">
        <v>486</v>
      </c>
      <c r="AD76" s="2" t="s">
        <v>487</v>
      </c>
      <c r="AE76" s="2" t="s">
        <v>488</v>
      </c>
      <c r="AG76" s="1">
        <f>IF(W76&lt;&gt;"",VLOOKUP(W76,[1]道具ID!$B$206:$D$296,3,FALSE),"")</f>
        <v>3120</v>
      </c>
      <c r="AI76" s="1">
        <f>IF(X76&lt;&gt;"",VLOOKUP(X76,[1]道具ID!$B$206:$D$296,3,FALSE),"")</f>
        <v>3140</v>
      </c>
      <c r="AK76" s="1">
        <f>IF(Y76&lt;&gt;"",VLOOKUP(Y76,[1]道具ID!$B$206:$D$296,3,FALSE),"")</f>
        <v>3160</v>
      </c>
      <c r="AM76" s="1">
        <f>IF(Z76&lt;&gt;"",VLOOKUP(Z76,[1]道具ID!$B$206:$D$296,3,FALSE),"")</f>
        <v>3220</v>
      </c>
      <c r="AO76" s="1">
        <f>IF(AA76&lt;&gt;"",VLOOKUP(AA76,[1]道具ID!$B$206:$D$296,3,FALSE),"")</f>
        <v>3240</v>
      </c>
      <c r="AP76" s="1">
        <f>IF(AB76&lt;&gt;"",VLOOKUP(AB76,[1]道具ID!$B$206:$D$296,3,FALSE),"")</f>
        <v>3260</v>
      </c>
      <c r="AQ76" s="1">
        <f>IF(AC76&lt;&gt;"",VLOOKUP(AC76,[1]道具ID!$B$206:$D$296,3,FALSE),"")</f>
        <v>3320</v>
      </c>
      <c r="AR76" s="1">
        <f>IF(AD76&lt;&gt;"",VLOOKUP(AD76,[1]道具ID!$B$206:$D$296,3,FALSE),"")</f>
        <v>3340</v>
      </c>
      <c r="AS76" s="1">
        <f>IF(AE76&lt;&gt;"",VLOOKUP(AE76,[1]道具ID!$B$206:$D$296,3,FALSE),"")</f>
        <v>3360</v>
      </c>
      <c r="AV76" s="1" t="str">
        <f t="shared" si="9"/>
        <v>[3120,3140,3160,3220,3240,3260,3320,3340,3360]</v>
      </c>
    </row>
    <row r="77" spans="2:48" x14ac:dyDescent="0.3">
      <c r="B77" s="2">
        <v>8</v>
      </c>
      <c r="C77" s="2" t="s">
        <v>470</v>
      </c>
      <c r="D77" s="2" t="s">
        <v>470</v>
      </c>
      <c r="E77" s="2" t="s">
        <v>470</v>
      </c>
      <c r="F77" s="2" t="s">
        <v>470</v>
      </c>
      <c r="G77" s="2" t="s">
        <v>470</v>
      </c>
      <c r="H77" s="2" t="s">
        <v>470</v>
      </c>
      <c r="I77" s="2" t="s">
        <v>470</v>
      </c>
      <c r="J77" s="2" t="s">
        <v>470</v>
      </c>
      <c r="K77" s="2" t="s">
        <v>470</v>
      </c>
      <c r="L77" s="2" t="s">
        <v>470</v>
      </c>
      <c r="M77" s="2" t="s">
        <v>470</v>
      </c>
      <c r="N77" s="2" t="s">
        <v>470</v>
      </c>
      <c r="O77" s="2" t="s">
        <v>470</v>
      </c>
      <c r="P77" s="2" t="s">
        <v>470</v>
      </c>
      <c r="Q77" s="2" t="s">
        <v>470</v>
      </c>
      <c r="R77" s="2" t="s">
        <v>470</v>
      </c>
      <c r="S77" s="2" t="s">
        <v>470</v>
      </c>
      <c r="T77" s="2" t="s">
        <v>470</v>
      </c>
      <c r="V77" s="2">
        <v>8</v>
      </c>
      <c r="W77" s="2"/>
      <c r="X77" s="2"/>
      <c r="Y77" s="2"/>
      <c r="Z77" s="2"/>
      <c r="AA77" s="2"/>
      <c r="AB77" s="2"/>
      <c r="AC77" s="2"/>
      <c r="AD77" s="2"/>
      <c r="AE77" s="2"/>
      <c r="AG77" s="1" t="str">
        <f>IF(W77&lt;&gt;"",VLOOKUP(W77,[1]道具ID!$B$206:$D$296,3,FALSE),"")</f>
        <v/>
      </c>
      <c r="AI77" s="1" t="str">
        <f>IF(X77&lt;&gt;"",VLOOKUP(X77,[1]道具ID!$B$206:$D$296,3,FALSE),"")</f>
        <v/>
      </c>
      <c r="AK77" s="1" t="str">
        <f>IF(Y77&lt;&gt;"",VLOOKUP(Y77,[1]道具ID!$B$206:$D$296,3,FALSE),"")</f>
        <v/>
      </c>
      <c r="AM77" s="1" t="str">
        <f>IF(Z77&lt;&gt;"",VLOOKUP(Z77,[1]道具ID!$B$206:$D$296,3,FALSE),"")</f>
        <v/>
      </c>
      <c r="AO77" s="1" t="str">
        <f>IF(AA77&lt;&gt;"",VLOOKUP(AA77,[1]道具ID!$B$206:$D$296,3,FALSE),"")</f>
        <v/>
      </c>
      <c r="AP77" s="1" t="str">
        <f>IF(AB77&lt;&gt;"",VLOOKUP(AB77,[1]道具ID!$B$206:$D$296,3,FALSE),"")</f>
        <v/>
      </c>
      <c r="AQ77" s="1" t="str">
        <f>IF(AC77&lt;&gt;"",VLOOKUP(AC77,[1]道具ID!$B$206:$D$296,3,FALSE),"")</f>
        <v/>
      </c>
      <c r="AR77" s="1" t="str">
        <f>IF(AD77&lt;&gt;"",VLOOKUP(AD77,[1]道具ID!$B$206:$D$296,3,FALSE),"")</f>
        <v/>
      </c>
      <c r="AS77" s="1" t="str">
        <f>IF(AE77&lt;&gt;"",VLOOKUP(AE77,[1]道具ID!$B$206:$D$296,3,FALSE),"")</f>
        <v/>
      </c>
    </row>
    <row r="78" spans="2:48" x14ac:dyDescent="0.3">
      <c r="B78" s="2">
        <v>9</v>
      </c>
      <c r="C78" s="2" t="s">
        <v>470</v>
      </c>
      <c r="D78" s="2" t="s">
        <v>470</v>
      </c>
      <c r="E78" s="2" t="s">
        <v>470</v>
      </c>
      <c r="F78" s="2" t="s">
        <v>470</v>
      </c>
      <c r="G78" s="2" t="s">
        <v>470</v>
      </c>
      <c r="H78" s="2" t="s">
        <v>470</v>
      </c>
      <c r="I78" s="2" t="s">
        <v>470</v>
      </c>
      <c r="J78" s="2" t="s">
        <v>470</v>
      </c>
      <c r="K78" s="2" t="s">
        <v>470</v>
      </c>
      <c r="L78" s="2" t="s">
        <v>470</v>
      </c>
      <c r="M78" s="2" t="s">
        <v>470</v>
      </c>
      <c r="N78" s="2" t="s">
        <v>470</v>
      </c>
      <c r="O78" s="2" t="s">
        <v>470</v>
      </c>
      <c r="P78" s="2" t="s">
        <v>470</v>
      </c>
      <c r="Q78" s="2" t="s">
        <v>470</v>
      </c>
      <c r="R78" s="2" t="s">
        <v>470</v>
      </c>
      <c r="S78" s="2" t="s">
        <v>470</v>
      </c>
      <c r="T78" s="2" t="s">
        <v>470</v>
      </c>
      <c r="V78" s="2">
        <v>9</v>
      </c>
      <c r="W78" s="2"/>
      <c r="X78" s="2"/>
      <c r="Y78" s="2"/>
      <c r="Z78" s="2"/>
      <c r="AA78" s="2"/>
      <c r="AB78" s="2"/>
      <c r="AC78" s="2"/>
      <c r="AD78" s="2"/>
      <c r="AE78" s="2"/>
      <c r="AG78" s="1" t="str">
        <f>IF(W78&lt;&gt;"",VLOOKUP(W78,[1]道具ID!$B$206:$D$296,3,FALSE),"")</f>
        <v/>
      </c>
      <c r="AI78" s="1" t="str">
        <f>IF(X78&lt;&gt;"",VLOOKUP(X78,[1]道具ID!$B$206:$D$296,3,FALSE),"")</f>
        <v/>
      </c>
      <c r="AK78" s="1" t="str">
        <f>IF(Y78&lt;&gt;"",VLOOKUP(Y78,[1]道具ID!$B$206:$D$296,3,FALSE),"")</f>
        <v/>
      </c>
      <c r="AM78" s="1" t="str">
        <f>IF(Z78&lt;&gt;"",VLOOKUP(Z78,[1]道具ID!$B$206:$D$296,3,FALSE),"")</f>
        <v/>
      </c>
      <c r="AO78" s="1" t="str">
        <f>IF(AA78&lt;&gt;"",VLOOKUP(AA78,[1]道具ID!$B$206:$D$296,3,FALSE),"")</f>
        <v/>
      </c>
      <c r="AP78" s="1" t="str">
        <f>IF(AB78&lt;&gt;"",VLOOKUP(AB78,[1]道具ID!$B$206:$D$296,3,FALSE),"")</f>
        <v/>
      </c>
      <c r="AQ78" s="1" t="str">
        <f>IF(AC78&lt;&gt;"",VLOOKUP(AC78,[1]道具ID!$B$206:$D$296,3,FALSE),"")</f>
        <v/>
      </c>
      <c r="AR78" s="1" t="str">
        <f>IF(AD78&lt;&gt;"",VLOOKUP(AD78,[1]道具ID!$B$206:$D$296,3,FALSE),"")</f>
        <v/>
      </c>
      <c r="AS78" s="1" t="str">
        <f>IF(AE78&lt;&gt;"",VLOOKUP(AE78,[1]道具ID!$B$206:$D$296,3,FALSE),"")</f>
        <v/>
      </c>
    </row>
    <row r="79" spans="2:48" x14ac:dyDescent="0.3">
      <c r="B79" s="2">
        <v>10</v>
      </c>
      <c r="C79" s="2" t="s">
        <v>470</v>
      </c>
      <c r="D79" s="2" t="s">
        <v>470</v>
      </c>
      <c r="E79" s="2" t="s">
        <v>470</v>
      </c>
      <c r="F79" s="2" t="s">
        <v>470</v>
      </c>
      <c r="G79" s="2" t="s">
        <v>470</v>
      </c>
      <c r="H79" s="2" t="s">
        <v>470</v>
      </c>
      <c r="I79" s="2" t="s">
        <v>470</v>
      </c>
      <c r="J79" s="2" t="s">
        <v>470</v>
      </c>
      <c r="K79" s="2" t="s">
        <v>470</v>
      </c>
      <c r="L79" s="2" t="s">
        <v>470</v>
      </c>
      <c r="M79" s="2" t="s">
        <v>470</v>
      </c>
      <c r="N79" s="2" t="s">
        <v>470</v>
      </c>
      <c r="O79" s="2" t="s">
        <v>470</v>
      </c>
      <c r="P79" s="2" t="s">
        <v>470</v>
      </c>
      <c r="Q79" s="2" t="s">
        <v>470</v>
      </c>
      <c r="R79" s="2" t="s">
        <v>470</v>
      </c>
      <c r="S79" s="2" t="s">
        <v>470</v>
      </c>
      <c r="T79" s="2" t="s">
        <v>470</v>
      </c>
      <c r="V79" s="2">
        <v>10</v>
      </c>
      <c r="W79" s="2"/>
      <c r="X79" s="2"/>
      <c r="Y79" s="2"/>
      <c r="Z79" s="2"/>
      <c r="AA79" s="2"/>
      <c r="AB79" s="2"/>
      <c r="AC79" s="2"/>
      <c r="AD79" s="2"/>
      <c r="AE79" s="2"/>
      <c r="AG79" s="1" t="str">
        <f>IF(W79&lt;&gt;"",VLOOKUP(W79,[1]道具ID!$B$206:$D$296,3,FALSE),"")</f>
        <v/>
      </c>
      <c r="AI79" s="1" t="str">
        <f>IF(X79&lt;&gt;"",VLOOKUP(X79,[1]道具ID!$B$206:$D$296,3,FALSE),"")</f>
        <v/>
      </c>
      <c r="AK79" s="1" t="str">
        <f>IF(Y79&lt;&gt;"",VLOOKUP(Y79,[1]道具ID!$B$206:$D$296,3,FALSE),"")</f>
        <v/>
      </c>
      <c r="AM79" s="1" t="str">
        <f>IF(Z79&lt;&gt;"",VLOOKUP(Z79,[1]道具ID!$B$206:$D$296,3,FALSE),"")</f>
        <v/>
      </c>
      <c r="AO79" s="1" t="str">
        <f>IF(AA79&lt;&gt;"",VLOOKUP(AA79,[1]道具ID!$B$206:$D$296,3,FALSE),"")</f>
        <v/>
      </c>
      <c r="AP79" s="1" t="str">
        <f>IF(AB79&lt;&gt;"",VLOOKUP(AB79,[1]道具ID!$B$206:$D$296,3,FALSE),"")</f>
        <v/>
      </c>
      <c r="AQ79" s="1" t="str">
        <f>IF(AC79&lt;&gt;"",VLOOKUP(AC79,[1]道具ID!$B$206:$D$296,3,FALSE),"")</f>
        <v/>
      </c>
      <c r="AR79" s="1" t="str">
        <f>IF(AD79&lt;&gt;"",VLOOKUP(AD79,[1]道具ID!$B$206:$D$296,3,FALSE),"")</f>
        <v/>
      </c>
      <c r="AS79" s="1" t="str">
        <f>IF(AE79&lt;&gt;"",VLOOKUP(AE79,[1]道具ID!$B$206:$D$296,3,FALSE),"")</f>
        <v/>
      </c>
    </row>
    <row r="80" spans="2:48" x14ac:dyDescent="0.3">
      <c r="R80" s="25"/>
    </row>
    <row r="81" spans="2:31" x14ac:dyDescent="0.3">
      <c r="B81" s="25"/>
      <c r="C81" s="25"/>
      <c r="R81" s="25"/>
    </row>
    <row r="82" spans="2:31" x14ac:dyDescent="0.3">
      <c r="B82" s="2" t="s">
        <v>385</v>
      </c>
      <c r="C82" s="2" t="s">
        <v>489</v>
      </c>
      <c r="D82" s="2" t="s">
        <v>490</v>
      </c>
      <c r="E82" s="2" t="s">
        <v>491</v>
      </c>
      <c r="F82" s="2" t="s">
        <v>492</v>
      </c>
      <c r="G82" s="2" t="s">
        <v>493</v>
      </c>
      <c r="H82" s="2" t="s">
        <v>494</v>
      </c>
      <c r="I82" s="2" t="s">
        <v>495</v>
      </c>
      <c r="J82" s="2" t="s">
        <v>496</v>
      </c>
      <c r="K82" s="2" t="s">
        <v>497</v>
      </c>
      <c r="L82" s="2" t="s">
        <v>498</v>
      </c>
      <c r="M82" s="2" t="s">
        <v>499</v>
      </c>
      <c r="N82" s="2" t="s">
        <v>500</v>
      </c>
      <c r="P82" s="262" t="s">
        <v>501</v>
      </c>
      <c r="Q82" s="262"/>
      <c r="R82" s="262"/>
      <c r="S82" s="262"/>
      <c r="T82" s="262"/>
      <c r="U82" s="262"/>
      <c r="V82" s="262"/>
      <c r="W82" s="262"/>
      <c r="X82" s="262"/>
      <c r="Y82" s="262"/>
      <c r="Z82" s="262"/>
      <c r="AA82" s="262"/>
      <c r="AB82" s="262"/>
      <c r="AC82" s="262"/>
      <c r="AD82" s="262"/>
      <c r="AE82" s="262"/>
    </row>
    <row r="83" spans="2:31" x14ac:dyDescent="0.3">
      <c r="B83" s="2">
        <v>1</v>
      </c>
      <c r="C83" s="2" t="s">
        <v>502</v>
      </c>
      <c r="D83" s="21">
        <v>1</v>
      </c>
      <c r="E83" s="21">
        <v>600</v>
      </c>
      <c r="F83" s="33">
        <f>MROUND(([1]游戏时长规划!H3*E83+(1-[1]游戏时长规划!H3)*M83+N83)*[1]游戏时长规划!G3,10)</f>
        <v>3230</v>
      </c>
      <c r="G83" s="42">
        <f>200</f>
        <v>200</v>
      </c>
      <c r="H83" s="42">
        <f>G83*$N$16</f>
        <v>5999.9999999999927</v>
      </c>
      <c r="I83" s="42">
        <f>$N$14*G83*MIN([1]游戏时长规划!$G3,$C$5)/$C$5</f>
        <v>5999.9999999999754</v>
      </c>
      <c r="J83" s="42">
        <f t="shared" ref="J83:J106" si="10">G83*$N$15</f>
        <v>2000</v>
      </c>
      <c r="K83" s="42">
        <f t="shared" ref="K83:K106" si="11">G83*$N$17</f>
        <v>1083.3333333333339</v>
      </c>
      <c r="L83" s="42">
        <f>H83+I83+J83+K83</f>
        <v>15083.333333333301</v>
      </c>
      <c r="M83" s="21">
        <v>300</v>
      </c>
      <c r="N83" s="2">
        <f>MROUND(M83*0.6,10)</f>
        <v>180</v>
      </c>
      <c r="P83" s="39" t="s">
        <v>385</v>
      </c>
      <c r="Q83" s="39" t="s">
        <v>386</v>
      </c>
      <c r="R83" s="39" t="s">
        <v>387</v>
      </c>
      <c r="S83" s="39" t="s">
        <v>388</v>
      </c>
      <c r="T83" s="39" t="s">
        <v>389</v>
      </c>
      <c r="U83" s="39" t="s">
        <v>390</v>
      </c>
      <c r="V83" s="39" t="s">
        <v>391</v>
      </c>
      <c r="W83" s="39" t="s">
        <v>392</v>
      </c>
      <c r="X83" s="39" t="s">
        <v>393</v>
      </c>
      <c r="Y83" s="39" t="s">
        <v>394</v>
      </c>
      <c r="Z83" s="2" t="s">
        <v>395</v>
      </c>
      <c r="AA83" s="2" t="s">
        <v>396</v>
      </c>
      <c r="AB83" s="2" t="s">
        <v>397</v>
      </c>
      <c r="AC83" s="2" t="s">
        <v>503</v>
      </c>
      <c r="AD83" s="2" t="s">
        <v>504</v>
      </c>
      <c r="AE83" s="2" t="s">
        <v>505</v>
      </c>
    </row>
    <row r="84" spans="2:31" x14ac:dyDescent="0.3">
      <c r="B84" s="2">
        <v>2</v>
      </c>
      <c r="C84" s="2" t="s">
        <v>502</v>
      </c>
      <c r="D84" s="21">
        <v>1.08</v>
      </c>
      <c r="E84" s="2">
        <f>ROUND($E$83*D84/10,0)*10</f>
        <v>650</v>
      </c>
      <c r="F84" s="33">
        <f>MROUND(([1]游戏时长规划!H4*E84+(1-[1]游戏时长规划!H4)*M84+N84)*[1]游戏时长规划!G4,10)</f>
        <v>5650</v>
      </c>
      <c r="G84" s="42">
        <f>$I$48*D84</f>
        <v>216</v>
      </c>
      <c r="H84" s="42">
        <f t="shared" ref="H84:H106" si="12">G84*$N$16</f>
        <v>6479.9999999999927</v>
      </c>
      <c r="I84" s="42">
        <f>$N$14*G84*MIN([1]游戏时长规划!$G4,$C$5)/$C$5</f>
        <v>10367.999999999956</v>
      </c>
      <c r="J84" s="42">
        <f t="shared" si="10"/>
        <v>2160</v>
      </c>
      <c r="K84" s="42">
        <f t="shared" si="11"/>
        <v>1170.0000000000007</v>
      </c>
      <c r="L84" s="42">
        <f t="shared" ref="L84:L106" si="13">H84+I84+J84+K84</f>
        <v>20177.999999999949</v>
      </c>
      <c r="M84" s="2">
        <f t="shared" ref="M84:M106" si="14">ROUNDUP($M$83*D84/10,0)*10</f>
        <v>330</v>
      </c>
      <c r="N84" s="2">
        <f>MROUND(M84*0.6,10)</f>
        <v>200</v>
      </c>
      <c r="P84" s="2">
        <v>1</v>
      </c>
      <c r="Q84" s="21">
        <v>0.5</v>
      </c>
      <c r="R84" s="21">
        <v>0</v>
      </c>
      <c r="S84" s="21">
        <v>0</v>
      </c>
      <c r="T84" s="21">
        <v>0</v>
      </c>
      <c r="U84" s="21">
        <v>0</v>
      </c>
      <c r="V84" s="21">
        <v>0</v>
      </c>
      <c r="W84" s="21">
        <v>0</v>
      </c>
      <c r="X84" s="21">
        <v>0</v>
      </c>
      <c r="Y84" s="21">
        <v>0</v>
      </c>
      <c r="Z84" s="21">
        <v>0</v>
      </c>
      <c r="AA84" s="21">
        <v>0</v>
      </c>
      <c r="AB84" s="21">
        <v>0</v>
      </c>
      <c r="AC84" s="21">
        <v>0.5</v>
      </c>
      <c r="AD84" s="21">
        <v>0</v>
      </c>
      <c r="AE84" s="21">
        <v>0</v>
      </c>
    </row>
    <row r="85" spans="2:31" x14ac:dyDescent="0.3">
      <c r="B85" s="2">
        <v>3</v>
      </c>
      <c r="C85" s="2" t="s">
        <v>502</v>
      </c>
      <c r="D85" s="21">
        <v>1.17</v>
      </c>
      <c r="E85" s="2">
        <f t="shared" ref="E85:E106" si="15">ROUND($E$83*D85/10,0)*10</f>
        <v>700</v>
      </c>
      <c r="F85" s="33">
        <f>MROUND(([1]游戏时长规划!H5*E85+(1-[1]游戏时长规划!H5)*M85+N85)*[1]游戏时长规划!G5,10)</f>
        <v>7670</v>
      </c>
      <c r="G85" s="42">
        <f t="shared" ref="G85:G95" si="16">$I$48*D85</f>
        <v>234</v>
      </c>
      <c r="H85" s="42">
        <f t="shared" si="12"/>
        <v>7019.9999999999918</v>
      </c>
      <c r="I85" s="42">
        <f>$N$14*G85*MIN([1]游戏时长规划!$G5,$C$5)/$C$5</f>
        <v>14039.999999999942</v>
      </c>
      <c r="J85" s="42">
        <f t="shared" si="10"/>
        <v>2340</v>
      </c>
      <c r="K85" s="42">
        <f t="shared" si="11"/>
        <v>1267.5000000000007</v>
      </c>
      <c r="L85" s="42">
        <f t="shared" si="13"/>
        <v>24667.499999999935</v>
      </c>
      <c r="M85" s="2">
        <f t="shared" si="14"/>
        <v>360</v>
      </c>
      <c r="N85" s="2">
        <f t="shared" ref="N85:N106" si="17">MROUND(M85*0.6,10)</f>
        <v>220</v>
      </c>
      <c r="P85" s="2">
        <v>2</v>
      </c>
      <c r="Q85" s="21">
        <v>0.25</v>
      </c>
      <c r="R85" s="21">
        <v>0.25</v>
      </c>
      <c r="S85" s="21">
        <v>0</v>
      </c>
      <c r="T85" s="21">
        <v>0</v>
      </c>
      <c r="U85" s="21">
        <v>0</v>
      </c>
      <c r="V85" s="21">
        <v>0</v>
      </c>
      <c r="W85" s="21">
        <v>0</v>
      </c>
      <c r="X85" s="21">
        <v>0</v>
      </c>
      <c r="Y85" s="21">
        <v>0</v>
      </c>
      <c r="Z85" s="21">
        <v>0</v>
      </c>
      <c r="AA85" s="21">
        <v>0</v>
      </c>
      <c r="AB85" s="21">
        <v>0</v>
      </c>
      <c r="AC85" s="21">
        <v>0.5</v>
      </c>
      <c r="AD85" s="21">
        <v>0</v>
      </c>
      <c r="AE85" s="21">
        <v>0</v>
      </c>
    </row>
    <row r="86" spans="2:31" x14ac:dyDescent="0.3">
      <c r="B86" s="2">
        <v>4</v>
      </c>
      <c r="C86" s="2" t="s">
        <v>502</v>
      </c>
      <c r="D86" s="21">
        <v>1.25</v>
      </c>
      <c r="E86" s="2">
        <f t="shared" si="15"/>
        <v>750</v>
      </c>
      <c r="F86" s="33">
        <f>MROUND(([1]游戏时长规划!H6*E86+(1-[1]游戏时长规划!H6)*M86+N86)*[1]游戏时长规划!G6,10)</f>
        <v>9760</v>
      </c>
      <c r="G86" s="42">
        <f t="shared" si="16"/>
        <v>250</v>
      </c>
      <c r="H86" s="42">
        <f t="shared" si="12"/>
        <v>7499.9999999999909</v>
      </c>
      <c r="I86" s="42">
        <f>$N$14*G86*MIN([1]游戏时长规划!$G6,$C$5)/$C$5</f>
        <v>14999.999999999938</v>
      </c>
      <c r="J86" s="42">
        <f t="shared" si="10"/>
        <v>2500</v>
      </c>
      <c r="K86" s="42">
        <f t="shared" si="11"/>
        <v>1354.1666666666674</v>
      </c>
      <c r="L86" s="42">
        <f t="shared" si="13"/>
        <v>26354.166666666595</v>
      </c>
      <c r="M86" s="2">
        <f t="shared" si="14"/>
        <v>380</v>
      </c>
      <c r="N86" s="2">
        <f t="shared" si="17"/>
        <v>230</v>
      </c>
      <c r="P86" s="2">
        <v>3</v>
      </c>
      <c r="Q86" s="21">
        <v>0.2</v>
      </c>
      <c r="R86" s="21">
        <v>0.2</v>
      </c>
      <c r="S86" s="21">
        <v>0.2</v>
      </c>
      <c r="T86" s="21">
        <v>0</v>
      </c>
      <c r="U86" s="21">
        <v>0</v>
      </c>
      <c r="V86" s="21">
        <v>0</v>
      </c>
      <c r="W86" s="21">
        <v>0</v>
      </c>
      <c r="X86" s="21">
        <v>0</v>
      </c>
      <c r="Y86" s="21">
        <v>0</v>
      </c>
      <c r="Z86" s="21">
        <v>0</v>
      </c>
      <c r="AA86" s="21">
        <v>0</v>
      </c>
      <c r="AB86" s="21">
        <v>0</v>
      </c>
      <c r="AC86" s="21">
        <v>0.2</v>
      </c>
      <c r="AD86" s="21">
        <v>0.2</v>
      </c>
      <c r="AE86" s="21">
        <v>0</v>
      </c>
    </row>
    <row r="87" spans="2:31" x14ac:dyDescent="0.3">
      <c r="B87" s="2">
        <v>5</v>
      </c>
      <c r="C87" s="2" t="s">
        <v>502</v>
      </c>
      <c r="D87" s="21">
        <v>1.33</v>
      </c>
      <c r="E87" s="2">
        <f t="shared" si="15"/>
        <v>800</v>
      </c>
      <c r="F87" s="33">
        <f>MROUND(([1]游戏时长规划!H7*E87+(1-[1]游戏时长规划!H7)*M87+N87)*[1]游戏时长规划!G7,10)</f>
        <v>12900</v>
      </c>
      <c r="G87" s="42">
        <f t="shared" si="16"/>
        <v>266</v>
      </c>
      <c r="H87" s="42">
        <f t="shared" si="12"/>
        <v>7979.9999999999909</v>
      </c>
      <c r="I87" s="42">
        <f>$N$14*G87*MIN([1]游戏时长规划!$G7,$C$5)/$C$5</f>
        <v>15959.999999999936</v>
      </c>
      <c r="J87" s="42">
        <f t="shared" si="10"/>
        <v>2660</v>
      </c>
      <c r="K87" s="42">
        <f t="shared" si="11"/>
        <v>1440.8333333333342</v>
      </c>
      <c r="L87" s="42">
        <f t="shared" si="13"/>
        <v>28040.833333333263</v>
      </c>
      <c r="M87" s="2">
        <f t="shared" si="14"/>
        <v>400</v>
      </c>
      <c r="N87" s="2">
        <f t="shared" si="17"/>
        <v>240</v>
      </c>
      <c r="P87" s="2">
        <v>4</v>
      </c>
      <c r="Q87" s="21">
        <v>0.2</v>
      </c>
      <c r="R87" s="21">
        <v>0.2</v>
      </c>
      <c r="S87" s="21">
        <v>0.2</v>
      </c>
      <c r="T87" s="21">
        <v>0</v>
      </c>
      <c r="U87" s="21">
        <v>0</v>
      </c>
      <c r="V87" s="21">
        <v>0</v>
      </c>
      <c r="W87" s="21">
        <v>0</v>
      </c>
      <c r="X87" s="21">
        <v>0</v>
      </c>
      <c r="Y87" s="21">
        <v>0</v>
      </c>
      <c r="Z87" s="21">
        <v>0</v>
      </c>
      <c r="AA87" s="21">
        <v>0</v>
      </c>
      <c r="AB87" s="21">
        <v>0</v>
      </c>
      <c r="AC87" s="21">
        <v>0.2</v>
      </c>
      <c r="AD87" s="21">
        <v>0.2</v>
      </c>
      <c r="AE87" s="21">
        <v>0</v>
      </c>
    </row>
    <row r="88" spans="2:31" x14ac:dyDescent="0.3">
      <c r="B88" s="2">
        <v>6</v>
      </c>
      <c r="C88" s="2" t="s">
        <v>502</v>
      </c>
      <c r="D88" s="21">
        <v>1.42</v>
      </c>
      <c r="E88" s="2">
        <f t="shared" si="15"/>
        <v>850</v>
      </c>
      <c r="F88" s="33">
        <f>MROUND(([1]游戏时长规划!H8*E88+(1-[1]游戏时长规划!H8)*M88+N88)*[1]游戏时长规划!G8,10)</f>
        <v>16580</v>
      </c>
      <c r="G88" s="42">
        <f t="shared" si="16"/>
        <v>284</v>
      </c>
      <c r="H88" s="42">
        <f t="shared" si="12"/>
        <v>8519.9999999999891</v>
      </c>
      <c r="I88" s="42">
        <f>$N$14*G88*MIN([1]游戏时长规划!$G8,$C$5)/$C$5</f>
        <v>17039.999999999931</v>
      </c>
      <c r="J88" s="42">
        <f t="shared" si="10"/>
        <v>2840</v>
      </c>
      <c r="K88" s="42">
        <f t="shared" si="11"/>
        <v>1538.3333333333342</v>
      </c>
      <c r="L88" s="42">
        <f t="shared" si="13"/>
        <v>29938.333333333256</v>
      </c>
      <c r="M88" s="2">
        <f t="shared" si="14"/>
        <v>430</v>
      </c>
      <c r="N88" s="2">
        <f t="shared" si="17"/>
        <v>260</v>
      </c>
      <c r="P88" s="2">
        <v>5</v>
      </c>
      <c r="Q88" s="21">
        <v>0</v>
      </c>
      <c r="R88" s="21">
        <v>0.125</v>
      </c>
      <c r="S88" s="21">
        <v>0.125</v>
      </c>
      <c r="T88" s="21">
        <v>0.125</v>
      </c>
      <c r="U88" s="21">
        <v>0.125</v>
      </c>
      <c r="V88" s="21">
        <v>0</v>
      </c>
      <c r="W88" s="21">
        <v>0</v>
      </c>
      <c r="X88" s="21">
        <v>0</v>
      </c>
      <c r="Y88" s="21">
        <v>0</v>
      </c>
      <c r="Z88" s="21">
        <v>0</v>
      </c>
      <c r="AA88" s="21">
        <v>0</v>
      </c>
      <c r="AB88" s="21">
        <v>0</v>
      </c>
      <c r="AC88" s="21">
        <v>0.25</v>
      </c>
      <c r="AD88" s="21">
        <v>0.25</v>
      </c>
      <c r="AE88" s="21">
        <v>0</v>
      </c>
    </row>
    <row r="89" spans="2:31" x14ac:dyDescent="0.3">
      <c r="B89" s="2">
        <v>7</v>
      </c>
      <c r="C89" s="2" t="s">
        <v>502</v>
      </c>
      <c r="D89" s="21">
        <v>1.5</v>
      </c>
      <c r="E89" s="2">
        <f t="shared" si="15"/>
        <v>900</v>
      </c>
      <c r="F89" s="33">
        <f>MROUND(([1]游戏时长规划!H9*E89+(1-[1]游戏时长规划!H9)*M89+N89)*[1]游戏时长规划!G9,10)</f>
        <v>19350</v>
      </c>
      <c r="G89" s="42">
        <f t="shared" si="16"/>
        <v>300</v>
      </c>
      <c r="H89" s="42">
        <f t="shared" si="12"/>
        <v>8999.9999999999891</v>
      </c>
      <c r="I89" s="42">
        <f>$N$14*G89*MIN([1]游戏时长规划!$G9,$C$5)/$C$5</f>
        <v>17999.999999999924</v>
      </c>
      <c r="J89" s="42">
        <f t="shared" si="10"/>
        <v>3000</v>
      </c>
      <c r="K89" s="42">
        <f t="shared" si="11"/>
        <v>1625.0000000000009</v>
      </c>
      <c r="L89" s="42">
        <f t="shared" si="13"/>
        <v>31624.999999999913</v>
      </c>
      <c r="M89" s="2">
        <f t="shared" si="14"/>
        <v>450</v>
      </c>
      <c r="N89" s="2">
        <f t="shared" si="17"/>
        <v>270</v>
      </c>
      <c r="P89" s="2">
        <v>6</v>
      </c>
      <c r="Q89" s="21">
        <v>0</v>
      </c>
      <c r="R89" s="21">
        <v>0.125</v>
      </c>
      <c r="S89" s="21">
        <v>0.125</v>
      </c>
      <c r="T89" s="21">
        <v>0.125</v>
      </c>
      <c r="U89" s="21">
        <v>0.125</v>
      </c>
      <c r="V89" s="21">
        <v>0</v>
      </c>
      <c r="W89" s="21">
        <v>0</v>
      </c>
      <c r="X89" s="21">
        <v>0</v>
      </c>
      <c r="Y89" s="21">
        <v>0</v>
      </c>
      <c r="Z89" s="21">
        <v>0</v>
      </c>
      <c r="AA89" s="21">
        <v>0</v>
      </c>
      <c r="AB89" s="21">
        <v>0</v>
      </c>
      <c r="AC89" s="21">
        <v>0.1</v>
      </c>
      <c r="AD89" s="21">
        <v>0.2</v>
      </c>
      <c r="AE89" s="21">
        <v>0.2</v>
      </c>
    </row>
    <row r="90" spans="2:31" x14ac:dyDescent="0.3">
      <c r="B90" s="2">
        <v>8</v>
      </c>
      <c r="C90" s="2" t="s">
        <v>502</v>
      </c>
      <c r="D90" s="21">
        <v>1.58</v>
      </c>
      <c r="E90" s="2">
        <f t="shared" si="15"/>
        <v>950</v>
      </c>
      <c r="F90" s="33">
        <f>MROUND(([1]游戏时长规划!H10*E90+(1-[1]游戏时长规划!H10)*M90+N90)*[1]游戏时长规划!G10,10)</f>
        <v>25710</v>
      </c>
      <c r="G90" s="42">
        <f t="shared" si="16"/>
        <v>316</v>
      </c>
      <c r="H90" s="42">
        <f t="shared" si="12"/>
        <v>9479.9999999999891</v>
      </c>
      <c r="I90" s="42">
        <f>$N$14*G90*MIN([1]游戏时长规划!$G10,$C$5)/$C$5</f>
        <v>18959.99999999992</v>
      </c>
      <c r="J90" s="42">
        <f t="shared" si="10"/>
        <v>3160</v>
      </c>
      <c r="K90" s="42">
        <f t="shared" si="11"/>
        <v>1711.6666666666677</v>
      </c>
      <c r="L90" s="42">
        <f t="shared" si="13"/>
        <v>33311.666666666577</v>
      </c>
      <c r="M90" s="2">
        <f t="shared" si="14"/>
        <v>480</v>
      </c>
      <c r="N90" s="2">
        <f t="shared" si="17"/>
        <v>290</v>
      </c>
      <c r="P90" s="2">
        <v>7</v>
      </c>
      <c r="Q90" s="21">
        <v>0</v>
      </c>
      <c r="R90" s="21">
        <v>0</v>
      </c>
      <c r="S90" s="21">
        <v>0.125</v>
      </c>
      <c r="T90" s="21">
        <v>0.125</v>
      </c>
      <c r="U90" s="21">
        <v>0.125</v>
      </c>
      <c r="V90" s="21">
        <v>0</v>
      </c>
      <c r="W90" s="21">
        <v>0</v>
      </c>
      <c r="X90" s="21">
        <v>0</v>
      </c>
      <c r="Y90" s="21">
        <v>0</v>
      </c>
      <c r="Z90" s="21">
        <v>0</v>
      </c>
      <c r="AA90" s="21">
        <v>0</v>
      </c>
      <c r="AB90" s="21">
        <v>0</v>
      </c>
      <c r="AC90" s="21">
        <v>0.1</v>
      </c>
      <c r="AD90" s="21">
        <v>0.2</v>
      </c>
      <c r="AE90" s="21">
        <v>0.2</v>
      </c>
    </row>
    <row r="91" spans="2:31" x14ac:dyDescent="0.3">
      <c r="B91" s="2">
        <v>9</v>
      </c>
      <c r="C91" s="2" t="s">
        <v>502</v>
      </c>
      <c r="D91" s="21">
        <v>1.67</v>
      </c>
      <c r="E91" s="2">
        <f t="shared" si="15"/>
        <v>1000</v>
      </c>
      <c r="F91" s="33">
        <f>MROUND(([1]游戏时长规划!H11*E91+(1-[1]游戏时长规划!H11)*M91+N91)*[1]游戏时长规划!G11,10)</f>
        <v>32690</v>
      </c>
      <c r="G91" s="42">
        <f t="shared" si="16"/>
        <v>334</v>
      </c>
      <c r="H91" s="42">
        <f t="shared" si="12"/>
        <v>10019.999999999987</v>
      </c>
      <c r="I91" s="42">
        <f>$N$14*G91*MIN([1]游戏时长规划!$G11,$C$5)/$C$5</f>
        <v>20039.999999999916</v>
      </c>
      <c r="J91" s="42">
        <f t="shared" si="10"/>
        <v>3340</v>
      </c>
      <c r="K91" s="42">
        <f t="shared" si="11"/>
        <v>1809.1666666666677</v>
      </c>
      <c r="L91" s="42">
        <f t="shared" si="13"/>
        <v>35209.16666666657</v>
      </c>
      <c r="M91" s="2">
        <f t="shared" si="14"/>
        <v>510</v>
      </c>
      <c r="N91" s="2">
        <f t="shared" si="17"/>
        <v>310</v>
      </c>
      <c r="P91" s="2">
        <v>8</v>
      </c>
      <c r="Q91" s="21">
        <v>0</v>
      </c>
      <c r="R91" s="21">
        <v>0</v>
      </c>
      <c r="S91" s="21">
        <v>0.125</v>
      </c>
      <c r="T91" s="21">
        <v>0.125</v>
      </c>
      <c r="U91" s="21">
        <v>0.125</v>
      </c>
      <c r="V91" s="21">
        <v>0</v>
      </c>
      <c r="W91" s="21">
        <v>0.125</v>
      </c>
      <c r="X91" s="21">
        <v>0.125</v>
      </c>
      <c r="Y91" s="21">
        <v>0.125</v>
      </c>
      <c r="Z91" s="21">
        <v>0</v>
      </c>
      <c r="AA91" s="21">
        <v>0</v>
      </c>
      <c r="AB91" s="21">
        <v>0</v>
      </c>
      <c r="AC91" s="21">
        <v>0.1</v>
      </c>
      <c r="AD91" s="21">
        <v>0.2</v>
      </c>
      <c r="AE91" s="21">
        <v>0.2</v>
      </c>
    </row>
    <row r="92" spans="2:31" x14ac:dyDescent="0.3">
      <c r="B92" s="2">
        <v>10</v>
      </c>
      <c r="C92" s="2" t="s">
        <v>502</v>
      </c>
      <c r="D92" s="21">
        <v>1.75</v>
      </c>
      <c r="E92" s="2">
        <f t="shared" si="15"/>
        <v>1050</v>
      </c>
      <c r="F92" s="33">
        <f>MROUND(([1]游戏时长规划!H12*E92+(1-[1]游戏时长规划!H12)*M92+N92)*[1]游戏时长规划!G12,10)</f>
        <v>39760</v>
      </c>
      <c r="G92" s="42">
        <f t="shared" si="16"/>
        <v>350</v>
      </c>
      <c r="H92" s="42">
        <f t="shared" si="12"/>
        <v>10499.999999999987</v>
      </c>
      <c r="I92" s="42">
        <f>$N$14*G92*MIN([1]游戏时长规划!$G12,$C$5)/$C$5</f>
        <v>20999.999999999913</v>
      </c>
      <c r="J92" s="42">
        <f t="shared" si="10"/>
        <v>3500</v>
      </c>
      <c r="K92" s="42">
        <f t="shared" si="11"/>
        <v>1895.8333333333344</v>
      </c>
      <c r="L92" s="42">
        <f t="shared" si="13"/>
        <v>36895.833333333234</v>
      </c>
      <c r="M92" s="2">
        <f t="shared" si="14"/>
        <v>530</v>
      </c>
      <c r="N92" s="2">
        <f t="shared" si="17"/>
        <v>320</v>
      </c>
      <c r="P92" s="2">
        <v>9</v>
      </c>
      <c r="Q92" s="21">
        <v>0</v>
      </c>
      <c r="R92" s="21">
        <v>0</v>
      </c>
      <c r="S92" s="21">
        <v>0</v>
      </c>
      <c r="T92" s="21">
        <v>0.125</v>
      </c>
      <c r="U92" s="21">
        <v>0.125</v>
      </c>
      <c r="V92" s="21">
        <v>0</v>
      </c>
      <c r="W92" s="21">
        <v>0.125</v>
      </c>
      <c r="X92" s="21">
        <v>0.125</v>
      </c>
      <c r="Y92" s="21">
        <v>0.125</v>
      </c>
      <c r="Z92" s="21">
        <v>0</v>
      </c>
      <c r="AA92" s="21">
        <v>0</v>
      </c>
      <c r="AB92" s="21">
        <v>0</v>
      </c>
      <c r="AC92" s="21">
        <v>0.1</v>
      </c>
      <c r="AD92" s="21">
        <v>0.2</v>
      </c>
      <c r="AE92" s="21">
        <v>0.2</v>
      </c>
    </row>
    <row r="93" spans="2:31" x14ac:dyDescent="0.3">
      <c r="B93" s="2">
        <v>11</v>
      </c>
      <c r="C93" s="2" t="s">
        <v>502</v>
      </c>
      <c r="D93" s="21">
        <v>1.83</v>
      </c>
      <c r="E93" s="2">
        <f t="shared" si="15"/>
        <v>1100</v>
      </c>
      <c r="F93" s="2">
        <f t="shared" ref="F93:F106" si="18">E93*$C$5*0.75</f>
        <v>8250</v>
      </c>
      <c r="G93" s="42">
        <f t="shared" si="16"/>
        <v>366</v>
      </c>
      <c r="H93" s="42">
        <f t="shared" si="12"/>
        <v>10979.999999999987</v>
      </c>
      <c r="I93" s="42">
        <f t="shared" ref="I93:I106" si="19">$N$14*G93</f>
        <v>21959.999999999909</v>
      </c>
      <c r="J93" s="42">
        <f t="shared" si="10"/>
        <v>3660</v>
      </c>
      <c r="K93" s="42">
        <f t="shared" si="11"/>
        <v>1982.5000000000011</v>
      </c>
      <c r="L93" s="42">
        <f t="shared" si="13"/>
        <v>38582.499999999898</v>
      </c>
      <c r="M93" s="2">
        <f t="shared" si="14"/>
        <v>550</v>
      </c>
      <c r="N93" s="2">
        <f t="shared" si="17"/>
        <v>330</v>
      </c>
      <c r="P93" s="2">
        <v>10</v>
      </c>
      <c r="Q93" s="21">
        <v>0</v>
      </c>
      <c r="R93" s="21">
        <v>0</v>
      </c>
      <c r="S93" s="21">
        <v>0</v>
      </c>
      <c r="T93" s="21">
        <v>0.125</v>
      </c>
      <c r="U93" s="21">
        <v>0.125</v>
      </c>
      <c r="V93" s="21">
        <v>0</v>
      </c>
      <c r="W93" s="21">
        <v>0.125</v>
      </c>
      <c r="X93" s="21">
        <v>0.125</v>
      </c>
      <c r="Y93" s="21">
        <v>0.125</v>
      </c>
      <c r="Z93" s="21">
        <v>0</v>
      </c>
      <c r="AA93" s="21">
        <v>0</v>
      </c>
      <c r="AB93" s="21">
        <v>0</v>
      </c>
      <c r="AC93" s="21">
        <v>0.1</v>
      </c>
      <c r="AD93" s="21">
        <v>0.2</v>
      </c>
      <c r="AE93" s="21">
        <v>0.2</v>
      </c>
    </row>
    <row r="94" spans="2:31" x14ac:dyDescent="0.3">
      <c r="B94" s="2">
        <v>12</v>
      </c>
      <c r="C94" s="2" t="s">
        <v>502</v>
      </c>
      <c r="D94" s="21">
        <v>1.92</v>
      </c>
      <c r="E94" s="2">
        <f t="shared" si="15"/>
        <v>1150</v>
      </c>
      <c r="F94" s="2">
        <f t="shared" si="18"/>
        <v>8625</v>
      </c>
      <c r="G94" s="42">
        <f t="shared" si="16"/>
        <v>384</v>
      </c>
      <c r="H94" s="42">
        <f t="shared" si="12"/>
        <v>11519.999999999985</v>
      </c>
      <c r="I94" s="42">
        <f t="shared" si="19"/>
        <v>23039.999999999905</v>
      </c>
      <c r="J94" s="42">
        <f t="shared" si="10"/>
        <v>3840</v>
      </c>
      <c r="K94" s="42">
        <f t="shared" si="11"/>
        <v>2080.0000000000009</v>
      </c>
      <c r="L94" s="42">
        <f t="shared" si="13"/>
        <v>40479.999999999891</v>
      </c>
      <c r="M94" s="2">
        <f t="shared" si="14"/>
        <v>580</v>
      </c>
      <c r="N94" s="2">
        <f t="shared" si="17"/>
        <v>350</v>
      </c>
    </row>
    <row r="95" spans="2:31" x14ac:dyDescent="0.3">
      <c r="B95" s="2">
        <v>13</v>
      </c>
      <c r="C95" s="2" t="s">
        <v>506</v>
      </c>
      <c r="D95" s="21">
        <v>2</v>
      </c>
      <c r="E95" s="2">
        <f t="shared" si="15"/>
        <v>1200</v>
      </c>
      <c r="F95" s="2">
        <f t="shared" si="18"/>
        <v>9000</v>
      </c>
      <c r="G95" s="42">
        <f t="shared" si="16"/>
        <v>400</v>
      </c>
      <c r="H95" s="42">
        <f t="shared" si="12"/>
        <v>11999.999999999985</v>
      </c>
      <c r="I95" s="42">
        <f t="shared" si="19"/>
        <v>23999.999999999902</v>
      </c>
      <c r="J95" s="42">
        <f t="shared" si="10"/>
        <v>4000</v>
      </c>
      <c r="K95" s="42">
        <f t="shared" si="11"/>
        <v>2166.6666666666679</v>
      </c>
      <c r="L95" s="42">
        <f t="shared" si="13"/>
        <v>42166.666666666555</v>
      </c>
      <c r="M95" s="2">
        <f t="shared" si="14"/>
        <v>600</v>
      </c>
      <c r="N95" s="2">
        <f t="shared" si="17"/>
        <v>360</v>
      </c>
    </row>
    <row r="96" spans="2:31" x14ac:dyDescent="0.3">
      <c r="B96" s="2">
        <v>14</v>
      </c>
      <c r="C96" s="2" t="s">
        <v>506</v>
      </c>
      <c r="D96" s="21">
        <v>2.08</v>
      </c>
      <c r="E96" s="2">
        <f t="shared" si="15"/>
        <v>1250</v>
      </c>
      <c r="F96" s="2">
        <f t="shared" si="18"/>
        <v>9375</v>
      </c>
      <c r="G96" s="42">
        <f t="shared" ref="G96:G106" si="20">ROUND(F96/$C$13/5,0)*5</f>
        <v>470</v>
      </c>
      <c r="H96" s="42">
        <f t="shared" si="12"/>
        <v>14099.999999999984</v>
      </c>
      <c r="I96" s="42">
        <f t="shared" si="19"/>
        <v>28199.999999999884</v>
      </c>
      <c r="J96" s="42">
        <f t="shared" si="10"/>
        <v>4700</v>
      </c>
      <c r="K96" s="42">
        <f t="shared" si="11"/>
        <v>2545.8333333333348</v>
      </c>
      <c r="L96" s="42">
        <f t="shared" si="13"/>
        <v>49545.833333333205</v>
      </c>
      <c r="M96" s="2">
        <f t="shared" si="14"/>
        <v>630</v>
      </c>
      <c r="N96" s="2">
        <f t="shared" si="17"/>
        <v>380</v>
      </c>
    </row>
    <row r="97" spans="2:14" x14ac:dyDescent="0.3">
      <c r="B97" s="2">
        <v>15</v>
      </c>
      <c r="C97" s="2" t="s">
        <v>506</v>
      </c>
      <c r="D97" s="21">
        <v>2.17</v>
      </c>
      <c r="E97" s="2">
        <f t="shared" si="15"/>
        <v>1300</v>
      </c>
      <c r="F97" s="2">
        <f t="shared" si="18"/>
        <v>9750</v>
      </c>
      <c r="G97" s="42">
        <f t="shared" si="20"/>
        <v>490</v>
      </c>
      <c r="H97" s="42">
        <f t="shared" si="12"/>
        <v>14699.999999999982</v>
      </c>
      <c r="I97" s="42">
        <f t="shared" si="19"/>
        <v>29399.99999999988</v>
      </c>
      <c r="J97" s="42">
        <f t="shared" si="10"/>
        <v>4900</v>
      </c>
      <c r="K97" s="42">
        <f t="shared" si="11"/>
        <v>2654.1666666666683</v>
      </c>
      <c r="L97" s="42">
        <f t="shared" si="13"/>
        <v>51654.166666666533</v>
      </c>
      <c r="M97" s="2">
        <f t="shared" si="14"/>
        <v>660</v>
      </c>
      <c r="N97" s="2">
        <f t="shared" si="17"/>
        <v>400</v>
      </c>
    </row>
    <row r="98" spans="2:14" x14ac:dyDescent="0.3">
      <c r="B98" s="2">
        <v>16</v>
      </c>
      <c r="C98" s="2" t="s">
        <v>506</v>
      </c>
      <c r="D98" s="21">
        <v>2.25</v>
      </c>
      <c r="E98" s="2">
        <f t="shared" si="15"/>
        <v>1350</v>
      </c>
      <c r="F98" s="2">
        <f t="shared" si="18"/>
        <v>10125</v>
      </c>
      <c r="G98" s="42">
        <f t="shared" si="20"/>
        <v>505</v>
      </c>
      <c r="H98" s="42">
        <f t="shared" si="12"/>
        <v>15149.999999999982</v>
      </c>
      <c r="I98" s="42">
        <f t="shared" si="19"/>
        <v>30299.999999999873</v>
      </c>
      <c r="J98" s="42">
        <f t="shared" si="10"/>
        <v>5050</v>
      </c>
      <c r="K98" s="42">
        <f t="shared" si="11"/>
        <v>2735.4166666666683</v>
      </c>
      <c r="L98" s="42">
        <f t="shared" si="13"/>
        <v>53235.416666666526</v>
      </c>
      <c r="M98" s="2">
        <f t="shared" si="14"/>
        <v>680</v>
      </c>
      <c r="N98" s="2">
        <f t="shared" si="17"/>
        <v>410</v>
      </c>
    </row>
    <row r="99" spans="2:14" x14ac:dyDescent="0.3">
      <c r="B99" s="2">
        <v>17</v>
      </c>
      <c r="C99" s="2" t="s">
        <v>506</v>
      </c>
      <c r="D99" s="21">
        <v>2.33</v>
      </c>
      <c r="E99" s="2">
        <f t="shared" si="15"/>
        <v>1400</v>
      </c>
      <c r="F99" s="2">
        <f t="shared" si="18"/>
        <v>10500</v>
      </c>
      <c r="G99" s="42">
        <f t="shared" si="20"/>
        <v>525</v>
      </c>
      <c r="H99" s="42">
        <f t="shared" si="12"/>
        <v>15749.999999999982</v>
      </c>
      <c r="I99" s="42">
        <f t="shared" si="19"/>
        <v>31499.999999999869</v>
      </c>
      <c r="J99" s="42">
        <f t="shared" si="10"/>
        <v>5250</v>
      </c>
      <c r="K99" s="42">
        <f t="shared" si="11"/>
        <v>2843.7500000000014</v>
      </c>
      <c r="L99" s="42">
        <f t="shared" si="13"/>
        <v>55343.749999999854</v>
      </c>
      <c r="M99" s="2">
        <f t="shared" si="14"/>
        <v>700</v>
      </c>
      <c r="N99" s="2">
        <f t="shared" si="17"/>
        <v>420</v>
      </c>
    </row>
    <row r="100" spans="2:14" x14ac:dyDescent="0.3">
      <c r="B100" s="2">
        <v>18</v>
      </c>
      <c r="C100" s="2" t="s">
        <v>506</v>
      </c>
      <c r="D100" s="21">
        <v>2.42</v>
      </c>
      <c r="E100" s="2">
        <f t="shared" si="15"/>
        <v>1450</v>
      </c>
      <c r="F100" s="2">
        <f t="shared" si="18"/>
        <v>10875</v>
      </c>
      <c r="G100" s="42">
        <f t="shared" si="20"/>
        <v>545</v>
      </c>
      <c r="H100" s="42">
        <f t="shared" si="12"/>
        <v>16349.99999999998</v>
      </c>
      <c r="I100" s="42">
        <f t="shared" si="19"/>
        <v>32699.999999999865</v>
      </c>
      <c r="J100" s="42">
        <f t="shared" si="10"/>
        <v>5450</v>
      </c>
      <c r="K100" s="42">
        <f t="shared" si="11"/>
        <v>2952.0833333333348</v>
      </c>
      <c r="L100" s="42">
        <f t="shared" si="13"/>
        <v>57452.083333333183</v>
      </c>
      <c r="M100" s="2">
        <f t="shared" si="14"/>
        <v>730</v>
      </c>
      <c r="N100" s="2">
        <f t="shared" si="17"/>
        <v>440</v>
      </c>
    </row>
    <row r="101" spans="2:14" x14ac:dyDescent="0.3">
      <c r="B101" s="2">
        <v>19</v>
      </c>
      <c r="C101" s="2" t="s">
        <v>506</v>
      </c>
      <c r="D101" s="21">
        <v>2.5</v>
      </c>
      <c r="E101" s="2">
        <f t="shared" si="15"/>
        <v>1500</v>
      </c>
      <c r="F101" s="2">
        <f t="shared" si="18"/>
        <v>11250</v>
      </c>
      <c r="G101" s="42">
        <f t="shared" si="20"/>
        <v>565</v>
      </c>
      <c r="H101" s="42">
        <f t="shared" si="12"/>
        <v>16949.999999999978</v>
      </c>
      <c r="I101" s="42">
        <f t="shared" si="19"/>
        <v>33899.999999999862</v>
      </c>
      <c r="J101" s="42">
        <f t="shared" si="10"/>
        <v>5650</v>
      </c>
      <c r="K101" s="42">
        <f t="shared" si="11"/>
        <v>3060.4166666666683</v>
      </c>
      <c r="L101" s="42">
        <f t="shared" si="13"/>
        <v>59560.416666666511</v>
      </c>
      <c r="M101" s="2">
        <f t="shared" si="14"/>
        <v>750</v>
      </c>
      <c r="N101" s="2">
        <f t="shared" si="17"/>
        <v>450</v>
      </c>
    </row>
    <row r="102" spans="2:14" x14ac:dyDescent="0.3">
      <c r="B102" s="2">
        <v>20</v>
      </c>
      <c r="C102" s="2" t="s">
        <v>506</v>
      </c>
      <c r="D102" s="21">
        <v>2.58</v>
      </c>
      <c r="E102" s="2">
        <f t="shared" si="15"/>
        <v>1550</v>
      </c>
      <c r="F102" s="2">
        <f t="shared" si="18"/>
        <v>11625</v>
      </c>
      <c r="G102" s="42">
        <f t="shared" si="20"/>
        <v>580</v>
      </c>
      <c r="H102" s="42">
        <f t="shared" si="12"/>
        <v>17399.999999999978</v>
      </c>
      <c r="I102" s="42">
        <f t="shared" si="19"/>
        <v>34799.999999999854</v>
      </c>
      <c r="J102" s="42">
        <f t="shared" si="10"/>
        <v>5800</v>
      </c>
      <c r="K102" s="42">
        <f t="shared" si="11"/>
        <v>3141.6666666666683</v>
      </c>
      <c r="L102" s="42">
        <f t="shared" si="13"/>
        <v>61141.666666666504</v>
      </c>
      <c r="M102" s="2">
        <f t="shared" si="14"/>
        <v>780</v>
      </c>
      <c r="N102" s="2">
        <f t="shared" si="17"/>
        <v>470</v>
      </c>
    </row>
    <row r="103" spans="2:14" x14ac:dyDescent="0.3">
      <c r="B103" s="2">
        <v>21</v>
      </c>
      <c r="C103" s="2" t="s">
        <v>506</v>
      </c>
      <c r="D103" s="21">
        <v>2.67</v>
      </c>
      <c r="E103" s="2">
        <f t="shared" si="15"/>
        <v>1600</v>
      </c>
      <c r="F103" s="2">
        <f t="shared" si="18"/>
        <v>12000</v>
      </c>
      <c r="G103" s="42">
        <f t="shared" si="20"/>
        <v>600</v>
      </c>
      <c r="H103" s="42">
        <f t="shared" si="12"/>
        <v>17999.999999999978</v>
      </c>
      <c r="I103" s="42">
        <f t="shared" si="19"/>
        <v>35999.999999999847</v>
      </c>
      <c r="J103" s="42">
        <f t="shared" si="10"/>
        <v>6000</v>
      </c>
      <c r="K103" s="42">
        <f t="shared" si="11"/>
        <v>3250.0000000000018</v>
      </c>
      <c r="L103" s="42">
        <f t="shared" si="13"/>
        <v>63249.999999999825</v>
      </c>
      <c r="M103" s="2">
        <f t="shared" si="14"/>
        <v>810</v>
      </c>
      <c r="N103" s="2">
        <f t="shared" si="17"/>
        <v>490</v>
      </c>
    </row>
    <row r="104" spans="2:14" x14ac:dyDescent="0.3">
      <c r="B104" s="2">
        <v>22</v>
      </c>
      <c r="C104" s="2" t="s">
        <v>506</v>
      </c>
      <c r="D104" s="21">
        <v>2.75</v>
      </c>
      <c r="E104" s="2">
        <f t="shared" si="15"/>
        <v>1650</v>
      </c>
      <c r="F104" s="2">
        <f t="shared" si="18"/>
        <v>12375</v>
      </c>
      <c r="G104" s="42">
        <f t="shared" si="20"/>
        <v>620</v>
      </c>
      <c r="H104" s="42">
        <f t="shared" si="12"/>
        <v>18599.999999999978</v>
      </c>
      <c r="I104" s="42">
        <f t="shared" si="19"/>
        <v>37199.999999999847</v>
      </c>
      <c r="J104" s="42">
        <f t="shared" si="10"/>
        <v>6200</v>
      </c>
      <c r="K104" s="42">
        <f t="shared" si="11"/>
        <v>3358.3333333333353</v>
      </c>
      <c r="L104" s="42">
        <f t="shared" si="13"/>
        <v>65358.333333333161</v>
      </c>
      <c r="M104" s="2">
        <f t="shared" si="14"/>
        <v>830</v>
      </c>
      <c r="N104" s="2">
        <f t="shared" si="17"/>
        <v>500</v>
      </c>
    </row>
    <row r="105" spans="2:14" x14ac:dyDescent="0.3">
      <c r="B105" s="2">
        <v>23</v>
      </c>
      <c r="C105" s="2" t="s">
        <v>506</v>
      </c>
      <c r="D105" s="21">
        <v>2.83</v>
      </c>
      <c r="E105" s="2">
        <f t="shared" si="15"/>
        <v>1700</v>
      </c>
      <c r="F105" s="2">
        <f t="shared" si="18"/>
        <v>12750</v>
      </c>
      <c r="G105" s="42">
        <f t="shared" si="20"/>
        <v>640</v>
      </c>
      <c r="H105" s="42">
        <f t="shared" si="12"/>
        <v>19199.999999999978</v>
      </c>
      <c r="I105" s="42">
        <f t="shared" si="19"/>
        <v>38399.99999999984</v>
      </c>
      <c r="J105" s="42">
        <f t="shared" si="10"/>
        <v>6400</v>
      </c>
      <c r="K105" s="42">
        <f t="shared" si="11"/>
        <v>3466.6666666666688</v>
      </c>
      <c r="L105" s="42">
        <f t="shared" si="13"/>
        <v>67466.666666666482</v>
      </c>
      <c r="M105" s="2">
        <f t="shared" si="14"/>
        <v>850</v>
      </c>
      <c r="N105" s="2">
        <f t="shared" si="17"/>
        <v>510</v>
      </c>
    </row>
    <row r="106" spans="2:14" x14ac:dyDescent="0.3">
      <c r="B106" s="2">
        <v>24</v>
      </c>
      <c r="C106" s="2" t="s">
        <v>506</v>
      </c>
      <c r="D106" s="21">
        <v>2.92</v>
      </c>
      <c r="E106" s="2">
        <f t="shared" si="15"/>
        <v>1750</v>
      </c>
      <c r="F106" s="2">
        <f t="shared" si="18"/>
        <v>13125</v>
      </c>
      <c r="G106" s="42">
        <f t="shared" si="20"/>
        <v>655</v>
      </c>
      <c r="H106" s="42">
        <f t="shared" si="12"/>
        <v>19649.999999999978</v>
      </c>
      <c r="I106" s="42">
        <f t="shared" si="19"/>
        <v>39299.99999999984</v>
      </c>
      <c r="J106" s="42">
        <f t="shared" si="10"/>
        <v>6550</v>
      </c>
      <c r="K106" s="42">
        <f t="shared" si="11"/>
        <v>3547.9166666666688</v>
      </c>
      <c r="L106" s="42">
        <f t="shared" si="13"/>
        <v>69047.916666666482</v>
      </c>
      <c r="M106" s="2">
        <f t="shared" si="14"/>
        <v>880</v>
      </c>
      <c r="N106" s="2">
        <f t="shared" si="17"/>
        <v>530</v>
      </c>
    </row>
    <row r="108" spans="2:14" ht="18" x14ac:dyDescent="0.35">
      <c r="B108" s="100" t="s">
        <v>507</v>
      </c>
    </row>
    <row r="109" spans="2:14" x14ac:dyDescent="0.3">
      <c r="B109" s="232" t="s">
        <v>508</v>
      </c>
      <c r="C109" s="232" t="s">
        <v>509</v>
      </c>
      <c r="D109" s="233" t="s">
        <v>510</v>
      </c>
      <c r="E109" s="233" t="s">
        <v>511</v>
      </c>
      <c r="F109" s="233" t="s">
        <v>56</v>
      </c>
      <c r="G109" s="233" t="s">
        <v>322</v>
      </c>
      <c r="H109" s="233" t="s">
        <v>512</v>
      </c>
      <c r="I109" s="233" t="s">
        <v>513</v>
      </c>
      <c r="J109" s="233" t="s">
        <v>514</v>
      </c>
      <c r="K109" s="233" t="s">
        <v>54</v>
      </c>
      <c r="L109" s="233" t="s">
        <v>515</v>
      </c>
      <c r="M109" s="235" t="s">
        <v>516</v>
      </c>
    </row>
    <row r="110" spans="2:14" x14ac:dyDescent="0.3">
      <c r="B110" s="2">
        <v>1</v>
      </c>
      <c r="C110" s="31">
        <f>游戏时长规划!E17</f>
        <v>1.2244897959183674</v>
      </c>
      <c r="D110" s="31">
        <f>活动奖励!$C$153/30*C110</f>
        <v>16.326530612244898</v>
      </c>
      <c r="E110" s="31">
        <f>50/7*C110</f>
        <v>8.7463556851311957</v>
      </c>
      <c r="F110" s="31">
        <f>成就!$R$4*C110</f>
        <v>6.7251700680272117</v>
      </c>
      <c r="G110" s="31">
        <f>5*$E$15*C110</f>
        <v>18.367346938775512</v>
      </c>
      <c r="H110" s="31">
        <f>2.5*C110</f>
        <v>3.0612244897959187</v>
      </c>
      <c r="I110" s="31">
        <v>50</v>
      </c>
      <c r="J110" s="31">
        <f>活动奖励!$C$118/30*C110</f>
        <v>4.0816326530612246</v>
      </c>
      <c r="K110" s="31">
        <f>BattlePass!$S$27/90*C110</f>
        <v>1.2244897959183674</v>
      </c>
      <c r="L110" s="2">
        <f>游戏时长规划!$AF$37*C110</f>
        <v>12.244897959183675</v>
      </c>
      <c r="M110" s="236">
        <f>SUM(D110:L110)/C110</f>
        <v>98.635079365079363</v>
      </c>
    </row>
    <row r="111" spans="2:14" x14ac:dyDescent="0.3">
      <c r="B111" s="2">
        <v>2</v>
      </c>
      <c r="C111" s="31">
        <f>游戏时长规划!E18</f>
        <v>2.5641025641025639</v>
      </c>
      <c r="D111" s="31">
        <f>活动奖励!$C$153/30*C111</f>
        <v>34.188034188034187</v>
      </c>
      <c r="E111" s="31">
        <f t="shared" ref="E111:E119" si="21">50/7*C111</f>
        <v>18.315018315018314</v>
      </c>
      <c r="F111" s="31">
        <f>成就!$R$4*C111</f>
        <v>14.082621082621083</v>
      </c>
      <c r="G111" s="31">
        <f t="shared" ref="G111:G119" si="22">5*$E$15*C111</f>
        <v>38.46153846153846</v>
      </c>
      <c r="H111" s="31">
        <f t="shared" ref="H111:H119" si="23">2.5*C111</f>
        <v>6.4102564102564097</v>
      </c>
      <c r="I111" s="31">
        <v>50</v>
      </c>
      <c r="J111" s="31">
        <f>活动奖励!$C$118/30*C111</f>
        <v>8.5470085470085468</v>
      </c>
      <c r="K111" s="31">
        <f>BattlePass!$S$27/90*C111</f>
        <v>2.5641025641025639</v>
      </c>
      <c r="L111" s="2">
        <f>游戏时长规划!$AF$37*C111</f>
        <v>25.641025641025639</v>
      </c>
      <c r="M111" s="236">
        <f t="shared" ref="M111:M119" si="24">SUM(D111:L111)/C111</f>
        <v>77.301746031746035</v>
      </c>
    </row>
    <row r="112" spans="2:14" x14ac:dyDescent="0.3">
      <c r="B112" s="2">
        <v>3</v>
      </c>
      <c r="C112" s="31">
        <f>游戏时长规划!E19</f>
        <v>2.7027027027027022</v>
      </c>
      <c r="D112" s="31">
        <f>活动奖励!$C$153/30*C112</f>
        <v>36.03603603603603</v>
      </c>
      <c r="E112" s="31">
        <f t="shared" si="21"/>
        <v>19.305019305019304</v>
      </c>
      <c r="F112" s="31">
        <f>成就!$R$4*C112</f>
        <v>14.843843843843842</v>
      </c>
      <c r="G112" s="31">
        <f t="shared" si="22"/>
        <v>40.540540540540533</v>
      </c>
      <c r="H112" s="31">
        <f t="shared" si="23"/>
        <v>6.7567567567567552</v>
      </c>
      <c r="I112" s="31">
        <v>100</v>
      </c>
      <c r="J112" s="31">
        <f>活动奖励!$C$118/30*C112</f>
        <v>9.0090090090090076</v>
      </c>
      <c r="K112" s="31">
        <f>BattlePass!$S$27/90*C112</f>
        <v>2.7027027027027022</v>
      </c>
      <c r="L112" s="2">
        <f>游戏时长规划!$AF$37*C112</f>
        <v>27.027027027027021</v>
      </c>
      <c r="M112" s="236">
        <f t="shared" si="24"/>
        <v>94.801746031746035</v>
      </c>
    </row>
    <row r="113" spans="1:13" x14ac:dyDescent="0.3">
      <c r="B113" s="2">
        <v>4</v>
      </c>
      <c r="C113" s="31">
        <f>游戏时长规划!E20</f>
        <v>8.5714285714285712</v>
      </c>
      <c r="D113" s="31">
        <f>活动奖励!$C$153/30*C113</f>
        <v>114.28571428571429</v>
      </c>
      <c r="E113" s="31">
        <f t="shared" si="21"/>
        <v>61.224489795918366</v>
      </c>
      <c r="F113" s="31">
        <f>成就!$R$4*C113</f>
        <v>47.076190476190483</v>
      </c>
      <c r="G113" s="31">
        <f t="shared" si="22"/>
        <v>128.57142857142856</v>
      </c>
      <c r="H113" s="31">
        <f t="shared" si="23"/>
        <v>21.428571428571427</v>
      </c>
      <c r="I113" s="31">
        <v>100</v>
      </c>
      <c r="J113" s="31">
        <f>活动奖励!$C$118/30*C113</f>
        <v>28.571428571428573</v>
      </c>
      <c r="K113" s="31">
        <f>BattlePass!$S$27/90*C113</f>
        <v>8.5714285714285712</v>
      </c>
      <c r="L113" s="2">
        <f>游戏时长规划!$AF$37*C113</f>
        <v>85.714285714285708</v>
      </c>
      <c r="M113" s="236">
        <f t="shared" si="24"/>
        <v>69.468412698412692</v>
      </c>
    </row>
    <row r="114" spans="1:13" x14ac:dyDescent="0.3">
      <c r="B114" s="2">
        <v>5</v>
      </c>
      <c r="C114" s="31">
        <f>游戏时长规划!E21</f>
        <v>12</v>
      </c>
      <c r="D114" s="31">
        <f>活动奖励!$C$153/30*C114</f>
        <v>160</v>
      </c>
      <c r="E114" s="31">
        <f t="shared" si="21"/>
        <v>85.714285714285722</v>
      </c>
      <c r="F114" s="31">
        <f>成就!$R$4*C114</f>
        <v>65.906666666666666</v>
      </c>
      <c r="G114" s="31">
        <f t="shared" si="22"/>
        <v>180</v>
      </c>
      <c r="H114" s="31">
        <f t="shared" si="23"/>
        <v>30</v>
      </c>
      <c r="I114" s="31">
        <v>200</v>
      </c>
      <c r="J114" s="31">
        <f>活动奖励!$C$118/30*C114</f>
        <v>40</v>
      </c>
      <c r="K114" s="31">
        <f>BattlePass!$S$27/90*C114</f>
        <v>12</v>
      </c>
      <c r="L114" s="2">
        <f>游戏时长规划!$AF$37*C114</f>
        <v>120</v>
      </c>
      <c r="M114" s="236">
        <f t="shared" si="24"/>
        <v>74.468412698412706</v>
      </c>
    </row>
    <row r="115" spans="1:13" x14ac:dyDescent="0.3">
      <c r="B115" s="2">
        <v>6</v>
      </c>
      <c r="C115" s="31">
        <f>游戏时长规划!E22</f>
        <v>10</v>
      </c>
      <c r="D115" s="31">
        <f>活动奖励!$C$153/30*C115</f>
        <v>133.33333333333334</v>
      </c>
      <c r="E115" s="31">
        <f t="shared" si="21"/>
        <v>71.428571428571431</v>
      </c>
      <c r="F115" s="31">
        <f>成就!$R$4*C115</f>
        <v>54.922222222222231</v>
      </c>
      <c r="G115" s="31">
        <f t="shared" si="22"/>
        <v>150</v>
      </c>
      <c r="H115" s="31">
        <f t="shared" si="23"/>
        <v>25</v>
      </c>
      <c r="I115" s="31">
        <v>200</v>
      </c>
      <c r="J115" s="31">
        <f>活动奖励!$C$118/30*C115</f>
        <v>33.333333333333336</v>
      </c>
      <c r="K115" s="31">
        <f>BattlePass!$S$27/90*C115</f>
        <v>10</v>
      </c>
      <c r="L115" s="2">
        <f>游戏时长规划!$AF$37*C115</f>
        <v>100</v>
      </c>
      <c r="M115" s="236">
        <f t="shared" si="24"/>
        <v>77.801746031746035</v>
      </c>
    </row>
    <row r="116" spans="1:13" x14ac:dyDescent="0.3">
      <c r="B116" s="2">
        <v>7</v>
      </c>
      <c r="C116" s="31">
        <f>游戏时长规划!E23</f>
        <v>15</v>
      </c>
      <c r="D116" s="31">
        <f>活动奖励!$C$153/30*C116</f>
        <v>200</v>
      </c>
      <c r="E116" s="31">
        <f t="shared" si="21"/>
        <v>107.14285714285715</v>
      </c>
      <c r="F116" s="31">
        <f>成就!$R$4*C116</f>
        <v>82.38333333333334</v>
      </c>
      <c r="G116" s="31">
        <f t="shared" si="22"/>
        <v>225</v>
      </c>
      <c r="H116" s="31">
        <f t="shared" si="23"/>
        <v>37.5</v>
      </c>
      <c r="I116" s="31">
        <v>0</v>
      </c>
      <c r="J116" s="31">
        <f>活动奖励!$C$118/30*C116</f>
        <v>50</v>
      </c>
      <c r="K116" s="31">
        <f>BattlePass!$S$27/90*C116</f>
        <v>15</v>
      </c>
      <c r="L116" s="2">
        <f>游戏时长规划!$AF$37*C116</f>
        <v>150</v>
      </c>
      <c r="M116" s="236">
        <f t="shared" si="24"/>
        <v>57.801746031746035</v>
      </c>
    </row>
    <row r="117" spans="1:13" x14ac:dyDescent="0.3">
      <c r="B117" s="2">
        <v>8</v>
      </c>
      <c r="C117" s="31">
        <f>游戏时长规划!E24</f>
        <v>16.666666666666668</v>
      </c>
      <c r="D117" s="31">
        <f>活动奖励!$C$153/30*C117</f>
        <v>222.22222222222226</v>
      </c>
      <c r="E117" s="31">
        <f t="shared" si="21"/>
        <v>119.04761904761907</v>
      </c>
      <c r="F117" s="31">
        <f>成就!$R$4*C117</f>
        <v>91.537037037037052</v>
      </c>
      <c r="G117" s="31">
        <f t="shared" si="22"/>
        <v>250.00000000000003</v>
      </c>
      <c r="H117" s="31">
        <f t="shared" si="23"/>
        <v>41.666666666666671</v>
      </c>
      <c r="I117" s="31">
        <v>0</v>
      </c>
      <c r="J117" s="31">
        <f>活动奖励!$C$118/30*C117</f>
        <v>55.555555555555564</v>
      </c>
      <c r="K117" s="31">
        <f>BattlePass!$S$27/90*C117</f>
        <v>16.666666666666668</v>
      </c>
      <c r="L117" s="2">
        <f>游戏时长规划!$AF$37*C117</f>
        <v>166.66666666666669</v>
      </c>
      <c r="M117" s="236">
        <f t="shared" si="24"/>
        <v>57.801746031746028</v>
      </c>
    </row>
    <row r="118" spans="1:13" x14ac:dyDescent="0.3">
      <c r="B118" s="2">
        <v>9</v>
      </c>
      <c r="C118" s="31">
        <f>游戏时长规划!E25</f>
        <v>20</v>
      </c>
      <c r="D118" s="31">
        <f>活动奖励!$C$153/30*C118</f>
        <v>266.66666666666669</v>
      </c>
      <c r="E118" s="31">
        <f t="shared" si="21"/>
        <v>142.85714285714286</v>
      </c>
      <c r="F118" s="31">
        <f>成就!$R$4*C118</f>
        <v>109.84444444444446</v>
      </c>
      <c r="G118" s="31">
        <f t="shared" si="22"/>
        <v>300</v>
      </c>
      <c r="H118" s="31">
        <f t="shared" si="23"/>
        <v>50</v>
      </c>
      <c r="I118" s="31">
        <f>200*C118/14</f>
        <v>285.71428571428572</v>
      </c>
      <c r="J118" s="31">
        <f>活动奖励!$C$118/30*C118</f>
        <v>66.666666666666671</v>
      </c>
      <c r="K118" s="31">
        <f>BattlePass!$S$27/90*C118</f>
        <v>20</v>
      </c>
      <c r="L118" s="2">
        <f>游戏时长规划!$AF$37*C118</f>
        <v>200</v>
      </c>
      <c r="M118" s="236">
        <f t="shared" si="24"/>
        <v>72.087460317460312</v>
      </c>
    </row>
    <row r="119" spans="1:13" x14ac:dyDescent="0.3">
      <c r="B119" s="2">
        <v>10</v>
      </c>
      <c r="C119" s="31">
        <f>游戏时长规划!E26</f>
        <v>20</v>
      </c>
      <c r="D119" s="31">
        <f>活动奖励!$C$153/30*C119</f>
        <v>266.66666666666669</v>
      </c>
      <c r="E119" s="31">
        <f t="shared" si="21"/>
        <v>142.85714285714286</v>
      </c>
      <c r="F119" s="31">
        <f>成就!$R$4*C119</f>
        <v>109.84444444444446</v>
      </c>
      <c r="G119" s="31">
        <f t="shared" si="22"/>
        <v>300</v>
      </c>
      <c r="H119" s="31">
        <f t="shared" si="23"/>
        <v>50</v>
      </c>
      <c r="I119" s="31">
        <f>200*C119/14</f>
        <v>285.71428571428572</v>
      </c>
      <c r="J119" s="31">
        <f>活动奖励!$C$118/30*C119</f>
        <v>66.666666666666671</v>
      </c>
      <c r="K119" s="31">
        <f>BattlePass!$S$27/90*C119</f>
        <v>20</v>
      </c>
      <c r="L119" s="2">
        <f>游戏时长规划!$AF$37*C119</f>
        <v>200</v>
      </c>
      <c r="M119" s="236">
        <f t="shared" si="24"/>
        <v>72.087460317460312</v>
      </c>
    </row>
    <row r="122" spans="1:13" ht="18" x14ac:dyDescent="0.35">
      <c r="B122" s="100" t="s">
        <v>513</v>
      </c>
    </row>
    <row r="123" spans="1:13" x14ac:dyDescent="0.3">
      <c r="A123" s="1">
        <v>1</v>
      </c>
      <c r="B123" s="234">
        <v>10</v>
      </c>
      <c r="C123" s="234" t="s">
        <v>517</v>
      </c>
      <c r="D123" s="234">
        <v>5</v>
      </c>
      <c r="E123" s="1" t="str">
        <f>"["&amp;VLOOKUP(C123,道具ID!$L:$N,2,FALSE)&amp;"]"</f>
        <v>[53111]</v>
      </c>
      <c r="F123" s="1" t="str">
        <f>"["&amp;D123&amp;"]"</f>
        <v>[5]</v>
      </c>
      <c r="G123" s="1" t="str">
        <f>VLOOKUP(C123,道具ID!$L:$N,3,FALSE)</f>
        <v>shard_b1</v>
      </c>
    </row>
    <row r="124" spans="1:13" x14ac:dyDescent="0.3">
      <c r="B124" s="1">
        <v>20</v>
      </c>
      <c r="C124" s="1" t="s">
        <v>518</v>
      </c>
      <c r="D124" s="1">
        <v>1</v>
      </c>
      <c r="E124" s="1" t="str">
        <f>"["&amp;VLOOKUP(C124,道具ID!$L:$N,2,FALSE)&amp;"]"</f>
        <v>[11111]</v>
      </c>
      <c r="F124" s="1" t="str">
        <f t="shared" ref="F124:F166" si="25">"["&amp;D124&amp;"]"</f>
        <v>[1]</v>
      </c>
      <c r="G124" s="1" t="str">
        <f>VLOOKUP(C124,道具ID!$L:$N,3,FALSE)</f>
        <v>ft17</v>
      </c>
    </row>
    <row r="125" spans="1:13" x14ac:dyDescent="0.3">
      <c r="B125" s="1">
        <v>30</v>
      </c>
      <c r="C125" s="1" t="s">
        <v>519</v>
      </c>
      <c r="D125" s="1">
        <v>60</v>
      </c>
      <c r="E125" s="1" t="str">
        <f>"["&amp;VLOOKUP(C125,道具ID!$L:$N,2,FALSE)&amp;"]"</f>
        <v>[111]</v>
      </c>
      <c r="F125" s="1" t="str">
        <f t="shared" si="25"/>
        <v>[60]</v>
      </c>
      <c r="G125" s="1" t="str">
        <f>VLOOKUP(C125,道具ID!$L:$N,3,FALSE)</f>
        <v>StoreDoubleKey_1</v>
      </c>
    </row>
    <row r="126" spans="1:13" x14ac:dyDescent="0.3">
      <c r="B126" s="1">
        <v>40</v>
      </c>
      <c r="C126" s="1" t="s">
        <v>325</v>
      </c>
      <c r="D126" s="1">
        <v>50</v>
      </c>
      <c r="E126" s="1" t="str">
        <f>"["&amp;VLOOKUP(C126,道具ID!$L:$N,2,FALSE)&amp;"]"</f>
        <v>[101]</v>
      </c>
      <c r="F126" s="1" t="str">
        <f t="shared" si="25"/>
        <v>[50]</v>
      </c>
      <c r="G126" s="1" t="str">
        <f>VLOOKUP(C126,道具ID!$L:$N,3,FALSE)</f>
        <v>StoreDiamond_1</v>
      </c>
    </row>
    <row r="127" spans="1:13" x14ac:dyDescent="0.3">
      <c r="B127" s="1">
        <v>50</v>
      </c>
      <c r="C127" s="1" t="s">
        <v>520</v>
      </c>
      <c r="D127" s="1">
        <v>1</v>
      </c>
      <c r="E127" s="1" t="str">
        <f>"["&amp;VLOOKUP(C127,道具ID!$L:$N,2,FALSE)&amp;"]"</f>
        <v>[12111]</v>
      </c>
      <c r="F127" s="1" t="str">
        <f t="shared" si="25"/>
        <v>[1]</v>
      </c>
      <c r="G127" s="1" t="str">
        <f>VLOOKUP(C127,道具ID!$L:$N,3,FALSE)</f>
        <v>stuart</v>
      </c>
    </row>
    <row r="128" spans="1:13" x14ac:dyDescent="0.3">
      <c r="A128" s="1">
        <v>2</v>
      </c>
      <c r="B128" s="234">
        <v>80</v>
      </c>
      <c r="C128" s="234" t="s">
        <v>521</v>
      </c>
      <c r="D128" s="234">
        <v>1</v>
      </c>
      <c r="E128" s="1" t="str">
        <f>"["&amp;VLOOKUP(C128,道具ID!$L:$N,2,FALSE)&amp;"]"</f>
        <v>[24002]</v>
      </c>
      <c r="F128" s="1" t="str">
        <f t="shared" si="25"/>
        <v>[1]</v>
      </c>
      <c r="G128" s="1" t="str">
        <f>VLOOKUP(C128,道具ID!$L:$N,3,FALSE)</f>
        <v>chest_shard</v>
      </c>
    </row>
    <row r="129" spans="1:7" x14ac:dyDescent="0.3">
      <c r="B129" s="1">
        <v>100</v>
      </c>
      <c r="C129" s="1" t="s">
        <v>522</v>
      </c>
      <c r="D129" s="1">
        <v>1</v>
      </c>
      <c r="E129" s="1" t="str">
        <f>"["&amp;VLOOKUP(C129,道具ID!$L:$N,2,FALSE)&amp;"]"</f>
        <v>[25152]</v>
      </c>
      <c r="F129" s="1" t="str">
        <f t="shared" si="25"/>
        <v>[1]</v>
      </c>
      <c r="G129" s="1" t="str">
        <f>VLOOKUP(C129,道具ID!$L:$N,3,FALSE)</f>
        <v>chest_lv4_icon</v>
      </c>
    </row>
    <row r="130" spans="1:7" x14ac:dyDescent="0.3">
      <c r="B130" s="1">
        <v>120</v>
      </c>
      <c r="C130" s="1" t="s">
        <v>519</v>
      </c>
      <c r="D130" s="1">
        <v>100</v>
      </c>
      <c r="E130" s="1" t="str">
        <f>"["&amp;VLOOKUP(C130,道具ID!$L:$N,2,FALSE)&amp;"]"</f>
        <v>[111]</v>
      </c>
      <c r="F130" s="1" t="str">
        <f t="shared" si="25"/>
        <v>[100]</v>
      </c>
      <c r="G130" s="1" t="str">
        <f>VLOOKUP(C130,道具ID!$L:$N,3,FALSE)</f>
        <v>StoreDoubleKey_1</v>
      </c>
    </row>
    <row r="131" spans="1:7" x14ac:dyDescent="0.3">
      <c r="B131" s="1">
        <v>140</v>
      </c>
      <c r="C131" s="1" t="s">
        <v>325</v>
      </c>
      <c r="D131" s="1">
        <v>50</v>
      </c>
      <c r="E131" s="1" t="str">
        <f>"["&amp;VLOOKUP(C131,道具ID!$L:$N,2,FALSE)&amp;"]"</f>
        <v>[101]</v>
      </c>
      <c r="F131" s="1" t="str">
        <f t="shared" si="25"/>
        <v>[50]</v>
      </c>
      <c r="G131" s="1" t="str">
        <f>VLOOKUP(C131,道具ID!$L:$N,3,FALSE)</f>
        <v>StoreDiamond_1</v>
      </c>
    </row>
    <row r="132" spans="1:7" x14ac:dyDescent="0.3">
      <c r="B132" s="1">
        <v>160</v>
      </c>
      <c r="C132" s="1" t="s">
        <v>523</v>
      </c>
      <c r="D132" s="1">
        <v>1</v>
      </c>
      <c r="E132" s="1" t="str">
        <f>"["&amp;VLOOKUP(C132,道具ID!$L:$N,2,FALSE)&amp;"]"</f>
        <v>[23002]</v>
      </c>
      <c r="F132" s="1" t="str">
        <f t="shared" si="25"/>
        <v>[1]</v>
      </c>
      <c r="G132" s="1" t="str">
        <f>VLOOKUP(C132,道具ID!$L:$N,3,FALSE)</f>
        <v>chest_tankpart</v>
      </c>
    </row>
    <row r="133" spans="1:7" x14ac:dyDescent="0.3">
      <c r="A133" s="1">
        <v>3</v>
      </c>
      <c r="B133" s="234">
        <v>200</v>
      </c>
      <c r="C133" s="234" t="s">
        <v>524</v>
      </c>
      <c r="D133" s="234">
        <v>1</v>
      </c>
      <c r="E133" s="1" t="str">
        <f>"["&amp;VLOOKUP(C133,道具ID!$L:$N,2,FALSE)&amp;"]"</f>
        <v>[11211]</v>
      </c>
      <c r="F133" s="1" t="str">
        <f t="shared" si="25"/>
        <v>[1]</v>
      </c>
      <c r="G133" s="1" t="str">
        <f>VLOOKUP(C133,道具ID!$L:$N,3,FALSE)</f>
        <v>ii</v>
      </c>
    </row>
    <row r="134" spans="1:7" x14ac:dyDescent="0.3">
      <c r="B134" s="1">
        <v>220</v>
      </c>
      <c r="C134" s="1" t="s">
        <v>452</v>
      </c>
      <c r="D134" s="1">
        <v>1</v>
      </c>
      <c r="E134" s="1" t="str">
        <f>"["&amp;VLOOKUP(C134,道具ID!$L:$N,2,FALSE)&amp;"]"</f>
        <v>[92001]</v>
      </c>
      <c r="F134" s="1" t="str">
        <f t="shared" si="25"/>
        <v>[1]</v>
      </c>
      <c r="G134" s="1" t="str">
        <f>VLOOKUP(C134,道具ID!$L:$N,3,FALSE)</f>
        <v>tank_part_icon_t2_l_1</v>
      </c>
    </row>
    <row r="135" spans="1:7" x14ac:dyDescent="0.3">
      <c r="B135" s="1">
        <v>240</v>
      </c>
      <c r="C135" s="1" t="s">
        <v>453</v>
      </c>
      <c r="D135" s="1">
        <v>1</v>
      </c>
      <c r="E135" s="1" t="str">
        <f>"["&amp;VLOOKUP(C135,道具ID!$L:$N,2,FALSE)&amp;"]"</f>
        <v>[92003]</v>
      </c>
      <c r="F135" s="1" t="str">
        <f t="shared" si="25"/>
        <v>[1]</v>
      </c>
      <c r="G135" s="1" t="str">
        <f>VLOOKUP(C135,道具ID!$L:$N,3,FALSE)</f>
        <v>tank_part_icon_t2_l_3</v>
      </c>
    </row>
    <row r="136" spans="1:7" x14ac:dyDescent="0.3">
      <c r="B136" s="1">
        <v>260</v>
      </c>
      <c r="C136" s="1" t="s">
        <v>325</v>
      </c>
      <c r="D136" s="1">
        <v>100</v>
      </c>
      <c r="E136" s="1" t="str">
        <f>"["&amp;VLOOKUP(C136,道具ID!$L:$N,2,FALSE)&amp;"]"</f>
        <v>[101]</v>
      </c>
      <c r="F136" s="1" t="str">
        <f t="shared" si="25"/>
        <v>[100]</v>
      </c>
      <c r="G136" s="1" t="str">
        <f>VLOOKUP(C136,道具ID!$L:$N,3,FALSE)</f>
        <v>StoreDiamond_1</v>
      </c>
    </row>
    <row r="137" spans="1:7" x14ac:dyDescent="0.3">
      <c r="B137" s="1">
        <v>280</v>
      </c>
      <c r="C137" s="1" t="s">
        <v>525</v>
      </c>
      <c r="D137" s="1">
        <v>1</v>
      </c>
      <c r="E137" s="1" t="str">
        <f>"["&amp;VLOOKUP(C137,道具ID!$L:$N,2,FALSE)&amp;"]"</f>
        <v>[23003]</v>
      </c>
      <c r="F137" s="1" t="str">
        <f t="shared" si="25"/>
        <v>[1]</v>
      </c>
      <c r="G137" s="1" t="str">
        <f>VLOOKUP(C137,道具ID!$L:$N,3,FALSE)</f>
        <v>chest_tankpart</v>
      </c>
    </row>
    <row r="138" spans="1:7" x14ac:dyDescent="0.3">
      <c r="A138" s="1">
        <v>4</v>
      </c>
      <c r="B138" s="234">
        <v>350</v>
      </c>
      <c r="C138" s="234" t="s">
        <v>526</v>
      </c>
      <c r="D138" s="234">
        <v>1</v>
      </c>
      <c r="E138" s="1" t="str">
        <f>"["&amp;VLOOKUP(C138,道具ID!$L:$N,2,FALSE)&amp;"]"</f>
        <v>[12211]</v>
      </c>
      <c r="F138" s="1" t="str">
        <f t="shared" si="25"/>
        <v>[1]</v>
      </c>
      <c r="G138" s="1" t="str">
        <f>VLOOKUP(C138,道具ID!$L:$N,3,FALSE)</f>
        <v>t34</v>
      </c>
    </row>
    <row r="139" spans="1:7" x14ac:dyDescent="0.3">
      <c r="B139" s="1">
        <v>400</v>
      </c>
      <c r="C139" s="1" t="s">
        <v>527</v>
      </c>
      <c r="D139" s="1">
        <v>1</v>
      </c>
      <c r="E139" s="1" t="str">
        <f>"["&amp;VLOOKUP(C139,道具ID!$L:$N,2,FALSE)&amp;"]"</f>
        <v>[92102]</v>
      </c>
      <c r="F139" s="1" t="str">
        <f t="shared" si="25"/>
        <v>[1]</v>
      </c>
      <c r="G139" s="1" t="str">
        <f>VLOOKUP(C139,道具ID!$L:$N,3,FALSE)</f>
        <v>tank_part_icon_t2_m_2</v>
      </c>
    </row>
    <row r="140" spans="1:7" x14ac:dyDescent="0.3">
      <c r="B140" s="1">
        <v>450</v>
      </c>
      <c r="C140" s="1" t="s">
        <v>528</v>
      </c>
      <c r="D140" s="1">
        <v>1</v>
      </c>
      <c r="E140" s="1" t="str">
        <f>"["&amp;VLOOKUP(C140,道具ID!$L:$N,2,FALSE)&amp;"]"</f>
        <v>[92104]</v>
      </c>
      <c r="F140" s="1" t="str">
        <f t="shared" si="25"/>
        <v>[1]</v>
      </c>
      <c r="G140" s="1" t="str">
        <f>VLOOKUP(C140,道具ID!$L:$N,3,FALSE)</f>
        <v>tank_part_icon_t2_m_4</v>
      </c>
    </row>
    <row r="141" spans="1:7" x14ac:dyDescent="0.3">
      <c r="B141" s="1">
        <v>500</v>
      </c>
      <c r="C141" s="1" t="s">
        <v>325</v>
      </c>
      <c r="D141" s="1">
        <v>100</v>
      </c>
      <c r="E141" s="1" t="str">
        <f>"["&amp;VLOOKUP(C141,道具ID!$L:$N,2,FALSE)&amp;"]"</f>
        <v>[101]</v>
      </c>
      <c r="F141" s="1" t="str">
        <f t="shared" si="25"/>
        <v>[100]</v>
      </c>
      <c r="G141" s="1" t="str">
        <f>VLOOKUP(C141,道具ID!$L:$N,3,FALSE)</f>
        <v>StoreDiamond_1</v>
      </c>
    </row>
    <row r="142" spans="1:7" x14ac:dyDescent="0.3">
      <c r="B142" s="1">
        <v>550</v>
      </c>
      <c r="C142" s="1" t="s">
        <v>529</v>
      </c>
      <c r="D142" s="1">
        <v>1</v>
      </c>
      <c r="E142" s="1" t="str">
        <f>"["&amp;VLOOKUP(C142,道具ID!$L:$N,2,FALSE)&amp;"]"</f>
        <v>[24004]</v>
      </c>
      <c r="F142" s="1" t="str">
        <f t="shared" si="25"/>
        <v>[1]</v>
      </c>
      <c r="G142" s="1" t="str">
        <f>VLOOKUP(C142,道具ID!$L:$N,3,FALSE)</f>
        <v>chest_shard</v>
      </c>
    </row>
    <row r="143" spans="1:7" x14ac:dyDescent="0.3">
      <c r="A143" s="1">
        <v>5</v>
      </c>
      <c r="B143" s="234">
        <v>650</v>
      </c>
      <c r="C143" s="234" t="s">
        <v>530</v>
      </c>
      <c r="D143" s="234">
        <v>1</v>
      </c>
      <c r="E143" s="1" t="str">
        <f>"["&amp;VLOOKUP(C143,道具ID!$L:$N,2,FALSE)&amp;"]"</f>
        <v>[11311]</v>
      </c>
      <c r="F143" s="1" t="str">
        <f t="shared" si="25"/>
        <v>[1]</v>
      </c>
      <c r="G143" s="1" t="str">
        <f>VLOOKUP(C143,道具ID!$L:$N,3,FALSE)</f>
        <v>35t</v>
      </c>
    </row>
    <row r="144" spans="1:7" x14ac:dyDescent="0.3">
      <c r="B144" s="1">
        <v>700</v>
      </c>
      <c r="C144" s="1" t="s">
        <v>531</v>
      </c>
      <c r="D144" s="1">
        <v>1</v>
      </c>
      <c r="E144" s="1" t="str">
        <f>"["&amp;VLOOKUP(C144,道具ID!$L:$N,2,FALSE)&amp;"]"</f>
        <v>[92001]</v>
      </c>
      <c r="F144" s="1" t="str">
        <f t="shared" si="25"/>
        <v>[1]</v>
      </c>
      <c r="G144" s="1" t="str">
        <f>VLOOKUP(C144,道具ID!$L:$N,3,FALSE)</f>
        <v>tank_part_icon_t2_l_1</v>
      </c>
    </row>
    <row r="145" spans="1:7" x14ac:dyDescent="0.3">
      <c r="B145" s="1">
        <v>750</v>
      </c>
      <c r="C145" s="1" t="s">
        <v>532</v>
      </c>
      <c r="D145" s="1">
        <v>1</v>
      </c>
      <c r="E145" s="1" t="str">
        <f>"["&amp;VLOOKUP(C145,道具ID!$L:$N,2,FALSE)&amp;"]"</f>
        <v>[92003]</v>
      </c>
      <c r="F145" s="1" t="str">
        <f t="shared" si="25"/>
        <v>[1]</v>
      </c>
      <c r="G145" s="1" t="str">
        <f>VLOOKUP(C145,道具ID!$L:$N,3,FALSE)</f>
        <v>tank_part_icon_t2_l_3</v>
      </c>
    </row>
    <row r="146" spans="1:7" x14ac:dyDescent="0.3">
      <c r="B146" s="1">
        <v>800</v>
      </c>
      <c r="C146" s="1" t="s">
        <v>325</v>
      </c>
      <c r="D146" s="1">
        <v>150</v>
      </c>
      <c r="E146" s="1" t="str">
        <f>"["&amp;VLOOKUP(C146,道具ID!$L:$N,2,FALSE)&amp;"]"</f>
        <v>[101]</v>
      </c>
      <c r="F146" s="1" t="str">
        <f t="shared" si="25"/>
        <v>[150]</v>
      </c>
      <c r="G146" s="1" t="str">
        <f>VLOOKUP(C146,道具ID!$L:$N,3,FALSE)</f>
        <v>StoreDiamond_1</v>
      </c>
    </row>
    <row r="147" spans="1:7" x14ac:dyDescent="0.3">
      <c r="B147" s="1">
        <v>850</v>
      </c>
      <c r="C147" s="1" t="s">
        <v>533</v>
      </c>
      <c r="D147" s="1">
        <v>1</v>
      </c>
      <c r="E147" s="1" t="str">
        <f>"["&amp;VLOOKUP(C147,道具ID!$L:$N,2,FALSE)&amp;"]"</f>
        <v>[23005]</v>
      </c>
      <c r="F147" s="1" t="str">
        <f t="shared" si="25"/>
        <v>[1]</v>
      </c>
      <c r="G147" s="1" t="str">
        <f>VLOOKUP(C147,道具ID!$L:$N,3,FALSE)</f>
        <v>chest_tankpart</v>
      </c>
    </row>
    <row r="148" spans="1:7" x14ac:dyDescent="0.3">
      <c r="A148" s="1">
        <v>6</v>
      </c>
      <c r="B148" s="234">
        <v>950</v>
      </c>
      <c r="C148" s="234" t="s">
        <v>534</v>
      </c>
      <c r="D148" s="234">
        <v>1</v>
      </c>
      <c r="E148" s="1" t="str">
        <f>"["&amp;VLOOKUP(C148,道具ID!$L:$N,2,FALSE)&amp;"]"</f>
        <v>[12311]</v>
      </c>
      <c r="F148" s="1" t="str">
        <f t="shared" si="25"/>
        <v>[1]</v>
      </c>
      <c r="G148" s="1" t="str">
        <f>VLOOKUP(C148,道具ID!$L:$N,3,FALSE)</f>
        <v>mathilda</v>
      </c>
    </row>
    <row r="149" spans="1:7" x14ac:dyDescent="0.3">
      <c r="B149" s="1">
        <v>1000</v>
      </c>
      <c r="C149" s="1" t="s">
        <v>535</v>
      </c>
      <c r="D149" s="1">
        <v>1</v>
      </c>
      <c r="E149" s="1" t="str">
        <f>"["&amp;VLOOKUP(C149,道具ID!$L:$N,2,FALSE)&amp;"]"</f>
        <v>[93101]</v>
      </c>
      <c r="F149" s="1" t="str">
        <f t="shared" si="25"/>
        <v>[1]</v>
      </c>
      <c r="G149" s="1" t="str">
        <f>VLOOKUP(C149,道具ID!$L:$N,3,FALSE)</f>
        <v>tank_part_icon_t3_m_1</v>
      </c>
    </row>
    <row r="150" spans="1:7" x14ac:dyDescent="0.3">
      <c r="B150" s="1">
        <v>1050</v>
      </c>
      <c r="C150" s="1" t="s">
        <v>536</v>
      </c>
      <c r="D150" s="1">
        <v>1</v>
      </c>
      <c r="E150" s="1" t="str">
        <f>"["&amp;VLOOKUP(C150,道具ID!$L:$N,2,FALSE)&amp;"]"</f>
        <v>[93103]</v>
      </c>
      <c r="F150" s="1" t="str">
        <f t="shared" si="25"/>
        <v>[1]</v>
      </c>
      <c r="G150" s="1" t="str">
        <f>VLOOKUP(C150,道具ID!$L:$N,3,FALSE)</f>
        <v>tank_part_icon_t3_m_3</v>
      </c>
    </row>
    <row r="151" spans="1:7" x14ac:dyDescent="0.3">
      <c r="B151" s="1">
        <v>1100</v>
      </c>
      <c r="C151" s="1" t="s">
        <v>325</v>
      </c>
      <c r="D151" s="1">
        <v>150</v>
      </c>
      <c r="E151" s="1" t="str">
        <f>"["&amp;VLOOKUP(C151,道具ID!$L:$N,2,FALSE)&amp;"]"</f>
        <v>[101]</v>
      </c>
      <c r="F151" s="1" t="str">
        <f t="shared" si="25"/>
        <v>[150]</v>
      </c>
      <c r="G151" s="1" t="str">
        <f>VLOOKUP(C151,道具ID!$L:$N,3,FALSE)</f>
        <v>StoreDiamond_1</v>
      </c>
    </row>
    <row r="152" spans="1:7" x14ac:dyDescent="0.3">
      <c r="B152" s="1">
        <v>1150</v>
      </c>
      <c r="C152" s="1" t="s">
        <v>537</v>
      </c>
      <c r="D152" s="1">
        <v>1</v>
      </c>
      <c r="E152" s="1" t="str">
        <f>"["&amp;VLOOKUP(C152,道具ID!$L:$N,2,FALSE)&amp;"]"</f>
        <v>[24006]</v>
      </c>
      <c r="F152" s="1" t="str">
        <f t="shared" si="25"/>
        <v>[1]</v>
      </c>
      <c r="G152" s="1" t="str">
        <f>VLOOKUP(C152,道具ID!$L:$N,3,FALSE)</f>
        <v>chest_shard</v>
      </c>
    </row>
    <row r="153" spans="1:7" x14ac:dyDescent="0.3">
      <c r="A153" s="1">
        <v>7</v>
      </c>
      <c r="B153" s="234">
        <v>1250</v>
      </c>
      <c r="C153" s="234" t="s">
        <v>538</v>
      </c>
      <c r="D153" s="234">
        <v>1</v>
      </c>
      <c r="E153" s="1" t="str">
        <f>"["&amp;VLOOKUP(C153,道具ID!$L:$N,2,FALSE)&amp;"]"</f>
        <v>[13311]</v>
      </c>
      <c r="F153" s="1" t="str">
        <f t="shared" si="25"/>
        <v>[1]</v>
      </c>
      <c r="G153" s="1" t="str">
        <f>VLOOKUP(C153,道具ID!$L:$N,3,FALSE)</f>
        <v>panzer-v</v>
      </c>
    </row>
    <row r="154" spans="1:7" x14ac:dyDescent="0.3">
      <c r="B154" s="1">
        <v>1300</v>
      </c>
      <c r="C154" s="1" t="s">
        <v>539</v>
      </c>
      <c r="D154" s="1">
        <v>1</v>
      </c>
      <c r="E154" s="1" t="str">
        <f>"["&amp;VLOOKUP(C154,道具ID!$L:$N,2,FALSE)&amp;"]"</f>
        <v>[93202]</v>
      </c>
      <c r="F154" s="1" t="str">
        <f t="shared" si="25"/>
        <v>[1]</v>
      </c>
      <c r="G154" s="1" t="str">
        <f>VLOOKUP(C154,道具ID!$L:$N,3,FALSE)</f>
        <v>tank_part_icon_t3_h_2</v>
      </c>
    </row>
    <row r="155" spans="1:7" x14ac:dyDescent="0.3">
      <c r="B155" s="1">
        <v>1350</v>
      </c>
      <c r="C155" s="1" t="s">
        <v>540</v>
      </c>
      <c r="D155" s="1">
        <v>1</v>
      </c>
      <c r="E155" s="1" t="str">
        <f>"["&amp;VLOOKUP(C155,道具ID!$L:$N,2,FALSE)&amp;"]"</f>
        <v>[93204]</v>
      </c>
      <c r="F155" s="1" t="str">
        <f t="shared" si="25"/>
        <v>[1]</v>
      </c>
      <c r="G155" s="1" t="str">
        <f>VLOOKUP(C155,道具ID!$L:$N,3,FALSE)</f>
        <v>tank_part_icon_t3_h_4</v>
      </c>
    </row>
    <row r="156" spans="1:7" x14ac:dyDescent="0.3">
      <c r="B156" s="1">
        <v>1400</v>
      </c>
      <c r="C156" s="1" t="s">
        <v>519</v>
      </c>
      <c r="D156" s="1">
        <v>200</v>
      </c>
      <c r="E156" s="1" t="str">
        <f>"["&amp;VLOOKUP(C156,道具ID!$L:$N,2,FALSE)&amp;"]"</f>
        <v>[111]</v>
      </c>
      <c r="F156" s="1" t="str">
        <f t="shared" si="25"/>
        <v>[200]</v>
      </c>
      <c r="G156" s="1" t="str">
        <f>VLOOKUP(C156,道具ID!$L:$N,3,FALSE)</f>
        <v>StoreDoubleKey_1</v>
      </c>
    </row>
    <row r="157" spans="1:7" x14ac:dyDescent="0.3">
      <c r="B157" s="1">
        <v>1450</v>
      </c>
      <c r="C157" s="1" t="s">
        <v>325</v>
      </c>
      <c r="D157" s="1">
        <v>150</v>
      </c>
      <c r="E157" s="1" t="str">
        <f>"["&amp;VLOOKUP(C157,道具ID!$L:$N,2,FALSE)&amp;"]"</f>
        <v>[101]</v>
      </c>
      <c r="F157" s="1" t="str">
        <f t="shared" si="25"/>
        <v>[150]</v>
      </c>
      <c r="G157" s="1" t="str">
        <f>VLOOKUP(C157,道具ID!$L:$N,3,FALSE)</f>
        <v>StoreDiamond_1</v>
      </c>
    </row>
    <row r="158" spans="1:7" x14ac:dyDescent="0.3">
      <c r="A158" s="1">
        <v>8</v>
      </c>
      <c r="B158" s="234">
        <v>1550</v>
      </c>
      <c r="C158" s="234" t="s">
        <v>541</v>
      </c>
      <c r="D158" s="234">
        <v>1</v>
      </c>
      <c r="E158" s="1" t="str">
        <f>"["&amp;VLOOKUP(C158,道具ID!$L:$N,2,FALSE)&amp;"]"</f>
        <v>[23006]</v>
      </c>
      <c r="F158" s="1" t="str">
        <f t="shared" si="25"/>
        <v>[1]</v>
      </c>
      <c r="G158" s="1" t="str">
        <f>VLOOKUP(C158,道具ID!$L:$N,3,FALSE)</f>
        <v>chest_tankpart</v>
      </c>
    </row>
    <row r="159" spans="1:7" x14ac:dyDescent="0.3">
      <c r="B159" s="1">
        <v>1600</v>
      </c>
      <c r="C159" s="1" t="s">
        <v>542</v>
      </c>
      <c r="D159" s="1">
        <v>1</v>
      </c>
      <c r="E159" s="1" t="str">
        <f>"["&amp;VLOOKUP(C159,道具ID!$L:$N,2,FALSE)&amp;"]"</f>
        <v>[24007]</v>
      </c>
      <c r="F159" s="1" t="str">
        <f t="shared" si="25"/>
        <v>[1]</v>
      </c>
      <c r="G159" s="1" t="str">
        <f>VLOOKUP(C159,道具ID!$L:$N,3,FALSE)</f>
        <v>chest_shard</v>
      </c>
    </row>
    <row r="160" spans="1:7" x14ac:dyDescent="0.3">
      <c r="B160" s="1">
        <v>1650</v>
      </c>
      <c r="C160" s="1" t="s">
        <v>543</v>
      </c>
      <c r="D160" s="1">
        <v>1</v>
      </c>
      <c r="E160" s="1" t="str">
        <f>"["&amp;VLOOKUP(C160,道具ID!$L:$N,2,FALSE)&amp;"]"</f>
        <v>[53341]</v>
      </c>
      <c r="F160" s="1" t="str">
        <f t="shared" si="25"/>
        <v>[1]</v>
      </c>
      <c r="G160" s="1" t="str">
        <f>VLOOKUP(C160,道具ID!$L:$N,3,FALSE)</f>
        <v>shard_pziii</v>
      </c>
    </row>
    <row r="161" spans="1:7" x14ac:dyDescent="0.3">
      <c r="A161" s="1">
        <v>9</v>
      </c>
      <c r="B161" s="234">
        <v>1750</v>
      </c>
      <c r="C161" s="234" t="s">
        <v>541</v>
      </c>
      <c r="D161" s="234">
        <v>1</v>
      </c>
      <c r="E161" s="1" t="str">
        <f>"["&amp;VLOOKUP(C161,道具ID!$L:$N,2,FALSE)&amp;"]"</f>
        <v>[23006]</v>
      </c>
      <c r="F161" s="1" t="str">
        <f t="shared" si="25"/>
        <v>[1]</v>
      </c>
      <c r="G161" s="1" t="str">
        <f>VLOOKUP(C161,道具ID!$L:$N,3,FALSE)</f>
        <v>chest_tankpart</v>
      </c>
    </row>
    <row r="162" spans="1:7" x14ac:dyDescent="0.3">
      <c r="B162" s="1">
        <v>1800</v>
      </c>
      <c r="C162" s="1" t="s">
        <v>325</v>
      </c>
      <c r="D162" s="1">
        <v>200</v>
      </c>
      <c r="E162" s="1" t="str">
        <f>"["&amp;VLOOKUP(C162,道具ID!$L:$N,2,FALSE)&amp;"]"</f>
        <v>[101]</v>
      </c>
      <c r="F162" s="1" t="str">
        <f t="shared" si="25"/>
        <v>[200]</v>
      </c>
      <c r="G162" s="1" t="str">
        <f>VLOOKUP(C162,道具ID!$L:$N,3,FALSE)</f>
        <v>StoreDiamond_1</v>
      </c>
    </row>
    <row r="163" spans="1:7" x14ac:dyDescent="0.3">
      <c r="B163" s="1">
        <v>1900</v>
      </c>
      <c r="C163" s="1" t="s">
        <v>543</v>
      </c>
      <c r="D163" s="1">
        <v>2</v>
      </c>
      <c r="E163" s="1" t="str">
        <f>"["&amp;VLOOKUP(C163,道具ID!$L:$N,2,FALSE)&amp;"]"</f>
        <v>[53341]</v>
      </c>
      <c r="F163" s="1" t="str">
        <f t="shared" si="25"/>
        <v>[2]</v>
      </c>
      <c r="G163" s="1" t="str">
        <f>VLOOKUP(C163,道具ID!$L:$N,3,FALSE)</f>
        <v>shard_pziii</v>
      </c>
    </row>
    <row r="164" spans="1:7" x14ac:dyDescent="0.3">
      <c r="A164" s="1">
        <v>10</v>
      </c>
      <c r="B164" s="234">
        <v>2100</v>
      </c>
      <c r="C164" s="234" t="s">
        <v>542</v>
      </c>
      <c r="D164" s="234">
        <v>1</v>
      </c>
      <c r="E164" s="1" t="str">
        <f>"["&amp;VLOOKUP(C164,道具ID!$L:$N,2,FALSE)&amp;"]"</f>
        <v>[24007]</v>
      </c>
      <c r="F164" s="1" t="str">
        <f t="shared" si="25"/>
        <v>[1]</v>
      </c>
      <c r="G164" s="1" t="str">
        <f>VLOOKUP(C164,道具ID!$L:$N,3,FALSE)</f>
        <v>chest_shard</v>
      </c>
    </row>
    <row r="165" spans="1:7" x14ac:dyDescent="0.3">
      <c r="B165" s="1">
        <v>2200</v>
      </c>
      <c r="C165" s="1" t="s">
        <v>325</v>
      </c>
      <c r="D165" s="1">
        <v>200</v>
      </c>
      <c r="E165" s="1" t="str">
        <f>"["&amp;VLOOKUP(C165,道具ID!$L:$N,2,FALSE)&amp;"]"</f>
        <v>[101]</v>
      </c>
      <c r="F165" s="1" t="str">
        <f t="shared" si="25"/>
        <v>[200]</v>
      </c>
      <c r="G165" s="1" t="str">
        <f>VLOOKUP(C165,道具ID!$L:$N,3,FALSE)</f>
        <v>StoreDiamond_1</v>
      </c>
    </row>
    <row r="166" spans="1:7" x14ac:dyDescent="0.3">
      <c r="B166" s="1">
        <v>2300</v>
      </c>
      <c r="C166" s="1" t="s">
        <v>543</v>
      </c>
      <c r="D166" s="1">
        <v>2</v>
      </c>
      <c r="E166" s="1" t="str">
        <f>"["&amp;VLOOKUP(C166,道具ID!$L:$N,2,FALSE)&amp;"]"</f>
        <v>[53341]</v>
      </c>
      <c r="F166" s="1" t="str">
        <f t="shared" si="25"/>
        <v>[2]</v>
      </c>
      <c r="G166" s="1" t="str">
        <f>VLOOKUP(C166,道具ID!$L:$N,3,FALSE)</f>
        <v>shard_pziii</v>
      </c>
    </row>
    <row r="168" spans="1:7" x14ac:dyDescent="0.3">
      <c r="B168" s="1" t="s">
        <v>544</v>
      </c>
      <c r="C168" s="1">
        <v>15</v>
      </c>
    </row>
    <row r="170" spans="1:7" x14ac:dyDescent="0.3">
      <c r="B170" s="107" t="s">
        <v>545</v>
      </c>
    </row>
    <row r="171" spans="1:7" x14ac:dyDescent="0.3">
      <c r="B171" s="232" t="s">
        <v>508</v>
      </c>
      <c r="C171" s="232" t="s">
        <v>509</v>
      </c>
      <c r="D171" s="2" t="s">
        <v>322</v>
      </c>
      <c r="E171" s="2" t="s">
        <v>546</v>
      </c>
      <c r="F171" s="2" t="s">
        <v>547</v>
      </c>
      <c r="G171" s="2" t="s">
        <v>548</v>
      </c>
    </row>
    <row r="172" spans="1:7" x14ac:dyDescent="0.3">
      <c r="B172" s="2">
        <v>1</v>
      </c>
      <c r="C172" s="31">
        <f>游戏时长规划!E17</f>
        <v>1.2244897959183674</v>
      </c>
      <c r="D172" s="2" t="e">
        <f>SUMIFS([2]钥匙宝箱!$K:$K,[2]钥匙宝箱!$I:$I,"T1碎片",[2]钥匙宝箱!$J:$J,B172)*$E$15</f>
        <v>#VALUE!</v>
      </c>
      <c r="E172" s="2" t="e">
        <f>SUMIFS([2]活跃小箱!$K:$K,[2]活跃小箱!$I:$I,"T1碎片",[2]活跃小箱!$J:$J,B172)*2+SUMIFS([2]活跃中箱!$K:$K,[2]活跃中箱!$I:$I,"T1碎片",[2]活跃中箱!$J:$J,B172)</f>
        <v>#VALUE!</v>
      </c>
      <c r="F172" s="2" t="e">
        <f>(SUMIFS([2]活跃大箱!$K:$K,[2]活跃大箱!$I:$I,"T1碎片",[2]活跃大箱!$J:$J,B172)+SUMIFS([2]活跃巨箱!$K:$K,[2]活跃巨箱!$I:$I,"T1碎片",[2]活跃巨箱!$J:$J,B172))/7</f>
        <v>#VALUE!</v>
      </c>
      <c r="G172" s="2" t="e">
        <f>SUM(D172:F172)</f>
        <v>#VALUE!</v>
      </c>
    </row>
    <row r="173" spans="1:7" x14ac:dyDescent="0.3">
      <c r="B173" s="2">
        <v>2</v>
      </c>
      <c r="C173" s="31">
        <f>游戏时长规划!E18</f>
        <v>2.5641025641025639</v>
      </c>
      <c r="D173" s="2" t="e">
        <f>SUMIFS([2]钥匙宝箱!$K:$K,[2]钥匙宝箱!$I:$I,"T1碎片",[2]钥匙宝箱!$J:$J,B173)*$E$15</f>
        <v>#VALUE!</v>
      </c>
      <c r="E173" s="2" t="e">
        <f>SUMIFS([2]活跃小箱!$K:$K,[2]活跃小箱!$I:$I,"T1碎片",[2]活跃小箱!$J:$J,B173)*2+SUMIFS([2]活跃中箱!$K:$K,[2]活跃中箱!$I:$I,"T1碎片",[2]活跃中箱!$J:$J,B173)</f>
        <v>#VALUE!</v>
      </c>
      <c r="F173" s="2" t="e">
        <f>(SUMIFS([2]活跃大箱!$K:$K,[2]活跃大箱!$I:$I,"T1碎片",[2]活跃大箱!$J:$J,B173)+SUMIFS([2]活跃巨箱!$K:$K,[2]活跃巨箱!$I:$I,"T1碎片",[2]活跃巨箱!$J:$J,B173))/7</f>
        <v>#VALUE!</v>
      </c>
      <c r="G173" s="2" t="e">
        <f t="shared" ref="G173:G181" si="26">SUM(D173:F173)</f>
        <v>#VALUE!</v>
      </c>
    </row>
    <row r="174" spans="1:7" x14ac:dyDescent="0.3">
      <c r="B174" s="2">
        <v>3</v>
      </c>
      <c r="C174" s="31">
        <f>游戏时长规划!E19</f>
        <v>2.7027027027027022</v>
      </c>
      <c r="D174" s="2" t="e">
        <f>SUMIFS([2]钥匙宝箱!$K:$K,[2]钥匙宝箱!$I:$I,"T1碎片",[2]钥匙宝箱!$J:$J,B174)*$E$15</f>
        <v>#VALUE!</v>
      </c>
      <c r="E174" s="2" t="e">
        <f>SUMIFS([2]活跃小箱!$K:$K,[2]活跃小箱!$I:$I,"T1碎片",[2]活跃小箱!$J:$J,B174)*2+SUMIFS([2]活跃中箱!$K:$K,[2]活跃中箱!$I:$I,"T1碎片",[2]活跃中箱!$J:$J,B174)</f>
        <v>#VALUE!</v>
      </c>
      <c r="F174" s="2" t="e">
        <f>(SUMIFS([2]活跃大箱!$K:$K,[2]活跃大箱!$I:$I,"T1碎片",[2]活跃大箱!$J:$J,B174)+SUMIFS([2]活跃巨箱!$K:$K,[2]活跃巨箱!$I:$I,"T1碎片",[2]活跃巨箱!$J:$J,B174))/7</f>
        <v>#VALUE!</v>
      </c>
      <c r="G174" s="2" t="e">
        <f t="shared" si="26"/>
        <v>#VALUE!</v>
      </c>
    </row>
    <row r="175" spans="1:7" x14ac:dyDescent="0.3">
      <c r="B175" s="2">
        <v>4</v>
      </c>
      <c r="C175" s="31">
        <f>游戏时长规划!E20</f>
        <v>8.5714285714285712</v>
      </c>
      <c r="D175" s="2" t="e">
        <f>SUMIFS([2]钥匙宝箱!$K:$K,[2]钥匙宝箱!$I:$I,"T1碎片",[2]钥匙宝箱!$J:$J,B175)*$E$15</f>
        <v>#VALUE!</v>
      </c>
      <c r="E175" s="2" t="e">
        <f>SUMIFS([2]活跃小箱!$K:$K,[2]活跃小箱!$I:$I,"T1碎片",[2]活跃小箱!$J:$J,B175)*2+SUMIFS([2]活跃中箱!$K:$K,[2]活跃中箱!$I:$I,"T1碎片",[2]活跃中箱!$J:$J,B175)</f>
        <v>#VALUE!</v>
      </c>
      <c r="F175" s="2" t="e">
        <f>(SUMIFS([2]活跃大箱!$K:$K,[2]活跃大箱!$I:$I,"T1碎片",[2]活跃大箱!$J:$J,B175)+SUMIFS([2]活跃巨箱!$K:$K,[2]活跃巨箱!$I:$I,"T1碎片",[2]活跃巨箱!$J:$J,B175))/7</f>
        <v>#VALUE!</v>
      </c>
      <c r="G175" s="2" t="e">
        <f t="shared" si="26"/>
        <v>#VALUE!</v>
      </c>
    </row>
    <row r="176" spans="1:7" x14ac:dyDescent="0.3">
      <c r="B176" s="2">
        <v>5</v>
      </c>
      <c r="C176" s="31">
        <f>游戏时长规划!E21</f>
        <v>12</v>
      </c>
      <c r="D176" s="2" t="e">
        <f>SUMIFS([2]钥匙宝箱!$K:$K,[2]钥匙宝箱!$I:$I,"T1碎片",[2]钥匙宝箱!$J:$J,B176)*$E$15</f>
        <v>#VALUE!</v>
      </c>
      <c r="E176" s="2" t="e">
        <f>SUMIFS([2]活跃小箱!$K:$K,[2]活跃小箱!$I:$I,"T1碎片",[2]活跃小箱!$J:$J,B176)*2+SUMIFS([2]活跃中箱!$K:$K,[2]活跃中箱!$I:$I,"T1碎片",[2]活跃中箱!$J:$J,B176)</f>
        <v>#VALUE!</v>
      </c>
      <c r="F176" s="2" t="e">
        <f>(SUMIFS([2]活跃大箱!$K:$K,[2]活跃大箱!$I:$I,"T1碎片",[2]活跃大箱!$J:$J,B176)+SUMIFS([2]活跃巨箱!$K:$K,[2]活跃巨箱!$I:$I,"T1碎片",[2]活跃巨箱!$J:$J,B176))/7</f>
        <v>#VALUE!</v>
      </c>
      <c r="G176" s="2" t="e">
        <f t="shared" si="26"/>
        <v>#VALUE!</v>
      </c>
    </row>
    <row r="177" spans="2:8" x14ac:dyDescent="0.3">
      <c r="B177" s="2">
        <v>6</v>
      </c>
      <c r="C177" s="31">
        <f>游戏时长规划!E22</f>
        <v>10</v>
      </c>
      <c r="D177" s="2" t="e">
        <f>SUMIFS([2]钥匙宝箱!$K:$K,[2]钥匙宝箱!$I:$I,"T1碎片",[2]钥匙宝箱!$J:$J,B177)*$E$15</f>
        <v>#VALUE!</v>
      </c>
      <c r="E177" s="2" t="e">
        <f>SUMIFS([2]活跃小箱!$K:$K,[2]活跃小箱!$I:$I,"T1碎片",[2]活跃小箱!$J:$J,B177)*2+SUMIFS([2]活跃中箱!$K:$K,[2]活跃中箱!$I:$I,"T1碎片",[2]活跃中箱!$J:$J,B177)</f>
        <v>#VALUE!</v>
      </c>
      <c r="F177" s="2" t="e">
        <f>(SUMIFS([2]活跃大箱!$K:$K,[2]活跃大箱!$I:$I,"T1碎片",[2]活跃大箱!$J:$J,B177)+SUMIFS([2]活跃巨箱!$K:$K,[2]活跃巨箱!$I:$I,"T1碎片",[2]活跃巨箱!$J:$J,B177))/7</f>
        <v>#VALUE!</v>
      </c>
      <c r="G177" s="2" t="e">
        <f t="shared" si="26"/>
        <v>#VALUE!</v>
      </c>
    </row>
    <row r="178" spans="2:8" x14ac:dyDescent="0.3">
      <c r="B178" s="2">
        <v>7</v>
      </c>
      <c r="C178" s="31">
        <f>游戏时长规划!E23</f>
        <v>15</v>
      </c>
      <c r="D178" s="2" t="e">
        <f>SUMIFS([2]钥匙宝箱!$K:$K,[2]钥匙宝箱!$I:$I,"T1碎片",[2]钥匙宝箱!$J:$J,B178)*$E$15</f>
        <v>#VALUE!</v>
      </c>
      <c r="E178" s="2" t="e">
        <f>SUMIFS([2]活跃小箱!$K:$K,[2]活跃小箱!$I:$I,"T1碎片",[2]活跃小箱!$J:$J,B178)*2+SUMIFS([2]活跃中箱!$K:$K,[2]活跃中箱!$I:$I,"T1碎片",[2]活跃中箱!$J:$J,B178)</f>
        <v>#VALUE!</v>
      </c>
      <c r="F178" s="2" t="e">
        <f>(SUMIFS([2]活跃大箱!$K:$K,[2]活跃大箱!$I:$I,"T1碎片",[2]活跃大箱!$J:$J,B178)+SUMIFS([2]活跃巨箱!$K:$K,[2]活跃巨箱!$I:$I,"T1碎片",[2]活跃巨箱!$J:$J,B178))/7</f>
        <v>#VALUE!</v>
      </c>
      <c r="G178" s="2" t="e">
        <f t="shared" si="26"/>
        <v>#VALUE!</v>
      </c>
    </row>
    <row r="179" spans="2:8" x14ac:dyDescent="0.3">
      <c r="B179" s="2">
        <v>8</v>
      </c>
      <c r="C179" s="31">
        <f>游戏时长规划!E24</f>
        <v>16.666666666666668</v>
      </c>
      <c r="D179" s="2" t="e">
        <f>SUMIFS([2]钥匙宝箱!$K:$K,[2]钥匙宝箱!$I:$I,"T1碎片",[2]钥匙宝箱!$J:$J,B179)*$E$15</f>
        <v>#VALUE!</v>
      </c>
      <c r="E179" s="2" t="e">
        <f>SUMIFS([2]活跃小箱!$K:$K,[2]活跃小箱!$I:$I,"T1碎片",[2]活跃小箱!$J:$J,B179)*2+SUMIFS([2]活跃中箱!$K:$K,[2]活跃中箱!$I:$I,"T1碎片",[2]活跃中箱!$J:$J,B179)</f>
        <v>#VALUE!</v>
      </c>
      <c r="F179" s="2" t="e">
        <f>(SUMIFS([2]活跃大箱!$K:$K,[2]活跃大箱!$I:$I,"T1碎片",[2]活跃大箱!$J:$J,B179)+SUMIFS([2]活跃巨箱!$K:$K,[2]活跃巨箱!$I:$I,"T1碎片",[2]活跃巨箱!$J:$J,B179))/7</f>
        <v>#VALUE!</v>
      </c>
      <c r="G179" s="2" t="e">
        <f t="shared" si="26"/>
        <v>#VALUE!</v>
      </c>
    </row>
    <row r="180" spans="2:8" x14ac:dyDescent="0.3">
      <c r="B180" s="2">
        <v>9</v>
      </c>
      <c r="C180" s="31">
        <f>游戏时长规划!E25</f>
        <v>20</v>
      </c>
      <c r="D180" s="2" t="e">
        <f>SUMIFS([2]钥匙宝箱!$K:$K,[2]钥匙宝箱!$I:$I,"T1碎片",[2]钥匙宝箱!$J:$J,B180)*$E$15</f>
        <v>#VALUE!</v>
      </c>
      <c r="E180" s="2" t="e">
        <f>SUMIFS([2]活跃小箱!$K:$K,[2]活跃小箱!$I:$I,"T1碎片",[2]活跃小箱!$J:$J,B180)*2+SUMIFS([2]活跃中箱!$K:$K,[2]活跃中箱!$I:$I,"T1碎片",[2]活跃中箱!$J:$J,B180)</f>
        <v>#VALUE!</v>
      </c>
      <c r="F180" s="2" t="e">
        <f>(SUMIFS([2]活跃大箱!$K:$K,[2]活跃大箱!$I:$I,"T1碎片",[2]活跃大箱!$J:$J,B180)+SUMIFS([2]活跃巨箱!$K:$K,[2]活跃巨箱!$I:$I,"T1碎片",[2]活跃巨箱!$J:$J,B180))/7</f>
        <v>#VALUE!</v>
      </c>
      <c r="G180" s="2" t="e">
        <f t="shared" si="26"/>
        <v>#VALUE!</v>
      </c>
    </row>
    <row r="181" spans="2:8" x14ac:dyDescent="0.3">
      <c r="B181" s="2">
        <v>10</v>
      </c>
      <c r="C181" s="31">
        <f>游戏时长规划!E26</f>
        <v>20</v>
      </c>
      <c r="D181" s="2" t="e">
        <f>SUMIFS([2]钥匙宝箱!$K:$K,[2]钥匙宝箱!$I:$I,"T1碎片",[2]钥匙宝箱!$J:$J,B181)*$E$15</f>
        <v>#VALUE!</v>
      </c>
      <c r="E181" s="2" t="e">
        <f>SUMIFS([2]活跃小箱!$K:$K,[2]活跃小箱!$I:$I,"T1碎片",[2]活跃小箱!$J:$J,B181)*2+SUMIFS([2]活跃中箱!$K:$K,[2]活跃中箱!$I:$I,"T1碎片",[2]活跃中箱!$J:$J,B181)</f>
        <v>#VALUE!</v>
      </c>
      <c r="F181" s="2" t="e">
        <f>(SUMIFS([2]活跃大箱!$K:$K,[2]活跃大箱!$I:$I,"T1碎片",[2]活跃大箱!$J:$J,B181)+SUMIFS([2]活跃巨箱!$K:$K,[2]活跃巨箱!$I:$I,"T1碎片",[2]活跃巨箱!$J:$J,B181))/7</f>
        <v>#VALUE!</v>
      </c>
      <c r="G181" s="2" t="e">
        <f t="shared" si="26"/>
        <v>#VALUE!</v>
      </c>
    </row>
    <row r="182" spans="2:8" x14ac:dyDescent="0.3">
      <c r="H182" s="1" t="e">
        <f>SUMPRODUCT(C172:C181,G172:G181)</f>
        <v>#VALUE!</v>
      </c>
    </row>
    <row r="666" spans="7:7" x14ac:dyDescent="0.3">
      <c r="G666" s="1" t="s">
        <v>549</v>
      </c>
    </row>
  </sheetData>
  <mergeCells count="14">
    <mergeCell ref="B11:F11"/>
    <mergeCell ref="G11:K11"/>
    <mergeCell ref="L11:M11"/>
    <mergeCell ref="N11:O11"/>
    <mergeCell ref="B19:C19"/>
    <mergeCell ref="E19:H19"/>
    <mergeCell ref="B68:T68"/>
    <mergeCell ref="V68:AE68"/>
    <mergeCell ref="P82:AE82"/>
    <mergeCell ref="B24:C24"/>
    <mergeCell ref="B31:H31"/>
    <mergeCell ref="B46:H46"/>
    <mergeCell ref="B55:N55"/>
    <mergeCell ref="P55:S55"/>
  </mergeCells>
  <phoneticPr fontId="34"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J49"/>
  <sheetViews>
    <sheetView workbookViewId="0">
      <selection activeCell="F17" sqref="F17:F26"/>
    </sheetView>
  </sheetViews>
  <sheetFormatPr defaultColWidth="9" defaultRowHeight="14.25" x14ac:dyDescent="0.3"/>
  <cols>
    <col min="1" max="7" width="9" style="1"/>
    <col min="8" max="8" width="12.25" style="1" customWidth="1"/>
    <col min="9" max="9" width="9" style="1"/>
    <col min="10" max="10" width="24.625" style="1" customWidth="1"/>
    <col min="11" max="11" width="13.875" style="1" customWidth="1"/>
    <col min="12" max="34" width="9" style="1"/>
    <col min="35" max="35" width="13.375" style="1" customWidth="1"/>
    <col min="36" max="16384" width="9" style="1"/>
  </cols>
  <sheetData>
    <row r="1" spans="2:36" x14ac:dyDescent="0.3">
      <c r="AI1" s="36" t="s">
        <v>550</v>
      </c>
    </row>
    <row r="2" spans="2:36" x14ac:dyDescent="0.3">
      <c r="B2" s="262" t="s">
        <v>551</v>
      </c>
      <c r="C2" s="262"/>
      <c r="E2" s="2" t="s">
        <v>385</v>
      </c>
      <c r="F2" s="2" t="s">
        <v>552</v>
      </c>
      <c r="G2" s="2" t="s">
        <v>553</v>
      </c>
      <c r="H2" s="2" t="s">
        <v>554</v>
      </c>
      <c r="I2" s="2" t="s">
        <v>555</v>
      </c>
      <c r="J2" s="2" t="s">
        <v>556</v>
      </c>
      <c r="K2" s="2" t="s">
        <v>557</v>
      </c>
      <c r="L2" s="2" t="s">
        <v>558</v>
      </c>
      <c r="M2" s="2" t="s">
        <v>559</v>
      </c>
      <c r="N2" s="2" t="s">
        <v>560</v>
      </c>
      <c r="O2" s="2" t="s">
        <v>561</v>
      </c>
      <c r="P2" s="2" t="s">
        <v>562</v>
      </c>
      <c r="Q2" s="2" t="s">
        <v>563</v>
      </c>
      <c r="U2" s="263" t="s">
        <v>564</v>
      </c>
      <c r="V2" s="264"/>
      <c r="W2" s="264"/>
      <c r="X2" s="264"/>
      <c r="Y2" s="264"/>
      <c r="Z2" s="264"/>
      <c r="AA2" s="264"/>
      <c r="AB2" s="264"/>
      <c r="AC2" s="265"/>
      <c r="AI2" s="36" t="s">
        <v>565</v>
      </c>
    </row>
    <row r="3" spans="2:36" x14ac:dyDescent="0.3">
      <c r="B3" s="2" t="s">
        <v>566</v>
      </c>
      <c r="C3" s="2" t="s">
        <v>567</v>
      </c>
      <c r="E3" s="2">
        <v>1</v>
      </c>
      <c r="F3" s="2" t="s">
        <v>386</v>
      </c>
      <c r="G3" s="32">
        <v>5</v>
      </c>
      <c r="H3" s="143">
        <v>0.98</v>
      </c>
      <c r="I3" s="2">
        <f>(P3*H3+Q3*(1-H3))*G3</f>
        <v>49</v>
      </c>
      <c r="J3" s="2">
        <f>G3*1.5</f>
        <v>7.5</v>
      </c>
      <c r="K3" s="143">
        <v>0.6</v>
      </c>
      <c r="L3" s="2">
        <f>(P3*K3+Q3*(1-K3))*J3</f>
        <v>45</v>
      </c>
      <c r="M3" s="2">
        <f t="shared" ref="M3:M12" si="0">G3*2</f>
        <v>10</v>
      </c>
      <c r="N3" s="143">
        <v>0.65</v>
      </c>
      <c r="O3" s="2">
        <f>(P3*N3+Q3*(1-N3))*M3</f>
        <v>65</v>
      </c>
      <c r="P3" s="2">
        <v>10</v>
      </c>
      <c r="Q3" s="2">
        <v>0</v>
      </c>
      <c r="R3" s="1">
        <f>-0.63599+(60.07066)/(1+0.991798*EXP(0.00576*0))</f>
        <v>29.523022108657603</v>
      </c>
      <c r="S3" s="1">
        <f>39.0907-(39.0619)/(1+0.993*EXP(0.00595*0))</f>
        <v>19.491151580531859</v>
      </c>
      <c r="T3" s="1">
        <f>R3*H3+S3*(1-H3)</f>
        <v>29.322384698095089</v>
      </c>
      <c r="U3" s="2" t="s">
        <v>568</v>
      </c>
      <c r="V3" s="2" t="s">
        <v>569</v>
      </c>
      <c r="W3" s="2" t="s">
        <v>570</v>
      </c>
      <c r="X3" s="2" t="s">
        <v>571</v>
      </c>
      <c r="Y3" s="2" t="s">
        <v>572</v>
      </c>
      <c r="Z3" s="2" t="s">
        <v>573</v>
      </c>
      <c r="AA3" s="2" t="s">
        <v>574</v>
      </c>
      <c r="AB3" s="2" t="s">
        <v>575</v>
      </c>
      <c r="AC3" s="2" t="s">
        <v>576</v>
      </c>
      <c r="AE3" s="44" t="s">
        <v>577</v>
      </c>
      <c r="AF3" s="44" t="s">
        <v>578</v>
      </c>
      <c r="AG3" s="44" t="s">
        <v>579</v>
      </c>
      <c r="AI3" s="36" t="s">
        <v>580</v>
      </c>
      <c r="AJ3" s="1">
        <v>20</v>
      </c>
    </row>
    <row r="4" spans="2:36" x14ac:dyDescent="0.3">
      <c r="B4" s="2" t="s">
        <v>553</v>
      </c>
      <c r="C4" s="2">
        <f>[1]基础经济系数!C5*0.75</f>
        <v>7.5</v>
      </c>
      <c r="E4" s="2">
        <v>2</v>
      </c>
      <c r="F4" s="2" t="s">
        <v>387</v>
      </c>
      <c r="G4" s="32">
        <v>8</v>
      </c>
      <c r="H4" s="143">
        <v>0.78</v>
      </c>
      <c r="I4" s="2">
        <f t="shared" ref="I4:I12" si="1">(P4*H4+Q4*(1-H4))*G4</f>
        <v>46.800000000000004</v>
      </c>
      <c r="J4" s="2">
        <f t="shared" ref="J4:J12" si="2">G4*1.5</f>
        <v>12</v>
      </c>
      <c r="K4" s="143">
        <v>0.6</v>
      </c>
      <c r="L4" s="2">
        <f t="shared" ref="L4:L12" si="3">(P4*K4+Q4*(1-K4))*J4</f>
        <v>54</v>
      </c>
      <c r="M4" s="2">
        <f t="shared" si="0"/>
        <v>16</v>
      </c>
      <c r="N4" s="143">
        <v>0.65</v>
      </c>
      <c r="O4" s="2">
        <f t="shared" ref="O4:O12" si="4">(P4*N4+Q4*(1-N4))*M4</f>
        <v>78</v>
      </c>
      <c r="P4" s="2">
        <v>7.5</v>
      </c>
      <c r="Q4" s="2">
        <v>0</v>
      </c>
      <c r="R4" s="1">
        <f t="shared" ref="R4:R12" si="5">-0.63599+(60.07066)/(1+0.991798*EXP(0.00576*0))</f>
        <v>29.523022108657603</v>
      </c>
      <c r="S4" s="1">
        <f t="shared" ref="S4:S12" si="6">39.0907-(39.0619)/(1+0.993*EXP(0.00595*0))</f>
        <v>19.491151580531859</v>
      </c>
      <c r="T4" s="1">
        <f t="shared" ref="T4:T12" si="7">R4*H4+S4*(1-H4)</f>
        <v>27.316010592469937</v>
      </c>
      <c r="U4" s="2">
        <v>1</v>
      </c>
      <c r="V4" s="2">
        <v>0</v>
      </c>
      <c r="W4" s="2">
        <v>100</v>
      </c>
      <c r="X4" s="2">
        <f>W4/2</f>
        <v>50</v>
      </c>
      <c r="Y4" s="143">
        <v>1</v>
      </c>
      <c r="Z4" s="2">
        <v>0</v>
      </c>
      <c r="AA4" s="2">
        <f>SUM(Z$4:Z4)</f>
        <v>0</v>
      </c>
      <c r="AB4" s="2">
        <f>ROUND(((W4*Y4+(1-Y4)*X4)*[1]基础经济系数!$C$5/2+AA5)/50,0)*50</f>
        <v>800</v>
      </c>
      <c r="AC4" s="2">
        <f>(W4*Y4+(1-Y4)*X4)*[1]基础经济系数!$C$5*2</f>
        <v>2000</v>
      </c>
      <c r="AD4" s="1">
        <f t="shared" ref="AD4:AD32" si="8">AB4-AA5</f>
        <v>500</v>
      </c>
      <c r="AE4" s="2"/>
      <c r="AF4" s="2"/>
      <c r="AG4" s="2"/>
      <c r="AI4" s="36" t="s">
        <v>581</v>
      </c>
      <c r="AJ4" s="1">
        <v>10</v>
      </c>
    </row>
    <row r="5" spans="2:36" x14ac:dyDescent="0.3">
      <c r="B5" s="2" t="s">
        <v>582</v>
      </c>
      <c r="C5" s="156">
        <v>0.5</v>
      </c>
      <c r="E5" s="2">
        <v>3</v>
      </c>
      <c r="F5" s="2" t="s">
        <v>388</v>
      </c>
      <c r="G5" s="32">
        <v>10</v>
      </c>
      <c r="H5" s="143">
        <v>0.66</v>
      </c>
      <c r="I5" s="2">
        <f t="shared" si="1"/>
        <v>44.400000000000006</v>
      </c>
      <c r="J5" s="2">
        <f t="shared" si="2"/>
        <v>15</v>
      </c>
      <c r="K5" s="143">
        <v>0.6</v>
      </c>
      <c r="L5" s="2">
        <f t="shared" si="3"/>
        <v>58.5</v>
      </c>
      <c r="M5" s="2">
        <f t="shared" si="0"/>
        <v>20</v>
      </c>
      <c r="N5" s="143">
        <v>0.65</v>
      </c>
      <c r="O5" s="2">
        <f t="shared" si="4"/>
        <v>87</v>
      </c>
      <c r="P5" s="2">
        <v>7.5</v>
      </c>
      <c r="Q5" s="2">
        <v>-1.5</v>
      </c>
      <c r="R5" s="1">
        <f t="shared" si="5"/>
        <v>29.523022108657603</v>
      </c>
      <c r="S5" s="1">
        <f t="shared" si="6"/>
        <v>19.491151580531859</v>
      </c>
      <c r="T5" s="1">
        <f t="shared" si="7"/>
        <v>26.112186129094852</v>
      </c>
      <c r="U5" s="2">
        <v>2</v>
      </c>
      <c r="V5" s="2">
        <v>3</v>
      </c>
      <c r="W5" s="2">
        <v>150</v>
      </c>
      <c r="X5" s="2">
        <f t="shared" ref="X5:X33" si="9">W5/2</f>
        <v>75</v>
      </c>
      <c r="Y5" s="143">
        <v>0.94</v>
      </c>
      <c r="Z5" s="33">
        <f t="shared" ref="Z5:Z33" si="10">ROUND((W4*Y4+(1-Y4)*X4)*V5/50,0)*50</f>
        <v>300</v>
      </c>
      <c r="AA5" s="2">
        <f>SUM(Z$4:Z5)</f>
        <v>300</v>
      </c>
      <c r="AB5" s="2">
        <f>ROUND(((W5*Y5+(1-Y5)*X5)*[1]基础经济系数!$C$5/2+AA6)/50,0)*50</f>
        <v>1500</v>
      </c>
      <c r="AC5" s="2">
        <f>(W5*Y5+(1-Y5)*X5)*[1]基础经济系数!$C$5*2</f>
        <v>2910</v>
      </c>
      <c r="AD5" s="1">
        <f t="shared" si="8"/>
        <v>750</v>
      </c>
      <c r="AE5" s="2" t="s">
        <v>275</v>
      </c>
      <c r="AF5" s="2">
        <v>102</v>
      </c>
      <c r="AG5" s="2">
        <v>185</v>
      </c>
      <c r="AI5" s="36" t="s">
        <v>583</v>
      </c>
      <c r="AJ5" s="1">
        <v>8</v>
      </c>
    </row>
    <row r="6" spans="2:36" x14ac:dyDescent="0.3">
      <c r="B6" s="2" t="s">
        <v>584</v>
      </c>
      <c r="C6" s="32">
        <v>100</v>
      </c>
      <c r="E6" s="2">
        <v>4</v>
      </c>
      <c r="F6" s="2"/>
      <c r="G6" s="32">
        <v>10</v>
      </c>
      <c r="H6" s="143">
        <v>0.6</v>
      </c>
      <c r="I6" s="2">
        <f t="shared" si="1"/>
        <v>35</v>
      </c>
      <c r="J6" s="2">
        <f t="shared" si="2"/>
        <v>15</v>
      </c>
      <c r="K6" s="143">
        <v>0.6</v>
      </c>
      <c r="L6" s="2">
        <f t="shared" si="3"/>
        <v>52.5</v>
      </c>
      <c r="M6" s="2">
        <f t="shared" si="0"/>
        <v>20</v>
      </c>
      <c r="N6" s="143">
        <v>0.65</v>
      </c>
      <c r="O6" s="2">
        <f t="shared" si="4"/>
        <v>80</v>
      </c>
      <c r="P6" s="2">
        <v>7.5</v>
      </c>
      <c r="Q6" s="2">
        <v>-2.5</v>
      </c>
      <c r="R6" s="1">
        <f t="shared" si="5"/>
        <v>29.523022108657603</v>
      </c>
      <c r="S6" s="1">
        <f t="shared" si="6"/>
        <v>19.491151580531859</v>
      </c>
      <c r="T6" s="1">
        <f t="shared" si="7"/>
        <v>25.510273897407302</v>
      </c>
      <c r="U6" s="2">
        <v>3</v>
      </c>
      <c r="V6" s="2">
        <v>3</v>
      </c>
      <c r="W6" s="2">
        <v>200</v>
      </c>
      <c r="X6" s="2">
        <f t="shared" si="9"/>
        <v>100</v>
      </c>
      <c r="Y6" s="143">
        <v>0.88</v>
      </c>
      <c r="Z6" s="33">
        <f t="shared" si="10"/>
        <v>450</v>
      </c>
      <c r="AA6" s="2">
        <f>SUM(Z$4:Z6)</f>
        <v>750</v>
      </c>
      <c r="AB6" s="2">
        <f>ROUND(((W6*Y6+(1-Y6)*X6)*[1]基础经济系数!$C$5/2+AA7)/50,0)*50</f>
        <v>2450</v>
      </c>
      <c r="AC6" s="2">
        <f>(W6*Y6+(1-Y6)*X6)*[1]基础经济系数!$C$5*2</f>
        <v>3760</v>
      </c>
      <c r="AD6" s="1">
        <f t="shared" si="8"/>
        <v>950</v>
      </c>
      <c r="AE6" s="2" t="s">
        <v>275</v>
      </c>
      <c r="AF6" s="2">
        <v>102</v>
      </c>
      <c r="AG6" s="2">
        <v>375</v>
      </c>
      <c r="AI6" s="36" t="s">
        <v>585</v>
      </c>
      <c r="AJ6" s="1">
        <v>8</v>
      </c>
    </row>
    <row r="7" spans="2:36" x14ac:dyDescent="0.3">
      <c r="B7" s="2" t="s">
        <v>586</v>
      </c>
      <c r="C7" s="156">
        <v>0.7</v>
      </c>
      <c r="E7" s="2">
        <v>5</v>
      </c>
      <c r="F7" s="2" t="s">
        <v>389</v>
      </c>
      <c r="G7" s="32">
        <v>10</v>
      </c>
      <c r="H7" s="143">
        <v>0.6</v>
      </c>
      <c r="I7" s="2">
        <f t="shared" si="1"/>
        <v>25</v>
      </c>
      <c r="J7" s="2">
        <f t="shared" si="2"/>
        <v>15</v>
      </c>
      <c r="K7" s="143">
        <v>0.6</v>
      </c>
      <c r="L7" s="2">
        <f t="shared" si="3"/>
        <v>37.5</v>
      </c>
      <c r="M7" s="2">
        <f t="shared" si="0"/>
        <v>20</v>
      </c>
      <c r="N7" s="143">
        <v>0.65</v>
      </c>
      <c r="O7" s="2">
        <f t="shared" si="4"/>
        <v>62.5</v>
      </c>
      <c r="P7" s="2">
        <v>7.5</v>
      </c>
      <c r="Q7" s="2">
        <v>-5</v>
      </c>
      <c r="R7" s="1">
        <f t="shared" si="5"/>
        <v>29.523022108657603</v>
      </c>
      <c r="S7" s="1">
        <f t="shared" si="6"/>
        <v>19.491151580531859</v>
      </c>
      <c r="T7" s="1">
        <f t="shared" si="7"/>
        <v>25.510273897407302</v>
      </c>
      <c r="U7" s="2">
        <v>4</v>
      </c>
      <c r="V7" s="2">
        <v>4</v>
      </c>
      <c r="W7" s="2">
        <v>250</v>
      </c>
      <c r="X7" s="2">
        <f t="shared" si="9"/>
        <v>125</v>
      </c>
      <c r="Y7" s="143">
        <v>0.83</v>
      </c>
      <c r="Z7" s="33">
        <f t="shared" si="10"/>
        <v>750</v>
      </c>
      <c r="AA7" s="2">
        <f>SUM(Z$4:Z7)</f>
        <v>1500</v>
      </c>
      <c r="AB7" s="2">
        <f>ROUND(((W7*Y7+(1-Y7)*X7)*[1]基础经济系数!$C$5/2+AA8)/50,0)*50</f>
        <v>3800</v>
      </c>
      <c r="AC7" s="2">
        <f>(W7*Y7+(1-Y7)*X7)*[1]基础经济系数!$C$5*2</f>
        <v>4575</v>
      </c>
      <c r="AD7" s="1">
        <f t="shared" si="8"/>
        <v>1150</v>
      </c>
      <c r="AE7" s="2" t="s">
        <v>587</v>
      </c>
      <c r="AF7" s="2">
        <v>100302</v>
      </c>
      <c r="AG7" s="2">
        <v>1</v>
      </c>
    </row>
    <row r="8" spans="2:36" x14ac:dyDescent="0.3">
      <c r="B8" s="2" t="s">
        <v>588</v>
      </c>
      <c r="C8" s="123">
        <v>0.5</v>
      </c>
      <c r="E8" s="2">
        <v>6</v>
      </c>
      <c r="F8" s="2" t="s">
        <v>390</v>
      </c>
      <c r="G8" s="32">
        <v>10</v>
      </c>
      <c r="H8" s="143">
        <v>0.6</v>
      </c>
      <c r="I8" s="2">
        <f t="shared" si="1"/>
        <v>30</v>
      </c>
      <c r="J8" s="2">
        <f t="shared" si="2"/>
        <v>15</v>
      </c>
      <c r="K8" s="143">
        <v>0.6</v>
      </c>
      <c r="L8" s="2">
        <f t="shared" si="3"/>
        <v>45</v>
      </c>
      <c r="M8" s="2">
        <f t="shared" si="0"/>
        <v>20</v>
      </c>
      <c r="N8" s="143">
        <v>0.65</v>
      </c>
      <c r="O8" s="2">
        <f t="shared" si="4"/>
        <v>77.5</v>
      </c>
      <c r="P8" s="2">
        <v>10</v>
      </c>
      <c r="Q8" s="2">
        <v>-7.5</v>
      </c>
      <c r="R8" s="1">
        <f t="shared" si="5"/>
        <v>29.523022108657603</v>
      </c>
      <c r="S8" s="1">
        <f t="shared" si="6"/>
        <v>19.491151580531859</v>
      </c>
      <c r="T8" s="1">
        <f t="shared" si="7"/>
        <v>25.510273897407302</v>
      </c>
      <c r="U8" s="2">
        <v>5</v>
      </c>
      <c r="V8" s="2">
        <v>5</v>
      </c>
      <c r="W8" s="2">
        <v>300</v>
      </c>
      <c r="X8" s="2">
        <f t="shared" si="9"/>
        <v>150</v>
      </c>
      <c r="Y8" s="143">
        <v>0.79</v>
      </c>
      <c r="Z8" s="33">
        <f t="shared" si="10"/>
        <v>1150</v>
      </c>
      <c r="AA8" s="2">
        <f>SUM(Z$4:Z8)</f>
        <v>2650</v>
      </c>
      <c r="AB8" s="2">
        <f>ROUND(((W8*Y8+(1-Y8)*X8)*[1]基础经济系数!$C$5/2+AA9)/50,0)*50</f>
        <v>5600</v>
      </c>
      <c r="AC8" s="2">
        <f>(W8*Y8+(1-Y8)*X8)*[1]基础经济系数!$C$5*2</f>
        <v>5370</v>
      </c>
      <c r="AD8" s="1">
        <f t="shared" si="8"/>
        <v>1350</v>
      </c>
      <c r="AE8" s="2" t="s">
        <v>325</v>
      </c>
      <c r="AF8" s="2">
        <v>101</v>
      </c>
      <c r="AG8" s="2">
        <v>20</v>
      </c>
    </row>
    <row r="9" spans="2:36" x14ac:dyDescent="0.3">
      <c r="B9" s="2" t="s">
        <v>589</v>
      </c>
      <c r="C9" s="123">
        <v>2</v>
      </c>
      <c r="E9" s="2">
        <v>7</v>
      </c>
      <c r="F9" s="2"/>
      <c r="G9" s="32">
        <v>10</v>
      </c>
      <c r="H9" s="143">
        <v>0.6</v>
      </c>
      <c r="I9" s="2">
        <f t="shared" si="1"/>
        <v>20</v>
      </c>
      <c r="J9" s="2">
        <f t="shared" si="2"/>
        <v>15</v>
      </c>
      <c r="K9" s="143">
        <v>0.6</v>
      </c>
      <c r="L9" s="2">
        <f t="shared" si="3"/>
        <v>30</v>
      </c>
      <c r="M9" s="2">
        <f t="shared" si="0"/>
        <v>20</v>
      </c>
      <c r="N9" s="143">
        <v>0.65</v>
      </c>
      <c r="O9" s="2">
        <f t="shared" si="4"/>
        <v>60</v>
      </c>
      <c r="P9" s="2">
        <v>10</v>
      </c>
      <c r="Q9" s="2">
        <v>-10</v>
      </c>
      <c r="R9" s="1">
        <f t="shared" si="5"/>
        <v>29.523022108657603</v>
      </c>
      <c r="S9" s="1">
        <f t="shared" si="6"/>
        <v>19.491151580531859</v>
      </c>
      <c r="T9" s="1">
        <f t="shared" si="7"/>
        <v>25.510273897407302</v>
      </c>
      <c r="U9" s="2">
        <v>6</v>
      </c>
      <c r="V9" s="2">
        <v>6</v>
      </c>
      <c r="W9" s="2">
        <v>350</v>
      </c>
      <c r="X9" s="2">
        <f t="shared" si="9"/>
        <v>175</v>
      </c>
      <c r="Y9" s="143">
        <v>0.75</v>
      </c>
      <c r="Z9" s="33">
        <f t="shared" si="10"/>
        <v>1600</v>
      </c>
      <c r="AA9" s="2">
        <f>SUM(Z$4:Z9)</f>
        <v>4250</v>
      </c>
      <c r="AB9" s="2">
        <f>ROUND(((W9*Y9+(1-Y9)*X9)*[1]基础经济系数!$C$5/2+AA10)/50,0)*50</f>
        <v>8250</v>
      </c>
      <c r="AC9" s="2">
        <f>(W9*Y9+(1-Y9)*X9)*[1]基础经济系数!$C$5*2</f>
        <v>6125</v>
      </c>
      <c r="AD9" s="1">
        <f t="shared" si="8"/>
        <v>1550</v>
      </c>
      <c r="AE9" s="2" t="s">
        <v>519</v>
      </c>
      <c r="AF9" s="2">
        <v>111</v>
      </c>
      <c r="AG9" s="2">
        <v>200</v>
      </c>
    </row>
    <row r="10" spans="2:36" x14ac:dyDescent="0.3">
      <c r="B10" s="25"/>
      <c r="C10" s="224"/>
      <c r="E10" s="2">
        <v>8</v>
      </c>
      <c r="F10" s="2" t="s">
        <v>590</v>
      </c>
      <c r="G10" s="32">
        <v>12</v>
      </c>
      <c r="H10" s="143">
        <v>0.55000000000000004</v>
      </c>
      <c r="I10" s="2">
        <f t="shared" si="1"/>
        <v>12</v>
      </c>
      <c r="J10" s="2">
        <f t="shared" si="2"/>
        <v>18</v>
      </c>
      <c r="K10" s="143">
        <v>0.6</v>
      </c>
      <c r="L10" s="2">
        <f t="shared" si="3"/>
        <v>36</v>
      </c>
      <c r="M10" s="2">
        <f t="shared" si="0"/>
        <v>24</v>
      </c>
      <c r="N10" s="143">
        <v>0.65</v>
      </c>
      <c r="O10" s="2">
        <f t="shared" si="4"/>
        <v>72</v>
      </c>
      <c r="P10" s="2">
        <v>10</v>
      </c>
      <c r="Q10" s="2">
        <v>-10</v>
      </c>
      <c r="R10" s="1">
        <f t="shared" si="5"/>
        <v>29.523022108657603</v>
      </c>
      <c r="S10" s="1">
        <f t="shared" si="6"/>
        <v>19.491151580531859</v>
      </c>
      <c r="T10" s="1">
        <f t="shared" si="7"/>
        <v>25.00868037100102</v>
      </c>
      <c r="U10" s="2">
        <v>7</v>
      </c>
      <c r="V10" s="2">
        <v>8</v>
      </c>
      <c r="W10" s="2">
        <v>400</v>
      </c>
      <c r="X10" s="2">
        <f t="shared" si="9"/>
        <v>200</v>
      </c>
      <c r="Y10" s="143">
        <v>0.72</v>
      </c>
      <c r="Z10" s="33">
        <f t="shared" si="10"/>
        <v>2450</v>
      </c>
      <c r="AA10" s="2">
        <f>SUM(Z$4:Z10)</f>
        <v>6700</v>
      </c>
      <c r="AB10" s="2">
        <f>ROUND(((W10*Y10+(1-Y10)*X10)*[1]基础经济系数!$C$5/2+AA11)/50,0)*50</f>
        <v>9100</v>
      </c>
      <c r="AC10" s="2">
        <f>(W10*Y10+(1-Y10)*X10)*[1]基础经济系数!$C$5*2</f>
        <v>6880</v>
      </c>
      <c r="AD10" s="1">
        <f t="shared" si="8"/>
        <v>1700</v>
      </c>
      <c r="AE10" s="2" t="s">
        <v>275</v>
      </c>
      <c r="AF10" s="2">
        <v>102</v>
      </c>
      <c r="AG10" s="2">
        <v>750</v>
      </c>
    </row>
    <row r="11" spans="2:36" x14ac:dyDescent="0.3">
      <c r="B11" s="25"/>
      <c r="C11" s="224"/>
      <c r="E11" s="2">
        <v>9</v>
      </c>
      <c r="F11" s="2"/>
      <c r="G11" s="32">
        <v>15</v>
      </c>
      <c r="H11" s="143">
        <v>0.55000000000000004</v>
      </c>
      <c r="I11" s="2">
        <f t="shared" si="1"/>
        <v>15</v>
      </c>
      <c r="J11" s="2">
        <f t="shared" si="2"/>
        <v>22.5</v>
      </c>
      <c r="K11" s="143">
        <v>0.6</v>
      </c>
      <c r="L11" s="2">
        <f t="shared" si="3"/>
        <v>45</v>
      </c>
      <c r="M11" s="2">
        <f t="shared" si="0"/>
        <v>30</v>
      </c>
      <c r="N11" s="143">
        <v>0.65</v>
      </c>
      <c r="O11" s="2">
        <f t="shared" si="4"/>
        <v>90</v>
      </c>
      <c r="P11" s="2">
        <v>10</v>
      </c>
      <c r="Q11" s="2">
        <v>-10</v>
      </c>
      <c r="R11" s="1">
        <f t="shared" si="5"/>
        <v>29.523022108657603</v>
      </c>
      <c r="S11" s="1">
        <f t="shared" si="6"/>
        <v>19.491151580531859</v>
      </c>
      <c r="T11" s="1">
        <f t="shared" si="7"/>
        <v>25.00868037100102</v>
      </c>
      <c r="U11" s="2">
        <v>8</v>
      </c>
      <c r="V11" s="2">
        <v>2</v>
      </c>
      <c r="W11" s="2">
        <v>450</v>
      </c>
      <c r="X11" s="2">
        <f t="shared" si="9"/>
        <v>225</v>
      </c>
      <c r="Y11" s="143">
        <v>0.69</v>
      </c>
      <c r="Z11" s="33">
        <f t="shared" si="10"/>
        <v>700</v>
      </c>
      <c r="AA11" s="2">
        <f>SUM(Z$4:Z11)</f>
        <v>7400</v>
      </c>
      <c r="AB11" s="2">
        <f>ROUND(((W11*Y11+(1-Y11)*X11)*[1]基础经济系数!$C$5/2+AA12)/50,0)*50</f>
        <v>10450</v>
      </c>
      <c r="AC11" s="2">
        <f>(W11*Y11+(1-Y11)*X11)*[1]基础经济系数!$C$5*2</f>
        <v>7605</v>
      </c>
      <c r="AD11" s="1">
        <f t="shared" si="8"/>
        <v>1900</v>
      </c>
      <c r="AE11" s="2" t="s">
        <v>587</v>
      </c>
      <c r="AF11" s="2">
        <v>100302</v>
      </c>
      <c r="AG11" s="2">
        <v>1</v>
      </c>
    </row>
    <row r="12" spans="2:36" x14ac:dyDescent="0.3">
      <c r="B12" s="25"/>
      <c r="C12" s="224"/>
      <c r="E12" s="2">
        <v>10</v>
      </c>
      <c r="F12" s="2"/>
      <c r="G12" s="32">
        <v>15</v>
      </c>
      <c r="H12" s="143">
        <v>0.55000000000000004</v>
      </c>
      <c r="I12" s="2">
        <f t="shared" si="1"/>
        <v>15</v>
      </c>
      <c r="J12" s="2">
        <f t="shared" si="2"/>
        <v>22.5</v>
      </c>
      <c r="K12" s="143">
        <v>0.6</v>
      </c>
      <c r="L12" s="2">
        <f t="shared" si="3"/>
        <v>45</v>
      </c>
      <c r="M12" s="2">
        <f t="shared" si="0"/>
        <v>30</v>
      </c>
      <c r="N12" s="143">
        <v>0.65</v>
      </c>
      <c r="O12" s="2">
        <f t="shared" si="4"/>
        <v>90</v>
      </c>
      <c r="P12" s="2">
        <v>10</v>
      </c>
      <c r="Q12" s="2">
        <v>-10</v>
      </c>
      <c r="R12" s="1">
        <f t="shared" si="5"/>
        <v>29.523022108657603</v>
      </c>
      <c r="S12" s="1">
        <f t="shared" si="6"/>
        <v>19.491151580531859</v>
      </c>
      <c r="T12" s="1">
        <f t="shared" si="7"/>
        <v>25.00868037100102</v>
      </c>
      <c r="U12" s="2">
        <v>9</v>
      </c>
      <c r="V12" s="2">
        <v>3</v>
      </c>
      <c r="W12" s="2">
        <v>500</v>
      </c>
      <c r="X12" s="2">
        <f t="shared" si="9"/>
        <v>250</v>
      </c>
      <c r="Y12" s="143">
        <v>0.67</v>
      </c>
      <c r="Z12" s="33">
        <f t="shared" si="10"/>
        <v>1150</v>
      </c>
      <c r="AA12" s="2">
        <f>SUM(Z$4:Z12)</f>
        <v>8550</v>
      </c>
      <c r="AB12" s="2">
        <f>ROUND(((W12*Y12+(1-Y12)*X12)*[1]基础经济系数!$C$5/2+AA13)/50,0)*50</f>
        <v>12300</v>
      </c>
      <c r="AC12" s="2">
        <f>(W12*Y12+(1-Y12)*X12)*[1]基础经济系数!$C$5*2</f>
        <v>8350</v>
      </c>
      <c r="AD12" s="1">
        <f t="shared" si="8"/>
        <v>2100</v>
      </c>
      <c r="AE12" s="2" t="s">
        <v>325</v>
      </c>
      <c r="AF12" s="2">
        <v>101</v>
      </c>
      <c r="AG12" s="2">
        <v>40</v>
      </c>
    </row>
    <row r="13" spans="2:36" x14ac:dyDescent="0.3">
      <c r="B13" s="25"/>
      <c r="C13" s="224"/>
      <c r="U13" s="2">
        <v>10</v>
      </c>
      <c r="V13" s="2">
        <v>4</v>
      </c>
      <c r="W13" s="2">
        <v>550</v>
      </c>
      <c r="X13" s="2">
        <f t="shared" si="9"/>
        <v>275</v>
      </c>
      <c r="Y13" s="143">
        <v>0.65</v>
      </c>
      <c r="Z13" s="33">
        <f t="shared" si="10"/>
        <v>1650</v>
      </c>
      <c r="AA13" s="2">
        <f>SUM(Z$4:Z13)</f>
        <v>10200</v>
      </c>
      <c r="AB13" s="2">
        <f>ROUND(((W13*Y13+(1-Y13)*X13)*[1]基础经济系数!$C$5/2+AA14)/50,0)*50</f>
        <v>14700</v>
      </c>
      <c r="AC13" s="2">
        <f>(W13*Y13+(1-Y13)*X13)*[1]基础经济系数!$C$5*2</f>
        <v>9075</v>
      </c>
      <c r="AD13" s="1">
        <f t="shared" si="8"/>
        <v>2250</v>
      </c>
      <c r="AE13" s="2" t="s">
        <v>280</v>
      </c>
      <c r="AF13" s="2">
        <v>105</v>
      </c>
      <c r="AG13" s="2">
        <v>30</v>
      </c>
    </row>
    <row r="14" spans="2:36" x14ac:dyDescent="0.3">
      <c r="B14" s="25"/>
      <c r="C14" s="225"/>
      <c r="U14" s="2">
        <v>11</v>
      </c>
      <c r="V14" s="2">
        <v>5</v>
      </c>
      <c r="W14" s="2">
        <v>600</v>
      </c>
      <c r="X14" s="2">
        <f t="shared" si="9"/>
        <v>300</v>
      </c>
      <c r="Y14" s="143">
        <v>0.63</v>
      </c>
      <c r="Z14" s="33">
        <f t="shared" si="10"/>
        <v>2250</v>
      </c>
      <c r="AA14" s="2">
        <f>SUM(Z$4:Z14)</f>
        <v>12450</v>
      </c>
      <c r="AB14" s="2">
        <f>ROUND(((W14*Y14+(1-Y14)*X14)*[1]基础经济系数!$C$5/2+AA15)/50,0)*50</f>
        <v>17850</v>
      </c>
      <c r="AC14" s="2">
        <f>(W14*Y14+(1-Y14)*X14)*[1]基础经济系数!$C$5*2</f>
        <v>9780</v>
      </c>
      <c r="AD14" s="1">
        <f t="shared" si="8"/>
        <v>2450</v>
      </c>
      <c r="AE14" s="2" t="s">
        <v>275</v>
      </c>
      <c r="AF14" s="2">
        <v>102</v>
      </c>
      <c r="AG14" s="2">
        <v>1250</v>
      </c>
    </row>
    <row r="15" spans="2:36" x14ac:dyDescent="0.3">
      <c r="B15" s="263" t="s">
        <v>591</v>
      </c>
      <c r="C15" s="264"/>
      <c r="D15" s="264"/>
      <c r="E15" s="264"/>
      <c r="F15" s="264"/>
      <c r="G15" s="264"/>
      <c r="H15" s="264"/>
      <c r="I15" s="264"/>
      <c r="J15" s="264"/>
      <c r="T15" s="25"/>
      <c r="U15" s="2">
        <v>12</v>
      </c>
      <c r="V15" s="2">
        <v>6</v>
      </c>
      <c r="W15" s="2">
        <v>650</v>
      </c>
      <c r="X15" s="2">
        <f t="shared" si="9"/>
        <v>325</v>
      </c>
      <c r="Y15" s="143">
        <v>0.61</v>
      </c>
      <c r="Z15" s="33">
        <f t="shared" si="10"/>
        <v>2950</v>
      </c>
      <c r="AA15" s="2">
        <f>SUM(Z$4:Z15)</f>
        <v>15400</v>
      </c>
      <c r="AB15" s="2">
        <f>ROUND(((W15*Y15+(1-Y15)*X15)*[1]基础经济系数!$C$5/2+AA16)/50,0)*50</f>
        <v>22200</v>
      </c>
      <c r="AC15" s="2">
        <f>(W15*Y15+(1-Y15)*X15)*[1]基础经济系数!$C$5*2</f>
        <v>10465</v>
      </c>
      <c r="AD15" s="1">
        <f t="shared" si="8"/>
        <v>2600</v>
      </c>
      <c r="AE15" s="2" t="s">
        <v>587</v>
      </c>
      <c r="AF15" s="2">
        <v>100302</v>
      </c>
      <c r="AG15" s="2">
        <v>2</v>
      </c>
    </row>
    <row r="16" spans="2:36" x14ac:dyDescent="0.3">
      <c r="B16" s="2" t="s">
        <v>385</v>
      </c>
      <c r="C16" s="2" t="s">
        <v>592</v>
      </c>
      <c r="D16" s="2" t="s">
        <v>593</v>
      </c>
      <c r="E16" s="1" t="s">
        <v>594</v>
      </c>
      <c r="F16" s="2" t="s">
        <v>595</v>
      </c>
      <c r="G16" s="2" t="s">
        <v>596</v>
      </c>
      <c r="H16" s="2" t="s">
        <v>597</v>
      </c>
      <c r="I16" s="2" t="s">
        <v>598</v>
      </c>
      <c r="J16" s="2" t="s">
        <v>599</v>
      </c>
      <c r="U16" s="2">
        <v>13</v>
      </c>
      <c r="V16" s="2">
        <v>8</v>
      </c>
      <c r="W16" s="2">
        <v>700</v>
      </c>
      <c r="X16" s="2">
        <f t="shared" si="9"/>
        <v>350</v>
      </c>
      <c r="Y16" s="143">
        <v>0.6</v>
      </c>
      <c r="Z16" s="33">
        <f t="shared" si="10"/>
        <v>4200</v>
      </c>
      <c r="AA16" s="2">
        <f>SUM(Z$4:Z16)</f>
        <v>19600</v>
      </c>
      <c r="AB16" s="2">
        <f>ROUND(((W16*Y16+(1-Y16)*X16)*[1]基础经济系数!$C$5/2+AA17)/50,0)*50</f>
        <v>28000</v>
      </c>
      <c r="AC16" s="2">
        <f>(W16*Y16+(1-Y16)*X16)*[1]基础经济系数!$C$5*2</f>
        <v>11200</v>
      </c>
      <c r="AD16" s="1">
        <f t="shared" si="8"/>
        <v>2800</v>
      </c>
      <c r="AE16" s="2" t="s">
        <v>325</v>
      </c>
      <c r="AF16" s="2">
        <v>101</v>
      </c>
      <c r="AG16" s="2">
        <v>60</v>
      </c>
    </row>
    <row r="17" spans="1:33" x14ac:dyDescent="0.3">
      <c r="A17" s="2" t="s">
        <v>386</v>
      </c>
      <c r="B17" s="2">
        <v>1</v>
      </c>
      <c r="C17" s="32">
        <v>60</v>
      </c>
      <c r="D17" s="2">
        <f>C17</f>
        <v>60</v>
      </c>
      <c r="E17" s="31">
        <f>C17/I3</f>
        <v>1.2244897959183674</v>
      </c>
      <c r="F17" s="31">
        <f>E17</f>
        <v>1.2244897959183674</v>
      </c>
      <c r="G17" s="31">
        <f>C17/L3</f>
        <v>1.3333333333333333</v>
      </c>
      <c r="H17" s="31">
        <f>G17</f>
        <v>1.3333333333333333</v>
      </c>
      <c r="I17" s="31">
        <f>C17/O3</f>
        <v>0.92307692307692313</v>
      </c>
      <c r="J17" s="34">
        <f>I17</f>
        <v>0.92307692307692313</v>
      </c>
      <c r="U17" s="2">
        <v>14</v>
      </c>
      <c r="V17" s="2">
        <v>10</v>
      </c>
      <c r="W17" s="2">
        <v>750</v>
      </c>
      <c r="X17" s="2">
        <f t="shared" si="9"/>
        <v>375</v>
      </c>
      <c r="Y17" s="143">
        <v>0.59</v>
      </c>
      <c r="Z17" s="33">
        <f t="shared" si="10"/>
        <v>5600</v>
      </c>
      <c r="AA17" s="2">
        <f>SUM(Z$4:Z17)</f>
        <v>25200</v>
      </c>
      <c r="AB17" s="2">
        <f>ROUND(((W17*Y17+(1-Y17)*X17)*[1]基础经济系数!$C$5/2+AA18)/50,0)*50</f>
        <v>37150</v>
      </c>
      <c r="AC17" s="2">
        <f>(W17*Y17+(1-Y17)*X17)*[1]基础经济系数!$C$5*2</f>
        <v>11925</v>
      </c>
      <c r="AD17" s="1">
        <f t="shared" si="8"/>
        <v>3000</v>
      </c>
      <c r="AE17" s="2" t="s">
        <v>519</v>
      </c>
      <c r="AF17" s="2">
        <v>111</v>
      </c>
      <c r="AG17" s="2">
        <v>400</v>
      </c>
    </row>
    <row r="18" spans="1:33" x14ac:dyDescent="0.3">
      <c r="A18" s="2" t="s">
        <v>387</v>
      </c>
      <c r="B18" s="2">
        <v>2</v>
      </c>
      <c r="C18" s="32">
        <v>120</v>
      </c>
      <c r="D18" s="2">
        <f>C18+D17</f>
        <v>180</v>
      </c>
      <c r="E18" s="31">
        <f t="shared" ref="E18:E25" si="11">C18/I4</f>
        <v>2.5641025641025639</v>
      </c>
      <c r="F18" s="31">
        <f>F17+E18</f>
        <v>3.7885923600209312</v>
      </c>
      <c r="G18" s="31">
        <f t="shared" ref="G18:G26" si="12">C18/L4</f>
        <v>2.2222222222222223</v>
      </c>
      <c r="H18" s="31">
        <f>H17+G18</f>
        <v>3.5555555555555554</v>
      </c>
      <c r="I18" s="31">
        <f t="shared" ref="I18:I26" si="13">C18/O4</f>
        <v>1.5384615384615385</v>
      </c>
      <c r="J18" s="34">
        <f>I18+J17</f>
        <v>2.4615384615384617</v>
      </c>
      <c r="U18" s="2">
        <v>15</v>
      </c>
      <c r="V18" s="2">
        <v>15</v>
      </c>
      <c r="W18" s="2">
        <v>800</v>
      </c>
      <c r="X18" s="2">
        <f t="shared" si="9"/>
        <v>400</v>
      </c>
      <c r="Y18" s="143">
        <v>0.57999999999999996</v>
      </c>
      <c r="Z18" s="33">
        <f t="shared" si="10"/>
        <v>8950</v>
      </c>
      <c r="AA18" s="2">
        <f>SUM(Z$4:Z18)</f>
        <v>34150</v>
      </c>
      <c r="AB18" s="2">
        <f>ROUND(((W18*Y18+(1-Y18)*X18)*[1]基础经济系数!$C$5/2+AA19)/50,0)*50</f>
        <v>46800</v>
      </c>
      <c r="AC18" s="2">
        <f>(W18*Y18+(1-Y18)*X18)*[1]基础经济系数!$C$5*2</f>
        <v>12640</v>
      </c>
      <c r="AD18" s="1">
        <f t="shared" si="8"/>
        <v>3150</v>
      </c>
      <c r="AE18" s="2" t="s">
        <v>275</v>
      </c>
      <c r="AF18" s="2">
        <v>102</v>
      </c>
      <c r="AG18" s="2">
        <v>1750</v>
      </c>
    </row>
    <row r="19" spans="1:33" x14ac:dyDescent="0.3">
      <c r="A19" s="2" t="s">
        <v>388</v>
      </c>
      <c r="B19" s="2">
        <v>3</v>
      </c>
      <c r="C19" s="32">
        <v>120</v>
      </c>
      <c r="D19" s="2">
        <f t="shared" ref="D19:D26" si="14">C19+D18</f>
        <v>300</v>
      </c>
      <c r="E19" s="31">
        <f t="shared" si="11"/>
        <v>2.7027027027027022</v>
      </c>
      <c r="F19" s="31">
        <f t="shared" ref="F19:F26" si="15">F18+E19</f>
        <v>6.4912950627236334</v>
      </c>
      <c r="G19" s="31">
        <f t="shared" si="12"/>
        <v>2.0512820512820511</v>
      </c>
      <c r="H19" s="31">
        <f t="shared" ref="H19:H26" si="16">H18+G19</f>
        <v>5.6068376068376065</v>
      </c>
      <c r="I19" s="31">
        <f t="shared" si="13"/>
        <v>1.3793103448275863</v>
      </c>
      <c r="J19" s="34">
        <f t="shared" ref="J19:J26" si="17">I19+J18</f>
        <v>3.840848806366048</v>
      </c>
      <c r="U19" s="2">
        <v>16</v>
      </c>
      <c r="V19" s="2">
        <v>15</v>
      </c>
      <c r="W19" s="2">
        <v>850</v>
      </c>
      <c r="X19" s="2">
        <f t="shared" si="9"/>
        <v>425</v>
      </c>
      <c r="Y19" s="143">
        <v>0.56999999999999995</v>
      </c>
      <c r="Z19" s="33">
        <f t="shared" si="10"/>
        <v>9500</v>
      </c>
      <c r="AA19" s="2">
        <f>SUM(Z$4:Z19)</f>
        <v>43650</v>
      </c>
      <c r="AB19" s="2">
        <f>ROUND(((W19*Y19+(1-Y19)*X19)*[1]基础经济系数!$C$5/2+AA20)/50,0)*50</f>
        <v>60350</v>
      </c>
      <c r="AC19" s="2">
        <f>(W19*Y19+(1-Y19)*X19)*[1]基础经济系数!$C$5*2</f>
        <v>13345</v>
      </c>
      <c r="AD19" s="1">
        <f t="shared" si="8"/>
        <v>3350</v>
      </c>
      <c r="AE19" s="2" t="s">
        <v>587</v>
      </c>
      <c r="AF19" s="2">
        <v>100302</v>
      </c>
      <c r="AG19" s="2">
        <v>2</v>
      </c>
    </row>
    <row r="20" spans="1:33" x14ac:dyDescent="0.3">
      <c r="A20" s="2"/>
      <c r="B20" s="2">
        <v>4</v>
      </c>
      <c r="C20" s="32">
        <v>300</v>
      </c>
      <c r="D20" s="2">
        <f t="shared" si="14"/>
        <v>600</v>
      </c>
      <c r="E20" s="31">
        <f t="shared" si="11"/>
        <v>8.5714285714285712</v>
      </c>
      <c r="F20" s="31">
        <f t="shared" si="15"/>
        <v>15.062723634152205</v>
      </c>
      <c r="G20" s="31">
        <f t="shared" si="12"/>
        <v>5.7142857142857144</v>
      </c>
      <c r="H20" s="31">
        <f t="shared" si="16"/>
        <v>11.32112332112332</v>
      </c>
      <c r="I20" s="31">
        <f t="shared" si="13"/>
        <v>3.75</v>
      </c>
      <c r="J20" s="34">
        <f t="shared" si="17"/>
        <v>7.590848806366048</v>
      </c>
      <c r="U20" s="2">
        <v>17</v>
      </c>
      <c r="V20" s="2">
        <v>20</v>
      </c>
      <c r="W20" s="2">
        <v>900</v>
      </c>
      <c r="X20" s="2">
        <f t="shared" si="9"/>
        <v>450</v>
      </c>
      <c r="Y20" s="143">
        <v>0.56000000000000005</v>
      </c>
      <c r="Z20" s="33">
        <f t="shared" si="10"/>
        <v>13350</v>
      </c>
      <c r="AA20" s="2">
        <f>SUM(Z$4:Z20)</f>
        <v>57000</v>
      </c>
      <c r="AB20" s="2">
        <f>ROUND(((W20*Y20+(1-Y20)*X20)*[1]基础经济系数!$C$5/2+AA21)/50,0)*50</f>
        <v>78050</v>
      </c>
      <c r="AC20" s="2">
        <f>(W20*Y20+(1-Y20)*X20)*[1]基础经济系数!$C$5*2</f>
        <v>14040</v>
      </c>
      <c r="AD20" s="1">
        <f t="shared" si="8"/>
        <v>3500</v>
      </c>
      <c r="AE20" s="2" t="s">
        <v>325</v>
      </c>
      <c r="AF20" s="2">
        <v>101</v>
      </c>
      <c r="AG20" s="2">
        <v>80</v>
      </c>
    </row>
    <row r="21" spans="1:33" x14ac:dyDescent="0.3">
      <c r="A21" s="2" t="s">
        <v>389</v>
      </c>
      <c r="B21" s="2">
        <v>5</v>
      </c>
      <c r="C21" s="32">
        <v>300</v>
      </c>
      <c r="D21" s="2">
        <f t="shared" si="14"/>
        <v>900</v>
      </c>
      <c r="E21" s="31">
        <f t="shared" si="11"/>
        <v>12</v>
      </c>
      <c r="F21" s="31">
        <f t="shared" si="15"/>
        <v>27.062723634152206</v>
      </c>
      <c r="G21" s="31">
        <f t="shared" si="12"/>
        <v>8</v>
      </c>
      <c r="H21" s="31">
        <f t="shared" si="16"/>
        <v>19.32112332112332</v>
      </c>
      <c r="I21" s="31">
        <f t="shared" si="13"/>
        <v>4.8</v>
      </c>
      <c r="J21" s="34">
        <f t="shared" si="17"/>
        <v>12.390848806366048</v>
      </c>
      <c r="U21" s="2">
        <v>18</v>
      </c>
      <c r="V21" s="2">
        <v>25</v>
      </c>
      <c r="W21" s="2">
        <v>950</v>
      </c>
      <c r="X21" s="2">
        <f t="shared" si="9"/>
        <v>475</v>
      </c>
      <c r="Y21" s="143">
        <v>0.55000000000000004</v>
      </c>
      <c r="Z21" s="33">
        <f t="shared" si="10"/>
        <v>17550</v>
      </c>
      <c r="AA21" s="2">
        <f>SUM(Z$4:Z21)</f>
        <v>74550</v>
      </c>
      <c r="AB21" s="2">
        <f>ROUND(((W21*Y21+(1-Y21)*X21)*[1]基础经济系数!$C$5/2+AA22)/50,0)*50</f>
        <v>100350</v>
      </c>
      <c r="AC21" s="2">
        <f>(W21*Y21+(1-Y21)*X21)*[1]基础经济系数!$C$5*2</f>
        <v>14725</v>
      </c>
      <c r="AD21" s="1">
        <f t="shared" si="8"/>
        <v>3700</v>
      </c>
      <c r="AE21" s="2" t="s">
        <v>280</v>
      </c>
      <c r="AF21" s="2">
        <v>105</v>
      </c>
      <c r="AG21" s="2">
        <v>30</v>
      </c>
    </row>
    <row r="22" spans="1:33" x14ac:dyDescent="0.3">
      <c r="A22" s="2" t="s">
        <v>390</v>
      </c>
      <c r="B22" s="2">
        <v>6</v>
      </c>
      <c r="C22" s="32">
        <v>300</v>
      </c>
      <c r="D22" s="2">
        <f t="shared" si="14"/>
        <v>1200</v>
      </c>
      <c r="E22" s="31">
        <f t="shared" si="11"/>
        <v>10</v>
      </c>
      <c r="F22" s="31">
        <f t="shared" si="15"/>
        <v>37.062723634152206</v>
      </c>
      <c r="G22" s="31">
        <f t="shared" si="12"/>
        <v>6.666666666666667</v>
      </c>
      <c r="H22" s="31">
        <f t="shared" si="16"/>
        <v>25.987789987789988</v>
      </c>
      <c r="I22" s="31">
        <f t="shared" si="13"/>
        <v>3.870967741935484</v>
      </c>
      <c r="J22" s="34">
        <f t="shared" si="17"/>
        <v>16.261816548301532</v>
      </c>
      <c r="U22" s="2">
        <v>19</v>
      </c>
      <c r="V22" s="2">
        <v>30</v>
      </c>
      <c r="W22" s="2">
        <v>1000</v>
      </c>
      <c r="X22" s="2">
        <f t="shared" si="9"/>
        <v>500</v>
      </c>
      <c r="Y22" s="143">
        <v>0.54</v>
      </c>
      <c r="Z22" s="33">
        <f t="shared" si="10"/>
        <v>22100</v>
      </c>
      <c r="AA22" s="2">
        <f>SUM(Z$4:Z22)</f>
        <v>96650</v>
      </c>
      <c r="AB22" s="2">
        <f>ROUND(((W22*Y22+(1-Y22)*X22)*[1]基础经济系数!$C$5/2+AA23)/50,0)*50</f>
        <v>131300</v>
      </c>
      <c r="AC22" s="2">
        <f>(W22*Y22+(1-Y22)*X22)*[1]基础经济系数!$C$5*2</f>
        <v>15400</v>
      </c>
      <c r="AD22" s="1">
        <f t="shared" si="8"/>
        <v>3850</v>
      </c>
      <c r="AE22" s="2" t="s">
        <v>275</v>
      </c>
      <c r="AF22" s="2">
        <v>102</v>
      </c>
      <c r="AG22" s="2">
        <v>2250</v>
      </c>
    </row>
    <row r="23" spans="1:33" x14ac:dyDescent="0.3">
      <c r="B23" s="2">
        <v>7</v>
      </c>
      <c r="C23" s="32">
        <v>300</v>
      </c>
      <c r="D23" s="2">
        <f t="shared" si="14"/>
        <v>1500</v>
      </c>
      <c r="E23" s="31">
        <f t="shared" si="11"/>
        <v>15</v>
      </c>
      <c r="F23" s="31">
        <f t="shared" si="15"/>
        <v>52.062723634152206</v>
      </c>
      <c r="G23" s="31">
        <f t="shared" si="12"/>
        <v>10</v>
      </c>
      <c r="H23" s="31">
        <f t="shared" si="16"/>
        <v>35.987789987789988</v>
      </c>
      <c r="I23" s="31">
        <f t="shared" si="13"/>
        <v>5</v>
      </c>
      <c r="J23" s="34">
        <f t="shared" si="17"/>
        <v>21.261816548301532</v>
      </c>
      <c r="U23" s="2">
        <v>20</v>
      </c>
      <c r="V23" s="2">
        <v>40</v>
      </c>
      <c r="W23" s="2">
        <v>1050</v>
      </c>
      <c r="X23" s="2">
        <f t="shared" si="9"/>
        <v>525</v>
      </c>
      <c r="Y23" s="143">
        <v>0.54</v>
      </c>
      <c r="Z23" s="33">
        <f t="shared" si="10"/>
        <v>30800</v>
      </c>
      <c r="AA23" s="2">
        <f>SUM(Z$4:Z23)</f>
        <v>127450</v>
      </c>
      <c r="AB23" s="2">
        <f>ROUND(((W23*Y23+(1-Y23)*X23)*[1]基础经济系数!$C$5/2+AA24)/50,0)*50</f>
        <v>171950</v>
      </c>
      <c r="AC23" s="2">
        <f>(W23*Y23+(1-Y23)*X23)*[1]基础经济系数!$C$5*2</f>
        <v>16170</v>
      </c>
      <c r="AD23" s="1">
        <f t="shared" si="8"/>
        <v>4050</v>
      </c>
      <c r="AE23" s="2" t="s">
        <v>587</v>
      </c>
      <c r="AF23" s="2">
        <v>100302</v>
      </c>
      <c r="AG23" s="2">
        <v>3</v>
      </c>
    </row>
    <row r="24" spans="1:33" x14ac:dyDescent="0.3">
      <c r="B24" s="2">
        <v>8</v>
      </c>
      <c r="C24" s="32">
        <v>200</v>
      </c>
      <c r="D24" s="2">
        <f t="shared" si="14"/>
        <v>1700</v>
      </c>
      <c r="E24" s="31">
        <f t="shared" si="11"/>
        <v>16.666666666666668</v>
      </c>
      <c r="F24" s="31">
        <f t="shared" si="15"/>
        <v>68.729390300818878</v>
      </c>
      <c r="G24" s="31">
        <f t="shared" si="12"/>
        <v>5.5555555555555554</v>
      </c>
      <c r="H24" s="31">
        <f t="shared" si="16"/>
        <v>41.543345543345545</v>
      </c>
      <c r="I24" s="31">
        <f t="shared" si="13"/>
        <v>2.7777777777777777</v>
      </c>
      <c r="J24" s="34">
        <f t="shared" si="17"/>
        <v>24.03959432607931</v>
      </c>
      <c r="U24" s="2">
        <v>21</v>
      </c>
      <c r="V24" s="2">
        <v>50</v>
      </c>
      <c r="W24" s="2">
        <v>1100</v>
      </c>
      <c r="X24" s="2">
        <f t="shared" si="9"/>
        <v>550</v>
      </c>
      <c r="Y24" s="143">
        <v>0.53</v>
      </c>
      <c r="Z24" s="33">
        <f t="shared" si="10"/>
        <v>40450</v>
      </c>
      <c r="AA24" s="2">
        <f>SUM(Z$4:Z24)</f>
        <v>167900</v>
      </c>
      <c r="AB24" s="2">
        <f>ROUND(((W24*Y24+(1-Y24)*X24)*[1]基础经济系数!$C$5/2+AA25)/50,0)*50</f>
        <v>226800</v>
      </c>
      <c r="AC24" s="2">
        <f>(W24*Y24+(1-Y24)*X24)*[1]基础经济系数!$C$5*2</f>
        <v>16830</v>
      </c>
      <c r="AD24" s="1">
        <f t="shared" si="8"/>
        <v>4200</v>
      </c>
      <c r="AE24" s="2" t="s">
        <v>325</v>
      </c>
      <c r="AF24" s="2">
        <v>101</v>
      </c>
      <c r="AG24" s="2">
        <v>100</v>
      </c>
    </row>
    <row r="25" spans="1:33" x14ac:dyDescent="0.3">
      <c r="B25" s="2">
        <v>9</v>
      </c>
      <c r="C25" s="32">
        <v>300</v>
      </c>
      <c r="D25" s="2">
        <f t="shared" si="14"/>
        <v>2000</v>
      </c>
      <c r="E25" s="31">
        <f t="shared" si="11"/>
        <v>20</v>
      </c>
      <c r="F25" s="31">
        <f t="shared" si="15"/>
        <v>88.729390300818878</v>
      </c>
      <c r="G25" s="31">
        <f t="shared" si="12"/>
        <v>6.666666666666667</v>
      </c>
      <c r="H25" s="31">
        <f t="shared" si="16"/>
        <v>48.210012210012209</v>
      </c>
      <c r="I25" s="31">
        <f t="shared" si="13"/>
        <v>3.3333333333333335</v>
      </c>
      <c r="J25" s="34">
        <f t="shared" si="17"/>
        <v>27.372927659412642</v>
      </c>
      <c r="U25" s="2">
        <v>22</v>
      </c>
      <c r="V25" s="2">
        <v>65</v>
      </c>
      <c r="W25" s="2">
        <v>1150</v>
      </c>
      <c r="X25" s="2">
        <f t="shared" si="9"/>
        <v>575</v>
      </c>
      <c r="Y25" s="143">
        <v>0.53</v>
      </c>
      <c r="Z25" s="33">
        <f t="shared" si="10"/>
        <v>54700</v>
      </c>
      <c r="AA25" s="2">
        <f>SUM(Z$4:Z25)</f>
        <v>222600</v>
      </c>
      <c r="AB25" s="2">
        <f>ROUND(((W25*Y25+(1-Y25)*X25)*[1]基础经济系数!$C$5/2+AA26)/50,0)*50</f>
        <v>297400</v>
      </c>
      <c r="AC25" s="2">
        <f>(W25*Y25+(1-Y25)*X25)*[1]基础经济系数!$C$5*2</f>
        <v>17595</v>
      </c>
      <c r="AD25" s="1">
        <f t="shared" si="8"/>
        <v>4400</v>
      </c>
      <c r="AE25" s="2" t="s">
        <v>519</v>
      </c>
      <c r="AF25" s="2">
        <v>111</v>
      </c>
      <c r="AG25" s="2">
        <v>600</v>
      </c>
    </row>
    <row r="26" spans="1:33" x14ac:dyDescent="0.3">
      <c r="B26" s="2">
        <v>10</v>
      </c>
      <c r="C26" s="32">
        <v>300</v>
      </c>
      <c r="D26" s="2">
        <f t="shared" si="14"/>
        <v>2300</v>
      </c>
      <c r="E26" s="31">
        <f>IFERROR(C26/I12,0)</f>
        <v>20</v>
      </c>
      <c r="F26" s="31">
        <f t="shared" si="15"/>
        <v>108.72939030081888</v>
      </c>
      <c r="G26" s="31">
        <f t="shared" si="12"/>
        <v>6.666666666666667</v>
      </c>
      <c r="H26" s="31">
        <f t="shared" si="16"/>
        <v>54.876678876678874</v>
      </c>
      <c r="I26" s="31">
        <f t="shared" si="13"/>
        <v>3.3333333333333335</v>
      </c>
      <c r="J26" s="34">
        <f t="shared" si="17"/>
        <v>30.706260992745975</v>
      </c>
      <c r="U26" s="2">
        <v>23</v>
      </c>
      <c r="V26" s="2">
        <v>80</v>
      </c>
      <c r="W26" s="2">
        <v>1200</v>
      </c>
      <c r="X26" s="2">
        <f t="shared" si="9"/>
        <v>600</v>
      </c>
      <c r="Y26" s="143">
        <v>0.53</v>
      </c>
      <c r="Z26" s="33">
        <f t="shared" si="10"/>
        <v>70400</v>
      </c>
      <c r="AA26" s="2">
        <f>SUM(Z$4:Z26)</f>
        <v>293000</v>
      </c>
      <c r="AB26" s="2">
        <f>ROUND(((W26*Y26+(1-Y26)*X26)*[1]基础经济系数!$C$5/2+AA27)/50,0)*50</f>
        <v>394000</v>
      </c>
      <c r="AC26" s="2">
        <f>(W26*Y26+(1-Y26)*X26)*[1]基础经济系数!$C$5*2</f>
        <v>18360</v>
      </c>
      <c r="AD26" s="1">
        <f t="shared" si="8"/>
        <v>4600</v>
      </c>
      <c r="AE26" s="2" t="s">
        <v>275</v>
      </c>
      <c r="AF26" s="2">
        <v>102</v>
      </c>
      <c r="AG26" s="2">
        <v>2750</v>
      </c>
    </row>
    <row r="27" spans="1:33" x14ac:dyDescent="0.3">
      <c r="B27" s="25"/>
      <c r="C27" s="25"/>
      <c r="D27" s="25"/>
      <c r="E27" s="25"/>
      <c r="F27" s="25"/>
      <c r="G27" s="25"/>
      <c r="H27" s="25"/>
      <c r="I27" s="133"/>
      <c r="J27" s="133"/>
      <c r="K27" s="25"/>
      <c r="L27" s="25"/>
      <c r="M27" s="124"/>
      <c r="N27" s="40"/>
      <c r="O27" s="40"/>
      <c r="P27" s="25"/>
      <c r="Q27" s="25"/>
      <c r="R27" s="25"/>
      <c r="S27" s="133"/>
      <c r="U27" s="2">
        <v>24</v>
      </c>
      <c r="V27" s="2">
        <v>105</v>
      </c>
      <c r="W27" s="2">
        <v>1250</v>
      </c>
      <c r="X27" s="2">
        <f t="shared" si="9"/>
        <v>625</v>
      </c>
      <c r="Y27" s="143">
        <v>0.52</v>
      </c>
      <c r="Z27" s="33">
        <f t="shared" si="10"/>
        <v>96400</v>
      </c>
      <c r="AA27" s="2">
        <f>SUM(Z$4:Z27)</f>
        <v>389400</v>
      </c>
      <c r="AB27" s="2">
        <f>ROUND(((W27*Y27+(1-Y27)*X27)*[1]基础经济系数!$C$5/2+AA28)/50,0)*50</f>
        <v>517650</v>
      </c>
      <c r="AC27" s="2">
        <f>(W27*Y27+(1-Y27)*X27)*[1]基础经济系数!$C$5*2</f>
        <v>19000</v>
      </c>
      <c r="AD27" s="1">
        <f t="shared" si="8"/>
        <v>4750</v>
      </c>
      <c r="AE27" s="2" t="s">
        <v>587</v>
      </c>
      <c r="AF27" s="2">
        <v>100302</v>
      </c>
      <c r="AG27" s="2">
        <v>3</v>
      </c>
    </row>
    <row r="28" spans="1:33" x14ac:dyDescent="0.3">
      <c r="B28" s="25"/>
      <c r="C28" s="25"/>
      <c r="D28" s="25"/>
      <c r="E28" s="25"/>
      <c r="F28" s="25"/>
      <c r="G28" s="25"/>
      <c r="H28" s="25"/>
      <c r="I28" s="133"/>
      <c r="J28" s="133"/>
      <c r="K28" s="25"/>
      <c r="L28" s="25"/>
      <c r="M28" s="124"/>
      <c r="N28" s="40"/>
      <c r="O28" s="40"/>
      <c r="P28" s="25"/>
      <c r="Q28" s="25"/>
      <c r="R28" s="25"/>
      <c r="S28" s="133"/>
      <c r="U28" s="2">
        <v>25</v>
      </c>
      <c r="V28" s="2">
        <v>130</v>
      </c>
      <c r="W28" s="2">
        <v>1300</v>
      </c>
      <c r="X28" s="2">
        <f t="shared" si="9"/>
        <v>650</v>
      </c>
      <c r="Y28" s="143">
        <v>0.52</v>
      </c>
      <c r="Z28" s="33">
        <f t="shared" si="10"/>
        <v>123500</v>
      </c>
      <c r="AA28" s="2">
        <f>SUM(Z$4:Z28)</f>
        <v>512900</v>
      </c>
      <c r="AB28" s="2">
        <f>ROUND(((W28*Y28+(1-Y28)*X28)*[1]基础经济系数!$C$5/2+AA29)/50,0)*50</f>
        <v>680850</v>
      </c>
      <c r="AC28" s="2">
        <f>(W28*Y28+(1-Y28)*X28)*[1]基础经济系数!$C$5*2</f>
        <v>19760</v>
      </c>
      <c r="AD28" s="1">
        <f t="shared" si="8"/>
        <v>4950</v>
      </c>
      <c r="AE28" s="2" t="s">
        <v>325</v>
      </c>
      <c r="AF28" s="2">
        <v>101</v>
      </c>
      <c r="AG28" s="2">
        <v>120</v>
      </c>
    </row>
    <row r="29" spans="1:33" x14ac:dyDescent="0.3">
      <c r="B29" s="2" t="s">
        <v>385</v>
      </c>
      <c r="C29" s="2" t="s">
        <v>600</v>
      </c>
      <c r="D29" s="2" t="s">
        <v>601</v>
      </c>
      <c r="E29" s="2" t="s">
        <v>562</v>
      </c>
      <c r="F29" s="2" t="s">
        <v>563</v>
      </c>
      <c r="G29" s="2" t="s">
        <v>385</v>
      </c>
      <c r="H29" s="2" t="s">
        <v>602</v>
      </c>
      <c r="I29" s="31" t="s">
        <v>603</v>
      </c>
      <c r="J29" s="2" t="s">
        <v>604</v>
      </c>
      <c r="U29" s="2">
        <v>26</v>
      </c>
      <c r="V29" s="2">
        <v>165</v>
      </c>
      <c r="W29" s="2">
        <v>1350</v>
      </c>
      <c r="X29" s="2">
        <f t="shared" si="9"/>
        <v>675</v>
      </c>
      <c r="Y29" s="143">
        <v>0.52</v>
      </c>
      <c r="Z29" s="33">
        <f t="shared" si="10"/>
        <v>163000</v>
      </c>
      <c r="AA29" s="2">
        <f>SUM(Z$4:Z29)</f>
        <v>675900</v>
      </c>
      <c r="AB29" s="2">
        <f>ROUND(((W29*Y29+(1-Y29)*X29)*[1]基础经济系数!$C$5/2+AA30)/50,0)*50</f>
        <v>891400</v>
      </c>
      <c r="AC29" s="2">
        <f>(W29*Y29+(1-Y29)*X29)*[1]基础经济系数!$C$5*2</f>
        <v>20520</v>
      </c>
      <c r="AD29" s="1">
        <f t="shared" si="8"/>
        <v>5150</v>
      </c>
      <c r="AE29" s="2" t="s">
        <v>280</v>
      </c>
      <c r="AF29" s="2">
        <v>105</v>
      </c>
      <c r="AG29" s="2">
        <v>30</v>
      </c>
    </row>
    <row r="30" spans="1:33" x14ac:dyDescent="0.3">
      <c r="B30" s="2">
        <v>1</v>
      </c>
      <c r="C30" s="2">
        <v>0</v>
      </c>
      <c r="D30" s="2">
        <f>C31-C30</f>
        <v>60</v>
      </c>
      <c r="E30" s="2">
        <f>P3</f>
        <v>10</v>
      </c>
      <c r="F30" s="2">
        <f>Q3</f>
        <v>0</v>
      </c>
      <c r="G30" s="2">
        <v>1</v>
      </c>
      <c r="H30" s="154" t="s">
        <v>386</v>
      </c>
      <c r="I30" s="33">
        <v>0</v>
      </c>
      <c r="J30" s="2"/>
      <c r="U30" s="2">
        <v>27</v>
      </c>
      <c r="V30" s="2">
        <v>205</v>
      </c>
      <c r="W30" s="2">
        <v>1400</v>
      </c>
      <c r="X30" s="2">
        <f t="shared" si="9"/>
        <v>700</v>
      </c>
      <c r="Y30" s="143">
        <v>0.51</v>
      </c>
      <c r="Z30" s="33">
        <f t="shared" si="10"/>
        <v>210350</v>
      </c>
      <c r="AA30" s="2">
        <f>SUM(Z$4:Z30)</f>
        <v>886250</v>
      </c>
      <c r="AB30" s="2">
        <f>ROUND(((W30*Y30+(1-Y30)*X30)*[1]基础经济系数!$C$5/2+AA31)/50,0)*50</f>
        <v>1166350</v>
      </c>
      <c r="AC30" s="2">
        <f>(W30*Y30+(1-Y30)*X30)*[1]基础经济系数!$C$5*2</f>
        <v>21140</v>
      </c>
      <c r="AD30" s="1">
        <f t="shared" si="8"/>
        <v>5300</v>
      </c>
      <c r="AE30" s="2" t="s">
        <v>275</v>
      </c>
      <c r="AF30" s="2">
        <v>102</v>
      </c>
      <c r="AG30" s="2">
        <v>3250</v>
      </c>
    </row>
    <row r="31" spans="1:33" x14ac:dyDescent="0.3">
      <c r="B31" s="2">
        <v>2</v>
      </c>
      <c r="C31" s="2">
        <f t="shared" ref="C31:C39" si="18">D17</f>
        <v>60</v>
      </c>
      <c r="D31" s="2">
        <f t="shared" ref="D31:D39" si="19">C32-C31</f>
        <v>120</v>
      </c>
      <c r="E31" s="2">
        <f t="shared" ref="E31:E39" si="20">P4</f>
        <v>7.5</v>
      </c>
      <c r="F31" s="2">
        <f t="shared" ref="F31:F39" si="21">Q4</f>
        <v>0</v>
      </c>
      <c r="G31" s="2">
        <v>2</v>
      </c>
      <c r="H31" s="154" t="s">
        <v>387</v>
      </c>
      <c r="I31" s="33">
        <v>1</v>
      </c>
      <c r="J31" s="2"/>
      <c r="U31" s="2">
        <v>28</v>
      </c>
      <c r="V31" s="2">
        <v>260</v>
      </c>
      <c r="W31" s="2">
        <v>1450</v>
      </c>
      <c r="X31" s="2">
        <f t="shared" si="9"/>
        <v>725</v>
      </c>
      <c r="Y31" s="143">
        <v>0.51</v>
      </c>
      <c r="Z31" s="33">
        <f t="shared" si="10"/>
        <v>274800</v>
      </c>
      <c r="AA31" s="2">
        <f>SUM(Z$4:Z31)</f>
        <v>1161050</v>
      </c>
      <c r="AB31" s="2">
        <f>ROUND(((W31*Y31+(1-Y31)*X31)*[1]基础经济系数!$C$5/2+AA32)/50,0)*50</f>
        <v>1527750</v>
      </c>
      <c r="AC31" s="2">
        <f>(W31*Y31+(1-Y31)*X31)*[1]基础经济系数!$C$5*2</f>
        <v>21895</v>
      </c>
      <c r="AD31" s="1">
        <f t="shared" si="8"/>
        <v>5450</v>
      </c>
      <c r="AE31" s="2" t="s">
        <v>587</v>
      </c>
      <c r="AF31" s="2">
        <v>100302</v>
      </c>
      <c r="AG31" s="2">
        <v>4</v>
      </c>
    </row>
    <row r="32" spans="1:33" x14ac:dyDescent="0.3">
      <c r="B32" s="2">
        <v>3</v>
      </c>
      <c r="C32" s="2">
        <f t="shared" si="18"/>
        <v>180</v>
      </c>
      <c r="D32" s="2">
        <f t="shared" si="19"/>
        <v>120</v>
      </c>
      <c r="E32" s="2">
        <f t="shared" si="20"/>
        <v>7.5</v>
      </c>
      <c r="F32" s="2">
        <f t="shared" si="21"/>
        <v>-1.5</v>
      </c>
      <c r="G32" s="2">
        <v>3</v>
      </c>
      <c r="H32" s="154" t="s">
        <v>388</v>
      </c>
      <c r="I32" s="33">
        <v>2</v>
      </c>
      <c r="J32" s="2"/>
      <c r="U32" s="2">
        <v>29</v>
      </c>
      <c r="V32" s="2">
        <v>330</v>
      </c>
      <c r="W32" s="2">
        <v>1500</v>
      </c>
      <c r="X32" s="2">
        <f t="shared" si="9"/>
        <v>750</v>
      </c>
      <c r="Y32" s="143">
        <v>0.51</v>
      </c>
      <c r="Z32" s="33">
        <f t="shared" si="10"/>
        <v>361250</v>
      </c>
      <c r="AA32" s="2">
        <f>SUM(Z$4:Z32)</f>
        <v>1522300</v>
      </c>
      <c r="AB32" s="2">
        <f>ROUND(((W32*Y32+(1-Y32)*X32)*[1]基础经济系数!$C$5/2+AA33)/50,0)*50</f>
        <v>2003600</v>
      </c>
      <c r="AC32" s="2">
        <f>(W32*Y32+(1-Y32)*X32)*[1]基础经济系数!$C$5*2</f>
        <v>22650</v>
      </c>
      <c r="AD32" s="1">
        <f t="shared" si="8"/>
        <v>5650</v>
      </c>
      <c r="AE32" s="2" t="s">
        <v>325</v>
      </c>
      <c r="AF32" s="2">
        <v>101</v>
      </c>
      <c r="AG32" s="2">
        <v>140</v>
      </c>
    </row>
    <row r="33" spans="2:33" x14ac:dyDescent="0.3">
      <c r="B33" s="2">
        <v>4</v>
      </c>
      <c r="C33" s="2">
        <f t="shared" si="18"/>
        <v>300</v>
      </c>
      <c r="D33" s="2">
        <f t="shared" si="19"/>
        <v>300</v>
      </c>
      <c r="E33" s="2">
        <f t="shared" si="20"/>
        <v>7.5</v>
      </c>
      <c r="F33" s="2">
        <f t="shared" si="21"/>
        <v>-2.5</v>
      </c>
      <c r="G33" s="2">
        <v>4</v>
      </c>
      <c r="H33" s="154" t="s">
        <v>388</v>
      </c>
      <c r="I33" s="33">
        <v>4</v>
      </c>
      <c r="J33" s="2"/>
      <c r="U33" s="2">
        <v>30</v>
      </c>
      <c r="V33" s="2">
        <v>420</v>
      </c>
      <c r="W33" s="2">
        <v>1550</v>
      </c>
      <c r="X33" s="2">
        <f t="shared" si="9"/>
        <v>775</v>
      </c>
      <c r="Y33" s="143">
        <v>0.51</v>
      </c>
      <c r="Z33" s="33">
        <f t="shared" si="10"/>
        <v>475650</v>
      </c>
      <c r="AA33" s="2">
        <f>SUM(Z$4:Z33)</f>
        <v>1997950</v>
      </c>
      <c r="AB33" s="2">
        <f>ROUND(((W33*Y33+(1-Y33)*X33)*[1]基础经济系数!$C$5/2+AA47)/50,0)*50</f>
        <v>5850</v>
      </c>
      <c r="AC33" s="2">
        <f>(W33*Y33+(1-Y33)*X33)*[1]基础经济系数!$C$5*2</f>
        <v>23405</v>
      </c>
      <c r="AD33" s="1">
        <f>AB33-AA47</f>
        <v>5850</v>
      </c>
      <c r="AE33" s="2" t="s">
        <v>519</v>
      </c>
      <c r="AF33" s="2">
        <v>111</v>
      </c>
      <c r="AG33" s="2">
        <v>800</v>
      </c>
    </row>
    <row r="34" spans="2:33" x14ac:dyDescent="0.3">
      <c r="B34" s="2">
        <v>5</v>
      </c>
      <c r="C34" s="2">
        <f t="shared" si="18"/>
        <v>600</v>
      </c>
      <c r="D34" s="2">
        <f t="shared" si="19"/>
        <v>300</v>
      </c>
      <c r="E34" s="2">
        <f t="shared" si="20"/>
        <v>7.5</v>
      </c>
      <c r="F34" s="2">
        <f t="shared" si="21"/>
        <v>-5</v>
      </c>
      <c r="G34" s="2">
        <v>5</v>
      </c>
      <c r="H34" s="154" t="s">
        <v>389</v>
      </c>
      <c r="I34" s="33">
        <v>6</v>
      </c>
      <c r="J34" s="2"/>
    </row>
    <row r="35" spans="2:33" x14ac:dyDescent="0.3">
      <c r="B35" s="2">
        <v>6</v>
      </c>
      <c r="C35" s="2">
        <f t="shared" si="18"/>
        <v>900</v>
      </c>
      <c r="D35" s="2">
        <f t="shared" si="19"/>
        <v>300</v>
      </c>
      <c r="E35" s="2">
        <f t="shared" si="20"/>
        <v>10</v>
      </c>
      <c r="F35" s="2">
        <f t="shared" si="21"/>
        <v>-7.5</v>
      </c>
      <c r="G35" s="2">
        <v>6</v>
      </c>
      <c r="H35" s="154" t="s">
        <v>390</v>
      </c>
      <c r="I35" s="33">
        <v>8</v>
      </c>
      <c r="J35" s="2"/>
    </row>
    <row r="36" spans="2:33" x14ac:dyDescent="0.3">
      <c r="B36" s="2">
        <v>7</v>
      </c>
      <c r="C36" s="2">
        <f t="shared" si="18"/>
        <v>1200</v>
      </c>
      <c r="D36" s="2">
        <f t="shared" si="19"/>
        <v>300</v>
      </c>
      <c r="E36" s="2">
        <f t="shared" si="20"/>
        <v>10</v>
      </c>
      <c r="F36" s="2">
        <f t="shared" si="21"/>
        <v>-10</v>
      </c>
      <c r="G36" s="2">
        <v>7</v>
      </c>
      <c r="H36" s="154" t="s">
        <v>390</v>
      </c>
      <c r="I36" s="33">
        <v>10</v>
      </c>
      <c r="J36" s="2"/>
      <c r="AE36" s="2" t="s">
        <v>605</v>
      </c>
      <c r="AF36" s="2">
        <f>SUMIFS(AG4:AG33,AE4:AE33,"钻石")</f>
        <v>560</v>
      </c>
    </row>
    <row r="37" spans="2:33" x14ac:dyDescent="0.3">
      <c r="B37" s="2">
        <v>8</v>
      </c>
      <c r="C37" s="2">
        <f t="shared" si="18"/>
        <v>1500</v>
      </c>
      <c r="D37" s="2">
        <f t="shared" si="19"/>
        <v>200</v>
      </c>
      <c r="E37" s="2">
        <f t="shared" si="20"/>
        <v>10</v>
      </c>
      <c r="F37" s="2">
        <f t="shared" si="21"/>
        <v>-10</v>
      </c>
      <c r="G37" s="2">
        <v>8</v>
      </c>
      <c r="H37" s="154" t="s">
        <v>390</v>
      </c>
      <c r="I37" s="33">
        <v>12</v>
      </c>
      <c r="J37" s="2"/>
      <c r="AE37" s="2" t="s">
        <v>606</v>
      </c>
      <c r="AF37" s="2">
        <f>AF36/(V33/C4)</f>
        <v>10</v>
      </c>
    </row>
    <row r="38" spans="2:33" x14ac:dyDescent="0.3">
      <c r="B38" s="2">
        <v>9</v>
      </c>
      <c r="C38" s="2">
        <f t="shared" si="18"/>
        <v>1700</v>
      </c>
      <c r="D38" s="2">
        <f t="shared" si="19"/>
        <v>300</v>
      </c>
      <c r="E38" s="2">
        <f t="shared" si="20"/>
        <v>10</v>
      </c>
      <c r="F38" s="2">
        <f t="shared" si="21"/>
        <v>-10</v>
      </c>
      <c r="G38" s="2">
        <v>9</v>
      </c>
      <c r="H38" s="154" t="s">
        <v>390</v>
      </c>
      <c r="I38" s="33">
        <v>14</v>
      </c>
      <c r="J38" s="2"/>
    </row>
    <row r="39" spans="2:33" x14ac:dyDescent="0.3">
      <c r="B39" s="2">
        <v>10</v>
      </c>
      <c r="C39" s="2">
        <f t="shared" si="18"/>
        <v>2000</v>
      </c>
      <c r="D39" s="2">
        <f t="shared" si="19"/>
        <v>-2000</v>
      </c>
      <c r="E39" s="2">
        <f t="shared" si="20"/>
        <v>10</v>
      </c>
      <c r="F39" s="2">
        <f t="shared" si="21"/>
        <v>-10</v>
      </c>
      <c r="G39" s="2">
        <v>10</v>
      </c>
      <c r="H39" s="154" t="s">
        <v>390</v>
      </c>
      <c r="I39" s="33">
        <v>16</v>
      </c>
      <c r="J39" s="2"/>
    </row>
    <row r="44" spans="2:33" x14ac:dyDescent="0.3">
      <c r="B44" s="36"/>
    </row>
    <row r="46" spans="2:33" x14ac:dyDescent="0.3">
      <c r="H46" s="25"/>
      <c r="I46" s="25"/>
      <c r="J46" s="25"/>
      <c r="K46" s="25"/>
    </row>
    <row r="47" spans="2:33" x14ac:dyDescent="0.3">
      <c r="H47" s="25"/>
      <c r="I47" s="25"/>
      <c r="J47" s="25"/>
      <c r="K47" s="25"/>
    </row>
    <row r="48" spans="2:33" x14ac:dyDescent="0.3">
      <c r="H48" s="25"/>
      <c r="I48" s="25"/>
      <c r="J48" s="25"/>
      <c r="K48" s="25"/>
    </row>
    <row r="49" spans="8:11" x14ac:dyDescent="0.3">
      <c r="H49" s="25"/>
      <c r="I49" s="25"/>
      <c r="J49" s="25"/>
      <c r="K49" s="25"/>
    </row>
  </sheetData>
  <sortState ref="AH14:AH42">
    <sortCondition ref="AH14"/>
  </sortState>
  <mergeCells count="3">
    <mergeCell ref="B2:C2"/>
    <mergeCell ref="U2:AC2"/>
    <mergeCell ref="B15:J15"/>
  </mergeCells>
  <phoneticPr fontId="34" type="noConversion"/>
  <pageMargins left="0.7" right="0.7" top="0.75" bottom="0.75" header="0.3" footer="0.3"/>
  <pageSetup paperSize="9" orientation="portrait"/>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
  <sheetViews>
    <sheetView workbookViewId="0">
      <selection activeCell="O30" sqref="O30"/>
    </sheetView>
  </sheetViews>
  <sheetFormatPr defaultColWidth="9" defaultRowHeight="13.5" x14ac:dyDescent="0.15"/>
  <cols>
    <col min="3" max="3" width="9.75" customWidth="1"/>
    <col min="4" max="4" width="12.125" customWidth="1"/>
    <col min="7" max="7" width="10.25" customWidth="1"/>
  </cols>
  <sheetData>
    <row r="1" spans="1:7" x14ac:dyDescent="0.15">
      <c r="A1" s="11" t="s">
        <v>607</v>
      </c>
      <c r="B1" s="11" t="s">
        <v>578</v>
      </c>
      <c r="C1" s="11" t="s">
        <v>608</v>
      </c>
      <c r="D1" s="11" t="s">
        <v>609</v>
      </c>
      <c r="E1" s="11" t="s">
        <v>610</v>
      </c>
      <c r="F1" s="11" t="s">
        <v>611</v>
      </c>
      <c r="G1" s="11" t="s">
        <v>352</v>
      </c>
    </row>
    <row r="2" spans="1:7" x14ac:dyDescent="0.15">
      <c r="A2" s="7">
        <v>1</v>
      </c>
      <c r="B2" s="7">
        <v>1111</v>
      </c>
      <c r="C2" s="7" t="s">
        <v>518</v>
      </c>
      <c r="D2" s="7" t="s">
        <v>612</v>
      </c>
      <c r="E2" s="7">
        <v>1</v>
      </c>
      <c r="F2" s="7" t="s">
        <v>182</v>
      </c>
      <c r="G2" s="7" t="s">
        <v>613</v>
      </c>
    </row>
    <row r="3" spans="1:7" x14ac:dyDescent="0.15">
      <c r="A3" s="7">
        <v>2</v>
      </c>
      <c r="B3" s="7">
        <v>1211</v>
      </c>
      <c r="C3" s="7" t="s">
        <v>524</v>
      </c>
      <c r="D3" s="7" t="s">
        <v>614</v>
      </c>
      <c r="E3" s="7">
        <v>1</v>
      </c>
      <c r="F3" s="7" t="s">
        <v>182</v>
      </c>
      <c r="G3" s="7" t="s">
        <v>615</v>
      </c>
    </row>
    <row r="4" spans="1:7" x14ac:dyDescent="0.15">
      <c r="A4" s="7">
        <v>3</v>
      </c>
      <c r="B4" s="7">
        <v>1221</v>
      </c>
      <c r="C4" s="7" t="s">
        <v>616</v>
      </c>
      <c r="D4" s="7" t="s">
        <v>617</v>
      </c>
      <c r="E4" s="7">
        <v>1</v>
      </c>
      <c r="F4" s="7" t="s">
        <v>184</v>
      </c>
      <c r="G4" s="7" t="s">
        <v>615</v>
      </c>
    </row>
    <row r="5" spans="1:7" x14ac:dyDescent="0.15">
      <c r="A5" s="7">
        <v>4</v>
      </c>
      <c r="B5" s="7">
        <v>1311</v>
      </c>
      <c r="C5" s="7" t="s">
        <v>530</v>
      </c>
      <c r="D5" s="7" t="s">
        <v>618</v>
      </c>
      <c r="E5" s="7">
        <v>1</v>
      </c>
      <c r="F5" s="7" t="s">
        <v>182</v>
      </c>
      <c r="G5" s="7" t="s">
        <v>619</v>
      </c>
    </row>
    <row r="6" spans="1:7" x14ac:dyDescent="0.15">
      <c r="A6" s="7">
        <v>5</v>
      </c>
      <c r="B6" s="7">
        <v>1321</v>
      </c>
      <c r="C6" s="7" t="s">
        <v>620</v>
      </c>
      <c r="D6" s="7" t="s">
        <v>621</v>
      </c>
      <c r="E6" s="7">
        <v>1</v>
      </c>
      <c r="F6" s="7" t="s">
        <v>184</v>
      </c>
      <c r="G6" s="7" t="s">
        <v>619</v>
      </c>
    </row>
    <row r="7" spans="1:7" x14ac:dyDescent="0.15">
      <c r="A7" s="7">
        <v>6</v>
      </c>
      <c r="B7" s="7">
        <v>1331</v>
      </c>
      <c r="C7" s="7" t="s">
        <v>622</v>
      </c>
      <c r="D7" s="7" t="s">
        <v>623</v>
      </c>
      <c r="E7" s="7">
        <v>0</v>
      </c>
      <c r="F7" s="7" t="s">
        <v>183</v>
      </c>
      <c r="G7" s="7" t="s">
        <v>619</v>
      </c>
    </row>
    <row r="8" spans="1:7" x14ac:dyDescent="0.15">
      <c r="A8" s="7">
        <v>7</v>
      </c>
      <c r="B8" s="7">
        <v>1411</v>
      </c>
      <c r="C8" s="7" t="s">
        <v>624</v>
      </c>
      <c r="D8" s="7" t="s">
        <v>625</v>
      </c>
      <c r="E8" s="7">
        <v>0</v>
      </c>
      <c r="F8" s="7" t="s">
        <v>182</v>
      </c>
      <c r="G8" s="7" t="s">
        <v>626</v>
      </c>
    </row>
    <row r="9" spans="1:7" x14ac:dyDescent="0.15">
      <c r="A9" s="7">
        <v>8</v>
      </c>
      <c r="B9" s="7">
        <v>1421</v>
      </c>
      <c r="C9" s="7" t="s">
        <v>627</v>
      </c>
      <c r="D9" s="7" t="s">
        <v>628</v>
      </c>
      <c r="E9" s="7">
        <v>0</v>
      </c>
      <c r="F9" s="7" t="s">
        <v>184</v>
      </c>
      <c r="G9" s="7" t="s">
        <v>626</v>
      </c>
    </row>
    <row r="10" spans="1:7" x14ac:dyDescent="0.15">
      <c r="A10" s="7">
        <v>9</v>
      </c>
      <c r="B10" s="7">
        <v>1431</v>
      </c>
      <c r="C10" s="7" t="s">
        <v>629</v>
      </c>
      <c r="D10" s="7" t="s">
        <v>630</v>
      </c>
      <c r="E10" s="7">
        <v>0</v>
      </c>
      <c r="F10" s="7" t="s">
        <v>183</v>
      </c>
      <c r="G10" s="7" t="s">
        <v>626</v>
      </c>
    </row>
    <row r="11" spans="1:7" x14ac:dyDescent="0.15">
      <c r="A11" s="7">
        <v>10</v>
      </c>
      <c r="B11" s="7">
        <v>1511</v>
      </c>
      <c r="C11" s="7" t="s">
        <v>631</v>
      </c>
      <c r="D11" s="7" t="s">
        <v>632</v>
      </c>
      <c r="E11" s="7">
        <v>0</v>
      </c>
      <c r="F11" s="7" t="s">
        <v>182</v>
      </c>
      <c r="G11" s="7" t="s">
        <v>633</v>
      </c>
    </row>
    <row r="12" spans="1:7" x14ac:dyDescent="0.15">
      <c r="A12" s="7">
        <v>11</v>
      </c>
      <c r="B12" s="7">
        <v>2111</v>
      </c>
      <c r="C12" s="7" t="s">
        <v>520</v>
      </c>
      <c r="D12" s="7" t="s">
        <v>634</v>
      </c>
      <c r="E12" s="7">
        <v>1</v>
      </c>
      <c r="F12" s="7" t="s">
        <v>182</v>
      </c>
      <c r="G12" s="7" t="s">
        <v>613</v>
      </c>
    </row>
    <row r="13" spans="1:7" x14ac:dyDescent="0.15">
      <c r="A13" s="7">
        <v>12</v>
      </c>
      <c r="B13" s="7">
        <v>2211</v>
      </c>
      <c r="C13" s="7" t="s">
        <v>526</v>
      </c>
      <c r="D13" s="7" t="s">
        <v>635</v>
      </c>
      <c r="E13" s="7">
        <v>1</v>
      </c>
      <c r="F13" s="7" t="s">
        <v>182</v>
      </c>
      <c r="G13" s="7" t="s">
        <v>615</v>
      </c>
    </row>
    <row r="14" spans="1:7" x14ac:dyDescent="0.15">
      <c r="A14" s="7">
        <v>13</v>
      </c>
      <c r="B14" s="7">
        <v>2221</v>
      </c>
      <c r="C14" s="7" t="s">
        <v>636</v>
      </c>
      <c r="D14" s="7" t="s">
        <v>637</v>
      </c>
      <c r="E14" s="7">
        <v>1</v>
      </c>
      <c r="F14" s="7" t="s">
        <v>184</v>
      </c>
      <c r="G14" s="7" t="s">
        <v>615</v>
      </c>
    </row>
    <row r="15" spans="1:7" x14ac:dyDescent="0.15">
      <c r="A15" s="7">
        <v>14</v>
      </c>
      <c r="B15" s="7">
        <v>2311</v>
      </c>
      <c r="C15" s="7" t="s">
        <v>534</v>
      </c>
      <c r="D15" s="7" t="s">
        <v>638</v>
      </c>
      <c r="E15" s="7">
        <v>1</v>
      </c>
      <c r="F15" s="7" t="s">
        <v>182</v>
      </c>
      <c r="G15" s="7" t="s">
        <v>619</v>
      </c>
    </row>
    <row r="16" spans="1:7" x14ac:dyDescent="0.15">
      <c r="A16" s="7">
        <v>15</v>
      </c>
      <c r="B16" s="7">
        <v>2321</v>
      </c>
      <c r="C16" s="7" t="s">
        <v>639</v>
      </c>
      <c r="D16" s="7" t="s">
        <v>640</v>
      </c>
      <c r="E16" s="7">
        <v>1</v>
      </c>
      <c r="F16" s="7" t="s">
        <v>184</v>
      </c>
      <c r="G16" s="7" t="s">
        <v>619</v>
      </c>
    </row>
    <row r="17" spans="1:7" x14ac:dyDescent="0.15">
      <c r="A17" s="7">
        <v>16</v>
      </c>
      <c r="B17" s="7">
        <v>2331</v>
      </c>
      <c r="C17" s="7" t="s">
        <v>641</v>
      </c>
      <c r="D17" s="7" t="s">
        <v>642</v>
      </c>
      <c r="E17" s="7">
        <v>0</v>
      </c>
      <c r="F17" s="7" t="s">
        <v>183</v>
      </c>
      <c r="G17" s="7" t="s">
        <v>619</v>
      </c>
    </row>
    <row r="18" spans="1:7" x14ac:dyDescent="0.15">
      <c r="A18" s="7">
        <v>17</v>
      </c>
      <c r="B18" s="7">
        <v>2411</v>
      </c>
      <c r="C18" s="7" t="s">
        <v>643</v>
      </c>
      <c r="D18" s="7" t="s">
        <v>644</v>
      </c>
      <c r="E18" s="7">
        <v>0</v>
      </c>
      <c r="F18" s="7" t="s">
        <v>182</v>
      </c>
      <c r="G18" s="7" t="s">
        <v>626</v>
      </c>
    </row>
    <row r="19" spans="1:7" x14ac:dyDescent="0.15">
      <c r="A19" s="7">
        <v>18</v>
      </c>
      <c r="B19" s="7">
        <v>2421</v>
      </c>
      <c r="C19" s="7" t="s">
        <v>645</v>
      </c>
      <c r="D19" s="7" t="s">
        <v>646</v>
      </c>
      <c r="E19" s="7">
        <v>0</v>
      </c>
      <c r="F19" s="7" t="s">
        <v>184</v>
      </c>
      <c r="G19" s="7" t="s">
        <v>626</v>
      </c>
    </row>
    <row r="20" spans="1:7" x14ac:dyDescent="0.15">
      <c r="A20" s="7">
        <v>19</v>
      </c>
      <c r="B20" s="7">
        <v>2431</v>
      </c>
      <c r="C20" s="7" t="s">
        <v>647</v>
      </c>
      <c r="D20" s="7" t="s">
        <v>648</v>
      </c>
      <c r="E20" s="7">
        <v>0</v>
      </c>
      <c r="F20" s="7" t="s">
        <v>183</v>
      </c>
      <c r="G20" s="7" t="s">
        <v>626</v>
      </c>
    </row>
    <row r="21" spans="1:7" x14ac:dyDescent="0.15">
      <c r="A21" s="7">
        <v>20</v>
      </c>
      <c r="B21" s="7">
        <v>2511</v>
      </c>
      <c r="C21" s="7" t="s">
        <v>649</v>
      </c>
      <c r="D21" s="7" t="s">
        <v>650</v>
      </c>
      <c r="E21" s="7">
        <v>0</v>
      </c>
      <c r="F21" s="7" t="s">
        <v>182</v>
      </c>
      <c r="G21" s="7" t="s">
        <v>633</v>
      </c>
    </row>
    <row r="22" spans="1:7" x14ac:dyDescent="0.15">
      <c r="A22" s="7">
        <v>21</v>
      </c>
      <c r="B22" s="7">
        <v>3111</v>
      </c>
      <c r="C22" s="7" t="s">
        <v>651</v>
      </c>
      <c r="D22" s="7" t="s">
        <v>652</v>
      </c>
      <c r="E22" s="7">
        <v>1</v>
      </c>
      <c r="F22" s="7" t="s">
        <v>182</v>
      </c>
      <c r="G22" s="7" t="s">
        <v>613</v>
      </c>
    </row>
    <row r="23" spans="1:7" x14ac:dyDescent="0.15">
      <c r="A23" s="7">
        <v>22</v>
      </c>
      <c r="B23" s="7">
        <v>3211</v>
      </c>
      <c r="C23" s="7" t="s">
        <v>653</v>
      </c>
      <c r="D23" s="7" t="s">
        <v>654</v>
      </c>
      <c r="E23" s="7">
        <v>1</v>
      </c>
      <c r="F23" s="7" t="s">
        <v>182</v>
      </c>
      <c r="G23" s="7" t="s">
        <v>615</v>
      </c>
    </row>
    <row r="24" spans="1:7" x14ac:dyDescent="0.15">
      <c r="A24" s="7">
        <v>23</v>
      </c>
      <c r="B24" s="7">
        <v>3221</v>
      </c>
      <c r="C24" s="7" t="s">
        <v>655</v>
      </c>
      <c r="D24" s="7" t="s">
        <v>656</v>
      </c>
      <c r="E24" s="7">
        <v>1</v>
      </c>
      <c r="F24" s="7" t="s">
        <v>184</v>
      </c>
      <c r="G24" s="7" t="s">
        <v>615</v>
      </c>
    </row>
    <row r="25" spans="1:7" x14ac:dyDescent="0.15">
      <c r="A25" s="7">
        <v>24</v>
      </c>
      <c r="B25" s="7">
        <v>3311</v>
      </c>
      <c r="C25" s="7" t="s">
        <v>538</v>
      </c>
      <c r="D25" s="7" t="s">
        <v>657</v>
      </c>
      <c r="E25" s="7">
        <v>1</v>
      </c>
      <c r="F25" s="7" t="s">
        <v>182</v>
      </c>
      <c r="G25" s="7" t="s">
        <v>619</v>
      </c>
    </row>
    <row r="26" spans="1:7" x14ac:dyDescent="0.15">
      <c r="A26" s="7">
        <v>25</v>
      </c>
      <c r="B26" s="7">
        <v>3321</v>
      </c>
      <c r="C26" s="7" t="s">
        <v>658</v>
      </c>
      <c r="D26" s="7" t="s">
        <v>659</v>
      </c>
      <c r="E26" s="7">
        <v>1</v>
      </c>
      <c r="F26" s="7" t="s">
        <v>184</v>
      </c>
      <c r="G26" s="7" t="s">
        <v>619</v>
      </c>
    </row>
    <row r="27" spans="1:7" x14ac:dyDescent="0.15">
      <c r="A27" s="7">
        <v>26</v>
      </c>
      <c r="B27" s="7">
        <v>3331</v>
      </c>
      <c r="C27" s="7" t="s">
        <v>660</v>
      </c>
      <c r="D27" s="7" t="s">
        <v>661</v>
      </c>
      <c r="E27" s="7">
        <v>0</v>
      </c>
      <c r="F27" s="7" t="s">
        <v>183</v>
      </c>
      <c r="G27" s="7" t="s">
        <v>619</v>
      </c>
    </row>
    <row r="28" spans="1:7" x14ac:dyDescent="0.15">
      <c r="A28" s="7">
        <v>27</v>
      </c>
      <c r="B28" s="7">
        <v>3411</v>
      </c>
      <c r="C28" s="7" t="s">
        <v>662</v>
      </c>
      <c r="D28" s="7" t="s">
        <v>663</v>
      </c>
      <c r="E28" s="7">
        <v>0</v>
      </c>
      <c r="F28" s="7" t="s">
        <v>182</v>
      </c>
      <c r="G28" s="7" t="s">
        <v>626</v>
      </c>
    </row>
    <row r="29" spans="1:7" x14ac:dyDescent="0.15">
      <c r="A29" s="7">
        <v>28</v>
      </c>
      <c r="B29" s="7">
        <v>3421</v>
      </c>
      <c r="C29" s="7" t="s">
        <v>664</v>
      </c>
      <c r="D29" s="7" t="s">
        <v>665</v>
      </c>
      <c r="E29" s="7">
        <v>0</v>
      </c>
      <c r="F29" s="7" t="s">
        <v>184</v>
      </c>
      <c r="G29" s="7" t="s">
        <v>626</v>
      </c>
    </row>
    <row r="30" spans="1:7" x14ac:dyDescent="0.15">
      <c r="A30" s="7">
        <v>29</v>
      </c>
      <c r="B30" s="7">
        <v>3431</v>
      </c>
      <c r="C30" s="7" t="s">
        <v>666</v>
      </c>
      <c r="D30" s="7" t="s">
        <v>667</v>
      </c>
      <c r="E30" s="7">
        <v>0</v>
      </c>
      <c r="F30" s="7" t="s">
        <v>183</v>
      </c>
      <c r="G30" s="7" t="s">
        <v>626</v>
      </c>
    </row>
    <row r="31" spans="1:7" x14ac:dyDescent="0.15">
      <c r="A31" s="7">
        <v>30</v>
      </c>
      <c r="B31" s="7">
        <v>3511</v>
      </c>
      <c r="C31" s="7" t="s">
        <v>668</v>
      </c>
      <c r="D31" s="7" t="s">
        <v>669</v>
      </c>
      <c r="E31" s="7">
        <v>0</v>
      </c>
      <c r="F31" s="7" t="s">
        <v>182</v>
      </c>
      <c r="G31" s="7" t="s">
        <v>633</v>
      </c>
    </row>
    <row r="32" spans="1:7" x14ac:dyDescent="0.15">
      <c r="A32" s="7">
        <v>31</v>
      </c>
      <c r="B32" s="7">
        <v>3341</v>
      </c>
      <c r="C32" s="7" t="s">
        <v>670</v>
      </c>
      <c r="D32" s="7" t="s">
        <v>671</v>
      </c>
      <c r="E32" s="7">
        <v>1</v>
      </c>
      <c r="F32" s="7" t="s">
        <v>183</v>
      </c>
      <c r="G32" s="7" t="s">
        <v>619</v>
      </c>
    </row>
  </sheetData>
  <phoneticPr fontId="3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3"/>
  <sheetViews>
    <sheetView workbookViewId="0">
      <selection activeCell="M33" sqref="M33"/>
    </sheetView>
  </sheetViews>
  <sheetFormatPr defaultColWidth="9" defaultRowHeight="13.5" x14ac:dyDescent="0.15"/>
  <cols>
    <col min="6" max="6" width="9.5" customWidth="1"/>
    <col min="7" max="7" width="10.25" customWidth="1"/>
    <col min="12" max="12" width="10.25" customWidth="1"/>
    <col min="13" max="13" width="13" customWidth="1"/>
    <col min="14" max="14" width="13.375" customWidth="1"/>
    <col min="15" max="15" width="13.25" customWidth="1"/>
    <col min="16" max="16" width="13.375" customWidth="1"/>
    <col min="19" max="19" width="13.25" customWidth="1"/>
  </cols>
  <sheetData>
    <row r="1" spans="1:17" x14ac:dyDescent="0.15">
      <c r="A1" s="219" t="s">
        <v>672</v>
      </c>
      <c r="B1" s="11" t="s">
        <v>72</v>
      </c>
      <c r="C1" s="11" t="s">
        <v>673</v>
      </c>
      <c r="D1" s="11" t="s">
        <v>674</v>
      </c>
      <c r="F1" s="219" t="s">
        <v>675</v>
      </c>
      <c r="G1" s="12" t="s">
        <v>676</v>
      </c>
      <c r="H1" s="12" t="s">
        <v>673</v>
      </c>
      <c r="I1" s="12" t="s">
        <v>677</v>
      </c>
      <c r="K1" s="219" t="s">
        <v>678</v>
      </c>
      <c r="L1" s="12" t="s">
        <v>676</v>
      </c>
      <c r="M1" s="12" t="s">
        <v>673</v>
      </c>
      <c r="N1" s="12" t="s">
        <v>679</v>
      </c>
      <c r="P1" s="12" t="s">
        <v>680</v>
      </c>
      <c r="Q1" s="7">
        <v>10000</v>
      </c>
    </row>
    <row r="2" spans="1:17" x14ac:dyDescent="0.15">
      <c r="B2" s="7" t="s">
        <v>681</v>
      </c>
      <c r="C2" s="7">
        <f>SUMIF(坦克升星消耗!D:D,游戏付费深度!B2,坦克升星消耗!G:G)</f>
        <v>10405</v>
      </c>
      <c r="D2" s="7">
        <f>SUMIF(坦克升星消耗!D:D,游戏付费深度!B2,坦克升星消耗!F:F)+VLOOKUP(B2&amp;"_1",坦克升星消耗!E:F,MATCH("升星碎片数",坦克升星消耗!E$1:F$1,0),FALSE)</f>
        <v>47</v>
      </c>
      <c r="G2" s="7">
        <v>1</v>
      </c>
      <c r="H2" s="7">
        <f>SUMIFS(坦克部件养成!$J:$J,坦克部件养成!$G:$G,游戏付费深度!G2)</f>
        <v>43190</v>
      </c>
      <c r="I2" s="7">
        <f>SUMIFS(坦克部件养成!$K:$K,坦克部件养成!$G:$G,游戏付费深度!G2)</f>
        <v>404940</v>
      </c>
      <c r="L2" s="7">
        <v>1</v>
      </c>
      <c r="M2" s="7">
        <f>SUMIFS(坦克部件养成!$O:$O,坦克部件养成!$M:$M,游戏付费深度!L2)</f>
        <v>600</v>
      </c>
      <c r="N2" s="7">
        <v>4</v>
      </c>
      <c r="P2" s="11" t="s">
        <v>682</v>
      </c>
      <c r="Q2" s="7">
        <v>2000</v>
      </c>
    </row>
    <row r="3" spans="1:17" x14ac:dyDescent="0.15">
      <c r="B3" s="7" t="s">
        <v>683</v>
      </c>
      <c r="C3" s="7">
        <f>SUMIF(坦克升星消耗!D:D,游戏付费深度!B3,坦克升星消耗!G:G)</f>
        <v>75500</v>
      </c>
      <c r="D3" s="7">
        <f>SUMIF(坦克升星消耗!D:D,游戏付费深度!B3,坦克升星消耗!F:F)+VLOOKUP(B3&amp;"_1",坦克升星消耗!E:F,MATCH("升星碎片数",坦克升星消耗!E$1:F$1,0),FALSE)</f>
        <v>176</v>
      </c>
      <c r="G3" s="7">
        <v>2</v>
      </c>
      <c r="H3" s="7">
        <f>SUMIFS(坦克部件养成!$J:$J,坦克部件养成!$G:$G,游戏付费深度!G3)</f>
        <v>117690</v>
      </c>
      <c r="I3" s="7">
        <f>SUMIFS(坦克部件养成!$K:$K,坦克部件养成!$G:$G,游戏付费深度!G3)</f>
        <v>768750</v>
      </c>
      <c r="L3" s="7">
        <v>2</v>
      </c>
      <c r="M3" s="7">
        <f>SUMIFS(坦克部件养成!$O:$O,坦克部件养成!$M:$M,游戏付费深度!L3)</f>
        <v>2450</v>
      </c>
      <c r="N3" s="7">
        <v>4</v>
      </c>
      <c r="P3" s="11" t="s">
        <v>684</v>
      </c>
      <c r="Q3" s="7">
        <f>1/220</f>
        <v>4.5454545454545452E-3</v>
      </c>
    </row>
    <row r="4" spans="1:17" x14ac:dyDescent="0.15">
      <c r="B4" s="7" t="s">
        <v>685</v>
      </c>
      <c r="C4" s="7">
        <f>SUMIF(坦克升星消耗!D:D,游戏付费深度!B4,坦克升星消耗!G:G)</f>
        <v>169550</v>
      </c>
      <c r="D4" s="7">
        <f>SUMIF(坦克升星消耗!D:D,游戏付费深度!B4,坦克升星消耗!F:F)+VLOOKUP(B4&amp;"_1",坦克升星消耗!E:F,MATCH("升星碎片数",坦克升星消耗!E$1:F$1,0),FALSE)</f>
        <v>176</v>
      </c>
      <c r="G4" s="7">
        <v>3</v>
      </c>
      <c r="H4" s="7">
        <f>SUMIFS(坦克部件养成!$J:$J,坦克部件养成!$G:$G,游戏付费深度!G4)</f>
        <v>244590</v>
      </c>
      <c r="I4" s="7">
        <f>SUMIFS(坦克部件养成!$K:$K,坦克部件养成!$G:$G,游戏付费深度!G4)</f>
        <v>1454700</v>
      </c>
      <c r="L4" s="7">
        <v>3</v>
      </c>
      <c r="M4" s="7">
        <f>SUMIFS(坦克部件养成!$O:$O,坦克部件养成!$M:$M,游戏付费深度!L4)</f>
        <v>9600</v>
      </c>
      <c r="N4" s="7">
        <v>4</v>
      </c>
      <c r="P4" s="12" t="s">
        <v>686</v>
      </c>
      <c r="Q4" s="7">
        <f>道具价值!AB76</f>
        <v>0.02</v>
      </c>
    </row>
    <row r="5" spans="1:17" x14ac:dyDescent="0.15">
      <c r="B5" s="7" t="s">
        <v>687</v>
      </c>
      <c r="C5" s="7">
        <f>SUMIF(坦克升星消耗!D:D,游戏付费深度!B5,坦克升星消耗!G:G)</f>
        <v>335850</v>
      </c>
      <c r="D5" s="7">
        <f>SUMIF(坦克升星消耗!D:D,游戏付费深度!B5,坦克升星消耗!F:F)+VLOOKUP(B5&amp;"_1",坦克升星消耗!E:F,MATCH("升星碎片数",坦克升星消耗!E$1:F$1,0),FALSE)</f>
        <v>408</v>
      </c>
    </row>
    <row r="6" spans="1:17" x14ac:dyDescent="0.15">
      <c r="B6" s="7" t="s">
        <v>688</v>
      </c>
      <c r="C6" s="7">
        <f>SUMIF(坦克升星消耗!D:D,游戏付费深度!B6,坦克升星消耗!G:G)</f>
        <v>561350</v>
      </c>
      <c r="D6" s="7">
        <f>SUMIF(坦克升星消耗!D:D,游戏付费深度!B6,坦克升星消耗!F:F)+VLOOKUP(B6&amp;"_1",坦克升星消耗!E:F,MATCH("升星碎片数",坦克升星消耗!E$1:F$1,0),FALSE)</f>
        <v>408</v>
      </c>
    </row>
    <row r="7" spans="1:17" x14ac:dyDescent="0.15">
      <c r="B7" s="7" t="s">
        <v>689</v>
      </c>
      <c r="C7" s="7">
        <f>SUMIF(坦克升星消耗!D:D,游戏付费深度!B7,坦克升星消耗!G:G)</f>
        <v>852900</v>
      </c>
      <c r="D7" s="7">
        <f>SUMIF(坦克升星消耗!D:D,游戏付费深度!B7,坦克升星消耗!F:F)+VLOOKUP(B7&amp;"_1",坦克升星消耗!E:F,MATCH("升星碎片数",坦克升星消耗!E$1:F$1,0),FALSE)</f>
        <v>408</v>
      </c>
    </row>
    <row r="8" spans="1:17" x14ac:dyDescent="0.15">
      <c r="B8" s="7" t="s">
        <v>690</v>
      </c>
      <c r="C8" s="7">
        <f>SUMIF(坦克升星消耗!D:D,游戏付费深度!B8,坦克升星消耗!G:G)</f>
        <v>1611100</v>
      </c>
      <c r="D8" s="7">
        <f>SUMIF(坦克升星消耗!D:D,游戏付费深度!B8,坦克升星消耗!F:F)+VLOOKUP(B8&amp;"_1",坦克升星消耗!E:F,MATCH("升星碎片数",坦克升星消耗!E$1:F$1,0),FALSE)</f>
        <v>790</v>
      </c>
    </row>
    <row r="9" spans="1:17" x14ac:dyDescent="0.15">
      <c r="B9" s="7" t="s">
        <v>691</v>
      </c>
      <c r="C9" s="7">
        <f>SUMIF(坦克升星消耗!D:D,游戏付费深度!B9,坦克升星消耗!G:G)</f>
        <v>2595800</v>
      </c>
      <c r="D9" s="7">
        <f>SUMIF(坦克升星消耗!D:D,游戏付费深度!B9,坦克升星消耗!F:F)+VLOOKUP(B9&amp;"_1",坦克升星消耗!E:F,MATCH("升星碎片数",坦克升星消耗!E$1:F$1,0),FALSE)</f>
        <v>790</v>
      </c>
    </row>
    <row r="10" spans="1:17" x14ac:dyDescent="0.15">
      <c r="B10" s="7" t="s">
        <v>692</v>
      </c>
      <c r="C10" s="7">
        <f>SUMIF(坦克升星消耗!D:D,游戏付费深度!B10,坦克升星消耗!G:G)</f>
        <v>3794000</v>
      </c>
      <c r="D10" s="7">
        <f>SUMIF(坦克升星消耗!D:D,游戏付费深度!B10,坦克升星消耗!F:F)+VLOOKUP(B10&amp;"_1",坦克升星消耗!E:F,MATCH("升星碎片数",坦克升星消耗!E$1:F$1,0),FALSE)</f>
        <v>790</v>
      </c>
    </row>
    <row r="11" spans="1:17" x14ac:dyDescent="0.15">
      <c r="B11" s="7" t="s">
        <v>693</v>
      </c>
      <c r="C11" s="7">
        <f>SUMIF(坦克升星消耗!D:D,游戏付费深度!B11,坦克升星消耗!G:G)</f>
        <v>6449000</v>
      </c>
      <c r="D11" s="7">
        <f>SUMIF(坦克升星消耗!D:D,游戏付费深度!B11,坦克升星消耗!F:F)+VLOOKUP(B11&amp;"_1",坦克升星消耗!E:F,MATCH("升星碎片数",坦克升星消耗!E$1:F$1,0),FALSE)</f>
        <v>1248</v>
      </c>
    </row>
    <row r="15" spans="1:17" x14ac:dyDescent="0.15">
      <c r="A15" t="s">
        <v>694</v>
      </c>
    </row>
    <row r="16" spans="1:17" x14ac:dyDescent="0.15">
      <c r="L16" s="7"/>
      <c r="M16" s="7" t="s">
        <v>695</v>
      </c>
      <c r="N16" s="7" t="s">
        <v>696</v>
      </c>
      <c r="P16" s="7"/>
      <c r="Q16" s="7" t="s">
        <v>697</v>
      </c>
    </row>
    <row r="17" spans="1:19" ht="13.5" customHeight="1" x14ac:dyDescent="0.15">
      <c r="A17" s="38" t="s">
        <v>698</v>
      </c>
      <c r="B17" s="38"/>
      <c r="C17" s="38"/>
      <c r="D17" s="38"/>
      <c r="E17" t="s">
        <v>699</v>
      </c>
      <c r="H17" t="s">
        <v>700</v>
      </c>
      <c r="K17" s="220"/>
      <c r="L17" s="7" t="s">
        <v>672</v>
      </c>
      <c r="M17" s="7" t="e">
        <f>SUM(C27:C29)</f>
        <v>#VALUE!</v>
      </c>
      <c r="N17" s="7" t="e">
        <f>M17*$Q$1</f>
        <v>#VALUE!</v>
      </c>
      <c r="P17" s="7" t="s">
        <v>672</v>
      </c>
      <c r="Q17" s="7">
        <f>SUM(D27:D29)</f>
        <v>2558700</v>
      </c>
    </row>
    <row r="18" spans="1:19" ht="13.5" customHeight="1" x14ac:dyDescent="0.15">
      <c r="A18" s="7" t="s">
        <v>701</v>
      </c>
      <c r="B18" s="7" t="s">
        <v>702</v>
      </c>
      <c r="C18" s="7" t="s">
        <v>703</v>
      </c>
      <c r="D18" s="38"/>
      <c r="E18" s="7" t="s">
        <v>704</v>
      </c>
      <c r="F18" s="7" t="e">
        <f>SUMIFS([2]出售宝箱3!$K:$K,[2]出售宝箱3!$I:$I,"T3部件",[2]出售宝箱3!$J:$J,8)</f>
        <v>#VALUE!</v>
      </c>
      <c r="H18" s="7" t="s">
        <v>705</v>
      </c>
      <c r="I18" s="7" t="e">
        <f>SUMIFS([2]出售宝箱3!$K:$K,[2]出售宝箱3!$I:$I,"T3部件",[2]出售宝箱3!$J:$J,8)</f>
        <v>#VALUE!</v>
      </c>
      <c r="K18" s="220"/>
      <c r="L18" s="7" t="s">
        <v>675</v>
      </c>
      <c r="M18" s="7" t="e">
        <f>F20</f>
        <v>#VALUE!</v>
      </c>
      <c r="N18" s="7" t="e">
        <f t="shared" ref="N18:N19" si="0">M18*$Q$1</f>
        <v>#VALUE!</v>
      </c>
      <c r="P18" s="7" t="s">
        <v>675</v>
      </c>
      <c r="Q18" s="7">
        <f>F21</f>
        <v>4402620</v>
      </c>
    </row>
    <row r="19" spans="1:19" x14ac:dyDescent="0.15">
      <c r="A19" s="7">
        <v>51321</v>
      </c>
      <c r="B19" s="7" t="e">
        <f>SUMIFS([2]出售宝箱3!$K:$K,[2]出售宝箱3!$B:$B,A19,[2]出售宝箱3!$J:$J,8)</f>
        <v>#VALUE!</v>
      </c>
      <c r="C19" s="7" t="e">
        <f>IF(LEFT(A19,1)="5",B19,B19*18)</f>
        <v>#VALUE!</v>
      </c>
      <c r="E19" s="7" t="s">
        <v>706</v>
      </c>
      <c r="F19" s="7">
        <v>18</v>
      </c>
      <c r="H19" s="7" t="s">
        <v>707</v>
      </c>
      <c r="I19" s="7">
        <f>$F$19*$N$4</f>
        <v>72</v>
      </c>
      <c r="L19" s="7" t="s">
        <v>678</v>
      </c>
      <c r="M19" s="7" t="e">
        <f>I20</f>
        <v>#VALUE!</v>
      </c>
      <c r="N19" s="7" t="e">
        <f t="shared" si="0"/>
        <v>#VALUE!</v>
      </c>
      <c r="P19" s="7" t="s">
        <v>678</v>
      </c>
      <c r="Q19" s="7">
        <f>I21</f>
        <v>172800</v>
      </c>
    </row>
    <row r="20" spans="1:19" x14ac:dyDescent="0.15">
      <c r="A20" s="7">
        <v>52321</v>
      </c>
      <c r="B20" s="7" t="e">
        <f>SUMIFS([2]出售宝箱3!$K:$K,[2]出售宝箱3!$B:$B,A20,[2]出售宝箱3!$J:$J,8)</f>
        <v>#VALUE!</v>
      </c>
      <c r="C20" s="7" t="e">
        <f t="shared" ref="C20:C24" si="1">IF(LEFT(A20,1)="5",B20,B20*18)</f>
        <v>#VALUE!</v>
      </c>
      <c r="E20" s="7" t="s">
        <v>708</v>
      </c>
      <c r="F20" s="7" t="e">
        <f>F19/F18</f>
        <v>#VALUE!</v>
      </c>
      <c r="H20" s="13" t="s">
        <v>708</v>
      </c>
      <c r="I20" s="7" t="e">
        <f>I19/I18</f>
        <v>#VALUE!</v>
      </c>
      <c r="L20" s="7" t="s">
        <v>709</v>
      </c>
      <c r="M20" s="7" t="e">
        <f>MAX(M17:M19)</f>
        <v>#VALUE!</v>
      </c>
      <c r="N20" s="7" t="e">
        <f>MAX(N17:N19)</f>
        <v>#VALUE!</v>
      </c>
      <c r="P20" s="7" t="s">
        <v>709</v>
      </c>
      <c r="Q20" s="7">
        <f>SUM(Q17:Q19)</f>
        <v>7134120</v>
      </c>
    </row>
    <row r="21" spans="1:19" x14ac:dyDescent="0.15">
      <c r="A21" s="7">
        <v>53321</v>
      </c>
      <c r="B21" s="7" t="e">
        <f>SUMIFS([2]出售宝箱3!$K:$K,[2]出售宝箱3!$B:$B,A21,[2]出售宝箱3!$J:$J,8)</f>
        <v>#VALUE!</v>
      </c>
      <c r="C21" s="7" t="e">
        <f t="shared" si="1"/>
        <v>#VALUE!</v>
      </c>
      <c r="E21" s="13" t="s">
        <v>710</v>
      </c>
      <c r="F21" s="7">
        <f>F19*H4</f>
        <v>4402620</v>
      </c>
      <c r="H21" s="13" t="s">
        <v>710</v>
      </c>
      <c r="I21" s="7">
        <f>F19*M4</f>
        <v>172800</v>
      </c>
    </row>
    <row r="22" spans="1:19" ht="18.75" x14ac:dyDescent="0.25">
      <c r="A22" s="7">
        <v>11321</v>
      </c>
      <c r="B22" s="7" t="e">
        <f>SUMIFS([2]出售宝箱3!$K:$K,[2]出售宝箱3!$B:$B,A22,[2]出售宝箱3!$J:$J,8)</f>
        <v>#VALUE!</v>
      </c>
      <c r="C22" s="7" t="e">
        <f t="shared" si="1"/>
        <v>#VALUE!</v>
      </c>
      <c r="E22" s="13" t="s">
        <v>711</v>
      </c>
      <c r="F22" s="7">
        <f>F19*I4</f>
        <v>26184600</v>
      </c>
      <c r="L22" s="269" t="s">
        <v>712</v>
      </c>
      <c r="M22" s="269"/>
      <c r="N22" s="269"/>
      <c r="O22" s="269"/>
      <c r="P22" s="269"/>
    </row>
    <row r="23" spans="1:19" x14ac:dyDescent="0.15">
      <c r="A23" s="7">
        <v>12321</v>
      </c>
      <c r="B23" s="7" t="e">
        <f>SUMIFS([2]出售宝箱3!$K:$K,[2]出售宝箱3!$B:$B,A23,[2]出售宝箱3!$J:$J,8)</f>
        <v>#VALUE!</v>
      </c>
      <c r="C23" s="7" t="e">
        <f t="shared" si="1"/>
        <v>#VALUE!</v>
      </c>
      <c r="L23" s="7"/>
      <c r="M23" s="11" t="s">
        <v>579</v>
      </c>
      <c r="N23" s="11" t="s">
        <v>713</v>
      </c>
      <c r="O23" s="11" t="s">
        <v>714</v>
      </c>
      <c r="P23" s="11" t="s">
        <v>715</v>
      </c>
      <c r="R23" s="12" t="s">
        <v>714</v>
      </c>
      <c r="S23" s="221" t="e">
        <f>SUM(O24:O26)</f>
        <v>#VALUE!</v>
      </c>
    </row>
    <row r="24" spans="1:19" x14ac:dyDescent="0.15">
      <c r="A24" s="7">
        <v>13321</v>
      </c>
      <c r="B24" s="7" t="e">
        <f>SUMIFS([2]出售宝箱3!$K:$K,[2]出售宝箱3!$B:$B,A24,[2]出售宝箱3!$J:$J,8)</f>
        <v>#VALUE!</v>
      </c>
      <c r="C24" s="7" t="e">
        <f t="shared" si="1"/>
        <v>#VALUE!</v>
      </c>
      <c r="L24" s="7" t="s">
        <v>716</v>
      </c>
      <c r="M24" s="8" t="e">
        <f>M20</f>
        <v>#VALUE!</v>
      </c>
      <c r="N24" s="8" t="e">
        <f>M24*Q2</f>
        <v>#VALUE!</v>
      </c>
      <c r="O24" s="221" t="e">
        <f>N24/道具价值!$E$75</f>
        <v>#VALUE!</v>
      </c>
      <c r="P24" s="221" t="e">
        <f>N24/道具价值!$E$80</f>
        <v>#VALUE!</v>
      </c>
      <c r="R24" s="11" t="s">
        <v>715</v>
      </c>
      <c r="S24" s="223" t="e">
        <f>SUM(P24:P26)</f>
        <v>#VALUE!</v>
      </c>
    </row>
    <row r="25" spans="1:19" x14ac:dyDescent="0.15">
      <c r="L25" s="7" t="s">
        <v>717</v>
      </c>
      <c r="M25" s="8" t="e">
        <f>IF((Q20-N20)&lt;0,0,Q20-N20)</f>
        <v>#VALUE!</v>
      </c>
      <c r="N25" s="8" t="e">
        <f>M25*Q4</f>
        <v>#VALUE!</v>
      </c>
      <c r="O25" s="221" t="e">
        <f>N25/道具价值!$E$75</f>
        <v>#VALUE!</v>
      </c>
      <c r="P25" s="221" t="e">
        <f>N25/道具价值!$E$80</f>
        <v>#VALUE!</v>
      </c>
    </row>
    <row r="26" spans="1:19" x14ac:dyDescent="0.15">
      <c r="A26" s="7" t="s">
        <v>701</v>
      </c>
      <c r="B26" s="7" t="s">
        <v>702</v>
      </c>
      <c r="C26" s="7" t="s">
        <v>716</v>
      </c>
      <c r="D26" s="13" t="s">
        <v>697</v>
      </c>
      <c r="L26" s="7" t="s">
        <v>718</v>
      </c>
      <c r="M26" s="8">
        <f>F22</f>
        <v>26184600</v>
      </c>
      <c r="N26" s="8">
        <f>M26*Q3</f>
        <v>119020.90909090909</v>
      </c>
      <c r="O26" s="221">
        <f>N26/道具价值!$E$75</f>
        <v>1581.6556363636364</v>
      </c>
      <c r="P26" s="221">
        <f>N26/道具价值!$E$80</f>
        <v>1190.09007</v>
      </c>
    </row>
    <row r="27" spans="1:19" x14ac:dyDescent="0.15">
      <c r="A27" s="7">
        <v>1321</v>
      </c>
      <c r="B27" s="7" t="e">
        <f>C19+C22</f>
        <v>#VALUE!</v>
      </c>
      <c r="C27" s="7" t="e">
        <f>$D$7/B27</f>
        <v>#VALUE!</v>
      </c>
      <c r="D27" s="7">
        <f>C7</f>
        <v>852900</v>
      </c>
      <c r="O27" s="222"/>
      <c r="P27" s="222"/>
    </row>
    <row r="28" spans="1:19" x14ac:dyDescent="0.15">
      <c r="A28" s="7">
        <v>2321</v>
      </c>
      <c r="B28" s="7" t="e">
        <f t="shared" ref="B28:B29" si="2">C20+C23</f>
        <v>#VALUE!</v>
      </c>
      <c r="C28" s="7" t="e">
        <f t="shared" ref="C28:C29" si="3">$D$7/B28</f>
        <v>#VALUE!</v>
      </c>
      <c r="D28" s="7">
        <f>C7</f>
        <v>852900</v>
      </c>
    </row>
    <row r="29" spans="1:19" x14ac:dyDescent="0.15">
      <c r="A29" s="7">
        <v>3323</v>
      </c>
      <c r="B29" s="7" t="e">
        <f t="shared" si="2"/>
        <v>#VALUE!</v>
      </c>
      <c r="C29" s="7" t="e">
        <f t="shared" si="3"/>
        <v>#VALUE!</v>
      </c>
      <c r="D29" s="7">
        <f>C7</f>
        <v>852900</v>
      </c>
      <c r="L29" s="7"/>
      <c r="M29" s="11" t="s">
        <v>719</v>
      </c>
      <c r="N29" s="11" t="s">
        <v>714</v>
      </c>
      <c r="O29" s="11" t="s">
        <v>715</v>
      </c>
    </row>
    <row r="30" spans="1:19" x14ac:dyDescent="0.15">
      <c r="L30" s="7" t="s">
        <v>720</v>
      </c>
      <c r="M30" s="8">
        <f>D7*3*道具价值!Y53</f>
        <v>78336</v>
      </c>
      <c r="N30" s="221">
        <f>M30/道具价值!$E$75</f>
        <v>1040.9984000000002</v>
      </c>
      <c r="O30" s="221">
        <f>M30/道具价值!$E$80</f>
        <v>783.28166399999998</v>
      </c>
    </row>
    <row r="31" spans="1:19" x14ac:dyDescent="0.15">
      <c r="L31" s="7" t="s">
        <v>721</v>
      </c>
      <c r="M31" s="8">
        <f>Q20*Q4</f>
        <v>142682.4</v>
      </c>
      <c r="N31" s="221">
        <f>M31/道具价值!$E$75</f>
        <v>1896.0905600000001</v>
      </c>
      <c r="O31" s="221">
        <f>M31/道具价值!$E$80</f>
        <v>1426.6813175999998</v>
      </c>
      <c r="R31" s="11" t="s">
        <v>722</v>
      </c>
      <c r="S31" s="221">
        <f>SUM(N30:N32)</f>
        <v>4518.7445963636364</v>
      </c>
    </row>
    <row r="32" spans="1:19" x14ac:dyDescent="0.15">
      <c r="L32" s="7" t="s">
        <v>723</v>
      </c>
      <c r="M32" s="8">
        <f>N26</f>
        <v>119020.90909090909</v>
      </c>
      <c r="N32" s="221">
        <f>M32/道具价值!$E$75</f>
        <v>1581.6556363636364</v>
      </c>
      <c r="O32" s="221">
        <f>M32/道具价值!$E$80</f>
        <v>1190.09007</v>
      </c>
      <c r="R32" s="11" t="s">
        <v>724</v>
      </c>
      <c r="S32" s="223">
        <f>SUM(O30:O32)</f>
        <v>3400.0530515999999</v>
      </c>
    </row>
    <row r="33" spans="14:15" x14ac:dyDescent="0.15">
      <c r="N33" s="222"/>
      <c r="O33" s="222"/>
    </row>
  </sheetData>
  <mergeCells count="1">
    <mergeCell ref="L22:P22"/>
  </mergeCells>
  <phoneticPr fontId="34" type="noConversion"/>
  <conditionalFormatting sqref="O30:O32">
    <cfRule type="dataBar" priority="1">
      <dataBar>
        <cfvo type="min"/>
        <cfvo type="max"/>
        <color rgb="FFFFB628"/>
      </dataBar>
      <extLst>
        <ext xmlns:x14="http://schemas.microsoft.com/office/spreadsheetml/2009/9/main" uri="{B025F937-C7B1-47D3-B67F-A62EFF666E3E}">
          <x14:id>{D0C4F564-A4D3-4A93-AB13-2D78A54B22B9}</x14:id>
        </ext>
      </extLst>
    </cfRule>
  </conditionalFormatting>
  <conditionalFormatting sqref="P24:P26">
    <cfRule type="dataBar" priority="2">
      <dataBar>
        <cfvo type="min"/>
        <cfvo type="max"/>
        <color rgb="FFFF555A"/>
      </dataBar>
      <extLst>
        <ext xmlns:x14="http://schemas.microsoft.com/office/spreadsheetml/2009/9/main" uri="{B025F937-C7B1-47D3-B67F-A62EFF666E3E}">
          <x14:id>{EEA5F233-BDF8-4F0F-8A00-627C7E65CE4B}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0C4F564-A4D3-4A93-AB13-2D78A54B22B9}">
            <x14:dataBar minLength="0" maxLength="100" gradient="0">
              <x14:cfvo type="autoMin"/>
              <x14:cfvo type="autoMax"/>
              <x14:negativeFillColor rgb="FFFF0000"/>
              <x14:axisColor rgb="FF000000"/>
            </x14:dataBar>
          </x14:cfRule>
          <xm:sqref>O30:O32</xm:sqref>
        </x14:conditionalFormatting>
        <x14:conditionalFormatting xmlns:xm="http://schemas.microsoft.com/office/excel/2006/main">
          <x14:cfRule type="dataBar" id="{EEA5F233-BDF8-4F0F-8A00-627C7E65CE4B}">
            <x14:dataBar minLength="0" maxLength="100" gradient="0">
              <x14:cfvo type="autoMin"/>
              <x14:cfvo type="autoMax"/>
              <x14:negativeFillColor rgb="FFFF0000"/>
              <x14:axisColor rgb="FF000000"/>
            </x14:dataBar>
          </x14:cfRule>
          <xm:sqref>P24:P26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64"/>
  <sheetViews>
    <sheetView workbookViewId="0">
      <selection activeCell="G2" sqref="G2"/>
    </sheetView>
  </sheetViews>
  <sheetFormatPr defaultColWidth="9" defaultRowHeight="13.5" x14ac:dyDescent="0.15"/>
  <cols>
    <col min="2" max="2" width="14.125" customWidth="1"/>
  </cols>
  <sheetData>
    <row r="1" spans="1:13" x14ac:dyDescent="0.15">
      <c r="A1" s="48" t="s">
        <v>322</v>
      </c>
      <c r="B1" s="48" t="s">
        <v>725</v>
      </c>
      <c r="C1" s="48" t="s">
        <v>726</v>
      </c>
      <c r="D1" s="48">
        <v>1</v>
      </c>
      <c r="E1" s="48">
        <v>2</v>
      </c>
      <c r="F1" s="48">
        <v>3</v>
      </c>
      <c r="G1" s="48">
        <v>4</v>
      </c>
      <c r="H1" s="48">
        <v>5</v>
      </c>
      <c r="I1" s="48">
        <v>6</v>
      </c>
      <c r="J1" s="48">
        <v>7</v>
      </c>
      <c r="K1" s="48">
        <v>8</v>
      </c>
      <c r="L1" s="48">
        <v>9</v>
      </c>
      <c r="M1" s="48">
        <v>10</v>
      </c>
    </row>
    <row r="2" spans="1:13" x14ac:dyDescent="0.15">
      <c r="B2" t="s">
        <v>727</v>
      </c>
      <c r="C2" t="s">
        <v>728</v>
      </c>
      <c r="D2" s="17" t="e">
        <f>SUMIFS([2]钥匙宝箱!$K:$K,[2]钥匙宝箱!$J:$J,D$1,[2]钥匙宝箱!$H:$H,$B2)</f>
        <v>#VALUE!</v>
      </c>
      <c r="E2" s="17" t="e">
        <f>SUMIFS([2]钥匙宝箱!$K:$K,[2]钥匙宝箱!$J:$J,E$1,[2]钥匙宝箱!$H:$H,$B2)</f>
        <v>#VALUE!</v>
      </c>
      <c r="F2" s="17" t="e">
        <f>SUMIFS([2]钥匙宝箱!$K:$K,[2]钥匙宝箱!$J:$J,F$1,[2]钥匙宝箱!$H:$H,$B2)</f>
        <v>#VALUE!</v>
      </c>
      <c r="G2" s="17" t="e">
        <f>SUMIFS([2]钥匙宝箱!$K:$K,[2]钥匙宝箱!$J:$J,G$1,[2]钥匙宝箱!$H:$H,$B2)</f>
        <v>#VALUE!</v>
      </c>
      <c r="H2" s="17" t="e">
        <f>SUMIFS([2]钥匙宝箱!$K:$K,[2]钥匙宝箱!$J:$J,H$1,[2]钥匙宝箱!$H:$H,$B2)</f>
        <v>#VALUE!</v>
      </c>
      <c r="I2" s="17" t="e">
        <f>SUMIFS([2]钥匙宝箱!$K:$K,[2]钥匙宝箱!$J:$J,I$1,[2]钥匙宝箱!$H:$H,$B2)</f>
        <v>#VALUE!</v>
      </c>
      <c r="J2" s="17" t="e">
        <f>SUMIFS([2]钥匙宝箱!$K:$K,[2]钥匙宝箱!$J:$J,J$1,[2]钥匙宝箱!$H:$H,$B2)</f>
        <v>#VALUE!</v>
      </c>
      <c r="K2" s="17" t="e">
        <f>SUMIFS([2]钥匙宝箱!$K:$K,[2]钥匙宝箱!$J:$J,K$1,[2]钥匙宝箱!$H:$H,$B2)</f>
        <v>#VALUE!</v>
      </c>
      <c r="L2" s="17" t="e">
        <f>SUMIFS([2]钥匙宝箱!$K:$K,[2]钥匙宝箱!$J:$J,L$1,[2]钥匙宝箱!$H:$H,$B2)</f>
        <v>#VALUE!</v>
      </c>
      <c r="M2" s="17" t="e">
        <f>SUMIFS([2]钥匙宝箱!$K:$K,[2]钥匙宝箱!$J:$J,M$1,[2]钥匙宝箱!$H:$H,$B2)</f>
        <v>#VALUE!</v>
      </c>
    </row>
    <row r="3" spans="1:13" x14ac:dyDescent="0.15">
      <c r="B3" t="s">
        <v>729</v>
      </c>
      <c r="C3" t="s">
        <v>728</v>
      </c>
      <c r="D3" s="17" t="e">
        <f>SUMIFS([2]钥匙宝箱!$K:$K,[2]钥匙宝箱!$J:$J,D$1,[2]钥匙宝箱!$H:$H,$B3)</f>
        <v>#VALUE!</v>
      </c>
      <c r="E3" s="17" t="e">
        <f>SUMIFS([2]钥匙宝箱!$K:$K,[2]钥匙宝箱!$J:$J,E$1,[2]钥匙宝箱!$H:$H,$B3)</f>
        <v>#VALUE!</v>
      </c>
      <c r="F3" s="17" t="e">
        <f>SUMIFS([2]钥匙宝箱!$K:$K,[2]钥匙宝箱!$J:$J,F$1,[2]钥匙宝箱!$H:$H,$B3)</f>
        <v>#VALUE!</v>
      </c>
      <c r="G3" s="17" t="e">
        <f>SUMIFS([2]钥匙宝箱!$K:$K,[2]钥匙宝箱!$J:$J,G$1,[2]钥匙宝箱!$H:$H,$B3)</f>
        <v>#VALUE!</v>
      </c>
      <c r="H3" s="17" t="e">
        <f>SUMIFS([2]钥匙宝箱!$K:$K,[2]钥匙宝箱!$J:$J,H$1,[2]钥匙宝箱!$H:$H,$B3)</f>
        <v>#VALUE!</v>
      </c>
      <c r="I3" s="17" t="e">
        <f>SUMIFS([2]钥匙宝箱!$K:$K,[2]钥匙宝箱!$J:$J,I$1,[2]钥匙宝箱!$H:$H,$B3)</f>
        <v>#VALUE!</v>
      </c>
      <c r="J3" s="17" t="e">
        <f>SUMIFS([2]钥匙宝箱!$K:$K,[2]钥匙宝箱!$J:$J,J$1,[2]钥匙宝箱!$H:$H,$B3)</f>
        <v>#VALUE!</v>
      </c>
      <c r="K3" s="17" t="e">
        <f>SUMIFS([2]钥匙宝箱!$K:$K,[2]钥匙宝箱!$J:$J,K$1,[2]钥匙宝箱!$H:$H,$B3)</f>
        <v>#VALUE!</v>
      </c>
      <c r="L3" s="17" t="e">
        <f>SUMIFS([2]钥匙宝箱!$K:$K,[2]钥匙宝箱!$J:$J,L$1,[2]钥匙宝箱!$H:$H,$B3)</f>
        <v>#VALUE!</v>
      </c>
      <c r="M3" s="17" t="e">
        <f>SUMIFS([2]钥匙宝箱!$K:$K,[2]钥匙宝箱!$J:$J,M$1,[2]钥匙宝箱!$H:$H,$B3)</f>
        <v>#VALUE!</v>
      </c>
    </row>
    <row r="4" spans="1:13" x14ac:dyDescent="0.15">
      <c r="B4" t="s">
        <v>730</v>
      </c>
      <c r="C4" t="s">
        <v>728</v>
      </c>
      <c r="D4" s="17" t="e">
        <f>SUMIFS([2]钥匙宝箱!$K:$K,[2]钥匙宝箱!$J:$J,D$1,[2]钥匙宝箱!$H:$H,$B4)</f>
        <v>#VALUE!</v>
      </c>
      <c r="E4" s="17" t="e">
        <f>SUMIFS([2]钥匙宝箱!$K:$K,[2]钥匙宝箱!$J:$J,E$1,[2]钥匙宝箱!$H:$H,$B4)</f>
        <v>#VALUE!</v>
      </c>
      <c r="F4" s="17" t="e">
        <f>SUMIFS([2]钥匙宝箱!$K:$K,[2]钥匙宝箱!$J:$J,F$1,[2]钥匙宝箱!$H:$H,$B4)</f>
        <v>#VALUE!</v>
      </c>
      <c r="G4" s="17" t="e">
        <f>SUMIFS([2]钥匙宝箱!$K:$K,[2]钥匙宝箱!$J:$J,G$1,[2]钥匙宝箱!$H:$H,$B4)</f>
        <v>#VALUE!</v>
      </c>
      <c r="H4" s="17" t="e">
        <f>SUMIFS([2]钥匙宝箱!$K:$K,[2]钥匙宝箱!$J:$J,H$1,[2]钥匙宝箱!$H:$H,$B4)</f>
        <v>#VALUE!</v>
      </c>
      <c r="I4" s="17" t="e">
        <f>SUMIFS([2]钥匙宝箱!$K:$K,[2]钥匙宝箱!$J:$J,I$1,[2]钥匙宝箱!$H:$H,$B4)</f>
        <v>#VALUE!</v>
      </c>
      <c r="J4" s="17" t="e">
        <f>SUMIFS([2]钥匙宝箱!$K:$K,[2]钥匙宝箱!$J:$J,J$1,[2]钥匙宝箱!$H:$H,$B4)</f>
        <v>#VALUE!</v>
      </c>
      <c r="K4" s="17" t="e">
        <f>SUMIFS([2]钥匙宝箱!$K:$K,[2]钥匙宝箱!$J:$J,K$1,[2]钥匙宝箱!$H:$H,$B4)</f>
        <v>#VALUE!</v>
      </c>
      <c r="L4" s="17" t="e">
        <f>SUMIFS([2]钥匙宝箱!$K:$K,[2]钥匙宝箱!$J:$J,L$1,[2]钥匙宝箱!$H:$H,$B4)</f>
        <v>#VALUE!</v>
      </c>
      <c r="M4" s="17" t="e">
        <f>SUMIFS([2]钥匙宝箱!$K:$K,[2]钥匙宝箱!$J:$J,M$1,[2]钥匙宝箱!$H:$H,$B4)</f>
        <v>#VALUE!</v>
      </c>
    </row>
    <row r="5" spans="1:13" x14ac:dyDescent="0.15">
      <c r="B5" t="s">
        <v>731</v>
      </c>
      <c r="C5" t="s">
        <v>732</v>
      </c>
      <c r="D5" s="17" t="e">
        <f>SUMIFS([2]钥匙宝箱!$K:$K,[2]钥匙宝箱!$J:$J,D$1,[2]钥匙宝箱!$H:$H,$B5)</f>
        <v>#VALUE!</v>
      </c>
      <c r="E5" s="17" t="e">
        <f>SUMIFS([2]钥匙宝箱!$K:$K,[2]钥匙宝箱!$J:$J,E$1,[2]钥匙宝箱!$H:$H,$B5)</f>
        <v>#VALUE!</v>
      </c>
      <c r="F5" s="17" t="e">
        <f>SUMIFS([2]钥匙宝箱!$K:$K,[2]钥匙宝箱!$J:$J,F$1,[2]钥匙宝箱!$H:$H,$B5)</f>
        <v>#VALUE!</v>
      </c>
      <c r="G5" s="17" t="e">
        <f>SUMIFS([2]钥匙宝箱!$K:$K,[2]钥匙宝箱!$J:$J,G$1,[2]钥匙宝箱!$H:$H,$B5)</f>
        <v>#VALUE!</v>
      </c>
      <c r="H5" s="17" t="e">
        <f>SUMIFS([2]钥匙宝箱!$K:$K,[2]钥匙宝箱!$J:$J,H$1,[2]钥匙宝箱!$H:$H,$B5)</f>
        <v>#VALUE!</v>
      </c>
      <c r="I5" s="17" t="e">
        <f>SUMIFS([2]钥匙宝箱!$K:$K,[2]钥匙宝箱!$J:$J,I$1,[2]钥匙宝箱!$H:$H,$B5)</f>
        <v>#VALUE!</v>
      </c>
      <c r="J5" s="17" t="e">
        <f>SUMIFS([2]钥匙宝箱!$K:$K,[2]钥匙宝箱!$J:$J,J$1,[2]钥匙宝箱!$H:$H,$B5)</f>
        <v>#VALUE!</v>
      </c>
      <c r="K5" s="17" t="e">
        <f>SUMIFS([2]钥匙宝箱!$K:$K,[2]钥匙宝箱!$J:$J,K$1,[2]钥匙宝箱!$H:$H,$B5)</f>
        <v>#VALUE!</v>
      </c>
      <c r="L5" s="17" t="e">
        <f>SUMIFS([2]钥匙宝箱!$K:$K,[2]钥匙宝箱!$J:$J,L$1,[2]钥匙宝箱!$H:$H,$B5)</f>
        <v>#VALUE!</v>
      </c>
      <c r="M5" s="17" t="e">
        <f>SUMIFS([2]钥匙宝箱!$K:$K,[2]钥匙宝箱!$J:$J,M$1,[2]钥匙宝箱!$H:$H,$B5)</f>
        <v>#VALUE!</v>
      </c>
    </row>
    <row r="6" spans="1:13" x14ac:dyDescent="0.15">
      <c r="B6" t="s">
        <v>733</v>
      </c>
      <c r="C6" t="s">
        <v>732</v>
      </c>
      <c r="D6" s="17" t="e">
        <f>SUMIFS([2]钥匙宝箱!$K:$K,[2]钥匙宝箱!$J:$J,D$1,[2]钥匙宝箱!$H:$H,$B6)</f>
        <v>#VALUE!</v>
      </c>
      <c r="E6" s="17" t="e">
        <f>SUMIFS([2]钥匙宝箱!$K:$K,[2]钥匙宝箱!$J:$J,E$1,[2]钥匙宝箱!$H:$H,$B6)</f>
        <v>#VALUE!</v>
      </c>
      <c r="F6" s="17" t="e">
        <f>SUMIFS([2]钥匙宝箱!$K:$K,[2]钥匙宝箱!$J:$J,F$1,[2]钥匙宝箱!$H:$H,$B6)</f>
        <v>#VALUE!</v>
      </c>
      <c r="G6" s="17" t="e">
        <f>SUMIFS([2]钥匙宝箱!$K:$K,[2]钥匙宝箱!$J:$J,G$1,[2]钥匙宝箱!$H:$H,$B6)</f>
        <v>#VALUE!</v>
      </c>
      <c r="H6" s="17" t="e">
        <f>SUMIFS([2]钥匙宝箱!$K:$K,[2]钥匙宝箱!$J:$J,H$1,[2]钥匙宝箱!$H:$H,$B6)</f>
        <v>#VALUE!</v>
      </c>
      <c r="I6" s="17" t="e">
        <f>SUMIFS([2]钥匙宝箱!$K:$K,[2]钥匙宝箱!$J:$J,I$1,[2]钥匙宝箱!$H:$H,$B6)</f>
        <v>#VALUE!</v>
      </c>
      <c r="J6" s="17" t="e">
        <f>SUMIFS([2]钥匙宝箱!$K:$K,[2]钥匙宝箱!$J:$J,J$1,[2]钥匙宝箱!$H:$H,$B6)</f>
        <v>#VALUE!</v>
      </c>
      <c r="K6" s="17" t="e">
        <f>SUMIFS([2]钥匙宝箱!$K:$K,[2]钥匙宝箱!$J:$J,K$1,[2]钥匙宝箱!$H:$H,$B6)</f>
        <v>#VALUE!</v>
      </c>
      <c r="L6" s="17" t="e">
        <f>SUMIFS([2]钥匙宝箱!$K:$K,[2]钥匙宝箱!$J:$J,L$1,[2]钥匙宝箱!$H:$H,$B6)</f>
        <v>#VALUE!</v>
      </c>
      <c r="M6" s="17" t="e">
        <f>SUMIFS([2]钥匙宝箱!$K:$K,[2]钥匙宝箱!$J:$J,M$1,[2]钥匙宝箱!$H:$H,$B6)</f>
        <v>#VALUE!</v>
      </c>
    </row>
    <row r="7" spans="1:13" x14ac:dyDescent="0.15">
      <c r="B7" t="s">
        <v>734</v>
      </c>
      <c r="C7" t="s">
        <v>732</v>
      </c>
      <c r="D7" s="17" t="e">
        <f>SUMIFS([2]钥匙宝箱!$K:$K,[2]钥匙宝箱!$J:$J,D$1,[2]钥匙宝箱!$H:$H,$B7)</f>
        <v>#VALUE!</v>
      </c>
      <c r="E7" s="17" t="e">
        <f>SUMIFS([2]钥匙宝箱!$K:$K,[2]钥匙宝箱!$J:$J,E$1,[2]钥匙宝箱!$H:$H,$B7)</f>
        <v>#VALUE!</v>
      </c>
      <c r="F7" s="17" t="e">
        <f>SUMIFS([2]钥匙宝箱!$K:$K,[2]钥匙宝箱!$J:$J,F$1,[2]钥匙宝箱!$H:$H,$B7)</f>
        <v>#VALUE!</v>
      </c>
      <c r="G7" s="17" t="e">
        <f>SUMIFS([2]钥匙宝箱!$K:$K,[2]钥匙宝箱!$J:$J,G$1,[2]钥匙宝箱!$H:$H,$B7)</f>
        <v>#VALUE!</v>
      </c>
      <c r="H7" s="17" t="e">
        <f>SUMIFS([2]钥匙宝箱!$K:$K,[2]钥匙宝箱!$J:$J,H$1,[2]钥匙宝箱!$H:$H,$B7)</f>
        <v>#VALUE!</v>
      </c>
      <c r="I7" s="17" t="e">
        <f>SUMIFS([2]钥匙宝箱!$K:$K,[2]钥匙宝箱!$J:$J,I$1,[2]钥匙宝箱!$H:$H,$B7)</f>
        <v>#VALUE!</v>
      </c>
      <c r="J7" s="17" t="e">
        <f>SUMIFS([2]钥匙宝箱!$K:$K,[2]钥匙宝箱!$J:$J,J$1,[2]钥匙宝箱!$H:$H,$B7)</f>
        <v>#VALUE!</v>
      </c>
      <c r="K7" s="17" t="e">
        <f>SUMIFS([2]钥匙宝箱!$K:$K,[2]钥匙宝箱!$J:$J,K$1,[2]钥匙宝箱!$H:$H,$B7)</f>
        <v>#VALUE!</v>
      </c>
      <c r="L7" s="17" t="e">
        <f>SUMIFS([2]钥匙宝箱!$K:$K,[2]钥匙宝箱!$J:$J,L$1,[2]钥匙宝箱!$H:$H,$B7)</f>
        <v>#VALUE!</v>
      </c>
      <c r="M7" s="17" t="e">
        <f>SUMIFS([2]钥匙宝箱!$K:$K,[2]钥匙宝箱!$J:$J,M$1,[2]钥匙宝箱!$H:$H,$B7)</f>
        <v>#VALUE!</v>
      </c>
    </row>
    <row r="8" spans="1:13" x14ac:dyDescent="0.15">
      <c r="B8" t="s">
        <v>735</v>
      </c>
      <c r="C8" t="s">
        <v>736</v>
      </c>
      <c r="D8" s="17" t="e">
        <f>SUMIFS([2]钥匙宝箱!$K:$K,[2]钥匙宝箱!$J:$J,D$1,[2]钥匙宝箱!$H:$H,$B8)</f>
        <v>#VALUE!</v>
      </c>
      <c r="E8" s="17" t="e">
        <f>SUMIFS([2]钥匙宝箱!$K:$K,[2]钥匙宝箱!$J:$J,E$1,[2]钥匙宝箱!$H:$H,$B8)</f>
        <v>#VALUE!</v>
      </c>
      <c r="F8" s="17" t="e">
        <f>SUMIFS([2]钥匙宝箱!$K:$K,[2]钥匙宝箱!$J:$J,F$1,[2]钥匙宝箱!$H:$H,$B8)</f>
        <v>#VALUE!</v>
      </c>
      <c r="G8" s="17" t="e">
        <f>SUMIFS([2]钥匙宝箱!$K:$K,[2]钥匙宝箱!$J:$J,G$1,[2]钥匙宝箱!$H:$H,$B8)</f>
        <v>#VALUE!</v>
      </c>
      <c r="H8" s="17" t="e">
        <f>SUMIFS([2]钥匙宝箱!$K:$K,[2]钥匙宝箱!$J:$J,H$1,[2]钥匙宝箱!$H:$H,$B8)</f>
        <v>#VALUE!</v>
      </c>
      <c r="I8" s="17" t="e">
        <f>SUMIFS([2]钥匙宝箱!$K:$K,[2]钥匙宝箱!$J:$J,I$1,[2]钥匙宝箱!$H:$H,$B8)</f>
        <v>#VALUE!</v>
      </c>
      <c r="J8" s="17" t="e">
        <f>SUMIFS([2]钥匙宝箱!$K:$K,[2]钥匙宝箱!$J:$J,J$1,[2]钥匙宝箱!$H:$H,$B8)</f>
        <v>#VALUE!</v>
      </c>
      <c r="K8" s="17" t="e">
        <f>SUMIFS([2]钥匙宝箱!$K:$K,[2]钥匙宝箱!$J:$J,K$1,[2]钥匙宝箱!$H:$H,$B8)</f>
        <v>#VALUE!</v>
      </c>
      <c r="L8" s="17" t="e">
        <f>SUMIFS([2]钥匙宝箱!$K:$K,[2]钥匙宝箱!$J:$J,L$1,[2]钥匙宝箱!$H:$H,$B8)</f>
        <v>#VALUE!</v>
      </c>
      <c r="M8" s="17" t="e">
        <f>SUMIFS([2]钥匙宝箱!$K:$K,[2]钥匙宝箱!$J:$J,M$1,[2]钥匙宝箱!$H:$H,$B8)</f>
        <v>#VALUE!</v>
      </c>
    </row>
    <row r="9" spans="1:13" x14ac:dyDescent="0.15">
      <c r="B9" t="s">
        <v>737</v>
      </c>
      <c r="C9" t="s">
        <v>736</v>
      </c>
      <c r="D9" s="17" t="e">
        <f>SUMIFS([2]钥匙宝箱!$K:$K,[2]钥匙宝箱!$J:$J,D$1,[2]钥匙宝箱!$H:$H,$B9)</f>
        <v>#VALUE!</v>
      </c>
      <c r="E9" s="17" t="e">
        <f>SUMIFS([2]钥匙宝箱!$K:$K,[2]钥匙宝箱!$J:$J,E$1,[2]钥匙宝箱!$H:$H,$B9)</f>
        <v>#VALUE!</v>
      </c>
      <c r="F9" s="17" t="e">
        <f>SUMIFS([2]钥匙宝箱!$K:$K,[2]钥匙宝箱!$J:$J,F$1,[2]钥匙宝箱!$H:$H,$B9)</f>
        <v>#VALUE!</v>
      </c>
      <c r="G9" s="17" t="e">
        <f>SUMIFS([2]钥匙宝箱!$K:$K,[2]钥匙宝箱!$J:$J,G$1,[2]钥匙宝箱!$H:$H,$B9)</f>
        <v>#VALUE!</v>
      </c>
      <c r="H9" s="17" t="e">
        <f>SUMIFS([2]钥匙宝箱!$K:$K,[2]钥匙宝箱!$J:$J,H$1,[2]钥匙宝箱!$H:$H,$B9)</f>
        <v>#VALUE!</v>
      </c>
      <c r="I9" s="17" t="e">
        <f>SUMIFS([2]钥匙宝箱!$K:$K,[2]钥匙宝箱!$J:$J,I$1,[2]钥匙宝箱!$H:$H,$B9)</f>
        <v>#VALUE!</v>
      </c>
      <c r="J9" s="17" t="e">
        <f>SUMIFS([2]钥匙宝箱!$K:$K,[2]钥匙宝箱!$J:$J,J$1,[2]钥匙宝箱!$H:$H,$B9)</f>
        <v>#VALUE!</v>
      </c>
      <c r="K9" s="17" t="e">
        <f>SUMIFS([2]钥匙宝箱!$K:$K,[2]钥匙宝箱!$J:$J,K$1,[2]钥匙宝箱!$H:$H,$B9)</f>
        <v>#VALUE!</v>
      </c>
      <c r="L9" s="17" t="e">
        <f>SUMIFS([2]钥匙宝箱!$K:$K,[2]钥匙宝箱!$J:$J,L$1,[2]钥匙宝箱!$H:$H,$B9)</f>
        <v>#VALUE!</v>
      </c>
      <c r="M9" s="17" t="e">
        <f>SUMIFS([2]钥匙宝箱!$K:$K,[2]钥匙宝箱!$J:$J,M$1,[2]钥匙宝箱!$H:$H,$B9)</f>
        <v>#VALUE!</v>
      </c>
    </row>
    <row r="10" spans="1:13" x14ac:dyDescent="0.15">
      <c r="B10" t="s">
        <v>738</v>
      </c>
      <c r="C10" t="s">
        <v>736</v>
      </c>
      <c r="D10" s="17" t="e">
        <f>SUMIFS([2]钥匙宝箱!$K:$K,[2]钥匙宝箱!$J:$J,D$1,[2]钥匙宝箱!$H:$H,$B10)</f>
        <v>#VALUE!</v>
      </c>
      <c r="E10" s="17" t="e">
        <f>SUMIFS([2]钥匙宝箱!$K:$K,[2]钥匙宝箱!$J:$J,E$1,[2]钥匙宝箱!$H:$H,$B10)</f>
        <v>#VALUE!</v>
      </c>
      <c r="F10" s="17" t="e">
        <f>SUMIFS([2]钥匙宝箱!$K:$K,[2]钥匙宝箱!$J:$J,F$1,[2]钥匙宝箱!$H:$H,$B10)</f>
        <v>#VALUE!</v>
      </c>
      <c r="G10" s="17" t="e">
        <f>SUMIFS([2]钥匙宝箱!$K:$K,[2]钥匙宝箱!$J:$J,G$1,[2]钥匙宝箱!$H:$H,$B10)</f>
        <v>#VALUE!</v>
      </c>
      <c r="H10" s="17" t="e">
        <f>SUMIFS([2]钥匙宝箱!$K:$K,[2]钥匙宝箱!$J:$J,H$1,[2]钥匙宝箱!$H:$H,$B10)</f>
        <v>#VALUE!</v>
      </c>
      <c r="I10" s="17" t="e">
        <f>SUMIFS([2]钥匙宝箱!$K:$K,[2]钥匙宝箱!$J:$J,I$1,[2]钥匙宝箱!$H:$H,$B10)</f>
        <v>#VALUE!</v>
      </c>
      <c r="J10" s="17" t="e">
        <f>SUMIFS([2]钥匙宝箱!$K:$K,[2]钥匙宝箱!$J:$J,J$1,[2]钥匙宝箱!$H:$H,$B10)</f>
        <v>#VALUE!</v>
      </c>
      <c r="K10" s="17" t="e">
        <f>SUMIFS([2]钥匙宝箱!$K:$K,[2]钥匙宝箱!$J:$J,K$1,[2]钥匙宝箱!$H:$H,$B10)</f>
        <v>#VALUE!</v>
      </c>
      <c r="L10" s="17" t="e">
        <f>SUMIFS([2]钥匙宝箱!$K:$K,[2]钥匙宝箱!$J:$J,L$1,[2]钥匙宝箱!$H:$H,$B10)</f>
        <v>#VALUE!</v>
      </c>
      <c r="M10" s="17" t="e">
        <f>SUMIFS([2]钥匙宝箱!$K:$K,[2]钥匙宝箱!$J:$J,M$1,[2]钥匙宝箱!$H:$H,$B10)</f>
        <v>#VALUE!</v>
      </c>
    </row>
    <row r="11" spans="1:13" x14ac:dyDescent="0.15">
      <c r="B11" t="s">
        <v>433</v>
      </c>
      <c r="C11" t="s">
        <v>503</v>
      </c>
      <c r="D11" s="17" t="e">
        <f>SUMIFS([2]钥匙宝箱!$K:$K,[2]钥匙宝箱!$J:$J,D$1,[2]钥匙宝箱!$H:$H,$B11)</f>
        <v>#VALUE!</v>
      </c>
      <c r="E11" s="17" t="e">
        <f>SUMIFS([2]钥匙宝箱!$K:$K,[2]钥匙宝箱!$J:$J,E$1,[2]钥匙宝箱!$H:$H,$B11)</f>
        <v>#VALUE!</v>
      </c>
      <c r="F11" s="17" t="e">
        <f>SUMIFS([2]钥匙宝箱!$K:$K,[2]钥匙宝箱!$J:$J,F$1,[2]钥匙宝箱!$H:$H,$B11)</f>
        <v>#VALUE!</v>
      </c>
      <c r="G11" s="17" t="e">
        <f>SUMIFS([2]钥匙宝箱!$K:$K,[2]钥匙宝箱!$J:$J,G$1,[2]钥匙宝箱!$H:$H,$B11)</f>
        <v>#VALUE!</v>
      </c>
      <c r="H11" s="17" t="e">
        <f>SUMIFS([2]钥匙宝箱!$K:$K,[2]钥匙宝箱!$J:$J,H$1,[2]钥匙宝箱!$H:$H,$B11)</f>
        <v>#VALUE!</v>
      </c>
      <c r="I11" s="17" t="e">
        <f>SUMIFS([2]钥匙宝箱!$K:$K,[2]钥匙宝箱!$J:$J,I$1,[2]钥匙宝箱!$H:$H,$B11)</f>
        <v>#VALUE!</v>
      </c>
      <c r="J11" s="17" t="e">
        <f>SUMIFS([2]钥匙宝箱!$K:$K,[2]钥匙宝箱!$J:$J,J$1,[2]钥匙宝箱!$H:$H,$B11)</f>
        <v>#VALUE!</v>
      </c>
      <c r="K11" s="17" t="e">
        <f>SUMIFS([2]钥匙宝箱!$K:$K,[2]钥匙宝箱!$J:$J,K$1,[2]钥匙宝箱!$H:$H,$B11)</f>
        <v>#VALUE!</v>
      </c>
      <c r="L11" s="17" t="e">
        <f>SUMIFS([2]钥匙宝箱!$K:$K,[2]钥匙宝箱!$J:$J,L$1,[2]钥匙宝箱!$H:$H,$B11)</f>
        <v>#VALUE!</v>
      </c>
      <c r="M11" s="17" t="e">
        <f>SUMIFS([2]钥匙宝箱!$K:$K,[2]钥匙宝箱!$J:$J,M$1,[2]钥匙宝箱!$H:$H,$B11)</f>
        <v>#VALUE!</v>
      </c>
    </row>
    <row r="12" spans="1:13" x14ac:dyDescent="0.15">
      <c r="B12" t="s">
        <v>434</v>
      </c>
      <c r="C12" t="s">
        <v>503</v>
      </c>
      <c r="D12" s="17" t="e">
        <f>SUMIFS([2]钥匙宝箱!$K:$K,[2]钥匙宝箱!$J:$J,D$1,[2]钥匙宝箱!$H:$H,$B12)</f>
        <v>#VALUE!</v>
      </c>
      <c r="E12" s="17" t="e">
        <f>SUMIFS([2]钥匙宝箱!$K:$K,[2]钥匙宝箱!$J:$J,E$1,[2]钥匙宝箱!$H:$H,$B12)</f>
        <v>#VALUE!</v>
      </c>
      <c r="F12" s="17" t="e">
        <f>SUMIFS([2]钥匙宝箱!$K:$K,[2]钥匙宝箱!$J:$J,F$1,[2]钥匙宝箱!$H:$H,$B12)</f>
        <v>#VALUE!</v>
      </c>
      <c r="G12" s="17" t="e">
        <f>SUMIFS([2]钥匙宝箱!$K:$K,[2]钥匙宝箱!$J:$J,G$1,[2]钥匙宝箱!$H:$H,$B12)</f>
        <v>#VALUE!</v>
      </c>
      <c r="H12" s="17" t="e">
        <f>SUMIFS([2]钥匙宝箱!$K:$K,[2]钥匙宝箱!$J:$J,H$1,[2]钥匙宝箱!$H:$H,$B12)</f>
        <v>#VALUE!</v>
      </c>
      <c r="I12" s="17" t="e">
        <f>SUMIFS([2]钥匙宝箱!$K:$K,[2]钥匙宝箱!$J:$J,I$1,[2]钥匙宝箱!$H:$H,$B12)</f>
        <v>#VALUE!</v>
      </c>
      <c r="J12" s="17" t="e">
        <f>SUMIFS([2]钥匙宝箱!$K:$K,[2]钥匙宝箱!$J:$J,J$1,[2]钥匙宝箱!$H:$H,$B12)</f>
        <v>#VALUE!</v>
      </c>
      <c r="K12" s="17" t="e">
        <f>SUMIFS([2]钥匙宝箱!$K:$K,[2]钥匙宝箱!$J:$J,K$1,[2]钥匙宝箱!$H:$H,$B12)</f>
        <v>#VALUE!</v>
      </c>
      <c r="L12" s="17" t="e">
        <f>SUMIFS([2]钥匙宝箱!$K:$K,[2]钥匙宝箱!$J:$J,L$1,[2]钥匙宝箱!$H:$H,$B12)</f>
        <v>#VALUE!</v>
      </c>
      <c r="M12" s="17" t="e">
        <f>SUMIFS([2]钥匙宝箱!$K:$K,[2]钥匙宝箱!$J:$J,M$1,[2]钥匙宝箱!$H:$H,$B12)</f>
        <v>#VALUE!</v>
      </c>
    </row>
    <row r="13" spans="1:13" x14ac:dyDescent="0.15">
      <c r="B13" t="s">
        <v>435</v>
      </c>
      <c r="C13" t="s">
        <v>503</v>
      </c>
      <c r="D13" s="17" t="e">
        <f>SUMIFS([2]钥匙宝箱!$K:$K,[2]钥匙宝箱!$J:$J,D$1,[2]钥匙宝箱!$H:$H,$B13)</f>
        <v>#VALUE!</v>
      </c>
      <c r="E13" s="17" t="e">
        <f>SUMIFS([2]钥匙宝箱!$K:$K,[2]钥匙宝箱!$J:$J,E$1,[2]钥匙宝箱!$H:$H,$B13)</f>
        <v>#VALUE!</v>
      </c>
      <c r="F13" s="17" t="e">
        <f>SUMIFS([2]钥匙宝箱!$K:$K,[2]钥匙宝箱!$J:$J,F$1,[2]钥匙宝箱!$H:$H,$B13)</f>
        <v>#VALUE!</v>
      </c>
      <c r="G13" s="17" t="e">
        <f>SUMIFS([2]钥匙宝箱!$K:$K,[2]钥匙宝箱!$J:$J,G$1,[2]钥匙宝箱!$H:$H,$B13)</f>
        <v>#VALUE!</v>
      </c>
      <c r="H13" s="17" t="e">
        <f>SUMIFS([2]钥匙宝箱!$K:$K,[2]钥匙宝箱!$J:$J,H$1,[2]钥匙宝箱!$H:$H,$B13)</f>
        <v>#VALUE!</v>
      </c>
      <c r="I13" s="17" t="e">
        <f>SUMIFS([2]钥匙宝箱!$K:$K,[2]钥匙宝箱!$J:$J,I$1,[2]钥匙宝箱!$H:$H,$B13)</f>
        <v>#VALUE!</v>
      </c>
      <c r="J13" s="17" t="e">
        <f>SUMIFS([2]钥匙宝箱!$K:$K,[2]钥匙宝箱!$J:$J,J$1,[2]钥匙宝箱!$H:$H,$B13)</f>
        <v>#VALUE!</v>
      </c>
      <c r="K13" s="17" t="e">
        <f>SUMIFS([2]钥匙宝箱!$K:$K,[2]钥匙宝箱!$J:$J,K$1,[2]钥匙宝箱!$H:$H,$B13)</f>
        <v>#VALUE!</v>
      </c>
      <c r="L13" s="17" t="e">
        <f>SUMIFS([2]钥匙宝箱!$K:$K,[2]钥匙宝箱!$J:$J,L$1,[2]钥匙宝箱!$H:$H,$B13)</f>
        <v>#VALUE!</v>
      </c>
      <c r="M13" s="17" t="e">
        <f>SUMIFS([2]钥匙宝箱!$K:$K,[2]钥匙宝箱!$J:$J,M$1,[2]钥匙宝箱!$H:$H,$B13)</f>
        <v>#VALUE!</v>
      </c>
    </row>
    <row r="14" spans="1:13" x14ac:dyDescent="0.15">
      <c r="B14" t="s">
        <v>436</v>
      </c>
      <c r="C14" t="s">
        <v>503</v>
      </c>
      <c r="D14" s="17" t="e">
        <f>SUMIFS([2]钥匙宝箱!$K:$K,[2]钥匙宝箱!$J:$J,D$1,[2]钥匙宝箱!$H:$H,$B14)</f>
        <v>#VALUE!</v>
      </c>
      <c r="E14" s="17" t="e">
        <f>SUMIFS([2]钥匙宝箱!$K:$K,[2]钥匙宝箱!$J:$J,E$1,[2]钥匙宝箱!$H:$H,$B14)</f>
        <v>#VALUE!</v>
      </c>
      <c r="F14" s="17" t="e">
        <f>SUMIFS([2]钥匙宝箱!$K:$K,[2]钥匙宝箱!$J:$J,F$1,[2]钥匙宝箱!$H:$H,$B14)</f>
        <v>#VALUE!</v>
      </c>
      <c r="G14" s="17" t="e">
        <f>SUMIFS([2]钥匙宝箱!$K:$K,[2]钥匙宝箱!$J:$J,G$1,[2]钥匙宝箱!$H:$H,$B14)</f>
        <v>#VALUE!</v>
      </c>
      <c r="H14" s="17" t="e">
        <f>SUMIFS([2]钥匙宝箱!$K:$K,[2]钥匙宝箱!$J:$J,H$1,[2]钥匙宝箱!$H:$H,$B14)</f>
        <v>#VALUE!</v>
      </c>
      <c r="I14" s="17" t="e">
        <f>SUMIFS([2]钥匙宝箱!$K:$K,[2]钥匙宝箱!$J:$J,I$1,[2]钥匙宝箱!$H:$H,$B14)</f>
        <v>#VALUE!</v>
      </c>
      <c r="J14" s="17" t="e">
        <f>SUMIFS([2]钥匙宝箱!$K:$K,[2]钥匙宝箱!$J:$J,J$1,[2]钥匙宝箱!$H:$H,$B14)</f>
        <v>#VALUE!</v>
      </c>
      <c r="K14" s="17" t="e">
        <f>SUMIFS([2]钥匙宝箱!$K:$K,[2]钥匙宝箱!$J:$J,K$1,[2]钥匙宝箱!$H:$H,$B14)</f>
        <v>#VALUE!</v>
      </c>
      <c r="L14" s="17" t="e">
        <f>SUMIFS([2]钥匙宝箱!$K:$K,[2]钥匙宝箱!$J:$J,L$1,[2]钥匙宝箱!$H:$H,$B14)</f>
        <v>#VALUE!</v>
      </c>
      <c r="M14" s="17" t="e">
        <f>SUMIFS([2]钥匙宝箱!$K:$K,[2]钥匙宝箱!$J:$J,M$1,[2]钥匙宝箱!$H:$H,$B14)</f>
        <v>#VALUE!</v>
      </c>
    </row>
    <row r="15" spans="1:13" x14ac:dyDescent="0.15">
      <c r="B15" t="s">
        <v>437</v>
      </c>
      <c r="C15" t="s">
        <v>503</v>
      </c>
      <c r="D15" s="17" t="e">
        <f>SUMIFS([2]钥匙宝箱!$K:$K,[2]钥匙宝箱!$J:$J,D$1,[2]钥匙宝箱!$H:$H,$B15)</f>
        <v>#VALUE!</v>
      </c>
      <c r="E15" s="17" t="e">
        <f>SUMIFS([2]钥匙宝箱!$K:$K,[2]钥匙宝箱!$J:$J,E$1,[2]钥匙宝箱!$H:$H,$B15)</f>
        <v>#VALUE!</v>
      </c>
      <c r="F15" s="17" t="e">
        <f>SUMIFS([2]钥匙宝箱!$K:$K,[2]钥匙宝箱!$J:$J,F$1,[2]钥匙宝箱!$H:$H,$B15)</f>
        <v>#VALUE!</v>
      </c>
      <c r="G15" s="17" t="e">
        <f>SUMIFS([2]钥匙宝箱!$K:$K,[2]钥匙宝箱!$J:$J,G$1,[2]钥匙宝箱!$H:$H,$B15)</f>
        <v>#VALUE!</v>
      </c>
      <c r="H15" s="17" t="e">
        <f>SUMIFS([2]钥匙宝箱!$K:$K,[2]钥匙宝箱!$J:$J,H$1,[2]钥匙宝箱!$H:$H,$B15)</f>
        <v>#VALUE!</v>
      </c>
      <c r="I15" s="17" t="e">
        <f>SUMIFS([2]钥匙宝箱!$K:$K,[2]钥匙宝箱!$J:$J,I$1,[2]钥匙宝箱!$H:$H,$B15)</f>
        <v>#VALUE!</v>
      </c>
      <c r="J15" s="17" t="e">
        <f>SUMIFS([2]钥匙宝箱!$K:$K,[2]钥匙宝箱!$J:$J,J$1,[2]钥匙宝箱!$H:$H,$B15)</f>
        <v>#VALUE!</v>
      </c>
      <c r="K15" s="17" t="e">
        <f>SUMIFS([2]钥匙宝箱!$K:$K,[2]钥匙宝箱!$J:$J,K$1,[2]钥匙宝箱!$H:$H,$B15)</f>
        <v>#VALUE!</v>
      </c>
      <c r="L15" s="17" t="e">
        <f>SUMIFS([2]钥匙宝箱!$K:$K,[2]钥匙宝箱!$J:$J,L$1,[2]钥匙宝箱!$H:$H,$B15)</f>
        <v>#VALUE!</v>
      </c>
      <c r="M15" s="17" t="e">
        <f>SUMIFS([2]钥匙宝箱!$K:$K,[2]钥匙宝箱!$J:$J,M$1,[2]钥匙宝箱!$H:$H,$B15)</f>
        <v>#VALUE!</v>
      </c>
    </row>
    <row r="16" spans="1:13" x14ac:dyDescent="0.15">
      <c r="B16" t="s">
        <v>438</v>
      </c>
      <c r="C16" t="s">
        <v>503</v>
      </c>
      <c r="D16" s="17" t="e">
        <f>SUMIFS([2]钥匙宝箱!$K:$K,[2]钥匙宝箱!$J:$J,D$1,[2]钥匙宝箱!$H:$H,$B16)</f>
        <v>#VALUE!</v>
      </c>
      <c r="E16" s="17" t="e">
        <f>SUMIFS([2]钥匙宝箱!$K:$K,[2]钥匙宝箱!$J:$J,E$1,[2]钥匙宝箱!$H:$H,$B16)</f>
        <v>#VALUE!</v>
      </c>
      <c r="F16" s="17" t="e">
        <f>SUMIFS([2]钥匙宝箱!$K:$K,[2]钥匙宝箱!$J:$J,F$1,[2]钥匙宝箱!$H:$H,$B16)</f>
        <v>#VALUE!</v>
      </c>
      <c r="G16" s="17" t="e">
        <f>SUMIFS([2]钥匙宝箱!$K:$K,[2]钥匙宝箱!$J:$J,G$1,[2]钥匙宝箱!$H:$H,$B16)</f>
        <v>#VALUE!</v>
      </c>
      <c r="H16" s="17" t="e">
        <f>SUMIFS([2]钥匙宝箱!$K:$K,[2]钥匙宝箱!$J:$J,H$1,[2]钥匙宝箱!$H:$H,$B16)</f>
        <v>#VALUE!</v>
      </c>
      <c r="I16" s="17" t="e">
        <f>SUMIFS([2]钥匙宝箱!$K:$K,[2]钥匙宝箱!$J:$J,I$1,[2]钥匙宝箱!$H:$H,$B16)</f>
        <v>#VALUE!</v>
      </c>
      <c r="J16" s="17" t="e">
        <f>SUMIFS([2]钥匙宝箱!$K:$K,[2]钥匙宝箱!$J:$J,J$1,[2]钥匙宝箱!$H:$H,$B16)</f>
        <v>#VALUE!</v>
      </c>
      <c r="K16" s="17" t="e">
        <f>SUMIFS([2]钥匙宝箱!$K:$K,[2]钥匙宝箱!$J:$J,K$1,[2]钥匙宝箱!$H:$H,$B16)</f>
        <v>#VALUE!</v>
      </c>
      <c r="L16" s="17" t="e">
        <f>SUMIFS([2]钥匙宝箱!$K:$K,[2]钥匙宝箱!$J:$J,L$1,[2]钥匙宝箱!$H:$H,$B16)</f>
        <v>#VALUE!</v>
      </c>
      <c r="M16" s="17" t="e">
        <f>SUMIFS([2]钥匙宝箱!$K:$K,[2]钥匙宝箱!$J:$J,M$1,[2]钥匙宝箱!$H:$H,$B16)</f>
        <v>#VALUE!</v>
      </c>
    </row>
    <row r="17" spans="2:13" x14ac:dyDescent="0.15">
      <c r="B17" t="s">
        <v>439</v>
      </c>
      <c r="C17" t="s">
        <v>503</v>
      </c>
      <c r="D17" s="17" t="e">
        <f>SUMIFS([2]钥匙宝箱!$K:$K,[2]钥匙宝箱!$J:$J,D$1,[2]钥匙宝箱!$H:$H,$B17)</f>
        <v>#VALUE!</v>
      </c>
      <c r="E17" s="17" t="e">
        <f>SUMIFS([2]钥匙宝箱!$K:$K,[2]钥匙宝箱!$J:$J,E$1,[2]钥匙宝箱!$H:$H,$B17)</f>
        <v>#VALUE!</v>
      </c>
      <c r="F17" s="17" t="e">
        <f>SUMIFS([2]钥匙宝箱!$K:$K,[2]钥匙宝箱!$J:$J,F$1,[2]钥匙宝箱!$H:$H,$B17)</f>
        <v>#VALUE!</v>
      </c>
      <c r="G17" s="17" t="e">
        <f>SUMIFS([2]钥匙宝箱!$K:$K,[2]钥匙宝箱!$J:$J,G$1,[2]钥匙宝箱!$H:$H,$B17)</f>
        <v>#VALUE!</v>
      </c>
      <c r="H17" s="17" t="e">
        <f>SUMIFS([2]钥匙宝箱!$K:$K,[2]钥匙宝箱!$J:$J,H$1,[2]钥匙宝箱!$H:$H,$B17)</f>
        <v>#VALUE!</v>
      </c>
      <c r="I17" s="17" t="e">
        <f>SUMIFS([2]钥匙宝箱!$K:$K,[2]钥匙宝箱!$J:$J,I$1,[2]钥匙宝箱!$H:$H,$B17)</f>
        <v>#VALUE!</v>
      </c>
      <c r="J17" s="17" t="e">
        <f>SUMIFS([2]钥匙宝箱!$K:$K,[2]钥匙宝箱!$J:$J,J$1,[2]钥匙宝箱!$H:$H,$B17)</f>
        <v>#VALUE!</v>
      </c>
      <c r="K17" s="17" t="e">
        <f>SUMIFS([2]钥匙宝箱!$K:$K,[2]钥匙宝箱!$J:$J,K$1,[2]钥匙宝箱!$H:$H,$B17)</f>
        <v>#VALUE!</v>
      </c>
      <c r="L17" s="17" t="e">
        <f>SUMIFS([2]钥匙宝箱!$K:$K,[2]钥匙宝箱!$J:$J,L$1,[2]钥匙宝箱!$H:$H,$B17)</f>
        <v>#VALUE!</v>
      </c>
      <c r="M17" s="17" t="e">
        <f>SUMIFS([2]钥匙宝箱!$K:$K,[2]钥匙宝箱!$J:$J,M$1,[2]钥匙宝箱!$H:$H,$B17)</f>
        <v>#VALUE!</v>
      </c>
    </row>
    <row r="18" spans="2:13" x14ac:dyDescent="0.15">
      <c r="B18" t="s">
        <v>440</v>
      </c>
      <c r="C18" t="s">
        <v>503</v>
      </c>
      <c r="D18" s="17" t="e">
        <f>SUMIFS([2]钥匙宝箱!$K:$K,[2]钥匙宝箱!$J:$J,D$1,[2]钥匙宝箱!$H:$H,$B18)</f>
        <v>#VALUE!</v>
      </c>
      <c r="E18" s="17" t="e">
        <f>SUMIFS([2]钥匙宝箱!$K:$K,[2]钥匙宝箱!$J:$J,E$1,[2]钥匙宝箱!$H:$H,$B18)</f>
        <v>#VALUE!</v>
      </c>
      <c r="F18" s="17" t="e">
        <f>SUMIFS([2]钥匙宝箱!$K:$K,[2]钥匙宝箱!$J:$J,F$1,[2]钥匙宝箱!$H:$H,$B18)</f>
        <v>#VALUE!</v>
      </c>
      <c r="G18" s="17" t="e">
        <f>SUMIFS([2]钥匙宝箱!$K:$K,[2]钥匙宝箱!$J:$J,G$1,[2]钥匙宝箱!$H:$H,$B18)</f>
        <v>#VALUE!</v>
      </c>
      <c r="H18" s="17" t="e">
        <f>SUMIFS([2]钥匙宝箱!$K:$K,[2]钥匙宝箱!$J:$J,H$1,[2]钥匙宝箱!$H:$H,$B18)</f>
        <v>#VALUE!</v>
      </c>
      <c r="I18" s="17" t="e">
        <f>SUMIFS([2]钥匙宝箱!$K:$K,[2]钥匙宝箱!$J:$J,I$1,[2]钥匙宝箱!$H:$H,$B18)</f>
        <v>#VALUE!</v>
      </c>
      <c r="J18" s="17" t="e">
        <f>SUMIFS([2]钥匙宝箱!$K:$K,[2]钥匙宝箱!$J:$J,J$1,[2]钥匙宝箱!$H:$H,$B18)</f>
        <v>#VALUE!</v>
      </c>
      <c r="K18" s="17" t="e">
        <f>SUMIFS([2]钥匙宝箱!$K:$K,[2]钥匙宝箱!$J:$J,K$1,[2]钥匙宝箱!$H:$H,$B18)</f>
        <v>#VALUE!</v>
      </c>
      <c r="L18" s="17" t="e">
        <f>SUMIFS([2]钥匙宝箱!$K:$K,[2]钥匙宝箱!$J:$J,L$1,[2]钥匙宝箱!$H:$H,$B18)</f>
        <v>#VALUE!</v>
      </c>
      <c r="M18" s="17" t="e">
        <f>SUMIFS([2]钥匙宝箱!$K:$K,[2]钥匙宝箱!$J:$J,M$1,[2]钥匙宝箱!$H:$H,$B18)</f>
        <v>#VALUE!</v>
      </c>
    </row>
    <row r="19" spans="2:13" x14ac:dyDescent="0.15">
      <c r="B19" t="s">
        <v>441</v>
      </c>
      <c r="C19" t="s">
        <v>503</v>
      </c>
      <c r="D19" s="17" t="e">
        <f>SUMIFS([2]钥匙宝箱!$K:$K,[2]钥匙宝箱!$J:$J,D$1,[2]钥匙宝箱!$H:$H,$B19)</f>
        <v>#VALUE!</v>
      </c>
      <c r="E19" s="17" t="e">
        <f>SUMIFS([2]钥匙宝箱!$K:$K,[2]钥匙宝箱!$J:$J,E$1,[2]钥匙宝箱!$H:$H,$B19)</f>
        <v>#VALUE!</v>
      </c>
      <c r="F19" s="17" t="e">
        <f>SUMIFS([2]钥匙宝箱!$K:$K,[2]钥匙宝箱!$J:$J,F$1,[2]钥匙宝箱!$H:$H,$B19)</f>
        <v>#VALUE!</v>
      </c>
      <c r="G19" s="17" t="e">
        <f>SUMIFS([2]钥匙宝箱!$K:$K,[2]钥匙宝箱!$J:$J,G$1,[2]钥匙宝箱!$H:$H,$B19)</f>
        <v>#VALUE!</v>
      </c>
      <c r="H19" s="17" t="e">
        <f>SUMIFS([2]钥匙宝箱!$K:$K,[2]钥匙宝箱!$J:$J,H$1,[2]钥匙宝箱!$H:$H,$B19)</f>
        <v>#VALUE!</v>
      </c>
      <c r="I19" s="17" t="e">
        <f>SUMIFS([2]钥匙宝箱!$K:$K,[2]钥匙宝箱!$J:$J,I$1,[2]钥匙宝箱!$H:$H,$B19)</f>
        <v>#VALUE!</v>
      </c>
      <c r="J19" s="17" t="e">
        <f>SUMIFS([2]钥匙宝箱!$K:$K,[2]钥匙宝箱!$J:$J,J$1,[2]钥匙宝箱!$H:$H,$B19)</f>
        <v>#VALUE!</v>
      </c>
      <c r="K19" s="17" t="e">
        <f>SUMIFS([2]钥匙宝箱!$K:$K,[2]钥匙宝箱!$J:$J,K$1,[2]钥匙宝箱!$H:$H,$B19)</f>
        <v>#VALUE!</v>
      </c>
      <c r="L19" s="17" t="e">
        <f>SUMIFS([2]钥匙宝箱!$K:$K,[2]钥匙宝箱!$J:$J,L$1,[2]钥匙宝箱!$H:$H,$B19)</f>
        <v>#VALUE!</v>
      </c>
      <c r="M19" s="17" t="e">
        <f>SUMIFS([2]钥匙宝箱!$K:$K,[2]钥匙宝箱!$J:$J,M$1,[2]钥匙宝箱!$H:$H,$B19)</f>
        <v>#VALUE!</v>
      </c>
    </row>
    <row r="20" spans="2:13" x14ac:dyDescent="0.15">
      <c r="B20" t="s">
        <v>442</v>
      </c>
      <c r="C20" t="s">
        <v>503</v>
      </c>
      <c r="D20" s="17" t="e">
        <f>SUMIFS([2]钥匙宝箱!$K:$K,[2]钥匙宝箱!$J:$J,D$1,[2]钥匙宝箱!$H:$H,$B20)</f>
        <v>#VALUE!</v>
      </c>
      <c r="E20" s="17" t="e">
        <f>SUMIFS([2]钥匙宝箱!$K:$K,[2]钥匙宝箱!$J:$J,E$1,[2]钥匙宝箱!$H:$H,$B20)</f>
        <v>#VALUE!</v>
      </c>
      <c r="F20" s="17" t="e">
        <f>SUMIFS([2]钥匙宝箱!$K:$K,[2]钥匙宝箱!$J:$J,F$1,[2]钥匙宝箱!$H:$H,$B20)</f>
        <v>#VALUE!</v>
      </c>
      <c r="G20" s="17" t="e">
        <f>SUMIFS([2]钥匙宝箱!$K:$K,[2]钥匙宝箱!$J:$J,G$1,[2]钥匙宝箱!$H:$H,$B20)</f>
        <v>#VALUE!</v>
      </c>
      <c r="H20" s="17" t="e">
        <f>SUMIFS([2]钥匙宝箱!$K:$K,[2]钥匙宝箱!$J:$J,H$1,[2]钥匙宝箱!$H:$H,$B20)</f>
        <v>#VALUE!</v>
      </c>
      <c r="I20" s="17" t="e">
        <f>SUMIFS([2]钥匙宝箱!$K:$K,[2]钥匙宝箱!$J:$J,I$1,[2]钥匙宝箱!$H:$H,$B20)</f>
        <v>#VALUE!</v>
      </c>
      <c r="J20" s="17" t="e">
        <f>SUMIFS([2]钥匙宝箱!$K:$K,[2]钥匙宝箱!$J:$J,J$1,[2]钥匙宝箱!$H:$H,$B20)</f>
        <v>#VALUE!</v>
      </c>
      <c r="K20" s="17" t="e">
        <f>SUMIFS([2]钥匙宝箱!$K:$K,[2]钥匙宝箱!$J:$J,K$1,[2]钥匙宝箱!$H:$H,$B20)</f>
        <v>#VALUE!</v>
      </c>
      <c r="L20" s="17" t="e">
        <f>SUMIFS([2]钥匙宝箱!$K:$K,[2]钥匙宝箱!$J:$J,L$1,[2]钥匙宝箱!$H:$H,$B20)</f>
        <v>#VALUE!</v>
      </c>
      <c r="M20" s="17" t="e">
        <f>SUMIFS([2]钥匙宝箱!$K:$K,[2]钥匙宝箱!$J:$J,M$1,[2]钥匙宝箱!$H:$H,$B20)</f>
        <v>#VALUE!</v>
      </c>
    </row>
    <row r="21" spans="2:13" x14ac:dyDescent="0.15">
      <c r="B21" t="s">
        <v>443</v>
      </c>
      <c r="C21" t="s">
        <v>503</v>
      </c>
      <c r="D21" s="17" t="e">
        <f>SUMIFS([2]钥匙宝箱!$K:$K,[2]钥匙宝箱!$J:$J,D$1,[2]钥匙宝箱!$H:$H,$B21)</f>
        <v>#VALUE!</v>
      </c>
      <c r="E21" s="17" t="e">
        <f>SUMIFS([2]钥匙宝箱!$K:$K,[2]钥匙宝箱!$J:$J,E$1,[2]钥匙宝箱!$H:$H,$B21)</f>
        <v>#VALUE!</v>
      </c>
      <c r="F21" s="17" t="e">
        <f>SUMIFS([2]钥匙宝箱!$K:$K,[2]钥匙宝箱!$J:$J,F$1,[2]钥匙宝箱!$H:$H,$B21)</f>
        <v>#VALUE!</v>
      </c>
      <c r="G21" s="17" t="e">
        <f>SUMIFS([2]钥匙宝箱!$K:$K,[2]钥匙宝箱!$J:$J,G$1,[2]钥匙宝箱!$H:$H,$B21)</f>
        <v>#VALUE!</v>
      </c>
      <c r="H21" s="17" t="e">
        <f>SUMIFS([2]钥匙宝箱!$K:$K,[2]钥匙宝箱!$J:$J,H$1,[2]钥匙宝箱!$H:$H,$B21)</f>
        <v>#VALUE!</v>
      </c>
      <c r="I21" s="17" t="e">
        <f>SUMIFS([2]钥匙宝箱!$K:$K,[2]钥匙宝箱!$J:$J,I$1,[2]钥匙宝箱!$H:$H,$B21)</f>
        <v>#VALUE!</v>
      </c>
      <c r="J21" s="17" t="e">
        <f>SUMIFS([2]钥匙宝箱!$K:$K,[2]钥匙宝箱!$J:$J,J$1,[2]钥匙宝箱!$H:$H,$B21)</f>
        <v>#VALUE!</v>
      </c>
      <c r="K21" s="17" t="e">
        <f>SUMIFS([2]钥匙宝箱!$K:$K,[2]钥匙宝箱!$J:$J,K$1,[2]钥匙宝箱!$H:$H,$B21)</f>
        <v>#VALUE!</v>
      </c>
      <c r="L21" s="17" t="e">
        <f>SUMIFS([2]钥匙宝箱!$K:$K,[2]钥匙宝箱!$J:$J,L$1,[2]钥匙宝箱!$H:$H,$B21)</f>
        <v>#VALUE!</v>
      </c>
      <c r="M21" s="17" t="e">
        <f>SUMIFS([2]钥匙宝箱!$K:$K,[2]钥匙宝箱!$J:$J,M$1,[2]钥匙宝箱!$H:$H,$B21)</f>
        <v>#VALUE!</v>
      </c>
    </row>
    <row r="22" spans="2:13" x14ac:dyDescent="0.15">
      <c r="B22" t="s">
        <v>444</v>
      </c>
      <c r="C22" t="s">
        <v>503</v>
      </c>
      <c r="D22" s="17" t="e">
        <f>SUMIFS([2]钥匙宝箱!$K:$K,[2]钥匙宝箱!$J:$J,D$1,[2]钥匙宝箱!$H:$H,$B22)</f>
        <v>#VALUE!</v>
      </c>
      <c r="E22" s="17" t="e">
        <f>SUMIFS([2]钥匙宝箱!$K:$K,[2]钥匙宝箱!$J:$J,E$1,[2]钥匙宝箱!$H:$H,$B22)</f>
        <v>#VALUE!</v>
      </c>
      <c r="F22" s="17" t="e">
        <f>SUMIFS([2]钥匙宝箱!$K:$K,[2]钥匙宝箱!$J:$J,F$1,[2]钥匙宝箱!$H:$H,$B22)</f>
        <v>#VALUE!</v>
      </c>
      <c r="G22" s="17" t="e">
        <f>SUMIFS([2]钥匙宝箱!$K:$K,[2]钥匙宝箱!$J:$J,G$1,[2]钥匙宝箱!$H:$H,$B22)</f>
        <v>#VALUE!</v>
      </c>
      <c r="H22" s="17" t="e">
        <f>SUMIFS([2]钥匙宝箱!$K:$K,[2]钥匙宝箱!$J:$J,H$1,[2]钥匙宝箱!$H:$H,$B22)</f>
        <v>#VALUE!</v>
      </c>
      <c r="I22" s="17" t="e">
        <f>SUMIFS([2]钥匙宝箱!$K:$K,[2]钥匙宝箱!$J:$J,I$1,[2]钥匙宝箱!$H:$H,$B22)</f>
        <v>#VALUE!</v>
      </c>
      <c r="J22" s="17" t="e">
        <f>SUMIFS([2]钥匙宝箱!$K:$K,[2]钥匙宝箱!$J:$J,J$1,[2]钥匙宝箱!$H:$H,$B22)</f>
        <v>#VALUE!</v>
      </c>
      <c r="K22" s="17" t="e">
        <f>SUMIFS([2]钥匙宝箱!$K:$K,[2]钥匙宝箱!$J:$J,K$1,[2]钥匙宝箱!$H:$H,$B22)</f>
        <v>#VALUE!</v>
      </c>
      <c r="L22" s="17" t="e">
        <f>SUMIFS([2]钥匙宝箱!$K:$K,[2]钥匙宝箱!$J:$J,L$1,[2]钥匙宝箱!$H:$H,$B22)</f>
        <v>#VALUE!</v>
      </c>
      <c r="M22" s="17" t="e">
        <f>SUMIFS([2]钥匙宝箱!$K:$K,[2]钥匙宝箱!$J:$J,M$1,[2]钥匙宝箱!$H:$H,$B22)</f>
        <v>#VALUE!</v>
      </c>
    </row>
    <row r="23" spans="2:13" x14ac:dyDescent="0.15">
      <c r="B23" t="s">
        <v>445</v>
      </c>
      <c r="C23" t="s">
        <v>503</v>
      </c>
      <c r="D23" s="17" t="e">
        <f>SUMIFS([2]钥匙宝箱!$K:$K,[2]钥匙宝箱!$J:$J,D$1,[2]钥匙宝箱!$H:$H,$B23)</f>
        <v>#VALUE!</v>
      </c>
      <c r="E23" s="17" t="e">
        <f>SUMIFS([2]钥匙宝箱!$K:$K,[2]钥匙宝箱!$J:$J,E$1,[2]钥匙宝箱!$H:$H,$B23)</f>
        <v>#VALUE!</v>
      </c>
      <c r="F23" s="17" t="e">
        <f>SUMIFS([2]钥匙宝箱!$K:$K,[2]钥匙宝箱!$J:$J,F$1,[2]钥匙宝箱!$H:$H,$B23)</f>
        <v>#VALUE!</v>
      </c>
      <c r="G23" s="17" t="e">
        <f>SUMIFS([2]钥匙宝箱!$K:$K,[2]钥匙宝箱!$J:$J,G$1,[2]钥匙宝箱!$H:$H,$B23)</f>
        <v>#VALUE!</v>
      </c>
      <c r="H23" s="17" t="e">
        <f>SUMIFS([2]钥匙宝箱!$K:$K,[2]钥匙宝箱!$J:$J,H$1,[2]钥匙宝箱!$H:$H,$B23)</f>
        <v>#VALUE!</v>
      </c>
      <c r="I23" s="17" t="e">
        <f>SUMIFS([2]钥匙宝箱!$K:$K,[2]钥匙宝箱!$J:$J,I$1,[2]钥匙宝箱!$H:$H,$B23)</f>
        <v>#VALUE!</v>
      </c>
      <c r="J23" s="17" t="e">
        <f>SUMIFS([2]钥匙宝箱!$K:$K,[2]钥匙宝箱!$J:$J,J$1,[2]钥匙宝箱!$H:$H,$B23)</f>
        <v>#VALUE!</v>
      </c>
      <c r="K23" s="17" t="e">
        <f>SUMIFS([2]钥匙宝箱!$K:$K,[2]钥匙宝箱!$J:$J,K$1,[2]钥匙宝箱!$H:$H,$B23)</f>
        <v>#VALUE!</v>
      </c>
      <c r="L23" s="17" t="e">
        <f>SUMIFS([2]钥匙宝箱!$K:$K,[2]钥匙宝箱!$J:$J,L$1,[2]钥匙宝箱!$H:$H,$B23)</f>
        <v>#VALUE!</v>
      </c>
      <c r="M23" s="17" t="e">
        <f>SUMIFS([2]钥匙宝箱!$K:$K,[2]钥匙宝箱!$J:$J,M$1,[2]钥匙宝箱!$H:$H,$B23)</f>
        <v>#VALUE!</v>
      </c>
    </row>
    <row r="24" spans="2:13" x14ac:dyDescent="0.15">
      <c r="B24" t="s">
        <v>446</v>
      </c>
      <c r="C24" t="s">
        <v>503</v>
      </c>
      <c r="D24" s="17" t="e">
        <f>SUMIFS([2]钥匙宝箱!$K:$K,[2]钥匙宝箱!$J:$J,D$1,[2]钥匙宝箱!$H:$H,$B24)</f>
        <v>#VALUE!</v>
      </c>
      <c r="E24" s="17" t="e">
        <f>SUMIFS([2]钥匙宝箱!$K:$K,[2]钥匙宝箱!$J:$J,E$1,[2]钥匙宝箱!$H:$H,$B24)</f>
        <v>#VALUE!</v>
      </c>
      <c r="F24" s="17" t="e">
        <f>SUMIFS([2]钥匙宝箱!$K:$K,[2]钥匙宝箱!$J:$J,F$1,[2]钥匙宝箱!$H:$H,$B24)</f>
        <v>#VALUE!</v>
      </c>
      <c r="G24" s="17" t="e">
        <f>SUMIFS([2]钥匙宝箱!$K:$K,[2]钥匙宝箱!$J:$J,G$1,[2]钥匙宝箱!$H:$H,$B24)</f>
        <v>#VALUE!</v>
      </c>
      <c r="H24" s="17" t="e">
        <f>SUMIFS([2]钥匙宝箱!$K:$K,[2]钥匙宝箱!$J:$J,H$1,[2]钥匙宝箱!$H:$H,$B24)</f>
        <v>#VALUE!</v>
      </c>
      <c r="I24" s="17" t="e">
        <f>SUMIFS([2]钥匙宝箱!$K:$K,[2]钥匙宝箱!$J:$J,I$1,[2]钥匙宝箱!$H:$H,$B24)</f>
        <v>#VALUE!</v>
      </c>
      <c r="J24" s="17" t="e">
        <f>SUMIFS([2]钥匙宝箱!$K:$K,[2]钥匙宝箱!$J:$J,J$1,[2]钥匙宝箱!$H:$H,$B24)</f>
        <v>#VALUE!</v>
      </c>
      <c r="K24" s="17" t="e">
        <f>SUMIFS([2]钥匙宝箱!$K:$K,[2]钥匙宝箱!$J:$J,K$1,[2]钥匙宝箱!$H:$H,$B24)</f>
        <v>#VALUE!</v>
      </c>
      <c r="L24" s="17" t="e">
        <f>SUMIFS([2]钥匙宝箱!$K:$K,[2]钥匙宝箱!$J:$J,L$1,[2]钥匙宝箱!$H:$H,$B24)</f>
        <v>#VALUE!</v>
      </c>
      <c r="M24" s="17" t="e">
        <f>SUMIFS([2]钥匙宝箱!$K:$K,[2]钥匙宝箱!$J:$J,M$1,[2]钥匙宝箱!$H:$H,$B24)</f>
        <v>#VALUE!</v>
      </c>
    </row>
    <row r="25" spans="2:13" x14ac:dyDescent="0.15">
      <c r="B25" t="s">
        <v>447</v>
      </c>
      <c r="C25" t="s">
        <v>503</v>
      </c>
      <c r="D25" s="17" t="e">
        <f>SUMIFS([2]钥匙宝箱!$K:$K,[2]钥匙宝箱!$J:$J,D$1,[2]钥匙宝箱!$H:$H,$B25)</f>
        <v>#VALUE!</v>
      </c>
      <c r="E25" s="17" t="e">
        <f>SUMIFS([2]钥匙宝箱!$K:$K,[2]钥匙宝箱!$J:$J,E$1,[2]钥匙宝箱!$H:$H,$B25)</f>
        <v>#VALUE!</v>
      </c>
      <c r="F25" s="17" t="e">
        <f>SUMIFS([2]钥匙宝箱!$K:$K,[2]钥匙宝箱!$J:$J,F$1,[2]钥匙宝箱!$H:$H,$B25)</f>
        <v>#VALUE!</v>
      </c>
      <c r="G25" s="17" t="e">
        <f>SUMIFS([2]钥匙宝箱!$K:$K,[2]钥匙宝箱!$J:$J,G$1,[2]钥匙宝箱!$H:$H,$B25)</f>
        <v>#VALUE!</v>
      </c>
      <c r="H25" s="17" t="e">
        <f>SUMIFS([2]钥匙宝箱!$K:$K,[2]钥匙宝箱!$J:$J,H$1,[2]钥匙宝箱!$H:$H,$B25)</f>
        <v>#VALUE!</v>
      </c>
      <c r="I25" s="17" t="e">
        <f>SUMIFS([2]钥匙宝箱!$K:$K,[2]钥匙宝箱!$J:$J,I$1,[2]钥匙宝箱!$H:$H,$B25)</f>
        <v>#VALUE!</v>
      </c>
      <c r="J25" s="17" t="e">
        <f>SUMIFS([2]钥匙宝箱!$K:$K,[2]钥匙宝箱!$J:$J,J$1,[2]钥匙宝箱!$H:$H,$B25)</f>
        <v>#VALUE!</v>
      </c>
      <c r="K25" s="17" t="e">
        <f>SUMIFS([2]钥匙宝箱!$K:$K,[2]钥匙宝箱!$J:$J,K$1,[2]钥匙宝箱!$H:$H,$B25)</f>
        <v>#VALUE!</v>
      </c>
      <c r="L25" s="17" t="e">
        <f>SUMIFS([2]钥匙宝箱!$K:$K,[2]钥匙宝箱!$J:$J,L$1,[2]钥匙宝箱!$H:$H,$B25)</f>
        <v>#VALUE!</v>
      </c>
      <c r="M25" s="17" t="e">
        <f>SUMIFS([2]钥匙宝箱!$K:$K,[2]钥匙宝箱!$J:$J,M$1,[2]钥匙宝箱!$H:$H,$B25)</f>
        <v>#VALUE!</v>
      </c>
    </row>
    <row r="26" spans="2:13" x14ac:dyDescent="0.15">
      <c r="B26" t="s">
        <v>448</v>
      </c>
      <c r="C26" t="s">
        <v>503</v>
      </c>
      <c r="D26" s="17" t="e">
        <f>SUMIFS([2]钥匙宝箱!$K:$K,[2]钥匙宝箱!$J:$J,D$1,[2]钥匙宝箱!$H:$H,$B26)</f>
        <v>#VALUE!</v>
      </c>
      <c r="E26" s="17" t="e">
        <f>SUMIFS([2]钥匙宝箱!$K:$K,[2]钥匙宝箱!$J:$J,E$1,[2]钥匙宝箱!$H:$H,$B26)</f>
        <v>#VALUE!</v>
      </c>
      <c r="F26" s="17" t="e">
        <f>SUMIFS([2]钥匙宝箱!$K:$K,[2]钥匙宝箱!$J:$J,F$1,[2]钥匙宝箱!$H:$H,$B26)</f>
        <v>#VALUE!</v>
      </c>
      <c r="G26" s="17" t="e">
        <f>SUMIFS([2]钥匙宝箱!$K:$K,[2]钥匙宝箱!$J:$J,G$1,[2]钥匙宝箱!$H:$H,$B26)</f>
        <v>#VALUE!</v>
      </c>
      <c r="H26" s="17" t="e">
        <f>SUMIFS([2]钥匙宝箱!$K:$K,[2]钥匙宝箱!$J:$J,H$1,[2]钥匙宝箱!$H:$H,$B26)</f>
        <v>#VALUE!</v>
      </c>
      <c r="I26" s="17" t="e">
        <f>SUMIFS([2]钥匙宝箱!$K:$K,[2]钥匙宝箱!$J:$J,I$1,[2]钥匙宝箱!$H:$H,$B26)</f>
        <v>#VALUE!</v>
      </c>
      <c r="J26" s="17" t="e">
        <f>SUMIFS([2]钥匙宝箱!$K:$K,[2]钥匙宝箱!$J:$J,J$1,[2]钥匙宝箱!$H:$H,$B26)</f>
        <v>#VALUE!</v>
      </c>
      <c r="K26" s="17" t="e">
        <f>SUMIFS([2]钥匙宝箱!$K:$K,[2]钥匙宝箱!$J:$J,K$1,[2]钥匙宝箱!$H:$H,$B26)</f>
        <v>#VALUE!</v>
      </c>
      <c r="L26" s="17" t="e">
        <f>SUMIFS([2]钥匙宝箱!$K:$K,[2]钥匙宝箱!$J:$J,L$1,[2]钥匙宝箱!$H:$H,$B26)</f>
        <v>#VALUE!</v>
      </c>
      <c r="M26" s="17" t="e">
        <f>SUMIFS([2]钥匙宝箱!$K:$K,[2]钥匙宝箱!$J:$J,M$1,[2]钥匙宝箱!$H:$H,$B26)</f>
        <v>#VALUE!</v>
      </c>
    </row>
    <row r="27" spans="2:13" x14ac:dyDescent="0.15">
      <c r="B27" t="s">
        <v>449</v>
      </c>
      <c r="C27" t="s">
        <v>503</v>
      </c>
      <c r="D27" s="17" t="e">
        <f>SUMIFS([2]钥匙宝箱!$K:$K,[2]钥匙宝箱!$J:$J,D$1,[2]钥匙宝箱!$H:$H,$B27)</f>
        <v>#VALUE!</v>
      </c>
      <c r="E27" s="17" t="e">
        <f>SUMIFS([2]钥匙宝箱!$K:$K,[2]钥匙宝箱!$J:$J,E$1,[2]钥匙宝箱!$H:$H,$B27)</f>
        <v>#VALUE!</v>
      </c>
      <c r="F27" s="17" t="e">
        <f>SUMIFS([2]钥匙宝箱!$K:$K,[2]钥匙宝箱!$J:$J,F$1,[2]钥匙宝箱!$H:$H,$B27)</f>
        <v>#VALUE!</v>
      </c>
      <c r="G27" s="17" t="e">
        <f>SUMIFS([2]钥匙宝箱!$K:$K,[2]钥匙宝箱!$J:$J,G$1,[2]钥匙宝箱!$H:$H,$B27)</f>
        <v>#VALUE!</v>
      </c>
      <c r="H27" s="17" t="e">
        <f>SUMIFS([2]钥匙宝箱!$K:$K,[2]钥匙宝箱!$J:$J,H$1,[2]钥匙宝箱!$H:$H,$B27)</f>
        <v>#VALUE!</v>
      </c>
      <c r="I27" s="17" t="e">
        <f>SUMIFS([2]钥匙宝箱!$K:$K,[2]钥匙宝箱!$J:$J,I$1,[2]钥匙宝箱!$H:$H,$B27)</f>
        <v>#VALUE!</v>
      </c>
      <c r="J27" s="17" t="e">
        <f>SUMIFS([2]钥匙宝箱!$K:$K,[2]钥匙宝箱!$J:$J,J$1,[2]钥匙宝箱!$H:$H,$B27)</f>
        <v>#VALUE!</v>
      </c>
      <c r="K27" s="17" t="e">
        <f>SUMIFS([2]钥匙宝箱!$K:$K,[2]钥匙宝箱!$J:$J,K$1,[2]钥匙宝箱!$H:$H,$B27)</f>
        <v>#VALUE!</v>
      </c>
      <c r="L27" s="17" t="e">
        <f>SUMIFS([2]钥匙宝箱!$K:$K,[2]钥匙宝箱!$J:$J,L$1,[2]钥匙宝箱!$H:$H,$B27)</f>
        <v>#VALUE!</v>
      </c>
      <c r="M27" s="17" t="e">
        <f>SUMIFS([2]钥匙宝箱!$K:$K,[2]钥匙宝箱!$J:$J,M$1,[2]钥匙宝箱!$H:$H,$B27)</f>
        <v>#VALUE!</v>
      </c>
    </row>
    <row r="28" spans="2:13" x14ac:dyDescent="0.15">
      <c r="B28" t="s">
        <v>450</v>
      </c>
      <c r="C28" t="s">
        <v>503</v>
      </c>
      <c r="D28" s="17" t="e">
        <f>SUMIFS([2]钥匙宝箱!$K:$K,[2]钥匙宝箱!$J:$J,D$1,[2]钥匙宝箱!$H:$H,$B28)</f>
        <v>#VALUE!</v>
      </c>
      <c r="E28" s="17" t="e">
        <f>SUMIFS([2]钥匙宝箱!$K:$K,[2]钥匙宝箱!$J:$J,E$1,[2]钥匙宝箱!$H:$H,$B28)</f>
        <v>#VALUE!</v>
      </c>
      <c r="F28" s="17" t="e">
        <f>SUMIFS([2]钥匙宝箱!$K:$K,[2]钥匙宝箱!$J:$J,F$1,[2]钥匙宝箱!$H:$H,$B28)</f>
        <v>#VALUE!</v>
      </c>
      <c r="G28" s="17" t="e">
        <f>SUMIFS([2]钥匙宝箱!$K:$K,[2]钥匙宝箱!$J:$J,G$1,[2]钥匙宝箱!$H:$H,$B28)</f>
        <v>#VALUE!</v>
      </c>
      <c r="H28" s="17" t="e">
        <f>SUMIFS([2]钥匙宝箱!$K:$K,[2]钥匙宝箱!$J:$J,H$1,[2]钥匙宝箱!$H:$H,$B28)</f>
        <v>#VALUE!</v>
      </c>
      <c r="I28" s="17" t="e">
        <f>SUMIFS([2]钥匙宝箱!$K:$K,[2]钥匙宝箱!$J:$J,I$1,[2]钥匙宝箱!$H:$H,$B28)</f>
        <v>#VALUE!</v>
      </c>
      <c r="J28" s="17" t="e">
        <f>SUMIFS([2]钥匙宝箱!$K:$K,[2]钥匙宝箱!$J:$J,J$1,[2]钥匙宝箱!$H:$H,$B28)</f>
        <v>#VALUE!</v>
      </c>
      <c r="K28" s="17" t="e">
        <f>SUMIFS([2]钥匙宝箱!$K:$K,[2]钥匙宝箱!$J:$J,K$1,[2]钥匙宝箱!$H:$H,$B28)</f>
        <v>#VALUE!</v>
      </c>
      <c r="L28" s="17" t="e">
        <f>SUMIFS([2]钥匙宝箱!$K:$K,[2]钥匙宝箱!$J:$J,L$1,[2]钥匙宝箱!$H:$H,$B28)</f>
        <v>#VALUE!</v>
      </c>
      <c r="M28" s="17" t="e">
        <f>SUMIFS([2]钥匙宝箱!$K:$K,[2]钥匙宝箱!$J:$J,M$1,[2]钥匙宝箱!$H:$H,$B28)</f>
        <v>#VALUE!</v>
      </c>
    </row>
    <row r="29" spans="2:13" x14ac:dyDescent="0.15">
      <c r="B29" t="s">
        <v>452</v>
      </c>
      <c r="C29" t="s">
        <v>504</v>
      </c>
      <c r="D29" s="17" t="e">
        <f>SUMIFS([2]钥匙宝箱!$K:$K,[2]钥匙宝箱!$J:$J,D$1,[2]钥匙宝箱!$H:$H,$B29)</f>
        <v>#VALUE!</v>
      </c>
      <c r="E29" s="17" t="e">
        <f>SUMIFS([2]钥匙宝箱!$K:$K,[2]钥匙宝箱!$J:$J,E$1,[2]钥匙宝箱!$H:$H,$B29)</f>
        <v>#VALUE!</v>
      </c>
      <c r="F29" s="17" t="e">
        <f>SUMIFS([2]钥匙宝箱!$K:$K,[2]钥匙宝箱!$J:$J,F$1,[2]钥匙宝箱!$H:$H,$B29)</f>
        <v>#VALUE!</v>
      </c>
      <c r="G29" s="17" t="e">
        <f>SUMIFS([2]钥匙宝箱!$K:$K,[2]钥匙宝箱!$J:$J,G$1,[2]钥匙宝箱!$H:$H,$B29)</f>
        <v>#VALUE!</v>
      </c>
      <c r="H29" s="17" t="e">
        <f>SUMIFS([2]钥匙宝箱!$K:$K,[2]钥匙宝箱!$J:$J,H$1,[2]钥匙宝箱!$H:$H,$B29)</f>
        <v>#VALUE!</v>
      </c>
      <c r="I29" s="17" t="e">
        <f>SUMIFS([2]钥匙宝箱!$K:$K,[2]钥匙宝箱!$J:$J,I$1,[2]钥匙宝箱!$H:$H,$B29)</f>
        <v>#VALUE!</v>
      </c>
      <c r="J29" s="17" t="e">
        <f>SUMIFS([2]钥匙宝箱!$K:$K,[2]钥匙宝箱!$J:$J,J$1,[2]钥匙宝箱!$H:$H,$B29)</f>
        <v>#VALUE!</v>
      </c>
      <c r="K29" s="17" t="e">
        <f>SUMIFS([2]钥匙宝箱!$K:$K,[2]钥匙宝箱!$J:$J,K$1,[2]钥匙宝箱!$H:$H,$B29)</f>
        <v>#VALUE!</v>
      </c>
      <c r="L29" s="17" t="e">
        <f>SUMIFS([2]钥匙宝箱!$K:$K,[2]钥匙宝箱!$J:$J,L$1,[2]钥匙宝箱!$H:$H,$B29)</f>
        <v>#VALUE!</v>
      </c>
      <c r="M29" s="17" t="e">
        <f>SUMIFS([2]钥匙宝箱!$K:$K,[2]钥匙宝箱!$J:$J,M$1,[2]钥匙宝箱!$H:$H,$B29)</f>
        <v>#VALUE!</v>
      </c>
    </row>
    <row r="30" spans="2:13" x14ac:dyDescent="0.15">
      <c r="B30" t="s">
        <v>453</v>
      </c>
      <c r="C30" t="s">
        <v>504</v>
      </c>
      <c r="D30" s="17" t="e">
        <f>SUMIFS([2]钥匙宝箱!$K:$K,[2]钥匙宝箱!$J:$J,D$1,[2]钥匙宝箱!$H:$H,$B30)</f>
        <v>#VALUE!</v>
      </c>
      <c r="E30" s="17" t="e">
        <f>SUMIFS([2]钥匙宝箱!$K:$K,[2]钥匙宝箱!$J:$J,E$1,[2]钥匙宝箱!$H:$H,$B30)</f>
        <v>#VALUE!</v>
      </c>
      <c r="F30" s="17" t="e">
        <f>SUMIFS([2]钥匙宝箱!$K:$K,[2]钥匙宝箱!$J:$J,F$1,[2]钥匙宝箱!$H:$H,$B30)</f>
        <v>#VALUE!</v>
      </c>
      <c r="G30" s="17" t="e">
        <f>SUMIFS([2]钥匙宝箱!$K:$K,[2]钥匙宝箱!$J:$J,G$1,[2]钥匙宝箱!$H:$H,$B30)</f>
        <v>#VALUE!</v>
      </c>
      <c r="H30" s="17" t="e">
        <f>SUMIFS([2]钥匙宝箱!$K:$K,[2]钥匙宝箱!$J:$J,H$1,[2]钥匙宝箱!$H:$H,$B30)</f>
        <v>#VALUE!</v>
      </c>
      <c r="I30" s="17" t="e">
        <f>SUMIFS([2]钥匙宝箱!$K:$K,[2]钥匙宝箱!$J:$J,I$1,[2]钥匙宝箱!$H:$H,$B30)</f>
        <v>#VALUE!</v>
      </c>
      <c r="J30" s="17" t="e">
        <f>SUMIFS([2]钥匙宝箱!$K:$K,[2]钥匙宝箱!$J:$J,J$1,[2]钥匙宝箱!$H:$H,$B30)</f>
        <v>#VALUE!</v>
      </c>
      <c r="K30" s="17" t="e">
        <f>SUMIFS([2]钥匙宝箱!$K:$K,[2]钥匙宝箱!$J:$J,K$1,[2]钥匙宝箱!$H:$H,$B30)</f>
        <v>#VALUE!</v>
      </c>
      <c r="L30" s="17" t="e">
        <f>SUMIFS([2]钥匙宝箱!$K:$K,[2]钥匙宝箱!$J:$J,L$1,[2]钥匙宝箱!$H:$H,$B30)</f>
        <v>#VALUE!</v>
      </c>
      <c r="M30" s="17" t="e">
        <f>SUMIFS([2]钥匙宝箱!$K:$K,[2]钥匙宝箱!$J:$J,M$1,[2]钥匙宝箱!$H:$H,$B30)</f>
        <v>#VALUE!</v>
      </c>
    </row>
    <row r="31" spans="2:13" x14ac:dyDescent="0.15">
      <c r="B31" t="s">
        <v>454</v>
      </c>
      <c r="C31" t="s">
        <v>504</v>
      </c>
      <c r="D31" s="17" t="e">
        <f>SUMIFS([2]钥匙宝箱!$K:$K,[2]钥匙宝箱!$J:$J,D$1,[2]钥匙宝箱!$H:$H,$B31)</f>
        <v>#VALUE!</v>
      </c>
      <c r="E31" s="17" t="e">
        <f>SUMIFS([2]钥匙宝箱!$K:$K,[2]钥匙宝箱!$J:$J,E$1,[2]钥匙宝箱!$H:$H,$B31)</f>
        <v>#VALUE!</v>
      </c>
      <c r="F31" s="17" t="e">
        <f>SUMIFS([2]钥匙宝箱!$K:$K,[2]钥匙宝箱!$J:$J,F$1,[2]钥匙宝箱!$H:$H,$B31)</f>
        <v>#VALUE!</v>
      </c>
      <c r="G31" s="17" t="e">
        <f>SUMIFS([2]钥匙宝箱!$K:$K,[2]钥匙宝箱!$J:$J,G$1,[2]钥匙宝箱!$H:$H,$B31)</f>
        <v>#VALUE!</v>
      </c>
      <c r="H31" s="17" t="e">
        <f>SUMIFS([2]钥匙宝箱!$K:$K,[2]钥匙宝箱!$J:$J,H$1,[2]钥匙宝箱!$H:$H,$B31)</f>
        <v>#VALUE!</v>
      </c>
      <c r="I31" s="17" t="e">
        <f>SUMIFS([2]钥匙宝箱!$K:$K,[2]钥匙宝箱!$J:$J,I$1,[2]钥匙宝箱!$H:$H,$B31)</f>
        <v>#VALUE!</v>
      </c>
      <c r="J31" s="17" t="e">
        <f>SUMIFS([2]钥匙宝箱!$K:$K,[2]钥匙宝箱!$J:$J,J$1,[2]钥匙宝箱!$H:$H,$B31)</f>
        <v>#VALUE!</v>
      </c>
      <c r="K31" s="17" t="e">
        <f>SUMIFS([2]钥匙宝箱!$K:$K,[2]钥匙宝箱!$J:$J,K$1,[2]钥匙宝箱!$H:$H,$B31)</f>
        <v>#VALUE!</v>
      </c>
      <c r="L31" s="17" t="e">
        <f>SUMIFS([2]钥匙宝箱!$K:$K,[2]钥匙宝箱!$J:$J,L$1,[2]钥匙宝箱!$H:$H,$B31)</f>
        <v>#VALUE!</v>
      </c>
      <c r="M31" s="17" t="e">
        <f>SUMIFS([2]钥匙宝箱!$K:$K,[2]钥匙宝箱!$J:$J,M$1,[2]钥匙宝箱!$H:$H,$B31)</f>
        <v>#VALUE!</v>
      </c>
    </row>
    <row r="32" spans="2:13" x14ac:dyDescent="0.15">
      <c r="B32" t="s">
        <v>455</v>
      </c>
      <c r="C32" t="s">
        <v>504</v>
      </c>
      <c r="D32" s="17" t="e">
        <f>SUMIFS([2]钥匙宝箱!$K:$K,[2]钥匙宝箱!$J:$J,D$1,[2]钥匙宝箱!$H:$H,$B32)</f>
        <v>#VALUE!</v>
      </c>
      <c r="E32" s="17" t="e">
        <f>SUMIFS([2]钥匙宝箱!$K:$K,[2]钥匙宝箱!$J:$J,E$1,[2]钥匙宝箱!$H:$H,$B32)</f>
        <v>#VALUE!</v>
      </c>
      <c r="F32" s="17" t="e">
        <f>SUMIFS([2]钥匙宝箱!$K:$K,[2]钥匙宝箱!$J:$J,F$1,[2]钥匙宝箱!$H:$H,$B32)</f>
        <v>#VALUE!</v>
      </c>
      <c r="G32" s="17" t="e">
        <f>SUMIFS([2]钥匙宝箱!$K:$K,[2]钥匙宝箱!$J:$J,G$1,[2]钥匙宝箱!$H:$H,$B32)</f>
        <v>#VALUE!</v>
      </c>
      <c r="H32" s="17" t="e">
        <f>SUMIFS([2]钥匙宝箱!$K:$K,[2]钥匙宝箱!$J:$J,H$1,[2]钥匙宝箱!$H:$H,$B32)</f>
        <v>#VALUE!</v>
      </c>
      <c r="I32" s="17" t="e">
        <f>SUMIFS([2]钥匙宝箱!$K:$K,[2]钥匙宝箱!$J:$J,I$1,[2]钥匙宝箱!$H:$H,$B32)</f>
        <v>#VALUE!</v>
      </c>
      <c r="J32" s="17" t="e">
        <f>SUMIFS([2]钥匙宝箱!$K:$K,[2]钥匙宝箱!$J:$J,J$1,[2]钥匙宝箱!$H:$H,$B32)</f>
        <v>#VALUE!</v>
      </c>
      <c r="K32" s="17" t="e">
        <f>SUMIFS([2]钥匙宝箱!$K:$K,[2]钥匙宝箱!$J:$J,K$1,[2]钥匙宝箱!$H:$H,$B32)</f>
        <v>#VALUE!</v>
      </c>
      <c r="L32" s="17" t="e">
        <f>SUMIFS([2]钥匙宝箱!$K:$K,[2]钥匙宝箱!$J:$J,L$1,[2]钥匙宝箱!$H:$H,$B32)</f>
        <v>#VALUE!</v>
      </c>
      <c r="M32" s="17" t="e">
        <f>SUMIFS([2]钥匙宝箱!$K:$K,[2]钥匙宝箱!$J:$J,M$1,[2]钥匙宝箱!$H:$H,$B32)</f>
        <v>#VALUE!</v>
      </c>
    </row>
    <row r="33" spans="2:13" x14ac:dyDescent="0.15">
      <c r="B33" t="s">
        <v>456</v>
      </c>
      <c r="C33" t="s">
        <v>504</v>
      </c>
      <c r="D33" s="17" t="e">
        <f>SUMIFS([2]钥匙宝箱!$K:$K,[2]钥匙宝箱!$J:$J,D$1,[2]钥匙宝箱!$H:$H,$B33)</f>
        <v>#VALUE!</v>
      </c>
      <c r="E33" s="17" t="e">
        <f>SUMIFS([2]钥匙宝箱!$K:$K,[2]钥匙宝箱!$J:$J,E$1,[2]钥匙宝箱!$H:$H,$B33)</f>
        <v>#VALUE!</v>
      </c>
      <c r="F33" s="17" t="e">
        <f>SUMIFS([2]钥匙宝箱!$K:$K,[2]钥匙宝箱!$J:$J,F$1,[2]钥匙宝箱!$H:$H,$B33)</f>
        <v>#VALUE!</v>
      </c>
      <c r="G33" s="17" t="e">
        <f>SUMIFS([2]钥匙宝箱!$K:$K,[2]钥匙宝箱!$J:$J,G$1,[2]钥匙宝箱!$H:$H,$B33)</f>
        <v>#VALUE!</v>
      </c>
      <c r="H33" s="17" t="e">
        <f>SUMIFS([2]钥匙宝箱!$K:$K,[2]钥匙宝箱!$J:$J,H$1,[2]钥匙宝箱!$H:$H,$B33)</f>
        <v>#VALUE!</v>
      </c>
      <c r="I33" s="17" t="e">
        <f>SUMIFS([2]钥匙宝箱!$K:$K,[2]钥匙宝箱!$J:$J,I$1,[2]钥匙宝箱!$H:$H,$B33)</f>
        <v>#VALUE!</v>
      </c>
      <c r="J33" s="17" t="e">
        <f>SUMIFS([2]钥匙宝箱!$K:$K,[2]钥匙宝箱!$J:$J,J$1,[2]钥匙宝箱!$H:$H,$B33)</f>
        <v>#VALUE!</v>
      </c>
      <c r="K33" s="17" t="e">
        <f>SUMIFS([2]钥匙宝箱!$K:$K,[2]钥匙宝箱!$J:$J,K$1,[2]钥匙宝箱!$H:$H,$B33)</f>
        <v>#VALUE!</v>
      </c>
      <c r="L33" s="17" t="e">
        <f>SUMIFS([2]钥匙宝箱!$K:$K,[2]钥匙宝箱!$J:$J,L$1,[2]钥匙宝箱!$H:$H,$B33)</f>
        <v>#VALUE!</v>
      </c>
      <c r="M33" s="17" t="e">
        <f>SUMIFS([2]钥匙宝箱!$K:$K,[2]钥匙宝箱!$J:$J,M$1,[2]钥匙宝箱!$H:$H,$B33)</f>
        <v>#VALUE!</v>
      </c>
    </row>
    <row r="34" spans="2:13" x14ac:dyDescent="0.15">
      <c r="B34" t="s">
        <v>457</v>
      </c>
      <c r="C34" t="s">
        <v>504</v>
      </c>
      <c r="D34" s="17" t="e">
        <f>SUMIFS([2]钥匙宝箱!$K:$K,[2]钥匙宝箱!$J:$J,D$1,[2]钥匙宝箱!$H:$H,$B34)</f>
        <v>#VALUE!</v>
      </c>
      <c r="E34" s="17" t="e">
        <f>SUMIFS([2]钥匙宝箱!$K:$K,[2]钥匙宝箱!$J:$J,E$1,[2]钥匙宝箱!$H:$H,$B34)</f>
        <v>#VALUE!</v>
      </c>
      <c r="F34" s="17" t="e">
        <f>SUMIFS([2]钥匙宝箱!$K:$K,[2]钥匙宝箱!$J:$J,F$1,[2]钥匙宝箱!$H:$H,$B34)</f>
        <v>#VALUE!</v>
      </c>
      <c r="G34" s="17" t="e">
        <f>SUMIFS([2]钥匙宝箱!$K:$K,[2]钥匙宝箱!$J:$J,G$1,[2]钥匙宝箱!$H:$H,$B34)</f>
        <v>#VALUE!</v>
      </c>
      <c r="H34" s="17" t="e">
        <f>SUMIFS([2]钥匙宝箱!$K:$K,[2]钥匙宝箱!$J:$J,H$1,[2]钥匙宝箱!$H:$H,$B34)</f>
        <v>#VALUE!</v>
      </c>
      <c r="I34" s="17" t="e">
        <f>SUMIFS([2]钥匙宝箱!$K:$K,[2]钥匙宝箱!$J:$J,I$1,[2]钥匙宝箱!$H:$H,$B34)</f>
        <v>#VALUE!</v>
      </c>
      <c r="J34" s="17" t="e">
        <f>SUMIFS([2]钥匙宝箱!$K:$K,[2]钥匙宝箱!$J:$J,J$1,[2]钥匙宝箱!$H:$H,$B34)</f>
        <v>#VALUE!</v>
      </c>
      <c r="K34" s="17" t="e">
        <f>SUMIFS([2]钥匙宝箱!$K:$K,[2]钥匙宝箱!$J:$J,K$1,[2]钥匙宝箱!$H:$H,$B34)</f>
        <v>#VALUE!</v>
      </c>
      <c r="L34" s="17" t="e">
        <f>SUMIFS([2]钥匙宝箱!$K:$K,[2]钥匙宝箱!$J:$J,L$1,[2]钥匙宝箱!$H:$H,$B34)</f>
        <v>#VALUE!</v>
      </c>
      <c r="M34" s="17" t="e">
        <f>SUMIFS([2]钥匙宝箱!$K:$K,[2]钥匙宝箱!$J:$J,M$1,[2]钥匙宝箱!$H:$H,$B34)</f>
        <v>#VALUE!</v>
      </c>
    </row>
    <row r="35" spans="2:13" x14ac:dyDescent="0.15">
      <c r="B35" t="s">
        <v>458</v>
      </c>
      <c r="C35" t="s">
        <v>504</v>
      </c>
      <c r="D35" s="17" t="e">
        <f>SUMIFS([2]钥匙宝箱!$K:$K,[2]钥匙宝箱!$J:$J,D$1,[2]钥匙宝箱!$H:$H,$B35)</f>
        <v>#VALUE!</v>
      </c>
      <c r="E35" s="17" t="e">
        <f>SUMIFS([2]钥匙宝箱!$K:$K,[2]钥匙宝箱!$J:$J,E$1,[2]钥匙宝箱!$H:$H,$B35)</f>
        <v>#VALUE!</v>
      </c>
      <c r="F35" s="17" t="e">
        <f>SUMIFS([2]钥匙宝箱!$K:$K,[2]钥匙宝箱!$J:$J,F$1,[2]钥匙宝箱!$H:$H,$B35)</f>
        <v>#VALUE!</v>
      </c>
      <c r="G35" s="17" t="e">
        <f>SUMIFS([2]钥匙宝箱!$K:$K,[2]钥匙宝箱!$J:$J,G$1,[2]钥匙宝箱!$H:$H,$B35)</f>
        <v>#VALUE!</v>
      </c>
      <c r="H35" s="17" t="e">
        <f>SUMIFS([2]钥匙宝箱!$K:$K,[2]钥匙宝箱!$J:$J,H$1,[2]钥匙宝箱!$H:$H,$B35)</f>
        <v>#VALUE!</v>
      </c>
      <c r="I35" s="17" t="e">
        <f>SUMIFS([2]钥匙宝箱!$K:$K,[2]钥匙宝箱!$J:$J,I$1,[2]钥匙宝箱!$H:$H,$B35)</f>
        <v>#VALUE!</v>
      </c>
      <c r="J35" s="17" t="e">
        <f>SUMIFS([2]钥匙宝箱!$K:$K,[2]钥匙宝箱!$J:$J,J$1,[2]钥匙宝箱!$H:$H,$B35)</f>
        <v>#VALUE!</v>
      </c>
      <c r="K35" s="17" t="e">
        <f>SUMIFS([2]钥匙宝箱!$K:$K,[2]钥匙宝箱!$J:$J,K$1,[2]钥匙宝箱!$H:$H,$B35)</f>
        <v>#VALUE!</v>
      </c>
      <c r="L35" s="17" t="e">
        <f>SUMIFS([2]钥匙宝箱!$K:$K,[2]钥匙宝箱!$J:$J,L$1,[2]钥匙宝箱!$H:$H,$B35)</f>
        <v>#VALUE!</v>
      </c>
      <c r="M35" s="17" t="e">
        <f>SUMIFS([2]钥匙宝箱!$K:$K,[2]钥匙宝箱!$J:$J,M$1,[2]钥匙宝箱!$H:$H,$B35)</f>
        <v>#VALUE!</v>
      </c>
    </row>
    <row r="36" spans="2:13" x14ac:dyDescent="0.15">
      <c r="B36" t="s">
        <v>459</v>
      </c>
      <c r="C36" t="s">
        <v>504</v>
      </c>
      <c r="D36" s="17" t="e">
        <f>SUMIFS([2]钥匙宝箱!$K:$K,[2]钥匙宝箱!$J:$J,D$1,[2]钥匙宝箱!$H:$H,$B36)</f>
        <v>#VALUE!</v>
      </c>
      <c r="E36" s="17" t="e">
        <f>SUMIFS([2]钥匙宝箱!$K:$K,[2]钥匙宝箱!$J:$J,E$1,[2]钥匙宝箱!$H:$H,$B36)</f>
        <v>#VALUE!</v>
      </c>
      <c r="F36" s="17" t="e">
        <f>SUMIFS([2]钥匙宝箱!$K:$K,[2]钥匙宝箱!$J:$J,F$1,[2]钥匙宝箱!$H:$H,$B36)</f>
        <v>#VALUE!</v>
      </c>
      <c r="G36" s="17" t="e">
        <f>SUMIFS([2]钥匙宝箱!$K:$K,[2]钥匙宝箱!$J:$J,G$1,[2]钥匙宝箱!$H:$H,$B36)</f>
        <v>#VALUE!</v>
      </c>
      <c r="H36" s="17" t="e">
        <f>SUMIFS([2]钥匙宝箱!$K:$K,[2]钥匙宝箱!$J:$J,H$1,[2]钥匙宝箱!$H:$H,$B36)</f>
        <v>#VALUE!</v>
      </c>
      <c r="I36" s="17" t="e">
        <f>SUMIFS([2]钥匙宝箱!$K:$K,[2]钥匙宝箱!$J:$J,I$1,[2]钥匙宝箱!$H:$H,$B36)</f>
        <v>#VALUE!</v>
      </c>
      <c r="J36" s="17" t="e">
        <f>SUMIFS([2]钥匙宝箱!$K:$K,[2]钥匙宝箱!$J:$J,J$1,[2]钥匙宝箱!$H:$H,$B36)</f>
        <v>#VALUE!</v>
      </c>
      <c r="K36" s="17" t="e">
        <f>SUMIFS([2]钥匙宝箱!$K:$K,[2]钥匙宝箱!$J:$J,K$1,[2]钥匙宝箱!$H:$H,$B36)</f>
        <v>#VALUE!</v>
      </c>
      <c r="L36" s="17" t="e">
        <f>SUMIFS([2]钥匙宝箱!$K:$K,[2]钥匙宝箱!$J:$J,L$1,[2]钥匙宝箱!$H:$H,$B36)</f>
        <v>#VALUE!</v>
      </c>
      <c r="M36" s="17" t="e">
        <f>SUMIFS([2]钥匙宝箱!$K:$K,[2]钥匙宝箱!$J:$J,M$1,[2]钥匙宝箱!$H:$H,$B36)</f>
        <v>#VALUE!</v>
      </c>
    </row>
    <row r="37" spans="2:13" x14ac:dyDescent="0.15">
      <c r="B37" t="s">
        <v>460</v>
      </c>
      <c r="C37" t="s">
        <v>504</v>
      </c>
      <c r="D37" s="17" t="e">
        <f>SUMIFS([2]钥匙宝箱!$K:$K,[2]钥匙宝箱!$J:$J,D$1,[2]钥匙宝箱!$H:$H,$B37)</f>
        <v>#VALUE!</v>
      </c>
      <c r="E37" s="17" t="e">
        <f>SUMIFS([2]钥匙宝箱!$K:$K,[2]钥匙宝箱!$J:$J,E$1,[2]钥匙宝箱!$H:$H,$B37)</f>
        <v>#VALUE!</v>
      </c>
      <c r="F37" s="17" t="e">
        <f>SUMIFS([2]钥匙宝箱!$K:$K,[2]钥匙宝箱!$J:$J,F$1,[2]钥匙宝箱!$H:$H,$B37)</f>
        <v>#VALUE!</v>
      </c>
      <c r="G37" s="17" t="e">
        <f>SUMIFS([2]钥匙宝箱!$K:$K,[2]钥匙宝箱!$J:$J,G$1,[2]钥匙宝箱!$H:$H,$B37)</f>
        <v>#VALUE!</v>
      </c>
      <c r="H37" s="17" t="e">
        <f>SUMIFS([2]钥匙宝箱!$K:$K,[2]钥匙宝箱!$J:$J,H$1,[2]钥匙宝箱!$H:$H,$B37)</f>
        <v>#VALUE!</v>
      </c>
      <c r="I37" s="17" t="e">
        <f>SUMIFS([2]钥匙宝箱!$K:$K,[2]钥匙宝箱!$J:$J,I$1,[2]钥匙宝箱!$H:$H,$B37)</f>
        <v>#VALUE!</v>
      </c>
      <c r="J37" s="17" t="e">
        <f>SUMIFS([2]钥匙宝箱!$K:$K,[2]钥匙宝箱!$J:$J,J$1,[2]钥匙宝箱!$H:$H,$B37)</f>
        <v>#VALUE!</v>
      </c>
      <c r="K37" s="17" t="e">
        <f>SUMIFS([2]钥匙宝箱!$K:$K,[2]钥匙宝箱!$J:$J,K$1,[2]钥匙宝箱!$H:$H,$B37)</f>
        <v>#VALUE!</v>
      </c>
      <c r="L37" s="17" t="e">
        <f>SUMIFS([2]钥匙宝箱!$K:$K,[2]钥匙宝箱!$J:$J,L$1,[2]钥匙宝箱!$H:$H,$B37)</f>
        <v>#VALUE!</v>
      </c>
      <c r="M37" s="17" t="e">
        <f>SUMIFS([2]钥匙宝箱!$K:$K,[2]钥匙宝箱!$J:$J,M$1,[2]钥匙宝箱!$H:$H,$B37)</f>
        <v>#VALUE!</v>
      </c>
    </row>
    <row r="38" spans="2:13" x14ac:dyDescent="0.15">
      <c r="B38" t="s">
        <v>461</v>
      </c>
      <c r="C38" t="s">
        <v>504</v>
      </c>
      <c r="D38" s="17" t="e">
        <f>SUMIFS([2]钥匙宝箱!$K:$K,[2]钥匙宝箱!$J:$J,D$1,[2]钥匙宝箱!$H:$H,$B38)</f>
        <v>#VALUE!</v>
      </c>
      <c r="E38" s="17" t="e">
        <f>SUMIFS([2]钥匙宝箱!$K:$K,[2]钥匙宝箱!$J:$J,E$1,[2]钥匙宝箱!$H:$H,$B38)</f>
        <v>#VALUE!</v>
      </c>
      <c r="F38" s="17" t="e">
        <f>SUMIFS([2]钥匙宝箱!$K:$K,[2]钥匙宝箱!$J:$J,F$1,[2]钥匙宝箱!$H:$H,$B38)</f>
        <v>#VALUE!</v>
      </c>
      <c r="G38" s="17" t="e">
        <f>SUMIFS([2]钥匙宝箱!$K:$K,[2]钥匙宝箱!$J:$J,G$1,[2]钥匙宝箱!$H:$H,$B38)</f>
        <v>#VALUE!</v>
      </c>
      <c r="H38" s="17" t="e">
        <f>SUMIFS([2]钥匙宝箱!$K:$K,[2]钥匙宝箱!$J:$J,H$1,[2]钥匙宝箱!$H:$H,$B38)</f>
        <v>#VALUE!</v>
      </c>
      <c r="I38" s="17" t="e">
        <f>SUMIFS([2]钥匙宝箱!$K:$K,[2]钥匙宝箱!$J:$J,I$1,[2]钥匙宝箱!$H:$H,$B38)</f>
        <v>#VALUE!</v>
      </c>
      <c r="J38" s="17" t="e">
        <f>SUMIFS([2]钥匙宝箱!$K:$K,[2]钥匙宝箱!$J:$J,J$1,[2]钥匙宝箱!$H:$H,$B38)</f>
        <v>#VALUE!</v>
      </c>
      <c r="K38" s="17" t="e">
        <f>SUMIFS([2]钥匙宝箱!$K:$K,[2]钥匙宝箱!$J:$J,K$1,[2]钥匙宝箱!$H:$H,$B38)</f>
        <v>#VALUE!</v>
      </c>
      <c r="L38" s="17" t="e">
        <f>SUMIFS([2]钥匙宝箱!$K:$K,[2]钥匙宝箱!$J:$J,L$1,[2]钥匙宝箱!$H:$H,$B38)</f>
        <v>#VALUE!</v>
      </c>
      <c r="M38" s="17" t="e">
        <f>SUMIFS([2]钥匙宝箱!$K:$K,[2]钥匙宝箱!$J:$J,M$1,[2]钥匙宝箱!$H:$H,$B38)</f>
        <v>#VALUE!</v>
      </c>
    </row>
    <row r="39" spans="2:13" x14ac:dyDescent="0.15">
      <c r="B39" t="s">
        <v>462</v>
      </c>
      <c r="C39" t="s">
        <v>504</v>
      </c>
      <c r="D39" s="17" t="e">
        <f>SUMIFS([2]钥匙宝箱!$K:$K,[2]钥匙宝箱!$J:$J,D$1,[2]钥匙宝箱!$H:$H,$B39)</f>
        <v>#VALUE!</v>
      </c>
      <c r="E39" s="17" t="e">
        <f>SUMIFS([2]钥匙宝箱!$K:$K,[2]钥匙宝箱!$J:$J,E$1,[2]钥匙宝箱!$H:$H,$B39)</f>
        <v>#VALUE!</v>
      </c>
      <c r="F39" s="17" t="e">
        <f>SUMIFS([2]钥匙宝箱!$K:$K,[2]钥匙宝箱!$J:$J,F$1,[2]钥匙宝箱!$H:$H,$B39)</f>
        <v>#VALUE!</v>
      </c>
      <c r="G39" s="17" t="e">
        <f>SUMIFS([2]钥匙宝箱!$K:$K,[2]钥匙宝箱!$J:$J,G$1,[2]钥匙宝箱!$H:$H,$B39)</f>
        <v>#VALUE!</v>
      </c>
      <c r="H39" s="17" t="e">
        <f>SUMIFS([2]钥匙宝箱!$K:$K,[2]钥匙宝箱!$J:$J,H$1,[2]钥匙宝箱!$H:$H,$B39)</f>
        <v>#VALUE!</v>
      </c>
      <c r="I39" s="17" t="e">
        <f>SUMIFS([2]钥匙宝箱!$K:$K,[2]钥匙宝箱!$J:$J,I$1,[2]钥匙宝箱!$H:$H,$B39)</f>
        <v>#VALUE!</v>
      </c>
      <c r="J39" s="17" t="e">
        <f>SUMIFS([2]钥匙宝箱!$K:$K,[2]钥匙宝箱!$J:$J,J$1,[2]钥匙宝箱!$H:$H,$B39)</f>
        <v>#VALUE!</v>
      </c>
      <c r="K39" s="17" t="e">
        <f>SUMIFS([2]钥匙宝箱!$K:$K,[2]钥匙宝箱!$J:$J,K$1,[2]钥匙宝箱!$H:$H,$B39)</f>
        <v>#VALUE!</v>
      </c>
      <c r="L39" s="17" t="e">
        <f>SUMIFS([2]钥匙宝箱!$K:$K,[2]钥匙宝箱!$J:$J,L$1,[2]钥匙宝箱!$H:$H,$B39)</f>
        <v>#VALUE!</v>
      </c>
      <c r="M39" s="17" t="e">
        <f>SUMIFS([2]钥匙宝箱!$K:$K,[2]钥匙宝箱!$J:$J,M$1,[2]钥匙宝箱!$H:$H,$B39)</f>
        <v>#VALUE!</v>
      </c>
    </row>
    <row r="40" spans="2:13" x14ac:dyDescent="0.15">
      <c r="B40" t="s">
        <v>463</v>
      </c>
      <c r="C40" t="s">
        <v>504</v>
      </c>
      <c r="D40" s="17" t="e">
        <f>SUMIFS([2]钥匙宝箱!$K:$K,[2]钥匙宝箱!$J:$J,D$1,[2]钥匙宝箱!$H:$H,$B40)</f>
        <v>#VALUE!</v>
      </c>
      <c r="E40" s="17" t="e">
        <f>SUMIFS([2]钥匙宝箱!$K:$K,[2]钥匙宝箱!$J:$J,E$1,[2]钥匙宝箱!$H:$H,$B40)</f>
        <v>#VALUE!</v>
      </c>
      <c r="F40" s="17" t="e">
        <f>SUMIFS([2]钥匙宝箱!$K:$K,[2]钥匙宝箱!$J:$J,F$1,[2]钥匙宝箱!$H:$H,$B40)</f>
        <v>#VALUE!</v>
      </c>
      <c r="G40" s="17" t="e">
        <f>SUMIFS([2]钥匙宝箱!$K:$K,[2]钥匙宝箱!$J:$J,G$1,[2]钥匙宝箱!$H:$H,$B40)</f>
        <v>#VALUE!</v>
      </c>
      <c r="H40" s="17" t="e">
        <f>SUMIFS([2]钥匙宝箱!$K:$K,[2]钥匙宝箱!$J:$J,H$1,[2]钥匙宝箱!$H:$H,$B40)</f>
        <v>#VALUE!</v>
      </c>
      <c r="I40" s="17" t="e">
        <f>SUMIFS([2]钥匙宝箱!$K:$K,[2]钥匙宝箱!$J:$J,I$1,[2]钥匙宝箱!$H:$H,$B40)</f>
        <v>#VALUE!</v>
      </c>
      <c r="J40" s="17" t="e">
        <f>SUMIFS([2]钥匙宝箱!$K:$K,[2]钥匙宝箱!$J:$J,J$1,[2]钥匙宝箱!$H:$H,$B40)</f>
        <v>#VALUE!</v>
      </c>
      <c r="K40" s="17" t="e">
        <f>SUMIFS([2]钥匙宝箱!$K:$K,[2]钥匙宝箱!$J:$J,K$1,[2]钥匙宝箱!$H:$H,$B40)</f>
        <v>#VALUE!</v>
      </c>
      <c r="L40" s="17" t="e">
        <f>SUMIFS([2]钥匙宝箱!$K:$K,[2]钥匙宝箱!$J:$J,L$1,[2]钥匙宝箱!$H:$H,$B40)</f>
        <v>#VALUE!</v>
      </c>
      <c r="M40" s="17" t="e">
        <f>SUMIFS([2]钥匙宝箱!$K:$K,[2]钥匙宝箱!$J:$J,M$1,[2]钥匙宝箱!$H:$H,$B40)</f>
        <v>#VALUE!</v>
      </c>
    </row>
    <row r="41" spans="2:13" x14ac:dyDescent="0.15">
      <c r="B41" t="s">
        <v>464</v>
      </c>
      <c r="C41" t="s">
        <v>504</v>
      </c>
      <c r="D41" s="17" t="e">
        <f>SUMIFS([2]钥匙宝箱!$K:$K,[2]钥匙宝箱!$J:$J,D$1,[2]钥匙宝箱!$H:$H,$B41)</f>
        <v>#VALUE!</v>
      </c>
      <c r="E41" s="17" t="e">
        <f>SUMIFS([2]钥匙宝箱!$K:$K,[2]钥匙宝箱!$J:$J,E$1,[2]钥匙宝箱!$H:$H,$B41)</f>
        <v>#VALUE!</v>
      </c>
      <c r="F41" s="17" t="e">
        <f>SUMIFS([2]钥匙宝箱!$K:$K,[2]钥匙宝箱!$J:$J,F$1,[2]钥匙宝箱!$H:$H,$B41)</f>
        <v>#VALUE!</v>
      </c>
      <c r="G41" s="17" t="e">
        <f>SUMIFS([2]钥匙宝箱!$K:$K,[2]钥匙宝箱!$J:$J,G$1,[2]钥匙宝箱!$H:$H,$B41)</f>
        <v>#VALUE!</v>
      </c>
      <c r="H41" s="17" t="e">
        <f>SUMIFS([2]钥匙宝箱!$K:$K,[2]钥匙宝箱!$J:$J,H$1,[2]钥匙宝箱!$H:$H,$B41)</f>
        <v>#VALUE!</v>
      </c>
      <c r="I41" s="17" t="e">
        <f>SUMIFS([2]钥匙宝箱!$K:$K,[2]钥匙宝箱!$J:$J,I$1,[2]钥匙宝箱!$H:$H,$B41)</f>
        <v>#VALUE!</v>
      </c>
      <c r="J41" s="17" t="e">
        <f>SUMIFS([2]钥匙宝箱!$K:$K,[2]钥匙宝箱!$J:$J,J$1,[2]钥匙宝箱!$H:$H,$B41)</f>
        <v>#VALUE!</v>
      </c>
      <c r="K41" s="17" t="e">
        <f>SUMIFS([2]钥匙宝箱!$K:$K,[2]钥匙宝箱!$J:$J,K$1,[2]钥匙宝箱!$H:$H,$B41)</f>
        <v>#VALUE!</v>
      </c>
      <c r="L41" s="17" t="e">
        <f>SUMIFS([2]钥匙宝箱!$K:$K,[2]钥匙宝箱!$J:$J,L$1,[2]钥匙宝箱!$H:$H,$B41)</f>
        <v>#VALUE!</v>
      </c>
      <c r="M41" s="17" t="e">
        <f>SUMIFS([2]钥匙宝箱!$K:$K,[2]钥匙宝箱!$J:$J,M$1,[2]钥匙宝箱!$H:$H,$B41)</f>
        <v>#VALUE!</v>
      </c>
    </row>
    <row r="42" spans="2:13" x14ac:dyDescent="0.15">
      <c r="B42" t="s">
        <v>465</v>
      </c>
      <c r="C42" t="s">
        <v>504</v>
      </c>
      <c r="D42" s="17" t="e">
        <f>SUMIFS([2]钥匙宝箱!$K:$K,[2]钥匙宝箱!$J:$J,D$1,[2]钥匙宝箱!$H:$H,$B42)</f>
        <v>#VALUE!</v>
      </c>
      <c r="E42" s="17" t="e">
        <f>SUMIFS([2]钥匙宝箱!$K:$K,[2]钥匙宝箱!$J:$J,E$1,[2]钥匙宝箱!$H:$H,$B42)</f>
        <v>#VALUE!</v>
      </c>
      <c r="F42" s="17" t="e">
        <f>SUMIFS([2]钥匙宝箱!$K:$K,[2]钥匙宝箱!$J:$J,F$1,[2]钥匙宝箱!$H:$H,$B42)</f>
        <v>#VALUE!</v>
      </c>
      <c r="G42" s="17" t="e">
        <f>SUMIFS([2]钥匙宝箱!$K:$K,[2]钥匙宝箱!$J:$J,G$1,[2]钥匙宝箱!$H:$H,$B42)</f>
        <v>#VALUE!</v>
      </c>
      <c r="H42" s="17" t="e">
        <f>SUMIFS([2]钥匙宝箱!$K:$K,[2]钥匙宝箱!$J:$J,H$1,[2]钥匙宝箱!$H:$H,$B42)</f>
        <v>#VALUE!</v>
      </c>
      <c r="I42" s="17" t="e">
        <f>SUMIFS([2]钥匙宝箱!$K:$K,[2]钥匙宝箱!$J:$J,I$1,[2]钥匙宝箱!$H:$H,$B42)</f>
        <v>#VALUE!</v>
      </c>
      <c r="J42" s="17" t="e">
        <f>SUMIFS([2]钥匙宝箱!$K:$K,[2]钥匙宝箱!$J:$J,J$1,[2]钥匙宝箱!$H:$H,$B42)</f>
        <v>#VALUE!</v>
      </c>
      <c r="K42" s="17" t="e">
        <f>SUMIFS([2]钥匙宝箱!$K:$K,[2]钥匙宝箱!$J:$J,K$1,[2]钥匙宝箱!$H:$H,$B42)</f>
        <v>#VALUE!</v>
      </c>
      <c r="L42" s="17" t="e">
        <f>SUMIFS([2]钥匙宝箱!$K:$K,[2]钥匙宝箱!$J:$J,L$1,[2]钥匙宝箱!$H:$H,$B42)</f>
        <v>#VALUE!</v>
      </c>
      <c r="M42" s="17" t="e">
        <f>SUMIFS([2]钥匙宝箱!$K:$K,[2]钥匙宝箱!$J:$J,M$1,[2]钥匙宝箱!$H:$H,$B42)</f>
        <v>#VALUE!</v>
      </c>
    </row>
    <row r="43" spans="2:13" x14ac:dyDescent="0.15">
      <c r="B43" t="s">
        <v>466</v>
      </c>
      <c r="C43" t="s">
        <v>504</v>
      </c>
      <c r="D43" s="17" t="e">
        <f>SUMIFS([2]钥匙宝箱!$K:$K,[2]钥匙宝箱!$J:$J,D$1,[2]钥匙宝箱!$H:$H,$B43)</f>
        <v>#VALUE!</v>
      </c>
      <c r="E43" s="17" t="e">
        <f>SUMIFS([2]钥匙宝箱!$K:$K,[2]钥匙宝箱!$J:$J,E$1,[2]钥匙宝箱!$H:$H,$B43)</f>
        <v>#VALUE!</v>
      </c>
      <c r="F43" s="17" t="e">
        <f>SUMIFS([2]钥匙宝箱!$K:$K,[2]钥匙宝箱!$J:$J,F$1,[2]钥匙宝箱!$H:$H,$B43)</f>
        <v>#VALUE!</v>
      </c>
      <c r="G43" s="17" t="e">
        <f>SUMIFS([2]钥匙宝箱!$K:$K,[2]钥匙宝箱!$J:$J,G$1,[2]钥匙宝箱!$H:$H,$B43)</f>
        <v>#VALUE!</v>
      </c>
      <c r="H43" s="17" t="e">
        <f>SUMIFS([2]钥匙宝箱!$K:$K,[2]钥匙宝箱!$J:$J,H$1,[2]钥匙宝箱!$H:$H,$B43)</f>
        <v>#VALUE!</v>
      </c>
      <c r="I43" s="17" t="e">
        <f>SUMIFS([2]钥匙宝箱!$K:$K,[2]钥匙宝箱!$J:$J,I$1,[2]钥匙宝箱!$H:$H,$B43)</f>
        <v>#VALUE!</v>
      </c>
      <c r="J43" s="17" t="e">
        <f>SUMIFS([2]钥匙宝箱!$K:$K,[2]钥匙宝箱!$J:$J,J$1,[2]钥匙宝箱!$H:$H,$B43)</f>
        <v>#VALUE!</v>
      </c>
      <c r="K43" s="17" t="e">
        <f>SUMIFS([2]钥匙宝箱!$K:$K,[2]钥匙宝箱!$J:$J,K$1,[2]钥匙宝箱!$H:$H,$B43)</f>
        <v>#VALUE!</v>
      </c>
      <c r="L43" s="17" t="e">
        <f>SUMIFS([2]钥匙宝箱!$K:$K,[2]钥匙宝箱!$J:$J,L$1,[2]钥匙宝箱!$H:$H,$B43)</f>
        <v>#VALUE!</v>
      </c>
      <c r="M43" s="17" t="e">
        <f>SUMIFS([2]钥匙宝箱!$K:$K,[2]钥匙宝箱!$J:$J,M$1,[2]钥匙宝箱!$H:$H,$B43)</f>
        <v>#VALUE!</v>
      </c>
    </row>
    <row r="44" spans="2:13" x14ac:dyDescent="0.15">
      <c r="B44" t="s">
        <v>467</v>
      </c>
      <c r="C44" t="s">
        <v>504</v>
      </c>
      <c r="D44" s="17" t="e">
        <f>SUMIFS([2]钥匙宝箱!$K:$K,[2]钥匙宝箱!$J:$J,D$1,[2]钥匙宝箱!$H:$H,$B44)</f>
        <v>#VALUE!</v>
      </c>
      <c r="E44" s="17" t="e">
        <f>SUMIFS([2]钥匙宝箱!$K:$K,[2]钥匙宝箱!$J:$J,E$1,[2]钥匙宝箱!$H:$H,$B44)</f>
        <v>#VALUE!</v>
      </c>
      <c r="F44" s="17" t="e">
        <f>SUMIFS([2]钥匙宝箱!$K:$K,[2]钥匙宝箱!$J:$J,F$1,[2]钥匙宝箱!$H:$H,$B44)</f>
        <v>#VALUE!</v>
      </c>
      <c r="G44" s="17" t="e">
        <f>SUMIFS([2]钥匙宝箱!$K:$K,[2]钥匙宝箱!$J:$J,G$1,[2]钥匙宝箱!$H:$H,$B44)</f>
        <v>#VALUE!</v>
      </c>
      <c r="H44" s="17" t="e">
        <f>SUMIFS([2]钥匙宝箱!$K:$K,[2]钥匙宝箱!$J:$J,H$1,[2]钥匙宝箱!$H:$H,$B44)</f>
        <v>#VALUE!</v>
      </c>
      <c r="I44" s="17" t="e">
        <f>SUMIFS([2]钥匙宝箱!$K:$K,[2]钥匙宝箱!$J:$J,I$1,[2]钥匙宝箱!$H:$H,$B44)</f>
        <v>#VALUE!</v>
      </c>
      <c r="J44" s="17" t="e">
        <f>SUMIFS([2]钥匙宝箱!$K:$K,[2]钥匙宝箱!$J:$J,J$1,[2]钥匙宝箱!$H:$H,$B44)</f>
        <v>#VALUE!</v>
      </c>
      <c r="K44" s="17" t="e">
        <f>SUMIFS([2]钥匙宝箱!$K:$K,[2]钥匙宝箱!$J:$J,K$1,[2]钥匙宝箱!$H:$H,$B44)</f>
        <v>#VALUE!</v>
      </c>
      <c r="L44" s="17" t="e">
        <f>SUMIFS([2]钥匙宝箱!$K:$K,[2]钥匙宝箱!$J:$J,L$1,[2]钥匙宝箱!$H:$H,$B44)</f>
        <v>#VALUE!</v>
      </c>
      <c r="M44" s="17" t="e">
        <f>SUMIFS([2]钥匙宝箱!$K:$K,[2]钥匙宝箱!$J:$J,M$1,[2]钥匙宝箱!$H:$H,$B44)</f>
        <v>#VALUE!</v>
      </c>
    </row>
    <row r="45" spans="2:13" x14ac:dyDescent="0.15">
      <c r="B45" t="s">
        <v>468</v>
      </c>
      <c r="C45" t="s">
        <v>504</v>
      </c>
      <c r="D45" s="17" t="e">
        <f>SUMIFS([2]钥匙宝箱!$K:$K,[2]钥匙宝箱!$J:$J,D$1,[2]钥匙宝箱!$H:$H,$B45)</f>
        <v>#VALUE!</v>
      </c>
      <c r="E45" s="17" t="e">
        <f>SUMIFS([2]钥匙宝箱!$K:$K,[2]钥匙宝箱!$J:$J,E$1,[2]钥匙宝箱!$H:$H,$B45)</f>
        <v>#VALUE!</v>
      </c>
      <c r="F45" s="17" t="e">
        <f>SUMIFS([2]钥匙宝箱!$K:$K,[2]钥匙宝箱!$J:$J,F$1,[2]钥匙宝箱!$H:$H,$B45)</f>
        <v>#VALUE!</v>
      </c>
      <c r="G45" s="17" t="e">
        <f>SUMIFS([2]钥匙宝箱!$K:$K,[2]钥匙宝箱!$J:$J,G$1,[2]钥匙宝箱!$H:$H,$B45)</f>
        <v>#VALUE!</v>
      </c>
      <c r="H45" s="17" t="e">
        <f>SUMIFS([2]钥匙宝箱!$K:$K,[2]钥匙宝箱!$J:$J,H$1,[2]钥匙宝箱!$H:$H,$B45)</f>
        <v>#VALUE!</v>
      </c>
      <c r="I45" s="17" t="e">
        <f>SUMIFS([2]钥匙宝箱!$K:$K,[2]钥匙宝箱!$J:$J,I$1,[2]钥匙宝箱!$H:$H,$B45)</f>
        <v>#VALUE!</v>
      </c>
      <c r="J45" s="17" t="e">
        <f>SUMIFS([2]钥匙宝箱!$K:$K,[2]钥匙宝箱!$J:$J,J$1,[2]钥匙宝箱!$H:$H,$B45)</f>
        <v>#VALUE!</v>
      </c>
      <c r="K45" s="17" t="e">
        <f>SUMIFS([2]钥匙宝箱!$K:$K,[2]钥匙宝箱!$J:$J,K$1,[2]钥匙宝箱!$H:$H,$B45)</f>
        <v>#VALUE!</v>
      </c>
      <c r="L45" s="17" t="e">
        <f>SUMIFS([2]钥匙宝箱!$K:$K,[2]钥匙宝箱!$J:$J,L$1,[2]钥匙宝箱!$H:$H,$B45)</f>
        <v>#VALUE!</v>
      </c>
      <c r="M45" s="17" t="e">
        <f>SUMIFS([2]钥匙宝箱!$K:$K,[2]钥匙宝箱!$J:$J,M$1,[2]钥匙宝箱!$H:$H,$B45)</f>
        <v>#VALUE!</v>
      </c>
    </row>
    <row r="46" spans="2:13" x14ac:dyDescent="0.15">
      <c r="B46" t="s">
        <v>469</v>
      </c>
      <c r="C46" t="s">
        <v>504</v>
      </c>
      <c r="D46" s="17" t="e">
        <f>SUMIFS([2]钥匙宝箱!$K:$K,[2]钥匙宝箱!$J:$J,D$1,[2]钥匙宝箱!$H:$H,$B46)</f>
        <v>#VALUE!</v>
      </c>
      <c r="E46" s="17" t="e">
        <f>SUMIFS([2]钥匙宝箱!$K:$K,[2]钥匙宝箱!$J:$J,E$1,[2]钥匙宝箱!$H:$H,$B46)</f>
        <v>#VALUE!</v>
      </c>
      <c r="F46" s="17" t="e">
        <f>SUMIFS([2]钥匙宝箱!$K:$K,[2]钥匙宝箱!$J:$J,F$1,[2]钥匙宝箱!$H:$H,$B46)</f>
        <v>#VALUE!</v>
      </c>
      <c r="G46" s="17" t="e">
        <f>SUMIFS([2]钥匙宝箱!$K:$K,[2]钥匙宝箱!$J:$J,G$1,[2]钥匙宝箱!$H:$H,$B46)</f>
        <v>#VALUE!</v>
      </c>
      <c r="H46" s="17" t="e">
        <f>SUMIFS([2]钥匙宝箱!$K:$K,[2]钥匙宝箱!$J:$J,H$1,[2]钥匙宝箱!$H:$H,$B46)</f>
        <v>#VALUE!</v>
      </c>
      <c r="I46" s="17" t="e">
        <f>SUMIFS([2]钥匙宝箱!$K:$K,[2]钥匙宝箱!$J:$J,I$1,[2]钥匙宝箱!$H:$H,$B46)</f>
        <v>#VALUE!</v>
      </c>
      <c r="J46" s="17" t="e">
        <f>SUMIFS([2]钥匙宝箱!$K:$K,[2]钥匙宝箱!$J:$J,J$1,[2]钥匙宝箱!$H:$H,$B46)</f>
        <v>#VALUE!</v>
      </c>
      <c r="K46" s="17" t="e">
        <f>SUMIFS([2]钥匙宝箱!$K:$K,[2]钥匙宝箱!$J:$J,K$1,[2]钥匙宝箱!$H:$H,$B46)</f>
        <v>#VALUE!</v>
      </c>
      <c r="L46" s="17" t="e">
        <f>SUMIFS([2]钥匙宝箱!$K:$K,[2]钥匙宝箱!$J:$J,L$1,[2]钥匙宝箱!$H:$H,$B46)</f>
        <v>#VALUE!</v>
      </c>
      <c r="M46" s="17" t="e">
        <f>SUMIFS([2]钥匙宝箱!$K:$K,[2]钥匙宝箱!$J:$J,M$1,[2]钥匙宝箱!$H:$H,$B46)</f>
        <v>#VALUE!</v>
      </c>
    </row>
    <row r="47" spans="2:13" x14ac:dyDescent="0.15">
      <c r="B47" t="s">
        <v>471</v>
      </c>
      <c r="C47" t="s">
        <v>505</v>
      </c>
      <c r="D47" s="17" t="e">
        <f>SUMIFS([2]钥匙宝箱!$K:$K,[2]钥匙宝箱!$J:$J,D$1,[2]钥匙宝箱!$H:$H,$B47)</f>
        <v>#VALUE!</v>
      </c>
      <c r="E47" s="17" t="e">
        <f>SUMIFS([2]钥匙宝箱!$K:$K,[2]钥匙宝箱!$J:$J,E$1,[2]钥匙宝箱!$H:$H,$B47)</f>
        <v>#VALUE!</v>
      </c>
      <c r="F47" s="17" t="e">
        <f>SUMIFS([2]钥匙宝箱!$K:$K,[2]钥匙宝箱!$J:$J,F$1,[2]钥匙宝箱!$H:$H,$B47)</f>
        <v>#VALUE!</v>
      </c>
      <c r="G47" s="17" t="e">
        <f>SUMIFS([2]钥匙宝箱!$K:$K,[2]钥匙宝箱!$J:$J,G$1,[2]钥匙宝箱!$H:$H,$B47)</f>
        <v>#VALUE!</v>
      </c>
      <c r="H47" s="17" t="e">
        <f>SUMIFS([2]钥匙宝箱!$K:$K,[2]钥匙宝箱!$J:$J,H$1,[2]钥匙宝箱!$H:$H,$B47)</f>
        <v>#VALUE!</v>
      </c>
      <c r="I47" s="17" t="e">
        <f>SUMIFS([2]钥匙宝箱!$K:$K,[2]钥匙宝箱!$J:$J,I$1,[2]钥匙宝箱!$H:$H,$B47)</f>
        <v>#VALUE!</v>
      </c>
      <c r="J47" s="17" t="e">
        <f>SUMIFS([2]钥匙宝箱!$K:$K,[2]钥匙宝箱!$J:$J,J$1,[2]钥匙宝箱!$H:$H,$B47)</f>
        <v>#VALUE!</v>
      </c>
      <c r="K47" s="17" t="e">
        <f>SUMIFS([2]钥匙宝箱!$K:$K,[2]钥匙宝箱!$J:$J,K$1,[2]钥匙宝箱!$H:$H,$B47)</f>
        <v>#VALUE!</v>
      </c>
      <c r="L47" s="17" t="e">
        <f>SUMIFS([2]钥匙宝箱!$K:$K,[2]钥匙宝箱!$J:$J,L$1,[2]钥匙宝箱!$H:$H,$B47)</f>
        <v>#VALUE!</v>
      </c>
      <c r="M47" s="17" t="e">
        <f>SUMIFS([2]钥匙宝箱!$K:$K,[2]钥匙宝箱!$J:$J,M$1,[2]钥匙宝箱!$H:$H,$B47)</f>
        <v>#VALUE!</v>
      </c>
    </row>
    <row r="48" spans="2:13" x14ac:dyDescent="0.15">
      <c r="B48" t="s">
        <v>472</v>
      </c>
      <c r="C48" t="s">
        <v>505</v>
      </c>
      <c r="D48" s="17" t="e">
        <f>SUMIFS([2]钥匙宝箱!$K:$K,[2]钥匙宝箱!$J:$J,D$1,[2]钥匙宝箱!$H:$H,$B48)</f>
        <v>#VALUE!</v>
      </c>
      <c r="E48" s="17" t="e">
        <f>SUMIFS([2]钥匙宝箱!$K:$K,[2]钥匙宝箱!$J:$J,E$1,[2]钥匙宝箱!$H:$H,$B48)</f>
        <v>#VALUE!</v>
      </c>
      <c r="F48" s="17" t="e">
        <f>SUMIFS([2]钥匙宝箱!$K:$K,[2]钥匙宝箱!$J:$J,F$1,[2]钥匙宝箱!$H:$H,$B48)</f>
        <v>#VALUE!</v>
      </c>
      <c r="G48" s="17" t="e">
        <f>SUMIFS([2]钥匙宝箱!$K:$K,[2]钥匙宝箱!$J:$J,G$1,[2]钥匙宝箱!$H:$H,$B48)</f>
        <v>#VALUE!</v>
      </c>
      <c r="H48" s="17" t="e">
        <f>SUMIFS([2]钥匙宝箱!$K:$K,[2]钥匙宝箱!$J:$J,H$1,[2]钥匙宝箱!$H:$H,$B48)</f>
        <v>#VALUE!</v>
      </c>
      <c r="I48" s="17" t="e">
        <f>SUMIFS([2]钥匙宝箱!$K:$K,[2]钥匙宝箱!$J:$J,I$1,[2]钥匙宝箱!$H:$H,$B48)</f>
        <v>#VALUE!</v>
      </c>
      <c r="J48" s="17" t="e">
        <f>SUMIFS([2]钥匙宝箱!$K:$K,[2]钥匙宝箱!$J:$J,J$1,[2]钥匙宝箱!$H:$H,$B48)</f>
        <v>#VALUE!</v>
      </c>
      <c r="K48" s="17" t="e">
        <f>SUMIFS([2]钥匙宝箱!$K:$K,[2]钥匙宝箱!$J:$J,K$1,[2]钥匙宝箱!$H:$H,$B48)</f>
        <v>#VALUE!</v>
      </c>
      <c r="L48" s="17" t="e">
        <f>SUMIFS([2]钥匙宝箱!$K:$K,[2]钥匙宝箱!$J:$J,L$1,[2]钥匙宝箱!$H:$H,$B48)</f>
        <v>#VALUE!</v>
      </c>
      <c r="M48" s="17" t="e">
        <f>SUMIFS([2]钥匙宝箱!$K:$K,[2]钥匙宝箱!$J:$J,M$1,[2]钥匙宝箱!$H:$H,$B48)</f>
        <v>#VALUE!</v>
      </c>
    </row>
    <row r="49" spans="2:13" x14ac:dyDescent="0.15">
      <c r="B49" t="s">
        <v>473</v>
      </c>
      <c r="C49" t="s">
        <v>505</v>
      </c>
      <c r="D49" s="17" t="e">
        <f>SUMIFS([2]钥匙宝箱!$K:$K,[2]钥匙宝箱!$J:$J,D$1,[2]钥匙宝箱!$H:$H,$B49)</f>
        <v>#VALUE!</v>
      </c>
      <c r="E49" s="17" t="e">
        <f>SUMIFS([2]钥匙宝箱!$K:$K,[2]钥匙宝箱!$J:$J,E$1,[2]钥匙宝箱!$H:$H,$B49)</f>
        <v>#VALUE!</v>
      </c>
      <c r="F49" s="17" t="e">
        <f>SUMIFS([2]钥匙宝箱!$K:$K,[2]钥匙宝箱!$J:$J,F$1,[2]钥匙宝箱!$H:$H,$B49)</f>
        <v>#VALUE!</v>
      </c>
      <c r="G49" s="17" t="e">
        <f>SUMIFS([2]钥匙宝箱!$K:$K,[2]钥匙宝箱!$J:$J,G$1,[2]钥匙宝箱!$H:$H,$B49)</f>
        <v>#VALUE!</v>
      </c>
      <c r="H49" s="17" t="e">
        <f>SUMIFS([2]钥匙宝箱!$K:$K,[2]钥匙宝箱!$J:$J,H$1,[2]钥匙宝箱!$H:$H,$B49)</f>
        <v>#VALUE!</v>
      </c>
      <c r="I49" s="17" t="e">
        <f>SUMIFS([2]钥匙宝箱!$K:$K,[2]钥匙宝箱!$J:$J,I$1,[2]钥匙宝箱!$H:$H,$B49)</f>
        <v>#VALUE!</v>
      </c>
      <c r="J49" s="17" t="e">
        <f>SUMIFS([2]钥匙宝箱!$K:$K,[2]钥匙宝箱!$J:$J,J$1,[2]钥匙宝箱!$H:$H,$B49)</f>
        <v>#VALUE!</v>
      </c>
      <c r="K49" s="17" t="e">
        <f>SUMIFS([2]钥匙宝箱!$K:$K,[2]钥匙宝箱!$J:$J,K$1,[2]钥匙宝箱!$H:$H,$B49)</f>
        <v>#VALUE!</v>
      </c>
      <c r="L49" s="17" t="e">
        <f>SUMIFS([2]钥匙宝箱!$K:$K,[2]钥匙宝箱!$J:$J,L$1,[2]钥匙宝箱!$H:$H,$B49)</f>
        <v>#VALUE!</v>
      </c>
      <c r="M49" s="17" t="e">
        <f>SUMIFS([2]钥匙宝箱!$K:$K,[2]钥匙宝箱!$J:$J,M$1,[2]钥匙宝箱!$H:$H,$B49)</f>
        <v>#VALUE!</v>
      </c>
    </row>
    <row r="50" spans="2:13" x14ac:dyDescent="0.15">
      <c r="B50" t="s">
        <v>474</v>
      </c>
      <c r="C50" t="s">
        <v>505</v>
      </c>
      <c r="D50" s="17" t="e">
        <f>SUMIFS([2]钥匙宝箱!$K:$K,[2]钥匙宝箱!$J:$J,D$1,[2]钥匙宝箱!$H:$H,$B50)</f>
        <v>#VALUE!</v>
      </c>
      <c r="E50" s="17" t="e">
        <f>SUMIFS([2]钥匙宝箱!$K:$K,[2]钥匙宝箱!$J:$J,E$1,[2]钥匙宝箱!$H:$H,$B50)</f>
        <v>#VALUE!</v>
      </c>
      <c r="F50" s="17" t="e">
        <f>SUMIFS([2]钥匙宝箱!$K:$K,[2]钥匙宝箱!$J:$J,F$1,[2]钥匙宝箱!$H:$H,$B50)</f>
        <v>#VALUE!</v>
      </c>
      <c r="G50" s="17" t="e">
        <f>SUMIFS([2]钥匙宝箱!$K:$K,[2]钥匙宝箱!$J:$J,G$1,[2]钥匙宝箱!$H:$H,$B50)</f>
        <v>#VALUE!</v>
      </c>
      <c r="H50" s="17" t="e">
        <f>SUMIFS([2]钥匙宝箱!$K:$K,[2]钥匙宝箱!$J:$J,H$1,[2]钥匙宝箱!$H:$H,$B50)</f>
        <v>#VALUE!</v>
      </c>
      <c r="I50" s="17" t="e">
        <f>SUMIFS([2]钥匙宝箱!$K:$K,[2]钥匙宝箱!$J:$J,I$1,[2]钥匙宝箱!$H:$H,$B50)</f>
        <v>#VALUE!</v>
      </c>
      <c r="J50" s="17" t="e">
        <f>SUMIFS([2]钥匙宝箱!$K:$K,[2]钥匙宝箱!$J:$J,J$1,[2]钥匙宝箱!$H:$H,$B50)</f>
        <v>#VALUE!</v>
      </c>
      <c r="K50" s="17" t="e">
        <f>SUMIFS([2]钥匙宝箱!$K:$K,[2]钥匙宝箱!$J:$J,K$1,[2]钥匙宝箱!$H:$H,$B50)</f>
        <v>#VALUE!</v>
      </c>
      <c r="L50" s="17" t="e">
        <f>SUMIFS([2]钥匙宝箱!$K:$K,[2]钥匙宝箱!$J:$J,L$1,[2]钥匙宝箱!$H:$H,$B50)</f>
        <v>#VALUE!</v>
      </c>
      <c r="M50" s="17" t="e">
        <f>SUMIFS([2]钥匙宝箱!$K:$K,[2]钥匙宝箱!$J:$J,M$1,[2]钥匙宝箱!$H:$H,$B50)</f>
        <v>#VALUE!</v>
      </c>
    </row>
    <row r="51" spans="2:13" x14ac:dyDescent="0.15">
      <c r="B51" t="s">
        <v>475</v>
      </c>
      <c r="C51" t="s">
        <v>505</v>
      </c>
      <c r="D51" s="17" t="e">
        <f>SUMIFS([2]钥匙宝箱!$K:$K,[2]钥匙宝箱!$J:$J,D$1,[2]钥匙宝箱!$H:$H,$B51)</f>
        <v>#VALUE!</v>
      </c>
      <c r="E51" s="17" t="e">
        <f>SUMIFS([2]钥匙宝箱!$K:$K,[2]钥匙宝箱!$J:$J,E$1,[2]钥匙宝箱!$H:$H,$B51)</f>
        <v>#VALUE!</v>
      </c>
      <c r="F51" s="17" t="e">
        <f>SUMIFS([2]钥匙宝箱!$K:$K,[2]钥匙宝箱!$J:$J,F$1,[2]钥匙宝箱!$H:$H,$B51)</f>
        <v>#VALUE!</v>
      </c>
      <c r="G51" s="17" t="e">
        <f>SUMIFS([2]钥匙宝箱!$K:$K,[2]钥匙宝箱!$J:$J,G$1,[2]钥匙宝箱!$H:$H,$B51)</f>
        <v>#VALUE!</v>
      </c>
      <c r="H51" s="17" t="e">
        <f>SUMIFS([2]钥匙宝箱!$K:$K,[2]钥匙宝箱!$J:$J,H$1,[2]钥匙宝箱!$H:$H,$B51)</f>
        <v>#VALUE!</v>
      </c>
      <c r="I51" s="17" t="e">
        <f>SUMIFS([2]钥匙宝箱!$K:$K,[2]钥匙宝箱!$J:$J,I$1,[2]钥匙宝箱!$H:$H,$B51)</f>
        <v>#VALUE!</v>
      </c>
      <c r="J51" s="17" t="e">
        <f>SUMIFS([2]钥匙宝箱!$K:$K,[2]钥匙宝箱!$J:$J,J$1,[2]钥匙宝箱!$H:$H,$B51)</f>
        <v>#VALUE!</v>
      </c>
      <c r="K51" s="17" t="e">
        <f>SUMIFS([2]钥匙宝箱!$K:$K,[2]钥匙宝箱!$J:$J,K$1,[2]钥匙宝箱!$H:$H,$B51)</f>
        <v>#VALUE!</v>
      </c>
      <c r="L51" s="17" t="e">
        <f>SUMIFS([2]钥匙宝箱!$K:$K,[2]钥匙宝箱!$J:$J,L$1,[2]钥匙宝箱!$H:$H,$B51)</f>
        <v>#VALUE!</v>
      </c>
      <c r="M51" s="17" t="e">
        <f>SUMIFS([2]钥匙宝箱!$K:$K,[2]钥匙宝箱!$J:$J,M$1,[2]钥匙宝箱!$H:$H,$B51)</f>
        <v>#VALUE!</v>
      </c>
    </row>
    <row r="52" spans="2:13" x14ac:dyDescent="0.15">
      <c r="B52" t="s">
        <v>476</v>
      </c>
      <c r="C52" t="s">
        <v>505</v>
      </c>
      <c r="D52" s="17" t="e">
        <f>SUMIFS([2]钥匙宝箱!$K:$K,[2]钥匙宝箱!$J:$J,D$1,[2]钥匙宝箱!$H:$H,$B52)</f>
        <v>#VALUE!</v>
      </c>
      <c r="E52" s="17" t="e">
        <f>SUMIFS([2]钥匙宝箱!$K:$K,[2]钥匙宝箱!$J:$J,E$1,[2]钥匙宝箱!$H:$H,$B52)</f>
        <v>#VALUE!</v>
      </c>
      <c r="F52" s="17" t="e">
        <f>SUMIFS([2]钥匙宝箱!$K:$K,[2]钥匙宝箱!$J:$J,F$1,[2]钥匙宝箱!$H:$H,$B52)</f>
        <v>#VALUE!</v>
      </c>
      <c r="G52" s="17" t="e">
        <f>SUMIFS([2]钥匙宝箱!$K:$K,[2]钥匙宝箱!$J:$J,G$1,[2]钥匙宝箱!$H:$H,$B52)</f>
        <v>#VALUE!</v>
      </c>
      <c r="H52" s="17" t="e">
        <f>SUMIFS([2]钥匙宝箱!$K:$K,[2]钥匙宝箱!$J:$J,H$1,[2]钥匙宝箱!$H:$H,$B52)</f>
        <v>#VALUE!</v>
      </c>
      <c r="I52" s="17" t="e">
        <f>SUMIFS([2]钥匙宝箱!$K:$K,[2]钥匙宝箱!$J:$J,I$1,[2]钥匙宝箱!$H:$H,$B52)</f>
        <v>#VALUE!</v>
      </c>
      <c r="J52" s="17" t="e">
        <f>SUMIFS([2]钥匙宝箱!$K:$K,[2]钥匙宝箱!$J:$J,J$1,[2]钥匙宝箱!$H:$H,$B52)</f>
        <v>#VALUE!</v>
      </c>
      <c r="K52" s="17" t="e">
        <f>SUMIFS([2]钥匙宝箱!$K:$K,[2]钥匙宝箱!$J:$J,K$1,[2]钥匙宝箱!$H:$H,$B52)</f>
        <v>#VALUE!</v>
      </c>
      <c r="L52" s="17" t="e">
        <f>SUMIFS([2]钥匙宝箱!$K:$K,[2]钥匙宝箱!$J:$J,L$1,[2]钥匙宝箱!$H:$H,$B52)</f>
        <v>#VALUE!</v>
      </c>
      <c r="M52" s="17" t="e">
        <f>SUMIFS([2]钥匙宝箱!$K:$K,[2]钥匙宝箱!$J:$J,M$1,[2]钥匙宝箱!$H:$H,$B52)</f>
        <v>#VALUE!</v>
      </c>
    </row>
    <row r="53" spans="2:13" x14ac:dyDescent="0.15">
      <c r="B53" t="s">
        <v>477</v>
      </c>
      <c r="C53" t="s">
        <v>505</v>
      </c>
      <c r="D53" s="17" t="e">
        <f>SUMIFS([2]钥匙宝箱!$K:$K,[2]钥匙宝箱!$J:$J,D$1,[2]钥匙宝箱!$H:$H,$B53)</f>
        <v>#VALUE!</v>
      </c>
      <c r="E53" s="17" t="e">
        <f>SUMIFS([2]钥匙宝箱!$K:$K,[2]钥匙宝箱!$J:$J,E$1,[2]钥匙宝箱!$H:$H,$B53)</f>
        <v>#VALUE!</v>
      </c>
      <c r="F53" s="17" t="e">
        <f>SUMIFS([2]钥匙宝箱!$K:$K,[2]钥匙宝箱!$J:$J,F$1,[2]钥匙宝箱!$H:$H,$B53)</f>
        <v>#VALUE!</v>
      </c>
      <c r="G53" s="17" t="e">
        <f>SUMIFS([2]钥匙宝箱!$K:$K,[2]钥匙宝箱!$J:$J,G$1,[2]钥匙宝箱!$H:$H,$B53)</f>
        <v>#VALUE!</v>
      </c>
      <c r="H53" s="17" t="e">
        <f>SUMIFS([2]钥匙宝箱!$K:$K,[2]钥匙宝箱!$J:$J,H$1,[2]钥匙宝箱!$H:$H,$B53)</f>
        <v>#VALUE!</v>
      </c>
      <c r="I53" s="17" t="e">
        <f>SUMIFS([2]钥匙宝箱!$K:$K,[2]钥匙宝箱!$J:$J,I$1,[2]钥匙宝箱!$H:$H,$B53)</f>
        <v>#VALUE!</v>
      </c>
      <c r="J53" s="17" t="e">
        <f>SUMIFS([2]钥匙宝箱!$K:$K,[2]钥匙宝箱!$J:$J,J$1,[2]钥匙宝箱!$H:$H,$B53)</f>
        <v>#VALUE!</v>
      </c>
      <c r="K53" s="17" t="e">
        <f>SUMIFS([2]钥匙宝箱!$K:$K,[2]钥匙宝箱!$J:$J,K$1,[2]钥匙宝箱!$H:$H,$B53)</f>
        <v>#VALUE!</v>
      </c>
      <c r="L53" s="17" t="e">
        <f>SUMIFS([2]钥匙宝箱!$K:$K,[2]钥匙宝箱!$J:$J,L$1,[2]钥匙宝箱!$H:$H,$B53)</f>
        <v>#VALUE!</v>
      </c>
      <c r="M53" s="17" t="e">
        <f>SUMIFS([2]钥匙宝箱!$K:$K,[2]钥匙宝箱!$J:$J,M$1,[2]钥匙宝箱!$H:$H,$B53)</f>
        <v>#VALUE!</v>
      </c>
    </row>
    <row r="54" spans="2:13" x14ac:dyDescent="0.15">
      <c r="B54" t="s">
        <v>478</v>
      </c>
      <c r="C54" t="s">
        <v>505</v>
      </c>
      <c r="D54" s="17" t="e">
        <f>SUMIFS([2]钥匙宝箱!$K:$K,[2]钥匙宝箱!$J:$J,D$1,[2]钥匙宝箱!$H:$H,$B54)</f>
        <v>#VALUE!</v>
      </c>
      <c r="E54" s="17" t="e">
        <f>SUMIFS([2]钥匙宝箱!$K:$K,[2]钥匙宝箱!$J:$J,E$1,[2]钥匙宝箱!$H:$H,$B54)</f>
        <v>#VALUE!</v>
      </c>
      <c r="F54" s="17" t="e">
        <f>SUMIFS([2]钥匙宝箱!$K:$K,[2]钥匙宝箱!$J:$J,F$1,[2]钥匙宝箱!$H:$H,$B54)</f>
        <v>#VALUE!</v>
      </c>
      <c r="G54" s="17" t="e">
        <f>SUMIFS([2]钥匙宝箱!$K:$K,[2]钥匙宝箱!$J:$J,G$1,[2]钥匙宝箱!$H:$H,$B54)</f>
        <v>#VALUE!</v>
      </c>
      <c r="H54" s="17" t="e">
        <f>SUMIFS([2]钥匙宝箱!$K:$K,[2]钥匙宝箱!$J:$J,H$1,[2]钥匙宝箱!$H:$H,$B54)</f>
        <v>#VALUE!</v>
      </c>
      <c r="I54" s="17" t="e">
        <f>SUMIFS([2]钥匙宝箱!$K:$K,[2]钥匙宝箱!$J:$J,I$1,[2]钥匙宝箱!$H:$H,$B54)</f>
        <v>#VALUE!</v>
      </c>
      <c r="J54" s="17" t="e">
        <f>SUMIFS([2]钥匙宝箱!$K:$K,[2]钥匙宝箱!$J:$J,J$1,[2]钥匙宝箱!$H:$H,$B54)</f>
        <v>#VALUE!</v>
      </c>
      <c r="K54" s="17" t="e">
        <f>SUMIFS([2]钥匙宝箱!$K:$K,[2]钥匙宝箱!$J:$J,K$1,[2]钥匙宝箱!$H:$H,$B54)</f>
        <v>#VALUE!</v>
      </c>
      <c r="L54" s="17" t="e">
        <f>SUMIFS([2]钥匙宝箱!$K:$K,[2]钥匙宝箱!$J:$J,L$1,[2]钥匙宝箱!$H:$H,$B54)</f>
        <v>#VALUE!</v>
      </c>
      <c r="M54" s="17" t="e">
        <f>SUMIFS([2]钥匙宝箱!$K:$K,[2]钥匙宝箱!$J:$J,M$1,[2]钥匙宝箱!$H:$H,$B54)</f>
        <v>#VALUE!</v>
      </c>
    </row>
    <row r="55" spans="2:13" x14ac:dyDescent="0.15">
      <c r="B55" t="s">
        <v>479</v>
      </c>
      <c r="C55" t="s">
        <v>505</v>
      </c>
      <c r="D55" s="17" t="e">
        <f>SUMIFS([2]钥匙宝箱!$K:$K,[2]钥匙宝箱!$J:$J,D$1,[2]钥匙宝箱!$H:$H,$B55)</f>
        <v>#VALUE!</v>
      </c>
      <c r="E55" s="17" t="e">
        <f>SUMIFS([2]钥匙宝箱!$K:$K,[2]钥匙宝箱!$J:$J,E$1,[2]钥匙宝箱!$H:$H,$B55)</f>
        <v>#VALUE!</v>
      </c>
      <c r="F55" s="17" t="e">
        <f>SUMIFS([2]钥匙宝箱!$K:$K,[2]钥匙宝箱!$J:$J,F$1,[2]钥匙宝箱!$H:$H,$B55)</f>
        <v>#VALUE!</v>
      </c>
      <c r="G55" s="17" t="e">
        <f>SUMIFS([2]钥匙宝箱!$K:$K,[2]钥匙宝箱!$J:$J,G$1,[2]钥匙宝箱!$H:$H,$B55)</f>
        <v>#VALUE!</v>
      </c>
      <c r="H55" s="17" t="e">
        <f>SUMIFS([2]钥匙宝箱!$K:$K,[2]钥匙宝箱!$J:$J,H$1,[2]钥匙宝箱!$H:$H,$B55)</f>
        <v>#VALUE!</v>
      </c>
      <c r="I55" s="17" t="e">
        <f>SUMIFS([2]钥匙宝箱!$K:$K,[2]钥匙宝箱!$J:$J,I$1,[2]钥匙宝箱!$H:$H,$B55)</f>
        <v>#VALUE!</v>
      </c>
      <c r="J55" s="17" t="e">
        <f>SUMIFS([2]钥匙宝箱!$K:$K,[2]钥匙宝箱!$J:$J,J$1,[2]钥匙宝箱!$H:$H,$B55)</f>
        <v>#VALUE!</v>
      </c>
      <c r="K55" s="17" t="e">
        <f>SUMIFS([2]钥匙宝箱!$K:$K,[2]钥匙宝箱!$J:$J,K$1,[2]钥匙宝箱!$H:$H,$B55)</f>
        <v>#VALUE!</v>
      </c>
      <c r="L55" s="17" t="e">
        <f>SUMIFS([2]钥匙宝箱!$K:$K,[2]钥匙宝箱!$J:$J,L$1,[2]钥匙宝箱!$H:$H,$B55)</f>
        <v>#VALUE!</v>
      </c>
      <c r="M55" s="17" t="e">
        <f>SUMIFS([2]钥匙宝箱!$K:$K,[2]钥匙宝箱!$J:$J,M$1,[2]钥匙宝箱!$H:$H,$B55)</f>
        <v>#VALUE!</v>
      </c>
    </row>
    <row r="56" spans="2:13" x14ac:dyDescent="0.15">
      <c r="B56" t="s">
        <v>480</v>
      </c>
      <c r="C56" t="s">
        <v>505</v>
      </c>
      <c r="D56" s="17" t="e">
        <f>SUMIFS([2]钥匙宝箱!$K:$K,[2]钥匙宝箱!$J:$J,D$1,[2]钥匙宝箱!$H:$H,$B56)</f>
        <v>#VALUE!</v>
      </c>
      <c r="E56" s="17" t="e">
        <f>SUMIFS([2]钥匙宝箱!$K:$K,[2]钥匙宝箱!$J:$J,E$1,[2]钥匙宝箱!$H:$H,$B56)</f>
        <v>#VALUE!</v>
      </c>
      <c r="F56" s="17" t="e">
        <f>SUMIFS([2]钥匙宝箱!$K:$K,[2]钥匙宝箱!$J:$J,F$1,[2]钥匙宝箱!$H:$H,$B56)</f>
        <v>#VALUE!</v>
      </c>
      <c r="G56" s="17" t="e">
        <f>SUMIFS([2]钥匙宝箱!$K:$K,[2]钥匙宝箱!$J:$J,G$1,[2]钥匙宝箱!$H:$H,$B56)</f>
        <v>#VALUE!</v>
      </c>
      <c r="H56" s="17" t="e">
        <f>SUMIFS([2]钥匙宝箱!$K:$K,[2]钥匙宝箱!$J:$J,H$1,[2]钥匙宝箱!$H:$H,$B56)</f>
        <v>#VALUE!</v>
      </c>
      <c r="I56" s="17" t="e">
        <f>SUMIFS([2]钥匙宝箱!$K:$K,[2]钥匙宝箱!$J:$J,I$1,[2]钥匙宝箱!$H:$H,$B56)</f>
        <v>#VALUE!</v>
      </c>
      <c r="J56" s="17" t="e">
        <f>SUMIFS([2]钥匙宝箱!$K:$K,[2]钥匙宝箱!$J:$J,J$1,[2]钥匙宝箱!$H:$H,$B56)</f>
        <v>#VALUE!</v>
      </c>
      <c r="K56" s="17" t="e">
        <f>SUMIFS([2]钥匙宝箱!$K:$K,[2]钥匙宝箱!$J:$J,K$1,[2]钥匙宝箱!$H:$H,$B56)</f>
        <v>#VALUE!</v>
      </c>
      <c r="L56" s="17" t="e">
        <f>SUMIFS([2]钥匙宝箱!$K:$K,[2]钥匙宝箱!$J:$J,L$1,[2]钥匙宝箱!$H:$H,$B56)</f>
        <v>#VALUE!</v>
      </c>
      <c r="M56" s="17" t="e">
        <f>SUMIFS([2]钥匙宝箱!$K:$K,[2]钥匙宝箱!$J:$J,M$1,[2]钥匙宝箱!$H:$H,$B56)</f>
        <v>#VALUE!</v>
      </c>
    </row>
    <row r="57" spans="2:13" x14ac:dyDescent="0.15">
      <c r="B57" t="s">
        <v>481</v>
      </c>
      <c r="C57" t="s">
        <v>505</v>
      </c>
      <c r="D57" s="17" t="e">
        <f>SUMIFS([2]钥匙宝箱!$K:$K,[2]钥匙宝箱!$J:$J,D$1,[2]钥匙宝箱!$H:$H,$B57)</f>
        <v>#VALUE!</v>
      </c>
      <c r="E57" s="17" t="e">
        <f>SUMIFS([2]钥匙宝箱!$K:$K,[2]钥匙宝箱!$J:$J,E$1,[2]钥匙宝箱!$H:$H,$B57)</f>
        <v>#VALUE!</v>
      </c>
      <c r="F57" s="17" t="e">
        <f>SUMIFS([2]钥匙宝箱!$K:$K,[2]钥匙宝箱!$J:$J,F$1,[2]钥匙宝箱!$H:$H,$B57)</f>
        <v>#VALUE!</v>
      </c>
      <c r="G57" s="17" t="e">
        <f>SUMIFS([2]钥匙宝箱!$K:$K,[2]钥匙宝箱!$J:$J,G$1,[2]钥匙宝箱!$H:$H,$B57)</f>
        <v>#VALUE!</v>
      </c>
      <c r="H57" s="17" t="e">
        <f>SUMIFS([2]钥匙宝箱!$K:$K,[2]钥匙宝箱!$J:$J,H$1,[2]钥匙宝箱!$H:$H,$B57)</f>
        <v>#VALUE!</v>
      </c>
      <c r="I57" s="17" t="e">
        <f>SUMIFS([2]钥匙宝箱!$K:$K,[2]钥匙宝箱!$J:$J,I$1,[2]钥匙宝箱!$H:$H,$B57)</f>
        <v>#VALUE!</v>
      </c>
      <c r="J57" s="17" t="e">
        <f>SUMIFS([2]钥匙宝箱!$K:$K,[2]钥匙宝箱!$J:$J,J$1,[2]钥匙宝箱!$H:$H,$B57)</f>
        <v>#VALUE!</v>
      </c>
      <c r="K57" s="17" t="e">
        <f>SUMIFS([2]钥匙宝箱!$K:$K,[2]钥匙宝箱!$J:$J,K$1,[2]钥匙宝箱!$H:$H,$B57)</f>
        <v>#VALUE!</v>
      </c>
      <c r="L57" s="17" t="e">
        <f>SUMIFS([2]钥匙宝箱!$K:$K,[2]钥匙宝箱!$J:$J,L$1,[2]钥匙宝箱!$H:$H,$B57)</f>
        <v>#VALUE!</v>
      </c>
      <c r="M57" s="17" t="e">
        <f>SUMIFS([2]钥匙宝箱!$K:$K,[2]钥匙宝箱!$J:$J,M$1,[2]钥匙宝箱!$H:$H,$B57)</f>
        <v>#VALUE!</v>
      </c>
    </row>
    <row r="58" spans="2:13" x14ac:dyDescent="0.15">
      <c r="B58" t="s">
        <v>482</v>
      </c>
      <c r="C58" t="s">
        <v>505</v>
      </c>
      <c r="D58" s="17" t="e">
        <f>SUMIFS([2]钥匙宝箱!$K:$K,[2]钥匙宝箱!$J:$J,D$1,[2]钥匙宝箱!$H:$H,$B58)</f>
        <v>#VALUE!</v>
      </c>
      <c r="E58" s="17" t="e">
        <f>SUMIFS([2]钥匙宝箱!$K:$K,[2]钥匙宝箱!$J:$J,E$1,[2]钥匙宝箱!$H:$H,$B58)</f>
        <v>#VALUE!</v>
      </c>
      <c r="F58" s="17" t="e">
        <f>SUMIFS([2]钥匙宝箱!$K:$K,[2]钥匙宝箱!$J:$J,F$1,[2]钥匙宝箱!$H:$H,$B58)</f>
        <v>#VALUE!</v>
      </c>
      <c r="G58" s="17" t="e">
        <f>SUMIFS([2]钥匙宝箱!$K:$K,[2]钥匙宝箱!$J:$J,G$1,[2]钥匙宝箱!$H:$H,$B58)</f>
        <v>#VALUE!</v>
      </c>
      <c r="H58" s="17" t="e">
        <f>SUMIFS([2]钥匙宝箱!$K:$K,[2]钥匙宝箱!$J:$J,H$1,[2]钥匙宝箱!$H:$H,$B58)</f>
        <v>#VALUE!</v>
      </c>
      <c r="I58" s="17" t="e">
        <f>SUMIFS([2]钥匙宝箱!$K:$K,[2]钥匙宝箱!$J:$J,I$1,[2]钥匙宝箱!$H:$H,$B58)</f>
        <v>#VALUE!</v>
      </c>
      <c r="J58" s="17" t="e">
        <f>SUMIFS([2]钥匙宝箱!$K:$K,[2]钥匙宝箱!$J:$J,J$1,[2]钥匙宝箱!$H:$H,$B58)</f>
        <v>#VALUE!</v>
      </c>
      <c r="K58" s="17" t="e">
        <f>SUMIFS([2]钥匙宝箱!$K:$K,[2]钥匙宝箱!$J:$J,K$1,[2]钥匙宝箱!$H:$H,$B58)</f>
        <v>#VALUE!</v>
      </c>
      <c r="L58" s="17" t="e">
        <f>SUMIFS([2]钥匙宝箱!$K:$K,[2]钥匙宝箱!$J:$J,L$1,[2]钥匙宝箱!$H:$H,$B58)</f>
        <v>#VALUE!</v>
      </c>
      <c r="M58" s="17" t="e">
        <f>SUMIFS([2]钥匙宝箱!$K:$K,[2]钥匙宝箱!$J:$J,M$1,[2]钥匙宝箱!$H:$H,$B58)</f>
        <v>#VALUE!</v>
      </c>
    </row>
    <row r="59" spans="2:13" x14ac:dyDescent="0.15">
      <c r="B59" t="s">
        <v>483</v>
      </c>
      <c r="C59" t="s">
        <v>505</v>
      </c>
      <c r="D59" s="17" t="e">
        <f>SUMIFS([2]钥匙宝箱!$K:$K,[2]钥匙宝箱!$J:$J,D$1,[2]钥匙宝箱!$H:$H,$B59)</f>
        <v>#VALUE!</v>
      </c>
      <c r="E59" s="17" t="e">
        <f>SUMIFS([2]钥匙宝箱!$K:$K,[2]钥匙宝箱!$J:$J,E$1,[2]钥匙宝箱!$H:$H,$B59)</f>
        <v>#VALUE!</v>
      </c>
      <c r="F59" s="17" t="e">
        <f>SUMIFS([2]钥匙宝箱!$K:$K,[2]钥匙宝箱!$J:$J,F$1,[2]钥匙宝箱!$H:$H,$B59)</f>
        <v>#VALUE!</v>
      </c>
      <c r="G59" s="17" t="e">
        <f>SUMIFS([2]钥匙宝箱!$K:$K,[2]钥匙宝箱!$J:$J,G$1,[2]钥匙宝箱!$H:$H,$B59)</f>
        <v>#VALUE!</v>
      </c>
      <c r="H59" s="17" t="e">
        <f>SUMIFS([2]钥匙宝箱!$K:$K,[2]钥匙宝箱!$J:$J,H$1,[2]钥匙宝箱!$H:$H,$B59)</f>
        <v>#VALUE!</v>
      </c>
      <c r="I59" s="17" t="e">
        <f>SUMIFS([2]钥匙宝箱!$K:$K,[2]钥匙宝箱!$J:$J,I$1,[2]钥匙宝箱!$H:$H,$B59)</f>
        <v>#VALUE!</v>
      </c>
      <c r="J59" s="17" t="e">
        <f>SUMIFS([2]钥匙宝箱!$K:$K,[2]钥匙宝箱!$J:$J,J$1,[2]钥匙宝箱!$H:$H,$B59)</f>
        <v>#VALUE!</v>
      </c>
      <c r="K59" s="17" t="e">
        <f>SUMIFS([2]钥匙宝箱!$K:$K,[2]钥匙宝箱!$J:$J,K$1,[2]钥匙宝箱!$H:$H,$B59)</f>
        <v>#VALUE!</v>
      </c>
      <c r="L59" s="17" t="e">
        <f>SUMIFS([2]钥匙宝箱!$K:$K,[2]钥匙宝箱!$J:$J,L$1,[2]钥匙宝箱!$H:$H,$B59)</f>
        <v>#VALUE!</v>
      </c>
      <c r="M59" s="17" t="e">
        <f>SUMIFS([2]钥匙宝箱!$K:$K,[2]钥匙宝箱!$J:$J,M$1,[2]钥匙宝箱!$H:$H,$B59)</f>
        <v>#VALUE!</v>
      </c>
    </row>
    <row r="60" spans="2:13" x14ac:dyDescent="0.15">
      <c r="B60" t="s">
        <v>484</v>
      </c>
      <c r="C60" t="s">
        <v>505</v>
      </c>
      <c r="D60" s="17" t="e">
        <f>SUMIFS([2]钥匙宝箱!$K:$K,[2]钥匙宝箱!$J:$J,D$1,[2]钥匙宝箱!$H:$H,$B60)</f>
        <v>#VALUE!</v>
      </c>
      <c r="E60" s="17" t="e">
        <f>SUMIFS([2]钥匙宝箱!$K:$K,[2]钥匙宝箱!$J:$J,E$1,[2]钥匙宝箱!$H:$H,$B60)</f>
        <v>#VALUE!</v>
      </c>
      <c r="F60" s="17" t="e">
        <f>SUMIFS([2]钥匙宝箱!$K:$K,[2]钥匙宝箱!$J:$J,F$1,[2]钥匙宝箱!$H:$H,$B60)</f>
        <v>#VALUE!</v>
      </c>
      <c r="G60" s="17" t="e">
        <f>SUMIFS([2]钥匙宝箱!$K:$K,[2]钥匙宝箱!$J:$J,G$1,[2]钥匙宝箱!$H:$H,$B60)</f>
        <v>#VALUE!</v>
      </c>
      <c r="H60" s="17" t="e">
        <f>SUMIFS([2]钥匙宝箱!$K:$K,[2]钥匙宝箱!$J:$J,H$1,[2]钥匙宝箱!$H:$H,$B60)</f>
        <v>#VALUE!</v>
      </c>
      <c r="I60" s="17" t="e">
        <f>SUMIFS([2]钥匙宝箱!$K:$K,[2]钥匙宝箱!$J:$J,I$1,[2]钥匙宝箱!$H:$H,$B60)</f>
        <v>#VALUE!</v>
      </c>
      <c r="J60" s="17" t="e">
        <f>SUMIFS([2]钥匙宝箱!$K:$K,[2]钥匙宝箱!$J:$J,J$1,[2]钥匙宝箱!$H:$H,$B60)</f>
        <v>#VALUE!</v>
      </c>
      <c r="K60" s="17" t="e">
        <f>SUMIFS([2]钥匙宝箱!$K:$K,[2]钥匙宝箱!$J:$J,K$1,[2]钥匙宝箱!$H:$H,$B60)</f>
        <v>#VALUE!</v>
      </c>
      <c r="L60" s="17" t="e">
        <f>SUMIFS([2]钥匙宝箱!$K:$K,[2]钥匙宝箱!$J:$J,L$1,[2]钥匙宝箱!$H:$H,$B60)</f>
        <v>#VALUE!</v>
      </c>
      <c r="M60" s="17" t="e">
        <f>SUMIFS([2]钥匙宝箱!$K:$K,[2]钥匙宝箱!$J:$J,M$1,[2]钥匙宝箱!$H:$H,$B60)</f>
        <v>#VALUE!</v>
      </c>
    </row>
    <row r="61" spans="2:13" x14ac:dyDescent="0.15">
      <c r="B61" t="s">
        <v>485</v>
      </c>
      <c r="C61" t="s">
        <v>505</v>
      </c>
      <c r="D61" s="17" t="e">
        <f>SUMIFS([2]钥匙宝箱!$K:$K,[2]钥匙宝箱!$J:$J,D$1,[2]钥匙宝箱!$H:$H,$B61)</f>
        <v>#VALUE!</v>
      </c>
      <c r="E61" s="17" t="e">
        <f>SUMIFS([2]钥匙宝箱!$K:$K,[2]钥匙宝箱!$J:$J,E$1,[2]钥匙宝箱!$H:$H,$B61)</f>
        <v>#VALUE!</v>
      </c>
      <c r="F61" s="17" t="e">
        <f>SUMIFS([2]钥匙宝箱!$K:$K,[2]钥匙宝箱!$J:$J,F$1,[2]钥匙宝箱!$H:$H,$B61)</f>
        <v>#VALUE!</v>
      </c>
      <c r="G61" s="17" t="e">
        <f>SUMIFS([2]钥匙宝箱!$K:$K,[2]钥匙宝箱!$J:$J,G$1,[2]钥匙宝箱!$H:$H,$B61)</f>
        <v>#VALUE!</v>
      </c>
      <c r="H61" s="17" t="e">
        <f>SUMIFS([2]钥匙宝箱!$K:$K,[2]钥匙宝箱!$J:$J,H$1,[2]钥匙宝箱!$H:$H,$B61)</f>
        <v>#VALUE!</v>
      </c>
      <c r="I61" s="17" t="e">
        <f>SUMIFS([2]钥匙宝箱!$K:$K,[2]钥匙宝箱!$J:$J,I$1,[2]钥匙宝箱!$H:$H,$B61)</f>
        <v>#VALUE!</v>
      </c>
      <c r="J61" s="17" t="e">
        <f>SUMIFS([2]钥匙宝箱!$K:$K,[2]钥匙宝箱!$J:$J,J$1,[2]钥匙宝箱!$H:$H,$B61)</f>
        <v>#VALUE!</v>
      </c>
      <c r="K61" s="17" t="e">
        <f>SUMIFS([2]钥匙宝箱!$K:$K,[2]钥匙宝箱!$J:$J,K$1,[2]钥匙宝箱!$H:$H,$B61)</f>
        <v>#VALUE!</v>
      </c>
      <c r="L61" s="17" t="e">
        <f>SUMIFS([2]钥匙宝箱!$K:$K,[2]钥匙宝箱!$J:$J,L$1,[2]钥匙宝箱!$H:$H,$B61)</f>
        <v>#VALUE!</v>
      </c>
      <c r="M61" s="17" t="e">
        <f>SUMIFS([2]钥匙宝箱!$K:$K,[2]钥匙宝箱!$J:$J,M$1,[2]钥匙宝箱!$H:$H,$B61)</f>
        <v>#VALUE!</v>
      </c>
    </row>
    <row r="62" spans="2:13" x14ac:dyDescent="0.15">
      <c r="B62" t="s">
        <v>486</v>
      </c>
      <c r="C62" t="s">
        <v>505</v>
      </c>
      <c r="D62" s="17" t="e">
        <f>SUMIFS([2]钥匙宝箱!$K:$K,[2]钥匙宝箱!$J:$J,D$1,[2]钥匙宝箱!$H:$H,$B62)</f>
        <v>#VALUE!</v>
      </c>
      <c r="E62" s="17" t="e">
        <f>SUMIFS([2]钥匙宝箱!$K:$K,[2]钥匙宝箱!$J:$J,E$1,[2]钥匙宝箱!$H:$H,$B62)</f>
        <v>#VALUE!</v>
      </c>
      <c r="F62" s="17" t="e">
        <f>SUMIFS([2]钥匙宝箱!$K:$K,[2]钥匙宝箱!$J:$J,F$1,[2]钥匙宝箱!$H:$H,$B62)</f>
        <v>#VALUE!</v>
      </c>
      <c r="G62" s="17" t="e">
        <f>SUMIFS([2]钥匙宝箱!$K:$K,[2]钥匙宝箱!$J:$J,G$1,[2]钥匙宝箱!$H:$H,$B62)</f>
        <v>#VALUE!</v>
      </c>
      <c r="H62" s="17" t="e">
        <f>SUMIFS([2]钥匙宝箱!$K:$K,[2]钥匙宝箱!$J:$J,H$1,[2]钥匙宝箱!$H:$H,$B62)</f>
        <v>#VALUE!</v>
      </c>
      <c r="I62" s="17" t="e">
        <f>SUMIFS([2]钥匙宝箱!$K:$K,[2]钥匙宝箱!$J:$J,I$1,[2]钥匙宝箱!$H:$H,$B62)</f>
        <v>#VALUE!</v>
      </c>
      <c r="J62" s="17" t="e">
        <f>SUMIFS([2]钥匙宝箱!$K:$K,[2]钥匙宝箱!$J:$J,J$1,[2]钥匙宝箱!$H:$H,$B62)</f>
        <v>#VALUE!</v>
      </c>
      <c r="K62" s="17" t="e">
        <f>SUMIFS([2]钥匙宝箱!$K:$K,[2]钥匙宝箱!$J:$J,K$1,[2]钥匙宝箱!$H:$H,$B62)</f>
        <v>#VALUE!</v>
      </c>
      <c r="L62" s="17" t="e">
        <f>SUMIFS([2]钥匙宝箱!$K:$K,[2]钥匙宝箱!$J:$J,L$1,[2]钥匙宝箱!$H:$H,$B62)</f>
        <v>#VALUE!</v>
      </c>
      <c r="M62" s="17" t="e">
        <f>SUMIFS([2]钥匙宝箱!$K:$K,[2]钥匙宝箱!$J:$J,M$1,[2]钥匙宝箱!$H:$H,$B62)</f>
        <v>#VALUE!</v>
      </c>
    </row>
    <row r="63" spans="2:13" x14ac:dyDescent="0.15">
      <c r="B63" t="s">
        <v>487</v>
      </c>
      <c r="C63" t="s">
        <v>505</v>
      </c>
      <c r="D63" s="17" t="e">
        <f>SUMIFS([2]钥匙宝箱!$K:$K,[2]钥匙宝箱!$J:$J,D$1,[2]钥匙宝箱!$H:$H,$B63)</f>
        <v>#VALUE!</v>
      </c>
      <c r="E63" s="17" t="e">
        <f>SUMIFS([2]钥匙宝箱!$K:$K,[2]钥匙宝箱!$J:$J,E$1,[2]钥匙宝箱!$H:$H,$B63)</f>
        <v>#VALUE!</v>
      </c>
      <c r="F63" s="17" t="e">
        <f>SUMIFS([2]钥匙宝箱!$K:$K,[2]钥匙宝箱!$J:$J,F$1,[2]钥匙宝箱!$H:$H,$B63)</f>
        <v>#VALUE!</v>
      </c>
      <c r="G63" s="17" t="e">
        <f>SUMIFS([2]钥匙宝箱!$K:$K,[2]钥匙宝箱!$J:$J,G$1,[2]钥匙宝箱!$H:$H,$B63)</f>
        <v>#VALUE!</v>
      </c>
      <c r="H63" s="17" t="e">
        <f>SUMIFS([2]钥匙宝箱!$K:$K,[2]钥匙宝箱!$J:$J,H$1,[2]钥匙宝箱!$H:$H,$B63)</f>
        <v>#VALUE!</v>
      </c>
      <c r="I63" s="17" t="e">
        <f>SUMIFS([2]钥匙宝箱!$K:$K,[2]钥匙宝箱!$J:$J,I$1,[2]钥匙宝箱!$H:$H,$B63)</f>
        <v>#VALUE!</v>
      </c>
      <c r="J63" s="17" t="e">
        <f>SUMIFS([2]钥匙宝箱!$K:$K,[2]钥匙宝箱!$J:$J,J$1,[2]钥匙宝箱!$H:$H,$B63)</f>
        <v>#VALUE!</v>
      </c>
      <c r="K63" s="17" t="e">
        <f>SUMIFS([2]钥匙宝箱!$K:$K,[2]钥匙宝箱!$J:$J,K$1,[2]钥匙宝箱!$H:$H,$B63)</f>
        <v>#VALUE!</v>
      </c>
      <c r="L63" s="17" t="e">
        <f>SUMIFS([2]钥匙宝箱!$K:$K,[2]钥匙宝箱!$J:$J,L$1,[2]钥匙宝箱!$H:$H,$B63)</f>
        <v>#VALUE!</v>
      </c>
      <c r="M63" s="17" t="e">
        <f>SUMIFS([2]钥匙宝箱!$K:$K,[2]钥匙宝箱!$J:$J,M$1,[2]钥匙宝箱!$H:$H,$B63)</f>
        <v>#VALUE!</v>
      </c>
    </row>
    <row r="64" spans="2:13" x14ac:dyDescent="0.15">
      <c r="B64" t="s">
        <v>488</v>
      </c>
      <c r="C64" t="s">
        <v>505</v>
      </c>
      <c r="D64" s="17" t="e">
        <f>SUMIFS([2]钥匙宝箱!$K:$K,[2]钥匙宝箱!$J:$J,D$1,[2]钥匙宝箱!$H:$H,$B64)</f>
        <v>#VALUE!</v>
      </c>
      <c r="E64" s="17" t="e">
        <f>SUMIFS([2]钥匙宝箱!$K:$K,[2]钥匙宝箱!$J:$J,E$1,[2]钥匙宝箱!$H:$H,$B64)</f>
        <v>#VALUE!</v>
      </c>
      <c r="F64" s="17" t="e">
        <f>SUMIFS([2]钥匙宝箱!$K:$K,[2]钥匙宝箱!$J:$J,F$1,[2]钥匙宝箱!$H:$H,$B64)</f>
        <v>#VALUE!</v>
      </c>
      <c r="G64" s="17" t="e">
        <f>SUMIFS([2]钥匙宝箱!$K:$K,[2]钥匙宝箱!$J:$J,G$1,[2]钥匙宝箱!$H:$H,$B64)</f>
        <v>#VALUE!</v>
      </c>
      <c r="H64" s="17" t="e">
        <f>SUMIFS([2]钥匙宝箱!$K:$K,[2]钥匙宝箱!$J:$J,H$1,[2]钥匙宝箱!$H:$H,$B64)</f>
        <v>#VALUE!</v>
      </c>
      <c r="I64" s="17" t="e">
        <f>SUMIFS([2]钥匙宝箱!$K:$K,[2]钥匙宝箱!$J:$J,I$1,[2]钥匙宝箱!$H:$H,$B64)</f>
        <v>#VALUE!</v>
      </c>
      <c r="J64" s="17" t="e">
        <f>SUMIFS([2]钥匙宝箱!$K:$K,[2]钥匙宝箱!$J:$J,J$1,[2]钥匙宝箱!$H:$H,$B64)</f>
        <v>#VALUE!</v>
      </c>
      <c r="K64" s="17" t="e">
        <f>SUMIFS([2]钥匙宝箱!$K:$K,[2]钥匙宝箱!$J:$J,K$1,[2]钥匙宝箱!$H:$H,$B64)</f>
        <v>#VALUE!</v>
      </c>
      <c r="L64" s="17" t="e">
        <f>SUMIFS([2]钥匙宝箱!$K:$K,[2]钥匙宝箱!$J:$J,L$1,[2]钥匙宝箱!$H:$H,$B64)</f>
        <v>#VALUE!</v>
      </c>
      <c r="M64" s="17" t="e">
        <f>SUMIFS([2]钥匙宝箱!$K:$K,[2]钥匙宝箱!$J:$J,M$1,[2]钥匙宝箱!$H:$H,$B64)</f>
        <v>#VALUE!</v>
      </c>
    </row>
  </sheetData>
  <phoneticPr fontId="3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03"/>
  <sheetViews>
    <sheetView workbookViewId="0">
      <selection activeCell="J2" sqref="J2:N11"/>
    </sheetView>
  </sheetViews>
  <sheetFormatPr defaultColWidth="9" defaultRowHeight="13.5" x14ac:dyDescent="0.15"/>
  <cols>
    <col min="6" max="7" width="11.875" customWidth="1"/>
  </cols>
  <sheetData>
    <row r="1" spans="1:13" x14ac:dyDescent="0.15">
      <c r="A1" s="48" t="s">
        <v>739</v>
      </c>
      <c r="B1" s="48" t="s">
        <v>740</v>
      </c>
      <c r="C1" s="48" t="s">
        <v>741</v>
      </c>
      <c r="D1" s="48" t="s">
        <v>742</v>
      </c>
      <c r="E1" s="48" t="s">
        <v>743</v>
      </c>
      <c r="F1" s="48" t="s">
        <v>744</v>
      </c>
      <c r="G1" s="48" t="s">
        <v>745</v>
      </c>
      <c r="J1" s="255" t="s">
        <v>3742</v>
      </c>
      <c r="K1" s="255" t="s">
        <v>3743</v>
      </c>
      <c r="L1" s="255" t="s">
        <v>3744</v>
      </c>
      <c r="M1" s="255" t="s">
        <v>3745</v>
      </c>
    </row>
    <row r="2" spans="1:13" ht="15.75" x14ac:dyDescent="0.3">
      <c r="A2" t="s">
        <v>613</v>
      </c>
      <c r="B2" t="s">
        <v>182</v>
      </c>
      <c r="C2">
        <v>1</v>
      </c>
      <c r="D2" t="str">
        <f>A2&amp;"_"&amp;B2</f>
        <v>T1_低</v>
      </c>
      <c r="E2" t="str">
        <f>A2&amp;"_"&amp;B2&amp;"_"&amp;C2</f>
        <v>T1_低_1</v>
      </c>
      <c r="F2">
        <v>3</v>
      </c>
      <c r="G2">
        <v>185</v>
      </c>
      <c r="J2" s="253">
        <v>6</v>
      </c>
      <c r="K2" s="254">
        <v>2</v>
      </c>
      <c r="L2" s="254">
        <v>0</v>
      </c>
      <c r="M2">
        <f>SUM($J$2:J2)</f>
        <v>6</v>
      </c>
    </row>
    <row r="3" spans="1:13" ht="15.75" x14ac:dyDescent="0.3">
      <c r="A3" t="s">
        <v>613</v>
      </c>
      <c r="B3" t="s">
        <v>182</v>
      </c>
      <c r="C3">
        <v>2</v>
      </c>
      <c r="D3" t="str">
        <f t="shared" ref="D3:D66" si="0">A3&amp;"_"&amp;B3</f>
        <v>T1_低</v>
      </c>
      <c r="E3" t="str">
        <f t="shared" ref="E3:E66" si="1">A3&amp;"_"&amp;B3&amp;"_"&amp;C3</f>
        <v>T1_低_2</v>
      </c>
      <c r="F3">
        <v>3</v>
      </c>
      <c r="G3">
        <v>800</v>
      </c>
      <c r="J3" s="253">
        <v>6</v>
      </c>
      <c r="K3" s="254">
        <v>2</v>
      </c>
      <c r="L3" s="254">
        <v>1</v>
      </c>
      <c r="M3">
        <f>SUM($J$2:J3)</f>
        <v>12</v>
      </c>
    </row>
    <row r="4" spans="1:13" ht="15.75" x14ac:dyDescent="0.3">
      <c r="A4" t="s">
        <v>613</v>
      </c>
      <c r="B4" t="s">
        <v>182</v>
      </c>
      <c r="C4">
        <v>3</v>
      </c>
      <c r="D4" t="str">
        <f t="shared" si="0"/>
        <v>T1_低</v>
      </c>
      <c r="E4" t="str">
        <f t="shared" si="1"/>
        <v>T1_低_3</v>
      </c>
      <c r="F4">
        <v>8</v>
      </c>
      <c r="G4">
        <v>2370</v>
      </c>
      <c r="J4" s="253">
        <v>8</v>
      </c>
      <c r="K4" s="254">
        <v>2</v>
      </c>
      <c r="L4" s="254">
        <v>2</v>
      </c>
      <c r="M4">
        <f>SUM($J$2:J4)</f>
        <v>20</v>
      </c>
    </row>
    <row r="5" spans="1:13" ht="14.25" x14ac:dyDescent="0.15">
      <c r="A5" t="s">
        <v>613</v>
      </c>
      <c r="B5" t="s">
        <v>182</v>
      </c>
      <c r="C5">
        <v>4</v>
      </c>
      <c r="D5" t="str">
        <f t="shared" si="0"/>
        <v>T1_低</v>
      </c>
      <c r="E5" t="str">
        <f t="shared" si="1"/>
        <v>T1_低_4</v>
      </c>
      <c r="F5">
        <v>10</v>
      </c>
      <c r="G5">
        <v>3150</v>
      </c>
      <c r="J5" s="254">
        <v>18</v>
      </c>
      <c r="K5" s="254">
        <v>3</v>
      </c>
      <c r="L5" s="254">
        <v>0</v>
      </c>
      <c r="M5">
        <f>SUM($J$2:J5)</f>
        <v>38</v>
      </c>
    </row>
    <row r="6" spans="1:13" ht="14.25" x14ac:dyDescent="0.15">
      <c r="A6" t="s">
        <v>613</v>
      </c>
      <c r="B6" t="s">
        <v>182</v>
      </c>
      <c r="C6">
        <v>5</v>
      </c>
      <c r="D6" t="str">
        <f t="shared" si="0"/>
        <v>T1_低</v>
      </c>
      <c r="E6" t="str">
        <f t="shared" si="1"/>
        <v>T1_低_5</v>
      </c>
      <c r="F6">
        <v>10</v>
      </c>
      <c r="G6">
        <v>3900</v>
      </c>
      <c r="J6" s="254">
        <v>18</v>
      </c>
      <c r="K6" s="254">
        <v>3</v>
      </c>
      <c r="L6" s="254">
        <v>1</v>
      </c>
      <c r="M6">
        <f>SUM($J$2:J6)</f>
        <v>56</v>
      </c>
    </row>
    <row r="7" spans="1:13" ht="14.25" x14ac:dyDescent="0.15">
      <c r="A7" t="s">
        <v>613</v>
      </c>
      <c r="B7" t="s">
        <v>182</v>
      </c>
      <c r="C7">
        <v>6</v>
      </c>
      <c r="D7" t="str">
        <f t="shared" si="0"/>
        <v>T1_低</v>
      </c>
      <c r="E7" t="str">
        <f t="shared" si="1"/>
        <v>T1_低_6</v>
      </c>
      <c r="F7">
        <v>10</v>
      </c>
      <c r="G7">
        <v>0</v>
      </c>
      <c r="J7" s="254">
        <v>24</v>
      </c>
      <c r="K7" s="254">
        <v>3</v>
      </c>
      <c r="L7" s="254">
        <v>2</v>
      </c>
      <c r="M7">
        <f>SUM($J$2:J7)</f>
        <v>80</v>
      </c>
    </row>
    <row r="8" spans="1:13" ht="14.25" x14ac:dyDescent="0.15">
      <c r="A8" t="s">
        <v>615</v>
      </c>
      <c r="B8" t="s">
        <v>182</v>
      </c>
      <c r="C8">
        <v>1</v>
      </c>
      <c r="D8" t="str">
        <f t="shared" si="0"/>
        <v>T2_低</v>
      </c>
      <c r="E8" t="str">
        <f t="shared" si="1"/>
        <v>T2_低_1</v>
      </c>
      <c r="F8">
        <v>6</v>
      </c>
      <c r="G8">
        <v>2750</v>
      </c>
      <c r="J8" s="254">
        <v>30</v>
      </c>
      <c r="K8" s="254">
        <v>3</v>
      </c>
      <c r="L8" s="254">
        <v>3</v>
      </c>
      <c r="M8">
        <f>SUM($J$2:J8)</f>
        <v>110</v>
      </c>
    </row>
    <row r="9" spans="1:13" ht="14.25" x14ac:dyDescent="0.15">
      <c r="A9" t="s">
        <v>615</v>
      </c>
      <c r="B9" t="s">
        <v>182</v>
      </c>
      <c r="C9">
        <v>2</v>
      </c>
      <c r="D9" t="str">
        <f t="shared" si="0"/>
        <v>T2_低</v>
      </c>
      <c r="E9" t="str">
        <f t="shared" si="1"/>
        <v>T2_低_2</v>
      </c>
      <c r="F9">
        <v>6</v>
      </c>
      <c r="G9">
        <v>5350</v>
      </c>
      <c r="J9" s="254">
        <v>50</v>
      </c>
      <c r="K9" s="254">
        <v>4</v>
      </c>
      <c r="L9" s="254">
        <v>0</v>
      </c>
      <c r="M9">
        <f>SUM($J$2:J9)</f>
        <v>160</v>
      </c>
    </row>
    <row r="10" spans="1:13" ht="14.25" x14ac:dyDescent="0.15">
      <c r="A10" t="s">
        <v>615</v>
      </c>
      <c r="B10" t="s">
        <v>182</v>
      </c>
      <c r="C10">
        <v>3</v>
      </c>
      <c r="D10" t="str">
        <f t="shared" si="0"/>
        <v>T2_低</v>
      </c>
      <c r="E10" t="str">
        <f t="shared" si="1"/>
        <v>T2_低_3</v>
      </c>
      <c r="F10">
        <v>8</v>
      </c>
      <c r="G10">
        <v>8100</v>
      </c>
      <c r="J10" s="254">
        <v>50</v>
      </c>
      <c r="K10" s="254">
        <v>4</v>
      </c>
      <c r="L10" s="254">
        <v>1</v>
      </c>
      <c r="M10">
        <f>SUM($J$2:J10)</f>
        <v>210</v>
      </c>
    </row>
    <row r="11" spans="1:13" ht="14.25" x14ac:dyDescent="0.15">
      <c r="A11" t="s">
        <v>615</v>
      </c>
      <c r="B11" t="s">
        <v>182</v>
      </c>
      <c r="C11">
        <v>4</v>
      </c>
      <c r="D11" t="str">
        <f t="shared" si="0"/>
        <v>T2_低</v>
      </c>
      <c r="E11" t="str">
        <f t="shared" si="1"/>
        <v>T2_低_4</v>
      </c>
      <c r="F11">
        <v>30</v>
      </c>
      <c r="G11">
        <v>10800</v>
      </c>
      <c r="J11" s="254">
        <v>50</v>
      </c>
      <c r="K11" s="254">
        <v>4</v>
      </c>
      <c r="L11" s="254">
        <v>2</v>
      </c>
      <c r="M11">
        <f>SUM($J$2:J11)</f>
        <v>260</v>
      </c>
    </row>
    <row r="12" spans="1:13" ht="14.25" x14ac:dyDescent="0.15">
      <c r="A12" t="s">
        <v>615</v>
      </c>
      <c r="B12" t="s">
        <v>182</v>
      </c>
      <c r="C12">
        <v>5</v>
      </c>
      <c r="D12" t="str">
        <f t="shared" si="0"/>
        <v>T2_低</v>
      </c>
      <c r="E12" t="str">
        <f t="shared" si="1"/>
        <v>T2_低_5</v>
      </c>
      <c r="F12">
        <v>30</v>
      </c>
      <c r="G12">
        <v>13500</v>
      </c>
      <c r="J12" s="254">
        <v>50</v>
      </c>
      <c r="K12" s="254">
        <v>4</v>
      </c>
      <c r="L12" s="254">
        <v>3</v>
      </c>
      <c r="M12">
        <f>SUM($J$2:J12)</f>
        <v>310</v>
      </c>
    </row>
    <row r="13" spans="1:13" ht="14.25" x14ac:dyDescent="0.15">
      <c r="A13" t="s">
        <v>615</v>
      </c>
      <c r="B13" t="s">
        <v>182</v>
      </c>
      <c r="C13">
        <v>6</v>
      </c>
      <c r="D13" t="str">
        <f t="shared" si="0"/>
        <v>T2_低</v>
      </c>
      <c r="E13" t="str">
        <f t="shared" si="1"/>
        <v>T2_低_6</v>
      </c>
      <c r="F13">
        <v>30</v>
      </c>
      <c r="G13">
        <v>16100</v>
      </c>
      <c r="J13" s="254">
        <v>50</v>
      </c>
      <c r="K13" s="254">
        <v>4</v>
      </c>
      <c r="L13" s="254">
        <v>4</v>
      </c>
      <c r="M13">
        <f>SUM($J$2:J13)</f>
        <v>360</v>
      </c>
    </row>
    <row r="14" spans="1:13" ht="14.25" x14ac:dyDescent="0.15">
      <c r="A14" t="s">
        <v>615</v>
      </c>
      <c r="B14" t="s">
        <v>182</v>
      </c>
      <c r="C14">
        <v>7</v>
      </c>
      <c r="D14" t="str">
        <f t="shared" si="0"/>
        <v>T2_低</v>
      </c>
      <c r="E14" t="str">
        <f t="shared" si="1"/>
        <v>T2_低_7</v>
      </c>
      <c r="F14">
        <v>30</v>
      </c>
      <c r="G14">
        <v>18900</v>
      </c>
      <c r="J14" s="254">
        <v>50</v>
      </c>
      <c r="K14" s="254">
        <v>5</v>
      </c>
      <c r="L14" s="254">
        <v>0</v>
      </c>
      <c r="M14">
        <f>SUM($J$2:J14)</f>
        <v>410</v>
      </c>
    </row>
    <row r="15" spans="1:13" x14ac:dyDescent="0.15">
      <c r="A15" t="s">
        <v>615</v>
      </c>
      <c r="B15" t="s">
        <v>182</v>
      </c>
      <c r="C15">
        <v>8</v>
      </c>
      <c r="D15" t="str">
        <f t="shared" si="0"/>
        <v>T2_低</v>
      </c>
      <c r="E15" t="str">
        <f t="shared" si="1"/>
        <v>T2_低_8</v>
      </c>
      <c r="F15">
        <v>30</v>
      </c>
      <c r="G15">
        <v>0</v>
      </c>
    </row>
    <row r="16" spans="1:13" x14ac:dyDescent="0.15">
      <c r="A16" t="s">
        <v>615</v>
      </c>
      <c r="B16" t="s">
        <v>184</v>
      </c>
      <c r="C16">
        <v>1</v>
      </c>
      <c r="D16" t="str">
        <f t="shared" si="0"/>
        <v>T2_中</v>
      </c>
      <c r="E16" t="str">
        <f t="shared" si="1"/>
        <v>T2_中_1</v>
      </c>
      <c r="F16">
        <v>6</v>
      </c>
      <c r="G16">
        <v>6100</v>
      </c>
    </row>
    <row r="17" spans="1:7" x14ac:dyDescent="0.15">
      <c r="A17" t="s">
        <v>615</v>
      </c>
      <c r="B17" t="s">
        <v>184</v>
      </c>
      <c r="C17">
        <v>2</v>
      </c>
      <c r="D17" t="str">
        <f t="shared" si="0"/>
        <v>T2_中</v>
      </c>
      <c r="E17" t="str">
        <f t="shared" si="1"/>
        <v>T2_中_2</v>
      </c>
      <c r="F17">
        <v>6</v>
      </c>
      <c r="G17">
        <v>12050</v>
      </c>
    </row>
    <row r="18" spans="1:7" x14ac:dyDescent="0.15">
      <c r="A18" t="s">
        <v>615</v>
      </c>
      <c r="B18" t="s">
        <v>184</v>
      </c>
      <c r="C18">
        <v>3</v>
      </c>
      <c r="D18" t="str">
        <f t="shared" si="0"/>
        <v>T2_中</v>
      </c>
      <c r="E18" t="str">
        <f t="shared" si="1"/>
        <v>T2_中_3</v>
      </c>
      <c r="F18">
        <v>8</v>
      </c>
      <c r="G18">
        <v>18100</v>
      </c>
    </row>
    <row r="19" spans="1:7" x14ac:dyDescent="0.15">
      <c r="A19" t="s">
        <v>615</v>
      </c>
      <c r="B19" t="s">
        <v>184</v>
      </c>
      <c r="C19">
        <v>4</v>
      </c>
      <c r="D19" t="str">
        <f t="shared" si="0"/>
        <v>T2_中</v>
      </c>
      <c r="E19" t="str">
        <f t="shared" si="1"/>
        <v>T2_中_4</v>
      </c>
      <c r="F19">
        <v>30</v>
      </c>
      <c r="G19">
        <v>24300</v>
      </c>
    </row>
    <row r="20" spans="1:7" x14ac:dyDescent="0.15">
      <c r="A20" t="s">
        <v>615</v>
      </c>
      <c r="B20" t="s">
        <v>184</v>
      </c>
      <c r="C20">
        <v>5</v>
      </c>
      <c r="D20" t="str">
        <f t="shared" si="0"/>
        <v>T2_中</v>
      </c>
      <c r="E20" t="str">
        <f t="shared" si="1"/>
        <v>T2_中_5</v>
      </c>
      <c r="F20">
        <v>30</v>
      </c>
      <c r="G20">
        <v>30300</v>
      </c>
    </row>
    <row r="21" spans="1:7" x14ac:dyDescent="0.15">
      <c r="A21" t="s">
        <v>615</v>
      </c>
      <c r="B21" t="s">
        <v>184</v>
      </c>
      <c r="C21">
        <v>6</v>
      </c>
      <c r="D21" t="str">
        <f t="shared" si="0"/>
        <v>T2_中</v>
      </c>
      <c r="E21" t="str">
        <f t="shared" si="1"/>
        <v>T2_中_6</v>
      </c>
      <c r="F21">
        <v>30</v>
      </c>
      <c r="G21">
        <v>36300</v>
      </c>
    </row>
    <row r="22" spans="1:7" x14ac:dyDescent="0.15">
      <c r="A22" t="s">
        <v>615</v>
      </c>
      <c r="B22" t="s">
        <v>184</v>
      </c>
      <c r="C22">
        <v>7</v>
      </c>
      <c r="D22" t="str">
        <f t="shared" si="0"/>
        <v>T2_中</v>
      </c>
      <c r="E22" t="str">
        <f t="shared" si="1"/>
        <v>T2_中_7</v>
      </c>
      <c r="F22">
        <v>30</v>
      </c>
      <c r="G22">
        <v>42400</v>
      </c>
    </row>
    <row r="23" spans="1:7" x14ac:dyDescent="0.15">
      <c r="A23" t="s">
        <v>615</v>
      </c>
      <c r="B23" t="s">
        <v>184</v>
      </c>
      <c r="C23">
        <v>8</v>
      </c>
      <c r="D23" t="str">
        <f t="shared" si="0"/>
        <v>T2_中</v>
      </c>
      <c r="E23" t="str">
        <f t="shared" si="1"/>
        <v>T2_中_8</v>
      </c>
      <c r="F23">
        <v>30</v>
      </c>
      <c r="G23">
        <v>0</v>
      </c>
    </row>
    <row r="24" spans="1:7" x14ac:dyDescent="0.15">
      <c r="A24" t="s">
        <v>619</v>
      </c>
      <c r="B24" t="s">
        <v>182</v>
      </c>
      <c r="C24">
        <v>1</v>
      </c>
      <c r="D24" t="str">
        <f t="shared" si="0"/>
        <v>T3_低</v>
      </c>
      <c r="E24" t="str">
        <f t="shared" si="1"/>
        <v>T3_低_1</v>
      </c>
      <c r="F24">
        <v>18</v>
      </c>
      <c r="G24">
        <v>7350</v>
      </c>
    </row>
    <row r="25" spans="1:7" x14ac:dyDescent="0.15">
      <c r="A25" t="s">
        <v>619</v>
      </c>
      <c r="B25" t="s">
        <v>182</v>
      </c>
      <c r="C25">
        <v>2</v>
      </c>
      <c r="D25" t="str">
        <f t="shared" si="0"/>
        <v>T3_低</v>
      </c>
      <c r="E25" t="str">
        <f t="shared" si="1"/>
        <v>T3_低_2</v>
      </c>
      <c r="F25">
        <v>18</v>
      </c>
      <c r="G25">
        <v>14800</v>
      </c>
    </row>
    <row r="26" spans="1:7" x14ac:dyDescent="0.15">
      <c r="A26" t="s">
        <v>619</v>
      </c>
      <c r="B26" t="s">
        <v>182</v>
      </c>
      <c r="C26">
        <v>3</v>
      </c>
      <c r="D26" t="str">
        <f t="shared" si="0"/>
        <v>T3_低</v>
      </c>
      <c r="E26" t="str">
        <f t="shared" si="1"/>
        <v>T3_低_3</v>
      </c>
      <c r="F26">
        <v>24</v>
      </c>
      <c r="G26">
        <v>22500</v>
      </c>
    </row>
    <row r="27" spans="1:7" x14ac:dyDescent="0.15">
      <c r="A27" t="s">
        <v>619</v>
      </c>
      <c r="B27" t="s">
        <v>182</v>
      </c>
      <c r="C27">
        <v>4</v>
      </c>
      <c r="D27" t="str">
        <f t="shared" si="0"/>
        <v>T3_低</v>
      </c>
      <c r="E27" t="str">
        <f t="shared" si="1"/>
        <v>T3_低_4</v>
      </c>
      <c r="F27">
        <v>30</v>
      </c>
      <c r="G27">
        <v>29900</v>
      </c>
    </row>
    <row r="28" spans="1:7" x14ac:dyDescent="0.15">
      <c r="A28" t="s">
        <v>619</v>
      </c>
      <c r="B28" t="s">
        <v>182</v>
      </c>
      <c r="C28">
        <v>5</v>
      </c>
      <c r="D28" t="str">
        <f t="shared" si="0"/>
        <v>T3_低</v>
      </c>
      <c r="E28" t="str">
        <f t="shared" si="1"/>
        <v>T3_低_5</v>
      </c>
      <c r="F28">
        <v>50</v>
      </c>
      <c r="G28">
        <v>37300</v>
      </c>
    </row>
    <row r="29" spans="1:7" x14ac:dyDescent="0.15">
      <c r="A29" t="s">
        <v>619</v>
      </c>
      <c r="B29" t="s">
        <v>182</v>
      </c>
      <c r="C29">
        <v>6</v>
      </c>
      <c r="D29" t="str">
        <f t="shared" si="0"/>
        <v>T3_低</v>
      </c>
      <c r="E29" t="str">
        <f t="shared" si="1"/>
        <v>T3_低_6</v>
      </c>
      <c r="F29">
        <v>50</v>
      </c>
      <c r="G29">
        <v>44600</v>
      </c>
    </row>
    <row r="30" spans="1:7" x14ac:dyDescent="0.15">
      <c r="A30" t="s">
        <v>619</v>
      </c>
      <c r="B30" t="s">
        <v>182</v>
      </c>
      <c r="C30">
        <v>7</v>
      </c>
      <c r="D30" t="str">
        <f t="shared" si="0"/>
        <v>T3_低</v>
      </c>
      <c r="E30" t="str">
        <f t="shared" si="1"/>
        <v>T3_低_7</v>
      </c>
      <c r="F30">
        <v>50</v>
      </c>
      <c r="G30">
        <v>52400</v>
      </c>
    </row>
    <row r="31" spans="1:7" x14ac:dyDescent="0.15">
      <c r="A31" t="s">
        <v>619</v>
      </c>
      <c r="B31" t="s">
        <v>182</v>
      </c>
      <c r="C31">
        <v>8</v>
      </c>
      <c r="D31" t="str">
        <f t="shared" si="0"/>
        <v>T3_低</v>
      </c>
      <c r="E31" t="str">
        <f t="shared" si="1"/>
        <v>T3_低_8</v>
      </c>
      <c r="F31">
        <v>50</v>
      </c>
      <c r="G31">
        <v>59800</v>
      </c>
    </row>
    <row r="32" spans="1:7" x14ac:dyDescent="0.15">
      <c r="A32" t="s">
        <v>619</v>
      </c>
      <c r="B32" t="s">
        <v>182</v>
      </c>
      <c r="C32">
        <v>9</v>
      </c>
      <c r="D32" t="str">
        <f t="shared" si="0"/>
        <v>T3_低</v>
      </c>
      <c r="E32" t="str">
        <f t="shared" si="1"/>
        <v>T3_低_9</v>
      </c>
      <c r="F32">
        <v>50</v>
      </c>
      <c r="G32">
        <v>67200</v>
      </c>
    </row>
    <row r="33" spans="1:7" x14ac:dyDescent="0.15">
      <c r="A33" t="s">
        <v>619</v>
      </c>
      <c r="B33" t="s">
        <v>182</v>
      </c>
      <c r="C33">
        <v>10</v>
      </c>
      <c r="D33" t="str">
        <f t="shared" si="0"/>
        <v>T3_低</v>
      </c>
      <c r="E33" t="str">
        <f t="shared" si="1"/>
        <v>T3_低_10</v>
      </c>
      <c r="F33">
        <v>50</v>
      </c>
      <c r="G33">
        <v>0</v>
      </c>
    </row>
    <row r="34" spans="1:7" x14ac:dyDescent="0.15">
      <c r="A34" t="s">
        <v>619</v>
      </c>
      <c r="B34" t="s">
        <v>184</v>
      </c>
      <c r="C34">
        <v>1</v>
      </c>
      <c r="D34" t="str">
        <f t="shared" si="0"/>
        <v>T3_中</v>
      </c>
      <c r="E34" t="str">
        <f t="shared" si="1"/>
        <v>T3_中_1</v>
      </c>
      <c r="F34">
        <v>18</v>
      </c>
      <c r="G34">
        <v>12350</v>
      </c>
    </row>
    <row r="35" spans="1:7" x14ac:dyDescent="0.15">
      <c r="A35" t="s">
        <v>619</v>
      </c>
      <c r="B35" t="s">
        <v>184</v>
      </c>
      <c r="C35">
        <v>2</v>
      </c>
      <c r="D35" t="str">
        <f t="shared" si="0"/>
        <v>T3_中</v>
      </c>
      <c r="E35" t="str">
        <f t="shared" si="1"/>
        <v>T3_中_2</v>
      </c>
      <c r="F35">
        <v>18</v>
      </c>
      <c r="G35">
        <v>24600</v>
      </c>
    </row>
    <row r="36" spans="1:7" x14ac:dyDescent="0.15">
      <c r="A36" t="s">
        <v>619</v>
      </c>
      <c r="B36" t="s">
        <v>184</v>
      </c>
      <c r="C36">
        <v>3</v>
      </c>
      <c r="D36" t="str">
        <f t="shared" si="0"/>
        <v>T3_中</v>
      </c>
      <c r="E36" t="str">
        <f t="shared" si="1"/>
        <v>T3_中_3</v>
      </c>
      <c r="F36">
        <v>24</v>
      </c>
      <c r="G36">
        <v>37600</v>
      </c>
    </row>
    <row r="37" spans="1:7" x14ac:dyDescent="0.15">
      <c r="A37" t="s">
        <v>619</v>
      </c>
      <c r="B37" t="s">
        <v>184</v>
      </c>
      <c r="C37">
        <v>4</v>
      </c>
      <c r="D37" t="str">
        <f t="shared" si="0"/>
        <v>T3_中</v>
      </c>
      <c r="E37" t="str">
        <f t="shared" si="1"/>
        <v>T3_中_4</v>
      </c>
      <c r="F37">
        <v>30</v>
      </c>
      <c r="G37">
        <v>50000</v>
      </c>
    </row>
    <row r="38" spans="1:7" x14ac:dyDescent="0.15">
      <c r="A38" t="s">
        <v>619</v>
      </c>
      <c r="B38" t="s">
        <v>184</v>
      </c>
      <c r="C38">
        <v>5</v>
      </c>
      <c r="D38" t="str">
        <f t="shared" si="0"/>
        <v>T3_中</v>
      </c>
      <c r="E38" t="str">
        <f t="shared" si="1"/>
        <v>T3_中_5</v>
      </c>
      <c r="F38">
        <v>50</v>
      </c>
      <c r="G38">
        <v>62300</v>
      </c>
    </row>
    <row r="39" spans="1:7" x14ac:dyDescent="0.15">
      <c r="A39" t="s">
        <v>619</v>
      </c>
      <c r="B39" t="s">
        <v>184</v>
      </c>
      <c r="C39">
        <v>6</v>
      </c>
      <c r="D39" t="str">
        <f t="shared" si="0"/>
        <v>T3_中</v>
      </c>
      <c r="E39" t="str">
        <f t="shared" si="1"/>
        <v>T3_中_6</v>
      </c>
      <c r="F39">
        <v>50</v>
      </c>
      <c r="G39">
        <v>74600</v>
      </c>
    </row>
    <row r="40" spans="1:7" x14ac:dyDescent="0.15">
      <c r="A40" t="s">
        <v>619</v>
      </c>
      <c r="B40" t="s">
        <v>184</v>
      </c>
      <c r="C40">
        <v>7</v>
      </c>
      <c r="D40" t="str">
        <f t="shared" si="0"/>
        <v>T3_中</v>
      </c>
      <c r="E40" t="str">
        <f t="shared" si="1"/>
        <v>T3_中_7</v>
      </c>
      <c r="F40">
        <v>50</v>
      </c>
      <c r="G40">
        <v>87600</v>
      </c>
    </row>
    <row r="41" spans="1:7" x14ac:dyDescent="0.15">
      <c r="A41" t="s">
        <v>619</v>
      </c>
      <c r="B41" t="s">
        <v>184</v>
      </c>
      <c r="C41">
        <v>8</v>
      </c>
      <c r="D41" t="str">
        <f t="shared" si="0"/>
        <v>T3_中</v>
      </c>
      <c r="E41" t="str">
        <f t="shared" si="1"/>
        <v>T3_中_8</v>
      </c>
      <c r="F41">
        <v>50</v>
      </c>
      <c r="G41">
        <v>100000</v>
      </c>
    </row>
    <row r="42" spans="1:7" x14ac:dyDescent="0.15">
      <c r="A42" t="s">
        <v>619</v>
      </c>
      <c r="B42" t="s">
        <v>184</v>
      </c>
      <c r="C42">
        <v>9</v>
      </c>
      <c r="D42" t="str">
        <f t="shared" si="0"/>
        <v>T3_中</v>
      </c>
      <c r="E42" t="str">
        <f t="shared" si="1"/>
        <v>T3_中_9</v>
      </c>
      <c r="F42">
        <v>50</v>
      </c>
      <c r="G42">
        <v>112300</v>
      </c>
    </row>
    <row r="43" spans="1:7" x14ac:dyDescent="0.15">
      <c r="A43" t="s">
        <v>619</v>
      </c>
      <c r="B43" t="s">
        <v>184</v>
      </c>
      <c r="C43">
        <v>10</v>
      </c>
      <c r="D43" t="str">
        <f t="shared" si="0"/>
        <v>T3_中</v>
      </c>
      <c r="E43" t="str">
        <f t="shared" si="1"/>
        <v>T3_中_10</v>
      </c>
      <c r="F43">
        <v>50</v>
      </c>
      <c r="G43">
        <v>0</v>
      </c>
    </row>
    <row r="44" spans="1:7" x14ac:dyDescent="0.15">
      <c r="A44" t="s">
        <v>619</v>
      </c>
      <c r="B44" t="s">
        <v>183</v>
      </c>
      <c r="C44">
        <v>1</v>
      </c>
      <c r="D44" t="str">
        <f t="shared" si="0"/>
        <v>T3_高</v>
      </c>
      <c r="E44" t="str">
        <f t="shared" si="1"/>
        <v>T3_高_1</v>
      </c>
      <c r="F44">
        <v>18</v>
      </c>
      <c r="G44">
        <v>18800</v>
      </c>
    </row>
    <row r="45" spans="1:7" x14ac:dyDescent="0.15">
      <c r="A45" t="s">
        <v>619</v>
      </c>
      <c r="B45" t="s">
        <v>183</v>
      </c>
      <c r="C45">
        <v>2</v>
      </c>
      <c r="D45" t="str">
        <f t="shared" si="0"/>
        <v>T3_高</v>
      </c>
      <c r="E45" t="str">
        <f t="shared" si="1"/>
        <v>T3_高_2</v>
      </c>
      <c r="F45">
        <v>18</v>
      </c>
      <c r="G45">
        <v>37500</v>
      </c>
    </row>
    <row r="46" spans="1:7" x14ac:dyDescent="0.15">
      <c r="A46" t="s">
        <v>619</v>
      </c>
      <c r="B46" t="s">
        <v>183</v>
      </c>
      <c r="C46">
        <v>3</v>
      </c>
      <c r="D46" t="str">
        <f t="shared" si="0"/>
        <v>T3_高</v>
      </c>
      <c r="E46" t="str">
        <f t="shared" si="1"/>
        <v>T3_高_3</v>
      </c>
      <c r="F46">
        <v>24</v>
      </c>
      <c r="G46">
        <v>57200</v>
      </c>
    </row>
    <row r="47" spans="1:7" x14ac:dyDescent="0.15">
      <c r="A47" t="s">
        <v>619</v>
      </c>
      <c r="B47" t="s">
        <v>183</v>
      </c>
      <c r="C47">
        <v>4</v>
      </c>
      <c r="D47" t="str">
        <f t="shared" si="0"/>
        <v>T3_高</v>
      </c>
      <c r="E47" t="str">
        <f t="shared" si="1"/>
        <v>T3_高_4</v>
      </c>
      <c r="F47">
        <v>30</v>
      </c>
      <c r="G47">
        <v>76000</v>
      </c>
    </row>
    <row r="48" spans="1:7" x14ac:dyDescent="0.15">
      <c r="A48" t="s">
        <v>619</v>
      </c>
      <c r="B48" t="s">
        <v>183</v>
      </c>
      <c r="C48">
        <v>5</v>
      </c>
      <c r="D48" t="str">
        <f t="shared" si="0"/>
        <v>T3_高</v>
      </c>
      <c r="E48" t="str">
        <f t="shared" si="1"/>
        <v>T3_高_5</v>
      </c>
      <c r="F48">
        <v>50</v>
      </c>
      <c r="G48">
        <v>94800</v>
      </c>
    </row>
    <row r="49" spans="1:7" x14ac:dyDescent="0.15">
      <c r="A49" t="s">
        <v>619</v>
      </c>
      <c r="B49" t="s">
        <v>183</v>
      </c>
      <c r="C49">
        <v>6</v>
      </c>
      <c r="D49" t="str">
        <f t="shared" si="0"/>
        <v>T3_高</v>
      </c>
      <c r="E49" t="str">
        <f t="shared" si="1"/>
        <v>T3_高_6</v>
      </c>
      <c r="F49">
        <v>50</v>
      </c>
      <c r="G49">
        <v>113600</v>
      </c>
    </row>
    <row r="50" spans="1:7" x14ac:dyDescent="0.15">
      <c r="A50" t="s">
        <v>619</v>
      </c>
      <c r="B50" t="s">
        <v>183</v>
      </c>
      <c r="C50">
        <v>7</v>
      </c>
      <c r="D50" t="str">
        <f t="shared" si="0"/>
        <v>T3_高</v>
      </c>
      <c r="E50" t="str">
        <f t="shared" si="1"/>
        <v>T3_高_7</v>
      </c>
      <c r="F50">
        <v>50</v>
      </c>
      <c r="G50">
        <v>133000</v>
      </c>
    </row>
    <row r="51" spans="1:7" x14ac:dyDescent="0.15">
      <c r="A51" t="s">
        <v>619</v>
      </c>
      <c r="B51" t="s">
        <v>183</v>
      </c>
      <c r="C51">
        <v>8</v>
      </c>
      <c r="D51" t="str">
        <f t="shared" si="0"/>
        <v>T3_高</v>
      </c>
      <c r="E51" t="str">
        <f t="shared" si="1"/>
        <v>T3_高_8</v>
      </c>
      <c r="F51">
        <v>50</v>
      </c>
      <c r="G51">
        <v>152000</v>
      </c>
    </row>
    <row r="52" spans="1:7" x14ac:dyDescent="0.15">
      <c r="A52" t="s">
        <v>619</v>
      </c>
      <c r="B52" t="s">
        <v>183</v>
      </c>
      <c r="C52">
        <v>9</v>
      </c>
      <c r="D52" t="str">
        <f t="shared" si="0"/>
        <v>T3_高</v>
      </c>
      <c r="E52" t="str">
        <f t="shared" si="1"/>
        <v>T3_高_9</v>
      </c>
      <c r="F52">
        <v>50</v>
      </c>
      <c r="G52">
        <v>170000</v>
      </c>
    </row>
    <row r="53" spans="1:7" x14ac:dyDescent="0.15">
      <c r="A53" t="s">
        <v>619</v>
      </c>
      <c r="B53" t="s">
        <v>183</v>
      </c>
      <c r="C53">
        <v>10</v>
      </c>
      <c r="D53" t="str">
        <f t="shared" si="0"/>
        <v>T3_高</v>
      </c>
      <c r="E53" t="str">
        <f t="shared" si="1"/>
        <v>T3_高_10</v>
      </c>
      <c r="F53">
        <v>50</v>
      </c>
      <c r="G53">
        <v>0</v>
      </c>
    </row>
    <row r="54" spans="1:7" x14ac:dyDescent="0.15">
      <c r="A54" t="s">
        <v>626</v>
      </c>
      <c r="B54" t="s">
        <v>182</v>
      </c>
      <c r="C54">
        <v>1</v>
      </c>
      <c r="D54" t="str">
        <f t="shared" si="0"/>
        <v>T4_低</v>
      </c>
      <c r="E54" t="str">
        <f t="shared" si="1"/>
        <v>T4_低_1</v>
      </c>
      <c r="F54">
        <v>30</v>
      </c>
      <c r="G54">
        <v>24100</v>
      </c>
    </row>
    <row r="55" spans="1:7" x14ac:dyDescent="0.15">
      <c r="A55" t="s">
        <v>626</v>
      </c>
      <c r="B55" t="s">
        <v>182</v>
      </c>
      <c r="C55">
        <v>2</v>
      </c>
      <c r="D55" t="str">
        <f t="shared" si="0"/>
        <v>T4_低</v>
      </c>
      <c r="E55" t="str">
        <f t="shared" si="1"/>
        <v>T4_低_2</v>
      </c>
      <c r="F55">
        <v>30</v>
      </c>
      <c r="G55">
        <v>48400</v>
      </c>
    </row>
    <row r="56" spans="1:7" x14ac:dyDescent="0.15">
      <c r="A56" t="s">
        <v>626</v>
      </c>
      <c r="B56" t="s">
        <v>182</v>
      </c>
      <c r="C56">
        <v>3</v>
      </c>
      <c r="D56" t="str">
        <f t="shared" si="0"/>
        <v>T4_低</v>
      </c>
      <c r="E56" t="str">
        <f t="shared" si="1"/>
        <v>T4_低_3</v>
      </c>
      <c r="F56">
        <v>40</v>
      </c>
      <c r="G56">
        <v>72600</v>
      </c>
    </row>
    <row r="57" spans="1:7" x14ac:dyDescent="0.15">
      <c r="A57" t="s">
        <v>626</v>
      </c>
      <c r="B57" t="s">
        <v>182</v>
      </c>
      <c r="C57">
        <v>4</v>
      </c>
      <c r="D57" t="str">
        <f t="shared" si="0"/>
        <v>T4_低</v>
      </c>
      <c r="E57" t="str">
        <f t="shared" si="1"/>
        <v>T4_低_4</v>
      </c>
      <c r="F57">
        <v>50</v>
      </c>
      <c r="G57">
        <v>98400</v>
      </c>
    </row>
    <row r="58" spans="1:7" x14ac:dyDescent="0.15">
      <c r="A58" t="s">
        <v>626</v>
      </c>
      <c r="B58" t="s">
        <v>182</v>
      </c>
      <c r="C58">
        <v>5</v>
      </c>
      <c r="D58" t="str">
        <f t="shared" si="0"/>
        <v>T4_低</v>
      </c>
      <c r="E58" t="str">
        <f t="shared" si="1"/>
        <v>T4_低_5</v>
      </c>
      <c r="F58">
        <v>50</v>
      </c>
      <c r="G58">
        <v>122600</v>
      </c>
    </row>
    <row r="59" spans="1:7" x14ac:dyDescent="0.15">
      <c r="A59" t="s">
        <v>626</v>
      </c>
      <c r="B59" t="s">
        <v>182</v>
      </c>
      <c r="C59">
        <v>6</v>
      </c>
      <c r="D59" t="str">
        <f t="shared" si="0"/>
        <v>T4_低</v>
      </c>
      <c r="E59" t="str">
        <f t="shared" si="1"/>
        <v>T4_低_6</v>
      </c>
      <c r="F59">
        <v>80</v>
      </c>
      <c r="G59">
        <v>146000</v>
      </c>
    </row>
    <row r="60" spans="1:7" x14ac:dyDescent="0.15">
      <c r="A60" t="s">
        <v>626</v>
      </c>
      <c r="B60" t="s">
        <v>182</v>
      </c>
      <c r="C60">
        <v>7</v>
      </c>
      <c r="D60" t="str">
        <f t="shared" si="0"/>
        <v>T4_低</v>
      </c>
      <c r="E60" t="str">
        <f t="shared" si="1"/>
        <v>T4_低_7</v>
      </c>
      <c r="F60">
        <v>80</v>
      </c>
      <c r="G60">
        <v>171000</v>
      </c>
    </row>
    <row r="61" spans="1:7" x14ac:dyDescent="0.15">
      <c r="A61" t="s">
        <v>626</v>
      </c>
      <c r="B61" t="s">
        <v>182</v>
      </c>
      <c r="C61">
        <v>8</v>
      </c>
      <c r="D61" t="str">
        <f t="shared" si="0"/>
        <v>T4_低</v>
      </c>
      <c r="E61" t="str">
        <f t="shared" si="1"/>
        <v>T4_低_8</v>
      </c>
      <c r="F61">
        <v>80</v>
      </c>
      <c r="G61">
        <v>195000</v>
      </c>
    </row>
    <row r="62" spans="1:7" x14ac:dyDescent="0.15">
      <c r="A62" t="s">
        <v>626</v>
      </c>
      <c r="B62" t="s">
        <v>182</v>
      </c>
      <c r="C62">
        <v>9</v>
      </c>
      <c r="D62" t="str">
        <f t="shared" si="0"/>
        <v>T4_低</v>
      </c>
      <c r="E62" t="str">
        <f t="shared" si="1"/>
        <v>T4_低_9</v>
      </c>
      <c r="F62">
        <v>80</v>
      </c>
      <c r="G62">
        <v>219000</v>
      </c>
    </row>
    <row r="63" spans="1:7" x14ac:dyDescent="0.15">
      <c r="A63" t="s">
        <v>626</v>
      </c>
      <c r="B63" t="s">
        <v>182</v>
      </c>
      <c r="C63">
        <v>10</v>
      </c>
      <c r="D63" t="str">
        <f t="shared" si="0"/>
        <v>T4_低</v>
      </c>
      <c r="E63" t="str">
        <f t="shared" si="1"/>
        <v>T4_低_10</v>
      </c>
      <c r="F63">
        <v>80</v>
      </c>
      <c r="G63">
        <v>245000</v>
      </c>
    </row>
    <row r="64" spans="1:7" x14ac:dyDescent="0.15">
      <c r="A64" t="s">
        <v>626</v>
      </c>
      <c r="B64" t="s">
        <v>182</v>
      </c>
      <c r="C64">
        <v>11</v>
      </c>
      <c r="D64" t="str">
        <f t="shared" si="0"/>
        <v>T4_低</v>
      </c>
      <c r="E64" t="str">
        <f t="shared" si="1"/>
        <v>T4_低_11</v>
      </c>
      <c r="F64">
        <v>80</v>
      </c>
      <c r="G64">
        <v>269000</v>
      </c>
    </row>
    <row r="65" spans="1:7" x14ac:dyDescent="0.15">
      <c r="A65" t="s">
        <v>626</v>
      </c>
      <c r="B65" t="s">
        <v>182</v>
      </c>
      <c r="C65">
        <v>12</v>
      </c>
      <c r="D65" t="str">
        <f t="shared" si="0"/>
        <v>T4_低</v>
      </c>
      <c r="E65" t="str">
        <f t="shared" si="1"/>
        <v>T4_低_12</v>
      </c>
      <c r="F65">
        <v>80</v>
      </c>
      <c r="G65">
        <v>0</v>
      </c>
    </row>
    <row r="66" spans="1:7" x14ac:dyDescent="0.15">
      <c r="A66" t="s">
        <v>626</v>
      </c>
      <c r="B66" t="s">
        <v>184</v>
      </c>
      <c r="C66">
        <v>1</v>
      </c>
      <c r="D66" t="str">
        <f t="shared" si="0"/>
        <v>T4_中</v>
      </c>
      <c r="E66" t="str">
        <f t="shared" si="1"/>
        <v>T4_中_1</v>
      </c>
      <c r="F66">
        <v>30</v>
      </c>
      <c r="G66">
        <v>39000</v>
      </c>
    </row>
    <row r="67" spans="1:7" x14ac:dyDescent="0.15">
      <c r="A67" t="s">
        <v>626</v>
      </c>
      <c r="B67" t="s">
        <v>184</v>
      </c>
      <c r="C67">
        <v>2</v>
      </c>
      <c r="D67" t="str">
        <f t="shared" ref="D67:D103" si="2">A67&amp;"_"&amp;B67</f>
        <v>T4_中</v>
      </c>
      <c r="E67" t="str">
        <f t="shared" ref="E67:E103" si="3">A67&amp;"_"&amp;B67&amp;"_"&amp;C67</f>
        <v>T4_中_2</v>
      </c>
      <c r="F67">
        <v>30</v>
      </c>
      <c r="G67">
        <v>77900</v>
      </c>
    </row>
    <row r="68" spans="1:7" x14ac:dyDescent="0.15">
      <c r="A68" t="s">
        <v>626</v>
      </c>
      <c r="B68" t="s">
        <v>184</v>
      </c>
      <c r="C68">
        <v>3</v>
      </c>
      <c r="D68" t="str">
        <f t="shared" si="2"/>
        <v>T4_中</v>
      </c>
      <c r="E68" t="str">
        <f t="shared" si="3"/>
        <v>T4_中_3</v>
      </c>
      <c r="F68">
        <v>40</v>
      </c>
      <c r="G68">
        <v>116900</v>
      </c>
    </row>
    <row r="69" spans="1:7" x14ac:dyDescent="0.15">
      <c r="A69" t="s">
        <v>626</v>
      </c>
      <c r="B69" t="s">
        <v>184</v>
      </c>
      <c r="C69">
        <v>4</v>
      </c>
      <c r="D69" t="str">
        <f t="shared" si="2"/>
        <v>T4_中</v>
      </c>
      <c r="E69" t="str">
        <f t="shared" si="3"/>
        <v>T4_中_4</v>
      </c>
      <c r="F69">
        <v>50</v>
      </c>
      <c r="G69">
        <v>158000</v>
      </c>
    </row>
    <row r="70" spans="1:7" x14ac:dyDescent="0.15">
      <c r="A70" t="s">
        <v>626</v>
      </c>
      <c r="B70" t="s">
        <v>184</v>
      </c>
      <c r="C70">
        <v>5</v>
      </c>
      <c r="D70" t="str">
        <f t="shared" si="2"/>
        <v>T4_中</v>
      </c>
      <c r="E70" t="str">
        <f t="shared" si="3"/>
        <v>T4_中_5</v>
      </c>
      <c r="F70">
        <v>50</v>
      </c>
      <c r="G70">
        <v>197000</v>
      </c>
    </row>
    <row r="71" spans="1:7" x14ac:dyDescent="0.15">
      <c r="A71" t="s">
        <v>626</v>
      </c>
      <c r="B71" t="s">
        <v>184</v>
      </c>
      <c r="C71">
        <v>6</v>
      </c>
      <c r="D71" t="str">
        <f t="shared" si="2"/>
        <v>T4_中</v>
      </c>
      <c r="E71" t="str">
        <f t="shared" si="3"/>
        <v>T4_中_6</v>
      </c>
      <c r="F71">
        <v>80</v>
      </c>
      <c r="G71">
        <v>236000</v>
      </c>
    </row>
    <row r="72" spans="1:7" x14ac:dyDescent="0.15">
      <c r="A72" t="s">
        <v>626</v>
      </c>
      <c r="B72" t="s">
        <v>184</v>
      </c>
      <c r="C72">
        <v>7</v>
      </c>
      <c r="D72" t="str">
        <f t="shared" si="2"/>
        <v>T4_中</v>
      </c>
      <c r="E72" t="str">
        <f t="shared" si="3"/>
        <v>T4_中_7</v>
      </c>
      <c r="F72">
        <v>80</v>
      </c>
      <c r="G72">
        <v>275000</v>
      </c>
    </row>
    <row r="73" spans="1:7" x14ac:dyDescent="0.15">
      <c r="A73" t="s">
        <v>626</v>
      </c>
      <c r="B73" t="s">
        <v>184</v>
      </c>
      <c r="C73">
        <v>8</v>
      </c>
      <c r="D73" t="str">
        <f t="shared" si="2"/>
        <v>T4_中</v>
      </c>
      <c r="E73" t="str">
        <f t="shared" si="3"/>
        <v>T4_中_8</v>
      </c>
      <c r="F73">
        <v>80</v>
      </c>
      <c r="G73">
        <v>314000</v>
      </c>
    </row>
    <row r="74" spans="1:7" x14ac:dyDescent="0.15">
      <c r="A74" t="s">
        <v>626</v>
      </c>
      <c r="B74" t="s">
        <v>184</v>
      </c>
      <c r="C74">
        <v>9</v>
      </c>
      <c r="D74" t="str">
        <f t="shared" si="2"/>
        <v>T4_中</v>
      </c>
      <c r="E74" t="str">
        <f t="shared" si="3"/>
        <v>T4_中_9</v>
      </c>
      <c r="F74">
        <v>80</v>
      </c>
      <c r="G74">
        <v>353000</v>
      </c>
    </row>
    <row r="75" spans="1:7" x14ac:dyDescent="0.15">
      <c r="A75" t="s">
        <v>626</v>
      </c>
      <c r="B75" t="s">
        <v>184</v>
      </c>
      <c r="C75">
        <v>10</v>
      </c>
      <c r="D75" t="str">
        <f t="shared" si="2"/>
        <v>T4_中</v>
      </c>
      <c r="E75" t="str">
        <f t="shared" si="3"/>
        <v>T4_中_10</v>
      </c>
      <c r="F75">
        <v>80</v>
      </c>
      <c r="G75">
        <v>395000</v>
      </c>
    </row>
    <row r="76" spans="1:7" x14ac:dyDescent="0.15">
      <c r="A76" t="s">
        <v>626</v>
      </c>
      <c r="B76" t="s">
        <v>184</v>
      </c>
      <c r="C76">
        <v>11</v>
      </c>
      <c r="D76" t="str">
        <f t="shared" si="2"/>
        <v>T4_中</v>
      </c>
      <c r="E76" t="str">
        <f t="shared" si="3"/>
        <v>T4_中_11</v>
      </c>
      <c r="F76">
        <v>80</v>
      </c>
      <c r="G76">
        <v>434000</v>
      </c>
    </row>
    <row r="77" spans="1:7" x14ac:dyDescent="0.15">
      <c r="A77" t="s">
        <v>626</v>
      </c>
      <c r="B77" t="s">
        <v>184</v>
      </c>
      <c r="C77">
        <v>12</v>
      </c>
      <c r="D77" t="str">
        <f t="shared" si="2"/>
        <v>T4_中</v>
      </c>
      <c r="E77" t="str">
        <f t="shared" si="3"/>
        <v>T4_中_12</v>
      </c>
      <c r="F77">
        <v>80</v>
      </c>
      <c r="G77">
        <v>0</v>
      </c>
    </row>
    <row r="78" spans="1:7" x14ac:dyDescent="0.15">
      <c r="A78" t="s">
        <v>626</v>
      </c>
      <c r="B78" t="s">
        <v>183</v>
      </c>
      <c r="C78">
        <v>1</v>
      </c>
      <c r="D78" t="str">
        <f t="shared" si="2"/>
        <v>T4_高</v>
      </c>
      <c r="E78" t="str">
        <f t="shared" si="3"/>
        <v>T4_高_1</v>
      </c>
      <c r="F78">
        <v>30</v>
      </c>
      <c r="G78">
        <v>57000</v>
      </c>
    </row>
    <row r="79" spans="1:7" x14ac:dyDescent="0.15">
      <c r="A79" t="s">
        <v>626</v>
      </c>
      <c r="B79" t="s">
        <v>183</v>
      </c>
      <c r="C79">
        <v>2</v>
      </c>
      <c r="D79" t="str">
        <f t="shared" si="2"/>
        <v>T4_高</v>
      </c>
      <c r="E79" t="str">
        <f t="shared" si="3"/>
        <v>T4_高_2</v>
      </c>
      <c r="F79">
        <v>30</v>
      </c>
      <c r="G79">
        <v>114000</v>
      </c>
    </row>
    <row r="80" spans="1:7" x14ac:dyDescent="0.15">
      <c r="A80" t="s">
        <v>626</v>
      </c>
      <c r="B80" t="s">
        <v>183</v>
      </c>
      <c r="C80">
        <v>3</v>
      </c>
      <c r="D80" t="str">
        <f t="shared" si="2"/>
        <v>T4_高</v>
      </c>
      <c r="E80" t="str">
        <f t="shared" si="3"/>
        <v>T4_高_3</v>
      </c>
      <c r="F80">
        <v>40</v>
      </c>
      <c r="G80">
        <v>171000</v>
      </c>
    </row>
    <row r="81" spans="1:7" x14ac:dyDescent="0.15">
      <c r="A81" t="s">
        <v>626</v>
      </c>
      <c r="B81" t="s">
        <v>183</v>
      </c>
      <c r="C81">
        <v>4</v>
      </c>
      <c r="D81" t="str">
        <f t="shared" si="2"/>
        <v>T4_高</v>
      </c>
      <c r="E81" t="str">
        <f t="shared" si="3"/>
        <v>T4_高_4</v>
      </c>
      <c r="F81">
        <v>50</v>
      </c>
      <c r="G81">
        <v>231000</v>
      </c>
    </row>
    <row r="82" spans="1:7" x14ac:dyDescent="0.15">
      <c r="A82" t="s">
        <v>626</v>
      </c>
      <c r="B82" t="s">
        <v>183</v>
      </c>
      <c r="C82">
        <v>5</v>
      </c>
      <c r="D82" t="str">
        <f t="shared" si="2"/>
        <v>T4_高</v>
      </c>
      <c r="E82" t="str">
        <f t="shared" si="3"/>
        <v>T4_高_5</v>
      </c>
      <c r="F82">
        <v>50</v>
      </c>
      <c r="G82">
        <v>288000</v>
      </c>
    </row>
    <row r="83" spans="1:7" x14ac:dyDescent="0.15">
      <c r="A83" t="s">
        <v>626</v>
      </c>
      <c r="B83" t="s">
        <v>183</v>
      </c>
      <c r="C83">
        <v>6</v>
      </c>
      <c r="D83" t="str">
        <f t="shared" si="2"/>
        <v>T4_高</v>
      </c>
      <c r="E83" t="str">
        <f t="shared" si="3"/>
        <v>T4_高_6</v>
      </c>
      <c r="F83">
        <v>80</v>
      </c>
      <c r="G83">
        <v>345000</v>
      </c>
    </row>
    <row r="84" spans="1:7" x14ac:dyDescent="0.15">
      <c r="A84" t="s">
        <v>626</v>
      </c>
      <c r="B84" t="s">
        <v>183</v>
      </c>
      <c r="C84">
        <v>7</v>
      </c>
      <c r="D84" t="str">
        <f t="shared" si="2"/>
        <v>T4_高</v>
      </c>
      <c r="E84" t="str">
        <f t="shared" si="3"/>
        <v>T4_高_7</v>
      </c>
      <c r="F84">
        <v>80</v>
      </c>
      <c r="G84">
        <v>402000</v>
      </c>
    </row>
    <row r="85" spans="1:7" x14ac:dyDescent="0.15">
      <c r="A85" t="s">
        <v>626</v>
      </c>
      <c r="B85" t="s">
        <v>183</v>
      </c>
      <c r="C85">
        <v>8</v>
      </c>
      <c r="D85" t="str">
        <f t="shared" si="2"/>
        <v>T4_高</v>
      </c>
      <c r="E85" t="str">
        <f t="shared" si="3"/>
        <v>T4_高_8</v>
      </c>
      <c r="F85">
        <v>80</v>
      </c>
      <c r="G85">
        <v>459000</v>
      </c>
    </row>
    <row r="86" spans="1:7" x14ac:dyDescent="0.15">
      <c r="A86" t="s">
        <v>626</v>
      </c>
      <c r="B86" t="s">
        <v>183</v>
      </c>
      <c r="C86">
        <v>9</v>
      </c>
      <c r="D86" t="str">
        <f t="shared" si="2"/>
        <v>T4_高</v>
      </c>
      <c r="E86" t="str">
        <f t="shared" si="3"/>
        <v>T4_高_9</v>
      </c>
      <c r="F86">
        <v>80</v>
      </c>
      <c r="G86">
        <v>516000</v>
      </c>
    </row>
    <row r="87" spans="1:7" x14ac:dyDescent="0.15">
      <c r="A87" t="s">
        <v>626</v>
      </c>
      <c r="B87" t="s">
        <v>183</v>
      </c>
      <c r="C87">
        <v>10</v>
      </c>
      <c r="D87" t="str">
        <f t="shared" si="2"/>
        <v>T4_高</v>
      </c>
      <c r="E87" t="str">
        <f t="shared" si="3"/>
        <v>T4_高_10</v>
      </c>
      <c r="F87">
        <v>80</v>
      </c>
      <c r="G87">
        <v>577000</v>
      </c>
    </row>
    <row r="88" spans="1:7" x14ac:dyDescent="0.15">
      <c r="A88" t="s">
        <v>626</v>
      </c>
      <c r="B88" t="s">
        <v>183</v>
      </c>
      <c r="C88">
        <v>11</v>
      </c>
      <c r="D88" t="str">
        <f t="shared" si="2"/>
        <v>T4_高</v>
      </c>
      <c r="E88" t="str">
        <f t="shared" si="3"/>
        <v>T4_高_11</v>
      </c>
      <c r="F88">
        <v>80</v>
      </c>
      <c r="G88">
        <v>634000</v>
      </c>
    </row>
    <row r="89" spans="1:7" x14ac:dyDescent="0.15">
      <c r="A89" t="s">
        <v>626</v>
      </c>
      <c r="B89" t="s">
        <v>183</v>
      </c>
      <c r="C89">
        <v>12</v>
      </c>
      <c r="D89" t="str">
        <f t="shared" si="2"/>
        <v>T4_高</v>
      </c>
      <c r="E89" t="str">
        <f t="shared" si="3"/>
        <v>T4_高_12</v>
      </c>
      <c r="F89">
        <v>80</v>
      </c>
      <c r="G89">
        <v>0</v>
      </c>
    </row>
    <row r="90" spans="1:7" x14ac:dyDescent="0.15">
      <c r="A90" t="s">
        <v>633</v>
      </c>
      <c r="B90" t="s">
        <v>182</v>
      </c>
      <c r="C90">
        <v>1</v>
      </c>
      <c r="D90" t="str">
        <f t="shared" si="2"/>
        <v>T5_低</v>
      </c>
      <c r="E90" t="str">
        <f t="shared" si="3"/>
        <v>T5_低_1</v>
      </c>
      <c r="F90">
        <v>48</v>
      </c>
      <c r="G90">
        <v>71000</v>
      </c>
    </row>
    <row r="91" spans="1:7" x14ac:dyDescent="0.15">
      <c r="A91" t="s">
        <v>633</v>
      </c>
      <c r="B91" t="s">
        <v>182</v>
      </c>
      <c r="C91">
        <v>2</v>
      </c>
      <c r="D91" t="str">
        <f t="shared" si="2"/>
        <v>T5_低</v>
      </c>
      <c r="E91" t="str">
        <f t="shared" si="3"/>
        <v>T5_低_2</v>
      </c>
      <c r="F91">
        <v>48</v>
      </c>
      <c r="G91">
        <v>141000</v>
      </c>
    </row>
    <row r="92" spans="1:7" x14ac:dyDescent="0.15">
      <c r="A92" t="s">
        <v>633</v>
      </c>
      <c r="B92" t="s">
        <v>182</v>
      </c>
      <c r="C92">
        <v>3</v>
      </c>
      <c r="D92" t="str">
        <f t="shared" si="2"/>
        <v>T5_低</v>
      </c>
      <c r="E92" t="str">
        <f t="shared" si="3"/>
        <v>T5_低_3</v>
      </c>
      <c r="F92">
        <v>64</v>
      </c>
      <c r="G92">
        <v>212000</v>
      </c>
    </row>
    <row r="93" spans="1:7" x14ac:dyDescent="0.15">
      <c r="A93" t="s">
        <v>633</v>
      </c>
      <c r="B93" t="s">
        <v>182</v>
      </c>
      <c r="C93">
        <v>4</v>
      </c>
      <c r="D93" t="str">
        <f t="shared" si="2"/>
        <v>T5_低</v>
      </c>
      <c r="E93" t="str">
        <f t="shared" si="3"/>
        <v>T5_低_4</v>
      </c>
      <c r="F93">
        <v>80</v>
      </c>
      <c r="G93">
        <v>283000</v>
      </c>
    </row>
    <row r="94" spans="1:7" x14ac:dyDescent="0.15">
      <c r="A94" t="s">
        <v>633</v>
      </c>
      <c r="B94" t="s">
        <v>182</v>
      </c>
      <c r="C94">
        <v>5</v>
      </c>
      <c r="D94" t="str">
        <f t="shared" si="2"/>
        <v>T5_低</v>
      </c>
      <c r="E94" t="str">
        <f t="shared" si="3"/>
        <v>T5_低_5</v>
      </c>
      <c r="F94">
        <v>80</v>
      </c>
      <c r="G94">
        <v>354000</v>
      </c>
    </row>
    <row r="95" spans="1:7" x14ac:dyDescent="0.15">
      <c r="A95" t="s">
        <v>633</v>
      </c>
      <c r="B95" t="s">
        <v>182</v>
      </c>
      <c r="C95">
        <v>6</v>
      </c>
      <c r="D95" t="str">
        <f t="shared" si="2"/>
        <v>T5_低</v>
      </c>
      <c r="E95" t="str">
        <f t="shared" si="3"/>
        <v>T5_低_6</v>
      </c>
      <c r="F95">
        <v>80</v>
      </c>
      <c r="G95">
        <v>425000</v>
      </c>
    </row>
    <row r="96" spans="1:7" x14ac:dyDescent="0.15">
      <c r="A96" t="s">
        <v>633</v>
      </c>
      <c r="B96" t="s">
        <v>182</v>
      </c>
      <c r="C96">
        <v>7</v>
      </c>
      <c r="D96" t="str">
        <f t="shared" si="2"/>
        <v>T5_低</v>
      </c>
      <c r="E96" t="str">
        <f t="shared" si="3"/>
        <v>T5_低_7</v>
      </c>
      <c r="F96">
        <v>100</v>
      </c>
      <c r="G96">
        <v>496000</v>
      </c>
    </row>
    <row r="97" spans="1:7" x14ac:dyDescent="0.15">
      <c r="A97" t="s">
        <v>633</v>
      </c>
      <c r="B97" t="s">
        <v>182</v>
      </c>
      <c r="C97">
        <v>8</v>
      </c>
      <c r="D97" t="str">
        <f t="shared" si="2"/>
        <v>T5_低</v>
      </c>
      <c r="E97" t="str">
        <f t="shared" si="3"/>
        <v>T5_低_8</v>
      </c>
      <c r="F97">
        <v>100</v>
      </c>
      <c r="G97">
        <v>567000</v>
      </c>
    </row>
    <row r="98" spans="1:7" x14ac:dyDescent="0.15">
      <c r="A98" t="s">
        <v>633</v>
      </c>
      <c r="B98" t="s">
        <v>182</v>
      </c>
      <c r="C98">
        <v>9</v>
      </c>
      <c r="D98" t="str">
        <f t="shared" si="2"/>
        <v>T5_低</v>
      </c>
      <c r="E98" t="str">
        <f t="shared" si="3"/>
        <v>T5_低_9</v>
      </c>
      <c r="F98">
        <v>100</v>
      </c>
      <c r="G98">
        <v>638000</v>
      </c>
    </row>
    <row r="99" spans="1:7" x14ac:dyDescent="0.15">
      <c r="A99" t="s">
        <v>633</v>
      </c>
      <c r="B99" t="s">
        <v>182</v>
      </c>
      <c r="C99">
        <v>10</v>
      </c>
      <c r="D99" t="str">
        <f t="shared" si="2"/>
        <v>T5_低</v>
      </c>
      <c r="E99" t="str">
        <f t="shared" si="3"/>
        <v>T5_低_10</v>
      </c>
      <c r="F99">
        <v>100</v>
      </c>
      <c r="G99">
        <v>709000</v>
      </c>
    </row>
    <row r="100" spans="1:7" x14ac:dyDescent="0.15">
      <c r="A100" t="s">
        <v>633</v>
      </c>
      <c r="B100" t="s">
        <v>182</v>
      </c>
      <c r="C100">
        <v>11</v>
      </c>
      <c r="D100" t="str">
        <f t="shared" si="2"/>
        <v>T5_低</v>
      </c>
      <c r="E100" t="str">
        <f t="shared" si="3"/>
        <v>T5_低_11</v>
      </c>
      <c r="F100">
        <v>100</v>
      </c>
      <c r="G100">
        <v>780000</v>
      </c>
    </row>
    <row r="101" spans="1:7" x14ac:dyDescent="0.15">
      <c r="A101" t="s">
        <v>633</v>
      </c>
      <c r="B101" t="s">
        <v>182</v>
      </c>
      <c r="C101">
        <v>12</v>
      </c>
      <c r="D101" t="str">
        <f t="shared" si="2"/>
        <v>T5_低</v>
      </c>
      <c r="E101" t="str">
        <f t="shared" si="3"/>
        <v>T5_低_12</v>
      </c>
      <c r="F101">
        <v>100</v>
      </c>
      <c r="G101">
        <v>851000</v>
      </c>
    </row>
    <row r="102" spans="1:7" x14ac:dyDescent="0.15">
      <c r="A102" t="s">
        <v>633</v>
      </c>
      <c r="B102" t="s">
        <v>182</v>
      </c>
      <c r="C102">
        <v>13</v>
      </c>
      <c r="D102" t="str">
        <f t="shared" si="2"/>
        <v>T5_低</v>
      </c>
      <c r="E102" t="str">
        <f t="shared" si="3"/>
        <v>T5_低_13</v>
      </c>
      <c r="F102">
        <v>100</v>
      </c>
      <c r="G102">
        <v>922000</v>
      </c>
    </row>
    <row r="103" spans="1:7" x14ac:dyDescent="0.15">
      <c r="A103" t="s">
        <v>633</v>
      </c>
      <c r="B103" t="s">
        <v>182</v>
      </c>
      <c r="C103">
        <v>14</v>
      </c>
      <c r="D103" t="str">
        <f t="shared" si="2"/>
        <v>T5_低</v>
      </c>
      <c r="E103" t="str">
        <f t="shared" si="3"/>
        <v>T5_低_14</v>
      </c>
      <c r="F103">
        <v>100</v>
      </c>
      <c r="G103">
        <v>0</v>
      </c>
    </row>
  </sheetData>
  <phoneticPr fontId="34" type="noConversion"/>
  <pageMargins left="0.7" right="0.7" top="0.75" bottom="0.75" header="0.3" footer="0.3"/>
  <ignoredErrors>
    <ignoredError sqref="M3:M13" formulaRange="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ER171"/>
  <sheetViews>
    <sheetView workbookViewId="0">
      <selection activeCell="J13" sqref="J13"/>
    </sheetView>
  </sheetViews>
  <sheetFormatPr defaultColWidth="9" defaultRowHeight="14.25" x14ac:dyDescent="0.3"/>
  <cols>
    <col min="1" max="13" width="9" style="1"/>
    <col min="14" max="14" width="14.875" style="1" customWidth="1"/>
    <col min="15" max="26" width="9" style="1"/>
    <col min="27" max="27" width="10.5" style="1" customWidth="1"/>
    <col min="28" max="16384" width="9" style="1"/>
  </cols>
  <sheetData>
    <row r="2" spans="2:148" x14ac:dyDescent="0.3">
      <c r="B2" s="263" t="s">
        <v>746</v>
      </c>
      <c r="C2" s="264"/>
      <c r="D2" s="264"/>
      <c r="E2" s="264"/>
      <c r="F2" s="264"/>
      <c r="G2" s="264"/>
      <c r="H2" s="265"/>
      <c r="I2" s="270" t="s">
        <v>747</v>
      </c>
      <c r="J2" s="271"/>
      <c r="K2" s="272"/>
      <c r="L2" s="263" t="s">
        <v>603</v>
      </c>
      <c r="M2" s="264"/>
      <c r="N2" s="265"/>
      <c r="O2" s="262" t="s">
        <v>748</v>
      </c>
      <c r="P2" s="262"/>
      <c r="Q2" s="262"/>
      <c r="R2" s="262" t="s">
        <v>749</v>
      </c>
      <c r="S2" s="262"/>
      <c r="T2" s="262"/>
      <c r="Y2" s="216" t="s">
        <v>750</v>
      </c>
      <c r="Z2" s="217"/>
      <c r="AA2" s="217"/>
      <c r="AE2" s="263" t="s">
        <v>79</v>
      </c>
      <c r="AF2" s="264"/>
      <c r="AG2" s="264"/>
      <c r="AH2" s="264"/>
      <c r="AI2" s="264"/>
      <c r="AJ2" s="264"/>
      <c r="AK2" s="265"/>
      <c r="AM2" s="263" t="s">
        <v>81</v>
      </c>
      <c r="AN2" s="264"/>
      <c r="AO2" s="264"/>
      <c r="AP2" s="264"/>
      <c r="AQ2" s="264"/>
      <c r="AR2" s="264"/>
      <c r="AS2" s="265"/>
      <c r="AT2" s="25"/>
      <c r="AU2" s="263" t="s">
        <v>83</v>
      </c>
      <c r="AV2" s="264"/>
      <c r="AW2" s="264"/>
      <c r="AX2" s="264"/>
      <c r="AY2" s="264"/>
      <c r="AZ2" s="264"/>
      <c r="BA2" s="265"/>
      <c r="BB2" s="25"/>
      <c r="BC2" s="263" t="s">
        <v>85</v>
      </c>
      <c r="BD2" s="264"/>
      <c r="BE2" s="264"/>
      <c r="BF2" s="264"/>
      <c r="BG2" s="264"/>
      <c r="BH2" s="264"/>
      <c r="BI2" s="265"/>
      <c r="BK2" s="262" t="s">
        <v>86</v>
      </c>
      <c r="BL2" s="262"/>
      <c r="BM2" s="262"/>
      <c r="BN2" s="262"/>
      <c r="BO2" s="262"/>
      <c r="BP2" s="262"/>
      <c r="BQ2" s="262"/>
      <c r="BS2" s="263" t="s">
        <v>87</v>
      </c>
      <c r="BT2" s="264"/>
      <c r="BU2" s="264"/>
      <c r="BV2" s="264"/>
      <c r="BW2" s="264"/>
      <c r="BX2" s="264"/>
      <c r="BY2" s="265"/>
      <c r="CA2" s="263" t="s">
        <v>88</v>
      </c>
      <c r="CB2" s="264"/>
      <c r="CC2" s="264"/>
      <c r="CD2" s="264"/>
      <c r="CE2" s="264"/>
      <c r="CF2" s="264"/>
      <c r="CG2" s="265"/>
      <c r="CH2" s="25"/>
      <c r="CI2" s="262" t="s">
        <v>751</v>
      </c>
      <c r="CJ2" s="262"/>
      <c r="CK2" s="262"/>
      <c r="CL2" s="262"/>
      <c r="CM2" s="262"/>
      <c r="CN2" s="262"/>
      <c r="CO2" s="262"/>
      <c r="CP2" s="262"/>
      <c r="CR2" s="262" t="s">
        <v>752</v>
      </c>
      <c r="CS2" s="262"/>
      <c r="CT2" s="262"/>
      <c r="CU2" s="262"/>
      <c r="CV2" s="262"/>
      <c r="CW2" s="262"/>
      <c r="CX2" s="262"/>
      <c r="CY2" s="262"/>
      <c r="CZ2" s="25"/>
      <c r="DA2" s="262" t="s">
        <v>753</v>
      </c>
      <c r="DB2" s="262"/>
      <c r="DC2" s="262"/>
      <c r="DD2" s="262"/>
      <c r="DE2" s="262"/>
      <c r="DF2" s="262"/>
      <c r="DG2" s="262"/>
      <c r="DH2" s="262"/>
      <c r="DI2" s="25"/>
      <c r="DJ2" s="262" t="s">
        <v>754</v>
      </c>
      <c r="DK2" s="262"/>
      <c r="DL2" s="262"/>
      <c r="DM2" s="262"/>
      <c r="DN2" s="262"/>
      <c r="DO2" s="262"/>
      <c r="DP2" s="262"/>
      <c r="DQ2" s="262"/>
      <c r="DS2" s="262" t="s">
        <v>755</v>
      </c>
      <c r="DT2" s="262"/>
      <c r="DU2" s="262"/>
      <c r="DV2" s="262"/>
      <c r="DW2" s="262"/>
      <c r="DX2" s="262"/>
      <c r="DY2" s="262"/>
      <c r="DZ2" s="262"/>
      <c r="EB2" s="262" t="s">
        <v>756</v>
      </c>
      <c r="EC2" s="262"/>
      <c r="ED2" s="262"/>
      <c r="EE2" s="262"/>
      <c r="EF2" s="262"/>
      <c r="EG2" s="262"/>
      <c r="EH2" s="262"/>
      <c r="EI2" s="262"/>
      <c r="EK2" s="262" t="s">
        <v>757</v>
      </c>
      <c r="EL2" s="262"/>
      <c r="EM2" s="262"/>
      <c r="EN2" s="262"/>
      <c r="EO2" s="262"/>
      <c r="EP2" s="262"/>
      <c r="EQ2" s="262"/>
      <c r="ER2" s="262"/>
    </row>
    <row r="3" spans="2:148" x14ac:dyDescent="0.3">
      <c r="B3" s="2" t="s">
        <v>758</v>
      </c>
      <c r="C3" s="2" t="s">
        <v>759</v>
      </c>
      <c r="D3" s="2" t="s">
        <v>760</v>
      </c>
      <c r="E3" s="2" t="s">
        <v>761</v>
      </c>
      <c r="F3" s="2" t="s">
        <v>762</v>
      </c>
      <c r="G3" s="2" t="s">
        <v>763</v>
      </c>
      <c r="H3" s="2" t="s">
        <v>764</v>
      </c>
      <c r="I3" s="215" t="s">
        <v>765</v>
      </c>
      <c r="J3" s="215" t="s">
        <v>766</v>
      </c>
      <c r="K3" s="215" t="s">
        <v>767</v>
      </c>
      <c r="L3" s="2" t="s">
        <v>765</v>
      </c>
      <c r="M3" s="2" t="s">
        <v>766</v>
      </c>
      <c r="N3" s="2" t="s">
        <v>767</v>
      </c>
      <c r="O3" s="2" t="s">
        <v>765</v>
      </c>
      <c r="P3" s="2" t="s">
        <v>766</v>
      </c>
      <c r="Q3" s="2" t="s">
        <v>767</v>
      </c>
      <c r="R3" s="22" t="s">
        <v>768</v>
      </c>
      <c r="S3" s="22" t="s">
        <v>769</v>
      </c>
      <c r="T3" s="22" t="s">
        <v>770</v>
      </c>
      <c r="Y3" s="2" t="s">
        <v>602</v>
      </c>
      <c r="Z3" s="2" t="s">
        <v>771</v>
      </c>
      <c r="AA3" s="2" t="s">
        <v>772</v>
      </c>
      <c r="AB3" s="2" t="s">
        <v>773</v>
      </c>
      <c r="AE3" s="2" t="s">
        <v>602</v>
      </c>
      <c r="AF3" s="2" t="s">
        <v>774</v>
      </c>
      <c r="AG3" s="2" t="s">
        <v>775</v>
      </c>
      <c r="AH3" s="2" t="s">
        <v>776</v>
      </c>
      <c r="AI3" s="2" t="s">
        <v>77</v>
      </c>
      <c r="AJ3" s="2" t="s">
        <v>130</v>
      </c>
      <c r="AK3" s="2" t="s">
        <v>777</v>
      </c>
      <c r="AM3" s="2" t="s">
        <v>602</v>
      </c>
      <c r="AN3" s="2" t="s">
        <v>774</v>
      </c>
      <c r="AO3" s="2" t="s">
        <v>775</v>
      </c>
      <c r="AP3" s="2" t="s">
        <v>776</v>
      </c>
      <c r="AQ3" s="2" t="s">
        <v>77</v>
      </c>
      <c r="AR3" s="2" t="s">
        <v>130</v>
      </c>
      <c r="AS3" s="2" t="s">
        <v>777</v>
      </c>
      <c r="AT3" s="25"/>
      <c r="AU3" s="2" t="s">
        <v>602</v>
      </c>
      <c r="AV3" s="2" t="s">
        <v>774</v>
      </c>
      <c r="AW3" s="2" t="s">
        <v>775</v>
      </c>
      <c r="AX3" s="2" t="s">
        <v>776</v>
      </c>
      <c r="AY3" s="2" t="s">
        <v>77</v>
      </c>
      <c r="AZ3" s="2" t="s">
        <v>130</v>
      </c>
      <c r="BA3" s="2" t="s">
        <v>777</v>
      </c>
      <c r="BB3" s="25"/>
      <c r="BC3" s="2" t="s">
        <v>602</v>
      </c>
      <c r="BD3" s="2" t="s">
        <v>774</v>
      </c>
      <c r="BE3" s="2" t="s">
        <v>775</v>
      </c>
      <c r="BF3" s="2" t="s">
        <v>776</v>
      </c>
      <c r="BG3" s="2" t="s">
        <v>77</v>
      </c>
      <c r="BH3" s="2" t="s">
        <v>130</v>
      </c>
      <c r="BI3" s="2" t="s">
        <v>777</v>
      </c>
      <c r="BK3" s="2" t="s">
        <v>602</v>
      </c>
      <c r="BL3" s="2" t="s">
        <v>774</v>
      </c>
      <c r="BM3" s="2" t="s">
        <v>775</v>
      </c>
      <c r="BN3" s="2" t="s">
        <v>776</v>
      </c>
      <c r="BO3" s="2" t="s">
        <v>77</v>
      </c>
      <c r="BP3" s="2" t="s">
        <v>130</v>
      </c>
      <c r="BQ3" s="2" t="s">
        <v>777</v>
      </c>
      <c r="BS3" s="2" t="s">
        <v>602</v>
      </c>
      <c r="BT3" s="2" t="s">
        <v>774</v>
      </c>
      <c r="BU3" s="2" t="s">
        <v>775</v>
      </c>
      <c r="BV3" s="2" t="s">
        <v>776</v>
      </c>
      <c r="BW3" s="2" t="s">
        <v>77</v>
      </c>
      <c r="BX3" s="2" t="s">
        <v>130</v>
      </c>
      <c r="BY3" s="2" t="s">
        <v>777</v>
      </c>
      <c r="CA3" s="2" t="s">
        <v>602</v>
      </c>
      <c r="CB3" s="2" t="s">
        <v>774</v>
      </c>
      <c r="CC3" s="2" t="s">
        <v>775</v>
      </c>
      <c r="CD3" s="2" t="s">
        <v>776</v>
      </c>
      <c r="CE3" s="2" t="s">
        <v>77</v>
      </c>
      <c r="CF3" s="2" t="s">
        <v>130</v>
      </c>
      <c r="CG3" s="2" t="s">
        <v>777</v>
      </c>
      <c r="CH3" s="25"/>
      <c r="CI3" s="2" t="s">
        <v>778</v>
      </c>
      <c r="CJ3" s="2" t="s">
        <v>779</v>
      </c>
      <c r="CK3" s="2" t="s">
        <v>774</v>
      </c>
      <c r="CL3" s="2" t="s">
        <v>775</v>
      </c>
      <c r="CM3" s="2" t="s">
        <v>776</v>
      </c>
      <c r="CN3" s="2" t="s">
        <v>77</v>
      </c>
      <c r="CO3" s="2" t="s">
        <v>130</v>
      </c>
      <c r="CP3" s="2" t="s">
        <v>777</v>
      </c>
      <c r="CR3" s="2" t="s">
        <v>778</v>
      </c>
      <c r="CS3" s="2" t="s">
        <v>779</v>
      </c>
      <c r="CT3" s="2" t="s">
        <v>774</v>
      </c>
      <c r="CU3" s="2" t="s">
        <v>775</v>
      </c>
      <c r="CV3" s="2" t="s">
        <v>776</v>
      </c>
      <c r="CW3" s="2" t="s">
        <v>77</v>
      </c>
      <c r="CX3" s="2" t="s">
        <v>130</v>
      </c>
      <c r="CY3" s="2" t="s">
        <v>777</v>
      </c>
      <c r="CZ3" s="25"/>
      <c r="DA3" s="2" t="s">
        <v>778</v>
      </c>
      <c r="DB3" s="2" t="s">
        <v>779</v>
      </c>
      <c r="DC3" s="2" t="s">
        <v>774</v>
      </c>
      <c r="DD3" s="2" t="s">
        <v>775</v>
      </c>
      <c r="DE3" s="2" t="s">
        <v>776</v>
      </c>
      <c r="DF3" s="2" t="s">
        <v>77</v>
      </c>
      <c r="DG3" s="2" t="s">
        <v>130</v>
      </c>
      <c r="DH3" s="2" t="s">
        <v>777</v>
      </c>
      <c r="DI3" s="25"/>
      <c r="DJ3" s="2" t="s">
        <v>778</v>
      </c>
      <c r="DK3" s="2" t="s">
        <v>779</v>
      </c>
      <c r="DL3" s="2" t="s">
        <v>774</v>
      </c>
      <c r="DM3" s="2" t="s">
        <v>775</v>
      </c>
      <c r="DN3" s="2" t="s">
        <v>776</v>
      </c>
      <c r="DO3" s="2" t="s">
        <v>77</v>
      </c>
      <c r="DP3" s="2" t="s">
        <v>130</v>
      </c>
      <c r="DQ3" s="2" t="s">
        <v>777</v>
      </c>
      <c r="DS3" s="2" t="s">
        <v>778</v>
      </c>
      <c r="DT3" s="2" t="s">
        <v>779</v>
      </c>
      <c r="DU3" s="2" t="s">
        <v>774</v>
      </c>
      <c r="DV3" s="2" t="s">
        <v>775</v>
      </c>
      <c r="DW3" s="2" t="s">
        <v>776</v>
      </c>
      <c r="DX3" s="2" t="s">
        <v>77</v>
      </c>
      <c r="DY3" s="2" t="s">
        <v>130</v>
      </c>
      <c r="DZ3" s="2" t="s">
        <v>777</v>
      </c>
      <c r="EB3" s="2" t="s">
        <v>778</v>
      </c>
      <c r="EC3" s="2" t="s">
        <v>779</v>
      </c>
      <c r="ED3" s="2" t="s">
        <v>774</v>
      </c>
      <c r="EE3" s="2" t="s">
        <v>775</v>
      </c>
      <c r="EF3" s="2" t="s">
        <v>776</v>
      </c>
      <c r="EG3" s="2" t="s">
        <v>77</v>
      </c>
      <c r="EH3" s="2" t="s">
        <v>130</v>
      </c>
      <c r="EI3" s="2" t="s">
        <v>777</v>
      </c>
      <c r="EK3" s="2" t="s">
        <v>778</v>
      </c>
      <c r="EL3" s="2" t="s">
        <v>779</v>
      </c>
      <c r="EM3" s="2" t="s">
        <v>774</v>
      </c>
      <c r="EN3" s="2" t="s">
        <v>775</v>
      </c>
      <c r="EO3" s="2" t="s">
        <v>776</v>
      </c>
      <c r="EP3" s="2" t="s">
        <v>77</v>
      </c>
      <c r="EQ3" s="2" t="s">
        <v>130</v>
      </c>
      <c r="ER3" s="2" t="s">
        <v>777</v>
      </c>
    </row>
    <row r="4" spans="2:148" x14ac:dyDescent="0.3">
      <c r="B4" s="2">
        <v>1</v>
      </c>
      <c r="C4" s="2">
        <v>1</v>
      </c>
      <c r="D4" s="2">
        <v>3</v>
      </c>
      <c r="E4" s="2"/>
      <c r="F4" s="2"/>
      <c r="G4" s="2"/>
      <c r="H4" s="2"/>
      <c r="I4" s="215">
        <v>2</v>
      </c>
      <c r="J4" s="215"/>
      <c r="K4" s="215"/>
      <c r="L4" s="2">
        <f t="shared" ref="L4:L9" si="0">((C4+1)+(D4))/2*(D4-C4)</f>
        <v>5</v>
      </c>
      <c r="M4" s="2"/>
      <c r="N4" s="2"/>
      <c r="O4" s="2">
        <f t="shared" ref="O4:O9" si="1">(($C$4+1)+(D4))/2*(D4-$C$4)</f>
        <v>5</v>
      </c>
      <c r="P4" s="2"/>
      <c r="Q4" s="2"/>
      <c r="R4" s="21">
        <v>0.06</v>
      </c>
      <c r="S4" s="21"/>
      <c r="T4" s="21"/>
      <c r="Y4" s="2" t="s">
        <v>780</v>
      </c>
      <c r="Z4" s="34">
        <f>IFERROR(VLOOKUP(Y4,$F$13:$J$24,5,FALSE),VLOOKUP(Y4,$G$13:$K$24,5,FALSE))</f>
        <v>1</v>
      </c>
      <c r="AA4" s="34">
        <v>0.75</v>
      </c>
      <c r="AB4" s="2"/>
      <c r="AE4" s="2" t="str">
        <f t="shared" ref="AE4:AE27" si="2">$Y4</f>
        <v>T1低1</v>
      </c>
      <c r="AF4" s="2">
        <f>ROUND(VLOOKUP($AE$2,$B$45:$J$52,MATCH(AF$3,$B$45:$J$45,0),FALSE)*$AA4,0)</f>
        <v>600</v>
      </c>
      <c r="AG4" s="2">
        <f t="shared" ref="AG4:AK13" si="3">ROUND(VLOOKUP($AE$2,$B$45:$J$52,MATCH(AG$3,$B$45:$J$45,0),FALSE)*$Z4,0)</f>
        <v>80</v>
      </c>
      <c r="AH4" s="2">
        <f t="shared" si="3"/>
        <v>300</v>
      </c>
      <c r="AI4" s="2">
        <f t="shared" si="3"/>
        <v>210</v>
      </c>
      <c r="AJ4" s="2">
        <f t="shared" si="3"/>
        <v>300</v>
      </c>
      <c r="AK4" s="2">
        <f t="shared" si="3"/>
        <v>80</v>
      </c>
      <c r="AM4" s="2" t="str">
        <f t="shared" ref="AM4:AM27" si="4">$Y4</f>
        <v>T1低1</v>
      </c>
      <c r="AN4" s="2">
        <f>ROUND(VLOOKUP($AM$2,$B$45:$J$52,MATCH(AN$3,$B$45:$J$45,0),FALSE)*$AA4,0)</f>
        <v>600</v>
      </c>
      <c r="AO4" s="2">
        <f t="shared" ref="AO4:AS13" si="5">ROUND(VLOOKUP($AM$2,$B$45:$J$52,MATCH(AO$3,$B$45:$J$45,0),FALSE)*$Z4,0)</f>
        <v>42</v>
      </c>
      <c r="AP4" s="2">
        <f t="shared" si="5"/>
        <v>329</v>
      </c>
      <c r="AQ4" s="2">
        <f t="shared" si="5"/>
        <v>230</v>
      </c>
      <c r="AR4" s="2">
        <f t="shared" si="5"/>
        <v>300</v>
      </c>
      <c r="AS4" s="2">
        <f t="shared" si="5"/>
        <v>80</v>
      </c>
      <c r="AT4" s="25"/>
      <c r="AU4" s="2" t="str">
        <f t="shared" ref="AU4:AU27" si="6">$Y4</f>
        <v>T1低1</v>
      </c>
      <c r="AV4" s="2">
        <f>ROUND(VLOOKUP($AU$2,$B$45:$J$52,MATCH(AV$3,$B$45:$J$45,0),FALSE)*$AA4,0)</f>
        <v>600</v>
      </c>
      <c r="AW4" s="2">
        <f t="shared" ref="AW4:BA13" si="7">ROUND(VLOOKUP($AU$2,$B$45:$J$52,MATCH(AW$3,$B$45:$J$45,0),FALSE)*$Z4,0)</f>
        <v>161</v>
      </c>
      <c r="AX4" s="2">
        <f t="shared" si="7"/>
        <v>357</v>
      </c>
      <c r="AY4" s="2">
        <f t="shared" si="7"/>
        <v>250</v>
      </c>
      <c r="AZ4" s="2">
        <f t="shared" si="7"/>
        <v>300</v>
      </c>
      <c r="BA4" s="2">
        <f t="shared" si="7"/>
        <v>80</v>
      </c>
      <c r="BB4" s="25"/>
      <c r="BC4" s="2" t="str">
        <f t="shared" ref="BC4:BC27" si="8">$Y4</f>
        <v>T1低1</v>
      </c>
      <c r="BD4" s="2">
        <f>ROUND(VLOOKUP($BC$2,$B$45:$J$52,MATCH(BD$3,$B$45:$J$45,0),FALSE)*$AA4,0)</f>
        <v>648</v>
      </c>
      <c r="BE4" s="2">
        <f t="shared" ref="BE4:BI13" si="9">ROUND(VLOOKUP($BC$2,$B$45:$J$52,MATCH(BE$3,$B$45:$J$45,0),FALSE)*$Z4,0)</f>
        <v>74</v>
      </c>
      <c r="BF4" s="2">
        <f t="shared" si="9"/>
        <v>286</v>
      </c>
      <c r="BG4" s="2">
        <f t="shared" si="9"/>
        <v>214</v>
      </c>
      <c r="BH4" s="2">
        <f t="shared" si="9"/>
        <v>360</v>
      </c>
      <c r="BI4" s="2">
        <f t="shared" si="9"/>
        <v>86</v>
      </c>
      <c r="BK4" s="2" t="str">
        <f t="shared" ref="BK4:BK27" si="10">$Y4</f>
        <v>T1低1</v>
      </c>
      <c r="BL4" s="2">
        <f>ROUND(VLOOKUP($BK$2,$B$45:$J$52,MATCH(BL$3,$B$45:$J$45,0),FALSE)*$AA4,0)</f>
        <v>648</v>
      </c>
      <c r="BM4" s="2">
        <f t="shared" ref="BM4:BQ13" si="11">ROUND(VLOOKUP($BK$2,$B$45:$J$52,MATCH(BM$3,$B$45:$J$45,0),FALSE)*$Z4,0)</f>
        <v>89</v>
      </c>
      <c r="BN4" s="2">
        <f t="shared" si="11"/>
        <v>329</v>
      </c>
      <c r="BO4" s="2">
        <f t="shared" si="11"/>
        <v>246</v>
      </c>
      <c r="BP4" s="2">
        <f t="shared" si="11"/>
        <v>360</v>
      </c>
      <c r="BQ4" s="2">
        <f t="shared" si="11"/>
        <v>86</v>
      </c>
      <c r="BS4" s="2" t="str">
        <f t="shared" ref="BS4:BS27" si="12">$Y4</f>
        <v>T1低1</v>
      </c>
      <c r="BT4" s="2">
        <f>ROUND(VLOOKUP($BS$2,$B$45:$J$52,MATCH(BT$3,$B$45:$J$45,0),FALSE)*$AA4,0)</f>
        <v>734</v>
      </c>
      <c r="BU4" s="2">
        <f t="shared" ref="BU4:BY13" si="13">ROUND(VLOOKUP($BS$2,$B$45:$J$52,MATCH(BU$3,$B$45:$J$45,0),FALSE)*$Z4,0)</f>
        <v>268</v>
      </c>
      <c r="BV4" s="2">
        <f t="shared" si="13"/>
        <v>286</v>
      </c>
      <c r="BW4" s="2">
        <f t="shared" si="13"/>
        <v>229</v>
      </c>
      <c r="BX4" s="2">
        <f t="shared" si="13"/>
        <v>420</v>
      </c>
      <c r="BY4" s="2">
        <f t="shared" si="13"/>
        <v>98</v>
      </c>
      <c r="CA4" s="2" t="str">
        <f t="shared" ref="CA4:CA27" si="14">$Y4</f>
        <v>T1低1</v>
      </c>
      <c r="CB4" s="2">
        <f>ROUND(VLOOKUP($CA$2,$B$45:$J$52,MATCH(CB$3,$B$45:$J$45,0),FALSE)*$AA4,0)</f>
        <v>734</v>
      </c>
      <c r="CC4" s="2">
        <f t="shared" ref="CC4:CG13" si="15">ROUND(VLOOKUP($CA$2,$B$45:$J$52,MATCH(CC$3,$B$45:$J$45,0),FALSE)*$Z4,0)</f>
        <v>354</v>
      </c>
      <c r="CD4" s="2">
        <f t="shared" si="15"/>
        <v>314</v>
      </c>
      <c r="CE4" s="2">
        <f t="shared" si="15"/>
        <v>251</v>
      </c>
      <c r="CF4" s="2">
        <f t="shared" si="15"/>
        <v>420</v>
      </c>
      <c r="CG4" s="2">
        <f t="shared" si="15"/>
        <v>98</v>
      </c>
      <c r="CH4" s="25"/>
      <c r="CI4" s="2" t="str">
        <f t="shared" ref="CI4:CI15" si="16">F13</f>
        <v>T1低1</v>
      </c>
      <c r="CJ4" s="2" t="str">
        <f t="shared" ref="CJ4:CJ15" si="17">G13</f>
        <v>T1低3</v>
      </c>
      <c r="CK4" s="2">
        <f t="shared" ref="CK4:CP15" si="18">VLOOKUP($CJ4,轻坦半自动_阶段属性,MATCH(CK$3,属性标头_阶段属性,0),FALSE)-VLOOKUP($CI4,轻坦半自动_阶段属性,MATCH(CK$3,属性标头_阶段属性,0),FALSE)</f>
        <v>440</v>
      </c>
      <c r="CL4" s="2">
        <f t="shared" si="18"/>
        <v>24</v>
      </c>
      <c r="CM4" s="2">
        <f t="shared" si="18"/>
        <v>90</v>
      </c>
      <c r="CN4" s="2">
        <f t="shared" si="18"/>
        <v>63</v>
      </c>
      <c r="CO4" s="2">
        <f t="shared" si="18"/>
        <v>90</v>
      </c>
      <c r="CP4" s="2">
        <f t="shared" si="18"/>
        <v>24</v>
      </c>
      <c r="CR4" s="2" t="str">
        <f t="shared" ref="CR4:CR15" si="19">CI4</f>
        <v>T1低1</v>
      </c>
      <c r="CS4" s="2" t="str">
        <f t="shared" ref="CS4:CS15" si="20">CJ4</f>
        <v>T1低3</v>
      </c>
      <c r="CT4" s="2">
        <f t="shared" ref="CT4:CY15" si="21">VLOOKUP($CS4,轻坦弹夹_阶段属性,MATCH(CT$3,属性标头_阶段属性,0),FALSE)-VLOOKUP($CR4,轻坦弹夹_阶段属性,MATCH(CT$3,属性标头_阶段属性,0),FALSE)</f>
        <v>440</v>
      </c>
      <c r="CU4" s="2">
        <f t="shared" si="21"/>
        <v>13</v>
      </c>
      <c r="CV4" s="2">
        <f t="shared" si="21"/>
        <v>98</v>
      </c>
      <c r="CW4" s="2">
        <f t="shared" si="21"/>
        <v>69</v>
      </c>
      <c r="CX4" s="2">
        <f t="shared" si="21"/>
        <v>90</v>
      </c>
      <c r="CY4" s="2">
        <f t="shared" si="21"/>
        <v>24</v>
      </c>
      <c r="CZ4" s="25"/>
      <c r="DA4" s="2" t="str">
        <f t="shared" ref="DA4:DA15" si="22">CR4</f>
        <v>T1低1</v>
      </c>
      <c r="DB4" s="2" t="str">
        <f t="shared" ref="DB4:DB15" si="23">CS4</f>
        <v>T1低3</v>
      </c>
      <c r="DC4" s="2">
        <f t="shared" ref="DC4:DH15" si="24">VLOOKUP($CS4,轻坦单发_阶段属性,MATCH(DC$3,属性标头_阶段属性,0),FALSE)-VLOOKUP($CR4,轻坦单发_阶段属性,MATCH(DC$3,属性标头_阶段属性,0),FALSE)</f>
        <v>440</v>
      </c>
      <c r="DD4" s="2">
        <f t="shared" si="24"/>
        <v>48</v>
      </c>
      <c r="DE4" s="2">
        <f t="shared" si="24"/>
        <v>107</v>
      </c>
      <c r="DF4" s="2">
        <f t="shared" si="24"/>
        <v>75</v>
      </c>
      <c r="DG4" s="2">
        <f t="shared" si="24"/>
        <v>90</v>
      </c>
      <c r="DH4" s="2">
        <f t="shared" si="24"/>
        <v>24</v>
      </c>
      <c r="DI4" s="25"/>
      <c r="DJ4" s="2" t="str">
        <f t="shared" ref="DJ4:DJ15" si="25">DA4</f>
        <v>T1低1</v>
      </c>
      <c r="DK4" s="2" t="str">
        <f t="shared" ref="DK4:DK15" si="26">DB4</f>
        <v>T1低3</v>
      </c>
      <c r="DL4" s="2">
        <f t="shared" ref="DL4:DQ15" si="27">VLOOKUP($CS4,中坦弹夹_阶段属性,MATCH(DL$3,属性标头_阶段属性,0),FALSE)-VLOOKUP($CR4,中坦弹夹_阶段属性,MATCH(DL$3,属性标头_阶段属性,0),FALSE)</f>
        <v>475</v>
      </c>
      <c r="DM4" s="2">
        <f t="shared" si="27"/>
        <v>23</v>
      </c>
      <c r="DN4" s="2">
        <f t="shared" si="27"/>
        <v>85</v>
      </c>
      <c r="DO4" s="2">
        <f t="shared" si="27"/>
        <v>65</v>
      </c>
      <c r="DP4" s="2">
        <f t="shared" si="27"/>
        <v>108</v>
      </c>
      <c r="DQ4" s="2">
        <f t="shared" si="27"/>
        <v>26</v>
      </c>
      <c r="DS4" s="2" t="str">
        <f t="shared" ref="DS4:DS15" si="28">DJ4</f>
        <v>T1低1</v>
      </c>
      <c r="DT4" s="2" t="str">
        <f t="shared" ref="DT4:DT15" si="29">DK4</f>
        <v>T1低3</v>
      </c>
      <c r="DU4" s="2">
        <f t="shared" ref="DU4:DZ15" si="30">VLOOKUP($CS4,中坦自动_阶段属性,MATCH(DU$3,属性标头_阶段属性,0),FALSE)-VLOOKUP($CR4,中坦自动_阶段属性,MATCH(DU$3,属性标头_阶段属性,0),FALSE)</f>
        <v>475</v>
      </c>
      <c r="DV4" s="2">
        <f t="shared" si="30"/>
        <v>27</v>
      </c>
      <c r="DW4" s="2">
        <f t="shared" si="30"/>
        <v>98</v>
      </c>
      <c r="DX4" s="2">
        <f t="shared" si="30"/>
        <v>74</v>
      </c>
      <c r="DY4" s="2">
        <f t="shared" si="30"/>
        <v>108</v>
      </c>
      <c r="DZ4" s="2">
        <f t="shared" si="30"/>
        <v>26</v>
      </c>
      <c r="EB4" s="2" t="str">
        <f t="shared" ref="EB4:EB15" si="31">DS4</f>
        <v>T1低1</v>
      </c>
      <c r="EC4" s="2" t="str">
        <f t="shared" ref="EC4:EC15" si="32">DT4</f>
        <v>T1低3</v>
      </c>
      <c r="ED4" s="2">
        <f t="shared" ref="ED4:EI15" si="33">VLOOKUP($CS4,重坦自动_阶段属性,MATCH(ED$3,属性标头_阶段属性,0),FALSE)-VLOOKUP($CR4,重坦自动_阶段属性,MATCH(ED$3,属性标头_阶段属性,0),FALSE)</f>
        <v>538</v>
      </c>
      <c r="EE4" s="2">
        <f t="shared" si="33"/>
        <v>80</v>
      </c>
      <c r="EF4" s="2">
        <f t="shared" si="33"/>
        <v>85</v>
      </c>
      <c r="EG4" s="2">
        <f t="shared" si="33"/>
        <v>68</v>
      </c>
      <c r="EH4" s="2">
        <f t="shared" si="33"/>
        <v>126</v>
      </c>
      <c r="EI4" s="2">
        <f t="shared" si="33"/>
        <v>29</v>
      </c>
      <c r="EK4" s="2" t="str">
        <f t="shared" ref="EK4:EK15" si="34">EB4</f>
        <v>T1低1</v>
      </c>
      <c r="EL4" s="2" t="str">
        <f t="shared" ref="EL4:EL15" si="35">EC4</f>
        <v>T1低3</v>
      </c>
      <c r="EM4" s="2">
        <f t="shared" ref="EM4:ER15" si="36">VLOOKUP($CS4,重坦单发_阶段属性,MATCH(EM$3,属性标头_阶段属性,0),FALSE)-VLOOKUP($CR4,重坦单发_阶段属性,MATCH(EM$3,属性标头_阶段属性,0),FALSE)</f>
        <v>538</v>
      </c>
      <c r="EN4" s="2">
        <f t="shared" si="36"/>
        <v>107</v>
      </c>
      <c r="EO4" s="2">
        <f t="shared" si="36"/>
        <v>95</v>
      </c>
      <c r="EP4" s="2">
        <f t="shared" si="36"/>
        <v>76</v>
      </c>
      <c r="EQ4" s="2">
        <f t="shared" si="36"/>
        <v>126</v>
      </c>
      <c r="ER4" s="2">
        <f t="shared" si="36"/>
        <v>29</v>
      </c>
    </row>
    <row r="5" spans="2:148" x14ac:dyDescent="0.3">
      <c r="B5" s="150">
        <v>2</v>
      </c>
      <c r="C5" s="2">
        <v>2</v>
      </c>
      <c r="D5" s="2">
        <v>4</v>
      </c>
      <c r="E5" s="2">
        <v>2</v>
      </c>
      <c r="F5" s="2">
        <v>4</v>
      </c>
      <c r="G5" s="2"/>
      <c r="H5" s="2"/>
      <c r="I5" s="215">
        <v>2</v>
      </c>
      <c r="J5" s="215">
        <v>2</v>
      </c>
      <c r="K5" s="215"/>
      <c r="L5" s="2">
        <f t="shared" si="0"/>
        <v>7</v>
      </c>
      <c r="M5" s="2">
        <f>((E5+1)+(F5))/2*(F5-E5)</f>
        <v>7</v>
      </c>
      <c r="N5" s="2"/>
      <c r="O5" s="2">
        <f t="shared" si="1"/>
        <v>9</v>
      </c>
      <c r="P5" s="2">
        <f>(($C$4+1)+(F5))/2*(F5-$C$4)</f>
        <v>9</v>
      </c>
      <c r="Q5" s="2"/>
      <c r="R5" s="21">
        <v>0.08</v>
      </c>
      <c r="S5" s="21">
        <v>0.09</v>
      </c>
      <c r="T5" s="21"/>
      <c r="Y5" s="2" t="s">
        <v>781</v>
      </c>
      <c r="Z5" s="34">
        <f t="shared" ref="Z5:Z27" si="37">IFERROR(VLOOKUP(Y5,$F$13:$J$24,5,FALSE),VLOOKUP(Y5,$G$13:$K$24,5,FALSE))</f>
        <v>1.2</v>
      </c>
      <c r="AA5" s="34">
        <v>1.18</v>
      </c>
      <c r="AB5" s="2"/>
      <c r="AE5" s="2" t="str">
        <f t="shared" si="2"/>
        <v>T2低2</v>
      </c>
      <c r="AF5" s="2">
        <f t="shared" ref="AF5:AF27" si="38">ROUND(VLOOKUP($AE$2,$B$45:$J$52,MATCH(AF$3,$B$45:$J$45,0),FALSE)*$AA5,0)</f>
        <v>944</v>
      </c>
      <c r="AG5" s="2">
        <f t="shared" si="3"/>
        <v>96</v>
      </c>
      <c r="AH5" s="2">
        <f t="shared" si="3"/>
        <v>360</v>
      </c>
      <c r="AI5" s="2">
        <f t="shared" si="3"/>
        <v>252</v>
      </c>
      <c r="AJ5" s="2">
        <f t="shared" si="3"/>
        <v>360</v>
      </c>
      <c r="AK5" s="2">
        <f t="shared" si="3"/>
        <v>96</v>
      </c>
      <c r="AM5" s="2" t="str">
        <f t="shared" si="4"/>
        <v>T2低2</v>
      </c>
      <c r="AN5" s="2">
        <f t="shared" ref="AN5:AN27" si="39">ROUND(VLOOKUP($AM$2,$B$45:$J$52,MATCH(AN$3,$B$45:$J$45,0),FALSE)*$AA5,0)</f>
        <v>944</v>
      </c>
      <c r="AO5" s="2">
        <f t="shared" si="5"/>
        <v>51</v>
      </c>
      <c r="AP5" s="2">
        <f t="shared" si="5"/>
        <v>394</v>
      </c>
      <c r="AQ5" s="2">
        <f t="shared" si="5"/>
        <v>276</v>
      </c>
      <c r="AR5" s="2">
        <f t="shared" si="5"/>
        <v>360</v>
      </c>
      <c r="AS5" s="2">
        <f t="shared" si="5"/>
        <v>96</v>
      </c>
      <c r="AT5" s="25"/>
      <c r="AU5" s="2" t="str">
        <f t="shared" si="6"/>
        <v>T2低2</v>
      </c>
      <c r="AV5" s="2">
        <f t="shared" ref="AV5:AV27" si="40">ROUND(VLOOKUP($AU$2,$B$45:$J$52,MATCH(AV$3,$B$45:$J$45,0),FALSE)*$AA5,0)</f>
        <v>944</v>
      </c>
      <c r="AW5" s="2">
        <f t="shared" si="7"/>
        <v>193</v>
      </c>
      <c r="AX5" s="2">
        <f t="shared" si="7"/>
        <v>429</v>
      </c>
      <c r="AY5" s="2">
        <f t="shared" si="7"/>
        <v>300</v>
      </c>
      <c r="AZ5" s="2">
        <f t="shared" si="7"/>
        <v>360</v>
      </c>
      <c r="BA5" s="2">
        <f t="shared" si="7"/>
        <v>96</v>
      </c>
      <c r="BB5" s="25"/>
      <c r="BC5" s="2" t="str">
        <f t="shared" si="8"/>
        <v>T2低2</v>
      </c>
      <c r="BD5" s="2">
        <f t="shared" ref="BD5:BD27" si="41">ROUND(VLOOKUP($BC$2,$B$45:$J$52,MATCH(BD$3,$B$45:$J$45,0),FALSE)*$AA5,0)</f>
        <v>1019</v>
      </c>
      <c r="BE5" s="2">
        <f t="shared" si="9"/>
        <v>89</v>
      </c>
      <c r="BF5" s="2">
        <f t="shared" si="9"/>
        <v>343</v>
      </c>
      <c r="BG5" s="2">
        <f t="shared" si="9"/>
        <v>257</v>
      </c>
      <c r="BH5" s="2">
        <f t="shared" si="9"/>
        <v>432</v>
      </c>
      <c r="BI5" s="2">
        <f t="shared" si="9"/>
        <v>104</v>
      </c>
      <c r="BK5" s="2" t="str">
        <f t="shared" si="10"/>
        <v>T2低2</v>
      </c>
      <c r="BL5" s="2">
        <f t="shared" ref="BL5:BL27" si="42">ROUND(VLOOKUP($BK$2,$B$45:$J$52,MATCH(BL$3,$B$45:$J$45,0),FALSE)*$AA5,0)</f>
        <v>1019</v>
      </c>
      <c r="BM5" s="2">
        <f t="shared" si="11"/>
        <v>107</v>
      </c>
      <c r="BN5" s="2">
        <f t="shared" si="11"/>
        <v>394</v>
      </c>
      <c r="BO5" s="2">
        <f t="shared" si="11"/>
        <v>296</v>
      </c>
      <c r="BP5" s="2">
        <f t="shared" si="11"/>
        <v>432</v>
      </c>
      <c r="BQ5" s="2">
        <f t="shared" si="11"/>
        <v>104</v>
      </c>
      <c r="BS5" s="2" t="str">
        <f t="shared" si="12"/>
        <v>T2低2</v>
      </c>
      <c r="BT5" s="2">
        <f t="shared" ref="BT5:BT27" si="43">ROUND(VLOOKUP($BS$2,$B$45:$J$52,MATCH(BT$3,$B$45:$J$45,0),FALSE)*$AA5,0)</f>
        <v>1155</v>
      </c>
      <c r="BU5" s="2">
        <f t="shared" si="13"/>
        <v>322</v>
      </c>
      <c r="BV5" s="2">
        <f t="shared" si="13"/>
        <v>343</v>
      </c>
      <c r="BW5" s="2">
        <f t="shared" si="13"/>
        <v>274</v>
      </c>
      <c r="BX5" s="2">
        <f t="shared" si="13"/>
        <v>504</v>
      </c>
      <c r="BY5" s="2">
        <f t="shared" si="13"/>
        <v>117</v>
      </c>
      <c r="CA5" s="2" t="str">
        <f t="shared" si="14"/>
        <v>T2低2</v>
      </c>
      <c r="CB5" s="2">
        <f t="shared" ref="CB5:CB27" si="44">ROUND(VLOOKUP($CA$2,$B$45:$J$52,MATCH(CB$3,$B$45:$J$45,0),FALSE)*$AA5,0)</f>
        <v>1155</v>
      </c>
      <c r="CC5" s="2">
        <f t="shared" si="15"/>
        <v>425</v>
      </c>
      <c r="CD5" s="2">
        <f t="shared" si="15"/>
        <v>377</v>
      </c>
      <c r="CE5" s="2">
        <f t="shared" si="15"/>
        <v>302</v>
      </c>
      <c r="CF5" s="2">
        <f t="shared" si="15"/>
        <v>504</v>
      </c>
      <c r="CG5" s="2">
        <f t="shared" si="15"/>
        <v>117</v>
      </c>
      <c r="CH5" s="25"/>
      <c r="CI5" s="2" t="str">
        <f t="shared" si="16"/>
        <v>T2低2</v>
      </c>
      <c r="CJ5" s="2" t="str">
        <f t="shared" si="17"/>
        <v>T2低4</v>
      </c>
      <c r="CK5" s="2">
        <f t="shared" si="18"/>
        <v>368</v>
      </c>
      <c r="CL5" s="2">
        <f t="shared" si="18"/>
        <v>40</v>
      </c>
      <c r="CM5" s="2">
        <f t="shared" si="18"/>
        <v>150</v>
      </c>
      <c r="CN5" s="2">
        <f t="shared" si="18"/>
        <v>105</v>
      </c>
      <c r="CO5" s="2">
        <f t="shared" si="18"/>
        <v>150</v>
      </c>
      <c r="CP5" s="2">
        <f t="shared" si="18"/>
        <v>40</v>
      </c>
      <c r="CR5" s="2" t="str">
        <f t="shared" si="19"/>
        <v>T2低2</v>
      </c>
      <c r="CS5" s="2" t="str">
        <f t="shared" si="20"/>
        <v>T2低4</v>
      </c>
      <c r="CT5" s="2">
        <f t="shared" si="21"/>
        <v>368</v>
      </c>
      <c r="CU5" s="2">
        <f t="shared" si="21"/>
        <v>21</v>
      </c>
      <c r="CV5" s="2">
        <f t="shared" si="21"/>
        <v>165</v>
      </c>
      <c r="CW5" s="2">
        <f t="shared" si="21"/>
        <v>115</v>
      </c>
      <c r="CX5" s="2">
        <f t="shared" si="21"/>
        <v>150</v>
      </c>
      <c r="CY5" s="2">
        <f t="shared" si="21"/>
        <v>40</v>
      </c>
      <c r="CZ5" s="25"/>
      <c r="DA5" s="2" t="str">
        <f t="shared" si="22"/>
        <v>T2低2</v>
      </c>
      <c r="DB5" s="2" t="str">
        <f t="shared" si="23"/>
        <v>T2低4</v>
      </c>
      <c r="DC5" s="2">
        <f t="shared" si="24"/>
        <v>368</v>
      </c>
      <c r="DD5" s="2">
        <f t="shared" si="24"/>
        <v>81</v>
      </c>
      <c r="DE5" s="2">
        <f t="shared" si="24"/>
        <v>178</v>
      </c>
      <c r="DF5" s="2">
        <f t="shared" si="24"/>
        <v>125</v>
      </c>
      <c r="DG5" s="2">
        <f t="shared" si="24"/>
        <v>150</v>
      </c>
      <c r="DH5" s="2">
        <f t="shared" si="24"/>
        <v>40</v>
      </c>
      <c r="DI5" s="25"/>
      <c r="DJ5" s="2" t="str">
        <f t="shared" si="25"/>
        <v>T2低2</v>
      </c>
      <c r="DK5" s="2" t="str">
        <f t="shared" si="26"/>
        <v>T2低4</v>
      </c>
      <c r="DL5" s="2">
        <f t="shared" si="27"/>
        <v>397</v>
      </c>
      <c r="DM5" s="2">
        <f t="shared" si="27"/>
        <v>37</v>
      </c>
      <c r="DN5" s="2">
        <f t="shared" si="27"/>
        <v>143</v>
      </c>
      <c r="DO5" s="2">
        <f t="shared" si="27"/>
        <v>107</v>
      </c>
      <c r="DP5" s="2">
        <f t="shared" si="27"/>
        <v>180</v>
      </c>
      <c r="DQ5" s="2">
        <f t="shared" si="27"/>
        <v>43</v>
      </c>
      <c r="DS5" s="2" t="str">
        <f t="shared" si="28"/>
        <v>T2低2</v>
      </c>
      <c r="DT5" s="2" t="str">
        <f t="shared" si="29"/>
        <v>T2低4</v>
      </c>
      <c r="DU5" s="2">
        <f t="shared" si="30"/>
        <v>397</v>
      </c>
      <c r="DV5" s="2">
        <f t="shared" si="30"/>
        <v>44</v>
      </c>
      <c r="DW5" s="2">
        <f t="shared" si="30"/>
        <v>165</v>
      </c>
      <c r="DX5" s="2">
        <f t="shared" si="30"/>
        <v>123</v>
      </c>
      <c r="DY5" s="2">
        <f t="shared" si="30"/>
        <v>180</v>
      </c>
      <c r="DZ5" s="2">
        <f t="shared" si="30"/>
        <v>43</v>
      </c>
      <c r="EB5" s="2" t="str">
        <f t="shared" si="31"/>
        <v>T2低2</v>
      </c>
      <c r="EC5" s="2" t="str">
        <f t="shared" si="32"/>
        <v>T2低4</v>
      </c>
      <c r="ED5" s="2">
        <f t="shared" si="33"/>
        <v>450</v>
      </c>
      <c r="EE5" s="2">
        <f t="shared" si="33"/>
        <v>134</v>
      </c>
      <c r="EF5" s="2">
        <f t="shared" si="33"/>
        <v>143</v>
      </c>
      <c r="EG5" s="2">
        <f t="shared" si="33"/>
        <v>115</v>
      </c>
      <c r="EH5" s="2">
        <f t="shared" si="33"/>
        <v>210</v>
      </c>
      <c r="EI5" s="2">
        <f t="shared" si="33"/>
        <v>49</v>
      </c>
      <c r="EK5" s="2" t="str">
        <f t="shared" si="34"/>
        <v>T2低2</v>
      </c>
      <c r="EL5" s="2" t="str">
        <f t="shared" si="35"/>
        <v>T2低4</v>
      </c>
      <c r="EM5" s="2">
        <f t="shared" si="36"/>
        <v>450</v>
      </c>
      <c r="EN5" s="2">
        <f t="shared" si="36"/>
        <v>177</v>
      </c>
      <c r="EO5" s="2">
        <f t="shared" si="36"/>
        <v>157</v>
      </c>
      <c r="EP5" s="2">
        <f t="shared" si="36"/>
        <v>125</v>
      </c>
      <c r="EQ5" s="2">
        <f t="shared" si="36"/>
        <v>210</v>
      </c>
      <c r="ER5" s="2">
        <f t="shared" si="36"/>
        <v>49</v>
      </c>
    </row>
    <row r="6" spans="2:148" x14ac:dyDescent="0.3">
      <c r="B6" s="212">
        <v>3</v>
      </c>
      <c r="C6" s="2">
        <v>3</v>
      </c>
      <c r="D6" s="2">
        <v>5</v>
      </c>
      <c r="E6" s="2">
        <v>3</v>
      </c>
      <c r="F6" s="2">
        <v>5</v>
      </c>
      <c r="G6" s="2">
        <v>3</v>
      </c>
      <c r="H6" s="2">
        <v>5</v>
      </c>
      <c r="I6" s="215">
        <v>2</v>
      </c>
      <c r="J6" s="215">
        <v>2</v>
      </c>
      <c r="K6" s="215">
        <v>2</v>
      </c>
      <c r="L6" s="2">
        <f t="shared" si="0"/>
        <v>9</v>
      </c>
      <c r="M6" s="2">
        <f>((E6+1)+(F6))/2*(F6-E6)</f>
        <v>9</v>
      </c>
      <c r="N6" s="2">
        <f>((G6+1)+(H6))/2*(H6-G6)</f>
        <v>9</v>
      </c>
      <c r="O6" s="2">
        <f t="shared" si="1"/>
        <v>14</v>
      </c>
      <c r="P6" s="2">
        <f>(($C$4+1)+(F6))/2*(F6-$C$4)</f>
        <v>14</v>
      </c>
      <c r="Q6" s="2">
        <f>(($C$4+1)+(H6))/2*(H6-$C$4)</f>
        <v>14</v>
      </c>
      <c r="R6" s="21">
        <v>0.09</v>
      </c>
      <c r="S6" s="21">
        <v>0.1</v>
      </c>
      <c r="T6" s="21">
        <v>0.11</v>
      </c>
      <c r="Y6" s="2" t="s">
        <v>782</v>
      </c>
      <c r="Z6" s="34">
        <f t="shared" si="37"/>
        <v>1.22</v>
      </c>
      <c r="AA6" s="34">
        <v>1.22</v>
      </c>
      <c r="AB6" s="2"/>
      <c r="AE6" s="2" t="str">
        <f t="shared" si="2"/>
        <v>T2中2</v>
      </c>
      <c r="AF6" s="2">
        <f t="shared" si="38"/>
        <v>976</v>
      </c>
      <c r="AG6" s="2">
        <f t="shared" si="3"/>
        <v>97</v>
      </c>
      <c r="AH6" s="2">
        <f t="shared" si="3"/>
        <v>366</v>
      </c>
      <c r="AI6" s="2">
        <f t="shared" si="3"/>
        <v>256</v>
      </c>
      <c r="AJ6" s="2">
        <f t="shared" si="3"/>
        <v>366</v>
      </c>
      <c r="AK6" s="2">
        <f t="shared" si="3"/>
        <v>98</v>
      </c>
      <c r="AM6" s="2" t="str">
        <f t="shared" si="4"/>
        <v>T2中2</v>
      </c>
      <c r="AN6" s="2">
        <f t="shared" si="39"/>
        <v>976</v>
      </c>
      <c r="AO6" s="2">
        <f t="shared" si="5"/>
        <v>52</v>
      </c>
      <c r="AP6" s="2">
        <f t="shared" si="5"/>
        <v>401</v>
      </c>
      <c r="AQ6" s="2">
        <f t="shared" si="5"/>
        <v>281</v>
      </c>
      <c r="AR6" s="2">
        <f t="shared" si="5"/>
        <v>366</v>
      </c>
      <c r="AS6" s="2">
        <f t="shared" si="5"/>
        <v>98</v>
      </c>
      <c r="AT6" s="25"/>
      <c r="AU6" s="2" t="str">
        <f t="shared" si="6"/>
        <v>T2中2</v>
      </c>
      <c r="AV6" s="2">
        <f t="shared" si="40"/>
        <v>976</v>
      </c>
      <c r="AW6" s="2">
        <f t="shared" si="7"/>
        <v>196</v>
      </c>
      <c r="AX6" s="2">
        <f t="shared" si="7"/>
        <v>436</v>
      </c>
      <c r="AY6" s="2">
        <f t="shared" si="7"/>
        <v>305</v>
      </c>
      <c r="AZ6" s="2">
        <f t="shared" si="7"/>
        <v>366</v>
      </c>
      <c r="BA6" s="2">
        <f t="shared" si="7"/>
        <v>98</v>
      </c>
      <c r="BB6" s="25"/>
      <c r="BC6" s="2" t="str">
        <f t="shared" si="8"/>
        <v>T2中2</v>
      </c>
      <c r="BD6" s="2">
        <f t="shared" si="41"/>
        <v>1053</v>
      </c>
      <c r="BE6" s="2">
        <f t="shared" si="9"/>
        <v>91</v>
      </c>
      <c r="BF6" s="2">
        <f t="shared" si="9"/>
        <v>349</v>
      </c>
      <c r="BG6" s="2">
        <f t="shared" si="9"/>
        <v>261</v>
      </c>
      <c r="BH6" s="2">
        <f t="shared" si="9"/>
        <v>439</v>
      </c>
      <c r="BI6" s="2">
        <f t="shared" si="9"/>
        <v>105</v>
      </c>
      <c r="BK6" s="2" t="str">
        <f t="shared" si="10"/>
        <v>T2中2</v>
      </c>
      <c r="BL6" s="2">
        <f t="shared" si="42"/>
        <v>1053</v>
      </c>
      <c r="BM6" s="2">
        <f t="shared" si="11"/>
        <v>109</v>
      </c>
      <c r="BN6" s="2">
        <f t="shared" si="11"/>
        <v>401</v>
      </c>
      <c r="BO6" s="2">
        <f t="shared" si="11"/>
        <v>301</v>
      </c>
      <c r="BP6" s="2">
        <f t="shared" si="11"/>
        <v>439</v>
      </c>
      <c r="BQ6" s="2">
        <f t="shared" si="11"/>
        <v>105</v>
      </c>
      <c r="BS6" s="2" t="str">
        <f t="shared" si="12"/>
        <v>T2中2</v>
      </c>
      <c r="BT6" s="2">
        <f t="shared" si="43"/>
        <v>1194</v>
      </c>
      <c r="BU6" s="2">
        <f t="shared" si="13"/>
        <v>327</v>
      </c>
      <c r="BV6" s="2">
        <f t="shared" si="13"/>
        <v>349</v>
      </c>
      <c r="BW6" s="2">
        <f t="shared" si="13"/>
        <v>279</v>
      </c>
      <c r="BX6" s="2">
        <f t="shared" si="13"/>
        <v>512</v>
      </c>
      <c r="BY6" s="2">
        <f t="shared" si="13"/>
        <v>119</v>
      </c>
      <c r="CA6" s="2" t="str">
        <f t="shared" si="14"/>
        <v>T2中2</v>
      </c>
      <c r="CB6" s="2">
        <f t="shared" si="44"/>
        <v>1194</v>
      </c>
      <c r="CC6" s="2">
        <f t="shared" si="15"/>
        <v>432</v>
      </c>
      <c r="CD6" s="2">
        <f t="shared" si="15"/>
        <v>383</v>
      </c>
      <c r="CE6" s="2">
        <f t="shared" si="15"/>
        <v>307</v>
      </c>
      <c r="CF6" s="2">
        <f t="shared" si="15"/>
        <v>512</v>
      </c>
      <c r="CG6" s="2">
        <f t="shared" si="15"/>
        <v>119</v>
      </c>
      <c r="CH6" s="25"/>
      <c r="CI6" s="2" t="str">
        <f t="shared" si="16"/>
        <v>T2中2</v>
      </c>
      <c r="CJ6" s="2" t="str">
        <f t="shared" si="17"/>
        <v>T2中4</v>
      </c>
      <c r="CK6" s="2">
        <f t="shared" si="18"/>
        <v>432</v>
      </c>
      <c r="CL6" s="2">
        <f t="shared" si="18"/>
        <v>43</v>
      </c>
      <c r="CM6" s="2">
        <f t="shared" si="18"/>
        <v>162</v>
      </c>
      <c r="CN6" s="2">
        <f t="shared" si="18"/>
        <v>114</v>
      </c>
      <c r="CO6" s="2">
        <f t="shared" si="18"/>
        <v>162</v>
      </c>
      <c r="CP6" s="2">
        <f t="shared" si="18"/>
        <v>43</v>
      </c>
      <c r="CR6" s="2" t="str">
        <f t="shared" si="19"/>
        <v>T2中2</v>
      </c>
      <c r="CS6" s="2" t="str">
        <f t="shared" si="20"/>
        <v>T2中4</v>
      </c>
      <c r="CT6" s="2">
        <f t="shared" si="21"/>
        <v>432</v>
      </c>
      <c r="CU6" s="2">
        <f t="shared" si="21"/>
        <v>23</v>
      </c>
      <c r="CV6" s="2">
        <f t="shared" si="21"/>
        <v>177</v>
      </c>
      <c r="CW6" s="2">
        <f t="shared" si="21"/>
        <v>124</v>
      </c>
      <c r="CX6" s="2">
        <f t="shared" si="21"/>
        <v>162</v>
      </c>
      <c r="CY6" s="2">
        <f t="shared" si="21"/>
        <v>43</v>
      </c>
      <c r="CZ6" s="25"/>
      <c r="DA6" s="2" t="str">
        <f t="shared" si="22"/>
        <v>T2中2</v>
      </c>
      <c r="DB6" s="2" t="str">
        <f t="shared" si="23"/>
        <v>T2中4</v>
      </c>
      <c r="DC6" s="2">
        <f t="shared" si="24"/>
        <v>432</v>
      </c>
      <c r="DD6" s="2">
        <f t="shared" si="24"/>
        <v>87</v>
      </c>
      <c r="DE6" s="2">
        <f t="shared" si="24"/>
        <v>193</v>
      </c>
      <c r="DF6" s="2">
        <f t="shared" si="24"/>
        <v>135</v>
      </c>
      <c r="DG6" s="2">
        <f t="shared" si="24"/>
        <v>162</v>
      </c>
      <c r="DH6" s="2">
        <f t="shared" si="24"/>
        <v>43</v>
      </c>
      <c r="DI6" s="25"/>
      <c r="DJ6" s="2" t="str">
        <f t="shared" si="25"/>
        <v>T2中2</v>
      </c>
      <c r="DK6" s="2" t="str">
        <f t="shared" si="26"/>
        <v>T2中4</v>
      </c>
      <c r="DL6" s="2">
        <f t="shared" si="27"/>
        <v>467</v>
      </c>
      <c r="DM6" s="2">
        <f t="shared" si="27"/>
        <v>40</v>
      </c>
      <c r="DN6" s="2">
        <f t="shared" si="27"/>
        <v>154</v>
      </c>
      <c r="DO6" s="2">
        <f t="shared" si="27"/>
        <v>116</v>
      </c>
      <c r="DP6" s="2">
        <f t="shared" si="27"/>
        <v>195</v>
      </c>
      <c r="DQ6" s="2">
        <f t="shared" si="27"/>
        <v>47</v>
      </c>
      <c r="DS6" s="2" t="str">
        <f t="shared" si="28"/>
        <v>T2中2</v>
      </c>
      <c r="DT6" s="2" t="str">
        <f t="shared" si="29"/>
        <v>T2中4</v>
      </c>
      <c r="DU6" s="2">
        <f t="shared" si="30"/>
        <v>467</v>
      </c>
      <c r="DV6" s="2">
        <f t="shared" si="30"/>
        <v>48</v>
      </c>
      <c r="DW6" s="2">
        <f t="shared" si="30"/>
        <v>177</v>
      </c>
      <c r="DX6" s="2">
        <f t="shared" si="30"/>
        <v>133</v>
      </c>
      <c r="DY6" s="2">
        <f t="shared" si="30"/>
        <v>195</v>
      </c>
      <c r="DZ6" s="2">
        <f t="shared" si="30"/>
        <v>47</v>
      </c>
      <c r="EB6" s="2" t="str">
        <f t="shared" si="31"/>
        <v>T2中2</v>
      </c>
      <c r="EC6" s="2" t="str">
        <f t="shared" si="32"/>
        <v>T2中4</v>
      </c>
      <c r="ED6" s="2">
        <f t="shared" si="33"/>
        <v>528</v>
      </c>
      <c r="EE6" s="2">
        <f t="shared" si="33"/>
        <v>145</v>
      </c>
      <c r="EF6" s="2">
        <f t="shared" si="33"/>
        <v>154</v>
      </c>
      <c r="EG6" s="2">
        <f t="shared" si="33"/>
        <v>123</v>
      </c>
      <c r="EH6" s="2">
        <f t="shared" si="33"/>
        <v>227</v>
      </c>
      <c r="EI6" s="2">
        <f t="shared" si="33"/>
        <v>53</v>
      </c>
      <c r="EK6" s="2" t="str">
        <f t="shared" si="34"/>
        <v>T2中2</v>
      </c>
      <c r="EL6" s="2" t="str">
        <f t="shared" si="35"/>
        <v>T2中4</v>
      </c>
      <c r="EM6" s="2">
        <f t="shared" si="36"/>
        <v>528</v>
      </c>
      <c r="EN6" s="2">
        <f t="shared" si="36"/>
        <v>192</v>
      </c>
      <c r="EO6" s="2">
        <f t="shared" si="36"/>
        <v>170</v>
      </c>
      <c r="EP6" s="2">
        <f t="shared" si="36"/>
        <v>136</v>
      </c>
      <c r="EQ6" s="2">
        <f t="shared" si="36"/>
        <v>227</v>
      </c>
      <c r="ER6" s="2">
        <f t="shared" si="36"/>
        <v>53</v>
      </c>
    </row>
    <row r="7" spans="2:148" x14ac:dyDescent="0.3">
      <c r="B7" s="213">
        <v>4</v>
      </c>
      <c r="C7" s="2">
        <v>4</v>
      </c>
      <c r="D7" s="2">
        <v>6</v>
      </c>
      <c r="E7" s="2">
        <v>4</v>
      </c>
      <c r="F7" s="2">
        <v>6</v>
      </c>
      <c r="G7" s="2">
        <v>4</v>
      </c>
      <c r="H7" s="2">
        <v>6</v>
      </c>
      <c r="I7" s="215">
        <v>2</v>
      </c>
      <c r="J7" s="215">
        <v>2</v>
      </c>
      <c r="K7" s="215">
        <v>2</v>
      </c>
      <c r="L7" s="2">
        <f t="shared" si="0"/>
        <v>11</v>
      </c>
      <c r="M7" s="2">
        <f>((E7+1)+(F7))/2*(F7-E7)</f>
        <v>11</v>
      </c>
      <c r="N7" s="2">
        <f>((G7+1)+(H7))/2*(H7-G7)</f>
        <v>11</v>
      </c>
      <c r="O7" s="2">
        <f t="shared" si="1"/>
        <v>20</v>
      </c>
      <c r="P7" s="2">
        <f>(($C$4+1)+(F7))/2*(F7-$C$4)</f>
        <v>20</v>
      </c>
      <c r="Q7" s="2">
        <f>(($C$4+1)+(H7))/2*(H7-$C$4)</f>
        <v>20</v>
      </c>
      <c r="R7" s="21">
        <v>0.1</v>
      </c>
      <c r="S7" s="21">
        <v>0.11</v>
      </c>
      <c r="T7" s="21">
        <v>0.12</v>
      </c>
      <c r="Y7" s="2" t="s">
        <v>783</v>
      </c>
      <c r="Z7" s="34">
        <f t="shared" si="37"/>
        <v>1.3</v>
      </c>
      <c r="AA7" s="34">
        <v>1.3</v>
      </c>
      <c r="AB7" s="2"/>
      <c r="AE7" s="2" t="str">
        <f t="shared" si="2"/>
        <v>T1低3</v>
      </c>
      <c r="AF7" s="2">
        <f t="shared" si="38"/>
        <v>1040</v>
      </c>
      <c r="AG7" s="2">
        <f t="shared" si="3"/>
        <v>104</v>
      </c>
      <c r="AH7" s="2">
        <f t="shared" si="3"/>
        <v>390</v>
      </c>
      <c r="AI7" s="2">
        <f t="shared" si="3"/>
        <v>273</v>
      </c>
      <c r="AJ7" s="2">
        <f t="shared" si="3"/>
        <v>390</v>
      </c>
      <c r="AK7" s="2">
        <f t="shared" si="3"/>
        <v>104</v>
      </c>
      <c r="AM7" s="2" t="str">
        <f t="shared" si="4"/>
        <v>T1低3</v>
      </c>
      <c r="AN7" s="2">
        <f t="shared" si="39"/>
        <v>1040</v>
      </c>
      <c r="AO7" s="2">
        <f t="shared" si="5"/>
        <v>55</v>
      </c>
      <c r="AP7" s="2">
        <f t="shared" si="5"/>
        <v>427</v>
      </c>
      <c r="AQ7" s="2">
        <f t="shared" si="5"/>
        <v>299</v>
      </c>
      <c r="AR7" s="2">
        <f t="shared" si="5"/>
        <v>390</v>
      </c>
      <c r="AS7" s="2">
        <f t="shared" si="5"/>
        <v>104</v>
      </c>
      <c r="AT7" s="25"/>
      <c r="AU7" s="2" t="str">
        <f t="shared" si="6"/>
        <v>T1低3</v>
      </c>
      <c r="AV7" s="2">
        <f t="shared" si="40"/>
        <v>1040</v>
      </c>
      <c r="AW7" s="2">
        <f t="shared" si="7"/>
        <v>209</v>
      </c>
      <c r="AX7" s="2">
        <f t="shared" si="7"/>
        <v>464</v>
      </c>
      <c r="AY7" s="2">
        <f t="shared" si="7"/>
        <v>325</v>
      </c>
      <c r="AZ7" s="2">
        <f t="shared" si="7"/>
        <v>390</v>
      </c>
      <c r="BA7" s="2">
        <f t="shared" si="7"/>
        <v>104</v>
      </c>
      <c r="BB7" s="25"/>
      <c r="BC7" s="2" t="str">
        <f t="shared" si="8"/>
        <v>T1低3</v>
      </c>
      <c r="BD7" s="2">
        <f t="shared" si="41"/>
        <v>1123</v>
      </c>
      <c r="BE7" s="2">
        <f t="shared" si="9"/>
        <v>97</v>
      </c>
      <c r="BF7" s="2">
        <f t="shared" si="9"/>
        <v>371</v>
      </c>
      <c r="BG7" s="2">
        <f t="shared" si="9"/>
        <v>279</v>
      </c>
      <c r="BH7" s="2">
        <f t="shared" si="9"/>
        <v>468</v>
      </c>
      <c r="BI7" s="2">
        <f t="shared" si="9"/>
        <v>112</v>
      </c>
      <c r="BK7" s="2" t="str">
        <f t="shared" si="10"/>
        <v>T1低3</v>
      </c>
      <c r="BL7" s="2">
        <f t="shared" si="42"/>
        <v>1123</v>
      </c>
      <c r="BM7" s="2">
        <f t="shared" si="11"/>
        <v>116</v>
      </c>
      <c r="BN7" s="2">
        <f t="shared" si="11"/>
        <v>427</v>
      </c>
      <c r="BO7" s="2">
        <f t="shared" si="11"/>
        <v>320</v>
      </c>
      <c r="BP7" s="2">
        <f t="shared" si="11"/>
        <v>468</v>
      </c>
      <c r="BQ7" s="2">
        <f t="shared" si="11"/>
        <v>112</v>
      </c>
      <c r="BS7" s="2" t="str">
        <f t="shared" si="12"/>
        <v>T1低3</v>
      </c>
      <c r="BT7" s="2">
        <f t="shared" si="43"/>
        <v>1272</v>
      </c>
      <c r="BU7" s="2">
        <f t="shared" si="13"/>
        <v>348</v>
      </c>
      <c r="BV7" s="2">
        <f t="shared" si="13"/>
        <v>371</v>
      </c>
      <c r="BW7" s="2">
        <f t="shared" si="13"/>
        <v>297</v>
      </c>
      <c r="BX7" s="2">
        <f t="shared" si="13"/>
        <v>546</v>
      </c>
      <c r="BY7" s="2">
        <f t="shared" si="13"/>
        <v>127</v>
      </c>
      <c r="CA7" s="2" t="str">
        <f t="shared" si="14"/>
        <v>T1低3</v>
      </c>
      <c r="CB7" s="2">
        <f t="shared" si="44"/>
        <v>1272</v>
      </c>
      <c r="CC7" s="2">
        <f t="shared" si="15"/>
        <v>461</v>
      </c>
      <c r="CD7" s="2">
        <f t="shared" si="15"/>
        <v>409</v>
      </c>
      <c r="CE7" s="2">
        <f t="shared" si="15"/>
        <v>327</v>
      </c>
      <c r="CF7" s="2">
        <f t="shared" si="15"/>
        <v>546</v>
      </c>
      <c r="CG7" s="2">
        <f t="shared" si="15"/>
        <v>127</v>
      </c>
      <c r="CH7" s="25"/>
      <c r="CI7" s="2" t="str">
        <f t="shared" si="16"/>
        <v>T3低3</v>
      </c>
      <c r="CJ7" s="2" t="str">
        <f t="shared" si="17"/>
        <v>T3低5</v>
      </c>
      <c r="CK7" s="2">
        <f t="shared" si="18"/>
        <v>512</v>
      </c>
      <c r="CL7" s="2">
        <f t="shared" si="18"/>
        <v>55</v>
      </c>
      <c r="CM7" s="2">
        <f t="shared" si="18"/>
        <v>207</v>
      </c>
      <c r="CN7" s="2">
        <f t="shared" si="18"/>
        <v>145</v>
      </c>
      <c r="CO7" s="2">
        <f t="shared" si="18"/>
        <v>207</v>
      </c>
      <c r="CP7" s="2">
        <f t="shared" si="18"/>
        <v>56</v>
      </c>
      <c r="CR7" s="2" t="str">
        <f t="shared" si="19"/>
        <v>T3低3</v>
      </c>
      <c r="CS7" s="2" t="str">
        <f t="shared" si="20"/>
        <v>T3低5</v>
      </c>
      <c r="CT7" s="2">
        <f t="shared" si="21"/>
        <v>512</v>
      </c>
      <c r="CU7" s="2">
        <f t="shared" si="21"/>
        <v>29</v>
      </c>
      <c r="CV7" s="2">
        <f t="shared" si="21"/>
        <v>227</v>
      </c>
      <c r="CW7" s="2">
        <f t="shared" si="21"/>
        <v>159</v>
      </c>
      <c r="CX7" s="2">
        <f t="shared" si="21"/>
        <v>207</v>
      </c>
      <c r="CY7" s="2">
        <f t="shared" si="21"/>
        <v>56</v>
      </c>
      <c r="CZ7" s="25"/>
      <c r="DA7" s="2" t="str">
        <f t="shared" si="22"/>
        <v>T3低3</v>
      </c>
      <c r="DB7" s="2" t="str">
        <f t="shared" si="23"/>
        <v>T3低5</v>
      </c>
      <c r="DC7" s="2">
        <f t="shared" si="24"/>
        <v>512</v>
      </c>
      <c r="DD7" s="2">
        <f t="shared" si="24"/>
        <v>111</v>
      </c>
      <c r="DE7" s="2">
        <f t="shared" si="24"/>
        <v>246</v>
      </c>
      <c r="DF7" s="2">
        <f t="shared" si="24"/>
        <v>173</v>
      </c>
      <c r="DG7" s="2">
        <f t="shared" si="24"/>
        <v>207</v>
      </c>
      <c r="DH7" s="2">
        <f t="shared" si="24"/>
        <v>56</v>
      </c>
      <c r="DI7" s="25"/>
      <c r="DJ7" s="2" t="str">
        <f t="shared" si="25"/>
        <v>T3低3</v>
      </c>
      <c r="DK7" s="2" t="str">
        <f t="shared" si="26"/>
        <v>T3低5</v>
      </c>
      <c r="DL7" s="2">
        <f t="shared" si="27"/>
        <v>553</v>
      </c>
      <c r="DM7" s="2">
        <f t="shared" si="27"/>
        <v>51</v>
      </c>
      <c r="DN7" s="2">
        <f t="shared" si="27"/>
        <v>197</v>
      </c>
      <c r="DO7" s="2">
        <f t="shared" si="27"/>
        <v>148</v>
      </c>
      <c r="DP7" s="2">
        <f t="shared" si="27"/>
        <v>248</v>
      </c>
      <c r="DQ7" s="2">
        <f t="shared" si="27"/>
        <v>59</v>
      </c>
      <c r="DS7" s="2" t="str">
        <f t="shared" si="28"/>
        <v>T3低3</v>
      </c>
      <c r="DT7" s="2" t="str">
        <f t="shared" si="29"/>
        <v>T3低5</v>
      </c>
      <c r="DU7" s="2">
        <f t="shared" si="30"/>
        <v>553</v>
      </c>
      <c r="DV7" s="2">
        <f t="shared" si="30"/>
        <v>61</v>
      </c>
      <c r="DW7" s="2">
        <f t="shared" si="30"/>
        <v>227</v>
      </c>
      <c r="DX7" s="2">
        <f t="shared" si="30"/>
        <v>170</v>
      </c>
      <c r="DY7" s="2">
        <f t="shared" si="30"/>
        <v>248</v>
      </c>
      <c r="DZ7" s="2">
        <f t="shared" si="30"/>
        <v>59</v>
      </c>
      <c r="EB7" s="2" t="str">
        <f t="shared" si="31"/>
        <v>T3低3</v>
      </c>
      <c r="EC7" s="2" t="str">
        <f t="shared" si="32"/>
        <v>T3低5</v>
      </c>
      <c r="ED7" s="2">
        <f t="shared" si="33"/>
        <v>627</v>
      </c>
      <c r="EE7" s="2">
        <f t="shared" si="33"/>
        <v>185</v>
      </c>
      <c r="EF7" s="2">
        <f t="shared" si="33"/>
        <v>197</v>
      </c>
      <c r="EG7" s="2">
        <f t="shared" si="33"/>
        <v>158</v>
      </c>
      <c r="EH7" s="2">
        <f t="shared" si="33"/>
        <v>289</v>
      </c>
      <c r="EI7" s="2">
        <f t="shared" si="33"/>
        <v>67</v>
      </c>
      <c r="EK7" s="2" t="str">
        <f t="shared" si="34"/>
        <v>T3低3</v>
      </c>
      <c r="EL7" s="2" t="str">
        <f t="shared" si="35"/>
        <v>T3低5</v>
      </c>
      <c r="EM7" s="2">
        <f t="shared" si="36"/>
        <v>627</v>
      </c>
      <c r="EN7" s="2">
        <f t="shared" si="36"/>
        <v>245</v>
      </c>
      <c r="EO7" s="2">
        <f t="shared" si="36"/>
        <v>217</v>
      </c>
      <c r="EP7" s="2">
        <f t="shared" si="36"/>
        <v>174</v>
      </c>
      <c r="EQ7" s="2">
        <f t="shared" si="36"/>
        <v>289</v>
      </c>
      <c r="ER7" s="2">
        <f t="shared" si="36"/>
        <v>67</v>
      </c>
    </row>
    <row r="8" spans="2:148" x14ac:dyDescent="0.3">
      <c r="B8" s="102">
        <v>5</v>
      </c>
      <c r="C8" s="2">
        <v>5</v>
      </c>
      <c r="D8" s="2">
        <v>7</v>
      </c>
      <c r="E8" s="2">
        <v>5</v>
      </c>
      <c r="F8" s="2">
        <v>7</v>
      </c>
      <c r="G8" s="2">
        <v>5</v>
      </c>
      <c r="H8" s="2">
        <v>7</v>
      </c>
      <c r="I8" s="215">
        <v>2</v>
      </c>
      <c r="J8" s="215">
        <v>2</v>
      </c>
      <c r="K8" s="215">
        <v>2</v>
      </c>
      <c r="L8" s="2">
        <f t="shared" si="0"/>
        <v>13</v>
      </c>
      <c r="M8" s="2">
        <f>((E8+1)+(F8))/2*(F8-E8)</f>
        <v>13</v>
      </c>
      <c r="N8" s="2">
        <f>((G8+1)+(H8))/2*(H8-G8)</f>
        <v>13</v>
      </c>
      <c r="O8" s="2">
        <f t="shared" si="1"/>
        <v>27</v>
      </c>
      <c r="P8" s="2">
        <f>(($C$4+1)+(F8))/2*(F8-$C$4)</f>
        <v>27</v>
      </c>
      <c r="Q8" s="2">
        <f>(($C$4+1)+(H8))/2*(H8-$C$4)</f>
        <v>27</v>
      </c>
      <c r="R8" s="21">
        <v>0.11</v>
      </c>
      <c r="S8" s="21">
        <v>0.12</v>
      </c>
      <c r="T8" s="21">
        <v>0.13</v>
      </c>
      <c r="Y8" s="2" t="s">
        <v>784</v>
      </c>
      <c r="Z8" s="34">
        <f t="shared" si="37"/>
        <v>1.48</v>
      </c>
      <c r="AA8" s="34">
        <v>1.48</v>
      </c>
      <c r="AB8" s="2"/>
      <c r="AE8" s="2" t="str">
        <f t="shared" si="2"/>
        <v>T3低3</v>
      </c>
      <c r="AF8" s="2">
        <f t="shared" si="38"/>
        <v>1184</v>
      </c>
      <c r="AG8" s="2">
        <f t="shared" si="3"/>
        <v>118</v>
      </c>
      <c r="AH8" s="2">
        <f t="shared" si="3"/>
        <v>444</v>
      </c>
      <c r="AI8" s="2">
        <f t="shared" si="3"/>
        <v>311</v>
      </c>
      <c r="AJ8" s="2">
        <f t="shared" si="3"/>
        <v>444</v>
      </c>
      <c r="AK8" s="2">
        <f t="shared" si="3"/>
        <v>118</v>
      </c>
      <c r="AM8" s="2" t="str">
        <f t="shared" si="4"/>
        <v>T3低3</v>
      </c>
      <c r="AN8" s="2">
        <f t="shared" si="39"/>
        <v>1184</v>
      </c>
      <c r="AO8" s="2">
        <f t="shared" si="5"/>
        <v>63</v>
      </c>
      <c r="AP8" s="2">
        <f t="shared" si="5"/>
        <v>486</v>
      </c>
      <c r="AQ8" s="2">
        <f t="shared" si="5"/>
        <v>340</v>
      </c>
      <c r="AR8" s="2">
        <f t="shared" si="5"/>
        <v>444</v>
      </c>
      <c r="AS8" s="2">
        <f t="shared" si="5"/>
        <v>118</v>
      </c>
      <c r="AT8" s="25"/>
      <c r="AU8" s="2" t="str">
        <f t="shared" si="6"/>
        <v>T3低3</v>
      </c>
      <c r="AV8" s="2">
        <f t="shared" si="40"/>
        <v>1184</v>
      </c>
      <c r="AW8" s="2">
        <f t="shared" si="7"/>
        <v>238</v>
      </c>
      <c r="AX8" s="2">
        <f t="shared" si="7"/>
        <v>529</v>
      </c>
      <c r="AY8" s="2">
        <f t="shared" si="7"/>
        <v>370</v>
      </c>
      <c r="AZ8" s="2">
        <f t="shared" si="7"/>
        <v>444</v>
      </c>
      <c r="BA8" s="2">
        <f t="shared" si="7"/>
        <v>118</v>
      </c>
      <c r="BB8" s="25"/>
      <c r="BC8" s="2" t="str">
        <f t="shared" si="8"/>
        <v>T3低3</v>
      </c>
      <c r="BD8" s="2">
        <f t="shared" si="41"/>
        <v>1278</v>
      </c>
      <c r="BE8" s="2">
        <f t="shared" si="9"/>
        <v>110</v>
      </c>
      <c r="BF8" s="2">
        <f t="shared" si="9"/>
        <v>423</v>
      </c>
      <c r="BG8" s="2">
        <f t="shared" si="9"/>
        <v>317</v>
      </c>
      <c r="BH8" s="2">
        <f t="shared" si="9"/>
        <v>533</v>
      </c>
      <c r="BI8" s="2">
        <f t="shared" si="9"/>
        <v>128</v>
      </c>
      <c r="BK8" s="2" t="str">
        <f t="shared" si="10"/>
        <v>T3低3</v>
      </c>
      <c r="BL8" s="2">
        <f t="shared" si="42"/>
        <v>1278</v>
      </c>
      <c r="BM8" s="2">
        <f t="shared" si="11"/>
        <v>132</v>
      </c>
      <c r="BN8" s="2">
        <f t="shared" si="11"/>
        <v>486</v>
      </c>
      <c r="BO8" s="2">
        <f t="shared" si="11"/>
        <v>365</v>
      </c>
      <c r="BP8" s="2">
        <f t="shared" si="11"/>
        <v>533</v>
      </c>
      <c r="BQ8" s="2">
        <f t="shared" si="11"/>
        <v>128</v>
      </c>
      <c r="BS8" s="2" t="str">
        <f t="shared" si="12"/>
        <v>T3低3</v>
      </c>
      <c r="BT8" s="2">
        <f t="shared" si="43"/>
        <v>1448</v>
      </c>
      <c r="BU8" s="2">
        <f t="shared" si="13"/>
        <v>397</v>
      </c>
      <c r="BV8" s="2">
        <f t="shared" si="13"/>
        <v>423</v>
      </c>
      <c r="BW8" s="2">
        <f t="shared" si="13"/>
        <v>338</v>
      </c>
      <c r="BX8" s="2">
        <f t="shared" si="13"/>
        <v>622</v>
      </c>
      <c r="BY8" s="2">
        <f t="shared" si="13"/>
        <v>145</v>
      </c>
      <c r="CA8" s="2" t="str">
        <f t="shared" si="14"/>
        <v>T3低3</v>
      </c>
      <c r="CB8" s="2">
        <f t="shared" si="44"/>
        <v>1448</v>
      </c>
      <c r="CC8" s="2">
        <f t="shared" si="15"/>
        <v>524</v>
      </c>
      <c r="CD8" s="2">
        <f t="shared" si="15"/>
        <v>465</v>
      </c>
      <c r="CE8" s="2">
        <f t="shared" si="15"/>
        <v>372</v>
      </c>
      <c r="CF8" s="2">
        <f t="shared" si="15"/>
        <v>622</v>
      </c>
      <c r="CG8" s="2">
        <f t="shared" si="15"/>
        <v>145</v>
      </c>
      <c r="CH8" s="25"/>
      <c r="CI8" s="2" t="str">
        <f t="shared" si="16"/>
        <v>T3中3</v>
      </c>
      <c r="CJ8" s="2" t="str">
        <f t="shared" si="17"/>
        <v>T3中5</v>
      </c>
      <c r="CK8" s="2">
        <f t="shared" si="18"/>
        <v>592</v>
      </c>
      <c r="CL8" s="2">
        <f t="shared" si="18"/>
        <v>59</v>
      </c>
      <c r="CM8" s="2">
        <f t="shared" si="18"/>
        <v>222</v>
      </c>
      <c r="CN8" s="2">
        <f t="shared" si="18"/>
        <v>156</v>
      </c>
      <c r="CO8" s="2">
        <f t="shared" si="18"/>
        <v>222</v>
      </c>
      <c r="CP8" s="2">
        <f t="shared" si="18"/>
        <v>59</v>
      </c>
      <c r="CR8" s="2" t="str">
        <f t="shared" si="19"/>
        <v>T3中3</v>
      </c>
      <c r="CS8" s="2" t="str">
        <f t="shared" si="20"/>
        <v>T3中5</v>
      </c>
      <c r="CT8" s="2">
        <f t="shared" si="21"/>
        <v>592</v>
      </c>
      <c r="CU8" s="2">
        <f t="shared" si="21"/>
        <v>32</v>
      </c>
      <c r="CV8" s="2">
        <f t="shared" si="21"/>
        <v>243</v>
      </c>
      <c r="CW8" s="2">
        <f t="shared" si="21"/>
        <v>170</v>
      </c>
      <c r="CX8" s="2">
        <f t="shared" si="21"/>
        <v>222</v>
      </c>
      <c r="CY8" s="2">
        <f t="shared" si="21"/>
        <v>59</v>
      </c>
      <c r="CZ8" s="25"/>
      <c r="DA8" s="2" t="str">
        <f t="shared" si="22"/>
        <v>T3中3</v>
      </c>
      <c r="DB8" s="2" t="str">
        <f t="shared" si="23"/>
        <v>T3中5</v>
      </c>
      <c r="DC8" s="2">
        <f t="shared" si="24"/>
        <v>592</v>
      </c>
      <c r="DD8" s="2">
        <f t="shared" si="24"/>
        <v>119</v>
      </c>
      <c r="DE8" s="2">
        <f t="shared" si="24"/>
        <v>264</v>
      </c>
      <c r="DF8" s="2">
        <f t="shared" si="24"/>
        <v>185</v>
      </c>
      <c r="DG8" s="2">
        <f t="shared" si="24"/>
        <v>222</v>
      </c>
      <c r="DH8" s="2">
        <f t="shared" si="24"/>
        <v>59</v>
      </c>
      <c r="DI8" s="25"/>
      <c r="DJ8" s="2" t="str">
        <f t="shared" si="25"/>
        <v>T3中3</v>
      </c>
      <c r="DK8" s="2" t="str">
        <f t="shared" si="26"/>
        <v>T3中5</v>
      </c>
      <c r="DL8" s="2">
        <f t="shared" si="27"/>
        <v>639</v>
      </c>
      <c r="DM8" s="2">
        <f t="shared" si="27"/>
        <v>55</v>
      </c>
      <c r="DN8" s="2">
        <f t="shared" si="27"/>
        <v>211</v>
      </c>
      <c r="DO8" s="2">
        <f t="shared" si="27"/>
        <v>159</v>
      </c>
      <c r="DP8" s="2">
        <f t="shared" si="27"/>
        <v>267</v>
      </c>
      <c r="DQ8" s="2">
        <f t="shared" si="27"/>
        <v>64</v>
      </c>
      <c r="DS8" s="2" t="str">
        <f t="shared" si="28"/>
        <v>T3中3</v>
      </c>
      <c r="DT8" s="2" t="str">
        <f t="shared" si="29"/>
        <v>T3中5</v>
      </c>
      <c r="DU8" s="2">
        <f t="shared" si="30"/>
        <v>639</v>
      </c>
      <c r="DV8" s="2">
        <f t="shared" si="30"/>
        <v>66</v>
      </c>
      <c r="DW8" s="2">
        <f t="shared" si="30"/>
        <v>243</v>
      </c>
      <c r="DX8" s="2">
        <f t="shared" si="30"/>
        <v>182</v>
      </c>
      <c r="DY8" s="2">
        <f t="shared" si="30"/>
        <v>267</v>
      </c>
      <c r="DZ8" s="2">
        <f t="shared" si="30"/>
        <v>64</v>
      </c>
      <c r="EB8" s="2" t="str">
        <f t="shared" si="31"/>
        <v>T3中3</v>
      </c>
      <c r="EC8" s="2" t="str">
        <f t="shared" si="32"/>
        <v>T3中5</v>
      </c>
      <c r="ED8" s="2">
        <f t="shared" si="33"/>
        <v>724</v>
      </c>
      <c r="EE8" s="2">
        <f t="shared" si="33"/>
        <v>198</v>
      </c>
      <c r="EF8" s="2">
        <f t="shared" si="33"/>
        <v>211</v>
      </c>
      <c r="EG8" s="2">
        <f t="shared" si="33"/>
        <v>169</v>
      </c>
      <c r="EH8" s="2">
        <f t="shared" si="33"/>
        <v>311</v>
      </c>
      <c r="EI8" s="2">
        <f t="shared" si="33"/>
        <v>72</v>
      </c>
      <c r="EK8" s="2" t="str">
        <f t="shared" si="34"/>
        <v>T3中3</v>
      </c>
      <c r="EL8" s="2" t="str">
        <f t="shared" si="35"/>
        <v>T3中5</v>
      </c>
      <c r="EM8" s="2">
        <f t="shared" si="36"/>
        <v>724</v>
      </c>
      <c r="EN8" s="2">
        <f t="shared" si="36"/>
        <v>262</v>
      </c>
      <c r="EO8" s="2">
        <f t="shared" si="36"/>
        <v>233</v>
      </c>
      <c r="EP8" s="2">
        <f t="shared" si="36"/>
        <v>186</v>
      </c>
      <c r="EQ8" s="2">
        <f t="shared" si="36"/>
        <v>311</v>
      </c>
      <c r="ER8" s="2">
        <f t="shared" si="36"/>
        <v>72</v>
      </c>
    </row>
    <row r="9" spans="2:148" x14ac:dyDescent="0.3">
      <c r="B9" s="214">
        <v>6</v>
      </c>
      <c r="C9" s="2">
        <v>6</v>
      </c>
      <c r="D9" s="2">
        <v>8</v>
      </c>
      <c r="E9" s="2">
        <v>6</v>
      </c>
      <c r="F9" s="2">
        <v>8</v>
      </c>
      <c r="G9" s="2">
        <v>6</v>
      </c>
      <c r="H9" s="2">
        <v>8</v>
      </c>
      <c r="I9" s="215">
        <v>2</v>
      </c>
      <c r="J9" s="215">
        <v>2</v>
      </c>
      <c r="K9" s="215">
        <v>2</v>
      </c>
      <c r="L9" s="2">
        <f t="shared" si="0"/>
        <v>15</v>
      </c>
      <c r="M9" s="2">
        <f>((E9+1)+(F9))/2*(F9-E9)</f>
        <v>15</v>
      </c>
      <c r="N9" s="2">
        <f>((G9+1)+(H9))/2*(H9-G9)</f>
        <v>15</v>
      </c>
      <c r="O9" s="2">
        <f t="shared" si="1"/>
        <v>35</v>
      </c>
      <c r="P9" s="2">
        <f>(($C$4+1)+(F9))/2*(F9-$C$4)</f>
        <v>35</v>
      </c>
      <c r="Q9" s="2">
        <f>(($C$4+1)+(H9))/2*(H9-$C$4)</f>
        <v>35</v>
      </c>
      <c r="R9" s="21">
        <v>0.12</v>
      </c>
      <c r="S9" s="21">
        <v>0.13</v>
      </c>
      <c r="T9" s="21">
        <v>0.14000000000000001</v>
      </c>
      <c r="Y9" s="2" t="s">
        <v>785</v>
      </c>
      <c r="Z9" s="34">
        <f t="shared" si="37"/>
        <v>1.54</v>
      </c>
      <c r="AA9" s="34">
        <v>1.54</v>
      </c>
      <c r="AB9" s="2"/>
      <c r="AE9" s="2" t="str">
        <f t="shared" si="2"/>
        <v>T3中3</v>
      </c>
      <c r="AF9" s="2">
        <f t="shared" si="38"/>
        <v>1232</v>
      </c>
      <c r="AG9" s="2">
        <f t="shared" si="3"/>
        <v>123</v>
      </c>
      <c r="AH9" s="2">
        <f t="shared" si="3"/>
        <v>462</v>
      </c>
      <c r="AI9" s="2">
        <f t="shared" si="3"/>
        <v>323</v>
      </c>
      <c r="AJ9" s="2">
        <f t="shared" si="3"/>
        <v>462</v>
      </c>
      <c r="AK9" s="2">
        <f t="shared" si="3"/>
        <v>123</v>
      </c>
      <c r="AM9" s="2" t="str">
        <f t="shared" si="4"/>
        <v>T3中3</v>
      </c>
      <c r="AN9" s="2">
        <f t="shared" si="39"/>
        <v>1232</v>
      </c>
      <c r="AO9" s="2">
        <f t="shared" si="5"/>
        <v>65</v>
      </c>
      <c r="AP9" s="2">
        <f t="shared" si="5"/>
        <v>506</v>
      </c>
      <c r="AQ9" s="2">
        <f t="shared" si="5"/>
        <v>354</v>
      </c>
      <c r="AR9" s="2">
        <f t="shared" si="5"/>
        <v>462</v>
      </c>
      <c r="AS9" s="2">
        <f t="shared" si="5"/>
        <v>123</v>
      </c>
      <c r="AT9" s="25"/>
      <c r="AU9" s="2" t="str">
        <f t="shared" si="6"/>
        <v>T3中3</v>
      </c>
      <c r="AV9" s="2">
        <f t="shared" si="40"/>
        <v>1232</v>
      </c>
      <c r="AW9" s="2">
        <f t="shared" si="7"/>
        <v>248</v>
      </c>
      <c r="AX9" s="2">
        <f t="shared" si="7"/>
        <v>550</v>
      </c>
      <c r="AY9" s="2">
        <f t="shared" si="7"/>
        <v>385</v>
      </c>
      <c r="AZ9" s="2">
        <f t="shared" si="7"/>
        <v>462</v>
      </c>
      <c r="BA9" s="2">
        <f t="shared" si="7"/>
        <v>123</v>
      </c>
      <c r="BB9" s="25"/>
      <c r="BC9" s="2" t="str">
        <f t="shared" si="8"/>
        <v>T3中3</v>
      </c>
      <c r="BD9" s="2">
        <f t="shared" si="41"/>
        <v>1330</v>
      </c>
      <c r="BE9" s="2">
        <f t="shared" si="9"/>
        <v>114</v>
      </c>
      <c r="BF9" s="2">
        <f t="shared" si="9"/>
        <v>440</v>
      </c>
      <c r="BG9" s="2">
        <f t="shared" si="9"/>
        <v>330</v>
      </c>
      <c r="BH9" s="2">
        <f t="shared" si="9"/>
        <v>554</v>
      </c>
      <c r="BI9" s="2">
        <f t="shared" si="9"/>
        <v>133</v>
      </c>
      <c r="BK9" s="2" t="str">
        <f t="shared" si="10"/>
        <v>T3中3</v>
      </c>
      <c r="BL9" s="2">
        <f t="shared" si="42"/>
        <v>1330</v>
      </c>
      <c r="BM9" s="2">
        <f t="shared" si="11"/>
        <v>137</v>
      </c>
      <c r="BN9" s="2">
        <f t="shared" si="11"/>
        <v>506</v>
      </c>
      <c r="BO9" s="2">
        <f t="shared" si="11"/>
        <v>380</v>
      </c>
      <c r="BP9" s="2">
        <f t="shared" si="11"/>
        <v>554</v>
      </c>
      <c r="BQ9" s="2">
        <f t="shared" si="11"/>
        <v>133</v>
      </c>
      <c r="BS9" s="2" t="str">
        <f t="shared" si="12"/>
        <v>T3中3</v>
      </c>
      <c r="BT9" s="2">
        <f t="shared" si="43"/>
        <v>1507</v>
      </c>
      <c r="BU9" s="2">
        <f t="shared" si="13"/>
        <v>413</v>
      </c>
      <c r="BV9" s="2">
        <f t="shared" si="13"/>
        <v>440</v>
      </c>
      <c r="BW9" s="2">
        <f t="shared" si="13"/>
        <v>352</v>
      </c>
      <c r="BX9" s="2">
        <f t="shared" si="13"/>
        <v>647</v>
      </c>
      <c r="BY9" s="2">
        <f t="shared" si="13"/>
        <v>151</v>
      </c>
      <c r="CA9" s="2" t="str">
        <f t="shared" si="14"/>
        <v>T3中3</v>
      </c>
      <c r="CB9" s="2">
        <f t="shared" si="44"/>
        <v>1507</v>
      </c>
      <c r="CC9" s="2">
        <f t="shared" si="15"/>
        <v>546</v>
      </c>
      <c r="CD9" s="2">
        <f t="shared" si="15"/>
        <v>484</v>
      </c>
      <c r="CE9" s="2">
        <f t="shared" si="15"/>
        <v>387</v>
      </c>
      <c r="CF9" s="2">
        <f t="shared" si="15"/>
        <v>647</v>
      </c>
      <c r="CG9" s="2">
        <f t="shared" si="15"/>
        <v>151</v>
      </c>
      <c r="CH9" s="25"/>
      <c r="CI9" s="2" t="str">
        <f t="shared" si="16"/>
        <v>T3高3</v>
      </c>
      <c r="CJ9" s="2" t="str">
        <f t="shared" si="17"/>
        <v>T3高5</v>
      </c>
      <c r="CK9" s="2">
        <f t="shared" si="18"/>
        <v>592</v>
      </c>
      <c r="CL9" s="2">
        <f t="shared" si="18"/>
        <v>63</v>
      </c>
      <c r="CM9" s="2">
        <f t="shared" si="18"/>
        <v>237</v>
      </c>
      <c r="CN9" s="2">
        <f t="shared" si="18"/>
        <v>166</v>
      </c>
      <c r="CO9" s="2">
        <f t="shared" si="18"/>
        <v>237</v>
      </c>
      <c r="CP9" s="2">
        <f t="shared" si="18"/>
        <v>63</v>
      </c>
      <c r="CR9" s="2" t="str">
        <f t="shared" si="19"/>
        <v>T3高3</v>
      </c>
      <c r="CS9" s="2" t="str">
        <f t="shared" si="20"/>
        <v>T3高5</v>
      </c>
      <c r="CT9" s="2">
        <f t="shared" si="21"/>
        <v>592</v>
      </c>
      <c r="CU9" s="2">
        <f t="shared" si="21"/>
        <v>34</v>
      </c>
      <c r="CV9" s="2">
        <f t="shared" si="21"/>
        <v>260</v>
      </c>
      <c r="CW9" s="2">
        <f t="shared" si="21"/>
        <v>182</v>
      </c>
      <c r="CX9" s="2">
        <f t="shared" si="21"/>
        <v>237</v>
      </c>
      <c r="CY9" s="2">
        <f t="shared" si="21"/>
        <v>63</v>
      </c>
      <c r="CZ9" s="25"/>
      <c r="DA9" s="2" t="str">
        <f t="shared" si="22"/>
        <v>T3高3</v>
      </c>
      <c r="DB9" s="2" t="str">
        <f t="shared" si="23"/>
        <v>T3高5</v>
      </c>
      <c r="DC9" s="2">
        <f t="shared" si="24"/>
        <v>592</v>
      </c>
      <c r="DD9" s="2">
        <f t="shared" si="24"/>
        <v>127</v>
      </c>
      <c r="DE9" s="2">
        <f t="shared" si="24"/>
        <v>282</v>
      </c>
      <c r="DF9" s="2">
        <f t="shared" si="24"/>
        <v>198</v>
      </c>
      <c r="DG9" s="2">
        <f t="shared" si="24"/>
        <v>237</v>
      </c>
      <c r="DH9" s="2">
        <f t="shared" si="24"/>
        <v>63</v>
      </c>
      <c r="DI9" s="25"/>
      <c r="DJ9" s="2" t="str">
        <f t="shared" si="25"/>
        <v>T3高3</v>
      </c>
      <c r="DK9" s="2" t="str">
        <f t="shared" si="26"/>
        <v>T3高5</v>
      </c>
      <c r="DL9" s="2">
        <f t="shared" si="27"/>
        <v>639</v>
      </c>
      <c r="DM9" s="2">
        <f t="shared" si="27"/>
        <v>59</v>
      </c>
      <c r="DN9" s="2">
        <f t="shared" si="27"/>
        <v>226</v>
      </c>
      <c r="DO9" s="2">
        <f t="shared" si="27"/>
        <v>169</v>
      </c>
      <c r="DP9" s="2">
        <f t="shared" si="27"/>
        <v>285</v>
      </c>
      <c r="DQ9" s="2">
        <f t="shared" si="27"/>
        <v>68</v>
      </c>
      <c r="DS9" s="2" t="str">
        <f t="shared" si="28"/>
        <v>T3高3</v>
      </c>
      <c r="DT9" s="2" t="str">
        <f t="shared" si="29"/>
        <v>T3高5</v>
      </c>
      <c r="DU9" s="2">
        <f t="shared" si="30"/>
        <v>639</v>
      </c>
      <c r="DV9" s="2">
        <f t="shared" si="30"/>
        <v>70</v>
      </c>
      <c r="DW9" s="2">
        <f t="shared" si="30"/>
        <v>260</v>
      </c>
      <c r="DX9" s="2">
        <f t="shared" si="30"/>
        <v>194</v>
      </c>
      <c r="DY9" s="2">
        <f t="shared" si="30"/>
        <v>285</v>
      </c>
      <c r="DZ9" s="2">
        <f t="shared" si="30"/>
        <v>68</v>
      </c>
      <c r="EB9" s="2" t="str">
        <f t="shared" si="31"/>
        <v>T3高3</v>
      </c>
      <c r="EC9" s="2" t="str">
        <f t="shared" si="32"/>
        <v>T3高5</v>
      </c>
      <c r="ED9" s="2">
        <f t="shared" si="33"/>
        <v>724</v>
      </c>
      <c r="EE9" s="2">
        <f t="shared" si="33"/>
        <v>212</v>
      </c>
      <c r="EF9" s="2">
        <f t="shared" si="33"/>
        <v>226</v>
      </c>
      <c r="EG9" s="2">
        <f t="shared" si="33"/>
        <v>181</v>
      </c>
      <c r="EH9" s="2">
        <f t="shared" si="33"/>
        <v>332</v>
      </c>
      <c r="EI9" s="2">
        <f t="shared" si="33"/>
        <v>77</v>
      </c>
      <c r="EK9" s="2" t="str">
        <f t="shared" si="34"/>
        <v>T3高3</v>
      </c>
      <c r="EL9" s="2" t="str">
        <f t="shared" si="35"/>
        <v>T3高5</v>
      </c>
      <c r="EM9" s="2">
        <f t="shared" si="36"/>
        <v>724</v>
      </c>
      <c r="EN9" s="2">
        <f t="shared" si="36"/>
        <v>279</v>
      </c>
      <c r="EO9" s="2">
        <f t="shared" si="36"/>
        <v>248</v>
      </c>
      <c r="EP9" s="2">
        <f t="shared" si="36"/>
        <v>199</v>
      </c>
      <c r="EQ9" s="2">
        <f t="shared" si="36"/>
        <v>332</v>
      </c>
      <c r="ER9" s="2">
        <f t="shared" si="36"/>
        <v>77</v>
      </c>
    </row>
    <row r="10" spans="2:148" x14ac:dyDescent="0.3">
      <c r="Y10" s="2" t="s">
        <v>786</v>
      </c>
      <c r="Z10" s="34">
        <f t="shared" si="37"/>
        <v>1.54</v>
      </c>
      <c r="AA10" s="34">
        <v>1.54</v>
      </c>
      <c r="AB10" s="2"/>
      <c r="AE10" s="2" t="str">
        <f t="shared" si="2"/>
        <v>T3高3</v>
      </c>
      <c r="AF10" s="2">
        <f t="shared" si="38"/>
        <v>1232</v>
      </c>
      <c r="AG10" s="2">
        <f t="shared" si="3"/>
        <v>123</v>
      </c>
      <c r="AH10" s="2">
        <f t="shared" si="3"/>
        <v>462</v>
      </c>
      <c r="AI10" s="2">
        <f t="shared" si="3"/>
        <v>323</v>
      </c>
      <c r="AJ10" s="2">
        <f t="shared" si="3"/>
        <v>462</v>
      </c>
      <c r="AK10" s="2">
        <f t="shared" si="3"/>
        <v>123</v>
      </c>
      <c r="AM10" s="2" t="str">
        <f t="shared" si="4"/>
        <v>T3高3</v>
      </c>
      <c r="AN10" s="2">
        <f t="shared" si="39"/>
        <v>1232</v>
      </c>
      <c r="AO10" s="2">
        <f t="shared" si="5"/>
        <v>65</v>
      </c>
      <c r="AP10" s="2">
        <f t="shared" si="5"/>
        <v>506</v>
      </c>
      <c r="AQ10" s="2">
        <f t="shared" si="5"/>
        <v>354</v>
      </c>
      <c r="AR10" s="2">
        <f t="shared" si="5"/>
        <v>462</v>
      </c>
      <c r="AS10" s="2">
        <f t="shared" si="5"/>
        <v>123</v>
      </c>
      <c r="AT10" s="25"/>
      <c r="AU10" s="2" t="str">
        <f t="shared" si="6"/>
        <v>T3高3</v>
      </c>
      <c r="AV10" s="2">
        <f t="shared" si="40"/>
        <v>1232</v>
      </c>
      <c r="AW10" s="2">
        <f t="shared" si="7"/>
        <v>248</v>
      </c>
      <c r="AX10" s="2">
        <f t="shared" si="7"/>
        <v>550</v>
      </c>
      <c r="AY10" s="2">
        <f t="shared" si="7"/>
        <v>385</v>
      </c>
      <c r="AZ10" s="2">
        <f t="shared" si="7"/>
        <v>462</v>
      </c>
      <c r="BA10" s="2">
        <f t="shared" si="7"/>
        <v>123</v>
      </c>
      <c r="BB10" s="25"/>
      <c r="BC10" s="2" t="str">
        <f t="shared" si="8"/>
        <v>T3高3</v>
      </c>
      <c r="BD10" s="2">
        <f t="shared" si="41"/>
        <v>1330</v>
      </c>
      <c r="BE10" s="2">
        <f t="shared" si="9"/>
        <v>114</v>
      </c>
      <c r="BF10" s="2">
        <f t="shared" si="9"/>
        <v>440</v>
      </c>
      <c r="BG10" s="2">
        <f t="shared" si="9"/>
        <v>330</v>
      </c>
      <c r="BH10" s="2">
        <f t="shared" si="9"/>
        <v>554</v>
      </c>
      <c r="BI10" s="2">
        <f t="shared" si="9"/>
        <v>133</v>
      </c>
      <c r="BK10" s="2" t="str">
        <f t="shared" si="10"/>
        <v>T3高3</v>
      </c>
      <c r="BL10" s="2">
        <f t="shared" si="42"/>
        <v>1330</v>
      </c>
      <c r="BM10" s="2">
        <f t="shared" si="11"/>
        <v>137</v>
      </c>
      <c r="BN10" s="2">
        <f t="shared" si="11"/>
        <v>506</v>
      </c>
      <c r="BO10" s="2">
        <f t="shared" si="11"/>
        <v>380</v>
      </c>
      <c r="BP10" s="2">
        <f t="shared" si="11"/>
        <v>554</v>
      </c>
      <c r="BQ10" s="2">
        <f t="shared" si="11"/>
        <v>133</v>
      </c>
      <c r="BS10" s="2" t="str">
        <f t="shared" si="12"/>
        <v>T3高3</v>
      </c>
      <c r="BT10" s="2">
        <f t="shared" si="43"/>
        <v>1507</v>
      </c>
      <c r="BU10" s="2">
        <f t="shared" si="13"/>
        <v>413</v>
      </c>
      <c r="BV10" s="2">
        <f t="shared" si="13"/>
        <v>440</v>
      </c>
      <c r="BW10" s="2">
        <f t="shared" si="13"/>
        <v>352</v>
      </c>
      <c r="BX10" s="2">
        <f t="shared" si="13"/>
        <v>647</v>
      </c>
      <c r="BY10" s="2">
        <f t="shared" si="13"/>
        <v>151</v>
      </c>
      <c r="CA10" s="2" t="str">
        <f t="shared" si="14"/>
        <v>T3高3</v>
      </c>
      <c r="CB10" s="2">
        <f t="shared" si="44"/>
        <v>1507</v>
      </c>
      <c r="CC10" s="2">
        <f t="shared" si="15"/>
        <v>546</v>
      </c>
      <c r="CD10" s="2">
        <f t="shared" si="15"/>
        <v>484</v>
      </c>
      <c r="CE10" s="2">
        <f t="shared" si="15"/>
        <v>387</v>
      </c>
      <c r="CF10" s="2">
        <f t="shared" si="15"/>
        <v>647</v>
      </c>
      <c r="CG10" s="2">
        <f t="shared" si="15"/>
        <v>151</v>
      </c>
      <c r="CH10" s="25"/>
      <c r="CI10" s="2" t="str">
        <f t="shared" si="16"/>
        <v>T4低4</v>
      </c>
      <c r="CJ10" s="2" t="str">
        <f t="shared" si="17"/>
        <v>T4低6</v>
      </c>
      <c r="CK10" s="2">
        <f t="shared" si="18"/>
        <v>672</v>
      </c>
      <c r="CL10" s="2">
        <f t="shared" si="18"/>
        <v>72</v>
      </c>
      <c r="CM10" s="2">
        <f t="shared" si="18"/>
        <v>270</v>
      </c>
      <c r="CN10" s="2">
        <f t="shared" si="18"/>
        <v>189</v>
      </c>
      <c r="CO10" s="2">
        <f t="shared" si="18"/>
        <v>270</v>
      </c>
      <c r="CP10" s="2">
        <f t="shared" si="18"/>
        <v>72</v>
      </c>
      <c r="CR10" s="2" t="str">
        <f t="shared" si="19"/>
        <v>T4低4</v>
      </c>
      <c r="CS10" s="2" t="str">
        <f t="shared" si="20"/>
        <v>T4低6</v>
      </c>
      <c r="CT10" s="2">
        <f t="shared" si="21"/>
        <v>672</v>
      </c>
      <c r="CU10" s="2">
        <f t="shared" si="21"/>
        <v>38</v>
      </c>
      <c r="CV10" s="2">
        <f t="shared" si="21"/>
        <v>296</v>
      </c>
      <c r="CW10" s="2">
        <f t="shared" si="21"/>
        <v>207</v>
      </c>
      <c r="CX10" s="2">
        <f t="shared" si="21"/>
        <v>270</v>
      </c>
      <c r="CY10" s="2">
        <f t="shared" si="21"/>
        <v>72</v>
      </c>
      <c r="CZ10" s="25"/>
      <c r="DA10" s="2" t="str">
        <f t="shared" si="22"/>
        <v>T4低4</v>
      </c>
      <c r="DB10" s="2" t="str">
        <f t="shared" si="23"/>
        <v>T4低6</v>
      </c>
      <c r="DC10" s="2">
        <f t="shared" si="24"/>
        <v>672</v>
      </c>
      <c r="DD10" s="2">
        <f t="shared" si="24"/>
        <v>145</v>
      </c>
      <c r="DE10" s="2">
        <f t="shared" si="24"/>
        <v>321</v>
      </c>
      <c r="DF10" s="2">
        <f t="shared" si="24"/>
        <v>225</v>
      </c>
      <c r="DG10" s="2">
        <f t="shared" si="24"/>
        <v>270</v>
      </c>
      <c r="DH10" s="2">
        <f t="shared" si="24"/>
        <v>72</v>
      </c>
      <c r="DI10" s="25"/>
      <c r="DJ10" s="2" t="str">
        <f t="shared" si="25"/>
        <v>T4低4</v>
      </c>
      <c r="DK10" s="2" t="str">
        <f t="shared" si="26"/>
        <v>T4低6</v>
      </c>
      <c r="DL10" s="2">
        <f t="shared" si="27"/>
        <v>725</v>
      </c>
      <c r="DM10" s="2">
        <f t="shared" si="27"/>
        <v>66</v>
      </c>
      <c r="DN10" s="2">
        <f t="shared" si="27"/>
        <v>257</v>
      </c>
      <c r="DO10" s="2">
        <f t="shared" si="27"/>
        <v>193</v>
      </c>
      <c r="DP10" s="2">
        <f t="shared" si="27"/>
        <v>324</v>
      </c>
      <c r="DQ10" s="2">
        <f t="shared" si="27"/>
        <v>77</v>
      </c>
      <c r="DS10" s="2" t="str">
        <f t="shared" si="28"/>
        <v>T4低4</v>
      </c>
      <c r="DT10" s="2" t="str">
        <f t="shared" si="29"/>
        <v>T4低6</v>
      </c>
      <c r="DU10" s="2">
        <f t="shared" si="30"/>
        <v>725</v>
      </c>
      <c r="DV10" s="2">
        <f t="shared" si="30"/>
        <v>80</v>
      </c>
      <c r="DW10" s="2">
        <f t="shared" si="30"/>
        <v>296</v>
      </c>
      <c r="DX10" s="2">
        <f t="shared" si="30"/>
        <v>222</v>
      </c>
      <c r="DY10" s="2">
        <f t="shared" si="30"/>
        <v>324</v>
      </c>
      <c r="DZ10" s="2">
        <f t="shared" si="30"/>
        <v>77</v>
      </c>
      <c r="EB10" s="2" t="str">
        <f t="shared" si="31"/>
        <v>T4低4</v>
      </c>
      <c r="EC10" s="2" t="str">
        <f t="shared" si="32"/>
        <v>T4低6</v>
      </c>
      <c r="ED10" s="2">
        <f t="shared" si="33"/>
        <v>822</v>
      </c>
      <c r="EE10" s="2">
        <f t="shared" si="33"/>
        <v>241</v>
      </c>
      <c r="EF10" s="2">
        <f t="shared" si="33"/>
        <v>257</v>
      </c>
      <c r="EG10" s="2">
        <f t="shared" si="33"/>
        <v>206</v>
      </c>
      <c r="EH10" s="2">
        <f t="shared" si="33"/>
        <v>378</v>
      </c>
      <c r="EI10" s="2">
        <f t="shared" si="33"/>
        <v>88</v>
      </c>
      <c r="EK10" s="2" t="str">
        <f t="shared" si="34"/>
        <v>T4低4</v>
      </c>
      <c r="EL10" s="2" t="str">
        <f t="shared" si="35"/>
        <v>T4低6</v>
      </c>
      <c r="EM10" s="2">
        <f t="shared" si="36"/>
        <v>822</v>
      </c>
      <c r="EN10" s="2">
        <f t="shared" si="36"/>
        <v>319</v>
      </c>
      <c r="EO10" s="2">
        <f t="shared" si="36"/>
        <v>283</v>
      </c>
      <c r="EP10" s="2">
        <f t="shared" si="36"/>
        <v>226</v>
      </c>
      <c r="EQ10" s="2">
        <f t="shared" si="36"/>
        <v>378</v>
      </c>
      <c r="ER10" s="2">
        <f t="shared" si="36"/>
        <v>88</v>
      </c>
    </row>
    <row r="11" spans="2:148" x14ac:dyDescent="0.3">
      <c r="B11" s="262" t="s">
        <v>787</v>
      </c>
      <c r="C11" s="262"/>
      <c r="D11" s="262"/>
      <c r="E11" s="262"/>
      <c r="F11" s="262"/>
      <c r="G11" s="262"/>
      <c r="H11" s="262"/>
      <c r="I11" s="262"/>
      <c r="J11" s="262"/>
      <c r="K11" s="262"/>
      <c r="P11" s="262" t="s">
        <v>788</v>
      </c>
      <c r="Q11" s="262"/>
      <c r="R11" s="262"/>
      <c r="S11" s="262"/>
      <c r="T11" s="262"/>
      <c r="U11" s="262"/>
      <c r="Y11" s="2" t="s">
        <v>789</v>
      </c>
      <c r="Z11" s="34">
        <f t="shared" si="37"/>
        <v>1.7</v>
      </c>
      <c r="AA11" s="34">
        <v>1.64</v>
      </c>
      <c r="AB11" s="2"/>
      <c r="AE11" s="2" t="str">
        <f t="shared" si="2"/>
        <v>T2低4</v>
      </c>
      <c r="AF11" s="2">
        <f t="shared" si="38"/>
        <v>1312</v>
      </c>
      <c r="AG11" s="2">
        <f t="shared" si="3"/>
        <v>136</v>
      </c>
      <c r="AH11" s="2">
        <f t="shared" si="3"/>
        <v>510</v>
      </c>
      <c r="AI11" s="2">
        <f t="shared" si="3"/>
        <v>357</v>
      </c>
      <c r="AJ11" s="2">
        <f t="shared" si="3"/>
        <v>510</v>
      </c>
      <c r="AK11" s="2">
        <f t="shared" si="3"/>
        <v>136</v>
      </c>
      <c r="AM11" s="2" t="str">
        <f t="shared" si="4"/>
        <v>T2低4</v>
      </c>
      <c r="AN11" s="2">
        <f t="shared" si="39"/>
        <v>1312</v>
      </c>
      <c r="AO11" s="2">
        <f t="shared" si="5"/>
        <v>72</v>
      </c>
      <c r="AP11" s="2">
        <f t="shared" si="5"/>
        <v>559</v>
      </c>
      <c r="AQ11" s="2">
        <f t="shared" si="5"/>
        <v>391</v>
      </c>
      <c r="AR11" s="2">
        <f t="shared" si="5"/>
        <v>510</v>
      </c>
      <c r="AS11" s="2">
        <f t="shared" si="5"/>
        <v>136</v>
      </c>
      <c r="AT11" s="25"/>
      <c r="AU11" s="2" t="str">
        <f t="shared" si="6"/>
        <v>T2低4</v>
      </c>
      <c r="AV11" s="2">
        <f t="shared" si="40"/>
        <v>1312</v>
      </c>
      <c r="AW11" s="2">
        <f t="shared" si="7"/>
        <v>274</v>
      </c>
      <c r="AX11" s="2">
        <f t="shared" si="7"/>
        <v>607</v>
      </c>
      <c r="AY11" s="2">
        <f t="shared" si="7"/>
        <v>425</v>
      </c>
      <c r="AZ11" s="2">
        <f t="shared" si="7"/>
        <v>510</v>
      </c>
      <c r="BA11" s="2">
        <f t="shared" si="7"/>
        <v>136</v>
      </c>
      <c r="BB11" s="25"/>
      <c r="BC11" s="2" t="str">
        <f t="shared" si="8"/>
        <v>T2低4</v>
      </c>
      <c r="BD11" s="2">
        <f t="shared" si="41"/>
        <v>1416</v>
      </c>
      <c r="BE11" s="2">
        <f t="shared" si="9"/>
        <v>126</v>
      </c>
      <c r="BF11" s="2">
        <f t="shared" si="9"/>
        <v>486</v>
      </c>
      <c r="BG11" s="2">
        <f t="shared" si="9"/>
        <v>364</v>
      </c>
      <c r="BH11" s="2">
        <f t="shared" si="9"/>
        <v>612</v>
      </c>
      <c r="BI11" s="2">
        <f t="shared" si="9"/>
        <v>147</v>
      </c>
      <c r="BK11" s="2" t="str">
        <f t="shared" si="10"/>
        <v>T2低4</v>
      </c>
      <c r="BL11" s="2">
        <f t="shared" si="42"/>
        <v>1416</v>
      </c>
      <c r="BM11" s="2">
        <f t="shared" si="11"/>
        <v>151</v>
      </c>
      <c r="BN11" s="2">
        <f t="shared" si="11"/>
        <v>559</v>
      </c>
      <c r="BO11" s="2">
        <f t="shared" si="11"/>
        <v>419</v>
      </c>
      <c r="BP11" s="2">
        <f t="shared" si="11"/>
        <v>612</v>
      </c>
      <c r="BQ11" s="2">
        <f t="shared" si="11"/>
        <v>147</v>
      </c>
      <c r="BS11" s="2" t="str">
        <f t="shared" si="12"/>
        <v>T2低4</v>
      </c>
      <c r="BT11" s="2">
        <f t="shared" si="43"/>
        <v>1605</v>
      </c>
      <c r="BU11" s="2">
        <f t="shared" si="13"/>
        <v>456</v>
      </c>
      <c r="BV11" s="2">
        <f t="shared" si="13"/>
        <v>486</v>
      </c>
      <c r="BW11" s="2">
        <f t="shared" si="13"/>
        <v>389</v>
      </c>
      <c r="BX11" s="2">
        <f t="shared" si="13"/>
        <v>714</v>
      </c>
      <c r="BY11" s="2">
        <f t="shared" si="13"/>
        <v>166</v>
      </c>
      <c r="CA11" s="2" t="str">
        <f t="shared" si="14"/>
        <v>T2低4</v>
      </c>
      <c r="CB11" s="2">
        <f t="shared" si="44"/>
        <v>1605</v>
      </c>
      <c r="CC11" s="2">
        <f t="shared" si="15"/>
        <v>602</v>
      </c>
      <c r="CD11" s="2">
        <f t="shared" si="15"/>
        <v>534</v>
      </c>
      <c r="CE11" s="2">
        <f t="shared" si="15"/>
        <v>427</v>
      </c>
      <c r="CF11" s="2">
        <f t="shared" si="15"/>
        <v>714</v>
      </c>
      <c r="CG11" s="2">
        <f t="shared" si="15"/>
        <v>166</v>
      </c>
      <c r="CH11" s="25"/>
      <c r="CI11" s="2" t="str">
        <f t="shared" si="16"/>
        <v>T4中4</v>
      </c>
      <c r="CJ11" s="2" t="str">
        <f t="shared" si="17"/>
        <v>T4中6</v>
      </c>
      <c r="CK11" s="2">
        <f t="shared" si="18"/>
        <v>768</v>
      </c>
      <c r="CL11" s="2">
        <f t="shared" si="18"/>
        <v>77</v>
      </c>
      <c r="CM11" s="2">
        <f t="shared" si="18"/>
        <v>288</v>
      </c>
      <c r="CN11" s="2">
        <f t="shared" si="18"/>
        <v>202</v>
      </c>
      <c r="CO11" s="2">
        <f t="shared" si="18"/>
        <v>288</v>
      </c>
      <c r="CP11" s="2">
        <f t="shared" si="18"/>
        <v>77</v>
      </c>
      <c r="CR11" s="2" t="str">
        <f t="shared" si="19"/>
        <v>T4中4</v>
      </c>
      <c r="CS11" s="2" t="str">
        <f t="shared" si="20"/>
        <v>T4中6</v>
      </c>
      <c r="CT11" s="2">
        <f t="shared" si="21"/>
        <v>768</v>
      </c>
      <c r="CU11" s="2">
        <f t="shared" si="21"/>
        <v>41</v>
      </c>
      <c r="CV11" s="2">
        <f t="shared" si="21"/>
        <v>316</v>
      </c>
      <c r="CW11" s="2">
        <f t="shared" si="21"/>
        <v>221</v>
      </c>
      <c r="CX11" s="2">
        <f t="shared" si="21"/>
        <v>288</v>
      </c>
      <c r="CY11" s="2">
        <f t="shared" si="21"/>
        <v>77</v>
      </c>
      <c r="CZ11" s="25"/>
      <c r="DA11" s="2" t="str">
        <f t="shared" si="22"/>
        <v>T4中4</v>
      </c>
      <c r="DB11" s="2" t="str">
        <f t="shared" si="23"/>
        <v>T4中6</v>
      </c>
      <c r="DC11" s="2">
        <f t="shared" si="24"/>
        <v>768</v>
      </c>
      <c r="DD11" s="2">
        <f t="shared" si="24"/>
        <v>155</v>
      </c>
      <c r="DE11" s="2">
        <f t="shared" si="24"/>
        <v>343</v>
      </c>
      <c r="DF11" s="2">
        <f t="shared" si="24"/>
        <v>240</v>
      </c>
      <c r="DG11" s="2">
        <f t="shared" si="24"/>
        <v>288</v>
      </c>
      <c r="DH11" s="2">
        <f t="shared" si="24"/>
        <v>77</v>
      </c>
      <c r="DI11" s="25"/>
      <c r="DJ11" s="2" t="str">
        <f t="shared" si="25"/>
        <v>T4中4</v>
      </c>
      <c r="DK11" s="2" t="str">
        <f t="shared" si="26"/>
        <v>T4中6</v>
      </c>
      <c r="DL11" s="2">
        <f t="shared" si="27"/>
        <v>829</v>
      </c>
      <c r="DM11" s="2">
        <f t="shared" si="27"/>
        <v>72</v>
      </c>
      <c r="DN11" s="2">
        <f t="shared" si="27"/>
        <v>275</v>
      </c>
      <c r="DO11" s="2">
        <f t="shared" si="27"/>
        <v>205</v>
      </c>
      <c r="DP11" s="2">
        <f t="shared" si="27"/>
        <v>346</v>
      </c>
      <c r="DQ11" s="2">
        <f t="shared" si="27"/>
        <v>83</v>
      </c>
      <c r="DS11" s="2" t="str">
        <f t="shared" si="28"/>
        <v>T4中4</v>
      </c>
      <c r="DT11" s="2" t="str">
        <f t="shared" si="29"/>
        <v>T4中6</v>
      </c>
      <c r="DU11" s="2">
        <f t="shared" si="30"/>
        <v>829</v>
      </c>
      <c r="DV11" s="2">
        <f t="shared" si="30"/>
        <v>85</v>
      </c>
      <c r="DW11" s="2">
        <f t="shared" si="30"/>
        <v>316</v>
      </c>
      <c r="DX11" s="2">
        <f t="shared" si="30"/>
        <v>236</v>
      </c>
      <c r="DY11" s="2">
        <f t="shared" si="30"/>
        <v>346</v>
      </c>
      <c r="DZ11" s="2">
        <f t="shared" si="30"/>
        <v>83</v>
      </c>
      <c r="EB11" s="2" t="str">
        <f t="shared" si="31"/>
        <v>T4中4</v>
      </c>
      <c r="EC11" s="2" t="str">
        <f t="shared" si="32"/>
        <v>T4中6</v>
      </c>
      <c r="ED11" s="2">
        <f t="shared" si="33"/>
        <v>940</v>
      </c>
      <c r="EE11" s="2">
        <f t="shared" si="33"/>
        <v>257</v>
      </c>
      <c r="EF11" s="2">
        <f t="shared" si="33"/>
        <v>275</v>
      </c>
      <c r="EG11" s="2">
        <f t="shared" si="33"/>
        <v>220</v>
      </c>
      <c r="EH11" s="2">
        <f t="shared" si="33"/>
        <v>403</v>
      </c>
      <c r="EI11" s="2">
        <f t="shared" si="33"/>
        <v>94</v>
      </c>
      <c r="EK11" s="2" t="str">
        <f t="shared" si="34"/>
        <v>T4中4</v>
      </c>
      <c r="EL11" s="2" t="str">
        <f t="shared" si="35"/>
        <v>T4中6</v>
      </c>
      <c r="EM11" s="2">
        <f t="shared" si="36"/>
        <v>940</v>
      </c>
      <c r="EN11" s="2">
        <f t="shared" si="36"/>
        <v>340</v>
      </c>
      <c r="EO11" s="2">
        <f t="shared" si="36"/>
        <v>301</v>
      </c>
      <c r="EP11" s="2">
        <f t="shared" si="36"/>
        <v>241</v>
      </c>
      <c r="EQ11" s="2">
        <f t="shared" si="36"/>
        <v>403</v>
      </c>
      <c r="ER11" s="2">
        <f t="shared" si="36"/>
        <v>94</v>
      </c>
    </row>
    <row r="12" spans="2:148" x14ac:dyDescent="0.3">
      <c r="B12" s="2" t="s">
        <v>790</v>
      </c>
      <c r="C12" s="2" t="s">
        <v>611</v>
      </c>
      <c r="D12" s="2" t="s">
        <v>778</v>
      </c>
      <c r="E12" s="2" t="s">
        <v>791</v>
      </c>
      <c r="F12" s="2" t="s">
        <v>792</v>
      </c>
      <c r="G12" s="2" t="s">
        <v>793</v>
      </c>
      <c r="H12" s="2" t="s">
        <v>603</v>
      </c>
      <c r="I12" s="2" t="s">
        <v>794</v>
      </c>
      <c r="J12" s="2" t="s">
        <v>795</v>
      </c>
      <c r="K12" s="2" t="s">
        <v>796</v>
      </c>
      <c r="L12" s="1" t="s">
        <v>355</v>
      </c>
      <c r="M12" s="1" t="s">
        <v>773</v>
      </c>
      <c r="N12" s="1" t="s">
        <v>797</v>
      </c>
      <c r="P12" s="2" t="s">
        <v>790</v>
      </c>
      <c r="Q12" s="2" t="s">
        <v>792</v>
      </c>
      <c r="R12" s="2" t="s">
        <v>793</v>
      </c>
      <c r="S12" s="2" t="s">
        <v>603</v>
      </c>
      <c r="T12" s="2" t="s">
        <v>791</v>
      </c>
      <c r="U12" s="2" t="s">
        <v>798</v>
      </c>
      <c r="Y12" s="2" t="s">
        <v>799</v>
      </c>
      <c r="Z12" s="34">
        <f t="shared" si="37"/>
        <v>1.92</v>
      </c>
      <c r="AA12" s="34">
        <v>1.92</v>
      </c>
      <c r="AB12" s="2"/>
      <c r="AE12" s="2" t="str">
        <f t="shared" si="2"/>
        <v>T4低4</v>
      </c>
      <c r="AF12" s="2">
        <f t="shared" si="38"/>
        <v>1536</v>
      </c>
      <c r="AG12" s="2">
        <f t="shared" si="3"/>
        <v>153</v>
      </c>
      <c r="AH12" s="2">
        <f t="shared" si="3"/>
        <v>576</v>
      </c>
      <c r="AI12" s="2">
        <f t="shared" si="3"/>
        <v>403</v>
      </c>
      <c r="AJ12" s="2">
        <f t="shared" si="3"/>
        <v>576</v>
      </c>
      <c r="AK12" s="2">
        <f t="shared" si="3"/>
        <v>154</v>
      </c>
      <c r="AM12" s="2" t="str">
        <f t="shared" si="4"/>
        <v>T4低4</v>
      </c>
      <c r="AN12" s="2">
        <f t="shared" si="39"/>
        <v>1536</v>
      </c>
      <c r="AO12" s="2">
        <f t="shared" si="5"/>
        <v>82</v>
      </c>
      <c r="AP12" s="2">
        <f t="shared" si="5"/>
        <v>631</v>
      </c>
      <c r="AQ12" s="2">
        <f t="shared" si="5"/>
        <v>442</v>
      </c>
      <c r="AR12" s="2">
        <f t="shared" si="5"/>
        <v>576</v>
      </c>
      <c r="AS12" s="2">
        <f t="shared" si="5"/>
        <v>154</v>
      </c>
      <c r="AT12" s="25"/>
      <c r="AU12" s="2" t="str">
        <f t="shared" si="6"/>
        <v>T4低4</v>
      </c>
      <c r="AV12" s="2">
        <f t="shared" si="40"/>
        <v>1536</v>
      </c>
      <c r="AW12" s="2">
        <f t="shared" si="7"/>
        <v>309</v>
      </c>
      <c r="AX12" s="2">
        <f t="shared" si="7"/>
        <v>686</v>
      </c>
      <c r="AY12" s="2">
        <f t="shared" si="7"/>
        <v>480</v>
      </c>
      <c r="AZ12" s="2">
        <f t="shared" si="7"/>
        <v>576</v>
      </c>
      <c r="BA12" s="2">
        <f t="shared" si="7"/>
        <v>154</v>
      </c>
      <c r="BB12" s="25"/>
      <c r="BC12" s="2" t="str">
        <f t="shared" si="8"/>
        <v>T4低4</v>
      </c>
      <c r="BD12" s="2">
        <f t="shared" si="41"/>
        <v>1658</v>
      </c>
      <c r="BE12" s="2">
        <f t="shared" si="9"/>
        <v>143</v>
      </c>
      <c r="BF12" s="2">
        <f t="shared" si="9"/>
        <v>549</v>
      </c>
      <c r="BG12" s="2">
        <f t="shared" si="9"/>
        <v>411</v>
      </c>
      <c r="BH12" s="2">
        <f t="shared" si="9"/>
        <v>691</v>
      </c>
      <c r="BI12" s="2">
        <f t="shared" si="9"/>
        <v>166</v>
      </c>
      <c r="BK12" s="2" t="str">
        <f t="shared" si="10"/>
        <v>T4低4</v>
      </c>
      <c r="BL12" s="2">
        <f t="shared" si="42"/>
        <v>1658</v>
      </c>
      <c r="BM12" s="2">
        <f t="shared" si="11"/>
        <v>171</v>
      </c>
      <c r="BN12" s="2">
        <f t="shared" si="11"/>
        <v>631</v>
      </c>
      <c r="BO12" s="2">
        <f t="shared" si="11"/>
        <v>473</v>
      </c>
      <c r="BP12" s="2">
        <f t="shared" si="11"/>
        <v>691</v>
      </c>
      <c r="BQ12" s="2">
        <f t="shared" si="11"/>
        <v>166</v>
      </c>
      <c r="BS12" s="2" t="str">
        <f t="shared" si="12"/>
        <v>T4低4</v>
      </c>
      <c r="BT12" s="2">
        <f t="shared" si="43"/>
        <v>1879</v>
      </c>
      <c r="BU12" s="2">
        <f t="shared" si="13"/>
        <v>515</v>
      </c>
      <c r="BV12" s="2">
        <f t="shared" si="13"/>
        <v>549</v>
      </c>
      <c r="BW12" s="2">
        <f t="shared" si="13"/>
        <v>439</v>
      </c>
      <c r="BX12" s="2">
        <f t="shared" si="13"/>
        <v>806</v>
      </c>
      <c r="BY12" s="2">
        <f t="shared" si="13"/>
        <v>188</v>
      </c>
      <c r="CA12" s="2" t="str">
        <f t="shared" si="14"/>
        <v>T4低4</v>
      </c>
      <c r="CB12" s="2">
        <f t="shared" si="44"/>
        <v>1879</v>
      </c>
      <c r="CC12" s="2">
        <f t="shared" si="15"/>
        <v>680</v>
      </c>
      <c r="CD12" s="2">
        <f t="shared" si="15"/>
        <v>603</v>
      </c>
      <c r="CE12" s="2">
        <f t="shared" si="15"/>
        <v>483</v>
      </c>
      <c r="CF12" s="2">
        <f t="shared" si="15"/>
        <v>806</v>
      </c>
      <c r="CG12" s="2">
        <f t="shared" si="15"/>
        <v>188</v>
      </c>
      <c r="CH12" s="25"/>
      <c r="CI12" s="2" t="str">
        <f t="shared" si="16"/>
        <v>T4高4</v>
      </c>
      <c r="CJ12" s="2" t="str">
        <f t="shared" si="17"/>
        <v>T4高6</v>
      </c>
      <c r="CK12" s="2">
        <f t="shared" si="18"/>
        <v>768</v>
      </c>
      <c r="CL12" s="2">
        <f t="shared" si="18"/>
        <v>82</v>
      </c>
      <c r="CM12" s="2">
        <f t="shared" si="18"/>
        <v>306</v>
      </c>
      <c r="CN12" s="2">
        <f t="shared" si="18"/>
        <v>214</v>
      </c>
      <c r="CO12" s="2">
        <f t="shared" si="18"/>
        <v>306</v>
      </c>
      <c r="CP12" s="2">
        <f t="shared" si="18"/>
        <v>82</v>
      </c>
      <c r="CR12" s="2" t="str">
        <f t="shared" si="19"/>
        <v>T4高4</v>
      </c>
      <c r="CS12" s="2" t="str">
        <f t="shared" si="20"/>
        <v>T4高6</v>
      </c>
      <c r="CT12" s="2">
        <f t="shared" si="21"/>
        <v>768</v>
      </c>
      <c r="CU12" s="2">
        <f t="shared" si="21"/>
        <v>43</v>
      </c>
      <c r="CV12" s="2">
        <f t="shared" si="21"/>
        <v>335</v>
      </c>
      <c r="CW12" s="2">
        <f t="shared" si="21"/>
        <v>235</v>
      </c>
      <c r="CX12" s="2">
        <f t="shared" si="21"/>
        <v>306</v>
      </c>
      <c r="CY12" s="2">
        <f t="shared" si="21"/>
        <v>82</v>
      </c>
      <c r="CZ12" s="25"/>
      <c r="DA12" s="2" t="str">
        <f t="shared" si="22"/>
        <v>T4高4</v>
      </c>
      <c r="DB12" s="2" t="str">
        <f t="shared" si="23"/>
        <v>T4高6</v>
      </c>
      <c r="DC12" s="2">
        <f t="shared" si="24"/>
        <v>768</v>
      </c>
      <c r="DD12" s="2">
        <f t="shared" si="24"/>
        <v>164</v>
      </c>
      <c r="DE12" s="2">
        <f t="shared" si="24"/>
        <v>365</v>
      </c>
      <c r="DF12" s="2">
        <f t="shared" si="24"/>
        <v>255</v>
      </c>
      <c r="DG12" s="2">
        <f t="shared" si="24"/>
        <v>306</v>
      </c>
      <c r="DH12" s="2">
        <f t="shared" si="24"/>
        <v>82</v>
      </c>
      <c r="DI12" s="25"/>
      <c r="DJ12" s="2" t="str">
        <f t="shared" si="25"/>
        <v>T4高4</v>
      </c>
      <c r="DK12" s="2" t="str">
        <f t="shared" si="26"/>
        <v>T4高6</v>
      </c>
      <c r="DL12" s="2">
        <f t="shared" si="27"/>
        <v>829</v>
      </c>
      <c r="DM12" s="2">
        <f t="shared" si="27"/>
        <v>76</v>
      </c>
      <c r="DN12" s="2">
        <f t="shared" si="27"/>
        <v>292</v>
      </c>
      <c r="DO12" s="2">
        <f t="shared" si="27"/>
        <v>218</v>
      </c>
      <c r="DP12" s="2">
        <f t="shared" si="27"/>
        <v>367</v>
      </c>
      <c r="DQ12" s="2">
        <f t="shared" si="27"/>
        <v>88</v>
      </c>
      <c r="DS12" s="2" t="str">
        <f t="shared" si="28"/>
        <v>T4高4</v>
      </c>
      <c r="DT12" s="2" t="str">
        <f t="shared" si="29"/>
        <v>T4高6</v>
      </c>
      <c r="DU12" s="2">
        <f t="shared" si="30"/>
        <v>829</v>
      </c>
      <c r="DV12" s="2">
        <f t="shared" si="30"/>
        <v>91</v>
      </c>
      <c r="DW12" s="2">
        <f t="shared" si="30"/>
        <v>335</v>
      </c>
      <c r="DX12" s="2">
        <f t="shared" si="30"/>
        <v>251</v>
      </c>
      <c r="DY12" s="2">
        <f t="shared" si="30"/>
        <v>367</v>
      </c>
      <c r="DZ12" s="2">
        <f t="shared" si="30"/>
        <v>88</v>
      </c>
      <c r="EB12" s="2" t="str">
        <f t="shared" si="31"/>
        <v>T4高4</v>
      </c>
      <c r="EC12" s="2" t="str">
        <f t="shared" si="32"/>
        <v>T4高6</v>
      </c>
      <c r="ED12" s="2">
        <f t="shared" si="33"/>
        <v>940</v>
      </c>
      <c r="EE12" s="2">
        <f t="shared" si="33"/>
        <v>274</v>
      </c>
      <c r="EF12" s="2">
        <f t="shared" si="33"/>
        <v>292</v>
      </c>
      <c r="EG12" s="2">
        <f t="shared" si="33"/>
        <v>233</v>
      </c>
      <c r="EH12" s="2">
        <f t="shared" si="33"/>
        <v>428</v>
      </c>
      <c r="EI12" s="2">
        <f t="shared" si="33"/>
        <v>100</v>
      </c>
      <c r="EK12" s="2" t="str">
        <f t="shared" si="34"/>
        <v>T4高4</v>
      </c>
      <c r="EL12" s="2" t="str">
        <f t="shared" si="35"/>
        <v>T4高6</v>
      </c>
      <c r="EM12" s="2">
        <f t="shared" si="36"/>
        <v>940</v>
      </c>
      <c r="EN12" s="2">
        <f t="shared" si="36"/>
        <v>361</v>
      </c>
      <c r="EO12" s="2">
        <f t="shared" si="36"/>
        <v>320</v>
      </c>
      <c r="EP12" s="2">
        <f t="shared" si="36"/>
        <v>256</v>
      </c>
      <c r="EQ12" s="2">
        <f t="shared" si="36"/>
        <v>428</v>
      </c>
      <c r="ER12" s="2">
        <f t="shared" si="36"/>
        <v>100</v>
      </c>
    </row>
    <row r="13" spans="2:148" x14ac:dyDescent="0.3">
      <c r="B13" s="2" t="s">
        <v>613</v>
      </c>
      <c r="C13" s="2" t="s">
        <v>182</v>
      </c>
      <c r="D13" s="2">
        <f>C4</f>
        <v>1</v>
      </c>
      <c r="E13" s="2">
        <f>D4</f>
        <v>3</v>
      </c>
      <c r="F13" s="2" t="str">
        <f>$B13&amp;$C13&amp;D13</f>
        <v>T1低1</v>
      </c>
      <c r="G13" s="2" t="str">
        <f>$B13&amp;$C13&amp;E13</f>
        <v>T1低3</v>
      </c>
      <c r="H13" s="33">
        <f>L4</f>
        <v>5</v>
      </c>
      <c r="I13" s="29">
        <f>VLOOKUP(VALUE(RIGHT(B13,1)),$B$4:$T$9,MATCH(C13&amp;"品质",$B$3:$T$3,0))</f>
        <v>0.06</v>
      </c>
      <c r="J13" s="21">
        <v>1</v>
      </c>
      <c r="K13" s="2">
        <f>J13+(H13-E13)*$I$13+E13*I13</f>
        <v>1.3</v>
      </c>
      <c r="L13" s="1">
        <v>1</v>
      </c>
      <c r="M13" s="1">
        <v>1.4</v>
      </c>
      <c r="N13" s="1">
        <v>1</v>
      </c>
      <c r="P13" s="2" t="str">
        <f t="shared" ref="P13:P24" si="45">B13&amp;C13</f>
        <v>T1低</v>
      </c>
      <c r="Q13" s="2" t="str">
        <f t="shared" ref="Q13:Q24" si="46">F13</f>
        <v>T1低1</v>
      </c>
      <c r="R13" s="2" t="str">
        <f t="shared" ref="R13:R24" si="47">G13</f>
        <v>T1低3</v>
      </c>
      <c r="S13" s="2">
        <f>L4</f>
        <v>5</v>
      </c>
      <c r="T13" s="2">
        <f t="shared" ref="T13:T24" si="48">E13</f>
        <v>3</v>
      </c>
      <c r="U13" s="2" t="s">
        <v>800</v>
      </c>
      <c r="Y13" s="2" t="s">
        <v>801</v>
      </c>
      <c r="Z13" s="34">
        <f t="shared" si="37"/>
        <v>2</v>
      </c>
      <c r="AA13" s="34">
        <v>2</v>
      </c>
      <c r="AB13" s="2"/>
      <c r="AE13" s="2" t="str">
        <f t="shared" si="2"/>
        <v>T4中4</v>
      </c>
      <c r="AF13" s="2">
        <f t="shared" si="38"/>
        <v>1600</v>
      </c>
      <c r="AG13" s="2">
        <f t="shared" si="3"/>
        <v>159</v>
      </c>
      <c r="AH13" s="2">
        <f t="shared" si="3"/>
        <v>600</v>
      </c>
      <c r="AI13" s="2">
        <f t="shared" si="3"/>
        <v>420</v>
      </c>
      <c r="AJ13" s="2">
        <f t="shared" si="3"/>
        <v>600</v>
      </c>
      <c r="AK13" s="2">
        <f t="shared" si="3"/>
        <v>160</v>
      </c>
      <c r="AM13" s="2" t="str">
        <f t="shared" si="4"/>
        <v>T4中4</v>
      </c>
      <c r="AN13" s="2">
        <f t="shared" si="39"/>
        <v>1600</v>
      </c>
      <c r="AO13" s="2">
        <f t="shared" si="5"/>
        <v>85</v>
      </c>
      <c r="AP13" s="2">
        <f t="shared" si="5"/>
        <v>657</v>
      </c>
      <c r="AQ13" s="2">
        <f t="shared" si="5"/>
        <v>460</v>
      </c>
      <c r="AR13" s="2">
        <f t="shared" si="5"/>
        <v>600</v>
      </c>
      <c r="AS13" s="2">
        <f t="shared" si="5"/>
        <v>160</v>
      </c>
      <c r="AT13" s="25"/>
      <c r="AU13" s="2" t="str">
        <f t="shared" si="6"/>
        <v>T4中4</v>
      </c>
      <c r="AV13" s="2">
        <f t="shared" si="40"/>
        <v>1600</v>
      </c>
      <c r="AW13" s="2">
        <f t="shared" si="7"/>
        <v>322</v>
      </c>
      <c r="AX13" s="2">
        <f t="shared" si="7"/>
        <v>714</v>
      </c>
      <c r="AY13" s="2">
        <f t="shared" si="7"/>
        <v>500</v>
      </c>
      <c r="AZ13" s="2">
        <f t="shared" si="7"/>
        <v>600</v>
      </c>
      <c r="BA13" s="2">
        <f t="shared" si="7"/>
        <v>160</v>
      </c>
      <c r="BB13" s="25"/>
      <c r="BC13" s="2" t="str">
        <f t="shared" si="8"/>
        <v>T4中4</v>
      </c>
      <c r="BD13" s="2">
        <f t="shared" si="41"/>
        <v>1727</v>
      </c>
      <c r="BE13" s="2">
        <f t="shared" si="9"/>
        <v>148</v>
      </c>
      <c r="BF13" s="2">
        <f t="shared" si="9"/>
        <v>571</v>
      </c>
      <c r="BG13" s="2">
        <f t="shared" si="9"/>
        <v>429</v>
      </c>
      <c r="BH13" s="2">
        <f t="shared" si="9"/>
        <v>720</v>
      </c>
      <c r="BI13" s="2">
        <f t="shared" si="9"/>
        <v>173</v>
      </c>
      <c r="BK13" s="2" t="str">
        <f t="shared" si="10"/>
        <v>T4中4</v>
      </c>
      <c r="BL13" s="2">
        <f t="shared" si="42"/>
        <v>1727</v>
      </c>
      <c r="BM13" s="2">
        <f t="shared" si="11"/>
        <v>178</v>
      </c>
      <c r="BN13" s="2">
        <f t="shared" si="11"/>
        <v>657</v>
      </c>
      <c r="BO13" s="2">
        <f t="shared" si="11"/>
        <v>493</v>
      </c>
      <c r="BP13" s="2">
        <f t="shared" si="11"/>
        <v>720</v>
      </c>
      <c r="BQ13" s="2">
        <f t="shared" si="11"/>
        <v>173</v>
      </c>
      <c r="BS13" s="2" t="str">
        <f t="shared" si="12"/>
        <v>T4中4</v>
      </c>
      <c r="BT13" s="2">
        <f t="shared" si="43"/>
        <v>1957</v>
      </c>
      <c r="BU13" s="2">
        <f t="shared" si="13"/>
        <v>536</v>
      </c>
      <c r="BV13" s="2">
        <f t="shared" si="13"/>
        <v>571</v>
      </c>
      <c r="BW13" s="2">
        <f t="shared" si="13"/>
        <v>457</v>
      </c>
      <c r="BX13" s="2">
        <f t="shared" si="13"/>
        <v>840</v>
      </c>
      <c r="BY13" s="2">
        <f t="shared" si="13"/>
        <v>196</v>
      </c>
      <c r="CA13" s="2" t="str">
        <f t="shared" si="14"/>
        <v>T4中4</v>
      </c>
      <c r="CB13" s="2">
        <f t="shared" si="44"/>
        <v>1957</v>
      </c>
      <c r="CC13" s="2">
        <f t="shared" si="15"/>
        <v>709</v>
      </c>
      <c r="CD13" s="2">
        <f t="shared" si="15"/>
        <v>629</v>
      </c>
      <c r="CE13" s="2">
        <f t="shared" si="15"/>
        <v>503</v>
      </c>
      <c r="CF13" s="2">
        <f t="shared" si="15"/>
        <v>840</v>
      </c>
      <c r="CG13" s="2">
        <f t="shared" si="15"/>
        <v>196</v>
      </c>
      <c r="CH13" s="25"/>
      <c r="CI13" s="2" t="str">
        <f t="shared" si="16"/>
        <v>T5低5</v>
      </c>
      <c r="CJ13" s="2" t="str">
        <f t="shared" si="17"/>
        <v>T5低7</v>
      </c>
      <c r="CK13" s="2">
        <f t="shared" si="18"/>
        <v>848</v>
      </c>
      <c r="CL13" s="2">
        <f t="shared" si="18"/>
        <v>90</v>
      </c>
      <c r="CM13" s="2">
        <f t="shared" si="18"/>
        <v>339</v>
      </c>
      <c r="CN13" s="2">
        <f t="shared" si="18"/>
        <v>238</v>
      </c>
      <c r="CO13" s="2">
        <f t="shared" si="18"/>
        <v>339</v>
      </c>
      <c r="CP13" s="2">
        <f t="shared" si="18"/>
        <v>90</v>
      </c>
      <c r="CR13" s="2" t="str">
        <f t="shared" si="19"/>
        <v>T5低5</v>
      </c>
      <c r="CS13" s="2" t="str">
        <f t="shared" si="20"/>
        <v>T5低7</v>
      </c>
      <c r="CT13" s="2">
        <f t="shared" si="21"/>
        <v>848</v>
      </c>
      <c r="CU13" s="2">
        <f t="shared" si="21"/>
        <v>48</v>
      </c>
      <c r="CV13" s="2">
        <f t="shared" si="21"/>
        <v>371</v>
      </c>
      <c r="CW13" s="2">
        <f t="shared" si="21"/>
        <v>260</v>
      </c>
      <c r="CX13" s="2">
        <f t="shared" si="21"/>
        <v>339</v>
      </c>
      <c r="CY13" s="2">
        <f t="shared" si="21"/>
        <v>90</v>
      </c>
      <c r="CZ13" s="25"/>
      <c r="DA13" s="2" t="str">
        <f t="shared" si="22"/>
        <v>T5低5</v>
      </c>
      <c r="DB13" s="2" t="str">
        <f t="shared" si="23"/>
        <v>T5低7</v>
      </c>
      <c r="DC13" s="2">
        <f t="shared" si="24"/>
        <v>848</v>
      </c>
      <c r="DD13" s="2">
        <f t="shared" si="24"/>
        <v>182</v>
      </c>
      <c r="DE13" s="2">
        <f t="shared" si="24"/>
        <v>404</v>
      </c>
      <c r="DF13" s="2">
        <f t="shared" si="24"/>
        <v>283</v>
      </c>
      <c r="DG13" s="2">
        <f t="shared" si="24"/>
        <v>339</v>
      </c>
      <c r="DH13" s="2">
        <f t="shared" si="24"/>
        <v>90</v>
      </c>
      <c r="DI13" s="25"/>
      <c r="DJ13" s="2" t="str">
        <f t="shared" si="25"/>
        <v>T5低5</v>
      </c>
      <c r="DK13" s="2" t="str">
        <f t="shared" si="26"/>
        <v>T5低7</v>
      </c>
      <c r="DL13" s="2">
        <f t="shared" si="27"/>
        <v>915</v>
      </c>
      <c r="DM13" s="2">
        <f t="shared" si="27"/>
        <v>84</v>
      </c>
      <c r="DN13" s="2">
        <f t="shared" si="27"/>
        <v>323</v>
      </c>
      <c r="DO13" s="2">
        <f t="shared" si="27"/>
        <v>242</v>
      </c>
      <c r="DP13" s="2">
        <f t="shared" si="27"/>
        <v>407</v>
      </c>
      <c r="DQ13" s="2">
        <f t="shared" si="27"/>
        <v>97</v>
      </c>
      <c r="DS13" s="2" t="str">
        <f t="shared" si="28"/>
        <v>T5低5</v>
      </c>
      <c r="DT13" s="2" t="str">
        <f t="shared" si="29"/>
        <v>T5低7</v>
      </c>
      <c r="DU13" s="2">
        <f t="shared" si="30"/>
        <v>915</v>
      </c>
      <c r="DV13" s="2">
        <f t="shared" si="30"/>
        <v>101</v>
      </c>
      <c r="DW13" s="2">
        <f t="shared" si="30"/>
        <v>371</v>
      </c>
      <c r="DX13" s="2">
        <f t="shared" si="30"/>
        <v>278</v>
      </c>
      <c r="DY13" s="2">
        <f t="shared" si="30"/>
        <v>407</v>
      </c>
      <c r="DZ13" s="2">
        <f t="shared" si="30"/>
        <v>97</v>
      </c>
      <c r="EB13" s="2" t="str">
        <f t="shared" si="31"/>
        <v>T5低5</v>
      </c>
      <c r="EC13" s="2" t="str">
        <f t="shared" si="32"/>
        <v>T5低7</v>
      </c>
      <c r="ED13" s="2">
        <f t="shared" si="33"/>
        <v>1038</v>
      </c>
      <c r="EE13" s="2">
        <f t="shared" si="33"/>
        <v>302</v>
      </c>
      <c r="EF13" s="2">
        <f t="shared" si="33"/>
        <v>323</v>
      </c>
      <c r="EG13" s="2">
        <f t="shared" si="33"/>
        <v>258</v>
      </c>
      <c r="EH13" s="2">
        <f t="shared" si="33"/>
        <v>475</v>
      </c>
      <c r="EI13" s="2">
        <f t="shared" si="33"/>
        <v>110</v>
      </c>
      <c r="EK13" s="2" t="str">
        <f t="shared" si="34"/>
        <v>T5低5</v>
      </c>
      <c r="EL13" s="2" t="str">
        <f t="shared" si="35"/>
        <v>T5低7</v>
      </c>
      <c r="EM13" s="2">
        <f t="shared" si="36"/>
        <v>1038</v>
      </c>
      <c r="EN13" s="2">
        <f t="shared" si="36"/>
        <v>400</v>
      </c>
      <c r="EO13" s="2">
        <f t="shared" si="36"/>
        <v>355</v>
      </c>
      <c r="EP13" s="2">
        <f t="shared" si="36"/>
        <v>284</v>
      </c>
      <c r="EQ13" s="2">
        <f t="shared" si="36"/>
        <v>475</v>
      </c>
      <c r="ER13" s="2">
        <f t="shared" si="36"/>
        <v>110</v>
      </c>
    </row>
    <row r="14" spans="2:148" x14ac:dyDescent="0.3">
      <c r="B14" s="2" t="s">
        <v>615</v>
      </c>
      <c r="C14" s="2" t="s">
        <v>182</v>
      </c>
      <c r="D14" s="2">
        <f>C5</f>
        <v>2</v>
      </c>
      <c r="E14" s="2">
        <f>D5</f>
        <v>4</v>
      </c>
      <c r="F14" s="2" t="str">
        <f t="shared" ref="F14:F24" si="49">$B14&amp;$C14&amp;D14</f>
        <v>T2低2</v>
      </c>
      <c r="G14" s="2" t="str">
        <f t="shared" ref="G14:G24" si="50">$B14&amp;$C14&amp;E14</f>
        <v>T2低4</v>
      </c>
      <c r="H14" s="33">
        <f>L5</f>
        <v>7</v>
      </c>
      <c r="I14" s="29">
        <f t="shared" ref="I14:I24" si="51">VLOOKUP(VALUE(RIGHT(B14,1)),$B$4:$T$9,MATCH(C14&amp;"品质",$B$3:$T$3,0))</f>
        <v>0.08</v>
      </c>
      <c r="J14" s="2">
        <v>1.2</v>
      </c>
      <c r="K14" s="2">
        <f t="shared" ref="K14:K24" si="52">J14+(H14-E14)*$I$13+E14*I14</f>
        <v>1.7</v>
      </c>
      <c r="L14" s="1">
        <v>1.1499999999999999</v>
      </c>
      <c r="M14" s="1">
        <v>1.78</v>
      </c>
      <c r="N14" s="1">
        <f>J13+I14*(D13+1)</f>
        <v>1.1599999999999999</v>
      </c>
      <c r="P14" s="2" t="str">
        <f t="shared" si="45"/>
        <v>T2低</v>
      </c>
      <c r="Q14" s="2" t="str">
        <f t="shared" si="46"/>
        <v>T2低2</v>
      </c>
      <c r="R14" s="2" t="str">
        <f t="shared" si="47"/>
        <v>T2低4</v>
      </c>
      <c r="S14" s="2">
        <f>L5</f>
        <v>7</v>
      </c>
      <c r="T14" s="2">
        <f t="shared" si="48"/>
        <v>4</v>
      </c>
      <c r="U14" s="2" t="s">
        <v>802</v>
      </c>
      <c r="Y14" s="2" t="s">
        <v>803</v>
      </c>
      <c r="Z14" s="34">
        <f t="shared" si="37"/>
        <v>2</v>
      </c>
      <c r="AA14" s="34">
        <v>2</v>
      </c>
      <c r="AB14" s="2"/>
      <c r="AE14" s="2" t="str">
        <f t="shared" si="2"/>
        <v>T4高4</v>
      </c>
      <c r="AF14" s="2">
        <f t="shared" si="38"/>
        <v>1600</v>
      </c>
      <c r="AG14" s="2">
        <f t="shared" ref="AG14:AK27" si="53">ROUND(VLOOKUP($AE$2,$B$45:$J$52,MATCH(AG$3,$B$45:$J$45,0),FALSE)*$Z14,0)</f>
        <v>159</v>
      </c>
      <c r="AH14" s="2">
        <f t="shared" si="53"/>
        <v>600</v>
      </c>
      <c r="AI14" s="2">
        <f t="shared" si="53"/>
        <v>420</v>
      </c>
      <c r="AJ14" s="2">
        <f t="shared" si="53"/>
        <v>600</v>
      </c>
      <c r="AK14" s="2">
        <f t="shared" si="53"/>
        <v>160</v>
      </c>
      <c r="AM14" s="2" t="str">
        <f t="shared" si="4"/>
        <v>T4高4</v>
      </c>
      <c r="AN14" s="2">
        <f t="shared" si="39"/>
        <v>1600</v>
      </c>
      <c r="AO14" s="2">
        <f t="shared" ref="AO14:AS27" si="54">ROUND(VLOOKUP($AM$2,$B$45:$J$52,MATCH(AO$3,$B$45:$J$45,0),FALSE)*$Z14,0)</f>
        <v>85</v>
      </c>
      <c r="AP14" s="2">
        <f t="shared" si="54"/>
        <v>657</v>
      </c>
      <c r="AQ14" s="2">
        <f t="shared" si="54"/>
        <v>460</v>
      </c>
      <c r="AR14" s="2">
        <f t="shared" si="54"/>
        <v>600</v>
      </c>
      <c r="AS14" s="2">
        <f t="shared" si="54"/>
        <v>160</v>
      </c>
      <c r="AT14" s="25"/>
      <c r="AU14" s="2" t="str">
        <f t="shared" si="6"/>
        <v>T4高4</v>
      </c>
      <c r="AV14" s="2">
        <f t="shared" si="40"/>
        <v>1600</v>
      </c>
      <c r="AW14" s="2">
        <f t="shared" ref="AW14:BA27" si="55">ROUND(VLOOKUP($AU$2,$B$45:$J$52,MATCH(AW$3,$B$45:$J$45,0),FALSE)*$Z14,0)</f>
        <v>322</v>
      </c>
      <c r="AX14" s="2">
        <f t="shared" si="55"/>
        <v>714</v>
      </c>
      <c r="AY14" s="2">
        <f t="shared" si="55"/>
        <v>500</v>
      </c>
      <c r="AZ14" s="2">
        <f t="shared" si="55"/>
        <v>600</v>
      </c>
      <c r="BA14" s="2">
        <f t="shared" si="55"/>
        <v>160</v>
      </c>
      <c r="BB14" s="25"/>
      <c r="BC14" s="2" t="str">
        <f t="shared" si="8"/>
        <v>T4高4</v>
      </c>
      <c r="BD14" s="2">
        <f t="shared" si="41"/>
        <v>1727</v>
      </c>
      <c r="BE14" s="2">
        <f t="shared" ref="BE14:BI27" si="56">ROUND(VLOOKUP($BC$2,$B$45:$J$52,MATCH(BE$3,$B$45:$J$45,0),FALSE)*$Z14,0)</f>
        <v>148</v>
      </c>
      <c r="BF14" s="2">
        <f t="shared" si="56"/>
        <v>571</v>
      </c>
      <c r="BG14" s="2">
        <f t="shared" si="56"/>
        <v>429</v>
      </c>
      <c r="BH14" s="2">
        <f t="shared" si="56"/>
        <v>720</v>
      </c>
      <c r="BI14" s="2">
        <f t="shared" si="56"/>
        <v>173</v>
      </c>
      <c r="BK14" s="2" t="str">
        <f t="shared" si="10"/>
        <v>T4高4</v>
      </c>
      <c r="BL14" s="2">
        <f t="shared" si="42"/>
        <v>1727</v>
      </c>
      <c r="BM14" s="2">
        <f t="shared" ref="BM14:BQ27" si="57">ROUND(VLOOKUP($BK$2,$B$45:$J$52,MATCH(BM$3,$B$45:$J$45,0),FALSE)*$Z14,0)</f>
        <v>178</v>
      </c>
      <c r="BN14" s="2">
        <f t="shared" si="57"/>
        <v>657</v>
      </c>
      <c r="BO14" s="2">
        <f t="shared" si="57"/>
        <v>493</v>
      </c>
      <c r="BP14" s="2">
        <f t="shared" si="57"/>
        <v>720</v>
      </c>
      <c r="BQ14" s="2">
        <f t="shared" si="57"/>
        <v>173</v>
      </c>
      <c r="BS14" s="2" t="str">
        <f t="shared" si="12"/>
        <v>T4高4</v>
      </c>
      <c r="BT14" s="2">
        <f t="shared" si="43"/>
        <v>1957</v>
      </c>
      <c r="BU14" s="2">
        <f t="shared" ref="BU14:BY27" si="58">ROUND(VLOOKUP($BS$2,$B$45:$J$52,MATCH(BU$3,$B$45:$J$45,0),FALSE)*$Z14,0)</f>
        <v>536</v>
      </c>
      <c r="BV14" s="2">
        <f t="shared" si="58"/>
        <v>571</v>
      </c>
      <c r="BW14" s="2">
        <f t="shared" si="58"/>
        <v>457</v>
      </c>
      <c r="BX14" s="2">
        <f t="shared" si="58"/>
        <v>840</v>
      </c>
      <c r="BY14" s="2">
        <f t="shared" si="58"/>
        <v>196</v>
      </c>
      <c r="CA14" s="2" t="str">
        <f t="shared" si="14"/>
        <v>T4高4</v>
      </c>
      <c r="CB14" s="2">
        <f t="shared" si="44"/>
        <v>1957</v>
      </c>
      <c r="CC14" s="2">
        <f t="shared" ref="CC14:CG27" si="59">ROUND(VLOOKUP($CA$2,$B$45:$J$52,MATCH(CC$3,$B$45:$J$45,0),FALSE)*$Z14,0)</f>
        <v>709</v>
      </c>
      <c r="CD14" s="2">
        <f t="shared" si="59"/>
        <v>629</v>
      </c>
      <c r="CE14" s="2">
        <f t="shared" si="59"/>
        <v>503</v>
      </c>
      <c r="CF14" s="2">
        <f t="shared" si="59"/>
        <v>840</v>
      </c>
      <c r="CG14" s="2">
        <f t="shared" si="59"/>
        <v>196</v>
      </c>
      <c r="CH14" s="25"/>
      <c r="CI14" s="2" t="str">
        <f t="shared" si="16"/>
        <v>T5中5</v>
      </c>
      <c r="CJ14" s="2" t="str">
        <f t="shared" si="17"/>
        <v>T5中7</v>
      </c>
      <c r="CK14" s="2">
        <f t="shared" si="18"/>
        <v>960</v>
      </c>
      <c r="CL14" s="2">
        <f t="shared" si="18"/>
        <v>96</v>
      </c>
      <c r="CM14" s="2">
        <f t="shared" si="18"/>
        <v>360</v>
      </c>
      <c r="CN14" s="2">
        <f t="shared" si="18"/>
        <v>252</v>
      </c>
      <c r="CO14" s="2">
        <f t="shared" si="18"/>
        <v>360</v>
      </c>
      <c r="CP14" s="2">
        <f t="shared" si="18"/>
        <v>96</v>
      </c>
      <c r="CR14" s="2" t="str">
        <f t="shared" si="19"/>
        <v>T5中5</v>
      </c>
      <c r="CS14" s="2" t="str">
        <f t="shared" si="20"/>
        <v>T5中7</v>
      </c>
      <c r="CT14" s="2">
        <f t="shared" si="21"/>
        <v>960</v>
      </c>
      <c r="CU14" s="2">
        <f t="shared" si="21"/>
        <v>51</v>
      </c>
      <c r="CV14" s="2">
        <f t="shared" si="21"/>
        <v>394</v>
      </c>
      <c r="CW14" s="2">
        <f t="shared" si="21"/>
        <v>276</v>
      </c>
      <c r="CX14" s="2">
        <f t="shared" si="21"/>
        <v>360</v>
      </c>
      <c r="CY14" s="2">
        <f t="shared" si="21"/>
        <v>96</v>
      </c>
      <c r="CZ14" s="25"/>
      <c r="DA14" s="2" t="str">
        <f t="shared" si="22"/>
        <v>T5中5</v>
      </c>
      <c r="DB14" s="2" t="str">
        <f t="shared" si="23"/>
        <v>T5中7</v>
      </c>
      <c r="DC14" s="2">
        <f t="shared" si="24"/>
        <v>960</v>
      </c>
      <c r="DD14" s="2">
        <f t="shared" si="24"/>
        <v>193</v>
      </c>
      <c r="DE14" s="2">
        <f t="shared" si="24"/>
        <v>428</v>
      </c>
      <c r="DF14" s="2">
        <f t="shared" si="24"/>
        <v>300</v>
      </c>
      <c r="DG14" s="2">
        <f t="shared" si="24"/>
        <v>360</v>
      </c>
      <c r="DH14" s="2">
        <f t="shared" si="24"/>
        <v>96</v>
      </c>
      <c r="DI14" s="25"/>
      <c r="DJ14" s="2" t="str">
        <f t="shared" si="25"/>
        <v>T5中5</v>
      </c>
      <c r="DK14" s="2" t="str">
        <f t="shared" si="26"/>
        <v>T5中7</v>
      </c>
      <c r="DL14" s="2">
        <f t="shared" si="27"/>
        <v>1036</v>
      </c>
      <c r="DM14" s="2">
        <f t="shared" si="27"/>
        <v>90</v>
      </c>
      <c r="DN14" s="2">
        <f t="shared" si="27"/>
        <v>342</v>
      </c>
      <c r="DO14" s="2">
        <f t="shared" si="27"/>
        <v>258</v>
      </c>
      <c r="DP14" s="2">
        <f t="shared" si="27"/>
        <v>432</v>
      </c>
      <c r="DQ14" s="2">
        <f t="shared" si="27"/>
        <v>104</v>
      </c>
      <c r="DS14" s="2" t="str">
        <f t="shared" si="28"/>
        <v>T5中5</v>
      </c>
      <c r="DT14" s="2" t="str">
        <f t="shared" si="29"/>
        <v>T5中7</v>
      </c>
      <c r="DU14" s="2">
        <f t="shared" si="30"/>
        <v>1036</v>
      </c>
      <c r="DV14" s="2">
        <f t="shared" si="30"/>
        <v>107</v>
      </c>
      <c r="DW14" s="2">
        <f t="shared" si="30"/>
        <v>394</v>
      </c>
      <c r="DX14" s="2">
        <f t="shared" si="30"/>
        <v>295</v>
      </c>
      <c r="DY14" s="2">
        <f t="shared" si="30"/>
        <v>432</v>
      </c>
      <c r="DZ14" s="2">
        <f t="shared" si="30"/>
        <v>104</v>
      </c>
      <c r="EB14" s="2" t="str">
        <f t="shared" si="31"/>
        <v>T5中5</v>
      </c>
      <c r="EC14" s="2" t="str">
        <f t="shared" si="32"/>
        <v>T5中7</v>
      </c>
      <c r="ED14" s="2">
        <f t="shared" si="33"/>
        <v>1174</v>
      </c>
      <c r="EE14" s="2">
        <f t="shared" si="33"/>
        <v>322</v>
      </c>
      <c r="EF14" s="2">
        <f t="shared" si="33"/>
        <v>342</v>
      </c>
      <c r="EG14" s="2">
        <f t="shared" si="33"/>
        <v>274</v>
      </c>
      <c r="EH14" s="2">
        <f t="shared" si="33"/>
        <v>504</v>
      </c>
      <c r="EI14" s="2">
        <f t="shared" si="33"/>
        <v>118</v>
      </c>
      <c r="EK14" s="2" t="str">
        <f t="shared" si="34"/>
        <v>T5中5</v>
      </c>
      <c r="EL14" s="2" t="str">
        <f t="shared" si="35"/>
        <v>T5中7</v>
      </c>
      <c r="EM14" s="2">
        <f t="shared" si="36"/>
        <v>1174</v>
      </c>
      <c r="EN14" s="2">
        <f t="shared" si="36"/>
        <v>425</v>
      </c>
      <c r="EO14" s="2">
        <f t="shared" si="36"/>
        <v>378</v>
      </c>
      <c r="EP14" s="2">
        <f t="shared" si="36"/>
        <v>301</v>
      </c>
      <c r="EQ14" s="2">
        <f t="shared" si="36"/>
        <v>504</v>
      </c>
      <c r="ER14" s="2">
        <f t="shared" si="36"/>
        <v>118</v>
      </c>
    </row>
    <row r="15" spans="2:148" x14ac:dyDescent="0.3">
      <c r="B15" s="2" t="s">
        <v>615</v>
      </c>
      <c r="C15" s="2" t="s">
        <v>184</v>
      </c>
      <c r="D15" s="2">
        <f>E5</f>
        <v>2</v>
      </c>
      <c r="E15" s="2">
        <f>F5</f>
        <v>4</v>
      </c>
      <c r="F15" s="2" t="str">
        <f t="shared" si="49"/>
        <v>T2中2</v>
      </c>
      <c r="G15" s="2" t="str">
        <f t="shared" si="50"/>
        <v>T2中4</v>
      </c>
      <c r="H15" s="33">
        <f>M5</f>
        <v>7</v>
      </c>
      <c r="I15" s="29">
        <f t="shared" si="51"/>
        <v>0.09</v>
      </c>
      <c r="J15" s="2">
        <v>1.22</v>
      </c>
      <c r="K15" s="2">
        <f t="shared" si="52"/>
        <v>1.7599999999999998</v>
      </c>
      <c r="L15" s="1">
        <v>1.2</v>
      </c>
      <c r="M15" s="1">
        <v>1.9</v>
      </c>
      <c r="N15" s="1">
        <f>J13+I15*(D13+1)</f>
        <v>1.18</v>
      </c>
      <c r="P15" s="2" t="str">
        <f t="shared" si="45"/>
        <v>T2中</v>
      </c>
      <c r="Q15" s="2" t="str">
        <f t="shared" si="46"/>
        <v>T2中2</v>
      </c>
      <c r="R15" s="2" t="str">
        <f t="shared" si="47"/>
        <v>T2中4</v>
      </c>
      <c r="S15" s="2">
        <f>M5</f>
        <v>7</v>
      </c>
      <c r="T15" s="2">
        <f t="shared" si="48"/>
        <v>4</v>
      </c>
      <c r="U15" s="2" t="s">
        <v>802</v>
      </c>
      <c r="Y15" s="2" t="s">
        <v>804</v>
      </c>
      <c r="Z15" s="34">
        <f t="shared" si="37"/>
        <v>2.17</v>
      </c>
      <c r="AA15" s="34">
        <v>2.12</v>
      </c>
      <c r="AB15" s="2"/>
      <c r="AE15" s="2" t="str">
        <f t="shared" si="2"/>
        <v>T3低5</v>
      </c>
      <c r="AF15" s="2">
        <f t="shared" si="38"/>
        <v>1696</v>
      </c>
      <c r="AG15" s="2">
        <f t="shared" si="53"/>
        <v>173</v>
      </c>
      <c r="AH15" s="2">
        <f t="shared" si="53"/>
        <v>651</v>
      </c>
      <c r="AI15" s="2">
        <f t="shared" si="53"/>
        <v>456</v>
      </c>
      <c r="AJ15" s="2">
        <f t="shared" si="53"/>
        <v>651</v>
      </c>
      <c r="AK15" s="2">
        <f t="shared" si="53"/>
        <v>174</v>
      </c>
      <c r="AM15" s="2" t="str">
        <f t="shared" si="4"/>
        <v>T3低5</v>
      </c>
      <c r="AN15" s="2">
        <f t="shared" si="39"/>
        <v>1696</v>
      </c>
      <c r="AO15" s="2">
        <f t="shared" si="54"/>
        <v>92</v>
      </c>
      <c r="AP15" s="2">
        <f t="shared" si="54"/>
        <v>713</v>
      </c>
      <c r="AQ15" s="2">
        <f t="shared" si="54"/>
        <v>499</v>
      </c>
      <c r="AR15" s="2">
        <f t="shared" si="54"/>
        <v>651</v>
      </c>
      <c r="AS15" s="2">
        <f t="shared" si="54"/>
        <v>174</v>
      </c>
      <c r="AT15" s="25"/>
      <c r="AU15" s="2" t="str">
        <f t="shared" si="6"/>
        <v>T3低5</v>
      </c>
      <c r="AV15" s="2">
        <f t="shared" si="40"/>
        <v>1696</v>
      </c>
      <c r="AW15" s="2">
        <f t="shared" si="55"/>
        <v>349</v>
      </c>
      <c r="AX15" s="2">
        <f t="shared" si="55"/>
        <v>775</v>
      </c>
      <c r="AY15" s="2">
        <f t="shared" si="55"/>
        <v>543</v>
      </c>
      <c r="AZ15" s="2">
        <f t="shared" si="55"/>
        <v>651</v>
      </c>
      <c r="BA15" s="2">
        <f t="shared" si="55"/>
        <v>174</v>
      </c>
      <c r="BB15" s="25"/>
      <c r="BC15" s="2" t="str">
        <f t="shared" si="8"/>
        <v>T3低5</v>
      </c>
      <c r="BD15" s="2">
        <f t="shared" si="41"/>
        <v>1831</v>
      </c>
      <c r="BE15" s="2">
        <f t="shared" si="56"/>
        <v>161</v>
      </c>
      <c r="BF15" s="2">
        <f t="shared" si="56"/>
        <v>620</v>
      </c>
      <c r="BG15" s="2">
        <f t="shared" si="56"/>
        <v>465</v>
      </c>
      <c r="BH15" s="2">
        <f t="shared" si="56"/>
        <v>781</v>
      </c>
      <c r="BI15" s="2">
        <f t="shared" si="56"/>
        <v>187</v>
      </c>
      <c r="BK15" s="2" t="str">
        <f t="shared" si="10"/>
        <v>T3低5</v>
      </c>
      <c r="BL15" s="2">
        <f t="shared" si="42"/>
        <v>1831</v>
      </c>
      <c r="BM15" s="2">
        <f t="shared" si="57"/>
        <v>193</v>
      </c>
      <c r="BN15" s="2">
        <f t="shared" si="57"/>
        <v>713</v>
      </c>
      <c r="BO15" s="2">
        <f t="shared" si="57"/>
        <v>535</v>
      </c>
      <c r="BP15" s="2">
        <f t="shared" si="57"/>
        <v>781</v>
      </c>
      <c r="BQ15" s="2">
        <f t="shared" si="57"/>
        <v>187</v>
      </c>
      <c r="BS15" s="2" t="str">
        <f t="shared" si="12"/>
        <v>T3低5</v>
      </c>
      <c r="BT15" s="2">
        <f t="shared" si="43"/>
        <v>2075</v>
      </c>
      <c r="BU15" s="2">
        <f t="shared" si="58"/>
        <v>582</v>
      </c>
      <c r="BV15" s="2">
        <f t="shared" si="58"/>
        <v>620</v>
      </c>
      <c r="BW15" s="2">
        <f t="shared" si="58"/>
        <v>496</v>
      </c>
      <c r="BX15" s="2">
        <f t="shared" si="58"/>
        <v>911</v>
      </c>
      <c r="BY15" s="2">
        <f t="shared" si="58"/>
        <v>212</v>
      </c>
      <c r="CA15" s="2" t="str">
        <f t="shared" si="14"/>
        <v>T3低5</v>
      </c>
      <c r="CB15" s="2">
        <f t="shared" si="44"/>
        <v>2075</v>
      </c>
      <c r="CC15" s="2">
        <f t="shared" si="59"/>
        <v>769</v>
      </c>
      <c r="CD15" s="2">
        <f t="shared" si="59"/>
        <v>682</v>
      </c>
      <c r="CE15" s="2">
        <f t="shared" si="59"/>
        <v>546</v>
      </c>
      <c r="CF15" s="2">
        <f t="shared" si="59"/>
        <v>911</v>
      </c>
      <c r="CG15" s="2">
        <f t="shared" si="59"/>
        <v>212</v>
      </c>
      <c r="CH15" s="25"/>
      <c r="CI15" s="2" t="str">
        <f t="shared" si="16"/>
        <v>T5高5</v>
      </c>
      <c r="CJ15" s="2" t="str">
        <f t="shared" si="17"/>
        <v>T5高7</v>
      </c>
      <c r="CK15" s="2">
        <f t="shared" si="18"/>
        <v>960</v>
      </c>
      <c r="CL15" s="2">
        <f t="shared" si="18"/>
        <v>101</v>
      </c>
      <c r="CM15" s="2">
        <f t="shared" si="18"/>
        <v>381</v>
      </c>
      <c r="CN15" s="2">
        <f t="shared" si="18"/>
        <v>267</v>
      </c>
      <c r="CO15" s="2">
        <f t="shared" si="18"/>
        <v>381</v>
      </c>
      <c r="CP15" s="2">
        <f t="shared" si="18"/>
        <v>101</v>
      </c>
      <c r="CR15" s="2" t="str">
        <f t="shared" si="19"/>
        <v>T5高5</v>
      </c>
      <c r="CS15" s="2" t="str">
        <f t="shared" si="20"/>
        <v>T5高7</v>
      </c>
      <c r="CT15" s="2">
        <f t="shared" si="21"/>
        <v>960</v>
      </c>
      <c r="CU15" s="2">
        <f t="shared" si="21"/>
        <v>54</v>
      </c>
      <c r="CV15" s="2">
        <f t="shared" si="21"/>
        <v>417</v>
      </c>
      <c r="CW15" s="2">
        <f t="shared" si="21"/>
        <v>292</v>
      </c>
      <c r="CX15" s="2">
        <f t="shared" si="21"/>
        <v>381</v>
      </c>
      <c r="CY15" s="2">
        <f t="shared" si="21"/>
        <v>101</v>
      </c>
      <c r="CZ15" s="25"/>
      <c r="DA15" s="2" t="str">
        <f t="shared" si="22"/>
        <v>T5高5</v>
      </c>
      <c r="DB15" s="2" t="str">
        <f t="shared" si="23"/>
        <v>T5高7</v>
      </c>
      <c r="DC15" s="2">
        <f t="shared" si="24"/>
        <v>960</v>
      </c>
      <c r="DD15" s="2">
        <f t="shared" si="24"/>
        <v>204</v>
      </c>
      <c r="DE15" s="2">
        <f t="shared" si="24"/>
        <v>453</v>
      </c>
      <c r="DF15" s="2">
        <f t="shared" si="24"/>
        <v>318</v>
      </c>
      <c r="DG15" s="2">
        <f t="shared" si="24"/>
        <v>381</v>
      </c>
      <c r="DH15" s="2">
        <f t="shared" si="24"/>
        <v>101</v>
      </c>
      <c r="DI15" s="25"/>
      <c r="DJ15" s="2" t="str">
        <f t="shared" si="25"/>
        <v>T5高5</v>
      </c>
      <c r="DK15" s="2" t="str">
        <f t="shared" si="26"/>
        <v>T5高7</v>
      </c>
      <c r="DL15" s="2">
        <f t="shared" si="27"/>
        <v>1036</v>
      </c>
      <c r="DM15" s="2">
        <f t="shared" si="27"/>
        <v>95</v>
      </c>
      <c r="DN15" s="2">
        <f t="shared" si="27"/>
        <v>362</v>
      </c>
      <c r="DO15" s="2">
        <f t="shared" si="27"/>
        <v>273</v>
      </c>
      <c r="DP15" s="2">
        <f t="shared" si="27"/>
        <v>457</v>
      </c>
      <c r="DQ15" s="2">
        <f t="shared" si="27"/>
        <v>110</v>
      </c>
      <c r="DS15" s="2" t="str">
        <f t="shared" si="28"/>
        <v>T5高5</v>
      </c>
      <c r="DT15" s="2" t="str">
        <f t="shared" si="29"/>
        <v>T5高7</v>
      </c>
      <c r="DU15" s="2">
        <f t="shared" si="30"/>
        <v>1036</v>
      </c>
      <c r="DV15" s="2">
        <f t="shared" si="30"/>
        <v>113</v>
      </c>
      <c r="DW15" s="2">
        <f t="shared" si="30"/>
        <v>417</v>
      </c>
      <c r="DX15" s="2">
        <f t="shared" si="30"/>
        <v>313</v>
      </c>
      <c r="DY15" s="2">
        <f t="shared" si="30"/>
        <v>457</v>
      </c>
      <c r="DZ15" s="2">
        <f t="shared" si="30"/>
        <v>110</v>
      </c>
      <c r="EB15" s="2" t="str">
        <f t="shared" si="31"/>
        <v>T5高5</v>
      </c>
      <c r="EC15" s="2" t="str">
        <f t="shared" si="32"/>
        <v>T5高7</v>
      </c>
      <c r="ED15" s="2">
        <f t="shared" si="33"/>
        <v>1174</v>
      </c>
      <c r="EE15" s="2">
        <f t="shared" si="33"/>
        <v>341</v>
      </c>
      <c r="EF15" s="2">
        <f t="shared" si="33"/>
        <v>362</v>
      </c>
      <c r="EG15" s="2">
        <f t="shared" si="33"/>
        <v>290</v>
      </c>
      <c r="EH15" s="2">
        <f t="shared" si="33"/>
        <v>534</v>
      </c>
      <c r="EI15" s="2">
        <f t="shared" si="33"/>
        <v>125</v>
      </c>
      <c r="EK15" s="2" t="str">
        <f t="shared" si="34"/>
        <v>T5高5</v>
      </c>
      <c r="EL15" s="2" t="str">
        <f t="shared" si="35"/>
        <v>T5高7</v>
      </c>
      <c r="EM15" s="2">
        <f t="shared" si="36"/>
        <v>1174</v>
      </c>
      <c r="EN15" s="2">
        <f t="shared" si="36"/>
        <v>450</v>
      </c>
      <c r="EO15" s="2">
        <f t="shared" si="36"/>
        <v>400</v>
      </c>
      <c r="EP15" s="2">
        <f t="shared" si="36"/>
        <v>319</v>
      </c>
      <c r="EQ15" s="2">
        <f t="shared" si="36"/>
        <v>534</v>
      </c>
      <c r="ER15" s="2">
        <f t="shared" si="36"/>
        <v>125</v>
      </c>
    </row>
    <row r="16" spans="2:148" x14ac:dyDescent="0.3">
      <c r="B16" s="2" t="s">
        <v>619</v>
      </c>
      <c r="C16" s="2" t="s">
        <v>182</v>
      </c>
      <c r="D16" s="2">
        <f>C6</f>
        <v>3</v>
      </c>
      <c r="E16" s="2">
        <f>D6</f>
        <v>5</v>
      </c>
      <c r="F16" s="2" t="str">
        <f t="shared" si="49"/>
        <v>T3低3</v>
      </c>
      <c r="G16" s="2" t="str">
        <f t="shared" si="50"/>
        <v>T3低5</v>
      </c>
      <c r="H16" s="33">
        <f>L6</f>
        <v>9</v>
      </c>
      <c r="I16" s="29">
        <f t="shared" si="51"/>
        <v>0.09</v>
      </c>
      <c r="J16" s="2">
        <v>1.48</v>
      </c>
      <c r="K16" s="2">
        <f t="shared" si="52"/>
        <v>2.17</v>
      </c>
      <c r="L16" s="1">
        <v>1.5</v>
      </c>
      <c r="M16" s="1">
        <v>2.2999999999999998</v>
      </c>
      <c r="N16" s="1">
        <f>J14+I16*(D14+1)</f>
        <v>1.47</v>
      </c>
      <c r="P16" s="2" t="str">
        <f t="shared" si="45"/>
        <v>T3低</v>
      </c>
      <c r="Q16" s="2" t="str">
        <f t="shared" si="46"/>
        <v>T3低3</v>
      </c>
      <c r="R16" s="2" t="str">
        <f t="shared" si="47"/>
        <v>T3低5</v>
      </c>
      <c r="S16" s="2">
        <f>L6</f>
        <v>9</v>
      </c>
      <c r="T16" s="2">
        <f t="shared" si="48"/>
        <v>5</v>
      </c>
      <c r="U16" s="2" t="s">
        <v>805</v>
      </c>
      <c r="Y16" s="2" t="s">
        <v>806</v>
      </c>
      <c r="Z16" s="34">
        <f t="shared" si="37"/>
        <v>1.7599999999999998</v>
      </c>
      <c r="AA16" s="34">
        <v>1.76</v>
      </c>
      <c r="AB16" s="2"/>
      <c r="AE16" s="2" t="str">
        <f t="shared" si="2"/>
        <v>T2中4</v>
      </c>
      <c r="AF16" s="2">
        <f t="shared" si="38"/>
        <v>1408</v>
      </c>
      <c r="AG16" s="2">
        <f t="shared" si="53"/>
        <v>140</v>
      </c>
      <c r="AH16" s="2">
        <f t="shared" si="53"/>
        <v>528</v>
      </c>
      <c r="AI16" s="2">
        <f t="shared" si="53"/>
        <v>370</v>
      </c>
      <c r="AJ16" s="2">
        <f t="shared" si="53"/>
        <v>528</v>
      </c>
      <c r="AK16" s="2">
        <f t="shared" si="53"/>
        <v>141</v>
      </c>
      <c r="AM16" s="2" t="str">
        <f t="shared" si="4"/>
        <v>T2中4</v>
      </c>
      <c r="AN16" s="2">
        <f t="shared" si="39"/>
        <v>1408</v>
      </c>
      <c r="AO16" s="2">
        <f t="shared" si="54"/>
        <v>75</v>
      </c>
      <c r="AP16" s="2">
        <f t="shared" si="54"/>
        <v>578</v>
      </c>
      <c r="AQ16" s="2">
        <f t="shared" si="54"/>
        <v>405</v>
      </c>
      <c r="AR16" s="2">
        <f t="shared" si="54"/>
        <v>528</v>
      </c>
      <c r="AS16" s="2">
        <f t="shared" si="54"/>
        <v>141</v>
      </c>
      <c r="AT16" s="25"/>
      <c r="AU16" s="2" t="str">
        <f t="shared" si="6"/>
        <v>T2中4</v>
      </c>
      <c r="AV16" s="2">
        <f t="shared" si="40"/>
        <v>1408</v>
      </c>
      <c r="AW16" s="2">
        <f t="shared" si="55"/>
        <v>283</v>
      </c>
      <c r="AX16" s="2">
        <f t="shared" si="55"/>
        <v>629</v>
      </c>
      <c r="AY16" s="2">
        <f t="shared" si="55"/>
        <v>440</v>
      </c>
      <c r="AZ16" s="2">
        <f t="shared" si="55"/>
        <v>528</v>
      </c>
      <c r="BA16" s="2">
        <f t="shared" si="55"/>
        <v>141</v>
      </c>
      <c r="BB16" s="25"/>
      <c r="BC16" s="2" t="str">
        <f t="shared" si="8"/>
        <v>T2中4</v>
      </c>
      <c r="BD16" s="2">
        <f t="shared" si="41"/>
        <v>1520</v>
      </c>
      <c r="BE16" s="2">
        <f t="shared" si="56"/>
        <v>131</v>
      </c>
      <c r="BF16" s="2">
        <f t="shared" si="56"/>
        <v>503</v>
      </c>
      <c r="BG16" s="2">
        <f t="shared" si="56"/>
        <v>377</v>
      </c>
      <c r="BH16" s="2">
        <f t="shared" si="56"/>
        <v>634</v>
      </c>
      <c r="BI16" s="2">
        <f t="shared" si="56"/>
        <v>152</v>
      </c>
      <c r="BK16" s="2" t="str">
        <f t="shared" si="10"/>
        <v>T2中4</v>
      </c>
      <c r="BL16" s="2">
        <f t="shared" si="42"/>
        <v>1520</v>
      </c>
      <c r="BM16" s="2">
        <f t="shared" si="57"/>
        <v>157</v>
      </c>
      <c r="BN16" s="2">
        <f t="shared" si="57"/>
        <v>578</v>
      </c>
      <c r="BO16" s="2">
        <f t="shared" si="57"/>
        <v>434</v>
      </c>
      <c r="BP16" s="2">
        <f t="shared" si="57"/>
        <v>634</v>
      </c>
      <c r="BQ16" s="2">
        <f t="shared" si="57"/>
        <v>152</v>
      </c>
      <c r="BS16" s="2" t="str">
        <f t="shared" si="12"/>
        <v>T2中4</v>
      </c>
      <c r="BT16" s="2">
        <f t="shared" si="43"/>
        <v>1722</v>
      </c>
      <c r="BU16" s="2">
        <f t="shared" si="58"/>
        <v>472</v>
      </c>
      <c r="BV16" s="2">
        <f t="shared" si="58"/>
        <v>503</v>
      </c>
      <c r="BW16" s="2">
        <f t="shared" si="58"/>
        <v>402</v>
      </c>
      <c r="BX16" s="2">
        <f t="shared" si="58"/>
        <v>739</v>
      </c>
      <c r="BY16" s="2">
        <f t="shared" si="58"/>
        <v>172</v>
      </c>
      <c r="CA16" s="2" t="str">
        <f t="shared" si="14"/>
        <v>T2中4</v>
      </c>
      <c r="CB16" s="2">
        <f t="shared" si="44"/>
        <v>1722</v>
      </c>
      <c r="CC16" s="2">
        <f t="shared" si="59"/>
        <v>624</v>
      </c>
      <c r="CD16" s="2">
        <f t="shared" si="59"/>
        <v>553</v>
      </c>
      <c r="CE16" s="2">
        <f t="shared" si="59"/>
        <v>443</v>
      </c>
      <c r="CF16" s="2">
        <f t="shared" si="59"/>
        <v>739</v>
      </c>
      <c r="CG16" s="2">
        <f t="shared" si="59"/>
        <v>172</v>
      </c>
      <c r="CH16" s="25"/>
    </row>
    <row r="17" spans="2:86" x14ac:dyDescent="0.3">
      <c r="B17" s="2" t="s">
        <v>619</v>
      </c>
      <c r="C17" s="2" t="s">
        <v>184</v>
      </c>
      <c r="D17" s="2">
        <f>E6</f>
        <v>3</v>
      </c>
      <c r="E17" s="2">
        <f>F6</f>
        <v>5</v>
      </c>
      <c r="F17" s="2" t="str">
        <f t="shared" si="49"/>
        <v>T3中3</v>
      </c>
      <c r="G17" s="2" t="str">
        <f t="shared" si="50"/>
        <v>T3中5</v>
      </c>
      <c r="H17" s="33">
        <f>M6</f>
        <v>9</v>
      </c>
      <c r="I17" s="29">
        <f t="shared" si="51"/>
        <v>0.1</v>
      </c>
      <c r="J17" s="2">
        <v>1.54</v>
      </c>
      <c r="K17" s="2">
        <f t="shared" si="52"/>
        <v>2.2800000000000002</v>
      </c>
      <c r="L17" s="1">
        <v>1.5449999999999999</v>
      </c>
      <c r="M17" s="1">
        <v>2.46</v>
      </c>
      <c r="N17" s="1">
        <f>J14+I17*(D14+1)</f>
        <v>1.5</v>
      </c>
      <c r="P17" s="2" t="str">
        <f t="shared" si="45"/>
        <v>T3中</v>
      </c>
      <c r="Q17" s="2" t="str">
        <f t="shared" si="46"/>
        <v>T3中3</v>
      </c>
      <c r="R17" s="2" t="str">
        <f t="shared" si="47"/>
        <v>T3中5</v>
      </c>
      <c r="S17" s="2">
        <f>M6</f>
        <v>9</v>
      </c>
      <c r="T17" s="2">
        <f t="shared" si="48"/>
        <v>5</v>
      </c>
      <c r="U17" s="2" t="s">
        <v>805</v>
      </c>
      <c r="Y17" s="2" t="s">
        <v>807</v>
      </c>
      <c r="Z17" s="34">
        <f t="shared" si="37"/>
        <v>2.52</v>
      </c>
      <c r="AA17" s="34">
        <v>2.52</v>
      </c>
      <c r="AB17" s="2"/>
      <c r="AE17" s="2" t="str">
        <f t="shared" si="2"/>
        <v>T5低5</v>
      </c>
      <c r="AF17" s="2">
        <f t="shared" si="38"/>
        <v>2016</v>
      </c>
      <c r="AG17" s="2">
        <f t="shared" si="53"/>
        <v>201</v>
      </c>
      <c r="AH17" s="2">
        <f t="shared" si="53"/>
        <v>756</v>
      </c>
      <c r="AI17" s="2">
        <f t="shared" si="53"/>
        <v>529</v>
      </c>
      <c r="AJ17" s="2">
        <f t="shared" si="53"/>
        <v>756</v>
      </c>
      <c r="AK17" s="2">
        <f t="shared" si="53"/>
        <v>202</v>
      </c>
      <c r="AM17" s="2" t="str">
        <f t="shared" si="4"/>
        <v>T5低5</v>
      </c>
      <c r="AN17" s="2">
        <f t="shared" si="39"/>
        <v>2016</v>
      </c>
      <c r="AO17" s="2">
        <f t="shared" si="54"/>
        <v>107</v>
      </c>
      <c r="AP17" s="2">
        <f t="shared" si="54"/>
        <v>828</v>
      </c>
      <c r="AQ17" s="2">
        <f t="shared" si="54"/>
        <v>580</v>
      </c>
      <c r="AR17" s="2">
        <f t="shared" si="54"/>
        <v>756</v>
      </c>
      <c r="AS17" s="2">
        <f t="shared" si="54"/>
        <v>202</v>
      </c>
      <c r="AT17" s="25"/>
      <c r="AU17" s="2" t="str">
        <f t="shared" si="6"/>
        <v>T5低5</v>
      </c>
      <c r="AV17" s="2">
        <f t="shared" si="40"/>
        <v>2016</v>
      </c>
      <c r="AW17" s="2">
        <f t="shared" si="55"/>
        <v>406</v>
      </c>
      <c r="AX17" s="2">
        <f t="shared" si="55"/>
        <v>900</v>
      </c>
      <c r="AY17" s="2">
        <f t="shared" si="55"/>
        <v>630</v>
      </c>
      <c r="AZ17" s="2">
        <f t="shared" si="55"/>
        <v>756</v>
      </c>
      <c r="BA17" s="2">
        <f t="shared" si="55"/>
        <v>202</v>
      </c>
      <c r="BB17" s="25"/>
      <c r="BC17" s="2" t="str">
        <f t="shared" si="8"/>
        <v>T5低5</v>
      </c>
      <c r="BD17" s="2">
        <f t="shared" si="41"/>
        <v>2176</v>
      </c>
      <c r="BE17" s="2">
        <f t="shared" si="56"/>
        <v>187</v>
      </c>
      <c r="BF17" s="2">
        <f t="shared" si="56"/>
        <v>720</v>
      </c>
      <c r="BG17" s="2">
        <f t="shared" si="56"/>
        <v>540</v>
      </c>
      <c r="BH17" s="2">
        <f t="shared" si="56"/>
        <v>907</v>
      </c>
      <c r="BI17" s="2">
        <f t="shared" si="56"/>
        <v>218</v>
      </c>
      <c r="BK17" s="2" t="str">
        <f t="shared" si="10"/>
        <v>T5低5</v>
      </c>
      <c r="BL17" s="2">
        <f t="shared" si="42"/>
        <v>2176</v>
      </c>
      <c r="BM17" s="2">
        <f t="shared" si="57"/>
        <v>224</v>
      </c>
      <c r="BN17" s="2">
        <f t="shared" si="57"/>
        <v>828</v>
      </c>
      <c r="BO17" s="2">
        <f t="shared" si="57"/>
        <v>621</v>
      </c>
      <c r="BP17" s="2">
        <f t="shared" si="57"/>
        <v>907</v>
      </c>
      <c r="BQ17" s="2">
        <f t="shared" si="57"/>
        <v>218</v>
      </c>
      <c r="BS17" s="2" t="str">
        <f t="shared" si="12"/>
        <v>T5低5</v>
      </c>
      <c r="BT17" s="2">
        <f t="shared" si="43"/>
        <v>2466</v>
      </c>
      <c r="BU17" s="2">
        <f t="shared" si="58"/>
        <v>676</v>
      </c>
      <c r="BV17" s="2">
        <f t="shared" si="58"/>
        <v>720</v>
      </c>
      <c r="BW17" s="2">
        <f t="shared" si="58"/>
        <v>576</v>
      </c>
      <c r="BX17" s="2">
        <f t="shared" si="58"/>
        <v>1058</v>
      </c>
      <c r="BY17" s="2">
        <f t="shared" si="58"/>
        <v>247</v>
      </c>
      <c r="CA17" s="2" t="str">
        <f t="shared" si="14"/>
        <v>T5低5</v>
      </c>
      <c r="CB17" s="2">
        <f t="shared" si="44"/>
        <v>2466</v>
      </c>
      <c r="CC17" s="2">
        <f t="shared" si="59"/>
        <v>893</v>
      </c>
      <c r="CD17" s="2">
        <f t="shared" si="59"/>
        <v>792</v>
      </c>
      <c r="CE17" s="2">
        <f t="shared" si="59"/>
        <v>634</v>
      </c>
      <c r="CF17" s="2">
        <f t="shared" si="59"/>
        <v>1058</v>
      </c>
      <c r="CG17" s="2">
        <f t="shared" si="59"/>
        <v>247</v>
      </c>
      <c r="CH17" s="25"/>
    </row>
    <row r="18" spans="2:86" x14ac:dyDescent="0.3">
      <c r="B18" s="2" t="s">
        <v>619</v>
      </c>
      <c r="C18" s="2" t="s">
        <v>183</v>
      </c>
      <c r="D18" s="2">
        <f>G6</f>
        <v>3</v>
      </c>
      <c r="E18" s="2">
        <f>H6</f>
        <v>5</v>
      </c>
      <c r="F18" s="2" t="str">
        <f t="shared" si="49"/>
        <v>T3高3</v>
      </c>
      <c r="G18" s="2" t="str">
        <f t="shared" si="50"/>
        <v>T3高5</v>
      </c>
      <c r="H18" s="33">
        <f>N6</f>
        <v>9</v>
      </c>
      <c r="I18" s="29">
        <f t="shared" si="51"/>
        <v>0.11</v>
      </c>
      <c r="J18" s="2">
        <v>1.54</v>
      </c>
      <c r="K18" s="2">
        <f t="shared" si="52"/>
        <v>2.33</v>
      </c>
      <c r="L18" s="1">
        <v>1.62</v>
      </c>
      <c r="M18" s="1">
        <v>2.46</v>
      </c>
      <c r="N18" s="1">
        <f>J14+I18*(D14+1)</f>
        <v>1.53</v>
      </c>
      <c r="P18" s="2" t="str">
        <f t="shared" si="45"/>
        <v>T3高</v>
      </c>
      <c r="Q18" s="2" t="str">
        <f t="shared" si="46"/>
        <v>T3高3</v>
      </c>
      <c r="R18" s="2" t="str">
        <f t="shared" si="47"/>
        <v>T3高5</v>
      </c>
      <c r="S18" s="2">
        <f>N6</f>
        <v>9</v>
      </c>
      <c r="T18" s="2">
        <f t="shared" si="48"/>
        <v>5</v>
      </c>
      <c r="U18" s="2" t="s">
        <v>805</v>
      </c>
      <c r="Y18" s="2" t="s">
        <v>808</v>
      </c>
      <c r="Z18" s="34">
        <f t="shared" si="37"/>
        <v>2.62</v>
      </c>
      <c r="AA18" s="34">
        <v>2.62</v>
      </c>
      <c r="AB18" s="2"/>
      <c r="AE18" s="2" t="str">
        <f t="shared" si="2"/>
        <v>T5中5</v>
      </c>
      <c r="AF18" s="2">
        <f t="shared" si="38"/>
        <v>2096</v>
      </c>
      <c r="AG18" s="2">
        <f t="shared" si="53"/>
        <v>209</v>
      </c>
      <c r="AH18" s="2">
        <f t="shared" si="53"/>
        <v>786</v>
      </c>
      <c r="AI18" s="2">
        <f t="shared" si="53"/>
        <v>550</v>
      </c>
      <c r="AJ18" s="2">
        <f t="shared" si="53"/>
        <v>786</v>
      </c>
      <c r="AK18" s="2">
        <f t="shared" si="53"/>
        <v>210</v>
      </c>
      <c r="AM18" s="2" t="str">
        <f t="shared" si="4"/>
        <v>T5中5</v>
      </c>
      <c r="AN18" s="2">
        <f t="shared" si="39"/>
        <v>2096</v>
      </c>
      <c r="AO18" s="2">
        <f t="shared" si="54"/>
        <v>111</v>
      </c>
      <c r="AP18" s="2">
        <f t="shared" si="54"/>
        <v>861</v>
      </c>
      <c r="AQ18" s="2">
        <f t="shared" si="54"/>
        <v>603</v>
      </c>
      <c r="AR18" s="2">
        <f t="shared" si="54"/>
        <v>786</v>
      </c>
      <c r="AS18" s="2">
        <f t="shared" si="54"/>
        <v>210</v>
      </c>
      <c r="AT18" s="25"/>
      <c r="AU18" s="2" t="str">
        <f t="shared" si="6"/>
        <v>T5中5</v>
      </c>
      <c r="AV18" s="2">
        <f t="shared" si="40"/>
        <v>2096</v>
      </c>
      <c r="AW18" s="2">
        <f t="shared" si="55"/>
        <v>422</v>
      </c>
      <c r="AX18" s="2">
        <f t="shared" si="55"/>
        <v>936</v>
      </c>
      <c r="AY18" s="2">
        <f t="shared" si="55"/>
        <v>655</v>
      </c>
      <c r="AZ18" s="2">
        <f t="shared" si="55"/>
        <v>786</v>
      </c>
      <c r="BA18" s="2">
        <f t="shared" si="55"/>
        <v>210</v>
      </c>
      <c r="BB18" s="25"/>
      <c r="BC18" s="2" t="str">
        <f t="shared" si="8"/>
        <v>T5中5</v>
      </c>
      <c r="BD18" s="2">
        <f t="shared" si="41"/>
        <v>2262</v>
      </c>
      <c r="BE18" s="2">
        <f t="shared" si="56"/>
        <v>194</v>
      </c>
      <c r="BF18" s="2">
        <f t="shared" si="56"/>
        <v>749</v>
      </c>
      <c r="BG18" s="2">
        <f t="shared" si="56"/>
        <v>561</v>
      </c>
      <c r="BH18" s="2">
        <f t="shared" si="56"/>
        <v>943</v>
      </c>
      <c r="BI18" s="2">
        <f t="shared" si="56"/>
        <v>226</v>
      </c>
      <c r="BK18" s="2" t="str">
        <f t="shared" si="10"/>
        <v>T5中5</v>
      </c>
      <c r="BL18" s="2">
        <f t="shared" si="42"/>
        <v>2262</v>
      </c>
      <c r="BM18" s="2">
        <f t="shared" si="57"/>
        <v>233</v>
      </c>
      <c r="BN18" s="2">
        <f t="shared" si="57"/>
        <v>861</v>
      </c>
      <c r="BO18" s="2">
        <f t="shared" si="57"/>
        <v>646</v>
      </c>
      <c r="BP18" s="2">
        <f t="shared" si="57"/>
        <v>943</v>
      </c>
      <c r="BQ18" s="2">
        <f t="shared" si="57"/>
        <v>226</v>
      </c>
      <c r="BS18" s="2" t="str">
        <f t="shared" si="12"/>
        <v>T5中5</v>
      </c>
      <c r="BT18" s="2">
        <f t="shared" si="43"/>
        <v>2564</v>
      </c>
      <c r="BU18" s="2">
        <f t="shared" si="58"/>
        <v>702</v>
      </c>
      <c r="BV18" s="2">
        <f t="shared" si="58"/>
        <v>749</v>
      </c>
      <c r="BW18" s="2">
        <f t="shared" si="58"/>
        <v>599</v>
      </c>
      <c r="BX18" s="2">
        <f t="shared" si="58"/>
        <v>1100</v>
      </c>
      <c r="BY18" s="2">
        <f t="shared" si="58"/>
        <v>256</v>
      </c>
      <c r="CA18" s="2" t="str">
        <f t="shared" si="14"/>
        <v>T5中5</v>
      </c>
      <c r="CB18" s="2">
        <f t="shared" si="44"/>
        <v>2564</v>
      </c>
      <c r="CC18" s="2">
        <f t="shared" si="59"/>
        <v>928</v>
      </c>
      <c r="CD18" s="2">
        <f t="shared" si="59"/>
        <v>823</v>
      </c>
      <c r="CE18" s="2">
        <f t="shared" si="59"/>
        <v>659</v>
      </c>
      <c r="CF18" s="2">
        <f t="shared" si="59"/>
        <v>1100</v>
      </c>
      <c r="CG18" s="2">
        <f t="shared" si="59"/>
        <v>256</v>
      </c>
      <c r="CH18" s="25"/>
    </row>
    <row r="19" spans="2:86" x14ac:dyDescent="0.3">
      <c r="B19" s="2" t="s">
        <v>626</v>
      </c>
      <c r="C19" s="2" t="s">
        <v>182</v>
      </c>
      <c r="D19" s="2">
        <f>C7</f>
        <v>4</v>
      </c>
      <c r="E19" s="2">
        <f>D7</f>
        <v>6</v>
      </c>
      <c r="F19" s="2" t="str">
        <f t="shared" si="49"/>
        <v>T4低4</v>
      </c>
      <c r="G19" s="2" t="str">
        <f t="shared" si="50"/>
        <v>T4低6</v>
      </c>
      <c r="H19" s="33">
        <f>L7</f>
        <v>11</v>
      </c>
      <c r="I19" s="29">
        <f t="shared" si="51"/>
        <v>0.1</v>
      </c>
      <c r="J19" s="2">
        <v>1.92</v>
      </c>
      <c r="K19" s="2">
        <f t="shared" si="52"/>
        <v>2.82</v>
      </c>
      <c r="L19" s="1">
        <v>1.9</v>
      </c>
      <c r="M19" s="1">
        <v>2.98</v>
      </c>
      <c r="N19" s="1">
        <f>J16+I19*(D16+1)</f>
        <v>1.88</v>
      </c>
      <c r="P19" s="2" t="str">
        <f t="shared" si="45"/>
        <v>T4低</v>
      </c>
      <c r="Q19" s="2" t="str">
        <f t="shared" si="46"/>
        <v>T4低4</v>
      </c>
      <c r="R19" s="2" t="str">
        <f t="shared" si="47"/>
        <v>T4低6</v>
      </c>
      <c r="S19" s="2">
        <f>L7</f>
        <v>11</v>
      </c>
      <c r="T19" s="2">
        <f t="shared" si="48"/>
        <v>6</v>
      </c>
      <c r="U19" s="2" t="s">
        <v>809</v>
      </c>
      <c r="Y19" s="2" t="s">
        <v>810</v>
      </c>
      <c r="Z19" s="34">
        <f t="shared" si="37"/>
        <v>2.62</v>
      </c>
      <c r="AA19" s="34">
        <v>2.62</v>
      </c>
      <c r="AB19" s="2"/>
      <c r="AE19" s="2" t="str">
        <f t="shared" si="2"/>
        <v>T5高5</v>
      </c>
      <c r="AF19" s="2">
        <f t="shared" si="38"/>
        <v>2096</v>
      </c>
      <c r="AG19" s="2">
        <f t="shared" si="53"/>
        <v>209</v>
      </c>
      <c r="AH19" s="2">
        <f t="shared" si="53"/>
        <v>786</v>
      </c>
      <c r="AI19" s="2">
        <f t="shared" si="53"/>
        <v>550</v>
      </c>
      <c r="AJ19" s="2">
        <f t="shared" si="53"/>
        <v>786</v>
      </c>
      <c r="AK19" s="2">
        <f t="shared" si="53"/>
        <v>210</v>
      </c>
      <c r="AM19" s="2" t="str">
        <f t="shared" si="4"/>
        <v>T5高5</v>
      </c>
      <c r="AN19" s="2">
        <f t="shared" si="39"/>
        <v>2096</v>
      </c>
      <c r="AO19" s="2">
        <f t="shared" si="54"/>
        <v>111</v>
      </c>
      <c r="AP19" s="2">
        <f t="shared" si="54"/>
        <v>861</v>
      </c>
      <c r="AQ19" s="2">
        <f t="shared" si="54"/>
        <v>603</v>
      </c>
      <c r="AR19" s="2">
        <f t="shared" si="54"/>
        <v>786</v>
      </c>
      <c r="AS19" s="2">
        <f t="shared" si="54"/>
        <v>210</v>
      </c>
      <c r="AT19" s="25"/>
      <c r="AU19" s="2" t="str">
        <f t="shared" si="6"/>
        <v>T5高5</v>
      </c>
      <c r="AV19" s="2">
        <f t="shared" si="40"/>
        <v>2096</v>
      </c>
      <c r="AW19" s="2">
        <f t="shared" si="55"/>
        <v>422</v>
      </c>
      <c r="AX19" s="2">
        <f t="shared" si="55"/>
        <v>936</v>
      </c>
      <c r="AY19" s="2">
        <f t="shared" si="55"/>
        <v>655</v>
      </c>
      <c r="AZ19" s="2">
        <f t="shared" si="55"/>
        <v>786</v>
      </c>
      <c r="BA19" s="2">
        <f t="shared" si="55"/>
        <v>210</v>
      </c>
      <c r="BB19" s="25"/>
      <c r="BC19" s="2" t="str">
        <f t="shared" si="8"/>
        <v>T5高5</v>
      </c>
      <c r="BD19" s="2">
        <f t="shared" si="41"/>
        <v>2262</v>
      </c>
      <c r="BE19" s="2">
        <f t="shared" si="56"/>
        <v>194</v>
      </c>
      <c r="BF19" s="2">
        <f t="shared" si="56"/>
        <v>749</v>
      </c>
      <c r="BG19" s="2">
        <f t="shared" si="56"/>
        <v>561</v>
      </c>
      <c r="BH19" s="2">
        <f t="shared" si="56"/>
        <v>943</v>
      </c>
      <c r="BI19" s="2">
        <f t="shared" si="56"/>
        <v>226</v>
      </c>
      <c r="BK19" s="2" t="str">
        <f t="shared" si="10"/>
        <v>T5高5</v>
      </c>
      <c r="BL19" s="2">
        <f t="shared" si="42"/>
        <v>2262</v>
      </c>
      <c r="BM19" s="2">
        <f t="shared" si="57"/>
        <v>233</v>
      </c>
      <c r="BN19" s="2">
        <f t="shared" si="57"/>
        <v>861</v>
      </c>
      <c r="BO19" s="2">
        <f t="shared" si="57"/>
        <v>646</v>
      </c>
      <c r="BP19" s="2">
        <f t="shared" si="57"/>
        <v>943</v>
      </c>
      <c r="BQ19" s="2">
        <f t="shared" si="57"/>
        <v>226</v>
      </c>
      <c r="BS19" s="2" t="str">
        <f t="shared" si="12"/>
        <v>T5高5</v>
      </c>
      <c r="BT19" s="2">
        <f t="shared" si="43"/>
        <v>2564</v>
      </c>
      <c r="BU19" s="2">
        <f t="shared" si="58"/>
        <v>702</v>
      </c>
      <c r="BV19" s="2">
        <f t="shared" si="58"/>
        <v>749</v>
      </c>
      <c r="BW19" s="2">
        <f t="shared" si="58"/>
        <v>599</v>
      </c>
      <c r="BX19" s="2">
        <f t="shared" si="58"/>
        <v>1100</v>
      </c>
      <c r="BY19" s="2">
        <f t="shared" si="58"/>
        <v>256</v>
      </c>
      <c r="CA19" s="2" t="str">
        <f t="shared" si="14"/>
        <v>T5高5</v>
      </c>
      <c r="CB19" s="2">
        <f t="shared" si="44"/>
        <v>2564</v>
      </c>
      <c r="CC19" s="2">
        <f t="shared" si="59"/>
        <v>928</v>
      </c>
      <c r="CD19" s="2">
        <f t="shared" si="59"/>
        <v>823</v>
      </c>
      <c r="CE19" s="2">
        <f t="shared" si="59"/>
        <v>659</v>
      </c>
      <c r="CF19" s="2">
        <f t="shared" si="59"/>
        <v>1100</v>
      </c>
      <c r="CG19" s="2">
        <f t="shared" si="59"/>
        <v>256</v>
      </c>
      <c r="CH19" s="25"/>
    </row>
    <row r="20" spans="2:86" x14ac:dyDescent="0.3">
      <c r="B20" s="2" t="s">
        <v>626</v>
      </c>
      <c r="C20" s="2" t="s">
        <v>184</v>
      </c>
      <c r="D20" s="2">
        <f>E7</f>
        <v>4</v>
      </c>
      <c r="E20" s="2">
        <f>F7</f>
        <v>6</v>
      </c>
      <c r="F20" s="2" t="str">
        <f t="shared" si="49"/>
        <v>T4中4</v>
      </c>
      <c r="G20" s="2" t="str">
        <f t="shared" si="50"/>
        <v>T4中6</v>
      </c>
      <c r="H20" s="33">
        <f>M7</f>
        <v>11</v>
      </c>
      <c r="I20" s="29">
        <f t="shared" si="51"/>
        <v>0.11</v>
      </c>
      <c r="J20" s="2">
        <v>2</v>
      </c>
      <c r="K20" s="2">
        <f t="shared" si="52"/>
        <v>2.96</v>
      </c>
      <c r="L20" s="1">
        <v>1.96</v>
      </c>
      <c r="M20" s="1">
        <v>3.18</v>
      </c>
      <c r="N20" s="1">
        <f>J16+I20*(D16+1)</f>
        <v>1.92</v>
      </c>
      <c r="P20" s="2" t="str">
        <f t="shared" si="45"/>
        <v>T4中</v>
      </c>
      <c r="Q20" s="2" t="str">
        <f t="shared" si="46"/>
        <v>T4中4</v>
      </c>
      <c r="R20" s="2" t="str">
        <f t="shared" si="47"/>
        <v>T4中6</v>
      </c>
      <c r="S20" s="2">
        <f>M7</f>
        <v>11</v>
      </c>
      <c r="T20" s="2">
        <f t="shared" si="48"/>
        <v>6</v>
      </c>
      <c r="U20" s="2" t="s">
        <v>809</v>
      </c>
      <c r="Y20" s="2" t="s">
        <v>811</v>
      </c>
      <c r="Z20" s="34">
        <f t="shared" si="37"/>
        <v>2.82</v>
      </c>
      <c r="AA20" s="34">
        <v>2.76</v>
      </c>
      <c r="AB20" s="2"/>
      <c r="AE20" s="2" t="str">
        <f t="shared" si="2"/>
        <v>T4低6</v>
      </c>
      <c r="AF20" s="2">
        <f t="shared" si="38"/>
        <v>2208</v>
      </c>
      <c r="AG20" s="2">
        <f t="shared" si="53"/>
        <v>225</v>
      </c>
      <c r="AH20" s="2">
        <f t="shared" si="53"/>
        <v>846</v>
      </c>
      <c r="AI20" s="2">
        <f t="shared" si="53"/>
        <v>592</v>
      </c>
      <c r="AJ20" s="2">
        <f t="shared" si="53"/>
        <v>846</v>
      </c>
      <c r="AK20" s="2">
        <f t="shared" si="53"/>
        <v>226</v>
      </c>
      <c r="AM20" s="2" t="str">
        <f t="shared" si="4"/>
        <v>T4低6</v>
      </c>
      <c r="AN20" s="2">
        <f t="shared" si="39"/>
        <v>2208</v>
      </c>
      <c r="AO20" s="2">
        <f t="shared" si="54"/>
        <v>120</v>
      </c>
      <c r="AP20" s="2">
        <f t="shared" si="54"/>
        <v>927</v>
      </c>
      <c r="AQ20" s="2">
        <f t="shared" si="54"/>
        <v>649</v>
      </c>
      <c r="AR20" s="2">
        <f t="shared" si="54"/>
        <v>846</v>
      </c>
      <c r="AS20" s="2">
        <f t="shared" si="54"/>
        <v>226</v>
      </c>
      <c r="AT20" s="25"/>
      <c r="AU20" s="2" t="str">
        <f t="shared" si="6"/>
        <v>T4低6</v>
      </c>
      <c r="AV20" s="2">
        <f t="shared" si="40"/>
        <v>2208</v>
      </c>
      <c r="AW20" s="2">
        <f t="shared" si="55"/>
        <v>454</v>
      </c>
      <c r="AX20" s="2">
        <f t="shared" si="55"/>
        <v>1007</v>
      </c>
      <c r="AY20" s="2">
        <f t="shared" si="55"/>
        <v>705</v>
      </c>
      <c r="AZ20" s="2">
        <f t="shared" si="55"/>
        <v>846</v>
      </c>
      <c r="BA20" s="2">
        <f t="shared" si="55"/>
        <v>226</v>
      </c>
      <c r="BB20" s="25"/>
      <c r="BC20" s="2" t="str">
        <f t="shared" si="8"/>
        <v>T4低6</v>
      </c>
      <c r="BD20" s="2">
        <f t="shared" si="41"/>
        <v>2383</v>
      </c>
      <c r="BE20" s="2">
        <f t="shared" si="56"/>
        <v>209</v>
      </c>
      <c r="BF20" s="2">
        <f t="shared" si="56"/>
        <v>806</v>
      </c>
      <c r="BG20" s="2">
        <f t="shared" si="56"/>
        <v>604</v>
      </c>
      <c r="BH20" s="2">
        <f t="shared" si="56"/>
        <v>1015</v>
      </c>
      <c r="BI20" s="2">
        <f t="shared" si="56"/>
        <v>243</v>
      </c>
      <c r="BK20" s="2" t="str">
        <f t="shared" si="10"/>
        <v>T4低6</v>
      </c>
      <c r="BL20" s="2">
        <f t="shared" si="42"/>
        <v>2383</v>
      </c>
      <c r="BM20" s="2">
        <f t="shared" si="57"/>
        <v>251</v>
      </c>
      <c r="BN20" s="2">
        <f t="shared" si="57"/>
        <v>927</v>
      </c>
      <c r="BO20" s="2">
        <f t="shared" si="57"/>
        <v>695</v>
      </c>
      <c r="BP20" s="2">
        <f t="shared" si="57"/>
        <v>1015</v>
      </c>
      <c r="BQ20" s="2">
        <f t="shared" si="57"/>
        <v>243</v>
      </c>
      <c r="BS20" s="2" t="str">
        <f t="shared" si="12"/>
        <v>T4低6</v>
      </c>
      <c r="BT20" s="2">
        <f t="shared" si="43"/>
        <v>2701</v>
      </c>
      <c r="BU20" s="2">
        <f t="shared" si="58"/>
        <v>756</v>
      </c>
      <c r="BV20" s="2">
        <f t="shared" si="58"/>
        <v>806</v>
      </c>
      <c r="BW20" s="2">
        <f t="shared" si="58"/>
        <v>645</v>
      </c>
      <c r="BX20" s="2">
        <f t="shared" si="58"/>
        <v>1184</v>
      </c>
      <c r="BY20" s="2">
        <f t="shared" si="58"/>
        <v>276</v>
      </c>
      <c r="CA20" s="2" t="str">
        <f t="shared" si="14"/>
        <v>T4低6</v>
      </c>
      <c r="CB20" s="2">
        <f t="shared" si="44"/>
        <v>2701</v>
      </c>
      <c r="CC20" s="2">
        <f t="shared" si="59"/>
        <v>999</v>
      </c>
      <c r="CD20" s="2">
        <f t="shared" si="59"/>
        <v>886</v>
      </c>
      <c r="CE20" s="2">
        <f t="shared" si="59"/>
        <v>709</v>
      </c>
      <c r="CF20" s="2">
        <f t="shared" si="59"/>
        <v>1184</v>
      </c>
      <c r="CG20" s="2">
        <f t="shared" si="59"/>
        <v>276</v>
      </c>
      <c r="CH20" s="25"/>
    </row>
    <row r="21" spans="2:86" x14ac:dyDescent="0.3">
      <c r="B21" s="2" t="s">
        <v>626</v>
      </c>
      <c r="C21" s="2" t="s">
        <v>183</v>
      </c>
      <c r="D21" s="2">
        <f>G7</f>
        <v>4</v>
      </c>
      <c r="E21" s="2">
        <f>H7</f>
        <v>6</v>
      </c>
      <c r="F21" s="2" t="str">
        <f t="shared" si="49"/>
        <v>T4高4</v>
      </c>
      <c r="G21" s="2" t="str">
        <f t="shared" si="50"/>
        <v>T4高6</v>
      </c>
      <c r="H21" s="33">
        <f>N7</f>
        <v>11</v>
      </c>
      <c r="I21" s="29">
        <f t="shared" si="51"/>
        <v>0.12</v>
      </c>
      <c r="J21" s="2">
        <v>2</v>
      </c>
      <c r="K21" s="2">
        <f t="shared" si="52"/>
        <v>3.0199999999999996</v>
      </c>
      <c r="L21" s="1">
        <v>2.06</v>
      </c>
      <c r="M21" s="1">
        <v>3.18</v>
      </c>
      <c r="N21" s="1">
        <f>J16+I21*(D16+1)</f>
        <v>1.96</v>
      </c>
      <c r="P21" s="2" t="str">
        <f t="shared" si="45"/>
        <v>T4高</v>
      </c>
      <c r="Q21" s="2" t="str">
        <f t="shared" si="46"/>
        <v>T4高4</v>
      </c>
      <c r="R21" s="2" t="str">
        <f t="shared" si="47"/>
        <v>T4高6</v>
      </c>
      <c r="S21" s="2">
        <f>N7</f>
        <v>11</v>
      </c>
      <c r="T21" s="2">
        <f t="shared" si="48"/>
        <v>6</v>
      </c>
      <c r="U21" s="2" t="s">
        <v>809</v>
      </c>
      <c r="Y21" s="2" t="s">
        <v>812</v>
      </c>
      <c r="Z21" s="34">
        <f t="shared" si="37"/>
        <v>2.2800000000000002</v>
      </c>
      <c r="AA21" s="34">
        <v>2.2799999999999998</v>
      </c>
      <c r="AB21" s="2"/>
      <c r="AE21" s="2" t="str">
        <f t="shared" si="2"/>
        <v>T3中5</v>
      </c>
      <c r="AF21" s="2">
        <f t="shared" si="38"/>
        <v>1824</v>
      </c>
      <c r="AG21" s="2">
        <f t="shared" si="53"/>
        <v>182</v>
      </c>
      <c r="AH21" s="2">
        <f t="shared" si="53"/>
        <v>684</v>
      </c>
      <c r="AI21" s="2">
        <f t="shared" si="53"/>
        <v>479</v>
      </c>
      <c r="AJ21" s="2">
        <f t="shared" si="53"/>
        <v>684</v>
      </c>
      <c r="AK21" s="2">
        <f t="shared" si="53"/>
        <v>182</v>
      </c>
      <c r="AM21" s="2" t="str">
        <f t="shared" si="4"/>
        <v>T3中5</v>
      </c>
      <c r="AN21" s="2">
        <f t="shared" si="39"/>
        <v>1824</v>
      </c>
      <c r="AO21" s="2">
        <f t="shared" si="54"/>
        <v>97</v>
      </c>
      <c r="AP21" s="2">
        <f t="shared" si="54"/>
        <v>749</v>
      </c>
      <c r="AQ21" s="2">
        <f t="shared" si="54"/>
        <v>524</v>
      </c>
      <c r="AR21" s="2">
        <f t="shared" si="54"/>
        <v>684</v>
      </c>
      <c r="AS21" s="2">
        <f t="shared" si="54"/>
        <v>182</v>
      </c>
      <c r="AT21" s="25"/>
      <c r="AU21" s="2" t="str">
        <f t="shared" si="6"/>
        <v>T3中5</v>
      </c>
      <c r="AV21" s="2">
        <f t="shared" si="40"/>
        <v>1824</v>
      </c>
      <c r="AW21" s="2">
        <f t="shared" si="55"/>
        <v>367</v>
      </c>
      <c r="AX21" s="2">
        <f t="shared" si="55"/>
        <v>814</v>
      </c>
      <c r="AY21" s="2">
        <f t="shared" si="55"/>
        <v>570</v>
      </c>
      <c r="AZ21" s="2">
        <f t="shared" si="55"/>
        <v>684</v>
      </c>
      <c r="BA21" s="2">
        <f t="shared" si="55"/>
        <v>182</v>
      </c>
      <c r="BB21" s="25"/>
      <c r="BC21" s="2" t="str">
        <f t="shared" si="8"/>
        <v>T3中5</v>
      </c>
      <c r="BD21" s="2">
        <f t="shared" si="41"/>
        <v>1969</v>
      </c>
      <c r="BE21" s="2">
        <f t="shared" si="56"/>
        <v>169</v>
      </c>
      <c r="BF21" s="2">
        <f t="shared" si="56"/>
        <v>651</v>
      </c>
      <c r="BG21" s="2">
        <f t="shared" si="56"/>
        <v>489</v>
      </c>
      <c r="BH21" s="2">
        <f t="shared" si="56"/>
        <v>821</v>
      </c>
      <c r="BI21" s="2">
        <f t="shared" si="56"/>
        <v>197</v>
      </c>
      <c r="BK21" s="2" t="str">
        <f t="shared" si="10"/>
        <v>T3中5</v>
      </c>
      <c r="BL21" s="2">
        <f t="shared" si="42"/>
        <v>1969</v>
      </c>
      <c r="BM21" s="2">
        <f t="shared" si="57"/>
        <v>203</v>
      </c>
      <c r="BN21" s="2">
        <f t="shared" si="57"/>
        <v>749</v>
      </c>
      <c r="BO21" s="2">
        <f t="shared" si="57"/>
        <v>562</v>
      </c>
      <c r="BP21" s="2">
        <f t="shared" si="57"/>
        <v>821</v>
      </c>
      <c r="BQ21" s="2">
        <f t="shared" si="57"/>
        <v>197</v>
      </c>
      <c r="BS21" s="2" t="str">
        <f t="shared" si="12"/>
        <v>T3中5</v>
      </c>
      <c r="BT21" s="2">
        <f t="shared" si="43"/>
        <v>2231</v>
      </c>
      <c r="BU21" s="2">
        <f t="shared" si="58"/>
        <v>611</v>
      </c>
      <c r="BV21" s="2">
        <f t="shared" si="58"/>
        <v>651</v>
      </c>
      <c r="BW21" s="2">
        <f t="shared" si="58"/>
        <v>521</v>
      </c>
      <c r="BX21" s="2">
        <f t="shared" si="58"/>
        <v>958</v>
      </c>
      <c r="BY21" s="2">
        <f t="shared" si="58"/>
        <v>223</v>
      </c>
      <c r="CA21" s="2" t="str">
        <f t="shared" si="14"/>
        <v>T3中5</v>
      </c>
      <c r="CB21" s="2">
        <f t="shared" si="44"/>
        <v>2231</v>
      </c>
      <c r="CC21" s="2">
        <f t="shared" si="59"/>
        <v>808</v>
      </c>
      <c r="CD21" s="2">
        <f t="shared" si="59"/>
        <v>717</v>
      </c>
      <c r="CE21" s="2">
        <f t="shared" si="59"/>
        <v>573</v>
      </c>
      <c r="CF21" s="2">
        <f t="shared" si="59"/>
        <v>958</v>
      </c>
      <c r="CG21" s="2">
        <f t="shared" si="59"/>
        <v>223</v>
      </c>
      <c r="CH21" s="25"/>
    </row>
    <row r="22" spans="2:86" x14ac:dyDescent="0.3">
      <c r="B22" s="2" t="s">
        <v>633</v>
      </c>
      <c r="C22" s="2" t="s">
        <v>182</v>
      </c>
      <c r="D22" s="2">
        <f>C8</f>
        <v>5</v>
      </c>
      <c r="E22" s="2">
        <f>D8</f>
        <v>7</v>
      </c>
      <c r="F22" s="2" t="str">
        <f t="shared" si="49"/>
        <v>T5低5</v>
      </c>
      <c r="G22" s="2" t="str">
        <f t="shared" si="50"/>
        <v>T5低7</v>
      </c>
      <c r="H22" s="33">
        <f>L8</f>
        <v>13</v>
      </c>
      <c r="I22" s="29">
        <f t="shared" si="51"/>
        <v>0.11</v>
      </c>
      <c r="J22" s="2">
        <v>2.52</v>
      </c>
      <c r="K22" s="2">
        <f t="shared" si="52"/>
        <v>3.65</v>
      </c>
      <c r="L22" s="1">
        <v>2.4</v>
      </c>
      <c r="M22" s="1">
        <v>3.84</v>
      </c>
      <c r="N22" s="1">
        <f>J19+I22*(D19+1)</f>
        <v>2.4699999999999998</v>
      </c>
      <c r="P22" s="2" t="str">
        <f t="shared" si="45"/>
        <v>T5低</v>
      </c>
      <c r="Q22" s="2" t="str">
        <f t="shared" si="46"/>
        <v>T5低5</v>
      </c>
      <c r="R22" s="2" t="str">
        <f t="shared" si="47"/>
        <v>T5低7</v>
      </c>
      <c r="S22" s="2">
        <f>L8</f>
        <v>13</v>
      </c>
      <c r="T22" s="2">
        <f t="shared" si="48"/>
        <v>7</v>
      </c>
      <c r="U22" s="2" t="s">
        <v>813</v>
      </c>
      <c r="Y22" s="2" t="s">
        <v>814</v>
      </c>
      <c r="Z22" s="34">
        <f t="shared" si="37"/>
        <v>2.33</v>
      </c>
      <c r="AA22" s="34">
        <v>2.2799999999999998</v>
      </c>
      <c r="AB22" s="2"/>
      <c r="AE22" s="2" t="str">
        <f t="shared" si="2"/>
        <v>T3高5</v>
      </c>
      <c r="AF22" s="2">
        <f t="shared" si="38"/>
        <v>1824</v>
      </c>
      <c r="AG22" s="2">
        <f t="shared" si="53"/>
        <v>186</v>
      </c>
      <c r="AH22" s="2">
        <f t="shared" si="53"/>
        <v>699</v>
      </c>
      <c r="AI22" s="2">
        <f t="shared" si="53"/>
        <v>489</v>
      </c>
      <c r="AJ22" s="2">
        <f t="shared" si="53"/>
        <v>699</v>
      </c>
      <c r="AK22" s="2">
        <f t="shared" si="53"/>
        <v>186</v>
      </c>
      <c r="AM22" s="2" t="str">
        <f t="shared" si="4"/>
        <v>T3高5</v>
      </c>
      <c r="AN22" s="2">
        <f t="shared" si="39"/>
        <v>1824</v>
      </c>
      <c r="AO22" s="2">
        <f t="shared" si="54"/>
        <v>99</v>
      </c>
      <c r="AP22" s="2">
        <f t="shared" si="54"/>
        <v>766</v>
      </c>
      <c r="AQ22" s="2">
        <f t="shared" si="54"/>
        <v>536</v>
      </c>
      <c r="AR22" s="2">
        <f t="shared" si="54"/>
        <v>699</v>
      </c>
      <c r="AS22" s="2">
        <f t="shared" si="54"/>
        <v>186</v>
      </c>
      <c r="AT22" s="25"/>
      <c r="AU22" s="2" t="str">
        <f t="shared" si="6"/>
        <v>T3高5</v>
      </c>
      <c r="AV22" s="2">
        <f t="shared" si="40"/>
        <v>1824</v>
      </c>
      <c r="AW22" s="2">
        <f t="shared" si="55"/>
        <v>375</v>
      </c>
      <c r="AX22" s="2">
        <f t="shared" si="55"/>
        <v>832</v>
      </c>
      <c r="AY22" s="2">
        <f t="shared" si="55"/>
        <v>583</v>
      </c>
      <c r="AZ22" s="2">
        <f t="shared" si="55"/>
        <v>699</v>
      </c>
      <c r="BA22" s="2">
        <f t="shared" si="55"/>
        <v>186</v>
      </c>
      <c r="BB22" s="25"/>
      <c r="BC22" s="2" t="str">
        <f t="shared" si="8"/>
        <v>T3高5</v>
      </c>
      <c r="BD22" s="2">
        <f t="shared" si="41"/>
        <v>1969</v>
      </c>
      <c r="BE22" s="2">
        <f t="shared" si="56"/>
        <v>173</v>
      </c>
      <c r="BF22" s="2">
        <f t="shared" si="56"/>
        <v>666</v>
      </c>
      <c r="BG22" s="2">
        <f t="shared" si="56"/>
        <v>499</v>
      </c>
      <c r="BH22" s="2">
        <f t="shared" si="56"/>
        <v>839</v>
      </c>
      <c r="BI22" s="2">
        <f t="shared" si="56"/>
        <v>201</v>
      </c>
      <c r="BK22" s="2" t="str">
        <f t="shared" si="10"/>
        <v>T3高5</v>
      </c>
      <c r="BL22" s="2">
        <f t="shared" si="42"/>
        <v>1969</v>
      </c>
      <c r="BM22" s="2">
        <f t="shared" si="57"/>
        <v>207</v>
      </c>
      <c r="BN22" s="2">
        <f t="shared" si="57"/>
        <v>766</v>
      </c>
      <c r="BO22" s="2">
        <f t="shared" si="57"/>
        <v>574</v>
      </c>
      <c r="BP22" s="2">
        <f t="shared" si="57"/>
        <v>839</v>
      </c>
      <c r="BQ22" s="2">
        <f t="shared" si="57"/>
        <v>201</v>
      </c>
      <c r="BS22" s="2" t="str">
        <f t="shared" si="12"/>
        <v>T3高5</v>
      </c>
      <c r="BT22" s="2">
        <f t="shared" si="43"/>
        <v>2231</v>
      </c>
      <c r="BU22" s="2">
        <f t="shared" si="58"/>
        <v>625</v>
      </c>
      <c r="BV22" s="2">
        <f t="shared" si="58"/>
        <v>666</v>
      </c>
      <c r="BW22" s="2">
        <f t="shared" si="58"/>
        <v>533</v>
      </c>
      <c r="BX22" s="2">
        <f t="shared" si="58"/>
        <v>979</v>
      </c>
      <c r="BY22" s="2">
        <f t="shared" si="58"/>
        <v>228</v>
      </c>
      <c r="CA22" s="2" t="str">
        <f t="shared" si="14"/>
        <v>T3高5</v>
      </c>
      <c r="CB22" s="2">
        <f t="shared" si="44"/>
        <v>2231</v>
      </c>
      <c r="CC22" s="2">
        <f t="shared" si="59"/>
        <v>825</v>
      </c>
      <c r="CD22" s="2">
        <f t="shared" si="59"/>
        <v>732</v>
      </c>
      <c r="CE22" s="2">
        <f t="shared" si="59"/>
        <v>586</v>
      </c>
      <c r="CF22" s="2">
        <f t="shared" si="59"/>
        <v>979</v>
      </c>
      <c r="CG22" s="2">
        <f t="shared" si="59"/>
        <v>228</v>
      </c>
      <c r="CH22" s="25"/>
    </row>
    <row r="23" spans="2:86" x14ac:dyDescent="0.3">
      <c r="B23" s="2" t="s">
        <v>633</v>
      </c>
      <c r="C23" s="2" t="s">
        <v>184</v>
      </c>
      <c r="D23" s="2">
        <f>E8</f>
        <v>5</v>
      </c>
      <c r="E23" s="2">
        <f>F8</f>
        <v>7</v>
      </c>
      <c r="F23" s="2" t="str">
        <f t="shared" si="49"/>
        <v>T5中5</v>
      </c>
      <c r="G23" s="2" t="str">
        <f t="shared" si="50"/>
        <v>T5中7</v>
      </c>
      <c r="H23" s="33">
        <f>M8</f>
        <v>13</v>
      </c>
      <c r="I23" s="29">
        <f t="shared" si="51"/>
        <v>0.12</v>
      </c>
      <c r="J23" s="2">
        <v>2.62</v>
      </c>
      <c r="K23" s="2">
        <f t="shared" si="52"/>
        <v>3.82</v>
      </c>
      <c r="L23" s="1">
        <v>2.4750000000000001</v>
      </c>
      <c r="M23" s="1">
        <v>4.08</v>
      </c>
      <c r="N23" s="1">
        <f>J19+I23*(D19+1)</f>
        <v>2.52</v>
      </c>
      <c r="P23" s="2" t="str">
        <f t="shared" si="45"/>
        <v>T5中</v>
      </c>
      <c r="Q23" s="2" t="str">
        <f t="shared" si="46"/>
        <v>T5中5</v>
      </c>
      <c r="R23" s="2" t="str">
        <f t="shared" si="47"/>
        <v>T5中7</v>
      </c>
      <c r="S23" s="2">
        <f>M8</f>
        <v>13</v>
      </c>
      <c r="T23" s="2">
        <f t="shared" si="48"/>
        <v>7</v>
      </c>
      <c r="U23" s="2" t="s">
        <v>813</v>
      </c>
      <c r="Y23" s="2" t="s">
        <v>815</v>
      </c>
      <c r="Z23" s="34">
        <f t="shared" si="37"/>
        <v>3.65</v>
      </c>
      <c r="AA23" s="34">
        <v>3.58</v>
      </c>
      <c r="AB23" s="2"/>
      <c r="AE23" s="2" t="str">
        <f t="shared" si="2"/>
        <v>T5低7</v>
      </c>
      <c r="AF23" s="2">
        <f t="shared" si="38"/>
        <v>2864</v>
      </c>
      <c r="AG23" s="2">
        <f t="shared" si="53"/>
        <v>291</v>
      </c>
      <c r="AH23" s="2">
        <f t="shared" si="53"/>
        <v>1095</v>
      </c>
      <c r="AI23" s="2">
        <f t="shared" si="53"/>
        <v>767</v>
      </c>
      <c r="AJ23" s="2">
        <f t="shared" si="53"/>
        <v>1095</v>
      </c>
      <c r="AK23" s="2">
        <f t="shared" si="53"/>
        <v>292</v>
      </c>
      <c r="AM23" s="2" t="str">
        <f t="shared" si="4"/>
        <v>T5低7</v>
      </c>
      <c r="AN23" s="2">
        <f t="shared" si="39"/>
        <v>2864</v>
      </c>
      <c r="AO23" s="2">
        <f t="shared" si="54"/>
        <v>155</v>
      </c>
      <c r="AP23" s="2">
        <f t="shared" si="54"/>
        <v>1199</v>
      </c>
      <c r="AQ23" s="2">
        <f t="shared" si="54"/>
        <v>840</v>
      </c>
      <c r="AR23" s="2">
        <f t="shared" si="54"/>
        <v>1095</v>
      </c>
      <c r="AS23" s="2">
        <f t="shared" si="54"/>
        <v>292</v>
      </c>
      <c r="AT23" s="25"/>
      <c r="AU23" s="2" t="str">
        <f t="shared" si="6"/>
        <v>T5低7</v>
      </c>
      <c r="AV23" s="2">
        <f t="shared" si="40"/>
        <v>2864</v>
      </c>
      <c r="AW23" s="2">
        <f t="shared" si="55"/>
        <v>588</v>
      </c>
      <c r="AX23" s="2">
        <f t="shared" si="55"/>
        <v>1304</v>
      </c>
      <c r="AY23" s="2">
        <f t="shared" si="55"/>
        <v>913</v>
      </c>
      <c r="AZ23" s="2">
        <f t="shared" si="55"/>
        <v>1095</v>
      </c>
      <c r="BA23" s="2">
        <f t="shared" si="55"/>
        <v>292</v>
      </c>
      <c r="BB23" s="25"/>
      <c r="BC23" s="2" t="str">
        <f t="shared" si="8"/>
        <v>T5低7</v>
      </c>
      <c r="BD23" s="2">
        <f t="shared" si="41"/>
        <v>3091</v>
      </c>
      <c r="BE23" s="2">
        <f t="shared" si="56"/>
        <v>271</v>
      </c>
      <c r="BF23" s="2">
        <f t="shared" si="56"/>
        <v>1043</v>
      </c>
      <c r="BG23" s="2">
        <f t="shared" si="56"/>
        <v>782</v>
      </c>
      <c r="BH23" s="2">
        <f t="shared" si="56"/>
        <v>1314</v>
      </c>
      <c r="BI23" s="2">
        <f t="shared" si="56"/>
        <v>315</v>
      </c>
      <c r="BK23" s="2" t="str">
        <f t="shared" si="10"/>
        <v>T5低7</v>
      </c>
      <c r="BL23" s="2">
        <f t="shared" si="42"/>
        <v>3091</v>
      </c>
      <c r="BM23" s="2">
        <f t="shared" si="57"/>
        <v>325</v>
      </c>
      <c r="BN23" s="2">
        <f t="shared" si="57"/>
        <v>1199</v>
      </c>
      <c r="BO23" s="2">
        <f t="shared" si="57"/>
        <v>899</v>
      </c>
      <c r="BP23" s="2">
        <f t="shared" si="57"/>
        <v>1314</v>
      </c>
      <c r="BQ23" s="2">
        <f t="shared" si="57"/>
        <v>315</v>
      </c>
      <c r="BS23" s="2" t="str">
        <f t="shared" si="12"/>
        <v>T5低7</v>
      </c>
      <c r="BT23" s="2">
        <f t="shared" si="43"/>
        <v>3504</v>
      </c>
      <c r="BU23" s="2">
        <f t="shared" si="58"/>
        <v>978</v>
      </c>
      <c r="BV23" s="2">
        <f t="shared" si="58"/>
        <v>1043</v>
      </c>
      <c r="BW23" s="2">
        <f t="shared" si="58"/>
        <v>834</v>
      </c>
      <c r="BX23" s="2">
        <f t="shared" si="58"/>
        <v>1533</v>
      </c>
      <c r="BY23" s="2">
        <f t="shared" si="58"/>
        <v>357</v>
      </c>
      <c r="CA23" s="2" t="str">
        <f t="shared" si="14"/>
        <v>T5低7</v>
      </c>
      <c r="CB23" s="2">
        <f t="shared" si="44"/>
        <v>3504</v>
      </c>
      <c r="CC23" s="2">
        <f t="shared" si="59"/>
        <v>1293</v>
      </c>
      <c r="CD23" s="2">
        <f t="shared" si="59"/>
        <v>1147</v>
      </c>
      <c r="CE23" s="2">
        <f t="shared" si="59"/>
        <v>918</v>
      </c>
      <c r="CF23" s="2">
        <f t="shared" si="59"/>
        <v>1533</v>
      </c>
      <c r="CG23" s="2">
        <f t="shared" si="59"/>
        <v>357</v>
      </c>
      <c r="CH23" s="25"/>
    </row>
    <row r="24" spans="2:86" x14ac:dyDescent="0.3">
      <c r="B24" s="2" t="s">
        <v>633</v>
      </c>
      <c r="C24" s="2" t="s">
        <v>183</v>
      </c>
      <c r="D24" s="2">
        <f>G8</f>
        <v>5</v>
      </c>
      <c r="E24" s="2">
        <f>H8</f>
        <v>7</v>
      </c>
      <c r="F24" s="2" t="str">
        <f t="shared" si="49"/>
        <v>T5高5</v>
      </c>
      <c r="G24" s="2" t="str">
        <f t="shared" si="50"/>
        <v>T5高7</v>
      </c>
      <c r="H24" s="33">
        <f>N8</f>
        <v>13</v>
      </c>
      <c r="I24" s="29">
        <f t="shared" si="51"/>
        <v>0.13</v>
      </c>
      <c r="J24" s="2">
        <v>2.62</v>
      </c>
      <c r="K24" s="2">
        <f t="shared" si="52"/>
        <v>3.89</v>
      </c>
      <c r="L24" s="1">
        <v>2.6</v>
      </c>
      <c r="M24" s="1">
        <v>4.08</v>
      </c>
      <c r="N24" s="1">
        <f>J19+I24*(D19+1)</f>
        <v>2.57</v>
      </c>
      <c r="P24" s="2" t="str">
        <f t="shared" si="45"/>
        <v>T5高</v>
      </c>
      <c r="Q24" s="2" t="str">
        <f t="shared" si="46"/>
        <v>T5高5</v>
      </c>
      <c r="R24" s="2" t="str">
        <f t="shared" si="47"/>
        <v>T5高7</v>
      </c>
      <c r="S24" s="2">
        <f>N8</f>
        <v>13</v>
      </c>
      <c r="T24" s="2">
        <f t="shared" si="48"/>
        <v>7</v>
      </c>
      <c r="U24" s="2" t="s">
        <v>813</v>
      </c>
      <c r="Y24" s="2" t="s">
        <v>816</v>
      </c>
      <c r="Z24" s="34">
        <f t="shared" si="37"/>
        <v>2.96</v>
      </c>
      <c r="AA24" s="34">
        <v>2.96</v>
      </c>
      <c r="AB24" s="2"/>
      <c r="AE24" s="2" t="str">
        <f t="shared" si="2"/>
        <v>T4中6</v>
      </c>
      <c r="AF24" s="2">
        <f t="shared" si="38"/>
        <v>2368</v>
      </c>
      <c r="AG24" s="2">
        <f t="shared" si="53"/>
        <v>236</v>
      </c>
      <c r="AH24" s="2">
        <f t="shared" si="53"/>
        <v>888</v>
      </c>
      <c r="AI24" s="2">
        <f t="shared" si="53"/>
        <v>622</v>
      </c>
      <c r="AJ24" s="2">
        <f t="shared" si="53"/>
        <v>888</v>
      </c>
      <c r="AK24" s="2">
        <f t="shared" si="53"/>
        <v>237</v>
      </c>
      <c r="AM24" s="2" t="str">
        <f t="shared" si="4"/>
        <v>T4中6</v>
      </c>
      <c r="AN24" s="2">
        <f t="shared" si="39"/>
        <v>2368</v>
      </c>
      <c r="AO24" s="2">
        <f t="shared" si="54"/>
        <v>126</v>
      </c>
      <c r="AP24" s="2">
        <f t="shared" si="54"/>
        <v>973</v>
      </c>
      <c r="AQ24" s="2">
        <f t="shared" si="54"/>
        <v>681</v>
      </c>
      <c r="AR24" s="2">
        <f t="shared" si="54"/>
        <v>888</v>
      </c>
      <c r="AS24" s="2">
        <f t="shared" si="54"/>
        <v>237</v>
      </c>
      <c r="AT24" s="25"/>
      <c r="AU24" s="2" t="str">
        <f t="shared" si="6"/>
        <v>T4中6</v>
      </c>
      <c r="AV24" s="2">
        <f t="shared" si="40"/>
        <v>2368</v>
      </c>
      <c r="AW24" s="2">
        <f t="shared" si="55"/>
        <v>477</v>
      </c>
      <c r="AX24" s="2">
        <f t="shared" si="55"/>
        <v>1057</v>
      </c>
      <c r="AY24" s="2">
        <f t="shared" si="55"/>
        <v>740</v>
      </c>
      <c r="AZ24" s="2">
        <f t="shared" si="55"/>
        <v>888</v>
      </c>
      <c r="BA24" s="2">
        <f t="shared" si="55"/>
        <v>237</v>
      </c>
      <c r="BB24" s="25"/>
      <c r="BC24" s="2" t="str">
        <f t="shared" si="8"/>
        <v>T4中6</v>
      </c>
      <c r="BD24" s="2">
        <f t="shared" si="41"/>
        <v>2556</v>
      </c>
      <c r="BE24" s="2">
        <f t="shared" si="56"/>
        <v>220</v>
      </c>
      <c r="BF24" s="2">
        <f t="shared" si="56"/>
        <v>846</v>
      </c>
      <c r="BG24" s="2">
        <f t="shared" si="56"/>
        <v>634</v>
      </c>
      <c r="BH24" s="2">
        <f t="shared" si="56"/>
        <v>1066</v>
      </c>
      <c r="BI24" s="2">
        <f t="shared" si="56"/>
        <v>256</v>
      </c>
      <c r="BJ24" s="25"/>
      <c r="BK24" s="2" t="str">
        <f t="shared" si="10"/>
        <v>T4中6</v>
      </c>
      <c r="BL24" s="2">
        <f t="shared" si="42"/>
        <v>2556</v>
      </c>
      <c r="BM24" s="2">
        <f t="shared" si="57"/>
        <v>263</v>
      </c>
      <c r="BN24" s="2">
        <f t="shared" si="57"/>
        <v>973</v>
      </c>
      <c r="BO24" s="2">
        <f t="shared" si="57"/>
        <v>729</v>
      </c>
      <c r="BP24" s="2">
        <f t="shared" si="57"/>
        <v>1066</v>
      </c>
      <c r="BQ24" s="2">
        <f t="shared" si="57"/>
        <v>256</v>
      </c>
      <c r="BS24" s="2" t="str">
        <f t="shared" si="12"/>
        <v>T4中6</v>
      </c>
      <c r="BT24" s="2">
        <f t="shared" si="43"/>
        <v>2897</v>
      </c>
      <c r="BU24" s="2">
        <f t="shared" si="58"/>
        <v>793</v>
      </c>
      <c r="BV24" s="2">
        <f t="shared" si="58"/>
        <v>846</v>
      </c>
      <c r="BW24" s="2">
        <f t="shared" si="58"/>
        <v>677</v>
      </c>
      <c r="BX24" s="2">
        <f t="shared" si="58"/>
        <v>1243</v>
      </c>
      <c r="BY24" s="2">
        <f t="shared" si="58"/>
        <v>290</v>
      </c>
      <c r="CA24" s="2" t="str">
        <f t="shared" si="14"/>
        <v>T4中6</v>
      </c>
      <c r="CB24" s="2">
        <f t="shared" si="44"/>
        <v>2897</v>
      </c>
      <c r="CC24" s="2">
        <f t="shared" si="59"/>
        <v>1049</v>
      </c>
      <c r="CD24" s="2">
        <f t="shared" si="59"/>
        <v>930</v>
      </c>
      <c r="CE24" s="2">
        <f t="shared" si="59"/>
        <v>744</v>
      </c>
      <c r="CF24" s="2">
        <f t="shared" si="59"/>
        <v>1243</v>
      </c>
      <c r="CG24" s="2">
        <f t="shared" si="59"/>
        <v>290</v>
      </c>
      <c r="CH24" s="25"/>
    </row>
    <row r="25" spans="2:86" x14ac:dyDescent="0.3">
      <c r="Y25" s="2" t="s">
        <v>817</v>
      </c>
      <c r="Z25" s="34">
        <f t="shared" si="37"/>
        <v>3.0199999999999996</v>
      </c>
      <c r="AA25" s="34">
        <v>2.96</v>
      </c>
      <c r="AB25" s="2"/>
      <c r="AE25" s="2" t="str">
        <f t="shared" si="2"/>
        <v>T4高6</v>
      </c>
      <c r="AF25" s="2">
        <f t="shared" si="38"/>
        <v>2368</v>
      </c>
      <c r="AG25" s="2">
        <f t="shared" si="53"/>
        <v>241</v>
      </c>
      <c r="AH25" s="2">
        <f t="shared" si="53"/>
        <v>906</v>
      </c>
      <c r="AI25" s="2">
        <f t="shared" si="53"/>
        <v>634</v>
      </c>
      <c r="AJ25" s="2">
        <f t="shared" si="53"/>
        <v>906</v>
      </c>
      <c r="AK25" s="2">
        <f t="shared" si="53"/>
        <v>242</v>
      </c>
      <c r="AM25" s="2" t="str">
        <f t="shared" si="4"/>
        <v>T4高6</v>
      </c>
      <c r="AN25" s="2">
        <f t="shared" si="39"/>
        <v>2368</v>
      </c>
      <c r="AO25" s="2">
        <f t="shared" si="54"/>
        <v>128</v>
      </c>
      <c r="AP25" s="2">
        <f t="shared" si="54"/>
        <v>992</v>
      </c>
      <c r="AQ25" s="2">
        <f t="shared" si="54"/>
        <v>695</v>
      </c>
      <c r="AR25" s="2">
        <f t="shared" si="54"/>
        <v>906</v>
      </c>
      <c r="AS25" s="2">
        <f t="shared" si="54"/>
        <v>242</v>
      </c>
      <c r="AT25" s="25"/>
      <c r="AU25" s="2" t="str">
        <f t="shared" si="6"/>
        <v>T4高6</v>
      </c>
      <c r="AV25" s="2">
        <f t="shared" si="40"/>
        <v>2368</v>
      </c>
      <c r="AW25" s="2">
        <f t="shared" si="55"/>
        <v>486</v>
      </c>
      <c r="AX25" s="2">
        <f t="shared" si="55"/>
        <v>1079</v>
      </c>
      <c r="AY25" s="2">
        <f t="shared" si="55"/>
        <v>755</v>
      </c>
      <c r="AZ25" s="2">
        <f t="shared" si="55"/>
        <v>906</v>
      </c>
      <c r="BA25" s="2">
        <f t="shared" si="55"/>
        <v>242</v>
      </c>
      <c r="BB25" s="25"/>
      <c r="BC25" s="2" t="str">
        <f t="shared" si="8"/>
        <v>T4高6</v>
      </c>
      <c r="BD25" s="2">
        <f t="shared" si="41"/>
        <v>2556</v>
      </c>
      <c r="BE25" s="2">
        <f t="shared" si="56"/>
        <v>224</v>
      </c>
      <c r="BF25" s="2">
        <f t="shared" si="56"/>
        <v>863</v>
      </c>
      <c r="BG25" s="2">
        <f t="shared" si="56"/>
        <v>647</v>
      </c>
      <c r="BH25" s="2">
        <f t="shared" si="56"/>
        <v>1087</v>
      </c>
      <c r="BI25" s="2">
        <f t="shared" si="56"/>
        <v>261</v>
      </c>
      <c r="BJ25" s="25"/>
      <c r="BK25" s="2" t="str">
        <f t="shared" si="10"/>
        <v>T4高6</v>
      </c>
      <c r="BL25" s="2">
        <f t="shared" si="42"/>
        <v>2556</v>
      </c>
      <c r="BM25" s="2">
        <f t="shared" si="57"/>
        <v>269</v>
      </c>
      <c r="BN25" s="2">
        <f t="shared" si="57"/>
        <v>992</v>
      </c>
      <c r="BO25" s="2">
        <f t="shared" si="57"/>
        <v>744</v>
      </c>
      <c r="BP25" s="2">
        <f t="shared" si="57"/>
        <v>1087</v>
      </c>
      <c r="BQ25" s="2">
        <f t="shared" si="57"/>
        <v>261</v>
      </c>
      <c r="BS25" s="2" t="str">
        <f t="shared" si="12"/>
        <v>T4高6</v>
      </c>
      <c r="BT25" s="2">
        <f t="shared" si="43"/>
        <v>2897</v>
      </c>
      <c r="BU25" s="2">
        <f t="shared" si="58"/>
        <v>810</v>
      </c>
      <c r="BV25" s="2">
        <f t="shared" si="58"/>
        <v>863</v>
      </c>
      <c r="BW25" s="2">
        <f t="shared" si="58"/>
        <v>690</v>
      </c>
      <c r="BX25" s="2">
        <f t="shared" si="58"/>
        <v>1268</v>
      </c>
      <c r="BY25" s="2">
        <f t="shared" si="58"/>
        <v>296</v>
      </c>
      <c r="CA25" s="2" t="str">
        <f t="shared" si="14"/>
        <v>T4高6</v>
      </c>
      <c r="CB25" s="2">
        <f t="shared" si="44"/>
        <v>2897</v>
      </c>
      <c r="CC25" s="2">
        <f t="shared" si="59"/>
        <v>1070</v>
      </c>
      <c r="CD25" s="2">
        <f t="shared" si="59"/>
        <v>949</v>
      </c>
      <c r="CE25" s="2">
        <f t="shared" si="59"/>
        <v>759</v>
      </c>
      <c r="CF25" s="2">
        <f t="shared" si="59"/>
        <v>1268</v>
      </c>
      <c r="CG25" s="2">
        <f t="shared" si="59"/>
        <v>296</v>
      </c>
      <c r="CH25" s="25"/>
    </row>
    <row r="26" spans="2:86" x14ac:dyDescent="0.3">
      <c r="B26" s="262" t="s">
        <v>818</v>
      </c>
      <c r="C26" s="262"/>
      <c r="D26" s="262"/>
      <c r="F26" s="262" t="s">
        <v>819</v>
      </c>
      <c r="G26" s="262"/>
      <c r="H26" s="262"/>
      <c r="J26" s="262" t="s">
        <v>820</v>
      </c>
      <c r="K26" s="262"/>
      <c r="L26" s="262"/>
      <c r="Y26" s="2" t="s">
        <v>821</v>
      </c>
      <c r="Z26" s="34">
        <f t="shared" si="37"/>
        <v>3.82</v>
      </c>
      <c r="AA26" s="34">
        <v>3.82</v>
      </c>
      <c r="AB26" s="2"/>
      <c r="AE26" s="2" t="str">
        <f t="shared" si="2"/>
        <v>T5中7</v>
      </c>
      <c r="AF26" s="2">
        <f t="shared" si="38"/>
        <v>3056</v>
      </c>
      <c r="AG26" s="2">
        <f t="shared" si="53"/>
        <v>305</v>
      </c>
      <c r="AH26" s="2">
        <f t="shared" si="53"/>
        <v>1146</v>
      </c>
      <c r="AI26" s="2">
        <f t="shared" si="53"/>
        <v>802</v>
      </c>
      <c r="AJ26" s="2">
        <f t="shared" si="53"/>
        <v>1146</v>
      </c>
      <c r="AK26" s="2">
        <f t="shared" si="53"/>
        <v>306</v>
      </c>
      <c r="AM26" s="2" t="str">
        <f t="shared" si="4"/>
        <v>T5中7</v>
      </c>
      <c r="AN26" s="2">
        <f t="shared" si="39"/>
        <v>3056</v>
      </c>
      <c r="AO26" s="2">
        <f t="shared" si="54"/>
        <v>162</v>
      </c>
      <c r="AP26" s="2">
        <f t="shared" si="54"/>
        <v>1255</v>
      </c>
      <c r="AQ26" s="2">
        <f t="shared" si="54"/>
        <v>879</v>
      </c>
      <c r="AR26" s="2">
        <f t="shared" si="54"/>
        <v>1146</v>
      </c>
      <c r="AS26" s="2">
        <f t="shared" si="54"/>
        <v>306</v>
      </c>
      <c r="AT26" s="25"/>
      <c r="AU26" s="2" t="str">
        <f t="shared" si="6"/>
        <v>T5中7</v>
      </c>
      <c r="AV26" s="2">
        <f t="shared" si="40"/>
        <v>3056</v>
      </c>
      <c r="AW26" s="2">
        <f t="shared" si="55"/>
        <v>615</v>
      </c>
      <c r="AX26" s="2">
        <f t="shared" si="55"/>
        <v>1364</v>
      </c>
      <c r="AY26" s="2">
        <f t="shared" si="55"/>
        <v>955</v>
      </c>
      <c r="AZ26" s="2">
        <f t="shared" si="55"/>
        <v>1146</v>
      </c>
      <c r="BA26" s="2">
        <f t="shared" si="55"/>
        <v>306</v>
      </c>
      <c r="BB26" s="25"/>
      <c r="BC26" s="2" t="str">
        <f t="shared" si="8"/>
        <v>T5中7</v>
      </c>
      <c r="BD26" s="2">
        <f t="shared" si="41"/>
        <v>3298</v>
      </c>
      <c r="BE26" s="2">
        <f t="shared" si="56"/>
        <v>284</v>
      </c>
      <c r="BF26" s="2">
        <f t="shared" si="56"/>
        <v>1091</v>
      </c>
      <c r="BG26" s="2">
        <f t="shared" si="56"/>
        <v>819</v>
      </c>
      <c r="BH26" s="2">
        <f t="shared" si="56"/>
        <v>1375</v>
      </c>
      <c r="BI26" s="2">
        <f t="shared" si="56"/>
        <v>330</v>
      </c>
      <c r="BJ26" s="25"/>
      <c r="BK26" s="2" t="str">
        <f t="shared" si="10"/>
        <v>T5中7</v>
      </c>
      <c r="BL26" s="2">
        <f t="shared" si="42"/>
        <v>3298</v>
      </c>
      <c r="BM26" s="2">
        <f t="shared" si="57"/>
        <v>340</v>
      </c>
      <c r="BN26" s="2">
        <f t="shared" si="57"/>
        <v>1255</v>
      </c>
      <c r="BO26" s="2">
        <f t="shared" si="57"/>
        <v>941</v>
      </c>
      <c r="BP26" s="2">
        <f t="shared" si="57"/>
        <v>1375</v>
      </c>
      <c r="BQ26" s="2">
        <f t="shared" si="57"/>
        <v>330</v>
      </c>
      <c r="BS26" s="2" t="str">
        <f t="shared" si="12"/>
        <v>T5中7</v>
      </c>
      <c r="BT26" s="2">
        <f t="shared" si="43"/>
        <v>3738</v>
      </c>
      <c r="BU26" s="2">
        <f t="shared" si="58"/>
        <v>1024</v>
      </c>
      <c r="BV26" s="2">
        <f t="shared" si="58"/>
        <v>1091</v>
      </c>
      <c r="BW26" s="2">
        <f t="shared" si="58"/>
        <v>873</v>
      </c>
      <c r="BX26" s="2">
        <f t="shared" si="58"/>
        <v>1604</v>
      </c>
      <c r="BY26" s="2">
        <f t="shared" si="58"/>
        <v>374</v>
      </c>
      <c r="CA26" s="2" t="str">
        <f t="shared" si="14"/>
        <v>T5中7</v>
      </c>
      <c r="CB26" s="2">
        <f t="shared" si="44"/>
        <v>3738</v>
      </c>
      <c r="CC26" s="2">
        <f t="shared" si="59"/>
        <v>1353</v>
      </c>
      <c r="CD26" s="2">
        <f t="shared" si="59"/>
        <v>1201</v>
      </c>
      <c r="CE26" s="2">
        <f t="shared" si="59"/>
        <v>960</v>
      </c>
      <c r="CF26" s="2">
        <f t="shared" si="59"/>
        <v>1604</v>
      </c>
      <c r="CG26" s="2">
        <f t="shared" si="59"/>
        <v>374</v>
      </c>
      <c r="CH26" s="25"/>
    </row>
    <row r="27" spans="2:86" x14ac:dyDescent="0.3">
      <c r="B27" s="2" t="s">
        <v>818</v>
      </c>
      <c r="C27" s="2" t="s">
        <v>822</v>
      </c>
      <c r="D27" s="2" t="s">
        <v>818</v>
      </c>
      <c r="F27" s="2" t="s">
        <v>819</v>
      </c>
      <c r="G27" s="2" t="s">
        <v>790</v>
      </c>
      <c r="H27" s="2" t="s">
        <v>819</v>
      </c>
      <c r="J27" s="2" t="s">
        <v>819</v>
      </c>
      <c r="K27" s="2" t="s">
        <v>611</v>
      </c>
      <c r="L27" s="2" t="s">
        <v>819</v>
      </c>
      <c r="Y27" s="2" t="s">
        <v>823</v>
      </c>
      <c r="Z27" s="34">
        <f t="shared" si="37"/>
        <v>3.89</v>
      </c>
      <c r="AA27" s="34">
        <v>3.82</v>
      </c>
      <c r="AB27" s="2"/>
      <c r="AE27" s="2" t="str">
        <f t="shared" si="2"/>
        <v>T5高7</v>
      </c>
      <c r="AF27" s="2">
        <f t="shared" si="38"/>
        <v>3056</v>
      </c>
      <c r="AG27" s="2">
        <f t="shared" si="53"/>
        <v>310</v>
      </c>
      <c r="AH27" s="2">
        <f t="shared" si="53"/>
        <v>1167</v>
      </c>
      <c r="AI27" s="2">
        <f t="shared" si="53"/>
        <v>817</v>
      </c>
      <c r="AJ27" s="2">
        <f t="shared" si="53"/>
        <v>1167</v>
      </c>
      <c r="AK27" s="2">
        <f t="shared" si="53"/>
        <v>311</v>
      </c>
      <c r="AM27" s="2" t="str">
        <f t="shared" si="4"/>
        <v>T5高7</v>
      </c>
      <c r="AN27" s="2">
        <f t="shared" si="39"/>
        <v>3056</v>
      </c>
      <c r="AO27" s="2">
        <f t="shared" si="54"/>
        <v>165</v>
      </c>
      <c r="AP27" s="2">
        <f t="shared" si="54"/>
        <v>1278</v>
      </c>
      <c r="AQ27" s="2">
        <f t="shared" si="54"/>
        <v>895</v>
      </c>
      <c r="AR27" s="2">
        <f t="shared" si="54"/>
        <v>1167</v>
      </c>
      <c r="AS27" s="2">
        <f t="shared" si="54"/>
        <v>311</v>
      </c>
      <c r="AT27" s="25"/>
      <c r="AU27" s="2" t="str">
        <f t="shared" si="6"/>
        <v>T5高7</v>
      </c>
      <c r="AV27" s="2">
        <f t="shared" si="40"/>
        <v>3056</v>
      </c>
      <c r="AW27" s="2">
        <f t="shared" si="55"/>
        <v>626</v>
      </c>
      <c r="AX27" s="2">
        <f t="shared" si="55"/>
        <v>1389</v>
      </c>
      <c r="AY27" s="2">
        <f t="shared" si="55"/>
        <v>973</v>
      </c>
      <c r="AZ27" s="2">
        <f t="shared" si="55"/>
        <v>1167</v>
      </c>
      <c r="BA27" s="2">
        <f t="shared" si="55"/>
        <v>311</v>
      </c>
      <c r="BB27" s="25"/>
      <c r="BC27" s="2" t="str">
        <f t="shared" si="8"/>
        <v>T5高7</v>
      </c>
      <c r="BD27" s="2">
        <f t="shared" si="41"/>
        <v>3298</v>
      </c>
      <c r="BE27" s="2">
        <f t="shared" si="56"/>
        <v>289</v>
      </c>
      <c r="BF27" s="2">
        <f t="shared" si="56"/>
        <v>1111</v>
      </c>
      <c r="BG27" s="2">
        <f t="shared" si="56"/>
        <v>834</v>
      </c>
      <c r="BH27" s="2">
        <f t="shared" si="56"/>
        <v>1400</v>
      </c>
      <c r="BI27" s="2">
        <f t="shared" si="56"/>
        <v>336</v>
      </c>
      <c r="BJ27" s="25"/>
      <c r="BK27" s="2" t="str">
        <f t="shared" si="10"/>
        <v>T5高7</v>
      </c>
      <c r="BL27" s="2">
        <f t="shared" si="42"/>
        <v>3298</v>
      </c>
      <c r="BM27" s="2">
        <f t="shared" si="57"/>
        <v>346</v>
      </c>
      <c r="BN27" s="2">
        <f t="shared" si="57"/>
        <v>1278</v>
      </c>
      <c r="BO27" s="2">
        <f t="shared" si="57"/>
        <v>959</v>
      </c>
      <c r="BP27" s="2">
        <f t="shared" si="57"/>
        <v>1400</v>
      </c>
      <c r="BQ27" s="2">
        <f t="shared" si="57"/>
        <v>336</v>
      </c>
      <c r="BS27" s="2" t="str">
        <f t="shared" si="12"/>
        <v>T5高7</v>
      </c>
      <c r="BT27" s="2">
        <f t="shared" si="43"/>
        <v>3738</v>
      </c>
      <c r="BU27" s="2">
        <f t="shared" si="58"/>
        <v>1043</v>
      </c>
      <c r="BV27" s="2">
        <f t="shared" si="58"/>
        <v>1111</v>
      </c>
      <c r="BW27" s="2">
        <f t="shared" si="58"/>
        <v>889</v>
      </c>
      <c r="BX27" s="2">
        <f t="shared" si="58"/>
        <v>1634</v>
      </c>
      <c r="BY27" s="2">
        <f t="shared" si="58"/>
        <v>381</v>
      </c>
      <c r="CA27" s="2" t="str">
        <f t="shared" si="14"/>
        <v>T5高7</v>
      </c>
      <c r="CB27" s="2">
        <f t="shared" si="44"/>
        <v>3738</v>
      </c>
      <c r="CC27" s="2">
        <f t="shared" si="59"/>
        <v>1378</v>
      </c>
      <c r="CD27" s="2">
        <f t="shared" si="59"/>
        <v>1223</v>
      </c>
      <c r="CE27" s="2">
        <f t="shared" si="59"/>
        <v>978</v>
      </c>
      <c r="CF27" s="2">
        <f t="shared" si="59"/>
        <v>1634</v>
      </c>
      <c r="CG27" s="2">
        <f t="shared" si="59"/>
        <v>381</v>
      </c>
      <c r="CH27" s="25"/>
    </row>
    <row r="28" spans="2:86" x14ac:dyDescent="0.3">
      <c r="B28" s="2">
        <v>1</v>
      </c>
      <c r="C28" s="2" t="s">
        <v>800</v>
      </c>
      <c r="D28" s="2">
        <v>1</v>
      </c>
      <c r="F28" s="2">
        <v>1</v>
      </c>
      <c r="G28" s="2" t="s">
        <v>613</v>
      </c>
      <c r="H28" s="2">
        <v>1</v>
      </c>
      <c r="J28" s="2">
        <v>1</v>
      </c>
      <c r="K28" s="2" t="s">
        <v>182</v>
      </c>
      <c r="L28" s="2">
        <v>1</v>
      </c>
      <c r="Y28" s="25"/>
      <c r="Z28" s="25"/>
      <c r="AA28" s="25"/>
      <c r="AC28" s="133"/>
      <c r="AE28" s="25"/>
      <c r="AF28" s="25"/>
      <c r="AG28" s="25"/>
      <c r="AH28" s="25"/>
      <c r="AI28" s="25"/>
      <c r="AJ28" s="25"/>
      <c r="AK28" s="25"/>
      <c r="AM28" s="25"/>
      <c r="AN28" s="25"/>
      <c r="AO28" s="25"/>
      <c r="AP28" s="25"/>
      <c r="AQ28" s="25"/>
      <c r="AR28" s="25"/>
      <c r="AS28" s="25"/>
      <c r="AT28" s="25"/>
      <c r="AU28" s="25"/>
      <c r="AV28" s="25"/>
      <c r="AW28" s="25"/>
      <c r="AX28" s="25"/>
      <c r="AY28" s="25"/>
      <c r="AZ28" s="25"/>
      <c r="BA28" s="25"/>
      <c r="BB28" s="25"/>
      <c r="BC28" s="25"/>
      <c r="BD28" s="25"/>
      <c r="BE28" s="25"/>
      <c r="BF28" s="25"/>
      <c r="BH28" s="25"/>
      <c r="BI28" s="25"/>
      <c r="BJ28" s="25"/>
      <c r="BK28" s="25"/>
      <c r="BL28" s="25"/>
      <c r="BM28" s="25"/>
      <c r="BN28" s="25"/>
      <c r="CH28" s="25"/>
    </row>
    <row r="29" spans="2:86" x14ac:dyDescent="0.3">
      <c r="B29" s="2">
        <v>2</v>
      </c>
      <c r="C29" s="2" t="s">
        <v>802</v>
      </c>
      <c r="D29" s="2">
        <v>2</v>
      </c>
      <c r="F29" s="2">
        <v>2</v>
      </c>
      <c r="G29" s="2" t="s">
        <v>615</v>
      </c>
      <c r="H29" s="2">
        <v>2</v>
      </c>
      <c r="J29" s="2">
        <v>2</v>
      </c>
      <c r="K29" s="2" t="s">
        <v>184</v>
      </c>
      <c r="L29" s="2">
        <v>2</v>
      </c>
      <c r="AC29" s="133"/>
      <c r="AE29" s="262" t="s">
        <v>824</v>
      </c>
      <c r="AF29" s="262"/>
      <c r="AG29" s="262"/>
      <c r="AH29" s="262"/>
      <c r="AI29" s="262"/>
      <c r="AJ29" s="262"/>
      <c r="AK29" s="262"/>
      <c r="AL29" s="25"/>
      <c r="AM29" s="262" t="s">
        <v>825</v>
      </c>
      <c r="AN29" s="262"/>
      <c r="AO29" s="262"/>
      <c r="AP29" s="262"/>
      <c r="AQ29" s="262"/>
      <c r="AR29" s="262"/>
      <c r="AS29" s="262"/>
      <c r="AT29" s="25"/>
      <c r="AU29" s="262" t="s">
        <v>826</v>
      </c>
      <c r="AV29" s="262"/>
      <c r="AW29" s="262"/>
      <c r="AX29" s="262"/>
      <c r="AY29" s="262"/>
      <c r="AZ29" s="262"/>
      <c r="BA29" s="262"/>
      <c r="BB29" s="25"/>
      <c r="BC29" s="262" t="s">
        <v>827</v>
      </c>
      <c r="BD29" s="262"/>
      <c r="BE29" s="262"/>
      <c r="BF29" s="262"/>
      <c r="BG29" s="262"/>
      <c r="BH29" s="262"/>
      <c r="BI29" s="262"/>
      <c r="BK29" s="262" t="s">
        <v>828</v>
      </c>
      <c r="BL29" s="262"/>
      <c r="BM29" s="262"/>
      <c r="BN29" s="262"/>
      <c r="BO29" s="262"/>
      <c r="BP29" s="262"/>
      <c r="BQ29" s="262"/>
      <c r="BS29" s="262" t="s">
        <v>829</v>
      </c>
      <c r="BT29" s="262"/>
      <c r="BU29" s="262"/>
      <c r="BV29" s="262"/>
      <c r="BW29" s="262"/>
      <c r="BX29" s="262"/>
      <c r="BY29" s="262"/>
      <c r="CA29" s="262" t="s">
        <v>830</v>
      </c>
      <c r="CB29" s="262"/>
      <c r="CC29" s="262"/>
      <c r="CD29" s="262"/>
      <c r="CE29" s="262"/>
      <c r="CF29" s="262"/>
      <c r="CG29" s="262"/>
      <c r="CH29" s="25"/>
    </row>
    <row r="30" spans="2:86" x14ac:dyDescent="0.3">
      <c r="B30" s="2">
        <v>3</v>
      </c>
      <c r="C30" s="2" t="s">
        <v>805</v>
      </c>
      <c r="D30" s="2">
        <v>3</v>
      </c>
      <c r="F30" s="2">
        <v>3</v>
      </c>
      <c r="G30" s="2" t="s">
        <v>619</v>
      </c>
      <c r="H30" s="2">
        <v>3</v>
      </c>
      <c r="J30" s="2">
        <v>3</v>
      </c>
      <c r="K30" s="2" t="s">
        <v>183</v>
      </c>
      <c r="L30" s="2">
        <v>3</v>
      </c>
      <c r="AC30" s="133"/>
      <c r="AE30" s="2" t="s">
        <v>831</v>
      </c>
      <c r="AF30" s="2" t="s">
        <v>774</v>
      </c>
      <c r="AG30" s="2" t="s">
        <v>775</v>
      </c>
      <c r="AH30" s="2" t="s">
        <v>776</v>
      </c>
      <c r="AI30" s="2" t="s">
        <v>77</v>
      </c>
      <c r="AJ30" s="2" t="s">
        <v>130</v>
      </c>
      <c r="AK30" s="2" t="s">
        <v>777</v>
      </c>
      <c r="AL30" s="25"/>
      <c r="AM30" s="2" t="s">
        <v>831</v>
      </c>
      <c r="AN30" s="2" t="s">
        <v>774</v>
      </c>
      <c r="AO30" s="2" t="s">
        <v>775</v>
      </c>
      <c r="AP30" s="2" t="s">
        <v>776</v>
      </c>
      <c r="AQ30" s="2" t="s">
        <v>77</v>
      </c>
      <c r="AR30" s="2" t="s">
        <v>130</v>
      </c>
      <c r="AS30" s="2" t="s">
        <v>777</v>
      </c>
      <c r="AT30" s="25"/>
      <c r="AU30" s="2" t="s">
        <v>831</v>
      </c>
      <c r="AV30" s="2" t="s">
        <v>774</v>
      </c>
      <c r="AW30" s="2" t="s">
        <v>775</v>
      </c>
      <c r="AX30" s="2" t="s">
        <v>776</v>
      </c>
      <c r="AY30" s="2" t="s">
        <v>77</v>
      </c>
      <c r="AZ30" s="2" t="s">
        <v>130</v>
      </c>
      <c r="BA30" s="2" t="s">
        <v>777</v>
      </c>
      <c r="BB30" s="25"/>
      <c r="BC30" s="2" t="s">
        <v>831</v>
      </c>
      <c r="BD30" s="2" t="s">
        <v>774</v>
      </c>
      <c r="BE30" s="2" t="s">
        <v>775</v>
      </c>
      <c r="BF30" s="2" t="s">
        <v>776</v>
      </c>
      <c r="BG30" s="2" t="s">
        <v>77</v>
      </c>
      <c r="BH30" s="2" t="s">
        <v>130</v>
      </c>
      <c r="BI30" s="2" t="s">
        <v>777</v>
      </c>
      <c r="BK30" s="2" t="s">
        <v>831</v>
      </c>
      <c r="BL30" s="2" t="s">
        <v>774</v>
      </c>
      <c r="BM30" s="2" t="s">
        <v>775</v>
      </c>
      <c r="BN30" s="2" t="s">
        <v>776</v>
      </c>
      <c r="BO30" s="2" t="s">
        <v>77</v>
      </c>
      <c r="BP30" s="2" t="s">
        <v>130</v>
      </c>
      <c r="BQ30" s="2" t="s">
        <v>777</v>
      </c>
      <c r="BS30" s="2" t="s">
        <v>831</v>
      </c>
      <c r="BT30" s="2" t="s">
        <v>774</v>
      </c>
      <c r="BU30" s="2" t="s">
        <v>775</v>
      </c>
      <c r="BV30" s="2" t="s">
        <v>776</v>
      </c>
      <c r="BW30" s="2" t="s">
        <v>77</v>
      </c>
      <c r="BX30" s="2" t="s">
        <v>130</v>
      </c>
      <c r="BY30" s="2" t="s">
        <v>777</v>
      </c>
      <c r="CA30" s="2" t="s">
        <v>831</v>
      </c>
      <c r="CB30" s="2" t="s">
        <v>774</v>
      </c>
      <c r="CC30" s="2" t="s">
        <v>775</v>
      </c>
      <c r="CD30" s="2" t="s">
        <v>776</v>
      </c>
      <c r="CE30" s="2" t="s">
        <v>77</v>
      </c>
      <c r="CF30" s="2" t="s">
        <v>130</v>
      </c>
      <c r="CG30" s="2" t="s">
        <v>777</v>
      </c>
      <c r="CH30" s="25"/>
    </row>
    <row r="31" spans="2:86" x14ac:dyDescent="0.3">
      <c r="B31" s="2">
        <v>4</v>
      </c>
      <c r="C31" s="2" t="s">
        <v>809</v>
      </c>
      <c r="D31" s="2">
        <v>4</v>
      </c>
      <c r="F31" s="2">
        <v>4</v>
      </c>
      <c r="G31" s="2" t="s">
        <v>626</v>
      </c>
      <c r="H31" s="2">
        <v>4</v>
      </c>
      <c r="AC31" s="133"/>
      <c r="AE31" s="2" t="str">
        <f>F13</f>
        <v>T1低1</v>
      </c>
      <c r="AF31" s="2">
        <f t="shared" ref="AF31:AK42" si="60">VLOOKUP($AE31,轻坦半自动_阶段属性,MATCH(AF$30,属性标头_阶段属性,0),FALSE)</f>
        <v>600</v>
      </c>
      <c r="AG31" s="2">
        <f t="shared" si="60"/>
        <v>80</v>
      </c>
      <c r="AH31" s="2">
        <f t="shared" si="60"/>
        <v>300</v>
      </c>
      <c r="AI31" s="2">
        <f t="shared" si="60"/>
        <v>210</v>
      </c>
      <c r="AJ31" s="2">
        <f t="shared" si="60"/>
        <v>300</v>
      </c>
      <c r="AK31" s="2">
        <f t="shared" si="60"/>
        <v>80</v>
      </c>
      <c r="AL31" s="25"/>
      <c r="AM31" s="2" t="str">
        <f t="shared" ref="AM31:AM42" si="61">AE31</f>
        <v>T1低1</v>
      </c>
      <c r="AN31" s="2">
        <f t="shared" ref="AN31:AS42" si="62">VLOOKUP($AM31,轻坦弹夹_阶段属性,MATCH(AN$30,属性标头_阶段属性,0),FALSE)</f>
        <v>600</v>
      </c>
      <c r="AO31" s="2">
        <f t="shared" si="62"/>
        <v>42</v>
      </c>
      <c r="AP31" s="2">
        <f t="shared" si="62"/>
        <v>329</v>
      </c>
      <c r="AQ31" s="2">
        <f t="shared" si="62"/>
        <v>230</v>
      </c>
      <c r="AR31" s="2">
        <f t="shared" si="62"/>
        <v>300</v>
      </c>
      <c r="AS31" s="2">
        <f t="shared" si="62"/>
        <v>80</v>
      </c>
      <c r="AT31" s="25"/>
      <c r="AU31" s="2" t="str">
        <f t="shared" ref="AU31:AU42" si="63">AM31</f>
        <v>T1低1</v>
      </c>
      <c r="AV31" s="2">
        <f t="shared" ref="AV31:BA42" si="64">VLOOKUP($AM31,轻坦单发_阶段属性,MATCH(AV$30,属性标头_阶段属性,0),FALSE)</f>
        <v>600</v>
      </c>
      <c r="AW31" s="2">
        <f t="shared" si="64"/>
        <v>161</v>
      </c>
      <c r="AX31" s="2">
        <f t="shared" si="64"/>
        <v>357</v>
      </c>
      <c r="AY31" s="2">
        <f t="shared" si="64"/>
        <v>250</v>
      </c>
      <c r="AZ31" s="2">
        <f t="shared" si="64"/>
        <v>300</v>
      </c>
      <c r="BA31" s="2">
        <f t="shared" si="64"/>
        <v>80</v>
      </c>
      <c r="BB31" s="25"/>
      <c r="BC31" s="2" t="str">
        <f t="shared" ref="BC31:BC42" si="65">AU31</f>
        <v>T1低1</v>
      </c>
      <c r="BD31" s="2">
        <f t="shared" ref="BD31:BI42" si="66">VLOOKUP($BC31,中坦弹夹_阶段属性,MATCH(BD$30,属性标头_阶段属性,0),FALSE)</f>
        <v>648</v>
      </c>
      <c r="BE31" s="2">
        <f t="shared" si="66"/>
        <v>74</v>
      </c>
      <c r="BF31" s="2">
        <f t="shared" si="66"/>
        <v>286</v>
      </c>
      <c r="BG31" s="2">
        <f t="shared" si="66"/>
        <v>214</v>
      </c>
      <c r="BH31" s="2">
        <f t="shared" si="66"/>
        <v>360</v>
      </c>
      <c r="BI31" s="2">
        <f t="shared" si="66"/>
        <v>86</v>
      </c>
      <c r="BK31" s="2" t="str">
        <f t="shared" ref="BK31:BK42" si="67">BC31</f>
        <v>T1低1</v>
      </c>
      <c r="BL31" s="2">
        <f t="shared" ref="BL31:BQ42" si="68">VLOOKUP($BK31,中坦自动_阶段属性,MATCH(BL$30,属性标头_阶段属性,0),FALSE)</f>
        <v>648</v>
      </c>
      <c r="BM31" s="2">
        <f t="shared" si="68"/>
        <v>89</v>
      </c>
      <c r="BN31" s="2">
        <f t="shared" si="68"/>
        <v>329</v>
      </c>
      <c r="BO31" s="2">
        <f t="shared" si="68"/>
        <v>246</v>
      </c>
      <c r="BP31" s="2">
        <f t="shared" si="68"/>
        <v>360</v>
      </c>
      <c r="BQ31" s="2">
        <f t="shared" si="68"/>
        <v>86</v>
      </c>
      <c r="BS31" s="2" t="str">
        <f t="shared" ref="BS31:BS42" si="69">BK31</f>
        <v>T1低1</v>
      </c>
      <c r="BT31" s="2">
        <f t="shared" ref="BT31:BY42" si="70">VLOOKUP($BS31,重坦自动_阶段属性,MATCH(BT$30,属性标头_阶段属性,0),FALSE)</f>
        <v>734</v>
      </c>
      <c r="BU31" s="2">
        <f t="shared" si="70"/>
        <v>268</v>
      </c>
      <c r="BV31" s="2">
        <f t="shared" si="70"/>
        <v>286</v>
      </c>
      <c r="BW31" s="2">
        <f t="shared" si="70"/>
        <v>229</v>
      </c>
      <c r="BX31" s="2">
        <f t="shared" si="70"/>
        <v>420</v>
      </c>
      <c r="BY31" s="2">
        <f t="shared" si="70"/>
        <v>98</v>
      </c>
      <c r="CA31" s="2" t="str">
        <f>BS31</f>
        <v>T1低1</v>
      </c>
      <c r="CB31" s="2">
        <f t="shared" ref="CB31:CG42" si="71">VLOOKUP($CA31,重坦单发_阶段属性,MATCH(CB$30,属性标头_阶段属性,0),FALSE)</f>
        <v>734</v>
      </c>
      <c r="CC31" s="2">
        <f t="shared" si="71"/>
        <v>354</v>
      </c>
      <c r="CD31" s="2">
        <f t="shared" si="71"/>
        <v>314</v>
      </c>
      <c r="CE31" s="2">
        <f t="shared" si="71"/>
        <v>251</v>
      </c>
      <c r="CF31" s="2">
        <f t="shared" si="71"/>
        <v>420</v>
      </c>
      <c r="CG31" s="2">
        <f t="shared" si="71"/>
        <v>98</v>
      </c>
      <c r="CH31" s="25"/>
    </row>
    <row r="32" spans="2:86" x14ac:dyDescent="0.3">
      <c r="B32" s="2">
        <v>5</v>
      </c>
      <c r="C32" s="2" t="s">
        <v>813</v>
      </c>
      <c r="D32" s="2">
        <v>5</v>
      </c>
      <c r="F32" s="2">
        <v>5</v>
      </c>
      <c r="G32" s="2" t="s">
        <v>633</v>
      </c>
      <c r="H32" s="2">
        <v>5</v>
      </c>
      <c r="AB32" s="25"/>
      <c r="AC32" s="25"/>
      <c r="AE32" s="2" t="str">
        <f t="shared" ref="AE32:AE42" si="72">F14</f>
        <v>T2低2</v>
      </c>
      <c r="AF32" s="2">
        <f t="shared" si="60"/>
        <v>944</v>
      </c>
      <c r="AG32" s="2">
        <f t="shared" si="60"/>
        <v>96</v>
      </c>
      <c r="AH32" s="2">
        <f t="shared" si="60"/>
        <v>360</v>
      </c>
      <c r="AI32" s="2">
        <f t="shared" si="60"/>
        <v>252</v>
      </c>
      <c r="AJ32" s="2">
        <f t="shared" si="60"/>
        <v>360</v>
      </c>
      <c r="AK32" s="2">
        <f t="shared" si="60"/>
        <v>96</v>
      </c>
      <c r="AL32" s="25"/>
      <c r="AM32" s="2" t="str">
        <f t="shared" si="61"/>
        <v>T2低2</v>
      </c>
      <c r="AN32" s="2">
        <f t="shared" si="62"/>
        <v>944</v>
      </c>
      <c r="AO32" s="2">
        <f t="shared" si="62"/>
        <v>51</v>
      </c>
      <c r="AP32" s="2">
        <f t="shared" si="62"/>
        <v>394</v>
      </c>
      <c r="AQ32" s="2">
        <f t="shared" si="62"/>
        <v>276</v>
      </c>
      <c r="AR32" s="2">
        <f t="shared" si="62"/>
        <v>360</v>
      </c>
      <c r="AS32" s="2">
        <f t="shared" si="62"/>
        <v>96</v>
      </c>
      <c r="AT32" s="25"/>
      <c r="AU32" s="2" t="str">
        <f t="shared" si="63"/>
        <v>T2低2</v>
      </c>
      <c r="AV32" s="2">
        <f t="shared" si="64"/>
        <v>944</v>
      </c>
      <c r="AW32" s="2">
        <f t="shared" si="64"/>
        <v>193</v>
      </c>
      <c r="AX32" s="2">
        <f t="shared" si="64"/>
        <v>429</v>
      </c>
      <c r="AY32" s="2">
        <f t="shared" si="64"/>
        <v>300</v>
      </c>
      <c r="AZ32" s="2">
        <f t="shared" si="64"/>
        <v>360</v>
      </c>
      <c r="BA32" s="2">
        <f t="shared" si="64"/>
        <v>96</v>
      </c>
      <c r="BB32" s="25"/>
      <c r="BC32" s="2" t="str">
        <f t="shared" si="65"/>
        <v>T2低2</v>
      </c>
      <c r="BD32" s="2">
        <f t="shared" si="66"/>
        <v>1019</v>
      </c>
      <c r="BE32" s="2">
        <f t="shared" si="66"/>
        <v>89</v>
      </c>
      <c r="BF32" s="2">
        <f t="shared" si="66"/>
        <v>343</v>
      </c>
      <c r="BG32" s="2">
        <f t="shared" si="66"/>
        <v>257</v>
      </c>
      <c r="BH32" s="2">
        <f t="shared" si="66"/>
        <v>432</v>
      </c>
      <c r="BI32" s="2">
        <f t="shared" si="66"/>
        <v>104</v>
      </c>
      <c r="BK32" s="2" t="str">
        <f t="shared" si="67"/>
        <v>T2低2</v>
      </c>
      <c r="BL32" s="2">
        <f t="shared" si="68"/>
        <v>1019</v>
      </c>
      <c r="BM32" s="2">
        <f t="shared" si="68"/>
        <v>107</v>
      </c>
      <c r="BN32" s="2">
        <f t="shared" si="68"/>
        <v>394</v>
      </c>
      <c r="BO32" s="2">
        <f t="shared" si="68"/>
        <v>296</v>
      </c>
      <c r="BP32" s="2">
        <f t="shared" si="68"/>
        <v>432</v>
      </c>
      <c r="BQ32" s="2">
        <f t="shared" si="68"/>
        <v>104</v>
      </c>
      <c r="BS32" s="2" t="str">
        <f t="shared" si="69"/>
        <v>T2低2</v>
      </c>
      <c r="BT32" s="2">
        <f t="shared" si="70"/>
        <v>1155</v>
      </c>
      <c r="BU32" s="2">
        <f t="shared" si="70"/>
        <v>322</v>
      </c>
      <c r="BV32" s="2">
        <f t="shared" si="70"/>
        <v>343</v>
      </c>
      <c r="BW32" s="2">
        <f t="shared" si="70"/>
        <v>274</v>
      </c>
      <c r="BX32" s="2">
        <f t="shared" si="70"/>
        <v>504</v>
      </c>
      <c r="BY32" s="2">
        <f t="shared" si="70"/>
        <v>117</v>
      </c>
      <c r="CA32" s="2" t="str">
        <f t="shared" ref="CA32:CA42" si="73">BS32</f>
        <v>T2低2</v>
      </c>
      <c r="CB32" s="2">
        <f t="shared" si="71"/>
        <v>1155</v>
      </c>
      <c r="CC32" s="2">
        <f t="shared" si="71"/>
        <v>425</v>
      </c>
      <c r="CD32" s="2">
        <f t="shared" si="71"/>
        <v>377</v>
      </c>
      <c r="CE32" s="2">
        <f t="shared" si="71"/>
        <v>302</v>
      </c>
      <c r="CF32" s="2">
        <f t="shared" si="71"/>
        <v>504</v>
      </c>
      <c r="CG32" s="2">
        <f t="shared" si="71"/>
        <v>117</v>
      </c>
      <c r="CH32" s="25"/>
    </row>
    <row r="33" spans="2:86" x14ac:dyDescent="0.3">
      <c r="AE33" s="2" t="str">
        <f t="shared" si="72"/>
        <v>T2中2</v>
      </c>
      <c r="AF33" s="2">
        <f t="shared" si="60"/>
        <v>976</v>
      </c>
      <c r="AG33" s="2">
        <f t="shared" si="60"/>
        <v>97</v>
      </c>
      <c r="AH33" s="2">
        <f t="shared" si="60"/>
        <v>366</v>
      </c>
      <c r="AI33" s="2">
        <f t="shared" si="60"/>
        <v>256</v>
      </c>
      <c r="AJ33" s="2">
        <f t="shared" si="60"/>
        <v>366</v>
      </c>
      <c r="AK33" s="2">
        <f t="shared" si="60"/>
        <v>98</v>
      </c>
      <c r="AL33" s="25"/>
      <c r="AM33" s="2" t="str">
        <f t="shared" si="61"/>
        <v>T2中2</v>
      </c>
      <c r="AN33" s="2">
        <f t="shared" si="62"/>
        <v>976</v>
      </c>
      <c r="AO33" s="2">
        <f t="shared" si="62"/>
        <v>52</v>
      </c>
      <c r="AP33" s="2">
        <f t="shared" si="62"/>
        <v>401</v>
      </c>
      <c r="AQ33" s="2">
        <f t="shared" si="62"/>
        <v>281</v>
      </c>
      <c r="AR33" s="2">
        <f t="shared" si="62"/>
        <v>366</v>
      </c>
      <c r="AS33" s="2">
        <f t="shared" si="62"/>
        <v>98</v>
      </c>
      <c r="AT33" s="25"/>
      <c r="AU33" s="2" t="str">
        <f t="shared" si="63"/>
        <v>T2中2</v>
      </c>
      <c r="AV33" s="2">
        <f t="shared" si="64"/>
        <v>976</v>
      </c>
      <c r="AW33" s="2">
        <f t="shared" si="64"/>
        <v>196</v>
      </c>
      <c r="AX33" s="2">
        <f t="shared" si="64"/>
        <v>436</v>
      </c>
      <c r="AY33" s="2">
        <f t="shared" si="64"/>
        <v>305</v>
      </c>
      <c r="AZ33" s="2">
        <f t="shared" si="64"/>
        <v>366</v>
      </c>
      <c r="BA33" s="2">
        <f t="shared" si="64"/>
        <v>98</v>
      </c>
      <c r="BB33" s="25"/>
      <c r="BC33" s="2" t="str">
        <f t="shared" si="65"/>
        <v>T2中2</v>
      </c>
      <c r="BD33" s="2">
        <f t="shared" si="66"/>
        <v>1053</v>
      </c>
      <c r="BE33" s="2">
        <f t="shared" si="66"/>
        <v>91</v>
      </c>
      <c r="BF33" s="2">
        <f t="shared" si="66"/>
        <v>349</v>
      </c>
      <c r="BG33" s="2">
        <f t="shared" si="66"/>
        <v>261</v>
      </c>
      <c r="BH33" s="2">
        <f t="shared" si="66"/>
        <v>439</v>
      </c>
      <c r="BI33" s="2">
        <f t="shared" si="66"/>
        <v>105</v>
      </c>
      <c r="BK33" s="2" t="str">
        <f t="shared" si="67"/>
        <v>T2中2</v>
      </c>
      <c r="BL33" s="2">
        <f t="shared" si="68"/>
        <v>1053</v>
      </c>
      <c r="BM33" s="2">
        <f t="shared" si="68"/>
        <v>109</v>
      </c>
      <c r="BN33" s="2">
        <f t="shared" si="68"/>
        <v>401</v>
      </c>
      <c r="BO33" s="2">
        <f t="shared" si="68"/>
        <v>301</v>
      </c>
      <c r="BP33" s="2">
        <f t="shared" si="68"/>
        <v>439</v>
      </c>
      <c r="BQ33" s="2">
        <f t="shared" si="68"/>
        <v>105</v>
      </c>
      <c r="BS33" s="2" t="str">
        <f t="shared" si="69"/>
        <v>T2中2</v>
      </c>
      <c r="BT33" s="2">
        <f t="shared" si="70"/>
        <v>1194</v>
      </c>
      <c r="BU33" s="2">
        <f t="shared" si="70"/>
        <v>327</v>
      </c>
      <c r="BV33" s="2">
        <f t="shared" si="70"/>
        <v>349</v>
      </c>
      <c r="BW33" s="2">
        <f t="shared" si="70"/>
        <v>279</v>
      </c>
      <c r="BX33" s="2">
        <f t="shared" si="70"/>
        <v>512</v>
      </c>
      <c r="BY33" s="2">
        <f t="shared" si="70"/>
        <v>119</v>
      </c>
      <c r="CA33" s="2" t="str">
        <f t="shared" si="73"/>
        <v>T2中2</v>
      </c>
      <c r="CB33" s="2">
        <f t="shared" si="71"/>
        <v>1194</v>
      </c>
      <c r="CC33" s="2">
        <f t="shared" si="71"/>
        <v>432</v>
      </c>
      <c r="CD33" s="2">
        <f t="shared" si="71"/>
        <v>383</v>
      </c>
      <c r="CE33" s="2">
        <f t="shared" si="71"/>
        <v>307</v>
      </c>
      <c r="CF33" s="2">
        <f t="shared" si="71"/>
        <v>512</v>
      </c>
      <c r="CG33" s="2">
        <f t="shared" si="71"/>
        <v>119</v>
      </c>
      <c r="CH33" s="25"/>
    </row>
    <row r="34" spans="2:86" x14ac:dyDescent="0.3">
      <c r="B34" s="263" t="s">
        <v>832</v>
      </c>
      <c r="C34" s="264"/>
      <c r="D34" s="264"/>
      <c r="E34" s="264"/>
      <c r="F34" s="264"/>
      <c r="G34" s="265"/>
      <c r="AE34" s="2" t="str">
        <f t="shared" si="72"/>
        <v>T3低3</v>
      </c>
      <c r="AF34" s="2">
        <f t="shared" si="60"/>
        <v>1184</v>
      </c>
      <c r="AG34" s="2">
        <f t="shared" si="60"/>
        <v>118</v>
      </c>
      <c r="AH34" s="2">
        <f t="shared" si="60"/>
        <v>444</v>
      </c>
      <c r="AI34" s="2">
        <f t="shared" si="60"/>
        <v>311</v>
      </c>
      <c r="AJ34" s="2">
        <f t="shared" si="60"/>
        <v>444</v>
      </c>
      <c r="AK34" s="2">
        <f t="shared" si="60"/>
        <v>118</v>
      </c>
      <c r="AL34" s="25"/>
      <c r="AM34" s="2" t="str">
        <f t="shared" si="61"/>
        <v>T3低3</v>
      </c>
      <c r="AN34" s="2">
        <f t="shared" si="62"/>
        <v>1184</v>
      </c>
      <c r="AO34" s="2">
        <f t="shared" si="62"/>
        <v>63</v>
      </c>
      <c r="AP34" s="2">
        <f t="shared" si="62"/>
        <v>486</v>
      </c>
      <c r="AQ34" s="2">
        <f t="shared" si="62"/>
        <v>340</v>
      </c>
      <c r="AR34" s="2">
        <f t="shared" si="62"/>
        <v>444</v>
      </c>
      <c r="AS34" s="2">
        <f t="shared" si="62"/>
        <v>118</v>
      </c>
      <c r="AT34" s="25"/>
      <c r="AU34" s="2" t="str">
        <f t="shared" si="63"/>
        <v>T3低3</v>
      </c>
      <c r="AV34" s="2">
        <f t="shared" si="64"/>
        <v>1184</v>
      </c>
      <c r="AW34" s="2">
        <f t="shared" si="64"/>
        <v>238</v>
      </c>
      <c r="AX34" s="2">
        <f t="shared" si="64"/>
        <v>529</v>
      </c>
      <c r="AY34" s="2">
        <f t="shared" si="64"/>
        <v>370</v>
      </c>
      <c r="AZ34" s="2">
        <f t="shared" si="64"/>
        <v>444</v>
      </c>
      <c r="BA34" s="2">
        <f t="shared" si="64"/>
        <v>118</v>
      </c>
      <c r="BB34" s="25"/>
      <c r="BC34" s="2" t="str">
        <f t="shared" si="65"/>
        <v>T3低3</v>
      </c>
      <c r="BD34" s="2">
        <f t="shared" si="66"/>
        <v>1278</v>
      </c>
      <c r="BE34" s="2">
        <f t="shared" si="66"/>
        <v>110</v>
      </c>
      <c r="BF34" s="2">
        <f t="shared" si="66"/>
        <v>423</v>
      </c>
      <c r="BG34" s="2">
        <f t="shared" si="66"/>
        <v>317</v>
      </c>
      <c r="BH34" s="2">
        <f t="shared" si="66"/>
        <v>533</v>
      </c>
      <c r="BI34" s="2">
        <f t="shared" si="66"/>
        <v>128</v>
      </c>
      <c r="BK34" s="2" t="str">
        <f t="shared" si="67"/>
        <v>T3低3</v>
      </c>
      <c r="BL34" s="2">
        <f t="shared" si="68"/>
        <v>1278</v>
      </c>
      <c r="BM34" s="2">
        <f t="shared" si="68"/>
        <v>132</v>
      </c>
      <c r="BN34" s="2">
        <f t="shared" si="68"/>
        <v>486</v>
      </c>
      <c r="BO34" s="2">
        <f t="shared" si="68"/>
        <v>365</v>
      </c>
      <c r="BP34" s="2">
        <f t="shared" si="68"/>
        <v>533</v>
      </c>
      <c r="BQ34" s="2">
        <f t="shared" si="68"/>
        <v>128</v>
      </c>
      <c r="BS34" s="2" t="str">
        <f t="shared" si="69"/>
        <v>T3低3</v>
      </c>
      <c r="BT34" s="2">
        <f t="shared" si="70"/>
        <v>1448</v>
      </c>
      <c r="BU34" s="2">
        <f t="shared" si="70"/>
        <v>397</v>
      </c>
      <c r="BV34" s="2">
        <f t="shared" si="70"/>
        <v>423</v>
      </c>
      <c r="BW34" s="2">
        <f t="shared" si="70"/>
        <v>338</v>
      </c>
      <c r="BX34" s="2">
        <f t="shared" si="70"/>
        <v>622</v>
      </c>
      <c r="BY34" s="2">
        <f t="shared" si="70"/>
        <v>145</v>
      </c>
      <c r="CA34" s="2" t="str">
        <f t="shared" si="73"/>
        <v>T3低3</v>
      </c>
      <c r="CB34" s="2">
        <f t="shared" si="71"/>
        <v>1448</v>
      </c>
      <c r="CC34" s="2">
        <f t="shared" si="71"/>
        <v>524</v>
      </c>
      <c r="CD34" s="2">
        <f t="shared" si="71"/>
        <v>465</v>
      </c>
      <c r="CE34" s="2">
        <f t="shared" si="71"/>
        <v>372</v>
      </c>
      <c r="CF34" s="2">
        <f t="shared" si="71"/>
        <v>622</v>
      </c>
      <c r="CG34" s="2">
        <f t="shared" si="71"/>
        <v>145</v>
      </c>
      <c r="CH34" s="25"/>
    </row>
    <row r="35" spans="2:86" x14ac:dyDescent="0.3">
      <c r="B35" s="2" t="s">
        <v>72</v>
      </c>
      <c r="C35" s="2" t="s">
        <v>128</v>
      </c>
      <c r="D35" s="2" t="s">
        <v>143</v>
      </c>
      <c r="E35" s="2" t="s">
        <v>144</v>
      </c>
      <c r="F35" s="2" t="s">
        <v>130</v>
      </c>
      <c r="G35" s="2" t="s">
        <v>777</v>
      </c>
      <c r="AE35" s="2" t="str">
        <f t="shared" si="72"/>
        <v>T3中3</v>
      </c>
      <c r="AF35" s="2">
        <f t="shared" si="60"/>
        <v>1232</v>
      </c>
      <c r="AG35" s="2">
        <f t="shared" si="60"/>
        <v>123</v>
      </c>
      <c r="AH35" s="2">
        <f t="shared" si="60"/>
        <v>462</v>
      </c>
      <c r="AI35" s="2">
        <f t="shared" si="60"/>
        <v>323</v>
      </c>
      <c r="AJ35" s="2">
        <f t="shared" si="60"/>
        <v>462</v>
      </c>
      <c r="AK35" s="2">
        <f t="shared" si="60"/>
        <v>123</v>
      </c>
      <c r="AL35" s="25"/>
      <c r="AM35" s="2" t="str">
        <f t="shared" si="61"/>
        <v>T3中3</v>
      </c>
      <c r="AN35" s="2">
        <f t="shared" si="62"/>
        <v>1232</v>
      </c>
      <c r="AO35" s="2">
        <f t="shared" si="62"/>
        <v>65</v>
      </c>
      <c r="AP35" s="2">
        <f t="shared" si="62"/>
        <v>506</v>
      </c>
      <c r="AQ35" s="2">
        <f t="shared" si="62"/>
        <v>354</v>
      </c>
      <c r="AR35" s="2">
        <f t="shared" si="62"/>
        <v>462</v>
      </c>
      <c r="AS35" s="2">
        <f t="shared" si="62"/>
        <v>123</v>
      </c>
      <c r="AT35" s="25"/>
      <c r="AU35" s="2" t="str">
        <f t="shared" si="63"/>
        <v>T3中3</v>
      </c>
      <c r="AV35" s="2">
        <f t="shared" si="64"/>
        <v>1232</v>
      </c>
      <c r="AW35" s="2">
        <f t="shared" si="64"/>
        <v>248</v>
      </c>
      <c r="AX35" s="2">
        <f t="shared" si="64"/>
        <v>550</v>
      </c>
      <c r="AY35" s="2">
        <f t="shared" si="64"/>
        <v>385</v>
      </c>
      <c r="AZ35" s="2">
        <f t="shared" si="64"/>
        <v>462</v>
      </c>
      <c r="BA35" s="2">
        <f t="shared" si="64"/>
        <v>123</v>
      </c>
      <c r="BB35" s="25"/>
      <c r="BC35" s="2" t="str">
        <f t="shared" si="65"/>
        <v>T3中3</v>
      </c>
      <c r="BD35" s="2">
        <f t="shared" si="66"/>
        <v>1330</v>
      </c>
      <c r="BE35" s="2">
        <f t="shared" si="66"/>
        <v>114</v>
      </c>
      <c r="BF35" s="2">
        <f t="shared" si="66"/>
        <v>440</v>
      </c>
      <c r="BG35" s="2">
        <f t="shared" si="66"/>
        <v>330</v>
      </c>
      <c r="BH35" s="2">
        <f t="shared" si="66"/>
        <v>554</v>
      </c>
      <c r="BI35" s="2">
        <f t="shared" si="66"/>
        <v>133</v>
      </c>
      <c r="BK35" s="2" t="str">
        <f t="shared" si="67"/>
        <v>T3中3</v>
      </c>
      <c r="BL35" s="2">
        <f t="shared" si="68"/>
        <v>1330</v>
      </c>
      <c r="BM35" s="2">
        <f t="shared" si="68"/>
        <v>137</v>
      </c>
      <c r="BN35" s="2">
        <f t="shared" si="68"/>
        <v>506</v>
      </c>
      <c r="BO35" s="2">
        <f t="shared" si="68"/>
        <v>380</v>
      </c>
      <c r="BP35" s="2">
        <f t="shared" si="68"/>
        <v>554</v>
      </c>
      <c r="BQ35" s="2">
        <f t="shared" si="68"/>
        <v>133</v>
      </c>
      <c r="BS35" s="2" t="str">
        <f t="shared" si="69"/>
        <v>T3中3</v>
      </c>
      <c r="BT35" s="2">
        <f t="shared" si="70"/>
        <v>1507</v>
      </c>
      <c r="BU35" s="2">
        <f t="shared" si="70"/>
        <v>413</v>
      </c>
      <c r="BV35" s="2">
        <f t="shared" si="70"/>
        <v>440</v>
      </c>
      <c r="BW35" s="2">
        <f t="shared" si="70"/>
        <v>352</v>
      </c>
      <c r="BX35" s="2">
        <f t="shared" si="70"/>
        <v>647</v>
      </c>
      <c r="BY35" s="2">
        <f t="shared" si="70"/>
        <v>151</v>
      </c>
      <c r="CA35" s="2" t="str">
        <f t="shared" si="73"/>
        <v>T3中3</v>
      </c>
      <c r="CB35" s="2">
        <f t="shared" si="71"/>
        <v>1507</v>
      </c>
      <c r="CC35" s="2">
        <f t="shared" si="71"/>
        <v>546</v>
      </c>
      <c r="CD35" s="2">
        <f t="shared" si="71"/>
        <v>484</v>
      </c>
      <c r="CE35" s="2">
        <f t="shared" si="71"/>
        <v>387</v>
      </c>
      <c r="CF35" s="2">
        <f t="shared" si="71"/>
        <v>647</v>
      </c>
      <c r="CG35" s="2">
        <f t="shared" si="71"/>
        <v>151</v>
      </c>
      <c r="CH35" s="25"/>
    </row>
    <row r="36" spans="2:86" x14ac:dyDescent="0.3">
      <c r="B36" s="2" t="s">
        <v>79</v>
      </c>
      <c r="C36" s="42">
        <f>VLOOKUP(LEFT($B36,2),标准坦克设计!$B$33:$F$36,MATCH(C$35,标准坦克设计!$B$33:$F$33,0),FALSE)</f>
        <v>800</v>
      </c>
      <c r="D36" s="42">
        <f>VLOOKUP($B36,标准坦克设计!$B$39:$H$46,MATCH(D$35,标准坦克设计!$B$39:$H$39,0),FALSE)</f>
        <v>79.720818645141122</v>
      </c>
      <c r="E36" s="42">
        <f>VLOOKUP($B36,标准坦克设计!$B$39:$H$46,MATCH(E$35,标准坦克设计!$B$39:$H$39,0),FALSE)</f>
        <v>300</v>
      </c>
      <c r="F36" s="42">
        <f>VLOOKUP(LEFT($B36,2),标准坦克设计!$B$33:$F$36,MATCH(F$35,标准坦克设计!$B$33:$F$33,0),FALSE)</f>
        <v>300</v>
      </c>
      <c r="G36" s="42">
        <f>C36*基础属性系数!$C$57</f>
        <v>80</v>
      </c>
      <c r="AE36" s="2" t="str">
        <f t="shared" si="72"/>
        <v>T3高3</v>
      </c>
      <c r="AF36" s="2">
        <f t="shared" si="60"/>
        <v>1232</v>
      </c>
      <c r="AG36" s="2">
        <f t="shared" si="60"/>
        <v>123</v>
      </c>
      <c r="AH36" s="2">
        <f t="shared" si="60"/>
        <v>462</v>
      </c>
      <c r="AI36" s="2">
        <f t="shared" si="60"/>
        <v>323</v>
      </c>
      <c r="AJ36" s="2">
        <f t="shared" si="60"/>
        <v>462</v>
      </c>
      <c r="AK36" s="2">
        <f t="shared" si="60"/>
        <v>123</v>
      </c>
      <c r="AL36" s="25"/>
      <c r="AM36" s="2" t="str">
        <f t="shared" si="61"/>
        <v>T3高3</v>
      </c>
      <c r="AN36" s="2">
        <f t="shared" si="62"/>
        <v>1232</v>
      </c>
      <c r="AO36" s="2">
        <f t="shared" si="62"/>
        <v>65</v>
      </c>
      <c r="AP36" s="2">
        <f t="shared" si="62"/>
        <v>506</v>
      </c>
      <c r="AQ36" s="2">
        <f t="shared" si="62"/>
        <v>354</v>
      </c>
      <c r="AR36" s="2">
        <f t="shared" si="62"/>
        <v>462</v>
      </c>
      <c r="AS36" s="2">
        <f t="shared" si="62"/>
        <v>123</v>
      </c>
      <c r="AT36" s="25"/>
      <c r="AU36" s="2" t="str">
        <f t="shared" si="63"/>
        <v>T3高3</v>
      </c>
      <c r="AV36" s="2">
        <f t="shared" si="64"/>
        <v>1232</v>
      </c>
      <c r="AW36" s="2">
        <f t="shared" si="64"/>
        <v>248</v>
      </c>
      <c r="AX36" s="2">
        <f t="shared" si="64"/>
        <v>550</v>
      </c>
      <c r="AY36" s="2">
        <f t="shared" si="64"/>
        <v>385</v>
      </c>
      <c r="AZ36" s="2">
        <f t="shared" si="64"/>
        <v>462</v>
      </c>
      <c r="BA36" s="2">
        <f t="shared" si="64"/>
        <v>123</v>
      </c>
      <c r="BB36" s="25"/>
      <c r="BC36" s="2" t="str">
        <f t="shared" si="65"/>
        <v>T3高3</v>
      </c>
      <c r="BD36" s="2">
        <f t="shared" si="66"/>
        <v>1330</v>
      </c>
      <c r="BE36" s="2">
        <f t="shared" si="66"/>
        <v>114</v>
      </c>
      <c r="BF36" s="2">
        <f t="shared" si="66"/>
        <v>440</v>
      </c>
      <c r="BG36" s="2">
        <f t="shared" si="66"/>
        <v>330</v>
      </c>
      <c r="BH36" s="2">
        <f t="shared" si="66"/>
        <v>554</v>
      </c>
      <c r="BI36" s="2">
        <f t="shared" si="66"/>
        <v>133</v>
      </c>
      <c r="BK36" s="2" t="str">
        <f t="shared" si="67"/>
        <v>T3高3</v>
      </c>
      <c r="BL36" s="2">
        <f t="shared" si="68"/>
        <v>1330</v>
      </c>
      <c r="BM36" s="2">
        <f t="shared" si="68"/>
        <v>137</v>
      </c>
      <c r="BN36" s="2">
        <f t="shared" si="68"/>
        <v>506</v>
      </c>
      <c r="BO36" s="2">
        <f t="shared" si="68"/>
        <v>380</v>
      </c>
      <c r="BP36" s="2">
        <f t="shared" si="68"/>
        <v>554</v>
      </c>
      <c r="BQ36" s="2">
        <f t="shared" si="68"/>
        <v>133</v>
      </c>
      <c r="BS36" s="2" t="str">
        <f t="shared" si="69"/>
        <v>T3高3</v>
      </c>
      <c r="BT36" s="2">
        <f t="shared" si="70"/>
        <v>1507</v>
      </c>
      <c r="BU36" s="2">
        <f t="shared" si="70"/>
        <v>413</v>
      </c>
      <c r="BV36" s="2">
        <f t="shared" si="70"/>
        <v>440</v>
      </c>
      <c r="BW36" s="2">
        <f t="shared" si="70"/>
        <v>352</v>
      </c>
      <c r="BX36" s="2">
        <f t="shared" si="70"/>
        <v>647</v>
      </c>
      <c r="BY36" s="2">
        <f t="shared" si="70"/>
        <v>151</v>
      </c>
      <c r="CA36" s="2" t="str">
        <f t="shared" si="73"/>
        <v>T3高3</v>
      </c>
      <c r="CB36" s="2">
        <f t="shared" si="71"/>
        <v>1507</v>
      </c>
      <c r="CC36" s="2">
        <f t="shared" si="71"/>
        <v>546</v>
      </c>
      <c r="CD36" s="2">
        <f t="shared" si="71"/>
        <v>484</v>
      </c>
      <c r="CE36" s="2">
        <f t="shared" si="71"/>
        <v>387</v>
      </c>
      <c r="CF36" s="2">
        <f t="shared" si="71"/>
        <v>647</v>
      </c>
      <c r="CG36" s="2">
        <f t="shared" si="71"/>
        <v>151</v>
      </c>
      <c r="CH36" s="25"/>
    </row>
    <row r="37" spans="2:86" x14ac:dyDescent="0.3">
      <c r="B37" s="2" t="s">
        <v>81</v>
      </c>
      <c r="C37" s="42">
        <f>VLOOKUP(LEFT($B37,2),标准坦克设计!$B$33:$F$36,MATCH(C$35,标准坦克设计!$B$33:$F$33,0),FALSE)</f>
        <v>800</v>
      </c>
      <c r="D37" s="42">
        <f>VLOOKUP($B37,标准坦克设计!$B$39:$H$46,MATCH(D$35,标准坦克设计!$B$39:$H$39,0),FALSE)</f>
        <v>42.469714267120075</v>
      </c>
      <c r="E37" s="42">
        <f>VLOOKUP($B37,标准坦克设计!$B$39:$H$46,MATCH(E$35,标准坦克设计!$B$39:$H$39,0),FALSE)</f>
        <v>328.57142857142856</v>
      </c>
      <c r="F37" s="42">
        <f>VLOOKUP(LEFT($B37,2),标准坦克设计!$B$33:$F$36,MATCH(F$35,标准坦克设计!$B$33:$F$33,0),FALSE)</f>
        <v>300</v>
      </c>
      <c r="G37" s="42">
        <f>C37*基础属性系数!$C$57</f>
        <v>80</v>
      </c>
      <c r="AE37" s="2" t="str">
        <f t="shared" si="72"/>
        <v>T4低4</v>
      </c>
      <c r="AF37" s="2">
        <f t="shared" si="60"/>
        <v>1536</v>
      </c>
      <c r="AG37" s="2">
        <f t="shared" si="60"/>
        <v>153</v>
      </c>
      <c r="AH37" s="2">
        <f t="shared" si="60"/>
        <v>576</v>
      </c>
      <c r="AI37" s="2">
        <f t="shared" si="60"/>
        <v>403</v>
      </c>
      <c r="AJ37" s="2">
        <f t="shared" si="60"/>
        <v>576</v>
      </c>
      <c r="AK37" s="2">
        <f t="shared" si="60"/>
        <v>154</v>
      </c>
      <c r="AL37" s="25"/>
      <c r="AM37" s="2" t="str">
        <f t="shared" si="61"/>
        <v>T4低4</v>
      </c>
      <c r="AN37" s="2">
        <f t="shared" si="62"/>
        <v>1536</v>
      </c>
      <c r="AO37" s="2">
        <f t="shared" si="62"/>
        <v>82</v>
      </c>
      <c r="AP37" s="2">
        <f t="shared" si="62"/>
        <v>631</v>
      </c>
      <c r="AQ37" s="2">
        <f t="shared" si="62"/>
        <v>442</v>
      </c>
      <c r="AR37" s="2">
        <f t="shared" si="62"/>
        <v>576</v>
      </c>
      <c r="AS37" s="2">
        <f t="shared" si="62"/>
        <v>154</v>
      </c>
      <c r="AT37" s="25"/>
      <c r="AU37" s="2" t="str">
        <f t="shared" si="63"/>
        <v>T4低4</v>
      </c>
      <c r="AV37" s="2">
        <f t="shared" si="64"/>
        <v>1536</v>
      </c>
      <c r="AW37" s="2">
        <f t="shared" si="64"/>
        <v>309</v>
      </c>
      <c r="AX37" s="2">
        <f t="shared" si="64"/>
        <v>686</v>
      </c>
      <c r="AY37" s="2">
        <f t="shared" si="64"/>
        <v>480</v>
      </c>
      <c r="AZ37" s="2">
        <f t="shared" si="64"/>
        <v>576</v>
      </c>
      <c r="BA37" s="2">
        <f t="shared" si="64"/>
        <v>154</v>
      </c>
      <c r="BB37" s="25"/>
      <c r="BC37" s="2" t="str">
        <f t="shared" si="65"/>
        <v>T4低4</v>
      </c>
      <c r="BD37" s="2">
        <f t="shared" si="66"/>
        <v>1658</v>
      </c>
      <c r="BE37" s="2">
        <f t="shared" si="66"/>
        <v>143</v>
      </c>
      <c r="BF37" s="2">
        <f t="shared" si="66"/>
        <v>549</v>
      </c>
      <c r="BG37" s="2">
        <f t="shared" si="66"/>
        <v>411</v>
      </c>
      <c r="BH37" s="2">
        <f t="shared" si="66"/>
        <v>691</v>
      </c>
      <c r="BI37" s="2">
        <f t="shared" si="66"/>
        <v>166</v>
      </c>
      <c r="BK37" s="2" t="str">
        <f t="shared" si="67"/>
        <v>T4低4</v>
      </c>
      <c r="BL37" s="2">
        <f t="shared" si="68"/>
        <v>1658</v>
      </c>
      <c r="BM37" s="2">
        <f t="shared" si="68"/>
        <v>171</v>
      </c>
      <c r="BN37" s="2">
        <f t="shared" si="68"/>
        <v>631</v>
      </c>
      <c r="BO37" s="2">
        <f t="shared" si="68"/>
        <v>473</v>
      </c>
      <c r="BP37" s="2">
        <f t="shared" si="68"/>
        <v>691</v>
      </c>
      <c r="BQ37" s="2">
        <f t="shared" si="68"/>
        <v>166</v>
      </c>
      <c r="BS37" s="2" t="str">
        <f t="shared" si="69"/>
        <v>T4低4</v>
      </c>
      <c r="BT37" s="2">
        <f t="shared" si="70"/>
        <v>1879</v>
      </c>
      <c r="BU37" s="2">
        <f t="shared" si="70"/>
        <v>515</v>
      </c>
      <c r="BV37" s="2">
        <f t="shared" si="70"/>
        <v>549</v>
      </c>
      <c r="BW37" s="2">
        <f t="shared" si="70"/>
        <v>439</v>
      </c>
      <c r="BX37" s="2">
        <f t="shared" si="70"/>
        <v>806</v>
      </c>
      <c r="BY37" s="2">
        <f t="shared" si="70"/>
        <v>188</v>
      </c>
      <c r="CA37" s="2" t="str">
        <f t="shared" si="73"/>
        <v>T4低4</v>
      </c>
      <c r="CB37" s="2">
        <f t="shared" si="71"/>
        <v>1879</v>
      </c>
      <c r="CC37" s="2">
        <f t="shared" si="71"/>
        <v>680</v>
      </c>
      <c r="CD37" s="2">
        <f t="shared" si="71"/>
        <v>603</v>
      </c>
      <c r="CE37" s="2">
        <f t="shared" si="71"/>
        <v>483</v>
      </c>
      <c r="CF37" s="2">
        <f t="shared" si="71"/>
        <v>806</v>
      </c>
      <c r="CG37" s="2">
        <f t="shared" si="71"/>
        <v>188</v>
      </c>
      <c r="CH37" s="25"/>
    </row>
    <row r="38" spans="2:86" x14ac:dyDescent="0.3">
      <c r="B38" s="2" t="s">
        <v>83</v>
      </c>
      <c r="C38" s="42">
        <f>VLOOKUP(LEFT($B38,2),标准坦克设计!$B$33:$F$36,MATCH(C$35,标准坦克设计!$B$33:$F$33,0),FALSE)</f>
        <v>800</v>
      </c>
      <c r="D38" s="42">
        <f>VLOOKUP($B38,标准坦克设计!$B$39:$H$46,MATCH(D$35,标准坦克设计!$B$39:$H$39,0),FALSE)</f>
        <v>161.03696320021743</v>
      </c>
      <c r="E38" s="42">
        <f>VLOOKUP($B38,标准坦克设计!$B$39:$H$46,MATCH(E$35,标准坦克设计!$B$39:$H$39,0),FALSE)</f>
        <v>357.14285714285717</v>
      </c>
      <c r="F38" s="42">
        <f>VLOOKUP(LEFT($B38,2),标准坦克设计!$B$33:$F$36,MATCH(F$35,标准坦克设计!$B$33:$F$33,0),FALSE)</f>
        <v>300</v>
      </c>
      <c r="G38" s="42">
        <f>C38*基础属性系数!$C$57</f>
        <v>80</v>
      </c>
      <c r="AE38" s="2" t="str">
        <f t="shared" si="72"/>
        <v>T4中4</v>
      </c>
      <c r="AF38" s="2">
        <f t="shared" si="60"/>
        <v>1600</v>
      </c>
      <c r="AG38" s="2">
        <f t="shared" si="60"/>
        <v>159</v>
      </c>
      <c r="AH38" s="2">
        <f t="shared" si="60"/>
        <v>600</v>
      </c>
      <c r="AI38" s="2">
        <f t="shared" si="60"/>
        <v>420</v>
      </c>
      <c r="AJ38" s="2">
        <f t="shared" si="60"/>
        <v>600</v>
      </c>
      <c r="AK38" s="2">
        <f t="shared" si="60"/>
        <v>160</v>
      </c>
      <c r="AL38" s="25"/>
      <c r="AM38" s="2" t="str">
        <f t="shared" si="61"/>
        <v>T4中4</v>
      </c>
      <c r="AN38" s="2">
        <f t="shared" si="62"/>
        <v>1600</v>
      </c>
      <c r="AO38" s="2">
        <f t="shared" si="62"/>
        <v>85</v>
      </c>
      <c r="AP38" s="2">
        <f t="shared" si="62"/>
        <v>657</v>
      </c>
      <c r="AQ38" s="2">
        <f t="shared" si="62"/>
        <v>460</v>
      </c>
      <c r="AR38" s="2">
        <f t="shared" si="62"/>
        <v>600</v>
      </c>
      <c r="AS38" s="2">
        <f t="shared" si="62"/>
        <v>160</v>
      </c>
      <c r="AT38" s="25"/>
      <c r="AU38" s="2" t="str">
        <f t="shared" si="63"/>
        <v>T4中4</v>
      </c>
      <c r="AV38" s="2">
        <f t="shared" si="64"/>
        <v>1600</v>
      </c>
      <c r="AW38" s="2">
        <f t="shared" si="64"/>
        <v>322</v>
      </c>
      <c r="AX38" s="2">
        <f t="shared" si="64"/>
        <v>714</v>
      </c>
      <c r="AY38" s="2">
        <f t="shared" si="64"/>
        <v>500</v>
      </c>
      <c r="AZ38" s="2">
        <f t="shared" si="64"/>
        <v>600</v>
      </c>
      <c r="BA38" s="2">
        <f t="shared" si="64"/>
        <v>160</v>
      </c>
      <c r="BB38" s="25"/>
      <c r="BC38" s="2" t="str">
        <f t="shared" si="65"/>
        <v>T4中4</v>
      </c>
      <c r="BD38" s="2">
        <f t="shared" si="66"/>
        <v>1727</v>
      </c>
      <c r="BE38" s="2">
        <f t="shared" si="66"/>
        <v>148</v>
      </c>
      <c r="BF38" s="2">
        <f t="shared" si="66"/>
        <v>571</v>
      </c>
      <c r="BG38" s="2">
        <f t="shared" si="66"/>
        <v>429</v>
      </c>
      <c r="BH38" s="2">
        <f t="shared" si="66"/>
        <v>720</v>
      </c>
      <c r="BI38" s="2">
        <f t="shared" si="66"/>
        <v>173</v>
      </c>
      <c r="BK38" s="2" t="str">
        <f t="shared" si="67"/>
        <v>T4中4</v>
      </c>
      <c r="BL38" s="2">
        <f t="shared" si="68"/>
        <v>1727</v>
      </c>
      <c r="BM38" s="2">
        <f t="shared" si="68"/>
        <v>178</v>
      </c>
      <c r="BN38" s="2">
        <f t="shared" si="68"/>
        <v>657</v>
      </c>
      <c r="BO38" s="2">
        <f t="shared" si="68"/>
        <v>493</v>
      </c>
      <c r="BP38" s="2">
        <f t="shared" si="68"/>
        <v>720</v>
      </c>
      <c r="BQ38" s="2">
        <f t="shared" si="68"/>
        <v>173</v>
      </c>
      <c r="BS38" s="2" t="str">
        <f t="shared" si="69"/>
        <v>T4中4</v>
      </c>
      <c r="BT38" s="2">
        <f t="shared" si="70"/>
        <v>1957</v>
      </c>
      <c r="BU38" s="2">
        <f t="shared" si="70"/>
        <v>536</v>
      </c>
      <c r="BV38" s="2">
        <f t="shared" si="70"/>
        <v>571</v>
      </c>
      <c r="BW38" s="2">
        <f t="shared" si="70"/>
        <v>457</v>
      </c>
      <c r="BX38" s="2">
        <f t="shared" si="70"/>
        <v>840</v>
      </c>
      <c r="BY38" s="2">
        <f t="shared" si="70"/>
        <v>196</v>
      </c>
      <c r="CA38" s="2" t="str">
        <f t="shared" si="73"/>
        <v>T4中4</v>
      </c>
      <c r="CB38" s="2">
        <f t="shared" si="71"/>
        <v>1957</v>
      </c>
      <c r="CC38" s="2">
        <f t="shared" si="71"/>
        <v>709</v>
      </c>
      <c r="CD38" s="2">
        <f t="shared" si="71"/>
        <v>629</v>
      </c>
      <c r="CE38" s="2">
        <f t="shared" si="71"/>
        <v>503</v>
      </c>
      <c r="CF38" s="2">
        <f t="shared" si="71"/>
        <v>840</v>
      </c>
      <c r="CG38" s="2">
        <f t="shared" si="71"/>
        <v>196</v>
      </c>
      <c r="CH38" s="25"/>
    </row>
    <row r="39" spans="2:86" x14ac:dyDescent="0.3">
      <c r="B39" s="2" t="s">
        <v>85</v>
      </c>
      <c r="C39" s="42">
        <f>VLOOKUP(LEFT($B39,2),标准坦克设计!$B$33:$F$36,MATCH(C$35,标准坦克设计!$B$33:$F$33,0),FALSE)</f>
        <v>863.46437263423684</v>
      </c>
      <c r="D39" s="42">
        <f>VLOOKUP($B39,标准坦克设计!$B$39:$H$46,MATCH(D$35,标准坦克设计!$B$39:$H$39,0),FALSE)</f>
        <v>74.231190842634703</v>
      </c>
      <c r="E39" s="42">
        <f>VLOOKUP($B39,标准坦克设计!$B$39:$H$46,MATCH(E$35,标准坦克设计!$B$39:$H$39,0),FALSE)</f>
        <v>285.71428571428572</v>
      </c>
      <c r="F39" s="42">
        <f>VLOOKUP(LEFT($B39,2),标准坦克设计!$B$33:$F$36,MATCH(F$35,标准坦克设计!$B$33:$F$33,0),FALSE)</f>
        <v>360</v>
      </c>
      <c r="G39" s="42">
        <f>C39*基础属性系数!$C$57</f>
        <v>86.346437263423695</v>
      </c>
      <c r="AE39" s="2" t="str">
        <f t="shared" si="72"/>
        <v>T4高4</v>
      </c>
      <c r="AF39" s="2">
        <f t="shared" si="60"/>
        <v>1600</v>
      </c>
      <c r="AG39" s="2">
        <f t="shared" si="60"/>
        <v>159</v>
      </c>
      <c r="AH39" s="2">
        <f t="shared" si="60"/>
        <v>600</v>
      </c>
      <c r="AI39" s="2">
        <f t="shared" si="60"/>
        <v>420</v>
      </c>
      <c r="AJ39" s="2">
        <f t="shared" si="60"/>
        <v>600</v>
      </c>
      <c r="AK39" s="2">
        <f t="shared" si="60"/>
        <v>160</v>
      </c>
      <c r="AL39" s="25"/>
      <c r="AM39" s="2" t="str">
        <f t="shared" si="61"/>
        <v>T4高4</v>
      </c>
      <c r="AN39" s="2">
        <f t="shared" si="62"/>
        <v>1600</v>
      </c>
      <c r="AO39" s="2">
        <f t="shared" si="62"/>
        <v>85</v>
      </c>
      <c r="AP39" s="2">
        <f t="shared" si="62"/>
        <v>657</v>
      </c>
      <c r="AQ39" s="2">
        <f t="shared" si="62"/>
        <v>460</v>
      </c>
      <c r="AR39" s="2">
        <f t="shared" si="62"/>
        <v>600</v>
      </c>
      <c r="AS39" s="2">
        <f t="shared" si="62"/>
        <v>160</v>
      </c>
      <c r="AT39" s="25"/>
      <c r="AU39" s="2" t="str">
        <f t="shared" si="63"/>
        <v>T4高4</v>
      </c>
      <c r="AV39" s="2">
        <f t="shared" si="64"/>
        <v>1600</v>
      </c>
      <c r="AW39" s="2">
        <f t="shared" si="64"/>
        <v>322</v>
      </c>
      <c r="AX39" s="2">
        <f t="shared" si="64"/>
        <v>714</v>
      </c>
      <c r="AY39" s="2">
        <f t="shared" si="64"/>
        <v>500</v>
      </c>
      <c r="AZ39" s="2">
        <f t="shared" si="64"/>
        <v>600</v>
      </c>
      <c r="BA39" s="2">
        <f t="shared" si="64"/>
        <v>160</v>
      </c>
      <c r="BB39" s="25"/>
      <c r="BC39" s="2" t="str">
        <f t="shared" si="65"/>
        <v>T4高4</v>
      </c>
      <c r="BD39" s="2">
        <f t="shared" si="66"/>
        <v>1727</v>
      </c>
      <c r="BE39" s="2">
        <f t="shared" si="66"/>
        <v>148</v>
      </c>
      <c r="BF39" s="2">
        <f t="shared" si="66"/>
        <v>571</v>
      </c>
      <c r="BG39" s="2">
        <f t="shared" si="66"/>
        <v>429</v>
      </c>
      <c r="BH39" s="2">
        <f t="shared" si="66"/>
        <v>720</v>
      </c>
      <c r="BI39" s="2">
        <f t="shared" si="66"/>
        <v>173</v>
      </c>
      <c r="BK39" s="2" t="str">
        <f t="shared" si="67"/>
        <v>T4高4</v>
      </c>
      <c r="BL39" s="2">
        <f t="shared" si="68"/>
        <v>1727</v>
      </c>
      <c r="BM39" s="2">
        <f t="shared" si="68"/>
        <v>178</v>
      </c>
      <c r="BN39" s="2">
        <f t="shared" si="68"/>
        <v>657</v>
      </c>
      <c r="BO39" s="2">
        <f t="shared" si="68"/>
        <v>493</v>
      </c>
      <c r="BP39" s="2">
        <f t="shared" si="68"/>
        <v>720</v>
      </c>
      <c r="BQ39" s="2">
        <f t="shared" si="68"/>
        <v>173</v>
      </c>
      <c r="BS39" s="2" t="str">
        <f t="shared" si="69"/>
        <v>T4高4</v>
      </c>
      <c r="BT39" s="2">
        <f t="shared" si="70"/>
        <v>1957</v>
      </c>
      <c r="BU39" s="2">
        <f t="shared" si="70"/>
        <v>536</v>
      </c>
      <c r="BV39" s="2">
        <f t="shared" si="70"/>
        <v>571</v>
      </c>
      <c r="BW39" s="2">
        <f t="shared" si="70"/>
        <v>457</v>
      </c>
      <c r="BX39" s="2">
        <f t="shared" si="70"/>
        <v>840</v>
      </c>
      <c r="BY39" s="2">
        <f t="shared" si="70"/>
        <v>196</v>
      </c>
      <c r="CA39" s="2" t="str">
        <f t="shared" si="73"/>
        <v>T4高4</v>
      </c>
      <c r="CB39" s="2">
        <f t="shared" si="71"/>
        <v>1957</v>
      </c>
      <c r="CC39" s="2">
        <f t="shared" si="71"/>
        <v>709</v>
      </c>
      <c r="CD39" s="2">
        <f t="shared" si="71"/>
        <v>629</v>
      </c>
      <c r="CE39" s="2">
        <f t="shared" si="71"/>
        <v>503</v>
      </c>
      <c r="CF39" s="2">
        <f t="shared" si="71"/>
        <v>840</v>
      </c>
      <c r="CG39" s="2">
        <f t="shared" si="71"/>
        <v>196</v>
      </c>
      <c r="CH39" s="25"/>
    </row>
    <row r="40" spans="2:86" x14ac:dyDescent="0.3">
      <c r="B40" s="2" t="s">
        <v>86</v>
      </c>
      <c r="C40" s="42">
        <f>VLOOKUP(LEFT($B40,2),标准坦克设计!$B$33:$F$36,MATCH(C$35,标准坦克设计!$B$33:$F$33,0),FALSE)</f>
        <v>863.46437263423684</v>
      </c>
      <c r="D40" s="42">
        <f>VLOOKUP($B40,标准坦克设计!$B$39:$H$46,MATCH(D$35,标准坦克设计!$B$39:$H$39,0),FALSE)</f>
        <v>88.950142967360307</v>
      </c>
      <c r="E40" s="42">
        <f>VLOOKUP($B40,标准坦克设计!$B$39:$H$46,MATCH(E$35,标准坦克设计!$B$39:$H$39,0),FALSE)</f>
        <v>328.57142857142856</v>
      </c>
      <c r="F40" s="42">
        <f>VLOOKUP(LEFT($B40,2),标准坦克设计!$B$33:$F$36,MATCH(F$35,标准坦克设计!$B$33:$F$33,0),FALSE)</f>
        <v>360</v>
      </c>
      <c r="G40" s="42">
        <f>C40*基础属性系数!$C$57</f>
        <v>86.346437263423695</v>
      </c>
      <c r="AE40" s="2" t="str">
        <f t="shared" si="72"/>
        <v>T5低5</v>
      </c>
      <c r="AF40" s="2">
        <f t="shared" si="60"/>
        <v>2016</v>
      </c>
      <c r="AG40" s="2">
        <f t="shared" si="60"/>
        <v>201</v>
      </c>
      <c r="AH40" s="2">
        <f t="shared" si="60"/>
        <v>756</v>
      </c>
      <c r="AI40" s="2">
        <f t="shared" si="60"/>
        <v>529</v>
      </c>
      <c r="AJ40" s="2">
        <f t="shared" si="60"/>
        <v>756</v>
      </c>
      <c r="AK40" s="2">
        <f t="shared" si="60"/>
        <v>202</v>
      </c>
      <c r="AL40" s="25"/>
      <c r="AM40" s="2" t="str">
        <f t="shared" si="61"/>
        <v>T5低5</v>
      </c>
      <c r="AN40" s="2">
        <f t="shared" si="62"/>
        <v>2016</v>
      </c>
      <c r="AO40" s="2">
        <f t="shared" si="62"/>
        <v>107</v>
      </c>
      <c r="AP40" s="2">
        <f t="shared" si="62"/>
        <v>828</v>
      </c>
      <c r="AQ40" s="2">
        <f t="shared" si="62"/>
        <v>580</v>
      </c>
      <c r="AR40" s="2">
        <f t="shared" si="62"/>
        <v>756</v>
      </c>
      <c r="AS40" s="2">
        <f t="shared" si="62"/>
        <v>202</v>
      </c>
      <c r="AT40" s="25"/>
      <c r="AU40" s="2" t="str">
        <f t="shared" si="63"/>
        <v>T5低5</v>
      </c>
      <c r="AV40" s="2">
        <f t="shared" si="64"/>
        <v>2016</v>
      </c>
      <c r="AW40" s="2">
        <f t="shared" si="64"/>
        <v>406</v>
      </c>
      <c r="AX40" s="2">
        <f t="shared" si="64"/>
        <v>900</v>
      </c>
      <c r="AY40" s="2">
        <f t="shared" si="64"/>
        <v>630</v>
      </c>
      <c r="AZ40" s="2">
        <f t="shared" si="64"/>
        <v>756</v>
      </c>
      <c r="BA40" s="2">
        <f t="shared" si="64"/>
        <v>202</v>
      </c>
      <c r="BB40" s="25"/>
      <c r="BC40" s="2" t="str">
        <f t="shared" si="65"/>
        <v>T5低5</v>
      </c>
      <c r="BD40" s="2">
        <f t="shared" si="66"/>
        <v>2176</v>
      </c>
      <c r="BE40" s="2">
        <f t="shared" si="66"/>
        <v>187</v>
      </c>
      <c r="BF40" s="2">
        <f t="shared" si="66"/>
        <v>720</v>
      </c>
      <c r="BG40" s="2">
        <f t="shared" si="66"/>
        <v>540</v>
      </c>
      <c r="BH40" s="2">
        <f t="shared" si="66"/>
        <v>907</v>
      </c>
      <c r="BI40" s="2">
        <f t="shared" si="66"/>
        <v>218</v>
      </c>
      <c r="BK40" s="2" t="str">
        <f t="shared" si="67"/>
        <v>T5低5</v>
      </c>
      <c r="BL40" s="2">
        <f t="shared" si="68"/>
        <v>2176</v>
      </c>
      <c r="BM40" s="2">
        <f t="shared" si="68"/>
        <v>224</v>
      </c>
      <c r="BN40" s="2">
        <f t="shared" si="68"/>
        <v>828</v>
      </c>
      <c r="BO40" s="2">
        <f t="shared" si="68"/>
        <v>621</v>
      </c>
      <c r="BP40" s="2">
        <f t="shared" si="68"/>
        <v>907</v>
      </c>
      <c r="BQ40" s="2">
        <f t="shared" si="68"/>
        <v>218</v>
      </c>
      <c r="BS40" s="2" t="str">
        <f t="shared" si="69"/>
        <v>T5低5</v>
      </c>
      <c r="BT40" s="2">
        <f t="shared" si="70"/>
        <v>2466</v>
      </c>
      <c r="BU40" s="2">
        <f t="shared" si="70"/>
        <v>676</v>
      </c>
      <c r="BV40" s="2">
        <f t="shared" si="70"/>
        <v>720</v>
      </c>
      <c r="BW40" s="2">
        <f t="shared" si="70"/>
        <v>576</v>
      </c>
      <c r="BX40" s="2">
        <f t="shared" si="70"/>
        <v>1058</v>
      </c>
      <c r="BY40" s="2">
        <f t="shared" si="70"/>
        <v>247</v>
      </c>
      <c r="CA40" s="2" t="str">
        <f t="shared" si="73"/>
        <v>T5低5</v>
      </c>
      <c r="CB40" s="2">
        <f t="shared" si="71"/>
        <v>2466</v>
      </c>
      <c r="CC40" s="2">
        <f t="shared" si="71"/>
        <v>893</v>
      </c>
      <c r="CD40" s="2">
        <f t="shared" si="71"/>
        <v>792</v>
      </c>
      <c r="CE40" s="2">
        <f t="shared" si="71"/>
        <v>634</v>
      </c>
      <c r="CF40" s="2">
        <f t="shared" si="71"/>
        <v>1058</v>
      </c>
      <c r="CG40" s="2">
        <f t="shared" si="71"/>
        <v>247</v>
      </c>
      <c r="CH40" s="25"/>
    </row>
    <row r="41" spans="2:86" x14ac:dyDescent="0.3">
      <c r="B41" s="2" t="s">
        <v>87</v>
      </c>
      <c r="C41" s="42">
        <f>VLOOKUP(LEFT($B41,2),标准坦克设计!$B$33:$F$36,MATCH(C$35,标准坦克设计!$B$33:$F$33,0),FALSE)</f>
        <v>978.64269366331098</v>
      </c>
      <c r="D41" s="42">
        <f>VLOOKUP($B41,标准坦克设计!$B$39:$H$46,MATCH(D$35,标准坦克设计!$B$39:$H$39,0),FALSE)</f>
        <v>268.06456467835034</v>
      </c>
      <c r="E41" s="42">
        <f>VLOOKUP($B41,标准坦克设计!$B$39:$H$46,MATCH(E$35,标准坦克设计!$B$39:$H$39,0),FALSE)</f>
        <v>285.71428571428572</v>
      </c>
      <c r="F41" s="42">
        <f>VLOOKUP(LEFT($B41,2),标准坦克设计!$B$33:$F$36,MATCH(F$35,标准坦克设计!$B$33:$F$33,0),FALSE)</f>
        <v>420</v>
      </c>
      <c r="G41" s="42">
        <f>C41*基础属性系数!$C$57</f>
        <v>97.864269366331101</v>
      </c>
      <c r="AE41" s="2" t="str">
        <f t="shared" si="72"/>
        <v>T5中5</v>
      </c>
      <c r="AF41" s="2">
        <f t="shared" si="60"/>
        <v>2096</v>
      </c>
      <c r="AG41" s="2">
        <f t="shared" si="60"/>
        <v>209</v>
      </c>
      <c r="AH41" s="2">
        <f t="shared" si="60"/>
        <v>786</v>
      </c>
      <c r="AI41" s="2">
        <f t="shared" si="60"/>
        <v>550</v>
      </c>
      <c r="AJ41" s="2">
        <f t="shared" si="60"/>
        <v>786</v>
      </c>
      <c r="AK41" s="2">
        <f t="shared" si="60"/>
        <v>210</v>
      </c>
      <c r="AL41" s="25"/>
      <c r="AM41" s="2" t="str">
        <f t="shared" si="61"/>
        <v>T5中5</v>
      </c>
      <c r="AN41" s="2">
        <f t="shared" si="62"/>
        <v>2096</v>
      </c>
      <c r="AO41" s="2">
        <f t="shared" si="62"/>
        <v>111</v>
      </c>
      <c r="AP41" s="2">
        <f t="shared" si="62"/>
        <v>861</v>
      </c>
      <c r="AQ41" s="2">
        <f t="shared" si="62"/>
        <v>603</v>
      </c>
      <c r="AR41" s="2">
        <f t="shared" si="62"/>
        <v>786</v>
      </c>
      <c r="AS41" s="2">
        <f t="shared" si="62"/>
        <v>210</v>
      </c>
      <c r="AT41" s="25"/>
      <c r="AU41" s="2" t="str">
        <f t="shared" si="63"/>
        <v>T5中5</v>
      </c>
      <c r="AV41" s="2">
        <f t="shared" si="64"/>
        <v>2096</v>
      </c>
      <c r="AW41" s="2">
        <f t="shared" si="64"/>
        <v>422</v>
      </c>
      <c r="AX41" s="2">
        <f t="shared" si="64"/>
        <v>936</v>
      </c>
      <c r="AY41" s="2">
        <f t="shared" si="64"/>
        <v>655</v>
      </c>
      <c r="AZ41" s="2">
        <f t="shared" si="64"/>
        <v>786</v>
      </c>
      <c r="BA41" s="2">
        <f t="shared" si="64"/>
        <v>210</v>
      </c>
      <c r="BB41" s="25"/>
      <c r="BC41" s="2" t="str">
        <f t="shared" si="65"/>
        <v>T5中5</v>
      </c>
      <c r="BD41" s="2">
        <f t="shared" si="66"/>
        <v>2262</v>
      </c>
      <c r="BE41" s="2">
        <f t="shared" si="66"/>
        <v>194</v>
      </c>
      <c r="BF41" s="2">
        <f t="shared" si="66"/>
        <v>749</v>
      </c>
      <c r="BG41" s="2">
        <f t="shared" si="66"/>
        <v>561</v>
      </c>
      <c r="BH41" s="2">
        <f t="shared" si="66"/>
        <v>943</v>
      </c>
      <c r="BI41" s="2">
        <f t="shared" si="66"/>
        <v>226</v>
      </c>
      <c r="BK41" s="2" t="str">
        <f t="shared" si="67"/>
        <v>T5中5</v>
      </c>
      <c r="BL41" s="2">
        <f t="shared" si="68"/>
        <v>2262</v>
      </c>
      <c r="BM41" s="2">
        <f t="shared" si="68"/>
        <v>233</v>
      </c>
      <c r="BN41" s="2">
        <f t="shared" si="68"/>
        <v>861</v>
      </c>
      <c r="BO41" s="2">
        <f t="shared" si="68"/>
        <v>646</v>
      </c>
      <c r="BP41" s="2">
        <f t="shared" si="68"/>
        <v>943</v>
      </c>
      <c r="BQ41" s="2">
        <f t="shared" si="68"/>
        <v>226</v>
      </c>
      <c r="BS41" s="2" t="str">
        <f t="shared" si="69"/>
        <v>T5中5</v>
      </c>
      <c r="BT41" s="2">
        <f t="shared" si="70"/>
        <v>2564</v>
      </c>
      <c r="BU41" s="2">
        <f t="shared" si="70"/>
        <v>702</v>
      </c>
      <c r="BV41" s="2">
        <f t="shared" si="70"/>
        <v>749</v>
      </c>
      <c r="BW41" s="2">
        <f t="shared" si="70"/>
        <v>599</v>
      </c>
      <c r="BX41" s="2">
        <f t="shared" si="70"/>
        <v>1100</v>
      </c>
      <c r="BY41" s="2">
        <f t="shared" si="70"/>
        <v>256</v>
      </c>
      <c r="CA41" s="2" t="str">
        <f t="shared" si="73"/>
        <v>T5中5</v>
      </c>
      <c r="CB41" s="2">
        <f t="shared" si="71"/>
        <v>2564</v>
      </c>
      <c r="CC41" s="2">
        <f t="shared" si="71"/>
        <v>928</v>
      </c>
      <c r="CD41" s="2">
        <f t="shared" si="71"/>
        <v>823</v>
      </c>
      <c r="CE41" s="2">
        <f t="shared" si="71"/>
        <v>659</v>
      </c>
      <c r="CF41" s="2">
        <f t="shared" si="71"/>
        <v>1100</v>
      </c>
      <c r="CG41" s="2">
        <f t="shared" si="71"/>
        <v>256</v>
      </c>
      <c r="CH41" s="25"/>
    </row>
    <row r="42" spans="2:86" x14ac:dyDescent="0.3">
      <c r="B42" s="2" t="s">
        <v>88</v>
      </c>
      <c r="C42" s="42">
        <f>VLOOKUP(LEFT($B42,2),标准坦克设计!$B$33:$F$36,MATCH(C$35,标准坦克设计!$B$33:$F$33,0),FALSE)</f>
        <v>978.64269366331098</v>
      </c>
      <c r="D42" s="42">
        <f>VLOOKUP($B42,标准坦克设计!$B$39:$H$46,MATCH(D$35,标准坦克设计!$B$39:$H$39,0),FALSE)</f>
        <v>354.2785038874182</v>
      </c>
      <c r="E42" s="42">
        <f>VLOOKUP($B42,标准坦克设计!$B$39:$H$46,MATCH(E$35,标准坦克设计!$B$39:$H$39,0),FALSE)</f>
        <v>314.28571428571433</v>
      </c>
      <c r="F42" s="42">
        <f>VLOOKUP(LEFT($B42,2),标准坦克设计!$B$33:$F$36,MATCH(F$35,标准坦克设计!$B$33:$F$33,0),FALSE)</f>
        <v>420</v>
      </c>
      <c r="G42" s="42">
        <f>C42*基础属性系数!$C$57</f>
        <v>97.864269366331101</v>
      </c>
      <c r="AE42" s="2" t="str">
        <f t="shared" si="72"/>
        <v>T5高5</v>
      </c>
      <c r="AF42" s="2">
        <f t="shared" si="60"/>
        <v>2096</v>
      </c>
      <c r="AG42" s="2">
        <f t="shared" si="60"/>
        <v>209</v>
      </c>
      <c r="AH42" s="2">
        <f t="shared" si="60"/>
        <v>786</v>
      </c>
      <c r="AI42" s="2">
        <f t="shared" si="60"/>
        <v>550</v>
      </c>
      <c r="AJ42" s="2">
        <f t="shared" si="60"/>
        <v>786</v>
      </c>
      <c r="AK42" s="2">
        <f t="shared" si="60"/>
        <v>210</v>
      </c>
      <c r="AL42" s="25"/>
      <c r="AM42" s="2" t="str">
        <f t="shared" si="61"/>
        <v>T5高5</v>
      </c>
      <c r="AN42" s="2">
        <f t="shared" si="62"/>
        <v>2096</v>
      </c>
      <c r="AO42" s="2">
        <f t="shared" si="62"/>
        <v>111</v>
      </c>
      <c r="AP42" s="2">
        <f t="shared" si="62"/>
        <v>861</v>
      </c>
      <c r="AQ42" s="2">
        <f t="shared" si="62"/>
        <v>603</v>
      </c>
      <c r="AR42" s="2">
        <f t="shared" si="62"/>
        <v>786</v>
      </c>
      <c r="AS42" s="2">
        <f t="shared" si="62"/>
        <v>210</v>
      </c>
      <c r="AT42" s="25"/>
      <c r="AU42" s="2" t="str">
        <f t="shared" si="63"/>
        <v>T5高5</v>
      </c>
      <c r="AV42" s="2">
        <f t="shared" si="64"/>
        <v>2096</v>
      </c>
      <c r="AW42" s="2">
        <f t="shared" si="64"/>
        <v>422</v>
      </c>
      <c r="AX42" s="2">
        <f t="shared" si="64"/>
        <v>936</v>
      </c>
      <c r="AY42" s="2">
        <f t="shared" si="64"/>
        <v>655</v>
      </c>
      <c r="AZ42" s="2">
        <f t="shared" si="64"/>
        <v>786</v>
      </c>
      <c r="BA42" s="2">
        <f t="shared" si="64"/>
        <v>210</v>
      </c>
      <c r="BB42" s="25"/>
      <c r="BC42" s="2" t="str">
        <f t="shared" si="65"/>
        <v>T5高5</v>
      </c>
      <c r="BD42" s="2">
        <f t="shared" si="66"/>
        <v>2262</v>
      </c>
      <c r="BE42" s="2">
        <f t="shared" si="66"/>
        <v>194</v>
      </c>
      <c r="BF42" s="2">
        <f t="shared" si="66"/>
        <v>749</v>
      </c>
      <c r="BG42" s="2">
        <f t="shared" si="66"/>
        <v>561</v>
      </c>
      <c r="BH42" s="2">
        <f t="shared" si="66"/>
        <v>943</v>
      </c>
      <c r="BI42" s="2">
        <f t="shared" si="66"/>
        <v>226</v>
      </c>
      <c r="BK42" s="2" t="str">
        <f t="shared" si="67"/>
        <v>T5高5</v>
      </c>
      <c r="BL42" s="2">
        <f t="shared" si="68"/>
        <v>2262</v>
      </c>
      <c r="BM42" s="2">
        <f t="shared" si="68"/>
        <v>233</v>
      </c>
      <c r="BN42" s="2">
        <f t="shared" si="68"/>
        <v>861</v>
      </c>
      <c r="BO42" s="2">
        <f t="shared" si="68"/>
        <v>646</v>
      </c>
      <c r="BP42" s="2">
        <f t="shared" si="68"/>
        <v>943</v>
      </c>
      <c r="BQ42" s="2">
        <f t="shared" si="68"/>
        <v>226</v>
      </c>
      <c r="BS42" s="2" t="str">
        <f t="shared" si="69"/>
        <v>T5高5</v>
      </c>
      <c r="BT42" s="2">
        <f t="shared" si="70"/>
        <v>2564</v>
      </c>
      <c r="BU42" s="2">
        <f t="shared" si="70"/>
        <v>702</v>
      </c>
      <c r="BV42" s="2">
        <f t="shared" si="70"/>
        <v>749</v>
      </c>
      <c r="BW42" s="2">
        <f t="shared" si="70"/>
        <v>599</v>
      </c>
      <c r="BX42" s="2">
        <f t="shared" si="70"/>
        <v>1100</v>
      </c>
      <c r="BY42" s="2">
        <f t="shared" si="70"/>
        <v>256</v>
      </c>
      <c r="CA42" s="2" t="str">
        <f t="shared" si="73"/>
        <v>T5高5</v>
      </c>
      <c r="CB42" s="2">
        <f t="shared" si="71"/>
        <v>2564</v>
      </c>
      <c r="CC42" s="2">
        <f t="shared" si="71"/>
        <v>928</v>
      </c>
      <c r="CD42" s="2">
        <f t="shared" si="71"/>
        <v>823</v>
      </c>
      <c r="CE42" s="2">
        <f t="shared" si="71"/>
        <v>659</v>
      </c>
      <c r="CF42" s="2">
        <f t="shared" si="71"/>
        <v>1100</v>
      </c>
      <c r="CG42" s="2">
        <f t="shared" si="71"/>
        <v>256</v>
      </c>
      <c r="CH42" s="25"/>
    </row>
    <row r="43" spans="2:86" x14ac:dyDescent="0.3">
      <c r="CH43" s="25"/>
    </row>
    <row r="44" spans="2:86" x14ac:dyDescent="0.3">
      <c r="B44" s="263" t="s">
        <v>833</v>
      </c>
      <c r="C44" s="264"/>
      <c r="D44" s="264"/>
      <c r="E44" s="264"/>
      <c r="F44" s="264"/>
      <c r="G44" s="264"/>
      <c r="H44" s="265"/>
      <c r="CH44" s="25"/>
    </row>
    <row r="45" spans="2:86" x14ac:dyDescent="0.3">
      <c r="B45" s="2" t="s">
        <v>72</v>
      </c>
      <c r="C45" s="2" t="s">
        <v>774</v>
      </c>
      <c r="D45" s="2" t="s">
        <v>775</v>
      </c>
      <c r="E45" s="2" t="s">
        <v>776</v>
      </c>
      <c r="F45" s="2" t="s">
        <v>77</v>
      </c>
      <c r="G45" s="2" t="s">
        <v>130</v>
      </c>
      <c r="H45" s="2" t="s">
        <v>777</v>
      </c>
      <c r="CH45" s="25"/>
    </row>
    <row r="46" spans="2:86" x14ac:dyDescent="0.3">
      <c r="B46" s="2" t="s">
        <v>79</v>
      </c>
      <c r="C46" s="42">
        <f>C36</f>
        <v>800</v>
      </c>
      <c r="D46" s="42">
        <f>D36</f>
        <v>79.720818645141122</v>
      </c>
      <c r="E46" s="42">
        <f>E36*标准坦克设计!D4</f>
        <v>300</v>
      </c>
      <c r="F46" s="42">
        <f>E36*标准坦克设计!E4</f>
        <v>210</v>
      </c>
      <c r="G46" s="42">
        <f t="shared" ref="G46:G52" si="74">F36</f>
        <v>300</v>
      </c>
      <c r="H46" s="42">
        <f>C46*基础属性系数!$C$57</f>
        <v>80</v>
      </c>
      <c r="CH46" s="25"/>
    </row>
    <row r="47" spans="2:86" x14ac:dyDescent="0.3">
      <c r="B47" s="2" t="s">
        <v>81</v>
      </c>
      <c r="C47" s="42">
        <f t="shared" ref="C47:D52" si="75">C37</f>
        <v>800</v>
      </c>
      <c r="D47" s="42">
        <f t="shared" si="75"/>
        <v>42.469714267120075</v>
      </c>
      <c r="E47" s="42">
        <f>E37*标准坦克设计!D5</f>
        <v>328.57142857142856</v>
      </c>
      <c r="F47" s="42">
        <f>E37*标准坦克设计!E5</f>
        <v>229.99999999999997</v>
      </c>
      <c r="G47" s="42">
        <f t="shared" si="74"/>
        <v>300</v>
      </c>
      <c r="H47" s="42">
        <f>C47*基础属性系数!$C$57</f>
        <v>80</v>
      </c>
      <c r="CH47" s="25"/>
    </row>
    <row r="48" spans="2:86" x14ac:dyDescent="0.3">
      <c r="B48" s="2" t="s">
        <v>83</v>
      </c>
      <c r="C48" s="42">
        <f t="shared" si="75"/>
        <v>800</v>
      </c>
      <c r="D48" s="42">
        <f t="shared" si="75"/>
        <v>161.03696320021743</v>
      </c>
      <c r="E48" s="42">
        <f>E38*标准坦克设计!D6</f>
        <v>357.14285714285717</v>
      </c>
      <c r="F48" s="42">
        <f>E38*标准坦克设计!E6</f>
        <v>250</v>
      </c>
      <c r="G48" s="42">
        <f t="shared" si="74"/>
        <v>300</v>
      </c>
      <c r="H48" s="42">
        <f>C48*基础属性系数!$C$57</f>
        <v>80</v>
      </c>
      <c r="CH48" s="25"/>
    </row>
    <row r="49" spans="2:94" x14ac:dyDescent="0.3">
      <c r="B49" s="2" t="s">
        <v>85</v>
      </c>
      <c r="C49" s="42">
        <f t="shared" si="75"/>
        <v>863.46437263423684</v>
      </c>
      <c r="D49" s="42">
        <f t="shared" si="75"/>
        <v>74.231190842634703</v>
      </c>
      <c r="E49" s="42">
        <f>E39*标准坦克设计!D7</f>
        <v>285.71428571428572</v>
      </c>
      <c r="F49" s="42">
        <f>E39*标准坦克设计!E7</f>
        <v>214.28571428571428</v>
      </c>
      <c r="G49" s="42">
        <f t="shared" si="74"/>
        <v>360</v>
      </c>
      <c r="H49" s="42">
        <f>C49*基础属性系数!$C$57</f>
        <v>86.346437263423695</v>
      </c>
      <c r="CH49" s="25"/>
      <c r="CK49" s="25"/>
      <c r="CL49" s="25"/>
      <c r="CM49" s="25"/>
      <c r="CN49" s="25"/>
      <c r="CO49" s="25"/>
      <c r="CP49" s="25"/>
    </row>
    <row r="50" spans="2:94" x14ac:dyDescent="0.3">
      <c r="B50" s="2" t="s">
        <v>86</v>
      </c>
      <c r="C50" s="42">
        <f t="shared" si="75"/>
        <v>863.46437263423684</v>
      </c>
      <c r="D50" s="42">
        <f t="shared" si="75"/>
        <v>88.950142967360307</v>
      </c>
      <c r="E50" s="42">
        <f>E40*标准坦克设计!D8</f>
        <v>328.57142857142856</v>
      </c>
      <c r="F50" s="42">
        <f>E40*标准坦克设计!E8</f>
        <v>246.42857142857142</v>
      </c>
      <c r="G50" s="42">
        <f t="shared" si="74"/>
        <v>360</v>
      </c>
      <c r="H50" s="42">
        <f>C50*基础属性系数!$C$57</f>
        <v>86.346437263423695</v>
      </c>
      <c r="CH50" s="25"/>
      <c r="CK50" s="25"/>
      <c r="CL50" s="25"/>
      <c r="CM50" s="25"/>
      <c r="CN50" s="25"/>
      <c r="CO50" s="25"/>
      <c r="CP50" s="25"/>
    </row>
    <row r="51" spans="2:94" x14ac:dyDescent="0.3">
      <c r="B51" s="2" t="s">
        <v>87</v>
      </c>
      <c r="C51" s="42">
        <f t="shared" si="75"/>
        <v>978.64269366331098</v>
      </c>
      <c r="D51" s="42">
        <f t="shared" si="75"/>
        <v>268.06456467835034</v>
      </c>
      <c r="E51" s="42">
        <f>E41*标准坦克设计!D9</f>
        <v>285.71428571428572</v>
      </c>
      <c r="F51" s="42">
        <f>E41*标准坦克设计!E9</f>
        <v>228.57142857142858</v>
      </c>
      <c r="G51" s="42">
        <f t="shared" si="74"/>
        <v>420</v>
      </c>
      <c r="H51" s="42">
        <f>C51*基础属性系数!$C$57</f>
        <v>97.864269366331101</v>
      </c>
      <c r="CH51" s="25"/>
      <c r="CK51" s="25"/>
      <c r="CL51" s="25"/>
      <c r="CM51" s="25"/>
      <c r="CN51" s="25"/>
      <c r="CO51" s="25"/>
      <c r="CP51" s="25"/>
    </row>
    <row r="52" spans="2:94" x14ac:dyDescent="0.3">
      <c r="B52" s="2" t="s">
        <v>88</v>
      </c>
      <c r="C52" s="42">
        <f t="shared" si="75"/>
        <v>978.64269366331098</v>
      </c>
      <c r="D52" s="42">
        <f t="shared" si="75"/>
        <v>354.2785038874182</v>
      </c>
      <c r="E52" s="42">
        <f>E42*标准坦克设计!D10</f>
        <v>314.28571428571433</v>
      </c>
      <c r="F52" s="42">
        <f>E42*标准坦克设计!E10</f>
        <v>251.42857142857147</v>
      </c>
      <c r="G52" s="42">
        <f t="shared" si="74"/>
        <v>420</v>
      </c>
      <c r="H52" s="42">
        <f>C52*基础属性系数!$C$57</f>
        <v>97.864269366331101</v>
      </c>
      <c r="CH52" s="25"/>
      <c r="CK52" s="25"/>
      <c r="CL52" s="25"/>
      <c r="CM52" s="25"/>
      <c r="CN52" s="25"/>
      <c r="CO52" s="25"/>
      <c r="CP52" s="25"/>
    </row>
    <row r="53" spans="2:94" x14ac:dyDescent="0.3">
      <c r="CH53" s="25"/>
      <c r="CK53" s="25"/>
      <c r="CL53" s="25"/>
      <c r="CM53" s="25"/>
      <c r="CN53" s="25"/>
      <c r="CO53" s="25"/>
      <c r="CP53" s="25"/>
    </row>
    <row r="54" spans="2:94" x14ac:dyDescent="0.3">
      <c r="B54" s="262" t="s">
        <v>834</v>
      </c>
      <c r="C54" s="262"/>
      <c r="D54" s="262"/>
      <c r="E54" s="262"/>
      <c r="F54" s="262"/>
      <c r="G54" s="262"/>
      <c r="H54" s="262"/>
      <c r="I54" s="262"/>
      <c r="J54" s="262"/>
      <c r="K54" s="262"/>
      <c r="L54" s="262"/>
      <c r="M54" s="262"/>
      <c r="N54" s="262"/>
      <c r="O54" s="262"/>
      <c r="P54" s="262"/>
      <c r="Q54" s="262"/>
      <c r="CH54" s="25"/>
      <c r="CK54" s="25"/>
      <c r="CL54" s="25"/>
      <c r="CM54" s="25"/>
      <c r="CN54" s="25"/>
      <c r="CO54" s="25"/>
      <c r="CP54" s="25"/>
    </row>
    <row r="55" spans="2:94" x14ac:dyDescent="0.3">
      <c r="B55" s="2" t="s">
        <v>72</v>
      </c>
      <c r="C55" s="2" t="s">
        <v>143</v>
      </c>
      <c r="D55" s="2" t="s">
        <v>91</v>
      </c>
      <c r="E55" s="2" t="s">
        <v>92</v>
      </c>
      <c r="F55" s="2" t="s">
        <v>93</v>
      </c>
      <c r="G55" s="2" t="s">
        <v>94</v>
      </c>
      <c r="H55" s="2" t="s">
        <v>95</v>
      </c>
      <c r="I55" s="2" t="s">
        <v>835</v>
      </c>
      <c r="J55" s="2" t="s">
        <v>836</v>
      </c>
      <c r="K55" s="2" t="s">
        <v>837</v>
      </c>
      <c r="L55" s="2" t="s">
        <v>117</v>
      </c>
      <c r="M55" s="2" t="s">
        <v>118</v>
      </c>
      <c r="N55" s="2" t="s">
        <v>119</v>
      </c>
      <c r="O55" s="2" t="s">
        <v>838</v>
      </c>
      <c r="P55" s="2" t="s">
        <v>838</v>
      </c>
      <c r="Q55" s="2" t="s">
        <v>838</v>
      </c>
      <c r="CH55" s="25"/>
      <c r="CK55" s="25"/>
      <c r="CL55" s="25"/>
      <c r="CM55" s="25"/>
      <c r="CN55" s="25"/>
      <c r="CO55" s="25"/>
      <c r="CP55" s="25"/>
    </row>
    <row r="56" spans="2:94" x14ac:dyDescent="0.3">
      <c r="B56" s="2" t="s">
        <v>79</v>
      </c>
      <c r="C56" s="2">
        <f>ROUND(VLOOKUP(B56,标准坦克设计!$B$39:$H$46,6,FALSE),0)</f>
        <v>80</v>
      </c>
      <c r="D56" s="21">
        <v>6</v>
      </c>
      <c r="E56" s="2">
        <f>VLOOKUP($B56,标准坦克设计!$B$13:$K$20,MATCH(E$55,标准坦克设计!$B$13:$K$13,0),FALSE)</f>
        <v>1.4</v>
      </c>
      <c r="F56" s="2">
        <f>VLOOKUP($B56,标准坦克设计!$B$13:$K$20,MATCH(F$55,标准坦克设计!$B$13:$K$13,0),FALSE)</f>
        <v>1.4</v>
      </c>
      <c r="G56" s="2">
        <f>VLOOKUP($B56,标准坦克设计!$B$13:$K$20,MATCH(G$55,标准坦克设计!$B$13:$K$13,0),FALSE)</f>
        <v>0</v>
      </c>
      <c r="H56" s="2">
        <f>VLOOKUP($B56,标准坦克设计!$B$13:$K$20,MATCH(H$55,标准坦克设计!$B$13:$K$13,0),FALSE)</f>
        <v>0.4</v>
      </c>
      <c r="I56" s="34">
        <f>VLOOKUP($B56,标准坦克设计!$B$23:$U$30,MATCH("对轻坦输出",标准坦克设计!$B$23:$U$23,0),FALSE)</f>
        <v>1.276280095895922</v>
      </c>
      <c r="J56" s="34">
        <f>VLOOKUP($B56,标准坦克设计!$B$23:$U$30,MATCH("对中坦输出",标准坦克设计!$B$23:$U$23,0),FALSE)</f>
        <v>1.1555062125359821</v>
      </c>
      <c r="K56" s="34">
        <f>VLOOKUP($B56,标准坦克设计!$B$23:$U$30,MATCH("对重坦输出",标准坦克设计!$B$23:$U$23,0),FALSE)</f>
        <v>1.0304604192595412</v>
      </c>
      <c r="L56" s="2">
        <f>(ROUNDUP($C$46*(1-基础属性系数!$C$111)/(C56*I56),0)-D56)*F56+(D56-1)*H56</f>
        <v>0.60000000000000009</v>
      </c>
      <c r="M56" s="2">
        <f>(ROUNDUP($C$49*(1-基础属性系数!$C$111)/(C56*J56),0)-D56)*F56+(D56-1)*H56</f>
        <v>2</v>
      </c>
      <c r="N56" s="2">
        <f>(ROUNDUP($C$51*(1-基础属性系数!$C$111)/(C56*K56),0)-D56)*F56+(D56-1)*H56</f>
        <v>4.8</v>
      </c>
      <c r="O56" s="34"/>
      <c r="P56" s="34"/>
      <c r="Q56" s="34"/>
      <c r="CH56" s="25"/>
      <c r="CK56" s="25"/>
      <c r="CL56" s="25"/>
      <c r="CM56" s="25"/>
      <c r="CN56" s="25"/>
      <c r="CO56" s="25"/>
      <c r="CP56" s="25"/>
    </row>
    <row r="57" spans="2:94" x14ac:dyDescent="0.3">
      <c r="B57" s="2" t="s">
        <v>79</v>
      </c>
      <c r="C57" s="2">
        <f>ROUND(VLOOKUP(B57,标准坦克设计!$B$39:$H$46,6,FALSE),0)</f>
        <v>80</v>
      </c>
      <c r="D57" s="21">
        <v>7</v>
      </c>
      <c r="E57" s="2">
        <f>VLOOKUP($B57,标准坦克设计!$B$13:$K$20,MATCH(E$55,标准坦克设计!$B$13:$K$13,0),FALSE)</f>
        <v>1.4</v>
      </c>
      <c r="F57" s="2">
        <f>VLOOKUP($B57,标准坦克设计!$B$13:$K$20,MATCH(F$55,标准坦克设计!$B$13:$K$13,0),FALSE)</f>
        <v>1.4</v>
      </c>
      <c r="G57" s="2">
        <f>VLOOKUP($B57,标准坦克设计!$B$13:$K$20,MATCH(G$55,标准坦克设计!$B$13:$K$13,0),FALSE)</f>
        <v>0</v>
      </c>
      <c r="H57" s="2">
        <f>VLOOKUP($B57,标准坦克设计!$B$13:$K$20,MATCH(H$55,标准坦克设计!$B$13:$K$13,0),FALSE)</f>
        <v>0.4</v>
      </c>
      <c r="I57" s="34">
        <f>VLOOKUP($B57,标准坦克设计!$B$23:$U$30,MATCH("对轻坦输出",标准坦克设计!$B$23:$U$23,0),FALSE)</f>
        <v>1.276280095895922</v>
      </c>
      <c r="J57" s="34">
        <f>VLOOKUP($B57,标准坦克设计!$B$23:$U$30,MATCH("对中坦输出",标准坦克设计!$B$23:$U$23,0),FALSE)</f>
        <v>1.1555062125359821</v>
      </c>
      <c r="K57" s="34">
        <f>VLOOKUP($B57,标准坦克设计!$B$23:$U$30,MATCH("对重坦输出",标准坦克设计!$B$23:$U$23,0),FALSE)</f>
        <v>1.0304604192595412</v>
      </c>
      <c r="L57" s="2">
        <f>(ROUNDUP($C$46*(1-基础属性系数!$C$111)/(C57*I57),0)-D57)*F57+(D57-1)*H57</f>
        <v>-0.39999999999999947</v>
      </c>
      <c r="M57" s="2">
        <f>(ROUNDUP($C$49*(1-基础属性系数!$C$111)/(C57*J57),0)-D57)*F57+(D57-1)*H57</f>
        <v>1.0000000000000004</v>
      </c>
      <c r="N57" s="2">
        <f>(ROUNDUP($C$51*(1-基础属性系数!$C$111)/(C57*K57),0)-D57)*F57+(D57-1)*H57</f>
        <v>3.8000000000000003</v>
      </c>
      <c r="O57" s="34">
        <f t="shared" ref="O57:Q58" si="76">(L$56-L57)/L$56</f>
        <v>1.6666666666666656</v>
      </c>
      <c r="P57" s="34">
        <f t="shared" si="76"/>
        <v>0.49999999999999978</v>
      </c>
      <c r="Q57" s="34">
        <f t="shared" si="76"/>
        <v>0.20833333333333326</v>
      </c>
      <c r="CH57" s="25"/>
      <c r="CK57" s="25"/>
      <c r="CL57" s="25"/>
      <c r="CM57" s="25"/>
      <c r="CN57" s="25"/>
      <c r="CO57" s="25"/>
      <c r="CP57" s="25"/>
    </row>
    <row r="58" spans="2:94" x14ac:dyDescent="0.3">
      <c r="B58" s="2" t="s">
        <v>79</v>
      </c>
      <c r="C58" s="2">
        <f>ROUND(VLOOKUP(B58,标准坦克设计!$B$39:$H$46,6,FALSE),0)</f>
        <v>80</v>
      </c>
      <c r="D58" s="21">
        <v>8</v>
      </c>
      <c r="E58" s="2">
        <f>VLOOKUP($B58,标准坦克设计!$B$13:$K$20,MATCH(E$55,标准坦克设计!$B$13:$K$13,0),FALSE)</f>
        <v>1.4</v>
      </c>
      <c r="F58" s="2">
        <f>VLOOKUP($B58,标准坦克设计!$B$13:$K$20,MATCH(F$55,标准坦克设计!$B$13:$K$13,0),FALSE)</f>
        <v>1.4</v>
      </c>
      <c r="G58" s="2">
        <f>VLOOKUP($B58,标准坦克设计!$B$13:$K$20,MATCH(G$55,标准坦克设计!$B$13:$K$13,0),FALSE)</f>
        <v>0</v>
      </c>
      <c r="H58" s="2">
        <f>VLOOKUP($B58,标准坦克设计!$B$13:$K$20,MATCH(H$55,标准坦克设计!$B$13:$K$13,0),FALSE)</f>
        <v>0.4</v>
      </c>
      <c r="I58" s="34">
        <f>VLOOKUP($B58,标准坦克设计!$B$23:$U$30,MATCH("对轻坦输出",标准坦克设计!$B$23:$U$23,0),FALSE)</f>
        <v>1.276280095895922</v>
      </c>
      <c r="J58" s="34">
        <f>VLOOKUP($B58,标准坦克设计!$B$23:$U$30,MATCH("对中坦输出",标准坦克设计!$B$23:$U$23,0),FALSE)</f>
        <v>1.1555062125359821</v>
      </c>
      <c r="K58" s="34">
        <f>VLOOKUP($B58,标准坦克设计!$B$23:$U$30,MATCH("对重坦输出",标准坦克设计!$B$23:$U$23,0),FALSE)</f>
        <v>1.0304604192595412</v>
      </c>
      <c r="L58" s="2">
        <f>(ROUNDUP($C$46*(1-基础属性系数!$C$111)/(C58*I58),0)-D58)*F58+(D58-1)*H58</f>
        <v>-1.399999999999999</v>
      </c>
      <c r="M58" s="2">
        <f>(ROUNDUP($C$49*(1-基础属性系数!$C$111)/(C58*J58),0)-D58)*F58+(D58-1)*H58</f>
        <v>0</v>
      </c>
      <c r="N58" s="2">
        <f>(ROUNDUP($C$51*(1-基础属性系数!$C$111)/(C58*K58),0)-D58)*F58+(D58-1)*H58</f>
        <v>2.8000000000000003</v>
      </c>
      <c r="O58" s="34">
        <f t="shared" si="76"/>
        <v>3.3333333333333313</v>
      </c>
      <c r="P58" s="34">
        <f t="shared" si="76"/>
        <v>1</v>
      </c>
      <c r="Q58" s="34">
        <f t="shared" si="76"/>
        <v>0.41666666666666657</v>
      </c>
      <c r="CH58" s="25"/>
      <c r="CK58" s="25"/>
      <c r="CL58" s="25"/>
      <c r="CM58" s="25"/>
      <c r="CN58" s="25"/>
      <c r="CO58" s="25"/>
      <c r="CP58" s="25"/>
    </row>
    <row r="59" spans="2:94" x14ac:dyDescent="0.3">
      <c r="B59" s="2" t="s">
        <v>81</v>
      </c>
      <c r="C59" s="2">
        <f>ROUND(VLOOKUP(B59,标准坦克设计!$B$39:$H$46,6,FALSE),0)</f>
        <v>42</v>
      </c>
      <c r="D59" s="21">
        <v>9</v>
      </c>
      <c r="E59" s="2">
        <f>VLOOKUP($B59,标准坦克设计!$B$13:$K$20,MATCH(E$55,标准坦克设计!$B$13:$K$13,0),FALSE)</f>
        <v>0.7</v>
      </c>
      <c r="F59" s="2">
        <f>VLOOKUP($B59,标准坦克设计!$B$13:$K$20,MATCH(F$55,标准坦克设计!$B$13:$K$13,0),FALSE)</f>
        <v>0</v>
      </c>
      <c r="G59" s="2">
        <f>VLOOKUP($B59,标准坦克设计!$B$13:$K$20,MATCH(G$55,标准坦克设计!$B$13:$K$13,0),FALSE)</f>
        <v>6.3</v>
      </c>
      <c r="H59" s="2">
        <f>VLOOKUP($B59,标准坦克设计!$B$13:$K$20,MATCH(H$55,标准坦克设计!$B$13:$K$13,0),FALSE)</f>
        <v>0.4</v>
      </c>
      <c r="I59" s="34">
        <f>VLOOKUP($B59,标准坦克设计!$B$23:$U$30,MATCH("对轻坦输出",标准坦克设计!$B$23:$U$23,0),FALSE)</f>
        <v>1.3406334646747302</v>
      </c>
      <c r="J59" s="34">
        <f>VLOOKUP($B59,标准坦克设计!$B$23:$U$30,MATCH("对中坦输出",标准坦克设计!$B$23:$U$23,0),FALSE)</f>
        <v>1.220974040802566</v>
      </c>
      <c r="K59" s="34">
        <f>VLOOKUP($B59,标准坦克设计!$B$23:$U$30,MATCH("对重坦输出",标准坦克设计!$B$23:$U$23,0),FALSE)</f>
        <v>1.1060838249826259</v>
      </c>
      <c r="L59" s="2">
        <f>ROUNDUP(($C$46*(1-基础属性系数!$C$111)/(C59*I59)-D59)/D59,0)*G59+(ROUNDUP($C$46*(1-基础属性系数!$C$111)/(C59*I59),0)-ROUNDUP(($C$46*(1-基础属性系数!$C$111)/(C59*I59)-D59)/D59,0)-1)*H59</f>
        <v>-2.6999999999999997</v>
      </c>
      <c r="M59" s="2">
        <f>ROUNDUP(($C$49*(1-基础属性系数!$C$111)/(C59*J59)-D59)/D59,0)*G59+(ROUNDUP($C$49*(1-基础属性系数!$C$111)/(C59*J59),0)-ROUNDUP(($C$49*(1-基础属性系数!$C$111)/(C59*J59)-D59)/D59,0)-1)*H59</f>
        <v>9.9</v>
      </c>
      <c r="N59" s="2">
        <f>ROUNDUP(($C$51*(1-基础属性系数!$C$111)/(C59*K59)-D59)/D59,0)*G59+(ROUNDUP($C$51*(1-基础属性系数!$C$111)/(C59*K59),0)-ROUNDUP(($C$51*(1-基础属性系数!$C$111)/(C59*K59)-D59)/D59,0)-1)*H59</f>
        <v>10.7</v>
      </c>
      <c r="O59" s="34"/>
      <c r="P59" s="34"/>
      <c r="Q59" s="34"/>
      <c r="CH59" s="25"/>
      <c r="CK59" s="25"/>
      <c r="CL59" s="25"/>
      <c r="CM59" s="25"/>
      <c r="CN59" s="25"/>
      <c r="CO59" s="25"/>
      <c r="CP59" s="25"/>
    </row>
    <row r="60" spans="2:94" x14ac:dyDescent="0.3">
      <c r="B60" s="2" t="s">
        <v>81</v>
      </c>
      <c r="C60" s="2">
        <f>ROUND(VLOOKUP(B60,标准坦克设计!$B$39:$H$46,6,FALSE),0)</f>
        <v>42</v>
      </c>
      <c r="D60" s="21">
        <v>10</v>
      </c>
      <c r="E60" s="2">
        <f>VLOOKUP($B60,标准坦克设计!$B$13:$K$20,MATCH(E$55,标准坦克设计!$B$13:$K$13,0),FALSE)</f>
        <v>0.7</v>
      </c>
      <c r="F60" s="2">
        <f>VLOOKUP($B60,标准坦克设计!$B$13:$K$20,MATCH(F$55,标准坦克设计!$B$13:$K$13,0),FALSE)</f>
        <v>0</v>
      </c>
      <c r="G60" s="2">
        <f>VLOOKUP($B60,标准坦克设计!$B$13:$K$20,MATCH(G$55,标准坦克设计!$B$13:$K$13,0),FALSE)</f>
        <v>6.3</v>
      </c>
      <c r="H60" s="2">
        <f>VLOOKUP($B60,标准坦克设计!$B$13:$K$20,MATCH(H$55,标准坦克设计!$B$13:$K$13,0),FALSE)</f>
        <v>0.4</v>
      </c>
      <c r="I60" s="34">
        <f>VLOOKUP($B60,标准坦克设计!$B$23:$U$30,MATCH("对轻坦输出",标准坦克设计!$B$23:$U$23,0),FALSE)</f>
        <v>1.3406334646747302</v>
      </c>
      <c r="J60" s="34">
        <f>VLOOKUP($B60,标准坦克设计!$B$23:$U$30,MATCH("对中坦输出",标准坦克设计!$B$23:$U$23,0),FALSE)</f>
        <v>1.220974040802566</v>
      </c>
      <c r="K60" s="34">
        <f>VLOOKUP($B60,标准坦克设计!$B$23:$U$30,MATCH("对重坦输出",标准坦克设计!$B$23:$U$23,0),FALSE)</f>
        <v>1.1060838249826259</v>
      </c>
      <c r="L60" s="2">
        <f>ROUNDUP(($C$46*(1-基础属性系数!$C$111)/(C60*I60)-D60)/D60,0)*G60+(ROUNDUP($C$46*(1-基础属性系数!$C$111)/(C60*I60),0)-ROUNDUP(($C$46*(1-基础属性系数!$C$111)/(C60*I60)-D60)/D60,0)-1)*H60</f>
        <v>-2.6999999999999997</v>
      </c>
      <c r="M60" s="2">
        <f>ROUNDUP(($C$49*(1-基础属性系数!$C$111)/(C60*J60)-D60)/D60,0)*G60+(ROUNDUP($C$49*(1-基础属性系数!$C$111)/(C60*J60),0)-ROUNDUP(($C$49*(1-基础属性系数!$C$111)/(C60*J60)-D60)/D60,0)-1)*H60</f>
        <v>9.9</v>
      </c>
      <c r="N60" s="2">
        <f>ROUNDUP(($C$51*(1-基础属性系数!$C$111)/(C60*K60)-D60)/D60,0)*G60+(ROUNDUP($C$51*(1-基础属性系数!$C$111)/(C60*K60),0)-ROUNDUP(($C$51*(1-基础属性系数!$C$111)/(C60*K60)-D60)/D60,0)-1)*H60</f>
        <v>10.7</v>
      </c>
      <c r="O60" s="34">
        <f t="shared" ref="O60:Q62" si="77">(L$59-L60)/L$59</f>
        <v>0</v>
      </c>
      <c r="P60" s="34">
        <f t="shared" si="77"/>
        <v>0</v>
      </c>
      <c r="Q60" s="34">
        <f t="shared" si="77"/>
        <v>0</v>
      </c>
      <c r="CH60" s="25"/>
      <c r="CK60" s="25"/>
      <c r="CL60" s="25"/>
      <c r="CM60" s="25"/>
      <c r="CN60" s="25"/>
      <c r="CO60" s="25"/>
      <c r="CP60" s="25"/>
    </row>
    <row r="61" spans="2:94" x14ac:dyDescent="0.3">
      <c r="B61" s="2" t="s">
        <v>81</v>
      </c>
      <c r="C61" s="2">
        <f>ROUND(VLOOKUP(B61,标准坦克设计!$B$39:$H$46,6,FALSE),0)</f>
        <v>42</v>
      </c>
      <c r="D61" s="21">
        <v>11</v>
      </c>
      <c r="E61" s="2">
        <f>VLOOKUP($B61,标准坦克设计!$B$13:$K$20,MATCH(E$55,标准坦克设计!$B$13:$K$13,0),FALSE)</f>
        <v>0.7</v>
      </c>
      <c r="F61" s="2">
        <f>VLOOKUP($B61,标准坦克设计!$B$13:$K$20,MATCH(F$55,标准坦克设计!$B$13:$K$13,0),FALSE)</f>
        <v>0</v>
      </c>
      <c r="G61" s="2">
        <f>VLOOKUP($B61,标准坦克设计!$B$13:$K$20,MATCH(G$55,标准坦克设计!$B$13:$K$13,0),FALSE)</f>
        <v>6.3</v>
      </c>
      <c r="H61" s="2">
        <f>VLOOKUP($B61,标准坦克设计!$B$13:$K$20,MATCH(H$55,标准坦克设计!$B$13:$K$13,0),FALSE)</f>
        <v>0.4</v>
      </c>
      <c r="I61" s="34">
        <f>VLOOKUP($B61,标准坦克设计!$B$23:$U$30,MATCH("对轻坦输出",标准坦克设计!$B$23:$U$23,0),FALSE)</f>
        <v>1.3406334646747302</v>
      </c>
      <c r="J61" s="34">
        <f>VLOOKUP($B61,标准坦克设计!$B$23:$U$30,MATCH("对中坦输出",标准坦克设计!$B$23:$U$23,0),FALSE)</f>
        <v>1.220974040802566</v>
      </c>
      <c r="K61" s="34">
        <f>VLOOKUP($B61,标准坦克设计!$B$23:$U$30,MATCH("对重坦输出",标准坦克设计!$B$23:$U$23,0),FALSE)</f>
        <v>1.1060838249826259</v>
      </c>
      <c r="L61" s="2">
        <f>ROUNDUP(($C$46*(1-基础属性系数!$C$111)/(C61*I61)-D61)/D61,0)*G61+(ROUNDUP($C$46*(1-基础属性系数!$C$111)/(C61*I61),0)-ROUNDUP(($C$46*(1-基础属性系数!$C$111)/(C61*I61)-D61)/D61,0)-1)*H61</f>
        <v>-2.6999999999999997</v>
      </c>
      <c r="M61" s="2">
        <f>ROUNDUP(($C$49*(1-基础属性系数!$C$111)/(C61*J61)-D61)/D61,0)*G61+(ROUNDUP($C$49*(1-基础属性系数!$C$111)/(C61*J61),0)-ROUNDUP(($C$49*(1-基础属性系数!$C$111)/(C61*J61)-D61)/D61,0)-1)*H61</f>
        <v>-1.8999999999999995</v>
      </c>
      <c r="N61" s="2">
        <f>ROUNDUP(($C$51*(1-基础属性系数!$C$111)/(C61*K61)-D61)/D61,0)*G61+(ROUNDUP($C$51*(1-基础属性系数!$C$111)/(C61*K61),0)-ROUNDUP(($C$51*(1-基础属性系数!$C$111)/(C61*K61)-D61)/D61,0)-1)*H61</f>
        <v>10.7</v>
      </c>
      <c r="O61" s="34">
        <f t="shared" si="77"/>
        <v>0</v>
      </c>
      <c r="P61" s="34">
        <f t="shared" si="77"/>
        <v>1.191919191919192</v>
      </c>
      <c r="Q61" s="34">
        <f t="shared" si="77"/>
        <v>0</v>
      </c>
      <c r="CH61" s="25"/>
      <c r="CK61" s="25"/>
      <c r="CL61" s="25"/>
      <c r="CM61" s="25"/>
      <c r="CN61" s="25"/>
      <c r="CO61" s="25"/>
      <c r="CP61" s="25"/>
    </row>
    <row r="62" spans="2:94" x14ac:dyDescent="0.3">
      <c r="B62" s="2" t="s">
        <v>81</v>
      </c>
      <c r="C62" s="2">
        <f>ROUND(VLOOKUP(B62,标准坦克设计!$B$39:$H$46,6,FALSE),0)</f>
        <v>42</v>
      </c>
      <c r="D62" s="21">
        <v>12</v>
      </c>
      <c r="E62" s="2">
        <f>VLOOKUP($B62,标准坦克设计!$B$13:$K$20,MATCH(E$55,标准坦克设计!$B$13:$K$13,0),FALSE)</f>
        <v>0.7</v>
      </c>
      <c r="F62" s="2">
        <f>VLOOKUP($B62,标准坦克设计!$B$13:$K$20,MATCH(F$55,标准坦克设计!$B$13:$K$13,0),FALSE)</f>
        <v>0</v>
      </c>
      <c r="G62" s="2">
        <f>VLOOKUP($B62,标准坦克设计!$B$13:$K$20,MATCH(G$55,标准坦克设计!$B$13:$K$13,0),FALSE)</f>
        <v>6.3</v>
      </c>
      <c r="H62" s="2">
        <f>VLOOKUP($B62,标准坦克设计!$B$13:$K$20,MATCH(H$55,标准坦克设计!$B$13:$K$13,0),FALSE)</f>
        <v>0.4</v>
      </c>
      <c r="I62" s="34">
        <f>VLOOKUP($B62,标准坦克设计!$B$23:$U$30,MATCH("对轻坦输出",标准坦克设计!$B$23:$U$23,0),FALSE)</f>
        <v>1.3406334646747302</v>
      </c>
      <c r="J62" s="34">
        <f>VLOOKUP($B62,标准坦克设计!$B$23:$U$30,MATCH("对中坦输出",标准坦克设计!$B$23:$U$23,0),FALSE)</f>
        <v>1.220974040802566</v>
      </c>
      <c r="K62" s="34">
        <f>VLOOKUP($B62,标准坦克设计!$B$23:$U$30,MATCH("对重坦输出",标准坦克设计!$B$23:$U$23,0),FALSE)</f>
        <v>1.1060838249826259</v>
      </c>
      <c r="L62" s="2">
        <f>ROUNDUP(($C$46*(1-基础属性系数!$C$111)/(C62*I62)-D62)/D62,0)*G62+(ROUNDUP($C$46*(1-基础属性系数!$C$111)/(C62*I62),0)-ROUNDUP(($C$46*(1-基础属性系数!$C$111)/(C62*I62)-D62)/D62,0)-1)*H62</f>
        <v>-2.6999999999999997</v>
      </c>
      <c r="M62" s="2">
        <f>ROUNDUP(($C$49*(1-基础属性系数!$C$111)/(C62*J62)-D62)/D62,0)*G62+(ROUNDUP($C$49*(1-基础属性系数!$C$111)/(C62*J62),0)-ROUNDUP(($C$49*(1-基础属性系数!$C$111)/(C62*J62)-D62)/D62,0)-1)*H62</f>
        <v>-1.8999999999999995</v>
      </c>
      <c r="N62" s="2">
        <f>ROUNDUP(($C$51*(1-基础属性系数!$C$111)/(C62*K62)-D62)/D62,0)*G62+(ROUNDUP($C$51*(1-基础属性系数!$C$111)/(C62*K62),0)-ROUNDUP(($C$51*(1-基础属性系数!$C$111)/(C62*K62)-D62)/D62,0)-1)*H62</f>
        <v>10.7</v>
      </c>
      <c r="O62" s="34">
        <f t="shared" si="77"/>
        <v>0</v>
      </c>
      <c r="P62" s="34">
        <f t="shared" si="77"/>
        <v>1.191919191919192</v>
      </c>
      <c r="Q62" s="34">
        <f t="shared" si="77"/>
        <v>0</v>
      </c>
      <c r="AD62" s="130"/>
      <c r="CH62" s="25"/>
      <c r="CK62" s="25"/>
      <c r="CL62" s="25"/>
      <c r="CM62" s="25"/>
      <c r="CN62" s="25"/>
      <c r="CO62" s="25"/>
      <c r="CP62" s="25"/>
    </row>
    <row r="63" spans="2:94" x14ac:dyDescent="0.3">
      <c r="B63" s="2" t="s">
        <v>85</v>
      </c>
      <c r="C63" s="2">
        <f>ROUND(VLOOKUP(B63,标准坦克设计!$B$39:$H$46,6,FALSE),0)</f>
        <v>74</v>
      </c>
      <c r="D63" s="21">
        <v>4</v>
      </c>
      <c r="E63" s="2">
        <f>VLOOKUP($B63,标准坦克设计!$B$13:$K$20,MATCH(E$55,标准坦克设计!$B$13:$K$13,0),FALSE)</f>
        <v>1</v>
      </c>
      <c r="F63" s="2">
        <f>VLOOKUP($B63,标准坦克设计!$B$13:$K$20,MATCH(F$55,标准坦克设计!$B$13:$K$13,0),FALSE)</f>
        <v>0</v>
      </c>
      <c r="G63" s="2">
        <f>VLOOKUP($B63,标准坦克设计!$B$13:$K$20,MATCH(G$55,标准坦克设计!$B$13:$K$13,0),FALSE)</f>
        <v>6</v>
      </c>
      <c r="H63" s="2">
        <f>VLOOKUP($B63,标准坦克设计!$B$13:$K$20,MATCH(H$55,标准坦克设计!$B$13:$K$13,0),FALSE)</f>
        <v>0.5</v>
      </c>
      <c r="I63" s="34">
        <f>VLOOKUP($B63,标准坦克设计!$B$23:$U$30,MATCH("对轻坦输出",标准坦克设计!$B$23:$U$23,0),FALSE)</f>
        <v>1.2592199993210031</v>
      </c>
      <c r="J63" s="34">
        <f>VLOOKUP($B63,标准坦克设计!$B$23:$U$30,MATCH("对中坦输出",标准坦克设计!$B$23:$U$23,0),FALSE)</f>
        <v>1.1470256404086814</v>
      </c>
      <c r="K63" s="34">
        <f>VLOOKUP($B63,标准坦克设计!$B$23:$U$30,MATCH("对重坦输出",标准坦克设计!$B$23:$U$23,0),FALSE)</f>
        <v>1.063667137525923</v>
      </c>
      <c r="L63" s="2">
        <f>ROUNDUP(($C$46*(1-基础属性系数!$C$111)/(C63*I63)-D63)/D63,0)*G63+(ROUNDUP($C$46*(1-基础属性系数!$C$111)/(C63*I63),0)-ROUNDUP(($C$46*(1-基础属性系数!$C$111)/(C63*I63)-D63)/D63,0)-1)*H63</f>
        <v>8</v>
      </c>
      <c r="M63" s="2">
        <f>ROUNDUP(($C$49*(1-基础属性系数!$C$111)/(C63*J63)-D63)/D63,0)*G63+(ROUNDUP($C$49*(1-基础属性系数!$C$111)/(C63*J63),0)-ROUNDUP(($C$49*(1-基础属性系数!$C$111)/(C63*J63)-D63)/D63,0)-1)*H63</f>
        <v>8.5</v>
      </c>
      <c r="N63" s="2">
        <f>ROUNDUP(($C$51*(1-基础属性系数!$C$111)/(C63*K63)-D63)/D63,0)*G63+(ROUNDUP($C$51*(1-基础属性系数!$C$111)/(C63*K63),0)-ROUNDUP(($C$51*(1-基础属性系数!$C$111)/(C63*K63)-D63)/D63,0)-1)*H63</f>
        <v>9</v>
      </c>
      <c r="O63" s="34"/>
      <c r="P63" s="34"/>
      <c r="Q63" s="34"/>
      <c r="CH63" s="25"/>
      <c r="CK63" s="25"/>
      <c r="CL63" s="25"/>
      <c r="CM63" s="25"/>
      <c r="CN63" s="25"/>
      <c r="CO63" s="25"/>
      <c r="CP63" s="25"/>
    </row>
    <row r="64" spans="2:94" x14ac:dyDescent="0.3">
      <c r="B64" s="2" t="s">
        <v>85</v>
      </c>
      <c r="C64" s="2">
        <f>ROUND(VLOOKUP(B64,标准坦克设计!$B$39:$H$46,6,FALSE),0)</f>
        <v>74</v>
      </c>
      <c r="D64" s="21">
        <v>5</v>
      </c>
      <c r="E64" s="2">
        <f>VLOOKUP($B64,标准坦克设计!$B$13:$K$20,MATCH(E$55,标准坦克设计!$B$13:$K$13,0),FALSE)</f>
        <v>1</v>
      </c>
      <c r="F64" s="2">
        <f>VLOOKUP($B64,标准坦克设计!$B$13:$K$20,MATCH(F$55,标准坦克设计!$B$13:$K$13,0),FALSE)</f>
        <v>0</v>
      </c>
      <c r="G64" s="2">
        <f>VLOOKUP($B64,标准坦克设计!$B$13:$K$20,MATCH(G$55,标准坦克设计!$B$13:$K$13,0),FALSE)</f>
        <v>6</v>
      </c>
      <c r="H64" s="2">
        <f>VLOOKUP($B64,标准坦克设计!$B$13:$K$20,MATCH(H$55,标准坦克设计!$B$13:$K$13,0),FALSE)</f>
        <v>0.5</v>
      </c>
      <c r="I64" s="34">
        <f>VLOOKUP($B64,标准坦克设计!$B$23:$U$30,MATCH("对轻坦输出",标准坦克设计!$B$23:$U$23,0),FALSE)</f>
        <v>1.2592199993210031</v>
      </c>
      <c r="J64" s="34">
        <f>VLOOKUP($B64,标准坦克设计!$B$23:$U$30,MATCH("对中坦输出",标准坦克设计!$B$23:$U$23,0),FALSE)</f>
        <v>1.1470256404086814</v>
      </c>
      <c r="K64" s="34">
        <f>VLOOKUP($B64,标准坦克设计!$B$23:$U$30,MATCH("对重坦输出",标准坦克设计!$B$23:$U$23,0),FALSE)</f>
        <v>1.063667137525923</v>
      </c>
      <c r="L64" s="2">
        <f>ROUNDUP(($C$46*(1-基础属性系数!$C$111)/(C64*I64)-D64)/D64,0)*G64+(ROUNDUP($C$46*(1-基础属性系数!$C$111)/(C64*I64),0)-ROUNDUP(($C$46*(1-基础属性系数!$C$111)/(C64*I64)-D64)/D64,0)-1)*H64</f>
        <v>8</v>
      </c>
      <c r="M64" s="2">
        <f>ROUNDUP(($C$49*(1-基础属性系数!$C$111)/(C64*J64)-D64)/D64,0)*G64+(ROUNDUP($C$49*(1-基础属性系数!$C$111)/(C64*J64),0)-ROUNDUP(($C$49*(1-基础属性系数!$C$111)/(C64*J64)-D64)/D64,0)-1)*H64</f>
        <v>8.5</v>
      </c>
      <c r="N64" s="2">
        <f>ROUNDUP(($C$51*(1-基础属性系数!$C$111)/(C64*K64)-D64)/D64,0)*G64+(ROUNDUP($C$51*(1-基础属性系数!$C$111)/(C64*K64),0)-ROUNDUP(($C$51*(1-基础属性系数!$C$111)/(C64*K64)-D64)/D64,0)-1)*H64</f>
        <v>9</v>
      </c>
      <c r="O64" s="34">
        <f t="shared" ref="O64:Q65" si="78">(L$63-L64)/L$63</f>
        <v>0</v>
      </c>
      <c r="P64" s="34">
        <f t="shared" si="78"/>
        <v>0</v>
      </c>
      <c r="Q64" s="34">
        <f t="shared" si="78"/>
        <v>0</v>
      </c>
    </row>
    <row r="65" spans="2:27" x14ac:dyDescent="0.3">
      <c r="B65" s="2" t="s">
        <v>85</v>
      </c>
      <c r="C65" s="2">
        <f>ROUND(VLOOKUP(B65,标准坦克设计!$B$39:$H$46,6,FALSE),0)</f>
        <v>74</v>
      </c>
      <c r="D65" s="21">
        <v>6</v>
      </c>
      <c r="E65" s="2">
        <f>VLOOKUP($B65,标准坦克设计!$B$13:$K$20,MATCH(E$55,标准坦克设计!$B$13:$K$13,0),FALSE)</f>
        <v>1</v>
      </c>
      <c r="F65" s="2">
        <f>VLOOKUP($B65,标准坦克设计!$B$13:$K$20,MATCH(F$55,标准坦克设计!$B$13:$K$13,0),FALSE)</f>
        <v>0</v>
      </c>
      <c r="G65" s="2">
        <f>VLOOKUP($B65,标准坦克设计!$B$13:$K$20,MATCH(G$55,标准坦克设计!$B$13:$K$13,0),FALSE)</f>
        <v>6</v>
      </c>
      <c r="H65" s="2">
        <f>VLOOKUP($B65,标准坦克设计!$B$13:$K$20,MATCH(H$55,标准坦克设计!$B$13:$K$13,0),FALSE)</f>
        <v>0.5</v>
      </c>
      <c r="I65" s="34">
        <f>VLOOKUP($B65,标准坦克设计!$B$23:$U$30,MATCH("对轻坦输出",标准坦克设计!$B$23:$U$23,0),FALSE)</f>
        <v>1.2592199993210031</v>
      </c>
      <c r="J65" s="34">
        <f>VLOOKUP($B65,标准坦克设计!$B$23:$U$30,MATCH("对中坦输出",标准坦克设计!$B$23:$U$23,0),FALSE)</f>
        <v>1.1470256404086814</v>
      </c>
      <c r="K65" s="34">
        <f>VLOOKUP($B65,标准坦克设计!$B$23:$U$30,MATCH("对重坦输出",标准坦克设计!$B$23:$U$23,0),FALSE)</f>
        <v>1.063667137525923</v>
      </c>
      <c r="L65" s="2">
        <f>ROUNDUP(($C$46*(1-基础属性系数!$C$111)/(C65*I65)-D65)/D65,0)*G65+(ROUNDUP($C$46*(1-基础属性系数!$C$111)/(C65*I65),0)-ROUNDUP(($C$46*(1-基础属性系数!$C$111)/(C65*I65)-D65)/D65,0)-1)*H65</f>
        <v>-3</v>
      </c>
      <c r="M65" s="2">
        <f>ROUNDUP(($C$49*(1-基础属性系数!$C$111)/(C65*J65)-D65)/D65,0)*G65+(ROUNDUP($C$49*(1-基础属性系数!$C$111)/(C65*J65),0)-ROUNDUP(($C$49*(1-基础属性系数!$C$111)/(C65*J65)-D65)/D65,0)-1)*H65</f>
        <v>8.5</v>
      </c>
      <c r="N65" s="2">
        <f>ROUNDUP(($C$51*(1-基础属性系数!$C$111)/(C65*K65)-D65)/D65,0)*G65+(ROUNDUP($C$51*(1-基础属性系数!$C$111)/(C65*K65),0)-ROUNDUP(($C$51*(1-基础属性系数!$C$111)/(C65*K65)-D65)/D65,0)-1)*H65</f>
        <v>9</v>
      </c>
      <c r="O65" s="34">
        <f t="shared" si="78"/>
        <v>1.375</v>
      </c>
      <c r="P65" s="34">
        <f t="shared" si="78"/>
        <v>0</v>
      </c>
      <c r="Q65" s="34">
        <f t="shared" si="78"/>
        <v>0</v>
      </c>
    </row>
    <row r="66" spans="2:27" x14ac:dyDescent="0.3">
      <c r="B66" s="2" t="s">
        <v>87</v>
      </c>
      <c r="C66" s="2">
        <f>ROUND(VLOOKUP(B66,标准坦克设计!$B$39:$H$46,6,FALSE),0)</f>
        <v>268</v>
      </c>
      <c r="D66" s="21">
        <v>2</v>
      </c>
      <c r="E66" s="2">
        <f>VLOOKUP($B66,标准坦克设计!$B$13:$K$20,MATCH(E$55,标准坦克设计!$B$13:$K$13,0),FALSE)</f>
        <v>4.5</v>
      </c>
      <c r="F66" s="2">
        <f>VLOOKUP($B66,标准坦克设计!$B$13:$K$20,MATCH(F$55,标准坦克设计!$B$13:$K$13,0),FALSE)</f>
        <v>4.5</v>
      </c>
      <c r="G66" s="2">
        <f>VLOOKUP($B66,标准坦克设计!$B$13:$K$20,MATCH(G$55,标准坦克设计!$B$13:$K$13,0),FALSE)</f>
        <v>0</v>
      </c>
      <c r="H66" s="2">
        <f>VLOOKUP($B66,标准坦克设计!$B$13:$K$20,MATCH(H$55,标准坦克设计!$B$13:$K$13,0),FALSE)</f>
        <v>1.8</v>
      </c>
      <c r="I66" s="34">
        <f>VLOOKUP($B66,标准坦克设计!$B$23:$U$30,MATCH("对轻坦输出",标准坦克设计!$B$23:$U$23,0),FALSE)</f>
        <v>1.2649435211297493</v>
      </c>
      <c r="J66" s="34">
        <f>VLOOKUP($B66,标准坦克设计!$B$23:$U$30,MATCH("对中坦输出",标准坦克设计!$B$23:$U$23,0),FALSE)</f>
        <v>1.1559486448628384</v>
      </c>
      <c r="K66" s="34">
        <f>VLOOKUP($B66,标准坦克设计!$B$23:$U$30,MATCH("对重坦输出",标准坦克设计!$B$23:$U$23,0),FALSE)</f>
        <v>1.0824818659667195</v>
      </c>
      <c r="L66" s="2">
        <f>(ROUNDUP($C$46*(1-基础属性系数!$C$111)/(C66*I66),0)-D66)*F66+(D66-1)*H66</f>
        <v>1.8</v>
      </c>
      <c r="M66" s="2">
        <f>(ROUNDUP($C$49*(1-基础属性系数!$C$111)/(C66*J66),0)-D66)*F66+(D66-1)*H66</f>
        <v>1.8</v>
      </c>
      <c r="N66" s="2">
        <f>(ROUNDUP($C$51*(1-基础属性系数!$C$111)/(C66*K66),0)-D66)*F66+(D66-1)*H66</f>
        <v>6.3</v>
      </c>
      <c r="O66" s="34"/>
      <c r="P66" s="34"/>
      <c r="Q66" s="34"/>
    </row>
    <row r="67" spans="2:27" x14ac:dyDescent="0.3">
      <c r="B67" s="2" t="s">
        <v>87</v>
      </c>
      <c r="C67" s="2">
        <f>ROUND(VLOOKUP(B67,标准坦克设计!$B$39:$H$46,6,FALSE),0)</f>
        <v>268</v>
      </c>
      <c r="D67" s="21">
        <v>3</v>
      </c>
      <c r="E67" s="2">
        <f>VLOOKUP($B67,标准坦克设计!$B$13:$K$20,MATCH(E$55,标准坦克设计!$B$13:$K$13,0),FALSE)</f>
        <v>4.5</v>
      </c>
      <c r="F67" s="2">
        <f>VLOOKUP($B67,标准坦克设计!$B$13:$K$20,MATCH(F$55,标准坦克设计!$B$13:$K$13,0),FALSE)</f>
        <v>4.5</v>
      </c>
      <c r="G67" s="2">
        <f>VLOOKUP($B67,标准坦克设计!$B$13:$K$20,MATCH(G$55,标准坦克设计!$B$13:$K$13,0),FALSE)</f>
        <v>0</v>
      </c>
      <c r="H67" s="2">
        <f>VLOOKUP($B67,标准坦克设计!$B$13:$K$20,MATCH(H$55,标准坦克设计!$B$13:$K$13,0),FALSE)</f>
        <v>1.8</v>
      </c>
      <c r="I67" s="34">
        <f>VLOOKUP($B67,标准坦克设计!$B$23:$U$30,MATCH("对轻坦输出",标准坦克设计!$B$23:$U$23,0),FALSE)</f>
        <v>1.2649435211297493</v>
      </c>
      <c r="J67" s="34">
        <f>VLOOKUP($B67,标准坦克设计!$B$23:$U$30,MATCH("对中坦输出",标准坦克设计!$B$23:$U$23,0),FALSE)</f>
        <v>1.1559486448628384</v>
      </c>
      <c r="K67" s="34">
        <f>VLOOKUP($B67,标准坦克设计!$B$23:$U$30,MATCH("对重坦输出",标准坦克设计!$B$23:$U$23,0),FALSE)</f>
        <v>1.0824818659667195</v>
      </c>
      <c r="L67" s="2">
        <f>(ROUNDUP($C$46*(1-基础属性系数!$C$111)/(C67*I67),0)-D67)*F67+(D67-1)*H67</f>
        <v>-0.89999999999999991</v>
      </c>
      <c r="M67" s="2">
        <f>(ROUNDUP($C$49*(1-基础属性系数!$C$111)/(C67*J67),0)-D67)*F67+(D67-1)*H67</f>
        <v>-0.89999999999999991</v>
      </c>
      <c r="N67" s="2">
        <f>(ROUNDUP($C$51*(1-基础属性系数!$C$111)/(C67*K67),0)-D67)*F67+(D67-1)*H67</f>
        <v>3.6</v>
      </c>
      <c r="O67" s="34">
        <f>(L$66-L67)/L$66</f>
        <v>1.5</v>
      </c>
      <c r="P67" s="34">
        <f>(M$66-M67)/M$66</f>
        <v>1.5</v>
      </c>
      <c r="Q67" s="34">
        <f>(N$66-N67)/N$66</f>
        <v>0.42857142857142855</v>
      </c>
    </row>
    <row r="68" spans="2:27" x14ac:dyDescent="0.3">
      <c r="X68" s="25"/>
      <c r="Y68" s="25"/>
      <c r="Z68" s="24"/>
      <c r="AA68" s="24"/>
    </row>
    <row r="69" spans="2:27" x14ac:dyDescent="0.3">
      <c r="B69" s="262" t="s">
        <v>839</v>
      </c>
      <c r="C69" s="262"/>
      <c r="D69" s="262"/>
      <c r="E69" s="262"/>
      <c r="F69" s="262"/>
      <c r="G69" s="262"/>
      <c r="H69" s="262"/>
      <c r="I69" s="262"/>
      <c r="J69" s="262"/>
      <c r="K69" s="262"/>
      <c r="L69" s="262"/>
      <c r="M69" s="262"/>
      <c r="N69" s="262"/>
      <c r="O69" s="262"/>
      <c r="P69" s="262"/>
      <c r="Q69" s="262"/>
      <c r="R69" s="262"/>
      <c r="S69" s="262"/>
      <c r="T69" s="262"/>
      <c r="U69" s="262"/>
      <c r="V69" s="262"/>
      <c r="W69" s="262"/>
      <c r="X69" s="262"/>
    </row>
    <row r="70" spans="2:27" x14ac:dyDescent="0.3">
      <c r="B70" s="2" t="s">
        <v>72</v>
      </c>
      <c r="C70" s="2" t="s">
        <v>143</v>
      </c>
      <c r="D70" s="2" t="s">
        <v>91</v>
      </c>
      <c r="E70" s="2" t="s">
        <v>92</v>
      </c>
      <c r="F70" s="2" t="s">
        <v>93</v>
      </c>
      <c r="G70" s="2" t="s">
        <v>94</v>
      </c>
      <c r="H70" s="2" t="s">
        <v>95</v>
      </c>
      <c r="I70" s="2" t="s">
        <v>835</v>
      </c>
      <c r="J70" s="2" t="s">
        <v>836</v>
      </c>
      <c r="K70" s="2" t="s">
        <v>837</v>
      </c>
      <c r="L70" s="2" t="s">
        <v>117</v>
      </c>
      <c r="M70" s="2" t="s">
        <v>118</v>
      </c>
      <c r="N70" s="2" t="s">
        <v>119</v>
      </c>
      <c r="O70" s="2" t="s">
        <v>840</v>
      </c>
      <c r="P70" s="2" t="s">
        <v>841</v>
      </c>
      <c r="Q70" s="2" t="s">
        <v>842</v>
      </c>
      <c r="R70" s="2" t="s">
        <v>843</v>
      </c>
      <c r="S70" s="2" t="s">
        <v>844</v>
      </c>
      <c r="T70" s="2" t="s">
        <v>845</v>
      </c>
      <c r="U70" s="2" t="s">
        <v>846</v>
      </c>
      <c r="V70" s="2" t="s">
        <v>847</v>
      </c>
      <c r="W70" s="2" t="s">
        <v>848</v>
      </c>
      <c r="X70" s="2" t="s">
        <v>849</v>
      </c>
    </row>
    <row r="71" spans="2:27" x14ac:dyDescent="0.3">
      <c r="B71" s="2" t="s">
        <v>79</v>
      </c>
      <c r="C71" s="2">
        <f>ROUND(VLOOKUP(B71,标准坦克设计!$B$39:$H$46,6,FALSE),0)</f>
        <v>80</v>
      </c>
      <c r="D71" s="29">
        <f>VLOOKUP($B71,标准坦克设计!$B$13:$K$20,MATCH(D$70,标准坦克设计!$B$13:$K$13,0),FALSE)</f>
        <v>6</v>
      </c>
      <c r="E71" s="29">
        <f>VLOOKUP($B71,标准坦克设计!$B$13:$K$20,MATCH(E$70,标准坦克设计!$B$13:$K$13,0),FALSE)</f>
        <v>1.4</v>
      </c>
      <c r="F71" s="29">
        <f>VLOOKUP($B71,标准坦克设计!$B$13:$K$20,MATCH(F$70,标准坦克设计!$B$13:$K$13,0),FALSE)</f>
        <v>1.4</v>
      </c>
      <c r="G71" s="29">
        <f>VLOOKUP($B71,标准坦克设计!$B$13:$K$20,MATCH(G$70,标准坦克设计!$B$13:$K$13,0),FALSE)</f>
        <v>0</v>
      </c>
      <c r="H71" s="29">
        <f>VLOOKUP($B71,标准坦克设计!$B$13:$K$20,MATCH(H$70,标准坦克设计!$B$13:$K$13,0),FALSE)</f>
        <v>0.4</v>
      </c>
      <c r="I71" s="34">
        <f>标准坦克设计!R24</f>
        <v>1.276280095895922</v>
      </c>
      <c r="J71" s="34">
        <f>标准坦克设计!S24</f>
        <v>1.1555062125359821</v>
      </c>
      <c r="K71" s="34">
        <f>标准坦克设计!T24</f>
        <v>1.0304604192595412</v>
      </c>
      <c r="L71" s="2">
        <f>(ROUNDUP($C$46*(1-基础属性系数!$C$111)/(C71*I71),0)-D71)*F71+(D71-1)*H71</f>
        <v>0.60000000000000009</v>
      </c>
      <c r="M71" s="2">
        <f>(ROUNDUP($C$49*(1-基础属性系数!$C$111)/(C71*J71),0)-D71)*F71+(D71-1)*H71</f>
        <v>2</v>
      </c>
      <c r="N71" s="2">
        <f>(ROUNDUP($C$51*(1-基础属性系数!$C$111)/(C71*K71),0)-D71)*F71+(D71-1)*H71</f>
        <v>4.8</v>
      </c>
      <c r="O71" s="41">
        <v>0.1</v>
      </c>
      <c r="P71" s="159">
        <f>(((ROUNDUP($C$46*(1-基础属性系数!$C$111)/(C71*I71),0)-D71)*F71+(D71-1)*(H71+$O71))-L71)/L71</f>
        <v>0.83333333333333326</v>
      </c>
      <c r="Q71" s="159">
        <f>(((ROUNDUP($C$49*(1-基础属性系数!$C$111)/(C71*J71),0)-D71)*F71+(D71-1)*(H71+$O71))-M71)/M71</f>
        <v>0.25</v>
      </c>
      <c r="R71" s="159">
        <f>(((ROUNDUP($C$51*(1-基础属性系数!$C$111)/(C71*K71),0)-D71)*F71+(D71-1)*(H71+$O71))-N71)/N71</f>
        <v>0.10416666666666667</v>
      </c>
      <c r="S71" s="41">
        <v>0.2</v>
      </c>
      <c r="T71" s="159">
        <f>(((ROUNDUP($C$46*(1-基础属性系数!$C$111)/(C71*I71),0)-D71)*F71+(D71-1)*(H71+$S71))-L71)/L71</f>
        <v>1.6666666666666672</v>
      </c>
      <c r="U71" s="159">
        <f>(((ROUNDUP($C$49*(1-基础属性系数!$C$111)/(C71*J71),0)-D71)*F71+(D71-1)*(H71+$S71))-M71)/M71</f>
        <v>0.50000000000000022</v>
      </c>
      <c r="V71" s="159">
        <f>(((ROUNDUP($C$51*(1-基础属性系数!$C$111)/(C71*K71),0)-D71)*F71+(D71-1)*(H71+$S71))-N71)/N71</f>
        <v>0.20833333333333354</v>
      </c>
      <c r="W71" s="34">
        <f>IFERROR(O71/H71,0)</f>
        <v>0.25</v>
      </c>
      <c r="X71" s="159">
        <f>AVERAGE(AVERAGE(T71:V71)/(S71/O71),P71:R71)</f>
        <v>0.39583333333333337</v>
      </c>
    </row>
    <row r="72" spans="2:27" x14ac:dyDescent="0.3">
      <c r="B72" s="2" t="s">
        <v>81</v>
      </c>
      <c r="C72" s="2">
        <f>ROUND(VLOOKUP(B72,标准坦克设计!$B$39:$H$46,6,FALSE),0)</f>
        <v>42</v>
      </c>
      <c r="D72" s="29">
        <f>VLOOKUP($B72,标准坦克设计!$B$13:$K$20,MATCH(D$70,标准坦克设计!$B$13:$K$13,0),FALSE)</f>
        <v>9</v>
      </c>
      <c r="E72" s="29">
        <f>VLOOKUP($B72,标准坦克设计!$B$13:$K$20,MATCH(E$70,标准坦克设计!$B$13:$K$13,0),FALSE)</f>
        <v>0.7</v>
      </c>
      <c r="F72" s="29">
        <f>VLOOKUP($B72,标准坦克设计!$B$13:$K$20,MATCH(F$70,标准坦克设计!$B$13:$K$13,0),FALSE)</f>
        <v>0</v>
      </c>
      <c r="G72" s="29">
        <f>VLOOKUP($B72,标准坦克设计!$B$13:$K$20,MATCH(G$70,标准坦克设计!$B$13:$K$13,0),FALSE)</f>
        <v>6.3</v>
      </c>
      <c r="H72" s="29">
        <f>VLOOKUP($B72,标准坦克设计!$B$13:$K$20,MATCH(H$70,标准坦克设计!$B$13:$K$13,0),FALSE)</f>
        <v>0.4</v>
      </c>
      <c r="I72" s="34">
        <f>标准坦克设计!R25</f>
        <v>1.3406334646747302</v>
      </c>
      <c r="J72" s="34">
        <f>标准坦克设计!S25</f>
        <v>1.220974040802566</v>
      </c>
      <c r="K72" s="34">
        <f>标准坦克设计!T25</f>
        <v>1.1060838249826259</v>
      </c>
      <c r="L72" s="2">
        <f>ROUNDUP(($C$46*(1-基础属性系数!$C$111)/(C72*I72)-D72)/D72,0)*G72+(ROUNDUP($C$46*(1-基础属性系数!$C$111)/(C72*I72),0)-ROUNDUP(($C$46*(1-基础属性系数!$C$111)/(C72*I72)-D72)/D72,0)-1)*H72</f>
        <v>-2.6999999999999997</v>
      </c>
      <c r="M72" s="2">
        <f>ROUNDUP(($C$49*(1-基础属性系数!$C$111)/(C72*J72)-D72)/D72,0)*G72+(ROUNDUP($C$49*(1-基础属性系数!$C$111)/(C72*J72),0)-ROUNDUP(($C$49*(1-基础属性系数!$C$111)/(C72*J72)-D72)/D72,0)-1)*H72</f>
        <v>9.9</v>
      </c>
      <c r="N72" s="2">
        <f>ROUNDUP(($C$51*(1-基础属性系数!$C$111)/(C72*K72)-D72)/D72,0)*G72+(ROUNDUP($C$51*(1-基础属性系数!$C$111)/(C72*K72),0)-ROUNDUP(($C$51*(1-基础属性系数!$C$111)/(C72*K72)-D72)/D72,0)-1)*H72</f>
        <v>10.7</v>
      </c>
      <c r="O72" s="41">
        <v>0.1</v>
      </c>
      <c r="P72" s="159">
        <f>((ROUNDUP(($C$46*(1-基础属性系数!$C$111)/(C72*I72)-D72)/D72,0)*G72+(ROUNDUP($C$46*(1-基础属性系数!$C$111)/(C72*I72),0)-ROUNDUP(($C$46*(1-基础属性系数!$C$111)/(C72*I72)-D72)/D72,0)-1)*(H72+O72))-L72)/L72</f>
        <v>-0.33333333333333331</v>
      </c>
      <c r="Q72" s="159">
        <f>((ROUNDUP(($C$49*(1-基础属性系数!$C$111)/(C72*J72)-D72)/D72,0)*G72+(ROUNDUP($C$49*(1-基础属性系数!$C$111)/(C72*J72),0)-ROUNDUP(($C$49*(1-基础属性系数!$C$111)/(C72*J72)-D72)/D72,0)-1)*(H72+O72))-M72)/M72</f>
        <v>9.0909090909090939E-2</v>
      </c>
      <c r="R72" s="159">
        <f>((ROUNDUP(($C$51*(1-基础属性系数!$C$111)/(C72*K72)-D72)/D72,0)*G72+(ROUNDUP($C$51*(1-基础属性系数!$C$111)/(C72*K72),0)-ROUNDUP(($C$51*(1-基础属性系数!$C$111)/(C72*K72)-D72)/D72,0)-1)*(H72+O72))-N72)/N72</f>
        <v>0.10280373831775715</v>
      </c>
      <c r="S72" s="41">
        <v>0.2</v>
      </c>
      <c r="T72" s="159">
        <f>((ROUNDUP(($C$46*(1-基础属性系数!$C$111)/(C72*I72)-D72)/D72,0)*G72+(ROUNDUP($C$46*(1-基础属性系数!$C$111)/(C72*I72),0)-ROUNDUP(($C$46*(1-基础属性系数!$C$111)/(C72*I72)-D72)/D72,0)-1)*(H72+S72))-L72)/L72</f>
        <v>-0.66666666666666685</v>
      </c>
      <c r="U72" s="159">
        <f>((ROUNDUP(($C$49*(1-基础属性系数!$C$111)/(C72*J72)-D72)/D72,0)*G72+(ROUNDUP($C$49*(1-基础属性系数!$C$111)/(C72*J72),0)-ROUNDUP(($C$49*(1-基础属性系数!$C$111)/(C72*J72)-D72)/D72,0)-1)*(H72+S72))-M72)/M72</f>
        <v>0.18181818181818171</v>
      </c>
      <c r="V72" s="159">
        <f>((ROUNDUP(($C$51*(1-基础属性系数!$C$111)/(C72*K72)-D72)/D72,0)*G72+(ROUNDUP($C$51*(1-基础属性系数!$C$111)/(C72*K72),0)-ROUNDUP(($C$51*(1-基础属性系数!$C$111)/(C72*K72)-D72)/D72,0)-1)*(H72+S72))-N72)/N72</f>
        <v>0.20560747663551429</v>
      </c>
      <c r="W72" s="34">
        <f t="shared" ref="W72:W77" si="79">IFERROR(O72/H72,0)</f>
        <v>0.25</v>
      </c>
      <c r="X72" s="159">
        <f t="shared" ref="X72:X77" si="80">AVERAGE(AVERAGE(T72:V72)/(S72/O72),P72:R72)</f>
        <v>-4.65401680354951E-2</v>
      </c>
    </row>
    <row r="73" spans="2:27" x14ac:dyDescent="0.3">
      <c r="B73" s="2" t="s">
        <v>83</v>
      </c>
      <c r="C73" s="2">
        <f>ROUND(VLOOKUP(B73,标准坦克设计!$B$39:$H$46,6,FALSE),0)</f>
        <v>161</v>
      </c>
      <c r="D73" s="29">
        <f>VLOOKUP($B73,标准坦克设计!$B$13:$K$20,MATCH(D$70,标准坦克设计!$B$13:$K$13,0),FALSE)</f>
        <v>1</v>
      </c>
      <c r="E73" s="29">
        <f>VLOOKUP($B73,标准坦克设计!$B$13:$K$20,MATCH(E$70,标准坦克设计!$B$13:$K$13,0),FALSE)</f>
        <v>3</v>
      </c>
      <c r="F73" s="29">
        <f>VLOOKUP($B73,标准坦克设计!$B$13:$K$20,MATCH(F$70,标准坦克设计!$B$13:$K$13,0),FALSE)</f>
        <v>3</v>
      </c>
      <c r="G73" s="29">
        <f>VLOOKUP($B73,标准坦克设计!$B$13:$K$20,MATCH(G$70,标准坦克设计!$B$13:$K$13,0),FALSE)</f>
        <v>0</v>
      </c>
      <c r="H73" s="29">
        <f>VLOOKUP($B73,标准坦克设计!$B$13:$K$20,MATCH(H$70,标准坦克设计!$B$13:$K$13,0),FALSE)</f>
        <v>0</v>
      </c>
      <c r="I73" s="34">
        <f>标准坦克设计!R26</f>
        <v>1.4033351232383817</v>
      </c>
      <c r="J73" s="34">
        <f>标准坦克设计!S26</f>
        <v>1.2854973577528963</v>
      </c>
      <c r="K73" s="34">
        <f>标准坦克设计!T26</f>
        <v>1.1821832845108236</v>
      </c>
      <c r="L73" s="2">
        <f>(ROUNDUP($C$46*(1-基础属性系数!$C$111)/(C73*I73),0)-D73)*F73+(D73-1)*H73</f>
        <v>6</v>
      </c>
      <c r="M73" s="2">
        <f>(ROUNDUP($C$49*(1-基础属性系数!$C$111)/(C73*J73),0)-D73)*F73+(D73-1)*H73</f>
        <v>6</v>
      </c>
      <c r="N73" s="2">
        <f>(ROUNDUP($C$51*(1-基础属性系数!$C$111)/(C73*K73),0)-D73)*F73+(D73-1)*H73</f>
        <v>9</v>
      </c>
      <c r="O73" s="41">
        <v>0.1</v>
      </c>
      <c r="P73" s="159">
        <f>(((ROUNDUP($C$46*(1-基础属性系数!$C$111)/(C73*I73),0)-D73)*F73+(D73-1)*(H73+$O73))-L73)/L73</f>
        <v>0</v>
      </c>
      <c r="Q73" s="159">
        <f>(((ROUNDUP($C$49*(1-基础属性系数!$C$111)/(C73*J73),0)-D73)*F73+(D73-1)*(H73+$O73))-M73)/M73</f>
        <v>0</v>
      </c>
      <c r="R73" s="159">
        <f>(((ROUNDUP($C$51*(1-基础属性系数!$C$111)/(C73*K73),0)-D73)*F73+(D73-1)*(H73+$O73))-N73)/N73</f>
        <v>0</v>
      </c>
      <c r="S73" s="41">
        <v>0.2</v>
      </c>
      <c r="T73" s="159">
        <f>(((ROUNDUP($C$46*(1-基础属性系数!$C$111)/(C73*I73),0)-D73)*F73+(D73-1)*(H73+$S73))-L73)/L73</f>
        <v>0</v>
      </c>
      <c r="U73" s="159">
        <f>(((ROUNDUP($C$49*(1-基础属性系数!$C$111)/(C73*J73),0)-D73)*F73+(D73-1)*(H73+$S73))-M73)/M73</f>
        <v>0</v>
      </c>
      <c r="V73" s="159">
        <f>(((ROUNDUP($C$51*(1-基础属性系数!$C$111)/(C73*K73),0)-D73)*F73+(D73-1)*(H73+$S73))-N73)/N73</f>
        <v>0</v>
      </c>
      <c r="W73" s="34">
        <f t="shared" si="79"/>
        <v>0</v>
      </c>
      <c r="X73" s="159">
        <f t="shared" si="80"/>
        <v>0</v>
      </c>
    </row>
    <row r="74" spans="2:27" x14ac:dyDescent="0.3">
      <c r="B74" s="2" t="s">
        <v>85</v>
      </c>
      <c r="C74" s="2">
        <f>ROUND(VLOOKUP(B74,标准坦克设计!$B$39:$H$46,6,FALSE),0)</f>
        <v>74</v>
      </c>
      <c r="D74" s="29">
        <f>VLOOKUP($B74,标准坦克设计!$B$13:$K$20,MATCH(D$70,标准坦克设计!$B$13:$K$13,0),FALSE)</f>
        <v>6</v>
      </c>
      <c r="E74" s="29">
        <f>VLOOKUP($B74,标准坦克设计!$B$13:$K$20,MATCH(E$70,标准坦克设计!$B$13:$K$13,0),FALSE)</f>
        <v>1</v>
      </c>
      <c r="F74" s="29">
        <f>VLOOKUP($B74,标准坦克设计!$B$13:$K$20,MATCH(F$70,标准坦克设计!$B$13:$K$13,0),FALSE)</f>
        <v>0</v>
      </c>
      <c r="G74" s="29">
        <f>VLOOKUP($B74,标准坦克设计!$B$13:$K$20,MATCH(G$70,标准坦克设计!$B$13:$K$13,0),FALSE)</f>
        <v>6</v>
      </c>
      <c r="H74" s="29">
        <f>VLOOKUP($B74,标准坦克设计!$B$13:$K$20,MATCH(H$70,标准坦克设计!$B$13:$K$13,0),FALSE)</f>
        <v>0.5</v>
      </c>
      <c r="I74" s="34">
        <f>标准坦克设计!R27</f>
        <v>1.2592199993210031</v>
      </c>
      <c r="J74" s="34">
        <f>标准坦克设计!S27</f>
        <v>1.1470256404086814</v>
      </c>
      <c r="K74" s="34">
        <f>标准坦克设计!T27</f>
        <v>1.063667137525923</v>
      </c>
      <c r="L74" s="2">
        <f>ROUNDUP(($C$46*(1-基础属性系数!$C$111)/(C74*I74)-D74)/D74,0)*G74+(ROUNDUP($C$46*(1-基础属性系数!$C$111)/(C74*I74),0)-ROUNDUP(($C$46*(1-基础属性系数!$C$111)/(C74*I74)-D74)/D74,0)-1)*H74</f>
        <v>-3</v>
      </c>
      <c r="M74" s="2">
        <f>ROUNDUP(($C$49*(1-基础属性系数!$C$111)/(C74*J74)-D74)/D74,0)*G74+(ROUNDUP($C$49*(1-基础属性系数!$C$111)/(C74*J74),0)-ROUNDUP(($C$49*(1-基础属性系数!$C$111)/(C74*J74)-D74)/D74,0)-1)*H74</f>
        <v>8.5</v>
      </c>
      <c r="N74" s="2">
        <f>ROUNDUP(($C$51*(1-基础属性系数!$C$111)/(C74*K74)-D74)/D74,0)*G74+(ROUNDUP($C$51*(1-基础属性系数!$C$111)/(C74*K74),0)-ROUNDUP(($C$51*(1-基础属性系数!$C$111)/(C74*K74)-D74)/D74,0)-1)*H74</f>
        <v>9</v>
      </c>
      <c r="O74" s="41">
        <v>0.1</v>
      </c>
      <c r="P74" s="159">
        <f>((ROUNDUP(($C$46*(1-基础属性系数!$C$111)/(C74*I74)-D74)/D74,0)*G74+(ROUNDUP($C$46*(1-基础属性系数!$C$111)/(C74*I74),0)-ROUNDUP(($C$46*(1-基础属性系数!$C$111)/(C74*I74)-D74)/D74,0)-1)*(H74+O74))-L74)/L74</f>
        <v>-0.19999999999999987</v>
      </c>
      <c r="Q74" s="159">
        <f>((ROUNDUP(($C$49*(1-基础属性系数!$C$111)/(C74*J74)-D74)/D74,0)*G74+(ROUNDUP($C$49*(1-基础属性系数!$C$111)/(C74*J74),0)-ROUNDUP(($C$49*(1-基础属性系数!$C$111)/(C74*J74)-D74)/D74,0)-1)*(H74+O74))-M74)/M74</f>
        <v>5.8823529411764705E-2</v>
      </c>
      <c r="R74" s="159">
        <f>((ROUNDUP(($C$51*(1-基础属性系数!$C$111)/(C74*K74)-D74)/D74,0)*G74+(ROUNDUP($C$51*(1-基础属性系数!$C$111)/(C74*K74),0)-ROUNDUP(($C$51*(1-基础属性系数!$C$111)/(C74*K74)-D74)/D74,0)-1)*(H74+O74))-N74)/N74</f>
        <v>6.6666666666666624E-2</v>
      </c>
      <c r="S74" s="41">
        <v>0.2</v>
      </c>
      <c r="T74" s="159">
        <f>((ROUNDUP(($C$46*(1-基础属性系数!$C$111)/(C74*I74)-D74)/D74,0)*G74+(ROUNDUP($C$46*(1-基础属性系数!$C$111)/(C74*I74),0)-ROUNDUP(($C$46*(1-基础属性系数!$C$111)/(C74*I74)-D74)/D74,0)-1)*(H74+S74))-L74)/L74</f>
        <v>-0.39999999999999974</v>
      </c>
      <c r="U74" s="159">
        <f>((ROUNDUP(($C$49*(1-基础属性系数!$C$111)/(C74*J74)-D74)/D74,0)*G74+(ROUNDUP($C$49*(1-基础属性系数!$C$111)/(C74*J74),0)-ROUNDUP(($C$49*(1-基础属性系数!$C$111)/(C74*J74)-D74)/D74,0)-1)*(H74+S74))-M74)/M74</f>
        <v>0.11764705882352941</v>
      </c>
      <c r="V74" s="159">
        <f>((ROUNDUP(($C$51*(1-基础属性系数!$C$111)/(C74*K74)-D74)/D74,0)*G74+(ROUNDUP($C$51*(1-基础属性系数!$C$111)/(C74*K74),0)-ROUNDUP(($C$51*(1-基础属性系数!$C$111)/(C74*K74)-D74)/D74,0)-1)*(H74+S74))-N74)/N74</f>
        <v>0.13333333333333325</v>
      </c>
      <c r="W74" s="34">
        <f t="shared" si="79"/>
        <v>0.2</v>
      </c>
      <c r="X74" s="159">
        <f t="shared" si="80"/>
        <v>-2.4836601307189517E-2</v>
      </c>
    </row>
    <row r="75" spans="2:27" x14ac:dyDescent="0.3">
      <c r="B75" s="2" t="s">
        <v>86</v>
      </c>
      <c r="C75" s="2">
        <f>ROUND(VLOOKUP(B75,标准坦克设计!$B$39:$H$46,6,FALSE),0)</f>
        <v>89</v>
      </c>
      <c r="D75" s="29">
        <f>VLOOKUP($B75,标准坦克设计!$B$13:$K$20,MATCH(D$70,标准坦克设计!$B$13:$K$13,0),FALSE)</f>
        <v>6</v>
      </c>
      <c r="E75" s="29">
        <f>VLOOKUP($B75,标准坦克设计!$B$13:$K$20,MATCH(E$70,标准坦克设计!$B$13:$K$13,0),FALSE)</f>
        <v>2</v>
      </c>
      <c r="F75" s="29">
        <f>VLOOKUP($B75,标准坦克设计!$B$13:$K$20,MATCH(F$70,标准坦克设计!$B$13:$K$13,0),FALSE)</f>
        <v>2</v>
      </c>
      <c r="G75" s="29">
        <f>VLOOKUP($B75,标准坦克设计!$B$13:$K$20,MATCH(G$70,标准坦克设计!$B$13:$K$13,0),FALSE)</f>
        <v>0</v>
      </c>
      <c r="H75" s="29">
        <f>VLOOKUP($B75,标准坦克设计!$B$13:$K$20,MATCH(H$70,标准坦克设计!$B$13:$K$13,0),FALSE)</f>
        <v>1</v>
      </c>
      <c r="I75" s="34">
        <f>标准坦克设计!R28</f>
        <v>1.3530247060786802</v>
      </c>
      <c r="J75" s="34">
        <f>标准坦克设计!S28</f>
        <v>1.2402920596613429</v>
      </c>
      <c r="K75" s="34">
        <f>标准坦克设计!T28</f>
        <v>1.1541008573620322</v>
      </c>
      <c r="L75" s="2">
        <f>(ROUNDUP($C$46*(1-基础属性系数!$C$111)/(C75*I75),0)-D75)*F75+(D75-1)*H75</f>
        <v>1</v>
      </c>
      <c r="M75" s="2">
        <f>(ROUNDUP($C$49*(1-基础属性系数!$C$111)/(C75*J75),0)-D75)*F75+(D75-1)*H75</f>
        <v>3</v>
      </c>
      <c r="N75" s="2">
        <f>(ROUNDUP($C$51*(1-基础属性系数!$C$111)/(C75*K75),0)-D75)*F75+(D75-1)*H75</f>
        <v>5</v>
      </c>
      <c r="O75" s="41">
        <v>0.1</v>
      </c>
      <c r="P75" s="159">
        <f>(((ROUNDUP($C$46*(1-基础属性系数!$C$111)/(C75*I75),0)-D75)*F75+(D75-1)*(H75+$O75))-L75)/L75</f>
        <v>0.5</v>
      </c>
      <c r="Q75" s="159">
        <f>(((ROUNDUP($C$49*(1-基础属性系数!$C$111)/(C75*J75),0)-D75)*F75+(D75-1)*(H75+$O75))-M75)/M75</f>
        <v>0.16666666666666666</v>
      </c>
      <c r="R75" s="159">
        <f>(((ROUNDUP($C$51*(1-基础属性系数!$C$111)/(C75*K75),0)-D75)*F75+(D75-1)*(H75+$O75))-N75)/N75</f>
        <v>0.1</v>
      </c>
      <c r="S75" s="41">
        <v>0.2</v>
      </c>
      <c r="T75" s="159">
        <f>(((ROUNDUP($C$46*(1-基础属性系数!$C$111)/(C75*I75),0)-D75)*F75+(D75-1)*(H75+$S75))-L75)/L75</f>
        <v>1</v>
      </c>
      <c r="U75" s="159">
        <f>(((ROUNDUP($C$49*(1-基础属性系数!$C$111)/(C75*J75),0)-D75)*F75+(D75-1)*(H75+$S75))-M75)/M75</f>
        <v>0.33333333333333331</v>
      </c>
      <c r="V75" s="159">
        <f>(((ROUNDUP($C$51*(1-基础属性系数!$C$111)/(C75*K75),0)-D75)*F75+(D75-1)*(H75+$S75))-N75)/N75</f>
        <v>0.2</v>
      </c>
      <c r="W75" s="34">
        <f t="shared" si="79"/>
        <v>0.1</v>
      </c>
      <c r="X75" s="159">
        <f t="shared" si="80"/>
        <v>0.25555555555555554</v>
      </c>
    </row>
    <row r="76" spans="2:27" x14ac:dyDescent="0.3">
      <c r="B76" s="2" t="s">
        <v>87</v>
      </c>
      <c r="C76" s="2">
        <f>ROUND(VLOOKUP(B76,标准坦克设计!$B$39:$H$46,6,FALSE),0)</f>
        <v>268</v>
      </c>
      <c r="D76" s="29">
        <f>VLOOKUP($B76,标准坦克设计!$B$13:$K$20,MATCH(D$70,标准坦克设计!$B$13:$K$13,0),FALSE)</f>
        <v>2</v>
      </c>
      <c r="E76" s="29">
        <f>VLOOKUP($B76,标准坦克设计!$B$13:$K$20,MATCH(E$70,标准坦克设计!$B$13:$K$13,0),FALSE)</f>
        <v>4.5</v>
      </c>
      <c r="F76" s="29">
        <f>VLOOKUP($B76,标准坦克设计!$B$13:$K$20,MATCH(F$70,标准坦克设计!$B$13:$K$13,0),FALSE)</f>
        <v>4.5</v>
      </c>
      <c r="G76" s="29">
        <f>VLOOKUP($B76,标准坦克设计!$B$13:$K$20,MATCH(G$70,标准坦克设计!$B$13:$K$13,0),FALSE)</f>
        <v>0</v>
      </c>
      <c r="H76" s="29">
        <f>VLOOKUP($B76,标准坦克设计!$B$13:$K$20,MATCH(H$70,标准坦克设计!$B$13:$K$13,0),FALSE)</f>
        <v>1.8</v>
      </c>
      <c r="I76" s="34">
        <f>标准坦克设计!R29</f>
        <v>1.2649435211297493</v>
      </c>
      <c r="J76" s="34">
        <f>标准坦克设计!S29</f>
        <v>1.1559486448628384</v>
      </c>
      <c r="K76" s="34">
        <f>标准坦克设计!T29</f>
        <v>1.0824818659667195</v>
      </c>
      <c r="L76" s="2">
        <f>(ROUNDUP($C$46*(1-基础属性系数!$C$111)/(C76*I76),0)-D76)*F76+(D76-1)*H76</f>
        <v>1.8</v>
      </c>
      <c r="M76" s="2">
        <f>(ROUNDUP($C$49*(1-基础属性系数!$C$111)/(C76*J76),0)-D76)*F76+(D76-1)*H76</f>
        <v>1.8</v>
      </c>
      <c r="N76" s="2">
        <f>(ROUNDUP($C$51*(1-基础属性系数!$C$111)/(C76*K76),0)-D76)*F76+(D76-1)*H76</f>
        <v>6.3</v>
      </c>
      <c r="O76" s="41">
        <v>0.1</v>
      </c>
      <c r="P76" s="159">
        <f>(((ROUNDUP($C$46*(1-基础属性系数!$C$111)/(C76*I76),0)-D76)*F76+(D76-1)*(H76+$O76))-L76)/L76</f>
        <v>5.5555555555555601E-2</v>
      </c>
      <c r="Q76" s="159">
        <f>(((ROUNDUP($C$49*(1-基础属性系数!$C$111)/(C76*J76),0)-D76)*F76+(D76-1)*(H76+$O76))-M76)/M76</f>
        <v>5.5555555555555601E-2</v>
      </c>
      <c r="R76" s="159">
        <f>(((ROUNDUP($C$51*(1-基础属性系数!$C$111)/(C76*K76),0)-D76)*F76+(D76-1)*(H76+$O76))-N76)/N76</f>
        <v>1.5873015873015959E-2</v>
      </c>
      <c r="S76" s="41">
        <v>0.2</v>
      </c>
      <c r="T76" s="159">
        <f>(((ROUNDUP($C$46*(1-基础属性系数!$C$111)/(C76*I76),0)-D76)*F76+(D76-1)*(H76+$S76))-L76)/L76</f>
        <v>0.11111111111111108</v>
      </c>
      <c r="U76" s="159">
        <f>(((ROUNDUP($C$49*(1-基础属性系数!$C$111)/(C76*J76),0)-D76)*F76+(D76-1)*(H76+$S76))-M76)/M76</f>
        <v>0.11111111111111108</v>
      </c>
      <c r="V76" s="159">
        <f>(((ROUNDUP($C$51*(1-基础属性系数!$C$111)/(C76*K76),0)-D76)*F76+(D76-1)*(H76+$S76))-N76)/N76</f>
        <v>3.1746031746031772E-2</v>
      </c>
      <c r="W76" s="34">
        <f t="shared" si="79"/>
        <v>5.5555555555555559E-2</v>
      </c>
      <c r="X76" s="159">
        <f t="shared" si="80"/>
        <v>4.2328042328042374E-2</v>
      </c>
    </row>
    <row r="77" spans="2:27" x14ac:dyDescent="0.3">
      <c r="B77" s="2" t="s">
        <v>88</v>
      </c>
      <c r="C77" s="2">
        <f>ROUND(VLOOKUP(B77,标准坦克设计!$B$39:$H$46,6,FALSE),0)</f>
        <v>354</v>
      </c>
      <c r="D77" s="29">
        <f>VLOOKUP($B77,标准坦克设计!$B$13:$K$20,MATCH(D$70,标准坦克设计!$B$13:$K$13,0),FALSE)</f>
        <v>1</v>
      </c>
      <c r="E77" s="29">
        <f>VLOOKUP($B77,标准坦克设计!$B$13:$K$20,MATCH(E$70,标准坦克设计!$B$13:$K$13,0),FALSE)</f>
        <v>6</v>
      </c>
      <c r="F77" s="29">
        <f>VLOOKUP($B77,标准坦克设计!$B$13:$K$20,MATCH(F$70,标准坦克设计!$B$13:$K$13,0),FALSE)</f>
        <v>6</v>
      </c>
      <c r="G77" s="29">
        <f>VLOOKUP($B77,标准坦克设计!$B$13:$K$20,MATCH(G$70,标准坦克设计!$B$13:$K$13,0),FALSE)</f>
        <v>0</v>
      </c>
      <c r="H77" s="29">
        <f>VLOOKUP($B77,标准坦克设计!$B$13:$K$20,MATCH(H$70,标准坦克设计!$B$13:$K$13,0),FALSE)</f>
        <v>0</v>
      </c>
      <c r="I77" s="34">
        <f>标准坦克设计!R30</f>
        <v>1.3305853660078584</v>
      </c>
      <c r="J77" s="34">
        <f>标准坦克设计!S30</f>
        <v>1.2225207671008416</v>
      </c>
      <c r="K77" s="34">
        <f>标准坦克设计!T30</f>
        <v>1.1419837318606663</v>
      </c>
      <c r="L77" s="2">
        <f>(ROUNDUP($C$46*(1-基础属性系数!$C$111)/(C77*I77),0)-D77)*F77+(D77-1)*H77</f>
        <v>6</v>
      </c>
      <c r="M77" s="2">
        <f>(ROUNDUP($C$49*(1-基础属性系数!$C$111)/(C77*J77),0)-D77)*F77+(D77-1)*H77</f>
        <v>6</v>
      </c>
      <c r="N77" s="2">
        <f>(ROUNDUP($C$51*(1-基础属性系数!$C$111)/(C77*K77),0)-D77)*F77+(D77-1)*H77</f>
        <v>6</v>
      </c>
      <c r="O77" s="41">
        <v>0.1</v>
      </c>
      <c r="P77" s="159">
        <f>(((ROUNDUP($C$46*(1-基础属性系数!$C$111)/(C77*I77),0)-D77)*F77+(D77-1)*(H77+$O77))-L77)/L77</f>
        <v>0</v>
      </c>
      <c r="Q77" s="159">
        <f>(((ROUNDUP($C$49*(1-基础属性系数!$C$111)/(C77*J77),0)-D77)*F77+(D77-1)*(H77+$O77))-M77)/M77</f>
        <v>0</v>
      </c>
      <c r="R77" s="159">
        <f>(((ROUNDUP($C$51*(1-基础属性系数!$C$111)/(C77*K77),0)-D77)*F77+(D77-1)*(H77+$O77))-N77)/N77</f>
        <v>0</v>
      </c>
      <c r="S77" s="41">
        <v>0.2</v>
      </c>
      <c r="T77" s="159">
        <f>(((ROUNDUP($C$46*(1-基础属性系数!$C$111)/(C77*I77),0)-D77)*F77+(D77-1)*(H77+$S77))-L77)/L77</f>
        <v>0</v>
      </c>
      <c r="U77" s="159">
        <f>(((ROUNDUP($C$49*(1-基础属性系数!$C$111)/(C77*J77),0)-D77)*F77+(D77-1)*(H77+$S77))-M77)/M77</f>
        <v>0</v>
      </c>
      <c r="V77" s="159">
        <f>(((ROUNDUP($C$51*(1-基础属性系数!$C$111)/(C77*K77),0)-D77)*F77+(D77-1)*(H77+$S77))-N77)/N77</f>
        <v>0</v>
      </c>
      <c r="W77" s="34">
        <f t="shared" si="79"/>
        <v>0</v>
      </c>
      <c r="X77" s="159">
        <f t="shared" si="80"/>
        <v>0</v>
      </c>
    </row>
    <row r="78" spans="2:27" x14ac:dyDescent="0.3">
      <c r="B78" s="25"/>
      <c r="C78" s="25"/>
    </row>
    <row r="79" spans="2:27" x14ac:dyDescent="0.3">
      <c r="B79" s="262" t="s">
        <v>850</v>
      </c>
      <c r="C79" s="262"/>
      <c r="D79" s="262"/>
      <c r="E79" s="262"/>
      <c r="F79" s="262"/>
      <c r="G79" s="262"/>
      <c r="H79" s="262"/>
      <c r="I79" s="262"/>
      <c r="J79" s="262"/>
      <c r="K79" s="262"/>
      <c r="L79" s="262"/>
      <c r="M79" s="262"/>
      <c r="N79" s="262"/>
      <c r="O79" s="262"/>
      <c r="P79" s="262"/>
      <c r="Q79" s="262"/>
      <c r="R79" s="262"/>
      <c r="S79" s="262"/>
      <c r="T79" s="262"/>
      <c r="U79" s="262"/>
      <c r="V79" s="262"/>
      <c r="W79" s="262"/>
      <c r="X79" s="262"/>
      <c r="Y79" s="217"/>
    </row>
    <row r="80" spans="2:27" x14ac:dyDescent="0.3">
      <c r="B80" s="2" t="s">
        <v>72</v>
      </c>
      <c r="C80" s="2" t="s">
        <v>143</v>
      </c>
      <c r="D80" s="2" t="s">
        <v>91</v>
      </c>
      <c r="E80" s="2" t="s">
        <v>92</v>
      </c>
      <c r="F80" s="2" t="s">
        <v>93</v>
      </c>
      <c r="G80" s="2" t="s">
        <v>94</v>
      </c>
      <c r="H80" s="2" t="s">
        <v>95</v>
      </c>
      <c r="I80" s="2" t="s">
        <v>835</v>
      </c>
      <c r="J80" s="2" t="s">
        <v>836</v>
      </c>
      <c r="K80" s="2" t="s">
        <v>837</v>
      </c>
      <c r="L80" s="2" t="s">
        <v>117</v>
      </c>
      <c r="M80" s="2" t="s">
        <v>118</v>
      </c>
      <c r="N80" s="2" t="s">
        <v>119</v>
      </c>
      <c r="O80" s="2" t="s">
        <v>840</v>
      </c>
      <c r="P80" s="2" t="s">
        <v>841</v>
      </c>
      <c r="Q80" s="2" t="s">
        <v>842</v>
      </c>
      <c r="R80" s="2" t="s">
        <v>843</v>
      </c>
      <c r="S80" s="2" t="s">
        <v>844</v>
      </c>
      <c r="T80" s="2" t="s">
        <v>845</v>
      </c>
      <c r="U80" s="2" t="s">
        <v>846</v>
      </c>
      <c r="V80" s="2" t="s">
        <v>847</v>
      </c>
      <c r="W80" s="2" t="s">
        <v>851</v>
      </c>
      <c r="X80" s="2" t="s">
        <v>852</v>
      </c>
      <c r="Z80" s="25"/>
      <c r="AA80" s="25"/>
    </row>
    <row r="81" spans="2:27" x14ac:dyDescent="0.3">
      <c r="B81" s="2" t="s">
        <v>79</v>
      </c>
      <c r="C81" s="2">
        <f>ROUND(VLOOKUP(B81,标准坦克设计!$B$39:$H$46,6,FALSE),0)</f>
        <v>80</v>
      </c>
      <c r="D81" s="29">
        <f>VLOOKUP($B81,标准坦克设计!$B$13:$K$20,MATCH(D$80,标准坦克设计!$B$13:$K$13,0),FALSE)</f>
        <v>6</v>
      </c>
      <c r="E81" s="29">
        <f>VLOOKUP($B81,标准坦克设计!$B$13:$K$20,MATCH(E$80,标准坦克设计!$B$13:$K$13,0),FALSE)</f>
        <v>1.4</v>
      </c>
      <c r="F81" s="29">
        <f>VLOOKUP($B81,标准坦克设计!$B$13:$K$20,MATCH(F$80,标准坦克设计!$B$13:$K$13,0),FALSE)</f>
        <v>1.4</v>
      </c>
      <c r="G81" s="29">
        <f>VLOOKUP($B81,标准坦克设计!$B$13:$K$20,MATCH(G$80,标准坦克设计!$B$13:$K$13,0),FALSE)</f>
        <v>0</v>
      </c>
      <c r="H81" s="29">
        <f>VLOOKUP($B81,标准坦克设计!$B$13:$K$20,MATCH(H$80,标准坦克设计!$B$13:$K$13,0),FALSE)</f>
        <v>0.4</v>
      </c>
      <c r="I81" s="34">
        <f>标准坦克设计!R24</f>
        <v>1.276280095895922</v>
      </c>
      <c r="J81" s="34">
        <f>标准坦克设计!S24</f>
        <v>1.1555062125359821</v>
      </c>
      <c r="K81" s="34">
        <f>标准坦克设计!T24</f>
        <v>1.0304604192595412</v>
      </c>
      <c r="L81" s="2">
        <f>(ROUNDUP($C$46*(1-基础属性系数!$C$111)/(C81*I81),0)-D81)*F81+(D81-1)*H81</f>
        <v>0.60000000000000009</v>
      </c>
      <c r="M81" s="2">
        <f>(ROUNDUP($C$49*(1-基础属性系数!$C$111)/(C81*J81),0)-D81)*F81+(D81-1)*H81</f>
        <v>2</v>
      </c>
      <c r="N81" s="2">
        <f>(ROUNDUP($C$51*(1-基础属性系数!$C$111)/(C81*K81),0)-D81)*F81+(D81-1)*H81</f>
        <v>4.8</v>
      </c>
      <c r="O81" s="41">
        <v>0.1</v>
      </c>
      <c r="P81" s="159">
        <f>(L81-((ROUNDUP($C$46*(1-基础属性系数!$C$111)/(C81*I81),0)-D81)*(F81-$O81)+(D81-1)*H81))/L81</f>
        <v>-0.1666666666666668</v>
      </c>
      <c r="Q81" s="159">
        <f>(M81-((ROUNDUP($C$49*(1-基础属性系数!$C$111)/(C81*J81),0)-D81)*(F81-$O81)+(D81-1)*H81))/M81</f>
        <v>0</v>
      </c>
      <c r="R81" s="159">
        <f>(N81-((ROUNDUP($C$51*(1-基础属性系数!$C$111)/(C81*K81),0)-D81)*(F81-$O81)+(D81-1)*H81))/N81</f>
        <v>4.1666666666666706E-2</v>
      </c>
      <c r="S81" s="41">
        <v>1</v>
      </c>
      <c r="T81" s="159">
        <f>(L81-((ROUNDUP($C$46*(1-基础属性系数!$C$111)/(C81*I81),0)-D81)*(F81-$S81)+(D81-1)*H81))/L81</f>
        <v>-1.6666666666666665</v>
      </c>
      <c r="U81" s="159">
        <f>(M81-((ROUNDUP($C$49*(1-基础属性系数!$C$111)/(C81*J81),0)-D81)*(F81-$S81)+(D81-1)*H81))/M81</f>
        <v>0</v>
      </c>
      <c r="V81" s="159">
        <f>(N81-((ROUNDUP($C$51*(1-基础属性系数!$C$111)/(C81*K81),0)-D81)*(F81-$S81)+(D81-1)*H81))/N81</f>
        <v>0.41666666666666669</v>
      </c>
      <c r="W81" s="34">
        <f>S81/F81</f>
        <v>0.7142857142857143</v>
      </c>
      <c r="X81" s="159">
        <f t="shared" ref="X81:X87" si="81">AVERAGE(T81:V81)</f>
        <v>-0.41666666666666657</v>
      </c>
      <c r="Z81" s="25"/>
      <c r="AA81" s="25"/>
    </row>
    <row r="82" spans="2:27" x14ac:dyDescent="0.3">
      <c r="B82" s="2" t="s">
        <v>81</v>
      </c>
      <c r="C82" s="2">
        <f>ROUND(VLOOKUP(B82,标准坦克设计!$B$39:$H$46,6,FALSE),0)</f>
        <v>42</v>
      </c>
      <c r="D82" s="29">
        <f>VLOOKUP($B82,标准坦克设计!$B$13:$K$20,MATCH(D$80,标准坦克设计!$B$13:$K$13,0),FALSE)</f>
        <v>9</v>
      </c>
      <c r="E82" s="29">
        <f>VLOOKUP($B82,标准坦克设计!$B$13:$K$20,MATCH(E$80,标准坦克设计!$B$13:$K$13,0),FALSE)</f>
        <v>0.7</v>
      </c>
      <c r="F82" s="29">
        <f>VLOOKUP($B82,标准坦克设计!$B$13:$K$20,MATCH(F$80,标准坦克设计!$B$13:$K$13,0),FALSE)</f>
        <v>0</v>
      </c>
      <c r="G82" s="29">
        <f>VLOOKUP($B82,标准坦克设计!$B$13:$K$20,MATCH(G$80,标准坦克设计!$B$13:$K$13,0),FALSE)</f>
        <v>6.3</v>
      </c>
      <c r="H82" s="29">
        <f>VLOOKUP($B82,标准坦克设计!$B$13:$K$20,MATCH(H$80,标准坦克设计!$B$13:$K$13,0),FALSE)</f>
        <v>0.4</v>
      </c>
      <c r="I82" s="34">
        <f>标准坦克设计!R25</f>
        <v>1.3406334646747302</v>
      </c>
      <c r="J82" s="34">
        <f>标准坦克设计!S25</f>
        <v>1.220974040802566</v>
      </c>
      <c r="K82" s="34">
        <f>标准坦克设计!T25</f>
        <v>1.1060838249826259</v>
      </c>
      <c r="L82" s="2">
        <f>ROUNDUP(($C$46*(1-基础属性系数!$C$111)/(C82*I82)-D82)/D82,0)*G82+(ROUNDUP($C$46*(1-基础属性系数!$C$111)/(C82*I82),0)-ROUNDUP(($C$46*(1-基础属性系数!$C$111)/(C82*I82)-D82)/D82,0)-1)*H82</f>
        <v>-2.6999999999999997</v>
      </c>
      <c r="M82" s="2">
        <f>ROUNDUP(($C$49*(1-基础属性系数!$C$111)/(C82*J82)-D82)/D82,0)*G82+(ROUNDUP($C$49*(1-基础属性系数!$C$111)/(C82*J82),0)-ROUNDUP(($C$49*(1-基础属性系数!$C$111)/(C82*J82)-D82)/D82,0)-1)*H82</f>
        <v>9.9</v>
      </c>
      <c r="N82" s="2">
        <f>ROUNDUP(($C$51*(1-基础属性系数!$C$111)/(C82*K82)-D82)/D82,0)*G82+(ROUNDUP($C$51*(1-基础属性系数!$C$111)/(C82*K82),0)-ROUNDUP(($C$51*(1-基础属性系数!$C$111)/(C82*K82)-D82)/D82,0)-1)*H82</f>
        <v>10.7</v>
      </c>
      <c r="O82" s="41">
        <v>0.1</v>
      </c>
      <c r="P82" s="159">
        <f>(L82-(ROUNDUP(($C$46*(1-基础属性系数!$C$111)/(C82*I82)-D82)/D82,0)*(G82-O82)+(ROUNDUP($C$46*(1-基础属性系数!$C$111)/(C82*I82),0)-ROUNDUP(($C$46*(1-基础属性系数!$C$111)/(C82*I82)-D82)/D82,0)-1)*H82))/L82</f>
        <v>3.703703703703691E-2</v>
      </c>
      <c r="Q82" s="159">
        <f>(M82-(ROUNDUP(($C$49*(1-基础属性系数!$C$111)/(C82*J82)-D82)/D82,0)*(G82-O82)+(ROUNDUP($C$49*(1-基础属性系数!$C$111)/(C82*J82),0)-ROUNDUP(($C$49*(1-基础属性系数!$C$111)/(C82*J82)-D82)/D82,0)-1)*H82))/M82</f>
        <v>1.0101010101010065E-2</v>
      </c>
      <c r="R82" s="159">
        <f>(N82-(ROUNDUP(($C$51*(1-基础属性系数!$C$111)/(C82*K82)-D82)/D82,0)*(G82-O82)+(ROUNDUP($C$51*(1-基础属性系数!$C$111)/(C82*K82),0)-ROUNDUP(($C$51*(1-基础属性系数!$C$111)/(C82*K82)-D82)/D82,0)-1)*H82))/N82</f>
        <v>9.345794392523166E-3</v>
      </c>
      <c r="S82" s="41">
        <v>1</v>
      </c>
      <c r="T82" s="159">
        <f>(L82-(ROUNDUP(($C$46*(1-基础属性系数!$C$111)/(C82*I82)-D82)/D82,0)*(G82-S82)+(ROUNDUP($C$46*(1-基础属性系数!$C$111)/(C82*I82),0)-ROUNDUP(($C$46*(1-基础属性系数!$C$111)/(C82*I82)-D82)/D82,0)-1)*H82))/L82</f>
        <v>0.37037037037037041</v>
      </c>
      <c r="U82" s="159">
        <f>(M82-(ROUNDUP(($C$49*(1-基础属性系数!$C$111)/(C82*J82)-D82)/D82,0)*(G82-S82)+(ROUNDUP($C$49*(1-基础属性系数!$C$111)/(C82*J82),0)-ROUNDUP(($C$49*(1-基础属性系数!$C$111)/(C82*J82)-D82)/D82,0)-1)*H82))/M82</f>
        <v>0.10101010101010101</v>
      </c>
      <c r="V82" s="159">
        <f>(N82-(ROUNDUP(($C$51*(1-基础属性系数!$C$111)/(C82*K82)-D82)/D82,0)*(G82-S82)+(ROUNDUP($C$51*(1-基础属性系数!$C$111)/(C82*K82),0)-ROUNDUP(($C$51*(1-基础属性系数!$C$111)/(C82*K82)-D82)/D82,0)-1)*H82))/N82</f>
        <v>9.3457943925233655E-2</v>
      </c>
      <c r="W82" s="34">
        <f>S82/G82</f>
        <v>0.15873015873015872</v>
      </c>
      <c r="X82" s="159">
        <f t="shared" si="81"/>
        <v>0.18827947176856838</v>
      </c>
      <c r="Z82" s="133"/>
      <c r="AA82" s="133"/>
    </row>
    <row r="83" spans="2:27" x14ac:dyDescent="0.3">
      <c r="B83" s="2" t="s">
        <v>83</v>
      </c>
      <c r="C83" s="2">
        <f>ROUND(VLOOKUP(B83,标准坦克设计!$B$39:$H$46,6,FALSE),0)</f>
        <v>161</v>
      </c>
      <c r="D83" s="29">
        <f>VLOOKUP($B83,标准坦克设计!$B$13:$K$20,MATCH(D$80,标准坦克设计!$B$13:$K$13,0),FALSE)</f>
        <v>1</v>
      </c>
      <c r="E83" s="29">
        <f>VLOOKUP($B83,标准坦克设计!$B$13:$K$20,MATCH(E$80,标准坦克设计!$B$13:$K$13,0),FALSE)</f>
        <v>3</v>
      </c>
      <c r="F83" s="29">
        <f>VLOOKUP($B83,标准坦克设计!$B$13:$K$20,MATCH(F$80,标准坦克设计!$B$13:$K$13,0),FALSE)</f>
        <v>3</v>
      </c>
      <c r="G83" s="29">
        <f>VLOOKUP($B83,标准坦克设计!$B$13:$K$20,MATCH(G$80,标准坦克设计!$B$13:$K$13,0),FALSE)</f>
        <v>0</v>
      </c>
      <c r="H83" s="29">
        <f>VLOOKUP($B83,标准坦克设计!$B$13:$K$20,MATCH(H$80,标准坦克设计!$B$13:$K$13,0),FALSE)</f>
        <v>0</v>
      </c>
      <c r="I83" s="34">
        <f>标准坦克设计!R26</f>
        <v>1.4033351232383817</v>
      </c>
      <c r="J83" s="34">
        <f>标准坦克设计!S26</f>
        <v>1.2854973577528963</v>
      </c>
      <c r="K83" s="34">
        <f>标准坦克设计!T26</f>
        <v>1.1821832845108236</v>
      </c>
      <c r="L83" s="2">
        <f>(ROUNDUP($C$46*(1-基础属性系数!$C$111)/(C83*I83),0)-D83)*F83+(D83-1)*H83</f>
        <v>6</v>
      </c>
      <c r="M83" s="2">
        <f>(ROUNDUP($C$49*(1-基础属性系数!$C$111)/(C83*J83),0)-D83)*F83+(D83-1)*H83</f>
        <v>6</v>
      </c>
      <c r="N83" s="2">
        <f>(ROUNDUP($C$51*(1-基础属性系数!$C$111)/(C83*K83),0)-D83)*F83+(D83-1)*H83</f>
        <v>9</v>
      </c>
      <c r="O83" s="41">
        <v>0.1</v>
      </c>
      <c r="P83" s="159">
        <f>(L83-((ROUNDUP($C$46*(1-基础属性系数!$C$111)/(C83*I83),0)-D83)*(F83-$O83)+(D83-1)*H83))/L83</f>
        <v>3.3333333333333361E-2</v>
      </c>
      <c r="Q83" s="159">
        <f>(M83-((ROUNDUP($C$49*(1-基础属性系数!$C$111)/(C83*J83),0)-D83)*(F83-$O83)+(D83-1)*H83))/M83</f>
        <v>3.3333333333333361E-2</v>
      </c>
      <c r="R83" s="159">
        <f>(N83-((ROUNDUP($C$51*(1-基础属性系数!$C$111)/(C83*K83),0)-D83)*(F83-$O83)+(D83-1)*H83))/N83</f>
        <v>3.3333333333333409E-2</v>
      </c>
      <c r="S83" s="41">
        <v>1</v>
      </c>
      <c r="T83" s="159">
        <f>(L83-((ROUNDUP($C$46*(1-基础属性系数!$C$111)/(C83*I83),0)-D83)*(F83-$S83)+(D83-1)*H83))/L83</f>
        <v>0.33333333333333331</v>
      </c>
      <c r="U83" s="159">
        <f>(M83-((ROUNDUP($C$49*(1-基础属性系数!$C$111)/(C83*J83),0)-D83)*(F83-$S83)+(D83-1)*H83))/M83</f>
        <v>0.33333333333333331</v>
      </c>
      <c r="V83" s="159">
        <f>(N83-((ROUNDUP($C$51*(1-基础属性系数!$C$111)/(C83*K83),0)-D83)*(F83-$S83)+(D83-1)*H83))/N83</f>
        <v>0.33333333333333331</v>
      </c>
      <c r="W83" s="34">
        <f>S83/F83</f>
        <v>0.33333333333333331</v>
      </c>
      <c r="X83" s="159">
        <f t="shared" si="81"/>
        <v>0.33333333333333331</v>
      </c>
      <c r="Z83" s="133"/>
      <c r="AA83" s="133"/>
    </row>
    <row r="84" spans="2:27" x14ac:dyDescent="0.3">
      <c r="B84" s="2" t="s">
        <v>85</v>
      </c>
      <c r="C84" s="2">
        <f>ROUND(VLOOKUP(B84,标准坦克设计!$B$39:$H$46,6,FALSE),0)</f>
        <v>74</v>
      </c>
      <c r="D84" s="29">
        <f>VLOOKUP($B84,标准坦克设计!$B$13:$K$20,MATCH(D$80,标准坦克设计!$B$13:$K$13,0),FALSE)</f>
        <v>6</v>
      </c>
      <c r="E84" s="29">
        <f>VLOOKUP($B84,标准坦克设计!$B$13:$K$20,MATCH(E$80,标准坦克设计!$B$13:$K$13,0),FALSE)</f>
        <v>1</v>
      </c>
      <c r="F84" s="29">
        <f>VLOOKUP($B84,标准坦克设计!$B$13:$K$20,MATCH(F$80,标准坦克设计!$B$13:$K$13,0),FALSE)</f>
        <v>0</v>
      </c>
      <c r="G84" s="29">
        <f>VLOOKUP($B84,标准坦克设计!$B$13:$K$20,MATCH(G$80,标准坦克设计!$B$13:$K$13,0),FALSE)</f>
        <v>6</v>
      </c>
      <c r="H84" s="29">
        <f>VLOOKUP($B84,标准坦克设计!$B$13:$K$20,MATCH(H$80,标准坦克设计!$B$13:$K$13,0),FALSE)</f>
        <v>0.5</v>
      </c>
      <c r="I84" s="34">
        <f>标准坦克设计!R27</f>
        <v>1.2592199993210031</v>
      </c>
      <c r="J84" s="34">
        <f>标准坦克设计!S27</f>
        <v>1.1470256404086814</v>
      </c>
      <c r="K84" s="34">
        <f>标准坦克设计!T27</f>
        <v>1.063667137525923</v>
      </c>
      <c r="L84" s="2">
        <f>ROUNDUP(($C$46*(1-基础属性系数!$C$111)/(C84*I84)-D84)/D84,0)*G84+(ROUNDUP($C$46*(1-基础属性系数!$C$111)/(C84*I84),0)-ROUNDUP(($C$46*(1-基础属性系数!$C$111)/(C84*I84)-D84)/D84,0)-1)*H84</f>
        <v>-3</v>
      </c>
      <c r="M84" s="2">
        <f>ROUNDUP(($C$49*(1-基础属性系数!$C$111)/(C84*J84)-D84)/D84,0)*G84+(ROUNDUP($C$49*(1-基础属性系数!$C$111)/(C84*J84),0)-ROUNDUP(($C$49*(1-基础属性系数!$C$111)/(C84*J84)-D84)/D84,0)-1)*H84</f>
        <v>8.5</v>
      </c>
      <c r="N84" s="2">
        <f>ROUNDUP(($C$51*(1-基础属性系数!$C$111)/(C84*K84)-D84)/D84,0)*G84+(ROUNDUP($C$51*(1-基础属性系数!$C$111)/(C84*K84),0)-ROUNDUP(($C$51*(1-基础属性系数!$C$111)/(C84*K84)-D84)/D84,0)-1)*H84</f>
        <v>9</v>
      </c>
      <c r="O84" s="41">
        <v>0.1</v>
      </c>
      <c r="P84" s="159">
        <f>(L84-(ROUNDUP(($C$46*(1-基础属性系数!$C$111)/(C84*I84)-D84)/D84,0)*(G84-O84)+(ROUNDUP($C$46*(1-基础属性系数!$C$111)/(C84*I84),0)-ROUNDUP(($C$46*(1-基础属性系数!$C$111)/(C84*I84)-D84)/D84,0)-1)*H84))/L84</f>
        <v>3.3333333333333215E-2</v>
      </c>
      <c r="Q84" s="159">
        <f>(M84-(ROUNDUP(($C$49*(1-基础属性系数!$C$111)/(C84*J84)-D84)/D84,0)*(G84-O84)+(ROUNDUP($C$49*(1-基础属性系数!$C$111)/(C84*J84),0)-ROUNDUP(($C$49*(1-基础属性系数!$C$111)/(C84*J84)-D84)/D84,0)-1)*H84))/M84</f>
        <v>1.1764705882352899E-2</v>
      </c>
      <c r="R84" s="159">
        <f>(N84-(ROUNDUP(($C$51*(1-基础属性系数!$C$111)/(C84*K84)-D84)/D84,0)*(G84-O84)+(ROUNDUP($C$51*(1-基础属性系数!$C$111)/(C84*K84),0)-ROUNDUP(($C$51*(1-基础属性系数!$C$111)/(C84*K84)-D84)/D84,0)-1)*H84))/N84</f>
        <v>1.1111111111111072E-2</v>
      </c>
      <c r="S84" s="41">
        <v>1</v>
      </c>
      <c r="T84" s="159">
        <f>(L84-(ROUNDUP(($C$46*(1-基础属性系数!$C$111)/(C84*I84)-D84)/D84,0)*(G84-S84)+(ROUNDUP($C$46*(1-基础属性系数!$C$111)/(C84*I84),0)-ROUNDUP(($C$46*(1-基础属性系数!$C$111)/(C84*I84)-D84)/D84,0)-1)*H84))/L84</f>
        <v>0.33333333333333331</v>
      </c>
      <c r="U84" s="159">
        <f>(M84-(ROUNDUP(($C$49*(1-基础属性系数!$C$111)/(C84*J84)-D84)/D84,0)*(G84-S84)+(ROUNDUP($C$49*(1-基础属性系数!$C$111)/(C84*J84),0)-ROUNDUP(($C$49*(1-基础属性系数!$C$111)/(C84*J84)-D84)/D84,0)-1)*H84))/M84</f>
        <v>0.11764705882352941</v>
      </c>
      <c r="V84" s="159">
        <f>(N84-(ROUNDUP(($C$51*(1-基础属性系数!$C$111)/(C84*K84)-D84)/D84,0)*(G84-S84)+(ROUNDUP($C$51*(1-基础属性系数!$C$111)/(C84*K84),0)-ROUNDUP(($C$51*(1-基础属性系数!$C$111)/(C84*K84)-D84)/D84,0)-1)*H84))/N84</f>
        <v>0.1111111111111111</v>
      </c>
      <c r="W84" s="34">
        <f>S84/G84</f>
        <v>0.16666666666666666</v>
      </c>
      <c r="X84" s="159">
        <f t="shared" si="81"/>
        <v>0.18736383442265794</v>
      </c>
      <c r="Z84" s="133"/>
      <c r="AA84" s="133"/>
    </row>
    <row r="85" spans="2:27" x14ac:dyDescent="0.3">
      <c r="B85" s="2" t="s">
        <v>86</v>
      </c>
      <c r="C85" s="2">
        <f>ROUND(VLOOKUP(B85,标准坦克设计!$B$39:$H$46,6,FALSE),0)</f>
        <v>89</v>
      </c>
      <c r="D85" s="29">
        <f>VLOOKUP($B85,标准坦克设计!$B$13:$K$20,MATCH(D$80,标准坦克设计!$B$13:$K$13,0),FALSE)</f>
        <v>6</v>
      </c>
      <c r="E85" s="29">
        <f>VLOOKUP($B85,标准坦克设计!$B$13:$K$20,MATCH(E$80,标准坦克设计!$B$13:$K$13,0),FALSE)</f>
        <v>2</v>
      </c>
      <c r="F85" s="29">
        <f>VLOOKUP($B85,标准坦克设计!$B$13:$K$20,MATCH(F$80,标准坦克设计!$B$13:$K$13,0),FALSE)</f>
        <v>2</v>
      </c>
      <c r="G85" s="29">
        <f>VLOOKUP($B85,标准坦克设计!$B$13:$K$20,MATCH(G$80,标准坦克设计!$B$13:$K$13,0),FALSE)</f>
        <v>0</v>
      </c>
      <c r="H85" s="29">
        <f>VLOOKUP($B85,标准坦克设计!$B$13:$K$20,MATCH(H$80,标准坦克设计!$B$13:$K$13,0),FALSE)</f>
        <v>1</v>
      </c>
      <c r="I85" s="34">
        <f>标准坦克设计!R28</f>
        <v>1.3530247060786802</v>
      </c>
      <c r="J85" s="34">
        <f>标准坦克设计!S28</f>
        <v>1.2402920596613429</v>
      </c>
      <c r="K85" s="34">
        <f>标准坦克设计!T28</f>
        <v>1.1541008573620322</v>
      </c>
      <c r="L85" s="2">
        <f>(ROUNDUP($C$46*(1-基础属性系数!$C$111)/(C85*I85),0)-D85)*F85+(D85-1)*H85</f>
        <v>1</v>
      </c>
      <c r="M85" s="2">
        <f>(ROUNDUP($C$49*(1-基础属性系数!$C$111)/(C85*J85),0)-D85)*F85+(D85-1)*H85</f>
        <v>3</v>
      </c>
      <c r="N85" s="2">
        <f>(ROUNDUP($C$51*(1-基础属性系数!$C$111)/(C85*K85),0)-D85)*F85+(D85-1)*H85</f>
        <v>5</v>
      </c>
      <c r="O85" s="41">
        <v>0.1</v>
      </c>
      <c r="P85" s="159">
        <f>(L85-((ROUNDUP($C$46*(1-基础属性系数!$C$111)/(C85*I85),0)-D85)*(F85-$O85)+(D85-1)*H85))/L85</f>
        <v>-0.20000000000000018</v>
      </c>
      <c r="Q85" s="159">
        <f>(M85-((ROUNDUP($C$49*(1-基础属性系数!$C$111)/(C85*J85),0)-D85)*(F85-$O85)+(D85-1)*H85))/M85</f>
        <v>-3.3333333333333361E-2</v>
      </c>
      <c r="R85" s="159">
        <f>(N85-((ROUNDUP($C$51*(1-基础属性系数!$C$111)/(C85*K85),0)-D85)*(F85-$O85)+(D85-1)*H85))/N85</f>
        <v>0</v>
      </c>
      <c r="S85" s="41">
        <v>1</v>
      </c>
      <c r="T85" s="159">
        <f>(L85-((ROUNDUP($C$46*(1-基础属性系数!$C$111)/(C85*I85),0)-D85)*(F85-$S85)+(D85-1)*H85))/L85</f>
        <v>-2</v>
      </c>
      <c r="U85" s="159">
        <f>(M85-((ROUNDUP($C$49*(1-基础属性系数!$C$111)/(C85*J85),0)-D85)*(F85-$S85)+(D85-1)*H85))/M85</f>
        <v>-0.33333333333333331</v>
      </c>
      <c r="V85" s="159">
        <f>(N85-((ROUNDUP($C$51*(1-基础属性系数!$C$111)/(C85*K85),0)-D85)*(F85-$S85)+(D85-1)*H85))/N85</f>
        <v>0</v>
      </c>
      <c r="W85" s="34">
        <f>S85/F85</f>
        <v>0.5</v>
      </c>
      <c r="X85" s="159">
        <f t="shared" si="81"/>
        <v>-0.77777777777777779</v>
      </c>
      <c r="Z85" s="25"/>
      <c r="AA85" s="25"/>
    </row>
    <row r="86" spans="2:27" x14ac:dyDescent="0.3">
      <c r="B86" s="2" t="s">
        <v>87</v>
      </c>
      <c r="C86" s="2">
        <f>ROUND(VLOOKUP(B86,标准坦克设计!$B$39:$H$46,6,FALSE),0)</f>
        <v>268</v>
      </c>
      <c r="D86" s="29">
        <f>VLOOKUP($B86,标准坦克设计!$B$13:$K$20,MATCH(D$80,标准坦克设计!$B$13:$K$13,0),FALSE)</f>
        <v>2</v>
      </c>
      <c r="E86" s="29">
        <f>VLOOKUP($B86,标准坦克设计!$B$13:$K$20,MATCH(E$80,标准坦克设计!$B$13:$K$13,0),FALSE)</f>
        <v>4.5</v>
      </c>
      <c r="F86" s="29">
        <f>VLOOKUP($B86,标准坦克设计!$B$13:$K$20,MATCH(F$80,标准坦克设计!$B$13:$K$13,0),FALSE)</f>
        <v>4.5</v>
      </c>
      <c r="G86" s="29">
        <f>VLOOKUP($B86,标准坦克设计!$B$13:$K$20,MATCH(G$80,标准坦克设计!$B$13:$K$13,0),FALSE)</f>
        <v>0</v>
      </c>
      <c r="H86" s="29">
        <f>VLOOKUP($B86,标准坦克设计!$B$13:$K$20,MATCH(H$80,标准坦克设计!$B$13:$K$13,0),FALSE)</f>
        <v>1.8</v>
      </c>
      <c r="I86" s="34">
        <f>标准坦克设计!R29</f>
        <v>1.2649435211297493</v>
      </c>
      <c r="J86" s="34">
        <f>标准坦克设计!S29</f>
        <v>1.1559486448628384</v>
      </c>
      <c r="K86" s="34">
        <f>标准坦克设计!T29</f>
        <v>1.0824818659667195</v>
      </c>
      <c r="L86" s="2">
        <f>(ROUNDUP($C$46*(1-基础属性系数!$C$111)/(C86*I86),0)-D86)*F86+(D86-1)*H86</f>
        <v>1.8</v>
      </c>
      <c r="M86" s="2">
        <f>(ROUNDUP($C$49*(1-基础属性系数!$C$111)/(C86*J86),0)-D86)*F86+(D86-1)*H86</f>
        <v>1.8</v>
      </c>
      <c r="N86" s="2">
        <f>(ROUNDUP($C$51*(1-基础属性系数!$C$111)/(C86*K86),0)-D86)*F86+(D86-1)*H86</f>
        <v>6.3</v>
      </c>
      <c r="O86" s="41">
        <v>0.1</v>
      </c>
      <c r="P86" s="159">
        <f>(L86-((ROUNDUP($C$46*(1-基础属性系数!$C$111)/(C86*I86),0)-D86)*(F86-$O86)+(D86-1)*H86))/L86</f>
        <v>0</v>
      </c>
      <c r="Q86" s="159">
        <f>(M86-((ROUNDUP($C$49*(1-基础属性系数!$C$111)/(C86*J86),0)-D86)*(F86-$O86)+(D86-1)*H86))/M86</f>
        <v>0</v>
      </c>
      <c r="R86" s="159">
        <f>(N86-((ROUNDUP($C$51*(1-基础属性系数!$C$111)/(C86*K86),0)-D86)*(F86-$O86)+(D86-1)*H86))/N86</f>
        <v>1.5873015873015817E-2</v>
      </c>
      <c r="S86" s="41">
        <v>1</v>
      </c>
      <c r="T86" s="159">
        <f>(L86-((ROUNDUP($C$46*(1-基础属性系数!$C$111)/(C86*I86),0)-D86)*(F86-$S86)+(D86-1)*H86))/L86</f>
        <v>0</v>
      </c>
      <c r="U86" s="159">
        <f>(M86-((ROUNDUP($C$49*(1-基础属性系数!$C$111)/(C86*J86),0)-D86)*(F86-$S86)+(D86-1)*H86))/M86</f>
        <v>0</v>
      </c>
      <c r="V86" s="159">
        <f>(N86-((ROUNDUP($C$51*(1-基础属性系数!$C$111)/(C86*K86),0)-D86)*(F86-$S86)+(D86-1)*H86))/N86</f>
        <v>0.15873015873015872</v>
      </c>
      <c r="W86" s="34">
        <f>S86/F86</f>
        <v>0.22222222222222221</v>
      </c>
      <c r="X86" s="159">
        <f t="shared" si="81"/>
        <v>5.2910052910052907E-2</v>
      </c>
      <c r="Z86" s="133"/>
      <c r="AA86" s="133"/>
    </row>
    <row r="87" spans="2:27" x14ac:dyDescent="0.3">
      <c r="B87" s="2" t="s">
        <v>88</v>
      </c>
      <c r="C87" s="2">
        <f>ROUND(VLOOKUP(B87,标准坦克设计!$B$39:$H$46,6,FALSE),0)</f>
        <v>354</v>
      </c>
      <c r="D87" s="29">
        <f>VLOOKUP($B87,标准坦克设计!$B$13:$K$20,MATCH(D$80,标准坦克设计!$B$13:$K$13,0),FALSE)</f>
        <v>1</v>
      </c>
      <c r="E87" s="29">
        <f>VLOOKUP($B87,标准坦克设计!$B$13:$K$20,MATCH(E$80,标准坦克设计!$B$13:$K$13,0),FALSE)</f>
        <v>6</v>
      </c>
      <c r="F87" s="29">
        <f>VLOOKUP($B87,标准坦克设计!$B$13:$K$20,MATCH(F$80,标准坦克设计!$B$13:$K$13,0),FALSE)</f>
        <v>6</v>
      </c>
      <c r="G87" s="29">
        <f>VLOOKUP($B87,标准坦克设计!$B$13:$K$20,MATCH(G$80,标准坦克设计!$B$13:$K$13,0),FALSE)</f>
        <v>0</v>
      </c>
      <c r="H87" s="29">
        <f>VLOOKUP($B87,标准坦克设计!$B$13:$K$20,MATCH(H$80,标准坦克设计!$B$13:$K$13,0),FALSE)</f>
        <v>0</v>
      </c>
      <c r="I87" s="34">
        <f>标准坦克设计!R30</f>
        <v>1.3305853660078584</v>
      </c>
      <c r="J87" s="34">
        <f>标准坦克设计!S30</f>
        <v>1.2225207671008416</v>
      </c>
      <c r="K87" s="34">
        <f>标准坦克设计!T30</f>
        <v>1.1419837318606663</v>
      </c>
      <c r="L87" s="2">
        <f>(ROUNDUP($C$46*(1-基础属性系数!$C$111)/(C87*I87),0)-D87)*F87+(D87-1)*H87</f>
        <v>6</v>
      </c>
      <c r="M87" s="2">
        <f>(ROUNDUP($C$49*(1-基础属性系数!$C$111)/(C87*J87),0)-D87)*F87+(D87-1)*H87</f>
        <v>6</v>
      </c>
      <c r="N87" s="2">
        <f>(ROUNDUP($C$51*(1-基础属性系数!$C$111)/(C87*K87),0)-D87)*F87+(D87-1)*H87</f>
        <v>6</v>
      </c>
      <c r="O87" s="41">
        <v>0.1</v>
      </c>
      <c r="P87" s="159">
        <f>(L87-((ROUNDUP($C$46*(1-基础属性系数!$C$111)/(C87*I87),0)-D87)*(F87-$O87)+(D87-1)*H87))/L87</f>
        <v>1.6666666666666607E-2</v>
      </c>
      <c r="Q87" s="159">
        <f>(M87-((ROUNDUP($C$49*(1-基础属性系数!$C$111)/(C87*J87),0)-D87)*(F87-$O87)+(D87-1)*H87))/M87</f>
        <v>1.6666666666666607E-2</v>
      </c>
      <c r="R87" s="159">
        <f>(N87-((ROUNDUP($C$51*(1-基础属性系数!$C$111)/(C87*K87),0)-D87)*(F87-$O87)+(D87-1)*H87))/N87</f>
        <v>1.6666666666666607E-2</v>
      </c>
      <c r="S87" s="41">
        <v>1</v>
      </c>
      <c r="T87" s="159">
        <f>(L87-((ROUNDUP($C$46*(1-基础属性系数!$C$111)/(C87*I87),0)-D87)*(F87-$S87)+(D87-1)*H87))/L87</f>
        <v>0.16666666666666666</v>
      </c>
      <c r="U87" s="159">
        <f>(M87-((ROUNDUP($C$49*(1-基础属性系数!$C$111)/(C87*J87),0)-D87)*(F87-$S87)+(D87-1)*H87))/M87</f>
        <v>0.16666666666666666</v>
      </c>
      <c r="V87" s="159">
        <f>(N87-((ROUNDUP($C$51*(1-基础属性系数!$C$111)/(C87*K87),0)-D87)*(F87-$S87)+(D87-1)*H87))/N87</f>
        <v>0.16666666666666666</v>
      </c>
      <c r="W87" s="34">
        <f>S87/F87</f>
        <v>0.16666666666666666</v>
      </c>
      <c r="X87" s="159">
        <f t="shared" si="81"/>
        <v>0.16666666666666666</v>
      </c>
      <c r="Z87" s="25"/>
      <c r="AA87" s="25"/>
    </row>
    <row r="88" spans="2:27" x14ac:dyDescent="0.3">
      <c r="B88" s="25"/>
      <c r="C88" s="25"/>
    </row>
    <row r="89" spans="2:27" x14ac:dyDescent="0.3">
      <c r="B89" s="262" t="s">
        <v>853</v>
      </c>
      <c r="C89" s="262"/>
      <c r="D89" s="262"/>
      <c r="E89" s="262"/>
      <c r="F89" s="262"/>
      <c r="G89" s="262"/>
      <c r="H89" s="262"/>
      <c r="I89" s="262"/>
      <c r="J89" s="262"/>
      <c r="K89" s="262"/>
      <c r="L89" s="262"/>
      <c r="M89" s="262"/>
      <c r="N89" s="262"/>
      <c r="O89" s="262"/>
      <c r="P89" s="262"/>
      <c r="Q89" s="262"/>
      <c r="R89" s="262"/>
      <c r="S89" s="262"/>
      <c r="T89" s="262"/>
      <c r="U89" s="262"/>
      <c r="V89" s="262"/>
      <c r="W89" s="262"/>
      <c r="X89" s="262"/>
      <c r="Y89" s="262"/>
    </row>
    <row r="90" spans="2:27" x14ac:dyDescent="0.3">
      <c r="B90" s="2" t="s">
        <v>72</v>
      </c>
      <c r="C90" s="2" t="s">
        <v>91</v>
      </c>
      <c r="D90" s="2" t="s">
        <v>92</v>
      </c>
      <c r="E90" s="2" t="s">
        <v>93</v>
      </c>
      <c r="F90" s="2" t="s">
        <v>94</v>
      </c>
      <c r="G90" s="2" t="s">
        <v>95</v>
      </c>
      <c r="H90" s="2" t="s">
        <v>854</v>
      </c>
      <c r="I90" s="2" t="s">
        <v>855</v>
      </c>
      <c r="J90" s="2" t="s">
        <v>856</v>
      </c>
      <c r="K90" s="2" t="s">
        <v>178</v>
      </c>
      <c r="L90" s="2" t="s">
        <v>857</v>
      </c>
      <c r="M90" s="2" t="s">
        <v>858</v>
      </c>
      <c r="N90" s="2" t="s">
        <v>859</v>
      </c>
      <c r="O90" s="2" t="s">
        <v>860</v>
      </c>
      <c r="P90" s="2" t="s">
        <v>861</v>
      </c>
      <c r="Q90" s="2" t="s">
        <v>862</v>
      </c>
      <c r="R90" s="2" t="s">
        <v>863</v>
      </c>
      <c r="S90" s="2" t="s">
        <v>864</v>
      </c>
      <c r="T90" s="2" t="s">
        <v>865</v>
      </c>
      <c r="U90" s="2" t="s">
        <v>866</v>
      </c>
      <c r="V90" s="2" t="s">
        <v>867</v>
      </c>
      <c r="W90" s="2" t="s">
        <v>868</v>
      </c>
      <c r="X90" s="2" t="s">
        <v>869</v>
      </c>
      <c r="Y90" s="2" t="s">
        <v>870</v>
      </c>
    </row>
    <row r="91" spans="2:27" x14ac:dyDescent="0.3">
      <c r="B91" s="2" t="s">
        <v>79</v>
      </c>
      <c r="C91" s="29">
        <f>VLOOKUP($B91,标准坦克设计!$B$13:$K$20,MATCH(C$90,标准坦克设计!$B$13:$K$13,0),FALSE)</f>
        <v>6</v>
      </c>
      <c r="D91" s="29">
        <f>VLOOKUP($B91,标准坦克设计!$B$13:$K$20,MATCH(D$90,标准坦克设计!$B$13:$K$13,0),FALSE)</f>
        <v>1.4</v>
      </c>
      <c r="E91" s="29">
        <f>VLOOKUP($B91,标准坦克设计!$B$13:$K$20,MATCH(E$90,标准坦克设计!$B$13:$K$13,0),FALSE)</f>
        <v>1.4</v>
      </c>
      <c r="F91" s="29">
        <f>VLOOKUP($B91,标准坦克设计!$B$13:$K$20,MATCH(F$90,标准坦克设计!$B$13:$K$13,0),FALSE)</f>
        <v>0</v>
      </c>
      <c r="G91" s="29">
        <f>VLOOKUP($B91,标准坦克设计!$B$13:$K$20,MATCH(G$90,标准坦克设计!$B$13:$K$13,0),FALSE)</f>
        <v>0.4</v>
      </c>
      <c r="H91" s="2">
        <f>VLOOKUP($B91,坦克类型系数!$AQ$3:$AX$10,MATCH(H$90,坦克类型系数!$AQ$3:$AX$3,0),FALSE)</f>
        <v>2</v>
      </c>
      <c r="I91" s="2">
        <f>VLOOKUP(B91,坦克类型系数!$AM$3:$AO$10,2,FALSE)</f>
        <v>0.2</v>
      </c>
      <c r="J91" s="2">
        <f>VLOOKUP($B91,坦克类型系数!$AQ$3:$AX$10,MATCH(J$90,坦克类型系数!$AQ$3:$AX$3,0),FALSE)</f>
        <v>1.08</v>
      </c>
      <c r="K91" s="2">
        <f>VLOOKUP($B91,坦克类型系数!$AQ$3:$AX$10,MATCH(K$90,坦克类型系数!$AQ$3:$AX$3,0),FALSE)</f>
        <v>1.2</v>
      </c>
      <c r="L91" s="2">
        <f>(G91-I91)*(H91-1)</f>
        <v>0.2</v>
      </c>
      <c r="M91" s="34">
        <f>J91*H91/K91-L91+I91</f>
        <v>1.8000000000000003</v>
      </c>
      <c r="N91" s="34">
        <f>M91+G91*(H91-1)</f>
        <v>2.2000000000000002</v>
      </c>
      <c r="O91" s="34">
        <f>J91/K91</f>
        <v>0.90000000000000013</v>
      </c>
      <c r="P91" s="21">
        <v>0.1</v>
      </c>
      <c r="Q91" s="34">
        <f>J91/(O91*(1-P91))</f>
        <v>1.3333333333333333</v>
      </c>
      <c r="R91" s="34">
        <f>J91*H91/Q91-L91+I91+G91*(H91-1)</f>
        <v>2.02</v>
      </c>
      <c r="S91" s="34">
        <f>(N91-R91)/N91</f>
        <v>8.1818181818181887E-2</v>
      </c>
      <c r="T91" s="21">
        <v>0.5</v>
      </c>
      <c r="U91" s="34">
        <f>J91/(O91*(1-T91))</f>
        <v>2.4</v>
      </c>
      <c r="V91" s="34">
        <f>J91*H91/U91-L91+I91+G91*(H91-1)</f>
        <v>1.3000000000000003</v>
      </c>
      <c r="W91" s="34">
        <f>(N91-V91)/R91</f>
        <v>0.4455445544554455</v>
      </c>
      <c r="X91" s="2" t="s">
        <v>871</v>
      </c>
      <c r="Y91" s="34">
        <f>W91/T91</f>
        <v>0.89108910891089099</v>
      </c>
      <c r="Z91" s="25"/>
      <c r="AA91" s="25"/>
    </row>
    <row r="92" spans="2:27" x14ac:dyDescent="0.3">
      <c r="B92" s="2" t="s">
        <v>81</v>
      </c>
      <c r="C92" s="29">
        <f>VLOOKUP($B92,标准坦克设计!$B$13:$K$20,MATCH(C$90,标准坦克设计!$B$13:$K$13,0),FALSE)</f>
        <v>9</v>
      </c>
      <c r="D92" s="29">
        <f>VLOOKUP($B92,标准坦克设计!$B$13:$K$20,MATCH(D$90,标准坦克设计!$B$13:$K$13,0),FALSE)</f>
        <v>0.7</v>
      </c>
      <c r="E92" s="29">
        <f>VLOOKUP($B92,标准坦克设计!$B$13:$K$20,MATCH(E$90,标准坦克设计!$B$13:$K$13,0),FALSE)</f>
        <v>0</v>
      </c>
      <c r="F92" s="29">
        <f>VLOOKUP($B92,标准坦克设计!$B$13:$K$20,MATCH(F$90,标准坦克设计!$B$13:$K$13,0),FALSE)</f>
        <v>6.3</v>
      </c>
      <c r="G92" s="29">
        <f>VLOOKUP($B92,标准坦克设计!$B$13:$K$20,MATCH(G$90,标准坦克设计!$B$13:$K$13,0),FALSE)</f>
        <v>0.4</v>
      </c>
      <c r="H92" s="2">
        <f>VLOOKUP($B92,坦克类型系数!$AQ$3:$AX$10,MATCH(H$90,坦克类型系数!$AQ$3:$AX$3,0),FALSE)</f>
        <v>3</v>
      </c>
      <c r="I92" s="2">
        <f>VLOOKUP(B92,坦克类型系数!$AM$3:$AO$10,2,FALSE)</f>
        <v>0.4</v>
      </c>
      <c r="J92" s="2">
        <f>VLOOKUP($B92,坦克类型系数!$AQ$3:$AX$10,MATCH(J$90,坦克类型系数!$AQ$3:$AX$3,0),FALSE)</f>
        <v>1.08</v>
      </c>
      <c r="K92" s="2">
        <f>VLOOKUP($B92,坦克类型系数!$AQ$3:$AX$10,MATCH(K$90,坦克类型系数!$AQ$3:$AX$3,0),FALSE)</f>
        <v>1.2</v>
      </c>
      <c r="L92" s="2">
        <f t="shared" ref="L92:L97" si="82">(G92-I92)*(H92-1)</f>
        <v>0</v>
      </c>
      <c r="M92" s="34">
        <f>J92*H92/K92-L92+I92</f>
        <v>3.1</v>
      </c>
      <c r="N92" s="34">
        <f t="shared" ref="N92:N97" si="83">M92+G92*(H92-1)</f>
        <v>3.9000000000000004</v>
      </c>
      <c r="O92" s="34">
        <f t="shared" ref="O92:O97" si="84">J92/K92</f>
        <v>0.90000000000000013</v>
      </c>
      <c r="P92" s="21">
        <v>0.1</v>
      </c>
      <c r="Q92" s="34">
        <f t="shared" ref="Q92:Q97" si="85">J92/(O92*(1-P92))</f>
        <v>1.3333333333333333</v>
      </c>
      <c r="R92" s="34">
        <f>J92*H92/Q92-L92+I92+G92*(H92-1)</f>
        <v>3.63</v>
      </c>
      <c r="S92" s="34">
        <f t="shared" ref="S92:S97" si="86">(N92-R92)/N92</f>
        <v>6.9230769230769346E-2</v>
      </c>
      <c r="T92" s="21">
        <v>0.5</v>
      </c>
      <c r="U92" s="34">
        <f t="shared" ref="U92:U97" si="87">J92/(O92*(1-T92))</f>
        <v>2.4</v>
      </c>
      <c r="V92" s="34">
        <f>J92*H92/U92-L92+I92+G92*(H92-1)</f>
        <v>2.5499999999999998</v>
      </c>
      <c r="W92" s="34">
        <f t="shared" ref="W92:W97" si="88">(N92-V92)/R92</f>
        <v>0.37190082644628114</v>
      </c>
      <c r="X92" s="2" t="s">
        <v>871</v>
      </c>
      <c r="Y92" s="34">
        <f>W92/T92</f>
        <v>0.74380165289256228</v>
      </c>
    </row>
    <row r="93" spans="2:27" x14ac:dyDescent="0.3">
      <c r="B93" s="2" t="s">
        <v>83</v>
      </c>
      <c r="C93" s="29">
        <f>VLOOKUP($B93,标准坦克设计!$B$13:$K$20,MATCH(C$90,标准坦克设计!$B$13:$K$13,0),FALSE)</f>
        <v>1</v>
      </c>
      <c r="D93" s="29">
        <f>VLOOKUP($B93,标准坦克设计!$B$13:$K$20,MATCH(D$90,标准坦克设计!$B$13:$K$13,0),FALSE)</f>
        <v>3</v>
      </c>
      <c r="E93" s="29">
        <f>VLOOKUP($B93,标准坦克设计!$B$13:$K$20,MATCH(E$90,标准坦克设计!$B$13:$K$13,0),FALSE)</f>
        <v>3</v>
      </c>
      <c r="F93" s="29">
        <f>VLOOKUP($B93,标准坦克设计!$B$13:$K$20,MATCH(F$90,标准坦克设计!$B$13:$K$13,0),FALSE)</f>
        <v>0</v>
      </c>
      <c r="G93" s="29">
        <f>VLOOKUP($B93,标准坦克设计!$B$13:$K$20,MATCH(G$90,标准坦克设计!$B$13:$K$13,0),FALSE)</f>
        <v>0</v>
      </c>
      <c r="H93" s="2">
        <f>VLOOKUP($B93,坦克类型系数!$AQ$3:$AX$10,MATCH(H$90,坦克类型系数!$AQ$3:$AX$3,0),FALSE)</f>
        <v>1</v>
      </c>
      <c r="I93" s="2">
        <f>VLOOKUP(B93,坦克类型系数!$AM$3:$AO$10,2,FALSE)</f>
        <v>0</v>
      </c>
      <c r="J93" s="2">
        <f>VLOOKUP($B93,坦克类型系数!$AQ$3:$AX$10,MATCH(J$90,坦克类型系数!$AQ$3:$AX$3,0),FALSE)</f>
        <v>1.8</v>
      </c>
      <c r="K93" s="2">
        <f>VLOOKUP($B93,坦克类型系数!$AQ$3:$AX$10,MATCH(K$90,坦克类型系数!$AQ$3:$AX$3,0),FALSE)</f>
        <v>1</v>
      </c>
      <c r="L93" s="2">
        <f t="shared" si="82"/>
        <v>0</v>
      </c>
      <c r="M93" s="34">
        <f>MAX(J93/K93+I93,E93)</f>
        <v>3</v>
      </c>
      <c r="N93" s="34">
        <f t="shared" si="83"/>
        <v>3</v>
      </c>
      <c r="O93" s="34">
        <f t="shared" si="84"/>
        <v>1.8</v>
      </c>
      <c r="P93" s="21">
        <v>0.1</v>
      </c>
      <c r="Q93" s="34">
        <f t="shared" si="85"/>
        <v>1.1111111111111112</v>
      </c>
      <c r="R93" s="34">
        <f>MAX(J93/Q93+I93,E93)+G93*(H93-1)</f>
        <v>3</v>
      </c>
      <c r="S93" s="34">
        <f t="shared" si="86"/>
        <v>0</v>
      </c>
      <c r="T93" s="21">
        <v>0.5</v>
      </c>
      <c r="U93" s="34">
        <f t="shared" si="87"/>
        <v>2</v>
      </c>
      <c r="V93" s="34">
        <f>MAX(J93/U93+I93,E93)+G93*(H93-1)</f>
        <v>3</v>
      </c>
      <c r="W93" s="34">
        <f t="shared" si="88"/>
        <v>0</v>
      </c>
      <c r="X93" s="2" t="s">
        <v>872</v>
      </c>
      <c r="Y93" s="2">
        <v>0</v>
      </c>
    </row>
    <row r="94" spans="2:27" x14ac:dyDescent="0.3">
      <c r="B94" s="2" t="s">
        <v>85</v>
      </c>
      <c r="C94" s="29">
        <f>VLOOKUP($B94,标准坦克设计!$B$13:$K$20,MATCH(C$90,标准坦克设计!$B$13:$K$13,0),FALSE)</f>
        <v>6</v>
      </c>
      <c r="D94" s="29">
        <f>VLOOKUP($B94,标准坦克设计!$B$13:$K$20,MATCH(D$90,标准坦克设计!$B$13:$K$13,0),FALSE)</f>
        <v>1</v>
      </c>
      <c r="E94" s="29">
        <f>VLOOKUP($B94,标准坦克设计!$B$13:$K$20,MATCH(E$90,标准坦克设计!$B$13:$K$13,0),FALSE)</f>
        <v>0</v>
      </c>
      <c r="F94" s="29">
        <f>VLOOKUP($B94,标准坦克设计!$B$13:$K$20,MATCH(F$90,标准坦克设计!$B$13:$K$13,0),FALSE)</f>
        <v>6</v>
      </c>
      <c r="G94" s="29">
        <f>VLOOKUP($B94,标准坦克设计!$B$13:$K$20,MATCH(G$90,标准坦克设计!$B$13:$K$13,0),FALSE)</f>
        <v>0.5</v>
      </c>
      <c r="H94" s="2">
        <f>VLOOKUP($B94,坦克类型系数!$AQ$3:$AX$10,MATCH(H$90,坦克类型系数!$AQ$3:$AX$3,0),FALSE)</f>
        <v>2</v>
      </c>
      <c r="I94" s="2">
        <f>VLOOKUP(B94,坦克类型系数!$AM$3:$AO$10,2,FALSE)</f>
        <v>0.4</v>
      </c>
      <c r="J94" s="2">
        <f>VLOOKUP($B94,坦克类型系数!$AQ$3:$AX$10,MATCH(J$90,坦克类型系数!$AQ$3:$AX$3,0),FALSE)</f>
        <v>1.68</v>
      </c>
      <c r="K94" s="2">
        <f>VLOOKUP($B94,坦克类型系数!$AQ$3:$AX$10,MATCH(K$90,坦克类型系数!$AQ$3:$AX$3,0),FALSE)</f>
        <v>1.2</v>
      </c>
      <c r="L94" s="2">
        <f t="shared" si="82"/>
        <v>9.9999999999999978E-2</v>
      </c>
      <c r="M94" s="34">
        <f>J94*H94/K94-L94+I94</f>
        <v>3.0999999999999996</v>
      </c>
      <c r="N94" s="34">
        <f t="shared" si="83"/>
        <v>3.5999999999999996</v>
      </c>
      <c r="O94" s="34">
        <f t="shared" si="84"/>
        <v>1.4</v>
      </c>
      <c r="P94" s="21">
        <v>0.1</v>
      </c>
      <c r="Q94" s="34">
        <f t="shared" si="85"/>
        <v>1.3333333333333333</v>
      </c>
      <c r="R94" s="34">
        <f>J94*H94/Q94-L94+I94+G94*(H94-1)</f>
        <v>3.32</v>
      </c>
      <c r="S94" s="34">
        <f t="shared" si="86"/>
        <v>7.7777777777777737E-2</v>
      </c>
      <c r="T94" s="21">
        <v>0.5</v>
      </c>
      <c r="U94" s="34">
        <f t="shared" si="87"/>
        <v>2.4</v>
      </c>
      <c r="V94" s="34">
        <f>J94*H94/U94-L94+I94+G94*(H94-1)</f>
        <v>2.1999999999999997</v>
      </c>
      <c r="W94" s="34">
        <f t="shared" si="88"/>
        <v>0.42168674698795178</v>
      </c>
      <c r="X94" s="2" t="s">
        <v>871</v>
      </c>
      <c r="Y94" s="34">
        <f>W94/T94</f>
        <v>0.84337349397590355</v>
      </c>
    </row>
    <row r="95" spans="2:27" x14ac:dyDescent="0.3">
      <c r="B95" s="2" t="s">
        <v>86</v>
      </c>
      <c r="C95" s="29">
        <f>VLOOKUP($B95,标准坦克设计!$B$13:$K$20,MATCH(C$90,标准坦克设计!$B$13:$K$13,0),FALSE)</f>
        <v>6</v>
      </c>
      <c r="D95" s="29">
        <f>VLOOKUP($B95,标准坦克设计!$B$13:$K$20,MATCH(D$90,标准坦克设计!$B$13:$K$13,0),FALSE)</f>
        <v>2</v>
      </c>
      <c r="E95" s="29">
        <f>VLOOKUP($B95,标准坦克设计!$B$13:$K$20,MATCH(E$90,标准坦克设计!$B$13:$K$13,0),FALSE)</f>
        <v>2</v>
      </c>
      <c r="F95" s="29">
        <f>VLOOKUP($B95,标准坦克设计!$B$13:$K$20,MATCH(F$90,标准坦克设计!$B$13:$K$13,0),FALSE)</f>
        <v>0</v>
      </c>
      <c r="G95" s="29">
        <f>VLOOKUP($B95,标准坦克设计!$B$13:$K$20,MATCH(G$90,标准坦克设计!$B$13:$K$13,0),FALSE)</f>
        <v>1</v>
      </c>
      <c r="H95" s="2">
        <f>VLOOKUP($B95,坦克类型系数!$AQ$3:$AX$10,MATCH(H$90,坦克类型系数!$AQ$3:$AX$3,0),FALSE)</f>
        <v>2</v>
      </c>
      <c r="I95" s="2">
        <f>VLOOKUP(B95,坦克类型系数!$AM$3:$AO$10,2,FALSE)</f>
        <v>0.2</v>
      </c>
      <c r="J95" s="2">
        <f>VLOOKUP($B95,坦克类型系数!$AQ$3:$AX$10,MATCH(J$90,坦克类型系数!$AQ$3:$AX$3,0),FALSE)</f>
        <v>1.35</v>
      </c>
      <c r="K95" s="2">
        <f>VLOOKUP($B95,坦克类型系数!$AQ$3:$AX$10,MATCH(K$90,坦克类型系数!$AQ$3:$AX$3,0),FALSE)</f>
        <v>1</v>
      </c>
      <c r="L95" s="2">
        <f t="shared" si="82"/>
        <v>0.8</v>
      </c>
      <c r="M95" s="34">
        <f>MAX(J95/K95+I95,E95)</f>
        <v>2</v>
      </c>
      <c r="N95" s="34">
        <f t="shared" si="83"/>
        <v>3</v>
      </c>
      <c r="O95" s="34">
        <f t="shared" si="84"/>
        <v>1.35</v>
      </c>
      <c r="P95" s="21">
        <v>0.1</v>
      </c>
      <c r="Q95" s="34">
        <f t="shared" si="85"/>
        <v>1.1111111111111112</v>
      </c>
      <c r="R95" s="34">
        <f>MAX(J95/Q95+I95,E95)+G95*(H95-1)</f>
        <v>3</v>
      </c>
      <c r="S95" s="34">
        <f t="shared" si="86"/>
        <v>0</v>
      </c>
      <c r="T95" s="21">
        <v>0.5</v>
      </c>
      <c r="U95" s="34">
        <f t="shared" si="87"/>
        <v>2</v>
      </c>
      <c r="V95" s="34">
        <f>MAX(J95/U95+I95,E95)+G95*(H95-1)</f>
        <v>3</v>
      </c>
      <c r="W95" s="34">
        <f t="shared" si="88"/>
        <v>0</v>
      </c>
      <c r="X95" s="2" t="s">
        <v>873</v>
      </c>
      <c r="Y95" s="2">
        <v>0.8</v>
      </c>
    </row>
    <row r="96" spans="2:27" x14ac:dyDescent="0.3">
      <c r="B96" s="2" t="s">
        <v>87</v>
      </c>
      <c r="C96" s="29">
        <f>VLOOKUP($B96,标准坦克设计!$B$13:$K$20,MATCH(C$90,标准坦克设计!$B$13:$K$13,0),FALSE)</f>
        <v>2</v>
      </c>
      <c r="D96" s="29">
        <f>VLOOKUP($B96,标准坦克设计!$B$13:$K$20,MATCH(D$90,标准坦克设计!$B$13:$K$13,0),FALSE)</f>
        <v>4.5</v>
      </c>
      <c r="E96" s="29">
        <f>VLOOKUP($B96,标准坦克设计!$B$13:$K$20,MATCH(E$90,标准坦克设计!$B$13:$K$13,0),FALSE)</f>
        <v>4.5</v>
      </c>
      <c r="F96" s="29">
        <f>VLOOKUP($B96,标准坦克设计!$B$13:$K$20,MATCH(F$90,标准坦克设计!$B$13:$K$13,0),FALSE)</f>
        <v>0</v>
      </c>
      <c r="G96" s="29">
        <f>VLOOKUP($B96,标准坦克设计!$B$13:$K$20,MATCH(G$90,标准坦克设计!$B$13:$K$13,0),FALSE)</f>
        <v>1.8</v>
      </c>
      <c r="H96" s="2">
        <f>VLOOKUP($B96,坦克类型系数!$AQ$3:$AX$10,MATCH(H$90,坦克类型系数!$AQ$3:$AX$3,0),FALSE)</f>
        <v>2</v>
      </c>
      <c r="I96" s="2">
        <f>VLOOKUP(B96,坦克类型系数!$AM$3:$AO$10,2,FALSE)</f>
        <v>1.6</v>
      </c>
      <c r="J96" s="2">
        <f>VLOOKUP($B96,坦克类型系数!$AQ$3:$AX$10,MATCH(J$90,坦克类型系数!$AQ$3:$AX$3,0),FALSE)</f>
        <v>2.58</v>
      </c>
      <c r="K96" s="2">
        <f>VLOOKUP($B96,坦克类型系数!$AQ$3:$AX$10,MATCH(K$90,坦克类型系数!$AQ$3:$AX$3,0),FALSE)</f>
        <v>1.2</v>
      </c>
      <c r="L96" s="2">
        <f t="shared" si="82"/>
        <v>0.19999999999999996</v>
      </c>
      <c r="M96" s="34">
        <f>J96*H96/K96-L96+I96</f>
        <v>5.7000000000000011</v>
      </c>
      <c r="N96" s="34">
        <f t="shared" si="83"/>
        <v>7.5000000000000009</v>
      </c>
      <c r="O96" s="34">
        <f t="shared" si="84"/>
        <v>2.1500000000000004</v>
      </c>
      <c r="P96" s="21">
        <v>0.1</v>
      </c>
      <c r="Q96" s="34">
        <f t="shared" si="85"/>
        <v>1.3333333333333333</v>
      </c>
      <c r="R96" s="34">
        <f>J96*H96/Q96-L96+I96+G96*(H96-1)</f>
        <v>7.0699999999999994</v>
      </c>
      <c r="S96" s="34">
        <f t="shared" si="86"/>
        <v>5.7333333333333528E-2</v>
      </c>
      <c r="T96" s="21">
        <v>0.5</v>
      </c>
      <c r="U96" s="34">
        <f t="shared" si="87"/>
        <v>2.3999999999999995</v>
      </c>
      <c r="V96" s="34">
        <f>J96*H96/U96-L96+I96+G96*(H96-1)</f>
        <v>5.3500000000000005</v>
      </c>
      <c r="W96" s="34">
        <f t="shared" si="88"/>
        <v>0.30410183875530417</v>
      </c>
      <c r="X96" s="2" t="s">
        <v>871</v>
      </c>
      <c r="Y96" s="34">
        <f>W96/T96</f>
        <v>0.60820367751060833</v>
      </c>
    </row>
    <row r="97" spans="2:25" x14ac:dyDescent="0.3">
      <c r="B97" s="2" t="s">
        <v>88</v>
      </c>
      <c r="C97" s="29">
        <f>VLOOKUP($B97,标准坦克设计!$B$13:$K$20,MATCH(C$90,标准坦克设计!$B$13:$K$13,0),FALSE)</f>
        <v>1</v>
      </c>
      <c r="D97" s="29">
        <f>VLOOKUP($B97,标准坦克设计!$B$13:$K$20,MATCH(D$90,标准坦克设计!$B$13:$K$13,0),FALSE)</f>
        <v>6</v>
      </c>
      <c r="E97" s="29">
        <f>VLOOKUP($B97,标准坦克设计!$B$13:$K$20,MATCH(E$90,标准坦克设计!$B$13:$K$13,0),FALSE)</f>
        <v>6</v>
      </c>
      <c r="F97" s="29">
        <f>VLOOKUP($B97,标准坦克设计!$B$13:$K$20,MATCH(F$90,标准坦克设计!$B$13:$K$13,0),FALSE)</f>
        <v>0</v>
      </c>
      <c r="G97" s="29">
        <f>VLOOKUP($B97,标准坦克设计!$B$13:$K$20,MATCH(G$90,标准坦克设计!$B$13:$K$13,0),FALSE)</f>
        <v>0</v>
      </c>
      <c r="H97" s="2">
        <f>VLOOKUP($B97,坦克类型系数!$AQ$3:$AX$10,MATCH(H$90,坦克类型系数!$AQ$3:$AX$3,0),FALSE)</f>
        <v>1</v>
      </c>
      <c r="I97" s="2">
        <f>VLOOKUP(B97,坦克类型系数!$AM$3:$AO$10,2,FALSE)</f>
        <v>0</v>
      </c>
      <c r="J97" s="2">
        <f>VLOOKUP($B97,坦克类型系数!$AQ$3:$AX$10,MATCH(J$90,坦克类型系数!$AQ$3:$AX$3,0),FALSE)</f>
        <v>3</v>
      </c>
      <c r="K97" s="2">
        <f>VLOOKUP($B97,坦克类型系数!$AQ$3:$AX$10,MATCH(K$90,坦克类型系数!$AQ$3:$AX$3,0),FALSE)</f>
        <v>1</v>
      </c>
      <c r="L97" s="2">
        <f t="shared" si="82"/>
        <v>0</v>
      </c>
      <c r="M97" s="34">
        <f>MAX(J97/K97+I97,E97)</f>
        <v>6</v>
      </c>
      <c r="N97" s="34">
        <f t="shared" si="83"/>
        <v>6</v>
      </c>
      <c r="O97" s="34">
        <f t="shared" si="84"/>
        <v>3</v>
      </c>
      <c r="P97" s="21">
        <v>0.1</v>
      </c>
      <c r="Q97" s="34">
        <f t="shared" si="85"/>
        <v>1.1111111111111109</v>
      </c>
      <c r="R97" s="34">
        <f>MAX(J97/Q97+I97,E97)+G97*(H97-1)</f>
        <v>6</v>
      </c>
      <c r="S97" s="34">
        <f t="shared" si="86"/>
        <v>0</v>
      </c>
      <c r="T97" s="21">
        <v>0.5</v>
      </c>
      <c r="U97" s="34">
        <f t="shared" si="87"/>
        <v>2</v>
      </c>
      <c r="V97" s="34">
        <f>MAX(J97/U97+I97,E97)+G97*(H97-1)</f>
        <v>6</v>
      </c>
      <c r="W97" s="34">
        <f t="shared" si="88"/>
        <v>0</v>
      </c>
      <c r="X97" s="2" t="s">
        <v>872</v>
      </c>
      <c r="Y97" s="2">
        <v>0</v>
      </c>
    </row>
    <row r="99" spans="2:25" x14ac:dyDescent="0.3">
      <c r="B99" s="206" t="s">
        <v>739</v>
      </c>
      <c r="C99" s="22" t="s">
        <v>768</v>
      </c>
      <c r="D99" s="218" t="s">
        <v>874</v>
      </c>
      <c r="E99" s="206" t="s">
        <v>769</v>
      </c>
      <c r="F99" s="218" t="s">
        <v>874</v>
      </c>
      <c r="G99" s="206" t="s">
        <v>770</v>
      </c>
      <c r="H99" s="218" t="s">
        <v>874</v>
      </c>
    </row>
    <row r="100" spans="2:25" x14ac:dyDescent="0.3">
      <c r="B100" s="206">
        <v>1</v>
      </c>
      <c r="C100" s="206">
        <v>1</v>
      </c>
      <c r="D100" s="2">
        <v>1</v>
      </c>
      <c r="E100" s="206"/>
      <c r="F100" s="206"/>
      <c r="G100" s="206"/>
      <c r="H100" s="206"/>
    </row>
    <row r="101" spans="2:25" x14ac:dyDescent="0.3">
      <c r="B101" s="206">
        <v>1</v>
      </c>
      <c r="C101" s="206">
        <v>2</v>
      </c>
      <c r="D101" s="206">
        <f>D$100+(C101-C$100)*VLOOKUP(B101,$B$3:$T$9,MATCH($C$99,$B$3:$T$3,0))</f>
        <v>1.06</v>
      </c>
      <c r="E101" s="206"/>
      <c r="F101" s="206"/>
      <c r="G101" s="206"/>
      <c r="H101" s="206"/>
    </row>
    <row r="102" spans="2:25" x14ac:dyDescent="0.3">
      <c r="B102" s="206">
        <v>1</v>
      </c>
      <c r="C102" s="206">
        <v>3</v>
      </c>
      <c r="D102" s="206">
        <f>D$100+(C102-C$100)*VLOOKUP(B102,$B$3:$T$9,MATCH($C$99,$B$3:$T$3,0))</f>
        <v>1.1200000000000001</v>
      </c>
      <c r="E102" s="206"/>
      <c r="F102" s="206"/>
      <c r="G102" s="206"/>
      <c r="H102" s="206"/>
    </row>
    <row r="103" spans="2:25" x14ac:dyDescent="0.3">
      <c r="B103" s="206">
        <v>1</v>
      </c>
      <c r="C103" s="206">
        <v>4</v>
      </c>
      <c r="D103" s="206">
        <f>D$100+(C103-C$100)*VLOOKUP(B103,$B$3:$T$9,MATCH($C$99,$B$3:$T$3,0))</f>
        <v>1.18</v>
      </c>
      <c r="E103" s="206"/>
      <c r="F103" s="206"/>
      <c r="G103" s="206"/>
      <c r="H103" s="206"/>
    </row>
    <row r="104" spans="2:25" x14ac:dyDescent="0.3">
      <c r="B104" s="206">
        <v>1</v>
      </c>
      <c r="C104" s="206">
        <v>5</v>
      </c>
      <c r="D104" s="206">
        <f>D$100+(C104-C$100)*VLOOKUP(B104,$B$3:$T$9,MATCH($C$99,$B$3:$T$3,0))</f>
        <v>1.24</v>
      </c>
      <c r="E104" s="206"/>
      <c r="F104" s="206"/>
      <c r="G104" s="206"/>
      <c r="H104" s="206"/>
    </row>
    <row r="105" spans="2:25" x14ac:dyDescent="0.3">
      <c r="B105" s="206">
        <v>1</v>
      </c>
      <c r="C105" s="206">
        <v>6</v>
      </c>
      <c r="D105" s="206">
        <f>D$100+(C105-C$100)*VLOOKUP(B105,$B$3:$T$9,MATCH($C$99,$B$3:$T$3,0))</f>
        <v>1.3</v>
      </c>
      <c r="E105" s="206"/>
      <c r="F105" s="206"/>
      <c r="G105" s="206"/>
      <c r="H105" s="206"/>
    </row>
    <row r="106" spans="2:25" x14ac:dyDescent="0.3">
      <c r="B106" s="206">
        <v>2</v>
      </c>
      <c r="C106" s="206">
        <v>1</v>
      </c>
      <c r="D106" s="206">
        <f>D100+B106*VLOOKUP(B106,$B$3:$T$9,MATCH($C$99,$B$3:$T$3,0))</f>
        <v>1.1599999999999999</v>
      </c>
      <c r="E106" s="206">
        <v>1</v>
      </c>
      <c r="F106" s="206">
        <f>D100+B106*VLOOKUP(B106,$B$3:$T$9,MATCH($E$99,$B$3:$T$3,0))</f>
        <v>1.18</v>
      </c>
      <c r="G106" s="206"/>
      <c r="H106" s="206"/>
    </row>
    <row r="107" spans="2:25" x14ac:dyDescent="0.3">
      <c r="B107" s="206">
        <v>2</v>
      </c>
      <c r="C107" s="206">
        <v>2</v>
      </c>
      <c r="D107" s="206">
        <f t="shared" ref="D107:D112" si="89">D$106+(C107-C$100)*VLOOKUP(B107,$B$3:$T$9,MATCH($C$99,$B$3:$T$3,0))</f>
        <v>1.24</v>
      </c>
      <c r="E107" s="206">
        <v>2</v>
      </c>
      <c r="F107" s="206">
        <f t="shared" ref="F107:F113" si="90">F106+VLOOKUP(B107,$B$3:$T$9,MATCH($C$99,$B$3:$T$3,0))</f>
        <v>1.26</v>
      </c>
      <c r="G107" s="206"/>
      <c r="H107" s="206"/>
    </row>
    <row r="108" spans="2:25" x14ac:dyDescent="0.3">
      <c r="B108" s="206">
        <v>2</v>
      </c>
      <c r="C108" s="206">
        <v>3</v>
      </c>
      <c r="D108" s="206">
        <f t="shared" si="89"/>
        <v>1.3199999999999998</v>
      </c>
      <c r="E108" s="206">
        <v>3</v>
      </c>
      <c r="F108" s="206">
        <f t="shared" si="90"/>
        <v>1.34</v>
      </c>
      <c r="G108" s="206"/>
      <c r="H108" s="206"/>
    </row>
    <row r="109" spans="2:25" x14ac:dyDescent="0.3">
      <c r="B109" s="206">
        <v>2</v>
      </c>
      <c r="C109" s="206">
        <v>4</v>
      </c>
      <c r="D109" s="206">
        <f t="shared" si="89"/>
        <v>1.4</v>
      </c>
      <c r="E109" s="206">
        <v>4</v>
      </c>
      <c r="F109" s="206">
        <f t="shared" si="90"/>
        <v>1.4200000000000002</v>
      </c>
      <c r="G109" s="206"/>
      <c r="H109" s="206"/>
    </row>
    <row r="110" spans="2:25" x14ac:dyDescent="0.3">
      <c r="B110" s="206">
        <v>2</v>
      </c>
      <c r="C110" s="206">
        <v>5</v>
      </c>
      <c r="D110" s="206">
        <f t="shared" si="89"/>
        <v>1.48</v>
      </c>
      <c r="E110" s="206">
        <v>5</v>
      </c>
      <c r="F110" s="206">
        <f t="shared" si="90"/>
        <v>1.5000000000000002</v>
      </c>
      <c r="G110" s="206"/>
      <c r="H110" s="206"/>
    </row>
    <row r="111" spans="2:25" x14ac:dyDescent="0.3">
      <c r="B111" s="206">
        <v>2</v>
      </c>
      <c r="C111" s="206">
        <v>6</v>
      </c>
      <c r="D111" s="206">
        <f t="shared" si="89"/>
        <v>1.56</v>
      </c>
      <c r="E111" s="206">
        <v>6</v>
      </c>
      <c r="F111" s="206">
        <f t="shared" si="90"/>
        <v>1.5800000000000003</v>
      </c>
      <c r="G111" s="206"/>
      <c r="H111" s="206"/>
    </row>
    <row r="112" spans="2:25" x14ac:dyDescent="0.3">
      <c r="B112" s="206">
        <v>2</v>
      </c>
      <c r="C112" s="206">
        <v>7</v>
      </c>
      <c r="D112" s="206">
        <f t="shared" si="89"/>
        <v>1.64</v>
      </c>
      <c r="E112" s="206">
        <v>7</v>
      </c>
      <c r="F112" s="206">
        <f t="shared" si="90"/>
        <v>1.6600000000000004</v>
      </c>
      <c r="G112" s="206"/>
      <c r="H112" s="206"/>
    </row>
    <row r="113" spans="2:8" x14ac:dyDescent="0.3">
      <c r="B113" s="206">
        <v>2</v>
      </c>
      <c r="C113" s="206"/>
      <c r="D113" s="206"/>
      <c r="E113" s="206">
        <v>8</v>
      </c>
      <c r="F113" s="206">
        <f t="shared" si="90"/>
        <v>1.7400000000000004</v>
      </c>
      <c r="G113" s="206"/>
      <c r="H113" s="206"/>
    </row>
    <row r="114" spans="2:8" x14ac:dyDescent="0.3">
      <c r="B114" s="206">
        <v>2</v>
      </c>
      <c r="C114" s="206"/>
      <c r="D114" s="206"/>
      <c r="E114" s="206">
        <v>9</v>
      </c>
      <c r="F114" s="206">
        <f>F113+VLOOKUP(B114,$B$3:$T$9,MATCH($E$99,$B$3:$T$3,0))</f>
        <v>1.8300000000000005</v>
      </c>
      <c r="G114" s="206"/>
      <c r="H114" s="206"/>
    </row>
    <row r="115" spans="2:8" x14ac:dyDescent="0.3">
      <c r="B115" s="206">
        <v>2</v>
      </c>
      <c r="C115" s="206"/>
      <c r="D115" s="206"/>
      <c r="E115" s="206">
        <v>10</v>
      </c>
      <c r="F115" s="206">
        <f>F114+VLOOKUP(B115,$B$3:$T$9,MATCH($E$99,$B$3:$T$3,0))</f>
        <v>1.9200000000000006</v>
      </c>
      <c r="G115" s="206"/>
      <c r="H115" s="206"/>
    </row>
    <row r="116" spans="2:8" x14ac:dyDescent="0.3">
      <c r="B116" s="206">
        <v>2</v>
      </c>
      <c r="C116" s="206"/>
      <c r="D116" s="206"/>
      <c r="E116" s="206">
        <v>11</v>
      </c>
      <c r="F116" s="206">
        <f>F115+VLOOKUP(B116,$B$3:$T$9,MATCH($E$99,$B$3:$T$3,0))</f>
        <v>2.0100000000000007</v>
      </c>
      <c r="G116" s="206"/>
      <c r="H116" s="206"/>
    </row>
    <row r="117" spans="2:8" x14ac:dyDescent="0.3">
      <c r="B117" s="206">
        <v>2</v>
      </c>
      <c r="C117" s="206"/>
      <c r="D117" s="206"/>
      <c r="E117" s="206">
        <v>12</v>
      </c>
      <c r="F117" s="206">
        <f>F116+VLOOKUP(B117,$B$3:$T$9,MATCH($E$99,$B$3:$T$3,0))</f>
        <v>2.1000000000000005</v>
      </c>
      <c r="G117" s="206"/>
      <c r="H117" s="206"/>
    </row>
    <row r="118" spans="2:8" x14ac:dyDescent="0.3">
      <c r="B118" s="206">
        <v>3</v>
      </c>
      <c r="C118" s="206">
        <v>1</v>
      </c>
      <c r="D118" s="206">
        <f>D106+B118*VLOOKUP(B118,$B$3:$T$9,MATCH($C$99,$B$3:$T$3,0))</f>
        <v>1.43</v>
      </c>
      <c r="E118" s="206">
        <v>1</v>
      </c>
      <c r="F118" s="206">
        <f>D106+B118*VLOOKUP(B118,$B$3:$T$9,MATCH($E$99,$B$3:$T$3,0))</f>
        <v>1.46</v>
      </c>
      <c r="G118" s="206">
        <v>1</v>
      </c>
      <c r="H118" s="206">
        <f>D106+B118*VLOOKUP(B118,$B$3:$T$9,MATCH($G$99,$B$3:$T$3,0))</f>
        <v>1.49</v>
      </c>
    </row>
    <row r="119" spans="2:8" x14ac:dyDescent="0.3">
      <c r="B119" s="206">
        <v>3</v>
      </c>
      <c r="C119" s="206">
        <v>2</v>
      </c>
      <c r="D119" s="206">
        <f t="shared" ref="D119:D126" si="91">D$118+(C119-C$100)*VLOOKUP(B119,$B$3:$T$9,MATCH($C$99,$B$3:$T$3,0))</f>
        <v>1.52</v>
      </c>
      <c r="E119" s="206">
        <v>2</v>
      </c>
      <c r="F119" s="206">
        <f t="shared" ref="F119:F127" si="92">F118+VLOOKUP(B119,$B$3:$T$9,MATCH($C$99,$B$3:$T$3,0))</f>
        <v>1.55</v>
      </c>
      <c r="G119" s="206">
        <v>2</v>
      </c>
      <c r="H119" s="206">
        <f t="shared" ref="H119:H127" si="93">H118+VLOOKUP(B119,$B$3:$T$9,MATCH($C$99,$B$3:$T$3,0))</f>
        <v>1.58</v>
      </c>
    </row>
    <row r="120" spans="2:8" x14ac:dyDescent="0.3">
      <c r="B120" s="206">
        <v>3</v>
      </c>
      <c r="C120" s="206">
        <v>3</v>
      </c>
      <c r="D120" s="206">
        <f t="shared" si="91"/>
        <v>1.6099999999999999</v>
      </c>
      <c r="E120" s="206">
        <v>3</v>
      </c>
      <c r="F120" s="206">
        <f t="shared" si="92"/>
        <v>1.6400000000000001</v>
      </c>
      <c r="G120" s="206">
        <v>3</v>
      </c>
      <c r="H120" s="206">
        <f t="shared" si="93"/>
        <v>1.6700000000000002</v>
      </c>
    </row>
    <row r="121" spans="2:8" x14ac:dyDescent="0.3">
      <c r="B121" s="206">
        <v>3</v>
      </c>
      <c r="C121" s="206">
        <v>4</v>
      </c>
      <c r="D121" s="206">
        <f t="shared" si="91"/>
        <v>1.7</v>
      </c>
      <c r="E121" s="206">
        <v>4</v>
      </c>
      <c r="F121" s="206">
        <f t="shared" si="92"/>
        <v>1.7300000000000002</v>
      </c>
      <c r="G121" s="206">
        <v>4</v>
      </c>
      <c r="H121" s="206">
        <f t="shared" si="93"/>
        <v>1.7600000000000002</v>
      </c>
    </row>
    <row r="122" spans="2:8" x14ac:dyDescent="0.3">
      <c r="B122" s="206">
        <v>3</v>
      </c>
      <c r="C122" s="206">
        <v>5</v>
      </c>
      <c r="D122" s="206">
        <f t="shared" si="91"/>
        <v>1.79</v>
      </c>
      <c r="E122" s="206">
        <v>5</v>
      </c>
      <c r="F122" s="206">
        <f t="shared" si="92"/>
        <v>1.8200000000000003</v>
      </c>
      <c r="G122" s="206">
        <v>5</v>
      </c>
      <c r="H122" s="206">
        <f t="shared" si="93"/>
        <v>1.8500000000000003</v>
      </c>
    </row>
    <row r="123" spans="2:8" x14ac:dyDescent="0.3">
      <c r="B123" s="206">
        <v>3</v>
      </c>
      <c r="C123" s="206">
        <v>6</v>
      </c>
      <c r="D123" s="206">
        <f t="shared" si="91"/>
        <v>1.88</v>
      </c>
      <c r="E123" s="206">
        <v>6</v>
      </c>
      <c r="F123" s="206">
        <f t="shared" si="92"/>
        <v>1.9100000000000004</v>
      </c>
      <c r="G123" s="206">
        <v>6</v>
      </c>
      <c r="H123" s="206">
        <f t="shared" si="93"/>
        <v>1.9400000000000004</v>
      </c>
    </row>
    <row r="124" spans="2:8" x14ac:dyDescent="0.3">
      <c r="B124" s="206">
        <v>3</v>
      </c>
      <c r="C124" s="206">
        <v>7</v>
      </c>
      <c r="D124" s="206">
        <f t="shared" si="91"/>
        <v>1.97</v>
      </c>
      <c r="E124" s="206">
        <v>7</v>
      </c>
      <c r="F124" s="206">
        <f t="shared" si="92"/>
        <v>2.0000000000000004</v>
      </c>
      <c r="G124" s="206">
        <v>7</v>
      </c>
      <c r="H124" s="206">
        <f t="shared" si="93"/>
        <v>2.0300000000000002</v>
      </c>
    </row>
    <row r="125" spans="2:8" x14ac:dyDescent="0.3">
      <c r="B125" s="206">
        <v>3</v>
      </c>
      <c r="C125" s="206">
        <v>8</v>
      </c>
      <c r="D125" s="206">
        <f t="shared" si="91"/>
        <v>2.06</v>
      </c>
      <c r="E125" s="206">
        <v>8</v>
      </c>
      <c r="F125" s="206">
        <f t="shared" si="92"/>
        <v>2.0900000000000003</v>
      </c>
      <c r="G125" s="206">
        <v>8</v>
      </c>
      <c r="H125" s="206">
        <f t="shared" si="93"/>
        <v>2.12</v>
      </c>
    </row>
    <row r="126" spans="2:8" x14ac:dyDescent="0.3">
      <c r="B126" s="206">
        <v>3</v>
      </c>
      <c r="C126" s="206">
        <v>9</v>
      </c>
      <c r="D126" s="206">
        <f t="shared" si="91"/>
        <v>2.15</v>
      </c>
      <c r="E126" s="206">
        <v>9</v>
      </c>
      <c r="F126" s="206">
        <f t="shared" si="92"/>
        <v>2.1800000000000002</v>
      </c>
      <c r="G126" s="206">
        <v>9</v>
      </c>
      <c r="H126" s="206">
        <f t="shared" si="93"/>
        <v>2.21</v>
      </c>
    </row>
    <row r="127" spans="2:8" x14ac:dyDescent="0.3">
      <c r="B127" s="206">
        <v>3</v>
      </c>
      <c r="C127" s="206"/>
      <c r="D127" s="206"/>
      <c r="E127" s="206">
        <v>10</v>
      </c>
      <c r="F127" s="206">
        <f t="shared" si="92"/>
        <v>2.27</v>
      </c>
      <c r="G127" s="206">
        <v>10</v>
      </c>
      <c r="H127" s="206">
        <f t="shared" si="93"/>
        <v>2.2999999999999998</v>
      </c>
    </row>
    <row r="128" spans="2:8" x14ac:dyDescent="0.3">
      <c r="B128" s="206">
        <v>3</v>
      </c>
      <c r="C128" s="206"/>
      <c r="D128" s="206"/>
      <c r="E128" s="206">
        <v>11</v>
      </c>
      <c r="F128" s="206">
        <f>F127+VLOOKUP(B128,$B$3:$T$9,MATCH($E$99,$B$3:$T$3,0))</f>
        <v>2.37</v>
      </c>
      <c r="G128" s="206">
        <v>11</v>
      </c>
      <c r="H128" s="206">
        <f>H127+VLOOKUP(B128,$B$3:$T$9,MATCH($G$99,$B$3:$T$3,0))</f>
        <v>2.4099999999999997</v>
      </c>
    </row>
    <row r="129" spans="2:8" x14ac:dyDescent="0.3">
      <c r="B129" s="206">
        <v>3</v>
      </c>
      <c r="C129" s="206"/>
      <c r="D129" s="206"/>
      <c r="E129" s="206">
        <v>12</v>
      </c>
      <c r="F129" s="206">
        <f>F128+VLOOKUP(B129,$B$3:$T$9,MATCH($E$99,$B$3:$T$3,0))</f>
        <v>2.4700000000000002</v>
      </c>
      <c r="G129" s="206">
        <v>12</v>
      </c>
      <c r="H129" s="206">
        <f>H128+VLOOKUP(B129,$B$3:$T$9,MATCH($G$99,$B$3:$T$3,0))</f>
        <v>2.5199999999999996</v>
      </c>
    </row>
    <row r="130" spans="2:8" x14ac:dyDescent="0.3">
      <c r="B130" s="206">
        <v>3</v>
      </c>
      <c r="C130" s="206"/>
      <c r="D130" s="206"/>
      <c r="E130" s="206">
        <v>13</v>
      </c>
      <c r="F130" s="206">
        <f>F129+VLOOKUP(B130,$B$3:$T$9,MATCH($E$99,$B$3:$T$3,0))</f>
        <v>2.5700000000000003</v>
      </c>
      <c r="G130" s="206">
        <v>13</v>
      </c>
      <c r="H130" s="206">
        <f>H129+VLOOKUP(B130,$B$3:$T$9,MATCH($G$99,$B$3:$T$3,0))</f>
        <v>2.6299999999999994</v>
      </c>
    </row>
    <row r="131" spans="2:8" x14ac:dyDescent="0.3">
      <c r="B131" s="206">
        <v>3</v>
      </c>
      <c r="C131" s="206"/>
      <c r="D131" s="206"/>
      <c r="E131" s="206">
        <v>14</v>
      </c>
      <c r="F131" s="206">
        <f>F130+VLOOKUP(B131,$B$3:$T$9,MATCH($E$99,$B$3:$T$3,0))</f>
        <v>2.6700000000000004</v>
      </c>
      <c r="G131" s="206">
        <v>14</v>
      </c>
      <c r="H131" s="206">
        <f>H130+VLOOKUP(B131,$B$3:$T$9,MATCH($G$99,$B$3:$T$3,0))</f>
        <v>2.7399999999999993</v>
      </c>
    </row>
    <row r="132" spans="2:8" x14ac:dyDescent="0.3">
      <c r="B132" s="206">
        <v>3</v>
      </c>
      <c r="C132" s="206"/>
      <c r="D132" s="206"/>
      <c r="E132" s="206">
        <v>15</v>
      </c>
      <c r="F132" s="206">
        <f>F131+VLOOKUP(B132,$B$3:$T$9,MATCH($E$99,$B$3:$T$3,0))</f>
        <v>2.7700000000000005</v>
      </c>
      <c r="G132" s="206">
        <v>15</v>
      </c>
      <c r="H132" s="206">
        <f>H131+VLOOKUP(B132,$B$3:$T$9,MATCH($G$99,$B$3:$T$3,0))</f>
        <v>2.8499999999999992</v>
      </c>
    </row>
    <row r="133" spans="2:8" x14ac:dyDescent="0.3">
      <c r="B133" s="206">
        <v>4</v>
      </c>
      <c r="C133" s="206">
        <v>1</v>
      </c>
      <c r="D133" s="206">
        <f>D118+B133*VLOOKUP(B133,$B$3:$T$9,MATCH($C$99,$B$3:$T$3,0))</f>
        <v>1.83</v>
      </c>
      <c r="E133" s="206">
        <v>1</v>
      </c>
      <c r="F133" s="206">
        <f>D118+B133*VLOOKUP(B133,$B$3:$T$9,MATCH($E$99,$B$3:$T$3,0))</f>
        <v>1.8699999999999999</v>
      </c>
      <c r="G133" s="206">
        <v>1</v>
      </c>
      <c r="H133" s="206">
        <f>D118+B133*VLOOKUP(B133,$B$3:$T$9,MATCH($G$99,$B$3:$T$3,0))</f>
        <v>1.91</v>
      </c>
    </row>
    <row r="134" spans="2:8" x14ac:dyDescent="0.3">
      <c r="B134" s="206">
        <v>4</v>
      </c>
      <c r="C134" s="206">
        <v>2</v>
      </c>
      <c r="D134" s="206">
        <f t="shared" ref="D134:D143" si="94">D$133+(C134-C$100)*VLOOKUP(B134,$B$3:$T$9,MATCH($C$99,$B$3:$T$3,0))</f>
        <v>1.9300000000000002</v>
      </c>
      <c r="E134" s="206">
        <v>2</v>
      </c>
      <c r="F134" s="206">
        <f t="shared" ref="F134:F144" si="95">F133+VLOOKUP(B134,$B$3:$T$9,MATCH($C$99,$B$3:$T$3,0))</f>
        <v>1.97</v>
      </c>
      <c r="G134" s="206">
        <v>2</v>
      </c>
      <c r="H134" s="206">
        <f t="shared" ref="H134:H144" si="96">H133+VLOOKUP(B134,$B$3:$T$9,MATCH($C$99,$B$3:$T$3,0))</f>
        <v>2.0099999999999998</v>
      </c>
    </row>
    <row r="135" spans="2:8" x14ac:dyDescent="0.3">
      <c r="B135" s="206">
        <v>4</v>
      </c>
      <c r="C135" s="206">
        <v>3</v>
      </c>
      <c r="D135" s="206">
        <f t="shared" si="94"/>
        <v>2.0300000000000002</v>
      </c>
      <c r="E135" s="206">
        <v>3</v>
      </c>
      <c r="F135" s="206">
        <f t="shared" si="95"/>
        <v>2.0699999999999998</v>
      </c>
      <c r="G135" s="206">
        <v>3</v>
      </c>
      <c r="H135" s="206">
        <f t="shared" si="96"/>
        <v>2.11</v>
      </c>
    </row>
    <row r="136" spans="2:8" x14ac:dyDescent="0.3">
      <c r="B136" s="206">
        <v>4</v>
      </c>
      <c r="C136" s="206">
        <v>4</v>
      </c>
      <c r="D136" s="206">
        <f t="shared" si="94"/>
        <v>2.13</v>
      </c>
      <c r="E136" s="206">
        <v>4</v>
      </c>
      <c r="F136" s="206">
        <f t="shared" si="95"/>
        <v>2.17</v>
      </c>
      <c r="G136" s="206">
        <v>4</v>
      </c>
      <c r="H136" s="206">
        <f t="shared" si="96"/>
        <v>2.21</v>
      </c>
    </row>
    <row r="137" spans="2:8" x14ac:dyDescent="0.3">
      <c r="B137" s="206">
        <v>4</v>
      </c>
      <c r="C137" s="206">
        <v>5</v>
      </c>
      <c r="D137" s="206">
        <f t="shared" si="94"/>
        <v>2.23</v>
      </c>
      <c r="E137" s="206">
        <v>5</v>
      </c>
      <c r="F137" s="206">
        <f t="shared" si="95"/>
        <v>2.27</v>
      </c>
      <c r="G137" s="206">
        <v>5</v>
      </c>
      <c r="H137" s="206">
        <f t="shared" si="96"/>
        <v>2.31</v>
      </c>
    </row>
    <row r="138" spans="2:8" x14ac:dyDescent="0.3">
      <c r="B138" s="206">
        <v>4</v>
      </c>
      <c r="C138" s="206">
        <v>6</v>
      </c>
      <c r="D138" s="206">
        <f t="shared" si="94"/>
        <v>2.33</v>
      </c>
      <c r="E138" s="206">
        <v>6</v>
      </c>
      <c r="F138" s="206">
        <f t="shared" si="95"/>
        <v>2.37</v>
      </c>
      <c r="G138" s="206">
        <v>6</v>
      </c>
      <c r="H138" s="206">
        <f t="shared" si="96"/>
        <v>2.41</v>
      </c>
    </row>
    <row r="139" spans="2:8" x14ac:dyDescent="0.3">
      <c r="B139" s="206">
        <v>4</v>
      </c>
      <c r="C139" s="206">
        <v>7</v>
      </c>
      <c r="D139" s="206">
        <f t="shared" si="94"/>
        <v>2.4300000000000002</v>
      </c>
      <c r="E139" s="206">
        <v>7</v>
      </c>
      <c r="F139" s="206">
        <f t="shared" si="95"/>
        <v>2.4700000000000002</v>
      </c>
      <c r="G139" s="206">
        <v>7</v>
      </c>
      <c r="H139" s="206">
        <f t="shared" si="96"/>
        <v>2.5100000000000002</v>
      </c>
    </row>
    <row r="140" spans="2:8" x14ac:dyDescent="0.3">
      <c r="B140" s="206">
        <v>4</v>
      </c>
      <c r="C140" s="206">
        <v>8</v>
      </c>
      <c r="D140" s="206">
        <f t="shared" si="94"/>
        <v>2.5300000000000002</v>
      </c>
      <c r="E140" s="206">
        <v>8</v>
      </c>
      <c r="F140" s="206">
        <f t="shared" si="95"/>
        <v>2.5700000000000003</v>
      </c>
      <c r="G140" s="206">
        <v>8</v>
      </c>
      <c r="H140" s="206">
        <f t="shared" si="96"/>
        <v>2.6100000000000003</v>
      </c>
    </row>
    <row r="141" spans="2:8" x14ac:dyDescent="0.3">
      <c r="B141" s="206">
        <v>4</v>
      </c>
      <c r="C141" s="206">
        <v>9</v>
      </c>
      <c r="D141" s="206">
        <f t="shared" si="94"/>
        <v>2.63</v>
      </c>
      <c r="E141" s="206">
        <v>9</v>
      </c>
      <c r="F141" s="206">
        <f t="shared" si="95"/>
        <v>2.6700000000000004</v>
      </c>
      <c r="G141" s="206">
        <v>9</v>
      </c>
      <c r="H141" s="206">
        <f t="shared" si="96"/>
        <v>2.7100000000000004</v>
      </c>
    </row>
    <row r="142" spans="2:8" x14ac:dyDescent="0.3">
      <c r="B142" s="206">
        <v>4</v>
      </c>
      <c r="C142" s="206">
        <v>10</v>
      </c>
      <c r="D142" s="206">
        <f t="shared" si="94"/>
        <v>2.73</v>
      </c>
      <c r="E142" s="206">
        <v>10</v>
      </c>
      <c r="F142" s="206">
        <f t="shared" si="95"/>
        <v>2.7700000000000005</v>
      </c>
      <c r="G142" s="206">
        <v>10</v>
      </c>
      <c r="H142" s="206">
        <f t="shared" si="96"/>
        <v>2.8100000000000005</v>
      </c>
    </row>
    <row r="143" spans="2:8" x14ac:dyDescent="0.3">
      <c r="B143" s="206">
        <v>4</v>
      </c>
      <c r="C143" s="206">
        <v>11</v>
      </c>
      <c r="D143" s="206">
        <f t="shared" si="94"/>
        <v>2.83</v>
      </c>
      <c r="E143" s="206">
        <v>11</v>
      </c>
      <c r="F143" s="206">
        <f t="shared" si="95"/>
        <v>2.8700000000000006</v>
      </c>
      <c r="G143" s="206">
        <v>11</v>
      </c>
      <c r="H143" s="206">
        <f t="shared" si="96"/>
        <v>2.9100000000000006</v>
      </c>
    </row>
    <row r="144" spans="2:8" x14ac:dyDescent="0.3">
      <c r="B144" s="206">
        <v>4</v>
      </c>
      <c r="C144" s="206"/>
      <c r="D144" s="206"/>
      <c r="E144" s="206">
        <v>12</v>
      </c>
      <c r="F144" s="206">
        <f t="shared" si="95"/>
        <v>2.9700000000000006</v>
      </c>
      <c r="G144" s="206">
        <v>12</v>
      </c>
      <c r="H144" s="206">
        <f t="shared" si="96"/>
        <v>3.0100000000000007</v>
      </c>
    </row>
    <row r="145" spans="2:8" x14ac:dyDescent="0.3">
      <c r="B145" s="206">
        <v>4</v>
      </c>
      <c r="C145" s="206"/>
      <c r="D145" s="206"/>
      <c r="E145" s="206">
        <v>13</v>
      </c>
      <c r="F145" s="206">
        <f t="shared" ref="F145:F150" si="97">F144+VLOOKUP(B145,$B$3:$T$9,MATCH($E$99,$B$3:$T$3,0))</f>
        <v>3.0800000000000005</v>
      </c>
      <c r="G145" s="206">
        <v>13</v>
      </c>
      <c r="H145" s="206">
        <f t="shared" ref="H145:H150" si="98">H144+VLOOKUP(B145,$B$3:$T$9,MATCH($G$99,$B$3:$T$3,0))</f>
        <v>3.1300000000000008</v>
      </c>
    </row>
    <row r="146" spans="2:8" x14ac:dyDescent="0.3">
      <c r="B146" s="206">
        <v>4</v>
      </c>
      <c r="C146" s="206"/>
      <c r="D146" s="206"/>
      <c r="E146" s="206">
        <v>14</v>
      </c>
      <c r="F146" s="206">
        <f t="shared" si="97"/>
        <v>3.1900000000000004</v>
      </c>
      <c r="G146" s="206">
        <v>14</v>
      </c>
      <c r="H146" s="206">
        <f t="shared" si="98"/>
        <v>3.2500000000000009</v>
      </c>
    </row>
    <row r="147" spans="2:8" x14ac:dyDescent="0.3">
      <c r="B147" s="206">
        <v>4</v>
      </c>
      <c r="C147" s="206"/>
      <c r="D147" s="206"/>
      <c r="E147" s="206">
        <v>15</v>
      </c>
      <c r="F147" s="206">
        <f t="shared" si="97"/>
        <v>3.3000000000000003</v>
      </c>
      <c r="G147" s="206">
        <v>15</v>
      </c>
      <c r="H147" s="206">
        <f t="shared" si="98"/>
        <v>3.370000000000001</v>
      </c>
    </row>
    <row r="148" spans="2:8" x14ac:dyDescent="0.3">
      <c r="B148" s="206">
        <v>4</v>
      </c>
      <c r="C148" s="206"/>
      <c r="D148" s="206"/>
      <c r="E148" s="206">
        <v>16</v>
      </c>
      <c r="F148" s="206">
        <f t="shared" si="97"/>
        <v>3.41</v>
      </c>
      <c r="G148" s="206">
        <v>16</v>
      </c>
      <c r="H148" s="206">
        <f t="shared" si="98"/>
        <v>3.4900000000000011</v>
      </c>
    </row>
    <row r="149" spans="2:8" x14ac:dyDescent="0.3">
      <c r="B149" s="206">
        <v>4</v>
      </c>
      <c r="C149" s="206"/>
      <c r="D149" s="206"/>
      <c r="E149" s="206">
        <v>17</v>
      </c>
      <c r="F149" s="206">
        <f t="shared" si="97"/>
        <v>3.52</v>
      </c>
      <c r="G149" s="206">
        <v>17</v>
      </c>
      <c r="H149" s="206">
        <f t="shared" si="98"/>
        <v>3.6100000000000012</v>
      </c>
    </row>
    <row r="150" spans="2:8" x14ac:dyDescent="0.3">
      <c r="B150" s="206">
        <v>4</v>
      </c>
      <c r="C150" s="206"/>
      <c r="D150" s="206"/>
      <c r="E150" s="206">
        <v>18</v>
      </c>
      <c r="F150" s="206">
        <f t="shared" si="97"/>
        <v>3.63</v>
      </c>
      <c r="G150" s="206">
        <v>18</v>
      </c>
      <c r="H150" s="206">
        <f t="shared" si="98"/>
        <v>3.7300000000000013</v>
      </c>
    </row>
    <row r="151" spans="2:8" x14ac:dyDescent="0.3">
      <c r="B151" s="206">
        <v>5</v>
      </c>
      <c r="C151" s="206">
        <v>1</v>
      </c>
      <c r="D151" s="206">
        <f>D133+B151*VLOOKUP(B151,$B$3:$T$9,MATCH($C$99,$B$3:$T$3,0))</f>
        <v>2.38</v>
      </c>
      <c r="E151" s="206">
        <v>1</v>
      </c>
      <c r="F151" s="206">
        <f>D133+B151*VLOOKUP(B151,$B$3:$T$9,MATCH($E$99,$B$3:$T$3,0))</f>
        <v>2.4300000000000002</v>
      </c>
      <c r="G151" s="206">
        <v>1</v>
      </c>
      <c r="H151" s="206">
        <f>D133+B151*VLOOKUP(B151,$B$3:$T$9,MATCH($G$99,$B$3:$T$3,0))</f>
        <v>2.48</v>
      </c>
    </row>
    <row r="152" spans="2:8" x14ac:dyDescent="0.3">
      <c r="B152" s="206">
        <v>5</v>
      </c>
      <c r="C152" s="206">
        <v>2</v>
      </c>
      <c r="D152" s="206">
        <f t="shared" ref="D152:D163" si="99">D$151+(C152-C$100)*VLOOKUP(B152,$B$3:$T$9,MATCH($C$99,$B$3:$T$3,0))</f>
        <v>2.4899999999999998</v>
      </c>
      <c r="E152" s="206">
        <v>2</v>
      </c>
      <c r="F152" s="206">
        <f t="shared" ref="F152:F164" si="100">F151+VLOOKUP(B152,$B$3:$T$9,MATCH($C$99,$B$3:$T$3,0))</f>
        <v>2.54</v>
      </c>
      <c r="G152" s="206">
        <v>2</v>
      </c>
      <c r="H152" s="206">
        <f t="shared" ref="H152:H164" si="101">H151+VLOOKUP(B152,$B$3:$T$9,MATCH($C$99,$B$3:$T$3,0))</f>
        <v>2.59</v>
      </c>
    </row>
    <row r="153" spans="2:8" x14ac:dyDescent="0.3">
      <c r="B153" s="206">
        <v>5</v>
      </c>
      <c r="C153" s="206">
        <v>3</v>
      </c>
      <c r="D153" s="206">
        <f t="shared" si="99"/>
        <v>2.6</v>
      </c>
      <c r="E153" s="206">
        <v>3</v>
      </c>
      <c r="F153" s="206">
        <f t="shared" si="100"/>
        <v>2.65</v>
      </c>
      <c r="G153" s="206">
        <v>3</v>
      </c>
      <c r="H153" s="206">
        <f t="shared" si="101"/>
        <v>2.6999999999999997</v>
      </c>
    </row>
    <row r="154" spans="2:8" x14ac:dyDescent="0.3">
      <c r="B154" s="206">
        <v>5</v>
      </c>
      <c r="C154" s="206">
        <v>4</v>
      </c>
      <c r="D154" s="206">
        <f t="shared" si="99"/>
        <v>2.71</v>
      </c>
      <c r="E154" s="206">
        <v>4</v>
      </c>
      <c r="F154" s="206">
        <f t="shared" si="100"/>
        <v>2.76</v>
      </c>
      <c r="G154" s="206">
        <v>4</v>
      </c>
      <c r="H154" s="206">
        <f t="shared" si="101"/>
        <v>2.8099999999999996</v>
      </c>
    </row>
    <row r="155" spans="2:8" x14ac:dyDescent="0.3">
      <c r="B155" s="206">
        <v>5</v>
      </c>
      <c r="C155" s="206">
        <v>5</v>
      </c>
      <c r="D155" s="206">
        <f t="shared" si="99"/>
        <v>2.82</v>
      </c>
      <c r="E155" s="206">
        <v>5</v>
      </c>
      <c r="F155" s="206">
        <f t="shared" si="100"/>
        <v>2.8699999999999997</v>
      </c>
      <c r="G155" s="206">
        <v>5</v>
      </c>
      <c r="H155" s="206">
        <f t="shared" si="101"/>
        <v>2.9199999999999995</v>
      </c>
    </row>
    <row r="156" spans="2:8" x14ac:dyDescent="0.3">
      <c r="B156" s="206">
        <v>5</v>
      </c>
      <c r="C156" s="206">
        <v>6</v>
      </c>
      <c r="D156" s="206">
        <f t="shared" si="99"/>
        <v>2.9299999999999997</v>
      </c>
      <c r="E156" s="206">
        <v>6</v>
      </c>
      <c r="F156" s="206">
        <f t="shared" si="100"/>
        <v>2.9799999999999995</v>
      </c>
      <c r="G156" s="206">
        <v>6</v>
      </c>
      <c r="H156" s="206">
        <f t="shared" si="101"/>
        <v>3.0299999999999994</v>
      </c>
    </row>
    <row r="157" spans="2:8" x14ac:dyDescent="0.3">
      <c r="B157" s="206">
        <v>5</v>
      </c>
      <c r="C157" s="206">
        <v>7</v>
      </c>
      <c r="D157" s="206">
        <f t="shared" si="99"/>
        <v>3.04</v>
      </c>
      <c r="E157" s="206">
        <v>7</v>
      </c>
      <c r="F157" s="206">
        <f t="shared" si="100"/>
        <v>3.0899999999999994</v>
      </c>
      <c r="G157" s="206">
        <v>7</v>
      </c>
      <c r="H157" s="206">
        <f t="shared" si="101"/>
        <v>3.1399999999999992</v>
      </c>
    </row>
    <row r="158" spans="2:8" x14ac:dyDescent="0.3">
      <c r="B158" s="206">
        <v>5</v>
      </c>
      <c r="C158" s="206">
        <v>8</v>
      </c>
      <c r="D158" s="206">
        <f t="shared" si="99"/>
        <v>3.15</v>
      </c>
      <c r="E158" s="206">
        <v>8</v>
      </c>
      <c r="F158" s="206">
        <f t="shared" si="100"/>
        <v>3.1999999999999993</v>
      </c>
      <c r="G158" s="206">
        <v>8</v>
      </c>
      <c r="H158" s="206">
        <f t="shared" si="101"/>
        <v>3.2499999999999991</v>
      </c>
    </row>
    <row r="159" spans="2:8" x14ac:dyDescent="0.3">
      <c r="B159" s="206">
        <v>5</v>
      </c>
      <c r="C159" s="206">
        <v>9</v>
      </c>
      <c r="D159" s="206">
        <f t="shared" si="99"/>
        <v>3.26</v>
      </c>
      <c r="E159" s="206">
        <v>9</v>
      </c>
      <c r="F159" s="206">
        <f t="shared" si="100"/>
        <v>3.3099999999999992</v>
      </c>
      <c r="G159" s="206">
        <v>9</v>
      </c>
      <c r="H159" s="206">
        <f t="shared" si="101"/>
        <v>3.359999999999999</v>
      </c>
    </row>
    <row r="160" spans="2:8" x14ac:dyDescent="0.3">
      <c r="B160" s="206">
        <v>5</v>
      </c>
      <c r="C160" s="206">
        <v>10</v>
      </c>
      <c r="D160" s="206">
        <f t="shared" si="99"/>
        <v>3.37</v>
      </c>
      <c r="E160" s="206">
        <v>10</v>
      </c>
      <c r="F160" s="206">
        <f t="shared" si="100"/>
        <v>3.419999999999999</v>
      </c>
      <c r="G160" s="206">
        <v>10</v>
      </c>
      <c r="H160" s="206">
        <f t="shared" si="101"/>
        <v>3.4699999999999989</v>
      </c>
    </row>
    <row r="161" spans="2:8" x14ac:dyDescent="0.3">
      <c r="B161" s="206">
        <v>5</v>
      </c>
      <c r="C161" s="206">
        <v>11</v>
      </c>
      <c r="D161" s="206">
        <f t="shared" si="99"/>
        <v>3.48</v>
      </c>
      <c r="E161" s="206">
        <v>11</v>
      </c>
      <c r="F161" s="206">
        <f t="shared" si="100"/>
        <v>3.5299999999999989</v>
      </c>
      <c r="G161" s="206">
        <v>11</v>
      </c>
      <c r="H161" s="206">
        <f t="shared" si="101"/>
        <v>3.5799999999999987</v>
      </c>
    </row>
    <row r="162" spans="2:8" x14ac:dyDescent="0.3">
      <c r="B162" s="206">
        <v>5</v>
      </c>
      <c r="C162" s="206">
        <v>12</v>
      </c>
      <c r="D162" s="206">
        <f t="shared" si="99"/>
        <v>3.59</v>
      </c>
      <c r="E162" s="206">
        <v>12</v>
      </c>
      <c r="F162" s="206">
        <f t="shared" si="100"/>
        <v>3.6399999999999988</v>
      </c>
      <c r="G162" s="206">
        <v>12</v>
      </c>
      <c r="H162" s="206">
        <f t="shared" si="101"/>
        <v>3.6899999999999986</v>
      </c>
    </row>
    <row r="163" spans="2:8" x14ac:dyDescent="0.3">
      <c r="B163" s="206">
        <v>5</v>
      </c>
      <c r="C163" s="206">
        <v>13</v>
      </c>
      <c r="D163" s="206">
        <f t="shared" si="99"/>
        <v>3.7</v>
      </c>
      <c r="E163" s="206">
        <v>13</v>
      </c>
      <c r="F163" s="206">
        <f t="shared" si="100"/>
        <v>3.7499999999999987</v>
      </c>
      <c r="G163" s="206">
        <v>13</v>
      </c>
      <c r="H163" s="206">
        <f t="shared" si="101"/>
        <v>3.7999999999999985</v>
      </c>
    </row>
    <row r="164" spans="2:8" x14ac:dyDescent="0.3">
      <c r="B164" s="206">
        <v>5</v>
      </c>
      <c r="C164" s="206"/>
      <c r="D164" s="206"/>
      <c r="E164" s="206">
        <v>14</v>
      </c>
      <c r="F164" s="206">
        <f t="shared" si="100"/>
        <v>3.8599999999999985</v>
      </c>
      <c r="G164" s="206">
        <v>14</v>
      </c>
      <c r="H164" s="206">
        <f t="shared" si="101"/>
        <v>3.9099999999999984</v>
      </c>
    </row>
    <row r="165" spans="2:8" x14ac:dyDescent="0.3">
      <c r="B165" s="206">
        <v>5</v>
      </c>
      <c r="C165" s="206"/>
      <c r="D165" s="206"/>
      <c r="E165" s="206">
        <v>15</v>
      </c>
      <c r="F165" s="206">
        <f t="shared" ref="F165:F171" si="102">F164+VLOOKUP(B165,$B$3:$T$9,MATCH($E$99,$B$3:$T$3,0))</f>
        <v>3.9799999999999986</v>
      </c>
      <c r="G165" s="206">
        <v>15</v>
      </c>
      <c r="H165" s="206">
        <f t="shared" ref="H165:H171" si="103">H164+VLOOKUP(B165,$B$3:$T$9,MATCH($G$99,$B$3:$T$3,0))</f>
        <v>4.0399999999999983</v>
      </c>
    </row>
    <row r="166" spans="2:8" x14ac:dyDescent="0.3">
      <c r="B166" s="206">
        <v>5</v>
      </c>
      <c r="C166" s="206"/>
      <c r="D166" s="206"/>
      <c r="E166" s="206">
        <v>16</v>
      </c>
      <c r="F166" s="206">
        <f t="shared" si="102"/>
        <v>4.0999999999999988</v>
      </c>
      <c r="G166" s="206">
        <v>16</v>
      </c>
      <c r="H166" s="206">
        <f t="shared" si="103"/>
        <v>4.1699999999999982</v>
      </c>
    </row>
    <row r="167" spans="2:8" x14ac:dyDescent="0.3">
      <c r="B167" s="206">
        <v>5</v>
      </c>
      <c r="C167" s="206"/>
      <c r="D167" s="206"/>
      <c r="E167" s="206">
        <v>17</v>
      </c>
      <c r="F167" s="206">
        <f t="shared" si="102"/>
        <v>4.2199999999999989</v>
      </c>
      <c r="G167" s="206">
        <v>17</v>
      </c>
      <c r="H167" s="206">
        <f t="shared" si="103"/>
        <v>4.299999999999998</v>
      </c>
    </row>
    <row r="168" spans="2:8" x14ac:dyDescent="0.3">
      <c r="B168" s="206">
        <v>5</v>
      </c>
      <c r="C168" s="206"/>
      <c r="D168" s="206"/>
      <c r="E168" s="206">
        <v>18</v>
      </c>
      <c r="F168" s="206">
        <f t="shared" si="102"/>
        <v>4.339999999999999</v>
      </c>
      <c r="G168" s="206">
        <v>18</v>
      </c>
      <c r="H168" s="206">
        <f t="shared" si="103"/>
        <v>4.4299999999999979</v>
      </c>
    </row>
    <row r="169" spans="2:8" x14ac:dyDescent="0.3">
      <c r="B169" s="206">
        <v>5</v>
      </c>
      <c r="C169" s="206"/>
      <c r="D169" s="206"/>
      <c r="E169" s="206">
        <v>19</v>
      </c>
      <c r="F169" s="206">
        <f t="shared" si="102"/>
        <v>4.4599999999999991</v>
      </c>
      <c r="G169" s="206">
        <v>19</v>
      </c>
      <c r="H169" s="206">
        <f t="shared" si="103"/>
        <v>4.5599999999999978</v>
      </c>
    </row>
    <row r="170" spans="2:8" x14ac:dyDescent="0.3">
      <c r="B170" s="206">
        <v>5</v>
      </c>
      <c r="C170" s="206"/>
      <c r="D170" s="206"/>
      <c r="E170" s="206">
        <v>20</v>
      </c>
      <c r="F170" s="206">
        <f t="shared" si="102"/>
        <v>4.5799999999999992</v>
      </c>
      <c r="G170" s="206">
        <v>20</v>
      </c>
      <c r="H170" s="206">
        <f t="shared" si="103"/>
        <v>4.6899999999999977</v>
      </c>
    </row>
    <row r="171" spans="2:8" x14ac:dyDescent="0.3">
      <c r="B171" s="206">
        <v>5</v>
      </c>
      <c r="C171" s="206"/>
      <c r="D171" s="206"/>
      <c r="E171" s="206">
        <v>21</v>
      </c>
      <c r="F171" s="206">
        <f t="shared" si="102"/>
        <v>4.6999999999999993</v>
      </c>
      <c r="G171" s="206">
        <v>21</v>
      </c>
      <c r="H171" s="206">
        <f t="shared" si="103"/>
        <v>4.8199999999999976</v>
      </c>
    </row>
  </sheetData>
  <mergeCells count="37">
    <mergeCell ref="B2:H2"/>
    <mergeCell ref="I2:K2"/>
    <mergeCell ref="L2:N2"/>
    <mergeCell ref="O2:Q2"/>
    <mergeCell ref="R2:T2"/>
    <mergeCell ref="DJ2:DQ2"/>
    <mergeCell ref="DS2:DZ2"/>
    <mergeCell ref="EB2:EI2"/>
    <mergeCell ref="EK2:ER2"/>
    <mergeCell ref="B11:K11"/>
    <mergeCell ref="P11:U11"/>
    <mergeCell ref="BS2:BY2"/>
    <mergeCell ref="CA2:CG2"/>
    <mergeCell ref="CI2:CP2"/>
    <mergeCell ref="CR2:CY2"/>
    <mergeCell ref="DA2:DH2"/>
    <mergeCell ref="AE2:AK2"/>
    <mergeCell ref="AM2:AS2"/>
    <mergeCell ref="AU2:BA2"/>
    <mergeCell ref="BC2:BI2"/>
    <mergeCell ref="BK2:BQ2"/>
    <mergeCell ref="B26:D26"/>
    <mergeCell ref="F26:H26"/>
    <mergeCell ref="J26:L26"/>
    <mergeCell ref="AE29:AK29"/>
    <mergeCell ref="AM29:AS29"/>
    <mergeCell ref="AU29:BA29"/>
    <mergeCell ref="BC29:BI29"/>
    <mergeCell ref="BK29:BQ29"/>
    <mergeCell ref="BS29:BY29"/>
    <mergeCell ref="CA29:CG29"/>
    <mergeCell ref="B89:Y89"/>
    <mergeCell ref="B34:G34"/>
    <mergeCell ref="B44:H44"/>
    <mergeCell ref="B54:Q54"/>
    <mergeCell ref="B69:X69"/>
    <mergeCell ref="B79:X79"/>
  </mergeCells>
  <phoneticPr fontId="34" type="noConversion"/>
  <pageMargins left="0.7" right="0.7"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FM245"/>
  <sheetViews>
    <sheetView workbookViewId="0">
      <selection activeCell="J15" sqref="J15"/>
    </sheetView>
  </sheetViews>
  <sheetFormatPr defaultColWidth="9" defaultRowHeight="13.5" x14ac:dyDescent="0.15"/>
  <cols>
    <col min="1" max="2" width="9" style="184"/>
    <col min="3" max="3" width="10.5" style="184" customWidth="1"/>
    <col min="4" max="16384" width="9" style="184"/>
  </cols>
  <sheetData>
    <row r="1" spans="1:169" ht="14.25" x14ac:dyDescent="0.3">
      <c r="A1" s="185"/>
      <c r="B1" s="185"/>
      <c r="C1" s="185"/>
      <c r="D1" s="185"/>
      <c r="E1" s="185"/>
      <c r="F1" s="185"/>
      <c r="G1" s="185"/>
      <c r="H1" s="185"/>
      <c r="I1" s="185"/>
      <c r="J1" s="194"/>
      <c r="K1" s="185"/>
      <c r="L1" s="185"/>
      <c r="M1" s="185"/>
      <c r="N1" s="185"/>
      <c r="O1" s="185"/>
      <c r="P1" s="185"/>
      <c r="Q1" s="185"/>
      <c r="R1" s="185"/>
      <c r="S1" s="185"/>
      <c r="T1" s="185"/>
      <c r="U1" s="185"/>
      <c r="V1" s="185"/>
      <c r="W1" s="185"/>
      <c r="X1" s="185"/>
      <c r="Y1" s="185"/>
      <c r="Z1" s="185"/>
      <c r="AA1" s="185"/>
      <c r="AB1" s="185"/>
      <c r="AC1" s="185"/>
      <c r="AD1" s="185"/>
      <c r="AE1" s="185"/>
      <c r="AF1" s="185"/>
      <c r="AG1" s="185"/>
      <c r="AH1" s="185"/>
      <c r="AI1" s="194"/>
      <c r="AJ1" s="185"/>
      <c r="AK1" s="185"/>
      <c r="AL1" s="185"/>
      <c r="AM1" s="185"/>
      <c r="AN1" s="185"/>
      <c r="AO1" s="185"/>
      <c r="AP1" s="185"/>
      <c r="AQ1" s="185"/>
      <c r="AR1" s="185"/>
      <c r="AS1" s="194"/>
      <c r="AT1" s="194"/>
      <c r="AU1" s="194"/>
      <c r="AV1" s="194"/>
      <c r="AW1" s="194"/>
      <c r="AX1" s="194"/>
      <c r="AY1" s="194"/>
      <c r="AZ1" s="194"/>
      <c r="BA1" s="194"/>
      <c r="BB1" s="194"/>
      <c r="BC1" s="194"/>
      <c r="BD1" s="194"/>
      <c r="BE1" s="194"/>
      <c r="BF1" s="194"/>
      <c r="BG1" s="194"/>
      <c r="BH1" s="194"/>
      <c r="BI1" s="194"/>
      <c r="BJ1" s="194"/>
      <c r="BK1" s="194"/>
      <c r="BL1" s="194"/>
      <c r="BM1" s="194"/>
      <c r="BN1" s="194"/>
      <c r="BO1" s="194"/>
    </row>
    <row r="2" spans="1:169" x14ac:dyDescent="0.15">
      <c r="A2" s="186"/>
      <c r="B2" s="273" t="s">
        <v>79</v>
      </c>
      <c r="C2" s="273"/>
      <c r="D2" s="273"/>
      <c r="E2" s="273"/>
      <c r="F2" s="273"/>
      <c r="G2" s="273"/>
      <c r="H2" s="273"/>
      <c r="I2" s="273"/>
      <c r="J2" s="273"/>
      <c r="K2" s="273"/>
      <c r="L2" s="273"/>
      <c r="M2" s="273"/>
      <c r="N2" s="273"/>
      <c r="O2" s="273"/>
      <c r="P2" s="273"/>
      <c r="Q2" s="273"/>
      <c r="R2" s="273"/>
      <c r="S2" s="273"/>
      <c r="T2" s="273"/>
      <c r="U2" s="273"/>
      <c r="V2" s="273"/>
      <c r="W2" s="273"/>
      <c r="X2" s="273"/>
      <c r="Y2" s="273"/>
      <c r="Z2" s="273" t="s">
        <v>81</v>
      </c>
      <c r="AA2" s="273"/>
      <c r="AB2" s="273"/>
      <c r="AC2" s="273"/>
      <c r="AD2" s="273"/>
      <c r="AE2" s="273"/>
      <c r="AF2" s="273"/>
      <c r="AG2" s="273"/>
      <c r="AH2" s="273"/>
      <c r="AI2" s="273"/>
      <c r="AJ2" s="273"/>
      <c r="AK2" s="273"/>
      <c r="AL2" s="273"/>
      <c r="AM2" s="273"/>
      <c r="AN2" s="273"/>
      <c r="AO2" s="273"/>
      <c r="AP2" s="273"/>
      <c r="AQ2" s="273"/>
      <c r="AR2" s="273"/>
      <c r="AS2" s="273"/>
      <c r="AT2" s="273"/>
      <c r="AU2" s="273"/>
      <c r="AV2" s="273"/>
      <c r="AW2" s="273"/>
      <c r="AX2" s="273" t="s">
        <v>83</v>
      </c>
      <c r="AY2" s="273"/>
      <c r="AZ2" s="273"/>
      <c r="BA2" s="273"/>
      <c r="BB2" s="273"/>
      <c r="BC2" s="273"/>
      <c r="BD2" s="273"/>
      <c r="BE2" s="273"/>
      <c r="BF2" s="273"/>
      <c r="BG2" s="273"/>
      <c r="BH2" s="273"/>
      <c r="BI2" s="273"/>
      <c r="BJ2" s="273"/>
      <c r="BK2" s="273"/>
      <c r="BL2" s="273"/>
      <c r="BM2" s="273"/>
      <c r="BN2" s="273"/>
      <c r="BO2" s="273"/>
      <c r="BP2" s="273"/>
      <c r="BQ2" s="273"/>
      <c r="BR2" s="273"/>
      <c r="BS2" s="273"/>
      <c r="BT2" s="273"/>
      <c r="BU2" s="273"/>
      <c r="BV2" s="273" t="s">
        <v>85</v>
      </c>
      <c r="BW2" s="273"/>
      <c r="BX2" s="273"/>
      <c r="BY2" s="273"/>
      <c r="BZ2" s="273"/>
      <c r="CA2" s="273"/>
      <c r="CB2" s="273"/>
      <c r="CC2" s="273"/>
      <c r="CD2" s="273"/>
      <c r="CE2" s="273"/>
      <c r="CF2" s="273"/>
      <c r="CG2" s="273"/>
      <c r="CH2" s="273"/>
      <c r="CI2" s="273"/>
      <c r="CJ2" s="273"/>
      <c r="CK2" s="273"/>
      <c r="CL2" s="273"/>
      <c r="CM2" s="273"/>
      <c r="CN2" s="273"/>
      <c r="CO2" s="273"/>
      <c r="CP2" s="273"/>
      <c r="CQ2" s="273"/>
      <c r="CR2" s="273"/>
      <c r="CS2" s="273"/>
      <c r="CT2" s="273" t="s">
        <v>875</v>
      </c>
      <c r="CU2" s="273"/>
      <c r="CV2" s="273"/>
      <c r="CW2" s="273"/>
      <c r="CX2" s="273"/>
      <c r="CY2" s="273"/>
      <c r="CZ2" s="273"/>
      <c r="DA2" s="273"/>
      <c r="DB2" s="273"/>
      <c r="DC2" s="273"/>
      <c r="DD2" s="273"/>
      <c r="DE2" s="273"/>
      <c r="DF2" s="273"/>
      <c r="DG2" s="273"/>
      <c r="DH2" s="273"/>
      <c r="DI2" s="273"/>
      <c r="DJ2" s="273"/>
      <c r="DK2" s="273"/>
      <c r="DL2" s="273"/>
      <c r="DM2" s="273"/>
      <c r="DN2" s="273"/>
      <c r="DO2" s="273"/>
      <c r="DP2" s="273"/>
      <c r="DQ2" s="273"/>
      <c r="DR2" s="273" t="s">
        <v>87</v>
      </c>
      <c r="DS2" s="273"/>
      <c r="DT2" s="273"/>
      <c r="DU2" s="273"/>
      <c r="DV2" s="273"/>
      <c r="DW2" s="273"/>
      <c r="DX2" s="273"/>
      <c r="DY2" s="273"/>
      <c r="DZ2" s="273"/>
      <c r="EA2" s="273"/>
      <c r="EB2" s="273"/>
      <c r="EC2" s="273"/>
      <c r="ED2" s="273"/>
      <c r="EE2" s="273"/>
      <c r="EF2" s="273"/>
      <c r="EG2" s="273"/>
      <c r="EH2" s="273"/>
      <c r="EI2" s="273"/>
      <c r="EJ2" s="273"/>
      <c r="EK2" s="273"/>
      <c r="EL2" s="273"/>
      <c r="EM2" s="273"/>
      <c r="EN2" s="273"/>
      <c r="EO2" s="273"/>
      <c r="EP2" s="273" t="s">
        <v>88</v>
      </c>
      <c r="EQ2" s="273"/>
      <c r="ER2" s="273"/>
      <c r="ES2" s="273"/>
      <c r="ET2" s="273"/>
      <c r="EU2" s="273"/>
      <c r="EV2" s="273"/>
      <c r="EW2" s="273"/>
      <c r="EX2" s="273"/>
      <c r="EY2" s="273"/>
      <c r="EZ2" s="273"/>
      <c r="FA2" s="273"/>
      <c r="FB2" s="273"/>
      <c r="FC2" s="273"/>
      <c r="FD2" s="273"/>
      <c r="FE2" s="273"/>
      <c r="FF2" s="273"/>
      <c r="FG2" s="273"/>
      <c r="FH2" s="273"/>
      <c r="FI2" s="273"/>
      <c r="FJ2" s="273"/>
      <c r="FK2" s="273"/>
      <c r="FL2" s="273"/>
      <c r="FM2" s="273"/>
    </row>
    <row r="3" spans="1:169" ht="14.25" x14ac:dyDescent="0.3">
      <c r="A3" s="186" t="s">
        <v>739</v>
      </c>
      <c r="B3" s="187" t="s">
        <v>768</v>
      </c>
      <c r="C3" s="188" t="s">
        <v>128</v>
      </c>
      <c r="D3" s="188" t="s">
        <v>143</v>
      </c>
      <c r="E3" s="188" t="s">
        <v>144</v>
      </c>
      <c r="F3" s="188" t="s">
        <v>776</v>
      </c>
      <c r="G3" s="188" t="s">
        <v>77</v>
      </c>
      <c r="H3" s="188" t="s">
        <v>130</v>
      </c>
      <c r="I3" s="195" t="s">
        <v>777</v>
      </c>
      <c r="J3" s="196" t="s">
        <v>769</v>
      </c>
      <c r="K3" s="197" t="s">
        <v>128</v>
      </c>
      <c r="L3" s="197" t="s">
        <v>143</v>
      </c>
      <c r="M3" s="197" t="s">
        <v>144</v>
      </c>
      <c r="N3" s="197" t="s">
        <v>776</v>
      </c>
      <c r="O3" s="197" t="s">
        <v>77</v>
      </c>
      <c r="P3" s="197" t="s">
        <v>130</v>
      </c>
      <c r="Q3" s="201" t="s">
        <v>777</v>
      </c>
      <c r="R3" s="196" t="s">
        <v>770</v>
      </c>
      <c r="S3" s="197" t="s">
        <v>128</v>
      </c>
      <c r="T3" s="197" t="s">
        <v>143</v>
      </c>
      <c r="U3" s="197" t="s">
        <v>144</v>
      </c>
      <c r="V3" s="197" t="s">
        <v>776</v>
      </c>
      <c r="W3" s="197" t="s">
        <v>77</v>
      </c>
      <c r="X3" s="197" t="s">
        <v>130</v>
      </c>
      <c r="Y3" s="201" t="s">
        <v>777</v>
      </c>
      <c r="Z3" s="187" t="s">
        <v>768</v>
      </c>
      <c r="AA3" s="188" t="s">
        <v>128</v>
      </c>
      <c r="AB3" s="188" t="s">
        <v>143</v>
      </c>
      <c r="AC3" s="188" t="s">
        <v>144</v>
      </c>
      <c r="AD3" s="188" t="s">
        <v>776</v>
      </c>
      <c r="AE3" s="188" t="s">
        <v>77</v>
      </c>
      <c r="AF3" s="188" t="s">
        <v>130</v>
      </c>
      <c r="AG3" s="195" t="s">
        <v>777</v>
      </c>
      <c r="AH3" s="196" t="s">
        <v>769</v>
      </c>
      <c r="AI3" s="197" t="s">
        <v>128</v>
      </c>
      <c r="AJ3" s="197" t="s">
        <v>143</v>
      </c>
      <c r="AK3" s="197" t="s">
        <v>144</v>
      </c>
      <c r="AL3" s="197" t="s">
        <v>776</v>
      </c>
      <c r="AM3" s="197" t="s">
        <v>77</v>
      </c>
      <c r="AN3" s="197" t="s">
        <v>130</v>
      </c>
      <c r="AO3" s="201" t="s">
        <v>777</v>
      </c>
      <c r="AP3" s="196" t="s">
        <v>770</v>
      </c>
      <c r="AQ3" s="197" t="s">
        <v>128</v>
      </c>
      <c r="AR3" s="197" t="s">
        <v>143</v>
      </c>
      <c r="AS3" s="197" t="s">
        <v>144</v>
      </c>
      <c r="AT3" s="197" t="s">
        <v>776</v>
      </c>
      <c r="AU3" s="197" t="s">
        <v>77</v>
      </c>
      <c r="AV3" s="197" t="s">
        <v>130</v>
      </c>
      <c r="AW3" s="201" t="s">
        <v>777</v>
      </c>
      <c r="AX3" s="187" t="s">
        <v>768</v>
      </c>
      <c r="AY3" s="188" t="s">
        <v>128</v>
      </c>
      <c r="AZ3" s="188" t="s">
        <v>143</v>
      </c>
      <c r="BA3" s="188" t="s">
        <v>144</v>
      </c>
      <c r="BB3" s="188" t="s">
        <v>776</v>
      </c>
      <c r="BC3" s="188" t="s">
        <v>77</v>
      </c>
      <c r="BD3" s="188" t="s">
        <v>130</v>
      </c>
      <c r="BE3" s="195" t="s">
        <v>777</v>
      </c>
      <c r="BF3" s="196" t="s">
        <v>769</v>
      </c>
      <c r="BG3" s="197" t="s">
        <v>128</v>
      </c>
      <c r="BH3" s="197" t="s">
        <v>143</v>
      </c>
      <c r="BI3" s="197" t="s">
        <v>144</v>
      </c>
      <c r="BJ3" s="197" t="s">
        <v>776</v>
      </c>
      <c r="BK3" s="197" t="s">
        <v>77</v>
      </c>
      <c r="BL3" s="197" t="s">
        <v>130</v>
      </c>
      <c r="BM3" s="201" t="s">
        <v>777</v>
      </c>
      <c r="BN3" s="196" t="s">
        <v>770</v>
      </c>
      <c r="BO3" s="197" t="s">
        <v>128</v>
      </c>
      <c r="BP3" s="197" t="s">
        <v>143</v>
      </c>
      <c r="BQ3" s="197" t="s">
        <v>144</v>
      </c>
      <c r="BR3" s="197" t="s">
        <v>776</v>
      </c>
      <c r="BS3" s="197" t="s">
        <v>77</v>
      </c>
      <c r="BT3" s="197" t="s">
        <v>130</v>
      </c>
      <c r="BU3" s="201" t="s">
        <v>777</v>
      </c>
      <c r="BV3" s="187" t="s">
        <v>768</v>
      </c>
      <c r="BW3" s="188" t="s">
        <v>128</v>
      </c>
      <c r="BX3" s="188" t="s">
        <v>143</v>
      </c>
      <c r="BY3" s="188" t="s">
        <v>144</v>
      </c>
      <c r="BZ3" s="188" t="s">
        <v>776</v>
      </c>
      <c r="CA3" s="188" t="s">
        <v>77</v>
      </c>
      <c r="CB3" s="188" t="s">
        <v>130</v>
      </c>
      <c r="CC3" s="195" t="s">
        <v>777</v>
      </c>
      <c r="CD3" s="196" t="s">
        <v>769</v>
      </c>
      <c r="CE3" s="197" t="s">
        <v>128</v>
      </c>
      <c r="CF3" s="197" t="s">
        <v>143</v>
      </c>
      <c r="CG3" s="197" t="s">
        <v>144</v>
      </c>
      <c r="CH3" s="197" t="s">
        <v>776</v>
      </c>
      <c r="CI3" s="197" t="s">
        <v>77</v>
      </c>
      <c r="CJ3" s="197" t="s">
        <v>130</v>
      </c>
      <c r="CK3" s="201" t="s">
        <v>777</v>
      </c>
      <c r="CL3" s="196" t="s">
        <v>770</v>
      </c>
      <c r="CM3" s="197" t="s">
        <v>128</v>
      </c>
      <c r="CN3" s="197" t="s">
        <v>143</v>
      </c>
      <c r="CO3" s="197" t="s">
        <v>144</v>
      </c>
      <c r="CP3" s="197" t="s">
        <v>776</v>
      </c>
      <c r="CQ3" s="197" t="s">
        <v>77</v>
      </c>
      <c r="CR3" s="197" t="s">
        <v>130</v>
      </c>
      <c r="CS3" s="201" t="s">
        <v>777</v>
      </c>
      <c r="CT3" s="187" t="s">
        <v>768</v>
      </c>
      <c r="CU3" s="188" t="s">
        <v>128</v>
      </c>
      <c r="CV3" s="188" t="s">
        <v>143</v>
      </c>
      <c r="CW3" s="188" t="s">
        <v>144</v>
      </c>
      <c r="CX3" s="188" t="s">
        <v>776</v>
      </c>
      <c r="CY3" s="188" t="s">
        <v>77</v>
      </c>
      <c r="CZ3" s="188" t="s">
        <v>130</v>
      </c>
      <c r="DA3" s="195" t="s">
        <v>777</v>
      </c>
      <c r="DB3" s="196" t="s">
        <v>769</v>
      </c>
      <c r="DC3" s="197" t="s">
        <v>128</v>
      </c>
      <c r="DD3" s="197" t="s">
        <v>143</v>
      </c>
      <c r="DE3" s="197" t="s">
        <v>144</v>
      </c>
      <c r="DF3" s="197" t="s">
        <v>776</v>
      </c>
      <c r="DG3" s="197" t="s">
        <v>77</v>
      </c>
      <c r="DH3" s="197" t="s">
        <v>130</v>
      </c>
      <c r="DI3" s="201" t="s">
        <v>777</v>
      </c>
      <c r="DJ3" s="196" t="s">
        <v>770</v>
      </c>
      <c r="DK3" s="197" t="s">
        <v>128</v>
      </c>
      <c r="DL3" s="197" t="s">
        <v>143</v>
      </c>
      <c r="DM3" s="197" t="s">
        <v>144</v>
      </c>
      <c r="DN3" s="197" t="s">
        <v>776</v>
      </c>
      <c r="DO3" s="197" t="s">
        <v>77</v>
      </c>
      <c r="DP3" s="197" t="s">
        <v>130</v>
      </c>
      <c r="DQ3" s="201" t="s">
        <v>777</v>
      </c>
      <c r="DR3" s="187" t="s">
        <v>768</v>
      </c>
      <c r="DS3" s="188" t="s">
        <v>128</v>
      </c>
      <c r="DT3" s="188" t="s">
        <v>143</v>
      </c>
      <c r="DU3" s="188" t="s">
        <v>144</v>
      </c>
      <c r="DV3" s="188" t="s">
        <v>776</v>
      </c>
      <c r="DW3" s="188" t="s">
        <v>77</v>
      </c>
      <c r="DX3" s="188" t="s">
        <v>130</v>
      </c>
      <c r="DY3" s="195" t="s">
        <v>777</v>
      </c>
      <c r="DZ3" s="196" t="s">
        <v>769</v>
      </c>
      <c r="EA3" s="197" t="s">
        <v>128</v>
      </c>
      <c r="EB3" s="197" t="s">
        <v>143</v>
      </c>
      <c r="EC3" s="197" t="s">
        <v>144</v>
      </c>
      <c r="ED3" s="197" t="s">
        <v>776</v>
      </c>
      <c r="EE3" s="197" t="s">
        <v>77</v>
      </c>
      <c r="EF3" s="197" t="s">
        <v>130</v>
      </c>
      <c r="EG3" s="201" t="s">
        <v>777</v>
      </c>
      <c r="EH3" s="196" t="s">
        <v>770</v>
      </c>
      <c r="EI3" s="197" t="s">
        <v>128</v>
      </c>
      <c r="EJ3" s="197" t="s">
        <v>143</v>
      </c>
      <c r="EK3" s="197" t="s">
        <v>144</v>
      </c>
      <c r="EL3" s="197" t="s">
        <v>776</v>
      </c>
      <c r="EM3" s="197" t="s">
        <v>77</v>
      </c>
      <c r="EN3" s="197" t="s">
        <v>130</v>
      </c>
      <c r="EO3" s="201" t="s">
        <v>777</v>
      </c>
      <c r="EP3" s="187" t="s">
        <v>768</v>
      </c>
      <c r="EQ3" s="188" t="s">
        <v>128</v>
      </c>
      <c r="ER3" s="188" t="s">
        <v>143</v>
      </c>
      <c r="ES3" s="188" t="s">
        <v>144</v>
      </c>
      <c r="ET3" s="188" t="s">
        <v>776</v>
      </c>
      <c r="EU3" s="188" t="s">
        <v>77</v>
      </c>
      <c r="EV3" s="188" t="s">
        <v>130</v>
      </c>
      <c r="EW3" s="195" t="s">
        <v>777</v>
      </c>
      <c r="EX3" s="196" t="s">
        <v>769</v>
      </c>
      <c r="EY3" s="197" t="s">
        <v>128</v>
      </c>
      <c r="EZ3" s="197" t="s">
        <v>143</v>
      </c>
      <c r="FA3" s="197" t="s">
        <v>144</v>
      </c>
      <c r="FB3" s="197" t="s">
        <v>776</v>
      </c>
      <c r="FC3" s="197" t="s">
        <v>77</v>
      </c>
      <c r="FD3" s="197" t="s">
        <v>130</v>
      </c>
      <c r="FE3" s="201" t="s">
        <v>777</v>
      </c>
      <c r="FF3" s="196" t="s">
        <v>770</v>
      </c>
      <c r="FG3" s="197" t="s">
        <v>128</v>
      </c>
      <c r="FH3" s="197" t="s">
        <v>143</v>
      </c>
      <c r="FI3" s="197" t="s">
        <v>144</v>
      </c>
      <c r="FJ3" s="197" t="s">
        <v>776</v>
      </c>
      <c r="FK3" s="197" t="s">
        <v>77</v>
      </c>
      <c r="FL3" s="197" t="s">
        <v>130</v>
      </c>
      <c r="FM3" s="201" t="s">
        <v>777</v>
      </c>
    </row>
    <row r="4" spans="1:169" ht="14.25" x14ac:dyDescent="0.3">
      <c r="A4" s="189">
        <v>1</v>
      </c>
      <c r="B4" s="190">
        <v>1</v>
      </c>
      <c r="C4" s="191">
        <f>ROUND(坦克等级成长!$D100*VLOOKUP($B$2,坦克等级成长!$B$36:$G$42,MATCH(C$3,坦克等级成长!$B$35:$G$35,0)),0)</f>
        <v>800</v>
      </c>
      <c r="D4" s="191">
        <f>ROUND(坦克等级成长!$D100*VLOOKUP($B$2,坦克等级成长!$B$36:$G$42,MATCH(D$3,坦克等级成长!$B$35:$G$35,0)),0)</f>
        <v>80</v>
      </c>
      <c r="E4" s="191">
        <f>ROUND(坦克等级成长!$D100*VLOOKUP($B$2,坦克等级成长!$B$36:$G$42,MATCH(E$3,坦克等级成长!$B$35:$G$35,0)),0)</f>
        <v>300</v>
      </c>
      <c r="F4" s="191">
        <f>E4</f>
        <v>300</v>
      </c>
      <c r="G4" s="191">
        <v>210</v>
      </c>
      <c r="H4" s="191">
        <f>ROUND(坦克等级成长!$D100*VLOOKUP($B$2,坦克等级成长!$B$36:$G$42,MATCH(H$3,坦克等级成长!$B$35:$G$35,0)),0)</f>
        <v>300</v>
      </c>
      <c r="I4" s="191">
        <f>ROUND(坦克等级成长!$D100*VLOOKUP($B$2,坦克等级成长!$B$36:$G$42,MATCH(I$3,坦克等级成长!$B$35:$G$35,0)),0)</f>
        <v>80</v>
      </c>
      <c r="J4" s="198"/>
      <c r="K4" s="198"/>
      <c r="L4" s="198"/>
      <c r="M4" s="198"/>
      <c r="N4" s="198"/>
      <c r="O4" s="198"/>
      <c r="P4" s="198"/>
      <c r="Q4" s="202"/>
      <c r="R4" s="203"/>
      <c r="S4" s="198"/>
      <c r="T4" s="198"/>
      <c r="U4" s="198"/>
      <c r="V4" s="198"/>
      <c r="W4" s="198"/>
      <c r="X4" s="198"/>
      <c r="Y4" s="202"/>
      <c r="Z4" s="190">
        <v>1</v>
      </c>
      <c r="AA4" s="191">
        <f>ROUND(坦克等级成长!$D100*VLOOKUP($Z$2,坦克等级成长!$B$36:$G$42,MATCH(AA$3,坦克等级成长!$B$35:$G$35,0)),0)</f>
        <v>800</v>
      </c>
      <c r="AB4" s="191">
        <f>ROUND(坦克等级成长!$D100*VLOOKUP($Z$2,坦克等级成长!$B$36:$G$42,MATCH(AB$3,坦克等级成长!$B$35:$G$35,0)),0)</f>
        <v>42</v>
      </c>
      <c r="AC4" s="191">
        <f>ROUND(坦克等级成长!$D100*VLOOKUP($Z$2,坦克等级成长!$B$36:$G$42,MATCH(AC$3,坦克等级成长!$B$35:$G$35,0)),0)</f>
        <v>329</v>
      </c>
      <c r="AD4" s="191">
        <f>AC4</f>
        <v>329</v>
      </c>
      <c r="AE4" s="191">
        <v>230.3</v>
      </c>
      <c r="AF4" s="191">
        <f>ROUND(坦克等级成长!$D100*VLOOKUP($Z$2,坦克等级成长!$B$36:$G$42,MATCH(AF$3,坦克等级成长!$B$35:$G$35,0)),0)</f>
        <v>300</v>
      </c>
      <c r="AG4" s="191">
        <f>ROUND(坦克等级成长!$D100*VLOOKUP($Z$2,坦克等级成长!$B$36:$G$42,MATCH(AG$3,坦克等级成长!$B$35:$G$35,0)),0)</f>
        <v>80</v>
      </c>
      <c r="AH4" s="198"/>
      <c r="AI4" s="198"/>
      <c r="AJ4" s="198"/>
      <c r="AK4" s="198"/>
      <c r="AL4" s="198"/>
      <c r="AM4" s="198"/>
      <c r="AN4" s="198"/>
      <c r="AO4" s="202"/>
      <c r="AP4" s="203"/>
      <c r="AQ4" s="198"/>
      <c r="AR4" s="198"/>
      <c r="AS4" s="198"/>
      <c r="AT4" s="198"/>
      <c r="AU4" s="198"/>
      <c r="AV4" s="198"/>
      <c r="AW4" s="202"/>
      <c r="AX4" s="190">
        <v>1</v>
      </c>
      <c r="AY4" s="191">
        <f>ROUND(坦克等级成长!$D100*VLOOKUP($AX$2,坦克等级成长!$B$36:$G$42,MATCH(AY$3,坦克等级成长!$B$35:$G$35,0)),0)</f>
        <v>800</v>
      </c>
      <c r="AZ4" s="191">
        <f>ROUND(坦克等级成长!$D100*VLOOKUP($AX$2,坦克等级成长!$B$36:$G$42,MATCH(AZ$3,坦克等级成长!$B$35:$G$35,0)),0)</f>
        <v>80</v>
      </c>
      <c r="BA4" s="191">
        <f>ROUND(坦克等级成长!$D100*VLOOKUP($AX$2,坦克等级成长!$B$36:$G$42,MATCH(BA$3,坦克等级成长!$B$35:$G$35,0)),0)</f>
        <v>300</v>
      </c>
      <c r="BB4" s="191">
        <f>BA4</f>
        <v>300</v>
      </c>
      <c r="BC4" s="191">
        <v>210</v>
      </c>
      <c r="BD4" s="191">
        <f>ROUND(坦克等级成长!$D100*VLOOKUP($AX$2,坦克等级成长!$B$36:$G$42,MATCH(BD$3,坦克等级成长!$B$35:$G$35,0)),0)</f>
        <v>300</v>
      </c>
      <c r="BE4" s="191">
        <f>ROUND(坦克等级成长!$D100*VLOOKUP($AX$2,坦克等级成长!$B$36:$G$42,MATCH(BE$3,坦克等级成长!$B$35:$G$35,0)),0)</f>
        <v>80</v>
      </c>
      <c r="BF4" s="198"/>
      <c r="BG4" s="198"/>
      <c r="BH4" s="198"/>
      <c r="BI4" s="198"/>
      <c r="BJ4" s="198"/>
      <c r="BK4" s="198"/>
      <c r="BL4" s="198"/>
      <c r="BM4" s="202"/>
      <c r="BN4" s="203"/>
      <c r="BO4" s="198"/>
      <c r="BP4" s="198"/>
      <c r="BQ4" s="198"/>
      <c r="BR4" s="198"/>
      <c r="BS4" s="198"/>
      <c r="BT4" s="198"/>
      <c r="BU4" s="202"/>
      <c r="BV4" s="190">
        <v>1</v>
      </c>
      <c r="BW4" s="191">
        <f>ROUND(坦克等级成长!$D100*VLOOKUP($BV$2,坦克等级成长!$B$36:$G$42,MATCH(BW$3,坦克等级成长!$B$35:$G$35,0)),0)</f>
        <v>863</v>
      </c>
      <c r="BX4" s="191">
        <f>ROUND(坦克等级成长!$D100*VLOOKUP($BV$2,坦克等级成长!$B$36:$G$42,MATCH(BX$3,坦克等级成长!$B$35:$G$35,0)),0)</f>
        <v>74</v>
      </c>
      <c r="BY4" s="191">
        <f>ROUND(坦克等级成长!$D100*VLOOKUP($BV$2,坦克等级成长!$B$36:$G$42,MATCH(BY$3,坦克等级成长!$B$35:$G$35,0)),0)</f>
        <v>286</v>
      </c>
      <c r="BZ4" s="191">
        <f>BY4</f>
        <v>286</v>
      </c>
      <c r="CA4" s="191">
        <v>214.5</v>
      </c>
      <c r="CB4" s="191">
        <f>ROUND(坦克等级成长!$D100*VLOOKUP($BV$2,坦克等级成长!$B$36:$G$42,MATCH(CB$3,坦克等级成长!$B$35:$G$35,0)),0)</f>
        <v>360</v>
      </c>
      <c r="CC4" s="191">
        <f>ROUND(坦克等级成长!$D100*VLOOKUP($BV$2,坦克等级成长!$B$36:$G$42,MATCH(CC$3,坦克等级成长!$B$35:$G$35,0)),0)</f>
        <v>86</v>
      </c>
      <c r="CD4" s="198"/>
      <c r="CE4" s="198"/>
      <c r="CF4" s="198"/>
      <c r="CG4" s="198"/>
      <c r="CH4" s="198"/>
      <c r="CI4" s="198"/>
      <c r="CJ4" s="198"/>
      <c r="CK4" s="202"/>
      <c r="CL4" s="203"/>
      <c r="CM4" s="198"/>
      <c r="CN4" s="198"/>
      <c r="CO4" s="198"/>
      <c r="CP4" s="198"/>
      <c r="CQ4" s="198"/>
      <c r="CR4" s="198"/>
      <c r="CS4" s="202"/>
      <c r="CT4" s="190">
        <v>1</v>
      </c>
      <c r="CU4" s="191">
        <f>ROUND(坦克等级成长!$D100*VLOOKUP($CT$2,坦克等级成长!$B$36:$G$42,MATCH(CU$3,坦克等级成长!$B$35:$G$35,0)),0)</f>
        <v>800</v>
      </c>
      <c r="CV4" s="191">
        <f>ROUND(坦克等级成长!$D100*VLOOKUP($CT$2,坦克等级成长!$B$36:$G$42,MATCH(CV$3,坦克等级成长!$B$35:$G$35,0)),0)</f>
        <v>161</v>
      </c>
      <c r="CW4" s="191">
        <f>ROUND(坦克等级成长!$D100*VLOOKUP($CT$2,坦克等级成长!$B$36:$G$42,MATCH(CW$3,坦克等级成长!$B$35:$G$35,0)),0)</f>
        <v>357</v>
      </c>
      <c r="CX4" s="191">
        <f>CW4</f>
        <v>357</v>
      </c>
      <c r="CY4" s="191">
        <v>267.75</v>
      </c>
      <c r="CZ4" s="191">
        <f>ROUND(坦克等级成长!$D100*VLOOKUP($CT$2,坦克等级成长!$B$36:$G$42,MATCH(CZ$3,坦克等级成长!$B$35:$G$35,0)),0)</f>
        <v>300</v>
      </c>
      <c r="DA4" s="191">
        <f>ROUND(坦克等级成长!$D100*VLOOKUP($CT$2,坦克等级成长!$B$36:$G$42,MATCH(DA$3,坦克等级成长!$B$35:$G$35,0)),0)</f>
        <v>80</v>
      </c>
      <c r="DB4" s="198"/>
      <c r="DC4" s="198"/>
      <c r="DD4" s="198"/>
      <c r="DE4" s="198"/>
      <c r="DF4" s="198"/>
      <c r="DG4" s="198"/>
      <c r="DH4" s="198"/>
      <c r="DI4" s="202"/>
      <c r="DJ4" s="203"/>
      <c r="DK4" s="198"/>
      <c r="DL4" s="198"/>
      <c r="DM4" s="198"/>
      <c r="DN4" s="198"/>
      <c r="DO4" s="198"/>
      <c r="DP4" s="198"/>
      <c r="DQ4" s="202"/>
      <c r="DR4" s="190">
        <v>1</v>
      </c>
      <c r="DS4" s="191">
        <f>ROUND(坦克等级成长!$D100*VLOOKUP($DR$2,坦克等级成长!$B$36:$G$42,MATCH(DS$3,坦克等级成长!$B$35:$G$35,0)),0)</f>
        <v>979</v>
      </c>
      <c r="DT4" s="191">
        <f>ROUND(坦克等级成长!$D100*VLOOKUP($DR$2,坦克等级成长!$B$36:$G$42,MATCH(DT$3,坦克等级成长!$B$35:$G$35,0)),0)</f>
        <v>268</v>
      </c>
      <c r="DU4" s="191">
        <f>ROUND(坦克等级成长!$D100*VLOOKUP($DR$2,坦克等级成长!$B$36:$G$42,MATCH(DU$3,坦克等级成长!$B$35:$G$35,0)),0)</f>
        <v>286</v>
      </c>
      <c r="DV4" s="191">
        <f>DU4</f>
        <v>286</v>
      </c>
      <c r="DW4" s="191">
        <v>228.8</v>
      </c>
      <c r="DX4" s="191">
        <f>ROUND(坦克等级成长!$D100*VLOOKUP($DR$2,坦克等级成长!$B$36:$G$42,MATCH(DX$3,坦克等级成长!$B$35:$G$35,0)),0)</f>
        <v>420</v>
      </c>
      <c r="DY4" s="191">
        <f>ROUND(坦克等级成长!$D100*VLOOKUP($DR$2,坦克等级成长!$B$36:$G$42,MATCH(DY$3,坦克等级成长!$B$35:$G$35,0)),0)</f>
        <v>98</v>
      </c>
      <c r="DZ4" s="198"/>
      <c r="EA4" s="198"/>
      <c r="EB4" s="198"/>
      <c r="EC4" s="198"/>
      <c r="ED4" s="198"/>
      <c r="EE4" s="198"/>
      <c r="EF4" s="198"/>
      <c r="EG4" s="202"/>
      <c r="EH4" s="203"/>
      <c r="EI4" s="198"/>
      <c r="EJ4" s="198"/>
      <c r="EK4" s="198"/>
      <c r="EL4" s="198"/>
      <c r="EM4" s="198"/>
      <c r="EN4" s="198"/>
      <c r="EO4" s="202"/>
      <c r="EP4" s="190">
        <v>1</v>
      </c>
      <c r="EQ4" s="191">
        <f>ROUND(坦克等级成长!$D100*VLOOKUP($EP$2,坦克等级成长!$B$36:$G$42,MATCH(EQ$3,坦克等级成长!$B$35:$G$35,0)),0)</f>
        <v>863</v>
      </c>
      <c r="ER4" s="191">
        <f>ROUND(坦克等级成长!$D100*VLOOKUP($EP$2,坦克等级成长!$B$36:$G$42,MATCH(ER$3,坦克等级成长!$B$35:$G$35,0)),0)</f>
        <v>89</v>
      </c>
      <c r="ES4" s="191">
        <f>ROUND(坦克等级成长!$D100*VLOOKUP($EP$2,坦克等级成长!$B$36:$G$42,MATCH(ES$3,坦克等级成长!$B$35:$G$35,0)),0)</f>
        <v>329</v>
      </c>
      <c r="ET4" s="191">
        <f>ES4</f>
        <v>329</v>
      </c>
      <c r="EU4" s="191">
        <v>246.75</v>
      </c>
      <c r="EV4" s="191">
        <f>ROUND(坦克等级成长!$D100*VLOOKUP($EP$2,坦克等级成长!$B$36:$G$42,MATCH(EV$3,坦克等级成长!$B$35:$G$35,0)),0)</f>
        <v>360</v>
      </c>
      <c r="EW4" s="191">
        <f>ROUND(坦克等级成长!$D100*VLOOKUP($EP$2,坦克等级成长!$B$36:$G$42,MATCH(EW$3,坦克等级成长!$B$35:$G$35,0)),0)</f>
        <v>86</v>
      </c>
      <c r="EX4" s="198"/>
      <c r="EY4" s="198"/>
      <c r="EZ4" s="198"/>
      <c r="FA4" s="198"/>
      <c r="FB4" s="198"/>
      <c r="FC4" s="198"/>
      <c r="FD4" s="198"/>
      <c r="FE4" s="202"/>
      <c r="FF4" s="203"/>
      <c r="FG4" s="198"/>
      <c r="FH4" s="198"/>
      <c r="FI4" s="198"/>
      <c r="FJ4" s="198"/>
      <c r="FK4" s="198"/>
      <c r="FL4" s="198"/>
      <c r="FM4" s="202"/>
    </row>
    <row r="5" spans="1:169" ht="14.25" x14ac:dyDescent="0.3">
      <c r="A5" s="189">
        <v>1</v>
      </c>
      <c r="B5" s="192">
        <v>2</v>
      </c>
      <c r="C5" s="33">
        <f>ROUND(坦克等级成长!$D101*VLOOKUP($B$2,坦克等级成长!$B$36:$G$42,MATCH(C$3,坦克等级成长!$B$35:$G$35,0)),0)</f>
        <v>848</v>
      </c>
      <c r="D5" s="33">
        <f>ROUND(坦克等级成长!$D101*VLOOKUP($B$2,坦克等级成长!$B$36:$G$42,MATCH(D$3,坦克等级成长!$B$35:$G$35,0)),0)</f>
        <v>85</v>
      </c>
      <c r="E5" s="33">
        <f>ROUND(坦克等级成长!$D101*VLOOKUP($B$2,坦克等级成长!$B$36:$G$42,MATCH(E$3,坦克等级成长!$B$35:$G$35,0)),0)</f>
        <v>318</v>
      </c>
      <c r="F5" s="33">
        <f t="shared" ref="F5:F15" si="0">E5</f>
        <v>318</v>
      </c>
      <c r="G5" s="33">
        <v>226.8</v>
      </c>
      <c r="H5" s="33">
        <f>ROUND(坦克等级成长!$D101*VLOOKUP($B$2,坦克等级成长!$B$36:$G$42,MATCH(H$3,坦克等级成长!$B$35:$G$35,0)),0)</f>
        <v>318</v>
      </c>
      <c r="I5" s="33">
        <f>ROUND(坦克等级成长!$D101*VLOOKUP($B$2,坦克等级成长!$B$36:$G$42,MATCH(I$3,坦克等级成长!$B$35:$G$35,0)),0)</f>
        <v>85</v>
      </c>
      <c r="J5" s="189"/>
      <c r="K5" s="189"/>
      <c r="L5" s="189"/>
      <c r="M5" s="189"/>
      <c r="N5" s="189"/>
      <c r="O5" s="189"/>
      <c r="P5" s="189"/>
      <c r="Q5" s="200"/>
      <c r="R5" s="193"/>
      <c r="S5" s="189"/>
      <c r="T5" s="189"/>
      <c r="U5" s="189"/>
      <c r="V5" s="189"/>
      <c r="W5" s="189"/>
      <c r="X5" s="189"/>
      <c r="Y5" s="200"/>
      <c r="Z5" s="192">
        <v>2</v>
      </c>
      <c r="AA5" s="33">
        <f>ROUND(坦克等级成长!$D101*VLOOKUP($Z$2,坦克等级成长!$B$36:$G$42,MATCH(AA$3,坦克等级成长!$B$35:$G$35,0)),0)</f>
        <v>848</v>
      </c>
      <c r="AB5" s="33">
        <f>ROUND(坦克等级成长!$D101*VLOOKUP($Z$2,坦克等级成长!$B$36:$G$42,MATCH(AB$3,坦克等级成长!$B$35:$G$35,0)),0)</f>
        <v>45</v>
      </c>
      <c r="AC5" s="33">
        <f>ROUND(坦克等级成长!$D101*VLOOKUP($Z$2,坦克等级成长!$B$36:$G$42,MATCH(AC$3,坦克等级成长!$B$35:$G$35,0)),0)</f>
        <v>348</v>
      </c>
      <c r="AD5" s="33">
        <f t="shared" ref="AD5:AD15" si="1">AC5</f>
        <v>348</v>
      </c>
      <c r="AE5" s="33">
        <v>248.5</v>
      </c>
      <c r="AF5" s="33">
        <f>ROUND(坦克等级成长!$D101*VLOOKUP($Z$2,坦克等级成长!$B$36:$G$42,MATCH(AF$3,坦克等级成长!$B$35:$G$35,0)),0)</f>
        <v>318</v>
      </c>
      <c r="AG5" s="33">
        <f>ROUND(坦克等级成长!$D101*VLOOKUP($Z$2,坦克等级成长!$B$36:$G$42,MATCH(AG$3,坦克等级成长!$B$35:$G$35,0)),0)</f>
        <v>85</v>
      </c>
      <c r="AH5" s="189"/>
      <c r="AI5" s="189"/>
      <c r="AJ5" s="189"/>
      <c r="AK5" s="189"/>
      <c r="AL5" s="189"/>
      <c r="AM5" s="189"/>
      <c r="AN5" s="189"/>
      <c r="AO5" s="200"/>
      <c r="AP5" s="193"/>
      <c r="AQ5" s="189"/>
      <c r="AR5" s="189"/>
      <c r="AS5" s="189"/>
      <c r="AT5" s="189"/>
      <c r="AU5" s="189"/>
      <c r="AV5" s="189"/>
      <c r="AW5" s="200"/>
      <c r="AX5" s="192">
        <v>2</v>
      </c>
      <c r="AY5" s="33">
        <f>ROUND(坦克等级成长!$D101*VLOOKUP($AX$2,坦克等级成长!$B$36:$G$42,MATCH(AY$3,坦克等级成长!$B$35:$G$35,0)),0)</f>
        <v>848</v>
      </c>
      <c r="AZ5" s="33">
        <f>ROUND(坦克等级成长!$D101*VLOOKUP($AX$2,坦克等级成长!$B$36:$G$42,MATCH(AZ$3,坦克等级成长!$B$35:$G$35,0)),0)</f>
        <v>85</v>
      </c>
      <c r="BA5" s="33">
        <f>ROUND(坦克等级成长!$D101*VLOOKUP($AX$2,坦克等级成长!$B$36:$G$42,MATCH(BA$3,坦克等级成长!$B$35:$G$35,0)),0)</f>
        <v>318</v>
      </c>
      <c r="BB5" s="33">
        <f t="shared" ref="BB5:BB15" si="2">BA5</f>
        <v>318</v>
      </c>
      <c r="BC5" s="33">
        <v>226.8</v>
      </c>
      <c r="BD5" s="33">
        <f>ROUND(坦克等级成长!$D101*VLOOKUP($AX$2,坦克等级成长!$B$36:$G$42,MATCH(BD$3,坦克等级成长!$B$35:$G$35,0)),0)</f>
        <v>318</v>
      </c>
      <c r="BE5" s="33">
        <f>ROUND(坦克等级成长!$D101*VLOOKUP($AX$2,坦克等级成长!$B$36:$G$42,MATCH(BE$3,坦克等级成长!$B$35:$G$35,0)),0)</f>
        <v>85</v>
      </c>
      <c r="BF5" s="189"/>
      <c r="BG5" s="189"/>
      <c r="BH5" s="189"/>
      <c r="BI5" s="189"/>
      <c r="BJ5" s="189"/>
      <c r="BK5" s="189"/>
      <c r="BL5" s="189"/>
      <c r="BM5" s="200"/>
      <c r="BN5" s="193"/>
      <c r="BO5" s="189"/>
      <c r="BP5" s="189"/>
      <c r="BQ5" s="189"/>
      <c r="BR5" s="189"/>
      <c r="BS5" s="189"/>
      <c r="BT5" s="189"/>
      <c r="BU5" s="200"/>
      <c r="BV5" s="192">
        <v>2</v>
      </c>
      <c r="BW5" s="33">
        <f>ROUND(坦克等级成长!$D101*VLOOKUP($BV$2,坦克等级成长!$B$36:$G$42,MATCH(BW$3,坦克等级成长!$B$35:$G$35,0)),0)</f>
        <v>915</v>
      </c>
      <c r="BX5" s="33">
        <f>ROUND(坦克等级成长!$D101*VLOOKUP($BV$2,坦克等级成长!$B$36:$G$42,MATCH(BX$3,坦克等级成长!$B$35:$G$35,0)),0)</f>
        <v>79</v>
      </c>
      <c r="BY5" s="33">
        <f>ROUND(坦克等级成长!$D101*VLOOKUP($BV$2,坦克等级成长!$B$36:$G$42,MATCH(BY$3,坦克等级成长!$B$35:$G$35,0)),0)</f>
        <v>303</v>
      </c>
      <c r="BZ5" s="33">
        <f t="shared" ref="BZ5:BZ15" si="3">BY5</f>
        <v>303</v>
      </c>
      <c r="CA5" s="33">
        <v>231.75</v>
      </c>
      <c r="CB5" s="33">
        <f>ROUND(坦克等级成长!$D101*VLOOKUP($BV$2,坦克等级成长!$B$36:$G$42,MATCH(CB$3,坦克等级成长!$B$35:$G$35,0)),0)</f>
        <v>382</v>
      </c>
      <c r="CC5" s="33">
        <f>ROUND(坦克等级成长!$D101*VLOOKUP($BV$2,坦克等级成长!$B$36:$G$42,MATCH(CC$3,坦克等级成长!$B$35:$G$35,0)),0)</f>
        <v>92</v>
      </c>
      <c r="CD5" s="189"/>
      <c r="CE5" s="189"/>
      <c r="CF5" s="189"/>
      <c r="CG5" s="189"/>
      <c r="CH5" s="189"/>
      <c r="CI5" s="189"/>
      <c r="CJ5" s="189"/>
      <c r="CK5" s="200"/>
      <c r="CL5" s="193"/>
      <c r="CM5" s="189"/>
      <c r="CN5" s="189"/>
      <c r="CO5" s="189"/>
      <c r="CP5" s="189"/>
      <c r="CQ5" s="189"/>
      <c r="CR5" s="189"/>
      <c r="CS5" s="200"/>
      <c r="CT5" s="192">
        <v>2</v>
      </c>
      <c r="CU5" s="33">
        <f>ROUND(坦克等级成长!$D101*VLOOKUP($CT$2,坦克等级成长!$B$36:$G$42,MATCH(CU$3,坦克等级成长!$B$35:$G$35,0)),0)</f>
        <v>848</v>
      </c>
      <c r="CV5" s="33">
        <f>ROUND(坦克等级成长!$D101*VLOOKUP($CT$2,坦克等级成长!$B$36:$G$42,MATCH(CV$3,坦克等级成长!$B$35:$G$35,0)),0)</f>
        <v>171</v>
      </c>
      <c r="CW5" s="33">
        <f>ROUND(坦克等级成长!$D101*VLOOKUP($CT$2,坦克等级成长!$B$36:$G$42,MATCH(CW$3,坦克等级成长!$B$35:$G$35,0)),0)</f>
        <v>379</v>
      </c>
      <c r="CX5" s="33">
        <f t="shared" ref="CX5:CX15" si="4">CW5</f>
        <v>379</v>
      </c>
      <c r="CY5" s="33">
        <v>289.5</v>
      </c>
      <c r="CZ5" s="33">
        <f>ROUND(坦克等级成长!$D101*VLOOKUP($CT$2,坦克等级成长!$B$36:$G$42,MATCH(CZ$3,坦克等级成长!$B$35:$G$35,0)),0)</f>
        <v>318</v>
      </c>
      <c r="DA5" s="33">
        <f>ROUND(坦克等级成长!$D101*VLOOKUP($CT$2,坦克等级成长!$B$36:$G$42,MATCH(DA$3,坦克等级成长!$B$35:$G$35,0)),0)</f>
        <v>85</v>
      </c>
      <c r="DB5" s="189"/>
      <c r="DC5" s="189"/>
      <c r="DD5" s="189"/>
      <c r="DE5" s="189"/>
      <c r="DF5" s="189"/>
      <c r="DG5" s="189"/>
      <c r="DH5" s="189"/>
      <c r="DI5" s="200"/>
      <c r="DJ5" s="193"/>
      <c r="DK5" s="189"/>
      <c r="DL5" s="189"/>
      <c r="DM5" s="189"/>
      <c r="DN5" s="189"/>
      <c r="DO5" s="189"/>
      <c r="DP5" s="189"/>
      <c r="DQ5" s="200"/>
      <c r="DR5" s="192">
        <v>2</v>
      </c>
      <c r="DS5" s="33">
        <f>ROUND(坦克等级成长!$D101*VLOOKUP($DR$2,坦克等级成长!$B$36:$G$42,MATCH(DS$3,坦克等级成长!$B$35:$G$35,0)),0)</f>
        <v>1037</v>
      </c>
      <c r="DT5" s="33">
        <f>ROUND(坦克等级成长!$D101*VLOOKUP($DR$2,坦克等级成长!$B$36:$G$42,MATCH(DT$3,坦克等级成长!$B$35:$G$35,0)),0)</f>
        <v>284</v>
      </c>
      <c r="DU5" s="33">
        <f>ROUND(坦克等级成长!$D101*VLOOKUP($DR$2,坦克等级成长!$B$36:$G$42,MATCH(DU$3,坦克等级成长!$B$35:$G$35,0)),0)</f>
        <v>303</v>
      </c>
      <c r="DV5" s="33">
        <f t="shared" ref="DV5:DV15" si="5">DU5</f>
        <v>303</v>
      </c>
      <c r="DW5" s="33">
        <v>247.2</v>
      </c>
      <c r="DX5" s="33">
        <f>ROUND(坦克等级成长!$D101*VLOOKUP($DR$2,坦克等级成长!$B$36:$G$42,MATCH(DX$3,坦克等级成长!$B$35:$G$35,0)),0)</f>
        <v>445</v>
      </c>
      <c r="DY5" s="33">
        <f>ROUND(坦克等级成长!$D101*VLOOKUP($DR$2,坦克等级成长!$B$36:$G$42,MATCH(DY$3,坦克等级成长!$B$35:$G$35,0)),0)</f>
        <v>104</v>
      </c>
      <c r="DZ5" s="189"/>
      <c r="EA5" s="189"/>
      <c r="EB5" s="189"/>
      <c r="EC5" s="189"/>
      <c r="ED5" s="189"/>
      <c r="EE5" s="189"/>
      <c r="EF5" s="189"/>
      <c r="EG5" s="200"/>
      <c r="EH5" s="193"/>
      <c r="EI5" s="189"/>
      <c r="EJ5" s="189"/>
      <c r="EK5" s="189"/>
      <c r="EL5" s="189"/>
      <c r="EM5" s="189"/>
      <c r="EN5" s="189"/>
      <c r="EO5" s="200"/>
      <c r="EP5" s="192">
        <v>2</v>
      </c>
      <c r="EQ5" s="33">
        <f>ROUND(坦克等级成长!$D101*VLOOKUP($EP$2,坦克等级成长!$B$36:$G$42,MATCH(EQ$3,坦克等级成长!$B$35:$G$35,0)),0)</f>
        <v>915</v>
      </c>
      <c r="ER5" s="33">
        <f>ROUND(坦克等级成长!$D101*VLOOKUP($EP$2,坦克等级成长!$B$36:$G$42,MATCH(ER$3,坦克等级成长!$B$35:$G$35,0)),0)</f>
        <v>94</v>
      </c>
      <c r="ES5" s="33">
        <f>ROUND(坦克等级成长!$D101*VLOOKUP($EP$2,坦克等级成长!$B$36:$G$42,MATCH(ES$3,坦克等级成长!$B$35:$G$35,0)),0)</f>
        <v>348</v>
      </c>
      <c r="ET5" s="33">
        <f t="shared" ref="ET5:ET15" si="6">ES5</f>
        <v>348</v>
      </c>
      <c r="EU5" s="33">
        <v>266.25</v>
      </c>
      <c r="EV5" s="33">
        <f>ROUND(坦克等级成长!$D101*VLOOKUP($EP$2,坦克等级成长!$B$36:$G$42,MATCH(EV$3,坦克等级成长!$B$35:$G$35,0)),0)</f>
        <v>382</v>
      </c>
      <c r="EW5" s="33">
        <f>ROUND(坦克等级成长!$D101*VLOOKUP($EP$2,坦克等级成长!$B$36:$G$42,MATCH(EW$3,坦克等级成长!$B$35:$G$35,0)),0)</f>
        <v>92</v>
      </c>
      <c r="EX5" s="189"/>
      <c r="EY5" s="189"/>
      <c r="EZ5" s="189"/>
      <c r="FA5" s="189"/>
      <c r="FB5" s="189"/>
      <c r="FC5" s="189"/>
      <c r="FD5" s="189"/>
      <c r="FE5" s="200"/>
      <c r="FF5" s="193"/>
      <c r="FG5" s="189"/>
      <c r="FH5" s="189"/>
      <c r="FI5" s="189"/>
      <c r="FJ5" s="189"/>
      <c r="FK5" s="189"/>
      <c r="FL5" s="189"/>
      <c r="FM5" s="200"/>
    </row>
    <row r="6" spans="1:169" ht="14.25" x14ac:dyDescent="0.3">
      <c r="A6" s="189">
        <v>1</v>
      </c>
      <c r="B6" s="192">
        <v>3</v>
      </c>
      <c r="C6" s="33">
        <f>ROUND(坦克等级成长!$D102*VLOOKUP($B$2,坦克等级成长!$B$36:$G$42,MATCH(C$3,坦克等级成长!$B$35:$G$35,0)),0)</f>
        <v>896</v>
      </c>
      <c r="D6" s="33">
        <f>ROUND(坦克等级成长!$D102*VLOOKUP($B$2,坦克等级成长!$B$36:$G$42,MATCH(D$3,坦克等级成长!$B$35:$G$35,0)),0)</f>
        <v>89</v>
      </c>
      <c r="E6" s="33">
        <f>ROUND(坦克等级成长!$D102*VLOOKUP($B$2,坦克等级成长!$B$36:$G$42,MATCH(E$3,坦克等级成长!$B$35:$G$35,0)),0)</f>
        <v>336</v>
      </c>
      <c r="F6" s="33">
        <f t="shared" si="0"/>
        <v>336</v>
      </c>
      <c r="G6" s="33">
        <v>243.6</v>
      </c>
      <c r="H6" s="33">
        <f>ROUND(坦克等级成长!$D102*VLOOKUP($B$2,坦克等级成长!$B$36:$G$42,MATCH(H$3,坦克等级成长!$B$35:$G$35,0)),0)</f>
        <v>336</v>
      </c>
      <c r="I6" s="33">
        <f>ROUND(坦克等级成长!$D102*VLOOKUP($B$2,坦克等级成长!$B$36:$G$42,MATCH(I$3,坦克等级成长!$B$35:$G$35,0)),0)</f>
        <v>90</v>
      </c>
      <c r="J6" s="189"/>
      <c r="K6" s="189"/>
      <c r="L6" s="189"/>
      <c r="M6" s="189"/>
      <c r="N6" s="189"/>
      <c r="O6" s="189"/>
      <c r="P6" s="189"/>
      <c r="Q6" s="200"/>
      <c r="R6" s="193"/>
      <c r="S6" s="189"/>
      <c r="T6" s="189"/>
      <c r="U6" s="189"/>
      <c r="V6" s="189"/>
      <c r="W6" s="189"/>
      <c r="X6" s="189"/>
      <c r="Y6" s="200"/>
      <c r="Z6" s="192">
        <v>3</v>
      </c>
      <c r="AA6" s="33">
        <f>ROUND(坦克等级成长!$D102*VLOOKUP($Z$2,坦克等级成长!$B$36:$G$42,MATCH(AA$3,坦克等级成长!$B$35:$G$35,0)),0)</f>
        <v>896</v>
      </c>
      <c r="AB6" s="33">
        <f>ROUND(坦克等级成长!$D102*VLOOKUP($Z$2,坦克等级成长!$B$36:$G$42,MATCH(AB$3,坦克等级成长!$B$35:$G$35,0)),0)</f>
        <v>48</v>
      </c>
      <c r="AC6" s="33">
        <f>ROUND(坦克等级成长!$D102*VLOOKUP($Z$2,坦克等级成长!$B$36:$G$42,MATCH(AC$3,坦克等级成长!$B$35:$G$35,0)),0)</f>
        <v>368</v>
      </c>
      <c r="AD6" s="33">
        <f t="shared" si="1"/>
        <v>368</v>
      </c>
      <c r="AE6" s="33">
        <v>266.7</v>
      </c>
      <c r="AF6" s="33">
        <f>ROUND(坦克等级成长!$D102*VLOOKUP($Z$2,坦克等级成长!$B$36:$G$42,MATCH(AF$3,坦克等级成长!$B$35:$G$35,0)),0)</f>
        <v>336</v>
      </c>
      <c r="AG6" s="33">
        <f>ROUND(坦克等级成长!$D102*VLOOKUP($Z$2,坦克等级成长!$B$36:$G$42,MATCH(AG$3,坦克等级成长!$B$35:$G$35,0)),0)</f>
        <v>90</v>
      </c>
      <c r="AH6" s="189"/>
      <c r="AI6" s="189"/>
      <c r="AJ6" s="189"/>
      <c r="AK6" s="189"/>
      <c r="AL6" s="189"/>
      <c r="AM6" s="189"/>
      <c r="AN6" s="189"/>
      <c r="AO6" s="200"/>
      <c r="AP6" s="193"/>
      <c r="AQ6" s="189"/>
      <c r="AR6" s="189"/>
      <c r="AS6" s="189"/>
      <c r="AT6" s="189"/>
      <c r="AU6" s="189"/>
      <c r="AV6" s="189"/>
      <c r="AW6" s="200"/>
      <c r="AX6" s="192">
        <v>3</v>
      </c>
      <c r="AY6" s="33">
        <f>ROUND(坦克等级成长!$D102*VLOOKUP($AX$2,坦克等级成长!$B$36:$G$42,MATCH(AY$3,坦克等级成长!$B$35:$G$35,0)),0)</f>
        <v>896</v>
      </c>
      <c r="AZ6" s="33">
        <f>ROUND(坦克等级成长!$D102*VLOOKUP($AX$2,坦克等级成长!$B$36:$G$42,MATCH(AZ$3,坦克等级成长!$B$35:$G$35,0)),0)</f>
        <v>89</v>
      </c>
      <c r="BA6" s="33">
        <f>ROUND(坦克等级成长!$D102*VLOOKUP($AX$2,坦克等级成长!$B$36:$G$42,MATCH(BA$3,坦克等级成长!$B$35:$G$35,0)),0)</f>
        <v>336</v>
      </c>
      <c r="BB6" s="33">
        <f t="shared" si="2"/>
        <v>336</v>
      </c>
      <c r="BC6" s="33">
        <v>243.6</v>
      </c>
      <c r="BD6" s="33">
        <f>ROUND(坦克等级成长!$D102*VLOOKUP($AX$2,坦克等级成长!$B$36:$G$42,MATCH(BD$3,坦克等级成长!$B$35:$G$35,0)),0)</f>
        <v>336</v>
      </c>
      <c r="BE6" s="33">
        <f>ROUND(坦克等级成长!$D102*VLOOKUP($AX$2,坦克等级成长!$B$36:$G$42,MATCH(BE$3,坦克等级成长!$B$35:$G$35,0)),0)</f>
        <v>90</v>
      </c>
      <c r="BF6" s="189"/>
      <c r="BG6" s="189"/>
      <c r="BH6" s="189"/>
      <c r="BI6" s="189"/>
      <c r="BJ6" s="189"/>
      <c r="BK6" s="189"/>
      <c r="BL6" s="189"/>
      <c r="BM6" s="200"/>
      <c r="BN6" s="193"/>
      <c r="BO6" s="189"/>
      <c r="BP6" s="189"/>
      <c r="BQ6" s="189"/>
      <c r="BR6" s="189"/>
      <c r="BS6" s="189"/>
      <c r="BT6" s="189"/>
      <c r="BU6" s="200"/>
      <c r="BV6" s="192">
        <v>3</v>
      </c>
      <c r="BW6" s="33">
        <f>ROUND(坦克等级成长!$D102*VLOOKUP($BV$2,坦克等级成长!$B$36:$G$42,MATCH(BW$3,坦克等级成长!$B$35:$G$35,0)),0)</f>
        <v>967</v>
      </c>
      <c r="BX6" s="33">
        <f>ROUND(坦克等级成长!$D102*VLOOKUP($BV$2,坦克等级成长!$B$36:$G$42,MATCH(BX$3,坦克等级成长!$B$35:$G$35,0)),0)</f>
        <v>83</v>
      </c>
      <c r="BY6" s="33">
        <f>ROUND(坦克等级成长!$D102*VLOOKUP($BV$2,坦克等级成长!$B$36:$G$42,MATCH(BY$3,坦克等级成长!$B$35:$G$35,0)),0)</f>
        <v>320</v>
      </c>
      <c r="BZ6" s="33">
        <f t="shared" si="3"/>
        <v>320</v>
      </c>
      <c r="CA6" s="33">
        <v>248.25</v>
      </c>
      <c r="CB6" s="33">
        <f>ROUND(坦克等级成长!$D102*VLOOKUP($BV$2,坦克等级成长!$B$36:$G$42,MATCH(CB$3,坦克等级成长!$B$35:$G$35,0)),0)</f>
        <v>403</v>
      </c>
      <c r="CC6" s="33">
        <f>ROUND(坦克等级成长!$D102*VLOOKUP($BV$2,坦克等级成长!$B$36:$G$42,MATCH(CC$3,坦克等级成长!$B$35:$G$35,0)),0)</f>
        <v>97</v>
      </c>
      <c r="CD6" s="189"/>
      <c r="CE6" s="189"/>
      <c r="CF6" s="189"/>
      <c r="CG6" s="189"/>
      <c r="CH6" s="189"/>
      <c r="CI6" s="189"/>
      <c r="CJ6" s="189"/>
      <c r="CK6" s="200"/>
      <c r="CL6" s="193"/>
      <c r="CM6" s="189"/>
      <c r="CN6" s="189"/>
      <c r="CO6" s="189"/>
      <c r="CP6" s="189"/>
      <c r="CQ6" s="189"/>
      <c r="CR6" s="189"/>
      <c r="CS6" s="200"/>
      <c r="CT6" s="192">
        <v>3</v>
      </c>
      <c r="CU6" s="33">
        <f>ROUND(坦克等级成长!$D102*VLOOKUP($CT$2,坦克等级成长!$B$36:$G$42,MATCH(CU$3,坦克等级成长!$B$35:$G$35,0)),0)</f>
        <v>896</v>
      </c>
      <c r="CV6" s="33">
        <f>ROUND(坦克等级成长!$D102*VLOOKUP($CT$2,坦克等级成长!$B$36:$G$42,MATCH(CV$3,坦克等级成长!$B$35:$G$35,0)),0)</f>
        <v>180</v>
      </c>
      <c r="CW6" s="33">
        <f>ROUND(坦克等级成长!$D102*VLOOKUP($CT$2,坦克等级成长!$B$36:$G$42,MATCH(CW$3,坦克等级成长!$B$35:$G$35,0)),0)</f>
        <v>400</v>
      </c>
      <c r="CX6" s="33">
        <f t="shared" si="4"/>
        <v>400</v>
      </c>
      <c r="CY6" s="33">
        <v>310.5</v>
      </c>
      <c r="CZ6" s="33">
        <f>ROUND(坦克等级成长!$D102*VLOOKUP($CT$2,坦克等级成长!$B$36:$G$42,MATCH(CZ$3,坦克等级成长!$B$35:$G$35,0)),0)</f>
        <v>336</v>
      </c>
      <c r="DA6" s="33">
        <f>ROUND(坦克等级成长!$D102*VLOOKUP($CT$2,坦克等级成长!$B$36:$G$42,MATCH(DA$3,坦克等级成长!$B$35:$G$35,0)),0)</f>
        <v>90</v>
      </c>
      <c r="DB6" s="189"/>
      <c r="DC6" s="189"/>
      <c r="DD6" s="189"/>
      <c r="DE6" s="189"/>
      <c r="DF6" s="189"/>
      <c r="DG6" s="189"/>
      <c r="DH6" s="189"/>
      <c r="DI6" s="200"/>
      <c r="DJ6" s="193"/>
      <c r="DK6" s="189"/>
      <c r="DL6" s="189"/>
      <c r="DM6" s="189"/>
      <c r="DN6" s="189"/>
      <c r="DO6" s="189"/>
      <c r="DP6" s="189"/>
      <c r="DQ6" s="200"/>
      <c r="DR6" s="192">
        <v>3</v>
      </c>
      <c r="DS6" s="33">
        <f>ROUND(坦克等级成长!$D102*VLOOKUP($DR$2,坦克等级成长!$B$36:$G$42,MATCH(DS$3,坦克等级成长!$B$35:$G$35,0)),0)</f>
        <v>1096</v>
      </c>
      <c r="DT6" s="33">
        <f>ROUND(坦克等级成长!$D102*VLOOKUP($DR$2,坦克等级成长!$B$36:$G$42,MATCH(DT$3,坦克等级成长!$B$35:$G$35,0)),0)</f>
        <v>300</v>
      </c>
      <c r="DU6" s="33">
        <f>ROUND(坦克等级成长!$D102*VLOOKUP($DR$2,坦克等级成长!$B$36:$G$42,MATCH(DU$3,坦克等级成长!$B$35:$G$35,0)),0)</f>
        <v>320</v>
      </c>
      <c r="DV6" s="33">
        <f t="shared" si="5"/>
        <v>320</v>
      </c>
      <c r="DW6" s="33">
        <v>264.8</v>
      </c>
      <c r="DX6" s="33">
        <f>ROUND(坦克等级成长!$D102*VLOOKUP($DR$2,坦克等级成长!$B$36:$G$42,MATCH(DX$3,坦克等级成长!$B$35:$G$35,0)),0)</f>
        <v>470</v>
      </c>
      <c r="DY6" s="33">
        <f>ROUND(坦克等级成长!$D102*VLOOKUP($DR$2,坦克等级成长!$B$36:$G$42,MATCH(DY$3,坦克等级成长!$B$35:$G$35,0)),0)</f>
        <v>110</v>
      </c>
      <c r="DZ6" s="189"/>
      <c r="EA6" s="189"/>
      <c r="EB6" s="189"/>
      <c r="EC6" s="189"/>
      <c r="ED6" s="189"/>
      <c r="EE6" s="189"/>
      <c r="EF6" s="189"/>
      <c r="EG6" s="200"/>
      <c r="EH6" s="193"/>
      <c r="EI6" s="189"/>
      <c r="EJ6" s="189"/>
      <c r="EK6" s="189"/>
      <c r="EL6" s="189"/>
      <c r="EM6" s="189"/>
      <c r="EN6" s="189"/>
      <c r="EO6" s="200"/>
      <c r="EP6" s="192">
        <v>3</v>
      </c>
      <c r="EQ6" s="33">
        <f>ROUND(坦克等级成长!$D102*VLOOKUP($EP$2,坦克等级成长!$B$36:$G$42,MATCH(EQ$3,坦克等级成长!$B$35:$G$35,0)),0)</f>
        <v>967</v>
      </c>
      <c r="ER6" s="33">
        <f>ROUND(坦克等级成长!$D102*VLOOKUP($EP$2,坦克等级成长!$B$36:$G$42,MATCH(ER$3,坦克等级成长!$B$35:$G$35,0)),0)</f>
        <v>100</v>
      </c>
      <c r="ES6" s="33">
        <f>ROUND(坦克等级成长!$D102*VLOOKUP($EP$2,坦克等级成长!$B$36:$G$42,MATCH(ES$3,坦克等级成长!$B$35:$G$35,0)),0)</f>
        <v>368</v>
      </c>
      <c r="ET6" s="33">
        <f t="shared" si="6"/>
        <v>368</v>
      </c>
      <c r="EU6" s="33">
        <v>285.75</v>
      </c>
      <c r="EV6" s="33">
        <f>ROUND(坦克等级成长!$D102*VLOOKUP($EP$2,坦克等级成长!$B$36:$G$42,MATCH(EV$3,坦克等级成长!$B$35:$G$35,0)),0)</f>
        <v>403</v>
      </c>
      <c r="EW6" s="33">
        <f>ROUND(坦克等级成长!$D102*VLOOKUP($EP$2,坦克等级成长!$B$36:$G$42,MATCH(EW$3,坦克等级成长!$B$35:$G$35,0)),0)</f>
        <v>97</v>
      </c>
      <c r="EX6" s="189"/>
      <c r="EY6" s="189"/>
      <c r="EZ6" s="189"/>
      <c r="FA6" s="189"/>
      <c r="FB6" s="189"/>
      <c r="FC6" s="189"/>
      <c r="FD6" s="189"/>
      <c r="FE6" s="200"/>
      <c r="FF6" s="193"/>
      <c r="FG6" s="189"/>
      <c r="FH6" s="189"/>
      <c r="FI6" s="189"/>
      <c r="FJ6" s="189"/>
      <c r="FK6" s="189"/>
      <c r="FL6" s="189"/>
      <c r="FM6" s="200"/>
    </row>
    <row r="7" spans="1:169" ht="14.25" x14ac:dyDescent="0.3">
      <c r="A7" s="189">
        <v>1</v>
      </c>
      <c r="B7" s="192">
        <v>4</v>
      </c>
      <c r="C7" s="33">
        <f>ROUND(坦克等级成长!$D103*VLOOKUP($B$2,坦克等级成长!$B$36:$G$42,MATCH(C$3,坦克等级成长!$B$35:$G$35,0)),0)</f>
        <v>944</v>
      </c>
      <c r="D7" s="33">
        <f>ROUND(坦克等级成长!$D103*VLOOKUP($B$2,坦克等级成长!$B$36:$G$42,MATCH(D$3,坦克等级成长!$B$35:$G$35,0)),0)</f>
        <v>94</v>
      </c>
      <c r="E7" s="33">
        <f>ROUND(坦克等级成长!$D103*VLOOKUP($B$2,坦克等级成长!$B$36:$G$42,MATCH(E$3,坦克等级成长!$B$35:$G$35,0)),0)</f>
        <v>354</v>
      </c>
      <c r="F7" s="33">
        <f t="shared" si="0"/>
        <v>354</v>
      </c>
      <c r="G7" s="33">
        <v>260.39999999999998</v>
      </c>
      <c r="H7" s="33">
        <f>ROUND(坦克等级成长!$D103*VLOOKUP($B$2,坦克等级成长!$B$36:$G$42,MATCH(H$3,坦克等级成长!$B$35:$G$35,0)),0)</f>
        <v>354</v>
      </c>
      <c r="I7" s="33">
        <f>ROUND(坦克等级成长!$D103*VLOOKUP($B$2,坦克等级成长!$B$36:$G$42,MATCH(I$3,坦克等级成长!$B$35:$G$35,0)),0)</f>
        <v>94</v>
      </c>
      <c r="J7" s="189"/>
      <c r="K7" s="189"/>
      <c r="L7" s="189"/>
      <c r="M7" s="189"/>
      <c r="N7" s="189"/>
      <c r="O7" s="189"/>
      <c r="P7" s="189"/>
      <c r="Q7" s="200"/>
      <c r="R7" s="193"/>
      <c r="S7" s="189"/>
      <c r="T7" s="189"/>
      <c r="U7" s="189"/>
      <c r="V7" s="189"/>
      <c r="W7" s="189"/>
      <c r="X7" s="189"/>
      <c r="Y7" s="200"/>
      <c r="Z7" s="192">
        <v>4</v>
      </c>
      <c r="AA7" s="33">
        <f>ROUND(坦克等级成长!$D103*VLOOKUP($Z$2,坦克等级成长!$B$36:$G$42,MATCH(AA$3,坦克等级成长!$B$35:$G$35,0)),0)</f>
        <v>944</v>
      </c>
      <c r="AB7" s="33">
        <f>ROUND(坦克等级成长!$D103*VLOOKUP($Z$2,坦克等级成长!$B$36:$G$42,MATCH(AB$3,坦克等级成长!$B$35:$G$35,0)),0)</f>
        <v>50</v>
      </c>
      <c r="AC7" s="33">
        <f>ROUND(坦克等级成长!$D103*VLOOKUP($Z$2,坦克等级成长!$B$36:$G$42,MATCH(AC$3,坦克等级成长!$B$35:$G$35,0)),0)</f>
        <v>388</v>
      </c>
      <c r="AD7" s="33">
        <f t="shared" si="1"/>
        <v>388</v>
      </c>
      <c r="AE7" s="33">
        <v>284.89999999999998</v>
      </c>
      <c r="AF7" s="33">
        <f>ROUND(坦克等级成长!$D103*VLOOKUP($Z$2,坦克等级成长!$B$36:$G$42,MATCH(AF$3,坦克等级成长!$B$35:$G$35,0)),0)</f>
        <v>354</v>
      </c>
      <c r="AG7" s="33">
        <f>ROUND(坦克等级成长!$D103*VLOOKUP($Z$2,坦克等级成长!$B$36:$G$42,MATCH(AG$3,坦克等级成长!$B$35:$G$35,0)),0)</f>
        <v>94</v>
      </c>
      <c r="AH7" s="189"/>
      <c r="AI7" s="189"/>
      <c r="AJ7" s="189"/>
      <c r="AK7" s="189"/>
      <c r="AL7" s="189"/>
      <c r="AM7" s="189"/>
      <c r="AN7" s="189"/>
      <c r="AO7" s="200"/>
      <c r="AP7" s="193"/>
      <c r="AQ7" s="189"/>
      <c r="AR7" s="189"/>
      <c r="AS7" s="189"/>
      <c r="AT7" s="189"/>
      <c r="AU7" s="189"/>
      <c r="AV7" s="189"/>
      <c r="AW7" s="200"/>
      <c r="AX7" s="192">
        <v>4</v>
      </c>
      <c r="AY7" s="33">
        <f>ROUND(坦克等级成长!$D103*VLOOKUP($AX$2,坦克等级成长!$B$36:$G$42,MATCH(AY$3,坦克等级成长!$B$35:$G$35,0)),0)</f>
        <v>944</v>
      </c>
      <c r="AZ7" s="33">
        <f>ROUND(坦克等级成长!$D103*VLOOKUP($AX$2,坦克等级成长!$B$36:$G$42,MATCH(AZ$3,坦克等级成长!$B$35:$G$35,0)),0)</f>
        <v>94</v>
      </c>
      <c r="BA7" s="33">
        <f>ROUND(坦克等级成长!$D103*VLOOKUP($AX$2,坦克等级成长!$B$36:$G$42,MATCH(BA$3,坦克等级成长!$B$35:$G$35,0)),0)</f>
        <v>354</v>
      </c>
      <c r="BB7" s="33">
        <f t="shared" si="2"/>
        <v>354</v>
      </c>
      <c r="BC7" s="33">
        <v>260.39999999999998</v>
      </c>
      <c r="BD7" s="33">
        <f>ROUND(坦克等级成长!$D103*VLOOKUP($AX$2,坦克等级成长!$B$36:$G$42,MATCH(BD$3,坦克等级成长!$B$35:$G$35,0)),0)</f>
        <v>354</v>
      </c>
      <c r="BE7" s="33">
        <f>ROUND(坦克等级成长!$D103*VLOOKUP($AX$2,坦克等级成长!$B$36:$G$42,MATCH(BE$3,坦克等级成长!$B$35:$G$35,0)),0)</f>
        <v>94</v>
      </c>
      <c r="BF7" s="189"/>
      <c r="BG7" s="189"/>
      <c r="BH7" s="189"/>
      <c r="BI7" s="189"/>
      <c r="BJ7" s="189"/>
      <c r="BK7" s="189"/>
      <c r="BL7" s="189"/>
      <c r="BM7" s="200"/>
      <c r="BN7" s="193"/>
      <c r="BO7" s="189"/>
      <c r="BP7" s="189"/>
      <c r="BQ7" s="189"/>
      <c r="BR7" s="189"/>
      <c r="BS7" s="189"/>
      <c r="BT7" s="189"/>
      <c r="BU7" s="200"/>
      <c r="BV7" s="192">
        <v>4</v>
      </c>
      <c r="BW7" s="33">
        <f>ROUND(坦克等级成长!$D103*VLOOKUP($BV$2,坦克等级成长!$B$36:$G$42,MATCH(BW$3,坦克等级成长!$B$35:$G$35,0)),0)</f>
        <v>1019</v>
      </c>
      <c r="BX7" s="33">
        <f>ROUND(坦克等级成长!$D103*VLOOKUP($BV$2,坦克等级成长!$B$36:$G$42,MATCH(BX$3,坦克等级成长!$B$35:$G$35,0)),0)</f>
        <v>88</v>
      </c>
      <c r="BY7" s="33">
        <f>ROUND(坦克等级成长!$D103*VLOOKUP($BV$2,坦克等级成长!$B$36:$G$42,MATCH(BY$3,坦克等级成长!$B$35:$G$35,0)),0)</f>
        <v>337</v>
      </c>
      <c r="BZ7" s="33">
        <f t="shared" si="3"/>
        <v>337</v>
      </c>
      <c r="CA7" s="33">
        <v>265.5</v>
      </c>
      <c r="CB7" s="33">
        <f>ROUND(坦克等级成长!$D103*VLOOKUP($BV$2,坦克等级成长!$B$36:$G$42,MATCH(CB$3,坦克等级成长!$B$35:$G$35,0)),0)</f>
        <v>425</v>
      </c>
      <c r="CC7" s="33">
        <f>ROUND(坦克等级成长!$D103*VLOOKUP($BV$2,坦克等级成长!$B$36:$G$42,MATCH(CC$3,坦克等级成长!$B$35:$G$35,0)),0)</f>
        <v>102</v>
      </c>
      <c r="CD7" s="189"/>
      <c r="CE7" s="189"/>
      <c r="CF7" s="189"/>
      <c r="CG7" s="189"/>
      <c r="CH7" s="189"/>
      <c r="CI7" s="189"/>
      <c r="CJ7" s="189"/>
      <c r="CK7" s="200"/>
      <c r="CL7" s="193"/>
      <c r="CM7" s="189"/>
      <c r="CN7" s="189"/>
      <c r="CO7" s="189"/>
      <c r="CP7" s="189"/>
      <c r="CQ7" s="189"/>
      <c r="CR7" s="189"/>
      <c r="CS7" s="200"/>
      <c r="CT7" s="192">
        <v>4</v>
      </c>
      <c r="CU7" s="33">
        <f>ROUND(坦克等级成长!$D103*VLOOKUP($CT$2,坦克等级成长!$B$36:$G$42,MATCH(CU$3,坦克等级成长!$B$35:$G$35,0)),0)</f>
        <v>944</v>
      </c>
      <c r="CV7" s="33">
        <f>ROUND(坦克等级成长!$D103*VLOOKUP($CT$2,坦克等级成长!$B$36:$G$42,MATCH(CV$3,坦克等级成长!$B$35:$G$35,0)),0)</f>
        <v>190</v>
      </c>
      <c r="CW7" s="33">
        <f>ROUND(坦克等级成长!$D103*VLOOKUP($CT$2,坦克等级成长!$B$36:$G$42,MATCH(CW$3,坦克等级成长!$B$35:$G$35,0)),0)</f>
        <v>421</v>
      </c>
      <c r="CX7" s="33">
        <f t="shared" si="4"/>
        <v>421</v>
      </c>
      <c r="CY7" s="33">
        <v>332.25</v>
      </c>
      <c r="CZ7" s="33">
        <f>ROUND(坦克等级成长!$D103*VLOOKUP($CT$2,坦克等级成长!$B$36:$G$42,MATCH(CZ$3,坦克等级成长!$B$35:$G$35,0)),0)</f>
        <v>354</v>
      </c>
      <c r="DA7" s="33">
        <f>ROUND(坦克等级成长!$D103*VLOOKUP($CT$2,坦克等级成长!$B$36:$G$42,MATCH(DA$3,坦克等级成长!$B$35:$G$35,0)),0)</f>
        <v>94</v>
      </c>
      <c r="DB7" s="189"/>
      <c r="DC7" s="189"/>
      <c r="DD7" s="189"/>
      <c r="DE7" s="189"/>
      <c r="DF7" s="189"/>
      <c r="DG7" s="189"/>
      <c r="DH7" s="189"/>
      <c r="DI7" s="200"/>
      <c r="DJ7" s="193"/>
      <c r="DK7" s="189"/>
      <c r="DL7" s="189"/>
      <c r="DM7" s="189"/>
      <c r="DN7" s="189"/>
      <c r="DO7" s="189"/>
      <c r="DP7" s="189"/>
      <c r="DQ7" s="200"/>
      <c r="DR7" s="192">
        <v>4</v>
      </c>
      <c r="DS7" s="33">
        <f>ROUND(坦克等级成长!$D103*VLOOKUP($DR$2,坦克等级成长!$B$36:$G$42,MATCH(DS$3,坦克等级成长!$B$35:$G$35,0)),0)</f>
        <v>1155</v>
      </c>
      <c r="DT7" s="33">
        <f>ROUND(坦克等级成长!$D103*VLOOKUP($DR$2,坦克等级成长!$B$36:$G$42,MATCH(DT$3,坦克等级成长!$B$35:$G$35,0)),0)</f>
        <v>316</v>
      </c>
      <c r="DU7" s="33">
        <f>ROUND(坦克等级成长!$D103*VLOOKUP($DR$2,坦克等级成长!$B$36:$G$42,MATCH(DU$3,坦克等级成长!$B$35:$G$35,0)),0)</f>
        <v>337</v>
      </c>
      <c r="DV7" s="33">
        <f t="shared" si="5"/>
        <v>337</v>
      </c>
      <c r="DW7" s="33">
        <v>283.2</v>
      </c>
      <c r="DX7" s="33">
        <f>ROUND(坦克等级成长!$D103*VLOOKUP($DR$2,坦克等级成长!$B$36:$G$42,MATCH(DX$3,坦克等级成长!$B$35:$G$35,0)),0)</f>
        <v>496</v>
      </c>
      <c r="DY7" s="33">
        <f>ROUND(坦克等级成长!$D103*VLOOKUP($DR$2,坦克等级成长!$B$36:$G$42,MATCH(DY$3,坦克等级成长!$B$35:$G$35,0)),0)</f>
        <v>115</v>
      </c>
      <c r="DZ7" s="189"/>
      <c r="EA7" s="189"/>
      <c r="EB7" s="189"/>
      <c r="EC7" s="189"/>
      <c r="ED7" s="189"/>
      <c r="EE7" s="189"/>
      <c r="EF7" s="189"/>
      <c r="EG7" s="200"/>
      <c r="EH7" s="193"/>
      <c r="EI7" s="189"/>
      <c r="EJ7" s="189"/>
      <c r="EK7" s="189"/>
      <c r="EL7" s="189"/>
      <c r="EM7" s="189"/>
      <c r="EN7" s="189"/>
      <c r="EO7" s="200"/>
      <c r="EP7" s="192">
        <v>4</v>
      </c>
      <c r="EQ7" s="33">
        <f>ROUND(坦克等级成长!$D103*VLOOKUP($EP$2,坦克等级成长!$B$36:$G$42,MATCH(EQ$3,坦克等级成长!$B$35:$G$35,0)),0)</f>
        <v>1019</v>
      </c>
      <c r="ER7" s="33">
        <f>ROUND(坦克等级成长!$D103*VLOOKUP($EP$2,坦克等级成长!$B$36:$G$42,MATCH(ER$3,坦克等级成长!$B$35:$G$35,0)),0)</f>
        <v>105</v>
      </c>
      <c r="ES7" s="33">
        <f>ROUND(坦克等级成长!$D103*VLOOKUP($EP$2,坦克等级成长!$B$36:$G$42,MATCH(ES$3,坦克等级成长!$B$35:$G$35,0)),0)</f>
        <v>388</v>
      </c>
      <c r="ET7" s="33">
        <f t="shared" si="6"/>
        <v>388</v>
      </c>
      <c r="EU7" s="33">
        <v>305.25</v>
      </c>
      <c r="EV7" s="33">
        <f>ROUND(坦克等级成长!$D103*VLOOKUP($EP$2,坦克等级成长!$B$36:$G$42,MATCH(EV$3,坦克等级成长!$B$35:$G$35,0)),0)</f>
        <v>425</v>
      </c>
      <c r="EW7" s="33">
        <f>ROUND(坦克等级成长!$D103*VLOOKUP($EP$2,坦克等级成长!$B$36:$G$42,MATCH(EW$3,坦克等级成长!$B$35:$G$35,0)),0)</f>
        <v>102</v>
      </c>
      <c r="EX7" s="189"/>
      <c r="EY7" s="189"/>
      <c r="EZ7" s="189"/>
      <c r="FA7" s="189"/>
      <c r="FB7" s="189"/>
      <c r="FC7" s="189"/>
      <c r="FD7" s="189"/>
      <c r="FE7" s="200"/>
      <c r="FF7" s="193"/>
      <c r="FG7" s="189"/>
      <c r="FH7" s="189"/>
      <c r="FI7" s="189"/>
      <c r="FJ7" s="189"/>
      <c r="FK7" s="189"/>
      <c r="FL7" s="189"/>
      <c r="FM7" s="200"/>
    </row>
    <row r="8" spans="1:169" ht="14.25" x14ac:dyDescent="0.3">
      <c r="A8" s="189">
        <v>1</v>
      </c>
      <c r="B8" s="192">
        <v>5</v>
      </c>
      <c r="C8" s="33">
        <f>ROUND(坦克等级成长!$D104*VLOOKUP($B$2,坦克等级成长!$B$36:$G$42,MATCH(C$3,坦克等级成长!$B$35:$G$35,0)),0)</f>
        <v>992</v>
      </c>
      <c r="D8" s="33">
        <f>ROUND(坦克等级成长!$D104*VLOOKUP($B$2,坦克等级成长!$B$36:$G$42,MATCH(D$3,坦克等级成长!$B$35:$G$35,0)),0)</f>
        <v>99</v>
      </c>
      <c r="E8" s="33">
        <f>ROUND(坦克等级成长!$D104*VLOOKUP($B$2,坦克等级成长!$B$36:$G$42,MATCH(E$3,坦克等级成长!$B$35:$G$35,0)),0)</f>
        <v>372</v>
      </c>
      <c r="F8" s="33">
        <f t="shared" si="0"/>
        <v>372</v>
      </c>
      <c r="G8" s="33">
        <v>277.2</v>
      </c>
      <c r="H8" s="33">
        <f>ROUND(坦克等级成长!$D104*VLOOKUP($B$2,坦克等级成长!$B$36:$G$42,MATCH(H$3,坦克等级成长!$B$35:$G$35,0)),0)</f>
        <v>372</v>
      </c>
      <c r="I8" s="33">
        <f>ROUND(坦克等级成长!$D104*VLOOKUP($B$2,坦克等级成长!$B$36:$G$42,MATCH(I$3,坦克等级成长!$B$35:$G$35,0)),0)</f>
        <v>99</v>
      </c>
      <c r="J8" s="189"/>
      <c r="K8" s="189"/>
      <c r="L8" s="189"/>
      <c r="M8" s="189"/>
      <c r="N8" s="189"/>
      <c r="O8" s="189"/>
      <c r="P8" s="189"/>
      <c r="Q8" s="200"/>
      <c r="R8" s="193"/>
      <c r="S8" s="189"/>
      <c r="T8" s="189"/>
      <c r="U8" s="189"/>
      <c r="V8" s="189"/>
      <c r="W8" s="189"/>
      <c r="X8" s="189"/>
      <c r="Y8" s="200"/>
      <c r="Z8" s="192">
        <v>5</v>
      </c>
      <c r="AA8" s="33">
        <f>ROUND(坦克等级成长!$D104*VLOOKUP($Z$2,坦克等级成长!$B$36:$G$42,MATCH(AA$3,坦克等级成长!$B$35:$G$35,0)),0)</f>
        <v>992</v>
      </c>
      <c r="AB8" s="33">
        <f>ROUND(坦克等级成长!$D104*VLOOKUP($Z$2,坦克等级成长!$B$36:$G$42,MATCH(AB$3,坦克等级成长!$B$35:$G$35,0)),0)</f>
        <v>53</v>
      </c>
      <c r="AC8" s="33">
        <f>ROUND(坦克等级成长!$D104*VLOOKUP($Z$2,坦克等级成长!$B$36:$G$42,MATCH(AC$3,坦克等级成长!$B$35:$G$35,0)),0)</f>
        <v>407</v>
      </c>
      <c r="AD8" s="33">
        <f t="shared" si="1"/>
        <v>407</v>
      </c>
      <c r="AE8" s="33">
        <v>303.8</v>
      </c>
      <c r="AF8" s="33">
        <f>ROUND(坦克等级成长!$D104*VLOOKUP($Z$2,坦克等级成长!$B$36:$G$42,MATCH(AF$3,坦克等级成长!$B$35:$G$35,0)),0)</f>
        <v>372</v>
      </c>
      <c r="AG8" s="33">
        <f>ROUND(坦克等级成长!$D104*VLOOKUP($Z$2,坦克等级成长!$B$36:$G$42,MATCH(AG$3,坦克等级成长!$B$35:$G$35,0)),0)</f>
        <v>99</v>
      </c>
      <c r="AH8" s="189"/>
      <c r="AI8" s="189"/>
      <c r="AJ8" s="189"/>
      <c r="AK8" s="189"/>
      <c r="AL8" s="189"/>
      <c r="AM8" s="189"/>
      <c r="AN8" s="189"/>
      <c r="AO8" s="200"/>
      <c r="AP8" s="193"/>
      <c r="AQ8" s="189"/>
      <c r="AR8" s="189"/>
      <c r="AS8" s="189"/>
      <c r="AT8" s="189"/>
      <c r="AU8" s="189"/>
      <c r="AV8" s="189"/>
      <c r="AW8" s="200"/>
      <c r="AX8" s="192">
        <v>5</v>
      </c>
      <c r="AY8" s="33">
        <f>ROUND(坦克等级成长!$D104*VLOOKUP($AX$2,坦克等级成长!$B$36:$G$42,MATCH(AY$3,坦克等级成长!$B$35:$G$35,0)),0)</f>
        <v>992</v>
      </c>
      <c r="AZ8" s="33">
        <f>ROUND(坦克等级成长!$D104*VLOOKUP($AX$2,坦克等级成长!$B$36:$G$42,MATCH(AZ$3,坦克等级成长!$B$35:$G$35,0)),0)</f>
        <v>99</v>
      </c>
      <c r="BA8" s="33">
        <f>ROUND(坦克等级成长!$D104*VLOOKUP($AX$2,坦克等级成长!$B$36:$G$42,MATCH(BA$3,坦克等级成长!$B$35:$G$35,0)),0)</f>
        <v>372</v>
      </c>
      <c r="BB8" s="33">
        <f t="shared" si="2"/>
        <v>372</v>
      </c>
      <c r="BC8" s="33">
        <v>277.2</v>
      </c>
      <c r="BD8" s="33">
        <f>ROUND(坦克等级成长!$D104*VLOOKUP($AX$2,坦克等级成长!$B$36:$G$42,MATCH(BD$3,坦克等级成长!$B$35:$G$35,0)),0)</f>
        <v>372</v>
      </c>
      <c r="BE8" s="33">
        <f>ROUND(坦克等级成长!$D104*VLOOKUP($AX$2,坦克等级成长!$B$36:$G$42,MATCH(BE$3,坦克等级成长!$B$35:$G$35,0)),0)</f>
        <v>99</v>
      </c>
      <c r="BF8" s="189"/>
      <c r="BG8" s="189"/>
      <c r="BH8" s="189"/>
      <c r="BI8" s="189"/>
      <c r="BJ8" s="189"/>
      <c r="BK8" s="189"/>
      <c r="BL8" s="189"/>
      <c r="BM8" s="200"/>
      <c r="BN8" s="193"/>
      <c r="BO8" s="189"/>
      <c r="BP8" s="189"/>
      <c r="BQ8" s="189"/>
      <c r="BR8" s="189"/>
      <c r="BS8" s="189"/>
      <c r="BT8" s="189"/>
      <c r="BU8" s="200"/>
      <c r="BV8" s="192">
        <v>5</v>
      </c>
      <c r="BW8" s="33">
        <f>ROUND(坦克等级成长!$D104*VLOOKUP($BV$2,坦克等级成长!$B$36:$G$42,MATCH(BW$3,坦克等级成长!$B$35:$G$35,0)),0)</f>
        <v>1071</v>
      </c>
      <c r="BX8" s="33">
        <f>ROUND(坦克等级成长!$D104*VLOOKUP($BV$2,坦克等级成长!$B$36:$G$42,MATCH(BX$3,坦克等级成长!$B$35:$G$35,0)),0)</f>
        <v>92</v>
      </c>
      <c r="BY8" s="33">
        <f>ROUND(坦克等级成长!$D104*VLOOKUP($BV$2,坦克等级成长!$B$36:$G$42,MATCH(BY$3,坦克等级成长!$B$35:$G$35,0)),0)</f>
        <v>354</v>
      </c>
      <c r="BZ8" s="33">
        <f t="shared" si="3"/>
        <v>354</v>
      </c>
      <c r="CA8" s="33">
        <v>282.75</v>
      </c>
      <c r="CB8" s="33">
        <f>ROUND(坦克等级成长!$D104*VLOOKUP($BV$2,坦克等级成长!$B$36:$G$42,MATCH(CB$3,坦克等级成长!$B$35:$G$35,0)),0)</f>
        <v>446</v>
      </c>
      <c r="CC8" s="33">
        <f>ROUND(坦克等级成长!$D104*VLOOKUP($BV$2,坦克等级成长!$B$36:$G$42,MATCH(CC$3,坦克等级成长!$B$35:$G$35,0)),0)</f>
        <v>107</v>
      </c>
      <c r="CD8" s="189"/>
      <c r="CE8" s="189"/>
      <c r="CF8" s="189"/>
      <c r="CG8" s="189"/>
      <c r="CH8" s="189"/>
      <c r="CI8" s="189"/>
      <c r="CJ8" s="189"/>
      <c r="CK8" s="200"/>
      <c r="CL8" s="193"/>
      <c r="CM8" s="189"/>
      <c r="CN8" s="189"/>
      <c r="CO8" s="189"/>
      <c r="CP8" s="189"/>
      <c r="CQ8" s="189"/>
      <c r="CR8" s="189"/>
      <c r="CS8" s="200"/>
      <c r="CT8" s="192">
        <v>5</v>
      </c>
      <c r="CU8" s="33">
        <f>ROUND(坦克等级成长!$D104*VLOOKUP($CT$2,坦克等级成长!$B$36:$G$42,MATCH(CU$3,坦克等级成长!$B$35:$G$35,0)),0)</f>
        <v>992</v>
      </c>
      <c r="CV8" s="33">
        <f>ROUND(坦克等级成长!$D104*VLOOKUP($CT$2,坦克等级成长!$B$36:$G$42,MATCH(CV$3,坦克等级成长!$B$35:$G$35,0)),0)</f>
        <v>200</v>
      </c>
      <c r="CW8" s="33">
        <f>ROUND(坦克等级成长!$D104*VLOOKUP($CT$2,坦克等级成长!$B$36:$G$42,MATCH(CW$3,坦克等级成长!$B$35:$G$35,0)),0)</f>
        <v>443</v>
      </c>
      <c r="CX8" s="33">
        <f t="shared" si="4"/>
        <v>443</v>
      </c>
      <c r="CY8" s="33">
        <v>353.25</v>
      </c>
      <c r="CZ8" s="33">
        <f>ROUND(坦克等级成长!$D104*VLOOKUP($CT$2,坦克等级成长!$B$36:$G$42,MATCH(CZ$3,坦克等级成长!$B$35:$G$35,0)),0)</f>
        <v>372</v>
      </c>
      <c r="DA8" s="33">
        <f>ROUND(坦克等级成长!$D104*VLOOKUP($CT$2,坦克等级成长!$B$36:$G$42,MATCH(DA$3,坦克等级成长!$B$35:$G$35,0)),0)</f>
        <v>99</v>
      </c>
      <c r="DB8" s="189"/>
      <c r="DC8" s="189"/>
      <c r="DD8" s="189"/>
      <c r="DE8" s="189"/>
      <c r="DF8" s="189"/>
      <c r="DG8" s="189"/>
      <c r="DH8" s="189"/>
      <c r="DI8" s="200"/>
      <c r="DJ8" s="193"/>
      <c r="DK8" s="189"/>
      <c r="DL8" s="189"/>
      <c r="DM8" s="189"/>
      <c r="DN8" s="189"/>
      <c r="DO8" s="189"/>
      <c r="DP8" s="189"/>
      <c r="DQ8" s="200"/>
      <c r="DR8" s="192">
        <v>5</v>
      </c>
      <c r="DS8" s="33">
        <f>ROUND(坦克等级成长!$D104*VLOOKUP($DR$2,坦克等级成长!$B$36:$G$42,MATCH(DS$3,坦克等级成长!$B$35:$G$35,0)),0)</f>
        <v>1214</v>
      </c>
      <c r="DT8" s="33">
        <f>ROUND(坦克等级成长!$D104*VLOOKUP($DR$2,坦克等级成长!$B$36:$G$42,MATCH(DT$3,坦克等级成长!$B$35:$G$35,0)),0)</f>
        <v>332</v>
      </c>
      <c r="DU8" s="33">
        <f>ROUND(坦克等级成长!$D104*VLOOKUP($DR$2,坦克等级成长!$B$36:$G$42,MATCH(DU$3,坦克等级成长!$B$35:$G$35,0)),0)</f>
        <v>354</v>
      </c>
      <c r="DV8" s="33">
        <f t="shared" si="5"/>
        <v>354</v>
      </c>
      <c r="DW8" s="33">
        <v>301.60000000000002</v>
      </c>
      <c r="DX8" s="33">
        <f>ROUND(坦克等级成长!$D104*VLOOKUP($DR$2,坦克等级成长!$B$36:$G$42,MATCH(DX$3,坦克等级成长!$B$35:$G$35,0)),0)</f>
        <v>521</v>
      </c>
      <c r="DY8" s="33">
        <f>ROUND(坦克等级成长!$D104*VLOOKUP($DR$2,坦克等级成长!$B$36:$G$42,MATCH(DY$3,坦克等级成长!$B$35:$G$35,0)),0)</f>
        <v>121</v>
      </c>
      <c r="DZ8" s="189"/>
      <c r="EA8" s="189"/>
      <c r="EB8" s="189"/>
      <c r="EC8" s="189"/>
      <c r="ED8" s="189"/>
      <c r="EE8" s="189"/>
      <c r="EF8" s="189"/>
      <c r="EG8" s="200"/>
      <c r="EH8" s="193"/>
      <c r="EI8" s="189"/>
      <c r="EJ8" s="189"/>
      <c r="EK8" s="189"/>
      <c r="EL8" s="189"/>
      <c r="EM8" s="189"/>
      <c r="EN8" s="189"/>
      <c r="EO8" s="200"/>
      <c r="EP8" s="192">
        <v>5</v>
      </c>
      <c r="EQ8" s="33">
        <f>ROUND(坦克等级成长!$D104*VLOOKUP($EP$2,坦克等级成长!$B$36:$G$42,MATCH(EQ$3,坦克等级成长!$B$35:$G$35,0)),0)</f>
        <v>1071</v>
      </c>
      <c r="ER8" s="33">
        <f>ROUND(坦克等级成长!$D104*VLOOKUP($EP$2,坦克等级成长!$B$36:$G$42,MATCH(ER$3,坦克等级成长!$B$35:$G$35,0)),0)</f>
        <v>110</v>
      </c>
      <c r="ES8" s="33">
        <f>ROUND(坦克等级成长!$D104*VLOOKUP($EP$2,坦克等级成长!$B$36:$G$42,MATCH(ES$3,坦克等级成长!$B$35:$G$35,0)),0)</f>
        <v>407</v>
      </c>
      <c r="ET8" s="33">
        <f t="shared" si="6"/>
        <v>407</v>
      </c>
      <c r="EU8" s="33">
        <v>325.5</v>
      </c>
      <c r="EV8" s="33">
        <f>ROUND(坦克等级成长!$D104*VLOOKUP($EP$2,坦克等级成长!$B$36:$G$42,MATCH(EV$3,坦克等级成长!$B$35:$G$35,0)),0)</f>
        <v>446</v>
      </c>
      <c r="EW8" s="33">
        <f>ROUND(坦克等级成长!$D104*VLOOKUP($EP$2,坦克等级成长!$B$36:$G$42,MATCH(EW$3,坦克等级成长!$B$35:$G$35,0)),0)</f>
        <v>107</v>
      </c>
      <c r="EX8" s="189"/>
      <c r="EY8" s="189"/>
      <c r="EZ8" s="189"/>
      <c r="FA8" s="189"/>
      <c r="FB8" s="189"/>
      <c r="FC8" s="189"/>
      <c r="FD8" s="189"/>
      <c r="FE8" s="200"/>
      <c r="FF8" s="193"/>
      <c r="FG8" s="189"/>
      <c r="FH8" s="189"/>
      <c r="FI8" s="189"/>
      <c r="FJ8" s="189"/>
      <c r="FK8" s="189"/>
      <c r="FL8" s="189"/>
      <c r="FM8" s="200"/>
    </row>
    <row r="9" spans="1:169" ht="14.25" x14ac:dyDescent="0.3">
      <c r="A9" s="189">
        <v>2</v>
      </c>
      <c r="B9" s="192">
        <v>1</v>
      </c>
      <c r="C9" s="33">
        <f>ROUND(坦克等级成长!$D106*VLOOKUP($B$2,坦克等级成长!$B$36:$G$42,MATCH(C$3,坦克等级成长!$B$35:$G$35,0)),0)</f>
        <v>928</v>
      </c>
      <c r="D9" s="33">
        <f>ROUND(坦克等级成长!$D106*VLOOKUP($B$2,坦克等级成长!$B$36:$G$42,MATCH(D$3,坦克等级成长!$B$35:$G$35,0)),0)</f>
        <v>92</v>
      </c>
      <c r="E9" s="33">
        <f>ROUND(坦克等级成长!$D106*VLOOKUP($B$2,坦克等级成长!$B$36:$G$42,MATCH(E$3,坦克等级成长!$B$35:$G$35,0)),0)</f>
        <v>348</v>
      </c>
      <c r="F9" s="33">
        <f t="shared" si="0"/>
        <v>348</v>
      </c>
      <c r="G9" s="33">
        <v>247.8</v>
      </c>
      <c r="H9" s="33">
        <f>ROUND(坦克等级成长!$D106*VLOOKUP($B$2,坦克等级成长!$B$36:$G$42,MATCH(H$3,坦克等级成长!$B$35:$G$35,0)),0)</f>
        <v>348</v>
      </c>
      <c r="I9" s="33">
        <f>ROUND(坦克等级成长!$D106*VLOOKUP($B$2,坦克等级成长!$B$36:$G$42,MATCH(I$3,坦克等级成长!$B$35:$G$35,0)),0)</f>
        <v>93</v>
      </c>
      <c r="J9" s="199">
        <v>1</v>
      </c>
      <c r="K9" s="33">
        <f>ROUND(坦克等级成长!$F106*VLOOKUP($B$2,坦克等级成长!$B$36:$G$42,MATCH(K$3,坦克等级成长!$B$35:$G$35,0)),0)</f>
        <v>944</v>
      </c>
      <c r="L9" s="33">
        <f>ROUND(坦克等级成长!$F106*VLOOKUP($B$2,坦克等级成长!$B$36:$G$42,MATCH(L$3,坦克等级成长!$B$35:$G$35,0)),0)</f>
        <v>94</v>
      </c>
      <c r="M9" s="33">
        <f>ROUND(坦克等级成长!$F106*VLOOKUP($B$2,坦克等级成长!$B$36:$G$42,MATCH(M$3,坦克等级成长!$B$35:$G$35,0)),0)</f>
        <v>354</v>
      </c>
      <c r="N9" s="33">
        <f>M9</f>
        <v>354</v>
      </c>
      <c r="O9" s="33">
        <v>256</v>
      </c>
      <c r="P9" s="33">
        <f>ROUND(坦克等级成长!$F106*VLOOKUP($B$2,坦克等级成长!$B$36:$G$42,MATCH(P$3,坦克等级成长!$B$35:$G$35,0)),0)</f>
        <v>354</v>
      </c>
      <c r="Q9" s="33">
        <f>ROUND(坦克等级成长!$F106*VLOOKUP($B$2,坦克等级成长!$B$36:$G$42,MATCH(Q$3,坦克等级成长!$B$35:$G$35,0)),0)</f>
        <v>94</v>
      </c>
      <c r="R9" s="193"/>
      <c r="S9" s="189"/>
      <c r="T9" s="189"/>
      <c r="U9" s="189"/>
      <c r="V9" s="189"/>
      <c r="W9" s="189"/>
      <c r="X9" s="189"/>
      <c r="Y9" s="200"/>
      <c r="Z9" s="192">
        <v>1</v>
      </c>
      <c r="AA9" s="33">
        <f>ROUND(坦克等级成长!$D106*VLOOKUP($Z$2,坦克等级成长!$B$36:$G$42,MATCH(AA$3,坦克等级成长!$B$35:$G$35,0)),0)</f>
        <v>928</v>
      </c>
      <c r="AB9" s="33">
        <f>ROUND(坦克等级成长!$D106*VLOOKUP($Z$2,坦克等级成长!$B$36:$G$42,MATCH(AB$3,坦克等级成长!$B$35:$G$35,0)),0)</f>
        <v>49</v>
      </c>
      <c r="AC9" s="33">
        <f>ROUND(坦克等级成长!$D106*VLOOKUP($Z$2,坦克等级成长!$B$36:$G$42,MATCH(AC$3,坦克等级成长!$B$35:$G$35,0)),0)</f>
        <v>381</v>
      </c>
      <c r="AD9" s="33">
        <f t="shared" si="1"/>
        <v>381</v>
      </c>
      <c r="AE9" s="33">
        <v>271.60000000000002</v>
      </c>
      <c r="AF9" s="33">
        <f>ROUND(坦克等级成长!$D106*VLOOKUP($Z$2,坦克等级成长!$B$36:$G$42,MATCH(AF$3,坦克等级成长!$B$35:$G$35,0)),0)</f>
        <v>348</v>
      </c>
      <c r="AG9" s="33">
        <f>ROUND(坦克等级成长!$D106*VLOOKUP($Z$2,坦克等级成长!$B$36:$G$42,MATCH(AG$3,坦克等级成长!$B$35:$G$35,0)),0)</f>
        <v>93</v>
      </c>
      <c r="AH9" s="199">
        <v>1</v>
      </c>
      <c r="AI9" s="33">
        <f>ROUND(坦克等级成长!$F106*VLOOKUP($Z$2,坦克等级成长!$B$36:$G$42,MATCH(AI$3,坦克等级成长!$B$35:$G$35,0)),0)</f>
        <v>944</v>
      </c>
      <c r="AJ9" s="33">
        <f>ROUND(坦克等级成长!$F106*VLOOKUP($Z$2,坦克等级成长!$B$36:$G$42,MATCH(AJ$3,坦克等级成长!$B$35:$G$35,0)),0)</f>
        <v>50</v>
      </c>
      <c r="AK9" s="33">
        <f>ROUND(坦克等级成长!$F106*VLOOKUP($Z$2,坦克等级成长!$B$36:$G$42,MATCH(AK$3,坦克等级成长!$B$35:$G$35,0)),0)</f>
        <v>388</v>
      </c>
      <c r="AL9" s="33">
        <f>AK9</f>
        <v>388</v>
      </c>
      <c r="AM9" s="33">
        <v>281</v>
      </c>
      <c r="AN9" s="33">
        <f>ROUND(坦克等级成长!$F106*VLOOKUP($Z$2,坦克等级成长!$B$36:$G$42,MATCH(AN$3,坦克等级成长!$B$35:$G$35,0)),0)</f>
        <v>354</v>
      </c>
      <c r="AO9" s="33">
        <f>ROUND(坦克等级成长!$F106*VLOOKUP($Z$2,坦克等级成长!$B$36:$G$42,MATCH(AO$3,坦克等级成长!$B$35:$G$35,0)),0)</f>
        <v>94</v>
      </c>
      <c r="AP9" s="193"/>
      <c r="AQ9" s="189"/>
      <c r="AR9" s="189"/>
      <c r="AS9" s="189"/>
      <c r="AT9" s="189"/>
      <c r="AU9" s="189"/>
      <c r="AV9" s="189"/>
      <c r="AW9" s="200"/>
      <c r="AX9" s="192">
        <v>1</v>
      </c>
      <c r="AY9" s="33">
        <f>ROUND(坦克等级成长!$D106*VLOOKUP($AX$2,坦克等级成长!$B$36:$G$42,MATCH(AY$3,坦克等级成长!$B$35:$G$35,0)),0)</f>
        <v>928</v>
      </c>
      <c r="AZ9" s="33">
        <f>ROUND(坦克等级成长!$D106*VLOOKUP($AX$2,坦克等级成长!$B$36:$G$42,MATCH(AZ$3,坦克等级成长!$B$35:$G$35,0)),0)</f>
        <v>92</v>
      </c>
      <c r="BA9" s="33">
        <f>ROUND(坦克等级成长!$D106*VLOOKUP($AX$2,坦克等级成长!$B$36:$G$42,MATCH(BA$3,坦克等级成长!$B$35:$G$35,0)),0)</f>
        <v>348</v>
      </c>
      <c r="BB9" s="33">
        <f t="shared" si="2"/>
        <v>348</v>
      </c>
      <c r="BC9" s="33">
        <v>247.8</v>
      </c>
      <c r="BD9" s="33">
        <f>ROUND(坦克等级成长!$D106*VLOOKUP($AX$2,坦克等级成长!$B$36:$G$42,MATCH(BD$3,坦克等级成长!$B$35:$G$35,0)),0)</f>
        <v>348</v>
      </c>
      <c r="BE9" s="33">
        <f>ROUND(坦克等级成长!$D106*VLOOKUP($AX$2,坦克等级成长!$B$36:$G$42,MATCH(BE$3,坦克等级成长!$B$35:$G$35,0)),0)</f>
        <v>93</v>
      </c>
      <c r="BF9" s="199">
        <v>1</v>
      </c>
      <c r="BG9" s="33">
        <f>ROUND(坦克等级成长!$F106*VLOOKUP($AX$2,坦克等级成长!$B$36:$G$42,MATCH(BG$3,坦克等级成长!$B$35:$G$35,0)),0)</f>
        <v>944</v>
      </c>
      <c r="BH9" s="33">
        <f>ROUND(坦克等级成长!$F106*VLOOKUP($AX$2,坦克等级成长!$B$36:$G$42,MATCH(BH$3,坦克等级成长!$B$35:$G$35,0)),0)</f>
        <v>94</v>
      </c>
      <c r="BI9" s="33">
        <f>ROUND(坦克等级成长!$F106*VLOOKUP($AX$2,坦克等级成长!$B$36:$G$42,MATCH(BI$3,坦克等级成长!$B$35:$G$35,0)),0)</f>
        <v>354</v>
      </c>
      <c r="BJ9" s="33">
        <f>BI9</f>
        <v>354</v>
      </c>
      <c r="BK9" s="33">
        <v>256</v>
      </c>
      <c r="BL9" s="33">
        <f>ROUND(坦克等级成长!$F106*VLOOKUP($AX$2,坦克等级成长!$B$36:$G$42,MATCH(BL$3,坦克等级成长!$B$35:$G$35,0)),0)</f>
        <v>354</v>
      </c>
      <c r="BM9" s="33">
        <f>ROUND(坦克等级成长!$F106*VLOOKUP($AX$2,坦克等级成长!$B$36:$G$42,MATCH(BM$3,坦克等级成长!$B$35:$G$35,0)),0)</f>
        <v>94</v>
      </c>
      <c r="BN9" s="193"/>
      <c r="BO9" s="189"/>
      <c r="BP9" s="189"/>
      <c r="BQ9" s="189"/>
      <c r="BR9" s="189"/>
      <c r="BS9" s="189"/>
      <c r="BT9" s="189"/>
      <c r="BU9" s="200"/>
      <c r="BV9" s="192">
        <v>1</v>
      </c>
      <c r="BW9" s="33">
        <f>ROUND(坦克等级成长!$D106*VLOOKUP($BV$2,坦克等级成长!$B$36:$G$42,MATCH(BW$3,坦克等级成长!$B$35:$G$35,0)),0)</f>
        <v>1002</v>
      </c>
      <c r="BX9" s="33">
        <f>ROUND(坦克等级成长!$D106*VLOOKUP($BV$2,坦克等级成长!$B$36:$G$42,MATCH(BX$3,坦克等级成长!$B$35:$G$35,0)),0)</f>
        <v>86</v>
      </c>
      <c r="BY9" s="33">
        <f>ROUND(坦克等级成长!$D106*VLOOKUP($BV$2,坦克等级成长!$B$36:$G$42,MATCH(BY$3,坦克等级成长!$B$35:$G$35,0)),0)</f>
        <v>331</v>
      </c>
      <c r="BZ9" s="33">
        <f t="shared" si="3"/>
        <v>331</v>
      </c>
      <c r="CA9" s="33">
        <v>252.75</v>
      </c>
      <c r="CB9" s="33">
        <f>ROUND(坦克等级成长!$D106*VLOOKUP($BV$2,坦克等级成长!$B$36:$G$42,MATCH(CB$3,坦克等级成长!$B$35:$G$35,0)),0)</f>
        <v>418</v>
      </c>
      <c r="CC9" s="33">
        <f>ROUND(坦克等级成长!$D106*VLOOKUP($BV$2,坦克等级成长!$B$36:$G$42,MATCH(CC$3,坦克等级成长!$B$35:$G$35,0)),0)</f>
        <v>100</v>
      </c>
      <c r="CD9" s="199">
        <v>1</v>
      </c>
      <c r="CE9" s="33">
        <f>ROUND(坦克等级成长!$F106*VLOOKUP($BV$2,坦克等级成长!$B$36:$G$42,MATCH(CE$3,坦克等级成长!$B$35:$G$35,0)),0)</f>
        <v>1019</v>
      </c>
      <c r="CF9" s="33">
        <f>ROUND(坦克等级成长!$F106*VLOOKUP($BV$2,坦克等级成长!$B$36:$G$42,MATCH(CF$3,坦克等级成长!$B$35:$G$35,0)),0)</f>
        <v>88</v>
      </c>
      <c r="CG9" s="33">
        <f>ROUND(坦克等级成长!$F106*VLOOKUP($BV$2,坦克等级成长!$B$36:$G$42,MATCH(CG$3,坦克等级成长!$B$35:$G$35,0)),0)</f>
        <v>337</v>
      </c>
      <c r="CH9" s="33">
        <f>CG9</f>
        <v>337</v>
      </c>
      <c r="CI9" s="33">
        <v>262</v>
      </c>
      <c r="CJ9" s="33">
        <f>ROUND(坦克等级成长!$F106*VLOOKUP($BV$2,坦克等级成长!$B$36:$G$42,MATCH(CJ$3,坦克等级成长!$B$35:$G$35,0)),0)</f>
        <v>425</v>
      </c>
      <c r="CK9" s="33">
        <f>ROUND(坦克等级成长!$F106*VLOOKUP($BV$2,坦克等级成长!$B$36:$G$42,MATCH(CK$3,坦克等级成长!$B$35:$G$35,0)),0)</f>
        <v>102</v>
      </c>
      <c r="CL9" s="193"/>
      <c r="CM9" s="189"/>
      <c r="CN9" s="189"/>
      <c r="CO9" s="189"/>
      <c r="CP9" s="189"/>
      <c r="CQ9" s="189"/>
      <c r="CR9" s="189"/>
      <c r="CS9" s="200"/>
      <c r="CT9" s="192">
        <v>1</v>
      </c>
      <c r="CU9" s="33">
        <f>ROUND(坦克等级成长!$D106*VLOOKUP($CT$2,坦克等级成长!$B$36:$G$42,MATCH(CU$3,坦克等级成长!$B$35:$G$35,0)),0)</f>
        <v>928</v>
      </c>
      <c r="CV9" s="33">
        <f>ROUND(坦克等级成长!$D106*VLOOKUP($CT$2,坦克等级成长!$B$36:$G$42,MATCH(CV$3,坦克等级成长!$B$35:$G$35,0)),0)</f>
        <v>187</v>
      </c>
      <c r="CW9" s="33">
        <f>ROUND(坦克等级成长!$D106*VLOOKUP($CT$2,坦克等级成长!$B$36:$G$42,MATCH(CW$3,坦克等级成长!$B$35:$G$35,0)),0)</f>
        <v>414</v>
      </c>
      <c r="CX9" s="33">
        <f t="shared" si="4"/>
        <v>414</v>
      </c>
      <c r="CY9" s="33">
        <v>315.75</v>
      </c>
      <c r="CZ9" s="33">
        <f>ROUND(坦克等级成长!$D106*VLOOKUP($CT$2,坦克等级成长!$B$36:$G$42,MATCH(CZ$3,坦克等级成长!$B$35:$G$35,0)),0)</f>
        <v>348</v>
      </c>
      <c r="DA9" s="33">
        <f>ROUND(坦克等级成长!$D106*VLOOKUP($CT$2,坦克等级成长!$B$36:$G$42,MATCH(DA$3,坦克等级成长!$B$35:$G$35,0)),0)</f>
        <v>93</v>
      </c>
      <c r="DB9" s="199">
        <v>1</v>
      </c>
      <c r="DC9" s="33">
        <f>ROUND(坦克等级成长!$F106*VLOOKUP($CT$2,坦克等级成长!$B$36:$G$42,MATCH(DC$3,坦克等级成长!$B$35:$G$35,0)),0)</f>
        <v>944</v>
      </c>
      <c r="DD9" s="33">
        <f>ROUND(坦克等级成长!$F106*VLOOKUP($CT$2,坦克等级成长!$B$36:$G$42,MATCH(DD$3,坦克等级成长!$B$35:$G$35,0)),0)</f>
        <v>190</v>
      </c>
      <c r="DE9" s="33">
        <f>ROUND(坦克等级成长!$F106*VLOOKUP($CT$2,坦克等级成长!$B$36:$G$42,MATCH(DE$3,坦克等级成长!$B$35:$G$35,0)),0)</f>
        <v>421</v>
      </c>
      <c r="DF9" s="33">
        <f>DE9</f>
        <v>421</v>
      </c>
      <c r="DG9" s="33">
        <v>327</v>
      </c>
      <c r="DH9" s="33">
        <f>ROUND(坦克等级成长!$F106*VLOOKUP($CT$2,坦克等级成长!$B$36:$G$42,MATCH(DH$3,坦克等级成长!$B$35:$G$35,0)),0)</f>
        <v>354</v>
      </c>
      <c r="DI9" s="33">
        <f>ROUND(坦克等级成长!$F106*VLOOKUP($CT$2,坦克等级成长!$B$36:$G$42,MATCH(DI$3,坦克等级成长!$B$35:$G$35,0)),0)</f>
        <v>94</v>
      </c>
      <c r="DJ9" s="193"/>
      <c r="DK9" s="189"/>
      <c r="DL9" s="189"/>
      <c r="DM9" s="189"/>
      <c r="DN9" s="189"/>
      <c r="DO9" s="189"/>
      <c r="DP9" s="189"/>
      <c r="DQ9" s="200"/>
      <c r="DR9" s="192">
        <v>1</v>
      </c>
      <c r="DS9" s="33">
        <f>ROUND(坦克等级成长!$D106*VLOOKUP($DR$2,坦克等级成长!$B$36:$G$42,MATCH(DS$3,坦克等级成长!$B$35:$G$35,0)),0)</f>
        <v>1135</v>
      </c>
      <c r="DT9" s="33">
        <f>ROUND(坦克等级成长!$D106*VLOOKUP($DR$2,坦克等级成长!$B$36:$G$42,MATCH(DT$3,坦克等级成长!$B$35:$G$35,0)),0)</f>
        <v>311</v>
      </c>
      <c r="DU9" s="33">
        <f>ROUND(坦克等级成长!$D106*VLOOKUP($DR$2,坦克等级成长!$B$36:$G$42,MATCH(DU$3,坦克等级成长!$B$35:$G$35,0)),0)</f>
        <v>331</v>
      </c>
      <c r="DV9" s="33">
        <f t="shared" si="5"/>
        <v>331</v>
      </c>
      <c r="DW9" s="33">
        <v>269.60000000000002</v>
      </c>
      <c r="DX9" s="33">
        <f>ROUND(坦克等级成长!$D106*VLOOKUP($DR$2,坦克等级成长!$B$36:$G$42,MATCH(DX$3,坦克等级成长!$B$35:$G$35,0)),0)</f>
        <v>487</v>
      </c>
      <c r="DY9" s="33">
        <f>ROUND(坦克等级成长!$D106*VLOOKUP($DR$2,坦克等级成长!$B$36:$G$42,MATCH(DY$3,坦克等级成长!$B$35:$G$35,0)),0)</f>
        <v>114</v>
      </c>
      <c r="DZ9" s="199">
        <v>1</v>
      </c>
      <c r="EA9" s="33">
        <f>ROUND(坦克等级成长!$F106*VLOOKUP($DR$2,坦克等级成长!$B$36:$G$42,MATCH(EA$3,坦克等级成长!$B$35:$G$35,0)),0)</f>
        <v>1155</v>
      </c>
      <c r="EB9" s="33">
        <f>ROUND(坦克等级成长!$F106*VLOOKUP($DR$2,坦克等级成长!$B$36:$G$42,MATCH(EB$3,坦克等级成长!$B$35:$G$35,0)),0)</f>
        <v>316</v>
      </c>
      <c r="EC9" s="33">
        <f>ROUND(坦克等级成长!$F106*VLOOKUP($DR$2,坦克等级成长!$B$36:$G$42,MATCH(EC$3,坦克等级成长!$B$35:$G$35,0)),0)</f>
        <v>337</v>
      </c>
      <c r="ED9" s="33">
        <f>EC9</f>
        <v>337</v>
      </c>
      <c r="EE9" s="33">
        <v>279</v>
      </c>
      <c r="EF9" s="33">
        <f>ROUND(坦克等级成长!$F106*VLOOKUP($DR$2,坦克等级成长!$B$36:$G$42,MATCH(EF$3,坦克等级成长!$B$35:$G$35,0)),0)</f>
        <v>496</v>
      </c>
      <c r="EG9" s="33">
        <f>ROUND(坦克等级成长!$F106*VLOOKUP($DR$2,坦克等级成长!$B$36:$G$42,MATCH(EG$3,坦克等级成长!$B$35:$G$35,0)),0)</f>
        <v>115</v>
      </c>
      <c r="EH9" s="193"/>
      <c r="EI9" s="189"/>
      <c r="EJ9" s="189"/>
      <c r="EK9" s="189"/>
      <c r="EL9" s="189"/>
      <c r="EM9" s="189"/>
      <c r="EN9" s="189"/>
      <c r="EO9" s="200"/>
      <c r="EP9" s="192">
        <v>1</v>
      </c>
      <c r="EQ9" s="33">
        <f>ROUND(坦克等级成长!$D106*VLOOKUP($EP$2,坦克等级成长!$B$36:$G$42,MATCH(EQ$3,坦克等级成长!$B$35:$G$35,0)),0)</f>
        <v>1002</v>
      </c>
      <c r="ER9" s="33">
        <f>ROUND(坦克等级成长!$D106*VLOOKUP($EP$2,坦克等级成长!$B$36:$G$42,MATCH(ER$3,坦克等级成长!$B$35:$G$35,0)),0)</f>
        <v>103</v>
      </c>
      <c r="ES9" s="33">
        <f>ROUND(坦克等级成长!$D106*VLOOKUP($EP$2,坦克等级成长!$B$36:$G$42,MATCH(ES$3,坦克等级成长!$B$35:$G$35,0)),0)</f>
        <v>381</v>
      </c>
      <c r="ET9" s="33">
        <f t="shared" si="6"/>
        <v>381</v>
      </c>
      <c r="EU9" s="33">
        <v>291</v>
      </c>
      <c r="EV9" s="33">
        <f>ROUND(坦克等级成长!$D106*VLOOKUP($EP$2,坦克等级成长!$B$36:$G$42,MATCH(EV$3,坦克等级成长!$B$35:$G$35,0)),0)</f>
        <v>418</v>
      </c>
      <c r="EW9" s="33">
        <f>ROUND(坦克等级成长!$D106*VLOOKUP($EP$2,坦克等级成长!$B$36:$G$42,MATCH(EW$3,坦克等级成长!$B$35:$G$35,0)),0)</f>
        <v>100</v>
      </c>
      <c r="EX9" s="199">
        <v>1</v>
      </c>
      <c r="EY9" s="33">
        <f>ROUND(坦克等级成长!$F106*VLOOKUP($EP$2,坦克等级成长!$B$36:$G$42,MATCH(EY$3,坦克等级成长!$B$35:$G$35,0)),0)</f>
        <v>1019</v>
      </c>
      <c r="EZ9" s="33">
        <f>ROUND(坦克等级成长!$F106*VLOOKUP($EP$2,坦克等级成长!$B$36:$G$42,MATCH(EZ$3,坦克等级成长!$B$35:$G$35,0)),0)</f>
        <v>105</v>
      </c>
      <c r="FA9" s="33">
        <f>ROUND(坦克等级成长!$F106*VLOOKUP($EP$2,坦克等级成长!$B$36:$G$42,MATCH(FA$3,坦克等级成长!$B$35:$G$35,0)),0)</f>
        <v>388</v>
      </c>
      <c r="FB9" s="33">
        <f>FA9</f>
        <v>388</v>
      </c>
      <c r="FC9" s="33">
        <v>301</v>
      </c>
      <c r="FD9" s="33">
        <f>ROUND(坦克等级成长!$F106*VLOOKUP($EP$2,坦克等级成长!$B$36:$G$42,MATCH(FD$3,坦克等级成长!$B$35:$G$35,0)),0)</f>
        <v>425</v>
      </c>
      <c r="FE9" s="33">
        <f>ROUND(坦克等级成长!$F106*VLOOKUP($EP$2,坦克等级成长!$B$36:$G$42,MATCH(FE$3,坦克等级成长!$B$35:$G$35,0)),0)</f>
        <v>102</v>
      </c>
      <c r="FF9" s="193"/>
      <c r="FG9" s="189"/>
      <c r="FH9" s="189"/>
      <c r="FI9" s="189"/>
      <c r="FJ9" s="189"/>
      <c r="FK9" s="189"/>
      <c r="FL9" s="189"/>
      <c r="FM9" s="200"/>
    </row>
    <row r="10" spans="1:169" ht="14.25" x14ac:dyDescent="0.3">
      <c r="A10" s="189">
        <v>2</v>
      </c>
      <c r="B10" s="192">
        <v>2</v>
      </c>
      <c r="C10" s="33">
        <f>ROUND(坦克等级成长!$D107*VLOOKUP($B$2,坦克等级成长!$B$36:$G$42,MATCH(C$3,坦克等级成长!$B$35:$G$35,0)),0)</f>
        <v>992</v>
      </c>
      <c r="D10" s="33">
        <f>ROUND(坦克等级成长!$D107*VLOOKUP($B$2,坦克等级成长!$B$36:$G$42,MATCH(D$3,坦克等级成长!$B$35:$G$35,0)),0)</f>
        <v>99</v>
      </c>
      <c r="E10" s="33">
        <f>ROUND(坦克等级成长!$D107*VLOOKUP($B$2,坦克等级成长!$B$36:$G$42,MATCH(E$3,坦克等级成长!$B$35:$G$35,0)),0)</f>
        <v>372</v>
      </c>
      <c r="F10" s="33">
        <f t="shared" si="0"/>
        <v>372</v>
      </c>
      <c r="G10" s="33">
        <v>266.7</v>
      </c>
      <c r="H10" s="33">
        <f>ROUND(坦克等级成长!$D107*VLOOKUP($B$2,坦克等级成长!$B$36:$G$42,MATCH(H$3,坦克等级成长!$B$35:$G$35,0)),0)</f>
        <v>372</v>
      </c>
      <c r="I10" s="33">
        <f>ROUND(坦克等级成长!$D107*VLOOKUP($B$2,坦克等级成长!$B$36:$G$42,MATCH(I$3,坦克等级成长!$B$35:$G$35,0)),0)</f>
        <v>99</v>
      </c>
      <c r="J10" s="199">
        <v>2</v>
      </c>
      <c r="K10" s="33">
        <f>ROUND(坦克等级成长!$F107*VLOOKUP($B$2,坦克等级成长!$B$36:$G$42,MATCH(K$3,坦克等级成长!$B$35:$G$35,0)),0)</f>
        <v>1008</v>
      </c>
      <c r="L10" s="33">
        <f>ROUND(坦克等级成长!$F107*VLOOKUP($B$2,坦克等级成长!$B$36:$G$42,MATCH(L$3,坦克等级成长!$B$35:$G$35,0)),0)</f>
        <v>100</v>
      </c>
      <c r="M10" s="33">
        <f>ROUND(坦克等级成长!$F107*VLOOKUP($B$2,坦克等级成长!$B$36:$G$42,MATCH(M$3,坦克等级成长!$B$35:$G$35,0)),0)</f>
        <v>378</v>
      </c>
      <c r="N10" s="33">
        <f t="shared" ref="N10:N73" si="7">M10</f>
        <v>378</v>
      </c>
      <c r="O10" s="33">
        <v>275</v>
      </c>
      <c r="P10" s="33">
        <f>ROUND(坦克等级成长!$F107*VLOOKUP($B$2,坦克等级成长!$B$36:$G$42,MATCH(P$3,坦克等级成长!$B$35:$G$35,0)),0)</f>
        <v>378</v>
      </c>
      <c r="Q10" s="33">
        <f>ROUND(坦克等级成长!$F107*VLOOKUP($B$2,坦克等级成长!$B$36:$G$42,MATCH(Q$3,坦克等级成长!$B$35:$G$35,0)),0)</f>
        <v>101</v>
      </c>
      <c r="R10" s="193"/>
      <c r="S10" s="189"/>
      <c r="T10" s="189"/>
      <c r="U10" s="189"/>
      <c r="V10" s="189"/>
      <c r="W10" s="189"/>
      <c r="X10" s="189"/>
      <c r="Y10" s="200"/>
      <c r="Z10" s="192">
        <v>2</v>
      </c>
      <c r="AA10" s="33">
        <f>ROUND(坦克等级成长!$D107*VLOOKUP($Z$2,坦克等级成长!$B$36:$G$42,MATCH(AA$3,坦克等级成长!$B$35:$G$35,0)),0)</f>
        <v>992</v>
      </c>
      <c r="AB10" s="33">
        <f>ROUND(坦克等级成长!$D107*VLOOKUP($Z$2,坦克等级成长!$B$36:$G$42,MATCH(AB$3,坦克等级成长!$B$35:$G$35,0)),0)</f>
        <v>53</v>
      </c>
      <c r="AC10" s="33">
        <f>ROUND(坦克等级成长!$D107*VLOOKUP($Z$2,坦克等级成长!$B$36:$G$42,MATCH(AC$3,坦克等级成长!$B$35:$G$35,0)),0)</f>
        <v>407</v>
      </c>
      <c r="AD10" s="33">
        <f t="shared" si="1"/>
        <v>407</v>
      </c>
      <c r="AE10" s="33">
        <v>291.89999999999998</v>
      </c>
      <c r="AF10" s="33">
        <f>ROUND(坦克等级成长!$D107*VLOOKUP($Z$2,坦克等级成长!$B$36:$G$42,MATCH(AF$3,坦克等级成长!$B$35:$G$35,0)),0)</f>
        <v>372</v>
      </c>
      <c r="AG10" s="33">
        <f>ROUND(坦克等级成长!$D107*VLOOKUP($Z$2,坦克等级成长!$B$36:$G$42,MATCH(AG$3,坦克等级成长!$B$35:$G$35,0)),0)</f>
        <v>99</v>
      </c>
      <c r="AH10" s="199">
        <v>2</v>
      </c>
      <c r="AI10" s="33">
        <f>ROUND(坦克等级成长!$F107*VLOOKUP($Z$2,坦克等级成长!$B$36:$G$42,MATCH(AI$3,坦克等级成长!$B$35:$G$35,0)),0)</f>
        <v>1008</v>
      </c>
      <c r="AJ10" s="33">
        <f>ROUND(坦克等级成长!$F107*VLOOKUP($Z$2,坦克等级成长!$B$36:$G$42,MATCH(AJ$3,坦克等级成长!$B$35:$G$35,0)),0)</f>
        <v>54</v>
      </c>
      <c r="AK10" s="33">
        <f>ROUND(坦克等级成长!$F107*VLOOKUP($Z$2,坦克等级成长!$B$36:$G$42,MATCH(AK$3,坦克等级成长!$B$35:$G$35,0)),0)</f>
        <v>414</v>
      </c>
      <c r="AL10" s="33">
        <f t="shared" ref="AL10:AL73" si="8">AK10</f>
        <v>414</v>
      </c>
      <c r="AM10" s="33">
        <v>301</v>
      </c>
      <c r="AN10" s="33">
        <f>ROUND(坦克等级成长!$F107*VLOOKUP($Z$2,坦克等级成长!$B$36:$G$42,MATCH(AN$3,坦克等级成长!$B$35:$G$35,0)),0)</f>
        <v>378</v>
      </c>
      <c r="AO10" s="33">
        <f>ROUND(坦克等级成长!$F107*VLOOKUP($Z$2,坦克等级成长!$B$36:$G$42,MATCH(AO$3,坦克等级成长!$B$35:$G$35,0)),0)</f>
        <v>101</v>
      </c>
      <c r="AP10" s="193"/>
      <c r="AQ10" s="189"/>
      <c r="AR10" s="189"/>
      <c r="AS10" s="189"/>
      <c r="AT10" s="189"/>
      <c r="AU10" s="189"/>
      <c r="AV10" s="189"/>
      <c r="AW10" s="200"/>
      <c r="AX10" s="192">
        <v>2</v>
      </c>
      <c r="AY10" s="33">
        <f>ROUND(坦克等级成长!$D107*VLOOKUP($AX$2,坦克等级成长!$B$36:$G$42,MATCH(AY$3,坦克等级成长!$B$35:$G$35,0)),0)</f>
        <v>992</v>
      </c>
      <c r="AZ10" s="33">
        <f>ROUND(坦克等级成长!$D107*VLOOKUP($AX$2,坦克等级成长!$B$36:$G$42,MATCH(AZ$3,坦克等级成长!$B$35:$G$35,0)),0)</f>
        <v>99</v>
      </c>
      <c r="BA10" s="33">
        <f>ROUND(坦克等级成长!$D107*VLOOKUP($AX$2,坦克等级成长!$B$36:$G$42,MATCH(BA$3,坦克等级成长!$B$35:$G$35,0)),0)</f>
        <v>372</v>
      </c>
      <c r="BB10" s="33">
        <f t="shared" si="2"/>
        <v>372</v>
      </c>
      <c r="BC10" s="33">
        <v>266.7</v>
      </c>
      <c r="BD10" s="33">
        <f>ROUND(坦克等级成长!$D107*VLOOKUP($AX$2,坦克等级成长!$B$36:$G$42,MATCH(BD$3,坦克等级成长!$B$35:$G$35,0)),0)</f>
        <v>372</v>
      </c>
      <c r="BE10" s="33">
        <f>ROUND(坦克等级成长!$D107*VLOOKUP($AX$2,坦克等级成长!$B$36:$G$42,MATCH(BE$3,坦克等级成长!$B$35:$G$35,0)),0)</f>
        <v>99</v>
      </c>
      <c r="BF10" s="199">
        <v>2</v>
      </c>
      <c r="BG10" s="33">
        <f>ROUND(坦克等级成长!$F107*VLOOKUP($AX$2,坦克等级成长!$B$36:$G$42,MATCH(BG$3,坦克等级成长!$B$35:$G$35,0)),0)</f>
        <v>1008</v>
      </c>
      <c r="BH10" s="33">
        <f>ROUND(坦克等级成长!$F107*VLOOKUP($AX$2,坦克等级成长!$B$36:$G$42,MATCH(BH$3,坦克等级成长!$B$35:$G$35,0)),0)</f>
        <v>100</v>
      </c>
      <c r="BI10" s="33">
        <f>ROUND(坦克等级成长!$F107*VLOOKUP($AX$2,坦克等级成长!$B$36:$G$42,MATCH(BI$3,坦克等级成长!$B$35:$G$35,0)),0)</f>
        <v>378</v>
      </c>
      <c r="BJ10" s="33">
        <f t="shared" ref="BJ10:BJ73" si="9">BI10</f>
        <v>378</v>
      </c>
      <c r="BK10" s="33">
        <v>275</v>
      </c>
      <c r="BL10" s="33">
        <f>ROUND(坦克等级成长!$F107*VLOOKUP($AX$2,坦克等级成长!$B$36:$G$42,MATCH(BL$3,坦克等级成长!$B$35:$G$35,0)),0)</f>
        <v>378</v>
      </c>
      <c r="BM10" s="33">
        <f>ROUND(坦克等级成长!$F107*VLOOKUP($AX$2,坦克等级成长!$B$36:$G$42,MATCH(BM$3,坦克等级成长!$B$35:$G$35,0)),0)</f>
        <v>101</v>
      </c>
      <c r="BN10" s="193"/>
      <c r="BO10" s="189"/>
      <c r="BP10" s="189"/>
      <c r="BQ10" s="189"/>
      <c r="BR10" s="189"/>
      <c r="BS10" s="189"/>
      <c r="BT10" s="189"/>
      <c r="BU10" s="200"/>
      <c r="BV10" s="192">
        <v>2</v>
      </c>
      <c r="BW10" s="33">
        <f>ROUND(坦克等级成长!$D107*VLOOKUP($BV$2,坦克等级成长!$B$36:$G$42,MATCH(BW$3,坦克等级成长!$B$35:$G$35,0)),0)</f>
        <v>1071</v>
      </c>
      <c r="BX10" s="33">
        <f>ROUND(坦克等级成长!$D107*VLOOKUP($BV$2,坦克等级成长!$B$36:$G$42,MATCH(BX$3,坦克等级成长!$B$35:$G$35,0)),0)</f>
        <v>92</v>
      </c>
      <c r="BY10" s="33">
        <f>ROUND(坦克等级成长!$D107*VLOOKUP($BV$2,坦克等级成长!$B$36:$G$42,MATCH(BY$3,坦克等级成长!$B$35:$G$35,0)),0)</f>
        <v>354</v>
      </c>
      <c r="BZ10" s="33">
        <f t="shared" si="3"/>
        <v>354</v>
      </c>
      <c r="CA10" s="33">
        <v>272.25</v>
      </c>
      <c r="CB10" s="33">
        <f>ROUND(坦克等级成长!$D107*VLOOKUP($BV$2,坦克等级成长!$B$36:$G$42,MATCH(CB$3,坦克等级成长!$B$35:$G$35,0)),0)</f>
        <v>446</v>
      </c>
      <c r="CC10" s="33">
        <f>ROUND(坦克等级成长!$D107*VLOOKUP($BV$2,坦克等级成长!$B$36:$G$42,MATCH(CC$3,坦克等级成长!$B$35:$G$35,0)),0)</f>
        <v>107</v>
      </c>
      <c r="CD10" s="199">
        <v>2</v>
      </c>
      <c r="CE10" s="33">
        <f>ROUND(坦克等级成长!$F107*VLOOKUP($BV$2,坦克等级成长!$B$36:$G$42,MATCH(CE$3,坦克等级成长!$B$35:$G$35,0)),0)</f>
        <v>1088</v>
      </c>
      <c r="CF10" s="33">
        <f>ROUND(坦克等级成长!$F107*VLOOKUP($BV$2,坦克等级成长!$B$36:$G$42,MATCH(CF$3,坦克等级成长!$B$35:$G$35,0)),0)</f>
        <v>94</v>
      </c>
      <c r="CG10" s="33">
        <f>ROUND(坦克等级成长!$F107*VLOOKUP($BV$2,坦克等级成长!$B$36:$G$42,MATCH(CG$3,坦克等级成长!$B$35:$G$35,0)),0)</f>
        <v>360</v>
      </c>
      <c r="CH10" s="33">
        <f t="shared" ref="CH10:CH73" si="10">CG10</f>
        <v>360</v>
      </c>
      <c r="CI10" s="33">
        <v>281</v>
      </c>
      <c r="CJ10" s="33">
        <f>ROUND(坦克等级成长!$F107*VLOOKUP($BV$2,坦克等级成长!$B$36:$G$42,MATCH(CJ$3,坦克等级成长!$B$35:$G$35,0)),0)</f>
        <v>454</v>
      </c>
      <c r="CK10" s="33">
        <f>ROUND(坦克等级成长!$F107*VLOOKUP($BV$2,坦克等级成长!$B$36:$G$42,MATCH(CK$3,坦克等级成长!$B$35:$G$35,0)),0)</f>
        <v>109</v>
      </c>
      <c r="CL10" s="193"/>
      <c r="CM10" s="189"/>
      <c r="CN10" s="189"/>
      <c r="CO10" s="189"/>
      <c r="CP10" s="189"/>
      <c r="CQ10" s="189"/>
      <c r="CR10" s="189"/>
      <c r="CS10" s="200"/>
      <c r="CT10" s="192">
        <v>2</v>
      </c>
      <c r="CU10" s="33">
        <f>ROUND(坦克等级成长!$D107*VLOOKUP($CT$2,坦克等级成长!$B$36:$G$42,MATCH(CU$3,坦克等级成长!$B$35:$G$35,0)),0)</f>
        <v>992</v>
      </c>
      <c r="CV10" s="33">
        <f>ROUND(坦克等级成长!$D107*VLOOKUP($CT$2,坦克等级成长!$B$36:$G$42,MATCH(CV$3,坦克等级成长!$B$35:$G$35,0)),0)</f>
        <v>200</v>
      </c>
      <c r="CW10" s="33">
        <f>ROUND(坦克等级成长!$D107*VLOOKUP($CT$2,坦克等级成长!$B$36:$G$42,MATCH(CW$3,坦克等级成长!$B$35:$G$35,0)),0)</f>
        <v>443</v>
      </c>
      <c r="CX10" s="33">
        <f t="shared" si="4"/>
        <v>443</v>
      </c>
      <c r="CY10" s="33">
        <v>340.5</v>
      </c>
      <c r="CZ10" s="33">
        <f>ROUND(坦克等级成长!$D107*VLOOKUP($CT$2,坦克等级成长!$B$36:$G$42,MATCH(CZ$3,坦克等级成长!$B$35:$G$35,0)),0)</f>
        <v>372</v>
      </c>
      <c r="DA10" s="33">
        <f>ROUND(坦克等级成长!$D107*VLOOKUP($CT$2,坦克等级成长!$B$36:$G$42,MATCH(DA$3,坦克等级成长!$B$35:$G$35,0)),0)</f>
        <v>99</v>
      </c>
      <c r="DB10" s="199">
        <v>2</v>
      </c>
      <c r="DC10" s="33">
        <f>ROUND(坦克等级成长!$F107*VLOOKUP($CT$2,坦克等级成长!$B$36:$G$42,MATCH(DC$3,坦克等级成长!$B$35:$G$35,0)),0)</f>
        <v>1008</v>
      </c>
      <c r="DD10" s="33">
        <f>ROUND(坦克等级成长!$F107*VLOOKUP($CT$2,坦克等级成长!$B$36:$G$42,MATCH(DD$3,坦克等级成长!$B$35:$G$35,0)),0)</f>
        <v>203</v>
      </c>
      <c r="DE10" s="33">
        <f>ROUND(坦克等级成长!$F107*VLOOKUP($CT$2,坦克等级成长!$B$36:$G$42,MATCH(DE$3,坦克等级成长!$B$35:$G$35,0)),0)</f>
        <v>450</v>
      </c>
      <c r="DF10" s="33">
        <f t="shared" ref="DF10:DF73" si="11">DE10</f>
        <v>450</v>
      </c>
      <c r="DG10" s="33">
        <v>351</v>
      </c>
      <c r="DH10" s="33">
        <f>ROUND(坦克等级成长!$F107*VLOOKUP($CT$2,坦克等级成长!$B$36:$G$42,MATCH(DH$3,坦克等级成长!$B$35:$G$35,0)),0)</f>
        <v>378</v>
      </c>
      <c r="DI10" s="33">
        <f>ROUND(坦克等级成长!$F107*VLOOKUP($CT$2,坦克等级成长!$B$36:$G$42,MATCH(DI$3,坦克等级成长!$B$35:$G$35,0)),0)</f>
        <v>101</v>
      </c>
      <c r="DJ10" s="193"/>
      <c r="DK10" s="189"/>
      <c r="DL10" s="189"/>
      <c r="DM10" s="189"/>
      <c r="DN10" s="189"/>
      <c r="DO10" s="189"/>
      <c r="DP10" s="189"/>
      <c r="DQ10" s="200"/>
      <c r="DR10" s="192">
        <v>2</v>
      </c>
      <c r="DS10" s="33">
        <f>ROUND(坦克等级成长!$D107*VLOOKUP($DR$2,坦克等级成长!$B$36:$G$42,MATCH(DS$3,坦克等级成长!$B$35:$G$35,0)),0)</f>
        <v>1214</v>
      </c>
      <c r="DT10" s="33">
        <f>ROUND(坦克等级成长!$D107*VLOOKUP($DR$2,坦克等级成长!$B$36:$G$42,MATCH(DT$3,坦克等级成长!$B$35:$G$35,0)),0)</f>
        <v>332</v>
      </c>
      <c r="DU10" s="33">
        <f>ROUND(坦克等级成长!$D107*VLOOKUP($DR$2,坦克等级成长!$B$36:$G$42,MATCH(DU$3,坦克等级成长!$B$35:$G$35,0)),0)</f>
        <v>354</v>
      </c>
      <c r="DV10" s="33">
        <f t="shared" si="5"/>
        <v>354</v>
      </c>
      <c r="DW10" s="33">
        <v>290.39999999999998</v>
      </c>
      <c r="DX10" s="33">
        <f>ROUND(坦克等级成长!$D107*VLOOKUP($DR$2,坦克等级成长!$B$36:$G$42,MATCH(DX$3,坦克等级成长!$B$35:$G$35,0)),0)</f>
        <v>521</v>
      </c>
      <c r="DY10" s="33">
        <f>ROUND(坦克等级成长!$D107*VLOOKUP($DR$2,坦克等级成长!$B$36:$G$42,MATCH(DY$3,坦克等级成长!$B$35:$G$35,0)),0)</f>
        <v>121</v>
      </c>
      <c r="DZ10" s="199">
        <v>2</v>
      </c>
      <c r="EA10" s="33">
        <f>ROUND(坦克等级成长!$F107*VLOOKUP($DR$2,坦克等级成长!$B$36:$G$42,MATCH(EA$3,坦克等级成长!$B$35:$G$35,0)),0)</f>
        <v>1233</v>
      </c>
      <c r="EB10" s="33">
        <f>ROUND(坦克等级成长!$F107*VLOOKUP($DR$2,坦克等级成长!$B$36:$G$42,MATCH(EB$3,坦克等级成长!$B$35:$G$35,0)),0)</f>
        <v>338</v>
      </c>
      <c r="EC10" s="33">
        <f>ROUND(坦克等级成长!$F107*VLOOKUP($DR$2,坦克等级成长!$B$36:$G$42,MATCH(EC$3,坦克等级成长!$B$35:$G$35,0)),0)</f>
        <v>360</v>
      </c>
      <c r="ED10" s="33">
        <f t="shared" ref="ED10:ED73" si="12">EC10</f>
        <v>360</v>
      </c>
      <c r="EE10" s="33">
        <v>299</v>
      </c>
      <c r="EF10" s="33">
        <f>ROUND(坦克等级成长!$F107*VLOOKUP($DR$2,坦克等级成长!$B$36:$G$42,MATCH(EF$3,坦克等级成长!$B$35:$G$35,0)),0)</f>
        <v>529</v>
      </c>
      <c r="EG10" s="33">
        <f>ROUND(坦克等级成长!$F107*VLOOKUP($DR$2,坦克等级成长!$B$36:$G$42,MATCH(EG$3,坦克等级成长!$B$35:$G$35,0)),0)</f>
        <v>123</v>
      </c>
      <c r="EH10" s="193"/>
      <c r="EI10" s="189"/>
      <c r="EJ10" s="189"/>
      <c r="EK10" s="189"/>
      <c r="EL10" s="189"/>
      <c r="EM10" s="189"/>
      <c r="EN10" s="189"/>
      <c r="EO10" s="200"/>
      <c r="EP10" s="192">
        <v>2</v>
      </c>
      <c r="EQ10" s="33">
        <f>ROUND(坦克等级成长!$D107*VLOOKUP($EP$2,坦克等级成长!$B$36:$G$42,MATCH(EQ$3,坦克等级成长!$B$35:$G$35,0)),0)</f>
        <v>1071</v>
      </c>
      <c r="ER10" s="33">
        <f>ROUND(坦克等级成长!$D107*VLOOKUP($EP$2,坦克等级成长!$B$36:$G$42,MATCH(ER$3,坦克等级成长!$B$35:$G$35,0)),0)</f>
        <v>110</v>
      </c>
      <c r="ES10" s="33">
        <f>ROUND(坦克等级成长!$D107*VLOOKUP($EP$2,坦克等级成长!$B$36:$G$42,MATCH(ES$3,坦克等级成长!$B$35:$G$35,0)),0)</f>
        <v>407</v>
      </c>
      <c r="ET10" s="33">
        <f t="shared" si="6"/>
        <v>407</v>
      </c>
      <c r="EU10" s="33">
        <v>312.75</v>
      </c>
      <c r="EV10" s="33">
        <f>ROUND(坦克等级成长!$D107*VLOOKUP($EP$2,坦克等级成长!$B$36:$G$42,MATCH(EV$3,坦克等级成长!$B$35:$G$35,0)),0)</f>
        <v>446</v>
      </c>
      <c r="EW10" s="33">
        <f>ROUND(坦克等级成长!$D107*VLOOKUP($EP$2,坦克等级成长!$B$36:$G$42,MATCH(EW$3,坦克等级成长!$B$35:$G$35,0)),0)</f>
        <v>107</v>
      </c>
      <c r="EX10" s="199">
        <v>2</v>
      </c>
      <c r="EY10" s="33">
        <f>ROUND(坦克等级成长!$F107*VLOOKUP($EP$2,坦克等级成长!$B$36:$G$42,MATCH(EY$3,坦克等级成长!$B$35:$G$35,0)),0)</f>
        <v>1088</v>
      </c>
      <c r="EZ10" s="33">
        <f>ROUND(坦克等级成长!$F107*VLOOKUP($EP$2,坦克等级成长!$B$36:$G$42,MATCH(EZ$3,坦克等级成长!$B$35:$G$35,0)),0)</f>
        <v>112</v>
      </c>
      <c r="FA10" s="33">
        <f>ROUND(坦克等级成长!$F107*VLOOKUP($EP$2,坦克等级成长!$B$36:$G$42,MATCH(FA$3,坦克等级成长!$B$35:$G$35,0)),0)</f>
        <v>414</v>
      </c>
      <c r="FB10" s="33">
        <f t="shared" ref="FB10:FB73" si="13">FA10</f>
        <v>414</v>
      </c>
      <c r="FC10" s="33">
        <v>323</v>
      </c>
      <c r="FD10" s="33">
        <f>ROUND(坦克等级成长!$F107*VLOOKUP($EP$2,坦克等级成长!$B$36:$G$42,MATCH(FD$3,坦克等级成长!$B$35:$G$35,0)),0)</f>
        <v>454</v>
      </c>
      <c r="FE10" s="33">
        <f>ROUND(坦克等级成长!$F107*VLOOKUP($EP$2,坦克等级成长!$B$36:$G$42,MATCH(FE$3,坦克等级成长!$B$35:$G$35,0)),0)</f>
        <v>109</v>
      </c>
      <c r="FF10" s="193"/>
      <c r="FG10" s="189"/>
      <c r="FH10" s="189"/>
      <c r="FI10" s="189"/>
      <c r="FJ10" s="189"/>
      <c r="FK10" s="189"/>
      <c r="FL10" s="189"/>
      <c r="FM10" s="200"/>
    </row>
    <row r="11" spans="1:169" ht="14.25" x14ac:dyDescent="0.3">
      <c r="A11" s="189">
        <v>2</v>
      </c>
      <c r="B11" s="192">
        <v>3</v>
      </c>
      <c r="C11" s="33">
        <f>ROUND(坦克等级成长!$D108*VLOOKUP($B$2,坦克等级成长!$B$36:$G$42,MATCH(C$3,坦克等级成长!$B$35:$G$35,0)),0)</f>
        <v>1056</v>
      </c>
      <c r="D11" s="33">
        <f>ROUND(坦克等级成长!$D108*VLOOKUP($B$2,坦克等级成长!$B$36:$G$42,MATCH(D$3,坦克等级成长!$B$35:$G$35,0)),0)</f>
        <v>105</v>
      </c>
      <c r="E11" s="33">
        <f>ROUND(坦克等级成长!$D108*VLOOKUP($B$2,坦克等级成长!$B$36:$G$42,MATCH(E$3,坦克等级成长!$B$35:$G$35,0)),0)</f>
        <v>396</v>
      </c>
      <c r="F11" s="33">
        <f t="shared" si="0"/>
        <v>396</v>
      </c>
      <c r="G11" s="33">
        <v>285.60000000000002</v>
      </c>
      <c r="H11" s="33">
        <f>ROUND(坦克等级成长!$D108*VLOOKUP($B$2,坦克等级成长!$B$36:$G$42,MATCH(H$3,坦克等级成长!$B$35:$G$35,0)),0)</f>
        <v>396</v>
      </c>
      <c r="I11" s="33">
        <f>ROUND(坦克等级成长!$D108*VLOOKUP($B$2,坦克等级成长!$B$36:$G$42,MATCH(I$3,坦克等级成长!$B$35:$G$35,0)),0)</f>
        <v>106</v>
      </c>
      <c r="J11" s="199">
        <v>3</v>
      </c>
      <c r="K11" s="33">
        <f>ROUND(坦克等级成长!$F108*VLOOKUP($B$2,坦克等级成长!$B$36:$G$42,MATCH(K$3,坦克等级成长!$B$35:$G$35,0)),0)</f>
        <v>1072</v>
      </c>
      <c r="L11" s="33">
        <f>ROUND(坦克等级成长!$F108*VLOOKUP($B$2,坦克等级成长!$B$36:$G$42,MATCH(L$3,坦克等级成长!$B$35:$G$35,0)),0)</f>
        <v>107</v>
      </c>
      <c r="M11" s="33">
        <f>ROUND(坦克等级成长!$F108*VLOOKUP($B$2,坦克等级成长!$B$36:$G$42,MATCH(M$3,坦克等级成长!$B$35:$G$35,0)),0)</f>
        <v>402</v>
      </c>
      <c r="N11" s="33">
        <f t="shared" si="7"/>
        <v>402</v>
      </c>
      <c r="O11" s="33">
        <v>294</v>
      </c>
      <c r="P11" s="33">
        <f>ROUND(坦克等级成长!$F108*VLOOKUP($B$2,坦克等级成长!$B$36:$G$42,MATCH(P$3,坦克等级成长!$B$35:$G$35,0)),0)</f>
        <v>402</v>
      </c>
      <c r="Q11" s="33">
        <f>ROUND(坦克等级成长!$F108*VLOOKUP($B$2,坦克等级成长!$B$36:$G$42,MATCH(Q$3,坦克等级成长!$B$35:$G$35,0)),0)</f>
        <v>107</v>
      </c>
      <c r="R11" s="193"/>
      <c r="S11" s="189"/>
      <c r="T11" s="189"/>
      <c r="U11" s="189"/>
      <c r="V11" s="189"/>
      <c r="W11" s="189"/>
      <c r="X11" s="189"/>
      <c r="Y11" s="200"/>
      <c r="Z11" s="192">
        <v>3</v>
      </c>
      <c r="AA11" s="33">
        <f>ROUND(坦克等级成长!$D108*VLOOKUP($Z$2,坦克等级成长!$B$36:$G$42,MATCH(AA$3,坦克等级成长!$B$35:$G$35,0)),0)</f>
        <v>1056</v>
      </c>
      <c r="AB11" s="33">
        <f>ROUND(坦克等级成长!$D108*VLOOKUP($Z$2,坦克等级成长!$B$36:$G$42,MATCH(AB$3,坦克等级成长!$B$35:$G$35,0)),0)</f>
        <v>56</v>
      </c>
      <c r="AC11" s="33">
        <f>ROUND(坦克等级成长!$D108*VLOOKUP($Z$2,坦克等级成长!$B$36:$G$42,MATCH(AC$3,坦克等级成长!$B$35:$G$35,0)),0)</f>
        <v>434</v>
      </c>
      <c r="AD11" s="33">
        <f t="shared" si="1"/>
        <v>434</v>
      </c>
      <c r="AE11" s="33">
        <v>312.89999999999998</v>
      </c>
      <c r="AF11" s="33">
        <f>ROUND(坦克等级成长!$D108*VLOOKUP($Z$2,坦克等级成长!$B$36:$G$42,MATCH(AF$3,坦克等级成长!$B$35:$G$35,0)),0)</f>
        <v>396</v>
      </c>
      <c r="AG11" s="33">
        <f>ROUND(坦克等级成长!$D108*VLOOKUP($Z$2,坦克等级成长!$B$36:$G$42,MATCH(AG$3,坦克等级成长!$B$35:$G$35,0)),0)</f>
        <v>106</v>
      </c>
      <c r="AH11" s="199">
        <v>3</v>
      </c>
      <c r="AI11" s="33">
        <f>ROUND(坦克等级成长!$F108*VLOOKUP($Z$2,坦克等级成长!$B$36:$G$42,MATCH(AI$3,坦克等级成长!$B$35:$G$35,0)),0)</f>
        <v>1072</v>
      </c>
      <c r="AJ11" s="33">
        <f>ROUND(坦克等级成长!$F108*VLOOKUP($Z$2,坦克等级成长!$B$36:$G$42,MATCH(AJ$3,坦克等级成长!$B$35:$G$35,0)),0)</f>
        <v>57</v>
      </c>
      <c r="AK11" s="33">
        <f>ROUND(坦克等级成长!$F108*VLOOKUP($Z$2,坦克等级成长!$B$36:$G$42,MATCH(AK$3,坦克等级成长!$B$35:$G$35,0)),0)</f>
        <v>440</v>
      </c>
      <c r="AL11" s="33">
        <f t="shared" si="8"/>
        <v>440</v>
      </c>
      <c r="AM11" s="33">
        <v>322</v>
      </c>
      <c r="AN11" s="33">
        <f>ROUND(坦克等级成长!$F108*VLOOKUP($Z$2,坦克等级成长!$B$36:$G$42,MATCH(AN$3,坦克等级成长!$B$35:$G$35,0)),0)</f>
        <v>402</v>
      </c>
      <c r="AO11" s="33">
        <f>ROUND(坦克等级成长!$F108*VLOOKUP($Z$2,坦克等级成长!$B$36:$G$42,MATCH(AO$3,坦克等级成长!$B$35:$G$35,0)),0)</f>
        <v>107</v>
      </c>
      <c r="AP11" s="193"/>
      <c r="AQ11" s="189"/>
      <c r="AR11" s="189"/>
      <c r="AS11" s="189"/>
      <c r="AT11" s="189"/>
      <c r="AU11" s="189"/>
      <c r="AV11" s="189"/>
      <c r="AW11" s="200"/>
      <c r="AX11" s="192">
        <v>3</v>
      </c>
      <c r="AY11" s="33">
        <f>ROUND(坦克等级成长!$D108*VLOOKUP($AX$2,坦克等级成长!$B$36:$G$42,MATCH(AY$3,坦克等级成长!$B$35:$G$35,0)),0)</f>
        <v>1056</v>
      </c>
      <c r="AZ11" s="33">
        <f>ROUND(坦克等级成长!$D108*VLOOKUP($AX$2,坦克等级成长!$B$36:$G$42,MATCH(AZ$3,坦克等级成长!$B$35:$G$35,0)),0)</f>
        <v>105</v>
      </c>
      <c r="BA11" s="33">
        <f>ROUND(坦克等级成长!$D108*VLOOKUP($AX$2,坦克等级成长!$B$36:$G$42,MATCH(BA$3,坦克等级成长!$B$35:$G$35,0)),0)</f>
        <v>396</v>
      </c>
      <c r="BB11" s="33">
        <f t="shared" si="2"/>
        <v>396</v>
      </c>
      <c r="BC11" s="33">
        <v>285.60000000000002</v>
      </c>
      <c r="BD11" s="33">
        <f>ROUND(坦克等级成长!$D108*VLOOKUP($AX$2,坦克等级成长!$B$36:$G$42,MATCH(BD$3,坦克等级成长!$B$35:$G$35,0)),0)</f>
        <v>396</v>
      </c>
      <c r="BE11" s="33">
        <f>ROUND(坦克等级成长!$D108*VLOOKUP($AX$2,坦克等级成长!$B$36:$G$42,MATCH(BE$3,坦克等级成长!$B$35:$G$35,0)),0)</f>
        <v>106</v>
      </c>
      <c r="BF11" s="199">
        <v>3</v>
      </c>
      <c r="BG11" s="33">
        <f>ROUND(坦克等级成长!$F108*VLOOKUP($AX$2,坦克等级成长!$B$36:$G$42,MATCH(BG$3,坦克等级成长!$B$35:$G$35,0)),0)</f>
        <v>1072</v>
      </c>
      <c r="BH11" s="33">
        <f>ROUND(坦克等级成长!$F108*VLOOKUP($AX$2,坦克等级成长!$B$36:$G$42,MATCH(BH$3,坦克等级成长!$B$35:$G$35,0)),0)</f>
        <v>107</v>
      </c>
      <c r="BI11" s="33">
        <f>ROUND(坦克等级成长!$F108*VLOOKUP($AX$2,坦克等级成长!$B$36:$G$42,MATCH(BI$3,坦克等级成长!$B$35:$G$35,0)),0)</f>
        <v>402</v>
      </c>
      <c r="BJ11" s="33">
        <f t="shared" si="9"/>
        <v>402</v>
      </c>
      <c r="BK11" s="33">
        <v>294</v>
      </c>
      <c r="BL11" s="33">
        <f>ROUND(坦克等级成长!$F108*VLOOKUP($AX$2,坦克等级成长!$B$36:$G$42,MATCH(BL$3,坦克等级成长!$B$35:$G$35,0)),0)</f>
        <v>402</v>
      </c>
      <c r="BM11" s="33">
        <f>ROUND(坦克等级成长!$F108*VLOOKUP($AX$2,坦克等级成长!$B$36:$G$42,MATCH(BM$3,坦克等级成长!$B$35:$G$35,0)),0)</f>
        <v>107</v>
      </c>
      <c r="BN11" s="193"/>
      <c r="BO11" s="189"/>
      <c r="BP11" s="189"/>
      <c r="BQ11" s="189"/>
      <c r="BR11" s="189"/>
      <c r="BS11" s="189"/>
      <c r="BT11" s="189"/>
      <c r="BU11" s="200"/>
      <c r="BV11" s="192">
        <v>3</v>
      </c>
      <c r="BW11" s="33">
        <f>ROUND(坦克等级成长!$D108*VLOOKUP($BV$2,坦克等级成长!$B$36:$G$42,MATCH(BW$3,坦克等级成长!$B$35:$G$35,0)),0)</f>
        <v>1140</v>
      </c>
      <c r="BX11" s="33">
        <f>ROUND(坦克等级成长!$D108*VLOOKUP($BV$2,坦克等级成长!$B$36:$G$42,MATCH(BX$3,坦克等级成长!$B$35:$G$35,0)),0)</f>
        <v>98</v>
      </c>
      <c r="BY11" s="33">
        <f>ROUND(坦克等级成长!$D108*VLOOKUP($BV$2,坦克等级成长!$B$36:$G$42,MATCH(BY$3,坦克等级成长!$B$35:$G$35,0)),0)</f>
        <v>377</v>
      </c>
      <c r="BZ11" s="33">
        <f t="shared" si="3"/>
        <v>377</v>
      </c>
      <c r="CA11" s="33">
        <v>291.75</v>
      </c>
      <c r="CB11" s="33">
        <f>ROUND(坦克等级成长!$D108*VLOOKUP($BV$2,坦克等级成长!$B$36:$G$42,MATCH(CB$3,坦克等级成长!$B$35:$G$35,0)),0)</f>
        <v>475</v>
      </c>
      <c r="CC11" s="33">
        <f>ROUND(坦克等级成长!$D108*VLOOKUP($BV$2,坦克等级成长!$B$36:$G$42,MATCH(CC$3,坦克等级成长!$B$35:$G$35,0)),0)</f>
        <v>114</v>
      </c>
      <c r="CD11" s="199">
        <v>3</v>
      </c>
      <c r="CE11" s="33">
        <f>ROUND(坦克等级成长!$F108*VLOOKUP($BV$2,坦克等级成长!$B$36:$G$42,MATCH(CE$3,坦克等级成长!$B$35:$G$35,0)),0)</f>
        <v>1157</v>
      </c>
      <c r="CF11" s="33">
        <f>ROUND(坦克等级成长!$F108*VLOOKUP($BV$2,坦克等级成长!$B$36:$G$42,MATCH(CF$3,坦克等级成长!$B$35:$G$35,0)),0)</f>
        <v>99</v>
      </c>
      <c r="CG11" s="33">
        <f>ROUND(坦克等级成长!$F108*VLOOKUP($BV$2,坦克等级成长!$B$36:$G$42,MATCH(CG$3,坦克等级成长!$B$35:$G$35,0)),0)</f>
        <v>383</v>
      </c>
      <c r="CH11" s="33">
        <f t="shared" si="10"/>
        <v>383</v>
      </c>
      <c r="CI11" s="33">
        <v>300</v>
      </c>
      <c r="CJ11" s="33">
        <f>ROUND(坦克等级成长!$F108*VLOOKUP($BV$2,坦克等级成长!$B$36:$G$42,MATCH(CJ$3,坦克等级成长!$B$35:$G$35,0)),0)</f>
        <v>482</v>
      </c>
      <c r="CK11" s="33">
        <f>ROUND(坦克等级成长!$F108*VLOOKUP($BV$2,坦克等级成长!$B$36:$G$42,MATCH(CK$3,坦克等级成长!$B$35:$G$35,0)),0)</f>
        <v>116</v>
      </c>
      <c r="CL11" s="193"/>
      <c r="CM11" s="189"/>
      <c r="CN11" s="189"/>
      <c r="CO11" s="189"/>
      <c r="CP11" s="189"/>
      <c r="CQ11" s="189"/>
      <c r="CR11" s="189"/>
      <c r="CS11" s="200"/>
      <c r="CT11" s="192">
        <v>3</v>
      </c>
      <c r="CU11" s="33">
        <f>ROUND(坦克等级成长!$D108*VLOOKUP($CT$2,坦克等级成长!$B$36:$G$42,MATCH(CU$3,坦克等级成长!$B$35:$G$35,0)),0)</f>
        <v>1056</v>
      </c>
      <c r="CV11" s="33">
        <f>ROUND(坦克等级成长!$D108*VLOOKUP($CT$2,坦克等级成长!$B$36:$G$42,MATCH(CV$3,坦克等级成长!$B$35:$G$35,0)),0)</f>
        <v>213</v>
      </c>
      <c r="CW11" s="33">
        <f>ROUND(坦克等级成长!$D108*VLOOKUP($CT$2,坦克等级成长!$B$36:$G$42,MATCH(CW$3,坦克等级成长!$B$35:$G$35,0)),0)</f>
        <v>471</v>
      </c>
      <c r="CX11" s="33">
        <f t="shared" si="4"/>
        <v>471</v>
      </c>
      <c r="CY11" s="33">
        <v>364.5</v>
      </c>
      <c r="CZ11" s="33">
        <f>ROUND(坦克等级成长!$D108*VLOOKUP($CT$2,坦克等级成长!$B$36:$G$42,MATCH(CZ$3,坦克等级成长!$B$35:$G$35,0)),0)</f>
        <v>396</v>
      </c>
      <c r="DA11" s="33">
        <f>ROUND(坦克等级成长!$D108*VLOOKUP($CT$2,坦克等级成长!$B$36:$G$42,MATCH(DA$3,坦克等级成长!$B$35:$G$35,0)),0)</f>
        <v>106</v>
      </c>
      <c r="DB11" s="199">
        <v>3</v>
      </c>
      <c r="DC11" s="33">
        <f>ROUND(坦克等级成长!$F108*VLOOKUP($CT$2,坦克等级成长!$B$36:$G$42,MATCH(DC$3,坦克等级成长!$B$35:$G$35,0)),0)</f>
        <v>1072</v>
      </c>
      <c r="DD11" s="33">
        <f>ROUND(坦克等级成长!$F108*VLOOKUP($CT$2,坦克等级成长!$B$36:$G$42,MATCH(DD$3,坦克等级成长!$B$35:$G$35,0)),0)</f>
        <v>216</v>
      </c>
      <c r="DE11" s="33">
        <f>ROUND(坦克等级成长!$F108*VLOOKUP($CT$2,坦克等级成长!$B$36:$G$42,MATCH(DE$3,坦克等级成长!$B$35:$G$35,0)),0)</f>
        <v>479</v>
      </c>
      <c r="DF11" s="33">
        <f t="shared" si="11"/>
        <v>479</v>
      </c>
      <c r="DG11" s="33">
        <v>375</v>
      </c>
      <c r="DH11" s="33">
        <f>ROUND(坦克等级成长!$F108*VLOOKUP($CT$2,坦克等级成长!$B$36:$G$42,MATCH(DH$3,坦克等级成长!$B$35:$G$35,0)),0)</f>
        <v>402</v>
      </c>
      <c r="DI11" s="33">
        <f>ROUND(坦克等级成长!$F108*VLOOKUP($CT$2,坦克等级成长!$B$36:$G$42,MATCH(DI$3,坦克等级成长!$B$35:$G$35,0)),0)</f>
        <v>107</v>
      </c>
      <c r="DJ11" s="193"/>
      <c r="DK11" s="189"/>
      <c r="DL11" s="189"/>
      <c r="DM11" s="189"/>
      <c r="DN11" s="189"/>
      <c r="DO11" s="189"/>
      <c r="DP11" s="189"/>
      <c r="DQ11" s="200"/>
      <c r="DR11" s="192">
        <v>3</v>
      </c>
      <c r="DS11" s="33">
        <f>ROUND(坦克等级成长!$D108*VLOOKUP($DR$2,坦克等级成长!$B$36:$G$42,MATCH(DS$3,坦克等级成长!$B$35:$G$35,0)),0)</f>
        <v>1292</v>
      </c>
      <c r="DT11" s="33">
        <f>ROUND(坦克等级成长!$D108*VLOOKUP($DR$2,坦克等级成长!$B$36:$G$42,MATCH(DT$3,坦克等级成长!$B$35:$G$35,0)),0)</f>
        <v>354</v>
      </c>
      <c r="DU11" s="33">
        <f>ROUND(坦克等级成长!$D108*VLOOKUP($DR$2,坦克等级成长!$B$36:$G$42,MATCH(DU$3,坦克等级成长!$B$35:$G$35,0)),0)</f>
        <v>377</v>
      </c>
      <c r="DV11" s="33">
        <f t="shared" si="5"/>
        <v>377</v>
      </c>
      <c r="DW11" s="33">
        <v>311.2</v>
      </c>
      <c r="DX11" s="33">
        <f>ROUND(坦克等级成长!$D108*VLOOKUP($DR$2,坦克等级成长!$B$36:$G$42,MATCH(DX$3,坦克等级成长!$B$35:$G$35,0)),0)</f>
        <v>554</v>
      </c>
      <c r="DY11" s="33">
        <f>ROUND(坦克等级成长!$D108*VLOOKUP($DR$2,坦克等级成长!$B$36:$G$42,MATCH(DY$3,坦克等级成长!$B$35:$G$35,0)),0)</f>
        <v>129</v>
      </c>
      <c r="DZ11" s="199">
        <v>3</v>
      </c>
      <c r="EA11" s="33">
        <f>ROUND(坦克等级成长!$F108*VLOOKUP($DR$2,坦克等级成长!$B$36:$G$42,MATCH(EA$3,坦克等级成长!$B$35:$G$35,0)),0)</f>
        <v>1311</v>
      </c>
      <c r="EB11" s="33">
        <f>ROUND(坦克等级成长!$F108*VLOOKUP($DR$2,坦克等级成长!$B$36:$G$42,MATCH(EB$3,坦克等级成长!$B$35:$G$35,0)),0)</f>
        <v>359</v>
      </c>
      <c r="EC11" s="33">
        <f>ROUND(坦克等级成长!$F108*VLOOKUP($DR$2,坦克等级成长!$B$36:$G$42,MATCH(EC$3,坦克等级成长!$B$35:$G$35,0)),0)</f>
        <v>383</v>
      </c>
      <c r="ED11" s="33">
        <f t="shared" si="12"/>
        <v>383</v>
      </c>
      <c r="EE11" s="33">
        <v>320</v>
      </c>
      <c r="EF11" s="33">
        <f>ROUND(坦克等级成长!$F108*VLOOKUP($DR$2,坦克等级成长!$B$36:$G$42,MATCH(EF$3,坦克等级成长!$B$35:$G$35,0)),0)</f>
        <v>563</v>
      </c>
      <c r="EG11" s="33">
        <f>ROUND(坦克等级成长!$F108*VLOOKUP($DR$2,坦克等级成长!$B$36:$G$42,MATCH(EG$3,坦克等级成长!$B$35:$G$35,0)),0)</f>
        <v>131</v>
      </c>
      <c r="EH11" s="193"/>
      <c r="EI11" s="189"/>
      <c r="EJ11" s="189"/>
      <c r="EK11" s="189"/>
      <c r="EL11" s="189"/>
      <c r="EM11" s="189"/>
      <c r="EN11" s="189"/>
      <c r="EO11" s="200"/>
      <c r="EP11" s="192">
        <v>3</v>
      </c>
      <c r="EQ11" s="33">
        <f>ROUND(坦克等级成长!$D108*VLOOKUP($EP$2,坦克等级成长!$B$36:$G$42,MATCH(EQ$3,坦克等级成长!$B$35:$G$35,0)),0)</f>
        <v>1140</v>
      </c>
      <c r="ER11" s="33">
        <f>ROUND(坦克等级成长!$D108*VLOOKUP($EP$2,坦克等级成长!$B$36:$G$42,MATCH(ER$3,坦克等级成长!$B$35:$G$35,0)),0)</f>
        <v>117</v>
      </c>
      <c r="ES11" s="33">
        <f>ROUND(坦克等级成长!$D108*VLOOKUP($EP$2,坦克等级成长!$B$36:$G$42,MATCH(ES$3,坦克等级成长!$B$35:$G$35,0)),0)</f>
        <v>434</v>
      </c>
      <c r="ET11" s="33">
        <f t="shared" si="6"/>
        <v>434</v>
      </c>
      <c r="EU11" s="33">
        <v>335.25</v>
      </c>
      <c r="EV11" s="33">
        <f>ROUND(坦克等级成长!$D108*VLOOKUP($EP$2,坦克等级成长!$B$36:$G$42,MATCH(EV$3,坦克等级成长!$B$35:$G$35,0)),0)</f>
        <v>475</v>
      </c>
      <c r="EW11" s="33">
        <f>ROUND(坦克等级成长!$D108*VLOOKUP($EP$2,坦克等级成长!$B$36:$G$42,MATCH(EW$3,坦克等级成长!$B$35:$G$35,0)),0)</f>
        <v>114</v>
      </c>
      <c r="EX11" s="199">
        <v>3</v>
      </c>
      <c r="EY11" s="33">
        <f>ROUND(坦克等级成长!$F108*VLOOKUP($EP$2,坦克等级成长!$B$36:$G$42,MATCH(EY$3,坦克等级成长!$B$35:$G$35,0)),0)</f>
        <v>1157</v>
      </c>
      <c r="EZ11" s="33">
        <f>ROUND(坦克等级成长!$F108*VLOOKUP($EP$2,坦克等级成长!$B$36:$G$42,MATCH(EZ$3,坦克等级成长!$B$35:$G$35,0)),0)</f>
        <v>119</v>
      </c>
      <c r="FA11" s="33">
        <f>ROUND(坦克等级成长!$F108*VLOOKUP($EP$2,坦克等级成长!$B$36:$G$42,MATCH(FA$3,坦克等级成长!$B$35:$G$35,0)),0)</f>
        <v>440</v>
      </c>
      <c r="FB11" s="33">
        <f t="shared" si="13"/>
        <v>440</v>
      </c>
      <c r="FC11" s="33">
        <v>345</v>
      </c>
      <c r="FD11" s="33">
        <f>ROUND(坦克等级成长!$F108*VLOOKUP($EP$2,坦克等级成长!$B$36:$G$42,MATCH(FD$3,坦克等级成长!$B$35:$G$35,0)),0)</f>
        <v>482</v>
      </c>
      <c r="FE11" s="33">
        <f>ROUND(坦克等级成长!$F108*VLOOKUP($EP$2,坦克等级成长!$B$36:$G$42,MATCH(FE$3,坦克等级成长!$B$35:$G$35,0)),0)</f>
        <v>116</v>
      </c>
      <c r="FF11" s="193"/>
      <c r="FG11" s="189"/>
      <c r="FH11" s="189"/>
      <c r="FI11" s="189"/>
      <c r="FJ11" s="189"/>
      <c r="FK11" s="189"/>
      <c r="FL11" s="189"/>
      <c r="FM11" s="200"/>
    </row>
    <row r="12" spans="1:169" ht="14.25" x14ac:dyDescent="0.3">
      <c r="A12" s="189">
        <v>2</v>
      </c>
      <c r="B12" s="192">
        <v>4</v>
      </c>
      <c r="C12" s="33">
        <f>ROUND(坦克等级成长!$D109*VLOOKUP($B$2,坦克等级成长!$B$36:$G$42,MATCH(C$3,坦克等级成长!$B$35:$G$35,0)),0)</f>
        <v>1120</v>
      </c>
      <c r="D12" s="33">
        <f>ROUND(坦克等级成长!$D109*VLOOKUP($B$2,坦克等级成长!$B$36:$G$42,MATCH(D$3,坦克等级成长!$B$35:$G$35,0)),0)</f>
        <v>112</v>
      </c>
      <c r="E12" s="33">
        <f>ROUND(坦克等级成长!$D109*VLOOKUP($B$2,坦克等级成长!$B$36:$G$42,MATCH(E$3,坦克等级成长!$B$35:$G$35,0)),0)</f>
        <v>420</v>
      </c>
      <c r="F12" s="33">
        <f t="shared" si="0"/>
        <v>420</v>
      </c>
      <c r="G12" s="33">
        <v>304.5</v>
      </c>
      <c r="H12" s="33">
        <f>ROUND(坦克等级成长!$D109*VLOOKUP($B$2,坦克等级成长!$B$36:$G$42,MATCH(H$3,坦克等级成长!$B$35:$G$35,0)),0)</f>
        <v>420</v>
      </c>
      <c r="I12" s="33">
        <f>ROUND(坦克等级成长!$D109*VLOOKUP($B$2,坦克等级成长!$B$36:$G$42,MATCH(I$3,坦克等级成长!$B$35:$G$35,0)),0)</f>
        <v>112</v>
      </c>
      <c r="J12" s="199">
        <v>4</v>
      </c>
      <c r="K12" s="33">
        <f>ROUND(坦克等级成长!$F109*VLOOKUP($B$2,坦克等级成长!$B$36:$G$42,MATCH(K$3,坦克等级成长!$B$35:$G$35,0)),0)</f>
        <v>1136</v>
      </c>
      <c r="L12" s="33">
        <f>ROUND(坦克等级成长!$F109*VLOOKUP($B$2,坦克等级成长!$B$36:$G$42,MATCH(L$3,坦克等级成长!$B$35:$G$35,0)),0)</f>
        <v>113</v>
      </c>
      <c r="M12" s="33">
        <f>ROUND(坦克等级成长!$F109*VLOOKUP($B$2,坦克等级成长!$B$36:$G$42,MATCH(M$3,坦克等级成长!$B$35:$G$35,0)),0)</f>
        <v>426</v>
      </c>
      <c r="N12" s="33">
        <f t="shared" si="7"/>
        <v>426</v>
      </c>
      <c r="O12" s="33">
        <v>313</v>
      </c>
      <c r="P12" s="33">
        <f>ROUND(坦克等级成长!$F109*VLOOKUP($B$2,坦克等级成长!$B$36:$G$42,MATCH(P$3,坦克等级成长!$B$35:$G$35,0)),0)</f>
        <v>426</v>
      </c>
      <c r="Q12" s="33">
        <f>ROUND(坦克等级成长!$F109*VLOOKUP($B$2,坦克等级成长!$B$36:$G$42,MATCH(Q$3,坦克等级成长!$B$35:$G$35,0)),0)</f>
        <v>114</v>
      </c>
      <c r="R12" s="193"/>
      <c r="S12" s="189"/>
      <c r="T12" s="189"/>
      <c r="U12" s="189"/>
      <c r="V12" s="189"/>
      <c r="W12" s="189"/>
      <c r="X12" s="189"/>
      <c r="Y12" s="200"/>
      <c r="Z12" s="192">
        <v>4</v>
      </c>
      <c r="AA12" s="33">
        <f>ROUND(坦克等级成长!$D109*VLOOKUP($Z$2,坦克等级成长!$B$36:$G$42,MATCH(AA$3,坦克等级成长!$B$35:$G$35,0)),0)</f>
        <v>1120</v>
      </c>
      <c r="AB12" s="33">
        <f>ROUND(坦克等级成长!$D109*VLOOKUP($Z$2,坦克等级成长!$B$36:$G$42,MATCH(AB$3,坦克等级成长!$B$35:$G$35,0)),0)</f>
        <v>59</v>
      </c>
      <c r="AC12" s="33">
        <f>ROUND(坦克等级成长!$D109*VLOOKUP($Z$2,坦克等级成长!$B$36:$G$42,MATCH(AC$3,坦克等级成长!$B$35:$G$35,0)),0)</f>
        <v>460</v>
      </c>
      <c r="AD12" s="33">
        <f t="shared" si="1"/>
        <v>460</v>
      </c>
      <c r="AE12" s="33">
        <v>333.2</v>
      </c>
      <c r="AF12" s="33">
        <f>ROUND(坦克等级成长!$D109*VLOOKUP($Z$2,坦克等级成长!$B$36:$G$42,MATCH(AF$3,坦克等级成长!$B$35:$G$35,0)),0)</f>
        <v>420</v>
      </c>
      <c r="AG12" s="33">
        <f>ROUND(坦克等级成长!$D109*VLOOKUP($Z$2,坦克等级成长!$B$36:$G$42,MATCH(AG$3,坦克等级成长!$B$35:$G$35,0)),0)</f>
        <v>112</v>
      </c>
      <c r="AH12" s="199">
        <v>4</v>
      </c>
      <c r="AI12" s="33">
        <f>ROUND(坦克等级成长!$F109*VLOOKUP($Z$2,坦克等级成长!$B$36:$G$42,MATCH(AI$3,坦克等级成长!$B$35:$G$35,0)),0)</f>
        <v>1136</v>
      </c>
      <c r="AJ12" s="33">
        <f>ROUND(坦克等级成长!$F109*VLOOKUP($Z$2,坦克等级成长!$B$36:$G$42,MATCH(AJ$3,坦克等级成长!$B$35:$G$35,0)),0)</f>
        <v>60</v>
      </c>
      <c r="AK12" s="33">
        <f>ROUND(坦克等级成长!$F109*VLOOKUP($Z$2,坦克等级成长!$B$36:$G$42,MATCH(AK$3,坦克等级成长!$B$35:$G$35,0)),0)</f>
        <v>467</v>
      </c>
      <c r="AL12" s="33">
        <f t="shared" si="8"/>
        <v>467</v>
      </c>
      <c r="AM12" s="33">
        <v>343</v>
      </c>
      <c r="AN12" s="33">
        <f>ROUND(坦克等级成长!$F109*VLOOKUP($Z$2,坦克等级成长!$B$36:$G$42,MATCH(AN$3,坦克等级成长!$B$35:$G$35,0)),0)</f>
        <v>426</v>
      </c>
      <c r="AO12" s="33">
        <f>ROUND(坦克等级成长!$F109*VLOOKUP($Z$2,坦克等级成长!$B$36:$G$42,MATCH(AO$3,坦克等级成长!$B$35:$G$35,0)),0)</f>
        <v>114</v>
      </c>
      <c r="AP12" s="193"/>
      <c r="AQ12" s="189"/>
      <c r="AR12" s="189"/>
      <c r="AS12" s="189"/>
      <c r="AT12" s="189"/>
      <c r="AU12" s="189"/>
      <c r="AV12" s="189"/>
      <c r="AW12" s="200"/>
      <c r="AX12" s="192">
        <v>4</v>
      </c>
      <c r="AY12" s="33">
        <f>ROUND(坦克等级成长!$D109*VLOOKUP($AX$2,坦克等级成长!$B$36:$G$42,MATCH(AY$3,坦克等级成长!$B$35:$G$35,0)),0)</f>
        <v>1120</v>
      </c>
      <c r="AZ12" s="33">
        <f>ROUND(坦克等级成长!$D109*VLOOKUP($AX$2,坦克等级成长!$B$36:$G$42,MATCH(AZ$3,坦克等级成长!$B$35:$G$35,0)),0)</f>
        <v>112</v>
      </c>
      <c r="BA12" s="33">
        <f>ROUND(坦克等级成长!$D109*VLOOKUP($AX$2,坦克等级成长!$B$36:$G$42,MATCH(BA$3,坦克等级成长!$B$35:$G$35,0)),0)</f>
        <v>420</v>
      </c>
      <c r="BB12" s="33">
        <f t="shared" si="2"/>
        <v>420</v>
      </c>
      <c r="BC12" s="33">
        <v>304.5</v>
      </c>
      <c r="BD12" s="33">
        <f>ROUND(坦克等级成长!$D109*VLOOKUP($AX$2,坦克等级成长!$B$36:$G$42,MATCH(BD$3,坦克等级成长!$B$35:$G$35,0)),0)</f>
        <v>420</v>
      </c>
      <c r="BE12" s="33">
        <f>ROUND(坦克等级成长!$D109*VLOOKUP($AX$2,坦克等级成长!$B$36:$G$42,MATCH(BE$3,坦克等级成长!$B$35:$G$35,0)),0)</f>
        <v>112</v>
      </c>
      <c r="BF12" s="199">
        <v>4</v>
      </c>
      <c r="BG12" s="33">
        <f>ROUND(坦克等级成长!$F109*VLOOKUP($AX$2,坦克等级成长!$B$36:$G$42,MATCH(BG$3,坦克等级成长!$B$35:$G$35,0)),0)</f>
        <v>1136</v>
      </c>
      <c r="BH12" s="33">
        <f>ROUND(坦克等级成长!$F109*VLOOKUP($AX$2,坦克等级成长!$B$36:$G$42,MATCH(BH$3,坦克等级成长!$B$35:$G$35,0)),0)</f>
        <v>113</v>
      </c>
      <c r="BI12" s="33">
        <f>ROUND(坦克等级成长!$F109*VLOOKUP($AX$2,坦克等级成长!$B$36:$G$42,MATCH(BI$3,坦克等级成长!$B$35:$G$35,0)),0)</f>
        <v>426</v>
      </c>
      <c r="BJ12" s="33">
        <f t="shared" si="9"/>
        <v>426</v>
      </c>
      <c r="BK12" s="33">
        <v>313</v>
      </c>
      <c r="BL12" s="33">
        <f>ROUND(坦克等级成长!$F109*VLOOKUP($AX$2,坦克等级成长!$B$36:$G$42,MATCH(BL$3,坦克等级成长!$B$35:$G$35,0)),0)</f>
        <v>426</v>
      </c>
      <c r="BM12" s="33">
        <f>ROUND(坦克等级成长!$F109*VLOOKUP($AX$2,坦克等级成长!$B$36:$G$42,MATCH(BM$3,坦克等级成长!$B$35:$G$35,0)),0)</f>
        <v>114</v>
      </c>
      <c r="BN12" s="193"/>
      <c r="BO12" s="189"/>
      <c r="BP12" s="189"/>
      <c r="BQ12" s="189"/>
      <c r="BR12" s="189"/>
      <c r="BS12" s="189"/>
      <c r="BT12" s="189"/>
      <c r="BU12" s="200"/>
      <c r="BV12" s="192">
        <v>4</v>
      </c>
      <c r="BW12" s="33">
        <f>ROUND(坦克等级成长!$D109*VLOOKUP($BV$2,坦克等级成长!$B$36:$G$42,MATCH(BW$3,坦克等级成长!$B$35:$G$35,0)),0)</f>
        <v>1209</v>
      </c>
      <c r="BX12" s="33">
        <f>ROUND(坦克等级成长!$D109*VLOOKUP($BV$2,坦克等级成长!$B$36:$G$42,MATCH(BX$3,坦克等级成长!$B$35:$G$35,0)),0)</f>
        <v>104</v>
      </c>
      <c r="BY12" s="33">
        <f>ROUND(坦克等级成长!$D109*VLOOKUP($BV$2,坦克等级成长!$B$36:$G$42,MATCH(BY$3,坦克等级成长!$B$35:$G$35,0)),0)</f>
        <v>400</v>
      </c>
      <c r="BZ12" s="33">
        <f t="shared" si="3"/>
        <v>400</v>
      </c>
      <c r="CA12" s="33">
        <v>310.5</v>
      </c>
      <c r="CB12" s="33">
        <f>ROUND(坦克等级成长!$D109*VLOOKUP($BV$2,坦克等级成长!$B$36:$G$42,MATCH(CB$3,坦克等级成长!$B$35:$G$35,0)),0)</f>
        <v>504</v>
      </c>
      <c r="CC12" s="33">
        <f>ROUND(坦克等级成长!$D109*VLOOKUP($BV$2,坦克等级成长!$B$36:$G$42,MATCH(CC$3,坦克等级成长!$B$35:$G$35,0)),0)</f>
        <v>121</v>
      </c>
      <c r="CD12" s="199">
        <v>4</v>
      </c>
      <c r="CE12" s="33">
        <f>ROUND(坦克等级成长!$F109*VLOOKUP($BV$2,坦克等级成长!$B$36:$G$42,MATCH(CE$3,坦克等级成长!$B$35:$G$35,0)),0)</f>
        <v>1226</v>
      </c>
      <c r="CF12" s="33">
        <f>ROUND(坦克等级成长!$F109*VLOOKUP($BV$2,坦克等级成长!$B$36:$G$42,MATCH(CF$3,坦克等级成长!$B$35:$G$35,0)),0)</f>
        <v>105</v>
      </c>
      <c r="CG12" s="33">
        <f>ROUND(坦克等级成长!$F109*VLOOKUP($BV$2,坦克等级成长!$B$36:$G$42,MATCH(CG$3,坦克等级成长!$B$35:$G$35,0)),0)</f>
        <v>406</v>
      </c>
      <c r="CH12" s="33">
        <f t="shared" si="10"/>
        <v>406</v>
      </c>
      <c r="CI12" s="33">
        <v>320</v>
      </c>
      <c r="CJ12" s="33">
        <f>ROUND(坦克等级成长!$F109*VLOOKUP($BV$2,坦克等级成长!$B$36:$G$42,MATCH(CJ$3,坦克等级成长!$B$35:$G$35,0)),0)</f>
        <v>511</v>
      </c>
      <c r="CK12" s="33">
        <f>ROUND(坦克等级成长!$F109*VLOOKUP($BV$2,坦克等级成长!$B$36:$G$42,MATCH(CK$3,坦克等级成长!$B$35:$G$35,0)),0)</f>
        <v>123</v>
      </c>
      <c r="CL12" s="193"/>
      <c r="CM12" s="189"/>
      <c r="CN12" s="189"/>
      <c r="CO12" s="189"/>
      <c r="CP12" s="189"/>
      <c r="CQ12" s="189"/>
      <c r="CR12" s="189"/>
      <c r="CS12" s="200"/>
      <c r="CT12" s="192">
        <v>4</v>
      </c>
      <c r="CU12" s="33">
        <f>ROUND(坦克等级成长!$D109*VLOOKUP($CT$2,坦克等级成长!$B$36:$G$42,MATCH(CU$3,坦克等级成长!$B$35:$G$35,0)),0)</f>
        <v>1120</v>
      </c>
      <c r="CV12" s="33">
        <f>ROUND(坦克等级成长!$D109*VLOOKUP($CT$2,坦克等级成长!$B$36:$G$42,MATCH(CV$3,坦克等级成长!$B$35:$G$35,0)),0)</f>
        <v>225</v>
      </c>
      <c r="CW12" s="33">
        <f>ROUND(坦克等级成长!$D109*VLOOKUP($CT$2,坦克等级成长!$B$36:$G$42,MATCH(CW$3,坦克等级成长!$B$35:$G$35,0)),0)</f>
        <v>500</v>
      </c>
      <c r="CX12" s="33">
        <f t="shared" si="4"/>
        <v>500</v>
      </c>
      <c r="CY12" s="33">
        <v>388.5</v>
      </c>
      <c r="CZ12" s="33">
        <f>ROUND(坦克等级成长!$D109*VLOOKUP($CT$2,坦克等级成长!$B$36:$G$42,MATCH(CZ$3,坦克等级成长!$B$35:$G$35,0)),0)</f>
        <v>420</v>
      </c>
      <c r="DA12" s="33">
        <f>ROUND(坦克等级成长!$D109*VLOOKUP($CT$2,坦克等级成长!$B$36:$G$42,MATCH(DA$3,坦克等级成长!$B$35:$G$35,0)),0)</f>
        <v>112</v>
      </c>
      <c r="DB12" s="199">
        <v>4</v>
      </c>
      <c r="DC12" s="33">
        <f>ROUND(坦克等级成长!$F109*VLOOKUP($CT$2,坦克等级成长!$B$36:$G$42,MATCH(DC$3,坦克等级成长!$B$35:$G$35,0)),0)</f>
        <v>1136</v>
      </c>
      <c r="DD12" s="33">
        <f>ROUND(坦克等级成长!$F109*VLOOKUP($CT$2,坦克等级成长!$B$36:$G$42,MATCH(DD$3,坦克等级成长!$B$35:$G$35,0)),0)</f>
        <v>229</v>
      </c>
      <c r="DE12" s="33">
        <f>ROUND(坦克等级成长!$F109*VLOOKUP($CT$2,坦克等级成长!$B$36:$G$42,MATCH(DE$3,坦克等级成长!$B$35:$G$35,0)),0)</f>
        <v>507</v>
      </c>
      <c r="DF12" s="33">
        <f t="shared" si="11"/>
        <v>507</v>
      </c>
      <c r="DG12" s="33">
        <v>399</v>
      </c>
      <c r="DH12" s="33">
        <f>ROUND(坦克等级成长!$F109*VLOOKUP($CT$2,坦克等级成长!$B$36:$G$42,MATCH(DH$3,坦克等级成长!$B$35:$G$35,0)),0)</f>
        <v>426</v>
      </c>
      <c r="DI12" s="33">
        <f>ROUND(坦克等级成长!$F109*VLOOKUP($CT$2,坦克等级成长!$B$36:$G$42,MATCH(DI$3,坦克等级成长!$B$35:$G$35,0)),0)</f>
        <v>114</v>
      </c>
      <c r="DJ12" s="193"/>
      <c r="DK12" s="189"/>
      <c r="DL12" s="189"/>
      <c r="DM12" s="189"/>
      <c r="DN12" s="189"/>
      <c r="DO12" s="189"/>
      <c r="DP12" s="189"/>
      <c r="DQ12" s="200"/>
      <c r="DR12" s="192">
        <v>4</v>
      </c>
      <c r="DS12" s="33">
        <f>ROUND(坦克等级成长!$D109*VLOOKUP($DR$2,坦克等级成长!$B$36:$G$42,MATCH(DS$3,坦克等级成长!$B$35:$G$35,0)),0)</f>
        <v>1370</v>
      </c>
      <c r="DT12" s="33">
        <f>ROUND(坦克等级成长!$D109*VLOOKUP($DR$2,坦克等级成长!$B$36:$G$42,MATCH(DT$3,坦克等级成长!$B$35:$G$35,0)),0)</f>
        <v>375</v>
      </c>
      <c r="DU12" s="33">
        <f>ROUND(坦克等级成长!$D109*VLOOKUP($DR$2,坦克等级成长!$B$36:$G$42,MATCH(DU$3,坦克等级成长!$B$35:$G$35,0)),0)</f>
        <v>400</v>
      </c>
      <c r="DV12" s="33">
        <f t="shared" si="5"/>
        <v>400</v>
      </c>
      <c r="DW12" s="33">
        <v>331.2</v>
      </c>
      <c r="DX12" s="33">
        <f>ROUND(坦克等级成长!$D109*VLOOKUP($DR$2,坦克等级成长!$B$36:$G$42,MATCH(DX$3,坦克等级成长!$B$35:$G$35,0)),0)</f>
        <v>588</v>
      </c>
      <c r="DY12" s="33">
        <f>ROUND(坦克等级成长!$D109*VLOOKUP($DR$2,坦克等级成长!$B$36:$G$42,MATCH(DY$3,坦克等级成长!$B$35:$G$35,0)),0)</f>
        <v>137</v>
      </c>
      <c r="DZ12" s="199">
        <v>4</v>
      </c>
      <c r="EA12" s="33">
        <f>ROUND(坦克等级成长!$F109*VLOOKUP($DR$2,坦克等级成长!$B$36:$G$42,MATCH(EA$3,坦克等级成长!$B$35:$G$35,0)),0)</f>
        <v>1390</v>
      </c>
      <c r="EB12" s="33">
        <f>ROUND(坦克等级成长!$F109*VLOOKUP($DR$2,坦克等级成长!$B$36:$G$42,MATCH(EB$3,坦克等级成长!$B$35:$G$35,0)),0)</f>
        <v>381</v>
      </c>
      <c r="EC12" s="33">
        <f>ROUND(坦克等级成长!$F109*VLOOKUP($DR$2,坦克等级成长!$B$36:$G$42,MATCH(EC$3,坦克等级成长!$B$35:$G$35,0)),0)</f>
        <v>406</v>
      </c>
      <c r="ED12" s="33">
        <f t="shared" si="12"/>
        <v>406</v>
      </c>
      <c r="EE12" s="33">
        <v>341</v>
      </c>
      <c r="EF12" s="33">
        <f>ROUND(坦克等级成长!$F109*VLOOKUP($DR$2,坦克等级成长!$B$36:$G$42,MATCH(EF$3,坦克等级成长!$B$35:$G$35,0)),0)</f>
        <v>596</v>
      </c>
      <c r="EG12" s="33">
        <f>ROUND(坦克等级成长!$F109*VLOOKUP($DR$2,坦克等级成长!$B$36:$G$42,MATCH(EG$3,坦克等级成长!$B$35:$G$35,0)),0)</f>
        <v>139</v>
      </c>
      <c r="EH12" s="193"/>
      <c r="EI12" s="189"/>
      <c r="EJ12" s="189"/>
      <c r="EK12" s="189"/>
      <c r="EL12" s="189"/>
      <c r="EM12" s="189"/>
      <c r="EN12" s="189"/>
      <c r="EO12" s="200"/>
      <c r="EP12" s="192">
        <v>4</v>
      </c>
      <c r="EQ12" s="33">
        <f>ROUND(坦克等级成长!$D109*VLOOKUP($EP$2,坦克等级成长!$B$36:$G$42,MATCH(EQ$3,坦克等级成长!$B$35:$G$35,0)),0)</f>
        <v>1209</v>
      </c>
      <c r="ER12" s="33">
        <f>ROUND(坦克等级成长!$D109*VLOOKUP($EP$2,坦克等级成长!$B$36:$G$42,MATCH(ER$3,坦克等级成长!$B$35:$G$35,0)),0)</f>
        <v>125</v>
      </c>
      <c r="ES12" s="33">
        <f>ROUND(坦克等级成长!$D109*VLOOKUP($EP$2,坦克等级成长!$B$36:$G$42,MATCH(ES$3,坦克等级成长!$B$35:$G$35,0)),0)</f>
        <v>460</v>
      </c>
      <c r="ET12" s="33">
        <f t="shared" si="6"/>
        <v>460</v>
      </c>
      <c r="EU12" s="33">
        <v>357</v>
      </c>
      <c r="EV12" s="33">
        <f>ROUND(坦克等级成长!$D109*VLOOKUP($EP$2,坦克等级成长!$B$36:$G$42,MATCH(EV$3,坦克等级成长!$B$35:$G$35,0)),0)</f>
        <v>504</v>
      </c>
      <c r="EW12" s="33">
        <f>ROUND(坦克等级成长!$D109*VLOOKUP($EP$2,坦克等级成长!$B$36:$G$42,MATCH(EW$3,坦克等级成长!$B$35:$G$35,0)),0)</f>
        <v>121</v>
      </c>
      <c r="EX12" s="199">
        <v>4</v>
      </c>
      <c r="EY12" s="33">
        <f>ROUND(坦克等级成长!$F109*VLOOKUP($EP$2,坦克等级成长!$B$36:$G$42,MATCH(EY$3,坦克等级成长!$B$35:$G$35,0)),0)</f>
        <v>1226</v>
      </c>
      <c r="EZ12" s="33">
        <f>ROUND(坦克等级成长!$F109*VLOOKUP($EP$2,坦克等级成长!$B$36:$G$42,MATCH(EZ$3,坦克等级成长!$B$35:$G$35,0)),0)</f>
        <v>126</v>
      </c>
      <c r="FA12" s="33">
        <f>ROUND(坦克等级成长!$F109*VLOOKUP($EP$2,坦克等级成长!$B$36:$G$42,MATCH(FA$3,坦克等级成长!$B$35:$G$35,0)),0)</f>
        <v>467</v>
      </c>
      <c r="FB12" s="33">
        <f t="shared" si="13"/>
        <v>467</v>
      </c>
      <c r="FC12" s="33">
        <v>368</v>
      </c>
      <c r="FD12" s="33">
        <f>ROUND(坦克等级成长!$F109*VLOOKUP($EP$2,坦克等级成长!$B$36:$G$42,MATCH(FD$3,坦克等级成长!$B$35:$G$35,0)),0)</f>
        <v>511</v>
      </c>
      <c r="FE12" s="33">
        <f>ROUND(坦克等级成长!$F109*VLOOKUP($EP$2,坦克等级成长!$B$36:$G$42,MATCH(FE$3,坦克等级成长!$B$35:$G$35,0)),0)</f>
        <v>123</v>
      </c>
      <c r="FF12" s="193"/>
      <c r="FG12" s="189"/>
      <c r="FH12" s="189"/>
      <c r="FI12" s="189"/>
      <c r="FJ12" s="189"/>
      <c r="FK12" s="189"/>
      <c r="FL12" s="189"/>
      <c r="FM12" s="200"/>
    </row>
    <row r="13" spans="1:169" ht="14.25" x14ac:dyDescent="0.3">
      <c r="A13" s="189">
        <v>2</v>
      </c>
      <c r="B13" s="192">
        <v>5</v>
      </c>
      <c r="C13" s="33">
        <f>ROUND(坦克等级成长!$D110*VLOOKUP($B$2,坦克等级成长!$B$36:$G$42,MATCH(C$3,坦克等级成长!$B$35:$G$35,0)),0)</f>
        <v>1184</v>
      </c>
      <c r="D13" s="33">
        <f>ROUND(坦克等级成长!$D110*VLOOKUP($B$2,坦克等级成长!$B$36:$G$42,MATCH(D$3,坦克等级成长!$B$35:$G$35,0)),0)</f>
        <v>118</v>
      </c>
      <c r="E13" s="33">
        <f>ROUND(坦克等级成长!$D110*VLOOKUP($B$2,坦克等级成长!$B$36:$G$42,MATCH(E$3,坦克等级成长!$B$35:$G$35,0)),0)</f>
        <v>444</v>
      </c>
      <c r="F13" s="33">
        <f t="shared" si="0"/>
        <v>444</v>
      </c>
      <c r="G13" s="33">
        <v>323.39999999999998</v>
      </c>
      <c r="H13" s="33">
        <f>ROUND(坦克等级成长!$D110*VLOOKUP($B$2,坦克等级成长!$B$36:$G$42,MATCH(H$3,坦克等级成长!$B$35:$G$35,0)),0)</f>
        <v>444</v>
      </c>
      <c r="I13" s="33">
        <f>ROUND(坦克等级成长!$D110*VLOOKUP($B$2,坦克等级成长!$B$36:$G$42,MATCH(I$3,坦克等级成长!$B$35:$G$35,0)),0)</f>
        <v>118</v>
      </c>
      <c r="J13" s="199">
        <v>5</v>
      </c>
      <c r="K13" s="33">
        <f>ROUND(坦克等级成长!$F110*VLOOKUP($B$2,坦克等级成长!$B$36:$G$42,MATCH(K$3,坦克等级成长!$B$35:$G$35,0)),0)</f>
        <v>1200</v>
      </c>
      <c r="L13" s="33">
        <f>ROUND(坦克等级成长!$F110*VLOOKUP($B$2,坦克等级成长!$B$36:$G$42,MATCH(L$3,坦克等级成长!$B$35:$G$35,0)),0)</f>
        <v>120</v>
      </c>
      <c r="M13" s="33">
        <f>ROUND(坦克等级成长!$F110*VLOOKUP($B$2,坦克等级成长!$B$36:$G$42,MATCH(M$3,坦克等级成长!$B$35:$G$35,0)),0)</f>
        <v>450</v>
      </c>
      <c r="N13" s="33">
        <f t="shared" si="7"/>
        <v>450</v>
      </c>
      <c r="O13" s="33">
        <v>332</v>
      </c>
      <c r="P13" s="33">
        <f>ROUND(坦克等级成长!$F110*VLOOKUP($B$2,坦克等级成长!$B$36:$G$42,MATCH(P$3,坦克等级成长!$B$35:$G$35,0)),0)</f>
        <v>450</v>
      </c>
      <c r="Q13" s="33">
        <f>ROUND(坦克等级成长!$F110*VLOOKUP($B$2,坦克等级成长!$B$36:$G$42,MATCH(Q$3,坦克等级成长!$B$35:$G$35,0)),0)</f>
        <v>120</v>
      </c>
      <c r="R13" s="193"/>
      <c r="S13" s="189"/>
      <c r="T13" s="189"/>
      <c r="U13" s="189"/>
      <c r="V13" s="189"/>
      <c r="W13" s="189"/>
      <c r="X13" s="189"/>
      <c r="Y13" s="200"/>
      <c r="Z13" s="192">
        <v>5</v>
      </c>
      <c r="AA13" s="33">
        <f>ROUND(坦克等级成长!$D110*VLOOKUP($Z$2,坦克等级成长!$B$36:$G$42,MATCH(AA$3,坦克等级成长!$B$35:$G$35,0)),0)</f>
        <v>1184</v>
      </c>
      <c r="AB13" s="33">
        <f>ROUND(坦克等级成长!$D110*VLOOKUP($Z$2,坦克等级成长!$B$36:$G$42,MATCH(AB$3,坦克等级成长!$B$35:$G$35,0)),0)</f>
        <v>63</v>
      </c>
      <c r="AC13" s="33">
        <f>ROUND(坦克等级成长!$D110*VLOOKUP($Z$2,坦克等级成长!$B$36:$G$42,MATCH(AC$3,坦克等级成长!$B$35:$G$35,0)),0)</f>
        <v>486</v>
      </c>
      <c r="AD13" s="33">
        <f t="shared" si="1"/>
        <v>486</v>
      </c>
      <c r="AE13" s="33">
        <v>354.2</v>
      </c>
      <c r="AF13" s="33">
        <f>ROUND(坦克等级成长!$D110*VLOOKUP($Z$2,坦克等级成长!$B$36:$G$42,MATCH(AF$3,坦克等级成长!$B$35:$G$35,0)),0)</f>
        <v>444</v>
      </c>
      <c r="AG13" s="33">
        <f>ROUND(坦克等级成长!$D110*VLOOKUP($Z$2,坦克等级成长!$B$36:$G$42,MATCH(AG$3,坦克等级成长!$B$35:$G$35,0)),0)</f>
        <v>118</v>
      </c>
      <c r="AH13" s="199">
        <v>5</v>
      </c>
      <c r="AI13" s="33">
        <f>ROUND(坦克等级成长!$F110*VLOOKUP($Z$2,坦克等级成长!$B$36:$G$42,MATCH(AI$3,坦克等级成长!$B$35:$G$35,0)),0)</f>
        <v>1200</v>
      </c>
      <c r="AJ13" s="33">
        <f>ROUND(坦克等级成长!$F110*VLOOKUP($Z$2,坦克等级成长!$B$36:$G$42,MATCH(AJ$3,坦克等级成长!$B$35:$G$35,0)),0)</f>
        <v>64</v>
      </c>
      <c r="AK13" s="33">
        <f>ROUND(坦克等级成长!$F110*VLOOKUP($Z$2,坦克等级成长!$B$36:$G$42,MATCH(AK$3,坦克等级成长!$B$35:$G$35,0)),0)</f>
        <v>493</v>
      </c>
      <c r="AL13" s="33">
        <f t="shared" si="8"/>
        <v>493</v>
      </c>
      <c r="AM13" s="33">
        <v>363</v>
      </c>
      <c r="AN13" s="33">
        <f>ROUND(坦克等级成长!$F110*VLOOKUP($Z$2,坦克等级成长!$B$36:$G$42,MATCH(AN$3,坦克等级成长!$B$35:$G$35,0)),0)</f>
        <v>450</v>
      </c>
      <c r="AO13" s="33">
        <f>ROUND(坦克等级成长!$F110*VLOOKUP($Z$2,坦克等级成长!$B$36:$G$42,MATCH(AO$3,坦克等级成长!$B$35:$G$35,0)),0)</f>
        <v>120</v>
      </c>
      <c r="AP13" s="193"/>
      <c r="AQ13" s="189"/>
      <c r="AR13" s="189"/>
      <c r="AS13" s="189"/>
      <c r="AT13" s="189"/>
      <c r="AU13" s="189"/>
      <c r="AV13" s="189"/>
      <c r="AW13" s="200"/>
      <c r="AX13" s="192">
        <v>5</v>
      </c>
      <c r="AY13" s="33">
        <f>ROUND(坦克等级成长!$D110*VLOOKUP($AX$2,坦克等级成长!$B$36:$G$42,MATCH(AY$3,坦克等级成长!$B$35:$G$35,0)),0)</f>
        <v>1184</v>
      </c>
      <c r="AZ13" s="33">
        <f>ROUND(坦克等级成长!$D110*VLOOKUP($AX$2,坦克等级成长!$B$36:$G$42,MATCH(AZ$3,坦克等级成长!$B$35:$G$35,0)),0)</f>
        <v>118</v>
      </c>
      <c r="BA13" s="33">
        <f>ROUND(坦克等级成长!$D110*VLOOKUP($AX$2,坦克等级成长!$B$36:$G$42,MATCH(BA$3,坦克等级成长!$B$35:$G$35,0)),0)</f>
        <v>444</v>
      </c>
      <c r="BB13" s="33">
        <f t="shared" si="2"/>
        <v>444</v>
      </c>
      <c r="BC13" s="33">
        <v>323.39999999999998</v>
      </c>
      <c r="BD13" s="33">
        <f>ROUND(坦克等级成长!$D110*VLOOKUP($AX$2,坦克等级成长!$B$36:$G$42,MATCH(BD$3,坦克等级成长!$B$35:$G$35,0)),0)</f>
        <v>444</v>
      </c>
      <c r="BE13" s="33">
        <f>ROUND(坦克等级成长!$D110*VLOOKUP($AX$2,坦克等级成长!$B$36:$G$42,MATCH(BE$3,坦克等级成长!$B$35:$G$35,0)),0)</f>
        <v>118</v>
      </c>
      <c r="BF13" s="199">
        <v>5</v>
      </c>
      <c r="BG13" s="33">
        <f>ROUND(坦克等级成长!$F110*VLOOKUP($AX$2,坦克等级成长!$B$36:$G$42,MATCH(BG$3,坦克等级成长!$B$35:$G$35,0)),0)</f>
        <v>1200</v>
      </c>
      <c r="BH13" s="33">
        <f>ROUND(坦克等级成长!$F110*VLOOKUP($AX$2,坦克等级成长!$B$36:$G$42,MATCH(BH$3,坦克等级成长!$B$35:$G$35,0)),0)</f>
        <v>120</v>
      </c>
      <c r="BI13" s="33">
        <f>ROUND(坦克等级成长!$F110*VLOOKUP($AX$2,坦克等级成长!$B$36:$G$42,MATCH(BI$3,坦克等级成长!$B$35:$G$35,0)),0)</f>
        <v>450</v>
      </c>
      <c r="BJ13" s="33">
        <f t="shared" si="9"/>
        <v>450</v>
      </c>
      <c r="BK13" s="33">
        <v>332</v>
      </c>
      <c r="BL13" s="33">
        <f>ROUND(坦克等级成长!$F110*VLOOKUP($AX$2,坦克等级成长!$B$36:$G$42,MATCH(BL$3,坦克等级成长!$B$35:$G$35,0)),0)</f>
        <v>450</v>
      </c>
      <c r="BM13" s="33">
        <f>ROUND(坦克等级成长!$F110*VLOOKUP($AX$2,坦克等级成长!$B$36:$G$42,MATCH(BM$3,坦克等级成长!$B$35:$G$35,0)),0)</f>
        <v>120</v>
      </c>
      <c r="BN13" s="193"/>
      <c r="BO13" s="189"/>
      <c r="BP13" s="189"/>
      <c r="BQ13" s="189"/>
      <c r="BR13" s="189"/>
      <c r="BS13" s="189"/>
      <c r="BT13" s="189"/>
      <c r="BU13" s="200"/>
      <c r="BV13" s="192">
        <v>5</v>
      </c>
      <c r="BW13" s="33">
        <f>ROUND(坦克等级成长!$D110*VLOOKUP($BV$2,坦克等级成长!$B$36:$G$42,MATCH(BW$3,坦克等级成长!$B$35:$G$35,0)),0)</f>
        <v>1278</v>
      </c>
      <c r="BX13" s="33">
        <f>ROUND(坦克等级成长!$D110*VLOOKUP($BV$2,坦克等级成长!$B$36:$G$42,MATCH(BX$3,坦克等级成长!$B$35:$G$35,0)),0)</f>
        <v>110</v>
      </c>
      <c r="BY13" s="33">
        <f>ROUND(坦克等级成长!$D110*VLOOKUP($BV$2,坦克等级成长!$B$36:$G$42,MATCH(BY$3,坦克等级成长!$B$35:$G$35,0)),0)</f>
        <v>423</v>
      </c>
      <c r="BZ13" s="33">
        <f t="shared" si="3"/>
        <v>423</v>
      </c>
      <c r="CA13" s="33">
        <v>330</v>
      </c>
      <c r="CB13" s="33">
        <f>ROUND(坦克等级成长!$D110*VLOOKUP($BV$2,坦克等级成长!$B$36:$G$42,MATCH(CB$3,坦克等级成长!$B$35:$G$35,0)),0)</f>
        <v>533</v>
      </c>
      <c r="CC13" s="33">
        <f>ROUND(坦克等级成长!$D110*VLOOKUP($BV$2,坦克等级成长!$B$36:$G$42,MATCH(CC$3,坦克等级成长!$B$35:$G$35,0)),0)</f>
        <v>128</v>
      </c>
      <c r="CD13" s="199">
        <v>5</v>
      </c>
      <c r="CE13" s="33">
        <f>ROUND(坦克等级成长!$F110*VLOOKUP($BV$2,坦克等级成长!$B$36:$G$42,MATCH(CE$3,坦克等级成长!$B$35:$G$35,0)),0)</f>
        <v>1295</v>
      </c>
      <c r="CF13" s="33">
        <f>ROUND(坦克等级成长!$F110*VLOOKUP($BV$2,坦克等级成长!$B$36:$G$42,MATCH(CF$3,坦克等级成长!$B$35:$G$35,0)),0)</f>
        <v>111</v>
      </c>
      <c r="CG13" s="33">
        <f>ROUND(坦克等级成长!$F110*VLOOKUP($BV$2,坦克等级成长!$B$36:$G$42,MATCH(CG$3,坦克等级成长!$B$35:$G$35,0)),0)</f>
        <v>429</v>
      </c>
      <c r="CH13" s="33">
        <f t="shared" si="10"/>
        <v>429</v>
      </c>
      <c r="CI13" s="33">
        <v>338</v>
      </c>
      <c r="CJ13" s="33">
        <f>ROUND(坦克等级成长!$F110*VLOOKUP($BV$2,坦克等级成长!$B$36:$G$42,MATCH(CJ$3,坦克等级成长!$B$35:$G$35,0)),0)</f>
        <v>540</v>
      </c>
      <c r="CK13" s="33">
        <f>ROUND(坦克等级成长!$F110*VLOOKUP($BV$2,坦克等级成长!$B$36:$G$42,MATCH(CK$3,坦克等级成长!$B$35:$G$35,0)),0)</f>
        <v>130</v>
      </c>
      <c r="CL13" s="193"/>
      <c r="CM13" s="189"/>
      <c r="CN13" s="189"/>
      <c r="CO13" s="189"/>
      <c r="CP13" s="189"/>
      <c r="CQ13" s="189"/>
      <c r="CR13" s="189"/>
      <c r="CS13" s="200"/>
      <c r="CT13" s="192">
        <v>5</v>
      </c>
      <c r="CU13" s="33">
        <f>ROUND(坦克等级成长!$D110*VLOOKUP($CT$2,坦克等级成长!$B$36:$G$42,MATCH(CU$3,坦克等级成长!$B$35:$G$35,0)),0)</f>
        <v>1184</v>
      </c>
      <c r="CV13" s="33">
        <f>ROUND(坦克等级成长!$D110*VLOOKUP($CT$2,坦克等级成长!$B$36:$G$42,MATCH(CV$3,坦克等级成长!$B$35:$G$35,0)),0)</f>
        <v>238</v>
      </c>
      <c r="CW13" s="33">
        <f>ROUND(坦克等级成长!$D110*VLOOKUP($CT$2,坦克等级成长!$B$36:$G$42,MATCH(CW$3,坦克等级成长!$B$35:$G$35,0)),0)</f>
        <v>529</v>
      </c>
      <c r="CX13" s="33">
        <f t="shared" si="4"/>
        <v>529</v>
      </c>
      <c r="CY13" s="33">
        <v>412.5</v>
      </c>
      <c r="CZ13" s="33">
        <f>ROUND(坦克等级成长!$D110*VLOOKUP($CT$2,坦克等级成长!$B$36:$G$42,MATCH(CZ$3,坦克等级成长!$B$35:$G$35,0)),0)</f>
        <v>444</v>
      </c>
      <c r="DA13" s="33">
        <f>ROUND(坦克等级成长!$D110*VLOOKUP($CT$2,坦克等级成长!$B$36:$G$42,MATCH(DA$3,坦克等级成长!$B$35:$G$35,0)),0)</f>
        <v>118</v>
      </c>
      <c r="DB13" s="199">
        <v>5</v>
      </c>
      <c r="DC13" s="33">
        <f>ROUND(坦克等级成长!$F110*VLOOKUP($CT$2,坦克等级成长!$B$36:$G$42,MATCH(DC$3,坦克等级成长!$B$35:$G$35,0)),0)</f>
        <v>1200</v>
      </c>
      <c r="DD13" s="33">
        <f>ROUND(坦克等级成长!$F110*VLOOKUP($CT$2,坦克等级成长!$B$36:$G$42,MATCH(DD$3,坦克等级成长!$B$35:$G$35,0)),0)</f>
        <v>242</v>
      </c>
      <c r="DE13" s="33">
        <f>ROUND(坦克等级成长!$F110*VLOOKUP($CT$2,坦克等级成长!$B$36:$G$42,MATCH(DE$3,坦克等级成长!$B$35:$G$35,0)),0)</f>
        <v>536</v>
      </c>
      <c r="DF13" s="33">
        <f t="shared" si="11"/>
        <v>536</v>
      </c>
      <c r="DG13" s="33">
        <v>423</v>
      </c>
      <c r="DH13" s="33">
        <f>ROUND(坦克等级成长!$F110*VLOOKUP($CT$2,坦克等级成长!$B$36:$G$42,MATCH(DH$3,坦克等级成长!$B$35:$G$35,0)),0)</f>
        <v>450</v>
      </c>
      <c r="DI13" s="33">
        <f>ROUND(坦克等级成长!$F110*VLOOKUP($CT$2,坦克等级成长!$B$36:$G$42,MATCH(DI$3,坦克等级成长!$B$35:$G$35,0)),0)</f>
        <v>120</v>
      </c>
      <c r="DJ13" s="193"/>
      <c r="DK13" s="189"/>
      <c r="DL13" s="189"/>
      <c r="DM13" s="189"/>
      <c r="DN13" s="189"/>
      <c r="DO13" s="189"/>
      <c r="DP13" s="189"/>
      <c r="DQ13" s="200"/>
      <c r="DR13" s="192">
        <v>5</v>
      </c>
      <c r="DS13" s="33">
        <f>ROUND(坦克等级成长!$D110*VLOOKUP($DR$2,坦克等级成长!$B$36:$G$42,MATCH(DS$3,坦克等级成长!$B$35:$G$35,0)),0)</f>
        <v>1448</v>
      </c>
      <c r="DT13" s="33">
        <f>ROUND(坦克等级成长!$D110*VLOOKUP($DR$2,坦克等级成长!$B$36:$G$42,MATCH(DT$3,坦克等级成长!$B$35:$G$35,0)),0)</f>
        <v>397</v>
      </c>
      <c r="DU13" s="33">
        <f>ROUND(坦克等级成长!$D110*VLOOKUP($DR$2,坦克等级成长!$B$36:$G$42,MATCH(DU$3,坦克等级成长!$B$35:$G$35,0)),0)</f>
        <v>423</v>
      </c>
      <c r="DV13" s="33">
        <f t="shared" si="5"/>
        <v>423</v>
      </c>
      <c r="DW13" s="33">
        <v>352</v>
      </c>
      <c r="DX13" s="33">
        <f>ROUND(坦克等级成长!$D110*VLOOKUP($DR$2,坦克等级成长!$B$36:$G$42,MATCH(DX$3,坦克等级成长!$B$35:$G$35,0)),0)</f>
        <v>622</v>
      </c>
      <c r="DY13" s="33">
        <f>ROUND(坦克等级成长!$D110*VLOOKUP($DR$2,坦克等级成长!$B$36:$G$42,MATCH(DY$3,坦克等级成长!$B$35:$G$35,0)),0)</f>
        <v>145</v>
      </c>
      <c r="DZ13" s="199">
        <v>5</v>
      </c>
      <c r="EA13" s="33">
        <f>ROUND(坦克等级成长!$F110*VLOOKUP($DR$2,坦克等级成长!$B$36:$G$42,MATCH(EA$3,坦克等级成长!$B$35:$G$35,0)),0)</f>
        <v>1468</v>
      </c>
      <c r="EB13" s="33">
        <f>ROUND(坦克等级成长!$F110*VLOOKUP($DR$2,坦克等级成长!$B$36:$G$42,MATCH(EB$3,坦克等级成长!$B$35:$G$35,0)),0)</f>
        <v>402</v>
      </c>
      <c r="EC13" s="33">
        <f>ROUND(坦克等级成长!$F110*VLOOKUP($DR$2,坦克等级成长!$B$36:$G$42,MATCH(EC$3,坦克等级成长!$B$35:$G$35,0)),0)</f>
        <v>429</v>
      </c>
      <c r="ED13" s="33">
        <f t="shared" si="12"/>
        <v>429</v>
      </c>
      <c r="EE13" s="33">
        <v>361</v>
      </c>
      <c r="EF13" s="33">
        <f>ROUND(坦克等级成长!$F110*VLOOKUP($DR$2,坦克等级成长!$B$36:$G$42,MATCH(EF$3,坦克等级成长!$B$35:$G$35,0)),0)</f>
        <v>630</v>
      </c>
      <c r="EG13" s="33">
        <f>ROUND(坦克等级成长!$F110*VLOOKUP($DR$2,坦克等级成长!$B$36:$G$42,MATCH(EG$3,坦克等级成长!$B$35:$G$35,0)),0)</f>
        <v>147</v>
      </c>
      <c r="EH13" s="193"/>
      <c r="EI13" s="189"/>
      <c r="EJ13" s="189"/>
      <c r="EK13" s="189"/>
      <c r="EL13" s="189"/>
      <c r="EM13" s="189"/>
      <c r="EN13" s="189"/>
      <c r="EO13" s="200"/>
      <c r="EP13" s="192">
        <v>5</v>
      </c>
      <c r="EQ13" s="33">
        <f>ROUND(坦克等级成长!$D110*VLOOKUP($EP$2,坦克等级成长!$B$36:$G$42,MATCH(EQ$3,坦克等级成长!$B$35:$G$35,0)),0)</f>
        <v>1278</v>
      </c>
      <c r="ER13" s="33">
        <f>ROUND(坦克等级成长!$D110*VLOOKUP($EP$2,坦克等级成长!$B$36:$G$42,MATCH(ER$3,坦克等级成长!$B$35:$G$35,0)),0)</f>
        <v>132</v>
      </c>
      <c r="ES13" s="33">
        <f>ROUND(坦克等级成长!$D110*VLOOKUP($EP$2,坦克等级成长!$B$36:$G$42,MATCH(ES$3,坦克等级成长!$B$35:$G$35,0)),0)</f>
        <v>486</v>
      </c>
      <c r="ET13" s="33">
        <f t="shared" si="6"/>
        <v>486</v>
      </c>
      <c r="EU13" s="33">
        <v>379.5</v>
      </c>
      <c r="EV13" s="33">
        <f>ROUND(坦克等级成长!$D110*VLOOKUP($EP$2,坦克等级成长!$B$36:$G$42,MATCH(EV$3,坦克等级成长!$B$35:$G$35,0)),0)</f>
        <v>533</v>
      </c>
      <c r="EW13" s="33">
        <f>ROUND(坦克等级成长!$D110*VLOOKUP($EP$2,坦克等级成长!$B$36:$G$42,MATCH(EW$3,坦克等级成长!$B$35:$G$35,0)),0)</f>
        <v>128</v>
      </c>
      <c r="EX13" s="199">
        <v>5</v>
      </c>
      <c r="EY13" s="33">
        <f>ROUND(坦克等级成长!$F110*VLOOKUP($EP$2,坦克等级成长!$B$36:$G$42,MATCH(EY$3,坦克等级成长!$B$35:$G$35,0)),0)</f>
        <v>1295</v>
      </c>
      <c r="EZ13" s="33">
        <f>ROUND(坦克等级成长!$F110*VLOOKUP($EP$2,坦克等级成长!$B$36:$G$42,MATCH(EZ$3,坦克等级成长!$B$35:$G$35,0)),0)</f>
        <v>133</v>
      </c>
      <c r="FA13" s="33">
        <f>ROUND(坦克等级成长!$F110*VLOOKUP($EP$2,坦克等级成长!$B$36:$G$42,MATCH(FA$3,坦克等级成长!$B$35:$G$35,0)),0)</f>
        <v>493</v>
      </c>
      <c r="FB13" s="33">
        <f t="shared" si="13"/>
        <v>493</v>
      </c>
      <c r="FC13" s="33">
        <v>389</v>
      </c>
      <c r="FD13" s="33">
        <f>ROUND(坦克等级成长!$F110*VLOOKUP($EP$2,坦克等级成长!$B$36:$G$42,MATCH(FD$3,坦克等级成长!$B$35:$G$35,0)),0)</f>
        <v>540</v>
      </c>
      <c r="FE13" s="33">
        <f>ROUND(坦克等级成长!$F110*VLOOKUP($EP$2,坦克等级成长!$B$36:$G$42,MATCH(FE$3,坦克等级成长!$B$35:$G$35,0)),0)</f>
        <v>130</v>
      </c>
      <c r="FF13" s="193"/>
      <c r="FG13" s="189"/>
      <c r="FH13" s="189"/>
      <c r="FI13" s="189"/>
      <c r="FJ13" s="189"/>
      <c r="FK13" s="189"/>
      <c r="FL13" s="189"/>
      <c r="FM13" s="200"/>
    </row>
    <row r="14" spans="1:169" ht="14.25" x14ac:dyDescent="0.3">
      <c r="A14" s="189">
        <v>2</v>
      </c>
      <c r="B14" s="192">
        <v>6</v>
      </c>
      <c r="C14" s="33">
        <f>ROUND(坦克等级成长!$D111*VLOOKUP($B$2,坦克等级成长!$B$36:$G$42,MATCH(C$3,坦克等级成长!$B$35:$G$35,0)),0)</f>
        <v>1248</v>
      </c>
      <c r="D14" s="33">
        <f>ROUND(坦克等级成长!$D111*VLOOKUP($B$2,坦克等级成长!$B$36:$G$42,MATCH(D$3,坦克等级成长!$B$35:$G$35,0)),0)</f>
        <v>124</v>
      </c>
      <c r="E14" s="33">
        <f>ROUND(坦克等级成长!$D111*VLOOKUP($B$2,坦克等级成长!$B$36:$G$42,MATCH(E$3,坦克等级成长!$B$35:$G$35,0)),0)</f>
        <v>468</v>
      </c>
      <c r="F14" s="33">
        <f t="shared" si="0"/>
        <v>468</v>
      </c>
      <c r="G14" s="33">
        <v>342.3</v>
      </c>
      <c r="H14" s="33">
        <f>ROUND(坦克等级成长!$D111*VLOOKUP($B$2,坦克等级成长!$B$36:$G$42,MATCH(H$3,坦克等级成长!$B$35:$G$35,0)),0)</f>
        <v>468</v>
      </c>
      <c r="I14" s="33">
        <f>ROUND(坦克等级成长!$D111*VLOOKUP($B$2,坦克等级成长!$B$36:$G$42,MATCH(I$3,坦克等级成长!$B$35:$G$35,0)),0)</f>
        <v>125</v>
      </c>
      <c r="J14" s="199">
        <v>6</v>
      </c>
      <c r="K14" s="33">
        <f>ROUND(坦克等级成长!$F111*VLOOKUP($B$2,坦克等级成长!$B$36:$G$42,MATCH(K$3,坦克等级成长!$B$35:$G$35,0)),0)</f>
        <v>1264</v>
      </c>
      <c r="L14" s="33">
        <f>ROUND(坦克等级成长!$F111*VLOOKUP($B$2,坦克等级成长!$B$36:$G$42,MATCH(L$3,坦克等级成长!$B$35:$G$35,0)),0)</f>
        <v>126</v>
      </c>
      <c r="M14" s="33">
        <f>ROUND(坦克等级成长!$F111*VLOOKUP($B$2,坦克等级成长!$B$36:$G$42,MATCH(M$3,坦克等级成长!$B$35:$G$35,0)),0)</f>
        <v>474</v>
      </c>
      <c r="N14" s="33">
        <f t="shared" si="7"/>
        <v>474</v>
      </c>
      <c r="O14" s="33">
        <v>351</v>
      </c>
      <c r="P14" s="33">
        <f>ROUND(坦克等级成长!$F111*VLOOKUP($B$2,坦克等级成长!$B$36:$G$42,MATCH(P$3,坦克等级成长!$B$35:$G$35,0)),0)</f>
        <v>474</v>
      </c>
      <c r="Q14" s="33">
        <f>ROUND(坦克等级成长!$F111*VLOOKUP($B$2,坦克等级成长!$B$36:$G$42,MATCH(Q$3,坦克等级成长!$B$35:$G$35,0)),0)</f>
        <v>126</v>
      </c>
      <c r="R14" s="193"/>
      <c r="S14" s="189"/>
      <c r="T14" s="189"/>
      <c r="U14" s="189"/>
      <c r="V14" s="189"/>
      <c r="W14" s="189"/>
      <c r="X14" s="189"/>
      <c r="Y14" s="200"/>
      <c r="Z14" s="192">
        <v>6</v>
      </c>
      <c r="AA14" s="33">
        <f>ROUND(坦克等级成长!$D111*VLOOKUP($Z$2,坦克等级成长!$B$36:$G$42,MATCH(AA$3,坦克等级成长!$B$35:$G$35,0)),0)</f>
        <v>1248</v>
      </c>
      <c r="AB14" s="33">
        <f>ROUND(坦克等级成长!$D111*VLOOKUP($Z$2,坦克等级成长!$B$36:$G$42,MATCH(AB$3,坦克等级成长!$B$35:$G$35,0)),0)</f>
        <v>66</v>
      </c>
      <c r="AC14" s="33">
        <f>ROUND(坦克等级成长!$D111*VLOOKUP($Z$2,坦克等级成长!$B$36:$G$42,MATCH(AC$3,坦克等级成长!$B$35:$G$35,0)),0)</f>
        <v>513</v>
      </c>
      <c r="AD14" s="33">
        <f t="shared" si="1"/>
        <v>513</v>
      </c>
      <c r="AE14" s="33">
        <v>375.2</v>
      </c>
      <c r="AF14" s="33">
        <f>ROUND(坦克等级成长!$D111*VLOOKUP($Z$2,坦克等级成长!$B$36:$G$42,MATCH(AF$3,坦克等级成长!$B$35:$G$35,0)),0)</f>
        <v>468</v>
      </c>
      <c r="AG14" s="33">
        <f>ROUND(坦克等级成长!$D111*VLOOKUP($Z$2,坦克等级成长!$B$36:$G$42,MATCH(AG$3,坦克等级成长!$B$35:$G$35,0)),0)</f>
        <v>125</v>
      </c>
      <c r="AH14" s="199">
        <v>6</v>
      </c>
      <c r="AI14" s="33">
        <f>ROUND(坦克等级成长!$F111*VLOOKUP($Z$2,坦克等级成长!$B$36:$G$42,MATCH(AI$3,坦克等级成长!$B$35:$G$35,0)),0)</f>
        <v>1264</v>
      </c>
      <c r="AJ14" s="33">
        <f>ROUND(坦克等级成长!$F111*VLOOKUP($Z$2,坦克等级成长!$B$36:$G$42,MATCH(AJ$3,坦克等级成长!$B$35:$G$35,0)),0)</f>
        <v>67</v>
      </c>
      <c r="AK14" s="33">
        <f>ROUND(坦克等级成长!$F111*VLOOKUP($Z$2,坦克等级成长!$B$36:$G$42,MATCH(AK$3,坦克等级成长!$B$35:$G$35,0)),0)</f>
        <v>519</v>
      </c>
      <c r="AL14" s="33">
        <f t="shared" si="8"/>
        <v>519</v>
      </c>
      <c r="AM14" s="33">
        <v>384</v>
      </c>
      <c r="AN14" s="33">
        <f>ROUND(坦克等级成长!$F111*VLOOKUP($Z$2,坦克等级成长!$B$36:$G$42,MATCH(AN$3,坦克等级成长!$B$35:$G$35,0)),0)</f>
        <v>474</v>
      </c>
      <c r="AO14" s="33">
        <f>ROUND(坦克等级成长!$F111*VLOOKUP($Z$2,坦克等级成长!$B$36:$G$42,MATCH(AO$3,坦克等级成长!$B$35:$G$35,0)),0)</f>
        <v>126</v>
      </c>
      <c r="AP14" s="193"/>
      <c r="AQ14" s="189"/>
      <c r="AR14" s="189"/>
      <c r="AS14" s="189"/>
      <c r="AT14" s="189"/>
      <c r="AU14" s="189"/>
      <c r="AV14" s="189"/>
      <c r="AW14" s="200"/>
      <c r="AX14" s="192">
        <v>6</v>
      </c>
      <c r="AY14" s="33">
        <f>ROUND(坦克等级成长!$D111*VLOOKUP($AX$2,坦克等级成长!$B$36:$G$42,MATCH(AY$3,坦克等级成长!$B$35:$G$35,0)),0)</f>
        <v>1248</v>
      </c>
      <c r="AZ14" s="33">
        <f>ROUND(坦克等级成长!$D111*VLOOKUP($AX$2,坦克等级成长!$B$36:$G$42,MATCH(AZ$3,坦克等级成长!$B$35:$G$35,0)),0)</f>
        <v>124</v>
      </c>
      <c r="BA14" s="33">
        <f>ROUND(坦克等级成长!$D111*VLOOKUP($AX$2,坦克等级成长!$B$36:$G$42,MATCH(BA$3,坦克等级成长!$B$35:$G$35,0)),0)</f>
        <v>468</v>
      </c>
      <c r="BB14" s="33">
        <f t="shared" si="2"/>
        <v>468</v>
      </c>
      <c r="BC14" s="33">
        <v>342.3</v>
      </c>
      <c r="BD14" s="33">
        <f>ROUND(坦克等级成长!$D111*VLOOKUP($AX$2,坦克等级成长!$B$36:$G$42,MATCH(BD$3,坦克等级成长!$B$35:$G$35,0)),0)</f>
        <v>468</v>
      </c>
      <c r="BE14" s="33">
        <f>ROUND(坦克等级成长!$D111*VLOOKUP($AX$2,坦克等级成长!$B$36:$G$42,MATCH(BE$3,坦克等级成长!$B$35:$G$35,0)),0)</f>
        <v>125</v>
      </c>
      <c r="BF14" s="199">
        <v>6</v>
      </c>
      <c r="BG14" s="33">
        <f>ROUND(坦克等级成长!$F111*VLOOKUP($AX$2,坦克等级成长!$B$36:$G$42,MATCH(BG$3,坦克等级成长!$B$35:$G$35,0)),0)</f>
        <v>1264</v>
      </c>
      <c r="BH14" s="33">
        <f>ROUND(坦克等级成长!$F111*VLOOKUP($AX$2,坦克等级成长!$B$36:$G$42,MATCH(BH$3,坦克等级成长!$B$35:$G$35,0)),0)</f>
        <v>126</v>
      </c>
      <c r="BI14" s="33">
        <f>ROUND(坦克等级成长!$F111*VLOOKUP($AX$2,坦克等级成长!$B$36:$G$42,MATCH(BI$3,坦克等级成长!$B$35:$G$35,0)),0)</f>
        <v>474</v>
      </c>
      <c r="BJ14" s="33">
        <f t="shared" si="9"/>
        <v>474</v>
      </c>
      <c r="BK14" s="33">
        <v>351</v>
      </c>
      <c r="BL14" s="33">
        <f>ROUND(坦克等级成长!$F111*VLOOKUP($AX$2,坦克等级成长!$B$36:$G$42,MATCH(BL$3,坦克等级成长!$B$35:$G$35,0)),0)</f>
        <v>474</v>
      </c>
      <c r="BM14" s="33">
        <f>ROUND(坦克等级成长!$F111*VLOOKUP($AX$2,坦克等级成长!$B$36:$G$42,MATCH(BM$3,坦克等级成长!$B$35:$G$35,0)),0)</f>
        <v>126</v>
      </c>
      <c r="BN14" s="193"/>
      <c r="BO14" s="189"/>
      <c r="BP14" s="189"/>
      <c r="BQ14" s="189"/>
      <c r="BR14" s="189"/>
      <c r="BS14" s="189"/>
      <c r="BT14" s="189"/>
      <c r="BU14" s="200"/>
      <c r="BV14" s="192">
        <v>6</v>
      </c>
      <c r="BW14" s="33">
        <f>ROUND(坦克等级成长!$D111*VLOOKUP($BV$2,坦克等级成长!$B$36:$G$42,MATCH(BW$3,坦克等级成长!$B$35:$G$35,0)),0)</f>
        <v>1347</v>
      </c>
      <c r="BX14" s="33">
        <f>ROUND(坦克等级成长!$D111*VLOOKUP($BV$2,坦克等级成长!$B$36:$G$42,MATCH(BX$3,坦克等级成长!$B$35:$G$35,0)),0)</f>
        <v>116</v>
      </c>
      <c r="BY14" s="33">
        <f>ROUND(坦克等级成长!$D111*VLOOKUP($BV$2,坦克等级成长!$B$36:$G$42,MATCH(BY$3,坦克等级成长!$B$35:$G$35,0)),0)</f>
        <v>446</v>
      </c>
      <c r="BZ14" s="33">
        <f t="shared" si="3"/>
        <v>446</v>
      </c>
      <c r="CA14" s="33">
        <v>349.5</v>
      </c>
      <c r="CB14" s="33">
        <f>ROUND(坦克等级成长!$D111*VLOOKUP($BV$2,坦克等级成长!$B$36:$G$42,MATCH(CB$3,坦克等级成长!$B$35:$G$35,0)),0)</f>
        <v>562</v>
      </c>
      <c r="CC14" s="33">
        <f>ROUND(坦克等级成长!$D111*VLOOKUP($BV$2,坦克等级成长!$B$36:$G$42,MATCH(CC$3,坦克等级成长!$B$35:$G$35,0)),0)</f>
        <v>135</v>
      </c>
      <c r="CD14" s="199">
        <v>6</v>
      </c>
      <c r="CE14" s="33">
        <f>ROUND(坦克等级成长!$F111*VLOOKUP($BV$2,坦克等级成长!$B$36:$G$42,MATCH(CE$3,坦克等级成长!$B$35:$G$35,0)),0)</f>
        <v>1364</v>
      </c>
      <c r="CF14" s="33">
        <f>ROUND(坦克等级成长!$F111*VLOOKUP($BV$2,坦克等级成长!$B$36:$G$42,MATCH(CF$3,坦克等级成长!$B$35:$G$35,0)),0)</f>
        <v>117</v>
      </c>
      <c r="CG14" s="33">
        <f>ROUND(坦克等级成长!$F111*VLOOKUP($BV$2,坦克等级成长!$B$36:$G$42,MATCH(CG$3,坦克等级成长!$B$35:$G$35,0)),0)</f>
        <v>451</v>
      </c>
      <c r="CH14" s="33">
        <f t="shared" si="10"/>
        <v>451</v>
      </c>
      <c r="CI14" s="33">
        <v>358</v>
      </c>
      <c r="CJ14" s="33">
        <f>ROUND(坦克等级成长!$F111*VLOOKUP($BV$2,坦克等级成长!$B$36:$G$42,MATCH(CJ$3,坦克等级成长!$B$35:$G$35,0)),0)</f>
        <v>569</v>
      </c>
      <c r="CK14" s="33">
        <f>ROUND(坦克等级成长!$F111*VLOOKUP($BV$2,坦克等级成长!$B$36:$G$42,MATCH(CK$3,坦克等级成长!$B$35:$G$35,0)),0)</f>
        <v>136</v>
      </c>
      <c r="CL14" s="193"/>
      <c r="CM14" s="189"/>
      <c r="CN14" s="189"/>
      <c r="CO14" s="189"/>
      <c r="CP14" s="189"/>
      <c r="CQ14" s="189"/>
      <c r="CR14" s="189"/>
      <c r="CS14" s="200"/>
      <c r="CT14" s="192">
        <v>6</v>
      </c>
      <c r="CU14" s="33">
        <f>ROUND(坦克等级成长!$D111*VLOOKUP($CT$2,坦克等级成长!$B$36:$G$42,MATCH(CU$3,坦克等级成长!$B$35:$G$35,0)),0)</f>
        <v>1248</v>
      </c>
      <c r="CV14" s="33">
        <f>ROUND(坦克等级成长!$D111*VLOOKUP($CT$2,坦克等级成长!$B$36:$G$42,MATCH(CV$3,坦克等级成长!$B$35:$G$35,0)),0)</f>
        <v>251</v>
      </c>
      <c r="CW14" s="33">
        <f>ROUND(坦克等级成长!$D111*VLOOKUP($CT$2,坦克等级成长!$B$36:$G$42,MATCH(CW$3,坦克等级成长!$B$35:$G$35,0)),0)</f>
        <v>557</v>
      </c>
      <c r="CX14" s="33">
        <f t="shared" si="4"/>
        <v>557</v>
      </c>
      <c r="CY14" s="33">
        <v>436.5</v>
      </c>
      <c r="CZ14" s="33">
        <f>ROUND(坦克等级成长!$D111*VLOOKUP($CT$2,坦克等级成长!$B$36:$G$42,MATCH(CZ$3,坦克等级成长!$B$35:$G$35,0)),0)</f>
        <v>468</v>
      </c>
      <c r="DA14" s="33">
        <f>ROUND(坦克等级成长!$D111*VLOOKUP($CT$2,坦克等级成长!$B$36:$G$42,MATCH(DA$3,坦克等级成长!$B$35:$G$35,0)),0)</f>
        <v>125</v>
      </c>
      <c r="DB14" s="199">
        <v>6</v>
      </c>
      <c r="DC14" s="33">
        <f>ROUND(坦克等级成长!$F111*VLOOKUP($CT$2,坦克等级成长!$B$36:$G$42,MATCH(DC$3,坦克等级成长!$B$35:$G$35,0)),0)</f>
        <v>1264</v>
      </c>
      <c r="DD14" s="33">
        <f>ROUND(坦克等级成长!$F111*VLOOKUP($CT$2,坦克等级成长!$B$36:$G$42,MATCH(DD$3,坦克等级成长!$B$35:$G$35,0)),0)</f>
        <v>254</v>
      </c>
      <c r="DE14" s="33">
        <f>ROUND(坦克等级成长!$F111*VLOOKUP($CT$2,坦克等级成长!$B$36:$G$42,MATCH(DE$3,坦克等级成长!$B$35:$G$35,0)),0)</f>
        <v>564</v>
      </c>
      <c r="DF14" s="33">
        <f t="shared" si="11"/>
        <v>564</v>
      </c>
      <c r="DG14" s="33">
        <v>447</v>
      </c>
      <c r="DH14" s="33">
        <f>ROUND(坦克等级成长!$F111*VLOOKUP($CT$2,坦克等级成长!$B$36:$G$42,MATCH(DH$3,坦克等级成长!$B$35:$G$35,0)),0)</f>
        <v>474</v>
      </c>
      <c r="DI14" s="33">
        <f>ROUND(坦克等级成长!$F111*VLOOKUP($CT$2,坦克等级成长!$B$36:$G$42,MATCH(DI$3,坦克等级成长!$B$35:$G$35,0)),0)</f>
        <v>126</v>
      </c>
      <c r="DJ14" s="193"/>
      <c r="DK14" s="189"/>
      <c r="DL14" s="189"/>
      <c r="DM14" s="189"/>
      <c r="DN14" s="189"/>
      <c r="DO14" s="189"/>
      <c r="DP14" s="189"/>
      <c r="DQ14" s="200"/>
      <c r="DR14" s="192">
        <v>6</v>
      </c>
      <c r="DS14" s="33">
        <f>ROUND(坦克等级成长!$D111*VLOOKUP($DR$2,坦克等级成长!$B$36:$G$42,MATCH(DS$3,坦克等级成长!$B$35:$G$35,0)),0)</f>
        <v>1527</v>
      </c>
      <c r="DT14" s="33">
        <f>ROUND(坦克等级成长!$D111*VLOOKUP($DR$2,坦克等级成长!$B$36:$G$42,MATCH(DT$3,坦克等级成长!$B$35:$G$35,0)),0)</f>
        <v>418</v>
      </c>
      <c r="DU14" s="33">
        <f>ROUND(坦克等级成长!$D111*VLOOKUP($DR$2,坦克等级成长!$B$36:$G$42,MATCH(DU$3,坦克等级成长!$B$35:$G$35,0)),0)</f>
        <v>446</v>
      </c>
      <c r="DV14" s="33">
        <f t="shared" si="5"/>
        <v>446</v>
      </c>
      <c r="DW14" s="33">
        <v>372.8</v>
      </c>
      <c r="DX14" s="33">
        <f>ROUND(坦克等级成长!$D111*VLOOKUP($DR$2,坦克等级成长!$B$36:$G$42,MATCH(DX$3,坦克等级成长!$B$35:$G$35,0)),0)</f>
        <v>655</v>
      </c>
      <c r="DY14" s="33">
        <f>ROUND(坦克等级成长!$D111*VLOOKUP($DR$2,坦克等级成长!$B$36:$G$42,MATCH(DY$3,坦克等级成长!$B$35:$G$35,0)),0)</f>
        <v>153</v>
      </c>
      <c r="DZ14" s="199">
        <v>6</v>
      </c>
      <c r="EA14" s="33">
        <f>ROUND(坦克等级成长!$F111*VLOOKUP($DR$2,坦克等级成长!$B$36:$G$42,MATCH(EA$3,坦克等级成长!$B$35:$G$35,0)),0)</f>
        <v>1546</v>
      </c>
      <c r="EB14" s="33">
        <f>ROUND(坦克等级成长!$F111*VLOOKUP($DR$2,坦克等级成长!$B$36:$G$42,MATCH(EB$3,坦克等级成长!$B$35:$G$35,0)),0)</f>
        <v>424</v>
      </c>
      <c r="EC14" s="33">
        <f>ROUND(坦克等级成长!$F111*VLOOKUP($DR$2,坦克等级成长!$B$36:$G$42,MATCH(EC$3,坦克等级成长!$B$35:$G$35,0)),0)</f>
        <v>451</v>
      </c>
      <c r="ED14" s="33">
        <f t="shared" si="12"/>
        <v>451</v>
      </c>
      <c r="EE14" s="33">
        <v>382</v>
      </c>
      <c r="EF14" s="33">
        <f>ROUND(坦克等级成长!$F111*VLOOKUP($DR$2,坦克等级成长!$B$36:$G$42,MATCH(EF$3,坦克等级成长!$B$35:$G$35,0)),0)</f>
        <v>664</v>
      </c>
      <c r="EG14" s="33">
        <f>ROUND(坦克等级成长!$F111*VLOOKUP($DR$2,坦克等级成长!$B$36:$G$42,MATCH(EG$3,坦克等级成长!$B$35:$G$35,0)),0)</f>
        <v>155</v>
      </c>
      <c r="EH14" s="193"/>
      <c r="EI14" s="189"/>
      <c r="EJ14" s="189"/>
      <c r="EK14" s="189"/>
      <c r="EL14" s="189"/>
      <c r="EM14" s="189"/>
      <c r="EN14" s="189"/>
      <c r="EO14" s="200"/>
      <c r="EP14" s="192">
        <v>6</v>
      </c>
      <c r="EQ14" s="33">
        <f>ROUND(坦克等级成长!$D111*VLOOKUP($EP$2,坦克等级成长!$B$36:$G$42,MATCH(EQ$3,坦克等级成长!$B$35:$G$35,0)),0)</f>
        <v>1347</v>
      </c>
      <c r="ER14" s="33">
        <f>ROUND(坦克等级成长!$D111*VLOOKUP($EP$2,坦克等级成长!$B$36:$G$42,MATCH(ER$3,坦克等级成长!$B$35:$G$35,0)),0)</f>
        <v>139</v>
      </c>
      <c r="ES14" s="33">
        <f>ROUND(坦克等级成长!$D111*VLOOKUP($EP$2,坦克等级成长!$B$36:$G$42,MATCH(ES$3,坦克等级成长!$B$35:$G$35,0)),0)</f>
        <v>513</v>
      </c>
      <c r="ET14" s="33">
        <f t="shared" si="6"/>
        <v>513</v>
      </c>
      <c r="EU14" s="33">
        <v>402</v>
      </c>
      <c r="EV14" s="33">
        <f>ROUND(坦克等级成长!$D111*VLOOKUP($EP$2,坦克等级成长!$B$36:$G$42,MATCH(EV$3,坦克等级成长!$B$35:$G$35,0)),0)</f>
        <v>562</v>
      </c>
      <c r="EW14" s="33">
        <f>ROUND(坦克等级成长!$D111*VLOOKUP($EP$2,坦克等级成长!$B$36:$G$42,MATCH(EW$3,坦克等级成长!$B$35:$G$35,0)),0)</f>
        <v>135</v>
      </c>
      <c r="EX14" s="199">
        <v>6</v>
      </c>
      <c r="EY14" s="33">
        <f>ROUND(坦克等级成长!$F111*VLOOKUP($EP$2,坦克等级成长!$B$36:$G$42,MATCH(EY$3,坦克等级成长!$B$35:$G$35,0)),0)</f>
        <v>1364</v>
      </c>
      <c r="EZ14" s="33">
        <f>ROUND(坦克等级成长!$F111*VLOOKUP($EP$2,坦克等级成长!$B$36:$G$42,MATCH(EZ$3,坦克等级成长!$B$35:$G$35,0)),0)</f>
        <v>141</v>
      </c>
      <c r="FA14" s="33">
        <f>ROUND(坦克等级成长!$F111*VLOOKUP($EP$2,坦克等级成长!$B$36:$G$42,MATCH(FA$3,坦克等级成长!$B$35:$G$35,0)),0)</f>
        <v>519</v>
      </c>
      <c r="FB14" s="33">
        <f t="shared" si="13"/>
        <v>519</v>
      </c>
      <c r="FC14" s="33">
        <v>412</v>
      </c>
      <c r="FD14" s="33">
        <f>ROUND(坦克等级成长!$F111*VLOOKUP($EP$2,坦克等级成长!$B$36:$G$42,MATCH(FD$3,坦克等级成长!$B$35:$G$35,0)),0)</f>
        <v>569</v>
      </c>
      <c r="FE14" s="33">
        <f>ROUND(坦克等级成长!$F111*VLOOKUP($EP$2,坦克等级成长!$B$36:$G$42,MATCH(FE$3,坦克等级成长!$B$35:$G$35,0)),0)</f>
        <v>136</v>
      </c>
      <c r="FF14" s="193"/>
      <c r="FG14" s="189"/>
      <c r="FH14" s="189"/>
      <c r="FI14" s="189"/>
      <c r="FJ14" s="189"/>
      <c r="FK14" s="189"/>
      <c r="FL14" s="189"/>
      <c r="FM14" s="200"/>
    </row>
    <row r="15" spans="1:169" ht="14.25" x14ac:dyDescent="0.3">
      <c r="A15" s="189">
        <v>2</v>
      </c>
      <c r="B15" s="192">
        <v>7</v>
      </c>
      <c r="C15" s="33">
        <f>ROUND(坦克等级成长!$D112*VLOOKUP($B$2,坦克等级成长!$B$36:$G$42,MATCH(C$3,坦克等级成长!$B$35:$G$35,0)),0)</f>
        <v>1312</v>
      </c>
      <c r="D15" s="33">
        <f>ROUND(坦克等级成长!$D112*VLOOKUP($B$2,坦克等级成长!$B$36:$G$42,MATCH(D$3,坦克等级成长!$B$35:$G$35,0)),0)</f>
        <v>131</v>
      </c>
      <c r="E15" s="33">
        <f>ROUND(坦克等级成长!$D112*VLOOKUP($B$2,坦克等级成长!$B$36:$G$42,MATCH(E$3,坦克等级成长!$B$35:$G$35,0)),0)</f>
        <v>492</v>
      </c>
      <c r="F15" s="33">
        <f t="shared" si="0"/>
        <v>492</v>
      </c>
      <c r="G15" s="33">
        <v>361.2</v>
      </c>
      <c r="H15" s="33">
        <f>ROUND(坦克等级成长!$D112*VLOOKUP($B$2,坦克等级成长!$B$36:$G$42,MATCH(H$3,坦克等级成长!$B$35:$G$35,0)),0)</f>
        <v>492</v>
      </c>
      <c r="I15" s="33">
        <f>ROUND(坦克等级成长!$D112*VLOOKUP($B$2,坦克等级成长!$B$36:$G$42,MATCH(I$3,坦克等级成长!$B$35:$G$35,0)),0)</f>
        <v>131</v>
      </c>
      <c r="J15" s="199">
        <v>7</v>
      </c>
      <c r="K15" s="33">
        <f>ROUND(坦克等级成长!$F112*VLOOKUP($B$2,坦克等级成长!$B$36:$G$42,MATCH(K$3,坦克等级成长!$B$35:$G$35,0)),0)</f>
        <v>1328</v>
      </c>
      <c r="L15" s="33">
        <f>ROUND(坦克等级成长!$F112*VLOOKUP($B$2,坦克等级成长!$B$36:$G$42,MATCH(L$3,坦克等级成长!$B$35:$G$35,0)),0)</f>
        <v>132</v>
      </c>
      <c r="M15" s="33">
        <f>ROUND(坦克等级成长!$F112*VLOOKUP($B$2,坦克等级成长!$B$36:$G$42,MATCH(M$3,坦克等级成长!$B$35:$G$35,0)),0)</f>
        <v>498</v>
      </c>
      <c r="N15" s="33">
        <f t="shared" si="7"/>
        <v>498</v>
      </c>
      <c r="O15" s="33">
        <v>370</v>
      </c>
      <c r="P15" s="33">
        <f>ROUND(坦克等级成长!$F112*VLOOKUP($B$2,坦克等级成长!$B$36:$G$42,MATCH(P$3,坦克等级成长!$B$35:$G$35,0)),0)</f>
        <v>498</v>
      </c>
      <c r="Q15" s="33">
        <f>ROUND(坦克等级成长!$F112*VLOOKUP($B$2,坦克等级成长!$B$36:$G$42,MATCH(Q$3,坦克等级成长!$B$35:$G$35,0)),0)</f>
        <v>133</v>
      </c>
      <c r="R15" s="193"/>
      <c r="S15" s="189"/>
      <c r="T15" s="189"/>
      <c r="U15" s="189"/>
      <c r="V15" s="189"/>
      <c r="W15" s="189"/>
      <c r="X15" s="189"/>
      <c r="Y15" s="200"/>
      <c r="Z15" s="192">
        <v>7</v>
      </c>
      <c r="AA15" s="33">
        <f>ROUND(坦克等级成长!$D112*VLOOKUP($Z$2,坦克等级成长!$B$36:$G$42,MATCH(AA$3,坦克等级成长!$B$35:$G$35,0)),0)</f>
        <v>1312</v>
      </c>
      <c r="AB15" s="33">
        <f>ROUND(坦克等级成长!$D112*VLOOKUP($Z$2,坦克等级成长!$B$36:$G$42,MATCH(AB$3,坦克等级成长!$B$35:$G$35,0)),0)</f>
        <v>70</v>
      </c>
      <c r="AC15" s="33">
        <f>ROUND(坦克等级成长!$D112*VLOOKUP($Z$2,坦克等级成长!$B$36:$G$42,MATCH(AC$3,坦克等级成长!$B$35:$G$35,0)),0)</f>
        <v>539</v>
      </c>
      <c r="AD15" s="33">
        <f t="shared" si="1"/>
        <v>539</v>
      </c>
      <c r="AE15" s="33">
        <v>395.5</v>
      </c>
      <c r="AF15" s="33">
        <f>ROUND(坦克等级成长!$D112*VLOOKUP($Z$2,坦克等级成长!$B$36:$G$42,MATCH(AF$3,坦克等级成长!$B$35:$G$35,0)),0)</f>
        <v>492</v>
      </c>
      <c r="AG15" s="33">
        <f>ROUND(坦克等级成长!$D112*VLOOKUP($Z$2,坦克等级成长!$B$36:$G$42,MATCH(AG$3,坦克等级成长!$B$35:$G$35,0)),0)</f>
        <v>131</v>
      </c>
      <c r="AH15" s="199">
        <v>7</v>
      </c>
      <c r="AI15" s="33">
        <f>ROUND(坦克等级成长!$F112*VLOOKUP($Z$2,坦克等级成长!$B$36:$G$42,MATCH(AI$3,坦克等级成长!$B$35:$G$35,0)),0)</f>
        <v>1328</v>
      </c>
      <c r="AJ15" s="33">
        <f>ROUND(坦克等级成长!$F112*VLOOKUP($Z$2,坦克等级成长!$B$36:$G$42,MATCH(AJ$3,坦克等级成长!$B$35:$G$35,0)),0)</f>
        <v>70</v>
      </c>
      <c r="AK15" s="33">
        <f>ROUND(坦克等级成长!$F112*VLOOKUP($Z$2,坦克等级成长!$B$36:$G$42,MATCH(AK$3,坦克等级成长!$B$35:$G$35,0)),0)</f>
        <v>545</v>
      </c>
      <c r="AL15" s="33">
        <f t="shared" si="8"/>
        <v>545</v>
      </c>
      <c r="AM15" s="33">
        <v>405</v>
      </c>
      <c r="AN15" s="33">
        <f>ROUND(坦克等级成长!$F112*VLOOKUP($Z$2,坦克等级成长!$B$36:$G$42,MATCH(AN$3,坦克等级成长!$B$35:$G$35,0)),0)</f>
        <v>498</v>
      </c>
      <c r="AO15" s="33">
        <f>ROUND(坦克等级成长!$F112*VLOOKUP($Z$2,坦克等级成长!$B$36:$G$42,MATCH(AO$3,坦克等级成长!$B$35:$G$35,0)),0)</f>
        <v>133</v>
      </c>
      <c r="AP15" s="193"/>
      <c r="AQ15" s="189"/>
      <c r="AR15" s="189"/>
      <c r="AS15" s="189"/>
      <c r="AT15" s="189"/>
      <c r="AU15" s="189"/>
      <c r="AV15" s="189"/>
      <c r="AW15" s="200"/>
      <c r="AX15" s="192">
        <v>7</v>
      </c>
      <c r="AY15" s="33">
        <f>ROUND(坦克等级成长!$D112*VLOOKUP($AX$2,坦克等级成长!$B$36:$G$42,MATCH(AY$3,坦克等级成长!$B$35:$G$35,0)),0)</f>
        <v>1312</v>
      </c>
      <c r="AZ15" s="33">
        <f>ROUND(坦克等级成长!$D112*VLOOKUP($AX$2,坦克等级成长!$B$36:$G$42,MATCH(AZ$3,坦克等级成长!$B$35:$G$35,0)),0)</f>
        <v>131</v>
      </c>
      <c r="BA15" s="33">
        <f>ROUND(坦克等级成长!$D112*VLOOKUP($AX$2,坦克等级成长!$B$36:$G$42,MATCH(BA$3,坦克等级成长!$B$35:$G$35,0)),0)</f>
        <v>492</v>
      </c>
      <c r="BB15" s="33">
        <f t="shared" si="2"/>
        <v>492</v>
      </c>
      <c r="BC15" s="33">
        <v>361.2</v>
      </c>
      <c r="BD15" s="33">
        <f>ROUND(坦克等级成长!$D112*VLOOKUP($AX$2,坦克等级成长!$B$36:$G$42,MATCH(BD$3,坦克等级成长!$B$35:$G$35,0)),0)</f>
        <v>492</v>
      </c>
      <c r="BE15" s="33">
        <f>ROUND(坦克等级成长!$D112*VLOOKUP($AX$2,坦克等级成长!$B$36:$G$42,MATCH(BE$3,坦克等级成长!$B$35:$G$35,0)),0)</f>
        <v>131</v>
      </c>
      <c r="BF15" s="199">
        <v>7</v>
      </c>
      <c r="BG15" s="33">
        <f>ROUND(坦克等级成长!$F112*VLOOKUP($AX$2,坦克等级成长!$B$36:$G$42,MATCH(BG$3,坦克等级成长!$B$35:$G$35,0)),0)</f>
        <v>1328</v>
      </c>
      <c r="BH15" s="33">
        <f>ROUND(坦克等级成长!$F112*VLOOKUP($AX$2,坦克等级成长!$B$36:$G$42,MATCH(BH$3,坦克等级成长!$B$35:$G$35,0)),0)</f>
        <v>132</v>
      </c>
      <c r="BI15" s="33">
        <f>ROUND(坦克等级成长!$F112*VLOOKUP($AX$2,坦克等级成长!$B$36:$G$42,MATCH(BI$3,坦克等级成长!$B$35:$G$35,0)),0)</f>
        <v>498</v>
      </c>
      <c r="BJ15" s="33">
        <f t="shared" si="9"/>
        <v>498</v>
      </c>
      <c r="BK15" s="33">
        <v>370</v>
      </c>
      <c r="BL15" s="33">
        <f>ROUND(坦克等级成长!$F112*VLOOKUP($AX$2,坦克等级成长!$B$36:$G$42,MATCH(BL$3,坦克等级成长!$B$35:$G$35,0)),0)</f>
        <v>498</v>
      </c>
      <c r="BM15" s="33">
        <f>ROUND(坦克等级成长!$F112*VLOOKUP($AX$2,坦克等级成长!$B$36:$G$42,MATCH(BM$3,坦克等级成长!$B$35:$G$35,0)),0)</f>
        <v>133</v>
      </c>
      <c r="BN15" s="193"/>
      <c r="BO15" s="189"/>
      <c r="BP15" s="189"/>
      <c r="BQ15" s="189"/>
      <c r="BR15" s="189"/>
      <c r="BS15" s="189"/>
      <c r="BT15" s="189"/>
      <c r="BU15" s="200"/>
      <c r="BV15" s="192">
        <v>7</v>
      </c>
      <c r="BW15" s="33">
        <f>ROUND(坦克等级成长!$D112*VLOOKUP($BV$2,坦克等级成长!$B$36:$G$42,MATCH(BW$3,坦克等级成长!$B$35:$G$35,0)),0)</f>
        <v>1416</v>
      </c>
      <c r="BX15" s="33">
        <f>ROUND(坦克等级成长!$D112*VLOOKUP($BV$2,坦克等级成长!$B$36:$G$42,MATCH(BX$3,坦克等级成长!$B$35:$G$35,0)),0)</f>
        <v>122</v>
      </c>
      <c r="BY15" s="33">
        <f>ROUND(坦克等级成长!$D112*VLOOKUP($BV$2,坦克等级成长!$B$36:$G$42,MATCH(BY$3,坦克等级成长!$B$35:$G$35,0)),0)</f>
        <v>469</v>
      </c>
      <c r="BZ15" s="33">
        <f t="shared" si="3"/>
        <v>469</v>
      </c>
      <c r="CA15" s="33">
        <v>368.25</v>
      </c>
      <c r="CB15" s="33">
        <f>ROUND(坦克等级成长!$D112*VLOOKUP($BV$2,坦克等级成长!$B$36:$G$42,MATCH(CB$3,坦克等级成长!$B$35:$G$35,0)),0)</f>
        <v>590</v>
      </c>
      <c r="CC15" s="33">
        <f>ROUND(坦克等级成长!$D112*VLOOKUP($BV$2,坦克等级成长!$B$36:$G$42,MATCH(CC$3,坦克等级成长!$B$35:$G$35,0)),0)</f>
        <v>142</v>
      </c>
      <c r="CD15" s="199">
        <v>7</v>
      </c>
      <c r="CE15" s="33">
        <f>ROUND(坦克等级成长!$F112*VLOOKUP($BV$2,坦克等级成长!$B$36:$G$42,MATCH(CE$3,坦克等级成长!$B$35:$G$35,0)),0)</f>
        <v>1433</v>
      </c>
      <c r="CF15" s="33">
        <f>ROUND(坦克等级成长!$F112*VLOOKUP($BV$2,坦克等级成长!$B$36:$G$42,MATCH(CF$3,坦克等级成长!$B$35:$G$35,0)),0)</f>
        <v>123</v>
      </c>
      <c r="CG15" s="33">
        <f>ROUND(坦克等级成长!$F112*VLOOKUP($BV$2,坦克等级成长!$B$36:$G$42,MATCH(CG$3,坦克等级成长!$B$35:$G$35,0)),0)</f>
        <v>474</v>
      </c>
      <c r="CH15" s="33">
        <f t="shared" si="10"/>
        <v>474</v>
      </c>
      <c r="CI15" s="33">
        <v>377</v>
      </c>
      <c r="CJ15" s="33">
        <f>ROUND(坦克等级成长!$F112*VLOOKUP($BV$2,坦克等级成长!$B$36:$G$42,MATCH(CJ$3,坦克等级成长!$B$35:$G$35,0)),0)</f>
        <v>598</v>
      </c>
      <c r="CK15" s="33">
        <f>ROUND(坦克等级成长!$F112*VLOOKUP($BV$2,坦克等级成长!$B$36:$G$42,MATCH(CK$3,坦克等级成长!$B$35:$G$35,0)),0)</f>
        <v>143</v>
      </c>
      <c r="CL15" s="193"/>
      <c r="CM15" s="189"/>
      <c r="CN15" s="189"/>
      <c r="CO15" s="189"/>
      <c r="CP15" s="189"/>
      <c r="CQ15" s="189"/>
      <c r="CR15" s="189"/>
      <c r="CS15" s="200"/>
      <c r="CT15" s="192">
        <v>7</v>
      </c>
      <c r="CU15" s="33">
        <f>ROUND(坦克等级成长!$D112*VLOOKUP($CT$2,坦克等级成长!$B$36:$G$42,MATCH(CU$3,坦克等级成长!$B$35:$G$35,0)),0)</f>
        <v>1312</v>
      </c>
      <c r="CV15" s="33">
        <f>ROUND(坦克等级成长!$D112*VLOOKUP($CT$2,坦克等级成长!$B$36:$G$42,MATCH(CV$3,坦克等级成长!$B$35:$G$35,0)),0)</f>
        <v>264</v>
      </c>
      <c r="CW15" s="33">
        <f>ROUND(坦克等级成长!$D112*VLOOKUP($CT$2,坦克等级成长!$B$36:$G$42,MATCH(CW$3,坦克等级成长!$B$35:$G$35,0)),0)</f>
        <v>586</v>
      </c>
      <c r="CX15" s="33">
        <f t="shared" si="4"/>
        <v>586</v>
      </c>
      <c r="CY15" s="33">
        <v>460.5</v>
      </c>
      <c r="CZ15" s="33">
        <f>ROUND(坦克等级成长!$D112*VLOOKUP($CT$2,坦克等级成长!$B$36:$G$42,MATCH(CZ$3,坦克等级成长!$B$35:$G$35,0)),0)</f>
        <v>492</v>
      </c>
      <c r="DA15" s="33">
        <f>ROUND(坦克等级成长!$D112*VLOOKUP($CT$2,坦克等级成长!$B$36:$G$42,MATCH(DA$3,坦克等级成长!$B$35:$G$35,0)),0)</f>
        <v>131</v>
      </c>
      <c r="DB15" s="199">
        <v>7</v>
      </c>
      <c r="DC15" s="33">
        <f>ROUND(坦克等级成长!$F112*VLOOKUP($CT$2,坦克等级成长!$B$36:$G$42,MATCH(DC$3,坦克等级成长!$B$35:$G$35,0)),0)</f>
        <v>1328</v>
      </c>
      <c r="DD15" s="33">
        <f>ROUND(坦克等级成长!$F112*VLOOKUP($CT$2,坦克等级成长!$B$36:$G$42,MATCH(DD$3,坦克等级成长!$B$35:$G$35,0)),0)</f>
        <v>267</v>
      </c>
      <c r="DE15" s="33">
        <f>ROUND(坦克等级成长!$F112*VLOOKUP($CT$2,坦克等级成长!$B$36:$G$42,MATCH(DE$3,坦克等级成长!$B$35:$G$35,0)),0)</f>
        <v>593</v>
      </c>
      <c r="DF15" s="33">
        <f t="shared" si="11"/>
        <v>593</v>
      </c>
      <c r="DG15" s="33">
        <v>472</v>
      </c>
      <c r="DH15" s="33">
        <f>ROUND(坦克等级成长!$F112*VLOOKUP($CT$2,坦克等级成长!$B$36:$G$42,MATCH(DH$3,坦克等级成长!$B$35:$G$35,0)),0)</f>
        <v>498</v>
      </c>
      <c r="DI15" s="33">
        <f>ROUND(坦克等级成长!$F112*VLOOKUP($CT$2,坦克等级成长!$B$36:$G$42,MATCH(DI$3,坦克等级成长!$B$35:$G$35,0)),0)</f>
        <v>133</v>
      </c>
      <c r="DJ15" s="193"/>
      <c r="DK15" s="189"/>
      <c r="DL15" s="189"/>
      <c r="DM15" s="189"/>
      <c r="DN15" s="189"/>
      <c r="DO15" s="189"/>
      <c r="DP15" s="189"/>
      <c r="DQ15" s="200"/>
      <c r="DR15" s="192">
        <v>7</v>
      </c>
      <c r="DS15" s="33">
        <f>ROUND(坦克等级成长!$D112*VLOOKUP($DR$2,坦克等级成长!$B$36:$G$42,MATCH(DS$3,坦克等级成长!$B$35:$G$35,0)),0)</f>
        <v>1605</v>
      </c>
      <c r="DT15" s="33">
        <f>ROUND(坦克等级成长!$D112*VLOOKUP($DR$2,坦克等级成长!$B$36:$G$42,MATCH(DT$3,坦克等级成长!$B$35:$G$35,0)),0)</f>
        <v>440</v>
      </c>
      <c r="DU15" s="33">
        <f>ROUND(坦克等级成长!$D112*VLOOKUP($DR$2,坦克等级成长!$B$36:$G$42,MATCH(DU$3,坦克等级成长!$B$35:$G$35,0)),0)</f>
        <v>469</v>
      </c>
      <c r="DV15" s="33">
        <f t="shared" si="5"/>
        <v>469</v>
      </c>
      <c r="DW15" s="33">
        <v>392.8</v>
      </c>
      <c r="DX15" s="33">
        <f>ROUND(坦克等级成长!$D112*VLOOKUP($DR$2,坦克等级成长!$B$36:$G$42,MATCH(DX$3,坦克等级成长!$B$35:$G$35,0)),0)</f>
        <v>689</v>
      </c>
      <c r="DY15" s="33">
        <f>ROUND(坦克等级成长!$D112*VLOOKUP($DR$2,坦克等级成长!$B$36:$G$42,MATCH(DY$3,坦克等级成长!$B$35:$G$35,0)),0)</f>
        <v>160</v>
      </c>
      <c r="DZ15" s="199">
        <v>7</v>
      </c>
      <c r="EA15" s="33">
        <f>ROUND(坦克等级成长!$F112*VLOOKUP($DR$2,坦克等级成长!$B$36:$G$42,MATCH(EA$3,坦克等级成长!$B$35:$G$35,0)),0)</f>
        <v>1625</v>
      </c>
      <c r="EB15" s="33">
        <f>ROUND(坦克等级成长!$F112*VLOOKUP($DR$2,坦克等级成长!$B$36:$G$42,MATCH(EB$3,坦克等级成长!$B$35:$G$35,0)),0)</f>
        <v>445</v>
      </c>
      <c r="EC15" s="33">
        <f>ROUND(坦克等级成长!$F112*VLOOKUP($DR$2,坦克等级成长!$B$36:$G$42,MATCH(EC$3,坦克等级成长!$B$35:$G$35,0)),0)</f>
        <v>474</v>
      </c>
      <c r="ED15" s="33">
        <f t="shared" si="12"/>
        <v>474</v>
      </c>
      <c r="EE15" s="33">
        <v>402</v>
      </c>
      <c r="EF15" s="33">
        <f>ROUND(坦克等级成长!$F112*VLOOKUP($DR$2,坦克等级成长!$B$36:$G$42,MATCH(EF$3,坦克等级成长!$B$35:$G$35,0)),0)</f>
        <v>697</v>
      </c>
      <c r="EG15" s="33">
        <f>ROUND(坦克等级成长!$F112*VLOOKUP($DR$2,坦克等级成长!$B$36:$G$42,MATCH(EG$3,坦克等级成长!$B$35:$G$35,0)),0)</f>
        <v>162</v>
      </c>
      <c r="EH15" s="193"/>
      <c r="EI15" s="189"/>
      <c r="EJ15" s="189"/>
      <c r="EK15" s="189"/>
      <c r="EL15" s="189"/>
      <c r="EM15" s="189"/>
      <c r="EN15" s="189"/>
      <c r="EO15" s="200"/>
      <c r="EP15" s="192">
        <v>7</v>
      </c>
      <c r="EQ15" s="33">
        <f>ROUND(坦克等级成长!$D112*VLOOKUP($EP$2,坦克等级成长!$B$36:$G$42,MATCH(EQ$3,坦克等级成长!$B$35:$G$35,0)),0)</f>
        <v>1416</v>
      </c>
      <c r="ER15" s="33">
        <f>ROUND(坦克等级成长!$D112*VLOOKUP($EP$2,坦克等级成长!$B$36:$G$42,MATCH(ER$3,坦克等级成长!$B$35:$G$35,0)),0)</f>
        <v>146</v>
      </c>
      <c r="ES15" s="33">
        <f>ROUND(坦克等级成长!$D112*VLOOKUP($EP$2,坦克等级成长!$B$36:$G$42,MATCH(ES$3,坦克等级成长!$B$35:$G$35,0)),0)</f>
        <v>539</v>
      </c>
      <c r="ET15" s="33">
        <f t="shared" si="6"/>
        <v>539</v>
      </c>
      <c r="EU15" s="33">
        <v>423.75</v>
      </c>
      <c r="EV15" s="33">
        <f>ROUND(坦克等级成长!$D112*VLOOKUP($EP$2,坦克等级成长!$B$36:$G$42,MATCH(EV$3,坦克等级成长!$B$35:$G$35,0)),0)</f>
        <v>590</v>
      </c>
      <c r="EW15" s="33">
        <f>ROUND(坦克等级成长!$D112*VLOOKUP($EP$2,坦克等级成长!$B$36:$G$42,MATCH(EW$3,坦克等级成长!$B$35:$G$35,0)),0)</f>
        <v>142</v>
      </c>
      <c r="EX15" s="199">
        <v>7</v>
      </c>
      <c r="EY15" s="33">
        <f>ROUND(坦克等级成长!$F112*VLOOKUP($EP$2,坦克等级成长!$B$36:$G$42,MATCH(EY$3,坦克等级成长!$B$35:$G$35,0)),0)</f>
        <v>1433</v>
      </c>
      <c r="EZ15" s="33">
        <f>ROUND(坦克等级成长!$F112*VLOOKUP($EP$2,坦克等级成长!$B$36:$G$42,MATCH(EZ$3,坦克等级成长!$B$35:$G$35,0)),0)</f>
        <v>148</v>
      </c>
      <c r="FA15" s="33">
        <f>ROUND(坦克等级成长!$F112*VLOOKUP($EP$2,坦克等级成长!$B$36:$G$42,MATCH(FA$3,坦克等级成长!$B$35:$G$35,0)),0)</f>
        <v>545</v>
      </c>
      <c r="FB15" s="33">
        <f t="shared" si="13"/>
        <v>545</v>
      </c>
      <c r="FC15" s="33">
        <v>434</v>
      </c>
      <c r="FD15" s="33">
        <f>ROUND(坦克等级成长!$F112*VLOOKUP($EP$2,坦克等级成长!$B$36:$G$42,MATCH(FD$3,坦克等级成长!$B$35:$G$35,0)),0)</f>
        <v>598</v>
      </c>
      <c r="FE15" s="33">
        <f>ROUND(坦克等级成长!$F112*VLOOKUP($EP$2,坦克等级成长!$B$36:$G$42,MATCH(FE$3,坦克等级成长!$B$35:$G$35,0)),0)</f>
        <v>143</v>
      </c>
      <c r="FF15" s="193"/>
      <c r="FG15" s="189"/>
      <c r="FH15" s="189"/>
      <c r="FI15" s="189"/>
      <c r="FJ15" s="189"/>
      <c r="FK15" s="189"/>
      <c r="FL15" s="189"/>
      <c r="FM15" s="200"/>
    </row>
    <row r="16" spans="1:169" ht="14.25" x14ac:dyDescent="0.3">
      <c r="A16" s="189">
        <v>2</v>
      </c>
      <c r="B16" s="193"/>
      <c r="C16" s="189"/>
      <c r="D16" s="189"/>
      <c r="E16" s="189"/>
      <c r="F16" s="189"/>
      <c r="G16" s="189"/>
      <c r="H16" s="189"/>
      <c r="I16" s="200"/>
      <c r="J16" s="199">
        <v>8</v>
      </c>
      <c r="K16" s="33">
        <f>ROUND(坦克等级成长!$F113*VLOOKUP($B$2,坦克等级成长!$B$36:$G$42,MATCH(K$3,坦克等级成长!$B$35:$G$35,0)),0)</f>
        <v>1392</v>
      </c>
      <c r="L16" s="33">
        <f>ROUND(坦克等级成长!$F113*VLOOKUP($B$2,坦克等级成长!$B$36:$G$42,MATCH(L$3,坦克等级成长!$B$35:$G$35,0)),0)</f>
        <v>139</v>
      </c>
      <c r="M16" s="33">
        <f>ROUND(坦克等级成长!$F113*VLOOKUP($B$2,坦克等级成长!$B$36:$G$42,MATCH(M$3,坦克等级成长!$B$35:$G$35,0)),0)</f>
        <v>522</v>
      </c>
      <c r="N16" s="33">
        <f t="shared" si="7"/>
        <v>522</v>
      </c>
      <c r="O16" s="33">
        <v>389</v>
      </c>
      <c r="P16" s="33">
        <f>ROUND(坦克等级成长!$F113*VLOOKUP($B$2,坦克等级成长!$B$36:$G$42,MATCH(P$3,坦克等级成长!$B$35:$G$35,0)),0)</f>
        <v>522</v>
      </c>
      <c r="Q16" s="33">
        <f>ROUND(坦克等级成长!$F113*VLOOKUP($B$2,坦克等级成长!$B$36:$G$42,MATCH(Q$3,坦克等级成长!$B$35:$G$35,0)),0)</f>
        <v>139</v>
      </c>
      <c r="R16" s="193"/>
      <c r="S16" s="189"/>
      <c r="T16" s="189"/>
      <c r="U16" s="189"/>
      <c r="V16" s="189"/>
      <c r="W16" s="189"/>
      <c r="X16" s="189"/>
      <c r="Y16" s="200"/>
      <c r="Z16" s="193"/>
      <c r="AA16" s="189"/>
      <c r="AB16" s="189"/>
      <c r="AC16" s="189"/>
      <c r="AD16" s="189"/>
      <c r="AE16" s="189"/>
      <c r="AF16" s="189"/>
      <c r="AG16" s="200"/>
      <c r="AH16" s="199">
        <v>8</v>
      </c>
      <c r="AI16" s="33">
        <f>ROUND(坦克等级成长!$F113*VLOOKUP($Z$2,坦克等级成长!$B$36:$G$42,MATCH(AI$3,坦克等级成长!$B$35:$G$35,0)),0)</f>
        <v>1392</v>
      </c>
      <c r="AJ16" s="33">
        <f>ROUND(坦克等级成长!$F113*VLOOKUP($Z$2,坦克等级成长!$B$36:$G$42,MATCH(AJ$3,坦克等级成长!$B$35:$G$35,0)),0)</f>
        <v>74</v>
      </c>
      <c r="AK16" s="33">
        <f>ROUND(坦克等级成长!$F113*VLOOKUP($Z$2,坦克等级成长!$B$36:$G$42,MATCH(AK$3,坦克等级成长!$B$35:$G$35,0)),0)</f>
        <v>572</v>
      </c>
      <c r="AL16" s="33">
        <f t="shared" si="8"/>
        <v>572</v>
      </c>
      <c r="AM16" s="33">
        <v>426</v>
      </c>
      <c r="AN16" s="33">
        <f>ROUND(坦克等级成长!$F113*VLOOKUP($Z$2,坦克等级成长!$B$36:$G$42,MATCH(AN$3,坦克等级成长!$B$35:$G$35,0)),0)</f>
        <v>522</v>
      </c>
      <c r="AO16" s="33">
        <f>ROUND(坦克等级成长!$F113*VLOOKUP($Z$2,坦克等级成长!$B$36:$G$42,MATCH(AO$3,坦克等级成长!$B$35:$G$35,0)),0)</f>
        <v>139</v>
      </c>
      <c r="AP16" s="193"/>
      <c r="AQ16" s="189"/>
      <c r="AR16" s="189"/>
      <c r="AS16" s="189"/>
      <c r="AT16" s="189"/>
      <c r="AU16" s="189"/>
      <c r="AV16" s="189"/>
      <c r="AW16" s="200"/>
      <c r="AX16" s="193"/>
      <c r="AY16" s="189"/>
      <c r="AZ16" s="189"/>
      <c r="BA16" s="189"/>
      <c r="BB16" s="189"/>
      <c r="BC16" s="189"/>
      <c r="BD16" s="189"/>
      <c r="BE16" s="200"/>
      <c r="BF16" s="199">
        <v>8</v>
      </c>
      <c r="BG16" s="33">
        <f>ROUND(坦克等级成长!$F113*VLOOKUP($AX$2,坦克等级成长!$B$36:$G$42,MATCH(BG$3,坦克等级成长!$B$35:$G$35,0)),0)</f>
        <v>1392</v>
      </c>
      <c r="BH16" s="33">
        <f>ROUND(坦克等级成长!$F113*VLOOKUP($AX$2,坦克等级成长!$B$36:$G$42,MATCH(BH$3,坦克等级成长!$B$35:$G$35,0)),0)</f>
        <v>139</v>
      </c>
      <c r="BI16" s="33">
        <f>ROUND(坦克等级成长!$F113*VLOOKUP($AX$2,坦克等级成长!$B$36:$G$42,MATCH(BI$3,坦克等级成长!$B$35:$G$35,0)),0)</f>
        <v>522</v>
      </c>
      <c r="BJ16" s="33">
        <f t="shared" si="9"/>
        <v>522</v>
      </c>
      <c r="BK16" s="33">
        <v>389</v>
      </c>
      <c r="BL16" s="33">
        <f>ROUND(坦克等级成长!$F113*VLOOKUP($AX$2,坦克等级成长!$B$36:$G$42,MATCH(BL$3,坦克等级成长!$B$35:$G$35,0)),0)</f>
        <v>522</v>
      </c>
      <c r="BM16" s="33">
        <f>ROUND(坦克等级成长!$F113*VLOOKUP($AX$2,坦克等级成长!$B$36:$G$42,MATCH(BM$3,坦克等级成长!$B$35:$G$35,0)),0)</f>
        <v>139</v>
      </c>
      <c r="BN16" s="193"/>
      <c r="BO16" s="189"/>
      <c r="BP16" s="189"/>
      <c r="BQ16" s="189"/>
      <c r="BR16" s="189"/>
      <c r="BS16" s="189"/>
      <c r="BT16" s="189"/>
      <c r="BU16" s="200"/>
      <c r="BV16" s="193"/>
      <c r="BW16" s="189"/>
      <c r="BX16" s="189"/>
      <c r="BY16" s="189"/>
      <c r="BZ16" s="189"/>
      <c r="CA16" s="189"/>
      <c r="CB16" s="189"/>
      <c r="CC16" s="200"/>
      <c r="CD16" s="199">
        <v>8</v>
      </c>
      <c r="CE16" s="33">
        <f>ROUND(坦克等级成长!$F113*VLOOKUP($BV$2,坦克等级成长!$B$36:$G$42,MATCH(CE$3,坦克等级成长!$B$35:$G$35,0)),0)</f>
        <v>1502</v>
      </c>
      <c r="CF16" s="33">
        <f>ROUND(坦克等级成长!$F113*VLOOKUP($BV$2,坦克等级成长!$B$36:$G$42,MATCH(CF$3,坦克等级成长!$B$35:$G$35,0)),0)</f>
        <v>129</v>
      </c>
      <c r="CG16" s="33">
        <f>ROUND(坦克等级成长!$F113*VLOOKUP($BV$2,坦克等级成长!$B$36:$G$42,MATCH(CG$3,坦克等级成长!$B$35:$G$35,0)),0)</f>
        <v>497</v>
      </c>
      <c r="CH16" s="33">
        <f t="shared" si="10"/>
        <v>497</v>
      </c>
      <c r="CI16" s="33">
        <v>397</v>
      </c>
      <c r="CJ16" s="33">
        <f>ROUND(坦克等级成长!$F113*VLOOKUP($BV$2,坦克等级成长!$B$36:$G$42,MATCH(CJ$3,坦克等级成长!$B$35:$G$35,0)),0)</f>
        <v>626</v>
      </c>
      <c r="CK16" s="33">
        <f>ROUND(坦克等级成长!$F113*VLOOKUP($BV$2,坦克等级成长!$B$36:$G$42,MATCH(CK$3,坦克等级成长!$B$35:$G$35,0)),0)</f>
        <v>150</v>
      </c>
      <c r="CL16" s="193"/>
      <c r="CM16" s="189"/>
      <c r="CN16" s="189"/>
      <c r="CO16" s="189"/>
      <c r="CP16" s="189"/>
      <c r="CQ16" s="189"/>
      <c r="CR16" s="189"/>
      <c r="CS16" s="200"/>
      <c r="CT16" s="193"/>
      <c r="CU16" s="189"/>
      <c r="CV16" s="189"/>
      <c r="CW16" s="189"/>
      <c r="CX16" s="189"/>
      <c r="CY16" s="189"/>
      <c r="CZ16" s="189"/>
      <c r="DA16" s="200"/>
      <c r="DB16" s="199">
        <v>8</v>
      </c>
      <c r="DC16" s="33">
        <f>ROUND(坦克等级成长!$F113*VLOOKUP($CT$2,坦克等级成长!$B$36:$G$42,MATCH(DC$3,坦克等级成长!$B$35:$G$35,0)),0)</f>
        <v>1392</v>
      </c>
      <c r="DD16" s="33">
        <f>ROUND(坦克等级成长!$F113*VLOOKUP($CT$2,坦克等级成长!$B$36:$G$42,MATCH(DD$3,坦克等级成长!$B$35:$G$35,0)),0)</f>
        <v>280</v>
      </c>
      <c r="DE16" s="33">
        <f>ROUND(坦克等级成长!$F113*VLOOKUP($CT$2,坦克等级成长!$B$36:$G$42,MATCH(DE$3,坦克等级成长!$B$35:$G$35,0)),0)</f>
        <v>621</v>
      </c>
      <c r="DF16" s="33">
        <f t="shared" si="11"/>
        <v>621</v>
      </c>
      <c r="DG16" s="33">
        <v>496</v>
      </c>
      <c r="DH16" s="33">
        <f>ROUND(坦克等级成长!$F113*VLOOKUP($CT$2,坦克等级成长!$B$36:$G$42,MATCH(DH$3,坦克等级成长!$B$35:$G$35,0)),0)</f>
        <v>522</v>
      </c>
      <c r="DI16" s="33">
        <f>ROUND(坦克等级成长!$F113*VLOOKUP($CT$2,坦克等级成长!$B$36:$G$42,MATCH(DI$3,坦克等级成长!$B$35:$G$35,0)),0)</f>
        <v>139</v>
      </c>
      <c r="DJ16" s="193"/>
      <c r="DK16" s="189"/>
      <c r="DL16" s="189"/>
      <c r="DM16" s="189"/>
      <c r="DN16" s="189"/>
      <c r="DO16" s="189"/>
      <c r="DP16" s="189"/>
      <c r="DQ16" s="200"/>
      <c r="DR16" s="193"/>
      <c r="DS16" s="189"/>
      <c r="DT16" s="189"/>
      <c r="DU16" s="189"/>
      <c r="DV16" s="189"/>
      <c r="DW16" s="189"/>
      <c r="DX16" s="189"/>
      <c r="DY16" s="200"/>
      <c r="DZ16" s="199">
        <v>8</v>
      </c>
      <c r="EA16" s="33">
        <f>ROUND(坦克等级成长!$F113*VLOOKUP($DR$2,坦克等级成长!$B$36:$G$42,MATCH(EA$3,坦克等级成长!$B$35:$G$35,0)),0)</f>
        <v>1703</v>
      </c>
      <c r="EB16" s="33">
        <f>ROUND(坦克等级成长!$F113*VLOOKUP($DR$2,坦克等级成长!$B$36:$G$42,MATCH(EB$3,坦克等级成长!$B$35:$G$35,0)),0)</f>
        <v>466</v>
      </c>
      <c r="EC16" s="33">
        <f>ROUND(坦克等级成长!$F113*VLOOKUP($DR$2,坦克等级成长!$B$36:$G$42,MATCH(EC$3,坦克等级成长!$B$35:$G$35,0)),0)</f>
        <v>497</v>
      </c>
      <c r="ED16" s="33">
        <f t="shared" si="12"/>
        <v>497</v>
      </c>
      <c r="EE16" s="33">
        <v>423</v>
      </c>
      <c r="EF16" s="33">
        <f>ROUND(坦克等级成长!$F113*VLOOKUP($DR$2,坦克等级成长!$B$36:$G$42,MATCH(EF$3,坦克等级成长!$B$35:$G$35,0)),0)</f>
        <v>731</v>
      </c>
      <c r="EG16" s="33">
        <f>ROUND(坦克等级成长!$F113*VLOOKUP($DR$2,坦克等级成长!$B$36:$G$42,MATCH(EG$3,坦克等级成长!$B$35:$G$35,0)),0)</f>
        <v>170</v>
      </c>
      <c r="EH16" s="193"/>
      <c r="EI16" s="189"/>
      <c r="EJ16" s="189"/>
      <c r="EK16" s="189"/>
      <c r="EL16" s="189"/>
      <c r="EM16" s="189"/>
      <c r="EN16" s="189"/>
      <c r="EO16" s="200"/>
      <c r="EP16" s="193"/>
      <c r="EQ16" s="189"/>
      <c r="ER16" s="189"/>
      <c r="ES16" s="189"/>
      <c r="ET16" s="189"/>
      <c r="EU16" s="189"/>
      <c r="EV16" s="189"/>
      <c r="EW16" s="200"/>
      <c r="EX16" s="199">
        <v>8</v>
      </c>
      <c r="EY16" s="33">
        <f>ROUND(坦克等级成长!$F113*VLOOKUP($EP$2,坦克等级成长!$B$36:$G$42,MATCH(EY$3,坦克等级成长!$B$35:$G$35,0)),0)</f>
        <v>1502</v>
      </c>
      <c r="EZ16" s="33">
        <f>ROUND(坦克等级成长!$F113*VLOOKUP($EP$2,坦克等级成长!$B$36:$G$42,MATCH(EZ$3,坦克等级成长!$B$35:$G$35,0)),0)</f>
        <v>155</v>
      </c>
      <c r="FA16" s="33">
        <f>ROUND(坦克等级成长!$F113*VLOOKUP($EP$2,坦克等级成长!$B$36:$G$42,MATCH(FA$3,坦克等级成长!$B$35:$G$35,0)),0)</f>
        <v>572</v>
      </c>
      <c r="FB16" s="33">
        <f t="shared" si="13"/>
        <v>572</v>
      </c>
      <c r="FC16" s="33">
        <v>456</v>
      </c>
      <c r="FD16" s="33">
        <f>ROUND(坦克等级成长!$F113*VLOOKUP($EP$2,坦克等级成长!$B$36:$G$42,MATCH(FD$3,坦克等级成长!$B$35:$G$35,0)),0)</f>
        <v>626</v>
      </c>
      <c r="FE16" s="33">
        <f>ROUND(坦克等级成长!$F113*VLOOKUP($EP$2,坦克等级成长!$B$36:$G$42,MATCH(FE$3,坦克等级成长!$B$35:$G$35,0)),0)</f>
        <v>150</v>
      </c>
      <c r="FF16" s="193"/>
      <c r="FG16" s="189"/>
      <c r="FH16" s="189"/>
      <c r="FI16" s="189"/>
      <c r="FJ16" s="189"/>
      <c r="FK16" s="189"/>
      <c r="FL16" s="189"/>
      <c r="FM16" s="200"/>
    </row>
    <row r="17" spans="1:169" ht="14.25" x14ac:dyDescent="0.3">
      <c r="A17" s="189">
        <v>2</v>
      </c>
      <c r="B17" s="193"/>
      <c r="C17" s="189"/>
      <c r="D17" s="189"/>
      <c r="E17" s="189"/>
      <c r="F17" s="189"/>
      <c r="G17" s="189"/>
      <c r="H17" s="189"/>
      <c r="I17" s="200"/>
      <c r="J17" s="199">
        <v>9</v>
      </c>
      <c r="K17" s="33">
        <f>ROUND(坦克等级成长!$F114*VLOOKUP($B$2,坦克等级成长!$B$36:$G$42,MATCH(K$3,坦克等级成长!$B$35:$G$35,0)),0)</f>
        <v>1464</v>
      </c>
      <c r="L17" s="33">
        <f>ROUND(坦克等级成长!$F114*VLOOKUP($B$2,坦克等级成长!$B$36:$G$42,MATCH(L$3,坦克等级成长!$B$35:$G$35,0)),0)</f>
        <v>146</v>
      </c>
      <c r="M17" s="33">
        <f>ROUND(坦克等级成长!$F114*VLOOKUP($B$2,坦克等级成长!$B$36:$G$42,MATCH(M$3,坦克等级成长!$B$35:$G$35,0)),0)</f>
        <v>549</v>
      </c>
      <c r="N17" s="33">
        <f t="shared" si="7"/>
        <v>549</v>
      </c>
      <c r="O17" s="33">
        <v>412</v>
      </c>
      <c r="P17" s="33">
        <f>ROUND(坦克等级成长!$F114*VLOOKUP($B$2,坦克等级成长!$B$36:$G$42,MATCH(P$3,坦克等级成长!$B$35:$G$35,0)),0)</f>
        <v>549</v>
      </c>
      <c r="Q17" s="33">
        <f>ROUND(坦克等级成长!$F114*VLOOKUP($B$2,坦克等级成长!$B$36:$G$42,MATCH(Q$3,坦克等级成长!$B$35:$G$35,0)),0)</f>
        <v>146</v>
      </c>
      <c r="R17" s="193"/>
      <c r="S17" s="189"/>
      <c r="T17" s="189"/>
      <c r="U17" s="189"/>
      <c r="V17" s="189"/>
      <c r="W17" s="189"/>
      <c r="X17" s="189"/>
      <c r="Y17" s="200"/>
      <c r="Z17" s="193"/>
      <c r="AA17" s="189"/>
      <c r="AB17" s="189"/>
      <c r="AC17" s="189"/>
      <c r="AD17" s="189"/>
      <c r="AE17" s="189"/>
      <c r="AF17" s="189"/>
      <c r="AG17" s="200"/>
      <c r="AH17" s="199">
        <v>9</v>
      </c>
      <c r="AI17" s="33">
        <f>ROUND(坦克等级成长!$F114*VLOOKUP($Z$2,坦克等级成长!$B$36:$G$42,MATCH(AI$3,坦克等级成长!$B$35:$G$35,0)),0)</f>
        <v>1464</v>
      </c>
      <c r="AJ17" s="33">
        <f>ROUND(坦克等级成长!$F114*VLOOKUP($Z$2,坦克等级成长!$B$36:$G$42,MATCH(AJ$3,坦克等级成长!$B$35:$G$35,0)),0)</f>
        <v>78</v>
      </c>
      <c r="AK17" s="33">
        <f>ROUND(坦克等级成长!$F114*VLOOKUP($Z$2,坦克等级成长!$B$36:$G$42,MATCH(AK$3,坦克等级成长!$B$35:$G$35,0)),0)</f>
        <v>601</v>
      </c>
      <c r="AL17" s="33">
        <f t="shared" si="8"/>
        <v>601</v>
      </c>
      <c r="AM17" s="33">
        <v>451</v>
      </c>
      <c r="AN17" s="33">
        <f>ROUND(坦克等级成长!$F114*VLOOKUP($Z$2,坦克等级成长!$B$36:$G$42,MATCH(AN$3,坦克等级成长!$B$35:$G$35,0)),0)</f>
        <v>549</v>
      </c>
      <c r="AO17" s="33">
        <f>ROUND(坦克等级成长!$F114*VLOOKUP($Z$2,坦克等级成长!$B$36:$G$42,MATCH(AO$3,坦克等级成长!$B$35:$G$35,0)),0)</f>
        <v>146</v>
      </c>
      <c r="AP17" s="193"/>
      <c r="AQ17" s="189"/>
      <c r="AR17" s="189"/>
      <c r="AS17" s="189"/>
      <c r="AT17" s="189"/>
      <c r="AU17" s="189"/>
      <c r="AV17" s="189"/>
      <c r="AW17" s="200"/>
      <c r="AX17" s="193"/>
      <c r="AY17" s="189"/>
      <c r="AZ17" s="189"/>
      <c r="BA17" s="189"/>
      <c r="BB17" s="189"/>
      <c r="BC17" s="189"/>
      <c r="BD17" s="189"/>
      <c r="BE17" s="200"/>
      <c r="BF17" s="199">
        <v>9</v>
      </c>
      <c r="BG17" s="33">
        <f>ROUND(坦克等级成长!$F114*VLOOKUP($AX$2,坦克等级成长!$B$36:$G$42,MATCH(BG$3,坦克等级成长!$B$35:$G$35,0)),0)</f>
        <v>1464</v>
      </c>
      <c r="BH17" s="33">
        <f>ROUND(坦克等级成长!$F114*VLOOKUP($AX$2,坦克等级成长!$B$36:$G$42,MATCH(BH$3,坦克等级成长!$B$35:$G$35,0)),0)</f>
        <v>146</v>
      </c>
      <c r="BI17" s="33">
        <f>ROUND(坦克等级成长!$F114*VLOOKUP($AX$2,坦克等级成长!$B$36:$G$42,MATCH(BI$3,坦克等级成长!$B$35:$G$35,0)),0)</f>
        <v>549</v>
      </c>
      <c r="BJ17" s="33">
        <f t="shared" si="9"/>
        <v>549</v>
      </c>
      <c r="BK17" s="33">
        <v>412</v>
      </c>
      <c r="BL17" s="33">
        <f>ROUND(坦克等级成长!$F114*VLOOKUP($AX$2,坦克等级成长!$B$36:$G$42,MATCH(BL$3,坦克等级成长!$B$35:$G$35,0)),0)</f>
        <v>549</v>
      </c>
      <c r="BM17" s="33">
        <f>ROUND(坦克等级成长!$F114*VLOOKUP($AX$2,坦克等级成长!$B$36:$G$42,MATCH(BM$3,坦克等级成长!$B$35:$G$35,0)),0)</f>
        <v>146</v>
      </c>
      <c r="BN17" s="193"/>
      <c r="BO17" s="189"/>
      <c r="BP17" s="189"/>
      <c r="BQ17" s="189"/>
      <c r="BR17" s="189"/>
      <c r="BS17" s="189"/>
      <c r="BT17" s="189"/>
      <c r="BU17" s="200"/>
      <c r="BV17" s="193"/>
      <c r="BW17" s="189"/>
      <c r="BX17" s="189"/>
      <c r="BY17" s="189"/>
      <c r="BZ17" s="189"/>
      <c r="CA17" s="189"/>
      <c r="CB17" s="189"/>
      <c r="CC17" s="200"/>
      <c r="CD17" s="199">
        <v>9</v>
      </c>
      <c r="CE17" s="33">
        <f>ROUND(坦克等级成长!$F114*VLOOKUP($BV$2,坦克等级成长!$B$36:$G$42,MATCH(CE$3,坦克等级成长!$B$35:$G$35,0)),0)</f>
        <v>1580</v>
      </c>
      <c r="CF17" s="33">
        <f>ROUND(坦克等级成长!$F114*VLOOKUP($BV$2,坦克等级成长!$B$36:$G$42,MATCH(CF$3,坦克等级成长!$B$35:$G$35,0)),0)</f>
        <v>136</v>
      </c>
      <c r="CG17" s="33">
        <f>ROUND(坦克等级成长!$F114*VLOOKUP($BV$2,坦克等级成长!$B$36:$G$42,MATCH(CG$3,坦克等级成长!$B$35:$G$35,0)),0)</f>
        <v>523</v>
      </c>
      <c r="CH17" s="33">
        <f t="shared" si="10"/>
        <v>523</v>
      </c>
      <c r="CI17" s="33">
        <v>420</v>
      </c>
      <c r="CJ17" s="33">
        <f>ROUND(坦克等级成长!$F114*VLOOKUP($BV$2,坦克等级成长!$B$36:$G$42,MATCH(CJ$3,坦克等级成长!$B$35:$G$35,0)),0)</f>
        <v>659</v>
      </c>
      <c r="CK17" s="33">
        <f>ROUND(坦克等级成长!$F114*VLOOKUP($BV$2,坦克等级成长!$B$36:$G$42,MATCH(CK$3,坦克等级成长!$B$35:$G$35,0)),0)</f>
        <v>158</v>
      </c>
      <c r="CL17" s="193"/>
      <c r="CM17" s="189"/>
      <c r="CN17" s="189"/>
      <c r="CO17" s="189"/>
      <c r="CP17" s="189"/>
      <c r="CQ17" s="189"/>
      <c r="CR17" s="189"/>
      <c r="CS17" s="200"/>
      <c r="CT17" s="193"/>
      <c r="CU17" s="189"/>
      <c r="CV17" s="189"/>
      <c r="CW17" s="189"/>
      <c r="CX17" s="189"/>
      <c r="CY17" s="189"/>
      <c r="CZ17" s="189"/>
      <c r="DA17" s="200"/>
      <c r="DB17" s="199">
        <v>9</v>
      </c>
      <c r="DC17" s="33">
        <f>ROUND(坦克等级成长!$F114*VLOOKUP($CT$2,坦克等级成长!$B$36:$G$42,MATCH(DC$3,坦克等级成长!$B$35:$G$35,0)),0)</f>
        <v>1464</v>
      </c>
      <c r="DD17" s="33">
        <f>ROUND(坦克等级成长!$F114*VLOOKUP($CT$2,坦克等级成长!$B$36:$G$42,MATCH(DD$3,坦克等级成长!$B$35:$G$35,0)),0)</f>
        <v>295</v>
      </c>
      <c r="DE17" s="33">
        <f>ROUND(坦克等级成长!$F114*VLOOKUP($CT$2,坦克等级成长!$B$36:$G$42,MATCH(DE$3,坦克等级成长!$B$35:$G$35,0)),0)</f>
        <v>654</v>
      </c>
      <c r="DF17" s="33">
        <f t="shared" si="11"/>
        <v>654</v>
      </c>
      <c r="DG17" s="33">
        <v>525</v>
      </c>
      <c r="DH17" s="33">
        <f>ROUND(坦克等级成长!$F114*VLOOKUP($CT$2,坦克等级成长!$B$36:$G$42,MATCH(DH$3,坦克等级成长!$B$35:$G$35,0)),0)</f>
        <v>549</v>
      </c>
      <c r="DI17" s="33">
        <f>ROUND(坦克等级成长!$F114*VLOOKUP($CT$2,坦克等级成长!$B$36:$G$42,MATCH(DI$3,坦克等级成长!$B$35:$G$35,0)),0)</f>
        <v>146</v>
      </c>
      <c r="DJ17" s="193"/>
      <c r="DK17" s="189"/>
      <c r="DL17" s="189"/>
      <c r="DM17" s="189"/>
      <c r="DN17" s="189"/>
      <c r="DO17" s="189"/>
      <c r="DP17" s="189"/>
      <c r="DQ17" s="200"/>
      <c r="DR17" s="193"/>
      <c r="DS17" s="189"/>
      <c r="DT17" s="189"/>
      <c r="DU17" s="189"/>
      <c r="DV17" s="189"/>
      <c r="DW17" s="189"/>
      <c r="DX17" s="189"/>
      <c r="DY17" s="200"/>
      <c r="DZ17" s="199">
        <v>9</v>
      </c>
      <c r="EA17" s="33">
        <f>ROUND(坦克等级成长!$F114*VLOOKUP($DR$2,坦克等级成长!$B$36:$G$42,MATCH(EA$3,坦克等级成长!$B$35:$G$35,0)),0)</f>
        <v>1791</v>
      </c>
      <c r="EB17" s="33">
        <f>ROUND(坦克等级成长!$F114*VLOOKUP($DR$2,坦克等级成长!$B$36:$G$42,MATCH(EB$3,坦克等级成长!$B$35:$G$35,0)),0)</f>
        <v>491</v>
      </c>
      <c r="EC17" s="33">
        <f>ROUND(坦克等级成长!$F114*VLOOKUP($DR$2,坦克等级成长!$B$36:$G$42,MATCH(EC$3,坦克等级成长!$B$35:$G$35,0)),0)</f>
        <v>523</v>
      </c>
      <c r="ED17" s="33">
        <f t="shared" si="12"/>
        <v>523</v>
      </c>
      <c r="EE17" s="33">
        <v>448</v>
      </c>
      <c r="EF17" s="33">
        <f>ROUND(坦克等级成长!$F114*VLOOKUP($DR$2,坦克等级成长!$B$36:$G$42,MATCH(EF$3,坦克等级成长!$B$35:$G$35,0)),0)</f>
        <v>769</v>
      </c>
      <c r="EG17" s="33">
        <f>ROUND(坦克等级成长!$F114*VLOOKUP($DR$2,坦克等级成长!$B$36:$G$42,MATCH(EG$3,坦克等级成长!$B$35:$G$35,0)),0)</f>
        <v>179</v>
      </c>
      <c r="EH17" s="193"/>
      <c r="EI17" s="189"/>
      <c r="EJ17" s="189"/>
      <c r="EK17" s="189"/>
      <c r="EL17" s="189"/>
      <c r="EM17" s="189"/>
      <c r="EN17" s="189"/>
      <c r="EO17" s="200"/>
      <c r="EP17" s="193"/>
      <c r="EQ17" s="189"/>
      <c r="ER17" s="189"/>
      <c r="ES17" s="189"/>
      <c r="ET17" s="189"/>
      <c r="EU17" s="189"/>
      <c r="EV17" s="189"/>
      <c r="EW17" s="200"/>
      <c r="EX17" s="199">
        <v>9</v>
      </c>
      <c r="EY17" s="33">
        <f>ROUND(坦克等级成长!$F114*VLOOKUP($EP$2,坦克等级成长!$B$36:$G$42,MATCH(EY$3,坦克等级成长!$B$35:$G$35,0)),0)</f>
        <v>1580</v>
      </c>
      <c r="EZ17" s="33">
        <f>ROUND(坦克等级成长!$F114*VLOOKUP($EP$2,坦克等级成长!$B$36:$G$42,MATCH(EZ$3,坦克等级成长!$B$35:$G$35,0)),0)</f>
        <v>163</v>
      </c>
      <c r="FA17" s="33">
        <f>ROUND(坦克等级成长!$F114*VLOOKUP($EP$2,坦克等级成长!$B$36:$G$42,MATCH(FA$3,坦克等级成长!$B$35:$G$35,0)),0)</f>
        <v>601</v>
      </c>
      <c r="FB17" s="33">
        <f t="shared" si="13"/>
        <v>601</v>
      </c>
      <c r="FC17" s="33">
        <v>483</v>
      </c>
      <c r="FD17" s="33">
        <f>ROUND(坦克等级成长!$F114*VLOOKUP($EP$2,坦克等级成长!$B$36:$G$42,MATCH(FD$3,坦克等级成长!$B$35:$G$35,0)),0)</f>
        <v>659</v>
      </c>
      <c r="FE17" s="33">
        <f>ROUND(坦克等级成长!$F114*VLOOKUP($EP$2,坦克等级成长!$B$36:$G$42,MATCH(FE$3,坦克等级成长!$B$35:$G$35,0)),0)</f>
        <v>158</v>
      </c>
      <c r="FF17" s="193"/>
      <c r="FG17" s="189"/>
      <c r="FH17" s="189"/>
      <c r="FI17" s="189"/>
      <c r="FJ17" s="189"/>
      <c r="FK17" s="189"/>
      <c r="FL17" s="189"/>
      <c r="FM17" s="200"/>
    </row>
    <row r="18" spans="1:169" ht="14.25" x14ac:dyDescent="0.3">
      <c r="A18" s="189">
        <v>2</v>
      </c>
      <c r="B18" s="193"/>
      <c r="C18" s="189"/>
      <c r="D18" s="189"/>
      <c r="E18" s="189"/>
      <c r="F18" s="189"/>
      <c r="G18" s="189"/>
      <c r="H18" s="189"/>
      <c r="I18" s="200"/>
      <c r="J18" s="199">
        <v>10</v>
      </c>
      <c r="K18" s="33">
        <f>ROUND(坦克等级成长!$F115*VLOOKUP($B$2,坦克等级成长!$B$36:$G$42,MATCH(K$3,坦克等级成长!$B$35:$G$35,0)),0)</f>
        <v>1536</v>
      </c>
      <c r="L18" s="33">
        <f>ROUND(坦克等级成长!$F115*VLOOKUP($B$2,坦克等级成长!$B$36:$G$42,MATCH(L$3,坦克等级成长!$B$35:$G$35,0)),0)</f>
        <v>153</v>
      </c>
      <c r="M18" s="33">
        <f>ROUND(坦克等级成长!$F115*VLOOKUP($B$2,坦克等级成长!$B$36:$G$42,MATCH(M$3,坦克等级成长!$B$35:$G$35,0)),0)</f>
        <v>576</v>
      </c>
      <c r="N18" s="33">
        <f t="shared" si="7"/>
        <v>576</v>
      </c>
      <c r="O18" s="33">
        <v>435</v>
      </c>
      <c r="P18" s="33">
        <f>ROUND(坦克等级成长!$F115*VLOOKUP($B$2,坦克等级成长!$B$36:$G$42,MATCH(P$3,坦克等级成长!$B$35:$G$35,0)),0)</f>
        <v>576</v>
      </c>
      <c r="Q18" s="33">
        <f>ROUND(坦克等级成长!$F115*VLOOKUP($B$2,坦克等级成长!$B$36:$G$42,MATCH(Q$3,坦克等级成长!$B$35:$G$35,0)),0)</f>
        <v>154</v>
      </c>
      <c r="R18" s="193"/>
      <c r="S18" s="189"/>
      <c r="T18" s="189"/>
      <c r="U18" s="189"/>
      <c r="V18" s="189"/>
      <c r="W18" s="189"/>
      <c r="X18" s="189"/>
      <c r="Y18" s="200"/>
      <c r="Z18" s="193"/>
      <c r="AA18" s="189"/>
      <c r="AB18" s="189"/>
      <c r="AC18" s="189"/>
      <c r="AD18" s="189"/>
      <c r="AE18" s="189"/>
      <c r="AF18" s="189"/>
      <c r="AG18" s="200"/>
      <c r="AH18" s="199">
        <v>10</v>
      </c>
      <c r="AI18" s="33">
        <f>ROUND(坦克等级成长!$F115*VLOOKUP($Z$2,坦克等级成长!$B$36:$G$42,MATCH(AI$3,坦克等级成长!$B$35:$G$35,0)),0)</f>
        <v>1536</v>
      </c>
      <c r="AJ18" s="33">
        <f>ROUND(坦克等级成长!$F115*VLOOKUP($Z$2,坦克等级成长!$B$36:$G$42,MATCH(AJ$3,坦克等级成长!$B$35:$G$35,0)),0)</f>
        <v>82</v>
      </c>
      <c r="AK18" s="33">
        <f>ROUND(坦克等级成长!$F115*VLOOKUP($Z$2,坦克等级成长!$B$36:$G$42,MATCH(AK$3,坦克等级成长!$B$35:$G$35,0)),0)</f>
        <v>631</v>
      </c>
      <c r="AL18" s="33">
        <f t="shared" si="8"/>
        <v>631</v>
      </c>
      <c r="AM18" s="33">
        <v>476</v>
      </c>
      <c r="AN18" s="33">
        <f>ROUND(坦克等级成长!$F115*VLOOKUP($Z$2,坦克等级成长!$B$36:$G$42,MATCH(AN$3,坦克等级成长!$B$35:$G$35,0)),0)</f>
        <v>576</v>
      </c>
      <c r="AO18" s="33">
        <f>ROUND(坦克等级成长!$F115*VLOOKUP($Z$2,坦克等级成长!$B$36:$G$42,MATCH(AO$3,坦克等级成长!$B$35:$G$35,0)),0)</f>
        <v>154</v>
      </c>
      <c r="AP18" s="193"/>
      <c r="AQ18" s="189"/>
      <c r="AR18" s="189"/>
      <c r="AS18" s="189"/>
      <c r="AT18" s="189"/>
      <c r="AU18" s="189"/>
      <c r="AV18" s="189"/>
      <c r="AW18" s="200"/>
      <c r="AX18" s="193"/>
      <c r="AY18" s="189"/>
      <c r="AZ18" s="189"/>
      <c r="BA18" s="189"/>
      <c r="BB18" s="189"/>
      <c r="BC18" s="189"/>
      <c r="BD18" s="189"/>
      <c r="BE18" s="200"/>
      <c r="BF18" s="199">
        <v>10</v>
      </c>
      <c r="BG18" s="33">
        <f>ROUND(坦克等级成长!$F115*VLOOKUP($AX$2,坦克等级成长!$B$36:$G$42,MATCH(BG$3,坦克等级成长!$B$35:$G$35,0)),0)</f>
        <v>1536</v>
      </c>
      <c r="BH18" s="33">
        <f>ROUND(坦克等级成长!$F115*VLOOKUP($AX$2,坦克等级成长!$B$36:$G$42,MATCH(BH$3,坦克等级成长!$B$35:$G$35,0)),0)</f>
        <v>153</v>
      </c>
      <c r="BI18" s="33">
        <f>ROUND(坦克等级成长!$F115*VLOOKUP($AX$2,坦克等级成长!$B$36:$G$42,MATCH(BI$3,坦克等级成长!$B$35:$G$35,0)),0)</f>
        <v>576</v>
      </c>
      <c r="BJ18" s="33">
        <f t="shared" si="9"/>
        <v>576</v>
      </c>
      <c r="BK18" s="33">
        <v>435</v>
      </c>
      <c r="BL18" s="33">
        <f>ROUND(坦克等级成长!$F115*VLOOKUP($AX$2,坦克等级成长!$B$36:$G$42,MATCH(BL$3,坦克等级成长!$B$35:$G$35,0)),0)</f>
        <v>576</v>
      </c>
      <c r="BM18" s="33">
        <f>ROUND(坦克等级成长!$F115*VLOOKUP($AX$2,坦克等级成长!$B$36:$G$42,MATCH(BM$3,坦克等级成长!$B$35:$G$35,0)),0)</f>
        <v>154</v>
      </c>
      <c r="BN18" s="193"/>
      <c r="BO18" s="189"/>
      <c r="BP18" s="189"/>
      <c r="BQ18" s="189"/>
      <c r="BR18" s="189"/>
      <c r="BS18" s="189"/>
      <c r="BT18" s="189"/>
      <c r="BU18" s="200"/>
      <c r="BV18" s="193"/>
      <c r="BW18" s="189"/>
      <c r="BX18" s="189"/>
      <c r="BY18" s="189"/>
      <c r="BZ18" s="189"/>
      <c r="CA18" s="189"/>
      <c r="CB18" s="189"/>
      <c r="CC18" s="200"/>
      <c r="CD18" s="199">
        <v>10</v>
      </c>
      <c r="CE18" s="33">
        <f>ROUND(坦克等级成长!$F115*VLOOKUP($BV$2,坦克等级成长!$B$36:$G$42,MATCH(CE$3,坦克等级成长!$B$35:$G$35,0)),0)</f>
        <v>1658</v>
      </c>
      <c r="CF18" s="33">
        <f>ROUND(坦克等级成长!$F115*VLOOKUP($BV$2,坦克等级成长!$B$36:$G$42,MATCH(CF$3,坦克等级成长!$B$35:$G$35,0)),0)</f>
        <v>143</v>
      </c>
      <c r="CG18" s="33">
        <f>ROUND(坦克等级成长!$F115*VLOOKUP($BV$2,坦克等级成长!$B$36:$G$42,MATCH(CG$3,坦克等级成长!$B$35:$G$35,0)),0)</f>
        <v>549</v>
      </c>
      <c r="CH18" s="33">
        <f t="shared" si="10"/>
        <v>549</v>
      </c>
      <c r="CI18" s="33">
        <v>443</v>
      </c>
      <c r="CJ18" s="33">
        <f>ROUND(坦克等级成长!$F115*VLOOKUP($BV$2,坦克等级成长!$B$36:$G$42,MATCH(CJ$3,坦克等级成长!$B$35:$G$35,0)),0)</f>
        <v>691</v>
      </c>
      <c r="CK18" s="33">
        <f>ROUND(坦克等级成长!$F115*VLOOKUP($BV$2,坦克等级成长!$B$36:$G$42,MATCH(CK$3,坦克等级成长!$B$35:$G$35,0)),0)</f>
        <v>166</v>
      </c>
      <c r="CL18" s="193"/>
      <c r="CM18" s="189"/>
      <c r="CN18" s="189"/>
      <c r="CO18" s="189"/>
      <c r="CP18" s="189"/>
      <c r="CQ18" s="189"/>
      <c r="CR18" s="189"/>
      <c r="CS18" s="200"/>
      <c r="CT18" s="193"/>
      <c r="CU18" s="189"/>
      <c r="CV18" s="189"/>
      <c r="CW18" s="189"/>
      <c r="CX18" s="189"/>
      <c r="CY18" s="189"/>
      <c r="CZ18" s="189"/>
      <c r="DA18" s="200"/>
      <c r="DB18" s="199">
        <v>10</v>
      </c>
      <c r="DC18" s="33">
        <f>ROUND(坦克等级成长!$F115*VLOOKUP($CT$2,坦克等级成长!$B$36:$G$42,MATCH(DC$3,坦克等级成长!$B$35:$G$35,0)),0)</f>
        <v>1536</v>
      </c>
      <c r="DD18" s="33">
        <f>ROUND(坦克等级成长!$F115*VLOOKUP($CT$2,坦克等级成长!$B$36:$G$42,MATCH(DD$3,坦克等级成长!$B$35:$G$35,0)),0)</f>
        <v>309</v>
      </c>
      <c r="DE18" s="33">
        <f>ROUND(坦克等级成长!$F115*VLOOKUP($CT$2,坦克等级成长!$B$36:$G$42,MATCH(DE$3,坦克等级成长!$B$35:$G$35,0)),0)</f>
        <v>686</v>
      </c>
      <c r="DF18" s="33">
        <f t="shared" si="11"/>
        <v>686</v>
      </c>
      <c r="DG18" s="33">
        <v>554</v>
      </c>
      <c r="DH18" s="33">
        <f>ROUND(坦克等级成长!$F115*VLOOKUP($CT$2,坦克等级成长!$B$36:$G$42,MATCH(DH$3,坦克等级成长!$B$35:$G$35,0)),0)</f>
        <v>576</v>
      </c>
      <c r="DI18" s="33">
        <f>ROUND(坦克等级成长!$F115*VLOOKUP($CT$2,坦克等级成长!$B$36:$G$42,MATCH(DI$3,坦克等级成长!$B$35:$G$35,0)),0)</f>
        <v>154</v>
      </c>
      <c r="DJ18" s="193"/>
      <c r="DK18" s="189"/>
      <c r="DL18" s="189"/>
      <c r="DM18" s="189"/>
      <c r="DN18" s="189"/>
      <c r="DO18" s="189"/>
      <c r="DP18" s="189"/>
      <c r="DQ18" s="200"/>
      <c r="DR18" s="193"/>
      <c r="DS18" s="189"/>
      <c r="DT18" s="189"/>
      <c r="DU18" s="189"/>
      <c r="DV18" s="189"/>
      <c r="DW18" s="189"/>
      <c r="DX18" s="189"/>
      <c r="DY18" s="200"/>
      <c r="DZ18" s="199">
        <v>10</v>
      </c>
      <c r="EA18" s="33">
        <f>ROUND(坦克等级成长!$F115*VLOOKUP($DR$2,坦克等级成长!$B$36:$G$42,MATCH(EA$3,坦克等级成长!$B$35:$G$35,0)),0)</f>
        <v>1879</v>
      </c>
      <c r="EB18" s="33">
        <f>ROUND(坦克等级成长!$F115*VLOOKUP($DR$2,坦克等级成长!$B$36:$G$42,MATCH(EB$3,坦克等级成长!$B$35:$G$35,0)),0)</f>
        <v>515</v>
      </c>
      <c r="EC18" s="33">
        <f>ROUND(坦克等级成长!$F115*VLOOKUP($DR$2,坦克等级成长!$B$36:$G$42,MATCH(EC$3,坦克等级成长!$B$35:$G$35,0)),0)</f>
        <v>549</v>
      </c>
      <c r="ED18" s="33">
        <f t="shared" si="12"/>
        <v>549</v>
      </c>
      <c r="EE18" s="33">
        <v>473</v>
      </c>
      <c r="EF18" s="33">
        <f>ROUND(坦克等级成长!$F115*VLOOKUP($DR$2,坦克等级成长!$B$36:$G$42,MATCH(EF$3,坦克等级成长!$B$35:$G$35,0)),0)</f>
        <v>806</v>
      </c>
      <c r="EG18" s="33">
        <f>ROUND(坦克等级成长!$F115*VLOOKUP($DR$2,坦克等级成长!$B$36:$G$42,MATCH(EG$3,坦克等级成长!$B$35:$G$35,0)),0)</f>
        <v>188</v>
      </c>
      <c r="EH18" s="193"/>
      <c r="EI18" s="189"/>
      <c r="EJ18" s="189"/>
      <c r="EK18" s="189"/>
      <c r="EL18" s="189"/>
      <c r="EM18" s="189"/>
      <c r="EN18" s="189"/>
      <c r="EO18" s="200"/>
      <c r="EP18" s="193"/>
      <c r="EQ18" s="189"/>
      <c r="ER18" s="189"/>
      <c r="ES18" s="189"/>
      <c r="ET18" s="189"/>
      <c r="EU18" s="189"/>
      <c r="EV18" s="189"/>
      <c r="EW18" s="200"/>
      <c r="EX18" s="199">
        <v>10</v>
      </c>
      <c r="EY18" s="33">
        <f>ROUND(坦克等级成长!$F115*VLOOKUP($EP$2,坦克等级成长!$B$36:$G$42,MATCH(EY$3,坦克等级成长!$B$35:$G$35,0)),0)</f>
        <v>1658</v>
      </c>
      <c r="EZ18" s="33">
        <f>ROUND(坦克等级成长!$F115*VLOOKUP($EP$2,坦克等级成长!$B$36:$G$42,MATCH(EZ$3,坦克等级成长!$B$35:$G$35,0)),0)</f>
        <v>171</v>
      </c>
      <c r="FA18" s="33">
        <f>ROUND(坦克等级成长!$F115*VLOOKUP($EP$2,坦克等级成长!$B$36:$G$42,MATCH(FA$3,坦克等级成长!$B$35:$G$35,0)),0)</f>
        <v>631</v>
      </c>
      <c r="FB18" s="33">
        <f t="shared" si="13"/>
        <v>631</v>
      </c>
      <c r="FC18" s="33">
        <v>510</v>
      </c>
      <c r="FD18" s="33">
        <f>ROUND(坦克等级成长!$F115*VLOOKUP($EP$2,坦克等级成长!$B$36:$G$42,MATCH(FD$3,坦克等级成长!$B$35:$G$35,0)),0)</f>
        <v>691</v>
      </c>
      <c r="FE18" s="33">
        <f>ROUND(坦克等级成长!$F115*VLOOKUP($EP$2,坦克等级成长!$B$36:$G$42,MATCH(FE$3,坦克等级成长!$B$35:$G$35,0)),0)</f>
        <v>166</v>
      </c>
      <c r="FF18" s="193"/>
      <c r="FG18" s="189"/>
      <c r="FH18" s="189"/>
      <c r="FI18" s="189"/>
      <c r="FJ18" s="189"/>
      <c r="FK18" s="189"/>
      <c r="FL18" s="189"/>
      <c r="FM18" s="200"/>
    </row>
    <row r="19" spans="1:169" ht="14.25" x14ac:dyDescent="0.3">
      <c r="A19" s="189">
        <v>2</v>
      </c>
      <c r="B19" s="193"/>
      <c r="C19" s="189"/>
      <c r="D19" s="189"/>
      <c r="E19" s="189"/>
      <c r="F19" s="189"/>
      <c r="G19" s="189"/>
      <c r="H19" s="189"/>
      <c r="I19" s="200"/>
      <c r="J19" s="199">
        <v>11</v>
      </c>
      <c r="K19" s="33">
        <f>ROUND(坦克等级成长!$F116*VLOOKUP($B$2,坦克等级成长!$B$36:$G$42,MATCH(K$3,坦克等级成长!$B$35:$G$35,0)),0)</f>
        <v>1608</v>
      </c>
      <c r="L19" s="33">
        <f>ROUND(坦克等级成长!$F116*VLOOKUP($B$2,坦克等级成长!$B$36:$G$42,MATCH(L$3,坦克等级成长!$B$35:$G$35,0)),0)</f>
        <v>160</v>
      </c>
      <c r="M19" s="33">
        <f>ROUND(坦克等级成长!$F116*VLOOKUP($B$2,坦克等级成长!$B$36:$G$42,MATCH(M$3,坦克等级成长!$B$35:$G$35,0)),0)</f>
        <v>603</v>
      </c>
      <c r="N19" s="33">
        <f t="shared" si="7"/>
        <v>603</v>
      </c>
      <c r="O19" s="33">
        <v>458</v>
      </c>
      <c r="P19" s="33">
        <f>ROUND(坦克等级成长!$F116*VLOOKUP($B$2,坦克等级成长!$B$36:$G$42,MATCH(P$3,坦克等级成长!$B$35:$G$35,0)),0)</f>
        <v>603</v>
      </c>
      <c r="Q19" s="33">
        <f>ROUND(坦克等级成长!$F116*VLOOKUP($B$2,坦克等级成长!$B$36:$G$42,MATCH(Q$3,坦克等级成长!$B$35:$G$35,0)),0)</f>
        <v>161</v>
      </c>
      <c r="R19" s="193"/>
      <c r="S19" s="189"/>
      <c r="T19" s="189"/>
      <c r="U19" s="189"/>
      <c r="V19" s="189"/>
      <c r="W19" s="189"/>
      <c r="X19" s="189"/>
      <c r="Y19" s="200"/>
      <c r="Z19" s="193"/>
      <c r="AA19" s="189"/>
      <c r="AB19" s="189"/>
      <c r="AC19" s="189"/>
      <c r="AD19" s="189"/>
      <c r="AE19" s="189"/>
      <c r="AF19" s="189"/>
      <c r="AG19" s="200"/>
      <c r="AH19" s="199">
        <v>11</v>
      </c>
      <c r="AI19" s="33">
        <f>ROUND(坦克等级成长!$F116*VLOOKUP($Z$2,坦克等级成长!$B$36:$G$42,MATCH(AI$3,坦克等级成长!$B$35:$G$35,0)),0)</f>
        <v>1608</v>
      </c>
      <c r="AJ19" s="33">
        <f>ROUND(坦克等级成长!$F116*VLOOKUP($Z$2,坦克等级成长!$B$36:$G$42,MATCH(AJ$3,坦克等级成长!$B$35:$G$35,0)),0)</f>
        <v>85</v>
      </c>
      <c r="AK19" s="33">
        <f>ROUND(坦克等级成长!$F116*VLOOKUP($Z$2,坦克等级成长!$B$36:$G$42,MATCH(AK$3,坦克等级成长!$B$35:$G$35,0)),0)</f>
        <v>660</v>
      </c>
      <c r="AL19" s="33">
        <f t="shared" si="8"/>
        <v>660</v>
      </c>
      <c r="AM19" s="33">
        <v>501</v>
      </c>
      <c r="AN19" s="33">
        <f>ROUND(坦克等级成长!$F116*VLOOKUP($Z$2,坦克等级成长!$B$36:$G$42,MATCH(AN$3,坦克等级成长!$B$35:$G$35,0)),0)</f>
        <v>603</v>
      </c>
      <c r="AO19" s="33">
        <f>ROUND(坦克等级成长!$F116*VLOOKUP($Z$2,坦克等级成长!$B$36:$G$42,MATCH(AO$3,坦克等级成长!$B$35:$G$35,0)),0)</f>
        <v>161</v>
      </c>
      <c r="AP19" s="193"/>
      <c r="AQ19" s="189"/>
      <c r="AR19" s="189"/>
      <c r="AS19" s="189"/>
      <c r="AT19" s="189"/>
      <c r="AU19" s="189"/>
      <c r="AV19" s="189"/>
      <c r="AW19" s="200"/>
      <c r="AX19" s="193"/>
      <c r="AY19" s="189"/>
      <c r="AZ19" s="189"/>
      <c r="BA19" s="189"/>
      <c r="BB19" s="189"/>
      <c r="BC19" s="189"/>
      <c r="BD19" s="189"/>
      <c r="BE19" s="200"/>
      <c r="BF19" s="199">
        <v>11</v>
      </c>
      <c r="BG19" s="33">
        <f>ROUND(坦克等级成长!$F116*VLOOKUP($AX$2,坦克等级成长!$B$36:$G$42,MATCH(BG$3,坦克等级成长!$B$35:$G$35,0)),0)</f>
        <v>1608</v>
      </c>
      <c r="BH19" s="33">
        <f>ROUND(坦克等级成长!$F116*VLOOKUP($AX$2,坦克等级成长!$B$36:$G$42,MATCH(BH$3,坦克等级成长!$B$35:$G$35,0)),0)</f>
        <v>160</v>
      </c>
      <c r="BI19" s="33">
        <f>ROUND(坦克等级成长!$F116*VLOOKUP($AX$2,坦克等级成长!$B$36:$G$42,MATCH(BI$3,坦克等级成长!$B$35:$G$35,0)),0)</f>
        <v>603</v>
      </c>
      <c r="BJ19" s="33">
        <f t="shared" si="9"/>
        <v>603</v>
      </c>
      <c r="BK19" s="33">
        <v>458</v>
      </c>
      <c r="BL19" s="33">
        <f>ROUND(坦克等级成长!$F116*VLOOKUP($AX$2,坦克等级成长!$B$36:$G$42,MATCH(BL$3,坦克等级成长!$B$35:$G$35,0)),0)</f>
        <v>603</v>
      </c>
      <c r="BM19" s="33">
        <f>ROUND(坦克等级成长!$F116*VLOOKUP($AX$2,坦克等级成长!$B$36:$G$42,MATCH(BM$3,坦克等级成长!$B$35:$G$35,0)),0)</f>
        <v>161</v>
      </c>
      <c r="BN19" s="193"/>
      <c r="BO19" s="189"/>
      <c r="BP19" s="189"/>
      <c r="BQ19" s="189"/>
      <c r="BR19" s="189"/>
      <c r="BS19" s="189"/>
      <c r="BT19" s="189"/>
      <c r="BU19" s="200"/>
      <c r="BV19" s="193"/>
      <c r="BW19" s="189"/>
      <c r="BX19" s="189"/>
      <c r="BY19" s="189"/>
      <c r="BZ19" s="189"/>
      <c r="CA19" s="189"/>
      <c r="CB19" s="189"/>
      <c r="CC19" s="200"/>
      <c r="CD19" s="199">
        <v>11</v>
      </c>
      <c r="CE19" s="33">
        <f>ROUND(坦克等级成长!$F116*VLOOKUP($BV$2,坦克等级成长!$B$36:$G$42,MATCH(CE$3,坦克等级成长!$B$35:$G$35,0)),0)</f>
        <v>1736</v>
      </c>
      <c r="CF19" s="33">
        <f>ROUND(坦克等级成长!$F116*VLOOKUP($BV$2,坦克等级成长!$B$36:$G$42,MATCH(CF$3,坦克等级成长!$B$35:$G$35,0)),0)</f>
        <v>149</v>
      </c>
      <c r="CG19" s="33">
        <f>ROUND(坦克等级成长!$F116*VLOOKUP($BV$2,坦克等级成长!$B$36:$G$42,MATCH(CG$3,坦克等级成长!$B$35:$G$35,0)),0)</f>
        <v>574</v>
      </c>
      <c r="CH19" s="33">
        <f t="shared" si="10"/>
        <v>574</v>
      </c>
      <c r="CI19" s="33">
        <v>467</v>
      </c>
      <c r="CJ19" s="33">
        <f>ROUND(坦克等级成长!$F116*VLOOKUP($BV$2,坦克等级成长!$B$36:$G$42,MATCH(CJ$3,坦克等级成长!$B$35:$G$35,0)),0)</f>
        <v>724</v>
      </c>
      <c r="CK19" s="33">
        <f>ROUND(坦克等级成长!$F116*VLOOKUP($BV$2,坦克等级成长!$B$36:$G$42,MATCH(CK$3,坦克等级成长!$B$35:$G$35,0)),0)</f>
        <v>174</v>
      </c>
      <c r="CL19" s="193"/>
      <c r="CM19" s="189"/>
      <c r="CN19" s="189"/>
      <c r="CO19" s="189"/>
      <c r="CP19" s="189"/>
      <c r="CQ19" s="189"/>
      <c r="CR19" s="189"/>
      <c r="CS19" s="200"/>
      <c r="CT19" s="193"/>
      <c r="CU19" s="189"/>
      <c r="CV19" s="189"/>
      <c r="CW19" s="189"/>
      <c r="CX19" s="189"/>
      <c r="CY19" s="189"/>
      <c r="CZ19" s="189"/>
      <c r="DA19" s="200"/>
      <c r="DB19" s="199">
        <v>11</v>
      </c>
      <c r="DC19" s="33">
        <f>ROUND(坦克等级成长!$F116*VLOOKUP($CT$2,坦克等级成长!$B$36:$G$42,MATCH(DC$3,坦克等级成长!$B$35:$G$35,0)),0)</f>
        <v>1608</v>
      </c>
      <c r="DD19" s="33">
        <f>ROUND(坦克等级成长!$F116*VLOOKUP($CT$2,坦克等级成长!$B$36:$G$42,MATCH(DD$3,坦克等级成长!$B$35:$G$35,0)),0)</f>
        <v>324</v>
      </c>
      <c r="DE19" s="33">
        <f>ROUND(坦克等级成长!$F116*VLOOKUP($CT$2,坦克等级成长!$B$36:$G$42,MATCH(DE$3,坦克等级成长!$B$35:$G$35,0)),0)</f>
        <v>718</v>
      </c>
      <c r="DF19" s="33">
        <f t="shared" si="11"/>
        <v>718</v>
      </c>
      <c r="DG19" s="33">
        <v>584</v>
      </c>
      <c r="DH19" s="33">
        <f>ROUND(坦克等级成长!$F116*VLOOKUP($CT$2,坦克等级成长!$B$36:$G$42,MATCH(DH$3,坦克等级成长!$B$35:$G$35,0)),0)</f>
        <v>603</v>
      </c>
      <c r="DI19" s="33">
        <f>ROUND(坦克等级成长!$F116*VLOOKUP($CT$2,坦克等级成长!$B$36:$G$42,MATCH(DI$3,坦克等级成长!$B$35:$G$35,0)),0)</f>
        <v>161</v>
      </c>
      <c r="DJ19" s="193"/>
      <c r="DK19" s="189"/>
      <c r="DL19" s="189"/>
      <c r="DM19" s="189"/>
      <c r="DN19" s="189"/>
      <c r="DO19" s="189"/>
      <c r="DP19" s="189"/>
      <c r="DQ19" s="200"/>
      <c r="DR19" s="193"/>
      <c r="DS19" s="189"/>
      <c r="DT19" s="189"/>
      <c r="DU19" s="189"/>
      <c r="DV19" s="189"/>
      <c r="DW19" s="189"/>
      <c r="DX19" s="189"/>
      <c r="DY19" s="200"/>
      <c r="DZ19" s="199">
        <v>11</v>
      </c>
      <c r="EA19" s="33">
        <f>ROUND(坦克等级成长!$F116*VLOOKUP($DR$2,坦克等级成长!$B$36:$G$42,MATCH(EA$3,坦克等级成长!$B$35:$G$35,0)),0)</f>
        <v>1967</v>
      </c>
      <c r="EB19" s="33">
        <f>ROUND(坦克等级成长!$F116*VLOOKUP($DR$2,坦克等级成长!$B$36:$G$42,MATCH(EB$3,坦克等级成长!$B$35:$G$35,0)),0)</f>
        <v>539</v>
      </c>
      <c r="EC19" s="33">
        <f>ROUND(坦克等级成长!$F116*VLOOKUP($DR$2,坦克等级成长!$B$36:$G$42,MATCH(EC$3,坦克等级成长!$B$35:$G$35,0)),0)</f>
        <v>574</v>
      </c>
      <c r="ED19" s="33">
        <f t="shared" si="12"/>
        <v>574</v>
      </c>
      <c r="EE19" s="33">
        <v>498</v>
      </c>
      <c r="EF19" s="33">
        <f>ROUND(坦克等级成长!$F116*VLOOKUP($DR$2,坦克等级成长!$B$36:$G$42,MATCH(EF$3,坦克等级成长!$B$35:$G$35,0)),0)</f>
        <v>844</v>
      </c>
      <c r="EG19" s="33">
        <f>ROUND(坦克等级成长!$F116*VLOOKUP($DR$2,坦克等级成长!$B$36:$G$42,MATCH(EG$3,坦克等级成长!$B$35:$G$35,0)),0)</f>
        <v>197</v>
      </c>
      <c r="EH19" s="193"/>
      <c r="EI19" s="189"/>
      <c r="EJ19" s="189"/>
      <c r="EK19" s="189"/>
      <c r="EL19" s="189"/>
      <c r="EM19" s="189"/>
      <c r="EN19" s="189"/>
      <c r="EO19" s="200"/>
      <c r="EP19" s="193"/>
      <c r="EQ19" s="189"/>
      <c r="ER19" s="189"/>
      <c r="ES19" s="189"/>
      <c r="ET19" s="189"/>
      <c r="EU19" s="189"/>
      <c r="EV19" s="189"/>
      <c r="EW19" s="200"/>
      <c r="EX19" s="199">
        <v>11</v>
      </c>
      <c r="EY19" s="33">
        <f>ROUND(坦克等级成长!$F116*VLOOKUP($EP$2,坦克等级成长!$B$36:$G$42,MATCH(EY$3,坦克等级成长!$B$35:$G$35,0)),0)</f>
        <v>1736</v>
      </c>
      <c r="EZ19" s="33">
        <f>ROUND(坦克等级成长!$F116*VLOOKUP($EP$2,坦克等级成长!$B$36:$G$42,MATCH(EZ$3,坦克等级成长!$B$35:$G$35,0)),0)</f>
        <v>179</v>
      </c>
      <c r="FA19" s="33">
        <f>ROUND(坦克等级成长!$F116*VLOOKUP($EP$2,坦克等级成长!$B$36:$G$42,MATCH(FA$3,坦克等级成长!$B$35:$G$35,0)),0)</f>
        <v>660</v>
      </c>
      <c r="FB19" s="33">
        <f t="shared" si="13"/>
        <v>660</v>
      </c>
      <c r="FC19" s="33">
        <v>537</v>
      </c>
      <c r="FD19" s="33">
        <f>ROUND(坦克等级成长!$F116*VLOOKUP($EP$2,坦克等级成长!$B$36:$G$42,MATCH(FD$3,坦克等级成长!$B$35:$G$35,0)),0)</f>
        <v>724</v>
      </c>
      <c r="FE19" s="33">
        <f>ROUND(坦克等级成长!$F116*VLOOKUP($EP$2,坦克等级成长!$B$36:$G$42,MATCH(FE$3,坦克等级成长!$B$35:$G$35,0)),0)</f>
        <v>174</v>
      </c>
      <c r="FF19" s="193"/>
      <c r="FG19" s="189"/>
      <c r="FH19" s="189"/>
      <c r="FI19" s="189"/>
      <c r="FJ19" s="189"/>
      <c r="FK19" s="189"/>
      <c r="FL19" s="189"/>
      <c r="FM19" s="200"/>
    </row>
    <row r="20" spans="1:169" ht="14.25" x14ac:dyDescent="0.3">
      <c r="A20" s="189">
        <v>2</v>
      </c>
      <c r="B20" s="193"/>
      <c r="C20" s="189"/>
      <c r="D20" s="189"/>
      <c r="E20" s="189"/>
      <c r="F20" s="189"/>
      <c r="G20" s="189"/>
      <c r="H20" s="189"/>
      <c r="I20" s="200"/>
      <c r="J20" s="199">
        <v>12</v>
      </c>
      <c r="K20" s="33">
        <f>ROUND(坦克等级成长!$F117*VLOOKUP($B$2,坦克等级成长!$B$36:$G$42,MATCH(K$3,坦克等级成长!$B$35:$G$35,0)),0)</f>
        <v>1680</v>
      </c>
      <c r="L20" s="33">
        <f>ROUND(坦克等级成长!$F117*VLOOKUP($B$2,坦克等级成长!$B$36:$G$42,MATCH(L$3,坦克等级成长!$B$35:$G$35,0)),0)</f>
        <v>167</v>
      </c>
      <c r="M20" s="33">
        <f>ROUND(坦克等级成长!$F117*VLOOKUP($B$2,坦克等级成长!$B$36:$G$42,MATCH(M$3,坦克等级成长!$B$35:$G$35,0)),0)</f>
        <v>630</v>
      </c>
      <c r="N20" s="33">
        <f t="shared" si="7"/>
        <v>630</v>
      </c>
      <c r="O20" s="33">
        <v>481</v>
      </c>
      <c r="P20" s="33">
        <f>ROUND(坦克等级成长!$F117*VLOOKUP($B$2,坦克等级成长!$B$36:$G$42,MATCH(P$3,坦克等级成长!$B$35:$G$35,0)),0)</f>
        <v>630</v>
      </c>
      <c r="Q20" s="33">
        <f>ROUND(坦克等级成长!$F117*VLOOKUP($B$2,坦克等级成长!$B$36:$G$42,MATCH(Q$3,坦克等级成长!$B$35:$G$35,0)),0)</f>
        <v>168</v>
      </c>
      <c r="R20" s="193"/>
      <c r="S20" s="189"/>
      <c r="T20" s="189"/>
      <c r="U20" s="189"/>
      <c r="V20" s="189"/>
      <c r="W20" s="189"/>
      <c r="X20" s="189"/>
      <c r="Y20" s="200"/>
      <c r="Z20" s="193"/>
      <c r="AA20" s="189"/>
      <c r="AB20" s="189"/>
      <c r="AC20" s="189"/>
      <c r="AD20" s="189"/>
      <c r="AE20" s="189"/>
      <c r="AF20" s="189"/>
      <c r="AG20" s="200"/>
      <c r="AH20" s="199">
        <v>12</v>
      </c>
      <c r="AI20" s="33">
        <f>ROUND(坦克等级成长!$F117*VLOOKUP($Z$2,坦克等级成长!$B$36:$G$42,MATCH(AI$3,坦克等级成长!$B$35:$G$35,0)),0)</f>
        <v>1680</v>
      </c>
      <c r="AJ20" s="33">
        <f>ROUND(坦克等级成长!$F117*VLOOKUP($Z$2,坦克等级成长!$B$36:$G$42,MATCH(AJ$3,坦克等级成长!$B$35:$G$35,0)),0)</f>
        <v>89</v>
      </c>
      <c r="AK20" s="33">
        <f>ROUND(坦克等级成长!$F117*VLOOKUP($Z$2,坦克等级成长!$B$36:$G$42,MATCH(AK$3,坦克等级成长!$B$35:$G$35,0)),0)</f>
        <v>690</v>
      </c>
      <c r="AL20" s="33">
        <f t="shared" si="8"/>
        <v>690</v>
      </c>
      <c r="AM20" s="33">
        <v>526</v>
      </c>
      <c r="AN20" s="33">
        <f>ROUND(坦克等级成长!$F117*VLOOKUP($Z$2,坦克等级成长!$B$36:$G$42,MATCH(AN$3,坦克等级成长!$B$35:$G$35,0)),0)</f>
        <v>630</v>
      </c>
      <c r="AO20" s="33">
        <f>ROUND(坦克等级成长!$F117*VLOOKUP($Z$2,坦克等级成长!$B$36:$G$42,MATCH(AO$3,坦克等级成长!$B$35:$G$35,0)),0)</f>
        <v>168</v>
      </c>
      <c r="AP20" s="193"/>
      <c r="AQ20" s="189"/>
      <c r="AR20" s="189"/>
      <c r="AS20" s="189"/>
      <c r="AT20" s="189"/>
      <c r="AU20" s="189"/>
      <c r="AV20" s="189"/>
      <c r="AW20" s="200"/>
      <c r="AX20" s="193"/>
      <c r="AY20" s="189"/>
      <c r="AZ20" s="189"/>
      <c r="BA20" s="189"/>
      <c r="BB20" s="189"/>
      <c r="BC20" s="189"/>
      <c r="BD20" s="189"/>
      <c r="BE20" s="200"/>
      <c r="BF20" s="199">
        <v>12</v>
      </c>
      <c r="BG20" s="33">
        <f>ROUND(坦克等级成长!$F117*VLOOKUP($AX$2,坦克等级成长!$B$36:$G$42,MATCH(BG$3,坦克等级成长!$B$35:$G$35,0)),0)</f>
        <v>1680</v>
      </c>
      <c r="BH20" s="33">
        <f>ROUND(坦克等级成长!$F117*VLOOKUP($AX$2,坦克等级成长!$B$36:$G$42,MATCH(BH$3,坦克等级成长!$B$35:$G$35,0)),0)</f>
        <v>167</v>
      </c>
      <c r="BI20" s="33">
        <f>ROUND(坦克等级成长!$F117*VLOOKUP($AX$2,坦克等级成长!$B$36:$G$42,MATCH(BI$3,坦克等级成长!$B$35:$G$35,0)),0)</f>
        <v>630</v>
      </c>
      <c r="BJ20" s="33">
        <f t="shared" si="9"/>
        <v>630</v>
      </c>
      <c r="BK20" s="33">
        <v>481</v>
      </c>
      <c r="BL20" s="33">
        <f>ROUND(坦克等级成长!$F117*VLOOKUP($AX$2,坦克等级成长!$B$36:$G$42,MATCH(BL$3,坦克等级成长!$B$35:$G$35,0)),0)</f>
        <v>630</v>
      </c>
      <c r="BM20" s="33">
        <f>ROUND(坦克等级成长!$F117*VLOOKUP($AX$2,坦克等级成长!$B$36:$G$42,MATCH(BM$3,坦克等级成长!$B$35:$G$35,0)),0)</f>
        <v>168</v>
      </c>
      <c r="BN20" s="193"/>
      <c r="BO20" s="189"/>
      <c r="BP20" s="189"/>
      <c r="BQ20" s="189"/>
      <c r="BR20" s="189"/>
      <c r="BS20" s="189"/>
      <c r="BT20" s="189"/>
      <c r="BU20" s="200"/>
      <c r="BV20" s="193"/>
      <c r="BW20" s="189"/>
      <c r="BX20" s="189"/>
      <c r="BY20" s="189"/>
      <c r="BZ20" s="189"/>
      <c r="CA20" s="189"/>
      <c r="CB20" s="189"/>
      <c r="CC20" s="200"/>
      <c r="CD20" s="199">
        <v>12</v>
      </c>
      <c r="CE20" s="33">
        <f>ROUND(坦克等级成长!$F117*VLOOKUP($BV$2,坦克等级成长!$B$36:$G$42,MATCH(CE$3,坦克等级成长!$B$35:$G$35,0)),0)</f>
        <v>1813</v>
      </c>
      <c r="CF20" s="33">
        <f>ROUND(坦克等级成长!$F117*VLOOKUP($BV$2,坦克等级成长!$B$36:$G$42,MATCH(CF$3,坦克等级成长!$B$35:$G$35,0)),0)</f>
        <v>156</v>
      </c>
      <c r="CG20" s="33">
        <f>ROUND(坦克等级成长!$F117*VLOOKUP($BV$2,坦克等级成长!$B$36:$G$42,MATCH(CG$3,坦克等级成长!$B$35:$G$35,0)),0)</f>
        <v>600</v>
      </c>
      <c r="CH20" s="33">
        <f t="shared" si="10"/>
        <v>600</v>
      </c>
      <c r="CI20" s="33">
        <v>491</v>
      </c>
      <c r="CJ20" s="33">
        <f>ROUND(坦克等级成长!$F117*VLOOKUP($BV$2,坦克等级成长!$B$36:$G$42,MATCH(CJ$3,坦克等级成长!$B$35:$G$35,0)),0)</f>
        <v>756</v>
      </c>
      <c r="CK20" s="33">
        <f>ROUND(坦克等级成长!$F117*VLOOKUP($BV$2,坦克等级成长!$B$36:$G$42,MATCH(CK$3,坦克等级成长!$B$35:$G$35,0)),0)</f>
        <v>181</v>
      </c>
      <c r="CL20" s="193"/>
      <c r="CM20" s="189"/>
      <c r="CN20" s="189"/>
      <c r="CO20" s="189"/>
      <c r="CP20" s="189"/>
      <c r="CQ20" s="189"/>
      <c r="CR20" s="189"/>
      <c r="CS20" s="200"/>
      <c r="CT20" s="193"/>
      <c r="CU20" s="189"/>
      <c r="CV20" s="189"/>
      <c r="CW20" s="189"/>
      <c r="CX20" s="189"/>
      <c r="CY20" s="189"/>
      <c r="CZ20" s="189"/>
      <c r="DA20" s="200"/>
      <c r="DB20" s="199">
        <v>12</v>
      </c>
      <c r="DC20" s="33">
        <f>ROUND(坦克等级成长!$F117*VLOOKUP($CT$2,坦克等级成长!$B$36:$G$42,MATCH(DC$3,坦克等级成长!$B$35:$G$35,0)),0)</f>
        <v>1680</v>
      </c>
      <c r="DD20" s="33">
        <f>ROUND(坦克等级成长!$F117*VLOOKUP($CT$2,坦克等级成长!$B$36:$G$42,MATCH(DD$3,坦克等级成长!$B$35:$G$35,0)),0)</f>
        <v>338</v>
      </c>
      <c r="DE20" s="33">
        <f>ROUND(坦克等级成长!$F117*VLOOKUP($CT$2,坦克等级成长!$B$36:$G$42,MATCH(DE$3,坦克等级成长!$B$35:$G$35,0)),0)</f>
        <v>750</v>
      </c>
      <c r="DF20" s="33">
        <f t="shared" si="11"/>
        <v>750</v>
      </c>
      <c r="DG20" s="33">
        <v>614</v>
      </c>
      <c r="DH20" s="33">
        <f>ROUND(坦克等级成长!$F117*VLOOKUP($CT$2,坦克等级成长!$B$36:$G$42,MATCH(DH$3,坦克等级成长!$B$35:$G$35,0)),0)</f>
        <v>630</v>
      </c>
      <c r="DI20" s="33">
        <f>ROUND(坦克等级成长!$F117*VLOOKUP($CT$2,坦克等级成长!$B$36:$G$42,MATCH(DI$3,坦克等级成长!$B$35:$G$35,0)),0)</f>
        <v>168</v>
      </c>
      <c r="DJ20" s="193"/>
      <c r="DK20" s="189"/>
      <c r="DL20" s="189"/>
      <c r="DM20" s="189"/>
      <c r="DN20" s="189"/>
      <c r="DO20" s="189"/>
      <c r="DP20" s="189"/>
      <c r="DQ20" s="200"/>
      <c r="DR20" s="193"/>
      <c r="DS20" s="189"/>
      <c r="DT20" s="189"/>
      <c r="DU20" s="189"/>
      <c r="DV20" s="189"/>
      <c r="DW20" s="189"/>
      <c r="DX20" s="189"/>
      <c r="DY20" s="200"/>
      <c r="DZ20" s="199">
        <v>12</v>
      </c>
      <c r="EA20" s="33">
        <f>ROUND(坦克等级成长!$F117*VLOOKUP($DR$2,坦克等级成长!$B$36:$G$42,MATCH(EA$3,坦克等级成长!$B$35:$G$35,0)),0)</f>
        <v>2055</v>
      </c>
      <c r="EB20" s="33">
        <f>ROUND(坦克等级成长!$F117*VLOOKUP($DR$2,坦克等级成长!$B$36:$G$42,MATCH(EB$3,坦克等级成长!$B$35:$G$35,0)),0)</f>
        <v>563</v>
      </c>
      <c r="EC20" s="33">
        <f>ROUND(坦克等级成长!$F117*VLOOKUP($DR$2,坦克等级成长!$B$36:$G$42,MATCH(EC$3,坦克等级成长!$B$35:$G$35,0)),0)</f>
        <v>600</v>
      </c>
      <c r="ED20" s="33">
        <f t="shared" si="12"/>
        <v>600</v>
      </c>
      <c r="EE20" s="33">
        <v>523</v>
      </c>
      <c r="EF20" s="33">
        <f>ROUND(坦克等级成长!$F117*VLOOKUP($DR$2,坦克等级成长!$B$36:$G$42,MATCH(EF$3,坦克等级成长!$B$35:$G$35,0)),0)</f>
        <v>882</v>
      </c>
      <c r="EG20" s="33">
        <f>ROUND(坦克等级成长!$F117*VLOOKUP($DR$2,坦克等级成长!$B$36:$G$42,MATCH(EG$3,坦克等级成长!$B$35:$G$35,0)),0)</f>
        <v>206</v>
      </c>
      <c r="EH20" s="193"/>
      <c r="EI20" s="189"/>
      <c r="EJ20" s="189"/>
      <c r="EK20" s="189"/>
      <c r="EL20" s="189"/>
      <c r="EM20" s="189"/>
      <c r="EN20" s="189"/>
      <c r="EO20" s="200"/>
      <c r="EP20" s="193"/>
      <c r="EQ20" s="189"/>
      <c r="ER20" s="189"/>
      <c r="ES20" s="189"/>
      <c r="ET20" s="189"/>
      <c r="EU20" s="189"/>
      <c r="EV20" s="189"/>
      <c r="EW20" s="200"/>
      <c r="EX20" s="199">
        <v>12</v>
      </c>
      <c r="EY20" s="33">
        <f>ROUND(坦克等级成长!$F117*VLOOKUP($EP$2,坦克等级成长!$B$36:$G$42,MATCH(EY$3,坦克等级成长!$B$35:$G$35,0)),0)</f>
        <v>1813</v>
      </c>
      <c r="EZ20" s="33">
        <f>ROUND(坦克等级成长!$F117*VLOOKUP($EP$2,坦克等级成长!$B$36:$G$42,MATCH(EZ$3,坦克等级成长!$B$35:$G$35,0)),0)</f>
        <v>187</v>
      </c>
      <c r="FA20" s="33">
        <f>ROUND(坦克等级成长!$F117*VLOOKUP($EP$2,坦克等级成长!$B$36:$G$42,MATCH(FA$3,坦克等级成长!$B$35:$G$35,0)),0)</f>
        <v>690</v>
      </c>
      <c r="FB20" s="33">
        <f t="shared" si="13"/>
        <v>690</v>
      </c>
      <c r="FC20" s="33">
        <v>564</v>
      </c>
      <c r="FD20" s="33">
        <f>ROUND(坦克等级成长!$F117*VLOOKUP($EP$2,坦克等级成长!$B$36:$G$42,MATCH(FD$3,坦克等级成长!$B$35:$G$35,0)),0)</f>
        <v>756</v>
      </c>
      <c r="FE20" s="33">
        <f>ROUND(坦克等级成长!$F117*VLOOKUP($EP$2,坦克等级成长!$B$36:$G$42,MATCH(FE$3,坦克等级成长!$B$35:$G$35,0)),0)</f>
        <v>181</v>
      </c>
      <c r="FF20" s="193"/>
      <c r="FG20" s="189"/>
      <c r="FH20" s="189"/>
      <c r="FI20" s="189"/>
      <c r="FJ20" s="189"/>
      <c r="FK20" s="189"/>
      <c r="FL20" s="189"/>
      <c r="FM20" s="200"/>
    </row>
    <row r="21" spans="1:169" ht="14.25" x14ac:dyDescent="0.3">
      <c r="A21" s="189">
        <v>3</v>
      </c>
      <c r="B21" s="192">
        <v>1</v>
      </c>
      <c r="C21" s="33">
        <f>ROUND(坦克等级成长!$D118*VLOOKUP($B$2,坦克等级成长!$B$36:$G$42,MATCH(C$3,坦克等级成长!$B$35:$G$35,0)),0)</f>
        <v>1144</v>
      </c>
      <c r="D21" s="33">
        <f>ROUND(坦克等级成长!$D118*VLOOKUP($B$2,坦克等级成长!$B$36:$G$42,MATCH(D$3,坦克等级成长!$B$35:$G$35,0)),0)</f>
        <v>114</v>
      </c>
      <c r="E21" s="33">
        <f>ROUND(坦克等级成长!$D118*VLOOKUP($B$2,坦克等级成长!$B$36:$G$42,MATCH(E$3,坦克等级成长!$B$35:$G$35,0)),0)</f>
        <v>429</v>
      </c>
      <c r="F21" s="33">
        <f t="shared" ref="F21:F29" si="14">E21</f>
        <v>429</v>
      </c>
      <c r="G21" s="33">
        <v>310.8</v>
      </c>
      <c r="H21" s="33">
        <f>ROUND(坦克等级成长!$D118*VLOOKUP($B$2,坦克等级成长!$B$36:$G$42,MATCH(H$3,坦克等级成长!$B$35:$G$35,0)),0)</f>
        <v>429</v>
      </c>
      <c r="I21" s="33">
        <f>ROUND(坦克等级成长!$D118*VLOOKUP($B$2,坦克等级成长!$B$36:$G$42,MATCH(I$3,坦克等级成长!$B$35:$G$35,0)),0)</f>
        <v>114</v>
      </c>
      <c r="J21" s="199">
        <v>1</v>
      </c>
      <c r="K21" s="33">
        <f>ROUND(坦克等级成长!$F118*VLOOKUP($B$2,坦克等级成长!$B$36:$G$42,MATCH(K$3,坦克等级成长!$B$35:$G$35,0)),0)</f>
        <v>1168</v>
      </c>
      <c r="L21" s="33">
        <f>ROUND(坦克等级成长!$F118*VLOOKUP($B$2,坦克等级成长!$B$36:$G$42,MATCH(L$3,坦克等级成长!$B$35:$G$35,0)),0)</f>
        <v>116</v>
      </c>
      <c r="M21" s="33">
        <f>ROUND(坦克等级成长!$F118*VLOOKUP($B$2,坦克等级成长!$B$36:$G$42,MATCH(M$3,坦克等级成长!$B$35:$G$35,0)),0)</f>
        <v>438</v>
      </c>
      <c r="N21" s="33">
        <f t="shared" si="7"/>
        <v>438</v>
      </c>
      <c r="O21" s="33">
        <v>323</v>
      </c>
      <c r="P21" s="33">
        <f>ROUND(坦克等级成长!$F118*VLOOKUP($B$2,坦克等级成长!$B$36:$G$42,MATCH(P$3,坦克等级成长!$B$35:$G$35,0)),0)</f>
        <v>438</v>
      </c>
      <c r="Q21" s="33">
        <f>ROUND(坦克等级成长!$F118*VLOOKUP($B$2,坦克等级成长!$B$36:$G$42,MATCH(Q$3,坦克等级成长!$B$35:$G$35,0)),0)</f>
        <v>117</v>
      </c>
      <c r="R21" s="192">
        <v>1</v>
      </c>
      <c r="S21" s="33">
        <f>ROUND(坦克等级成长!$H118*VLOOKUP($B$2,坦克等级成长!$B$36:$G$42,MATCH(S$3,坦克等级成长!$B$35:$G$35,0)),0)</f>
        <v>1192</v>
      </c>
      <c r="T21" s="33">
        <f>ROUND(坦克等级成长!$H118*VLOOKUP($B$2,坦克等级成长!$B$36:$G$42,MATCH(T$3,坦克等级成长!$B$35:$G$35,0)),0)</f>
        <v>119</v>
      </c>
      <c r="U21" s="33">
        <f>ROUND(坦克等级成长!$H118*VLOOKUP($B$2,坦克等级成长!$B$36:$G$42,MATCH(U$3,坦克等级成长!$B$35:$G$35,0)),0)</f>
        <v>447</v>
      </c>
      <c r="V21" s="33">
        <f>U21</f>
        <v>447</v>
      </c>
      <c r="W21" s="33">
        <v>323</v>
      </c>
      <c r="X21" s="33">
        <f>ROUND(坦克等级成长!$H118*VLOOKUP($B$2,坦克等级成长!$B$36:$G$42,MATCH(X$3,坦克等级成长!$B$35:$G$35,0)),0)</f>
        <v>447</v>
      </c>
      <c r="Y21" s="33">
        <f>ROUND(坦克等级成长!$H118*VLOOKUP($B$2,坦克等级成长!$B$36:$G$42,MATCH(Y$3,坦克等级成长!$B$35:$G$35,0)),0)</f>
        <v>119</v>
      </c>
      <c r="Z21" s="192">
        <v>1</v>
      </c>
      <c r="AA21" s="33">
        <f>ROUND(坦克等级成长!$D118*VLOOKUP($Z$2,坦克等级成长!$B$36:$G$42,MATCH(AA$3,坦克等级成长!$B$35:$G$35,0)),0)</f>
        <v>1144</v>
      </c>
      <c r="AB21" s="33">
        <f>ROUND(坦克等级成长!$D118*VLOOKUP($Z$2,坦克等级成长!$B$36:$G$42,MATCH(AB$3,坦克等级成长!$B$35:$G$35,0)),0)</f>
        <v>61</v>
      </c>
      <c r="AC21" s="33">
        <f>ROUND(坦克等级成长!$D118*VLOOKUP($Z$2,坦克等级成长!$B$36:$G$42,MATCH(AC$3,坦克等级成长!$B$35:$G$35,0)),0)</f>
        <v>470</v>
      </c>
      <c r="AD21" s="33">
        <f t="shared" ref="AD21:AD29" si="15">AC21</f>
        <v>470</v>
      </c>
      <c r="AE21" s="33">
        <v>340.2</v>
      </c>
      <c r="AF21" s="33">
        <f>ROUND(坦克等级成长!$D118*VLOOKUP($Z$2,坦克等级成长!$B$36:$G$42,MATCH(AF$3,坦克等级成长!$B$35:$G$35,0)),0)</f>
        <v>429</v>
      </c>
      <c r="AG21" s="33">
        <f>ROUND(坦克等级成长!$D118*VLOOKUP($Z$2,坦克等级成长!$B$36:$G$42,MATCH(AG$3,坦克等级成长!$B$35:$G$35,0)),0)</f>
        <v>114</v>
      </c>
      <c r="AH21" s="199">
        <v>1</v>
      </c>
      <c r="AI21" s="33">
        <f>ROUND(坦克等级成长!$F118*VLOOKUP($Z$2,坦克等级成长!$B$36:$G$42,MATCH(AI$3,坦克等级成长!$B$35:$G$35,0)),0)</f>
        <v>1168</v>
      </c>
      <c r="AJ21" s="33">
        <f>ROUND(坦克等级成长!$F118*VLOOKUP($Z$2,坦克等级成长!$B$36:$G$42,MATCH(AJ$3,坦克等级成长!$B$35:$G$35,0)),0)</f>
        <v>62</v>
      </c>
      <c r="AK21" s="33">
        <f>ROUND(坦克等级成长!$F118*VLOOKUP($Z$2,坦克等级成长!$B$36:$G$42,MATCH(AK$3,坦克等级成长!$B$35:$G$35,0)),0)</f>
        <v>480</v>
      </c>
      <c r="AL21" s="33">
        <f t="shared" si="8"/>
        <v>480</v>
      </c>
      <c r="AM21" s="33">
        <v>354</v>
      </c>
      <c r="AN21" s="33">
        <f>ROUND(坦克等级成长!$F118*VLOOKUP($Z$2,坦克等级成长!$B$36:$G$42,MATCH(AN$3,坦克等级成长!$B$35:$G$35,0)),0)</f>
        <v>438</v>
      </c>
      <c r="AO21" s="33">
        <f>ROUND(坦克等级成长!$F118*VLOOKUP($Z$2,坦克等级成长!$B$36:$G$42,MATCH(AO$3,坦克等级成长!$B$35:$G$35,0)),0)</f>
        <v>117</v>
      </c>
      <c r="AP21" s="192">
        <v>1</v>
      </c>
      <c r="AQ21" s="33">
        <f>ROUND(坦克等级成长!$H118*VLOOKUP($Z$2,坦克等级成长!$B$36:$G$42,MATCH(AQ$3,坦克等级成长!$B$35:$G$35,0)),0)</f>
        <v>1192</v>
      </c>
      <c r="AR21" s="33">
        <f>ROUND(坦克等级成长!$H118*VLOOKUP($Z$2,坦克等级成长!$B$36:$G$42,MATCH(AR$3,坦克等级成长!$B$35:$G$35,0)),0)</f>
        <v>63</v>
      </c>
      <c r="AS21" s="33">
        <f>ROUND(坦克等级成长!$H118*VLOOKUP($Z$2,坦克等级成长!$B$36:$G$42,MATCH(AS$3,坦克等级成长!$B$35:$G$35,0)),0)</f>
        <v>490</v>
      </c>
      <c r="AT21" s="33">
        <f>AS21</f>
        <v>490</v>
      </c>
      <c r="AU21" s="33">
        <v>354</v>
      </c>
      <c r="AV21" s="33">
        <f>ROUND(坦克等级成长!$H118*VLOOKUP($Z$2,坦克等级成长!$B$36:$G$42,MATCH(AV$3,坦克等级成长!$B$35:$G$35,0)),0)</f>
        <v>447</v>
      </c>
      <c r="AW21" s="33">
        <f>ROUND(坦克等级成长!$H118*VLOOKUP($Z$2,坦克等级成长!$B$36:$G$42,MATCH(AW$3,坦克等级成长!$B$35:$G$35,0)),0)</f>
        <v>119</v>
      </c>
      <c r="AX21" s="192">
        <v>1</v>
      </c>
      <c r="AY21" s="33">
        <f>ROUND(坦克等级成长!$D118*VLOOKUP($AX$2,坦克等级成长!$B$36:$G$42,MATCH(AY$3,坦克等级成长!$B$35:$G$35,0)),0)</f>
        <v>1144</v>
      </c>
      <c r="AZ21" s="33">
        <f>ROUND(坦克等级成长!$D118*VLOOKUP($AX$2,坦克等级成长!$B$36:$G$42,MATCH(AZ$3,坦克等级成长!$B$35:$G$35,0)),0)</f>
        <v>114</v>
      </c>
      <c r="BA21" s="33">
        <f>ROUND(坦克等级成长!$D118*VLOOKUP($AX$2,坦克等级成长!$B$36:$G$42,MATCH(BA$3,坦克等级成长!$B$35:$G$35,0)),0)</f>
        <v>429</v>
      </c>
      <c r="BB21" s="33">
        <f t="shared" ref="BB21:BB29" si="16">BA21</f>
        <v>429</v>
      </c>
      <c r="BC21" s="33">
        <v>310.8</v>
      </c>
      <c r="BD21" s="33">
        <f>ROUND(坦克等级成长!$D118*VLOOKUP($AX$2,坦克等级成长!$B$36:$G$42,MATCH(BD$3,坦克等级成长!$B$35:$G$35,0)),0)</f>
        <v>429</v>
      </c>
      <c r="BE21" s="33">
        <f>ROUND(坦克等级成长!$D118*VLOOKUP($AX$2,坦克等级成长!$B$36:$G$42,MATCH(BE$3,坦克等级成长!$B$35:$G$35,0)),0)</f>
        <v>114</v>
      </c>
      <c r="BF21" s="199">
        <v>1</v>
      </c>
      <c r="BG21" s="33">
        <f>ROUND(坦克等级成长!$F118*VLOOKUP($AX$2,坦克等级成长!$B$36:$G$42,MATCH(BG$3,坦克等级成长!$B$35:$G$35,0)),0)</f>
        <v>1168</v>
      </c>
      <c r="BH21" s="33">
        <f>ROUND(坦克等级成长!$F118*VLOOKUP($AX$2,坦克等级成长!$B$36:$G$42,MATCH(BH$3,坦克等级成长!$B$35:$G$35,0)),0)</f>
        <v>116</v>
      </c>
      <c r="BI21" s="33">
        <f>ROUND(坦克等级成长!$F118*VLOOKUP($AX$2,坦克等级成长!$B$36:$G$42,MATCH(BI$3,坦克等级成长!$B$35:$G$35,0)),0)</f>
        <v>438</v>
      </c>
      <c r="BJ21" s="33">
        <f t="shared" si="9"/>
        <v>438</v>
      </c>
      <c r="BK21" s="33">
        <v>323</v>
      </c>
      <c r="BL21" s="33">
        <f>ROUND(坦克等级成长!$F118*VLOOKUP($AX$2,坦克等级成长!$B$36:$G$42,MATCH(BL$3,坦克等级成长!$B$35:$G$35,0)),0)</f>
        <v>438</v>
      </c>
      <c r="BM21" s="33">
        <f>ROUND(坦克等级成长!$F118*VLOOKUP($AX$2,坦克等级成长!$B$36:$G$42,MATCH(BM$3,坦克等级成长!$B$35:$G$35,0)),0)</f>
        <v>117</v>
      </c>
      <c r="BN21" s="192">
        <v>1</v>
      </c>
      <c r="BO21" s="33">
        <f>ROUND(坦克等级成长!$H118*VLOOKUP($AX$2,坦克等级成长!$B$36:$G$42,MATCH(BO$3,坦克等级成长!$B$35:$G$35,0)),0)</f>
        <v>1192</v>
      </c>
      <c r="BP21" s="33">
        <f>ROUND(坦克等级成长!$H118*VLOOKUP($AX$2,坦克等级成长!$B$36:$G$42,MATCH(BP$3,坦克等级成长!$B$35:$G$35,0)),0)</f>
        <v>119</v>
      </c>
      <c r="BQ21" s="33">
        <f>ROUND(坦克等级成长!$H118*VLOOKUP($AX$2,坦克等级成长!$B$36:$G$42,MATCH(BQ$3,坦克等级成长!$B$35:$G$35,0)),0)</f>
        <v>447</v>
      </c>
      <c r="BR21" s="33">
        <f>BQ21</f>
        <v>447</v>
      </c>
      <c r="BS21" s="33">
        <v>323</v>
      </c>
      <c r="BT21" s="33">
        <f>ROUND(坦克等级成长!$H118*VLOOKUP($AX$2,坦克等级成长!$B$36:$G$42,MATCH(BT$3,坦克等级成长!$B$35:$G$35,0)),0)</f>
        <v>447</v>
      </c>
      <c r="BU21" s="33">
        <f>ROUND(坦克等级成长!$H118*VLOOKUP($AX$2,坦克等级成长!$B$36:$G$42,MATCH(BU$3,坦克等级成长!$B$35:$G$35,0)),0)</f>
        <v>119</v>
      </c>
      <c r="BV21" s="192">
        <v>1</v>
      </c>
      <c r="BW21" s="33">
        <f>ROUND(坦克等级成长!$D118*VLOOKUP($BV$2,坦克等级成长!$B$36:$G$42,MATCH(BW$3,坦克等级成长!$B$35:$G$35,0)),0)</f>
        <v>1235</v>
      </c>
      <c r="BX21" s="33">
        <f>ROUND(坦克等级成长!$D118*VLOOKUP($BV$2,坦克等级成长!$B$36:$G$42,MATCH(BX$3,坦克等级成长!$B$35:$G$35,0)),0)</f>
        <v>106</v>
      </c>
      <c r="BY21" s="33">
        <f>ROUND(坦克等级成长!$D118*VLOOKUP($BV$2,坦克等级成长!$B$36:$G$42,MATCH(BY$3,坦克等级成长!$B$35:$G$35,0)),0)</f>
        <v>409</v>
      </c>
      <c r="BZ21" s="33">
        <f t="shared" ref="BZ21:BZ29" si="17">BY21</f>
        <v>409</v>
      </c>
      <c r="CA21" s="33">
        <v>317.25</v>
      </c>
      <c r="CB21" s="33">
        <f>ROUND(坦克等级成长!$D118*VLOOKUP($BV$2,坦克等级成长!$B$36:$G$42,MATCH(CB$3,坦克等级成长!$B$35:$G$35,0)),0)</f>
        <v>515</v>
      </c>
      <c r="CC21" s="33">
        <f>ROUND(坦克等级成长!$D118*VLOOKUP($BV$2,坦克等级成长!$B$36:$G$42,MATCH(CC$3,坦克等级成长!$B$35:$G$35,0)),0)</f>
        <v>123</v>
      </c>
      <c r="CD21" s="199">
        <v>1</v>
      </c>
      <c r="CE21" s="33">
        <f>ROUND(坦克等级成长!$F118*VLOOKUP($BV$2,坦克等级成长!$B$36:$G$42,MATCH(CE$3,坦克等级成长!$B$35:$G$35,0)),0)</f>
        <v>1261</v>
      </c>
      <c r="CF21" s="33">
        <f>ROUND(坦克等级成长!$F118*VLOOKUP($BV$2,坦克等级成长!$B$36:$G$42,MATCH(CF$3,坦克等级成长!$B$35:$G$35,0)),0)</f>
        <v>108</v>
      </c>
      <c r="CG21" s="33">
        <f>ROUND(坦克等级成长!$F118*VLOOKUP($BV$2,坦克等级成长!$B$36:$G$42,MATCH(CG$3,坦克等级成长!$B$35:$G$35,0)),0)</f>
        <v>417</v>
      </c>
      <c r="CH21" s="33">
        <f t="shared" si="10"/>
        <v>417</v>
      </c>
      <c r="CI21" s="33">
        <v>330</v>
      </c>
      <c r="CJ21" s="33">
        <f>ROUND(坦克等级成长!$F118*VLOOKUP($BV$2,坦克等级成长!$B$36:$G$42,MATCH(CJ$3,坦克等级成长!$B$35:$G$35,0)),0)</f>
        <v>526</v>
      </c>
      <c r="CK21" s="33">
        <f>ROUND(坦克等级成长!$F118*VLOOKUP($BV$2,坦克等级成长!$B$36:$G$42,MATCH(CK$3,坦克等级成长!$B$35:$G$35,0)),0)</f>
        <v>126</v>
      </c>
      <c r="CL21" s="192">
        <v>1</v>
      </c>
      <c r="CM21" s="33">
        <f>ROUND(坦克等级成长!$H118*VLOOKUP($BV$2,坦克等级成长!$B$36:$G$42,MATCH(CM$3,坦克等级成长!$B$35:$G$35,0)),0)</f>
        <v>1287</v>
      </c>
      <c r="CN21" s="33">
        <f>ROUND(坦克等级成长!$H118*VLOOKUP($BV$2,坦克等级成长!$B$36:$G$42,MATCH(CN$3,坦克等级成长!$B$35:$G$35,0)),0)</f>
        <v>111</v>
      </c>
      <c r="CO21" s="33">
        <f>ROUND(坦克等级成长!$H118*VLOOKUP($BV$2,坦克等级成长!$B$36:$G$42,MATCH(CO$3,坦克等级成长!$B$35:$G$35,0)),0)</f>
        <v>426</v>
      </c>
      <c r="CP21" s="33">
        <f>CO21</f>
        <v>426</v>
      </c>
      <c r="CQ21" s="33">
        <v>330</v>
      </c>
      <c r="CR21" s="33">
        <f>ROUND(坦克等级成长!$H118*VLOOKUP($BV$2,坦克等级成长!$B$36:$G$42,MATCH(CR$3,坦克等级成长!$B$35:$G$35,0)),0)</f>
        <v>536</v>
      </c>
      <c r="CS21" s="33">
        <f>ROUND(坦克等级成长!$H118*VLOOKUP($BV$2,坦克等级成长!$B$36:$G$42,MATCH(CS$3,坦克等级成长!$B$35:$G$35,0)),0)</f>
        <v>129</v>
      </c>
      <c r="CT21" s="192">
        <v>1</v>
      </c>
      <c r="CU21" s="33">
        <f>ROUND(坦克等级成长!$D118*VLOOKUP($CT$2,坦克等级成长!$B$36:$G$42,MATCH(CU$3,坦克等级成长!$B$35:$G$35,0)),0)</f>
        <v>1144</v>
      </c>
      <c r="CV21" s="33">
        <f>ROUND(坦克等级成长!$D118*VLOOKUP($CT$2,坦克等级成长!$B$36:$G$42,MATCH(CV$3,坦克等级成长!$B$35:$G$35,0)),0)</f>
        <v>230</v>
      </c>
      <c r="CW21" s="33">
        <f>ROUND(坦克等级成长!$D118*VLOOKUP($CT$2,坦克等级成长!$B$36:$G$42,MATCH(CW$3,坦克等级成长!$B$35:$G$35,0)),0)</f>
        <v>511</v>
      </c>
      <c r="CX21" s="33">
        <f t="shared" ref="CX21:CX29" si="18">CW21</f>
        <v>511</v>
      </c>
      <c r="CY21" s="33">
        <v>396.75</v>
      </c>
      <c r="CZ21" s="33">
        <f>ROUND(坦克等级成长!$D118*VLOOKUP($CT$2,坦克等级成长!$B$36:$G$42,MATCH(CZ$3,坦克等级成长!$B$35:$G$35,0)),0)</f>
        <v>429</v>
      </c>
      <c r="DA21" s="33">
        <f>ROUND(坦克等级成长!$D118*VLOOKUP($CT$2,坦克等级成长!$B$36:$G$42,MATCH(DA$3,坦克等级成长!$B$35:$G$35,0)),0)</f>
        <v>114</v>
      </c>
      <c r="DB21" s="199">
        <v>1</v>
      </c>
      <c r="DC21" s="33">
        <f>ROUND(坦克等级成长!$F118*VLOOKUP($CT$2,坦克等级成长!$B$36:$G$42,MATCH(DC$3,坦克等级成长!$B$35:$G$35,0)),0)</f>
        <v>1168</v>
      </c>
      <c r="DD21" s="33">
        <f>ROUND(坦克等级成长!$F118*VLOOKUP($CT$2,坦克等级成长!$B$36:$G$42,MATCH(DD$3,坦克等级成长!$B$35:$G$35,0)),0)</f>
        <v>235</v>
      </c>
      <c r="DE21" s="33">
        <f>ROUND(坦克等级成长!$F118*VLOOKUP($CT$2,坦克等级成长!$B$36:$G$42,MATCH(DE$3,坦克等级成长!$B$35:$G$35,0)),0)</f>
        <v>521</v>
      </c>
      <c r="DF21" s="33">
        <f t="shared" si="11"/>
        <v>521</v>
      </c>
      <c r="DG21" s="33">
        <v>413</v>
      </c>
      <c r="DH21" s="33">
        <f>ROUND(坦克等级成长!$F118*VLOOKUP($CT$2,坦克等级成长!$B$36:$G$42,MATCH(DH$3,坦克等级成长!$B$35:$G$35,0)),0)</f>
        <v>438</v>
      </c>
      <c r="DI21" s="33">
        <f>ROUND(坦克等级成长!$F118*VLOOKUP($CT$2,坦克等级成长!$B$36:$G$42,MATCH(DI$3,坦克等级成长!$B$35:$G$35,0)),0)</f>
        <v>117</v>
      </c>
      <c r="DJ21" s="192">
        <v>1</v>
      </c>
      <c r="DK21" s="33">
        <f>ROUND(坦克等级成长!$H118*VLOOKUP($CT$2,坦克等级成长!$B$36:$G$42,MATCH(DK$3,坦克等级成长!$B$35:$G$35,0)),0)</f>
        <v>1192</v>
      </c>
      <c r="DL21" s="33">
        <f>ROUND(坦克等级成长!$H118*VLOOKUP($CT$2,坦克等级成长!$B$36:$G$42,MATCH(DL$3,坦克等级成长!$B$35:$G$35,0)),0)</f>
        <v>240</v>
      </c>
      <c r="DM21" s="33">
        <f>ROUND(坦克等级成长!$H118*VLOOKUP($CT$2,坦克等级成长!$B$36:$G$42,MATCH(DM$3,坦克等级成长!$B$35:$G$35,0)),0)</f>
        <v>532</v>
      </c>
      <c r="DN21" s="33">
        <f>DM21</f>
        <v>532</v>
      </c>
      <c r="DO21" s="33">
        <v>413</v>
      </c>
      <c r="DP21" s="33">
        <f>ROUND(坦克等级成长!$H118*VLOOKUP($CT$2,坦克等级成长!$B$36:$G$42,MATCH(DP$3,坦克等级成长!$B$35:$G$35,0)),0)</f>
        <v>447</v>
      </c>
      <c r="DQ21" s="33">
        <f>ROUND(坦克等级成长!$H118*VLOOKUP($CT$2,坦克等级成长!$B$36:$G$42,MATCH(DQ$3,坦克等级成长!$B$35:$G$35,0)),0)</f>
        <v>119</v>
      </c>
      <c r="DR21" s="192">
        <v>1</v>
      </c>
      <c r="DS21" s="33">
        <f>ROUND(坦克等级成长!$D118*VLOOKUP($DR$2,坦克等级成长!$B$36:$G$42,MATCH(DS$3,坦克等级成长!$B$35:$G$35,0)),0)</f>
        <v>1399</v>
      </c>
      <c r="DT21" s="33">
        <f>ROUND(坦克等级成长!$D118*VLOOKUP($DR$2,坦克等级成长!$B$36:$G$42,MATCH(DT$3,坦克等级成长!$B$35:$G$35,0)),0)</f>
        <v>383</v>
      </c>
      <c r="DU21" s="33">
        <f>ROUND(坦克等级成长!$D118*VLOOKUP($DR$2,坦克等级成长!$B$36:$G$42,MATCH(DU$3,坦克等级成长!$B$35:$G$35,0)),0)</f>
        <v>409</v>
      </c>
      <c r="DV21" s="33">
        <f t="shared" ref="DV21:DV29" si="19">DU21</f>
        <v>409</v>
      </c>
      <c r="DW21" s="33">
        <v>338.4</v>
      </c>
      <c r="DX21" s="33">
        <f>ROUND(坦克等级成长!$D118*VLOOKUP($DR$2,坦克等级成长!$B$36:$G$42,MATCH(DX$3,坦克等级成长!$B$35:$G$35,0)),0)</f>
        <v>601</v>
      </c>
      <c r="DY21" s="33">
        <f>ROUND(坦克等级成长!$D118*VLOOKUP($DR$2,坦克等级成长!$B$36:$G$42,MATCH(DY$3,坦克等级成长!$B$35:$G$35,0)),0)</f>
        <v>140</v>
      </c>
      <c r="DZ21" s="199">
        <v>1</v>
      </c>
      <c r="EA21" s="33">
        <f>ROUND(坦克等级成长!$F118*VLOOKUP($DR$2,坦克等级成长!$B$36:$G$42,MATCH(EA$3,坦克等级成长!$B$35:$G$35,0)),0)</f>
        <v>1429</v>
      </c>
      <c r="EB21" s="33">
        <f>ROUND(坦克等级成长!$F118*VLOOKUP($DR$2,坦克等级成长!$B$36:$G$42,MATCH(EB$3,坦克等级成长!$B$35:$G$35,0)),0)</f>
        <v>391</v>
      </c>
      <c r="EC21" s="33">
        <f>ROUND(坦克等级成长!$F118*VLOOKUP($DR$2,坦克等级成长!$B$36:$G$42,MATCH(EC$3,坦克等级成长!$B$35:$G$35,0)),0)</f>
        <v>417</v>
      </c>
      <c r="ED21" s="33">
        <f t="shared" si="12"/>
        <v>417</v>
      </c>
      <c r="EE21" s="33">
        <v>352</v>
      </c>
      <c r="EF21" s="33">
        <f>ROUND(坦克等级成长!$F118*VLOOKUP($DR$2,坦克等级成长!$B$36:$G$42,MATCH(EF$3,坦克等级成长!$B$35:$G$35,0)),0)</f>
        <v>613</v>
      </c>
      <c r="EG21" s="33">
        <f>ROUND(坦克等级成长!$F118*VLOOKUP($DR$2,坦克等级成长!$B$36:$G$42,MATCH(EG$3,坦克等级成长!$B$35:$G$35,0)),0)</f>
        <v>143</v>
      </c>
      <c r="EH21" s="192">
        <v>1</v>
      </c>
      <c r="EI21" s="33">
        <f>ROUND(坦克等级成长!$H118*VLOOKUP($DR$2,坦克等级成长!$B$36:$G$42,MATCH(EI$3,坦克等级成长!$B$35:$G$35,0)),0)</f>
        <v>1458</v>
      </c>
      <c r="EJ21" s="33">
        <f>ROUND(坦克等级成长!$H118*VLOOKUP($DR$2,坦克等级成长!$B$36:$G$42,MATCH(EJ$3,坦克等级成长!$B$35:$G$35,0)),0)</f>
        <v>399</v>
      </c>
      <c r="EK21" s="33">
        <f>ROUND(坦克等级成长!$H118*VLOOKUP($DR$2,坦克等级成长!$B$36:$G$42,MATCH(EK$3,坦克等级成长!$B$35:$G$35,0)),0)</f>
        <v>426</v>
      </c>
      <c r="EL21" s="33">
        <f>EK21</f>
        <v>426</v>
      </c>
      <c r="EM21" s="33">
        <v>352</v>
      </c>
      <c r="EN21" s="33">
        <f>ROUND(坦克等级成长!$H118*VLOOKUP($DR$2,坦克等级成长!$B$36:$G$42,MATCH(EN$3,坦克等级成长!$B$35:$G$35,0)),0)</f>
        <v>626</v>
      </c>
      <c r="EO21" s="33">
        <f>ROUND(坦克等级成长!$H118*VLOOKUP($DR$2,坦克等级成长!$B$36:$G$42,MATCH(EO$3,坦克等级成长!$B$35:$G$35,0)),0)</f>
        <v>146</v>
      </c>
      <c r="EP21" s="192">
        <v>1</v>
      </c>
      <c r="EQ21" s="33">
        <f>ROUND(坦克等级成长!$D118*VLOOKUP($EP$2,坦克等级成长!$B$36:$G$42,MATCH(EQ$3,坦克等级成长!$B$35:$G$35,0)),0)</f>
        <v>1235</v>
      </c>
      <c r="ER21" s="33">
        <f>ROUND(坦克等级成长!$D118*VLOOKUP($EP$2,坦克等级成长!$B$36:$G$42,MATCH(ER$3,坦克等级成长!$B$35:$G$35,0)),0)</f>
        <v>127</v>
      </c>
      <c r="ES21" s="33">
        <f>ROUND(坦克等级成长!$D118*VLOOKUP($EP$2,坦克等级成长!$B$36:$G$42,MATCH(ES$3,坦克等级成长!$B$35:$G$35,0)),0)</f>
        <v>470</v>
      </c>
      <c r="ET21" s="33">
        <f t="shared" ref="ET21:ET29" si="20">ES21</f>
        <v>470</v>
      </c>
      <c r="EU21" s="33">
        <v>364.5</v>
      </c>
      <c r="EV21" s="33">
        <f>ROUND(坦克等级成长!$D118*VLOOKUP($EP$2,坦克等级成长!$B$36:$G$42,MATCH(EV$3,坦克等级成长!$B$35:$G$35,0)),0)</f>
        <v>515</v>
      </c>
      <c r="EW21" s="33">
        <f>ROUND(坦克等级成长!$D118*VLOOKUP($EP$2,坦克等级成长!$B$36:$G$42,MATCH(EW$3,坦克等级成长!$B$35:$G$35,0)),0)</f>
        <v>123</v>
      </c>
      <c r="EX21" s="199">
        <v>1</v>
      </c>
      <c r="EY21" s="33">
        <f>ROUND(坦克等级成长!$F118*VLOOKUP($EP$2,坦克等级成长!$B$36:$G$42,MATCH(EY$3,坦克等级成长!$B$35:$G$35,0)),0)</f>
        <v>1261</v>
      </c>
      <c r="EZ21" s="33">
        <f>ROUND(坦克等级成长!$F118*VLOOKUP($EP$2,坦克等级成长!$B$36:$G$42,MATCH(EZ$3,坦克等级成长!$B$35:$G$35,0)),0)</f>
        <v>130</v>
      </c>
      <c r="FA21" s="33">
        <f>ROUND(坦克等级成长!$F118*VLOOKUP($EP$2,坦克等级成长!$B$36:$G$42,MATCH(FA$3,坦克等级成长!$B$35:$G$35,0)),0)</f>
        <v>480</v>
      </c>
      <c r="FB21" s="33">
        <f t="shared" si="13"/>
        <v>480</v>
      </c>
      <c r="FC21" s="33">
        <v>380</v>
      </c>
      <c r="FD21" s="33">
        <f>ROUND(坦克等级成长!$F118*VLOOKUP($EP$2,坦克等级成长!$B$36:$G$42,MATCH(FD$3,坦克等级成长!$B$35:$G$35,0)),0)</f>
        <v>526</v>
      </c>
      <c r="FE21" s="33">
        <f>ROUND(坦克等级成长!$F118*VLOOKUP($EP$2,坦克等级成长!$B$36:$G$42,MATCH(FE$3,坦克等级成长!$B$35:$G$35,0)),0)</f>
        <v>126</v>
      </c>
      <c r="FF21" s="192">
        <v>1</v>
      </c>
      <c r="FG21" s="33">
        <f>ROUND(坦克等级成长!$H118*VLOOKUP($EP$2,坦克等级成长!$B$36:$G$42,MATCH(FG$3,坦克等级成长!$B$35:$G$35,0)),0)</f>
        <v>1287</v>
      </c>
      <c r="FH21" s="33">
        <f>ROUND(坦克等级成长!$H118*VLOOKUP($EP$2,坦克等级成长!$B$36:$G$42,MATCH(FH$3,坦克等级成长!$B$35:$G$35,0)),0)</f>
        <v>133</v>
      </c>
      <c r="FI21" s="33">
        <f>ROUND(坦克等级成长!$H118*VLOOKUP($EP$2,坦克等级成长!$B$36:$G$42,MATCH(FI$3,坦克等级成长!$B$35:$G$35,0)),0)</f>
        <v>490</v>
      </c>
      <c r="FJ21" s="33">
        <f>FI21</f>
        <v>490</v>
      </c>
      <c r="FK21" s="33">
        <v>380</v>
      </c>
      <c r="FL21" s="33">
        <f>ROUND(坦克等级成长!$H118*VLOOKUP($EP$2,坦克等级成长!$B$36:$G$42,MATCH(FL$3,坦克等级成长!$B$35:$G$35,0)),0)</f>
        <v>536</v>
      </c>
      <c r="FM21" s="33">
        <f>ROUND(坦克等级成长!$H118*VLOOKUP($EP$2,坦克等级成长!$B$36:$G$42,MATCH(FM$3,坦克等级成长!$B$35:$G$35,0)),0)</f>
        <v>129</v>
      </c>
    </row>
    <row r="22" spans="1:169" ht="14.25" x14ac:dyDescent="0.3">
      <c r="A22" s="189">
        <v>3</v>
      </c>
      <c r="B22" s="192">
        <v>2</v>
      </c>
      <c r="C22" s="33">
        <f>ROUND(坦克等级成长!$D119*VLOOKUP($B$2,坦克等级成长!$B$36:$G$42,MATCH(C$3,坦克等级成长!$B$35:$G$35,0)),0)</f>
        <v>1216</v>
      </c>
      <c r="D22" s="33">
        <f>ROUND(坦克等级成长!$D119*VLOOKUP($B$2,坦克等级成长!$B$36:$G$42,MATCH(D$3,坦克等级成长!$B$35:$G$35,0)),0)</f>
        <v>121</v>
      </c>
      <c r="E22" s="33">
        <f>ROUND(坦克等级成长!$D119*VLOOKUP($B$2,坦克等级成长!$B$36:$G$42,MATCH(E$3,坦克等级成长!$B$35:$G$35,0)),0)</f>
        <v>456</v>
      </c>
      <c r="F22" s="33">
        <f t="shared" si="14"/>
        <v>456</v>
      </c>
      <c r="G22" s="33">
        <v>331.8</v>
      </c>
      <c r="H22" s="33">
        <f>ROUND(坦克等级成长!$D119*VLOOKUP($B$2,坦克等级成长!$B$36:$G$42,MATCH(H$3,坦克等级成长!$B$35:$G$35,0)),0)</f>
        <v>456</v>
      </c>
      <c r="I22" s="33">
        <f>ROUND(坦克等级成长!$D119*VLOOKUP($B$2,坦克等级成长!$B$36:$G$42,MATCH(I$3,坦克等级成长!$B$35:$G$35,0)),0)</f>
        <v>122</v>
      </c>
      <c r="J22" s="199">
        <v>2</v>
      </c>
      <c r="K22" s="33">
        <f>ROUND(坦克等级成长!$F119*VLOOKUP($B$2,坦克等级成长!$B$36:$G$42,MATCH(K$3,坦克等级成长!$B$35:$G$35,0)),0)</f>
        <v>1240</v>
      </c>
      <c r="L22" s="33">
        <f>ROUND(坦克等级成长!$F119*VLOOKUP($B$2,坦克等级成长!$B$36:$G$42,MATCH(L$3,坦克等级成长!$B$35:$G$35,0)),0)</f>
        <v>124</v>
      </c>
      <c r="M22" s="33">
        <f>ROUND(坦克等级成长!$F119*VLOOKUP($B$2,坦克等级成长!$B$36:$G$42,MATCH(M$3,坦克等级成长!$B$35:$G$35,0)),0)</f>
        <v>465</v>
      </c>
      <c r="N22" s="33">
        <f t="shared" si="7"/>
        <v>465</v>
      </c>
      <c r="O22" s="33">
        <v>344</v>
      </c>
      <c r="P22" s="33">
        <f>ROUND(坦克等级成长!$F119*VLOOKUP($B$2,坦克等级成长!$B$36:$G$42,MATCH(P$3,坦克等级成长!$B$35:$G$35,0)),0)</f>
        <v>465</v>
      </c>
      <c r="Q22" s="33">
        <f>ROUND(坦克等级成长!$F119*VLOOKUP($B$2,坦克等级成长!$B$36:$G$42,MATCH(Q$3,坦克等级成长!$B$35:$G$35,0)),0)</f>
        <v>124</v>
      </c>
      <c r="R22" s="192">
        <v>2</v>
      </c>
      <c r="S22" s="33">
        <f>ROUND(坦克等级成长!$H119*VLOOKUP($B$2,坦克等级成长!$B$36:$G$42,MATCH(S$3,坦克等级成长!$B$35:$G$35,0)),0)</f>
        <v>1264</v>
      </c>
      <c r="T22" s="33">
        <f>ROUND(坦克等级成长!$H119*VLOOKUP($B$2,坦克等级成长!$B$36:$G$42,MATCH(T$3,坦克等级成长!$B$35:$G$35,0)),0)</f>
        <v>126</v>
      </c>
      <c r="U22" s="33">
        <f>ROUND(坦克等级成长!$H119*VLOOKUP($B$2,坦克等级成长!$B$36:$G$42,MATCH(U$3,坦克等级成长!$B$35:$G$35,0)),0)</f>
        <v>474</v>
      </c>
      <c r="V22" s="33">
        <f t="shared" ref="V22:V74" si="21">U22</f>
        <v>474</v>
      </c>
      <c r="W22" s="33">
        <v>344</v>
      </c>
      <c r="X22" s="33">
        <f>ROUND(坦克等级成长!$H119*VLOOKUP($B$2,坦克等级成长!$B$36:$G$42,MATCH(X$3,坦克等级成长!$B$35:$G$35,0)),0)</f>
        <v>474</v>
      </c>
      <c r="Y22" s="33">
        <f>ROUND(坦克等级成长!$H119*VLOOKUP($B$2,坦克等级成长!$B$36:$G$42,MATCH(Y$3,坦克等级成长!$B$35:$G$35,0)),0)</f>
        <v>126</v>
      </c>
      <c r="Z22" s="192">
        <v>2</v>
      </c>
      <c r="AA22" s="33">
        <f>ROUND(坦克等级成长!$D119*VLOOKUP($Z$2,坦克等级成长!$B$36:$G$42,MATCH(AA$3,坦克等级成长!$B$35:$G$35,0)),0)</f>
        <v>1216</v>
      </c>
      <c r="AB22" s="33">
        <f>ROUND(坦克等级成长!$D119*VLOOKUP($Z$2,坦克等级成长!$B$36:$G$42,MATCH(AB$3,坦克等级成长!$B$35:$G$35,0)),0)</f>
        <v>65</v>
      </c>
      <c r="AC22" s="33">
        <f>ROUND(坦克等级成长!$D119*VLOOKUP($Z$2,坦克等级成长!$B$36:$G$42,MATCH(AC$3,坦克等级成长!$B$35:$G$35,0)),0)</f>
        <v>499</v>
      </c>
      <c r="AD22" s="33">
        <f t="shared" si="15"/>
        <v>499</v>
      </c>
      <c r="AE22" s="33">
        <v>363.3</v>
      </c>
      <c r="AF22" s="33">
        <f>ROUND(坦克等级成长!$D119*VLOOKUP($Z$2,坦克等级成长!$B$36:$G$42,MATCH(AF$3,坦克等级成长!$B$35:$G$35,0)),0)</f>
        <v>456</v>
      </c>
      <c r="AG22" s="33">
        <f>ROUND(坦克等级成长!$D119*VLOOKUP($Z$2,坦克等级成长!$B$36:$G$42,MATCH(AG$3,坦克等级成长!$B$35:$G$35,0)),0)</f>
        <v>122</v>
      </c>
      <c r="AH22" s="199">
        <v>2</v>
      </c>
      <c r="AI22" s="33">
        <f>ROUND(坦克等级成长!$F119*VLOOKUP($Z$2,坦克等级成长!$B$36:$G$42,MATCH(AI$3,坦克等级成长!$B$35:$G$35,0)),0)</f>
        <v>1240</v>
      </c>
      <c r="AJ22" s="33">
        <f>ROUND(坦克等级成长!$F119*VLOOKUP($Z$2,坦克等级成长!$B$36:$G$42,MATCH(AJ$3,坦克等级成长!$B$35:$G$35,0)),0)</f>
        <v>66</v>
      </c>
      <c r="AK22" s="33">
        <f>ROUND(坦克等级成长!$F119*VLOOKUP($Z$2,坦克等级成长!$B$36:$G$42,MATCH(AK$3,坦克等级成长!$B$35:$G$35,0)),0)</f>
        <v>509</v>
      </c>
      <c r="AL22" s="33">
        <f t="shared" si="8"/>
        <v>509</v>
      </c>
      <c r="AM22" s="33">
        <v>377</v>
      </c>
      <c r="AN22" s="33">
        <f>ROUND(坦克等级成长!$F119*VLOOKUP($Z$2,坦克等级成长!$B$36:$G$42,MATCH(AN$3,坦克等级成长!$B$35:$G$35,0)),0)</f>
        <v>465</v>
      </c>
      <c r="AO22" s="33">
        <f>ROUND(坦克等级成长!$F119*VLOOKUP($Z$2,坦克等级成长!$B$36:$G$42,MATCH(AO$3,坦克等级成长!$B$35:$G$35,0)),0)</f>
        <v>124</v>
      </c>
      <c r="AP22" s="192">
        <v>2</v>
      </c>
      <c r="AQ22" s="33">
        <f>ROUND(坦克等级成长!$H119*VLOOKUP($Z$2,坦克等级成长!$B$36:$G$42,MATCH(AQ$3,坦克等级成长!$B$35:$G$35,0)),0)</f>
        <v>1264</v>
      </c>
      <c r="AR22" s="33">
        <f>ROUND(坦克等级成长!$H119*VLOOKUP($Z$2,坦克等级成长!$B$36:$G$42,MATCH(AR$3,坦克等级成长!$B$35:$G$35,0)),0)</f>
        <v>67</v>
      </c>
      <c r="AS22" s="33">
        <f>ROUND(坦克等级成长!$H119*VLOOKUP($Z$2,坦克等级成长!$B$36:$G$42,MATCH(AS$3,坦克等级成长!$B$35:$G$35,0)),0)</f>
        <v>519</v>
      </c>
      <c r="AT22" s="33">
        <f t="shared" ref="AT22:AT74" si="22">AS22</f>
        <v>519</v>
      </c>
      <c r="AU22" s="33">
        <v>377</v>
      </c>
      <c r="AV22" s="33">
        <f>ROUND(坦克等级成长!$H119*VLOOKUP($Z$2,坦克等级成长!$B$36:$G$42,MATCH(AV$3,坦克等级成长!$B$35:$G$35,0)),0)</f>
        <v>474</v>
      </c>
      <c r="AW22" s="33">
        <f>ROUND(坦克等级成长!$H119*VLOOKUP($Z$2,坦克等级成长!$B$36:$G$42,MATCH(AW$3,坦克等级成长!$B$35:$G$35,0)),0)</f>
        <v>126</v>
      </c>
      <c r="AX22" s="192">
        <v>2</v>
      </c>
      <c r="AY22" s="33">
        <f>ROUND(坦克等级成长!$D119*VLOOKUP($AX$2,坦克等级成长!$B$36:$G$42,MATCH(AY$3,坦克等级成长!$B$35:$G$35,0)),0)</f>
        <v>1216</v>
      </c>
      <c r="AZ22" s="33">
        <f>ROUND(坦克等级成长!$D119*VLOOKUP($AX$2,坦克等级成长!$B$36:$G$42,MATCH(AZ$3,坦克等级成长!$B$35:$G$35,0)),0)</f>
        <v>121</v>
      </c>
      <c r="BA22" s="33">
        <f>ROUND(坦克等级成长!$D119*VLOOKUP($AX$2,坦克等级成长!$B$36:$G$42,MATCH(BA$3,坦克等级成长!$B$35:$G$35,0)),0)</f>
        <v>456</v>
      </c>
      <c r="BB22" s="33">
        <f t="shared" si="16"/>
        <v>456</v>
      </c>
      <c r="BC22" s="33">
        <v>331.8</v>
      </c>
      <c r="BD22" s="33">
        <f>ROUND(坦克等级成长!$D119*VLOOKUP($AX$2,坦克等级成长!$B$36:$G$42,MATCH(BD$3,坦克等级成长!$B$35:$G$35,0)),0)</f>
        <v>456</v>
      </c>
      <c r="BE22" s="33">
        <f>ROUND(坦克等级成长!$D119*VLOOKUP($AX$2,坦克等级成长!$B$36:$G$42,MATCH(BE$3,坦克等级成长!$B$35:$G$35,0)),0)</f>
        <v>122</v>
      </c>
      <c r="BF22" s="199">
        <v>2</v>
      </c>
      <c r="BG22" s="33">
        <f>ROUND(坦克等级成长!$F119*VLOOKUP($AX$2,坦克等级成长!$B$36:$G$42,MATCH(BG$3,坦克等级成长!$B$35:$G$35,0)),0)</f>
        <v>1240</v>
      </c>
      <c r="BH22" s="33">
        <f>ROUND(坦克等级成长!$F119*VLOOKUP($AX$2,坦克等级成长!$B$36:$G$42,MATCH(BH$3,坦克等级成长!$B$35:$G$35,0)),0)</f>
        <v>124</v>
      </c>
      <c r="BI22" s="33">
        <f>ROUND(坦克等级成长!$F119*VLOOKUP($AX$2,坦克等级成长!$B$36:$G$42,MATCH(BI$3,坦克等级成长!$B$35:$G$35,0)),0)</f>
        <v>465</v>
      </c>
      <c r="BJ22" s="33">
        <f t="shared" si="9"/>
        <v>465</v>
      </c>
      <c r="BK22" s="33">
        <v>344</v>
      </c>
      <c r="BL22" s="33">
        <f>ROUND(坦克等级成长!$F119*VLOOKUP($AX$2,坦克等级成长!$B$36:$G$42,MATCH(BL$3,坦克等级成长!$B$35:$G$35,0)),0)</f>
        <v>465</v>
      </c>
      <c r="BM22" s="33">
        <f>ROUND(坦克等级成长!$F119*VLOOKUP($AX$2,坦克等级成长!$B$36:$G$42,MATCH(BM$3,坦克等级成长!$B$35:$G$35,0)),0)</f>
        <v>124</v>
      </c>
      <c r="BN22" s="192">
        <v>2</v>
      </c>
      <c r="BO22" s="33">
        <f>ROUND(坦克等级成长!$H119*VLOOKUP($AX$2,坦克等级成长!$B$36:$G$42,MATCH(BO$3,坦克等级成长!$B$35:$G$35,0)),0)</f>
        <v>1264</v>
      </c>
      <c r="BP22" s="33">
        <f>ROUND(坦克等级成长!$H119*VLOOKUP($AX$2,坦克等级成长!$B$36:$G$42,MATCH(BP$3,坦克等级成长!$B$35:$G$35,0)),0)</f>
        <v>126</v>
      </c>
      <c r="BQ22" s="33">
        <f>ROUND(坦克等级成长!$H119*VLOOKUP($AX$2,坦克等级成长!$B$36:$G$42,MATCH(BQ$3,坦克等级成长!$B$35:$G$35,0)),0)</f>
        <v>474</v>
      </c>
      <c r="BR22" s="33">
        <f t="shared" ref="BR22:BR74" si="23">BQ22</f>
        <v>474</v>
      </c>
      <c r="BS22" s="33">
        <v>344</v>
      </c>
      <c r="BT22" s="33">
        <f>ROUND(坦克等级成长!$H119*VLOOKUP($AX$2,坦克等级成长!$B$36:$G$42,MATCH(BT$3,坦克等级成长!$B$35:$G$35,0)),0)</f>
        <v>474</v>
      </c>
      <c r="BU22" s="33">
        <f>ROUND(坦克等级成长!$H119*VLOOKUP($AX$2,坦克等级成长!$B$36:$G$42,MATCH(BU$3,坦克等级成长!$B$35:$G$35,0)),0)</f>
        <v>126</v>
      </c>
      <c r="BV22" s="192">
        <v>2</v>
      </c>
      <c r="BW22" s="33">
        <f>ROUND(坦克等级成长!$D119*VLOOKUP($BV$2,坦克等级成长!$B$36:$G$42,MATCH(BW$3,坦克等级成长!$B$35:$G$35,0)),0)</f>
        <v>1312</v>
      </c>
      <c r="BX22" s="33">
        <f>ROUND(坦克等级成长!$D119*VLOOKUP($BV$2,坦克等级成长!$B$36:$G$42,MATCH(BX$3,坦克等级成长!$B$35:$G$35,0)),0)</f>
        <v>113</v>
      </c>
      <c r="BY22" s="33">
        <f>ROUND(坦克等级成长!$D119*VLOOKUP($BV$2,坦克等级成长!$B$36:$G$42,MATCH(BY$3,坦克等级成长!$B$35:$G$35,0)),0)</f>
        <v>434</v>
      </c>
      <c r="BZ22" s="33">
        <f t="shared" si="17"/>
        <v>434</v>
      </c>
      <c r="CA22" s="33">
        <v>338.25</v>
      </c>
      <c r="CB22" s="33">
        <f>ROUND(坦克等级成长!$D119*VLOOKUP($BV$2,坦克等级成长!$B$36:$G$42,MATCH(CB$3,坦克等级成长!$B$35:$G$35,0)),0)</f>
        <v>547</v>
      </c>
      <c r="CC22" s="33">
        <f>ROUND(坦克等级成长!$D119*VLOOKUP($BV$2,坦克等级成长!$B$36:$G$42,MATCH(CC$3,坦克等级成长!$B$35:$G$35,0)),0)</f>
        <v>131</v>
      </c>
      <c r="CD22" s="199">
        <v>2</v>
      </c>
      <c r="CE22" s="33">
        <f>ROUND(坦克等级成长!$F119*VLOOKUP($BV$2,坦克等级成长!$B$36:$G$42,MATCH(CE$3,坦克等级成长!$B$35:$G$35,0)),0)</f>
        <v>1338</v>
      </c>
      <c r="CF22" s="33">
        <f>ROUND(坦克等级成长!$F119*VLOOKUP($BV$2,坦克等级成长!$B$36:$G$42,MATCH(CF$3,坦克等级成长!$B$35:$G$35,0)),0)</f>
        <v>115</v>
      </c>
      <c r="CG22" s="33">
        <f>ROUND(坦克等级成长!$F119*VLOOKUP($BV$2,坦克等级成长!$B$36:$G$42,MATCH(CG$3,坦克等级成长!$B$35:$G$35,0)),0)</f>
        <v>443</v>
      </c>
      <c r="CH22" s="33">
        <f t="shared" si="10"/>
        <v>443</v>
      </c>
      <c r="CI22" s="33">
        <v>352</v>
      </c>
      <c r="CJ22" s="33">
        <f>ROUND(坦克等级成长!$F119*VLOOKUP($BV$2,坦克等级成长!$B$36:$G$42,MATCH(CJ$3,坦克等级成长!$B$35:$G$35,0)),0)</f>
        <v>558</v>
      </c>
      <c r="CK22" s="33">
        <f>ROUND(坦克等级成长!$F119*VLOOKUP($BV$2,坦克等级成长!$B$36:$G$42,MATCH(CK$3,坦克等级成长!$B$35:$G$35,0)),0)</f>
        <v>134</v>
      </c>
      <c r="CL22" s="192">
        <v>2</v>
      </c>
      <c r="CM22" s="33">
        <f>ROUND(坦克等级成长!$H119*VLOOKUP($BV$2,坦克等级成长!$B$36:$G$42,MATCH(CM$3,坦克等级成长!$B$35:$G$35,0)),0)</f>
        <v>1364</v>
      </c>
      <c r="CN22" s="33">
        <f>ROUND(坦克等级成长!$H119*VLOOKUP($BV$2,坦克等级成长!$B$36:$G$42,MATCH(CN$3,坦克等级成长!$B$35:$G$35,0)),0)</f>
        <v>117</v>
      </c>
      <c r="CO22" s="33">
        <f>ROUND(坦克等级成长!$H119*VLOOKUP($BV$2,坦克等级成长!$B$36:$G$42,MATCH(CO$3,坦克等级成长!$B$35:$G$35,0)),0)</f>
        <v>451</v>
      </c>
      <c r="CP22" s="33">
        <f t="shared" ref="CP22:CP74" si="24">CO22</f>
        <v>451</v>
      </c>
      <c r="CQ22" s="33">
        <v>352</v>
      </c>
      <c r="CR22" s="33">
        <f>ROUND(坦克等级成长!$H119*VLOOKUP($BV$2,坦克等级成长!$B$36:$G$42,MATCH(CR$3,坦克等级成长!$B$35:$G$35,0)),0)</f>
        <v>569</v>
      </c>
      <c r="CS22" s="33">
        <f>ROUND(坦克等级成长!$H119*VLOOKUP($BV$2,坦克等级成长!$B$36:$G$42,MATCH(CS$3,坦克等级成长!$B$35:$G$35,0)),0)</f>
        <v>136</v>
      </c>
      <c r="CT22" s="192">
        <v>2</v>
      </c>
      <c r="CU22" s="33">
        <f>ROUND(坦克等级成长!$D119*VLOOKUP($CT$2,坦克等级成长!$B$36:$G$42,MATCH(CU$3,坦克等级成长!$B$35:$G$35,0)),0)</f>
        <v>1216</v>
      </c>
      <c r="CV22" s="33">
        <f>ROUND(坦克等级成长!$D119*VLOOKUP($CT$2,坦克等级成长!$B$36:$G$42,MATCH(CV$3,坦克等级成长!$B$35:$G$35,0)),0)</f>
        <v>245</v>
      </c>
      <c r="CW22" s="33">
        <f>ROUND(坦克等级成长!$D119*VLOOKUP($CT$2,坦克等级成长!$B$36:$G$42,MATCH(CW$3,坦克等级成长!$B$35:$G$35,0)),0)</f>
        <v>543</v>
      </c>
      <c r="CX22" s="33">
        <f t="shared" si="18"/>
        <v>543</v>
      </c>
      <c r="CY22" s="33">
        <v>423</v>
      </c>
      <c r="CZ22" s="33">
        <f>ROUND(坦克等级成长!$D119*VLOOKUP($CT$2,坦克等级成长!$B$36:$G$42,MATCH(CZ$3,坦克等级成长!$B$35:$G$35,0)),0)</f>
        <v>456</v>
      </c>
      <c r="DA22" s="33">
        <f>ROUND(坦克等级成长!$D119*VLOOKUP($CT$2,坦克等级成长!$B$36:$G$42,MATCH(DA$3,坦克等级成长!$B$35:$G$35,0)),0)</f>
        <v>122</v>
      </c>
      <c r="DB22" s="199">
        <v>2</v>
      </c>
      <c r="DC22" s="33">
        <f>ROUND(坦克等级成长!$F119*VLOOKUP($CT$2,坦克等级成长!$B$36:$G$42,MATCH(DC$3,坦克等级成长!$B$35:$G$35,0)),0)</f>
        <v>1240</v>
      </c>
      <c r="DD22" s="33">
        <f>ROUND(坦克等级成长!$F119*VLOOKUP($CT$2,坦克等级成长!$B$36:$G$42,MATCH(DD$3,坦克等级成长!$B$35:$G$35,0)),0)</f>
        <v>250</v>
      </c>
      <c r="DE22" s="33">
        <f>ROUND(坦克等级成长!$F119*VLOOKUP($CT$2,坦克等级成长!$B$36:$G$42,MATCH(DE$3,坦克等级成长!$B$35:$G$35,0)),0)</f>
        <v>554</v>
      </c>
      <c r="DF22" s="33">
        <f t="shared" si="11"/>
        <v>554</v>
      </c>
      <c r="DG22" s="33">
        <v>440</v>
      </c>
      <c r="DH22" s="33">
        <f>ROUND(坦克等级成长!$F119*VLOOKUP($CT$2,坦克等级成长!$B$36:$G$42,MATCH(DH$3,坦克等级成长!$B$35:$G$35,0)),0)</f>
        <v>465</v>
      </c>
      <c r="DI22" s="33">
        <f>ROUND(坦克等级成长!$F119*VLOOKUP($CT$2,坦克等级成长!$B$36:$G$42,MATCH(DI$3,坦克等级成长!$B$35:$G$35,0)),0)</f>
        <v>124</v>
      </c>
      <c r="DJ22" s="192">
        <v>2</v>
      </c>
      <c r="DK22" s="33">
        <f>ROUND(坦克等级成长!$H119*VLOOKUP($CT$2,坦克等级成长!$B$36:$G$42,MATCH(DK$3,坦克等级成长!$B$35:$G$35,0)),0)</f>
        <v>1264</v>
      </c>
      <c r="DL22" s="33">
        <f>ROUND(坦克等级成长!$H119*VLOOKUP($CT$2,坦克等级成长!$B$36:$G$42,MATCH(DL$3,坦克等级成长!$B$35:$G$35,0)),0)</f>
        <v>254</v>
      </c>
      <c r="DM22" s="33">
        <f>ROUND(坦克等级成长!$H119*VLOOKUP($CT$2,坦克等级成长!$B$36:$G$42,MATCH(DM$3,坦克等级成长!$B$35:$G$35,0)),0)</f>
        <v>564</v>
      </c>
      <c r="DN22" s="33">
        <f t="shared" ref="DN22:DN74" si="25">DM22</f>
        <v>564</v>
      </c>
      <c r="DO22" s="33">
        <v>440</v>
      </c>
      <c r="DP22" s="33">
        <f>ROUND(坦克等级成长!$H119*VLOOKUP($CT$2,坦克等级成长!$B$36:$G$42,MATCH(DP$3,坦克等级成长!$B$35:$G$35,0)),0)</f>
        <v>474</v>
      </c>
      <c r="DQ22" s="33">
        <f>ROUND(坦克等级成长!$H119*VLOOKUP($CT$2,坦克等级成长!$B$36:$G$42,MATCH(DQ$3,坦克等级成长!$B$35:$G$35,0)),0)</f>
        <v>126</v>
      </c>
      <c r="DR22" s="192">
        <v>2</v>
      </c>
      <c r="DS22" s="33">
        <f>ROUND(坦克等级成长!$D119*VLOOKUP($DR$2,坦克等级成长!$B$36:$G$42,MATCH(DS$3,坦克等级成长!$B$35:$G$35,0)),0)</f>
        <v>1488</v>
      </c>
      <c r="DT22" s="33">
        <f>ROUND(坦克等级成长!$D119*VLOOKUP($DR$2,坦克等级成长!$B$36:$G$42,MATCH(DT$3,坦克等级成长!$B$35:$G$35,0)),0)</f>
        <v>407</v>
      </c>
      <c r="DU22" s="33">
        <f>ROUND(坦克等级成长!$D119*VLOOKUP($DR$2,坦克等级成长!$B$36:$G$42,MATCH(DU$3,坦克等级成长!$B$35:$G$35,0)),0)</f>
        <v>434</v>
      </c>
      <c r="DV22" s="33">
        <f t="shared" si="19"/>
        <v>434</v>
      </c>
      <c r="DW22" s="33">
        <v>360.8</v>
      </c>
      <c r="DX22" s="33">
        <f>ROUND(坦克等级成长!$D119*VLOOKUP($DR$2,坦克等级成长!$B$36:$G$42,MATCH(DX$3,坦克等级成长!$B$35:$G$35,0)),0)</f>
        <v>638</v>
      </c>
      <c r="DY22" s="33">
        <f>ROUND(坦克等级成长!$D119*VLOOKUP($DR$2,坦克等级成长!$B$36:$G$42,MATCH(DY$3,坦克等级成长!$B$35:$G$35,0)),0)</f>
        <v>149</v>
      </c>
      <c r="DZ22" s="199">
        <v>2</v>
      </c>
      <c r="EA22" s="33">
        <f>ROUND(坦克等级成长!$F119*VLOOKUP($DR$2,坦克等级成长!$B$36:$G$42,MATCH(EA$3,坦克等级成长!$B$35:$G$35,0)),0)</f>
        <v>1517</v>
      </c>
      <c r="EB22" s="33">
        <f>ROUND(坦克等级成长!$F119*VLOOKUP($DR$2,坦克等级成长!$B$36:$G$42,MATCH(EB$3,坦克等级成长!$B$35:$G$35,0)),0)</f>
        <v>416</v>
      </c>
      <c r="EC22" s="33">
        <f>ROUND(坦克等级成长!$F119*VLOOKUP($DR$2,坦克等级成长!$B$36:$G$42,MATCH(EC$3,坦克等级成长!$B$35:$G$35,0)),0)</f>
        <v>443</v>
      </c>
      <c r="ED22" s="33">
        <f t="shared" si="12"/>
        <v>443</v>
      </c>
      <c r="EE22" s="33">
        <v>375</v>
      </c>
      <c r="EF22" s="33">
        <f>ROUND(坦克等级成长!$F119*VLOOKUP($DR$2,坦克等级成长!$B$36:$G$42,MATCH(EF$3,坦克等级成长!$B$35:$G$35,0)),0)</f>
        <v>651</v>
      </c>
      <c r="EG22" s="33">
        <f>ROUND(坦克等级成长!$F119*VLOOKUP($DR$2,坦克等级成长!$B$36:$G$42,MATCH(EG$3,坦克等级成长!$B$35:$G$35,0)),0)</f>
        <v>152</v>
      </c>
      <c r="EH22" s="192">
        <v>2</v>
      </c>
      <c r="EI22" s="33">
        <f>ROUND(坦克等级成长!$H119*VLOOKUP($DR$2,坦克等级成长!$B$36:$G$42,MATCH(EI$3,坦克等级成长!$B$35:$G$35,0)),0)</f>
        <v>1546</v>
      </c>
      <c r="EJ22" s="33">
        <f>ROUND(坦克等级成长!$H119*VLOOKUP($DR$2,坦克等级成长!$B$36:$G$42,MATCH(EJ$3,坦克等级成长!$B$35:$G$35,0)),0)</f>
        <v>424</v>
      </c>
      <c r="EK22" s="33">
        <f>ROUND(坦克等级成长!$H119*VLOOKUP($DR$2,坦克等级成长!$B$36:$G$42,MATCH(EK$3,坦克等级成长!$B$35:$G$35,0)),0)</f>
        <v>451</v>
      </c>
      <c r="EL22" s="33">
        <f t="shared" ref="EL22:EL74" si="26">EK22</f>
        <v>451</v>
      </c>
      <c r="EM22" s="33">
        <v>375</v>
      </c>
      <c r="EN22" s="33">
        <f>ROUND(坦克等级成长!$H119*VLOOKUP($DR$2,坦克等级成长!$B$36:$G$42,MATCH(EN$3,坦克等级成长!$B$35:$G$35,0)),0)</f>
        <v>664</v>
      </c>
      <c r="EO22" s="33">
        <f>ROUND(坦克等级成长!$H119*VLOOKUP($DR$2,坦克等级成长!$B$36:$G$42,MATCH(EO$3,坦克等级成长!$B$35:$G$35,0)),0)</f>
        <v>155</v>
      </c>
      <c r="EP22" s="192">
        <v>2</v>
      </c>
      <c r="EQ22" s="33">
        <f>ROUND(坦克等级成长!$D119*VLOOKUP($EP$2,坦克等级成长!$B$36:$G$42,MATCH(EQ$3,坦克等级成长!$B$35:$G$35,0)),0)</f>
        <v>1312</v>
      </c>
      <c r="ER22" s="33">
        <f>ROUND(坦克等级成长!$D119*VLOOKUP($EP$2,坦克等级成长!$B$36:$G$42,MATCH(ER$3,坦克等级成长!$B$35:$G$35,0)),0)</f>
        <v>135</v>
      </c>
      <c r="ES22" s="33">
        <f>ROUND(坦克等级成长!$D119*VLOOKUP($EP$2,坦克等级成长!$B$36:$G$42,MATCH(ES$3,坦克等级成长!$B$35:$G$35,0)),0)</f>
        <v>499</v>
      </c>
      <c r="ET22" s="33">
        <f t="shared" si="20"/>
        <v>499</v>
      </c>
      <c r="EU22" s="33">
        <v>389.25</v>
      </c>
      <c r="EV22" s="33">
        <f>ROUND(坦克等级成长!$D119*VLOOKUP($EP$2,坦克等级成长!$B$36:$G$42,MATCH(EV$3,坦克等级成长!$B$35:$G$35,0)),0)</f>
        <v>547</v>
      </c>
      <c r="EW22" s="33">
        <f>ROUND(坦克等级成长!$D119*VLOOKUP($EP$2,坦克等级成长!$B$36:$G$42,MATCH(EW$3,坦克等级成长!$B$35:$G$35,0)),0)</f>
        <v>131</v>
      </c>
      <c r="EX22" s="199">
        <v>2</v>
      </c>
      <c r="EY22" s="33">
        <f>ROUND(坦克等级成长!$F119*VLOOKUP($EP$2,坦克等级成长!$B$36:$G$42,MATCH(EY$3,坦克等级成长!$B$35:$G$35,0)),0)</f>
        <v>1338</v>
      </c>
      <c r="EZ22" s="33">
        <f>ROUND(坦克等级成长!$F119*VLOOKUP($EP$2,坦克等级成长!$B$36:$G$42,MATCH(EZ$3,坦克等级成长!$B$35:$G$35,0)),0)</f>
        <v>138</v>
      </c>
      <c r="FA22" s="33">
        <f>ROUND(坦克等级成长!$F119*VLOOKUP($EP$2,坦克等级成长!$B$36:$G$42,MATCH(FA$3,坦克等级成长!$B$35:$G$35,0)),0)</f>
        <v>509</v>
      </c>
      <c r="FB22" s="33">
        <f t="shared" si="13"/>
        <v>509</v>
      </c>
      <c r="FC22" s="33">
        <v>404</v>
      </c>
      <c r="FD22" s="33">
        <f>ROUND(坦克等级成长!$F119*VLOOKUP($EP$2,坦克等级成长!$B$36:$G$42,MATCH(FD$3,坦克等级成长!$B$35:$G$35,0)),0)</f>
        <v>558</v>
      </c>
      <c r="FE22" s="33">
        <f>ROUND(坦克等级成长!$F119*VLOOKUP($EP$2,坦克等级成长!$B$36:$G$42,MATCH(FE$3,坦克等级成长!$B$35:$G$35,0)),0)</f>
        <v>134</v>
      </c>
      <c r="FF22" s="192">
        <v>2</v>
      </c>
      <c r="FG22" s="33">
        <f>ROUND(坦克等级成长!$H119*VLOOKUP($EP$2,坦克等级成长!$B$36:$G$42,MATCH(FG$3,坦克等级成长!$B$35:$G$35,0)),0)</f>
        <v>1364</v>
      </c>
      <c r="FH22" s="33">
        <f>ROUND(坦克等级成长!$H119*VLOOKUP($EP$2,坦克等级成长!$B$36:$G$42,MATCH(FH$3,坦克等级成长!$B$35:$G$35,0)),0)</f>
        <v>141</v>
      </c>
      <c r="FI22" s="33">
        <f>ROUND(坦克等级成长!$H119*VLOOKUP($EP$2,坦克等级成长!$B$36:$G$42,MATCH(FI$3,坦克等级成长!$B$35:$G$35,0)),0)</f>
        <v>519</v>
      </c>
      <c r="FJ22" s="33">
        <f t="shared" ref="FJ22:FJ74" si="27">FI22</f>
        <v>519</v>
      </c>
      <c r="FK22" s="33">
        <v>404</v>
      </c>
      <c r="FL22" s="33">
        <f>ROUND(坦克等级成长!$H119*VLOOKUP($EP$2,坦克等级成长!$B$36:$G$42,MATCH(FL$3,坦克等级成长!$B$35:$G$35,0)),0)</f>
        <v>569</v>
      </c>
      <c r="FM22" s="33">
        <f>ROUND(坦克等级成长!$H119*VLOOKUP($EP$2,坦克等级成长!$B$36:$G$42,MATCH(FM$3,坦克等级成长!$B$35:$G$35,0)),0)</f>
        <v>136</v>
      </c>
    </row>
    <row r="23" spans="1:169" ht="14.25" x14ac:dyDescent="0.3">
      <c r="A23" s="189">
        <v>3</v>
      </c>
      <c r="B23" s="192">
        <v>3</v>
      </c>
      <c r="C23" s="33">
        <f>ROUND(坦克等级成长!$D120*VLOOKUP($B$2,坦克等级成长!$B$36:$G$42,MATCH(C$3,坦克等级成长!$B$35:$G$35,0)),0)</f>
        <v>1288</v>
      </c>
      <c r="D23" s="33">
        <f>ROUND(坦克等级成长!$D120*VLOOKUP($B$2,坦克等级成长!$B$36:$G$42,MATCH(D$3,坦克等级成长!$B$35:$G$35,0)),0)</f>
        <v>128</v>
      </c>
      <c r="E23" s="33">
        <f>ROUND(坦克等级成长!$D120*VLOOKUP($B$2,坦克等级成长!$B$36:$G$42,MATCH(E$3,坦克等级成长!$B$35:$G$35,0)),0)</f>
        <v>483</v>
      </c>
      <c r="F23" s="33">
        <f t="shared" si="14"/>
        <v>483</v>
      </c>
      <c r="G23" s="33">
        <v>352.8</v>
      </c>
      <c r="H23" s="33">
        <f>ROUND(坦克等级成长!$D120*VLOOKUP($B$2,坦克等级成长!$B$36:$G$42,MATCH(H$3,坦克等级成长!$B$35:$G$35,0)),0)</f>
        <v>483</v>
      </c>
      <c r="I23" s="33">
        <f>ROUND(坦克等级成长!$D120*VLOOKUP($B$2,坦克等级成长!$B$36:$G$42,MATCH(I$3,坦克等级成长!$B$35:$G$35,0)),0)</f>
        <v>129</v>
      </c>
      <c r="J23" s="199">
        <v>3</v>
      </c>
      <c r="K23" s="33">
        <f>ROUND(坦克等级成长!$F120*VLOOKUP($B$2,坦克等级成长!$B$36:$G$42,MATCH(K$3,坦克等级成长!$B$35:$G$35,0)),0)</f>
        <v>1312</v>
      </c>
      <c r="L23" s="33">
        <f>ROUND(坦克等级成长!$F120*VLOOKUP($B$2,坦克等级成长!$B$36:$G$42,MATCH(L$3,坦克等级成长!$B$35:$G$35,0)),0)</f>
        <v>131</v>
      </c>
      <c r="M23" s="33">
        <f>ROUND(坦克等级成长!$F120*VLOOKUP($B$2,坦克等级成长!$B$36:$G$42,MATCH(M$3,坦克等级成长!$B$35:$G$35,0)),0)</f>
        <v>492</v>
      </c>
      <c r="N23" s="33">
        <f t="shared" si="7"/>
        <v>492</v>
      </c>
      <c r="O23" s="33">
        <v>365</v>
      </c>
      <c r="P23" s="33">
        <f>ROUND(坦克等级成长!$F120*VLOOKUP($B$2,坦克等级成长!$B$36:$G$42,MATCH(P$3,坦克等级成长!$B$35:$G$35,0)),0)</f>
        <v>492</v>
      </c>
      <c r="Q23" s="33">
        <f>ROUND(坦克等级成长!$F120*VLOOKUP($B$2,坦克等级成长!$B$36:$G$42,MATCH(Q$3,坦克等级成长!$B$35:$G$35,0)),0)</f>
        <v>131</v>
      </c>
      <c r="R23" s="192">
        <v>3</v>
      </c>
      <c r="S23" s="33">
        <f>ROUND(坦克等级成长!$H120*VLOOKUP($B$2,坦克等级成长!$B$36:$G$42,MATCH(S$3,坦克等级成长!$B$35:$G$35,0)),0)</f>
        <v>1336</v>
      </c>
      <c r="T23" s="33">
        <f>ROUND(坦克等级成长!$H120*VLOOKUP($B$2,坦克等级成长!$B$36:$G$42,MATCH(T$3,坦克等级成长!$B$35:$G$35,0)),0)</f>
        <v>133</v>
      </c>
      <c r="U23" s="33">
        <f>ROUND(坦克等级成长!$H120*VLOOKUP($B$2,坦克等级成长!$B$36:$G$42,MATCH(U$3,坦克等级成长!$B$35:$G$35,0)),0)</f>
        <v>501</v>
      </c>
      <c r="V23" s="33">
        <f t="shared" si="21"/>
        <v>501</v>
      </c>
      <c r="W23" s="33">
        <v>365</v>
      </c>
      <c r="X23" s="33">
        <f>ROUND(坦克等级成长!$H120*VLOOKUP($B$2,坦克等级成长!$B$36:$G$42,MATCH(X$3,坦克等级成长!$B$35:$G$35,0)),0)</f>
        <v>501</v>
      </c>
      <c r="Y23" s="33">
        <f>ROUND(坦克等级成长!$H120*VLOOKUP($B$2,坦克等级成长!$B$36:$G$42,MATCH(Y$3,坦克等级成长!$B$35:$G$35,0)),0)</f>
        <v>134</v>
      </c>
      <c r="Z23" s="192">
        <v>3</v>
      </c>
      <c r="AA23" s="33">
        <f>ROUND(坦克等级成长!$D120*VLOOKUP($Z$2,坦克等级成长!$B$36:$G$42,MATCH(AA$3,坦克等级成长!$B$35:$G$35,0)),0)</f>
        <v>1288</v>
      </c>
      <c r="AB23" s="33">
        <f>ROUND(坦克等级成长!$D120*VLOOKUP($Z$2,坦克等级成长!$B$36:$G$42,MATCH(AB$3,坦克等级成长!$B$35:$G$35,0)),0)</f>
        <v>68</v>
      </c>
      <c r="AC23" s="33">
        <f>ROUND(坦克等级成长!$D120*VLOOKUP($Z$2,坦克等级成长!$B$36:$G$42,MATCH(AC$3,坦克等级成长!$B$35:$G$35,0)),0)</f>
        <v>529</v>
      </c>
      <c r="AD23" s="33">
        <f t="shared" si="15"/>
        <v>529</v>
      </c>
      <c r="AE23" s="33">
        <v>386.4</v>
      </c>
      <c r="AF23" s="33">
        <f>ROUND(坦克等级成长!$D120*VLOOKUP($Z$2,坦克等级成长!$B$36:$G$42,MATCH(AF$3,坦克等级成长!$B$35:$G$35,0)),0)</f>
        <v>483</v>
      </c>
      <c r="AG23" s="33">
        <f>ROUND(坦克等级成长!$D120*VLOOKUP($Z$2,坦克等级成长!$B$36:$G$42,MATCH(AG$3,坦克等级成长!$B$35:$G$35,0)),0)</f>
        <v>129</v>
      </c>
      <c r="AH23" s="199">
        <v>3</v>
      </c>
      <c r="AI23" s="33">
        <f>ROUND(坦克等级成长!$F120*VLOOKUP($Z$2,坦克等级成长!$B$36:$G$42,MATCH(AI$3,坦克等级成长!$B$35:$G$35,0)),0)</f>
        <v>1312</v>
      </c>
      <c r="AJ23" s="33">
        <f>ROUND(坦克等级成长!$F120*VLOOKUP($Z$2,坦克等级成长!$B$36:$G$42,MATCH(AJ$3,坦克等级成长!$B$35:$G$35,0)),0)</f>
        <v>70</v>
      </c>
      <c r="AK23" s="33">
        <f>ROUND(坦克等级成长!$F120*VLOOKUP($Z$2,坦克等级成长!$B$36:$G$42,MATCH(AK$3,坦克等级成长!$B$35:$G$35,0)),0)</f>
        <v>539</v>
      </c>
      <c r="AL23" s="33">
        <f t="shared" si="8"/>
        <v>539</v>
      </c>
      <c r="AM23" s="33">
        <v>400</v>
      </c>
      <c r="AN23" s="33">
        <f>ROUND(坦克等级成长!$F120*VLOOKUP($Z$2,坦克等级成长!$B$36:$G$42,MATCH(AN$3,坦克等级成长!$B$35:$G$35,0)),0)</f>
        <v>492</v>
      </c>
      <c r="AO23" s="33">
        <f>ROUND(坦克等级成长!$F120*VLOOKUP($Z$2,坦克等级成长!$B$36:$G$42,MATCH(AO$3,坦克等级成长!$B$35:$G$35,0)),0)</f>
        <v>131</v>
      </c>
      <c r="AP23" s="192">
        <v>3</v>
      </c>
      <c r="AQ23" s="33">
        <f>ROUND(坦克等级成长!$H120*VLOOKUP($Z$2,坦克等级成长!$B$36:$G$42,MATCH(AQ$3,坦克等级成长!$B$35:$G$35,0)),0)</f>
        <v>1336</v>
      </c>
      <c r="AR23" s="33">
        <f>ROUND(坦克等级成长!$H120*VLOOKUP($Z$2,坦克等级成长!$B$36:$G$42,MATCH(AR$3,坦克等级成长!$B$35:$G$35,0)),0)</f>
        <v>71</v>
      </c>
      <c r="AS23" s="33">
        <f>ROUND(坦克等级成长!$H120*VLOOKUP($Z$2,坦克等级成长!$B$36:$G$42,MATCH(AS$3,坦克等级成长!$B$35:$G$35,0)),0)</f>
        <v>549</v>
      </c>
      <c r="AT23" s="33">
        <f t="shared" si="22"/>
        <v>549</v>
      </c>
      <c r="AU23" s="33">
        <v>400</v>
      </c>
      <c r="AV23" s="33">
        <f>ROUND(坦克等级成长!$H120*VLOOKUP($Z$2,坦克等级成长!$B$36:$G$42,MATCH(AV$3,坦克等级成长!$B$35:$G$35,0)),0)</f>
        <v>501</v>
      </c>
      <c r="AW23" s="33">
        <f>ROUND(坦克等级成长!$H120*VLOOKUP($Z$2,坦克等级成长!$B$36:$G$42,MATCH(AW$3,坦克等级成长!$B$35:$G$35,0)),0)</f>
        <v>134</v>
      </c>
      <c r="AX23" s="192">
        <v>3</v>
      </c>
      <c r="AY23" s="33">
        <f>ROUND(坦克等级成长!$D120*VLOOKUP($AX$2,坦克等级成长!$B$36:$G$42,MATCH(AY$3,坦克等级成长!$B$35:$G$35,0)),0)</f>
        <v>1288</v>
      </c>
      <c r="AZ23" s="33">
        <f>ROUND(坦克等级成长!$D120*VLOOKUP($AX$2,坦克等级成长!$B$36:$G$42,MATCH(AZ$3,坦克等级成长!$B$35:$G$35,0)),0)</f>
        <v>128</v>
      </c>
      <c r="BA23" s="33">
        <f>ROUND(坦克等级成长!$D120*VLOOKUP($AX$2,坦克等级成长!$B$36:$G$42,MATCH(BA$3,坦克等级成长!$B$35:$G$35,0)),0)</f>
        <v>483</v>
      </c>
      <c r="BB23" s="33">
        <f t="shared" si="16"/>
        <v>483</v>
      </c>
      <c r="BC23" s="33">
        <v>352.8</v>
      </c>
      <c r="BD23" s="33">
        <f>ROUND(坦克等级成长!$D120*VLOOKUP($AX$2,坦克等级成长!$B$36:$G$42,MATCH(BD$3,坦克等级成长!$B$35:$G$35,0)),0)</f>
        <v>483</v>
      </c>
      <c r="BE23" s="33">
        <f>ROUND(坦克等级成长!$D120*VLOOKUP($AX$2,坦克等级成长!$B$36:$G$42,MATCH(BE$3,坦克等级成长!$B$35:$G$35,0)),0)</f>
        <v>129</v>
      </c>
      <c r="BF23" s="199">
        <v>3</v>
      </c>
      <c r="BG23" s="33">
        <f>ROUND(坦克等级成长!$F120*VLOOKUP($AX$2,坦克等级成长!$B$36:$G$42,MATCH(BG$3,坦克等级成长!$B$35:$G$35,0)),0)</f>
        <v>1312</v>
      </c>
      <c r="BH23" s="33">
        <f>ROUND(坦克等级成长!$F120*VLOOKUP($AX$2,坦克等级成长!$B$36:$G$42,MATCH(BH$3,坦克等级成长!$B$35:$G$35,0)),0)</f>
        <v>131</v>
      </c>
      <c r="BI23" s="33">
        <f>ROUND(坦克等级成长!$F120*VLOOKUP($AX$2,坦克等级成长!$B$36:$G$42,MATCH(BI$3,坦克等级成长!$B$35:$G$35,0)),0)</f>
        <v>492</v>
      </c>
      <c r="BJ23" s="33">
        <f t="shared" si="9"/>
        <v>492</v>
      </c>
      <c r="BK23" s="33">
        <v>365</v>
      </c>
      <c r="BL23" s="33">
        <f>ROUND(坦克等级成长!$F120*VLOOKUP($AX$2,坦克等级成长!$B$36:$G$42,MATCH(BL$3,坦克等级成长!$B$35:$G$35,0)),0)</f>
        <v>492</v>
      </c>
      <c r="BM23" s="33">
        <f>ROUND(坦克等级成长!$F120*VLOOKUP($AX$2,坦克等级成长!$B$36:$G$42,MATCH(BM$3,坦克等级成长!$B$35:$G$35,0)),0)</f>
        <v>131</v>
      </c>
      <c r="BN23" s="192">
        <v>3</v>
      </c>
      <c r="BO23" s="33">
        <f>ROUND(坦克等级成长!$H120*VLOOKUP($AX$2,坦克等级成长!$B$36:$G$42,MATCH(BO$3,坦克等级成长!$B$35:$G$35,0)),0)</f>
        <v>1336</v>
      </c>
      <c r="BP23" s="33">
        <f>ROUND(坦克等级成长!$H120*VLOOKUP($AX$2,坦克等级成长!$B$36:$G$42,MATCH(BP$3,坦克等级成长!$B$35:$G$35,0)),0)</f>
        <v>133</v>
      </c>
      <c r="BQ23" s="33">
        <f>ROUND(坦克等级成长!$H120*VLOOKUP($AX$2,坦克等级成长!$B$36:$G$42,MATCH(BQ$3,坦克等级成长!$B$35:$G$35,0)),0)</f>
        <v>501</v>
      </c>
      <c r="BR23" s="33">
        <f t="shared" si="23"/>
        <v>501</v>
      </c>
      <c r="BS23" s="33">
        <v>365</v>
      </c>
      <c r="BT23" s="33">
        <f>ROUND(坦克等级成长!$H120*VLOOKUP($AX$2,坦克等级成长!$B$36:$G$42,MATCH(BT$3,坦克等级成长!$B$35:$G$35,0)),0)</f>
        <v>501</v>
      </c>
      <c r="BU23" s="33">
        <f>ROUND(坦克等级成长!$H120*VLOOKUP($AX$2,坦克等级成长!$B$36:$G$42,MATCH(BU$3,坦克等级成长!$B$35:$G$35,0)),0)</f>
        <v>134</v>
      </c>
      <c r="BV23" s="192">
        <v>3</v>
      </c>
      <c r="BW23" s="33">
        <f>ROUND(坦克等级成长!$D120*VLOOKUP($BV$2,坦克等级成长!$B$36:$G$42,MATCH(BW$3,坦克等级成长!$B$35:$G$35,0)),0)</f>
        <v>1390</v>
      </c>
      <c r="BX23" s="33">
        <f>ROUND(坦克等级成长!$D120*VLOOKUP($BV$2,坦克等级成长!$B$36:$G$42,MATCH(BX$3,坦克等级成长!$B$35:$G$35,0)),0)</f>
        <v>120</v>
      </c>
      <c r="BY23" s="33">
        <f>ROUND(坦克等级成长!$D120*VLOOKUP($BV$2,坦克等级成长!$B$36:$G$42,MATCH(BY$3,坦克等级成长!$B$35:$G$35,0)),0)</f>
        <v>460</v>
      </c>
      <c r="BZ23" s="33">
        <f t="shared" si="17"/>
        <v>460</v>
      </c>
      <c r="CA23" s="33">
        <v>360</v>
      </c>
      <c r="CB23" s="33">
        <f>ROUND(坦克等级成长!$D120*VLOOKUP($BV$2,坦克等级成长!$B$36:$G$42,MATCH(CB$3,坦克等级成长!$B$35:$G$35,0)),0)</f>
        <v>580</v>
      </c>
      <c r="CC23" s="33">
        <f>ROUND(坦克等级成长!$D120*VLOOKUP($BV$2,坦克等级成长!$B$36:$G$42,MATCH(CC$3,坦克等级成长!$B$35:$G$35,0)),0)</f>
        <v>139</v>
      </c>
      <c r="CD23" s="199">
        <v>3</v>
      </c>
      <c r="CE23" s="33">
        <f>ROUND(坦克等级成长!$F120*VLOOKUP($BV$2,坦克等级成长!$B$36:$G$42,MATCH(CE$3,坦克等级成长!$B$35:$G$35,0)),0)</f>
        <v>1416</v>
      </c>
      <c r="CF23" s="33">
        <f>ROUND(坦克等级成长!$F120*VLOOKUP($BV$2,坦克等级成长!$B$36:$G$42,MATCH(CF$3,坦克等级成长!$B$35:$G$35,0)),0)</f>
        <v>122</v>
      </c>
      <c r="CG23" s="33">
        <f>ROUND(坦克等级成长!$F120*VLOOKUP($BV$2,坦克等级成长!$B$36:$G$42,MATCH(CG$3,坦克等级成长!$B$35:$G$35,0)),0)</f>
        <v>469</v>
      </c>
      <c r="CH23" s="33">
        <f t="shared" si="10"/>
        <v>469</v>
      </c>
      <c r="CI23" s="33">
        <v>373</v>
      </c>
      <c r="CJ23" s="33">
        <f>ROUND(坦克等级成长!$F120*VLOOKUP($BV$2,坦克等级成长!$B$36:$G$42,MATCH(CJ$3,坦克等级成长!$B$35:$G$35,0)),0)</f>
        <v>590</v>
      </c>
      <c r="CK23" s="33">
        <f>ROUND(坦克等级成长!$F120*VLOOKUP($BV$2,坦克等级成长!$B$36:$G$42,MATCH(CK$3,坦克等级成长!$B$35:$G$35,0)),0)</f>
        <v>142</v>
      </c>
      <c r="CL23" s="192">
        <v>3</v>
      </c>
      <c r="CM23" s="33">
        <f>ROUND(坦克等级成长!$H120*VLOOKUP($BV$2,坦克等级成长!$B$36:$G$42,MATCH(CM$3,坦克等级成长!$B$35:$G$35,0)),0)</f>
        <v>1442</v>
      </c>
      <c r="CN23" s="33">
        <f>ROUND(坦克等级成长!$H120*VLOOKUP($BV$2,坦克等级成长!$B$36:$G$42,MATCH(CN$3,坦克等级成长!$B$35:$G$35,0)),0)</f>
        <v>124</v>
      </c>
      <c r="CO23" s="33">
        <f>ROUND(坦克等级成长!$H120*VLOOKUP($BV$2,坦克等级成长!$B$36:$G$42,MATCH(CO$3,坦克等级成长!$B$35:$G$35,0)),0)</f>
        <v>477</v>
      </c>
      <c r="CP23" s="33">
        <f t="shared" si="24"/>
        <v>477</v>
      </c>
      <c r="CQ23" s="33">
        <v>373</v>
      </c>
      <c r="CR23" s="33">
        <f>ROUND(坦克等级成长!$H120*VLOOKUP($BV$2,坦克等级成长!$B$36:$G$42,MATCH(CR$3,坦克等级成长!$B$35:$G$35,0)),0)</f>
        <v>601</v>
      </c>
      <c r="CS23" s="33">
        <f>ROUND(坦克等级成长!$H120*VLOOKUP($BV$2,坦克等级成长!$B$36:$G$42,MATCH(CS$3,坦克等级成长!$B$35:$G$35,0)),0)</f>
        <v>144</v>
      </c>
      <c r="CT23" s="192">
        <v>3</v>
      </c>
      <c r="CU23" s="33">
        <f>ROUND(坦克等级成长!$D120*VLOOKUP($CT$2,坦克等级成长!$B$36:$G$42,MATCH(CU$3,坦克等级成长!$B$35:$G$35,0)),0)</f>
        <v>1288</v>
      </c>
      <c r="CV23" s="33">
        <f>ROUND(坦克等级成长!$D120*VLOOKUP($CT$2,坦克等级成长!$B$36:$G$42,MATCH(CV$3,坦克等级成长!$B$35:$G$35,0)),0)</f>
        <v>259</v>
      </c>
      <c r="CW23" s="33">
        <f>ROUND(坦克等级成长!$D120*VLOOKUP($CT$2,坦克等级成长!$B$36:$G$42,MATCH(CW$3,坦克等级成长!$B$35:$G$35,0)),0)</f>
        <v>575</v>
      </c>
      <c r="CX23" s="33">
        <f t="shared" si="18"/>
        <v>575</v>
      </c>
      <c r="CY23" s="33">
        <v>450</v>
      </c>
      <c r="CZ23" s="33">
        <f>ROUND(坦克等级成长!$D120*VLOOKUP($CT$2,坦克等级成长!$B$36:$G$42,MATCH(CZ$3,坦克等级成长!$B$35:$G$35,0)),0)</f>
        <v>483</v>
      </c>
      <c r="DA23" s="33">
        <f>ROUND(坦克等级成长!$D120*VLOOKUP($CT$2,坦克等级成长!$B$36:$G$42,MATCH(DA$3,坦克等级成长!$B$35:$G$35,0)),0)</f>
        <v>129</v>
      </c>
      <c r="DB23" s="199">
        <v>3</v>
      </c>
      <c r="DC23" s="33">
        <f>ROUND(坦克等级成长!$F120*VLOOKUP($CT$2,坦克等级成长!$B$36:$G$42,MATCH(DC$3,坦克等级成长!$B$35:$G$35,0)),0)</f>
        <v>1312</v>
      </c>
      <c r="DD23" s="33">
        <f>ROUND(坦克等级成长!$F120*VLOOKUP($CT$2,坦克等级成长!$B$36:$G$42,MATCH(DD$3,坦克等级成长!$B$35:$G$35,0)),0)</f>
        <v>264</v>
      </c>
      <c r="DE23" s="33">
        <f>ROUND(坦克等级成长!$F120*VLOOKUP($CT$2,坦克等级成长!$B$36:$G$42,MATCH(DE$3,坦克等级成长!$B$35:$G$35,0)),0)</f>
        <v>586</v>
      </c>
      <c r="DF23" s="33">
        <f t="shared" si="11"/>
        <v>586</v>
      </c>
      <c r="DG23" s="33">
        <v>466</v>
      </c>
      <c r="DH23" s="33">
        <f>ROUND(坦克等级成长!$F120*VLOOKUP($CT$2,坦克等级成长!$B$36:$G$42,MATCH(DH$3,坦克等级成长!$B$35:$G$35,0)),0)</f>
        <v>492</v>
      </c>
      <c r="DI23" s="33">
        <f>ROUND(坦克等级成长!$F120*VLOOKUP($CT$2,坦克等级成长!$B$36:$G$42,MATCH(DI$3,坦克等级成长!$B$35:$G$35,0)),0)</f>
        <v>131</v>
      </c>
      <c r="DJ23" s="192">
        <v>3</v>
      </c>
      <c r="DK23" s="33">
        <f>ROUND(坦克等级成长!$H120*VLOOKUP($CT$2,坦克等级成长!$B$36:$G$42,MATCH(DK$3,坦克等级成长!$B$35:$G$35,0)),0)</f>
        <v>1336</v>
      </c>
      <c r="DL23" s="33">
        <f>ROUND(坦克等级成长!$H120*VLOOKUP($CT$2,坦克等级成长!$B$36:$G$42,MATCH(DL$3,坦克等级成长!$B$35:$G$35,0)),0)</f>
        <v>269</v>
      </c>
      <c r="DM23" s="33">
        <f>ROUND(坦克等级成长!$H120*VLOOKUP($CT$2,坦克等级成长!$B$36:$G$42,MATCH(DM$3,坦克等级成长!$B$35:$G$35,0)),0)</f>
        <v>596</v>
      </c>
      <c r="DN23" s="33">
        <f t="shared" si="25"/>
        <v>596</v>
      </c>
      <c r="DO23" s="33">
        <v>466</v>
      </c>
      <c r="DP23" s="33">
        <f>ROUND(坦克等级成长!$H120*VLOOKUP($CT$2,坦克等级成长!$B$36:$G$42,MATCH(DP$3,坦克等级成长!$B$35:$G$35,0)),0)</f>
        <v>501</v>
      </c>
      <c r="DQ23" s="33">
        <f>ROUND(坦克等级成长!$H120*VLOOKUP($CT$2,坦克等级成长!$B$36:$G$42,MATCH(DQ$3,坦克等级成长!$B$35:$G$35,0)),0)</f>
        <v>134</v>
      </c>
      <c r="DR23" s="192">
        <v>3</v>
      </c>
      <c r="DS23" s="33">
        <f>ROUND(坦克等级成长!$D120*VLOOKUP($DR$2,坦克等级成长!$B$36:$G$42,MATCH(DS$3,坦克等级成长!$B$35:$G$35,0)),0)</f>
        <v>1576</v>
      </c>
      <c r="DT23" s="33">
        <f>ROUND(坦克等级成长!$D120*VLOOKUP($DR$2,坦克等级成长!$B$36:$G$42,MATCH(DT$3,坦克等级成长!$B$35:$G$35,0)),0)</f>
        <v>432</v>
      </c>
      <c r="DU23" s="33">
        <f>ROUND(坦克等级成长!$D120*VLOOKUP($DR$2,坦克等级成长!$B$36:$G$42,MATCH(DU$3,坦克等级成长!$B$35:$G$35,0)),0)</f>
        <v>460</v>
      </c>
      <c r="DV23" s="33">
        <f t="shared" si="19"/>
        <v>460</v>
      </c>
      <c r="DW23" s="33">
        <v>384</v>
      </c>
      <c r="DX23" s="33">
        <f>ROUND(坦克等级成长!$D120*VLOOKUP($DR$2,坦克等级成长!$B$36:$G$42,MATCH(DX$3,坦克等级成长!$B$35:$G$35,0)),0)</f>
        <v>676</v>
      </c>
      <c r="DY23" s="33">
        <f>ROUND(坦克等级成长!$D120*VLOOKUP($DR$2,坦克等级成长!$B$36:$G$42,MATCH(DY$3,坦克等级成长!$B$35:$G$35,0)),0)</f>
        <v>158</v>
      </c>
      <c r="DZ23" s="199">
        <v>3</v>
      </c>
      <c r="EA23" s="33">
        <f>ROUND(坦克等级成长!$F120*VLOOKUP($DR$2,坦克等级成长!$B$36:$G$42,MATCH(EA$3,坦克等级成长!$B$35:$G$35,0)),0)</f>
        <v>1605</v>
      </c>
      <c r="EB23" s="33">
        <f>ROUND(坦克等级成长!$F120*VLOOKUP($DR$2,坦克等级成长!$B$36:$G$42,MATCH(EB$3,坦克等级成长!$B$35:$G$35,0)),0)</f>
        <v>440</v>
      </c>
      <c r="EC23" s="33">
        <f>ROUND(坦克等级成长!$F120*VLOOKUP($DR$2,坦克等级成长!$B$36:$G$42,MATCH(EC$3,坦克等级成长!$B$35:$G$35,0)),0)</f>
        <v>469</v>
      </c>
      <c r="ED23" s="33">
        <f t="shared" si="12"/>
        <v>469</v>
      </c>
      <c r="EE23" s="33">
        <v>398</v>
      </c>
      <c r="EF23" s="33">
        <f>ROUND(坦克等级成长!$F120*VLOOKUP($DR$2,坦克等级成长!$B$36:$G$42,MATCH(EF$3,坦克等级成长!$B$35:$G$35,0)),0)</f>
        <v>689</v>
      </c>
      <c r="EG23" s="33">
        <f>ROUND(坦克等级成长!$F120*VLOOKUP($DR$2,坦克等级成长!$B$36:$G$42,MATCH(EG$3,坦克等级成长!$B$35:$G$35,0)),0)</f>
        <v>160</v>
      </c>
      <c r="EH23" s="192">
        <v>3</v>
      </c>
      <c r="EI23" s="33">
        <f>ROUND(坦克等级成长!$H120*VLOOKUP($DR$2,坦克等级成长!$B$36:$G$42,MATCH(EI$3,坦克等级成长!$B$35:$G$35,0)),0)</f>
        <v>1634</v>
      </c>
      <c r="EJ23" s="33">
        <f>ROUND(坦克等级成长!$H120*VLOOKUP($DR$2,坦克等级成长!$B$36:$G$42,MATCH(EJ$3,坦克等级成长!$B$35:$G$35,0)),0)</f>
        <v>448</v>
      </c>
      <c r="EK23" s="33">
        <f>ROUND(坦克等级成长!$H120*VLOOKUP($DR$2,坦克等级成长!$B$36:$G$42,MATCH(EK$3,坦克等级成长!$B$35:$G$35,0)),0)</f>
        <v>477</v>
      </c>
      <c r="EL23" s="33">
        <f t="shared" si="26"/>
        <v>477</v>
      </c>
      <c r="EM23" s="33">
        <v>398</v>
      </c>
      <c r="EN23" s="33">
        <f>ROUND(坦克等级成长!$H120*VLOOKUP($DR$2,坦克等级成长!$B$36:$G$42,MATCH(EN$3,坦克等级成长!$B$35:$G$35,0)),0)</f>
        <v>701</v>
      </c>
      <c r="EO23" s="33">
        <f>ROUND(坦克等级成长!$H120*VLOOKUP($DR$2,坦克等级成长!$B$36:$G$42,MATCH(EO$3,坦克等级成长!$B$35:$G$35,0)),0)</f>
        <v>163</v>
      </c>
      <c r="EP23" s="192">
        <v>3</v>
      </c>
      <c r="EQ23" s="33">
        <f>ROUND(坦克等级成长!$D120*VLOOKUP($EP$2,坦克等级成长!$B$36:$G$42,MATCH(EQ$3,坦克等级成长!$B$35:$G$35,0)),0)</f>
        <v>1390</v>
      </c>
      <c r="ER23" s="33">
        <f>ROUND(坦克等级成长!$D120*VLOOKUP($EP$2,坦克等级成长!$B$36:$G$42,MATCH(ER$3,坦克等级成长!$B$35:$G$35,0)),0)</f>
        <v>143</v>
      </c>
      <c r="ES23" s="33">
        <f>ROUND(坦克等级成长!$D120*VLOOKUP($EP$2,坦克等级成长!$B$36:$G$42,MATCH(ES$3,坦克等级成长!$B$35:$G$35,0)),0)</f>
        <v>529</v>
      </c>
      <c r="ET23" s="33">
        <f t="shared" si="20"/>
        <v>529</v>
      </c>
      <c r="EU23" s="33">
        <v>414</v>
      </c>
      <c r="EV23" s="33">
        <f>ROUND(坦克等级成长!$D120*VLOOKUP($EP$2,坦克等级成长!$B$36:$G$42,MATCH(EV$3,坦克等级成长!$B$35:$G$35,0)),0)</f>
        <v>580</v>
      </c>
      <c r="EW23" s="33">
        <f>ROUND(坦克等级成长!$D120*VLOOKUP($EP$2,坦克等级成长!$B$36:$G$42,MATCH(EW$3,坦克等级成长!$B$35:$G$35,0)),0)</f>
        <v>139</v>
      </c>
      <c r="EX23" s="199">
        <v>3</v>
      </c>
      <c r="EY23" s="33">
        <f>ROUND(坦克等级成长!$F120*VLOOKUP($EP$2,坦克等级成长!$B$36:$G$42,MATCH(EY$3,坦克等级成长!$B$35:$G$35,0)),0)</f>
        <v>1416</v>
      </c>
      <c r="EZ23" s="33">
        <f>ROUND(坦克等级成长!$F120*VLOOKUP($EP$2,坦克等级成长!$B$36:$G$42,MATCH(EZ$3,坦克等级成长!$B$35:$G$35,0)),0)</f>
        <v>146</v>
      </c>
      <c r="FA23" s="33">
        <f>ROUND(坦克等级成长!$F120*VLOOKUP($EP$2,坦克等级成长!$B$36:$G$42,MATCH(FA$3,坦克等级成长!$B$35:$G$35,0)),0)</f>
        <v>539</v>
      </c>
      <c r="FB23" s="33">
        <f t="shared" si="13"/>
        <v>539</v>
      </c>
      <c r="FC23" s="33">
        <v>429</v>
      </c>
      <c r="FD23" s="33">
        <f>ROUND(坦克等级成长!$F120*VLOOKUP($EP$2,坦克等级成长!$B$36:$G$42,MATCH(FD$3,坦克等级成长!$B$35:$G$35,0)),0)</f>
        <v>590</v>
      </c>
      <c r="FE23" s="33">
        <f>ROUND(坦克等级成长!$F120*VLOOKUP($EP$2,坦克等级成长!$B$36:$G$42,MATCH(FE$3,坦克等级成长!$B$35:$G$35,0)),0)</f>
        <v>142</v>
      </c>
      <c r="FF23" s="192">
        <v>3</v>
      </c>
      <c r="FG23" s="33">
        <f>ROUND(坦克等级成长!$H120*VLOOKUP($EP$2,坦克等级成长!$B$36:$G$42,MATCH(FG$3,坦克等级成长!$B$35:$G$35,0)),0)</f>
        <v>1442</v>
      </c>
      <c r="FH23" s="33">
        <f>ROUND(坦克等级成长!$H120*VLOOKUP($EP$2,坦克等级成长!$B$36:$G$42,MATCH(FH$3,坦克等级成长!$B$35:$G$35,0)),0)</f>
        <v>149</v>
      </c>
      <c r="FI23" s="33">
        <f>ROUND(坦克等级成长!$H120*VLOOKUP($EP$2,坦克等级成长!$B$36:$G$42,MATCH(FI$3,坦克等级成长!$B$35:$G$35,0)),0)</f>
        <v>549</v>
      </c>
      <c r="FJ23" s="33">
        <f t="shared" si="27"/>
        <v>549</v>
      </c>
      <c r="FK23" s="33">
        <v>429</v>
      </c>
      <c r="FL23" s="33">
        <f>ROUND(坦克等级成长!$H120*VLOOKUP($EP$2,坦克等级成长!$B$36:$G$42,MATCH(FL$3,坦克等级成长!$B$35:$G$35,0)),0)</f>
        <v>601</v>
      </c>
      <c r="FM23" s="33">
        <f>ROUND(坦克等级成长!$H120*VLOOKUP($EP$2,坦克等级成长!$B$36:$G$42,MATCH(FM$3,坦克等级成长!$B$35:$G$35,0)),0)</f>
        <v>144</v>
      </c>
    </row>
    <row r="24" spans="1:169" ht="14.25" x14ac:dyDescent="0.3">
      <c r="A24" s="189">
        <v>3</v>
      </c>
      <c r="B24" s="192">
        <v>4</v>
      </c>
      <c r="C24" s="33">
        <f>ROUND(坦克等级成长!$D121*VLOOKUP($B$2,坦克等级成长!$B$36:$G$42,MATCH(C$3,坦克等级成长!$B$35:$G$35,0)),0)</f>
        <v>1360</v>
      </c>
      <c r="D24" s="33">
        <f>ROUND(坦克等级成长!$D121*VLOOKUP($B$2,坦克等级成长!$B$36:$G$42,MATCH(D$3,坦克等级成长!$B$35:$G$35,0)),0)</f>
        <v>136</v>
      </c>
      <c r="E24" s="33">
        <f>ROUND(坦克等级成长!$D121*VLOOKUP($B$2,坦克等级成长!$B$36:$G$42,MATCH(E$3,坦克等级成长!$B$35:$G$35,0)),0)</f>
        <v>510</v>
      </c>
      <c r="F24" s="33">
        <f t="shared" si="14"/>
        <v>510</v>
      </c>
      <c r="G24" s="33">
        <v>373.8</v>
      </c>
      <c r="H24" s="33">
        <f>ROUND(坦克等级成长!$D121*VLOOKUP($B$2,坦克等级成长!$B$36:$G$42,MATCH(H$3,坦克等级成长!$B$35:$G$35,0)),0)</f>
        <v>510</v>
      </c>
      <c r="I24" s="33">
        <f>ROUND(坦克等级成长!$D121*VLOOKUP($B$2,坦克等级成长!$B$36:$G$42,MATCH(I$3,坦克等级成长!$B$35:$G$35,0)),0)</f>
        <v>136</v>
      </c>
      <c r="J24" s="199">
        <v>4</v>
      </c>
      <c r="K24" s="33">
        <f>ROUND(坦克等级成长!$F121*VLOOKUP($B$2,坦克等级成长!$B$36:$G$42,MATCH(K$3,坦克等级成长!$B$35:$G$35,0)),0)</f>
        <v>1384</v>
      </c>
      <c r="L24" s="33">
        <f>ROUND(坦克等级成长!$F121*VLOOKUP($B$2,坦克等级成长!$B$36:$G$42,MATCH(L$3,坦克等级成长!$B$35:$G$35,0)),0)</f>
        <v>138</v>
      </c>
      <c r="M24" s="33">
        <f>ROUND(坦克等级成长!$F121*VLOOKUP($B$2,坦克等级成长!$B$36:$G$42,MATCH(M$3,坦克等级成长!$B$35:$G$35,0)),0)</f>
        <v>519</v>
      </c>
      <c r="N24" s="33">
        <f t="shared" si="7"/>
        <v>519</v>
      </c>
      <c r="O24" s="33">
        <v>386</v>
      </c>
      <c r="P24" s="33">
        <f>ROUND(坦克等级成长!$F121*VLOOKUP($B$2,坦克等级成长!$B$36:$G$42,MATCH(P$3,坦克等级成长!$B$35:$G$35,0)),0)</f>
        <v>519</v>
      </c>
      <c r="Q24" s="33">
        <f>ROUND(坦克等级成长!$F121*VLOOKUP($B$2,坦克等级成长!$B$36:$G$42,MATCH(Q$3,坦克等级成长!$B$35:$G$35,0)),0)</f>
        <v>138</v>
      </c>
      <c r="R24" s="192">
        <v>4</v>
      </c>
      <c r="S24" s="33">
        <f>ROUND(坦克等级成长!$H121*VLOOKUP($B$2,坦克等级成长!$B$36:$G$42,MATCH(S$3,坦克等级成长!$B$35:$G$35,0)),0)</f>
        <v>1408</v>
      </c>
      <c r="T24" s="33">
        <f>ROUND(坦克等级成长!$H121*VLOOKUP($B$2,坦克等级成长!$B$36:$G$42,MATCH(T$3,坦克等级成长!$B$35:$G$35,0)),0)</f>
        <v>140</v>
      </c>
      <c r="U24" s="33">
        <f>ROUND(坦克等级成长!$H121*VLOOKUP($B$2,坦克等级成长!$B$36:$G$42,MATCH(U$3,坦克等级成长!$B$35:$G$35,0)),0)</f>
        <v>528</v>
      </c>
      <c r="V24" s="33">
        <f t="shared" si="21"/>
        <v>528</v>
      </c>
      <c r="W24" s="33">
        <v>386</v>
      </c>
      <c r="X24" s="33">
        <f>ROUND(坦克等级成长!$H121*VLOOKUP($B$2,坦克等级成长!$B$36:$G$42,MATCH(X$3,坦克等级成长!$B$35:$G$35,0)),0)</f>
        <v>528</v>
      </c>
      <c r="Y24" s="33">
        <f>ROUND(坦克等级成长!$H121*VLOOKUP($B$2,坦克等级成长!$B$36:$G$42,MATCH(Y$3,坦克等级成长!$B$35:$G$35,0)),0)</f>
        <v>141</v>
      </c>
      <c r="Z24" s="192">
        <v>4</v>
      </c>
      <c r="AA24" s="33">
        <f>ROUND(坦克等级成长!$D121*VLOOKUP($Z$2,坦克等级成长!$B$36:$G$42,MATCH(AA$3,坦克等级成长!$B$35:$G$35,0)),0)</f>
        <v>1360</v>
      </c>
      <c r="AB24" s="33">
        <f>ROUND(坦克等级成长!$D121*VLOOKUP($Z$2,坦克等级成长!$B$36:$G$42,MATCH(AB$3,坦克等级成长!$B$35:$G$35,0)),0)</f>
        <v>72</v>
      </c>
      <c r="AC24" s="33">
        <f>ROUND(坦克等级成长!$D121*VLOOKUP($Z$2,坦克等级成长!$B$36:$G$42,MATCH(AC$3,坦克等级成长!$B$35:$G$35,0)),0)</f>
        <v>559</v>
      </c>
      <c r="AD24" s="33">
        <f t="shared" si="15"/>
        <v>559</v>
      </c>
      <c r="AE24" s="33">
        <v>409.5</v>
      </c>
      <c r="AF24" s="33">
        <f>ROUND(坦克等级成长!$D121*VLOOKUP($Z$2,坦克等级成长!$B$36:$G$42,MATCH(AF$3,坦克等级成长!$B$35:$G$35,0)),0)</f>
        <v>510</v>
      </c>
      <c r="AG24" s="33">
        <f>ROUND(坦克等级成长!$D121*VLOOKUP($Z$2,坦克等级成长!$B$36:$G$42,MATCH(AG$3,坦克等级成长!$B$35:$G$35,0)),0)</f>
        <v>136</v>
      </c>
      <c r="AH24" s="199">
        <v>4</v>
      </c>
      <c r="AI24" s="33">
        <f>ROUND(坦克等级成长!$F121*VLOOKUP($Z$2,坦克等级成长!$B$36:$G$42,MATCH(AI$3,坦克等级成长!$B$35:$G$35,0)),0)</f>
        <v>1384</v>
      </c>
      <c r="AJ24" s="33">
        <f>ROUND(坦克等级成长!$F121*VLOOKUP($Z$2,坦克等级成长!$B$36:$G$42,MATCH(AJ$3,坦克等级成长!$B$35:$G$35,0)),0)</f>
        <v>73</v>
      </c>
      <c r="AK24" s="33">
        <f>ROUND(坦克等级成长!$F121*VLOOKUP($Z$2,坦克等级成长!$B$36:$G$42,MATCH(AK$3,坦克等级成长!$B$35:$G$35,0)),0)</f>
        <v>568</v>
      </c>
      <c r="AL24" s="33">
        <f t="shared" si="8"/>
        <v>568</v>
      </c>
      <c r="AM24" s="33">
        <v>424</v>
      </c>
      <c r="AN24" s="33">
        <f>ROUND(坦克等级成长!$F121*VLOOKUP($Z$2,坦克等级成长!$B$36:$G$42,MATCH(AN$3,坦克等级成长!$B$35:$G$35,0)),0)</f>
        <v>519</v>
      </c>
      <c r="AO24" s="33">
        <f>ROUND(坦克等级成长!$F121*VLOOKUP($Z$2,坦克等级成长!$B$36:$G$42,MATCH(AO$3,坦克等级成长!$B$35:$G$35,0)),0)</f>
        <v>138</v>
      </c>
      <c r="AP24" s="192">
        <v>4</v>
      </c>
      <c r="AQ24" s="33">
        <f>ROUND(坦克等级成长!$H121*VLOOKUP($Z$2,坦克等级成长!$B$36:$G$42,MATCH(AQ$3,坦克等级成长!$B$35:$G$35,0)),0)</f>
        <v>1408</v>
      </c>
      <c r="AR24" s="33">
        <f>ROUND(坦克等级成长!$H121*VLOOKUP($Z$2,坦克等级成长!$B$36:$G$42,MATCH(AR$3,坦克等级成长!$B$35:$G$35,0)),0)</f>
        <v>75</v>
      </c>
      <c r="AS24" s="33">
        <f>ROUND(坦克等级成长!$H121*VLOOKUP($Z$2,坦克等级成长!$B$36:$G$42,MATCH(AS$3,坦克等级成长!$B$35:$G$35,0)),0)</f>
        <v>578</v>
      </c>
      <c r="AT24" s="33">
        <f t="shared" si="22"/>
        <v>578</v>
      </c>
      <c r="AU24" s="33">
        <v>424</v>
      </c>
      <c r="AV24" s="33">
        <f>ROUND(坦克等级成长!$H121*VLOOKUP($Z$2,坦克等级成长!$B$36:$G$42,MATCH(AV$3,坦克等级成长!$B$35:$G$35,0)),0)</f>
        <v>528</v>
      </c>
      <c r="AW24" s="33">
        <f>ROUND(坦克等级成长!$H121*VLOOKUP($Z$2,坦克等级成长!$B$36:$G$42,MATCH(AW$3,坦克等级成长!$B$35:$G$35,0)),0)</f>
        <v>141</v>
      </c>
      <c r="AX24" s="192">
        <v>4</v>
      </c>
      <c r="AY24" s="33">
        <f>ROUND(坦克等级成长!$D121*VLOOKUP($AX$2,坦克等级成长!$B$36:$G$42,MATCH(AY$3,坦克等级成长!$B$35:$G$35,0)),0)</f>
        <v>1360</v>
      </c>
      <c r="AZ24" s="33">
        <f>ROUND(坦克等级成长!$D121*VLOOKUP($AX$2,坦克等级成长!$B$36:$G$42,MATCH(AZ$3,坦克等级成长!$B$35:$G$35,0)),0)</f>
        <v>136</v>
      </c>
      <c r="BA24" s="33">
        <f>ROUND(坦克等级成长!$D121*VLOOKUP($AX$2,坦克等级成长!$B$36:$G$42,MATCH(BA$3,坦克等级成长!$B$35:$G$35,0)),0)</f>
        <v>510</v>
      </c>
      <c r="BB24" s="33">
        <f t="shared" si="16"/>
        <v>510</v>
      </c>
      <c r="BC24" s="33">
        <v>373.8</v>
      </c>
      <c r="BD24" s="33">
        <f>ROUND(坦克等级成长!$D121*VLOOKUP($AX$2,坦克等级成长!$B$36:$G$42,MATCH(BD$3,坦克等级成长!$B$35:$G$35,0)),0)</f>
        <v>510</v>
      </c>
      <c r="BE24" s="33">
        <f>ROUND(坦克等级成长!$D121*VLOOKUP($AX$2,坦克等级成长!$B$36:$G$42,MATCH(BE$3,坦克等级成长!$B$35:$G$35,0)),0)</f>
        <v>136</v>
      </c>
      <c r="BF24" s="199">
        <v>4</v>
      </c>
      <c r="BG24" s="33">
        <f>ROUND(坦克等级成长!$F121*VLOOKUP($AX$2,坦克等级成长!$B$36:$G$42,MATCH(BG$3,坦克等级成长!$B$35:$G$35,0)),0)</f>
        <v>1384</v>
      </c>
      <c r="BH24" s="33">
        <f>ROUND(坦克等级成长!$F121*VLOOKUP($AX$2,坦克等级成长!$B$36:$G$42,MATCH(BH$3,坦克等级成长!$B$35:$G$35,0)),0)</f>
        <v>138</v>
      </c>
      <c r="BI24" s="33">
        <f>ROUND(坦克等级成长!$F121*VLOOKUP($AX$2,坦克等级成长!$B$36:$G$42,MATCH(BI$3,坦克等级成长!$B$35:$G$35,0)),0)</f>
        <v>519</v>
      </c>
      <c r="BJ24" s="33">
        <f t="shared" si="9"/>
        <v>519</v>
      </c>
      <c r="BK24" s="33">
        <v>386</v>
      </c>
      <c r="BL24" s="33">
        <f>ROUND(坦克等级成长!$F121*VLOOKUP($AX$2,坦克等级成长!$B$36:$G$42,MATCH(BL$3,坦克等级成长!$B$35:$G$35,0)),0)</f>
        <v>519</v>
      </c>
      <c r="BM24" s="33">
        <f>ROUND(坦克等级成长!$F121*VLOOKUP($AX$2,坦克等级成长!$B$36:$G$42,MATCH(BM$3,坦克等级成长!$B$35:$G$35,0)),0)</f>
        <v>138</v>
      </c>
      <c r="BN24" s="192">
        <v>4</v>
      </c>
      <c r="BO24" s="33">
        <f>ROUND(坦克等级成长!$H121*VLOOKUP($AX$2,坦克等级成长!$B$36:$G$42,MATCH(BO$3,坦克等级成长!$B$35:$G$35,0)),0)</f>
        <v>1408</v>
      </c>
      <c r="BP24" s="33">
        <f>ROUND(坦克等级成长!$H121*VLOOKUP($AX$2,坦克等级成长!$B$36:$G$42,MATCH(BP$3,坦克等级成长!$B$35:$G$35,0)),0)</f>
        <v>140</v>
      </c>
      <c r="BQ24" s="33">
        <f>ROUND(坦克等级成长!$H121*VLOOKUP($AX$2,坦克等级成长!$B$36:$G$42,MATCH(BQ$3,坦克等级成长!$B$35:$G$35,0)),0)</f>
        <v>528</v>
      </c>
      <c r="BR24" s="33">
        <f t="shared" si="23"/>
        <v>528</v>
      </c>
      <c r="BS24" s="33">
        <v>386</v>
      </c>
      <c r="BT24" s="33">
        <f>ROUND(坦克等级成长!$H121*VLOOKUP($AX$2,坦克等级成长!$B$36:$G$42,MATCH(BT$3,坦克等级成长!$B$35:$G$35,0)),0)</f>
        <v>528</v>
      </c>
      <c r="BU24" s="33">
        <f>ROUND(坦克等级成长!$H121*VLOOKUP($AX$2,坦克等级成长!$B$36:$G$42,MATCH(BU$3,坦克等级成长!$B$35:$G$35,0)),0)</f>
        <v>141</v>
      </c>
      <c r="BV24" s="192">
        <v>4</v>
      </c>
      <c r="BW24" s="33">
        <f>ROUND(坦克等级成长!$D121*VLOOKUP($BV$2,坦克等级成长!$B$36:$G$42,MATCH(BW$3,坦克等级成长!$B$35:$G$35,0)),0)</f>
        <v>1468</v>
      </c>
      <c r="BX24" s="33">
        <f>ROUND(坦克等级成长!$D121*VLOOKUP($BV$2,坦克等级成长!$B$36:$G$42,MATCH(BX$3,坦克等级成长!$B$35:$G$35,0)),0)</f>
        <v>126</v>
      </c>
      <c r="BY24" s="33">
        <f>ROUND(坦克等级成长!$D121*VLOOKUP($BV$2,坦克等级成长!$B$36:$G$42,MATCH(BY$3,坦克等级成长!$B$35:$G$35,0)),0)</f>
        <v>486</v>
      </c>
      <c r="BZ24" s="33">
        <f t="shared" si="17"/>
        <v>486</v>
      </c>
      <c r="CA24" s="33">
        <v>381.75</v>
      </c>
      <c r="CB24" s="33">
        <f>ROUND(坦克等级成长!$D121*VLOOKUP($BV$2,坦克等级成长!$B$36:$G$42,MATCH(CB$3,坦克等级成长!$B$35:$G$35,0)),0)</f>
        <v>612</v>
      </c>
      <c r="CC24" s="33">
        <f>ROUND(坦克等级成长!$D121*VLOOKUP($BV$2,坦克等级成长!$B$36:$G$42,MATCH(CC$3,坦克等级成长!$B$35:$G$35,0)),0)</f>
        <v>147</v>
      </c>
      <c r="CD24" s="199">
        <v>4</v>
      </c>
      <c r="CE24" s="33">
        <f>ROUND(坦克等级成长!$F121*VLOOKUP($BV$2,坦克等级成长!$B$36:$G$42,MATCH(CE$3,坦克等级成长!$B$35:$G$35,0)),0)</f>
        <v>1494</v>
      </c>
      <c r="CF24" s="33">
        <f>ROUND(坦克等级成长!$F121*VLOOKUP($BV$2,坦克等级成长!$B$36:$G$42,MATCH(CF$3,坦克等级成长!$B$35:$G$35,0)),0)</f>
        <v>128</v>
      </c>
      <c r="CG24" s="33">
        <f>ROUND(坦克等级成长!$F121*VLOOKUP($BV$2,坦克等级成长!$B$36:$G$42,MATCH(CG$3,坦克等级成长!$B$35:$G$35,0)),0)</f>
        <v>494</v>
      </c>
      <c r="CH24" s="33">
        <f t="shared" si="10"/>
        <v>494</v>
      </c>
      <c r="CI24" s="33">
        <v>395</v>
      </c>
      <c r="CJ24" s="33">
        <f>ROUND(坦克等级成长!$F121*VLOOKUP($BV$2,坦克等级成长!$B$36:$G$42,MATCH(CJ$3,坦克等级成长!$B$35:$G$35,0)),0)</f>
        <v>623</v>
      </c>
      <c r="CK24" s="33">
        <f>ROUND(坦克等级成长!$F121*VLOOKUP($BV$2,坦克等级成长!$B$36:$G$42,MATCH(CK$3,坦克等级成长!$B$35:$G$35,0)),0)</f>
        <v>149</v>
      </c>
      <c r="CL24" s="192">
        <v>4</v>
      </c>
      <c r="CM24" s="33">
        <f>ROUND(坦克等级成长!$H121*VLOOKUP($BV$2,坦克等级成长!$B$36:$G$42,MATCH(CM$3,坦克等级成长!$B$35:$G$35,0)),0)</f>
        <v>1520</v>
      </c>
      <c r="CN24" s="33">
        <f>ROUND(坦克等级成长!$H121*VLOOKUP($BV$2,坦克等级成长!$B$36:$G$42,MATCH(CN$3,坦克等级成长!$B$35:$G$35,0)),0)</f>
        <v>131</v>
      </c>
      <c r="CO24" s="33">
        <f>ROUND(坦克等级成长!$H121*VLOOKUP($BV$2,坦克等级成长!$B$36:$G$42,MATCH(CO$3,坦克等级成长!$B$35:$G$35,0)),0)</f>
        <v>503</v>
      </c>
      <c r="CP24" s="33">
        <f t="shared" si="24"/>
        <v>503</v>
      </c>
      <c r="CQ24" s="33">
        <v>395</v>
      </c>
      <c r="CR24" s="33">
        <f>ROUND(坦克等级成长!$H121*VLOOKUP($BV$2,坦克等级成长!$B$36:$G$42,MATCH(CR$3,坦克等级成长!$B$35:$G$35,0)),0)</f>
        <v>634</v>
      </c>
      <c r="CS24" s="33">
        <f>ROUND(坦克等级成长!$H121*VLOOKUP($BV$2,坦克等级成长!$B$36:$G$42,MATCH(CS$3,坦克等级成长!$B$35:$G$35,0)),0)</f>
        <v>152</v>
      </c>
      <c r="CT24" s="192">
        <v>4</v>
      </c>
      <c r="CU24" s="33">
        <f>ROUND(坦克等级成长!$D121*VLOOKUP($CT$2,坦克等级成长!$B$36:$G$42,MATCH(CU$3,坦克等级成长!$B$35:$G$35,0)),0)</f>
        <v>1360</v>
      </c>
      <c r="CV24" s="33">
        <f>ROUND(坦克等级成长!$D121*VLOOKUP($CT$2,坦克等级成长!$B$36:$G$42,MATCH(CV$3,坦克等级成长!$B$35:$G$35,0)),0)</f>
        <v>274</v>
      </c>
      <c r="CW24" s="33">
        <f>ROUND(坦克等级成长!$D121*VLOOKUP($CT$2,坦克等级成长!$B$36:$G$42,MATCH(CW$3,坦克等级成长!$B$35:$G$35,0)),0)</f>
        <v>607</v>
      </c>
      <c r="CX24" s="33">
        <f t="shared" si="18"/>
        <v>607</v>
      </c>
      <c r="CY24" s="33">
        <v>477</v>
      </c>
      <c r="CZ24" s="33">
        <f>ROUND(坦克等级成长!$D121*VLOOKUP($CT$2,坦克等级成长!$B$36:$G$42,MATCH(CZ$3,坦克等级成长!$B$35:$G$35,0)),0)</f>
        <v>510</v>
      </c>
      <c r="DA24" s="33">
        <f>ROUND(坦克等级成长!$D121*VLOOKUP($CT$2,坦克等级成长!$B$36:$G$42,MATCH(DA$3,坦克等级成长!$B$35:$G$35,0)),0)</f>
        <v>136</v>
      </c>
      <c r="DB24" s="199">
        <v>4</v>
      </c>
      <c r="DC24" s="33">
        <f>ROUND(坦克等级成长!$F121*VLOOKUP($CT$2,坦克等级成长!$B$36:$G$42,MATCH(DC$3,坦克等级成长!$B$35:$G$35,0)),0)</f>
        <v>1384</v>
      </c>
      <c r="DD24" s="33">
        <f>ROUND(坦克等级成长!$F121*VLOOKUP($CT$2,坦克等级成长!$B$36:$G$42,MATCH(DD$3,坦克等级成长!$B$35:$G$35,0)),0)</f>
        <v>279</v>
      </c>
      <c r="DE24" s="33">
        <f>ROUND(坦克等级成长!$F121*VLOOKUP($CT$2,坦克等级成长!$B$36:$G$42,MATCH(DE$3,坦克等级成长!$B$35:$G$35,0)),0)</f>
        <v>618</v>
      </c>
      <c r="DF24" s="33">
        <f t="shared" si="11"/>
        <v>618</v>
      </c>
      <c r="DG24" s="33">
        <v>493</v>
      </c>
      <c r="DH24" s="33">
        <f>ROUND(坦克等级成长!$F121*VLOOKUP($CT$2,坦克等级成长!$B$36:$G$42,MATCH(DH$3,坦克等级成长!$B$35:$G$35,0)),0)</f>
        <v>519</v>
      </c>
      <c r="DI24" s="33">
        <f>ROUND(坦克等级成长!$F121*VLOOKUP($CT$2,坦克等级成长!$B$36:$G$42,MATCH(DI$3,坦克等级成长!$B$35:$G$35,0)),0)</f>
        <v>138</v>
      </c>
      <c r="DJ24" s="192">
        <v>4</v>
      </c>
      <c r="DK24" s="33">
        <f>ROUND(坦克等级成长!$H121*VLOOKUP($CT$2,坦克等级成长!$B$36:$G$42,MATCH(DK$3,坦克等级成长!$B$35:$G$35,0)),0)</f>
        <v>1408</v>
      </c>
      <c r="DL24" s="33">
        <f>ROUND(坦克等级成长!$H121*VLOOKUP($CT$2,坦克等级成长!$B$36:$G$42,MATCH(DL$3,坦克等级成长!$B$35:$G$35,0)),0)</f>
        <v>283</v>
      </c>
      <c r="DM24" s="33">
        <f>ROUND(坦克等级成长!$H121*VLOOKUP($CT$2,坦克等级成长!$B$36:$G$42,MATCH(DM$3,坦克等级成长!$B$35:$G$35,0)),0)</f>
        <v>629</v>
      </c>
      <c r="DN24" s="33">
        <f t="shared" si="25"/>
        <v>629</v>
      </c>
      <c r="DO24" s="33">
        <v>493</v>
      </c>
      <c r="DP24" s="33">
        <f>ROUND(坦克等级成长!$H121*VLOOKUP($CT$2,坦克等级成长!$B$36:$G$42,MATCH(DP$3,坦克等级成长!$B$35:$G$35,0)),0)</f>
        <v>528</v>
      </c>
      <c r="DQ24" s="33">
        <f>ROUND(坦克等级成长!$H121*VLOOKUP($CT$2,坦克等级成长!$B$36:$G$42,MATCH(DQ$3,坦克等级成长!$B$35:$G$35,0)),0)</f>
        <v>141</v>
      </c>
      <c r="DR24" s="192">
        <v>4</v>
      </c>
      <c r="DS24" s="33">
        <f>ROUND(坦克等级成长!$D121*VLOOKUP($DR$2,坦克等级成长!$B$36:$G$42,MATCH(DS$3,坦克等级成长!$B$35:$G$35,0)),0)</f>
        <v>1664</v>
      </c>
      <c r="DT24" s="33">
        <f>ROUND(坦克等级成长!$D121*VLOOKUP($DR$2,坦克等级成长!$B$36:$G$42,MATCH(DT$3,坦克等级成长!$B$35:$G$35,0)),0)</f>
        <v>456</v>
      </c>
      <c r="DU24" s="33">
        <f>ROUND(坦克等级成长!$D121*VLOOKUP($DR$2,坦克等级成长!$B$36:$G$42,MATCH(DU$3,坦克等级成长!$B$35:$G$35,0)),0)</f>
        <v>486</v>
      </c>
      <c r="DV24" s="33">
        <f t="shared" si="19"/>
        <v>486</v>
      </c>
      <c r="DW24" s="33">
        <v>407.2</v>
      </c>
      <c r="DX24" s="33">
        <f>ROUND(坦克等级成长!$D121*VLOOKUP($DR$2,坦克等级成长!$B$36:$G$42,MATCH(DX$3,坦克等级成长!$B$35:$G$35,0)),0)</f>
        <v>714</v>
      </c>
      <c r="DY24" s="33">
        <f>ROUND(坦克等级成长!$D121*VLOOKUP($DR$2,坦克等级成长!$B$36:$G$42,MATCH(DY$3,坦克等级成长!$B$35:$G$35,0)),0)</f>
        <v>166</v>
      </c>
      <c r="DZ24" s="199">
        <v>4</v>
      </c>
      <c r="EA24" s="33">
        <f>ROUND(坦克等级成长!$F121*VLOOKUP($DR$2,坦克等级成长!$B$36:$G$42,MATCH(EA$3,坦克等级成长!$B$35:$G$35,0)),0)</f>
        <v>1693</v>
      </c>
      <c r="EB24" s="33">
        <f>ROUND(坦克等级成长!$F121*VLOOKUP($DR$2,坦克等级成长!$B$36:$G$42,MATCH(EB$3,坦克等级成长!$B$35:$G$35,0)),0)</f>
        <v>464</v>
      </c>
      <c r="EC24" s="33">
        <f>ROUND(坦克等级成长!$F121*VLOOKUP($DR$2,坦克等级成长!$B$36:$G$42,MATCH(EC$3,坦克等级成长!$B$35:$G$35,0)),0)</f>
        <v>494</v>
      </c>
      <c r="ED24" s="33">
        <f t="shared" si="12"/>
        <v>494</v>
      </c>
      <c r="EE24" s="33">
        <v>421</v>
      </c>
      <c r="EF24" s="33">
        <f>ROUND(坦克等级成长!$F121*VLOOKUP($DR$2,坦克等级成长!$B$36:$G$42,MATCH(EF$3,坦克等级成长!$B$35:$G$35,0)),0)</f>
        <v>727</v>
      </c>
      <c r="EG24" s="33">
        <f>ROUND(坦克等级成长!$F121*VLOOKUP($DR$2,坦克等级成长!$B$36:$G$42,MATCH(EG$3,坦克等级成长!$B$35:$G$35,0)),0)</f>
        <v>169</v>
      </c>
      <c r="EH24" s="192">
        <v>4</v>
      </c>
      <c r="EI24" s="33">
        <f>ROUND(坦克等级成长!$H121*VLOOKUP($DR$2,坦克等级成长!$B$36:$G$42,MATCH(EI$3,坦克等级成长!$B$35:$G$35,0)),0)</f>
        <v>1722</v>
      </c>
      <c r="EJ24" s="33">
        <f>ROUND(坦克等级成长!$H121*VLOOKUP($DR$2,坦克等级成长!$B$36:$G$42,MATCH(EJ$3,坦克等级成长!$B$35:$G$35,0)),0)</f>
        <v>472</v>
      </c>
      <c r="EK24" s="33">
        <f>ROUND(坦克等级成长!$H121*VLOOKUP($DR$2,坦克等级成长!$B$36:$G$42,MATCH(EK$3,坦克等级成长!$B$35:$G$35,0)),0)</f>
        <v>503</v>
      </c>
      <c r="EL24" s="33">
        <f t="shared" si="26"/>
        <v>503</v>
      </c>
      <c r="EM24" s="33">
        <v>421</v>
      </c>
      <c r="EN24" s="33">
        <f>ROUND(坦克等级成长!$H121*VLOOKUP($DR$2,坦克等级成长!$B$36:$G$42,MATCH(EN$3,坦克等级成长!$B$35:$G$35,0)),0)</f>
        <v>739</v>
      </c>
      <c r="EO24" s="33">
        <f>ROUND(坦克等级成长!$H121*VLOOKUP($DR$2,坦克等级成长!$B$36:$G$42,MATCH(EO$3,坦克等级成长!$B$35:$G$35,0)),0)</f>
        <v>172</v>
      </c>
      <c r="EP24" s="192">
        <v>4</v>
      </c>
      <c r="EQ24" s="33">
        <f>ROUND(坦克等级成长!$D121*VLOOKUP($EP$2,坦克等级成长!$B$36:$G$42,MATCH(EQ$3,坦克等级成长!$B$35:$G$35,0)),0)</f>
        <v>1468</v>
      </c>
      <c r="ER24" s="33">
        <f>ROUND(坦克等级成长!$D121*VLOOKUP($EP$2,坦克等级成长!$B$36:$G$42,MATCH(ER$3,坦克等级成长!$B$35:$G$35,0)),0)</f>
        <v>151</v>
      </c>
      <c r="ES24" s="33">
        <f>ROUND(坦克等级成长!$D121*VLOOKUP($EP$2,坦克等级成长!$B$36:$G$42,MATCH(ES$3,坦克等级成长!$B$35:$G$35,0)),0)</f>
        <v>559</v>
      </c>
      <c r="ET24" s="33">
        <f t="shared" si="20"/>
        <v>559</v>
      </c>
      <c r="EU24" s="33">
        <v>438.75</v>
      </c>
      <c r="EV24" s="33">
        <f>ROUND(坦克等级成长!$D121*VLOOKUP($EP$2,坦克等级成长!$B$36:$G$42,MATCH(EV$3,坦克等级成长!$B$35:$G$35,0)),0)</f>
        <v>612</v>
      </c>
      <c r="EW24" s="33">
        <f>ROUND(坦克等级成长!$D121*VLOOKUP($EP$2,坦克等级成长!$B$36:$G$42,MATCH(EW$3,坦克等级成长!$B$35:$G$35,0)),0)</f>
        <v>147</v>
      </c>
      <c r="EX24" s="199">
        <v>4</v>
      </c>
      <c r="EY24" s="33">
        <f>ROUND(坦克等级成长!$F121*VLOOKUP($EP$2,坦克等级成长!$B$36:$G$42,MATCH(EY$3,坦克等级成长!$B$35:$G$35,0)),0)</f>
        <v>1494</v>
      </c>
      <c r="EZ24" s="33">
        <f>ROUND(坦克等级成长!$F121*VLOOKUP($EP$2,坦克等级成长!$B$36:$G$42,MATCH(EZ$3,坦克等级成长!$B$35:$G$35,0)),0)</f>
        <v>154</v>
      </c>
      <c r="FA24" s="33">
        <f>ROUND(坦克等级成长!$F121*VLOOKUP($EP$2,坦克等级成长!$B$36:$G$42,MATCH(FA$3,坦克等级成长!$B$35:$G$35,0)),0)</f>
        <v>568</v>
      </c>
      <c r="FB24" s="33">
        <f t="shared" si="13"/>
        <v>568</v>
      </c>
      <c r="FC24" s="33">
        <v>454</v>
      </c>
      <c r="FD24" s="33">
        <f>ROUND(坦克等级成长!$F121*VLOOKUP($EP$2,坦克等级成长!$B$36:$G$42,MATCH(FD$3,坦克等级成长!$B$35:$G$35,0)),0)</f>
        <v>623</v>
      </c>
      <c r="FE24" s="33">
        <f>ROUND(坦克等级成长!$F121*VLOOKUP($EP$2,坦克等级成长!$B$36:$G$42,MATCH(FE$3,坦克等级成长!$B$35:$G$35,0)),0)</f>
        <v>149</v>
      </c>
      <c r="FF24" s="192">
        <v>4</v>
      </c>
      <c r="FG24" s="33">
        <f>ROUND(坦克等级成长!$H121*VLOOKUP($EP$2,坦克等级成长!$B$36:$G$42,MATCH(FG$3,坦克等级成长!$B$35:$G$35,0)),0)</f>
        <v>1520</v>
      </c>
      <c r="FH24" s="33">
        <f>ROUND(坦克等级成长!$H121*VLOOKUP($EP$2,坦克等级成长!$B$36:$G$42,MATCH(FH$3,坦克等级成长!$B$35:$G$35,0)),0)</f>
        <v>157</v>
      </c>
      <c r="FI24" s="33">
        <f>ROUND(坦克等级成长!$H121*VLOOKUP($EP$2,坦克等级成长!$B$36:$G$42,MATCH(FI$3,坦克等级成长!$B$35:$G$35,0)),0)</f>
        <v>578</v>
      </c>
      <c r="FJ24" s="33">
        <f t="shared" si="27"/>
        <v>578</v>
      </c>
      <c r="FK24" s="33">
        <v>454</v>
      </c>
      <c r="FL24" s="33">
        <f>ROUND(坦克等级成长!$H121*VLOOKUP($EP$2,坦克等级成长!$B$36:$G$42,MATCH(FL$3,坦克等级成长!$B$35:$G$35,0)),0)</f>
        <v>634</v>
      </c>
      <c r="FM24" s="33">
        <f>ROUND(坦克等级成长!$H121*VLOOKUP($EP$2,坦克等级成长!$B$36:$G$42,MATCH(FM$3,坦克等级成长!$B$35:$G$35,0)),0)</f>
        <v>152</v>
      </c>
    </row>
    <row r="25" spans="1:169" ht="14.25" x14ac:dyDescent="0.3">
      <c r="A25" s="189">
        <v>3</v>
      </c>
      <c r="B25" s="192">
        <v>5</v>
      </c>
      <c r="C25" s="33">
        <f>ROUND(坦克等级成长!$D122*VLOOKUP($B$2,坦克等级成长!$B$36:$G$42,MATCH(C$3,坦克等级成长!$B$35:$G$35,0)),0)</f>
        <v>1432</v>
      </c>
      <c r="D25" s="33">
        <f>ROUND(坦克等级成长!$D122*VLOOKUP($B$2,坦克等级成长!$B$36:$G$42,MATCH(D$3,坦克等级成长!$B$35:$G$35,0)),0)</f>
        <v>143</v>
      </c>
      <c r="E25" s="33">
        <f>ROUND(坦克等级成长!$D122*VLOOKUP($B$2,坦克等级成长!$B$36:$G$42,MATCH(E$3,坦克等级成长!$B$35:$G$35,0)),0)</f>
        <v>537</v>
      </c>
      <c r="F25" s="33">
        <f t="shared" si="14"/>
        <v>537</v>
      </c>
      <c r="G25" s="33">
        <v>394.8</v>
      </c>
      <c r="H25" s="33">
        <f>ROUND(坦克等级成长!$D122*VLOOKUP($B$2,坦克等级成长!$B$36:$G$42,MATCH(H$3,坦克等级成长!$B$35:$G$35,0)),0)</f>
        <v>537</v>
      </c>
      <c r="I25" s="33">
        <f>ROUND(坦克等级成长!$D122*VLOOKUP($B$2,坦克等级成长!$B$36:$G$42,MATCH(I$3,坦克等级成长!$B$35:$G$35,0)),0)</f>
        <v>143</v>
      </c>
      <c r="J25" s="199">
        <v>5</v>
      </c>
      <c r="K25" s="33">
        <f>ROUND(坦克等级成长!$F122*VLOOKUP($B$2,坦克等级成长!$B$36:$G$42,MATCH(K$3,坦克等级成长!$B$35:$G$35,0)),0)</f>
        <v>1456</v>
      </c>
      <c r="L25" s="33">
        <f>ROUND(坦克等级成长!$F122*VLOOKUP($B$2,坦克等级成长!$B$36:$G$42,MATCH(L$3,坦克等级成长!$B$35:$G$35,0)),0)</f>
        <v>145</v>
      </c>
      <c r="M25" s="33">
        <f>ROUND(坦克等级成长!$F122*VLOOKUP($B$2,坦克等级成长!$B$36:$G$42,MATCH(M$3,坦克等级成长!$B$35:$G$35,0)),0)</f>
        <v>546</v>
      </c>
      <c r="N25" s="33">
        <f t="shared" si="7"/>
        <v>546</v>
      </c>
      <c r="O25" s="33">
        <v>407</v>
      </c>
      <c r="P25" s="33">
        <f>ROUND(坦克等级成长!$F122*VLOOKUP($B$2,坦克等级成长!$B$36:$G$42,MATCH(P$3,坦克等级成长!$B$35:$G$35,0)),0)</f>
        <v>546</v>
      </c>
      <c r="Q25" s="33">
        <f>ROUND(坦克等级成长!$F122*VLOOKUP($B$2,坦克等级成长!$B$36:$G$42,MATCH(Q$3,坦克等级成长!$B$35:$G$35,0)),0)</f>
        <v>146</v>
      </c>
      <c r="R25" s="192">
        <v>5</v>
      </c>
      <c r="S25" s="33">
        <f>ROUND(坦克等级成长!$H122*VLOOKUP($B$2,坦克等级成长!$B$36:$G$42,MATCH(S$3,坦克等级成长!$B$35:$G$35,0)),0)</f>
        <v>1480</v>
      </c>
      <c r="T25" s="33">
        <f>ROUND(坦克等级成长!$H122*VLOOKUP($B$2,坦克等级成长!$B$36:$G$42,MATCH(T$3,坦克等级成长!$B$35:$G$35,0)),0)</f>
        <v>147</v>
      </c>
      <c r="U25" s="33">
        <f>ROUND(坦克等级成长!$H122*VLOOKUP($B$2,坦克等级成长!$B$36:$G$42,MATCH(U$3,坦克等级成长!$B$35:$G$35,0)),0)</f>
        <v>555</v>
      </c>
      <c r="V25" s="33">
        <f t="shared" si="21"/>
        <v>555</v>
      </c>
      <c r="W25" s="33">
        <v>407</v>
      </c>
      <c r="X25" s="33">
        <f>ROUND(坦克等级成长!$H122*VLOOKUP($B$2,坦克等级成长!$B$36:$G$42,MATCH(X$3,坦克等级成长!$B$35:$G$35,0)),0)</f>
        <v>555</v>
      </c>
      <c r="Y25" s="33">
        <f>ROUND(坦克等级成长!$H122*VLOOKUP($B$2,坦克等级成长!$B$36:$G$42,MATCH(Y$3,坦克等级成长!$B$35:$G$35,0)),0)</f>
        <v>148</v>
      </c>
      <c r="Z25" s="192">
        <v>5</v>
      </c>
      <c r="AA25" s="33">
        <f>ROUND(坦克等级成长!$D122*VLOOKUP($Z$2,坦克等级成长!$B$36:$G$42,MATCH(AA$3,坦克等级成长!$B$35:$G$35,0)),0)</f>
        <v>1432</v>
      </c>
      <c r="AB25" s="33">
        <f>ROUND(坦克等级成长!$D122*VLOOKUP($Z$2,坦克等级成长!$B$36:$G$42,MATCH(AB$3,坦克等级成长!$B$35:$G$35,0)),0)</f>
        <v>76</v>
      </c>
      <c r="AC25" s="33">
        <f>ROUND(坦克等级成长!$D122*VLOOKUP($Z$2,坦克等级成长!$B$36:$G$42,MATCH(AC$3,坦克等级成长!$B$35:$G$35,0)),0)</f>
        <v>588</v>
      </c>
      <c r="AD25" s="33">
        <f t="shared" si="15"/>
        <v>588</v>
      </c>
      <c r="AE25" s="33">
        <v>432.6</v>
      </c>
      <c r="AF25" s="33">
        <f>ROUND(坦克等级成长!$D122*VLOOKUP($Z$2,坦克等级成长!$B$36:$G$42,MATCH(AF$3,坦克等级成长!$B$35:$G$35,0)),0)</f>
        <v>537</v>
      </c>
      <c r="AG25" s="33">
        <f>ROUND(坦克等级成长!$D122*VLOOKUP($Z$2,坦克等级成长!$B$36:$G$42,MATCH(AG$3,坦克等级成长!$B$35:$G$35,0)),0)</f>
        <v>143</v>
      </c>
      <c r="AH25" s="199">
        <v>5</v>
      </c>
      <c r="AI25" s="33">
        <f>ROUND(坦克等级成长!$F122*VLOOKUP($Z$2,坦克等级成长!$B$36:$G$42,MATCH(AI$3,坦克等级成长!$B$35:$G$35,0)),0)</f>
        <v>1456</v>
      </c>
      <c r="AJ25" s="33">
        <f>ROUND(坦克等级成长!$F122*VLOOKUP($Z$2,坦克等级成长!$B$36:$G$42,MATCH(AJ$3,坦克等级成长!$B$35:$G$35,0)),0)</f>
        <v>77</v>
      </c>
      <c r="AK25" s="33">
        <f>ROUND(坦克等级成长!$F122*VLOOKUP($Z$2,坦克等级成长!$B$36:$G$42,MATCH(AK$3,坦克等级成长!$B$35:$G$35,0)),0)</f>
        <v>598</v>
      </c>
      <c r="AL25" s="33">
        <f t="shared" si="8"/>
        <v>598</v>
      </c>
      <c r="AM25" s="33">
        <v>446</v>
      </c>
      <c r="AN25" s="33">
        <f>ROUND(坦克等级成长!$F122*VLOOKUP($Z$2,坦克等级成长!$B$36:$G$42,MATCH(AN$3,坦克等级成长!$B$35:$G$35,0)),0)</f>
        <v>546</v>
      </c>
      <c r="AO25" s="33">
        <f>ROUND(坦克等级成长!$F122*VLOOKUP($Z$2,坦克等级成长!$B$36:$G$42,MATCH(AO$3,坦克等级成长!$B$35:$G$35,0)),0)</f>
        <v>146</v>
      </c>
      <c r="AP25" s="192">
        <v>5</v>
      </c>
      <c r="AQ25" s="33">
        <f>ROUND(坦克等级成长!$H122*VLOOKUP($Z$2,坦克等级成长!$B$36:$G$42,MATCH(AQ$3,坦克等级成长!$B$35:$G$35,0)),0)</f>
        <v>1480</v>
      </c>
      <c r="AR25" s="33">
        <f>ROUND(坦克等级成长!$H122*VLOOKUP($Z$2,坦克等级成长!$B$36:$G$42,MATCH(AR$3,坦克等级成长!$B$35:$G$35,0)),0)</f>
        <v>79</v>
      </c>
      <c r="AS25" s="33">
        <f>ROUND(坦克等级成长!$H122*VLOOKUP($Z$2,坦克等级成长!$B$36:$G$42,MATCH(AS$3,坦克等级成长!$B$35:$G$35,0)),0)</f>
        <v>608</v>
      </c>
      <c r="AT25" s="33">
        <f t="shared" si="22"/>
        <v>608</v>
      </c>
      <c r="AU25" s="33">
        <v>446</v>
      </c>
      <c r="AV25" s="33">
        <f>ROUND(坦克等级成长!$H122*VLOOKUP($Z$2,坦克等级成长!$B$36:$G$42,MATCH(AV$3,坦克等级成长!$B$35:$G$35,0)),0)</f>
        <v>555</v>
      </c>
      <c r="AW25" s="33">
        <f>ROUND(坦克等级成长!$H122*VLOOKUP($Z$2,坦克等级成长!$B$36:$G$42,MATCH(AW$3,坦克等级成长!$B$35:$G$35,0)),0)</f>
        <v>148</v>
      </c>
      <c r="AX25" s="192">
        <v>5</v>
      </c>
      <c r="AY25" s="33">
        <f>ROUND(坦克等级成长!$D122*VLOOKUP($AX$2,坦克等级成长!$B$36:$G$42,MATCH(AY$3,坦克等级成长!$B$35:$G$35,0)),0)</f>
        <v>1432</v>
      </c>
      <c r="AZ25" s="33">
        <f>ROUND(坦克等级成长!$D122*VLOOKUP($AX$2,坦克等级成长!$B$36:$G$42,MATCH(AZ$3,坦克等级成长!$B$35:$G$35,0)),0)</f>
        <v>143</v>
      </c>
      <c r="BA25" s="33">
        <f>ROUND(坦克等级成长!$D122*VLOOKUP($AX$2,坦克等级成长!$B$36:$G$42,MATCH(BA$3,坦克等级成长!$B$35:$G$35,0)),0)</f>
        <v>537</v>
      </c>
      <c r="BB25" s="33">
        <f t="shared" si="16"/>
        <v>537</v>
      </c>
      <c r="BC25" s="33">
        <v>394.8</v>
      </c>
      <c r="BD25" s="33">
        <f>ROUND(坦克等级成长!$D122*VLOOKUP($AX$2,坦克等级成长!$B$36:$G$42,MATCH(BD$3,坦克等级成长!$B$35:$G$35,0)),0)</f>
        <v>537</v>
      </c>
      <c r="BE25" s="33">
        <f>ROUND(坦克等级成长!$D122*VLOOKUP($AX$2,坦克等级成长!$B$36:$G$42,MATCH(BE$3,坦克等级成长!$B$35:$G$35,0)),0)</f>
        <v>143</v>
      </c>
      <c r="BF25" s="199">
        <v>5</v>
      </c>
      <c r="BG25" s="33">
        <f>ROUND(坦克等级成长!$F122*VLOOKUP($AX$2,坦克等级成长!$B$36:$G$42,MATCH(BG$3,坦克等级成长!$B$35:$G$35,0)),0)</f>
        <v>1456</v>
      </c>
      <c r="BH25" s="33">
        <f>ROUND(坦克等级成长!$F122*VLOOKUP($AX$2,坦克等级成长!$B$36:$G$42,MATCH(BH$3,坦克等级成长!$B$35:$G$35,0)),0)</f>
        <v>145</v>
      </c>
      <c r="BI25" s="33">
        <f>ROUND(坦克等级成长!$F122*VLOOKUP($AX$2,坦克等级成长!$B$36:$G$42,MATCH(BI$3,坦克等级成长!$B$35:$G$35,0)),0)</f>
        <v>546</v>
      </c>
      <c r="BJ25" s="33">
        <f t="shared" si="9"/>
        <v>546</v>
      </c>
      <c r="BK25" s="33">
        <v>407</v>
      </c>
      <c r="BL25" s="33">
        <f>ROUND(坦克等级成长!$F122*VLOOKUP($AX$2,坦克等级成长!$B$36:$G$42,MATCH(BL$3,坦克等级成长!$B$35:$G$35,0)),0)</f>
        <v>546</v>
      </c>
      <c r="BM25" s="33">
        <f>ROUND(坦克等级成长!$F122*VLOOKUP($AX$2,坦克等级成长!$B$36:$G$42,MATCH(BM$3,坦克等级成长!$B$35:$G$35,0)),0)</f>
        <v>146</v>
      </c>
      <c r="BN25" s="192">
        <v>5</v>
      </c>
      <c r="BO25" s="33">
        <f>ROUND(坦克等级成长!$H122*VLOOKUP($AX$2,坦克等级成长!$B$36:$G$42,MATCH(BO$3,坦克等级成长!$B$35:$G$35,0)),0)</f>
        <v>1480</v>
      </c>
      <c r="BP25" s="33">
        <f>ROUND(坦克等级成长!$H122*VLOOKUP($AX$2,坦克等级成长!$B$36:$G$42,MATCH(BP$3,坦克等级成长!$B$35:$G$35,0)),0)</f>
        <v>147</v>
      </c>
      <c r="BQ25" s="33">
        <f>ROUND(坦克等级成长!$H122*VLOOKUP($AX$2,坦克等级成长!$B$36:$G$42,MATCH(BQ$3,坦克等级成长!$B$35:$G$35,0)),0)</f>
        <v>555</v>
      </c>
      <c r="BR25" s="33">
        <f t="shared" si="23"/>
        <v>555</v>
      </c>
      <c r="BS25" s="33">
        <v>407</v>
      </c>
      <c r="BT25" s="33">
        <f>ROUND(坦克等级成长!$H122*VLOOKUP($AX$2,坦克等级成长!$B$36:$G$42,MATCH(BT$3,坦克等级成长!$B$35:$G$35,0)),0)</f>
        <v>555</v>
      </c>
      <c r="BU25" s="33">
        <f>ROUND(坦克等级成长!$H122*VLOOKUP($AX$2,坦克等级成长!$B$36:$G$42,MATCH(BU$3,坦克等级成长!$B$35:$G$35,0)),0)</f>
        <v>148</v>
      </c>
      <c r="BV25" s="192">
        <v>5</v>
      </c>
      <c r="BW25" s="33">
        <f>ROUND(坦克等级成长!$D122*VLOOKUP($BV$2,坦克等级成长!$B$36:$G$42,MATCH(BW$3,坦克等级成长!$B$35:$G$35,0)),0)</f>
        <v>1546</v>
      </c>
      <c r="BX25" s="33">
        <f>ROUND(坦克等级成长!$D122*VLOOKUP($BV$2,坦克等级成长!$B$36:$G$42,MATCH(BX$3,坦克等级成长!$B$35:$G$35,0)),0)</f>
        <v>133</v>
      </c>
      <c r="BY25" s="33">
        <f>ROUND(坦克等级成长!$D122*VLOOKUP($BV$2,坦克等级成长!$B$36:$G$42,MATCH(BY$3,坦克等级成长!$B$35:$G$35,0)),0)</f>
        <v>511</v>
      </c>
      <c r="BZ25" s="33">
        <f t="shared" si="17"/>
        <v>511</v>
      </c>
      <c r="CA25" s="33">
        <v>402.75</v>
      </c>
      <c r="CB25" s="33">
        <f>ROUND(坦克等级成长!$D122*VLOOKUP($BV$2,坦克等级成长!$B$36:$G$42,MATCH(CB$3,坦克等级成长!$B$35:$G$35,0)),0)</f>
        <v>644</v>
      </c>
      <c r="CC25" s="33">
        <f>ROUND(坦克等级成长!$D122*VLOOKUP($BV$2,坦克等级成长!$B$36:$G$42,MATCH(CC$3,坦克等级成长!$B$35:$G$35,0)),0)</f>
        <v>155</v>
      </c>
      <c r="CD25" s="199">
        <v>5</v>
      </c>
      <c r="CE25" s="33">
        <f>ROUND(坦克等级成长!$F122*VLOOKUP($BV$2,坦克等级成长!$B$36:$G$42,MATCH(CE$3,坦克等级成长!$B$35:$G$35,0)),0)</f>
        <v>1572</v>
      </c>
      <c r="CF25" s="33">
        <f>ROUND(坦克等级成长!$F122*VLOOKUP($BV$2,坦克等级成长!$B$36:$G$42,MATCH(CF$3,坦克等级成长!$B$35:$G$35,0)),0)</f>
        <v>135</v>
      </c>
      <c r="CG25" s="33">
        <f>ROUND(坦克等级成长!$F122*VLOOKUP($BV$2,坦克等级成长!$B$36:$G$42,MATCH(CG$3,坦克等级成长!$B$35:$G$35,0)),0)</f>
        <v>520</v>
      </c>
      <c r="CH25" s="33">
        <f t="shared" si="10"/>
        <v>520</v>
      </c>
      <c r="CI25" s="33">
        <v>416</v>
      </c>
      <c r="CJ25" s="33">
        <f>ROUND(坦克等级成长!$F122*VLOOKUP($BV$2,坦克等级成长!$B$36:$G$42,MATCH(CJ$3,坦克等级成长!$B$35:$G$35,0)),0)</f>
        <v>655</v>
      </c>
      <c r="CK25" s="33">
        <f>ROUND(坦克等级成长!$F122*VLOOKUP($BV$2,坦克等级成长!$B$36:$G$42,MATCH(CK$3,坦克等级成长!$B$35:$G$35,0)),0)</f>
        <v>157</v>
      </c>
      <c r="CL25" s="192">
        <v>5</v>
      </c>
      <c r="CM25" s="33">
        <f>ROUND(坦克等级成长!$H122*VLOOKUP($BV$2,坦克等级成长!$B$36:$G$42,MATCH(CM$3,坦克等级成长!$B$35:$G$35,0)),0)</f>
        <v>1597</v>
      </c>
      <c r="CN25" s="33">
        <f>ROUND(坦克等级成长!$H122*VLOOKUP($BV$2,坦克等级成长!$B$36:$G$42,MATCH(CN$3,坦克等级成长!$B$35:$G$35,0)),0)</f>
        <v>137</v>
      </c>
      <c r="CO25" s="33">
        <f>ROUND(坦克等级成长!$H122*VLOOKUP($BV$2,坦克等级成长!$B$36:$G$42,MATCH(CO$3,坦克等级成长!$B$35:$G$35,0)),0)</f>
        <v>529</v>
      </c>
      <c r="CP25" s="33">
        <f t="shared" si="24"/>
        <v>529</v>
      </c>
      <c r="CQ25" s="33">
        <v>416</v>
      </c>
      <c r="CR25" s="33">
        <f>ROUND(坦克等级成长!$H122*VLOOKUP($BV$2,坦克等级成长!$B$36:$G$42,MATCH(CR$3,坦克等级成长!$B$35:$G$35,0)),0)</f>
        <v>666</v>
      </c>
      <c r="CS25" s="33">
        <f>ROUND(坦克等级成长!$H122*VLOOKUP($BV$2,坦克等级成长!$B$36:$G$42,MATCH(CS$3,坦克等级成长!$B$35:$G$35,0)),0)</f>
        <v>160</v>
      </c>
      <c r="CT25" s="192">
        <v>5</v>
      </c>
      <c r="CU25" s="33">
        <f>ROUND(坦克等级成长!$D122*VLOOKUP($CT$2,坦克等级成长!$B$36:$G$42,MATCH(CU$3,坦克等级成长!$B$35:$G$35,0)),0)</f>
        <v>1432</v>
      </c>
      <c r="CV25" s="33">
        <f>ROUND(坦克等级成长!$D122*VLOOKUP($CT$2,坦克等级成长!$B$36:$G$42,MATCH(CV$3,坦克等级成长!$B$35:$G$35,0)),0)</f>
        <v>288</v>
      </c>
      <c r="CW25" s="33">
        <f>ROUND(坦克等级成长!$D122*VLOOKUP($CT$2,坦克等级成长!$B$36:$G$42,MATCH(CW$3,坦克等级成长!$B$35:$G$35,0)),0)</f>
        <v>639</v>
      </c>
      <c r="CX25" s="33">
        <f t="shared" si="18"/>
        <v>639</v>
      </c>
      <c r="CY25" s="33">
        <v>503.25</v>
      </c>
      <c r="CZ25" s="33">
        <f>ROUND(坦克等级成长!$D122*VLOOKUP($CT$2,坦克等级成长!$B$36:$G$42,MATCH(CZ$3,坦克等级成长!$B$35:$G$35,0)),0)</f>
        <v>537</v>
      </c>
      <c r="DA25" s="33">
        <f>ROUND(坦克等级成长!$D122*VLOOKUP($CT$2,坦克等级成长!$B$36:$G$42,MATCH(DA$3,坦克等级成长!$B$35:$G$35,0)),0)</f>
        <v>143</v>
      </c>
      <c r="DB25" s="199">
        <v>5</v>
      </c>
      <c r="DC25" s="33">
        <f>ROUND(坦克等级成长!$F122*VLOOKUP($CT$2,坦克等级成长!$B$36:$G$42,MATCH(DC$3,坦克等级成长!$B$35:$G$35,0)),0)</f>
        <v>1456</v>
      </c>
      <c r="DD25" s="33">
        <f>ROUND(坦克等级成长!$F122*VLOOKUP($CT$2,坦克等级成长!$B$36:$G$42,MATCH(DD$3,坦克等级成长!$B$35:$G$35,0)),0)</f>
        <v>293</v>
      </c>
      <c r="DE25" s="33">
        <f>ROUND(坦克等级成长!$F122*VLOOKUP($CT$2,坦克等级成长!$B$36:$G$42,MATCH(DE$3,坦克等级成长!$B$35:$G$35,0)),0)</f>
        <v>650</v>
      </c>
      <c r="DF25" s="33">
        <f t="shared" si="11"/>
        <v>650</v>
      </c>
      <c r="DG25" s="33">
        <v>520</v>
      </c>
      <c r="DH25" s="33">
        <f>ROUND(坦克等级成长!$F122*VLOOKUP($CT$2,坦克等级成长!$B$36:$G$42,MATCH(DH$3,坦克等级成长!$B$35:$G$35,0)),0)</f>
        <v>546</v>
      </c>
      <c r="DI25" s="33">
        <f>ROUND(坦克等级成长!$F122*VLOOKUP($CT$2,坦克等级成长!$B$36:$G$42,MATCH(DI$3,坦克等级成长!$B$35:$G$35,0)),0)</f>
        <v>146</v>
      </c>
      <c r="DJ25" s="192">
        <v>5</v>
      </c>
      <c r="DK25" s="33">
        <f>ROUND(坦克等级成长!$H122*VLOOKUP($CT$2,坦克等级成长!$B$36:$G$42,MATCH(DK$3,坦克等级成长!$B$35:$G$35,0)),0)</f>
        <v>1480</v>
      </c>
      <c r="DL25" s="33">
        <f>ROUND(坦克等级成长!$H122*VLOOKUP($CT$2,坦克等级成长!$B$36:$G$42,MATCH(DL$3,坦克等级成长!$B$35:$G$35,0)),0)</f>
        <v>298</v>
      </c>
      <c r="DM25" s="33">
        <f>ROUND(坦克等级成长!$H122*VLOOKUP($CT$2,坦克等级成长!$B$36:$G$42,MATCH(DM$3,坦克等级成长!$B$35:$G$35,0)),0)</f>
        <v>661</v>
      </c>
      <c r="DN25" s="33">
        <f t="shared" si="25"/>
        <v>661</v>
      </c>
      <c r="DO25" s="33">
        <v>520</v>
      </c>
      <c r="DP25" s="33">
        <f>ROUND(坦克等级成长!$H122*VLOOKUP($CT$2,坦克等级成长!$B$36:$G$42,MATCH(DP$3,坦克等级成长!$B$35:$G$35,0)),0)</f>
        <v>555</v>
      </c>
      <c r="DQ25" s="33">
        <f>ROUND(坦克等级成长!$H122*VLOOKUP($CT$2,坦克等级成长!$B$36:$G$42,MATCH(DQ$3,坦克等级成长!$B$35:$G$35,0)),0)</f>
        <v>148</v>
      </c>
      <c r="DR25" s="192">
        <v>5</v>
      </c>
      <c r="DS25" s="33">
        <f>ROUND(坦克等级成长!$D122*VLOOKUP($DR$2,坦克等级成长!$B$36:$G$42,MATCH(DS$3,坦克等级成长!$B$35:$G$35,0)),0)</f>
        <v>1752</v>
      </c>
      <c r="DT25" s="33">
        <f>ROUND(坦克等级成长!$D122*VLOOKUP($DR$2,坦克等级成长!$B$36:$G$42,MATCH(DT$3,坦克等级成长!$B$35:$G$35,0)),0)</f>
        <v>480</v>
      </c>
      <c r="DU25" s="33">
        <f>ROUND(坦克等级成长!$D122*VLOOKUP($DR$2,坦克等级成长!$B$36:$G$42,MATCH(DU$3,坦克等级成长!$B$35:$G$35,0)),0)</f>
        <v>511</v>
      </c>
      <c r="DV25" s="33">
        <f t="shared" si="19"/>
        <v>511</v>
      </c>
      <c r="DW25" s="33">
        <v>429.6</v>
      </c>
      <c r="DX25" s="33">
        <f>ROUND(坦克等级成长!$D122*VLOOKUP($DR$2,坦克等级成长!$B$36:$G$42,MATCH(DX$3,坦克等级成长!$B$35:$G$35,0)),0)</f>
        <v>752</v>
      </c>
      <c r="DY25" s="33">
        <f>ROUND(坦克等级成长!$D122*VLOOKUP($DR$2,坦克等级成长!$B$36:$G$42,MATCH(DY$3,坦克等级成长!$B$35:$G$35,0)),0)</f>
        <v>175</v>
      </c>
      <c r="DZ25" s="199">
        <v>5</v>
      </c>
      <c r="EA25" s="33">
        <f>ROUND(坦克等级成长!$F122*VLOOKUP($DR$2,坦克等级成长!$B$36:$G$42,MATCH(EA$3,坦克等级成长!$B$35:$G$35,0)),0)</f>
        <v>1781</v>
      </c>
      <c r="EB25" s="33">
        <f>ROUND(坦克等级成长!$F122*VLOOKUP($DR$2,坦克等级成长!$B$36:$G$42,MATCH(EB$3,坦克等级成长!$B$35:$G$35,0)),0)</f>
        <v>488</v>
      </c>
      <c r="EC25" s="33">
        <f>ROUND(坦克等级成长!$F122*VLOOKUP($DR$2,坦克等级成长!$B$36:$G$42,MATCH(EC$3,坦克等级成长!$B$35:$G$35,0)),0)</f>
        <v>520</v>
      </c>
      <c r="ED25" s="33">
        <f t="shared" si="12"/>
        <v>520</v>
      </c>
      <c r="EE25" s="33">
        <v>443</v>
      </c>
      <c r="EF25" s="33">
        <f>ROUND(坦克等级成长!$F122*VLOOKUP($DR$2,坦克等级成长!$B$36:$G$42,MATCH(EF$3,坦克等级成长!$B$35:$G$35,0)),0)</f>
        <v>764</v>
      </c>
      <c r="EG25" s="33">
        <f>ROUND(坦克等级成长!$F122*VLOOKUP($DR$2,坦克等级成长!$B$36:$G$42,MATCH(EG$3,坦克等级成长!$B$35:$G$35,0)),0)</f>
        <v>178</v>
      </c>
      <c r="EH25" s="192">
        <v>5</v>
      </c>
      <c r="EI25" s="33">
        <f>ROUND(坦克等级成长!$H122*VLOOKUP($DR$2,坦克等级成长!$B$36:$G$42,MATCH(EI$3,坦克等级成长!$B$35:$G$35,0)),0)</f>
        <v>1810</v>
      </c>
      <c r="EJ25" s="33">
        <f>ROUND(坦克等级成长!$H122*VLOOKUP($DR$2,坦克等级成长!$B$36:$G$42,MATCH(EJ$3,坦克等级成长!$B$35:$G$35,0)),0)</f>
        <v>496</v>
      </c>
      <c r="EK25" s="33">
        <f>ROUND(坦克等级成长!$H122*VLOOKUP($DR$2,坦克等级成长!$B$36:$G$42,MATCH(EK$3,坦克等级成长!$B$35:$G$35,0)),0)</f>
        <v>529</v>
      </c>
      <c r="EL25" s="33">
        <f t="shared" si="26"/>
        <v>529</v>
      </c>
      <c r="EM25" s="33">
        <v>443</v>
      </c>
      <c r="EN25" s="33">
        <f>ROUND(坦克等级成长!$H122*VLOOKUP($DR$2,坦克等级成长!$B$36:$G$42,MATCH(EN$3,坦克等级成长!$B$35:$G$35,0)),0)</f>
        <v>777</v>
      </c>
      <c r="EO25" s="33">
        <f>ROUND(坦克等级成长!$H122*VLOOKUP($DR$2,坦克等级成长!$B$36:$G$42,MATCH(EO$3,坦克等级成长!$B$35:$G$35,0)),0)</f>
        <v>181</v>
      </c>
      <c r="EP25" s="192">
        <v>5</v>
      </c>
      <c r="EQ25" s="33">
        <f>ROUND(坦克等级成长!$D122*VLOOKUP($EP$2,坦克等级成长!$B$36:$G$42,MATCH(EQ$3,坦克等级成长!$B$35:$G$35,0)),0)</f>
        <v>1546</v>
      </c>
      <c r="ER25" s="33">
        <f>ROUND(坦克等级成长!$D122*VLOOKUP($EP$2,坦克等级成长!$B$36:$G$42,MATCH(ER$3,坦克等级成长!$B$35:$G$35,0)),0)</f>
        <v>159</v>
      </c>
      <c r="ES25" s="33">
        <f>ROUND(坦克等级成长!$D122*VLOOKUP($EP$2,坦克等级成长!$B$36:$G$42,MATCH(ES$3,坦克等级成长!$B$35:$G$35,0)),0)</f>
        <v>588</v>
      </c>
      <c r="ET25" s="33">
        <f t="shared" si="20"/>
        <v>588</v>
      </c>
      <c r="EU25" s="33">
        <v>463.5</v>
      </c>
      <c r="EV25" s="33">
        <f>ROUND(坦克等级成长!$D122*VLOOKUP($EP$2,坦克等级成长!$B$36:$G$42,MATCH(EV$3,坦克等级成长!$B$35:$G$35,0)),0)</f>
        <v>644</v>
      </c>
      <c r="EW25" s="33">
        <f>ROUND(坦克等级成长!$D122*VLOOKUP($EP$2,坦克等级成长!$B$36:$G$42,MATCH(EW$3,坦克等级成长!$B$35:$G$35,0)),0)</f>
        <v>155</v>
      </c>
      <c r="EX25" s="199">
        <v>5</v>
      </c>
      <c r="EY25" s="33">
        <f>ROUND(坦克等级成长!$F122*VLOOKUP($EP$2,坦克等级成长!$B$36:$G$42,MATCH(EY$3,坦克等级成长!$B$35:$G$35,0)),0)</f>
        <v>1572</v>
      </c>
      <c r="EZ25" s="33">
        <f>ROUND(坦克等级成长!$F122*VLOOKUP($EP$2,坦克等级成长!$B$36:$G$42,MATCH(EZ$3,坦克等级成长!$B$35:$G$35,0)),0)</f>
        <v>162</v>
      </c>
      <c r="FA25" s="33">
        <f>ROUND(坦克等级成长!$F122*VLOOKUP($EP$2,坦克等级成长!$B$36:$G$42,MATCH(FA$3,坦克等级成长!$B$35:$G$35,0)),0)</f>
        <v>598</v>
      </c>
      <c r="FB25" s="33">
        <f t="shared" si="13"/>
        <v>598</v>
      </c>
      <c r="FC25" s="33">
        <v>478</v>
      </c>
      <c r="FD25" s="33">
        <f>ROUND(坦克等级成长!$F122*VLOOKUP($EP$2,坦克等级成长!$B$36:$G$42,MATCH(FD$3,坦克等级成长!$B$35:$G$35,0)),0)</f>
        <v>655</v>
      </c>
      <c r="FE25" s="33">
        <f>ROUND(坦克等级成长!$F122*VLOOKUP($EP$2,坦克等级成长!$B$36:$G$42,MATCH(FE$3,坦克等级成长!$B$35:$G$35,0)),0)</f>
        <v>157</v>
      </c>
      <c r="FF25" s="192">
        <v>5</v>
      </c>
      <c r="FG25" s="33">
        <f>ROUND(坦克等级成长!$H122*VLOOKUP($EP$2,坦克等级成长!$B$36:$G$42,MATCH(FG$3,坦克等级成长!$B$35:$G$35,0)),0)</f>
        <v>1597</v>
      </c>
      <c r="FH25" s="33">
        <f>ROUND(坦克等级成长!$H122*VLOOKUP($EP$2,坦克等级成长!$B$36:$G$42,MATCH(FH$3,坦克等级成长!$B$35:$G$35,0)),0)</f>
        <v>165</v>
      </c>
      <c r="FI25" s="33">
        <f>ROUND(坦克等级成长!$H122*VLOOKUP($EP$2,坦克等级成长!$B$36:$G$42,MATCH(FI$3,坦克等级成长!$B$35:$G$35,0)),0)</f>
        <v>608</v>
      </c>
      <c r="FJ25" s="33">
        <f t="shared" si="27"/>
        <v>608</v>
      </c>
      <c r="FK25" s="33">
        <v>478</v>
      </c>
      <c r="FL25" s="33">
        <f>ROUND(坦克等级成长!$H122*VLOOKUP($EP$2,坦克等级成长!$B$36:$G$42,MATCH(FL$3,坦克等级成长!$B$35:$G$35,0)),0)</f>
        <v>666</v>
      </c>
      <c r="FM25" s="33">
        <f>ROUND(坦克等级成长!$H122*VLOOKUP($EP$2,坦克等级成长!$B$36:$G$42,MATCH(FM$3,坦克等级成长!$B$35:$G$35,0)),0)</f>
        <v>160</v>
      </c>
    </row>
    <row r="26" spans="1:169" ht="14.25" x14ac:dyDescent="0.3">
      <c r="A26" s="189">
        <v>3</v>
      </c>
      <c r="B26" s="192">
        <v>6</v>
      </c>
      <c r="C26" s="33">
        <f>ROUND(坦克等级成长!$D123*VLOOKUP($B$2,坦克等级成长!$B$36:$G$42,MATCH(C$3,坦克等级成长!$B$35:$G$35,0)),0)</f>
        <v>1504</v>
      </c>
      <c r="D26" s="33">
        <f>ROUND(坦克等级成长!$D123*VLOOKUP($B$2,坦克等级成长!$B$36:$G$42,MATCH(D$3,坦克等级成长!$B$35:$G$35,0)),0)</f>
        <v>150</v>
      </c>
      <c r="E26" s="33">
        <f>ROUND(坦克等级成长!$D123*VLOOKUP($B$2,坦克等级成长!$B$36:$G$42,MATCH(E$3,坦克等级成长!$B$35:$G$35,0)),0)</f>
        <v>564</v>
      </c>
      <c r="F26" s="33">
        <f t="shared" si="14"/>
        <v>564</v>
      </c>
      <c r="G26" s="33">
        <v>415.8</v>
      </c>
      <c r="H26" s="33">
        <f>ROUND(坦克等级成长!$D123*VLOOKUP($B$2,坦克等级成长!$B$36:$G$42,MATCH(H$3,坦克等级成长!$B$35:$G$35,0)),0)</f>
        <v>564</v>
      </c>
      <c r="I26" s="33">
        <f>ROUND(坦克等级成长!$D123*VLOOKUP($B$2,坦克等级成长!$B$36:$G$42,MATCH(I$3,坦克等级成长!$B$35:$G$35,0)),0)</f>
        <v>150</v>
      </c>
      <c r="J26" s="199">
        <v>6</v>
      </c>
      <c r="K26" s="33">
        <f>ROUND(坦克等级成长!$F123*VLOOKUP($B$2,坦克等级成长!$B$36:$G$42,MATCH(K$3,坦克等级成长!$B$35:$G$35,0)),0)</f>
        <v>1528</v>
      </c>
      <c r="L26" s="33">
        <f>ROUND(坦克等级成长!$F123*VLOOKUP($B$2,坦克等级成长!$B$36:$G$42,MATCH(L$3,坦克等级成长!$B$35:$G$35,0)),0)</f>
        <v>152</v>
      </c>
      <c r="M26" s="33">
        <f>ROUND(坦克等级成长!$F123*VLOOKUP($B$2,坦克等级成长!$B$36:$G$42,MATCH(M$3,坦克等级成长!$B$35:$G$35,0)),0)</f>
        <v>573</v>
      </c>
      <c r="N26" s="33">
        <f t="shared" si="7"/>
        <v>573</v>
      </c>
      <c r="O26" s="33">
        <v>428</v>
      </c>
      <c r="P26" s="33">
        <f>ROUND(坦克等级成长!$F123*VLOOKUP($B$2,坦克等级成长!$B$36:$G$42,MATCH(P$3,坦克等级成长!$B$35:$G$35,0)),0)</f>
        <v>573</v>
      </c>
      <c r="Q26" s="33">
        <f>ROUND(坦克等级成长!$F123*VLOOKUP($B$2,坦克等级成长!$B$36:$G$42,MATCH(Q$3,坦克等级成长!$B$35:$G$35,0)),0)</f>
        <v>153</v>
      </c>
      <c r="R26" s="192">
        <v>6</v>
      </c>
      <c r="S26" s="33">
        <f>ROUND(坦克等级成长!$H123*VLOOKUP($B$2,坦克等级成长!$B$36:$G$42,MATCH(S$3,坦克等级成长!$B$35:$G$35,0)),0)</f>
        <v>1552</v>
      </c>
      <c r="T26" s="33">
        <f>ROUND(坦克等级成长!$H123*VLOOKUP($B$2,坦克等级成长!$B$36:$G$42,MATCH(T$3,坦克等级成长!$B$35:$G$35,0)),0)</f>
        <v>155</v>
      </c>
      <c r="U26" s="33">
        <f>ROUND(坦克等级成长!$H123*VLOOKUP($B$2,坦克等级成长!$B$36:$G$42,MATCH(U$3,坦克等级成长!$B$35:$G$35,0)),0)</f>
        <v>582</v>
      </c>
      <c r="V26" s="33">
        <f t="shared" si="21"/>
        <v>582</v>
      </c>
      <c r="W26" s="33">
        <v>428</v>
      </c>
      <c r="X26" s="33">
        <f>ROUND(坦克等级成长!$H123*VLOOKUP($B$2,坦克等级成长!$B$36:$G$42,MATCH(X$3,坦克等级成长!$B$35:$G$35,0)),0)</f>
        <v>582</v>
      </c>
      <c r="Y26" s="33">
        <f>ROUND(坦克等级成长!$H123*VLOOKUP($B$2,坦克等级成长!$B$36:$G$42,MATCH(Y$3,坦克等级成长!$B$35:$G$35,0)),0)</f>
        <v>155</v>
      </c>
      <c r="Z26" s="192">
        <v>6</v>
      </c>
      <c r="AA26" s="33">
        <f>ROUND(坦克等级成长!$D123*VLOOKUP($Z$2,坦克等级成长!$B$36:$G$42,MATCH(AA$3,坦克等级成长!$B$35:$G$35,0)),0)</f>
        <v>1504</v>
      </c>
      <c r="AB26" s="33">
        <f>ROUND(坦克等级成长!$D123*VLOOKUP($Z$2,坦克等级成长!$B$36:$G$42,MATCH(AB$3,坦克等级成长!$B$35:$G$35,0)),0)</f>
        <v>80</v>
      </c>
      <c r="AC26" s="33">
        <f>ROUND(坦克等级成长!$D123*VLOOKUP($Z$2,坦克等级成长!$B$36:$G$42,MATCH(AC$3,坦克等级成长!$B$35:$G$35,0)),0)</f>
        <v>618</v>
      </c>
      <c r="AD26" s="33">
        <f t="shared" si="15"/>
        <v>618</v>
      </c>
      <c r="AE26" s="33">
        <v>455.7</v>
      </c>
      <c r="AF26" s="33">
        <f>ROUND(坦克等级成长!$D123*VLOOKUP($Z$2,坦克等级成长!$B$36:$G$42,MATCH(AF$3,坦克等级成长!$B$35:$G$35,0)),0)</f>
        <v>564</v>
      </c>
      <c r="AG26" s="33">
        <f>ROUND(坦克等级成长!$D123*VLOOKUP($Z$2,坦克等级成长!$B$36:$G$42,MATCH(AG$3,坦克等级成长!$B$35:$G$35,0)),0)</f>
        <v>150</v>
      </c>
      <c r="AH26" s="199">
        <v>6</v>
      </c>
      <c r="AI26" s="33">
        <f>ROUND(坦克等级成长!$F123*VLOOKUP($Z$2,坦克等级成长!$B$36:$G$42,MATCH(AI$3,坦克等级成长!$B$35:$G$35,0)),0)</f>
        <v>1528</v>
      </c>
      <c r="AJ26" s="33">
        <f>ROUND(坦克等级成长!$F123*VLOOKUP($Z$2,坦克等级成长!$B$36:$G$42,MATCH(AJ$3,坦克等级成长!$B$35:$G$35,0)),0)</f>
        <v>81</v>
      </c>
      <c r="AK26" s="33">
        <f>ROUND(坦克等级成长!$F123*VLOOKUP($Z$2,坦克等级成长!$B$36:$G$42,MATCH(AK$3,坦克等级成长!$B$35:$G$35,0)),0)</f>
        <v>628</v>
      </c>
      <c r="AL26" s="33">
        <f t="shared" si="8"/>
        <v>628</v>
      </c>
      <c r="AM26" s="33">
        <v>469</v>
      </c>
      <c r="AN26" s="33">
        <f>ROUND(坦克等级成长!$F123*VLOOKUP($Z$2,坦克等级成长!$B$36:$G$42,MATCH(AN$3,坦克等级成长!$B$35:$G$35,0)),0)</f>
        <v>573</v>
      </c>
      <c r="AO26" s="33">
        <f>ROUND(坦克等级成长!$F123*VLOOKUP($Z$2,坦克等级成长!$B$36:$G$42,MATCH(AO$3,坦克等级成长!$B$35:$G$35,0)),0)</f>
        <v>153</v>
      </c>
      <c r="AP26" s="192">
        <v>6</v>
      </c>
      <c r="AQ26" s="33">
        <f>ROUND(坦克等级成长!$H123*VLOOKUP($Z$2,坦克等级成长!$B$36:$G$42,MATCH(AQ$3,坦克等级成长!$B$35:$G$35,0)),0)</f>
        <v>1552</v>
      </c>
      <c r="AR26" s="33">
        <f>ROUND(坦克等级成长!$H123*VLOOKUP($Z$2,坦克等级成长!$B$36:$G$42,MATCH(AR$3,坦克等级成长!$B$35:$G$35,0)),0)</f>
        <v>82</v>
      </c>
      <c r="AS26" s="33">
        <f>ROUND(坦克等级成长!$H123*VLOOKUP($Z$2,坦克等级成长!$B$36:$G$42,MATCH(AS$3,坦克等级成长!$B$35:$G$35,0)),0)</f>
        <v>637</v>
      </c>
      <c r="AT26" s="33">
        <f t="shared" si="22"/>
        <v>637</v>
      </c>
      <c r="AU26" s="33">
        <v>469</v>
      </c>
      <c r="AV26" s="33">
        <f>ROUND(坦克等级成长!$H123*VLOOKUP($Z$2,坦克等级成长!$B$36:$G$42,MATCH(AV$3,坦克等级成长!$B$35:$G$35,0)),0)</f>
        <v>582</v>
      </c>
      <c r="AW26" s="33">
        <f>ROUND(坦克等级成长!$H123*VLOOKUP($Z$2,坦克等级成长!$B$36:$G$42,MATCH(AW$3,坦克等级成长!$B$35:$G$35,0)),0)</f>
        <v>155</v>
      </c>
      <c r="AX26" s="192">
        <v>6</v>
      </c>
      <c r="AY26" s="33">
        <f>ROUND(坦克等级成长!$D123*VLOOKUP($AX$2,坦克等级成长!$B$36:$G$42,MATCH(AY$3,坦克等级成长!$B$35:$G$35,0)),0)</f>
        <v>1504</v>
      </c>
      <c r="AZ26" s="33">
        <f>ROUND(坦克等级成长!$D123*VLOOKUP($AX$2,坦克等级成长!$B$36:$G$42,MATCH(AZ$3,坦克等级成长!$B$35:$G$35,0)),0)</f>
        <v>150</v>
      </c>
      <c r="BA26" s="33">
        <f>ROUND(坦克等级成长!$D123*VLOOKUP($AX$2,坦克等级成长!$B$36:$G$42,MATCH(BA$3,坦克等级成长!$B$35:$G$35,0)),0)</f>
        <v>564</v>
      </c>
      <c r="BB26" s="33">
        <f t="shared" si="16"/>
        <v>564</v>
      </c>
      <c r="BC26" s="33">
        <v>415.8</v>
      </c>
      <c r="BD26" s="33">
        <f>ROUND(坦克等级成长!$D123*VLOOKUP($AX$2,坦克等级成长!$B$36:$G$42,MATCH(BD$3,坦克等级成长!$B$35:$G$35,0)),0)</f>
        <v>564</v>
      </c>
      <c r="BE26" s="33">
        <f>ROUND(坦克等级成长!$D123*VLOOKUP($AX$2,坦克等级成长!$B$36:$G$42,MATCH(BE$3,坦克等级成长!$B$35:$G$35,0)),0)</f>
        <v>150</v>
      </c>
      <c r="BF26" s="199">
        <v>6</v>
      </c>
      <c r="BG26" s="33">
        <f>ROUND(坦克等级成长!$F123*VLOOKUP($AX$2,坦克等级成长!$B$36:$G$42,MATCH(BG$3,坦克等级成长!$B$35:$G$35,0)),0)</f>
        <v>1528</v>
      </c>
      <c r="BH26" s="33">
        <f>ROUND(坦克等级成长!$F123*VLOOKUP($AX$2,坦克等级成长!$B$36:$G$42,MATCH(BH$3,坦克等级成长!$B$35:$G$35,0)),0)</f>
        <v>152</v>
      </c>
      <c r="BI26" s="33">
        <f>ROUND(坦克等级成长!$F123*VLOOKUP($AX$2,坦克等级成长!$B$36:$G$42,MATCH(BI$3,坦克等级成长!$B$35:$G$35,0)),0)</f>
        <v>573</v>
      </c>
      <c r="BJ26" s="33">
        <f t="shared" si="9"/>
        <v>573</v>
      </c>
      <c r="BK26" s="33">
        <v>428</v>
      </c>
      <c r="BL26" s="33">
        <f>ROUND(坦克等级成长!$F123*VLOOKUP($AX$2,坦克等级成长!$B$36:$G$42,MATCH(BL$3,坦克等级成长!$B$35:$G$35,0)),0)</f>
        <v>573</v>
      </c>
      <c r="BM26" s="33">
        <f>ROUND(坦克等级成长!$F123*VLOOKUP($AX$2,坦克等级成长!$B$36:$G$42,MATCH(BM$3,坦克等级成长!$B$35:$G$35,0)),0)</f>
        <v>153</v>
      </c>
      <c r="BN26" s="192">
        <v>6</v>
      </c>
      <c r="BO26" s="33">
        <f>ROUND(坦克等级成长!$H123*VLOOKUP($AX$2,坦克等级成长!$B$36:$G$42,MATCH(BO$3,坦克等级成长!$B$35:$G$35,0)),0)</f>
        <v>1552</v>
      </c>
      <c r="BP26" s="33">
        <f>ROUND(坦克等级成长!$H123*VLOOKUP($AX$2,坦克等级成长!$B$36:$G$42,MATCH(BP$3,坦克等级成长!$B$35:$G$35,0)),0)</f>
        <v>155</v>
      </c>
      <c r="BQ26" s="33">
        <f>ROUND(坦克等级成长!$H123*VLOOKUP($AX$2,坦克等级成长!$B$36:$G$42,MATCH(BQ$3,坦克等级成长!$B$35:$G$35,0)),0)</f>
        <v>582</v>
      </c>
      <c r="BR26" s="33">
        <f t="shared" si="23"/>
        <v>582</v>
      </c>
      <c r="BS26" s="33">
        <v>428</v>
      </c>
      <c r="BT26" s="33">
        <f>ROUND(坦克等级成长!$H123*VLOOKUP($AX$2,坦克等级成长!$B$36:$G$42,MATCH(BT$3,坦克等级成长!$B$35:$G$35,0)),0)</f>
        <v>582</v>
      </c>
      <c r="BU26" s="33">
        <f>ROUND(坦克等级成长!$H123*VLOOKUP($AX$2,坦克等级成长!$B$36:$G$42,MATCH(BU$3,坦克等级成长!$B$35:$G$35,0)),0)</f>
        <v>155</v>
      </c>
      <c r="BV26" s="192">
        <v>6</v>
      </c>
      <c r="BW26" s="33">
        <f>ROUND(坦克等级成长!$D123*VLOOKUP($BV$2,坦克等级成长!$B$36:$G$42,MATCH(BW$3,坦克等级成长!$B$35:$G$35,0)),0)</f>
        <v>1623</v>
      </c>
      <c r="BX26" s="33">
        <f>ROUND(坦克等级成长!$D123*VLOOKUP($BV$2,坦克等级成长!$B$36:$G$42,MATCH(BX$3,坦克等级成长!$B$35:$G$35,0)),0)</f>
        <v>140</v>
      </c>
      <c r="BY26" s="33">
        <f>ROUND(坦克等级成长!$D123*VLOOKUP($BV$2,坦克等级成长!$B$36:$G$42,MATCH(BY$3,坦克等级成长!$B$35:$G$35,0)),0)</f>
        <v>537</v>
      </c>
      <c r="BZ26" s="33">
        <f t="shared" si="17"/>
        <v>537</v>
      </c>
      <c r="CA26" s="33">
        <v>424.5</v>
      </c>
      <c r="CB26" s="33">
        <f>ROUND(坦克等级成长!$D123*VLOOKUP($BV$2,坦克等级成长!$B$36:$G$42,MATCH(CB$3,坦克等级成长!$B$35:$G$35,0)),0)</f>
        <v>677</v>
      </c>
      <c r="CC26" s="33">
        <f>ROUND(坦克等级成长!$D123*VLOOKUP($BV$2,坦克等级成长!$B$36:$G$42,MATCH(CC$3,坦克等级成长!$B$35:$G$35,0)),0)</f>
        <v>162</v>
      </c>
      <c r="CD26" s="199">
        <v>6</v>
      </c>
      <c r="CE26" s="33">
        <f>ROUND(坦克等级成长!$F123*VLOOKUP($BV$2,坦克等级成长!$B$36:$G$42,MATCH(CE$3,坦克等级成长!$B$35:$G$35,0)),0)</f>
        <v>1649</v>
      </c>
      <c r="CF26" s="33">
        <f>ROUND(坦克等级成长!$F123*VLOOKUP($BV$2,坦克等级成长!$B$36:$G$42,MATCH(CF$3,坦克等级成长!$B$35:$G$35,0)),0)</f>
        <v>142</v>
      </c>
      <c r="CG26" s="33">
        <f>ROUND(坦克等级成长!$F123*VLOOKUP($BV$2,坦克等级成长!$B$36:$G$42,MATCH(CG$3,坦克等级成长!$B$35:$G$35,0)),0)</f>
        <v>546</v>
      </c>
      <c r="CH26" s="33">
        <f t="shared" si="10"/>
        <v>546</v>
      </c>
      <c r="CI26" s="33">
        <v>437</v>
      </c>
      <c r="CJ26" s="33">
        <f>ROUND(坦克等级成长!$F123*VLOOKUP($BV$2,坦克等级成长!$B$36:$G$42,MATCH(CJ$3,坦克等级成长!$B$35:$G$35,0)),0)</f>
        <v>688</v>
      </c>
      <c r="CK26" s="33">
        <f>ROUND(坦克等级成长!$F123*VLOOKUP($BV$2,坦克等级成长!$B$36:$G$42,MATCH(CK$3,坦克等级成长!$B$35:$G$35,0)),0)</f>
        <v>165</v>
      </c>
      <c r="CL26" s="192">
        <v>6</v>
      </c>
      <c r="CM26" s="33">
        <f>ROUND(坦克等级成长!$H123*VLOOKUP($BV$2,坦克等级成长!$B$36:$G$42,MATCH(CM$3,坦克等级成长!$B$35:$G$35,0)),0)</f>
        <v>1675</v>
      </c>
      <c r="CN26" s="33">
        <f>ROUND(坦克等级成长!$H123*VLOOKUP($BV$2,坦克等级成长!$B$36:$G$42,MATCH(CN$3,坦克等级成长!$B$35:$G$35,0)),0)</f>
        <v>144</v>
      </c>
      <c r="CO26" s="33">
        <f>ROUND(坦克等级成长!$H123*VLOOKUP($BV$2,坦克等级成长!$B$36:$G$42,MATCH(CO$3,坦克等级成长!$B$35:$G$35,0)),0)</f>
        <v>554</v>
      </c>
      <c r="CP26" s="33">
        <f t="shared" si="24"/>
        <v>554</v>
      </c>
      <c r="CQ26" s="33">
        <v>437</v>
      </c>
      <c r="CR26" s="33">
        <f>ROUND(坦克等级成长!$H123*VLOOKUP($BV$2,坦克等级成长!$B$36:$G$42,MATCH(CR$3,坦克等级成长!$B$35:$G$35,0)),0)</f>
        <v>698</v>
      </c>
      <c r="CS26" s="33">
        <f>ROUND(坦克等级成长!$H123*VLOOKUP($BV$2,坦克等级成长!$B$36:$G$42,MATCH(CS$3,坦克等级成长!$B$35:$G$35,0)),0)</f>
        <v>168</v>
      </c>
      <c r="CT26" s="192">
        <v>6</v>
      </c>
      <c r="CU26" s="33">
        <f>ROUND(坦克等级成长!$D123*VLOOKUP($CT$2,坦克等级成长!$B$36:$G$42,MATCH(CU$3,坦克等级成长!$B$35:$G$35,0)),0)</f>
        <v>1504</v>
      </c>
      <c r="CV26" s="33">
        <f>ROUND(坦克等级成长!$D123*VLOOKUP($CT$2,坦克等级成长!$B$36:$G$42,MATCH(CV$3,坦克等级成长!$B$35:$G$35,0)),0)</f>
        <v>303</v>
      </c>
      <c r="CW26" s="33">
        <f>ROUND(坦克等级成长!$D123*VLOOKUP($CT$2,坦克等级成长!$B$36:$G$42,MATCH(CW$3,坦克等级成长!$B$35:$G$35,0)),0)</f>
        <v>671</v>
      </c>
      <c r="CX26" s="33">
        <f t="shared" si="18"/>
        <v>671</v>
      </c>
      <c r="CY26" s="33">
        <v>530.25</v>
      </c>
      <c r="CZ26" s="33">
        <f>ROUND(坦克等级成长!$D123*VLOOKUP($CT$2,坦克等级成长!$B$36:$G$42,MATCH(CZ$3,坦克等级成长!$B$35:$G$35,0)),0)</f>
        <v>564</v>
      </c>
      <c r="DA26" s="33">
        <f>ROUND(坦克等级成长!$D123*VLOOKUP($CT$2,坦克等级成长!$B$36:$G$42,MATCH(DA$3,坦克等级成长!$B$35:$G$35,0)),0)</f>
        <v>150</v>
      </c>
      <c r="DB26" s="199">
        <v>6</v>
      </c>
      <c r="DC26" s="33">
        <f>ROUND(坦克等级成长!$F123*VLOOKUP($CT$2,坦克等级成长!$B$36:$G$42,MATCH(DC$3,坦克等级成长!$B$35:$G$35,0)),0)</f>
        <v>1528</v>
      </c>
      <c r="DD26" s="33">
        <f>ROUND(坦克等级成长!$F123*VLOOKUP($CT$2,坦克等级成长!$B$36:$G$42,MATCH(DD$3,坦克等级成长!$B$35:$G$35,0)),0)</f>
        <v>308</v>
      </c>
      <c r="DE26" s="33">
        <f>ROUND(坦克等级成长!$F123*VLOOKUP($CT$2,坦克等级成长!$B$36:$G$42,MATCH(DE$3,坦克等级成长!$B$35:$G$35,0)),0)</f>
        <v>682</v>
      </c>
      <c r="DF26" s="33">
        <f t="shared" si="11"/>
        <v>682</v>
      </c>
      <c r="DG26" s="33">
        <v>547</v>
      </c>
      <c r="DH26" s="33">
        <f>ROUND(坦克等级成长!$F123*VLOOKUP($CT$2,坦克等级成长!$B$36:$G$42,MATCH(DH$3,坦克等级成长!$B$35:$G$35,0)),0)</f>
        <v>573</v>
      </c>
      <c r="DI26" s="33">
        <f>ROUND(坦克等级成长!$F123*VLOOKUP($CT$2,坦克等级成长!$B$36:$G$42,MATCH(DI$3,坦克等级成长!$B$35:$G$35,0)),0)</f>
        <v>153</v>
      </c>
      <c r="DJ26" s="192">
        <v>6</v>
      </c>
      <c r="DK26" s="33">
        <f>ROUND(坦克等级成长!$H123*VLOOKUP($CT$2,坦克等级成长!$B$36:$G$42,MATCH(DK$3,坦克等级成长!$B$35:$G$35,0)),0)</f>
        <v>1552</v>
      </c>
      <c r="DL26" s="33">
        <f>ROUND(坦克等级成长!$H123*VLOOKUP($CT$2,坦克等级成长!$B$36:$G$42,MATCH(DL$3,坦克等级成长!$B$35:$G$35,0)),0)</f>
        <v>312</v>
      </c>
      <c r="DM26" s="33">
        <f>ROUND(坦克等级成长!$H123*VLOOKUP($CT$2,坦克等级成长!$B$36:$G$42,MATCH(DM$3,坦克等级成长!$B$35:$G$35,0)),0)</f>
        <v>693</v>
      </c>
      <c r="DN26" s="33">
        <f t="shared" si="25"/>
        <v>693</v>
      </c>
      <c r="DO26" s="33">
        <v>547</v>
      </c>
      <c r="DP26" s="33">
        <f>ROUND(坦克等级成长!$H123*VLOOKUP($CT$2,坦克等级成长!$B$36:$G$42,MATCH(DP$3,坦克等级成长!$B$35:$G$35,0)),0)</f>
        <v>582</v>
      </c>
      <c r="DQ26" s="33">
        <f>ROUND(坦克等级成长!$H123*VLOOKUP($CT$2,坦克等级成长!$B$36:$G$42,MATCH(DQ$3,坦克等级成长!$B$35:$G$35,0)),0)</f>
        <v>155</v>
      </c>
      <c r="DR26" s="192">
        <v>6</v>
      </c>
      <c r="DS26" s="33">
        <f>ROUND(坦克等级成长!$D123*VLOOKUP($DR$2,坦克等级成长!$B$36:$G$42,MATCH(DS$3,坦克等级成长!$B$35:$G$35,0)),0)</f>
        <v>1840</v>
      </c>
      <c r="DT26" s="33">
        <f>ROUND(坦克等级成长!$D123*VLOOKUP($DR$2,坦克等级成长!$B$36:$G$42,MATCH(DT$3,坦克等级成长!$B$35:$G$35,0)),0)</f>
        <v>504</v>
      </c>
      <c r="DU26" s="33">
        <f>ROUND(坦克等级成长!$D123*VLOOKUP($DR$2,坦克等级成长!$B$36:$G$42,MATCH(DU$3,坦克等级成长!$B$35:$G$35,0)),0)</f>
        <v>537</v>
      </c>
      <c r="DV26" s="33">
        <f t="shared" si="19"/>
        <v>537</v>
      </c>
      <c r="DW26" s="33">
        <v>452.8</v>
      </c>
      <c r="DX26" s="33">
        <f>ROUND(坦克等级成长!$D123*VLOOKUP($DR$2,坦克等级成长!$B$36:$G$42,MATCH(DX$3,坦克等级成长!$B$35:$G$35,0)),0)</f>
        <v>790</v>
      </c>
      <c r="DY26" s="33">
        <f>ROUND(坦克等级成长!$D123*VLOOKUP($DR$2,坦克等级成长!$B$36:$G$42,MATCH(DY$3,坦克等级成长!$B$35:$G$35,0)),0)</f>
        <v>184</v>
      </c>
      <c r="DZ26" s="199">
        <v>6</v>
      </c>
      <c r="EA26" s="33">
        <f>ROUND(坦克等级成长!$F123*VLOOKUP($DR$2,坦克等级成长!$B$36:$G$42,MATCH(EA$3,坦克等级成长!$B$35:$G$35,0)),0)</f>
        <v>1869</v>
      </c>
      <c r="EB26" s="33">
        <f>ROUND(坦克等级成长!$F123*VLOOKUP($DR$2,坦克等级成长!$B$36:$G$42,MATCH(EB$3,坦克等级成长!$B$35:$G$35,0)),0)</f>
        <v>512</v>
      </c>
      <c r="EC26" s="33">
        <f>ROUND(坦克等级成长!$F123*VLOOKUP($DR$2,坦克等级成长!$B$36:$G$42,MATCH(EC$3,坦克等级成长!$B$35:$G$35,0)),0)</f>
        <v>546</v>
      </c>
      <c r="ED26" s="33">
        <f t="shared" si="12"/>
        <v>546</v>
      </c>
      <c r="EE26" s="33">
        <v>466</v>
      </c>
      <c r="EF26" s="33">
        <f>ROUND(坦克等级成长!$F123*VLOOKUP($DR$2,坦克等级成长!$B$36:$G$42,MATCH(EF$3,坦克等级成长!$B$35:$G$35,0)),0)</f>
        <v>802</v>
      </c>
      <c r="EG26" s="33">
        <f>ROUND(坦克等级成长!$F123*VLOOKUP($DR$2,坦克等级成长!$B$36:$G$42,MATCH(EG$3,坦克等级成长!$B$35:$G$35,0)),0)</f>
        <v>187</v>
      </c>
      <c r="EH26" s="192">
        <v>6</v>
      </c>
      <c r="EI26" s="33">
        <f>ROUND(坦克等级成长!$H123*VLOOKUP($DR$2,坦克等级成长!$B$36:$G$42,MATCH(EI$3,坦克等级成长!$B$35:$G$35,0)),0)</f>
        <v>1899</v>
      </c>
      <c r="EJ26" s="33">
        <f>ROUND(坦克等级成长!$H123*VLOOKUP($DR$2,坦克等级成长!$B$36:$G$42,MATCH(EJ$3,坦克等级成长!$B$35:$G$35,0)),0)</f>
        <v>520</v>
      </c>
      <c r="EK26" s="33">
        <f>ROUND(坦克等级成长!$H123*VLOOKUP($DR$2,坦克等级成长!$B$36:$G$42,MATCH(EK$3,坦克等级成长!$B$35:$G$35,0)),0)</f>
        <v>554</v>
      </c>
      <c r="EL26" s="33">
        <f t="shared" si="26"/>
        <v>554</v>
      </c>
      <c r="EM26" s="33">
        <v>466</v>
      </c>
      <c r="EN26" s="33">
        <f>ROUND(坦克等级成长!$H123*VLOOKUP($DR$2,坦克等级成长!$B$36:$G$42,MATCH(EN$3,坦克等级成长!$B$35:$G$35,0)),0)</f>
        <v>815</v>
      </c>
      <c r="EO26" s="33">
        <f>ROUND(坦克等级成长!$H123*VLOOKUP($DR$2,坦克等级成长!$B$36:$G$42,MATCH(EO$3,坦克等级成长!$B$35:$G$35,0)),0)</f>
        <v>190</v>
      </c>
      <c r="EP26" s="192">
        <v>6</v>
      </c>
      <c r="EQ26" s="33">
        <f>ROUND(坦克等级成长!$D123*VLOOKUP($EP$2,坦克等级成长!$B$36:$G$42,MATCH(EQ$3,坦克等级成长!$B$35:$G$35,0)),0)</f>
        <v>1623</v>
      </c>
      <c r="ER26" s="33">
        <f>ROUND(坦克等级成长!$D123*VLOOKUP($EP$2,坦克等级成长!$B$36:$G$42,MATCH(ER$3,坦克等级成长!$B$35:$G$35,0)),0)</f>
        <v>167</v>
      </c>
      <c r="ES26" s="33">
        <f>ROUND(坦克等级成长!$D123*VLOOKUP($EP$2,坦克等级成长!$B$36:$G$42,MATCH(ES$3,坦克等级成长!$B$35:$G$35,0)),0)</f>
        <v>618</v>
      </c>
      <c r="ET26" s="33">
        <f t="shared" si="20"/>
        <v>618</v>
      </c>
      <c r="EU26" s="33">
        <v>488.25</v>
      </c>
      <c r="EV26" s="33">
        <f>ROUND(坦克等级成长!$D123*VLOOKUP($EP$2,坦克等级成长!$B$36:$G$42,MATCH(EV$3,坦克等级成长!$B$35:$G$35,0)),0)</f>
        <v>677</v>
      </c>
      <c r="EW26" s="33">
        <f>ROUND(坦克等级成长!$D123*VLOOKUP($EP$2,坦克等级成长!$B$36:$G$42,MATCH(EW$3,坦克等级成长!$B$35:$G$35,0)),0)</f>
        <v>162</v>
      </c>
      <c r="EX26" s="199">
        <v>6</v>
      </c>
      <c r="EY26" s="33">
        <f>ROUND(坦克等级成长!$F123*VLOOKUP($EP$2,坦克等级成长!$B$36:$G$42,MATCH(EY$3,坦克等级成长!$B$35:$G$35,0)),0)</f>
        <v>1649</v>
      </c>
      <c r="EZ26" s="33">
        <f>ROUND(坦克等级成长!$F123*VLOOKUP($EP$2,坦克等级成长!$B$36:$G$42,MATCH(EZ$3,坦克等级成长!$B$35:$G$35,0)),0)</f>
        <v>170</v>
      </c>
      <c r="FA26" s="33">
        <f>ROUND(坦克等级成长!$F123*VLOOKUP($EP$2,坦克等级成长!$B$36:$G$42,MATCH(FA$3,坦克等级成长!$B$35:$G$35,0)),0)</f>
        <v>628</v>
      </c>
      <c r="FB26" s="33">
        <f t="shared" si="13"/>
        <v>628</v>
      </c>
      <c r="FC26" s="33">
        <v>503</v>
      </c>
      <c r="FD26" s="33">
        <f>ROUND(坦克等级成长!$F123*VLOOKUP($EP$2,坦克等级成长!$B$36:$G$42,MATCH(FD$3,坦克等级成长!$B$35:$G$35,0)),0)</f>
        <v>688</v>
      </c>
      <c r="FE26" s="33">
        <f>ROUND(坦克等级成长!$F123*VLOOKUP($EP$2,坦克等级成长!$B$36:$G$42,MATCH(FE$3,坦克等级成长!$B$35:$G$35,0)),0)</f>
        <v>165</v>
      </c>
      <c r="FF26" s="192">
        <v>6</v>
      </c>
      <c r="FG26" s="33">
        <f>ROUND(坦克等级成长!$H123*VLOOKUP($EP$2,坦克等级成长!$B$36:$G$42,MATCH(FG$3,坦克等级成长!$B$35:$G$35,0)),0)</f>
        <v>1675</v>
      </c>
      <c r="FH26" s="33">
        <f>ROUND(坦克等级成长!$H123*VLOOKUP($EP$2,坦克等级成长!$B$36:$G$42,MATCH(FH$3,坦克等级成长!$B$35:$G$35,0)),0)</f>
        <v>173</v>
      </c>
      <c r="FI26" s="33">
        <f>ROUND(坦克等级成长!$H123*VLOOKUP($EP$2,坦克等级成长!$B$36:$G$42,MATCH(FI$3,坦克等级成长!$B$35:$G$35,0)),0)</f>
        <v>637</v>
      </c>
      <c r="FJ26" s="33">
        <f t="shared" si="27"/>
        <v>637</v>
      </c>
      <c r="FK26" s="33">
        <v>503</v>
      </c>
      <c r="FL26" s="33">
        <f>ROUND(坦克等级成长!$H123*VLOOKUP($EP$2,坦克等级成长!$B$36:$G$42,MATCH(FL$3,坦克等级成长!$B$35:$G$35,0)),0)</f>
        <v>698</v>
      </c>
      <c r="FM26" s="33">
        <f>ROUND(坦克等级成长!$H123*VLOOKUP($EP$2,坦克等级成长!$B$36:$G$42,MATCH(FM$3,坦克等级成长!$B$35:$G$35,0)),0)</f>
        <v>168</v>
      </c>
    </row>
    <row r="27" spans="1:169" ht="14.25" x14ac:dyDescent="0.3">
      <c r="A27" s="189">
        <v>3</v>
      </c>
      <c r="B27" s="192">
        <v>7</v>
      </c>
      <c r="C27" s="33">
        <f>ROUND(坦克等级成长!$D124*VLOOKUP($B$2,坦克等级成长!$B$36:$G$42,MATCH(C$3,坦克等级成长!$B$35:$G$35,0)),0)</f>
        <v>1576</v>
      </c>
      <c r="D27" s="33">
        <f>ROUND(坦克等级成长!$D124*VLOOKUP($B$2,坦克等级成长!$B$36:$G$42,MATCH(D$3,坦克等级成长!$B$35:$G$35,0)),0)</f>
        <v>157</v>
      </c>
      <c r="E27" s="33">
        <f>ROUND(坦克等级成长!$D124*VLOOKUP($B$2,坦克等级成长!$B$36:$G$42,MATCH(E$3,坦克等级成长!$B$35:$G$35,0)),0)</f>
        <v>591</v>
      </c>
      <c r="F27" s="33">
        <f t="shared" si="14"/>
        <v>591</v>
      </c>
      <c r="G27" s="33">
        <v>436.8</v>
      </c>
      <c r="H27" s="33">
        <f>ROUND(坦克等级成长!$D124*VLOOKUP($B$2,坦克等级成长!$B$36:$G$42,MATCH(H$3,坦克等级成长!$B$35:$G$35,0)),0)</f>
        <v>591</v>
      </c>
      <c r="I27" s="33">
        <f>ROUND(坦克等级成长!$D124*VLOOKUP($B$2,坦克等级成长!$B$36:$G$42,MATCH(I$3,坦克等级成长!$B$35:$G$35,0)),0)</f>
        <v>158</v>
      </c>
      <c r="J27" s="199">
        <v>7</v>
      </c>
      <c r="K27" s="33">
        <f>ROUND(坦克等级成长!$F124*VLOOKUP($B$2,坦克等级成长!$B$36:$G$42,MATCH(K$3,坦克等级成长!$B$35:$G$35,0)),0)</f>
        <v>1600</v>
      </c>
      <c r="L27" s="33">
        <f>ROUND(坦克等级成长!$F124*VLOOKUP($B$2,坦克等级成长!$B$36:$G$42,MATCH(L$3,坦克等级成长!$B$35:$G$35,0)),0)</f>
        <v>159</v>
      </c>
      <c r="M27" s="33">
        <f>ROUND(坦克等级成长!$F124*VLOOKUP($B$2,坦克等级成长!$B$36:$G$42,MATCH(M$3,坦克等级成长!$B$35:$G$35,0)),0)</f>
        <v>600</v>
      </c>
      <c r="N27" s="33">
        <f t="shared" si="7"/>
        <v>600</v>
      </c>
      <c r="O27" s="33">
        <v>449</v>
      </c>
      <c r="P27" s="33">
        <f>ROUND(坦克等级成长!$F124*VLOOKUP($B$2,坦克等级成长!$B$36:$G$42,MATCH(P$3,坦克等级成长!$B$35:$G$35,0)),0)</f>
        <v>600</v>
      </c>
      <c r="Q27" s="33">
        <f>ROUND(坦克等级成长!$F124*VLOOKUP($B$2,坦克等级成长!$B$36:$G$42,MATCH(Q$3,坦克等级成长!$B$35:$G$35,0)),0)</f>
        <v>160</v>
      </c>
      <c r="R27" s="192">
        <v>7</v>
      </c>
      <c r="S27" s="33">
        <f>ROUND(坦克等级成长!$H124*VLOOKUP($B$2,坦克等级成长!$B$36:$G$42,MATCH(S$3,坦克等级成长!$B$35:$G$35,0)),0)</f>
        <v>1624</v>
      </c>
      <c r="T27" s="33">
        <f>ROUND(坦克等级成长!$H124*VLOOKUP($B$2,坦克等级成长!$B$36:$G$42,MATCH(T$3,坦克等级成长!$B$35:$G$35,0)),0)</f>
        <v>162</v>
      </c>
      <c r="U27" s="33">
        <f>ROUND(坦克等级成长!$H124*VLOOKUP($B$2,坦克等级成长!$B$36:$G$42,MATCH(U$3,坦克等级成长!$B$35:$G$35,0)),0)</f>
        <v>609</v>
      </c>
      <c r="V27" s="33">
        <f t="shared" si="21"/>
        <v>609</v>
      </c>
      <c r="W27" s="33">
        <v>449</v>
      </c>
      <c r="X27" s="33">
        <f>ROUND(坦克等级成长!$H124*VLOOKUP($B$2,坦克等级成长!$B$36:$G$42,MATCH(X$3,坦克等级成长!$B$35:$G$35,0)),0)</f>
        <v>609</v>
      </c>
      <c r="Y27" s="33">
        <f>ROUND(坦克等级成长!$H124*VLOOKUP($B$2,坦克等级成长!$B$36:$G$42,MATCH(Y$3,坦克等级成长!$B$35:$G$35,0)),0)</f>
        <v>162</v>
      </c>
      <c r="Z27" s="192">
        <v>7</v>
      </c>
      <c r="AA27" s="33">
        <f>ROUND(坦克等级成长!$D124*VLOOKUP($Z$2,坦克等级成长!$B$36:$G$42,MATCH(AA$3,坦克等级成长!$B$35:$G$35,0)),0)</f>
        <v>1576</v>
      </c>
      <c r="AB27" s="33">
        <f>ROUND(坦克等级成长!$D124*VLOOKUP($Z$2,坦克等级成长!$B$36:$G$42,MATCH(AB$3,坦克等级成长!$B$35:$G$35,0)),0)</f>
        <v>84</v>
      </c>
      <c r="AC27" s="33">
        <f>ROUND(坦克等级成长!$D124*VLOOKUP($Z$2,坦克等级成长!$B$36:$G$42,MATCH(AC$3,坦克等级成长!$B$35:$G$35,0)),0)</f>
        <v>647</v>
      </c>
      <c r="AD27" s="33">
        <f t="shared" si="15"/>
        <v>647</v>
      </c>
      <c r="AE27" s="33">
        <v>478.1</v>
      </c>
      <c r="AF27" s="33">
        <f>ROUND(坦克等级成长!$D124*VLOOKUP($Z$2,坦克等级成长!$B$36:$G$42,MATCH(AF$3,坦克等级成长!$B$35:$G$35,0)),0)</f>
        <v>591</v>
      </c>
      <c r="AG27" s="33">
        <f>ROUND(坦克等级成长!$D124*VLOOKUP($Z$2,坦克等级成长!$B$36:$G$42,MATCH(AG$3,坦克等级成长!$B$35:$G$35,0)),0)</f>
        <v>158</v>
      </c>
      <c r="AH27" s="199">
        <v>7</v>
      </c>
      <c r="AI27" s="33">
        <f>ROUND(坦克等级成长!$F124*VLOOKUP($Z$2,坦克等级成长!$B$36:$G$42,MATCH(AI$3,坦克等级成长!$B$35:$G$35,0)),0)</f>
        <v>1600</v>
      </c>
      <c r="AJ27" s="33">
        <f>ROUND(坦克等级成长!$F124*VLOOKUP($Z$2,坦克等级成长!$B$36:$G$42,MATCH(AJ$3,坦克等级成长!$B$35:$G$35,0)),0)</f>
        <v>85</v>
      </c>
      <c r="AK27" s="33">
        <f>ROUND(坦克等级成长!$F124*VLOOKUP($Z$2,坦克等级成长!$B$36:$G$42,MATCH(AK$3,坦克等级成长!$B$35:$G$35,0)),0)</f>
        <v>657</v>
      </c>
      <c r="AL27" s="33">
        <f t="shared" si="8"/>
        <v>657</v>
      </c>
      <c r="AM27" s="33">
        <v>492</v>
      </c>
      <c r="AN27" s="33">
        <f>ROUND(坦克等级成长!$F124*VLOOKUP($Z$2,坦克等级成长!$B$36:$G$42,MATCH(AN$3,坦克等级成长!$B$35:$G$35,0)),0)</f>
        <v>600</v>
      </c>
      <c r="AO27" s="33">
        <f>ROUND(坦克等级成长!$F124*VLOOKUP($Z$2,坦克等级成长!$B$36:$G$42,MATCH(AO$3,坦克等级成长!$B$35:$G$35,0)),0)</f>
        <v>160</v>
      </c>
      <c r="AP27" s="192">
        <v>7</v>
      </c>
      <c r="AQ27" s="33">
        <f>ROUND(坦克等级成长!$H124*VLOOKUP($Z$2,坦克等级成长!$B$36:$G$42,MATCH(AQ$3,坦克等级成长!$B$35:$G$35,0)),0)</f>
        <v>1624</v>
      </c>
      <c r="AR27" s="33">
        <f>ROUND(坦克等级成长!$H124*VLOOKUP($Z$2,坦克等级成长!$B$36:$G$42,MATCH(AR$3,坦克等级成长!$B$35:$G$35,0)),0)</f>
        <v>86</v>
      </c>
      <c r="AS27" s="33">
        <f>ROUND(坦克等级成长!$H124*VLOOKUP($Z$2,坦克等级成长!$B$36:$G$42,MATCH(AS$3,坦克等级成长!$B$35:$G$35,0)),0)</f>
        <v>667</v>
      </c>
      <c r="AT27" s="33">
        <f t="shared" si="22"/>
        <v>667</v>
      </c>
      <c r="AU27" s="33">
        <v>492</v>
      </c>
      <c r="AV27" s="33">
        <f>ROUND(坦克等级成长!$H124*VLOOKUP($Z$2,坦克等级成长!$B$36:$G$42,MATCH(AV$3,坦克等级成长!$B$35:$G$35,0)),0)</f>
        <v>609</v>
      </c>
      <c r="AW27" s="33">
        <f>ROUND(坦克等级成长!$H124*VLOOKUP($Z$2,坦克等级成长!$B$36:$G$42,MATCH(AW$3,坦克等级成长!$B$35:$G$35,0)),0)</f>
        <v>162</v>
      </c>
      <c r="AX27" s="192">
        <v>7</v>
      </c>
      <c r="AY27" s="33">
        <f>ROUND(坦克等级成长!$D124*VLOOKUP($AX$2,坦克等级成长!$B$36:$G$42,MATCH(AY$3,坦克等级成长!$B$35:$G$35,0)),0)</f>
        <v>1576</v>
      </c>
      <c r="AZ27" s="33">
        <f>ROUND(坦克等级成长!$D124*VLOOKUP($AX$2,坦克等级成长!$B$36:$G$42,MATCH(AZ$3,坦克等级成长!$B$35:$G$35,0)),0)</f>
        <v>157</v>
      </c>
      <c r="BA27" s="33">
        <f>ROUND(坦克等级成长!$D124*VLOOKUP($AX$2,坦克等级成长!$B$36:$G$42,MATCH(BA$3,坦克等级成长!$B$35:$G$35,0)),0)</f>
        <v>591</v>
      </c>
      <c r="BB27" s="33">
        <f t="shared" si="16"/>
        <v>591</v>
      </c>
      <c r="BC27" s="33">
        <v>436.8</v>
      </c>
      <c r="BD27" s="33">
        <f>ROUND(坦克等级成长!$D124*VLOOKUP($AX$2,坦克等级成长!$B$36:$G$42,MATCH(BD$3,坦克等级成长!$B$35:$G$35,0)),0)</f>
        <v>591</v>
      </c>
      <c r="BE27" s="33">
        <f>ROUND(坦克等级成长!$D124*VLOOKUP($AX$2,坦克等级成长!$B$36:$G$42,MATCH(BE$3,坦克等级成长!$B$35:$G$35,0)),0)</f>
        <v>158</v>
      </c>
      <c r="BF27" s="199">
        <v>7</v>
      </c>
      <c r="BG27" s="33">
        <f>ROUND(坦克等级成长!$F124*VLOOKUP($AX$2,坦克等级成长!$B$36:$G$42,MATCH(BG$3,坦克等级成长!$B$35:$G$35,0)),0)</f>
        <v>1600</v>
      </c>
      <c r="BH27" s="33">
        <f>ROUND(坦克等级成长!$F124*VLOOKUP($AX$2,坦克等级成长!$B$36:$G$42,MATCH(BH$3,坦克等级成长!$B$35:$G$35,0)),0)</f>
        <v>159</v>
      </c>
      <c r="BI27" s="33">
        <f>ROUND(坦克等级成长!$F124*VLOOKUP($AX$2,坦克等级成长!$B$36:$G$42,MATCH(BI$3,坦克等级成长!$B$35:$G$35,0)),0)</f>
        <v>600</v>
      </c>
      <c r="BJ27" s="33">
        <f t="shared" si="9"/>
        <v>600</v>
      </c>
      <c r="BK27" s="33">
        <v>449</v>
      </c>
      <c r="BL27" s="33">
        <f>ROUND(坦克等级成长!$F124*VLOOKUP($AX$2,坦克等级成长!$B$36:$G$42,MATCH(BL$3,坦克等级成长!$B$35:$G$35,0)),0)</f>
        <v>600</v>
      </c>
      <c r="BM27" s="33">
        <f>ROUND(坦克等级成长!$F124*VLOOKUP($AX$2,坦克等级成长!$B$36:$G$42,MATCH(BM$3,坦克等级成长!$B$35:$G$35,0)),0)</f>
        <v>160</v>
      </c>
      <c r="BN27" s="192">
        <v>7</v>
      </c>
      <c r="BO27" s="33">
        <f>ROUND(坦克等级成长!$H124*VLOOKUP($AX$2,坦克等级成长!$B$36:$G$42,MATCH(BO$3,坦克等级成长!$B$35:$G$35,0)),0)</f>
        <v>1624</v>
      </c>
      <c r="BP27" s="33">
        <f>ROUND(坦克等级成长!$H124*VLOOKUP($AX$2,坦克等级成长!$B$36:$G$42,MATCH(BP$3,坦克等级成长!$B$35:$G$35,0)),0)</f>
        <v>162</v>
      </c>
      <c r="BQ27" s="33">
        <f>ROUND(坦克等级成长!$H124*VLOOKUP($AX$2,坦克等级成长!$B$36:$G$42,MATCH(BQ$3,坦克等级成长!$B$35:$G$35,0)),0)</f>
        <v>609</v>
      </c>
      <c r="BR27" s="33">
        <f t="shared" si="23"/>
        <v>609</v>
      </c>
      <c r="BS27" s="33">
        <v>449</v>
      </c>
      <c r="BT27" s="33">
        <f>ROUND(坦克等级成长!$H124*VLOOKUP($AX$2,坦克等级成长!$B$36:$G$42,MATCH(BT$3,坦克等级成长!$B$35:$G$35,0)),0)</f>
        <v>609</v>
      </c>
      <c r="BU27" s="33">
        <f>ROUND(坦克等级成长!$H124*VLOOKUP($AX$2,坦克等级成长!$B$36:$G$42,MATCH(BU$3,坦克等级成长!$B$35:$G$35,0)),0)</f>
        <v>162</v>
      </c>
      <c r="BV27" s="192">
        <v>7</v>
      </c>
      <c r="BW27" s="33">
        <f>ROUND(坦克等级成长!$D124*VLOOKUP($BV$2,坦克等级成长!$B$36:$G$42,MATCH(BW$3,坦克等级成长!$B$35:$G$35,0)),0)</f>
        <v>1701</v>
      </c>
      <c r="BX27" s="33">
        <f>ROUND(坦克等级成长!$D124*VLOOKUP($BV$2,坦克等级成长!$B$36:$G$42,MATCH(BX$3,坦克等级成长!$B$35:$G$35,0)),0)</f>
        <v>146</v>
      </c>
      <c r="BY27" s="33">
        <f>ROUND(坦克等级成长!$D124*VLOOKUP($BV$2,坦克等级成长!$B$36:$G$42,MATCH(BY$3,坦克等级成长!$B$35:$G$35,0)),0)</f>
        <v>563</v>
      </c>
      <c r="BZ27" s="33">
        <f t="shared" si="17"/>
        <v>563</v>
      </c>
      <c r="CA27" s="33">
        <v>445.5</v>
      </c>
      <c r="CB27" s="33">
        <f>ROUND(坦克等级成长!$D124*VLOOKUP($BV$2,坦克等级成长!$B$36:$G$42,MATCH(CB$3,坦克等级成长!$B$35:$G$35,0)),0)</f>
        <v>709</v>
      </c>
      <c r="CC27" s="33">
        <f>ROUND(坦克等级成长!$D124*VLOOKUP($BV$2,坦克等级成长!$B$36:$G$42,MATCH(CC$3,坦克等级成长!$B$35:$G$35,0)),0)</f>
        <v>170</v>
      </c>
      <c r="CD27" s="199">
        <v>7</v>
      </c>
      <c r="CE27" s="33">
        <f>ROUND(坦克等级成长!$F124*VLOOKUP($BV$2,坦克等级成长!$B$36:$G$42,MATCH(CE$3,坦克等级成长!$B$35:$G$35,0)),0)</f>
        <v>1727</v>
      </c>
      <c r="CF27" s="33">
        <f>ROUND(坦克等级成长!$F124*VLOOKUP($BV$2,坦克等级成长!$B$36:$G$42,MATCH(CF$3,坦克等级成长!$B$35:$G$35,0)),0)</f>
        <v>148</v>
      </c>
      <c r="CG27" s="33">
        <f>ROUND(坦克等级成长!$F124*VLOOKUP($BV$2,坦克等级成长!$B$36:$G$42,MATCH(CG$3,坦克等级成长!$B$35:$G$35,0)),0)</f>
        <v>571</v>
      </c>
      <c r="CH27" s="33">
        <f t="shared" si="10"/>
        <v>571</v>
      </c>
      <c r="CI27" s="33">
        <v>458</v>
      </c>
      <c r="CJ27" s="33">
        <f>ROUND(坦克等级成长!$F124*VLOOKUP($BV$2,坦克等级成长!$B$36:$G$42,MATCH(CJ$3,坦克等级成长!$B$35:$G$35,0)),0)</f>
        <v>720</v>
      </c>
      <c r="CK27" s="33">
        <f>ROUND(坦克等级成长!$F124*VLOOKUP($BV$2,坦克等级成长!$B$36:$G$42,MATCH(CK$3,坦克等级成长!$B$35:$G$35,0)),0)</f>
        <v>173</v>
      </c>
      <c r="CL27" s="192">
        <v>7</v>
      </c>
      <c r="CM27" s="33">
        <f>ROUND(坦克等级成长!$H124*VLOOKUP($BV$2,坦克等级成长!$B$36:$G$42,MATCH(CM$3,坦克等级成长!$B$35:$G$35,0)),0)</f>
        <v>1753</v>
      </c>
      <c r="CN27" s="33">
        <f>ROUND(坦克等级成长!$H124*VLOOKUP($BV$2,坦克等级成长!$B$36:$G$42,MATCH(CN$3,坦克等级成长!$B$35:$G$35,0)),0)</f>
        <v>151</v>
      </c>
      <c r="CO27" s="33">
        <f>ROUND(坦克等级成长!$H124*VLOOKUP($BV$2,坦克等级成长!$B$36:$G$42,MATCH(CO$3,坦克等级成长!$B$35:$G$35,0)),0)</f>
        <v>580</v>
      </c>
      <c r="CP27" s="33">
        <f t="shared" si="24"/>
        <v>580</v>
      </c>
      <c r="CQ27" s="33">
        <v>458</v>
      </c>
      <c r="CR27" s="33">
        <f>ROUND(坦克等级成长!$H124*VLOOKUP($BV$2,坦克等级成长!$B$36:$G$42,MATCH(CR$3,坦克等级成长!$B$35:$G$35,0)),0)</f>
        <v>731</v>
      </c>
      <c r="CS27" s="33">
        <f>ROUND(坦克等级成长!$H124*VLOOKUP($BV$2,坦克等级成长!$B$36:$G$42,MATCH(CS$3,坦克等级成长!$B$35:$G$35,0)),0)</f>
        <v>175</v>
      </c>
      <c r="CT27" s="192">
        <v>7</v>
      </c>
      <c r="CU27" s="33">
        <f>ROUND(坦克等级成长!$D124*VLOOKUP($CT$2,坦克等级成长!$B$36:$G$42,MATCH(CU$3,坦克等级成长!$B$35:$G$35,0)),0)</f>
        <v>1576</v>
      </c>
      <c r="CV27" s="33">
        <f>ROUND(坦克等级成长!$D124*VLOOKUP($CT$2,坦克等级成长!$B$36:$G$42,MATCH(CV$3,坦克等级成长!$B$35:$G$35,0)),0)</f>
        <v>317</v>
      </c>
      <c r="CW27" s="33">
        <f>ROUND(坦克等级成长!$D124*VLOOKUP($CT$2,坦克等级成长!$B$36:$G$42,MATCH(CW$3,坦克等级成长!$B$35:$G$35,0)),0)</f>
        <v>704</v>
      </c>
      <c r="CX27" s="33">
        <f t="shared" si="18"/>
        <v>704</v>
      </c>
      <c r="CY27" s="33">
        <v>557.25</v>
      </c>
      <c r="CZ27" s="33">
        <f>ROUND(坦克等级成长!$D124*VLOOKUP($CT$2,坦克等级成长!$B$36:$G$42,MATCH(CZ$3,坦克等级成长!$B$35:$G$35,0)),0)</f>
        <v>591</v>
      </c>
      <c r="DA27" s="33">
        <f>ROUND(坦克等级成长!$D124*VLOOKUP($CT$2,坦克等级成长!$B$36:$G$42,MATCH(DA$3,坦克等级成长!$B$35:$G$35,0)),0)</f>
        <v>158</v>
      </c>
      <c r="DB27" s="199">
        <v>7</v>
      </c>
      <c r="DC27" s="33">
        <f>ROUND(坦克等级成长!$F124*VLOOKUP($CT$2,坦克等级成长!$B$36:$G$42,MATCH(DC$3,坦克等级成长!$B$35:$G$35,0)),0)</f>
        <v>1600</v>
      </c>
      <c r="DD27" s="33">
        <f>ROUND(坦克等级成长!$F124*VLOOKUP($CT$2,坦克等级成长!$B$36:$G$42,MATCH(DD$3,坦克等级成长!$B$35:$G$35,0)),0)</f>
        <v>322</v>
      </c>
      <c r="DE27" s="33">
        <f>ROUND(坦克等级成长!$F124*VLOOKUP($CT$2,坦克等级成长!$B$36:$G$42,MATCH(DE$3,坦克等级成长!$B$35:$G$35,0)),0)</f>
        <v>714</v>
      </c>
      <c r="DF27" s="33">
        <f t="shared" si="11"/>
        <v>714</v>
      </c>
      <c r="DG27" s="33">
        <v>573</v>
      </c>
      <c r="DH27" s="33">
        <f>ROUND(坦克等级成长!$F124*VLOOKUP($CT$2,坦克等级成长!$B$36:$G$42,MATCH(DH$3,坦克等级成长!$B$35:$G$35,0)),0)</f>
        <v>600</v>
      </c>
      <c r="DI27" s="33">
        <f>ROUND(坦克等级成长!$F124*VLOOKUP($CT$2,坦克等级成长!$B$36:$G$42,MATCH(DI$3,坦克等级成长!$B$35:$G$35,0)),0)</f>
        <v>160</v>
      </c>
      <c r="DJ27" s="192">
        <v>7</v>
      </c>
      <c r="DK27" s="33">
        <f>ROUND(坦克等级成长!$H124*VLOOKUP($CT$2,坦克等级成长!$B$36:$G$42,MATCH(DK$3,坦克等级成长!$B$35:$G$35,0)),0)</f>
        <v>1624</v>
      </c>
      <c r="DL27" s="33">
        <f>ROUND(坦克等级成长!$H124*VLOOKUP($CT$2,坦克等级成长!$B$36:$G$42,MATCH(DL$3,坦克等级成长!$B$35:$G$35,0)),0)</f>
        <v>327</v>
      </c>
      <c r="DM27" s="33">
        <f>ROUND(坦克等级成长!$H124*VLOOKUP($CT$2,坦克等级成长!$B$36:$G$42,MATCH(DM$3,坦克等级成长!$B$35:$G$35,0)),0)</f>
        <v>725</v>
      </c>
      <c r="DN27" s="33">
        <f t="shared" si="25"/>
        <v>725</v>
      </c>
      <c r="DO27" s="33">
        <v>573</v>
      </c>
      <c r="DP27" s="33">
        <f>ROUND(坦克等级成长!$H124*VLOOKUP($CT$2,坦克等级成长!$B$36:$G$42,MATCH(DP$3,坦克等级成长!$B$35:$G$35,0)),0)</f>
        <v>609</v>
      </c>
      <c r="DQ27" s="33">
        <f>ROUND(坦克等级成长!$H124*VLOOKUP($CT$2,坦克等级成长!$B$36:$G$42,MATCH(DQ$3,坦克等级成长!$B$35:$G$35,0)),0)</f>
        <v>162</v>
      </c>
      <c r="DR27" s="192">
        <v>7</v>
      </c>
      <c r="DS27" s="33">
        <f>ROUND(坦克等级成长!$D124*VLOOKUP($DR$2,坦克等级成长!$B$36:$G$42,MATCH(DS$3,坦克等级成长!$B$35:$G$35,0)),0)</f>
        <v>1928</v>
      </c>
      <c r="DT27" s="33">
        <f>ROUND(坦克等级成长!$D124*VLOOKUP($DR$2,坦克等级成长!$B$36:$G$42,MATCH(DT$3,坦克等级成长!$B$35:$G$35,0)),0)</f>
        <v>528</v>
      </c>
      <c r="DU27" s="33">
        <f>ROUND(坦克等级成长!$D124*VLOOKUP($DR$2,坦克等级成长!$B$36:$G$42,MATCH(DU$3,坦克等级成长!$B$35:$G$35,0)),0)</f>
        <v>563</v>
      </c>
      <c r="DV27" s="33">
        <f t="shared" si="19"/>
        <v>563</v>
      </c>
      <c r="DW27" s="33">
        <v>475.2</v>
      </c>
      <c r="DX27" s="33">
        <f>ROUND(坦克等级成长!$D124*VLOOKUP($DR$2,坦克等级成长!$B$36:$G$42,MATCH(DX$3,坦克等级成长!$B$35:$G$35,0)),0)</f>
        <v>827</v>
      </c>
      <c r="DY27" s="33">
        <f>ROUND(坦克等级成长!$D124*VLOOKUP($DR$2,坦克等级成长!$B$36:$G$42,MATCH(DY$3,坦克等级成长!$B$35:$G$35,0)),0)</f>
        <v>193</v>
      </c>
      <c r="DZ27" s="199">
        <v>7</v>
      </c>
      <c r="EA27" s="33">
        <f>ROUND(坦克等级成长!$F124*VLOOKUP($DR$2,坦克等级成长!$B$36:$G$42,MATCH(EA$3,坦克等级成长!$B$35:$G$35,0)),0)</f>
        <v>1957</v>
      </c>
      <c r="EB27" s="33">
        <f>ROUND(坦克等级成长!$F124*VLOOKUP($DR$2,坦克等级成长!$B$36:$G$42,MATCH(EB$3,坦克等级成长!$B$35:$G$35,0)),0)</f>
        <v>536</v>
      </c>
      <c r="EC27" s="33">
        <f>ROUND(坦克等级成长!$F124*VLOOKUP($DR$2,坦克等级成长!$B$36:$G$42,MATCH(EC$3,坦克等级成长!$B$35:$G$35,0)),0)</f>
        <v>571</v>
      </c>
      <c r="ED27" s="33">
        <f t="shared" si="12"/>
        <v>571</v>
      </c>
      <c r="EE27" s="33">
        <v>489</v>
      </c>
      <c r="EF27" s="33">
        <f>ROUND(坦克等级成长!$F124*VLOOKUP($DR$2,坦克等级成长!$B$36:$G$42,MATCH(EF$3,坦克等级成长!$B$35:$G$35,0)),0)</f>
        <v>840</v>
      </c>
      <c r="EG27" s="33">
        <f>ROUND(坦克等级成长!$F124*VLOOKUP($DR$2,坦克等级成长!$B$36:$G$42,MATCH(EG$3,坦克等级成长!$B$35:$G$35,0)),0)</f>
        <v>196</v>
      </c>
      <c r="EH27" s="192">
        <v>7</v>
      </c>
      <c r="EI27" s="33">
        <f>ROUND(坦克等级成长!$H124*VLOOKUP($DR$2,坦克等级成长!$B$36:$G$42,MATCH(EI$3,坦克等级成长!$B$35:$G$35,0)),0)</f>
        <v>1987</v>
      </c>
      <c r="EJ27" s="33">
        <f>ROUND(坦克等级成长!$H124*VLOOKUP($DR$2,坦克等级成长!$B$36:$G$42,MATCH(EJ$3,坦克等级成长!$B$35:$G$35,0)),0)</f>
        <v>544</v>
      </c>
      <c r="EK27" s="33">
        <f>ROUND(坦克等级成长!$H124*VLOOKUP($DR$2,坦克等级成长!$B$36:$G$42,MATCH(EK$3,坦克等级成长!$B$35:$G$35,0)),0)</f>
        <v>580</v>
      </c>
      <c r="EL27" s="33">
        <f t="shared" si="26"/>
        <v>580</v>
      </c>
      <c r="EM27" s="33">
        <v>489</v>
      </c>
      <c r="EN27" s="33">
        <f>ROUND(坦克等级成长!$H124*VLOOKUP($DR$2,坦克等级成长!$B$36:$G$42,MATCH(EN$3,坦克等级成长!$B$35:$G$35,0)),0)</f>
        <v>853</v>
      </c>
      <c r="EO27" s="33">
        <f>ROUND(坦克等级成长!$H124*VLOOKUP($DR$2,坦克等级成长!$B$36:$G$42,MATCH(EO$3,坦克等级成长!$B$35:$G$35,0)),0)</f>
        <v>199</v>
      </c>
      <c r="EP27" s="192">
        <v>7</v>
      </c>
      <c r="EQ27" s="33">
        <f>ROUND(坦克等级成长!$D124*VLOOKUP($EP$2,坦克等级成长!$B$36:$G$42,MATCH(EQ$3,坦克等级成长!$B$35:$G$35,0)),0)</f>
        <v>1701</v>
      </c>
      <c r="ER27" s="33">
        <f>ROUND(坦克等级成长!$D124*VLOOKUP($EP$2,坦克等级成长!$B$36:$G$42,MATCH(ER$3,坦克等级成长!$B$35:$G$35,0)),0)</f>
        <v>175</v>
      </c>
      <c r="ES27" s="33">
        <f>ROUND(坦克等级成长!$D124*VLOOKUP($EP$2,坦克等级成长!$B$36:$G$42,MATCH(ES$3,坦克等级成长!$B$35:$G$35,0)),0)</f>
        <v>647</v>
      </c>
      <c r="ET27" s="33">
        <f t="shared" si="20"/>
        <v>647</v>
      </c>
      <c r="EU27" s="33">
        <v>512.25</v>
      </c>
      <c r="EV27" s="33">
        <f>ROUND(坦克等级成长!$D124*VLOOKUP($EP$2,坦克等级成长!$B$36:$G$42,MATCH(EV$3,坦克等级成长!$B$35:$G$35,0)),0)</f>
        <v>709</v>
      </c>
      <c r="EW27" s="33">
        <f>ROUND(坦克等级成长!$D124*VLOOKUP($EP$2,坦克等级成长!$B$36:$G$42,MATCH(EW$3,坦克等级成长!$B$35:$G$35,0)),0)</f>
        <v>170</v>
      </c>
      <c r="EX27" s="199">
        <v>7</v>
      </c>
      <c r="EY27" s="33">
        <f>ROUND(坦克等级成长!$F124*VLOOKUP($EP$2,坦克等级成长!$B$36:$G$42,MATCH(EY$3,坦克等级成长!$B$35:$G$35,0)),0)</f>
        <v>1727</v>
      </c>
      <c r="EZ27" s="33">
        <f>ROUND(坦克等级成长!$F124*VLOOKUP($EP$2,坦克等级成长!$B$36:$G$42,MATCH(EZ$3,坦克等级成长!$B$35:$G$35,0)),0)</f>
        <v>178</v>
      </c>
      <c r="FA27" s="33">
        <f>ROUND(坦克等级成长!$F124*VLOOKUP($EP$2,坦克等级成长!$B$36:$G$42,MATCH(FA$3,坦克等级成长!$B$35:$G$35,0)),0)</f>
        <v>657</v>
      </c>
      <c r="FB27" s="33">
        <f t="shared" si="13"/>
        <v>657</v>
      </c>
      <c r="FC27" s="33">
        <v>527</v>
      </c>
      <c r="FD27" s="33">
        <f>ROUND(坦克等级成长!$F124*VLOOKUP($EP$2,坦克等级成长!$B$36:$G$42,MATCH(FD$3,坦克等级成长!$B$35:$G$35,0)),0)</f>
        <v>720</v>
      </c>
      <c r="FE27" s="33">
        <f>ROUND(坦克等级成长!$F124*VLOOKUP($EP$2,坦克等级成长!$B$36:$G$42,MATCH(FE$3,坦克等级成长!$B$35:$G$35,0)),0)</f>
        <v>173</v>
      </c>
      <c r="FF27" s="192">
        <v>7</v>
      </c>
      <c r="FG27" s="33">
        <f>ROUND(坦克等级成长!$H124*VLOOKUP($EP$2,坦克等级成长!$B$36:$G$42,MATCH(FG$3,坦克等级成长!$B$35:$G$35,0)),0)</f>
        <v>1753</v>
      </c>
      <c r="FH27" s="33">
        <f>ROUND(坦克等级成长!$H124*VLOOKUP($EP$2,坦克等级成长!$B$36:$G$42,MATCH(FH$3,坦克等级成长!$B$35:$G$35,0)),0)</f>
        <v>181</v>
      </c>
      <c r="FI27" s="33">
        <f>ROUND(坦克等级成长!$H124*VLOOKUP($EP$2,坦克等级成长!$B$36:$G$42,MATCH(FI$3,坦克等级成长!$B$35:$G$35,0)),0)</f>
        <v>667</v>
      </c>
      <c r="FJ27" s="33">
        <f t="shared" si="27"/>
        <v>667</v>
      </c>
      <c r="FK27" s="33">
        <v>527</v>
      </c>
      <c r="FL27" s="33">
        <f>ROUND(坦克等级成长!$H124*VLOOKUP($EP$2,坦克等级成长!$B$36:$G$42,MATCH(FL$3,坦克等级成长!$B$35:$G$35,0)),0)</f>
        <v>731</v>
      </c>
      <c r="FM27" s="33">
        <f>ROUND(坦克等级成长!$H124*VLOOKUP($EP$2,坦克等级成长!$B$36:$G$42,MATCH(FM$3,坦克等级成长!$B$35:$G$35,0)),0)</f>
        <v>175</v>
      </c>
    </row>
    <row r="28" spans="1:169" ht="14.25" x14ac:dyDescent="0.3">
      <c r="A28" s="189">
        <v>3</v>
      </c>
      <c r="B28" s="192">
        <v>8</v>
      </c>
      <c r="C28" s="33">
        <f>ROUND(坦克等级成长!$D125*VLOOKUP($B$2,坦克等级成长!$B$36:$G$42,MATCH(C$3,坦克等级成长!$B$35:$G$35,0)),0)</f>
        <v>1648</v>
      </c>
      <c r="D28" s="33">
        <f>ROUND(坦克等级成长!$D125*VLOOKUP($B$2,坦克等级成长!$B$36:$G$42,MATCH(D$3,坦克等级成长!$B$35:$G$35,0)),0)</f>
        <v>164</v>
      </c>
      <c r="E28" s="33">
        <f>ROUND(坦克等级成长!$D125*VLOOKUP($B$2,坦克等级成长!$B$36:$G$42,MATCH(E$3,坦克等级成长!$B$35:$G$35,0)),0)</f>
        <v>618</v>
      </c>
      <c r="F28" s="33">
        <f t="shared" si="14"/>
        <v>618</v>
      </c>
      <c r="G28" s="33">
        <v>457.8</v>
      </c>
      <c r="H28" s="33">
        <f>ROUND(坦克等级成长!$D125*VLOOKUP($B$2,坦克等级成长!$B$36:$G$42,MATCH(H$3,坦克等级成长!$B$35:$G$35,0)),0)</f>
        <v>618</v>
      </c>
      <c r="I28" s="33">
        <f>ROUND(坦克等级成长!$D125*VLOOKUP($B$2,坦克等级成长!$B$36:$G$42,MATCH(I$3,坦克等级成长!$B$35:$G$35,0)),0)</f>
        <v>165</v>
      </c>
      <c r="J28" s="199">
        <v>8</v>
      </c>
      <c r="K28" s="33">
        <f>ROUND(坦克等级成长!$F125*VLOOKUP($B$2,坦克等级成长!$B$36:$G$42,MATCH(K$3,坦克等级成长!$B$35:$G$35,0)),0)</f>
        <v>1672</v>
      </c>
      <c r="L28" s="33">
        <f>ROUND(坦克等级成长!$F125*VLOOKUP($B$2,坦克等级成长!$B$36:$G$42,MATCH(L$3,坦克等级成长!$B$35:$G$35,0)),0)</f>
        <v>167</v>
      </c>
      <c r="M28" s="33">
        <f>ROUND(坦克等级成长!$F125*VLOOKUP($B$2,坦克等级成长!$B$36:$G$42,MATCH(M$3,坦克等级成长!$B$35:$G$35,0)),0)</f>
        <v>627</v>
      </c>
      <c r="N28" s="33">
        <f t="shared" si="7"/>
        <v>627</v>
      </c>
      <c r="O28" s="33">
        <v>470</v>
      </c>
      <c r="P28" s="33">
        <f>ROUND(坦克等级成长!$F125*VLOOKUP($B$2,坦克等级成长!$B$36:$G$42,MATCH(P$3,坦克等级成长!$B$35:$G$35,0)),0)</f>
        <v>627</v>
      </c>
      <c r="Q28" s="33">
        <f>ROUND(坦克等级成长!$F125*VLOOKUP($B$2,坦克等级成长!$B$36:$G$42,MATCH(Q$3,坦克等级成长!$B$35:$G$35,0)),0)</f>
        <v>167</v>
      </c>
      <c r="R28" s="192">
        <v>8</v>
      </c>
      <c r="S28" s="33">
        <f>ROUND(坦克等级成长!$H125*VLOOKUP($B$2,坦克等级成长!$B$36:$G$42,MATCH(S$3,坦克等级成长!$B$35:$G$35,0)),0)</f>
        <v>1696</v>
      </c>
      <c r="T28" s="33">
        <f>ROUND(坦克等级成长!$H125*VLOOKUP($B$2,坦克等级成长!$B$36:$G$42,MATCH(T$3,坦克等级成长!$B$35:$G$35,0)),0)</f>
        <v>169</v>
      </c>
      <c r="U28" s="33">
        <f>ROUND(坦克等级成长!$H125*VLOOKUP($B$2,坦克等级成长!$B$36:$G$42,MATCH(U$3,坦克等级成长!$B$35:$G$35,0)),0)</f>
        <v>636</v>
      </c>
      <c r="V28" s="33">
        <f t="shared" si="21"/>
        <v>636</v>
      </c>
      <c r="W28" s="33">
        <v>470</v>
      </c>
      <c r="X28" s="33">
        <f>ROUND(坦克等级成长!$H125*VLOOKUP($B$2,坦克等级成长!$B$36:$G$42,MATCH(X$3,坦克等级成长!$B$35:$G$35,0)),0)</f>
        <v>636</v>
      </c>
      <c r="Y28" s="33">
        <f>ROUND(坦克等级成长!$H125*VLOOKUP($B$2,坦克等级成长!$B$36:$G$42,MATCH(Y$3,坦克等级成长!$B$35:$G$35,0)),0)</f>
        <v>170</v>
      </c>
      <c r="Z28" s="192">
        <v>8</v>
      </c>
      <c r="AA28" s="33">
        <f>ROUND(坦克等级成长!$D125*VLOOKUP($Z$2,坦克等级成长!$B$36:$G$42,MATCH(AA$3,坦克等级成长!$B$35:$G$35,0)),0)</f>
        <v>1648</v>
      </c>
      <c r="AB28" s="33">
        <f>ROUND(坦克等级成长!$D125*VLOOKUP($Z$2,坦克等级成长!$B$36:$G$42,MATCH(AB$3,坦克等级成长!$B$35:$G$35,0)),0)</f>
        <v>87</v>
      </c>
      <c r="AC28" s="33">
        <f>ROUND(坦克等级成长!$D125*VLOOKUP($Z$2,坦克等级成长!$B$36:$G$42,MATCH(AC$3,坦克等级成长!$B$35:$G$35,0)),0)</f>
        <v>677</v>
      </c>
      <c r="AD28" s="33">
        <f t="shared" si="15"/>
        <v>677</v>
      </c>
      <c r="AE28" s="33">
        <v>501.2</v>
      </c>
      <c r="AF28" s="33">
        <f>ROUND(坦克等级成长!$D125*VLOOKUP($Z$2,坦克等级成长!$B$36:$G$42,MATCH(AF$3,坦克等级成长!$B$35:$G$35,0)),0)</f>
        <v>618</v>
      </c>
      <c r="AG28" s="33">
        <f>ROUND(坦克等级成长!$D125*VLOOKUP($Z$2,坦克等级成长!$B$36:$G$42,MATCH(AG$3,坦克等级成长!$B$35:$G$35,0)),0)</f>
        <v>165</v>
      </c>
      <c r="AH28" s="199">
        <v>8</v>
      </c>
      <c r="AI28" s="33">
        <f>ROUND(坦克等级成长!$F125*VLOOKUP($Z$2,坦克等级成长!$B$36:$G$42,MATCH(AI$3,坦克等级成长!$B$35:$G$35,0)),0)</f>
        <v>1672</v>
      </c>
      <c r="AJ28" s="33">
        <f>ROUND(坦克等级成长!$F125*VLOOKUP($Z$2,坦克等级成长!$B$36:$G$42,MATCH(AJ$3,坦克等级成长!$B$35:$G$35,0)),0)</f>
        <v>89</v>
      </c>
      <c r="AK28" s="33">
        <f>ROUND(坦克等级成长!$F125*VLOOKUP($Z$2,坦克等级成长!$B$36:$G$42,MATCH(AK$3,坦克等级成长!$B$35:$G$35,0)),0)</f>
        <v>687</v>
      </c>
      <c r="AL28" s="33">
        <f t="shared" si="8"/>
        <v>687</v>
      </c>
      <c r="AM28" s="33">
        <v>515</v>
      </c>
      <c r="AN28" s="33">
        <f>ROUND(坦克等级成长!$F125*VLOOKUP($Z$2,坦克等级成长!$B$36:$G$42,MATCH(AN$3,坦克等级成长!$B$35:$G$35,0)),0)</f>
        <v>627</v>
      </c>
      <c r="AO28" s="33">
        <f>ROUND(坦克等级成长!$F125*VLOOKUP($Z$2,坦克等级成长!$B$36:$G$42,MATCH(AO$3,坦克等级成长!$B$35:$G$35,0)),0)</f>
        <v>167</v>
      </c>
      <c r="AP28" s="192">
        <v>8</v>
      </c>
      <c r="AQ28" s="33">
        <f>ROUND(坦克等级成长!$H125*VLOOKUP($Z$2,坦克等级成长!$B$36:$G$42,MATCH(AQ$3,坦克等级成长!$B$35:$G$35,0)),0)</f>
        <v>1696</v>
      </c>
      <c r="AR28" s="33">
        <f>ROUND(坦克等级成长!$H125*VLOOKUP($Z$2,坦克等级成长!$B$36:$G$42,MATCH(AR$3,坦克等级成长!$B$35:$G$35,0)),0)</f>
        <v>90</v>
      </c>
      <c r="AS28" s="33">
        <f>ROUND(坦克等级成长!$H125*VLOOKUP($Z$2,坦克等级成长!$B$36:$G$42,MATCH(AS$3,坦克等级成长!$B$35:$G$35,0)),0)</f>
        <v>697</v>
      </c>
      <c r="AT28" s="33">
        <f t="shared" si="22"/>
        <v>697</v>
      </c>
      <c r="AU28" s="33">
        <v>515</v>
      </c>
      <c r="AV28" s="33">
        <f>ROUND(坦克等级成长!$H125*VLOOKUP($Z$2,坦克等级成长!$B$36:$G$42,MATCH(AV$3,坦克等级成长!$B$35:$G$35,0)),0)</f>
        <v>636</v>
      </c>
      <c r="AW28" s="33">
        <f>ROUND(坦克等级成长!$H125*VLOOKUP($Z$2,坦克等级成长!$B$36:$G$42,MATCH(AW$3,坦克等级成长!$B$35:$G$35,0)),0)</f>
        <v>170</v>
      </c>
      <c r="AX28" s="192">
        <v>8</v>
      </c>
      <c r="AY28" s="33">
        <f>ROUND(坦克等级成长!$D125*VLOOKUP($AX$2,坦克等级成长!$B$36:$G$42,MATCH(AY$3,坦克等级成长!$B$35:$G$35,0)),0)</f>
        <v>1648</v>
      </c>
      <c r="AZ28" s="33">
        <f>ROUND(坦克等级成长!$D125*VLOOKUP($AX$2,坦克等级成长!$B$36:$G$42,MATCH(AZ$3,坦克等级成长!$B$35:$G$35,0)),0)</f>
        <v>164</v>
      </c>
      <c r="BA28" s="33">
        <f>ROUND(坦克等级成长!$D125*VLOOKUP($AX$2,坦克等级成长!$B$36:$G$42,MATCH(BA$3,坦克等级成长!$B$35:$G$35,0)),0)</f>
        <v>618</v>
      </c>
      <c r="BB28" s="33">
        <f t="shared" si="16"/>
        <v>618</v>
      </c>
      <c r="BC28" s="33">
        <v>457.8</v>
      </c>
      <c r="BD28" s="33">
        <f>ROUND(坦克等级成长!$D125*VLOOKUP($AX$2,坦克等级成长!$B$36:$G$42,MATCH(BD$3,坦克等级成长!$B$35:$G$35,0)),0)</f>
        <v>618</v>
      </c>
      <c r="BE28" s="33">
        <f>ROUND(坦克等级成长!$D125*VLOOKUP($AX$2,坦克等级成长!$B$36:$G$42,MATCH(BE$3,坦克等级成长!$B$35:$G$35,0)),0)</f>
        <v>165</v>
      </c>
      <c r="BF28" s="199">
        <v>8</v>
      </c>
      <c r="BG28" s="33">
        <f>ROUND(坦克等级成长!$F125*VLOOKUP($AX$2,坦克等级成长!$B$36:$G$42,MATCH(BG$3,坦克等级成长!$B$35:$G$35,0)),0)</f>
        <v>1672</v>
      </c>
      <c r="BH28" s="33">
        <f>ROUND(坦克等级成长!$F125*VLOOKUP($AX$2,坦克等级成长!$B$36:$G$42,MATCH(BH$3,坦克等级成长!$B$35:$G$35,0)),0)</f>
        <v>167</v>
      </c>
      <c r="BI28" s="33">
        <f>ROUND(坦克等级成长!$F125*VLOOKUP($AX$2,坦克等级成长!$B$36:$G$42,MATCH(BI$3,坦克等级成长!$B$35:$G$35,0)),0)</f>
        <v>627</v>
      </c>
      <c r="BJ28" s="33">
        <f t="shared" si="9"/>
        <v>627</v>
      </c>
      <c r="BK28" s="33">
        <v>470</v>
      </c>
      <c r="BL28" s="33">
        <f>ROUND(坦克等级成长!$F125*VLOOKUP($AX$2,坦克等级成长!$B$36:$G$42,MATCH(BL$3,坦克等级成长!$B$35:$G$35,0)),0)</f>
        <v>627</v>
      </c>
      <c r="BM28" s="33">
        <f>ROUND(坦克等级成长!$F125*VLOOKUP($AX$2,坦克等级成长!$B$36:$G$42,MATCH(BM$3,坦克等级成长!$B$35:$G$35,0)),0)</f>
        <v>167</v>
      </c>
      <c r="BN28" s="192">
        <v>8</v>
      </c>
      <c r="BO28" s="33">
        <f>ROUND(坦克等级成长!$H125*VLOOKUP($AX$2,坦克等级成长!$B$36:$G$42,MATCH(BO$3,坦克等级成长!$B$35:$G$35,0)),0)</f>
        <v>1696</v>
      </c>
      <c r="BP28" s="33">
        <f>ROUND(坦克等级成长!$H125*VLOOKUP($AX$2,坦克等级成长!$B$36:$G$42,MATCH(BP$3,坦克等级成长!$B$35:$G$35,0)),0)</f>
        <v>169</v>
      </c>
      <c r="BQ28" s="33">
        <f>ROUND(坦克等级成长!$H125*VLOOKUP($AX$2,坦克等级成长!$B$36:$G$42,MATCH(BQ$3,坦克等级成长!$B$35:$G$35,0)),0)</f>
        <v>636</v>
      </c>
      <c r="BR28" s="33">
        <f t="shared" si="23"/>
        <v>636</v>
      </c>
      <c r="BS28" s="33">
        <v>470</v>
      </c>
      <c r="BT28" s="33">
        <f>ROUND(坦克等级成长!$H125*VLOOKUP($AX$2,坦克等级成长!$B$36:$G$42,MATCH(BT$3,坦克等级成长!$B$35:$G$35,0)),0)</f>
        <v>636</v>
      </c>
      <c r="BU28" s="33">
        <f>ROUND(坦克等级成长!$H125*VLOOKUP($AX$2,坦克等级成长!$B$36:$G$42,MATCH(BU$3,坦克等级成长!$B$35:$G$35,0)),0)</f>
        <v>170</v>
      </c>
      <c r="BV28" s="192">
        <v>8</v>
      </c>
      <c r="BW28" s="33">
        <f>ROUND(坦克等级成长!$D125*VLOOKUP($BV$2,坦克等级成长!$B$36:$G$42,MATCH(BW$3,坦克等级成长!$B$35:$G$35,0)),0)</f>
        <v>1779</v>
      </c>
      <c r="BX28" s="33">
        <f>ROUND(坦克等级成长!$D125*VLOOKUP($BV$2,坦克等级成长!$B$36:$G$42,MATCH(BX$3,坦克等级成长!$B$35:$G$35,0)),0)</f>
        <v>153</v>
      </c>
      <c r="BY28" s="33">
        <f>ROUND(坦克等级成长!$D125*VLOOKUP($BV$2,坦克等级成长!$B$36:$G$42,MATCH(BY$3,坦克等级成长!$B$35:$G$35,0)),0)</f>
        <v>589</v>
      </c>
      <c r="BZ28" s="33">
        <f t="shared" si="17"/>
        <v>589</v>
      </c>
      <c r="CA28" s="33">
        <v>467.25</v>
      </c>
      <c r="CB28" s="33">
        <f>ROUND(坦克等级成长!$D125*VLOOKUP($BV$2,坦克等级成长!$B$36:$G$42,MATCH(CB$3,坦克等级成长!$B$35:$G$35,0)),0)</f>
        <v>742</v>
      </c>
      <c r="CC28" s="33">
        <f>ROUND(坦克等级成长!$D125*VLOOKUP($BV$2,坦克等级成长!$B$36:$G$42,MATCH(CC$3,坦克等级成长!$B$35:$G$35,0)),0)</f>
        <v>178</v>
      </c>
      <c r="CD28" s="199">
        <v>8</v>
      </c>
      <c r="CE28" s="33">
        <f>ROUND(坦克等级成长!$F125*VLOOKUP($BV$2,坦克等级成长!$B$36:$G$42,MATCH(CE$3,坦克等级成长!$B$35:$G$35,0)),0)</f>
        <v>1805</v>
      </c>
      <c r="CF28" s="33">
        <f>ROUND(坦克等级成长!$F125*VLOOKUP($BV$2,坦克等级成长!$B$36:$G$42,MATCH(CF$3,坦克等级成长!$B$35:$G$35,0)),0)</f>
        <v>155</v>
      </c>
      <c r="CG28" s="33">
        <f>ROUND(坦克等级成长!$F125*VLOOKUP($BV$2,坦克等级成长!$B$36:$G$42,MATCH(CG$3,坦克等级成长!$B$35:$G$35,0)),0)</f>
        <v>597</v>
      </c>
      <c r="CH28" s="33">
        <f t="shared" si="10"/>
        <v>597</v>
      </c>
      <c r="CI28" s="33">
        <v>480</v>
      </c>
      <c r="CJ28" s="33">
        <f>ROUND(坦克等级成长!$F125*VLOOKUP($BV$2,坦克等级成长!$B$36:$G$42,MATCH(CJ$3,坦克等级成长!$B$35:$G$35,0)),0)</f>
        <v>752</v>
      </c>
      <c r="CK28" s="33">
        <f>ROUND(坦克等级成长!$F125*VLOOKUP($BV$2,坦克等级成长!$B$36:$G$42,MATCH(CK$3,坦克等级成长!$B$35:$G$35,0)),0)</f>
        <v>180</v>
      </c>
      <c r="CL28" s="192">
        <v>8</v>
      </c>
      <c r="CM28" s="33">
        <f>ROUND(坦克等级成长!$H125*VLOOKUP($BV$2,坦克等级成长!$B$36:$G$42,MATCH(CM$3,坦克等级成长!$B$35:$G$35,0)),0)</f>
        <v>1831</v>
      </c>
      <c r="CN28" s="33">
        <f>ROUND(坦克等级成长!$H125*VLOOKUP($BV$2,坦克等级成长!$B$36:$G$42,MATCH(CN$3,坦克等级成长!$B$35:$G$35,0)),0)</f>
        <v>157</v>
      </c>
      <c r="CO28" s="33">
        <f>ROUND(坦克等级成长!$H125*VLOOKUP($BV$2,坦克等级成长!$B$36:$G$42,MATCH(CO$3,坦克等级成长!$B$35:$G$35,0)),0)</f>
        <v>606</v>
      </c>
      <c r="CP28" s="33">
        <f t="shared" si="24"/>
        <v>606</v>
      </c>
      <c r="CQ28" s="33">
        <v>480</v>
      </c>
      <c r="CR28" s="33">
        <f>ROUND(坦克等级成长!$H125*VLOOKUP($BV$2,坦克等级成长!$B$36:$G$42,MATCH(CR$3,坦克等级成长!$B$35:$G$35,0)),0)</f>
        <v>763</v>
      </c>
      <c r="CS28" s="33">
        <f>ROUND(坦克等级成长!$H125*VLOOKUP($BV$2,坦克等级成长!$B$36:$G$42,MATCH(CS$3,坦克等级成长!$B$35:$G$35,0)),0)</f>
        <v>183</v>
      </c>
      <c r="CT28" s="192">
        <v>8</v>
      </c>
      <c r="CU28" s="33">
        <f>ROUND(坦克等级成长!$D125*VLOOKUP($CT$2,坦克等级成长!$B$36:$G$42,MATCH(CU$3,坦克等级成长!$B$35:$G$35,0)),0)</f>
        <v>1648</v>
      </c>
      <c r="CV28" s="33">
        <f>ROUND(坦克等级成长!$D125*VLOOKUP($CT$2,坦克等级成长!$B$36:$G$42,MATCH(CV$3,坦克等级成长!$B$35:$G$35,0)),0)</f>
        <v>332</v>
      </c>
      <c r="CW28" s="33">
        <f>ROUND(坦克等级成长!$D125*VLOOKUP($CT$2,坦克等级成长!$B$36:$G$42,MATCH(CW$3,坦克等级成长!$B$35:$G$35,0)),0)</f>
        <v>736</v>
      </c>
      <c r="CX28" s="33">
        <f t="shared" si="18"/>
        <v>736</v>
      </c>
      <c r="CY28" s="33">
        <v>584.25</v>
      </c>
      <c r="CZ28" s="33">
        <f>ROUND(坦克等级成长!$D125*VLOOKUP($CT$2,坦克等级成长!$B$36:$G$42,MATCH(CZ$3,坦克等级成长!$B$35:$G$35,0)),0)</f>
        <v>618</v>
      </c>
      <c r="DA28" s="33">
        <f>ROUND(坦克等级成长!$D125*VLOOKUP($CT$2,坦克等级成长!$B$36:$G$42,MATCH(DA$3,坦克等级成长!$B$35:$G$35,0)),0)</f>
        <v>165</v>
      </c>
      <c r="DB28" s="199">
        <v>8</v>
      </c>
      <c r="DC28" s="33">
        <f>ROUND(坦克等级成长!$F125*VLOOKUP($CT$2,坦克等级成长!$B$36:$G$42,MATCH(DC$3,坦克等级成长!$B$35:$G$35,0)),0)</f>
        <v>1672</v>
      </c>
      <c r="DD28" s="33">
        <f>ROUND(坦克等级成长!$F125*VLOOKUP($CT$2,坦克等级成长!$B$36:$G$42,MATCH(DD$3,坦克等级成长!$B$35:$G$35,0)),0)</f>
        <v>337</v>
      </c>
      <c r="DE28" s="33">
        <f>ROUND(坦克等级成长!$F125*VLOOKUP($CT$2,坦克等级成长!$B$36:$G$42,MATCH(DE$3,坦克等级成长!$B$35:$G$35,0)),0)</f>
        <v>746</v>
      </c>
      <c r="DF28" s="33">
        <f t="shared" si="11"/>
        <v>746</v>
      </c>
      <c r="DG28" s="33">
        <v>600</v>
      </c>
      <c r="DH28" s="33">
        <f>ROUND(坦克等级成长!$F125*VLOOKUP($CT$2,坦克等级成长!$B$36:$G$42,MATCH(DH$3,坦克等级成长!$B$35:$G$35,0)),0)</f>
        <v>627</v>
      </c>
      <c r="DI28" s="33">
        <f>ROUND(坦克等级成长!$F125*VLOOKUP($CT$2,坦克等级成长!$B$36:$G$42,MATCH(DI$3,坦克等级成长!$B$35:$G$35,0)),0)</f>
        <v>167</v>
      </c>
      <c r="DJ28" s="192">
        <v>8</v>
      </c>
      <c r="DK28" s="33">
        <f>ROUND(坦克等级成长!$H125*VLOOKUP($CT$2,坦克等级成长!$B$36:$G$42,MATCH(DK$3,坦克等级成长!$B$35:$G$35,0)),0)</f>
        <v>1696</v>
      </c>
      <c r="DL28" s="33">
        <f>ROUND(坦克等级成长!$H125*VLOOKUP($CT$2,坦克等级成长!$B$36:$G$42,MATCH(DL$3,坦克等级成长!$B$35:$G$35,0)),0)</f>
        <v>341</v>
      </c>
      <c r="DM28" s="33">
        <f>ROUND(坦克等级成长!$H125*VLOOKUP($CT$2,坦克等级成长!$B$36:$G$42,MATCH(DM$3,坦克等级成长!$B$35:$G$35,0)),0)</f>
        <v>757</v>
      </c>
      <c r="DN28" s="33">
        <f t="shared" si="25"/>
        <v>757</v>
      </c>
      <c r="DO28" s="33">
        <v>600</v>
      </c>
      <c r="DP28" s="33">
        <f>ROUND(坦克等级成长!$H125*VLOOKUP($CT$2,坦克等级成长!$B$36:$G$42,MATCH(DP$3,坦克等级成长!$B$35:$G$35,0)),0)</f>
        <v>636</v>
      </c>
      <c r="DQ28" s="33">
        <f>ROUND(坦克等级成长!$H125*VLOOKUP($CT$2,坦克等级成长!$B$36:$G$42,MATCH(DQ$3,坦克等级成长!$B$35:$G$35,0)),0)</f>
        <v>170</v>
      </c>
      <c r="DR28" s="192">
        <v>8</v>
      </c>
      <c r="DS28" s="33">
        <f>ROUND(坦克等级成长!$D125*VLOOKUP($DR$2,坦克等级成长!$B$36:$G$42,MATCH(DS$3,坦克等级成长!$B$35:$G$35,0)),0)</f>
        <v>2016</v>
      </c>
      <c r="DT28" s="33">
        <f>ROUND(坦克等级成长!$D125*VLOOKUP($DR$2,坦克等级成长!$B$36:$G$42,MATCH(DT$3,坦克等级成长!$B$35:$G$35,0)),0)</f>
        <v>552</v>
      </c>
      <c r="DU28" s="33">
        <f>ROUND(坦克等级成长!$D125*VLOOKUP($DR$2,坦克等级成长!$B$36:$G$42,MATCH(DU$3,坦克等级成长!$B$35:$G$35,0)),0)</f>
        <v>589</v>
      </c>
      <c r="DV28" s="33">
        <f t="shared" si="19"/>
        <v>589</v>
      </c>
      <c r="DW28" s="33">
        <v>498.4</v>
      </c>
      <c r="DX28" s="33">
        <f>ROUND(坦克等级成长!$D125*VLOOKUP($DR$2,坦克等级成长!$B$36:$G$42,MATCH(DX$3,坦克等级成长!$B$35:$G$35,0)),0)</f>
        <v>865</v>
      </c>
      <c r="DY28" s="33">
        <f>ROUND(坦克等级成长!$D125*VLOOKUP($DR$2,坦克等级成长!$B$36:$G$42,MATCH(DY$3,坦克等级成长!$B$35:$G$35,0)),0)</f>
        <v>202</v>
      </c>
      <c r="DZ28" s="199">
        <v>8</v>
      </c>
      <c r="EA28" s="33">
        <f>ROUND(坦克等级成长!$F125*VLOOKUP($DR$2,坦克等级成长!$B$36:$G$42,MATCH(EA$3,坦克等级成长!$B$35:$G$35,0)),0)</f>
        <v>2045</v>
      </c>
      <c r="EB28" s="33">
        <f>ROUND(坦克等级成长!$F125*VLOOKUP($DR$2,坦克等级成长!$B$36:$G$42,MATCH(EB$3,坦克等级成长!$B$35:$G$35,0)),0)</f>
        <v>560</v>
      </c>
      <c r="EC28" s="33">
        <f>ROUND(坦克等级成长!$F125*VLOOKUP($DR$2,坦克等级成长!$B$36:$G$42,MATCH(EC$3,坦克等级成长!$B$35:$G$35,0)),0)</f>
        <v>597</v>
      </c>
      <c r="ED28" s="33">
        <f t="shared" si="12"/>
        <v>597</v>
      </c>
      <c r="EE28" s="33">
        <v>512</v>
      </c>
      <c r="EF28" s="33">
        <f>ROUND(坦克等级成长!$F125*VLOOKUP($DR$2,坦克等级成长!$B$36:$G$42,MATCH(EF$3,坦克等级成长!$B$35:$G$35,0)),0)</f>
        <v>878</v>
      </c>
      <c r="EG28" s="33">
        <f>ROUND(坦克等级成长!$F125*VLOOKUP($DR$2,坦克等级成长!$B$36:$G$42,MATCH(EG$3,坦克等级成长!$B$35:$G$35,0)),0)</f>
        <v>205</v>
      </c>
      <c r="EH28" s="192">
        <v>8</v>
      </c>
      <c r="EI28" s="33">
        <f>ROUND(坦克等级成长!$H125*VLOOKUP($DR$2,坦克等级成长!$B$36:$G$42,MATCH(EI$3,坦克等级成长!$B$35:$G$35,0)),0)</f>
        <v>2075</v>
      </c>
      <c r="EJ28" s="33">
        <f>ROUND(坦克等级成长!$H125*VLOOKUP($DR$2,坦克等级成长!$B$36:$G$42,MATCH(EJ$3,坦克等级成长!$B$35:$G$35,0)),0)</f>
        <v>568</v>
      </c>
      <c r="EK28" s="33">
        <f>ROUND(坦克等级成长!$H125*VLOOKUP($DR$2,坦克等级成长!$B$36:$G$42,MATCH(EK$3,坦克等级成长!$B$35:$G$35,0)),0)</f>
        <v>606</v>
      </c>
      <c r="EL28" s="33">
        <f t="shared" si="26"/>
        <v>606</v>
      </c>
      <c r="EM28" s="33">
        <v>512</v>
      </c>
      <c r="EN28" s="33">
        <f>ROUND(坦克等级成长!$H125*VLOOKUP($DR$2,坦克等级成长!$B$36:$G$42,MATCH(EN$3,坦克等级成长!$B$35:$G$35,0)),0)</f>
        <v>890</v>
      </c>
      <c r="EO28" s="33">
        <f>ROUND(坦克等级成长!$H125*VLOOKUP($DR$2,坦克等级成长!$B$36:$G$42,MATCH(EO$3,坦克等级成长!$B$35:$G$35,0)),0)</f>
        <v>207</v>
      </c>
      <c r="EP28" s="192">
        <v>8</v>
      </c>
      <c r="EQ28" s="33">
        <f>ROUND(坦克等级成长!$D125*VLOOKUP($EP$2,坦克等级成长!$B$36:$G$42,MATCH(EQ$3,坦克等级成长!$B$35:$G$35,0)),0)</f>
        <v>1779</v>
      </c>
      <c r="ER28" s="33">
        <f>ROUND(坦克等级成长!$D125*VLOOKUP($EP$2,坦克等级成长!$B$36:$G$42,MATCH(ER$3,坦克等级成长!$B$35:$G$35,0)),0)</f>
        <v>183</v>
      </c>
      <c r="ES28" s="33">
        <f>ROUND(坦克等级成长!$D125*VLOOKUP($EP$2,坦克等级成长!$B$36:$G$42,MATCH(ES$3,坦克等级成长!$B$35:$G$35,0)),0)</f>
        <v>677</v>
      </c>
      <c r="ET28" s="33">
        <f t="shared" si="20"/>
        <v>677</v>
      </c>
      <c r="EU28" s="33">
        <v>537</v>
      </c>
      <c r="EV28" s="33">
        <f>ROUND(坦克等级成长!$D125*VLOOKUP($EP$2,坦克等级成长!$B$36:$G$42,MATCH(EV$3,坦克等级成长!$B$35:$G$35,0)),0)</f>
        <v>742</v>
      </c>
      <c r="EW28" s="33">
        <f>ROUND(坦克等级成长!$D125*VLOOKUP($EP$2,坦克等级成长!$B$36:$G$42,MATCH(EW$3,坦克等级成长!$B$35:$G$35,0)),0)</f>
        <v>178</v>
      </c>
      <c r="EX28" s="199">
        <v>8</v>
      </c>
      <c r="EY28" s="33">
        <f>ROUND(坦克等级成长!$F125*VLOOKUP($EP$2,坦克等级成长!$B$36:$G$42,MATCH(EY$3,坦克等级成长!$B$35:$G$35,0)),0)</f>
        <v>1805</v>
      </c>
      <c r="EZ28" s="33">
        <f>ROUND(坦克等级成长!$F125*VLOOKUP($EP$2,坦克等级成长!$B$36:$G$42,MATCH(EZ$3,坦克等级成长!$B$35:$G$35,0)),0)</f>
        <v>186</v>
      </c>
      <c r="FA28" s="33">
        <f>ROUND(坦克等级成长!$F125*VLOOKUP($EP$2,坦克等级成长!$B$36:$G$42,MATCH(FA$3,坦克等级成长!$B$35:$G$35,0)),0)</f>
        <v>687</v>
      </c>
      <c r="FB28" s="33">
        <f t="shared" si="13"/>
        <v>687</v>
      </c>
      <c r="FC28" s="33">
        <v>552</v>
      </c>
      <c r="FD28" s="33">
        <f>ROUND(坦克等级成长!$F125*VLOOKUP($EP$2,坦克等级成长!$B$36:$G$42,MATCH(FD$3,坦克等级成长!$B$35:$G$35,0)),0)</f>
        <v>752</v>
      </c>
      <c r="FE28" s="33">
        <f>ROUND(坦克等级成长!$F125*VLOOKUP($EP$2,坦克等级成长!$B$36:$G$42,MATCH(FE$3,坦克等级成长!$B$35:$G$35,0)),0)</f>
        <v>180</v>
      </c>
      <c r="FF28" s="192">
        <v>8</v>
      </c>
      <c r="FG28" s="33">
        <f>ROUND(坦克等级成长!$H125*VLOOKUP($EP$2,坦克等级成长!$B$36:$G$42,MATCH(FG$3,坦克等级成长!$B$35:$G$35,0)),0)</f>
        <v>1831</v>
      </c>
      <c r="FH28" s="33">
        <f>ROUND(坦克等级成长!$H125*VLOOKUP($EP$2,坦克等级成长!$B$36:$G$42,MATCH(FH$3,坦克等级成长!$B$35:$G$35,0)),0)</f>
        <v>189</v>
      </c>
      <c r="FI28" s="33">
        <f>ROUND(坦克等级成长!$H125*VLOOKUP($EP$2,坦克等级成长!$B$36:$G$42,MATCH(FI$3,坦克等级成长!$B$35:$G$35,0)),0)</f>
        <v>697</v>
      </c>
      <c r="FJ28" s="33">
        <f t="shared" si="27"/>
        <v>697</v>
      </c>
      <c r="FK28" s="33">
        <v>552</v>
      </c>
      <c r="FL28" s="33">
        <f>ROUND(坦克等级成长!$H125*VLOOKUP($EP$2,坦克等级成长!$B$36:$G$42,MATCH(FL$3,坦克等级成长!$B$35:$G$35,0)),0)</f>
        <v>763</v>
      </c>
      <c r="FM28" s="33">
        <f>ROUND(坦克等级成长!$H125*VLOOKUP($EP$2,坦克等级成长!$B$36:$G$42,MATCH(FM$3,坦克等级成长!$B$35:$G$35,0)),0)</f>
        <v>183</v>
      </c>
    </row>
    <row r="29" spans="1:169" ht="14.25" x14ac:dyDescent="0.3">
      <c r="A29" s="189">
        <v>3</v>
      </c>
      <c r="B29" s="192">
        <v>9</v>
      </c>
      <c r="C29" s="33">
        <f>ROUND(坦克等级成长!$D126*VLOOKUP($B$2,坦克等级成长!$B$36:$G$42,MATCH(C$3,坦克等级成长!$B$35:$G$35,0)),0)</f>
        <v>1720</v>
      </c>
      <c r="D29" s="33">
        <f>ROUND(坦克等级成长!$D126*VLOOKUP($B$2,坦克等级成长!$B$36:$G$42,MATCH(D$3,坦克等级成长!$B$35:$G$35,0)),0)</f>
        <v>171</v>
      </c>
      <c r="E29" s="33">
        <f>ROUND(坦克等级成长!$D126*VLOOKUP($B$2,坦克等级成长!$B$36:$G$42,MATCH(E$3,坦克等级成长!$B$35:$G$35,0)),0)</f>
        <v>645</v>
      </c>
      <c r="F29" s="33">
        <f t="shared" si="14"/>
        <v>645</v>
      </c>
      <c r="G29" s="33">
        <v>478.8</v>
      </c>
      <c r="H29" s="33">
        <f>ROUND(坦克等级成长!$D126*VLOOKUP($B$2,坦克等级成长!$B$36:$G$42,MATCH(H$3,坦克等级成长!$B$35:$G$35,0)),0)</f>
        <v>645</v>
      </c>
      <c r="I29" s="33">
        <f>ROUND(坦克等级成长!$D126*VLOOKUP($B$2,坦克等级成长!$B$36:$G$42,MATCH(I$3,坦克等级成长!$B$35:$G$35,0)),0)</f>
        <v>172</v>
      </c>
      <c r="J29" s="199">
        <v>9</v>
      </c>
      <c r="K29" s="33">
        <f>ROUND(坦克等级成长!$F126*VLOOKUP($B$2,坦克等级成长!$B$36:$G$42,MATCH(K$3,坦克等级成长!$B$35:$G$35,0)),0)</f>
        <v>1744</v>
      </c>
      <c r="L29" s="33">
        <f>ROUND(坦克等级成长!$F126*VLOOKUP($B$2,坦克等级成长!$B$36:$G$42,MATCH(L$3,坦克等级成长!$B$35:$G$35,0)),0)</f>
        <v>174</v>
      </c>
      <c r="M29" s="33">
        <f>ROUND(坦克等级成长!$F126*VLOOKUP($B$2,坦克等级成长!$B$36:$G$42,MATCH(M$3,坦克等级成长!$B$35:$G$35,0)),0)</f>
        <v>654</v>
      </c>
      <c r="N29" s="33">
        <f t="shared" si="7"/>
        <v>654</v>
      </c>
      <c r="O29" s="33">
        <v>491</v>
      </c>
      <c r="P29" s="33">
        <f>ROUND(坦克等级成长!$F126*VLOOKUP($B$2,坦克等级成长!$B$36:$G$42,MATCH(P$3,坦克等级成长!$B$35:$G$35,0)),0)</f>
        <v>654</v>
      </c>
      <c r="Q29" s="33">
        <f>ROUND(坦克等级成长!$F126*VLOOKUP($B$2,坦克等级成长!$B$36:$G$42,MATCH(Q$3,坦克等级成长!$B$35:$G$35,0)),0)</f>
        <v>174</v>
      </c>
      <c r="R29" s="192">
        <v>9</v>
      </c>
      <c r="S29" s="33">
        <f>ROUND(坦克等级成长!$H126*VLOOKUP($B$2,坦克等级成长!$B$36:$G$42,MATCH(S$3,坦克等级成长!$B$35:$G$35,0)),0)</f>
        <v>1768</v>
      </c>
      <c r="T29" s="33">
        <f>ROUND(坦克等级成长!$H126*VLOOKUP($B$2,坦克等级成长!$B$36:$G$42,MATCH(T$3,坦克等级成长!$B$35:$G$35,0)),0)</f>
        <v>176</v>
      </c>
      <c r="U29" s="33">
        <f>ROUND(坦克等级成长!$H126*VLOOKUP($B$2,坦克等级成长!$B$36:$G$42,MATCH(U$3,坦克等级成长!$B$35:$G$35,0)),0)</f>
        <v>663</v>
      </c>
      <c r="V29" s="33">
        <f t="shared" si="21"/>
        <v>663</v>
      </c>
      <c r="W29" s="33">
        <v>491</v>
      </c>
      <c r="X29" s="33">
        <f>ROUND(坦克等级成长!$H126*VLOOKUP($B$2,坦克等级成长!$B$36:$G$42,MATCH(X$3,坦克等级成长!$B$35:$G$35,0)),0)</f>
        <v>663</v>
      </c>
      <c r="Y29" s="33">
        <f>ROUND(坦克等级成长!$H126*VLOOKUP($B$2,坦克等级成长!$B$36:$G$42,MATCH(Y$3,坦克等级成长!$B$35:$G$35,0)),0)</f>
        <v>177</v>
      </c>
      <c r="Z29" s="192">
        <v>9</v>
      </c>
      <c r="AA29" s="33">
        <f>ROUND(坦克等级成长!$D126*VLOOKUP($Z$2,坦克等级成长!$B$36:$G$42,MATCH(AA$3,坦克等级成长!$B$35:$G$35,0)),0)</f>
        <v>1720</v>
      </c>
      <c r="AB29" s="33">
        <f>ROUND(坦克等级成长!$D126*VLOOKUP($Z$2,坦克等级成长!$B$36:$G$42,MATCH(AB$3,坦克等级成长!$B$35:$G$35,0)),0)</f>
        <v>91</v>
      </c>
      <c r="AC29" s="33">
        <f>ROUND(坦克等级成长!$D126*VLOOKUP($Z$2,坦克等级成长!$B$36:$G$42,MATCH(AC$3,坦克等级成长!$B$35:$G$35,0)),0)</f>
        <v>706</v>
      </c>
      <c r="AD29" s="33">
        <f t="shared" si="15"/>
        <v>706</v>
      </c>
      <c r="AE29" s="33">
        <v>524.29999999999995</v>
      </c>
      <c r="AF29" s="33">
        <f>ROUND(坦克等级成长!$D126*VLOOKUP($Z$2,坦克等级成长!$B$36:$G$42,MATCH(AF$3,坦克等级成长!$B$35:$G$35,0)),0)</f>
        <v>645</v>
      </c>
      <c r="AG29" s="33">
        <f>ROUND(坦克等级成长!$D126*VLOOKUP($Z$2,坦克等级成长!$B$36:$G$42,MATCH(AG$3,坦克等级成长!$B$35:$G$35,0)),0)</f>
        <v>172</v>
      </c>
      <c r="AH29" s="199">
        <v>9</v>
      </c>
      <c r="AI29" s="33">
        <f>ROUND(坦克等级成长!$F126*VLOOKUP($Z$2,坦克等级成长!$B$36:$G$42,MATCH(AI$3,坦克等级成长!$B$35:$G$35,0)),0)</f>
        <v>1744</v>
      </c>
      <c r="AJ29" s="33">
        <f>ROUND(坦克等级成长!$F126*VLOOKUP($Z$2,坦克等级成长!$B$36:$G$42,MATCH(AJ$3,坦克等级成长!$B$35:$G$35,0)),0)</f>
        <v>93</v>
      </c>
      <c r="AK29" s="33">
        <f>ROUND(坦克等级成长!$F126*VLOOKUP($Z$2,坦克等级成长!$B$36:$G$42,MATCH(AK$3,坦克等级成长!$B$35:$G$35,0)),0)</f>
        <v>716</v>
      </c>
      <c r="AL29" s="33">
        <f t="shared" si="8"/>
        <v>716</v>
      </c>
      <c r="AM29" s="33">
        <v>538</v>
      </c>
      <c r="AN29" s="33">
        <f>ROUND(坦克等级成长!$F126*VLOOKUP($Z$2,坦克等级成长!$B$36:$G$42,MATCH(AN$3,坦克等级成长!$B$35:$G$35,0)),0)</f>
        <v>654</v>
      </c>
      <c r="AO29" s="33">
        <f>ROUND(坦克等级成长!$F126*VLOOKUP($Z$2,坦克等级成长!$B$36:$G$42,MATCH(AO$3,坦克等级成长!$B$35:$G$35,0)),0)</f>
        <v>174</v>
      </c>
      <c r="AP29" s="192">
        <v>9</v>
      </c>
      <c r="AQ29" s="33">
        <f>ROUND(坦克等级成长!$H126*VLOOKUP($Z$2,坦克等级成长!$B$36:$G$42,MATCH(AQ$3,坦克等级成长!$B$35:$G$35,0)),0)</f>
        <v>1768</v>
      </c>
      <c r="AR29" s="33">
        <f>ROUND(坦克等级成长!$H126*VLOOKUP($Z$2,坦克等级成长!$B$36:$G$42,MATCH(AR$3,坦克等级成长!$B$35:$G$35,0)),0)</f>
        <v>94</v>
      </c>
      <c r="AS29" s="33">
        <f>ROUND(坦克等级成长!$H126*VLOOKUP($Z$2,坦克等级成长!$B$36:$G$42,MATCH(AS$3,坦克等级成长!$B$35:$G$35,0)),0)</f>
        <v>726</v>
      </c>
      <c r="AT29" s="33">
        <f t="shared" si="22"/>
        <v>726</v>
      </c>
      <c r="AU29" s="33">
        <v>538</v>
      </c>
      <c r="AV29" s="33">
        <f>ROUND(坦克等级成长!$H126*VLOOKUP($Z$2,坦克等级成长!$B$36:$G$42,MATCH(AV$3,坦克等级成长!$B$35:$G$35,0)),0)</f>
        <v>663</v>
      </c>
      <c r="AW29" s="33">
        <f>ROUND(坦克等级成长!$H126*VLOOKUP($Z$2,坦克等级成长!$B$36:$G$42,MATCH(AW$3,坦克等级成长!$B$35:$G$35,0)),0)</f>
        <v>177</v>
      </c>
      <c r="AX29" s="192">
        <v>9</v>
      </c>
      <c r="AY29" s="33">
        <f>ROUND(坦克等级成长!$D126*VLOOKUP($AX$2,坦克等级成长!$B$36:$G$42,MATCH(AY$3,坦克等级成长!$B$35:$G$35,0)),0)</f>
        <v>1720</v>
      </c>
      <c r="AZ29" s="33">
        <f>ROUND(坦克等级成长!$D126*VLOOKUP($AX$2,坦克等级成长!$B$36:$G$42,MATCH(AZ$3,坦克等级成长!$B$35:$G$35,0)),0)</f>
        <v>171</v>
      </c>
      <c r="BA29" s="33">
        <f>ROUND(坦克等级成长!$D126*VLOOKUP($AX$2,坦克等级成长!$B$36:$G$42,MATCH(BA$3,坦克等级成长!$B$35:$G$35,0)),0)</f>
        <v>645</v>
      </c>
      <c r="BB29" s="33">
        <f t="shared" si="16"/>
        <v>645</v>
      </c>
      <c r="BC29" s="33">
        <v>478.8</v>
      </c>
      <c r="BD29" s="33">
        <f>ROUND(坦克等级成长!$D126*VLOOKUP($AX$2,坦克等级成长!$B$36:$G$42,MATCH(BD$3,坦克等级成长!$B$35:$G$35,0)),0)</f>
        <v>645</v>
      </c>
      <c r="BE29" s="33">
        <f>ROUND(坦克等级成长!$D126*VLOOKUP($AX$2,坦克等级成长!$B$36:$G$42,MATCH(BE$3,坦克等级成长!$B$35:$G$35,0)),0)</f>
        <v>172</v>
      </c>
      <c r="BF29" s="199">
        <v>9</v>
      </c>
      <c r="BG29" s="33">
        <f>ROUND(坦克等级成长!$F126*VLOOKUP($AX$2,坦克等级成长!$B$36:$G$42,MATCH(BG$3,坦克等级成长!$B$35:$G$35,0)),0)</f>
        <v>1744</v>
      </c>
      <c r="BH29" s="33">
        <f>ROUND(坦克等级成长!$F126*VLOOKUP($AX$2,坦克等级成长!$B$36:$G$42,MATCH(BH$3,坦克等级成长!$B$35:$G$35,0)),0)</f>
        <v>174</v>
      </c>
      <c r="BI29" s="33">
        <f>ROUND(坦克等级成长!$F126*VLOOKUP($AX$2,坦克等级成长!$B$36:$G$42,MATCH(BI$3,坦克等级成长!$B$35:$G$35,0)),0)</f>
        <v>654</v>
      </c>
      <c r="BJ29" s="33">
        <f t="shared" si="9"/>
        <v>654</v>
      </c>
      <c r="BK29" s="33">
        <v>491</v>
      </c>
      <c r="BL29" s="33">
        <f>ROUND(坦克等级成长!$F126*VLOOKUP($AX$2,坦克等级成长!$B$36:$G$42,MATCH(BL$3,坦克等级成长!$B$35:$G$35,0)),0)</f>
        <v>654</v>
      </c>
      <c r="BM29" s="33">
        <f>ROUND(坦克等级成长!$F126*VLOOKUP($AX$2,坦克等级成长!$B$36:$G$42,MATCH(BM$3,坦克等级成长!$B$35:$G$35,0)),0)</f>
        <v>174</v>
      </c>
      <c r="BN29" s="192">
        <v>9</v>
      </c>
      <c r="BO29" s="33">
        <f>ROUND(坦克等级成长!$H126*VLOOKUP($AX$2,坦克等级成长!$B$36:$G$42,MATCH(BO$3,坦克等级成长!$B$35:$G$35,0)),0)</f>
        <v>1768</v>
      </c>
      <c r="BP29" s="33">
        <f>ROUND(坦克等级成长!$H126*VLOOKUP($AX$2,坦克等级成长!$B$36:$G$42,MATCH(BP$3,坦克等级成长!$B$35:$G$35,0)),0)</f>
        <v>176</v>
      </c>
      <c r="BQ29" s="33">
        <f>ROUND(坦克等级成长!$H126*VLOOKUP($AX$2,坦克等级成长!$B$36:$G$42,MATCH(BQ$3,坦克等级成长!$B$35:$G$35,0)),0)</f>
        <v>663</v>
      </c>
      <c r="BR29" s="33">
        <f t="shared" si="23"/>
        <v>663</v>
      </c>
      <c r="BS29" s="33">
        <v>491</v>
      </c>
      <c r="BT29" s="33">
        <f>ROUND(坦克等级成长!$H126*VLOOKUP($AX$2,坦克等级成长!$B$36:$G$42,MATCH(BT$3,坦克等级成长!$B$35:$G$35,0)),0)</f>
        <v>663</v>
      </c>
      <c r="BU29" s="33">
        <f>ROUND(坦克等级成长!$H126*VLOOKUP($AX$2,坦克等级成长!$B$36:$G$42,MATCH(BU$3,坦克等级成长!$B$35:$G$35,0)),0)</f>
        <v>177</v>
      </c>
      <c r="BV29" s="192">
        <v>9</v>
      </c>
      <c r="BW29" s="33">
        <f>ROUND(坦克等级成长!$D126*VLOOKUP($BV$2,坦克等级成长!$B$36:$G$42,MATCH(BW$3,坦克等级成长!$B$35:$G$35,0)),0)</f>
        <v>1856</v>
      </c>
      <c r="BX29" s="33">
        <f>ROUND(坦克等级成长!$D126*VLOOKUP($BV$2,坦克等级成长!$B$36:$G$42,MATCH(BX$3,坦克等级成长!$B$35:$G$35,0)),0)</f>
        <v>160</v>
      </c>
      <c r="BY29" s="33">
        <f>ROUND(坦克等级成长!$D126*VLOOKUP($BV$2,坦克等级成长!$B$36:$G$42,MATCH(BY$3,坦克等级成长!$B$35:$G$35,0)),0)</f>
        <v>614</v>
      </c>
      <c r="BZ29" s="33">
        <f t="shared" si="17"/>
        <v>614</v>
      </c>
      <c r="CA29" s="33">
        <v>488.25</v>
      </c>
      <c r="CB29" s="33">
        <f>ROUND(坦克等级成长!$D126*VLOOKUP($BV$2,坦克等级成长!$B$36:$G$42,MATCH(CB$3,坦克等级成长!$B$35:$G$35,0)),0)</f>
        <v>774</v>
      </c>
      <c r="CC29" s="33">
        <f>ROUND(坦克等级成长!$D126*VLOOKUP($BV$2,坦克等级成长!$B$36:$G$42,MATCH(CC$3,坦克等级成长!$B$35:$G$35,0)),0)</f>
        <v>186</v>
      </c>
      <c r="CD29" s="199">
        <v>9</v>
      </c>
      <c r="CE29" s="33">
        <f>ROUND(坦克等级成长!$F126*VLOOKUP($BV$2,坦克等级成长!$B$36:$G$42,MATCH(CE$3,坦克等级成长!$B$35:$G$35,0)),0)</f>
        <v>1882</v>
      </c>
      <c r="CF29" s="33">
        <f>ROUND(坦克等级成长!$F126*VLOOKUP($BV$2,坦克等级成长!$B$36:$G$42,MATCH(CF$3,坦克等级成长!$B$35:$G$35,0)),0)</f>
        <v>162</v>
      </c>
      <c r="CG29" s="33">
        <f>ROUND(坦克等级成长!$F126*VLOOKUP($BV$2,坦克等级成长!$B$36:$G$42,MATCH(CG$3,坦克等级成长!$B$35:$G$35,0)),0)</f>
        <v>623</v>
      </c>
      <c r="CH29" s="33">
        <f t="shared" si="10"/>
        <v>623</v>
      </c>
      <c r="CI29" s="33">
        <v>502</v>
      </c>
      <c r="CJ29" s="33">
        <f>ROUND(坦克等级成长!$F126*VLOOKUP($BV$2,坦克等级成长!$B$36:$G$42,MATCH(CJ$3,坦克等级成长!$B$35:$G$35,0)),0)</f>
        <v>785</v>
      </c>
      <c r="CK29" s="33">
        <f>ROUND(坦克等级成长!$F126*VLOOKUP($BV$2,坦克等级成长!$B$36:$G$42,MATCH(CK$3,坦克等级成长!$B$35:$G$35,0)),0)</f>
        <v>188</v>
      </c>
      <c r="CL29" s="192">
        <v>9</v>
      </c>
      <c r="CM29" s="33">
        <f>ROUND(坦克等级成长!$H126*VLOOKUP($BV$2,坦克等级成长!$B$36:$G$42,MATCH(CM$3,坦克等级成长!$B$35:$G$35,0)),0)</f>
        <v>1908</v>
      </c>
      <c r="CN29" s="33">
        <f>ROUND(坦克等级成长!$H126*VLOOKUP($BV$2,坦克等级成长!$B$36:$G$42,MATCH(CN$3,坦克等级成长!$B$35:$G$35,0)),0)</f>
        <v>164</v>
      </c>
      <c r="CO29" s="33">
        <f>ROUND(坦克等级成长!$H126*VLOOKUP($BV$2,坦克等级成长!$B$36:$G$42,MATCH(CO$3,坦克等级成长!$B$35:$G$35,0)),0)</f>
        <v>631</v>
      </c>
      <c r="CP29" s="33">
        <f t="shared" si="24"/>
        <v>631</v>
      </c>
      <c r="CQ29" s="33">
        <v>502</v>
      </c>
      <c r="CR29" s="33">
        <f>ROUND(坦克等级成长!$H126*VLOOKUP($BV$2,坦克等级成长!$B$36:$G$42,MATCH(CR$3,坦克等级成长!$B$35:$G$35,0)),0)</f>
        <v>796</v>
      </c>
      <c r="CS29" s="33">
        <f>ROUND(坦克等级成长!$H126*VLOOKUP($BV$2,坦克等级成长!$B$36:$G$42,MATCH(CS$3,坦克等级成长!$B$35:$G$35,0)),0)</f>
        <v>191</v>
      </c>
      <c r="CT29" s="192">
        <v>9</v>
      </c>
      <c r="CU29" s="33">
        <f>ROUND(坦克等级成长!$D126*VLOOKUP($CT$2,坦克等级成长!$B$36:$G$42,MATCH(CU$3,坦克等级成长!$B$35:$G$35,0)),0)</f>
        <v>1720</v>
      </c>
      <c r="CV29" s="33">
        <f>ROUND(坦克等级成长!$D126*VLOOKUP($CT$2,坦克等级成长!$B$36:$G$42,MATCH(CV$3,坦克等级成长!$B$35:$G$35,0)),0)</f>
        <v>346</v>
      </c>
      <c r="CW29" s="33">
        <f>ROUND(坦克等级成长!$D126*VLOOKUP($CT$2,坦克等级成长!$B$36:$G$42,MATCH(CW$3,坦克等级成长!$B$35:$G$35,0)),0)</f>
        <v>768</v>
      </c>
      <c r="CX29" s="33">
        <f t="shared" si="18"/>
        <v>768</v>
      </c>
      <c r="CY29" s="33">
        <v>610.5</v>
      </c>
      <c r="CZ29" s="33">
        <f>ROUND(坦克等级成长!$D126*VLOOKUP($CT$2,坦克等级成长!$B$36:$G$42,MATCH(CZ$3,坦克等级成长!$B$35:$G$35,0)),0)</f>
        <v>645</v>
      </c>
      <c r="DA29" s="33">
        <f>ROUND(坦克等级成长!$D126*VLOOKUP($CT$2,坦克等级成长!$B$36:$G$42,MATCH(DA$3,坦克等级成长!$B$35:$G$35,0)),0)</f>
        <v>172</v>
      </c>
      <c r="DB29" s="199">
        <v>9</v>
      </c>
      <c r="DC29" s="33">
        <f>ROUND(坦克等级成长!$F126*VLOOKUP($CT$2,坦克等级成长!$B$36:$G$42,MATCH(DC$3,坦克等级成长!$B$35:$G$35,0)),0)</f>
        <v>1744</v>
      </c>
      <c r="DD29" s="33">
        <f>ROUND(坦克等级成长!$F126*VLOOKUP($CT$2,坦克等级成长!$B$36:$G$42,MATCH(DD$3,坦克等级成长!$B$35:$G$35,0)),0)</f>
        <v>351</v>
      </c>
      <c r="DE29" s="33">
        <f>ROUND(坦克等级成长!$F126*VLOOKUP($CT$2,坦克等级成长!$B$36:$G$42,MATCH(DE$3,坦克等级成长!$B$35:$G$35,0)),0)</f>
        <v>779</v>
      </c>
      <c r="DF29" s="33">
        <f t="shared" si="11"/>
        <v>779</v>
      </c>
      <c r="DG29" s="33">
        <v>627</v>
      </c>
      <c r="DH29" s="33">
        <f>ROUND(坦克等级成长!$F126*VLOOKUP($CT$2,坦克等级成长!$B$36:$G$42,MATCH(DH$3,坦克等级成长!$B$35:$G$35,0)),0)</f>
        <v>654</v>
      </c>
      <c r="DI29" s="33">
        <f>ROUND(坦克等级成长!$F126*VLOOKUP($CT$2,坦克等级成长!$B$36:$G$42,MATCH(DI$3,坦克等级成长!$B$35:$G$35,0)),0)</f>
        <v>174</v>
      </c>
      <c r="DJ29" s="192">
        <v>9</v>
      </c>
      <c r="DK29" s="33">
        <f>ROUND(坦克等级成长!$H126*VLOOKUP($CT$2,坦克等级成长!$B$36:$G$42,MATCH(DK$3,坦克等级成长!$B$35:$G$35,0)),0)</f>
        <v>1768</v>
      </c>
      <c r="DL29" s="33">
        <f>ROUND(坦克等级成长!$H126*VLOOKUP($CT$2,坦克等级成长!$B$36:$G$42,MATCH(DL$3,坦克等级成长!$B$35:$G$35,0)),0)</f>
        <v>356</v>
      </c>
      <c r="DM29" s="33">
        <f>ROUND(坦克等级成长!$H126*VLOOKUP($CT$2,坦克等级成长!$B$36:$G$42,MATCH(DM$3,坦克等级成长!$B$35:$G$35,0)),0)</f>
        <v>789</v>
      </c>
      <c r="DN29" s="33">
        <f t="shared" si="25"/>
        <v>789</v>
      </c>
      <c r="DO29" s="33">
        <v>627</v>
      </c>
      <c r="DP29" s="33">
        <f>ROUND(坦克等级成长!$H126*VLOOKUP($CT$2,坦克等级成长!$B$36:$G$42,MATCH(DP$3,坦克等级成长!$B$35:$G$35,0)),0)</f>
        <v>663</v>
      </c>
      <c r="DQ29" s="33">
        <f>ROUND(坦克等级成长!$H126*VLOOKUP($CT$2,坦克等级成长!$B$36:$G$42,MATCH(DQ$3,坦克等级成长!$B$35:$G$35,0)),0)</f>
        <v>177</v>
      </c>
      <c r="DR29" s="192">
        <v>9</v>
      </c>
      <c r="DS29" s="33">
        <f>ROUND(坦克等级成长!$D126*VLOOKUP($DR$2,坦克等级成长!$B$36:$G$42,MATCH(DS$3,坦克等级成长!$B$35:$G$35,0)),0)</f>
        <v>2104</v>
      </c>
      <c r="DT29" s="33">
        <f>ROUND(坦克等级成长!$D126*VLOOKUP($DR$2,坦克等级成长!$B$36:$G$42,MATCH(DT$3,坦克等级成长!$B$35:$G$35,0)),0)</f>
        <v>576</v>
      </c>
      <c r="DU29" s="33">
        <f>ROUND(坦克等级成长!$D126*VLOOKUP($DR$2,坦克等级成长!$B$36:$G$42,MATCH(DU$3,坦克等级成长!$B$35:$G$35,0)),0)</f>
        <v>614</v>
      </c>
      <c r="DV29" s="33">
        <f t="shared" si="19"/>
        <v>614</v>
      </c>
      <c r="DW29" s="33">
        <v>520.79999999999995</v>
      </c>
      <c r="DX29" s="33">
        <f>ROUND(坦克等级成长!$D126*VLOOKUP($DR$2,坦克等级成长!$B$36:$G$42,MATCH(DX$3,坦克等级成长!$B$35:$G$35,0)),0)</f>
        <v>903</v>
      </c>
      <c r="DY29" s="33">
        <f>ROUND(坦克等级成长!$D126*VLOOKUP($DR$2,坦克等级成长!$B$36:$G$42,MATCH(DY$3,坦克等级成长!$B$35:$G$35,0)),0)</f>
        <v>210</v>
      </c>
      <c r="DZ29" s="199">
        <v>9</v>
      </c>
      <c r="EA29" s="33">
        <f>ROUND(坦克等级成长!$F126*VLOOKUP($DR$2,坦克等级成长!$B$36:$G$42,MATCH(EA$3,坦克等级成长!$B$35:$G$35,0)),0)</f>
        <v>2133</v>
      </c>
      <c r="EB29" s="33">
        <f>ROUND(坦克等级成长!$F126*VLOOKUP($DR$2,坦克等级成长!$B$36:$G$42,MATCH(EB$3,坦克等级成长!$B$35:$G$35,0)),0)</f>
        <v>584</v>
      </c>
      <c r="EC29" s="33">
        <f>ROUND(坦克等级成长!$F126*VLOOKUP($DR$2,坦克等级成长!$B$36:$G$42,MATCH(EC$3,坦克等级成长!$B$35:$G$35,0)),0)</f>
        <v>623</v>
      </c>
      <c r="ED29" s="33">
        <f t="shared" si="12"/>
        <v>623</v>
      </c>
      <c r="EE29" s="33">
        <v>535</v>
      </c>
      <c r="EF29" s="33">
        <f>ROUND(坦克等级成长!$F126*VLOOKUP($DR$2,坦克等级成长!$B$36:$G$42,MATCH(EF$3,坦克等级成长!$B$35:$G$35,0)),0)</f>
        <v>916</v>
      </c>
      <c r="EG29" s="33">
        <f>ROUND(坦克等级成长!$F126*VLOOKUP($DR$2,坦克等级成长!$B$36:$G$42,MATCH(EG$3,坦克等级成长!$B$35:$G$35,0)),0)</f>
        <v>213</v>
      </c>
      <c r="EH29" s="192">
        <v>9</v>
      </c>
      <c r="EI29" s="33">
        <f>ROUND(坦克等级成长!$H126*VLOOKUP($DR$2,坦克等级成长!$B$36:$G$42,MATCH(EI$3,坦克等级成长!$B$35:$G$35,0)),0)</f>
        <v>2163</v>
      </c>
      <c r="EJ29" s="33">
        <f>ROUND(坦克等级成长!$H126*VLOOKUP($DR$2,坦克等级成长!$B$36:$G$42,MATCH(EJ$3,坦克等级成长!$B$35:$G$35,0)),0)</f>
        <v>592</v>
      </c>
      <c r="EK29" s="33">
        <f>ROUND(坦克等级成长!$H126*VLOOKUP($DR$2,坦克等级成长!$B$36:$G$42,MATCH(EK$3,坦克等级成长!$B$35:$G$35,0)),0)</f>
        <v>631</v>
      </c>
      <c r="EL29" s="33">
        <f t="shared" si="26"/>
        <v>631</v>
      </c>
      <c r="EM29" s="33">
        <v>535</v>
      </c>
      <c r="EN29" s="33">
        <f>ROUND(坦克等级成长!$H126*VLOOKUP($DR$2,坦克等级成长!$B$36:$G$42,MATCH(EN$3,坦克等级成长!$B$35:$G$35,0)),0)</f>
        <v>928</v>
      </c>
      <c r="EO29" s="33">
        <f>ROUND(坦克等级成长!$H126*VLOOKUP($DR$2,坦克等级成长!$B$36:$G$42,MATCH(EO$3,坦克等级成长!$B$35:$G$35,0)),0)</f>
        <v>216</v>
      </c>
      <c r="EP29" s="192">
        <v>9</v>
      </c>
      <c r="EQ29" s="33">
        <f>ROUND(坦克等级成长!$D126*VLOOKUP($EP$2,坦克等级成长!$B$36:$G$42,MATCH(EQ$3,坦克等级成长!$B$35:$G$35,0)),0)</f>
        <v>1856</v>
      </c>
      <c r="ER29" s="33">
        <f>ROUND(坦克等级成长!$D126*VLOOKUP($EP$2,坦克等级成长!$B$36:$G$42,MATCH(ER$3,坦克等级成长!$B$35:$G$35,0)),0)</f>
        <v>191</v>
      </c>
      <c r="ES29" s="33">
        <f>ROUND(坦克等级成长!$D126*VLOOKUP($EP$2,坦克等级成长!$B$36:$G$42,MATCH(ES$3,坦克等级成长!$B$35:$G$35,0)),0)</f>
        <v>706</v>
      </c>
      <c r="ET29" s="33">
        <f t="shared" si="20"/>
        <v>706</v>
      </c>
      <c r="EU29" s="33">
        <v>561.75</v>
      </c>
      <c r="EV29" s="33">
        <f>ROUND(坦克等级成长!$D126*VLOOKUP($EP$2,坦克等级成长!$B$36:$G$42,MATCH(EV$3,坦克等级成长!$B$35:$G$35,0)),0)</f>
        <v>774</v>
      </c>
      <c r="EW29" s="33">
        <f>ROUND(坦克等级成长!$D126*VLOOKUP($EP$2,坦克等级成长!$B$36:$G$42,MATCH(EW$3,坦克等级成长!$B$35:$G$35,0)),0)</f>
        <v>186</v>
      </c>
      <c r="EX29" s="199">
        <v>9</v>
      </c>
      <c r="EY29" s="33">
        <f>ROUND(坦克等级成长!$F126*VLOOKUP($EP$2,坦克等级成长!$B$36:$G$42,MATCH(EY$3,坦克等级成长!$B$35:$G$35,0)),0)</f>
        <v>1882</v>
      </c>
      <c r="EZ29" s="33">
        <f>ROUND(坦克等级成长!$F126*VLOOKUP($EP$2,坦克等级成长!$B$36:$G$42,MATCH(EZ$3,坦克等级成长!$B$35:$G$35,0)),0)</f>
        <v>194</v>
      </c>
      <c r="FA29" s="33">
        <f>ROUND(坦克等级成长!$F126*VLOOKUP($EP$2,坦克等级成长!$B$36:$G$42,MATCH(FA$3,坦克等级成长!$B$35:$G$35,0)),0)</f>
        <v>716</v>
      </c>
      <c r="FB29" s="33">
        <f t="shared" si="13"/>
        <v>716</v>
      </c>
      <c r="FC29" s="33">
        <v>577</v>
      </c>
      <c r="FD29" s="33">
        <f>ROUND(坦克等级成长!$F126*VLOOKUP($EP$2,坦克等级成长!$B$36:$G$42,MATCH(FD$3,坦克等级成长!$B$35:$G$35,0)),0)</f>
        <v>785</v>
      </c>
      <c r="FE29" s="33">
        <f>ROUND(坦克等级成长!$F126*VLOOKUP($EP$2,坦克等级成长!$B$36:$G$42,MATCH(FE$3,坦克等级成长!$B$35:$G$35,0)),0)</f>
        <v>188</v>
      </c>
      <c r="FF29" s="192">
        <v>9</v>
      </c>
      <c r="FG29" s="33">
        <f>ROUND(坦克等级成长!$H126*VLOOKUP($EP$2,坦克等级成长!$B$36:$G$42,MATCH(FG$3,坦克等级成长!$B$35:$G$35,0)),0)</f>
        <v>1908</v>
      </c>
      <c r="FH29" s="33">
        <f>ROUND(坦克等级成长!$H126*VLOOKUP($EP$2,坦克等级成长!$B$36:$G$42,MATCH(FH$3,坦克等级成长!$B$35:$G$35,0)),0)</f>
        <v>197</v>
      </c>
      <c r="FI29" s="33">
        <f>ROUND(坦克等级成长!$H126*VLOOKUP($EP$2,坦克等级成长!$B$36:$G$42,MATCH(FI$3,坦克等级成长!$B$35:$G$35,0)),0)</f>
        <v>726</v>
      </c>
      <c r="FJ29" s="33">
        <f t="shared" si="27"/>
        <v>726</v>
      </c>
      <c r="FK29" s="33">
        <v>577</v>
      </c>
      <c r="FL29" s="33">
        <f>ROUND(坦克等级成长!$H126*VLOOKUP($EP$2,坦克等级成长!$B$36:$G$42,MATCH(FL$3,坦克等级成长!$B$35:$G$35,0)),0)</f>
        <v>796</v>
      </c>
      <c r="FM29" s="33">
        <f>ROUND(坦克等级成长!$H126*VLOOKUP($EP$2,坦克等级成长!$B$36:$G$42,MATCH(FM$3,坦克等级成长!$B$35:$G$35,0)),0)</f>
        <v>191</v>
      </c>
    </row>
    <row r="30" spans="1:169" ht="14.25" x14ac:dyDescent="0.3">
      <c r="A30" s="189">
        <v>3</v>
      </c>
      <c r="B30" s="193"/>
      <c r="C30" s="189"/>
      <c r="D30" s="189"/>
      <c r="E30" s="189"/>
      <c r="F30" s="189"/>
      <c r="G30" s="189"/>
      <c r="H30" s="189"/>
      <c r="I30" s="200"/>
      <c r="J30" s="199">
        <v>10</v>
      </c>
      <c r="K30" s="33">
        <f>ROUND(坦克等级成长!$F127*VLOOKUP($B$2,坦克等级成长!$B$36:$G$42,MATCH(K$3,坦克等级成长!$B$35:$G$35,0)),0)</f>
        <v>1816</v>
      </c>
      <c r="L30" s="33">
        <f>ROUND(坦克等级成长!$F127*VLOOKUP($B$2,坦克等级成长!$B$36:$G$42,MATCH(L$3,坦克等级成长!$B$35:$G$35,0)),0)</f>
        <v>181</v>
      </c>
      <c r="M30" s="33">
        <f>ROUND(坦克等级成长!$F127*VLOOKUP($B$2,坦克等级成长!$B$36:$G$42,MATCH(M$3,坦克等级成长!$B$35:$G$35,0)),0)</f>
        <v>681</v>
      </c>
      <c r="N30" s="33">
        <f t="shared" si="7"/>
        <v>681</v>
      </c>
      <c r="O30" s="33">
        <v>512</v>
      </c>
      <c r="P30" s="33">
        <f>ROUND(坦克等级成长!$F127*VLOOKUP($B$2,坦克等级成长!$B$36:$G$42,MATCH(P$3,坦克等级成长!$B$35:$G$35,0)),0)</f>
        <v>681</v>
      </c>
      <c r="Q30" s="33">
        <f>ROUND(坦克等级成长!$F127*VLOOKUP($B$2,坦克等级成长!$B$36:$G$42,MATCH(Q$3,坦克等级成长!$B$35:$G$35,0)),0)</f>
        <v>182</v>
      </c>
      <c r="R30" s="192">
        <v>10</v>
      </c>
      <c r="S30" s="33">
        <f>ROUND(坦克等级成长!$H127*VLOOKUP($B$2,坦克等级成长!$B$36:$G$42,MATCH(S$3,坦克等级成长!$B$35:$G$35,0)),0)</f>
        <v>1840</v>
      </c>
      <c r="T30" s="33">
        <f>ROUND(坦克等级成长!$H127*VLOOKUP($B$2,坦克等级成长!$B$36:$G$42,MATCH(T$3,坦克等级成长!$B$35:$G$35,0)),0)</f>
        <v>183</v>
      </c>
      <c r="U30" s="33">
        <f>ROUND(坦克等级成长!$H127*VLOOKUP($B$2,坦克等级成长!$B$36:$G$42,MATCH(U$3,坦克等级成长!$B$35:$G$35,0)),0)</f>
        <v>690</v>
      </c>
      <c r="V30" s="33">
        <f t="shared" si="21"/>
        <v>690</v>
      </c>
      <c r="W30" s="33">
        <v>512</v>
      </c>
      <c r="X30" s="33">
        <f>ROUND(坦克等级成长!$H127*VLOOKUP($B$2,坦克等级成长!$B$36:$G$42,MATCH(X$3,坦克等级成长!$B$35:$G$35,0)),0)</f>
        <v>690</v>
      </c>
      <c r="Y30" s="33">
        <f>ROUND(坦克等级成长!$H127*VLOOKUP($B$2,坦克等级成长!$B$36:$G$42,MATCH(Y$3,坦克等级成长!$B$35:$G$35,0)),0)</f>
        <v>184</v>
      </c>
      <c r="Z30" s="193"/>
      <c r="AA30" s="189"/>
      <c r="AB30" s="189"/>
      <c r="AC30" s="189"/>
      <c r="AD30" s="189"/>
      <c r="AE30" s="189"/>
      <c r="AF30" s="189"/>
      <c r="AG30" s="200"/>
      <c r="AH30" s="199">
        <v>10</v>
      </c>
      <c r="AI30" s="33">
        <f>ROUND(坦克等级成长!$F127*VLOOKUP($Z$2,坦克等级成长!$B$36:$G$42,MATCH(AI$3,坦克等级成长!$B$35:$G$35,0)),0)</f>
        <v>1816</v>
      </c>
      <c r="AJ30" s="33">
        <f>ROUND(坦克等级成长!$F127*VLOOKUP($Z$2,坦克等级成长!$B$36:$G$42,MATCH(AJ$3,坦克等级成长!$B$35:$G$35,0)),0)</f>
        <v>96</v>
      </c>
      <c r="AK30" s="33">
        <f>ROUND(坦克等级成长!$F127*VLOOKUP($Z$2,坦克等级成长!$B$36:$G$42,MATCH(AK$3,坦克等级成长!$B$35:$G$35,0)),0)</f>
        <v>746</v>
      </c>
      <c r="AL30" s="33">
        <f t="shared" si="8"/>
        <v>746</v>
      </c>
      <c r="AM30" s="33">
        <v>561</v>
      </c>
      <c r="AN30" s="33">
        <f>ROUND(坦克等级成长!$F127*VLOOKUP($Z$2,坦克等级成长!$B$36:$G$42,MATCH(AN$3,坦克等级成长!$B$35:$G$35,0)),0)</f>
        <v>681</v>
      </c>
      <c r="AO30" s="33">
        <f>ROUND(坦克等级成长!$F127*VLOOKUP($Z$2,坦克等级成长!$B$36:$G$42,MATCH(AO$3,坦克等级成长!$B$35:$G$35,0)),0)</f>
        <v>182</v>
      </c>
      <c r="AP30" s="192">
        <v>10</v>
      </c>
      <c r="AQ30" s="33">
        <f>ROUND(坦克等级成长!$H127*VLOOKUP($Z$2,坦克等级成长!$B$36:$G$42,MATCH(AQ$3,坦克等级成长!$B$35:$G$35,0)),0)</f>
        <v>1840</v>
      </c>
      <c r="AR30" s="33">
        <f>ROUND(坦克等级成长!$H127*VLOOKUP($Z$2,坦克等级成长!$B$36:$G$42,MATCH(AR$3,坦克等级成长!$B$35:$G$35,0)),0)</f>
        <v>98</v>
      </c>
      <c r="AS30" s="33">
        <f>ROUND(坦克等级成长!$H127*VLOOKUP($Z$2,坦克等级成长!$B$36:$G$42,MATCH(AS$3,坦克等级成长!$B$35:$G$35,0)),0)</f>
        <v>756</v>
      </c>
      <c r="AT30" s="33">
        <f t="shared" si="22"/>
        <v>756</v>
      </c>
      <c r="AU30" s="33">
        <v>561</v>
      </c>
      <c r="AV30" s="33">
        <f>ROUND(坦克等级成长!$H127*VLOOKUP($Z$2,坦克等级成长!$B$36:$G$42,MATCH(AV$3,坦克等级成长!$B$35:$G$35,0)),0)</f>
        <v>690</v>
      </c>
      <c r="AW30" s="33">
        <f>ROUND(坦克等级成长!$H127*VLOOKUP($Z$2,坦克等级成长!$B$36:$G$42,MATCH(AW$3,坦克等级成长!$B$35:$G$35,0)),0)</f>
        <v>184</v>
      </c>
      <c r="AX30" s="193"/>
      <c r="AY30" s="189"/>
      <c r="AZ30" s="189"/>
      <c r="BA30" s="189"/>
      <c r="BB30" s="189"/>
      <c r="BC30" s="189"/>
      <c r="BD30" s="189"/>
      <c r="BE30" s="200"/>
      <c r="BF30" s="199">
        <v>10</v>
      </c>
      <c r="BG30" s="33">
        <f>ROUND(坦克等级成长!$F127*VLOOKUP($AX$2,坦克等级成长!$B$36:$G$42,MATCH(BG$3,坦克等级成长!$B$35:$G$35,0)),0)</f>
        <v>1816</v>
      </c>
      <c r="BH30" s="33">
        <f>ROUND(坦克等级成长!$F127*VLOOKUP($AX$2,坦克等级成长!$B$36:$G$42,MATCH(BH$3,坦克等级成长!$B$35:$G$35,0)),0)</f>
        <v>181</v>
      </c>
      <c r="BI30" s="33">
        <f>ROUND(坦克等级成长!$F127*VLOOKUP($AX$2,坦克等级成长!$B$36:$G$42,MATCH(BI$3,坦克等级成长!$B$35:$G$35,0)),0)</f>
        <v>681</v>
      </c>
      <c r="BJ30" s="33">
        <f t="shared" si="9"/>
        <v>681</v>
      </c>
      <c r="BK30" s="33">
        <v>512</v>
      </c>
      <c r="BL30" s="33">
        <f>ROUND(坦克等级成长!$F127*VLOOKUP($AX$2,坦克等级成长!$B$36:$G$42,MATCH(BL$3,坦克等级成长!$B$35:$G$35,0)),0)</f>
        <v>681</v>
      </c>
      <c r="BM30" s="33">
        <f>ROUND(坦克等级成长!$F127*VLOOKUP($AX$2,坦克等级成长!$B$36:$G$42,MATCH(BM$3,坦克等级成长!$B$35:$G$35,0)),0)</f>
        <v>182</v>
      </c>
      <c r="BN30" s="192">
        <v>10</v>
      </c>
      <c r="BO30" s="33">
        <f>ROUND(坦克等级成长!$H127*VLOOKUP($AX$2,坦克等级成长!$B$36:$G$42,MATCH(BO$3,坦克等级成长!$B$35:$G$35,0)),0)</f>
        <v>1840</v>
      </c>
      <c r="BP30" s="33">
        <f>ROUND(坦克等级成长!$H127*VLOOKUP($AX$2,坦克等级成长!$B$36:$G$42,MATCH(BP$3,坦克等级成长!$B$35:$G$35,0)),0)</f>
        <v>183</v>
      </c>
      <c r="BQ30" s="33">
        <f>ROUND(坦克等级成长!$H127*VLOOKUP($AX$2,坦克等级成长!$B$36:$G$42,MATCH(BQ$3,坦克等级成长!$B$35:$G$35,0)),0)</f>
        <v>690</v>
      </c>
      <c r="BR30" s="33">
        <f t="shared" si="23"/>
        <v>690</v>
      </c>
      <c r="BS30" s="33">
        <v>512</v>
      </c>
      <c r="BT30" s="33">
        <f>ROUND(坦克等级成长!$H127*VLOOKUP($AX$2,坦克等级成长!$B$36:$G$42,MATCH(BT$3,坦克等级成长!$B$35:$G$35,0)),0)</f>
        <v>690</v>
      </c>
      <c r="BU30" s="33">
        <f>ROUND(坦克等级成长!$H127*VLOOKUP($AX$2,坦克等级成长!$B$36:$G$42,MATCH(BU$3,坦克等级成长!$B$35:$G$35,0)),0)</f>
        <v>184</v>
      </c>
      <c r="BV30" s="193"/>
      <c r="BW30" s="189"/>
      <c r="BX30" s="189"/>
      <c r="BY30" s="189"/>
      <c r="BZ30" s="189"/>
      <c r="CA30" s="189"/>
      <c r="CB30" s="189"/>
      <c r="CC30" s="200"/>
      <c r="CD30" s="199">
        <v>10</v>
      </c>
      <c r="CE30" s="33">
        <f>ROUND(坦克等级成长!$F127*VLOOKUP($BV$2,坦克等级成长!$B$36:$G$42,MATCH(CE$3,坦克等级成长!$B$35:$G$35,0)),0)</f>
        <v>1960</v>
      </c>
      <c r="CF30" s="33">
        <f>ROUND(坦克等级成长!$F127*VLOOKUP($BV$2,坦克等级成长!$B$36:$G$42,MATCH(CF$3,坦克等级成长!$B$35:$G$35,0)),0)</f>
        <v>169</v>
      </c>
      <c r="CG30" s="33">
        <f>ROUND(坦克等级成长!$F127*VLOOKUP($BV$2,坦克等级成长!$B$36:$G$42,MATCH(CG$3,坦克等级成长!$B$35:$G$35,0)),0)</f>
        <v>649</v>
      </c>
      <c r="CH30" s="33">
        <f t="shared" si="10"/>
        <v>649</v>
      </c>
      <c r="CI30" s="33">
        <v>523</v>
      </c>
      <c r="CJ30" s="33">
        <f>ROUND(坦克等级成长!$F127*VLOOKUP($BV$2,坦克等级成长!$B$36:$G$42,MATCH(CJ$3,坦克等级成长!$B$35:$G$35,0)),0)</f>
        <v>817</v>
      </c>
      <c r="CK30" s="33">
        <f>ROUND(坦克等级成长!$F127*VLOOKUP($BV$2,坦克等级成长!$B$36:$G$42,MATCH(CK$3,坦克等级成长!$B$35:$G$35,0)),0)</f>
        <v>196</v>
      </c>
      <c r="CL30" s="192">
        <v>10</v>
      </c>
      <c r="CM30" s="33">
        <f>ROUND(坦克等级成长!$H127*VLOOKUP($BV$2,坦克等级成长!$B$36:$G$42,MATCH(CM$3,坦克等级成长!$B$35:$G$35,0)),0)</f>
        <v>1986</v>
      </c>
      <c r="CN30" s="33">
        <f>ROUND(坦克等级成长!$H127*VLOOKUP($BV$2,坦克等级成长!$B$36:$G$42,MATCH(CN$3,坦克等级成长!$B$35:$G$35,0)),0)</f>
        <v>171</v>
      </c>
      <c r="CO30" s="33">
        <f>ROUND(坦克等级成长!$H127*VLOOKUP($BV$2,坦克等级成长!$B$36:$G$42,MATCH(CO$3,坦克等级成长!$B$35:$G$35,0)),0)</f>
        <v>657</v>
      </c>
      <c r="CP30" s="33">
        <f t="shared" si="24"/>
        <v>657</v>
      </c>
      <c r="CQ30" s="33">
        <v>523</v>
      </c>
      <c r="CR30" s="33">
        <f>ROUND(坦克等级成长!$H127*VLOOKUP($BV$2,坦克等级成长!$B$36:$G$42,MATCH(CR$3,坦克等级成长!$B$35:$G$35,0)),0)</f>
        <v>828</v>
      </c>
      <c r="CS30" s="33">
        <f>ROUND(坦克等级成长!$H127*VLOOKUP($BV$2,坦克等级成长!$B$36:$G$42,MATCH(CS$3,坦克等级成长!$B$35:$G$35,0)),0)</f>
        <v>199</v>
      </c>
      <c r="CT30" s="193"/>
      <c r="CU30" s="189"/>
      <c r="CV30" s="189"/>
      <c r="CW30" s="189"/>
      <c r="CX30" s="189"/>
      <c r="CY30" s="189"/>
      <c r="CZ30" s="189"/>
      <c r="DA30" s="200"/>
      <c r="DB30" s="199">
        <v>10</v>
      </c>
      <c r="DC30" s="33">
        <f>ROUND(坦克等级成长!$F127*VLOOKUP($CT$2,坦克等级成长!$B$36:$G$42,MATCH(DC$3,坦克等级成长!$B$35:$G$35,0)),0)</f>
        <v>1816</v>
      </c>
      <c r="DD30" s="33">
        <f>ROUND(坦克等级成长!$F127*VLOOKUP($CT$2,坦克等级成长!$B$36:$G$42,MATCH(DD$3,坦克等级成长!$B$35:$G$35,0)),0)</f>
        <v>366</v>
      </c>
      <c r="DE30" s="33">
        <f>ROUND(坦克等级成长!$F127*VLOOKUP($CT$2,坦克等级成长!$B$36:$G$42,MATCH(DE$3,坦克等级成长!$B$35:$G$35,0)),0)</f>
        <v>811</v>
      </c>
      <c r="DF30" s="33">
        <f t="shared" si="11"/>
        <v>811</v>
      </c>
      <c r="DG30" s="33">
        <v>653</v>
      </c>
      <c r="DH30" s="33">
        <f>ROUND(坦克等级成长!$F127*VLOOKUP($CT$2,坦克等级成长!$B$36:$G$42,MATCH(DH$3,坦克等级成长!$B$35:$G$35,0)),0)</f>
        <v>681</v>
      </c>
      <c r="DI30" s="33">
        <f>ROUND(坦克等级成长!$F127*VLOOKUP($CT$2,坦克等级成长!$B$36:$G$42,MATCH(DI$3,坦克等级成长!$B$35:$G$35,0)),0)</f>
        <v>182</v>
      </c>
      <c r="DJ30" s="192">
        <v>10</v>
      </c>
      <c r="DK30" s="33">
        <f>ROUND(坦克等级成长!$H127*VLOOKUP($CT$2,坦克等级成长!$B$36:$G$42,MATCH(DK$3,坦克等级成长!$B$35:$G$35,0)),0)</f>
        <v>1840</v>
      </c>
      <c r="DL30" s="33">
        <f>ROUND(坦克等级成长!$H127*VLOOKUP($CT$2,坦克等级成长!$B$36:$G$42,MATCH(DL$3,坦克等级成长!$B$35:$G$35,0)),0)</f>
        <v>370</v>
      </c>
      <c r="DM30" s="33">
        <f>ROUND(坦克等级成长!$H127*VLOOKUP($CT$2,坦克等级成长!$B$36:$G$42,MATCH(DM$3,坦克等级成长!$B$35:$G$35,0)),0)</f>
        <v>821</v>
      </c>
      <c r="DN30" s="33">
        <f t="shared" si="25"/>
        <v>821</v>
      </c>
      <c r="DO30" s="33">
        <v>653</v>
      </c>
      <c r="DP30" s="33">
        <f>ROUND(坦克等级成长!$H127*VLOOKUP($CT$2,坦克等级成长!$B$36:$G$42,MATCH(DP$3,坦克等级成长!$B$35:$G$35,0)),0)</f>
        <v>690</v>
      </c>
      <c r="DQ30" s="33">
        <f>ROUND(坦克等级成长!$H127*VLOOKUP($CT$2,坦克等级成长!$B$36:$G$42,MATCH(DQ$3,坦克等级成长!$B$35:$G$35,0)),0)</f>
        <v>184</v>
      </c>
      <c r="DR30" s="193"/>
      <c r="DS30" s="189"/>
      <c r="DT30" s="189"/>
      <c r="DU30" s="189"/>
      <c r="DV30" s="189"/>
      <c r="DW30" s="189"/>
      <c r="DX30" s="189"/>
      <c r="DY30" s="200"/>
      <c r="DZ30" s="199">
        <v>10</v>
      </c>
      <c r="EA30" s="33">
        <f>ROUND(坦克等级成长!$F127*VLOOKUP($DR$2,坦克等级成长!$B$36:$G$42,MATCH(EA$3,坦克等级成长!$B$35:$G$35,0)),0)</f>
        <v>2222</v>
      </c>
      <c r="EB30" s="33">
        <f>ROUND(坦克等级成长!$F127*VLOOKUP($DR$2,坦克等级成长!$B$36:$G$42,MATCH(EB$3,坦克等级成长!$B$35:$G$35,0)),0)</f>
        <v>609</v>
      </c>
      <c r="EC30" s="33">
        <f>ROUND(坦克等级成长!$F127*VLOOKUP($DR$2,坦克等级成长!$B$36:$G$42,MATCH(EC$3,坦克等级成长!$B$35:$G$35,0)),0)</f>
        <v>649</v>
      </c>
      <c r="ED30" s="33">
        <f t="shared" si="12"/>
        <v>649</v>
      </c>
      <c r="EE30" s="33">
        <v>558</v>
      </c>
      <c r="EF30" s="33">
        <f>ROUND(坦克等级成长!$F127*VLOOKUP($DR$2,坦克等级成长!$B$36:$G$42,MATCH(EF$3,坦克等级成长!$B$35:$G$35,0)),0)</f>
        <v>953</v>
      </c>
      <c r="EG30" s="33">
        <f>ROUND(坦克等级成长!$F127*VLOOKUP($DR$2,坦克等级成长!$B$36:$G$42,MATCH(EG$3,坦克等级成长!$B$35:$G$35,0)),0)</f>
        <v>222</v>
      </c>
      <c r="EH30" s="192">
        <v>10</v>
      </c>
      <c r="EI30" s="33">
        <f>ROUND(坦克等级成长!$H127*VLOOKUP($DR$2,坦克等级成长!$B$36:$G$42,MATCH(EI$3,坦克等级成长!$B$35:$G$35,0)),0)</f>
        <v>2251</v>
      </c>
      <c r="EJ30" s="33">
        <f>ROUND(坦克等级成长!$H127*VLOOKUP($DR$2,坦克等级成长!$B$36:$G$42,MATCH(EJ$3,坦克等级成长!$B$35:$G$35,0)),0)</f>
        <v>617</v>
      </c>
      <c r="EK30" s="33">
        <f>ROUND(坦克等级成长!$H127*VLOOKUP($DR$2,坦克等级成长!$B$36:$G$42,MATCH(EK$3,坦克等级成长!$B$35:$G$35,0)),0)</f>
        <v>657</v>
      </c>
      <c r="EL30" s="33">
        <f t="shared" si="26"/>
        <v>657</v>
      </c>
      <c r="EM30" s="33">
        <v>558</v>
      </c>
      <c r="EN30" s="33">
        <f>ROUND(坦克等级成长!$H127*VLOOKUP($DR$2,坦克等级成长!$B$36:$G$42,MATCH(EN$3,坦克等级成长!$B$35:$G$35,0)),0)</f>
        <v>966</v>
      </c>
      <c r="EO30" s="33">
        <f>ROUND(坦克等级成长!$H127*VLOOKUP($DR$2,坦克等级成长!$B$36:$G$42,MATCH(EO$3,坦克等级成长!$B$35:$G$35,0)),0)</f>
        <v>225</v>
      </c>
      <c r="EP30" s="193"/>
      <c r="EQ30" s="189"/>
      <c r="ER30" s="189"/>
      <c r="ES30" s="189"/>
      <c r="ET30" s="189"/>
      <c r="EU30" s="189"/>
      <c r="EV30" s="189"/>
      <c r="EW30" s="200"/>
      <c r="EX30" s="199">
        <v>10</v>
      </c>
      <c r="EY30" s="33">
        <f>ROUND(坦克等级成长!$F127*VLOOKUP($EP$2,坦克等级成长!$B$36:$G$42,MATCH(EY$3,坦克等级成长!$B$35:$G$35,0)),0)</f>
        <v>1960</v>
      </c>
      <c r="EZ30" s="33">
        <f>ROUND(坦克等级成长!$F127*VLOOKUP($EP$2,坦克等级成长!$B$36:$G$42,MATCH(EZ$3,坦克等级成长!$B$35:$G$35,0)),0)</f>
        <v>202</v>
      </c>
      <c r="FA30" s="33">
        <f>ROUND(坦克等级成长!$F127*VLOOKUP($EP$2,坦克等级成长!$B$36:$G$42,MATCH(FA$3,坦克等级成长!$B$35:$G$35,0)),0)</f>
        <v>746</v>
      </c>
      <c r="FB30" s="33">
        <f t="shared" si="13"/>
        <v>746</v>
      </c>
      <c r="FC30" s="33">
        <v>602</v>
      </c>
      <c r="FD30" s="33">
        <f>ROUND(坦克等级成长!$F127*VLOOKUP($EP$2,坦克等级成长!$B$36:$G$42,MATCH(FD$3,坦克等级成长!$B$35:$G$35,0)),0)</f>
        <v>817</v>
      </c>
      <c r="FE30" s="33">
        <f>ROUND(坦克等级成长!$F127*VLOOKUP($EP$2,坦克等级成长!$B$36:$G$42,MATCH(FE$3,坦克等级成长!$B$35:$G$35,0)),0)</f>
        <v>196</v>
      </c>
      <c r="FF30" s="192">
        <v>10</v>
      </c>
      <c r="FG30" s="33">
        <f>ROUND(坦克等级成长!$H127*VLOOKUP($EP$2,坦克等级成长!$B$36:$G$42,MATCH(FG$3,坦克等级成长!$B$35:$G$35,0)),0)</f>
        <v>1986</v>
      </c>
      <c r="FH30" s="33">
        <f>ROUND(坦克等级成长!$H127*VLOOKUP($EP$2,坦克等级成长!$B$36:$G$42,MATCH(FH$3,坦克等级成长!$B$35:$G$35,0)),0)</f>
        <v>205</v>
      </c>
      <c r="FI30" s="33">
        <f>ROUND(坦克等级成长!$H127*VLOOKUP($EP$2,坦克等级成长!$B$36:$G$42,MATCH(FI$3,坦克等级成长!$B$35:$G$35,0)),0)</f>
        <v>756</v>
      </c>
      <c r="FJ30" s="33">
        <f t="shared" si="27"/>
        <v>756</v>
      </c>
      <c r="FK30" s="33">
        <v>602</v>
      </c>
      <c r="FL30" s="33">
        <f>ROUND(坦克等级成长!$H127*VLOOKUP($EP$2,坦克等级成长!$B$36:$G$42,MATCH(FL$3,坦克等级成长!$B$35:$G$35,0)),0)</f>
        <v>828</v>
      </c>
      <c r="FM30" s="33">
        <f>ROUND(坦克等级成长!$H127*VLOOKUP($EP$2,坦克等级成长!$B$36:$G$42,MATCH(FM$3,坦克等级成长!$B$35:$G$35,0)),0)</f>
        <v>199</v>
      </c>
    </row>
    <row r="31" spans="1:169" ht="14.25" x14ac:dyDescent="0.3">
      <c r="A31" s="189">
        <v>3</v>
      </c>
      <c r="B31" s="193"/>
      <c r="C31" s="189"/>
      <c r="D31" s="189"/>
      <c r="E31" s="189"/>
      <c r="F31" s="189"/>
      <c r="G31" s="189"/>
      <c r="H31" s="189"/>
      <c r="I31" s="200"/>
      <c r="J31" s="199">
        <v>11</v>
      </c>
      <c r="K31" s="33">
        <f>ROUND(坦克等级成长!$F128*VLOOKUP($B$2,坦克等级成长!$B$36:$G$42,MATCH(K$3,坦克等级成长!$B$35:$G$35,0)),0)</f>
        <v>1896</v>
      </c>
      <c r="L31" s="33">
        <f>ROUND(坦克等级成长!$F128*VLOOKUP($B$2,坦克等级成长!$B$36:$G$42,MATCH(L$3,坦克等级成长!$B$35:$G$35,0)),0)</f>
        <v>189</v>
      </c>
      <c r="M31" s="33">
        <f>ROUND(坦克等级成长!$F128*VLOOKUP($B$2,坦克等级成长!$B$36:$G$42,MATCH(M$3,坦克等级成长!$B$35:$G$35,0)),0)</f>
        <v>711</v>
      </c>
      <c r="N31" s="33">
        <f t="shared" si="7"/>
        <v>711</v>
      </c>
      <c r="O31" s="33">
        <v>538</v>
      </c>
      <c r="P31" s="33">
        <f>ROUND(坦克等级成长!$F128*VLOOKUP($B$2,坦克等级成长!$B$36:$G$42,MATCH(P$3,坦克等级成长!$B$35:$G$35,0)),0)</f>
        <v>711</v>
      </c>
      <c r="Q31" s="33">
        <f>ROUND(坦克等级成长!$F128*VLOOKUP($B$2,坦克等级成长!$B$36:$G$42,MATCH(Q$3,坦克等级成长!$B$35:$G$35,0)),0)</f>
        <v>190</v>
      </c>
      <c r="R31" s="192">
        <v>11</v>
      </c>
      <c r="S31" s="33">
        <f>ROUND(坦克等级成长!$H128*VLOOKUP($B$2,坦克等级成长!$B$36:$G$42,MATCH(S$3,坦克等级成长!$B$35:$G$35,0)),0)</f>
        <v>1928</v>
      </c>
      <c r="T31" s="33">
        <f>ROUND(坦克等级成长!$H128*VLOOKUP($B$2,坦克等级成长!$B$36:$G$42,MATCH(T$3,坦克等级成长!$B$35:$G$35,0)),0)</f>
        <v>192</v>
      </c>
      <c r="U31" s="33">
        <f>ROUND(坦克等级成长!$H128*VLOOKUP($B$2,坦克等级成长!$B$36:$G$42,MATCH(U$3,坦克等级成长!$B$35:$G$35,0)),0)</f>
        <v>723</v>
      </c>
      <c r="V31" s="33">
        <f t="shared" si="21"/>
        <v>723</v>
      </c>
      <c r="W31" s="33">
        <v>538</v>
      </c>
      <c r="X31" s="33">
        <f>ROUND(坦克等级成长!$H128*VLOOKUP($B$2,坦克等级成长!$B$36:$G$42,MATCH(X$3,坦克等级成长!$B$35:$G$35,0)),0)</f>
        <v>723</v>
      </c>
      <c r="Y31" s="33">
        <f>ROUND(坦克等级成长!$H128*VLOOKUP($B$2,坦克等级成长!$B$36:$G$42,MATCH(Y$3,坦克等级成长!$B$35:$G$35,0)),0)</f>
        <v>193</v>
      </c>
      <c r="Z31" s="193"/>
      <c r="AA31" s="189"/>
      <c r="AB31" s="189"/>
      <c r="AC31" s="189"/>
      <c r="AD31" s="189"/>
      <c r="AE31" s="189"/>
      <c r="AF31" s="189"/>
      <c r="AG31" s="200"/>
      <c r="AH31" s="199">
        <v>11</v>
      </c>
      <c r="AI31" s="33">
        <f>ROUND(坦克等级成长!$F128*VLOOKUP($Z$2,坦克等级成长!$B$36:$G$42,MATCH(AI$3,坦克等级成长!$B$35:$G$35,0)),0)</f>
        <v>1896</v>
      </c>
      <c r="AJ31" s="33">
        <f>ROUND(坦克等级成长!$F128*VLOOKUP($Z$2,坦克等级成长!$B$36:$G$42,MATCH(AJ$3,坦克等级成长!$B$35:$G$35,0)),0)</f>
        <v>101</v>
      </c>
      <c r="AK31" s="33">
        <f>ROUND(坦克等级成长!$F128*VLOOKUP($Z$2,坦克等级成长!$B$36:$G$42,MATCH(AK$3,坦克等级成长!$B$35:$G$35,0)),0)</f>
        <v>779</v>
      </c>
      <c r="AL31" s="33">
        <f t="shared" si="8"/>
        <v>779</v>
      </c>
      <c r="AM31" s="33">
        <v>589</v>
      </c>
      <c r="AN31" s="33">
        <f>ROUND(坦克等级成长!$F128*VLOOKUP($Z$2,坦克等级成长!$B$36:$G$42,MATCH(AN$3,坦克等级成长!$B$35:$G$35,0)),0)</f>
        <v>711</v>
      </c>
      <c r="AO31" s="33">
        <f>ROUND(坦克等级成长!$F128*VLOOKUP($Z$2,坦克等级成长!$B$36:$G$42,MATCH(AO$3,坦克等级成长!$B$35:$G$35,0)),0)</f>
        <v>190</v>
      </c>
      <c r="AP31" s="192">
        <v>11</v>
      </c>
      <c r="AQ31" s="33">
        <f>ROUND(坦克等级成长!$H128*VLOOKUP($Z$2,坦克等级成长!$B$36:$G$42,MATCH(AQ$3,坦克等级成长!$B$35:$G$35,0)),0)</f>
        <v>1928</v>
      </c>
      <c r="AR31" s="33">
        <f>ROUND(坦克等级成长!$H128*VLOOKUP($Z$2,坦克等级成长!$B$36:$G$42,MATCH(AR$3,坦克等级成长!$B$35:$G$35,0)),0)</f>
        <v>102</v>
      </c>
      <c r="AS31" s="33">
        <f>ROUND(坦克等级成长!$H128*VLOOKUP($Z$2,坦克等级成长!$B$36:$G$42,MATCH(AS$3,坦克等级成长!$B$35:$G$35,0)),0)</f>
        <v>792</v>
      </c>
      <c r="AT31" s="33">
        <f t="shared" si="22"/>
        <v>792</v>
      </c>
      <c r="AU31" s="33">
        <v>589</v>
      </c>
      <c r="AV31" s="33">
        <f>ROUND(坦克等级成长!$H128*VLOOKUP($Z$2,坦克等级成长!$B$36:$G$42,MATCH(AV$3,坦克等级成长!$B$35:$G$35,0)),0)</f>
        <v>723</v>
      </c>
      <c r="AW31" s="33">
        <f>ROUND(坦克等级成长!$H128*VLOOKUP($Z$2,坦克等级成长!$B$36:$G$42,MATCH(AW$3,坦克等级成长!$B$35:$G$35,0)),0)</f>
        <v>193</v>
      </c>
      <c r="AX31" s="193"/>
      <c r="AY31" s="189"/>
      <c r="AZ31" s="189"/>
      <c r="BA31" s="189"/>
      <c r="BB31" s="189"/>
      <c r="BC31" s="189"/>
      <c r="BD31" s="189"/>
      <c r="BE31" s="200"/>
      <c r="BF31" s="199">
        <v>11</v>
      </c>
      <c r="BG31" s="33">
        <f>ROUND(坦克等级成长!$F128*VLOOKUP($AX$2,坦克等级成长!$B$36:$G$42,MATCH(BG$3,坦克等级成长!$B$35:$G$35,0)),0)</f>
        <v>1896</v>
      </c>
      <c r="BH31" s="33">
        <f>ROUND(坦克等级成长!$F128*VLOOKUP($AX$2,坦克等级成长!$B$36:$G$42,MATCH(BH$3,坦克等级成长!$B$35:$G$35,0)),0)</f>
        <v>189</v>
      </c>
      <c r="BI31" s="33">
        <f>ROUND(坦克等级成长!$F128*VLOOKUP($AX$2,坦克等级成长!$B$36:$G$42,MATCH(BI$3,坦克等级成长!$B$35:$G$35,0)),0)</f>
        <v>711</v>
      </c>
      <c r="BJ31" s="33">
        <f t="shared" si="9"/>
        <v>711</v>
      </c>
      <c r="BK31" s="33">
        <v>538</v>
      </c>
      <c r="BL31" s="33">
        <f>ROUND(坦克等级成长!$F128*VLOOKUP($AX$2,坦克等级成长!$B$36:$G$42,MATCH(BL$3,坦克等级成长!$B$35:$G$35,0)),0)</f>
        <v>711</v>
      </c>
      <c r="BM31" s="33">
        <f>ROUND(坦克等级成长!$F128*VLOOKUP($AX$2,坦克等级成长!$B$36:$G$42,MATCH(BM$3,坦克等级成长!$B$35:$G$35,0)),0)</f>
        <v>190</v>
      </c>
      <c r="BN31" s="192">
        <v>11</v>
      </c>
      <c r="BO31" s="33">
        <f>ROUND(坦克等级成长!$H128*VLOOKUP($AX$2,坦克等级成长!$B$36:$G$42,MATCH(BO$3,坦克等级成长!$B$35:$G$35,0)),0)</f>
        <v>1928</v>
      </c>
      <c r="BP31" s="33">
        <f>ROUND(坦克等级成长!$H128*VLOOKUP($AX$2,坦克等级成长!$B$36:$G$42,MATCH(BP$3,坦克等级成长!$B$35:$G$35,0)),0)</f>
        <v>192</v>
      </c>
      <c r="BQ31" s="33">
        <f>ROUND(坦克等级成长!$H128*VLOOKUP($AX$2,坦克等级成长!$B$36:$G$42,MATCH(BQ$3,坦克等级成长!$B$35:$G$35,0)),0)</f>
        <v>723</v>
      </c>
      <c r="BR31" s="33">
        <f t="shared" si="23"/>
        <v>723</v>
      </c>
      <c r="BS31" s="33">
        <v>538</v>
      </c>
      <c r="BT31" s="33">
        <f>ROUND(坦克等级成长!$H128*VLOOKUP($AX$2,坦克等级成长!$B$36:$G$42,MATCH(BT$3,坦克等级成长!$B$35:$G$35,0)),0)</f>
        <v>723</v>
      </c>
      <c r="BU31" s="33">
        <f>ROUND(坦克等级成长!$H128*VLOOKUP($AX$2,坦克等级成长!$B$36:$G$42,MATCH(BU$3,坦克等级成长!$B$35:$G$35,0)),0)</f>
        <v>193</v>
      </c>
      <c r="BV31" s="193"/>
      <c r="BW31" s="189"/>
      <c r="BX31" s="189"/>
      <c r="BY31" s="189"/>
      <c r="BZ31" s="189"/>
      <c r="CA31" s="189"/>
      <c r="CB31" s="189"/>
      <c r="CC31" s="200"/>
      <c r="CD31" s="199">
        <v>11</v>
      </c>
      <c r="CE31" s="33">
        <f>ROUND(坦克等级成长!$F128*VLOOKUP($BV$2,坦克等级成长!$B$36:$G$42,MATCH(CE$3,坦克等级成长!$B$35:$G$35,0)),0)</f>
        <v>2046</v>
      </c>
      <c r="CF31" s="33">
        <f>ROUND(坦克等级成长!$F128*VLOOKUP($BV$2,坦克等级成长!$B$36:$G$42,MATCH(CF$3,坦克等级成长!$B$35:$G$35,0)),0)</f>
        <v>176</v>
      </c>
      <c r="CG31" s="33">
        <f>ROUND(坦克等级成长!$F128*VLOOKUP($BV$2,坦克等级成长!$B$36:$G$42,MATCH(CG$3,坦克等级成长!$B$35:$G$35,0)),0)</f>
        <v>677</v>
      </c>
      <c r="CH31" s="33">
        <f t="shared" si="10"/>
        <v>677</v>
      </c>
      <c r="CI31" s="33">
        <v>548</v>
      </c>
      <c r="CJ31" s="33">
        <f>ROUND(坦克等级成长!$F128*VLOOKUP($BV$2,坦克等级成长!$B$36:$G$42,MATCH(CJ$3,坦克等级成长!$B$35:$G$35,0)),0)</f>
        <v>853</v>
      </c>
      <c r="CK31" s="33">
        <f>ROUND(坦克等级成长!$F128*VLOOKUP($BV$2,坦克等级成长!$B$36:$G$42,MATCH(CK$3,坦克等级成长!$B$35:$G$35,0)),0)</f>
        <v>205</v>
      </c>
      <c r="CL31" s="192">
        <v>11</v>
      </c>
      <c r="CM31" s="33">
        <f>ROUND(坦克等级成长!$H128*VLOOKUP($BV$2,坦克等级成长!$B$36:$G$42,MATCH(CM$3,坦克等级成长!$B$35:$G$35,0)),0)</f>
        <v>2081</v>
      </c>
      <c r="CN31" s="33">
        <f>ROUND(坦克等级成长!$H128*VLOOKUP($BV$2,坦克等级成长!$B$36:$G$42,MATCH(CN$3,坦克等级成长!$B$35:$G$35,0)),0)</f>
        <v>179</v>
      </c>
      <c r="CO31" s="33">
        <f>ROUND(坦克等级成长!$H128*VLOOKUP($BV$2,坦克等级成长!$B$36:$G$42,MATCH(CO$3,坦克等级成长!$B$35:$G$35,0)),0)</f>
        <v>689</v>
      </c>
      <c r="CP31" s="33">
        <f t="shared" si="24"/>
        <v>689</v>
      </c>
      <c r="CQ31" s="33">
        <v>548</v>
      </c>
      <c r="CR31" s="33">
        <f>ROUND(坦克等级成长!$H128*VLOOKUP($BV$2,坦克等级成长!$B$36:$G$42,MATCH(CR$3,坦克等级成长!$B$35:$G$35,0)),0)</f>
        <v>868</v>
      </c>
      <c r="CS31" s="33">
        <f>ROUND(坦克等级成长!$H128*VLOOKUP($BV$2,坦克等级成长!$B$36:$G$42,MATCH(CS$3,坦克等级成长!$B$35:$G$35,0)),0)</f>
        <v>208</v>
      </c>
      <c r="CT31" s="193"/>
      <c r="CU31" s="189"/>
      <c r="CV31" s="189"/>
      <c r="CW31" s="189"/>
      <c r="CX31" s="189"/>
      <c r="CY31" s="189"/>
      <c r="CZ31" s="189"/>
      <c r="DA31" s="200"/>
      <c r="DB31" s="199">
        <v>11</v>
      </c>
      <c r="DC31" s="33">
        <f>ROUND(坦克等级成长!$F128*VLOOKUP($CT$2,坦克等级成长!$B$36:$G$42,MATCH(DC$3,坦克等级成长!$B$35:$G$35,0)),0)</f>
        <v>1896</v>
      </c>
      <c r="DD31" s="33">
        <f>ROUND(坦克等级成长!$F128*VLOOKUP($CT$2,坦克等级成长!$B$36:$G$42,MATCH(DD$3,坦克等级成长!$B$35:$G$35,0)),0)</f>
        <v>382</v>
      </c>
      <c r="DE31" s="33">
        <f>ROUND(坦克等级成长!$F128*VLOOKUP($CT$2,坦克等级成长!$B$36:$G$42,MATCH(DE$3,坦克等级成长!$B$35:$G$35,0)),0)</f>
        <v>846</v>
      </c>
      <c r="DF31" s="33">
        <f t="shared" si="11"/>
        <v>846</v>
      </c>
      <c r="DG31" s="33">
        <v>686</v>
      </c>
      <c r="DH31" s="33">
        <f>ROUND(坦克等级成长!$F128*VLOOKUP($CT$2,坦克等级成长!$B$36:$G$42,MATCH(DH$3,坦克等级成长!$B$35:$G$35,0)),0)</f>
        <v>711</v>
      </c>
      <c r="DI31" s="33">
        <f>ROUND(坦克等级成长!$F128*VLOOKUP($CT$2,坦克等级成长!$B$36:$G$42,MATCH(DI$3,坦克等级成长!$B$35:$G$35,0)),0)</f>
        <v>190</v>
      </c>
      <c r="DJ31" s="192">
        <v>11</v>
      </c>
      <c r="DK31" s="33">
        <f>ROUND(坦克等级成长!$H128*VLOOKUP($CT$2,坦克等级成长!$B$36:$G$42,MATCH(DK$3,坦克等级成长!$B$35:$G$35,0)),0)</f>
        <v>1928</v>
      </c>
      <c r="DL31" s="33">
        <f>ROUND(坦克等级成长!$H128*VLOOKUP($CT$2,坦克等级成长!$B$36:$G$42,MATCH(DL$3,坦克等级成长!$B$35:$G$35,0)),0)</f>
        <v>388</v>
      </c>
      <c r="DM31" s="33">
        <f>ROUND(坦克等级成长!$H128*VLOOKUP($CT$2,坦克等级成长!$B$36:$G$42,MATCH(DM$3,坦克等级成长!$B$35:$G$35,0)),0)</f>
        <v>861</v>
      </c>
      <c r="DN31" s="33">
        <f t="shared" si="25"/>
        <v>861</v>
      </c>
      <c r="DO31" s="33">
        <v>686</v>
      </c>
      <c r="DP31" s="33">
        <f>ROUND(坦克等级成长!$H128*VLOOKUP($CT$2,坦克等级成长!$B$36:$G$42,MATCH(DP$3,坦克等级成长!$B$35:$G$35,0)),0)</f>
        <v>723</v>
      </c>
      <c r="DQ31" s="33">
        <f>ROUND(坦克等级成长!$H128*VLOOKUP($CT$2,坦克等级成长!$B$36:$G$42,MATCH(DQ$3,坦克等级成长!$B$35:$G$35,0)),0)</f>
        <v>193</v>
      </c>
      <c r="DR31" s="193"/>
      <c r="DS31" s="189"/>
      <c r="DT31" s="189"/>
      <c r="DU31" s="189"/>
      <c r="DV31" s="189"/>
      <c r="DW31" s="189"/>
      <c r="DX31" s="189"/>
      <c r="DY31" s="200"/>
      <c r="DZ31" s="199">
        <v>11</v>
      </c>
      <c r="EA31" s="33">
        <f>ROUND(坦克等级成长!$F128*VLOOKUP($DR$2,坦克等级成长!$B$36:$G$42,MATCH(EA$3,坦克等级成长!$B$35:$G$35,0)),0)</f>
        <v>2319</v>
      </c>
      <c r="EB31" s="33">
        <f>ROUND(坦克等级成长!$F128*VLOOKUP($DR$2,坦克等级成长!$B$36:$G$42,MATCH(EB$3,坦克等级成长!$B$35:$G$35,0)),0)</f>
        <v>635</v>
      </c>
      <c r="EC31" s="33">
        <f>ROUND(坦克等级成长!$F128*VLOOKUP($DR$2,坦克等级成长!$B$36:$G$42,MATCH(EC$3,坦克等级成长!$B$35:$G$35,0)),0)</f>
        <v>677</v>
      </c>
      <c r="ED31" s="33">
        <f t="shared" si="12"/>
        <v>677</v>
      </c>
      <c r="EE31" s="33">
        <v>585</v>
      </c>
      <c r="EF31" s="33">
        <f>ROUND(坦克等级成长!$F128*VLOOKUP($DR$2,坦克等级成长!$B$36:$G$42,MATCH(EF$3,坦克等级成长!$B$35:$G$35,0)),0)</f>
        <v>995</v>
      </c>
      <c r="EG31" s="33">
        <f>ROUND(坦克等级成长!$F128*VLOOKUP($DR$2,坦克等级成长!$B$36:$G$42,MATCH(EG$3,坦克等级成长!$B$35:$G$35,0)),0)</f>
        <v>232</v>
      </c>
      <c r="EH31" s="192">
        <v>11</v>
      </c>
      <c r="EI31" s="33">
        <f>ROUND(坦克等级成长!$H128*VLOOKUP($DR$2,坦克等级成长!$B$36:$G$42,MATCH(EI$3,坦克等级成长!$B$35:$G$35,0)),0)</f>
        <v>2359</v>
      </c>
      <c r="EJ31" s="33">
        <f>ROUND(坦克等级成长!$H128*VLOOKUP($DR$2,坦克等级成长!$B$36:$G$42,MATCH(EJ$3,坦克等级成长!$B$35:$G$35,0)),0)</f>
        <v>646</v>
      </c>
      <c r="EK31" s="33">
        <f>ROUND(坦克等级成长!$H128*VLOOKUP($DR$2,坦克等级成长!$B$36:$G$42,MATCH(EK$3,坦克等级成长!$B$35:$G$35,0)),0)</f>
        <v>689</v>
      </c>
      <c r="EL31" s="33">
        <f t="shared" si="26"/>
        <v>689</v>
      </c>
      <c r="EM31" s="33">
        <v>585</v>
      </c>
      <c r="EN31" s="33">
        <f>ROUND(坦克等级成长!$H128*VLOOKUP($DR$2,坦克等级成长!$B$36:$G$42,MATCH(EN$3,坦克等级成长!$B$35:$G$35,0)),0)</f>
        <v>1012</v>
      </c>
      <c r="EO31" s="33">
        <f>ROUND(坦克等级成长!$H128*VLOOKUP($DR$2,坦克等级成长!$B$36:$G$42,MATCH(EO$3,坦克等级成长!$B$35:$G$35,0)),0)</f>
        <v>236</v>
      </c>
      <c r="EP31" s="193"/>
      <c r="EQ31" s="189"/>
      <c r="ER31" s="189"/>
      <c r="ES31" s="189"/>
      <c r="ET31" s="189"/>
      <c r="EU31" s="189"/>
      <c r="EV31" s="189"/>
      <c r="EW31" s="200"/>
      <c r="EX31" s="199">
        <v>11</v>
      </c>
      <c r="EY31" s="33">
        <f>ROUND(坦克等级成长!$F128*VLOOKUP($EP$2,坦克等级成长!$B$36:$G$42,MATCH(EY$3,坦克等级成长!$B$35:$G$35,0)),0)</f>
        <v>2046</v>
      </c>
      <c r="EZ31" s="33">
        <f>ROUND(坦克等级成长!$F128*VLOOKUP($EP$2,坦克等级成长!$B$36:$G$42,MATCH(EZ$3,坦克等级成长!$B$35:$G$35,0)),0)</f>
        <v>211</v>
      </c>
      <c r="FA31" s="33">
        <f>ROUND(坦克等级成长!$F128*VLOOKUP($EP$2,坦克等级成长!$B$36:$G$42,MATCH(FA$3,坦克等级成长!$B$35:$G$35,0)),0)</f>
        <v>779</v>
      </c>
      <c r="FB31" s="33">
        <f t="shared" si="13"/>
        <v>779</v>
      </c>
      <c r="FC31" s="33">
        <v>631</v>
      </c>
      <c r="FD31" s="33">
        <f>ROUND(坦克等级成长!$F128*VLOOKUP($EP$2,坦克等级成长!$B$36:$G$42,MATCH(FD$3,坦克等级成长!$B$35:$G$35,0)),0)</f>
        <v>853</v>
      </c>
      <c r="FE31" s="33">
        <f>ROUND(坦克等级成长!$F128*VLOOKUP($EP$2,坦克等级成长!$B$36:$G$42,MATCH(FE$3,坦克等级成长!$B$35:$G$35,0)),0)</f>
        <v>205</v>
      </c>
      <c r="FF31" s="192">
        <v>11</v>
      </c>
      <c r="FG31" s="33">
        <f>ROUND(坦克等级成长!$H128*VLOOKUP($EP$2,坦克等级成长!$B$36:$G$42,MATCH(FG$3,坦克等级成长!$B$35:$G$35,0)),0)</f>
        <v>2081</v>
      </c>
      <c r="FH31" s="33">
        <f>ROUND(坦克等级成长!$H128*VLOOKUP($EP$2,坦克等级成长!$B$36:$G$42,MATCH(FH$3,坦克等级成长!$B$35:$G$35,0)),0)</f>
        <v>214</v>
      </c>
      <c r="FI31" s="33">
        <f>ROUND(坦克等级成长!$H128*VLOOKUP($EP$2,坦克等级成长!$B$36:$G$42,MATCH(FI$3,坦克等级成长!$B$35:$G$35,0)),0)</f>
        <v>792</v>
      </c>
      <c r="FJ31" s="33">
        <f t="shared" si="27"/>
        <v>792</v>
      </c>
      <c r="FK31" s="33">
        <v>631</v>
      </c>
      <c r="FL31" s="33">
        <f>ROUND(坦克等级成长!$H128*VLOOKUP($EP$2,坦克等级成长!$B$36:$G$42,MATCH(FL$3,坦克等级成长!$B$35:$G$35,0)),0)</f>
        <v>868</v>
      </c>
      <c r="FM31" s="33">
        <f>ROUND(坦克等级成长!$H128*VLOOKUP($EP$2,坦克等级成长!$B$36:$G$42,MATCH(FM$3,坦克等级成长!$B$35:$G$35,0)),0)</f>
        <v>208</v>
      </c>
    </row>
    <row r="32" spans="1:169" ht="14.25" x14ac:dyDescent="0.3">
      <c r="A32" s="189">
        <v>3</v>
      </c>
      <c r="B32" s="193"/>
      <c r="C32" s="189"/>
      <c r="D32" s="189"/>
      <c r="E32" s="189"/>
      <c r="F32" s="189"/>
      <c r="G32" s="189"/>
      <c r="H32" s="189"/>
      <c r="I32" s="200"/>
      <c r="J32" s="199">
        <v>12</v>
      </c>
      <c r="K32" s="33">
        <f>ROUND(坦克等级成长!$F129*VLOOKUP($B$2,坦克等级成长!$B$36:$G$42,MATCH(K$3,坦克等级成长!$B$35:$G$35,0)),0)</f>
        <v>1976</v>
      </c>
      <c r="L32" s="33">
        <f>ROUND(坦克等级成长!$F129*VLOOKUP($B$2,坦克等级成长!$B$36:$G$42,MATCH(L$3,坦克等级成长!$B$35:$G$35,0)),0)</f>
        <v>197</v>
      </c>
      <c r="M32" s="33">
        <f>ROUND(坦克等级成长!$F129*VLOOKUP($B$2,坦克等级成长!$B$36:$G$42,MATCH(M$3,坦克等级成长!$B$35:$G$35,0)),0)</f>
        <v>741</v>
      </c>
      <c r="N32" s="33">
        <f t="shared" si="7"/>
        <v>741</v>
      </c>
      <c r="O32" s="33">
        <v>563</v>
      </c>
      <c r="P32" s="33">
        <f>ROUND(坦克等级成长!$F129*VLOOKUP($B$2,坦克等级成长!$B$36:$G$42,MATCH(P$3,坦克等级成长!$B$35:$G$35,0)),0)</f>
        <v>741</v>
      </c>
      <c r="Q32" s="33">
        <f>ROUND(坦克等级成长!$F129*VLOOKUP($B$2,坦克等级成长!$B$36:$G$42,MATCH(Q$3,坦克等级成长!$B$35:$G$35,0)),0)</f>
        <v>198</v>
      </c>
      <c r="R32" s="192">
        <v>12</v>
      </c>
      <c r="S32" s="33">
        <f>ROUND(坦克等级成长!$H129*VLOOKUP($B$2,坦克等级成长!$B$36:$G$42,MATCH(S$3,坦克等级成长!$B$35:$G$35,0)),0)</f>
        <v>2016</v>
      </c>
      <c r="T32" s="33">
        <f>ROUND(坦克等级成长!$H129*VLOOKUP($B$2,坦克等级成长!$B$36:$G$42,MATCH(T$3,坦克等级成长!$B$35:$G$35,0)),0)</f>
        <v>201</v>
      </c>
      <c r="U32" s="33">
        <f>ROUND(坦克等级成长!$H129*VLOOKUP($B$2,坦克等级成长!$B$36:$G$42,MATCH(U$3,坦克等级成长!$B$35:$G$35,0)),0)</f>
        <v>756</v>
      </c>
      <c r="V32" s="33">
        <f t="shared" si="21"/>
        <v>756</v>
      </c>
      <c r="W32" s="33">
        <v>563</v>
      </c>
      <c r="X32" s="33">
        <f>ROUND(坦克等级成长!$H129*VLOOKUP($B$2,坦克等级成长!$B$36:$G$42,MATCH(X$3,坦克等级成长!$B$35:$G$35,0)),0)</f>
        <v>756</v>
      </c>
      <c r="Y32" s="33">
        <f>ROUND(坦克等级成长!$H129*VLOOKUP($B$2,坦克等级成长!$B$36:$G$42,MATCH(Y$3,坦克等级成长!$B$35:$G$35,0)),0)</f>
        <v>202</v>
      </c>
      <c r="Z32" s="193"/>
      <c r="AA32" s="189"/>
      <c r="AB32" s="189"/>
      <c r="AC32" s="189"/>
      <c r="AD32" s="189"/>
      <c r="AE32" s="189"/>
      <c r="AF32" s="189"/>
      <c r="AG32" s="200"/>
      <c r="AH32" s="199">
        <v>12</v>
      </c>
      <c r="AI32" s="33">
        <f>ROUND(坦克等级成长!$F129*VLOOKUP($Z$2,坦克等级成长!$B$36:$G$42,MATCH(AI$3,坦克等级成长!$B$35:$G$35,0)),0)</f>
        <v>1976</v>
      </c>
      <c r="AJ32" s="33">
        <f>ROUND(坦克等级成长!$F129*VLOOKUP($Z$2,坦克等级成长!$B$36:$G$42,MATCH(AJ$3,坦克等级成长!$B$35:$G$35,0)),0)</f>
        <v>105</v>
      </c>
      <c r="AK32" s="33">
        <f>ROUND(坦克等级成长!$F129*VLOOKUP($Z$2,坦克等级成长!$B$36:$G$42,MATCH(AK$3,坦克等级成长!$B$35:$G$35,0)),0)</f>
        <v>812</v>
      </c>
      <c r="AL32" s="33">
        <f t="shared" si="8"/>
        <v>812</v>
      </c>
      <c r="AM32" s="33">
        <v>617</v>
      </c>
      <c r="AN32" s="33">
        <f>ROUND(坦克等级成长!$F129*VLOOKUP($Z$2,坦克等级成长!$B$36:$G$42,MATCH(AN$3,坦克等级成长!$B$35:$G$35,0)),0)</f>
        <v>741</v>
      </c>
      <c r="AO32" s="33">
        <f>ROUND(坦克等级成长!$F129*VLOOKUP($Z$2,坦克等级成长!$B$36:$G$42,MATCH(AO$3,坦克等级成长!$B$35:$G$35,0)),0)</f>
        <v>198</v>
      </c>
      <c r="AP32" s="192">
        <v>12</v>
      </c>
      <c r="AQ32" s="33">
        <f>ROUND(坦克等级成长!$H129*VLOOKUP($Z$2,坦克等级成长!$B$36:$G$42,MATCH(AQ$3,坦克等级成长!$B$35:$G$35,0)),0)</f>
        <v>2016</v>
      </c>
      <c r="AR32" s="33">
        <f>ROUND(坦克等级成长!$H129*VLOOKUP($Z$2,坦克等级成长!$B$36:$G$42,MATCH(AR$3,坦克等级成长!$B$35:$G$35,0)),0)</f>
        <v>107</v>
      </c>
      <c r="AS32" s="33">
        <f>ROUND(坦克等级成长!$H129*VLOOKUP($Z$2,坦克等级成长!$B$36:$G$42,MATCH(AS$3,坦克等级成长!$B$35:$G$35,0)),0)</f>
        <v>828</v>
      </c>
      <c r="AT32" s="33">
        <f t="shared" si="22"/>
        <v>828</v>
      </c>
      <c r="AU32" s="33">
        <v>617</v>
      </c>
      <c r="AV32" s="33">
        <f>ROUND(坦克等级成长!$H129*VLOOKUP($Z$2,坦克等级成长!$B$36:$G$42,MATCH(AV$3,坦克等级成长!$B$35:$G$35,0)),0)</f>
        <v>756</v>
      </c>
      <c r="AW32" s="33">
        <f>ROUND(坦克等级成长!$H129*VLOOKUP($Z$2,坦克等级成长!$B$36:$G$42,MATCH(AW$3,坦克等级成长!$B$35:$G$35,0)),0)</f>
        <v>202</v>
      </c>
      <c r="AX32" s="193"/>
      <c r="AY32" s="189"/>
      <c r="AZ32" s="189"/>
      <c r="BA32" s="189"/>
      <c r="BB32" s="189"/>
      <c r="BC32" s="189"/>
      <c r="BD32" s="189"/>
      <c r="BE32" s="200"/>
      <c r="BF32" s="199">
        <v>12</v>
      </c>
      <c r="BG32" s="33">
        <f>ROUND(坦克等级成长!$F129*VLOOKUP($AX$2,坦克等级成长!$B$36:$G$42,MATCH(BG$3,坦克等级成长!$B$35:$G$35,0)),0)</f>
        <v>1976</v>
      </c>
      <c r="BH32" s="33">
        <f>ROUND(坦克等级成长!$F129*VLOOKUP($AX$2,坦克等级成长!$B$36:$G$42,MATCH(BH$3,坦克等级成长!$B$35:$G$35,0)),0)</f>
        <v>197</v>
      </c>
      <c r="BI32" s="33">
        <f>ROUND(坦克等级成长!$F129*VLOOKUP($AX$2,坦克等级成长!$B$36:$G$42,MATCH(BI$3,坦克等级成长!$B$35:$G$35,0)),0)</f>
        <v>741</v>
      </c>
      <c r="BJ32" s="33">
        <f t="shared" si="9"/>
        <v>741</v>
      </c>
      <c r="BK32" s="33">
        <v>563</v>
      </c>
      <c r="BL32" s="33">
        <f>ROUND(坦克等级成长!$F129*VLOOKUP($AX$2,坦克等级成长!$B$36:$G$42,MATCH(BL$3,坦克等级成长!$B$35:$G$35,0)),0)</f>
        <v>741</v>
      </c>
      <c r="BM32" s="33">
        <f>ROUND(坦克等级成长!$F129*VLOOKUP($AX$2,坦克等级成长!$B$36:$G$42,MATCH(BM$3,坦克等级成长!$B$35:$G$35,0)),0)</f>
        <v>198</v>
      </c>
      <c r="BN32" s="192">
        <v>12</v>
      </c>
      <c r="BO32" s="33">
        <f>ROUND(坦克等级成长!$H129*VLOOKUP($AX$2,坦克等级成长!$B$36:$G$42,MATCH(BO$3,坦克等级成长!$B$35:$G$35,0)),0)</f>
        <v>2016</v>
      </c>
      <c r="BP32" s="33">
        <f>ROUND(坦克等级成长!$H129*VLOOKUP($AX$2,坦克等级成长!$B$36:$G$42,MATCH(BP$3,坦克等级成长!$B$35:$G$35,0)),0)</f>
        <v>201</v>
      </c>
      <c r="BQ32" s="33">
        <f>ROUND(坦克等级成长!$H129*VLOOKUP($AX$2,坦克等级成长!$B$36:$G$42,MATCH(BQ$3,坦克等级成长!$B$35:$G$35,0)),0)</f>
        <v>756</v>
      </c>
      <c r="BR32" s="33">
        <f t="shared" si="23"/>
        <v>756</v>
      </c>
      <c r="BS32" s="33">
        <v>563</v>
      </c>
      <c r="BT32" s="33">
        <f>ROUND(坦克等级成长!$H129*VLOOKUP($AX$2,坦克等级成长!$B$36:$G$42,MATCH(BT$3,坦克等级成长!$B$35:$G$35,0)),0)</f>
        <v>756</v>
      </c>
      <c r="BU32" s="33">
        <f>ROUND(坦克等级成长!$H129*VLOOKUP($AX$2,坦克等级成长!$B$36:$G$42,MATCH(BU$3,坦克等级成长!$B$35:$G$35,0)),0)</f>
        <v>202</v>
      </c>
      <c r="BV32" s="193"/>
      <c r="BW32" s="189"/>
      <c r="BX32" s="189"/>
      <c r="BY32" s="189"/>
      <c r="BZ32" s="189"/>
      <c r="CA32" s="189"/>
      <c r="CB32" s="189"/>
      <c r="CC32" s="200"/>
      <c r="CD32" s="199">
        <v>12</v>
      </c>
      <c r="CE32" s="33">
        <f>ROUND(坦克等级成长!$F129*VLOOKUP($BV$2,坦克等级成长!$B$36:$G$42,MATCH(CE$3,坦克等级成长!$B$35:$G$35,0)),0)</f>
        <v>2133</v>
      </c>
      <c r="CF32" s="33">
        <f>ROUND(坦克等级成长!$F129*VLOOKUP($BV$2,坦克等级成长!$B$36:$G$42,MATCH(CF$3,坦克等级成长!$B$35:$G$35,0)),0)</f>
        <v>183</v>
      </c>
      <c r="CG32" s="33">
        <f>ROUND(坦克等级成长!$F129*VLOOKUP($BV$2,坦克等级成长!$B$36:$G$42,MATCH(CG$3,坦克等级成长!$B$35:$G$35,0)),0)</f>
        <v>706</v>
      </c>
      <c r="CH32" s="33">
        <f t="shared" si="10"/>
        <v>706</v>
      </c>
      <c r="CI32" s="33">
        <v>575</v>
      </c>
      <c r="CJ32" s="33">
        <f>ROUND(坦克等级成长!$F129*VLOOKUP($BV$2,坦克等级成长!$B$36:$G$42,MATCH(CJ$3,坦克等级成长!$B$35:$G$35,0)),0)</f>
        <v>889</v>
      </c>
      <c r="CK32" s="33">
        <f>ROUND(坦克等级成长!$F129*VLOOKUP($BV$2,坦克等级成长!$B$36:$G$42,MATCH(CK$3,坦克等级成长!$B$35:$G$35,0)),0)</f>
        <v>213</v>
      </c>
      <c r="CL32" s="192">
        <v>12</v>
      </c>
      <c r="CM32" s="33">
        <f>ROUND(坦克等级成长!$H129*VLOOKUP($BV$2,坦克等级成长!$B$36:$G$42,MATCH(CM$3,坦克等级成长!$B$35:$G$35,0)),0)</f>
        <v>2176</v>
      </c>
      <c r="CN32" s="33">
        <f>ROUND(坦克等级成长!$H129*VLOOKUP($BV$2,坦克等级成长!$B$36:$G$42,MATCH(CN$3,坦克等级成长!$B$35:$G$35,0)),0)</f>
        <v>187</v>
      </c>
      <c r="CO32" s="33">
        <f>ROUND(坦克等级成长!$H129*VLOOKUP($BV$2,坦克等级成长!$B$36:$G$42,MATCH(CO$3,坦克等级成长!$B$35:$G$35,0)),0)</f>
        <v>720</v>
      </c>
      <c r="CP32" s="33">
        <f t="shared" si="24"/>
        <v>720</v>
      </c>
      <c r="CQ32" s="33">
        <v>575</v>
      </c>
      <c r="CR32" s="33">
        <f>ROUND(坦克等级成长!$H129*VLOOKUP($BV$2,坦克等级成长!$B$36:$G$42,MATCH(CR$3,坦克等级成长!$B$35:$G$35,0)),0)</f>
        <v>907</v>
      </c>
      <c r="CS32" s="33">
        <f>ROUND(坦克等级成长!$H129*VLOOKUP($BV$2,坦克等级成长!$B$36:$G$42,MATCH(CS$3,坦克等级成长!$B$35:$G$35,0)),0)</f>
        <v>218</v>
      </c>
      <c r="CT32" s="193"/>
      <c r="CU32" s="189"/>
      <c r="CV32" s="189"/>
      <c r="CW32" s="189"/>
      <c r="CX32" s="189"/>
      <c r="CY32" s="189"/>
      <c r="CZ32" s="189"/>
      <c r="DA32" s="200"/>
      <c r="DB32" s="199">
        <v>12</v>
      </c>
      <c r="DC32" s="33">
        <f>ROUND(坦克等级成长!$F129*VLOOKUP($CT$2,坦克等级成长!$B$36:$G$42,MATCH(DC$3,坦克等级成长!$B$35:$G$35,0)),0)</f>
        <v>1976</v>
      </c>
      <c r="DD32" s="33">
        <f>ROUND(坦克等级成长!$F129*VLOOKUP($CT$2,坦克等级成长!$B$36:$G$42,MATCH(DD$3,坦克等级成长!$B$35:$G$35,0)),0)</f>
        <v>398</v>
      </c>
      <c r="DE32" s="33">
        <f>ROUND(坦克等级成长!$F129*VLOOKUP($CT$2,坦克等级成长!$B$36:$G$42,MATCH(DE$3,坦克等级成长!$B$35:$G$35,0)),0)</f>
        <v>882</v>
      </c>
      <c r="DF32" s="33">
        <f t="shared" si="11"/>
        <v>882</v>
      </c>
      <c r="DG32" s="33">
        <v>718</v>
      </c>
      <c r="DH32" s="33">
        <f>ROUND(坦克等级成长!$F129*VLOOKUP($CT$2,坦克等级成长!$B$36:$G$42,MATCH(DH$3,坦克等级成长!$B$35:$G$35,0)),0)</f>
        <v>741</v>
      </c>
      <c r="DI32" s="33">
        <f>ROUND(坦克等级成长!$F129*VLOOKUP($CT$2,坦克等级成长!$B$36:$G$42,MATCH(DI$3,坦克等级成长!$B$35:$G$35,0)),0)</f>
        <v>198</v>
      </c>
      <c r="DJ32" s="192">
        <v>12</v>
      </c>
      <c r="DK32" s="33">
        <f>ROUND(坦克等级成长!$H129*VLOOKUP($CT$2,坦克等级成长!$B$36:$G$42,MATCH(DK$3,坦克等级成长!$B$35:$G$35,0)),0)</f>
        <v>2016</v>
      </c>
      <c r="DL32" s="33">
        <f>ROUND(坦克等级成长!$H129*VLOOKUP($CT$2,坦克等级成长!$B$36:$G$42,MATCH(DL$3,坦克等级成长!$B$35:$G$35,0)),0)</f>
        <v>406</v>
      </c>
      <c r="DM32" s="33">
        <f>ROUND(坦克等级成长!$H129*VLOOKUP($CT$2,坦克等级成长!$B$36:$G$42,MATCH(DM$3,坦克等级成长!$B$35:$G$35,0)),0)</f>
        <v>900</v>
      </c>
      <c r="DN32" s="33">
        <f t="shared" si="25"/>
        <v>900</v>
      </c>
      <c r="DO32" s="33">
        <v>718</v>
      </c>
      <c r="DP32" s="33">
        <f>ROUND(坦克等级成长!$H129*VLOOKUP($CT$2,坦克等级成长!$B$36:$G$42,MATCH(DP$3,坦克等级成长!$B$35:$G$35,0)),0)</f>
        <v>756</v>
      </c>
      <c r="DQ32" s="33">
        <f>ROUND(坦克等级成长!$H129*VLOOKUP($CT$2,坦克等级成长!$B$36:$G$42,MATCH(DQ$3,坦克等级成长!$B$35:$G$35,0)),0)</f>
        <v>202</v>
      </c>
      <c r="DR32" s="193"/>
      <c r="DS32" s="189"/>
      <c r="DT32" s="189"/>
      <c r="DU32" s="189"/>
      <c r="DV32" s="189"/>
      <c r="DW32" s="189"/>
      <c r="DX32" s="189"/>
      <c r="DY32" s="200"/>
      <c r="DZ32" s="199">
        <v>12</v>
      </c>
      <c r="EA32" s="33">
        <f>ROUND(坦克等级成长!$F129*VLOOKUP($DR$2,坦克等级成长!$B$36:$G$42,MATCH(EA$3,坦克等级成长!$B$35:$G$35,0)),0)</f>
        <v>2417</v>
      </c>
      <c r="EB32" s="33">
        <f>ROUND(坦克等级成长!$F129*VLOOKUP($DR$2,坦克等级成长!$B$36:$G$42,MATCH(EB$3,坦克等级成长!$B$35:$G$35,0)),0)</f>
        <v>662</v>
      </c>
      <c r="EC32" s="33">
        <f>ROUND(坦克等级成长!$F129*VLOOKUP($DR$2,坦克等级成长!$B$36:$G$42,MATCH(EC$3,坦克等级成长!$B$35:$G$35,0)),0)</f>
        <v>706</v>
      </c>
      <c r="ED32" s="33">
        <f t="shared" si="12"/>
        <v>706</v>
      </c>
      <c r="EE32" s="33">
        <v>613</v>
      </c>
      <c r="EF32" s="33">
        <f>ROUND(坦克等级成长!$F129*VLOOKUP($DR$2,坦克等级成长!$B$36:$G$42,MATCH(EF$3,坦克等级成长!$B$35:$G$35,0)),0)</f>
        <v>1037</v>
      </c>
      <c r="EG32" s="33">
        <f>ROUND(坦克等级成长!$F129*VLOOKUP($DR$2,坦克等级成长!$B$36:$G$42,MATCH(EG$3,坦克等级成长!$B$35:$G$35,0)),0)</f>
        <v>242</v>
      </c>
      <c r="EH32" s="192">
        <v>12</v>
      </c>
      <c r="EI32" s="33">
        <f>ROUND(坦克等级成长!$H129*VLOOKUP($DR$2,坦克等级成长!$B$36:$G$42,MATCH(EI$3,坦克等级成长!$B$35:$G$35,0)),0)</f>
        <v>2466</v>
      </c>
      <c r="EJ32" s="33">
        <f>ROUND(坦克等级成长!$H129*VLOOKUP($DR$2,坦克等级成长!$B$36:$G$42,MATCH(EJ$3,坦克等级成长!$B$35:$G$35,0)),0)</f>
        <v>676</v>
      </c>
      <c r="EK32" s="33">
        <f>ROUND(坦克等级成长!$H129*VLOOKUP($DR$2,坦克等级成长!$B$36:$G$42,MATCH(EK$3,坦克等级成长!$B$35:$G$35,0)),0)</f>
        <v>720</v>
      </c>
      <c r="EL32" s="33">
        <f t="shared" si="26"/>
        <v>720</v>
      </c>
      <c r="EM32" s="33">
        <v>613</v>
      </c>
      <c r="EN32" s="33">
        <f>ROUND(坦克等级成长!$H129*VLOOKUP($DR$2,坦克等级成长!$B$36:$G$42,MATCH(EN$3,坦克等级成长!$B$35:$G$35,0)),0)</f>
        <v>1058</v>
      </c>
      <c r="EO32" s="33">
        <f>ROUND(坦克等级成长!$H129*VLOOKUP($DR$2,坦克等级成长!$B$36:$G$42,MATCH(EO$3,坦克等级成长!$B$35:$G$35,0)),0)</f>
        <v>247</v>
      </c>
      <c r="EP32" s="193"/>
      <c r="EQ32" s="189"/>
      <c r="ER32" s="189"/>
      <c r="ES32" s="189"/>
      <c r="ET32" s="189"/>
      <c r="EU32" s="189"/>
      <c r="EV32" s="189"/>
      <c r="EW32" s="200"/>
      <c r="EX32" s="199">
        <v>12</v>
      </c>
      <c r="EY32" s="33">
        <f>ROUND(坦克等级成长!$F129*VLOOKUP($EP$2,坦克等级成长!$B$36:$G$42,MATCH(EY$3,坦克等级成长!$B$35:$G$35,0)),0)</f>
        <v>2133</v>
      </c>
      <c r="EZ32" s="33">
        <f>ROUND(坦克等级成长!$F129*VLOOKUP($EP$2,坦克等级成长!$B$36:$G$42,MATCH(EZ$3,坦克等级成长!$B$35:$G$35,0)),0)</f>
        <v>220</v>
      </c>
      <c r="FA32" s="33">
        <f>ROUND(坦克等级成长!$F129*VLOOKUP($EP$2,坦克等级成长!$B$36:$G$42,MATCH(FA$3,坦克等级成长!$B$35:$G$35,0)),0)</f>
        <v>812</v>
      </c>
      <c r="FB32" s="33">
        <f t="shared" si="13"/>
        <v>812</v>
      </c>
      <c r="FC32" s="33">
        <v>661</v>
      </c>
      <c r="FD32" s="33">
        <f>ROUND(坦克等级成长!$F129*VLOOKUP($EP$2,坦克等级成长!$B$36:$G$42,MATCH(FD$3,坦克等级成长!$B$35:$G$35,0)),0)</f>
        <v>889</v>
      </c>
      <c r="FE32" s="33">
        <f>ROUND(坦克等级成长!$F129*VLOOKUP($EP$2,坦克等级成长!$B$36:$G$42,MATCH(FE$3,坦克等级成长!$B$35:$G$35,0)),0)</f>
        <v>213</v>
      </c>
      <c r="FF32" s="192">
        <v>12</v>
      </c>
      <c r="FG32" s="33">
        <f>ROUND(坦克等级成长!$H129*VLOOKUP($EP$2,坦克等级成长!$B$36:$G$42,MATCH(FG$3,坦克等级成长!$B$35:$G$35,0)),0)</f>
        <v>2176</v>
      </c>
      <c r="FH32" s="33">
        <f>ROUND(坦克等级成长!$H129*VLOOKUP($EP$2,坦克等级成长!$B$36:$G$42,MATCH(FH$3,坦克等级成长!$B$35:$G$35,0)),0)</f>
        <v>224</v>
      </c>
      <c r="FI32" s="33">
        <f>ROUND(坦克等级成长!$H129*VLOOKUP($EP$2,坦克等级成长!$B$36:$G$42,MATCH(FI$3,坦克等级成长!$B$35:$G$35,0)),0)</f>
        <v>828</v>
      </c>
      <c r="FJ32" s="33">
        <f t="shared" si="27"/>
        <v>828</v>
      </c>
      <c r="FK32" s="33">
        <v>661</v>
      </c>
      <c r="FL32" s="33">
        <f>ROUND(坦克等级成长!$H129*VLOOKUP($EP$2,坦克等级成长!$B$36:$G$42,MATCH(FL$3,坦克等级成长!$B$35:$G$35,0)),0)</f>
        <v>907</v>
      </c>
      <c r="FM32" s="33">
        <f>ROUND(坦克等级成长!$H129*VLOOKUP($EP$2,坦克等级成长!$B$36:$G$42,MATCH(FM$3,坦克等级成长!$B$35:$G$35,0)),0)</f>
        <v>218</v>
      </c>
    </row>
    <row r="33" spans="1:169" ht="14.25" x14ac:dyDescent="0.3">
      <c r="A33" s="189">
        <v>3</v>
      </c>
      <c r="B33" s="193"/>
      <c r="C33" s="189"/>
      <c r="D33" s="189"/>
      <c r="E33" s="189"/>
      <c r="F33" s="189"/>
      <c r="G33" s="189"/>
      <c r="H33" s="189"/>
      <c r="I33" s="200"/>
      <c r="J33" s="199">
        <v>13</v>
      </c>
      <c r="K33" s="33">
        <f>ROUND(坦克等级成长!$F130*VLOOKUP($B$2,坦克等级成长!$B$36:$G$42,MATCH(K$3,坦克等级成长!$B$35:$G$35,0)),0)</f>
        <v>2056</v>
      </c>
      <c r="L33" s="33">
        <f>ROUND(坦克等级成长!$F130*VLOOKUP($B$2,坦克等级成长!$B$36:$G$42,MATCH(L$3,坦克等级成长!$B$35:$G$35,0)),0)</f>
        <v>205</v>
      </c>
      <c r="M33" s="33">
        <f>ROUND(坦克等级成长!$F130*VLOOKUP($B$2,坦克等级成长!$B$36:$G$42,MATCH(M$3,坦克等级成长!$B$35:$G$35,0)),0)</f>
        <v>771</v>
      </c>
      <c r="N33" s="33">
        <f t="shared" si="7"/>
        <v>771</v>
      </c>
      <c r="O33" s="33">
        <v>588</v>
      </c>
      <c r="P33" s="33">
        <f>ROUND(坦克等级成长!$F130*VLOOKUP($B$2,坦克等级成长!$B$36:$G$42,MATCH(P$3,坦克等级成长!$B$35:$G$35,0)),0)</f>
        <v>771</v>
      </c>
      <c r="Q33" s="33">
        <f>ROUND(坦克等级成长!$F130*VLOOKUP($B$2,坦克等级成长!$B$36:$G$42,MATCH(Q$3,坦克等级成长!$B$35:$G$35,0)),0)</f>
        <v>206</v>
      </c>
      <c r="R33" s="192">
        <v>13</v>
      </c>
      <c r="S33" s="33">
        <f>ROUND(坦克等级成长!$H130*VLOOKUP($B$2,坦克等级成长!$B$36:$G$42,MATCH(S$3,坦克等级成长!$B$35:$G$35,0)),0)</f>
        <v>2104</v>
      </c>
      <c r="T33" s="33">
        <f>ROUND(坦克等级成长!$H130*VLOOKUP($B$2,坦克等级成长!$B$36:$G$42,MATCH(T$3,坦克等级成长!$B$35:$G$35,0)),0)</f>
        <v>210</v>
      </c>
      <c r="U33" s="33">
        <f>ROUND(坦克等级成长!$H130*VLOOKUP($B$2,坦克等级成长!$B$36:$G$42,MATCH(U$3,坦克等级成长!$B$35:$G$35,0)),0)</f>
        <v>789</v>
      </c>
      <c r="V33" s="33">
        <f t="shared" si="21"/>
        <v>789</v>
      </c>
      <c r="W33" s="33">
        <v>588</v>
      </c>
      <c r="X33" s="33">
        <f>ROUND(坦克等级成长!$H130*VLOOKUP($B$2,坦克等级成长!$B$36:$G$42,MATCH(X$3,坦克等级成长!$B$35:$G$35,0)),0)</f>
        <v>789</v>
      </c>
      <c r="Y33" s="33">
        <f>ROUND(坦克等级成长!$H130*VLOOKUP($B$2,坦克等级成长!$B$36:$G$42,MATCH(Y$3,坦克等级成长!$B$35:$G$35,0)),0)</f>
        <v>210</v>
      </c>
      <c r="Z33" s="193"/>
      <c r="AA33" s="189"/>
      <c r="AB33" s="189"/>
      <c r="AC33" s="189"/>
      <c r="AD33" s="189"/>
      <c r="AE33" s="189"/>
      <c r="AF33" s="189"/>
      <c r="AG33" s="200"/>
      <c r="AH33" s="199">
        <v>13</v>
      </c>
      <c r="AI33" s="33">
        <f>ROUND(坦克等级成长!$F130*VLOOKUP($Z$2,坦克等级成长!$B$36:$G$42,MATCH(AI$3,坦克等级成长!$B$35:$G$35,0)),0)</f>
        <v>2056</v>
      </c>
      <c r="AJ33" s="33">
        <f>ROUND(坦克等级成长!$F130*VLOOKUP($Z$2,坦克等级成长!$B$36:$G$42,MATCH(AJ$3,坦克等级成长!$B$35:$G$35,0)),0)</f>
        <v>109</v>
      </c>
      <c r="AK33" s="33">
        <f>ROUND(坦克等级成长!$F130*VLOOKUP($Z$2,坦克等级成长!$B$36:$G$42,MATCH(AK$3,坦克等级成长!$B$35:$G$35,0)),0)</f>
        <v>844</v>
      </c>
      <c r="AL33" s="33">
        <f t="shared" si="8"/>
        <v>844</v>
      </c>
      <c r="AM33" s="33">
        <v>644</v>
      </c>
      <c r="AN33" s="33">
        <f>ROUND(坦克等级成长!$F130*VLOOKUP($Z$2,坦克等级成长!$B$36:$G$42,MATCH(AN$3,坦克等级成长!$B$35:$G$35,0)),0)</f>
        <v>771</v>
      </c>
      <c r="AO33" s="33">
        <f>ROUND(坦克等级成长!$F130*VLOOKUP($Z$2,坦克等级成长!$B$36:$G$42,MATCH(AO$3,坦克等级成长!$B$35:$G$35,0)),0)</f>
        <v>206</v>
      </c>
      <c r="AP33" s="192">
        <v>13</v>
      </c>
      <c r="AQ33" s="33">
        <f>ROUND(坦克等级成长!$H130*VLOOKUP($Z$2,坦克等级成长!$B$36:$G$42,MATCH(AQ$3,坦克等级成长!$B$35:$G$35,0)),0)</f>
        <v>2104</v>
      </c>
      <c r="AR33" s="33">
        <f>ROUND(坦克等级成长!$H130*VLOOKUP($Z$2,坦克等级成长!$B$36:$G$42,MATCH(AR$3,坦克等级成长!$B$35:$G$35,0)),0)</f>
        <v>112</v>
      </c>
      <c r="AS33" s="33">
        <f>ROUND(坦克等级成长!$H130*VLOOKUP($Z$2,坦克等级成长!$B$36:$G$42,MATCH(AS$3,坦克等级成长!$B$35:$G$35,0)),0)</f>
        <v>864</v>
      </c>
      <c r="AT33" s="33">
        <f t="shared" si="22"/>
        <v>864</v>
      </c>
      <c r="AU33" s="33">
        <v>644</v>
      </c>
      <c r="AV33" s="33">
        <f>ROUND(坦克等级成长!$H130*VLOOKUP($Z$2,坦克等级成长!$B$36:$G$42,MATCH(AV$3,坦克等级成长!$B$35:$G$35,0)),0)</f>
        <v>789</v>
      </c>
      <c r="AW33" s="33">
        <f>ROUND(坦克等级成长!$H130*VLOOKUP($Z$2,坦克等级成长!$B$36:$G$42,MATCH(AW$3,坦克等级成长!$B$35:$G$35,0)),0)</f>
        <v>210</v>
      </c>
      <c r="AX33" s="193"/>
      <c r="AY33" s="189"/>
      <c r="AZ33" s="189"/>
      <c r="BA33" s="189"/>
      <c r="BB33" s="189"/>
      <c r="BC33" s="189"/>
      <c r="BD33" s="189"/>
      <c r="BE33" s="200"/>
      <c r="BF33" s="199">
        <v>13</v>
      </c>
      <c r="BG33" s="33">
        <f>ROUND(坦克等级成长!$F130*VLOOKUP($AX$2,坦克等级成长!$B$36:$G$42,MATCH(BG$3,坦克等级成长!$B$35:$G$35,0)),0)</f>
        <v>2056</v>
      </c>
      <c r="BH33" s="33">
        <f>ROUND(坦克等级成长!$F130*VLOOKUP($AX$2,坦克等级成长!$B$36:$G$42,MATCH(BH$3,坦克等级成长!$B$35:$G$35,0)),0)</f>
        <v>205</v>
      </c>
      <c r="BI33" s="33">
        <f>ROUND(坦克等级成长!$F130*VLOOKUP($AX$2,坦克等级成长!$B$36:$G$42,MATCH(BI$3,坦克等级成长!$B$35:$G$35,0)),0)</f>
        <v>771</v>
      </c>
      <c r="BJ33" s="33">
        <f t="shared" si="9"/>
        <v>771</v>
      </c>
      <c r="BK33" s="33">
        <v>588</v>
      </c>
      <c r="BL33" s="33">
        <f>ROUND(坦克等级成长!$F130*VLOOKUP($AX$2,坦克等级成长!$B$36:$G$42,MATCH(BL$3,坦克等级成长!$B$35:$G$35,0)),0)</f>
        <v>771</v>
      </c>
      <c r="BM33" s="33">
        <f>ROUND(坦克等级成长!$F130*VLOOKUP($AX$2,坦克等级成长!$B$36:$G$42,MATCH(BM$3,坦克等级成长!$B$35:$G$35,0)),0)</f>
        <v>206</v>
      </c>
      <c r="BN33" s="192">
        <v>13</v>
      </c>
      <c r="BO33" s="33">
        <f>ROUND(坦克等级成长!$H130*VLOOKUP($AX$2,坦克等级成长!$B$36:$G$42,MATCH(BO$3,坦克等级成长!$B$35:$G$35,0)),0)</f>
        <v>2104</v>
      </c>
      <c r="BP33" s="33">
        <f>ROUND(坦克等级成长!$H130*VLOOKUP($AX$2,坦克等级成长!$B$36:$G$42,MATCH(BP$3,坦克等级成长!$B$35:$G$35,0)),0)</f>
        <v>210</v>
      </c>
      <c r="BQ33" s="33">
        <f>ROUND(坦克等级成长!$H130*VLOOKUP($AX$2,坦克等级成长!$B$36:$G$42,MATCH(BQ$3,坦克等级成长!$B$35:$G$35,0)),0)</f>
        <v>789</v>
      </c>
      <c r="BR33" s="33">
        <f t="shared" si="23"/>
        <v>789</v>
      </c>
      <c r="BS33" s="33">
        <v>588</v>
      </c>
      <c r="BT33" s="33">
        <f>ROUND(坦克等级成长!$H130*VLOOKUP($AX$2,坦克等级成长!$B$36:$G$42,MATCH(BT$3,坦克等级成长!$B$35:$G$35,0)),0)</f>
        <v>789</v>
      </c>
      <c r="BU33" s="33">
        <f>ROUND(坦克等级成长!$H130*VLOOKUP($AX$2,坦克等级成长!$B$36:$G$42,MATCH(BU$3,坦克等级成长!$B$35:$G$35,0)),0)</f>
        <v>210</v>
      </c>
      <c r="BV33" s="193"/>
      <c r="BW33" s="189"/>
      <c r="BX33" s="189"/>
      <c r="BY33" s="189"/>
      <c r="BZ33" s="189"/>
      <c r="CA33" s="189"/>
      <c r="CB33" s="189"/>
      <c r="CC33" s="200"/>
      <c r="CD33" s="199">
        <v>13</v>
      </c>
      <c r="CE33" s="33">
        <f>ROUND(坦克等级成长!$F130*VLOOKUP($BV$2,坦克等级成长!$B$36:$G$42,MATCH(CE$3,坦克等级成长!$B$35:$G$35,0)),0)</f>
        <v>2219</v>
      </c>
      <c r="CF33" s="33">
        <f>ROUND(坦克等级成长!$F130*VLOOKUP($BV$2,坦克等级成长!$B$36:$G$42,MATCH(CF$3,坦克等级成长!$B$35:$G$35,0)),0)</f>
        <v>191</v>
      </c>
      <c r="CG33" s="33">
        <f>ROUND(坦克等级成长!$F130*VLOOKUP($BV$2,坦克等级成长!$B$36:$G$42,MATCH(CG$3,坦克等级成长!$B$35:$G$35,0)),0)</f>
        <v>734</v>
      </c>
      <c r="CH33" s="33">
        <f t="shared" si="10"/>
        <v>734</v>
      </c>
      <c r="CI33" s="33">
        <v>600</v>
      </c>
      <c r="CJ33" s="33">
        <f>ROUND(坦克等级成长!$F130*VLOOKUP($BV$2,坦克等级成长!$B$36:$G$42,MATCH(CJ$3,坦克等级成长!$B$35:$G$35,0)),0)</f>
        <v>925</v>
      </c>
      <c r="CK33" s="33">
        <f>ROUND(坦克等级成长!$F130*VLOOKUP($BV$2,坦克等级成长!$B$36:$G$42,MATCH(CK$3,坦克等级成长!$B$35:$G$35,0)),0)</f>
        <v>222</v>
      </c>
      <c r="CL33" s="192">
        <v>13</v>
      </c>
      <c r="CM33" s="33">
        <f>ROUND(坦克等级成长!$H130*VLOOKUP($BV$2,坦克等级成长!$B$36:$G$42,MATCH(CM$3,坦克等级成长!$B$35:$G$35,0)),0)</f>
        <v>2271</v>
      </c>
      <c r="CN33" s="33">
        <f>ROUND(坦克等级成长!$H130*VLOOKUP($BV$2,坦克等级成长!$B$36:$G$42,MATCH(CN$3,坦克等级成长!$B$35:$G$35,0)),0)</f>
        <v>195</v>
      </c>
      <c r="CO33" s="33">
        <f>ROUND(坦克等级成长!$H130*VLOOKUP($BV$2,坦克等级成长!$B$36:$G$42,MATCH(CO$3,坦克等级成长!$B$35:$G$35,0)),0)</f>
        <v>751</v>
      </c>
      <c r="CP33" s="33">
        <f t="shared" si="24"/>
        <v>751</v>
      </c>
      <c r="CQ33" s="33">
        <v>600</v>
      </c>
      <c r="CR33" s="33">
        <f>ROUND(坦克等级成长!$H130*VLOOKUP($BV$2,坦克等级成长!$B$36:$G$42,MATCH(CR$3,坦克等级成长!$B$35:$G$35,0)),0)</f>
        <v>947</v>
      </c>
      <c r="CS33" s="33">
        <f>ROUND(坦克等级成长!$H130*VLOOKUP($BV$2,坦克等级成长!$B$36:$G$42,MATCH(CS$3,坦克等级成长!$B$35:$G$35,0)),0)</f>
        <v>227</v>
      </c>
      <c r="CT33" s="193"/>
      <c r="CU33" s="189"/>
      <c r="CV33" s="189"/>
      <c r="CW33" s="189"/>
      <c r="CX33" s="189"/>
      <c r="CY33" s="189"/>
      <c r="CZ33" s="189"/>
      <c r="DA33" s="200"/>
      <c r="DB33" s="199">
        <v>13</v>
      </c>
      <c r="DC33" s="33">
        <f>ROUND(坦克等级成长!$F130*VLOOKUP($CT$2,坦克等级成长!$B$36:$G$42,MATCH(DC$3,坦克等级成长!$B$35:$G$35,0)),0)</f>
        <v>2056</v>
      </c>
      <c r="DD33" s="33">
        <f>ROUND(坦克等级成长!$F130*VLOOKUP($CT$2,坦克等级成长!$B$36:$G$42,MATCH(DD$3,坦克等级成长!$B$35:$G$35,0)),0)</f>
        <v>414</v>
      </c>
      <c r="DE33" s="33">
        <f>ROUND(坦克等级成长!$F130*VLOOKUP($CT$2,坦克等级成长!$B$36:$G$42,MATCH(DE$3,坦克等级成长!$B$35:$G$35,0)),0)</f>
        <v>918</v>
      </c>
      <c r="DF33" s="33">
        <f t="shared" si="11"/>
        <v>918</v>
      </c>
      <c r="DG33" s="33">
        <v>750</v>
      </c>
      <c r="DH33" s="33">
        <f>ROUND(坦克等级成长!$F130*VLOOKUP($CT$2,坦克等级成长!$B$36:$G$42,MATCH(DH$3,坦克等级成长!$B$35:$G$35,0)),0)</f>
        <v>771</v>
      </c>
      <c r="DI33" s="33">
        <f>ROUND(坦克等级成长!$F130*VLOOKUP($CT$2,坦克等级成长!$B$36:$G$42,MATCH(DI$3,坦克等级成长!$B$35:$G$35,0)),0)</f>
        <v>206</v>
      </c>
      <c r="DJ33" s="192">
        <v>13</v>
      </c>
      <c r="DK33" s="33">
        <f>ROUND(坦克等级成长!$H130*VLOOKUP($CT$2,坦克等级成长!$B$36:$G$42,MATCH(DK$3,坦克等级成长!$B$35:$G$35,0)),0)</f>
        <v>2104</v>
      </c>
      <c r="DL33" s="33">
        <f>ROUND(坦克等级成长!$H130*VLOOKUP($CT$2,坦克等级成长!$B$36:$G$42,MATCH(DL$3,坦克等级成长!$B$35:$G$35,0)),0)</f>
        <v>424</v>
      </c>
      <c r="DM33" s="33">
        <f>ROUND(坦克等级成长!$H130*VLOOKUP($CT$2,坦克等级成长!$B$36:$G$42,MATCH(DM$3,坦克等级成长!$B$35:$G$35,0)),0)</f>
        <v>939</v>
      </c>
      <c r="DN33" s="33">
        <f t="shared" si="25"/>
        <v>939</v>
      </c>
      <c r="DO33" s="33">
        <v>750</v>
      </c>
      <c r="DP33" s="33">
        <f>ROUND(坦克等级成长!$H130*VLOOKUP($CT$2,坦克等级成长!$B$36:$G$42,MATCH(DP$3,坦克等级成长!$B$35:$G$35,0)),0)</f>
        <v>789</v>
      </c>
      <c r="DQ33" s="33">
        <f>ROUND(坦克等级成长!$H130*VLOOKUP($CT$2,坦克等级成长!$B$36:$G$42,MATCH(DQ$3,坦克等级成长!$B$35:$G$35,0)),0)</f>
        <v>210</v>
      </c>
      <c r="DR33" s="193"/>
      <c r="DS33" s="189"/>
      <c r="DT33" s="189"/>
      <c r="DU33" s="189"/>
      <c r="DV33" s="189"/>
      <c r="DW33" s="189"/>
      <c r="DX33" s="189"/>
      <c r="DY33" s="200"/>
      <c r="DZ33" s="199">
        <v>13</v>
      </c>
      <c r="EA33" s="33">
        <f>ROUND(坦克等级成长!$F130*VLOOKUP($DR$2,坦克等级成长!$B$36:$G$42,MATCH(EA$3,坦克等级成长!$B$35:$G$35,0)),0)</f>
        <v>2515</v>
      </c>
      <c r="EB33" s="33">
        <f>ROUND(坦克等级成长!$F130*VLOOKUP($DR$2,坦克等级成长!$B$36:$G$42,MATCH(EB$3,坦克等级成长!$B$35:$G$35,0)),0)</f>
        <v>689</v>
      </c>
      <c r="EC33" s="33">
        <f>ROUND(坦克等级成长!$F130*VLOOKUP($DR$2,坦克等级成长!$B$36:$G$42,MATCH(EC$3,坦克等级成长!$B$35:$G$35,0)),0)</f>
        <v>734</v>
      </c>
      <c r="ED33" s="33">
        <f t="shared" si="12"/>
        <v>734</v>
      </c>
      <c r="EE33" s="33">
        <v>640</v>
      </c>
      <c r="EF33" s="33">
        <f>ROUND(坦克等级成长!$F130*VLOOKUP($DR$2,坦克等级成长!$B$36:$G$42,MATCH(EF$3,坦克等级成长!$B$35:$G$35,0)),0)</f>
        <v>1079</v>
      </c>
      <c r="EG33" s="33">
        <f>ROUND(坦克等级成长!$F130*VLOOKUP($DR$2,坦克等级成长!$B$36:$G$42,MATCH(EG$3,坦克等级成长!$B$35:$G$35,0)),0)</f>
        <v>252</v>
      </c>
      <c r="EH33" s="192">
        <v>13</v>
      </c>
      <c r="EI33" s="33">
        <f>ROUND(坦克等级成长!$H130*VLOOKUP($DR$2,坦克等级成长!$B$36:$G$42,MATCH(EI$3,坦克等级成长!$B$35:$G$35,0)),0)</f>
        <v>2574</v>
      </c>
      <c r="EJ33" s="33">
        <f>ROUND(坦克等级成长!$H130*VLOOKUP($DR$2,坦克等级成长!$B$36:$G$42,MATCH(EJ$3,坦克等级成长!$B$35:$G$35,0)),0)</f>
        <v>705</v>
      </c>
      <c r="EK33" s="33">
        <f>ROUND(坦克等级成长!$H130*VLOOKUP($DR$2,坦克等级成长!$B$36:$G$42,MATCH(EK$3,坦克等级成长!$B$35:$G$35,0)),0)</f>
        <v>751</v>
      </c>
      <c r="EL33" s="33">
        <f t="shared" si="26"/>
        <v>751</v>
      </c>
      <c r="EM33" s="33">
        <v>640</v>
      </c>
      <c r="EN33" s="33">
        <f>ROUND(坦克等级成长!$H130*VLOOKUP($DR$2,坦克等级成长!$B$36:$G$42,MATCH(EN$3,坦克等级成长!$B$35:$G$35,0)),0)</f>
        <v>1105</v>
      </c>
      <c r="EO33" s="33">
        <f>ROUND(坦克等级成长!$H130*VLOOKUP($DR$2,坦克等级成长!$B$36:$G$42,MATCH(EO$3,坦克等级成长!$B$35:$G$35,0)),0)</f>
        <v>257</v>
      </c>
      <c r="EP33" s="193"/>
      <c r="EQ33" s="189"/>
      <c r="ER33" s="189"/>
      <c r="ES33" s="189"/>
      <c r="ET33" s="189"/>
      <c r="EU33" s="189"/>
      <c r="EV33" s="189"/>
      <c r="EW33" s="200"/>
      <c r="EX33" s="199">
        <v>13</v>
      </c>
      <c r="EY33" s="33">
        <f>ROUND(坦克等级成长!$F130*VLOOKUP($EP$2,坦克等级成长!$B$36:$G$42,MATCH(EY$3,坦克等级成长!$B$35:$G$35,0)),0)</f>
        <v>2219</v>
      </c>
      <c r="EZ33" s="33">
        <f>ROUND(坦克等级成长!$F130*VLOOKUP($EP$2,坦克等级成长!$B$36:$G$42,MATCH(EZ$3,坦克等级成长!$B$35:$G$35,0)),0)</f>
        <v>229</v>
      </c>
      <c r="FA33" s="33">
        <f>ROUND(坦克等级成长!$F130*VLOOKUP($EP$2,坦克等级成长!$B$36:$G$42,MATCH(FA$3,坦克等级成长!$B$35:$G$35,0)),0)</f>
        <v>844</v>
      </c>
      <c r="FB33" s="33">
        <f t="shared" si="13"/>
        <v>844</v>
      </c>
      <c r="FC33" s="33">
        <v>690</v>
      </c>
      <c r="FD33" s="33">
        <f>ROUND(坦克等级成长!$F130*VLOOKUP($EP$2,坦克等级成长!$B$36:$G$42,MATCH(FD$3,坦克等级成长!$B$35:$G$35,0)),0)</f>
        <v>925</v>
      </c>
      <c r="FE33" s="33">
        <f>ROUND(坦克等级成长!$F130*VLOOKUP($EP$2,坦克等级成长!$B$36:$G$42,MATCH(FE$3,坦克等级成长!$B$35:$G$35,0)),0)</f>
        <v>222</v>
      </c>
      <c r="FF33" s="192">
        <v>13</v>
      </c>
      <c r="FG33" s="33">
        <f>ROUND(坦克等级成长!$H130*VLOOKUP($EP$2,坦克等级成长!$B$36:$G$42,MATCH(FG$3,坦克等级成长!$B$35:$G$35,0)),0)</f>
        <v>2271</v>
      </c>
      <c r="FH33" s="33">
        <f>ROUND(坦克等级成长!$H130*VLOOKUP($EP$2,坦克等级成长!$B$36:$G$42,MATCH(FH$3,坦克等级成长!$B$35:$G$35,0)),0)</f>
        <v>234</v>
      </c>
      <c r="FI33" s="33">
        <f>ROUND(坦克等级成长!$H130*VLOOKUP($EP$2,坦克等级成长!$B$36:$G$42,MATCH(FI$3,坦克等级成长!$B$35:$G$35,0)),0)</f>
        <v>864</v>
      </c>
      <c r="FJ33" s="33">
        <f t="shared" si="27"/>
        <v>864</v>
      </c>
      <c r="FK33" s="33">
        <v>690</v>
      </c>
      <c r="FL33" s="33">
        <f>ROUND(坦克等级成长!$H130*VLOOKUP($EP$2,坦克等级成长!$B$36:$G$42,MATCH(FL$3,坦克等级成长!$B$35:$G$35,0)),0)</f>
        <v>947</v>
      </c>
      <c r="FM33" s="33">
        <f>ROUND(坦克等级成长!$H130*VLOOKUP($EP$2,坦克等级成长!$B$36:$G$42,MATCH(FM$3,坦克等级成长!$B$35:$G$35,0)),0)</f>
        <v>227</v>
      </c>
    </row>
    <row r="34" spans="1:169" ht="14.25" x14ac:dyDescent="0.3">
      <c r="A34" s="189">
        <v>3</v>
      </c>
      <c r="B34" s="193"/>
      <c r="C34" s="189"/>
      <c r="D34" s="189"/>
      <c r="E34" s="189"/>
      <c r="F34" s="189"/>
      <c r="G34" s="189"/>
      <c r="H34" s="189"/>
      <c r="I34" s="200"/>
      <c r="J34" s="199">
        <v>14</v>
      </c>
      <c r="K34" s="33">
        <f>ROUND(坦克等级成长!$F131*VLOOKUP($B$2,坦克等级成长!$B$36:$G$42,MATCH(K$3,坦克等级成长!$B$35:$G$35,0)),0)</f>
        <v>2136</v>
      </c>
      <c r="L34" s="33">
        <f>ROUND(坦克等级成长!$F131*VLOOKUP($B$2,坦克等级成长!$B$36:$G$42,MATCH(L$3,坦克等级成长!$B$35:$G$35,0)),0)</f>
        <v>213</v>
      </c>
      <c r="M34" s="33">
        <f>ROUND(坦克等级成长!$F131*VLOOKUP($B$2,坦克等级成长!$B$36:$G$42,MATCH(M$3,坦克等级成长!$B$35:$G$35,0)),0)</f>
        <v>801</v>
      </c>
      <c r="N34" s="33">
        <f t="shared" si="7"/>
        <v>801</v>
      </c>
      <c r="O34" s="33">
        <v>613</v>
      </c>
      <c r="P34" s="33">
        <f>ROUND(坦克等级成长!$F131*VLOOKUP($B$2,坦克等级成长!$B$36:$G$42,MATCH(P$3,坦克等级成长!$B$35:$G$35,0)),0)</f>
        <v>801</v>
      </c>
      <c r="Q34" s="33">
        <f>ROUND(坦克等级成长!$F131*VLOOKUP($B$2,坦克等级成长!$B$36:$G$42,MATCH(Q$3,坦克等级成长!$B$35:$G$35,0)),0)</f>
        <v>214</v>
      </c>
      <c r="R34" s="192">
        <v>14</v>
      </c>
      <c r="S34" s="33">
        <f>ROUND(坦克等级成长!$H131*VLOOKUP($B$2,坦克等级成长!$B$36:$G$42,MATCH(S$3,坦克等级成长!$B$35:$G$35,0)),0)</f>
        <v>2192</v>
      </c>
      <c r="T34" s="33">
        <f>ROUND(坦克等级成长!$H131*VLOOKUP($B$2,坦克等级成长!$B$36:$G$42,MATCH(T$3,坦克等级成长!$B$35:$G$35,0)),0)</f>
        <v>218</v>
      </c>
      <c r="U34" s="33">
        <f>ROUND(坦克等级成长!$H131*VLOOKUP($B$2,坦克等级成长!$B$36:$G$42,MATCH(U$3,坦克等级成长!$B$35:$G$35,0)),0)</f>
        <v>822</v>
      </c>
      <c r="V34" s="33">
        <f t="shared" si="21"/>
        <v>822</v>
      </c>
      <c r="W34" s="33">
        <v>613</v>
      </c>
      <c r="X34" s="33">
        <f>ROUND(坦克等级成长!$H131*VLOOKUP($B$2,坦克等级成长!$B$36:$G$42,MATCH(X$3,坦克等级成长!$B$35:$G$35,0)),0)</f>
        <v>822</v>
      </c>
      <c r="Y34" s="33">
        <f>ROUND(坦克等级成长!$H131*VLOOKUP($B$2,坦克等级成长!$B$36:$G$42,MATCH(Y$3,坦克等级成长!$B$35:$G$35,0)),0)</f>
        <v>219</v>
      </c>
      <c r="Z34" s="193"/>
      <c r="AA34" s="189"/>
      <c r="AB34" s="189"/>
      <c r="AC34" s="189"/>
      <c r="AD34" s="189"/>
      <c r="AE34" s="189"/>
      <c r="AF34" s="189"/>
      <c r="AG34" s="200"/>
      <c r="AH34" s="199">
        <v>14</v>
      </c>
      <c r="AI34" s="33">
        <f>ROUND(坦克等级成长!$F131*VLOOKUP($Z$2,坦克等级成长!$B$36:$G$42,MATCH(AI$3,坦克等级成长!$B$35:$G$35,0)),0)</f>
        <v>2136</v>
      </c>
      <c r="AJ34" s="33">
        <f>ROUND(坦克等级成长!$F131*VLOOKUP($Z$2,坦克等级成长!$B$36:$G$42,MATCH(AJ$3,坦克等级成长!$B$35:$G$35,0)),0)</f>
        <v>113</v>
      </c>
      <c r="AK34" s="33">
        <f>ROUND(坦克等级成长!$F131*VLOOKUP($Z$2,坦克等级成长!$B$36:$G$42,MATCH(AK$3,坦克等级成长!$B$35:$G$35,0)),0)</f>
        <v>877</v>
      </c>
      <c r="AL34" s="33">
        <f t="shared" si="8"/>
        <v>877</v>
      </c>
      <c r="AM34" s="33">
        <v>671</v>
      </c>
      <c r="AN34" s="33">
        <f>ROUND(坦克等级成长!$F131*VLOOKUP($Z$2,坦克等级成长!$B$36:$G$42,MATCH(AN$3,坦克等级成长!$B$35:$G$35,0)),0)</f>
        <v>801</v>
      </c>
      <c r="AO34" s="33">
        <f>ROUND(坦克等级成长!$F131*VLOOKUP($Z$2,坦克等级成长!$B$36:$G$42,MATCH(AO$3,坦克等级成长!$B$35:$G$35,0)),0)</f>
        <v>214</v>
      </c>
      <c r="AP34" s="192">
        <v>14</v>
      </c>
      <c r="AQ34" s="33">
        <f>ROUND(坦克等级成长!$H131*VLOOKUP($Z$2,坦克等级成长!$B$36:$G$42,MATCH(AQ$3,坦克等级成长!$B$35:$G$35,0)),0)</f>
        <v>2192</v>
      </c>
      <c r="AR34" s="33">
        <f>ROUND(坦克等级成长!$H131*VLOOKUP($Z$2,坦克等级成长!$B$36:$G$42,MATCH(AR$3,坦克等级成长!$B$35:$G$35,0)),0)</f>
        <v>116</v>
      </c>
      <c r="AS34" s="33">
        <f>ROUND(坦克等级成长!$H131*VLOOKUP($Z$2,坦克等级成长!$B$36:$G$42,MATCH(AS$3,坦克等级成长!$B$35:$G$35,0)),0)</f>
        <v>900</v>
      </c>
      <c r="AT34" s="33">
        <f t="shared" si="22"/>
        <v>900</v>
      </c>
      <c r="AU34" s="33">
        <v>671</v>
      </c>
      <c r="AV34" s="33">
        <f>ROUND(坦克等级成长!$H131*VLOOKUP($Z$2,坦克等级成长!$B$36:$G$42,MATCH(AV$3,坦克等级成长!$B$35:$G$35,0)),0)</f>
        <v>822</v>
      </c>
      <c r="AW34" s="33">
        <f>ROUND(坦克等级成长!$H131*VLOOKUP($Z$2,坦克等级成长!$B$36:$G$42,MATCH(AW$3,坦克等级成长!$B$35:$G$35,0)),0)</f>
        <v>219</v>
      </c>
      <c r="AX34" s="193"/>
      <c r="AY34" s="189"/>
      <c r="AZ34" s="189"/>
      <c r="BA34" s="189"/>
      <c r="BB34" s="189"/>
      <c r="BC34" s="189"/>
      <c r="BD34" s="189"/>
      <c r="BE34" s="200"/>
      <c r="BF34" s="199">
        <v>14</v>
      </c>
      <c r="BG34" s="33">
        <f>ROUND(坦克等级成长!$F131*VLOOKUP($AX$2,坦克等级成长!$B$36:$G$42,MATCH(BG$3,坦克等级成长!$B$35:$G$35,0)),0)</f>
        <v>2136</v>
      </c>
      <c r="BH34" s="33">
        <f>ROUND(坦克等级成长!$F131*VLOOKUP($AX$2,坦克等级成长!$B$36:$G$42,MATCH(BH$3,坦克等级成长!$B$35:$G$35,0)),0)</f>
        <v>213</v>
      </c>
      <c r="BI34" s="33">
        <f>ROUND(坦克等级成长!$F131*VLOOKUP($AX$2,坦克等级成长!$B$36:$G$42,MATCH(BI$3,坦克等级成长!$B$35:$G$35,0)),0)</f>
        <v>801</v>
      </c>
      <c r="BJ34" s="33">
        <f t="shared" si="9"/>
        <v>801</v>
      </c>
      <c r="BK34" s="33">
        <v>613</v>
      </c>
      <c r="BL34" s="33">
        <f>ROUND(坦克等级成长!$F131*VLOOKUP($AX$2,坦克等级成长!$B$36:$G$42,MATCH(BL$3,坦克等级成长!$B$35:$G$35,0)),0)</f>
        <v>801</v>
      </c>
      <c r="BM34" s="33">
        <f>ROUND(坦克等级成长!$F131*VLOOKUP($AX$2,坦克等级成长!$B$36:$G$42,MATCH(BM$3,坦克等级成长!$B$35:$G$35,0)),0)</f>
        <v>214</v>
      </c>
      <c r="BN34" s="192">
        <v>14</v>
      </c>
      <c r="BO34" s="33">
        <f>ROUND(坦克等级成长!$H131*VLOOKUP($AX$2,坦克等级成长!$B$36:$G$42,MATCH(BO$3,坦克等级成长!$B$35:$G$35,0)),0)</f>
        <v>2192</v>
      </c>
      <c r="BP34" s="33">
        <f>ROUND(坦克等级成长!$H131*VLOOKUP($AX$2,坦克等级成长!$B$36:$G$42,MATCH(BP$3,坦克等级成长!$B$35:$G$35,0)),0)</f>
        <v>218</v>
      </c>
      <c r="BQ34" s="33">
        <f>ROUND(坦克等级成长!$H131*VLOOKUP($AX$2,坦克等级成长!$B$36:$G$42,MATCH(BQ$3,坦克等级成长!$B$35:$G$35,0)),0)</f>
        <v>822</v>
      </c>
      <c r="BR34" s="33">
        <f t="shared" si="23"/>
        <v>822</v>
      </c>
      <c r="BS34" s="33">
        <v>613</v>
      </c>
      <c r="BT34" s="33">
        <f>ROUND(坦克等级成长!$H131*VLOOKUP($AX$2,坦克等级成长!$B$36:$G$42,MATCH(BT$3,坦克等级成长!$B$35:$G$35,0)),0)</f>
        <v>822</v>
      </c>
      <c r="BU34" s="33">
        <f>ROUND(坦克等级成长!$H131*VLOOKUP($AX$2,坦克等级成长!$B$36:$G$42,MATCH(BU$3,坦克等级成长!$B$35:$G$35,0)),0)</f>
        <v>219</v>
      </c>
      <c r="BV34" s="193"/>
      <c r="BW34" s="189"/>
      <c r="BX34" s="189"/>
      <c r="BY34" s="189"/>
      <c r="BZ34" s="189"/>
      <c r="CA34" s="189"/>
      <c r="CB34" s="189"/>
      <c r="CC34" s="200"/>
      <c r="CD34" s="199">
        <v>14</v>
      </c>
      <c r="CE34" s="33">
        <f>ROUND(坦克等级成长!$F131*VLOOKUP($BV$2,坦克等级成长!$B$36:$G$42,MATCH(CE$3,坦克等级成长!$B$35:$G$35,0)),0)</f>
        <v>2305</v>
      </c>
      <c r="CF34" s="33">
        <f>ROUND(坦克等级成长!$F131*VLOOKUP($BV$2,坦克等级成长!$B$36:$G$42,MATCH(CF$3,坦克等级成长!$B$35:$G$35,0)),0)</f>
        <v>198</v>
      </c>
      <c r="CG34" s="33">
        <f>ROUND(坦克等级成长!$F131*VLOOKUP($BV$2,坦克等级成长!$B$36:$G$42,MATCH(CG$3,坦克等级成长!$B$35:$G$35,0)),0)</f>
        <v>763</v>
      </c>
      <c r="CH34" s="33">
        <f t="shared" si="10"/>
        <v>763</v>
      </c>
      <c r="CI34" s="33">
        <v>626</v>
      </c>
      <c r="CJ34" s="33">
        <f>ROUND(坦克等级成长!$F131*VLOOKUP($BV$2,坦克等级成长!$B$36:$G$42,MATCH(CJ$3,坦克等级成长!$B$35:$G$35,0)),0)</f>
        <v>961</v>
      </c>
      <c r="CK34" s="33">
        <f>ROUND(坦克等级成长!$F131*VLOOKUP($BV$2,坦克等级成长!$B$36:$G$42,MATCH(CK$3,坦克等级成长!$B$35:$G$35,0)),0)</f>
        <v>231</v>
      </c>
      <c r="CL34" s="192">
        <v>14</v>
      </c>
      <c r="CM34" s="33">
        <f>ROUND(坦克等级成长!$H131*VLOOKUP($BV$2,坦克等级成长!$B$36:$G$42,MATCH(CM$3,坦克等级成长!$B$35:$G$35,0)),0)</f>
        <v>2366</v>
      </c>
      <c r="CN34" s="33">
        <f>ROUND(坦克等级成长!$H131*VLOOKUP($BV$2,坦克等级成长!$B$36:$G$42,MATCH(CN$3,坦克等级成长!$B$35:$G$35,0)),0)</f>
        <v>203</v>
      </c>
      <c r="CO34" s="33">
        <f>ROUND(坦克等级成长!$H131*VLOOKUP($BV$2,坦克等级成长!$B$36:$G$42,MATCH(CO$3,坦克等级成长!$B$35:$G$35,0)),0)</f>
        <v>783</v>
      </c>
      <c r="CP34" s="33">
        <f t="shared" si="24"/>
        <v>783</v>
      </c>
      <c r="CQ34" s="33">
        <v>626</v>
      </c>
      <c r="CR34" s="33">
        <f>ROUND(坦克等级成长!$H131*VLOOKUP($BV$2,坦克等级成长!$B$36:$G$42,MATCH(CR$3,坦克等级成长!$B$35:$G$35,0)),0)</f>
        <v>986</v>
      </c>
      <c r="CS34" s="33">
        <f>ROUND(坦克等级成长!$H131*VLOOKUP($BV$2,坦克等级成长!$B$36:$G$42,MATCH(CS$3,坦克等级成长!$B$35:$G$35,0)),0)</f>
        <v>237</v>
      </c>
      <c r="CT34" s="193"/>
      <c r="CU34" s="189"/>
      <c r="CV34" s="189"/>
      <c r="CW34" s="189"/>
      <c r="CX34" s="189"/>
      <c r="CY34" s="189"/>
      <c r="CZ34" s="189"/>
      <c r="DA34" s="200"/>
      <c r="DB34" s="199">
        <v>14</v>
      </c>
      <c r="DC34" s="33">
        <f>ROUND(坦克等级成长!$F131*VLOOKUP($CT$2,坦克等级成长!$B$36:$G$42,MATCH(DC$3,坦克等级成长!$B$35:$G$35,0)),0)</f>
        <v>2136</v>
      </c>
      <c r="DD34" s="33">
        <f>ROUND(坦克等级成长!$F131*VLOOKUP($CT$2,坦克等级成长!$B$36:$G$42,MATCH(DD$3,坦克等级成长!$B$35:$G$35,0)),0)</f>
        <v>430</v>
      </c>
      <c r="DE34" s="33">
        <f>ROUND(坦克等级成长!$F131*VLOOKUP($CT$2,坦克等级成长!$B$36:$G$42,MATCH(DE$3,坦克等级成长!$B$35:$G$35,0)),0)</f>
        <v>954</v>
      </c>
      <c r="DF34" s="33">
        <f t="shared" si="11"/>
        <v>954</v>
      </c>
      <c r="DG34" s="33">
        <v>782</v>
      </c>
      <c r="DH34" s="33">
        <f>ROUND(坦克等级成长!$F131*VLOOKUP($CT$2,坦克等级成长!$B$36:$G$42,MATCH(DH$3,坦克等级成长!$B$35:$G$35,0)),0)</f>
        <v>801</v>
      </c>
      <c r="DI34" s="33">
        <f>ROUND(坦克等级成长!$F131*VLOOKUP($CT$2,坦克等级成长!$B$36:$G$42,MATCH(DI$3,坦克等级成长!$B$35:$G$35,0)),0)</f>
        <v>214</v>
      </c>
      <c r="DJ34" s="192">
        <v>14</v>
      </c>
      <c r="DK34" s="33">
        <f>ROUND(坦克等级成长!$H131*VLOOKUP($CT$2,坦克等级成长!$B$36:$G$42,MATCH(DK$3,坦克等级成长!$B$35:$G$35,0)),0)</f>
        <v>2192</v>
      </c>
      <c r="DL34" s="33">
        <f>ROUND(坦克等级成长!$H131*VLOOKUP($CT$2,坦克等级成长!$B$36:$G$42,MATCH(DL$3,坦克等级成长!$B$35:$G$35,0)),0)</f>
        <v>441</v>
      </c>
      <c r="DM34" s="33">
        <f>ROUND(坦克等级成长!$H131*VLOOKUP($CT$2,坦克等级成长!$B$36:$G$42,MATCH(DM$3,坦克等级成长!$B$35:$G$35,0)),0)</f>
        <v>979</v>
      </c>
      <c r="DN34" s="33">
        <f t="shared" si="25"/>
        <v>979</v>
      </c>
      <c r="DO34" s="33">
        <v>782</v>
      </c>
      <c r="DP34" s="33">
        <f>ROUND(坦克等级成长!$H131*VLOOKUP($CT$2,坦克等级成长!$B$36:$G$42,MATCH(DP$3,坦克等级成长!$B$35:$G$35,0)),0)</f>
        <v>822</v>
      </c>
      <c r="DQ34" s="33">
        <f>ROUND(坦克等级成长!$H131*VLOOKUP($CT$2,坦克等级成长!$B$36:$G$42,MATCH(DQ$3,坦克等级成长!$B$35:$G$35,0)),0)</f>
        <v>219</v>
      </c>
      <c r="DR34" s="193"/>
      <c r="DS34" s="189"/>
      <c r="DT34" s="189"/>
      <c r="DU34" s="189"/>
      <c r="DV34" s="189"/>
      <c r="DW34" s="189"/>
      <c r="DX34" s="189"/>
      <c r="DY34" s="200"/>
      <c r="DZ34" s="199">
        <v>14</v>
      </c>
      <c r="EA34" s="33">
        <f>ROUND(坦克等级成长!$F131*VLOOKUP($DR$2,坦克等级成长!$B$36:$G$42,MATCH(EA$3,坦克等级成长!$B$35:$G$35,0)),0)</f>
        <v>2613</v>
      </c>
      <c r="EB34" s="33">
        <f>ROUND(坦克等级成长!$F131*VLOOKUP($DR$2,坦克等级成长!$B$36:$G$42,MATCH(EB$3,坦克等级成长!$B$35:$G$35,0)),0)</f>
        <v>716</v>
      </c>
      <c r="EC34" s="33">
        <f>ROUND(坦克等级成长!$F131*VLOOKUP($DR$2,坦克等级成长!$B$36:$G$42,MATCH(EC$3,坦克等级成长!$B$35:$G$35,0)),0)</f>
        <v>763</v>
      </c>
      <c r="ED34" s="33">
        <f t="shared" si="12"/>
        <v>763</v>
      </c>
      <c r="EE34" s="33">
        <v>667</v>
      </c>
      <c r="EF34" s="33">
        <f>ROUND(坦克等级成长!$F131*VLOOKUP($DR$2,坦克等级成长!$B$36:$G$42,MATCH(EF$3,坦克等级成长!$B$35:$G$35,0)),0)</f>
        <v>1121</v>
      </c>
      <c r="EG34" s="33">
        <f>ROUND(坦克等级成长!$F131*VLOOKUP($DR$2,坦克等级成长!$B$36:$G$42,MATCH(EG$3,坦克等级成长!$B$35:$G$35,0)),0)</f>
        <v>261</v>
      </c>
      <c r="EH34" s="192">
        <v>14</v>
      </c>
      <c r="EI34" s="33">
        <f>ROUND(坦克等级成长!$H131*VLOOKUP($DR$2,坦克等级成长!$B$36:$G$42,MATCH(EI$3,坦克等级成长!$B$35:$G$35,0)),0)</f>
        <v>2681</v>
      </c>
      <c r="EJ34" s="33">
        <f>ROUND(坦克等级成长!$H131*VLOOKUP($DR$2,坦克等级成长!$B$36:$G$42,MATCH(EJ$3,坦克等级成长!$B$35:$G$35,0)),0)</f>
        <v>734</v>
      </c>
      <c r="EK34" s="33">
        <f>ROUND(坦克等级成长!$H131*VLOOKUP($DR$2,坦克等级成长!$B$36:$G$42,MATCH(EK$3,坦克等级成长!$B$35:$G$35,0)),0)</f>
        <v>783</v>
      </c>
      <c r="EL34" s="33">
        <f t="shared" si="26"/>
        <v>783</v>
      </c>
      <c r="EM34" s="33">
        <v>667</v>
      </c>
      <c r="EN34" s="33">
        <f>ROUND(坦克等级成长!$H131*VLOOKUP($DR$2,坦克等级成长!$B$36:$G$42,MATCH(EN$3,坦克等级成长!$B$35:$G$35,0)),0)</f>
        <v>1151</v>
      </c>
      <c r="EO34" s="33">
        <f>ROUND(坦克等级成长!$H131*VLOOKUP($DR$2,坦克等级成长!$B$36:$G$42,MATCH(EO$3,坦克等级成长!$B$35:$G$35,0)),0)</f>
        <v>268</v>
      </c>
      <c r="EP34" s="193"/>
      <c r="EQ34" s="189"/>
      <c r="ER34" s="189"/>
      <c r="ES34" s="189"/>
      <c r="ET34" s="189"/>
      <c r="EU34" s="189"/>
      <c r="EV34" s="189"/>
      <c r="EW34" s="200"/>
      <c r="EX34" s="199">
        <v>14</v>
      </c>
      <c r="EY34" s="33">
        <f>ROUND(坦克等级成长!$F131*VLOOKUP($EP$2,坦克等级成长!$B$36:$G$42,MATCH(EY$3,坦克等级成长!$B$35:$G$35,0)),0)</f>
        <v>2305</v>
      </c>
      <c r="EZ34" s="33">
        <f>ROUND(坦克等级成长!$F131*VLOOKUP($EP$2,坦克等级成长!$B$36:$G$42,MATCH(EZ$3,坦克等级成长!$B$35:$G$35,0)),0)</f>
        <v>237</v>
      </c>
      <c r="FA34" s="33">
        <f>ROUND(坦克等级成长!$F131*VLOOKUP($EP$2,坦克等级成长!$B$36:$G$42,MATCH(FA$3,坦克等级成长!$B$35:$G$35,0)),0)</f>
        <v>877</v>
      </c>
      <c r="FB34" s="33">
        <f t="shared" si="13"/>
        <v>877</v>
      </c>
      <c r="FC34" s="33">
        <v>719</v>
      </c>
      <c r="FD34" s="33">
        <f>ROUND(坦克等级成长!$F131*VLOOKUP($EP$2,坦克等级成长!$B$36:$G$42,MATCH(FD$3,坦克等级成长!$B$35:$G$35,0)),0)</f>
        <v>961</v>
      </c>
      <c r="FE34" s="33">
        <f>ROUND(坦克等级成长!$F131*VLOOKUP($EP$2,坦克等级成长!$B$36:$G$42,MATCH(FE$3,坦克等级成长!$B$35:$G$35,0)),0)</f>
        <v>231</v>
      </c>
      <c r="FF34" s="192">
        <v>14</v>
      </c>
      <c r="FG34" s="33">
        <f>ROUND(坦克等级成长!$H131*VLOOKUP($EP$2,坦克等级成长!$B$36:$G$42,MATCH(FG$3,坦克等级成长!$B$35:$G$35,0)),0)</f>
        <v>2366</v>
      </c>
      <c r="FH34" s="33">
        <f>ROUND(坦克等级成长!$H131*VLOOKUP($EP$2,坦克等级成长!$B$36:$G$42,MATCH(FH$3,坦克等级成长!$B$35:$G$35,0)),0)</f>
        <v>244</v>
      </c>
      <c r="FI34" s="33">
        <f>ROUND(坦克等级成长!$H131*VLOOKUP($EP$2,坦克等级成长!$B$36:$G$42,MATCH(FI$3,坦克等级成长!$B$35:$G$35,0)),0)</f>
        <v>900</v>
      </c>
      <c r="FJ34" s="33">
        <f t="shared" si="27"/>
        <v>900</v>
      </c>
      <c r="FK34" s="33">
        <v>719</v>
      </c>
      <c r="FL34" s="33">
        <f>ROUND(坦克等级成长!$H131*VLOOKUP($EP$2,坦克等级成长!$B$36:$G$42,MATCH(FL$3,坦克等级成长!$B$35:$G$35,0)),0)</f>
        <v>986</v>
      </c>
      <c r="FM34" s="33">
        <f>ROUND(坦克等级成长!$H131*VLOOKUP($EP$2,坦克等级成长!$B$36:$G$42,MATCH(FM$3,坦克等级成长!$B$35:$G$35,0)),0)</f>
        <v>237</v>
      </c>
    </row>
    <row r="35" spans="1:169" ht="14.25" x14ac:dyDescent="0.3">
      <c r="A35" s="189">
        <v>3</v>
      </c>
      <c r="B35" s="193"/>
      <c r="C35" s="189"/>
      <c r="D35" s="189"/>
      <c r="E35" s="189"/>
      <c r="F35" s="189"/>
      <c r="G35" s="189"/>
      <c r="H35" s="189"/>
      <c r="I35" s="200"/>
      <c r="J35" s="199">
        <v>15</v>
      </c>
      <c r="K35" s="33">
        <f>ROUND(坦克等级成长!$F132*VLOOKUP($B$2,坦克等级成长!$B$36:$G$42,MATCH(K$3,坦克等级成长!$B$35:$G$35,0)),0)</f>
        <v>2216</v>
      </c>
      <c r="L35" s="33">
        <f>ROUND(坦克等级成长!$F132*VLOOKUP($B$2,坦克等级成长!$B$36:$G$42,MATCH(L$3,坦克等级成长!$B$35:$G$35,0)),0)</f>
        <v>221</v>
      </c>
      <c r="M35" s="33">
        <f>ROUND(坦克等级成长!$F132*VLOOKUP($B$2,坦克等级成长!$B$36:$G$42,MATCH(M$3,坦克等级成长!$B$35:$G$35,0)),0)</f>
        <v>831</v>
      </c>
      <c r="N35" s="33">
        <f t="shared" si="7"/>
        <v>831</v>
      </c>
      <c r="O35" s="33">
        <v>638</v>
      </c>
      <c r="P35" s="33">
        <f>ROUND(坦克等级成长!$F132*VLOOKUP($B$2,坦克等级成长!$B$36:$G$42,MATCH(P$3,坦克等级成长!$B$35:$G$35,0)),0)</f>
        <v>831</v>
      </c>
      <c r="Q35" s="33">
        <f>ROUND(坦克等级成长!$F132*VLOOKUP($B$2,坦克等级成长!$B$36:$G$42,MATCH(Q$3,坦克等级成长!$B$35:$G$35,0)),0)</f>
        <v>222</v>
      </c>
      <c r="R35" s="192">
        <v>15</v>
      </c>
      <c r="S35" s="33">
        <f>ROUND(坦克等级成长!$H132*VLOOKUP($B$2,坦克等级成长!$B$36:$G$42,MATCH(S$3,坦克等级成长!$B$35:$G$35,0)),0)</f>
        <v>2280</v>
      </c>
      <c r="T35" s="33">
        <f>ROUND(坦克等级成长!$H132*VLOOKUP($B$2,坦克等级成长!$B$36:$G$42,MATCH(T$3,坦克等级成长!$B$35:$G$35,0)),0)</f>
        <v>227</v>
      </c>
      <c r="U35" s="33">
        <f>ROUND(坦克等级成长!$H132*VLOOKUP($B$2,坦克等级成长!$B$36:$G$42,MATCH(U$3,坦克等级成长!$B$35:$G$35,0)),0)</f>
        <v>855</v>
      </c>
      <c r="V35" s="33">
        <f t="shared" si="21"/>
        <v>855</v>
      </c>
      <c r="W35" s="33">
        <v>638</v>
      </c>
      <c r="X35" s="33">
        <f>ROUND(坦克等级成长!$H132*VLOOKUP($B$2,坦克等级成长!$B$36:$G$42,MATCH(X$3,坦克等级成长!$B$35:$G$35,0)),0)</f>
        <v>855</v>
      </c>
      <c r="Y35" s="33">
        <f>ROUND(坦克等级成长!$H132*VLOOKUP($B$2,坦克等级成长!$B$36:$G$42,MATCH(Y$3,坦克等级成长!$B$35:$G$35,0)),0)</f>
        <v>228</v>
      </c>
      <c r="Z35" s="193"/>
      <c r="AA35" s="189"/>
      <c r="AB35" s="189"/>
      <c r="AC35" s="189"/>
      <c r="AD35" s="189"/>
      <c r="AE35" s="189"/>
      <c r="AF35" s="189"/>
      <c r="AG35" s="200"/>
      <c r="AH35" s="199">
        <v>15</v>
      </c>
      <c r="AI35" s="33">
        <f>ROUND(坦克等级成长!$F132*VLOOKUP($Z$2,坦克等级成长!$B$36:$G$42,MATCH(AI$3,坦克等级成长!$B$35:$G$35,0)),0)</f>
        <v>2216</v>
      </c>
      <c r="AJ35" s="33">
        <f>ROUND(坦克等级成长!$F132*VLOOKUP($Z$2,坦克等级成长!$B$36:$G$42,MATCH(AJ$3,坦克等级成长!$B$35:$G$35,0)),0)</f>
        <v>118</v>
      </c>
      <c r="AK35" s="33">
        <f>ROUND(坦克等级成长!$F132*VLOOKUP($Z$2,坦克等级成长!$B$36:$G$42,MATCH(AK$3,坦克等级成长!$B$35:$G$35,0)),0)</f>
        <v>910</v>
      </c>
      <c r="AL35" s="33">
        <f t="shared" si="8"/>
        <v>910</v>
      </c>
      <c r="AM35" s="33">
        <v>699</v>
      </c>
      <c r="AN35" s="33">
        <f>ROUND(坦克等级成长!$F132*VLOOKUP($Z$2,坦克等级成长!$B$36:$G$42,MATCH(AN$3,坦克等级成长!$B$35:$G$35,0)),0)</f>
        <v>831</v>
      </c>
      <c r="AO35" s="33">
        <f>ROUND(坦克等级成长!$F132*VLOOKUP($Z$2,坦克等级成长!$B$36:$G$42,MATCH(AO$3,坦克等级成长!$B$35:$G$35,0)),0)</f>
        <v>222</v>
      </c>
      <c r="AP35" s="192">
        <v>15</v>
      </c>
      <c r="AQ35" s="33">
        <f>ROUND(坦克等级成长!$H132*VLOOKUP($Z$2,坦克等级成长!$B$36:$G$42,MATCH(AQ$3,坦克等级成长!$B$35:$G$35,0)),0)</f>
        <v>2280</v>
      </c>
      <c r="AR35" s="33">
        <f>ROUND(坦克等级成长!$H132*VLOOKUP($Z$2,坦克等级成长!$B$36:$G$42,MATCH(AR$3,坦克等级成长!$B$35:$G$35,0)),0)</f>
        <v>121</v>
      </c>
      <c r="AS35" s="33">
        <f>ROUND(坦克等级成长!$H132*VLOOKUP($Z$2,坦克等级成长!$B$36:$G$42,MATCH(AS$3,坦克等级成长!$B$35:$G$35,0)),0)</f>
        <v>936</v>
      </c>
      <c r="AT35" s="33">
        <f t="shared" si="22"/>
        <v>936</v>
      </c>
      <c r="AU35" s="33">
        <v>699</v>
      </c>
      <c r="AV35" s="33">
        <f>ROUND(坦克等级成长!$H132*VLOOKUP($Z$2,坦克等级成长!$B$36:$G$42,MATCH(AV$3,坦克等级成长!$B$35:$G$35,0)),0)</f>
        <v>855</v>
      </c>
      <c r="AW35" s="33">
        <f>ROUND(坦克等级成长!$H132*VLOOKUP($Z$2,坦克等级成长!$B$36:$G$42,MATCH(AW$3,坦克等级成长!$B$35:$G$35,0)),0)</f>
        <v>228</v>
      </c>
      <c r="AX35" s="193"/>
      <c r="AY35" s="189"/>
      <c r="AZ35" s="189"/>
      <c r="BA35" s="189"/>
      <c r="BB35" s="189"/>
      <c r="BC35" s="189"/>
      <c r="BD35" s="189"/>
      <c r="BE35" s="200"/>
      <c r="BF35" s="199">
        <v>15</v>
      </c>
      <c r="BG35" s="33">
        <f>ROUND(坦克等级成长!$F132*VLOOKUP($AX$2,坦克等级成长!$B$36:$G$42,MATCH(BG$3,坦克等级成长!$B$35:$G$35,0)),0)</f>
        <v>2216</v>
      </c>
      <c r="BH35" s="33">
        <f>ROUND(坦克等级成长!$F132*VLOOKUP($AX$2,坦克等级成长!$B$36:$G$42,MATCH(BH$3,坦克等级成长!$B$35:$G$35,0)),0)</f>
        <v>221</v>
      </c>
      <c r="BI35" s="33">
        <f>ROUND(坦克等级成长!$F132*VLOOKUP($AX$2,坦克等级成长!$B$36:$G$42,MATCH(BI$3,坦克等级成长!$B$35:$G$35,0)),0)</f>
        <v>831</v>
      </c>
      <c r="BJ35" s="33">
        <f t="shared" si="9"/>
        <v>831</v>
      </c>
      <c r="BK35" s="33">
        <v>638</v>
      </c>
      <c r="BL35" s="33">
        <f>ROUND(坦克等级成长!$F132*VLOOKUP($AX$2,坦克等级成长!$B$36:$G$42,MATCH(BL$3,坦克等级成长!$B$35:$G$35,0)),0)</f>
        <v>831</v>
      </c>
      <c r="BM35" s="33">
        <f>ROUND(坦克等级成长!$F132*VLOOKUP($AX$2,坦克等级成长!$B$36:$G$42,MATCH(BM$3,坦克等级成长!$B$35:$G$35,0)),0)</f>
        <v>222</v>
      </c>
      <c r="BN35" s="192">
        <v>15</v>
      </c>
      <c r="BO35" s="33">
        <f>ROUND(坦克等级成长!$H132*VLOOKUP($AX$2,坦克等级成长!$B$36:$G$42,MATCH(BO$3,坦克等级成长!$B$35:$G$35,0)),0)</f>
        <v>2280</v>
      </c>
      <c r="BP35" s="33">
        <f>ROUND(坦克等级成长!$H132*VLOOKUP($AX$2,坦克等级成长!$B$36:$G$42,MATCH(BP$3,坦克等级成长!$B$35:$G$35,0)),0)</f>
        <v>227</v>
      </c>
      <c r="BQ35" s="33">
        <f>ROUND(坦克等级成长!$H132*VLOOKUP($AX$2,坦克等级成长!$B$36:$G$42,MATCH(BQ$3,坦克等级成长!$B$35:$G$35,0)),0)</f>
        <v>855</v>
      </c>
      <c r="BR35" s="33">
        <f t="shared" si="23"/>
        <v>855</v>
      </c>
      <c r="BS35" s="33">
        <v>638</v>
      </c>
      <c r="BT35" s="33">
        <f>ROUND(坦克等级成长!$H132*VLOOKUP($AX$2,坦克等级成长!$B$36:$G$42,MATCH(BT$3,坦克等级成长!$B$35:$G$35,0)),0)</f>
        <v>855</v>
      </c>
      <c r="BU35" s="33">
        <f>ROUND(坦克等级成长!$H132*VLOOKUP($AX$2,坦克等级成长!$B$36:$G$42,MATCH(BU$3,坦克等级成长!$B$35:$G$35,0)),0)</f>
        <v>228</v>
      </c>
      <c r="BV35" s="193"/>
      <c r="BW35" s="189"/>
      <c r="BX35" s="189"/>
      <c r="BY35" s="189"/>
      <c r="BZ35" s="189"/>
      <c r="CA35" s="189"/>
      <c r="CB35" s="189"/>
      <c r="CC35" s="200"/>
      <c r="CD35" s="199">
        <v>15</v>
      </c>
      <c r="CE35" s="33">
        <f>ROUND(坦克等级成长!$F132*VLOOKUP($BV$2,坦克等级成长!$B$36:$G$42,MATCH(CE$3,坦克等级成长!$B$35:$G$35,0)),0)</f>
        <v>2392</v>
      </c>
      <c r="CF35" s="33">
        <f>ROUND(坦克等级成长!$F132*VLOOKUP($BV$2,坦克等级成长!$B$36:$G$42,MATCH(CF$3,坦克等级成长!$B$35:$G$35,0)),0)</f>
        <v>206</v>
      </c>
      <c r="CG35" s="33">
        <f>ROUND(坦克等级成长!$F132*VLOOKUP($BV$2,坦克等级成长!$B$36:$G$42,MATCH(CG$3,坦克等级成长!$B$35:$G$35,0)),0)</f>
        <v>791</v>
      </c>
      <c r="CH35" s="33">
        <f t="shared" si="10"/>
        <v>791</v>
      </c>
      <c r="CI35" s="33">
        <v>652</v>
      </c>
      <c r="CJ35" s="33">
        <f>ROUND(坦克等级成长!$F132*VLOOKUP($BV$2,坦克等级成长!$B$36:$G$42,MATCH(CJ$3,坦克等级成长!$B$35:$G$35,0)),0)</f>
        <v>997</v>
      </c>
      <c r="CK35" s="33">
        <f>ROUND(坦克等级成长!$F132*VLOOKUP($BV$2,坦克等级成长!$B$36:$G$42,MATCH(CK$3,坦克等级成长!$B$35:$G$35,0)),0)</f>
        <v>239</v>
      </c>
      <c r="CL35" s="192">
        <v>15</v>
      </c>
      <c r="CM35" s="33">
        <f>ROUND(坦克等级成长!$H132*VLOOKUP($BV$2,坦克等级成长!$B$36:$G$42,MATCH(CM$3,坦克等级成长!$B$35:$G$35,0)),0)</f>
        <v>2461</v>
      </c>
      <c r="CN35" s="33">
        <f>ROUND(坦克等级成长!$H132*VLOOKUP($BV$2,坦克等级成长!$B$36:$G$42,MATCH(CN$3,坦克等级成长!$B$35:$G$35,0)),0)</f>
        <v>212</v>
      </c>
      <c r="CO35" s="33">
        <f>ROUND(坦克等级成长!$H132*VLOOKUP($BV$2,坦克等级成长!$B$36:$G$42,MATCH(CO$3,坦克等级成长!$B$35:$G$35,0)),0)</f>
        <v>814</v>
      </c>
      <c r="CP35" s="33">
        <f t="shared" si="24"/>
        <v>814</v>
      </c>
      <c r="CQ35" s="33">
        <v>652</v>
      </c>
      <c r="CR35" s="33">
        <f>ROUND(坦克等级成长!$H132*VLOOKUP($BV$2,坦克等级成长!$B$36:$G$42,MATCH(CR$3,坦克等级成长!$B$35:$G$35,0)),0)</f>
        <v>1026</v>
      </c>
      <c r="CS35" s="33">
        <f>ROUND(坦克等级成长!$H132*VLOOKUP($BV$2,坦克等级成长!$B$36:$G$42,MATCH(CS$3,坦克等级成长!$B$35:$G$35,0)),0)</f>
        <v>246</v>
      </c>
      <c r="CT35" s="193"/>
      <c r="CU35" s="189"/>
      <c r="CV35" s="189"/>
      <c r="CW35" s="189"/>
      <c r="CX35" s="189"/>
      <c r="CY35" s="189"/>
      <c r="CZ35" s="189"/>
      <c r="DA35" s="200"/>
      <c r="DB35" s="199">
        <v>15</v>
      </c>
      <c r="DC35" s="33">
        <f>ROUND(坦克等级成长!$F132*VLOOKUP($CT$2,坦克等级成长!$B$36:$G$42,MATCH(DC$3,坦克等级成长!$B$35:$G$35,0)),0)</f>
        <v>2216</v>
      </c>
      <c r="DD35" s="33">
        <f>ROUND(坦克等级成长!$F132*VLOOKUP($CT$2,坦克等级成长!$B$36:$G$42,MATCH(DD$3,坦克等级成长!$B$35:$G$35,0)),0)</f>
        <v>446</v>
      </c>
      <c r="DE35" s="33">
        <f>ROUND(坦克等级成长!$F132*VLOOKUP($CT$2,坦克等级成长!$B$36:$G$42,MATCH(DE$3,坦克等级成长!$B$35:$G$35,0)),0)</f>
        <v>989</v>
      </c>
      <c r="DF35" s="33">
        <f t="shared" si="11"/>
        <v>989</v>
      </c>
      <c r="DG35" s="33">
        <v>815</v>
      </c>
      <c r="DH35" s="33">
        <f>ROUND(坦克等级成长!$F132*VLOOKUP($CT$2,坦克等级成长!$B$36:$G$42,MATCH(DH$3,坦克等级成长!$B$35:$G$35,0)),0)</f>
        <v>831</v>
      </c>
      <c r="DI35" s="33">
        <f>ROUND(坦克等级成长!$F132*VLOOKUP($CT$2,坦克等级成长!$B$36:$G$42,MATCH(DI$3,坦克等级成长!$B$35:$G$35,0)),0)</f>
        <v>222</v>
      </c>
      <c r="DJ35" s="192">
        <v>15</v>
      </c>
      <c r="DK35" s="33">
        <f>ROUND(坦克等级成长!$H132*VLOOKUP($CT$2,坦克等级成长!$B$36:$G$42,MATCH(DK$3,坦克等级成长!$B$35:$G$35,0)),0)</f>
        <v>2280</v>
      </c>
      <c r="DL35" s="33">
        <f>ROUND(坦克等级成长!$H132*VLOOKUP($CT$2,坦克等级成长!$B$36:$G$42,MATCH(DL$3,坦克等级成长!$B$35:$G$35,0)),0)</f>
        <v>459</v>
      </c>
      <c r="DM35" s="33">
        <f>ROUND(坦克等级成长!$H132*VLOOKUP($CT$2,坦克等级成长!$B$36:$G$42,MATCH(DM$3,坦克等级成长!$B$35:$G$35,0)),0)</f>
        <v>1018</v>
      </c>
      <c r="DN35" s="33">
        <f t="shared" si="25"/>
        <v>1018</v>
      </c>
      <c r="DO35" s="33">
        <v>815</v>
      </c>
      <c r="DP35" s="33">
        <f>ROUND(坦克等级成长!$H132*VLOOKUP($CT$2,坦克等级成长!$B$36:$G$42,MATCH(DP$3,坦克等级成长!$B$35:$G$35,0)),0)</f>
        <v>855</v>
      </c>
      <c r="DQ35" s="33">
        <f>ROUND(坦克等级成长!$H132*VLOOKUP($CT$2,坦克等级成长!$B$36:$G$42,MATCH(DQ$3,坦克等级成长!$B$35:$G$35,0)),0)</f>
        <v>228</v>
      </c>
      <c r="DR35" s="193"/>
      <c r="DS35" s="189"/>
      <c r="DT35" s="189"/>
      <c r="DU35" s="189"/>
      <c r="DV35" s="189"/>
      <c r="DW35" s="189"/>
      <c r="DX35" s="189"/>
      <c r="DY35" s="200"/>
      <c r="DZ35" s="199">
        <v>15</v>
      </c>
      <c r="EA35" s="33">
        <f>ROUND(坦克等级成长!$F132*VLOOKUP($DR$2,坦克等级成长!$B$36:$G$42,MATCH(EA$3,坦克等级成长!$B$35:$G$35,0)),0)</f>
        <v>2711</v>
      </c>
      <c r="EB35" s="33">
        <f>ROUND(坦克等级成长!$F132*VLOOKUP($DR$2,坦克等级成长!$B$36:$G$42,MATCH(EB$3,坦克等级成长!$B$35:$G$35,0)),0)</f>
        <v>743</v>
      </c>
      <c r="EC35" s="33">
        <f>ROUND(坦克等级成长!$F132*VLOOKUP($DR$2,坦克等级成长!$B$36:$G$42,MATCH(EC$3,坦克等级成长!$B$35:$G$35,0)),0)</f>
        <v>791</v>
      </c>
      <c r="ED35" s="33">
        <f t="shared" si="12"/>
        <v>791</v>
      </c>
      <c r="EE35" s="33">
        <v>695</v>
      </c>
      <c r="EF35" s="33">
        <f>ROUND(坦克等级成长!$F132*VLOOKUP($DR$2,坦克等级成长!$B$36:$G$42,MATCH(EF$3,坦克等级成长!$B$35:$G$35,0)),0)</f>
        <v>1163</v>
      </c>
      <c r="EG35" s="33">
        <f>ROUND(坦克等级成长!$F132*VLOOKUP($DR$2,坦克等级成长!$B$36:$G$42,MATCH(EG$3,坦克等级成长!$B$35:$G$35,0)),0)</f>
        <v>271</v>
      </c>
      <c r="EH35" s="192">
        <v>15</v>
      </c>
      <c r="EI35" s="33">
        <f>ROUND(坦克等级成长!$H132*VLOOKUP($DR$2,坦克等级成长!$B$36:$G$42,MATCH(EI$3,坦克等级成长!$B$35:$G$35,0)),0)</f>
        <v>2789</v>
      </c>
      <c r="EJ35" s="33">
        <f>ROUND(坦克等级成长!$H132*VLOOKUP($DR$2,坦克等级成长!$B$36:$G$42,MATCH(EJ$3,坦克等级成长!$B$35:$G$35,0)),0)</f>
        <v>764</v>
      </c>
      <c r="EK35" s="33">
        <f>ROUND(坦克等级成长!$H132*VLOOKUP($DR$2,坦克等级成长!$B$36:$G$42,MATCH(EK$3,坦克等级成长!$B$35:$G$35,0)),0)</f>
        <v>814</v>
      </c>
      <c r="EL35" s="33">
        <f t="shared" si="26"/>
        <v>814</v>
      </c>
      <c r="EM35" s="33">
        <v>695</v>
      </c>
      <c r="EN35" s="33">
        <f>ROUND(坦克等级成长!$H132*VLOOKUP($DR$2,坦克等级成长!$B$36:$G$42,MATCH(EN$3,坦克等级成长!$B$35:$G$35,0)),0)</f>
        <v>1197</v>
      </c>
      <c r="EO35" s="33">
        <f>ROUND(坦克等级成长!$H132*VLOOKUP($DR$2,坦克等级成长!$B$36:$G$42,MATCH(EO$3,坦克等级成长!$B$35:$G$35,0)),0)</f>
        <v>279</v>
      </c>
      <c r="EP35" s="193"/>
      <c r="EQ35" s="189"/>
      <c r="ER35" s="189"/>
      <c r="ES35" s="189"/>
      <c r="ET35" s="189"/>
      <c r="EU35" s="189"/>
      <c r="EV35" s="189"/>
      <c r="EW35" s="200"/>
      <c r="EX35" s="199">
        <v>15</v>
      </c>
      <c r="EY35" s="33">
        <f>ROUND(坦克等级成长!$F132*VLOOKUP($EP$2,坦克等级成长!$B$36:$G$42,MATCH(EY$3,坦克等级成长!$B$35:$G$35,0)),0)</f>
        <v>2392</v>
      </c>
      <c r="EZ35" s="33">
        <f>ROUND(坦克等级成长!$F132*VLOOKUP($EP$2,坦克等级成长!$B$36:$G$42,MATCH(EZ$3,坦克等级成长!$B$35:$G$35,0)),0)</f>
        <v>246</v>
      </c>
      <c r="FA35" s="33">
        <f>ROUND(坦克等级成长!$F132*VLOOKUP($EP$2,坦克等级成长!$B$36:$G$42,MATCH(FA$3,坦克等级成长!$B$35:$G$35,0)),0)</f>
        <v>910</v>
      </c>
      <c r="FB35" s="33">
        <f t="shared" si="13"/>
        <v>910</v>
      </c>
      <c r="FC35" s="33">
        <v>749</v>
      </c>
      <c r="FD35" s="33">
        <f>ROUND(坦克等级成长!$F132*VLOOKUP($EP$2,坦克等级成长!$B$36:$G$42,MATCH(FD$3,坦克等级成长!$B$35:$G$35,0)),0)</f>
        <v>997</v>
      </c>
      <c r="FE35" s="33">
        <f>ROUND(坦克等级成长!$F132*VLOOKUP($EP$2,坦克等级成长!$B$36:$G$42,MATCH(FE$3,坦克等级成长!$B$35:$G$35,0)),0)</f>
        <v>239</v>
      </c>
      <c r="FF35" s="192">
        <v>15</v>
      </c>
      <c r="FG35" s="33">
        <f>ROUND(坦克等级成长!$H132*VLOOKUP($EP$2,坦克等级成长!$B$36:$G$42,MATCH(FG$3,坦克等级成长!$B$35:$G$35,0)),0)</f>
        <v>2461</v>
      </c>
      <c r="FH35" s="33">
        <f>ROUND(坦克等级成长!$H132*VLOOKUP($EP$2,坦克等级成长!$B$36:$G$42,MATCH(FH$3,坦克等级成长!$B$35:$G$35,0)),0)</f>
        <v>254</v>
      </c>
      <c r="FI35" s="33">
        <f>ROUND(坦克等级成长!$H132*VLOOKUP($EP$2,坦克等级成长!$B$36:$G$42,MATCH(FI$3,坦克等级成长!$B$35:$G$35,0)),0)</f>
        <v>936</v>
      </c>
      <c r="FJ35" s="33">
        <f t="shared" si="27"/>
        <v>936</v>
      </c>
      <c r="FK35" s="33">
        <v>749</v>
      </c>
      <c r="FL35" s="33">
        <f>ROUND(坦克等级成长!$H132*VLOOKUP($EP$2,坦克等级成长!$B$36:$G$42,MATCH(FL$3,坦克等级成长!$B$35:$G$35,0)),0)</f>
        <v>1026</v>
      </c>
      <c r="FM35" s="33">
        <f>ROUND(坦克等级成长!$H132*VLOOKUP($EP$2,坦克等级成长!$B$36:$G$42,MATCH(FM$3,坦克等级成长!$B$35:$G$35,0)),0)</f>
        <v>246</v>
      </c>
    </row>
    <row r="36" spans="1:169" ht="14.25" x14ac:dyDescent="0.3">
      <c r="A36" s="189">
        <v>4</v>
      </c>
      <c r="B36" s="192">
        <v>1</v>
      </c>
      <c r="C36" s="33">
        <f>ROUND(坦克等级成长!$D133*VLOOKUP($B$2,坦克等级成长!$B$36:$G$42,MATCH(C$3,坦克等级成长!$B$35:$G$35,0)),0)</f>
        <v>1464</v>
      </c>
      <c r="D36" s="33">
        <f>ROUND(坦克等级成长!$D133*VLOOKUP($B$2,坦克等级成长!$B$36:$G$42,MATCH(D$3,坦克等级成长!$B$35:$G$35,0)),0)</f>
        <v>146</v>
      </c>
      <c r="E36" s="33">
        <f>ROUND(坦克等级成长!$D133*VLOOKUP($B$2,坦克等级成长!$B$36:$G$42,MATCH(E$3,坦克等级成长!$B$35:$G$35,0)),0)</f>
        <v>549</v>
      </c>
      <c r="F36" s="33">
        <f t="shared" ref="F36:F46" si="28">E36</f>
        <v>549</v>
      </c>
      <c r="G36" s="33">
        <v>403.2</v>
      </c>
      <c r="H36" s="33">
        <f>ROUND(坦克等级成长!$D133*VLOOKUP($B$2,坦克等级成长!$B$36:$G$42,MATCH(H$3,坦克等级成长!$B$35:$G$35,0)),0)</f>
        <v>549</v>
      </c>
      <c r="I36" s="33">
        <f>ROUND(坦克等级成长!$D133*VLOOKUP($B$2,坦克等级成长!$B$36:$G$42,MATCH(I$3,坦克等级成长!$B$35:$G$35,0)),0)</f>
        <v>146</v>
      </c>
      <c r="J36" s="199">
        <v>1</v>
      </c>
      <c r="K36" s="33">
        <f>ROUND(坦克等级成长!$F133*VLOOKUP($B$2,坦克等级成长!$B$36:$G$42,MATCH(K$3,坦克等级成长!$B$35:$G$35,0)),0)</f>
        <v>1496</v>
      </c>
      <c r="L36" s="33">
        <f>ROUND(坦克等级成长!$F133*VLOOKUP($B$2,坦克等级成长!$B$36:$G$42,MATCH(L$3,坦克等级成长!$B$35:$G$35,0)),0)</f>
        <v>149</v>
      </c>
      <c r="M36" s="33">
        <f>ROUND(坦克等级成长!$F133*VLOOKUP($B$2,坦克等级成长!$B$36:$G$42,MATCH(M$3,坦克等级成长!$B$35:$G$35,0)),0)</f>
        <v>561</v>
      </c>
      <c r="N36" s="33">
        <f t="shared" si="7"/>
        <v>561</v>
      </c>
      <c r="O36" s="33">
        <v>420</v>
      </c>
      <c r="P36" s="33">
        <f>ROUND(坦克等级成长!$F133*VLOOKUP($B$2,坦克等级成长!$B$36:$G$42,MATCH(P$3,坦克等级成长!$B$35:$G$35,0)),0)</f>
        <v>561</v>
      </c>
      <c r="Q36" s="33">
        <f>ROUND(坦克等级成长!$F133*VLOOKUP($B$2,坦克等级成长!$B$36:$G$42,MATCH(Q$3,坦克等级成长!$B$35:$G$35,0)),0)</f>
        <v>150</v>
      </c>
      <c r="R36" s="192">
        <v>1</v>
      </c>
      <c r="S36" s="33">
        <f>ROUND(坦克等级成长!$H133*VLOOKUP($B$2,坦克等级成长!$B$36:$G$42,MATCH(S$3,坦克等级成长!$B$35:$G$35,0)),0)</f>
        <v>1528</v>
      </c>
      <c r="T36" s="33">
        <f>ROUND(坦克等级成长!$H133*VLOOKUP($B$2,坦克等级成长!$B$36:$G$42,MATCH(T$3,坦克等级成长!$B$35:$G$35,0)),0)</f>
        <v>152</v>
      </c>
      <c r="U36" s="33">
        <f>ROUND(坦克等级成长!$H133*VLOOKUP($B$2,坦克等级成长!$B$36:$G$42,MATCH(U$3,坦克等级成长!$B$35:$G$35,0)),0)</f>
        <v>573</v>
      </c>
      <c r="V36" s="33">
        <f t="shared" si="21"/>
        <v>573</v>
      </c>
      <c r="W36" s="33">
        <v>420</v>
      </c>
      <c r="X36" s="33">
        <f>ROUND(坦克等级成长!$H133*VLOOKUP($B$2,坦克等级成长!$B$36:$G$42,MATCH(X$3,坦克等级成长!$B$35:$G$35,0)),0)</f>
        <v>573</v>
      </c>
      <c r="Y36" s="33">
        <f>ROUND(坦克等级成长!$H133*VLOOKUP($B$2,坦克等级成长!$B$36:$G$42,MATCH(Y$3,坦克等级成长!$B$35:$G$35,0)),0)</f>
        <v>153</v>
      </c>
      <c r="Z36" s="192">
        <v>1</v>
      </c>
      <c r="AA36" s="33">
        <f>ROUND(坦克等级成长!$D133*VLOOKUP($Z$2,坦克等级成长!$B$36:$G$42,MATCH(AA$3,坦克等级成长!$B$35:$G$35,0)),0)</f>
        <v>1464</v>
      </c>
      <c r="AB36" s="33">
        <f>ROUND(坦克等级成长!$D133*VLOOKUP($Z$2,坦克等级成长!$B$36:$G$42,MATCH(AB$3,坦克等级成长!$B$35:$G$35,0)),0)</f>
        <v>78</v>
      </c>
      <c r="AC36" s="33">
        <f>ROUND(坦克等级成长!$D133*VLOOKUP($Z$2,坦克等级成长!$B$36:$G$42,MATCH(AC$3,坦克等级成长!$B$35:$G$35,0)),0)</f>
        <v>601</v>
      </c>
      <c r="AD36" s="33">
        <f t="shared" ref="AD36:AD46" si="29">AC36</f>
        <v>601</v>
      </c>
      <c r="AE36" s="33">
        <v>441.7</v>
      </c>
      <c r="AF36" s="33">
        <f>ROUND(坦克等级成长!$D133*VLOOKUP($Z$2,坦克等级成长!$B$36:$G$42,MATCH(AF$3,坦克等级成长!$B$35:$G$35,0)),0)</f>
        <v>549</v>
      </c>
      <c r="AG36" s="33">
        <f>ROUND(坦克等级成长!$D133*VLOOKUP($Z$2,坦克等级成长!$B$36:$G$42,MATCH(AG$3,坦克等级成长!$B$35:$G$35,0)),0)</f>
        <v>146</v>
      </c>
      <c r="AH36" s="199">
        <v>1</v>
      </c>
      <c r="AI36" s="33">
        <f>ROUND(坦克等级成长!$F133*VLOOKUP($Z$2,坦克等级成长!$B$36:$G$42,MATCH(AI$3,坦克等级成长!$B$35:$G$35,0)),0)</f>
        <v>1496</v>
      </c>
      <c r="AJ36" s="33">
        <f>ROUND(坦克等级成长!$F133*VLOOKUP($Z$2,坦克等级成长!$B$36:$G$42,MATCH(AJ$3,坦克等级成长!$B$35:$G$35,0)),0)</f>
        <v>79</v>
      </c>
      <c r="AK36" s="33">
        <f>ROUND(坦克等级成长!$F133*VLOOKUP($Z$2,坦克等级成长!$B$36:$G$42,MATCH(AK$3,坦克等级成长!$B$35:$G$35,0)),0)</f>
        <v>614</v>
      </c>
      <c r="AL36" s="33">
        <f t="shared" si="8"/>
        <v>614</v>
      </c>
      <c r="AM36" s="33">
        <v>460</v>
      </c>
      <c r="AN36" s="33">
        <f>ROUND(坦克等级成长!$F133*VLOOKUP($Z$2,坦克等级成长!$B$36:$G$42,MATCH(AN$3,坦克等级成长!$B$35:$G$35,0)),0)</f>
        <v>561</v>
      </c>
      <c r="AO36" s="33">
        <f>ROUND(坦克等级成长!$F133*VLOOKUP($Z$2,坦克等级成长!$B$36:$G$42,MATCH(AO$3,坦克等级成长!$B$35:$G$35,0)),0)</f>
        <v>150</v>
      </c>
      <c r="AP36" s="192">
        <v>1</v>
      </c>
      <c r="AQ36" s="33">
        <f>ROUND(坦克等级成长!$H133*VLOOKUP($Z$2,坦克等级成长!$B$36:$G$42,MATCH(AQ$3,坦克等级成长!$B$35:$G$35,0)),0)</f>
        <v>1528</v>
      </c>
      <c r="AR36" s="33">
        <f>ROUND(坦克等级成长!$H133*VLOOKUP($Z$2,坦克等级成长!$B$36:$G$42,MATCH(AR$3,坦克等级成长!$B$35:$G$35,0)),0)</f>
        <v>81</v>
      </c>
      <c r="AS36" s="33">
        <f>ROUND(坦克等级成长!$H133*VLOOKUP($Z$2,坦克等级成长!$B$36:$G$42,MATCH(AS$3,坦克等级成长!$B$35:$G$35,0)),0)</f>
        <v>628</v>
      </c>
      <c r="AT36" s="33">
        <f t="shared" si="22"/>
        <v>628</v>
      </c>
      <c r="AU36" s="33">
        <v>460</v>
      </c>
      <c r="AV36" s="33">
        <f>ROUND(坦克等级成长!$H133*VLOOKUP($Z$2,坦克等级成长!$B$36:$G$42,MATCH(AV$3,坦克等级成长!$B$35:$G$35,0)),0)</f>
        <v>573</v>
      </c>
      <c r="AW36" s="33">
        <f>ROUND(坦克等级成长!$H133*VLOOKUP($Z$2,坦克等级成长!$B$36:$G$42,MATCH(AW$3,坦克等级成长!$B$35:$G$35,0)),0)</f>
        <v>153</v>
      </c>
      <c r="AX36" s="192">
        <v>1</v>
      </c>
      <c r="AY36" s="33">
        <f>ROUND(坦克等级成长!$D133*VLOOKUP($AX$2,坦克等级成长!$B$36:$G$42,MATCH(AY$3,坦克等级成长!$B$35:$G$35,0)),0)</f>
        <v>1464</v>
      </c>
      <c r="AZ36" s="33">
        <f>ROUND(坦克等级成长!$D133*VLOOKUP($AX$2,坦克等级成长!$B$36:$G$42,MATCH(AZ$3,坦克等级成长!$B$35:$G$35,0)),0)</f>
        <v>146</v>
      </c>
      <c r="BA36" s="33">
        <f>ROUND(坦克等级成长!$D133*VLOOKUP($AX$2,坦克等级成长!$B$36:$G$42,MATCH(BA$3,坦克等级成长!$B$35:$G$35,0)),0)</f>
        <v>549</v>
      </c>
      <c r="BB36" s="33">
        <f t="shared" ref="BB36:BB46" si="30">BA36</f>
        <v>549</v>
      </c>
      <c r="BC36" s="33">
        <v>403.2</v>
      </c>
      <c r="BD36" s="33">
        <f>ROUND(坦克等级成长!$D133*VLOOKUP($AX$2,坦克等级成长!$B$36:$G$42,MATCH(BD$3,坦克等级成长!$B$35:$G$35,0)),0)</f>
        <v>549</v>
      </c>
      <c r="BE36" s="33">
        <f>ROUND(坦克等级成长!$D133*VLOOKUP($AX$2,坦克等级成长!$B$36:$G$42,MATCH(BE$3,坦克等级成长!$B$35:$G$35,0)),0)</f>
        <v>146</v>
      </c>
      <c r="BF36" s="199">
        <v>1</v>
      </c>
      <c r="BG36" s="33">
        <f>ROUND(坦克等级成长!$F133*VLOOKUP($AX$2,坦克等级成长!$B$36:$G$42,MATCH(BG$3,坦克等级成长!$B$35:$G$35,0)),0)</f>
        <v>1496</v>
      </c>
      <c r="BH36" s="33">
        <f>ROUND(坦克等级成长!$F133*VLOOKUP($AX$2,坦克等级成长!$B$36:$G$42,MATCH(BH$3,坦克等级成长!$B$35:$G$35,0)),0)</f>
        <v>149</v>
      </c>
      <c r="BI36" s="33">
        <f>ROUND(坦克等级成长!$F133*VLOOKUP($AX$2,坦克等级成长!$B$36:$G$42,MATCH(BI$3,坦克等级成长!$B$35:$G$35,0)),0)</f>
        <v>561</v>
      </c>
      <c r="BJ36" s="33">
        <f t="shared" si="9"/>
        <v>561</v>
      </c>
      <c r="BK36" s="33">
        <v>420</v>
      </c>
      <c r="BL36" s="33">
        <f>ROUND(坦克等级成长!$F133*VLOOKUP($AX$2,坦克等级成长!$B$36:$G$42,MATCH(BL$3,坦克等级成长!$B$35:$G$35,0)),0)</f>
        <v>561</v>
      </c>
      <c r="BM36" s="33">
        <f>ROUND(坦克等级成长!$F133*VLOOKUP($AX$2,坦克等级成长!$B$36:$G$42,MATCH(BM$3,坦克等级成长!$B$35:$G$35,0)),0)</f>
        <v>150</v>
      </c>
      <c r="BN36" s="192">
        <v>1</v>
      </c>
      <c r="BO36" s="33">
        <f>ROUND(坦克等级成长!$H133*VLOOKUP($AX$2,坦克等级成长!$B$36:$G$42,MATCH(BO$3,坦克等级成长!$B$35:$G$35,0)),0)</f>
        <v>1528</v>
      </c>
      <c r="BP36" s="33">
        <f>ROUND(坦克等级成长!$H133*VLOOKUP($AX$2,坦克等级成长!$B$36:$G$42,MATCH(BP$3,坦克等级成长!$B$35:$G$35,0)),0)</f>
        <v>152</v>
      </c>
      <c r="BQ36" s="33">
        <f>ROUND(坦克等级成长!$H133*VLOOKUP($AX$2,坦克等级成长!$B$36:$G$42,MATCH(BQ$3,坦克等级成长!$B$35:$G$35,0)),0)</f>
        <v>573</v>
      </c>
      <c r="BR36" s="33">
        <f t="shared" si="23"/>
        <v>573</v>
      </c>
      <c r="BS36" s="33">
        <v>420</v>
      </c>
      <c r="BT36" s="33">
        <f>ROUND(坦克等级成长!$H133*VLOOKUP($AX$2,坦克等级成长!$B$36:$G$42,MATCH(BT$3,坦克等级成长!$B$35:$G$35,0)),0)</f>
        <v>573</v>
      </c>
      <c r="BU36" s="33">
        <f>ROUND(坦克等级成长!$H133*VLOOKUP($AX$2,坦克等级成长!$B$36:$G$42,MATCH(BU$3,坦克等级成长!$B$35:$G$35,0)),0)</f>
        <v>153</v>
      </c>
      <c r="BV36" s="192">
        <v>1</v>
      </c>
      <c r="BW36" s="33">
        <f>ROUND(坦克等级成长!$D133*VLOOKUP($BV$2,坦克等级成长!$B$36:$G$42,MATCH(BW$3,坦克等级成长!$B$35:$G$35,0)),0)</f>
        <v>1580</v>
      </c>
      <c r="BX36" s="33">
        <f>ROUND(坦克等级成长!$D133*VLOOKUP($BV$2,坦克等级成长!$B$36:$G$42,MATCH(BX$3,坦克等级成长!$B$35:$G$35,0)),0)</f>
        <v>136</v>
      </c>
      <c r="BY36" s="33">
        <f>ROUND(坦克等级成长!$D133*VLOOKUP($BV$2,坦克等级成长!$B$36:$G$42,MATCH(BY$3,坦克等级成长!$B$35:$G$35,0)),0)</f>
        <v>523</v>
      </c>
      <c r="BZ36" s="33">
        <f t="shared" ref="BZ36:BZ46" si="31">BY36</f>
        <v>523</v>
      </c>
      <c r="CA36" s="33">
        <v>411.75</v>
      </c>
      <c r="CB36" s="33">
        <f>ROUND(坦克等级成长!$D133*VLOOKUP($BV$2,坦克等级成长!$B$36:$G$42,MATCH(CB$3,坦克等级成长!$B$35:$G$35,0)),0)</f>
        <v>659</v>
      </c>
      <c r="CC36" s="33">
        <f>ROUND(坦克等级成长!$D133*VLOOKUP($BV$2,坦克等级成长!$B$36:$G$42,MATCH(CC$3,坦克等级成长!$B$35:$G$35,0)),0)</f>
        <v>158</v>
      </c>
      <c r="CD36" s="199">
        <v>1</v>
      </c>
      <c r="CE36" s="33">
        <f>ROUND(坦克等级成长!$F133*VLOOKUP($BV$2,坦克等级成长!$B$36:$G$42,MATCH(CE$3,坦克等级成长!$B$35:$G$35,0)),0)</f>
        <v>1615</v>
      </c>
      <c r="CF36" s="33">
        <f>ROUND(坦克等级成长!$F133*VLOOKUP($BV$2,坦克等级成长!$B$36:$G$42,MATCH(CF$3,坦克等级成长!$B$35:$G$35,0)),0)</f>
        <v>139</v>
      </c>
      <c r="CG36" s="33">
        <f>ROUND(坦克等级成长!$F133*VLOOKUP($BV$2,坦克等级成长!$B$36:$G$42,MATCH(CG$3,坦克等级成长!$B$35:$G$35,0)),0)</f>
        <v>534</v>
      </c>
      <c r="CH36" s="33">
        <f t="shared" si="10"/>
        <v>534</v>
      </c>
      <c r="CI36" s="33">
        <v>428</v>
      </c>
      <c r="CJ36" s="33">
        <f>ROUND(坦克等级成长!$F133*VLOOKUP($BV$2,坦克等级成长!$B$36:$G$42,MATCH(CJ$3,坦克等级成长!$B$35:$G$35,0)),0)</f>
        <v>673</v>
      </c>
      <c r="CK36" s="33">
        <f>ROUND(坦克等级成长!$F133*VLOOKUP($BV$2,坦克等级成长!$B$36:$G$42,MATCH(CK$3,坦克等级成长!$B$35:$G$35,0)),0)</f>
        <v>161</v>
      </c>
      <c r="CL36" s="192">
        <v>1</v>
      </c>
      <c r="CM36" s="33">
        <f>ROUND(坦克等级成长!$H133*VLOOKUP($BV$2,坦克等级成长!$B$36:$G$42,MATCH(CM$3,坦克等级成长!$B$35:$G$35,0)),0)</f>
        <v>1649</v>
      </c>
      <c r="CN36" s="33">
        <f>ROUND(坦克等级成长!$H133*VLOOKUP($BV$2,坦克等级成长!$B$36:$G$42,MATCH(CN$3,坦克等级成长!$B$35:$G$35,0)),0)</f>
        <v>142</v>
      </c>
      <c r="CO36" s="33">
        <f>ROUND(坦克等级成长!$H133*VLOOKUP($BV$2,坦克等级成长!$B$36:$G$42,MATCH(CO$3,坦克等级成长!$B$35:$G$35,0)),0)</f>
        <v>546</v>
      </c>
      <c r="CP36" s="33">
        <f t="shared" si="24"/>
        <v>546</v>
      </c>
      <c r="CQ36" s="33">
        <v>428</v>
      </c>
      <c r="CR36" s="33">
        <f>ROUND(坦克等级成长!$H133*VLOOKUP($BV$2,坦克等级成长!$B$36:$G$42,MATCH(CR$3,坦克等级成长!$B$35:$G$35,0)),0)</f>
        <v>688</v>
      </c>
      <c r="CS36" s="33">
        <f>ROUND(坦克等级成长!$H133*VLOOKUP($BV$2,坦克等级成长!$B$36:$G$42,MATCH(CS$3,坦克等级成长!$B$35:$G$35,0)),0)</f>
        <v>165</v>
      </c>
      <c r="CT36" s="192">
        <v>1</v>
      </c>
      <c r="CU36" s="33">
        <f>ROUND(坦克等级成长!$D133*VLOOKUP($CT$2,坦克等级成长!$B$36:$G$42,MATCH(CU$3,坦克等级成长!$B$35:$G$35,0)),0)</f>
        <v>1464</v>
      </c>
      <c r="CV36" s="33">
        <f>ROUND(坦克等级成长!$D133*VLOOKUP($CT$2,坦克等级成长!$B$36:$G$42,MATCH(CV$3,坦克等级成长!$B$35:$G$35,0)),0)</f>
        <v>295</v>
      </c>
      <c r="CW36" s="33">
        <f>ROUND(坦克等级成长!$D133*VLOOKUP($CT$2,坦克等级成长!$B$36:$G$42,MATCH(CW$3,坦克等级成长!$B$35:$G$35,0)),0)</f>
        <v>654</v>
      </c>
      <c r="CX36" s="33">
        <f t="shared" ref="CX36:CX46" si="32">CW36</f>
        <v>654</v>
      </c>
      <c r="CY36" s="33">
        <v>514.5</v>
      </c>
      <c r="CZ36" s="33">
        <f>ROUND(坦克等级成长!$D133*VLOOKUP($CT$2,坦克等级成长!$B$36:$G$42,MATCH(CZ$3,坦克等级成长!$B$35:$G$35,0)),0)</f>
        <v>549</v>
      </c>
      <c r="DA36" s="33">
        <f>ROUND(坦克等级成长!$D133*VLOOKUP($CT$2,坦克等级成长!$B$36:$G$42,MATCH(DA$3,坦克等级成长!$B$35:$G$35,0)),0)</f>
        <v>146</v>
      </c>
      <c r="DB36" s="199">
        <v>1</v>
      </c>
      <c r="DC36" s="33">
        <f>ROUND(坦克等级成长!$F133*VLOOKUP($CT$2,坦克等级成长!$B$36:$G$42,MATCH(DC$3,坦克等级成长!$B$35:$G$35,0)),0)</f>
        <v>1496</v>
      </c>
      <c r="DD36" s="33">
        <f>ROUND(坦克等级成长!$F133*VLOOKUP($CT$2,坦克等级成长!$B$36:$G$42,MATCH(DD$3,坦克等级成长!$B$35:$G$35,0)),0)</f>
        <v>301</v>
      </c>
      <c r="DE36" s="33">
        <f>ROUND(坦克等级成长!$F133*VLOOKUP($CT$2,坦克等级成长!$B$36:$G$42,MATCH(DE$3,坦克等级成长!$B$35:$G$35,0)),0)</f>
        <v>668</v>
      </c>
      <c r="DF36" s="33">
        <f t="shared" si="11"/>
        <v>668</v>
      </c>
      <c r="DG36" s="33">
        <v>536</v>
      </c>
      <c r="DH36" s="33">
        <f>ROUND(坦克等级成长!$F133*VLOOKUP($CT$2,坦克等级成长!$B$36:$G$42,MATCH(DH$3,坦克等级成长!$B$35:$G$35,0)),0)</f>
        <v>561</v>
      </c>
      <c r="DI36" s="33">
        <f>ROUND(坦克等级成长!$F133*VLOOKUP($CT$2,坦克等级成长!$B$36:$G$42,MATCH(DI$3,坦克等级成长!$B$35:$G$35,0)),0)</f>
        <v>150</v>
      </c>
      <c r="DJ36" s="192">
        <v>1</v>
      </c>
      <c r="DK36" s="33">
        <f>ROUND(坦克等级成长!$H133*VLOOKUP($CT$2,坦克等级成长!$B$36:$G$42,MATCH(DK$3,坦克等级成长!$B$35:$G$35,0)),0)</f>
        <v>1528</v>
      </c>
      <c r="DL36" s="33">
        <f>ROUND(坦克等级成长!$H133*VLOOKUP($CT$2,坦克等级成长!$B$36:$G$42,MATCH(DL$3,坦克等级成长!$B$35:$G$35,0)),0)</f>
        <v>308</v>
      </c>
      <c r="DM36" s="33">
        <f>ROUND(坦克等级成长!$H133*VLOOKUP($CT$2,坦克等级成长!$B$36:$G$42,MATCH(DM$3,坦克等级成长!$B$35:$G$35,0)),0)</f>
        <v>682</v>
      </c>
      <c r="DN36" s="33">
        <f t="shared" si="25"/>
        <v>682</v>
      </c>
      <c r="DO36" s="33">
        <v>536</v>
      </c>
      <c r="DP36" s="33">
        <f>ROUND(坦克等级成长!$H133*VLOOKUP($CT$2,坦克等级成长!$B$36:$G$42,MATCH(DP$3,坦克等级成长!$B$35:$G$35,0)),0)</f>
        <v>573</v>
      </c>
      <c r="DQ36" s="33">
        <f>ROUND(坦克等级成长!$H133*VLOOKUP($CT$2,坦克等级成长!$B$36:$G$42,MATCH(DQ$3,坦克等级成长!$B$35:$G$35,0)),0)</f>
        <v>153</v>
      </c>
      <c r="DR36" s="192">
        <v>1</v>
      </c>
      <c r="DS36" s="33">
        <f>ROUND(坦克等级成长!$D133*VLOOKUP($DR$2,坦克等级成长!$B$36:$G$42,MATCH(DS$3,坦克等级成长!$B$35:$G$35,0)),0)</f>
        <v>1791</v>
      </c>
      <c r="DT36" s="33">
        <f>ROUND(坦克等级成长!$D133*VLOOKUP($DR$2,坦克等级成长!$B$36:$G$42,MATCH(DT$3,坦克等级成长!$B$35:$G$35,0)),0)</f>
        <v>491</v>
      </c>
      <c r="DU36" s="33">
        <f>ROUND(坦克等级成长!$D133*VLOOKUP($DR$2,坦克等级成长!$B$36:$G$42,MATCH(DU$3,坦克等级成长!$B$35:$G$35,0)),0)</f>
        <v>523</v>
      </c>
      <c r="DV36" s="33">
        <f t="shared" ref="DV36:DV46" si="33">DU36</f>
        <v>523</v>
      </c>
      <c r="DW36" s="33">
        <v>439.2</v>
      </c>
      <c r="DX36" s="33">
        <f>ROUND(坦克等级成长!$D133*VLOOKUP($DR$2,坦克等级成长!$B$36:$G$42,MATCH(DX$3,坦克等级成长!$B$35:$G$35,0)),0)</f>
        <v>769</v>
      </c>
      <c r="DY36" s="33">
        <f>ROUND(坦克等级成长!$D133*VLOOKUP($DR$2,坦克等级成长!$B$36:$G$42,MATCH(DY$3,坦克等级成长!$B$35:$G$35,0)),0)</f>
        <v>179</v>
      </c>
      <c r="DZ36" s="199">
        <v>1</v>
      </c>
      <c r="EA36" s="33">
        <f>ROUND(坦克等级成长!$F133*VLOOKUP($DR$2,坦克等级成长!$B$36:$G$42,MATCH(EA$3,坦克等级成长!$B$35:$G$35,0)),0)</f>
        <v>1830</v>
      </c>
      <c r="EB36" s="33">
        <f>ROUND(坦克等级成长!$F133*VLOOKUP($DR$2,坦克等级成长!$B$36:$G$42,MATCH(EB$3,坦克等级成长!$B$35:$G$35,0)),0)</f>
        <v>501</v>
      </c>
      <c r="EC36" s="33">
        <f>ROUND(坦克等级成长!$F133*VLOOKUP($DR$2,坦克等级成长!$B$36:$G$42,MATCH(EC$3,坦克等级成长!$B$35:$G$35,0)),0)</f>
        <v>534</v>
      </c>
      <c r="ED36" s="33">
        <f t="shared" si="12"/>
        <v>534</v>
      </c>
      <c r="EE36" s="33">
        <v>457</v>
      </c>
      <c r="EF36" s="33">
        <f>ROUND(坦克等级成长!$F133*VLOOKUP($DR$2,坦克等级成长!$B$36:$G$42,MATCH(EF$3,坦克等级成长!$B$35:$G$35,0)),0)</f>
        <v>785</v>
      </c>
      <c r="EG36" s="33">
        <f>ROUND(坦克等级成长!$F133*VLOOKUP($DR$2,坦克等级成长!$B$36:$G$42,MATCH(EG$3,坦克等级成长!$B$35:$G$35,0)),0)</f>
        <v>183</v>
      </c>
      <c r="EH36" s="192">
        <v>1</v>
      </c>
      <c r="EI36" s="33">
        <f>ROUND(坦克等级成长!$H133*VLOOKUP($DR$2,坦克等级成长!$B$36:$G$42,MATCH(EI$3,坦克等级成长!$B$35:$G$35,0)),0)</f>
        <v>1869</v>
      </c>
      <c r="EJ36" s="33">
        <f>ROUND(坦克等级成长!$H133*VLOOKUP($DR$2,坦克等级成长!$B$36:$G$42,MATCH(EJ$3,坦克等级成长!$B$35:$G$35,0)),0)</f>
        <v>512</v>
      </c>
      <c r="EK36" s="33">
        <f>ROUND(坦克等级成长!$H133*VLOOKUP($DR$2,坦克等级成长!$B$36:$G$42,MATCH(EK$3,坦克等级成长!$B$35:$G$35,0)),0)</f>
        <v>546</v>
      </c>
      <c r="EL36" s="33">
        <f t="shared" si="26"/>
        <v>546</v>
      </c>
      <c r="EM36" s="33">
        <v>457</v>
      </c>
      <c r="EN36" s="33">
        <f>ROUND(坦克等级成长!$H133*VLOOKUP($DR$2,坦克等级成长!$B$36:$G$42,MATCH(EN$3,坦克等级成长!$B$35:$G$35,0)),0)</f>
        <v>802</v>
      </c>
      <c r="EO36" s="33">
        <f>ROUND(坦克等级成长!$H133*VLOOKUP($DR$2,坦克等级成长!$B$36:$G$42,MATCH(EO$3,坦克等级成长!$B$35:$G$35,0)),0)</f>
        <v>187</v>
      </c>
      <c r="EP36" s="192">
        <v>1</v>
      </c>
      <c r="EQ36" s="33">
        <f>ROUND(坦克等级成长!$D133*VLOOKUP($EP$2,坦克等级成长!$B$36:$G$42,MATCH(EQ$3,坦克等级成长!$B$35:$G$35,0)),0)</f>
        <v>1580</v>
      </c>
      <c r="ER36" s="33">
        <f>ROUND(坦克等级成长!$D133*VLOOKUP($EP$2,坦克等级成长!$B$36:$G$42,MATCH(ER$3,坦克等级成长!$B$35:$G$35,0)),0)</f>
        <v>163</v>
      </c>
      <c r="ES36" s="33">
        <f>ROUND(坦克等级成长!$D133*VLOOKUP($EP$2,坦克等级成长!$B$36:$G$42,MATCH(ES$3,坦克等级成长!$B$35:$G$35,0)),0)</f>
        <v>601</v>
      </c>
      <c r="ET36" s="33">
        <f t="shared" ref="ET36:ET46" si="34">ES36</f>
        <v>601</v>
      </c>
      <c r="EU36" s="33">
        <v>473.25</v>
      </c>
      <c r="EV36" s="33">
        <f>ROUND(坦克等级成长!$D133*VLOOKUP($EP$2,坦克等级成长!$B$36:$G$42,MATCH(EV$3,坦克等级成长!$B$35:$G$35,0)),0)</f>
        <v>659</v>
      </c>
      <c r="EW36" s="33">
        <f>ROUND(坦克等级成长!$D133*VLOOKUP($EP$2,坦克等级成长!$B$36:$G$42,MATCH(EW$3,坦克等级成长!$B$35:$G$35,0)),0)</f>
        <v>158</v>
      </c>
      <c r="EX36" s="199">
        <v>1</v>
      </c>
      <c r="EY36" s="33">
        <f>ROUND(坦克等级成长!$F133*VLOOKUP($EP$2,坦克等级成长!$B$36:$G$42,MATCH(EY$3,坦克等级成长!$B$35:$G$35,0)),0)</f>
        <v>1615</v>
      </c>
      <c r="EZ36" s="33">
        <f>ROUND(坦克等级成长!$F133*VLOOKUP($EP$2,坦克等级成长!$B$36:$G$42,MATCH(EZ$3,坦克等级成长!$B$35:$G$35,0)),0)</f>
        <v>166</v>
      </c>
      <c r="FA36" s="33">
        <f>ROUND(坦克等级成长!$F133*VLOOKUP($EP$2,坦克等级成长!$B$36:$G$42,MATCH(FA$3,坦克等级成长!$B$35:$G$35,0)),0)</f>
        <v>614</v>
      </c>
      <c r="FB36" s="33">
        <f t="shared" si="13"/>
        <v>614</v>
      </c>
      <c r="FC36" s="33">
        <v>493</v>
      </c>
      <c r="FD36" s="33">
        <f>ROUND(坦克等级成长!$F133*VLOOKUP($EP$2,坦克等级成长!$B$36:$G$42,MATCH(FD$3,坦克等级成长!$B$35:$G$35,0)),0)</f>
        <v>673</v>
      </c>
      <c r="FE36" s="33">
        <f>ROUND(坦克等级成长!$F133*VLOOKUP($EP$2,坦克等级成长!$B$36:$G$42,MATCH(FE$3,坦克等级成长!$B$35:$G$35,0)),0)</f>
        <v>161</v>
      </c>
      <c r="FF36" s="192">
        <v>1</v>
      </c>
      <c r="FG36" s="33">
        <f>ROUND(坦克等级成长!$H133*VLOOKUP($EP$2,坦克等级成长!$B$36:$G$42,MATCH(FG$3,坦克等级成长!$B$35:$G$35,0)),0)</f>
        <v>1649</v>
      </c>
      <c r="FH36" s="33">
        <f>ROUND(坦克等级成长!$H133*VLOOKUP($EP$2,坦克等级成长!$B$36:$G$42,MATCH(FH$3,坦克等级成长!$B$35:$G$35,0)),0)</f>
        <v>170</v>
      </c>
      <c r="FI36" s="33">
        <f>ROUND(坦克等级成长!$H133*VLOOKUP($EP$2,坦克等级成长!$B$36:$G$42,MATCH(FI$3,坦克等级成长!$B$35:$G$35,0)),0)</f>
        <v>628</v>
      </c>
      <c r="FJ36" s="33">
        <f t="shared" si="27"/>
        <v>628</v>
      </c>
      <c r="FK36" s="33">
        <v>493</v>
      </c>
      <c r="FL36" s="33">
        <f>ROUND(坦克等级成长!$H133*VLOOKUP($EP$2,坦克等级成长!$B$36:$G$42,MATCH(FL$3,坦克等级成长!$B$35:$G$35,0)),0)</f>
        <v>688</v>
      </c>
      <c r="FM36" s="33">
        <f>ROUND(坦克等级成长!$H133*VLOOKUP($EP$2,坦克等级成长!$B$36:$G$42,MATCH(FM$3,坦克等级成长!$B$35:$G$35,0)),0)</f>
        <v>165</v>
      </c>
    </row>
    <row r="37" spans="1:169" ht="14.25" x14ac:dyDescent="0.3">
      <c r="A37" s="189">
        <v>4</v>
      </c>
      <c r="B37" s="192">
        <v>2</v>
      </c>
      <c r="C37" s="33">
        <f>ROUND(坦克等级成长!$D134*VLOOKUP($B$2,坦克等级成长!$B$36:$G$42,MATCH(C$3,坦克等级成长!$B$35:$G$35,0)),0)</f>
        <v>1544</v>
      </c>
      <c r="D37" s="33">
        <f>ROUND(坦克等级成长!$D134*VLOOKUP($B$2,坦克等级成长!$B$36:$G$42,MATCH(D$3,坦克等级成长!$B$35:$G$35,0)),0)</f>
        <v>154</v>
      </c>
      <c r="E37" s="33">
        <f>ROUND(坦克等级成长!$D134*VLOOKUP($B$2,坦克等级成长!$B$36:$G$42,MATCH(E$3,坦克等级成长!$B$35:$G$35,0)),0)</f>
        <v>579</v>
      </c>
      <c r="F37" s="33">
        <f t="shared" si="28"/>
        <v>579</v>
      </c>
      <c r="G37" s="33">
        <v>426.3</v>
      </c>
      <c r="H37" s="33">
        <f>ROUND(坦克等级成长!$D134*VLOOKUP($B$2,坦克等级成长!$B$36:$G$42,MATCH(H$3,坦克等级成长!$B$35:$G$35,0)),0)</f>
        <v>579</v>
      </c>
      <c r="I37" s="33">
        <f>ROUND(坦克等级成长!$D134*VLOOKUP($B$2,坦克等级成长!$B$36:$G$42,MATCH(I$3,坦克等级成长!$B$35:$G$35,0)),0)</f>
        <v>154</v>
      </c>
      <c r="J37" s="199">
        <v>2</v>
      </c>
      <c r="K37" s="33">
        <f>ROUND(坦克等级成长!$F134*VLOOKUP($B$2,坦克等级成长!$B$36:$G$42,MATCH(K$3,坦克等级成长!$B$35:$G$35,0)),0)</f>
        <v>1576</v>
      </c>
      <c r="L37" s="33">
        <f>ROUND(坦克等级成长!$F134*VLOOKUP($B$2,坦克等级成长!$B$36:$G$42,MATCH(L$3,坦克等级成长!$B$35:$G$35,0)),0)</f>
        <v>157</v>
      </c>
      <c r="M37" s="33">
        <f>ROUND(坦克等级成长!$F134*VLOOKUP($B$2,坦克等级成长!$B$36:$G$42,MATCH(M$3,坦克等级成长!$B$35:$G$35,0)),0)</f>
        <v>591</v>
      </c>
      <c r="N37" s="33">
        <f t="shared" si="7"/>
        <v>591</v>
      </c>
      <c r="O37" s="33">
        <v>443</v>
      </c>
      <c r="P37" s="33">
        <f>ROUND(坦克等级成长!$F134*VLOOKUP($B$2,坦克等级成长!$B$36:$G$42,MATCH(P$3,坦克等级成长!$B$35:$G$35,0)),0)</f>
        <v>591</v>
      </c>
      <c r="Q37" s="33">
        <f>ROUND(坦克等级成长!$F134*VLOOKUP($B$2,坦克等级成长!$B$36:$G$42,MATCH(Q$3,坦克等级成长!$B$35:$G$35,0)),0)</f>
        <v>158</v>
      </c>
      <c r="R37" s="192">
        <v>2</v>
      </c>
      <c r="S37" s="33">
        <f>ROUND(坦克等级成长!$H134*VLOOKUP($B$2,坦克等级成长!$B$36:$G$42,MATCH(S$3,坦克等级成长!$B$35:$G$35,0)),0)</f>
        <v>1608</v>
      </c>
      <c r="T37" s="33">
        <f>ROUND(坦克等级成长!$H134*VLOOKUP($B$2,坦克等级成长!$B$36:$G$42,MATCH(T$3,坦克等级成长!$B$35:$G$35,0)),0)</f>
        <v>160</v>
      </c>
      <c r="U37" s="33">
        <f>ROUND(坦克等级成长!$H134*VLOOKUP($B$2,坦克等级成长!$B$36:$G$42,MATCH(U$3,坦克等级成长!$B$35:$G$35,0)),0)</f>
        <v>603</v>
      </c>
      <c r="V37" s="33">
        <f t="shared" si="21"/>
        <v>603</v>
      </c>
      <c r="W37" s="33">
        <v>443</v>
      </c>
      <c r="X37" s="33">
        <f>ROUND(坦克等级成长!$H134*VLOOKUP($B$2,坦克等级成长!$B$36:$G$42,MATCH(X$3,坦克等级成长!$B$35:$G$35,0)),0)</f>
        <v>603</v>
      </c>
      <c r="Y37" s="33">
        <f>ROUND(坦克等级成长!$H134*VLOOKUP($B$2,坦克等级成长!$B$36:$G$42,MATCH(Y$3,坦克等级成长!$B$35:$G$35,0)),0)</f>
        <v>161</v>
      </c>
      <c r="Z37" s="192">
        <v>2</v>
      </c>
      <c r="AA37" s="33">
        <f>ROUND(坦克等级成长!$D134*VLOOKUP($Z$2,坦克等级成长!$B$36:$G$42,MATCH(AA$3,坦克等级成长!$B$35:$G$35,0)),0)</f>
        <v>1544</v>
      </c>
      <c r="AB37" s="33">
        <f>ROUND(坦克等级成长!$D134*VLOOKUP($Z$2,坦克等级成长!$B$36:$G$42,MATCH(AB$3,坦克等级成长!$B$35:$G$35,0)),0)</f>
        <v>82</v>
      </c>
      <c r="AC37" s="33">
        <f>ROUND(坦克等级成长!$D134*VLOOKUP($Z$2,坦克等级成长!$B$36:$G$42,MATCH(AC$3,坦克等级成长!$B$35:$G$35,0)),0)</f>
        <v>634</v>
      </c>
      <c r="AD37" s="33">
        <f t="shared" si="29"/>
        <v>634</v>
      </c>
      <c r="AE37" s="33">
        <v>466.9</v>
      </c>
      <c r="AF37" s="33">
        <f>ROUND(坦克等级成长!$D134*VLOOKUP($Z$2,坦克等级成长!$B$36:$G$42,MATCH(AF$3,坦克等级成长!$B$35:$G$35,0)),0)</f>
        <v>579</v>
      </c>
      <c r="AG37" s="33">
        <f>ROUND(坦克等级成长!$D134*VLOOKUP($Z$2,坦克等级成长!$B$36:$G$42,MATCH(AG$3,坦克等级成长!$B$35:$G$35,0)),0)</f>
        <v>154</v>
      </c>
      <c r="AH37" s="199">
        <v>2</v>
      </c>
      <c r="AI37" s="33">
        <f>ROUND(坦克等级成长!$F134*VLOOKUP($Z$2,坦克等级成长!$B$36:$G$42,MATCH(AI$3,坦克等级成长!$B$35:$G$35,0)),0)</f>
        <v>1576</v>
      </c>
      <c r="AJ37" s="33">
        <f>ROUND(坦克等级成长!$F134*VLOOKUP($Z$2,坦克等级成长!$B$36:$G$42,MATCH(AJ$3,坦克等级成长!$B$35:$G$35,0)),0)</f>
        <v>84</v>
      </c>
      <c r="AK37" s="33">
        <f>ROUND(坦克等级成长!$F134*VLOOKUP($Z$2,坦克等级成长!$B$36:$G$42,MATCH(AK$3,坦克等级成长!$B$35:$G$35,0)),0)</f>
        <v>647</v>
      </c>
      <c r="AL37" s="33">
        <f t="shared" si="8"/>
        <v>647</v>
      </c>
      <c r="AM37" s="33">
        <v>485</v>
      </c>
      <c r="AN37" s="33">
        <f>ROUND(坦克等级成长!$F134*VLOOKUP($Z$2,坦克等级成长!$B$36:$G$42,MATCH(AN$3,坦克等级成长!$B$35:$G$35,0)),0)</f>
        <v>591</v>
      </c>
      <c r="AO37" s="33">
        <f>ROUND(坦克等级成长!$F134*VLOOKUP($Z$2,坦克等级成长!$B$36:$G$42,MATCH(AO$3,坦克等级成长!$B$35:$G$35,0)),0)</f>
        <v>158</v>
      </c>
      <c r="AP37" s="192">
        <v>2</v>
      </c>
      <c r="AQ37" s="33">
        <f>ROUND(坦克等级成长!$H134*VLOOKUP($Z$2,坦克等级成长!$B$36:$G$42,MATCH(AQ$3,坦克等级成长!$B$35:$G$35,0)),0)</f>
        <v>1608</v>
      </c>
      <c r="AR37" s="33">
        <f>ROUND(坦克等级成长!$H134*VLOOKUP($Z$2,坦克等级成长!$B$36:$G$42,MATCH(AR$3,坦克等级成长!$B$35:$G$35,0)),0)</f>
        <v>85</v>
      </c>
      <c r="AS37" s="33">
        <f>ROUND(坦克等级成长!$H134*VLOOKUP($Z$2,坦克等级成长!$B$36:$G$42,MATCH(AS$3,坦克等级成长!$B$35:$G$35,0)),0)</f>
        <v>660</v>
      </c>
      <c r="AT37" s="33">
        <f t="shared" si="22"/>
        <v>660</v>
      </c>
      <c r="AU37" s="33">
        <v>485</v>
      </c>
      <c r="AV37" s="33">
        <f>ROUND(坦克等级成长!$H134*VLOOKUP($Z$2,坦克等级成长!$B$36:$G$42,MATCH(AV$3,坦克等级成长!$B$35:$G$35,0)),0)</f>
        <v>603</v>
      </c>
      <c r="AW37" s="33">
        <f>ROUND(坦克等级成长!$H134*VLOOKUP($Z$2,坦克等级成长!$B$36:$G$42,MATCH(AW$3,坦克等级成长!$B$35:$G$35,0)),0)</f>
        <v>161</v>
      </c>
      <c r="AX37" s="192">
        <v>2</v>
      </c>
      <c r="AY37" s="33">
        <f>ROUND(坦克等级成长!$D134*VLOOKUP($AX$2,坦克等级成长!$B$36:$G$42,MATCH(AY$3,坦克等级成长!$B$35:$G$35,0)),0)</f>
        <v>1544</v>
      </c>
      <c r="AZ37" s="33">
        <f>ROUND(坦克等级成长!$D134*VLOOKUP($AX$2,坦克等级成长!$B$36:$G$42,MATCH(AZ$3,坦克等级成长!$B$35:$G$35,0)),0)</f>
        <v>154</v>
      </c>
      <c r="BA37" s="33">
        <f>ROUND(坦克等级成长!$D134*VLOOKUP($AX$2,坦克等级成长!$B$36:$G$42,MATCH(BA$3,坦克等级成长!$B$35:$G$35,0)),0)</f>
        <v>579</v>
      </c>
      <c r="BB37" s="33">
        <f t="shared" si="30"/>
        <v>579</v>
      </c>
      <c r="BC37" s="33">
        <v>426.3</v>
      </c>
      <c r="BD37" s="33">
        <f>ROUND(坦克等级成长!$D134*VLOOKUP($AX$2,坦克等级成长!$B$36:$G$42,MATCH(BD$3,坦克等级成长!$B$35:$G$35,0)),0)</f>
        <v>579</v>
      </c>
      <c r="BE37" s="33">
        <f>ROUND(坦克等级成长!$D134*VLOOKUP($AX$2,坦克等级成长!$B$36:$G$42,MATCH(BE$3,坦克等级成长!$B$35:$G$35,0)),0)</f>
        <v>154</v>
      </c>
      <c r="BF37" s="199">
        <v>2</v>
      </c>
      <c r="BG37" s="33">
        <f>ROUND(坦克等级成长!$F134*VLOOKUP($AX$2,坦克等级成长!$B$36:$G$42,MATCH(BG$3,坦克等级成长!$B$35:$G$35,0)),0)</f>
        <v>1576</v>
      </c>
      <c r="BH37" s="33">
        <f>ROUND(坦克等级成长!$F134*VLOOKUP($AX$2,坦克等级成长!$B$36:$G$42,MATCH(BH$3,坦克等级成长!$B$35:$G$35,0)),0)</f>
        <v>157</v>
      </c>
      <c r="BI37" s="33">
        <f>ROUND(坦克等级成长!$F134*VLOOKUP($AX$2,坦克等级成长!$B$36:$G$42,MATCH(BI$3,坦克等级成长!$B$35:$G$35,0)),0)</f>
        <v>591</v>
      </c>
      <c r="BJ37" s="33">
        <f t="shared" si="9"/>
        <v>591</v>
      </c>
      <c r="BK37" s="33">
        <v>443</v>
      </c>
      <c r="BL37" s="33">
        <f>ROUND(坦克等级成长!$F134*VLOOKUP($AX$2,坦克等级成长!$B$36:$G$42,MATCH(BL$3,坦克等级成长!$B$35:$G$35,0)),0)</f>
        <v>591</v>
      </c>
      <c r="BM37" s="33">
        <f>ROUND(坦克等级成长!$F134*VLOOKUP($AX$2,坦克等级成长!$B$36:$G$42,MATCH(BM$3,坦克等级成长!$B$35:$G$35,0)),0)</f>
        <v>158</v>
      </c>
      <c r="BN37" s="192">
        <v>2</v>
      </c>
      <c r="BO37" s="33">
        <f>ROUND(坦克等级成长!$H134*VLOOKUP($AX$2,坦克等级成长!$B$36:$G$42,MATCH(BO$3,坦克等级成长!$B$35:$G$35,0)),0)</f>
        <v>1608</v>
      </c>
      <c r="BP37" s="33">
        <f>ROUND(坦克等级成长!$H134*VLOOKUP($AX$2,坦克等级成长!$B$36:$G$42,MATCH(BP$3,坦克等级成长!$B$35:$G$35,0)),0)</f>
        <v>160</v>
      </c>
      <c r="BQ37" s="33">
        <f>ROUND(坦克等级成长!$H134*VLOOKUP($AX$2,坦克等级成长!$B$36:$G$42,MATCH(BQ$3,坦克等级成长!$B$35:$G$35,0)),0)</f>
        <v>603</v>
      </c>
      <c r="BR37" s="33">
        <f t="shared" si="23"/>
        <v>603</v>
      </c>
      <c r="BS37" s="33">
        <v>443</v>
      </c>
      <c r="BT37" s="33">
        <f>ROUND(坦克等级成长!$H134*VLOOKUP($AX$2,坦克等级成长!$B$36:$G$42,MATCH(BT$3,坦克等级成长!$B$35:$G$35,0)),0)</f>
        <v>603</v>
      </c>
      <c r="BU37" s="33">
        <f>ROUND(坦克等级成长!$H134*VLOOKUP($AX$2,坦克等级成长!$B$36:$G$42,MATCH(BU$3,坦克等级成长!$B$35:$G$35,0)),0)</f>
        <v>161</v>
      </c>
      <c r="BV37" s="192">
        <v>2</v>
      </c>
      <c r="BW37" s="33">
        <f>ROUND(坦克等级成长!$D134*VLOOKUP($BV$2,坦克等级成长!$B$36:$G$42,MATCH(BW$3,坦克等级成长!$B$35:$G$35,0)),0)</f>
        <v>1666</v>
      </c>
      <c r="BX37" s="33">
        <f>ROUND(坦克等级成长!$D134*VLOOKUP($BV$2,坦克等级成长!$B$36:$G$42,MATCH(BX$3,坦克等级成长!$B$35:$G$35,0)),0)</f>
        <v>143</v>
      </c>
      <c r="BY37" s="33">
        <f>ROUND(坦克等级成长!$D134*VLOOKUP($BV$2,坦克等级成长!$B$36:$G$42,MATCH(BY$3,坦克等级成长!$B$35:$G$35,0)),0)</f>
        <v>551</v>
      </c>
      <c r="BZ37" s="33">
        <f t="shared" si="31"/>
        <v>551</v>
      </c>
      <c r="CA37" s="33">
        <v>435</v>
      </c>
      <c r="CB37" s="33">
        <f>ROUND(坦克等级成长!$D134*VLOOKUP($BV$2,坦克等级成长!$B$36:$G$42,MATCH(CB$3,坦克等级成长!$B$35:$G$35,0)),0)</f>
        <v>695</v>
      </c>
      <c r="CC37" s="33">
        <f>ROUND(坦克等级成长!$D134*VLOOKUP($BV$2,坦克等级成长!$B$36:$G$42,MATCH(CC$3,坦克等级成长!$B$35:$G$35,0)),0)</f>
        <v>167</v>
      </c>
      <c r="CD37" s="199">
        <v>2</v>
      </c>
      <c r="CE37" s="33">
        <f>ROUND(坦克等级成长!$F134*VLOOKUP($BV$2,坦克等级成长!$B$36:$G$42,MATCH(CE$3,坦克等级成长!$B$35:$G$35,0)),0)</f>
        <v>1701</v>
      </c>
      <c r="CF37" s="33">
        <f>ROUND(坦克等级成长!$F134*VLOOKUP($BV$2,坦克等级成长!$B$36:$G$42,MATCH(CF$3,坦克等级成长!$B$35:$G$35,0)),0)</f>
        <v>146</v>
      </c>
      <c r="CG37" s="33">
        <f>ROUND(坦克等级成长!$F134*VLOOKUP($BV$2,坦克等级成长!$B$36:$G$42,MATCH(CG$3,坦克等级成长!$B$35:$G$35,0)),0)</f>
        <v>563</v>
      </c>
      <c r="CH37" s="33">
        <f t="shared" si="10"/>
        <v>563</v>
      </c>
      <c r="CI37" s="33">
        <v>452</v>
      </c>
      <c r="CJ37" s="33">
        <f>ROUND(坦克等级成长!$F134*VLOOKUP($BV$2,坦克等级成长!$B$36:$G$42,MATCH(CJ$3,坦克等级成长!$B$35:$G$35,0)),0)</f>
        <v>709</v>
      </c>
      <c r="CK37" s="33">
        <f>ROUND(坦克等级成长!$F134*VLOOKUP($BV$2,坦克等级成长!$B$36:$G$42,MATCH(CK$3,坦克等级成长!$B$35:$G$35,0)),0)</f>
        <v>170</v>
      </c>
      <c r="CL37" s="192">
        <v>2</v>
      </c>
      <c r="CM37" s="33">
        <f>ROUND(坦克等级成长!$H134*VLOOKUP($BV$2,坦克等级成长!$B$36:$G$42,MATCH(CM$3,坦克等级成长!$B$35:$G$35,0)),0)</f>
        <v>1736</v>
      </c>
      <c r="CN37" s="33">
        <f>ROUND(坦克等级成长!$H134*VLOOKUP($BV$2,坦克等级成长!$B$36:$G$42,MATCH(CN$3,坦克等级成长!$B$35:$G$35,0)),0)</f>
        <v>149</v>
      </c>
      <c r="CO37" s="33">
        <f>ROUND(坦克等级成长!$H134*VLOOKUP($BV$2,坦克等级成长!$B$36:$G$42,MATCH(CO$3,坦克等级成长!$B$35:$G$35,0)),0)</f>
        <v>574</v>
      </c>
      <c r="CP37" s="33">
        <f t="shared" si="24"/>
        <v>574</v>
      </c>
      <c r="CQ37" s="33">
        <v>452</v>
      </c>
      <c r="CR37" s="33">
        <f>ROUND(坦克等级成长!$H134*VLOOKUP($BV$2,坦克等级成长!$B$36:$G$42,MATCH(CR$3,坦克等级成长!$B$35:$G$35,0)),0)</f>
        <v>724</v>
      </c>
      <c r="CS37" s="33">
        <f>ROUND(坦克等级成长!$H134*VLOOKUP($BV$2,坦克等级成长!$B$36:$G$42,MATCH(CS$3,坦克等级成长!$B$35:$G$35,0)),0)</f>
        <v>174</v>
      </c>
      <c r="CT37" s="192">
        <v>2</v>
      </c>
      <c r="CU37" s="33">
        <f>ROUND(坦克等级成长!$D134*VLOOKUP($CT$2,坦克等级成长!$B$36:$G$42,MATCH(CU$3,坦克等级成长!$B$35:$G$35,0)),0)</f>
        <v>1544</v>
      </c>
      <c r="CV37" s="33">
        <f>ROUND(坦克等级成长!$D134*VLOOKUP($CT$2,坦克等级成长!$B$36:$G$42,MATCH(CV$3,坦克等级成长!$B$35:$G$35,0)),0)</f>
        <v>311</v>
      </c>
      <c r="CW37" s="33">
        <f>ROUND(坦克等级成长!$D134*VLOOKUP($CT$2,坦克等级成长!$B$36:$G$42,MATCH(CW$3,坦克等级成长!$B$35:$G$35,0)),0)</f>
        <v>689</v>
      </c>
      <c r="CX37" s="33">
        <f t="shared" si="32"/>
        <v>689</v>
      </c>
      <c r="CY37" s="33">
        <v>543.75</v>
      </c>
      <c r="CZ37" s="33">
        <f>ROUND(坦克等级成长!$D134*VLOOKUP($CT$2,坦克等级成长!$B$36:$G$42,MATCH(CZ$3,坦克等级成长!$B$35:$G$35,0)),0)</f>
        <v>579</v>
      </c>
      <c r="DA37" s="33">
        <f>ROUND(坦克等级成长!$D134*VLOOKUP($CT$2,坦克等级成长!$B$36:$G$42,MATCH(DA$3,坦克等级成长!$B$35:$G$35,0)),0)</f>
        <v>154</v>
      </c>
      <c r="DB37" s="199">
        <v>2</v>
      </c>
      <c r="DC37" s="33">
        <f>ROUND(坦克等级成长!$F134*VLOOKUP($CT$2,坦克等级成长!$B$36:$G$42,MATCH(DC$3,坦克等级成长!$B$35:$G$35,0)),0)</f>
        <v>1576</v>
      </c>
      <c r="DD37" s="33">
        <f>ROUND(坦克等级成长!$F134*VLOOKUP($CT$2,坦克等级成长!$B$36:$G$42,MATCH(DD$3,坦克等级成长!$B$35:$G$35,0)),0)</f>
        <v>317</v>
      </c>
      <c r="DE37" s="33">
        <f>ROUND(坦克等级成长!$F134*VLOOKUP($CT$2,坦克等级成长!$B$36:$G$42,MATCH(DE$3,坦克等级成长!$B$35:$G$35,0)),0)</f>
        <v>704</v>
      </c>
      <c r="DF37" s="33">
        <f t="shared" si="11"/>
        <v>704</v>
      </c>
      <c r="DG37" s="33">
        <v>566</v>
      </c>
      <c r="DH37" s="33">
        <f>ROUND(坦克等级成长!$F134*VLOOKUP($CT$2,坦克等级成长!$B$36:$G$42,MATCH(DH$3,坦克等级成长!$B$35:$G$35,0)),0)</f>
        <v>591</v>
      </c>
      <c r="DI37" s="33">
        <f>ROUND(坦克等级成长!$F134*VLOOKUP($CT$2,坦克等级成长!$B$36:$G$42,MATCH(DI$3,坦克等级成长!$B$35:$G$35,0)),0)</f>
        <v>158</v>
      </c>
      <c r="DJ37" s="192">
        <v>2</v>
      </c>
      <c r="DK37" s="33">
        <f>ROUND(坦克等级成长!$H134*VLOOKUP($CT$2,坦克等级成长!$B$36:$G$42,MATCH(DK$3,坦克等级成长!$B$35:$G$35,0)),0)</f>
        <v>1608</v>
      </c>
      <c r="DL37" s="33">
        <f>ROUND(坦克等级成长!$H134*VLOOKUP($CT$2,坦克等级成长!$B$36:$G$42,MATCH(DL$3,坦克等级成长!$B$35:$G$35,0)),0)</f>
        <v>324</v>
      </c>
      <c r="DM37" s="33">
        <f>ROUND(坦克等级成长!$H134*VLOOKUP($CT$2,坦克等级成长!$B$36:$G$42,MATCH(DM$3,坦克等级成长!$B$35:$G$35,0)),0)</f>
        <v>718</v>
      </c>
      <c r="DN37" s="33">
        <f t="shared" si="25"/>
        <v>718</v>
      </c>
      <c r="DO37" s="33">
        <v>566</v>
      </c>
      <c r="DP37" s="33">
        <f>ROUND(坦克等级成长!$H134*VLOOKUP($CT$2,坦克等级成长!$B$36:$G$42,MATCH(DP$3,坦克等级成长!$B$35:$G$35,0)),0)</f>
        <v>603</v>
      </c>
      <c r="DQ37" s="33">
        <f>ROUND(坦克等级成长!$H134*VLOOKUP($CT$2,坦克等级成长!$B$36:$G$42,MATCH(DQ$3,坦克等级成长!$B$35:$G$35,0)),0)</f>
        <v>161</v>
      </c>
      <c r="DR37" s="192">
        <v>2</v>
      </c>
      <c r="DS37" s="33">
        <f>ROUND(坦克等级成长!$D134*VLOOKUP($DR$2,坦克等级成长!$B$36:$G$42,MATCH(DS$3,坦克等级成长!$B$35:$G$35,0)),0)</f>
        <v>1889</v>
      </c>
      <c r="DT37" s="33">
        <f>ROUND(坦克等级成长!$D134*VLOOKUP($DR$2,坦克等级成长!$B$36:$G$42,MATCH(DT$3,坦克等级成长!$B$35:$G$35,0)),0)</f>
        <v>517</v>
      </c>
      <c r="DU37" s="33">
        <f>ROUND(坦克等级成长!$D134*VLOOKUP($DR$2,坦克等级成长!$B$36:$G$42,MATCH(DU$3,坦克等级成长!$B$35:$G$35,0)),0)</f>
        <v>551</v>
      </c>
      <c r="DV37" s="33">
        <f t="shared" si="33"/>
        <v>551</v>
      </c>
      <c r="DW37" s="33">
        <v>464</v>
      </c>
      <c r="DX37" s="33">
        <f>ROUND(坦克等级成长!$D134*VLOOKUP($DR$2,坦克等级成长!$B$36:$G$42,MATCH(DX$3,坦克等级成长!$B$35:$G$35,0)),0)</f>
        <v>811</v>
      </c>
      <c r="DY37" s="33">
        <f>ROUND(坦克等级成长!$D134*VLOOKUP($DR$2,坦克等级成长!$B$36:$G$42,MATCH(DY$3,坦克等级成长!$B$35:$G$35,0)),0)</f>
        <v>189</v>
      </c>
      <c r="DZ37" s="199">
        <v>2</v>
      </c>
      <c r="EA37" s="33">
        <f>ROUND(坦克等级成长!$F134*VLOOKUP($DR$2,坦克等级成长!$B$36:$G$42,MATCH(EA$3,坦克等级成长!$B$35:$G$35,0)),0)</f>
        <v>1928</v>
      </c>
      <c r="EB37" s="33">
        <f>ROUND(坦克等级成长!$F134*VLOOKUP($DR$2,坦克等级成长!$B$36:$G$42,MATCH(EB$3,坦克等级成长!$B$35:$G$35,0)),0)</f>
        <v>528</v>
      </c>
      <c r="EC37" s="33">
        <f>ROUND(坦克等级成长!$F134*VLOOKUP($DR$2,坦克等级成长!$B$36:$G$42,MATCH(EC$3,坦克等级成长!$B$35:$G$35,0)),0)</f>
        <v>563</v>
      </c>
      <c r="ED37" s="33">
        <f t="shared" si="12"/>
        <v>563</v>
      </c>
      <c r="EE37" s="33">
        <v>482</v>
      </c>
      <c r="EF37" s="33">
        <f>ROUND(坦克等级成长!$F134*VLOOKUP($DR$2,坦克等级成长!$B$36:$G$42,MATCH(EF$3,坦克等级成长!$B$35:$G$35,0)),0)</f>
        <v>827</v>
      </c>
      <c r="EG37" s="33">
        <f>ROUND(坦克等级成长!$F134*VLOOKUP($DR$2,坦克等级成长!$B$36:$G$42,MATCH(EG$3,坦克等级成长!$B$35:$G$35,0)),0)</f>
        <v>193</v>
      </c>
      <c r="EH37" s="192">
        <v>2</v>
      </c>
      <c r="EI37" s="33">
        <f>ROUND(坦克等级成长!$H134*VLOOKUP($DR$2,坦克等级成长!$B$36:$G$42,MATCH(EI$3,坦克等级成长!$B$35:$G$35,0)),0)</f>
        <v>1967</v>
      </c>
      <c r="EJ37" s="33">
        <f>ROUND(坦克等级成长!$H134*VLOOKUP($DR$2,坦克等级成长!$B$36:$G$42,MATCH(EJ$3,坦克等级成长!$B$35:$G$35,0)),0)</f>
        <v>539</v>
      </c>
      <c r="EK37" s="33">
        <f>ROUND(坦克等级成长!$H134*VLOOKUP($DR$2,坦克等级成长!$B$36:$G$42,MATCH(EK$3,坦克等级成长!$B$35:$G$35,0)),0)</f>
        <v>574</v>
      </c>
      <c r="EL37" s="33">
        <f t="shared" si="26"/>
        <v>574</v>
      </c>
      <c r="EM37" s="33">
        <v>482</v>
      </c>
      <c r="EN37" s="33">
        <f>ROUND(坦克等级成长!$H134*VLOOKUP($DR$2,坦克等级成长!$B$36:$G$42,MATCH(EN$3,坦克等级成长!$B$35:$G$35,0)),0)</f>
        <v>844</v>
      </c>
      <c r="EO37" s="33">
        <f>ROUND(坦克等级成长!$H134*VLOOKUP($DR$2,坦克等级成长!$B$36:$G$42,MATCH(EO$3,坦克等级成长!$B$35:$G$35,0)),0)</f>
        <v>197</v>
      </c>
      <c r="EP37" s="192">
        <v>2</v>
      </c>
      <c r="EQ37" s="33">
        <f>ROUND(坦克等级成长!$D134*VLOOKUP($EP$2,坦克等级成长!$B$36:$G$42,MATCH(EQ$3,坦克等级成长!$B$35:$G$35,0)),0)</f>
        <v>1666</v>
      </c>
      <c r="ER37" s="33">
        <f>ROUND(坦克等级成长!$D134*VLOOKUP($EP$2,坦克等级成长!$B$36:$G$42,MATCH(ER$3,坦克等级成长!$B$35:$G$35,0)),0)</f>
        <v>172</v>
      </c>
      <c r="ES37" s="33">
        <f>ROUND(坦克等级成长!$D134*VLOOKUP($EP$2,坦克等级成长!$B$36:$G$42,MATCH(ES$3,坦克等级成长!$B$35:$G$35,0)),0)</f>
        <v>634</v>
      </c>
      <c r="ET37" s="33">
        <f t="shared" si="34"/>
        <v>634</v>
      </c>
      <c r="EU37" s="33">
        <v>500.25</v>
      </c>
      <c r="EV37" s="33">
        <f>ROUND(坦克等级成长!$D134*VLOOKUP($EP$2,坦克等级成长!$B$36:$G$42,MATCH(EV$3,坦克等级成长!$B$35:$G$35,0)),0)</f>
        <v>695</v>
      </c>
      <c r="EW37" s="33">
        <f>ROUND(坦克等级成长!$D134*VLOOKUP($EP$2,坦克等级成长!$B$36:$G$42,MATCH(EW$3,坦克等级成长!$B$35:$G$35,0)),0)</f>
        <v>167</v>
      </c>
      <c r="EX37" s="199">
        <v>2</v>
      </c>
      <c r="EY37" s="33">
        <f>ROUND(坦克等级成长!$F134*VLOOKUP($EP$2,坦克等级成长!$B$36:$G$42,MATCH(EY$3,坦克等级成长!$B$35:$G$35,0)),0)</f>
        <v>1701</v>
      </c>
      <c r="EZ37" s="33">
        <f>ROUND(坦克等级成长!$F134*VLOOKUP($EP$2,坦克等级成长!$B$36:$G$42,MATCH(EZ$3,坦克等级成长!$B$35:$G$35,0)),0)</f>
        <v>175</v>
      </c>
      <c r="FA37" s="33">
        <f>ROUND(坦克等级成长!$F134*VLOOKUP($EP$2,坦克等级成长!$B$36:$G$42,MATCH(FA$3,坦克等级成长!$B$35:$G$35,0)),0)</f>
        <v>647</v>
      </c>
      <c r="FB37" s="33">
        <f t="shared" si="13"/>
        <v>647</v>
      </c>
      <c r="FC37" s="33">
        <v>520</v>
      </c>
      <c r="FD37" s="33">
        <f>ROUND(坦克等级成长!$F134*VLOOKUP($EP$2,坦克等级成长!$B$36:$G$42,MATCH(FD$3,坦克等级成长!$B$35:$G$35,0)),0)</f>
        <v>709</v>
      </c>
      <c r="FE37" s="33">
        <f>ROUND(坦克等级成长!$F134*VLOOKUP($EP$2,坦克等级成长!$B$36:$G$42,MATCH(FE$3,坦克等级成长!$B$35:$G$35,0)),0)</f>
        <v>170</v>
      </c>
      <c r="FF37" s="192">
        <v>2</v>
      </c>
      <c r="FG37" s="33">
        <f>ROUND(坦克等级成长!$H134*VLOOKUP($EP$2,坦克等级成长!$B$36:$G$42,MATCH(FG$3,坦克等级成长!$B$35:$G$35,0)),0)</f>
        <v>1736</v>
      </c>
      <c r="FH37" s="33">
        <f>ROUND(坦克等级成长!$H134*VLOOKUP($EP$2,坦克等级成长!$B$36:$G$42,MATCH(FH$3,坦克等级成长!$B$35:$G$35,0)),0)</f>
        <v>179</v>
      </c>
      <c r="FI37" s="33">
        <f>ROUND(坦克等级成长!$H134*VLOOKUP($EP$2,坦克等级成长!$B$36:$G$42,MATCH(FI$3,坦克等级成长!$B$35:$G$35,0)),0)</f>
        <v>660</v>
      </c>
      <c r="FJ37" s="33">
        <f t="shared" si="27"/>
        <v>660</v>
      </c>
      <c r="FK37" s="33">
        <v>520</v>
      </c>
      <c r="FL37" s="33">
        <f>ROUND(坦克等级成长!$H134*VLOOKUP($EP$2,坦克等级成长!$B$36:$G$42,MATCH(FL$3,坦克等级成长!$B$35:$G$35,0)),0)</f>
        <v>724</v>
      </c>
      <c r="FM37" s="33">
        <f>ROUND(坦克等级成长!$H134*VLOOKUP($EP$2,坦克等级成长!$B$36:$G$42,MATCH(FM$3,坦克等级成长!$B$35:$G$35,0)),0)</f>
        <v>174</v>
      </c>
    </row>
    <row r="38" spans="1:169" ht="14.25" x14ac:dyDescent="0.3">
      <c r="A38" s="189">
        <v>4</v>
      </c>
      <c r="B38" s="192">
        <v>3</v>
      </c>
      <c r="C38" s="33">
        <f>ROUND(坦克等级成长!$D135*VLOOKUP($B$2,坦克等级成长!$B$36:$G$42,MATCH(C$3,坦克等级成长!$B$35:$G$35,0)),0)</f>
        <v>1624</v>
      </c>
      <c r="D38" s="33">
        <f>ROUND(坦克等级成长!$D135*VLOOKUP($B$2,坦克等级成长!$B$36:$G$42,MATCH(D$3,坦克等级成长!$B$35:$G$35,0)),0)</f>
        <v>162</v>
      </c>
      <c r="E38" s="33">
        <f>ROUND(坦克等级成长!$D135*VLOOKUP($B$2,坦克等级成长!$B$36:$G$42,MATCH(E$3,坦克等级成长!$B$35:$G$35,0)),0)</f>
        <v>609</v>
      </c>
      <c r="F38" s="33">
        <f t="shared" si="28"/>
        <v>609</v>
      </c>
      <c r="G38" s="33">
        <v>449.4</v>
      </c>
      <c r="H38" s="33">
        <f>ROUND(坦克等级成长!$D135*VLOOKUP($B$2,坦克等级成长!$B$36:$G$42,MATCH(H$3,坦克等级成长!$B$35:$G$35,0)),0)</f>
        <v>609</v>
      </c>
      <c r="I38" s="33">
        <f>ROUND(坦克等级成长!$D135*VLOOKUP($B$2,坦克等级成长!$B$36:$G$42,MATCH(I$3,坦克等级成长!$B$35:$G$35,0)),0)</f>
        <v>162</v>
      </c>
      <c r="J38" s="199">
        <v>3</v>
      </c>
      <c r="K38" s="33">
        <f>ROUND(坦克等级成长!$F135*VLOOKUP($B$2,坦克等级成长!$B$36:$G$42,MATCH(K$3,坦克等级成长!$B$35:$G$35,0)),0)</f>
        <v>1656</v>
      </c>
      <c r="L38" s="33">
        <f>ROUND(坦克等级成长!$F135*VLOOKUP($B$2,坦克等级成长!$B$36:$G$42,MATCH(L$3,坦克等级成长!$B$35:$G$35,0)),0)</f>
        <v>165</v>
      </c>
      <c r="M38" s="33">
        <f>ROUND(坦克等级成长!$F135*VLOOKUP($B$2,坦克等级成长!$B$36:$G$42,MATCH(M$3,坦克等级成长!$B$35:$G$35,0)),0)</f>
        <v>621</v>
      </c>
      <c r="N38" s="33">
        <f t="shared" si="7"/>
        <v>621</v>
      </c>
      <c r="O38" s="33">
        <v>466</v>
      </c>
      <c r="P38" s="33">
        <f>ROUND(坦克等级成长!$F135*VLOOKUP($B$2,坦克等级成长!$B$36:$G$42,MATCH(P$3,坦克等级成长!$B$35:$G$35,0)),0)</f>
        <v>621</v>
      </c>
      <c r="Q38" s="33">
        <f>ROUND(坦克等级成长!$F135*VLOOKUP($B$2,坦克等级成长!$B$36:$G$42,MATCH(Q$3,坦克等级成长!$B$35:$G$35,0)),0)</f>
        <v>166</v>
      </c>
      <c r="R38" s="192">
        <v>3</v>
      </c>
      <c r="S38" s="33">
        <f>ROUND(坦克等级成长!$H135*VLOOKUP($B$2,坦克等级成长!$B$36:$G$42,MATCH(S$3,坦克等级成长!$B$35:$G$35,0)),0)</f>
        <v>1688</v>
      </c>
      <c r="T38" s="33">
        <f>ROUND(坦克等级成长!$H135*VLOOKUP($B$2,坦克等级成长!$B$36:$G$42,MATCH(T$3,坦克等级成长!$B$35:$G$35,0)),0)</f>
        <v>168</v>
      </c>
      <c r="U38" s="33">
        <f>ROUND(坦克等级成长!$H135*VLOOKUP($B$2,坦克等级成长!$B$36:$G$42,MATCH(U$3,坦克等级成长!$B$35:$G$35,0)),0)</f>
        <v>633</v>
      </c>
      <c r="V38" s="33">
        <f t="shared" si="21"/>
        <v>633</v>
      </c>
      <c r="W38" s="33">
        <v>466</v>
      </c>
      <c r="X38" s="33">
        <f>ROUND(坦克等级成长!$H135*VLOOKUP($B$2,坦克等级成长!$B$36:$G$42,MATCH(X$3,坦克等级成长!$B$35:$G$35,0)),0)</f>
        <v>633</v>
      </c>
      <c r="Y38" s="33">
        <f>ROUND(坦克等级成长!$H135*VLOOKUP($B$2,坦克等级成长!$B$36:$G$42,MATCH(Y$3,坦克等级成长!$B$35:$G$35,0)),0)</f>
        <v>169</v>
      </c>
      <c r="Z38" s="192">
        <v>3</v>
      </c>
      <c r="AA38" s="33">
        <f>ROUND(坦克等级成长!$D135*VLOOKUP($Z$2,坦克等级成长!$B$36:$G$42,MATCH(AA$3,坦克等级成长!$B$35:$G$35,0)),0)</f>
        <v>1624</v>
      </c>
      <c r="AB38" s="33">
        <f>ROUND(坦克等级成长!$D135*VLOOKUP($Z$2,坦克等级成长!$B$36:$G$42,MATCH(AB$3,坦克等级成长!$B$35:$G$35,0)),0)</f>
        <v>86</v>
      </c>
      <c r="AC38" s="33">
        <f>ROUND(坦克等级成长!$D135*VLOOKUP($Z$2,坦克等级成长!$B$36:$G$42,MATCH(AC$3,坦克等级成长!$B$35:$G$35,0)),0)</f>
        <v>667</v>
      </c>
      <c r="AD38" s="33">
        <f t="shared" si="29"/>
        <v>667</v>
      </c>
      <c r="AE38" s="33">
        <v>492.1</v>
      </c>
      <c r="AF38" s="33">
        <f>ROUND(坦克等级成长!$D135*VLOOKUP($Z$2,坦克等级成长!$B$36:$G$42,MATCH(AF$3,坦克等级成长!$B$35:$G$35,0)),0)</f>
        <v>609</v>
      </c>
      <c r="AG38" s="33">
        <f>ROUND(坦克等级成长!$D135*VLOOKUP($Z$2,坦克等级成长!$B$36:$G$42,MATCH(AG$3,坦克等级成长!$B$35:$G$35,0)),0)</f>
        <v>162</v>
      </c>
      <c r="AH38" s="199">
        <v>3</v>
      </c>
      <c r="AI38" s="33">
        <f>ROUND(坦克等级成长!$F135*VLOOKUP($Z$2,坦克等级成长!$B$36:$G$42,MATCH(AI$3,坦克等级成长!$B$35:$G$35,0)),0)</f>
        <v>1656</v>
      </c>
      <c r="AJ38" s="33">
        <f>ROUND(坦克等级成长!$F135*VLOOKUP($Z$2,坦克等级成长!$B$36:$G$42,MATCH(AJ$3,坦克等级成长!$B$35:$G$35,0)),0)</f>
        <v>88</v>
      </c>
      <c r="AK38" s="33">
        <f>ROUND(坦克等级成长!$F135*VLOOKUP($Z$2,坦克等级成长!$B$36:$G$42,MATCH(AK$3,坦克等级成长!$B$35:$G$35,0)),0)</f>
        <v>680</v>
      </c>
      <c r="AL38" s="33">
        <f t="shared" si="8"/>
        <v>680</v>
      </c>
      <c r="AM38" s="33">
        <v>510</v>
      </c>
      <c r="AN38" s="33">
        <f>ROUND(坦克等级成长!$F135*VLOOKUP($Z$2,坦克等级成长!$B$36:$G$42,MATCH(AN$3,坦克等级成长!$B$35:$G$35,0)),0)</f>
        <v>621</v>
      </c>
      <c r="AO38" s="33">
        <f>ROUND(坦克等级成长!$F135*VLOOKUP($Z$2,坦克等级成长!$B$36:$G$42,MATCH(AO$3,坦克等级成长!$B$35:$G$35,0)),0)</f>
        <v>166</v>
      </c>
      <c r="AP38" s="192">
        <v>3</v>
      </c>
      <c r="AQ38" s="33">
        <f>ROUND(坦克等级成长!$H135*VLOOKUP($Z$2,坦克等级成长!$B$36:$G$42,MATCH(AQ$3,坦克等级成长!$B$35:$G$35,0)),0)</f>
        <v>1688</v>
      </c>
      <c r="AR38" s="33">
        <f>ROUND(坦克等级成长!$H135*VLOOKUP($Z$2,坦克等级成长!$B$36:$G$42,MATCH(AR$3,坦克等级成长!$B$35:$G$35,0)),0)</f>
        <v>90</v>
      </c>
      <c r="AS38" s="33">
        <f>ROUND(坦克等级成长!$H135*VLOOKUP($Z$2,坦克等级成长!$B$36:$G$42,MATCH(AS$3,坦克等级成长!$B$35:$G$35,0)),0)</f>
        <v>693</v>
      </c>
      <c r="AT38" s="33">
        <f t="shared" si="22"/>
        <v>693</v>
      </c>
      <c r="AU38" s="33">
        <v>510</v>
      </c>
      <c r="AV38" s="33">
        <f>ROUND(坦克等级成长!$H135*VLOOKUP($Z$2,坦克等级成长!$B$36:$G$42,MATCH(AV$3,坦克等级成长!$B$35:$G$35,0)),0)</f>
        <v>633</v>
      </c>
      <c r="AW38" s="33">
        <f>ROUND(坦克等级成长!$H135*VLOOKUP($Z$2,坦克等级成长!$B$36:$G$42,MATCH(AW$3,坦克等级成长!$B$35:$G$35,0)),0)</f>
        <v>169</v>
      </c>
      <c r="AX38" s="192">
        <v>3</v>
      </c>
      <c r="AY38" s="33">
        <f>ROUND(坦克等级成长!$D135*VLOOKUP($AX$2,坦克等级成长!$B$36:$G$42,MATCH(AY$3,坦克等级成长!$B$35:$G$35,0)),0)</f>
        <v>1624</v>
      </c>
      <c r="AZ38" s="33">
        <f>ROUND(坦克等级成长!$D135*VLOOKUP($AX$2,坦克等级成长!$B$36:$G$42,MATCH(AZ$3,坦克等级成长!$B$35:$G$35,0)),0)</f>
        <v>162</v>
      </c>
      <c r="BA38" s="33">
        <f>ROUND(坦克等级成长!$D135*VLOOKUP($AX$2,坦克等级成长!$B$36:$G$42,MATCH(BA$3,坦克等级成长!$B$35:$G$35,0)),0)</f>
        <v>609</v>
      </c>
      <c r="BB38" s="33">
        <f t="shared" si="30"/>
        <v>609</v>
      </c>
      <c r="BC38" s="33">
        <v>449.4</v>
      </c>
      <c r="BD38" s="33">
        <f>ROUND(坦克等级成长!$D135*VLOOKUP($AX$2,坦克等级成长!$B$36:$G$42,MATCH(BD$3,坦克等级成长!$B$35:$G$35,0)),0)</f>
        <v>609</v>
      </c>
      <c r="BE38" s="33">
        <f>ROUND(坦克等级成长!$D135*VLOOKUP($AX$2,坦克等级成长!$B$36:$G$42,MATCH(BE$3,坦克等级成长!$B$35:$G$35,0)),0)</f>
        <v>162</v>
      </c>
      <c r="BF38" s="199">
        <v>3</v>
      </c>
      <c r="BG38" s="33">
        <f>ROUND(坦克等级成长!$F135*VLOOKUP($AX$2,坦克等级成长!$B$36:$G$42,MATCH(BG$3,坦克等级成长!$B$35:$G$35,0)),0)</f>
        <v>1656</v>
      </c>
      <c r="BH38" s="33">
        <f>ROUND(坦克等级成长!$F135*VLOOKUP($AX$2,坦克等级成长!$B$36:$G$42,MATCH(BH$3,坦克等级成长!$B$35:$G$35,0)),0)</f>
        <v>165</v>
      </c>
      <c r="BI38" s="33">
        <f>ROUND(坦克等级成长!$F135*VLOOKUP($AX$2,坦克等级成长!$B$36:$G$42,MATCH(BI$3,坦克等级成长!$B$35:$G$35,0)),0)</f>
        <v>621</v>
      </c>
      <c r="BJ38" s="33">
        <f t="shared" si="9"/>
        <v>621</v>
      </c>
      <c r="BK38" s="33">
        <v>466</v>
      </c>
      <c r="BL38" s="33">
        <f>ROUND(坦克等级成长!$F135*VLOOKUP($AX$2,坦克等级成长!$B$36:$G$42,MATCH(BL$3,坦克等级成长!$B$35:$G$35,0)),0)</f>
        <v>621</v>
      </c>
      <c r="BM38" s="33">
        <f>ROUND(坦克等级成长!$F135*VLOOKUP($AX$2,坦克等级成长!$B$36:$G$42,MATCH(BM$3,坦克等级成长!$B$35:$G$35,0)),0)</f>
        <v>166</v>
      </c>
      <c r="BN38" s="192">
        <v>3</v>
      </c>
      <c r="BO38" s="33">
        <f>ROUND(坦克等级成长!$H135*VLOOKUP($AX$2,坦克等级成长!$B$36:$G$42,MATCH(BO$3,坦克等级成长!$B$35:$G$35,0)),0)</f>
        <v>1688</v>
      </c>
      <c r="BP38" s="33">
        <f>ROUND(坦克等级成长!$H135*VLOOKUP($AX$2,坦克等级成长!$B$36:$G$42,MATCH(BP$3,坦克等级成长!$B$35:$G$35,0)),0)</f>
        <v>168</v>
      </c>
      <c r="BQ38" s="33">
        <f>ROUND(坦克等级成长!$H135*VLOOKUP($AX$2,坦克等级成长!$B$36:$G$42,MATCH(BQ$3,坦克等级成长!$B$35:$G$35,0)),0)</f>
        <v>633</v>
      </c>
      <c r="BR38" s="33">
        <f t="shared" si="23"/>
        <v>633</v>
      </c>
      <c r="BS38" s="33">
        <v>466</v>
      </c>
      <c r="BT38" s="33">
        <f>ROUND(坦克等级成长!$H135*VLOOKUP($AX$2,坦克等级成长!$B$36:$G$42,MATCH(BT$3,坦克等级成长!$B$35:$G$35,0)),0)</f>
        <v>633</v>
      </c>
      <c r="BU38" s="33">
        <f>ROUND(坦克等级成长!$H135*VLOOKUP($AX$2,坦克等级成长!$B$36:$G$42,MATCH(BU$3,坦克等级成长!$B$35:$G$35,0)),0)</f>
        <v>169</v>
      </c>
      <c r="BV38" s="192">
        <v>3</v>
      </c>
      <c r="BW38" s="33">
        <f>ROUND(坦克等级成长!$D135*VLOOKUP($BV$2,坦克等级成长!$B$36:$G$42,MATCH(BW$3,坦克等级成长!$B$35:$G$35,0)),0)</f>
        <v>1753</v>
      </c>
      <c r="BX38" s="33">
        <f>ROUND(坦克等级成长!$D135*VLOOKUP($BV$2,坦克等级成长!$B$36:$G$42,MATCH(BX$3,坦克等级成长!$B$35:$G$35,0)),0)</f>
        <v>151</v>
      </c>
      <c r="BY38" s="33">
        <f>ROUND(坦克等级成长!$D135*VLOOKUP($BV$2,坦克等级成长!$B$36:$G$42,MATCH(BY$3,坦克等级成长!$B$35:$G$35,0)),0)</f>
        <v>580</v>
      </c>
      <c r="BZ38" s="33">
        <f t="shared" si="31"/>
        <v>580</v>
      </c>
      <c r="CA38" s="33">
        <v>458.25</v>
      </c>
      <c r="CB38" s="33">
        <f>ROUND(坦克等级成长!$D135*VLOOKUP($BV$2,坦克等级成长!$B$36:$G$42,MATCH(CB$3,坦克等级成长!$B$35:$G$35,0)),0)</f>
        <v>731</v>
      </c>
      <c r="CC38" s="33">
        <f>ROUND(坦克等级成长!$D135*VLOOKUP($BV$2,坦克等级成长!$B$36:$G$42,MATCH(CC$3,坦克等级成长!$B$35:$G$35,0)),0)</f>
        <v>175</v>
      </c>
      <c r="CD38" s="199">
        <v>3</v>
      </c>
      <c r="CE38" s="33">
        <f>ROUND(坦克等级成长!$F135*VLOOKUP($BV$2,坦克等级成长!$B$36:$G$42,MATCH(CE$3,坦克等级成长!$B$35:$G$35,0)),0)</f>
        <v>1787</v>
      </c>
      <c r="CF38" s="33">
        <f>ROUND(坦克等级成长!$F135*VLOOKUP($BV$2,坦克等级成长!$B$36:$G$42,MATCH(CF$3,坦克等级成长!$B$35:$G$35,0)),0)</f>
        <v>154</v>
      </c>
      <c r="CG38" s="33">
        <f>ROUND(坦克等级成长!$F135*VLOOKUP($BV$2,坦克等级成长!$B$36:$G$42,MATCH(CG$3,坦克等级成长!$B$35:$G$35,0)),0)</f>
        <v>591</v>
      </c>
      <c r="CH38" s="33">
        <f t="shared" si="10"/>
        <v>591</v>
      </c>
      <c r="CI38" s="33">
        <v>476</v>
      </c>
      <c r="CJ38" s="33">
        <f>ROUND(坦克等级成长!$F135*VLOOKUP($BV$2,坦克等级成长!$B$36:$G$42,MATCH(CJ$3,坦克等级成长!$B$35:$G$35,0)),0)</f>
        <v>745</v>
      </c>
      <c r="CK38" s="33">
        <f>ROUND(坦克等级成长!$F135*VLOOKUP($BV$2,坦克等级成长!$B$36:$G$42,MATCH(CK$3,坦克等级成长!$B$35:$G$35,0)),0)</f>
        <v>179</v>
      </c>
      <c r="CL38" s="192">
        <v>3</v>
      </c>
      <c r="CM38" s="33">
        <f>ROUND(坦克等级成长!$H135*VLOOKUP($BV$2,坦克等级成长!$B$36:$G$42,MATCH(CM$3,坦克等级成长!$B$35:$G$35,0)),0)</f>
        <v>1822</v>
      </c>
      <c r="CN38" s="33">
        <f>ROUND(坦克等级成长!$H135*VLOOKUP($BV$2,坦克等级成长!$B$36:$G$42,MATCH(CN$3,坦克等级成长!$B$35:$G$35,0)),0)</f>
        <v>157</v>
      </c>
      <c r="CO38" s="33">
        <f>ROUND(坦克等级成长!$H135*VLOOKUP($BV$2,坦克等级成长!$B$36:$G$42,MATCH(CO$3,坦克等级成长!$B$35:$G$35,0)),0)</f>
        <v>603</v>
      </c>
      <c r="CP38" s="33">
        <f t="shared" si="24"/>
        <v>603</v>
      </c>
      <c r="CQ38" s="33">
        <v>476</v>
      </c>
      <c r="CR38" s="33">
        <f>ROUND(坦克等级成长!$H135*VLOOKUP($BV$2,坦克等级成长!$B$36:$G$42,MATCH(CR$3,坦克等级成长!$B$35:$G$35,0)),0)</f>
        <v>760</v>
      </c>
      <c r="CS38" s="33">
        <f>ROUND(坦克等级成长!$H135*VLOOKUP($BV$2,坦克等级成长!$B$36:$G$42,MATCH(CS$3,坦克等级成长!$B$35:$G$35,0)),0)</f>
        <v>182</v>
      </c>
      <c r="CT38" s="192">
        <v>3</v>
      </c>
      <c r="CU38" s="33">
        <f>ROUND(坦克等级成长!$D135*VLOOKUP($CT$2,坦克等级成长!$B$36:$G$42,MATCH(CU$3,坦克等级成长!$B$35:$G$35,0)),0)</f>
        <v>1624</v>
      </c>
      <c r="CV38" s="33">
        <f>ROUND(坦克等级成长!$D135*VLOOKUP($CT$2,坦克等级成长!$B$36:$G$42,MATCH(CV$3,坦克等级成长!$B$35:$G$35,0)),0)</f>
        <v>327</v>
      </c>
      <c r="CW38" s="33">
        <f>ROUND(坦克等级成长!$D135*VLOOKUP($CT$2,坦克等级成长!$B$36:$G$42,MATCH(CW$3,坦克等级成长!$B$35:$G$35,0)),0)</f>
        <v>725</v>
      </c>
      <c r="CX38" s="33">
        <f t="shared" si="32"/>
        <v>725</v>
      </c>
      <c r="CY38" s="33">
        <v>573</v>
      </c>
      <c r="CZ38" s="33">
        <f>ROUND(坦克等级成长!$D135*VLOOKUP($CT$2,坦克等级成长!$B$36:$G$42,MATCH(CZ$3,坦克等级成长!$B$35:$G$35,0)),0)</f>
        <v>609</v>
      </c>
      <c r="DA38" s="33">
        <f>ROUND(坦克等级成长!$D135*VLOOKUP($CT$2,坦克等级成长!$B$36:$G$42,MATCH(DA$3,坦克等级成长!$B$35:$G$35,0)),0)</f>
        <v>162</v>
      </c>
      <c r="DB38" s="199">
        <v>3</v>
      </c>
      <c r="DC38" s="33">
        <f>ROUND(坦克等级成长!$F135*VLOOKUP($CT$2,坦克等级成长!$B$36:$G$42,MATCH(DC$3,坦克等级成长!$B$35:$G$35,0)),0)</f>
        <v>1656</v>
      </c>
      <c r="DD38" s="33">
        <f>ROUND(坦克等级成长!$F135*VLOOKUP($CT$2,坦克等级成长!$B$36:$G$42,MATCH(DD$3,坦克等级成长!$B$35:$G$35,0)),0)</f>
        <v>333</v>
      </c>
      <c r="DE38" s="33">
        <f>ROUND(坦克等级成长!$F135*VLOOKUP($CT$2,坦克等级成长!$B$36:$G$42,MATCH(DE$3,坦克等级成长!$B$35:$G$35,0)),0)</f>
        <v>739</v>
      </c>
      <c r="DF38" s="33">
        <f t="shared" si="11"/>
        <v>739</v>
      </c>
      <c r="DG38" s="33">
        <v>595</v>
      </c>
      <c r="DH38" s="33">
        <f>ROUND(坦克等级成长!$F135*VLOOKUP($CT$2,坦克等级成长!$B$36:$G$42,MATCH(DH$3,坦克等级成长!$B$35:$G$35,0)),0)</f>
        <v>621</v>
      </c>
      <c r="DI38" s="33">
        <f>ROUND(坦克等级成长!$F135*VLOOKUP($CT$2,坦克等级成长!$B$36:$G$42,MATCH(DI$3,坦克等级成长!$B$35:$G$35,0)),0)</f>
        <v>166</v>
      </c>
      <c r="DJ38" s="192">
        <v>3</v>
      </c>
      <c r="DK38" s="33">
        <f>ROUND(坦克等级成长!$H135*VLOOKUP($CT$2,坦克等级成长!$B$36:$G$42,MATCH(DK$3,坦克等级成长!$B$35:$G$35,0)),0)</f>
        <v>1688</v>
      </c>
      <c r="DL38" s="33">
        <f>ROUND(坦克等级成长!$H135*VLOOKUP($CT$2,坦克等级成长!$B$36:$G$42,MATCH(DL$3,坦克等级成长!$B$35:$G$35,0)),0)</f>
        <v>340</v>
      </c>
      <c r="DM38" s="33">
        <f>ROUND(坦克等级成长!$H135*VLOOKUP($CT$2,坦克等级成长!$B$36:$G$42,MATCH(DM$3,坦克等级成长!$B$35:$G$35,0)),0)</f>
        <v>754</v>
      </c>
      <c r="DN38" s="33">
        <f t="shared" si="25"/>
        <v>754</v>
      </c>
      <c r="DO38" s="33">
        <v>595</v>
      </c>
      <c r="DP38" s="33">
        <f>ROUND(坦克等级成长!$H135*VLOOKUP($CT$2,坦克等级成长!$B$36:$G$42,MATCH(DP$3,坦克等级成长!$B$35:$G$35,0)),0)</f>
        <v>633</v>
      </c>
      <c r="DQ38" s="33">
        <f>ROUND(坦克等级成长!$H135*VLOOKUP($CT$2,坦克等级成长!$B$36:$G$42,MATCH(DQ$3,坦克等级成长!$B$35:$G$35,0)),0)</f>
        <v>169</v>
      </c>
      <c r="DR38" s="192">
        <v>3</v>
      </c>
      <c r="DS38" s="33">
        <f>ROUND(坦克等级成长!$D135*VLOOKUP($DR$2,坦克等级成长!$B$36:$G$42,MATCH(DS$3,坦克等级成长!$B$35:$G$35,0)),0)</f>
        <v>1987</v>
      </c>
      <c r="DT38" s="33">
        <f>ROUND(坦克等级成长!$D135*VLOOKUP($DR$2,坦克等级成长!$B$36:$G$42,MATCH(DT$3,坦克等级成长!$B$35:$G$35,0)),0)</f>
        <v>544</v>
      </c>
      <c r="DU38" s="33">
        <f>ROUND(坦克等级成长!$D135*VLOOKUP($DR$2,坦克等级成长!$B$36:$G$42,MATCH(DU$3,坦克等级成长!$B$35:$G$35,0)),0)</f>
        <v>580</v>
      </c>
      <c r="DV38" s="33">
        <f t="shared" si="33"/>
        <v>580</v>
      </c>
      <c r="DW38" s="33">
        <v>488.8</v>
      </c>
      <c r="DX38" s="33">
        <f>ROUND(坦克等级成长!$D135*VLOOKUP($DR$2,坦克等级成长!$B$36:$G$42,MATCH(DX$3,坦克等级成长!$B$35:$G$35,0)),0)</f>
        <v>853</v>
      </c>
      <c r="DY38" s="33">
        <f>ROUND(坦克等级成长!$D135*VLOOKUP($DR$2,坦克等级成长!$B$36:$G$42,MATCH(DY$3,坦克等级成长!$B$35:$G$35,0)),0)</f>
        <v>199</v>
      </c>
      <c r="DZ38" s="199">
        <v>3</v>
      </c>
      <c r="EA38" s="33">
        <f>ROUND(坦克等级成长!$F135*VLOOKUP($DR$2,坦克等级成长!$B$36:$G$42,MATCH(EA$3,坦克等级成长!$B$35:$G$35,0)),0)</f>
        <v>2026</v>
      </c>
      <c r="EB38" s="33">
        <f>ROUND(坦克等级成长!$F135*VLOOKUP($DR$2,坦克等级成长!$B$36:$G$42,MATCH(EB$3,坦克等级成长!$B$35:$G$35,0)),0)</f>
        <v>555</v>
      </c>
      <c r="EC38" s="33">
        <f>ROUND(坦克等级成长!$F135*VLOOKUP($DR$2,坦克等级成长!$B$36:$G$42,MATCH(EC$3,坦克等级成长!$B$35:$G$35,0)),0)</f>
        <v>591</v>
      </c>
      <c r="ED38" s="33">
        <f t="shared" si="12"/>
        <v>591</v>
      </c>
      <c r="EE38" s="33">
        <v>507</v>
      </c>
      <c r="EF38" s="33">
        <f>ROUND(坦克等级成长!$F135*VLOOKUP($DR$2,坦克等级成长!$B$36:$G$42,MATCH(EF$3,坦克等级成长!$B$35:$G$35,0)),0)</f>
        <v>869</v>
      </c>
      <c r="EG38" s="33">
        <f>ROUND(坦克等级成长!$F135*VLOOKUP($DR$2,坦克等级成长!$B$36:$G$42,MATCH(EG$3,坦克等级成长!$B$35:$G$35,0)),0)</f>
        <v>203</v>
      </c>
      <c r="EH38" s="192">
        <v>3</v>
      </c>
      <c r="EI38" s="33">
        <f>ROUND(坦克等级成长!$H135*VLOOKUP($DR$2,坦克等级成长!$B$36:$G$42,MATCH(EI$3,坦克等级成长!$B$35:$G$35,0)),0)</f>
        <v>2065</v>
      </c>
      <c r="EJ38" s="33">
        <f>ROUND(坦克等级成长!$H135*VLOOKUP($DR$2,坦克等级成长!$B$36:$G$42,MATCH(EJ$3,坦克等级成长!$B$35:$G$35,0)),0)</f>
        <v>566</v>
      </c>
      <c r="EK38" s="33">
        <f>ROUND(坦克等级成长!$H135*VLOOKUP($DR$2,坦克等级成长!$B$36:$G$42,MATCH(EK$3,坦克等级成长!$B$35:$G$35,0)),0)</f>
        <v>603</v>
      </c>
      <c r="EL38" s="33">
        <f t="shared" si="26"/>
        <v>603</v>
      </c>
      <c r="EM38" s="33">
        <v>507</v>
      </c>
      <c r="EN38" s="33">
        <f>ROUND(坦克等级成长!$H135*VLOOKUP($DR$2,坦克等级成长!$B$36:$G$42,MATCH(EN$3,坦克等级成长!$B$35:$G$35,0)),0)</f>
        <v>886</v>
      </c>
      <c r="EO38" s="33">
        <f>ROUND(坦克等级成长!$H135*VLOOKUP($DR$2,坦克等级成长!$B$36:$G$42,MATCH(EO$3,坦克等级成长!$B$35:$G$35,0)),0)</f>
        <v>206</v>
      </c>
      <c r="EP38" s="192">
        <v>3</v>
      </c>
      <c r="EQ38" s="33">
        <f>ROUND(坦克等级成长!$D135*VLOOKUP($EP$2,坦克等级成长!$B$36:$G$42,MATCH(EQ$3,坦克等级成长!$B$35:$G$35,0)),0)</f>
        <v>1753</v>
      </c>
      <c r="ER38" s="33">
        <f>ROUND(坦克等级成长!$D135*VLOOKUP($EP$2,坦克等级成长!$B$36:$G$42,MATCH(ER$3,坦克等级成长!$B$35:$G$35,0)),0)</f>
        <v>181</v>
      </c>
      <c r="ES38" s="33">
        <f>ROUND(坦克等级成长!$D135*VLOOKUP($EP$2,坦克等级成长!$B$36:$G$42,MATCH(ES$3,坦克等级成长!$B$35:$G$35,0)),0)</f>
        <v>667</v>
      </c>
      <c r="ET38" s="33">
        <f t="shared" si="34"/>
        <v>667</v>
      </c>
      <c r="EU38" s="33">
        <v>527.25</v>
      </c>
      <c r="EV38" s="33">
        <f>ROUND(坦克等级成长!$D135*VLOOKUP($EP$2,坦克等级成长!$B$36:$G$42,MATCH(EV$3,坦克等级成长!$B$35:$G$35,0)),0)</f>
        <v>731</v>
      </c>
      <c r="EW38" s="33">
        <f>ROUND(坦克等级成长!$D135*VLOOKUP($EP$2,坦克等级成长!$B$36:$G$42,MATCH(EW$3,坦克等级成长!$B$35:$G$35,0)),0)</f>
        <v>175</v>
      </c>
      <c r="EX38" s="199">
        <v>3</v>
      </c>
      <c r="EY38" s="33">
        <f>ROUND(坦克等级成长!$F135*VLOOKUP($EP$2,坦克等级成长!$B$36:$G$42,MATCH(EY$3,坦克等级成长!$B$35:$G$35,0)),0)</f>
        <v>1787</v>
      </c>
      <c r="EZ38" s="33">
        <f>ROUND(坦克等级成长!$F135*VLOOKUP($EP$2,坦克等级成长!$B$36:$G$42,MATCH(EZ$3,坦克等级成长!$B$35:$G$35,0)),0)</f>
        <v>184</v>
      </c>
      <c r="FA38" s="33">
        <f>ROUND(坦克等级成长!$F135*VLOOKUP($EP$2,坦克等级成长!$B$36:$G$42,MATCH(FA$3,坦克等级成长!$B$35:$G$35,0)),0)</f>
        <v>680</v>
      </c>
      <c r="FB38" s="33">
        <f t="shared" si="13"/>
        <v>680</v>
      </c>
      <c r="FC38" s="33">
        <v>547</v>
      </c>
      <c r="FD38" s="33">
        <f>ROUND(坦克等级成长!$F135*VLOOKUP($EP$2,坦克等级成长!$B$36:$G$42,MATCH(FD$3,坦克等级成长!$B$35:$G$35,0)),0)</f>
        <v>745</v>
      </c>
      <c r="FE38" s="33">
        <f>ROUND(坦克等级成长!$F135*VLOOKUP($EP$2,坦克等级成长!$B$36:$G$42,MATCH(FE$3,坦克等级成长!$B$35:$G$35,0)),0)</f>
        <v>179</v>
      </c>
      <c r="FF38" s="192">
        <v>3</v>
      </c>
      <c r="FG38" s="33">
        <f>ROUND(坦克等级成长!$H135*VLOOKUP($EP$2,坦克等级成长!$B$36:$G$42,MATCH(FG$3,坦克等级成长!$B$35:$G$35,0)),0)</f>
        <v>1822</v>
      </c>
      <c r="FH38" s="33">
        <f>ROUND(坦克等级成长!$H135*VLOOKUP($EP$2,坦克等级成长!$B$36:$G$42,MATCH(FH$3,坦克等级成长!$B$35:$G$35,0)),0)</f>
        <v>188</v>
      </c>
      <c r="FI38" s="33">
        <f>ROUND(坦克等级成长!$H135*VLOOKUP($EP$2,坦克等级成长!$B$36:$G$42,MATCH(FI$3,坦克等级成长!$B$35:$G$35,0)),0)</f>
        <v>693</v>
      </c>
      <c r="FJ38" s="33">
        <f t="shared" si="27"/>
        <v>693</v>
      </c>
      <c r="FK38" s="33">
        <v>547</v>
      </c>
      <c r="FL38" s="33">
        <f>ROUND(坦克等级成长!$H135*VLOOKUP($EP$2,坦克等级成长!$B$36:$G$42,MATCH(FL$3,坦克等级成长!$B$35:$G$35,0)),0)</f>
        <v>760</v>
      </c>
      <c r="FM38" s="33">
        <f>ROUND(坦克等级成长!$H135*VLOOKUP($EP$2,坦克等级成长!$B$36:$G$42,MATCH(FM$3,坦克等级成长!$B$35:$G$35,0)),0)</f>
        <v>182</v>
      </c>
    </row>
    <row r="39" spans="1:169" ht="14.25" x14ac:dyDescent="0.3">
      <c r="A39" s="189">
        <v>4</v>
      </c>
      <c r="B39" s="192">
        <v>4</v>
      </c>
      <c r="C39" s="33">
        <f>ROUND(坦克等级成长!$D136*VLOOKUP($B$2,坦克等级成长!$B$36:$G$42,MATCH(C$3,坦克等级成长!$B$35:$G$35,0)),0)</f>
        <v>1704</v>
      </c>
      <c r="D39" s="33">
        <f>ROUND(坦克等级成长!$D136*VLOOKUP($B$2,坦克等级成长!$B$36:$G$42,MATCH(D$3,坦克等级成长!$B$35:$G$35,0)),0)</f>
        <v>170</v>
      </c>
      <c r="E39" s="33">
        <f>ROUND(坦克等级成长!$D136*VLOOKUP($B$2,坦克等级成长!$B$36:$G$42,MATCH(E$3,坦克等级成长!$B$35:$G$35,0)),0)</f>
        <v>639</v>
      </c>
      <c r="F39" s="33">
        <f t="shared" si="28"/>
        <v>639</v>
      </c>
      <c r="G39" s="33">
        <v>472.5</v>
      </c>
      <c r="H39" s="33">
        <f>ROUND(坦克等级成长!$D136*VLOOKUP($B$2,坦克等级成长!$B$36:$G$42,MATCH(H$3,坦克等级成长!$B$35:$G$35,0)),0)</f>
        <v>639</v>
      </c>
      <c r="I39" s="33">
        <f>ROUND(坦克等级成长!$D136*VLOOKUP($B$2,坦克等级成长!$B$36:$G$42,MATCH(I$3,坦克等级成长!$B$35:$G$35,0)),0)</f>
        <v>170</v>
      </c>
      <c r="J39" s="199">
        <v>4</v>
      </c>
      <c r="K39" s="33">
        <f>ROUND(坦克等级成长!$F136*VLOOKUP($B$2,坦克等级成长!$B$36:$G$42,MATCH(K$3,坦克等级成长!$B$35:$G$35,0)),0)</f>
        <v>1736</v>
      </c>
      <c r="L39" s="33">
        <f>ROUND(坦克等级成长!$F136*VLOOKUP($B$2,坦克等级成长!$B$36:$G$42,MATCH(L$3,坦克等级成长!$B$35:$G$35,0)),0)</f>
        <v>173</v>
      </c>
      <c r="M39" s="33">
        <f>ROUND(坦克等级成长!$F136*VLOOKUP($B$2,坦克等级成长!$B$36:$G$42,MATCH(M$3,坦克等级成长!$B$35:$G$35,0)),0)</f>
        <v>651</v>
      </c>
      <c r="N39" s="33">
        <f t="shared" si="7"/>
        <v>651</v>
      </c>
      <c r="O39" s="33">
        <v>489</v>
      </c>
      <c r="P39" s="33">
        <f>ROUND(坦克等级成长!$F136*VLOOKUP($B$2,坦克等级成长!$B$36:$G$42,MATCH(P$3,坦克等级成长!$B$35:$G$35,0)),0)</f>
        <v>651</v>
      </c>
      <c r="Q39" s="33">
        <f>ROUND(坦克等级成长!$F136*VLOOKUP($B$2,坦克等级成长!$B$36:$G$42,MATCH(Q$3,坦克等级成长!$B$35:$G$35,0)),0)</f>
        <v>174</v>
      </c>
      <c r="R39" s="192">
        <v>4</v>
      </c>
      <c r="S39" s="33">
        <f>ROUND(坦克等级成长!$H136*VLOOKUP($B$2,坦克等级成长!$B$36:$G$42,MATCH(S$3,坦克等级成长!$B$35:$G$35,0)),0)</f>
        <v>1768</v>
      </c>
      <c r="T39" s="33">
        <f>ROUND(坦克等级成长!$H136*VLOOKUP($B$2,坦克等级成长!$B$36:$G$42,MATCH(T$3,坦克等级成长!$B$35:$G$35,0)),0)</f>
        <v>176</v>
      </c>
      <c r="U39" s="33">
        <f>ROUND(坦克等级成长!$H136*VLOOKUP($B$2,坦克等级成长!$B$36:$G$42,MATCH(U$3,坦克等级成长!$B$35:$G$35,0)),0)</f>
        <v>663</v>
      </c>
      <c r="V39" s="33">
        <f t="shared" si="21"/>
        <v>663</v>
      </c>
      <c r="W39" s="33">
        <v>489</v>
      </c>
      <c r="X39" s="33">
        <f>ROUND(坦克等级成长!$H136*VLOOKUP($B$2,坦克等级成长!$B$36:$G$42,MATCH(X$3,坦克等级成长!$B$35:$G$35,0)),0)</f>
        <v>663</v>
      </c>
      <c r="Y39" s="33">
        <f>ROUND(坦克等级成长!$H136*VLOOKUP($B$2,坦克等级成长!$B$36:$G$42,MATCH(Y$3,坦克等级成长!$B$35:$G$35,0)),0)</f>
        <v>177</v>
      </c>
      <c r="Z39" s="192">
        <v>4</v>
      </c>
      <c r="AA39" s="33">
        <f>ROUND(坦克等级成长!$D136*VLOOKUP($Z$2,坦克等级成长!$B$36:$G$42,MATCH(AA$3,坦克等级成长!$B$35:$G$35,0)),0)</f>
        <v>1704</v>
      </c>
      <c r="AB39" s="33">
        <f>ROUND(坦克等级成长!$D136*VLOOKUP($Z$2,坦克等级成长!$B$36:$G$42,MATCH(AB$3,坦克等级成长!$B$35:$G$35,0)),0)</f>
        <v>90</v>
      </c>
      <c r="AC39" s="33">
        <f>ROUND(坦克等级成长!$D136*VLOOKUP($Z$2,坦克等级成长!$B$36:$G$42,MATCH(AC$3,坦克等级成长!$B$35:$G$35,0)),0)</f>
        <v>700</v>
      </c>
      <c r="AD39" s="33">
        <f t="shared" si="29"/>
        <v>700</v>
      </c>
      <c r="AE39" s="33">
        <v>517.29999999999995</v>
      </c>
      <c r="AF39" s="33">
        <f>ROUND(坦克等级成长!$D136*VLOOKUP($Z$2,坦克等级成长!$B$36:$G$42,MATCH(AF$3,坦克等级成长!$B$35:$G$35,0)),0)</f>
        <v>639</v>
      </c>
      <c r="AG39" s="33">
        <f>ROUND(坦克等级成长!$D136*VLOOKUP($Z$2,坦克等级成长!$B$36:$G$42,MATCH(AG$3,坦克等级成长!$B$35:$G$35,0)),0)</f>
        <v>170</v>
      </c>
      <c r="AH39" s="199">
        <v>4</v>
      </c>
      <c r="AI39" s="33">
        <f>ROUND(坦克等级成长!$F136*VLOOKUP($Z$2,坦克等级成长!$B$36:$G$42,MATCH(AI$3,坦克等级成长!$B$35:$G$35,0)),0)</f>
        <v>1736</v>
      </c>
      <c r="AJ39" s="33">
        <f>ROUND(坦克等级成长!$F136*VLOOKUP($Z$2,坦克等级成长!$B$36:$G$42,MATCH(AJ$3,坦克等级成长!$B$35:$G$35,0)),0)</f>
        <v>92</v>
      </c>
      <c r="AK39" s="33">
        <f>ROUND(坦克等级成长!$F136*VLOOKUP($Z$2,坦克等级成长!$B$36:$G$42,MATCH(AK$3,坦克等级成长!$B$35:$G$35,0)),0)</f>
        <v>713</v>
      </c>
      <c r="AL39" s="33">
        <f t="shared" si="8"/>
        <v>713</v>
      </c>
      <c r="AM39" s="33">
        <v>536</v>
      </c>
      <c r="AN39" s="33">
        <f>ROUND(坦克等级成长!$F136*VLOOKUP($Z$2,坦克等级成长!$B$36:$G$42,MATCH(AN$3,坦克等级成长!$B$35:$G$35,0)),0)</f>
        <v>651</v>
      </c>
      <c r="AO39" s="33">
        <f>ROUND(坦克等级成长!$F136*VLOOKUP($Z$2,坦克等级成长!$B$36:$G$42,MATCH(AO$3,坦克等级成长!$B$35:$G$35,0)),0)</f>
        <v>174</v>
      </c>
      <c r="AP39" s="192">
        <v>4</v>
      </c>
      <c r="AQ39" s="33">
        <f>ROUND(坦克等级成长!$H136*VLOOKUP($Z$2,坦克等级成长!$B$36:$G$42,MATCH(AQ$3,坦克等级成长!$B$35:$G$35,0)),0)</f>
        <v>1768</v>
      </c>
      <c r="AR39" s="33">
        <f>ROUND(坦克等级成长!$H136*VLOOKUP($Z$2,坦克等级成长!$B$36:$G$42,MATCH(AR$3,坦克等级成长!$B$35:$G$35,0)),0)</f>
        <v>94</v>
      </c>
      <c r="AS39" s="33">
        <f>ROUND(坦克等级成长!$H136*VLOOKUP($Z$2,坦克等级成长!$B$36:$G$42,MATCH(AS$3,坦克等级成长!$B$35:$G$35,0)),0)</f>
        <v>726</v>
      </c>
      <c r="AT39" s="33">
        <f t="shared" si="22"/>
        <v>726</v>
      </c>
      <c r="AU39" s="33">
        <v>536</v>
      </c>
      <c r="AV39" s="33">
        <f>ROUND(坦克等级成长!$H136*VLOOKUP($Z$2,坦克等级成长!$B$36:$G$42,MATCH(AV$3,坦克等级成长!$B$35:$G$35,0)),0)</f>
        <v>663</v>
      </c>
      <c r="AW39" s="33">
        <f>ROUND(坦克等级成长!$H136*VLOOKUP($Z$2,坦克等级成长!$B$36:$G$42,MATCH(AW$3,坦克等级成长!$B$35:$G$35,0)),0)</f>
        <v>177</v>
      </c>
      <c r="AX39" s="192">
        <v>4</v>
      </c>
      <c r="AY39" s="33">
        <f>ROUND(坦克等级成长!$D136*VLOOKUP($AX$2,坦克等级成长!$B$36:$G$42,MATCH(AY$3,坦克等级成长!$B$35:$G$35,0)),0)</f>
        <v>1704</v>
      </c>
      <c r="AZ39" s="33">
        <f>ROUND(坦克等级成长!$D136*VLOOKUP($AX$2,坦克等级成长!$B$36:$G$42,MATCH(AZ$3,坦克等级成长!$B$35:$G$35,0)),0)</f>
        <v>170</v>
      </c>
      <c r="BA39" s="33">
        <f>ROUND(坦克等级成长!$D136*VLOOKUP($AX$2,坦克等级成长!$B$36:$G$42,MATCH(BA$3,坦克等级成长!$B$35:$G$35,0)),0)</f>
        <v>639</v>
      </c>
      <c r="BB39" s="33">
        <f t="shared" si="30"/>
        <v>639</v>
      </c>
      <c r="BC39" s="33">
        <v>472.5</v>
      </c>
      <c r="BD39" s="33">
        <f>ROUND(坦克等级成长!$D136*VLOOKUP($AX$2,坦克等级成长!$B$36:$G$42,MATCH(BD$3,坦克等级成长!$B$35:$G$35,0)),0)</f>
        <v>639</v>
      </c>
      <c r="BE39" s="33">
        <f>ROUND(坦克等级成长!$D136*VLOOKUP($AX$2,坦克等级成长!$B$36:$G$42,MATCH(BE$3,坦克等级成长!$B$35:$G$35,0)),0)</f>
        <v>170</v>
      </c>
      <c r="BF39" s="199">
        <v>4</v>
      </c>
      <c r="BG39" s="33">
        <f>ROUND(坦克等级成长!$F136*VLOOKUP($AX$2,坦克等级成长!$B$36:$G$42,MATCH(BG$3,坦克等级成长!$B$35:$G$35,0)),0)</f>
        <v>1736</v>
      </c>
      <c r="BH39" s="33">
        <f>ROUND(坦克等级成长!$F136*VLOOKUP($AX$2,坦克等级成长!$B$36:$G$42,MATCH(BH$3,坦克等级成长!$B$35:$G$35,0)),0)</f>
        <v>173</v>
      </c>
      <c r="BI39" s="33">
        <f>ROUND(坦克等级成长!$F136*VLOOKUP($AX$2,坦克等级成长!$B$36:$G$42,MATCH(BI$3,坦克等级成长!$B$35:$G$35,0)),0)</f>
        <v>651</v>
      </c>
      <c r="BJ39" s="33">
        <f t="shared" si="9"/>
        <v>651</v>
      </c>
      <c r="BK39" s="33">
        <v>489</v>
      </c>
      <c r="BL39" s="33">
        <f>ROUND(坦克等级成长!$F136*VLOOKUP($AX$2,坦克等级成长!$B$36:$G$42,MATCH(BL$3,坦克等级成长!$B$35:$G$35,0)),0)</f>
        <v>651</v>
      </c>
      <c r="BM39" s="33">
        <f>ROUND(坦克等级成长!$F136*VLOOKUP($AX$2,坦克等级成长!$B$36:$G$42,MATCH(BM$3,坦克等级成长!$B$35:$G$35,0)),0)</f>
        <v>174</v>
      </c>
      <c r="BN39" s="192">
        <v>4</v>
      </c>
      <c r="BO39" s="33">
        <f>ROUND(坦克等级成长!$H136*VLOOKUP($AX$2,坦克等级成长!$B$36:$G$42,MATCH(BO$3,坦克等级成长!$B$35:$G$35,0)),0)</f>
        <v>1768</v>
      </c>
      <c r="BP39" s="33">
        <f>ROUND(坦克等级成长!$H136*VLOOKUP($AX$2,坦克等级成长!$B$36:$G$42,MATCH(BP$3,坦克等级成长!$B$35:$G$35,0)),0)</f>
        <v>176</v>
      </c>
      <c r="BQ39" s="33">
        <f>ROUND(坦克等级成长!$H136*VLOOKUP($AX$2,坦克等级成长!$B$36:$G$42,MATCH(BQ$3,坦克等级成长!$B$35:$G$35,0)),0)</f>
        <v>663</v>
      </c>
      <c r="BR39" s="33">
        <f t="shared" si="23"/>
        <v>663</v>
      </c>
      <c r="BS39" s="33">
        <v>489</v>
      </c>
      <c r="BT39" s="33">
        <f>ROUND(坦克等级成长!$H136*VLOOKUP($AX$2,坦克等级成长!$B$36:$G$42,MATCH(BT$3,坦克等级成长!$B$35:$G$35,0)),0)</f>
        <v>663</v>
      </c>
      <c r="BU39" s="33">
        <f>ROUND(坦克等级成长!$H136*VLOOKUP($AX$2,坦克等级成长!$B$36:$G$42,MATCH(BU$3,坦克等级成长!$B$35:$G$35,0)),0)</f>
        <v>177</v>
      </c>
      <c r="BV39" s="192">
        <v>4</v>
      </c>
      <c r="BW39" s="33">
        <f>ROUND(坦克等级成长!$D136*VLOOKUP($BV$2,坦克等级成长!$B$36:$G$42,MATCH(BW$3,坦克等级成长!$B$35:$G$35,0)),0)</f>
        <v>1839</v>
      </c>
      <c r="BX39" s="33">
        <f>ROUND(坦克等级成长!$D136*VLOOKUP($BV$2,坦克等级成长!$B$36:$G$42,MATCH(BX$3,坦克等级成长!$B$35:$G$35,0)),0)</f>
        <v>158</v>
      </c>
      <c r="BY39" s="33">
        <f>ROUND(坦克等级成长!$D136*VLOOKUP($BV$2,坦克等级成长!$B$36:$G$42,MATCH(BY$3,坦克等级成长!$B$35:$G$35,0)),0)</f>
        <v>609</v>
      </c>
      <c r="BZ39" s="33">
        <f t="shared" si="31"/>
        <v>609</v>
      </c>
      <c r="CA39" s="33">
        <v>482.25</v>
      </c>
      <c r="CB39" s="33">
        <f>ROUND(坦克等级成长!$D136*VLOOKUP($BV$2,坦克等级成长!$B$36:$G$42,MATCH(CB$3,坦克等级成长!$B$35:$G$35,0)),0)</f>
        <v>767</v>
      </c>
      <c r="CC39" s="33">
        <f>ROUND(坦克等级成长!$D136*VLOOKUP($BV$2,坦克等级成长!$B$36:$G$42,MATCH(CC$3,坦克等级成长!$B$35:$G$35,0)),0)</f>
        <v>184</v>
      </c>
      <c r="CD39" s="199">
        <v>4</v>
      </c>
      <c r="CE39" s="33">
        <f>ROUND(坦克等级成长!$F136*VLOOKUP($BV$2,坦克等级成长!$B$36:$G$42,MATCH(CE$3,坦克等级成长!$B$35:$G$35,0)),0)</f>
        <v>1874</v>
      </c>
      <c r="CF39" s="33">
        <f>ROUND(坦克等级成长!$F136*VLOOKUP($BV$2,坦克等级成长!$B$36:$G$42,MATCH(CF$3,坦克等级成长!$B$35:$G$35,0)),0)</f>
        <v>161</v>
      </c>
      <c r="CG39" s="33">
        <f>ROUND(坦克等级成长!$F136*VLOOKUP($BV$2,坦克等级成长!$B$36:$G$42,MATCH(CG$3,坦克等级成长!$B$35:$G$35,0)),0)</f>
        <v>620</v>
      </c>
      <c r="CH39" s="33">
        <f t="shared" si="10"/>
        <v>620</v>
      </c>
      <c r="CI39" s="33">
        <v>500</v>
      </c>
      <c r="CJ39" s="33">
        <f>ROUND(坦克等级成长!$F136*VLOOKUP($BV$2,坦克等级成长!$B$36:$G$42,MATCH(CJ$3,坦克等级成长!$B$35:$G$35,0)),0)</f>
        <v>781</v>
      </c>
      <c r="CK39" s="33">
        <f>ROUND(坦克等级成长!$F136*VLOOKUP($BV$2,坦克等级成长!$B$36:$G$42,MATCH(CK$3,坦克等级成长!$B$35:$G$35,0)),0)</f>
        <v>187</v>
      </c>
      <c r="CL39" s="192">
        <v>4</v>
      </c>
      <c r="CM39" s="33">
        <f>ROUND(坦克等级成长!$H136*VLOOKUP($BV$2,坦克等级成长!$B$36:$G$42,MATCH(CM$3,坦克等级成长!$B$35:$G$35,0)),0)</f>
        <v>1908</v>
      </c>
      <c r="CN39" s="33">
        <f>ROUND(坦克等级成长!$H136*VLOOKUP($BV$2,坦克等级成长!$B$36:$G$42,MATCH(CN$3,坦克等级成长!$B$35:$G$35,0)),0)</f>
        <v>164</v>
      </c>
      <c r="CO39" s="33">
        <f>ROUND(坦克等级成长!$H136*VLOOKUP($BV$2,坦克等级成长!$B$36:$G$42,MATCH(CO$3,坦克等级成长!$B$35:$G$35,0)),0)</f>
        <v>631</v>
      </c>
      <c r="CP39" s="33">
        <f t="shared" si="24"/>
        <v>631</v>
      </c>
      <c r="CQ39" s="33">
        <v>500</v>
      </c>
      <c r="CR39" s="33">
        <f>ROUND(坦克等级成长!$H136*VLOOKUP($BV$2,坦克等级成长!$B$36:$G$42,MATCH(CR$3,坦克等级成长!$B$35:$G$35,0)),0)</f>
        <v>796</v>
      </c>
      <c r="CS39" s="33">
        <f>ROUND(坦克等级成长!$H136*VLOOKUP($BV$2,坦克等级成长!$B$36:$G$42,MATCH(CS$3,坦克等级成长!$B$35:$G$35,0)),0)</f>
        <v>191</v>
      </c>
      <c r="CT39" s="192">
        <v>4</v>
      </c>
      <c r="CU39" s="33">
        <f>ROUND(坦克等级成长!$D136*VLOOKUP($CT$2,坦克等级成长!$B$36:$G$42,MATCH(CU$3,坦克等级成长!$B$35:$G$35,0)),0)</f>
        <v>1704</v>
      </c>
      <c r="CV39" s="33">
        <f>ROUND(坦克等级成长!$D136*VLOOKUP($CT$2,坦克等级成长!$B$36:$G$42,MATCH(CV$3,坦克等级成长!$B$35:$G$35,0)),0)</f>
        <v>343</v>
      </c>
      <c r="CW39" s="33">
        <f>ROUND(坦克等级成长!$D136*VLOOKUP($CT$2,坦克等级成长!$B$36:$G$42,MATCH(CW$3,坦克等级成长!$B$35:$G$35,0)),0)</f>
        <v>761</v>
      </c>
      <c r="CX39" s="33">
        <f t="shared" si="32"/>
        <v>761</v>
      </c>
      <c r="CY39" s="33">
        <v>603</v>
      </c>
      <c r="CZ39" s="33">
        <f>ROUND(坦克等级成长!$D136*VLOOKUP($CT$2,坦克等级成长!$B$36:$G$42,MATCH(CZ$3,坦克等级成长!$B$35:$G$35,0)),0)</f>
        <v>639</v>
      </c>
      <c r="DA39" s="33">
        <f>ROUND(坦克等级成长!$D136*VLOOKUP($CT$2,坦克等级成长!$B$36:$G$42,MATCH(DA$3,坦克等级成长!$B$35:$G$35,0)),0)</f>
        <v>170</v>
      </c>
      <c r="DB39" s="199">
        <v>4</v>
      </c>
      <c r="DC39" s="33">
        <f>ROUND(坦克等级成长!$F136*VLOOKUP($CT$2,坦克等级成长!$B$36:$G$42,MATCH(DC$3,坦克等级成长!$B$35:$G$35,0)),0)</f>
        <v>1736</v>
      </c>
      <c r="DD39" s="33">
        <f>ROUND(坦克等级成长!$F136*VLOOKUP($CT$2,坦克等级成长!$B$36:$G$42,MATCH(DD$3,坦克等级成长!$B$35:$G$35,0)),0)</f>
        <v>349</v>
      </c>
      <c r="DE39" s="33">
        <f>ROUND(坦克等级成长!$F136*VLOOKUP($CT$2,坦克等级成长!$B$36:$G$42,MATCH(DE$3,坦克等级成长!$B$35:$G$35,0)),0)</f>
        <v>775</v>
      </c>
      <c r="DF39" s="33">
        <f t="shared" si="11"/>
        <v>775</v>
      </c>
      <c r="DG39" s="33">
        <v>624</v>
      </c>
      <c r="DH39" s="33">
        <f>ROUND(坦克等级成长!$F136*VLOOKUP($CT$2,坦克等级成长!$B$36:$G$42,MATCH(DH$3,坦克等级成长!$B$35:$G$35,0)),0)</f>
        <v>651</v>
      </c>
      <c r="DI39" s="33">
        <f>ROUND(坦克等级成长!$F136*VLOOKUP($CT$2,坦克等级成长!$B$36:$G$42,MATCH(DI$3,坦克等级成长!$B$35:$G$35,0)),0)</f>
        <v>174</v>
      </c>
      <c r="DJ39" s="192">
        <v>4</v>
      </c>
      <c r="DK39" s="33">
        <f>ROUND(坦克等级成长!$H136*VLOOKUP($CT$2,坦克等级成长!$B$36:$G$42,MATCH(DK$3,坦克等级成长!$B$35:$G$35,0)),0)</f>
        <v>1768</v>
      </c>
      <c r="DL39" s="33">
        <f>ROUND(坦克等级成长!$H136*VLOOKUP($CT$2,坦克等级成长!$B$36:$G$42,MATCH(DL$3,坦克等级成长!$B$35:$G$35,0)),0)</f>
        <v>356</v>
      </c>
      <c r="DM39" s="33">
        <f>ROUND(坦克等级成长!$H136*VLOOKUP($CT$2,坦克等级成长!$B$36:$G$42,MATCH(DM$3,坦克等级成长!$B$35:$G$35,0)),0)</f>
        <v>789</v>
      </c>
      <c r="DN39" s="33">
        <f t="shared" si="25"/>
        <v>789</v>
      </c>
      <c r="DO39" s="33">
        <v>624</v>
      </c>
      <c r="DP39" s="33">
        <f>ROUND(坦克等级成长!$H136*VLOOKUP($CT$2,坦克等级成长!$B$36:$G$42,MATCH(DP$3,坦克等级成长!$B$35:$G$35,0)),0)</f>
        <v>663</v>
      </c>
      <c r="DQ39" s="33">
        <f>ROUND(坦克等级成长!$H136*VLOOKUP($CT$2,坦克等级成长!$B$36:$G$42,MATCH(DQ$3,坦克等级成长!$B$35:$G$35,0)),0)</f>
        <v>177</v>
      </c>
      <c r="DR39" s="192">
        <v>4</v>
      </c>
      <c r="DS39" s="33">
        <f>ROUND(坦克等级成长!$D136*VLOOKUP($DR$2,坦克等级成长!$B$36:$G$42,MATCH(DS$3,坦克等级成长!$B$35:$G$35,0)),0)</f>
        <v>2085</v>
      </c>
      <c r="DT39" s="33">
        <f>ROUND(坦克等级成长!$D136*VLOOKUP($DR$2,坦克等级成长!$B$36:$G$42,MATCH(DT$3,坦克等级成长!$B$35:$G$35,0)),0)</f>
        <v>571</v>
      </c>
      <c r="DU39" s="33">
        <f>ROUND(坦克等级成长!$D136*VLOOKUP($DR$2,坦克等级成长!$B$36:$G$42,MATCH(DU$3,坦克等级成长!$B$35:$G$35,0)),0)</f>
        <v>609</v>
      </c>
      <c r="DV39" s="33">
        <f t="shared" si="33"/>
        <v>609</v>
      </c>
      <c r="DW39" s="33">
        <v>514.4</v>
      </c>
      <c r="DX39" s="33">
        <f>ROUND(坦克等级成长!$D136*VLOOKUP($DR$2,坦克等级成长!$B$36:$G$42,MATCH(DX$3,坦克等级成长!$B$35:$G$35,0)),0)</f>
        <v>895</v>
      </c>
      <c r="DY39" s="33">
        <f>ROUND(坦克等级成长!$D136*VLOOKUP($DR$2,坦克等级成长!$B$36:$G$42,MATCH(DY$3,坦克等级成长!$B$35:$G$35,0)),0)</f>
        <v>208</v>
      </c>
      <c r="DZ39" s="199">
        <v>4</v>
      </c>
      <c r="EA39" s="33">
        <f>ROUND(坦克等级成长!$F136*VLOOKUP($DR$2,坦克等级成长!$B$36:$G$42,MATCH(EA$3,坦克等级成长!$B$35:$G$35,0)),0)</f>
        <v>2124</v>
      </c>
      <c r="EB39" s="33">
        <f>ROUND(坦克等级成长!$F136*VLOOKUP($DR$2,坦克等级成长!$B$36:$G$42,MATCH(EB$3,坦克等级成长!$B$35:$G$35,0)),0)</f>
        <v>582</v>
      </c>
      <c r="EC39" s="33">
        <f>ROUND(坦克等级成长!$F136*VLOOKUP($DR$2,坦克等级成长!$B$36:$G$42,MATCH(EC$3,坦克等级成长!$B$35:$G$35,0)),0)</f>
        <v>620</v>
      </c>
      <c r="ED39" s="33">
        <f t="shared" si="12"/>
        <v>620</v>
      </c>
      <c r="EE39" s="33">
        <v>533</v>
      </c>
      <c r="EF39" s="33">
        <f>ROUND(坦克等级成长!$F136*VLOOKUP($DR$2,坦克等级成长!$B$36:$G$42,MATCH(EF$3,坦克等级成长!$B$35:$G$35,0)),0)</f>
        <v>911</v>
      </c>
      <c r="EG39" s="33">
        <f>ROUND(坦克等级成长!$F136*VLOOKUP($DR$2,坦克等级成长!$B$36:$G$42,MATCH(EG$3,坦克等级成长!$B$35:$G$35,0)),0)</f>
        <v>212</v>
      </c>
      <c r="EH39" s="192">
        <v>4</v>
      </c>
      <c r="EI39" s="33">
        <f>ROUND(坦克等级成长!$H136*VLOOKUP($DR$2,坦克等级成长!$B$36:$G$42,MATCH(EI$3,坦克等级成长!$B$35:$G$35,0)),0)</f>
        <v>2163</v>
      </c>
      <c r="EJ39" s="33">
        <f>ROUND(坦克等级成长!$H136*VLOOKUP($DR$2,坦克等级成长!$B$36:$G$42,MATCH(EJ$3,坦克等级成长!$B$35:$G$35,0)),0)</f>
        <v>592</v>
      </c>
      <c r="EK39" s="33">
        <f>ROUND(坦克等级成长!$H136*VLOOKUP($DR$2,坦克等级成长!$B$36:$G$42,MATCH(EK$3,坦克等级成长!$B$35:$G$35,0)),0)</f>
        <v>631</v>
      </c>
      <c r="EL39" s="33">
        <f t="shared" si="26"/>
        <v>631</v>
      </c>
      <c r="EM39" s="33">
        <v>533</v>
      </c>
      <c r="EN39" s="33">
        <f>ROUND(坦克等级成长!$H136*VLOOKUP($DR$2,坦克等级成长!$B$36:$G$42,MATCH(EN$3,坦克等级成长!$B$35:$G$35,0)),0)</f>
        <v>928</v>
      </c>
      <c r="EO39" s="33">
        <f>ROUND(坦克等级成长!$H136*VLOOKUP($DR$2,坦克等级成长!$B$36:$G$42,MATCH(EO$3,坦克等级成长!$B$35:$G$35,0)),0)</f>
        <v>216</v>
      </c>
      <c r="EP39" s="192">
        <v>4</v>
      </c>
      <c r="EQ39" s="33">
        <f>ROUND(坦克等级成长!$D136*VLOOKUP($EP$2,坦克等级成长!$B$36:$G$42,MATCH(EQ$3,坦克等级成长!$B$35:$G$35,0)),0)</f>
        <v>1839</v>
      </c>
      <c r="ER39" s="33">
        <f>ROUND(坦克等级成长!$D136*VLOOKUP($EP$2,坦克等级成长!$B$36:$G$42,MATCH(ER$3,坦克等级成长!$B$35:$G$35,0)),0)</f>
        <v>189</v>
      </c>
      <c r="ES39" s="33">
        <f>ROUND(坦克等级成长!$D136*VLOOKUP($EP$2,坦克等级成长!$B$36:$G$42,MATCH(ES$3,坦克等级成长!$B$35:$G$35,0)),0)</f>
        <v>700</v>
      </c>
      <c r="ET39" s="33">
        <f t="shared" si="34"/>
        <v>700</v>
      </c>
      <c r="EU39" s="33">
        <v>554.25</v>
      </c>
      <c r="EV39" s="33">
        <f>ROUND(坦克等级成长!$D136*VLOOKUP($EP$2,坦克等级成长!$B$36:$G$42,MATCH(EV$3,坦克等级成长!$B$35:$G$35,0)),0)</f>
        <v>767</v>
      </c>
      <c r="EW39" s="33">
        <f>ROUND(坦克等级成长!$D136*VLOOKUP($EP$2,坦克等级成长!$B$36:$G$42,MATCH(EW$3,坦克等级成长!$B$35:$G$35,0)),0)</f>
        <v>184</v>
      </c>
      <c r="EX39" s="199">
        <v>4</v>
      </c>
      <c r="EY39" s="33">
        <f>ROUND(坦克等级成长!$F136*VLOOKUP($EP$2,坦克等级成长!$B$36:$G$42,MATCH(EY$3,坦克等级成长!$B$35:$G$35,0)),0)</f>
        <v>1874</v>
      </c>
      <c r="EZ39" s="33">
        <f>ROUND(坦克等级成长!$F136*VLOOKUP($EP$2,坦克等级成长!$B$36:$G$42,MATCH(EZ$3,坦克等级成长!$B$35:$G$35,0)),0)</f>
        <v>193</v>
      </c>
      <c r="FA39" s="33">
        <f>ROUND(坦克等级成长!$F136*VLOOKUP($EP$2,坦克等级成长!$B$36:$G$42,MATCH(FA$3,坦克等级成长!$B$35:$G$35,0)),0)</f>
        <v>713</v>
      </c>
      <c r="FB39" s="33">
        <f t="shared" si="13"/>
        <v>713</v>
      </c>
      <c r="FC39" s="33">
        <v>575</v>
      </c>
      <c r="FD39" s="33">
        <f>ROUND(坦克等级成长!$F136*VLOOKUP($EP$2,坦克等级成长!$B$36:$G$42,MATCH(FD$3,坦克等级成长!$B$35:$G$35,0)),0)</f>
        <v>781</v>
      </c>
      <c r="FE39" s="33">
        <f>ROUND(坦克等级成长!$F136*VLOOKUP($EP$2,坦克等级成长!$B$36:$G$42,MATCH(FE$3,坦克等级成长!$B$35:$G$35,0)),0)</f>
        <v>187</v>
      </c>
      <c r="FF39" s="192">
        <v>4</v>
      </c>
      <c r="FG39" s="33">
        <f>ROUND(坦克等级成长!$H136*VLOOKUP($EP$2,坦克等级成长!$B$36:$G$42,MATCH(FG$3,坦克等级成长!$B$35:$G$35,0)),0)</f>
        <v>1908</v>
      </c>
      <c r="FH39" s="33">
        <f>ROUND(坦克等级成长!$H136*VLOOKUP($EP$2,坦克等级成长!$B$36:$G$42,MATCH(FH$3,坦克等级成长!$B$35:$G$35,0)),0)</f>
        <v>197</v>
      </c>
      <c r="FI39" s="33">
        <f>ROUND(坦克等级成长!$H136*VLOOKUP($EP$2,坦克等级成长!$B$36:$G$42,MATCH(FI$3,坦克等级成长!$B$35:$G$35,0)),0)</f>
        <v>726</v>
      </c>
      <c r="FJ39" s="33">
        <f t="shared" si="27"/>
        <v>726</v>
      </c>
      <c r="FK39" s="33">
        <v>575</v>
      </c>
      <c r="FL39" s="33">
        <f>ROUND(坦克等级成长!$H136*VLOOKUP($EP$2,坦克等级成长!$B$36:$G$42,MATCH(FL$3,坦克等级成长!$B$35:$G$35,0)),0)</f>
        <v>796</v>
      </c>
      <c r="FM39" s="33">
        <f>ROUND(坦克等级成长!$H136*VLOOKUP($EP$2,坦克等级成长!$B$36:$G$42,MATCH(FM$3,坦克等级成长!$B$35:$G$35,0)),0)</f>
        <v>191</v>
      </c>
    </row>
    <row r="40" spans="1:169" ht="14.25" x14ac:dyDescent="0.3">
      <c r="A40" s="189">
        <v>4</v>
      </c>
      <c r="B40" s="192">
        <v>5</v>
      </c>
      <c r="C40" s="33">
        <f>ROUND(坦克等级成长!$D137*VLOOKUP($B$2,坦克等级成长!$B$36:$G$42,MATCH(C$3,坦克等级成长!$B$35:$G$35,0)),0)</f>
        <v>1784</v>
      </c>
      <c r="D40" s="33">
        <f>ROUND(坦克等级成长!$D137*VLOOKUP($B$2,坦克等级成长!$B$36:$G$42,MATCH(D$3,坦克等级成长!$B$35:$G$35,0)),0)</f>
        <v>178</v>
      </c>
      <c r="E40" s="33">
        <f>ROUND(坦克等级成长!$D137*VLOOKUP($B$2,坦克等级成长!$B$36:$G$42,MATCH(E$3,坦克等级成长!$B$35:$G$35,0)),0)</f>
        <v>669</v>
      </c>
      <c r="F40" s="33">
        <f t="shared" si="28"/>
        <v>669</v>
      </c>
      <c r="G40" s="33">
        <v>495.6</v>
      </c>
      <c r="H40" s="33">
        <f>ROUND(坦克等级成长!$D137*VLOOKUP($B$2,坦克等级成长!$B$36:$G$42,MATCH(H$3,坦克等级成长!$B$35:$G$35,0)),0)</f>
        <v>669</v>
      </c>
      <c r="I40" s="33">
        <f>ROUND(坦克等级成长!$D137*VLOOKUP($B$2,坦克等级成长!$B$36:$G$42,MATCH(I$3,坦克等级成长!$B$35:$G$35,0)),0)</f>
        <v>178</v>
      </c>
      <c r="J40" s="199">
        <v>5</v>
      </c>
      <c r="K40" s="33">
        <f>ROUND(坦克等级成长!$F137*VLOOKUP($B$2,坦克等级成长!$B$36:$G$42,MATCH(K$3,坦克等级成长!$B$35:$G$35,0)),0)</f>
        <v>1816</v>
      </c>
      <c r="L40" s="33">
        <f>ROUND(坦克等级成长!$F137*VLOOKUP($B$2,坦克等级成长!$B$36:$G$42,MATCH(L$3,坦克等级成长!$B$35:$G$35,0)),0)</f>
        <v>181</v>
      </c>
      <c r="M40" s="33">
        <f>ROUND(坦克等级成长!$F137*VLOOKUP($B$2,坦克等级成长!$B$36:$G$42,MATCH(M$3,坦克等级成长!$B$35:$G$35,0)),0)</f>
        <v>681</v>
      </c>
      <c r="N40" s="33">
        <f t="shared" si="7"/>
        <v>681</v>
      </c>
      <c r="O40" s="33">
        <v>512</v>
      </c>
      <c r="P40" s="33">
        <f>ROUND(坦克等级成长!$F137*VLOOKUP($B$2,坦克等级成长!$B$36:$G$42,MATCH(P$3,坦克等级成长!$B$35:$G$35,0)),0)</f>
        <v>681</v>
      </c>
      <c r="Q40" s="33">
        <f>ROUND(坦克等级成长!$F137*VLOOKUP($B$2,坦克等级成长!$B$36:$G$42,MATCH(Q$3,坦克等级成长!$B$35:$G$35,0)),0)</f>
        <v>182</v>
      </c>
      <c r="R40" s="192">
        <v>5</v>
      </c>
      <c r="S40" s="33">
        <f>ROUND(坦克等级成长!$H137*VLOOKUP($B$2,坦克等级成长!$B$36:$G$42,MATCH(S$3,坦克等级成长!$B$35:$G$35,0)),0)</f>
        <v>1848</v>
      </c>
      <c r="T40" s="33">
        <f>ROUND(坦克等级成长!$H137*VLOOKUP($B$2,坦克等级成长!$B$36:$G$42,MATCH(T$3,坦克等级成长!$B$35:$G$35,0)),0)</f>
        <v>184</v>
      </c>
      <c r="U40" s="33">
        <f>ROUND(坦克等级成长!$H137*VLOOKUP($B$2,坦克等级成长!$B$36:$G$42,MATCH(U$3,坦克等级成长!$B$35:$G$35,0)),0)</f>
        <v>693</v>
      </c>
      <c r="V40" s="33">
        <f t="shared" si="21"/>
        <v>693</v>
      </c>
      <c r="W40" s="33">
        <v>512</v>
      </c>
      <c r="X40" s="33">
        <f>ROUND(坦克等级成长!$H137*VLOOKUP($B$2,坦克等级成长!$B$36:$G$42,MATCH(X$3,坦克等级成长!$B$35:$G$35,0)),0)</f>
        <v>693</v>
      </c>
      <c r="Y40" s="33">
        <f>ROUND(坦克等级成长!$H137*VLOOKUP($B$2,坦克等级成长!$B$36:$G$42,MATCH(Y$3,坦克等级成长!$B$35:$G$35,0)),0)</f>
        <v>185</v>
      </c>
      <c r="Z40" s="192">
        <v>5</v>
      </c>
      <c r="AA40" s="33">
        <f>ROUND(坦克等级成长!$D137*VLOOKUP($Z$2,坦克等级成长!$B$36:$G$42,MATCH(AA$3,坦克等级成长!$B$35:$G$35,0)),0)</f>
        <v>1784</v>
      </c>
      <c r="AB40" s="33">
        <f>ROUND(坦克等级成长!$D137*VLOOKUP($Z$2,坦克等级成长!$B$36:$G$42,MATCH(AB$3,坦克等级成长!$B$35:$G$35,0)),0)</f>
        <v>95</v>
      </c>
      <c r="AC40" s="33">
        <f>ROUND(坦克等级成长!$D137*VLOOKUP($Z$2,坦克等级成长!$B$36:$G$42,MATCH(AC$3,坦克等级成长!$B$35:$G$35,0)),0)</f>
        <v>733</v>
      </c>
      <c r="AD40" s="33">
        <f t="shared" si="29"/>
        <v>733</v>
      </c>
      <c r="AE40" s="33">
        <v>542.5</v>
      </c>
      <c r="AF40" s="33">
        <f>ROUND(坦克等级成长!$D137*VLOOKUP($Z$2,坦克等级成长!$B$36:$G$42,MATCH(AF$3,坦克等级成长!$B$35:$G$35,0)),0)</f>
        <v>669</v>
      </c>
      <c r="AG40" s="33">
        <f>ROUND(坦克等级成长!$D137*VLOOKUP($Z$2,坦克等级成长!$B$36:$G$42,MATCH(AG$3,坦克等级成长!$B$35:$G$35,0)),0)</f>
        <v>178</v>
      </c>
      <c r="AH40" s="199">
        <v>5</v>
      </c>
      <c r="AI40" s="33">
        <f>ROUND(坦克等级成长!$F137*VLOOKUP($Z$2,坦克等级成长!$B$36:$G$42,MATCH(AI$3,坦克等级成长!$B$35:$G$35,0)),0)</f>
        <v>1816</v>
      </c>
      <c r="AJ40" s="33">
        <f>ROUND(坦克等级成长!$F137*VLOOKUP($Z$2,坦克等级成长!$B$36:$G$42,MATCH(AJ$3,坦克等级成长!$B$35:$G$35,0)),0)</f>
        <v>96</v>
      </c>
      <c r="AK40" s="33">
        <f>ROUND(坦克等级成长!$F137*VLOOKUP($Z$2,坦克等级成长!$B$36:$G$42,MATCH(AK$3,坦克等级成长!$B$35:$G$35,0)),0)</f>
        <v>746</v>
      </c>
      <c r="AL40" s="33">
        <f t="shared" si="8"/>
        <v>746</v>
      </c>
      <c r="AM40" s="33">
        <v>561</v>
      </c>
      <c r="AN40" s="33">
        <f>ROUND(坦克等级成长!$F137*VLOOKUP($Z$2,坦克等级成长!$B$36:$G$42,MATCH(AN$3,坦克等级成长!$B$35:$G$35,0)),0)</f>
        <v>681</v>
      </c>
      <c r="AO40" s="33">
        <f>ROUND(坦克等级成长!$F137*VLOOKUP($Z$2,坦克等级成长!$B$36:$G$42,MATCH(AO$3,坦克等级成长!$B$35:$G$35,0)),0)</f>
        <v>182</v>
      </c>
      <c r="AP40" s="192">
        <v>5</v>
      </c>
      <c r="AQ40" s="33">
        <f>ROUND(坦克等级成长!$H137*VLOOKUP($Z$2,坦克等级成长!$B$36:$G$42,MATCH(AQ$3,坦克等级成长!$B$35:$G$35,0)),0)</f>
        <v>1848</v>
      </c>
      <c r="AR40" s="33">
        <f>ROUND(坦克等级成长!$H137*VLOOKUP($Z$2,坦克等级成长!$B$36:$G$42,MATCH(AR$3,坦克等级成长!$B$35:$G$35,0)),0)</f>
        <v>98</v>
      </c>
      <c r="AS40" s="33">
        <f>ROUND(坦克等级成长!$H137*VLOOKUP($Z$2,坦克等级成长!$B$36:$G$42,MATCH(AS$3,坦克等级成长!$B$35:$G$35,0)),0)</f>
        <v>759</v>
      </c>
      <c r="AT40" s="33">
        <f t="shared" si="22"/>
        <v>759</v>
      </c>
      <c r="AU40" s="33">
        <v>561</v>
      </c>
      <c r="AV40" s="33">
        <f>ROUND(坦克等级成长!$H137*VLOOKUP($Z$2,坦克等级成长!$B$36:$G$42,MATCH(AV$3,坦克等级成长!$B$35:$G$35,0)),0)</f>
        <v>693</v>
      </c>
      <c r="AW40" s="33">
        <f>ROUND(坦克等级成长!$H137*VLOOKUP($Z$2,坦克等级成长!$B$36:$G$42,MATCH(AW$3,坦克等级成长!$B$35:$G$35,0)),0)</f>
        <v>185</v>
      </c>
      <c r="AX40" s="192">
        <v>5</v>
      </c>
      <c r="AY40" s="33">
        <f>ROUND(坦克等级成长!$D137*VLOOKUP($AX$2,坦克等级成长!$B$36:$G$42,MATCH(AY$3,坦克等级成长!$B$35:$G$35,0)),0)</f>
        <v>1784</v>
      </c>
      <c r="AZ40" s="33">
        <f>ROUND(坦克等级成长!$D137*VLOOKUP($AX$2,坦克等级成长!$B$36:$G$42,MATCH(AZ$3,坦克等级成长!$B$35:$G$35,0)),0)</f>
        <v>178</v>
      </c>
      <c r="BA40" s="33">
        <f>ROUND(坦克等级成长!$D137*VLOOKUP($AX$2,坦克等级成长!$B$36:$G$42,MATCH(BA$3,坦克等级成长!$B$35:$G$35,0)),0)</f>
        <v>669</v>
      </c>
      <c r="BB40" s="33">
        <f t="shared" si="30"/>
        <v>669</v>
      </c>
      <c r="BC40" s="33">
        <v>495.6</v>
      </c>
      <c r="BD40" s="33">
        <f>ROUND(坦克等级成长!$D137*VLOOKUP($AX$2,坦克等级成长!$B$36:$G$42,MATCH(BD$3,坦克等级成长!$B$35:$G$35,0)),0)</f>
        <v>669</v>
      </c>
      <c r="BE40" s="33">
        <f>ROUND(坦克等级成长!$D137*VLOOKUP($AX$2,坦克等级成长!$B$36:$G$42,MATCH(BE$3,坦克等级成长!$B$35:$G$35,0)),0)</f>
        <v>178</v>
      </c>
      <c r="BF40" s="199">
        <v>5</v>
      </c>
      <c r="BG40" s="33">
        <f>ROUND(坦克等级成长!$F137*VLOOKUP($AX$2,坦克等级成长!$B$36:$G$42,MATCH(BG$3,坦克等级成长!$B$35:$G$35,0)),0)</f>
        <v>1816</v>
      </c>
      <c r="BH40" s="33">
        <f>ROUND(坦克等级成长!$F137*VLOOKUP($AX$2,坦克等级成长!$B$36:$G$42,MATCH(BH$3,坦克等级成长!$B$35:$G$35,0)),0)</f>
        <v>181</v>
      </c>
      <c r="BI40" s="33">
        <f>ROUND(坦克等级成长!$F137*VLOOKUP($AX$2,坦克等级成长!$B$36:$G$42,MATCH(BI$3,坦克等级成长!$B$35:$G$35,0)),0)</f>
        <v>681</v>
      </c>
      <c r="BJ40" s="33">
        <f t="shared" si="9"/>
        <v>681</v>
      </c>
      <c r="BK40" s="33">
        <v>512</v>
      </c>
      <c r="BL40" s="33">
        <f>ROUND(坦克等级成长!$F137*VLOOKUP($AX$2,坦克等级成长!$B$36:$G$42,MATCH(BL$3,坦克等级成长!$B$35:$G$35,0)),0)</f>
        <v>681</v>
      </c>
      <c r="BM40" s="33">
        <f>ROUND(坦克等级成长!$F137*VLOOKUP($AX$2,坦克等级成长!$B$36:$G$42,MATCH(BM$3,坦克等级成长!$B$35:$G$35,0)),0)</f>
        <v>182</v>
      </c>
      <c r="BN40" s="192">
        <v>5</v>
      </c>
      <c r="BO40" s="33">
        <f>ROUND(坦克等级成长!$H137*VLOOKUP($AX$2,坦克等级成长!$B$36:$G$42,MATCH(BO$3,坦克等级成长!$B$35:$G$35,0)),0)</f>
        <v>1848</v>
      </c>
      <c r="BP40" s="33">
        <f>ROUND(坦克等级成长!$H137*VLOOKUP($AX$2,坦克等级成长!$B$36:$G$42,MATCH(BP$3,坦克等级成长!$B$35:$G$35,0)),0)</f>
        <v>184</v>
      </c>
      <c r="BQ40" s="33">
        <f>ROUND(坦克等级成长!$H137*VLOOKUP($AX$2,坦克等级成长!$B$36:$G$42,MATCH(BQ$3,坦克等级成长!$B$35:$G$35,0)),0)</f>
        <v>693</v>
      </c>
      <c r="BR40" s="33">
        <f t="shared" si="23"/>
        <v>693</v>
      </c>
      <c r="BS40" s="33">
        <v>512</v>
      </c>
      <c r="BT40" s="33">
        <f>ROUND(坦克等级成长!$H137*VLOOKUP($AX$2,坦克等级成长!$B$36:$G$42,MATCH(BT$3,坦克等级成长!$B$35:$G$35,0)),0)</f>
        <v>693</v>
      </c>
      <c r="BU40" s="33">
        <f>ROUND(坦克等级成长!$H137*VLOOKUP($AX$2,坦克等级成长!$B$36:$G$42,MATCH(BU$3,坦克等级成长!$B$35:$G$35,0)),0)</f>
        <v>185</v>
      </c>
      <c r="BV40" s="192">
        <v>5</v>
      </c>
      <c r="BW40" s="33">
        <f>ROUND(坦克等级成长!$D137*VLOOKUP($BV$2,坦克等级成长!$B$36:$G$42,MATCH(BW$3,坦克等级成长!$B$35:$G$35,0)),0)</f>
        <v>1926</v>
      </c>
      <c r="BX40" s="33">
        <f>ROUND(坦克等级成长!$D137*VLOOKUP($BV$2,坦克等级成长!$B$36:$G$42,MATCH(BX$3,坦克等级成长!$B$35:$G$35,0)),0)</f>
        <v>166</v>
      </c>
      <c r="BY40" s="33">
        <f>ROUND(坦克等级成长!$D137*VLOOKUP($BV$2,坦克等级成长!$B$36:$G$42,MATCH(BY$3,坦克等级成长!$B$35:$G$35,0)),0)</f>
        <v>637</v>
      </c>
      <c r="BZ40" s="33">
        <f t="shared" si="31"/>
        <v>637</v>
      </c>
      <c r="CA40" s="33">
        <v>505.5</v>
      </c>
      <c r="CB40" s="33">
        <f>ROUND(坦克等级成长!$D137*VLOOKUP($BV$2,坦克等级成长!$B$36:$G$42,MATCH(CB$3,坦克等级成长!$B$35:$G$35,0)),0)</f>
        <v>803</v>
      </c>
      <c r="CC40" s="33">
        <f>ROUND(坦克等级成长!$D137*VLOOKUP($BV$2,坦克等级成长!$B$36:$G$42,MATCH(CC$3,坦克等级成长!$B$35:$G$35,0)),0)</f>
        <v>193</v>
      </c>
      <c r="CD40" s="199">
        <v>5</v>
      </c>
      <c r="CE40" s="33">
        <f>ROUND(坦克等级成长!$F137*VLOOKUP($BV$2,坦克等级成长!$B$36:$G$42,MATCH(CE$3,坦克等级成长!$B$35:$G$35,0)),0)</f>
        <v>1960</v>
      </c>
      <c r="CF40" s="33">
        <f>ROUND(坦克等级成长!$F137*VLOOKUP($BV$2,坦克等级成长!$B$36:$G$42,MATCH(CF$3,坦克等级成长!$B$35:$G$35,0)),0)</f>
        <v>169</v>
      </c>
      <c r="CG40" s="33">
        <f>ROUND(坦克等级成长!$F137*VLOOKUP($BV$2,坦克等级成长!$B$36:$G$42,MATCH(CG$3,坦克等级成长!$B$35:$G$35,0)),0)</f>
        <v>649</v>
      </c>
      <c r="CH40" s="33">
        <f t="shared" si="10"/>
        <v>649</v>
      </c>
      <c r="CI40" s="33">
        <v>523</v>
      </c>
      <c r="CJ40" s="33">
        <f>ROUND(坦克等级成长!$F137*VLOOKUP($BV$2,坦克等级成长!$B$36:$G$42,MATCH(CJ$3,坦克等级成长!$B$35:$G$35,0)),0)</f>
        <v>817</v>
      </c>
      <c r="CK40" s="33">
        <f>ROUND(坦克等级成长!$F137*VLOOKUP($BV$2,坦克等级成长!$B$36:$G$42,MATCH(CK$3,坦克等级成长!$B$35:$G$35,0)),0)</f>
        <v>196</v>
      </c>
      <c r="CL40" s="192">
        <v>5</v>
      </c>
      <c r="CM40" s="33">
        <f>ROUND(坦克等级成长!$H137*VLOOKUP($BV$2,坦克等级成长!$B$36:$G$42,MATCH(CM$3,坦克等级成长!$B$35:$G$35,0)),0)</f>
        <v>1995</v>
      </c>
      <c r="CN40" s="33">
        <f>ROUND(坦克等级成长!$H137*VLOOKUP($BV$2,坦克等级成长!$B$36:$G$42,MATCH(CN$3,坦克等级成长!$B$35:$G$35,0)),0)</f>
        <v>171</v>
      </c>
      <c r="CO40" s="33">
        <f>ROUND(坦克等级成长!$H137*VLOOKUP($BV$2,坦克等级成长!$B$36:$G$42,MATCH(CO$3,坦克等级成长!$B$35:$G$35,0)),0)</f>
        <v>660</v>
      </c>
      <c r="CP40" s="33">
        <f t="shared" si="24"/>
        <v>660</v>
      </c>
      <c r="CQ40" s="33">
        <v>523</v>
      </c>
      <c r="CR40" s="33">
        <f>ROUND(坦克等级成长!$H137*VLOOKUP($BV$2,坦克等级成长!$B$36:$G$42,MATCH(CR$3,坦克等级成长!$B$35:$G$35,0)),0)</f>
        <v>832</v>
      </c>
      <c r="CS40" s="33">
        <f>ROUND(坦克等级成长!$H137*VLOOKUP($BV$2,坦克等级成长!$B$36:$G$42,MATCH(CS$3,坦克等级成长!$B$35:$G$35,0)),0)</f>
        <v>199</v>
      </c>
      <c r="CT40" s="192">
        <v>5</v>
      </c>
      <c r="CU40" s="33">
        <f>ROUND(坦克等级成长!$D137*VLOOKUP($CT$2,坦克等级成长!$B$36:$G$42,MATCH(CU$3,坦克等级成长!$B$35:$G$35,0)),0)</f>
        <v>1784</v>
      </c>
      <c r="CV40" s="33">
        <f>ROUND(坦克等级成长!$D137*VLOOKUP($CT$2,坦克等级成长!$B$36:$G$42,MATCH(CV$3,坦克等级成长!$B$35:$G$35,0)),0)</f>
        <v>359</v>
      </c>
      <c r="CW40" s="33">
        <f>ROUND(坦克等级成长!$D137*VLOOKUP($CT$2,坦克等级成长!$B$36:$G$42,MATCH(CW$3,坦克等级成长!$B$35:$G$35,0)),0)</f>
        <v>796</v>
      </c>
      <c r="CX40" s="33">
        <f t="shared" si="32"/>
        <v>796</v>
      </c>
      <c r="CY40" s="33">
        <v>632.25</v>
      </c>
      <c r="CZ40" s="33">
        <f>ROUND(坦克等级成长!$D137*VLOOKUP($CT$2,坦克等级成长!$B$36:$G$42,MATCH(CZ$3,坦克等级成长!$B$35:$G$35,0)),0)</f>
        <v>669</v>
      </c>
      <c r="DA40" s="33">
        <f>ROUND(坦克等级成长!$D137*VLOOKUP($CT$2,坦克等级成长!$B$36:$G$42,MATCH(DA$3,坦克等级成长!$B$35:$G$35,0)),0)</f>
        <v>178</v>
      </c>
      <c r="DB40" s="199">
        <v>5</v>
      </c>
      <c r="DC40" s="33">
        <f>ROUND(坦克等级成长!$F137*VLOOKUP($CT$2,坦克等级成长!$B$36:$G$42,MATCH(DC$3,坦克等级成长!$B$35:$G$35,0)),0)</f>
        <v>1816</v>
      </c>
      <c r="DD40" s="33">
        <f>ROUND(坦克等级成长!$F137*VLOOKUP($CT$2,坦克等级成长!$B$36:$G$42,MATCH(DD$3,坦克等级成长!$B$35:$G$35,0)),0)</f>
        <v>366</v>
      </c>
      <c r="DE40" s="33">
        <f>ROUND(坦克等级成长!$F137*VLOOKUP($CT$2,坦克等级成长!$B$36:$G$42,MATCH(DE$3,坦克等级成长!$B$35:$G$35,0)),0)</f>
        <v>811</v>
      </c>
      <c r="DF40" s="33">
        <f t="shared" si="11"/>
        <v>811</v>
      </c>
      <c r="DG40" s="33">
        <v>653</v>
      </c>
      <c r="DH40" s="33">
        <f>ROUND(坦克等级成长!$F137*VLOOKUP($CT$2,坦克等级成长!$B$36:$G$42,MATCH(DH$3,坦克等级成长!$B$35:$G$35,0)),0)</f>
        <v>681</v>
      </c>
      <c r="DI40" s="33">
        <f>ROUND(坦克等级成长!$F137*VLOOKUP($CT$2,坦克等级成长!$B$36:$G$42,MATCH(DI$3,坦克等级成长!$B$35:$G$35,0)),0)</f>
        <v>182</v>
      </c>
      <c r="DJ40" s="192">
        <v>5</v>
      </c>
      <c r="DK40" s="33">
        <f>ROUND(坦克等级成长!$H137*VLOOKUP($CT$2,坦克等级成长!$B$36:$G$42,MATCH(DK$3,坦克等级成长!$B$35:$G$35,0)),0)</f>
        <v>1848</v>
      </c>
      <c r="DL40" s="33">
        <f>ROUND(坦克等级成长!$H137*VLOOKUP($CT$2,坦克等级成长!$B$36:$G$42,MATCH(DL$3,坦克等级成长!$B$35:$G$35,0)),0)</f>
        <v>372</v>
      </c>
      <c r="DM40" s="33">
        <f>ROUND(坦克等级成长!$H137*VLOOKUP($CT$2,坦克等级成长!$B$36:$G$42,MATCH(DM$3,坦克等级成长!$B$35:$G$35,0)),0)</f>
        <v>825</v>
      </c>
      <c r="DN40" s="33">
        <f t="shared" si="25"/>
        <v>825</v>
      </c>
      <c r="DO40" s="33">
        <v>653</v>
      </c>
      <c r="DP40" s="33">
        <f>ROUND(坦克等级成长!$H137*VLOOKUP($CT$2,坦克等级成长!$B$36:$G$42,MATCH(DP$3,坦克等级成长!$B$35:$G$35,0)),0)</f>
        <v>693</v>
      </c>
      <c r="DQ40" s="33">
        <f>ROUND(坦克等级成长!$H137*VLOOKUP($CT$2,坦克等级成长!$B$36:$G$42,MATCH(DQ$3,坦克等级成长!$B$35:$G$35,0)),0)</f>
        <v>185</v>
      </c>
      <c r="DR40" s="192">
        <v>5</v>
      </c>
      <c r="DS40" s="33">
        <f>ROUND(坦克等级成长!$D137*VLOOKUP($DR$2,坦克等级成长!$B$36:$G$42,MATCH(DS$3,坦克等级成长!$B$35:$G$35,0)),0)</f>
        <v>2182</v>
      </c>
      <c r="DT40" s="33">
        <f>ROUND(坦克等级成长!$D137*VLOOKUP($DR$2,坦克等级成长!$B$36:$G$42,MATCH(DT$3,坦克等级成长!$B$35:$G$35,0)),0)</f>
        <v>598</v>
      </c>
      <c r="DU40" s="33">
        <f>ROUND(坦克等级成长!$D137*VLOOKUP($DR$2,坦克等级成长!$B$36:$G$42,MATCH(DU$3,坦克等级成长!$B$35:$G$35,0)),0)</f>
        <v>637</v>
      </c>
      <c r="DV40" s="33">
        <f t="shared" si="33"/>
        <v>637</v>
      </c>
      <c r="DW40" s="33">
        <v>539.20000000000005</v>
      </c>
      <c r="DX40" s="33">
        <f>ROUND(坦克等级成长!$D137*VLOOKUP($DR$2,坦克等级成长!$B$36:$G$42,MATCH(DX$3,坦克等级成长!$B$35:$G$35,0)),0)</f>
        <v>937</v>
      </c>
      <c r="DY40" s="33">
        <f>ROUND(坦克等级成长!$D137*VLOOKUP($DR$2,坦克等级成长!$B$36:$G$42,MATCH(DY$3,坦克等级成长!$B$35:$G$35,0)),0)</f>
        <v>218</v>
      </c>
      <c r="DZ40" s="199">
        <v>5</v>
      </c>
      <c r="EA40" s="33">
        <f>ROUND(坦克等级成长!$F137*VLOOKUP($DR$2,坦克等级成长!$B$36:$G$42,MATCH(EA$3,坦克等级成长!$B$35:$G$35,0)),0)</f>
        <v>2222</v>
      </c>
      <c r="EB40" s="33">
        <f>ROUND(坦克等级成长!$F137*VLOOKUP($DR$2,坦克等级成长!$B$36:$G$42,MATCH(EB$3,坦克等级成长!$B$35:$G$35,0)),0)</f>
        <v>609</v>
      </c>
      <c r="EC40" s="33">
        <f>ROUND(坦克等级成长!$F137*VLOOKUP($DR$2,坦克等级成长!$B$36:$G$42,MATCH(EC$3,坦克等级成长!$B$35:$G$35,0)),0)</f>
        <v>649</v>
      </c>
      <c r="ED40" s="33">
        <f t="shared" si="12"/>
        <v>649</v>
      </c>
      <c r="EE40" s="33">
        <v>558</v>
      </c>
      <c r="EF40" s="33">
        <f>ROUND(坦克等级成长!$F137*VLOOKUP($DR$2,坦克等级成长!$B$36:$G$42,MATCH(EF$3,坦克等级成长!$B$35:$G$35,0)),0)</f>
        <v>953</v>
      </c>
      <c r="EG40" s="33">
        <f>ROUND(坦克等级成长!$F137*VLOOKUP($DR$2,坦克等级成长!$B$36:$G$42,MATCH(EG$3,坦克等级成长!$B$35:$G$35,0)),0)</f>
        <v>222</v>
      </c>
      <c r="EH40" s="192">
        <v>5</v>
      </c>
      <c r="EI40" s="33">
        <f>ROUND(坦克等级成长!$H137*VLOOKUP($DR$2,坦克等级成长!$B$36:$G$42,MATCH(EI$3,坦克等级成长!$B$35:$G$35,0)),0)</f>
        <v>2261</v>
      </c>
      <c r="EJ40" s="33">
        <f>ROUND(坦克等级成长!$H137*VLOOKUP($DR$2,坦克等级成长!$B$36:$G$42,MATCH(EJ$3,坦克等级成长!$B$35:$G$35,0)),0)</f>
        <v>619</v>
      </c>
      <c r="EK40" s="33">
        <f>ROUND(坦克等级成长!$H137*VLOOKUP($DR$2,坦克等级成长!$B$36:$G$42,MATCH(EK$3,坦克等级成长!$B$35:$G$35,0)),0)</f>
        <v>660</v>
      </c>
      <c r="EL40" s="33">
        <f t="shared" si="26"/>
        <v>660</v>
      </c>
      <c r="EM40" s="33">
        <v>558</v>
      </c>
      <c r="EN40" s="33">
        <f>ROUND(坦克等级成长!$H137*VLOOKUP($DR$2,坦克等级成长!$B$36:$G$42,MATCH(EN$3,坦克等级成长!$B$35:$G$35,0)),0)</f>
        <v>970</v>
      </c>
      <c r="EO40" s="33">
        <f>ROUND(坦克等级成长!$H137*VLOOKUP($DR$2,坦克等级成长!$B$36:$G$42,MATCH(EO$3,坦克等级成长!$B$35:$G$35,0)),0)</f>
        <v>226</v>
      </c>
      <c r="EP40" s="192">
        <v>5</v>
      </c>
      <c r="EQ40" s="33">
        <f>ROUND(坦克等级成长!$D137*VLOOKUP($EP$2,坦克等级成长!$B$36:$G$42,MATCH(EQ$3,坦克等级成长!$B$35:$G$35,0)),0)</f>
        <v>1926</v>
      </c>
      <c r="ER40" s="33">
        <f>ROUND(坦克等级成长!$D137*VLOOKUP($EP$2,坦克等级成长!$B$36:$G$42,MATCH(ER$3,坦克等级成长!$B$35:$G$35,0)),0)</f>
        <v>198</v>
      </c>
      <c r="ES40" s="33">
        <f>ROUND(坦克等级成长!$D137*VLOOKUP($EP$2,坦克等级成长!$B$36:$G$42,MATCH(ES$3,坦克等级成长!$B$35:$G$35,0)),0)</f>
        <v>733</v>
      </c>
      <c r="ET40" s="33">
        <f t="shared" si="34"/>
        <v>733</v>
      </c>
      <c r="EU40" s="33">
        <v>581.25</v>
      </c>
      <c r="EV40" s="33">
        <f>ROUND(坦克等级成长!$D137*VLOOKUP($EP$2,坦克等级成长!$B$36:$G$42,MATCH(EV$3,坦克等级成长!$B$35:$G$35,0)),0)</f>
        <v>803</v>
      </c>
      <c r="EW40" s="33">
        <f>ROUND(坦克等级成长!$D137*VLOOKUP($EP$2,坦克等级成长!$B$36:$G$42,MATCH(EW$3,坦克等级成长!$B$35:$G$35,0)),0)</f>
        <v>193</v>
      </c>
      <c r="EX40" s="199">
        <v>5</v>
      </c>
      <c r="EY40" s="33">
        <f>ROUND(坦克等级成长!$F137*VLOOKUP($EP$2,坦克等级成长!$B$36:$G$42,MATCH(EY$3,坦克等级成长!$B$35:$G$35,0)),0)</f>
        <v>1960</v>
      </c>
      <c r="EZ40" s="33">
        <f>ROUND(坦克等级成长!$F137*VLOOKUP($EP$2,坦克等级成长!$B$36:$G$42,MATCH(EZ$3,坦克等级成长!$B$35:$G$35,0)),0)</f>
        <v>202</v>
      </c>
      <c r="FA40" s="33">
        <f>ROUND(坦克等级成长!$F137*VLOOKUP($EP$2,坦克等级成长!$B$36:$G$42,MATCH(FA$3,坦克等级成长!$B$35:$G$35,0)),0)</f>
        <v>746</v>
      </c>
      <c r="FB40" s="33">
        <f t="shared" si="13"/>
        <v>746</v>
      </c>
      <c r="FC40" s="33">
        <v>602</v>
      </c>
      <c r="FD40" s="33">
        <f>ROUND(坦克等级成长!$F137*VLOOKUP($EP$2,坦克等级成长!$B$36:$G$42,MATCH(FD$3,坦克等级成长!$B$35:$G$35,0)),0)</f>
        <v>817</v>
      </c>
      <c r="FE40" s="33">
        <f>ROUND(坦克等级成长!$F137*VLOOKUP($EP$2,坦克等级成长!$B$36:$G$42,MATCH(FE$3,坦克等级成长!$B$35:$G$35,0)),0)</f>
        <v>196</v>
      </c>
      <c r="FF40" s="192">
        <v>5</v>
      </c>
      <c r="FG40" s="33">
        <f>ROUND(坦克等级成长!$H137*VLOOKUP($EP$2,坦克等级成长!$B$36:$G$42,MATCH(FG$3,坦克等级成长!$B$35:$G$35,0)),0)</f>
        <v>1995</v>
      </c>
      <c r="FH40" s="33">
        <f>ROUND(坦克等级成长!$H137*VLOOKUP($EP$2,坦克等级成长!$B$36:$G$42,MATCH(FH$3,坦克等级成长!$B$35:$G$35,0)),0)</f>
        <v>205</v>
      </c>
      <c r="FI40" s="33">
        <f>ROUND(坦克等级成长!$H137*VLOOKUP($EP$2,坦克等级成长!$B$36:$G$42,MATCH(FI$3,坦克等级成长!$B$35:$G$35,0)),0)</f>
        <v>759</v>
      </c>
      <c r="FJ40" s="33">
        <f t="shared" si="27"/>
        <v>759</v>
      </c>
      <c r="FK40" s="33">
        <v>602</v>
      </c>
      <c r="FL40" s="33">
        <f>ROUND(坦克等级成长!$H137*VLOOKUP($EP$2,坦克等级成长!$B$36:$G$42,MATCH(FL$3,坦克等级成长!$B$35:$G$35,0)),0)</f>
        <v>832</v>
      </c>
      <c r="FM40" s="33">
        <f>ROUND(坦克等级成长!$H137*VLOOKUP($EP$2,坦克等级成长!$B$36:$G$42,MATCH(FM$3,坦克等级成长!$B$35:$G$35,0)),0)</f>
        <v>199</v>
      </c>
    </row>
    <row r="41" spans="1:169" ht="14.25" x14ac:dyDescent="0.3">
      <c r="A41" s="189">
        <v>4</v>
      </c>
      <c r="B41" s="192">
        <v>6</v>
      </c>
      <c r="C41" s="33">
        <f>ROUND(坦克等级成长!$D138*VLOOKUP($B$2,坦克等级成长!$B$36:$G$42,MATCH(C$3,坦克等级成长!$B$35:$G$35,0)),0)</f>
        <v>1864</v>
      </c>
      <c r="D41" s="33">
        <f>ROUND(坦克等级成长!$D138*VLOOKUP($B$2,坦克等级成长!$B$36:$G$42,MATCH(D$3,坦克等级成长!$B$35:$G$35,0)),0)</f>
        <v>186</v>
      </c>
      <c r="E41" s="33">
        <f>ROUND(坦克等级成长!$D138*VLOOKUP($B$2,坦克等级成长!$B$36:$G$42,MATCH(E$3,坦克等级成长!$B$35:$G$35,0)),0)</f>
        <v>699</v>
      </c>
      <c r="F41" s="33">
        <f t="shared" si="28"/>
        <v>699</v>
      </c>
      <c r="G41" s="33">
        <v>518.70000000000005</v>
      </c>
      <c r="H41" s="33">
        <f>ROUND(坦克等级成长!$D138*VLOOKUP($B$2,坦克等级成长!$B$36:$G$42,MATCH(H$3,坦克等级成长!$B$35:$G$35,0)),0)</f>
        <v>699</v>
      </c>
      <c r="I41" s="33">
        <f>ROUND(坦克等级成长!$D138*VLOOKUP($B$2,坦克等级成长!$B$36:$G$42,MATCH(I$3,坦克等级成长!$B$35:$G$35,0)),0)</f>
        <v>186</v>
      </c>
      <c r="J41" s="199">
        <v>6</v>
      </c>
      <c r="K41" s="33">
        <f>ROUND(坦克等级成长!$F138*VLOOKUP($B$2,坦克等级成长!$B$36:$G$42,MATCH(K$3,坦克等级成长!$B$35:$G$35,0)),0)</f>
        <v>1896</v>
      </c>
      <c r="L41" s="33">
        <f>ROUND(坦克等级成长!$F138*VLOOKUP($B$2,坦克等级成长!$B$36:$G$42,MATCH(L$3,坦克等级成长!$B$35:$G$35,0)),0)</f>
        <v>189</v>
      </c>
      <c r="M41" s="33">
        <f>ROUND(坦克等级成长!$F138*VLOOKUP($B$2,坦克等级成长!$B$36:$G$42,MATCH(M$3,坦克等级成长!$B$35:$G$35,0)),0)</f>
        <v>711</v>
      </c>
      <c r="N41" s="33">
        <f t="shared" si="7"/>
        <v>711</v>
      </c>
      <c r="O41" s="33">
        <v>536</v>
      </c>
      <c r="P41" s="33">
        <f>ROUND(坦克等级成长!$F138*VLOOKUP($B$2,坦克等级成长!$B$36:$G$42,MATCH(P$3,坦克等级成长!$B$35:$G$35,0)),0)</f>
        <v>711</v>
      </c>
      <c r="Q41" s="33">
        <f>ROUND(坦克等级成长!$F138*VLOOKUP($B$2,坦克等级成长!$B$36:$G$42,MATCH(Q$3,坦克等级成长!$B$35:$G$35,0)),0)</f>
        <v>190</v>
      </c>
      <c r="R41" s="192">
        <v>6</v>
      </c>
      <c r="S41" s="33">
        <f>ROUND(坦克等级成长!$H138*VLOOKUP($B$2,坦克等级成长!$B$36:$G$42,MATCH(S$3,坦克等级成长!$B$35:$G$35,0)),0)</f>
        <v>1928</v>
      </c>
      <c r="T41" s="33">
        <f>ROUND(坦克等级成长!$H138*VLOOKUP($B$2,坦克等级成长!$B$36:$G$42,MATCH(T$3,坦克等级成长!$B$35:$G$35,0)),0)</f>
        <v>192</v>
      </c>
      <c r="U41" s="33">
        <f>ROUND(坦克等级成长!$H138*VLOOKUP($B$2,坦克等级成长!$B$36:$G$42,MATCH(U$3,坦克等级成长!$B$35:$G$35,0)),0)</f>
        <v>723</v>
      </c>
      <c r="V41" s="33">
        <f t="shared" si="21"/>
        <v>723</v>
      </c>
      <c r="W41" s="33">
        <v>536</v>
      </c>
      <c r="X41" s="33">
        <f>ROUND(坦克等级成长!$H138*VLOOKUP($B$2,坦克等级成长!$B$36:$G$42,MATCH(X$3,坦克等级成长!$B$35:$G$35,0)),0)</f>
        <v>723</v>
      </c>
      <c r="Y41" s="33">
        <f>ROUND(坦克等级成长!$H138*VLOOKUP($B$2,坦克等级成长!$B$36:$G$42,MATCH(Y$3,坦克等级成长!$B$35:$G$35,0)),0)</f>
        <v>193</v>
      </c>
      <c r="Z41" s="192">
        <v>6</v>
      </c>
      <c r="AA41" s="33">
        <f>ROUND(坦克等级成长!$D138*VLOOKUP($Z$2,坦克等级成长!$B$36:$G$42,MATCH(AA$3,坦克等级成长!$B$35:$G$35,0)),0)</f>
        <v>1864</v>
      </c>
      <c r="AB41" s="33">
        <f>ROUND(坦克等级成长!$D138*VLOOKUP($Z$2,坦克等级成长!$B$36:$G$42,MATCH(AB$3,坦克等级成长!$B$35:$G$35,0)),0)</f>
        <v>99</v>
      </c>
      <c r="AC41" s="33">
        <f>ROUND(坦克等级成长!$D138*VLOOKUP($Z$2,坦克等级成长!$B$36:$G$42,MATCH(AC$3,坦克等级成长!$B$35:$G$35,0)),0)</f>
        <v>766</v>
      </c>
      <c r="AD41" s="33">
        <f t="shared" si="29"/>
        <v>766</v>
      </c>
      <c r="AE41" s="33">
        <v>568.4</v>
      </c>
      <c r="AF41" s="33">
        <f>ROUND(坦克等级成长!$D138*VLOOKUP($Z$2,坦克等级成长!$B$36:$G$42,MATCH(AF$3,坦克等级成长!$B$35:$G$35,0)),0)</f>
        <v>699</v>
      </c>
      <c r="AG41" s="33">
        <f>ROUND(坦克等级成长!$D138*VLOOKUP($Z$2,坦克等级成长!$B$36:$G$42,MATCH(AG$3,坦克等级成长!$B$35:$G$35,0)),0)</f>
        <v>186</v>
      </c>
      <c r="AH41" s="199">
        <v>6</v>
      </c>
      <c r="AI41" s="33">
        <f>ROUND(坦克等级成长!$F138*VLOOKUP($Z$2,坦克等级成长!$B$36:$G$42,MATCH(AI$3,坦克等级成长!$B$35:$G$35,0)),0)</f>
        <v>1896</v>
      </c>
      <c r="AJ41" s="33">
        <f>ROUND(坦克等级成长!$F138*VLOOKUP($Z$2,坦克等级成长!$B$36:$G$42,MATCH(AJ$3,坦克等级成长!$B$35:$G$35,0)),0)</f>
        <v>101</v>
      </c>
      <c r="AK41" s="33">
        <f>ROUND(坦克等级成长!$F138*VLOOKUP($Z$2,坦克等级成长!$B$36:$G$42,MATCH(AK$3,坦克等级成长!$B$35:$G$35,0)),0)</f>
        <v>779</v>
      </c>
      <c r="AL41" s="33">
        <f t="shared" si="8"/>
        <v>779</v>
      </c>
      <c r="AM41" s="33">
        <v>587</v>
      </c>
      <c r="AN41" s="33">
        <f>ROUND(坦克等级成长!$F138*VLOOKUP($Z$2,坦克等级成长!$B$36:$G$42,MATCH(AN$3,坦克等级成长!$B$35:$G$35,0)),0)</f>
        <v>711</v>
      </c>
      <c r="AO41" s="33">
        <f>ROUND(坦克等级成长!$F138*VLOOKUP($Z$2,坦克等级成长!$B$36:$G$42,MATCH(AO$3,坦克等级成长!$B$35:$G$35,0)),0)</f>
        <v>190</v>
      </c>
      <c r="AP41" s="192">
        <v>6</v>
      </c>
      <c r="AQ41" s="33">
        <f>ROUND(坦克等级成长!$H138*VLOOKUP($Z$2,坦克等级成长!$B$36:$G$42,MATCH(AQ$3,坦克等级成长!$B$35:$G$35,0)),0)</f>
        <v>1928</v>
      </c>
      <c r="AR41" s="33">
        <f>ROUND(坦克等级成长!$H138*VLOOKUP($Z$2,坦克等级成长!$B$36:$G$42,MATCH(AR$3,坦克等级成长!$B$35:$G$35,0)),0)</f>
        <v>102</v>
      </c>
      <c r="AS41" s="33">
        <f>ROUND(坦克等级成长!$H138*VLOOKUP($Z$2,坦克等级成长!$B$36:$G$42,MATCH(AS$3,坦克等级成长!$B$35:$G$35,0)),0)</f>
        <v>792</v>
      </c>
      <c r="AT41" s="33">
        <f t="shared" si="22"/>
        <v>792</v>
      </c>
      <c r="AU41" s="33">
        <v>587</v>
      </c>
      <c r="AV41" s="33">
        <f>ROUND(坦克等级成长!$H138*VLOOKUP($Z$2,坦克等级成长!$B$36:$G$42,MATCH(AV$3,坦克等级成长!$B$35:$G$35,0)),0)</f>
        <v>723</v>
      </c>
      <c r="AW41" s="33">
        <f>ROUND(坦克等级成长!$H138*VLOOKUP($Z$2,坦克等级成长!$B$36:$G$42,MATCH(AW$3,坦克等级成长!$B$35:$G$35,0)),0)</f>
        <v>193</v>
      </c>
      <c r="AX41" s="192">
        <v>6</v>
      </c>
      <c r="AY41" s="33">
        <f>ROUND(坦克等级成长!$D138*VLOOKUP($AX$2,坦克等级成长!$B$36:$G$42,MATCH(AY$3,坦克等级成长!$B$35:$G$35,0)),0)</f>
        <v>1864</v>
      </c>
      <c r="AZ41" s="33">
        <f>ROUND(坦克等级成长!$D138*VLOOKUP($AX$2,坦克等级成长!$B$36:$G$42,MATCH(AZ$3,坦克等级成长!$B$35:$G$35,0)),0)</f>
        <v>186</v>
      </c>
      <c r="BA41" s="33">
        <f>ROUND(坦克等级成长!$D138*VLOOKUP($AX$2,坦克等级成长!$B$36:$G$42,MATCH(BA$3,坦克等级成长!$B$35:$G$35,0)),0)</f>
        <v>699</v>
      </c>
      <c r="BB41" s="33">
        <f t="shared" si="30"/>
        <v>699</v>
      </c>
      <c r="BC41" s="33">
        <v>518.70000000000005</v>
      </c>
      <c r="BD41" s="33">
        <f>ROUND(坦克等级成长!$D138*VLOOKUP($AX$2,坦克等级成长!$B$36:$G$42,MATCH(BD$3,坦克等级成长!$B$35:$G$35,0)),0)</f>
        <v>699</v>
      </c>
      <c r="BE41" s="33">
        <f>ROUND(坦克等级成长!$D138*VLOOKUP($AX$2,坦克等级成长!$B$36:$G$42,MATCH(BE$3,坦克等级成长!$B$35:$G$35,0)),0)</f>
        <v>186</v>
      </c>
      <c r="BF41" s="199">
        <v>6</v>
      </c>
      <c r="BG41" s="33">
        <f>ROUND(坦克等级成长!$F138*VLOOKUP($AX$2,坦克等级成长!$B$36:$G$42,MATCH(BG$3,坦克等级成长!$B$35:$G$35,0)),0)</f>
        <v>1896</v>
      </c>
      <c r="BH41" s="33">
        <f>ROUND(坦克等级成长!$F138*VLOOKUP($AX$2,坦克等级成长!$B$36:$G$42,MATCH(BH$3,坦克等级成长!$B$35:$G$35,0)),0)</f>
        <v>189</v>
      </c>
      <c r="BI41" s="33">
        <f>ROUND(坦克等级成长!$F138*VLOOKUP($AX$2,坦克等级成长!$B$36:$G$42,MATCH(BI$3,坦克等级成长!$B$35:$G$35,0)),0)</f>
        <v>711</v>
      </c>
      <c r="BJ41" s="33">
        <f t="shared" si="9"/>
        <v>711</v>
      </c>
      <c r="BK41" s="33">
        <v>536</v>
      </c>
      <c r="BL41" s="33">
        <f>ROUND(坦克等级成长!$F138*VLOOKUP($AX$2,坦克等级成长!$B$36:$G$42,MATCH(BL$3,坦克等级成长!$B$35:$G$35,0)),0)</f>
        <v>711</v>
      </c>
      <c r="BM41" s="33">
        <f>ROUND(坦克等级成长!$F138*VLOOKUP($AX$2,坦克等级成长!$B$36:$G$42,MATCH(BM$3,坦克等级成长!$B$35:$G$35,0)),0)</f>
        <v>190</v>
      </c>
      <c r="BN41" s="192">
        <v>6</v>
      </c>
      <c r="BO41" s="33">
        <f>ROUND(坦克等级成长!$H138*VLOOKUP($AX$2,坦克等级成长!$B$36:$G$42,MATCH(BO$3,坦克等级成长!$B$35:$G$35,0)),0)</f>
        <v>1928</v>
      </c>
      <c r="BP41" s="33">
        <f>ROUND(坦克等级成长!$H138*VLOOKUP($AX$2,坦克等级成长!$B$36:$G$42,MATCH(BP$3,坦克等级成长!$B$35:$G$35,0)),0)</f>
        <v>192</v>
      </c>
      <c r="BQ41" s="33">
        <f>ROUND(坦克等级成长!$H138*VLOOKUP($AX$2,坦克等级成长!$B$36:$G$42,MATCH(BQ$3,坦克等级成长!$B$35:$G$35,0)),0)</f>
        <v>723</v>
      </c>
      <c r="BR41" s="33">
        <f t="shared" si="23"/>
        <v>723</v>
      </c>
      <c r="BS41" s="33">
        <v>536</v>
      </c>
      <c r="BT41" s="33">
        <f>ROUND(坦克等级成长!$H138*VLOOKUP($AX$2,坦克等级成长!$B$36:$G$42,MATCH(BT$3,坦克等级成长!$B$35:$G$35,0)),0)</f>
        <v>723</v>
      </c>
      <c r="BU41" s="33">
        <f>ROUND(坦克等级成长!$H138*VLOOKUP($AX$2,坦克等级成长!$B$36:$G$42,MATCH(BU$3,坦克等级成长!$B$35:$G$35,0)),0)</f>
        <v>193</v>
      </c>
      <c r="BV41" s="192">
        <v>6</v>
      </c>
      <c r="BW41" s="33">
        <f>ROUND(坦克等级成长!$D138*VLOOKUP($BV$2,坦克等级成长!$B$36:$G$42,MATCH(BW$3,坦克等级成长!$B$35:$G$35,0)),0)</f>
        <v>2012</v>
      </c>
      <c r="BX41" s="33">
        <f>ROUND(坦克等级成长!$D138*VLOOKUP($BV$2,坦克等级成长!$B$36:$G$42,MATCH(BX$3,坦克等级成长!$B$35:$G$35,0)),0)</f>
        <v>173</v>
      </c>
      <c r="BY41" s="33">
        <f>ROUND(坦克等级成长!$D138*VLOOKUP($BV$2,坦克等级成长!$B$36:$G$42,MATCH(BY$3,坦克等级成长!$B$35:$G$35,0)),0)</f>
        <v>666</v>
      </c>
      <c r="BZ41" s="33">
        <f t="shared" si="31"/>
        <v>666</v>
      </c>
      <c r="CA41" s="33">
        <v>529.5</v>
      </c>
      <c r="CB41" s="33">
        <f>ROUND(坦克等级成长!$D138*VLOOKUP($BV$2,坦克等级成长!$B$36:$G$42,MATCH(CB$3,坦克等级成长!$B$35:$G$35,0)),0)</f>
        <v>839</v>
      </c>
      <c r="CC41" s="33">
        <f>ROUND(坦克等级成长!$D138*VLOOKUP($BV$2,坦克等级成长!$B$36:$G$42,MATCH(CC$3,坦克等级成长!$B$35:$G$35,0)),0)</f>
        <v>201</v>
      </c>
      <c r="CD41" s="199">
        <v>6</v>
      </c>
      <c r="CE41" s="33">
        <f>ROUND(坦克等级成长!$F138*VLOOKUP($BV$2,坦克等级成长!$B$36:$G$42,MATCH(CE$3,坦克等级成长!$B$35:$G$35,0)),0)</f>
        <v>2046</v>
      </c>
      <c r="CF41" s="33">
        <f>ROUND(坦克等级成长!$F138*VLOOKUP($BV$2,坦克等级成长!$B$36:$G$42,MATCH(CF$3,坦克等级成长!$B$35:$G$35,0)),0)</f>
        <v>176</v>
      </c>
      <c r="CG41" s="33">
        <f>ROUND(坦克等级成长!$F138*VLOOKUP($BV$2,坦克等级成长!$B$36:$G$42,MATCH(CG$3,坦克等级成长!$B$35:$G$35,0)),0)</f>
        <v>677</v>
      </c>
      <c r="CH41" s="33">
        <f t="shared" si="10"/>
        <v>677</v>
      </c>
      <c r="CI41" s="33">
        <v>547</v>
      </c>
      <c r="CJ41" s="33">
        <f>ROUND(坦克等级成长!$F138*VLOOKUP($BV$2,坦克等级成长!$B$36:$G$42,MATCH(CJ$3,坦克等级成长!$B$35:$G$35,0)),0)</f>
        <v>853</v>
      </c>
      <c r="CK41" s="33">
        <f>ROUND(坦克等级成长!$F138*VLOOKUP($BV$2,坦克等级成长!$B$36:$G$42,MATCH(CK$3,坦克等级成长!$B$35:$G$35,0)),0)</f>
        <v>205</v>
      </c>
      <c r="CL41" s="192">
        <v>6</v>
      </c>
      <c r="CM41" s="33">
        <f>ROUND(坦克等级成长!$H138*VLOOKUP($BV$2,坦克等级成长!$B$36:$G$42,MATCH(CM$3,坦克等级成长!$B$35:$G$35,0)),0)</f>
        <v>2081</v>
      </c>
      <c r="CN41" s="33">
        <f>ROUND(坦克等级成长!$H138*VLOOKUP($BV$2,坦克等级成长!$B$36:$G$42,MATCH(CN$3,坦克等级成长!$B$35:$G$35,0)),0)</f>
        <v>179</v>
      </c>
      <c r="CO41" s="33">
        <f>ROUND(坦克等级成长!$H138*VLOOKUP($BV$2,坦克等级成长!$B$36:$G$42,MATCH(CO$3,坦克等级成长!$B$35:$G$35,0)),0)</f>
        <v>689</v>
      </c>
      <c r="CP41" s="33">
        <f t="shared" si="24"/>
        <v>689</v>
      </c>
      <c r="CQ41" s="33">
        <v>547</v>
      </c>
      <c r="CR41" s="33">
        <f>ROUND(坦克等级成长!$H138*VLOOKUP($BV$2,坦克等级成长!$B$36:$G$42,MATCH(CR$3,坦克等级成长!$B$35:$G$35,0)),0)</f>
        <v>868</v>
      </c>
      <c r="CS41" s="33">
        <f>ROUND(坦克等级成长!$H138*VLOOKUP($BV$2,坦克等级成长!$B$36:$G$42,MATCH(CS$3,坦克等级成长!$B$35:$G$35,0)),0)</f>
        <v>208</v>
      </c>
      <c r="CT41" s="192">
        <v>6</v>
      </c>
      <c r="CU41" s="33">
        <f>ROUND(坦克等级成长!$D138*VLOOKUP($CT$2,坦克等级成长!$B$36:$G$42,MATCH(CU$3,坦克等级成长!$B$35:$G$35,0)),0)</f>
        <v>1864</v>
      </c>
      <c r="CV41" s="33">
        <f>ROUND(坦克等级成长!$D138*VLOOKUP($CT$2,坦克等级成长!$B$36:$G$42,MATCH(CV$3,坦克等级成长!$B$35:$G$35,0)),0)</f>
        <v>375</v>
      </c>
      <c r="CW41" s="33">
        <f>ROUND(坦克等级成长!$D138*VLOOKUP($CT$2,坦克等级成长!$B$36:$G$42,MATCH(CW$3,坦克等级成长!$B$35:$G$35,0)),0)</f>
        <v>832</v>
      </c>
      <c r="CX41" s="33">
        <f t="shared" si="32"/>
        <v>832</v>
      </c>
      <c r="CY41" s="33">
        <v>661.5</v>
      </c>
      <c r="CZ41" s="33">
        <f>ROUND(坦克等级成长!$D138*VLOOKUP($CT$2,坦克等级成长!$B$36:$G$42,MATCH(CZ$3,坦克等级成长!$B$35:$G$35,0)),0)</f>
        <v>699</v>
      </c>
      <c r="DA41" s="33">
        <f>ROUND(坦克等级成长!$D138*VLOOKUP($CT$2,坦克等级成长!$B$36:$G$42,MATCH(DA$3,坦克等级成长!$B$35:$G$35,0)),0)</f>
        <v>186</v>
      </c>
      <c r="DB41" s="199">
        <v>6</v>
      </c>
      <c r="DC41" s="33">
        <f>ROUND(坦克等级成长!$F138*VLOOKUP($CT$2,坦克等级成长!$B$36:$G$42,MATCH(DC$3,坦克等级成长!$B$35:$G$35,0)),0)</f>
        <v>1896</v>
      </c>
      <c r="DD41" s="33">
        <f>ROUND(坦克等级成长!$F138*VLOOKUP($CT$2,坦克等级成长!$B$36:$G$42,MATCH(DD$3,坦克等级成长!$B$35:$G$35,0)),0)</f>
        <v>382</v>
      </c>
      <c r="DE41" s="33">
        <f>ROUND(坦克等级成长!$F138*VLOOKUP($CT$2,坦克等级成长!$B$36:$G$42,MATCH(DE$3,坦克等级成长!$B$35:$G$35,0)),0)</f>
        <v>846</v>
      </c>
      <c r="DF41" s="33">
        <f t="shared" si="11"/>
        <v>846</v>
      </c>
      <c r="DG41" s="33">
        <v>683</v>
      </c>
      <c r="DH41" s="33">
        <f>ROUND(坦克等级成长!$F138*VLOOKUP($CT$2,坦克等级成长!$B$36:$G$42,MATCH(DH$3,坦克等级成长!$B$35:$G$35,0)),0)</f>
        <v>711</v>
      </c>
      <c r="DI41" s="33">
        <f>ROUND(坦克等级成长!$F138*VLOOKUP($CT$2,坦克等级成长!$B$36:$G$42,MATCH(DI$3,坦克等级成长!$B$35:$G$35,0)),0)</f>
        <v>190</v>
      </c>
      <c r="DJ41" s="192">
        <v>6</v>
      </c>
      <c r="DK41" s="33">
        <f>ROUND(坦克等级成长!$H138*VLOOKUP($CT$2,坦克等级成长!$B$36:$G$42,MATCH(DK$3,坦克等级成长!$B$35:$G$35,0)),0)</f>
        <v>1928</v>
      </c>
      <c r="DL41" s="33">
        <f>ROUND(坦克等级成长!$H138*VLOOKUP($CT$2,坦克等级成长!$B$36:$G$42,MATCH(DL$3,坦克等级成长!$B$35:$G$35,0)),0)</f>
        <v>388</v>
      </c>
      <c r="DM41" s="33">
        <f>ROUND(坦克等级成长!$H138*VLOOKUP($CT$2,坦克等级成长!$B$36:$G$42,MATCH(DM$3,坦克等级成长!$B$35:$G$35,0)),0)</f>
        <v>861</v>
      </c>
      <c r="DN41" s="33">
        <f t="shared" si="25"/>
        <v>861</v>
      </c>
      <c r="DO41" s="33">
        <v>683</v>
      </c>
      <c r="DP41" s="33">
        <f>ROUND(坦克等级成长!$H138*VLOOKUP($CT$2,坦克等级成长!$B$36:$G$42,MATCH(DP$3,坦克等级成长!$B$35:$G$35,0)),0)</f>
        <v>723</v>
      </c>
      <c r="DQ41" s="33">
        <f>ROUND(坦克等级成长!$H138*VLOOKUP($CT$2,坦克等级成长!$B$36:$G$42,MATCH(DQ$3,坦克等级成长!$B$35:$G$35,0)),0)</f>
        <v>193</v>
      </c>
      <c r="DR41" s="192">
        <v>6</v>
      </c>
      <c r="DS41" s="33">
        <f>ROUND(坦克等级成长!$D138*VLOOKUP($DR$2,坦克等级成长!$B$36:$G$42,MATCH(DS$3,坦克等级成长!$B$35:$G$35,0)),0)</f>
        <v>2280</v>
      </c>
      <c r="DT41" s="33">
        <f>ROUND(坦克等级成长!$D138*VLOOKUP($DR$2,坦克等级成长!$B$36:$G$42,MATCH(DT$3,坦克等级成长!$B$35:$G$35,0)),0)</f>
        <v>625</v>
      </c>
      <c r="DU41" s="33">
        <f>ROUND(坦克等级成长!$D138*VLOOKUP($DR$2,坦克等级成长!$B$36:$G$42,MATCH(DU$3,坦克等级成长!$B$35:$G$35,0)),0)</f>
        <v>666</v>
      </c>
      <c r="DV41" s="33">
        <f t="shared" si="33"/>
        <v>666</v>
      </c>
      <c r="DW41" s="33">
        <v>564.79999999999995</v>
      </c>
      <c r="DX41" s="33">
        <f>ROUND(坦克等级成长!$D138*VLOOKUP($DR$2,坦克等级成长!$B$36:$G$42,MATCH(DX$3,坦克等级成长!$B$35:$G$35,0)),0)</f>
        <v>979</v>
      </c>
      <c r="DY41" s="33">
        <f>ROUND(坦克等级成长!$D138*VLOOKUP($DR$2,坦克等级成长!$B$36:$G$42,MATCH(DY$3,坦克等级成长!$B$35:$G$35,0)),0)</f>
        <v>228</v>
      </c>
      <c r="DZ41" s="199">
        <v>6</v>
      </c>
      <c r="EA41" s="33">
        <f>ROUND(坦克等级成长!$F138*VLOOKUP($DR$2,坦克等级成长!$B$36:$G$42,MATCH(EA$3,坦克等级成长!$B$35:$G$35,0)),0)</f>
        <v>2319</v>
      </c>
      <c r="EB41" s="33">
        <f>ROUND(坦克等级成长!$F138*VLOOKUP($DR$2,坦克等级成长!$B$36:$G$42,MATCH(EB$3,坦克等级成长!$B$35:$G$35,0)),0)</f>
        <v>635</v>
      </c>
      <c r="EC41" s="33">
        <f>ROUND(坦克等级成长!$F138*VLOOKUP($DR$2,坦克等级成长!$B$36:$G$42,MATCH(EC$3,坦克等级成长!$B$35:$G$35,0)),0)</f>
        <v>677</v>
      </c>
      <c r="ED41" s="33">
        <f t="shared" si="12"/>
        <v>677</v>
      </c>
      <c r="EE41" s="33">
        <v>583</v>
      </c>
      <c r="EF41" s="33">
        <f>ROUND(坦克等级成长!$F138*VLOOKUP($DR$2,坦克等级成长!$B$36:$G$42,MATCH(EF$3,坦克等级成长!$B$35:$G$35,0)),0)</f>
        <v>995</v>
      </c>
      <c r="EG41" s="33">
        <f>ROUND(坦克等级成长!$F138*VLOOKUP($DR$2,坦克等级成长!$B$36:$G$42,MATCH(EG$3,坦克等级成长!$B$35:$G$35,0)),0)</f>
        <v>232</v>
      </c>
      <c r="EH41" s="192">
        <v>6</v>
      </c>
      <c r="EI41" s="33">
        <f>ROUND(坦克等级成长!$H138*VLOOKUP($DR$2,坦克等级成长!$B$36:$G$42,MATCH(EI$3,坦克等级成长!$B$35:$G$35,0)),0)</f>
        <v>2359</v>
      </c>
      <c r="EJ41" s="33">
        <f>ROUND(坦克等级成长!$H138*VLOOKUP($DR$2,坦克等级成长!$B$36:$G$42,MATCH(EJ$3,坦克等级成长!$B$35:$G$35,0)),0)</f>
        <v>646</v>
      </c>
      <c r="EK41" s="33">
        <f>ROUND(坦克等级成长!$H138*VLOOKUP($DR$2,坦克等级成长!$B$36:$G$42,MATCH(EK$3,坦克等级成长!$B$35:$G$35,0)),0)</f>
        <v>689</v>
      </c>
      <c r="EL41" s="33">
        <f t="shared" si="26"/>
        <v>689</v>
      </c>
      <c r="EM41" s="33">
        <v>583</v>
      </c>
      <c r="EN41" s="33">
        <f>ROUND(坦克等级成长!$H138*VLOOKUP($DR$2,坦克等级成长!$B$36:$G$42,MATCH(EN$3,坦克等级成长!$B$35:$G$35,0)),0)</f>
        <v>1012</v>
      </c>
      <c r="EO41" s="33">
        <f>ROUND(坦克等级成长!$H138*VLOOKUP($DR$2,坦克等级成长!$B$36:$G$42,MATCH(EO$3,坦克等级成长!$B$35:$G$35,0)),0)</f>
        <v>236</v>
      </c>
      <c r="EP41" s="192">
        <v>6</v>
      </c>
      <c r="EQ41" s="33">
        <f>ROUND(坦克等级成长!$D138*VLOOKUP($EP$2,坦克等级成长!$B$36:$G$42,MATCH(EQ$3,坦克等级成长!$B$35:$G$35,0)),0)</f>
        <v>2012</v>
      </c>
      <c r="ER41" s="33">
        <f>ROUND(坦克等级成长!$D138*VLOOKUP($EP$2,坦克等级成长!$B$36:$G$42,MATCH(ER$3,坦克等级成长!$B$35:$G$35,0)),0)</f>
        <v>207</v>
      </c>
      <c r="ES41" s="33">
        <f>ROUND(坦克等级成长!$D138*VLOOKUP($EP$2,坦克等级成长!$B$36:$G$42,MATCH(ES$3,坦克等级成长!$B$35:$G$35,0)),0)</f>
        <v>766</v>
      </c>
      <c r="ET41" s="33">
        <f t="shared" si="34"/>
        <v>766</v>
      </c>
      <c r="EU41" s="33">
        <v>609</v>
      </c>
      <c r="EV41" s="33">
        <f>ROUND(坦克等级成长!$D138*VLOOKUP($EP$2,坦克等级成长!$B$36:$G$42,MATCH(EV$3,坦克等级成长!$B$35:$G$35,0)),0)</f>
        <v>839</v>
      </c>
      <c r="EW41" s="33">
        <f>ROUND(坦克等级成长!$D138*VLOOKUP($EP$2,坦克等级成长!$B$36:$G$42,MATCH(EW$3,坦克等级成长!$B$35:$G$35,0)),0)</f>
        <v>201</v>
      </c>
      <c r="EX41" s="199">
        <v>6</v>
      </c>
      <c r="EY41" s="33">
        <f>ROUND(坦克等级成长!$F138*VLOOKUP($EP$2,坦克等级成长!$B$36:$G$42,MATCH(EY$3,坦克等级成长!$B$35:$G$35,0)),0)</f>
        <v>2046</v>
      </c>
      <c r="EZ41" s="33">
        <f>ROUND(坦克等级成长!$F138*VLOOKUP($EP$2,坦克等级成长!$B$36:$G$42,MATCH(EZ$3,坦克等级成长!$B$35:$G$35,0)),0)</f>
        <v>211</v>
      </c>
      <c r="FA41" s="33">
        <f>ROUND(坦克等级成长!$F138*VLOOKUP($EP$2,坦克等级成长!$B$36:$G$42,MATCH(FA$3,坦克等级成长!$B$35:$G$35,0)),0)</f>
        <v>779</v>
      </c>
      <c r="FB41" s="33">
        <f t="shared" si="13"/>
        <v>779</v>
      </c>
      <c r="FC41" s="33">
        <v>629</v>
      </c>
      <c r="FD41" s="33">
        <f>ROUND(坦克等级成长!$F138*VLOOKUP($EP$2,坦克等级成长!$B$36:$G$42,MATCH(FD$3,坦克等级成长!$B$35:$G$35,0)),0)</f>
        <v>853</v>
      </c>
      <c r="FE41" s="33">
        <f>ROUND(坦克等级成长!$F138*VLOOKUP($EP$2,坦克等级成长!$B$36:$G$42,MATCH(FE$3,坦克等级成长!$B$35:$G$35,0)),0)</f>
        <v>205</v>
      </c>
      <c r="FF41" s="192">
        <v>6</v>
      </c>
      <c r="FG41" s="33">
        <f>ROUND(坦克等级成长!$H138*VLOOKUP($EP$2,坦克等级成长!$B$36:$G$42,MATCH(FG$3,坦克等级成长!$B$35:$G$35,0)),0)</f>
        <v>2081</v>
      </c>
      <c r="FH41" s="33">
        <f>ROUND(坦克等级成长!$H138*VLOOKUP($EP$2,坦克等级成长!$B$36:$G$42,MATCH(FH$3,坦克等级成长!$B$35:$G$35,0)),0)</f>
        <v>214</v>
      </c>
      <c r="FI41" s="33">
        <f>ROUND(坦克等级成长!$H138*VLOOKUP($EP$2,坦克等级成长!$B$36:$G$42,MATCH(FI$3,坦克等级成长!$B$35:$G$35,0)),0)</f>
        <v>792</v>
      </c>
      <c r="FJ41" s="33">
        <f t="shared" si="27"/>
        <v>792</v>
      </c>
      <c r="FK41" s="33">
        <v>629</v>
      </c>
      <c r="FL41" s="33">
        <f>ROUND(坦克等级成长!$H138*VLOOKUP($EP$2,坦克等级成长!$B$36:$G$42,MATCH(FL$3,坦克等级成长!$B$35:$G$35,0)),0)</f>
        <v>868</v>
      </c>
      <c r="FM41" s="33">
        <f>ROUND(坦克等级成长!$H138*VLOOKUP($EP$2,坦克等级成长!$B$36:$G$42,MATCH(FM$3,坦克等级成长!$B$35:$G$35,0)),0)</f>
        <v>208</v>
      </c>
    </row>
    <row r="42" spans="1:169" ht="14.25" x14ac:dyDescent="0.3">
      <c r="A42" s="189">
        <v>4</v>
      </c>
      <c r="B42" s="192">
        <v>7</v>
      </c>
      <c r="C42" s="33">
        <f>ROUND(坦克等级成长!$D139*VLOOKUP($B$2,坦克等级成长!$B$36:$G$42,MATCH(C$3,坦克等级成长!$B$35:$G$35,0)),0)</f>
        <v>1944</v>
      </c>
      <c r="D42" s="33">
        <f>ROUND(坦克等级成长!$D139*VLOOKUP($B$2,坦克等级成长!$B$36:$G$42,MATCH(D$3,坦克等级成长!$B$35:$G$35,0)),0)</f>
        <v>194</v>
      </c>
      <c r="E42" s="33">
        <f>ROUND(坦克等级成长!$D139*VLOOKUP($B$2,坦克等级成长!$B$36:$G$42,MATCH(E$3,坦克等级成长!$B$35:$G$35,0)),0)</f>
        <v>729</v>
      </c>
      <c r="F42" s="33">
        <f t="shared" si="28"/>
        <v>729</v>
      </c>
      <c r="G42" s="33">
        <v>541.79999999999995</v>
      </c>
      <c r="H42" s="33">
        <f>ROUND(坦克等级成长!$D139*VLOOKUP($B$2,坦克等级成长!$B$36:$G$42,MATCH(H$3,坦克等级成长!$B$35:$G$35,0)),0)</f>
        <v>729</v>
      </c>
      <c r="I42" s="33">
        <f>ROUND(坦克等级成长!$D139*VLOOKUP($B$2,坦克等级成长!$B$36:$G$42,MATCH(I$3,坦克等级成长!$B$35:$G$35,0)),0)</f>
        <v>194</v>
      </c>
      <c r="J42" s="199">
        <v>7</v>
      </c>
      <c r="K42" s="33">
        <f>ROUND(坦克等级成长!$F139*VLOOKUP($B$2,坦克等级成长!$B$36:$G$42,MATCH(K$3,坦克等级成长!$B$35:$G$35,0)),0)</f>
        <v>1976</v>
      </c>
      <c r="L42" s="33">
        <f>ROUND(坦克等级成长!$F139*VLOOKUP($B$2,坦克等级成长!$B$36:$G$42,MATCH(L$3,坦克等级成长!$B$35:$G$35,0)),0)</f>
        <v>197</v>
      </c>
      <c r="M42" s="33">
        <f>ROUND(坦克等级成长!$F139*VLOOKUP($B$2,坦克等级成长!$B$36:$G$42,MATCH(M$3,坦克等级成长!$B$35:$G$35,0)),0)</f>
        <v>741</v>
      </c>
      <c r="N42" s="33">
        <f t="shared" si="7"/>
        <v>741</v>
      </c>
      <c r="O42" s="33">
        <v>559</v>
      </c>
      <c r="P42" s="33">
        <f>ROUND(坦克等级成长!$F139*VLOOKUP($B$2,坦克等级成长!$B$36:$G$42,MATCH(P$3,坦克等级成长!$B$35:$G$35,0)),0)</f>
        <v>741</v>
      </c>
      <c r="Q42" s="33">
        <f>ROUND(坦克等级成长!$F139*VLOOKUP($B$2,坦克等级成长!$B$36:$G$42,MATCH(Q$3,坦克等级成长!$B$35:$G$35,0)),0)</f>
        <v>198</v>
      </c>
      <c r="R42" s="192">
        <v>7</v>
      </c>
      <c r="S42" s="33">
        <f>ROUND(坦克等级成长!$H139*VLOOKUP($B$2,坦克等级成长!$B$36:$G$42,MATCH(S$3,坦克等级成长!$B$35:$G$35,0)),0)</f>
        <v>2008</v>
      </c>
      <c r="T42" s="33">
        <f>ROUND(坦克等级成长!$H139*VLOOKUP($B$2,坦克等级成长!$B$36:$G$42,MATCH(T$3,坦克等级成长!$B$35:$G$35,0)),0)</f>
        <v>200</v>
      </c>
      <c r="U42" s="33">
        <f>ROUND(坦克等级成长!$H139*VLOOKUP($B$2,坦克等级成长!$B$36:$G$42,MATCH(U$3,坦克等级成长!$B$35:$G$35,0)),0)</f>
        <v>753</v>
      </c>
      <c r="V42" s="33">
        <f t="shared" si="21"/>
        <v>753</v>
      </c>
      <c r="W42" s="33">
        <v>559</v>
      </c>
      <c r="X42" s="33">
        <f>ROUND(坦克等级成长!$H139*VLOOKUP($B$2,坦克等级成长!$B$36:$G$42,MATCH(X$3,坦克等级成长!$B$35:$G$35,0)),0)</f>
        <v>753</v>
      </c>
      <c r="Y42" s="33">
        <f>ROUND(坦克等级成长!$H139*VLOOKUP($B$2,坦克等级成长!$B$36:$G$42,MATCH(Y$3,坦克等级成长!$B$35:$G$35,0)),0)</f>
        <v>201</v>
      </c>
      <c r="Z42" s="192">
        <v>7</v>
      </c>
      <c r="AA42" s="33">
        <f>ROUND(坦克等级成长!$D139*VLOOKUP($Z$2,坦克等级成长!$B$36:$G$42,MATCH(AA$3,坦克等级成长!$B$35:$G$35,0)),0)</f>
        <v>1944</v>
      </c>
      <c r="AB42" s="33">
        <f>ROUND(坦克等级成长!$D139*VLOOKUP($Z$2,坦克等级成长!$B$36:$G$42,MATCH(AB$3,坦克等级成长!$B$35:$G$35,0)),0)</f>
        <v>103</v>
      </c>
      <c r="AC42" s="33">
        <f>ROUND(坦克等级成长!$D139*VLOOKUP($Z$2,坦克等级成长!$B$36:$G$42,MATCH(AC$3,坦克等级成长!$B$35:$G$35,0)),0)</f>
        <v>798</v>
      </c>
      <c r="AD42" s="33">
        <f t="shared" si="29"/>
        <v>798</v>
      </c>
      <c r="AE42" s="33">
        <v>593.6</v>
      </c>
      <c r="AF42" s="33">
        <f>ROUND(坦克等级成长!$D139*VLOOKUP($Z$2,坦克等级成长!$B$36:$G$42,MATCH(AF$3,坦克等级成长!$B$35:$G$35,0)),0)</f>
        <v>729</v>
      </c>
      <c r="AG42" s="33">
        <f>ROUND(坦克等级成长!$D139*VLOOKUP($Z$2,坦克等级成长!$B$36:$G$42,MATCH(AG$3,坦克等级成长!$B$35:$G$35,0)),0)</f>
        <v>194</v>
      </c>
      <c r="AH42" s="199">
        <v>7</v>
      </c>
      <c r="AI42" s="33">
        <f>ROUND(坦克等级成长!$F139*VLOOKUP($Z$2,坦克等级成长!$B$36:$G$42,MATCH(AI$3,坦克等级成长!$B$35:$G$35,0)),0)</f>
        <v>1976</v>
      </c>
      <c r="AJ42" s="33">
        <f>ROUND(坦克等级成长!$F139*VLOOKUP($Z$2,坦克等级成长!$B$36:$G$42,MATCH(AJ$3,坦克等级成长!$B$35:$G$35,0)),0)</f>
        <v>105</v>
      </c>
      <c r="AK42" s="33">
        <f>ROUND(坦克等级成长!$F139*VLOOKUP($Z$2,坦克等级成长!$B$36:$G$42,MATCH(AK$3,坦克等级成长!$B$35:$G$35,0)),0)</f>
        <v>812</v>
      </c>
      <c r="AL42" s="33">
        <f t="shared" si="8"/>
        <v>812</v>
      </c>
      <c r="AM42" s="33">
        <v>612</v>
      </c>
      <c r="AN42" s="33">
        <f>ROUND(坦克等级成长!$F139*VLOOKUP($Z$2,坦克等级成长!$B$36:$G$42,MATCH(AN$3,坦克等级成长!$B$35:$G$35,0)),0)</f>
        <v>741</v>
      </c>
      <c r="AO42" s="33">
        <f>ROUND(坦克等级成长!$F139*VLOOKUP($Z$2,坦克等级成长!$B$36:$G$42,MATCH(AO$3,坦克等级成长!$B$35:$G$35,0)),0)</f>
        <v>198</v>
      </c>
      <c r="AP42" s="192">
        <v>7</v>
      </c>
      <c r="AQ42" s="33">
        <f>ROUND(坦克等级成长!$H139*VLOOKUP($Z$2,坦克等级成长!$B$36:$G$42,MATCH(AQ$3,坦克等级成长!$B$35:$G$35,0)),0)</f>
        <v>2008</v>
      </c>
      <c r="AR42" s="33">
        <f>ROUND(坦克等级成长!$H139*VLOOKUP($Z$2,坦克等级成长!$B$36:$G$42,MATCH(AR$3,坦克等级成长!$B$35:$G$35,0)),0)</f>
        <v>107</v>
      </c>
      <c r="AS42" s="33">
        <f>ROUND(坦克等级成长!$H139*VLOOKUP($Z$2,坦克等级成长!$B$36:$G$42,MATCH(AS$3,坦克等级成长!$B$35:$G$35,0)),0)</f>
        <v>825</v>
      </c>
      <c r="AT42" s="33">
        <f t="shared" si="22"/>
        <v>825</v>
      </c>
      <c r="AU42" s="33">
        <v>612</v>
      </c>
      <c r="AV42" s="33">
        <f>ROUND(坦克等级成长!$H139*VLOOKUP($Z$2,坦克等级成长!$B$36:$G$42,MATCH(AV$3,坦克等级成长!$B$35:$G$35,0)),0)</f>
        <v>753</v>
      </c>
      <c r="AW42" s="33">
        <f>ROUND(坦克等级成长!$H139*VLOOKUP($Z$2,坦克等级成长!$B$36:$G$42,MATCH(AW$3,坦克等级成长!$B$35:$G$35,0)),0)</f>
        <v>201</v>
      </c>
      <c r="AX42" s="192">
        <v>7</v>
      </c>
      <c r="AY42" s="33">
        <f>ROUND(坦克等级成长!$D139*VLOOKUP($AX$2,坦克等级成长!$B$36:$G$42,MATCH(AY$3,坦克等级成长!$B$35:$G$35,0)),0)</f>
        <v>1944</v>
      </c>
      <c r="AZ42" s="33">
        <f>ROUND(坦克等级成长!$D139*VLOOKUP($AX$2,坦克等级成长!$B$36:$G$42,MATCH(AZ$3,坦克等级成长!$B$35:$G$35,0)),0)</f>
        <v>194</v>
      </c>
      <c r="BA42" s="33">
        <f>ROUND(坦克等级成长!$D139*VLOOKUP($AX$2,坦克等级成长!$B$36:$G$42,MATCH(BA$3,坦克等级成长!$B$35:$G$35,0)),0)</f>
        <v>729</v>
      </c>
      <c r="BB42" s="33">
        <f t="shared" si="30"/>
        <v>729</v>
      </c>
      <c r="BC42" s="33">
        <v>541.79999999999995</v>
      </c>
      <c r="BD42" s="33">
        <f>ROUND(坦克等级成长!$D139*VLOOKUP($AX$2,坦克等级成长!$B$36:$G$42,MATCH(BD$3,坦克等级成长!$B$35:$G$35,0)),0)</f>
        <v>729</v>
      </c>
      <c r="BE42" s="33">
        <f>ROUND(坦克等级成长!$D139*VLOOKUP($AX$2,坦克等级成长!$B$36:$G$42,MATCH(BE$3,坦克等级成长!$B$35:$G$35,0)),0)</f>
        <v>194</v>
      </c>
      <c r="BF42" s="199">
        <v>7</v>
      </c>
      <c r="BG42" s="33">
        <f>ROUND(坦克等级成长!$F139*VLOOKUP($AX$2,坦克等级成长!$B$36:$G$42,MATCH(BG$3,坦克等级成长!$B$35:$G$35,0)),0)</f>
        <v>1976</v>
      </c>
      <c r="BH42" s="33">
        <f>ROUND(坦克等级成长!$F139*VLOOKUP($AX$2,坦克等级成长!$B$36:$G$42,MATCH(BH$3,坦克等级成长!$B$35:$G$35,0)),0)</f>
        <v>197</v>
      </c>
      <c r="BI42" s="33">
        <f>ROUND(坦克等级成长!$F139*VLOOKUP($AX$2,坦克等级成长!$B$36:$G$42,MATCH(BI$3,坦克等级成长!$B$35:$G$35,0)),0)</f>
        <v>741</v>
      </c>
      <c r="BJ42" s="33">
        <f t="shared" si="9"/>
        <v>741</v>
      </c>
      <c r="BK42" s="33">
        <v>559</v>
      </c>
      <c r="BL42" s="33">
        <f>ROUND(坦克等级成长!$F139*VLOOKUP($AX$2,坦克等级成长!$B$36:$G$42,MATCH(BL$3,坦克等级成长!$B$35:$G$35,0)),0)</f>
        <v>741</v>
      </c>
      <c r="BM42" s="33">
        <f>ROUND(坦克等级成长!$F139*VLOOKUP($AX$2,坦克等级成长!$B$36:$G$42,MATCH(BM$3,坦克等级成长!$B$35:$G$35,0)),0)</f>
        <v>198</v>
      </c>
      <c r="BN42" s="192">
        <v>7</v>
      </c>
      <c r="BO42" s="33">
        <f>ROUND(坦克等级成长!$H139*VLOOKUP($AX$2,坦克等级成长!$B$36:$G$42,MATCH(BO$3,坦克等级成长!$B$35:$G$35,0)),0)</f>
        <v>2008</v>
      </c>
      <c r="BP42" s="33">
        <f>ROUND(坦克等级成长!$H139*VLOOKUP($AX$2,坦克等级成长!$B$36:$G$42,MATCH(BP$3,坦克等级成长!$B$35:$G$35,0)),0)</f>
        <v>200</v>
      </c>
      <c r="BQ42" s="33">
        <f>ROUND(坦克等级成长!$H139*VLOOKUP($AX$2,坦克等级成长!$B$36:$G$42,MATCH(BQ$3,坦克等级成长!$B$35:$G$35,0)),0)</f>
        <v>753</v>
      </c>
      <c r="BR42" s="33">
        <f t="shared" si="23"/>
        <v>753</v>
      </c>
      <c r="BS42" s="33">
        <v>559</v>
      </c>
      <c r="BT42" s="33">
        <f>ROUND(坦克等级成长!$H139*VLOOKUP($AX$2,坦克等级成长!$B$36:$G$42,MATCH(BT$3,坦克等级成长!$B$35:$G$35,0)),0)</f>
        <v>753</v>
      </c>
      <c r="BU42" s="33">
        <f>ROUND(坦克等级成长!$H139*VLOOKUP($AX$2,坦克等级成长!$B$36:$G$42,MATCH(BU$3,坦克等级成长!$B$35:$G$35,0)),0)</f>
        <v>201</v>
      </c>
      <c r="BV42" s="192">
        <v>7</v>
      </c>
      <c r="BW42" s="33">
        <f>ROUND(坦克等级成长!$D139*VLOOKUP($BV$2,坦克等级成长!$B$36:$G$42,MATCH(BW$3,坦克等级成长!$B$35:$G$35,0)),0)</f>
        <v>2098</v>
      </c>
      <c r="BX42" s="33">
        <f>ROUND(坦克等级成长!$D139*VLOOKUP($BV$2,坦克等级成长!$B$36:$G$42,MATCH(BX$3,坦克等级成长!$B$35:$G$35,0)),0)</f>
        <v>180</v>
      </c>
      <c r="BY42" s="33">
        <f>ROUND(坦克等级成长!$D139*VLOOKUP($BV$2,坦克等级成长!$B$36:$G$42,MATCH(BY$3,坦克等级成长!$B$35:$G$35,0)),0)</f>
        <v>694</v>
      </c>
      <c r="BZ42" s="33">
        <f t="shared" si="31"/>
        <v>694</v>
      </c>
      <c r="CA42" s="33">
        <v>552.75</v>
      </c>
      <c r="CB42" s="33">
        <f>ROUND(坦克等级成长!$D139*VLOOKUP($BV$2,坦克等级成长!$B$36:$G$42,MATCH(CB$3,坦克等级成长!$B$35:$G$35,0)),0)</f>
        <v>875</v>
      </c>
      <c r="CC42" s="33">
        <f>ROUND(坦克等级成长!$D139*VLOOKUP($BV$2,坦克等级成长!$B$36:$G$42,MATCH(CC$3,坦克等级成长!$B$35:$G$35,0)),0)</f>
        <v>210</v>
      </c>
      <c r="CD42" s="199">
        <v>7</v>
      </c>
      <c r="CE42" s="33">
        <f>ROUND(坦克等级成长!$F139*VLOOKUP($BV$2,坦克等级成长!$B$36:$G$42,MATCH(CE$3,坦克等级成长!$B$35:$G$35,0)),0)</f>
        <v>2133</v>
      </c>
      <c r="CF42" s="33">
        <f>ROUND(坦克等级成长!$F139*VLOOKUP($BV$2,坦克等级成长!$B$36:$G$42,MATCH(CF$3,坦克等级成长!$B$35:$G$35,0)),0)</f>
        <v>183</v>
      </c>
      <c r="CG42" s="33">
        <f>ROUND(坦克等级成长!$F139*VLOOKUP($BV$2,坦克等级成长!$B$36:$G$42,MATCH(CG$3,坦克等级成长!$B$35:$G$35,0)),0)</f>
        <v>706</v>
      </c>
      <c r="CH42" s="33">
        <f t="shared" si="10"/>
        <v>706</v>
      </c>
      <c r="CI42" s="33">
        <v>570</v>
      </c>
      <c r="CJ42" s="33">
        <f>ROUND(坦克等级成长!$F139*VLOOKUP($BV$2,坦克等级成长!$B$36:$G$42,MATCH(CJ$3,坦克等级成长!$B$35:$G$35,0)),0)</f>
        <v>889</v>
      </c>
      <c r="CK42" s="33">
        <f>ROUND(坦克等级成长!$F139*VLOOKUP($BV$2,坦克等级成长!$B$36:$G$42,MATCH(CK$3,坦克等级成长!$B$35:$G$35,0)),0)</f>
        <v>213</v>
      </c>
      <c r="CL42" s="192">
        <v>7</v>
      </c>
      <c r="CM42" s="33">
        <f>ROUND(坦克等级成长!$H139*VLOOKUP($BV$2,坦克等级成长!$B$36:$G$42,MATCH(CM$3,坦克等级成长!$B$35:$G$35,0)),0)</f>
        <v>2167</v>
      </c>
      <c r="CN42" s="33">
        <f>ROUND(坦克等级成长!$H139*VLOOKUP($BV$2,坦克等级成长!$B$36:$G$42,MATCH(CN$3,坦克等级成长!$B$35:$G$35,0)),0)</f>
        <v>186</v>
      </c>
      <c r="CO42" s="33">
        <f>ROUND(坦克等级成长!$H139*VLOOKUP($BV$2,坦克等级成长!$B$36:$G$42,MATCH(CO$3,坦克等级成长!$B$35:$G$35,0)),0)</f>
        <v>717</v>
      </c>
      <c r="CP42" s="33">
        <f t="shared" si="24"/>
        <v>717</v>
      </c>
      <c r="CQ42" s="33">
        <v>570</v>
      </c>
      <c r="CR42" s="33">
        <f>ROUND(坦克等级成长!$H139*VLOOKUP($BV$2,坦克等级成长!$B$36:$G$42,MATCH(CR$3,坦克等级成长!$B$35:$G$35,0)),0)</f>
        <v>904</v>
      </c>
      <c r="CS42" s="33">
        <f>ROUND(坦克等级成长!$H139*VLOOKUP($BV$2,坦克等级成长!$B$36:$G$42,MATCH(CS$3,坦克等级成长!$B$35:$G$35,0)),0)</f>
        <v>217</v>
      </c>
      <c r="CT42" s="192">
        <v>7</v>
      </c>
      <c r="CU42" s="33">
        <f>ROUND(坦克等级成长!$D139*VLOOKUP($CT$2,坦克等级成长!$B$36:$G$42,MATCH(CU$3,坦克等级成长!$B$35:$G$35,0)),0)</f>
        <v>1944</v>
      </c>
      <c r="CV42" s="33">
        <f>ROUND(坦克等级成长!$D139*VLOOKUP($CT$2,坦克等级成长!$B$36:$G$42,MATCH(CV$3,坦克等级成长!$B$35:$G$35,0)),0)</f>
        <v>391</v>
      </c>
      <c r="CW42" s="33">
        <f>ROUND(坦克等级成长!$D139*VLOOKUP($CT$2,坦克等级成长!$B$36:$G$42,MATCH(CW$3,坦克等级成长!$B$35:$G$35,0)),0)</f>
        <v>868</v>
      </c>
      <c r="CX42" s="33">
        <f t="shared" si="32"/>
        <v>868</v>
      </c>
      <c r="CY42" s="33">
        <v>690.75</v>
      </c>
      <c r="CZ42" s="33">
        <f>ROUND(坦克等级成长!$D139*VLOOKUP($CT$2,坦克等级成长!$B$36:$G$42,MATCH(CZ$3,坦克等级成长!$B$35:$G$35,0)),0)</f>
        <v>729</v>
      </c>
      <c r="DA42" s="33">
        <f>ROUND(坦克等级成长!$D139*VLOOKUP($CT$2,坦克等级成长!$B$36:$G$42,MATCH(DA$3,坦克等级成长!$B$35:$G$35,0)),0)</f>
        <v>194</v>
      </c>
      <c r="DB42" s="199">
        <v>7</v>
      </c>
      <c r="DC42" s="33">
        <f>ROUND(坦克等级成长!$F139*VLOOKUP($CT$2,坦克等级成长!$B$36:$G$42,MATCH(DC$3,坦克等级成长!$B$35:$G$35,0)),0)</f>
        <v>1976</v>
      </c>
      <c r="DD42" s="33">
        <f>ROUND(坦克等级成长!$F139*VLOOKUP($CT$2,坦克等级成长!$B$36:$G$42,MATCH(DD$3,坦克等级成长!$B$35:$G$35,0)),0)</f>
        <v>398</v>
      </c>
      <c r="DE42" s="33">
        <f>ROUND(坦克等级成长!$F139*VLOOKUP($CT$2,坦克等级成长!$B$36:$G$42,MATCH(DE$3,坦克等级成长!$B$35:$G$35,0)),0)</f>
        <v>882</v>
      </c>
      <c r="DF42" s="33">
        <f t="shared" si="11"/>
        <v>882</v>
      </c>
      <c r="DG42" s="33">
        <v>713</v>
      </c>
      <c r="DH42" s="33">
        <f>ROUND(坦克等级成长!$F139*VLOOKUP($CT$2,坦克等级成长!$B$36:$G$42,MATCH(DH$3,坦克等级成长!$B$35:$G$35,0)),0)</f>
        <v>741</v>
      </c>
      <c r="DI42" s="33">
        <f>ROUND(坦克等级成长!$F139*VLOOKUP($CT$2,坦克等级成长!$B$36:$G$42,MATCH(DI$3,坦克等级成长!$B$35:$G$35,0)),0)</f>
        <v>198</v>
      </c>
      <c r="DJ42" s="192">
        <v>7</v>
      </c>
      <c r="DK42" s="33">
        <f>ROUND(坦克等级成长!$H139*VLOOKUP($CT$2,坦克等级成长!$B$36:$G$42,MATCH(DK$3,坦克等级成长!$B$35:$G$35,0)),0)</f>
        <v>2008</v>
      </c>
      <c r="DL42" s="33">
        <f>ROUND(坦克等级成长!$H139*VLOOKUP($CT$2,坦克等级成长!$B$36:$G$42,MATCH(DL$3,坦克等级成长!$B$35:$G$35,0)),0)</f>
        <v>404</v>
      </c>
      <c r="DM42" s="33">
        <f>ROUND(坦克等级成长!$H139*VLOOKUP($CT$2,坦克等级成长!$B$36:$G$42,MATCH(DM$3,坦克等级成长!$B$35:$G$35,0)),0)</f>
        <v>896</v>
      </c>
      <c r="DN42" s="33">
        <f t="shared" si="25"/>
        <v>896</v>
      </c>
      <c r="DO42" s="33">
        <v>713</v>
      </c>
      <c r="DP42" s="33">
        <f>ROUND(坦克等级成长!$H139*VLOOKUP($CT$2,坦克等级成长!$B$36:$G$42,MATCH(DP$3,坦克等级成长!$B$35:$G$35,0)),0)</f>
        <v>753</v>
      </c>
      <c r="DQ42" s="33">
        <f>ROUND(坦克等级成长!$H139*VLOOKUP($CT$2,坦克等级成长!$B$36:$G$42,MATCH(DQ$3,坦克等级成长!$B$35:$G$35,0)),0)</f>
        <v>201</v>
      </c>
      <c r="DR42" s="192">
        <v>7</v>
      </c>
      <c r="DS42" s="33">
        <f>ROUND(坦克等级成长!$D139*VLOOKUP($DR$2,坦克等级成长!$B$36:$G$42,MATCH(DS$3,坦克等级成长!$B$35:$G$35,0)),0)</f>
        <v>2378</v>
      </c>
      <c r="DT42" s="33">
        <f>ROUND(坦克等级成长!$D139*VLOOKUP($DR$2,坦克等级成长!$B$36:$G$42,MATCH(DT$3,坦克等级成长!$B$35:$G$35,0)),0)</f>
        <v>651</v>
      </c>
      <c r="DU42" s="33">
        <f>ROUND(坦克等级成长!$D139*VLOOKUP($DR$2,坦克等级成长!$B$36:$G$42,MATCH(DU$3,坦克等级成长!$B$35:$G$35,0)),0)</f>
        <v>694</v>
      </c>
      <c r="DV42" s="33">
        <f t="shared" si="33"/>
        <v>694</v>
      </c>
      <c r="DW42" s="33">
        <v>589.6</v>
      </c>
      <c r="DX42" s="33">
        <f>ROUND(坦克等级成长!$D139*VLOOKUP($DR$2,坦克等级成长!$B$36:$G$42,MATCH(DX$3,坦克等级成长!$B$35:$G$35,0)),0)</f>
        <v>1021</v>
      </c>
      <c r="DY42" s="33">
        <f>ROUND(坦克等级成长!$D139*VLOOKUP($DR$2,坦克等级成长!$B$36:$G$42,MATCH(DY$3,坦克等级成长!$B$35:$G$35,0)),0)</f>
        <v>238</v>
      </c>
      <c r="DZ42" s="199">
        <v>7</v>
      </c>
      <c r="EA42" s="33">
        <f>ROUND(坦克等级成长!$F139*VLOOKUP($DR$2,坦克等级成长!$B$36:$G$42,MATCH(EA$3,坦克等级成长!$B$35:$G$35,0)),0)</f>
        <v>2417</v>
      </c>
      <c r="EB42" s="33">
        <f>ROUND(坦克等级成长!$F139*VLOOKUP($DR$2,坦克等级成长!$B$36:$G$42,MATCH(EB$3,坦克等级成长!$B$35:$G$35,0)),0)</f>
        <v>662</v>
      </c>
      <c r="EC42" s="33">
        <f>ROUND(坦克等级成长!$F139*VLOOKUP($DR$2,坦克等级成长!$B$36:$G$42,MATCH(EC$3,坦克等级成长!$B$35:$G$35,0)),0)</f>
        <v>706</v>
      </c>
      <c r="ED42" s="33">
        <f t="shared" si="12"/>
        <v>706</v>
      </c>
      <c r="EE42" s="33">
        <v>608</v>
      </c>
      <c r="EF42" s="33">
        <f>ROUND(坦克等级成长!$F139*VLOOKUP($DR$2,坦克等级成长!$B$36:$G$42,MATCH(EF$3,坦克等级成长!$B$35:$G$35,0)),0)</f>
        <v>1037</v>
      </c>
      <c r="EG42" s="33">
        <f>ROUND(坦克等级成长!$F139*VLOOKUP($DR$2,坦克等级成长!$B$36:$G$42,MATCH(EG$3,坦克等级成长!$B$35:$G$35,0)),0)</f>
        <v>242</v>
      </c>
      <c r="EH42" s="192">
        <v>7</v>
      </c>
      <c r="EI42" s="33">
        <f>ROUND(坦克等级成长!$H139*VLOOKUP($DR$2,坦克等级成长!$B$36:$G$42,MATCH(EI$3,坦克等级成长!$B$35:$G$35,0)),0)</f>
        <v>2456</v>
      </c>
      <c r="EJ42" s="33">
        <f>ROUND(坦克等级成长!$H139*VLOOKUP($DR$2,坦克等级成长!$B$36:$G$42,MATCH(EJ$3,坦克等级成长!$B$35:$G$35,0)),0)</f>
        <v>673</v>
      </c>
      <c r="EK42" s="33">
        <f>ROUND(坦克等级成长!$H139*VLOOKUP($DR$2,坦克等级成长!$B$36:$G$42,MATCH(EK$3,坦克等级成长!$B$35:$G$35,0)),0)</f>
        <v>717</v>
      </c>
      <c r="EL42" s="33">
        <f t="shared" si="26"/>
        <v>717</v>
      </c>
      <c r="EM42" s="33">
        <v>608</v>
      </c>
      <c r="EN42" s="33">
        <f>ROUND(坦克等级成长!$H139*VLOOKUP($DR$2,坦克等级成长!$B$36:$G$42,MATCH(EN$3,坦克等级成长!$B$35:$G$35,0)),0)</f>
        <v>1054</v>
      </c>
      <c r="EO42" s="33">
        <f>ROUND(坦克等级成长!$H139*VLOOKUP($DR$2,坦克等级成长!$B$36:$G$42,MATCH(EO$3,坦克等级成长!$B$35:$G$35,0)),0)</f>
        <v>246</v>
      </c>
      <c r="EP42" s="192">
        <v>7</v>
      </c>
      <c r="EQ42" s="33">
        <f>ROUND(坦克等级成长!$D139*VLOOKUP($EP$2,坦克等级成长!$B$36:$G$42,MATCH(EQ$3,坦克等级成长!$B$35:$G$35,0)),0)</f>
        <v>2098</v>
      </c>
      <c r="ER42" s="33">
        <f>ROUND(坦克等级成长!$D139*VLOOKUP($EP$2,坦克等级成长!$B$36:$G$42,MATCH(ER$3,坦克等级成长!$B$35:$G$35,0)),0)</f>
        <v>216</v>
      </c>
      <c r="ES42" s="33">
        <f>ROUND(坦克等级成长!$D139*VLOOKUP($EP$2,坦克等级成长!$B$36:$G$42,MATCH(ES$3,坦克等级成长!$B$35:$G$35,0)),0)</f>
        <v>798</v>
      </c>
      <c r="ET42" s="33">
        <f t="shared" si="34"/>
        <v>798</v>
      </c>
      <c r="EU42" s="33">
        <v>636</v>
      </c>
      <c r="EV42" s="33">
        <f>ROUND(坦克等级成长!$D139*VLOOKUP($EP$2,坦克等级成长!$B$36:$G$42,MATCH(EV$3,坦克等级成长!$B$35:$G$35,0)),0)</f>
        <v>875</v>
      </c>
      <c r="EW42" s="33">
        <f>ROUND(坦克等级成长!$D139*VLOOKUP($EP$2,坦克等级成长!$B$36:$G$42,MATCH(EW$3,坦克等级成长!$B$35:$G$35,0)),0)</f>
        <v>210</v>
      </c>
      <c r="EX42" s="199">
        <v>7</v>
      </c>
      <c r="EY42" s="33">
        <f>ROUND(坦克等级成长!$F139*VLOOKUP($EP$2,坦克等级成长!$B$36:$G$42,MATCH(EY$3,坦克等级成长!$B$35:$G$35,0)),0)</f>
        <v>2133</v>
      </c>
      <c r="EZ42" s="33">
        <f>ROUND(坦克等级成长!$F139*VLOOKUP($EP$2,坦克等级成长!$B$36:$G$42,MATCH(EZ$3,坦克等级成长!$B$35:$G$35,0)),0)</f>
        <v>220</v>
      </c>
      <c r="FA42" s="33">
        <f>ROUND(坦克等级成长!$F139*VLOOKUP($EP$2,坦克等级成长!$B$36:$G$42,MATCH(FA$3,坦克等级成长!$B$35:$G$35,0)),0)</f>
        <v>812</v>
      </c>
      <c r="FB42" s="33">
        <f t="shared" si="13"/>
        <v>812</v>
      </c>
      <c r="FC42" s="33">
        <v>656</v>
      </c>
      <c r="FD42" s="33">
        <f>ROUND(坦克等级成长!$F139*VLOOKUP($EP$2,坦克等级成长!$B$36:$G$42,MATCH(FD$3,坦克等级成长!$B$35:$G$35,0)),0)</f>
        <v>889</v>
      </c>
      <c r="FE42" s="33">
        <f>ROUND(坦克等级成长!$F139*VLOOKUP($EP$2,坦克等级成长!$B$36:$G$42,MATCH(FE$3,坦克等级成长!$B$35:$G$35,0)),0)</f>
        <v>213</v>
      </c>
      <c r="FF42" s="192">
        <v>7</v>
      </c>
      <c r="FG42" s="33">
        <f>ROUND(坦克等级成长!$H139*VLOOKUP($EP$2,坦克等级成长!$B$36:$G$42,MATCH(FG$3,坦克等级成长!$B$35:$G$35,0)),0)</f>
        <v>2167</v>
      </c>
      <c r="FH42" s="33">
        <f>ROUND(坦克等级成长!$H139*VLOOKUP($EP$2,坦克等级成长!$B$36:$G$42,MATCH(FH$3,坦克等级成长!$B$35:$G$35,0)),0)</f>
        <v>223</v>
      </c>
      <c r="FI42" s="33">
        <f>ROUND(坦克等级成长!$H139*VLOOKUP($EP$2,坦克等级成长!$B$36:$G$42,MATCH(FI$3,坦克等级成长!$B$35:$G$35,0)),0)</f>
        <v>825</v>
      </c>
      <c r="FJ42" s="33">
        <f t="shared" si="27"/>
        <v>825</v>
      </c>
      <c r="FK42" s="33">
        <v>656</v>
      </c>
      <c r="FL42" s="33">
        <f>ROUND(坦克等级成长!$H139*VLOOKUP($EP$2,坦克等级成长!$B$36:$G$42,MATCH(FL$3,坦克等级成长!$B$35:$G$35,0)),0)</f>
        <v>904</v>
      </c>
      <c r="FM42" s="33">
        <f>ROUND(坦克等级成长!$H139*VLOOKUP($EP$2,坦克等级成长!$B$36:$G$42,MATCH(FM$3,坦克等级成长!$B$35:$G$35,0)),0)</f>
        <v>217</v>
      </c>
    </row>
    <row r="43" spans="1:169" ht="14.25" x14ac:dyDescent="0.3">
      <c r="A43" s="189">
        <v>4</v>
      </c>
      <c r="B43" s="192">
        <v>8</v>
      </c>
      <c r="C43" s="33">
        <f>ROUND(坦克等级成长!$D140*VLOOKUP($B$2,坦克等级成长!$B$36:$G$42,MATCH(C$3,坦克等级成长!$B$35:$G$35,0)),0)</f>
        <v>2024</v>
      </c>
      <c r="D43" s="33">
        <f>ROUND(坦克等级成长!$D140*VLOOKUP($B$2,坦克等级成长!$B$36:$G$42,MATCH(D$3,坦克等级成长!$B$35:$G$35,0)),0)</f>
        <v>202</v>
      </c>
      <c r="E43" s="33">
        <f>ROUND(坦克等级成长!$D140*VLOOKUP($B$2,坦克等级成长!$B$36:$G$42,MATCH(E$3,坦克等级成长!$B$35:$G$35,0)),0)</f>
        <v>759</v>
      </c>
      <c r="F43" s="33">
        <f t="shared" si="28"/>
        <v>759</v>
      </c>
      <c r="G43" s="33">
        <v>564.9</v>
      </c>
      <c r="H43" s="33">
        <f>ROUND(坦克等级成长!$D140*VLOOKUP($B$2,坦克等级成长!$B$36:$G$42,MATCH(H$3,坦克等级成长!$B$35:$G$35,0)),0)</f>
        <v>759</v>
      </c>
      <c r="I43" s="33">
        <f>ROUND(坦克等级成长!$D140*VLOOKUP($B$2,坦克等级成长!$B$36:$G$42,MATCH(I$3,坦克等级成长!$B$35:$G$35,0)),0)</f>
        <v>202</v>
      </c>
      <c r="J43" s="199">
        <v>8</v>
      </c>
      <c r="K43" s="33">
        <f>ROUND(坦克等级成长!$F140*VLOOKUP($B$2,坦克等级成长!$B$36:$G$42,MATCH(K$3,坦克等级成长!$B$35:$G$35,0)),0)</f>
        <v>2056</v>
      </c>
      <c r="L43" s="33">
        <f>ROUND(坦克等级成长!$F140*VLOOKUP($B$2,坦克等级成长!$B$36:$G$42,MATCH(L$3,坦克等级成长!$B$35:$G$35,0)),0)</f>
        <v>205</v>
      </c>
      <c r="M43" s="33">
        <f>ROUND(坦克等级成长!$F140*VLOOKUP($B$2,坦克等级成长!$B$36:$G$42,MATCH(M$3,坦克等级成长!$B$35:$G$35,0)),0)</f>
        <v>771</v>
      </c>
      <c r="N43" s="33">
        <f t="shared" si="7"/>
        <v>771</v>
      </c>
      <c r="O43" s="33">
        <v>582</v>
      </c>
      <c r="P43" s="33">
        <f>ROUND(坦克等级成长!$F140*VLOOKUP($B$2,坦克等级成长!$B$36:$G$42,MATCH(P$3,坦克等级成长!$B$35:$G$35,0)),0)</f>
        <v>771</v>
      </c>
      <c r="Q43" s="33">
        <f>ROUND(坦克等级成长!$F140*VLOOKUP($B$2,坦克等级成长!$B$36:$G$42,MATCH(Q$3,坦克等级成长!$B$35:$G$35,0)),0)</f>
        <v>206</v>
      </c>
      <c r="R43" s="192">
        <v>8</v>
      </c>
      <c r="S43" s="33">
        <f>ROUND(坦克等级成长!$H140*VLOOKUP($B$2,坦克等级成长!$B$36:$G$42,MATCH(S$3,坦克等级成长!$B$35:$G$35,0)),0)</f>
        <v>2088</v>
      </c>
      <c r="T43" s="33">
        <f>ROUND(坦克等级成长!$H140*VLOOKUP($B$2,坦克等级成长!$B$36:$G$42,MATCH(T$3,坦克等级成长!$B$35:$G$35,0)),0)</f>
        <v>208</v>
      </c>
      <c r="U43" s="33">
        <f>ROUND(坦克等级成长!$H140*VLOOKUP($B$2,坦克等级成长!$B$36:$G$42,MATCH(U$3,坦克等级成长!$B$35:$G$35,0)),0)</f>
        <v>783</v>
      </c>
      <c r="V43" s="33">
        <f t="shared" si="21"/>
        <v>783</v>
      </c>
      <c r="W43" s="33">
        <v>582</v>
      </c>
      <c r="X43" s="33">
        <f>ROUND(坦克等级成长!$H140*VLOOKUP($B$2,坦克等级成长!$B$36:$G$42,MATCH(X$3,坦克等级成长!$B$35:$G$35,0)),0)</f>
        <v>783</v>
      </c>
      <c r="Y43" s="33">
        <f>ROUND(坦克等级成长!$H140*VLOOKUP($B$2,坦克等级成长!$B$36:$G$42,MATCH(Y$3,坦克等级成长!$B$35:$G$35,0)),0)</f>
        <v>209</v>
      </c>
      <c r="Z43" s="192">
        <v>8</v>
      </c>
      <c r="AA43" s="33">
        <f>ROUND(坦克等级成长!$D140*VLOOKUP($Z$2,坦克等级成长!$B$36:$G$42,MATCH(AA$3,坦克等级成长!$B$35:$G$35,0)),0)</f>
        <v>2024</v>
      </c>
      <c r="AB43" s="33">
        <f>ROUND(坦克等级成长!$D140*VLOOKUP($Z$2,坦克等级成长!$B$36:$G$42,MATCH(AB$3,坦克等级成长!$B$35:$G$35,0)),0)</f>
        <v>107</v>
      </c>
      <c r="AC43" s="33">
        <f>ROUND(坦克等级成长!$D140*VLOOKUP($Z$2,坦克等级成长!$B$36:$G$42,MATCH(AC$3,坦克等级成长!$B$35:$G$35,0)),0)</f>
        <v>831</v>
      </c>
      <c r="AD43" s="33">
        <f t="shared" si="29"/>
        <v>831</v>
      </c>
      <c r="AE43" s="33">
        <v>618.79999999999995</v>
      </c>
      <c r="AF43" s="33">
        <f>ROUND(坦克等级成长!$D140*VLOOKUP($Z$2,坦克等级成长!$B$36:$G$42,MATCH(AF$3,坦克等级成长!$B$35:$G$35,0)),0)</f>
        <v>759</v>
      </c>
      <c r="AG43" s="33">
        <f>ROUND(坦克等级成长!$D140*VLOOKUP($Z$2,坦克等级成长!$B$36:$G$42,MATCH(AG$3,坦克等级成长!$B$35:$G$35,0)),0)</f>
        <v>202</v>
      </c>
      <c r="AH43" s="199">
        <v>8</v>
      </c>
      <c r="AI43" s="33">
        <f>ROUND(坦克等级成长!$F140*VLOOKUP($Z$2,坦克等级成长!$B$36:$G$42,MATCH(AI$3,坦克等级成长!$B$35:$G$35,0)),0)</f>
        <v>2056</v>
      </c>
      <c r="AJ43" s="33">
        <f>ROUND(坦克等级成长!$F140*VLOOKUP($Z$2,坦克等级成长!$B$36:$G$42,MATCH(AJ$3,坦克等级成长!$B$35:$G$35,0)),0)</f>
        <v>109</v>
      </c>
      <c r="AK43" s="33">
        <f>ROUND(坦克等级成长!$F140*VLOOKUP($Z$2,坦克等级成长!$B$36:$G$42,MATCH(AK$3,坦克等级成长!$B$35:$G$35,0)),0)</f>
        <v>844</v>
      </c>
      <c r="AL43" s="33">
        <f t="shared" si="8"/>
        <v>844</v>
      </c>
      <c r="AM43" s="33">
        <v>637</v>
      </c>
      <c r="AN43" s="33">
        <f>ROUND(坦克等级成长!$F140*VLOOKUP($Z$2,坦克等级成长!$B$36:$G$42,MATCH(AN$3,坦克等级成长!$B$35:$G$35,0)),0)</f>
        <v>771</v>
      </c>
      <c r="AO43" s="33">
        <f>ROUND(坦克等级成长!$F140*VLOOKUP($Z$2,坦克等级成长!$B$36:$G$42,MATCH(AO$3,坦克等级成长!$B$35:$G$35,0)),0)</f>
        <v>206</v>
      </c>
      <c r="AP43" s="192">
        <v>8</v>
      </c>
      <c r="AQ43" s="33">
        <f>ROUND(坦克等级成长!$H140*VLOOKUP($Z$2,坦克等级成长!$B$36:$G$42,MATCH(AQ$3,坦克等级成长!$B$35:$G$35,0)),0)</f>
        <v>2088</v>
      </c>
      <c r="AR43" s="33">
        <f>ROUND(坦克等级成长!$H140*VLOOKUP($Z$2,坦克等级成长!$B$36:$G$42,MATCH(AR$3,坦克等级成长!$B$35:$G$35,0)),0)</f>
        <v>111</v>
      </c>
      <c r="AS43" s="33">
        <f>ROUND(坦克等级成长!$H140*VLOOKUP($Z$2,坦克等级成长!$B$36:$G$42,MATCH(AS$3,坦克等级成长!$B$35:$G$35,0)),0)</f>
        <v>858</v>
      </c>
      <c r="AT43" s="33">
        <f t="shared" si="22"/>
        <v>858</v>
      </c>
      <c r="AU43" s="33">
        <v>637</v>
      </c>
      <c r="AV43" s="33">
        <f>ROUND(坦克等级成长!$H140*VLOOKUP($Z$2,坦克等级成长!$B$36:$G$42,MATCH(AV$3,坦克等级成长!$B$35:$G$35,0)),0)</f>
        <v>783</v>
      </c>
      <c r="AW43" s="33">
        <f>ROUND(坦克等级成长!$H140*VLOOKUP($Z$2,坦克等级成长!$B$36:$G$42,MATCH(AW$3,坦克等级成长!$B$35:$G$35,0)),0)</f>
        <v>209</v>
      </c>
      <c r="AX43" s="192">
        <v>8</v>
      </c>
      <c r="AY43" s="33">
        <f>ROUND(坦克等级成长!$D140*VLOOKUP($AX$2,坦克等级成长!$B$36:$G$42,MATCH(AY$3,坦克等级成长!$B$35:$G$35,0)),0)</f>
        <v>2024</v>
      </c>
      <c r="AZ43" s="33">
        <f>ROUND(坦克等级成长!$D140*VLOOKUP($AX$2,坦克等级成长!$B$36:$G$42,MATCH(AZ$3,坦克等级成长!$B$35:$G$35,0)),0)</f>
        <v>202</v>
      </c>
      <c r="BA43" s="33">
        <f>ROUND(坦克等级成长!$D140*VLOOKUP($AX$2,坦克等级成长!$B$36:$G$42,MATCH(BA$3,坦克等级成长!$B$35:$G$35,0)),0)</f>
        <v>759</v>
      </c>
      <c r="BB43" s="33">
        <f t="shared" si="30"/>
        <v>759</v>
      </c>
      <c r="BC43" s="33">
        <v>564.9</v>
      </c>
      <c r="BD43" s="33">
        <f>ROUND(坦克等级成长!$D140*VLOOKUP($AX$2,坦克等级成长!$B$36:$G$42,MATCH(BD$3,坦克等级成长!$B$35:$G$35,0)),0)</f>
        <v>759</v>
      </c>
      <c r="BE43" s="33">
        <f>ROUND(坦克等级成长!$D140*VLOOKUP($AX$2,坦克等级成长!$B$36:$G$42,MATCH(BE$3,坦克等级成长!$B$35:$G$35,0)),0)</f>
        <v>202</v>
      </c>
      <c r="BF43" s="199">
        <v>8</v>
      </c>
      <c r="BG43" s="33">
        <f>ROUND(坦克等级成长!$F140*VLOOKUP($AX$2,坦克等级成长!$B$36:$G$42,MATCH(BG$3,坦克等级成长!$B$35:$G$35,0)),0)</f>
        <v>2056</v>
      </c>
      <c r="BH43" s="33">
        <f>ROUND(坦克等级成长!$F140*VLOOKUP($AX$2,坦克等级成长!$B$36:$G$42,MATCH(BH$3,坦克等级成长!$B$35:$G$35,0)),0)</f>
        <v>205</v>
      </c>
      <c r="BI43" s="33">
        <f>ROUND(坦克等级成长!$F140*VLOOKUP($AX$2,坦克等级成长!$B$36:$G$42,MATCH(BI$3,坦克等级成长!$B$35:$G$35,0)),0)</f>
        <v>771</v>
      </c>
      <c r="BJ43" s="33">
        <f t="shared" si="9"/>
        <v>771</v>
      </c>
      <c r="BK43" s="33">
        <v>582</v>
      </c>
      <c r="BL43" s="33">
        <f>ROUND(坦克等级成长!$F140*VLOOKUP($AX$2,坦克等级成长!$B$36:$G$42,MATCH(BL$3,坦克等级成长!$B$35:$G$35,0)),0)</f>
        <v>771</v>
      </c>
      <c r="BM43" s="33">
        <f>ROUND(坦克等级成长!$F140*VLOOKUP($AX$2,坦克等级成长!$B$36:$G$42,MATCH(BM$3,坦克等级成长!$B$35:$G$35,0)),0)</f>
        <v>206</v>
      </c>
      <c r="BN43" s="192">
        <v>8</v>
      </c>
      <c r="BO43" s="33">
        <f>ROUND(坦克等级成长!$H140*VLOOKUP($AX$2,坦克等级成长!$B$36:$G$42,MATCH(BO$3,坦克等级成长!$B$35:$G$35,0)),0)</f>
        <v>2088</v>
      </c>
      <c r="BP43" s="33">
        <f>ROUND(坦克等级成长!$H140*VLOOKUP($AX$2,坦克等级成长!$B$36:$G$42,MATCH(BP$3,坦克等级成长!$B$35:$G$35,0)),0)</f>
        <v>208</v>
      </c>
      <c r="BQ43" s="33">
        <f>ROUND(坦克等级成长!$H140*VLOOKUP($AX$2,坦克等级成长!$B$36:$G$42,MATCH(BQ$3,坦克等级成长!$B$35:$G$35,0)),0)</f>
        <v>783</v>
      </c>
      <c r="BR43" s="33">
        <f t="shared" si="23"/>
        <v>783</v>
      </c>
      <c r="BS43" s="33">
        <v>582</v>
      </c>
      <c r="BT43" s="33">
        <f>ROUND(坦克等级成长!$H140*VLOOKUP($AX$2,坦克等级成长!$B$36:$G$42,MATCH(BT$3,坦克等级成长!$B$35:$G$35,0)),0)</f>
        <v>783</v>
      </c>
      <c r="BU43" s="33">
        <f>ROUND(坦克等级成长!$H140*VLOOKUP($AX$2,坦克等级成长!$B$36:$G$42,MATCH(BU$3,坦克等级成长!$B$35:$G$35,0)),0)</f>
        <v>209</v>
      </c>
      <c r="BV43" s="192">
        <v>8</v>
      </c>
      <c r="BW43" s="33">
        <f>ROUND(坦克等级成长!$D140*VLOOKUP($BV$2,坦克等级成长!$B$36:$G$42,MATCH(BW$3,坦克等级成长!$B$35:$G$35,0)),0)</f>
        <v>2185</v>
      </c>
      <c r="BX43" s="33">
        <f>ROUND(坦克等级成长!$D140*VLOOKUP($BV$2,坦克等级成长!$B$36:$G$42,MATCH(BX$3,坦克等级成长!$B$35:$G$35,0)),0)</f>
        <v>188</v>
      </c>
      <c r="BY43" s="33">
        <f>ROUND(坦克等级成长!$D140*VLOOKUP($BV$2,坦克等级成长!$B$36:$G$42,MATCH(BY$3,坦克等级成长!$B$35:$G$35,0)),0)</f>
        <v>723</v>
      </c>
      <c r="BZ43" s="33">
        <f t="shared" si="31"/>
        <v>723</v>
      </c>
      <c r="CA43" s="33">
        <v>576.75</v>
      </c>
      <c r="CB43" s="33">
        <f>ROUND(坦克等级成长!$D140*VLOOKUP($BV$2,坦克等级成长!$B$36:$G$42,MATCH(CB$3,坦克等级成长!$B$35:$G$35,0)),0)</f>
        <v>911</v>
      </c>
      <c r="CC43" s="33">
        <f>ROUND(坦克等级成长!$D140*VLOOKUP($BV$2,坦克等级成长!$B$36:$G$42,MATCH(CC$3,坦克等级成长!$B$35:$G$35,0)),0)</f>
        <v>218</v>
      </c>
      <c r="CD43" s="199">
        <v>8</v>
      </c>
      <c r="CE43" s="33">
        <f>ROUND(坦克等级成长!$F140*VLOOKUP($BV$2,坦克等级成长!$B$36:$G$42,MATCH(CE$3,坦克等级成长!$B$35:$G$35,0)),0)</f>
        <v>2219</v>
      </c>
      <c r="CF43" s="33">
        <f>ROUND(坦克等级成长!$F140*VLOOKUP($BV$2,坦克等级成长!$B$36:$G$42,MATCH(CF$3,坦克等级成长!$B$35:$G$35,0)),0)</f>
        <v>191</v>
      </c>
      <c r="CG43" s="33">
        <f>ROUND(坦克等级成长!$F140*VLOOKUP($BV$2,坦克等级成长!$B$36:$G$42,MATCH(CG$3,坦克等级成长!$B$35:$G$35,0)),0)</f>
        <v>734</v>
      </c>
      <c r="CH43" s="33">
        <f t="shared" si="10"/>
        <v>734</v>
      </c>
      <c r="CI43" s="33">
        <v>593</v>
      </c>
      <c r="CJ43" s="33">
        <f>ROUND(坦克等级成长!$F140*VLOOKUP($BV$2,坦克等级成长!$B$36:$G$42,MATCH(CJ$3,坦克等级成长!$B$35:$G$35,0)),0)</f>
        <v>925</v>
      </c>
      <c r="CK43" s="33">
        <f>ROUND(坦克等级成长!$F140*VLOOKUP($BV$2,坦克等级成长!$B$36:$G$42,MATCH(CK$3,坦克等级成长!$B$35:$G$35,0)),0)</f>
        <v>222</v>
      </c>
      <c r="CL43" s="192">
        <v>8</v>
      </c>
      <c r="CM43" s="33">
        <f>ROUND(坦克等级成长!$H140*VLOOKUP($BV$2,坦克等级成长!$B$36:$G$42,MATCH(CM$3,坦克等级成长!$B$35:$G$35,0)),0)</f>
        <v>2254</v>
      </c>
      <c r="CN43" s="33">
        <f>ROUND(坦克等级成长!$H140*VLOOKUP($BV$2,坦克等级成长!$B$36:$G$42,MATCH(CN$3,坦克等级成长!$B$35:$G$35,0)),0)</f>
        <v>194</v>
      </c>
      <c r="CO43" s="33">
        <f>ROUND(坦克等级成长!$H140*VLOOKUP($BV$2,坦克等级成长!$B$36:$G$42,MATCH(CO$3,坦克等级成长!$B$35:$G$35,0)),0)</f>
        <v>746</v>
      </c>
      <c r="CP43" s="33">
        <f t="shared" si="24"/>
        <v>746</v>
      </c>
      <c r="CQ43" s="33">
        <v>593</v>
      </c>
      <c r="CR43" s="33">
        <f>ROUND(坦克等级成长!$H140*VLOOKUP($BV$2,坦克等级成长!$B$36:$G$42,MATCH(CR$3,坦克等级成长!$B$35:$G$35,0)),0)</f>
        <v>940</v>
      </c>
      <c r="CS43" s="33">
        <f>ROUND(坦克等级成长!$H140*VLOOKUP($BV$2,坦克等级成长!$B$36:$G$42,MATCH(CS$3,坦克等级成长!$B$35:$G$35,0)),0)</f>
        <v>225</v>
      </c>
      <c r="CT43" s="192">
        <v>8</v>
      </c>
      <c r="CU43" s="33">
        <f>ROUND(坦克等级成长!$D140*VLOOKUP($CT$2,坦克等级成长!$B$36:$G$42,MATCH(CU$3,坦克等级成长!$B$35:$G$35,0)),0)</f>
        <v>2024</v>
      </c>
      <c r="CV43" s="33">
        <f>ROUND(坦克等级成长!$D140*VLOOKUP($CT$2,坦克等级成长!$B$36:$G$42,MATCH(CV$3,坦克等级成长!$B$35:$G$35,0)),0)</f>
        <v>407</v>
      </c>
      <c r="CW43" s="33">
        <f>ROUND(坦克等级成长!$D140*VLOOKUP($CT$2,坦克等级成长!$B$36:$G$42,MATCH(CW$3,坦克等级成长!$B$35:$G$35,0)),0)</f>
        <v>904</v>
      </c>
      <c r="CX43" s="33">
        <f t="shared" si="32"/>
        <v>904</v>
      </c>
      <c r="CY43" s="33">
        <v>720.75</v>
      </c>
      <c r="CZ43" s="33">
        <f>ROUND(坦克等级成长!$D140*VLOOKUP($CT$2,坦克等级成长!$B$36:$G$42,MATCH(CZ$3,坦克等级成长!$B$35:$G$35,0)),0)</f>
        <v>759</v>
      </c>
      <c r="DA43" s="33">
        <f>ROUND(坦克等级成长!$D140*VLOOKUP($CT$2,坦克等级成长!$B$36:$G$42,MATCH(DA$3,坦克等级成长!$B$35:$G$35,0)),0)</f>
        <v>202</v>
      </c>
      <c r="DB43" s="199">
        <v>8</v>
      </c>
      <c r="DC43" s="33">
        <f>ROUND(坦克等级成长!$F140*VLOOKUP($CT$2,坦克等级成长!$B$36:$G$42,MATCH(DC$3,坦克等级成长!$B$35:$G$35,0)),0)</f>
        <v>2056</v>
      </c>
      <c r="DD43" s="33">
        <f>ROUND(坦克等级成长!$F140*VLOOKUP($CT$2,坦克等级成长!$B$36:$G$42,MATCH(DD$3,坦克等级成长!$B$35:$G$35,0)),0)</f>
        <v>414</v>
      </c>
      <c r="DE43" s="33">
        <f>ROUND(坦克等级成长!$F140*VLOOKUP($CT$2,坦克等级成长!$B$36:$G$42,MATCH(DE$3,坦克等级成长!$B$35:$G$35,0)),0)</f>
        <v>918</v>
      </c>
      <c r="DF43" s="33">
        <f t="shared" si="11"/>
        <v>918</v>
      </c>
      <c r="DG43" s="33">
        <v>742</v>
      </c>
      <c r="DH43" s="33">
        <f>ROUND(坦克等级成长!$F140*VLOOKUP($CT$2,坦克等级成长!$B$36:$G$42,MATCH(DH$3,坦克等级成长!$B$35:$G$35,0)),0)</f>
        <v>771</v>
      </c>
      <c r="DI43" s="33">
        <f>ROUND(坦克等级成长!$F140*VLOOKUP($CT$2,坦克等级成长!$B$36:$G$42,MATCH(DI$3,坦克等级成长!$B$35:$G$35,0)),0)</f>
        <v>206</v>
      </c>
      <c r="DJ43" s="192">
        <v>8</v>
      </c>
      <c r="DK43" s="33">
        <f>ROUND(坦克等级成长!$H140*VLOOKUP($CT$2,坦克等级成长!$B$36:$G$42,MATCH(DK$3,坦克等级成长!$B$35:$G$35,0)),0)</f>
        <v>2088</v>
      </c>
      <c r="DL43" s="33">
        <f>ROUND(坦克等级成长!$H140*VLOOKUP($CT$2,坦克等级成长!$B$36:$G$42,MATCH(DL$3,坦克等级成长!$B$35:$G$35,0)),0)</f>
        <v>420</v>
      </c>
      <c r="DM43" s="33">
        <f>ROUND(坦克等级成长!$H140*VLOOKUP($CT$2,坦克等级成长!$B$36:$G$42,MATCH(DM$3,坦克等级成长!$B$35:$G$35,0)),0)</f>
        <v>932</v>
      </c>
      <c r="DN43" s="33">
        <f t="shared" si="25"/>
        <v>932</v>
      </c>
      <c r="DO43" s="33">
        <v>742</v>
      </c>
      <c r="DP43" s="33">
        <f>ROUND(坦克等级成长!$H140*VLOOKUP($CT$2,坦克等级成长!$B$36:$G$42,MATCH(DP$3,坦克等级成长!$B$35:$G$35,0)),0)</f>
        <v>783</v>
      </c>
      <c r="DQ43" s="33">
        <f>ROUND(坦克等级成长!$H140*VLOOKUP($CT$2,坦克等级成长!$B$36:$G$42,MATCH(DQ$3,坦克等级成长!$B$35:$G$35,0)),0)</f>
        <v>209</v>
      </c>
      <c r="DR43" s="192">
        <v>8</v>
      </c>
      <c r="DS43" s="33">
        <f>ROUND(坦克等级成长!$D140*VLOOKUP($DR$2,坦克等级成长!$B$36:$G$42,MATCH(DS$3,坦克等级成长!$B$35:$G$35,0)),0)</f>
        <v>2476</v>
      </c>
      <c r="DT43" s="33">
        <f>ROUND(坦克等级成长!$D140*VLOOKUP($DR$2,坦克等级成长!$B$36:$G$42,MATCH(DT$3,坦克等级成长!$B$35:$G$35,0)),0)</f>
        <v>678</v>
      </c>
      <c r="DU43" s="33">
        <f>ROUND(坦克等级成长!$D140*VLOOKUP($DR$2,坦克等级成长!$B$36:$G$42,MATCH(DU$3,坦克等级成长!$B$35:$G$35,0)),0)</f>
        <v>723</v>
      </c>
      <c r="DV43" s="33">
        <f t="shared" si="33"/>
        <v>723</v>
      </c>
      <c r="DW43" s="33">
        <v>615.20000000000005</v>
      </c>
      <c r="DX43" s="33">
        <f>ROUND(坦克等级成长!$D140*VLOOKUP($DR$2,坦克等级成长!$B$36:$G$42,MATCH(DX$3,坦克等级成长!$B$35:$G$35,0)),0)</f>
        <v>1063</v>
      </c>
      <c r="DY43" s="33">
        <f>ROUND(坦克等级成长!$D140*VLOOKUP($DR$2,坦克等级成长!$B$36:$G$42,MATCH(DY$3,坦克等级成长!$B$35:$G$35,0)),0)</f>
        <v>248</v>
      </c>
      <c r="DZ43" s="199">
        <v>8</v>
      </c>
      <c r="EA43" s="33">
        <f>ROUND(坦克等级成长!$F140*VLOOKUP($DR$2,坦克等级成长!$B$36:$G$42,MATCH(EA$3,坦克等级成长!$B$35:$G$35,0)),0)</f>
        <v>2515</v>
      </c>
      <c r="EB43" s="33">
        <f>ROUND(坦克等级成长!$F140*VLOOKUP($DR$2,坦克等级成长!$B$36:$G$42,MATCH(EB$3,坦克等级成长!$B$35:$G$35,0)),0)</f>
        <v>689</v>
      </c>
      <c r="EC43" s="33">
        <f>ROUND(坦克等级成长!$F140*VLOOKUP($DR$2,坦克等级成长!$B$36:$G$42,MATCH(EC$3,坦克等级成长!$B$35:$G$35,0)),0)</f>
        <v>734</v>
      </c>
      <c r="ED43" s="33">
        <f t="shared" si="12"/>
        <v>734</v>
      </c>
      <c r="EE43" s="33">
        <v>633</v>
      </c>
      <c r="EF43" s="33">
        <f>ROUND(坦克等级成长!$F140*VLOOKUP($DR$2,坦克等级成长!$B$36:$G$42,MATCH(EF$3,坦克等级成长!$B$35:$G$35,0)),0)</f>
        <v>1079</v>
      </c>
      <c r="EG43" s="33">
        <f>ROUND(坦克等级成长!$F140*VLOOKUP($DR$2,坦克等级成长!$B$36:$G$42,MATCH(EG$3,坦克等级成长!$B$35:$G$35,0)),0)</f>
        <v>252</v>
      </c>
      <c r="EH43" s="192">
        <v>8</v>
      </c>
      <c r="EI43" s="33">
        <f>ROUND(坦克等级成长!$H140*VLOOKUP($DR$2,坦克等级成长!$B$36:$G$42,MATCH(EI$3,坦克等级成长!$B$35:$G$35,0)),0)</f>
        <v>2554</v>
      </c>
      <c r="EJ43" s="33">
        <f>ROUND(坦克等级成长!$H140*VLOOKUP($DR$2,坦克等级成长!$B$36:$G$42,MATCH(EJ$3,坦克等级成长!$B$35:$G$35,0)),0)</f>
        <v>700</v>
      </c>
      <c r="EK43" s="33">
        <f>ROUND(坦克等级成长!$H140*VLOOKUP($DR$2,坦克等级成长!$B$36:$G$42,MATCH(EK$3,坦克等级成长!$B$35:$G$35,0)),0)</f>
        <v>746</v>
      </c>
      <c r="EL43" s="33">
        <f t="shared" si="26"/>
        <v>746</v>
      </c>
      <c r="EM43" s="33">
        <v>633</v>
      </c>
      <c r="EN43" s="33">
        <f>ROUND(坦克等级成长!$H140*VLOOKUP($DR$2,坦克等级成长!$B$36:$G$42,MATCH(EN$3,坦克等级成长!$B$35:$G$35,0)),0)</f>
        <v>1096</v>
      </c>
      <c r="EO43" s="33">
        <f>ROUND(坦克等级成长!$H140*VLOOKUP($DR$2,坦克等级成长!$B$36:$G$42,MATCH(EO$3,坦克等级成长!$B$35:$G$35,0)),0)</f>
        <v>255</v>
      </c>
      <c r="EP43" s="192">
        <v>8</v>
      </c>
      <c r="EQ43" s="33">
        <f>ROUND(坦克等级成长!$D140*VLOOKUP($EP$2,坦克等级成长!$B$36:$G$42,MATCH(EQ$3,坦克等级成长!$B$35:$G$35,0)),0)</f>
        <v>2185</v>
      </c>
      <c r="ER43" s="33">
        <f>ROUND(坦克等级成长!$D140*VLOOKUP($EP$2,坦克等级成长!$B$36:$G$42,MATCH(ER$3,坦克等级成长!$B$35:$G$35,0)),0)</f>
        <v>225</v>
      </c>
      <c r="ES43" s="33">
        <f>ROUND(坦克等级成长!$D140*VLOOKUP($EP$2,坦克等级成长!$B$36:$G$42,MATCH(ES$3,坦克等级成长!$B$35:$G$35,0)),0)</f>
        <v>831</v>
      </c>
      <c r="ET43" s="33">
        <f t="shared" si="34"/>
        <v>831</v>
      </c>
      <c r="EU43" s="33">
        <v>663</v>
      </c>
      <c r="EV43" s="33">
        <f>ROUND(坦克等级成长!$D140*VLOOKUP($EP$2,坦克等级成长!$B$36:$G$42,MATCH(EV$3,坦克等级成长!$B$35:$G$35,0)),0)</f>
        <v>911</v>
      </c>
      <c r="EW43" s="33">
        <f>ROUND(坦克等级成长!$D140*VLOOKUP($EP$2,坦克等级成长!$B$36:$G$42,MATCH(EW$3,坦克等级成长!$B$35:$G$35,0)),0)</f>
        <v>218</v>
      </c>
      <c r="EX43" s="199">
        <v>8</v>
      </c>
      <c r="EY43" s="33">
        <f>ROUND(坦克等级成长!$F140*VLOOKUP($EP$2,坦克等级成长!$B$36:$G$42,MATCH(EY$3,坦克等级成长!$B$35:$G$35,0)),0)</f>
        <v>2219</v>
      </c>
      <c r="EZ43" s="33">
        <f>ROUND(坦克等级成长!$F140*VLOOKUP($EP$2,坦克等级成长!$B$36:$G$42,MATCH(EZ$3,坦克等级成长!$B$35:$G$35,0)),0)</f>
        <v>229</v>
      </c>
      <c r="FA43" s="33">
        <f>ROUND(坦克等级成长!$F140*VLOOKUP($EP$2,坦克等级成长!$B$36:$G$42,MATCH(FA$3,坦克等级成长!$B$35:$G$35,0)),0)</f>
        <v>844</v>
      </c>
      <c r="FB43" s="33">
        <f t="shared" si="13"/>
        <v>844</v>
      </c>
      <c r="FC43" s="33">
        <v>683</v>
      </c>
      <c r="FD43" s="33">
        <f>ROUND(坦克等级成长!$F140*VLOOKUP($EP$2,坦克等级成长!$B$36:$G$42,MATCH(FD$3,坦克等级成长!$B$35:$G$35,0)),0)</f>
        <v>925</v>
      </c>
      <c r="FE43" s="33">
        <f>ROUND(坦克等级成长!$F140*VLOOKUP($EP$2,坦克等级成长!$B$36:$G$42,MATCH(FE$3,坦克等级成长!$B$35:$G$35,0)),0)</f>
        <v>222</v>
      </c>
      <c r="FF43" s="192">
        <v>8</v>
      </c>
      <c r="FG43" s="33">
        <f>ROUND(坦克等级成长!$H140*VLOOKUP($EP$2,坦克等级成长!$B$36:$G$42,MATCH(FG$3,坦克等级成长!$B$35:$G$35,0)),0)</f>
        <v>2254</v>
      </c>
      <c r="FH43" s="33">
        <f>ROUND(坦克等级成长!$H140*VLOOKUP($EP$2,坦克等级成长!$B$36:$G$42,MATCH(FH$3,坦克等级成长!$B$35:$G$35,0)),0)</f>
        <v>232</v>
      </c>
      <c r="FI43" s="33">
        <f>ROUND(坦克等级成长!$H140*VLOOKUP($EP$2,坦克等级成长!$B$36:$G$42,MATCH(FI$3,坦克等级成长!$B$35:$G$35,0)),0)</f>
        <v>858</v>
      </c>
      <c r="FJ43" s="33">
        <f t="shared" si="27"/>
        <v>858</v>
      </c>
      <c r="FK43" s="33">
        <v>683</v>
      </c>
      <c r="FL43" s="33">
        <f>ROUND(坦克等级成长!$H140*VLOOKUP($EP$2,坦克等级成长!$B$36:$G$42,MATCH(FL$3,坦克等级成长!$B$35:$G$35,0)),0)</f>
        <v>940</v>
      </c>
      <c r="FM43" s="33">
        <f>ROUND(坦克等级成长!$H140*VLOOKUP($EP$2,坦克等级成长!$B$36:$G$42,MATCH(FM$3,坦克等级成长!$B$35:$G$35,0)),0)</f>
        <v>225</v>
      </c>
    </row>
    <row r="44" spans="1:169" ht="14.25" x14ac:dyDescent="0.3">
      <c r="A44" s="189">
        <v>4</v>
      </c>
      <c r="B44" s="192">
        <v>9</v>
      </c>
      <c r="C44" s="33">
        <f>ROUND(坦克等级成长!$D141*VLOOKUP($B$2,坦克等级成长!$B$36:$G$42,MATCH(C$3,坦克等级成长!$B$35:$G$35,0)),0)</f>
        <v>2104</v>
      </c>
      <c r="D44" s="33">
        <f>ROUND(坦克等级成长!$D141*VLOOKUP($B$2,坦克等级成长!$B$36:$G$42,MATCH(D$3,坦克等级成长!$B$35:$G$35,0)),0)</f>
        <v>210</v>
      </c>
      <c r="E44" s="33">
        <f>ROUND(坦克等级成长!$D141*VLOOKUP($B$2,坦克等级成长!$B$36:$G$42,MATCH(E$3,坦克等级成长!$B$35:$G$35,0)),0)</f>
        <v>789</v>
      </c>
      <c r="F44" s="33">
        <f t="shared" si="28"/>
        <v>789</v>
      </c>
      <c r="G44" s="33">
        <v>588</v>
      </c>
      <c r="H44" s="33">
        <f>ROUND(坦克等级成长!$D141*VLOOKUP($B$2,坦克等级成长!$B$36:$G$42,MATCH(H$3,坦克等级成长!$B$35:$G$35,0)),0)</f>
        <v>789</v>
      </c>
      <c r="I44" s="33">
        <f>ROUND(坦克等级成长!$D141*VLOOKUP($B$2,坦克等级成长!$B$36:$G$42,MATCH(I$3,坦克等级成长!$B$35:$G$35,0)),0)</f>
        <v>210</v>
      </c>
      <c r="J44" s="199">
        <v>9</v>
      </c>
      <c r="K44" s="33">
        <f>ROUND(坦克等级成长!$F141*VLOOKUP($B$2,坦克等级成长!$B$36:$G$42,MATCH(K$3,坦克等级成长!$B$35:$G$35,0)),0)</f>
        <v>2136</v>
      </c>
      <c r="L44" s="33">
        <f>ROUND(坦克等级成长!$F141*VLOOKUP($B$2,坦克等级成长!$B$36:$G$42,MATCH(L$3,坦克等级成长!$B$35:$G$35,0)),0)</f>
        <v>213</v>
      </c>
      <c r="M44" s="33">
        <f>ROUND(坦克等级成长!$F141*VLOOKUP($B$2,坦克等级成长!$B$36:$G$42,MATCH(M$3,坦克等级成长!$B$35:$G$35,0)),0)</f>
        <v>801</v>
      </c>
      <c r="N44" s="33">
        <f t="shared" si="7"/>
        <v>801</v>
      </c>
      <c r="O44" s="33">
        <v>605</v>
      </c>
      <c r="P44" s="33">
        <f>ROUND(坦克等级成长!$F141*VLOOKUP($B$2,坦克等级成长!$B$36:$G$42,MATCH(P$3,坦克等级成长!$B$35:$G$35,0)),0)</f>
        <v>801</v>
      </c>
      <c r="Q44" s="33">
        <f>ROUND(坦克等级成长!$F141*VLOOKUP($B$2,坦克等级成长!$B$36:$G$42,MATCH(Q$3,坦克等级成长!$B$35:$G$35,0)),0)</f>
        <v>214</v>
      </c>
      <c r="R44" s="192">
        <v>9</v>
      </c>
      <c r="S44" s="33">
        <f>ROUND(坦克等级成长!$H141*VLOOKUP($B$2,坦克等级成长!$B$36:$G$42,MATCH(S$3,坦克等级成长!$B$35:$G$35,0)),0)</f>
        <v>2168</v>
      </c>
      <c r="T44" s="33">
        <f>ROUND(坦克等级成长!$H141*VLOOKUP($B$2,坦克等级成长!$B$36:$G$42,MATCH(T$3,坦克等级成长!$B$35:$G$35,0)),0)</f>
        <v>216</v>
      </c>
      <c r="U44" s="33">
        <f>ROUND(坦克等级成长!$H141*VLOOKUP($B$2,坦克等级成长!$B$36:$G$42,MATCH(U$3,坦克等级成长!$B$35:$G$35,0)),0)</f>
        <v>813</v>
      </c>
      <c r="V44" s="33">
        <f t="shared" si="21"/>
        <v>813</v>
      </c>
      <c r="W44" s="33">
        <v>605</v>
      </c>
      <c r="X44" s="33">
        <f>ROUND(坦克等级成长!$H141*VLOOKUP($B$2,坦克等级成长!$B$36:$G$42,MATCH(X$3,坦克等级成长!$B$35:$G$35,0)),0)</f>
        <v>813</v>
      </c>
      <c r="Y44" s="33">
        <f>ROUND(坦克等级成长!$H141*VLOOKUP($B$2,坦克等级成长!$B$36:$G$42,MATCH(Y$3,坦克等级成长!$B$35:$G$35,0)),0)</f>
        <v>217</v>
      </c>
      <c r="Z44" s="192">
        <v>9</v>
      </c>
      <c r="AA44" s="33">
        <f>ROUND(坦克等级成长!$D141*VLOOKUP($Z$2,坦克等级成长!$B$36:$G$42,MATCH(AA$3,坦克等级成长!$B$35:$G$35,0)),0)</f>
        <v>2104</v>
      </c>
      <c r="AB44" s="33">
        <f>ROUND(坦克等级成长!$D141*VLOOKUP($Z$2,坦克等级成长!$B$36:$G$42,MATCH(AB$3,坦克等级成长!$B$35:$G$35,0)),0)</f>
        <v>112</v>
      </c>
      <c r="AC44" s="33">
        <f>ROUND(坦克等级成长!$D141*VLOOKUP($Z$2,坦克等级成长!$B$36:$G$42,MATCH(AC$3,坦克等级成长!$B$35:$G$35,0)),0)</f>
        <v>864</v>
      </c>
      <c r="AD44" s="33">
        <f t="shared" si="29"/>
        <v>864</v>
      </c>
      <c r="AE44" s="33">
        <v>644</v>
      </c>
      <c r="AF44" s="33">
        <f>ROUND(坦克等级成长!$D141*VLOOKUP($Z$2,坦克等级成长!$B$36:$G$42,MATCH(AF$3,坦克等级成长!$B$35:$G$35,0)),0)</f>
        <v>789</v>
      </c>
      <c r="AG44" s="33">
        <f>ROUND(坦克等级成长!$D141*VLOOKUP($Z$2,坦克等级成长!$B$36:$G$42,MATCH(AG$3,坦克等级成长!$B$35:$G$35,0)),0)</f>
        <v>210</v>
      </c>
      <c r="AH44" s="199">
        <v>9</v>
      </c>
      <c r="AI44" s="33">
        <f>ROUND(坦克等级成长!$F141*VLOOKUP($Z$2,坦克等级成长!$B$36:$G$42,MATCH(AI$3,坦克等级成长!$B$35:$G$35,0)),0)</f>
        <v>2136</v>
      </c>
      <c r="AJ44" s="33">
        <f>ROUND(坦克等级成长!$F141*VLOOKUP($Z$2,坦克等级成长!$B$36:$G$42,MATCH(AJ$3,坦克等级成长!$B$35:$G$35,0)),0)</f>
        <v>113</v>
      </c>
      <c r="AK44" s="33">
        <f>ROUND(坦克等级成长!$F141*VLOOKUP($Z$2,坦克等级成长!$B$36:$G$42,MATCH(AK$3,坦克等级成长!$B$35:$G$35,0)),0)</f>
        <v>877</v>
      </c>
      <c r="AL44" s="33">
        <f t="shared" si="8"/>
        <v>877</v>
      </c>
      <c r="AM44" s="33">
        <v>662</v>
      </c>
      <c r="AN44" s="33">
        <f>ROUND(坦克等级成长!$F141*VLOOKUP($Z$2,坦克等级成长!$B$36:$G$42,MATCH(AN$3,坦克等级成长!$B$35:$G$35,0)),0)</f>
        <v>801</v>
      </c>
      <c r="AO44" s="33">
        <f>ROUND(坦克等级成长!$F141*VLOOKUP($Z$2,坦克等级成长!$B$36:$G$42,MATCH(AO$3,坦克等级成长!$B$35:$G$35,0)),0)</f>
        <v>214</v>
      </c>
      <c r="AP44" s="192">
        <v>9</v>
      </c>
      <c r="AQ44" s="33">
        <f>ROUND(坦克等级成长!$H141*VLOOKUP($Z$2,坦克等级成长!$B$36:$G$42,MATCH(AQ$3,坦克等级成长!$B$35:$G$35,0)),0)</f>
        <v>2168</v>
      </c>
      <c r="AR44" s="33">
        <f>ROUND(坦克等级成长!$H141*VLOOKUP($Z$2,坦克等级成长!$B$36:$G$42,MATCH(AR$3,坦克等级成长!$B$35:$G$35,0)),0)</f>
        <v>115</v>
      </c>
      <c r="AS44" s="33">
        <f>ROUND(坦克等级成长!$H141*VLOOKUP($Z$2,坦克等级成长!$B$36:$G$42,MATCH(AS$3,坦克等级成长!$B$35:$G$35,0)),0)</f>
        <v>890</v>
      </c>
      <c r="AT44" s="33">
        <f t="shared" si="22"/>
        <v>890</v>
      </c>
      <c r="AU44" s="33">
        <v>662</v>
      </c>
      <c r="AV44" s="33">
        <f>ROUND(坦克等级成长!$H141*VLOOKUP($Z$2,坦克等级成长!$B$36:$G$42,MATCH(AV$3,坦克等级成长!$B$35:$G$35,0)),0)</f>
        <v>813</v>
      </c>
      <c r="AW44" s="33">
        <f>ROUND(坦克等级成长!$H141*VLOOKUP($Z$2,坦克等级成长!$B$36:$G$42,MATCH(AW$3,坦克等级成长!$B$35:$G$35,0)),0)</f>
        <v>217</v>
      </c>
      <c r="AX44" s="192">
        <v>9</v>
      </c>
      <c r="AY44" s="33">
        <f>ROUND(坦克等级成长!$D141*VLOOKUP($AX$2,坦克等级成长!$B$36:$G$42,MATCH(AY$3,坦克等级成长!$B$35:$G$35,0)),0)</f>
        <v>2104</v>
      </c>
      <c r="AZ44" s="33">
        <f>ROUND(坦克等级成长!$D141*VLOOKUP($AX$2,坦克等级成长!$B$36:$G$42,MATCH(AZ$3,坦克等级成长!$B$35:$G$35,0)),0)</f>
        <v>210</v>
      </c>
      <c r="BA44" s="33">
        <f>ROUND(坦克等级成长!$D141*VLOOKUP($AX$2,坦克等级成长!$B$36:$G$42,MATCH(BA$3,坦克等级成长!$B$35:$G$35,0)),0)</f>
        <v>789</v>
      </c>
      <c r="BB44" s="33">
        <f t="shared" si="30"/>
        <v>789</v>
      </c>
      <c r="BC44" s="33">
        <v>588</v>
      </c>
      <c r="BD44" s="33">
        <f>ROUND(坦克等级成长!$D141*VLOOKUP($AX$2,坦克等级成长!$B$36:$G$42,MATCH(BD$3,坦克等级成长!$B$35:$G$35,0)),0)</f>
        <v>789</v>
      </c>
      <c r="BE44" s="33">
        <f>ROUND(坦克等级成长!$D141*VLOOKUP($AX$2,坦克等级成长!$B$36:$G$42,MATCH(BE$3,坦克等级成长!$B$35:$G$35,0)),0)</f>
        <v>210</v>
      </c>
      <c r="BF44" s="199">
        <v>9</v>
      </c>
      <c r="BG44" s="33">
        <f>ROUND(坦克等级成长!$F141*VLOOKUP($AX$2,坦克等级成长!$B$36:$G$42,MATCH(BG$3,坦克等级成长!$B$35:$G$35,0)),0)</f>
        <v>2136</v>
      </c>
      <c r="BH44" s="33">
        <f>ROUND(坦克等级成长!$F141*VLOOKUP($AX$2,坦克等级成长!$B$36:$G$42,MATCH(BH$3,坦克等级成长!$B$35:$G$35,0)),0)</f>
        <v>213</v>
      </c>
      <c r="BI44" s="33">
        <f>ROUND(坦克等级成长!$F141*VLOOKUP($AX$2,坦克等级成长!$B$36:$G$42,MATCH(BI$3,坦克等级成长!$B$35:$G$35,0)),0)</f>
        <v>801</v>
      </c>
      <c r="BJ44" s="33">
        <f t="shared" si="9"/>
        <v>801</v>
      </c>
      <c r="BK44" s="33">
        <v>605</v>
      </c>
      <c r="BL44" s="33">
        <f>ROUND(坦克等级成长!$F141*VLOOKUP($AX$2,坦克等级成长!$B$36:$G$42,MATCH(BL$3,坦克等级成长!$B$35:$G$35,0)),0)</f>
        <v>801</v>
      </c>
      <c r="BM44" s="33">
        <f>ROUND(坦克等级成长!$F141*VLOOKUP($AX$2,坦克等级成长!$B$36:$G$42,MATCH(BM$3,坦克等级成长!$B$35:$G$35,0)),0)</f>
        <v>214</v>
      </c>
      <c r="BN44" s="192">
        <v>9</v>
      </c>
      <c r="BO44" s="33">
        <f>ROUND(坦克等级成长!$H141*VLOOKUP($AX$2,坦克等级成长!$B$36:$G$42,MATCH(BO$3,坦克等级成长!$B$35:$G$35,0)),0)</f>
        <v>2168</v>
      </c>
      <c r="BP44" s="33">
        <f>ROUND(坦克等级成长!$H141*VLOOKUP($AX$2,坦克等级成长!$B$36:$G$42,MATCH(BP$3,坦克等级成长!$B$35:$G$35,0)),0)</f>
        <v>216</v>
      </c>
      <c r="BQ44" s="33">
        <f>ROUND(坦克等级成长!$H141*VLOOKUP($AX$2,坦克等级成长!$B$36:$G$42,MATCH(BQ$3,坦克等级成长!$B$35:$G$35,0)),0)</f>
        <v>813</v>
      </c>
      <c r="BR44" s="33">
        <f t="shared" si="23"/>
        <v>813</v>
      </c>
      <c r="BS44" s="33">
        <v>605</v>
      </c>
      <c r="BT44" s="33">
        <f>ROUND(坦克等级成长!$H141*VLOOKUP($AX$2,坦克等级成长!$B$36:$G$42,MATCH(BT$3,坦克等级成长!$B$35:$G$35,0)),0)</f>
        <v>813</v>
      </c>
      <c r="BU44" s="33">
        <f>ROUND(坦克等级成长!$H141*VLOOKUP($AX$2,坦克等级成长!$B$36:$G$42,MATCH(BU$3,坦克等级成长!$B$35:$G$35,0)),0)</f>
        <v>217</v>
      </c>
      <c r="BV44" s="192">
        <v>9</v>
      </c>
      <c r="BW44" s="33">
        <f>ROUND(坦克等级成长!$D141*VLOOKUP($BV$2,坦克等级成长!$B$36:$G$42,MATCH(BW$3,坦克等级成长!$B$35:$G$35,0)),0)</f>
        <v>2271</v>
      </c>
      <c r="BX44" s="33">
        <f>ROUND(坦克等级成长!$D141*VLOOKUP($BV$2,坦克等级成长!$B$36:$G$42,MATCH(BX$3,坦克等级成长!$B$35:$G$35,0)),0)</f>
        <v>195</v>
      </c>
      <c r="BY44" s="33">
        <f>ROUND(坦克等级成长!$D141*VLOOKUP($BV$2,坦克等级成长!$B$36:$G$42,MATCH(BY$3,坦克等级成长!$B$35:$G$35,0)),0)</f>
        <v>751</v>
      </c>
      <c r="BZ44" s="33">
        <f t="shared" si="31"/>
        <v>751</v>
      </c>
      <c r="CA44" s="33">
        <v>600</v>
      </c>
      <c r="CB44" s="33">
        <f>ROUND(坦克等级成长!$D141*VLOOKUP($BV$2,坦克等级成长!$B$36:$G$42,MATCH(CB$3,坦克等级成长!$B$35:$G$35,0)),0)</f>
        <v>947</v>
      </c>
      <c r="CC44" s="33">
        <f>ROUND(坦克等级成长!$D141*VLOOKUP($BV$2,坦克等级成长!$B$36:$G$42,MATCH(CC$3,坦克等级成长!$B$35:$G$35,0)),0)</f>
        <v>227</v>
      </c>
      <c r="CD44" s="199">
        <v>9</v>
      </c>
      <c r="CE44" s="33">
        <f>ROUND(坦克等级成长!$F141*VLOOKUP($BV$2,坦克等级成长!$B$36:$G$42,MATCH(CE$3,坦克等级成长!$B$35:$G$35,0)),0)</f>
        <v>2305</v>
      </c>
      <c r="CF44" s="33">
        <f>ROUND(坦克等级成长!$F141*VLOOKUP($BV$2,坦克等级成长!$B$36:$G$42,MATCH(CF$3,坦克等级成长!$B$35:$G$35,0)),0)</f>
        <v>198</v>
      </c>
      <c r="CG44" s="33">
        <f>ROUND(坦克等级成长!$F141*VLOOKUP($BV$2,坦克等级成长!$B$36:$G$42,MATCH(CG$3,坦克等级成长!$B$35:$G$35,0)),0)</f>
        <v>763</v>
      </c>
      <c r="CH44" s="33">
        <f t="shared" si="10"/>
        <v>763</v>
      </c>
      <c r="CI44" s="33">
        <v>617</v>
      </c>
      <c r="CJ44" s="33">
        <f>ROUND(坦克等级成长!$F141*VLOOKUP($BV$2,坦克等级成长!$B$36:$G$42,MATCH(CJ$3,坦克等级成长!$B$35:$G$35,0)),0)</f>
        <v>961</v>
      </c>
      <c r="CK44" s="33">
        <f>ROUND(坦克等级成长!$F141*VLOOKUP($BV$2,坦克等级成长!$B$36:$G$42,MATCH(CK$3,坦克等级成长!$B$35:$G$35,0)),0)</f>
        <v>231</v>
      </c>
      <c r="CL44" s="192">
        <v>9</v>
      </c>
      <c r="CM44" s="33">
        <f>ROUND(坦克等级成长!$H141*VLOOKUP($BV$2,坦克等级成长!$B$36:$G$42,MATCH(CM$3,坦克等级成长!$B$35:$G$35,0)),0)</f>
        <v>2340</v>
      </c>
      <c r="CN44" s="33">
        <f>ROUND(坦克等级成长!$H141*VLOOKUP($BV$2,坦克等级成长!$B$36:$G$42,MATCH(CN$3,坦克等级成长!$B$35:$G$35,0)),0)</f>
        <v>201</v>
      </c>
      <c r="CO44" s="33">
        <f>ROUND(坦克等级成长!$H141*VLOOKUP($BV$2,坦克等级成长!$B$36:$G$42,MATCH(CO$3,坦克等级成长!$B$35:$G$35,0)),0)</f>
        <v>774</v>
      </c>
      <c r="CP44" s="33">
        <f t="shared" si="24"/>
        <v>774</v>
      </c>
      <c r="CQ44" s="33">
        <v>617</v>
      </c>
      <c r="CR44" s="33">
        <f>ROUND(坦克等级成长!$H141*VLOOKUP($BV$2,坦克等级成长!$B$36:$G$42,MATCH(CR$3,坦克等级成长!$B$35:$G$35,0)),0)</f>
        <v>976</v>
      </c>
      <c r="CS44" s="33">
        <f>ROUND(坦克等级成长!$H141*VLOOKUP($BV$2,坦克等级成长!$B$36:$G$42,MATCH(CS$3,坦克等级成长!$B$35:$G$35,0)),0)</f>
        <v>234</v>
      </c>
      <c r="CT44" s="192">
        <v>9</v>
      </c>
      <c r="CU44" s="33">
        <f>ROUND(坦克等级成长!$D141*VLOOKUP($CT$2,坦克等级成长!$B$36:$G$42,MATCH(CU$3,坦克等级成长!$B$35:$G$35,0)),0)</f>
        <v>2104</v>
      </c>
      <c r="CV44" s="33">
        <f>ROUND(坦克等级成长!$D141*VLOOKUP($CT$2,坦克等级成长!$B$36:$G$42,MATCH(CV$3,坦克等级成长!$B$35:$G$35,0)),0)</f>
        <v>424</v>
      </c>
      <c r="CW44" s="33">
        <f>ROUND(坦克等级成长!$D141*VLOOKUP($CT$2,坦克等级成长!$B$36:$G$42,MATCH(CW$3,坦克等级成长!$B$35:$G$35,0)),0)</f>
        <v>939</v>
      </c>
      <c r="CX44" s="33">
        <f t="shared" si="32"/>
        <v>939</v>
      </c>
      <c r="CY44" s="33">
        <v>750</v>
      </c>
      <c r="CZ44" s="33">
        <f>ROUND(坦克等级成长!$D141*VLOOKUP($CT$2,坦克等级成长!$B$36:$G$42,MATCH(CZ$3,坦克等级成长!$B$35:$G$35,0)),0)</f>
        <v>789</v>
      </c>
      <c r="DA44" s="33">
        <f>ROUND(坦克等级成长!$D141*VLOOKUP($CT$2,坦克等级成长!$B$36:$G$42,MATCH(DA$3,坦克等级成长!$B$35:$G$35,0)),0)</f>
        <v>210</v>
      </c>
      <c r="DB44" s="199">
        <v>9</v>
      </c>
      <c r="DC44" s="33">
        <f>ROUND(坦克等级成长!$F141*VLOOKUP($CT$2,坦克等级成长!$B$36:$G$42,MATCH(DC$3,坦克等级成长!$B$35:$G$35,0)),0)</f>
        <v>2136</v>
      </c>
      <c r="DD44" s="33">
        <f>ROUND(坦克等级成长!$F141*VLOOKUP($CT$2,坦克等级成长!$B$36:$G$42,MATCH(DD$3,坦克等级成长!$B$35:$G$35,0)),0)</f>
        <v>430</v>
      </c>
      <c r="DE44" s="33">
        <f>ROUND(坦克等级成长!$F141*VLOOKUP($CT$2,坦克等级成长!$B$36:$G$42,MATCH(DE$3,坦克等级成长!$B$35:$G$35,0)),0)</f>
        <v>954</v>
      </c>
      <c r="DF44" s="33">
        <f t="shared" si="11"/>
        <v>954</v>
      </c>
      <c r="DG44" s="33">
        <v>772</v>
      </c>
      <c r="DH44" s="33">
        <f>ROUND(坦克等级成长!$F141*VLOOKUP($CT$2,坦克等级成长!$B$36:$G$42,MATCH(DH$3,坦克等级成长!$B$35:$G$35,0)),0)</f>
        <v>801</v>
      </c>
      <c r="DI44" s="33">
        <f>ROUND(坦克等级成长!$F141*VLOOKUP($CT$2,坦克等级成长!$B$36:$G$42,MATCH(DI$3,坦克等级成长!$B$35:$G$35,0)),0)</f>
        <v>214</v>
      </c>
      <c r="DJ44" s="192">
        <v>9</v>
      </c>
      <c r="DK44" s="33">
        <f>ROUND(坦克等级成长!$H141*VLOOKUP($CT$2,坦克等级成长!$B$36:$G$42,MATCH(DK$3,坦克等级成长!$B$35:$G$35,0)),0)</f>
        <v>2168</v>
      </c>
      <c r="DL44" s="33">
        <f>ROUND(坦克等级成长!$H141*VLOOKUP($CT$2,坦克等级成长!$B$36:$G$42,MATCH(DL$3,坦克等级成长!$B$35:$G$35,0)),0)</f>
        <v>436</v>
      </c>
      <c r="DM44" s="33">
        <f>ROUND(坦克等级成长!$H141*VLOOKUP($CT$2,坦克等级成长!$B$36:$G$42,MATCH(DM$3,坦克等级成长!$B$35:$G$35,0)),0)</f>
        <v>968</v>
      </c>
      <c r="DN44" s="33">
        <f t="shared" si="25"/>
        <v>968</v>
      </c>
      <c r="DO44" s="33">
        <v>772</v>
      </c>
      <c r="DP44" s="33">
        <f>ROUND(坦克等级成长!$H141*VLOOKUP($CT$2,坦克等级成长!$B$36:$G$42,MATCH(DP$3,坦克等级成长!$B$35:$G$35,0)),0)</f>
        <v>813</v>
      </c>
      <c r="DQ44" s="33">
        <f>ROUND(坦克等级成长!$H141*VLOOKUP($CT$2,坦克等级成长!$B$36:$G$42,MATCH(DQ$3,坦克等级成长!$B$35:$G$35,0)),0)</f>
        <v>217</v>
      </c>
      <c r="DR44" s="192">
        <v>9</v>
      </c>
      <c r="DS44" s="33">
        <f>ROUND(坦克等级成长!$D141*VLOOKUP($DR$2,坦克等级成长!$B$36:$G$42,MATCH(DS$3,坦克等级成长!$B$35:$G$35,0)),0)</f>
        <v>2574</v>
      </c>
      <c r="DT44" s="33">
        <f>ROUND(坦克等级成长!$D141*VLOOKUP($DR$2,坦克等级成长!$B$36:$G$42,MATCH(DT$3,坦克等级成长!$B$35:$G$35,0)),0)</f>
        <v>705</v>
      </c>
      <c r="DU44" s="33">
        <f>ROUND(坦克等级成长!$D141*VLOOKUP($DR$2,坦克等级成长!$B$36:$G$42,MATCH(DU$3,坦克等级成长!$B$35:$G$35,0)),0)</f>
        <v>751</v>
      </c>
      <c r="DV44" s="33">
        <f t="shared" si="33"/>
        <v>751</v>
      </c>
      <c r="DW44" s="33">
        <v>640</v>
      </c>
      <c r="DX44" s="33">
        <f>ROUND(坦克等级成长!$D141*VLOOKUP($DR$2,坦克等级成长!$B$36:$G$42,MATCH(DX$3,坦克等级成长!$B$35:$G$35,0)),0)</f>
        <v>1105</v>
      </c>
      <c r="DY44" s="33">
        <f>ROUND(坦克等级成长!$D141*VLOOKUP($DR$2,坦克等级成长!$B$36:$G$42,MATCH(DY$3,坦克等级成长!$B$35:$G$35,0)),0)</f>
        <v>257</v>
      </c>
      <c r="DZ44" s="199">
        <v>9</v>
      </c>
      <c r="EA44" s="33">
        <f>ROUND(坦克等级成长!$F141*VLOOKUP($DR$2,坦克等级成长!$B$36:$G$42,MATCH(EA$3,坦克等级成长!$B$35:$G$35,0)),0)</f>
        <v>2613</v>
      </c>
      <c r="EB44" s="33">
        <f>ROUND(坦克等级成长!$F141*VLOOKUP($DR$2,坦克等级成长!$B$36:$G$42,MATCH(EB$3,坦克等级成长!$B$35:$G$35,0)),0)</f>
        <v>716</v>
      </c>
      <c r="EC44" s="33">
        <f>ROUND(坦克等级成长!$F141*VLOOKUP($DR$2,坦克等级成长!$B$36:$G$42,MATCH(EC$3,坦克等级成长!$B$35:$G$35,0)),0)</f>
        <v>763</v>
      </c>
      <c r="ED44" s="33">
        <f t="shared" si="12"/>
        <v>763</v>
      </c>
      <c r="EE44" s="33">
        <v>658</v>
      </c>
      <c r="EF44" s="33">
        <f>ROUND(坦克等级成长!$F141*VLOOKUP($DR$2,坦克等级成长!$B$36:$G$42,MATCH(EF$3,坦克等级成长!$B$35:$G$35,0)),0)</f>
        <v>1121</v>
      </c>
      <c r="EG44" s="33">
        <f>ROUND(坦克等级成长!$F141*VLOOKUP($DR$2,坦克等级成长!$B$36:$G$42,MATCH(EG$3,坦克等级成长!$B$35:$G$35,0)),0)</f>
        <v>261</v>
      </c>
      <c r="EH44" s="192">
        <v>9</v>
      </c>
      <c r="EI44" s="33">
        <f>ROUND(坦克等级成长!$H141*VLOOKUP($DR$2,坦克等级成长!$B$36:$G$42,MATCH(EI$3,坦克等级成长!$B$35:$G$35,0)),0)</f>
        <v>2652</v>
      </c>
      <c r="EJ44" s="33">
        <f>ROUND(坦克等级成长!$H141*VLOOKUP($DR$2,坦克等级成长!$B$36:$G$42,MATCH(EJ$3,坦克等级成长!$B$35:$G$35,0)),0)</f>
        <v>726</v>
      </c>
      <c r="EK44" s="33">
        <f>ROUND(坦克等级成长!$H141*VLOOKUP($DR$2,坦克等级成长!$B$36:$G$42,MATCH(EK$3,坦克等级成长!$B$35:$G$35,0)),0)</f>
        <v>774</v>
      </c>
      <c r="EL44" s="33">
        <f t="shared" si="26"/>
        <v>774</v>
      </c>
      <c r="EM44" s="33">
        <v>658</v>
      </c>
      <c r="EN44" s="33">
        <f>ROUND(坦克等级成长!$H141*VLOOKUP($DR$2,坦克等级成长!$B$36:$G$42,MATCH(EN$3,坦克等级成长!$B$35:$G$35,0)),0)</f>
        <v>1138</v>
      </c>
      <c r="EO44" s="33">
        <f>ROUND(坦克等级成长!$H141*VLOOKUP($DR$2,坦克等级成长!$B$36:$G$42,MATCH(EO$3,坦克等级成长!$B$35:$G$35,0)),0)</f>
        <v>265</v>
      </c>
      <c r="EP44" s="192">
        <v>9</v>
      </c>
      <c r="EQ44" s="33">
        <f>ROUND(坦克等级成长!$D141*VLOOKUP($EP$2,坦克等级成长!$B$36:$G$42,MATCH(EQ$3,坦克等级成长!$B$35:$G$35,0)),0)</f>
        <v>2271</v>
      </c>
      <c r="ER44" s="33">
        <f>ROUND(坦克等级成长!$D141*VLOOKUP($EP$2,坦克等级成长!$B$36:$G$42,MATCH(ER$3,坦克等级成长!$B$35:$G$35,0)),0)</f>
        <v>234</v>
      </c>
      <c r="ES44" s="33">
        <f>ROUND(坦克等级成长!$D141*VLOOKUP($EP$2,坦克等级成长!$B$36:$G$42,MATCH(ES$3,坦克等级成长!$B$35:$G$35,0)),0)</f>
        <v>864</v>
      </c>
      <c r="ET44" s="33">
        <f t="shared" si="34"/>
        <v>864</v>
      </c>
      <c r="EU44" s="33">
        <v>690</v>
      </c>
      <c r="EV44" s="33">
        <f>ROUND(坦克等级成长!$D141*VLOOKUP($EP$2,坦克等级成长!$B$36:$G$42,MATCH(EV$3,坦克等级成长!$B$35:$G$35,0)),0)</f>
        <v>947</v>
      </c>
      <c r="EW44" s="33">
        <f>ROUND(坦克等级成长!$D141*VLOOKUP($EP$2,坦克等级成长!$B$36:$G$42,MATCH(EW$3,坦克等级成长!$B$35:$G$35,0)),0)</f>
        <v>227</v>
      </c>
      <c r="EX44" s="199">
        <v>9</v>
      </c>
      <c r="EY44" s="33">
        <f>ROUND(坦克等级成长!$F141*VLOOKUP($EP$2,坦克等级成长!$B$36:$G$42,MATCH(EY$3,坦克等级成长!$B$35:$G$35,0)),0)</f>
        <v>2305</v>
      </c>
      <c r="EZ44" s="33">
        <f>ROUND(坦克等级成长!$F141*VLOOKUP($EP$2,坦克等级成长!$B$36:$G$42,MATCH(EZ$3,坦克等级成长!$B$35:$G$35,0)),0)</f>
        <v>237</v>
      </c>
      <c r="FA44" s="33">
        <f>ROUND(坦克等级成长!$F141*VLOOKUP($EP$2,坦克等级成长!$B$36:$G$42,MATCH(FA$3,坦克等级成长!$B$35:$G$35,0)),0)</f>
        <v>877</v>
      </c>
      <c r="FB44" s="33">
        <f t="shared" si="13"/>
        <v>877</v>
      </c>
      <c r="FC44" s="33">
        <v>710</v>
      </c>
      <c r="FD44" s="33">
        <f>ROUND(坦克等级成长!$F141*VLOOKUP($EP$2,坦克等级成长!$B$36:$G$42,MATCH(FD$3,坦克等级成长!$B$35:$G$35,0)),0)</f>
        <v>961</v>
      </c>
      <c r="FE44" s="33">
        <f>ROUND(坦克等级成长!$F141*VLOOKUP($EP$2,坦克等级成长!$B$36:$G$42,MATCH(FE$3,坦克等级成长!$B$35:$G$35,0)),0)</f>
        <v>231</v>
      </c>
      <c r="FF44" s="192">
        <v>9</v>
      </c>
      <c r="FG44" s="33">
        <f>ROUND(坦克等级成长!$H141*VLOOKUP($EP$2,坦克等级成长!$B$36:$G$42,MATCH(FG$3,坦克等级成长!$B$35:$G$35,0)),0)</f>
        <v>2340</v>
      </c>
      <c r="FH44" s="33">
        <f>ROUND(坦克等级成长!$H141*VLOOKUP($EP$2,坦克等级成长!$B$36:$G$42,MATCH(FH$3,坦克等级成长!$B$35:$G$35,0)),0)</f>
        <v>241</v>
      </c>
      <c r="FI44" s="33">
        <f>ROUND(坦克等级成长!$H141*VLOOKUP($EP$2,坦克等级成长!$B$36:$G$42,MATCH(FI$3,坦克等级成长!$B$35:$G$35,0)),0)</f>
        <v>890</v>
      </c>
      <c r="FJ44" s="33">
        <f t="shared" si="27"/>
        <v>890</v>
      </c>
      <c r="FK44" s="33">
        <v>710</v>
      </c>
      <c r="FL44" s="33">
        <f>ROUND(坦克等级成长!$H141*VLOOKUP($EP$2,坦克等级成长!$B$36:$G$42,MATCH(FL$3,坦克等级成长!$B$35:$G$35,0)),0)</f>
        <v>976</v>
      </c>
      <c r="FM44" s="33">
        <f>ROUND(坦克等级成长!$H141*VLOOKUP($EP$2,坦克等级成长!$B$36:$G$42,MATCH(FM$3,坦克等级成长!$B$35:$G$35,0)),0)</f>
        <v>234</v>
      </c>
    </row>
    <row r="45" spans="1:169" ht="14.25" x14ac:dyDescent="0.3">
      <c r="A45" s="189">
        <v>4</v>
      </c>
      <c r="B45" s="192">
        <v>10</v>
      </c>
      <c r="C45" s="33">
        <f>ROUND(坦克等级成长!$D142*VLOOKUP($B$2,坦克等级成长!$B$36:$G$42,MATCH(C$3,坦克等级成长!$B$35:$G$35,0)),0)</f>
        <v>2184</v>
      </c>
      <c r="D45" s="33">
        <f>ROUND(坦克等级成长!$D142*VLOOKUP($B$2,坦克等级成长!$B$36:$G$42,MATCH(D$3,坦克等级成长!$B$35:$G$35,0)),0)</f>
        <v>218</v>
      </c>
      <c r="E45" s="33">
        <f>ROUND(坦克等级成长!$D142*VLOOKUP($B$2,坦克等级成长!$B$36:$G$42,MATCH(E$3,坦克等级成长!$B$35:$G$35,0)),0)</f>
        <v>819</v>
      </c>
      <c r="F45" s="33">
        <f t="shared" si="28"/>
        <v>819</v>
      </c>
      <c r="G45" s="33">
        <v>611.1</v>
      </c>
      <c r="H45" s="33">
        <f>ROUND(坦克等级成长!$D142*VLOOKUP($B$2,坦克等级成长!$B$36:$G$42,MATCH(H$3,坦克等级成长!$B$35:$G$35,0)),0)</f>
        <v>819</v>
      </c>
      <c r="I45" s="33">
        <f>ROUND(坦克等级成长!$D142*VLOOKUP($B$2,坦克等级成长!$B$36:$G$42,MATCH(I$3,坦克等级成长!$B$35:$G$35,0)),0)</f>
        <v>218</v>
      </c>
      <c r="J45" s="199">
        <v>10</v>
      </c>
      <c r="K45" s="33">
        <f>ROUND(坦克等级成长!$F142*VLOOKUP($B$2,坦克等级成长!$B$36:$G$42,MATCH(K$3,坦克等级成长!$B$35:$G$35,0)),0)</f>
        <v>2216</v>
      </c>
      <c r="L45" s="33">
        <f>ROUND(坦克等级成长!$F142*VLOOKUP($B$2,坦克等级成长!$B$36:$G$42,MATCH(L$3,坦克等级成长!$B$35:$G$35,0)),0)</f>
        <v>221</v>
      </c>
      <c r="M45" s="33">
        <f>ROUND(坦克等级成长!$F142*VLOOKUP($B$2,坦克等级成长!$B$36:$G$42,MATCH(M$3,坦克等级成长!$B$35:$G$35,0)),0)</f>
        <v>831</v>
      </c>
      <c r="N45" s="33">
        <f t="shared" si="7"/>
        <v>831</v>
      </c>
      <c r="O45" s="33">
        <v>628</v>
      </c>
      <c r="P45" s="33">
        <f>ROUND(坦克等级成长!$F142*VLOOKUP($B$2,坦克等级成长!$B$36:$G$42,MATCH(P$3,坦克等级成长!$B$35:$G$35,0)),0)</f>
        <v>831</v>
      </c>
      <c r="Q45" s="33">
        <f>ROUND(坦克等级成长!$F142*VLOOKUP($B$2,坦克等级成长!$B$36:$G$42,MATCH(Q$3,坦克等级成长!$B$35:$G$35,0)),0)</f>
        <v>222</v>
      </c>
      <c r="R45" s="192">
        <v>10</v>
      </c>
      <c r="S45" s="33">
        <f>ROUND(坦克等级成长!$H142*VLOOKUP($B$2,坦克等级成长!$B$36:$G$42,MATCH(S$3,坦克等级成长!$B$35:$G$35,0)),0)</f>
        <v>2248</v>
      </c>
      <c r="T45" s="33">
        <f>ROUND(坦克等级成长!$H142*VLOOKUP($B$2,坦克等级成长!$B$36:$G$42,MATCH(T$3,坦克等级成长!$B$35:$G$35,0)),0)</f>
        <v>224</v>
      </c>
      <c r="U45" s="33">
        <f>ROUND(坦克等级成长!$H142*VLOOKUP($B$2,坦克等级成长!$B$36:$G$42,MATCH(U$3,坦克等级成长!$B$35:$G$35,0)),0)</f>
        <v>843</v>
      </c>
      <c r="V45" s="33">
        <f t="shared" si="21"/>
        <v>843</v>
      </c>
      <c r="W45" s="33">
        <v>628</v>
      </c>
      <c r="X45" s="33">
        <f>ROUND(坦克等级成长!$H142*VLOOKUP($B$2,坦克等级成长!$B$36:$G$42,MATCH(X$3,坦克等级成长!$B$35:$G$35,0)),0)</f>
        <v>843</v>
      </c>
      <c r="Y45" s="33">
        <f>ROUND(坦克等级成长!$H142*VLOOKUP($B$2,坦克等级成长!$B$36:$G$42,MATCH(Y$3,坦克等级成长!$B$35:$G$35,0)),0)</f>
        <v>225</v>
      </c>
      <c r="Z45" s="192">
        <v>10</v>
      </c>
      <c r="AA45" s="33">
        <f>ROUND(坦克等级成长!$D142*VLOOKUP($Z$2,坦克等级成长!$B$36:$G$42,MATCH(AA$3,坦克等级成长!$B$35:$G$35,0)),0)</f>
        <v>2184</v>
      </c>
      <c r="AB45" s="33">
        <f>ROUND(坦克等级成长!$D142*VLOOKUP($Z$2,坦克等级成长!$B$36:$G$42,MATCH(AB$3,坦克等级成长!$B$35:$G$35,0)),0)</f>
        <v>116</v>
      </c>
      <c r="AC45" s="33">
        <f>ROUND(坦克等级成长!$D142*VLOOKUP($Z$2,坦克等级成长!$B$36:$G$42,MATCH(AC$3,坦克等级成长!$B$35:$G$35,0)),0)</f>
        <v>897</v>
      </c>
      <c r="AD45" s="33">
        <f t="shared" si="29"/>
        <v>897</v>
      </c>
      <c r="AE45" s="33">
        <v>669.2</v>
      </c>
      <c r="AF45" s="33">
        <f>ROUND(坦克等级成长!$D142*VLOOKUP($Z$2,坦克等级成长!$B$36:$G$42,MATCH(AF$3,坦克等级成长!$B$35:$G$35,0)),0)</f>
        <v>819</v>
      </c>
      <c r="AG45" s="33">
        <f>ROUND(坦克等级成长!$D142*VLOOKUP($Z$2,坦克等级成长!$B$36:$G$42,MATCH(AG$3,坦克等级成长!$B$35:$G$35,0)),0)</f>
        <v>218</v>
      </c>
      <c r="AH45" s="199">
        <v>10</v>
      </c>
      <c r="AI45" s="33">
        <f>ROUND(坦克等级成长!$F142*VLOOKUP($Z$2,坦克等级成长!$B$36:$G$42,MATCH(AI$3,坦克等级成长!$B$35:$G$35,0)),0)</f>
        <v>2216</v>
      </c>
      <c r="AJ45" s="33">
        <f>ROUND(坦克等级成长!$F142*VLOOKUP($Z$2,坦克等级成长!$B$36:$G$42,MATCH(AJ$3,坦克等级成长!$B$35:$G$35,0)),0)</f>
        <v>118</v>
      </c>
      <c r="AK45" s="33">
        <f>ROUND(坦克等级成长!$F142*VLOOKUP($Z$2,坦克等级成长!$B$36:$G$42,MATCH(AK$3,坦克等级成长!$B$35:$G$35,0)),0)</f>
        <v>910</v>
      </c>
      <c r="AL45" s="33">
        <f t="shared" si="8"/>
        <v>910</v>
      </c>
      <c r="AM45" s="33">
        <v>687</v>
      </c>
      <c r="AN45" s="33">
        <f>ROUND(坦克等级成长!$F142*VLOOKUP($Z$2,坦克等级成长!$B$36:$G$42,MATCH(AN$3,坦克等级成长!$B$35:$G$35,0)),0)</f>
        <v>831</v>
      </c>
      <c r="AO45" s="33">
        <f>ROUND(坦克等级成长!$F142*VLOOKUP($Z$2,坦克等级成长!$B$36:$G$42,MATCH(AO$3,坦克等级成长!$B$35:$G$35,0)),0)</f>
        <v>222</v>
      </c>
      <c r="AP45" s="192">
        <v>10</v>
      </c>
      <c r="AQ45" s="33">
        <f>ROUND(坦克等级成长!$H142*VLOOKUP($Z$2,坦克等级成长!$B$36:$G$42,MATCH(AQ$3,坦克等级成长!$B$35:$G$35,0)),0)</f>
        <v>2248</v>
      </c>
      <c r="AR45" s="33">
        <f>ROUND(坦克等级成长!$H142*VLOOKUP($Z$2,坦克等级成长!$B$36:$G$42,MATCH(AR$3,坦克等级成长!$B$35:$G$35,0)),0)</f>
        <v>119</v>
      </c>
      <c r="AS45" s="33">
        <f>ROUND(坦克等级成长!$H142*VLOOKUP($Z$2,坦克等级成长!$B$36:$G$42,MATCH(AS$3,坦克等级成长!$B$35:$G$35,0)),0)</f>
        <v>923</v>
      </c>
      <c r="AT45" s="33">
        <f t="shared" si="22"/>
        <v>923</v>
      </c>
      <c r="AU45" s="33">
        <v>687</v>
      </c>
      <c r="AV45" s="33">
        <f>ROUND(坦克等级成长!$H142*VLOOKUP($Z$2,坦克等级成长!$B$36:$G$42,MATCH(AV$3,坦克等级成长!$B$35:$G$35,0)),0)</f>
        <v>843</v>
      </c>
      <c r="AW45" s="33">
        <f>ROUND(坦克等级成长!$H142*VLOOKUP($Z$2,坦克等级成长!$B$36:$G$42,MATCH(AW$3,坦克等级成长!$B$35:$G$35,0)),0)</f>
        <v>225</v>
      </c>
      <c r="AX45" s="192">
        <v>10</v>
      </c>
      <c r="AY45" s="33">
        <f>ROUND(坦克等级成长!$D142*VLOOKUP($AX$2,坦克等级成长!$B$36:$G$42,MATCH(AY$3,坦克等级成长!$B$35:$G$35,0)),0)</f>
        <v>2184</v>
      </c>
      <c r="AZ45" s="33">
        <f>ROUND(坦克等级成长!$D142*VLOOKUP($AX$2,坦克等级成长!$B$36:$G$42,MATCH(AZ$3,坦克等级成长!$B$35:$G$35,0)),0)</f>
        <v>218</v>
      </c>
      <c r="BA45" s="33">
        <f>ROUND(坦克等级成长!$D142*VLOOKUP($AX$2,坦克等级成长!$B$36:$G$42,MATCH(BA$3,坦克等级成长!$B$35:$G$35,0)),0)</f>
        <v>819</v>
      </c>
      <c r="BB45" s="33">
        <f t="shared" si="30"/>
        <v>819</v>
      </c>
      <c r="BC45" s="33">
        <v>611.1</v>
      </c>
      <c r="BD45" s="33">
        <f>ROUND(坦克等级成长!$D142*VLOOKUP($AX$2,坦克等级成长!$B$36:$G$42,MATCH(BD$3,坦克等级成长!$B$35:$G$35,0)),0)</f>
        <v>819</v>
      </c>
      <c r="BE45" s="33">
        <f>ROUND(坦克等级成长!$D142*VLOOKUP($AX$2,坦克等级成长!$B$36:$G$42,MATCH(BE$3,坦克等级成长!$B$35:$G$35,0)),0)</f>
        <v>218</v>
      </c>
      <c r="BF45" s="199">
        <v>10</v>
      </c>
      <c r="BG45" s="33">
        <f>ROUND(坦克等级成长!$F142*VLOOKUP($AX$2,坦克等级成长!$B$36:$G$42,MATCH(BG$3,坦克等级成长!$B$35:$G$35,0)),0)</f>
        <v>2216</v>
      </c>
      <c r="BH45" s="33">
        <f>ROUND(坦克等级成长!$F142*VLOOKUP($AX$2,坦克等级成长!$B$36:$G$42,MATCH(BH$3,坦克等级成长!$B$35:$G$35,0)),0)</f>
        <v>221</v>
      </c>
      <c r="BI45" s="33">
        <f>ROUND(坦克等级成长!$F142*VLOOKUP($AX$2,坦克等级成长!$B$36:$G$42,MATCH(BI$3,坦克等级成长!$B$35:$G$35,0)),0)</f>
        <v>831</v>
      </c>
      <c r="BJ45" s="33">
        <f t="shared" si="9"/>
        <v>831</v>
      </c>
      <c r="BK45" s="33">
        <v>628</v>
      </c>
      <c r="BL45" s="33">
        <f>ROUND(坦克等级成长!$F142*VLOOKUP($AX$2,坦克等级成长!$B$36:$G$42,MATCH(BL$3,坦克等级成长!$B$35:$G$35,0)),0)</f>
        <v>831</v>
      </c>
      <c r="BM45" s="33">
        <f>ROUND(坦克等级成长!$F142*VLOOKUP($AX$2,坦克等级成长!$B$36:$G$42,MATCH(BM$3,坦克等级成长!$B$35:$G$35,0)),0)</f>
        <v>222</v>
      </c>
      <c r="BN45" s="192">
        <v>10</v>
      </c>
      <c r="BO45" s="33">
        <f>ROUND(坦克等级成长!$H142*VLOOKUP($AX$2,坦克等级成长!$B$36:$G$42,MATCH(BO$3,坦克等级成长!$B$35:$G$35,0)),0)</f>
        <v>2248</v>
      </c>
      <c r="BP45" s="33">
        <f>ROUND(坦克等级成长!$H142*VLOOKUP($AX$2,坦克等级成长!$B$36:$G$42,MATCH(BP$3,坦克等级成长!$B$35:$G$35,0)),0)</f>
        <v>224</v>
      </c>
      <c r="BQ45" s="33">
        <f>ROUND(坦克等级成长!$H142*VLOOKUP($AX$2,坦克等级成长!$B$36:$G$42,MATCH(BQ$3,坦克等级成长!$B$35:$G$35,0)),0)</f>
        <v>843</v>
      </c>
      <c r="BR45" s="33">
        <f t="shared" si="23"/>
        <v>843</v>
      </c>
      <c r="BS45" s="33">
        <v>628</v>
      </c>
      <c r="BT45" s="33">
        <f>ROUND(坦克等级成长!$H142*VLOOKUP($AX$2,坦克等级成长!$B$36:$G$42,MATCH(BT$3,坦克等级成长!$B$35:$G$35,0)),0)</f>
        <v>843</v>
      </c>
      <c r="BU45" s="33">
        <f>ROUND(坦克等级成长!$H142*VLOOKUP($AX$2,坦克等级成长!$B$36:$G$42,MATCH(BU$3,坦克等级成长!$B$35:$G$35,0)),0)</f>
        <v>225</v>
      </c>
      <c r="BV45" s="192">
        <v>10</v>
      </c>
      <c r="BW45" s="33">
        <f>ROUND(坦克等级成长!$D142*VLOOKUP($BV$2,坦克等级成长!$B$36:$G$42,MATCH(BW$3,坦克等级成长!$B$35:$G$35,0)),0)</f>
        <v>2357</v>
      </c>
      <c r="BX45" s="33">
        <f>ROUND(坦克等级成长!$D142*VLOOKUP($BV$2,坦克等级成长!$B$36:$G$42,MATCH(BX$3,坦克等级成长!$B$35:$G$35,0)),0)</f>
        <v>203</v>
      </c>
      <c r="BY45" s="33">
        <f>ROUND(坦克等级成长!$D142*VLOOKUP($BV$2,坦克等级成长!$B$36:$G$42,MATCH(BY$3,坦克等级成长!$B$35:$G$35,0)),0)</f>
        <v>780</v>
      </c>
      <c r="BZ45" s="33">
        <f t="shared" si="31"/>
        <v>780</v>
      </c>
      <c r="CA45" s="33">
        <v>623.25</v>
      </c>
      <c r="CB45" s="33">
        <f>ROUND(坦克等级成长!$D142*VLOOKUP($BV$2,坦克等级成长!$B$36:$G$42,MATCH(CB$3,坦克等级成长!$B$35:$G$35,0)),0)</f>
        <v>983</v>
      </c>
      <c r="CC45" s="33">
        <f>ROUND(坦克等级成长!$D142*VLOOKUP($BV$2,坦克等级成长!$B$36:$G$42,MATCH(CC$3,坦克等级成长!$B$35:$G$35,0)),0)</f>
        <v>236</v>
      </c>
      <c r="CD45" s="199">
        <v>10</v>
      </c>
      <c r="CE45" s="33">
        <f>ROUND(坦克等级成长!$F142*VLOOKUP($BV$2,坦克等级成长!$B$36:$G$42,MATCH(CE$3,坦克等级成长!$B$35:$G$35,0)),0)</f>
        <v>2392</v>
      </c>
      <c r="CF45" s="33">
        <f>ROUND(坦克等级成长!$F142*VLOOKUP($BV$2,坦克等级成长!$B$36:$G$42,MATCH(CF$3,坦克等级成长!$B$35:$G$35,0)),0)</f>
        <v>206</v>
      </c>
      <c r="CG45" s="33">
        <f>ROUND(坦克等级成长!$F142*VLOOKUP($BV$2,坦克等级成长!$B$36:$G$42,MATCH(CG$3,坦克等级成长!$B$35:$G$35,0)),0)</f>
        <v>791</v>
      </c>
      <c r="CH45" s="33">
        <f t="shared" si="10"/>
        <v>791</v>
      </c>
      <c r="CI45" s="33">
        <v>641</v>
      </c>
      <c r="CJ45" s="33">
        <f>ROUND(坦克等级成长!$F142*VLOOKUP($BV$2,坦克等级成长!$B$36:$G$42,MATCH(CJ$3,坦克等级成长!$B$35:$G$35,0)),0)</f>
        <v>997</v>
      </c>
      <c r="CK45" s="33">
        <f>ROUND(坦克等级成长!$F142*VLOOKUP($BV$2,坦克等级成长!$B$36:$G$42,MATCH(CK$3,坦克等级成长!$B$35:$G$35,0)),0)</f>
        <v>239</v>
      </c>
      <c r="CL45" s="192">
        <v>10</v>
      </c>
      <c r="CM45" s="33">
        <f>ROUND(坦克等级成长!$H142*VLOOKUP($BV$2,坦克等级成长!$B$36:$G$42,MATCH(CM$3,坦克等级成长!$B$35:$G$35,0)),0)</f>
        <v>2426</v>
      </c>
      <c r="CN45" s="33">
        <f>ROUND(坦克等级成长!$H142*VLOOKUP($BV$2,坦克等级成长!$B$36:$G$42,MATCH(CN$3,坦克等级成长!$B$35:$G$35,0)),0)</f>
        <v>209</v>
      </c>
      <c r="CO45" s="33">
        <f>ROUND(坦克等级成长!$H142*VLOOKUP($BV$2,坦克等级成长!$B$36:$G$42,MATCH(CO$3,坦克等级成长!$B$35:$G$35,0)),0)</f>
        <v>803</v>
      </c>
      <c r="CP45" s="33">
        <f t="shared" si="24"/>
        <v>803</v>
      </c>
      <c r="CQ45" s="33">
        <v>641</v>
      </c>
      <c r="CR45" s="33">
        <f>ROUND(坦克等级成长!$H142*VLOOKUP($BV$2,坦克等级成长!$B$36:$G$42,MATCH(CR$3,坦克等级成长!$B$35:$G$35,0)),0)</f>
        <v>1012</v>
      </c>
      <c r="CS45" s="33">
        <f>ROUND(坦克等级成长!$H142*VLOOKUP($BV$2,坦克等级成长!$B$36:$G$42,MATCH(CS$3,坦克等级成长!$B$35:$G$35,0)),0)</f>
        <v>243</v>
      </c>
      <c r="CT45" s="192">
        <v>10</v>
      </c>
      <c r="CU45" s="33">
        <f>ROUND(坦克等级成长!$D142*VLOOKUP($CT$2,坦克等级成长!$B$36:$G$42,MATCH(CU$3,坦克等级成长!$B$35:$G$35,0)),0)</f>
        <v>2184</v>
      </c>
      <c r="CV45" s="33">
        <f>ROUND(坦克等级成长!$D142*VLOOKUP($CT$2,坦克等级成长!$B$36:$G$42,MATCH(CV$3,坦克等级成长!$B$35:$G$35,0)),0)</f>
        <v>440</v>
      </c>
      <c r="CW45" s="33">
        <f>ROUND(坦克等级成长!$D142*VLOOKUP($CT$2,坦克等级成长!$B$36:$G$42,MATCH(CW$3,坦克等级成长!$B$35:$G$35,0)),0)</f>
        <v>975</v>
      </c>
      <c r="CX45" s="33">
        <f t="shared" si="32"/>
        <v>975</v>
      </c>
      <c r="CY45" s="33">
        <v>779.25</v>
      </c>
      <c r="CZ45" s="33">
        <f>ROUND(坦克等级成长!$D142*VLOOKUP($CT$2,坦克等级成长!$B$36:$G$42,MATCH(CZ$3,坦克等级成长!$B$35:$G$35,0)),0)</f>
        <v>819</v>
      </c>
      <c r="DA45" s="33">
        <f>ROUND(坦克等级成长!$D142*VLOOKUP($CT$2,坦克等级成长!$B$36:$G$42,MATCH(DA$3,坦克等级成长!$B$35:$G$35,0)),0)</f>
        <v>218</v>
      </c>
      <c r="DB45" s="199">
        <v>10</v>
      </c>
      <c r="DC45" s="33">
        <f>ROUND(坦克等级成长!$F142*VLOOKUP($CT$2,坦克等级成长!$B$36:$G$42,MATCH(DC$3,坦克等级成长!$B$35:$G$35,0)),0)</f>
        <v>2216</v>
      </c>
      <c r="DD45" s="33">
        <f>ROUND(坦克等级成长!$F142*VLOOKUP($CT$2,坦克等级成长!$B$36:$G$42,MATCH(DD$3,坦克等级成长!$B$35:$G$35,0)),0)</f>
        <v>446</v>
      </c>
      <c r="DE45" s="33">
        <f>ROUND(坦克等级成长!$F142*VLOOKUP($CT$2,坦克等级成长!$B$36:$G$42,MATCH(DE$3,坦克等级成长!$B$35:$G$35,0)),0)</f>
        <v>989</v>
      </c>
      <c r="DF45" s="33">
        <f t="shared" si="11"/>
        <v>989</v>
      </c>
      <c r="DG45" s="33">
        <v>801</v>
      </c>
      <c r="DH45" s="33">
        <f>ROUND(坦克等级成长!$F142*VLOOKUP($CT$2,坦克等级成长!$B$36:$G$42,MATCH(DH$3,坦克等级成长!$B$35:$G$35,0)),0)</f>
        <v>831</v>
      </c>
      <c r="DI45" s="33">
        <f>ROUND(坦克等级成长!$F142*VLOOKUP($CT$2,坦克等级成长!$B$36:$G$42,MATCH(DI$3,坦克等级成长!$B$35:$G$35,0)),0)</f>
        <v>222</v>
      </c>
      <c r="DJ45" s="192">
        <v>10</v>
      </c>
      <c r="DK45" s="33">
        <f>ROUND(坦克等级成长!$H142*VLOOKUP($CT$2,坦克等级成长!$B$36:$G$42,MATCH(DK$3,坦克等级成长!$B$35:$G$35,0)),0)</f>
        <v>2248</v>
      </c>
      <c r="DL45" s="33">
        <f>ROUND(坦克等级成长!$H142*VLOOKUP($CT$2,坦克等级成长!$B$36:$G$42,MATCH(DL$3,坦克等级成长!$B$35:$G$35,0)),0)</f>
        <v>453</v>
      </c>
      <c r="DM45" s="33">
        <f>ROUND(坦克等级成长!$H142*VLOOKUP($CT$2,坦克等级成长!$B$36:$G$42,MATCH(DM$3,坦克等级成长!$B$35:$G$35,0)),0)</f>
        <v>1004</v>
      </c>
      <c r="DN45" s="33">
        <f t="shared" si="25"/>
        <v>1004</v>
      </c>
      <c r="DO45" s="33">
        <v>801</v>
      </c>
      <c r="DP45" s="33">
        <f>ROUND(坦克等级成长!$H142*VLOOKUP($CT$2,坦克等级成长!$B$36:$G$42,MATCH(DP$3,坦克等级成长!$B$35:$G$35,0)),0)</f>
        <v>843</v>
      </c>
      <c r="DQ45" s="33">
        <f>ROUND(坦克等级成长!$H142*VLOOKUP($CT$2,坦克等级成长!$B$36:$G$42,MATCH(DQ$3,坦克等级成长!$B$35:$G$35,0)),0)</f>
        <v>225</v>
      </c>
      <c r="DR45" s="192">
        <v>10</v>
      </c>
      <c r="DS45" s="33">
        <f>ROUND(坦克等级成长!$D142*VLOOKUP($DR$2,坦克等级成长!$B$36:$G$42,MATCH(DS$3,坦克等级成长!$B$35:$G$35,0)),0)</f>
        <v>2672</v>
      </c>
      <c r="DT45" s="33">
        <f>ROUND(坦克等级成长!$D142*VLOOKUP($DR$2,坦克等级成长!$B$36:$G$42,MATCH(DT$3,坦克等级成长!$B$35:$G$35,0)),0)</f>
        <v>732</v>
      </c>
      <c r="DU45" s="33">
        <f>ROUND(坦克等级成长!$D142*VLOOKUP($DR$2,坦克等级成长!$B$36:$G$42,MATCH(DU$3,坦克等级成长!$B$35:$G$35,0)),0)</f>
        <v>780</v>
      </c>
      <c r="DV45" s="33">
        <f t="shared" si="33"/>
        <v>780</v>
      </c>
      <c r="DW45" s="33">
        <v>664.8</v>
      </c>
      <c r="DX45" s="33">
        <f>ROUND(坦克等级成长!$D142*VLOOKUP($DR$2,坦克等级成长!$B$36:$G$42,MATCH(DX$3,坦克等级成长!$B$35:$G$35,0)),0)</f>
        <v>1147</v>
      </c>
      <c r="DY45" s="33">
        <f>ROUND(坦克等级成长!$D142*VLOOKUP($DR$2,坦克等级成长!$B$36:$G$42,MATCH(DY$3,坦克等级成长!$B$35:$G$35,0)),0)</f>
        <v>267</v>
      </c>
      <c r="DZ45" s="199">
        <v>10</v>
      </c>
      <c r="EA45" s="33">
        <f>ROUND(坦克等级成长!$F142*VLOOKUP($DR$2,坦克等级成长!$B$36:$G$42,MATCH(EA$3,坦克等级成长!$B$35:$G$35,0)),0)</f>
        <v>2711</v>
      </c>
      <c r="EB45" s="33">
        <f>ROUND(坦克等级成长!$F142*VLOOKUP($DR$2,坦克等级成长!$B$36:$G$42,MATCH(EB$3,坦克等级成长!$B$35:$G$35,0)),0)</f>
        <v>743</v>
      </c>
      <c r="EC45" s="33">
        <f>ROUND(坦克等级成长!$F142*VLOOKUP($DR$2,坦克等级成长!$B$36:$G$42,MATCH(EC$3,坦克等级成长!$B$35:$G$35,0)),0)</f>
        <v>791</v>
      </c>
      <c r="ED45" s="33">
        <f t="shared" si="12"/>
        <v>791</v>
      </c>
      <c r="EE45" s="33">
        <v>683</v>
      </c>
      <c r="EF45" s="33">
        <f>ROUND(坦克等级成长!$F142*VLOOKUP($DR$2,坦克等级成长!$B$36:$G$42,MATCH(EF$3,坦克等级成长!$B$35:$G$35,0)),0)</f>
        <v>1163</v>
      </c>
      <c r="EG45" s="33">
        <f>ROUND(坦克等级成长!$F142*VLOOKUP($DR$2,坦克等级成长!$B$36:$G$42,MATCH(EG$3,坦克等级成长!$B$35:$G$35,0)),0)</f>
        <v>271</v>
      </c>
      <c r="EH45" s="192">
        <v>10</v>
      </c>
      <c r="EI45" s="33">
        <f>ROUND(坦克等级成长!$H142*VLOOKUP($DR$2,坦克等级成长!$B$36:$G$42,MATCH(EI$3,坦克等级成长!$B$35:$G$35,0)),0)</f>
        <v>2750</v>
      </c>
      <c r="EJ45" s="33">
        <f>ROUND(坦克等级成长!$H142*VLOOKUP($DR$2,坦克等级成长!$B$36:$G$42,MATCH(EJ$3,坦克等级成长!$B$35:$G$35,0)),0)</f>
        <v>753</v>
      </c>
      <c r="EK45" s="33">
        <f>ROUND(坦克等级成长!$H142*VLOOKUP($DR$2,坦克等级成长!$B$36:$G$42,MATCH(EK$3,坦克等级成长!$B$35:$G$35,0)),0)</f>
        <v>803</v>
      </c>
      <c r="EL45" s="33">
        <f t="shared" si="26"/>
        <v>803</v>
      </c>
      <c r="EM45" s="33">
        <v>683</v>
      </c>
      <c r="EN45" s="33">
        <f>ROUND(坦克等级成长!$H142*VLOOKUP($DR$2,坦克等级成长!$B$36:$G$42,MATCH(EN$3,坦克等级成长!$B$35:$G$35,0)),0)</f>
        <v>1180</v>
      </c>
      <c r="EO45" s="33">
        <f>ROUND(坦克等级成长!$H142*VLOOKUP($DR$2,坦克等级成长!$B$36:$G$42,MATCH(EO$3,坦克等级成长!$B$35:$G$35,0)),0)</f>
        <v>275</v>
      </c>
      <c r="EP45" s="192">
        <v>10</v>
      </c>
      <c r="EQ45" s="33">
        <f>ROUND(坦克等级成长!$D142*VLOOKUP($EP$2,坦克等级成长!$B$36:$G$42,MATCH(EQ$3,坦克等级成长!$B$35:$G$35,0)),0)</f>
        <v>2357</v>
      </c>
      <c r="ER45" s="33">
        <f>ROUND(坦克等级成长!$D142*VLOOKUP($EP$2,坦克等级成长!$B$36:$G$42,MATCH(ER$3,坦克等级成长!$B$35:$G$35,0)),0)</f>
        <v>243</v>
      </c>
      <c r="ES45" s="33">
        <f>ROUND(坦克等级成长!$D142*VLOOKUP($EP$2,坦克等级成长!$B$36:$G$42,MATCH(ES$3,坦克等级成长!$B$35:$G$35,0)),0)</f>
        <v>897</v>
      </c>
      <c r="ET45" s="33">
        <f t="shared" si="34"/>
        <v>897</v>
      </c>
      <c r="EU45" s="33">
        <v>717</v>
      </c>
      <c r="EV45" s="33">
        <f>ROUND(坦克等级成长!$D142*VLOOKUP($EP$2,坦克等级成长!$B$36:$G$42,MATCH(EV$3,坦克等级成长!$B$35:$G$35,0)),0)</f>
        <v>983</v>
      </c>
      <c r="EW45" s="33">
        <f>ROUND(坦克等级成长!$D142*VLOOKUP($EP$2,坦克等级成长!$B$36:$G$42,MATCH(EW$3,坦克等级成长!$B$35:$G$35,0)),0)</f>
        <v>236</v>
      </c>
      <c r="EX45" s="199">
        <v>10</v>
      </c>
      <c r="EY45" s="33">
        <f>ROUND(坦克等级成长!$F142*VLOOKUP($EP$2,坦克等级成长!$B$36:$G$42,MATCH(EY$3,坦克等级成长!$B$35:$G$35,0)),0)</f>
        <v>2392</v>
      </c>
      <c r="EZ45" s="33">
        <f>ROUND(坦克等级成长!$F142*VLOOKUP($EP$2,坦克等级成长!$B$36:$G$42,MATCH(EZ$3,坦克等级成长!$B$35:$G$35,0)),0)</f>
        <v>246</v>
      </c>
      <c r="FA45" s="33">
        <f>ROUND(坦克等级成长!$F142*VLOOKUP($EP$2,坦克等级成长!$B$36:$G$42,MATCH(FA$3,坦克等级成长!$B$35:$G$35,0)),0)</f>
        <v>910</v>
      </c>
      <c r="FB45" s="33">
        <f t="shared" si="13"/>
        <v>910</v>
      </c>
      <c r="FC45" s="33">
        <v>737</v>
      </c>
      <c r="FD45" s="33">
        <f>ROUND(坦克等级成长!$F142*VLOOKUP($EP$2,坦克等级成长!$B$36:$G$42,MATCH(FD$3,坦克等级成长!$B$35:$G$35,0)),0)</f>
        <v>997</v>
      </c>
      <c r="FE45" s="33">
        <f>ROUND(坦克等级成长!$F142*VLOOKUP($EP$2,坦克等级成长!$B$36:$G$42,MATCH(FE$3,坦克等级成长!$B$35:$G$35,0)),0)</f>
        <v>239</v>
      </c>
      <c r="FF45" s="192">
        <v>10</v>
      </c>
      <c r="FG45" s="33">
        <f>ROUND(坦克等级成长!$H142*VLOOKUP($EP$2,坦克等级成长!$B$36:$G$42,MATCH(FG$3,坦克等级成长!$B$35:$G$35,0)),0)</f>
        <v>2426</v>
      </c>
      <c r="FH45" s="33">
        <f>ROUND(坦克等级成长!$H142*VLOOKUP($EP$2,坦克等级成长!$B$36:$G$42,MATCH(FH$3,坦克等级成长!$B$35:$G$35,0)),0)</f>
        <v>250</v>
      </c>
      <c r="FI45" s="33">
        <f>ROUND(坦克等级成长!$H142*VLOOKUP($EP$2,坦克等级成长!$B$36:$G$42,MATCH(FI$3,坦克等级成长!$B$35:$G$35,0)),0)</f>
        <v>923</v>
      </c>
      <c r="FJ45" s="33">
        <f t="shared" si="27"/>
        <v>923</v>
      </c>
      <c r="FK45" s="33">
        <v>737</v>
      </c>
      <c r="FL45" s="33">
        <f>ROUND(坦克等级成长!$H142*VLOOKUP($EP$2,坦克等级成长!$B$36:$G$42,MATCH(FL$3,坦克等级成长!$B$35:$G$35,0)),0)</f>
        <v>1012</v>
      </c>
      <c r="FM45" s="33">
        <f>ROUND(坦克等级成长!$H142*VLOOKUP($EP$2,坦克等级成长!$B$36:$G$42,MATCH(FM$3,坦克等级成长!$B$35:$G$35,0)),0)</f>
        <v>243</v>
      </c>
    </row>
    <row r="46" spans="1:169" ht="14.25" x14ac:dyDescent="0.3">
      <c r="A46" s="189">
        <v>4</v>
      </c>
      <c r="B46" s="192">
        <v>11</v>
      </c>
      <c r="C46" s="33">
        <f>ROUND(坦克等级成长!$D143*VLOOKUP($B$2,坦克等级成长!$B$36:$G$42,MATCH(C$3,坦克等级成长!$B$35:$G$35,0)),0)</f>
        <v>2264</v>
      </c>
      <c r="D46" s="33">
        <f>ROUND(坦克等级成长!$D143*VLOOKUP($B$2,坦克等级成长!$B$36:$G$42,MATCH(D$3,坦克等级成长!$B$35:$G$35,0)),0)</f>
        <v>226</v>
      </c>
      <c r="E46" s="33">
        <f>ROUND(坦克等级成长!$D143*VLOOKUP($B$2,坦克等级成长!$B$36:$G$42,MATCH(E$3,坦克等级成长!$B$35:$G$35,0)),0)</f>
        <v>849</v>
      </c>
      <c r="F46" s="33">
        <f t="shared" si="28"/>
        <v>849</v>
      </c>
      <c r="G46" s="33">
        <v>634.20000000000005</v>
      </c>
      <c r="H46" s="33">
        <f>ROUND(坦克等级成长!$D143*VLOOKUP($B$2,坦克等级成长!$B$36:$G$42,MATCH(H$3,坦克等级成长!$B$35:$G$35,0)),0)</f>
        <v>849</v>
      </c>
      <c r="I46" s="33">
        <f>ROUND(坦克等级成长!$D143*VLOOKUP($B$2,坦克等级成长!$B$36:$G$42,MATCH(I$3,坦克等级成长!$B$35:$G$35,0)),0)</f>
        <v>226</v>
      </c>
      <c r="J46" s="199">
        <v>11</v>
      </c>
      <c r="K46" s="33">
        <f>ROUND(坦克等级成长!$F143*VLOOKUP($B$2,坦克等级成长!$B$36:$G$42,MATCH(K$3,坦克等级成长!$B$35:$G$35,0)),0)</f>
        <v>2296</v>
      </c>
      <c r="L46" s="33">
        <f>ROUND(坦克等级成长!$F143*VLOOKUP($B$2,坦克等级成长!$B$36:$G$42,MATCH(L$3,坦克等级成长!$B$35:$G$35,0)),0)</f>
        <v>229</v>
      </c>
      <c r="M46" s="33">
        <f>ROUND(坦克等级成长!$F143*VLOOKUP($B$2,坦克等级成长!$B$36:$G$42,MATCH(M$3,坦克等级成长!$B$35:$G$35,0)),0)</f>
        <v>861</v>
      </c>
      <c r="N46" s="33">
        <f t="shared" si="7"/>
        <v>861</v>
      </c>
      <c r="O46" s="33">
        <v>651</v>
      </c>
      <c r="P46" s="33">
        <f>ROUND(坦克等级成长!$F143*VLOOKUP($B$2,坦克等级成长!$B$36:$G$42,MATCH(P$3,坦克等级成长!$B$35:$G$35,0)),0)</f>
        <v>861</v>
      </c>
      <c r="Q46" s="33">
        <f>ROUND(坦克等级成长!$F143*VLOOKUP($B$2,坦克等级成长!$B$36:$G$42,MATCH(Q$3,坦克等级成长!$B$35:$G$35,0)),0)</f>
        <v>230</v>
      </c>
      <c r="R46" s="192">
        <v>11</v>
      </c>
      <c r="S46" s="33">
        <f>ROUND(坦克等级成长!$H143*VLOOKUP($B$2,坦克等级成长!$B$36:$G$42,MATCH(S$3,坦克等级成长!$B$35:$G$35,0)),0)</f>
        <v>2328</v>
      </c>
      <c r="T46" s="33">
        <f>ROUND(坦克等级成长!$H143*VLOOKUP($B$2,坦克等级成长!$B$36:$G$42,MATCH(T$3,坦克等级成长!$B$35:$G$35,0)),0)</f>
        <v>232</v>
      </c>
      <c r="U46" s="33">
        <f>ROUND(坦克等级成长!$H143*VLOOKUP($B$2,坦克等级成长!$B$36:$G$42,MATCH(U$3,坦克等级成长!$B$35:$G$35,0)),0)</f>
        <v>873</v>
      </c>
      <c r="V46" s="33">
        <f t="shared" si="21"/>
        <v>873</v>
      </c>
      <c r="W46" s="33">
        <v>651</v>
      </c>
      <c r="X46" s="33">
        <f>ROUND(坦克等级成长!$H143*VLOOKUP($B$2,坦克等级成长!$B$36:$G$42,MATCH(X$3,坦克等级成长!$B$35:$G$35,0)),0)</f>
        <v>873</v>
      </c>
      <c r="Y46" s="33">
        <f>ROUND(坦克等级成长!$H143*VLOOKUP($B$2,坦克等级成长!$B$36:$G$42,MATCH(Y$3,坦克等级成长!$B$35:$G$35,0)),0)</f>
        <v>233</v>
      </c>
      <c r="Z46" s="192">
        <v>11</v>
      </c>
      <c r="AA46" s="33">
        <f>ROUND(坦克等级成长!$D143*VLOOKUP($Z$2,坦克等级成长!$B$36:$G$42,MATCH(AA$3,坦克等级成长!$B$35:$G$35,0)),0)</f>
        <v>2264</v>
      </c>
      <c r="AB46" s="33">
        <f>ROUND(坦克等级成长!$D143*VLOOKUP($Z$2,坦克等级成长!$B$36:$G$42,MATCH(AB$3,坦克等级成长!$B$35:$G$35,0)),0)</f>
        <v>120</v>
      </c>
      <c r="AC46" s="33">
        <f>ROUND(坦克等级成长!$D143*VLOOKUP($Z$2,坦克等级成长!$B$36:$G$42,MATCH(AC$3,坦克等级成长!$B$35:$G$35,0)),0)</f>
        <v>930</v>
      </c>
      <c r="AD46" s="33">
        <f t="shared" si="29"/>
        <v>930</v>
      </c>
      <c r="AE46" s="33">
        <v>694.4</v>
      </c>
      <c r="AF46" s="33">
        <f>ROUND(坦克等级成长!$D143*VLOOKUP($Z$2,坦克等级成长!$B$36:$G$42,MATCH(AF$3,坦克等级成长!$B$35:$G$35,0)),0)</f>
        <v>849</v>
      </c>
      <c r="AG46" s="33">
        <f>ROUND(坦克等级成长!$D143*VLOOKUP($Z$2,坦克等级成长!$B$36:$G$42,MATCH(AG$3,坦克等级成长!$B$35:$G$35,0)),0)</f>
        <v>226</v>
      </c>
      <c r="AH46" s="199">
        <v>11</v>
      </c>
      <c r="AI46" s="33">
        <f>ROUND(坦克等级成长!$F143*VLOOKUP($Z$2,坦克等级成长!$B$36:$G$42,MATCH(AI$3,坦克等级成长!$B$35:$G$35,0)),0)</f>
        <v>2296</v>
      </c>
      <c r="AJ46" s="33">
        <f>ROUND(坦克等级成长!$F143*VLOOKUP($Z$2,坦克等级成长!$B$36:$G$42,MATCH(AJ$3,坦克等级成长!$B$35:$G$35,0)),0)</f>
        <v>122</v>
      </c>
      <c r="AK46" s="33">
        <f>ROUND(坦克等级成长!$F143*VLOOKUP($Z$2,坦克等级成长!$B$36:$G$42,MATCH(AK$3,坦克等级成长!$B$35:$G$35,0)),0)</f>
        <v>943</v>
      </c>
      <c r="AL46" s="33">
        <f t="shared" si="8"/>
        <v>943</v>
      </c>
      <c r="AM46" s="33">
        <v>713</v>
      </c>
      <c r="AN46" s="33">
        <f>ROUND(坦克等级成长!$F143*VLOOKUP($Z$2,坦克等级成长!$B$36:$G$42,MATCH(AN$3,坦克等级成长!$B$35:$G$35,0)),0)</f>
        <v>861</v>
      </c>
      <c r="AO46" s="33">
        <f>ROUND(坦克等级成长!$F143*VLOOKUP($Z$2,坦克等级成长!$B$36:$G$42,MATCH(AO$3,坦克等级成长!$B$35:$G$35,0)),0)</f>
        <v>230</v>
      </c>
      <c r="AP46" s="192">
        <v>11</v>
      </c>
      <c r="AQ46" s="33">
        <f>ROUND(坦克等级成长!$H143*VLOOKUP($Z$2,坦克等级成长!$B$36:$G$42,MATCH(AQ$3,坦克等级成长!$B$35:$G$35,0)),0)</f>
        <v>2328</v>
      </c>
      <c r="AR46" s="33">
        <f>ROUND(坦克等级成长!$H143*VLOOKUP($Z$2,坦克等级成长!$B$36:$G$42,MATCH(AR$3,坦克等级成长!$B$35:$G$35,0)),0)</f>
        <v>124</v>
      </c>
      <c r="AS46" s="33">
        <f>ROUND(坦克等级成长!$H143*VLOOKUP($Z$2,坦克等级成长!$B$36:$G$42,MATCH(AS$3,坦克等级成长!$B$35:$G$35,0)),0)</f>
        <v>956</v>
      </c>
      <c r="AT46" s="33">
        <f t="shared" si="22"/>
        <v>956</v>
      </c>
      <c r="AU46" s="33">
        <v>713</v>
      </c>
      <c r="AV46" s="33">
        <f>ROUND(坦克等级成长!$H143*VLOOKUP($Z$2,坦克等级成长!$B$36:$G$42,MATCH(AV$3,坦克等级成长!$B$35:$G$35,0)),0)</f>
        <v>873</v>
      </c>
      <c r="AW46" s="33">
        <f>ROUND(坦克等级成长!$H143*VLOOKUP($Z$2,坦克等级成长!$B$36:$G$42,MATCH(AW$3,坦克等级成长!$B$35:$G$35,0)),0)</f>
        <v>233</v>
      </c>
      <c r="AX46" s="192">
        <v>11</v>
      </c>
      <c r="AY46" s="33">
        <f>ROUND(坦克等级成长!$D143*VLOOKUP($AX$2,坦克等级成长!$B$36:$G$42,MATCH(AY$3,坦克等级成长!$B$35:$G$35,0)),0)</f>
        <v>2264</v>
      </c>
      <c r="AZ46" s="33">
        <f>ROUND(坦克等级成长!$D143*VLOOKUP($AX$2,坦克等级成长!$B$36:$G$42,MATCH(AZ$3,坦克等级成长!$B$35:$G$35,0)),0)</f>
        <v>226</v>
      </c>
      <c r="BA46" s="33">
        <f>ROUND(坦克等级成长!$D143*VLOOKUP($AX$2,坦克等级成长!$B$36:$G$42,MATCH(BA$3,坦克等级成长!$B$35:$G$35,0)),0)</f>
        <v>849</v>
      </c>
      <c r="BB46" s="33">
        <f t="shared" si="30"/>
        <v>849</v>
      </c>
      <c r="BC46" s="33">
        <v>634.20000000000005</v>
      </c>
      <c r="BD46" s="33">
        <f>ROUND(坦克等级成长!$D143*VLOOKUP($AX$2,坦克等级成长!$B$36:$G$42,MATCH(BD$3,坦克等级成长!$B$35:$G$35,0)),0)</f>
        <v>849</v>
      </c>
      <c r="BE46" s="33">
        <f>ROUND(坦克等级成长!$D143*VLOOKUP($AX$2,坦克等级成长!$B$36:$G$42,MATCH(BE$3,坦克等级成长!$B$35:$G$35,0)),0)</f>
        <v>226</v>
      </c>
      <c r="BF46" s="199">
        <v>11</v>
      </c>
      <c r="BG46" s="33">
        <f>ROUND(坦克等级成长!$F143*VLOOKUP($AX$2,坦克等级成长!$B$36:$G$42,MATCH(BG$3,坦克等级成长!$B$35:$G$35,0)),0)</f>
        <v>2296</v>
      </c>
      <c r="BH46" s="33">
        <f>ROUND(坦克等级成长!$F143*VLOOKUP($AX$2,坦克等级成长!$B$36:$G$42,MATCH(BH$3,坦克等级成长!$B$35:$G$35,0)),0)</f>
        <v>229</v>
      </c>
      <c r="BI46" s="33">
        <f>ROUND(坦克等级成长!$F143*VLOOKUP($AX$2,坦克等级成长!$B$36:$G$42,MATCH(BI$3,坦克等级成长!$B$35:$G$35,0)),0)</f>
        <v>861</v>
      </c>
      <c r="BJ46" s="33">
        <f t="shared" si="9"/>
        <v>861</v>
      </c>
      <c r="BK46" s="33">
        <v>651</v>
      </c>
      <c r="BL46" s="33">
        <f>ROUND(坦克等级成长!$F143*VLOOKUP($AX$2,坦克等级成长!$B$36:$G$42,MATCH(BL$3,坦克等级成长!$B$35:$G$35,0)),0)</f>
        <v>861</v>
      </c>
      <c r="BM46" s="33">
        <f>ROUND(坦克等级成长!$F143*VLOOKUP($AX$2,坦克等级成长!$B$36:$G$42,MATCH(BM$3,坦克等级成长!$B$35:$G$35,0)),0)</f>
        <v>230</v>
      </c>
      <c r="BN46" s="192">
        <v>11</v>
      </c>
      <c r="BO46" s="33">
        <f>ROUND(坦克等级成长!$H143*VLOOKUP($AX$2,坦克等级成长!$B$36:$G$42,MATCH(BO$3,坦克等级成长!$B$35:$G$35,0)),0)</f>
        <v>2328</v>
      </c>
      <c r="BP46" s="33">
        <f>ROUND(坦克等级成长!$H143*VLOOKUP($AX$2,坦克等级成长!$B$36:$G$42,MATCH(BP$3,坦克等级成长!$B$35:$G$35,0)),0)</f>
        <v>232</v>
      </c>
      <c r="BQ46" s="33">
        <f>ROUND(坦克等级成长!$H143*VLOOKUP($AX$2,坦克等级成长!$B$36:$G$42,MATCH(BQ$3,坦克等级成长!$B$35:$G$35,0)),0)</f>
        <v>873</v>
      </c>
      <c r="BR46" s="33">
        <f t="shared" si="23"/>
        <v>873</v>
      </c>
      <c r="BS46" s="33">
        <v>651</v>
      </c>
      <c r="BT46" s="33">
        <f>ROUND(坦克等级成长!$H143*VLOOKUP($AX$2,坦克等级成长!$B$36:$G$42,MATCH(BT$3,坦克等级成长!$B$35:$G$35,0)),0)</f>
        <v>873</v>
      </c>
      <c r="BU46" s="33">
        <f>ROUND(坦克等级成长!$H143*VLOOKUP($AX$2,坦克等级成长!$B$36:$G$42,MATCH(BU$3,坦克等级成长!$B$35:$G$35,0)),0)</f>
        <v>233</v>
      </c>
      <c r="BV46" s="192">
        <v>11</v>
      </c>
      <c r="BW46" s="33">
        <f>ROUND(坦克等级成长!$D143*VLOOKUP($BV$2,坦克等级成长!$B$36:$G$42,MATCH(BW$3,坦克等级成长!$B$35:$G$35,0)),0)</f>
        <v>2444</v>
      </c>
      <c r="BX46" s="33">
        <f>ROUND(坦克等级成长!$D143*VLOOKUP($BV$2,坦克等级成长!$B$36:$G$42,MATCH(BX$3,坦克等级成长!$B$35:$G$35,0)),0)</f>
        <v>210</v>
      </c>
      <c r="BY46" s="33">
        <f>ROUND(坦克等级成长!$D143*VLOOKUP($BV$2,坦克等级成长!$B$36:$G$42,MATCH(BY$3,坦克等级成长!$B$35:$G$35,0)),0)</f>
        <v>809</v>
      </c>
      <c r="BZ46" s="33">
        <f t="shared" si="31"/>
        <v>809</v>
      </c>
      <c r="CA46" s="33">
        <v>647.25</v>
      </c>
      <c r="CB46" s="33">
        <f>ROUND(坦克等级成长!$D143*VLOOKUP($BV$2,坦克等级成长!$B$36:$G$42,MATCH(CB$3,坦克等级成长!$B$35:$G$35,0)),0)</f>
        <v>1019</v>
      </c>
      <c r="CC46" s="33">
        <f>ROUND(坦克等级成长!$D143*VLOOKUP($BV$2,坦克等级成长!$B$36:$G$42,MATCH(CC$3,坦克等级成长!$B$35:$G$35,0)),0)</f>
        <v>244</v>
      </c>
      <c r="CD46" s="199">
        <v>11</v>
      </c>
      <c r="CE46" s="33">
        <f>ROUND(坦克等级成长!$F143*VLOOKUP($BV$2,坦克等级成长!$B$36:$G$42,MATCH(CE$3,坦克等级成长!$B$35:$G$35,0)),0)</f>
        <v>2478</v>
      </c>
      <c r="CF46" s="33">
        <f>ROUND(坦克等级成长!$F143*VLOOKUP($BV$2,坦克等级成长!$B$36:$G$42,MATCH(CF$3,坦克等级成长!$B$35:$G$35,0)),0)</f>
        <v>213</v>
      </c>
      <c r="CG46" s="33">
        <f>ROUND(坦克等级成长!$F143*VLOOKUP($BV$2,坦克等级成长!$B$36:$G$42,MATCH(CG$3,坦克等级成长!$B$35:$G$35,0)),0)</f>
        <v>820</v>
      </c>
      <c r="CH46" s="33">
        <f t="shared" si="10"/>
        <v>820</v>
      </c>
      <c r="CI46" s="33">
        <v>665</v>
      </c>
      <c r="CJ46" s="33">
        <f>ROUND(坦克等级成长!$F143*VLOOKUP($BV$2,坦克等级成长!$B$36:$G$42,MATCH(CJ$3,坦克等级成长!$B$35:$G$35,0)),0)</f>
        <v>1033</v>
      </c>
      <c r="CK46" s="33">
        <f>ROUND(坦克等级成长!$F143*VLOOKUP($BV$2,坦克等级成长!$B$36:$G$42,MATCH(CK$3,坦克等级成长!$B$35:$G$35,0)),0)</f>
        <v>248</v>
      </c>
      <c r="CL46" s="192">
        <v>11</v>
      </c>
      <c r="CM46" s="33">
        <f>ROUND(坦克等级成长!$H143*VLOOKUP($BV$2,坦克等级成长!$B$36:$G$42,MATCH(CM$3,坦克等级成长!$B$35:$G$35,0)),0)</f>
        <v>2513</v>
      </c>
      <c r="CN46" s="33">
        <f>ROUND(坦克等级成长!$H143*VLOOKUP($BV$2,坦克等级成长!$B$36:$G$42,MATCH(CN$3,坦克等级成长!$B$35:$G$35,0)),0)</f>
        <v>216</v>
      </c>
      <c r="CO46" s="33">
        <f>ROUND(坦克等级成长!$H143*VLOOKUP($BV$2,坦克等级成长!$B$36:$G$42,MATCH(CO$3,坦克等级成长!$B$35:$G$35,0)),0)</f>
        <v>831</v>
      </c>
      <c r="CP46" s="33">
        <f t="shared" si="24"/>
        <v>831</v>
      </c>
      <c r="CQ46" s="33">
        <v>665</v>
      </c>
      <c r="CR46" s="33">
        <f>ROUND(坦克等级成长!$H143*VLOOKUP($BV$2,坦克等级成长!$B$36:$G$42,MATCH(CR$3,坦克等级成长!$B$35:$G$35,0)),0)</f>
        <v>1048</v>
      </c>
      <c r="CS46" s="33">
        <f>ROUND(坦克等级成长!$H143*VLOOKUP($BV$2,坦克等级成长!$B$36:$G$42,MATCH(CS$3,坦克等级成长!$B$35:$G$35,0)),0)</f>
        <v>251</v>
      </c>
      <c r="CT46" s="192">
        <v>11</v>
      </c>
      <c r="CU46" s="33">
        <f>ROUND(坦克等级成长!$D143*VLOOKUP($CT$2,坦克等级成长!$B$36:$G$42,MATCH(CU$3,坦克等级成长!$B$35:$G$35,0)),0)</f>
        <v>2264</v>
      </c>
      <c r="CV46" s="33">
        <f>ROUND(坦克等级成长!$D143*VLOOKUP($CT$2,坦克等级成长!$B$36:$G$42,MATCH(CV$3,坦克等级成长!$B$35:$G$35,0)),0)</f>
        <v>456</v>
      </c>
      <c r="CW46" s="33">
        <f>ROUND(坦克等级成长!$D143*VLOOKUP($CT$2,坦克等级成长!$B$36:$G$42,MATCH(CW$3,坦克等级成长!$B$35:$G$35,0)),0)</f>
        <v>1011</v>
      </c>
      <c r="CX46" s="33">
        <f t="shared" si="32"/>
        <v>1011</v>
      </c>
      <c r="CY46" s="33">
        <v>809.25</v>
      </c>
      <c r="CZ46" s="33">
        <f>ROUND(坦克等级成长!$D143*VLOOKUP($CT$2,坦克等级成长!$B$36:$G$42,MATCH(CZ$3,坦克等级成长!$B$35:$G$35,0)),0)</f>
        <v>849</v>
      </c>
      <c r="DA46" s="33">
        <f>ROUND(坦克等级成长!$D143*VLOOKUP($CT$2,坦克等级成长!$B$36:$G$42,MATCH(DA$3,坦克等级成长!$B$35:$G$35,0)),0)</f>
        <v>226</v>
      </c>
      <c r="DB46" s="199">
        <v>11</v>
      </c>
      <c r="DC46" s="33">
        <f>ROUND(坦克等级成长!$F143*VLOOKUP($CT$2,坦克等级成长!$B$36:$G$42,MATCH(DC$3,坦克等级成长!$B$35:$G$35,0)),0)</f>
        <v>2296</v>
      </c>
      <c r="DD46" s="33">
        <f>ROUND(坦克等级成长!$F143*VLOOKUP($CT$2,坦克等级成长!$B$36:$G$42,MATCH(DD$3,坦克等级成长!$B$35:$G$35,0)),0)</f>
        <v>462</v>
      </c>
      <c r="DE46" s="33">
        <f>ROUND(坦克等级成长!$F143*VLOOKUP($CT$2,坦克等级成长!$B$36:$G$42,MATCH(DE$3,坦克等级成长!$B$35:$G$35,0)),0)</f>
        <v>1025</v>
      </c>
      <c r="DF46" s="33">
        <f t="shared" si="11"/>
        <v>1025</v>
      </c>
      <c r="DG46" s="33">
        <v>830</v>
      </c>
      <c r="DH46" s="33">
        <f>ROUND(坦克等级成长!$F143*VLOOKUP($CT$2,坦克等级成长!$B$36:$G$42,MATCH(DH$3,坦克等级成长!$B$35:$G$35,0)),0)</f>
        <v>861</v>
      </c>
      <c r="DI46" s="33">
        <f>ROUND(坦克等级成长!$F143*VLOOKUP($CT$2,坦克等级成长!$B$36:$G$42,MATCH(DI$3,坦克等级成长!$B$35:$G$35,0)),0)</f>
        <v>230</v>
      </c>
      <c r="DJ46" s="192">
        <v>11</v>
      </c>
      <c r="DK46" s="33">
        <f>ROUND(坦克等级成长!$H143*VLOOKUP($CT$2,坦克等级成长!$B$36:$G$42,MATCH(DK$3,坦克等级成长!$B$35:$G$35,0)),0)</f>
        <v>2328</v>
      </c>
      <c r="DL46" s="33">
        <f>ROUND(坦克等级成长!$H143*VLOOKUP($CT$2,坦克等级成长!$B$36:$G$42,MATCH(DL$3,坦克等级成长!$B$35:$G$35,0)),0)</f>
        <v>469</v>
      </c>
      <c r="DM46" s="33">
        <f>ROUND(坦克等级成长!$H143*VLOOKUP($CT$2,坦克等级成长!$B$36:$G$42,MATCH(DM$3,坦克等级成长!$B$35:$G$35,0)),0)</f>
        <v>1039</v>
      </c>
      <c r="DN46" s="33">
        <f t="shared" si="25"/>
        <v>1039</v>
      </c>
      <c r="DO46" s="33">
        <v>830</v>
      </c>
      <c r="DP46" s="33">
        <f>ROUND(坦克等级成长!$H143*VLOOKUP($CT$2,坦克等级成长!$B$36:$G$42,MATCH(DP$3,坦克等级成长!$B$35:$G$35,0)),0)</f>
        <v>873</v>
      </c>
      <c r="DQ46" s="33">
        <f>ROUND(坦克等级成长!$H143*VLOOKUP($CT$2,坦克等级成长!$B$36:$G$42,MATCH(DQ$3,坦克等级成长!$B$35:$G$35,0)),0)</f>
        <v>233</v>
      </c>
      <c r="DR46" s="192">
        <v>11</v>
      </c>
      <c r="DS46" s="33">
        <f>ROUND(坦克等级成长!$D143*VLOOKUP($DR$2,坦克等级成长!$B$36:$G$42,MATCH(DS$3,坦克等级成长!$B$35:$G$35,0)),0)</f>
        <v>2770</v>
      </c>
      <c r="DT46" s="33">
        <f>ROUND(坦克等级成长!$D143*VLOOKUP($DR$2,坦克等级成长!$B$36:$G$42,MATCH(DT$3,坦克等级成长!$B$35:$G$35,0)),0)</f>
        <v>759</v>
      </c>
      <c r="DU46" s="33">
        <f>ROUND(坦克等级成长!$D143*VLOOKUP($DR$2,坦克等级成长!$B$36:$G$42,MATCH(DU$3,坦克等级成长!$B$35:$G$35,0)),0)</f>
        <v>809</v>
      </c>
      <c r="DV46" s="33">
        <f t="shared" si="33"/>
        <v>809</v>
      </c>
      <c r="DW46" s="33">
        <v>690.4</v>
      </c>
      <c r="DX46" s="33">
        <f>ROUND(坦克等级成长!$D143*VLOOKUP($DR$2,坦克等级成长!$B$36:$G$42,MATCH(DX$3,坦克等级成长!$B$35:$G$35,0)),0)</f>
        <v>1189</v>
      </c>
      <c r="DY46" s="33">
        <f>ROUND(坦克等级成长!$D143*VLOOKUP($DR$2,坦克等级成长!$B$36:$G$42,MATCH(DY$3,坦克等级成长!$B$35:$G$35,0)),0)</f>
        <v>277</v>
      </c>
      <c r="DZ46" s="199">
        <v>11</v>
      </c>
      <c r="EA46" s="33">
        <f>ROUND(坦克等级成长!$F143*VLOOKUP($DR$2,坦克等级成长!$B$36:$G$42,MATCH(EA$3,坦克等级成长!$B$35:$G$35,0)),0)</f>
        <v>2809</v>
      </c>
      <c r="EB46" s="33">
        <f>ROUND(坦克等级成长!$F143*VLOOKUP($DR$2,坦克等级成长!$B$36:$G$42,MATCH(EB$3,坦克等级成长!$B$35:$G$35,0)),0)</f>
        <v>769</v>
      </c>
      <c r="EC46" s="33">
        <f>ROUND(坦克等级成长!$F143*VLOOKUP($DR$2,坦克等级成长!$B$36:$G$42,MATCH(EC$3,坦克等级成长!$B$35:$G$35,0)),0)</f>
        <v>820</v>
      </c>
      <c r="ED46" s="33">
        <f t="shared" si="12"/>
        <v>820</v>
      </c>
      <c r="EE46" s="33">
        <v>709</v>
      </c>
      <c r="EF46" s="33">
        <f>ROUND(坦克等级成长!$F143*VLOOKUP($DR$2,坦克等级成长!$B$36:$G$42,MATCH(EF$3,坦克等级成长!$B$35:$G$35,0)),0)</f>
        <v>1205</v>
      </c>
      <c r="EG46" s="33">
        <f>ROUND(坦克等级成长!$F143*VLOOKUP($DR$2,坦克等级成长!$B$36:$G$42,MATCH(EG$3,坦克等级成长!$B$35:$G$35,0)),0)</f>
        <v>281</v>
      </c>
      <c r="EH46" s="192">
        <v>11</v>
      </c>
      <c r="EI46" s="33">
        <f>ROUND(坦克等级成长!$H143*VLOOKUP($DR$2,坦克等级成长!$B$36:$G$42,MATCH(EI$3,坦克等级成长!$B$35:$G$35,0)),0)</f>
        <v>2848</v>
      </c>
      <c r="EJ46" s="33">
        <f>ROUND(坦克等级成长!$H143*VLOOKUP($DR$2,坦克等级成长!$B$36:$G$42,MATCH(EJ$3,坦克等级成长!$B$35:$G$35,0)),0)</f>
        <v>780</v>
      </c>
      <c r="EK46" s="33">
        <f>ROUND(坦克等级成长!$H143*VLOOKUP($DR$2,坦克等级成长!$B$36:$G$42,MATCH(EK$3,坦克等级成长!$B$35:$G$35,0)),0)</f>
        <v>831</v>
      </c>
      <c r="EL46" s="33">
        <f t="shared" si="26"/>
        <v>831</v>
      </c>
      <c r="EM46" s="33">
        <v>709</v>
      </c>
      <c r="EN46" s="33">
        <f>ROUND(坦克等级成长!$H143*VLOOKUP($DR$2,坦克等级成长!$B$36:$G$42,MATCH(EN$3,坦克等级成长!$B$35:$G$35,0)),0)</f>
        <v>1222</v>
      </c>
      <c r="EO46" s="33">
        <f>ROUND(坦克等级成长!$H143*VLOOKUP($DR$2,坦克等级成长!$B$36:$G$42,MATCH(EO$3,坦克等级成长!$B$35:$G$35,0)),0)</f>
        <v>285</v>
      </c>
      <c r="EP46" s="192">
        <v>11</v>
      </c>
      <c r="EQ46" s="33">
        <f>ROUND(坦克等级成长!$D143*VLOOKUP($EP$2,坦克等级成长!$B$36:$G$42,MATCH(EQ$3,坦克等级成长!$B$35:$G$35,0)),0)</f>
        <v>2444</v>
      </c>
      <c r="ER46" s="33">
        <f>ROUND(坦克等级成长!$D143*VLOOKUP($EP$2,坦克等级成长!$B$36:$G$42,MATCH(ER$3,坦克等级成长!$B$35:$G$35,0)),0)</f>
        <v>252</v>
      </c>
      <c r="ES46" s="33">
        <f>ROUND(坦克等级成长!$D143*VLOOKUP($EP$2,坦克等级成长!$B$36:$G$42,MATCH(ES$3,坦克等级成长!$B$35:$G$35,0)),0)</f>
        <v>930</v>
      </c>
      <c r="ET46" s="33">
        <f t="shared" si="34"/>
        <v>930</v>
      </c>
      <c r="EU46" s="33">
        <v>744</v>
      </c>
      <c r="EV46" s="33">
        <f>ROUND(坦克等级成长!$D143*VLOOKUP($EP$2,坦克等级成长!$B$36:$G$42,MATCH(EV$3,坦克等级成长!$B$35:$G$35,0)),0)</f>
        <v>1019</v>
      </c>
      <c r="EW46" s="33">
        <f>ROUND(坦克等级成长!$D143*VLOOKUP($EP$2,坦克等级成长!$B$36:$G$42,MATCH(EW$3,坦克等级成长!$B$35:$G$35,0)),0)</f>
        <v>244</v>
      </c>
      <c r="EX46" s="199">
        <v>11</v>
      </c>
      <c r="EY46" s="33">
        <f>ROUND(坦克等级成长!$F143*VLOOKUP($EP$2,坦克等级成长!$B$36:$G$42,MATCH(EY$3,坦克等级成长!$B$35:$G$35,0)),0)</f>
        <v>2478</v>
      </c>
      <c r="EZ46" s="33">
        <f>ROUND(坦克等级成长!$F143*VLOOKUP($EP$2,坦克等级成长!$B$36:$G$42,MATCH(EZ$3,坦克等级成长!$B$35:$G$35,0)),0)</f>
        <v>255</v>
      </c>
      <c r="FA46" s="33">
        <f>ROUND(坦克等级成长!$F143*VLOOKUP($EP$2,坦克等级成长!$B$36:$G$42,MATCH(FA$3,坦克等级成长!$B$35:$G$35,0)),0)</f>
        <v>943</v>
      </c>
      <c r="FB46" s="33">
        <f t="shared" si="13"/>
        <v>943</v>
      </c>
      <c r="FC46" s="33">
        <v>764</v>
      </c>
      <c r="FD46" s="33">
        <f>ROUND(坦克等级成长!$F143*VLOOKUP($EP$2,坦克等级成长!$B$36:$G$42,MATCH(FD$3,坦克等级成长!$B$35:$G$35,0)),0)</f>
        <v>1033</v>
      </c>
      <c r="FE46" s="33">
        <f>ROUND(坦克等级成长!$F143*VLOOKUP($EP$2,坦克等级成长!$B$36:$G$42,MATCH(FE$3,坦克等级成长!$B$35:$G$35,0)),0)</f>
        <v>248</v>
      </c>
      <c r="FF46" s="192">
        <v>11</v>
      </c>
      <c r="FG46" s="33">
        <f>ROUND(坦克等级成长!$H143*VLOOKUP($EP$2,坦克等级成长!$B$36:$G$42,MATCH(FG$3,坦克等级成长!$B$35:$G$35,0)),0)</f>
        <v>2513</v>
      </c>
      <c r="FH46" s="33">
        <f>ROUND(坦克等级成长!$H143*VLOOKUP($EP$2,坦克等级成长!$B$36:$G$42,MATCH(FH$3,坦克等级成长!$B$35:$G$35,0)),0)</f>
        <v>259</v>
      </c>
      <c r="FI46" s="33">
        <f>ROUND(坦克等级成长!$H143*VLOOKUP($EP$2,坦克等级成长!$B$36:$G$42,MATCH(FI$3,坦克等级成长!$B$35:$G$35,0)),0)</f>
        <v>956</v>
      </c>
      <c r="FJ46" s="33">
        <f t="shared" si="27"/>
        <v>956</v>
      </c>
      <c r="FK46" s="33">
        <v>764</v>
      </c>
      <c r="FL46" s="33">
        <f>ROUND(坦克等级成长!$H143*VLOOKUP($EP$2,坦克等级成长!$B$36:$G$42,MATCH(FL$3,坦克等级成长!$B$35:$G$35,0)),0)</f>
        <v>1048</v>
      </c>
      <c r="FM46" s="33">
        <f>ROUND(坦克等级成长!$H143*VLOOKUP($EP$2,坦克等级成长!$B$36:$G$42,MATCH(FM$3,坦克等级成长!$B$35:$G$35,0)),0)</f>
        <v>251</v>
      </c>
    </row>
    <row r="47" spans="1:169" ht="14.25" x14ac:dyDescent="0.3">
      <c r="A47" s="189">
        <v>4</v>
      </c>
      <c r="B47" s="193"/>
      <c r="C47" s="189"/>
      <c r="D47" s="189"/>
      <c r="E47" s="189"/>
      <c r="F47" s="189"/>
      <c r="G47" s="189"/>
      <c r="H47" s="189"/>
      <c r="I47" s="200"/>
      <c r="J47" s="199">
        <v>12</v>
      </c>
      <c r="K47" s="33">
        <f>ROUND(坦克等级成长!$F144*VLOOKUP($B$2,坦克等级成长!$B$36:$G$42,MATCH(K$3,坦克等级成长!$B$35:$G$35,0)),0)</f>
        <v>2376</v>
      </c>
      <c r="L47" s="33">
        <f>ROUND(坦克等级成长!$F144*VLOOKUP($B$2,坦克等级成长!$B$36:$G$42,MATCH(L$3,坦克等级成长!$B$35:$G$35,0)),0)</f>
        <v>237</v>
      </c>
      <c r="M47" s="33">
        <f>ROUND(坦克等级成长!$F144*VLOOKUP($B$2,坦克等级成长!$B$36:$G$42,MATCH(M$3,坦克等级成长!$B$35:$G$35,0)),0)</f>
        <v>891</v>
      </c>
      <c r="N47" s="33">
        <f t="shared" si="7"/>
        <v>891</v>
      </c>
      <c r="O47" s="33">
        <v>674</v>
      </c>
      <c r="P47" s="33">
        <f>ROUND(坦克等级成长!$F144*VLOOKUP($B$2,坦克等级成长!$B$36:$G$42,MATCH(P$3,坦克等级成长!$B$35:$G$35,0)),0)</f>
        <v>891</v>
      </c>
      <c r="Q47" s="33">
        <f>ROUND(坦克等级成长!$F144*VLOOKUP($B$2,坦克等级成长!$B$36:$G$42,MATCH(Q$3,坦克等级成长!$B$35:$G$35,0)),0)</f>
        <v>238</v>
      </c>
      <c r="R47" s="192">
        <v>12</v>
      </c>
      <c r="S47" s="33">
        <f>ROUND(坦克等级成长!$H144*VLOOKUP($B$2,坦克等级成长!$B$36:$G$42,MATCH(S$3,坦克等级成长!$B$35:$G$35,0)),0)</f>
        <v>2408</v>
      </c>
      <c r="T47" s="33">
        <f>ROUND(坦克等级成长!$H144*VLOOKUP($B$2,坦克等级成长!$B$36:$G$42,MATCH(T$3,坦克等级成长!$B$35:$G$35,0)),0)</f>
        <v>240</v>
      </c>
      <c r="U47" s="33">
        <f>ROUND(坦克等级成长!$H144*VLOOKUP($B$2,坦克等级成长!$B$36:$G$42,MATCH(U$3,坦克等级成长!$B$35:$G$35,0)),0)</f>
        <v>903</v>
      </c>
      <c r="V47" s="33">
        <f t="shared" si="21"/>
        <v>903</v>
      </c>
      <c r="W47" s="33">
        <v>674</v>
      </c>
      <c r="X47" s="33">
        <f>ROUND(坦克等级成长!$H144*VLOOKUP($B$2,坦克等级成长!$B$36:$G$42,MATCH(X$3,坦克等级成长!$B$35:$G$35,0)),0)</f>
        <v>903</v>
      </c>
      <c r="Y47" s="33">
        <f>ROUND(坦克等级成长!$H144*VLOOKUP($B$2,坦克等级成长!$B$36:$G$42,MATCH(Y$3,坦克等级成长!$B$35:$G$35,0)),0)</f>
        <v>241</v>
      </c>
      <c r="Z47" s="193"/>
      <c r="AA47" s="189"/>
      <c r="AB47" s="189"/>
      <c r="AC47" s="189"/>
      <c r="AD47" s="189"/>
      <c r="AE47" s="189"/>
      <c r="AF47" s="189"/>
      <c r="AG47" s="200"/>
      <c r="AH47" s="199">
        <v>12</v>
      </c>
      <c r="AI47" s="33">
        <f>ROUND(坦克等级成长!$F144*VLOOKUP($Z$2,坦克等级成长!$B$36:$G$42,MATCH(AI$3,坦克等级成长!$B$35:$G$35,0)),0)</f>
        <v>2376</v>
      </c>
      <c r="AJ47" s="33">
        <f>ROUND(坦克等级成长!$F144*VLOOKUP($Z$2,坦克等级成长!$B$36:$G$42,MATCH(AJ$3,坦克等级成长!$B$35:$G$35,0)),0)</f>
        <v>126</v>
      </c>
      <c r="AK47" s="33">
        <f>ROUND(坦克等级成长!$F144*VLOOKUP($Z$2,坦克等级成长!$B$36:$G$42,MATCH(AK$3,坦克等级成长!$B$35:$G$35,0)),0)</f>
        <v>976</v>
      </c>
      <c r="AL47" s="33">
        <f t="shared" si="8"/>
        <v>976</v>
      </c>
      <c r="AM47" s="33">
        <v>739</v>
      </c>
      <c r="AN47" s="33">
        <f>ROUND(坦克等级成长!$F144*VLOOKUP($Z$2,坦克等级成长!$B$36:$G$42,MATCH(AN$3,坦克等级成长!$B$35:$G$35,0)),0)</f>
        <v>891</v>
      </c>
      <c r="AO47" s="33">
        <f>ROUND(坦克等级成长!$F144*VLOOKUP($Z$2,坦克等级成长!$B$36:$G$42,MATCH(AO$3,坦克等级成长!$B$35:$G$35,0)),0)</f>
        <v>238</v>
      </c>
      <c r="AP47" s="192">
        <v>12</v>
      </c>
      <c r="AQ47" s="33">
        <f>ROUND(坦克等级成长!$H144*VLOOKUP($Z$2,坦克等级成长!$B$36:$G$42,MATCH(AQ$3,坦克等级成长!$B$35:$G$35,0)),0)</f>
        <v>2408</v>
      </c>
      <c r="AR47" s="33">
        <f>ROUND(坦克等级成长!$H144*VLOOKUP($Z$2,坦克等级成长!$B$36:$G$42,MATCH(AR$3,坦克等级成长!$B$35:$G$35,0)),0)</f>
        <v>128</v>
      </c>
      <c r="AS47" s="33">
        <f>ROUND(坦克等级成长!$H144*VLOOKUP($Z$2,坦克等级成长!$B$36:$G$42,MATCH(AS$3,坦克等级成长!$B$35:$G$35,0)),0)</f>
        <v>989</v>
      </c>
      <c r="AT47" s="33">
        <f t="shared" si="22"/>
        <v>989</v>
      </c>
      <c r="AU47" s="33">
        <v>739</v>
      </c>
      <c r="AV47" s="33">
        <f>ROUND(坦克等级成长!$H144*VLOOKUP($Z$2,坦克等级成长!$B$36:$G$42,MATCH(AV$3,坦克等级成长!$B$35:$G$35,0)),0)</f>
        <v>903</v>
      </c>
      <c r="AW47" s="33">
        <f>ROUND(坦克等级成长!$H144*VLOOKUP($Z$2,坦克等级成长!$B$36:$G$42,MATCH(AW$3,坦克等级成长!$B$35:$G$35,0)),0)</f>
        <v>241</v>
      </c>
      <c r="AX47" s="193"/>
      <c r="AY47" s="189"/>
      <c r="AZ47" s="189"/>
      <c r="BA47" s="189"/>
      <c r="BB47" s="189"/>
      <c r="BC47" s="189"/>
      <c r="BD47" s="189"/>
      <c r="BE47" s="200"/>
      <c r="BF47" s="199">
        <v>12</v>
      </c>
      <c r="BG47" s="33">
        <f>ROUND(坦克等级成长!$F144*VLOOKUP($AX$2,坦克等级成长!$B$36:$G$42,MATCH(BG$3,坦克等级成长!$B$35:$G$35,0)),0)</f>
        <v>2376</v>
      </c>
      <c r="BH47" s="33">
        <f>ROUND(坦克等级成长!$F144*VLOOKUP($AX$2,坦克等级成长!$B$36:$G$42,MATCH(BH$3,坦克等级成长!$B$35:$G$35,0)),0)</f>
        <v>237</v>
      </c>
      <c r="BI47" s="33">
        <f>ROUND(坦克等级成长!$F144*VLOOKUP($AX$2,坦克等级成长!$B$36:$G$42,MATCH(BI$3,坦克等级成长!$B$35:$G$35,0)),0)</f>
        <v>891</v>
      </c>
      <c r="BJ47" s="33">
        <f t="shared" si="9"/>
        <v>891</v>
      </c>
      <c r="BK47" s="33">
        <v>674</v>
      </c>
      <c r="BL47" s="33">
        <f>ROUND(坦克等级成长!$F144*VLOOKUP($AX$2,坦克等级成长!$B$36:$G$42,MATCH(BL$3,坦克等级成长!$B$35:$G$35,0)),0)</f>
        <v>891</v>
      </c>
      <c r="BM47" s="33">
        <f>ROUND(坦克等级成长!$F144*VLOOKUP($AX$2,坦克等级成长!$B$36:$G$42,MATCH(BM$3,坦克等级成长!$B$35:$G$35,0)),0)</f>
        <v>238</v>
      </c>
      <c r="BN47" s="192">
        <v>12</v>
      </c>
      <c r="BO47" s="33">
        <f>ROUND(坦克等级成长!$H144*VLOOKUP($AX$2,坦克等级成长!$B$36:$G$42,MATCH(BO$3,坦克等级成长!$B$35:$G$35,0)),0)</f>
        <v>2408</v>
      </c>
      <c r="BP47" s="33">
        <f>ROUND(坦克等级成长!$H144*VLOOKUP($AX$2,坦克等级成长!$B$36:$G$42,MATCH(BP$3,坦克等级成长!$B$35:$G$35,0)),0)</f>
        <v>240</v>
      </c>
      <c r="BQ47" s="33">
        <f>ROUND(坦克等级成长!$H144*VLOOKUP($AX$2,坦克等级成长!$B$36:$G$42,MATCH(BQ$3,坦克等级成长!$B$35:$G$35,0)),0)</f>
        <v>903</v>
      </c>
      <c r="BR47" s="33">
        <f t="shared" si="23"/>
        <v>903</v>
      </c>
      <c r="BS47" s="33">
        <v>674</v>
      </c>
      <c r="BT47" s="33">
        <f>ROUND(坦克等级成长!$H144*VLOOKUP($AX$2,坦克等级成长!$B$36:$G$42,MATCH(BT$3,坦克等级成长!$B$35:$G$35,0)),0)</f>
        <v>903</v>
      </c>
      <c r="BU47" s="33">
        <f>ROUND(坦克等级成长!$H144*VLOOKUP($AX$2,坦克等级成长!$B$36:$G$42,MATCH(BU$3,坦克等级成长!$B$35:$G$35,0)),0)</f>
        <v>241</v>
      </c>
      <c r="BV47" s="193"/>
      <c r="BW47" s="189"/>
      <c r="BX47" s="189"/>
      <c r="BY47" s="189"/>
      <c r="BZ47" s="189"/>
      <c r="CA47" s="189"/>
      <c r="CB47" s="189"/>
      <c r="CC47" s="200"/>
      <c r="CD47" s="199">
        <v>12</v>
      </c>
      <c r="CE47" s="33">
        <f>ROUND(坦克等级成长!$F144*VLOOKUP($BV$2,坦克等级成长!$B$36:$G$42,MATCH(CE$3,坦克等级成长!$B$35:$G$35,0)),0)</f>
        <v>2564</v>
      </c>
      <c r="CF47" s="33">
        <f>ROUND(坦克等级成长!$F144*VLOOKUP($BV$2,坦克等级成长!$B$36:$G$42,MATCH(CF$3,坦克等级成长!$B$35:$G$35,0)),0)</f>
        <v>220</v>
      </c>
      <c r="CG47" s="33">
        <f>ROUND(坦克等级成长!$F144*VLOOKUP($BV$2,坦克等级成长!$B$36:$G$42,MATCH(CG$3,坦克等级成长!$B$35:$G$35,0)),0)</f>
        <v>849</v>
      </c>
      <c r="CH47" s="33">
        <f t="shared" si="10"/>
        <v>849</v>
      </c>
      <c r="CI47" s="33">
        <v>688</v>
      </c>
      <c r="CJ47" s="33">
        <f>ROUND(坦克等级成长!$F144*VLOOKUP($BV$2,坦克等级成长!$B$36:$G$42,MATCH(CJ$3,坦克等级成长!$B$35:$G$35,0)),0)</f>
        <v>1069</v>
      </c>
      <c r="CK47" s="33">
        <f>ROUND(坦克等级成长!$F144*VLOOKUP($BV$2,坦克等级成长!$B$36:$G$42,MATCH(CK$3,坦克等级成长!$B$35:$G$35,0)),0)</f>
        <v>256</v>
      </c>
      <c r="CL47" s="192">
        <v>12</v>
      </c>
      <c r="CM47" s="33">
        <f>ROUND(坦克等级成长!$H144*VLOOKUP($BV$2,坦克等级成长!$B$36:$G$42,MATCH(CM$3,坦克等级成长!$B$35:$G$35,0)),0)</f>
        <v>2599</v>
      </c>
      <c r="CN47" s="33">
        <f>ROUND(坦克等级成长!$H144*VLOOKUP($BV$2,坦克等级成长!$B$36:$G$42,MATCH(CN$3,坦克等级成长!$B$35:$G$35,0)),0)</f>
        <v>223</v>
      </c>
      <c r="CO47" s="33">
        <f>ROUND(坦克等级成长!$H144*VLOOKUP($BV$2,坦克等级成长!$B$36:$G$42,MATCH(CO$3,坦克等级成长!$B$35:$G$35,0)),0)</f>
        <v>860</v>
      </c>
      <c r="CP47" s="33">
        <f t="shared" si="24"/>
        <v>860</v>
      </c>
      <c r="CQ47" s="33">
        <v>688</v>
      </c>
      <c r="CR47" s="33">
        <f>ROUND(坦克等级成长!$H144*VLOOKUP($BV$2,坦克等级成长!$B$36:$G$42,MATCH(CR$3,坦克等级成长!$B$35:$G$35,0)),0)</f>
        <v>1084</v>
      </c>
      <c r="CS47" s="33">
        <f>ROUND(坦克等级成长!$H144*VLOOKUP($BV$2,坦克等级成长!$B$36:$G$42,MATCH(CS$3,坦克等级成长!$B$35:$G$35,0)),0)</f>
        <v>260</v>
      </c>
      <c r="CT47" s="193"/>
      <c r="CU47" s="189"/>
      <c r="CV47" s="189"/>
      <c r="CW47" s="189"/>
      <c r="CX47" s="189"/>
      <c r="CY47" s="189"/>
      <c r="CZ47" s="189"/>
      <c r="DA47" s="200"/>
      <c r="DB47" s="199">
        <v>12</v>
      </c>
      <c r="DC47" s="33">
        <f>ROUND(坦克等级成长!$F144*VLOOKUP($CT$2,坦克等级成长!$B$36:$G$42,MATCH(DC$3,坦克等级成长!$B$35:$G$35,0)),0)</f>
        <v>2376</v>
      </c>
      <c r="DD47" s="33">
        <f>ROUND(坦克等级成长!$F144*VLOOKUP($CT$2,坦克等级成长!$B$36:$G$42,MATCH(DD$3,坦克等级成长!$B$35:$G$35,0)),0)</f>
        <v>478</v>
      </c>
      <c r="DE47" s="33">
        <f>ROUND(坦克等级成长!$F144*VLOOKUP($CT$2,坦克等级成长!$B$36:$G$42,MATCH(DE$3,坦克等级成长!$B$35:$G$35,0)),0)</f>
        <v>1061</v>
      </c>
      <c r="DF47" s="33">
        <f t="shared" si="11"/>
        <v>1061</v>
      </c>
      <c r="DG47" s="33">
        <v>860</v>
      </c>
      <c r="DH47" s="33">
        <f>ROUND(坦克等级成长!$F144*VLOOKUP($CT$2,坦克等级成长!$B$36:$G$42,MATCH(DH$3,坦克等级成长!$B$35:$G$35,0)),0)</f>
        <v>891</v>
      </c>
      <c r="DI47" s="33">
        <f>ROUND(坦克等级成长!$F144*VLOOKUP($CT$2,坦克等级成长!$B$36:$G$42,MATCH(DI$3,坦克等级成长!$B$35:$G$35,0)),0)</f>
        <v>238</v>
      </c>
      <c r="DJ47" s="192">
        <v>12</v>
      </c>
      <c r="DK47" s="33">
        <f>ROUND(坦克等级成长!$H144*VLOOKUP($CT$2,坦克等级成长!$B$36:$G$42,MATCH(DK$3,坦克等级成长!$B$35:$G$35,0)),0)</f>
        <v>2408</v>
      </c>
      <c r="DL47" s="33">
        <f>ROUND(坦克等级成长!$H144*VLOOKUP($CT$2,坦克等级成长!$B$36:$G$42,MATCH(DL$3,坦克等级成长!$B$35:$G$35,0)),0)</f>
        <v>485</v>
      </c>
      <c r="DM47" s="33">
        <f>ROUND(坦克等级成长!$H144*VLOOKUP($CT$2,坦克等级成长!$B$36:$G$42,MATCH(DM$3,坦克等级成长!$B$35:$G$35,0)),0)</f>
        <v>1075</v>
      </c>
      <c r="DN47" s="33">
        <f t="shared" si="25"/>
        <v>1075</v>
      </c>
      <c r="DO47" s="33">
        <v>860</v>
      </c>
      <c r="DP47" s="33">
        <f>ROUND(坦克等级成长!$H144*VLOOKUP($CT$2,坦克等级成长!$B$36:$G$42,MATCH(DP$3,坦克等级成长!$B$35:$G$35,0)),0)</f>
        <v>903</v>
      </c>
      <c r="DQ47" s="33">
        <f>ROUND(坦克等级成长!$H144*VLOOKUP($CT$2,坦克等级成长!$B$36:$G$42,MATCH(DQ$3,坦克等级成长!$B$35:$G$35,0)),0)</f>
        <v>241</v>
      </c>
      <c r="DR47" s="193"/>
      <c r="DS47" s="189"/>
      <c r="DT47" s="189"/>
      <c r="DU47" s="189"/>
      <c r="DV47" s="189"/>
      <c r="DW47" s="189"/>
      <c r="DX47" s="189"/>
      <c r="DY47" s="200"/>
      <c r="DZ47" s="199">
        <v>12</v>
      </c>
      <c r="EA47" s="33">
        <f>ROUND(坦克等级成长!$F144*VLOOKUP($DR$2,坦克等级成长!$B$36:$G$42,MATCH(EA$3,坦克等级成长!$B$35:$G$35,0)),0)</f>
        <v>2907</v>
      </c>
      <c r="EB47" s="33">
        <f>ROUND(坦克等级成长!$F144*VLOOKUP($DR$2,坦克等级成长!$B$36:$G$42,MATCH(EB$3,坦克等级成长!$B$35:$G$35,0)),0)</f>
        <v>796</v>
      </c>
      <c r="EC47" s="33">
        <f>ROUND(坦克等级成长!$F144*VLOOKUP($DR$2,坦克等级成长!$B$36:$G$42,MATCH(EC$3,坦克等级成长!$B$35:$G$35,0)),0)</f>
        <v>849</v>
      </c>
      <c r="ED47" s="33">
        <f t="shared" si="12"/>
        <v>849</v>
      </c>
      <c r="EE47" s="33">
        <v>734</v>
      </c>
      <c r="EF47" s="33">
        <f>ROUND(坦克等级成长!$F144*VLOOKUP($DR$2,坦克等级成长!$B$36:$G$42,MATCH(EF$3,坦克等级成长!$B$35:$G$35,0)),0)</f>
        <v>1247</v>
      </c>
      <c r="EG47" s="33">
        <f>ROUND(坦克等级成长!$F144*VLOOKUP($DR$2,坦克等级成长!$B$36:$G$42,MATCH(EG$3,坦克等级成长!$B$35:$G$35,0)),0)</f>
        <v>291</v>
      </c>
      <c r="EH47" s="192">
        <v>12</v>
      </c>
      <c r="EI47" s="33">
        <f>ROUND(坦克等级成长!$H144*VLOOKUP($DR$2,坦克等级成长!$B$36:$G$42,MATCH(EI$3,坦克等级成长!$B$35:$G$35,0)),0)</f>
        <v>2946</v>
      </c>
      <c r="EJ47" s="33">
        <f>ROUND(坦克等级成长!$H144*VLOOKUP($DR$2,坦克等级成长!$B$36:$G$42,MATCH(EJ$3,坦克等级成长!$B$35:$G$35,0)),0)</f>
        <v>807</v>
      </c>
      <c r="EK47" s="33">
        <f>ROUND(坦克等级成长!$H144*VLOOKUP($DR$2,坦克等级成长!$B$36:$G$42,MATCH(EK$3,坦克等级成长!$B$35:$G$35,0)),0)</f>
        <v>860</v>
      </c>
      <c r="EL47" s="33">
        <f t="shared" si="26"/>
        <v>860</v>
      </c>
      <c r="EM47" s="33">
        <v>734</v>
      </c>
      <c r="EN47" s="33">
        <f>ROUND(坦克等级成长!$H144*VLOOKUP($DR$2,坦克等级成长!$B$36:$G$42,MATCH(EN$3,坦克等级成长!$B$35:$G$35,0)),0)</f>
        <v>1264</v>
      </c>
      <c r="EO47" s="33">
        <f>ROUND(坦克等级成长!$H144*VLOOKUP($DR$2,坦克等级成长!$B$36:$G$42,MATCH(EO$3,坦克等级成长!$B$35:$G$35,0)),0)</f>
        <v>295</v>
      </c>
      <c r="EP47" s="193"/>
      <c r="EQ47" s="189"/>
      <c r="ER47" s="189"/>
      <c r="ES47" s="189"/>
      <c r="ET47" s="189"/>
      <c r="EU47" s="189"/>
      <c r="EV47" s="189"/>
      <c r="EW47" s="200"/>
      <c r="EX47" s="199">
        <v>12</v>
      </c>
      <c r="EY47" s="33">
        <f>ROUND(坦克等级成长!$F144*VLOOKUP($EP$2,坦克等级成长!$B$36:$G$42,MATCH(EY$3,坦克等级成长!$B$35:$G$35,0)),0)</f>
        <v>2564</v>
      </c>
      <c r="EZ47" s="33">
        <f>ROUND(坦克等级成长!$F144*VLOOKUP($EP$2,坦克等级成长!$B$36:$G$42,MATCH(EZ$3,坦克等级成长!$B$35:$G$35,0)),0)</f>
        <v>264</v>
      </c>
      <c r="FA47" s="33">
        <f>ROUND(坦克等级成长!$F144*VLOOKUP($EP$2,坦克等级成长!$B$36:$G$42,MATCH(FA$3,坦克等级成长!$B$35:$G$35,0)),0)</f>
        <v>976</v>
      </c>
      <c r="FB47" s="33">
        <f t="shared" si="13"/>
        <v>976</v>
      </c>
      <c r="FC47" s="33">
        <v>791</v>
      </c>
      <c r="FD47" s="33">
        <f>ROUND(坦克等级成长!$F144*VLOOKUP($EP$2,坦克等级成长!$B$36:$G$42,MATCH(FD$3,坦克等级成长!$B$35:$G$35,0)),0)</f>
        <v>1069</v>
      </c>
      <c r="FE47" s="33">
        <f>ROUND(坦克等级成长!$F144*VLOOKUP($EP$2,坦克等级成长!$B$36:$G$42,MATCH(FE$3,坦克等级成长!$B$35:$G$35,0)),0)</f>
        <v>256</v>
      </c>
      <c r="FF47" s="192">
        <v>12</v>
      </c>
      <c r="FG47" s="33">
        <f>ROUND(坦克等级成长!$H144*VLOOKUP($EP$2,坦克等级成长!$B$36:$G$42,MATCH(FG$3,坦克等级成长!$B$35:$G$35,0)),0)</f>
        <v>2599</v>
      </c>
      <c r="FH47" s="33">
        <f>ROUND(坦克等级成长!$H144*VLOOKUP($EP$2,坦克等级成长!$B$36:$G$42,MATCH(FH$3,坦克等级成长!$B$35:$G$35,0)),0)</f>
        <v>268</v>
      </c>
      <c r="FI47" s="33">
        <f>ROUND(坦克等级成长!$H144*VLOOKUP($EP$2,坦克等级成长!$B$36:$G$42,MATCH(FI$3,坦克等级成长!$B$35:$G$35,0)),0)</f>
        <v>989</v>
      </c>
      <c r="FJ47" s="33">
        <f t="shared" si="27"/>
        <v>989</v>
      </c>
      <c r="FK47" s="33">
        <v>791</v>
      </c>
      <c r="FL47" s="33">
        <f>ROUND(坦克等级成长!$H144*VLOOKUP($EP$2,坦克等级成长!$B$36:$G$42,MATCH(FL$3,坦克等级成长!$B$35:$G$35,0)),0)</f>
        <v>1084</v>
      </c>
      <c r="FM47" s="33">
        <f>ROUND(坦克等级成长!$H144*VLOOKUP($EP$2,坦克等级成长!$B$36:$G$42,MATCH(FM$3,坦克等级成长!$B$35:$G$35,0)),0)</f>
        <v>260</v>
      </c>
    </row>
    <row r="48" spans="1:169" ht="14.25" x14ac:dyDescent="0.3">
      <c r="A48" s="189">
        <v>4</v>
      </c>
      <c r="B48" s="193"/>
      <c r="C48" s="189"/>
      <c r="D48" s="189"/>
      <c r="E48" s="189"/>
      <c r="F48" s="189"/>
      <c r="G48" s="189"/>
      <c r="H48" s="189"/>
      <c r="I48" s="200"/>
      <c r="J48" s="199">
        <v>13</v>
      </c>
      <c r="K48" s="33">
        <f>ROUND(坦克等级成长!$F145*VLOOKUP($B$2,坦克等级成长!$B$36:$G$42,MATCH(K$3,坦克等级成长!$B$35:$G$35,0)),0)</f>
        <v>2464</v>
      </c>
      <c r="L48" s="33">
        <f>ROUND(坦克等级成长!$F145*VLOOKUP($B$2,坦克等级成长!$B$36:$G$42,MATCH(L$3,坦克等级成长!$B$35:$G$35,0)),0)</f>
        <v>246</v>
      </c>
      <c r="M48" s="33">
        <f>ROUND(坦克等级成长!$F145*VLOOKUP($B$2,坦克等级成长!$B$36:$G$42,MATCH(M$3,坦克等级成长!$B$35:$G$35,0)),0)</f>
        <v>924</v>
      </c>
      <c r="N48" s="33">
        <f t="shared" si="7"/>
        <v>924</v>
      </c>
      <c r="O48" s="33">
        <v>701</v>
      </c>
      <c r="P48" s="33">
        <f>ROUND(坦克等级成长!$F145*VLOOKUP($B$2,坦克等级成长!$B$36:$G$42,MATCH(P$3,坦克等级成长!$B$35:$G$35,0)),0)</f>
        <v>924</v>
      </c>
      <c r="Q48" s="33">
        <f>ROUND(坦克等级成长!$F145*VLOOKUP($B$2,坦克等级成长!$B$36:$G$42,MATCH(Q$3,坦克等级成长!$B$35:$G$35,0)),0)</f>
        <v>246</v>
      </c>
      <c r="R48" s="192">
        <v>13</v>
      </c>
      <c r="S48" s="33">
        <f>ROUND(坦克等级成长!$H145*VLOOKUP($B$2,坦克等级成长!$B$36:$G$42,MATCH(S$3,坦克等级成长!$B$35:$G$35,0)),0)</f>
        <v>2504</v>
      </c>
      <c r="T48" s="33">
        <f>ROUND(坦克等级成长!$H145*VLOOKUP($B$2,坦克等级成长!$B$36:$G$42,MATCH(T$3,坦克等级成长!$B$35:$G$35,0)),0)</f>
        <v>250</v>
      </c>
      <c r="U48" s="33">
        <f>ROUND(坦克等级成长!$H145*VLOOKUP($B$2,坦克等级成长!$B$36:$G$42,MATCH(U$3,坦克等级成长!$B$35:$G$35,0)),0)</f>
        <v>939</v>
      </c>
      <c r="V48" s="33">
        <f t="shared" si="21"/>
        <v>939</v>
      </c>
      <c r="W48" s="33">
        <v>701</v>
      </c>
      <c r="X48" s="33">
        <f>ROUND(坦克等级成长!$H145*VLOOKUP($B$2,坦克等级成长!$B$36:$G$42,MATCH(X$3,坦克等级成长!$B$35:$G$35,0)),0)</f>
        <v>939</v>
      </c>
      <c r="Y48" s="33">
        <f>ROUND(坦克等级成长!$H145*VLOOKUP($B$2,坦克等级成长!$B$36:$G$42,MATCH(Y$3,坦克等级成长!$B$35:$G$35,0)),0)</f>
        <v>250</v>
      </c>
      <c r="Z48" s="193"/>
      <c r="AA48" s="189"/>
      <c r="AB48" s="189"/>
      <c r="AC48" s="189"/>
      <c r="AD48" s="189"/>
      <c r="AE48" s="189"/>
      <c r="AF48" s="189"/>
      <c r="AG48" s="200"/>
      <c r="AH48" s="199">
        <v>13</v>
      </c>
      <c r="AI48" s="33">
        <f>ROUND(坦克等级成长!$F145*VLOOKUP($Z$2,坦克等级成长!$B$36:$G$42,MATCH(AI$3,坦克等级成长!$B$35:$G$35,0)),0)</f>
        <v>2464</v>
      </c>
      <c r="AJ48" s="33">
        <f>ROUND(坦克等级成长!$F145*VLOOKUP($Z$2,坦克等级成长!$B$36:$G$42,MATCH(AJ$3,坦克等级成长!$B$35:$G$35,0)),0)</f>
        <v>131</v>
      </c>
      <c r="AK48" s="33">
        <f>ROUND(坦克等级成长!$F145*VLOOKUP($Z$2,坦克等级成长!$B$36:$G$42,MATCH(AK$3,坦克等级成长!$B$35:$G$35,0)),0)</f>
        <v>1012</v>
      </c>
      <c r="AL48" s="33">
        <f t="shared" si="8"/>
        <v>1012</v>
      </c>
      <c r="AM48" s="33">
        <v>768</v>
      </c>
      <c r="AN48" s="33">
        <f>ROUND(坦克等级成长!$F145*VLOOKUP($Z$2,坦克等级成长!$B$36:$G$42,MATCH(AN$3,坦克等级成长!$B$35:$G$35,0)),0)</f>
        <v>924</v>
      </c>
      <c r="AO48" s="33">
        <f>ROUND(坦克等级成长!$F145*VLOOKUP($Z$2,坦克等级成长!$B$36:$G$42,MATCH(AO$3,坦克等级成长!$B$35:$G$35,0)),0)</f>
        <v>246</v>
      </c>
      <c r="AP48" s="192">
        <v>13</v>
      </c>
      <c r="AQ48" s="33">
        <f>ROUND(坦克等级成长!$H145*VLOOKUP($Z$2,坦克等级成长!$B$36:$G$42,MATCH(AQ$3,坦克等级成长!$B$35:$G$35,0)),0)</f>
        <v>2504</v>
      </c>
      <c r="AR48" s="33">
        <f>ROUND(坦克等级成长!$H145*VLOOKUP($Z$2,坦克等级成长!$B$36:$G$42,MATCH(AR$3,坦克等级成长!$B$35:$G$35,0)),0)</f>
        <v>133</v>
      </c>
      <c r="AS48" s="33">
        <f>ROUND(坦克等级成长!$H145*VLOOKUP($Z$2,坦克等级成长!$B$36:$G$42,MATCH(AS$3,坦克等级成长!$B$35:$G$35,0)),0)</f>
        <v>1028</v>
      </c>
      <c r="AT48" s="33">
        <f t="shared" si="22"/>
        <v>1028</v>
      </c>
      <c r="AU48" s="33">
        <v>768</v>
      </c>
      <c r="AV48" s="33">
        <f>ROUND(坦克等级成长!$H145*VLOOKUP($Z$2,坦克等级成长!$B$36:$G$42,MATCH(AV$3,坦克等级成长!$B$35:$G$35,0)),0)</f>
        <v>939</v>
      </c>
      <c r="AW48" s="33">
        <f>ROUND(坦克等级成长!$H145*VLOOKUP($Z$2,坦克等级成长!$B$36:$G$42,MATCH(AW$3,坦克等级成长!$B$35:$G$35,0)),0)</f>
        <v>250</v>
      </c>
      <c r="AX48" s="193"/>
      <c r="AY48" s="189"/>
      <c r="AZ48" s="189"/>
      <c r="BA48" s="189"/>
      <c r="BB48" s="189"/>
      <c r="BC48" s="189"/>
      <c r="BD48" s="189"/>
      <c r="BE48" s="200"/>
      <c r="BF48" s="199">
        <v>13</v>
      </c>
      <c r="BG48" s="33">
        <f>ROUND(坦克等级成长!$F145*VLOOKUP($AX$2,坦克等级成长!$B$36:$G$42,MATCH(BG$3,坦克等级成长!$B$35:$G$35,0)),0)</f>
        <v>2464</v>
      </c>
      <c r="BH48" s="33">
        <f>ROUND(坦克等级成长!$F145*VLOOKUP($AX$2,坦克等级成长!$B$36:$G$42,MATCH(BH$3,坦克等级成长!$B$35:$G$35,0)),0)</f>
        <v>246</v>
      </c>
      <c r="BI48" s="33">
        <f>ROUND(坦克等级成长!$F145*VLOOKUP($AX$2,坦克等级成长!$B$36:$G$42,MATCH(BI$3,坦克等级成长!$B$35:$G$35,0)),0)</f>
        <v>924</v>
      </c>
      <c r="BJ48" s="33">
        <f t="shared" si="9"/>
        <v>924</v>
      </c>
      <c r="BK48" s="33">
        <v>701</v>
      </c>
      <c r="BL48" s="33">
        <f>ROUND(坦克等级成长!$F145*VLOOKUP($AX$2,坦克等级成长!$B$36:$G$42,MATCH(BL$3,坦克等级成长!$B$35:$G$35,0)),0)</f>
        <v>924</v>
      </c>
      <c r="BM48" s="33">
        <f>ROUND(坦克等级成长!$F145*VLOOKUP($AX$2,坦克等级成长!$B$36:$G$42,MATCH(BM$3,坦克等级成长!$B$35:$G$35,0)),0)</f>
        <v>246</v>
      </c>
      <c r="BN48" s="192">
        <v>13</v>
      </c>
      <c r="BO48" s="33">
        <f>ROUND(坦克等级成长!$H145*VLOOKUP($AX$2,坦克等级成长!$B$36:$G$42,MATCH(BO$3,坦克等级成长!$B$35:$G$35,0)),0)</f>
        <v>2504</v>
      </c>
      <c r="BP48" s="33">
        <f>ROUND(坦克等级成长!$H145*VLOOKUP($AX$2,坦克等级成长!$B$36:$G$42,MATCH(BP$3,坦克等级成长!$B$35:$G$35,0)),0)</f>
        <v>250</v>
      </c>
      <c r="BQ48" s="33">
        <f>ROUND(坦克等级成长!$H145*VLOOKUP($AX$2,坦克等级成长!$B$36:$G$42,MATCH(BQ$3,坦克等级成长!$B$35:$G$35,0)),0)</f>
        <v>939</v>
      </c>
      <c r="BR48" s="33">
        <f t="shared" si="23"/>
        <v>939</v>
      </c>
      <c r="BS48" s="33">
        <v>701</v>
      </c>
      <c r="BT48" s="33">
        <f>ROUND(坦克等级成长!$H145*VLOOKUP($AX$2,坦克等级成长!$B$36:$G$42,MATCH(BT$3,坦克等级成长!$B$35:$G$35,0)),0)</f>
        <v>939</v>
      </c>
      <c r="BU48" s="33">
        <f>ROUND(坦克等级成长!$H145*VLOOKUP($AX$2,坦克等级成长!$B$36:$G$42,MATCH(BU$3,坦克等级成长!$B$35:$G$35,0)),0)</f>
        <v>250</v>
      </c>
      <c r="BV48" s="193"/>
      <c r="BW48" s="189"/>
      <c r="BX48" s="189"/>
      <c r="BY48" s="189"/>
      <c r="BZ48" s="189"/>
      <c r="CA48" s="189"/>
      <c r="CB48" s="189"/>
      <c r="CC48" s="200"/>
      <c r="CD48" s="199">
        <v>13</v>
      </c>
      <c r="CE48" s="33">
        <f>ROUND(坦克等级成长!$F145*VLOOKUP($BV$2,坦克等级成长!$B$36:$G$42,MATCH(CE$3,坦克等级成长!$B$35:$G$35,0)),0)</f>
        <v>2659</v>
      </c>
      <c r="CF48" s="33">
        <f>ROUND(坦克等级成长!$F145*VLOOKUP($BV$2,坦克等级成长!$B$36:$G$42,MATCH(CF$3,坦克等级成长!$B$35:$G$35,0)),0)</f>
        <v>229</v>
      </c>
      <c r="CG48" s="33">
        <f>ROUND(坦克等级成长!$F145*VLOOKUP($BV$2,坦克等级成长!$B$36:$G$42,MATCH(CG$3,坦克等级成长!$B$35:$G$35,0)),0)</f>
        <v>880</v>
      </c>
      <c r="CH48" s="33">
        <f t="shared" si="10"/>
        <v>880</v>
      </c>
      <c r="CI48" s="33">
        <v>716</v>
      </c>
      <c r="CJ48" s="33">
        <f>ROUND(坦克等级成长!$F145*VLOOKUP($BV$2,坦克等级成长!$B$36:$G$42,MATCH(CJ$3,坦克等级成长!$B$35:$G$35,0)),0)</f>
        <v>1109</v>
      </c>
      <c r="CK48" s="33">
        <f>ROUND(坦克等级成长!$F145*VLOOKUP($BV$2,坦克等级成长!$B$36:$G$42,MATCH(CK$3,坦克等级成长!$B$35:$G$35,0)),0)</f>
        <v>266</v>
      </c>
      <c r="CL48" s="192">
        <v>13</v>
      </c>
      <c r="CM48" s="33">
        <f>ROUND(坦克等级成长!$H145*VLOOKUP($BV$2,坦克等级成长!$B$36:$G$42,MATCH(CM$3,坦克等级成长!$B$35:$G$35,0)),0)</f>
        <v>2703</v>
      </c>
      <c r="CN48" s="33">
        <f>ROUND(坦克等级成长!$H145*VLOOKUP($BV$2,坦克等级成长!$B$36:$G$42,MATCH(CN$3,坦克等级成长!$B$35:$G$35,0)),0)</f>
        <v>232</v>
      </c>
      <c r="CO48" s="33">
        <f>ROUND(坦克等级成长!$H145*VLOOKUP($BV$2,坦克等级成长!$B$36:$G$42,MATCH(CO$3,坦克等级成长!$B$35:$G$35,0)),0)</f>
        <v>894</v>
      </c>
      <c r="CP48" s="33">
        <f t="shared" si="24"/>
        <v>894</v>
      </c>
      <c r="CQ48" s="33">
        <v>716</v>
      </c>
      <c r="CR48" s="33">
        <f>ROUND(坦克等级成长!$H145*VLOOKUP($BV$2,坦克等级成长!$B$36:$G$42,MATCH(CR$3,坦克等级成长!$B$35:$G$35,0)),0)</f>
        <v>1127</v>
      </c>
      <c r="CS48" s="33">
        <f>ROUND(坦克等级成长!$H145*VLOOKUP($BV$2,坦克等级成长!$B$36:$G$42,MATCH(CS$3,坦克等级成长!$B$35:$G$35,0)),0)</f>
        <v>270</v>
      </c>
      <c r="CT48" s="193"/>
      <c r="CU48" s="189"/>
      <c r="CV48" s="189"/>
      <c r="CW48" s="189"/>
      <c r="CX48" s="189"/>
      <c r="CY48" s="189"/>
      <c r="CZ48" s="189"/>
      <c r="DA48" s="200"/>
      <c r="DB48" s="199">
        <v>13</v>
      </c>
      <c r="DC48" s="33">
        <f>ROUND(坦克等级成长!$F145*VLOOKUP($CT$2,坦克等级成长!$B$36:$G$42,MATCH(DC$3,坦克等级成长!$B$35:$G$35,0)),0)</f>
        <v>2464</v>
      </c>
      <c r="DD48" s="33">
        <f>ROUND(坦克等级成长!$F145*VLOOKUP($CT$2,坦克等级成长!$B$36:$G$42,MATCH(DD$3,坦克等级成长!$B$35:$G$35,0)),0)</f>
        <v>496</v>
      </c>
      <c r="DE48" s="33">
        <f>ROUND(坦克等级成长!$F145*VLOOKUP($CT$2,坦克等级成长!$B$36:$G$42,MATCH(DE$3,坦克等级成长!$B$35:$G$35,0)),0)</f>
        <v>1100</v>
      </c>
      <c r="DF48" s="33">
        <f t="shared" si="11"/>
        <v>1100</v>
      </c>
      <c r="DG48" s="33">
        <v>895</v>
      </c>
      <c r="DH48" s="33">
        <f>ROUND(坦克等级成长!$F145*VLOOKUP($CT$2,坦克等级成长!$B$36:$G$42,MATCH(DH$3,坦克等级成长!$B$35:$G$35,0)),0)</f>
        <v>924</v>
      </c>
      <c r="DI48" s="33">
        <f>ROUND(坦克等级成长!$F145*VLOOKUP($CT$2,坦克等级成长!$B$36:$G$42,MATCH(DI$3,坦克等级成长!$B$35:$G$35,0)),0)</f>
        <v>246</v>
      </c>
      <c r="DJ48" s="192">
        <v>13</v>
      </c>
      <c r="DK48" s="33">
        <f>ROUND(坦克等级成长!$H145*VLOOKUP($CT$2,坦克等级成长!$B$36:$G$42,MATCH(DK$3,坦克等级成长!$B$35:$G$35,0)),0)</f>
        <v>2504</v>
      </c>
      <c r="DL48" s="33">
        <f>ROUND(坦克等级成长!$H145*VLOOKUP($CT$2,坦克等级成长!$B$36:$G$42,MATCH(DL$3,坦克等级成长!$B$35:$G$35,0)),0)</f>
        <v>504</v>
      </c>
      <c r="DM48" s="33">
        <f>ROUND(坦克等级成长!$H145*VLOOKUP($CT$2,坦克等级成长!$B$36:$G$42,MATCH(DM$3,坦克等级成长!$B$35:$G$35,0)),0)</f>
        <v>1118</v>
      </c>
      <c r="DN48" s="33">
        <f t="shared" si="25"/>
        <v>1118</v>
      </c>
      <c r="DO48" s="33">
        <v>895</v>
      </c>
      <c r="DP48" s="33">
        <f>ROUND(坦克等级成长!$H145*VLOOKUP($CT$2,坦克等级成长!$B$36:$G$42,MATCH(DP$3,坦克等级成长!$B$35:$G$35,0)),0)</f>
        <v>939</v>
      </c>
      <c r="DQ48" s="33">
        <f>ROUND(坦克等级成长!$H145*VLOOKUP($CT$2,坦克等级成长!$B$36:$G$42,MATCH(DQ$3,坦克等级成长!$B$35:$G$35,0)),0)</f>
        <v>250</v>
      </c>
      <c r="DR48" s="193"/>
      <c r="DS48" s="189"/>
      <c r="DT48" s="189"/>
      <c r="DU48" s="189"/>
      <c r="DV48" s="189"/>
      <c r="DW48" s="189"/>
      <c r="DX48" s="189"/>
      <c r="DY48" s="200"/>
      <c r="DZ48" s="199">
        <v>13</v>
      </c>
      <c r="EA48" s="33">
        <f>ROUND(坦克等级成长!$F145*VLOOKUP($DR$2,坦克等级成长!$B$36:$G$42,MATCH(EA$3,坦克等级成长!$B$35:$G$35,0)),0)</f>
        <v>3014</v>
      </c>
      <c r="EB48" s="33">
        <f>ROUND(坦克等级成长!$F145*VLOOKUP($DR$2,坦克等级成长!$B$36:$G$42,MATCH(EB$3,坦克等级成长!$B$35:$G$35,0)),0)</f>
        <v>826</v>
      </c>
      <c r="EC48" s="33">
        <f>ROUND(坦克等级成长!$F145*VLOOKUP($DR$2,坦克等级成长!$B$36:$G$42,MATCH(EC$3,坦克等级成长!$B$35:$G$35,0)),0)</f>
        <v>880</v>
      </c>
      <c r="ED48" s="33">
        <f t="shared" si="12"/>
        <v>880</v>
      </c>
      <c r="EE48" s="33">
        <v>763</v>
      </c>
      <c r="EF48" s="33">
        <f>ROUND(坦克等级成长!$F145*VLOOKUP($DR$2,坦克等级成长!$B$36:$G$42,MATCH(EF$3,坦克等级成长!$B$35:$G$35,0)),0)</f>
        <v>1294</v>
      </c>
      <c r="EG48" s="33">
        <f>ROUND(坦克等级成长!$F145*VLOOKUP($DR$2,坦克等级成长!$B$36:$G$42,MATCH(EG$3,坦克等级成长!$B$35:$G$35,0)),0)</f>
        <v>301</v>
      </c>
      <c r="EH48" s="192">
        <v>13</v>
      </c>
      <c r="EI48" s="33">
        <f>ROUND(坦克等级成长!$H145*VLOOKUP($DR$2,坦克等级成长!$B$36:$G$42,MATCH(EI$3,坦克等级成长!$B$35:$G$35,0)),0)</f>
        <v>3063</v>
      </c>
      <c r="EJ48" s="33">
        <f>ROUND(坦克等级成长!$H145*VLOOKUP($DR$2,坦克等级成长!$B$36:$G$42,MATCH(EJ$3,坦克等级成长!$B$35:$G$35,0)),0)</f>
        <v>839</v>
      </c>
      <c r="EK48" s="33">
        <f>ROUND(坦克等级成长!$H145*VLOOKUP($DR$2,坦克等级成长!$B$36:$G$42,MATCH(EK$3,坦克等级成长!$B$35:$G$35,0)),0)</f>
        <v>894</v>
      </c>
      <c r="EL48" s="33">
        <f t="shared" si="26"/>
        <v>894</v>
      </c>
      <c r="EM48" s="33">
        <v>763</v>
      </c>
      <c r="EN48" s="33">
        <f>ROUND(坦克等级成长!$H145*VLOOKUP($DR$2,坦克等级成长!$B$36:$G$42,MATCH(EN$3,坦克等级成长!$B$35:$G$35,0)),0)</f>
        <v>1315</v>
      </c>
      <c r="EO48" s="33">
        <f>ROUND(坦克等级成长!$H145*VLOOKUP($DR$2,坦克等级成长!$B$36:$G$42,MATCH(EO$3,坦克等级成长!$B$35:$G$35,0)),0)</f>
        <v>306</v>
      </c>
      <c r="EP48" s="193"/>
      <c r="EQ48" s="189"/>
      <c r="ER48" s="189"/>
      <c r="ES48" s="189"/>
      <c r="ET48" s="189"/>
      <c r="EU48" s="189"/>
      <c r="EV48" s="189"/>
      <c r="EW48" s="200"/>
      <c r="EX48" s="199">
        <v>13</v>
      </c>
      <c r="EY48" s="33">
        <f>ROUND(坦克等级成长!$F145*VLOOKUP($EP$2,坦克等级成长!$B$36:$G$42,MATCH(EY$3,坦克等级成长!$B$35:$G$35,0)),0)</f>
        <v>2659</v>
      </c>
      <c r="EZ48" s="33">
        <f>ROUND(坦克等级成长!$F145*VLOOKUP($EP$2,坦克等级成长!$B$36:$G$42,MATCH(EZ$3,坦克等级成长!$B$35:$G$35,0)),0)</f>
        <v>274</v>
      </c>
      <c r="FA48" s="33">
        <f>ROUND(坦克等级成长!$F145*VLOOKUP($EP$2,坦克等级成长!$B$36:$G$42,MATCH(FA$3,坦克等级成长!$B$35:$G$35,0)),0)</f>
        <v>1012</v>
      </c>
      <c r="FB48" s="33">
        <f t="shared" si="13"/>
        <v>1012</v>
      </c>
      <c r="FC48" s="33">
        <v>823</v>
      </c>
      <c r="FD48" s="33">
        <f>ROUND(坦克等级成长!$F145*VLOOKUP($EP$2,坦克等级成长!$B$36:$G$42,MATCH(FD$3,坦克等级成长!$B$35:$G$35,0)),0)</f>
        <v>1109</v>
      </c>
      <c r="FE48" s="33">
        <f>ROUND(坦克等级成长!$F145*VLOOKUP($EP$2,坦克等级成长!$B$36:$G$42,MATCH(FE$3,坦克等级成长!$B$35:$G$35,0)),0)</f>
        <v>266</v>
      </c>
      <c r="FF48" s="192">
        <v>13</v>
      </c>
      <c r="FG48" s="33">
        <f>ROUND(坦克等级成长!$H145*VLOOKUP($EP$2,坦克等级成长!$B$36:$G$42,MATCH(FG$3,坦克等级成长!$B$35:$G$35,0)),0)</f>
        <v>2703</v>
      </c>
      <c r="FH48" s="33">
        <f>ROUND(坦克等级成长!$H145*VLOOKUP($EP$2,坦克等级成长!$B$36:$G$42,MATCH(FH$3,坦克等级成长!$B$35:$G$35,0)),0)</f>
        <v>278</v>
      </c>
      <c r="FI48" s="33">
        <f>ROUND(坦克等级成长!$H145*VLOOKUP($EP$2,坦克等级成长!$B$36:$G$42,MATCH(FI$3,坦克等级成长!$B$35:$G$35,0)),0)</f>
        <v>1028</v>
      </c>
      <c r="FJ48" s="33">
        <f t="shared" si="27"/>
        <v>1028</v>
      </c>
      <c r="FK48" s="33">
        <v>823</v>
      </c>
      <c r="FL48" s="33">
        <f>ROUND(坦克等级成长!$H145*VLOOKUP($EP$2,坦克等级成长!$B$36:$G$42,MATCH(FL$3,坦克等级成长!$B$35:$G$35,0)),0)</f>
        <v>1127</v>
      </c>
      <c r="FM48" s="33">
        <f>ROUND(坦克等级成长!$H145*VLOOKUP($EP$2,坦克等级成长!$B$36:$G$42,MATCH(FM$3,坦克等级成长!$B$35:$G$35,0)),0)</f>
        <v>270</v>
      </c>
    </row>
    <row r="49" spans="1:169" ht="14.25" x14ac:dyDescent="0.3">
      <c r="A49" s="189">
        <v>4</v>
      </c>
      <c r="B49" s="193"/>
      <c r="C49" s="189"/>
      <c r="D49" s="189"/>
      <c r="E49" s="189"/>
      <c r="F49" s="189"/>
      <c r="G49" s="189"/>
      <c r="H49" s="189"/>
      <c r="I49" s="200"/>
      <c r="J49" s="199">
        <v>14</v>
      </c>
      <c r="K49" s="33">
        <f>ROUND(坦克等级成长!$F146*VLOOKUP($B$2,坦克等级成长!$B$36:$G$42,MATCH(K$3,坦克等级成长!$B$35:$G$35,0)),0)</f>
        <v>2552</v>
      </c>
      <c r="L49" s="33">
        <f>ROUND(坦克等级成长!$F146*VLOOKUP($B$2,坦克等级成长!$B$36:$G$42,MATCH(L$3,坦克等级成长!$B$35:$G$35,0)),0)</f>
        <v>254</v>
      </c>
      <c r="M49" s="33">
        <f>ROUND(坦克等级成长!$F146*VLOOKUP($B$2,坦克等级成长!$B$36:$G$42,MATCH(M$3,坦克等级成长!$B$35:$G$35,0)),0)</f>
        <v>957</v>
      </c>
      <c r="N49" s="33">
        <f t="shared" si="7"/>
        <v>957</v>
      </c>
      <c r="O49" s="33">
        <v>729</v>
      </c>
      <c r="P49" s="33">
        <f>ROUND(坦克等级成长!$F146*VLOOKUP($B$2,坦克等级成长!$B$36:$G$42,MATCH(P$3,坦克等级成长!$B$35:$G$35,0)),0)</f>
        <v>957</v>
      </c>
      <c r="Q49" s="33">
        <f>ROUND(坦克等级成长!$F146*VLOOKUP($B$2,坦克等级成长!$B$36:$G$42,MATCH(Q$3,坦克等级成长!$B$35:$G$35,0)),0)</f>
        <v>255</v>
      </c>
      <c r="R49" s="192">
        <v>14</v>
      </c>
      <c r="S49" s="33">
        <f>ROUND(坦克等级成长!$H146*VLOOKUP($B$2,坦克等级成长!$B$36:$G$42,MATCH(S$3,坦克等级成长!$B$35:$G$35,0)),0)</f>
        <v>2600</v>
      </c>
      <c r="T49" s="33">
        <f>ROUND(坦克等级成长!$H146*VLOOKUP($B$2,坦克等级成长!$B$36:$G$42,MATCH(T$3,坦克等级成长!$B$35:$G$35,0)),0)</f>
        <v>259</v>
      </c>
      <c r="U49" s="33">
        <f>ROUND(坦克等级成长!$H146*VLOOKUP($B$2,坦克等级成长!$B$36:$G$42,MATCH(U$3,坦克等级成长!$B$35:$G$35,0)),0)</f>
        <v>975</v>
      </c>
      <c r="V49" s="33">
        <f t="shared" si="21"/>
        <v>975</v>
      </c>
      <c r="W49" s="33">
        <v>729</v>
      </c>
      <c r="X49" s="33">
        <f>ROUND(坦克等级成长!$H146*VLOOKUP($B$2,坦克等级成长!$B$36:$G$42,MATCH(X$3,坦克等级成长!$B$35:$G$35,0)),0)</f>
        <v>975</v>
      </c>
      <c r="Y49" s="33">
        <f>ROUND(坦克等级成长!$H146*VLOOKUP($B$2,坦克等级成长!$B$36:$G$42,MATCH(Y$3,坦克等级成长!$B$35:$G$35,0)),0)</f>
        <v>260</v>
      </c>
      <c r="Z49" s="193"/>
      <c r="AA49" s="189"/>
      <c r="AB49" s="189"/>
      <c r="AC49" s="189"/>
      <c r="AD49" s="189"/>
      <c r="AE49" s="189"/>
      <c r="AF49" s="189"/>
      <c r="AG49" s="200"/>
      <c r="AH49" s="199">
        <v>14</v>
      </c>
      <c r="AI49" s="33">
        <f>ROUND(坦克等级成长!$F146*VLOOKUP($Z$2,坦克等级成长!$B$36:$G$42,MATCH(AI$3,坦克等级成长!$B$35:$G$35,0)),0)</f>
        <v>2552</v>
      </c>
      <c r="AJ49" s="33">
        <f>ROUND(坦克等级成长!$F146*VLOOKUP($Z$2,坦克等级成长!$B$36:$G$42,MATCH(AJ$3,坦克等级成长!$B$35:$G$35,0)),0)</f>
        <v>135</v>
      </c>
      <c r="AK49" s="33">
        <f>ROUND(坦克等级成长!$F146*VLOOKUP($Z$2,坦克等级成长!$B$36:$G$42,MATCH(AK$3,坦克等级成长!$B$35:$G$35,0)),0)</f>
        <v>1048</v>
      </c>
      <c r="AL49" s="33">
        <f t="shared" si="8"/>
        <v>1048</v>
      </c>
      <c r="AM49" s="33">
        <v>798</v>
      </c>
      <c r="AN49" s="33">
        <f>ROUND(坦克等级成长!$F146*VLOOKUP($Z$2,坦克等级成长!$B$36:$G$42,MATCH(AN$3,坦克等级成长!$B$35:$G$35,0)),0)</f>
        <v>957</v>
      </c>
      <c r="AO49" s="33">
        <f>ROUND(坦克等级成长!$F146*VLOOKUP($Z$2,坦克等级成长!$B$36:$G$42,MATCH(AO$3,坦克等级成长!$B$35:$G$35,0)),0)</f>
        <v>255</v>
      </c>
      <c r="AP49" s="192">
        <v>14</v>
      </c>
      <c r="AQ49" s="33">
        <f>ROUND(坦克等级成长!$H146*VLOOKUP($Z$2,坦克等级成长!$B$36:$G$42,MATCH(AQ$3,坦克等级成长!$B$35:$G$35,0)),0)</f>
        <v>2600</v>
      </c>
      <c r="AR49" s="33">
        <f>ROUND(坦克等级成长!$H146*VLOOKUP($Z$2,坦克等级成长!$B$36:$G$42,MATCH(AR$3,坦克等级成长!$B$35:$G$35,0)),0)</f>
        <v>138</v>
      </c>
      <c r="AS49" s="33">
        <f>ROUND(坦克等级成长!$H146*VLOOKUP($Z$2,坦克等级成长!$B$36:$G$42,MATCH(AS$3,坦克等级成长!$B$35:$G$35,0)),0)</f>
        <v>1068</v>
      </c>
      <c r="AT49" s="33">
        <f t="shared" si="22"/>
        <v>1068</v>
      </c>
      <c r="AU49" s="33">
        <v>798</v>
      </c>
      <c r="AV49" s="33">
        <f>ROUND(坦克等级成长!$H146*VLOOKUP($Z$2,坦克等级成长!$B$36:$G$42,MATCH(AV$3,坦克等级成长!$B$35:$G$35,0)),0)</f>
        <v>975</v>
      </c>
      <c r="AW49" s="33">
        <f>ROUND(坦克等级成长!$H146*VLOOKUP($Z$2,坦克等级成长!$B$36:$G$42,MATCH(AW$3,坦克等级成长!$B$35:$G$35,0)),0)</f>
        <v>260</v>
      </c>
      <c r="AX49" s="193"/>
      <c r="AY49" s="189"/>
      <c r="AZ49" s="189"/>
      <c r="BA49" s="189"/>
      <c r="BB49" s="189"/>
      <c r="BC49" s="189"/>
      <c r="BD49" s="189"/>
      <c r="BE49" s="200"/>
      <c r="BF49" s="199">
        <v>14</v>
      </c>
      <c r="BG49" s="33">
        <f>ROUND(坦克等级成长!$F146*VLOOKUP($AX$2,坦克等级成长!$B$36:$G$42,MATCH(BG$3,坦克等级成长!$B$35:$G$35,0)),0)</f>
        <v>2552</v>
      </c>
      <c r="BH49" s="33">
        <f>ROUND(坦克等级成长!$F146*VLOOKUP($AX$2,坦克等级成长!$B$36:$G$42,MATCH(BH$3,坦克等级成长!$B$35:$G$35,0)),0)</f>
        <v>254</v>
      </c>
      <c r="BI49" s="33">
        <f>ROUND(坦克等级成长!$F146*VLOOKUP($AX$2,坦克等级成长!$B$36:$G$42,MATCH(BI$3,坦克等级成长!$B$35:$G$35,0)),0)</f>
        <v>957</v>
      </c>
      <c r="BJ49" s="33">
        <f t="shared" si="9"/>
        <v>957</v>
      </c>
      <c r="BK49" s="33">
        <v>729</v>
      </c>
      <c r="BL49" s="33">
        <f>ROUND(坦克等级成长!$F146*VLOOKUP($AX$2,坦克等级成长!$B$36:$G$42,MATCH(BL$3,坦克等级成长!$B$35:$G$35,0)),0)</f>
        <v>957</v>
      </c>
      <c r="BM49" s="33">
        <f>ROUND(坦克等级成长!$F146*VLOOKUP($AX$2,坦克等级成长!$B$36:$G$42,MATCH(BM$3,坦克等级成长!$B$35:$G$35,0)),0)</f>
        <v>255</v>
      </c>
      <c r="BN49" s="192">
        <v>14</v>
      </c>
      <c r="BO49" s="33">
        <f>ROUND(坦克等级成长!$H146*VLOOKUP($AX$2,坦克等级成长!$B$36:$G$42,MATCH(BO$3,坦克等级成长!$B$35:$G$35,0)),0)</f>
        <v>2600</v>
      </c>
      <c r="BP49" s="33">
        <f>ROUND(坦克等级成长!$H146*VLOOKUP($AX$2,坦克等级成长!$B$36:$G$42,MATCH(BP$3,坦克等级成长!$B$35:$G$35,0)),0)</f>
        <v>259</v>
      </c>
      <c r="BQ49" s="33">
        <f>ROUND(坦克等级成长!$H146*VLOOKUP($AX$2,坦克等级成长!$B$36:$G$42,MATCH(BQ$3,坦克等级成长!$B$35:$G$35,0)),0)</f>
        <v>975</v>
      </c>
      <c r="BR49" s="33">
        <f t="shared" si="23"/>
        <v>975</v>
      </c>
      <c r="BS49" s="33">
        <v>729</v>
      </c>
      <c r="BT49" s="33">
        <f>ROUND(坦克等级成长!$H146*VLOOKUP($AX$2,坦克等级成长!$B$36:$G$42,MATCH(BT$3,坦克等级成长!$B$35:$G$35,0)),0)</f>
        <v>975</v>
      </c>
      <c r="BU49" s="33">
        <f>ROUND(坦克等级成长!$H146*VLOOKUP($AX$2,坦克等级成长!$B$36:$G$42,MATCH(BU$3,坦克等级成长!$B$35:$G$35,0)),0)</f>
        <v>260</v>
      </c>
      <c r="BV49" s="193"/>
      <c r="BW49" s="189"/>
      <c r="BX49" s="189"/>
      <c r="BY49" s="189"/>
      <c r="BZ49" s="189"/>
      <c r="CA49" s="189"/>
      <c r="CB49" s="189"/>
      <c r="CC49" s="200"/>
      <c r="CD49" s="199">
        <v>14</v>
      </c>
      <c r="CE49" s="33">
        <f>ROUND(坦克等级成长!$F146*VLOOKUP($BV$2,坦克等级成长!$B$36:$G$42,MATCH(CE$3,坦克等级成长!$B$35:$G$35,0)),0)</f>
        <v>2754</v>
      </c>
      <c r="CF49" s="33">
        <f>ROUND(坦克等级成长!$F146*VLOOKUP($BV$2,坦克等级成长!$B$36:$G$42,MATCH(CF$3,坦克等级成长!$B$35:$G$35,0)),0)</f>
        <v>237</v>
      </c>
      <c r="CG49" s="33">
        <f>ROUND(坦克等级成长!$F146*VLOOKUP($BV$2,坦克等级成长!$B$36:$G$42,MATCH(CG$3,坦克等级成长!$B$35:$G$35,0)),0)</f>
        <v>911</v>
      </c>
      <c r="CH49" s="33">
        <f t="shared" si="10"/>
        <v>911</v>
      </c>
      <c r="CI49" s="33">
        <v>743</v>
      </c>
      <c r="CJ49" s="33">
        <f>ROUND(坦克等级成长!$F146*VLOOKUP($BV$2,坦克等级成长!$B$36:$G$42,MATCH(CJ$3,坦克等级成长!$B$35:$G$35,0)),0)</f>
        <v>1148</v>
      </c>
      <c r="CK49" s="33">
        <f>ROUND(坦克等级成长!$F146*VLOOKUP($BV$2,坦克等级成长!$B$36:$G$42,MATCH(CK$3,坦克等级成长!$B$35:$G$35,0)),0)</f>
        <v>275</v>
      </c>
      <c r="CL49" s="192">
        <v>14</v>
      </c>
      <c r="CM49" s="33">
        <f>ROUND(坦克等级成长!$H146*VLOOKUP($BV$2,坦克等级成长!$B$36:$G$42,MATCH(CM$3,坦克等级成长!$B$35:$G$35,0)),0)</f>
        <v>2806</v>
      </c>
      <c r="CN49" s="33">
        <f>ROUND(坦克等级成长!$H146*VLOOKUP($BV$2,坦克等级成长!$B$36:$G$42,MATCH(CN$3,坦克等级成长!$B$35:$G$35,0)),0)</f>
        <v>241</v>
      </c>
      <c r="CO49" s="33">
        <f>ROUND(坦克等级成长!$H146*VLOOKUP($BV$2,坦克等级成长!$B$36:$G$42,MATCH(CO$3,坦克等级成长!$B$35:$G$35,0)),0)</f>
        <v>929</v>
      </c>
      <c r="CP49" s="33">
        <f t="shared" si="24"/>
        <v>929</v>
      </c>
      <c r="CQ49" s="33">
        <v>743</v>
      </c>
      <c r="CR49" s="33">
        <f>ROUND(坦克等级成长!$H146*VLOOKUP($BV$2,坦克等级成长!$B$36:$G$42,MATCH(CR$3,坦克等级成长!$B$35:$G$35,0)),0)</f>
        <v>1170</v>
      </c>
      <c r="CS49" s="33">
        <f>ROUND(坦克等级成长!$H146*VLOOKUP($BV$2,坦克等级成长!$B$36:$G$42,MATCH(CS$3,坦克等级成长!$B$35:$G$35,0)),0)</f>
        <v>281</v>
      </c>
      <c r="CT49" s="193"/>
      <c r="CU49" s="189"/>
      <c r="CV49" s="189"/>
      <c r="CW49" s="189"/>
      <c r="CX49" s="189"/>
      <c r="CY49" s="189"/>
      <c r="CZ49" s="189"/>
      <c r="DA49" s="200"/>
      <c r="DB49" s="199">
        <v>14</v>
      </c>
      <c r="DC49" s="33">
        <f>ROUND(坦克等级成长!$F146*VLOOKUP($CT$2,坦克等级成长!$B$36:$G$42,MATCH(DC$3,坦克等级成长!$B$35:$G$35,0)),0)</f>
        <v>2552</v>
      </c>
      <c r="DD49" s="33">
        <f>ROUND(坦克等级成长!$F146*VLOOKUP($CT$2,坦克等级成长!$B$36:$G$42,MATCH(DD$3,坦克等级成长!$B$35:$G$35,0)),0)</f>
        <v>514</v>
      </c>
      <c r="DE49" s="33">
        <f>ROUND(坦克等级成长!$F146*VLOOKUP($CT$2,坦克等级成长!$B$36:$G$42,MATCH(DE$3,坦克等级成长!$B$35:$G$35,0)),0)</f>
        <v>1139</v>
      </c>
      <c r="DF49" s="33">
        <f t="shared" si="11"/>
        <v>1139</v>
      </c>
      <c r="DG49" s="33">
        <v>929</v>
      </c>
      <c r="DH49" s="33">
        <f>ROUND(坦克等级成长!$F146*VLOOKUP($CT$2,坦克等级成长!$B$36:$G$42,MATCH(DH$3,坦克等级成长!$B$35:$G$35,0)),0)</f>
        <v>957</v>
      </c>
      <c r="DI49" s="33">
        <f>ROUND(坦克等级成长!$F146*VLOOKUP($CT$2,坦克等级成长!$B$36:$G$42,MATCH(DI$3,坦克等级成长!$B$35:$G$35,0)),0)</f>
        <v>255</v>
      </c>
      <c r="DJ49" s="192">
        <v>14</v>
      </c>
      <c r="DK49" s="33">
        <f>ROUND(坦克等级成长!$H146*VLOOKUP($CT$2,坦克等级成长!$B$36:$G$42,MATCH(DK$3,坦克等级成长!$B$35:$G$35,0)),0)</f>
        <v>2600</v>
      </c>
      <c r="DL49" s="33">
        <f>ROUND(坦克等级成长!$H146*VLOOKUP($CT$2,坦克等级成长!$B$36:$G$42,MATCH(DL$3,坦克等级成长!$B$35:$G$35,0)),0)</f>
        <v>523</v>
      </c>
      <c r="DM49" s="33">
        <f>ROUND(坦克等级成长!$H146*VLOOKUP($CT$2,坦克等级成长!$B$36:$G$42,MATCH(DM$3,坦克等级成长!$B$35:$G$35,0)),0)</f>
        <v>1161</v>
      </c>
      <c r="DN49" s="33">
        <f t="shared" si="25"/>
        <v>1161</v>
      </c>
      <c r="DO49" s="33">
        <v>929</v>
      </c>
      <c r="DP49" s="33">
        <f>ROUND(坦克等级成长!$H146*VLOOKUP($CT$2,坦克等级成长!$B$36:$G$42,MATCH(DP$3,坦克等级成长!$B$35:$G$35,0)),0)</f>
        <v>975</v>
      </c>
      <c r="DQ49" s="33">
        <f>ROUND(坦克等级成长!$H146*VLOOKUP($CT$2,坦克等级成长!$B$36:$G$42,MATCH(DQ$3,坦克等级成长!$B$35:$G$35,0)),0)</f>
        <v>260</v>
      </c>
      <c r="DR49" s="193"/>
      <c r="DS49" s="189"/>
      <c r="DT49" s="189"/>
      <c r="DU49" s="189"/>
      <c r="DV49" s="189"/>
      <c r="DW49" s="189"/>
      <c r="DX49" s="189"/>
      <c r="DY49" s="200"/>
      <c r="DZ49" s="199">
        <v>14</v>
      </c>
      <c r="EA49" s="33">
        <f>ROUND(坦克等级成长!$F146*VLOOKUP($DR$2,坦克等级成长!$B$36:$G$42,MATCH(EA$3,坦克等级成长!$B$35:$G$35,0)),0)</f>
        <v>3122</v>
      </c>
      <c r="EB49" s="33">
        <f>ROUND(坦克等级成长!$F146*VLOOKUP($DR$2,坦克等级成长!$B$36:$G$42,MATCH(EB$3,坦克等级成长!$B$35:$G$35,0)),0)</f>
        <v>855</v>
      </c>
      <c r="EC49" s="33">
        <f>ROUND(坦克等级成长!$F146*VLOOKUP($DR$2,坦克等级成长!$B$36:$G$42,MATCH(EC$3,坦克等级成长!$B$35:$G$35,0)),0)</f>
        <v>911</v>
      </c>
      <c r="ED49" s="33">
        <f t="shared" si="12"/>
        <v>911</v>
      </c>
      <c r="EE49" s="33">
        <v>793</v>
      </c>
      <c r="EF49" s="33">
        <f>ROUND(坦克等级成长!$F146*VLOOKUP($DR$2,坦克等级成长!$B$36:$G$42,MATCH(EF$3,坦克等级成长!$B$35:$G$35,0)),0)</f>
        <v>1340</v>
      </c>
      <c r="EG49" s="33">
        <f>ROUND(坦克等级成长!$F146*VLOOKUP($DR$2,坦克等级成长!$B$36:$G$42,MATCH(EG$3,坦克等级成长!$B$35:$G$35,0)),0)</f>
        <v>312</v>
      </c>
      <c r="EH49" s="192">
        <v>14</v>
      </c>
      <c r="EI49" s="33">
        <f>ROUND(坦克等级成长!$H146*VLOOKUP($DR$2,坦克等级成长!$B$36:$G$42,MATCH(EI$3,坦克等级成长!$B$35:$G$35,0)),0)</f>
        <v>3181</v>
      </c>
      <c r="EJ49" s="33">
        <f>ROUND(坦克等级成长!$H146*VLOOKUP($DR$2,坦克等级成长!$B$36:$G$42,MATCH(EJ$3,坦克等级成长!$B$35:$G$35,0)),0)</f>
        <v>871</v>
      </c>
      <c r="EK49" s="33">
        <f>ROUND(坦克等级成长!$H146*VLOOKUP($DR$2,坦克等级成长!$B$36:$G$42,MATCH(EK$3,坦克等级成长!$B$35:$G$35,0)),0)</f>
        <v>929</v>
      </c>
      <c r="EL49" s="33">
        <f t="shared" si="26"/>
        <v>929</v>
      </c>
      <c r="EM49" s="33">
        <v>793</v>
      </c>
      <c r="EN49" s="33">
        <f>ROUND(坦克等级成长!$H146*VLOOKUP($DR$2,坦克等级成长!$B$36:$G$42,MATCH(EN$3,坦克等级成长!$B$35:$G$35,0)),0)</f>
        <v>1365</v>
      </c>
      <c r="EO49" s="33">
        <f>ROUND(坦克等级成长!$H146*VLOOKUP($DR$2,坦克等级成长!$B$36:$G$42,MATCH(EO$3,坦克等级成长!$B$35:$G$35,0)),0)</f>
        <v>318</v>
      </c>
      <c r="EP49" s="193"/>
      <c r="EQ49" s="189"/>
      <c r="ER49" s="189"/>
      <c r="ES49" s="189"/>
      <c r="ET49" s="189"/>
      <c r="EU49" s="189"/>
      <c r="EV49" s="189"/>
      <c r="EW49" s="200"/>
      <c r="EX49" s="199">
        <v>14</v>
      </c>
      <c r="EY49" s="33">
        <f>ROUND(坦克等级成长!$F146*VLOOKUP($EP$2,坦克等级成长!$B$36:$G$42,MATCH(EY$3,坦克等级成长!$B$35:$G$35,0)),0)</f>
        <v>2754</v>
      </c>
      <c r="EZ49" s="33">
        <f>ROUND(坦克等级成长!$F146*VLOOKUP($EP$2,坦克等级成长!$B$36:$G$42,MATCH(EZ$3,坦克等级成长!$B$35:$G$35,0)),0)</f>
        <v>284</v>
      </c>
      <c r="FA49" s="33">
        <f>ROUND(坦克等级成长!$F146*VLOOKUP($EP$2,坦克等级成长!$B$36:$G$42,MATCH(FA$3,坦克等级成长!$B$35:$G$35,0)),0)</f>
        <v>1048</v>
      </c>
      <c r="FB49" s="33">
        <f t="shared" si="13"/>
        <v>1048</v>
      </c>
      <c r="FC49" s="33">
        <v>855</v>
      </c>
      <c r="FD49" s="33">
        <f>ROUND(坦克等级成长!$F146*VLOOKUP($EP$2,坦克等级成长!$B$36:$G$42,MATCH(FD$3,坦克等级成长!$B$35:$G$35,0)),0)</f>
        <v>1148</v>
      </c>
      <c r="FE49" s="33">
        <f>ROUND(坦克等级成长!$F146*VLOOKUP($EP$2,坦克等级成长!$B$36:$G$42,MATCH(FE$3,坦克等级成长!$B$35:$G$35,0)),0)</f>
        <v>275</v>
      </c>
      <c r="FF49" s="192">
        <v>14</v>
      </c>
      <c r="FG49" s="33">
        <f>ROUND(坦克等级成长!$H146*VLOOKUP($EP$2,坦克等级成长!$B$36:$G$42,MATCH(FG$3,坦克等级成长!$B$35:$G$35,0)),0)</f>
        <v>2806</v>
      </c>
      <c r="FH49" s="33">
        <f>ROUND(坦克等级成长!$H146*VLOOKUP($EP$2,坦克等级成长!$B$36:$G$42,MATCH(FH$3,坦克等级成长!$B$35:$G$35,0)),0)</f>
        <v>289</v>
      </c>
      <c r="FI49" s="33">
        <f>ROUND(坦克等级成长!$H146*VLOOKUP($EP$2,坦克等级成长!$B$36:$G$42,MATCH(FI$3,坦克等级成长!$B$35:$G$35,0)),0)</f>
        <v>1068</v>
      </c>
      <c r="FJ49" s="33">
        <f t="shared" si="27"/>
        <v>1068</v>
      </c>
      <c r="FK49" s="33">
        <v>855</v>
      </c>
      <c r="FL49" s="33">
        <f>ROUND(坦克等级成长!$H146*VLOOKUP($EP$2,坦克等级成长!$B$36:$G$42,MATCH(FL$3,坦克等级成长!$B$35:$G$35,0)),0)</f>
        <v>1170</v>
      </c>
      <c r="FM49" s="33">
        <f>ROUND(坦克等级成长!$H146*VLOOKUP($EP$2,坦克等级成长!$B$36:$G$42,MATCH(FM$3,坦克等级成长!$B$35:$G$35,0)),0)</f>
        <v>281</v>
      </c>
    </row>
    <row r="50" spans="1:169" ht="14.25" x14ac:dyDescent="0.3">
      <c r="A50" s="189">
        <v>4</v>
      </c>
      <c r="B50" s="193"/>
      <c r="C50" s="189"/>
      <c r="D50" s="189"/>
      <c r="E50" s="189"/>
      <c r="F50" s="189"/>
      <c r="G50" s="189"/>
      <c r="H50" s="189"/>
      <c r="I50" s="200"/>
      <c r="J50" s="199">
        <v>15</v>
      </c>
      <c r="K50" s="33">
        <f>ROUND(坦克等级成长!$F147*VLOOKUP($B$2,坦克等级成长!$B$36:$G$42,MATCH(K$3,坦克等级成长!$B$35:$G$35,0)),0)</f>
        <v>2640</v>
      </c>
      <c r="L50" s="33">
        <f>ROUND(坦克等级成长!$F147*VLOOKUP($B$2,坦克等级成长!$B$36:$G$42,MATCH(L$3,坦克等级成长!$B$35:$G$35,0)),0)</f>
        <v>263</v>
      </c>
      <c r="M50" s="33">
        <f>ROUND(坦克等级成长!$F147*VLOOKUP($B$2,坦克等级成长!$B$36:$G$42,MATCH(M$3,坦克等级成长!$B$35:$G$35,0)),0)</f>
        <v>990</v>
      </c>
      <c r="N50" s="33">
        <f t="shared" si="7"/>
        <v>990</v>
      </c>
      <c r="O50" s="33">
        <v>756</v>
      </c>
      <c r="P50" s="33">
        <f>ROUND(坦克等级成长!$F147*VLOOKUP($B$2,坦克等级成长!$B$36:$G$42,MATCH(P$3,坦克等级成长!$B$35:$G$35,0)),0)</f>
        <v>990</v>
      </c>
      <c r="Q50" s="33">
        <f>ROUND(坦克等级成长!$F147*VLOOKUP($B$2,坦克等级成长!$B$36:$G$42,MATCH(Q$3,坦克等级成长!$B$35:$G$35,0)),0)</f>
        <v>264</v>
      </c>
      <c r="R50" s="192">
        <v>15</v>
      </c>
      <c r="S50" s="33">
        <f>ROUND(坦克等级成长!$H147*VLOOKUP($B$2,坦克等级成长!$B$36:$G$42,MATCH(S$3,坦克等级成长!$B$35:$G$35,0)),0)</f>
        <v>2696</v>
      </c>
      <c r="T50" s="33">
        <f>ROUND(坦克等级成长!$H147*VLOOKUP($B$2,坦克等级成长!$B$36:$G$42,MATCH(T$3,坦克等级成长!$B$35:$G$35,0)),0)</f>
        <v>269</v>
      </c>
      <c r="U50" s="33">
        <f>ROUND(坦克等级成长!$H147*VLOOKUP($B$2,坦克等级成长!$B$36:$G$42,MATCH(U$3,坦克等级成长!$B$35:$G$35,0)),0)</f>
        <v>1011</v>
      </c>
      <c r="V50" s="33">
        <f t="shared" si="21"/>
        <v>1011</v>
      </c>
      <c r="W50" s="33">
        <v>756</v>
      </c>
      <c r="X50" s="33">
        <f>ROUND(坦克等级成长!$H147*VLOOKUP($B$2,坦克等级成长!$B$36:$G$42,MATCH(X$3,坦克等级成长!$B$35:$G$35,0)),0)</f>
        <v>1011</v>
      </c>
      <c r="Y50" s="33">
        <f>ROUND(坦克等级成长!$H147*VLOOKUP($B$2,坦克等级成长!$B$36:$G$42,MATCH(Y$3,坦克等级成长!$B$35:$G$35,0)),0)</f>
        <v>270</v>
      </c>
      <c r="Z50" s="193"/>
      <c r="AA50" s="189"/>
      <c r="AB50" s="189"/>
      <c r="AC50" s="189"/>
      <c r="AD50" s="189"/>
      <c r="AE50" s="189"/>
      <c r="AF50" s="189"/>
      <c r="AG50" s="200"/>
      <c r="AH50" s="199">
        <v>15</v>
      </c>
      <c r="AI50" s="33">
        <f>ROUND(坦克等级成长!$F147*VLOOKUP($Z$2,坦克等级成长!$B$36:$G$42,MATCH(AI$3,坦克等级成长!$B$35:$G$35,0)),0)</f>
        <v>2640</v>
      </c>
      <c r="AJ50" s="33">
        <f>ROUND(坦克等级成长!$F147*VLOOKUP($Z$2,坦克等级成长!$B$36:$G$42,MATCH(AJ$3,坦克等级成长!$B$35:$G$35,0)),0)</f>
        <v>140</v>
      </c>
      <c r="AK50" s="33">
        <f>ROUND(坦克等级成长!$F147*VLOOKUP($Z$2,坦克等级成长!$B$36:$G$42,MATCH(AK$3,坦克等级成长!$B$35:$G$35,0)),0)</f>
        <v>1084</v>
      </c>
      <c r="AL50" s="33">
        <f t="shared" si="8"/>
        <v>1084</v>
      </c>
      <c r="AM50" s="33">
        <v>828</v>
      </c>
      <c r="AN50" s="33">
        <f>ROUND(坦克等级成长!$F147*VLOOKUP($Z$2,坦克等级成长!$B$36:$G$42,MATCH(AN$3,坦克等级成长!$B$35:$G$35,0)),0)</f>
        <v>990</v>
      </c>
      <c r="AO50" s="33">
        <f>ROUND(坦克等级成长!$F147*VLOOKUP($Z$2,坦克等级成长!$B$36:$G$42,MATCH(AO$3,坦克等级成长!$B$35:$G$35,0)),0)</f>
        <v>264</v>
      </c>
      <c r="AP50" s="192">
        <v>15</v>
      </c>
      <c r="AQ50" s="33">
        <f>ROUND(坦克等级成长!$H147*VLOOKUP($Z$2,坦克等级成长!$B$36:$G$42,MATCH(AQ$3,坦克等级成长!$B$35:$G$35,0)),0)</f>
        <v>2696</v>
      </c>
      <c r="AR50" s="33">
        <f>ROUND(坦克等级成长!$H147*VLOOKUP($Z$2,坦克等级成长!$B$36:$G$42,MATCH(AR$3,坦克等级成长!$B$35:$G$35,0)),0)</f>
        <v>143</v>
      </c>
      <c r="AS50" s="33">
        <f>ROUND(坦克等级成长!$H147*VLOOKUP($Z$2,坦克等级成长!$B$36:$G$42,MATCH(AS$3,坦克等级成长!$B$35:$G$35,0)),0)</f>
        <v>1107</v>
      </c>
      <c r="AT50" s="33">
        <f t="shared" si="22"/>
        <v>1107</v>
      </c>
      <c r="AU50" s="33">
        <v>828</v>
      </c>
      <c r="AV50" s="33">
        <f>ROUND(坦克等级成长!$H147*VLOOKUP($Z$2,坦克等级成长!$B$36:$G$42,MATCH(AV$3,坦克等级成长!$B$35:$G$35,0)),0)</f>
        <v>1011</v>
      </c>
      <c r="AW50" s="33">
        <f>ROUND(坦克等级成长!$H147*VLOOKUP($Z$2,坦克等级成长!$B$36:$G$42,MATCH(AW$3,坦克等级成长!$B$35:$G$35,0)),0)</f>
        <v>270</v>
      </c>
      <c r="AX50" s="193"/>
      <c r="AY50" s="189"/>
      <c r="AZ50" s="189"/>
      <c r="BA50" s="189"/>
      <c r="BB50" s="189"/>
      <c r="BC50" s="189"/>
      <c r="BD50" s="189"/>
      <c r="BE50" s="200"/>
      <c r="BF50" s="199">
        <v>15</v>
      </c>
      <c r="BG50" s="33">
        <f>ROUND(坦克等级成长!$F147*VLOOKUP($AX$2,坦克等级成长!$B$36:$G$42,MATCH(BG$3,坦克等级成长!$B$35:$G$35,0)),0)</f>
        <v>2640</v>
      </c>
      <c r="BH50" s="33">
        <f>ROUND(坦克等级成长!$F147*VLOOKUP($AX$2,坦克等级成长!$B$36:$G$42,MATCH(BH$3,坦克等级成长!$B$35:$G$35,0)),0)</f>
        <v>263</v>
      </c>
      <c r="BI50" s="33">
        <f>ROUND(坦克等级成长!$F147*VLOOKUP($AX$2,坦克等级成长!$B$36:$G$42,MATCH(BI$3,坦克等级成长!$B$35:$G$35,0)),0)</f>
        <v>990</v>
      </c>
      <c r="BJ50" s="33">
        <f t="shared" si="9"/>
        <v>990</v>
      </c>
      <c r="BK50" s="33">
        <v>756</v>
      </c>
      <c r="BL50" s="33">
        <f>ROUND(坦克等级成长!$F147*VLOOKUP($AX$2,坦克等级成长!$B$36:$G$42,MATCH(BL$3,坦克等级成长!$B$35:$G$35,0)),0)</f>
        <v>990</v>
      </c>
      <c r="BM50" s="33">
        <f>ROUND(坦克等级成长!$F147*VLOOKUP($AX$2,坦克等级成长!$B$36:$G$42,MATCH(BM$3,坦克等级成长!$B$35:$G$35,0)),0)</f>
        <v>264</v>
      </c>
      <c r="BN50" s="192">
        <v>15</v>
      </c>
      <c r="BO50" s="33">
        <f>ROUND(坦克等级成长!$H147*VLOOKUP($AX$2,坦克等级成长!$B$36:$G$42,MATCH(BO$3,坦克等级成长!$B$35:$G$35,0)),0)</f>
        <v>2696</v>
      </c>
      <c r="BP50" s="33">
        <f>ROUND(坦克等级成长!$H147*VLOOKUP($AX$2,坦克等级成长!$B$36:$G$42,MATCH(BP$3,坦克等级成长!$B$35:$G$35,0)),0)</f>
        <v>269</v>
      </c>
      <c r="BQ50" s="33">
        <f>ROUND(坦克等级成长!$H147*VLOOKUP($AX$2,坦克等级成长!$B$36:$G$42,MATCH(BQ$3,坦克等级成长!$B$35:$G$35,0)),0)</f>
        <v>1011</v>
      </c>
      <c r="BR50" s="33">
        <f t="shared" si="23"/>
        <v>1011</v>
      </c>
      <c r="BS50" s="33">
        <v>756</v>
      </c>
      <c r="BT50" s="33">
        <f>ROUND(坦克等级成长!$H147*VLOOKUP($AX$2,坦克等级成长!$B$36:$G$42,MATCH(BT$3,坦克等级成长!$B$35:$G$35,0)),0)</f>
        <v>1011</v>
      </c>
      <c r="BU50" s="33">
        <f>ROUND(坦克等级成长!$H147*VLOOKUP($AX$2,坦克等级成长!$B$36:$G$42,MATCH(BU$3,坦克等级成长!$B$35:$G$35,0)),0)</f>
        <v>270</v>
      </c>
      <c r="BV50" s="193"/>
      <c r="BW50" s="189"/>
      <c r="BX50" s="189"/>
      <c r="BY50" s="189"/>
      <c r="BZ50" s="189"/>
      <c r="CA50" s="189"/>
      <c r="CB50" s="189"/>
      <c r="CC50" s="200"/>
      <c r="CD50" s="199">
        <v>15</v>
      </c>
      <c r="CE50" s="33">
        <f>ROUND(坦克等级成长!$F147*VLOOKUP($BV$2,坦克等级成长!$B$36:$G$42,MATCH(CE$3,坦克等级成长!$B$35:$G$35,0)),0)</f>
        <v>2849</v>
      </c>
      <c r="CF50" s="33">
        <f>ROUND(坦克等级成长!$F147*VLOOKUP($BV$2,坦克等级成长!$B$36:$G$42,MATCH(CF$3,坦克等级成长!$B$35:$G$35,0)),0)</f>
        <v>245</v>
      </c>
      <c r="CG50" s="33">
        <f>ROUND(坦克等级成长!$F147*VLOOKUP($BV$2,坦克等级成长!$B$36:$G$42,MATCH(CG$3,坦克等级成长!$B$35:$G$35,0)),0)</f>
        <v>943</v>
      </c>
      <c r="CH50" s="33">
        <f t="shared" si="10"/>
        <v>943</v>
      </c>
      <c r="CI50" s="33">
        <v>772</v>
      </c>
      <c r="CJ50" s="33">
        <f>ROUND(坦克等级成长!$F147*VLOOKUP($BV$2,坦克等级成长!$B$36:$G$42,MATCH(CJ$3,坦克等级成长!$B$35:$G$35,0)),0)</f>
        <v>1188</v>
      </c>
      <c r="CK50" s="33">
        <f>ROUND(坦克等级成长!$F147*VLOOKUP($BV$2,坦克等级成长!$B$36:$G$42,MATCH(CK$3,坦克等级成长!$B$35:$G$35,0)),0)</f>
        <v>285</v>
      </c>
      <c r="CL50" s="192">
        <v>15</v>
      </c>
      <c r="CM50" s="33">
        <f>ROUND(坦克等级成长!$H147*VLOOKUP($BV$2,坦克等级成长!$B$36:$G$42,MATCH(CM$3,坦克等级成长!$B$35:$G$35,0)),0)</f>
        <v>2910</v>
      </c>
      <c r="CN50" s="33">
        <f>ROUND(坦克等级成长!$H147*VLOOKUP($BV$2,坦克等级成长!$B$36:$G$42,MATCH(CN$3,坦克等级成长!$B$35:$G$35,0)),0)</f>
        <v>250</v>
      </c>
      <c r="CO50" s="33">
        <f>ROUND(坦克等级成长!$H147*VLOOKUP($BV$2,坦克等级成长!$B$36:$G$42,MATCH(CO$3,坦克等级成长!$B$35:$G$35,0)),0)</f>
        <v>963</v>
      </c>
      <c r="CP50" s="33">
        <f t="shared" si="24"/>
        <v>963</v>
      </c>
      <c r="CQ50" s="33">
        <v>772</v>
      </c>
      <c r="CR50" s="33">
        <f>ROUND(坦克等级成长!$H147*VLOOKUP($BV$2,坦克等级成长!$B$36:$G$42,MATCH(CR$3,坦克等级成长!$B$35:$G$35,0)),0)</f>
        <v>1213</v>
      </c>
      <c r="CS50" s="33">
        <f>ROUND(坦克等级成长!$H147*VLOOKUP($BV$2,坦克等级成长!$B$36:$G$42,MATCH(CS$3,坦克等级成长!$B$35:$G$35,0)),0)</f>
        <v>291</v>
      </c>
      <c r="CT50" s="193"/>
      <c r="CU50" s="189"/>
      <c r="CV50" s="189"/>
      <c r="CW50" s="189"/>
      <c r="CX50" s="189"/>
      <c r="CY50" s="189"/>
      <c r="CZ50" s="189"/>
      <c r="DA50" s="200"/>
      <c r="DB50" s="199">
        <v>15</v>
      </c>
      <c r="DC50" s="33">
        <f>ROUND(坦克等级成长!$F147*VLOOKUP($CT$2,坦克等级成长!$B$36:$G$42,MATCH(DC$3,坦克等级成长!$B$35:$G$35,0)),0)</f>
        <v>2640</v>
      </c>
      <c r="DD50" s="33">
        <f>ROUND(坦克等级成长!$F147*VLOOKUP($CT$2,坦克等级成长!$B$36:$G$42,MATCH(DD$3,坦克等级成长!$B$35:$G$35,0)),0)</f>
        <v>531</v>
      </c>
      <c r="DE50" s="33">
        <f>ROUND(坦克等级成长!$F147*VLOOKUP($CT$2,坦克等级成长!$B$36:$G$42,MATCH(DE$3,坦克等级成长!$B$35:$G$35,0)),0)</f>
        <v>1179</v>
      </c>
      <c r="DF50" s="33">
        <f t="shared" si="11"/>
        <v>1179</v>
      </c>
      <c r="DG50" s="33">
        <v>965</v>
      </c>
      <c r="DH50" s="33">
        <f>ROUND(坦克等级成长!$F147*VLOOKUP($CT$2,坦克等级成长!$B$36:$G$42,MATCH(DH$3,坦克等级成长!$B$35:$G$35,0)),0)</f>
        <v>990</v>
      </c>
      <c r="DI50" s="33">
        <f>ROUND(坦克等级成长!$F147*VLOOKUP($CT$2,坦克等级成长!$B$36:$G$42,MATCH(DI$3,坦克等级成长!$B$35:$G$35,0)),0)</f>
        <v>264</v>
      </c>
      <c r="DJ50" s="192">
        <v>15</v>
      </c>
      <c r="DK50" s="33">
        <f>ROUND(坦克等级成长!$H147*VLOOKUP($CT$2,坦克等级成长!$B$36:$G$42,MATCH(DK$3,坦克等级成长!$B$35:$G$35,0)),0)</f>
        <v>2696</v>
      </c>
      <c r="DL50" s="33">
        <f>ROUND(坦克等级成长!$H147*VLOOKUP($CT$2,坦克等级成长!$B$36:$G$42,MATCH(DL$3,坦克等级成长!$B$35:$G$35,0)),0)</f>
        <v>543</v>
      </c>
      <c r="DM50" s="33">
        <f>ROUND(坦克等级成长!$H147*VLOOKUP($CT$2,坦克等级成长!$B$36:$G$42,MATCH(DM$3,坦克等级成长!$B$35:$G$35,0)),0)</f>
        <v>1204</v>
      </c>
      <c r="DN50" s="33">
        <f t="shared" si="25"/>
        <v>1204</v>
      </c>
      <c r="DO50" s="33">
        <v>965</v>
      </c>
      <c r="DP50" s="33">
        <f>ROUND(坦克等级成长!$H147*VLOOKUP($CT$2,坦克等级成长!$B$36:$G$42,MATCH(DP$3,坦克等级成长!$B$35:$G$35,0)),0)</f>
        <v>1011</v>
      </c>
      <c r="DQ50" s="33">
        <f>ROUND(坦克等级成长!$H147*VLOOKUP($CT$2,坦克等级成长!$B$36:$G$42,MATCH(DQ$3,坦克等级成长!$B$35:$G$35,0)),0)</f>
        <v>270</v>
      </c>
      <c r="DR50" s="193"/>
      <c r="DS50" s="189"/>
      <c r="DT50" s="189"/>
      <c r="DU50" s="189"/>
      <c r="DV50" s="189"/>
      <c r="DW50" s="189"/>
      <c r="DX50" s="189"/>
      <c r="DY50" s="200"/>
      <c r="DZ50" s="199">
        <v>15</v>
      </c>
      <c r="EA50" s="33">
        <f>ROUND(坦克等级成长!$F147*VLOOKUP($DR$2,坦克等级成长!$B$36:$G$42,MATCH(EA$3,坦克等级成长!$B$35:$G$35,0)),0)</f>
        <v>3230</v>
      </c>
      <c r="EB50" s="33">
        <f>ROUND(坦克等级成长!$F147*VLOOKUP($DR$2,坦克等级成长!$B$36:$G$42,MATCH(EB$3,坦克等级成长!$B$35:$G$35,0)),0)</f>
        <v>885</v>
      </c>
      <c r="EC50" s="33">
        <f>ROUND(坦克等级成长!$F147*VLOOKUP($DR$2,坦克等级成长!$B$36:$G$42,MATCH(EC$3,坦克等级成长!$B$35:$G$35,0)),0)</f>
        <v>943</v>
      </c>
      <c r="ED50" s="33">
        <f t="shared" si="12"/>
        <v>943</v>
      </c>
      <c r="EE50" s="33">
        <v>823</v>
      </c>
      <c r="EF50" s="33">
        <f>ROUND(坦克等级成长!$F147*VLOOKUP($DR$2,坦克等级成长!$B$36:$G$42,MATCH(EF$3,坦克等级成长!$B$35:$G$35,0)),0)</f>
        <v>1386</v>
      </c>
      <c r="EG50" s="33">
        <f>ROUND(坦克等级成长!$F147*VLOOKUP($DR$2,坦克等级成长!$B$36:$G$42,MATCH(EG$3,坦克等级成长!$B$35:$G$35,0)),0)</f>
        <v>323</v>
      </c>
      <c r="EH50" s="192">
        <v>15</v>
      </c>
      <c r="EI50" s="33">
        <f>ROUND(坦克等级成长!$H147*VLOOKUP($DR$2,坦克等级成长!$B$36:$G$42,MATCH(EI$3,坦克等级成长!$B$35:$G$35,0)),0)</f>
        <v>3298</v>
      </c>
      <c r="EJ50" s="33">
        <f>ROUND(坦克等级成长!$H147*VLOOKUP($DR$2,坦克等级成长!$B$36:$G$42,MATCH(EJ$3,坦克等级成长!$B$35:$G$35,0)),0)</f>
        <v>903</v>
      </c>
      <c r="EK50" s="33">
        <f>ROUND(坦克等级成长!$H147*VLOOKUP($DR$2,坦克等级成长!$B$36:$G$42,MATCH(EK$3,坦克等级成长!$B$35:$G$35,0)),0)</f>
        <v>963</v>
      </c>
      <c r="EL50" s="33">
        <f t="shared" si="26"/>
        <v>963</v>
      </c>
      <c r="EM50" s="33">
        <v>823</v>
      </c>
      <c r="EN50" s="33">
        <f>ROUND(坦克等级成长!$H147*VLOOKUP($DR$2,坦克等级成长!$B$36:$G$42,MATCH(EN$3,坦克等级成长!$B$35:$G$35,0)),0)</f>
        <v>1415</v>
      </c>
      <c r="EO50" s="33">
        <f>ROUND(坦克等级成长!$H147*VLOOKUP($DR$2,坦克等级成长!$B$36:$G$42,MATCH(EO$3,坦克等级成长!$B$35:$G$35,0)),0)</f>
        <v>330</v>
      </c>
      <c r="EP50" s="193"/>
      <c r="EQ50" s="189"/>
      <c r="ER50" s="189"/>
      <c r="ES50" s="189"/>
      <c r="ET50" s="189"/>
      <c r="EU50" s="189"/>
      <c r="EV50" s="189"/>
      <c r="EW50" s="200"/>
      <c r="EX50" s="199">
        <v>15</v>
      </c>
      <c r="EY50" s="33">
        <f>ROUND(坦克等级成长!$F147*VLOOKUP($EP$2,坦克等级成长!$B$36:$G$42,MATCH(EY$3,坦克等级成长!$B$35:$G$35,0)),0)</f>
        <v>2849</v>
      </c>
      <c r="EZ50" s="33">
        <f>ROUND(坦克等级成长!$F147*VLOOKUP($EP$2,坦克等级成长!$B$36:$G$42,MATCH(EZ$3,坦克等级成长!$B$35:$G$35,0)),0)</f>
        <v>294</v>
      </c>
      <c r="FA50" s="33">
        <f>ROUND(坦克等级成长!$F147*VLOOKUP($EP$2,坦克等级成长!$B$36:$G$42,MATCH(FA$3,坦克等级成长!$B$35:$G$35,0)),0)</f>
        <v>1084</v>
      </c>
      <c r="FB50" s="33">
        <f t="shared" si="13"/>
        <v>1084</v>
      </c>
      <c r="FC50" s="33">
        <v>887</v>
      </c>
      <c r="FD50" s="33">
        <f>ROUND(坦克等级成长!$F147*VLOOKUP($EP$2,坦克等级成长!$B$36:$G$42,MATCH(FD$3,坦克等级成长!$B$35:$G$35,0)),0)</f>
        <v>1188</v>
      </c>
      <c r="FE50" s="33">
        <f>ROUND(坦克等级成长!$F147*VLOOKUP($EP$2,坦克等级成长!$B$36:$G$42,MATCH(FE$3,坦克等级成长!$B$35:$G$35,0)),0)</f>
        <v>285</v>
      </c>
      <c r="FF50" s="192">
        <v>15</v>
      </c>
      <c r="FG50" s="33">
        <f>ROUND(坦克等级成长!$H147*VLOOKUP($EP$2,坦克等级成长!$B$36:$G$42,MATCH(FG$3,坦克等级成长!$B$35:$G$35,0)),0)</f>
        <v>2910</v>
      </c>
      <c r="FH50" s="33">
        <f>ROUND(坦克等级成长!$H147*VLOOKUP($EP$2,坦克等级成长!$B$36:$G$42,MATCH(FH$3,坦克等级成长!$B$35:$G$35,0)),0)</f>
        <v>300</v>
      </c>
      <c r="FI50" s="33">
        <f>ROUND(坦克等级成长!$H147*VLOOKUP($EP$2,坦克等级成长!$B$36:$G$42,MATCH(FI$3,坦克等级成长!$B$35:$G$35,0)),0)</f>
        <v>1107</v>
      </c>
      <c r="FJ50" s="33">
        <f t="shared" si="27"/>
        <v>1107</v>
      </c>
      <c r="FK50" s="33">
        <v>887</v>
      </c>
      <c r="FL50" s="33">
        <f>ROUND(坦克等级成长!$H147*VLOOKUP($EP$2,坦克等级成长!$B$36:$G$42,MATCH(FL$3,坦克等级成长!$B$35:$G$35,0)),0)</f>
        <v>1213</v>
      </c>
      <c r="FM50" s="33">
        <f>ROUND(坦克等级成长!$H147*VLOOKUP($EP$2,坦克等级成长!$B$36:$G$42,MATCH(FM$3,坦克等级成长!$B$35:$G$35,0)),0)</f>
        <v>291</v>
      </c>
    </row>
    <row r="51" spans="1:169" ht="14.25" x14ac:dyDescent="0.3">
      <c r="A51" s="189">
        <v>4</v>
      </c>
      <c r="B51" s="193"/>
      <c r="C51" s="189"/>
      <c r="D51" s="189"/>
      <c r="E51" s="189"/>
      <c r="F51" s="189"/>
      <c r="G51" s="189"/>
      <c r="H51" s="189"/>
      <c r="I51" s="200"/>
      <c r="J51" s="199">
        <v>16</v>
      </c>
      <c r="K51" s="33">
        <f>ROUND(坦克等级成长!$F148*VLOOKUP($B$2,坦克等级成长!$B$36:$G$42,MATCH(K$3,坦克等级成长!$B$35:$G$35,0)),0)</f>
        <v>2728</v>
      </c>
      <c r="L51" s="33">
        <f>ROUND(坦克等级成长!$F148*VLOOKUP($B$2,坦克等级成长!$B$36:$G$42,MATCH(L$3,坦克等级成长!$B$35:$G$35,0)),0)</f>
        <v>272</v>
      </c>
      <c r="M51" s="33">
        <f>ROUND(坦克等级成长!$F148*VLOOKUP($B$2,坦克等级成长!$B$36:$G$42,MATCH(M$3,坦克等级成长!$B$35:$G$35,0)),0)</f>
        <v>1023</v>
      </c>
      <c r="N51" s="33">
        <f t="shared" si="7"/>
        <v>1023</v>
      </c>
      <c r="O51" s="33">
        <v>783</v>
      </c>
      <c r="P51" s="33">
        <f>ROUND(坦克等级成长!$F148*VLOOKUP($B$2,坦克等级成长!$B$36:$G$42,MATCH(P$3,坦克等级成长!$B$35:$G$35,0)),0)</f>
        <v>1023</v>
      </c>
      <c r="Q51" s="33">
        <f>ROUND(坦克等级成长!$F148*VLOOKUP($B$2,坦克等级成长!$B$36:$G$42,MATCH(Q$3,坦克等级成长!$B$35:$G$35,0)),0)</f>
        <v>273</v>
      </c>
      <c r="R51" s="192">
        <v>16</v>
      </c>
      <c r="S51" s="33">
        <f>ROUND(坦克等级成长!$H148*VLOOKUP($B$2,坦克等级成长!$B$36:$G$42,MATCH(S$3,坦克等级成长!$B$35:$G$35,0)),0)</f>
        <v>2792</v>
      </c>
      <c r="T51" s="33">
        <f>ROUND(坦克等级成长!$H148*VLOOKUP($B$2,坦克等级成长!$B$36:$G$42,MATCH(T$3,坦克等级成长!$B$35:$G$35,0)),0)</f>
        <v>278</v>
      </c>
      <c r="U51" s="33">
        <f>ROUND(坦克等级成长!$H148*VLOOKUP($B$2,坦克等级成长!$B$36:$G$42,MATCH(U$3,坦克等级成长!$B$35:$G$35,0)),0)</f>
        <v>1047</v>
      </c>
      <c r="V51" s="33">
        <f t="shared" si="21"/>
        <v>1047</v>
      </c>
      <c r="W51" s="33">
        <v>783</v>
      </c>
      <c r="X51" s="33">
        <f>ROUND(坦克等级成长!$H148*VLOOKUP($B$2,坦克等级成长!$B$36:$G$42,MATCH(X$3,坦克等级成长!$B$35:$G$35,0)),0)</f>
        <v>1047</v>
      </c>
      <c r="Y51" s="33">
        <f>ROUND(坦克等级成长!$H148*VLOOKUP($B$2,坦克等级成长!$B$36:$G$42,MATCH(Y$3,坦克等级成长!$B$35:$G$35,0)),0)</f>
        <v>279</v>
      </c>
      <c r="Z51" s="193"/>
      <c r="AA51" s="189"/>
      <c r="AB51" s="189"/>
      <c r="AC51" s="189"/>
      <c r="AD51" s="189"/>
      <c r="AE51" s="189"/>
      <c r="AF51" s="189"/>
      <c r="AG51" s="200"/>
      <c r="AH51" s="199">
        <v>16</v>
      </c>
      <c r="AI51" s="33">
        <f>ROUND(坦克等级成长!$F148*VLOOKUP($Z$2,坦克等级成长!$B$36:$G$42,MATCH(AI$3,坦克等级成长!$B$35:$G$35,0)),0)</f>
        <v>2728</v>
      </c>
      <c r="AJ51" s="33">
        <f>ROUND(坦克等级成长!$F148*VLOOKUP($Z$2,坦克等级成长!$B$36:$G$42,MATCH(AJ$3,坦克等级成长!$B$35:$G$35,0)),0)</f>
        <v>145</v>
      </c>
      <c r="AK51" s="33">
        <f>ROUND(坦克等级成长!$F148*VLOOKUP($Z$2,坦克等级成长!$B$36:$G$42,MATCH(AK$3,坦克等级成长!$B$35:$G$35,0)),0)</f>
        <v>1120</v>
      </c>
      <c r="AL51" s="33">
        <f t="shared" si="8"/>
        <v>1120</v>
      </c>
      <c r="AM51" s="33">
        <v>858</v>
      </c>
      <c r="AN51" s="33">
        <f>ROUND(坦克等级成长!$F148*VLOOKUP($Z$2,坦克等级成长!$B$36:$G$42,MATCH(AN$3,坦克等级成长!$B$35:$G$35,0)),0)</f>
        <v>1023</v>
      </c>
      <c r="AO51" s="33">
        <f>ROUND(坦克等级成长!$F148*VLOOKUP($Z$2,坦克等级成长!$B$36:$G$42,MATCH(AO$3,坦克等级成长!$B$35:$G$35,0)),0)</f>
        <v>273</v>
      </c>
      <c r="AP51" s="192">
        <v>16</v>
      </c>
      <c r="AQ51" s="33">
        <f>ROUND(坦克等级成长!$H148*VLOOKUP($Z$2,坦克等级成长!$B$36:$G$42,MATCH(AQ$3,坦克等级成长!$B$35:$G$35,0)),0)</f>
        <v>2792</v>
      </c>
      <c r="AR51" s="33">
        <f>ROUND(坦克等级成长!$H148*VLOOKUP($Z$2,坦克等级成长!$B$36:$G$42,MATCH(AR$3,坦克等级成长!$B$35:$G$35,0)),0)</f>
        <v>148</v>
      </c>
      <c r="AS51" s="33">
        <f>ROUND(坦克等级成长!$H148*VLOOKUP($Z$2,坦克等级成长!$B$36:$G$42,MATCH(AS$3,坦克等级成长!$B$35:$G$35,0)),0)</f>
        <v>1147</v>
      </c>
      <c r="AT51" s="33">
        <f t="shared" si="22"/>
        <v>1147</v>
      </c>
      <c r="AU51" s="33">
        <v>858</v>
      </c>
      <c r="AV51" s="33">
        <f>ROUND(坦克等级成长!$H148*VLOOKUP($Z$2,坦克等级成长!$B$36:$G$42,MATCH(AV$3,坦克等级成长!$B$35:$G$35,0)),0)</f>
        <v>1047</v>
      </c>
      <c r="AW51" s="33">
        <f>ROUND(坦克等级成长!$H148*VLOOKUP($Z$2,坦克等级成长!$B$36:$G$42,MATCH(AW$3,坦克等级成长!$B$35:$G$35,0)),0)</f>
        <v>279</v>
      </c>
      <c r="AX51" s="193"/>
      <c r="AY51" s="189"/>
      <c r="AZ51" s="189"/>
      <c r="BA51" s="189"/>
      <c r="BB51" s="189"/>
      <c r="BC51" s="189"/>
      <c r="BD51" s="189"/>
      <c r="BE51" s="200"/>
      <c r="BF51" s="199">
        <v>16</v>
      </c>
      <c r="BG51" s="33">
        <f>ROUND(坦克等级成长!$F148*VLOOKUP($AX$2,坦克等级成长!$B$36:$G$42,MATCH(BG$3,坦克等级成长!$B$35:$G$35,0)),0)</f>
        <v>2728</v>
      </c>
      <c r="BH51" s="33">
        <f>ROUND(坦克等级成长!$F148*VLOOKUP($AX$2,坦克等级成长!$B$36:$G$42,MATCH(BH$3,坦克等级成长!$B$35:$G$35,0)),0)</f>
        <v>272</v>
      </c>
      <c r="BI51" s="33">
        <f>ROUND(坦克等级成长!$F148*VLOOKUP($AX$2,坦克等级成长!$B$36:$G$42,MATCH(BI$3,坦克等级成长!$B$35:$G$35,0)),0)</f>
        <v>1023</v>
      </c>
      <c r="BJ51" s="33">
        <f t="shared" si="9"/>
        <v>1023</v>
      </c>
      <c r="BK51" s="33">
        <v>783</v>
      </c>
      <c r="BL51" s="33">
        <f>ROUND(坦克等级成长!$F148*VLOOKUP($AX$2,坦克等级成长!$B$36:$G$42,MATCH(BL$3,坦克等级成长!$B$35:$G$35,0)),0)</f>
        <v>1023</v>
      </c>
      <c r="BM51" s="33">
        <f>ROUND(坦克等级成长!$F148*VLOOKUP($AX$2,坦克等级成长!$B$36:$G$42,MATCH(BM$3,坦克等级成长!$B$35:$G$35,0)),0)</f>
        <v>273</v>
      </c>
      <c r="BN51" s="192">
        <v>16</v>
      </c>
      <c r="BO51" s="33">
        <f>ROUND(坦克等级成长!$H148*VLOOKUP($AX$2,坦克等级成长!$B$36:$G$42,MATCH(BO$3,坦克等级成长!$B$35:$G$35,0)),0)</f>
        <v>2792</v>
      </c>
      <c r="BP51" s="33">
        <f>ROUND(坦克等级成长!$H148*VLOOKUP($AX$2,坦克等级成长!$B$36:$G$42,MATCH(BP$3,坦克等级成长!$B$35:$G$35,0)),0)</f>
        <v>278</v>
      </c>
      <c r="BQ51" s="33">
        <f>ROUND(坦克等级成长!$H148*VLOOKUP($AX$2,坦克等级成长!$B$36:$G$42,MATCH(BQ$3,坦克等级成长!$B$35:$G$35,0)),0)</f>
        <v>1047</v>
      </c>
      <c r="BR51" s="33">
        <f t="shared" si="23"/>
        <v>1047</v>
      </c>
      <c r="BS51" s="33">
        <v>783</v>
      </c>
      <c r="BT51" s="33">
        <f>ROUND(坦克等级成长!$H148*VLOOKUP($AX$2,坦克等级成长!$B$36:$G$42,MATCH(BT$3,坦克等级成长!$B$35:$G$35,0)),0)</f>
        <v>1047</v>
      </c>
      <c r="BU51" s="33">
        <f>ROUND(坦克等级成长!$H148*VLOOKUP($AX$2,坦克等级成长!$B$36:$G$42,MATCH(BU$3,坦克等级成长!$B$35:$G$35,0)),0)</f>
        <v>279</v>
      </c>
      <c r="BV51" s="193"/>
      <c r="BW51" s="189"/>
      <c r="BX51" s="189"/>
      <c r="BY51" s="189"/>
      <c r="BZ51" s="189"/>
      <c r="CA51" s="189"/>
      <c r="CB51" s="189"/>
      <c r="CC51" s="200"/>
      <c r="CD51" s="199">
        <v>16</v>
      </c>
      <c r="CE51" s="33">
        <f>ROUND(坦克等级成长!$F148*VLOOKUP($BV$2,坦克等级成长!$B$36:$G$42,MATCH(CE$3,坦克等级成长!$B$35:$G$35,0)),0)</f>
        <v>2944</v>
      </c>
      <c r="CF51" s="33">
        <f>ROUND(坦克等级成长!$F148*VLOOKUP($BV$2,坦克等级成长!$B$36:$G$42,MATCH(CF$3,坦克等级成长!$B$35:$G$35,0)),0)</f>
        <v>253</v>
      </c>
      <c r="CG51" s="33">
        <f>ROUND(坦克等级成长!$F148*VLOOKUP($BV$2,坦克等级成长!$B$36:$G$42,MATCH(CG$3,坦克等级成长!$B$35:$G$35,0)),0)</f>
        <v>974</v>
      </c>
      <c r="CH51" s="33">
        <f t="shared" si="10"/>
        <v>974</v>
      </c>
      <c r="CI51" s="33">
        <v>800</v>
      </c>
      <c r="CJ51" s="33">
        <f>ROUND(坦克等级成长!$F148*VLOOKUP($BV$2,坦克等级成长!$B$36:$G$42,MATCH(CJ$3,坦克等级成长!$B$35:$G$35,0)),0)</f>
        <v>1228</v>
      </c>
      <c r="CK51" s="33">
        <f>ROUND(坦克等级成长!$F148*VLOOKUP($BV$2,坦克等级成长!$B$36:$G$42,MATCH(CK$3,坦克等级成长!$B$35:$G$35,0)),0)</f>
        <v>294</v>
      </c>
      <c r="CL51" s="192">
        <v>16</v>
      </c>
      <c r="CM51" s="33">
        <f>ROUND(坦克等级成长!$H148*VLOOKUP($BV$2,坦克等级成长!$B$36:$G$42,MATCH(CM$3,坦克等级成长!$B$35:$G$35,0)),0)</f>
        <v>3013</v>
      </c>
      <c r="CN51" s="33">
        <f>ROUND(坦克等级成长!$H148*VLOOKUP($BV$2,坦克等级成长!$B$36:$G$42,MATCH(CN$3,坦克等级成长!$B$35:$G$35,0)),0)</f>
        <v>259</v>
      </c>
      <c r="CO51" s="33">
        <f>ROUND(坦克等级成长!$H148*VLOOKUP($BV$2,坦克等级成长!$B$36:$G$42,MATCH(CO$3,坦克等级成长!$B$35:$G$35,0)),0)</f>
        <v>997</v>
      </c>
      <c r="CP51" s="33">
        <f t="shared" si="24"/>
        <v>997</v>
      </c>
      <c r="CQ51" s="33">
        <v>800</v>
      </c>
      <c r="CR51" s="33">
        <f>ROUND(坦克等级成长!$H148*VLOOKUP($BV$2,坦克等级成长!$B$36:$G$42,MATCH(CR$3,坦克等级成长!$B$35:$G$35,0)),0)</f>
        <v>1256</v>
      </c>
      <c r="CS51" s="33">
        <f>ROUND(坦克等级成长!$H148*VLOOKUP($BV$2,坦克等级成长!$B$36:$G$42,MATCH(CS$3,坦克等级成长!$B$35:$G$35,0)),0)</f>
        <v>301</v>
      </c>
      <c r="CT51" s="193"/>
      <c r="CU51" s="189"/>
      <c r="CV51" s="189"/>
      <c r="CW51" s="189"/>
      <c r="CX51" s="189"/>
      <c r="CY51" s="189"/>
      <c r="CZ51" s="189"/>
      <c r="DA51" s="200"/>
      <c r="DB51" s="199">
        <v>16</v>
      </c>
      <c r="DC51" s="33">
        <f>ROUND(坦克等级成长!$F148*VLOOKUP($CT$2,坦克等级成长!$B$36:$G$42,MATCH(DC$3,坦克等级成长!$B$35:$G$35,0)),0)</f>
        <v>2728</v>
      </c>
      <c r="DD51" s="33">
        <f>ROUND(坦克等级成长!$F148*VLOOKUP($CT$2,坦克等级成长!$B$36:$G$42,MATCH(DD$3,坦克等级成长!$B$35:$G$35,0)),0)</f>
        <v>549</v>
      </c>
      <c r="DE51" s="33">
        <f>ROUND(坦克等级成长!$F148*VLOOKUP($CT$2,坦克等级成长!$B$36:$G$42,MATCH(DE$3,坦克等级成长!$B$35:$G$35,0)),0)</f>
        <v>1218</v>
      </c>
      <c r="DF51" s="33">
        <f t="shared" si="11"/>
        <v>1218</v>
      </c>
      <c r="DG51" s="33">
        <v>999</v>
      </c>
      <c r="DH51" s="33">
        <f>ROUND(坦克等级成长!$F148*VLOOKUP($CT$2,坦克等级成长!$B$36:$G$42,MATCH(DH$3,坦克等级成长!$B$35:$G$35,0)),0)</f>
        <v>1023</v>
      </c>
      <c r="DI51" s="33">
        <f>ROUND(坦克等级成长!$F148*VLOOKUP($CT$2,坦克等级成长!$B$36:$G$42,MATCH(DI$3,坦克等级成长!$B$35:$G$35,0)),0)</f>
        <v>273</v>
      </c>
      <c r="DJ51" s="192">
        <v>16</v>
      </c>
      <c r="DK51" s="33">
        <f>ROUND(坦克等级成长!$H148*VLOOKUP($CT$2,坦克等级成长!$B$36:$G$42,MATCH(DK$3,坦克等级成长!$B$35:$G$35,0)),0)</f>
        <v>2792</v>
      </c>
      <c r="DL51" s="33">
        <f>ROUND(坦克等级成长!$H148*VLOOKUP($CT$2,坦克等级成长!$B$36:$G$42,MATCH(DL$3,坦克等级成长!$B$35:$G$35,0)),0)</f>
        <v>562</v>
      </c>
      <c r="DM51" s="33">
        <f>ROUND(坦克等级成长!$H148*VLOOKUP($CT$2,坦克等级成长!$B$36:$G$42,MATCH(DM$3,坦克等级成长!$B$35:$G$35,0)),0)</f>
        <v>1246</v>
      </c>
      <c r="DN51" s="33">
        <f t="shared" si="25"/>
        <v>1246</v>
      </c>
      <c r="DO51" s="33">
        <v>999</v>
      </c>
      <c r="DP51" s="33">
        <f>ROUND(坦克等级成长!$H148*VLOOKUP($CT$2,坦克等级成长!$B$36:$G$42,MATCH(DP$3,坦克等级成长!$B$35:$G$35,0)),0)</f>
        <v>1047</v>
      </c>
      <c r="DQ51" s="33">
        <f>ROUND(坦克等级成长!$H148*VLOOKUP($CT$2,坦克等级成长!$B$36:$G$42,MATCH(DQ$3,坦克等级成长!$B$35:$G$35,0)),0)</f>
        <v>279</v>
      </c>
      <c r="DR51" s="193"/>
      <c r="DS51" s="189"/>
      <c r="DT51" s="189"/>
      <c r="DU51" s="189"/>
      <c r="DV51" s="189"/>
      <c r="DW51" s="189"/>
      <c r="DX51" s="189"/>
      <c r="DY51" s="200"/>
      <c r="DZ51" s="199">
        <v>16</v>
      </c>
      <c r="EA51" s="33">
        <f>ROUND(坦克等级成长!$F148*VLOOKUP($DR$2,坦克等级成长!$B$36:$G$42,MATCH(EA$3,坦克等级成长!$B$35:$G$35,0)),0)</f>
        <v>3337</v>
      </c>
      <c r="EB51" s="33">
        <f>ROUND(坦克等级成长!$F148*VLOOKUP($DR$2,坦克等级成长!$B$36:$G$42,MATCH(EB$3,坦克等级成长!$B$35:$G$35,0)),0)</f>
        <v>914</v>
      </c>
      <c r="EC51" s="33">
        <f>ROUND(坦克等级成长!$F148*VLOOKUP($DR$2,坦克等级成长!$B$36:$G$42,MATCH(EC$3,坦克等级成长!$B$35:$G$35,0)),0)</f>
        <v>974</v>
      </c>
      <c r="ED51" s="33">
        <f t="shared" si="12"/>
        <v>974</v>
      </c>
      <c r="EE51" s="33">
        <v>853</v>
      </c>
      <c r="EF51" s="33">
        <f>ROUND(坦克等级成长!$F148*VLOOKUP($DR$2,坦克等级成长!$B$36:$G$42,MATCH(EF$3,坦克等级成长!$B$35:$G$35,0)),0)</f>
        <v>1432</v>
      </c>
      <c r="EG51" s="33">
        <f>ROUND(坦克等级成长!$F148*VLOOKUP($DR$2,坦克等级成长!$B$36:$G$42,MATCH(EG$3,坦克等级成长!$B$35:$G$35,0)),0)</f>
        <v>334</v>
      </c>
      <c r="EH51" s="192">
        <v>16</v>
      </c>
      <c r="EI51" s="33">
        <f>ROUND(坦克等级成长!$H148*VLOOKUP($DR$2,坦克等级成长!$B$36:$G$42,MATCH(EI$3,坦克等级成长!$B$35:$G$35,0)),0)</f>
        <v>3415</v>
      </c>
      <c r="EJ51" s="33">
        <f>ROUND(坦克等级成长!$H148*VLOOKUP($DR$2,坦克等级成长!$B$36:$G$42,MATCH(EJ$3,坦克等级成长!$B$35:$G$35,0)),0)</f>
        <v>936</v>
      </c>
      <c r="EK51" s="33">
        <f>ROUND(坦克等级成长!$H148*VLOOKUP($DR$2,坦克等级成长!$B$36:$G$42,MATCH(EK$3,坦克等级成长!$B$35:$G$35,0)),0)</f>
        <v>997</v>
      </c>
      <c r="EL51" s="33">
        <f t="shared" si="26"/>
        <v>997</v>
      </c>
      <c r="EM51" s="33">
        <v>853</v>
      </c>
      <c r="EN51" s="33">
        <f>ROUND(坦克等级成长!$H148*VLOOKUP($DR$2,坦克等级成长!$B$36:$G$42,MATCH(EN$3,坦克等级成长!$B$35:$G$35,0)),0)</f>
        <v>1466</v>
      </c>
      <c r="EO51" s="33">
        <f>ROUND(坦克等级成长!$H148*VLOOKUP($DR$2,坦克等级成长!$B$36:$G$42,MATCH(EO$3,坦克等级成长!$B$35:$G$35,0)),0)</f>
        <v>342</v>
      </c>
      <c r="EP51" s="193"/>
      <c r="EQ51" s="189"/>
      <c r="ER51" s="189"/>
      <c r="ES51" s="189"/>
      <c r="ET51" s="189"/>
      <c r="EU51" s="189"/>
      <c r="EV51" s="189"/>
      <c r="EW51" s="200"/>
      <c r="EX51" s="199">
        <v>16</v>
      </c>
      <c r="EY51" s="33">
        <f>ROUND(坦克等级成长!$F148*VLOOKUP($EP$2,坦克等级成长!$B$36:$G$42,MATCH(EY$3,坦克等级成长!$B$35:$G$35,0)),0)</f>
        <v>2944</v>
      </c>
      <c r="EZ51" s="33">
        <f>ROUND(坦克等级成长!$F148*VLOOKUP($EP$2,坦克等级成长!$B$36:$G$42,MATCH(EZ$3,坦克等级成长!$B$35:$G$35,0)),0)</f>
        <v>303</v>
      </c>
      <c r="FA51" s="33">
        <f>ROUND(坦克等级成长!$F148*VLOOKUP($EP$2,坦克等级成长!$B$36:$G$42,MATCH(FA$3,坦克等级成长!$B$35:$G$35,0)),0)</f>
        <v>1120</v>
      </c>
      <c r="FB51" s="33">
        <f t="shared" si="13"/>
        <v>1120</v>
      </c>
      <c r="FC51" s="33">
        <v>920</v>
      </c>
      <c r="FD51" s="33">
        <f>ROUND(坦克等级成长!$F148*VLOOKUP($EP$2,坦克等级成长!$B$36:$G$42,MATCH(FD$3,坦克等级成长!$B$35:$G$35,0)),0)</f>
        <v>1228</v>
      </c>
      <c r="FE51" s="33">
        <f>ROUND(坦克等级成长!$F148*VLOOKUP($EP$2,坦克等级成长!$B$36:$G$42,MATCH(FE$3,坦克等级成长!$B$35:$G$35,0)),0)</f>
        <v>294</v>
      </c>
      <c r="FF51" s="192">
        <v>16</v>
      </c>
      <c r="FG51" s="33">
        <f>ROUND(坦克等级成长!$H148*VLOOKUP($EP$2,坦克等级成长!$B$36:$G$42,MATCH(FG$3,坦克等级成长!$B$35:$G$35,0)),0)</f>
        <v>3013</v>
      </c>
      <c r="FH51" s="33">
        <f>ROUND(坦克等级成长!$H148*VLOOKUP($EP$2,坦克等级成长!$B$36:$G$42,MATCH(FH$3,坦克等级成长!$B$35:$G$35,0)),0)</f>
        <v>310</v>
      </c>
      <c r="FI51" s="33">
        <f>ROUND(坦克等级成长!$H148*VLOOKUP($EP$2,坦克等级成长!$B$36:$G$42,MATCH(FI$3,坦克等级成长!$B$35:$G$35,0)),0)</f>
        <v>1147</v>
      </c>
      <c r="FJ51" s="33">
        <f t="shared" si="27"/>
        <v>1147</v>
      </c>
      <c r="FK51" s="33">
        <v>920</v>
      </c>
      <c r="FL51" s="33">
        <f>ROUND(坦克等级成长!$H148*VLOOKUP($EP$2,坦克等级成长!$B$36:$G$42,MATCH(FL$3,坦克等级成长!$B$35:$G$35,0)),0)</f>
        <v>1256</v>
      </c>
      <c r="FM51" s="33">
        <f>ROUND(坦克等级成长!$H148*VLOOKUP($EP$2,坦克等级成长!$B$36:$G$42,MATCH(FM$3,坦克等级成长!$B$35:$G$35,0)),0)</f>
        <v>301</v>
      </c>
    </row>
    <row r="52" spans="1:169" ht="14.25" x14ac:dyDescent="0.3">
      <c r="A52" s="189">
        <v>4</v>
      </c>
      <c r="B52" s="193"/>
      <c r="C52" s="189"/>
      <c r="D52" s="189"/>
      <c r="E52" s="189"/>
      <c r="F52" s="189"/>
      <c r="G52" s="189"/>
      <c r="H52" s="189"/>
      <c r="I52" s="200"/>
      <c r="J52" s="199">
        <v>17</v>
      </c>
      <c r="K52" s="33">
        <f>ROUND(坦克等级成长!$F149*VLOOKUP($B$2,坦克等级成长!$B$36:$G$42,MATCH(K$3,坦克等级成长!$B$35:$G$35,0)),0)</f>
        <v>2816</v>
      </c>
      <c r="L52" s="33">
        <f>ROUND(坦克等级成长!$F149*VLOOKUP($B$2,坦克等级成长!$B$36:$G$42,MATCH(L$3,坦克等级成长!$B$35:$G$35,0)),0)</f>
        <v>281</v>
      </c>
      <c r="M52" s="33">
        <f>ROUND(坦克等级成长!$F149*VLOOKUP($B$2,坦克等级成长!$B$36:$G$42,MATCH(M$3,坦克等级成长!$B$35:$G$35,0)),0)</f>
        <v>1056</v>
      </c>
      <c r="N52" s="33">
        <f t="shared" si="7"/>
        <v>1056</v>
      </c>
      <c r="O52" s="33">
        <v>811</v>
      </c>
      <c r="P52" s="33">
        <f>ROUND(坦克等级成长!$F149*VLOOKUP($B$2,坦克等级成长!$B$36:$G$42,MATCH(P$3,坦克等级成长!$B$35:$G$35,0)),0)</f>
        <v>1056</v>
      </c>
      <c r="Q52" s="33">
        <f>ROUND(坦克等级成长!$F149*VLOOKUP($B$2,坦克等级成长!$B$36:$G$42,MATCH(Q$3,坦克等级成长!$B$35:$G$35,0)),0)</f>
        <v>282</v>
      </c>
      <c r="R52" s="192">
        <v>17</v>
      </c>
      <c r="S52" s="33">
        <f>ROUND(坦克等级成长!$H149*VLOOKUP($B$2,坦克等级成长!$B$36:$G$42,MATCH(S$3,坦克等级成长!$B$35:$G$35,0)),0)</f>
        <v>2888</v>
      </c>
      <c r="T52" s="33">
        <f>ROUND(坦克等级成长!$H149*VLOOKUP($B$2,坦克等级成长!$B$36:$G$42,MATCH(T$3,坦克等级成长!$B$35:$G$35,0)),0)</f>
        <v>288</v>
      </c>
      <c r="U52" s="33">
        <f>ROUND(坦克等级成长!$H149*VLOOKUP($B$2,坦克等级成长!$B$36:$G$42,MATCH(U$3,坦克等级成长!$B$35:$G$35,0)),0)</f>
        <v>1083</v>
      </c>
      <c r="V52" s="33">
        <f t="shared" si="21"/>
        <v>1083</v>
      </c>
      <c r="W52" s="33">
        <v>811</v>
      </c>
      <c r="X52" s="33">
        <f>ROUND(坦克等级成长!$H149*VLOOKUP($B$2,坦克等级成长!$B$36:$G$42,MATCH(X$3,坦克等级成长!$B$35:$G$35,0)),0)</f>
        <v>1083</v>
      </c>
      <c r="Y52" s="33">
        <f>ROUND(坦克等级成长!$H149*VLOOKUP($B$2,坦克等级成长!$B$36:$G$42,MATCH(Y$3,坦克等级成长!$B$35:$G$35,0)),0)</f>
        <v>289</v>
      </c>
      <c r="Z52" s="193"/>
      <c r="AA52" s="189"/>
      <c r="AB52" s="189"/>
      <c r="AC52" s="189"/>
      <c r="AD52" s="189"/>
      <c r="AE52" s="189"/>
      <c r="AF52" s="189"/>
      <c r="AG52" s="200"/>
      <c r="AH52" s="199">
        <v>17</v>
      </c>
      <c r="AI52" s="33">
        <f>ROUND(坦克等级成长!$F149*VLOOKUP($Z$2,坦克等级成长!$B$36:$G$42,MATCH(AI$3,坦克等级成长!$B$35:$G$35,0)),0)</f>
        <v>2816</v>
      </c>
      <c r="AJ52" s="33">
        <f>ROUND(坦克等级成长!$F149*VLOOKUP($Z$2,坦克等级成长!$B$36:$G$42,MATCH(AJ$3,坦克等级成长!$B$35:$G$35,0)),0)</f>
        <v>149</v>
      </c>
      <c r="AK52" s="33">
        <f>ROUND(坦克等级成长!$F149*VLOOKUP($Z$2,坦克等级成长!$B$36:$G$42,MATCH(AK$3,坦克等级成长!$B$35:$G$35,0)),0)</f>
        <v>1157</v>
      </c>
      <c r="AL52" s="33">
        <f t="shared" si="8"/>
        <v>1157</v>
      </c>
      <c r="AM52" s="33">
        <v>888</v>
      </c>
      <c r="AN52" s="33">
        <f>ROUND(坦克等级成长!$F149*VLOOKUP($Z$2,坦克等级成长!$B$36:$G$42,MATCH(AN$3,坦克等级成长!$B$35:$G$35,0)),0)</f>
        <v>1056</v>
      </c>
      <c r="AO52" s="33">
        <f>ROUND(坦克等级成长!$F149*VLOOKUP($Z$2,坦克等级成长!$B$36:$G$42,MATCH(AO$3,坦克等级成长!$B$35:$G$35,0)),0)</f>
        <v>282</v>
      </c>
      <c r="AP52" s="192">
        <v>17</v>
      </c>
      <c r="AQ52" s="33">
        <f>ROUND(坦克等级成长!$H149*VLOOKUP($Z$2,坦克等级成长!$B$36:$G$42,MATCH(AQ$3,坦克等级成长!$B$35:$G$35,0)),0)</f>
        <v>2888</v>
      </c>
      <c r="AR52" s="33">
        <f>ROUND(坦克等级成长!$H149*VLOOKUP($Z$2,坦克等级成长!$B$36:$G$42,MATCH(AR$3,坦克等级成长!$B$35:$G$35,0)),0)</f>
        <v>153</v>
      </c>
      <c r="AS52" s="33">
        <f>ROUND(坦克等级成长!$H149*VLOOKUP($Z$2,坦克等级成长!$B$36:$G$42,MATCH(AS$3,坦克等级成长!$B$35:$G$35,0)),0)</f>
        <v>1186</v>
      </c>
      <c r="AT52" s="33">
        <f t="shared" si="22"/>
        <v>1186</v>
      </c>
      <c r="AU52" s="33">
        <v>888</v>
      </c>
      <c r="AV52" s="33">
        <f>ROUND(坦克等级成长!$H149*VLOOKUP($Z$2,坦克等级成长!$B$36:$G$42,MATCH(AV$3,坦克等级成长!$B$35:$G$35,0)),0)</f>
        <v>1083</v>
      </c>
      <c r="AW52" s="33">
        <f>ROUND(坦克等级成长!$H149*VLOOKUP($Z$2,坦克等级成长!$B$36:$G$42,MATCH(AW$3,坦克等级成长!$B$35:$G$35,0)),0)</f>
        <v>289</v>
      </c>
      <c r="AX52" s="193"/>
      <c r="AY52" s="189"/>
      <c r="AZ52" s="189"/>
      <c r="BA52" s="189"/>
      <c r="BB52" s="189"/>
      <c r="BC52" s="189"/>
      <c r="BD52" s="189"/>
      <c r="BE52" s="200"/>
      <c r="BF52" s="199">
        <v>17</v>
      </c>
      <c r="BG52" s="33">
        <f>ROUND(坦克等级成长!$F149*VLOOKUP($AX$2,坦克等级成长!$B$36:$G$42,MATCH(BG$3,坦克等级成长!$B$35:$G$35,0)),0)</f>
        <v>2816</v>
      </c>
      <c r="BH52" s="33">
        <f>ROUND(坦克等级成长!$F149*VLOOKUP($AX$2,坦克等级成长!$B$36:$G$42,MATCH(BH$3,坦克等级成长!$B$35:$G$35,0)),0)</f>
        <v>281</v>
      </c>
      <c r="BI52" s="33">
        <f>ROUND(坦克等级成长!$F149*VLOOKUP($AX$2,坦克等级成长!$B$36:$G$42,MATCH(BI$3,坦克等级成长!$B$35:$G$35,0)),0)</f>
        <v>1056</v>
      </c>
      <c r="BJ52" s="33">
        <f t="shared" si="9"/>
        <v>1056</v>
      </c>
      <c r="BK52" s="33">
        <v>811</v>
      </c>
      <c r="BL52" s="33">
        <f>ROUND(坦克等级成长!$F149*VLOOKUP($AX$2,坦克等级成长!$B$36:$G$42,MATCH(BL$3,坦克等级成长!$B$35:$G$35,0)),0)</f>
        <v>1056</v>
      </c>
      <c r="BM52" s="33">
        <f>ROUND(坦克等级成长!$F149*VLOOKUP($AX$2,坦克等级成长!$B$36:$G$42,MATCH(BM$3,坦克等级成长!$B$35:$G$35,0)),0)</f>
        <v>282</v>
      </c>
      <c r="BN52" s="192">
        <v>17</v>
      </c>
      <c r="BO52" s="33">
        <f>ROUND(坦克等级成长!$H149*VLOOKUP($AX$2,坦克等级成长!$B$36:$G$42,MATCH(BO$3,坦克等级成长!$B$35:$G$35,0)),0)</f>
        <v>2888</v>
      </c>
      <c r="BP52" s="33">
        <f>ROUND(坦克等级成长!$H149*VLOOKUP($AX$2,坦克等级成长!$B$36:$G$42,MATCH(BP$3,坦克等级成长!$B$35:$G$35,0)),0)</f>
        <v>288</v>
      </c>
      <c r="BQ52" s="33">
        <f>ROUND(坦克等级成长!$H149*VLOOKUP($AX$2,坦克等级成长!$B$36:$G$42,MATCH(BQ$3,坦克等级成长!$B$35:$G$35,0)),0)</f>
        <v>1083</v>
      </c>
      <c r="BR52" s="33">
        <f t="shared" si="23"/>
        <v>1083</v>
      </c>
      <c r="BS52" s="33">
        <v>811</v>
      </c>
      <c r="BT52" s="33">
        <f>ROUND(坦克等级成长!$H149*VLOOKUP($AX$2,坦克等级成长!$B$36:$G$42,MATCH(BT$3,坦克等级成长!$B$35:$G$35,0)),0)</f>
        <v>1083</v>
      </c>
      <c r="BU52" s="33">
        <f>ROUND(坦克等级成长!$H149*VLOOKUP($AX$2,坦克等级成长!$B$36:$G$42,MATCH(BU$3,坦克等级成长!$B$35:$G$35,0)),0)</f>
        <v>289</v>
      </c>
      <c r="BV52" s="193"/>
      <c r="BW52" s="189"/>
      <c r="BX52" s="189"/>
      <c r="BY52" s="189"/>
      <c r="BZ52" s="189"/>
      <c r="CA52" s="189"/>
      <c r="CB52" s="189"/>
      <c r="CC52" s="200"/>
      <c r="CD52" s="199">
        <v>17</v>
      </c>
      <c r="CE52" s="33">
        <f>ROUND(坦克等级成长!$F149*VLOOKUP($BV$2,坦克等级成长!$B$36:$G$42,MATCH(CE$3,坦克等级成长!$B$35:$G$35,0)),0)</f>
        <v>3039</v>
      </c>
      <c r="CF52" s="33">
        <f>ROUND(坦克等级成长!$F149*VLOOKUP($BV$2,坦克等级成长!$B$36:$G$42,MATCH(CF$3,坦克等级成长!$B$35:$G$35,0)),0)</f>
        <v>261</v>
      </c>
      <c r="CG52" s="33">
        <f>ROUND(坦克等级成长!$F149*VLOOKUP($BV$2,坦克等级成长!$B$36:$G$42,MATCH(CG$3,坦克等级成长!$B$35:$G$35,0)),0)</f>
        <v>1006</v>
      </c>
      <c r="CH52" s="33">
        <f t="shared" si="10"/>
        <v>1006</v>
      </c>
      <c r="CI52" s="33">
        <v>827</v>
      </c>
      <c r="CJ52" s="33">
        <f>ROUND(坦克等级成长!$F149*VLOOKUP($BV$2,坦克等级成长!$B$36:$G$42,MATCH(CJ$3,坦克等级成长!$B$35:$G$35,0)),0)</f>
        <v>1267</v>
      </c>
      <c r="CK52" s="33">
        <f>ROUND(坦克等级成长!$F149*VLOOKUP($BV$2,坦克等级成长!$B$36:$G$42,MATCH(CK$3,坦克等级成长!$B$35:$G$35,0)),0)</f>
        <v>304</v>
      </c>
      <c r="CL52" s="192">
        <v>17</v>
      </c>
      <c r="CM52" s="33">
        <f>ROUND(坦克等级成长!$H149*VLOOKUP($BV$2,坦克等级成长!$B$36:$G$42,MATCH(CM$3,坦克等级成长!$B$35:$G$35,0)),0)</f>
        <v>3117</v>
      </c>
      <c r="CN52" s="33">
        <f>ROUND(坦克等级成长!$H149*VLOOKUP($BV$2,坦克等级成长!$B$36:$G$42,MATCH(CN$3,坦克等级成长!$B$35:$G$35,0)),0)</f>
        <v>268</v>
      </c>
      <c r="CO52" s="33">
        <f>ROUND(坦克等级成长!$H149*VLOOKUP($BV$2,坦克等级成长!$B$36:$G$42,MATCH(CO$3,坦克等级成长!$B$35:$G$35,0)),0)</f>
        <v>1031</v>
      </c>
      <c r="CP52" s="33">
        <f t="shared" si="24"/>
        <v>1031</v>
      </c>
      <c r="CQ52" s="33">
        <v>827</v>
      </c>
      <c r="CR52" s="33">
        <f>ROUND(坦克等级成长!$H149*VLOOKUP($BV$2,坦克等级成长!$B$36:$G$42,MATCH(CR$3,坦克等级成长!$B$35:$G$35,0)),0)</f>
        <v>1300</v>
      </c>
      <c r="CS52" s="33">
        <f>ROUND(坦克等级成长!$H149*VLOOKUP($BV$2,坦克等级成长!$B$36:$G$42,MATCH(CS$3,坦克等级成长!$B$35:$G$35,0)),0)</f>
        <v>312</v>
      </c>
      <c r="CT52" s="193"/>
      <c r="CU52" s="189"/>
      <c r="CV52" s="189"/>
      <c r="CW52" s="189"/>
      <c r="CX52" s="189"/>
      <c r="CY52" s="189"/>
      <c r="CZ52" s="189"/>
      <c r="DA52" s="200"/>
      <c r="DB52" s="199">
        <v>17</v>
      </c>
      <c r="DC52" s="33">
        <f>ROUND(坦克等级成长!$F149*VLOOKUP($CT$2,坦克等级成长!$B$36:$G$42,MATCH(DC$3,坦克等级成长!$B$35:$G$35,0)),0)</f>
        <v>2816</v>
      </c>
      <c r="DD52" s="33">
        <f>ROUND(坦克等级成长!$F149*VLOOKUP($CT$2,坦克等级成长!$B$36:$G$42,MATCH(DD$3,坦克等级成长!$B$35:$G$35,0)),0)</f>
        <v>567</v>
      </c>
      <c r="DE52" s="33">
        <f>ROUND(坦克等级成长!$F149*VLOOKUP($CT$2,坦克等级成长!$B$36:$G$42,MATCH(DE$3,坦克等级成长!$B$35:$G$35,0)),0)</f>
        <v>1257</v>
      </c>
      <c r="DF52" s="33">
        <f t="shared" si="11"/>
        <v>1257</v>
      </c>
      <c r="DG52" s="33">
        <v>1034</v>
      </c>
      <c r="DH52" s="33">
        <f>ROUND(坦克等级成长!$F149*VLOOKUP($CT$2,坦克等级成长!$B$36:$G$42,MATCH(DH$3,坦克等级成长!$B$35:$G$35,0)),0)</f>
        <v>1056</v>
      </c>
      <c r="DI52" s="33">
        <f>ROUND(坦克等级成长!$F149*VLOOKUP($CT$2,坦克等级成长!$B$36:$G$42,MATCH(DI$3,坦克等级成长!$B$35:$G$35,0)),0)</f>
        <v>282</v>
      </c>
      <c r="DJ52" s="192">
        <v>17</v>
      </c>
      <c r="DK52" s="33">
        <f>ROUND(坦克等级成长!$H149*VLOOKUP($CT$2,坦克等级成长!$B$36:$G$42,MATCH(DK$3,坦克等级成长!$B$35:$G$35,0)),0)</f>
        <v>2888</v>
      </c>
      <c r="DL52" s="33">
        <f>ROUND(坦克等级成长!$H149*VLOOKUP($CT$2,坦克等级成长!$B$36:$G$42,MATCH(DL$3,坦克等级成长!$B$35:$G$35,0)),0)</f>
        <v>581</v>
      </c>
      <c r="DM52" s="33">
        <f>ROUND(坦克等级成长!$H149*VLOOKUP($CT$2,坦克等级成长!$B$36:$G$42,MATCH(DM$3,坦克等级成长!$B$35:$G$35,0)),0)</f>
        <v>1289</v>
      </c>
      <c r="DN52" s="33">
        <f t="shared" si="25"/>
        <v>1289</v>
      </c>
      <c r="DO52" s="33">
        <v>1034</v>
      </c>
      <c r="DP52" s="33">
        <f>ROUND(坦克等级成长!$H149*VLOOKUP($CT$2,坦克等级成长!$B$36:$G$42,MATCH(DP$3,坦克等级成长!$B$35:$G$35,0)),0)</f>
        <v>1083</v>
      </c>
      <c r="DQ52" s="33">
        <f>ROUND(坦克等级成长!$H149*VLOOKUP($CT$2,坦克等级成长!$B$36:$G$42,MATCH(DQ$3,坦克等级成长!$B$35:$G$35,0)),0)</f>
        <v>289</v>
      </c>
      <c r="DR52" s="193"/>
      <c r="DS52" s="189"/>
      <c r="DT52" s="189"/>
      <c r="DU52" s="189"/>
      <c r="DV52" s="189"/>
      <c r="DW52" s="189"/>
      <c r="DX52" s="189"/>
      <c r="DY52" s="200"/>
      <c r="DZ52" s="199">
        <v>17</v>
      </c>
      <c r="EA52" s="33">
        <f>ROUND(坦克等级成长!$F149*VLOOKUP($DR$2,坦克等级成长!$B$36:$G$42,MATCH(EA$3,坦克等级成长!$B$35:$G$35,0)),0)</f>
        <v>3445</v>
      </c>
      <c r="EB52" s="33">
        <f>ROUND(坦克等级成长!$F149*VLOOKUP($DR$2,坦克等级成长!$B$36:$G$42,MATCH(EB$3,坦克等级成长!$B$35:$G$35,0)),0)</f>
        <v>944</v>
      </c>
      <c r="EC52" s="33">
        <f>ROUND(坦克等级成长!$F149*VLOOKUP($DR$2,坦克等级成长!$B$36:$G$42,MATCH(EC$3,坦克等级成长!$B$35:$G$35,0)),0)</f>
        <v>1006</v>
      </c>
      <c r="ED52" s="33">
        <f t="shared" si="12"/>
        <v>1006</v>
      </c>
      <c r="EE52" s="33">
        <v>882</v>
      </c>
      <c r="EF52" s="33">
        <f>ROUND(坦克等级成长!$F149*VLOOKUP($DR$2,坦克等级成长!$B$36:$G$42,MATCH(EF$3,坦克等级成长!$B$35:$G$35,0)),0)</f>
        <v>1478</v>
      </c>
      <c r="EG52" s="33">
        <f>ROUND(坦克等级成长!$F149*VLOOKUP($DR$2,坦克等级成长!$B$36:$G$42,MATCH(EG$3,坦克等级成长!$B$35:$G$35,0)),0)</f>
        <v>344</v>
      </c>
      <c r="EH52" s="192">
        <v>17</v>
      </c>
      <c r="EI52" s="33">
        <f>ROUND(坦克等级成长!$H149*VLOOKUP($DR$2,坦克等级成长!$B$36:$G$42,MATCH(EI$3,坦克等级成长!$B$35:$G$35,0)),0)</f>
        <v>3533</v>
      </c>
      <c r="EJ52" s="33">
        <f>ROUND(坦克等级成长!$H149*VLOOKUP($DR$2,坦克等级成长!$B$36:$G$42,MATCH(EJ$3,坦克等级成长!$B$35:$G$35,0)),0)</f>
        <v>968</v>
      </c>
      <c r="EK52" s="33">
        <f>ROUND(坦克等级成长!$H149*VLOOKUP($DR$2,坦克等级成长!$B$36:$G$42,MATCH(EK$3,坦克等级成长!$B$35:$G$35,0)),0)</f>
        <v>1031</v>
      </c>
      <c r="EL52" s="33">
        <f t="shared" si="26"/>
        <v>1031</v>
      </c>
      <c r="EM52" s="33">
        <v>882</v>
      </c>
      <c r="EN52" s="33">
        <f>ROUND(坦克等级成长!$H149*VLOOKUP($DR$2,坦克等级成长!$B$36:$G$42,MATCH(EN$3,坦克等级成长!$B$35:$G$35,0)),0)</f>
        <v>1516</v>
      </c>
      <c r="EO52" s="33">
        <f>ROUND(坦克等级成长!$H149*VLOOKUP($DR$2,坦克等级成长!$B$36:$G$42,MATCH(EO$3,坦克等级成长!$B$35:$G$35,0)),0)</f>
        <v>353</v>
      </c>
      <c r="EP52" s="193"/>
      <c r="EQ52" s="189"/>
      <c r="ER52" s="189"/>
      <c r="ES52" s="189"/>
      <c r="ET52" s="189"/>
      <c r="EU52" s="189"/>
      <c r="EV52" s="189"/>
      <c r="EW52" s="200"/>
      <c r="EX52" s="199">
        <v>17</v>
      </c>
      <c r="EY52" s="33">
        <f>ROUND(坦克等级成长!$F149*VLOOKUP($EP$2,坦克等级成长!$B$36:$G$42,MATCH(EY$3,坦克等级成长!$B$35:$G$35,0)),0)</f>
        <v>3039</v>
      </c>
      <c r="EZ52" s="33">
        <f>ROUND(坦克等级成长!$F149*VLOOKUP($EP$2,坦克等级成长!$B$36:$G$42,MATCH(EZ$3,坦克等级成长!$B$35:$G$35,0)),0)</f>
        <v>313</v>
      </c>
      <c r="FA52" s="33">
        <f>ROUND(坦克等级成长!$F149*VLOOKUP($EP$2,坦克等级成长!$B$36:$G$42,MATCH(FA$3,坦克等级成长!$B$35:$G$35,0)),0)</f>
        <v>1157</v>
      </c>
      <c r="FB52" s="33">
        <f t="shared" si="13"/>
        <v>1157</v>
      </c>
      <c r="FC52" s="33">
        <v>951</v>
      </c>
      <c r="FD52" s="33">
        <f>ROUND(坦克等级成长!$F149*VLOOKUP($EP$2,坦克等级成长!$B$36:$G$42,MATCH(FD$3,坦克等级成长!$B$35:$G$35,0)),0)</f>
        <v>1267</v>
      </c>
      <c r="FE52" s="33">
        <f>ROUND(坦克等级成长!$F149*VLOOKUP($EP$2,坦克等级成长!$B$36:$G$42,MATCH(FE$3,坦克等级成长!$B$35:$G$35,0)),0)</f>
        <v>304</v>
      </c>
      <c r="FF52" s="192">
        <v>17</v>
      </c>
      <c r="FG52" s="33">
        <f>ROUND(坦克等级成长!$H149*VLOOKUP($EP$2,坦克等级成长!$B$36:$G$42,MATCH(FG$3,坦克等级成长!$B$35:$G$35,0)),0)</f>
        <v>3117</v>
      </c>
      <c r="FH52" s="33">
        <f>ROUND(坦克等级成长!$H149*VLOOKUP($EP$2,坦克等级成长!$B$36:$G$42,MATCH(FH$3,坦克等级成长!$B$35:$G$35,0)),0)</f>
        <v>321</v>
      </c>
      <c r="FI52" s="33">
        <f>ROUND(坦克等级成长!$H149*VLOOKUP($EP$2,坦克等级成长!$B$36:$G$42,MATCH(FI$3,坦克等级成长!$B$35:$G$35,0)),0)</f>
        <v>1186</v>
      </c>
      <c r="FJ52" s="33">
        <f t="shared" si="27"/>
        <v>1186</v>
      </c>
      <c r="FK52" s="33">
        <v>951</v>
      </c>
      <c r="FL52" s="33">
        <f>ROUND(坦克等级成长!$H149*VLOOKUP($EP$2,坦克等级成长!$B$36:$G$42,MATCH(FL$3,坦克等级成长!$B$35:$G$35,0)),0)</f>
        <v>1300</v>
      </c>
      <c r="FM52" s="33">
        <f>ROUND(坦克等级成长!$H149*VLOOKUP($EP$2,坦克等级成长!$B$36:$G$42,MATCH(FM$3,坦克等级成长!$B$35:$G$35,0)),0)</f>
        <v>312</v>
      </c>
    </row>
    <row r="53" spans="1:169" ht="14.25" x14ac:dyDescent="0.3">
      <c r="A53" s="189">
        <v>4</v>
      </c>
      <c r="B53" s="193"/>
      <c r="C53" s="189"/>
      <c r="D53" s="189"/>
      <c r="E53" s="189"/>
      <c r="F53" s="189"/>
      <c r="G53" s="189"/>
      <c r="H53" s="189"/>
      <c r="I53" s="200"/>
      <c r="J53" s="199">
        <v>18</v>
      </c>
      <c r="K53" s="33">
        <f>ROUND(坦克等级成长!$F150*VLOOKUP($B$2,坦克等级成长!$B$36:$G$42,MATCH(K$3,坦克等级成长!$B$35:$G$35,0)),0)</f>
        <v>2904</v>
      </c>
      <c r="L53" s="33">
        <f>ROUND(坦克等级成长!$F150*VLOOKUP($B$2,坦克等级成长!$B$36:$G$42,MATCH(L$3,坦克等级成长!$B$35:$G$35,0)),0)</f>
        <v>289</v>
      </c>
      <c r="M53" s="33">
        <f>ROUND(坦克等级成长!$F150*VLOOKUP($B$2,坦克等级成长!$B$36:$G$42,MATCH(M$3,坦克等级成长!$B$35:$G$35,0)),0)</f>
        <v>1089</v>
      </c>
      <c r="N53" s="33">
        <f t="shared" si="7"/>
        <v>1089</v>
      </c>
      <c r="O53" s="33">
        <v>838</v>
      </c>
      <c r="P53" s="33">
        <f>ROUND(坦克等级成长!$F150*VLOOKUP($B$2,坦克等级成长!$B$36:$G$42,MATCH(P$3,坦克等级成长!$B$35:$G$35,0)),0)</f>
        <v>1089</v>
      </c>
      <c r="Q53" s="33">
        <f>ROUND(坦克等级成长!$F150*VLOOKUP($B$2,坦克等级成长!$B$36:$G$42,MATCH(Q$3,坦克等级成长!$B$35:$G$35,0)),0)</f>
        <v>290</v>
      </c>
      <c r="R53" s="192">
        <v>18</v>
      </c>
      <c r="S53" s="33">
        <f>ROUND(坦克等级成长!$H150*VLOOKUP($B$2,坦克等级成长!$B$36:$G$42,MATCH(S$3,坦克等级成长!$B$35:$G$35,0)),0)</f>
        <v>2984</v>
      </c>
      <c r="T53" s="33">
        <f>ROUND(坦克等级成长!$H150*VLOOKUP($B$2,坦克等级成长!$B$36:$G$42,MATCH(T$3,坦克等级成长!$B$35:$G$35,0)),0)</f>
        <v>297</v>
      </c>
      <c r="U53" s="33">
        <f>ROUND(坦克等级成长!$H150*VLOOKUP($B$2,坦克等级成长!$B$36:$G$42,MATCH(U$3,坦克等级成长!$B$35:$G$35,0)),0)</f>
        <v>1119</v>
      </c>
      <c r="V53" s="33">
        <f t="shared" si="21"/>
        <v>1119</v>
      </c>
      <c r="W53" s="33">
        <v>838</v>
      </c>
      <c r="X53" s="33">
        <f>ROUND(坦克等级成长!$H150*VLOOKUP($B$2,坦克等级成长!$B$36:$G$42,MATCH(X$3,坦克等级成长!$B$35:$G$35,0)),0)</f>
        <v>1119</v>
      </c>
      <c r="Y53" s="33">
        <f>ROUND(坦克等级成长!$H150*VLOOKUP($B$2,坦克等级成长!$B$36:$G$42,MATCH(Y$3,坦克等级成长!$B$35:$G$35,0)),0)</f>
        <v>298</v>
      </c>
      <c r="Z53" s="193"/>
      <c r="AA53" s="189"/>
      <c r="AB53" s="189"/>
      <c r="AC53" s="189"/>
      <c r="AD53" s="189"/>
      <c r="AE53" s="189"/>
      <c r="AF53" s="189"/>
      <c r="AG53" s="200"/>
      <c r="AH53" s="199">
        <v>18</v>
      </c>
      <c r="AI53" s="33">
        <f>ROUND(坦克等级成长!$F150*VLOOKUP($Z$2,坦克等级成长!$B$36:$G$42,MATCH(AI$3,坦克等级成长!$B$35:$G$35,0)),0)</f>
        <v>2904</v>
      </c>
      <c r="AJ53" s="33">
        <f>ROUND(坦克等级成长!$F150*VLOOKUP($Z$2,坦克等级成长!$B$36:$G$42,MATCH(AJ$3,坦克等级成长!$B$35:$G$35,0)),0)</f>
        <v>154</v>
      </c>
      <c r="AK53" s="33">
        <f>ROUND(坦克等级成长!$F150*VLOOKUP($Z$2,坦克等级成长!$B$36:$G$42,MATCH(AK$3,坦克等级成长!$B$35:$G$35,0)),0)</f>
        <v>1193</v>
      </c>
      <c r="AL53" s="33">
        <f t="shared" si="8"/>
        <v>1193</v>
      </c>
      <c r="AM53" s="33">
        <v>918</v>
      </c>
      <c r="AN53" s="33">
        <f>ROUND(坦克等级成长!$F150*VLOOKUP($Z$2,坦克等级成长!$B$36:$G$42,MATCH(AN$3,坦克等级成长!$B$35:$G$35,0)),0)</f>
        <v>1089</v>
      </c>
      <c r="AO53" s="33">
        <f>ROUND(坦克等级成长!$F150*VLOOKUP($Z$2,坦克等级成长!$B$36:$G$42,MATCH(AO$3,坦克等级成长!$B$35:$G$35,0)),0)</f>
        <v>290</v>
      </c>
      <c r="AP53" s="192">
        <v>18</v>
      </c>
      <c r="AQ53" s="33">
        <f>ROUND(坦克等级成长!$H150*VLOOKUP($Z$2,坦克等级成长!$B$36:$G$42,MATCH(AQ$3,坦克等级成长!$B$35:$G$35,0)),0)</f>
        <v>2984</v>
      </c>
      <c r="AR53" s="33">
        <f>ROUND(坦克等级成长!$H150*VLOOKUP($Z$2,坦克等级成长!$B$36:$G$42,MATCH(AR$3,坦克等级成长!$B$35:$G$35,0)),0)</f>
        <v>158</v>
      </c>
      <c r="AS53" s="33">
        <f>ROUND(坦克等级成长!$H150*VLOOKUP($Z$2,坦克等级成长!$B$36:$G$42,MATCH(AS$3,坦克等级成长!$B$35:$G$35,0)),0)</f>
        <v>1226</v>
      </c>
      <c r="AT53" s="33">
        <f t="shared" si="22"/>
        <v>1226</v>
      </c>
      <c r="AU53" s="33">
        <v>918</v>
      </c>
      <c r="AV53" s="33">
        <f>ROUND(坦克等级成长!$H150*VLOOKUP($Z$2,坦克等级成长!$B$36:$G$42,MATCH(AV$3,坦克等级成长!$B$35:$G$35,0)),0)</f>
        <v>1119</v>
      </c>
      <c r="AW53" s="33">
        <f>ROUND(坦克等级成长!$H150*VLOOKUP($Z$2,坦克等级成长!$B$36:$G$42,MATCH(AW$3,坦克等级成长!$B$35:$G$35,0)),0)</f>
        <v>298</v>
      </c>
      <c r="AX53" s="193"/>
      <c r="AY53" s="189"/>
      <c r="AZ53" s="189"/>
      <c r="BA53" s="189"/>
      <c r="BB53" s="189"/>
      <c r="BC53" s="189"/>
      <c r="BD53" s="189"/>
      <c r="BE53" s="200"/>
      <c r="BF53" s="199">
        <v>18</v>
      </c>
      <c r="BG53" s="33">
        <f>ROUND(坦克等级成长!$F150*VLOOKUP($AX$2,坦克等级成长!$B$36:$G$42,MATCH(BG$3,坦克等级成长!$B$35:$G$35,0)),0)</f>
        <v>2904</v>
      </c>
      <c r="BH53" s="33">
        <f>ROUND(坦克等级成长!$F150*VLOOKUP($AX$2,坦克等级成长!$B$36:$G$42,MATCH(BH$3,坦克等级成长!$B$35:$G$35,0)),0)</f>
        <v>289</v>
      </c>
      <c r="BI53" s="33">
        <f>ROUND(坦克等级成长!$F150*VLOOKUP($AX$2,坦克等级成长!$B$36:$G$42,MATCH(BI$3,坦克等级成长!$B$35:$G$35,0)),0)</f>
        <v>1089</v>
      </c>
      <c r="BJ53" s="33">
        <f t="shared" si="9"/>
        <v>1089</v>
      </c>
      <c r="BK53" s="33">
        <v>838</v>
      </c>
      <c r="BL53" s="33">
        <f>ROUND(坦克等级成长!$F150*VLOOKUP($AX$2,坦克等级成长!$B$36:$G$42,MATCH(BL$3,坦克等级成长!$B$35:$G$35,0)),0)</f>
        <v>1089</v>
      </c>
      <c r="BM53" s="33">
        <f>ROUND(坦克等级成长!$F150*VLOOKUP($AX$2,坦克等级成长!$B$36:$G$42,MATCH(BM$3,坦克等级成长!$B$35:$G$35,0)),0)</f>
        <v>290</v>
      </c>
      <c r="BN53" s="192">
        <v>18</v>
      </c>
      <c r="BO53" s="33">
        <f>ROUND(坦克等级成长!$H150*VLOOKUP($AX$2,坦克等级成长!$B$36:$G$42,MATCH(BO$3,坦克等级成长!$B$35:$G$35,0)),0)</f>
        <v>2984</v>
      </c>
      <c r="BP53" s="33">
        <f>ROUND(坦克等级成长!$H150*VLOOKUP($AX$2,坦克等级成长!$B$36:$G$42,MATCH(BP$3,坦克等级成长!$B$35:$G$35,0)),0)</f>
        <v>297</v>
      </c>
      <c r="BQ53" s="33">
        <f>ROUND(坦克等级成长!$H150*VLOOKUP($AX$2,坦克等级成长!$B$36:$G$42,MATCH(BQ$3,坦克等级成长!$B$35:$G$35,0)),0)</f>
        <v>1119</v>
      </c>
      <c r="BR53" s="33">
        <f t="shared" si="23"/>
        <v>1119</v>
      </c>
      <c r="BS53" s="33">
        <v>838</v>
      </c>
      <c r="BT53" s="33">
        <f>ROUND(坦克等级成长!$H150*VLOOKUP($AX$2,坦克等级成长!$B$36:$G$42,MATCH(BT$3,坦克等级成长!$B$35:$G$35,0)),0)</f>
        <v>1119</v>
      </c>
      <c r="BU53" s="33">
        <f>ROUND(坦克等级成长!$H150*VLOOKUP($AX$2,坦克等级成长!$B$36:$G$42,MATCH(BU$3,坦克等级成长!$B$35:$G$35,0)),0)</f>
        <v>298</v>
      </c>
      <c r="BV53" s="193"/>
      <c r="BW53" s="189"/>
      <c r="BX53" s="189"/>
      <c r="BY53" s="189"/>
      <c r="BZ53" s="189"/>
      <c r="CA53" s="189"/>
      <c r="CB53" s="189"/>
      <c r="CC53" s="200"/>
      <c r="CD53" s="199">
        <v>18</v>
      </c>
      <c r="CE53" s="33">
        <f>ROUND(坦克等级成长!$F150*VLOOKUP($BV$2,坦克等级成长!$B$36:$G$42,MATCH(CE$3,坦克等级成长!$B$35:$G$35,0)),0)</f>
        <v>3134</v>
      </c>
      <c r="CF53" s="33">
        <f>ROUND(坦克等级成长!$F150*VLOOKUP($BV$2,坦克等级成长!$B$36:$G$42,MATCH(CF$3,坦克等级成长!$B$35:$G$35,0)),0)</f>
        <v>269</v>
      </c>
      <c r="CG53" s="33">
        <f>ROUND(坦克等级成长!$F150*VLOOKUP($BV$2,坦克等级成长!$B$36:$G$42,MATCH(CG$3,坦克等级成长!$B$35:$G$35,0)),0)</f>
        <v>1037</v>
      </c>
      <c r="CH53" s="33">
        <f t="shared" si="10"/>
        <v>1037</v>
      </c>
      <c r="CI53" s="33">
        <v>855</v>
      </c>
      <c r="CJ53" s="33">
        <f>ROUND(坦克等级成长!$F150*VLOOKUP($BV$2,坦克等级成长!$B$36:$G$42,MATCH(CJ$3,坦克等级成长!$B$35:$G$35,0)),0)</f>
        <v>1307</v>
      </c>
      <c r="CK53" s="33">
        <f>ROUND(坦克等级成长!$F150*VLOOKUP($BV$2,坦克等级成长!$B$36:$G$42,MATCH(CK$3,坦克等级成长!$B$35:$G$35,0)),0)</f>
        <v>313</v>
      </c>
      <c r="CL53" s="192">
        <v>18</v>
      </c>
      <c r="CM53" s="33">
        <f>ROUND(坦克等级成长!$H150*VLOOKUP($BV$2,坦克等级成长!$B$36:$G$42,MATCH(CM$3,坦克等级成长!$B$35:$G$35,0)),0)</f>
        <v>3221</v>
      </c>
      <c r="CN53" s="33">
        <f>ROUND(坦克等级成长!$H150*VLOOKUP($BV$2,坦克等级成长!$B$36:$G$42,MATCH(CN$3,坦克等级成长!$B$35:$G$35,0)),0)</f>
        <v>277</v>
      </c>
      <c r="CO53" s="33">
        <f>ROUND(坦克等级成长!$H150*VLOOKUP($BV$2,坦克等级成长!$B$36:$G$42,MATCH(CO$3,坦克等级成长!$B$35:$G$35,0)),0)</f>
        <v>1066</v>
      </c>
      <c r="CP53" s="33">
        <f t="shared" si="24"/>
        <v>1066</v>
      </c>
      <c r="CQ53" s="33">
        <v>855</v>
      </c>
      <c r="CR53" s="33">
        <f>ROUND(坦克等级成长!$H150*VLOOKUP($BV$2,坦克等级成长!$B$36:$G$42,MATCH(CR$3,坦克等级成长!$B$35:$G$35,0)),0)</f>
        <v>1343</v>
      </c>
      <c r="CS53" s="33">
        <f>ROUND(坦克等级成长!$H150*VLOOKUP($BV$2,坦克等级成长!$B$36:$G$42,MATCH(CS$3,坦克等级成长!$B$35:$G$35,0)),0)</f>
        <v>322</v>
      </c>
      <c r="CT53" s="193"/>
      <c r="CU53" s="189"/>
      <c r="CV53" s="189"/>
      <c r="CW53" s="189"/>
      <c r="CX53" s="189"/>
      <c r="CY53" s="189"/>
      <c r="CZ53" s="189"/>
      <c r="DA53" s="200"/>
      <c r="DB53" s="199">
        <v>18</v>
      </c>
      <c r="DC53" s="33">
        <f>ROUND(坦克等级成长!$F150*VLOOKUP($CT$2,坦克等级成长!$B$36:$G$42,MATCH(DC$3,坦克等级成长!$B$35:$G$35,0)),0)</f>
        <v>2904</v>
      </c>
      <c r="DD53" s="33">
        <f>ROUND(坦克等级成长!$F150*VLOOKUP($CT$2,坦克等级成长!$B$36:$G$42,MATCH(DD$3,坦克等级成长!$B$35:$G$35,0)),0)</f>
        <v>585</v>
      </c>
      <c r="DE53" s="33">
        <f>ROUND(坦克等级成长!$F150*VLOOKUP($CT$2,坦克等级成长!$B$36:$G$42,MATCH(DE$3,坦克等级成长!$B$35:$G$35,0)),0)</f>
        <v>1296</v>
      </c>
      <c r="DF53" s="33">
        <f t="shared" si="11"/>
        <v>1296</v>
      </c>
      <c r="DG53" s="33">
        <v>1069</v>
      </c>
      <c r="DH53" s="33">
        <f>ROUND(坦克等级成长!$F150*VLOOKUP($CT$2,坦克等级成长!$B$36:$G$42,MATCH(DH$3,坦克等级成长!$B$35:$G$35,0)),0)</f>
        <v>1089</v>
      </c>
      <c r="DI53" s="33">
        <f>ROUND(坦克等级成长!$F150*VLOOKUP($CT$2,坦克等级成长!$B$36:$G$42,MATCH(DI$3,坦克等级成长!$B$35:$G$35,0)),0)</f>
        <v>290</v>
      </c>
      <c r="DJ53" s="192">
        <v>18</v>
      </c>
      <c r="DK53" s="33">
        <f>ROUND(坦克等级成长!$H150*VLOOKUP($CT$2,坦克等级成长!$B$36:$G$42,MATCH(DK$3,坦克等级成长!$B$35:$G$35,0)),0)</f>
        <v>2984</v>
      </c>
      <c r="DL53" s="33">
        <f>ROUND(坦克等级成长!$H150*VLOOKUP($CT$2,坦克等级成长!$B$36:$G$42,MATCH(DL$3,坦克等级成长!$B$35:$G$35,0)),0)</f>
        <v>601</v>
      </c>
      <c r="DM53" s="33">
        <f>ROUND(坦克等级成长!$H150*VLOOKUP($CT$2,坦克等级成长!$B$36:$G$42,MATCH(DM$3,坦克等级成长!$B$35:$G$35,0)),0)</f>
        <v>1332</v>
      </c>
      <c r="DN53" s="33">
        <f t="shared" si="25"/>
        <v>1332</v>
      </c>
      <c r="DO53" s="33">
        <v>1069</v>
      </c>
      <c r="DP53" s="33">
        <f>ROUND(坦克等级成长!$H150*VLOOKUP($CT$2,坦克等级成长!$B$36:$G$42,MATCH(DP$3,坦克等级成长!$B$35:$G$35,0)),0)</f>
        <v>1119</v>
      </c>
      <c r="DQ53" s="33">
        <f>ROUND(坦克等级成长!$H150*VLOOKUP($CT$2,坦克等级成长!$B$36:$G$42,MATCH(DQ$3,坦克等级成长!$B$35:$G$35,0)),0)</f>
        <v>298</v>
      </c>
      <c r="DR53" s="193"/>
      <c r="DS53" s="189"/>
      <c r="DT53" s="189"/>
      <c r="DU53" s="189"/>
      <c r="DV53" s="189"/>
      <c r="DW53" s="189"/>
      <c r="DX53" s="189"/>
      <c r="DY53" s="200"/>
      <c r="DZ53" s="199">
        <v>18</v>
      </c>
      <c r="EA53" s="33">
        <f>ROUND(坦克等级成长!$F150*VLOOKUP($DR$2,坦克等级成长!$B$36:$G$42,MATCH(EA$3,坦克等级成长!$B$35:$G$35,0)),0)</f>
        <v>3552</v>
      </c>
      <c r="EB53" s="33">
        <f>ROUND(坦克等级成长!$F150*VLOOKUP($DR$2,坦克等级成长!$B$36:$G$42,MATCH(EB$3,坦克等级成长!$B$35:$G$35,0)),0)</f>
        <v>973</v>
      </c>
      <c r="EC53" s="33">
        <f>ROUND(坦克等级成长!$F150*VLOOKUP($DR$2,坦克等级成长!$B$36:$G$42,MATCH(EC$3,坦克等级成长!$B$35:$G$35,0)),0)</f>
        <v>1037</v>
      </c>
      <c r="ED53" s="33">
        <f t="shared" si="12"/>
        <v>1037</v>
      </c>
      <c r="EE53" s="33">
        <v>912</v>
      </c>
      <c r="EF53" s="33">
        <f>ROUND(坦克等级成长!$F150*VLOOKUP($DR$2,坦克等级成长!$B$36:$G$42,MATCH(EF$3,坦克等级成长!$B$35:$G$35,0)),0)</f>
        <v>1525</v>
      </c>
      <c r="EG53" s="33">
        <f>ROUND(坦克等级成长!$F150*VLOOKUP($DR$2,坦克等级成长!$B$36:$G$42,MATCH(EG$3,坦克等级成长!$B$35:$G$35,0)),0)</f>
        <v>355</v>
      </c>
      <c r="EH53" s="192">
        <v>18</v>
      </c>
      <c r="EI53" s="33">
        <f>ROUND(坦克等级成长!$H150*VLOOKUP($DR$2,坦克等级成长!$B$36:$G$42,MATCH(EI$3,坦克等级成长!$B$35:$G$35,0)),0)</f>
        <v>3650</v>
      </c>
      <c r="EJ53" s="33">
        <f>ROUND(坦克等级成长!$H150*VLOOKUP($DR$2,坦克等级成长!$B$36:$G$42,MATCH(EJ$3,坦克等级成长!$B$35:$G$35,0)),0)</f>
        <v>1000</v>
      </c>
      <c r="EK53" s="33">
        <f>ROUND(坦克等级成长!$H150*VLOOKUP($DR$2,坦克等级成长!$B$36:$G$42,MATCH(EK$3,坦克等级成长!$B$35:$G$35,0)),0)</f>
        <v>1066</v>
      </c>
      <c r="EL53" s="33">
        <f t="shared" si="26"/>
        <v>1066</v>
      </c>
      <c r="EM53" s="33">
        <v>912</v>
      </c>
      <c r="EN53" s="33">
        <f>ROUND(坦克等级成长!$H150*VLOOKUP($DR$2,坦克等级成长!$B$36:$G$42,MATCH(EN$3,坦克等级成长!$B$35:$G$35,0)),0)</f>
        <v>1567</v>
      </c>
      <c r="EO53" s="33">
        <f>ROUND(坦克等级成长!$H150*VLOOKUP($DR$2,坦克等级成长!$B$36:$G$42,MATCH(EO$3,坦克等级成长!$B$35:$G$35,0)),0)</f>
        <v>365</v>
      </c>
      <c r="EP53" s="193"/>
      <c r="EQ53" s="189"/>
      <c r="ER53" s="189"/>
      <c r="ES53" s="189"/>
      <c r="ET53" s="189"/>
      <c r="EU53" s="189"/>
      <c r="EV53" s="189"/>
      <c r="EW53" s="200"/>
      <c r="EX53" s="199">
        <v>18</v>
      </c>
      <c r="EY53" s="33">
        <f>ROUND(坦克等级成长!$F150*VLOOKUP($EP$2,坦克等级成长!$B$36:$G$42,MATCH(EY$3,坦克等级成长!$B$35:$G$35,0)),0)</f>
        <v>3134</v>
      </c>
      <c r="EZ53" s="33">
        <f>ROUND(坦克等级成长!$F150*VLOOKUP($EP$2,坦克等级成长!$B$36:$G$42,MATCH(EZ$3,坦克等级成长!$B$35:$G$35,0)),0)</f>
        <v>323</v>
      </c>
      <c r="FA53" s="33">
        <f>ROUND(坦克等级成长!$F150*VLOOKUP($EP$2,坦克等级成长!$B$36:$G$42,MATCH(FA$3,坦克等级成长!$B$35:$G$35,0)),0)</f>
        <v>1193</v>
      </c>
      <c r="FB53" s="33">
        <f t="shared" si="13"/>
        <v>1193</v>
      </c>
      <c r="FC53" s="33">
        <v>983</v>
      </c>
      <c r="FD53" s="33">
        <f>ROUND(坦克等级成长!$F150*VLOOKUP($EP$2,坦克等级成长!$B$36:$G$42,MATCH(FD$3,坦克等级成长!$B$35:$G$35,0)),0)</f>
        <v>1307</v>
      </c>
      <c r="FE53" s="33">
        <f>ROUND(坦克等级成长!$F150*VLOOKUP($EP$2,坦克等级成长!$B$36:$G$42,MATCH(FE$3,坦克等级成长!$B$35:$G$35,0)),0)</f>
        <v>313</v>
      </c>
      <c r="FF53" s="192">
        <v>18</v>
      </c>
      <c r="FG53" s="33">
        <f>ROUND(坦克等级成长!$H150*VLOOKUP($EP$2,坦克等级成长!$B$36:$G$42,MATCH(FG$3,坦克等级成长!$B$35:$G$35,0)),0)</f>
        <v>3221</v>
      </c>
      <c r="FH53" s="33">
        <f>ROUND(坦克等级成长!$H150*VLOOKUP($EP$2,坦克等级成长!$B$36:$G$42,MATCH(FH$3,坦克等级成长!$B$35:$G$35,0)),0)</f>
        <v>332</v>
      </c>
      <c r="FI53" s="33">
        <f>ROUND(坦克等级成长!$H150*VLOOKUP($EP$2,坦克等级成长!$B$36:$G$42,MATCH(FI$3,坦克等级成长!$B$35:$G$35,0)),0)</f>
        <v>1226</v>
      </c>
      <c r="FJ53" s="33">
        <f t="shared" si="27"/>
        <v>1226</v>
      </c>
      <c r="FK53" s="33">
        <v>983</v>
      </c>
      <c r="FL53" s="33">
        <f>ROUND(坦克等级成长!$H150*VLOOKUP($EP$2,坦克等级成长!$B$36:$G$42,MATCH(FL$3,坦克等级成长!$B$35:$G$35,0)),0)</f>
        <v>1343</v>
      </c>
      <c r="FM53" s="33">
        <f>ROUND(坦克等级成长!$H150*VLOOKUP($EP$2,坦克等级成长!$B$36:$G$42,MATCH(FM$3,坦克等级成长!$B$35:$G$35,0)),0)</f>
        <v>322</v>
      </c>
    </row>
    <row r="54" spans="1:169" ht="14.25" x14ac:dyDescent="0.3">
      <c r="A54" s="189">
        <v>5</v>
      </c>
      <c r="B54" s="192">
        <v>1</v>
      </c>
      <c r="C54" s="33">
        <f>ROUND(坦克等级成长!$D151*VLOOKUP($B$2,坦克等级成长!$B$36:$G$42,MATCH(C$3,坦克等级成长!$B$35:$G$35,0)),0)</f>
        <v>1904</v>
      </c>
      <c r="D54" s="33">
        <f>ROUND(坦克等级成长!$D151*VLOOKUP($B$2,坦克等级成长!$B$36:$G$42,MATCH(D$3,坦克等级成长!$B$35:$G$35,0)),0)</f>
        <v>190</v>
      </c>
      <c r="E54" s="33">
        <f>ROUND(坦克等级成长!$D151*VLOOKUP($B$2,坦克等级成长!$B$36:$G$42,MATCH(E$3,坦克等级成长!$B$35:$G$35,0)),0)</f>
        <v>714</v>
      </c>
      <c r="F54" s="33">
        <f t="shared" ref="F54:F66" si="35">E54</f>
        <v>714</v>
      </c>
      <c r="G54" s="33">
        <v>529.20000000000005</v>
      </c>
      <c r="H54" s="33">
        <f>ROUND(坦克等级成长!$D151*VLOOKUP($B$2,坦克等级成长!$B$36:$G$42,MATCH(H$3,坦克等级成长!$B$35:$G$35,0)),0)</f>
        <v>714</v>
      </c>
      <c r="I54" s="33">
        <f>ROUND(坦克等级成长!$D151*VLOOKUP($B$2,坦克等级成长!$B$36:$G$42,MATCH(I$3,坦克等级成长!$B$35:$G$35,0)),0)</f>
        <v>190</v>
      </c>
      <c r="J54" s="199">
        <v>1</v>
      </c>
      <c r="K54" s="33">
        <f>ROUND(坦克等级成长!$F151*VLOOKUP($B$2,坦克等级成长!$B$36:$G$42,MATCH(K$3,坦克等级成长!$B$35:$G$35,0)),0)</f>
        <v>1944</v>
      </c>
      <c r="L54" s="33">
        <f>ROUND(坦克等级成长!$F151*VLOOKUP($B$2,坦克等级成长!$B$36:$G$42,MATCH(L$3,坦克等级成长!$B$35:$G$35,0)),0)</f>
        <v>194</v>
      </c>
      <c r="M54" s="33">
        <f>ROUND(坦克等级成长!$F151*VLOOKUP($B$2,坦克等级成长!$B$36:$G$42,MATCH(M$3,坦克等级成长!$B$35:$G$35,0)),0)</f>
        <v>729</v>
      </c>
      <c r="N54" s="33">
        <f t="shared" si="7"/>
        <v>729</v>
      </c>
      <c r="O54" s="33">
        <v>550</v>
      </c>
      <c r="P54" s="33">
        <f>ROUND(坦克等级成长!$F151*VLOOKUP($B$2,坦克等级成长!$B$36:$G$42,MATCH(P$3,坦克等级成长!$B$35:$G$35,0)),0)</f>
        <v>729</v>
      </c>
      <c r="Q54" s="33">
        <f>ROUND(坦克等级成长!$F151*VLOOKUP($B$2,坦克等级成长!$B$36:$G$42,MATCH(Q$3,坦克等级成长!$B$35:$G$35,0)),0)</f>
        <v>194</v>
      </c>
      <c r="R54" s="192">
        <v>1</v>
      </c>
      <c r="S54" s="33">
        <f>ROUND(坦克等级成长!$H151*VLOOKUP($B$2,坦克等级成长!$B$36:$G$42,MATCH(S$3,坦克等级成长!$B$35:$G$35,0)),0)</f>
        <v>1984</v>
      </c>
      <c r="T54" s="33">
        <f>ROUND(坦克等级成长!$H151*VLOOKUP($B$2,坦克等级成长!$B$36:$G$42,MATCH(T$3,坦克等级成长!$B$35:$G$35,0)),0)</f>
        <v>198</v>
      </c>
      <c r="U54" s="33">
        <f>ROUND(坦克等级成长!$H151*VLOOKUP($B$2,坦克等级成长!$B$36:$G$42,MATCH(U$3,坦克等级成长!$B$35:$G$35,0)),0)</f>
        <v>744</v>
      </c>
      <c r="V54" s="33">
        <f t="shared" si="21"/>
        <v>744</v>
      </c>
      <c r="W54" s="33">
        <v>550</v>
      </c>
      <c r="X54" s="33">
        <f>ROUND(坦克等级成长!$H151*VLOOKUP($B$2,坦克等级成长!$B$36:$G$42,MATCH(X$3,坦克等级成长!$B$35:$G$35,0)),0)</f>
        <v>744</v>
      </c>
      <c r="Y54" s="33">
        <f>ROUND(坦克等级成长!$H151*VLOOKUP($B$2,坦克等级成长!$B$36:$G$42,MATCH(Y$3,坦克等级成长!$B$35:$G$35,0)),0)</f>
        <v>198</v>
      </c>
      <c r="Z54" s="192">
        <v>1</v>
      </c>
      <c r="AA54" s="33">
        <f>ROUND(坦克等级成长!$D151*VLOOKUP($Z$2,坦克等级成长!$B$36:$G$42,MATCH(AA$3,坦克等级成长!$B$35:$G$35,0)),0)</f>
        <v>1904</v>
      </c>
      <c r="AB54" s="33">
        <f>ROUND(坦克等级成长!$D151*VLOOKUP($Z$2,坦克等级成长!$B$36:$G$42,MATCH(AB$3,坦克等级成长!$B$35:$G$35,0)),0)</f>
        <v>101</v>
      </c>
      <c r="AC54" s="33">
        <f>ROUND(坦克等级成长!$D151*VLOOKUP($Z$2,坦克等级成长!$B$36:$G$42,MATCH(AC$3,坦克等级成长!$B$35:$G$35,0)),0)</f>
        <v>782</v>
      </c>
      <c r="AD54" s="33">
        <f t="shared" ref="AD54:AD66" si="36">AC54</f>
        <v>782</v>
      </c>
      <c r="AE54" s="33">
        <v>579.6</v>
      </c>
      <c r="AF54" s="33">
        <f>ROUND(坦克等级成长!$D151*VLOOKUP($Z$2,坦克等级成长!$B$36:$G$42,MATCH(AF$3,坦克等级成长!$B$35:$G$35,0)),0)</f>
        <v>714</v>
      </c>
      <c r="AG54" s="33">
        <f>ROUND(坦克等级成长!$D151*VLOOKUP($Z$2,坦克等级成长!$B$36:$G$42,MATCH(AG$3,坦克等级成长!$B$35:$G$35,0)),0)</f>
        <v>190</v>
      </c>
      <c r="AH54" s="199">
        <v>1</v>
      </c>
      <c r="AI54" s="33">
        <f>ROUND(坦克等级成长!$F151*VLOOKUP($Z$2,坦克等级成长!$B$36:$G$42,MATCH(AI$3,坦克等级成长!$B$35:$G$35,0)),0)</f>
        <v>1944</v>
      </c>
      <c r="AJ54" s="33">
        <f>ROUND(坦克等级成长!$F151*VLOOKUP($Z$2,坦克等级成长!$B$36:$G$42,MATCH(AJ$3,坦克等级成长!$B$35:$G$35,0)),0)</f>
        <v>103</v>
      </c>
      <c r="AK54" s="33">
        <f>ROUND(坦克等级成长!$F151*VLOOKUP($Z$2,坦克等级成长!$B$36:$G$42,MATCH(AK$3,坦克等级成长!$B$35:$G$35,0)),0)</f>
        <v>798</v>
      </c>
      <c r="AL54" s="33">
        <f t="shared" si="8"/>
        <v>798</v>
      </c>
      <c r="AM54" s="33">
        <v>603</v>
      </c>
      <c r="AN54" s="33">
        <f>ROUND(坦克等级成长!$F151*VLOOKUP($Z$2,坦克等级成长!$B$36:$G$42,MATCH(AN$3,坦克等级成长!$B$35:$G$35,0)),0)</f>
        <v>729</v>
      </c>
      <c r="AO54" s="33">
        <f>ROUND(坦克等级成长!$F151*VLOOKUP($Z$2,坦克等级成长!$B$36:$G$42,MATCH(AO$3,坦克等级成长!$B$35:$G$35,0)),0)</f>
        <v>194</v>
      </c>
      <c r="AP54" s="192">
        <v>1</v>
      </c>
      <c r="AQ54" s="33">
        <f>ROUND(坦克等级成长!$H151*VLOOKUP($Z$2,坦克等级成长!$B$36:$G$42,MATCH(AQ$3,坦克等级成长!$B$35:$G$35,0)),0)</f>
        <v>1984</v>
      </c>
      <c r="AR54" s="33">
        <f>ROUND(坦克等级成长!$H151*VLOOKUP($Z$2,坦克等级成长!$B$36:$G$42,MATCH(AR$3,坦克等级成长!$B$35:$G$35,0)),0)</f>
        <v>105</v>
      </c>
      <c r="AS54" s="33">
        <f>ROUND(坦克等级成长!$H151*VLOOKUP($Z$2,坦克等级成长!$B$36:$G$42,MATCH(AS$3,坦克等级成长!$B$35:$G$35,0)),0)</f>
        <v>815</v>
      </c>
      <c r="AT54" s="33">
        <f t="shared" si="22"/>
        <v>815</v>
      </c>
      <c r="AU54" s="33">
        <v>603</v>
      </c>
      <c r="AV54" s="33">
        <f>ROUND(坦克等级成长!$H151*VLOOKUP($Z$2,坦克等级成长!$B$36:$G$42,MATCH(AV$3,坦克等级成长!$B$35:$G$35,0)),0)</f>
        <v>744</v>
      </c>
      <c r="AW54" s="33">
        <f>ROUND(坦克等级成长!$H151*VLOOKUP($Z$2,坦克等级成长!$B$36:$G$42,MATCH(AW$3,坦克等级成长!$B$35:$G$35,0)),0)</f>
        <v>198</v>
      </c>
      <c r="AX54" s="192">
        <v>1</v>
      </c>
      <c r="AY54" s="33">
        <f>ROUND(坦克等级成长!$D151*VLOOKUP($AX$2,坦克等级成长!$B$36:$G$42,MATCH(AY$3,坦克等级成长!$B$35:$G$35,0)),0)</f>
        <v>1904</v>
      </c>
      <c r="AZ54" s="33">
        <f>ROUND(坦克等级成长!$D151*VLOOKUP($AX$2,坦克等级成长!$B$36:$G$42,MATCH(AZ$3,坦克等级成长!$B$35:$G$35,0)),0)</f>
        <v>190</v>
      </c>
      <c r="BA54" s="33">
        <f>ROUND(坦克等级成长!$D151*VLOOKUP($AX$2,坦克等级成长!$B$36:$G$42,MATCH(BA$3,坦克等级成长!$B$35:$G$35,0)),0)</f>
        <v>714</v>
      </c>
      <c r="BB54" s="33">
        <f t="shared" ref="BB54:BB66" si="37">BA54</f>
        <v>714</v>
      </c>
      <c r="BC54" s="33">
        <v>529.20000000000005</v>
      </c>
      <c r="BD54" s="33">
        <f>ROUND(坦克等级成长!$D151*VLOOKUP($AX$2,坦克等级成长!$B$36:$G$42,MATCH(BD$3,坦克等级成长!$B$35:$G$35,0)),0)</f>
        <v>714</v>
      </c>
      <c r="BE54" s="33">
        <f>ROUND(坦克等级成长!$D151*VLOOKUP($AX$2,坦克等级成长!$B$36:$G$42,MATCH(BE$3,坦克等级成长!$B$35:$G$35,0)),0)</f>
        <v>190</v>
      </c>
      <c r="BF54" s="199">
        <v>1</v>
      </c>
      <c r="BG54" s="33">
        <f>ROUND(坦克等级成长!$F151*VLOOKUP($AX$2,坦克等级成长!$B$36:$G$42,MATCH(BG$3,坦克等级成长!$B$35:$G$35,0)),0)</f>
        <v>1944</v>
      </c>
      <c r="BH54" s="33">
        <f>ROUND(坦克等级成长!$F151*VLOOKUP($AX$2,坦克等级成长!$B$36:$G$42,MATCH(BH$3,坦克等级成长!$B$35:$G$35,0)),0)</f>
        <v>194</v>
      </c>
      <c r="BI54" s="33">
        <f>ROUND(坦克等级成长!$F151*VLOOKUP($AX$2,坦克等级成长!$B$36:$G$42,MATCH(BI$3,坦克等级成长!$B$35:$G$35,0)),0)</f>
        <v>729</v>
      </c>
      <c r="BJ54" s="33">
        <f t="shared" si="9"/>
        <v>729</v>
      </c>
      <c r="BK54" s="33">
        <v>550</v>
      </c>
      <c r="BL54" s="33">
        <f>ROUND(坦克等级成长!$F151*VLOOKUP($AX$2,坦克等级成长!$B$36:$G$42,MATCH(BL$3,坦克等级成长!$B$35:$G$35,0)),0)</f>
        <v>729</v>
      </c>
      <c r="BM54" s="33">
        <f>ROUND(坦克等级成长!$F151*VLOOKUP($AX$2,坦克等级成长!$B$36:$G$42,MATCH(BM$3,坦克等级成长!$B$35:$G$35,0)),0)</f>
        <v>194</v>
      </c>
      <c r="BN54" s="192">
        <v>1</v>
      </c>
      <c r="BO54" s="33">
        <f>ROUND(坦克等级成长!$H151*VLOOKUP($AX$2,坦克等级成长!$B$36:$G$42,MATCH(BO$3,坦克等级成长!$B$35:$G$35,0)),0)</f>
        <v>1984</v>
      </c>
      <c r="BP54" s="33">
        <f>ROUND(坦克等级成长!$H151*VLOOKUP($AX$2,坦克等级成长!$B$36:$G$42,MATCH(BP$3,坦克等级成长!$B$35:$G$35,0)),0)</f>
        <v>198</v>
      </c>
      <c r="BQ54" s="33">
        <f>ROUND(坦克等级成长!$H151*VLOOKUP($AX$2,坦克等级成长!$B$36:$G$42,MATCH(BQ$3,坦克等级成长!$B$35:$G$35,0)),0)</f>
        <v>744</v>
      </c>
      <c r="BR54" s="33">
        <f t="shared" si="23"/>
        <v>744</v>
      </c>
      <c r="BS54" s="33">
        <v>550</v>
      </c>
      <c r="BT54" s="33">
        <f>ROUND(坦克等级成长!$H151*VLOOKUP($AX$2,坦克等级成长!$B$36:$G$42,MATCH(BT$3,坦克等级成长!$B$35:$G$35,0)),0)</f>
        <v>744</v>
      </c>
      <c r="BU54" s="33">
        <f>ROUND(坦克等级成长!$H151*VLOOKUP($AX$2,坦克等级成长!$B$36:$G$42,MATCH(BU$3,坦克等级成长!$B$35:$G$35,0)),0)</f>
        <v>198</v>
      </c>
      <c r="BV54" s="192">
        <v>1</v>
      </c>
      <c r="BW54" s="33">
        <f>ROUND(坦克等级成长!$D151*VLOOKUP($BV$2,坦克等级成长!$B$36:$G$42,MATCH(BW$3,坦克等级成长!$B$35:$G$35,0)),0)</f>
        <v>2055</v>
      </c>
      <c r="BX54" s="33">
        <f>ROUND(坦克等级成长!$D151*VLOOKUP($BV$2,坦克等级成长!$B$36:$G$42,MATCH(BX$3,坦克等级成长!$B$35:$G$35,0)),0)</f>
        <v>177</v>
      </c>
      <c r="BY54" s="33">
        <f>ROUND(坦克等级成长!$D151*VLOOKUP($BV$2,坦克等级成长!$B$36:$G$42,MATCH(BY$3,坦克等级成长!$B$35:$G$35,0)),0)</f>
        <v>680</v>
      </c>
      <c r="BZ54" s="33">
        <f t="shared" ref="BZ54:BZ66" si="38">BY54</f>
        <v>680</v>
      </c>
      <c r="CA54" s="33">
        <v>540</v>
      </c>
      <c r="CB54" s="33">
        <f>ROUND(坦克等级成长!$D151*VLOOKUP($BV$2,坦克等级成长!$B$36:$G$42,MATCH(CB$3,坦克等级成长!$B$35:$G$35,0)),0)</f>
        <v>857</v>
      </c>
      <c r="CC54" s="33">
        <f>ROUND(坦克等级成长!$D151*VLOOKUP($BV$2,坦克等级成长!$B$36:$G$42,MATCH(CC$3,坦克等级成长!$B$35:$G$35,0)),0)</f>
        <v>206</v>
      </c>
      <c r="CD54" s="199">
        <v>1</v>
      </c>
      <c r="CE54" s="33">
        <f>ROUND(坦克等级成长!$F151*VLOOKUP($BV$2,坦克等级成长!$B$36:$G$42,MATCH(CE$3,坦克等级成长!$B$35:$G$35,0)),0)</f>
        <v>2098</v>
      </c>
      <c r="CF54" s="33">
        <f>ROUND(坦克等级成长!$F151*VLOOKUP($BV$2,坦克等级成长!$B$36:$G$42,MATCH(CF$3,坦克等级成长!$B$35:$G$35,0)),0)</f>
        <v>180</v>
      </c>
      <c r="CG54" s="33">
        <f>ROUND(坦克等级成长!$F151*VLOOKUP($BV$2,坦克等级成长!$B$36:$G$42,MATCH(CG$3,坦克等级成长!$B$35:$G$35,0)),0)</f>
        <v>694</v>
      </c>
      <c r="CH54" s="33">
        <f t="shared" si="10"/>
        <v>694</v>
      </c>
      <c r="CI54" s="33">
        <v>562</v>
      </c>
      <c r="CJ54" s="33">
        <f>ROUND(坦克等级成长!$F151*VLOOKUP($BV$2,坦克等级成长!$B$36:$G$42,MATCH(CJ$3,坦克等级成长!$B$35:$G$35,0)),0)</f>
        <v>875</v>
      </c>
      <c r="CK54" s="33">
        <f>ROUND(坦克等级成长!$F151*VLOOKUP($BV$2,坦克等级成长!$B$36:$G$42,MATCH(CK$3,坦克等级成长!$B$35:$G$35,0)),0)</f>
        <v>210</v>
      </c>
      <c r="CL54" s="192">
        <v>1</v>
      </c>
      <c r="CM54" s="33">
        <f>ROUND(坦克等级成长!$H151*VLOOKUP($BV$2,坦克等级成长!$B$36:$G$42,MATCH(CM$3,坦克等级成长!$B$35:$G$35,0)),0)</f>
        <v>2141</v>
      </c>
      <c r="CN54" s="33">
        <f>ROUND(坦克等级成长!$H151*VLOOKUP($BV$2,坦克等级成长!$B$36:$G$42,MATCH(CN$3,坦克等级成长!$B$35:$G$35,0)),0)</f>
        <v>184</v>
      </c>
      <c r="CO54" s="33">
        <f>ROUND(坦克等级成长!$H151*VLOOKUP($BV$2,坦克等级成长!$B$36:$G$42,MATCH(CO$3,坦克等级成长!$B$35:$G$35,0)),0)</f>
        <v>709</v>
      </c>
      <c r="CP54" s="33">
        <f t="shared" si="24"/>
        <v>709</v>
      </c>
      <c r="CQ54" s="33">
        <v>562</v>
      </c>
      <c r="CR54" s="33">
        <f>ROUND(坦克等级成长!$H151*VLOOKUP($BV$2,坦克等级成长!$B$36:$G$42,MATCH(CR$3,坦克等级成长!$B$35:$G$35,0)),0)</f>
        <v>893</v>
      </c>
      <c r="CS54" s="33">
        <f>ROUND(坦克等级成长!$H151*VLOOKUP($BV$2,坦克等级成长!$B$36:$G$42,MATCH(CS$3,坦克等级成长!$B$35:$G$35,0)),0)</f>
        <v>214</v>
      </c>
      <c r="CT54" s="192">
        <v>1</v>
      </c>
      <c r="CU54" s="33">
        <f>ROUND(坦克等级成长!$D151*VLOOKUP($CT$2,坦克等级成长!$B$36:$G$42,MATCH(CU$3,坦克等级成长!$B$35:$G$35,0)),0)</f>
        <v>1904</v>
      </c>
      <c r="CV54" s="33">
        <f>ROUND(坦克等级成长!$D151*VLOOKUP($CT$2,坦克等级成长!$B$36:$G$42,MATCH(CV$3,坦克等级成长!$B$35:$G$35,0)),0)</f>
        <v>383</v>
      </c>
      <c r="CW54" s="33">
        <f>ROUND(坦克等级成长!$D151*VLOOKUP($CT$2,坦克等级成长!$B$36:$G$42,MATCH(CW$3,坦克等级成长!$B$35:$G$35,0)),0)</f>
        <v>850</v>
      </c>
      <c r="CX54" s="33">
        <f t="shared" ref="CX54:CX66" si="39">CW54</f>
        <v>850</v>
      </c>
      <c r="CY54" s="33">
        <v>675</v>
      </c>
      <c r="CZ54" s="33">
        <f>ROUND(坦克等级成长!$D151*VLOOKUP($CT$2,坦克等级成长!$B$36:$G$42,MATCH(CZ$3,坦克等级成长!$B$35:$G$35,0)),0)</f>
        <v>714</v>
      </c>
      <c r="DA54" s="33">
        <f>ROUND(坦克等级成长!$D151*VLOOKUP($CT$2,坦克等级成长!$B$36:$G$42,MATCH(DA$3,坦克等级成长!$B$35:$G$35,0)),0)</f>
        <v>190</v>
      </c>
      <c r="DB54" s="199">
        <v>1</v>
      </c>
      <c r="DC54" s="33">
        <f>ROUND(坦克等级成长!$F151*VLOOKUP($CT$2,坦克等级成长!$B$36:$G$42,MATCH(DC$3,坦克等级成长!$B$35:$G$35,0)),0)</f>
        <v>1944</v>
      </c>
      <c r="DD54" s="33">
        <f>ROUND(坦克等级成长!$F151*VLOOKUP($CT$2,坦克等级成长!$B$36:$G$42,MATCH(DD$3,坦克等级成长!$B$35:$G$35,0)),0)</f>
        <v>391</v>
      </c>
      <c r="DE54" s="33">
        <f>ROUND(坦克等级成长!$F151*VLOOKUP($CT$2,坦克等级成长!$B$36:$G$42,MATCH(DE$3,坦克等级成长!$B$35:$G$35,0)),0)</f>
        <v>868</v>
      </c>
      <c r="DF54" s="33">
        <f t="shared" si="11"/>
        <v>868</v>
      </c>
      <c r="DG54" s="33">
        <v>702</v>
      </c>
      <c r="DH54" s="33">
        <f>ROUND(坦克等级成长!$F151*VLOOKUP($CT$2,坦克等级成长!$B$36:$G$42,MATCH(DH$3,坦克等级成长!$B$35:$G$35,0)),0)</f>
        <v>729</v>
      </c>
      <c r="DI54" s="33">
        <f>ROUND(坦克等级成长!$F151*VLOOKUP($CT$2,坦克等级成长!$B$36:$G$42,MATCH(DI$3,坦克等级成长!$B$35:$G$35,0)),0)</f>
        <v>194</v>
      </c>
      <c r="DJ54" s="192">
        <v>1</v>
      </c>
      <c r="DK54" s="33">
        <f>ROUND(坦克等级成长!$H151*VLOOKUP($CT$2,坦克等级成长!$B$36:$G$42,MATCH(DK$3,坦克等级成长!$B$35:$G$35,0)),0)</f>
        <v>1984</v>
      </c>
      <c r="DL54" s="33">
        <f>ROUND(坦克等级成长!$H151*VLOOKUP($CT$2,坦克等级成长!$B$36:$G$42,MATCH(DL$3,坦克等级成长!$B$35:$G$35,0)),0)</f>
        <v>399</v>
      </c>
      <c r="DM54" s="33">
        <f>ROUND(坦克等级成长!$H151*VLOOKUP($CT$2,坦克等级成长!$B$36:$G$42,MATCH(DM$3,坦克等级成长!$B$35:$G$35,0)),0)</f>
        <v>886</v>
      </c>
      <c r="DN54" s="33">
        <f t="shared" si="25"/>
        <v>886</v>
      </c>
      <c r="DO54" s="33">
        <v>702</v>
      </c>
      <c r="DP54" s="33">
        <f>ROUND(坦克等级成长!$H151*VLOOKUP($CT$2,坦克等级成长!$B$36:$G$42,MATCH(DP$3,坦克等级成长!$B$35:$G$35,0)),0)</f>
        <v>744</v>
      </c>
      <c r="DQ54" s="33">
        <f>ROUND(坦克等级成长!$H151*VLOOKUP($CT$2,坦克等级成长!$B$36:$G$42,MATCH(DQ$3,坦克等级成长!$B$35:$G$35,0)),0)</f>
        <v>198</v>
      </c>
      <c r="DR54" s="192">
        <v>1</v>
      </c>
      <c r="DS54" s="33">
        <f>ROUND(坦克等级成长!$D151*VLOOKUP($DR$2,坦克等级成长!$B$36:$G$42,MATCH(DS$3,坦克等级成长!$B$35:$G$35,0)),0)</f>
        <v>2329</v>
      </c>
      <c r="DT54" s="33">
        <f>ROUND(坦克等级成长!$D151*VLOOKUP($DR$2,坦克等级成长!$B$36:$G$42,MATCH(DT$3,坦克等级成长!$B$35:$G$35,0)),0)</f>
        <v>638</v>
      </c>
      <c r="DU54" s="33">
        <f>ROUND(坦克等级成长!$D151*VLOOKUP($DR$2,坦克等级成长!$B$36:$G$42,MATCH(DU$3,坦克等级成长!$B$35:$G$35,0)),0)</f>
        <v>680</v>
      </c>
      <c r="DV54" s="33">
        <f t="shared" ref="DV54:DV66" si="40">DU54</f>
        <v>680</v>
      </c>
      <c r="DW54" s="33">
        <v>576</v>
      </c>
      <c r="DX54" s="33">
        <f>ROUND(坦克等级成长!$D151*VLOOKUP($DR$2,坦克等级成长!$B$36:$G$42,MATCH(DX$3,坦克等级成长!$B$35:$G$35,0)),0)</f>
        <v>1000</v>
      </c>
      <c r="DY54" s="33">
        <f>ROUND(坦克等级成长!$D151*VLOOKUP($DR$2,坦克等级成长!$B$36:$G$42,MATCH(DY$3,坦克等级成长!$B$35:$G$35,0)),0)</f>
        <v>233</v>
      </c>
      <c r="DZ54" s="199">
        <v>1</v>
      </c>
      <c r="EA54" s="33">
        <f>ROUND(坦克等级成长!$F151*VLOOKUP($DR$2,坦克等级成长!$B$36:$G$42,MATCH(EA$3,坦克等级成长!$B$35:$G$35,0)),0)</f>
        <v>2378</v>
      </c>
      <c r="EB54" s="33">
        <f>ROUND(坦克等级成长!$F151*VLOOKUP($DR$2,坦克等级成长!$B$36:$G$42,MATCH(EB$3,坦克等级成长!$B$35:$G$35,0)),0)</f>
        <v>651</v>
      </c>
      <c r="EC54" s="33">
        <f>ROUND(坦克等级成长!$F151*VLOOKUP($DR$2,坦克等级成长!$B$36:$G$42,MATCH(EC$3,坦克等级成长!$B$35:$G$35,0)),0)</f>
        <v>694</v>
      </c>
      <c r="ED54" s="33">
        <f t="shared" si="12"/>
        <v>694</v>
      </c>
      <c r="EE54" s="33">
        <v>599</v>
      </c>
      <c r="EF54" s="33">
        <f>ROUND(坦克等级成长!$F151*VLOOKUP($DR$2,坦克等级成长!$B$36:$G$42,MATCH(EF$3,坦克等级成长!$B$35:$G$35,0)),0)</f>
        <v>1021</v>
      </c>
      <c r="EG54" s="33">
        <f>ROUND(坦克等级成长!$F151*VLOOKUP($DR$2,坦克等级成长!$B$36:$G$42,MATCH(EG$3,坦克等级成长!$B$35:$G$35,0)),0)</f>
        <v>238</v>
      </c>
      <c r="EH54" s="192">
        <v>1</v>
      </c>
      <c r="EI54" s="33">
        <f>ROUND(坦克等级成长!$H151*VLOOKUP($DR$2,坦克等级成长!$B$36:$G$42,MATCH(EI$3,坦克等级成长!$B$35:$G$35,0)),0)</f>
        <v>2427</v>
      </c>
      <c r="EJ54" s="33">
        <f>ROUND(坦克等级成长!$H151*VLOOKUP($DR$2,坦克等级成长!$B$36:$G$42,MATCH(EJ$3,坦克等级成长!$B$35:$G$35,0)),0)</f>
        <v>665</v>
      </c>
      <c r="EK54" s="33">
        <f>ROUND(坦克等级成长!$H151*VLOOKUP($DR$2,坦克等级成长!$B$36:$G$42,MATCH(EK$3,坦克等级成长!$B$35:$G$35,0)),0)</f>
        <v>709</v>
      </c>
      <c r="EL54" s="33">
        <f t="shared" si="26"/>
        <v>709</v>
      </c>
      <c r="EM54" s="33">
        <v>599</v>
      </c>
      <c r="EN54" s="33">
        <f>ROUND(坦克等级成长!$H151*VLOOKUP($DR$2,坦克等级成长!$B$36:$G$42,MATCH(EN$3,坦克等级成长!$B$35:$G$35,0)),0)</f>
        <v>1042</v>
      </c>
      <c r="EO54" s="33">
        <f>ROUND(坦克等级成长!$H151*VLOOKUP($DR$2,坦克等级成长!$B$36:$G$42,MATCH(EO$3,坦克等级成长!$B$35:$G$35,0)),0)</f>
        <v>243</v>
      </c>
      <c r="EP54" s="192">
        <v>1</v>
      </c>
      <c r="EQ54" s="33">
        <f>ROUND(坦克等级成长!$D151*VLOOKUP($EP$2,坦克等级成长!$B$36:$G$42,MATCH(EQ$3,坦克等级成长!$B$35:$G$35,0)),0)</f>
        <v>2055</v>
      </c>
      <c r="ER54" s="33">
        <f>ROUND(坦克等级成长!$D151*VLOOKUP($EP$2,坦克等级成长!$B$36:$G$42,MATCH(ER$3,坦克等级成长!$B$35:$G$35,0)),0)</f>
        <v>212</v>
      </c>
      <c r="ES54" s="33">
        <f>ROUND(坦克等级成长!$D151*VLOOKUP($EP$2,坦克等级成长!$B$36:$G$42,MATCH(ES$3,坦克等级成长!$B$35:$G$35,0)),0)</f>
        <v>782</v>
      </c>
      <c r="ET54" s="33">
        <f t="shared" ref="ET54:ET66" si="41">ES54</f>
        <v>782</v>
      </c>
      <c r="EU54" s="33">
        <v>621</v>
      </c>
      <c r="EV54" s="33">
        <f>ROUND(坦克等级成长!$D151*VLOOKUP($EP$2,坦克等级成长!$B$36:$G$42,MATCH(EV$3,坦克等级成长!$B$35:$G$35,0)),0)</f>
        <v>857</v>
      </c>
      <c r="EW54" s="33">
        <f>ROUND(坦克等级成长!$D151*VLOOKUP($EP$2,坦克等级成长!$B$36:$G$42,MATCH(EW$3,坦克等级成长!$B$35:$G$35,0)),0)</f>
        <v>206</v>
      </c>
      <c r="EX54" s="199">
        <v>1</v>
      </c>
      <c r="EY54" s="33">
        <f>ROUND(坦克等级成长!$F151*VLOOKUP($EP$2,坦克等级成长!$B$36:$G$42,MATCH(EY$3,坦克等级成长!$B$35:$G$35,0)),0)</f>
        <v>2098</v>
      </c>
      <c r="EZ54" s="33">
        <f>ROUND(坦克等级成长!$F151*VLOOKUP($EP$2,坦克等级成长!$B$36:$G$42,MATCH(EZ$3,坦克等级成长!$B$35:$G$35,0)),0)</f>
        <v>216</v>
      </c>
      <c r="FA54" s="33">
        <f>ROUND(坦克等级成长!$F151*VLOOKUP($EP$2,坦克等级成长!$B$36:$G$42,MATCH(FA$3,坦克等级成长!$B$35:$G$35,0)),0)</f>
        <v>798</v>
      </c>
      <c r="FB54" s="33">
        <f t="shared" si="13"/>
        <v>798</v>
      </c>
      <c r="FC54" s="33">
        <v>646</v>
      </c>
      <c r="FD54" s="33">
        <f>ROUND(坦克等级成长!$F151*VLOOKUP($EP$2,坦克等级成长!$B$36:$G$42,MATCH(FD$3,坦克等级成长!$B$35:$G$35,0)),0)</f>
        <v>875</v>
      </c>
      <c r="FE54" s="33">
        <f>ROUND(坦克等级成长!$F151*VLOOKUP($EP$2,坦克等级成长!$B$36:$G$42,MATCH(FE$3,坦克等级成长!$B$35:$G$35,0)),0)</f>
        <v>210</v>
      </c>
      <c r="FF54" s="192">
        <v>1</v>
      </c>
      <c r="FG54" s="33">
        <f>ROUND(坦克等级成长!$H151*VLOOKUP($EP$2,坦克等级成长!$B$36:$G$42,MATCH(FG$3,坦克等级成长!$B$35:$G$35,0)),0)</f>
        <v>2141</v>
      </c>
      <c r="FH54" s="33">
        <f>ROUND(坦克等级成长!$H151*VLOOKUP($EP$2,坦克等级成长!$B$36:$G$42,MATCH(FH$3,坦克等级成长!$B$35:$G$35,0)),0)</f>
        <v>221</v>
      </c>
      <c r="FI54" s="33">
        <f>ROUND(坦克等级成长!$H151*VLOOKUP($EP$2,坦克等级成长!$B$36:$G$42,MATCH(FI$3,坦克等级成长!$B$35:$G$35,0)),0)</f>
        <v>815</v>
      </c>
      <c r="FJ54" s="33">
        <f t="shared" si="27"/>
        <v>815</v>
      </c>
      <c r="FK54" s="33">
        <v>646</v>
      </c>
      <c r="FL54" s="33">
        <f>ROUND(坦克等级成长!$H151*VLOOKUP($EP$2,坦克等级成长!$B$36:$G$42,MATCH(FL$3,坦克等级成长!$B$35:$G$35,0)),0)</f>
        <v>893</v>
      </c>
      <c r="FM54" s="33">
        <f>ROUND(坦克等级成长!$H151*VLOOKUP($EP$2,坦克等级成长!$B$36:$G$42,MATCH(FM$3,坦克等级成长!$B$35:$G$35,0)),0)</f>
        <v>214</v>
      </c>
    </row>
    <row r="55" spans="1:169" ht="14.25" x14ac:dyDescent="0.3">
      <c r="A55" s="189">
        <v>5</v>
      </c>
      <c r="B55" s="192">
        <v>2</v>
      </c>
      <c r="C55" s="33">
        <f>ROUND(坦克等级成长!$D152*VLOOKUP($B$2,坦克等级成长!$B$36:$G$42,MATCH(C$3,坦克等级成长!$B$35:$G$35,0)),0)</f>
        <v>1992</v>
      </c>
      <c r="D55" s="33">
        <f>ROUND(坦克等级成长!$D152*VLOOKUP($B$2,坦克等级成长!$B$36:$G$42,MATCH(D$3,坦克等级成长!$B$35:$G$35,0)),0)</f>
        <v>199</v>
      </c>
      <c r="E55" s="33">
        <f>ROUND(坦克等级成长!$D152*VLOOKUP($B$2,坦克等级成长!$B$36:$G$42,MATCH(E$3,坦克等级成长!$B$35:$G$35,0)),0)</f>
        <v>747</v>
      </c>
      <c r="F55" s="33">
        <f t="shared" si="35"/>
        <v>747</v>
      </c>
      <c r="G55" s="33">
        <v>554.4</v>
      </c>
      <c r="H55" s="33">
        <f>ROUND(坦克等级成长!$D152*VLOOKUP($B$2,坦克等级成长!$B$36:$G$42,MATCH(H$3,坦克等级成长!$B$35:$G$35,0)),0)</f>
        <v>747</v>
      </c>
      <c r="I55" s="33">
        <f>ROUND(坦克等级成长!$D152*VLOOKUP($B$2,坦克等级成长!$B$36:$G$42,MATCH(I$3,坦克等级成长!$B$35:$G$35,0)),0)</f>
        <v>199</v>
      </c>
      <c r="J55" s="199">
        <v>2</v>
      </c>
      <c r="K55" s="33">
        <f>ROUND(坦克等级成长!$F152*VLOOKUP($B$2,坦克等级成长!$B$36:$G$42,MATCH(K$3,坦克等级成长!$B$35:$G$35,0)),0)</f>
        <v>2032</v>
      </c>
      <c r="L55" s="33">
        <f>ROUND(坦克等级成长!$F152*VLOOKUP($B$2,坦克等级成长!$B$36:$G$42,MATCH(L$3,坦克等级成长!$B$35:$G$35,0)),0)</f>
        <v>202</v>
      </c>
      <c r="M55" s="33">
        <f>ROUND(坦克等级成长!$F152*VLOOKUP($B$2,坦克等级成长!$B$36:$G$42,MATCH(M$3,坦克等级成长!$B$35:$G$35,0)),0)</f>
        <v>762</v>
      </c>
      <c r="N55" s="33">
        <f t="shared" si="7"/>
        <v>762</v>
      </c>
      <c r="O55" s="33">
        <v>575</v>
      </c>
      <c r="P55" s="33">
        <f>ROUND(坦克等级成长!$F152*VLOOKUP($B$2,坦克等级成长!$B$36:$G$42,MATCH(P$3,坦克等级成长!$B$35:$G$35,0)),0)</f>
        <v>762</v>
      </c>
      <c r="Q55" s="33">
        <f>ROUND(坦克等级成长!$F152*VLOOKUP($B$2,坦克等级成长!$B$36:$G$42,MATCH(Q$3,坦克等级成长!$B$35:$G$35,0)),0)</f>
        <v>203</v>
      </c>
      <c r="R55" s="192">
        <v>2</v>
      </c>
      <c r="S55" s="33">
        <f>ROUND(坦克等级成长!$H152*VLOOKUP($B$2,坦克等级成长!$B$36:$G$42,MATCH(S$3,坦克等级成长!$B$35:$G$35,0)),0)</f>
        <v>2072</v>
      </c>
      <c r="T55" s="33">
        <f>ROUND(坦克等级成长!$H152*VLOOKUP($B$2,坦克等级成长!$B$36:$G$42,MATCH(T$3,坦克等级成长!$B$35:$G$35,0)),0)</f>
        <v>206</v>
      </c>
      <c r="U55" s="33">
        <f>ROUND(坦克等级成长!$H152*VLOOKUP($B$2,坦克等级成长!$B$36:$G$42,MATCH(U$3,坦克等级成长!$B$35:$G$35,0)),0)</f>
        <v>777</v>
      </c>
      <c r="V55" s="33">
        <f t="shared" si="21"/>
        <v>777</v>
      </c>
      <c r="W55" s="33">
        <v>575</v>
      </c>
      <c r="X55" s="33">
        <f>ROUND(坦克等级成长!$H152*VLOOKUP($B$2,坦克等级成长!$B$36:$G$42,MATCH(X$3,坦克等级成长!$B$35:$G$35,0)),0)</f>
        <v>777</v>
      </c>
      <c r="Y55" s="33">
        <f>ROUND(坦克等级成长!$H152*VLOOKUP($B$2,坦克等级成长!$B$36:$G$42,MATCH(Y$3,坦克等级成长!$B$35:$G$35,0)),0)</f>
        <v>207</v>
      </c>
      <c r="Z55" s="192">
        <v>2</v>
      </c>
      <c r="AA55" s="33">
        <f>ROUND(坦克等级成长!$D152*VLOOKUP($Z$2,坦克等级成长!$B$36:$G$42,MATCH(AA$3,坦克等级成长!$B$35:$G$35,0)),0)</f>
        <v>1992</v>
      </c>
      <c r="AB55" s="33">
        <f>ROUND(坦克等级成长!$D152*VLOOKUP($Z$2,坦克等级成长!$B$36:$G$42,MATCH(AB$3,坦克等级成长!$B$35:$G$35,0)),0)</f>
        <v>106</v>
      </c>
      <c r="AC55" s="33">
        <f>ROUND(坦克等级成长!$D152*VLOOKUP($Z$2,坦克等级成长!$B$36:$G$42,MATCH(AC$3,坦克等级成长!$B$35:$G$35,0)),0)</f>
        <v>818</v>
      </c>
      <c r="AD55" s="33">
        <f t="shared" si="36"/>
        <v>818</v>
      </c>
      <c r="AE55" s="33">
        <v>606.9</v>
      </c>
      <c r="AF55" s="33">
        <f>ROUND(坦克等级成长!$D152*VLOOKUP($Z$2,坦克等级成长!$B$36:$G$42,MATCH(AF$3,坦克等级成长!$B$35:$G$35,0)),0)</f>
        <v>747</v>
      </c>
      <c r="AG55" s="33">
        <f>ROUND(坦克等级成长!$D152*VLOOKUP($Z$2,坦克等级成长!$B$36:$G$42,MATCH(AG$3,坦克等级成长!$B$35:$G$35,0)),0)</f>
        <v>199</v>
      </c>
      <c r="AH55" s="199">
        <v>2</v>
      </c>
      <c r="AI55" s="33">
        <f>ROUND(坦克等级成长!$F152*VLOOKUP($Z$2,坦克等级成长!$B$36:$G$42,MATCH(AI$3,坦克等级成长!$B$35:$G$35,0)),0)</f>
        <v>2032</v>
      </c>
      <c r="AJ55" s="33">
        <f>ROUND(坦克等级成长!$F152*VLOOKUP($Z$2,坦克等级成长!$B$36:$G$42,MATCH(AJ$3,坦克等级成长!$B$35:$G$35,0)),0)</f>
        <v>108</v>
      </c>
      <c r="AK55" s="33">
        <f>ROUND(坦克等级成长!$F152*VLOOKUP($Z$2,坦克等级成长!$B$36:$G$42,MATCH(AK$3,坦克等级成长!$B$35:$G$35,0)),0)</f>
        <v>835</v>
      </c>
      <c r="AL55" s="33">
        <f t="shared" si="8"/>
        <v>835</v>
      </c>
      <c r="AM55" s="33">
        <v>630</v>
      </c>
      <c r="AN55" s="33">
        <f>ROUND(坦克等级成长!$F152*VLOOKUP($Z$2,坦克等级成长!$B$36:$G$42,MATCH(AN$3,坦克等级成长!$B$35:$G$35,0)),0)</f>
        <v>762</v>
      </c>
      <c r="AO55" s="33">
        <f>ROUND(坦克等级成长!$F152*VLOOKUP($Z$2,坦克等级成长!$B$36:$G$42,MATCH(AO$3,坦克等级成长!$B$35:$G$35,0)),0)</f>
        <v>203</v>
      </c>
      <c r="AP55" s="192">
        <v>2</v>
      </c>
      <c r="AQ55" s="33">
        <f>ROUND(坦克等级成长!$H152*VLOOKUP($Z$2,坦克等级成长!$B$36:$G$42,MATCH(AQ$3,坦克等级成长!$B$35:$G$35,0)),0)</f>
        <v>2072</v>
      </c>
      <c r="AR55" s="33">
        <f>ROUND(坦克等级成长!$H152*VLOOKUP($Z$2,坦克等级成长!$B$36:$G$42,MATCH(AR$3,坦克等级成长!$B$35:$G$35,0)),0)</f>
        <v>110</v>
      </c>
      <c r="AS55" s="33">
        <f>ROUND(坦克等级成长!$H152*VLOOKUP($Z$2,坦克等级成长!$B$36:$G$42,MATCH(AS$3,坦克等级成长!$B$35:$G$35,0)),0)</f>
        <v>851</v>
      </c>
      <c r="AT55" s="33">
        <f t="shared" si="22"/>
        <v>851</v>
      </c>
      <c r="AU55" s="33">
        <v>630</v>
      </c>
      <c r="AV55" s="33">
        <f>ROUND(坦克等级成长!$H152*VLOOKUP($Z$2,坦克等级成长!$B$36:$G$42,MATCH(AV$3,坦克等级成长!$B$35:$G$35,0)),0)</f>
        <v>777</v>
      </c>
      <c r="AW55" s="33">
        <f>ROUND(坦克等级成长!$H152*VLOOKUP($Z$2,坦克等级成长!$B$36:$G$42,MATCH(AW$3,坦克等级成长!$B$35:$G$35,0)),0)</f>
        <v>207</v>
      </c>
      <c r="AX55" s="192">
        <v>2</v>
      </c>
      <c r="AY55" s="33">
        <f>ROUND(坦克等级成长!$D152*VLOOKUP($AX$2,坦克等级成长!$B$36:$G$42,MATCH(AY$3,坦克等级成长!$B$35:$G$35,0)),0)</f>
        <v>1992</v>
      </c>
      <c r="AZ55" s="33">
        <f>ROUND(坦克等级成长!$D152*VLOOKUP($AX$2,坦克等级成长!$B$36:$G$42,MATCH(AZ$3,坦克等级成长!$B$35:$G$35,0)),0)</f>
        <v>199</v>
      </c>
      <c r="BA55" s="33">
        <f>ROUND(坦克等级成长!$D152*VLOOKUP($AX$2,坦克等级成长!$B$36:$G$42,MATCH(BA$3,坦克等级成长!$B$35:$G$35,0)),0)</f>
        <v>747</v>
      </c>
      <c r="BB55" s="33">
        <f t="shared" si="37"/>
        <v>747</v>
      </c>
      <c r="BC55" s="33">
        <v>554.4</v>
      </c>
      <c r="BD55" s="33">
        <f>ROUND(坦克等级成长!$D152*VLOOKUP($AX$2,坦克等级成长!$B$36:$G$42,MATCH(BD$3,坦克等级成长!$B$35:$G$35,0)),0)</f>
        <v>747</v>
      </c>
      <c r="BE55" s="33">
        <f>ROUND(坦克等级成长!$D152*VLOOKUP($AX$2,坦克等级成长!$B$36:$G$42,MATCH(BE$3,坦克等级成长!$B$35:$G$35,0)),0)</f>
        <v>199</v>
      </c>
      <c r="BF55" s="199">
        <v>2</v>
      </c>
      <c r="BG55" s="33">
        <f>ROUND(坦克等级成长!$F152*VLOOKUP($AX$2,坦克等级成长!$B$36:$G$42,MATCH(BG$3,坦克等级成长!$B$35:$G$35,0)),0)</f>
        <v>2032</v>
      </c>
      <c r="BH55" s="33">
        <f>ROUND(坦克等级成长!$F152*VLOOKUP($AX$2,坦克等级成长!$B$36:$G$42,MATCH(BH$3,坦克等级成长!$B$35:$G$35,0)),0)</f>
        <v>202</v>
      </c>
      <c r="BI55" s="33">
        <f>ROUND(坦克等级成长!$F152*VLOOKUP($AX$2,坦克等级成长!$B$36:$G$42,MATCH(BI$3,坦克等级成长!$B$35:$G$35,0)),0)</f>
        <v>762</v>
      </c>
      <c r="BJ55" s="33">
        <f t="shared" si="9"/>
        <v>762</v>
      </c>
      <c r="BK55" s="33">
        <v>575</v>
      </c>
      <c r="BL55" s="33">
        <f>ROUND(坦克等级成长!$F152*VLOOKUP($AX$2,坦克等级成长!$B$36:$G$42,MATCH(BL$3,坦克等级成长!$B$35:$G$35,0)),0)</f>
        <v>762</v>
      </c>
      <c r="BM55" s="33">
        <f>ROUND(坦克等级成长!$F152*VLOOKUP($AX$2,坦克等级成长!$B$36:$G$42,MATCH(BM$3,坦克等级成长!$B$35:$G$35,0)),0)</f>
        <v>203</v>
      </c>
      <c r="BN55" s="192">
        <v>2</v>
      </c>
      <c r="BO55" s="33">
        <f>ROUND(坦克等级成长!$H152*VLOOKUP($AX$2,坦克等级成长!$B$36:$G$42,MATCH(BO$3,坦克等级成长!$B$35:$G$35,0)),0)</f>
        <v>2072</v>
      </c>
      <c r="BP55" s="33">
        <f>ROUND(坦克等级成长!$H152*VLOOKUP($AX$2,坦克等级成长!$B$36:$G$42,MATCH(BP$3,坦克等级成长!$B$35:$G$35,0)),0)</f>
        <v>206</v>
      </c>
      <c r="BQ55" s="33">
        <f>ROUND(坦克等级成长!$H152*VLOOKUP($AX$2,坦克等级成长!$B$36:$G$42,MATCH(BQ$3,坦克等级成长!$B$35:$G$35,0)),0)</f>
        <v>777</v>
      </c>
      <c r="BR55" s="33">
        <f t="shared" si="23"/>
        <v>777</v>
      </c>
      <c r="BS55" s="33">
        <v>575</v>
      </c>
      <c r="BT55" s="33">
        <f>ROUND(坦克等级成长!$H152*VLOOKUP($AX$2,坦克等级成长!$B$36:$G$42,MATCH(BT$3,坦克等级成长!$B$35:$G$35,0)),0)</f>
        <v>777</v>
      </c>
      <c r="BU55" s="33">
        <f>ROUND(坦克等级成长!$H152*VLOOKUP($AX$2,坦克等级成长!$B$36:$G$42,MATCH(BU$3,坦克等级成长!$B$35:$G$35,0)),0)</f>
        <v>207</v>
      </c>
      <c r="BV55" s="192">
        <v>2</v>
      </c>
      <c r="BW55" s="33">
        <f>ROUND(坦克等级成长!$D152*VLOOKUP($BV$2,坦克等级成长!$B$36:$G$42,MATCH(BW$3,坦克等级成长!$B$35:$G$35,0)),0)</f>
        <v>2150</v>
      </c>
      <c r="BX55" s="33">
        <f>ROUND(坦克等级成长!$D152*VLOOKUP($BV$2,坦克等级成长!$B$36:$G$42,MATCH(BX$3,坦克等级成长!$B$35:$G$35,0)),0)</f>
        <v>185</v>
      </c>
      <c r="BY55" s="33">
        <f>ROUND(坦克等级成长!$D152*VLOOKUP($BV$2,坦克等级成长!$B$36:$G$42,MATCH(BY$3,坦克等级成长!$B$35:$G$35,0)),0)</f>
        <v>711</v>
      </c>
      <c r="BZ55" s="33">
        <f t="shared" si="38"/>
        <v>711</v>
      </c>
      <c r="CA55" s="33">
        <v>565.5</v>
      </c>
      <c r="CB55" s="33">
        <f>ROUND(坦克等级成长!$D152*VLOOKUP($BV$2,坦克等级成长!$B$36:$G$42,MATCH(CB$3,坦克等级成长!$B$35:$G$35,0)),0)</f>
        <v>896</v>
      </c>
      <c r="CC55" s="33">
        <f>ROUND(坦克等级成长!$D152*VLOOKUP($BV$2,坦克等级成长!$B$36:$G$42,MATCH(CC$3,坦克等级成长!$B$35:$G$35,0)),0)</f>
        <v>215</v>
      </c>
      <c r="CD55" s="199">
        <v>2</v>
      </c>
      <c r="CE55" s="33">
        <f>ROUND(坦克等级成长!$F152*VLOOKUP($BV$2,坦克等级成长!$B$36:$G$42,MATCH(CE$3,坦克等级成长!$B$35:$G$35,0)),0)</f>
        <v>2193</v>
      </c>
      <c r="CF55" s="33">
        <f>ROUND(坦克等级成长!$F152*VLOOKUP($BV$2,坦克等级成长!$B$36:$G$42,MATCH(CF$3,坦克等级成长!$B$35:$G$35,0)),0)</f>
        <v>189</v>
      </c>
      <c r="CG55" s="33">
        <f>ROUND(坦克等级成长!$F152*VLOOKUP($BV$2,坦克等级成长!$B$36:$G$42,MATCH(CG$3,坦克等级成长!$B$35:$G$35,0)),0)</f>
        <v>726</v>
      </c>
      <c r="CH55" s="33">
        <f t="shared" si="10"/>
        <v>726</v>
      </c>
      <c r="CI55" s="33">
        <v>587</v>
      </c>
      <c r="CJ55" s="33">
        <f>ROUND(坦克等级成长!$F152*VLOOKUP($BV$2,坦克等级成长!$B$36:$G$42,MATCH(CJ$3,坦克等级成长!$B$35:$G$35,0)),0)</f>
        <v>914</v>
      </c>
      <c r="CK55" s="33">
        <f>ROUND(坦克等级成长!$F152*VLOOKUP($BV$2,坦克等级成长!$B$36:$G$42,MATCH(CK$3,坦克等级成长!$B$35:$G$35,0)),0)</f>
        <v>219</v>
      </c>
      <c r="CL55" s="192">
        <v>2</v>
      </c>
      <c r="CM55" s="33">
        <f>ROUND(坦克等级成长!$H152*VLOOKUP($BV$2,坦克等级成长!$B$36:$G$42,MATCH(CM$3,坦克等级成长!$B$35:$G$35,0)),0)</f>
        <v>2236</v>
      </c>
      <c r="CN55" s="33">
        <f>ROUND(坦克等级成长!$H152*VLOOKUP($BV$2,坦克等级成长!$B$36:$G$42,MATCH(CN$3,坦克等级成长!$B$35:$G$35,0)),0)</f>
        <v>192</v>
      </c>
      <c r="CO55" s="33">
        <f>ROUND(坦克等级成长!$H152*VLOOKUP($BV$2,坦克等级成长!$B$36:$G$42,MATCH(CO$3,坦克等级成长!$B$35:$G$35,0)),0)</f>
        <v>740</v>
      </c>
      <c r="CP55" s="33">
        <f t="shared" si="24"/>
        <v>740</v>
      </c>
      <c r="CQ55" s="33">
        <v>587</v>
      </c>
      <c r="CR55" s="33">
        <f>ROUND(坦克等级成长!$H152*VLOOKUP($BV$2,坦克等级成长!$B$36:$G$42,MATCH(CR$3,坦克等级成长!$B$35:$G$35,0)),0)</f>
        <v>932</v>
      </c>
      <c r="CS55" s="33">
        <f>ROUND(坦克等级成长!$H152*VLOOKUP($BV$2,坦克等级成长!$B$36:$G$42,MATCH(CS$3,坦克等级成长!$B$35:$G$35,0)),0)</f>
        <v>224</v>
      </c>
      <c r="CT55" s="192">
        <v>2</v>
      </c>
      <c r="CU55" s="33">
        <f>ROUND(坦克等级成长!$D152*VLOOKUP($CT$2,坦克等级成长!$B$36:$G$42,MATCH(CU$3,坦克等级成长!$B$35:$G$35,0)),0)</f>
        <v>1992</v>
      </c>
      <c r="CV55" s="33">
        <f>ROUND(坦克等级成长!$D152*VLOOKUP($CT$2,坦克等级成长!$B$36:$G$42,MATCH(CV$3,坦克等级成长!$B$35:$G$35,0)),0)</f>
        <v>401</v>
      </c>
      <c r="CW55" s="33">
        <f>ROUND(坦克等级成长!$D152*VLOOKUP($CT$2,坦克等级成长!$B$36:$G$42,MATCH(CW$3,坦克等级成长!$B$35:$G$35,0)),0)</f>
        <v>889</v>
      </c>
      <c r="CX55" s="33">
        <f t="shared" si="39"/>
        <v>889</v>
      </c>
      <c r="CY55" s="33">
        <v>707.25</v>
      </c>
      <c r="CZ55" s="33">
        <f>ROUND(坦克等级成长!$D152*VLOOKUP($CT$2,坦克等级成长!$B$36:$G$42,MATCH(CZ$3,坦克等级成长!$B$35:$G$35,0)),0)</f>
        <v>747</v>
      </c>
      <c r="DA55" s="33">
        <f>ROUND(坦克等级成长!$D152*VLOOKUP($CT$2,坦克等级成长!$B$36:$G$42,MATCH(DA$3,坦克等级成长!$B$35:$G$35,0)),0)</f>
        <v>199</v>
      </c>
      <c r="DB55" s="199">
        <v>2</v>
      </c>
      <c r="DC55" s="33">
        <f>ROUND(坦克等级成长!$F152*VLOOKUP($CT$2,坦克等级成长!$B$36:$G$42,MATCH(DC$3,坦克等级成长!$B$35:$G$35,0)),0)</f>
        <v>2032</v>
      </c>
      <c r="DD55" s="33">
        <f>ROUND(坦克等级成长!$F152*VLOOKUP($CT$2,坦克等级成长!$B$36:$G$42,MATCH(DD$3,坦克等级成长!$B$35:$G$35,0)),0)</f>
        <v>409</v>
      </c>
      <c r="DE55" s="33">
        <f>ROUND(坦克等级成长!$F152*VLOOKUP($CT$2,坦克等级成长!$B$36:$G$42,MATCH(DE$3,坦克等级成长!$B$35:$G$35,0)),0)</f>
        <v>907</v>
      </c>
      <c r="DF55" s="33">
        <f t="shared" si="11"/>
        <v>907</v>
      </c>
      <c r="DG55" s="33">
        <v>734</v>
      </c>
      <c r="DH55" s="33">
        <f>ROUND(坦克等级成长!$F152*VLOOKUP($CT$2,坦克等级成长!$B$36:$G$42,MATCH(DH$3,坦克等级成长!$B$35:$G$35,0)),0)</f>
        <v>762</v>
      </c>
      <c r="DI55" s="33">
        <f>ROUND(坦克等级成长!$F152*VLOOKUP($CT$2,坦克等级成长!$B$36:$G$42,MATCH(DI$3,坦克等级成长!$B$35:$G$35,0)),0)</f>
        <v>203</v>
      </c>
      <c r="DJ55" s="192">
        <v>2</v>
      </c>
      <c r="DK55" s="33">
        <f>ROUND(坦克等级成长!$H152*VLOOKUP($CT$2,坦克等级成长!$B$36:$G$42,MATCH(DK$3,坦克等级成长!$B$35:$G$35,0)),0)</f>
        <v>2072</v>
      </c>
      <c r="DL55" s="33">
        <f>ROUND(坦克等级成长!$H152*VLOOKUP($CT$2,坦克等级成长!$B$36:$G$42,MATCH(DL$3,坦克等级成长!$B$35:$G$35,0)),0)</f>
        <v>417</v>
      </c>
      <c r="DM55" s="33">
        <f>ROUND(坦克等级成长!$H152*VLOOKUP($CT$2,坦克等级成长!$B$36:$G$42,MATCH(DM$3,坦克等级成长!$B$35:$G$35,0)),0)</f>
        <v>925</v>
      </c>
      <c r="DN55" s="33">
        <f t="shared" si="25"/>
        <v>925</v>
      </c>
      <c r="DO55" s="33">
        <v>734</v>
      </c>
      <c r="DP55" s="33">
        <f>ROUND(坦克等级成长!$H152*VLOOKUP($CT$2,坦克等级成长!$B$36:$G$42,MATCH(DP$3,坦克等级成长!$B$35:$G$35,0)),0)</f>
        <v>777</v>
      </c>
      <c r="DQ55" s="33">
        <f>ROUND(坦克等级成长!$H152*VLOOKUP($CT$2,坦克等级成长!$B$36:$G$42,MATCH(DQ$3,坦克等级成长!$B$35:$G$35,0)),0)</f>
        <v>207</v>
      </c>
      <c r="DR55" s="192">
        <v>2</v>
      </c>
      <c r="DS55" s="33">
        <f>ROUND(坦克等级成长!$D152*VLOOKUP($DR$2,坦克等级成长!$B$36:$G$42,MATCH(DS$3,坦克等级成长!$B$35:$G$35,0)),0)</f>
        <v>2437</v>
      </c>
      <c r="DT55" s="33">
        <f>ROUND(坦克等级成长!$D152*VLOOKUP($DR$2,坦克等级成长!$B$36:$G$42,MATCH(DT$3,坦克等级成长!$B$35:$G$35,0)),0)</f>
        <v>667</v>
      </c>
      <c r="DU55" s="33">
        <f>ROUND(坦克等级成长!$D152*VLOOKUP($DR$2,坦克等级成长!$B$36:$G$42,MATCH(DU$3,坦克等级成长!$B$35:$G$35,0)),0)</f>
        <v>711</v>
      </c>
      <c r="DV55" s="33">
        <f t="shared" si="40"/>
        <v>711</v>
      </c>
      <c r="DW55" s="33">
        <v>603.20000000000005</v>
      </c>
      <c r="DX55" s="33">
        <f>ROUND(坦克等级成长!$D152*VLOOKUP($DR$2,坦克等级成长!$B$36:$G$42,MATCH(DX$3,坦克等级成长!$B$35:$G$35,0)),0)</f>
        <v>1046</v>
      </c>
      <c r="DY55" s="33">
        <f>ROUND(坦克等级成长!$D152*VLOOKUP($DR$2,坦克等级成长!$B$36:$G$42,MATCH(DY$3,坦克等级成长!$B$35:$G$35,0)),0)</f>
        <v>244</v>
      </c>
      <c r="DZ55" s="199">
        <v>2</v>
      </c>
      <c r="EA55" s="33">
        <f>ROUND(坦克等级成长!$F152*VLOOKUP($DR$2,坦克等级成长!$B$36:$G$42,MATCH(EA$3,坦克等级成长!$B$35:$G$35,0)),0)</f>
        <v>2486</v>
      </c>
      <c r="EB55" s="33">
        <f>ROUND(坦克等级成长!$F152*VLOOKUP($DR$2,坦克等级成长!$B$36:$G$42,MATCH(EB$3,坦克等级成长!$B$35:$G$35,0)),0)</f>
        <v>681</v>
      </c>
      <c r="EC55" s="33">
        <f>ROUND(坦克等级成长!$F152*VLOOKUP($DR$2,坦克等级成长!$B$36:$G$42,MATCH(EC$3,坦克等级成长!$B$35:$G$35,0)),0)</f>
        <v>726</v>
      </c>
      <c r="ED55" s="33">
        <f t="shared" si="12"/>
        <v>726</v>
      </c>
      <c r="EE55" s="33">
        <v>626</v>
      </c>
      <c r="EF55" s="33">
        <f>ROUND(坦克等级成长!$F152*VLOOKUP($DR$2,坦克等级成长!$B$36:$G$42,MATCH(EF$3,坦克等级成长!$B$35:$G$35,0)),0)</f>
        <v>1067</v>
      </c>
      <c r="EG55" s="33">
        <f>ROUND(坦克等级成长!$F152*VLOOKUP($DR$2,坦克等级成长!$B$36:$G$42,MATCH(EG$3,坦克等级成长!$B$35:$G$35,0)),0)</f>
        <v>249</v>
      </c>
      <c r="EH55" s="192">
        <v>2</v>
      </c>
      <c r="EI55" s="33">
        <f>ROUND(坦克等级成长!$H152*VLOOKUP($DR$2,坦克等级成长!$B$36:$G$42,MATCH(EI$3,坦克等级成长!$B$35:$G$35,0)),0)</f>
        <v>2535</v>
      </c>
      <c r="EJ55" s="33">
        <f>ROUND(坦克等级成长!$H152*VLOOKUP($DR$2,坦克等级成长!$B$36:$G$42,MATCH(EJ$3,坦克等级成长!$B$35:$G$35,0)),0)</f>
        <v>694</v>
      </c>
      <c r="EK55" s="33">
        <f>ROUND(坦克等级成长!$H152*VLOOKUP($DR$2,坦克等级成长!$B$36:$G$42,MATCH(EK$3,坦克等级成长!$B$35:$G$35,0)),0)</f>
        <v>740</v>
      </c>
      <c r="EL55" s="33">
        <f t="shared" si="26"/>
        <v>740</v>
      </c>
      <c r="EM55" s="33">
        <v>626</v>
      </c>
      <c r="EN55" s="33">
        <f>ROUND(坦克等级成长!$H152*VLOOKUP($DR$2,坦克等级成长!$B$36:$G$42,MATCH(EN$3,坦克等级成长!$B$35:$G$35,0)),0)</f>
        <v>1088</v>
      </c>
      <c r="EO55" s="33">
        <f>ROUND(坦克等级成长!$H152*VLOOKUP($DR$2,坦克等级成长!$B$36:$G$42,MATCH(EO$3,坦克等级成长!$B$35:$G$35,0)),0)</f>
        <v>253</v>
      </c>
      <c r="EP55" s="192">
        <v>2</v>
      </c>
      <c r="EQ55" s="33">
        <f>ROUND(坦克等级成长!$D152*VLOOKUP($EP$2,坦克等级成长!$B$36:$G$42,MATCH(EQ$3,坦克等级成长!$B$35:$G$35,0)),0)</f>
        <v>2150</v>
      </c>
      <c r="ER55" s="33">
        <f>ROUND(坦克等级成长!$D152*VLOOKUP($EP$2,坦克等级成长!$B$36:$G$42,MATCH(ER$3,坦克等级成长!$B$35:$G$35,0)),0)</f>
        <v>221</v>
      </c>
      <c r="ES55" s="33">
        <f>ROUND(坦克等级成长!$D152*VLOOKUP($EP$2,坦克等级成长!$B$36:$G$42,MATCH(ES$3,坦克等级成长!$B$35:$G$35,0)),0)</f>
        <v>818</v>
      </c>
      <c r="ET55" s="33">
        <f t="shared" si="41"/>
        <v>818</v>
      </c>
      <c r="EU55" s="33">
        <v>650.25</v>
      </c>
      <c r="EV55" s="33">
        <f>ROUND(坦克等级成长!$D152*VLOOKUP($EP$2,坦克等级成长!$B$36:$G$42,MATCH(EV$3,坦克等级成长!$B$35:$G$35,0)),0)</f>
        <v>896</v>
      </c>
      <c r="EW55" s="33">
        <f>ROUND(坦克等级成长!$D152*VLOOKUP($EP$2,坦克等级成长!$B$36:$G$42,MATCH(EW$3,坦克等级成长!$B$35:$G$35,0)),0)</f>
        <v>215</v>
      </c>
      <c r="EX55" s="199">
        <v>2</v>
      </c>
      <c r="EY55" s="33">
        <f>ROUND(坦克等级成长!$F152*VLOOKUP($EP$2,坦克等级成长!$B$36:$G$42,MATCH(EY$3,坦克等级成长!$B$35:$G$35,0)),0)</f>
        <v>2193</v>
      </c>
      <c r="EZ55" s="33">
        <f>ROUND(坦克等级成长!$F152*VLOOKUP($EP$2,坦克等级成长!$B$36:$G$42,MATCH(EZ$3,坦克等级成长!$B$35:$G$35,0)),0)</f>
        <v>226</v>
      </c>
      <c r="FA55" s="33">
        <f>ROUND(坦克等级成长!$F152*VLOOKUP($EP$2,坦克等级成长!$B$36:$G$42,MATCH(FA$3,坦克等级成长!$B$35:$G$35,0)),0)</f>
        <v>835</v>
      </c>
      <c r="FB55" s="33">
        <f t="shared" si="13"/>
        <v>835</v>
      </c>
      <c r="FC55" s="33">
        <v>675</v>
      </c>
      <c r="FD55" s="33">
        <f>ROUND(坦克等级成长!$F152*VLOOKUP($EP$2,坦克等级成长!$B$36:$G$42,MATCH(FD$3,坦克等级成长!$B$35:$G$35,0)),0)</f>
        <v>914</v>
      </c>
      <c r="FE55" s="33">
        <f>ROUND(坦克等级成长!$F152*VLOOKUP($EP$2,坦克等级成长!$B$36:$G$42,MATCH(FE$3,坦克等级成长!$B$35:$G$35,0)),0)</f>
        <v>219</v>
      </c>
      <c r="FF55" s="192">
        <v>2</v>
      </c>
      <c r="FG55" s="33">
        <f>ROUND(坦克等级成长!$H152*VLOOKUP($EP$2,坦克等级成长!$B$36:$G$42,MATCH(FG$3,坦克等级成长!$B$35:$G$35,0)),0)</f>
        <v>2236</v>
      </c>
      <c r="FH55" s="33">
        <f>ROUND(坦克等级成长!$H152*VLOOKUP($EP$2,坦克等级成长!$B$36:$G$42,MATCH(FH$3,坦克等级成长!$B$35:$G$35,0)),0)</f>
        <v>230</v>
      </c>
      <c r="FI55" s="33">
        <f>ROUND(坦克等级成长!$H152*VLOOKUP($EP$2,坦克等级成长!$B$36:$G$42,MATCH(FI$3,坦克等级成长!$B$35:$G$35,0)),0)</f>
        <v>851</v>
      </c>
      <c r="FJ55" s="33">
        <f t="shared" si="27"/>
        <v>851</v>
      </c>
      <c r="FK55" s="33">
        <v>675</v>
      </c>
      <c r="FL55" s="33">
        <f>ROUND(坦克等级成长!$H152*VLOOKUP($EP$2,坦克等级成长!$B$36:$G$42,MATCH(FL$3,坦克等级成长!$B$35:$G$35,0)),0)</f>
        <v>932</v>
      </c>
      <c r="FM55" s="33">
        <f>ROUND(坦克等级成长!$H152*VLOOKUP($EP$2,坦克等级成长!$B$36:$G$42,MATCH(FM$3,坦克等级成长!$B$35:$G$35,0)),0)</f>
        <v>224</v>
      </c>
    </row>
    <row r="56" spans="1:169" ht="14.25" x14ac:dyDescent="0.3">
      <c r="A56" s="189">
        <v>5</v>
      </c>
      <c r="B56" s="192">
        <v>3</v>
      </c>
      <c r="C56" s="33">
        <f>ROUND(坦克等级成长!$D153*VLOOKUP($B$2,坦克等级成长!$B$36:$G$42,MATCH(C$3,坦克等级成长!$B$35:$G$35,0)),0)</f>
        <v>2080</v>
      </c>
      <c r="D56" s="33">
        <f>ROUND(坦克等级成长!$D153*VLOOKUP($B$2,坦克等级成长!$B$36:$G$42,MATCH(D$3,坦克等级成长!$B$35:$G$35,0)),0)</f>
        <v>207</v>
      </c>
      <c r="E56" s="33">
        <f>ROUND(坦克等级成长!$D153*VLOOKUP($B$2,坦克等级成长!$B$36:$G$42,MATCH(E$3,坦克等级成长!$B$35:$G$35,0)),0)</f>
        <v>780</v>
      </c>
      <c r="F56" s="33">
        <f t="shared" si="35"/>
        <v>780</v>
      </c>
      <c r="G56" s="33">
        <v>579.6</v>
      </c>
      <c r="H56" s="33">
        <f>ROUND(坦克等级成长!$D153*VLOOKUP($B$2,坦克等级成长!$B$36:$G$42,MATCH(H$3,坦克等级成长!$B$35:$G$35,0)),0)</f>
        <v>780</v>
      </c>
      <c r="I56" s="33">
        <f>ROUND(坦克等级成长!$D153*VLOOKUP($B$2,坦克等级成长!$B$36:$G$42,MATCH(I$3,坦克等级成长!$B$35:$G$35,0)),0)</f>
        <v>208</v>
      </c>
      <c r="J56" s="199">
        <v>3</v>
      </c>
      <c r="K56" s="33">
        <f>ROUND(坦克等级成长!$F153*VLOOKUP($B$2,坦克等级成长!$B$36:$G$42,MATCH(K$3,坦克等级成长!$B$35:$G$35,0)),0)</f>
        <v>2120</v>
      </c>
      <c r="L56" s="33">
        <f>ROUND(坦克等级成长!$F153*VLOOKUP($B$2,坦克等级成长!$B$36:$G$42,MATCH(L$3,坦克等级成长!$B$35:$G$35,0)),0)</f>
        <v>211</v>
      </c>
      <c r="M56" s="33">
        <f>ROUND(坦克等级成长!$F153*VLOOKUP($B$2,坦克等级成长!$B$36:$G$42,MATCH(M$3,坦克等级成长!$B$35:$G$35,0)),0)</f>
        <v>795</v>
      </c>
      <c r="N56" s="33">
        <f t="shared" si="7"/>
        <v>795</v>
      </c>
      <c r="O56" s="33">
        <v>601</v>
      </c>
      <c r="P56" s="33">
        <f>ROUND(坦克等级成长!$F153*VLOOKUP($B$2,坦克等级成长!$B$36:$G$42,MATCH(P$3,坦克等级成长!$B$35:$G$35,0)),0)</f>
        <v>795</v>
      </c>
      <c r="Q56" s="33">
        <f>ROUND(坦克等级成长!$F153*VLOOKUP($B$2,坦克等级成长!$B$36:$G$42,MATCH(Q$3,坦克等级成长!$B$35:$G$35,0)),0)</f>
        <v>212</v>
      </c>
      <c r="R56" s="192">
        <v>3</v>
      </c>
      <c r="S56" s="33">
        <f>ROUND(坦克等级成长!$H153*VLOOKUP($B$2,坦克等级成长!$B$36:$G$42,MATCH(S$3,坦克等级成长!$B$35:$G$35,0)),0)</f>
        <v>2160</v>
      </c>
      <c r="T56" s="33">
        <f>ROUND(坦克等级成长!$H153*VLOOKUP($B$2,坦克等级成长!$B$36:$G$42,MATCH(T$3,坦克等级成长!$B$35:$G$35,0)),0)</f>
        <v>215</v>
      </c>
      <c r="U56" s="33">
        <f>ROUND(坦克等级成长!$H153*VLOOKUP($B$2,坦克等级成长!$B$36:$G$42,MATCH(U$3,坦克等级成长!$B$35:$G$35,0)),0)</f>
        <v>810</v>
      </c>
      <c r="V56" s="33">
        <f t="shared" si="21"/>
        <v>810</v>
      </c>
      <c r="W56" s="33">
        <v>601</v>
      </c>
      <c r="X56" s="33">
        <f>ROUND(坦克等级成长!$H153*VLOOKUP($B$2,坦克等级成长!$B$36:$G$42,MATCH(X$3,坦克等级成长!$B$35:$G$35,0)),0)</f>
        <v>810</v>
      </c>
      <c r="Y56" s="33">
        <f>ROUND(坦克等级成长!$H153*VLOOKUP($B$2,坦克等级成长!$B$36:$G$42,MATCH(Y$3,坦克等级成长!$B$35:$G$35,0)),0)</f>
        <v>216</v>
      </c>
      <c r="Z56" s="192">
        <v>3</v>
      </c>
      <c r="AA56" s="33">
        <f>ROUND(坦克等级成长!$D153*VLOOKUP($Z$2,坦克等级成长!$B$36:$G$42,MATCH(AA$3,坦克等级成长!$B$35:$G$35,0)),0)</f>
        <v>2080</v>
      </c>
      <c r="AB56" s="33">
        <f>ROUND(坦克等级成长!$D153*VLOOKUP($Z$2,坦克等级成长!$B$36:$G$42,MATCH(AB$3,坦克等级成长!$B$35:$G$35,0)),0)</f>
        <v>110</v>
      </c>
      <c r="AC56" s="33">
        <f>ROUND(坦克等级成长!$D153*VLOOKUP($Z$2,坦克等级成长!$B$36:$G$42,MATCH(AC$3,坦克等级成长!$B$35:$G$35,0)),0)</f>
        <v>854</v>
      </c>
      <c r="AD56" s="33">
        <f t="shared" si="36"/>
        <v>854</v>
      </c>
      <c r="AE56" s="33">
        <v>634.9</v>
      </c>
      <c r="AF56" s="33">
        <f>ROUND(坦克等级成长!$D153*VLOOKUP($Z$2,坦克等级成长!$B$36:$G$42,MATCH(AF$3,坦克等级成长!$B$35:$G$35,0)),0)</f>
        <v>780</v>
      </c>
      <c r="AG56" s="33">
        <f>ROUND(坦克等级成长!$D153*VLOOKUP($Z$2,坦克等级成长!$B$36:$G$42,MATCH(AG$3,坦克等级成长!$B$35:$G$35,0)),0)</f>
        <v>208</v>
      </c>
      <c r="AH56" s="199">
        <v>3</v>
      </c>
      <c r="AI56" s="33">
        <f>ROUND(坦克等级成长!$F153*VLOOKUP($Z$2,坦克等级成长!$B$36:$G$42,MATCH(AI$3,坦克等级成长!$B$35:$G$35,0)),0)</f>
        <v>2120</v>
      </c>
      <c r="AJ56" s="33">
        <f>ROUND(坦克等级成长!$F153*VLOOKUP($Z$2,坦克等级成长!$B$36:$G$42,MATCH(AJ$3,坦克等级成长!$B$35:$G$35,0)),0)</f>
        <v>113</v>
      </c>
      <c r="AK56" s="33">
        <f>ROUND(坦克等级成长!$F153*VLOOKUP($Z$2,坦克等级成长!$B$36:$G$42,MATCH(AK$3,坦克等级成长!$B$35:$G$35,0)),0)</f>
        <v>871</v>
      </c>
      <c r="AL56" s="33">
        <f t="shared" si="8"/>
        <v>871</v>
      </c>
      <c r="AM56" s="33">
        <v>658</v>
      </c>
      <c r="AN56" s="33">
        <f>ROUND(坦克等级成长!$F153*VLOOKUP($Z$2,坦克等级成长!$B$36:$G$42,MATCH(AN$3,坦克等级成长!$B$35:$G$35,0)),0)</f>
        <v>795</v>
      </c>
      <c r="AO56" s="33">
        <f>ROUND(坦克等级成长!$F153*VLOOKUP($Z$2,坦克等级成长!$B$36:$G$42,MATCH(AO$3,坦克等级成长!$B$35:$G$35,0)),0)</f>
        <v>212</v>
      </c>
      <c r="AP56" s="192">
        <v>3</v>
      </c>
      <c r="AQ56" s="33">
        <f>ROUND(坦克等级成长!$H153*VLOOKUP($Z$2,坦克等级成长!$B$36:$G$42,MATCH(AQ$3,坦克等级成长!$B$35:$G$35,0)),0)</f>
        <v>2160</v>
      </c>
      <c r="AR56" s="33">
        <f>ROUND(坦克等级成长!$H153*VLOOKUP($Z$2,坦克等级成长!$B$36:$G$42,MATCH(AR$3,坦克等级成长!$B$35:$G$35,0)),0)</f>
        <v>115</v>
      </c>
      <c r="AS56" s="33">
        <f>ROUND(坦克等级成长!$H153*VLOOKUP($Z$2,坦克等级成长!$B$36:$G$42,MATCH(AS$3,坦克等级成长!$B$35:$G$35,0)),0)</f>
        <v>887</v>
      </c>
      <c r="AT56" s="33">
        <f t="shared" si="22"/>
        <v>887</v>
      </c>
      <c r="AU56" s="33">
        <v>658</v>
      </c>
      <c r="AV56" s="33">
        <f>ROUND(坦克等级成长!$H153*VLOOKUP($Z$2,坦克等级成长!$B$36:$G$42,MATCH(AV$3,坦克等级成长!$B$35:$G$35,0)),0)</f>
        <v>810</v>
      </c>
      <c r="AW56" s="33">
        <f>ROUND(坦克等级成长!$H153*VLOOKUP($Z$2,坦克等级成长!$B$36:$G$42,MATCH(AW$3,坦克等级成长!$B$35:$G$35,0)),0)</f>
        <v>216</v>
      </c>
      <c r="AX56" s="192">
        <v>3</v>
      </c>
      <c r="AY56" s="33">
        <f>ROUND(坦克等级成长!$D153*VLOOKUP($AX$2,坦克等级成长!$B$36:$G$42,MATCH(AY$3,坦克等级成长!$B$35:$G$35,0)),0)</f>
        <v>2080</v>
      </c>
      <c r="AZ56" s="33">
        <f>ROUND(坦克等级成长!$D153*VLOOKUP($AX$2,坦克等级成长!$B$36:$G$42,MATCH(AZ$3,坦克等级成长!$B$35:$G$35,0)),0)</f>
        <v>207</v>
      </c>
      <c r="BA56" s="33">
        <f>ROUND(坦克等级成长!$D153*VLOOKUP($AX$2,坦克等级成长!$B$36:$G$42,MATCH(BA$3,坦克等级成长!$B$35:$G$35,0)),0)</f>
        <v>780</v>
      </c>
      <c r="BB56" s="33">
        <f t="shared" si="37"/>
        <v>780</v>
      </c>
      <c r="BC56" s="33">
        <v>579.6</v>
      </c>
      <c r="BD56" s="33">
        <f>ROUND(坦克等级成长!$D153*VLOOKUP($AX$2,坦克等级成长!$B$36:$G$42,MATCH(BD$3,坦克等级成长!$B$35:$G$35,0)),0)</f>
        <v>780</v>
      </c>
      <c r="BE56" s="33">
        <f>ROUND(坦克等级成长!$D153*VLOOKUP($AX$2,坦克等级成长!$B$36:$G$42,MATCH(BE$3,坦克等级成长!$B$35:$G$35,0)),0)</f>
        <v>208</v>
      </c>
      <c r="BF56" s="199">
        <v>3</v>
      </c>
      <c r="BG56" s="33">
        <f>ROUND(坦克等级成长!$F153*VLOOKUP($AX$2,坦克等级成长!$B$36:$G$42,MATCH(BG$3,坦克等级成长!$B$35:$G$35,0)),0)</f>
        <v>2120</v>
      </c>
      <c r="BH56" s="33">
        <f>ROUND(坦克等级成长!$F153*VLOOKUP($AX$2,坦克等级成长!$B$36:$G$42,MATCH(BH$3,坦克等级成长!$B$35:$G$35,0)),0)</f>
        <v>211</v>
      </c>
      <c r="BI56" s="33">
        <f>ROUND(坦克等级成长!$F153*VLOOKUP($AX$2,坦克等级成长!$B$36:$G$42,MATCH(BI$3,坦克等级成长!$B$35:$G$35,0)),0)</f>
        <v>795</v>
      </c>
      <c r="BJ56" s="33">
        <f t="shared" si="9"/>
        <v>795</v>
      </c>
      <c r="BK56" s="33">
        <v>601</v>
      </c>
      <c r="BL56" s="33">
        <f>ROUND(坦克等级成长!$F153*VLOOKUP($AX$2,坦克等级成长!$B$36:$G$42,MATCH(BL$3,坦克等级成长!$B$35:$G$35,0)),0)</f>
        <v>795</v>
      </c>
      <c r="BM56" s="33">
        <f>ROUND(坦克等级成长!$F153*VLOOKUP($AX$2,坦克等级成长!$B$36:$G$42,MATCH(BM$3,坦克等级成长!$B$35:$G$35,0)),0)</f>
        <v>212</v>
      </c>
      <c r="BN56" s="192">
        <v>3</v>
      </c>
      <c r="BO56" s="33">
        <f>ROUND(坦克等级成长!$H153*VLOOKUP($AX$2,坦克等级成长!$B$36:$G$42,MATCH(BO$3,坦克等级成长!$B$35:$G$35,0)),0)</f>
        <v>2160</v>
      </c>
      <c r="BP56" s="33">
        <f>ROUND(坦克等级成长!$H153*VLOOKUP($AX$2,坦克等级成长!$B$36:$G$42,MATCH(BP$3,坦克等级成长!$B$35:$G$35,0)),0)</f>
        <v>215</v>
      </c>
      <c r="BQ56" s="33">
        <f>ROUND(坦克等级成长!$H153*VLOOKUP($AX$2,坦克等级成长!$B$36:$G$42,MATCH(BQ$3,坦克等级成长!$B$35:$G$35,0)),0)</f>
        <v>810</v>
      </c>
      <c r="BR56" s="33">
        <f t="shared" si="23"/>
        <v>810</v>
      </c>
      <c r="BS56" s="33">
        <v>601</v>
      </c>
      <c r="BT56" s="33">
        <f>ROUND(坦克等级成长!$H153*VLOOKUP($AX$2,坦克等级成长!$B$36:$G$42,MATCH(BT$3,坦克等级成长!$B$35:$G$35,0)),0)</f>
        <v>810</v>
      </c>
      <c r="BU56" s="33">
        <f>ROUND(坦克等级成长!$H153*VLOOKUP($AX$2,坦克等级成长!$B$36:$G$42,MATCH(BU$3,坦克等级成长!$B$35:$G$35,0)),0)</f>
        <v>216</v>
      </c>
      <c r="BV56" s="192">
        <v>3</v>
      </c>
      <c r="BW56" s="33">
        <f>ROUND(坦克等级成长!$D153*VLOOKUP($BV$2,坦克等级成长!$B$36:$G$42,MATCH(BW$3,坦克等级成长!$B$35:$G$35,0)),0)</f>
        <v>2245</v>
      </c>
      <c r="BX56" s="33">
        <f>ROUND(坦克等级成长!$D153*VLOOKUP($BV$2,坦克等级成长!$B$36:$G$42,MATCH(BX$3,坦克等级成长!$B$35:$G$35,0)),0)</f>
        <v>193</v>
      </c>
      <c r="BY56" s="33">
        <f>ROUND(坦克等级成长!$D153*VLOOKUP($BV$2,坦克等级成长!$B$36:$G$42,MATCH(BY$3,坦克等级成长!$B$35:$G$35,0)),0)</f>
        <v>743</v>
      </c>
      <c r="BZ56" s="33">
        <f t="shared" si="38"/>
        <v>743</v>
      </c>
      <c r="CA56" s="33">
        <v>591.75</v>
      </c>
      <c r="CB56" s="33">
        <f>ROUND(坦克等级成长!$D153*VLOOKUP($BV$2,坦克等级成长!$B$36:$G$42,MATCH(CB$3,坦克等级成长!$B$35:$G$35,0)),0)</f>
        <v>936</v>
      </c>
      <c r="CC56" s="33">
        <f>ROUND(坦克等级成长!$D153*VLOOKUP($BV$2,坦克等级成长!$B$36:$G$42,MATCH(CC$3,坦克等级成长!$B$35:$G$35,0)),0)</f>
        <v>225</v>
      </c>
      <c r="CD56" s="199">
        <v>3</v>
      </c>
      <c r="CE56" s="33">
        <f>ROUND(坦克等级成长!$F153*VLOOKUP($BV$2,坦克等级成长!$B$36:$G$42,MATCH(CE$3,坦克等级成长!$B$35:$G$35,0)),0)</f>
        <v>2288</v>
      </c>
      <c r="CF56" s="33">
        <f>ROUND(坦克等级成长!$F153*VLOOKUP($BV$2,坦克等级成长!$B$36:$G$42,MATCH(CF$3,坦克等级成长!$B$35:$G$35,0)),0)</f>
        <v>197</v>
      </c>
      <c r="CG56" s="33">
        <f>ROUND(坦克等级成长!$F153*VLOOKUP($BV$2,坦克等级成长!$B$36:$G$42,MATCH(CG$3,坦克等级成长!$B$35:$G$35,0)),0)</f>
        <v>757</v>
      </c>
      <c r="CH56" s="33">
        <f t="shared" si="10"/>
        <v>757</v>
      </c>
      <c r="CI56" s="33">
        <v>613</v>
      </c>
      <c r="CJ56" s="33">
        <f>ROUND(坦克等级成长!$F153*VLOOKUP($BV$2,坦克等级成长!$B$36:$G$42,MATCH(CJ$3,坦克等级成长!$B$35:$G$35,0)),0)</f>
        <v>954</v>
      </c>
      <c r="CK56" s="33">
        <f>ROUND(坦克等级成长!$F153*VLOOKUP($BV$2,坦克等级成长!$B$36:$G$42,MATCH(CK$3,坦克等级成长!$B$35:$G$35,0)),0)</f>
        <v>229</v>
      </c>
      <c r="CL56" s="192">
        <v>3</v>
      </c>
      <c r="CM56" s="33">
        <f>ROUND(坦克等级成长!$H153*VLOOKUP($BV$2,坦克等级成长!$B$36:$G$42,MATCH(CM$3,坦克等级成长!$B$35:$G$35,0)),0)</f>
        <v>2331</v>
      </c>
      <c r="CN56" s="33">
        <f>ROUND(坦克等级成长!$H153*VLOOKUP($BV$2,坦克等级成长!$B$36:$G$42,MATCH(CN$3,坦克等级成长!$B$35:$G$35,0)),0)</f>
        <v>200</v>
      </c>
      <c r="CO56" s="33">
        <f>ROUND(坦克等级成长!$H153*VLOOKUP($BV$2,坦克等级成长!$B$36:$G$42,MATCH(CO$3,坦克等级成长!$B$35:$G$35,0)),0)</f>
        <v>771</v>
      </c>
      <c r="CP56" s="33">
        <f t="shared" si="24"/>
        <v>771</v>
      </c>
      <c r="CQ56" s="33">
        <v>613</v>
      </c>
      <c r="CR56" s="33">
        <f>ROUND(坦克等级成长!$H153*VLOOKUP($BV$2,坦克等级成长!$B$36:$G$42,MATCH(CR$3,坦克等级成长!$B$35:$G$35,0)),0)</f>
        <v>972</v>
      </c>
      <c r="CS56" s="33">
        <f>ROUND(坦克等级成长!$H153*VLOOKUP($BV$2,坦克等级成长!$B$36:$G$42,MATCH(CS$3,坦克等级成长!$B$35:$G$35,0)),0)</f>
        <v>233</v>
      </c>
      <c r="CT56" s="192">
        <v>3</v>
      </c>
      <c r="CU56" s="33">
        <f>ROUND(坦克等级成长!$D153*VLOOKUP($CT$2,坦克等级成长!$B$36:$G$42,MATCH(CU$3,坦克等级成长!$B$35:$G$35,0)),0)</f>
        <v>2080</v>
      </c>
      <c r="CV56" s="33">
        <f>ROUND(坦克等级成长!$D153*VLOOKUP($CT$2,坦克等级成长!$B$36:$G$42,MATCH(CV$3,坦克等级成长!$B$35:$G$35,0)),0)</f>
        <v>419</v>
      </c>
      <c r="CW56" s="33">
        <f>ROUND(坦克等级成长!$D153*VLOOKUP($CT$2,坦克等级成长!$B$36:$G$42,MATCH(CW$3,坦克等级成长!$B$35:$G$35,0)),0)</f>
        <v>929</v>
      </c>
      <c r="CX56" s="33">
        <f t="shared" si="39"/>
        <v>929</v>
      </c>
      <c r="CY56" s="33">
        <v>739.5</v>
      </c>
      <c r="CZ56" s="33">
        <f>ROUND(坦克等级成长!$D153*VLOOKUP($CT$2,坦克等级成长!$B$36:$G$42,MATCH(CZ$3,坦克等级成长!$B$35:$G$35,0)),0)</f>
        <v>780</v>
      </c>
      <c r="DA56" s="33">
        <f>ROUND(坦克等级成长!$D153*VLOOKUP($CT$2,坦克等级成长!$B$36:$G$42,MATCH(DA$3,坦克等级成长!$B$35:$G$35,0)),0)</f>
        <v>208</v>
      </c>
      <c r="DB56" s="199">
        <v>3</v>
      </c>
      <c r="DC56" s="33">
        <f>ROUND(坦克等级成长!$F153*VLOOKUP($CT$2,坦克等级成长!$B$36:$G$42,MATCH(DC$3,坦克等级成长!$B$35:$G$35,0)),0)</f>
        <v>2120</v>
      </c>
      <c r="DD56" s="33">
        <f>ROUND(坦克等级成长!$F153*VLOOKUP($CT$2,坦克等级成长!$B$36:$G$42,MATCH(DD$3,坦克等级成长!$B$35:$G$35,0)),0)</f>
        <v>427</v>
      </c>
      <c r="DE56" s="33">
        <f>ROUND(坦克等级成长!$F153*VLOOKUP($CT$2,坦克等级成长!$B$36:$G$42,MATCH(DE$3,坦克等级成长!$B$35:$G$35,0)),0)</f>
        <v>946</v>
      </c>
      <c r="DF56" s="33">
        <f t="shared" si="11"/>
        <v>946</v>
      </c>
      <c r="DG56" s="33">
        <v>766</v>
      </c>
      <c r="DH56" s="33">
        <f>ROUND(坦克等级成长!$F153*VLOOKUP($CT$2,坦克等级成长!$B$36:$G$42,MATCH(DH$3,坦克等级成长!$B$35:$G$35,0)),0)</f>
        <v>795</v>
      </c>
      <c r="DI56" s="33">
        <f>ROUND(坦克等级成长!$F153*VLOOKUP($CT$2,坦克等级成长!$B$36:$G$42,MATCH(DI$3,坦克等级成长!$B$35:$G$35,0)),0)</f>
        <v>212</v>
      </c>
      <c r="DJ56" s="192">
        <v>3</v>
      </c>
      <c r="DK56" s="33">
        <f>ROUND(坦克等级成长!$H153*VLOOKUP($CT$2,坦克等级成长!$B$36:$G$42,MATCH(DK$3,坦克等级成长!$B$35:$G$35,0)),0)</f>
        <v>2160</v>
      </c>
      <c r="DL56" s="33">
        <f>ROUND(坦克等级成长!$H153*VLOOKUP($CT$2,坦克等级成长!$B$36:$G$42,MATCH(DL$3,坦克等级成长!$B$35:$G$35,0)),0)</f>
        <v>435</v>
      </c>
      <c r="DM56" s="33">
        <f>ROUND(坦克等级成长!$H153*VLOOKUP($CT$2,坦克等级成长!$B$36:$G$42,MATCH(DM$3,坦克等级成长!$B$35:$G$35,0)),0)</f>
        <v>964</v>
      </c>
      <c r="DN56" s="33">
        <f t="shared" si="25"/>
        <v>964</v>
      </c>
      <c r="DO56" s="33">
        <v>766</v>
      </c>
      <c r="DP56" s="33">
        <f>ROUND(坦克等级成长!$H153*VLOOKUP($CT$2,坦克等级成长!$B$36:$G$42,MATCH(DP$3,坦克等级成长!$B$35:$G$35,0)),0)</f>
        <v>810</v>
      </c>
      <c r="DQ56" s="33">
        <f>ROUND(坦克等级成长!$H153*VLOOKUP($CT$2,坦克等级成长!$B$36:$G$42,MATCH(DQ$3,坦克等级成长!$B$35:$G$35,0)),0)</f>
        <v>216</v>
      </c>
      <c r="DR56" s="192">
        <v>3</v>
      </c>
      <c r="DS56" s="33">
        <f>ROUND(坦克等级成长!$D153*VLOOKUP($DR$2,坦克等级成长!$B$36:$G$42,MATCH(DS$3,坦克等级成长!$B$35:$G$35,0)),0)</f>
        <v>2544</v>
      </c>
      <c r="DT56" s="33">
        <f>ROUND(坦克等级成长!$D153*VLOOKUP($DR$2,坦克等级成长!$B$36:$G$42,MATCH(DT$3,坦克等级成长!$B$35:$G$35,0)),0)</f>
        <v>697</v>
      </c>
      <c r="DU56" s="33">
        <f>ROUND(坦克等级成长!$D153*VLOOKUP($DR$2,坦克等级成长!$B$36:$G$42,MATCH(DU$3,坦克等级成长!$B$35:$G$35,0)),0)</f>
        <v>743</v>
      </c>
      <c r="DV56" s="33">
        <f t="shared" si="40"/>
        <v>743</v>
      </c>
      <c r="DW56" s="33">
        <v>631.20000000000005</v>
      </c>
      <c r="DX56" s="33">
        <f>ROUND(坦克等级成长!$D153*VLOOKUP($DR$2,坦克等级成长!$B$36:$G$42,MATCH(DX$3,坦克等级成长!$B$35:$G$35,0)),0)</f>
        <v>1092</v>
      </c>
      <c r="DY56" s="33">
        <f>ROUND(坦克等级成长!$D153*VLOOKUP($DR$2,坦克等级成长!$B$36:$G$42,MATCH(DY$3,坦克等级成长!$B$35:$G$35,0)),0)</f>
        <v>254</v>
      </c>
      <c r="DZ56" s="199">
        <v>3</v>
      </c>
      <c r="EA56" s="33">
        <f>ROUND(坦克等级成长!$F153*VLOOKUP($DR$2,坦克等级成长!$B$36:$G$42,MATCH(EA$3,坦克等级成长!$B$35:$G$35,0)),0)</f>
        <v>2593</v>
      </c>
      <c r="EB56" s="33">
        <f>ROUND(坦克等级成长!$F153*VLOOKUP($DR$2,坦克等级成长!$B$36:$G$42,MATCH(EB$3,坦克等级成长!$B$35:$G$35,0)),0)</f>
        <v>710</v>
      </c>
      <c r="EC56" s="33">
        <f>ROUND(坦克等级成长!$F153*VLOOKUP($DR$2,坦克等级成长!$B$36:$G$42,MATCH(EC$3,坦克等级成长!$B$35:$G$35,0)),0)</f>
        <v>757</v>
      </c>
      <c r="ED56" s="33">
        <f t="shared" si="12"/>
        <v>757</v>
      </c>
      <c r="EE56" s="33">
        <v>654</v>
      </c>
      <c r="EF56" s="33">
        <f>ROUND(坦克等级成长!$F153*VLOOKUP($DR$2,坦克等级成长!$B$36:$G$42,MATCH(EF$3,坦克等级成长!$B$35:$G$35,0)),0)</f>
        <v>1113</v>
      </c>
      <c r="EG56" s="33">
        <f>ROUND(坦克等级成长!$F153*VLOOKUP($DR$2,坦克等级成长!$B$36:$G$42,MATCH(EG$3,坦克等级成长!$B$35:$G$35,0)),0)</f>
        <v>259</v>
      </c>
      <c r="EH56" s="192">
        <v>3</v>
      </c>
      <c r="EI56" s="33">
        <f>ROUND(坦克等级成长!$H153*VLOOKUP($DR$2,坦克等级成长!$B$36:$G$42,MATCH(EI$3,坦克等级成长!$B$35:$G$35,0)),0)</f>
        <v>2642</v>
      </c>
      <c r="EJ56" s="33">
        <f>ROUND(坦克等级成长!$H153*VLOOKUP($DR$2,坦克等级成长!$B$36:$G$42,MATCH(EJ$3,坦克等级成长!$B$35:$G$35,0)),0)</f>
        <v>724</v>
      </c>
      <c r="EK56" s="33">
        <f>ROUND(坦克等级成长!$H153*VLOOKUP($DR$2,坦克等级成长!$B$36:$G$42,MATCH(EK$3,坦克等级成长!$B$35:$G$35,0)),0)</f>
        <v>771</v>
      </c>
      <c r="EL56" s="33">
        <f t="shared" si="26"/>
        <v>771</v>
      </c>
      <c r="EM56" s="33">
        <v>654</v>
      </c>
      <c r="EN56" s="33">
        <f>ROUND(坦克等级成长!$H153*VLOOKUP($DR$2,坦克等级成长!$B$36:$G$42,MATCH(EN$3,坦克等级成长!$B$35:$G$35,0)),0)</f>
        <v>1134</v>
      </c>
      <c r="EO56" s="33">
        <f>ROUND(坦克等级成长!$H153*VLOOKUP($DR$2,坦克等级成长!$B$36:$G$42,MATCH(EO$3,坦克等级成长!$B$35:$G$35,0)),0)</f>
        <v>264</v>
      </c>
      <c r="EP56" s="192">
        <v>3</v>
      </c>
      <c r="EQ56" s="33">
        <f>ROUND(坦克等级成长!$D153*VLOOKUP($EP$2,坦克等级成长!$B$36:$G$42,MATCH(EQ$3,坦克等级成长!$B$35:$G$35,0)),0)</f>
        <v>2245</v>
      </c>
      <c r="ER56" s="33">
        <f>ROUND(坦克等级成长!$D153*VLOOKUP($EP$2,坦克等级成长!$B$36:$G$42,MATCH(ER$3,坦克等级成长!$B$35:$G$35,0)),0)</f>
        <v>231</v>
      </c>
      <c r="ES56" s="33">
        <f>ROUND(坦克等级成长!$D153*VLOOKUP($EP$2,坦克等级成长!$B$36:$G$42,MATCH(ES$3,坦克等级成长!$B$35:$G$35,0)),0)</f>
        <v>854</v>
      </c>
      <c r="ET56" s="33">
        <f t="shared" si="41"/>
        <v>854</v>
      </c>
      <c r="EU56" s="33">
        <v>680.25</v>
      </c>
      <c r="EV56" s="33">
        <f>ROUND(坦克等级成长!$D153*VLOOKUP($EP$2,坦克等级成长!$B$36:$G$42,MATCH(EV$3,坦克等级成长!$B$35:$G$35,0)),0)</f>
        <v>936</v>
      </c>
      <c r="EW56" s="33">
        <f>ROUND(坦克等级成长!$D153*VLOOKUP($EP$2,坦克等级成长!$B$36:$G$42,MATCH(EW$3,坦克等级成长!$B$35:$G$35,0)),0)</f>
        <v>225</v>
      </c>
      <c r="EX56" s="199">
        <v>3</v>
      </c>
      <c r="EY56" s="33">
        <f>ROUND(坦克等级成长!$F153*VLOOKUP($EP$2,坦克等级成长!$B$36:$G$42,MATCH(EY$3,坦克等级成长!$B$35:$G$35,0)),0)</f>
        <v>2288</v>
      </c>
      <c r="EZ56" s="33">
        <f>ROUND(坦克等级成长!$F153*VLOOKUP($EP$2,坦克等级成长!$B$36:$G$42,MATCH(EZ$3,坦克等级成长!$B$35:$G$35,0)),0)</f>
        <v>236</v>
      </c>
      <c r="FA56" s="33">
        <f>ROUND(坦克等级成长!$F153*VLOOKUP($EP$2,坦克等级成长!$B$36:$G$42,MATCH(FA$3,坦克等级成长!$B$35:$G$35,0)),0)</f>
        <v>871</v>
      </c>
      <c r="FB56" s="33">
        <f t="shared" si="13"/>
        <v>871</v>
      </c>
      <c r="FC56" s="33">
        <v>705</v>
      </c>
      <c r="FD56" s="33">
        <f>ROUND(坦克等级成长!$F153*VLOOKUP($EP$2,坦克等级成长!$B$36:$G$42,MATCH(FD$3,坦克等级成长!$B$35:$G$35,0)),0)</f>
        <v>954</v>
      </c>
      <c r="FE56" s="33">
        <f>ROUND(坦克等级成长!$F153*VLOOKUP($EP$2,坦克等级成长!$B$36:$G$42,MATCH(FE$3,坦克等级成长!$B$35:$G$35,0)),0)</f>
        <v>229</v>
      </c>
      <c r="FF56" s="192">
        <v>3</v>
      </c>
      <c r="FG56" s="33">
        <f>ROUND(坦克等级成长!$H153*VLOOKUP($EP$2,坦克等级成长!$B$36:$G$42,MATCH(FG$3,坦克等级成长!$B$35:$G$35,0)),0)</f>
        <v>2331</v>
      </c>
      <c r="FH56" s="33">
        <f>ROUND(坦克等级成长!$H153*VLOOKUP($EP$2,坦克等级成长!$B$36:$G$42,MATCH(FH$3,坦克等级成长!$B$35:$G$35,0)),0)</f>
        <v>240</v>
      </c>
      <c r="FI56" s="33">
        <f>ROUND(坦克等级成长!$H153*VLOOKUP($EP$2,坦克等级成长!$B$36:$G$42,MATCH(FI$3,坦克等级成长!$B$35:$G$35,0)),0)</f>
        <v>887</v>
      </c>
      <c r="FJ56" s="33">
        <f t="shared" si="27"/>
        <v>887</v>
      </c>
      <c r="FK56" s="33">
        <v>705</v>
      </c>
      <c r="FL56" s="33">
        <f>ROUND(坦克等级成长!$H153*VLOOKUP($EP$2,坦克等级成长!$B$36:$G$42,MATCH(FL$3,坦克等级成长!$B$35:$G$35,0)),0)</f>
        <v>972</v>
      </c>
      <c r="FM56" s="33">
        <f>ROUND(坦克等级成长!$H153*VLOOKUP($EP$2,坦克等级成长!$B$36:$G$42,MATCH(FM$3,坦克等级成长!$B$35:$G$35,0)),0)</f>
        <v>233</v>
      </c>
    </row>
    <row r="57" spans="1:169" ht="14.25" x14ac:dyDescent="0.3">
      <c r="A57" s="189">
        <v>5</v>
      </c>
      <c r="B57" s="192">
        <v>4</v>
      </c>
      <c r="C57" s="33">
        <f>ROUND(坦克等级成长!$D154*VLOOKUP($B$2,坦克等级成长!$B$36:$G$42,MATCH(C$3,坦克等级成长!$B$35:$G$35,0)),0)</f>
        <v>2168</v>
      </c>
      <c r="D57" s="33">
        <f>ROUND(坦克等级成长!$D154*VLOOKUP($B$2,坦克等级成长!$B$36:$G$42,MATCH(D$3,坦克等级成长!$B$35:$G$35,0)),0)</f>
        <v>216</v>
      </c>
      <c r="E57" s="33">
        <f>ROUND(坦克等级成长!$D154*VLOOKUP($B$2,坦克等级成长!$B$36:$G$42,MATCH(E$3,坦克等级成长!$B$35:$G$35,0)),0)</f>
        <v>813</v>
      </c>
      <c r="F57" s="33">
        <f t="shared" si="35"/>
        <v>813</v>
      </c>
      <c r="G57" s="33">
        <v>604.79999999999995</v>
      </c>
      <c r="H57" s="33">
        <f>ROUND(坦克等级成长!$D154*VLOOKUP($B$2,坦克等级成长!$B$36:$G$42,MATCH(H$3,坦克等级成长!$B$35:$G$35,0)),0)</f>
        <v>813</v>
      </c>
      <c r="I57" s="33">
        <f>ROUND(坦克等级成长!$D154*VLOOKUP($B$2,坦克等级成长!$B$36:$G$42,MATCH(I$3,坦克等级成长!$B$35:$G$35,0)),0)</f>
        <v>217</v>
      </c>
      <c r="J57" s="199">
        <v>4</v>
      </c>
      <c r="K57" s="33">
        <f>ROUND(坦克等级成长!$F154*VLOOKUP($B$2,坦克等级成长!$B$36:$G$42,MATCH(K$3,坦克等级成长!$B$35:$G$35,0)),0)</f>
        <v>2208</v>
      </c>
      <c r="L57" s="33">
        <f>ROUND(坦克等级成长!$F154*VLOOKUP($B$2,坦克等级成长!$B$36:$G$42,MATCH(L$3,坦克等级成长!$B$35:$G$35,0)),0)</f>
        <v>220</v>
      </c>
      <c r="M57" s="33">
        <f>ROUND(坦克等级成长!$F154*VLOOKUP($B$2,坦克等级成长!$B$36:$G$42,MATCH(M$3,坦克等级成长!$B$35:$G$35,0)),0)</f>
        <v>828</v>
      </c>
      <c r="N57" s="33">
        <f t="shared" si="7"/>
        <v>828</v>
      </c>
      <c r="O57" s="33">
        <v>626</v>
      </c>
      <c r="P57" s="33">
        <f>ROUND(坦克等级成长!$F154*VLOOKUP($B$2,坦克等级成长!$B$36:$G$42,MATCH(P$3,坦克等级成长!$B$35:$G$35,0)),0)</f>
        <v>828</v>
      </c>
      <c r="Q57" s="33">
        <f>ROUND(坦克等级成长!$F154*VLOOKUP($B$2,坦克等级成长!$B$36:$G$42,MATCH(Q$3,坦克等级成长!$B$35:$G$35,0)),0)</f>
        <v>221</v>
      </c>
      <c r="R57" s="192">
        <v>4</v>
      </c>
      <c r="S57" s="33">
        <f>ROUND(坦克等级成长!$H154*VLOOKUP($B$2,坦克等级成长!$B$36:$G$42,MATCH(S$3,坦克等级成长!$B$35:$G$35,0)),0)</f>
        <v>2248</v>
      </c>
      <c r="T57" s="33">
        <f>ROUND(坦克等级成长!$H154*VLOOKUP($B$2,坦克等级成长!$B$36:$G$42,MATCH(T$3,坦克等级成长!$B$35:$G$35,0)),0)</f>
        <v>224</v>
      </c>
      <c r="U57" s="33">
        <f>ROUND(坦克等级成长!$H154*VLOOKUP($B$2,坦克等级成长!$B$36:$G$42,MATCH(U$3,坦克等级成长!$B$35:$G$35,0)),0)</f>
        <v>843</v>
      </c>
      <c r="V57" s="33">
        <f t="shared" si="21"/>
        <v>843</v>
      </c>
      <c r="W57" s="33">
        <v>626</v>
      </c>
      <c r="X57" s="33">
        <f>ROUND(坦克等级成长!$H154*VLOOKUP($B$2,坦克等级成长!$B$36:$G$42,MATCH(X$3,坦克等级成长!$B$35:$G$35,0)),0)</f>
        <v>843</v>
      </c>
      <c r="Y57" s="33">
        <f>ROUND(坦克等级成长!$H154*VLOOKUP($B$2,坦克等级成长!$B$36:$G$42,MATCH(Y$3,坦克等级成长!$B$35:$G$35,0)),0)</f>
        <v>225</v>
      </c>
      <c r="Z57" s="192">
        <v>4</v>
      </c>
      <c r="AA57" s="33">
        <f>ROUND(坦克等级成长!$D154*VLOOKUP($Z$2,坦克等级成长!$B$36:$G$42,MATCH(AA$3,坦克等级成长!$B$35:$G$35,0)),0)</f>
        <v>2168</v>
      </c>
      <c r="AB57" s="33">
        <f>ROUND(坦克等级成长!$D154*VLOOKUP($Z$2,坦克等级成长!$B$36:$G$42,MATCH(AB$3,坦克等级成长!$B$35:$G$35,0)),0)</f>
        <v>115</v>
      </c>
      <c r="AC57" s="33">
        <f>ROUND(坦克等级成长!$D154*VLOOKUP($Z$2,坦克等级成长!$B$36:$G$42,MATCH(AC$3,坦克等级成长!$B$35:$G$35,0)),0)</f>
        <v>890</v>
      </c>
      <c r="AD57" s="33">
        <f t="shared" si="36"/>
        <v>890</v>
      </c>
      <c r="AE57" s="33">
        <v>662.2</v>
      </c>
      <c r="AF57" s="33">
        <f>ROUND(坦克等级成长!$D154*VLOOKUP($Z$2,坦克等级成长!$B$36:$G$42,MATCH(AF$3,坦克等级成长!$B$35:$G$35,0)),0)</f>
        <v>813</v>
      </c>
      <c r="AG57" s="33">
        <f>ROUND(坦克等级成长!$D154*VLOOKUP($Z$2,坦克等级成长!$B$36:$G$42,MATCH(AG$3,坦克等级成长!$B$35:$G$35,0)),0)</f>
        <v>217</v>
      </c>
      <c r="AH57" s="199">
        <v>4</v>
      </c>
      <c r="AI57" s="33">
        <f>ROUND(坦克等级成长!$F154*VLOOKUP($Z$2,坦克等级成长!$B$36:$G$42,MATCH(AI$3,坦克等级成长!$B$35:$G$35,0)),0)</f>
        <v>2208</v>
      </c>
      <c r="AJ57" s="33">
        <f>ROUND(坦克等级成长!$F154*VLOOKUP($Z$2,坦克等级成长!$B$36:$G$42,MATCH(AJ$3,坦克等级成长!$B$35:$G$35,0)),0)</f>
        <v>117</v>
      </c>
      <c r="AK57" s="33">
        <f>ROUND(坦克等级成长!$F154*VLOOKUP($Z$2,坦克等级成长!$B$36:$G$42,MATCH(AK$3,坦克等级成长!$B$35:$G$35,0)),0)</f>
        <v>907</v>
      </c>
      <c r="AL57" s="33">
        <f t="shared" si="8"/>
        <v>907</v>
      </c>
      <c r="AM57" s="33">
        <v>685</v>
      </c>
      <c r="AN57" s="33">
        <f>ROUND(坦克等级成长!$F154*VLOOKUP($Z$2,坦克等级成长!$B$36:$G$42,MATCH(AN$3,坦克等级成长!$B$35:$G$35,0)),0)</f>
        <v>828</v>
      </c>
      <c r="AO57" s="33">
        <f>ROUND(坦克等级成长!$F154*VLOOKUP($Z$2,坦克等级成长!$B$36:$G$42,MATCH(AO$3,坦克等级成长!$B$35:$G$35,0)),0)</f>
        <v>221</v>
      </c>
      <c r="AP57" s="192">
        <v>4</v>
      </c>
      <c r="AQ57" s="33">
        <f>ROUND(坦克等级成长!$H154*VLOOKUP($Z$2,坦克等级成长!$B$36:$G$42,MATCH(AQ$3,坦克等级成长!$B$35:$G$35,0)),0)</f>
        <v>2248</v>
      </c>
      <c r="AR57" s="33">
        <f>ROUND(坦克等级成长!$H154*VLOOKUP($Z$2,坦克等级成长!$B$36:$G$42,MATCH(AR$3,坦克等级成长!$B$35:$G$35,0)),0)</f>
        <v>119</v>
      </c>
      <c r="AS57" s="33">
        <f>ROUND(坦克等级成长!$H154*VLOOKUP($Z$2,坦克等级成长!$B$36:$G$42,MATCH(AS$3,坦克等级成长!$B$35:$G$35,0)),0)</f>
        <v>923</v>
      </c>
      <c r="AT57" s="33">
        <f t="shared" si="22"/>
        <v>923</v>
      </c>
      <c r="AU57" s="33">
        <v>685</v>
      </c>
      <c r="AV57" s="33">
        <f>ROUND(坦克等级成长!$H154*VLOOKUP($Z$2,坦克等级成长!$B$36:$G$42,MATCH(AV$3,坦克等级成长!$B$35:$G$35,0)),0)</f>
        <v>843</v>
      </c>
      <c r="AW57" s="33">
        <f>ROUND(坦克等级成长!$H154*VLOOKUP($Z$2,坦克等级成长!$B$36:$G$42,MATCH(AW$3,坦克等级成长!$B$35:$G$35,0)),0)</f>
        <v>225</v>
      </c>
      <c r="AX57" s="192">
        <v>4</v>
      </c>
      <c r="AY57" s="33">
        <f>ROUND(坦克等级成长!$D154*VLOOKUP($AX$2,坦克等级成长!$B$36:$G$42,MATCH(AY$3,坦克等级成长!$B$35:$G$35,0)),0)</f>
        <v>2168</v>
      </c>
      <c r="AZ57" s="33">
        <f>ROUND(坦克等级成长!$D154*VLOOKUP($AX$2,坦克等级成长!$B$36:$G$42,MATCH(AZ$3,坦克等级成长!$B$35:$G$35,0)),0)</f>
        <v>216</v>
      </c>
      <c r="BA57" s="33">
        <f>ROUND(坦克等级成长!$D154*VLOOKUP($AX$2,坦克等级成长!$B$36:$G$42,MATCH(BA$3,坦克等级成长!$B$35:$G$35,0)),0)</f>
        <v>813</v>
      </c>
      <c r="BB57" s="33">
        <f t="shared" si="37"/>
        <v>813</v>
      </c>
      <c r="BC57" s="33">
        <v>604.79999999999995</v>
      </c>
      <c r="BD57" s="33">
        <f>ROUND(坦克等级成长!$D154*VLOOKUP($AX$2,坦克等级成长!$B$36:$G$42,MATCH(BD$3,坦克等级成长!$B$35:$G$35,0)),0)</f>
        <v>813</v>
      </c>
      <c r="BE57" s="33">
        <f>ROUND(坦克等级成长!$D154*VLOOKUP($AX$2,坦克等级成长!$B$36:$G$42,MATCH(BE$3,坦克等级成长!$B$35:$G$35,0)),0)</f>
        <v>217</v>
      </c>
      <c r="BF57" s="199">
        <v>4</v>
      </c>
      <c r="BG57" s="33">
        <f>ROUND(坦克等级成长!$F154*VLOOKUP($AX$2,坦克等级成长!$B$36:$G$42,MATCH(BG$3,坦克等级成长!$B$35:$G$35,0)),0)</f>
        <v>2208</v>
      </c>
      <c r="BH57" s="33">
        <f>ROUND(坦克等级成长!$F154*VLOOKUP($AX$2,坦克等级成长!$B$36:$G$42,MATCH(BH$3,坦克等级成长!$B$35:$G$35,0)),0)</f>
        <v>220</v>
      </c>
      <c r="BI57" s="33">
        <f>ROUND(坦克等级成长!$F154*VLOOKUP($AX$2,坦克等级成长!$B$36:$G$42,MATCH(BI$3,坦克等级成长!$B$35:$G$35,0)),0)</f>
        <v>828</v>
      </c>
      <c r="BJ57" s="33">
        <f t="shared" si="9"/>
        <v>828</v>
      </c>
      <c r="BK57" s="33">
        <v>626</v>
      </c>
      <c r="BL57" s="33">
        <f>ROUND(坦克等级成长!$F154*VLOOKUP($AX$2,坦克等级成长!$B$36:$G$42,MATCH(BL$3,坦克等级成长!$B$35:$G$35,0)),0)</f>
        <v>828</v>
      </c>
      <c r="BM57" s="33">
        <f>ROUND(坦克等级成长!$F154*VLOOKUP($AX$2,坦克等级成长!$B$36:$G$42,MATCH(BM$3,坦克等级成长!$B$35:$G$35,0)),0)</f>
        <v>221</v>
      </c>
      <c r="BN57" s="192">
        <v>4</v>
      </c>
      <c r="BO57" s="33">
        <f>ROUND(坦克等级成长!$H154*VLOOKUP($AX$2,坦克等级成长!$B$36:$G$42,MATCH(BO$3,坦克等级成长!$B$35:$G$35,0)),0)</f>
        <v>2248</v>
      </c>
      <c r="BP57" s="33">
        <f>ROUND(坦克等级成长!$H154*VLOOKUP($AX$2,坦克等级成长!$B$36:$G$42,MATCH(BP$3,坦克等级成长!$B$35:$G$35,0)),0)</f>
        <v>224</v>
      </c>
      <c r="BQ57" s="33">
        <f>ROUND(坦克等级成长!$H154*VLOOKUP($AX$2,坦克等级成长!$B$36:$G$42,MATCH(BQ$3,坦克等级成长!$B$35:$G$35,0)),0)</f>
        <v>843</v>
      </c>
      <c r="BR57" s="33">
        <f t="shared" si="23"/>
        <v>843</v>
      </c>
      <c r="BS57" s="33">
        <v>626</v>
      </c>
      <c r="BT57" s="33">
        <f>ROUND(坦克等级成长!$H154*VLOOKUP($AX$2,坦克等级成长!$B$36:$G$42,MATCH(BT$3,坦克等级成长!$B$35:$G$35,0)),0)</f>
        <v>843</v>
      </c>
      <c r="BU57" s="33">
        <f>ROUND(坦克等级成长!$H154*VLOOKUP($AX$2,坦克等级成长!$B$36:$G$42,MATCH(BU$3,坦克等级成长!$B$35:$G$35,0)),0)</f>
        <v>225</v>
      </c>
      <c r="BV57" s="192">
        <v>4</v>
      </c>
      <c r="BW57" s="33">
        <f>ROUND(坦克等级成长!$D154*VLOOKUP($BV$2,坦克等级成长!$B$36:$G$42,MATCH(BW$3,坦克等级成长!$B$35:$G$35,0)),0)</f>
        <v>2340</v>
      </c>
      <c r="BX57" s="33">
        <f>ROUND(坦克等级成长!$D154*VLOOKUP($BV$2,坦克等级成长!$B$36:$G$42,MATCH(BX$3,坦克等级成长!$B$35:$G$35,0)),0)</f>
        <v>201</v>
      </c>
      <c r="BY57" s="33">
        <f>ROUND(坦克等级成长!$D154*VLOOKUP($BV$2,坦克等级成长!$B$36:$G$42,MATCH(BY$3,坦克等级成长!$B$35:$G$35,0)),0)</f>
        <v>774</v>
      </c>
      <c r="BZ57" s="33">
        <f t="shared" si="38"/>
        <v>774</v>
      </c>
      <c r="CA57" s="33">
        <v>617.25</v>
      </c>
      <c r="CB57" s="33">
        <f>ROUND(坦克等级成长!$D154*VLOOKUP($BV$2,坦克等级成长!$B$36:$G$42,MATCH(CB$3,坦克等级成长!$B$35:$G$35,0)),0)</f>
        <v>976</v>
      </c>
      <c r="CC57" s="33">
        <f>ROUND(坦克等级成长!$D154*VLOOKUP($BV$2,坦克等级成长!$B$36:$G$42,MATCH(CC$3,坦克等级成长!$B$35:$G$35,0)),0)</f>
        <v>234</v>
      </c>
      <c r="CD57" s="199">
        <v>4</v>
      </c>
      <c r="CE57" s="33">
        <f>ROUND(坦克等级成长!$F154*VLOOKUP($BV$2,坦克等级成长!$B$36:$G$42,MATCH(CE$3,坦克等级成长!$B$35:$G$35,0)),0)</f>
        <v>2383</v>
      </c>
      <c r="CF57" s="33">
        <f>ROUND(坦克等级成长!$F154*VLOOKUP($BV$2,坦克等级成长!$B$36:$G$42,MATCH(CF$3,坦克等级成长!$B$35:$G$35,0)),0)</f>
        <v>205</v>
      </c>
      <c r="CG57" s="33">
        <f>ROUND(坦克等级成长!$F154*VLOOKUP($BV$2,坦克等级成长!$B$36:$G$42,MATCH(CG$3,坦克等级成长!$B$35:$G$35,0)),0)</f>
        <v>789</v>
      </c>
      <c r="CH57" s="33">
        <f t="shared" si="10"/>
        <v>789</v>
      </c>
      <c r="CI57" s="33">
        <v>638</v>
      </c>
      <c r="CJ57" s="33">
        <f>ROUND(坦克等级成长!$F154*VLOOKUP($BV$2,坦克等级成长!$B$36:$G$42,MATCH(CJ$3,坦克等级成长!$B$35:$G$35,0)),0)</f>
        <v>994</v>
      </c>
      <c r="CK57" s="33">
        <f>ROUND(坦克等级成长!$F154*VLOOKUP($BV$2,坦克等级成长!$B$36:$G$42,MATCH(CK$3,坦克等级成长!$B$35:$G$35,0)),0)</f>
        <v>238</v>
      </c>
      <c r="CL57" s="192">
        <v>4</v>
      </c>
      <c r="CM57" s="33">
        <f>ROUND(坦克等级成长!$H154*VLOOKUP($BV$2,坦克等级成长!$B$36:$G$42,MATCH(CM$3,坦克等级成长!$B$35:$G$35,0)),0)</f>
        <v>2426</v>
      </c>
      <c r="CN57" s="33">
        <f>ROUND(坦克等级成长!$H154*VLOOKUP($BV$2,坦克等级成长!$B$36:$G$42,MATCH(CN$3,坦克等级成长!$B$35:$G$35,0)),0)</f>
        <v>209</v>
      </c>
      <c r="CO57" s="33">
        <f>ROUND(坦克等级成长!$H154*VLOOKUP($BV$2,坦克等级成长!$B$36:$G$42,MATCH(CO$3,坦克等级成长!$B$35:$G$35,0)),0)</f>
        <v>803</v>
      </c>
      <c r="CP57" s="33">
        <f t="shared" si="24"/>
        <v>803</v>
      </c>
      <c r="CQ57" s="33">
        <v>638</v>
      </c>
      <c r="CR57" s="33">
        <f>ROUND(坦克等级成长!$H154*VLOOKUP($BV$2,坦克等级成长!$B$36:$G$42,MATCH(CR$3,坦克等级成长!$B$35:$G$35,0)),0)</f>
        <v>1012</v>
      </c>
      <c r="CS57" s="33">
        <f>ROUND(坦克等级成长!$H154*VLOOKUP($BV$2,坦克等级成长!$B$36:$G$42,MATCH(CS$3,坦克等级成长!$B$35:$G$35,0)),0)</f>
        <v>243</v>
      </c>
      <c r="CT57" s="192">
        <v>4</v>
      </c>
      <c r="CU57" s="33">
        <f>ROUND(坦克等级成长!$D154*VLOOKUP($CT$2,坦克等级成长!$B$36:$G$42,MATCH(CU$3,坦克等级成长!$B$35:$G$35,0)),0)</f>
        <v>2168</v>
      </c>
      <c r="CV57" s="33">
        <f>ROUND(坦克等级成长!$D154*VLOOKUP($CT$2,坦克等级成长!$B$36:$G$42,MATCH(CV$3,坦克等级成长!$B$35:$G$35,0)),0)</f>
        <v>436</v>
      </c>
      <c r="CW57" s="33">
        <f>ROUND(坦克等级成长!$D154*VLOOKUP($CT$2,坦克等级成长!$B$36:$G$42,MATCH(CW$3,坦克等级成长!$B$35:$G$35,0)),0)</f>
        <v>968</v>
      </c>
      <c r="CX57" s="33">
        <f t="shared" si="39"/>
        <v>968</v>
      </c>
      <c r="CY57" s="33">
        <v>771.75</v>
      </c>
      <c r="CZ57" s="33">
        <f>ROUND(坦克等级成长!$D154*VLOOKUP($CT$2,坦克等级成长!$B$36:$G$42,MATCH(CZ$3,坦克等级成长!$B$35:$G$35,0)),0)</f>
        <v>813</v>
      </c>
      <c r="DA57" s="33">
        <f>ROUND(坦克等级成长!$D154*VLOOKUP($CT$2,坦克等级成长!$B$36:$G$42,MATCH(DA$3,坦克等级成长!$B$35:$G$35,0)),0)</f>
        <v>217</v>
      </c>
      <c r="DB57" s="199">
        <v>4</v>
      </c>
      <c r="DC57" s="33">
        <f>ROUND(坦克等级成长!$F154*VLOOKUP($CT$2,坦克等级成长!$B$36:$G$42,MATCH(DC$3,坦克等级成长!$B$35:$G$35,0)),0)</f>
        <v>2208</v>
      </c>
      <c r="DD57" s="33">
        <f>ROUND(坦克等级成长!$F154*VLOOKUP($CT$2,坦克等级成长!$B$36:$G$42,MATCH(DD$3,坦克等级成长!$B$35:$G$35,0)),0)</f>
        <v>444</v>
      </c>
      <c r="DE57" s="33">
        <f>ROUND(坦克等级成长!$F154*VLOOKUP($CT$2,坦克等级成长!$B$36:$G$42,MATCH(DE$3,坦克等级成长!$B$35:$G$35,0)),0)</f>
        <v>986</v>
      </c>
      <c r="DF57" s="33">
        <f t="shared" si="11"/>
        <v>986</v>
      </c>
      <c r="DG57" s="33">
        <v>798</v>
      </c>
      <c r="DH57" s="33">
        <f>ROUND(坦克等级成长!$F154*VLOOKUP($CT$2,坦克等级成长!$B$36:$G$42,MATCH(DH$3,坦克等级成长!$B$35:$G$35,0)),0)</f>
        <v>828</v>
      </c>
      <c r="DI57" s="33">
        <f>ROUND(坦克等级成长!$F154*VLOOKUP($CT$2,坦克等级成长!$B$36:$G$42,MATCH(DI$3,坦克等级成长!$B$35:$G$35,0)),0)</f>
        <v>221</v>
      </c>
      <c r="DJ57" s="192">
        <v>4</v>
      </c>
      <c r="DK57" s="33">
        <f>ROUND(坦克等级成长!$H154*VLOOKUP($CT$2,坦克等级成长!$B$36:$G$42,MATCH(DK$3,坦克等级成长!$B$35:$G$35,0)),0)</f>
        <v>2248</v>
      </c>
      <c r="DL57" s="33">
        <f>ROUND(坦克等级成长!$H154*VLOOKUP($CT$2,坦克等级成长!$B$36:$G$42,MATCH(DL$3,坦克等级成长!$B$35:$G$35,0)),0)</f>
        <v>453</v>
      </c>
      <c r="DM57" s="33">
        <f>ROUND(坦克等级成长!$H154*VLOOKUP($CT$2,坦克等级成长!$B$36:$G$42,MATCH(DM$3,坦克等级成长!$B$35:$G$35,0)),0)</f>
        <v>1004</v>
      </c>
      <c r="DN57" s="33">
        <f t="shared" si="25"/>
        <v>1004</v>
      </c>
      <c r="DO57" s="33">
        <v>798</v>
      </c>
      <c r="DP57" s="33">
        <f>ROUND(坦克等级成长!$H154*VLOOKUP($CT$2,坦克等级成长!$B$36:$G$42,MATCH(DP$3,坦克等级成长!$B$35:$G$35,0)),0)</f>
        <v>843</v>
      </c>
      <c r="DQ57" s="33">
        <f>ROUND(坦克等级成长!$H154*VLOOKUP($CT$2,坦克等级成长!$B$36:$G$42,MATCH(DQ$3,坦克等级成长!$B$35:$G$35,0)),0)</f>
        <v>225</v>
      </c>
      <c r="DR57" s="192">
        <v>4</v>
      </c>
      <c r="DS57" s="33">
        <f>ROUND(坦克等级成长!$D154*VLOOKUP($DR$2,坦克等级成长!$B$36:$G$42,MATCH(DS$3,坦克等级成长!$B$35:$G$35,0)),0)</f>
        <v>2652</v>
      </c>
      <c r="DT57" s="33">
        <f>ROUND(坦克等级成长!$D154*VLOOKUP($DR$2,坦克等级成长!$B$36:$G$42,MATCH(DT$3,坦克等级成长!$B$35:$G$35,0)),0)</f>
        <v>726</v>
      </c>
      <c r="DU57" s="33">
        <f>ROUND(坦克等级成长!$D154*VLOOKUP($DR$2,坦克等级成长!$B$36:$G$42,MATCH(DU$3,坦克等级成长!$B$35:$G$35,0)),0)</f>
        <v>774</v>
      </c>
      <c r="DV57" s="33">
        <f t="shared" si="40"/>
        <v>774</v>
      </c>
      <c r="DW57" s="33">
        <v>658.4</v>
      </c>
      <c r="DX57" s="33">
        <f>ROUND(坦克等级成长!$D154*VLOOKUP($DR$2,坦克等级成长!$B$36:$G$42,MATCH(DX$3,坦克等级成长!$B$35:$G$35,0)),0)</f>
        <v>1138</v>
      </c>
      <c r="DY57" s="33">
        <f>ROUND(坦克等级成长!$D154*VLOOKUP($DR$2,坦克等级成长!$B$36:$G$42,MATCH(DY$3,坦克等级成长!$B$35:$G$35,0)),0)</f>
        <v>265</v>
      </c>
      <c r="DZ57" s="199">
        <v>4</v>
      </c>
      <c r="EA57" s="33">
        <f>ROUND(坦克等级成长!$F154*VLOOKUP($DR$2,坦克等级成长!$B$36:$G$42,MATCH(EA$3,坦克等级成长!$B$35:$G$35,0)),0)</f>
        <v>2701</v>
      </c>
      <c r="EB57" s="33">
        <f>ROUND(坦克等级成长!$F154*VLOOKUP($DR$2,坦克等级成长!$B$36:$G$42,MATCH(EB$3,坦克等级成长!$B$35:$G$35,0)),0)</f>
        <v>740</v>
      </c>
      <c r="EC57" s="33">
        <f>ROUND(坦克等级成长!$F154*VLOOKUP($DR$2,坦克等级成长!$B$36:$G$42,MATCH(EC$3,坦克等级成长!$B$35:$G$35,0)),0)</f>
        <v>789</v>
      </c>
      <c r="ED57" s="33">
        <f t="shared" si="12"/>
        <v>789</v>
      </c>
      <c r="EE57" s="33">
        <v>681</v>
      </c>
      <c r="EF57" s="33">
        <f>ROUND(坦克等级成长!$F154*VLOOKUP($DR$2,坦克等级成长!$B$36:$G$42,MATCH(EF$3,坦克等级成长!$B$35:$G$35,0)),0)</f>
        <v>1159</v>
      </c>
      <c r="EG57" s="33">
        <f>ROUND(坦克等级成长!$F154*VLOOKUP($DR$2,坦克等级成长!$B$36:$G$42,MATCH(EG$3,坦克等级成长!$B$35:$G$35,0)),0)</f>
        <v>270</v>
      </c>
      <c r="EH57" s="192">
        <v>4</v>
      </c>
      <c r="EI57" s="33">
        <f>ROUND(坦克等级成长!$H154*VLOOKUP($DR$2,坦克等级成长!$B$36:$G$42,MATCH(EI$3,坦克等级成长!$B$35:$G$35,0)),0)</f>
        <v>2750</v>
      </c>
      <c r="EJ57" s="33">
        <f>ROUND(坦克等级成长!$H154*VLOOKUP($DR$2,坦克等级成长!$B$36:$G$42,MATCH(EJ$3,坦克等级成长!$B$35:$G$35,0)),0)</f>
        <v>753</v>
      </c>
      <c r="EK57" s="33">
        <f>ROUND(坦克等级成长!$H154*VLOOKUP($DR$2,坦克等级成长!$B$36:$G$42,MATCH(EK$3,坦克等级成长!$B$35:$G$35,0)),0)</f>
        <v>803</v>
      </c>
      <c r="EL57" s="33">
        <f t="shared" si="26"/>
        <v>803</v>
      </c>
      <c r="EM57" s="33">
        <v>681</v>
      </c>
      <c r="EN57" s="33">
        <f>ROUND(坦克等级成长!$H154*VLOOKUP($DR$2,坦克等级成长!$B$36:$G$42,MATCH(EN$3,坦克等级成长!$B$35:$G$35,0)),0)</f>
        <v>1180</v>
      </c>
      <c r="EO57" s="33">
        <f>ROUND(坦克等级成长!$H154*VLOOKUP($DR$2,坦克等级成长!$B$36:$G$42,MATCH(EO$3,坦克等级成长!$B$35:$G$35,0)),0)</f>
        <v>275</v>
      </c>
      <c r="EP57" s="192">
        <v>4</v>
      </c>
      <c r="EQ57" s="33">
        <f>ROUND(坦克等级成长!$D154*VLOOKUP($EP$2,坦克等级成长!$B$36:$G$42,MATCH(EQ$3,坦克等级成长!$B$35:$G$35,0)),0)</f>
        <v>2340</v>
      </c>
      <c r="ER57" s="33">
        <f>ROUND(坦克等级成长!$D154*VLOOKUP($EP$2,坦克等级成长!$B$36:$G$42,MATCH(ER$3,坦克等级成长!$B$35:$G$35,0)),0)</f>
        <v>241</v>
      </c>
      <c r="ES57" s="33">
        <f>ROUND(坦克等级成长!$D154*VLOOKUP($EP$2,坦克等级成长!$B$36:$G$42,MATCH(ES$3,坦克等级成长!$B$35:$G$35,0)),0)</f>
        <v>890</v>
      </c>
      <c r="ET57" s="33">
        <f t="shared" si="41"/>
        <v>890</v>
      </c>
      <c r="EU57" s="33">
        <v>709.5</v>
      </c>
      <c r="EV57" s="33">
        <f>ROUND(坦克等级成长!$D154*VLOOKUP($EP$2,坦克等级成长!$B$36:$G$42,MATCH(EV$3,坦克等级成长!$B$35:$G$35,0)),0)</f>
        <v>976</v>
      </c>
      <c r="EW57" s="33">
        <f>ROUND(坦克等级成长!$D154*VLOOKUP($EP$2,坦克等级成长!$B$36:$G$42,MATCH(EW$3,坦克等级成长!$B$35:$G$35,0)),0)</f>
        <v>234</v>
      </c>
      <c r="EX57" s="199">
        <v>4</v>
      </c>
      <c r="EY57" s="33">
        <f>ROUND(坦克等级成长!$F154*VLOOKUP($EP$2,坦克等级成长!$B$36:$G$42,MATCH(EY$3,坦克等级成长!$B$35:$G$35,0)),0)</f>
        <v>2383</v>
      </c>
      <c r="EZ57" s="33">
        <f>ROUND(坦克等级成长!$F154*VLOOKUP($EP$2,坦克等级成长!$B$36:$G$42,MATCH(EZ$3,坦克等级成长!$B$35:$G$35,0)),0)</f>
        <v>246</v>
      </c>
      <c r="FA57" s="33">
        <f>ROUND(坦克等级成长!$F154*VLOOKUP($EP$2,坦克等级成长!$B$36:$G$42,MATCH(FA$3,坦克等级成长!$B$35:$G$35,0)),0)</f>
        <v>907</v>
      </c>
      <c r="FB57" s="33">
        <f t="shared" si="13"/>
        <v>907</v>
      </c>
      <c r="FC57" s="33">
        <v>734</v>
      </c>
      <c r="FD57" s="33">
        <f>ROUND(坦克等级成长!$F154*VLOOKUP($EP$2,坦克等级成长!$B$36:$G$42,MATCH(FD$3,坦克等级成长!$B$35:$G$35,0)),0)</f>
        <v>994</v>
      </c>
      <c r="FE57" s="33">
        <f>ROUND(坦克等级成长!$F154*VLOOKUP($EP$2,坦克等级成长!$B$36:$G$42,MATCH(FE$3,坦克等级成长!$B$35:$G$35,0)),0)</f>
        <v>238</v>
      </c>
      <c r="FF57" s="192">
        <v>4</v>
      </c>
      <c r="FG57" s="33">
        <f>ROUND(坦克等级成长!$H154*VLOOKUP($EP$2,坦克等级成长!$B$36:$G$42,MATCH(FG$3,坦克等级成长!$B$35:$G$35,0)),0)</f>
        <v>2426</v>
      </c>
      <c r="FH57" s="33">
        <f>ROUND(坦克等级成长!$H154*VLOOKUP($EP$2,坦克等级成长!$B$36:$G$42,MATCH(FH$3,坦克等级成长!$B$35:$G$35,0)),0)</f>
        <v>250</v>
      </c>
      <c r="FI57" s="33">
        <f>ROUND(坦克等级成长!$H154*VLOOKUP($EP$2,坦克等级成长!$B$36:$G$42,MATCH(FI$3,坦克等级成长!$B$35:$G$35,0)),0)</f>
        <v>923</v>
      </c>
      <c r="FJ57" s="33">
        <f t="shared" si="27"/>
        <v>923</v>
      </c>
      <c r="FK57" s="33">
        <v>734</v>
      </c>
      <c r="FL57" s="33">
        <f>ROUND(坦克等级成长!$H154*VLOOKUP($EP$2,坦克等级成长!$B$36:$G$42,MATCH(FL$3,坦克等级成长!$B$35:$G$35,0)),0)</f>
        <v>1012</v>
      </c>
      <c r="FM57" s="33">
        <f>ROUND(坦克等级成长!$H154*VLOOKUP($EP$2,坦克等级成长!$B$36:$G$42,MATCH(FM$3,坦克等级成长!$B$35:$G$35,0)),0)</f>
        <v>243</v>
      </c>
    </row>
    <row r="58" spans="1:169" ht="14.25" x14ac:dyDescent="0.3">
      <c r="A58" s="189">
        <v>5</v>
      </c>
      <c r="B58" s="192">
        <v>5</v>
      </c>
      <c r="C58" s="33">
        <f>ROUND(坦克等级成长!$D155*VLOOKUP($B$2,坦克等级成长!$B$36:$G$42,MATCH(C$3,坦克等级成长!$B$35:$G$35,0)),0)</f>
        <v>2256</v>
      </c>
      <c r="D58" s="33">
        <f>ROUND(坦克等级成长!$D155*VLOOKUP($B$2,坦克等级成长!$B$36:$G$42,MATCH(D$3,坦克等级成长!$B$35:$G$35,0)),0)</f>
        <v>225</v>
      </c>
      <c r="E58" s="33">
        <f>ROUND(坦克等级成长!$D155*VLOOKUP($B$2,坦克等级成长!$B$36:$G$42,MATCH(E$3,坦克等级成长!$B$35:$G$35,0)),0)</f>
        <v>846</v>
      </c>
      <c r="F58" s="33">
        <f t="shared" si="35"/>
        <v>846</v>
      </c>
      <c r="G58" s="33">
        <v>630</v>
      </c>
      <c r="H58" s="33">
        <f>ROUND(坦克等级成长!$D155*VLOOKUP($B$2,坦克等级成长!$B$36:$G$42,MATCH(H$3,坦克等级成长!$B$35:$G$35,0)),0)</f>
        <v>846</v>
      </c>
      <c r="I58" s="33">
        <f>ROUND(坦克等级成长!$D155*VLOOKUP($B$2,坦克等级成长!$B$36:$G$42,MATCH(I$3,坦克等级成长!$B$35:$G$35,0)),0)</f>
        <v>226</v>
      </c>
      <c r="J58" s="199">
        <v>5</v>
      </c>
      <c r="K58" s="33">
        <f>ROUND(坦克等级成长!$F155*VLOOKUP($B$2,坦克等级成长!$B$36:$G$42,MATCH(K$3,坦克等级成长!$B$35:$G$35,0)),0)</f>
        <v>2296</v>
      </c>
      <c r="L58" s="33">
        <f>ROUND(坦克等级成长!$F155*VLOOKUP($B$2,坦克等级成长!$B$36:$G$42,MATCH(L$3,坦克等级成长!$B$35:$G$35,0)),0)</f>
        <v>229</v>
      </c>
      <c r="M58" s="33">
        <f>ROUND(坦克等级成长!$F155*VLOOKUP($B$2,坦克等级成长!$B$36:$G$42,MATCH(M$3,坦克等级成长!$B$35:$G$35,0)),0)</f>
        <v>861</v>
      </c>
      <c r="N58" s="33">
        <f t="shared" si="7"/>
        <v>861</v>
      </c>
      <c r="O58" s="33">
        <v>651</v>
      </c>
      <c r="P58" s="33">
        <f>ROUND(坦克等级成长!$F155*VLOOKUP($B$2,坦克等级成长!$B$36:$G$42,MATCH(P$3,坦克等级成长!$B$35:$G$35,0)),0)</f>
        <v>861</v>
      </c>
      <c r="Q58" s="33">
        <f>ROUND(坦克等级成长!$F155*VLOOKUP($B$2,坦克等级成长!$B$36:$G$42,MATCH(Q$3,坦克等级成长!$B$35:$G$35,0)),0)</f>
        <v>230</v>
      </c>
      <c r="R58" s="192">
        <v>5</v>
      </c>
      <c r="S58" s="33">
        <f>ROUND(坦克等级成长!$H155*VLOOKUP($B$2,坦克等级成长!$B$36:$G$42,MATCH(S$3,坦克等级成长!$B$35:$G$35,0)),0)</f>
        <v>2336</v>
      </c>
      <c r="T58" s="33">
        <f>ROUND(坦克等级成长!$H155*VLOOKUP($B$2,坦克等级成长!$B$36:$G$42,MATCH(T$3,坦克等级成长!$B$35:$G$35,0)),0)</f>
        <v>233</v>
      </c>
      <c r="U58" s="33">
        <f>ROUND(坦克等级成长!$H155*VLOOKUP($B$2,坦克等级成长!$B$36:$G$42,MATCH(U$3,坦克等级成长!$B$35:$G$35,0)),0)</f>
        <v>876</v>
      </c>
      <c r="V58" s="33">
        <f t="shared" si="21"/>
        <v>876</v>
      </c>
      <c r="W58" s="33">
        <v>651</v>
      </c>
      <c r="X58" s="33">
        <f>ROUND(坦克等级成长!$H155*VLOOKUP($B$2,坦克等级成长!$B$36:$G$42,MATCH(X$3,坦克等级成长!$B$35:$G$35,0)),0)</f>
        <v>876</v>
      </c>
      <c r="Y58" s="33">
        <f>ROUND(坦克等级成长!$H155*VLOOKUP($B$2,坦克等级成长!$B$36:$G$42,MATCH(Y$3,坦克等级成长!$B$35:$G$35,0)),0)</f>
        <v>234</v>
      </c>
      <c r="Z58" s="192">
        <v>5</v>
      </c>
      <c r="AA58" s="33">
        <f>ROUND(坦克等级成长!$D155*VLOOKUP($Z$2,坦克等级成长!$B$36:$G$42,MATCH(AA$3,坦克等级成长!$B$35:$G$35,0)),0)</f>
        <v>2256</v>
      </c>
      <c r="AB58" s="33">
        <f>ROUND(坦克等级成长!$D155*VLOOKUP($Z$2,坦克等级成长!$B$36:$G$42,MATCH(AB$3,坦克等级成长!$B$35:$G$35,0)),0)</f>
        <v>120</v>
      </c>
      <c r="AC58" s="33">
        <f>ROUND(坦克等级成长!$D155*VLOOKUP($Z$2,坦克等级成长!$B$36:$G$42,MATCH(AC$3,坦克等级成长!$B$35:$G$35,0)),0)</f>
        <v>927</v>
      </c>
      <c r="AD58" s="33">
        <f t="shared" si="36"/>
        <v>927</v>
      </c>
      <c r="AE58" s="33">
        <v>690.2</v>
      </c>
      <c r="AF58" s="33">
        <f>ROUND(坦克等级成长!$D155*VLOOKUP($Z$2,坦克等级成长!$B$36:$G$42,MATCH(AF$3,坦克等级成长!$B$35:$G$35,0)),0)</f>
        <v>846</v>
      </c>
      <c r="AG58" s="33">
        <f>ROUND(坦克等级成长!$D155*VLOOKUP($Z$2,坦克等级成长!$B$36:$G$42,MATCH(AG$3,坦克等级成长!$B$35:$G$35,0)),0)</f>
        <v>226</v>
      </c>
      <c r="AH58" s="199">
        <v>5</v>
      </c>
      <c r="AI58" s="33">
        <f>ROUND(坦克等级成长!$F155*VLOOKUP($Z$2,坦克等级成长!$B$36:$G$42,MATCH(AI$3,坦克等级成长!$B$35:$G$35,0)),0)</f>
        <v>2296</v>
      </c>
      <c r="AJ58" s="33">
        <f>ROUND(坦克等级成长!$F155*VLOOKUP($Z$2,坦克等级成长!$B$36:$G$42,MATCH(AJ$3,坦克等级成长!$B$35:$G$35,0)),0)</f>
        <v>122</v>
      </c>
      <c r="AK58" s="33">
        <f>ROUND(坦克等级成长!$F155*VLOOKUP($Z$2,坦克等级成长!$B$36:$G$42,MATCH(AK$3,坦克等级成长!$B$35:$G$35,0)),0)</f>
        <v>943</v>
      </c>
      <c r="AL58" s="33">
        <f t="shared" si="8"/>
        <v>943</v>
      </c>
      <c r="AM58" s="33">
        <v>713</v>
      </c>
      <c r="AN58" s="33">
        <f>ROUND(坦克等级成长!$F155*VLOOKUP($Z$2,坦克等级成长!$B$36:$G$42,MATCH(AN$3,坦克等级成长!$B$35:$G$35,0)),0)</f>
        <v>861</v>
      </c>
      <c r="AO58" s="33">
        <f>ROUND(坦克等级成长!$F155*VLOOKUP($Z$2,坦克等级成长!$B$36:$G$42,MATCH(AO$3,坦克等级成长!$B$35:$G$35,0)),0)</f>
        <v>230</v>
      </c>
      <c r="AP58" s="192">
        <v>5</v>
      </c>
      <c r="AQ58" s="33">
        <f>ROUND(坦克等级成长!$H155*VLOOKUP($Z$2,坦克等级成长!$B$36:$G$42,MATCH(AQ$3,坦克等级成长!$B$35:$G$35,0)),0)</f>
        <v>2336</v>
      </c>
      <c r="AR58" s="33">
        <f>ROUND(坦克等级成长!$H155*VLOOKUP($Z$2,坦克等级成长!$B$36:$G$42,MATCH(AR$3,坦克等级成长!$B$35:$G$35,0)),0)</f>
        <v>124</v>
      </c>
      <c r="AS58" s="33">
        <f>ROUND(坦克等级成长!$H155*VLOOKUP($Z$2,坦克等级成长!$B$36:$G$42,MATCH(AS$3,坦克等级成长!$B$35:$G$35,0)),0)</f>
        <v>959</v>
      </c>
      <c r="AT58" s="33">
        <f t="shared" si="22"/>
        <v>959</v>
      </c>
      <c r="AU58" s="33">
        <v>713</v>
      </c>
      <c r="AV58" s="33">
        <f>ROUND(坦克等级成长!$H155*VLOOKUP($Z$2,坦克等级成长!$B$36:$G$42,MATCH(AV$3,坦克等级成长!$B$35:$G$35,0)),0)</f>
        <v>876</v>
      </c>
      <c r="AW58" s="33">
        <f>ROUND(坦克等级成长!$H155*VLOOKUP($Z$2,坦克等级成长!$B$36:$G$42,MATCH(AW$3,坦克等级成长!$B$35:$G$35,0)),0)</f>
        <v>234</v>
      </c>
      <c r="AX58" s="192">
        <v>5</v>
      </c>
      <c r="AY58" s="33">
        <f>ROUND(坦克等级成长!$D155*VLOOKUP($AX$2,坦克等级成长!$B$36:$G$42,MATCH(AY$3,坦克等级成长!$B$35:$G$35,0)),0)</f>
        <v>2256</v>
      </c>
      <c r="AZ58" s="33">
        <f>ROUND(坦克等级成长!$D155*VLOOKUP($AX$2,坦克等级成长!$B$36:$G$42,MATCH(AZ$3,坦克等级成长!$B$35:$G$35,0)),0)</f>
        <v>225</v>
      </c>
      <c r="BA58" s="33">
        <f>ROUND(坦克等级成长!$D155*VLOOKUP($AX$2,坦克等级成长!$B$36:$G$42,MATCH(BA$3,坦克等级成长!$B$35:$G$35,0)),0)</f>
        <v>846</v>
      </c>
      <c r="BB58" s="33">
        <f t="shared" si="37"/>
        <v>846</v>
      </c>
      <c r="BC58" s="33">
        <v>630</v>
      </c>
      <c r="BD58" s="33">
        <f>ROUND(坦克等级成长!$D155*VLOOKUP($AX$2,坦克等级成长!$B$36:$G$42,MATCH(BD$3,坦克等级成长!$B$35:$G$35,0)),0)</f>
        <v>846</v>
      </c>
      <c r="BE58" s="33">
        <f>ROUND(坦克等级成长!$D155*VLOOKUP($AX$2,坦克等级成长!$B$36:$G$42,MATCH(BE$3,坦克等级成长!$B$35:$G$35,0)),0)</f>
        <v>226</v>
      </c>
      <c r="BF58" s="199">
        <v>5</v>
      </c>
      <c r="BG58" s="33">
        <f>ROUND(坦克等级成长!$F155*VLOOKUP($AX$2,坦克等级成长!$B$36:$G$42,MATCH(BG$3,坦克等级成长!$B$35:$G$35,0)),0)</f>
        <v>2296</v>
      </c>
      <c r="BH58" s="33">
        <f>ROUND(坦克等级成长!$F155*VLOOKUP($AX$2,坦克等级成长!$B$36:$G$42,MATCH(BH$3,坦克等级成长!$B$35:$G$35,0)),0)</f>
        <v>229</v>
      </c>
      <c r="BI58" s="33">
        <f>ROUND(坦克等级成长!$F155*VLOOKUP($AX$2,坦克等级成长!$B$36:$G$42,MATCH(BI$3,坦克等级成长!$B$35:$G$35,0)),0)</f>
        <v>861</v>
      </c>
      <c r="BJ58" s="33">
        <f t="shared" si="9"/>
        <v>861</v>
      </c>
      <c r="BK58" s="33">
        <v>651</v>
      </c>
      <c r="BL58" s="33">
        <f>ROUND(坦克等级成长!$F155*VLOOKUP($AX$2,坦克等级成长!$B$36:$G$42,MATCH(BL$3,坦克等级成长!$B$35:$G$35,0)),0)</f>
        <v>861</v>
      </c>
      <c r="BM58" s="33">
        <f>ROUND(坦克等级成长!$F155*VLOOKUP($AX$2,坦克等级成长!$B$36:$G$42,MATCH(BM$3,坦克等级成长!$B$35:$G$35,0)),0)</f>
        <v>230</v>
      </c>
      <c r="BN58" s="192">
        <v>5</v>
      </c>
      <c r="BO58" s="33">
        <f>ROUND(坦克等级成长!$H155*VLOOKUP($AX$2,坦克等级成长!$B$36:$G$42,MATCH(BO$3,坦克等级成长!$B$35:$G$35,0)),0)</f>
        <v>2336</v>
      </c>
      <c r="BP58" s="33">
        <f>ROUND(坦克等级成长!$H155*VLOOKUP($AX$2,坦克等级成长!$B$36:$G$42,MATCH(BP$3,坦克等级成长!$B$35:$G$35,0)),0)</f>
        <v>233</v>
      </c>
      <c r="BQ58" s="33">
        <f>ROUND(坦克等级成长!$H155*VLOOKUP($AX$2,坦克等级成长!$B$36:$G$42,MATCH(BQ$3,坦克等级成长!$B$35:$G$35,0)),0)</f>
        <v>876</v>
      </c>
      <c r="BR58" s="33">
        <f t="shared" si="23"/>
        <v>876</v>
      </c>
      <c r="BS58" s="33">
        <v>651</v>
      </c>
      <c r="BT58" s="33">
        <f>ROUND(坦克等级成长!$H155*VLOOKUP($AX$2,坦克等级成长!$B$36:$G$42,MATCH(BT$3,坦克等级成长!$B$35:$G$35,0)),0)</f>
        <v>876</v>
      </c>
      <c r="BU58" s="33">
        <f>ROUND(坦克等级成长!$H155*VLOOKUP($AX$2,坦克等级成长!$B$36:$G$42,MATCH(BU$3,坦克等级成长!$B$35:$G$35,0)),0)</f>
        <v>234</v>
      </c>
      <c r="BV58" s="192">
        <v>5</v>
      </c>
      <c r="BW58" s="33">
        <f>ROUND(坦克等级成长!$D155*VLOOKUP($BV$2,坦克等级成长!$B$36:$G$42,MATCH(BW$3,坦克等级成长!$B$35:$G$35,0)),0)</f>
        <v>2435</v>
      </c>
      <c r="BX58" s="33">
        <f>ROUND(坦克等级成长!$D155*VLOOKUP($BV$2,坦克等级成长!$B$36:$G$42,MATCH(BX$3,坦克等级成长!$B$35:$G$35,0)),0)</f>
        <v>209</v>
      </c>
      <c r="BY58" s="33">
        <f>ROUND(坦克等级成长!$D155*VLOOKUP($BV$2,坦克等级成长!$B$36:$G$42,MATCH(BY$3,坦克等级成长!$B$35:$G$35,0)),0)</f>
        <v>806</v>
      </c>
      <c r="BZ58" s="33">
        <f t="shared" si="38"/>
        <v>806</v>
      </c>
      <c r="CA58" s="33">
        <v>642.75</v>
      </c>
      <c r="CB58" s="33">
        <f>ROUND(坦克等级成长!$D155*VLOOKUP($BV$2,坦克等级成长!$B$36:$G$42,MATCH(CB$3,坦克等级成长!$B$35:$G$35,0)),0)</f>
        <v>1015</v>
      </c>
      <c r="CC58" s="33">
        <f>ROUND(坦克等级成长!$D155*VLOOKUP($BV$2,坦克等级成长!$B$36:$G$42,MATCH(CC$3,坦克等级成长!$B$35:$G$35,0)),0)</f>
        <v>243</v>
      </c>
      <c r="CD58" s="199">
        <v>5</v>
      </c>
      <c r="CE58" s="33">
        <f>ROUND(坦克等级成长!$F155*VLOOKUP($BV$2,坦克等级成长!$B$36:$G$42,MATCH(CE$3,坦克等级成长!$B$35:$G$35,0)),0)</f>
        <v>2478</v>
      </c>
      <c r="CF58" s="33">
        <f>ROUND(坦克等级成长!$F155*VLOOKUP($BV$2,坦克等级成长!$B$36:$G$42,MATCH(CF$3,坦克等级成长!$B$35:$G$35,0)),0)</f>
        <v>213</v>
      </c>
      <c r="CG58" s="33">
        <f>ROUND(坦克等级成长!$F155*VLOOKUP($BV$2,坦克等级成长!$B$36:$G$42,MATCH(CG$3,坦克等级成长!$B$35:$G$35,0)),0)</f>
        <v>820</v>
      </c>
      <c r="CH58" s="33">
        <f t="shared" si="10"/>
        <v>820</v>
      </c>
      <c r="CI58" s="33">
        <v>665</v>
      </c>
      <c r="CJ58" s="33">
        <f>ROUND(坦克等级成长!$F155*VLOOKUP($BV$2,坦克等级成长!$B$36:$G$42,MATCH(CJ$3,坦克等级成长!$B$35:$G$35,0)),0)</f>
        <v>1033</v>
      </c>
      <c r="CK58" s="33">
        <f>ROUND(坦克等级成长!$F155*VLOOKUP($BV$2,坦克等级成长!$B$36:$G$42,MATCH(CK$3,坦克等级成长!$B$35:$G$35,0)),0)</f>
        <v>248</v>
      </c>
      <c r="CL58" s="192">
        <v>5</v>
      </c>
      <c r="CM58" s="33">
        <f>ROUND(坦克等级成长!$H155*VLOOKUP($BV$2,坦克等级成长!$B$36:$G$42,MATCH(CM$3,坦克等级成长!$B$35:$G$35,0)),0)</f>
        <v>2521</v>
      </c>
      <c r="CN58" s="33">
        <f>ROUND(坦克等级成长!$H155*VLOOKUP($BV$2,坦克等级成长!$B$36:$G$42,MATCH(CN$3,坦克等级成长!$B$35:$G$35,0)),0)</f>
        <v>217</v>
      </c>
      <c r="CO58" s="33">
        <f>ROUND(坦克等级成长!$H155*VLOOKUP($BV$2,坦克等级成长!$B$36:$G$42,MATCH(CO$3,坦克等级成长!$B$35:$G$35,0)),0)</f>
        <v>834</v>
      </c>
      <c r="CP58" s="33">
        <f t="shared" si="24"/>
        <v>834</v>
      </c>
      <c r="CQ58" s="33">
        <v>665</v>
      </c>
      <c r="CR58" s="33">
        <f>ROUND(坦克等级成长!$H155*VLOOKUP($BV$2,坦克等级成长!$B$36:$G$42,MATCH(CR$3,坦克等级成长!$B$35:$G$35,0)),0)</f>
        <v>1051</v>
      </c>
      <c r="CS58" s="33">
        <f>ROUND(坦克等级成长!$H155*VLOOKUP($BV$2,坦克等级成长!$B$36:$G$42,MATCH(CS$3,坦克等级成长!$B$35:$G$35,0)),0)</f>
        <v>252</v>
      </c>
      <c r="CT58" s="192">
        <v>5</v>
      </c>
      <c r="CU58" s="33">
        <f>ROUND(坦克等级成长!$D155*VLOOKUP($CT$2,坦克等级成长!$B$36:$G$42,MATCH(CU$3,坦克等级成长!$B$35:$G$35,0)),0)</f>
        <v>2256</v>
      </c>
      <c r="CV58" s="33">
        <f>ROUND(坦克等级成长!$D155*VLOOKUP($CT$2,坦克等级成长!$B$36:$G$42,MATCH(CV$3,坦克等级成长!$B$35:$G$35,0)),0)</f>
        <v>454</v>
      </c>
      <c r="CW58" s="33">
        <f>ROUND(坦克等级成长!$D155*VLOOKUP($CT$2,坦克等级成长!$B$36:$G$42,MATCH(CW$3,坦克等级成长!$B$35:$G$35,0)),0)</f>
        <v>1007</v>
      </c>
      <c r="CX58" s="33">
        <f t="shared" si="39"/>
        <v>1007</v>
      </c>
      <c r="CY58" s="33">
        <v>803.25</v>
      </c>
      <c r="CZ58" s="33">
        <f>ROUND(坦克等级成长!$D155*VLOOKUP($CT$2,坦克等级成长!$B$36:$G$42,MATCH(CZ$3,坦克等级成长!$B$35:$G$35,0)),0)</f>
        <v>846</v>
      </c>
      <c r="DA58" s="33">
        <f>ROUND(坦克等级成长!$D155*VLOOKUP($CT$2,坦克等级成长!$B$36:$G$42,MATCH(DA$3,坦克等级成长!$B$35:$G$35,0)),0)</f>
        <v>226</v>
      </c>
      <c r="DB58" s="199">
        <v>5</v>
      </c>
      <c r="DC58" s="33">
        <f>ROUND(坦克等级成长!$F155*VLOOKUP($CT$2,坦克等级成长!$B$36:$G$42,MATCH(DC$3,坦克等级成长!$B$35:$G$35,0)),0)</f>
        <v>2296</v>
      </c>
      <c r="DD58" s="33">
        <f>ROUND(坦克等级成长!$F155*VLOOKUP($CT$2,坦克等级成长!$B$36:$G$42,MATCH(DD$3,坦克等级成长!$B$35:$G$35,0)),0)</f>
        <v>462</v>
      </c>
      <c r="DE58" s="33">
        <f>ROUND(坦克等级成长!$F155*VLOOKUP($CT$2,坦克等级成长!$B$36:$G$42,MATCH(DE$3,坦克等级成长!$B$35:$G$35,0)),0)</f>
        <v>1025</v>
      </c>
      <c r="DF58" s="33">
        <f t="shared" si="11"/>
        <v>1025</v>
      </c>
      <c r="DG58" s="33">
        <v>830</v>
      </c>
      <c r="DH58" s="33">
        <f>ROUND(坦克等级成长!$F155*VLOOKUP($CT$2,坦克等级成长!$B$36:$G$42,MATCH(DH$3,坦克等级成长!$B$35:$G$35,0)),0)</f>
        <v>861</v>
      </c>
      <c r="DI58" s="33">
        <f>ROUND(坦克等级成长!$F155*VLOOKUP($CT$2,坦克等级成长!$B$36:$G$42,MATCH(DI$3,坦克等级成长!$B$35:$G$35,0)),0)</f>
        <v>230</v>
      </c>
      <c r="DJ58" s="192">
        <v>5</v>
      </c>
      <c r="DK58" s="33">
        <f>ROUND(坦克等级成长!$H155*VLOOKUP($CT$2,坦克等级成长!$B$36:$G$42,MATCH(DK$3,坦克等级成长!$B$35:$G$35,0)),0)</f>
        <v>2336</v>
      </c>
      <c r="DL58" s="33">
        <f>ROUND(坦克等级成长!$H155*VLOOKUP($CT$2,坦克等级成长!$B$36:$G$42,MATCH(DL$3,坦克等级成长!$B$35:$G$35,0)),0)</f>
        <v>470</v>
      </c>
      <c r="DM58" s="33">
        <f>ROUND(坦克等级成长!$H155*VLOOKUP($CT$2,坦克等级成长!$B$36:$G$42,MATCH(DM$3,坦克等级成长!$B$35:$G$35,0)),0)</f>
        <v>1043</v>
      </c>
      <c r="DN58" s="33">
        <f t="shared" si="25"/>
        <v>1043</v>
      </c>
      <c r="DO58" s="33">
        <v>830</v>
      </c>
      <c r="DP58" s="33">
        <f>ROUND(坦克等级成长!$H155*VLOOKUP($CT$2,坦克等级成长!$B$36:$G$42,MATCH(DP$3,坦克等级成长!$B$35:$G$35,0)),0)</f>
        <v>876</v>
      </c>
      <c r="DQ58" s="33">
        <f>ROUND(坦克等级成长!$H155*VLOOKUP($CT$2,坦克等级成长!$B$36:$G$42,MATCH(DQ$3,坦克等级成长!$B$35:$G$35,0)),0)</f>
        <v>234</v>
      </c>
      <c r="DR58" s="192">
        <v>5</v>
      </c>
      <c r="DS58" s="33">
        <f>ROUND(坦克等级成长!$D155*VLOOKUP($DR$2,坦克等级成长!$B$36:$G$42,MATCH(DS$3,坦克等级成长!$B$35:$G$35,0)),0)</f>
        <v>2760</v>
      </c>
      <c r="DT58" s="33">
        <f>ROUND(坦克等级成长!$D155*VLOOKUP($DR$2,坦克等级成长!$B$36:$G$42,MATCH(DT$3,坦克等级成长!$B$35:$G$35,0)),0)</f>
        <v>756</v>
      </c>
      <c r="DU58" s="33">
        <f>ROUND(坦克等级成长!$D155*VLOOKUP($DR$2,坦克等级成长!$B$36:$G$42,MATCH(DU$3,坦克等级成长!$B$35:$G$35,0)),0)</f>
        <v>806</v>
      </c>
      <c r="DV58" s="33">
        <f t="shared" si="40"/>
        <v>806</v>
      </c>
      <c r="DW58" s="33">
        <v>685.6</v>
      </c>
      <c r="DX58" s="33">
        <f>ROUND(坦克等级成长!$D155*VLOOKUP($DR$2,坦克等级成长!$B$36:$G$42,MATCH(DX$3,坦克等级成长!$B$35:$G$35,0)),0)</f>
        <v>1184</v>
      </c>
      <c r="DY58" s="33">
        <f>ROUND(坦克等级成长!$D155*VLOOKUP($DR$2,坦克等级成长!$B$36:$G$42,MATCH(DY$3,坦克等级成长!$B$35:$G$35,0)),0)</f>
        <v>276</v>
      </c>
      <c r="DZ58" s="199">
        <v>5</v>
      </c>
      <c r="EA58" s="33">
        <f>ROUND(坦克等级成长!$F155*VLOOKUP($DR$2,坦克等级成长!$B$36:$G$42,MATCH(EA$3,坦克等级成长!$B$35:$G$35,0)),0)</f>
        <v>2809</v>
      </c>
      <c r="EB58" s="33">
        <f>ROUND(坦克等级成长!$F155*VLOOKUP($DR$2,坦克等级成长!$B$36:$G$42,MATCH(EB$3,坦克等级成长!$B$35:$G$35,0)),0)</f>
        <v>769</v>
      </c>
      <c r="EC58" s="33">
        <f>ROUND(坦克等级成长!$F155*VLOOKUP($DR$2,坦克等级成长!$B$36:$G$42,MATCH(EC$3,坦克等级成长!$B$35:$G$35,0)),0)</f>
        <v>820</v>
      </c>
      <c r="ED58" s="33">
        <f t="shared" si="12"/>
        <v>820</v>
      </c>
      <c r="EE58" s="33">
        <v>709</v>
      </c>
      <c r="EF58" s="33">
        <f>ROUND(坦克等级成长!$F155*VLOOKUP($DR$2,坦克等级成长!$B$36:$G$42,MATCH(EF$3,坦克等级成长!$B$35:$G$35,0)),0)</f>
        <v>1205</v>
      </c>
      <c r="EG58" s="33">
        <f>ROUND(坦克等级成长!$F155*VLOOKUP($DR$2,坦克等级成长!$B$36:$G$42,MATCH(EG$3,坦克等级成长!$B$35:$G$35,0)),0)</f>
        <v>281</v>
      </c>
      <c r="EH58" s="192">
        <v>5</v>
      </c>
      <c r="EI58" s="33">
        <f>ROUND(坦克等级成长!$H155*VLOOKUP($DR$2,坦克等级成长!$B$36:$G$42,MATCH(EI$3,坦克等级成长!$B$35:$G$35,0)),0)</f>
        <v>2858</v>
      </c>
      <c r="EJ58" s="33">
        <f>ROUND(坦克等级成长!$H155*VLOOKUP($DR$2,坦克等级成长!$B$36:$G$42,MATCH(EJ$3,坦克等级成长!$B$35:$G$35,0)),0)</f>
        <v>783</v>
      </c>
      <c r="EK58" s="33">
        <f>ROUND(坦克等级成长!$H155*VLOOKUP($DR$2,坦克等级成长!$B$36:$G$42,MATCH(EK$3,坦克等级成长!$B$35:$G$35,0)),0)</f>
        <v>834</v>
      </c>
      <c r="EL58" s="33">
        <f t="shared" si="26"/>
        <v>834</v>
      </c>
      <c r="EM58" s="33">
        <v>709</v>
      </c>
      <c r="EN58" s="33">
        <f>ROUND(坦克等级成长!$H155*VLOOKUP($DR$2,坦克等级成长!$B$36:$G$42,MATCH(EN$3,坦克等级成长!$B$35:$G$35,0)),0)</f>
        <v>1226</v>
      </c>
      <c r="EO58" s="33">
        <f>ROUND(坦克等级成长!$H155*VLOOKUP($DR$2,坦克等级成长!$B$36:$G$42,MATCH(EO$3,坦克等级成长!$B$35:$G$35,0)),0)</f>
        <v>286</v>
      </c>
      <c r="EP58" s="192">
        <v>5</v>
      </c>
      <c r="EQ58" s="33">
        <f>ROUND(坦克等级成长!$D155*VLOOKUP($EP$2,坦克等级成长!$B$36:$G$42,MATCH(EQ$3,坦克等级成长!$B$35:$G$35,0)),0)</f>
        <v>2435</v>
      </c>
      <c r="ER58" s="33">
        <f>ROUND(坦克等级成长!$D155*VLOOKUP($EP$2,坦克等级成长!$B$36:$G$42,MATCH(ER$3,坦克等级成长!$B$35:$G$35,0)),0)</f>
        <v>251</v>
      </c>
      <c r="ES58" s="33">
        <f>ROUND(坦克等级成长!$D155*VLOOKUP($EP$2,坦克等级成长!$B$36:$G$42,MATCH(ES$3,坦克等级成长!$B$35:$G$35,0)),0)</f>
        <v>927</v>
      </c>
      <c r="ET58" s="33">
        <f t="shared" si="41"/>
        <v>927</v>
      </c>
      <c r="EU58" s="33">
        <v>739.5</v>
      </c>
      <c r="EV58" s="33">
        <f>ROUND(坦克等级成长!$D155*VLOOKUP($EP$2,坦克等级成长!$B$36:$G$42,MATCH(EV$3,坦克等级成长!$B$35:$G$35,0)),0)</f>
        <v>1015</v>
      </c>
      <c r="EW58" s="33">
        <f>ROUND(坦克等级成长!$D155*VLOOKUP($EP$2,坦克等级成长!$B$36:$G$42,MATCH(EW$3,坦克等级成长!$B$35:$G$35,0)),0)</f>
        <v>243</v>
      </c>
      <c r="EX58" s="199">
        <v>5</v>
      </c>
      <c r="EY58" s="33">
        <f>ROUND(坦克等级成长!$F155*VLOOKUP($EP$2,坦克等级成长!$B$36:$G$42,MATCH(EY$3,坦克等级成长!$B$35:$G$35,0)),0)</f>
        <v>2478</v>
      </c>
      <c r="EZ58" s="33">
        <f>ROUND(坦克等级成长!$F155*VLOOKUP($EP$2,坦克等级成长!$B$36:$G$42,MATCH(EZ$3,坦克等级成长!$B$35:$G$35,0)),0)</f>
        <v>255</v>
      </c>
      <c r="FA58" s="33">
        <f>ROUND(坦克等级成长!$F155*VLOOKUP($EP$2,坦克等级成长!$B$36:$G$42,MATCH(FA$3,坦克等级成长!$B$35:$G$35,0)),0)</f>
        <v>943</v>
      </c>
      <c r="FB58" s="33">
        <f t="shared" si="13"/>
        <v>943</v>
      </c>
      <c r="FC58" s="33">
        <v>764</v>
      </c>
      <c r="FD58" s="33">
        <f>ROUND(坦克等级成长!$F155*VLOOKUP($EP$2,坦克等级成长!$B$36:$G$42,MATCH(FD$3,坦克等级成长!$B$35:$G$35,0)),0)</f>
        <v>1033</v>
      </c>
      <c r="FE58" s="33">
        <f>ROUND(坦克等级成长!$F155*VLOOKUP($EP$2,坦克等级成长!$B$36:$G$42,MATCH(FE$3,坦克等级成长!$B$35:$G$35,0)),0)</f>
        <v>248</v>
      </c>
      <c r="FF58" s="192">
        <v>5</v>
      </c>
      <c r="FG58" s="33">
        <f>ROUND(坦克等级成长!$H155*VLOOKUP($EP$2,坦克等级成长!$B$36:$G$42,MATCH(FG$3,坦克等级成长!$B$35:$G$35,0)),0)</f>
        <v>2521</v>
      </c>
      <c r="FH58" s="33">
        <f>ROUND(坦克等级成长!$H155*VLOOKUP($EP$2,坦克等级成长!$B$36:$G$42,MATCH(FH$3,坦克等级成长!$B$35:$G$35,0)),0)</f>
        <v>260</v>
      </c>
      <c r="FI58" s="33">
        <f>ROUND(坦克等级成长!$H155*VLOOKUP($EP$2,坦克等级成长!$B$36:$G$42,MATCH(FI$3,坦克等级成长!$B$35:$G$35,0)),0)</f>
        <v>959</v>
      </c>
      <c r="FJ58" s="33">
        <f t="shared" si="27"/>
        <v>959</v>
      </c>
      <c r="FK58" s="33">
        <v>764</v>
      </c>
      <c r="FL58" s="33">
        <f>ROUND(坦克等级成长!$H155*VLOOKUP($EP$2,坦克等级成长!$B$36:$G$42,MATCH(FL$3,坦克等级成长!$B$35:$G$35,0)),0)</f>
        <v>1051</v>
      </c>
      <c r="FM58" s="33">
        <f>ROUND(坦克等级成长!$H155*VLOOKUP($EP$2,坦克等级成长!$B$36:$G$42,MATCH(FM$3,坦克等级成长!$B$35:$G$35,0)),0)</f>
        <v>252</v>
      </c>
    </row>
    <row r="59" spans="1:169" ht="14.25" x14ac:dyDescent="0.3">
      <c r="A59" s="189">
        <v>5</v>
      </c>
      <c r="B59" s="192">
        <v>6</v>
      </c>
      <c r="C59" s="33">
        <f>ROUND(坦克等级成长!$D156*VLOOKUP($B$2,坦克等级成长!$B$36:$G$42,MATCH(C$3,坦克等级成长!$B$35:$G$35,0)),0)</f>
        <v>2344</v>
      </c>
      <c r="D59" s="33">
        <f>ROUND(坦克等级成长!$D156*VLOOKUP($B$2,坦克等级成长!$B$36:$G$42,MATCH(D$3,坦克等级成长!$B$35:$G$35,0)),0)</f>
        <v>234</v>
      </c>
      <c r="E59" s="33">
        <f>ROUND(坦克等级成长!$D156*VLOOKUP($B$2,坦克等级成长!$B$36:$G$42,MATCH(E$3,坦克等级成长!$B$35:$G$35,0)),0)</f>
        <v>879</v>
      </c>
      <c r="F59" s="33">
        <f t="shared" si="35"/>
        <v>879</v>
      </c>
      <c r="G59" s="33">
        <v>655.20000000000005</v>
      </c>
      <c r="H59" s="33">
        <f>ROUND(坦克等级成长!$D156*VLOOKUP($B$2,坦克等级成长!$B$36:$G$42,MATCH(H$3,坦克等级成长!$B$35:$G$35,0)),0)</f>
        <v>879</v>
      </c>
      <c r="I59" s="33">
        <f>ROUND(坦克等级成长!$D156*VLOOKUP($B$2,坦克等级成长!$B$36:$G$42,MATCH(I$3,坦克等级成长!$B$35:$G$35,0)),0)</f>
        <v>234</v>
      </c>
      <c r="J59" s="199">
        <v>7</v>
      </c>
      <c r="K59" s="33">
        <f>ROUND(坦克等级成长!$F156*VLOOKUP($B$2,坦克等级成长!$B$36:$G$42,MATCH(K$3,坦克等级成长!$B$35:$G$35,0)),0)</f>
        <v>2384</v>
      </c>
      <c r="L59" s="33">
        <f>ROUND(坦克等级成长!$F156*VLOOKUP($B$2,坦克等级成长!$B$36:$G$42,MATCH(L$3,坦克等级成长!$B$35:$G$35,0)),0)</f>
        <v>238</v>
      </c>
      <c r="M59" s="33">
        <f>ROUND(坦克等级成长!$F156*VLOOKUP($B$2,坦克等级成长!$B$36:$G$42,MATCH(M$3,坦克等级成长!$B$35:$G$35,0)),0)</f>
        <v>894</v>
      </c>
      <c r="N59" s="33">
        <f t="shared" si="7"/>
        <v>894</v>
      </c>
      <c r="O59" s="33">
        <v>676</v>
      </c>
      <c r="P59" s="33">
        <f>ROUND(坦克等级成长!$F156*VLOOKUP($B$2,坦克等级成长!$B$36:$G$42,MATCH(P$3,坦克等级成长!$B$35:$G$35,0)),0)</f>
        <v>894</v>
      </c>
      <c r="Q59" s="33">
        <f>ROUND(坦克等级成长!$F156*VLOOKUP($B$2,坦克等级成长!$B$36:$G$42,MATCH(Q$3,坦克等级成长!$B$35:$G$35,0)),0)</f>
        <v>238</v>
      </c>
      <c r="R59" s="192">
        <v>6</v>
      </c>
      <c r="S59" s="33">
        <f>ROUND(坦克等级成长!$H156*VLOOKUP($B$2,坦克等级成长!$B$36:$G$42,MATCH(S$3,坦克等级成长!$B$35:$G$35,0)),0)</f>
        <v>2424</v>
      </c>
      <c r="T59" s="33">
        <f>ROUND(坦克等级成长!$H156*VLOOKUP($B$2,坦克等级成长!$B$36:$G$42,MATCH(T$3,坦克等级成长!$B$35:$G$35,0)),0)</f>
        <v>242</v>
      </c>
      <c r="U59" s="33">
        <f>ROUND(坦克等级成长!$H156*VLOOKUP($B$2,坦克等级成长!$B$36:$G$42,MATCH(U$3,坦克等级成长!$B$35:$G$35,0)),0)</f>
        <v>909</v>
      </c>
      <c r="V59" s="33">
        <f t="shared" si="21"/>
        <v>909</v>
      </c>
      <c r="W59" s="33">
        <v>676</v>
      </c>
      <c r="X59" s="33">
        <f>ROUND(坦克等级成长!$H156*VLOOKUP($B$2,坦克等级成长!$B$36:$G$42,MATCH(X$3,坦克等级成长!$B$35:$G$35,0)),0)</f>
        <v>909</v>
      </c>
      <c r="Y59" s="33">
        <f>ROUND(坦克等级成长!$H156*VLOOKUP($B$2,坦克等级成长!$B$36:$G$42,MATCH(Y$3,坦克等级成长!$B$35:$G$35,0)),0)</f>
        <v>242</v>
      </c>
      <c r="Z59" s="192">
        <v>6</v>
      </c>
      <c r="AA59" s="33">
        <f>ROUND(坦克等级成长!$D156*VLOOKUP($Z$2,坦克等级成长!$B$36:$G$42,MATCH(AA$3,坦克等级成长!$B$35:$G$35,0)),0)</f>
        <v>2344</v>
      </c>
      <c r="AB59" s="33">
        <f>ROUND(坦克等级成长!$D156*VLOOKUP($Z$2,坦克等级成长!$B$36:$G$42,MATCH(AB$3,坦克等级成长!$B$35:$G$35,0)),0)</f>
        <v>124</v>
      </c>
      <c r="AC59" s="33">
        <f>ROUND(坦克等级成长!$D156*VLOOKUP($Z$2,坦克等级成长!$B$36:$G$42,MATCH(AC$3,坦克等级成长!$B$35:$G$35,0)),0)</f>
        <v>963</v>
      </c>
      <c r="AD59" s="33">
        <f t="shared" si="36"/>
        <v>963</v>
      </c>
      <c r="AE59" s="33">
        <v>717.5</v>
      </c>
      <c r="AF59" s="33">
        <f>ROUND(坦克等级成长!$D156*VLOOKUP($Z$2,坦克等级成长!$B$36:$G$42,MATCH(AF$3,坦克等级成长!$B$35:$G$35,0)),0)</f>
        <v>879</v>
      </c>
      <c r="AG59" s="33">
        <f>ROUND(坦克等级成长!$D156*VLOOKUP($Z$2,坦克等级成长!$B$36:$G$42,MATCH(AG$3,坦克等级成长!$B$35:$G$35,0)),0)</f>
        <v>234</v>
      </c>
      <c r="AH59" s="199">
        <v>6</v>
      </c>
      <c r="AI59" s="33">
        <f>ROUND(坦克等级成长!$F156*VLOOKUP($Z$2,坦克等级成长!$B$36:$G$42,MATCH(AI$3,坦克等级成长!$B$35:$G$35,0)),0)</f>
        <v>2384</v>
      </c>
      <c r="AJ59" s="33">
        <f>ROUND(坦克等级成长!$F156*VLOOKUP($Z$2,坦克等级成长!$B$36:$G$42,MATCH(AJ$3,坦克等级成长!$B$35:$G$35,0)),0)</f>
        <v>127</v>
      </c>
      <c r="AK59" s="33">
        <f>ROUND(坦克等级成长!$F156*VLOOKUP($Z$2,坦克等级成长!$B$36:$G$42,MATCH(AK$3,坦克等级成长!$B$35:$G$35,0)),0)</f>
        <v>979</v>
      </c>
      <c r="AL59" s="33">
        <f t="shared" si="8"/>
        <v>979</v>
      </c>
      <c r="AM59" s="33">
        <v>741</v>
      </c>
      <c r="AN59" s="33">
        <f>ROUND(坦克等级成长!$F156*VLOOKUP($Z$2,坦克等级成长!$B$36:$G$42,MATCH(AN$3,坦克等级成长!$B$35:$G$35,0)),0)</f>
        <v>894</v>
      </c>
      <c r="AO59" s="33">
        <f>ROUND(坦克等级成长!$F156*VLOOKUP($Z$2,坦克等级成长!$B$36:$G$42,MATCH(AO$3,坦克等级成长!$B$35:$G$35,0)),0)</f>
        <v>238</v>
      </c>
      <c r="AP59" s="192">
        <v>6</v>
      </c>
      <c r="AQ59" s="33">
        <f>ROUND(坦克等级成长!$H156*VLOOKUP($Z$2,坦克等级成长!$B$36:$G$42,MATCH(AQ$3,坦克等级成长!$B$35:$G$35,0)),0)</f>
        <v>2424</v>
      </c>
      <c r="AR59" s="33">
        <f>ROUND(坦克等级成长!$H156*VLOOKUP($Z$2,坦克等级成长!$B$36:$G$42,MATCH(AR$3,坦克等级成长!$B$35:$G$35,0)),0)</f>
        <v>129</v>
      </c>
      <c r="AS59" s="33">
        <f>ROUND(坦克等级成长!$H156*VLOOKUP($Z$2,坦克等级成长!$B$36:$G$42,MATCH(AS$3,坦克等级成长!$B$35:$G$35,0)),0)</f>
        <v>996</v>
      </c>
      <c r="AT59" s="33">
        <f t="shared" si="22"/>
        <v>996</v>
      </c>
      <c r="AU59" s="33">
        <v>741</v>
      </c>
      <c r="AV59" s="33">
        <f>ROUND(坦克等级成长!$H156*VLOOKUP($Z$2,坦克等级成长!$B$36:$G$42,MATCH(AV$3,坦克等级成长!$B$35:$G$35,0)),0)</f>
        <v>909</v>
      </c>
      <c r="AW59" s="33">
        <f>ROUND(坦克等级成长!$H156*VLOOKUP($Z$2,坦克等级成长!$B$36:$G$42,MATCH(AW$3,坦克等级成长!$B$35:$G$35,0)),0)</f>
        <v>242</v>
      </c>
      <c r="AX59" s="192">
        <v>6</v>
      </c>
      <c r="AY59" s="33">
        <f>ROUND(坦克等级成长!$D156*VLOOKUP($AX$2,坦克等级成长!$B$36:$G$42,MATCH(AY$3,坦克等级成长!$B$35:$G$35,0)),0)</f>
        <v>2344</v>
      </c>
      <c r="AZ59" s="33">
        <f>ROUND(坦克等级成长!$D156*VLOOKUP($AX$2,坦克等级成长!$B$36:$G$42,MATCH(AZ$3,坦克等级成长!$B$35:$G$35,0)),0)</f>
        <v>234</v>
      </c>
      <c r="BA59" s="33">
        <f>ROUND(坦克等级成长!$D156*VLOOKUP($AX$2,坦克等级成长!$B$36:$G$42,MATCH(BA$3,坦克等级成长!$B$35:$G$35,0)),0)</f>
        <v>879</v>
      </c>
      <c r="BB59" s="33">
        <f t="shared" si="37"/>
        <v>879</v>
      </c>
      <c r="BC59" s="33">
        <v>655.20000000000005</v>
      </c>
      <c r="BD59" s="33">
        <f>ROUND(坦克等级成长!$D156*VLOOKUP($AX$2,坦克等级成长!$B$36:$G$42,MATCH(BD$3,坦克等级成长!$B$35:$G$35,0)),0)</f>
        <v>879</v>
      </c>
      <c r="BE59" s="33">
        <f>ROUND(坦克等级成长!$D156*VLOOKUP($AX$2,坦克等级成长!$B$36:$G$42,MATCH(BE$3,坦克等级成长!$B$35:$G$35,0)),0)</f>
        <v>234</v>
      </c>
      <c r="BF59" s="199">
        <v>6</v>
      </c>
      <c r="BG59" s="33">
        <f>ROUND(坦克等级成长!$F156*VLOOKUP($AX$2,坦克等级成长!$B$36:$G$42,MATCH(BG$3,坦克等级成长!$B$35:$G$35,0)),0)</f>
        <v>2384</v>
      </c>
      <c r="BH59" s="33">
        <f>ROUND(坦克等级成长!$F156*VLOOKUP($AX$2,坦克等级成长!$B$36:$G$42,MATCH(BH$3,坦克等级成长!$B$35:$G$35,0)),0)</f>
        <v>238</v>
      </c>
      <c r="BI59" s="33">
        <f>ROUND(坦克等级成长!$F156*VLOOKUP($AX$2,坦克等级成长!$B$36:$G$42,MATCH(BI$3,坦克等级成长!$B$35:$G$35,0)),0)</f>
        <v>894</v>
      </c>
      <c r="BJ59" s="33">
        <f t="shared" si="9"/>
        <v>894</v>
      </c>
      <c r="BK59" s="33">
        <v>676</v>
      </c>
      <c r="BL59" s="33">
        <f>ROUND(坦克等级成长!$F156*VLOOKUP($AX$2,坦克等级成长!$B$36:$G$42,MATCH(BL$3,坦克等级成长!$B$35:$G$35,0)),0)</f>
        <v>894</v>
      </c>
      <c r="BM59" s="33">
        <f>ROUND(坦克等级成长!$F156*VLOOKUP($AX$2,坦克等级成长!$B$36:$G$42,MATCH(BM$3,坦克等级成长!$B$35:$G$35,0)),0)</f>
        <v>238</v>
      </c>
      <c r="BN59" s="192">
        <v>6</v>
      </c>
      <c r="BO59" s="33">
        <f>ROUND(坦克等级成长!$H156*VLOOKUP($AX$2,坦克等级成长!$B$36:$G$42,MATCH(BO$3,坦克等级成长!$B$35:$G$35,0)),0)</f>
        <v>2424</v>
      </c>
      <c r="BP59" s="33">
        <f>ROUND(坦克等级成长!$H156*VLOOKUP($AX$2,坦克等级成长!$B$36:$G$42,MATCH(BP$3,坦克等级成长!$B$35:$G$35,0)),0)</f>
        <v>242</v>
      </c>
      <c r="BQ59" s="33">
        <f>ROUND(坦克等级成长!$H156*VLOOKUP($AX$2,坦克等级成长!$B$36:$G$42,MATCH(BQ$3,坦克等级成长!$B$35:$G$35,0)),0)</f>
        <v>909</v>
      </c>
      <c r="BR59" s="33">
        <f t="shared" si="23"/>
        <v>909</v>
      </c>
      <c r="BS59" s="33">
        <v>676</v>
      </c>
      <c r="BT59" s="33">
        <f>ROUND(坦克等级成长!$H156*VLOOKUP($AX$2,坦克等级成长!$B$36:$G$42,MATCH(BT$3,坦克等级成长!$B$35:$G$35,0)),0)</f>
        <v>909</v>
      </c>
      <c r="BU59" s="33">
        <f>ROUND(坦克等级成长!$H156*VLOOKUP($AX$2,坦克等级成长!$B$36:$G$42,MATCH(BU$3,坦克等级成长!$B$35:$G$35,0)),0)</f>
        <v>242</v>
      </c>
      <c r="BV59" s="192">
        <v>6</v>
      </c>
      <c r="BW59" s="33">
        <f>ROUND(坦克等级成长!$D156*VLOOKUP($BV$2,坦克等级成长!$B$36:$G$42,MATCH(BW$3,坦克等级成长!$B$35:$G$35,0)),0)</f>
        <v>2530</v>
      </c>
      <c r="BX59" s="33">
        <f>ROUND(坦克等级成长!$D156*VLOOKUP($BV$2,坦克等级成长!$B$36:$G$42,MATCH(BX$3,坦克等级成长!$B$35:$G$35,0)),0)</f>
        <v>217</v>
      </c>
      <c r="BY59" s="33">
        <f>ROUND(坦克等级成长!$D156*VLOOKUP($BV$2,坦克等级成长!$B$36:$G$42,MATCH(BY$3,坦克等级成长!$B$35:$G$35,0)),0)</f>
        <v>837</v>
      </c>
      <c r="BZ59" s="33">
        <f t="shared" si="38"/>
        <v>837</v>
      </c>
      <c r="CA59" s="33">
        <v>668.25</v>
      </c>
      <c r="CB59" s="33">
        <f>ROUND(坦克等级成长!$D156*VLOOKUP($BV$2,坦克等级成长!$B$36:$G$42,MATCH(CB$3,坦克等级成长!$B$35:$G$35,0)),0)</f>
        <v>1055</v>
      </c>
      <c r="CC59" s="33">
        <f>ROUND(坦克等级成长!$D156*VLOOKUP($BV$2,坦克等级成长!$B$36:$G$42,MATCH(CC$3,坦克等级成长!$B$35:$G$35,0)),0)</f>
        <v>253</v>
      </c>
      <c r="CD59" s="199">
        <v>6</v>
      </c>
      <c r="CE59" s="33">
        <f>ROUND(坦克等级成长!$F156*VLOOKUP($BV$2,坦克等级成长!$B$36:$G$42,MATCH(CE$3,坦克等级成长!$B$35:$G$35,0)),0)</f>
        <v>2573</v>
      </c>
      <c r="CF59" s="33">
        <f>ROUND(坦克等级成长!$F156*VLOOKUP($BV$2,坦克等级成长!$B$36:$G$42,MATCH(CF$3,坦克等级成长!$B$35:$G$35,0)),0)</f>
        <v>221</v>
      </c>
      <c r="CG59" s="33">
        <f>ROUND(坦克等级成长!$F156*VLOOKUP($BV$2,坦克等级成长!$B$36:$G$42,MATCH(CG$3,坦克等级成长!$B$35:$G$35,0)),0)</f>
        <v>851</v>
      </c>
      <c r="CH59" s="33">
        <f t="shared" si="10"/>
        <v>851</v>
      </c>
      <c r="CI59" s="33">
        <v>690</v>
      </c>
      <c r="CJ59" s="33">
        <f>ROUND(坦克等级成长!$F156*VLOOKUP($BV$2,坦克等级成长!$B$36:$G$42,MATCH(CJ$3,坦克等级成长!$B$35:$G$35,0)),0)</f>
        <v>1073</v>
      </c>
      <c r="CK59" s="33">
        <f>ROUND(坦克等级成长!$F156*VLOOKUP($BV$2,坦克等级成长!$B$36:$G$42,MATCH(CK$3,坦克等级成长!$B$35:$G$35,0)),0)</f>
        <v>257</v>
      </c>
      <c r="CL59" s="192">
        <v>6</v>
      </c>
      <c r="CM59" s="33">
        <f>ROUND(坦克等级成长!$H156*VLOOKUP($BV$2,坦克等级成长!$B$36:$G$42,MATCH(CM$3,坦克等级成长!$B$35:$G$35,0)),0)</f>
        <v>2616</v>
      </c>
      <c r="CN59" s="33">
        <f>ROUND(坦克等级成长!$H156*VLOOKUP($BV$2,坦克等级成长!$B$36:$G$42,MATCH(CN$3,坦克等级成长!$B$35:$G$35,0)),0)</f>
        <v>225</v>
      </c>
      <c r="CO59" s="33">
        <f>ROUND(坦克等级成长!$H156*VLOOKUP($BV$2,坦克等级成长!$B$36:$G$42,MATCH(CO$3,坦克等级成长!$B$35:$G$35,0)),0)</f>
        <v>866</v>
      </c>
      <c r="CP59" s="33">
        <f t="shared" si="24"/>
        <v>866</v>
      </c>
      <c r="CQ59" s="33">
        <v>690</v>
      </c>
      <c r="CR59" s="33">
        <f>ROUND(坦克等级成长!$H156*VLOOKUP($BV$2,坦克等级成长!$B$36:$G$42,MATCH(CR$3,坦克等级成长!$B$35:$G$35,0)),0)</f>
        <v>1091</v>
      </c>
      <c r="CS59" s="33">
        <f>ROUND(坦克等级成长!$H156*VLOOKUP($BV$2,坦克等级成长!$B$36:$G$42,MATCH(CS$3,坦克等级成长!$B$35:$G$35,0)),0)</f>
        <v>262</v>
      </c>
      <c r="CT59" s="192">
        <v>6</v>
      </c>
      <c r="CU59" s="33">
        <f>ROUND(坦克等级成长!$D156*VLOOKUP($CT$2,坦克等级成长!$B$36:$G$42,MATCH(CU$3,坦克等级成长!$B$35:$G$35,0)),0)</f>
        <v>2344</v>
      </c>
      <c r="CV59" s="33">
        <f>ROUND(坦克等级成长!$D156*VLOOKUP($CT$2,坦克等级成长!$B$36:$G$42,MATCH(CV$3,坦克等级成长!$B$35:$G$35,0)),0)</f>
        <v>472</v>
      </c>
      <c r="CW59" s="33">
        <f>ROUND(坦克等级成长!$D156*VLOOKUP($CT$2,坦克等级成长!$B$36:$G$42,MATCH(CW$3,坦克等级成长!$B$35:$G$35,0)),0)</f>
        <v>1046</v>
      </c>
      <c r="CX59" s="33">
        <f t="shared" si="39"/>
        <v>1046</v>
      </c>
      <c r="CY59" s="33">
        <v>835.5</v>
      </c>
      <c r="CZ59" s="33">
        <f>ROUND(坦克等级成长!$D156*VLOOKUP($CT$2,坦克等级成长!$B$36:$G$42,MATCH(CZ$3,坦克等级成长!$B$35:$G$35,0)),0)</f>
        <v>879</v>
      </c>
      <c r="DA59" s="33">
        <f>ROUND(坦克等级成长!$D156*VLOOKUP($CT$2,坦克等级成长!$B$36:$G$42,MATCH(DA$3,坦克等级成长!$B$35:$G$35,0)),0)</f>
        <v>234</v>
      </c>
      <c r="DB59" s="199">
        <v>6</v>
      </c>
      <c r="DC59" s="33">
        <f>ROUND(坦克等级成长!$F156*VLOOKUP($CT$2,坦克等级成长!$B$36:$G$42,MATCH(DC$3,坦克等级成长!$B$35:$G$35,0)),0)</f>
        <v>2384</v>
      </c>
      <c r="DD59" s="33">
        <f>ROUND(坦克等级成长!$F156*VLOOKUP($CT$2,坦克等级成长!$B$36:$G$42,MATCH(DD$3,坦克等级成长!$B$35:$G$35,0)),0)</f>
        <v>480</v>
      </c>
      <c r="DE59" s="33">
        <f>ROUND(坦克等级成长!$F156*VLOOKUP($CT$2,坦克等级成长!$B$36:$G$42,MATCH(DE$3,坦克等级成长!$B$35:$G$35,0)),0)</f>
        <v>1064</v>
      </c>
      <c r="DF59" s="33">
        <f t="shared" si="11"/>
        <v>1064</v>
      </c>
      <c r="DG59" s="33">
        <v>863</v>
      </c>
      <c r="DH59" s="33">
        <f>ROUND(坦克等级成长!$F156*VLOOKUP($CT$2,坦克等级成长!$B$36:$G$42,MATCH(DH$3,坦克等级成长!$B$35:$G$35,0)),0)</f>
        <v>894</v>
      </c>
      <c r="DI59" s="33">
        <f>ROUND(坦克等级成长!$F156*VLOOKUP($CT$2,坦克等级成长!$B$36:$G$42,MATCH(DI$3,坦克等级成长!$B$35:$G$35,0)),0)</f>
        <v>238</v>
      </c>
      <c r="DJ59" s="192">
        <v>6</v>
      </c>
      <c r="DK59" s="33">
        <f>ROUND(坦克等级成长!$H156*VLOOKUP($CT$2,坦克等级成长!$B$36:$G$42,MATCH(DK$3,坦克等级成长!$B$35:$G$35,0)),0)</f>
        <v>2424</v>
      </c>
      <c r="DL59" s="33">
        <f>ROUND(坦克等级成长!$H156*VLOOKUP($CT$2,坦克等级成长!$B$36:$G$42,MATCH(DL$3,坦克等级成长!$B$35:$G$35,0)),0)</f>
        <v>488</v>
      </c>
      <c r="DM59" s="33">
        <f>ROUND(坦克等级成长!$H156*VLOOKUP($CT$2,坦克等级成长!$B$36:$G$42,MATCH(DM$3,坦克等级成长!$B$35:$G$35,0)),0)</f>
        <v>1082</v>
      </c>
      <c r="DN59" s="33">
        <f t="shared" si="25"/>
        <v>1082</v>
      </c>
      <c r="DO59" s="33">
        <v>863</v>
      </c>
      <c r="DP59" s="33">
        <f>ROUND(坦克等级成长!$H156*VLOOKUP($CT$2,坦克等级成长!$B$36:$G$42,MATCH(DP$3,坦克等级成长!$B$35:$G$35,0)),0)</f>
        <v>909</v>
      </c>
      <c r="DQ59" s="33">
        <f>ROUND(坦克等级成长!$H156*VLOOKUP($CT$2,坦克等级成长!$B$36:$G$42,MATCH(DQ$3,坦克等级成长!$B$35:$G$35,0)),0)</f>
        <v>242</v>
      </c>
      <c r="DR59" s="192">
        <v>6</v>
      </c>
      <c r="DS59" s="33">
        <f>ROUND(坦克等级成长!$D156*VLOOKUP($DR$2,坦克等级成长!$B$36:$G$42,MATCH(DS$3,坦克等级成长!$B$35:$G$35,0)),0)</f>
        <v>2867</v>
      </c>
      <c r="DT59" s="33">
        <f>ROUND(坦克等级成长!$D156*VLOOKUP($DR$2,坦克等级成长!$B$36:$G$42,MATCH(DT$3,坦克等级成长!$B$35:$G$35,0)),0)</f>
        <v>785</v>
      </c>
      <c r="DU59" s="33">
        <f>ROUND(坦克等级成长!$D156*VLOOKUP($DR$2,坦克等级成长!$B$36:$G$42,MATCH(DU$3,坦克等级成长!$B$35:$G$35,0)),0)</f>
        <v>837</v>
      </c>
      <c r="DV59" s="33">
        <f t="shared" si="40"/>
        <v>837</v>
      </c>
      <c r="DW59" s="33">
        <v>712.8</v>
      </c>
      <c r="DX59" s="33">
        <f>ROUND(坦克等级成长!$D156*VLOOKUP($DR$2,坦克等级成长!$B$36:$G$42,MATCH(DX$3,坦克等级成长!$B$35:$G$35,0)),0)</f>
        <v>1231</v>
      </c>
      <c r="DY59" s="33">
        <f>ROUND(坦克等级成长!$D156*VLOOKUP($DR$2,坦克等级成长!$B$36:$G$42,MATCH(DY$3,坦克等级成长!$B$35:$G$35,0)),0)</f>
        <v>287</v>
      </c>
      <c r="DZ59" s="199">
        <v>6</v>
      </c>
      <c r="EA59" s="33">
        <f>ROUND(坦克等级成长!$F156*VLOOKUP($DR$2,坦克等级成长!$B$36:$G$42,MATCH(EA$3,坦克等级成长!$B$35:$G$35,0)),0)</f>
        <v>2916</v>
      </c>
      <c r="EB59" s="33">
        <f>ROUND(坦克等级成长!$F156*VLOOKUP($DR$2,坦克等级成长!$B$36:$G$42,MATCH(EB$3,坦克等级成长!$B$35:$G$35,0)),0)</f>
        <v>799</v>
      </c>
      <c r="EC59" s="33">
        <f>ROUND(坦克等级成长!$F156*VLOOKUP($DR$2,坦克等级成长!$B$36:$G$42,MATCH(EC$3,坦克等级成长!$B$35:$G$35,0)),0)</f>
        <v>851</v>
      </c>
      <c r="ED59" s="33">
        <f t="shared" si="12"/>
        <v>851</v>
      </c>
      <c r="EE59" s="33">
        <v>736</v>
      </c>
      <c r="EF59" s="33">
        <f>ROUND(坦克等级成长!$F156*VLOOKUP($DR$2,坦克等级成长!$B$36:$G$42,MATCH(EF$3,坦克等级成长!$B$35:$G$35,0)),0)</f>
        <v>1252</v>
      </c>
      <c r="EG59" s="33">
        <f>ROUND(坦克等级成长!$F156*VLOOKUP($DR$2,坦克等级成长!$B$36:$G$42,MATCH(EG$3,坦克等级成长!$B$35:$G$35,0)),0)</f>
        <v>292</v>
      </c>
      <c r="EH59" s="192">
        <v>6</v>
      </c>
      <c r="EI59" s="33">
        <f>ROUND(坦克等级成长!$H156*VLOOKUP($DR$2,坦克等级成长!$B$36:$G$42,MATCH(EI$3,坦克等级成长!$B$35:$G$35,0)),0)</f>
        <v>2965</v>
      </c>
      <c r="EJ59" s="33">
        <f>ROUND(坦克等级成长!$H156*VLOOKUP($DR$2,坦克等级成长!$B$36:$G$42,MATCH(EJ$3,坦克等级成长!$B$35:$G$35,0)),0)</f>
        <v>812</v>
      </c>
      <c r="EK59" s="33">
        <f>ROUND(坦克等级成长!$H156*VLOOKUP($DR$2,坦克等级成长!$B$36:$G$42,MATCH(EK$3,坦克等级成长!$B$35:$G$35,0)),0)</f>
        <v>866</v>
      </c>
      <c r="EL59" s="33">
        <f t="shared" si="26"/>
        <v>866</v>
      </c>
      <c r="EM59" s="33">
        <v>736</v>
      </c>
      <c r="EN59" s="33">
        <f>ROUND(坦克等级成长!$H156*VLOOKUP($DR$2,坦克等级成长!$B$36:$G$42,MATCH(EN$3,坦克等级成长!$B$35:$G$35,0)),0)</f>
        <v>1273</v>
      </c>
      <c r="EO59" s="33">
        <f>ROUND(坦克等级成长!$H156*VLOOKUP($DR$2,坦克等级成长!$B$36:$G$42,MATCH(EO$3,坦克等级成长!$B$35:$G$35,0)),0)</f>
        <v>297</v>
      </c>
      <c r="EP59" s="192">
        <v>6</v>
      </c>
      <c r="EQ59" s="33">
        <f>ROUND(坦克等级成长!$D156*VLOOKUP($EP$2,坦克等级成长!$B$36:$G$42,MATCH(EQ$3,坦克等级成长!$B$35:$G$35,0)),0)</f>
        <v>2530</v>
      </c>
      <c r="ER59" s="33">
        <f>ROUND(坦克等级成长!$D156*VLOOKUP($EP$2,坦克等级成长!$B$36:$G$42,MATCH(ER$3,坦克等级成长!$B$35:$G$35,0)),0)</f>
        <v>261</v>
      </c>
      <c r="ES59" s="33">
        <f>ROUND(坦克等级成长!$D156*VLOOKUP($EP$2,坦克等级成长!$B$36:$G$42,MATCH(ES$3,坦克等级成长!$B$35:$G$35,0)),0)</f>
        <v>963</v>
      </c>
      <c r="ET59" s="33">
        <f t="shared" si="41"/>
        <v>963</v>
      </c>
      <c r="EU59" s="33">
        <v>768.75</v>
      </c>
      <c r="EV59" s="33">
        <f>ROUND(坦克等级成长!$D156*VLOOKUP($EP$2,坦克等级成长!$B$36:$G$42,MATCH(EV$3,坦克等级成长!$B$35:$G$35,0)),0)</f>
        <v>1055</v>
      </c>
      <c r="EW59" s="33">
        <f>ROUND(坦克等级成长!$D156*VLOOKUP($EP$2,坦克等级成长!$B$36:$G$42,MATCH(EW$3,坦克等级成长!$B$35:$G$35,0)),0)</f>
        <v>253</v>
      </c>
      <c r="EX59" s="199">
        <v>6</v>
      </c>
      <c r="EY59" s="33">
        <f>ROUND(坦克等级成长!$F156*VLOOKUP($EP$2,坦克等级成长!$B$36:$G$42,MATCH(EY$3,坦克等级成长!$B$35:$G$35,0)),0)</f>
        <v>2573</v>
      </c>
      <c r="EZ59" s="33">
        <f>ROUND(坦克等级成长!$F156*VLOOKUP($EP$2,坦克等级成长!$B$36:$G$42,MATCH(EZ$3,坦克等级成长!$B$35:$G$35,0)),0)</f>
        <v>265</v>
      </c>
      <c r="FA59" s="33">
        <f>ROUND(坦克等级成长!$F156*VLOOKUP($EP$2,坦克等级成长!$B$36:$G$42,MATCH(FA$3,坦克等级成长!$B$35:$G$35,0)),0)</f>
        <v>979</v>
      </c>
      <c r="FB59" s="33">
        <f t="shared" si="13"/>
        <v>979</v>
      </c>
      <c r="FC59" s="33">
        <v>794</v>
      </c>
      <c r="FD59" s="33">
        <f>ROUND(坦克等级成长!$F156*VLOOKUP($EP$2,坦克等级成长!$B$36:$G$42,MATCH(FD$3,坦克等级成长!$B$35:$G$35,0)),0)</f>
        <v>1073</v>
      </c>
      <c r="FE59" s="33">
        <f>ROUND(坦克等级成长!$F156*VLOOKUP($EP$2,坦克等级成长!$B$36:$G$42,MATCH(FE$3,坦克等级成长!$B$35:$G$35,0)),0)</f>
        <v>257</v>
      </c>
      <c r="FF59" s="192">
        <v>6</v>
      </c>
      <c r="FG59" s="33">
        <f>ROUND(坦克等级成长!$H156*VLOOKUP($EP$2,坦克等级成长!$B$36:$G$42,MATCH(FG$3,坦克等级成长!$B$35:$G$35,0)),0)</f>
        <v>2616</v>
      </c>
      <c r="FH59" s="33">
        <f>ROUND(坦克等级成长!$H156*VLOOKUP($EP$2,坦克等级成长!$B$36:$G$42,MATCH(FH$3,坦克等级成长!$B$35:$G$35,0)),0)</f>
        <v>270</v>
      </c>
      <c r="FI59" s="33">
        <f>ROUND(坦克等级成长!$H156*VLOOKUP($EP$2,坦克等级成长!$B$36:$G$42,MATCH(FI$3,坦克等级成长!$B$35:$G$35,0)),0)</f>
        <v>996</v>
      </c>
      <c r="FJ59" s="33">
        <f t="shared" si="27"/>
        <v>996</v>
      </c>
      <c r="FK59" s="33">
        <v>794</v>
      </c>
      <c r="FL59" s="33">
        <f>ROUND(坦克等级成长!$H156*VLOOKUP($EP$2,坦克等级成长!$B$36:$G$42,MATCH(FL$3,坦克等级成长!$B$35:$G$35,0)),0)</f>
        <v>1091</v>
      </c>
      <c r="FM59" s="33">
        <f>ROUND(坦克等级成长!$H156*VLOOKUP($EP$2,坦克等级成长!$B$36:$G$42,MATCH(FM$3,坦克等级成长!$B$35:$G$35,0)),0)</f>
        <v>262</v>
      </c>
    </row>
    <row r="60" spans="1:169" ht="14.25" x14ac:dyDescent="0.3">
      <c r="A60" s="189">
        <v>5</v>
      </c>
      <c r="B60" s="192">
        <v>7</v>
      </c>
      <c r="C60" s="33">
        <f>ROUND(坦克等级成长!$D157*VLOOKUP($B$2,坦克等级成长!$B$36:$G$42,MATCH(C$3,坦克等级成长!$B$35:$G$35,0)),0)</f>
        <v>2432</v>
      </c>
      <c r="D60" s="33">
        <f>ROUND(坦克等级成长!$D157*VLOOKUP($B$2,坦克等级成长!$B$36:$G$42,MATCH(D$3,坦克等级成长!$B$35:$G$35,0)),0)</f>
        <v>242</v>
      </c>
      <c r="E60" s="33">
        <f>ROUND(坦克等级成长!$D157*VLOOKUP($B$2,坦克等级成长!$B$36:$G$42,MATCH(E$3,坦克等级成长!$B$35:$G$35,0)),0)</f>
        <v>912</v>
      </c>
      <c r="F60" s="33">
        <f t="shared" si="35"/>
        <v>912</v>
      </c>
      <c r="G60" s="33">
        <v>680.4</v>
      </c>
      <c r="H60" s="33">
        <f>ROUND(坦克等级成长!$D157*VLOOKUP($B$2,坦克等级成长!$B$36:$G$42,MATCH(H$3,坦克等级成长!$B$35:$G$35,0)),0)</f>
        <v>912</v>
      </c>
      <c r="I60" s="33">
        <f>ROUND(坦克等级成长!$D157*VLOOKUP($B$2,坦克等级成长!$B$36:$G$42,MATCH(I$3,坦克等级成长!$B$35:$G$35,0)),0)</f>
        <v>243</v>
      </c>
      <c r="J60" s="199">
        <v>7</v>
      </c>
      <c r="K60" s="33">
        <f>ROUND(坦克等级成长!$F157*VLOOKUP($B$2,坦克等级成长!$B$36:$G$42,MATCH(K$3,坦克等级成长!$B$35:$G$35,0)),0)</f>
        <v>2472</v>
      </c>
      <c r="L60" s="33">
        <f>ROUND(坦克等级成长!$F157*VLOOKUP($B$2,坦克等级成长!$B$36:$G$42,MATCH(L$3,坦克等级成长!$B$35:$G$35,0)),0)</f>
        <v>246</v>
      </c>
      <c r="M60" s="33">
        <f>ROUND(坦克等级成长!$F157*VLOOKUP($B$2,坦克等级成长!$B$36:$G$42,MATCH(M$3,坦克等级成长!$B$35:$G$35,0)),0)</f>
        <v>927</v>
      </c>
      <c r="N60" s="33">
        <f t="shared" si="7"/>
        <v>927</v>
      </c>
      <c r="O60" s="33">
        <v>701</v>
      </c>
      <c r="P60" s="33">
        <f>ROUND(坦克等级成长!$F157*VLOOKUP($B$2,坦克等级成长!$B$36:$G$42,MATCH(P$3,坦克等级成长!$B$35:$G$35,0)),0)</f>
        <v>927</v>
      </c>
      <c r="Q60" s="33">
        <f>ROUND(坦克等级成长!$F157*VLOOKUP($B$2,坦克等级成长!$B$36:$G$42,MATCH(Q$3,坦克等级成长!$B$35:$G$35,0)),0)</f>
        <v>247</v>
      </c>
      <c r="R60" s="192">
        <v>7</v>
      </c>
      <c r="S60" s="33">
        <f>ROUND(坦克等级成长!$H157*VLOOKUP($B$2,坦克等级成长!$B$36:$G$42,MATCH(S$3,坦克等级成长!$B$35:$G$35,0)),0)</f>
        <v>2512</v>
      </c>
      <c r="T60" s="33">
        <f>ROUND(坦克等级成长!$H157*VLOOKUP($B$2,坦克等级成长!$B$36:$G$42,MATCH(T$3,坦克等级成长!$B$35:$G$35,0)),0)</f>
        <v>250</v>
      </c>
      <c r="U60" s="33">
        <f>ROUND(坦克等级成长!$H157*VLOOKUP($B$2,坦克等级成长!$B$36:$G$42,MATCH(U$3,坦克等级成长!$B$35:$G$35,0)),0)</f>
        <v>942</v>
      </c>
      <c r="V60" s="33">
        <f t="shared" si="21"/>
        <v>942</v>
      </c>
      <c r="W60" s="33">
        <v>701</v>
      </c>
      <c r="X60" s="33">
        <f>ROUND(坦克等级成长!$H157*VLOOKUP($B$2,坦克等级成长!$B$36:$G$42,MATCH(X$3,坦克等级成长!$B$35:$G$35,0)),0)</f>
        <v>942</v>
      </c>
      <c r="Y60" s="33">
        <f>ROUND(坦克等级成长!$H157*VLOOKUP($B$2,坦克等级成长!$B$36:$G$42,MATCH(Y$3,坦克等级成长!$B$35:$G$35,0)),0)</f>
        <v>251</v>
      </c>
      <c r="Z60" s="192">
        <v>7</v>
      </c>
      <c r="AA60" s="33">
        <f>ROUND(坦克等级成长!$D157*VLOOKUP($Z$2,坦克等级成长!$B$36:$G$42,MATCH(AA$3,坦克等级成长!$B$35:$G$35,0)),0)</f>
        <v>2432</v>
      </c>
      <c r="AB60" s="33">
        <f>ROUND(坦克等级成长!$D157*VLOOKUP($Z$2,坦克等级成长!$B$36:$G$42,MATCH(AB$3,坦克等级成长!$B$35:$G$35,0)),0)</f>
        <v>129</v>
      </c>
      <c r="AC60" s="33">
        <f>ROUND(坦克等级成长!$D157*VLOOKUP($Z$2,坦克等级成长!$B$36:$G$42,MATCH(AC$3,坦克等级成长!$B$35:$G$35,0)),0)</f>
        <v>999</v>
      </c>
      <c r="AD60" s="33">
        <f t="shared" si="36"/>
        <v>999</v>
      </c>
      <c r="AE60" s="33">
        <v>745.5</v>
      </c>
      <c r="AF60" s="33">
        <f>ROUND(坦克等级成长!$D157*VLOOKUP($Z$2,坦克等级成长!$B$36:$G$42,MATCH(AF$3,坦克等级成长!$B$35:$G$35,0)),0)</f>
        <v>912</v>
      </c>
      <c r="AG60" s="33">
        <f>ROUND(坦克等级成长!$D157*VLOOKUP($Z$2,坦克等级成长!$B$36:$G$42,MATCH(AG$3,坦克等级成长!$B$35:$G$35,0)),0)</f>
        <v>243</v>
      </c>
      <c r="AH60" s="199">
        <v>7</v>
      </c>
      <c r="AI60" s="33">
        <f>ROUND(坦克等级成长!$F157*VLOOKUP($Z$2,坦克等级成长!$B$36:$G$42,MATCH(AI$3,坦克等级成长!$B$35:$G$35,0)),0)</f>
        <v>2472</v>
      </c>
      <c r="AJ60" s="33">
        <f>ROUND(坦克等级成长!$F157*VLOOKUP($Z$2,坦克等级成长!$B$36:$G$42,MATCH(AJ$3,坦克等级成长!$B$35:$G$35,0)),0)</f>
        <v>131</v>
      </c>
      <c r="AK60" s="33">
        <f>ROUND(坦克等级成长!$F157*VLOOKUP($Z$2,坦克等级成长!$B$36:$G$42,MATCH(AK$3,坦克等级成长!$B$35:$G$35,0)),0)</f>
        <v>1015</v>
      </c>
      <c r="AL60" s="33">
        <f t="shared" si="8"/>
        <v>1015</v>
      </c>
      <c r="AM60" s="33">
        <v>768</v>
      </c>
      <c r="AN60" s="33">
        <f>ROUND(坦克等级成长!$F157*VLOOKUP($Z$2,坦克等级成长!$B$36:$G$42,MATCH(AN$3,坦克等级成长!$B$35:$G$35,0)),0)</f>
        <v>927</v>
      </c>
      <c r="AO60" s="33">
        <f>ROUND(坦克等级成长!$F157*VLOOKUP($Z$2,坦克等级成长!$B$36:$G$42,MATCH(AO$3,坦克等级成长!$B$35:$G$35,0)),0)</f>
        <v>247</v>
      </c>
      <c r="AP60" s="192">
        <v>7</v>
      </c>
      <c r="AQ60" s="33">
        <f>ROUND(坦克等级成长!$H157*VLOOKUP($Z$2,坦克等级成长!$B$36:$G$42,MATCH(AQ$3,坦克等级成长!$B$35:$G$35,0)),0)</f>
        <v>2512</v>
      </c>
      <c r="AR60" s="33">
        <f>ROUND(坦克等级成长!$H157*VLOOKUP($Z$2,坦克等级成长!$B$36:$G$42,MATCH(AR$3,坦克等级成长!$B$35:$G$35,0)),0)</f>
        <v>133</v>
      </c>
      <c r="AS60" s="33">
        <f>ROUND(坦克等级成长!$H157*VLOOKUP($Z$2,坦克等级成长!$B$36:$G$42,MATCH(AS$3,坦克等级成长!$B$35:$G$35,0)),0)</f>
        <v>1032</v>
      </c>
      <c r="AT60" s="33">
        <f t="shared" si="22"/>
        <v>1032</v>
      </c>
      <c r="AU60" s="33">
        <v>768</v>
      </c>
      <c r="AV60" s="33">
        <f>ROUND(坦克等级成长!$H157*VLOOKUP($Z$2,坦克等级成长!$B$36:$G$42,MATCH(AV$3,坦克等级成长!$B$35:$G$35,0)),0)</f>
        <v>942</v>
      </c>
      <c r="AW60" s="33">
        <f>ROUND(坦克等级成长!$H157*VLOOKUP($Z$2,坦克等级成长!$B$36:$G$42,MATCH(AW$3,坦克等级成长!$B$35:$G$35,0)),0)</f>
        <v>251</v>
      </c>
      <c r="AX60" s="192">
        <v>7</v>
      </c>
      <c r="AY60" s="33">
        <f>ROUND(坦克等级成长!$D157*VLOOKUP($AX$2,坦克等级成长!$B$36:$G$42,MATCH(AY$3,坦克等级成长!$B$35:$G$35,0)),0)</f>
        <v>2432</v>
      </c>
      <c r="AZ60" s="33">
        <f>ROUND(坦克等级成长!$D157*VLOOKUP($AX$2,坦克等级成长!$B$36:$G$42,MATCH(AZ$3,坦克等级成长!$B$35:$G$35,0)),0)</f>
        <v>242</v>
      </c>
      <c r="BA60" s="33">
        <f>ROUND(坦克等级成长!$D157*VLOOKUP($AX$2,坦克等级成长!$B$36:$G$42,MATCH(BA$3,坦克等级成长!$B$35:$G$35,0)),0)</f>
        <v>912</v>
      </c>
      <c r="BB60" s="33">
        <f t="shared" si="37"/>
        <v>912</v>
      </c>
      <c r="BC60" s="33">
        <v>680.4</v>
      </c>
      <c r="BD60" s="33">
        <f>ROUND(坦克等级成长!$D157*VLOOKUP($AX$2,坦克等级成长!$B$36:$G$42,MATCH(BD$3,坦克等级成长!$B$35:$G$35,0)),0)</f>
        <v>912</v>
      </c>
      <c r="BE60" s="33">
        <f>ROUND(坦克等级成长!$D157*VLOOKUP($AX$2,坦克等级成长!$B$36:$G$42,MATCH(BE$3,坦克等级成长!$B$35:$G$35,0)),0)</f>
        <v>243</v>
      </c>
      <c r="BF60" s="199">
        <v>7</v>
      </c>
      <c r="BG60" s="33">
        <f>ROUND(坦克等级成长!$F157*VLOOKUP($AX$2,坦克等级成长!$B$36:$G$42,MATCH(BG$3,坦克等级成长!$B$35:$G$35,0)),0)</f>
        <v>2472</v>
      </c>
      <c r="BH60" s="33">
        <f>ROUND(坦克等级成长!$F157*VLOOKUP($AX$2,坦克等级成长!$B$36:$G$42,MATCH(BH$3,坦克等级成长!$B$35:$G$35,0)),0)</f>
        <v>246</v>
      </c>
      <c r="BI60" s="33">
        <f>ROUND(坦克等级成长!$F157*VLOOKUP($AX$2,坦克等级成长!$B$36:$G$42,MATCH(BI$3,坦克等级成长!$B$35:$G$35,0)),0)</f>
        <v>927</v>
      </c>
      <c r="BJ60" s="33">
        <f t="shared" si="9"/>
        <v>927</v>
      </c>
      <c r="BK60" s="33">
        <v>701</v>
      </c>
      <c r="BL60" s="33">
        <f>ROUND(坦克等级成长!$F157*VLOOKUP($AX$2,坦克等级成长!$B$36:$G$42,MATCH(BL$3,坦克等级成长!$B$35:$G$35,0)),0)</f>
        <v>927</v>
      </c>
      <c r="BM60" s="33">
        <f>ROUND(坦克等级成长!$F157*VLOOKUP($AX$2,坦克等级成长!$B$36:$G$42,MATCH(BM$3,坦克等级成长!$B$35:$G$35,0)),0)</f>
        <v>247</v>
      </c>
      <c r="BN60" s="192">
        <v>7</v>
      </c>
      <c r="BO60" s="33">
        <f>ROUND(坦克等级成长!$H157*VLOOKUP($AX$2,坦克等级成长!$B$36:$G$42,MATCH(BO$3,坦克等级成长!$B$35:$G$35,0)),0)</f>
        <v>2512</v>
      </c>
      <c r="BP60" s="33">
        <f>ROUND(坦克等级成长!$H157*VLOOKUP($AX$2,坦克等级成长!$B$36:$G$42,MATCH(BP$3,坦克等级成长!$B$35:$G$35,0)),0)</f>
        <v>250</v>
      </c>
      <c r="BQ60" s="33">
        <f>ROUND(坦克等级成长!$H157*VLOOKUP($AX$2,坦克等级成长!$B$36:$G$42,MATCH(BQ$3,坦克等级成长!$B$35:$G$35,0)),0)</f>
        <v>942</v>
      </c>
      <c r="BR60" s="33">
        <f t="shared" si="23"/>
        <v>942</v>
      </c>
      <c r="BS60" s="33">
        <v>701</v>
      </c>
      <c r="BT60" s="33">
        <f>ROUND(坦克等级成长!$H157*VLOOKUP($AX$2,坦克等级成长!$B$36:$G$42,MATCH(BT$3,坦克等级成长!$B$35:$G$35,0)),0)</f>
        <v>942</v>
      </c>
      <c r="BU60" s="33">
        <f>ROUND(坦克等级成长!$H157*VLOOKUP($AX$2,坦克等级成长!$B$36:$G$42,MATCH(BU$3,坦克等级成长!$B$35:$G$35,0)),0)</f>
        <v>251</v>
      </c>
      <c r="BV60" s="192">
        <v>7</v>
      </c>
      <c r="BW60" s="33">
        <f>ROUND(坦克等级成长!$D157*VLOOKUP($BV$2,坦克等级成长!$B$36:$G$42,MATCH(BW$3,坦克等级成长!$B$35:$G$35,0)),0)</f>
        <v>2625</v>
      </c>
      <c r="BX60" s="33">
        <f>ROUND(坦克等级成长!$D157*VLOOKUP($BV$2,坦克等级成长!$B$36:$G$42,MATCH(BX$3,坦克等级成长!$B$35:$G$35,0)),0)</f>
        <v>226</v>
      </c>
      <c r="BY60" s="33">
        <f>ROUND(坦克等级成长!$D157*VLOOKUP($BV$2,坦克等级成长!$B$36:$G$42,MATCH(BY$3,坦克等级成长!$B$35:$G$35,0)),0)</f>
        <v>869</v>
      </c>
      <c r="BZ60" s="33">
        <f t="shared" si="38"/>
        <v>869</v>
      </c>
      <c r="CA60" s="33">
        <v>694.5</v>
      </c>
      <c r="CB60" s="33">
        <f>ROUND(坦克等级成长!$D157*VLOOKUP($BV$2,坦克等级成长!$B$36:$G$42,MATCH(CB$3,坦克等级成长!$B$35:$G$35,0)),0)</f>
        <v>1094</v>
      </c>
      <c r="CC60" s="33">
        <f>ROUND(坦克等级成长!$D157*VLOOKUP($BV$2,坦克等级成长!$B$36:$G$42,MATCH(CC$3,坦克等级成长!$B$35:$G$35,0)),0)</f>
        <v>262</v>
      </c>
      <c r="CD60" s="199">
        <v>7</v>
      </c>
      <c r="CE60" s="33">
        <f>ROUND(坦克等级成长!$F157*VLOOKUP($BV$2,坦克等级成长!$B$36:$G$42,MATCH(CE$3,坦克等级成长!$B$35:$G$35,0)),0)</f>
        <v>2668</v>
      </c>
      <c r="CF60" s="33">
        <f>ROUND(坦克等级成长!$F157*VLOOKUP($BV$2,坦克等级成长!$B$36:$G$42,MATCH(CF$3,坦克等级成长!$B$35:$G$35,0)),0)</f>
        <v>229</v>
      </c>
      <c r="CG60" s="33">
        <f>ROUND(坦克等级成长!$F157*VLOOKUP($BV$2,坦克等级成长!$B$36:$G$42,MATCH(CG$3,坦克等级成长!$B$35:$G$35,0)),0)</f>
        <v>883</v>
      </c>
      <c r="CH60" s="33">
        <f t="shared" si="10"/>
        <v>883</v>
      </c>
      <c r="CI60" s="33">
        <v>716</v>
      </c>
      <c r="CJ60" s="33">
        <f>ROUND(坦克等级成长!$F157*VLOOKUP($BV$2,坦克等级成长!$B$36:$G$42,MATCH(CJ$3,坦克等级成长!$B$35:$G$35,0)),0)</f>
        <v>1112</v>
      </c>
      <c r="CK60" s="33">
        <f>ROUND(坦克等级成长!$F157*VLOOKUP($BV$2,坦克等级成长!$B$36:$G$42,MATCH(CK$3,坦克等级成长!$B$35:$G$35,0)),0)</f>
        <v>267</v>
      </c>
      <c r="CL60" s="192">
        <v>7</v>
      </c>
      <c r="CM60" s="33">
        <f>ROUND(坦克等级成长!$H157*VLOOKUP($BV$2,坦克等级成长!$B$36:$G$42,MATCH(CM$3,坦克等级成长!$B$35:$G$35,0)),0)</f>
        <v>2711</v>
      </c>
      <c r="CN60" s="33">
        <f>ROUND(坦克等级成长!$H157*VLOOKUP($BV$2,坦克等级成长!$B$36:$G$42,MATCH(CN$3,坦克等级成长!$B$35:$G$35,0)),0)</f>
        <v>233</v>
      </c>
      <c r="CO60" s="33">
        <f>ROUND(坦克等级成长!$H157*VLOOKUP($BV$2,坦克等级成长!$B$36:$G$42,MATCH(CO$3,坦克等级成长!$B$35:$G$35,0)),0)</f>
        <v>897</v>
      </c>
      <c r="CP60" s="33">
        <f t="shared" si="24"/>
        <v>897</v>
      </c>
      <c r="CQ60" s="33">
        <v>716</v>
      </c>
      <c r="CR60" s="33">
        <f>ROUND(坦克等级成长!$H157*VLOOKUP($BV$2,坦克等级成长!$B$36:$G$42,MATCH(CR$3,坦克等级成长!$B$35:$G$35,0)),0)</f>
        <v>1130</v>
      </c>
      <c r="CS60" s="33">
        <f>ROUND(坦克等级成长!$H157*VLOOKUP($BV$2,坦克等级成长!$B$36:$G$42,MATCH(CS$3,坦克等级成长!$B$35:$G$35,0)),0)</f>
        <v>271</v>
      </c>
      <c r="CT60" s="192">
        <v>7</v>
      </c>
      <c r="CU60" s="33">
        <f>ROUND(坦克等级成长!$D157*VLOOKUP($CT$2,坦克等级成长!$B$36:$G$42,MATCH(CU$3,坦克等级成长!$B$35:$G$35,0)),0)</f>
        <v>2432</v>
      </c>
      <c r="CV60" s="33">
        <f>ROUND(坦克等级成长!$D157*VLOOKUP($CT$2,坦克等级成长!$B$36:$G$42,MATCH(CV$3,坦克等级成长!$B$35:$G$35,0)),0)</f>
        <v>490</v>
      </c>
      <c r="CW60" s="33">
        <f>ROUND(坦克等级成长!$D157*VLOOKUP($CT$2,坦克等级成长!$B$36:$G$42,MATCH(CW$3,坦克等级成长!$B$35:$G$35,0)),0)</f>
        <v>1086</v>
      </c>
      <c r="CX60" s="33">
        <f t="shared" si="39"/>
        <v>1086</v>
      </c>
      <c r="CY60" s="33">
        <v>867.75</v>
      </c>
      <c r="CZ60" s="33">
        <f>ROUND(坦克等级成长!$D157*VLOOKUP($CT$2,坦克等级成长!$B$36:$G$42,MATCH(CZ$3,坦克等级成长!$B$35:$G$35,0)),0)</f>
        <v>912</v>
      </c>
      <c r="DA60" s="33">
        <f>ROUND(坦克等级成长!$D157*VLOOKUP($CT$2,坦克等级成长!$B$36:$G$42,MATCH(DA$3,坦克等级成长!$B$35:$G$35,0)),0)</f>
        <v>243</v>
      </c>
      <c r="DB60" s="199">
        <v>7</v>
      </c>
      <c r="DC60" s="33">
        <f>ROUND(坦克等级成长!$F157*VLOOKUP($CT$2,坦克等级成长!$B$36:$G$42,MATCH(DC$3,坦克等级成长!$B$35:$G$35,0)),0)</f>
        <v>2472</v>
      </c>
      <c r="DD60" s="33">
        <f>ROUND(坦克等级成长!$F157*VLOOKUP($CT$2,坦克等级成长!$B$36:$G$42,MATCH(DD$3,坦克等级成长!$B$35:$G$35,0)),0)</f>
        <v>498</v>
      </c>
      <c r="DE60" s="33">
        <f>ROUND(坦克等级成长!$F157*VLOOKUP($CT$2,坦克等级成长!$B$36:$G$42,MATCH(DE$3,坦克等级成长!$B$35:$G$35,0)),0)</f>
        <v>1104</v>
      </c>
      <c r="DF60" s="33">
        <f t="shared" si="11"/>
        <v>1104</v>
      </c>
      <c r="DG60" s="33">
        <v>895</v>
      </c>
      <c r="DH60" s="33">
        <f>ROUND(坦克等级成长!$F157*VLOOKUP($CT$2,坦克等级成长!$B$36:$G$42,MATCH(DH$3,坦克等级成长!$B$35:$G$35,0)),0)</f>
        <v>927</v>
      </c>
      <c r="DI60" s="33">
        <f>ROUND(坦克等级成长!$F157*VLOOKUP($CT$2,坦克等级成长!$B$36:$G$42,MATCH(DI$3,坦克等级成长!$B$35:$G$35,0)),0)</f>
        <v>247</v>
      </c>
      <c r="DJ60" s="192">
        <v>7</v>
      </c>
      <c r="DK60" s="33">
        <f>ROUND(坦克等级成长!$H157*VLOOKUP($CT$2,坦克等级成长!$B$36:$G$42,MATCH(DK$3,坦克等级成长!$B$35:$G$35,0)),0)</f>
        <v>2512</v>
      </c>
      <c r="DL60" s="33">
        <f>ROUND(坦克等级成长!$H157*VLOOKUP($CT$2,坦克等级成长!$B$36:$G$42,MATCH(DL$3,坦克等级成长!$B$35:$G$35,0)),0)</f>
        <v>506</v>
      </c>
      <c r="DM60" s="33">
        <f>ROUND(坦克等级成长!$H157*VLOOKUP($CT$2,坦克等级成长!$B$36:$G$42,MATCH(DM$3,坦克等级成长!$B$35:$G$35,0)),0)</f>
        <v>1121</v>
      </c>
      <c r="DN60" s="33">
        <f t="shared" si="25"/>
        <v>1121</v>
      </c>
      <c r="DO60" s="33">
        <v>895</v>
      </c>
      <c r="DP60" s="33">
        <f>ROUND(坦克等级成长!$H157*VLOOKUP($CT$2,坦克等级成长!$B$36:$G$42,MATCH(DP$3,坦克等级成长!$B$35:$G$35,0)),0)</f>
        <v>942</v>
      </c>
      <c r="DQ60" s="33">
        <f>ROUND(坦克等级成长!$H157*VLOOKUP($CT$2,坦克等级成长!$B$36:$G$42,MATCH(DQ$3,坦克等级成长!$B$35:$G$35,0)),0)</f>
        <v>251</v>
      </c>
      <c r="DR60" s="192">
        <v>7</v>
      </c>
      <c r="DS60" s="33">
        <f>ROUND(坦克等级成长!$D157*VLOOKUP($DR$2,坦克等级成长!$B$36:$G$42,MATCH(DS$3,坦克等级成长!$B$35:$G$35,0)),0)</f>
        <v>2975</v>
      </c>
      <c r="DT60" s="33">
        <f>ROUND(坦克等级成长!$D157*VLOOKUP($DR$2,坦克等级成长!$B$36:$G$42,MATCH(DT$3,坦克等级成长!$B$35:$G$35,0)),0)</f>
        <v>815</v>
      </c>
      <c r="DU60" s="33">
        <f>ROUND(坦克等级成长!$D157*VLOOKUP($DR$2,坦克等级成长!$B$36:$G$42,MATCH(DU$3,坦克等级成长!$B$35:$G$35,0)),0)</f>
        <v>869</v>
      </c>
      <c r="DV60" s="33">
        <f t="shared" si="40"/>
        <v>869</v>
      </c>
      <c r="DW60" s="33">
        <v>740.8</v>
      </c>
      <c r="DX60" s="33">
        <f>ROUND(坦克等级成长!$D157*VLOOKUP($DR$2,坦克等级成长!$B$36:$G$42,MATCH(DX$3,坦克等级成长!$B$35:$G$35,0)),0)</f>
        <v>1277</v>
      </c>
      <c r="DY60" s="33">
        <f>ROUND(坦克等级成长!$D157*VLOOKUP($DR$2,坦克等级成长!$B$36:$G$42,MATCH(DY$3,坦克等级成长!$B$35:$G$35,0)),0)</f>
        <v>298</v>
      </c>
      <c r="DZ60" s="199">
        <v>7</v>
      </c>
      <c r="EA60" s="33">
        <f>ROUND(坦克等级成长!$F157*VLOOKUP($DR$2,坦克等级成长!$B$36:$G$42,MATCH(EA$3,坦克等级成长!$B$35:$G$35,0)),0)</f>
        <v>3024</v>
      </c>
      <c r="EB60" s="33">
        <f>ROUND(坦克等级成长!$F157*VLOOKUP($DR$2,坦克等级成长!$B$36:$G$42,MATCH(EB$3,坦克等级成长!$B$35:$G$35,0)),0)</f>
        <v>828</v>
      </c>
      <c r="EC60" s="33">
        <f>ROUND(坦克等级成长!$F157*VLOOKUP($DR$2,坦克等级成长!$B$36:$G$42,MATCH(EC$3,坦克等级成长!$B$35:$G$35,0)),0)</f>
        <v>883</v>
      </c>
      <c r="ED60" s="33">
        <f t="shared" si="12"/>
        <v>883</v>
      </c>
      <c r="EE60" s="33">
        <v>763</v>
      </c>
      <c r="EF60" s="33">
        <f>ROUND(坦克等级成长!$F157*VLOOKUP($DR$2,坦克等级成长!$B$36:$G$42,MATCH(EF$3,坦克等级成长!$B$35:$G$35,0)),0)</f>
        <v>1298</v>
      </c>
      <c r="EG60" s="33">
        <f>ROUND(坦克等级成长!$F157*VLOOKUP($DR$2,坦克等级成长!$B$36:$G$42,MATCH(EG$3,坦克等级成长!$B$35:$G$35,0)),0)</f>
        <v>302</v>
      </c>
      <c r="EH60" s="192">
        <v>7</v>
      </c>
      <c r="EI60" s="33">
        <f>ROUND(坦克等级成长!$H157*VLOOKUP($DR$2,坦克等级成长!$B$36:$G$42,MATCH(EI$3,坦克等级成长!$B$35:$G$35,0)),0)</f>
        <v>3073</v>
      </c>
      <c r="EJ60" s="33">
        <f>ROUND(坦克等级成长!$H157*VLOOKUP($DR$2,坦克等级成长!$B$36:$G$42,MATCH(EJ$3,坦克等级成长!$B$35:$G$35,0)),0)</f>
        <v>842</v>
      </c>
      <c r="EK60" s="33">
        <f>ROUND(坦克等级成长!$H157*VLOOKUP($DR$2,坦克等级成长!$B$36:$G$42,MATCH(EK$3,坦克等级成长!$B$35:$G$35,0)),0)</f>
        <v>897</v>
      </c>
      <c r="EL60" s="33">
        <f t="shared" si="26"/>
        <v>897</v>
      </c>
      <c r="EM60" s="33">
        <v>763</v>
      </c>
      <c r="EN60" s="33">
        <f>ROUND(坦克等级成长!$H157*VLOOKUP($DR$2,坦克等级成长!$B$36:$G$42,MATCH(EN$3,坦克等级成长!$B$35:$G$35,0)),0)</f>
        <v>1319</v>
      </c>
      <c r="EO60" s="33">
        <f>ROUND(坦克等级成长!$H157*VLOOKUP($DR$2,坦克等级成长!$B$36:$G$42,MATCH(EO$3,坦克等级成长!$B$35:$G$35,0)),0)</f>
        <v>307</v>
      </c>
      <c r="EP60" s="192">
        <v>7</v>
      </c>
      <c r="EQ60" s="33">
        <f>ROUND(坦克等级成长!$D157*VLOOKUP($EP$2,坦克等级成长!$B$36:$G$42,MATCH(EQ$3,坦克等级成长!$B$35:$G$35,0)),0)</f>
        <v>2625</v>
      </c>
      <c r="ER60" s="33">
        <f>ROUND(坦克等级成长!$D157*VLOOKUP($EP$2,坦克等级成长!$B$36:$G$42,MATCH(ER$3,坦克等级成长!$B$35:$G$35,0)),0)</f>
        <v>270</v>
      </c>
      <c r="ES60" s="33">
        <f>ROUND(坦克等级成长!$D157*VLOOKUP($EP$2,坦克等级成长!$B$36:$G$42,MATCH(ES$3,坦克等级成长!$B$35:$G$35,0)),0)</f>
        <v>999</v>
      </c>
      <c r="ET60" s="33">
        <f t="shared" si="41"/>
        <v>999</v>
      </c>
      <c r="EU60" s="33">
        <v>798.75</v>
      </c>
      <c r="EV60" s="33">
        <f>ROUND(坦克等级成长!$D157*VLOOKUP($EP$2,坦克等级成长!$B$36:$G$42,MATCH(EV$3,坦克等级成长!$B$35:$G$35,0)),0)</f>
        <v>1094</v>
      </c>
      <c r="EW60" s="33">
        <f>ROUND(坦克等级成长!$D157*VLOOKUP($EP$2,坦克等级成长!$B$36:$G$42,MATCH(EW$3,坦克等级成长!$B$35:$G$35,0)),0)</f>
        <v>262</v>
      </c>
      <c r="EX60" s="199">
        <v>7</v>
      </c>
      <c r="EY60" s="33">
        <f>ROUND(坦克等级成长!$F157*VLOOKUP($EP$2,坦克等级成长!$B$36:$G$42,MATCH(EY$3,坦克等级成长!$B$35:$G$35,0)),0)</f>
        <v>2668</v>
      </c>
      <c r="EZ60" s="33">
        <f>ROUND(坦克等级成长!$F157*VLOOKUP($EP$2,坦克等级成长!$B$36:$G$42,MATCH(EZ$3,坦克等级成长!$B$35:$G$35,0)),0)</f>
        <v>275</v>
      </c>
      <c r="FA60" s="33">
        <f>ROUND(坦克等级成长!$F157*VLOOKUP($EP$2,坦克等级成长!$B$36:$G$42,MATCH(FA$3,坦克等级成长!$B$35:$G$35,0)),0)</f>
        <v>1015</v>
      </c>
      <c r="FB60" s="33">
        <f t="shared" si="13"/>
        <v>1015</v>
      </c>
      <c r="FC60" s="33">
        <v>823</v>
      </c>
      <c r="FD60" s="33">
        <f>ROUND(坦克等级成长!$F157*VLOOKUP($EP$2,坦克等级成长!$B$36:$G$42,MATCH(FD$3,坦克等级成长!$B$35:$G$35,0)),0)</f>
        <v>1112</v>
      </c>
      <c r="FE60" s="33">
        <f>ROUND(坦克等级成长!$F157*VLOOKUP($EP$2,坦克等级成长!$B$36:$G$42,MATCH(FE$3,坦克等级成长!$B$35:$G$35,0)),0)</f>
        <v>267</v>
      </c>
      <c r="FF60" s="192">
        <v>7</v>
      </c>
      <c r="FG60" s="33">
        <f>ROUND(坦克等级成长!$H157*VLOOKUP($EP$2,坦克等级成长!$B$36:$G$42,MATCH(FG$3,坦克等级成长!$B$35:$G$35,0)),0)</f>
        <v>2711</v>
      </c>
      <c r="FH60" s="33">
        <f>ROUND(坦克等级成长!$H157*VLOOKUP($EP$2,坦克等级成长!$B$36:$G$42,MATCH(FH$3,坦克等级成长!$B$35:$G$35,0)),0)</f>
        <v>279</v>
      </c>
      <c r="FI60" s="33">
        <f>ROUND(坦克等级成长!$H157*VLOOKUP($EP$2,坦克等级成长!$B$36:$G$42,MATCH(FI$3,坦克等级成长!$B$35:$G$35,0)),0)</f>
        <v>1032</v>
      </c>
      <c r="FJ60" s="33">
        <f t="shared" si="27"/>
        <v>1032</v>
      </c>
      <c r="FK60" s="33">
        <v>823</v>
      </c>
      <c r="FL60" s="33">
        <f>ROUND(坦克等级成长!$H157*VLOOKUP($EP$2,坦克等级成长!$B$36:$G$42,MATCH(FL$3,坦克等级成长!$B$35:$G$35,0)),0)</f>
        <v>1130</v>
      </c>
      <c r="FM60" s="33">
        <f>ROUND(坦克等级成长!$H157*VLOOKUP($EP$2,坦克等级成长!$B$36:$G$42,MATCH(FM$3,坦克等级成长!$B$35:$G$35,0)),0)</f>
        <v>271</v>
      </c>
    </row>
    <row r="61" spans="1:169" ht="14.25" x14ac:dyDescent="0.3">
      <c r="A61" s="189">
        <v>5</v>
      </c>
      <c r="B61" s="192">
        <v>8</v>
      </c>
      <c r="C61" s="33">
        <f>ROUND(坦克等级成长!$D158*VLOOKUP($B$2,坦克等级成长!$B$36:$G$42,MATCH(C$3,坦克等级成长!$B$35:$G$35,0)),0)</f>
        <v>2520</v>
      </c>
      <c r="D61" s="33">
        <f>ROUND(坦克等级成长!$D158*VLOOKUP($B$2,坦克等级成长!$B$36:$G$42,MATCH(D$3,坦克等级成长!$B$35:$G$35,0)),0)</f>
        <v>251</v>
      </c>
      <c r="E61" s="33">
        <f>ROUND(坦克等级成长!$D158*VLOOKUP($B$2,坦克等级成长!$B$36:$G$42,MATCH(E$3,坦克等级成长!$B$35:$G$35,0)),0)</f>
        <v>945</v>
      </c>
      <c r="F61" s="33">
        <f t="shared" si="35"/>
        <v>945</v>
      </c>
      <c r="G61" s="33">
        <v>705.6</v>
      </c>
      <c r="H61" s="33">
        <f>ROUND(坦克等级成长!$D158*VLOOKUP($B$2,坦克等级成长!$B$36:$G$42,MATCH(H$3,坦克等级成长!$B$35:$G$35,0)),0)</f>
        <v>945</v>
      </c>
      <c r="I61" s="33">
        <f>ROUND(坦克等级成长!$D158*VLOOKUP($B$2,坦克等级成长!$B$36:$G$42,MATCH(I$3,坦克等级成长!$B$35:$G$35,0)),0)</f>
        <v>252</v>
      </c>
      <c r="J61" s="199">
        <v>8</v>
      </c>
      <c r="K61" s="33">
        <f>ROUND(坦克等级成长!$F158*VLOOKUP($B$2,坦克等级成长!$B$36:$G$42,MATCH(K$3,坦克等级成长!$B$35:$G$35,0)),0)</f>
        <v>2560</v>
      </c>
      <c r="L61" s="33">
        <f>ROUND(坦克等级成长!$F158*VLOOKUP($B$2,坦克等级成长!$B$36:$G$42,MATCH(L$3,坦克等级成长!$B$35:$G$35,0)),0)</f>
        <v>255</v>
      </c>
      <c r="M61" s="33">
        <f>ROUND(坦克等级成长!$F158*VLOOKUP($B$2,坦克等级成长!$B$36:$G$42,MATCH(M$3,坦克等级成长!$B$35:$G$35,0)),0)</f>
        <v>960</v>
      </c>
      <c r="N61" s="33">
        <f t="shared" si="7"/>
        <v>960</v>
      </c>
      <c r="O61" s="33">
        <v>727</v>
      </c>
      <c r="P61" s="33">
        <f>ROUND(坦克等级成长!$F158*VLOOKUP($B$2,坦克等级成长!$B$36:$G$42,MATCH(P$3,坦克等级成长!$B$35:$G$35,0)),0)</f>
        <v>960</v>
      </c>
      <c r="Q61" s="33">
        <f>ROUND(坦克等级成长!$F158*VLOOKUP($B$2,坦克等级成长!$B$36:$G$42,MATCH(Q$3,坦克等级成长!$B$35:$G$35,0)),0)</f>
        <v>256</v>
      </c>
      <c r="R61" s="192">
        <v>8</v>
      </c>
      <c r="S61" s="33">
        <f>ROUND(坦克等级成长!$H158*VLOOKUP($B$2,坦克等级成长!$B$36:$G$42,MATCH(S$3,坦克等级成长!$B$35:$G$35,0)),0)</f>
        <v>2600</v>
      </c>
      <c r="T61" s="33">
        <f>ROUND(坦克等级成长!$H158*VLOOKUP($B$2,坦克等级成长!$B$36:$G$42,MATCH(T$3,坦克等级成长!$B$35:$G$35,0)),0)</f>
        <v>259</v>
      </c>
      <c r="U61" s="33">
        <f>ROUND(坦克等级成长!$H158*VLOOKUP($B$2,坦克等级成长!$B$36:$G$42,MATCH(U$3,坦克等级成长!$B$35:$G$35,0)),0)</f>
        <v>975</v>
      </c>
      <c r="V61" s="33">
        <f t="shared" si="21"/>
        <v>975</v>
      </c>
      <c r="W61" s="33">
        <v>727</v>
      </c>
      <c r="X61" s="33">
        <f>ROUND(坦克等级成长!$H158*VLOOKUP($B$2,坦克等级成长!$B$36:$G$42,MATCH(X$3,坦克等级成长!$B$35:$G$35,0)),0)</f>
        <v>975</v>
      </c>
      <c r="Y61" s="33">
        <f>ROUND(坦克等级成长!$H158*VLOOKUP($B$2,坦克等级成长!$B$36:$G$42,MATCH(Y$3,坦克等级成长!$B$35:$G$35,0)),0)</f>
        <v>260</v>
      </c>
      <c r="Z61" s="192">
        <v>8</v>
      </c>
      <c r="AA61" s="33">
        <f>ROUND(坦克等级成长!$D158*VLOOKUP($Z$2,坦克等级成长!$B$36:$G$42,MATCH(AA$3,坦克等级成长!$B$35:$G$35,0)),0)</f>
        <v>2520</v>
      </c>
      <c r="AB61" s="33">
        <f>ROUND(坦克等级成长!$D158*VLOOKUP($Z$2,坦克等级成长!$B$36:$G$42,MATCH(AB$3,坦克等级成长!$B$35:$G$35,0)),0)</f>
        <v>134</v>
      </c>
      <c r="AC61" s="33">
        <f>ROUND(坦克等级成长!$D158*VLOOKUP($Z$2,坦克等级成长!$B$36:$G$42,MATCH(AC$3,坦克等级成长!$B$35:$G$35,0)),0)</f>
        <v>1035</v>
      </c>
      <c r="AD61" s="33">
        <f t="shared" si="36"/>
        <v>1035</v>
      </c>
      <c r="AE61" s="33">
        <v>772.8</v>
      </c>
      <c r="AF61" s="33">
        <f>ROUND(坦克等级成长!$D158*VLOOKUP($Z$2,坦克等级成长!$B$36:$G$42,MATCH(AF$3,坦克等级成长!$B$35:$G$35,0)),0)</f>
        <v>945</v>
      </c>
      <c r="AG61" s="33">
        <f>ROUND(坦克等级成长!$D158*VLOOKUP($Z$2,坦克等级成长!$B$36:$G$42,MATCH(AG$3,坦克等级成长!$B$35:$G$35,0)),0)</f>
        <v>252</v>
      </c>
      <c r="AH61" s="199">
        <v>8</v>
      </c>
      <c r="AI61" s="33">
        <f>ROUND(坦克等级成长!$F158*VLOOKUP($Z$2,坦克等级成长!$B$36:$G$42,MATCH(AI$3,坦克等级成长!$B$35:$G$35,0)),0)</f>
        <v>2560</v>
      </c>
      <c r="AJ61" s="33">
        <f>ROUND(坦克等级成长!$F158*VLOOKUP($Z$2,坦克等级成长!$B$36:$G$42,MATCH(AJ$3,坦克等级成长!$B$35:$G$35,0)),0)</f>
        <v>136</v>
      </c>
      <c r="AK61" s="33">
        <f>ROUND(坦克等级成长!$F158*VLOOKUP($Z$2,坦克等级成长!$B$36:$G$42,MATCH(AK$3,坦克等级成长!$B$35:$G$35,0)),0)</f>
        <v>1051</v>
      </c>
      <c r="AL61" s="33">
        <f t="shared" si="8"/>
        <v>1051</v>
      </c>
      <c r="AM61" s="33">
        <v>796</v>
      </c>
      <c r="AN61" s="33">
        <f>ROUND(坦克等级成长!$F158*VLOOKUP($Z$2,坦克等级成长!$B$36:$G$42,MATCH(AN$3,坦克等级成长!$B$35:$G$35,0)),0)</f>
        <v>960</v>
      </c>
      <c r="AO61" s="33">
        <f>ROUND(坦克等级成长!$F158*VLOOKUP($Z$2,坦克等级成长!$B$36:$G$42,MATCH(AO$3,坦克等级成长!$B$35:$G$35,0)),0)</f>
        <v>256</v>
      </c>
      <c r="AP61" s="192">
        <v>8</v>
      </c>
      <c r="AQ61" s="33">
        <f>ROUND(坦克等级成长!$H158*VLOOKUP($Z$2,坦克等级成长!$B$36:$G$42,MATCH(AQ$3,坦克等级成长!$B$35:$G$35,0)),0)</f>
        <v>2600</v>
      </c>
      <c r="AR61" s="33">
        <f>ROUND(坦克等级成长!$H158*VLOOKUP($Z$2,坦克等级成长!$B$36:$G$42,MATCH(AR$3,坦克等级成长!$B$35:$G$35,0)),0)</f>
        <v>138</v>
      </c>
      <c r="AS61" s="33">
        <f>ROUND(坦克等级成长!$H158*VLOOKUP($Z$2,坦克等级成长!$B$36:$G$42,MATCH(AS$3,坦克等级成长!$B$35:$G$35,0)),0)</f>
        <v>1068</v>
      </c>
      <c r="AT61" s="33">
        <f t="shared" si="22"/>
        <v>1068</v>
      </c>
      <c r="AU61" s="33">
        <v>796</v>
      </c>
      <c r="AV61" s="33">
        <f>ROUND(坦克等级成长!$H158*VLOOKUP($Z$2,坦克等级成长!$B$36:$G$42,MATCH(AV$3,坦克等级成长!$B$35:$G$35,0)),0)</f>
        <v>975</v>
      </c>
      <c r="AW61" s="33">
        <f>ROUND(坦克等级成长!$H158*VLOOKUP($Z$2,坦克等级成长!$B$36:$G$42,MATCH(AW$3,坦克等级成长!$B$35:$G$35,0)),0)</f>
        <v>260</v>
      </c>
      <c r="AX61" s="192">
        <v>8</v>
      </c>
      <c r="AY61" s="33">
        <f>ROUND(坦克等级成长!$D158*VLOOKUP($AX$2,坦克等级成长!$B$36:$G$42,MATCH(AY$3,坦克等级成长!$B$35:$G$35,0)),0)</f>
        <v>2520</v>
      </c>
      <c r="AZ61" s="33">
        <f>ROUND(坦克等级成长!$D158*VLOOKUP($AX$2,坦克等级成长!$B$36:$G$42,MATCH(AZ$3,坦克等级成长!$B$35:$G$35,0)),0)</f>
        <v>251</v>
      </c>
      <c r="BA61" s="33">
        <f>ROUND(坦克等级成长!$D158*VLOOKUP($AX$2,坦克等级成长!$B$36:$G$42,MATCH(BA$3,坦克等级成长!$B$35:$G$35,0)),0)</f>
        <v>945</v>
      </c>
      <c r="BB61" s="33">
        <f t="shared" si="37"/>
        <v>945</v>
      </c>
      <c r="BC61" s="33">
        <v>705.6</v>
      </c>
      <c r="BD61" s="33">
        <f>ROUND(坦克等级成长!$D158*VLOOKUP($AX$2,坦克等级成长!$B$36:$G$42,MATCH(BD$3,坦克等级成长!$B$35:$G$35,0)),0)</f>
        <v>945</v>
      </c>
      <c r="BE61" s="33">
        <f>ROUND(坦克等级成长!$D158*VLOOKUP($AX$2,坦克等级成长!$B$36:$G$42,MATCH(BE$3,坦克等级成长!$B$35:$G$35,0)),0)</f>
        <v>252</v>
      </c>
      <c r="BF61" s="199">
        <v>8</v>
      </c>
      <c r="BG61" s="33">
        <f>ROUND(坦克等级成长!$F158*VLOOKUP($AX$2,坦克等级成长!$B$36:$G$42,MATCH(BG$3,坦克等级成长!$B$35:$G$35,0)),0)</f>
        <v>2560</v>
      </c>
      <c r="BH61" s="33">
        <f>ROUND(坦克等级成长!$F158*VLOOKUP($AX$2,坦克等级成长!$B$36:$G$42,MATCH(BH$3,坦克等级成长!$B$35:$G$35,0)),0)</f>
        <v>255</v>
      </c>
      <c r="BI61" s="33">
        <f>ROUND(坦克等级成长!$F158*VLOOKUP($AX$2,坦克等级成长!$B$36:$G$42,MATCH(BI$3,坦克等级成长!$B$35:$G$35,0)),0)</f>
        <v>960</v>
      </c>
      <c r="BJ61" s="33">
        <f t="shared" si="9"/>
        <v>960</v>
      </c>
      <c r="BK61" s="33">
        <v>727</v>
      </c>
      <c r="BL61" s="33">
        <f>ROUND(坦克等级成长!$F158*VLOOKUP($AX$2,坦克等级成长!$B$36:$G$42,MATCH(BL$3,坦克等级成长!$B$35:$G$35,0)),0)</f>
        <v>960</v>
      </c>
      <c r="BM61" s="33">
        <f>ROUND(坦克等级成长!$F158*VLOOKUP($AX$2,坦克等级成长!$B$36:$G$42,MATCH(BM$3,坦克等级成长!$B$35:$G$35,0)),0)</f>
        <v>256</v>
      </c>
      <c r="BN61" s="192">
        <v>8</v>
      </c>
      <c r="BO61" s="33">
        <f>ROUND(坦克等级成长!$H158*VLOOKUP($AX$2,坦克等级成长!$B$36:$G$42,MATCH(BO$3,坦克等级成长!$B$35:$G$35,0)),0)</f>
        <v>2600</v>
      </c>
      <c r="BP61" s="33">
        <f>ROUND(坦克等级成长!$H158*VLOOKUP($AX$2,坦克等级成长!$B$36:$G$42,MATCH(BP$3,坦克等级成长!$B$35:$G$35,0)),0)</f>
        <v>259</v>
      </c>
      <c r="BQ61" s="33">
        <f>ROUND(坦克等级成长!$H158*VLOOKUP($AX$2,坦克等级成长!$B$36:$G$42,MATCH(BQ$3,坦克等级成长!$B$35:$G$35,0)),0)</f>
        <v>975</v>
      </c>
      <c r="BR61" s="33">
        <f t="shared" si="23"/>
        <v>975</v>
      </c>
      <c r="BS61" s="33">
        <v>727</v>
      </c>
      <c r="BT61" s="33">
        <f>ROUND(坦克等级成长!$H158*VLOOKUP($AX$2,坦克等级成长!$B$36:$G$42,MATCH(BT$3,坦克等级成长!$B$35:$G$35,0)),0)</f>
        <v>975</v>
      </c>
      <c r="BU61" s="33">
        <f>ROUND(坦克等级成长!$H158*VLOOKUP($AX$2,坦克等级成长!$B$36:$G$42,MATCH(BU$3,坦克等级成长!$B$35:$G$35,0)),0)</f>
        <v>260</v>
      </c>
      <c r="BV61" s="192">
        <v>8</v>
      </c>
      <c r="BW61" s="33">
        <f>ROUND(坦克等级成长!$D158*VLOOKUP($BV$2,坦克等级成长!$B$36:$G$42,MATCH(BW$3,坦克等级成长!$B$35:$G$35,0)),0)</f>
        <v>2720</v>
      </c>
      <c r="BX61" s="33">
        <f>ROUND(坦克等级成长!$D158*VLOOKUP($BV$2,坦克等级成长!$B$36:$G$42,MATCH(BX$3,坦克等级成长!$B$35:$G$35,0)),0)</f>
        <v>234</v>
      </c>
      <c r="BY61" s="33">
        <f>ROUND(坦克等级成长!$D158*VLOOKUP($BV$2,坦克等级成长!$B$36:$G$42,MATCH(BY$3,坦克等级成长!$B$35:$G$35,0)),0)</f>
        <v>900</v>
      </c>
      <c r="BZ61" s="33">
        <f t="shared" si="38"/>
        <v>900</v>
      </c>
      <c r="CA61" s="33">
        <v>720</v>
      </c>
      <c r="CB61" s="33">
        <f>ROUND(坦克等级成长!$D158*VLOOKUP($BV$2,坦克等级成长!$B$36:$G$42,MATCH(CB$3,坦克等级成长!$B$35:$G$35,0)),0)</f>
        <v>1134</v>
      </c>
      <c r="CC61" s="33">
        <f>ROUND(坦克等级成长!$D158*VLOOKUP($BV$2,坦克等级成长!$B$36:$G$42,MATCH(CC$3,坦克等级成长!$B$35:$G$35,0)),0)</f>
        <v>272</v>
      </c>
      <c r="CD61" s="199">
        <v>8</v>
      </c>
      <c r="CE61" s="33">
        <f>ROUND(坦克等级成长!$F158*VLOOKUP($BV$2,坦克等级成长!$B$36:$G$42,MATCH(CE$3,坦克等级成长!$B$35:$G$35,0)),0)</f>
        <v>2763</v>
      </c>
      <c r="CF61" s="33">
        <f>ROUND(坦克等级成长!$F158*VLOOKUP($BV$2,坦克等级成长!$B$36:$G$42,MATCH(CF$3,坦克等级成长!$B$35:$G$35,0)),0)</f>
        <v>238</v>
      </c>
      <c r="CG61" s="33">
        <f>ROUND(坦克等级成长!$F158*VLOOKUP($BV$2,坦克等级成长!$B$36:$G$42,MATCH(CG$3,坦克等级成长!$B$35:$G$35,0)),0)</f>
        <v>914</v>
      </c>
      <c r="CH61" s="33">
        <f t="shared" si="10"/>
        <v>914</v>
      </c>
      <c r="CI61" s="33">
        <v>742</v>
      </c>
      <c r="CJ61" s="33">
        <f>ROUND(坦克等级成长!$F158*VLOOKUP($BV$2,坦克等级成长!$B$36:$G$42,MATCH(CJ$3,坦克等级成长!$B$35:$G$35,0)),0)</f>
        <v>1152</v>
      </c>
      <c r="CK61" s="33">
        <f>ROUND(坦克等级成长!$F158*VLOOKUP($BV$2,坦克等级成长!$B$36:$G$42,MATCH(CK$3,坦克等级成长!$B$35:$G$35,0)),0)</f>
        <v>276</v>
      </c>
      <c r="CL61" s="192">
        <v>8</v>
      </c>
      <c r="CM61" s="33">
        <f>ROUND(坦克等级成长!$H158*VLOOKUP($BV$2,坦克等级成长!$B$36:$G$42,MATCH(CM$3,坦克等级成长!$B$35:$G$35,0)),0)</f>
        <v>2806</v>
      </c>
      <c r="CN61" s="33">
        <f>ROUND(坦克等级成长!$H158*VLOOKUP($BV$2,坦克等级成长!$B$36:$G$42,MATCH(CN$3,坦克等级成长!$B$35:$G$35,0)),0)</f>
        <v>241</v>
      </c>
      <c r="CO61" s="33">
        <f>ROUND(坦克等级成长!$H158*VLOOKUP($BV$2,坦克等级成长!$B$36:$G$42,MATCH(CO$3,坦克等级成长!$B$35:$G$35,0)),0)</f>
        <v>929</v>
      </c>
      <c r="CP61" s="33">
        <f t="shared" si="24"/>
        <v>929</v>
      </c>
      <c r="CQ61" s="33">
        <v>742</v>
      </c>
      <c r="CR61" s="33">
        <f>ROUND(坦克等级成长!$H158*VLOOKUP($BV$2,坦克等级成长!$B$36:$G$42,MATCH(CR$3,坦克等级成长!$B$35:$G$35,0)),0)</f>
        <v>1170</v>
      </c>
      <c r="CS61" s="33">
        <f>ROUND(坦克等级成长!$H158*VLOOKUP($BV$2,坦克等级成长!$B$36:$G$42,MATCH(CS$3,坦克等级成长!$B$35:$G$35,0)),0)</f>
        <v>281</v>
      </c>
      <c r="CT61" s="192">
        <v>8</v>
      </c>
      <c r="CU61" s="33">
        <f>ROUND(坦克等级成长!$D158*VLOOKUP($CT$2,坦克等级成长!$B$36:$G$42,MATCH(CU$3,坦克等级成长!$B$35:$G$35,0)),0)</f>
        <v>2520</v>
      </c>
      <c r="CV61" s="33">
        <f>ROUND(坦克等级成长!$D158*VLOOKUP($CT$2,坦克等级成长!$B$36:$G$42,MATCH(CV$3,坦克等级成长!$B$35:$G$35,0)),0)</f>
        <v>507</v>
      </c>
      <c r="CW61" s="33">
        <f>ROUND(坦克等级成长!$D158*VLOOKUP($CT$2,坦克等级成长!$B$36:$G$42,MATCH(CW$3,坦克等级成长!$B$35:$G$35,0)),0)</f>
        <v>1125</v>
      </c>
      <c r="CX61" s="33">
        <f t="shared" si="39"/>
        <v>1125</v>
      </c>
      <c r="CY61" s="33">
        <v>900</v>
      </c>
      <c r="CZ61" s="33">
        <f>ROUND(坦克等级成长!$D158*VLOOKUP($CT$2,坦克等级成长!$B$36:$G$42,MATCH(CZ$3,坦克等级成长!$B$35:$G$35,0)),0)</f>
        <v>945</v>
      </c>
      <c r="DA61" s="33">
        <f>ROUND(坦克等级成长!$D158*VLOOKUP($CT$2,坦克等级成长!$B$36:$G$42,MATCH(DA$3,坦克等级成长!$B$35:$G$35,0)),0)</f>
        <v>252</v>
      </c>
      <c r="DB61" s="199">
        <v>8</v>
      </c>
      <c r="DC61" s="33">
        <f>ROUND(坦克等级成长!$F158*VLOOKUP($CT$2,坦克等级成长!$B$36:$G$42,MATCH(DC$3,坦克等级成长!$B$35:$G$35,0)),0)</f>
        <v>2560</v>
      </c>
      <c r="DD61" s="33">
        <f>ROUND(坦克等级成长!$F158*VLOOKUP($CT$2,坦克等级成长!$B$36:$G$42,MATCH(DD$3,坦克等级成长!$B$35:$G$35,0)),0)</f>
        <v>515</v>
      </c>
      <c r="DE61" s="33">
        <f>ROUND(坦克等级成长!$F158*VLOOKUP($CT$2,坦克等级成长!$B$36:$G$42,MATCH(DE$3,坦克等级成长!$B$35:$G$35,0)),0)</f>
        <v>1143</v>
      </c>
      <c r="DF61" s="33">
        <f t="shared" si="11"/>
        <v>1143</v>
      </c>
      <c r="DG61" s="33">
        <v>927</v>
      </c>
      <c r="DH61" s="33">
        <f>ROUND(坦克等级成长!$F158*VLOOKUP($CT$2,坦克等级成长!$B$36:$G$42,MATCH(DH$3,坦克等级成长!$B$35:$G$35,0)),0)</f>
        <v>960</v>
      </c>
      <c r="DI61" s="33">
        <f>ROUND(坦克等级成长!$F158*VLOOKUP($CT$2,坦克等级成长!$B$36:$G$42,MATCH(DI$3,坦克等级成长!$B$35:$G$35,0)),0)</f>
        <v>256</v>
      </c>
      <c r="DJ61" s="192">
        <v>8</v>
      </c>
      <c r="DK61" s="33">
        <f>ROUND(坦克等级成长!$H158*VLOOKUP($CT$2,坦克等级成长!$B$36:$G$42,MATCH(DK$3,坦克等级成长!$B$35:$G$35,0)),0)</f>
        <v>2600</v>
      </c>
      <c r="DL61" s="33">
        <f>ROUND(坦克等级成长!$H158*VLOOKUP($CT$2,坦克等级成长!$B$36:$G$42,MATCH(DL$3,坦克等级成长!$B$35:$G$35,0)),0)</f>
        <v>523</v>
      </c>
      <c r="DM61" s="33">
        <f>ROUND(坦克等级成长!$H158*VLOOKUP($CT$2,坦克等级成长!$B$36:$G$42,MATCH(DM$3,坦克等级成长!$B$35:$G$35,0)),0)</f>
        <v>1161</v>
      </c>
      <c r="DN61" s="33">
        <f t="shared" si="25"/>
        <v>1161</v>
      </c>
      <c r="DO61" s="33">
        <v>927</v>
      </c>
      <c r="DP61" s="33">
        <f>ROUND(坦克等级成长!$H158*VLOOKUP($CT$2,坦克等级成长!$B$36:$G$42,MATCH(DP$3,坦克等级成长!$B$35:$G$35,0)),0)</f>
        <v>975</v>
      </c>
      <c r="DQ61" s="33">
        <f>ROUND(坦克等级成长!$H158*VLOOKUP($CT$2,坦克等级成长!$B$36:$G$42,MATCH(DQ$3,坦克等级成长!$B$35:$G$35,0)),0)</f>
        <v>260</v>
      </c>
      <c r="DR61" s="192">
        <v>8</v>
      </c>
      <c r="DS61" s="33">
        <f>ROUND(坦克等级成长!$D158*VLOOKUP($DR$2,坦克等级成长!$B$36:$G$42,MATCH(DS$3,坦克等级成长!$B$35:$G$35,0)),0)</f>
        <v>3083</v>
      </c>
      <c r="DT61" s="33">
        <f>ROUND(坦克等级成长!$D158*VLOOKUP($DR$2,坦克等级成长!$B$36:$G$42,MATCH(DT$3,坦克等级成长!$B$35:$G$35,0)),0)</f>
        <v>844</v>
      </c>
      <c r="DU61" s="33">
        <f>ROUND(坦克等级成长!$D158*VLOOKUP($DR$2,坦克等级成长!$B$36:$G$42,MATCH(DU$3,坦克等级成长!$B$35:$G$35,0)),0)</f>
        <v>900</v>
      </c>
      <c r="DV61" s="33">
        <f t="shared" si="40"/>
        <v>900</v>
      </c>
      <c r="DW61" s="33">
        <v>768</v>
      </c>
      <c r="DX61" s="33">
        <f>ROUND(坦克等级成长!$D158*VLOOKUP($DR$2,坦克等级成长!$B$36:$G$42,MATCH(DX$3,坦克等级成长!$B$35:$G$35,0)),0)</f>
        <v>1323</v>
      </c>
      <c r="DY61" s="33">
        <f>ROUND(坦克等级成长!$D158*VLOOKUP($DR$2,坦克等级成长!$B$36:$G$42,MATCH(DY$3,坦克等级成长!$B$35:$G$35,0)),0)</f>
        <v>308</v>
      </c>
      <c r="DZ61" s="199">
        <v>8</v>
      </c>
      <c r="EA61" s="33">
        <f>ROUND(坦克等级成长!$F158*VLOOKUP($DR$2,坦克等级成长!$B$36:$G$42,MATCH(EA$3,坦克等级成长!$B$35:$G$35,0)),0)</f>
        <v>3132</v>
      </c>
      <c r="EB61" s="33">
        <f>ROUND(坦克等级成长!$F158*VLOOKUP($DR$2,坦克等级成长!$B$36:$G$42,MATCH(EB$3,坦克等级成长!$B$35:$G$35,0)),0)</f>
        <v>858</v>
      </c>
      <c r="EC61" s="33">
        <f>ROUND(坦克等级成长!$F158*VLOOKUP($DR$2,坦克等级成长!$B$36:$G$42,MATCH(EC$3,坦克等级成长!$B$35:$G$35,0)),0)</f>
        <v>914</v>
      </c>
      <c r="ED61" s="33">
        <f t="shared" si="12"/>
        <v>914</v>
      </c>
      <c r="EE61" s="33">
        <v>791</v>
      </c>
      <c r="EF61" s="33">
        <f>ROUND(坦克等级成长!$F158*VLOOKUP($DR$2,坦克等级成长!$B$36:$G$42,MATCH(EF$3,坦克等级成长!$B$35:$G$35,0)),0)</f>
        <v>1344</v>
      </c>
      <c r="EG61" s="33">
        <f>ROUND(坦克等级成长!$F158*VLOOKUP($DR$2,坦克等级成长!$B$36:$G$42,MATCH(EG$3,坦克等级成长!$B$35:$G$35,0)),0)</f>
        <v>313</v>
      </c>
      <c r="EH61" s="192">
        <v>8</v>
      </c>
      <c r="EI61" s="33">
        <f>ROUND(坦克等级成长!$H158*VLOOKUP($DR$2,坦克等级成长!$B$36:$G$42,MATCH(EI$3,坦克等级成长!$B$35:$G$35,0)),0)</f>
        <v>3181</v>
      </c>
      <c r="EJ61" s="33">
        <f>ROUND(坦克等级成长!$H158*VLOOKUP($DR$2,坦克等级成长!$B$36:$G$42,MATCH(EJ$3,坦克等级成长!$B$35:$G$35,0)),0)</f>
        <v>871</v>
      </c>
      <c r="EK61" s="33">
        <f>ROUND(坦克等级成长!$H158*VLOOKUP($DR$2,坦克等级成长!$B$36:$G$42,MATCH(EK$3,坦克等级成长!$B$35:$G$35,0)),0)</f>
        <v>929</v>
      </c>
      <c r="EL61" s="33">
        <f t="shared" si="26"/>
        <v>929</v>
      </c>
      <c r="EM61" s="33">
        <v>791</v>
      </c>
      <c r="EN61" s="33">
        <f>ROUND(坦克等级成长!$H158*VLOOKUP($DR$2,坦克等级成长!$B$36:$G$42,MATCH(EN$3,坦克等级成长!$B$35:$G$35,0)),0)</f>
        <v>1365</v>
      </c>
      <c r="EO61" s="33">
        <f>ROUND(坦克等级成长!$H158*VLOOKUP($DR$2,坦克等级成长!$B$36:$G$42,MATCH(EO$3,坦克等级成长!$B$35:$G$35,0)),0)</f>
        <v>318</v>
      </c>
      <c r="EP61" s="192">
        <v>8</v>
      </c>
      <c r="EQ61" s="33">
        <f>ROUND(坦克等级成长!$D158*VLOOKUP($EP$2,坦克等级成长!$B$36:$G$42,MATCH(EQ$3,坦克等级成长!$B$35:$G$35,0)),0)</f>
        <v>2720</v>
      </c>
      <c r="ER61" s="33">
        <f>ROUND(坦克等级成长!$D158*VLOOKUP($EP$2,坦克等级成长!$B$36:$G$42,MATCH(ER$3,坦克等级成长!$B$35:$G$35,0)),0)</f>
        <v>280</v>
      </c>
      <c r="ES61" s="33">
        <f>ROUND(坦克等级成长!$D158*VLOOKUP($EP$2,坦克等级成长!$B$36:$G$42,MATCH(ES$3,坦克等级成长!$B$35:$G$35,0)),0)</f>
        <v>1035</v>
      </c>
      <c r="ET61" s="33">
        <f t="shared" si="41"/>
        <v>1035</v>
      </c>
      <c r="EU61" s="33">
        <v>828</v>
      </c>
      <c r="EV61" s="33">
        <f>ROUND(坦克等级成长!$D158*VLOOKUP($EP$2,坦克等级成长!$B$36:$G$42,MATCH(EV$3,坦克等级成长!$B$35:$G$35,0)),0)</f>
        <v>1134</v>
      </c>
      <c r="EW61" s="33">
        <f>ROUND(坦克等级成长!$D158*VLOOKUP($EP$2,坦克等级成长!$B$36:$G$42,MATCH(EW$3,坦克等级成长!$B$35:$G$35,0)),0)</f>
        <v>272</v>
      </c>
      <c r="EX61" s="199">
        <v>8</v>
      </c>
      <c r="EY61" s="33">
        <f>ROUND(坦克等级成长!$F158*VLOOKUP($EP$2,坦克等级成长!$B$36:$G$42,MATCH(EY$3,坦克等级成长!$B$35:$G$35,0)),0)</f>
        <v>2763</v>
      </c>
      <c r="EZ61" s="33">
        <f>ROUND(坦克等级成长!$F158*VLOOKUP($EP$2,坦克等级成长!$B$36:$G$42,MATCH(EZ$3,坦克等级成长!$B$35:$G$35,0)),0)</f>
        <v>285</v>
      </c>
      <c r="FA61" s="33">
        <f>ROUND(坦克等级成长!$F158*VLOOKUP($EP$2,坦克等级成长!$B$36:$G$42,MATCH(FA$3,坦克等级成长!$B$35:$G$35,0)),0)</f>
        <v>1051</v>
      </c>
      <c r="FB61" s="33">
        <f t="shared" si="13"/>
        <v>1051</v>
      </c>
      <c r="FC61" s="33">
        <v>853</v>
      </c>
      <c r="FD61" s="33">
        <f>ROUND(坦克等级成长!$F158*VLOOKUP($EP$2,坦克等级成长!$B$36:$G$42,MATCH(FD$3,坦克等级成长!$B$35:$G$35,0)),0)</f>
        <v>1152</v>
      </c>
      <c r="FE61" s="33">
        <f>ROUND(坦克等级成长!$F158*VLOOKUP($EP$2,坦克等级成长!$B$36:$G$42,MATCH(FE$3,坦克等级成长!$B$35:$G$35,0)),0)</f>
        <v>276</v>
      </c>
      <c r="FF61" s="192">
        <v>8</v>
      </c>
      <c r="FG61" s="33">
        <f>ROUND(坦克等级成长!$H158*VLOOKUP($EP$2,坦克等级成长!$B$36:$G$42,MATCH(FG$3,坦克等级成长!$B$35:$G$35,0)),0)</f>
        <v>2806</v>
      </c>
      <c r="FH61" s="33">
        <f>ROUND(坦克等级成长!$H158*VLOOKUP($EP$2,坦克等级成长!$B$36:$G$42,MATCH(FH$3,坦克等级成长!$B$35:$G$35,0)),0)</f>
        <v>289</v>
      </c>
      <c r="FI61" s="33">
        <f>ROUND(坦克等级成长!$H158*VLOOKUP($EP$2,坦克等级成长!$B$36:$G$42,MATCH(FI$3,坦克等级成长!$B$35:$G$35,0)),0)</f>
        <v>1068</v>
      </c>
      <c r="FJ61" s="33">
        <f t="shared" si="27"/>
        <v>1068</v>
      </c>
      <c r="FK61" s="33">
        <v>853</v>
      </c>
      <c r="FL61" s="33">
        <f>ROUND(坦克等级成长!$H158*VLOOKUP($EP$2,坦克等级成长!$B$36:$G$42,MATCH(FL$3,坦克等级成长!$B$35:$G$35,0)),0)</f>
        <v>1170</v>
      </c>
      <c r="FM61" s="33">
        <f>ROUND(坦克等级成长!$H158*VLOOKUP($EP$2,坦克等级成长!$B$36:$G$42,MATCH(FM$3,坦克等级成长!$B$35:$G$35,0)),0)</f>
        <v>281</v>
      </c>
    </row>
    <row r="62" spans="1:169" ht="14.25" x14ac:dyDescent="0.3">
      <c r="A62" s="189">
        <v>5</v>
      </c>
      <c r="B62" s="192">
        <v>9</v>
      </c>
      <c r="C62" s="33">
        <f>ROUND(坦克等级成长!$D159*VLOOKUP($B$2,坦克等级成长!$B$36:$G$42,MATCH(C$3,坦克等级成长!$B$35:$G$35,0)),0)</f>
        <v>2608</v>
      </c>
      <c r="D62" s="33">
        <f>ROUND(坦克等级成长!$D159*VLOOKUP($B$2,坦克等级成长!$B$36:$G$42,MATCH(D$3,坦克等级成长!$B$35:$G$35,0)),0)</f>
        <v>260</v>
      </c>
      <c r="E62" s="33">
        <f>ROUND(坦克等级成长!$D159*VLOOKUP($B$2,坦克等级成长!$B$36:$G$42,MATCH(E$3,坦克等级成长!$B$35:$G$35,0)),0)</f>
        <v>978</v>
      </c>
      <c r="F62" s="33">
        <f t="shared" si="35"/>
        <v>978</v>
      </c>
      <c r="G62" s="33">
        <v>730.8</v>
      </c>
      <c r="H62" s="33">
        <f>ROUND(坦克等级成长!$D159*VLOOKUP($B$2,坦克等级成长!$B$36:$G$42,MATCH(H$3,坦克等级成长!$B$35:$G$35,0)),0)</f>
        <v>978</v>
      </c>
      <c r="I62" s="33">
        <f>ROUND(坦克等级成长!$D159*VLOOKUP($B$2,坦克等级成长!$B$36:$G$42,MATCH(I$3,坦克等级成长!$B$35:$G$35,0)),0)</f>
        <v>261</v>
      </c>
      <c r="J62" s="199">
        <v>9</v>
      </c>
      <c r="K62" s="33">
        <f>ROUND(坦克等级成长!$F159*VLOOKUP($B$2,坦克等级成长!$B$36:$G$42,MATCH(K$3,坦克等级成长!$B$35:$G$35,0)),0)</f>
        <v>2648</v>
      </c>
      <c r="L62" s="33">
        <f>ROUND(坦克等级成长!$F159*VLOOKUP($B$2,坦克等级成长!$B$36:$G$42,MATCH(L$3,坦克等级成长!$B$35:$G$35,0)),0)</f>
        <v>264</v>
      </c>
      <c r="M62" s="33">
        <f>ROUND(坦克等级成长!$F159*VLOOKUP($B$2,坦克等级成长!$B$36:$G$42,MATCH(M$3,坦克等级成长!$B$35:$G$35,0)),0)</f>
        <v>993</v>
      </c>
      <c r="N62" s="33">
        <f t="shared" si="7"/>
        <v>993</v>
      </c>
      <c r="O62" s="33">
        <v>752</v>
      </c>
      <c r="P62" s="33">
        <f>ROUND(坦克等级成长!$F159*VLOOKUP($B$2,坦克等级成长!$B$36:$G$42,MATCH(P$3,坦克等级成长!$B$35:$G$35,0)),0)</f>
        <v>993</v>
      </c>
      <c r="Q62" s="33">
        <f>ROUND(坦克等级成长!$F159*VLOOKUP($B$2,坦克等级成长!$B$36:$G$42,MATCH(Q$3,坦克等级成长!$B$35:$G$35,0)),0)</f>
        <v>265</v>
      </c>
      <c r="R62" s="192">
        <v>9</v>
      </c>
      <c r="S62" s="33">
        <f>ROUND(坦克等级成长!$H159*VLOOKUP($B$2,坦克等级成长!$B$36:$G$42,MATCH(S$3,坦克等级成长!$B$35:$G$35,0)),0)</f>
        <v>2688</v>
      </c>
      <c r="T62" s="33">
        <f>ROUND(坦克等级成长!$H159*VLOOKUP($B$2,坦克等级成长!$B$36:$G$42,MATCH(T$3,坦克等级成长!$B$35:$G$35,0)),0)</f>
        <v>268</v>
      </c>
      <c r="U62" s="33">
        <f>ROUND(坦克等级成长!$H159*VLOOKUP($B$2,坦克等级成长!$B$36:$G$42,MATCH(U$3,坦克等级成长!$B$35:$G$35,0)),0)</f>
        <v>1008</v>
      </c>
      <c r="V62" s="33">
        <f t="shared" si="21"/>
        <v>1008</v>
      </c>
      <c r="W62" s="33">
        <v>752</v>
      </c>
      <c r="X62" s="33">
        <f>ROUND(坦克等级成长!$H159*VLOOKUP($B$2,坦克等级成长!$B$36:$G$42,MATCH(X$3,坦克等级成长!$B$35:$G$35,0)),0)</f>
        <v>1008</v>
      </c>
      <c r="Y62" s="33">
        <f>ROUND(坦克等级成长!$H159*VLOOKUP($B$2,坦克等级成长!$B$36:$G$42,MATCH(Y$3,坦克等级成长!$B$35:$G$35,0)),0)</f>
        <v>269</v>
      </c>
      <c r="Z62" s="192">
        <v>9</v>
      </c>
      <c r="AA62" s="33">
        <f>ROUND(坦克等级成长!$D159*VLOOKUP($Z$2,坦克等级成长!$B$36:$G$42,MATCH(AA$3,坦克等级成长!$B$35:$G$35,0)),0)</f>
        <v>2608</v>
      </c>
      <c r="AB62" s="33">
        <f>ROUND(坦克等级成长!$D159*VLOOKUP($Z$2,坦克等级成长!$B$36:$G$42,MATCH(AB$3,坦克等级成长!$B$35:$G$35,0)),0)</f>
        <v>138</v>
      </c>
      <c r="AC62" s="33">
        <f>ROUND(坦克等级成长!$D159*VLOOKUP($Z$2,坦克等级成长!$B$36:$G$42,MATCH(AC$3,坦克等级成长!$B$35:$G$35,0)),0)</f>
        <v>1071</v>
      </c>
      <c r="AD62" s="33">
        <f t="shared" si="36"/>
        <v>1071</v>
      </c>
      <c r="AE62" s="33">
        <v>800.1</v>
      </c>
      <c r="AF62" s="33">
        <f>ROUND(坦克等级成长!$D159*VLOOKUP($Z$2,坦克等级成长!$B$36:$G$42,MATCH(AF$3,坦克等级成长!$B$35:$G$35,0)),0)</f>
        <v>978</v>
      </c>
      <c r="AG62" s="33">
        <f>ROUND(坦克等级成长!$D159*VLOOKUP($Z$2,坦克等级成长!$B$36:$G$42,MATCH(AG$3,坦克等级成长!$B$35:$G$35,0)),0)</f>
        <v>261</v>
      </c>
      <c r="AH62" s="199">
        <v>9</v>
      </c>
      <c r="AI62" s="33">
        <f>ROUND(坦克等级成长!$F159*VLOOKUP($Z$2,坦克等级成长!$B$36:$G$42,MATCH(AI$3,坦克等级成长!$B$35:$G$35,0)),0)</f>
        <v>2648</v>
      </c>
      <c r="AJ62" s="33">
        <f>ROUND(坦克等级成长!$F159*VLOOKUP($Z$2,坦克等级成长!$B$36:$G$42,MATCH(AJ$3,坦克等级成长!$B$35:$G$35,0)),0)</f>
        <v>141</v>
      </c>
      <c r="AK62" s="33">
        <f>ROUND(坦克等级成长!$F159*VLOOKUP($Z$2,坦克等级成长!$B$36:$G$42,MATCH(AK$3,坦克等级成长!$B$35:$G$35,0)),0)</f>
        <v>1088</v>
      </c>
      <c r="AL62" s="33">
        <f t="shared" si="8"/>
        <v>1088</v>
      </c>
      <c r="AM62" s="33">
        <v>823</v>
      </c>
      <c r="AN62" s="33">
        <f>ROUND(坦克等级成长!$F159*VLOOKUP($Z$2,坦克等级成长!$B$36:$G$42,MATCH(AN$3,坦克等级成长!$B$35:$G$35,0)),0)</f>
        <v>993</v>
      </c>
      <c r="AO62" s="33">
        <f>ROUND(坦克等级成长!$F159*VLOOKUP($Z$2,坦克等级成长!$B$36:$G$42,MATCH(AO$3,坦克等级成长!$B$35:$G$35,0)),0)</f>
        <v>265</v>
      </c>
      <c r="AP62" s="192">
        <v>9</v>
      </c>
      <c r="AQ62" s="33">
        <f>ROUND(坦克等级成长!$H159*VLOOKUP($Z$2,坦克等级成长!$B$36:$G$42,MATCH(AQ$3,坦克等级成长!$B$35:$G$35,0)),0)</f>
        <v>2688</v>
      </c>
      <c r="AR62" s="33">
        <f>ROUND(坦克等级成长!$H159*VLOOKUP($Z$2,坦克等级成长!$B$36:$G$42,MATCH(AR$3,坦克等级成长!$B$35:$G$35,0)),0)</f>
        <v>143</v>
      </c>
      <c r="AS62" s="33">
        <f>ROUND(坦克等级成长!$H159*VLOOKUP($Z$2,坦克等级成长!$B$36:$G$42,MATCH(AS$3,坦克等级成长!$B$35:$G$35,0)),0)</f>
        <v>1104</v>
      </c>
      <c r="AT62" s="33">
        <f t="shared" si="22"/>
        <v>1104</v>
      </c>
      <c r="AU62" s="33">
        <v>823</v>
      </c>
      <c r="AV62" s="33">
        <f>ROUND(坦克等级成长!$H159*VLOOKUP($Z$2,坦克等级成长!$B$36:$G$42,MATCH(AV$3,坦克等级成长!$B$35:$G$35,0)),0)</f>
        <v>1008</v>
      </c>
      <c r="AW62" s="33">
        <f>ROUND(坦克等级成长!$H159*VLOOKUP($Z$2,坦克等级成长!$B$36:$G$42,MATCH(AW$3,坦克等级成长!$B$35:$G$35,0)),0)</f>
        <v>269</v>
      </c>
      <c r="AX62" s="192">
        <v>9</v>
      </c>
      <c r="AY62" s="33">
        <f>ROUND(坦克等级成长!$D159*VLOOKUP($AX$2,坦克等级成长!$B$36:$G$42,MATCH(AY$3,坦克等级成长!$B$35:$G$35,0)),0)</f>
        <v>2608</v>
      </c>
      <c r="AZ62" s="33">
        <f>ROUND(坦克等级成长!$D159*VLOOKUP($AX$2,坦克等级成长!$B$36:$G$42,MATCH(AZ$3,坦克等级成长!$B$35:$G$35,0)),0)</f>
        <v>260</v>
      </c>
      <c r="BA62" s="33">
        <f>ROUND(坦克等级成长!$D159*VLOOKUP($AX$2,坦克等级成长!$B$36:$G$42,MATCH(BA$3,坦克等级成长!$B$35:$G$35,0)),0)</f>
        <v>978</v>
      </c>
      <c r="BB62" s="33">
        <f t="shared" si="37"/>
        <v>978</v>
      </c>
      <c r="BC62" s="33">
        <v>730.8</v>
      </c>
      <c r="BD62" s="33">
        <f>ROUND(坦克等级成长!$D159*VLOOKUP($AX$2,坦克等级成长!$B$36:$G$42,MATCH(BD$3,坦克等级成长!$B$35:$G$35,0)),0)</f>
        <v>978</v>
      </c>
      <c r="BE62" s="33">
        <f>ROUND(坦克等级成长!$D159*VLOOKUP($AX$2,坦克等级成长!$B$36:$G$42,MATCH(BE$3,坦克等级成长!$B$35:$G$35,0)),0)</f>
        <v>261</v>
      </c>
      <c r="BF62" s="199">
        <v>9</v>
      </c>
      <c r="BG62" s="33">
        <f>ROUND(坦克等级成长!$F159*VLOOKUP($AX$2,坦克等级成长!$B$36:$G$42,MATCH(BG$3,坦克等级成长!$B$35:$G$35,0)),0)</f>
        <v>2648</v>
      </c>
      <c r="BH62" s="33">
        <f>ROUND(坦克等级成长!$F159*VLOOKUP($AX$2,坦克等级成长!$B$36:$G$42,MATCH(BH$3,坦克等级成长!$B$35:$G$35,0)),0)</f>
        <v>264</v>
      </c>
      <c r="BI62" s="33">
        <f>ROUND(坦克等级成长!$F159*VLOOKUP($AX$2,坦克等级成长!$B$36:$G$42,MATCH(BI$3,坦克等级成长!$B$35:$G$35,0)),0)</f>
        <v>993</v>
      </c>
      <c r="BJ62" s="33">
        <f t="shared" si="9"/>
        <v>993</v>
      </c>
      <c r="BK62" s="33">
        <v>752</v>
      </c>
      <c r="BL62" s="33">
        <f>ROUND(坦克等级成长!$F159*VLOOKUP($AX$2,坦克等级成长!$B$36:$G$42,MATCH(BL$3,坦克等级成长!$B$35:$G$35,0)),0)</f>
        <v>993</v>
      </c>
      <c r="BM62" s="33">
        <f>ROUND(坦克等级成长!$F159*VLOOKUP($AX$2,坦克等级成长!$B$36:$G$42,MATCH(BM$3,坦克等级成长!$B$35:$G$35,0)),0)</f>
        <v>265</v>
      </c>
      <c r="BN62" s="192">
        <v>9</v>
      </c>
      <c r="BO62" s="33">
        <f>ROUND(坦克等级成长!$H159*VLOOKUP($AX$2,坦克等级成长!$B$36:$G$42,MATCH(BO$3,坦克等级成长!$B$35:$G$35,0)),0)</f>
        <v>2688</v>
      </c>
      <c r="BP62" s="33">
        <f>ROUND(坦克等级成长!$H159*VLOOKUP($AX$2,坦克等级成长!$B$36:$G$42,MATCH(BP$3,坦克等级成长!$B$35:$G$35,0)),0)</f>
        <v>268</v>
      </c>
      <c r="BQ62" s="33">
        <f>ROUND(坦克等级成长!$H159*VLOOKUP($AX$2,坦克等级成长!$B$36:$G$42,MATCH(BQ$3,坦克等级成长!$B$35:$G$35,0)),0)</f>
        <v>1008</v>
      </c>
      <c r="BR62" s="33">
        <f t="shared" si="23"/>
        <v>1008</v>
      </c>
      <c r="BS62" s="33">
        <v>752</v>
      </c>
      <c r="BT62" s="33">
        <f>ROUND(坦克等级成长!$H159*VLOOKUP($AX$2,坦克等级成长!$B$36:$G$42,MATCH(BT$3,坦克等级成长!$B$35:$G$35,0)),0)</f>
        <v>1008</v>
      </c>
      <c r="BU62" s="33">
        <f>ROUND(坦克等级成长!$H159*VLOOKUP($AX$2,坦克等级成长!$B$36:$G$42,MATCH(BU$3,坦克等级成长!$B$35:$G$35,0)),0)</f>
        <v>269</v>
      </c>
      <c r="BV62" s="192">
        <v>9</v>
      </c>
      <c r="BW62" s="33">
        <f>ROUND(坦克等级成长!$D159*VLOOKUP($BV$2,坦克等级成长!$B$36:$G$42,MATCH(BW$3,坦克等级成长!$B$35:$G$35,0)),0)</f>
        <v>2815</v>
      </c>
      <c r="BX62" s="33">
        <f>ROUND(坦克等级成长!$D159*VLOOKUP($BV$2,坦克等级成长!$B$36:$G$42,MATCH(BX$3,坦克等级成长!$B$35:$G$35,0)),0)</f>
        <v>242</v>
      </c>
      <c r="BY62" s="33">
        <f>ROUND(坦克等级成长!$D159*VLOOKUP($BV$2,坦克等级成长!$B$36:$G$42,MATCH(BY$3,坦克等级成长!$B$35:$G$35,0)),0)</f>
        <v>931</v>
      </c>
      <c r="BZ62" s="33">
        <f t="shared" si="38"/>
        <v>931</v>
      </c>
      <c r="CA62" s="33">
        <v>745.5</v>
      </c>
      <c r="CB62" s="33">
        <f>ROUND(坦克等级成长!$D159*VLOOKUP($BV$2,坦克等级成长!$B$36:$G$42,MATCH(CB$3,坦克等级成长!$B$35:$G$35,0)),0)</f>
        <v>1174</v>
      </c>
      <c r="CC62" s="33">
        <f>ROUND(坦克等级成长!$D159*VLOOKUP($BV$2,坦克等级成长!$B$36:$G$42,MATCH(CC$3,坦克等级成长!$B$35:$G$35,0)),0)</f>
        <v>281</v>
      </c>
      <c r="CD62" s="199">
        <v>9</v>
      </c>
      <c r="CE62" s="33">
        <f>ROUND(坦克等级成长!$F159*VLOOKUP($BV$2,坦克等级成长!$B$36:$G$42,MATCH(CE$3,坦克等级成长!$B$35:$G$35,0)),0)</f>
        <v>2858</v>
      </c>
      <c r="CF62" s="33">
        <f>ROUND(坦克等级成长!$F159*VLOOKUP($BV$2,坦克等级成长!$B$36:$G$42,MATCH(CF$3,坦克等级成长!$B$35:$G$35,0)),0)</f>
        <v>246</v>
      </c>
      <c r="CG62" s="33">
        <f>ROUND(坦克等级成长!$F159*VLOOKUP($BV$2,坦克等级成长!$B$36:$G$42,MATCH(CG$3,坦克等级成长!$B$35:$G$35,0)),0)</f>
        <v>946</v>
      </c>
      <c r="CH62" s="33">
        <f t="shared" si="10"/>
        <v>946</v>
      </c>
      <c r="CI62" s="33">
        <v>767</v>
      </c>
      <c r="CJ62" s="33">
        <f>ROUND(坦克等级成长!$F159*VLOOKUP($BV$2,坦克等级成长!$B$36:$G$42,MATCH(CJ$3,坦克等级成长!$B$35:$G$35,0)),0)</f>
        <v>1192</v>
      </c>
      <c r="CK62" s="33">
        <f>ROUND(坦克等级成长!$F159*VLOOKUP($BV$2,坦克等级成长!$B$36:$G$42,MATCH(CK$3,坦克等级成长!$B$35:$G$35,0)),0)</f>
        <v>286</v>
      </c>
      <c r="CL62" s="192">
        <v>9</v>
      </c>
      <c r="CM62" s="33">
        <f>ROUND(坦克等级成长!$H159*VLOOKUP($BV$2,坦克等级成长!$B$36:$G$42,MATCH(CM$3,坦克等级成长!$B$35:$G$35,0)),0)</f>
        <v>2901</v>
      </c>
      <c r="CN62" s="33">
        <f>ROUND(坦克等级成长!$H159*VLOOKUP($BV$2,坦克等级成长!$B$36:$G$42,MATCH(CN$3,坦克等级成长!$B$35:$G$35,0)),0)</f>
        <v>249</v>
      </c>
      <c r="CO62" s="33">
        <f>ROUND(坦克等级成长!$H159*VLOOKUP($BV$2,坦克等级成长!$B$36:$G$42,MATCH(CO$3,坦克等级成长!$B$35:$G$35,0)),0)</f>
        <v>960</v>
      </c>
      <c r="CP62" s="33">
        <f t="shared" si="24"/>
        <v>960</v>
      </c>
      <c r="CQ62" s="33">
        <v>767</v>
      </c>
      <c r="CR62" s="33">
        <f>ROUND(坦克等级成长!$H159*VLOOKUP($BV$2,坦克等级成长!$B$36:$G$42,MATCH(CR$3,坦克等级成长!$B$35:$G$35,0)),0)</f>
        <v>1210</v>
      </c>
      <c r="CS62" s="33">
        <f>ROUND(坦克等级成长!$H159*VLOOKUP($BV$2,坦克等级成长!$B$36:$G$42,MATCH(CS$3,坦克等级成长!$B$35:$G$35,0)),0)</f>
        <v>290</v>
      </c>
      <c r="CT62" s="192">
        <v>9</v>
      </c>
      <c r="CU62" s="33">
        <f>ROUND(坦克等级成长!$D159*VLOOKUP($CT$2,坦克等级成长!$B$36:$G$42,MATCH(CU$3,坦克等级成长!$B$35:$G$35,0)),0)</f>
        <v>2608</v>
      </c>
      <c r="CV62" s="33">
        <f>ROUND(坦克等级成长!$D159*VLOOKUP($CT$2,坦克等级成长!$B$36:$G$42,MATCH(CV$3,坦克等级成长!$B$35:$G$35,0)),0)</f>
        <v>525</v>
      </c>
      <c r="CW62" s="33">
        <f>ROUND(坦克等级成长!$D159*VLOOKUP($CT$2,坦克等级成长!$B$36:$G$42,MATCH(CW$3,坦克等级成长!$B$35:$G$35,0)),0)</f>
        <v>1164</v>
      </c>
      <c r="CX62" s="33">
        <f t="shared" si="39"/>
        <v>1164</v>
      </c>
      <c r="CY62" s="33">
        <v>932.25</v>
      </c>
      <c r="CZ62" s="33">
        <f>ROUND(坦克等级成长!$D159*VLOOKUP($CT$2,坦克等级成长!$B$36:$G$42,MATCH(CZ$3,坦克等级成长!$B$35:$G$35,0)),0)</f>
        <v>978</v>
      </c>
      <c r="DA62" s="33">
        <f>ROUND(坦克等级成长!$D159*VLOOKUP($CT$2,坦克等级成长!$B$36:$G$42,MATCH(DA$3,坦克等级成长!$B$35:$G$35,0)),0)</f>
        <v>261</v>
      </c>
      <c r="DB62" s="199">
        <v>9</v>
      </c>
      <c r="DC62" s="33">
        <f>ROUND(坦克等级成长!$F159*VLOOKUP($CT$2,坦克等级成长!$B$36:$G$42,MATCH(DC$3,坦克等级成长!$B$35:$G$35,0)),0)</f>
        <v>2648</v>
      </c>
      <c r="DD62" s="33">
        <f>ROUND(坦克等级成长!$F159*VLOOKUP($CT$2,坦克等级成长!$B$36:$G$42,MATCH(DD$3,坦克等级成长!$B$35:$G$35,0)),0)</f>
        <v>533</v>
      </c>
      <c r="DE62" s="33">
        <f>ROUND(坦克等级成长!$F159*VLOOKUP($CT$2,坦克等级成长!$B$36:$G$42,MATCH(DE$3,坦克等级成长!$B$35:$G$35,0)),0)</f>
        <v>1182</v>
      </c>
      <c r="DF62" s="33">
        <f t="shared" si="11"/>
        <v>1182</v>
      </c>
      <c r="DG62" s="33">
        <v>959</v>
      </c>
      <c r="DH62" s="33">
        <f>ROUND(坦克等级成长!$F159*VLOOKUP($CT$2,坦克等级成长!$B$36:$G$42,MATCH(DH$3,坦克等级成长!$B$35:$G$35,0)),0)</f>
        <v>993</v>
      </c>
      <c r="DI62" s="33">
        <f>ROUND(坦克等级成长!$F159*VLOOKUP($CT$2,坦克等级成长!$B$36:$G$42,MATCH(DI$3,坦克等级成长!$B$35:$G$35,0)),0)</f>
        <v>265</v>
      </c>
      <c r="DJ62" s="192">
        <v>9</v>
      </c>
      <c r="DK62" s="33">
        <f>ROUND(坦克等级成长!$H159*VLOOKUP($CT$2,坦克等级成长!$B$36:$G$42,MATCH(DK$3,坦克等级成长!$B$35:$G$35,0)),0)</f>
        <v>2688</v>
      </c>
      <c r="DL62" s="33">
        <f>ROUND(坦克等级成长!$H159*VLOOKUP($CT$2,坦克等级成长!$B$36:$G$42,MATCH(DL$3,坦克等级成长!$B$35:$G$35,0)),0)</f>
        <v>541</v>
      </c>
      <c r="DM62" s="33">
        <f>ROUND(坦克等级成长!$H159*VLOOKUP($CT$2,坦克等级成长!$B$36:$G$42,MATCH(DM$3,坦克等级成长!$B$35:$G$35,0)),0)</f>
        <v>1200</v>
      </c>
      <c r="DN62" s="33">
        <f t="shared" si="25"/>
        <v>1200</v>
      </c>
      <c r="DO62" s="33">
        <v>959</v>
      </c>
      <c r="DP62" s="33">
        <f>ROUND(坦克等级成长!$H159*VLOOKUP($CT$2,坦克等级成长!$B$36:$G$42,MATCH(DP$3,坦克等级成长!$B$35:$G$35,0)),0)</f>
        <v>1008</v>
      </c>
      <c r="DQ62" s="33">
        <f>ROUND(坦克等级成长!$H159*VLOOKUP($CT$2,坦克等级成长!$B$36:$G$42,MATCH(DQ$3,坦克等级成长!$B$35:$G$35,0)),0)</f>
        <v>269</v>
      </c>
      <c r="DR62" s="192">
        <v>9</v>
      </c>
      <c r="DS62" s="33">
        <f>ROUND(坦克等级成长!$D159*VLOOKUP($DR$2,坦克等级成长!$B$36:$G$42,MATCH(DS$3,坦克等级成长!$B$35:$G$35,0)),0)</f>
        <v>3190</v>
      </c>
      <c r="DT62" s="33">
        <f>ROUND(坦克等级成长!$D159*VLOOKUP($DR$2,坦克等级成长!$B$36:$G$42,MATCH(DT$3,坦克等级成长!$B$35:$G$35,0)),0)</f>
        <v>874</v>
      </c>
      <c r="DU62" s="33">
        <f>ROUND(坦克等级成长!$D159*VLOOKUP($DR$2,坦克等级成长!$B$36:$G$42,MATCH(DU$3,坦克等级成长!$B$35:$G$35,0)),0)</f>
        <v>931</v>
      </c>
      <c r="DV62" s="33">
        <f t="shared" si="40"/>
        <v>931</v>
      </c>
      <c r="DW62" s="33">
        <v>795.2</v>
      </c>
      <c r="DX62" s="33">
        <f>ROUND(坦克等级成长!$D159*VLOOKUP($DR$2,坦克等级成长!$B$36:$G$42,MATCH(DX$3,坦克等级成长!$B$35:$G$35,0)),0)</f>
        <v>1369</v>
      </c>
      <c r="DY62" s="33">
        <f>ROUND(坦克等级成长!$D159*VLOOKUP($DR$2,坦克等级成长!$B$36:$G$42,MATCH(DY$3,坦克等级成长!$B$35:$G$35,0)),0)</f>
        <v>319</v>
      </c>
      <c r="DZ62" s="199">
        <v>9</v>
      </c>
      <c r="EA62" s="33">
        <f>ROUND(坦克等级成长!$F159*VLOOKUP($DR$2,坦克等级成长!$B$36:$G$42,MATCH(EA$3,坦克等级成长!$B$35:$G$35,0)),0)</f>
        <v>3239</v>
      </c>
      <c r="EB62" s="33">
        <f>ROUND(坦克等级成长!$F159*VLOOKUP($DR$2,坦克等级成长!$B$36:$G$42,MATCH(EB$3,坦克等级成长!$B$35:$G$35,0)),0)</f>
        <v>887</v>
      </c>
      <c r="EC62" s="33">
        <f>ROUND(坦克等级成长!$F159*VLOOKUP($DR$2,坦克等级成长!$B$36:$G$42,MATCH(EC$3,坦克等级成长!$B$35:$G$35,0)),0)</f>
        <v>946</v>
      </c>
      <c r="ED62" s="33">
        <f t="shared" si="12"/>
        <v>946</v>
      </c>
      <c r="EE62" s="33">
        <v>818</v>
      </c>
      <c r="EF62" s="33">
        <f>ROUND(坦克等级成长!$F159*VLOOKUP($DR$2,坦克等级成长!$B$36:$G$42,MATCH(EF$3,坦克等级成长!$B$35:$G$35,0)),0)</f>
        <v>1390</v>
      </c>
      <c r="EG62" s="33">
        <f>ROUND(坦克等级成长!$F159*VLOOKUP($DR$2,坦克等级成长!$B$36:$G$42,MATCH(EG$3,坦克等级成长!$B$35:$G$35,0)),0)</f>
        <v>324</v>
      </c>
      <c r="EH62" s="192">
        <v>9</v>
      </c>
      <c r="EI62" s="33">
        <f>ROUND(坦克等级成长!$H159*VLOOKUP($DR$2,坦克等级成长!$B$36:$G$42,MATCH(EI$3,坦克等级成长!$B$35:$G$35,0)),0)</f>
        <v>3288</v>
      </c>
      <c r="EJ62" s="33">
        <f>ROUND(坦克等级成长!$H159*VLOOKUP($DR$2,坦克等级成长!$B$36:$G$42,MATCH(EJ$3,坦克等级成长!$B$35:$G$35,0)),0)</f>
        <v>901</v>
      </c>
      <c r="EK62" s="33">
        <f>ROUND(坦克等级成长!$H159*VLOOKUP($DR$2,坦克等级成长!$B$36:$G$42,MATCH(EK$3,坦克等级成长!$B$35:$G$35,0)),0)</f>
        <v>960</v>
      </c>
      <c r="EL62" s="33">
        <f t="shared" si="26"/>
        <v>960</v>
      </c>
      <c r="EM62" s="33">
        <v>818</v>
      </c>
      <c r="EN62" s="33">
        <f>ROUND(坦克等级成长!$H159*VLOOKUP($DR$2,坦克等级成长!$B$36:$G$42,MATCH(EN$3,坦克等级成长!$B$35:$G$35,0)),0)</f>
        <v>1411</v>
      </c>
      <c r="EO62" s="33">
        <f>ROUND(坦克等级成长!$H159*VLOOKUP($DR$2,坦克等级成长!$B$36:$G$42,MATCH(EO$3,坦克等级成长!$B$35:$G$35,0)),0)</f>
        <v>329</v>
      </c>
      <c r="EP62" s="192">
        <v>9</v>
      </c>
      <c r="EQ62" s="33">
        <f>ROUND(坦克等级成长!$D159*VLOOKUP($EP$2,坦克等级成长!$B$36:$G$42,MATCH(EQ$3,坦克等级成长!$B$35:$G$35,0)),0)</f>
        <v>2815</v>
      </c>
      <c r="ER62" s="33">
        <f>ROUND(坦克等级成长!$D159*VLOOKUP($EP$2,坦克等级成长!$B$36:$G$42,MATCH(ER$3,坦克等级成长!$B$35:$G$35,0)),0)</f>
        <v>290</v>
      </c>
      <c r="ES62" s="33">
        <f>ROUND(坦克等级成长!$D159*VLOOKUP($EP$2,坦克等级成长!$B$36:$G$42,MATCH(ES$3,坦克等级成长!$B$35:$G$35,0)),0)</f>
        <v>1071</v>
      </c>
      <c r="ET62" s="33">
        <f t="shared" si="41"/>
        <v>1071</v>
      </c>
      <c r="EU62" s="33">
        <v>857.25</v>
      </c>
      <c r="EV62" s="33">
        <f>ROUND(坦克等级成长!$D159*VLOOKUP($EP$2,坦克等级成长!$B$36:$G$42,MATCH(EV$3,坦克等级成长!$B$35:$G$35,0)),0)</f>
        <v>1174</v>
      </c>
      <c r="EW62" s="33">
        <f>ROUND(坦克等级成长!$D159*VLOOKUP($EP$2,坦克等级成长!$B$36:$G$42,MATCH(EW$3,坦克等级成长!$B$35:$G$35,0)),0)</f>
        <v>281</v>
      </c>
      <c r="EX62" s="199">
        <v>9</v>
      </c>
      <c r="EY62" s="33">
        <f>ROUND(坦克等级成长!$F159*VLOOKUP($EP$2,坦克等级成长!$B$36:$G$42,MATCH(EY$3,坦克等级成长!$B$35:$G$35,0)),0)</f>
        <v>2858</v>
      </c>
      <c r="EZ62" s="33">
        <f>ROUND(坦克等级成长!$F159*VLOOKUP($EP$2,坦克等级成长!$B$36:$G$42,MATCH(EZ$3,坦克等级成长!$B$35:$G$35,0)),0)</f>
        <v>294</v>
      </c>
      <c r="FA62" s="33">
        <f>ROUND(坦克等级成长!$F159*VLOOKUP($EP$2,坦克等级成长!$B$36:$G$42,MATCH(FA$3,坦克等级成长!$B$35:$G$35,0)),0)</f>
        <v>1088</v>
      </c>
      <c r="FB62" s="33">
        <f t="shared" si="13"/>
        <v>1088</v>
      </c>
      <c r="FC62" s="33">
        <v>882</v>
      </c>
      <c r="FD62" s="33">
        <f>ROUND(坦克等级成长!$F159*VLOOKUP($EP$2,坦克等级成长!$B$36:$G$42,MATCH(FD$3,坦克等级成长!$B$35:$G$35,0)),0)</f>
        <v>1192</v>
      </c>
      <c r="FE62" s="33">
        <f>ROUND(坦克等级成长!$F159*VLOOKUP($EP$2,坦克等级成长!$B$36:$G$42,MATCH(FE$3,坦克等级成长!$B$35:$G$35,0)),0)</f>
        <v>286</v>
      </c>
      <c r="FF62" s="192">
        <v>9</v>
      </c>
      <c r="FG62" s="33">
        <f>ROUND(坦克等级成长!$H159*VLOOKUP($EP$2,坦克等级成长!$B$36:$G$42,MATCH(FG$3,坦克等级成长!$B$35:$G$35,0)),0)</f>
        <v>2901</v>
      </c>
      <c r="FH62" s="33">
        <f>ROUND(坦克等级成长!$H159*VLOOKUP($EP$2,坦克等级成长!$B$36:$G$42,MATCH(FH$3,坦克等级成长!$B$35:$G$35,0)),0)</f>
        <v>299</v>
      </c>
      <c r="FI62" s="33">
        <f>ROUND(坦克等级成长!$H159*VLOOKUP($EP$2,坦克等级成长!$B$36:$G$42,MATCH(FI$3,坦克等级成长!$B$35:$G$35,0)),0)</f>
        <v>1104</v>
      </c>
      <c r="FJ62" s="33">
        <f t="shared" si="27"/>
        <v>1104</v>
      </c>
      <c r="FK62" s="33">
        <v>882</v>
      </c>
      <c r="FL62" s="33">
        <f>ROUND(坦克等级成长!$H159*VLOOKUP($EP$2,坦克等级成长!$B$36:$G$42,MATCH(FL$3,坦克等级成长!$B$35:$G$35,0)),0)</f>
        <v>1210</v>
      </c>
      <c r="FM62" s="33">
        <f>ROUND(坦克等级成长!$H159*VLOOKUP($EP$2,坦克等级成长!$B$36:$G$42,MATCH(FM$3,坦克等级成长!$B$35:$G$35,0)),0)</f>
        <v>290</v>
      </c>
    </row>
    <row r="63" spans="1:169" ht="14.25" x14ac:dyDescent="0.3">
      <c r="A63" s="189">
        <v>5</v>
      </c>
      <c r="B63" s="192">
        <v>10</v>
      </c>
      <c r="C63" s="33">
        <f>ROUND(坦克等级成长!$D160*VLOOKUP($B$2,坦克等级成长!$B$36:$G$42,MATCH(C$3,坦克等级成长!$B$35:$G$35,0)),0)</f>
        <v>2696</v>
      </c>
      <c r="D63" s="33">
        <f>ROUND(坦克等级成长!$D160*VLOOKUP($B$2,坦克等级成长!$B$36:$G$42,MATCH(D$3,坦克等级成长!$B$35:$G$35,0)),0)</f>
        <v>269</v>
      </c>
      <c r="E63" s="33">
        <f>ROUND(坦克等级成长!$D160*VLOOKUP($B$2,坦克等级成长!$B$36:$G$42,MATCH(E$3,坦克等级成长!$B$35:$G$35,0)),0)</f>
        <v>1011</v>
      </c>
      <c r="F63" s="33">
        <f t="shared" si="35"/>
        <v>1011</v>
      </c>
      <c r="G63" s="33">
        <v>756</v>
      </c>
      <c r="H63" s="33">
        <f>ROUND(坦克等级成长!$D160*VLOOKUP($B$2,坦克等级成长!$B$36:$G$42,MATCH(H$3,坦克等级成长!$B$35:$G$35,0)),0)</f>
        <v>1011</v>
      </c>
      <c r="I63" s="33">
        <f>ROUND(坦克等级成长!$D160*VLOOKUP($B$2,坦克等级成长!$B$36:$G$42,MATCH(I$3,坦克等级成长!$B$35:$G$35,0)),0)</f>
        <v>270</v>
      </c>
      <c r="J63" s="199">
        <v>10</v>
      </c>
      <c r="K63" s="33">
        <f>ROUND(坦克等级成长!$F160*VLOOKUP($B$2,坦克等级成长!$B$36:$G$42,MATCH(K$3,坦克等级成长!$B$35:$G$35,0)),0)</f>
        <v>2736</v>
      </c>
      <c r="L63" s="33">
        <f>ROUND(坦克等级成长!$F160*VLOOKUP($B$2,坦克等级成长!$B$36:$G$42,MATCH(L$3,坦克等级成长!$B$35:$G$35,0)),0)</f>
        <v>273</v>
      </c>
      <c r="M63" s="33">
        <f>ROUND(坦克等级成长!$F160*VLOOKUP($B$2,坦克等级成长!$B$36:$G$42,MATCH(M$3,坦克等级成长!$B$35:$G$35,0)),0)</f>
        <v>1026</v>
      </c>
      <c r="N63" s="33">
        <f t="shared" si="7"/>
        <v>1026</v>
      </c>
      <c r="O63" s="33">
        <v>777</v>
      </c>
      <c r="P63" s="33">
        <f>ROUND(坦克等级成长!$F160*VLOOKUP($B$2,坦克等级成长!$B$36:$G$42,MATCH(P$3,坦克等级成长!$B$35:$G$35,0)),0)</f>
        <v>1026</v>
      </c>
      <c r="Q63" s="33">
        <f>ROUND(坦克等级成长!$F160*VLOOKUP($B$2,坦克等级成长!$B$36:$G$42,MATCH(Q$3,坦克等级成长!$B$35:$G$35,0)),0)</f>
        <v>274</v>
      </c>
      <c r="R63" s="192">
        <v>10</v>
      </c>
      <c r="S63" s="33">
        <f>ROUND(坦克等级成长!$H160*VLOOKUP($B$2,坦克等级成长!$B$36:$G$42,MATCH(S$3,坦克等级成长!$B$35:$G$35,0)),0)</f>
        <v>2776</v>
      </c>
      <c r="T63" s="33">
        <f>ROUND(坦克等级成长!$H160*VLOOKUP($B$2,坦克等级成长!$B$36:$G$42,MATCH(T$3,坦克等级成长!$B$35:$G$35,0)),0)</f>
        <v>277</v>
      </c>
      <c r="U63" s="33">
        <f>ROUND(坦克等级成长!$H160*VLOOKUP($B$2,坦克等级成长!$B$36:$G$42,MATCH(U$3,坦克等级成长!$B$35:$G$35,0)),0)</f>
        <v>1041</v>
      </c>
      <c r="V63" s="33">
        <f t="shared" si="21"/>
        <v>1041</v>
      </c>
      <c r="W63" s="33">
        <v>777</v>
      </c>
      <c r="X63" s="33">
        <f>ROUND(坦克等级成长!$H160*VLOOKUP($B$2,坦克等级成长!$B$36:$G$42,MATCH(X$3,坦克等级成长!$B$35:$G$35,0)),0)</f>
        <v>1041</v>
      </c>
      <c r="Y63" s="33">
        <f>ROUND(坦克等级成长!$H160*VLOOKUP($B$2,坦克等级成长!$B$36:$G$42,MATCH(Y$3,坦克等级成长!$B$35:$G$35,0)),0)</f>
        <v>278</v>
      </c>
      <c r="Z63" s="192">
        <v>10</v>
      </c>
      <c r="AA63" s="33">
        <f>ROUND(坦克等级成长!$D160*VLOOKUP($Z$2,坦克等级成长!$B$36:$G$42,MATCH(AA$3,坦克等级成长!$B$35:$G$35,0)),0)</f>
        <v>2696</v>
      </c>
      <c r="AB63" s="33">
        <f>ROUND(坦克等级成长!$D160*VLOOKUP($Z$2,坦克等级成长!$B$36:$G$42,MATCH(AB$3,坦克等级成长!$B$35:$G$35,0)),0)</f>
        <v>143</v>
      </c>
      <c r="AC63" s="33">
        <f>ROUND(坦克等级成长!$D160*VLOOKUP($Z$2,坦克等级成长!$B$36:$G$42,MATCH(AC$3,坦克等级成长!$B$35:$G$35,0)),0)</f>
        <v>1107</v>
      </c>
      <c r="AD63" s="33">
        <f t="shared" si="36"/>
        <v>1107</v>
      </c>
      <c r="AE63" s="33">
        <v>828.1</v>
      </c>
      <c r="AF63" s="33">
        <f>ROUND(坦克等级成长!$D160*VLOOKUP($Z$2,坦克等级成长!$B$36:$G$42,MATCH(AF$3,坦克等级成长!$B$35:$G$35,0)),0)</f>
        <v>1011</v>
      </c>
      <c r="AG63" s="33">
        <f>ROUND(坦克等级成长!$D160*VLOOKUP($Z$2,坦克等级成长!$B$36:$G$42,MATCH(AG$3,坦克等级成长!$B$35:$G$35,0)),0)</f>
        <v>270</v>
      </c>
      <c r="AH63" s="199">
        <v>10</v>
      </c>
      <c r="AI63" s="33">
        <f>ROUND(坦克等级成长!$F160*VLOOKUP($Z$2,坦克等级成长!$B$36:$G$42,MATCH(AI$3,坦克等级成长!$B$35:$G$35,0)),0)</f>
        <v>2736</v>
      </c>
      <c r="AJ63" s="33">
        <f>ROUND(坦克等级成长!$F160*VLOOKUP($Z$2,坦克等级成长!$B$36:$G$42,MATCH(AJ$3,坦克等级成长!$B$35:$G$35,0)),0)</f>
        <v>145</v>
      </c>
      <c r="AK63" s="33">
        <f>ROUND(坦克等级成长!$F160*VLOOKUP($Z$2,坦克等级成长!$B$36:$G$42,MATCH(AK$3,坦克等级成长!$B$35:$G$35,0)),0)</f>
        <v>1124</v>
      </c>
      <c r="AL63" s="33">
        <f t="shared" si="8"/>
        <v>1124</v>
      </c>
      <c r="AM63" s="33">
        <v>851</v>
      </c>
      <c r="AN63" s="33">
        <f>ROUND(坦克等级成长!$F160*VLOOKUP($Z$2,坦克等级成长!$B$36:$G$42,MATCH(AN$3,坦克等级成长!$B$35:$G$35,0)),0)</f>
        <v>1026</v>
      </c>
      <c r="AO63" s="33">
        <f>ROUND(坦克等级成长!$F160*VLOOKUP($Z$2,坦克等级成长!$B$36:$G$42,MATCH(AO$3,坦克等级成长!$B$35:$G$35,0)),0)</f>
        <v>274</v>
      </c>
      <c r="AP63" s="192">
        <v>10</v>
      </c>
      <c r="AQ63" s="33">
        <f>ROUND(坦克等级成长!$H160*VLOOKUP($Z$2,坦克等级成长!$B$36:$G$42,MATCH(AQ$3,坦克等级成长!$B$35:$G$35,0)),0)</f>
        <v>2776</v>
      </c>
      <c r="AR63" s="33">
        <f>ROUND(坦克等级成长!$H160*VLOOKUP($Z$2,坦克等级成长!$B$36:$G$42,MATCH(AR$3,坦克等级成长!$B$35:$G$35,0)),0)</f>
        <v>147</v>
      </c>
      <c r="AS63" s="33">
        <f>ROUND(坦克等级成长!$H160*VLOOKUP($Z$2,坦克等级成长!$B$36:$G$42,MATCH(AS$3,坦克等级成长!$B$35:$G$35,0)),0)</f>
        <v>1140</v>
      </c>
      <c r="AT63" s="33">
        <f t="shared" si="22"/>
        <v>1140</v>
      </c>
      <c r="AU63" s="33">
        <v>851</v>
      </c>
      <c r="AV63" s="33">
        <f>ROUND(坦克等级成长!$H160*VLOOKUP($Z$2,坦克等级成长!$B$36:$G$42,MATCH(AV$3,坦克等级成长!$B$35:$G$35,0)),0)</f>
        <v>1041</v>
      </c>
      <c r="AW63" s="33">
        <f>ROUND(坦克等级成长!$H160*VLOOKUP($Z$2,坦克等级成长!$B$36:$G$42,MATCH(AW$3,坦克等级成长!$B$35:$G$35,0)),0)</f>
        <v>278</v>
      </c>
      <c r="AX63" s="192">
        <v>10</v>
      </c>
      <c r="AY63" s="33">
        <f>ROUND(坦克等级成长!$D160*VLOOKUP($AX$2,坦克等级成长!$B$36:$G$42,MATCH(AY$3,坦克等级成长!$B$35:$G$35,0)),0)</f>
        <v>2696</v>
      </c>
      <c r="AZ63" s="33">
        <f>ROUND(坦克等级成长!$D160*VLOOKUP($AX$2,坦克等级成长!$B$36:$G$42,MATCH(AZ$3,坦克等级成长!$B$35:$G$35,0)),0)</f>
        <v>269</v>
      </c>
      <c r="BA63" s="33">
        <f>ROUND(坦克等级成长!$D160*VLOOKUP($AX$2,坦克等级成长!$B$36:$G$42,MATCH(BA$3,坦克等级成长!$B$35:$G$35,0)),0)</f>
        <v>1011</v>
      </c>
      <c r="BB63" s="33">
        <f t="shared" si="37"/>
        <v>1011</v>
      </c>
      <c r="BC63" s="33">
        <v>756</v>
      </c>
      <c r="BD63" s="33">
        <f>ROUND(坦克等级成长!$D160*VLOOKUP($AX$2,坦克等级成长!$B$36:$G$42,MATCH(BD$3,坦克等级成长!$B$35:$G$35,0)),0)</f>
        <v>1011</v>
      </c>
      <c r="BE63" s="33">
        <f>ROUND(坦克等级成长!$D160*VLOOKUP($AX$2,坦克等级成长!$B$36:$G$42,MATCH(BE$3,坦克等级成长!$B$35:$G$35,0)),0)</f>
        <v>270</v>
      </c>
      <c r="BF63" s="199">
        <v>10</v>
      </c>
      <c r="BG63" s="33">
        <f>ROUND(坦克等级成长!$F160*VLOOKUP($AX$2,坦克等级成长!$B$36:$G$42,MATCH(BG$3,坦克等级成长!$B$35:$G$35,0)),0)</f>
        <v>2736</v>
      </c>
      <c r="BH63" s="33">
        <f>ROUND(坦克等级成长!$F160*VLOOKUP($AX$2,坦克等级成长!$B$36:$G$42,MATCH(BH$3,坦克等级成长!$B$35:$G$35,0)),0)</f>
        <v>273</v>
      </c>
      <c r="BI63" s="33">
        <f>ROUND(坦克等级成长!$F160*VLOOKUP($AX$2,坦克等级成长!$B$36:$G$42,MATCH(BI$3,坦克等级成长!$B$35:$G$35,0)),0)</f>
        <v>1026</v>
      </c>
      <c r="BJ63" s="33">
        <f t="shared" si="9"/>
        <v>1026</v>
      </c>
      <c r="BK63" s="33">
        <v>777</v>
      </c>
      <c r="BL63" s="33">
        <f>ROUND(坦克等级成长!$F160*VLOOKUP($AX$2,坦克等级成长!$B$36:$G$42,MATCH(BL$3,坦克等级成长!$B$35:$G$35,0)),0)</f>
        <v>1026</v>
      </c>
      <c r="BM63" s="33">
        <f>ROUND(坦克等级成长!$F160*VLOOKUP($AX$2,坦克等级成长!$B$36:$G$42,MATCH(BM$3,坦克等级成长!$B$35:$G$35,0)),0)</f>
        <v>274</v>
      </c>
      <c r="BN63" s="192">
        <v>10</v>
      </c>
      <c r="BO63" s="33">
        <f>ROUND(坦克等级成长!$H160*VLOOKUP($AX$2,坦克等级成长!$B$36:$G$42,MATCH(BO$3,坦克等级成长!$B$35:$G$35,0)),0)</f>
        <v>2776</v>
      </c>
      <c r="BP63" s="33">
        <f>ROUND(坦克等级成长!$H160*VLOOKUP($AX$2,坦克等级成长!$B$36:$G$42,MATCH(BP$3,坦克等级成长!$B$35:$G$35,0)),0)</f>
        <v>277</v>
      </c>
      <c r="BQ63" s="33">
        <f>ROUND(坦克等级成长!$H160*VLOOKUP($AX$2,坦克等级成长!$B$36:$G$42,MATCH(BQ$3,坦克等级成长!$B$35:$G$35,0)),0)</f>
        <v>1041</v>
      </c>
      <c r="BR63" s="33">
        <f t="shared" si="23"/>
        <v>1041</v>
      </c>
      <c r="BS63" s="33">
        <v>777</v>
      </c>
      <c r="BT63" s="33">
        <f>ROUND(坦克等级成长!$H160*VLOOKUP($AX$2,坦克等级成长!$B$36:$G$42,MATCH(BT$3,坦克等级成长!$B$35:$G$35,0)),0)</f>
        <v>1041</v>
      </c>
      <c r="BU63" s="33">
        <f>ROUND(坦克等级成长!$H160*VLOOKUP($AX$2,坦克等级成长!$B$36:$G$42,MATCH(BU$3,坦克等级成长!$B$35:$G$35,0)),0)</f>
        <v>278</v>
      </c>
      <c r="BV63" s="192">
        <v>10</v>
      </c>
      <c r="BW63" s="33">
        <f>ROUND(坦克等级成长!$D160*VLOOKUP($BV$2,坦克等级成长!$B$36:$G$42,MATCH(BW$3,坦克等级成长!$B$35:$G$35,0)),0)</f>
        <v>2910</v>
      </c>
      <c r="BX63" s="33">
        <f>ROUND(坦克等级成长!$D160*VLOOKUP($BV$2,坦克等级成长!$B$36:$G$42,MATCH(BX$3,坦克等级成长!$B$35:$G$35,0)),0)</f>
        <v>250</v>
      </c>
      <c r="BY63" s="33">
        <f>ROUND(坦克等级成长!$D160*VLOOKUP($BV$2,坦克等级成长!$B$36:$G$42,MATCH(BY$3,坦克等级成长!$B$35:$G$35,0)),0)</f>
        <v>963</v>
      </c>
      <c r="BZ63" s="33">
        <f t="shared" si="38"/>
        <v>963</v>
      </c>
      <c r="CA63" s="33">
        <v>771.75</v>
      </c>
      <c r="CB63" s="33">
        <f>ROUND(坦克等级成长!$D160*VLOOKUP($BV$2,坦克等级成长!$B$36:$G$42,MATCH(CB$3,坦克等级成长!$B$35:$G$35,0)),0)</f>
        <v>1213</v>
      </c>
      <c r="CC63" s="33">
        <f>ROUND(坦克等级成长!$D160*VLOOKUP($BV$2,坦克等级成长!$B$36:$G$42,MATCH(CC$3,坦克等级成长!$B$35:$G$35,0)),0)</f>
        <v>291</v>
      </c>
      <c r="CD63" s="199">
        <v>10</v>
      </c>
      <c r="CE63" s="33">
        <f>ROUND(坦克等级成长!$F160*VLOOKUP($BV$2,坦克等级成长!$B$36:$G$42,MATCH(CE$3,坦克等级成长!$B$35:$G$35,0)),0)</f>
        <v>2953</v>
      </c>
      <c r="CF63" s="33">
        <f>ROUND(坦克等级成长!$F160*VLOOKUP($BV$2,坦克等级成长!$B$36:$G$42,MATCH(CF$3,坦克等级成长!$B$35:$G$35,0)),0)</f>
        <v>254</v>
      </c>
      <c r="CG63" s="33">
        <f>ROUND(坦克等级成长!$F160*VLOOKUP($BV$2,坦克等级成长!$B$36:$G$42,MATCH(CG$3,坦克等级成长!$B$35:$G$35,0)),0)</f>
        <v>977</v>
      </c>
      <c r="CH63" s="33">
        <f t="shared" si="10"/>
        <v>977</v>
      </c>
      <c r="CI63" s="33">
        <v>793</v>
      </c>
      <c r="CJ63" s="33">
        <f>ROUND(坦克等级成长!$F160*VLOOKUP($BV$2,坦克等级成长!$B$36:$G$42,MATCH(CJ$3,坦克等级成长!$B$35:$G$35,0)),0)</f>
        <v>1231</v>
      </c>
      <c r="CK63" s="33">
        <f>ROUND(坦克等级成长!$F160*VLOOKUP($BV$2,坦克等级成长!$B$36:$G$42,MATCH(CK$3,坦克等级成长!$B$35:$G$35,0)),0)</f>
        <v>295</v>
      </c>
      <c r="CL63" s="192">
        <v>10</v>
      </c>
      <c r="CM63" s="33">
        <f>ROUND(坦克等级成长!$H160*VLOOKUP($BV$2,坦克等级成长!$B$36:$G$42,MATCH(CM$3,坦克等级成长!$B$35:$G$35,0)),0)</f>
        <v>2996</v>
      </c>
      <c r="CN63" s="33">
        <f>ROUND(坦克等级成长!$H160*VLOOKUP($BV$2,坦克等级成长!$B$36:$G$42,MATCH(CN$3,坦克等级成长!$B$35:$G$35,0)),0)</f>
        <v>258</v>
      </c>
      <c r="CO63" s="33">
        <f>ROUND(坦克等级成长!$H160*VLOOKUP($BV$2,坦克等级成长!$B$36:$G$42,MATCH(CO$3,坦克等级成长!$B$35:$G$35,0)),0)</f>
        <v>991</v>
      </c>
      <c r="CP63" s="33">
        <f t="shared" si="24"/>
        <v>991</v>
      </c>
      <c r="CQ63" s="33">
        <v>793</v>
      </c>
      <c r="CR63" s="33">
        <f>ROUND(坦克等级成长!$H160*VLOOKUP($BV$2,坦克等级成长!$B$36:$G$42,MATCH(CR$3,坦克等级成长!$B$35:$G$35,0)),0)</f>
        <v>1249</v>
      </c>
      <c r="CS63" s="33">
        <f>ROUND(坦克等级成长!$H160*VLOOKUP($BV$2,坦克等级成长!$B$36:$G$42,MATCH(CS$3,坦克等级成长!$B$35:$G$35,0)),0)</f>
        <v>300</v>
      </c>
      <c r="CT63" s="192">
        <v>10</v>
      </c>
      <c r="CU63" s="33">
        <f>ROUND(坦克等级成长!$D160*VLOOKUP($CT$2,坦克等级成长!$B$36:$G$42,MATCH(CU$3,坦克等级成长!$B$35:$G$35,0)),0)</f>
        <v>2696</v>
      </c>
      <c r="CV63" s="33">
        <f>ROUND(坦克等级成长!$D160*VLOOKUP($CT$2,坦克等级成长!$B$36:$G$42,MATCH(CV$3,坦克等级成长!$B$35:$G$35,0)),0)</f>
        <v>543</v>
      </c>
      <c r="CW63" s="33">
        <f>ROUND(坦克等级成长!$D160*VLOOKUP($CT$2,坦克等级成长!$B$36:$G$42,MATCH(CW$3,坦克等级成长!$B$35:$G$35,0)),0)</f>
        <v>1204</v>
      </c>
      <c r="CX63" s="33">
        <f t="shared" si="39"/>
        <v>1204</v>
      </c>
      <c r="CY63" s="33">
        <v>964.5</v>
      </c>
      <c r="CZ63" s="33">
        <f>ROUND(坦克等级成长!$D160*VLOOKUP($CT$2,坦克等级成长!$B$36:$G$42,MATCH(CZ$3,坦克等级成长!$B$35:$G$35,0)),0)</f>
        <v>1011</v>
      </c>
      <c r="DA63" s="33">
        <f>ROUND(坦克等级成长!$D160*VLOOKUP($CT$2,坦克等级成长!$B$36:$G$42,MATCH(DA$3,坦克等级成长!$B$35:$G$35,0)),0)</f>
        <v>270</v>
      </c>
      <c r="DB63" s="199">
        <v>10</v>
      </c>
      <c r="DC63" s="33">
        <f>ROUND(坦克等级成长!$F160*VLOOKUP($CT$2,坦克等级成长!$B$36:$G$42,MATCH(DC$3,坦克等级成长!$B$35:$G$35,0)),0)</f>
        <v>2736</v>
      </c>
      <c r="DD63" s="33">
        <f>ROUND(坦克等级成长!$F160*VLOOKUP($CT$2,坦克等级成长!$B$36:$G$42,MATCH(DD$3,坦克等级成长!$B$35:$G$35,0)),0)</f>
        <v>551</v>
      </c>
      <c r="DE63" s="33">
        <f>ROUND(坦克等级成长!$F160*VLOOKUP($CT$2,坦克等级成长!$B$36:$G$42,MATCH(DE$3,坦克等级成长!$B$35:$G$35,0)),0)</f>
        <v>1221</v>
      </c>
      <c r="DF63" s="33">
        <f t="shared" si="11"/>
        <v>1221</v>
      </c>
      <c r="DG63" s="33">
        <v>991</v>
      </c>
      <c r="DH63" s="33">
        <f>ROUND(坦克等级成长!$F160*VLOOKUP($CT$2,坦克等级成长!$B$36:$G$42,MATCH(DH$3,坦克等级成长!$B$35:$G$35,0)),0)</f>
        <v>1026</v>
      </c>
      <c r="DI63" s="33">
        <f>ROUND(坦克等级成长!$F160*VLOOKUP($CT$2,坦克等级成长!$B$36:$G$42,MATCH(DI$3,坦克等级成长!$B$35:$G$35,0)),0)</f>
        <v>274</v>
      </c>
      <c r="DJ63" s="192">
        <v>10</v>
      </c>
      <c r="DK63" s="33">
        <f>ROUND(坦克等级成长!$H160*VLOOKUP($CT$2,坦克等级成长!$B$36:$G$42,MATCH(DK$3,坦克等级成长!$B$35:$G$35,0)),0)</f>
        <v>2776</v>
      </c>
      <c r="DL63" s="33">
        <f>ROUND(坦克等级成长!$H160*VLOOKUP($CT$2,坦克等级成长!$B$36:$G$42,MATCH(DL$3,坦克等级成长!$B$35:$G$35,0)),0)</f>
        <v>559</v>
      </c>
      <c r="DM63" s="33">
        <f>ROUND(坦克等级成长!$H160*VLOOKUP($CT$2,坦克等级成长!$B$36:$G$42,MATCH(DM$3,坦克等级成长!$B$35:$G$35,0)),0)</f>
        <v>1239</v>
      </c>
      <c r="DN63" s="33">
        <f t="shared" si="25"/>
        <v>1239</v>
      </c>
      <c r="DO63" s="33">
        <v>991</v>
      </c>
      <c r="DP63" s="33">
        <f>ROUND(坦克等级成长!$H160*VLOOKUP($CT$2,坦克等级成长!$B$36:$G$42,MATCH(DP$3,坦克等级成长!$B$35:$G$35,0)),0)</f>
        <v>1041</v>
      </c>
      <c r="DQ63" s="33">
        <f>ROUND(坦克等级成长!$H160*VLOOKUP($CT$2,坦克等级成长!$B$36:$G$42,MATCH(DQ$3,坦克等级成长!$B$35:$G$35,0)),0)</f>
        <v>278</v>
      </c>
      <c r="DR63" s="192">
        <v>10</v>
      </c>
      <c r="DS63" s="33">
        <f>ROUND(坦克等级成长!$D160*VLOOKUP($DR$2,坦克等级成长!$B$36:$G$42,MATCH(DS$3,坦克等级成长!$B$35:$G$35,0)),0)</f>
        <v>3298</v>
      </c>
      <c r="DT63" s="33">
        <f>ROUND(坦克等级成长!$D160*VLOOKUP($DR$2,坦克等级成长!$B$36:$G$42,MATCH(DT$3,坦克等级成长!$B$35:$G$35,0)),0)</f>
        <v>903</v>
      </c>
      <c r="DU63" s="33">
        <f>ROUND(坦克等级成长!$D160*VLOOKUP($DR$2,坦克等级成长!$B$36:$G$42,MATCH(DU$3,坦克等级成长!$B$35:$G$35,0)),0)</f>
        <v>963</v>
      </c>
      <c r="DV63" s="33">
        <f t="shared" si="40"/>
        <v>963</v>
      </c>
      <c r="DW63" s="33">
        <v>823.2</v>
      </c>
      <c r="DX63" s="33">
        <f>ROUND(坦克等级成长!$D160*VLOOKUP($DR$2,坦克等级成长!$B$36:$G$42,MATCH(DX$3,坦克等级成长!$B$35:$G$35,0)),0)</f>
        <v>1415</v>
      </c>
      <c r="DY63" s="33">
        <f>ROUND(坦克等级成长!$D160*VLOOKUP($DR$2,坦克等级成长!$B$36:$G$42,MATCH(DY$3,坦克等级成长!$B$35:$G$35,0)),0)</f>
        <v>330</v>
      </c>
      <c r="DZ63" s="199">
        <v>10</v>
      </c>
      <c r="EA63" s="33">
        <f>ROUND(坦克等级成长!$F160*VLOOKUP($DR$2,坦克等级成长!$B$36:$G$42,MATCH(EA$3,坦克等级成长!$B$35:$G$35,0)),0)</f>
        <v>3347</v>
      </c>
      <c r="EB63" s="33">
        <f>ROUND(坦克等级成长!$F160*VLOOKUP($DR$2,坦克等级成长!$B$36:$G$42,MATCH(EB$3,坦克等级成长!$B$35:$G$35,0)),0)</f>
        <v>917</v>
      </c>
      <c r="EC63" s="33">
        <f>ROUND(坦克等级成长!$F160*VLOOKUP($DR$2,坦克等级成长!$B$36:$G$42,MATCH(EC$3,坦克等级成长!$B$35:$G$35,0)),0)</f>
        <v>977</v>
      </c>
      <c r="ED63" s="33">
        <f t="shared" si="12"/>
        <v>977</v>
      </c>
      <c r="EE63" s="33">
        <v>846</v>
      </c>
      <c r="EF63" s="33">
        <f>ROUND(坦克等级成长!$F160*VLOOKUP($DR$2,坦克等级成长!$B$36:$G$42,MATCH(EF$3,坦克等级成长!$B$35:$G$35,0)),0)</f>
        <v>1436</v>
      </c>
      <c r="EG63" s="33">
        <f>ROUND(坦克等级成长!$F160*VLOOKUP($DR$2,坦克等级成长!$B$36:$G$42,MATCH(EG$3,坦克等级成长!$B$35:$G$35,0)),0)</f>
        <v>335</v>
      </c>
      <c r="EH63" s="192">
        <v>10</v>
      </c>
      <c r="EI63" s="33">
        <f>ROUND(坦克等级成长!$H160*VLOOKUP($DR$2,坦克等级成长!$B$36:$G$42,MATCH(EI$3,坦克等级成长!$B$35:$G$35,0)),0)</f>
        <v>3396</v>
      </c>
      <c r="EJ63" s="33">
        <f>ROUND(坦克等级成长!$H160*VLOOKUP($DR$2,坦克等级成长!$B$36:$G$42,MATCH(EJ$3,坦克等级成长!$B$35:$G$35,0)),0)</f>
        <v>930</v>
      </c>
      <c r="EK63" s="33">
        <f>ROUND(坦克等级成长!$H160*VLOOKUP($DR$2,坦克等级成长!$B$36:$G$42,MATCH(EK$3,坦克等级成长!$B$35:$G$35,0)),0)</f>
        <v>991</v>
      </c>
      <c r="EL63" s="33">
        <f t="shared" si="26"/>
        <v>991</v>
      </c>
      <c r="EM63" s="33">
        <v>846</v>
      </c>
      <c r="EN63" s="33">
        <f>ROUND(坦克等级成长!$H160*VLOOKUP($DR$2,坦克等级成长!$B$36:$G$42,MATCH(EN$3,坦克等级成长!$B$35:$G$35,0)),0)</f>
        <v>1457</v>
      </c>
      <c r="EO63" s="33">
        <f>ROUND(坦克等级成长!$H160*VLOOKUP($DR$2,坦克等级成长!$B$36:$G$42,MATCH(EO$3,坦克等级成长!$B$35:$G$35,0)),0)</f>
        <v>340</v>
      </c>
      <c r="EP63" s="192">
        <v>10</v>
      </c>
      <c r="EQ63" s="33">
        <f>ROUND(坦克等级成长!$D160*VLOOKUP($EP$2,坦克等级成长!$B$36:$G$42,MATCH(EQ$3,坦克等级成长!$B$35:$G$35,0)),0)</f>
        <v>2910</v>
      </c>
      <c r="ER63" s="33">
        <f>ROUND(坦克等级成长!$D160*VLOOKUP($EP$2,坦克等级成长!$B$36:$G$42,MATCH(ER$3,坦克等级成长!$B$35:$G$35,0)),0)</f>
        <v>300</v>
      </c>
      <c r="ES63" s="33">
        <f>ROUND(坦克等级成长!$D160*VLOOKUP($EP$2,坦克等级成长!$B$36:$G$42,MATCH(ES$3,坦克等级成长!$B$35:$G$35,0)),0)</f>
        <v>1107</v>
      </c>
      <c r="ET63" s="33">
        <f t="shared" si="41"/>
        <v>1107</v>
      </c>
      <c r="EU63" s="33">
        <v>887.25</v>
      </c>
      <c r="EV63" s="33">
        <f>ROUND(坦克等级成长!$D160*VLOOKUP($EP$2,坦克等级成长!$B$36:$G$42,MATCH(EV$3,坦克等级成长!$B$35:$G$35,0)),0)</f>
        <v>1213</v>
      </c>
      <c r="EW63" s="33">
        <f>ROUND(坦克等级成长!$D160*VLOOKUP($EP$2,坦克等级成长!$B$36:$G$42,MATCH(EW$3,坦克等级成长!$B$35:$G$35,0)),0)</f>
        <v>291</v>
      </c>
      <c r="EX63" s="199">
        <v>10</v>
      </c>
      <c r="EY63" s="33">
        <f>ROUND(坦克等级成长!$F160*VLOOKUP($EP$2,坦克等级成长!$B$36:$G$42,MATCH(EY$3,坦克等级成长!$B$35:$G$35,0)),0)</f>
        <v>2953</v>
      </c>
      <c r="EZ63" s="33">
        <f>ROUND(坦克等级成长!$F160*VLOOKUP($EP$2,坦克等级成长!$B$36:$G$42,MATCH(EZ$3,坦克等级成长!$B$35:$G$35,0)),0)</f>
        <v>304</v>
      </c>
      <c r="FA63" s="33">
        <f>ROUND(坦克等级成长!$F160*VLOOKUP($EP$2,坦克等级成长!$B$36:$G$42,MATCH(FA$3,坦克等级成长!$B$35:$G$35,0)),0)</f>
        <v>1124</v>
      </c>
      <c r="FB63" s="33">
        <f t="shared" si="13"/>
        <v>1124</v>
      </c>
      <c r="FC63" s="33">
        <v>912</v>
      </c>
      <c r="FD63" s="33">
        <f>ROUND(坦克等级成长!$F160*VLOOKUP($EP$2,坦克等级成长!$B$36:$G$42,MATCH(FD$3,坦克等级成长!$B$35:$G$35,0)),0)</f>
        <v>1231</v>
      </c>
      <c r="FE63" s="33">
        <f>ROUND(坦克等级成长!$F160*VLOOKUP($EP$2,坦克等级成长!$B$36:$G$42,MATCH(FE$3,坦克等级成长!$B$35:$G$35,0)),0)</f>
        <v>295</v>
      </c>
      <c r="FF63" s="192">
        <v>10</v>
      </c>
      <c r="FG63" s="33">
        <f>ROUND(坦克等级成长!$H160*VLOOKUP($EP$2,坦克等级成长!$B$36:$G$42,MATCH(FG$3,坦克等级成长!$B$35:$G$35,0)),0)</f>
        <v>2996</v>
      </c>
      <c r="FH63" s="33">
        <f>ROUND(坦克等级成长!$H160*VLOOKUP($EP$2,坦克等级成长!$B$36:$G$42,MATCH(FH$3,坦克等级成长!$B$35:$G$35,0)),0)</f>
        <v>309</v>
      </c>
      <c r="FI63" s="33">
        <f>ROUND(坦克等级成长!$H160*VLOOKUP($EP$2,坦克等级成长!$B$36:$G$42,MATCH(FI$3,坦克等级成长!$B$35:$G$35,0)),0)</f>
        <v>1140</v>
      </c>
      <c r="FJ63" s="33">
        <f t="shared" si="27"/>
        <v>1140</v>
      </c>
      <c r="FK63" s="33">
        <v>912</v>
      </c>
      <c r="FL63" s="33">
        <f>ROUND(坦克等级成长!$H160*VLOOKUP($EP$2,坦克等级成长!$B$36:$G$42,MATCH(FL$3,坦克等级成长!$B$35:$G$35,0)),0)</f>
        <v>1249</v>
      </c>
      <c r="FM63" s="33">
        <f>ROUND(坦克等级成长!$H160*VLOOKUP($EP$2,坦克等级成长!$B$36:$G$42,MATCH(FM$3,坦克等级成长!$B$35:$G$35,0)),0)</f>
        <v>300</v>
      </c>
    </row>
    <row r="64" spans="1:169" ht="14.25" x14ac:dyDescent="0.3">
      <c r="A64" s="189">
        <v>5</v>
      </c>
      <c r="B64" s="192">
        <v>11</v>
      </c>
      <c r="C64" s="33">
        <f>ROUND(坦克等级成长!$D161*VLOOKUP($B$2,坦克等级成长!$B$36:$G$42,MATCH(C$3,坦克等级成长!$B$35:$G$35,0)),0)</f>
        <v>2784</v>
      </c>
      <c r="D64" s="33">
        <f>ROUND(坦克等级成长!$D161*VLOOKUP($B$2,坦克等级成长!$B$36:$G$42,MATCH(D$3,坦克等级成长!$B$35:$G$35,0)),0)</f>
        <v>277</v>
      </c>
      <c r="E64" s="33">
        <f>ROUND(坦克等级成长!$D161*VLOOKUP($B$2,坦克等级成长!$B$36:$G$42,MATCH(E$3,坦克等级成长!$B$35:$G$35,0)),0)</f>
        <v>1044</v>
      </c>
      <c r="F64" s="33">
        <f t="shared" si="35"/>
        <v>1044</v>
      </c>
      <c r="G64" s="33">
        <v>781.2</v>
      </c>
      <c r="H64" s="33">
        <f>ROUND(坦克等级成长!$D161*VLOOKUP($B$2,坦克等级成长!$B$36:$G$42,MATCH(H$3,坦克等级成长!$B$35:$G$35,0)),0)</f>
        <v>1044</v>
      </c>
      <c r="I64" s="33">
        <f>ROUND(坦克等级成长!$D161*VLOOKUP($B$2,坦克等级成长!$B$36:$G$42,MATCH(I$3,坦克等级成长!$B$35:$G$35,0)),0)</f>
        <v>278</v>
      </c>
      <c r="J64" s="199">
        <v>11</v>
      </c>
      <c r="K64" s="33">
        <f>ROUND(坦克等级成长!$F161*VLOOKUP($B$2,坦克等级成长!$B$36:$G$42,MATCH(K$3,坦克等级成长!$B$35:$G$35,0)),0)</f>
        <v>2824</v>
      </c>
      <c r="L64" s="33">
        <f>ROUND(坦克等级成长!$F161*VLOOKUP($B$2,坦克等级成长!$B$36:$G$42,MATCH(L$3,坦克等级成长!$B$35:$G$35,0)),0)</f>
        <v>281</v>
      </c>
      <c r="M64" s="33">
        <f>ROUND(坦克等级成长!$F161*VLOOKUP($B$2,坦克等级成长!$B$36:$G$42,MATCH(M$3,坦克等级成长!$B$35:$G$35,0)),0)</f>
        <v>1059</v>
      </c>
      <c r="N64" s="33">
        <f t="shared" si="7"/>
        <v>1059</v>
      </c>
      <c r="O64" s="33">
        <v>802</v>
      </c>
      <c r="P64" s="33">
        <f>ROUND(坦克等级成长!$F161*VLOOKUP($B$2,坦克等级成长!$B$36:$G$42,MATCH(P$3,坦克等级成长!$B$35:$G$35,0)),0)</f>
        <v>1059</v>
      </c>
      <c r="Q64" s="33">
        <f>ROUND(坦克等级成长!$F161*VLOOKUP($B$2,坦克等级成长!$B$36:$G$42,MATCH(Q$3,坦克等级成长!$B$35:$G$35,0)),0)</f>
        <v>282</v>
      </c>
      <c r="R64" s="192">
        <v>11</v>
      </c>
      <c r="S64" s="33">
        <f>ROUND(坦克等级成长!$H161*VLOOKUP($B$2,坦克等级成长!$B$36:$G$42,MATCH(S$3,坦克等级成长!$B$35:$G$35,0)),0)</f>
        <v>2864</v>
      </c>
      <c r="T64" s="33">
        <f>ROUND(坦克等级成长!$H161*VLOOKUP($B$2,坦克等级成长!$B$36:$G$42,MATCH(T$3,坦克等级成长!$B$35:$G$35,0)),0)</f>
        <v>285</v>
      </c>
      <c r="U64" s="33">
        <f>ROUND(坦克等级成长!$H161*VLOOKUP($B$2,坦克等级成长!$B$36:$G$42,MATCH(U$3,坦克等级成长!$B$35:$G$35,0)),0)</f>
        <v>1074</v>
      </c>
      <c r="V64" s="33">
        <f t="shared" si="21"/>
        <v>1074</v>
      </c>
      <c r="W64" s="33">
        <v>802</v>
      </c>
      <c r="X64" s="33">
        <f>ROUND(坦克等级成长!$H161*VLOOKUP($B$2,坦克等级成长!$B$36:$G$42,MATCH(X$3,坦克等级成长!$B$35:$G$35,0)),0)</f>
        <v>1074</v>
      </c>
      <c r="Y64" s="33">
        <f>ROUND(坦克等级成长!$H161*VLOOKUP($B$2,坦克等级成长!$B$36:$G$42,MATCH(Y$3,坦克等级成长!$B$35:$G$35,0)),0)</f>
        <v>286</v>
      </c>
      <c r="Z64" s="192">
        <v>11</v>
      </c>
      <c r="AA64" s="33">
        <f>ROUND(坦克等级成长!$D161*VLOOKUP($Z$2,坦克等级成长!$B$36:$G$42,MATCH(AA$3,坦克等级成长!$B$35:$G$35,0)),0)</f>
        <v>2784</v>
      </c>
      <c r="AB64" s="33">
        <f>ROUND(坦克等级成长!$D161*VLOOKUP($Z$2,坦克等级成长!$B$36:$G$42,MATCH(AB$3,坦克等级成长!$B$35:$G$35,0)),0)</f>
        <v>148</v>
      </c>
      <c r="AC64" s="33">
        <f>ROUND(坦克等级成长!$D161*VLOOKUP($Z$2,坦克等级成长!$B$36:$G$42,MATCH(AC$3,坦克等级成长!$B$35:$G$35,0)),0)</f>
        <v>1143</v>
      </c>
      <c r="AD64" s="33">
        <f t="shared" si="36"/>
        <v>1143</v>
      </c>
      <c r="AE64" s="33">
        <v>855.4</v>
      </c>
      <c r="AF64" s="33">
        <f>ROUND(坦克等级成长!$D161*VLOOKUP($Z$2,坦克等级成长!$B$36:$G$42,MATCH(AF$3,坦克等级成长!$B$35:$G$35,0)),0)</f>
        <v>1044</v>
      </c>
      <c r="AG64" s="33">
        <f>ROUND(坦克等级成长!$D161*VLOOKUP($Z$2,坦克等级成长!$B$36:$G$42,MATCH(AG$3,坦克等级成长!$B$35:$G$35,0)),0)</f>
        <v>278</v>
      </c>
      <c r="AH64" s="199">
        <v>11</v>
      </c>
      <c r="AI64" s="33">
        <f>ROUND(坦克等级成长!$F161*VLOOKUP($Z$2,坦克等级成长!$B$36:$G$42,MATCH(AI$3,坦克等级成长!$B$35:$G$35,0)),0)</f>
        <v>2824</v>
      </c>
      <c r="AJ64" s="33">
        <f>ROUND(坦克等级成长!$F161*VLOOKUP($Z$2,坦克等级成长!$B$36:$G$42,MATCH(AJ$3,坦克等级成长!$B$35:$G$35,0)),0)</f>
        <v>150</v>
      </c>
      <c r="AK64" s="33">
        <f>ROUND(坦克等级成长!$F161*VLOOKUP($Z$2,坦克等级成长!$B$36:$G$42,MATCH(AK$3,坦克等级成长!$B$35:$G$35,0)),0)</f>
        <v>1160</v>
      </c>
      <c r="AL64" s="33">
        <f t="shared" si="8"/>
        <v>1160</v>
      </c>
      <c r="AM64" s="33">
        <v>879</v>
      </c>
      <c r="AN64" s="33">
        <f>ROUND(坦克等级成长!$F161*VLOOKUP($Z$2,坦克等级成长!$B$36:$G$42,MATCH(AN$3,坦克等级成长!$B$35:$G$35,0)),0)</f>
        <v>1059</v>
      </c>
      <c r="AO64" s="33">
        <f>ROUND(坦克等级成长!$F161*VLOOKUP($Z$2,坦克等级成长!$B$36:$G$42,MATCH(AO$3,坦克等级成长!$B$35:$G$35,0)),0)</f>
        <v>282</v>
      </c>
      <c r="AP64" s="192">
        <v>11</v>
      </c>
      <c r="AQ64" s="33">
        <f>ROUND(坦克等级成长!$H161*VLOOKUP($Z$2,坦克等级成长!$B$36:$G$42,MATCH(AQ$3,坦克等级成长!$B$35:$G$35,0)),0)</f>
        <v>2864</v>
      </c>
      <c r="AR64" s="33">
        <f>ROUND(坦克等级成长!$H161*VLOOKUP($Z$2,坦克等级成长!$B$36:$G$42,MATCH(AR$3,坦克等级成长!$B$35:$G$35,0)),0)</f>
        <v>152</v>
      </c>
      <c r="AS64" s="33">
        <f>ROUND(坦克等级成长!$H161*VLOOKUP($Z$2,坦克等级成长!$B$36:$G$42,MATCH(AS$3,坦克等级成长!$B$35:$G$35,0)),0)</f>
        <v>1176</v>
      </c>
      <c r="AT64" s="33">
        <f t="shared" si="22"/>
        <v>1176</v>
      </c>
      <c r="AU64" s="33">
        <v>879</v>
      </c>
      <c r="AV64" s="33">
        <f>ROUND(坦克等级成长!$H161*VLOOKUP($Z$2,坦克等级成长!$B$36:$G$42,MATCH(AV$3,坦克等级成长!$B$35:$G$35,0)),0)</f>
        <v>1074</v>
      </c>
      <c r="AW64" s="33">
        <f>ROUND(坦克等级成长!$H161*VLOOKUP($Z$2,坦克等级成长!$B$36:$G$42,MATCH(AW$3,坦克等级成长!$B$35:$G$35,0)),0)</f>
        <v>286</v>
      </c>
      <c r="AX64" s="192">
        <v>11</v>
      </c>
      <c r="AY64" s="33">
        <f>ROUND(坦克等级成长!$D161*VLOOKUP($AX$2,坦克等级成长!$B$36:$G$42,MATCH(AY$3,坦克等级成长!$B$35:$G$35,0)),0)</f>
        <v>2784</v>
      </c>
      <c r="AZ64" s="33">
        <f>ROUND(坦克等级成长!$D161*VLOOKUP($AX$2,坦克等级成长!$B$36:$G$42,MATCH(AZ$3,坦克等级成长!$B$35:$G$35,0)),0)</f>
        <v>277</v>
      </c>
      <c r="BA64" s="33">
        <f>ROUND(坦克等级成长!$D161*VLOOKUP($AX$2,坦克等级成长!$B$36:$G$42,MATCH(BA$3,坦克等级成长!$B$35:$G$35,0)),0)</f>
        <v>1044</v>
      </c>
      <c r="BB64" s="33">
        <f t="shared" si="37"/>
        <v>1044</v>
      </c>
      <c r="BC64" s="33">
        <v>781.2</v>
      </c>
      <c r="BD64" s="33">
        <f>ROUND(坦克等级成长!$D161*VLOOKUP($AX$2,坦克等级成长!$B$36:$G$42,MATCH(BD$3,坦克等级成长!$B$35:$G$35,0)),0)</f>
        <v>1044</v>
      </c>
      <c r="BE64" s="33">
        <f>ROUND(坦克等级成长!$D161*VLOOKUP($AX$2,坦克等级成长!$B$36:$G$42,MATCH(BE$3,坦克等级成长!$B$35:$G$35,0)),0)</f>
        <v>278</v>
      </c>
      <c r="BF64" s="199">
        <v>11</v>
      </c>
      <c r="BG64" s="33">
        <f>ROUND(坦克等级成长!$F161*VLOOKUP($AX$2,坦克等级成长!$B$36:$G$42,MATCH(BG$3,坦克等级成长!$B$35:$G$35,0)),0)</f>
        <v>2824</v>
      </c>
      <c r="BH64" s="33">
        <f>ROUND(坦克等级成长!$F161*VLOOKUP($AX$2,坦克等级成长!$B$36:$G$42,MATCH(BH$3,坦克等级成长!$B$35:$G$35,0)),0)</f>
        <v>281</v>
      </c>
      <c r="BI64" s="33">
        <f>ROUND(坦克等级成长!$F161*VLOOKUP($AX$2,坦克等级成长!$B$36:$G$42,MATCH(BI$3,坦克等级成长!$B$35:$G$35,0)),0)</f>
        <v>1059</v>
      </c>
      <c r="BJ64" s="33">
        <f t="shared" si="9"/>
        <v>1059</v>
      </c>
      <c r="BK64" s="33">
        <v>802</v>
      </c>
      <c r="BL64" s="33">
        <f>ROUND(坦克等级成长!$F161*VLOOKUP($AX$2,坦克等级成长!$B$36:$G$42,MATCH(BL$3,坦克等级成长!$B$35:$G$35,0)),0)</f>
        <v>1059</v>
      </c>
      <c r="BM64" s="33">
        <f>ROUND(坦克等级成长!$F161*VLOOKUP($AX$2,坦克等级成长!$B$36:$G$42,MATCH(BM$3,坦克等级成长!$B$35:$G$35,0)),0)</f>
        <v>282</v>
      </c>
      <c r="BN64" s="192">
        <v>11</v>
      </c>
      <c r="BO64" s="33">
        <f>ROUND(坦克等级成长!$H161*VLOOKUP($AX$2,坦克等级成长!$B$36:$G$42,MATCH(BO$3,坦克等级成长!$B$35:$G$35,0)),0)</f>
        <v>2864</v>
      </c>
      <c r="BP64" s="33">
        <f>ROUND(坦克等级成长!$H161*VLOOKUP($AX$2,坦克等级成长!$B$36:$G$42,MATCH(BP$3,坦克等级成长!$B$35:$G$35,0)),0)</f>
        <v>285</v>
      </c>
      <c r="BQ64" s="33">
        <f>ROUND(坦克等级成长!$H161*VLOOKUP($AX$2,坦克等级成长!$B$36:$G$42,MATCH(BQ$3,坦克等级成长!$B$35:$G$35,0)),0)</f>
        <v>1074</v>
      </c>
      <c r="BR64" s="33">
        <f t="shared" si="23"/>
        <v>1074</v>
      </c>
      <c r="BS64" s="33">
        <v>802</v>
      </c>
      <c r="BT64" s="33">
        <f>ROUND(坦克等级成长!$H161*VLOOKUP($AX$2,坦克等级成长!$B$36:$G$42,MATCH(BT$3,坦克等级成长!$B$35:$G$35,0)),0)</f>
        <v>1074</v>
      </c>
      <c r="BU64" s="33">
        <f>ROUND(坦克等级成长!$H161*VLOOKUP($AX$2,坦克等级成长!$B$36:$G$42,MATCH(BU$3,坦克等级成长!$B$35:$G$35,0)),0)</f>
        <v>286</v>
      </c>
      <c r="BV64" s="192">
        <v>11</v>
      </c>
      <c r="BW64" s="33">
        <f>ROUND(坦克等级成长!$D161*VLOOKUP($BV$2,坦克等级成长!$B$36:$G$42,MATCH(BW$3,坦克等级成长!$B$35:$G$35,0)),0)</f>
        <v>3005</v>
      </c>
      <c r="BX64" s="33">
        <f>ROUND(坦克等级成长!$D161*VLOOKUP($BV$2,坦克等级成长!$B$36:$G$42,MATCH(BX$3,坦克等级成长!$B$35:$G$35,0)),0)</f>
        <v>258</v>
      </c>
      <c r="BY64" s="33">
        <f>ROUND(坦克等级成长!$D161*VLOOKUP($BV$2,坦克等级成长!$B$36:$G$42,MATCH(BY$3,坦克等级成长!$B$35:$G$35,0)),0)</f>
        <v>994</v>
      </c>
      <c r="BZ64" s="33">
        <f t="shared" si="38"/>
        <v>994</v>
      </c>
      <c r="CA64" s="33">
        <v>797.25</v>
      </c>
      <c r="CB64" s="33">
        <f>ROUND(坦克等级成长!$D161*VLOOKUP($BV$2,坦克等级成长!$B$36:$G$42,MATCH(CB$3,坦克等级成长!$B$35:$G$35,0)),0)</f>
        <v>1253</v>
      </c>
      <c r="CC64" s="33">
        <f>ROUND(坦克等级成长!$D161*VLOOKUP($BV$2,坦克等级成长!$B$36:$G$42,MATCH(CC$3,坦克等级成长!$B$35:$G$35,0)),0)</f>
        <v>300</v>
      </c>
      <c r="CD64" s="199">
        <v>11</v>
      </c>
      <c r="CE64" s="33">
        <f>ROUND(坦克等级成长!$F161*VLOOKUP($BV$2,坦克等级成长!$B$36:$G$42,MATCH(CE$3,坦克等级成长!$B$35:$G$35,0)),0)</f>
        <v>3048</v>
      </c>
      <c r="CF64" s="33">
        <f>ROUND(坦克等级成长!$F161*VLOOKUP($BV$2,坦克等级成长!$B$36:$G$42,MATCH(CF$3,坦克等级成长!$B$35:$G$35,0)),0)</f>
        <v>262</v>
      </c>
      <c r="CG64" s="33">
        <f>ROUND(坦克等级成长!$F161*VLOOKUP($BV$2,坦克等级成长!$B$36:$G$42,MATCH(CG$3,坦克等级成长!$B$35:$G$35,0)),0)</f>
        <v>1009</v>
      </c>
      <c r="CH64" s="33">
        <f t="shared" si="10"/>
        <v>1009</v>
      </c>
      <c r="CI64" s="33">
        <v>818</v>
      </c>
      <c r="CJ64" s="33">
        <f>ROUND(坦克等级成长!$F161*VLOOKUP($BV$2,坦克等级成长!$B$36:$G$42,MATCH(CJ$3,坦克等级成长!$B$35:$G$35,0)),0)</f>
        <v>1271</v>
      </c>
      <c r="CK64" s="33">
        <f>ROUND(坦克等级成长!$F161*VLOOKUP($BV$2,坦克等级成长!$B$36:$G$42,MATCH(CK$3,坦克等级成长!$B$35:$G$35,0)),0)</f>
        <v>305</v>
      </c>
      <c r="CL64" s="192">
        <v>11</v>
      </c>
      <c r="CM64" s="33">
        <f>ROUND(坦克等级成长!$H161*VLOOKUP($BV$2,坦克等级成长!$B$36:$G$42,MATCH(CM$3,坦克等级成长!$B$35:$G$35,0)),0)</f>
        <v>3091</v>
      </c>
      <c r="CN64" s="33">
        <f>ROUND(坦克等级成长!$H161*VLOOKUP($BV$2,坦克等级成长!$B$36:$G$42,MATCH(CN$3,坦克等级成长!$B$35:$G$35,0)),0)</f>
        <v>266</v>
      </c>
      <c r="CO64" s="33">
        <f>ROUND(坦克等级成长!$H161*VLOOKUP($BV$2,坦克等级成长!$B$36:$G$42,MATCH(CO$3,坦克等级成长!$B$35:$G$35,0)),0)</f>
        <v>1023</v>
      </c>
      <c r="CP64" s="33">
        <f t="shared" si="24"/>
        <v>1023</v>
      </c>
      <c r="CQ64" s="33">
        <v>818</v>
      </c>
      <c r="CR64" s="33">
        <f>ROUND(坦克等级成长!$H161*VLOOKUP($BV$2,坦克等级成长!$B$36:$G$42,MATCH(CR$3,坦克等级成长!$B$35:$G$35,0)),0)</f>
        <v>1289</v>
      </c>
      <c r="CS64" s="33">
        <f>ROUND(坦克等级成长!$H161*VLOOKUP($BV$2,坦克等级成长!$B$36:$G$42,MATCH(CS$3,坦克等级成长!$B$35:$G$35,0)),0)</f>
        <v>309</v>
      </c>
      <c r="CT64" s="192">
        <v>11</v>
      </c>
      <c r="CU64" s="33">
        <f>ROUND(坦克等级成长!$D161*VLOOKUP($CT$2,坦克等级成长!$B$36:$G$42,MATCH(CU$3,坦克等级成长!$B$35:$G$35,0)),0)</f>
        <v>2784</v>
      </c>
      <c r="CV64" s="33">
        <f>ROUND(坦克等级成长!$D161*VLOOKUP($CT$2,坦克等级成长!$B$36:$G$42,MATCH(CV$3,坦克等级成长!$B$35:$G$35,0)),0)</f>
        <v>560</v>
      </c>
      <c r="CW64" s="33">
        <f>ROUND(坦克等级成长!$D161*VLOOKUP($CT$2,坦克等级成长!$B$36:$G$42,MATCH(CW$3,坦克等级成长!$B$35:$G$35,0)),0)</f>
        <v>1243</v>
      </c>
      <c r="CX64" s="33">
        <f t="shared" si="39"/>
        <v>1243</v>
      </c>
      <c r="CY64" s="33">
        <v>996.75</v>
      </c>
      <c r="CZ64" s="33">
        <f>ROUND(坦克等级成长!$D161*VLOOKUP($CT$2,坦克等级成长!$B$36:$G$42,MATCH(CZ$3,坦克等级成长!$B$35:$G$35,0)),0)</f>
        <v>1044</v>
      </c>
      <c r="DA64" s="33">
        <f>ROUND(坦克等级成长!$D161*VLOOKUP($CT$2,坦克等级成长!$B$36:$G$42,MATCH(DA$3,坦克等级成长!$B$35:$G$35,0)),0)</f>
        <v>278</v>
      </c>
      <c r="DB64" s="199">
        <v>11</v>
      </c>
      <c r="DC64" s="33">
        <f>ROUND(坦克等级成长!$F161*VLOOKUP($CT$2,坦克等级成长!$B$36:$G$42,MATCH(DC$3,坦克等级成长!$B$35:$G$35,0)),0)</f>
        <v>2824</v>
      </c>
      <c r="DD64" s="33">
        <f>ROUND(坦克等级成长!$F161*VLOOKUP($CT$2,坦克等级成长!$B$36:$G$42,MATCH(DD$3,坦克等级成长!$B$35:$G$35,0)),0)</f>
        <v>568</v>
      </c>
      <c r="DE64" s="33">
        <f>ROUND(坦克等级成长!$F161*VLOOKUP($CT$2,坦克等级成长!$B$36:$G$42,MATCH(DE$3,坦克等级成长!$B$35:$G$35,0)),0)</f>
        <v>1261</v>
      </c>
      <c r="DF64" s="33">
        <f t="shared" si="11"/>
        <v>1261</v>
      </c>
      <c r="DG64" s="33">
        <v>1023</v>
      </c>
      <c r="DH64" s="33">
        <f>ROUND(坦克等级成长!$F161*VLOOKUP($CT$2,坦克等级成长!$B$36:$G$42,MATCH(DH$3,坦克等级成长!$B$35:$G$35,0)),0)</f>
        <v>1059</v>
      </c>
      <c r="DI64" s="33">
        <f>ROUND(坦克等级成长!$F161*VLOOKUP($CT$2,坦克等级成长!$B$36:$G$42,MATCH(DI$3,坦克等级成长!$B$35:$G$35,0)),0)</f>
        <v>282</v>
      </c>
      <c r="DJ64" s="192">
        <v>11</v>
      </c>
      <c r="DK64" s="33">
        <f>ROUND(坦克等级成长!$H161*VLOOKUP($CT$2,坦克等级成长!$B$36:$G$42,MATCH(DK$3,坦克等级成长!$B$35:$G$35,0)),0)</f>
        <v>2864</v>
      </c>
      <c r="DL64" s="33">
        <f>ROUND(坦克等级成长!$H161*VLOOKUP($CT$2,坦克等级成长!$B$36:$G$42,MATCH(DL$3,坦克等级成长!$B$35:$G$35,0)),0)</f>
        <v>577</v>
      </c>
      <c r="DM64" s="33">
        <f>ROUND(坦克等级成长!$H161*VLOOKUP($CT$2,坦克等级成长!$B$36:$G$42,MATCH(DM$3,坦克等级成长!$B$35:$G$35,0)),0)</f>
        <v>1279</v>
      </c>
      <c r="DN64" s="33">
        <f t="shared" si="25"/>
        <v>1279</v>
      </c>
      <c r="DO64" s="33">
        <v>1023</v>
      </c>
      <c r="DP64" s="33">
        <f>ROUND(坦克等级成长!$H161*VLOOKUP($CT$2,坦克等级成长!$B$36:$G$42,MATCH(DP$3,坦克等级成长!$B$35:$G$35,0)),0)</f>
        <v>1074</v>
      </c>
      <c r="DQ64" s="33">
        <f>ROUND(坦克等级成长!$H161*VLOOKUP($CT$2,坦克等级成长!$B$36:$G$42,MATCH(DQ$3,坦克等级成长!$B$35:$G$35,0)),0)</f>
        <v>286</v>
      </c>
      <c r="DR64" s="192">
        <v>11</v>
      </c>
      <c r="DS64" s="33">
        <f>ROUND(坦克等级成长!$D161*VLOOKUP($DR$2,坦克等级成长!$B$36:$G$42,MATCH(DS$3,坦克等级成长!$B$35:$G$35,0)),0)</f>
        <v>3406</v>
      </c>
      <c r="DT64" s="33">
        <f>ROUND(坦克等级成长!$D161*VLOOKUP($DR$2,坦克等级成长!$B$36:$G$42,MATCH(DT$3,坦克等级成长!$B$35:$G$35,0)),0)</f>
        <v>933</v>
      </c>
      <c r="DU64" s="33">
        <f>ROUND(坦克等级成长!$D161*VLOOKUP($DR$2,坦克等级成长!$B$36:$G$42,MATCH(DU$3,坦克等级成长!$B$35:$G$35,0)),0)</f>
        <v>994</v>
      </c>
      <c r="DV64" s="33">
        <f t="shared" si="40"/>
        <v>994</v>
      </c>
      <c r="DW64" s="33">
        <v>850.4</v>
      </c>
      <c r="DX64" s="33">
        <f>ROUND(坦克等级成长!$D161*VLOOKUP($DR$2,坦克等级成长!$B$36:$G$42,MATCH(DX$3,坦克等级成长!$B$35:$G$35,0)),0)</f>
        <v>1462</v>
      </c>
      <c r="DY64" s="33">
        <f>ROUND(坦克等级成长!$D161*VLOOKUP($DR$2,坦克等级成长!$B$36:$G$42,MATCH(DY$3,坦克等级成长!$B$35:$G$35,0)),0)</f>
        <v>341</v>
      </c>
      <c r="DZ64" s="199">
        <v>11</v>
      </c>
      <c r="EA64" s="33">
        <f>ROUND(坦克等级成长!$F161*VLOOKUP($DR$2,坦克等级成长!$B$36:$G$42,MATCH(EA$3,坦克等级成长!$B$35:$G$35,0)),0)</f>
        <v>3455</v>
      </c>
      <c r="EB64" s="33">
        <f>ROUND(坦克等级成长!$F161*VLOOKUP($DR$2,坦克等级成长!$B$36:$G$42,MATCH(EB$3,坦克等级成长!$B$35:$G$35,0)),0)</f>
        <v>946</v>
      </c>
      <c r="EC64" s="33">
        <f>ROUND(坦克等级成长!$F161*VLOOKUP($DR$2,坦克等级成长!$B$36:$G$42,MATCH(EC$3,坦克等级成长!$B$35:$G$35,0)),0)</f>
        <v>1009</v>
      </c>
      <c r="ED64" s="33">
        <f t="shared" si="12"/>
        <v>1009</v>
      </c>
      <c r="EE64" s="33">
        <v>873</v>
      </c>
      <c r="EF64" s="33">
        <f>ROUND(坦克等级成长!$F161*VLOOKUP($DR$2,坦克等级成长!$B$36:$G$42,MATCH(EF$3,坦克等级成长!$B$35:$G$35,0)),0)</f>
        <v>1483</v>
      </c>
      <c r="EG64" s="33">
        <f>ROUND(坦克等级成长!$F161*VLOOKUP($DR$2,坦克等级成长!$B$36:$G$42,MATCH(EG$3,坦克等级成长!$B$35:$G$35,0)),0)</f>
        <v>345</v>
      </c>
      <c r="EH64" s="192">
        <v>11</v>
      </c>
      <c r="EI64" s="33">
        <f>ROUND(坦克等级成长!$H161*VLOOKUP($DR$2,坦克等级成长!$B$36:$G$42,MATCH(EI$3,坦克等级成长!$B$35:$G$35,0)),0)</f>
        <v>3504</v>
      </c>
      <c r="EJ64" s="33">
        <f>ROUND(坦克等级成长!$H161*VLOOKUP($DR$2,坦克等级成长!$B$36:$G$42,MATCH(EJ$3,坦克等级成长!$B$35:$G$35,0)),0)</f>
        <v>960</v>
      </c>
      <c r="EK64" s="33">
        <f>ROUND(坦克等级成长!$H161*VLOOKUP($DR$2,坦克等级成长!$B$36:$G$42,MATCH(EK$3,坦克等级成长!$B$35:$G$35,0)),0)</f>
        <v>1023</v>
      </c>
      <c r="EL64" s="33">
        <f t="shared" si="26"/>
        <v>1023</v>
      </c>
      <c r="EM64" s="33">
        <v>873</v>
      </c>
      <c r="EN64" s="33">
        <f>ROUND(坦克等级成长!$H161*VLOOKUP($DR$2,坦克等级成长!$B$36:$G$42,MATCH(EN$3,坦克等级成长!$B$35:$G$35,0)),0)</f>
        <v>1504</v>
      </c>
      <c r="EO64" s="33">
        <f>ROUND(坦克等级成长!$H161*VLOOKUP($DR$2,坦克等级成长!$B$36:$G$42,MATCH(EO$3,坦克等级成长!$B$35:$G$35,0)),0)</f>
        <v>350</v>
      </c>
      <c r="EP64" s="192">
        <v>11</v>
      </c>
      <c r="EQ64" s="33">
        <f>ROUND(坦克等级成长!$D161*VLOOKUP($EP$2,坦克等级成长!$B$36:$G$42,MATCH(EQ$3,坦克等级成长!$B$35:$G$35,0)),0)</f>
        <v>3005</v>
      </c>
      <c r="ER64" s="33">
        <f>ROUND(坦克等级成长!$D161*VLOOKUP($EP$2,坦克等级成长!$B$36:$G$42,MATCH(ER$3,坦克等级成长!$B$35:$G$35,0)),0)</f>
        <v>310</v>
      </c>
      <c r="ES64" s="33">
        <f>ROUND(坦克等级成长!$D161*VLOOKUP($EP$2,坦克等级成长!$B$36:$G$42,MATCH(ES$3,坦克等级成长!$B$35:$G$35,0)),0)</f>
        <v>1143</v>
      </c>
      <c r="ET64" s="33">
        <f t="shared" si="41"/>
        <v>1143</v>
      </c>
      <c r="EU64" s="33">
        <v>916.5</v>
      </c>
      <c r="EV64" s="33">
        <f>ROUND(坦克等级成长!$D161*VLOOKUP($EP$2,坦克等级成长!$B$36:$G$42,MATCH(EV$3,坦克等级成长!$B$35:$G$35,0)),0)</f>
        <v>1253</v>
      </c>
      <c r="EW64" s="33">
        <f>ROUND(坦克等级成长!$D161*VLOOKUP($EP$2,坦克等级成长!$B$36:$G$42,MATCH(EW$3,坦克等级成长!$B$35:$G$35,0)),0)</f>
        <v>300</v>
      </c>
      <c r="EX64" s="199">
        <v>11</v>
      </c>
      <c r="EY64" s="33">
        <f>ROUND(坦克等级成长!$F161*VLOOKUP($EP$2,坦克等级成长!$B$36:$G$42,MATCH(EY$3,坦克等级成长!$B$35:$G$35,0)),0)</f>
        <v>3048</v>
      </c>
      <c r="EZ64" s="33">
        <f>ROUND(坦克等级成长!$F161*VLOOKUP($EP$2,坦克等级成长!$B$36:$G$42,MATCH(EZ$3,坦克等级成长!$B$35:$G$35,0)),0)</f>
        <v>314</v>
      </c>
      <c r="FA64" s="33">
        <f>ROUND(坦克等级成长!$F161*VLOOKUP($EP$2,坦克等级成长!$B$36:$G$42,MATCH(FA$3,坦克等级成长!$B$35:$G$35,0)),0)</f>
        <v>1160</v>
      </c>
      <c r="FB64" s="33">
        <f t="shared" si="13"/>
        <v>1160</v>
      </c>
      <c r="FC64" s="33">
        <v>941</v>
      </c>
      <c r="FD64" s="33">
        <f>ROUND(坦克等级成长!$F161*VLOOKUP($EP$2,坦克等级成长!$B$36:$G$42,MATCH(FD$3,坦克等级成长!$B$35:$G$35,0)),0)</f>
        <v>1271</v>
      </c>
      <c r="FE64" s="33">
        <f>ROUND(坦克等级成长!$F161*VLOOKUP($EP$2,坦克等级成长!$B$36:$G$42,MATCH(FE$3,坦克等级成长!$B$35:$G$35,0)),0)</f>
        <v>305</v>
      </c>
      <c r="FF64" s="192">
        <v>11</v>
      </c>
      <c r="FG64" s="33">
        <f>ROUND(坦克等级成长!$H161*VLOOKUP($EP$2,坦克等级成长!$B$36:$G$42,MATCH(FG$3,坦克等级成长!$B$35:$G$35,0)),0)</f>
        <v>3091</v>
      </c>
      <c r="FH64" s="33">
        <f>ROUND(坦克等级成长!$H161*VLOOKUP($EP$2,坦克等级成长!$B$36:$G$42,MATCH(FH$3,坦克等级成长!$B$35:$G$35,0)),0)</f>
        <v>318</v>
      </c>
      <c r="FI64" s="33">
        <f>ROUND(坦克等级成长!$H161*VLOOKUP($EP$2,坦克等级成长!$B$36:$G$42,MATCH(FI$3,坦克等级成长!$B$35:$G$35,0)),0)</f>
        <v>1176</v>
      </c>
      <c r="FJ64" s="33">
        <f t="shared" si="27"/>
        <v>1176</v>
      </c>
      <c r="FK64" s="33">
        <v>941</v>
      </c>
      <c r="FL64" s="33">
        <f>ROUND(坦克等级成长!$H161*VLOOKUP($EP$2,坦克等级成长!$B$36:$G$42,MATCH(FL$3,坦克等级成长!$B$35:$G$35,0)),0)</f>
        <v>1289</v>
      </c>
      <c r="FM64" s="33">
        <f>ROUND(坦克等级成长!$H161*VLOOKUP($EP$2,坦克等级成长!$B$36:$G$42,MATCH(FM$3,坦克等级成长!$B$35:$G$35,0)),0)</f>
        <v>309</v>
      </c>
    </row>
    <row r="65" spans="1:169" ht="14.25" x14ac:dyDescent="0.3">
      <c r="A65" s="189">
        <v>5</v>
      </c>
      <c r="B65" s="192">
        <v>12</v>
      </c>
      <c r="C65" s="33">
        <f>ROUND(坦克等级成长!$D162*VLOOKUP($B$2,坦克等级成长!$B$36:$G$42,MATCH(C$3,坦克等级成长!$B$35:$G$35,0)),0)</f>
        <v>2872</v>
      </c>
      <c r="D65" s="33">
        <f>ROUND(坦克等级成长!$D162*VLOOKUP($B$2,坦克等级成长!$B$36:$G$42,MATCH(D$3,坦克等级成长!$B$35:$G$35,0)),0)</f>
        <v>286</v>
      </c>
      <c r="E65" s="33">
        <f>ROUND(坦克等级成长!$D162*VLOOKUP($B$2,坦克等级成长!$B$36:$G$42,MATCH(E$3,坦克等级成长!$B$35:$G$35,0)),0)</f>
        <v>1077</v>
      </c>
      <c r="F65" s="33">
        <f t="shared" si="35"/>
        <v>1077</v>
      </c>
      <c r="G65" s="33">
        <v>806.4</v>
      </c>
      <c r="H65" s="33">
        <f>ROUND(坦克等级成长!$D162*VLOOKUP($B$2,坦克等级成长!$B$36:$G$42,MATCH(H$3,坦克等级成长!$B$35:$G$35,0)),0)</f>
        <v>1077</v>
      </c>
      <c r="I65" s="33">
        <f>ROUND(坦克等级成长!$D162*VLOOKUP($B$2,坦克等级成长!$B$36:$G$42,MATCH(I$3,坦克等级成长!$B$35:$G$35,0)),0)</f>
        <v>287</v>
      </c>
      <c r="J65" s="199">
        <v>12</v>
      </c>
      <c r="K65" s="33">
        <f>ROUND(坦克等级成长!$F162*VLOOKUP($B$2,坦克等级成长!$B$36:$G$42,MATCH(K$3,坦克等级成长!$B$35:$G$35,0)),0)</f>
        <v>2912</v>
      </c>
      <c r="L65" s="33">
        <f>ROUND(坦克等级成长!$F162*VLOOKUP($B$2,坦克等级成长!$B$36:$G$42,MATCH(L$3,坦克等级成长!$B$35:$G$35,0)),0)</f>
        <v>290</v>
      </c>
      <c r="M65" s="33">
        <f>ROUND(坦克等级成长!$F162*VLOOKUP($B$2,坦克等级成长!$B$36:$G$42,MATCH(M$3,坦克等级成长!$B$35:$G$35,0)),0)</f>
        <v>1092</v>
      </c>
      <c r="N65" s="33">
        <f t="shared" si="7"/>
        <v>1092</v>
      </c>
      <c r="O65" s="33">
        <v>827</v>
      </c>
      <c r="P65" s="33">
        <f>ROUND(坦克等级成长!$F162*VLOOKUP($B$2,坦克等级成长!$B$36:$G$42,MATCH(P$3,坦克等级成长!$B$35:$G$35,0)),0)</f>
        <v>1092</v>
      </c>
      <c r="Q65" s="33">
        <f>ROUND(坦克等级成长!$F162*VLOOKUP($B$2,坦克等级成长!$B$36:$G$42,MATCH(Q$3,坦克等级成长!$B$35:$G$35,0)),0)</f>
        <v>291</v>
      </c>
      <c r="R65" s="192">
        <v>12</v>
      </c>
      <c r="S65" s="33">
        <f>ROUND(坦克等级成长!$H162*VLOOKUP($B$2,坦克等级成长!$B$36:$G$42,MATCH(S$3,坦克等级成长!$B$35:$G$35,0)),0)</f>
        <v>2952</v>
      </c>
      <c r="T65" s="33">
        <f>ROUND(坦克等级成长!$H162*VLOOKUP($B$2,坦克等级成长!$B$36:$G$42,MATCH(T$3,坦克等级成长!$B$35:$G$35,0)),0)</f>
        <v>294</v>
      </c>
      <c r="U65" s="33">
        <f>ROUND(坦克等级成长!$H162*VLOOKUP($B$2,坦克等级成长!$B$36:$G$42,MATCH(U$3,坦克等级成长!$B$35:$G$35,0)),0)</f>
        <v>1107</v>
      </c>
      <c r="V65" s="33">
        <f t="shared" si="21"/>
        <v>1107</v>
      </c>
      <c r="W65" s="33">
        <v>827</v>
      </c>
      <c r="X65" s="33">
        <f>ROUND(坦克等级成长!$H162*VLOOKUP($B$2,坦克等级成长!$B$36:$G$42,MATCH(X$3,坦克等级成长!$B$35:$G$35,0)),0)</f>
        <v>1107</v>
      </c>
      <c r="Y65" s="33">
        <f>ROUND(坦克等级成长!$H162*VLOOKUP($B$2,坦克等级成长!$B$36:$G$42,MATCH(Y$3,坦克等级成长!$B$35:$G$35,0)),0)</f>
        <v>295</v>
      </c>
      <c r="Z65" s="192">
        <v>12</v>
      </c>
      <c r="AA65" s="33">
        <f>ROUND(坦克等级成长!$D162*VLOOKUP($Z$2,坦克等级成长!$B$36:$G$42,MATCH(AA$3,坦克等级成长!$B$35:$G$35,0)),0)</f>
        <v>2872</v>
      </c>
      <c r="AB65" s="33">
        <f>ROUND(坦克等级成长!$D162*VLOOKUP($Z$2,坦克等级成长!$B$36:$G$42,MATCH(AB$3,坦克等级成长!$B$35:$G$35,0)),0)</f>
        <v>152</v>
      </c>
      <c r="AC65" s="33">
        <f>ROUND(坦克等级成长!$D162*VLOOKUP($Z$2,坦克等级成长!$B$36:$G$42,MATCH(AC$3,坦克等级成长!$B$35:$G$35,0)),0)</f>
        <v>1180</v>
      </c>
      <c r="AD65" s="33">
        <f t="shared" si="36"/>
        <v>1180</v>
      </c>
      <c r="AE65" s="33">
        <v>883.4</v>
      </c>
      <c r="AF65" s="33">
        <f>ROUND(坦克等级成长!$D162*VLOOKUP($Z$2,坦克等级成长!$B$36:$G$42,MATCH(AF$3,坦克等级成长!$B$35:$G$35,0)),0)</f>
        <v>1077</v>
      </c>
      <c r="AG65" s="33">
        <f>ROUND(坦克等级成长!$D162*VLOOKUP($Z$2,坦克等级成长!$B$36:$G$42,MATCH(AG$3,坦克等级成长!$B$35:$G$35,0)),0)</f>
        <v>287</v>
      </c>
      <c r="AH65" s="199">
        <v>12</v>
      </c>
      <c r="AI65" s="33">
        <f>ROUND(坦克等级成长!$F162*VLOOKUP($Z$2,坦克等级成长!$B$36:$G$42,MATCH(AI$3,坦克等级成长!$B$35:$G$35,0)),0)</f>
        <v>2912</v>
      </c>
      <c r="AJ65" s="33">
        <f>ROUND(坦克等级成长!$F162*VLOOKUP($Z$2,坦克等级成长!$B$36:$G$42,MATCH(AJ$3,坦克等级成长!$B$35:$G$35,0)),0)</f>
        <v>155</v>
      </c>
      <c r="AK65" s="33">
        <f>ROUND(坦克等级成长!$F162*VLOOKUP($Z$2,坦克等级成长!$B$36:$G$42,MATCH(AK$3,坦克等级成长!$B$35:$G$35,0)),0)</f>
        <v>1196</v>
      </c>
      <c r="AL65" s="33">
        <f t="shared" si="8"/>
        <v>1196</v>
      </c>
      <c r="AM65" s="33">
        <v>907</v>
      </c>
      <c r="AN65" s="33">
        <f>ROUND(坦克等级成长!$F162*VLOOKUP($Z$2,坦克等级成长!$B$36:$G$42,MATCH(AN$3,坦克等级成长!$B$35:$G$35,0)),0)</f>
        <v>1092</v>
      </c>
      <c r="AO65" s="33">
        <f>ROUND(坦克等级成长!$F162*VLOOKUP($Z$2,坦克等级成长!$B$36:$G$42,MATCH(AO$3,坦克等级成长!$B$35:$G$35,0)),0)</f>
        <v>291</v>
      </c>
      <c r="AP65" s="192">
        <v>12</v>
      </c>
      <c r="AQ65" s="33">
        <f>ROUND(坦克等级成长!$H162*VLOOKUP($Z$2,坦克等级成长!$B$36:$G$42,MATCH(AQ$3,坦克等级成长!$B$35:$G$35,0)),0)</f>
        <v>2952</v>
      </c>
      <c r="AR65" s="33">
        <f>ROUND(坦克等级成长!$H162*VLOOKUP($Z$2,坦克等级成长!$B$36:$G$42,MATCH(AR$3,坦克等级成长!$B$35:$G$35,0)),0)</f>
        <v>157</v>
      </c>
      <c r="AS65" s="33">
        <f>ROUND(坦克等级成长!$H162*VLOOKUP($Z$2,坦克等级成长!$B$36:$G$42,MATCH(AS$3,坦克等级成长!$B$35:$G$35,0)),0)</f>
        <v>1212</v>
      </c>
      <c r="AT65" s="33">
        <f t="shared" si="22"/>
        <v>1212</v>
      </c>
      <c r="AU65" s="33">
        <v>907</v>
      </c>
      <c r="AV65" s="33">
        <f>ROUND(坦克等级成长!$H162*VLOOKUP($Z$2,坦克等级成长!$B$36:$G$42,MATCH(AV$3,坦克等级成长!$B$35:$G$35,0)),0)</f>
        <v>1107</v>
      </c>
      <c r="AW65" s="33">
        <f>ROUND(坦克等级成长!$H162*VLOOKUP($Z$2,坦克等级成长!$B$36:$G$42,MATCH(AW$3,坦克等级成长!$B$35:$G$35,0)),0)</f>
        <v>295</v>
      </c>
      <c r="AX65" s="192">
        <v>12</v>
      </c>
      <c r="AY65" s="33">
        <f>ROUND(坦克等级成长!$D162*VLOOKUP($AX$2,坦克等级成长!$B$36:$G$42,MATCH(AY$3,坦克等级成长!$B$35:$G$35,0)),0)</f>
        <v>2872</v>
      </c>
      <c r="AZ65" s="33">
        <f>ROUND(坦克等级成长!$D162*VLOOKUP($AX$2,坦克等级成长!$B$36:$G$42,MATCH(AZ$3,坦克等级成长!$B$35:$G$35,0)),0)</f>
        <v>286</v>
      </c>
      <c r="BA65" s="33">
        <f>ROUND(坦克等级成长!$D162*VLOOKUP($AX$2,坦克等级成长!$B$36:$G$42,MATCH(BA$3,坦克等级成长!$B$35:$G$35,0)),0)</f>
        <v>1077</v>
      </c>
      <c r="BB65" s="33">
        <f t="shared" si="37"/>
        <v>1077</v>
      </c>
      <c r="BC65" s="33">
        <v>806.4</v>
      </c>
      <c r="BD65" s="33">
        <f>ROUND(坦克等级成长!$D162*VLOOKUP($AX$2,坦克等级成长!$B$36:$G$42,MATCH(BD$3,坦克等级成长!$B$35:$G$35,0)),0)</f>
        <v>1077</v>
      </c>
      <c r="BE65" s="33">
        <f>ROUND(坦克等级成长!$D162*VLOOKUP($AX$2,坦克等级成长!$B$36:$G$42,MATCH(BE$3,坦克等级成长!$B$35:$G$35,0)),0)</f>
        <v>287</v>
      </c>
      <c r="BF65" s="199">
        <v>12</v>
      </c>
      <c r="BG65" s="33">
        <f>ROUND(坦克等级成长!$F162*VLOOKUP($AX$2,坦克等级成长!$B$36:$G$42,MATCH(BG$3,坦克等级成长!$B$35:$G$35,0)),0)</f>
        <v>2912</v>
      </c>
      <c r="BH65" s="33">
        <f>ROUND(坦克等级成长!$F162*VLOOKUP($AX$2,坦克等级成长!$B$36:$G$42,MATCH(BH$3,坦克等级成长!$B$35:$G$35,0)),0)</f>
        <v>290</v>
      </c>
      <c r="BI65" s="33">
        <f>ROUND(坦克等级成长!$F162*VLOOKUP($AX$2,坦克等级成长!$B$36:$G$42,MATCH(BI$3,坦克等级成长!$B$35:$G$35,0)),0)</f>
        <v>1092</v>
      </c>
      <c r="BJ65" s="33">
        <f t="shared" si="9"/>
        <v>1092</v>
      </c>
      <c r="BK65" s="33">
        <v>827</v>
      </c>
      <c r="BL65" s="33">
        <f>ROUND(坦克等级成长!$F162*VLOOKUP($AX$2,坦克等级成长!$B$36:$G$42,MATCH(BL$3,坦克等级成长!$B$35:$G$35,0)),0)</f>
        <v>1092</v>
      </c>
      <c r="BM65" s="33">
        <f>ROUND(坦克等级成长!$F162*VLOOKUP($AX$2,坦克等级成长!$B$36:$G$42,MATCH(BM$3,坦克等级成长!$B$35:$G$35,0)),0)</f>
        <v>291</v>
      </c>
      <c r="BN65" s="192">
        <v>12</v>
      </c>
      <c r="BO65" s="33">
        <f>ROUND(坦克等级成长!$H162*VLOOKUP($AX$2,坦克等级成长!$B$36:$G$42,MATCH(BO$3,坦克等级成长!$B$35:$G$35,0)),0)</f>
        <v>2952</v>
      </c>
      <c r="BP65" s="33">
        <f>ROUND(坦克等级成长!$H162*VLOOKUP($AX$2,坦克等级成长!$B$36:$G$42,MATCH(BP$3,坦克等级成长!$B$35:$G$35,0)),0)</f>
        <v>294</v>
      </c>
      <c r="BQ65" s="33">
        <f>ROUND(坦克等级成长!$H162*VLOOKUP($AX$2,坦克等级成长!$B$36:$G$42,MATCH(BQ$3,坦克等级成长!$B$35:$G$35,0)),0)</f>
        <v>1107</v>
      </c>
      <c r="BR65" s="33">
        <f t="shared" si="23"/>
        <v>1107</v>
      </c>
      <c r="BS65" s="33">
        <v>827</v>
      </c>
      <c r="BT65" s="33">
        <f>ROUND(坦克等级成长!$H162*VLOOKUP($AX$2,坦克等级成长!$B$36:$G$42,MATCH(BT$3,坦克等级成长!$B$35:$G$35,0)),0)</f>
        <v>1107</v>
      </c>
      <c r="BU65" s="33">
        <f>ROUND(坦克等级成长!$H162*VLOOKUP($AX$2,坦克等级成长!$B$36:$G$42,MATCH(BU$3,坦克等级成长!$B$35:$G$35,0)),0)</f>
        <v>295</v>
      </c>
      <c r="BV65" s="192">
        <v>12</v>
      </c>
      <c r="BW65" s="33">
        <f>ROUND(坦克等级成长!$D162*VLOOKUP($BV$2,坦克等级成长!$B$36:$G$42,MATCH(BW$3,坦克等级成长!$B$35:$G$35,0)),0)</f>
        <v>3100</v>
      </c>
      <c r="BX65" s="33">
        <f>ROUND(坦克等级成长!$D162*VLOOKUP($BV$2,坦克等级成长!$B$36:$G$42,MATCH(BX$3,坦克等级成长!$B$35:$G$35,0)),0)</f>
        <v>266</v>
      </c>
      <c r="BY65" s="33">
        <f>ROUND(坦克等级成长!$D162*VLOOKUP($BV$2,坦克等级成长!$B$36:$G$42,MATCH(BY$3,坦克等级成长!$B$35:$G$35,0)),0)</f>
        <v>1026</v>
      </c>
      <c r="BZ65" s="33">
        <f t="shared" si="38"/>
        <v>1026</v>
      </c>
      <c r="CA65" s="33">
        <v>822.75</v>
      </c>
      <c r="CB65" s="33">
        <f>ROUND(坦克等级成长!$D162*VLOOKUP($BV$2,坦克等级成长!$B$36:$G$42,MATCH(CB$3,坦克等级成长!$B$35:$G$35,0)),0)</f>
        <v>1292</v>
      </c>
      <c r="CC65" s="33">
        <f>ROUND(坦克等级成长!$D162*VLOOKUP($BV$2,坦克等级成长!$B$36:$G$42,MATCH(CC$3,坦克等级成长!$B$35:$G$35,0)),0)</f>
        <v>310</v>
      </c>
      <c r="CD65" s="199">
        <v>12</v>
      </c>
      <c r="CE65" s="33">
        <f>ROUND(坦克等级成长!$F162*VLOOKUP($BV$2,坦克等级成长!$B$36:$G$42,MATCH(CE$3,坦克等级成长!$B$35:$G$35,0)),0)</f>
        <v>3143</v>
      </c>
      <c r="CF65" s="33">
        <f>ROUND(坦克等级成长!$F162*VLOOKUP($BV$2,坦克等级成长!$B$36:$G$42,MATCH(CF$3,坦克等级成长!$B$35:$G$35,0)),0)</f>
        <v>270</v>
      </c>
      <c r="CG65" s="33">
        <f>ROUND(坦克等级成长!$F162*VLOOKUP($BV$2,坦克等级成长!$B$36:$G$42,MATCH(CG$3,坦克等级成长!$B$35:$G$35,0)),0)</f>
        <v>1040</v>
      </c>
      <c r="CH65" s="33">
        <f t="shared" si="10"/>
        <v>1040</v>
      </c>
      <c r="CI65" s="33">
        <v>845</v>
      </c>
      <c r="CJ65" s="33">
        <f>ROUND(坦克等级成长!$F162*VLOOKUP($BV$2,坦克等级成长!$B$36:$G$42,MATCH(CJ$3,坦克等级成长!$B$35:$G$35,0)),0)</f>
        <v>1310</v>
      </c>
      <c r="CK65" s="33">
        <f>ROUND(坦克等级成长!$F162*VLOOKUP($BV$2,坦克等级成长!$B$36:$G$42,MATCH(CK$3,坦克等级成长!$B$35:$G$35,0)),0)</f>
        <v>314</v>
      </c>
      <c r="CL65" s="192">
        <v>12</v>
      </c>
      <c r="CM65" s="33">
        <f>ROUND(坦克等级成长!$H162*VLOOKUP($BV$2,坦克等级成长!$B$36:$G$42,MATCH(CM$3,坦克等级成长!$B$35:$G$35,0)),0)</f>
        <v>3186</v>
      </c>
      <c r="CN65" s="33">
        <f>ROUND(坦克等级成长!$H162*VLOOKUP($BV$2,坦克等级成长!$B$36:$G$42,MATCH(CN$3,坦克等级成长!$B$35:$G$35,0)),0)</f>
        <v>274</v>
      </c>
      <c r="CO65" s="33">
        <f>ROUND(坦克等级成长!$H162*VLOOKUP($BV$2,坦克等级成长!$B$36:$G$42,MATCH(CO$3,坦克等级成长!$B$35:$G$35,0)),0)</f>
        <v>1054</v>
      </c>
      <c r="CP65" s="33">
        <f t="shared" si="24"/>
        <v>1054</v>
      </c>
      <c r="CQ65" s="33">
        <v>845</v>
      </c>
      <c r="CR65" s="33">
        <f>ROUND(坦克等级成长!$H162*VLOOKUP($BV$2,坦克等级成长!$B$36:$G$42,MATCH(CR$3,坦克等级成长!$B$35:$G$35,0)),0)</f>
        <v>1328</v>
      </c>
      <c r="CS65" s="33">
        <f>ROUND(坦克等级成长!$H162*VLOOKUP($BV$2,坦克等级成长!$B$36:$G$42,MATCH(CS$3,坦克等级成长!$B$35:$G$35,0)),0)</f>
        <v>319</v>
      </c>
      <c r="CT65" s="192">
        <v>12</v>
      </c>
      <c r="CU65" s="33">
        <f>ROUND(坦克等级成长!$D162*VLOOKUP($CT$2,坦克等级成长!$B$36:$G$42,MATCH(CU$3,坦克等级成长!$B$35:$G$35,0)),0)</f>
        <v>2872</v>
      </c>
      <c r="CV65" s="33">
        <f>ROUND(坦克等级成长!$D162*VLOOKUP($CT$2,坦克等级成长!$B$36:$G$42,MATCH(CV$3,坦克等级成长!$B$35:$G$35,0)),0)</f>
        <v>578</v>
      </c>
      <c r="CW65" s="33">
        <f>ROUND(坦克等级成长!$D162*VLOOKUP($CT$2,坦克等级成长!$B$36:$G$42,MATCH(CW$3,坦克等级成长!$B$35:$G$35,0)),0)</f>
        <v>1282</v>
      </c>
      <c r="CX65" s="33">
        <f t="shared" si="39"/>
        <v>1282</v>
      </c>
      <c r="CY65" s="33">
        <v>1028.25</v>
      </c>
      <c r="CZ65" s="33">
        <f>ROUND(坦克等级成长!$D162*VLOOKUP($CT$2,坦克等级成长!$B$36:$G$42,MATCH(CZ$3,坦克等级成长!$B$35:$G$35,0)),0)</f>
        <v>1077</v>
      </c>
      <c r="DA65" s="33">
        <f>ROUND(坦克等级成长!$D162*VLOOKUP($CT$2,坦克等级成长!$B$36:$G$42,MATCH(DA$3,坦克等级成长!$B$35:$G$35,0)),0)</f>
        <v>287</v>
      </c>
      <c r="DB65" s="199">
        <v>12</v>
      </c>
      <c r="DC65" s="33">
        <f>ROUND(坦克等级成长!$F162*VLOOKUP($CT$2,坦克等级成长!$B$36:$G$42,MATCH(DC$3,坦克等级成长!$B$35:$G$35,0)),0)</f>
        <v>2912</v>
      </c>
      <c r="DD65" s="33">
        <f>ROUND(坦克等级成长!$F162*VLOOKUP($CT$2,坦克等级成长!$B$36:$G$42,MATCH(DD$3,坦克等级成长!$B$35:$G$35,0)),0)</f>
        <v>586</v>
      </c>
      <c r="DE65" s="33">
        <f>ROUND(坦克等级成长!$F162*VLOOKUP($CT$2,坦克等级成长!$B$36:$G$42,MATCH(DE$3,坦克等级成长!$B$35:$G$35,0)),0)</f>
        <v>1300</v>
      </c>
      <c r="DF65" s="33">
        <f t="shared" si="11"/>
        <v>1300</v>
      </c>
      <c r="DG65" s="33">
        <v>1055</v>
      </c>
      <c r="DH65" s="33">
        <f>ROUND(坦克等级成长!$F162*VLOOKUP($CT$2,坦克等级成长!$B$36:$G$42,MATCH(DH$3,坦克等级成长!$B$35:$G$35,0)),0)</f>
        <v>1092</v>
      </c>
      <c r="DI65" s="33">
        <f>ROUND(坦克等级成长!$F162*VLOOKUP($CT$2,坦克等级成长!$B$36:$G$42,MATCH(DI$3,坦克等级成长!$B$35:$G$35,0)),0)</f>
        <v>291</v>
      </c>
      <c r="DJ65" s="192">
        <v>12</v>
      </c>
      <c r="DK65" s="33">
        <f>ROUND(坦克等级成长!$H162*VLOOKUP($CT$2,坦克等级成长!$B$36:$G$42,MATCH(DK$3,坦克等级成长!$B$35:$G$35,0)),0)</f>
        <v>2952</v>
      </c>
      <c r="DL65" s="33">
        <f>ROUND(坦克等级成长!$H162*VLOOKUP($CT$2,坦克等级成长!$B$36:$G$42,MATCH(DL$3,坦克等级成长!$B$35:$G$35,0)),0)</f>
        <v>594</v>
      </c>
      <c r="DM65" s="33">
        <f>ROUND(坦克等级成长!$H162*VLOOKUP($CT$2,坦克等级成长!$B$36:$G$42,MATCH(DM$3,坦克等级成长!$B$35:$G$35,0)),0)</f>
        <v>1318</v>
      </c>
      <c r="DN65" s="33">
        <f t="shared" si="25"/>
        <v>1318</v>
      </c>
      <c r="DO65" s="33">
        <v>1055</v>
      </c>
      <c r="DP65" s="33">
        <f>ROUND(坦克等级成长!$H162*VLOOKUP($CT$2,坦克等级成长!$B$36:$G$42,MATCH(DP$3,坦克等级成长!$B$35:$G$35,0)),0)</f>
        <v>1107</v>
      </c>
      <c r="DQ65" s="33">
        <f>ROUND(坦克等级成长!$H162*VLOOKUP($CT$2,坦克等级成长!$B$36:$G$42,MATCH(DQ$3,坦克等级成长!$B$35:$G$35,0)),0)</f>
        <v>295</v>
      </c>
      <c r="DR65" s="192">
        <v>12</v>
      </c>
      <c r="DS65" s="33">
        <f>ROUND(坦克等级成长!$D162*VLOOKUP($DR$2,坦克等级成长!$B$36:$G$42,MATCH(DS$3,坦克等级成长!$B$35:$G$35,0)),0)</f>
        <v>3513</v>
      </c>
      <c r="DT65" s="33">
        <f>ROUND(坦克等级成长!$D162*VLOOKUP($DR$2,坦克等级成长!$B$36:$G$42,MATCH(DT$3,坦克等级成长!$B$35:$G$35,0)),0)</f>
        <v>962</v>
      </c>
      <c r="DU65" s="33">
        <f>ROUND(坦克等级成长!$D162*VLOOKUP($DR$2,坦克等级成长!$B$36:$G$42,MATCH(DU$3,坦克等级成长!$B$35:$G$35,0)),0)</f>
        <v>1026</v>
      </c>
      <c r="DV65" s="33">
        <f t="shared" si="40"/>
        <v>1026</v>
      </c>
      <c r="DW65" s="33">
        <v>877.6</v>
      </c>
      <c r="DX65" s="33">
        <f>ROUND(坦克等级成长!$D162*VLOOKUP($DR$2,坦克等级成长!$B$36:$G$42,MATCH(DX$3,坦克等级成长!$B$35:$G$35,0)),0)</f>
        <v>1508</v>
      </c>
      <c r="DY65" s="33">
        <f>ROUND(坦克等级成长!$D162*VLOOKUP($DR$2,坦克等级成长!$B$36:$G$42,MATCH(DY$3,坦克等级成长!$B$35:$G$35,0)),0)</f>
        <v>351</v>
      </c>
      <c r="DZ65" s="199">
        <v>12</v>
      </c>
      <c r="EA65" s="33">
        <f>ROUND(坦克等级成长!$F162*VLOOKUP($DR$2,坦克等级成长!$B$36:$G$42,MATCH(EA$3,坦克等级成长!$B$35:$G$35,0)),0)</f>
        <v>3562</v>
      </c>
      <c r="EB65" s="33">
        <f>ROUND(坦克等级成长!$F162*VLOOKUP($DR$2,坦克等级成长!$B$36:$G$42,MATCH(EB$3,坦克等级成长!$B$35:$G$35,0)),0)</f>
        <v>976</v>
      </c>
      <c r="EC65" s="33">
        <f>ROUND(坦克等级成长!$F162*VLOOKUP($DR$2,坦克等级成长!$B$36:$G$42,MATCH(EC$3,坦克等级成长!$B$35:$G$35,0)),0)</f>
        <v>1040</v>
      </c>
      <c r="ED65" s="33">
        <f t="shared" si="12"/>
        <v>1040</v>
      </c>
      <c r="EE65" s="33">
        <v>901</v>
      </c>
      <c r="EF65" s="33">
        <f>ROUND(坦克等级成长!$F162*VLOOKUP($DR$2,坦克等级成长!$B$36:$G$42,MATCH(EF$3,坦克等级成长!$B$35:$G$35,0)),0)</f>
        <v>1529</v>
      </c>
      <c r="EG65" s="33">
        <f>ROUND(坦克等级成长!$F162*VLOOKUP($DR$2,坦克等级成长!$B$36:$G$42,MATCH(EG$3,坦克等级成长!$B$35:$G$35,0)),0)</f>
        <v>356</v>
      </c>
      <c r="EH65" s="192">
        <v>12</v>
      </c>
      <c r="EI65" s="33">
        <f>ROUND(坦克等级成长!$H162*VLOOKUP($DR$2,坦克等级成长!$B$36:$G$42,MATCH(EI$3,坦克等级成长!$B$35:$G$35,0)),0)</f>
        <v>3611</v>
      </c>
      <c r="EJ65" s="33">
        <f>ROUND(坦克等级成长!$H162*VLOOKUP($DR$2,坦克等级成长!$B$36:$G$42,MATCH(EJ$3,坦克等级成长!$B$35:$G$35,0)),0)</f>
        <v>989</v>
      </c>
      <c r="EK65" s="33">
        <f>ROUND(坦克等级成长!$H162*VLOOKUP($DR$2,坦克等级成长!$B$36:$G$42,MATCH(EK$3,坦克等级成长!$B$35:$G$35,0)),0)</f>
        <v>1054</v>
      </c>
      <c r="EL65" s="33">
        <f t="shared" si="26"/>
        <v>1054</v>
      </c>
      <c r="EM65" s="33">
        <v>901</v>
      </c>
      <c r="EN65" s="33">
        <f>ROUND(坦克等级成长!$H162*VLOOKUP($DR$2,坦克等级成长!$B$36:$G$42,MATCH(EN$3,坦克等级成长!$B$35:$G$35,0)),0)</f>
        <v>1550</v>
      </c>
      <c r="EO65" s="33">
        <f>ROUND(坦克等级成长!$H162*VLOOKUP($DR$2,坦克等级成长!$B$36:$G$42,MATCH(EO$3,坦克等级成长!$B$35:$G$35,0)),0)</f>
        <v>361</v>
      </c>
      <c r="EP65" s="192">
        <v>12</v>
      </c>
      <c r="EQ65" s="33">
        <f>ROUND(坦克等级成长!$D162*VLOOKUP($EP$2,坦克等级成长!$B$36:$G$42,MATCH(EQ$3,坦克等级成长!$B$35:$G$35,0)),0)</f>
        <v>3100</v>
      </c>
      <c r="ER65" s="33">
        <f>ROUND(坦克等级成长!$D162*VLOOKUP($EP$2,坦克等级成长!$B$36:$G$42,MATCH(ER$3,坦克等级成长!$B$35:$G$35,0)),0)</f>
        <v>319</v>
      </c>
      <c r="ES65" s="33">
        <f>ROUND(坦克等级成长!$D162*VLOOKUP($EP$2,坦克等级成长!$B$36:$G$42,MATCH(ES$3,坦克等级成长!$B$35:$G$35,0)),0)</f>
        <v>1180</v>
      </c>
      <c r="ET65" s="33">
        <f t="shared" si="41"/>
        <v>1180</v>
      </c>
      <c r="EU65" s="33">
        <v>946.5</v>
      </c>
      <c r="EV65" s="33">
        <f>ROUND(坦克等级成长!$D162*VLOOKUP($EP$2,坦克等级成长!$B$36:$G$42,MATCH(EV$3,坦克等级成长!$B$35:$G$35,0)),0)</f>
        <v>1292</v>
      </c>
      <c r="EW65" s="33">
        <f>ROUND(坦克等级成长!$D162*VLOOKUP($EP$2,坦克等级成长!$B$36:$G$42,MATCH(EW$3,坦克等级成长!$B$35:$G$35,0)),0)</f>
        <v>310</v>
      </c>
      <c r="EX65" s="199">
        <v>12</v>
      </c>
      <c r="EY65" s="33">
        <f>ROUND(坦克等级成长!$F162*VLOOKUP($EP$2,坦克等级成长!$B$36:$G$42,MATCH(EY$3,坦克等级成长!$B$35:$G$35,0)),0)</f>
        <v>3143</v>
      </c>
      <c r="EZ65" s="33">
        <f>ROUND(坦克等级成长!$F162*VLOOKUP($EP$2,坦克等级成长!$B$36:$G$42,MATCH(EZ$3,坦克等级成长!$B$35:$G$35,0)),0)</f>
        <v>324</v>
      </c>
      <c r="FA65" s="33">
        <f>ROUND(坦克等级成长!$F162*VLOOKUP($EP$2,坦克等级成长!$B$36:$G$42,MATCH(FA$3,坦克等级成长!$B$35:$G$35,0)),0)</f>
        <v>1196</v>
      </c>
      <c r="FB65" s="33">
        <f t="shared" si="13"/>
        <v>1196</v>
      </c>
      <c r="FC65" s="33">
        <v>971</v>
      </c>
      <c r="FD65" s="33">
        <f>ROUND(坦克等级成长!$F162*VLOOKUP($EP$2,坦克等级成长!$B$36:$G$42,MATCH(FD$3,坦克等级成长!$B$35:$G$35,0)),0)</f>
        <v>1310</v>
      </c>
      <c r="FE65" s="33">
        <f>ROUND(坦克等级成长!$F162*VLOOKUP($EP$2,坦克等级成长!$B$36:$G$42,MATCH(FE$3,坦克等级成长!$B$35:$G$35,0)),0)</f>
        <v>314</v>
      </c>
      <c r="FF65" s="192">
        <v>12</v>
      </c>
      <c r="FG65" s="33">
        <f>ROUND(坦克等级成长!$H162*VLOOKUP($EP$2,坦克等级成长!$B$36:$G$42,MATCH(FG$3,坦克等级成长!$B$35:$G$35,0)),0)</f>
        <v>3186</v>
      </c>
      <c r="FH65" s="33">
        <f>ROUND(坦克等级成长!$H162*VLOOKUP($EP$2,坦克等级成长!$B$36:$G$42,MATCH(FH$3,坦克等级成长!$B$35:$G$35,0)),0)</f>
        <v>328</v>
      </c>
      <c r="FI65" s="33">
        <f>ROUND(坦克等级成长!$H162*VLOOKUP($EP$2,坦克等级成长!$B$36:$G$42,MATCH(FI$3,坦克等级成长!$B$35:$G$35,0)),0)</f>
        <v>1212</v>
      </c>
      <c r="FJ65" s="33">
        <f t="shared" si="27"/>
        <v>1212</v>
      </c>
      <c r="FK65" s="33">
        <v>971</v>
      </c>
      <c r="FL65" s="33">
        <f>ROUND(坦克等级成长!$H162*VLOOKUP($EP$2,坦克等级成长!$B$36:$G$42,MATCH(FL$3,坦克等级成长!$B$35:$G$35,0)),0)</f>
        <v>1328</v>
      </c>
      <c r="FM65" s="33">
        <f>ROUND(坦克等级成长!$H162*VLOOKUP($EP$2,坦克等级成长!$B$36:$G$42,MATCH(FM$3,坦克等级成长!$B$35:$G$35,0)),0)</f>
        <v>319</v>
      </c>
    </row>
    <row r="66" spans="1:169" ht="14.25" x14ac:dyDescent="0.3">
      <c r="A66" s="189">
        <v>5</v>
      </c>
      <c r="B66" s="192">
        <v>13</v>
      </c>
      <c r="C66" s="33">
        <f>ROUND(坦克等级成长!$D163*VLOOKUP($B$2,坦克等级成长!$B$36:$G$42,MATCH(C$3,坦克等级成长!$B$35:$G$35,0)),0)</f>
        <v>2960</v>
      </c>
      <c r="D66" s="33">
        <f>ROUND(坦克等级成长!$D163*VLOOKUP($B$2,坦克等级成长!$B$36:$G$42,MATCH(D$3,坦克等级成长!$B$35:$G$35,0)),0)</f>
        <v>295</v>
      </c>
      <c r="E66" s="33">
        <f>ROUND(坦克等级成长!$D163*VLOOKUP($B$2,坦克等级成长!$B$36:$G$42,MATCH(E$3,坦克等级成长!$B$35:$G$35,0)),0)</f>
        <v>1110</v>
      </c>
      <c r="F66" s="33">
        <f t="shared" si="35"/>
        <v>1110</v>
      </c>
      <c r="G66" s="33">
        <v>831.6</v>
      </c>
      <c r="H66" s="33">
        <f>ROUND(坦克等级成长!$D163*VLOOKUP($B$2,坦克等级成长!$B$36:$G$42,MATCH(H$3,坦克等级成长!$B$35:$G$35,0)),0)</f>
        <v>1110</v>
      </c>
      <c r="I66" s="33">
        <f>ROUND(坦克等级成长!$D163*VLOOKUP($B$2,坦克等级成长!$B$36:$G$42,MATCH(I$3,坦克等级成长!$B$35:$G$35,0)),0)</f>
        <v>296</v>
      </c>
      <c r="J66" s="199">
        <v>13</v>
      </c>
      <c r="K66" s="33">
        <f>ROUND(坦克等级成长!$F163*VLOOKUP($B$2,坦克等级成长!$B$36:$G$42,MATCH(K$3,坦克等级成长!$B$35:$G$35,0)),0)</f>
        <v>3000</v>
      </c>
      <c r="L66" s="33">
        <f>ROUND(坦克等级成长!$F163*VLOOKUP($B$2,坦克等级成长!$B$36:$G$42,MATCH(L$3,坦克等级成长!$B$35:$G$35,0)),0)</f>
        <v>299</v>
      </c>
      <c r="M66" s="33">
        <f>ROUND(坦克等级成长!$F163*VLOOKUP($B$2,坦克等级成长!$B$36:$G$42,MATCH(M$3,坦克等级成长!$B$35:$G$35,0)),0)</f>
        <v>1125</v>
      </c>
      <c r="N66" s="33">
        <f t="shared" si="7"/>
        <v>1125</v>
      </c>
      <c r="O66" s="33">
        <v>853</v>
      </c>
      <c r="P66" s="33">
        <f>ROUND(坦克等级成长!$F163*VLOOKUP($B$2,坦克等级成长!$B$36:$G$42,MATCH(P$3,坦克等级成长!$B$35:$G$35,0)),0)</f>
        <v>1125</v>
      </c>
      <c r="Q66" s="33">
        <f>ROUND(坦克等级成长!$F163*VLOOKUP($B$2,坦克等级成长!$B$36:$G$42,MATCH(Q$3,坦克等级成长!$B$35:$G$35,0)),0)</f>
        <v>300</v>
      </c>
      <c r="R66" s="192">
        <v>13</v>
      </c>
      <c r="S66" s="33">
        <f>ROUND(坦克等级成长!$H163*VLOOKUP($B$2,坦克等级成长!$B$36:$G$42,MATCH(S$3,坦克等级成长!$B$35:$G$35,0)),0)</f>
        <v>3040</v>
      </c>
      <c r="T66" s="33">
        <f>ROUND(坦克等级成长!$H163*VLOOKUP($B$2,坦克等级成长!$B$36:$G$42,MATCH(T$3,坦克等级成长!$B$35:$G$35,0)),0)</f>
        <v>303</v>
      </c>
      <c r="U66" s="33">
        <f>ROUND(坦克等级成长!$H163*VLOOKUP($B$2,坦克等级成长!$B$36:$G$42,MATCH(U$3,坦克等级成长!$B$35:$G$35,0)),0)</f>
        <v>1140</v>
      </c>
      <c r="V66" s="33">
        <f t="shared" si="21"/>
        <v>1140</v>
      </c>
      <c r="W66" s="33">
        <v>853</v>
      </c>
      <c r="X66" s="33">
        <f>ROUND(坦克等级成长!$H163*VLOOKUP($B$2,坦克等级成长!$B$36:$G$42,MATCH(X$3,坦克等级成长!$B$35:$G$35,0)),0)</f>
        <v>1140</v>
      </c>
      <c r="Y66" s="33">
        <f>ROUND(坦克等级成长!$H163*VLOOKUP($B$2,坦克等级成长!$B$36:$G$42,MATCH(Y$3,坦克等级成长!$B$35:$G$35,0)),0)</f>
        <v>304</v>
      </c>
      <c r="Z66" s="192">
        <v>13</v>
      </c>
      <c r="AA66" s="33">
        <f>ROUND(坦克等级成长!$D163*VLOOKUP($Z$2,坦克等级成长!$B$36:$G$42,MATCH(AA$3,坦克等级成长!$B$35:$G$35,0)),0)</f>
        <v>2960</v>
      </c>
      <c r="AB66" s="33">
        <f>ROUND(坦克等级成长!$D163*VLOOKUP($Z$2,坦克等级成长!$B$36:$G$42,MATCH(AB$3,坦克等级成长!$B$35:$G$35,0)),0)</f>
        <v>157</v>
      </c>
      <c r="AC66" s="33">
        <f>ROUND(坦克等级成长!$D163*VLOOKUP($Z$2,坦克等级成长!$B$36:$G$42,MATCH(AC$3,坦克等级成长!$B$35:$G$35,0)),0)</f>
        <v>1216</v>
      </c>
      <c r="AD66" s="33">
        <f t="shared" si="36"/>
        <v>1216</v>
      </c>
      <c r="AE66" s="33">
        <v>910.7</v>
      </c>
      <c r="AF66" s="33">
        <f>ROUND(坦克等级成长!$D163*VLOOKUP($Z$2,坦克等级成长!$B$36:$G$42,MATCH(AF$3,坦克等级成长!$B$35:$G$35,0)),0)</f>
        <v>1110</v>
      </c>
      <c r="AG66" s="33">
        <f>ROUND(坦克等级成长!$D163*VLOOKUP($Z$2,坦克等级成长!$B$36:$G$42,MATCH(AG$3,坦克等级成长!$B$35:$G$35,0)),0)</f>
        <v>296</v>
      </c>
      <c r="AH66" s="199">
        <v>13</v>
      </c>
      <c r="AI66" s="33">
        <f>ROUND(坦克等级成长!$F163*VLOOKUP($Z$2,坦克等级成长!$B$36:$G$42,MATCH(AI$3,坦克等级成长!$B$35:$G$35,0)),0)</f>
        <v>3000</v>
      </c>
      <c r="AJ66" s="33">
        <f>ROUND(坦克等级成长!$F163*VLOOKUP($Z$2,坦克等级成长!$B$36:$G$42,MATCH(AJ$3,坦克等级成长!$B$35:$G$35,0)),0)</f>
        <v>159</v>
      </c>
      <c r="AK66" s="33">
        <f>ROUND(坦克等级成长!$F163*VLOOKUP($Z$2,坦克等级成长!$B$36:$G$42,MATCH(AK$3,坦克等级成长!$B$35:$G$35,0)),0)</f>
        <v>1232</v>
      </c>
      <c r="AL66" s="33">
        <f t="shared" si="8"/>
        <v>1232</v>
      </c>
      <c r="AM66" s="33">
        <v>934</v>
      </c>
      <c r="AN66" s="33">
        <f>ROUND(坦克等级成长!$F163*VLOOKUP($Z$2,坦克等级成长!$B$36:$G$42,MATCH(AN$3,坦克等级成长!$B$35:$G$35,0)),0)</f>
        <v>1125</v>
      </c>
      <c r="AO66" s="33">
        <f>ROUND(坦克等级成长!$F163*VLOOKUP($Z$2,坦克等级成长!$B$36:$G$42,MATCH(AO$3,坦克等级成长!$B$35:$G$35,0)),0)</f>
        <v>300</v>
      </c>
      <c r="AP66" s="192">
        <v>13</v>
      </c>
      <c r="AQ66" s="33">
        <f>ROUND(坦克等级成长!$H163*VLOOKUP($Z$2,坦克等级成长!$B$36:$G$42,MATCH(AQ$3,坦克等级成长!$B$35:$G$35,0)),0)</f>
        <v>3040</v>
      </c>
      <c r="AR66" s="33">
        <f>ROUND(坦克等级成长!$H163*VLOOKUP($Z$2,坦克等级成长!$B$36:$G$42,MATCH(AR$3,坦克等级成长!$B$35:$G$35,0)),0)</f>
        <v>161</v>
      </c>
      <c r="AS66" s="33">
        <f>ROUND(坦克等级成长!$H163*VLOOKUP($Z$2,坦克等级成长!$B$36:$G$42,MATCH(AS$3,坦克等级成长!$B$35:$G$35,0)),0)</f>
        <v>1249</v>
      </c>
      <c r="AT66" s="33">
        <f t="shared" si="22"/>
        <v>1249</v>
      </c>
      <c r="AU66" s="33">
        <v>934</v>
      </c>
      <c r="AV66" s="33">
        <f>ROUND(坦克等级成长!$H163*VLOOKUP($Z$2,坦克等级成长!$B$36:$G$42,MATCH(AV$3,坦克等级成长!$B$35:$G$35,0)),0)</f>
        <v>1140</v>
      </c>
      <c r="AW66" s="33">
        <f>ROUND(坦克等级成长!$H163*VLOOKUP($Z$2,坦克等级成长!$B$36:$G$42,MATCH(AW$3,坦克等级成长!$B$35:$G$35,0)),0)</f>
        <v>304</v>
      </c>
      <c r="AX66" s="192">
        <v>13</v>
      </c>
      <c r="AY66" s="33">
        <f>ROUND(坦克等级成长!$D163*VLOOKUP($AX$2,坦克等级成长!$B$36:$G$42,MATCH(AY$3,坦克等级成长!$B$35:$G$35,0)),0)</f>
        <v>2960</v>
      </c>
      <c r="AZ66" s="33">
        <f>ROUND(坦克等级成长!$D163*VLOOKUP($AX$2,坦克等级成长!$B$36:$G$42,MATCH(AZ$3,坦克等级成长!$B$35:$G$35,0)),0)</f>
        <v>295</v>
      </c>
      <c r="BA66" s="33">
        <f>ROUND(坦克等级成长!$D163*VLOOKUP($AX$2,坦克等级成长!$B$36:$G$42,MATCH(BA$3,坦克等级成长!$B$35:$G$35,0)),0)</f>
        <v>1110</v>
      </c>
      <c r="BB66" s="33">
        <f t="shared" si="37"/>
        <v>1110</v>
      </c>
      <c r="BC66" s="33">
        <v>831.6</v>
      </c>
      <c r="BD66" s="33">
        <f>ROUND(坦克等级成长!$D163*VLOOKUP($AX$2,坦克等级成长!$B$36:$G$42,MATCH(BD$3,坦克等级成长!$B$35:$G$35,0)),0)</f>
        <v>1110</v>
      </c>
      <c r="BE66" s="33">
        <f>ROUND(坦克等级成长!$D163*VLOOKUP($AX$2,坦克等级成长!$B$36:$G$42,MATCH(BE$3,坦克等级成长!$B$35:$G$35,0)),0)</f>
        <v>296</v>
      </c>
      <c r="BF66" s="199">
        <v>13</v>
      </c>
      <c r="BG66" s="33">
        <f>ROUND(坦克等级成长!$F163*VLOOKUP($AX$2,坦克等级成长!$B$36:$G$42,MATCH(BG$3,坦克等级成长!$B$35:$G$35,0)),0)</f>
        <v>3000</v>
      </c>
      <c r="BH66" s="33">
        <f>ROUND(坦克等级成长!$F163*VLOOKUP($AX$2,坦克等级成长!$B$36:$G$42,MATCH(BH$3,坦克等级成长!$B$35:$G$35,0)),0)</f>
        <v>299</v>
      </c>
      <c r="BI66" s="33">
        <f>ROUND(坦克等级成长!$F163*VLOOKUP($AX$2,坦克等级成长!$B$36:$G$42,MATCH(BI$3,坦克等级成长!$B$35:$G$35,0)),0)</f>
        <v>1125</v>
      </c>
      <c r="BJ66" s="33">
        <f t="shared" si="9"/>
        <v>1125</v>
      </c>
      <c r="BK66" s="33">
        <v>853</v>
      </c>
      <c r="BL66" s="33">
        <f>ROUND(坦克等级成长!$F163*VLOOKUP($AX$2,坦克等级成长!$B$36:$G$42,MATCH(BL$3,坦克等级成长!$B$35:$G$35,0)),0)</f>
        <v>1125</v>
      </c>
      <c r="BM66" s="33">
        <f>ROUND(坦克等级成长!$F163*VLOOKUP($AX$2,坦克等级成长!$B$36:$G$42,MATCH(BM$3,坦克等级成长!$B$35:$G$35,0)),0)</f>
        <v>300</v>
      </c>
      <c r="BN66" s="192">
        <v>13</v>
      </c>
      <c r="BO66" s="33">
        <f>ROUND(坦克等级成长!$H163*VLOOKUP($AX$2,坦克等级成长!$B$36:$G$42,MATCH(BO$3,坦克等级成长!$B$35:$G$35,0)),0)</f>
        <v>3040</v>
      </c>
      <c r="BP66" s="33">
        <f>ROUND(坦克等级成长!$H163*VLOOKUP($AX$2,坦克等级成长!$B$36:$G$42,MATCH(BP$3,坦克等级成长!$B$35:$G$35,0)),0)</f>
        <v>303</v>
      </c>
      <c r="BQ66" s="33">
        <f>ROUND(坦克等级成长!$H163*VLOOKUP($AX$2,坦克等级成长!$B$36:$G$42,MATCH(BQ$3,坦克等级成长!$B$35:$G$35,0)),0)</f>
        <v>1140</v>
      </c>
      <c r="BR66" s="33">
        <f t="shared" si="23"/>
        <v>1140</v>
      </c>
      <c r="BS66" s="33">
        <v>853</v>
      </c>
      <c r="BT66" s="33">
        <f>ROUND(坦克等级成长!$H163*VLOOKUP($AX$2,坦克等级成长!$B$36:$G$42,MATCH(BT$3,坦克等级成长!$B$35:$G$35,0)),0)</f>
        <v>1140</v>
      </c>
      <c r="BU66" s="33">
        <f>ROUND(坦克等级成长!$H163*VLOOKUP($AX$2,坦克等级成长!$B$36:$G$42,MATCH(BU$3,坦克等级成长!$B$35:$G$35,0)),0)</f>
        <v>304</v>
      </c>
      <c r="BV66" s="192">
        <v>13</v>
      </c>
      <c r="BW66" s="33">
        <f>ROUND(坦克等级成长!$D163*VLOOKUP($BV$2,坦克等级成长!$B$36:$G$42,MATCH(BW$3,坦克等级成长!$B$35:$G$35,0)),0)</f>
        <v>3195</v>
      </c>
      <c r="BX66" s="33">
        <f>ROUND(坦克等级成长!$D163*VLOOKUP($BV$2,坦克等级成长!$B$36:$G$42,MATCH(BX$3,坦克等级成长!$B$35:$G$35,0)),0)</f>
        <v>275</v>
      </c>
      <c r="BY66" s="33">
        <f>ROUND(坦克等级成长!$D163*VLOOKUP($BV$2,坦克等级成长!$B$36:$G$42,MATCH(BY$3,坦克等级成长!$B$35:$G$35,0)),0)</f>
        <v>1057</v>
      </c>
      <c r="BZ66" s="33">
        <f t="shared" si="38"/>
        <v>1057</v>
      </c>
      <c r="CA66" s="33">
        <v>848.25</v>
      </c>
      <c r="CB66" s="33">
        <f>ROUND(坦克等级成长!$D163*VLOOKUP($BV$2,坦克等级成长!$B$36:$G$42,MATCH(CB$3,坦克等级成长!$B$35:$G$35,0)),0)</f>
        <v>1332</v>
      </c>
      <c r="CC66" s="33">
        <f>ROUND(坦克等级成长!$D163*VLOOKUP($BV$2,坦克等级成长!$B$36:$G$42,MATCH(CC$3,坦克等级成长!$B$35:$G$35,0)),0)</f>
        <v>319</v>
      </c>
      <c r="CD66" s="199">
        <v>13</v>
      </c>
      <c r="CE66" s="33">
        <f>ROUND(坦克等级成长!$F163*VLOOKUP($BV$2,坦克等级成长!$B$36:$G$42,MATCH(CE$3,坦克等级成长!$B$35:$G$35,0)),0)</f>
        <v>3238</v>
      </c>
      <c r="CF66" s="33">
        <f>ROUND(坦克等级成长!$F163*VLOOKUP($BV$2,坦克等级成长!$B$36:$G$42,MATCH(CF$3,坦克等级成长!$B$35:$G$35,0)),0)</f>
        <v>278</v>
      </c>
      <c r="CG66" s="33">
        <f>ROUND(坦克等级成长!$F163*VLOOKUP($BV$2,坦克等级成长!$B$36:$G$42,MATCH(CG$3,坦克等级成长!$B$35:$G$35,0)),0)</f>
        <v>1071</v>
      </c>
      <c r="CH66" s="33">
        <f t="shared" si="10"/>
        <v>1071</v>
      </c>
      <c r="CI66" s="33">
        <v>870</v>
      </c>
      <c r="CJ66" s="33">
        <f>ROUND(坦克等级成长!$F163*VLOOKUP($BV$2,坦克等级成长!$B$36:$G$42,MATCH(CJ$3,坦克等级成长!$B$35:$G$35,0)),0)</f>
        <v>1350</v>
      </c>
      <c r="CK66" s="33">
        <f>ROUND(坦克等级成长!$F163*VLOOKUP($BV$2,坦克等级成长!$B$36:$G$42,MATCH(CK$3,坦克等级成长!$B$35:$G$35,0)),0)</f>
        <v>324</v>
      </c>
      <c r="CL66" s="192">
        <v>13</v>
      </c>
      <c r="CM66" s="33">
        <f>ROUND(坦克等级成长!$H163*VLOOKUP($BV$2,坦克等级成长!$B$36:$G$42,MATCH(CM$3,坦克等级成长!$B$35:$G$35,0)),0)</f>
        <v>3281</v>
      </c>
      <c r="CN66" s="33">
        <f>ROUND(坦克等级成长!$H163*VLOOKUP($BV$2,坦克等级成长!$B$36:$G$42,MATCH(CN$3,坦克等级成长!$B$35:$G$35,0)),0)</f>
        <v>282</v>
      </c>
      <c r="CO66" s="33">
        <f>ROUND(坦克等级成长!$H163*VLOOKUP($BV$2,坦克等级成长!$B$36:$G$42,MATCH(CO$3,坦克等级成长!$B$35:$G$35,0)),0)</f>
        <v>1086</v>
      </c>
      <c r="CP66" s="33">
        <f t="shared" si="24"/>
        <v>1086</v>
      </c>
      <c r="CQ66" s="33">
        <v>870</v>
      </c>
      <c r="CR66" s="33">
        <f>ROUND(坦克等级成长!$H163*VLOOKUP($BV$2,坦克等级成长!$B$36:$G$42,MATCH(CR$3,坦克等级成长!$B$35:$G$35,0)),0)</f>
        <v>1368</v>
      </c>
      <c r="CS66" s="33">
        <f>ROUND(坦克等级成长!$H163*VLOOKUP($BV$2,坦克等级成长!$B$36:$G$42,MATCH(CS$3,坦克等级成长!$B$35:$G$35,0)),0)</f>
        <v>328</v>
      </c>
      <c r="CT66" s="192">
        <v>13</v>
      </c>
      <c r="CU66" s="33">
        <f>ROUND(坦克等级成长!$D163*VLOOKUP($CT$2,坦克等级成长!$B$36:$G$42,MATCH(CU$3,坦克等级成长!$B$35:$G$35,0)),0)</f>
        <v>2960</v>
      </c>
      <c r="CV66" s="33">
        <f>ROUND(坦克等级成长!$D163*VLOOKUP($CT$2,坦克等级成长!$B$36:$G$42,MATCH(CV$3,坦克等级成长!$B$35:$G$35,0)),0)</f>
        <v>596</v>
      </c>
      <c r="CW66" s="33">
        <f>ROUND(坦克等级成长!$D163*VLOOKUP($CT$2,坦克等级成长!$B$36:$G$42,MATCH(CW$3,坦克等级成长!$B$35:$G$35,0)),0)</f>
        <v>1321</v>
      </c>
      <c r="CX66" s="33">
        <f t="shared" si="39"/>
        <v>1321</v>
      </c>
      <c r="CY66" s="33">
        <v>1060.5</v>
      </c>
      <c r="CZ66" s="33">
        <f>ROUND(坦克等级成长!$D163*VLOOKUP($CT$2,坦克等级成长!$B$36:$G$42,MATCH(CZ$3,坦克等级成长!$B$35:$G$35,0)),0)</f>
        <v>1110</v>
      </c>
      <c r="DA66" s="33">
        <f>ROUND(坦克等级成长!$D163*VLOOKUP($CT$2,坦克等级成长!$B$36:$G$42,MATCH(DA$3,坦克等级成长!$B$35:$G$35,0)),0)</f>
        <v>296</v>
      </c>
      <c r="DB66" s="199">
        <v>13</v>
      </c>
      <c r="DC66" s="33">
        <f>ROUND(坦克等级成长!$F163*VLOOKUP($CT$2,坦克等级成长!$B$36:$G$42,MATCH(DC$3,坦克等级成长!$B$35:$G$35,0)),0)</f>
        <v>3000</v>
      </c>
      <c r="DD66" s="33">
        <f>ROUND(坦克等级成长!$F163*VLOOKUP($CT$2,坦克等级成长!$B$36:$G$42,MATCH(DD$3,坦克等级成长!$B$35:$G$35,0)),0)</f>
        <v>604</v>
      </c>
      <c r="DE66" s="33">
        <f>ROUND(坦克等级成长!$F163*VLOOKUP($CT$2,坦克等级成长!$B$36:$G$42,MATCH(DE$3,坦克等级成长!$B$35:$G$35,0)),0)</f>
        <v>1339</v>
      </c>
      <c r="DF66" s="33">
        <f t="shared" si="11"/>
        <v>1339</v>
      </c>
      <c r="DG66" s="33">
        <v>1088</v>
      </c>
      <c r="DH66" s="33">
        <f>ROUND(坦克等级成长!$F163*VLOOKUP($CT$2,坦克等级成长!$B$36:$G$42,MATCH(DH$3,坦克等级成长!$B$35:$G$35,0)),0)</f>
        <v>1125</v>
      </c>
      <c r="DI66" s="33">
        <f>ROUND(坦克等级成长!$F163*VLOOKUP($CT$2,坦克等级成长!$B$36:$G$42,MATCH(DI$3,坦克等级成长!$B$35:$G$35,0)),0)</f>
        <v>300</v>
      </c>
      <c r="DJ66" s="192">
        <v>13</v>
      </c>
      <c r="DK66" s="33">
        <f>ROUND(坦克等级成长!$H163*VLOOKUP($CT$2,坦克等级成长!$B$36:$G$42,MATCH(DK$3,坦克等级成长!$B$35:$G$35,0)),0)</f>
        <v>3040</v>
      </c>
      <c r="DL66" s="33">
        <f>ROUND(坦克等级成长!$H163*VLOOKUP($CT$2,坦克等级成长!$B$36:$G$42,MATCH(DL$3,坦克等级成长!$B$35:$G$35,0)),0)</f>
        <v>612</v>
      </c>
      <c r="DM66" s="33">
        <f>ROUND(坦克等级成长!$H163*VLOOKUP($CT$2,坦克等级成长!$B$36:$G$42,MATCH(DM$3,坦克等级成长!$B$35:$G$35,0)),0)</f>
        <v>1357</v>
      </c>
      <c r="DN66" s="33">
        <f t="shared" si="25"/>
        <v>1357</v>
      </c>
      <c r="DO66" s="33">
        <v>1088</v>
      </c>
      <c r="DP66" s="33">
        <f>ROUND(坦克等级成长!$H163*VLOOKUP($CT$2,坦克等级成长!$B$36:$G$42,MATCH(DP$3,坦克等级成长!$B$35:$G$35,0)),0)</f>
        <v>1140</v>
      </c>
      <c r="DQ66" s="33">
        <f>ROUND(坦克等级成长!$H163*VLOOKUP($CT$2,坦克等级成长!$B$36:$G$42,MATCH(DQ$3,坦克等级成长!$B$35:$G$35,0)),0)</f>
        <v>304</v>
      </c>
      <c r="DR66" s="192">
        <v>13</v>
      </c>
      <c r="DS66" s="33">
        <f>ROUND(坦克等级成长!$D163*VLOOKUP($DR$2,坦克等级成长!$B$36:$G$42,MATCH(DS$3,坦克等级成长!$B$35:$G$35,0)),0)</f>
        <v>3621</v>
      </c>
      <c r="DT66" s="33">
        <f>ROUND(坦克等级成长!$D163*VLOOKUP($DR$2,坦克等级成长!$B$36:$G$42,MATCH(DT$3,坦克等级成长!$B$35:$G$35,0)),0)</f>
        <v>992</v>
      </c>
      <c r="DU66" s="33">
        <f>ROUND(坦克等级成长!$D163*VLOOKUP($DR$2,坦克等级成长!$B$36:$G$42,MATCH(DU$3,坦克等级成长!$B$35:$G$35,0)),0)</f>
        <v>1057</v>
      </c>
      <c r="DV66" s="33">
        <f t="shared" si="40"/>
        <v>1057</v>
      </c>
      <c r="DW66" s="33">
        <v>904.8</v>
      </c>
      <c r="DX66" s="33">
        <f>ROUND(坦克等级成长!$D163*VLOOKUP($DR$2,坦克等级成长!$B$36:$G$42,MATCH(DX$3,坦克等级成长!$B$35:$G$35,0)),0)</f>
        <v>1554</v>
      </c>
      <c r="DY66" s="33">
        <f>ROUND(坦克等级成长!$D163*VLOOKUP($DR$2,坦克等级成长!$B$36:$G$42,MATCH(DY$3,坦克等级成长!$B$35:$G$35,0)),0)</f>
        <v>362</v>
      </c>
      <c r="DZ66" s="199">
        <v>13</v>
      </c>
      <c r="EA66" s="33">
        <f>ROUND(坦克等级成长!$F163*VLOOKUP($DR$2,坦克等级成长!$B$36:$G$42,MATCH(EA$3,坦克等级成长!$B$35:$G$35,0)),0)</f>
        <v>3670</v>
      </c>
      <c r="EB66" s="33">
        <f>ROUND(坦克等级成长!$F163*VLOOKUP($DR$2,坦克等级成长!$B$36:$G$42,MATCH(EB$3,坦克等级成长!$B$35:$G$35,0)),0)</f>
        <v>1005</v>
      </c>
      <c r="EC66" s="33">
        <f>ROUND(坦克等级成长!$F163*VLOOKUP($DR$2,坦克等级成长!$B$36:$G$42,MATCH(EC$3,坦克等级成长!$B$35:$G$35,0)),0)</f>
        <v>1071</v>
      </c>
      <c r="ED66" s="33">
        <f t="shared" si="12"/>
        <v>1071</v>
      </c>
      <c r="EE66" s="33">
        <v>928</v>
      </c>
      <c r="EF66" s="33">
        <f>ROUND(坦克等级成长!$F163*VLOOKUP($DR$2,坦克等级成长!$B$36:$G$42,MATCH(EF$3,坦克等级成长!$B$35:$G$35,0)),0)</f>
        <v>1575</v>
      </c>
      <c r="EG66" s="33">
        <f>ROUND(坦克等级成长!$F163*VLOOKUP($DR$2,坦克等级成长!$B$36:$G$42,MATCH(EG$3,坦克等级成长!$B$35:$G$35,0)),0)</f>
        <v>367</v>
      </c>
      <c r="EH66" s="192">
        <v>13</v>
      </c>
      <c r="EI66" s="33">
        <f>ROUND(坦克等级成长!$H163*VLOOKUP($DR$2,坦克等级成长!$B$36:$G$42,MATCH(EI$3,坦克等级成长!$B$35:$G$35,0)),0)</f>
        <v>3719</v>
      </c>
      <c r="EJ66" s="33">
        <f>ROUND(坦克等级成长!$H163*VLOOKUP($DR$2,坦克等级成长!$B$36:$G$42,MATCH(EJ$3,坦克等级成长!$B$35:$G$35,0)),0)</f>
        <v>1019</v>
      </c>
      <c r="EK66" s="33">
        <f>ROUND(坦克等级成长!$H163*VLOOKUP($DR$2,坦克等级成长!$B$36:$G$42,MATCH(EK$3,坦克等级成长!$B$35:$G$35,0)),0)</f>
        <v>1086</v>
      </c>
      <c r="EL66" s="33">
        <f t="shared" si="26"/>
        <v>1086</v>
      </c>
      <c r="EM66" s="33">
        <v>928</v>
      </c>
      <c r="EN66" s="33">
        <f>ROUND(坦克等级成长!$H163*VLOOKUP($DR$2,坦克等级成长!$B$36:$G$42,MATCH(EN$3,坦克等级成长!$B$35:$G$35,0)),0)</f>
        <v>1596</v>
      </c>
      <c r="EO66" s="33">
        <f>ROUND(坦克等级成长!$H163*VLOOKUP($DR$2,坦克等级成长!$B$36:$G$42,MATCH(EO$3,坦克等级成长!$B$35:$G$35,0)),0)</f>
        <v>372</v>
      </c>
      <c r="EP66" s="192">
        <v>13</v>
      </c>
      <c r="EQ66" s="33">
        <f>ROUND(坦克等级成长!$D163*VLOOKUP($EP$2,坦克等级成长!$B$36:$G$42,MATCH(EQ$3,坦克等级成长!$B$35:$G$35,0)),0)</f>
        <v>3195</v>
      </c>
      <c r="ER66" s="33">
        <f>ROUND(坦克等级成长!$D163*VLOOKUP($EP$2,坦克等级成长!$B$36:$G$42,MATCH(ER$3,坦克等级成长!$B$35:$G$35,0)),0)</f>
        <v>329</v>
      </c>
      <c r="ES66" s="33">
        <f>ROUND(坦克等级成长!$D163*VLOOKUP($EP$2,坦克等级成长!$B$36:$G$42,MATCH(ES$3,坦克等级成长!$B$35:$G$35,0)),0)</f>
        <v>1216</v>
      </c>
      <c r="ET66" s="33">
        <f t="shared" si="41"/>
        <v>1216</v>
      </c>
      <c r="EU66" s="33">
        <v>975.75</v>
      </c>
      <c r="EV66" s="33">
        <f>ROUND(坦克等级成长!$D163*VLOOKUP($EP$2,坦克等级成长!$B$36:$G$42,MATCH(EV$3,坦克等级成长!$B$35:$G$35,0)),0)</f>
        <v>1332</v>
      </c>
      <c r="EW66" s="33">
        <f>ROUND(坦克等级成长!$D163*VLOOKUP($EP$2,坦克等级成长!$B$36:$G$42,MATCH(EW$3,坦克等级成长!$B$35:$G$35,0)),0)</f>
        <v>319</v>
      </c>
      <c r="EX66" s="199">
        <v>13</v>
      </c>
      <c r="EY66" s="33">
        <f>ROUND(坦克等级成长!$F163*VLOOKUP($EP$2,坦克等级成长!$B$36:$G$42,MATCH(EY$3,坦克等级成长!$B$35:$G$35,0)),0)</f>
        <v>3238</v>
      </c>
      <c r="EZ66" s="33">
        <f>ROUND(坦克等级成长!$F163*VLOOKUP($EP$2,坦克等级成长!$B$36:$G$42,MATCH(EZ$3,坦克等级成长!$B$35:$G$35,0)),0)</f>
        <v>334</v>
      </c>
      <c r="FA66" s="33">
        <f>ROUND(坦克等级成长!$F163*VLOOKUP($EP$2,坦克等级成长!$B$36:$G$42,MATCH(FA$3,坦克等级成长!$B$35:$G$35,0)),0)</f>
        <v>1232</v>
      </c>
      <c r="FB66" s="33">
        <f t="shared" si="13"/>
        <v>1232</v>
      </c>
      <c r="FC66" s="33">
        <v>1001</v>
      </c>
      <c r="FD66" s="33">
        <f>ROUND(坦克等级成长!$F163*VLOOKUP($EP$2,坦克等级成长!$B$36:$G$42,MATCH(FD$3,坦克等级成长!$B$35:$G$35,0)),0)</f>
        <v>1350</v>
      </c>
      <c r="FE66" s="33">
        <f>ROUND(坦克等级成长!$F163*VLOOKUP($EP$2,坦克等级成长!$B$36:$G$42,MATCH(FE$3,坦克等级成长!$B$35:$G$35,0)),0)</f>
        <v>324</v>
      </c>
      <c r="FF66" s="192">
        <v>13</v>
      </c>
      <c r="FG66" s="33">
        <f>ROUND(坦克等级成长!$H163*VLOOKUP($EP$2,坦克等级成长!$B$36:$G$42,MATCH(FG$3,坦克等级成长!$B$35:$G$35,0)),0)</f>
        <v>3281</v>
      </c>
      <c r="FH66" s="33">
        <f>ROUND(坦克等级成长!$H163*VLOOKUP($EP$2,坦克等级成长!$B$36:$G$42,MATCH(FH$3,坦克等级成长!$B$35:$G$35,0)),0)</f>
        <v>338</v>
      </c>
      <c r="FI66" s="33">
        <f>ROUND(坦克等级成长!$H163*VLOOKUP($EP$2,坦克等级成长!$B$36:$G$42,MATCH(FI$3,坦克等级成长!$B$35:$G$35,0)),0)</f>
        <v>1249</v>
      </c>
      <c r="FJ66" s="33">
        <f t="shared" si="27"/>
        <v>1249</v>
      </c>
      <c r="FK66" s="33">
        <v>1001</v>
      </c>
      <c r="FL66" s="33">
        <f>ROUND(坦克等级成长!$H163*VLOOKUP($EP$2,坦克等级成长!$B$36:$G$42,MATCH(FL$3,坦克等级成长!$B$35:$G$35,0)),0)</f>
        <v>1368</v>
      </c>
      <c r="FM66" s="33">
        <f>ROUND(坦克等级成长!$H163*VLOOKUP($EP$2,坦克等级成长!$B$36:$G$42,MATCH(FM$3,坦克等级成长!$B$35:$G$35,0)),0)</f>
        <v>328</v>
      </c>
    </row>
    <row r="67" spans="1:169" ht="14.25" x14ac:dyDescent="0.3">
      <c r="A67" s="189">
        <v>5</v>
      </c>
      <c r="B67" s="193"/>
      <c r="C67" s="189"/>
      <c r="D67" s="189"/>
      <c r="E67" s="189"/>
      <c r="F67" s="189"/>
      <c r="G67" s="189"/>
      <c r="H67" s="189"/>
      <c r="I67" s="200"/>
      <c r="J67" s="199">
        <v>14</v>
      </c>
      <c r="K67" s="33">
        <f>ROUND(坦克等级成长!$F164*VLOOKUP($B$2,坦克等级成长!$B$36:$G$42,MATCH(K$3,坦克等级成长!$B$35:$G$35,0)),0)</f>
        <v>3088</v>
      </c>
      <c r="L67" s="33">
        <f>ROUND(坦克等级成长!$F164*VLOOKUP($B$2,坦克等级成长!$B$36:$G$42,MATCH(L$3,坦克等级成长!$B$35:$G$35,0)),0)</f>
        <v>308</v>
      </c>
      <c r="M67" s="33">
        <f>ROUND(坦克等级成长!$F164*VLOOKUP($B$2,坦克等级成长!$B$36:$G$42,MATCH(M$3,坦克等级成长!$B$35:$G$35,0)),0)</f>
        <v>1158</v>
      </c>
      <c r="N67" s="33">
        <f t="shared" si="7"/>
        <v>1158</v>
      </c>
      <c r="O67" s="33">
        <v>878</v>
      </c>
      <c r="P67" s="33">
        <f>ROUND(坦克等级成长!$F164*VLOOKUP($B$2,坦克等级成长!$B$36:$G$42,MATCH(P$3,坦克等级成长!$B$35:$G$35,0)),0)</f>
        <v>1158</v>
      </c>
      <c r="Q67" s="33">
        <f>ROUND(坦克等级成长!$F164*VLOOKUP($B$2,坦克等级成长!$B$36:$G$42,MATCH(Q$3,坦克等级成长!$B$35:$G$35,0)),0)</f>
        <v>309</v>
      </c>
      <c r="R67" s="192">
        <v>14</v>
      </c>
      <c r="S67" s="33">
        <f>ROUND(坦克等级成长!$H164*VLOOKUP($B$2,坦克等级成长!$B$36:$G$42,MATCH(S$3,坦克等级成长!$B$35:$G$35,0)),0)</f>
        <v>3128</v>
      </c>
      <c r="T67" s="33">
        <f>ROUND(坦克等级成长!$H164*VLOOKUP($B$2,坦克等级成长!$B$36:$G$42,MATCH(T$3,坦克等级成长!$B$35:$G$35,0)),0)</f>
        <v>312</v>
      </c>
      <c r="U67" s="33">
        <f>ROUND(坦克等级成长!$H164*VLOOKUP($B$2,坦克等级成长!$B$36:$G$42,MATCH(U$3,坦克等级成长!$B$35:$G$35,0)),0)</f>
        <v>1173</v>
      </c>
      <c r="V67" s="33">
        <f t="shared" si="21"/>
        <v>1173</v>
      </c>
      <c r="W67" s="33">
        <v>878</v>
      </c>
      <c r="X67" s="33">
        <f>ROUND(坦克等级成长!$H164*VLOOKUP($B$2,坦克等级成长!$B$36:$G$42,MATCH(X$3,坦克等级成长!$B$35:$G$35,0)),0)</f>
        <v>1173</v>
      </c>
      <c r="Y67" s="33">
        <f>ROUND(坦克等级成长!$H164*VLOOKUP($B$2,坦克等级成长!$B$36:$G$42,MATCH(Y$3,坦克等级成长!$B$35:$G$35,0)),0)</f>
        <v>313</v>
      </c>
      <c r="Z67" s="193"/>
      <c r="AA67" s="189"/>
      <c r="AB67" s="189"/>
      <c r="AC67" s="189"/>
      <c r="AD67" s="189"/>
      <c r="AE67" s="189"/>
      <c r="AF67" s="189"/>
      <c r="AG67" s="200"/>
      <c r="AH67" s="199">
        <v>14</v>
      </c>
      <c r="AI67" s="33">
        <f>ROUND(坦克等级成长!$F164*VLOOKUP($Z$2,坦克等级成长!$B$36:$G$42,MATCH(AI$3,坦克等级成长!$B$35:$G$35,0)),0)</f>
        <v>3088</v>
      </c>
      <c r="AJ67" s="33">
        <f>ROUND(坦克等级成长!$F164*VLOOKUP($Z$2,坦克等级成长!$B$36:$G$42,MATCH(AJ$3,坦克等级成长!$B$35:$G$35,0)),0)</f>
        <v>164</v>
      </c>
      <c r="AK67" s="33">
        <f>ROUND(坦克等级成长!$F164*VLOOKUP($Z$2,坦克等级成长!$B$36:$G$42,MATCH(AK$3,坦克等级成长!$B$35:$G$35,0)),0)</f>
        <v>1268</v>
      </c>
      <c r="AL67" s="33">
        <f t="shared" si="8"/>
        <v>1268</v>
      </c>
      <c r="AM67" s="33">
        <v>961</v>
      </c>
      <c r="AN67" s="33">
        <f>ROUND(坦克等级成长!$F164*VLOOKUP($Z$2,坦克等级成长!$B$36:$G$42,MATCH(AN$3,坦克等级成长!$B$35:$G$35,0)),0)</f>
        <v>1158</v>
      </c>
      <c r="AO67" s="33">
        <f>ROUND(坦克等级成长!$F164*VLOOKUP($Z$2,坦克等级成长!$B$36:$G$42,MATCH(AO$3,坦克等级成长!$B$35:$G$35,0)),0)</f>
        <v>309</v>
      </c>
      <c r="AP67" s="192">
        <v>14</v>
      </c>
      <c r="AQ67" s="33">
        <f>ROUND(坦克等级成长!$H164*VLOOKUP($Z$2,坦克等级成长!$B$36:$G$42,MATCH(AQ$3,坦克等级成长!$B$35:$G$35,0)),0)</f>
        <v>3128</v>
      </c>
      <c r="AR67" s="33">
        <f>ROUND(坦克等级成长!$H164*VLOOKUP($Z$2,坦克等级成长!$B$36:$G$42,MATCH(AR$3,坦克等级成长!$B$35:$G$35,0)),0)</f>
        <v>166</v>
      </c>
      <c r="AS67" s="33">
        <f>ROUND(坦克等级成长!$H164*VLOOKUP($Z$2,坦克等级成长!$B$36:$G$42,MATCH(AS$3,坦克等级成长!$B$35:$G$35,0)),0)</f>
        <v>1285</v>
      </c>
      <c r="AT67" s="33">
        <f t="shared" si="22"/>
        <v>1285</v>
      </c>
      <c r="AU67" s="33">
        <v>961</v>
      </c>
      <c r="AV67" s="33">
        <f>ROUND(坦克等级成长!$H164*VLOOKUP($Z$2,坦克等级成长!$B$36:$G$42,MATCH(AV$3,坦克等级成长!$B$35:$G$35,0)),0)</f>
        <v>1173</v>
      </c>
      <c r="AW67" s="33">
        <f>ROUND(坦克等级成长!$H164*VLOOKUP($Z$2,坦克等级成长!$B$36:$G$42,MATCH(AW$3,坦克等级成长!$B$35:$G$35,0)),0)</f>
        <v>313</v>
      </c>
      <c r="AX67" s="193"/>
      <c r="AY67" s="189"/>
      <c r="AZ67" s="189"/>
      <c r="BA67" s="189"/>
      <c r="BB67" s="189"/>
      <c r="BC67" s="189"/>
      <c r="BD67" s="189"/>
      <c r="BE67" s="200"/>
      <c r="BF67" s="199">
        <v>14</v>
      </c>
      <c r="BG67" s="33">
        <f>ROUND(坦克等级成长!$F164*VLOOKUP($AX$2,坦克等级成长!$B$36:$G$42,MATCH(BG$3,坦克等级成长!$B$35:$G$35,0)),0)</f>
        <v>3088</v>
      </c>
      <c r="BH67" s="33">
        <f>ROUND(坦克等级成长!$F164*VLOOKUP($AX$2,坦克等级成长!$B$36:$G$42,MATCH(BH$3,坦克等级成长!$B$35:$G$35,0)),0)</f>
        <v>308</v>
      </c>
      <c r="BI67" s="33">
        <f>ROUND(坦克等级成长!$F164*VLOOKUP($AX$2,坦克等级成长!$B$36:$G$42,MATCH(BI$3,坦克等级成长!$B$35:$G$35,0)),0)</f>
        <v>1158</v>
      </c>
      <c r="BJ67" s="33">
        <f t="shared" si="9"/>
        <v>1158</v>
      </c>
      <c r="BK67" s="33">
        <v>878</v>
      </c>
      <c r="BL67" s="33">
        <f>ROUND(坦克等级成长!$F164*VLOOKUP($AX$2,坦克等级成长!$B$36:$G$42,MATCH(BL$3,坦克等级成长!$B$35:$G$35,0)),0)</f>
        <v>1158</v>
      </c>
      <c r="BM67" s="33">
        <f>ROUND(坦克等级成长!$F164*VLOOKUP($AX$2,坦克等级成长!$B$36:$G$42,MATCH(BM$3,坦克等级成长!$B$35:$G$35,0)),0)</f>
        <v>309</v>
      </c>
      <c r="BN67" s="192">
        <v>14</v>
      </c>
      <c r="BO67" s="33">
        <f>ROUND(坦克等级成长!$H164*VLOOKUP($AX$2,坦克等级成长!$B$36:$G$42,MATCH(BO$3,坦克等级成长!$B$35:$G$35,0)),0)</f>
        <v>3128</v>
      </c>
      <c r="BP67" s="33">
        <f>ROUND(坦克等级成长!$H164*VLOOKUP($AX$2,坦克等级成长!$B$36:$G$42,MATCH(BP$3,坦克等级成长!$B$35:$G$35,0)),0)</f>
        <v>312</v>
      </c>
      <c r="BQ67" s="33">
        <f>ROUND(坦克等级成长!$H164*VLOOKUP($AX$2,坦克等级成长!$B$36:$G$42,MATCH(BQ$3,坦克等级成长!$B$35:$G$35,0)),0)</f>
        <v>1173</v>
      </c>
      <c r="BR67" s="33">
        <f t="shared" si="23"/>
        <v>1173</v>
      </c>
      <c r="BS67" s="33">
        <v>878</v>
      </c>
      <c r="BT67" s="33">
        <f>ROUND(坦克等级成长!$H164*VLOOKUP($AX$2,坦克等级成长!$B$36:$G$42,MATCH(BT$3,坦克等级成长!$B$35:$G$35,0)),0)</f>
        <v>1173</v>
      </c>
      <c r="BU67" s="33">
        <f>ROUND(坦克等级成长!$H164*VLOOKUP($AX$2,坦克等级成长!$B$36:$G$42,MATCH(BU$3,坦克等级成长!$B$35:$G$35,0)),0)</f>
        <v>313</v>
      </c>
      <c r="BV67" s="193"/>
      <c r="BW67" s="189"/>
      <c r="BX67" s="189"/>
      <c r="BY67" s="189"/>
      <c r="BZ67" s="189"/>
      <c r="CA67" s="189"/>
      <c r="CB67" s="189"/>
      <c r="CC67" s="200"/>
      <c r="CD67" s="199">
        <v>14</v>
      </c>
      <c r="CE67" s="33">
        <f>ROUND(坦克等级成长!$F164*VLOOKUP($BV$2,坦克等级成长!$B$36:$G$42,MATCH(CE$3,坦克等级成长!$B$35:$G$35,0)),0)</f>
        <v>3333</v>
      </c>
      <c r="CF67" s="33">
        <f>ROUND(坦克等级成长!$F164*VLOOKUP($BV$2,坦克等级成长!$B$36:$G$42,MATCH(CF$3,坦克等级成长!$B$35:$G$35,0)),0)</f>
        <v>287</v>
      </c>
      <c r="CG67" s="33">
        <f>ROUND(坦克等级成长!$F164*VLOOKUP($BV$2,坦克等级成长!$B$36:$G$42,MATCH(CG$3,坦克等级成长!$B$35:$G$35,0)),0)</f>
        <v>1103</v>
      </c>
      <c r="CH67" s="33">
        <f t="shared" si="10"/>
        <v>1103</v>
      </c>
      <c r="CI67" s="33">
        <v>896</v>
      </c>
      <c r="CJ67" s="33">
        <f>ROUND(坦克等级成长!$F164*VLOOKUP($BV$2,坦克等级成长!$B$36:$G$42,MATCH(CJ$3,坦克等级成长!$B$35:$G$35,0)),0)</f>
        <v>1390</v>
      </c>
      <c r="CK67" s="33">
        <f>ROUND(坦克等级成长!$F164*VLOOKUP($BV$2,坦克等级成长!$B$36:$G$42,MATCH(CK$3,坦克等级成长!$B$35:$G$35,0)),0)</f>
        <v>333</v>
      </c>
      <c r="CL67" s="192">
        <v>14</v>
      </c>
      <c r="CM67" s="33">
        <f>ROUND(坦克等级成长!$H164*VLOOKUP($BV$2,坦克等级成长!$B$36:$G$42,MATCH(CM$3,坦克等级成长!$B$35:$G$35,0)),0)</f>
        <v>3376</v>
      </c>
      <c r="CN67" s="33">
        <f>ROUND(坦克等级成长!$H164*VLOOKUP($BV$2,坦克等级成长!$B$36:$G$42,MATCH(CN$3,坦克等级成长!$B$35:$G$35,0)),0)</f>
        <v>290</v>
      </c>
      <c r="CO67" s="33">
        <f>ROUND(坦克等级成长!$H164*VLOOKUP($BV$2,坦克等级成长!$B$36:$G$42,MATCH(CO$3,坦克等级成长!$B$35:$G$35,0)),0)</f>
        <v>1117</v>
      </c>
      <c r="CP67" s="33">
        <f t="shared" si="24"/>
        <v>1117</v>
      </c>
      <c r="CQ67" s="33">
        <v>896</v>
      </c>
      <c r="CR67" s="33">
        <f>ROUND(坦克等级成长!$H164*VLOOKUP($BV$2,坦克等级成长!$B$36:$G$42,MATCH(CR$3,坦克等级成长!$B$35:$G$35,0)),0)</f>
        <v>1408</v>
      </c>
      <c r="CS67" s="33">
        <f>ROUND(坦克等级成长!$H164*VLOOKUP($BV$2,坦克等级成长!$B$36:$G$42,MATCH(CS$3,坦克等级成长!$B$35:$G$35,0)),0)</f>
        <v>338</v>
      </c>
      <c r="CT67" s="193"/>
      <c r="CU67" s="189"/>
      <c r="CV67" s="189"/>
      <c r="CW67" s="189"/>
      <c r="CX67" s="189"/>
      <c r="CY67" s="189"/>
      <c r="CZ67" s="189"/>
      <c r="DA67" s="200"/>
      <c r="DB67" s="199">
        <v>14</v>
      </c>
      <c r="DC67" s="33">
        <f>ROUND(坦克等级成长!$F164*VLOOKUP($CT$2,坦克等级成长!$B$36:$G$42,MATCH(DC$3,坦克等级成长!$B$35:$G$35,0)),0)</f>
        <v>3088</v>
      </c>
      <c r="DD67" s="33">
        <f>ROUND(坦克等级成长!$F164*VLOOKUP($CT$2,坦克等级成长!$B$36:$G$42,MATCH(DD$3,坦克等级成长!$B$35:$G$35,0)),0)</f>
        <v>622</v>
      </c>
      <c r="DE67" s="33">
        <f>ROUND(坦克等级成长!$F164*VLOOKUP($CT$2,坦克等级成长!$B$36:$G$42,MATCH(DE$3,坦克等级成长!$B$35:$G$35,0)),0)</f>
        <v>1379</v>
      </c>
      <c r="DF67" s="33">
        <f t="shared" si="11"/>
        <v>1379</v>
      </c>
      <c r="DG67" s="33">
        <v>1120</v>
      </c>
      <c r="DH67" s="33">
        <f>ROUND(坦克等级成长!$F164*VLOOKUP($CT$2,坦克等级成长!$B$36:$G$42,MATCH(DH$3,坦克等级成长!$B$35:$G$35,0)),0)</f>
        <v>1158</v>
      </c>
      <c r="DI67" s="33">
        <f>ROUND(坦克等级成长!$F164*VLOOKUP($CT$2,坦克等级成长!$B$36:$G$42,MATCH(DI$3,坦克等级成长!$B$35:$G$35,0)),0)</f>
        <v>309</v>
      </c>
      <c r="DJ67" s="192">
        <v>14</v>
      </c>
      <c r="DK67" s="33">
        <f>ROUND(坦克等级成长!$H164*VLOOKUP($CT$2,坦克等级成长!$B$36:$G$42,MATCH(DK$3,坦克等级成长!$B$35:$G$35,0)),0)</f>
        <v>3128</v>
      </c>
      <c r="DL67" s="33">
        <f>ROUND(坦克等级成长!$H164*VLOOKUP($CT$2,坦克等级成长!$B$36:$G$42,MATCH(DL$3,坦克等级成长!$B$35:$G$35,0)),0)</f>
        <v>630</v>
      </c>
      <c r="DM67" s="33">
        <f>ROUND(坦克等级成长!$H164*VLOOKUP($CT$2,坦克等级成长!$B$36:$G$42,MATCH(DM$3,坦克等级成长!$B$35:$G$35,0)),0)</f>
        <v>1396</v>
      </c>
      <c r="DN67" s="33">
        <f t="shared" si="25"/>
        <v>1396</v>
      </c>
      <c r="DO67" s="33">
        <v>1120</v>
      </c>
      <c r="DP67" s="33">
        <f>ROUND(坦克等级成长!$H164*VLOOKUP($CT$2,坦克等级成长!$B$36:$G$42,MATCH(DP$3,坦克等级成长!$B$35:$G$35,0)),0)</f>
        <v>1173</v>
      </c>
      <c r="DQ67" s="33">
        <f>ROUND(坦克等级成长!$H164*VLOOKUP($CT$2,坦克等级成长!$B$36:$G$42,MATCH(DQ$3,坦克等级成长!$B$35:$G$35,0)),0)</f>
        <v>313</v>
      </c>
      <c r="DR67" s="193"/>
      <c r="DS67" s="189"/>
      <c r="DT67" s="189"/>
      <c r="DU67" s="189"/>
      <c r="DV67" s="189"/>
      <c r="DW67" s="189"/>
      <c r="DX67" s="189"/>
      <c r="DY67" s="200"/>
      <c r="DZ67" s="199">
        <v>14</v>
      </c>
      <c r="EA67" s="33">
        <f>ROUND(坦克等级成长!$F164*VLOOKUP($DR$2,坦克等级成长!$B$36:$G$42,MATCH(EA$3,坦克等级成长!$B$35:$G$35,0)),0)</f>
        <v>3778</v>
      </c>
      <c r="EB67" s="33">
        <f>ROUND(坦克等级成长!$F164*VLOOKUP($DR$2,坦克等级成长!$B$36:$G$42,MATCH(EB$3,坦克等级成长!$B$35:$G$35,0)),0)</f>
        <v>1035</v>
      </c>
      <c r="EC67" s="33">
        <f>ROUND(坦克等级成长!$F164*VLOOKUP($DR$2,坦克等级成长!$B$36:$G$42,MATCH(EC$3,坦克等级成长!$B$35:$G$35,0)),0)</f>
        <v>1103</v>
      </c>
      <c r="ED67" s="33">
        <f t="shared" si="12"/>
        <v>1103</v>
      </c>
      <c r="EE67" s="33">
        <v>955</v>
      </c>
      <c r="EF67" s="33">
        <f>ROUND(坦克等级成长!$F164*VLOOKUP($DR$2,坦克等级成长!$B$36:$G$42,MATCH(EF$3,坦克等级成长!$B$35:$G$35,0)),0)</f>
        <v>1621</v>
      </c>
      <c r="EG67" s="33">
        <f>ROUND(坦克等级成长!$F164*VLOOKUP($DR$2,坦克等级成长!$B$36:$G$42,MATCH(EG$3,坦克等级成长!$B$35:$G$35,0)),0)</f>
        <v>378</v>
      </c>
      <c r="EH67" s="192">
        <v>14</v>
      </c>
      <c r="EI67" s="33">
        <f>ROUND(坦克等级成长!$H164*VLOOKUP($DR$2,坦克等级成长!$B$36:$G$42,MATCH(EI$3,坦克等级成长!$B$35:$G$35,0)),0)</f>
        <v>3826</v>
      </c>
      <c r="EJ67" s="33">
        <f>ROUND(坦克等级成长!$H164*VLOOKUP($DR$2,坦克等级成长!$B$36:$G$42,MATCH(EJ$3,坦克等级成长!$B$35:$G$35,0)),0)</f>
        <v>1048</v>
      </c>
      <c r="EK67" s="33">
        <f>ROUND(坦克等级成长!$H164*VLOOKUP($DR$2,坦克等级成长!$B$36:$G$42,MATCH(EK$3,坦克等级成长!$B$35:$G$35,0)),0)</f>
        <v>1117</v>
      </c>
      <c r="EL67" s="33">
        <f t="shared" si="26"/>
        <v>1117</v>
      </c>
      <c r="EM67" s="33">
        <v>955</v>
      </c>
      <c r="EN67" s="33">
        <f>ROUND(坦克等级成长!$H164*VLOOKUP($DR$2,坦克等级成长!$B$36:$G$42,MATCH(EN$3,坦克等级成长!$B$35:$G$35,0)),0)</f>
        <v>1642</v>
      </c>
      <c r="EO67" s="33">
        <f>ROUND(坦克等级成长!$H164*VLOOKUP($DR$2,坦克等级成长!$B$36:$G$42,MATCH(EO$3,坦克等级成长!$B$35:$G$35,0)),0)</f>
        <v>383</v>
      </c>
      <c r="EP67" s="193"/>
      <c r="EQ67" s="189"/>
      <c r="ER67" s="189"/>
      <c r="ES67" s="189"/>
      <c r="ET67" s="189"/>
      <c r="EU67" s="189"/>
      <c r="EV67" s="189"/>
      <c r="EW67" s="200"/>
      <c r="EX67" s="199">
        <v>14</v>
      </c>
      <c r="EY67" s="33">
        <f>ROUND(坦克等级成长!$F164*VLOOKUP($EP$2,坦克等级成长!$B$36:$G$42,MATCH(EY$3,坦克等级成长!$B$35:$G$35,0)),0)</f>
        <v>3333</v>
      </c>
      <c r="EZ67" s="33">
        <f>ROUND(坦克等级成长!$F164*VLOOKUP($EP$2,坦克等级成长!$B$36:$G$42,MATCH(EZ$3,坦克等级成长!$B$35:$G$35,0)),0)</f>
        <v>343</v>
      </c>
      <c r="FA67" s="33">
        <f>ROUND(坦克等级成长!$F164*VLOOKUP($EP$2,坦克等级成长!$B$36:$G$42,MATCH(FA$3,坦克等级成长!$B$35:$G$35,0)),0)</f>
        <v>1268</v>
      </c>
      <c r="FB67" s="33">
        <f t="shared" si="13"/>
        <v>1268</v>
      </c>
      <c r="FC67" s="33">
        <v>1030</v>
      </c>
      <c r="FD67" s="33">
        <f>ROUND(坦克等级成长!$F164*VLOOKUP($EP$2,坦克等级成长!$B$36:$G$42,MATCH(FD$3,坦克等级成长!$B$35:$G$35,0)),0)</f>
        <v>1390</v>
      </c>
      <c r="FE67" s="33">
        <f>ROUND(坦克等级成长!$F164*VLOOKUP($EP$2,坦克等级成长!$B$36:$G$42,MATCH(FE$3,坦克等级成长!$B$35:$G$35,0)),0)</f>
        <v>333</v>
      </c>
      <c r="FF67" s="192">
        <v>14</v>
      </c>
      <c r="FG67" s="33">
        <f>ROUND(坦克等级成长!$H164*VLOOKUP($EP$2,坦克等级成长!$B$36:$G$42,MATCH(FG$3,坦克等级成长!$B$35:$G$35,0)),0)</f>
        <v>3376</v>
      </c>
      <c r="FH67" s="33">
        <f>ROUND(坦克等级成长!$H164*VLOOKUP($EP$2,坦克等级成长!$B$36:$G$42,MATCH(FH$3,坦克等级成长!$B$35:$G$35,0)),0)</f>
        <v>348</v>
      </c>
      <c r="FI67" s="33">
        <f>ROUND(坦克等级成长!$H164*VLOOKUP($EP$2,坦克等级成长!$B$36:$G$42,MATCH(FI$3,坦克等级成长!$B$35:$G$35,0)),0)</f>
        <v>1285</v>
      </c>
      <c r="FJ67" s="33">
        <f t="shared" si="27"/>
        <v>1285</v>
      </c>
      <c r="FK67" s="33">
        <v>1030</v>
      </c>
      <c r="FL67" s="33">
        <f>ROUND(坦克等级成长!$H164*VLOOKUP($EP$2,坦克等级成长!$B$36:$G$42,MATCH(FL$3,坦克等级成长!$B$35:$G$35,0)),0)</f>
        <v>1408</v>
      </c>
      <c r="FM67" s="33">
        <f>ROUND(坦克等级成长!$H164*VLOOKUP($EP$2,坦克等级成长!$B$36:$G$42,MATCH(FM$3,坦克等级成长!$B$35:$G$35,0)),0)</f>
        <v>338</v>
      </c>
    </row>
    <row r="68" spans="1:169" ht="14.25" x14ac:dyDescent="0.3">
      <c r="A68" s="189">
        <v>5</v>
      </c>
      <c r="B68" s="193"/>
      <c r="C68" s="189"/>
      <c r="D68" s="189"/>
      <c r="E68" s="189"/>
      <c r="F68" s="189"/>
      <c r="G68" s="189"/>
      <c r="H68" s="189"/>
      <c r="I68" s="200"/>
      <c r="J68" s="199">
        <v>15</v>
      </c>
      <c r="K68" s="33">
        <f>ROUND(坦克等级成长!$F165*VLOOKUP($B$2,坦克等级成长!$B$36:$G$42,MATCH(K$3,坦克等级成长!$B$35:$G$35,0)),0)</f>
        <v>3184</v>
      </c>
      <c r="L68" s="33">
        <f>ROUND(坦克等级成长!$F165*VLOOKUP($B$2,坦克等级成长!$B$36:$G$42,MATCH(L$3,坦克等级成长!$B$35:$G$35,0)),0)</f>
        <v>317</v>
      </c>
      <c r="M68" s="33">
        <f>ROUND(坦克等级成长!$F165*VLOOKUP($B$2,坦克等级成长!$B$36:$G$42,MATCH(M$3,坦克等级成长!$B$35:$G$35,0)),0)</f>
        <v>1194</v>
      </c>
      <c r="N68" s="33">
        <f t="shared" si="7"/>
        <v>1194</v>
      </c>
      <c r="O68" s="33">
        <v>907</v>
      </c>
      <c r="P68" s="33">
        <f>ROUND(坦克等级成长!$F165*VLOOKUP($B$2,坦克等级成长!$B$36:$G$42,MATCH(P$3,坦克等级成长!$B$35:$G$35,0)),0)</f>
        <v>1194</v>
      </c>
      <c r="Q68" s="33">
        <f>ROUND(坦克等级成长!$F165*VLOOKUP($B$2,坦克等级成长!$B$36:$G$42,MATCH(Q$3,坦克等级成长!$B$35:$G$35,0)),0)</f>
        <v>318</v>
      </c>
      <c r="R68" s="192">
        <v>15</v>
      </c>
      <c r="S68" s="33">
        <f>ROUND(坦克等级成长!$H165*VLOOKUP($B$2,坦克等级成长!$B$36:$G$42,MATCH(S$3,坦克等级成长!$B$35:$G$35,0)),0)</f>
        <v>3232</v>
      </c>
      <c r="T68" s="33">
        <f>ROUND(坦克等级成长!$H165*VLOOKUP($B$2,坦克等级成长!$B$36:$G$42,MATCH(T$3,坦克等级成长!$B$35:$G$35,0)),0)</f>
        <v>322</v>
      </c>
      <c r="U68" s="33">
        <f>ROUND(坦克等级成长!$H165*VLOOKUP($B$2,坦克等级成长!$B$36:$G$42,MATCH(U$3,坦克等级成长!$B$35:$G$35,0)),0)</f>
        <v>1212</v>
      </c>
      <c r="V68" s="33">
        <f t="shared" si="21"/>
        <v>1212</v>
      </c>
      <c r="W68" s="33">
        <v>907</v>
      </c>
      <c r="X68" s="33">
        <f>ROUND(坦克等级成长!$H165*VLOOKUP($B$2,坦克等级成长!$B$36:$G$42,MATCH(X$3,坦克等级成长!$B$35:$G$35,0)),0)</f>
        <v>1212</v>
      </c>
      <c r="Y68" s="33">
        <f>ROUND(坦克等级成长!$H165*VLOOKUP($B$2,坦克等级成长!$B$36:$G$42,MATCH(Y$3,坦克等级成长!$B$35:$G$35,0)),0)</f>
        <v>323</v>
      </c>
      <c r="Z68" s="193"/>
      <c r="AA68" s="189"/>
      <c r="AB68" s="189"/>
      <c r="AC68" s="189"/>
      <c r="AD68" s="189"/>
      <c r="AE68" s="189"/>
      <c r="AF68" s="189"/>
      <c r="AG68" s="200"/>
      <c r="AH68" s="199">
        <v>15</v>
      </c>
      <c r="AI68" s="33">
        <f>ROUND(坦克等级成长!$F165*VLOOKUP($Z$2,坦克等级成长!$B$36:$G$42,MATCH(AI$3,坦克等级成长!$B$35:$G$35,0)),0)</f>
        <v>3184</v>
      </c>
      <c r="AJ68" s="33">
        <f>ROUND(坦克等级成长!$F165*VLOOKUP($Z$2,坦克等级成长!$B$36:$G$42,MATCH(AJ$3,坦克等级成长!$B$35:$G$35,0)),0)</f>
        <v>169</v>
      </c>
      <c r="AK68" s="33">
        <f>ROUND(坦克等级成长!$F165*VLOOKUP($Z$2,坦克等级成长!$B$36:$G$42,MATCH(AK$3,坦克等级成长!$B$35:$G$35,0)),0)</f>
        <v>1308</v>
      </c>
      <c r="AL68" s="33">
        <f t="shared" si="8"/>
        <v>1308</v>
      </c>
      <c r="AM68" s="33">
        <v>993</v>
      </c>
      <c r="AN68" s="33">
        <f>ROUND(坦克等级成长!$F165*VLOOKUP($Z$2,坦克等级成长!$B$36:$G$42,MATCH(AN$3,坦克等级成长!$B$35:$G$35,0)),0)</f>
        <v>1194</v>
      </c>
      <c r="AO68" s="33">
        <f>ROUND(坦克等级成长!$F165*VLOOKUP($Z$2,坦克等级成长!$B$36:$G$42,MATCH(AO$3,坦克等级成长!$B$35:$G$35,0)),0)</f>
        <v>318</v>
      </c>
      <c r="AP68" s="192">
        <v>15</v>
      </c>
      <c r="AQ68" s="33">
        <f>ROUND(坦克等级成长!$H165*VLOOKUP($Z$2,坦克等级成长!$B$36:$G$42,MATCH(AQ$3,坦克等级成长!$B$35:$G$35,0)),0)</f>
        <v>3232</v>
      </c>
      <c r="AR68" s="33">
        <f>ROUND(坦克等级成长!$H165*VLOOKUP($Z$2,坦克等级成长!$B$36:$G$42,MATCH(AR$3,坦克等级成长!$B$35:$G$35,0)),0)</f>
        <v>172</v>
      </c>
      <c r="AS68" s="33">
        <f>ROUND(坦克等级成长!$H165*VLOOKUP($Z$2,坦克等级成长!$B$36:$G$42,MATCH(AS$3,坦克等级成长!$B$35:$G$35,0)),0)</f>
        <v>1327</v>
      </c>
      <c r="AT68" s="33">
        <f t="shared" si="22"/>
        <v>1327</v>
      </c>
      <c r="AU68" s="33">
        <v>993</v>
      </c>
      <c r="AV68" s="33">
        <f>ROUND(坦克等级成长!$H165*VLOOKUP($Z$2,坦克等级成长!$B$36:$G$42,MATCH(AV$3,坦克等级成长!$B$35:$G$35,0)),0)</f>
        <v>1212</v>
      </c>
      <c r="AW68" s="33">
        <f>ROUND(坦克等级成长!$H165*VLOOKUP($Z$2,坦克等级成长!$B$36:$G$42,MATCH(AW$3,坦克等级成长!$B$35:$G$35,0)),0)</f>
        <v>323</v>
      </c>
      <c r="AX68" s="193"/>
      <c r="AY68" s="189"/>
      <c r="AZ68" s="189"/>
      <c r="BA68" s="189"/>
      <c r="BB68" s="189"/>
      <c r="BC68" s="189"/>
      <c r="BD68" s="189"/>
      <c r="BE68" s="200"/>
      <c r="BF68" s="199">
        <v>15</v>
      </c>
      <c r="BG68" s="33">
        <f>ROUND(坦克等级成长!$F165*VLOOKUP($AX$2,坦克等级成长!$B$36:$G$42,MATCH(BG$3,坦克等级成长!$B$35:$G$35,0)),0)</f>
        <v>3184</v>
      </c>
      <c r="BH68" s="33">
        <f>ROUND(坦克等级成长!$F165*VLOOKUP($AX$2,坦克等级成长!$B$36:$G$42,MATCH(BH$3,坦克等级成长!$B$35:$G$35,0)),0)</f>
        <v>317</v>
      </c>
      <c r="BI68" s="33">
        <f>ROUND(坦克等级成长!$F165*VLOOKUP($AX$2,坦克等级成长!$B$36:$G$42,MATCH(BI$3,坦克等级成长!$B$35:$G$35,0)),0)</f>
        <v>1194</v>
      </c>
      <c r="BJ68" s="33">
        <f t="shared" si="9"/>
        <v>1194</v>
      </c>
      <c r="BK68" s="33">
        <v>907</v>
      </c>
      <c r="BL68" s="33">
        <f>ROUND(坦克等级成长!$F165*VLOOKUP($AX$2,坦克等级成长!$B$36:$G$42,MATCH(BL$3,坦克等级成长!$B$35:$G$35,0)),0)</f>
        <v>1194</v>
      </c>
      <c r="BM68" s="33">
        <f>ROUND(坦克等级成长!$F165*VLOOKUP($AX$2,坦克等级成长!$B$36:$G$42,MATCH(BM$3,坦克等级成长!$B$35:$G$35,0)),0)</f>
        <v>318</v>
      </c>
      <c r="BN68" s="192">
        <v>15</v>
      </c>
      <c r="BO68" s="33">
        <f>ROUND(坦克等级成长!$H165*VLOOKUP($AX$2,坦克等级成长!$B$36:$G$42,MATCH(BO$3,坦克等级成长!$B$35:$G$35,0)),0)</f>
        <v>3232</v>
      </c>
      <c r="BP68" s="33">
        <f>ROUND(坦克等级成长!$H165*VLOOKUP($AX$2,坦克等级成长!$B$36:$G$42,MATCH(BP$3,坦克等级成长!$B$35:$G$35,0)),0)</f>
        <v>322</v>
      </c>
      <c r="BQ68" s="33">
        <f>ROUND(坦克等级成长!$H165*VLOOKUP($AX$2,坦克等级成长!$B$36:$G$42,MATCH(BQ$3,坦克等级成长!$B$35:$G$35,0)),0)</f>
        <v>1212</v>
      </c>
      <c r="BR68" s="33">
        <f t="shared" si="23"/>
        <v>1212</v>
      </c>
      <c r="BS68" s="33">
        <v>907</v>
      </c>
      <c r="BT68" s="33">
        <f>ROUND(坦克等级成长!$H165*VLOOKUP($AX$2,坦克等级成长!$B$36:$G$42,MATCH(BT$3,坦克等级成长!$B$35:$G$35,0)),0)</f>
        <v>1212</v>
      </c>
      <c r="BU68" s="33">
        <f>ROUND(坦克等级成长!$H165*VLOOKUP($AX$2,坦克等级成长!$B$36:$G$42,MATCH(BU$3,坦克等级成长!$B$35:$G$35,0)),0)</f>
        <v>323</v>
      </c>
      <c r="BV68" s="193"/>
      <c r="BW68" s="189"/>
      <c r="BX68" s="189"/>
      <c r="BY68" s="189"/>
      <c r="BZ68" s="189"/>
      <c r="CA68" s="189"/>
      <c r="CB68" s="189"/>
      <c r="CC68" s="200"/>
      <c r="CD68" s="199">
        <v>15</v>
      </c>
      <c r="CE68" s="33">
        <f>ROUND(坦克等级成长!$F165*VLOOKUP($BV$2,坦克等级成长!$B$36:$G$42,MATCH(CE$3,坦克等级成长!$B$35:$G$35,0)),0)</f>
        <v>3437</v>
      </c>
      <c r="CF68" s="33">
        <f>ROUND(坦克等级成长!$F165*VLOOKUP($BV$2,坦克等级成长!$B$36:$G$42,MATCH(CF$3,坦克等级成长!$B$35:$G$35,0)),0)</f>
        <v>295</v>
      </c>
      <c r="CG68" s="33">
        <f>ROUND(坦克等级成长!$F165*VLOOKUP($BV$2,坦克等级成长!$B$36:$G$42,MATCH(CG$3,坦克等级成长!$B$35:$G$35,0)),0)</f>
        <v>1137</v>
      </c>
      <c r="CH68" s="33">
        <f t="shared" si="10"/>
        <v>1137</v>
      </c>
      <c r="CI68" s="33">
        <v>926</v>
      </c>
      <c r="CJ68" s="33">
        <f>ROUND(坦克等级成长!$F165*VLOOKUP($BV$2,坦克等级成长!$B$36:$G$42,MATCH(CJ$3,坦克等级成长!$B$35:$G$35,0)),0)</f>
        <v>1433</v>
      </c>
      <c r="CK68" s="33">
        <f>ROUND(坦克等级成长!$F165*VLOOKUP($BV$2,坦克等级成长!$B$36:$G$42,MATCH(CK$3,坦克等级成长!$B$35:$G$35,0)),0)</f>
        <v>344</v>
      </c>
      <c r="CL68" s="192">
        <v>15</v>
      </c>
      <c r="CM68" s="33">
        <f>ROUND(坦克等级成长!$H165*VLOOKUP($BV$2,坦克等级成长!$B$36:$G$42,MATCH(CM$3,坦克等级成长!$B$35:$G$35,0)),0)</f>
        <v>3488</v>
      </c>
      <c r="CN68" s="33">
        <f>ROUND(坦克等级成长!$H165*VLOOKUP($BV$2,坦克等级成长!$B$36:$G$42,MATCH(CN$3,坦克等级成长!$B$35:$G$35,0)),0)</f>
        <v>300</v>
      </c>
      <c r="CO68" s="33">
        <f>ROUND(坦克等级成长!$H165*VLOOKUP($BV$2,坦克等级成长!$B$36:$G$42,MATCH(CO$3,坦克等级成长!$B$35:$G$35,0)),0)</f>
        <v>1154</v>
      </c>
      <c r="CP68" s="33">
        <f t="shared" si="24"/>
        <v>1154</v>
      </c>
      <c r="CQ68" s="33">
        <v>926</v>
      </c>
      <c r="CR68" s="33">
        <f>ROUND(坦克等级成长!$H165*VLOOKUP($BV$2,坦克等级成长!$B$36:$G$42,MATCH(CR$3,坦克等级成长!$B$35:$G$35,0)),0)</f>
        <v>1454</v>
      </c>
      <c r="CS68" s="33">
        <f>ROUND(坦克等级成长!$H165*VLOOKUP($BV$2,坦克等级成长!$B$36:$G$42,MATCH(CS$3,坦克等级成长!$B$35:$G$35,0)),0)</f>
        <v>349</v>
      </c>
      <c r="CT68" s="193"/>
      <c r="CU68" s="189"/>
      <c r="CV68" s="189"/>
      <c r="CW68" s="189"/>
      <c r="CX68" s="189"/>
      <c r="CY68" s="189"/>
      <c r="CZ68" s="189"/>
      <c r="DA68" s="200"/>
      <c r="DB68" s="199">
        <v>15</v>
      </c>
      <c r="DC68" s="33">
        <f>ROUND(坦克等级成长!$F165*VLOOKUP($CT$2,坦克等级成长!$B$36:$G$42,MATCH(DC$3,坦克等级成长!$B$35:$G$35,0)),0)</f>
        <v>3184</v>
      </c>
      <c r="DD68" s="33">
        <f>ROUND(坦克等级成长!$F165*VLOOKUP($CT$2,坦克等级成长!$B$36:$G$42,MATCH(DD$3,坦克等级成长!$B$35:$G$35,0)),0)</f>
        <v>641</v>
      </c>
      <c r="DE68" s="33">
        <f>ROUND(坦克等级成长!$F165*VLOOKUP($CT$2,坦克等级成长!$B$36:$G$42,MATCH(DE$3,坦克等级成长!$B$35:$G$35,0)),0)</f>
        <v>1421</v>
      </c>
      <c r="DF68" s="33">
        <f t="shared" si="11"/>
        <v>1421</v>
      </c>
      <c r="DG68" s="33">
        <v>1157</v>
      </c>
      <c r="DH68" s="33">
        <f>ROUND(坦克等级成长!$F165*VLOOKUP($CT$2,坦克等级成长!$B$36:$G$42,MATCH(DH$3,坦克等级成长!$B$35:$G$35,0)),0)</f>
        <v>1194</v>
      </c>
      <c r="DI68" s="33">
        <f>ROUND(坦克等级成长!$F165*VLOOKUP($CT$2,坦克等级成长!$B$36:$G$42,MATCH(DI$3,坦克等级成长!$B$35:$G$35,0)),0)</f>
        <v>318</v>
      </c>
      <c r="DJ68" s="192">
        <v>15</v>
      </c>
      <c r="DK68" s="33">
        <f>ROUND(坦克等级成长!$H165*VLOOKUP($CT$2,坦克等级成长!$B$36:$G$42,MATCH(DK$3,坦克等级成长!$B$35:$G$35,0)),0)</f>
        <v>3232</v>
      </c>
      <c r="DL68" s="33">
        <f>ROUND(坦克等级成长!$H165*VLOOKUP($CT$2,坦克等级成长!$B$36:$G$42,MATCH(DL$3,坦克等级成长!$B$35:$G$35,0)),0)</f>
        <v>651</v>
      </c>
      <c r="DM68" s="33">
        <f>ROUND(坦克等级成长!$H165*VLOOKUP($CT$2,坦克等级成长!$B$36:$G$42,MATCH(DM$3,坦克等级成长!$B$35:$G$35,0)),0)</f>
        <v>1443</v>
      </c>
      <c r="DN68" s="33">
        <f t="shared" si="25"/>
        <v>1443</v>
      </c>
      <c r="DO68" s="33">
        <v>1157</v>
      </c>
      <c r="DP68" s="33">
        <f>ROUND(坦克等级成长!$H165*VLOOKUP($CT$2,坦克等级成长!$B$36:$G$42,MATCH(DP$3,坦克等级成长!$B$35:$G$35,0)),0)</f>
        <v>1212</v>
      </c>
      <c r="DQ68" s="33">
        <f>ROUND(坦克等级成长!$H165*VLOOKUP($CT$2,坦克等级成长!$B$36:$G$42,MATCH(DQ$3,坦克等级成长!$B$35:$G$35,0)),0)</f>
        <v>323</v>
      </c>
      <c r="DR68" s="193"/>
      <c r="DS68" s="189"/>
      <c r="DT68" s="189"/>
      <c r="DU68" s="189"/>
      <c r="DV68" s="189"/>
      <c r="DW68" s="189"/>
      <c r="DX68" s="189"/>
      <c r="DY68" s="200"/>
      <c r="DZ68" s="199">
        <v>15</v>
      </c>
      <c r="EA68" s="33">
        <f>ROUND(坦克等级成长!$F165*VLOOKUP($DR$2,坦克等级成长!$B$36:$G$42,MATCH(EA$3,坦克等级成长!$B$35:$G$35,0)),0)</f>
        <v>3895</v>
      </c>
      <c r="EB68" s="33">
        <f>ROUND(坦克等级成长!$F165*VLOOKUP($DR$2,坦克等级成长!$B$36:$G$42,MATCH(EB$3,坦克等级成长!$B$35:$G$35,0)),0)</f>
        <v>1067</v>
      </c>
      <c r="EC68" s="33">
        <f>ROUND(坦克等级成长!$F165*VLOOKUP($DR$2,坦克等级成长!$B$36:$G$42,MATCH(EC$3,坦克等级成长!$B$35:$G$35,0)),0)</f>
        <v>1137</v>
      </c>
      <c r="ED68" s="33">
        <f t="shared" si="12"/>
        <v>1137</v>
      </c>
      <c r="EE68" s="33">
        <v>987</v>
      </c>
      <c r="EF68" s="33">
        <f>ROUND(坦克等级成长!$F165*VLOOKUP($DR$2,坦克等级成长!$B$36:$G$42,MATCH(EF$3,坦克等级成长!$B$35:$G$35,0)),0)</f>
        <v>1672</v>
      </c>
      <c r="EG68" s="33">
        <f>ROUND(坦克等级成长!$F165*VLOOKUP($DR$2,坦克等级成长!$B$36:$G$42,MATCH(EG$3,坦克等级成长!$B$35:$G$35,0)),0)</f>
        <v>389</v>
      </c>
      <c r="EH68" s="192">
        <v>15</v>
      </c>
      <c r="EI68" s="33">
        <f>ROUND(坦克等级成长!$H165*VLOOKUP($DR$2,坦克等级成长!$B$36:$G$42,MATCH(EI$3,坦克等级成长!$B$35:$G$35,0)),0)</f>
        <v>3954</v>
      </c>
      <c r="EJ68" s="33">
        <f>ROUND(坦克等级成长!$H165*VLOOKUP($DR$2,坦克等级成长!$B$36:$G$42,MATCH(EJ$3,坦克等级成长!$B$35:$G$35,0)),0)</f>
        <v>1083</v>
      </c>
      <c r="EK68" s="33">
        <f>ROUND(坦克等级成长!$H165*VLOOKUP($DR$2,坦克等级成长!$B$36:$G$42,MATCH(EK$3,坦克等级成长!$B$35:$G$35,0)),0)</f>
        <v>1154</v>
      </c>
      <c r="EL68" s="33">
        <f t="shared" si="26"/>
        <v>1154</v>
      </c>
      <c r="EM68" s="33">
        <v>987</v>
      </c>
      <c r="EN68" s="33">
        <f>ROUND(坦克等级成长!$H165*VLOOKUP($DR$2,坦克等级成长!$B$36:$G$42,MATCH(EN$3,坦克等级成长!$B$35:$G$35,0)),0)</f>
        <v>1697</v>
      </c>
      <c r="EO68" s="33">
        <f>ROUND(坦克等级成长!$H165*VLOOKUP($DR$2,坦克等级成长!$B$36:$G$42,MATCH(EO$3,坦克等级成长!$B$35:$G$35,0)),0)</f>
        <v>395</v>
      </c>
      <c r="EP68" s="193"/>
      <c r="EQ68" s="189"/>
      <c r="ER68" s="189"/>
      <c r="ES68" s="189"/>
      <c r="ET68" s="189"/>
      <c r="EU68" s="189"/>
      <c r="EV68" s="189"/>
      <c r="EW68" s="200"/>
      <c r="EX68" s="199">
        <v>15</v>
      </c>
      <c r="EY68" s="33">
        <f>ROUND(坦克等级成长!$F165*VLOOKUP($EP$2,坦克等级成长!$B$36:$G$42,MATCH(EY$3,坦克等级成长!$B$35:$G$35,0)),0)</f>
        <v>3437</v>
      </c>
      <c r="EZ68" s="33">
        <f>ROUND(坦克等级成长!$F165*VLOOKUP($EP$2,坦克等级成长!$B$36:$G$42,MATCH(EZ$3,坦克等级成长!$B$35:$G$35,0)),0)</f>
        <v>354</v>
      </c>
      <c r="FA68" s="33">
        <f>ROUND(坦克等级成长!$F165*VLOOKUP($EP$2,坦克等级成长!$B$36:$G$42,MATCH(FA$3,坦克等级成长!$B$35:$G$35,0)),0)</f>
        <v>1308</v>
      </c>
      <c r="FB68" s="33">
        <f t="shared" si="13"/>
        <v>1308</v>
      </c>
      <c r="FC68" s="33">
        <v>1064</v>
      </c>
      <c r="FD68" s="33">
        <f>ROUND(坦克等级成长!$F165*VLOOKUP($EP$2,坦克等级成长!$B$36:$G$42,MATCH(FD$3,坦克等级成长!$B$35:$G$35,0)),0)</f>
        <v>1433</v>
      </c>
      <c r="FE68" s="33">
        <f>ROUND(坦克等级成长!$F165*VLOOKUP($EP$2,坦克等级成长!$B$36:$G$42,MATCH(FE$3,坦克等级成长!$B$35:$G$35,0)),0)</f>
        <v>344</v>
      </c>
      <c r="FF68" s="192">
        <v>15</v>
      </c>
      <c r="FG68" s="33">
        <f>ROUND(坦克等级成长!$H165*VLOOKUP($EP$2,坦克等级成长!$B$36:$G$42,MATCH(FG$3,坦克等级成长!$B$35:$G$35,0)),0)</f>
        <v>3488</v>
      </c>
      <c r="FH68" s="33">
        <f>ROUND(坦克等级成长!$H165*VLOOKUP($EP$2,坦克等级成长!$B$36:$G$42,MATCH(FH$3,坦克等级成长!$B$35:$G$35,0)),0)</f>
        <v>359</v>
      </c>
      <c r="FI68" s="33">
        <f>ROUND(坦克等级成长!$H165*VLOOKUP($EP$2,坦克等级成长!$B$36:$G$42,MATCH(FI$3,坦克等级成长!$B$35:$G$35,0)),0)</f>
        <v>1327</v>
      </c>
      <c r="FJ68" s="33">
        <f t="shared" si="27"/>
        <v>1327</v>
      </c>
      <c r="FK68" s="33">
        <v>1064</v>
      </c>
      <c r="FL68" s="33">
        <f>ROUND(坦克等级成长!$H165*VLOOKUP($EP$2,坦克等级成长!$B$36:$G$42,MATCH(FL$3,坦克等级成长!$B$35:$G$35,0)),0)</f>
        <v>1454</v>
      </c>
      <c r="FM68" s="33">
        <f>ROUND(坦克等级成长!$H165*VLOOKUP($EP$2,坦克等级成长!$B$36:$G$42,MATCH(FM$3,坦克等级成长!$B$35:$G$35,0)),0)</f>
        <v>349</v>
      </c>
    </row>
    <row r="69" spans="1:169" ht="14.25" x14ac:dyDescent="0.3">
      <c r="A69" s="189">
        <v>5</v>
      </c>
      <c r="B69" s="193"/>
      <c r="C69" s="189"/>
      <c r="D69" s="189"/>
      <c r="E69" s="189"/>
      <c r="F69" s="189"/>
      <c r="G69" s="189"/>
      <c r="H69" s="189"/>
      <c r="I69" s="200"/>
      <c r="J69" s="199">
        <v>16</v>
      </c>
      <c r="K69" s="33">
        <f>ROUND(坦克等级成长!$F166*VLOOKUP($B$2,坦克等级成长!$B$36:$G$42,MATCH(K$3,坦克等级成长!$B$35:$G$35,0)),0)</f>
        <v>3280</v>
      </c>
      <c r="L69" s="33">
        <f>ROUND(坦克等级成长!$F166*VLOOKUP($B$2,坦克等级成长!$B$36:$G$42,MATCH(L$3,坦克等级成长!$B$35:$G$35,0)),0)</f>
        <v>327</v>
      </c>
      <c r="M69" s="33">
        <f>ROUND(坦克等级成长!$F166*VLOOKUP($B$2,坦克等级成长!$B$36:$G$42,MATCH(M$3,坦克等级成长!$B$35:$G$35,0)),0)</f>
        <v>1230</v>
      </c>
      <c r="N69" s="33">
        <f t="shared" si="7"/>
        <v>1230</v>
      </c>
      <c r="O69" s="33">
        <v>937</v>
      </c>
      <c r="P69" s="33">
        <f>ROUND(坦克等级成长!$F166*VLOOKUP($B$2,坦克等级成长!$B$36:$G$42,MATCH(P$3,坦克等级成长!$B$35:$G$35,0)),0)</f>
        <v>1230</v>
      </c>
      <c r="Q69" s="33">
        <f>ROUND(坦克等级成长!$F166*VLOOKUP($B$2,坦克等级成长!$B$36:$G$42,MATCH(Q$3,坦克等级成长!$B$35:$G$35,0)),0)</f>
        <v>328</v>
      </c>
      <c r="R69" s="192">
        <v>16</v>
      </c>
      <c r="S69" s="33">
        <f>ROUND(坦克等级成长!$H166*VLOOKUP($B$2,坦克等级成长!$B$36:$G$42,MATCH(S$3,坦克等级成长!$B$35:$G$35,0)),0)</f>
        <v>3336</v>
      </c>
      <c r="T69" s="33">
        <f>ROUND(坦克等级成长!$H166*VLOOKUP($B$2,坦克等级成长!$B$36:$G$42,MATCH(T$3,坦克等级成长!$B$35:$G$35,0)),0)</f>
        <v>332</v>
      </c>
      <c r="U69" s="33">
        <f>ROUND(坦克等级成长!$H166*VLOOKUP($B$2,坦克等级成长!$B$36:$G$42,MATCH(U$3,坦克等级成长!$B$35:$G$35,0)),0)</f>
        <v>1251</v>
      </c>
      <c r="V69" s="33">
        <f t="shared" si="21"/>
        <v>1251</v>
      </c>
      <c r="W69" s="33">
        <v>937</v>
      </c>
      <c r="X69" s="33">
        <f>ROUND(坦克等级成长!$H166*VLOOKUP($B$2,坦克等级成长!$B$36:$G$42,MATCH(X$3,坦克等级成长!$B$35:$G$35,0)),0)</f>
        <v>1251</v>
      </c>
      <c r="Y69" s="33">
        <f>ROUND(坦克等级成长!$H166*VLOOKUP($B$2,坦克等级成长!$B$36:$G$42,MATCH(Y$3,坦克等级成长!$B$35:$G$35,0)),0)</f>
        <v>334</v>
      </c>
      <c r="Z69" s="193"/>
      <c r="AA69" s="189"/>
      <c r="AB69" s="189"/>
      <c r="AC69" s="189"/>
      <c r="AD69" s="189"/>
      <c r="AE69" s="189"/>
      <c r="AF69" s="189"/>
      <c r="AG69" s="200"/>
      <c r="AH69" s="199">
        <v>16</v>
      </c>
      <c r="AI69" s="33">
        <f>ROUND(坦克等级成长!$F166*VLOOKUP($Z$2,坦克等级成长!$B$36:$G$42,MATCH(AI$3,坦克等级成长!$B$35:$G$35,0)),0)</f>
        <v>3280</v>
      </c>
      <c r="AJ69" s="33">
        <f>ROUND(坦克等级成长!$F166*VLOOKUP($Z$2,坦克等级成长!$B$36:$G$42,MATCH(AJ$3,坦克等级成长!$B$35:$G$35,0)),0)</f>
        <v>174</v>
      </c>
      <c r="AK69" s="33">
        <f>ROUND(坦克等级成长!$F166*VLOOKUP($Z$2,坦克等级成长!$B$36:$G$42,MATCH(AK$3,坦克等级成长!$B$35:$G$35,0)),0)</f>
        <v>1347</v>
      </c>
      <c r="AL69" s="33">
        <f t="shared" si="8"/>
        <v>1347</v>
      </c>
      <c r="AM69" s="33">
        <v>1026</v>
      </c>
      <c r="AN69" s="33">
        <f>ROUND(坦克等级成长!$F166*VLOOKUP($Z$2,坦克等级成长!$B$36:$G$42,MATCH(AN$3,坦克等级成长!$B$35:$G$35,0)),0)</f>
        <v>1230</v>
      </c>
      <c r="AO69" s="33">
        <f>ROUND(坦克等级成长!$F166*VLOOKUP($Z$2,坦克等级成长!$B$36:$G$42,MATCH(AO$3,坦克等级成长!$B$35:$G$35,0)),0)</f>
        <v>328</v>
      </c>
      <c r="AP69" s="192">
        <v>16</v>
      </c>
      <c r="AQ69" s="33">
        <f>ROUND(坦克等级成长!$H166*VLOOKUP($Z$2,坦克等级成长!$B$36:$G$42,MATCH(AQ$3,坦克等级成长!$B$35:$G$35,0)),0)</f>
        <v>3336</v>
      </c>
      <c r="AR69" s="33">
        <f>ROUND(坦克等级成长!$H166*VLOOKUP($Z$2,坦克等级成长!$B$36:$G$42,MATCH(AR$3,坦克等级成长!$B$35:$G$35,0)),0)</f>
        <v>177</v>
      </c>
      <c r="AS69" s="33">
        <f>ROUND(坦克等级成长!$H166*VLOOKUP($Z$2,坦克等级成长!$B$36:$G$42,MATCH(AS$3,坦克等级成长!$B$35:$G$35,0)),0)</f>
        <v>1370</v>
      </c>
      <c r="AT69" s="33">
        <f t="shared" si="22"/>
        <v>1370</v>
      </c>
      <c r="AU69" s="33">
        <v>1026</v>
      </c>
      <c r="AV69" s="33">
        <f>ROUND(坦克等级成长!$H166*VLOOKUP($Z$2,坦克等级成长!$B$36:$G$42,MATCH(AV$3,坦克等级成长!$B$35:$G$35,0)),0)</f>
        <v>1251</v>
      </c>
      <c r="AW69" s="33">
        <f>ROUND(坦克等级成长!$H166*VLOOKUP($Z$2,坦克等级成长!$B$36:$G$42,MATCH(AW$3,坦克等级成长!$B$35:$G$35,0)),0)</f>
        <v>334</v>
      </c>
      <c r="AX69" s="193"/>
      <c r="AY69" s="189"/>
      <c r="AZ69" s="189"/>
      <c r="BA69" s="189"/>
      <c r="BB69" s="189"/>
      <c r="BC69" s="189"/>
      <c r="BD69" s="189"/>
      <c r="BE69" s="200"/>
      <c r="BF69" s="199">
        <v>16</v>
      </c>
      <c r="BG69" s="33">
        <f>ROUND(坦克等级成长!$F166*VLOOKUP($AX$2,坦克等级成长!$B$36:$G$42,MATCH(BG$3,坦克等级成长!$B$35:$G$35,0)),0)</f>
        <v>3280</v>
      </c>
      <c r="BH69" s="33">
        <f>ROUND(坦克等级成长!$F166*VLOOKUP($AX$2,坦克等级成长!$B$36:$G$42,MATCH(BH$3,坦克等级成长!$B$35:$G$35,0)),0)</f>
        <v>327</v>
      </c>
      <c r="BI69" s="33">
        <f>ROUND(坦克等级成长!$F166*VLOOKUP($AX$2,坦克等级成长!$B$36:$G$42,MATCH(BI$3,坦克等级成长!$B$35:$G$35,0)),0)</f>
        <v>1230</v>
      </c>
      <c r="BJ69" s="33">
        <f t="shared" si="9"/>
        <v>1230</v>
      </c>
      <c r="BK69" s="33">
        <v>937</v>
      </c>
      <c r="BL69" s="33">
        <f>ROUND(坦克等级成长!$F166*VLOOKUP($AX$2,坦克等级成长!$B$36:$G$42,MATCH(BL$3,坦克等级成长!$B$35:$G$35,0)),0)</f>
        <v>1230</v>
      </c>
      <c r="BM69" s="33">
        <f>ROUND(坦克等级成长!$F166*VLOOKUP($AX$2,坦克等级成长!$B$36:$G$42,MATCH(BM$3,坦克等级成长!$B$35:$G$35,0)),0)</f>
        <v>328</v>
      </c>
      <c r="BN69" s="192">
        <v>16</v>
      </c>
      <c r="BO69" s="33">
        <f>ROUND(坦克等级成长!$H166*VLOOKUP($AX$2,坦克等级成长!$B$36:$G$42,MATCH(BO$3,坦克等级成长!$B$35:$G$35,0)),0)</f>
        <v>3336</v>
      </c>
      <c r="BP69" s="33">
        <f>ROUND(坦克等级成长!$H166*VLOOKUP($AX$2,坦克等级成长!$B$36:$G$42,MATCH(BP$3,坦克等级成长!$B$35:$G$35,0)),0)</f>
        <v>332</v>
      </c>
      <c r="BQ69" s="33">
        <f>ROUND(坦克等级成长!$H166*VLOOKUP($AX$2,坦克等级成长!$B$36:$G$42,MATCH(BQ$3,坦克等级成长!$B$35:$G$35,0)),0)</f>
        <v>1251</v>
      </c>
      <c r="BR69" s="33">
        <f t="shared" si="23"/>
        <v>1251</v>
      </c>
      <c r="BS69" s="33">
        <v>937</v>
      </c>
      <c r="BT69" s="33">
        <f>ROUND(坦克等级成长!$H166*VLOOKUP($AX$2,坦克等级成长!$B$36:$G$42,MATCH(BT$3,坦克等级成长!$B$35:$G$35,0)),0)</f>
        <v>1251</v>
      </c>
      <c r="BU69" s="33">
        <f>ROUND(坦克等级成长!$H166*VLOOKUP($AX$2,坦克等级成长!$B$36:$G$42,MATCH(BU$3,坦克等级成长!$B$35:$G$35,0)),0)</f>
        <v>334</v>
      </c>
      <c r="BV69" s="193"/>
      <c r="BW69" s="189"/>
      <c r="BX69" s="189"/>
      <c r="BY69" s="189"/>
      <c r="BZ69" s="189"/>
      <c r="CA69" s="189"/>
      <c r="CB69" s="189"/>
      <c r="CC69" s="200"/>
      <c r="CD69" s="199">
        <v>16</v>
      </c>
      <c r="CE69" s="33">
        <f>ROUND(坦克等级成长!$F166*VLOOKUP($BV$2,坦克等级成长!$B$36:$G$42,MATCH(CE$3,坦克等级成长!$B$35:$G$35,0)),0)</f>
        <v>3540</v>
      </c>
      <c r="CF69" s="33">
        <f>ROUND(坦克等级成长!$F166*VLOOKUP($BV$2,坦克等级成长!$B$36:$G$42,MATCH(CF$3,坦克等级成长!$B$35:$G$35,0)),0)</f>
        <v>304</v>
      </c>
      <c r="CG69" s="33">
        <f>ROUND(坦克等级成长!$F166*VLOOKUP($BV$2,坦克等级成长!$B$36:$G$42,MATCH(CG$3,坦克等级成长!$B$35:$G$35,0)),0)</f>
        <v>1171</v>
      </c>
      <c r="CH69" s="33">
        <f t="shared" si="10"/>
        <v>1171</v>
      </c>
      <c r="CI69" s="33">
        <v>956</v>
      </c>
      <c r="CJ69" s="33">
        <f>ROUND(坦克等级成长!$F166*VLOOKUP($BV$2,坦克等级成长!$B$36:$G$42,MATCH(CJ$3,坦克等级成长!$B$35:$G$35,0)),0)</f>
        <v>1476</v>
      </c>
      <c r="CK69" s="33">
        <f>ROUND(坦克等级成长!$F166*VLOOKUP($BV$2,坦克等级成长!$B$36:$G$42,MATCH(CK$3,坦克等级成长!$B$35:$G$35,0)),0)</f>
        <v>354</v>
      </c>
      <c r="CL69" s="192">
        <v>16</v>
      </c>
      <c r="CM69" s="33">
        <f>ROUND(坦克等级成长!$H166*VLOOKUP($BV$2,坦克等级成长!$B$36:$G$42,MATCH(CM$3,坦克等级成长!$B$35:$G$35,0)),0)</f>
        <v>3601</v>
      </c>
      <c r="CN69" s="33">
        <f>ROUND(坦克等级成长!$H166*VLOOKUP($BV$2,坦克等级成长!$B$36:$G$42,MATCH(CN$3,坦克等级成长!$B$35:$G$35,0)),0)</f>
        <v>310</v>
      </c>
      <c r="CO69" s="33">
        <f>ROUND(坦克等级成长!$H166*VLOOKUP($BV$2,坦克等级成长!$B$36:$G$42,MATCH(CO$3,坦克等级成长!$B$35:$G$35,0)),0)</f>
        <v>1191</v>
      </c>
      <c r="CP69" s="33">
        <f t="shared" si="24"/>
        <v>1191</v>
      </c>
      <c r="CQ69" s="33">
        <v>956</v>
      </c>
      <c r="CR69" s="33">
        <f>ROUND(坦克等级成长!$H166*VLOOKUP($BV$2,坦克等级成长!$B$36:$G$42,MATCH(CR$3,坦克等级成长!$B$35:$G$35,0)),0)</f>
        <v>1501</v>
      </c>
      <c r="CS69" s="33">
        <f>ROUND(坦克等级成长!$H166*VLOOKUP($BV$2,坦克等级成长!$B$36:$G$42,MATCH(CS$3,坦克等级成长!$B$35:$G$35,0)),0)</f>
        <v>360</v>
      </c>
      <c r="CT69" s="193"/>
      <c r="CU69" s="189"/>
      <c r="CV69" s="189"/>
      <c r="CW69" s="189"/>
      <c r="CX69" s="189"/>
      <c r="CY69" s="189"/>
      <c r="CZ69" s="189"/>
      <c r="DA69" s="200"/>
      <c r="DB69" s="199">
        <v>16</v>
      </c>
      <c r="DC69" s="33">
        <f>ROUND(坦克等级成长!$F166*VLOOKUP($CT$2,坦克等级成长!$B$36:$G$42,MATCH(DC$3,坦克等级成长!$B$35:$G$35,0)),0)</f>
        <v>3280</v>
      </c>
      <c r="DD69" s="33">
        <f>ROUND(坦克等级成长!$F166*VLOOKUP($CT$2,坦克等级成长!$B$36:$G$42,MATCH(DD$3,坦克等级成长!$B$35:$G$35,0)),0)</f>
        <v>660</v>
      </c>
      <c r="DE69" s="33">
        <f>ROUND(坦克等级成长!$F166*VLOOKUP($CT$2,坦克等级成长!$B$36:$G$42,MATCH(DE$3,坦克等级成长!$B$35:$G$35,0)),0)</f>
        <v>1464</v>
      </c>
      <c r="DF69" s="33">
        <f t="shared" si="11"/>
        <v>1464</v>
      </c>
      <c r="DG69" s="33">
        <v>1195</v>
      </c>
      <c r="DH69" s="33">
        <f>ROUND(坦克等级成长!$F166*VLOOKUP($CT$2,坦克等级成长!$B$36:$G$42,MATCH(DH$3,坦克等级成长!$B$35:$G$35,0)),0)</f>
        <v>1230</v>
      </c>
      <c r="DI69" s="33">
        <f>ROUND(坦克等级成长!$F166*VLOOKUP($CT$2,坦克等级成长!$B$36:$G$42,MATCH(DI$3,坦克等级成长!$B$35:$G$35,0)),0)</f>
        <v>328</v>
      </c>
      <c r="DJ69" s="192">
        <v>16</v>
      </c>
      <c r="DK69" s="33">
        <f>ROUND(坦克等级成长!$H166*VLOOKUP($CT$2,坦克等级成长!$B$36:$G$42,MATCH(DK$3,坦克等级成长!$B$35:$G$35,0)),0)</f>
        <v>3336</v>
      </c>
      <c r="DL69" s="33">
        <f>ROUND(坦克等级成长!$H166*VLOOKUP($CT$2,坦克等级成长!$B$36:$G$42,MATCH(DL$3,坦克等级成长!$B$35:$G$35,0)),0)</f>
        <v>672</v>
      </c>
      <c r="DM69" s="33">
        <f>ROUND(坦克等级成长!$H166*VLOOKUP($CT$2,坦克等级成长!$B$36:$G$42,MATCH(DM$3,坦克等级成长!$B$35:$G$35,0)),0)</f>
        <v>1489</v>
      </c>
      <c r="DN69" s="33">
        <f t="shared" si="25"/>
        <v>1489</v>
      </c>
      <c r="DO69" s="33">
        <v>1195</v>
      </c>
      <c r="DP69" s="33">
        <f>ROUND(坦克等级成长!$H166*VLOOKUP($CT$2,坦克等级成长!$B$36:$G$42,MATCH(DP$3,坦克等级成长!$B$35:$G$35,0)),0)</f>
        <v>1251</v>
      </c>
      <c r="DQ69" s="33">
        <f>ROUND(坦克等级成长!$H166*VLOOKUP($CT$2,坦克等级成长!$B$36:$G$42,MATCH(DQ$3,坦克等级成长!$B$35:$G$35,0)),0)</f>
        <v>334</v>
      </c>
      <c r="DR69" s="193"/>
      <c r="DS69" s="189"/>
      <c r="DT69" s="189"/>
      <c r="DU69" s="189"/>
      <c r="DV69" s="189"/>
      <c r="DW69" s="189"/>
      <c r="DX69" s="189"/>
      <c r="DY69" s="200"/>
      <c r="DZ69" s="199">
        <v>16</v>
      </c>
      <c r="EA69" s="33">
        <f>ROUND(坦克等级成长!$F166*VLOOKUP($DR$2,坦克等级成长!$B$36:$G$42,MATCH(EA$3,坦克等级成长!$B$35:$G$35,0)),0)</f>
        <v>4012</v>
      </c>
      <c r="EB69" s="33">
        <f>ROUND(坦克等级成长!$F166*VLOOKUP($DR$2,坦克等级成长!$B$36:$G$42,MATCH(EB$3,坦克等级成长!$B$35:$G$35,0)),0)</f>
        <v>1099</v>
      </c>
      <c r="EC69" s="33">
        <f>ROUND(坦克等级成长!$F166*VLOOKUP($DR$2,坦克等级成长!$B$36:$G$42,MATCH(EC$3,坦克等级成长!$B$35:$G$35,0)),0)</f>
        <v>1171</v>
      </c>
      <c r="ED69" s="33">
        <f t="shared" si="12"/>
        <v>1171</v>
      </c>
      <c r="EE69" s="33">
        <v>1019</v>
      </c>
      <c r="EF69" s="33">
        <f>ROUND(坦克等级成长!$F166*VLOOKUP($DR$2,坦克等级成长!$B$36:$G$42,MATCH(EF$3,坦克等级成长!$B$35:$G$35,0)),0)</f>
        <v>1722</v>
      </c>
      <c r="EG69" s="33">
        <f>ROUND(坦克等级成长!$F166*VLOOKUP($DR$2,坦克等级成长!$B$36:$G$42,MATCH(EG$3,坦克等级成长!$B$35:$G$35,0)),0)</f>
        <v>401</v>
      </c>
      <c r="EH69" s="192">
        <v>16</v>
      </c>
      <c r="EI69" s="33">
        <f>ROUND(坦克等级成长!$H166*VLOOKUP($DR$2,坦克等级成长!$B$36:$G$42,MATCH(EI$3,坦克等级成长!$B$35:$G$35,0)),0)</f>
        <v>4081</v>
      </c>
      <c r="EJ69" s="33">
        <f>ROUND(坦克等级成长!$H166*VLOOKUP($DR$2,坦克等级成长!$B$36:$G$42,MATCH(EJ$3,坦克等级成长!$B$35:$G$35,0)),0)</f>
        <v>1118</v>
      </c>
      <c r="EK69" s="33">
        <f>ROUND(坦克等级成长!$H166*VLOOKUP($DR$2,坦克等级成长!$B$36:$G$42,MATCH(EK$3,坦克等级成长!$B$35:$G$35,0)),0)</f>
        <v>1191</v>
      </c>
      <c r="EL69" s="33">
        <f t="shared" si="26"/>
        <v>1191</v>
      </c>
      <c r="EM69" s="33">
        <v>1019</v>
      </c>
      <c r="EN69" s="33">
        <f>ROUND(坦克等级成长!$H166*VLOOKUP($DR$2,坦克等级成长!$B$36:$G$42,MATCH(EN$3,坦克等级成长!$B$35:$G$35,0)),0)</f>
        <v>1751</v>
      </c>
      <c r="EO69" s="33">
        <f>ROUND(坦克等级成长!$H166*VLOOKUP($DR$2,坦克等级成长!$B$36:$G$42,MATCH(EO$3,坦克等级成长!$B$35:$G$35,0)),0)</f>
        <v>408</v>
      </c>
      <c r="EP69" s="193"/>
      <c r="EQ69" s="189"/>
      <c r="ER69" s="189"/>
      <c r="ES69" s="189"/>
      <c r="ET69" s="189"/>
      <c r="EU69" s="189"/>
      <c r="EV69" s="189"/>
      <c r="EW69" s="200"/>
      <c r="EX69" s="199">
        <v>16</v>
      </c>
      <c r="EY69" s="33">
        <f>ROUND(坦克等级成长!$F166*VLOOKUP($EP$2,坦克等级成长!$B$36:$G$42,MATCH(EY$3,坦克等级成长!$B$35:$G$35,0)),0)</f>
        <v>3540</v>
      </c>
      <c r="EZ69" s="33">
        <f>ROUND(坦克等级成长!$F166*VLOOKUP($EP$2,坦克等级成长!$B$36:$G$42,MATCH(EZ$3,坦克等级成长!$B$35:$G$35,0)),0)</f>
        <v>365</v>
      </c>
      <c r="FA69" s="33">
        <f>ROUND(坦克等级成长!$F166*VLOOKUP($EP$2,坦克等级成长!$B$36:$G$42,MATCH(FA$3,坦克等级成长!$B$35:$G$35,0)),0)</f>
        <v>1347</v>
      </c>
      <c r="FB69" s="33">
        <f t="shared" si="13"/>
        <v>1347</v>
      </c>
      <c r="FC69" s="33">
        <v>1099</v>
      </c>
      <c r="FD69" s="33">
        <f>ROUND(坦克等级成长!$F166*VLOOKUP($EP$2,坦克等级成长!$B$36:$G$42,MATCH(FD$3,坦克等级成长!$B$35:$G$35,0)),0)</f>
        <v>1476</v>
      </c>
      <c r="FE69" s="33">
        <f>ROUND(坦克等级成长!$F166*VLOOKUP($EP$2,坦克等级成长!$B$36:$G$42,MATCH(FE$3,坦克等级成长!$B$35:$G$35,0)),0)</f>
        <v>354</v>
      </c>
      <c r="FF69" s="192">
        <v>16</v>
      </c>
      <c r="FG69" s="33">
        <f>ROUND(坦克等级成长!$H166*VLOOKUP($EP$2,坦克等级成长!$B$36:$G$42,MATCH(FG$3,坦克等级成长!$B$35:$G$35,0)),0)</f>
        <v>3601</v>
      </c>
      <c r="FH69" s="33">
        <f>ROUND(坦克等级成长!$H166*VLOOKUP($EP$2,坦克等级成长!$B$36:$G$42,MATCH(FH$3,坦克等级成长!$B$35:$G$35,0)),0)</f>
        <v>371</v>
      </c>
      <c r="FI69" s="33">
        <f>ROUND(坦克等级成长!$H166*VLOOKUP($EP$2,坦克等级成长!$B$36:$G$42,MATCH(FI$3,坦克等级成长!$B$35:$G$35,0)),0)</f>
        <v>1370</v>
      </c>
      <c r="FJ69" s="33">
        <f t="shared" si="27"/>
        <v>1370</v>
      </c>
      <c r="FK69" s="33">
        <v>1099</v>
      </c>
      <c r="FL69" s="33">
        <f>ROUND(坦克等级成长!$H166*VLOOKUP($EP$2,坦克等级成长!$B$36:$G$42,MATCH(FL$3,坦克等级成长!$B$35:$G$35,0)),0)</f>
        <v>1501</v>
      </c>
      <c r="FM69" s="33">
        <f>ROUND(坦克等级成长!$H166*VLOOKUP($EP$2,坦克等级成长!$B$36:$G$42,MATCH(FM$3,坦克等级成长!$B$35:$G$35,0)),0)</f>
        <v>360</v>
      </c>
    </row>
    <row r="70" spans="1:169" ht="14.25" x14ac:dyDescent="0.3">
      <c r="A70" s="189">
        <v>5</v>
      </c>
      <c r="B70" s="193"/>
      <c r="C70" s="189"/>
      <c r="D70" s="189"/>
      <c r="E70" s="189"/>
      <c r="F70" s="189"/>
      <c r="G70" s="189"/>
      <c r="H70" s="189"/>
      <c r="I70" s="200"/>
      <c r="J70" s="199">
        <v>17</v>
      </c>
      <c r="K70" s="33">
        <f>ROUND(坦克等级成长!$F167*VLOOKUP($B$2,坦克等级成长!$B$36:$G$42,MATCH(K$3,坦克等级成长!$B$35:$G$35,0)),0)</f>
        <v>3376</v>
      </c>
      <c r="L70" s="33">
        <f>ROUND(坦克等级成长!$F167*VLOOKUP($B$2,坦克等级成长!$B$36:$G$42,MATCH(L$3,坦克等级成长!$B$35:$G$35,0)),0)</f>
        <v>336</v>
      </c>
      <c r="M70" s="33">
        <f>ROUND(坦克等级成长!$F167*VLOOKUP($B$2,坦克等级成长!$B$36:$G$42,MATCH(M$3,坦克等级成长!$B$35:$G$35,0)),0)</f>
        <v>1266</v>
      </c>
      <c r="N70" s="33">
        <f t="shared" si="7"/>
        <v>1266</v>
      </c>
      <c r="O70" s="33">
        <v>966</v>
      </c>
      <c r="P70" s="33">
        <f>ROUND(坦克等级成长!$F167*VLOOKUP($B$2,坦克等级成长!$B$36:$G$42,MATCH(P$3,坦克等级成长!$B$35:$G$35,0)),0)</f>
        <v>1266</v>
      </c>
      <c r="Q70" s="33">
        <f>ROUND(坦克等级成长!$F167*VLOOKUP($B$2,坦克等级成长!$B$36:$G$42,MATCH(Q$3,坦克等级成长!$B$35:$G$35,0)),0)</f>
        <v>338</v>
      </c>
      <c r="R70" s="192">
        <v>17</v>
      </c>
      <c r="S70" s="33">
        <f>ROUND(坦克等级成长!$H167*VLOOKUP($B$2,坦克等级成长!$B$36:$G$42,MATCH(S$3,坦克等级成长!$B$35:$G$35,0)),0)</f>
        <v>3440</v>
      </c>
      <c r="T70" s="33">
        <f>ROUND(坦克等级成长!$H167*VLOOKUP($B$2,坦克等级成长!$B$36:$G$42,MATCH(T$3,坦克等级成长!$B$35:$G$35,0)),0)</f>
        <v>343</v>
      </c>
      <c r="U70" s="33">
        <f>ROUND(坦克等级成长!$H167*VLOOKUP($B$2,坦克等级成长!$B$36:$G$42,MATCH(U$3,坦克等级成长!$B$35:$G$35,0)),0)</f>
        <v>1290</v>
      </c>
      <c r="V70" s="33">
        <f t="shared" si="21"/>
        <v>1290</v>
      </c>
      <c r="W70" s="33">
        <v>966</v>
      </c>
      <c r="X70" s="33">
        <f>ROUND(坦克等级成长!$H167*VLOOKUP($B$2,坦克等级成长!$B$36:$G$42,MATCH(X$3,坦克等级成长!$B$35:$G$35,0)),0)</f>
        <v>1290</v>
      </c>
      <c r="Y70" s="33">
        <f>ROUND(坦克等级成长!$H167*VLOOKUP($B$2,坦克等级成长!$B$36:$G$42,MATCH(Y$3,坦克等级成长!$B$35:$G$35,0)),0)</f>
        <v>344</v>
      </c>
      <c r="Z70" s="193"/>
      <c r="AA70" s="189"/>
      <c r="AB70" s="189"/>
      <c r="AC70" s="189"/>
      <c r="AD70" s="189"/>
      <c r="AE70" s="189"/>
      <c r="AF70" s="189"/>
      <c r="AG70" s="200"/>
      <c r="AH70" s="199">
        <v>17</v>
      </c>
      <c r="AI70" s="33">
        <f>ROUND(坦克等级成长!$F167*VLOOKUP($Z$2,坦克等级成长!$B$36:$G$42,MATCH(AI$3,坦克等级成长!$B$35:$G$35,0)),0)</f>
        <v>3376</v>
      </c>
      <c r="AJ70" s="33">
        <f>ROUND(坦克等级成长!$F167*VLOOKUP($Z$2,坦克等级成长!$B$36:$G$42,MATCH(AJ$3,坦克等级成长!$B$35:$G$35,0)),0)</f>
        <v>179</v>
      </c>
      <c r="AK70" s="33">
        <f>ROUND(坦克等级成长!$F167*VLOOKUP($Z$2,坦克等级成长!$B$36:$G$42,MATCH(AK$3,坦克等级成长!$B$35:$G$35,0)),0)</f>
        <v>1387</v>
      </c>
      <c r="AL70" s="33">
        <f t="shared" si="8"/>
        <v>1387</v>
      </c>
      <c r="AM70" s="33">
        <v>1058</v>
      </c>
      <c r="AN70" s="33">
        <f>ROUND(坦克等级成长!$F167*VLOOKUP($Z$2,坦克等级成长!$B$36:$G$42,MATCH(AN$3,坦克等级成长!$B$35:$G$35,0)),0)</f>
        <v>1266</v>
      </c>
      <c r="AO70" s="33">
        <f>ROUND(坦克等级成长!$F167*VLOOKUP($Z$2,坦克等级成长!$B$36:$G$42,MATCH(AO$3,坦克等级成长!$B$35:$G$35,0)),0)</f>
        <v>338</v>
      </c>
      <c r="AP70" s="192">
        <v>17</v>
      </c>
      <c r="AQ70" s="33">
        <f>ROUND(坦克等级成长!$H167*VLOOKUP($Z$2,坦克等级成长!$B$36:$G$42,MATCH(AQ$3,坦克等级成长!$B$35:$G$35,0)),0)</f>
        <v>3440</v>
      </c>
      <c r="AR70" s="33">
        <f>ROUND(坦克等级成长!$H167*VLOOKUP($Z$2,坦克等级成长!$B$36:$G$42,MATCH(AR$3,坦克等级成长!$B$35:$G$35,0)),0)</f>
        <v>183</v>
      </c>
      <c r="AS70" s="33">
        <f>ROUND(坦克等级成长!$H167*VLOOKUP($Z$2,坦克等级成长!$B$36:$G$42,MATCH(AS$3,坦克等级成长!$B$35:$G$35,0)),0)</f>
        <v>1413</v>
      </c>
      <c r="AT70" s="33">
        <f t="shared" si="22"/>
        <v>1413</v>
      </c>
      <c r="AU70" s="33">
        <v>1058</v>
      </c>
      <c r="AV70" s="33">
        <f>ROUND(坦克等级成长!$H167*VLOOKUP($Z$2,坦克等级成长!$B$36:$G$42,MATCH(AV$3,坦克等级成长!$B$35:$G$35,0)),0)</f>
        <v>1290</v>
      </c>
      <c r="AW70" s="33">
        <f>ROUND(坦克等级成长!$H167*VLOOKUP($Z$2,坦克等级成长!$B$36:$G$42,MATCH(AW$3,坦克等级成长!$B$35:$G$35,0)),0)</f>
        <v>344</v>
      </c>
      <c r="AX70" s="193"/>
      <c r="AY70" s="189"/>
      <c r="AZ70" s="189"/>
      <c r="BA70" s="189"/>
      <c r="BB70" s="189"/>
      <c r="BC70" s="189"/>
      <c r="BD70" s="189"/>
      <c r="BE70" s="200"/>
      <c r="BF70" s="199">
        <v>17</v>
      </c>
      <c r="BG70" s="33">
        <f>ROUND(坦克等级成长!$F167*VLOOKUP($AX$2,坦克等级成长!$B$36:$G$42,MATCH(BG$3,坦克等级成长!$B$35:$G$35,0)),0)</f>
        <v>3376</v>
      </c>
      <c r="BH70" s="33">
        <f>ROUND(坦克等级成长!$F167*VLOOKUP($AX$2,坦克等级成长!$B$36:$G$42,MATCH(BH$3,坦克等级成长!$B$35:$G$35,0)),0)</f>
        <v>336</v>
      </c>
      <c r="BI70" s="33">
        <f>ROUND(坦克等级成长!$F167*VLOOKUP($AX$2,坦克等级成长!$B$36:$G$42,MATCH(BI$3,坦克等级成长!$B$35:$G$35,0)),0)</f>
        <v>1266</v>
      </c>
      <c r="BJ70" s="33">
        <f t="shared" si="9"/>
        <v>1266</v>
      </c>
      <c r="BK70" s="33">
        <v>966</v>
      </c>
      <c r="BL70" s="33">
        <f>ROUND(坦克等级成长!$F167*VLOOKUP($AX$2,坦克等级成长!$B$36:$G$42,MATCH(BL$3,坦克等级成长!$B$35:$G$35,0)),0)</f>
        <v>1266</v>
      </c>
      <c r="BM70" s="33">
        <f>ROUND(坦克等级成长!$F167*VLOOKUP($AX$2,坦克等级成长!$B$36:$G$42,MATCH(BM$3,坦克等级成长!$B$35:$G$35,0)),0)</f>
        <v>338</v>
      </c>
      <c r="BN70" s="192">
        <v>17</v>
      </c>
      <c r="BO70" s="33">
        <f>ROUND(坦克等级成长!$H167*VLOOKUP($AX$2,坦克等级成长!$B$36:$G$42,MATCH(BO$3,坦克等级成长!$B$35:$G$35,0)),0)</f>
        <v>3440</v>
      </c>
      <c r="BP70" s="33">
        <f>ROUND(坦克等级成长!$H167*VLOOKUP($AX$2,坦克等级成长!$B$36:$G$42,MATCH(BP$3,坦克等级成长!$B$35:$G$35,0)),0)</f>
        <v>343</v>
      </c>
      <c r="BQ70" s="33">
        <f>ROUND(坦克等级成长!$H167*VLOOKUP($AX$2,坦克等级成长!$B$36:$G$42,MATCH(BQ$3,坦克等级成长!$B$35:$G$35,0)),0)</f>
        <v>1290</v>
      </c>
      <c r="BR70" s="33">
        <f t="shared" si="23"/>
        <v>1290</v>
      </c>
      <c r="BS70" s="33">
        <v>966</v>
      </c>
      <c r="BT70" s="33">
        <f>ROUND(坦克等级成长!$H167*VLOOKUP($AX$2,坦克等级成长!$B$36:$G$42,MATCH(BT$3,坦克等级成长!$B$35:$G$35,0)),0)</f>
        <v>1290</v>
      </c>
      <c r="BU70" s="33">
        <f>ROUND(坦克等级成长!$H167*VLOOKUP($AX$2,坦克等级成长!$B$36:$G$42,MATCH(BU$3,坦克等级成长!$B$35:$G$35,0)),0)</f>
        <v>344</v>
      </c>
      <c r="BV70" s="193"/>
      <c r="BW70" s="189"/>
      <c r="BX70" s="189"/>
      <c r="BY70" s="189"/>
      <c r="BZ70" s="189"/>
      <c r="CA70" s="189"/>
      <c r="CB70" s="189"/>
      <c r="CC70" s="200"/>
      <c r="CD70" s="199">
        <v>17</v>
      </c>
      <c r="CE70" s="33">
        <f>ROUND(坦克等级成长!$F167*VLOOKUP($BV$2,坦克等级成长!$B$36:$G$42,MATCH(CE$3,坦克等级成长!$B$35:$G$35,0)),0)</f>
        <v>3644</v>
      </c>
      <c r="CF70" s="33">
        <f>ROUND(坦克等级成长!$F167*VLOOKUP($BV$2,坦克等级成长!$B$36:$G$42,MATCH(CF$3,坦克等级成长!$B$35:$G$35,0)),0)</f>
        <v>313</v>
      </c>
      <c r="CG70" s="33">
        <f>ROUND(坦克等级成长!$F167*VLOOKUP($BV$2,坦克等级成长!$B$36:$G$42,MATCH(CG$3,坦克等级成长!$B$35:$G$35,0)),0)</f>
        <v>1206</v>
      </c>
      <c r="CH70" s="33">
        <f t="shared" si="10"/>
        <v>1206</v>
      </c>
      <c r="CI70" s="33">
        <v>986</v>
      </c>
      <c r="CJ70" s="33">
        <f>ROUND(坦克等级成长!$F167*VLOOKUP($BV$2,坦克等级成长!$B$36:$G$42,MATCH(CJ$3,坦克等级成长!$B$35:$G$35,0)),0)</f>
        <v>1519</v>
      </c>
      <c r="CK70" s="33">
        <f>ROUND(坦克等级成长!$F167*VLOOKUP($BV$2,坦克等级成长!$B$36:$G$42,MATCH(CK$3,坦克等级成长!$B$35:$G$35,0)),0)</f>
        <v>364</v>
      </c>
      <c r="CL70" s="192">
        <v>17</v>
      </c>
      <c r="CM70" s="33">
        <f>ROUND(坦克等级成长!$H167*VLOOKUP($BV$2,坦克等级成长!$B$36:$G$42,MATCH(CM$3,坦克等级成长!$B$35:$G$35,0)),0)</f>
        <v>3713</v>
      </c>
      <c r="CN70" s="33">
        <f>ROUND(坦克等级成长!$H167*VLOOKUP($BV$2,坦克等级成长!$B$36:$G$42,MATCH(CN$3,坦克等级成长!$B$35:$G$35,0)),0)</f>
        <v>319</v>
      </c>
      <c r="CO70" s="33">
        <f>ROUND(坦克等级成长!$H167*VLOOKUP($BV$2,坦克等级成长!$B$36:$G$42,MATCH(CO$3,坦克等级成长!$B$35:$G$35,0)),0)</f>
        <v>1229</v>
      </c>
      <c r="CP70" s="33">
        <f t="shared" si="24"/>
        <v>1229</v>
      </c>
      <c r="CQ70" s="33">
        <v>986</v>
      </c>
      <c r="CR70" s="33">
        <f>ROUND(坦克等级成长!$H167*VLOOKUP($BV$2,坦克等级成长!$B$36:$G$42,MATCH(CR$3,坦克等级成长!$B$35:$G$35,0)),0)</f>
        <v>1548</v>
      </c>
      <c r="CS70" s="33">
        <f>ROUND(坦克等级成长!$H167*VLOOKUP($BV$2,坦克等级成长!$B$36:$G$42,MATCH(CS$3,坦克等级成长!$B$35:$G$35,0)),0)</f>
        <v>371</v>
      </c>
      <c r="CT70" s="193"/>
      <c r="CU70" s="189"/>
      <c r="CV70" s="189"/>
      <c r="CW70" s="189"/>
      <c r="CX70" s="189"/>
      <c r="CY70" s="189"/>
      <c r="CZ70" s="189"/>
      <c r="DA70" s="200"/>
      <c r="DB70" s="199">
        <v>17</v>
      </c>
      <c r="DC70" s="33">
        <f>ROUND(坦克等级成长!$F167*VLOOKUP($CT$2,坦克等级成长!$B$36:$G$42,MATCH(DC$3,坦克等级成长!$B$35:$G$35,0)),0)</f>
        <v>3376</v>
      </c>
      <c r="DD70" s="33">
        <f>ROUND(坦克等级成长!$F167*VLOOKUP($CT$2,坦克等级成长!$B$36:$G$42,MATCH(DD$3,坦克等级成长!$B$35:$G$35,0)),0)</f>
        <v>680</v>
      </c>
      <c r="DE70" s="33">
        <f>ROUND(坦克等级成长!$F167*VLOOKUP($CT$2,坦克等级成长!$B$36:$G$42,MATCH(DE$3,坦克等级成长!$B$35:$G$35,0)),0)</f>
        <v>1507</v>
      </c>
      <c r="DF70" s="33">
        <f t="shared" si="11"/>
        <v>1507</v>
      </c>
      <c r="DG70" s="33">
        <v>1232</v>
      </c>
      <c r="DH70" s="33">
        <f>ROUND(坦克等级成长!$F167*VLOOKUP($CT$2,坦克等级成长!$B$36:$G$42,MATCH(DH$3,坦克等级成长!$B$35:$G$35,0)),0)</f>
        <v>1266</v>
      </c>
      <c r="DI70" s="33">
        <f>ROUND(坦克等级成长!$F167*VLOOKUP($CT$2,坦克等级成长!$B$36:$G$42,MATCH(DI$3,坦克等级成长!$B$35:$G$35,0)),0)</f>
        <v>338</v>
      </c>
      <c r="DJ70" s="192">
        <v>17</v>
      </c>
      <c r="DK70" s="33">
        <f>ROUND(坦克等级成长!$H167*VLOOKUP($CT$2,坦克等级成长!$B$36:$G$42,MATCH(DK$3,坦克等级成长!$B$35:$G$35,0)),0)</f>
        <v>3440</v>
      </c>
      <c r="DL70" s="33">
        <f>ROUND(坦克等级成长!$H167*VLOOKUP($CT$2,坦克等级成长!$B$36:$G$42,MATCH(DL$3,坦克等级成长!$B$35:$G$35,0)),0)</f>
        <v>692</v>
      </c>
      <c r="DM70" s="33">
        <f>ROUND(坦克等级成长!$H167*VLOOKUP($CT$2,坦克等级成长!$B$36:$G$42,MATCH(DM$3,坦克等级成长!$B$35:$G$35,0)),0)</f>
        <v>1536</v>
      </c>
      <c r="DN70" s="33">
        <f t="shared" si="25"/>
        <v>1536</v>
      </c>
      <c r="DO70" s="33">
        <v>1232</v>
      </c>
      <c r="DP70" s="33">
        <f>ROUND(坦克等级成长!$H167*VLOOKUP($CT$2,坦克等级成长!$B$36:$G$42,MATCH(DP$3,坦克等级成长!$B$35:$G$35,0)),0)</f>
        <v>1290</v>
      </c>
      <c r="DQ70" s="33">
        <f>ROUND(坦克等级成长!$H167*VLOOKUP($CT$2,坦克等级成长!$B$36:$G$42,MATCH(DQ$3,坦克等级成长!$B$35:$G$35,0)),0)</f>
        <v>344</v>
      </c>
      <c r="DR70" s="193"/>
      <c r="DS70" s="189"/>
      <c r="DT70" s="189"/>
      <c r="DU70" s="189"/>
      <c r="DV70" s="189"/>
      <c r="DW70" s="189"/>
      <c r="DX70" s="189"/>
      <c r="DY70" s="200"/>
      <c r="DZ70" s="199">
        <v>17</v>
      </c>
      <c r="EA70" s="33">
        <f>ROUND(坦克等级成长!$F167*VLOOKUP($DR$2,坦克等级成长!$B$36:$G$42,MATCH(EA$3,坦克等级成长!$B$35:$G$35,0)),0)</f>
        <v>4130</v>
      </c>
      <c r="EB70" s="33">
        <f>ROUND(坦克等级成长!$F167*VLOOKUP($DR$2,坦克等级成长!$B$36:$G$42,MATCH(EB$3,坦克等级成长!$B$35:$G$35,0)),0)</f>
        <v>1131</v>
      </c>
      <c r="EC70" s="33">
        <f>ROUND(坦克等级成长!$F167*VLOOKUP($DR$2,坦克等级成长!$B$36:$G$42,MATCH(EC$3,坦克等级成长!$B$35:$G$35,0)),0)</f>
        <v>1206</v>
      </c>
      <c r="ED70" s="33">
        <f t="shared" si="12"/>
        <v>1206</v>
      </c>
      <c r="EE70" s="33">
        <v>1051</v>
      </c>
      <c r="EF70" s="33">
        <f>ROUND(坦克等级成长!$F167*VLOOKUP($DR$2,坦克等级成长!$B$36:$G$42,MATCH(EF$3,坦克等级成长!$B$35:$G$35,0)),0)</f>
        <v>1772</v>
      </c>
      <c r="EG70" s="33">
        <f>ROUND(坦克等级成长!$F167*VLOOKUP($DR$2,坦克等级成长!$B$36:$G$42,MATCH(EG$3,坦克等级成长!$B$35:$G$35,0)),0)</f>
        <v>413</v>
      </c>
      <c r="EH70" s="192">
        <v>17</v>
      </c>
      <c r="EI70" s="33">
        <f>ROUND(坦克等级成长!$H167*VLOOKUP($DR$2,坦克等级成长!$B$36:$G$42,MATCH(EI$3,坦克等级成长!$B$35:$G$35,0)),0)</f>
        <v>4208</v>
      </c>
      <c r="EJ70" s="33">
        <f>ROUND(坦克等级成长!$H167*VLOOKUP($DR$2,坦克等级成长!$B$36:$G$42,MATCH(EJ$3,坦克等级成长!$B$35:$G$35,0)),0)</f>
        <v>1153</v>
      </c>
      <c r="EK70" s="33">
        <f>ROUND(坦克等级成长!$H167*VLOOKUP($DR$2,坦克等级成长!$B$36:$G$42,MATCH(EK$3,坦克等级成长!$B$35:$G$35,0)),0)</f>
        <v>1229</v>
      </c>
      <c r="EL70" s="33">
        <f t="shared" si="26"/>
        <v>1229</v>
      </c>
      <c r="EM70" s="33">
        <v>1051</v>
      </c>
      <c r="EN70" s="33">
        <f>ROUND(坦克等级成长!$H167*VLOOKUP($DR$2,坦克等级成长!$B$36:$G$42,MATCH(EN$3,坦克等级成长!$B$35:$G$35,0)),0)</f>
        <v>1806</v>
      </c>
      <c r="EO70" s="33">
        <f>ROUND(坦克等级成长!$H167*VLOOKUP($DR$2,坦克等级成长!$B$36:$G$42,MATCH(EO$3,坦克等级成长!$B$35:$G$35,0)),0)</f>
        <v>421</v>
      </c>
      <c r="EP70" s="193"/>
      <c r="EQ70" s="189"/>
      <c r="ER70" s="189"/>
      <c r="ES70" s="189"/>
      <c r="ET70" s="189"/>
      <c r="EU70" s="189"/>
      <c r="EV70" s="189"/>
      <c r="EW70" s="200"/>
      <c r="EX70" s="199">
        <v>17</v>
      </c>
      <c r="EY70" s="33">
        <f>ROUND(坦克等级成长!$F167*VLOOKUP($EP$2,坦克等级成长!$B$36:$G$42,MATCH(EY$3,坦克等级成长!$B$35:$G$35,0)),0)</f>
        <v>3644</v>
      </c>
      <c r="EZ70" s="33">
        <f>ROUND(坦克等级成长!$F167*VLOOKUP($EP$2,坦克等级成长!$B$36:$G$42,MATCH(EZ$3,坦克等级成长!$B$35:$G$35,0)),0)</f>
        <v>375</v>
      </c>
      <c r="FA70" s="33">
        <f>ROUND(坦克等级成长!$F167*VLOOKUP($EP$2,坦克等级成长!$B$36:$G$42,MATCH(FA$3,坦克等级成长!$B$35:$G$35,0)),0)</f>
        <v>1387</v>
      </c>
      <c r="FB70" s="33">
        <f t="shared" si="13"/>
        <v>1387</v>
      </c>
      <c r="FC70" s="33">
        <v>1133</v>
      </c>
      <c r="FD70" s="33">
        <f>ROUND(坦克等级成长!$F167*VLOOKUP($EP$2,坦克等级成长!$B$36:$G$42,MATCH(FD$3,坦克等级成长!$B$35:$G$35,0)),0)</f>
        <v>1519</v>
      </c>
      <c r="FE70" s="33">
        <f>ROUND(坦克等级成长!$F167*VLOOKUP($EP$2,坦克等级成长!$B$36:$G$42,MATCH(FE$3,坦克等级成长!$B$35:$G$35,0)),0)</f>
        <v>364</v>
      </c>
      <c r="FF70" s="192">
        <v>17</v>
      </c>
      <c r="FG70" s="33">
        <f>ROUND(坦克等级成长!$H167*VLOOKUP($EP$2,坦克等级成长!$B$36:$G$42,MATCH(FG$3,坦克等级成长!$B$35:$G$35,0)),0)</f>
        <v>3713</v>
      </c>
      <c r="FH70" s="33">
        <f>ROUND(坦克等级成长!$H167*VLOOKUP($EP$2,坦克等级成长!$B$36:$G$42,MATCH(FH$3,坦克等级成长!$B$35:$G$35,0)),0)</f>
        <v>382</v>
      </c>
      <c r="FI70" s="33">
        <f>ROUND(坦克等级成长!$H167*VLOOKUP($EP$2,坦克等级成长!$B$36:$G$42,MATCH(FI$3,坦克等级成长!$B$35:$G$35,0)),0)</f>
        <v>1413</v>
      </c>
      <c r="FJ70" s="33">
        <f t="shared" si="27"/>
        <v>1413</v>
      </c>
      <c r="FK70" s="33">
        <v>1133</v>
      </c>
      <c r="FL70" s="33">
        <f>ROUND(坦克等级成长!$H167*VLOOKUP($EP$2,坦克等级成长!$B$36:$G$42,MATCH(FL$3,坦克等级成长!$B$35:$G$35,0)),0)</f>
        <v>1548</v>
      </c>
      <c r="FM70" s="33">
        <f>ROUND(坦克等级成长!$H167*VLOOKUP($EP$2,坦克等级成长!$B$36:$G$42,MATCH(FM$3,坦克等级成长!$B$35:$G$35,0)),0)</f>
        <v>371</v>
      </c>
    </row>
    <row r="71" spans="1:169" ht="14.25" x14ac:dyDescent="0.3">
      <c r="A71" s="189">
        <v>5</v>
      </c>
      <c r="B71" s="193"/>
      <c r="C71" s="189"/>
      <c r="D71" s="189"/>
      <c r="E71" s="189"/>
      <c r="F71" s="189"/>
      <c r="G71" s="189"/>
      <c r="H71" s="189"/>
      <c r="I71" s="200"/>
      <c r="J71" s="199">
        <v>18</v>
      </c>
      <c r="K71" s="33">
        <f>ROUND(坦克等级成长!$F168*VLOOKUP($B$2,坦克等级成长!$B$36:$G$42,MATCH(K$3,坦克等级成长!$B$35:$G$35,0)),0)</f>
        <v>3472</v>
      </c>
      <c r="L71" s="33">
        <f>ROUND(坦克等级成长!$F168*VLOOKUP($B$2,坦克等级成长!$B$36:$G$42,MATCH(L$3,坦克等级成长!$B$35:$G$35,0)),0)</f>
        <v>346</v>
      </c>
      <c r="M71" s="33">
        <f>ROUND(坦克等级成长!$F168*VLOOKUP($B$2,坦克等级成长!$B$36:$G$42,MATCH(M$3,坦克等级成长!$B$35:$G$35,0)),0)</f>
        <v>1302</v>
      </c>
      <c r="N71" s="33">
        <f t="shared" si="7"/>
        <v>1302</v>
      </c>
      <c r="O71" s="33">
        <v>995</v>
      </c>
      <c r="P71" s="33">
        <f>ROUND(坦克等级成长!$F168*VLOOKUP($B$2,坦克等级成长!$B$36:$G$42,MATCH(P$3,坦克等级成长!$B$35:$G$35,0)),0)</f>
        <v>1302</v>
      </c>
      <c r="Q71" s="33">
        <f>ROUND(坦克等级成长!$F168*VLOOKUP($B$2,坦克等级成长!$B$36:$G$42,MATCH(Q$3,坦克等级成长!$B$35:$G$35,0)),0)</f>
        <v>347</v>
      </c>
      <c r="R71" s="192">
        <v>18</v>
      </c>
      <c r="S71" s="33">
        <f>ROUND(坦克等级成长!$H168*VLOOKUP($B$2,坦克等级成长!$B$36:$G$42,MATCH(S$3,坦克等级成长!$B$35:$G$35,0)),0)</f>
        <v>3544</v>
      </c>
      <c r="T71" s="33">
        <f>ROUND(坦克等级成长!$H168*VLOOKUP($B$2,坦克等级成长!$B$36:$G$42,MATCH(T$3,坦克等级成长!$B$35:$G$35,0)),0)</f>
        <v>353</v>
      </c>
      <c r="U71" s="33">
        <f>ROUND(坦克等级成长!$H168*VLOOKUP($B$2,坦克等级成长!$B$36:$G$42,MATCH(U$3,坦克等级成长!$B$35:$G$35,0)),0)</f>
        <v>1329</v>
      </c>
      <c r="V71" s="33">
        <f t="shared" si="21"/>
        <v>1329</v>
      </c>
      <c r="W71" s="33">
        <v>995</v>
      </c>
      <c r="X71" s="33">
        <f>ROUND(坦克等级成长!$H168*VLOOKUP($B$2,坦克等级成长!$B$36:$G$42,MATCH(X$3,坦克等级成长!$B$35:$G$35,0)),0)</f>
        <v>1329</v>
      </c>
      <c r="Y71" s="33">
        <f>ROUND(坦克等级成长!$H168*VLOOKUP($B$2,坦克等级成长!$B$36:$G$42,MATCH(Y$3,坦克等级成长!$B$35:$G$35,0)),0)</f>
        <v>354</v>
      </c>
      <c r="Z71" s="193"/>
      <c r="AA71" s="189"/>
      <c r="AB71" s="189"/>
      <c r="AC71" s="189"/>
      <c r="AD71" s="189"/>
      <c r="AE71" s="189"/>
      <c r="AF71" s="189"/>
      <c r="AG71" s="200"/>
      <c r="AH71" s="199">
        <v>18</v>
      </c>
      <c r="AI71" s="33">
        <f>ROUND(坦克等级成长!$F168*VLOOKUP($Z$2,坦克等级成长!$B$36:$G$42,MATCH(AI$3,坦克等级成长!$B$35:$G$35,0)),0)</f>
        <v>3472</v>
      </c>
      <c r="AJ71" s="33">
        <f>ROUND(坦克等级成长!$F168*VLOOKUP($Z$2,坦克等级成长!$B$36:$G$42,MATCH(AJ$3,坦克等级成长!$B$35:$G$35,0)),0)</f>
        <v>184</v>
      </c>
      <c r="AK71" s="33">
        <f>ROUND(坦克等级成长!$F168*VLOOKUP($Z$2,坦克等级成长!$B$36:$G$42,MATCH(AK$3,坦克等级成长!$B$35:$G$35,0)),0)</f>
        <v>1426</v>
      </c>
      <c r="AL71" s="33">
        <f t="shared" si="8"/>
        <v>1426</v>
      </c>
      <c r="AM71" s="33">
        <v>1090</v>
      </c>
      <c r="AN71" s="33">
        <f>ROUND(坦克等级成长!$F168*VLOOKUP($Z$2,坦克等级成长!$B$36:$G$42,MATCH(AN$3,坦克等级成长!$B$35:$G$35,0)),0)</f>
        <v>1302</v>
      </c>
      <c r="AO71" s="33">
        <f>ROUND(坦克等级成长!$F168*VLOOKUP($Z$2,坦克等级成长!$B$36:$G$42,MATCH(AO$3,坦克等级成长!$B$35:$G$35,0)),0)</f>
        <v>347</v>
      </c>
      <c r="AP71" s="192">
        <v>18</v>
      </c>
      <c r="AQ71" s="33">
        <f>ROUND(坦克等级成长!$H168*VLOOKUP($Z$2,坦克等级成长!$B$36:$G$42,MATCH(AQ$3,坦克等级成长!$B$35:$G$35,0)),0)</f>
        <v>3544</v>
      </c>
      <c r="AR71" s="33">
        <f>ROUND(坦克等级成长!$H168*VLOOKUP($Z$2,坦克等级成长!$B$36:$G$42,MATCH(AR$3,坦克等级成长!$B$35:$G$35,0)),0)</f>
        <v>188</v>
      </c>
      <c r="AS71" s="33">
        <f>ROUND(坦克等级成长!$H168*VLOOKUP($Z$2,坦克等级成长!$B$36:$G$42,MATCH(AS$3,坦克等级成长!$B$35:$G$35,0)),0)</f>
        <v>1456</v>
      </c>
      <c r="AT71" s="33">
        <f t="shared" si="22"/>
        <v>1456</v>
      </c>
      <c r="AU71" s="33">
        <v>1090</v>
      </c>
      <c r="AV71" s="33">
        <f>ROUND(坦克等级成长!$H168*VLOOKUP($Z$2,坦克等级成长!$B$36:$G$42,MATCH(AV$3,坦克等级成长!$B$35:$G$35,0)),0)</f>
        <v>1329</v>
      </c>
      <c r="AW71" s="33">
        <f>ROUND(坦克等级成长!$H168*VLOOKUP($Z$2,坦克等级成长!$B$36:$G$42,MATCH(AW$3,坦克等级成长!$B$35:$G$35,0)),0)</f>
        <v>354</v>
      </c>
      <c r="AX71" s="193"/>
      <c r="AY71" s="189"/>
      <c r="AZ71" s="189"/>
      <c r="BA71" s="189"/>
      <c r="BB71" s="189"/>
      <c r="BC71" s="189"/>
      <c r="BD71" s="189"/>
      <c r="BE71" s="200"/>
      <c r="BF71" s="199">
        <v>18</v>
      </c>
      <c r="BG71" s="33">
        <f>ROUND(坦克等级成长!$F168*VLOOKUP($AX$2,坦克等级成长!$B$36:$G$42,MATCH(BG$3,坦克等级成长!$B$35:$G$35,0)),0)</f>
        <v>3472</v>
      </c>
      <c r="BH71" s="33">
        <f>ROUND(坦克等级成长!$F168*VLOOKUP($AX$2,坦克等级成长!$B$36:$G$42,MATCH(BH$3,坦克等级成长!$B$35:$G$35,0)),0)</f>
        <v>346</v>
      </c>
      <c r="BI71" s="33">
        <f>ROUND(坦克等级成长!$F168*VLOOKUP($AX$2,坦克等级成长!$B$36:$G$42,MATCH(BI$3,坦克等级成长!$B$35:$G$35,0)),0)</f>
        <v>1302</v>
      </c>
      <c r="BJ71" s="33">
        <f t="shared" si="9"/>
        <v>1302</v>
      </c>
      <c r="BK71" s="33">
        <v>995</v>
      </c>
      <c r="BL71" s="33">
        <f>ROUND(坦克等级成长!$F168*VLOOKUP($AX$2,坦克等级成长!$B$36:$G$42,MATCH(BL$3,坦克等级成长!$B$35:$G$35,0)),0)</f>
        <v>1302</v>
      </c>
      <c r="BM71" s="33">
        <f>ROUND(坦克等级成长!$F168*VLOOKUP($AX$2,坦克等级成长!$B$36:$G$42,MATCH(BM$3,坦克等级成长!$B$35:$G$35,0)),0)</f>
        <v>347</v>
      </c>
      <c r="BN71" s="192">
        <v>18</v>
      </c>
      <c r="BO71" s="33">
        <f>ROUND(坦克等级成长!$H168*VLOOKUP($AX$2,坦克等级成长!$B$36:$G$42,MATCH(BO$3,坦克等级成长!$B$35:$G$35,0)),0)</f>
        <v>3544</v>
      </c>
      <c r="BP71" s="33">
        <f>ROUND(坦克等级成长!$H168*VLOOKUP($AX$2,坦克等级成长!$B$36:$G$42,MATCH(BP$3,坦克等级成长!$B$35:$G$35,0)),0)</f>
        <v>353</v>
      </c>
      <c r="BQ71" s="33">
        <f>ROUND(坦克等级成长!$H168*VLOOKUP($AX$2,坦克等级成长!$B$36:$G$42,MATCH(BQ$3,坦克等级成长!$B$35:$G$35,0)),0)</f>
        <v>1329</v>
      </c>
      <c r="BR71" s="33">
        <f t="shared" si="23"/>
        <v>1329</v>
      </c>
      <c r="BS71" s="33">
        <v>995</v>
      </c>
      <c r="BT71" s="33">
        <f>ROUND(坦克等级成长!$H168*VLOOKUP($AX$2,坦克等级成长!$B$36:$G$42,MATCH(BT$3,坦克等级成长!$B$35:$G$35,0)),0)</f>
        <v>1329</v>
      </c>
      <c r="BU71" s="33">
        <f>ROUND(坦克等级成长!$H168*VLOOKUP($AX$2,坦克等级成长!$B$36:$G$42,MATCH(BU$3,坦克等级成长!$B$35:$G$35,0)),0)</f>
        <v>354</v>
      </c>
      <c r="BV71" s="193"/>
      <c r="BW71" s="189"/>
      <c r="BX71" s="189"/>
      <c r="BY71" s="189"/>
      <c r="BZ71" s="189"/>
      <c r="CA71" s="189"/>
      <c r="CB71" s="189"/>
      <c r="CC71" s="200"/>
      <c r="CD71" s="199">
        <v>18</v>
      </c>
      <c r="CE71" s="33">
        <f>ROUND(坦克等级成长!$F168*VLOOKUP($BV$2,坦克等级成长!$B$36:$G$42,MATCH(CE$3,坦克等级成长!$B$35:$G$35,0)),0)</f>
        <v>3747</v>
      </c>
      <c r="CF71" s="33">
        <f>ROUND(坦克等级成长!$F168*VLOOKUP($BV$2,坦克等级成长!$B$36:$G$42,MATCH(CF$3,坦克等级成长!$B$35:$G$35,0)),0)</f>
        <v>322</v>
      </c>
      <c r="CG71" s="33">
        <f>ROUND(坦克等级成长!$F168*VLOOKUP($BV$2,坦克等级成长!$B$36:$G$42,MATCH(CG$3,坦克等级成长!$B$35:$G$35,0)),0)</f>
        <v>1240</v>
      </c>
      <c r="CH71" s="33">
        <f t="shared" si="10"/>
        <v>1240</v>
      </c>
      <c r="CI71" s="33">
        <v>1016</v>
      </c>
      <c r="CJ71" s="33">
        <f>ROUND(坦克等级成长!$F168*VLOOKUP($BV$2,坦克等级成长!$B$36:$G$42,MATCH(CJ$3,坦克等级成长!$B$35:$G$35,0)),0)</f>
        <v>1562</v>
      </c>
      <c r="CK71" s="33">
        <f>ROUND(坦克等级成长!$F168*VLOOKUP($BV$2,坦克等级成长!$B$36:$G$42,MATCH(CK$3,坦克等级成长!$B$35:$G$35,0)),0)</f>
        <v>375</v>
      </c>
      <c r="CL71" s="192">
        <v>18</v>
      </c>
      <c r="CM71" s="33">
        <f>ROUND(坦克等级成长!$H168*VLOOKUP($BV$2,坦克等级成长!$B$36:$G$42,MATCH(CM$3,坦克等级成长!$B$35:$G$35,0)),0)</f>
        <v>3825</v>
      </c>
      <c r="CN71" s="33">
        <f>ROUND(坦克等级成长!$H168*VLOOKUP($BV$2,坦克等级成长!$B$36:$G$42,MATCH(CN$3,坦克等级成长!$B$35:$G$35,0)),0)</f>
        <v>329</v>
      </c>
      <c r="CO71" s="33">
        <f>ROUND(坦克等级成长!$H168*VLOOKUP($BV$2,坦克等级成长!$B$36:$G$42,MATCH(CO$3,坦克等级成长!$B$35:$G$35,0)),0)</f>
        <v>1266</v>
      </c>
      <c r="CP71" s="33">
        <f t="shared" si="24"/>
        <v>1266</v>
      </c>
      <c r="CQ71" s="33">
        <v>1016</v>
      </c>
      <c r="CR71" s="33">
        <f>ROUND(坦克等级成长!$H168*VLOOKUP($BV$2,坦克等级成长!$B$36:$G$42,MATCH(CR$3,坦克等级成长!$B$35:$G$35,0)),0)</f>
        <v>1595</v>
      </c>
      <c r="CS71" s="33">
        <f>ROUND(坦克等级成长!$H168*VLOOKUP($BV$2,坦克等级成长!$B$36:$G$42,MATCH(CS$3,坦克等级成长!$B$35:$G$35,0)),0)</f>
        <v>383</v>
      </c>
      <c r="CT71" s="193"/>
      <c r="CU71" s="189"/>
      <c r="CV71" s="189"/>
      <c r="CW71" s="189"/>
      <c r="CX71" s="189"/>
      <c r="CY71" s="189"/>
      <c r="CZ71" s="189"/>
      <c r="DA71" s="200"/>
      <c r="DB71" s="199">
        <v>18</v>
      </c>
      <c r="DC71" s="33">
        <f>ROUND(坦克等级成长!$F168*VLOOKUP($CT$2,坦克等级成长!$B$36:$G$42,MATCH(DC$3,坦克等级成长!$B$35:$G$35,0)),0)</f>
        <v>3472</v>
      </c>
      <c r="DD71" s="33">
        <f>ROUND(坦克等级成长!$F168*VLOOKUP($CT$2,坦克等级成长!$B$36:$G$42,MATCH(DD$3,坦克等级成长!$B$35:$G$35,0)),0)</f>
        <v>699</v>
      </c>
      <c r="DE71" s="33">
        <f>ROUND(坦克等级成长!$F168*VLOOKUP($CT$2,坦克等级成长!$B$36:$G$42,MATCH(DE$3,坦克等级成长!$B$35:$G$35,0)),0)</f>
        <v>1550</v>
      </c>
      <c r="DF71" s="33">
        <f t="shared" si="11"/>
        <v>1550</v>
      </c>
      <c r="DG71" s="33">
        <v>1270</v>
      </c>
      <c r="DH71" s="33">
        <f>ROUND(坦克等级成长!$F168*VLOOKUP($CT$2,坦克等级成长!$B$36:$G$42,MATCH(DH$3,坦克等级成长!$B$35:$G$35,0)),0)</f>
        <v>1302</v>
      </c>
      <c r="DI71" s="33">
        <f>ROUND(坦克等级成长!$F168*VLOOKUP($CT$2,坦克等级成长!$B$36:$G$42,MATCH(DI$3,坦克等级成长!$B$35:$G$35,0)),0)</f>
        <v>347</v>
      </c>
      <c r="DJ71" s="192">
        <v>18</v>
      </c>
      <c r="DK71" s="33">
        <f>ROUND(坦克等级成长!$H168*VLOOKUP($CT$2,坦克等级成长!$B$36:$G$42,MATCH(DK$3,坦克等级成长!$B$35:$G$35,0)),0)</f>
        <v>3544</v>
      </c>
      <c r="DL71" s="33">
        <f>ROUND(坦克等级成长!$H168*VLOOKUP($CT$2,坦克等级成长!$B$36:$G$42,MATCH(DL$3,坦克等级成长!$B$35:$G$35,0)),0)</f>
        <v>713</v>
      </c>
      <c r="DM71" s="33">
        <f>ROUND(坦克等级成长!$H168*VLOOKUP($CT$2,坦克等级成长!$B$36:$G$42,MATCH(DM$3,坦克等级成长!$B$35:$G$35,0)),0)</f>
        <v>1582</v>
      </c>
      <c r="DN71" s="33">
        <f t="shared" si="25"/>
        <v>1582</v>
      </c>
      <c r="DO71" s="33">
        <v>1270</v>
      </c>
      <c r="DP71" s="33">
        <f>ROUND(坦克等级成长!$H168*VLOOKUP($CT$2,坦克等级成长!$B$36:$G$42,MATCH(DP$3,坦克等级成长!$B$35:$G$35,0)),0)</f>
        <v>1329</v>
      </c>
      <c r="DQ71" s="33">
        <f>ROUND(坦克等级成长!$H168*VLOOKUP($CT$2,坦克等级成长!$B$36:$G$42,MATCH(DQ$3,坦克等级成长!$B$35:$G$35,0)),0)</f>
        <v>354</v>
      </c>
      <c r="DR71" s="193"/>
      <c r="DS71" s="189"/>
      <c r="DT71" s="189"/>
      <c r="DU71" s="189"/>
      <c r="DV71" s="189"/>
      <c r="DW71" s="189"/>
      <c r="DX71" s="189"/>
      <c r="DY71" s="200"/>
      <c r="DZ71" s="199">
        <v>18</v>
      </c>
      <c r="EA71" s="33">
        <f>ROUND(坦克等级成长!$F168*VLOOKUP($DR$2,坦克等级成长!$B$36:$G$42,MATCH(EA$3,坦克等级成长!$B$35:$G$35,0)),0)</f>
        <v>4247</v>
      </c>
      <c r="EB71" s="33">
        <f>ROUND(坦克等级成长!$F168*VLOOKUP($DR$2,坦克等级成长!$B$36:$G$42,MATCH(EB$3,坦克等级成长!$B$35:$G$35,0)),0)</f>
        <v>1163</v>
      </c>
      <c r="EC71" s="33">
        <f>ROUND(坦克等级成长!$F168*VLOOKUP($DR$2,坦克等级成长!$B$36:$G$42,MATCH(EC$3,坦克等级成长!$B$35:$G$35,0)),0)</f>
        <v>1240</v>
      </c>
      <c r="ED71" s="33">
        <f t="shared" si="12"/>
        <v>1240</v>
      </c>
      <c r="EE71" s="33">
        <v>1083</v>
      </c>
      <c r="EF71" s="33">
        <f>ROUND(坦克等级成长!$F168*VLOOKUP($DR$2,坦克等级成长!$B$36:$G$42,MATCH(EF$3,坦克等级成长!$B$35:$G$35,0)),0)</f>
        <v>1823</v>
      </c>
      <c r="EG71" s="33">
        <f>ROUND(坦克等级成长!$F168*VLOOKUP($DR$2,坦克等级成长!$B$36:$G$42,MATCH(EG$3,坦克等级成长!$B$35:$G$35,0)),0)</f>
        <v>425</v>
      </c>
      <c r="EH71" s="192">
        <v>18</v>
      </c>
      <c r="EI71" s="33">
        <f>ROUND(坦克等级成长!$H168*VLOOKUP($DR$2,坦克等级成长!$B$36:$G$42,MATCH(EI$3,坦克等级成长!$B$35:$G$35,0)),0)</f>
        <v>4335</v>
      </c>
      <c r="EJ71" s="33">
        <f>ROUND(坦克等级成长!$H168*VLOOKUP($DR$2,坦克等级成长!$B$36:$G$42,MATCH(EJ$3,坦克等级成长!$B$35:$G$35,0)),0)</f>
        <v>1188</v>
      </c>
      <c r="EK71" s="33">
        <f>ROUND(坦克等级成长!$H168*VLOOKUP($DR$2,坦克等级成长!$B$36:$G$42,MATCH(EK$3,坦克等级成长!$B$35:$G$35,0)),0)</f>
        <v>1266</v>
      </c>
      <c r="EL71" s="33">
        <f t="shared" si="26"/>
        <v>1266</v>
      </c>
      <c r="EM71" s="33">
        <v>1083</v>
      </c>
      <c r="EN71" s="33">
        <f>ROUND(坦克等级成长!$H168*VLOOKUP($DR$2,坦克等级成长!$B$36:$G$42,MATCH(EN$3,坦克等级成长!$B$35:$G$35,0)),0)</f>
        <v>1861</v>
      </c>
      <c r="EO71" s="33">
        <f>ROUND(坦克等级成长!$H168*VLOOKUP($DR$2,坦克等级成长!$B$36:$G$42,MATCH(EO$3,坦克等级成长!$B$35:$G$35,0)),0)</f>
        <v>434</v>
      </c>
      <c r="EP71" s="193"/>
      <c r="EQ71" s="189"/>
      <c r="ER71" s="189"/>
      <c r="ES71" s="189"/>
      <c r="ET71" s="189"/>
      <c r="EU71" s="189"/>
      <c r="EV71" s="189"/>
      <c r="EW71" s="200"/>
      <c r="EX71" s="199">
        <v>18</v>
      </c>
      <c r="EY71" s="33">
        <f>ROUND(坦克等级成长!$F168*VLOOKUP($EP$2,坦克等级成长!$B$36:$G$42,MATCH(EY$3,坦克等级成长!$B$35:$G$35,0)),0)</f>
        <v>3747</v>
      </c>
      <c r="EZ71" s="33">
        <f>ROUND(坦克等级成长!$F168*VLOOKUP($EP$2,坦克等级成长!$B$36:$G$42,MATCH(EZ$3,坦克等级成长!$B$35:$G$35,0)),0)</f>
        <v>386</v>
      </c>
      <c r="FA71" s="33">
        <f>ROUND(坦克等级成长!$F168*VLOOKUP($EP$2,坦克等级成长!$B$36:$G$42,MATCH(FA$3,坦克等级成长!$B$35:$G$35,0)),0)</f>
        <v>1426</v>
      </c>
      <c r="FB71" s="33">
        <f t="shared" si="13"/>
        <v>1426</v>
      </c>
      <c r="FC71" s="33">
        <v>1168</v>
      </c>
      <c r="FD71" s="33">
        <f>ROUND(坦克等级成长!$F168*VLOOKUP($EP$2,坦克等级成长!$B$36:$G$42,MATCH(FD$3,坦克等级成长!$B$35:$G$35,0)),0)</f>
        <v>1562</v>
      </c>
      <c r="FE71" s="33">
        <f>ROUND(坦克等级成长!$F168*VLOOKUP($EP$2,坦克等级成长!$B$36:$G$42,MATCH(FE$3,坦克等级成长!$B$35:$G$35,0)),0)</f>
        <v>375</v>
      </c>
      <c r="FF71" s="192">
        <v>18</v>
      </c>
      <c r="FG71" s="33">
        <f>ROUND(坦克等级成长!$H168*VLOOKUP($EP$2,坦克等级成长!$B$36:$G$42,MATCH(FG$3,坦克等级成长!$B$35:$G$35,0)),0)</f>
        <v>3825</v>
      </c>
      <c r="FH71" s="33">
        <f>ROUND(坦克等级成长!$H168*VLOOKUP($EP$2,坦克等级成长!$B$36:$G$42,MATCH(FH$3,坦克等级成长!$B$35:$G$35,0)),0)</f>
        <v>394</v>
      </c>
      <c r="FI71" s="33">
        <f>ROUND(坦克等级成长!$H168*VLOOKUP($EP$2,坦克等级成长!$B$36:$G$42,MATCH(FI$3,坦克等级成长!$B$35:$G$35,0)),0)</f>
        <v>1456</v>
      </c>
      <c r="FJ71" s="33">
        <f t="shared" si="27"/>
        <v>1456</v>
      </c>
      <c r="FK71" s="33">
        <v>1168</v>
      </c>
      <c r="FL71" s="33">
        <f>ROUND(坦克等级成长!$H168*VLOOKUP($EP$2,坦克等级成长!$B$36:$G$42,MATCH(FL$3,坦克等级成长!$B$35:$G$35,0)),0)</f>
        <v>1595</v>
      </c>
      <c r="FM71" s="33">
        <f>ROUND(坦克等级成长!$H168*VLOOKUP($EP$2,坦克等级成长!$B$36:$G$42,MATCH(FM$3,坦克等级成长!$B$35:$G$35,0)),0)</f>
        <v>383</v>
      </c>
    </row>
    <row r="72" spans="1:169" ht="14.25" x14ac:dyDescent="0.3">
      <c r="A72" s="189">
        <v>5</v>
      </c>
      <c r="B72" s="193"/>
      <c r="C72" s="189"/>
      <c r="D72" s="189"/>
      <c r="E72" s="189"/>
      <c r="F72" s="189"/>
      <c r="G72" s="189"/>
      <c r="H72" s="189"/>
      <c r="I72" s="200"/>
      <c r="J72" s="199">
        <v>19</v>
      </c>
      <c r="K72" s="33">
        <f>ROUND(坦克等级成长!$F169*VLOOKUP($B$2,坦克等级成长!$B$36:$G$42,MATCH(K$3,坦克等级成长!$B$35:$G$35,0)),0)</f>
        <v>3568</v>
      </c>
      <c r="L72" s="33">
        <f>ROUND(坦克等级成长!$F169*VLOOKUP($B$2,坦克等级成长!$B$36:$G$42,MATCH(L$3,坦克等级成长!$B$35:$G$35,0)),0)</f>
        <v>356</v>
      </c>
      <c r="M72" s="33">
        <f>ROUND(坦克等级成长!$F169*VLOOKUP($B$2,坦克等级成长!$B$36:$G$42,MATCH(M$3,坦克等级成长!$B$35:$G$35,0)),0)</f>
        <v>1338</v>
      </c>
      <c r="N72" s="33">
        <f t="shared" si="7"/>
        <v>1338</v>
      </c>
      <c r="O72" s="33">
        <v>1025</v>
      </c>
      <c r="P72" s="33">
        <f>ROUND(坦克等级成长!$F169*VLOOKUP($B$2,坦克等级成长!$B$36:$G$42,MATCH(P$3,坦克等级成长!$B$35:$G$35,0)),0)</f>
        <v>1338</v>
      </c>
      <c r="Q72" s="33">
        <f>ROUND(坦克等级成长!$F169*VLOOKUP($B$2,坦克等级成长!$B$36:$G$42,MATCH(Q$3,坦克等级成长!$B$35:$G$35,0)),0)</f>
        <v>357</v>
      </c>
      <c r="R72" s="192">
        <v>19</v>
      </c>
      <c r="S72" s="33">
        <f>ROUND(坦克等级成长!$H169*VLOOKUP($B$2,坦克等级成长!$B$36:$G$42,MATCH(S$3,坦克等级成长!$B$35:$G$35,0)),0)</f>
        <v>3648</v>
      </c>
      <c r="T72" s="33">
        <f>ROUND(坦克等级成长!$H169*VLOOKUP($B$2,坦克等级成长!$B$36:$G$42,MATCH(T$3,坦克等级成长!$B$35:$G$35,0)),0)</f>
        <v>364</v>
      </c>
      <c r="U72" s="33">
        <f>ROUND(坦克等级成长!$H169*VLOOKUP($B$2,坦克等级成长!$B$36:$G$42,MATCH(U$3,坦克等级成长!$B$35:$G$35,0)),0)</f>
        <v>1368</v>
      </c>
      <c r="V72" s="33">
        <f t="shared" si="21"/>
        <v>1368</v>
      </c>
      <c r="W72" s="33">
        <v>1025</v>
      </c>
      <c r="X72" s="33">
        <f>ROUND(坦克等级成长!$H169*VLOOKUP($B$2,坦克等级成长!$B$36:$G$42,MATCH(X$3,坦克等级成长!$B$35:$G$35,0)),0)</f>
        <v>1368</v>
      </c>
      <c r="Y72" s="33">
        <f>ROUND(坦克等级成长!$H169*VLOOKUP($B$2,坦克等级成长!$B$36:$G$42,MATCH(Y$3,坦克等级成长!$B$35:$G$35,0)),0)</f>
        <v>365</v>
      </c>
      <c r="Z72" s="193"/>
      <c r="AA72" s="189"/>
      <c r="AB72" s="189"/>
      <c r="AC72" s="189"/>
      <c r="AD72" s="189"/>
      <c r="AE72" s="189"/>
      <c r="AF72" s="189"/>
      <c r="AG72" s="200"/>
      <c r="AH72" s="199">
        <v>19</v>
      </c>
      <c r="AI72" s="33">
        <f>ROUND(坦克等级成长!$F169*VLOOKUP($Z$2,坦克等级成长!$B$36:$G$42,MATCH(AI$3,坦克等级成长!$B$35:$G$35,0)),0)</f>
        <v>3568</v>
      </c>
      <c r="AJ72" s="33">
        <f>ROUND(坦克等级成长!$F169*VLOOKUP($Z$2,坦克等级成长!$B$36:$G$42,MATCH(AJ$3,坦克等级成长!$B$35:$G$35,0)),0)</f>
        <v>189</v>
      </c>
      <c r="AK72" s="33">
        <f>ROUND(坦克等级成长!$F169*VLOOKUP($Z$2,坦克等级成长!$B$36:$G$42,MATCH(AK$3,坦克等级成长!$B$35:$G$35,0)),0)</f>
        <v>1465</v>
      </c>
      <c r="AL72" s="33">
        <f t="shared" si="8"/>
        <v>1465</v>
      </c>
      <c r="AM72" s="33">
        <v>1122</v>
      </c>
      <c r="AN72" s="33">
        <f>ROUND(坦克等级成长!$F169*VLOOKUP($Z$2,坦克等级成长!$B$36:$G$42,MATCH(AN$3,坦克等级成长!$B$35:$G$35,0)),0)</f>
        <v>1338</v>
      </c>
      <c r="AO72" s="33">
        <f>ROUND(坦克等级成长!$F169*VLOOKUP($Z$2,坦克等级成长!$B$36:$G$42,MATCH(AO$3,坦克等级成长!$B$35:$G$35,0)),0)</f>
        <v>357</v>
      </c>
      <c r="AP72" s="192">
        <v>19</v>
      </c>
      <c r="AQ72" s="33">
        <f>ROUND(坦克等级成长!$H169*VLOOKUP($Z$2,坦克等级成长!$B$36:$G$42,MATCH(AQ$3,坦克等级成长!$B$35:$G$35,0)),0)</f>
        <v>3648</v>
      </c>
      <c r="AR72" s="33">
        <f>ROUND(坦克等级成长!$H169*VLOOKUP($Z$2,坦克等级成长!$B$36:$G$42,MATCH(AR$3,坦克等级成长!$B$35:$G$35,0)),0)</f>
        <v>194</v>
      </c>
      <c r="AS72" s="33">
        <f>ROUND(坦克等级成长!$H169*VLOOKUP($Z$2,坦克等级成长!$B$36:$G$42,MATCH(AS$3,坦克等级成长!$B$35:$G$35,0)),0)</f>
        <v>1498</v>
      </c>
      <c r="AT72" s="33">
        <f t="shared" si="22"/>
        <v>1498</v>
      </c>
      <c r="AU72" s="33">
        <v>1122</v>
      </c>
      <c r="AV72" s="33">
        <f>ROUND(坦克等级成长!$H169*VLOOKUP($Z$2,坦克等级成长!$B$36:$G$42,MATCH(AV$3,坦克等级成长!$B$35:$G$35,0)),0)</f>
        <v>1368</v>
      </c>
      <c r="AW72" s="33">
        <f>ROUND(坦克等级成长!$H169*VLOOKUP($Z$2,坦克等级成长!$B$36:$G$42,MATCH(AW$3,坦克等级成长!$B$35:$G$35,0)),0)</f>
        <v>365</v>
      </c>
      <c r="AX72" s="193"/>
      <c r="AY72" s="189"/>
      <c r="AZ72" s="189"/>
      <c r="BA72" s="189"/>
      <c r="BB72" s="189"/>
      <c r="BC72" s="189"/>
      <c r="BD72" s="189"/>
      <c r="BE72" s="200"/>
      <c r="BF72" s="199">
        <v>19</v>
      </c>
      <c r="BG72" s="33">
        <f>ROUND(坦克等级成长!$F169*VLOOKUP($AX$2,坦克等级成长!$B$36:$G$42,MATCH(BG$3,坦克等级成长!$B$35:$G$35,0)),0)</f>
        <v>3568</v>
      </c>
      <c r="BH72" s="33">
        <f>ROUND(坦克等级成长!$F169*VLOOKUP($AX$2,坦克等级成长!$B$36:$G$42,MATCH(BH$3,坦克等级成长!$B$35:$G$35,0)),0)</f>
        <v>356</v>
      </c>
      <c r="BI72" s="33">
        <f>ROUND(坦克等级成长!$F169*VLOOKUP($AX$2,坦克等级成长!$B$36:$G$42,MATCH(BI$3,坦克等级成长!$B$35:$G$35,0)),0)</f>
        <v>1338</v>
      </c>
      <c r="BJ72" s="33">
        <f t="shared" si="9"/>
        <v>1338</v>
      </c>
      <c r="BK72" s="33">
        <v>1025</v>
      </c>
      <c r="BL72" s="33">
        <f>ROUND(坦克等级成长!$F169*VLOOKUP($AX$2,坦克等级成长!$B$36:$G$42,MATCH(BL$3,坦克等级成长!$B$35:$G$35,0)),0)</f>
        <v>1338</v>
      </c>
      <c r="BM72" s="33">
        <f>ROUND(坦克等级成长!$F169*VLOOKUP($AX$2,坦克等级成长!$B$36:$G$42,MATCH(BM$3,坦克等级成长!$B$35:$G$35,0)),0)</f>
        <v>357</v>
      </c>
      <c r="BN72" s="192">
        <v>19</v>
      </c>
      <c r="BO72" s="33">
        <f>ROUND(坦克等级成长!$H169*VLOOKUP($AX$2,坦克等级成长!$B$36:$G$42,MATCH(BO$3,坦克等级成长!$B$35:$G$35,0)),0)</f>
        <v>3648</v>
      </c>
      <c r="BP72" s="33">
        <f>ROUND(坦克等级成长!$H169*VLOOKUP($AX$2,坦克等级成长!$B$36:$G$42,MATCH(BP$3,坦克等级成长!$B$35:$G$35,0)),0)</f>
        <v>364</v>
      </c>
      <c r="BQ72" s="33">
        <f>ROUND(坦克等级成长!$H169*VLOOKUP($AX$2,坦克等级成长!$B$36:$G$42,MATCH(BQ$3,坦克等级成长!$B$35:$G$35,0)),0)</f>
        <v>1368</v>
      </c>
      <c r="BR72" s="33">
        <f t="shared" si="23"/>
        <v>1368</v>
      </c>
      <c r="BS72" s="33">
        <v>1025</v>
      </c>
      <c r="BT72" s="33">
        <f>ROUND(坦克等级成长!$H169*VLOOKUP($AX$2,坦克等级成长!$B$36:$G$42,MATCH(BT$3,坦克等级成长!$B$35:$G$35,0)),0)</f>
        <v>1368</v>
      </c>
      <c r="BU72" s="33">
        <f>ROUND(坦克等级成长!$H169*VLOOKUP($AX$2,坦克等级成长!$B$36:$G$42,MATCH(BU$3,坦克等级成长!$B$35:$G$35,0)),0)</f>
        <v>365</v>
      </c>
      <c r="BV72" s="193"/>
      <c r="BW72" s="189"/>
      <c r="BX72" s="189"/>
      <c r="BY72" s="189"/>
      <c r="BZ72" s="189"/>
      <c r="CA72" s="189"/>
      <c r="CB72" s="189"/>
      <c r="CC72" s="200"/>
      <c r="CD72" s="199">
        <v>19</v>
      </c>
      <c r="CE72" s="33">
        <f>ROUND(坦克等级成长!$F169*VLOOKUP($BV$2,坦克等级成长!$B$36:$G$42,MATCH(CE$3,坦克等级成长!$B$35:$G$35,0)),0)</f>
        <v>3851</v>
      </c>
      <c r="CF72" s="33">
        <f>ROUND(坦克等级成长!$F169*VLOOKUP($BV$2,坦克等级成长!$B$36:$G$42,MATCH(CF$3,坦克等级成长!$B$35:$G$35,0)),0)</f>
        <v>331</v>
      </c>
      <c r="CG72" s="33">
        <f>ROUND(坦克等级成长!$F169*VLOOKUP($BV$2,坦克等级成长!$B$36:$G$42,MATCH(CG$3,坦克等级成长!$B$35:$G$35,0)),0)</f>
        <v>1274</v>
      </c>
      <c r="CH72" s="33">
        <f t="shared" si="10"/>
        <v>1274</v>
      </c>
      <c r="CI72" s="33">
        <v>1046</v>
      </c>
      <c r="CJ72" s="33">
        <f>ROUND(坦克等级成长!$F169*VLOOKUP($BV$2,坦克等级成长!$B$36:$G$42,MATCH(CJ$3,坦克等级成长!$B$35:$G$35,0)),0)</f>
        <v>1606</v>
      </c>
      <c r="CK72" s="33">
        <f>ROUND(坦克等级成长!$F169*VLOOKUP($BV$2,坦克等级成长!$B$36:$G$42,MATCH(CK$3,坦克等级成长!$B$35:$G$35,0)),0)</f>
        <v>385</v>
      </c>
      <c r="CL72" s="192">
        <v>19</v>
      </c>
      <c r="CM72" s="33">
        <f>ROUND(坦克等级成长!$H169*VLOOKUP($BV$2,坦克等级成长!$B$36:$G$42,MATCH(CM$3,坦克等级成长!$B$35:$G$35,0)),0)</f>
        <v>3937</v>
      </c>
      <c r="CN72" s="33">
        <f>ROUND(坦克等级成长!$H169*VLOOKUP($BV$2,坦克等级成长!$B$36:$G$42,MATCH(CN$3,坦克等级成长!$B$35:$G$35,0)),0)</f>
        <v>338</v>
      </c>
      <c r="CO72" s="33">
        <f>ROUND(坦克等级成长!$H169*VLOOKUP($BV$2,坦克等级成长!$B$36:$G$42,MATCH(CO$3,坦克等级成长!$B$35:$G$35,0)),0)</f>
        <v>1303</v>
      </c>
      <c r="CP72" s="33">
        <f t="shared" si="24"/>
        <v>1303</v>
      </c>
      <c r="CQ72" s="33">
        <v>1046</v>
      </c>
      <c r="CR72" s="33">
        <f>ROUND(坦克等级成长!$H169*VLOOKUP($BV$2,坦克等级成长!$B$36:$G$42,MATCH(CR$3,坦克等级成长!$B$35:$G$35,0)),0)</f>
        <v>1642</v>
      </c>
      <c r="CS72" s="33">
        <f>ROUND(坦克等级成长!$H169*VLOOKUP($BV$2,坦克等级成长!$B$36:$G$42,MATCH(CS$3,坦克等级成长!$B$35:$G$35,0)),0)</f>
        <v>394</v>
      </c>
      <c r="CT72" s="193"/>
      <c r="CU72" s="189"/>
      <c r="CV72" s="189"/>
      <c r="CW72" s="189"/>
      <c r="CX72" s="189"/>
      <c r="CY72" s="189"/>
      <c r="CZ72" s="189"/>
      <c r="DA72" s="200"/>
      <c r="DB72" s="199">
        <v>19</v>
      </c>
      <c r="DC72" s="33">
        <f>ROUND(坦克等级成长!$F169*VLOOKUP($CT$2,坦克等级成长!$B$36:$G$42,MATCH(DC$3,坦克等级成长!$B$35:$G$35,0)),0)</f>
        <v>3568</v>
      </c>
      <c r="DD72" s="33">
        <f>ROUND(坦克等级成长!$F169*VLOOKUP($CT$2,坦克等级成长!$B$36:$G$42,MATCH(DD$3,坦克等级成长!$B$35:$G$35,0)),0)</f>
        <v>718</v>
      </c>
      <c r="DE72" s="33">
        <f>ROUND(坦克等级成长!$F169*VLOOKUP($CT$2,坦克等级成长!$B$36:$G$42,MATCH(DE$3,坦克等级成长!$B$35:$G$35,0)),0)</f>
        <v>1593</v>
      </c>
      <c r="DF72" s="33">
        <f t="shared" si="11"/>
        <v>1593</v>
      </c>
      <c r="DG72" s="33">
        <v>1307</v>
      </c>
      <c r="DH72" s="33">
        <f>ROUND(坦克等级成长!$F169*VLOOKUP($CT$2,坦克等级成长!$B$36:$G$42,MATCH(DH$3,坦克等级成长!$B$35:$G$35,0)),0)</f>
        <v>1338</v>
      </c>
      <c r="DI72" s="33">
        <f>ROUND(坦克等级成长!$F169*VLOOKUP($CT$2,坦克等级成长!$B$36:$G$42,MATCH(DI$3,坦克等级成长!$B$35:$G$35,0)),0)</f>
        <v>357</v>
      </c>
      <c r="DJ72" s="192">
        <v>19</v>
      </c>
      <c r="DK72" s="33">
        <f>ROUND(坦克等级成长!$H169*VLOOKUP($CT$2,坦克等级成长!$B$36:$G$42,MATCH(DK$3,坦克等级成长!$B$35:$G$35,0)),0)</f>
        <v>3648</v>
      </c>
      <c r="DL72" s="33">
        <f>ROUND(坦克等级成长!$H169*VLOOKUP($CT$2,坦克等级成长!$B$36:$G$42,MATCH(DL$3,坦克等级成长!$B$35:$G$35,0)),0)</f>
        <v>734</v>
      </c>
      <c r="DM72" s="33">
        <f>ROUND(坦克等级成长!$H169*VLOOKUP($CT$2,坦克等级成长!$B$36:$G$42,MATCH(DM$3,坦克等级成长!$B$35:$G$35,0)),0)</f>
        <v>1629</v>
      </c>
      <c r="DN72" s="33">
        <f t="shared" si="25"/>
        <v>1629</v>
      </c>
      <c r="DO72" s="33">
        <v>1307</v>
      </c>
      <c r="DP72" s="33">
        <f>ROUND(坦克等级成长!$H169*VLOOKUP($CT$2,坦克等级成长!$B$36:$G$42,MATCH(DP$3,坦克等级成长!$B$35:$G$35,0)),0)</f>
        <v>1368</v>
      </c>
      <c r="DQ72" s="33">
        <f>ROUND(坦克等级成长!$H169*VLOOKUP($CT$2,坦克等级成长!$B$36:$G$42,MATCH(DQ$3,坦克等级成长!$B$35:$G$35,0)),0)</f>
        <v>365</v>
      </c>
      <c r="DR72" s="193"/>
      <c r="DS72" s="189"/>
      <c r="DT72" s="189"/>
      <c r="DU72" s="189"/>
      <c r="DV72" s="189"/>
      <c r="DW72" s="189"/>
      <c r="DX72" s="189"/>
      <c r="DY72" s="200"/>
      <c r="DZ72" s="199">
        <v>19</v>
      </c>
      <c r="EA72" s="33">
        <f>ROUND(坦克等级成长!$F169*VLOOKUP($DR$2,坦克等级成长!$B$36:$G$42,MATCH(EA$3,坦克等级成长!$B$35:$G$35,0)),0)</f>
        <v>4365</v>
      </c>
      <c r="EB72" s="33">
        <f>ROUND(坦克等级成长!$F169*VLOOKUP($DR$2,坦克等级成长!$B$36:$G$42,MATCH(EB$3,坦克等级成长!$B$35:$G$35,0)),0)</f>
        <v>1196</v>
      </c>
      <c r="EC72" s="33">
        <f>ROUND(坦克等级成长!$F169*VLOOKUP($DR$2,坦克等级成长!$B$36:$G$42,MATCH(EC$3,坦克等级成长!$B$35:$G$35,0)),0)</f>
        <v>1274</v>
      </c>
      <c r="ED72" s="33">
        <f t="shared" si="12"/>
        <v>1274</v>
      </c>
      <c r="EE72" s="33">
        <v>1115</v>
      </c>
      <c r="EF72" s="33">
        <f>ROUND(坦克等级成长!$F169*VLOOKUP($DR$2,坦克等级成长!$B$36:$G$42,MATCH(EF$3,坦克等级成长!$B$35:$G$35,0)),0)</f>
        <v>1873</v>
      </c>
      <c r="EG72" s="33">
        <f>ROUND(坦克等级成长!$F169*VLOOKUP($DR$2,坦克等级成长!$B$36:$G$42,MATCH(EG$3,坦克等级成长!$B$35:$G$35,0)),0)</f>
        <v>436</v>
      </c>
      <c r="EH72" s="192">
        <v>19</v>
      </c>
      <c r="EI72" s="33">
        <f>ROUND(坦克等级成长!$H169*VLOOKUP($DR$2,坦克等级成长!$B$36:$G$42,MATCH(EI$3,坦克等级成长!$B$35:$G$35,0)),0)</f>
        <v>4463</v>
      </c>
      <c r="EJ72" s="33">
        <f>ROUND(坦克等级成长!$H169*VLOOKUP($DR$2,坦克等级成长!$B$36:$G$42,MATCH(EJ$3,坦克等级成长!$B$35:$G$35,0)),0)</f>
        <v>1222</v>
      </c>
      <c r="EK72" s="33">
        <f>ROUND(坦克等级成长!$H169*VLOOKUP($DR$2,坦克等级成长!$B$36:$G$42,MATCH(EK$3,坦克等级成长!$B$35:$G$35,0)),0)</f>
        <v>1303</v>
      </c>
      <c r="EL72" s="33">
        <f t="shared" si="26"/>
        <v>1303</v>
      </c>
      <c r="EM72" s="33">
        <v>1115</v>
      </c>
      <c r="EN72" s="33">
        <f>ROUND(坦克等级成长!$H169*VLOOKUP($DR$2,坦克等级成长!$B$36:$G$42,MATCH(EN$3,坦克等级成长!$B$35:$G$35,0)),0)</f>
        <v>1915</v>
      </c>
      <c r="EO72" s="33">
        <f>ROUND(坦克等级成长!$H169*VLOOKUP($DR$2,坦克等级成长!$B$36:$G$42,MATCH(EO$3,坦克等级成长!$B$35:$G$35,0)),0)</f>
        <v>446</v>
      </c>
      <c r="EP72" s="193"/>
      <c r="EQ72" s="189"/>
      <c r="ER72" s="189"/>
      <c r="ES72" s="189"/>
      <c r="ET72" s="189"/>
      <c r="EU72" s="189"/>
      <c r="EV72" s="189"/>
      <c r="EW72" s="200"/>
      <c r="EX72" s="199">
        <v>19</v>
      </c>
      <c r="EY72" s="33">
        <f>ROUND(坦克等级成长!$F169*VLOOKUP($EP$2,坦克等级成长!$B$36:$G$42,MATCH(EY$3,坦克等级成长!$B$35:$G$35,0)),0)</f>
        <v>3851</v>
      </c>
      <c r="EZ72" s="33">
        <f>ROUND(坦克等级成长!$F169*VLOOKUP($EP$2,坦克等级成长!$B$36:$G$42,MATCH(EZ$3,坦克等级成长!$B$35:$G$35,0)),0)</f>
        <v>397</v>
      </c>
      <c r="FA72" s="33">
        <f>ROUND(坦克等级成长!$F169*VLOOKUP($EP$2,坦克等级成长!$B$36:$G$42,MATCH(FA$3,坦克等级成长!$B$35:$G$35,0)),0)</f>
        <v>1465</v>
      </c>
      <c r="FB72" s="33">
        <f t="shared" si="13"/>
        <v>1465</v>
      </c>
      <c r="FC72" s="33">
        <v>1202</v>
      </c>
      <c r="FD72" s="33">
        <f>ROUND(坦克等级成长!$F169*VLOOKUP($EP$2,坦克等级成长!$B$36:$G$42,MATCH(FD$3,坦克等级成长!$B$35:$G$35,0)),0)</f>
        <v>1606</v>
      </c>
      <c r="FE72" s="33">
        <f>ROUND(坦克等级成长!$F169*VLOOKUP($EP$2,坦克等级成长!$B$36:$G$42,MATCH(FE$3,坦克等级成长!$B$35:$G$35,0)),0)</f>
        <v>385</v>
      </c>
      <c r="FF72" s="192">
        <v>19</v>
      </c>
      <c r="FG72" s="33">
        <f>ROUND(坦克等级成长!$H169*VLOOKUP($EP$2,坦克等级成长!$B$36:$G$42,MATCH(FG$3,坦克等级成长!$B$35:$G$35,0)),0)</f>
        <v>3937</v>
      </c>
      <c r="FH72" s="33">
        <f>ROUND(坦克等级成长!$H169*VLOOKUP($EP$2,坦克等级成长!$B$36:$G$42,MATCH(FH$3,坦克等级成长!$B$35:$G$35,0)),0)</f>
        <v>406</v>
      </c>
      <c r="FI72" s="33">
        <f>ROUND(坦克等级成长!$H169*VLOOKUP($EP$2,坦克等级成长!$B$36:$G$42,MATCH(FI$3,坦克等级成长!$B$35:$G$35,0)),0)</f>
        <v>1498</v>
      </c>
      <c r="FJ72" s="33">
        <f t="shared" si="27"/>
        <v>1498</v>
      </c>
      <c r="FK72" s="33">
        <v>1202</v>
      </c>
      <c r="FL72" s="33">
        <f>ROUND(坦克等级成长!$H169*VLOOKUP($EP$2,坦克等级成长!$B$36:$G$42,MATCH(FL$3,坦克等级成长!$B$35:$G$35,0)),0)</f>
        <v>1642</v>
      </c>
      <c r="FM72" s="33">
        <f>ROUND(坦克等级成长!$H169*VLOOKUP($EP$2,坦克等级成长!$B$36:$G$42,MATCH(FM$3,坦克等级成长!$B$35:$G$35,0)),0)</f>
        <v>394</v>
      </c>
    </row>
    <row r="73" spans="1:169" ht="14.25" x14ac:dyDescent="0.3">
      <c r="A73" s="189">
        <v>5</v>
      </c>
      <c r="B73" s="193"/>
      <c r="C73" s="189"/>
      <c r="D73" s="189"/>
      <c r="E73" s="189"/>
      <c r="F73" s="189"/>
      <c r="G73" s="189"/>
      <c r="H73" s="189"/>
      <c r="I73" s="200"/>
      <c r="J73" s="199">
        <v>20</v>
      </c>
      <c r="K73" s="33">
        <f>ROUND(坦克等级成长!$F170*VLOOKUP($B$2,坦克等级成长!$B$36:$G$42,MATCH(K$3,坦克等级成长!$B$35:$G$35,0)),0)</f>
        <v>3664</v>
      </c>
      <c r="L73" s="33">
        <f>ROUND(坦克等级成长!$F170*VLOOKUP($B$2,坦克等级成长!$B$36:$G$42,MATCH(L$3,坦克等级成长!$B$35:$G$35,0)),0)</f>
        <v>365</v>
      </c>
      <c r="M73" s="33">
        <f>ROUND(坦克等级成长!$F170*VLOOKUP($B$2,坦克等级成长!$B$36:$G$42,MATCH(M$3,坦克等级成长!$B$35:$G$35,0)),0)</f>
        <v>1374</v>
      </c>
      <c r="N73" s="33">
        <f t="shared" si="7"/>
        <v>1374</v>
      </c>
      <c r="O73" s="33">
        <v>1054</v>
      </c>
      <c r="P73" s="33">
        <f>ROUND(坦克等级成长!$F170*VLOOKUP($B$2,坦克等级成长!$B$36:$G$42,MATCH(P$3,坦克等级成长!$B$35:$G$35,0)),0)</f>
        <v>1374</v>
      </c>
      <c r="Q73" s="33">
        <f>ROUND(坦克等级成长!$F170*VLOOKUP($B$2,坦克等级成长!$B$36:$G$42,MATCH(Q$3,坦克等级成长!$B$35:$G$35,0)),0)</f>
        <v>366</v>
      </c>
      <c r="R73" s="192">
        <v>20</v>
      </c>
      <c r="S73" s="33">
        <f>ROUND(坦克等级成长!$H170*VLOOKUP($B$2,坦克等级成长!$B$36:$G$42,MATCH(S$3,坦克等级成长!$B$35:$G$35,0)),0)</f>
        <v>3752</v>
      </c>
      <c r="T73" s="33">
        <f>ROUND(坦克等级成长!$H170*VLOOKUP($B$2,坦克等级成长!$B$36:$G$42,MATCH(T$3,坦克等级成长!$B$35:$G$35,0)),0)</f>
        <v>374</v>
      </c>
      <c r="U73" s="33">
        <f>ROUND(坦克等级成长!$H170*VLOOKUP($B$2,坦克等级成长!$B$36:$G$42,MATCH(U$3,坦克等级成长!$B$35:$G$35,0)),0)</f>
        <v>1407</v>
      </c>
      <c r="V73" s="33">
        <f t="shared" si="21"/>
        <v>1407</v>
      </c>
      <c r="W73" s="33">
        <v>1054</v>
      </c>
      <c r="X73" s="33">
        <f>ROUND(坦克等级成长!$H170*VLOOKUP($B$2,坦克等级成长!$B$36:$G$42,MATCH(X$3,坦克等级成长!$B$35:$G$35,0)),0)</f>
        <v>1407</v>
      </c>
      <c r="Y73" s="33">
        <f>ROUND(坦克等级成长!$H170*VLOOKUP($B$2,坦克等级成长!$B$36:$G$42,MATCH(Y$3,坦克等级成长!$B$35:$G$35,0)),0)</f>
        <v>375</v>
      </c>
      <c r="Z73" s="193"/>
      <c r="AA73" s="189"/>
      <c r="AB73" s="189"/>
      <c r="AC73" s="189"/>
      <c r="AD73" s="189"/>
      <c r="AE73" s="189"/>
      <c r="AF73" s="189"/>
      <c r="AG73" s="200"/>
      <c r="AH73" s="199">
        <v>20</v>
      </c>
      <c r="AI73" s="33">
        <f>ROUND(坦克等级成长!$F170*VLOOKUP($Z$2,坦克等级成长!$B$36:$G$42,MATCH(AI$3,坦克等级成长!$B$35:$G$35,0)),0)</f>
        <v>3664</v>
      </c>
      <c r="AJ73" s="33">
        <f>ROUND(坦克等级成长!$F170*VLOOKUP($Z$2,坦克等级成长!$B$36:$G$42,MATCH(AJ$3,坦克等级成长!$B$35:$G$35,0)),0)</f>
        <v>195</v>
      </c>
      <c r="AK73" s="33">
        <f>ROUND(坦克等级成长!$F170*VLOOKUP($Z$2,坦克等级成长!$B$36:$G$42,MATCH(AK$3,坦克等级成长!$B$35:$G$35,0)),0)</f>
        <v>1505</v>
      </c>
      <c r="AL73" s="33">
        <f t="shared" si="8"/>
        <v>1505</v>
      </c>
      <c r="AM73" s="33">
        <v>1154</v>
      </c>
      <c r="AN73" s="33">
        <f>ROUND(坦克等级成长!$F170*VLOOKUP($Z$2,坦克等级成长!$B$36:$G$42,MATCH(AN$3,坦克等级成长!$B$35:$G$35,0)),0)</f>
        <v>1374</v>
      </c>
      <c r="AO73" s="33">
        <f>ROUND(坦克等级成长!$F170*VLOOKUP($Z$2,坦克等级成长!$B$36:$G$42,MATCH(AO$3,坦克等级成长!$B$35:$G$35,0)),0)</f>
        <v>366</v>
      </c>
      <c r="AP73" s="192">
        <v>20</v>
      </c>
      <c r="AQ73" s="33">
        <f>ROUND(坦克等级成长!$H170*VLOOKUP($Z$2,坦克等级成长!$B$36:$G$42,MATCH(AQ$3,坦克等级成长!$B$35:$G$35,0)),0)</f>
        <v>3752</v>
      </c>
      <c r="AR73" s="33">
        <f>ROUND(坦克等级成长!$H170*VLOOKUP($Z$2,坦克等级成长!$B$36:$G$42,MATCH(AR$3,坦克等级成长!$B$35:$G$35,0)),0)</f>
        <v>199</v>
      </c>
      <c r="AS73" s="33">
        <f>ROUND(坦克等级成长!$H170*VLOOKUP($Z$2,坦克等级成长!$B$36:$G$42,MATCH(AS$3,坦克等级成长!$B$35:$G$35,0)),0)</f>
        <v>1541</v>
      </c>
      <c r="AT73" s="33">
        <f t="shared" si="22"/>
        <v>1541</v>
      </c>
      <c r="AU73" s="33">
        <v>1154</v>
      </c>
      <c r="AV73" s="33">
        <f>ROUND(坦克等级成长!$H170*VLOOKUP($Z$2,坦克等级成长!$B$36:$G$42,MATCH(AV$3,坦克等级成长!$B$35:$G$35,0)),0)</f>
        <v>1407</v>
      </c>
      <c r="AW73" s="33">
        <f>ROUND(坦克等级成长!$H170*VLOOKUP($Z$2,坦克等级成长!$B$36:$G$42,MATCH(AW$3,坦克等级成长!$B$35:$G$35,0)),0)</f>
        <v>375</v>
      </c>
      <c r="AX73" s="193"/>
      <c r="AY73" s="189"/>
      <c r="AZ73" s="189"/>
      <c r="BA73" s="189"/>
      <c r="BB73" s="189"/>
      <c r="BC73" s="189"/>
      <c r="BD73" s="189"/>
      <c r="BE73" s="200"/>
      <c r="BF73" s="199">
        <v>20</v>
      </c>
      <c r="BG73" s="33">
        <f>ROUND(坦克等级成长!$F170*VLOOKUP($AX$2,坦克等级成长!$B$36:$G$42,MATCH(BG$3,坦克等级成长!$B$35:$G$35,0)),0)</f>
        <v>3664</v>
      </c>
      <c r="BH73" s="33">
        <f>ROUND(坦克等级成长!$F170*VLOOKUP($AX$2,坦克等级成长!$B$36:$G$42,MATCH(BH$3,坦克等级成长!$B$35:$G$35,0)),0)</f>
        <v>365</v>
      </c>
      <c r="BI73" s="33">
        <f>ROUND(坦克等级成长!$F170*VLOOKUP($AX$2,坦克等级成长!$B$36:$G$42,MATCH(BI$3,坦克等级成长!$B$35:$G$35,0)),0)</f>
        <v>1374</v>
      </c>
      <c r="BJ73" s="33">
        <f t="shared" si="9"/>
        <v>1374</v>
      </c>
      <c r="BK73" s="33">
        <v>1054</v>
      </c>
      <c r="BL73" s="33">
        <f>ROUND(坦克等级成长!$F170*VLOOKUP($AX$2,坦克等级成长!$B$36:$G$42,MATCH(BL$3,坦克等级成长!$B$35:$G$35,0)),0)</f>
        <v>1374</v>
      </c>
      <c r="BM73" s="33">
        <f>ROUND(坦克等级成长!$F170*VLOOKUP($AX$2,坦克等级成长!$B$36:$G$42,MATCH(BM$3,坦克等级成长!$B$35:$G$35,0)),0)</f>
        <v>366</v>
      </c>
      <c r="BN73" s="192">
        <v>20</v>
      </c>
      <c r="BO73" s="33">
        <f>ROUND(坦克等级成长!$H170*VLOOKUP($AX$2,坦克等级成长!$B$36:$G$42,MATCH(BO$3,坦克等级成长!$B$35:$G$35,0)),0)</f>
        <v>3752</v>
      </c>
      <c r="BP73" s="33">
        <f>ROUND(坦克等级成长!$H170*VLOOKUP($AX$2,坦克等级成长!$B$36:$G$42,MATCH(BP$3,坦克等级成长!$B$35:$G$35,0)),0)</f>
        <v>374</v>
      </c>
      <c r="BQ73" s="33">
        <f>ROUND(坦克等级成长!$H170*VLOOKUP($AX$2,坦克等级成长!$B$36:$G$42,MATCH(BQ$3,坦克等级成长!$B$35:$G$35,0)),0)</f>
        <v>1407</v>
      </c>
      <c r="BR73" s="33">
        <f t="shared" si="23"/>
        <v>1407</v>
      </c>
      <c r="BS73" s="33">
        <v>1054</v>
      </c>
      <c r="BT73" s="33">
        <f>ROUND(坦克等级成长!$H170*VLOOKUP($AX$2,坦克等级成长!$B$36:$G$42,MATCH(BT$3,坦克等级成长!$B$35:$G$35,0)),0)</f>
        <v>1407</v>
      </c>
      <c r="BU73" s="33">
        <f>ROUND(坦克等级成长!$H170*VLOOKUP($AX$2,坦克等级成长!$B$36:$G$42,MATCH(BU$3,坦克等级成长!$B$35:$G$35,0)),0)</f>
        <v>375</v>
      </c>
      <c r="BV73" s="193"/>
      <c r="BW73" s="189"/>
      <c r="BX73" s="189"/>
      <c r="BY73" s="189"/>
      <c r="BZ73" s="189"/>
      <c r="CA73" s="189"/>
      <c r="CB73" s="189"/>
      <c r="CC73" s="200"/>
      <c r="CD73" s="199">
        <v>20</v>
      </c>
      <c r="CE73" s="33">
        <f>ROUND(坦克等级成长!$F170*VLOOKUP($BV$2,坦克等级成长!$B$36:$G$42,MATCH(CE$3,坦克等级成长!$B$35:$G$35,0)),0)</f>
        <v>3955</v>
      </c>
      <c r="CF73" s="33">
        <f>ROUND(坦克等级成长!$F170*VLOOKUP($BV$2,坦克等级成长!$B$36:$G$42,MATCH(CF$3,坦克等级成长!$B$35:$G$35,0)),0)</f>
        <v>340</v>
      </c>
      <c r="CG73" s="33">
        <f>ROUND(坦克等级成长!$F170*VLOOKUP($BV$2,坦克等级成长!$B$36:$G$42,MATCH(CG$3,坦克等级成长!$B$35:$G$35,0)),0)</f>
        <v>1309</v>
      </c>
      <c r="CH73" s="33">
        <f t="shared" si="10"/>
        <v>1309</v>
      </c>
      <c r="CI73" s="33">
        <v>1076</v>
      </c>
      <c r="CJ73" s="33">
        <f>ROUND(坦克等级成长!$F170*VLOOKUP($BV$2,坦克等级成长!$B$36:$G$42,MATCH(CJ$3,坦克等级成长!$B$35:$G$35,0)),0)</f>
        <v>1649</v>
      </c>
      <c r="CK73" s="33">
        <f>ROUND(坦克等级成长!$F170*VLOOKUP($BV$2,坦克等级成长!$B$36:$G$42,MATCH(CK$3,坦克等级成长!$B$35:$G$35,0)),0)</f>
        <v>395</v>
      </c>
      <c r="CL73" s="192">
        <v>20</v>
      </c>
      <c r="CM73" s="33">
        <f>ROUND(坦克等级成长!$H170*VLOOKUP($BV$2,坦克等级成长!$B$36:$G$42,MATCH(CM$3,坦克等级成长!$B$35:$G$35,0)),0)</f>
        <v>4050</v>
      </c>
      <c r="CN73" s="33">
        <f>ROUND(坦克等级成长!$H170*VLOOKUP($BV$2,坦克等级成长!$B$36:$G$42,MATCH(CN$3,坦克等级成长!$B$35:$G$35,0)),0)</f>
        <v>348</v>
      </c>
      <c r="CO73" s="33">
        <f>ROUND(坦克等级成长!$H170*VLOOKUP($BV$2,坦克等级成长!$B$36:$G$42,MATCH(CO$3,坦克等级成长!$B$35:$G$35,0)),0)</f>
        <v>1340</v>
      </c>
      <c r="CP73" s="33">
        <f t="shared" si="24"/>
        <v>1340</v>
      </c>
      <c r="CQ73" s="33">
        <v>1076</v>
      </c>
      <c r="CR73" s="33">
        <f>ROUND(坦克等级成长!$H170*VLOOKUP($BV$2,坦克等级成长!$B$36:$G$42,MATCH(CR$3,坦克等级成长!$B$35:$G$35,0)),0)</f>
        <v>1688</v>
      </c>
      <c r="CS73" s="33">
        <f>ROUND(坦克等级成长!$H170*VLOOKUP($BV$2,坦克等级成长!$B$36:$G$42,MATCH(CS$3,坦克等级成长!$B$35:$G$35,0)),0)</f>
        <v>405</v>
      </c>
      <c r="CT73" s="193"/>
      <c r="CU73" s="189"/>
      <c r="CV73" s="189"/>
      <c r="CW73" s="189"/>
      <c r="CX73" s="189"/>
      <c r="CY73" s="189"/>
      <c r="CZ73" s="189"/>
      <c r="DA73" s="200"/>
      <c r="DB73" s="199">
        <v>20</v>
      </c>
      <c r="DC73" s="33">
        <f>ROUND(坦克等级成长!$F170*VLOOKUP($CT$2,坦克等级成长!$B$36:$G$42,MATCH(DC$3,坦克等级成长!$B$35:$G$35,0)),0)</f>
        <v>3664</v>
      </c>
      <c r="DD73" s="33">
        <f>ROUND(坦克等级成长!$F170*VLOOKUP($CT$2,坦克等级成长!$B$36:$G$42,MATCH(DD$3,坦克等级成长!$B$35:$G$35,0)),0)</f>
        <v>738</v>
      </c>
      <c r="DE73" s="33">
        <f>ROUND(坦克等级成长!$F170*VLOOKUP($CT$2,坦克等级成长!$B$36:$G$42,MATCH(DE$3,坦克等级成长!$B$35:$G$35,0)),0)</f>
        <v>1636</v>
      </c>
      <c r="DF73" s="33">
        <f t="shared" si="11"/>
        <v>1636</v>
      </c>
      <c r="DG73" s="33">
        <v>1345</v>
      </c>
      <c r="DH73" s="33">
        <f>ROUND(坦克等级成长!$F170*VLOOKUP($CT$2,坦克等级成长!$B$36:$G$42,MATCH(DH$3,坦克等级成长!$B$35:$G$35,0)),0)</f>
        <v>1374</v>
      </c>
      <c r="DI73" s="33">
        <f>ROUND(坦克等级成长!$F170*VLOOKUP($CT$2,坦克等级成长!$B$36:$G$42,MATCH(DI$3,坦克等级成长!$B$35:$G$35,0)),0)</f>
        <v>366</v>
      </c>
      <c r="DJ73" s="192">
        <v>20</v>
      </c>
      <c r="DK73" s="33">
        <f>ROUND(坦克等级成长!$H170*VLOOKUP($CT$2,坦克等级成长!$B$36:$G$42,MATCH(DK$3,坦克等级成长!$B$35:$G$35,0)),0)</f>
        <v>3752</v>
      </c>
      <c r="DL73" s="33">
        <f>ROUND(坦克等级成长!$H170*VLOOKUP($CT$2,坦克等级成长!$B$36:$G$42,MATCH(DL$3,坦克等级成长!$B$35:$G$35,0)),0)</f>
        <v>755</v>
      </c>
      <c r="DM73" s="33">
        <f>ROUND(坦克等级成长!$H170*VLOOKUP($CT$2,坦克等级成长!$B$36:$G$42,MATCH(DM$3,坦克等级成长!$B$35:$G$35,0)),0)</f>
        <v>1675</v>
      </c>
      <c r="DN73" s="33">
        <f t="shared" si="25"/>
        <v>1675</v>
      </c>
      <c r="DO73" s="33">
        <v>1345</v>
      </c>
      <c r="DP73" s="33">
        <f>ROUND(坦克等级成长!$H170*VLOOKUP($CT$2,坦克等级成长!$B$36:$G$42,MATCH(DP$3,坦克等级成长!$B$35:$G$35,0)),0)</f>
        <v>1407</v>
      </c>
      <c r="DQ73" s="33">
        <f>ROUND(坦克等级成长!$H170*VLOOKUP($CT$2,坦克等级成长!$B$36:$G$42,MATCH(DQ$3,坦克等级成长!$B$35:$G$35,0)),0)</f>
        <v>375</v>
      </c>
      <c r="DR73" s="193"/>
      <c r="DS73" s="189"/>
      <c r="DT73" s="189"/>
      <c r="DU73" s="189"/>
      <c r="DV73" s="189"/>
      <c r="DW73" s="189"/>
      <c r="DX73" s="189"/>
      <c r="DY73" s="200"/>
      <c r="DZ73" s="199">
        <v>20</v>
      </c>
      <c r="EA73" s="33">
        <f>ROUND(坦克等级成长!$F170*VLOOKUP($DR$2,坦克等级成长!$B$36:$G$42,MATCH(EA$3,坦克等级成长!$B$35:$G$35,0)),0)</f>
        <v>4482</v>
      </c>
      <c r="EB73" s="33">
        <f>ROUND(坦克等级成长!$F170*VLOOKUP($DR$2,坦克等级成长!$B$36:$G$42,MATCH(EB$3,坦克等级成长!$B$35:$G$35,0)),0)</f>
        <v>1228</v>
      </c>
      <c r="EC73" s="33">
        <f>ROUND(坦克等级成长!$F170*VLOOKUP($DR$2,坦克等级成长!$B$36:$G$42,MATCH(EC$3,坦克等级成长!$B$35:$G$35,0)),0)</f>
        <v>1309</v>
      </c>
      <c r="ED73" s="33">
        <f t="shared" si="12"/>
        <v>1309</v>
      </c>
      <c r="EE73" s="33">
        <v>1147</v>
      </c>
      <c r="EF73" s="33">
        <f>ROUND(坦克等级成长!$F170*VLOOKUP($DR$2,坦克等级成长!$B$36:$G$42,MATCH(EF$3,坦克等级成长!$B$35:$G$35,0)),0)</f>
        <v>1924</v>
      </c>
      <c r="EG73" s="33">
        <f>ROUND(坦克等级成长!$F170*VLOOKUP($DR$2,坦克等级成长!$B$36:$G$42,MATCH(EG$3,坦克等级成长!$B$35:$G$35,0)),0)</f>
        <v>448</v>
      </c>
      <c r="EH73" s="192">
        <v>20</v>
      </c>
      <c r="EI73" s="33">
        <f>ROUND(坦克等级成长!$H170*VLOOKUP($DR$2,坦克等级成长!$B$36:$G$42,MATCH(EI$3,坦克等级成长!$B$35:$G$35,0)),0)</f>
        <v>4590</v>
      </c>
      <c r="EJ73" s="33">
        <f>ROUND(坦克等级成长!$H170*VLOOKUP($DR$2,坦克等级成长!$B$36:$G$42,MATCH(EJ$3,坦克等级成长!$B$35:$G$35,0)),0)</f>
        <v>1257</v>
      </c>
      <c r="EK73" s="33">
        <f>ROUND(坦克等级成长!$H170*VLOOKUP($DR$2,坦克等级成长!$B$36:$G$42,MATCH(EK$3,坦克等级成长!$B$35:$G$35,0)),0)</f>
        <v>1340</v>
      </c>
      <c r="EL73" s="33">
        <f t="shared" si="26"/>
        <v>1340</v>
      </c>
      <c r="EM73" s="33">
        <v>1147</v>
      </c>
      <c r="EN73" s="33">
        <f>ROUND(坦克等级成长!$H170*VLOOKUP($DR$2,坦克等级成长!$B$36:$G$42,MATCH(EN$3,坦克等级成长!$B$35:$G$35,0)),0)</f>
        <v>1970</v>
      </c>
      <c r="EO73" s="33">
        <f>ROUND(坦克等级成长!$H170*VLOOKUP($DR$2,坦克等级成长!$B$36:$G$42,MATCH(EO$3,坦克等级成长!$B$35:$G$35,0)),0)</f>
        <v>459</v>
      </c>
      <c r="EP73" s="193"/>
      <c r="EQ73" s="189"/>
      <c r="ER73" s="189"/>
      <c r="ES73" s="189"/>
      <c r="ET73" s="189"/>
      <c r="EU73" s="189"/>
      <c r="EV73" s="189"/>
      <c r="EW73" s="200"/>
      <c r="EX73" s="199">
        <v>20</v>
      </c>
      <c r="EY73" s="33">
        <f>ROUND(坦克等级成长!$F170*VLOOKUP($EP$2,坦克等级成长!$B$36:$G$42,MATCH(EY$3,坦克等级成长!$B$35:$G$35,0)),0)</f>
        <v>3955</v>
      </c>
      <c r="EZ73" s="33">
        <f>ROUND(坦克等级成长!$F170*VLOOKUP($EP$2,坦克等级成长!$B$36:$G$42,MATCH(EZ$3,坦克等级成长!$B$35:$G$35,0)),0)</f>
        <v>407</v>
      </c>
      <c r="FA73" s="33">
        <f>ROUND(坦克等级成长!$F170*VLOOKUP($EP$2,坦克等级成长!$B$36:$G$42,MATCH(FA$3,坦克等级成长!$B$35:$G$35,0)),0)</f>
        <v>1505</v>
      </c>
      <c r="FB73" s="33">
        <f t="shared" si="13"/>
        <v>1505</v>
      </c>
      <c r="FC73" s="33">
        <v>1237</v>
      </c>
      <c r="FD73" s="33">
        <f>ROUND(坦克等级成长!$F170*VLOOKUP($EP$2,坦克等级成长!$B$36:$G$42,MATCH(FD$3,坦克等级成长!$B$35:$G$35,0)),0)</f>
        <v>1649</v>
      </c>
      <c r="FE73" s="33">
        <f>ROUND(坦克等级成长!$F170*VLOOKUP($EP$2,坦克等级成长!$B$36:$G$42,MATCH(FE$3,坦克等级成长!$B$35:$G$35,0)),0)</f>
        <v>395</v>
      </c>
      <c r="FF73" s="192">
        <v>20</v>
      </c>
      <c r="FG73" s="33">
        <f>ROUND(坦克等级成长!$H170*VLOOKUP($EP$2,坦克等级成长!$B$36:$G$42,MATCH(FG$3,坦克等级成长!$B$35:$G$35,0)),0)</f>
        <v>4050</v>
      </c>
      <c r="FH73" s="33">
        <f>ROUND(坦克等级成长!$H170*VLOOKUP($EP$2,坦克等级成长!$B$36:$G$42,MATCH(FH$3,坦克等级成长!$B$35:$G$35,0)),0)</f>
        <v>417</v>
      </c>
      <c r="FI73" s="33">
        <f>ROUND(坦克等级成长!$H170*VLOOKUP($EP$2,坦克等级成长!$B$36:$G$42,MATCH(FI$3,坦克等级成长!$B$35:$G$35,0)),0)</f>
        <v>1541</v>
      </c>
      <c r="FJ73" s="33">
        <f t="shared" si="27"/>
        <v>1541</v>
      </c>
      <c r="FK73" s="33">
        <v>1237</v>
      </c>
      <c r="FL73" s="33">
        <f>ROUND(坦克等级成长!$H170*VLOOKUP($EP$2,坦克等级成长!$B$36:$G$42,MATCH(FL$3,坦克等级成长!$B$35:$G$35,0)),0)</f>
        <v>1688</v>
      </c>
      <c r="FM73" s="33">
        <f>ROUND(坦克等级成长!$H170*VLOOKUP($EP$2,坦克等级成长!$B$36:$G$42,MATCH(FM$3,坦克等级成长!$B$35:$G$35,0)),0)</f>
        <v>405</v>
      </c>
    </row>
    <row r="74" spans="1:169" ht="14.25" x14ac:dyDescent="0.3">
      <c r="A74" s="189">
        <v>5</v>
      </c>
      <c r="B74" s="204"/>
      <c r="C74" s="205"/>
      <c r="D74" s="205"/>
      <c r="E74" s="205"/>
      <c r="F74" s="205"/>
      <c r="G74" s="205"/>
      <c r="H74" s="205"/>
      <c r="I74" s="208"/>
      <c r="J74" s="209">
        <v>21</v>
      </c>
      <c r="K74" s="33">
        <f>ROUND(坦克等级成长!$F171*VLOOKUP($B$2,坦克等级成长!$B$36:$G$42,MATCH(K$3,坦克等级成长!$B$35:$G$35,0)),0)</f>
        <v>3760</v>
      </c>
      <c r="L74" s="33">
        <f>ROUND(坦克等级成长!$F171*VLOOKUP($B$2,坦克等级成长!$B$36:$G$42,MATCH(L$3,坦克等级成长!$B$35:$G$35,0)),0)</f>
        <v>375</v>
      </c>
      <c r="M74" s="33">
        <f>ROUND(坦克等级成长!$F171*VLOOKUP($B$2,坦克等级成长!$B$36:$G$42,MATCH(M$3,坦克等级成长!$B$35:$G$35,0)),0)</f>
        <v>1410</v>
      </c>
      <c r="N74" s="210">
        <f>M74</f>
        <v>1410</v>
      </c>
      <c r="O74" s="210">
        <v>1084</v>
      </c>
      <c r="P74" s="33">
        <f>ROUND(坦克等级成长!$F171*VLOOKUP($B$2,坦克等级成长!$B$36:$G$42,MATCH(P$3,坦克等级成长!$B$35:$G$35,0)),0)</f>
        <v>1410</v>
      </c>
      <c r="Q74" s="33">
        <f>ROUND(坦克等级成长!$F171*VLOOKUP($B$2,坦克等级成长!$B$36:$G$42,MATCH(Q$3,坦克等级成长!$B$35:$G$35,0)),0)</f>
        <v>376</v>
      </c>
      <c r="R74" s="211">
        <v>21</v>
      </c>
      <c r="S74" s="33">
        <f>ROUND(坦克等级成长!$H171*VLOOKUP($B$2,坦克等级成长!$B$36:$G$42,MATCH(S$3,坦克等级成长!$B$35:$G$35,0)),0)</f>
        <v>3856</v>
      </c>
      <c r="T74" s="33">
        <f>ROUND(坦克等级成长!$H171*VLOOKUP($B$2,坦克等级成长!$B$36:$G$42,MATCH(T$3,坦克等级成长!$B$35:$G$35,0)),0)</f>
        <v>384</v>
      </c>
      <c r="U74" s="33">
        <f>ROUND(坦克等级成长!$H171*VLOOKUP($B$2,坦克等级成长!$B$36:$G$42,MATCH(U$3,坦克等级成长!$B$35:$G$35,0)),0)</f>
        <v>1446</v>
      </c>
      <c r="V74" s="210">
        <f t="shared" si="21"/>
        <v>1446</v>
      </c>
      <c r="W74" s="210">
        <v>1084</v>
      </c>
      <c r="X74" s="33">
        <f>ROUND(坦克等级成长!$H171*VLOOKUP($B$2,坦克等级成长!$B$36:$G$42,MATCH(X$3,坦克等级成长!$B$35:$G$35,0)),0)</f>
        <v>1446</v>
      </c>
      <c r="Y74" s="33">
        <f>ROUND(坦克等级成长!$H171*VLOOKUP($B$2,坦克等级成长!$B$36:$G$42,MATCH(Y$3,坦克等级成长!$B$35:$G$35,0)),0)</f>
        <v>386</v>
      </c>
      <c r="Z74" s="204"/>
      <c r="AA74" s="205"/>
      <c r="AB74" s="205"/>
      <c r="AC74" s="205"/>
      <c r="AD74" s="205"/>
      <c r="AE74" s="205"/>
      <c r="AF74" s="205"/>
      <c r="AG74" s="208"/>
      <c r="AH74" s="209">
        <v>21</v>
      </c>
      <c r="AI74" s="33">
        <f>ROUND(坦克等级成长!$F171*VLOOKUP($Z$2,坦克等级成长!$B$36:$G$42,MATCH(AI$3,坦克等级成长!$B$35:$G$35,0)),0)</f>
        <v>3760</v>
      </c>
      <c r="AJ74" s="33">
        <f>ROUND(坦克等级成长!$F171*VLOOKUP($Z$2,坦克等级成长!$B$36:$G$42,MATCH(AJ$3,坦克等级成长!$B$35:$G$35,0)),0)</f>
        <v>200</v>
      </c>
      <c r="AK74" s="33">
        <f>ROUND(坦克等级成长!$F171*VLOOKUP($Z$2,坦克等级成长!$B$36:$G$42,MATCH(AK$3,坦克等级成长!$B$35:$G$35,0)),0)</f>
        <v>1544</v>
      </c>
      <c r="AL74" s="210">
        <f>AK74</f>
        <v>1544</v>
      </c>
      <c r="AM74" s="210">
        <v>1187</v>
      </c>
      <c r="AN74" s="33">
        <f>ROUND(坦克等级成长!$F171*VLOOKUP($Z$2,坦克等级成长!$B$36:$G$42,MATCH(AN$3,坦克等级成长!$B$35:$G$35,0)),0)</f>
        <v>1410</v>
      </c>
      <c r="AO74" s="33">
        <f>ROUND(坦克等级成长!$F171*VLOOKUP($Z$2,坦克等级成长!$B$36:$G$42,MATCH(AO$3,坦克等级成长!$B$35:$G$35,0)),0)</f>
        <v>376</v>
      </c>
      <c r="AP74" s="211">
        <v>21</v>
      </c>
      <c r="AQ74" s="33">
        <f>ROUND(坦克等级成长!$H171*VLOOKUP($Z$2,坦克等级成长!$B$36:$G$42,MATCH(AQ$3,坦克等级成长!$B$35:$G$35,0)),0)</f>
        <v>3856</v>
      </c>
      <c r="AR74" s="33">
        <f>ROUND(坦克等级成长!$H171*VLOOKUP($Z$2,坦克等级成长!$B$36:$G$42,MATCH(AR$3,坦克等级成长!$B$35:$G$35,0)),0)</f>
        <v>205</v>
      </c>
      <c r="AS74" s="33">
        <f>ROUND(坦克等级成长!$H171*VLOOKUP($Z$2,坦克等级成长!$B$36:$G$42,MATCH(AS$3,坦克等级成长!$B$35:$G$35,0)),0)</f>
        <v>1584</v>
      </c>
      <c r="AT74" s="210">
        <f t="shared" si="22"/>
        <v>1584</v>
      </c>
      <c r="AU74" s="210">
        <v>1187</v>
      </c>
      <c r="AV74" s="33">
        <f>ROUND(坦克等级成长!$H171*VLOOKUP($Z$2,坦克等级成长!$B$36:$G$42,MATCH(AV$3,坦克等级成长!$B$35:$G$35,0)),0)</f>
        <v>1446</v>
      </c>
      <c r="AW74" s="33">
        <f>ROUND(坦克等级成长!$H171*VLOOKUP($Z$2,坦克等级成长!$B$36:$G$42,MATCH(AW$3,坦克等级成长!$B$35:$G$35,0)),0)</f>
        <v>386</v>
      </c>
      <c r="AX74" s="204"/>
      <c r="AY74" s="205"/>
      <c r="AZ74" s="205"/>
      <c r="BA74" s="205"/>
      <c r="BB74" s="205"/>
      <c r="BC74" s="205"/>
      <c r="BD74" s="205"/>
      <c r="BE74" s="208"/>
      <c r="BF74" s="209">
        <v>21</v>
      </c>
      <c r="BG74" s="33">
        <f>ROUND(坦克等级成长!$F171*VLOOKUP($AX$2,坦克等级成长!$B$36:$G$42,MATCH(BG$3,坦克等级成长!$B$35:$G$35,0)),0)</f>
        <v>3760</v>
      </c>
      <c r="BH74" s="33">
        <f>ROUND(坦克等级成长!$F171*VLOOKUP($AX$2,坦克等级成长!$B$36:$G$42,MATCH(BH$3,坦克等级成长!$B$35:$G$35,0)),0)</f>
        <v>375</v>
      </c>
      <c r="BI74" s="33">
        <f>ROUND(坦克等级成长!$F171*VLOOKUP($AX$2,坦克等级成长!$B$36:$G$42,MATCH(BI$3,坦克等级成长!$B$35:$G$35,0)),0)</f>
        <v>1410</v>
      </c>
      <c r="BJ74" s="210">
        <f>BI74</f>
        <v>1410</v>
      </c>
      <c r="BK74" s="210">
        <v>1084</v>
      </c>
      <c r="BL74" s="33">
        <f>ROUND(坦克等级成长!$F171*VLOOKUP($AX$2,坦克等级成长!$B$36:$G$42,MATCH(BL$3,坦克等级成长!$B$35:$G$35,0)),0)</f>
        <v>1410</v>
      </c>
      <c r="BM74" s="33">
        <f>ROUND(坦克等级成长!$F171*VLOOKUP($AX$2,坦克等级成长!$B$36:$G$42,MATCH(BM$3,坦克等级成长!$B$35:$G$35,0)),0)</f>
        <v>376</v>
      </c>
      <c r="BN74" s="211">
        <v>21</v>
      </c>
      <c r="BO74" s="33">
        <f>ROUND(坦克等级成长!$H171*VLOOKUP($AX$2,坦克等级成长!$B$36:$G$42,MATCH(BO$3,坦克等级成长!$B$35:$G$35,0)),0)</f>
        <v>3856</v>
      </c>
      <c r="BP74" s="33">
        <f>ROUND(坦克等级成长!$H171*VLOOKUP($AX$2,坦克等级成长!$B$36:$G$42,MATCH(BP$3,坦克等级成长!$B$35:$G$35,0)),0)</f>
        <v>384</v>
      </c>
      <c r="BQ74" s="33">
        <f>ROUND(坦克等级成长!$H171*VLOOKUP($AX$2,坦克等级成长!$B$36:$G$42,MATCH(BQ$3,坦克等级成长!$B$35:$G$35,0)),0)</f>
        <v>1446</v>
      </c>
      <c r="BR74" s="210">
        <f t="shared" si="23"/>
        <v>1446</v>
      </c>
      <c r="BS74" s="210">
        <v>1084</v>
      </c>
      <c r="BT74" s="33">
        <f>ROUND(坦克等级成长!$H171*VLOOKUP($AX$2,坦克等级成长!$B$36:$G$42,MATCH(BT$3,坦克等级成长!$B$35:$G$35,0)),0)</f>
        <v>1446</v>
      </c>
      <c r="BU74" s="33">
        <f>ROUND(坦克等级成长!$H171*VLOOKUP($AX$2,坦克等级成长!$B$36:$G$42,MATCH(BU$3,坦克等级成长!$B$35:$G$35,0)),0)</f>
        <v>386</v>
      </c>
      <c r="BV74" s="204"/>
      <c r="BW74" s="205"/>
      <c r="BX74" s="205"/>
      <c r="BY74" s="205"/>
      <c r="BZ74" s="205"/>
      <c r="CA74" s="205"/>
      <c r="CB74" s="205"/>
      <c r="CC74" s="208"/>
      <c r="CD74" s="209">
        <v>21</v>
      </c>
      <c r="CE74" s="33">
        <f>ROUND(坦克等级成长!$F171*VLOOKUP($BV$2,坦克等级成长!$B$36:$G$42,MATCH(CE$3,坦克等级成长!$B$35:$G$35,0)),0)</f>
        <v>4058</v>
      </c>
      <c r="CF74" s="33">
        <f>ROUND(坦克等级成长!$F171*VLOOKUP($BV$2,坦克等级成长!$B$36:$G$42,MATCH(CF$3,坦克等级成长!$B$35:$G$35,0)),0)</f>
        <v>349</v>
      </c>
      <c r="CG74" s="33">
        <f>ROUND(坦克等级成长!$F171*VLOOKUP($BV$2,坦克等级成长!$B$36:$G$42,MATCH(CG$3,坦克等级成长!$B$35:$G$35,0)),0)</f>
        <v>1343</v>
      </c>
      <c r="CH74" s="210">
        <f>CG74</f>
        <v>1343</v>
      </c>
      <c r="CI74" s="210">
        <v>1106</v>
      </c>
      <c r="CJ74" s="33">
        <f>ROUND(坦克等级成长!$F171*VLOOKUP($BV$2,坦克等级成长!$B$36:$G$42,MATCH(CJ$3,坦克等级成长!$B$35:$G$35,0)),0)</f>
        <v>1692</v>
      </c>
      <c r="CK74" s="33">
        <f>ROUND(坦克等级成长!$F171*VLOOKUP($BV$2,坦克等级成长!$B$36:$G$42,MATCH(CK$3,坦克等级成长!$B$35:$G$35,0)),0)</f>
        <v>406</v>
      </c>
      <c r="CL74" s="211">
        <v>21</v>
      </c>
      <c r="CM74" s="33">
        <f>ROUND(坦克等级成长!$H171*VLOOKUP($BV$2,坦克等级成长!$B$36:$G$42,MATCH(CM$3,坦克等级成长!$B$35:$G$35,0)),0)</f>
        <v>4162</v>
      </c>
      <c r="CN74" s="33">
        <f>ROUND(坦克等级成长!$H171*VLOOKUP($BV$2,坦克等级成长!$B$36:$G$42,MATCH(CN$3,坦克等级成长!$B$35:$G$35,0)),0)</f>
        <v>358</v>
      </c>
      <c r="CO74" s="33">
        <f>ROUND(坦克等级成长!$H171*VLOOKUP($BV$2,坦克等级成长!$B$36:$G$42,MATCH(CO$3,坦克等级成长!$B$35:$G$35,0)),0)</f>
        <v>1377</v>
      </c>
      <c r="CP74" s="210">
        <f t="shared" si="24"/>
        <v>1377</v>
      </c>
      <c r="CQ74" s="210">
        <v>1106</v>
      </c>
      <c r="CR74" s="33">
        <f>ROUND(坦克等级成长!$H171*VLOOKUP($BV$2,坦克等级成长!$B$36:$G$42,MATCH(CR$3,坦克等级成长!$B$35:$G$35,0)),0)</f>
        <v>1735</v>
      </c>
      <c r="CS74" s="33">
        <f>ROUND(坦克等级成长!$H171*VLOOKUP($BV$2,坦克等级成长!$B$36:$G$42,MATCH(CS$3,坦克等级成长!$B$35:$G$35,0)),0)</f>
        <v>416</v>
      </c>
      <c r="CT74" s="204"/>
      <c r="CU74" s="205"/>
      <c r="CV74" s="205"/>
      <c r="CW74" s="205"/>
      <c r="CX74" s="205"/>
      <c r="CY74" s="205"/>
      <c r="CZ74" s="205"/>
      <c r="DA74" s="208"/>
      <c r="DB74" s="209">
        <v>21</v>
      </c>
      <c r="DC74" s="33">
        <f>ROUND(坦克等级成长!$F171*VLOOKUP($CT$2,坦克等级成长!$B$36:$G$42,MATCH(DC$3,坦克等级成长!$B$35:$G$35,0)),0)</f>
        <v>3760</v>
      </c>
      <c r="DD74" s="33">
        <f>ROUND(坦克等级成长!$F171*VLOOKUP($CT$2,坦克等级成长!$B$36:$G$42,MATCH(DD$3,坦克等级成长!$B$35:$G$35,0)),0)</f>
        <v>757</v>
      </c>
      <c r="DE74" s="33">
        <f>ROUND(坦克等级成长!$F171*VLOOKUP($CT$2,坦克等级成长!$B$36:$G$42,MATCH(DE$3,坦克等级成长!$B$35:$G$35,0)),0)</f>
        <v>1679</v>
      </c>
      <c r="DF74" s="210">
        <f>DE74</f>
        <v>1679</v>
      </c>
      <c r="DG74" s="210">
        <v>1382</v>
      </c>
      <c r="DH74" s="33">
        <f>ROUND(坦克等级成长!$F171*VLOOKUP($CT$2,坦克等级成长!$B$36:$G$42,MATCH(DH$3,坦克等级成长!$B$35:$G$35,0)),0)</f>
        <v>1410</v>
      </c>
      <c r="DI74" s="33">
        <f>ROUND(坦克等级成长!$F171*VLOOKUP($CT$2,坦克等级成长!$B$36:$G$42,MATCH(DI$3,坦克等级成长!$B$35:$G$35,0)),0)</f>
        <v>376</v>
      </c>
      <c r="DJ74" s="211">
        <v>21</v>
      </c>
      <c r="DK74" s="33">
        <f>ROUND(坦克等级成长!$H171*VLOOKUP($CT$2,坦克等级成长!$B$36:$G$42,MATCH(DK$3,坦克等级成长!$B$35:$G$35,0)),0)</f>
        <v>3856</v>
      </c>
      <c r="DL74" s="33">
        <f>ROUND(坦克等级成长!$H171*VLOOKUP($CT$2,坦克等级成长!$B$36:$G$42,MATCH(DL$3,坦克等级成长!$B$35:$G$35,0)),0)</f>
        <v>776</v>
      </c>
      <c r="DM74" s="33">
        <f>ROUND(坦克等级成长!$H171*VLOOKUP($CT$2,坦克等级成长!$B$36:$G$42,MATCH(DM$3,坦克等级成长!$B$35:$G$35,0)),0)</f>
        <v>1721</v>
      </c>
      <c r="DN74" s="210">
        <f t="shared" si="25"/>
        <v>1721</v>
      </c>
      <c r="DO74" s="210">
        <v>1382</v>
      </c>
      <c r="DP74" s="33">
        <f>ROUND(坦克等级成长!$H171*VLOOKUP($CT$2,坦克等级成长!$B$36:$G$42,MATCH(DP$3,坦克等级成长!$B$35:$G$35,0)),0)</f>
        <v>1446</v>
      </c>
      <c r="DQ74" s="33">
        <f>ROUND(坦克等级成长!$H171*VLOOKUP($CT$2,坦克等级成长!$B$36:$G$42,MATCH(DQ$3,坦克等级成长!$B$35:$G$35,0)),0)</f>
        <v>386</v>
      </c>
      <c r="DR74" s="204"/>
      <c r="DS74" s="205"/>
      <c r="DT74" s="205"/>
      <c r="DU74" s="205"/>
      <c r="DV74" s="205"/>
      <c r="DW74" s="205"/>
      <c r="DX74" s="205"/>
      <c r="DY74" s="208"/>
      <c r="DZ74" s="209">
        <v>21</v>
      </c>
      <c r="EA74" s="33">
        <f>ROUND(坦克等级成长!$F171*VLOOKUP($DR$2,坦克等级成长!$B$36:$G$42,MATCH(EA$3,坦克等级成长!$B$35:$G$35,0)),0)</f>
        <v>4600</v>
      </c>
      <c r="EB74" s="33">
        <f>ROUND(坦克等级成长!$F171*VLOOKUP($DR$2,坦克等级成长!$B$36:$G$42,MATCH(EB$3,坦克等级成长!$B$35:$G$35,0)),0)</f>
        <v>1260</v>
      </c>
      <c r="EC74" s="33">
        <f>ROUND(坦克等级成长!$F171*VLOOKUP($DR$2,坦克等级成长!$B$36:$G$42,MATCH(EC$3,坦克等级成长!$B$35:$G$35,0)),0)</f>
        <v>1343</v>
      </c>
      <c r="ED74" s="210">
        <f>EC74</f>
        <v>1343</v>
      </c>
      <c r="EE74" s="210">
        <v>1179</v>
      </c>
      <c r="EF74" s="33">
        <f>ROUND(坦克等级成长!$F171*VLOOKUP($DR$2,坦克等级成长!$B$36:$G$42,MATCH(EF$3,坦克等级成长!$B$35:$G$35,0)),0)</f>
        <v>1974</v>
      </c>
      <c r="EG74" s="33">
        <f>ROUND(坦克等级成长!$F171*VLOOKUP($DR$2,坦克等级成长!$B$36:$G$42,MATCH(EG$3,坦克等级成长!$B$35:$G$35,0)),0)</f>
        <v>460</v>
      </c>
      <c r="EH74" s="211">
        <v>21</v>
      </c>
      <c r="EI74" s="33">
        <f>ROUND(坦克等级成长!$H171*VLOOKUP($DR$2,坦克等级成长!$B$36:$G$42,MATCH(EI$3,坦克等级成长!$B$35:$G$35,0)),0)</f>
        <v>4717</v>
      </c>
      <c r="EJ74" s="33">
        <f>ROUND(坦克等级成长!$H171*VLOOKUP($DR$2,坦克等级成长!$B$36:$G$42,MATCH(EJ$3,坦克等级成长!$B$35:$G$35,0)),0)</f>
        <v>1292</v>
      </c>
      <c r="EK74" s="33">
        <f>ROUND(坦克等级成长!$H171*VLOOKUP($DR$2,坦克等级成长!$B$36:$G$42,MATCH(EK$3,坦克等级成长!$B$35:$G$35,0)),0)</f>
        <v>1377</v>
      </c>
      <c r="EL74" s="210">
        <f t="shared" si="26"/>
        <v>1377</v>
      </c>
      <c r="EM74" s="210">
        <v>1179</v>
      </c>
      <c r="EN74" s="33">
        <f>ROUND(坦克等级成长!$H171*VLOOKUP($DR$2,坦克等级成长!$B$36:$G$42,MATCH(EN$3,坦克等级成长!$B$35:$G$35,0)),0)</f>
        <v>2024</v>
      </c>
      <c r="EO74" s="33">
        <f>ROUND(坦克等级成长!$H171*VLOOKUP($DR$2,坦克等级成长!$B$36:$G$42,MATCH(EO$3,坦克等级成长!$B$35:$G$35,0)),0)</f>
        <v>472</v>
      </c>
      <c r="EP74" s="204"/>
      <c r="EQ74" s="205"/>
      <c r="ER74" s="205"/>
      <c r="ES74" s="205"/>
      <c r="ET74" s="205"/>
      <c r="EU74" s="205"/>
      <c r="EV74" s="205"/>
      <c r="EW74" s="208"/>
      <c r="EX74" s="209">
        <v>21</v>
      </c>
      <c r="EY74" s="33">
        <f>ROUND(坦克等级成长!$F171*VLOOKUP($EP$2,坦克等级成长!$B$36:$G$42,MATCH(EY$3,坦克等级成长!$B$35:$G$35,0)),0)</f>
        <v>4058</v>
      </c>
      <c r="EZ74" s="33">
        <f>ROUND(坦克等级成长!$F171*VLOOKUP($EP$2,坦克等级成长!$B$36:$G$42,MATCH(EZ$3,坦克等级成长!$B$35:$G$35,0)),0)</f>
        <v>418</v>
      </c>
      <c r="FA74" s="33">
        <f>ROUND(坦克等级成长!$F171*VLOOKUP($EP$2,坦克等级成长!$B$36:$G$42,MATCH(FA$3,坦克等级成长!$B$35:$G$35,0)),0)</f>
        <v>1544</v>
      </c>
      <c r="FB74" s="210">
        <f>FA74</f>
        <v>1544</v>
      </c>
      <c r="FC74" s="210">
        <v>1271</v>
      </c>
      <c r="FD74" s="33">
        <f>ROUND(坦克等级成长!$F171*VLOOKUP($EP$2,坦克等级成长!$B$36:$G$42,MATCH(FD$3,坦克等级成长!$B$35:$G$35,0)),0)</f>
        <v>1692</v>
      </c>
      <c r="FE74" s="33">
        <f>ROUND(坦克等级成长!$F171*VLOOKUP($EP$2,坦克等级成长!$B$36:$G$42,MATCH(FE$3,坦克等级成长!$B$35:$G$35,0)),0)</f>
        <v>406</v>
      </c>
      <c r="FF74" s="211">
        <v>21</v>
      </c>
      <c r="FG74" s="33">
        <f>ROUND(坦克等级成长!$H171*VLOOKUP($EP$2,坦克等级成长!$B$36:$G$42,MATCH(FG$3,坦克等级成长!$B$35:$G$35,0)),0)</f>
        <v>4162</v>
      </c>
      <c r="FH74" s="33">
        <f>ROUND(坦克等级成长!$H171*VLOOKUP($EP$2,坦克等级成长!$B$36:$G$42,MATCH(FH$3,坦克等级成长!$B$35:$G$35,0)),0)</f>
        <v>429</v>
      </c>
      <c r="FI74" s="33">
        <f>ROUND(坦克等级成长!$H171*VLOOKUP($EP$2,坦克等级成长!$B$36:$G$42,MATCH(FI$3,坦克等级成长!$B$35:$G$35,0)),0)</f>
        <v>1584</v>
      </c>
      <c r="FJ74" s="210">
        <f t="shared" si="27"/>
        <v>1584</v>
      </c>
      <c r="FK74" s="210">
        <v>1271</v>
      </c>
      <c r="FL74" s="33">
        <f>ROUND(坦克等级成长!$H171*VLOOKUP($EP$2,坦克等级成长!$B$36:$G$42,MATCH(FL$3,坦克等级成长!$B$35:$G$35,0)),0)</f>
        <v>1735</v>
      </c>
      <c r="FM74" s="33">
        <f>ROUND(坦克等级成长!$H171*VLOOKUP($EP$2,坦克等级成长!$B$36:$G$42,MATCH(FM$3,坦克等级成长!$B$35:$G$35,0)),0)</f>
        <v>416</v>
      </c>
    </row>
    <row r="78" spans="1:169" x14ac:dyDescent="0.15">
      <c r="A78" s="184">
        <v>1</v>
      </c>
      <c r="B78" s="184">
        <v>2</v>
      </c>
      <c r="C78" s="184">
        <v>3</v>
      </c>
      <c r="D78" s="184">
        <v>4</v>
      </c>
      <c r="E78" s="184">
        <v>5</v>
      </c>
    </row>
    <row r="79" spans="1:169" ht="15.75" customHeight="1" x14ac:dyDescent="0.3">
      <c r="A79" s="274" t="s">
        <v>79</v>
      </c>
      <c r="B79" s="274"/>
      <c r="C79" s="274"/>
      <c r="D79" s="274"/>
      <c r="E79" s="274"/>
      <c r="F79" s="262" t="s">
        <v>81</v>
      </c>
      <c r="G79" s="262"/>
      <c r="H79" s="262"/>
      <c r="I79" s="262"/>
      <c r="J79" s="262"/>
      <c r="K79" s="262" t="s">
        <v>83</v>
      </c>
      <c r="L79" s="262"/>
      <c r="M79" s="262"/>
      <c r="N79" s="262"/>
      <c r="O79" s="262"/>
      <c r="P79" s="262" t="s">
        <v>85</v>
      </c>
      <c r="Q79" s="262"/>
      <c r="R79" s="262"/>
      <c r="S79" s="262"/>
      <c r="T79" s="262"/>
      <c r="U79" s="262" t="s">
        <v>875</v>
      </c>
      <c r="V79" s="262"/>
      <c r="W79" s="262"/>
      <c r="X79" s="262"/>
      <c r="Y79" s="262"/>
      <c r="Z79" s="262" t="s">
        <v>87</v>
      </c>
      <c r="AA79" s="262"/>
      <c r="AB79" s="262"/>
      <c r="AC79" s="262"/>
      <c r="AD79" s="262"/>
      <c r="AE79" s="262" t="s">
        <v>88</v>
      </c>
      <c r="AF79" s="262"/>
      <c r="AG79" s="262"/>
      <c r="AH79" s="262"/>
      <c r="AI79" s="262"/>
    </row>
    <row r="80" spans="1:169" ht="14.25" x14ac:dyDescent="0.3">
      <c r="A80" s="168" t="s">
        <v>876</v>
      </c>
      <c r="B80" s="33" t="s">
        <v>128</v>
      </c>
      <c r="C80" s="33" t="s">
        <v>143</v>
      </c>
      <c r="D80" s="33" t="s">
        <v>144</v>
      </c>
      <c r="E80" s="33" t="s">
        <v>130</v>
      </c>
      <c r="F80" s="168" t="s">
        <v>876</v>
      </c>
      <c r="G80" s="33" t="s">
        <v>128</v>
      </c>
      <c r="H80" s="33" t="s">
        <v>143</v>
      </c>
      <c r="I80" s="33" t="s">
        <v>144</v>
      </c>
      <c r="J80" s="33" t="s">
        <v>130</v>
      </c>
      <c r="K80" s="168" t="s">
        <v>876</v>
      </c>
      <c r="L80" s="33" t="s">
        <v>128</v>
      </c>
      <c r="M80" s="33" t="s">
        <v>143</v>
      </c>
      <c r="N80" s="33" t="s">
        <v>144</v>
      </c>
      <c r="O80" s="33" t="s">
        <v>130</v>
      </c>
      <c r="P80" s="168" t="s">
        <v>876</v>
      </c>
      <c r="Q80" s="33" t="s">
        <v>128</v>
      </c>
      <c r="R80" s="33" t="s">
        <v>143</v>
      </c>
      <c r="S80" s="33" t="s">
        <v>144</v>
      </c>
      <c r="T80" s="33" t="s">
        <v>130</v>
      </c>
      <c r="U80" s="168" t="s">
        <v>876</v>
      </c>
      <c r="V80" s="33" t="s">
        <v>128</v>
      </c>
      <c r="W80" s="33" t="s">
        <v>143</v>
      </c>
      <c r="X80" s="33" t="s">
        <v>144</v>
      </c>
      <c r="Y80" s="33" t="s">
        <v>130</v>
      </c>
      <c r="Z80" s="168" t="s">
        <v>876</v>
      </c>
      <c r="AA80" s="33" t="s">
        <v>128</v>
      </c>
      <c r="AB80" s="33" t="s">
        <v>143</v>
      </c>
      <c r="AC80" s="33" t="s">
        <v>144</v>
      </c>
      <c r="AD80" s="33" t="s">
        <v>130</v>
      </c>
      <c r="AE80" s="168" t="s">
        <v>876</v>
      </c>
      <c r="AF80" s="33" t="s">
        <v>128</v>
      </c>
      <c r="AG80" s="33" t="s">
        <v>143</v>
      </c>
      <c r="AH80" s="33" t="s">
        <v>144</v>
      </c>
      <c r="AI80" s="33" t="s">
        <v>130</v>
      </c>
    </row>
    <row r="81" spans="1:35" x14ac:dyDescent="0.15">
      <c r="A81" s="206">
        <v>10101</v>
      </c>
      <c r="B81" s="207">
        <f>C4</f>
        <v>800</v>
      </c>
      <c r="C81" s="207">
        <f>D4</f>
        <v>80</v>
      </c>
      <c r="D81" s="207">
        <f>E4</f>
        <v>300</v>
      </c>
      <c r="E81" s="207">
        <f t="shared" ref="E81:E92" si="42">H4</f>
        <v>300</v>
      </c>
      <c r="F81" s="206">
        <v>10101</v>
      </c>
      <c r="G81" s="207">
        <f t="shared" ref="G81:G92" si="43">AA4</f>
        <v>800</v>
      </c>
      <c r="H81" s="207">
        <f t="shared" ref="H81:H92" si="44">AB4</f>
        <v>42</v>
      </c>
      <c r="I81" s="207">
        <f t="shared" ref="I81:I92" si="45">AC4</f>
        <v>329</v>
      </c>
      <c r="J81" s="207">
        <f t="shared" ref="J81:J92" si="46">AF4</f>
        <v>300</v>
      </c>
      <c r="K81" s="206">
        <v>10101</v>
      </c>
      <c r="L81" s="207">
        <f t="shared" ref="L81:L92" si="47">AY4</f>
        <v>800</v>
      </c>
      <c r="M81" s="207">
        <f t="shared" ref="M81:M92" si="48">AZ4</f>
        <v>80</v>
      </c>
      <c r="N81" s="207">
        <f t="shared" ref="N81:N92" si="49">BA4</f>
        <v>300</v>
      </c>
      <c r="O81" s="207">
        <f t="shared" ref="O81:O92" si="50">BD4</f>
        <v>300</v>
      </c>
      <c r="P81" s="206">
        <v>10101</v>
      </c>
      <c r="Q81" s="207">
        <f t="shared" ref="Q81:Q92" si="51">BW4</f>
        <v>863</v>
      </c>
      <c r="R81" s="207">
        <f t="shared" ref="R81:R92" si="52">BX4</f>
        <v>74</v>
      </c>
      <c r="S81" s="207">
        <f t="shared" ref="S81:S92" si="53">BY4</f>
        <v>286</v>
      </c>
      <c r="T81" s="207">
        <f t="shared" ref="T81:T92" si="54">CB4</f>
        <v>360</v>
      </c>
      <c r="U81" s="206">
        <v>10101</v>
      </c>
      <c r="V81" s="207">
        <f t="shared" ref="V81:V92" si="55">CU4</f>
        <v>800</v>
      </c>
      <c r="W81" s="207">
        <f t="shared" ref="W81:W92" si="56">CV4</f>
        <v>161</v>
      </c>
      <c r="X81" s="207">
        <f t="shared" ref="X81:X92" si="57">CW4</f>
        <v>357</v>
      </c>
      <c r="Y81" s="207">
        <f t="shared" ref="Y81:Y92" si="58">CZ4</f>
        <v>300</v>
      </c>
      <c r="Z81" s="206">
        <v>10101</v>
      </c>
      <c r="AA81" s="207">
        <f t="shared" ref="AA81:AA92" si="59">DS4</f>
        <v>979</v>
      </c>
      <c r="AB81" s="207">
        <f t="shared" ref="AB81:AB92" si="60">DT4</f>
        <v>268</v>
      </c>
      <c r="AC81" s="207">
        <f t="shared" ref="AC81:AC92" si="61">DU4</f>
        <v>286</v>
      </c>
      <c r="AD81" s="207">
        <f t="shared" ref="AD81:AD92" si="62">DX4</f>
        <v>420</v>
      </c>
      <c r="AE81" s="206">
        <v>10101</v>
      </c>
      <c r="AF81" s="207">
        <f t="shared" ref="AF81:AF92" si="63">EQ4</f>
        <v>863</v>
      </c>
      <c r="AG81" s="207">
        <f t="shared" ref="AG81:AG92" si="64">ER4</f>
        <v>89</v>
      </c>
      <c r="AH81" s="207">
        <f t="shared" ref="AH81:AH92" si="65">ES4</f>
        <v>329</v>
      </c>
      <c r="AI81" s="207">
        <f t="shared" ref="AI81:AI92" si="66">EV4</f>
        <v>360</v>
      </c>
    </row>
    <row r="82" spans="1:35" x14ac:dyDescent="0.15">
      <c r="A82" s="206">
        <v>10102</v>
      </c>
      <c r="B82" s="207">
        <f t="shared" ref="B82:D92" si="67">C5</f>
        <v>848</v>
      </c>
      <c r="C82" s="207">
        <f t="shared" si="67"/>
        <v>85</v>
      </c>
      <c r="D82" s="207">
        <f t="shared" si="67"/>
        <v>318</v>
      </c>
      <c r="E82" s="207">
        <f t="shared" si="42"/>
        <v>318</v>
      </c>
      <c r="F82" s="206">
        <v>10102</v>
      </c>
      <c r="G82" s="207">
        <f t="shared" si="43"/>
        <v>848</v>
      </c>
      <c r="H82" s="207">
        <f t="shared" si="44"/>
        <v>45</v>
      </c>
      <c r="I82" s="207">
        <f t="shared" si="45"/>
        <v>348</v>
      </c>
      <c r="J82" s="207">
        <f t="shared" si="46"/>
        <v>318</v>
      </c>
      <c r="K82" s="206">
        <v>10102</v>
      </c>
      <c r="L82" s="207">
        <f t="shared" si="47"/>
        <v>848</v>
      </c>
      <c r="M82" s="207">
        <f t="shared" si="48"/>
        <v>85</v>
      </c>
      <c r="N82" s="207">
        <f t="shared" si="49"/>
        <v>318</v>
      </c>
      <c r="O82" s="207">
        <f t="shared" si="50"/>
        <v>318</v>
      </c>
      <c r="P82" s="206">
        <v>10102</v>
      </c>
      <c r="Q82" s="207">
        <f t="shared" si="51"/>
        <v>915</v>
      </c>
      <c r="R82" s="207">
        <f t="shared" si="52"/>
        <v>79</v>
      </c>
      <c r="S82" s="207">
        <f t="shared" si="53"/>
        <v>303</v>
      </c>
      <c r="T82" s="207">
        <f t="shared" si="54"/>
        <v>382</v>
      </c>
      <c r="U82" s="206">
        <v>10102</v>
      </c>
      <c r="V82" s="207">
        <f t="shared" si="55"/>
        <v>848</v>
      </c>
      <c r="W82" s="207">
        <f t="shared" si="56"/>
        <v>171</v>
      </c>
      <c r="X82" s="207">
        <f t="shared" si="57"/>
        <v>379</v>
      </c>
      <c r="Y82" s="207">
        <f t="shared" si="58"/>
        <v>318</v>
      </c>
      <c r="Z82" s="206">
        <v>10102</v>
      </c>
      <c r="AA82" s="207">
        <f t="shared" si="59"/>
        <v>1037</v>
      </c>
      <c r="AB82" s="207">
        <f t="shared" si="60"/>
        <v>284</v>
      </c>
      <c r="AC82" s="207">
        <f t="shared" si="61"/>
        <v>303</v>
      </c>
      <c r="AD82" s="207">
        <f t="shared" si="62"/>
        <v>445</v>
      </c>
      <c r="AE82" s="206">
        <v>10102</v>
      </c>
      <c r="AF82" s="207">
        <f t="shared" si="63"/>
        <v>915</v>
      </c>
      <c r="AG82" s="207">
        <f t="shared" si="64"/>
        <v>94</v>
      </c>
      <c r="AH82" s="207">
        <f t="shared" si="65"/>
        <v>348</v>
      </c>
      <c r="AI82" s="207">
        <f t="shared" si="66"/>
        <v>382</v>
      </c>
    </row>
    <row r="83" spans="1:35" x14ac:dyDescent="0.15">
      <c r="A83" s="206">
        <v>10103</v>
      </c>
      <c r="B83" s="207">
        <f t="shared" si="67"/>
        <v>896</v>
      </c>
      <c r="C83" s="207">
        <f t="shared" si="67"/>
        <v>89</v>
      </c>
      <c r="D83" s="207">
        <f t="shared" si="67"/>
        <v>336</v>
      </c>
      <c r="E83" s="207">
        <f t="shared" si="42"/>
        <v>336</v>
      </c>
      <c r="F83" s="206">
        <v>10103</v>
      </c>
      <c r="G83" s="207">
        <f t="shared" si="43"/>
        <v>896</v>
      </c>
      <c r="H83" s="207">
        <f t="shared" si="44"/>
        <v>48</v>
      </c>
      <c r="I83" s="207">
        <f t="shared" si="45"/>
        <v>368</v>
      </c>
      <c r="J83" s="207">
        <f t="shared" si="46"/>
        <v>336</v>
      </c>
      <c r="K83" s="206">
        <v>10103</v>
      </c>
      <c r="L83" s="207">
        <f t="shared" si="47"/>
        <v>896</v>
      </c>
      <c r="M83" s="207">
        <f t="shared" si="48"/>
        <v>89</v>
      </c>
      <c r="N83" s="207">
        <f t="shared" si="49"/>
        <v>336</v>
      </c>
      <c r="O83" s="207">
        <f t="shared" si="50"/>
        <v>336</v>
      </c>
      <c r="P83" s="206">
        <v>10103</v>
      </c>
      <c r="Q83" s="207">
        <f t="shared" si="51"/>
        <v>967</v>
      </c>
      <c r="R83" s="207">
        <f t="shared" si="52"/>
        <v>83</v>
      </c>
      <c r="S83" s="207">
        <f t="shared" si="53"/>
        <v>320</v>
      </c>
      <c r="T83" s="207">
        <f t="shared" si="54"/>
        <v>403</v>
      </c>
      <c r="U83" s="206">
        <v>10103</v>
      </c>
      <c r="V83" s="207">
        <f t="shared" si="55"/>
        <v>896</v>
      </c>
      <c r="W83" s="207">
        <f t="shared" si="56"/>
        <v>180</v>
      </c>
      <c r="X83" s="207">
        <f t="shared" si="57"/>
        <v>400</v>
      </c>
      <c r="Y83" s="207">
        <f t="shared" si="58"/>
        <v>336</v>
      </c>
      <c r="Z83" s="206">
        <v>10103</v>
      </c>
      <c r="AA83" s="207">
        <f t="shared" si="59"/>
        <v>1096</v>
      </c>
      <c r="AB83" s="207">
        <f t="shared" si="60"/>
        <v>300</v>
      </c>
      <c r="AC83" s="207">
        <f t="shared" si="61"/>
        <v>320</v>
      </c>
      <c r="AD83" s="207">
        <f t="shared" si="62"/>
        <v>470</v>
      </c>
      <c r="AE83" s="206">
        <v>10103</v>
      </c>
      <c r="AF83" s="207">
        <f t="shared" si="63"/>
        <v>967</v>
      </c>
      <c r="AG83" s="207">
        <f t="shared" si="64"/>
        <v>100</v>
      </c>
      <c r="AH83" s="207">
        <f t="shared" si="65"/>
        <v>368</v>
      </c>
      <c r="AI83" s="207">
        <f t="shared" si="66"/>
        <v>403</v>
      </c>
    </row>
    <row r="84" spans="1:35" x14ac:dyDescent="0.15">
      <c r="A84" s="206">
        <v>10104</v>
      </c>
      <c r="B84" s="207">
        <f t="shared" si="67"/>
        <v>944</v>
      </c>
      <c r="C84" s="207">
        <f t="shared" si="67"/>
        <v>94</v>
      </c>
      <c r="D84" s="207">
        <f t="shared" si="67"/>
        <v>354</v>
      </c>
      <c r="E84" s="207">
        <f t="shared" si="42"/>
        <v>354</v>
      </c>
      <c r="F84" s="206">
        <v>10104</v>
      </c>
      <c r="G84" s="207">
        <f t="shared" si="43"/>
        <v>944</v>
      </c>
      <c r="H84" s="207">
        <f t="shared" si="44"/>
        <v>50</v>
      </c>
      <c r="I84" s="207">
        <f t="shared" si="45"/>
        <v>388</v>
      </c>
      <c r="J84" s="207">
        <f t="shared" si="46"/>
        <v>354</v>
      </c>
      <c r="K84" s="206">
        <v>10104</v>
      </c>
      <c r="L84" s="207">
        <f t="shared" si="47"/>
        <v>944</v>
      </c>
      <c r="M84" s="207">
        <f t="shared" si="48"/>
        <v>94</v>
      </c>
      <c r="N84" s="207">
        <f t="shared" si="49"/>
        <v>354</v>
      </c>
      <c r="O84" s="207">
        <f t="shared" si="50"/>
        <v>354</v>
      </c>
      <c r="P84" s="206">
        <v>10104</v>
      </c>
      <c r="Q84" s="207">
        <f t="shared" si="51"/>
        <v>1019</v>
      </c>
      <c r="R84" s="207">
        <f t="shared" si="52"/>
        <v>88</v>
      </c>
      <c r="S84" s="207">
        <f t="shared" si="53"/>
        <v>337</v>
      </c>
      <c r="T84" s="207">
        <f t="shared" si="54"/>
        <v>425</v>
      </c>
      <c r="U84" s="206">
        <v>10104</v>
      </c>
      <c r="V84" s="207">
        <f t="shared" si="55"/>
        <v>944</v>
      </c>
      <c r="W84" s="207">
        <f t="shared" si="56"/>
        <v>190</v>
      </c>
      <c r="X84" s="207">
        <f t="shared" si="57"/>
        <v>421</v>
      </c>
      <c r="Y84" s="207">
        <f t="shared" si="58"/>
        <v>354</v>
      </c>
      <c r="Z84" s="206">
        <v>10104</v>
      </c>
      <c r="AA84" s="207">
        <f t="shared" si="59"/>
        <v>1155</v>
      </c>
      <c r="AB84" s="207">
        <f t="shared" si="60"/>
        <v>316</v>
      </c>
      <c r="AC84" s="207">
        <f t="shared" si="61"/>
        <v>337</v>
      </c>
      <c r="AD84" s="207">
        <f t="shared" si="62"/>
        <v>496</v>
      </c>
      <c r="AE84" s="206">
        <v>10104</v>
      </c>
      <c r="AF84" s="207">
        <f t="shared" si="63"/>
        <v>1019</v>
      </c>
      <c r="AG84" s="207">
        <f t="shared" si="64"/>
        <v>105</v>
      </c>
      <c r="AH84" s="207">
        <f t="shared" si="65"/>
        <v>388</v>
      </c>
      <c r="AI84" s="207">
        <f t="shared" si="66"/>
        <v>425</v>
      </c>
    </row>
    <row r="85" spans="1:35" x14ac:dyDescent="0.15">
      <c r="A85" s="206">
        <v>10105</v>
      </c>
      <c r="B85" s="207">
        <f t="shared" si="67"/>
        <v>992</v>
      </c>
      <c r="C85" s="207">
        <f t="shared" si="67"/>
        <v>99</v>
      </c>
      <c r="D85" s="207">
        <f t="shared" si="67"/>
        <v>372</v>
      </c>
      <c r="E85" s="207">
        <f t="shared" si="42"/>
        <v>372</v>
      </c>
      <c r="F85" s="206">
        <v>10105</v>
      </c>
      <c r="G85" s="207">
        <f t="shared" si="43"/>
        <v>992</v>
      </c>
      <c r="H85" s="207">
        <f t="shared" si="44"/>
        <v>53</v>
      </c>
      <c r="I85" s="207">
        <f t="shared" si="45"/>
        <v>407</v>
      </c>
      <c r="J85" s="207">
        <f t="shared" si="46"/>
        <v>372</v>
      </c>
      <c r="K85" s="206">
        <v>10105</v>
      </c>
      <c r="L85" s="207">
        <f t="shared" si="47"/>
        <v>992</v>
      </c>
      <c r="M85" s="207">
        <f t="shared" si="48"/>
        <v>99</v>
      </c>
      <c r="N85" s="207">
        <f t="shared" si="49"/>
        <v>372</v>
      </c>
      <c r="O85" s="207">
        <f t="shared" si="50"/>
        <v>372</v>
      </c>
      <c r="P85" s="206">
        <v>10105</v>
      </c>
      <c r="Q85" s="207">
        <f t="shared" si="51"/>
        <v>1071</v>
      </c>
      <c r="R85" s="207">
        <f t="shared" si="52"/>
        <v>92</v>
      </c>
      <c r="S85" s="207">
        <f t="shared" si="53"/>
        <v>354</v>
      </c>
      <c r="T85" s="207">
        <f t="shared" si="54"/>
        <v>446</v>
      </c>
      <c r="U85" s="206">
        <v>10105</v>
      </c>
      <c r="V85" s="207">
        <f t="shared" si="55"/>
        <v>992</v>
      </c>
      <c r="W85" s="207">
        <f t="shared" si="56"/>
        <v>200</v>
      </c>
      <c r="X85" s="207">
        <f t="shared" si="57"/>
        <v>443</v>
      </c>
      <c r="Y85" s="207">
        <f t="shared" si="58"/>
        <v>372</v>
      </c>
      <c r="Z85" s="206">
        <v>10105</v>
      </c>
      <c r="AA85" s="207">
        <f t="shared" si="59"/>
        <v>1214</v>
      </c>
      <c r="AB85" s="207">
        <f t="shared" si="60"/>
        <v>332</v>
      </c>
      <c r="AC85" s="207">
        <f t="shared" si="61"/>
        <v>354</v>
      </c>
      <c r="AD85" s="207">
        <f t="shared" si="62"/>
        <v>521</v>
      </c>
      <c r="AE85" s="206">
        <v>10105</v>
      </c>
      <c r="AF85" s="207">
        <f t="shared" si="63"/>
        <v>1071</v>
      </c>
      <c r="AG85" s="207">
        <f t="shared" si="64"/>
        <v>110</v>
      </c>
      <c r="AH85" s="207">
        <f t="shared" si="65"/>
        <v>407</v>
      </c>
      <c r="AI85" s="207">
        <f t="shared" si="66"/>
        <v>446</v>
      </c>
    </row>
    <row r="86" spans="1:35" x14ac:dyDescent="0.15">
      <c r="A86" s="206">
        <v>10201</v>
      </c>
      <c r="B86" s="207">
        <f t="shared" si="67"/>
        <v>928</v>
      </c>
      <c r="C86" s="207">
        <f t="shared" si="67"/>
        <v>92</v>
      </c>
      <c r="D86" s="207">
        <f t="shared" si="67"/>
        <v>348</v>
      </c>
      <c r="E86" s="207">
        <f t="shared" si="42"/>
        <v>348</v>
      </c>
      <c r="F86" s="206">
        <v>10201</v>
      </c>
      <c r="G86" s="207">
        <f t="shared" si="43"/>
        <v>928</v>
      </c>
      <c r="H86" s="207">
        <f t="shared" si="44"/>
        <v>49</v>
      </c>
      <c r="I86" s="207">
        <f t="shared" si="45"/>
        <v>381</v>
      </c>
      <c r="J86" s="207">
        <f t="shared" si="46"/>
        <v>348</v>
      </c>
      <c r="K86" s="206">
        <v>10201</v>
      </c>
      <c r="L86" s="207">
        <f t="shared" si="47"/>
        <v>928</v>
      </c>
      <c r="M86" s="207">
        <f t="shared" si="48"/>
        <v>92</v>
      </c>
      <c r="N86" s="207">
        <f t="shared" si="49"/>
        <v>348</v>
      </c>
      <c r="O86" s="207">
        <f t="shared" si="50"/>
        <v>348</v>
      </c>
      <c r="P86" s="206">
        <v>10201</v>
      </c>
      <c r="Q86" s="207">
        <f t="shared" si="51"/>
        <v>1002</v>
      </c>
      <c r="R86" s="207">
        <f t="shared" si="52"/>
        <v>86</v>
      </c>
      <c r="S86" s="207">
        <f t="shared" si="53"/>
        <v>331</v>
      </c>
      <c r="T86" s="207">
        <f t="shared" si="54"/>
        <v>418</v>
      </c>
      <c r="U86" s="206">
        <v>10201</v>
      </c>
      <c r="V86" s="207">
        <f t="shared" si="55"/>
        <v>928</v>
      </c>
      <c r="W86" s="207">
        <f t="shared" si="56"/>
        <v>187</v>
      </c>
      <c r="X86" s="207">
        <f t="shared" si="57"/>
        <v>414</v>
      </c>
      <c r="Y86" s="207">
        <f t="shared" si="58"/>
        <v>348</v>
      </c>
      <c r="Z86" s="206">
        <v>10201</v>
      </c>
      <c r="AA86" s="207">
        <f t="shared" si="59"/>
        <v>1135</v>
      </c>
      <c r="AB86" s="207">
        <f t="shared" si="60"/>
        <v>311</v>
      </c>
      <c r="AC86" s="207">
        <f t="shared" si="61"/>
        <v>331</v>
      </c>
      <c r="AD86" s="207">
        <f t="shared" si="62"/>
        <v>487</v>
      </c>
      <c r="AE86" s="206">
        <v>10201</v>
      </c>
      <c r="AF86" s="207">
        <f t="shared" si="63"/>
        <v>1002</v>
      </c>
      <c r="AG86" s="207">
        <f t="shared" si="64"/>
        <v>103</v>
      </c>
      <c r="AH86" s="207">
        <f t="shared" si="65"/>
        <v>381</v>
      </c>
      <c r="AI86" s="207">
        <f t="shared" si="66"/>
        <v>418</v>
      </c>
    </row>
    <row r="87" spans="1:35" x14ac:dyDescent="0.15">
      <c r="A87" s="206">
        <v>10202</v>
      </c>
      <c r="B87" s="207">
        <f t="shared" si="67"/>
        <v>992</v>
      </c>
      <c r="C87" s="207">
        <f t="shared" si="67"/>
        <v>99</v>
      </c>
      <c r="D87" s="207">
        <f t="shared" si="67"/>
        <v>372</v>
      </c>
      <c r="E87" s="207">
        <f t="shared" si="42"/>
        <v>372</v>
      </c>
      <c r="F87" s="206">
        <v>10202</v>
      </c>
      <c r="G87" s="207">
        <f t="shared" si="43"/>
        <v>992</v>
      </c>
      <c r="H87" s="207">
        <f t="shared" si="44"/>
        <v>53</v>
      </c>
      <c r="I87" s="207">
        <f t="shared" si="45"/>
        <v>407</v>
      </c>
      <c r="J87" s="207">
        <f t="shared" si="46"/>
        <v>372</v>
      </c>
      <c r="K87" s="206">
        <v>10202</v>
      </c>
      <c r="L87" s="207">
        <f t="shared" si="47"/>
        <v>992</v>
      </c>
      <c r="M87" s="207">
        <f t="shared" si="48"/>
        <v>99</v>
      </c>
      <c r="N87" s="207">
        <f t="shared" si="49"/>
        <v>372</v>
      </c>
      <c r="O87" s="207">
        <f t="shared" si="50"/>
        <v>372</v>
      </c>
      <c r="P87" s="206">
        <v>10202</v>
      </c>
      <c r="Q87" s="207">
        <f t="shared" si="51"/>
        <v>1071</v>
      </c>
      <c r="R87" s="207">
        <f t="shared" si="52"/>
        <v>92</v>
      </c>
      <c r="S87" s="207">
        <f t="shared" si="53"/>
        <v>354</v>
      </c>
      <c r="T87" s="207">
        <f t="shared" si="54"/>
        <v>446</v>
      </c>
      <c r="U87" s="206">
        <v>10202</v>
      </c>
      <c r="V87" s="207">
        <f t="shared" si="55"/>
        <v>992</v>
      </c>
      <c r="W87" s="207">
        <f t="shared" si="56"/>
        <v>200</v>
      </c>
      <c r="X87" s="207">
        <f t="shared" si="57"/>
        <v>443</v>
      </c>
      <c r="Y87" s="207">
        <f t="shared" si="58"/>
        <v>372</v>
      </c>
      <c r="Z87" s="206">
        <v>10202</v>
      </c>
      <c r="AA87" s="207">
        <f t="shared" si="59"/>
        <v>1214</v>
      </c>
      <c r="AB87" s="207">
        <f t="shared" si="60"/>
        <v>332</v>
      </c>
      <c r="AC87" s="207">
        <f t="shared" si="61"/>
        <v>354</v>
      </c>
      <c r="AD87" s="207">
        <f t="shared" si="62"/>
        <v>521</v>
      </c>
      <c r="AE87" s="206">
        <v>10202</v>
      </c>
      <c r="AF87" s="207">
        <f t="shared" si="63"/>
        <v>1071</v>
      </c>
      <c r="AG87" s="207">
        <f t="shared" si="64"/>
        <v>110</v>
      </c>
      <c r="AH87" s="207">
        <f t="shared" si="65"/>
        <v>407</v>
      </c>
      <c r="AI87" s="207">
        <f t="shared" si="66"/>
        <v>446</v>
      </c>
    </row>
    <row r="88" spans="1:35" x14ac:dyDescent="0.15">
      <c r="A88" s="206">
        <v>10203</v>
      </c>
      <c r="B88" s="207">
        <f t="shared" si="67"/>
        <v>1056</v>
      </c>
      <c r="C88" s="207">
        <f t="shared" si="67"/>
        <v>105</v>
      </c>
      <c r="D88" s="207">
        <f t="shared" si="67"/>
        <v>396</v>
      </c>
      <c r="E88" s="207">
        <f t="shared" si="42"/>
        <v>396</v>
      </c>
      <c r="F88" s="206">
        <v>10203</v>
      </c>
      <c r="G88" s="207">
        <f t="shared" si="43"/>
        <v>1056</v>
      </c>
      <c r="H88" s="207">
        <f t="shared" si="44"/>
        <v>56</v>
      </c>
      <c r="I88" s="207">
        <f t="shared" si="45"/>
        <v>434</v>
      </c>
      <c r="J88" s="207">
        <f t="shared" si="46"/>
        <v>396</v>
      </c>
      <c r="K88" s="206">
        <v>10203</v>
      </c>
      <c r="L88" s="207">
        <f t="shared" si="47"/>
        <v>1056</v>
      </c>
      <c r="M88" s="207">
        <f t="shared" si="48"/>
        <v>105</v>
      </c>
      <c r="N88" s="207">
        <f t="shared" si="49"/>
        <v>396</v>
      </c>
      <c r="O88" s="207">
        <f t="shared" si="50"/>
        <v>396</v>
      </c>
      <c r="P88" s="206">
        <v>10203</v>
      </c>
      <c r="Q88" s="207">
        <f t="shared" si="51"/>
        <v>1140</v>
      </c>
      <c r="R88" s="207">
        <f t="shared" si="52"/>
        <v>98</v>
      </c>
      <c r="S88" s="207">
        <f t="shared" si="53"/>
        <v>377</v>
      </c>
      <c r="T88" s="207">
        <f t="shared" si="54"/>
        <v>475</v>
      </c>
      <c r="U88" s="206">
        <v>10203</v>
      </c>
      <c r="V88" s="207">
        <f t="shared" si="55"/>
        <v>1056</v>
      </c>
      <c r="W88" s="207">
        <f t="shared" si="56"/>
        <v>213</v>
      </c>
      <c r="X88" s="207">
        <f t="shared" si="57"/>
        <v>471</v>
      </c>
      <c r="Y88" s="207">
        <f t="shared" si="58"/>
        <v>396</v>
      </c>
      <c r="Z88" s="206">
        <v>10203</v>
      </c>
      <c r="AA88" s="207">
        <f t="shared" si="59"/>
        <v>1292</v>
      </c>
      <c r="AB88" s="207">
        <f t="shared" si="60"/>
        <v>354</v>
      </c>
      <c r="AC88" s="207">
        <f t="shared" si="61"/>
        <v>377</v>
      </c>
      <c r="AD88" s="207">
        <f t="shared" si="62"/>
        <v>554</v>
      </c>
      <c r="AE88" s="206">
        <v>10203</v>
      </c>
      <c r="AF88" s="207">
        <f t="shared" si="63"/>
        <v>1140</v>
      </c>
      <c r="AG88" s="207">
        <f t="shared" si="64"/>
        <v>117</v>
      </c>
      <c r="AH88" s="207">
        <f t="shared" si="65"/>
        <v>434</v>
      </c>
      <c r="AI88" s="207">
        <f t="shared" si="66"/>
        <v>475</v>
      </c>
    </row>
    <row r="89" spans="1:35" x14ac:dyDescent="0.15">
      <c r="A89" s="206">
        <v>10204</v>
      </c>
      <c r="B89" s="207">
        <f t="shared" si="67"/>
        <v>1120</v>
      </c>
      <c r="C89" s="207">
        <f t="shared" si="67"/>
        <v>112</v>
      </c>
      <c r="D89" s="207">
        <f t="shared" si="67"/>
        <v>420</v>
      </c>
      <c r="E89" s="207">
        <f t="shared" si="42"/>
        <v>420</v>
      </c>
      <c r="F89" s="206">
        <v>10204</v>
      </c>
      <c r="G89" s="207">
        <f t="shared" si="43"/>
        <v>1120</v>
      </c>
      <c r="H89" s="207">
        <f t="shared" si="44"/>
        <v>59</v>
      </c>
      <c r="I89" s="207">
        <f t="shared" si="45"/>
        <v>460</v>
      </c>
      <c r="J89" s="207">
        <f t="shared" si="46"/>
        <v>420</v>
      </c>
      <c r="K89" s="206">
        <v>10204</v>
      </c>
      <c r="L89" s="207">
        <f t="shared" si="47"/>
        <v>1120</v>
      </c>
      <c r="M89" s="207">
        <f t="shared" si="48"/>
        <v>112</v>
      </c>
      <c r="N89" s="207">
        <f t="shared" si="49"/>
        <v>420</v>
      </c>
      <c r="O89" s="207">
        <f t="shared" si="50"/>
        <v>420</v>
      </c>
      <c r="P89" s="206">
        <v>10204</v>
      </c>
      <c r="Q89" s="207">
        <f t="shared" si="51"/>
        <v>1209</v>
      </c>
      <c r="R89" s="207">
        <f t="shared" si="52"/>
        <v>104</v>
      </c>
      <c r="S89" s="207">
        <f t="shared" si="53"/>
        <v>400</v>
      </c>
      <c r="T89" s="207">
        <f t="shared" si="54"/>
        <v>504</v>
      </c>
      <c r="U89" s="206">
        <v>10204</v>
      </c>
      <c r="V89" s="207">
        <f t="shared" si="55"/>
        <v>1120</v>
      </c>
      <c r="W89" s="207">
        <f t="shared" si="56"/>
        <v>225</v>
      </c>
      <c r="X89" s="207">
        <f t="shared" si="57"/>
        <v>500</v>
      </c>
      <c r="Y89" s="207">
        <f t="shared" si="58"/>
        <v>420</v>
      </c>
      <c r="Z89" s="206">
        <v>10204</v>
      </c>
      <c r="AA89" s="207">
        <f t="shared" si="59"/>
        <v>1370</v>
      </c>
      <c r="AB89" s="207">
        <f t="shared" si="60"/>
        <v>375</v>
      </c>
      <c r="AC89" s="207">
        <f t="shared" si="61"/>
        <v>400</v>
      </c>
      <c r="AD89" s="207">
        <f t="shared" si="62"/>
        <v>588</v>
      </c>
      <c r="AE89" s="206">
        <v>10204</v>
      </c>
      <c r="AF89" s="207">
        <f t="shared" si="63"/>
        <v>1209</v>
      </c>
      <c r="AG89" s="207">
        <f t="shared" si="64"/>
        <v>125</v>
      </c>
      <c r="AH89" s="207">
        <f t="shared" si="65"/>
        <v>460</v>
      </c>
      <c r="AI89" s="207">
        <f t="shared" si="66"/>
        <v>504</v>
      </c>
    </row>
    <row r="90" spans="1:35" x14ac:dyDescent="0.15">
      <c r="A90" s="206">
        <v>10205</v>
      </c>
      <c r="B90" s="207">
        <f t="shared" si="67"/>
        <v>1184</v>
      </c>
      <c r="C90" s="207">
        <f t="shared" si="67"/>
        <v>118</v>
      </c>
      <c r="D90" s="207">
        <f t="shared" si="67"/>
        <v>444</v>
      </c>
      <c r="E90" s="207">
        <f t="shared" si="42"/>
        <v>444</v>
      </c>
      <c r="F90" s="206">
        <v>10205</v>
      </c>
      <c r="G90" s="207">
        <f t="shared" si="43"/>
        <v>1184</v>
      </c>
      <c r="H90" s="207">
        <f t="shared" si="44"/>
        <v>63</v>
      </c>
      <c r="I90" s="207">
        <f t="shared" si="45"/>
        <v>486</v>
      </c>
      <c r="J90" s="207">
        <f t="shared" si="46"/>
        <v>444</v>
      </c>
      <c r="K90" s="206">
        <v>10205</v>
      </c>
      <c r="L90" s="207">
        <f t="shared" si="47"/>
        <v>1184</v>
      </c>
      <c r="M90" s="207">
        <f t="shared" si="48"/>
        <v>118</v>
      </c>
      <c r="N90" s="207">
        <f t="shared" si="49"/>
        <v>444</v>
      </c>
      <c r="O90" s="207">
        <f t="shared" si="50"/>
        <v>444</v>
      </c>
      <c r="P90" s="206">
        <v>10205</v>
      </c>
      <c r="Q90" s="207">
        <f t="shared" si="51"/>
        <v>1278</v>
      </c>
      <c r="R90" s="207">
        <f t="shared" si="52"/>
        <v>110</v>
      </c>
      <c r="S90" s="207">
        <f t="shared" si="53"/>
        <v>423</v>
      </c>
      <c r="T90" s="207">
        <f t="shared" si="54"/>
        <v>533</v>
      </c>
      <c r="U90" s="206">
        <v>10205</v>
      </c>
      <c r="V90" s="207">
        <f t="shared" si="55"/>
        <v>1184</v>
      </c>
      <c r="W90" s="207">
        <f t="shared" si="56"/>
        <v>238</v>
      </c>
      <c r="X90" s="207">
        <f t="shared" si="57"/>
        <v>529</v>
      </c>
      <c r="Y90" s="207">
        <f t="shared" si="58"/>
        <v>444</v>
      </c>
      <c r="Z90" s="206">
        <v>10205</v>
      </c>
      <c r="AA90" s="207">
        <f t="shared" si="59"/>
        <v>1448</v>
      </c>
      <c r="AB90" s="207">
        <f t="shared" si="60"/>
        <v>397</v>
      </c>
      <c r="AC90" s="207">
        <f t="shared" si="61"/>
        <v>423</v>
      </c>
      <c r="AD90" s="207">
        <f t="shared" si="62"/>
        <v>622</v>
      </c>
      <c r="AE90" s="206">
        <v>10205</v>
      </c>
      <c r="AF90" s="207">
        <f t="shared" si="63"/>
        <v>1278</v>
      </c>
      <c r="AG90" s="207">
        <f t="shared" si="64"/>
        <v>132</v>
      </c>
      <c r="AH90" s="207">
        <f t="shared" si="65"/>
        <v>486</v>
      </c>
      <c r="AI90" s="207">
        <f t="shared" si="66"/>
        <v>533</v>
      </c>
    </row>
    <row r="91" spans="1:35" x14ac:dyDescent="0.15">
      <c r="A91" s="206">
        <v>10206</v>
      </c>
      <c r="B91" s="207">
        <f t="shared" si="67"/>
        <v>1248</v>
      </c>
      <c r="C91" s="207">
        <f t="shared" si="67"/>
        <v>124</v>
      </c>
      <c r="D91" s="207">
        <f t="shared" si="67"/>
        <v>468</v>
      </c>
      <c r="E91" s="207">
        <f t="shared" si="42"/>
        <v>468</v>
      </c>
      <c r="F91" s="206">
        <v>10206</v>
      </c>
      <c r="G91" s="207">
        <f t="shared" si="43"/>
        <v>1248</v>
      </c>
      <c r="H91" s="207">
        <f t="shared" si="44"/>
        <v>66</v>
      </c>
      <c r="I91" s="207">
        <f t="shared" si="45"/>
        <v>513</v>
      </c>
      <c r="J91" s="207">
        <f t="shared" si="46"/>
        <v>468</v>
      </c>
      <c r="K91" s="206">
        <v>10206</v>
      </c>
      <c r="L91" s="207">
        <f t="shared" si="47"/>
        <v>1248</v>
      </c>
      <c r="M91" s="207">
        <f t="shared" si="48"/>
        <v>124</v>
      </c>
      <c r="N91" s="207">
        <f t="shared" si="49"/>
        <v>468</v>
      </c>
      <c r="O91" s="207">
        <f t="shared" si="50"/>
        <v>468</v>
      </c>
      <c r="P91" s="206">
        <v>10206</v>
      </c>
      <c r="Q91" s="207">
        <f t="shared" si="51"/>
        <v>1347</v>
      </c>
      <c r="R91" s="207">
        <f t="shared" si="52"/>
        <v>116</v>
      </c>
      <c r="S91" s="207">
        <f t="shared" si="53"/>
        <v>446</v>
      </c>
      <c r="T91" s="207">
        <f t="shared" si="54"/>
        <v>562</v>
      </c>
      <c r="U91" s="206">
        <v>10206</v>
      </c>
      <c r="V91" s="207">
        <f t="shared" si="55"/>
        <v>1248</v>
      </c>
      <c r="W91" s="207">
        <f t="shared" si="56"/>
        <v>251</v>
      </c>
      <c r="X91" s="207">
        <f t="shared" si="57"/>
        <v>557</v>
      </c>
      <c r="Y91" s="207">
        <f t="shared" si="58"/>
        <v>468</v>
      </c>
      <c r="Z91" s="206">
        <v>10206</v>
      </c>
      <c r="AA91" s="207">
        <f t="shared" si="59"/>
        <v>1527</v>
      </c>
      <c r="AB91" s="207">
        <f t="shared" si="60"/>
        <v>418</v>
      </c>
      <c r="AC91" s="207">
        <f t="shared" si="61"/>
        <v>446</v>
      </c>
      <c r="AD91" s="207">
        <f t="shared" si="62"/>
        <v>655</v>
      </c>
      <c r="AE91" s="206">
        <v>10206</v>
      </c>
      <c r="AF91" s="207">
        <f t="shared" si="63"/>
        <v>1347</v>
      </c>
      <c r="AG91" s="207">
        <f t="shared" si="64"/>
        <v>139</v>
      </c>
      <c r="AH91" s="207">
        <f t="shared" si="65"/>
        <v>513</v>
      </c>
      <c r="AI91" s="207">
        <f t="shared" si="66"/>
        <v>562</v>
      </c>
    </row>
    <row r="92" spans="1:35" x14ac:dyDescent="0.15">
      <c r="A92" s="206">
        <v>10207</v>
      </c>
      <c r="B92" s="207">
        <f t="shared" si="67"/>
        <v>1312</v>
      </c>
      <c r="C92" s="207">
        <f t="shared" si="67"/>
        <v>131</v>
      </c>
      <c r="D92" s="207">
        <f t="shared" si="67"/>
        <v>492</v>
      </c>
      <c r="E92" s="207">
        <f t="shared" si="42"/>
        <v>492</v>
      </c>
      <c r="F92" s="206">
        <v>10207</v>
      </c>
      <c r="G92" s="207">
        <f t="shared" si="43"/>
        <v>1312</v>
      </c>
      <c r="H92" s="207">
        <f t="shared" si="44"/>
        <v>70</v>
      </c>
      <c r="I92" s="207">
        <f t="shared" si="45"/>
        <v>539</v>
      </c>
      <c r="J92" s="207">
        <f t="shared" si="46"/>
        <v>492</v>
      </c>
      <c r="K92" s="206">
        <v>10207</v>
      </c>
      <c r="L92" s="207">
        <f t="shared" si="47"/>
        <v>1312</v>
      </c>
      <c r="M92" s="207">
        <f t="shared" si="48"/>
        <v>131</v>
      </c>
      <c r="N92" s="207">
        <f t="shared" si="49"/>
        <v>492</v>
      </c>
      <c r="O92" s="207">
        <f t="shared" si="50"/>
        <v>492</v>
      </c>
      <c r="P92" s="206">
        <v>10207</v>
      </c>
      <c r="Q92" s="207">
        <f t="shared" si="51"/>
        <v>1416</v>
      </c>
      <c r="R92" s="207">
        <f t="shared" si="52"/>
        <v>122</v>
      </c>
      <c r="S92" s="207">
        <f t="shared" si="53"/>
        <v>469</v>
      </c>
      <c r="T92" s="207">
        <f t="shared" si="54"/>
        <v>590</v>
      </c>
      <c r="U92" s="206">
        <v>10207</v>
      </c>
      <c r="V92" s="207">
        <f t="shared" si="55"/>
        <v>1312</v>
      </c>
      <c r="W92" s="207">
        <f t="shared" si="56"/>
        <v>264</v>
      </c>
      <c r="X92" s="207">
        <f t="shared" si="57"/>
        <v>586</v>
      </c>
      <c r="Y92" s="207">
        <f t="shared" si="58"/>
        <v>492</v>
      </c>
      <c r="Z92" s="206">
        <v>10207</v>
      </c>
      <c r="AA92" s="207">
        <f t="shared" si="59"/>
        <v>1605</v>
      </c>
      <c r="AB92" s="207">
        <f t="shared" si="60"/>
        <v>440</v>
      </c>
      <c r="AC92" s="207">
        <f t="shared" si="61"/>
        <v>469</v>
      </c>
      <c r="AD92" s="207">
        <f t="shared" si="62"/>
        <v>689</v>
      </c>
      <c r="AE92" s="206">
        <v>10207</v>
      </c>
      <c r="AF92" s="207">
        <f t="shared" si="63"/>
        <v>1416</v>
      </c>
      <c r="AG92" s="207">
        <f t="shared" si="64"/>
        <v>146</v>
      </c>
      <c r="AH92" s="207">
        <f t="shared" si="65"/>
        <v>539</v>
      </c>
      <c r="AI92" s="207">
        <f t="shared" si="66"/>
        <v>590</v>
      </c>
    </row>
    <row r="93" spans="1:35" x14ac:dyDescent="0.15">
      <c r="A93" s="206">
        <v>10301</v>
      </c>
      <c r="B93" s="207">
        <f t="shared" ref="B93:B101" si="68">C21</f>
        <v>1144</v>
      </c>
      <c r="C93" s="207">
        <f t="shared" ref="C93:D101" si="69">D21</f>
        <v>114</v>
      </c>
      <c r="D93" s="207">
        <f t="shared" si="69"/>
        <v>429</v>
      </c>
      <c r="E93" s="207">
        <f t="shared" ref="E93:E101" si="70">H21</f>
        <v>429</v>
      </c>
      <c r="F93" s="206">
        <v>10301</v>
      </c>
      <c r="G93" s="207">
        <f t="shared" ref="G93:G101" si="71">AA21</f>
        <v>1144</v>
      </c>
      <c r="H93" s="207">
        <f t="shared" ref="H93:H101" si="72">AB21</f>
        <v>61</v>
      </c>
      <c r="I93" s="207">
        <f t="shared" ref="I93:I101" si="73">AC21</f>
        <v>470</v>
      </c>
      <c r="J93" s="207">
        <f t="shared" ref="J93:J101" si="74">AF21</f>
        <v>429</v>
      </c>
      <c r="K93" s="206">
        <v>10301</v>
      </c>
      <c r="L93" s="207">
        <f t="shared" ref="L93:L101" si="75">AY21</f>
        <v>1144</v>
      </c>
      <c r="M93" s="207">
        <f t="shared" ref="M93:M101" si="76">AZ21</f>
        <v>114</v>
      </c>
      <c r="N93" s="207">
        <f t="shared" ref="N93:N101" si="77">BA21</f>
        <v>429</v>
      </c>
      <c r="O93" s="207">
        <f t="shared" ref="O93:O101" si="78">BD21</f>
        <v>429</v>
      </c>
      <c r="P93" s="206">
        <v>10301</v>
      </c>
      <c r="Q93" s="207">
        <f t="shared" ref="Q93:Q101" si="79">BW21</f>
        <v>1235</v>
      </c>
      <c r="R93" s="207">
        <f t="shared" ref="R93:R101" si="80">BX21</f>
        <v>106</v>
      </c>
      <c r="S93" s="207">
        <f t="shared" ref="S93:S101" si="81">BY21</f>
        <v>409</v>
      </c>
      <c r="T93" s="207">
        <f t="shared" ref="T93:T101" si="82">CB21</f>
        <v>515</v>
      </c>
      <c r="U93" s="206">
        <v>10301</v>
      </c>
      <c r="V93" s="207">
        <f t="shared" ref="V93:V101" si="83">CU21</f>
        <v>1144</v>
      </c>
      <c r="W93" s="207">
        <f t="shared" ref="W93:W101" si="84">CV21</f>
        <v>230</v>
      </c>
      <c r="X93" s="207">
        <f t="shared" ref="X93:X101" si="85">CW21</f>
        <v>511</v>
      </c>
      <c r="Y93" s="207">
        <f t="shared" ref="Y93:Y101" si="86">CZ21</f>
        <v>429</v>
      </c>
      <c r="Z93" s="206">
        <v>10301</v>
      </c>
      <c r="AA93" s="207">
        <f t="shared" ref="AA93:AA101" si="87">DS21</f>
        <v>1399</v>
      </c>
      <c r="AB93" s="207">
        <f t="shared" ref="AB93:AB101" si="88">DT21</f>
        <v>383</v>
      </c>
      <c r="AC93" s="207">
        <f t="shared" ref="AC93:AC101" si="89">DU21</f>
        <v>409</v>
      </c>
      <c r="AD93" s="207">
        <f t="shared" ref="AD93:AD101" si="90">DX21</f>
        <v>601</v>
      </c>
      <c r="AE93" s="206">
        <v>10301</v>
      </c>
      <c r="AF93" s="207">
        <f t="shared" ref="AF93:AF101" si="91">EQ21</f>
        <v>1235</v>
      </c>
      <c r="AG93" s="207">
        <f t="shared" ref="AG93:AG101" si="92">ER21</f>
        <v>127</v>
      </c>
      <c r="AH93" s="207">
        <f t="shared" ref="AH93:AH101" si="93">ES21</f>
        <v>470</v>
      </c>
      <c r="AI93" s="207">
        <f t="shared" ref="AI93:AI101" si="94">EV21</f>
        <v>515</v>
      </c>
    </row>
    <row r="94" spans="1:35" x14ac:dyDescent="0.15">
      <c r="A94" s="206">
        <v>10302</v>
      </c>
      <c r="B94" s="207">
        <f t="shared" si="68"/>
        <v>1216</v>
      </c>
      <c r="C94" s="207">
        <f t="shared" si="69"/>
        <v>121</v>
      </c>
      <c r="D94" s="207">
        <f t="shared" si="69"/>
        <v>456</v>
      </c>
      <c r="E94" s="207">
        <f t="shared" si="70"/>
        <v>456</v>
      </c>
      <c r="F94" s="206">
        <v>10302</v>
      </c>
      <c r="G94" s="207">
        <f t="shared" si="71"/>
        <v>1216</v>
      </c>
      <c r="H94" s="207">
        <f t="shared" si="72"/>
        <v>65</v>
      </c>
      <c r="I94" s="207">
        <f t="shared" si="73"/>
        <v>499</v>
      </c>
      <c r="J94" s="207">
        <f t="shared" si="74"/>
        <v>456</v>
      </c>
      <c r="K94" s="206">
        <v>10302</v>
      </c>
      <c r="L94" s="207">
        <f t="shared" si="75"/>
        <v>1216</v>
      </c>
      <c r="M94" s="207">
        <f t="shared" si="76"/>
        <v>121</v>
      </c>
      <c r="N94" s="207">
        <f t="shared" si="77"/>
        <v>456</v>
      </c>
      <c r="O94" s="207">
        <f t="shared" si="78"/>
        <v>456</v>
      </c>
      <c r="P94" s="206">
        <v>10302</v>
      </c>
      <c r="Q94" s="207">
        <f t="shared" si="79"/>
        <v>1312</v>
      </c>
      <c r="R94" s="207">
        <f t="shared" si="80"/>
        <v>113</v>
      </c>
      <c r="S94" s="207">
        <f t="shared" si="81"/>
        <v>434</v>
      </c>
      <c r="T94" s="207">
        <f t="shared" si="82"/>
        <v>547</v>
      </c>
      <c r="U94" s="206">
        <v>10302</v>
      </c>
      <c r="V94" s="207">
        <f t="shared" si="83"/>
        <v>1216</v>
      </c>
      <c r="W94" s="207">
        <f t="shared" si="84"/>
        <v>245</v>
      </c>
      <c r="X94" s="207">
        <f t="shared" si="85"/>
        <v>543</v>
      </c>
      <c r="Y94" s="207">
        <f t="shared" si="86"/>
        <v>456</v>
      </c>
      <c r="Z94" s="206">
        <v>10302</v>
      </c>
      <c r="AA94" s="207">
        <f t="shared" si="87"/>
        <v>1488</v>
      </c>
      <c r="AB94" s="207">
        <f t="shared" si="88"/>
        <v>407</v>
      </c>
      <c r="AC94" s="207">
        <f t="shared" si="89"/>
        <v>434</v>
      </c>
      <c r="AD94" s="207">
        <f t="shared" si="90"/>
        <v>638</v>
      </c>
      <c r="AE94" s="206">
        <v>10302</v>
      </c>
      <c r="AF94" s="207">
        <f t="shared" si="91"/>
        <v>1312</v>
      </c>
      <c r="AG94" s="207">
        <f t="shared" si="92"/>
        <v>135</v>
      </c>
      <c r="AH94" s="207">
        <f t="shared" si="93"/>
        <v>499</v>
      </c>
      <c r="AI94" s="207">
        <f t="shared" si="94"/>
        <v>547</v>
      </c>
    </row>
    <row r="95" spans="1:35" x14ac:dyDescent="0.15">
      <c r="A95" s="206">
        <v>10303</v>
      </c>
      <c r="B95" s="207">
        <f t="shared" si="68"/>
        <v>1288</v>
      </c>
      <c r="C95" s="207">
        <f t="shared" si="69"/>
        <v>128</v>
      </c>
      <c r="D95" s="207">
        <f t="shared" si="69"/>
        <v>483</v>
      </c>
      <c r="E95" s="207">
        <f t="shared" si="70"/>
        <v>483</v>
      </c>
      <c r="F95" s="206">
        <v>10303</v>
      </c>
      <c r="G95" s="207">
        <f t="shared" si="71"/>
        <v>1288</v>
      </c>
      <c r="H95" s="207">
        <f t="shared" si="72"/>
        <v>68</v>
      </c>
      <c r="I95" s="207">
        <f t="shared" si="73"/>
        <v>529</v>
      </c>
      <c r="J95" s="207">
        <f t="shared" si="74"/>
        <v>483</v>
      </c>
      <c r="K95" s="206">
        <v>10303</v>
      </c>
      <c r="L95" s="207">
        <f t="shared" si="75"/>
        <v>1288</v>
      </c>
      <c r="M95" s="207">
        <f t="shared" si="76"/>
        <v>128</v>
      </c>
      <c r="N95" s="207">
        <f t="shared" si="77"/>
        <v>483</v>
      </c>
      <c r="O95" s="207">
        <f t="shared" si="78"/>
        <v>483</v>
      </c>
      <c r="P95" s="206">
        <v>10303</v>
      </c>
      <c r="Q95" s="207">
        <f t="shared" si="79"/>
        <v>1390</v>
      </c>
      <c r="R95" s="207">
        <f t="shared" si="80"/>
        <v>120</v>
      </c>
      <c r="S95" s="207">
        <f t="shared" si="81"/>
        <v>460</v>
      </c>
      <c r="T95" s="207">
        <f t="shared" si="82"/>
        <v>580</v>
      </c>
      <c r="U95" s="206">
        <v>10303</v>
      </c>
      <c r="V95" s="207">
        <f t="shared" si="83"/>
        <v>1288</v>
      </c>
      <c r="W95" s="207">
        <f t="shared" si="84"/>
        <v>259</v>
      </c>
      <c r="X95" s="207">
        <f t="shared" si="85"/>
        <v>575</v>
      </c>
      <c r="Y95" s="207">
        <f t="shared" si="86"/>
        <v>483</v>
      </c>
      <c r="Z95" s="206">
        <v>10303</v>
      </c>
      <c r="AA95" s="207">
        <f t="shared" si="87"/>
        <v>1576</v>
      </c>
      <c r="AB95" s="207">
        <f t="shared" si="88"/>
        <v>432</v>
      </c>
      <c r="AC95" s="207">
        <f t="shared" si="89"/>
        <v>460</v>
      </c>
      <c r="AD95" s="207">
        <f t="shared" si="90"/>
        <v>676</v>
      </c>
      <c r="AE95" s="206">
        <v>10303</v>
      </c>
      <c r="AF95" s="207">
        <f t="shared" si="91"/>
        <v>1390</v>
      </c>
      <c r="AG95" s="207">
        <f t="shared" si="92"/>
        <v>143</v>
      </c>
      <c r="AH95" s="207">
        <f t="shared" si="93"/>
        <v>529</v>
      </c>
      <c r="AI95" s="207">
        <f t="shared" si="94"/>
        <v>580</v>
      </c>
    </row>
    <row r="96" spans="1:35" x14ac:dyDescent="0.15">
      <c r="A96" s="206">
        <v>10304</v>
      </c>
      <c r="B96" s="207">
        <f t="shared" si="68"/>
        <v>1360</v>
      </c>
      <c r="C96" s="207">
        <f t="shared" si="69"/>
        <v>136</v>
      </c>
      <c r="D96" s="207">
        <f t="shared" si="69"/>
        <v>510</v>
      </c>
      <c r="E96" s="207">
        <f t="shared" si="70"/>
        <v>510</v>
      </c>
      <c r="F96" s="206">
        <v>10304</v>
      </c>
      <c r="G96" s="207">
        <f t="shared" si="71"/>
        <v>1360</v>
      </c>
      <c r="H96" s="207">
        <f t="shared" si="72"/>
        <v>72</v>
      </c>
      <c r="I96" s="207">
        <f t="shared" si="73"/>
        <v>559</v>
      </c>
      <c r="J96" s="207">
        <f t="shared" si="74"/>
        <v>510</v>
      </c>
      <c r="K96" s="206">
        <v>10304</v>
      </c>
      <c r="L96" s="207">
        <f t="shared" si="75"/>
        <v>1360</v>
      </c>
      <c r="M96" s="207">
        <f t="shared" si="76"/>
        <v>136</v>
      </c>
      <c r="N96" s="207">
        <f t="shared" si="77"/>
        <v>510</v>
      </c>
      <c r="O96" s="207">
        <f t="shared" si="78"/>
        <v>510</v>
      </c>
      <c r="P96" s="206">
        <v>10304</v>
      </c>
      <c r="Q96" s="207">
        <f t="shared" si="79"/>
        <v>1468</v>
      </c>
      <c r="R96" s="207">
        <f t="shared" si="80"/>
        <v>126</v>
      </c>
      <c r="S96" s="207">
        <f t="shared" si="81"/>
        <v>486</v>
      </c>
      <c r="T96" s="207">
        <f t="shared" si="82"/>
        <v>612</v>
      </c>
      <c r="U96" s="206">
        <v>10304</v>
      </c>
      <c r="V96" s="207">
        <f t="shared" si="83"/>
        <v>1360</v>
      </c>
      <c r="W96" s="207">
        <f t="shared" si="84"/>
        <v>274</v>
      </c>
      <c r="X96" s="207">
        <f t="shared" si="85"/>
        <v>607</v>
      </c>
      <c r="Y96" s="207">
        <f t="shared" si="86"/>
        <v>510</v>
      </c>
      <c r="Z96" s="206">
        <v>10304</v>
      </c>
      <c r="AA96" s="207">
        <f t="shared" si="87"/>
        <v>1664</v>
      </c>
      <c r="AB96" s="207">
        <f t="shared" si="88"/>
        <v>456</v>
      </c>
      <c r="AC96" s="207">
        <f t="shared" si="89"/>
        <v>486</v>
      </c>
      <c r="AD96" s="207">
        <f t="shared" si="90"/>
        <v>714</v>
      </c>
      <c r="AE96" s="206">
        <v>10304</v>
      </c>
      <c r="AF96" s="207">
        <f t="shared" si="91"/>
        <v>1468</v>
      </c>
      <c r="AG96" s="207">
        <f t="shared" si="92"/>
        <v>151</v>
      </c>
      <c r="AH96" s="207">
        <f t="shared" si="93"/>
        <v>559</v>
      </c>
      <c r="AI96" s="207">
        <f t="shared" si="94"/>
        <v>612</v>
      </c>
    </row>
    <row r="97" spans="1:35" x14ac:dyDescent="0.15">
      <c r="A97" s="206">
        <v>10305</v>
      </c>
      <c r="B97" s="207">
        <f t="shared" si="68"/>
        <v>1432</v>
      </c>
      <c r="C97" s="207">
        <f t="shared" si="69"/>
        <v>143</v>
      </c>
      <c r="D97" s="207">
        <f t="shared" si="69"/>
        <v>537</v>
      </c>
      <c r="E97" s="207">
        <f t="shared" si="70"/>
        <v>537</v>
      </c>
      <c r="F97" s="206">
        <v>10305</v>
      </c>
      <c r="G97" s="207">
        <f t="shared" si="71"/>
        <v>1432</v>
      </c>
      <c r="H97" s="207">
        <f t="shared" si="72"/>
        <v>76</v>
      </c>
      <c r="I97" s="207">
        <f t="shared" si="73"/>
        <v>588</v>
      </c>
      <c r="J97" s="207">
        <f t="shared" si="74"/>
        <v>537</v>
      </c>
      <c r="K97" s="206">
        <v>10305</v>
      </c>
      <c r="L97" s="207">
        <f t="shared" si="75"/>
        <v>1432</v>
      </c>
      <c r="M97" s="207">
        <f t="shared" si="76"/>
        <v>143</v>
      </c>
      <c r="N97" s="207">
        <f t="shared" si="77"/>
        <v>537</v>
      </c>
      <c r="O97" s="207">
        <f t="shared" si="78"/>
        <v>537</v>
      </c>
      <c r="P97" s="206">
        <v>10305</v>
      </c>
      <c r="Q97" s="207">
        <f t="shared" si="79"/>
        <v>1546</v>
      </c>
      <c r="R97" s="207">
        <f t="shared" si="80"/>
        <v>133</v>
      </c>
      <c r="S97" s="207">
        <f t="shared" si="81"/>
        <v>511</v>
      </c>
      <c r="T97" s="207">
        <f t="shared" si="82"/>
        <v>644</v>
      </c>
      <c r="U97" s="206">
        <v>10305</v>
      </c>
      <c r="V97" s="207">
        <f t="shared" si="83"/>
        <v>1432</v>
      </c>
      <c r="W97" s="207">
        <f t="shared" si="84"/>
        <v>288</v>
      </c>
      <c r="X97" s="207">
        <f t="shared" si="85"/>
        <v>639</v>
      </c>
      <c r="Y97" s="207">
        <f t="shared" si="86"/>
        <v>537</v>
      </c>
      <c r="Z97" s="206">
        <v>10305</v>
      </c>
      <c r="AA97" s="207">
        <f t="shared" si="87"/>
        <v>1752</v>
      </c>
      <c r="AB97" s="207">
        <f t="shared" si="88"/>
        <v>480</v>
      </c>
      <c r="AC97" s="207">
        <f t="shared" si="89"/>
        <v>511</v>
      </c>
      <c r="AD97" s="207">
        <f t="shared" si="90"/>
        <v>752</v>
      </c>
      <c r="AE97" s="206">
        <v>10305</v>
      </c>
      <c r="AF97" s="207">
        <f t="shared" si="91"/>
        <v>1546</v>
      </c>
      <c r="AG97" s="207">
        <f t="shared" si="92"/>
        <v>159</v>
      </c>
      <c r="AH97" s="207">
        <f t="shared" si="93"/>
        <v>588</v>
      </c>
      <c r="AI97" s="207">
        <f t="shared" si="94"/>
        <v>644</v>
      </c>
    </row>
    <row r="98" spans="1:35" x14ac:dyDescent="0.15">
      <c r="A98" s="206">
        <v>10306</v>
      </c>
      <c r="B98" s="207">
        <f t="shared" si="68"/>
        <v>1504</v>
      </c>
      <c r="C98" s="207">
        <f t="shared" si="69"/>
        <v>150</v>
      </c>
      <c r="D98" s="207">
        <f t="shared" si="69"/>
        <v>564</v>
      </c>
      <c r="E98" s="207">
        <f t="shared" si="70"/>
        <v>564</v>
      </c>
      <c r="F98" s="206">
        <v>10306</v>
      </c>
      <c r="G98" s="207">
        <f t="shared" si="71"/>
        <v>1504</v>
      </c>
      <c r="H98" s="207">
        <f t="shared" si="72"/>
        <v>80</v>
      </c>
      <c r="I98" s="207">
        <f t="shared" si="73"/>
        <v>618</v>
      </c>
      <c r="J98" s="207">
        <f t="shared" si="74"/>
        <v>564</v>
      </c>
      <c r="K98" s="206">
        <v>10306</v>
      </c>
      <c r="L98" s="207">
        <f t="shared" si="75"/>
        <v>1504</v>
      </c>
      <c r="M98" s="207">
        <f t="shared" si="76"/>
        <v>150</v>
      </c>
      <c r="N98" s="207">
        <f t="shared" si="77"/>
        <v>564</v>
      </c>
      <c r="O98" s="207">
        <f t="shared" si="78"/>
        <v>564</v>
      </c>
      <c r="P98" s="206">
        <v>10306</v>
      </c>
      <c r="Q98" s="207">
        <f t="shared" si="79"/>
        <v>1623</v>
      </c>
      <c r="R98" s="207">
        <f t="shared" si="80"/>
        <v>140</v>
      </c>
      <c r="S98" s="207">
        <f t="shared" si="81"/>
        <v>537</v>
      </c>
      <c r="T98" s="207">
        <f t="shared" si="82"/>
        <v>677</v>
      </c>
      <c r="U98" s="206">
        <v>10306</v>
      </c>
      <c r="V98" s="207">
        <f t="shared" si="83"/>
        <v>1504</v>
      </c>
      <c r="W98" s="207">
        <f t="shared" si="84"/>
        <v>303</v>
      </c>
      <c r="X98" s="207">
        <f t="shared" si="85"/>
        <v>671</v>
      </c>
      <c r="Y98" s="207">
        <f t="shared" si="86"/>
        <v>564</v>
      </c>
      <c r="Z98" s="206">
        <v>10306</v>
      </c>
      <c r="AA98" s="207">
        <f t="shared" si="87"/>
        <v>1840</v>
      </c>
      <c r="AB98" s="207">
        <f t="shared" si="88"/>
        <v>504</v>
      </c>
      <c r="AC98" s="207">
        <f t="shared" si="89"/>
        <v>537</v>
      </c>
      <c r="AD98" s="207">
        <f t="shared" si="90"/>
        <v>790</v>
      </c>
      <c r="AE98" s="206">
        <v>10306</v>
      </c>
      <c r="AF98" s="207">
        <f t="shared" si="91"/>
        <v>1623</v>
      </c>
      <c r="AG98" s="207">
        <f t="shared" si="92"/>
        <v>167</v>
      </c>
      <c r="AH98" s="207">
        <f t="shared" si="93"/>
        <v>618</v>
      </c>
      <c r="AI98" s="207">
        <f t="shared" si="94"/>
        <v>677</v>
      </c>
    </row>
    <row r="99" spans="1:35" x14ac:dyDescent="0.15">
      <c r="A99" s="206">
        <v>10307</v>
      </c>
      <c r="B99" s="207">
        <f t="shared" si="68"/>
        <v>1576</v>
      </c>
      <c r="C99" s="207">
        <f t="shared" si="69"/>
        <v>157</v>
      </c>
      <c r="D99" s="207">
        <f t="shared" si="69"/>
        <v>591</v>
      </c>
      <c r="E99" s="207">
        <f t="shared" si="70"/>
        <v>591</v>
      </c>
      <c r="F99" s="206">
        <v>10307</v>
      </c>
      <c r="G99" s="207">
        <f t="shared" si="71"/>
        <v>1576</v>
      </c>
      <c r="H99" s="207">
        <f t="shared" si="72"/>
        <v>84</v>
      </c>
      <c r="I99" s="207">
        <f t="shared" si="73"/>
        <v>647</v>
      </c>
      <c r="J99" s="207">
        <f t="shared" si="74"/>
        <v>591</v>
      </c>
      <c r="K99" s="206">
        <v>10307</v>
      </c>
      <c r="L99" s="207">
        <f t="shared" si="75"/>
        <v>1576</v>
      </c>
      <c r="M99" s="207">
        <f t="shared" si="76"/>
        <v>157</v>
      </c>
      <c r="N99" s="207">
        <f t="shared" si="77"/>
        <v>591</v>
      </c>
      <c r="O99" s="207">
        <f t="shared" si="78"/>
        <v>591</v>
      </c>
      <c r="P99" s="206">
        <v>10307</v>
      </c>
      <c r="Q99" s="207">
        <f t="shared" si="79"/>
        <v>1701</v>
      </c>
      <c r="R99" s="207">
        <f t="shared" si="80"/>
        <v>146</v>
      </c>
      <c r="S99" s="207">
        <f t="shared" si="81"/>
        <v>563</v>
      </c>
      <c r="T99" s="207">
        <f t="shared" si="82"/>
        <v>709</v>
      </c>
      <c r="U99" s="206">
        <v>10307</v>
      </c>
      <c r="V99" s="207">
        <f t="shared" si="83"/>
        <v>1576</v>
      </c>
      <c r="W99" s="207">
        <f t="shared" si="84"/>
        <v>317</v>
      </c>
      <c r="X99" s="207">
        <f t="shared" si="85"/>
        <v>704</v>
      </c>
      <c r="Y99" s="207">
        <f t="shared" si="86"/>
        <v>591</v>
      </c>
      <c r="Z99" s="206">
        <v>10307</v>
      </c>
      <c r="AA99" s="207">
        <f t="shared" si="87"/>
        <v>1928</v>
      </c>
      <c r="AB99" s="207">
        <f t="shared" si="88"/>
        <v>528</v>
      </c>
      <c r="AC99" s="207">
        <f t="shared" si="89"/>
        <v>563</v>
      </c>
      <c r="AD99" s="207">
        <f t="shared" si="90"/>
        <v>827</v>
      </c>
      <c r="AE99" s="206">
        <v>10307</v>
      </c>
      <c r="AF99" s="207">
        <f t="shared" si="91"/>
        <v>1701</v>
      </c>
      <c r="AG99" s="207">
        <f t="shared" si="92"/>
        <v>175</v>
      </c>
      <c r="AH99" s="207">
        <f t="shared" si="93"/>
        <v>647</v>
      </c>
      <c r="AI99" s="207">
        <f t="shared" si="94"/>
        <v>709</v>
      </c>
    </row>
    <row r="100" spans="1:35" x14ac:dyDescent="0.15">
      <c r="A100" s="206">
        <v>10308</v>
      </c>
      <c r="B100" s="207">
        <f t="shared" si="68"/>
        <v>1648</v>
      </c>
      <c r="C100" s="207">
        <f t="shared" si="69"/>
        <v>164</v>
      </c>
      <c r="D100" s="207">
        <f t="shared" si="69"/>
        <v>618</v>
      </c>
      <c r="E100" s="207">
        <f t="shared" si="70"/>
        <v>618</v>
      </c>
      <c r="F100" s="206">
        <v>10308</v>
      </c>
      <c r="G100" s="207">
        <f t="shared" si="71"/>
        <v>1648</v>
      </c>
      <c r="H100" s="207">
        <f t="shared" si="72"/>
        <v>87</v>
      </c>
      <c r="I100" s="207">
        <f t="shared" si="73"/>
        <v>677</v>
      </c>
      <c r="J100" s="207">
        <f t="shared" si="74"/>
        <v>618</v>
      </c>
      <c r="K100" s="206">
        <v>10308</v>
      </c>
      <c r="L100" s="207">
        <f t="shared" si="75"/>
        <v>1648</v>
      </c>
      <c r="M100" s="207">
        <f t="shared" si="76"/>
        <v>164</v>
      </c>
      <c r="N100" s="207">
        <f t="shared" si="77"/>
        <v>618</v>
      </c>
      <c r="O100" s="207">
        <f t="shared" si="78"/>
        <v>618</v>
      </c>
      <c r="P100" s="206">
        <v>10308</v>
      </c>
      <c r="Q100" s="207">
        <f t="shared" si="79"/>
        <v>1779</v>
      </c>
      <c r="R100" s="207">
        <f t="shared" si="80"/>
        <v>153</v>
      </c>
      <c r="S100" s="207">
        <f t="shared" si="81"/>
        <v>589</v>
      </c>
      <c r="T100" s="207">
        <f t="shared" si="82"/>
        <v>742</v>
      </c>
      <c r="U100" s="206">
        <v>10308</v>
      </c>
      <c r="V100" s="207">
        <f t="shared" si="83"/>
        <v>1648</v>
      </c>
      <c r="W100" s="207">
        <f t="shared" si="84"/>
        <v>332</v>
      </c>
      <c r="X100" s="207">
        <f t="shared" si="85"/>
        <v>736</v>
      </c>
      <c r="Y100" s="207">
        <f t="shared" si="86"/>
        <v>618</v>
      </c>
      <c r="Z100" s="206">
        <v>10308</v>
      </c>
      <c r="AA100" s="207">
        <f t="shared" si="87"/>
        <v>2016</v>
      </c>
      <c r="AB100" s="207">
        <f t="shared" si="88"/>
        <v>552</v>
      </c>
      <c r="AC100" s="207">
        <f t="shared" si="89"/>
        <v>589</v>
      </c>
      <c r="AD100" s="207">
        <f t="shared" si="90"/>
        <v>865</v>
      </c>
      <c r="AE100" s="206">
        <v>10308</v>
      </c>
      <c r="AF100" s="207">
        <f t="shared" si="91"/>
        <v>1779</v>
      </c>
      <c r="AG100" s="207">
        <f t="shared" si="92"/>
        <v>183</v>
      </c>
      <c r="AH100" s="207">
        <f t="shared" si="93"/>
        <v>677</v>
      </c>
      <c r="AI100" s="207">
        <f t="shared" si="94"/>
        <v>742</v>
      </c>
    </row>
    <row r="101" spans="1:35" x14ac:dyDescent="0.15">
      <c r="A101" s="206">
        <v>10309</v>
      </c>
      <c r="B101" s="207">
        <f t="shared" si="68"/>
        <v>1720</v>
      </c>
      <c r="C101" s="207">
        <f t="shared" si="69"/>
        <v>171</v>
      </c>
      <c r="D101" s="207">
        <f t="shared" si="69"/>
        <v>645</v>
      </c>
      <c r="E101" s="207">
        <f t="shared" si="70"/>
        <v>645</v>
      </c>
      <c r="F101" s="206">
        <v>10309</v>
      </c>
      <c r="G101" s="207">
        <f t="shared" si="71"/>
        <v>1720</v>
      </c>
      <c r="H101" s="207">
        <f t="shared" si="72"/>
        <v>91</v>
      </c>
      <c r="I101" s="207">
        <f t="shared" si="73"/>
        <v>706</v>
      </c>
      <c r="J101" s="207">
        <f t="shared" si="74"/>
        <v>645</v>
      </c>
      <c r="K101" s="206">
        <v>10309</v>
      </c>
      <c r="L101" s="207">
        <f t="shared" si="75"/>
        <v>1720</v>
      </c>
      <c r="M101" s="207">
        <f t="shared" si="76"/>
        <v>171</v>
      </c>
      <c r="N101" s="207">
        <f t="shared" si="77"/>
        <v>645</v>
      </c>
      <c r="O101" s="207">
        <f t="shared" si="78"/>
        <v>645</v>
      </c>
      <c r="P101" s="206">
        <v>10309</v>
      </c>
      <c r="Q101" s="207">
        <f t="shared" si="79"/>
        <v>1856</v>
      </c>
      <c r="R101" s="207">
        <f t="shared" si="80"/>
        <v>160</v>
      </c>
      <c r="S101" s="207">
        <f t="shared" si="81"/>
        <v>614</v>
      </c>
      <c r="T101" s="207">
        <f t="shared" si="82"/>
        <v>774</v>
      </c>
      <c r="U101" s="206">
        <v>10309</v>
      </c>
      <c r="V101" s="207">
        <f t="shared" si="83"/>
        <v>1720</v>
      </c>
      <c r="W101" s="207">
        <f t="shared" si="84"/>
        <v>346</v>
      </c>
      <c r="X101" s="207">
        <f t="shared" si="85"/>
        <v>768</v>
      </c>
      <c r="Y101" s="207">
        <f t="shared" si="86"/>
        <v>645</v>
      </c>
      <c r="Z101" s="206">
        <v>10309</v>
      </c>
      <c r="AA101" s="207">
        <f t="shared" si="87"/>
        <v>2104</v>
      </c>
      <c r="AB101" s="207">
        <f t="shared" si="88"/>
        <v>576</v>
      </c>
      <c r="AC101" s="207">
        <f t="shared" si="89"/>
        <v>614</v>
      </c>
      <c r="AD101" s="207">
        <f t="shared" si="90"/>
        <v>903</v>
      </c>
      <c r="AE101" s="206">
        <v>10309</v>
      </c>
      <c r="AF101" s="207">
        <f t="shared" si="91"/>
        <v>1856</v>
      </c>
      <c r="AG101" s="207">
        <f t="shared" si="92"/>
        <v>191</v>
      </c>
      <c r="AH101" s="207">
        <f t="shared" si="93"/>
        <v>706</v>
      </c>
      <c r="AI101" s="207">
        <f t="shared" si="94"/>
        <v>774</v>
      </c>
    </row>
    <row r="102" spans="1:35" x14ac:dyDescent="0.15">
      <c r="A102" s="206">
        <v>10401</v>
      </c>
      <c r="B102" s="207">
        <f t="shared" ref="B102:B112" si="95">C36</f>
        <v>1464</v>
      </c>
      <c r="C102" s="207">
        <f t="shared" ref="C102:D112" si="96">D36</f>
        <v>146</v>
      </c>
      <c r="D102" s="207">
        <f t="shared" si="96"/>
        <v>549</v>
      </c>
      <c r="E102" s="207">
        <f t="shared" ref="E102:E112" si="97">H36</f>
        <v>549</v>
      </c>
      <c r="F102" s="206">
        <v>10401</v>
      </c>
      <c r="G102" s="207">
        <f t="shared" ref="G102:G112" si="98">AA36</f>
        <v>1464</v>
      </c>
      <c r="H102" s="207">
        <f t="shared" ref="H102:H112" si="99">AB36</f>
        <v>78</v>
      </c>
      <c r="I102" s="207">
        <f t="shared" ref="I102:I112" si="100">AC36</f>
        <v>601</v>
      </c>
      <c r="J102" s="207">
        <f t="shared" ref="J102:J112" si="101">AF36</f>
        <v>549</v>
      </c>
      <c r="K102" s="206">
        <v>10401</v>
      </c>
      <c r="L102" s="207">
        <f t="shared" ref="L102:L112" si="102">AY36</f>
        <v>1464</v>
      </c>
      <c r="M102" s="207">
        <f t="shared" ref="M102:M112" si="103">AZ36</f>
        <v>146</v>
      </c>
      <c r="N102" s="207">
        <f t="shared" ref="N102:N112" si="104">BA36</f>
        <v>549</v>
      </c>
      <c r="O102" s="207">
        <f t="shared" ref="O102:O112" si="105">BD36</f>
        <v>549</v>
      </c>
      <c r="P102" s="206">
        <v>10401</v>
      </c>
      <c r="Q102" s="207">
        <f t="shared" ref="Q102:Q112" si="106">BW36</f>
        <v>1580</v>
      </c>
      <c r="R102" s="207">
        <f t="shared" ref="R102:R112" si="107">BX36</f>
        <v>136</v>
      </c>
      <c r="S102" s="207">
        <f t="shared" ref="S102:S112" si="108">BY36</f>
        <v>523</v>
      </c>
      <c r="T102" s="207">
        <f t="shared" ref="T102:T112" si="109">CB36</f>
        <v>659</v>
      </c>
      <c r="U102" s="206">
        <v>10401</v>
      </c>
      <c r="V102" s="207">
        <f t="shared" ref="V102:V112" si="110">CU36</f>
        <v>1464</v>
      </c>
      <c r="W102" s="207">
        <f t="shared" ref="W102:W112" si="111">CV36</f>
        <v>295</v>
      </c>
      <c r="X102" s="207">
        <f t="shared" ref="X102:X112" si="112">CW36</f>
        <v>654</v>
      </c>
      <c r="Y102" s="207">
        <f t="shared" ref="Y102:Y112" si="113">CZ36</f>
        <v>549</v>
      </c>
      <c r="Z102" s="206">
        <v>10401</v>
      </c>
      <c r="AA102" s="207">
        <f t="shared" ref="AA102:AA112" si="114">DS36</f>
        <v>1791</v>
      </c>
      <c r="AB102" s="207">
        <f t="shared" ref="AB102:AB112" si="115">DT36</f>
        <v>491</v>
      </c>
      <c r="AC102" s="207">
        <f t="shared" ref="AC102:AC112" si="116">DU36</f>
        <v>523</v>
      </c>
      <c r="AD102" s="207">
        <f t="shared" ref="AD102:AD112" si="117">DX36</f>
        <v>769</v>
      </c>
      <c r="AE102" s="206">
        <v>10401</v>
      </c>
      <c r="AF102" s="207">
        <f t="shared" ref="AF102:AF112" si="118">EQ36</f>
        <v>1580</v>
      </c>
      <c r="AG102" s="207">
        <f t="shared" ref="AG102:AG112" si="119">ER36</f>
        <v>163</v>
      </c>
      <c r="AH102" s="207">
        <f t="shared" ref="AH102:AH112" si="120">ES36</f>
        <v>601</v>
      </c>
      <c r="AI102" s="207">
        <f t="shared" ref="AI102:AI112" si="121">EV36</f>
        <v>659</v>
      </c>
    </row>
    <row r="103" spans="1:35" x14ac:dyDescent="0.15">
      <c r="A103" s="206">
        <v>10402</v>
      </c>
      <c r="B103" s="207">
        <f t="shared" si="95"/>
        <v>1544</v>
      </c>
      <c r="C103" s="207">
        <f t="shared" si="96"/>
        <v>154</v>
      </c>
      <c r="D103" s="207">
        <f t="shared" si="96"/>
        <v>579</v>
      </c>
      <c r="E103" s="207">
        <f t="shared" si="97"/>
        <v>579</v>
      </c>
      <c r="F103" s="206">
        <v>10402</v>
      </c>
      <c r="G103" s="207">
        <f t="shared" si="98"/>
        <v>1544</v>
      </c>
      <c r="H103" s="207">
        <f t="shared" si="99"/>
        <v>82</v>
      </c>
      <c r="I103" s="207">
        <f t="shared" si="100"/>
        <v>634</v>
      </c>
      <c r="J103" s="207">
        <f t="shared" si="101"/>
        <v>579</v>
      </c>
      <c r="K103" s="206">
        <v>10402</v>
      </c>
      <c r="L103" s="207">
        <f t="shared" si="102"/>
        <v>1544</v>
      </c>
      <c r="M103" s="207">
        <f t="shared" si="103"/>
        <v>154</v>
      </c>
      <c r="N103" s="207">
        <f t="shared" si="104"/>
        <v>579</v>
      </c>
      <c r="O103" s="207">
        <f t="shared" si="105"/>
        <v>579</v>
      </c>
      <c r="P103" s="206">
        <v>10402</v>
      </c>
      <c r="Q103" s="207">
        <f t="shared" si="106"/>
        <v>1666</v>
      </c>
      <c r="R103" s="207">
        <f t="shared" si="107"/>
        <v>143</v>
      </c>
      <c r="S103" s="207">
        <f t="shared" si="108"/>
        <v>551</v>
      </c>
      <c r="T103" s="207">
        <f t="shared" si="109"/>
        <v>695</v>
      </c>
      <c r="U103" s="206">
        <v>10402</v>
      </c>
      <c r="V103" s="207">
        <f t="shared" si="110"/>
        <v>1544</v>
      </c>
      <c r="W103" s="207">
        <f t="shared" si="111"/>
        <v>311</v>
      </c>
      <c r="X103" s="207">
        <f t="shared" si="112"/>
        <v>689</v>
      </c>
      <c r="Y103" s="207">
        <f t="shared" si="113"/>
        <v>579</v>
      </c>
      <c r="Z103" s="206">
        <v>10402</v>
      </c>
      <c r="AA103" s="207">
        <f t="shared" si="114"/>
        <v>1889</v>
      </c>
      <c r="AB103" s="207">
        <f t="shared" si="115"/>
        <v>517</v>
      </c>
      <c r="AC103" s="207">
        <f t="shared" si="116"/>
        <v>551</v>
      </c>
      <c r="AD103" s="207">
        <f t="shared" si="117"/>
        <v>811</v>
      </c>
      <c r="AE103" s="206">
        <v>10402</v>
      </c>
      <c r="AF103" s="207">
        <f t="shared" si="118"/>
        <v>1666</v>
      </c>
      <c r="AG103" s="207">
        <f t="shared" si="119"/>
        <v>172</v>
      </c>
      <c r="AH103" s="207">
        <f t="shared" si="120"/>
        <v>634</v>
      </c>
      <c r="AI103" s="207">
        <f t="shared" si="121"/>
        <v>695</v>
      </c>
    </row>
    <row r="104" spans="1:35" x14ac:dyDescent="0.15">
      <c r="A104" s="206">
        <v>10403</v>
      </c>
      <c r="B104" s="207">
        <f t="shared" si="95"/>
        <v>1624</v>
      </c>
      <c r="C104" s="207">
        <f t="shared" si="96"/>
        <v>162</v>
      </c>
      <c r="D104" s="207">
        <f t="shared" si="96"/>
        <v>609</v>
      </c>
      <c r="E104" s="207">
        <f t="shared" si="97"/>
        <v>609</v>
      </c>
      <c r="F104" s="206">
        <v>10403</v>
      </c>
      <c r="G104" s="207">
        <f t="shared" si="98"/>
        <v>1624</v>
      </c>
      <c r="H104" s="207">
        <f t="shared" si="99"/>
        <v>86</v>
      </c>
      <c r="I104" s="207">
        <f t="shared" si="100"/>
        <v>667</v>
      </c>
      <c r="J104" s="207">
        <f t="shared" si="101"/>
        <v>609</v>
      </c>
      <c r="K104" s="206">
        <v>10403</v>
      </c>
      <c r="L104" s="207">
        <f t="shared" si="102"/>
        <v>1624</v>
      </c>
      <c r="M104" s="207">
        <f t="shared" si="103"/>
        <v>162</v>
      </c>
      <c r="N104" s="207">
        <f t="shared" si="104"/>
        <v>609</v>
      </c>
      <c r="O104" s="207">
        <f t="shared" si="105"/>
        <v>609</v>
      </c>
      <c r="P104" s="206">
        <v>10403</v>
      </c>
      <c r="Q104" s="207">
        <f t="shared" si="106"/>
        <v>1753</v>
      </c>
      <c r="R104" s="207">
        <f t="shared" si="107"/>
        <v>151</v>
      </c>
      <c r="S104" s="207">
        <f t="shared" si="108"/>
        <v>580</v>
      </c>
      <c r="T104" s="207">
        <f t="shared" si="109"/>
        <v>731</v>
      </c>
      <c r="U104" s="206">
        <v>10403</v>
      </c>
      <c r="V104" s="207">
        <f t="shared" si="110"/>
        <v>1624</v>
      </c>
      <c r="W104" s="207">
        <f t="shared" si="111"/>
        <v>327</v>
      </c>
      <c r="X104" s="207">
        <f t="shared" si="112"/>
        <v>725</v>
      </c>
      <c r="Y104" s="207">
        <f t="shared" si="113"/>
        <v>609</v>
      </c>
      <c r="Z104" s="206">
        <v>10403</v>
      </c>
      <c r="AA104" s="207">
        <f t="shared" si="114"/>
        <v>1987</v>
      </c>
      <c r="AB104" s="207">
        <f t="shared" si="115"/>
        <v>544</v>
      </c>
      <c r="AC104" s="207">
        <f t="shared" si="116"/>
        <v>580</v>
      </c>
      <c r="AD104" s="207">
        <f t="shared" si="117"/>
        <v>853</v>
      </c>
      <c r="AE104" s="206">
        <v>10403</v>
      </c>
      <c r="AF104" s="207">
        <f t="shared" si="118"/>
        <v>1753</v>
      </c>
      <c r="AG104" s="207">
        <f t="shared" si="119"/>
        <v>181</v>
      </c>
      <c r="AH104" s="207">
        <f t="shared" si="120"/>
        <v>667</v>
      </c>
      <c r="AI104" s="207">
        <f t="shared" si="121"/>
        <v>731</v>
      </c>
    </row>
    <row r="105" spans="1:35" x14ac:dyDescent="0.15">
      <c r="A105" s="206">
        <v>10404</v>
      </c>
      <c r="B105" s="207">
        <f t="shared" si="95"/>
        <v>1704</v>
      </c>
      <c r="C105" s="207">
        <f t="shared" si="96"/>
        <v>170</v>
      </c>
      <c r="D105" s="207">
        <f t="shared" si="96"/>
        <v>639</v>
      </c>
      <c r="E105" s="207">
        <f t="shared" si="97"/>
        <v>639</v>
      </c>
      <c r="F105" s="206">
        <v>10404</v>
      </c>
      <c r="G105" s="207">
        <f t="shared" si="98"/>
        <v>1704</v>
      </c>
      <c r="H105" s="207">
        <f t="shared" si="99"/>
        <v>90</v>
      </c>
      <c r="I105" s="207">
        <f t="shared" si="100"/>
        <v>700</v>
      </c>
      <c r="J105" s="207">
        <f t="shared" si="101"/>
        <v>639</v>
      </c>
      <c r="K105" s="206">
        <v>10404</v>
      </c>
      <c r="L105" s="207">
        <f t="shared" si="102"/>
        <v>1704</v>
      </c>
      <c r="M105" s="207">
        <f t="shared" si="103"/>
        <v>170</v>
      </c>
      <c r="N105" s="207">
        <f t="shared" si="104"/>
        <v>639</v>
      </c>
      <c r="O105" s="207">
        <f t="shared" si="105"/>
        <v>639</v>
      </c>
      <c r="P105" s="206">
        <v>10404</v>
      </c>
      <c r="Q105" s="207">
        <f t="shared" si="106"/>
        <v>1839</v>
      </c>
      <c r="R105" s="207">
        <f t="shared" si="107"/>
        <v>158</v>
      </c>
      <c r="S105" s="207">
        <f t="shared" si="108"/>
        <v>609</v>
      </c>
      <c r="T105" s="207">
        <f t="shared" si="109"/>
        <v>767</v>
      </c>
      <c r="U105" s="206">
        <v>10404</v>
      </c>
      <c r="V105" s="207">
        <f t="shared" si="110"/>
        <v>1704</v>
      </c>
      <c r="W105" s="207">
        <f t="shared" si="111"/>
        <v>343</v>
      </c>
      <c r="X105" s="207">
        <f t="shared" si="112"/>
        <v>761</v>
      </c>
      <c r="Y105" s="207">
        <f t="shared" si="113"/>
        <v>639</v>
      </c>
      <c r="Z105" s="206">
        <v>10404</v>
      </c>
      <c r="AA105" s="207">
        <f t="shared" si="114"/>
        <v>2085</v>
      </c>
      <c r="AB105" s="207">
        <f t="shared" si="115"/>
        <v>571</v>
      </c>
      <c r="AC105" s="207">
        <f t="shared" si="116"/>
        <v>609</v>
      </c>
      <c r="AD105" s="207">
        <f t="shared" si="117"/>
        <v>895</v>
      </c>
      <c r="AE105" s="206">
        <v>10404</v>
      </c>
      <c r="AF105" s="207">
        <f t="shared" si="118"/>
        <v>1839</v>
      </c>
      <c r="AG105" s="207">
        <f t="shared" si="119"/>
        <v>189</v>
      </c>
      <c r="AH105" s="207">
        <f t="shared" si="120"/>
        <v>700</v>
      </c>
      <c r="AI105" s="207">
        <f t="shared" si="121"/>
        <v>767</v>
      </c>
    </row>
    <row r="106" spans="1:35" x14ac:dyDescent="0.15">
      <c r="A106" s="206">
        <v>10405</v>
      </c>
      <c r="B106" s="207">
        <f t="shared" si="95"/>
        <v>1784</v>
      </c>
      <c r="C106" s="207">
        <f t="shared" si="96"/>
        <v>178</v>
      </c>
      <c r="D106" s="207">
        <f t="shared" si="96"/>
        <v>669</v>
      </c>
      <c r="E106" s="207">
        <f t="shared" si="97"/>
        <v>669</v>
      </c>
      <c r="F106" s="206">
        <v>10405</v>
      </c>
      <c r="G106" s="207">
        <f t="shared" si="98"/>
        <v>1784</v>
      </c>
      <c r="H106" s="207">
        <f t="shared" si="99"/>
        <v>95</v>
      </c>
      <c r="I106" s="207">
        <f t="shared" si="100"/>
        <v>733</v>
      </c>
      <c r="J106" s="207">
        <f t="shared" si="101"/>
        <v>669</v>
      </c>
      <c r="K106" s="206">
        <v>10405</v>
      </c>
      <c r="L106" s="207">
        <f t="shared" si="102"/>
        <v>1784</v>
      </c>
      <c r="M106" s="207">
        <f t="shared" si="103"/>
        <v>178</v>
      </c>
      <c r="N106" s="207">
        <f t="shared" si="104"/>
        <v>669</v>
      </c>
      <c r="O106" s="207">
        <f t="shared" si="105"/>
        <v>669</v>
      </c>
      <c r="P106" s="206">
        <v>10405</v>
      </c>
      <c r="Q106" s="207">
        <f t="shared" si="106"/>
        <v>1926</v>
      </c>
      <c r="R106" s="207">
        <f t="shared" si="107"/>
        <v>166</v>
      </c>
      <c r="S106" s="207">
        <f t="shared" si="108"/>
        <v>637</v>
      </c>
      <c r="T106" s="207">
        <f t="shared" si="109"/>
        <v>803</v>
      </c>
      <c r="U106" s="206">
        <v>10405</v>
      </c>
      <c r="V106" s="207">
        <f t="shared" si="110"/>
        <v>1784</v>
      </c>
      <c r="W106" s="207">
        <f t="shared" si="111"/>
        <v>359</v>
      </c>
      <c r="X106" s="207">
        <f t="shared" si="112"/>
        <v>796</v>
      </c>
      <c r="Y106" s="207">
        <f t="shared" si="113"/>
        <v>669</v>
      </c>
      <c r="Z106" s="206">
        <v>10405</v>
      </c>
      <c r="AA106" s="207">
        <f t="shared" si="114"/>
        <v>2182</v>
      </c>
      <c r="AB106" s="207">
        <f t="shared" si="115"/>
        <v>598</v>
      </c>
      <c r="AC106" s="207">
        <f t="shared" si="116"/>
        <v>637</v>
      </c>
      <c r="AD106" s="207">
        <f t="shared" si="117"/>
        <v>937</v>
      </c>
      <c r="AE106" s="206">
        <v>10405</v>
      </c>
      <c r="AF106" s="207">
        <f t="shared" si="118"/>
        <v>1926</v>
      </c>
      <c r="AG106" s="207">
        <f t="shared" si="119"/>
        <v>198</v>
      </c>
      <c r="AH106" s="207">
        <f t="shared" si="120"/>
        <v>733</v>
      </c>
      <c r="AI106" s="207">
        <f t="shared" si="121"/>
        <v>803</v>
      </c>
    </row>
    <row r="107" spans="1:35" x14ac:dyDescent="0.15">
      <c r="A107" s="206">
        <v>10406</v>
      </c>
      <c r="B107" s="207">
        <f t="shared" si="95"/>
        <v>1864</v>
      </c>
      <c r="C107" s="207">
        <f t="shared" si="96"/>
        <v>186</v>
      </c>
      <c r="D107" s="207">
        <f t="shared" si="96"/>
        <v>699</v>
      </c>
      <c r="E107" s="207">
        <f t="shared" si="97"/>
        <v>699</v>
      </c>
      <c r="F107" s="206">
        <v>10406</v>
      </c>
      <c r="G107" s="207">
        <f t="shared" si="98"/>
        <v>1864</v>
      </c>
      <c r="H107" s="207">
        <f t="shared" si="99"/>
        <v>99</v>
      </c>
      <c r="I107" s="207">
        <f t="shared" si="100"/>
        <v>766</v>
      </c>
      <c r="J107" s="207">
        <f t="shared" si="101"/>
        <v>699</v>
      </c>
      <c r="K107" s="206">
        <v>10406</v>
      </c>
      <c r="L107" s="207">
        <f t="shared" si="102"/>
        <v>1864</v>
      </c>
      <c r="M107" s="207">
        <f t="shared" si="103"/>
        <v>186</v>
      </c>
      <c r="N107" s="207">
        <f t="shared" si="104"/>
        <v>699</v>
      </c>
      <c r="O107" s="207">
        <f t="shared" si="105"/>
        <v>699</v>
      </c>
      <c r="P107" s="206">
        <v>10406</v>
      </c>
      <c r="Q107" s="207">
        <f t="shared" si="106"/>
        <v>2012</v>
      </c>
      <c r="R107" s="207">
        <f t="shared" si="107"/>
        <v>173</v>
      </c>
      <c r="S107" s="207">
        <f t="shared" si="108"/>
        <v>666</v>
      </c>
      <c r="T107" s="207">
        <f t="shared" si="109"/>
        <v>839</v>
      </c>
      <c r="U107" s="206">
        <v>10406</v>
      </c>
      <c r="V107" s="207">
        <f t="shared" si="110"/>
        <v>1864</v>
      </c>
      <c r="W107" s="207">
        <f t="shared" si="111"/>
        <v>375</v>
      </c>
      <c r="X107" s="207">
        <f t="shared" si="112"/>
        <v>832</v>
      </c>
      <c r="Y107" s="207">
        <f t="shared" si="113"/>
        <v>699</v>
      </c>
      <c r="Z107" s="206">
        <v>10406</v>
      </c>
      <c r="AA107" s="207">
        <f t="shared" si="114"/>
        <v>2280</v>
      </c>
      <c r="AB107" s="207">
        <f t="shared" si="115"/>
        <v>625</v>
      </c>
      <c r="AC107" s="207">
        <f t="shared" si="116"/>
        <v>666</v>
      </c>
      <c r="AD107" s="207">
        <f t="shared" si="117"/>
        <v>979</v>
      </c>
      <c r="AE107" s="206">
        <v>10406</v>
      </c>
      <c r="AF107" s="207">
        <f t="shared" si="118"/>
        <v>2012</v>
      </c>
      <c r="AG107" s="207">
        <f t="shared" si="119"/>
        <v>207</v>
      </c>
      <c r="AH107" s="207">
        <f t="shared" si="120"/>
        <v>766</v>
      </c>
      <c r="AI107" s="207">
        <f t="shared" si="121"/>
        <v>839</v>
      </c>
    </row>
    <row r="108" spans="1:35" x14ac:dyDescent="0.15">
      <c r="A108" s="206">
        <v>10407</v>
      </c>
      <c r="B108" s="207">
        <f t="shared" si="95"/>
        <v>1944</v>
      </c>
      <c r="C108" s="207">
        <f t="shared" si="96"/>
        <v>194</v>
      </c>
      <c r="D108" s="207">
        <f t="shared" si="96"/>
        <v>729</v>
      </c>
      <c r="E108" s="207">
        <f t="shared" si="97"/>
        <v>729</v>
      </c>
      <c r="F108" s="206">
        <v>10407</v>
      </c>
      <c r="G108" s="207">
        <f t="shared" si="98"/>
        <v>1944</v>
      </c>
      <c r="H108" s="207">
        <f t="shared" si="99"/>
        <v>103</v>
      </c>
      <c r="I108" s="207">
        <f t="shared" si="100"/>
        <v>798</v>
      </c>
      <c r="J108" s="207">
        <f t="shared" si="101"/>
        <v>729</v>
      </c>
      <c r="K108" s="206">
        <v>10407</v>
      </c>
      <c r="L108" s="207">
        <f t="shared" si="102"/>
        <v>1944</v>
      </c>
      <c r="M108" s="207">
        <f t="shared" si="103"/>
        <v>194</v>
      </c>
      <c r="N108" s="207">
        <f t="shared" si="104"/>
        <v>729</v>
      </c>
      <c r="O108" s="207">
        <f t="shared" si="105"/>
        <v>729</v>
      </c>
      <c r="P108" s="206">
        <v>10407</v>
      </c>
      <c r="Q108" s="207">
        <f t="shared" si="106"/>
        <v>2098</v>
      </c>
      <c r="R108" s="207">
        <f t="shared" si="107"/>
        <v>180</v>
      </c>
      <c r="S108" s="207">
        <f t="shared" si="108"/>
        <v>694</v>
      </c>
      <c r="T108" s="207">
        <f t="shared" si="109"/>
        <v>875</v>
      </c>
      <c r="U108" s="206">
        <v>10407</v>
      </c>
      <c r="V108" s="207">
        <f t="shared" si="110"/>
        <v>1944</v>
      </c>
      <c r="W108" s="207">
        <f t="shared" si="111"/>
        <v>391</v>
      </c>
      <c r="X108" s="207">
        <f t="shared" si="112"/>
        <v>868</v>
      </c>
      <c r="Y108" s="207">
        <f t="shared" si="113"/>
        <v>729</v>
      </c>
      <c r="Z108" s="206">
        <v>10407</v>
      </c>
      <c r="AA108" s="207">
        <f t="shared" si="114"/>
        <v>2378</v>
      </c>
      <c r="AB108" s="207">
        <f t="shared" si="115"/>
        <v>651</v>
      </c>
      <c r="AC108" s="207">
        <f t="shared" si="116"/>
        <v>694</v>
      </c>
      <c r="AD108" s="207">
        <f t="shared" si="117"/>
        <v>1021</v>
      </c>
      <c r="AE108" s="206">
        <v>10407</v>
      </c>
      <c r="AF108" s="207">
        <f t="shared" si="118"/>
        <v>2098</v>
      </c>
      <c r="AG108" s="207">
        <f t="shared" si="119"/>
        <v>216</v>
      </c>
      <c r="AH108" s="207">
        <f t="shared" si="120"/>
        <v>798</v>
      </c>
      <c r="AI108" s="207">
        <f t="shared" si="121"/>
        <v>875</v>
      </c>
    </row>
    <row r="109" spans="1:35" x14ac:dyDescent="0.15">
      <c r="A109" s="206">
        <v>10408</v>
      </c>
      <c r="B109" s="207">
        <f t="shared" si="95"/>
        <v>2024</v>
      </c>
      <c r="C109" s="207">
        <f t="shared" si="96"/>
        <v>202</v>
      </c>
      <c r="D109" s="207">
        <f t="shared" si="96"/>
        <v>759</v>
      </c>
      <c r="E109" s="207">
        <f t="shared" si="97"/>
        <v>759</v>
      </c>
      <c r="F109" s="206">
        <v>10408</v>
      </c>
      <c r="G109" s="207">
        <f t="shared" si="98"/>
        <v>2024</v>
      </c>
      <c r="H109" s="207">
        <f t="shared" si="99"/>
        <v>107</v>
      </c>
      <c r="I109" s="207">
        <f t="shared" si="100"/>
        <v>831</v>
      </c>
      <c r="J109" s="207">
        <f t="shared" si="101"/>
        <v>759</v>
      </c>
      <c r="K109" s="206">
        <v>10408</v>
      </c>
      <c r="L109" s="207">
        <f t="shared" si="102"/>
        <v>2024</v>
      </c>
      <c r="M109" s="207">
        <f t="shared" si="103"/>
        <v>202</v>
      </c>
      <c r="N109" s="207">
        <f t="shared" si="104"/>
        <v>759</v>
      </c>
      <c r="O109" s="207">
        <f t="shared" si="105"/>
        <v>759</v>
      </c>
      <c r="P109" s="206">
        <v>10408</v>
      </c>
      <c r="Q109" s="207">
        <f t="shared" si="106"/>
        <v>2185</v>
      </c>
      <c r="R109" s="207">
        <f t="shared" si="107"/>
        <v>188</v>
      </c>
      <c r="S109" s="207">
        <f t="shared" si="108"/>
        <v>723</v>
      </c>
      <c r="T109" s="207">
        <f t="shared" si="109"/>
        <v>911</v>
      </c>
      <c r="U109" s="206">
        <v>10408</v>
      </c>
      <c r="V109" s="207">
        <f t="shared" si="110"/>
        <v>2024</v>
      </c>
      <c r="W109" s="207">
        <f t="shared" si="111"/>
        <v>407</v>
      </c>
      <c r="X109" s="207">
        <f t="shared" si="112"/>
        <v>904</v>
      </c>
      <c r="Y109" s="207">
        <f t="shared" si="113"/>
        <v>759</v>
      </c>
      <c r="Z109" s="206">
        <v>10408</v>
      </c>
      <c r="AA109" s="207">
        <f t="shared" si="114"/>
        <v>2476</v>
      </c>
      <c r="AB109" s="207">
        <f t="shared" si="115"/>
        <v>678</v>
      </c>
      <c r="AC109" s="207">
        <f t="shared" si="116"/>
        <v>723</v>
      </c>
      <c r="AD109" s="207">
        <f t="shared" si="117"/>
        <v>1063</v>
      </c>
      <c r="AE109" s="206">
        <v>10408</v>
      </c>
      <c r="AF109" s="207">
        <f t="shared" si="118"/>
        <v>2185</v>
      </c>
      <c r="AG109" s="207">
        <f t="shared" si="119"/>
        <v>225</v>
      </c>
      <c r="AH109" s="207">
        <f t="shared" si="120"/>
        <v>831</v>
      </c>
      <c r="AI109" s="207">
        <f t="shared" si="121"/>
        <v>911</v>
      </c>
    </row>
    <row r="110" spans="1:35" x14ac:dyDescent="0.15">
      <c r="A110" s="206">
        <v>10409</v>
      </c>
      <c r="B110" s="207">
        <f t="shared" si="95"/>
        <v>2104</v>
      </c>
      <c r="C110" s="207">
        <f t="shared" si="96"/>
        <v>210</v>
      </c>
      <c r="D110" s="207">
        <f t="shared" si="96"/>
        <v>789</v>
      </c>
      <c r="E110" s="207">
        <f t="shared" si="97"/>
        <v>789</v>
      </c>
      <c r="F110" s="206">
        <v>10409</v>
      </c>
      <c r="G110" s="207">
        <f t="shared" si="98"/>
        <v>2104</v>
      </c>
      <c r="H110" s="207">
        <f t="shared" si="99"/>
        <v>112</v>
      </c>
      <c r="I110" s="207">
        <f t="shared" si="100"/>
        <v>864</v>
      </c>
      <c r="J110" s="207">
        <f t="shared" si="101"/>
        <v>789</v>
      </c>
      <c r="K110" s="206">
        <v>10409</v>
      </c>
      <c r="L110" s="207">
        <f t="shared" si="102"/>
        <v>2104</v>
      </c>
      <c r="M110" s="207">
        <f t="shared" si="103"/>
        <v>210</v>
      </c>
      <c r="N110" s="207">
        <f t="shared" si="104"/>
        <v>789</v>
      </c>
      <c r="O110" s="207">
        <f t="shared" si="105"/>
        <v>789</v>
      </c>
      <c r="P110" s="206">
        <v>10409</v>
      </c>
      <c r="Q110" s="207">
        <f t="shared" si="106"/>
        <v>2271</v>
      </c>
      <c r="R110" s="207">
        <f t="shared" si="107"/>
        <v>195</v>
      </c>
      <c r="S110" s="207">
        <f t="shared" si="108"/>
        <v>751</v>
      </c>
      <c r="T110" s="207">
        <f t="shared" si="109"/>
        <v>947</v>
      </c>
      <c r="U110" s="206">
        <v>10409</v>
      </c>
      <c r="V110" s="207">
        <f t="shared" si="110"/>
        <v>2104</v>
      </c>
      <c r="W110" s="207">
        <f t="shared" si="111"/>
        <v>424</v>
      </c>
      <c r="X110" s="207">
        <f t="shared" si="112"/>
        <v>939</v>
      </c>
      <c r="Y110" s="207">
        <f t="shared" si="113"/>
        <v>789</v>
      </c>
      <c r="Z110" s="206">
        <v>10409</v>
      </c>
      <c r="AA110" s="207">
        <f t="shared" si="114"/>
        <v>2574</v>
      </c>
      <c r="AB110" s="207">
        <f t="shared" si="115"/>
        <v>705</v>
      </c>
      <c r="AC110" s="207">
        <f t="shared" si="116"/>
        <v>751</v>
      </c>
      <c r="AD110" s="207">
        <f t="shared" si="117"/>
        <v>1105</v>
      </c>
      <c r="AE110" s="206">
        <v>10409</v>
      </c>
      <c r="AF110" s="207">
        <f t="shared" si="118"/>
        <v>2271</v>
      </c>
      <c r="AG110" s="207">
        <f t="shared" si="119"/>
        <v>234</v>
      </c>
      <c r="AH110" s="207">
        <f t="shared" si="120"/>
        <v>864</v>
      </c>
      <c r="AI110" s="207">
        <f t="shared" si="121"/>
        <v>947</v>
      </c>
    </row>
    <row r="111" spans="1:35" x14ac:dyDescent="0.15">
      <c r="A111" s="206">
        <v>10410</v>
      </c>
      <c r="B111" s="207">
        <f t="shared" si="95"/>
        <v>2184</v>
      </c>
      <c r="C111" s="207">
        <f t="shared" si="96"/>
        <v>218</v>
      </c>
      <c r="D111" s="207">
        <f t="shared" si="96"/>
        <v>819</v>
      </c>
      <c r="E111" s="207">
        <f t="shared" si="97"/>
        <v>819</v>
      </c>
      <c r="F111" s="206">
        <v>10410</v>
      </c>
      <c r="G111" s="207">
        <f t="shared" si="98"/>
        <v>2184</v>
      </c>
      <c r="H111" s="207">
        <f t="shared" si="99"/>
        <v>116</v>
      </c>
      <c r="I111" s="207">
        <f t="shared" si="100"/>
        <v>897</v>
      </c>
      <c r="J111" s="207">
        <f t="shared" si="101"/>
        <v>819</v>
      </c>
      <c r="K111" s="206">
        <v>10410</v>
      </c>
      <c r="L111" s="207">
        <f t="shared" si="102"/>
        <v>2184</v>
      </c>
      <c r="M111" s="207">
        <f t="shared" si="103"/>
        <v>218</v>
      </c>
      <c r="N111" s="207">
        <f t="shared" si="104"/>
        <v>819</v>
      </c>
      <c r="O111" s="207">
        <f t="shared" si="105"/>
        <v>819</v>
      </c>
      <c r="P111" s="206">
        <v>10410</v>
      </c>
      <c r="Q111" s="207">
        <f t="shared" si="106"/>
        <v>2357</v>
      </c>
      <c r="R111" s="207">
        <f t="shared" si="107"/>
        <v>203</v>
      </c>
      <c r="S111" s="207">
        <f t="shared" si="108"/>
        <v>780</v>
      </c>
      <c r="T111" s="207">
        <f t="shared" si="109"/>
        <v>983</v>
      </c>
      <c r="U111" s="206">
        <v>10410</v>
      </c>
      <c r="V111" s="207">
        <f t="shared" si="110"/>
        <v>2184</v>
      </c>
      <c r="W111" s="207">
        <f t="shared" si="111"/>
        <v>440</v>
      </c>
      <c r="X111" s="207">
        <f t="shared" si="112"/>
        <v>975</v>
      </c>
      <c r="Y111" s="207">
        <f t="shared" si="113"/>
        <v>819</v>
      </c>
      <c r="Z111" s="206">
        <v>10410</v>
      </c>
      <c r="AA111" s="207">
        <f t="shared" si="114"/>
        <v>2672</v>
      </c>
      <c r="AB111" s="207">
        <f t="shared" si="115"/>
        <v>732</v>
      </c>
      <c r="AC111" s="207">
        <f t="shared" si="116"/>
        <v>780</v>
      </c>
      <c r="AD111" s="207">
        <f t="shared" si="117"/>
        <v>1147</v>
      </c>
      <c r="AE111" s="206">
        <v>10410</v>
      </c>
      <c r="AF111" s="207">
        <f t="shared" si="118"/>
        <v>2357</v>
      </c>
      <c r="AG111" s="207">
        <f t="shared" si="119"/>
        <v>243</v>
      </c>
      <c r="AH111" s="207">
        <f t="shared" si="120"/>
        <v>897</v>
      </c>
      <c r="AI111" s="207">
        <f t="shared" si="121"/>
        <v>983</v>
      </c>
    </row>
    <row r="112" spans="1:35" x14ac:dyDescent="0.15">
      <c r="A112" s="206">
        <v>10411</v>
      </c>
      <c r="B112" s="207">
        <f t="shared" si="95"/>
        <v>2264</v>
      </c>
      <c r="C112" s="207">
        <f t="shared" si="96"/>
        <v>226</v>
      </c>
      <c r="D112" s="207">
        <f t="shared" si="96"/>
        <v>849</v>
      </c>
      <c r="E112" s="207">
        <f t="shared" si="97"/>
        <v>849</v>
      </c>
      <c r="F112" s="206">
        <v>10411</v>
      </c>
      <c r="G112" s="207">
        <f t="shared" si="98"/>
        <v>2264</v>
      </c>
      <c r="H112" s="207">
        <f t="shared" si="99"/>
        <v>120</v>
      </c>
      <c r="I112" s="207">
        <f t="shared" si="100"/>
        <v>930</v>
      </c>
      <c r="J112" s="207">
        <f t="shared" si="101"/>
        <v>849</v>
      </c>
      <c r="K112" s="206">
        <v>10411</v>
      </c>
      <c r="L112" s="207">
        <f t="shared" si="102"/>
        <v>2264</v>
      </c>
      <c r="M112" s="207">
        <f t="shared" si="103"/>
        <v>226</v>
      </c>
      <c r="N112" s="207">
        <f t="shared" si="104"/>
        <v>849</v>
      </c>
      <c r="O112" s="207">
        <f t="shared" si="105"/>
        <v>849</v>
      </c>
      <c r="P112" s="206">
        <v>10411</v>
      </c>
      <c r="Q112" s="207">
        <f t="shared" si="106"/>
        <v>2444</v>
      </c>
      <c r="R112" s="207">
        <f t="shared" si="107"/>
        <v>210</v>
      </c>
      <c r="S112" s="207">
        <f t="shared" si="108"/>
        <v>809</v>
      </c>
      <c r="T112" s="207">
        <f t="shared" si="109"/>
        <v>1019</v>
      </c>
      <c r="U112" s="206">
        <v>10411</v>
      </c>
      <c r="V112" s="207">
        <f t="shared" si="110"/>
        <v>2264</v>
      </c>
      <c r="W112" s="207">
        <f t="shared" si="111"/>
        <v>456</v>
      </c>
      <c r="X112" s="207">
        <f t="shared" si="112"/>
        <v>1011</v>
      </c>
      <c r="Y112" s="207">
        <f t="shared" si="113"/>
        <v>849</v>
      </c>
      <c r="Z112" s="206">
        <v>10411</v>
      </c>
      <c r="AA112" s="207">
        <f t="shared" si="114"/>
        <v>2770</v>
      </c>
      <c r="AB112" s="207">
        <f t="shared" si="115"/>
        <v>759</v>
      </c>
      <c r="AC112" s="207">
        <f t="shared" si="116"/>
        <v>809</v>
      </c>
      <c r="AD112" s="207">
        <f t="shared" si="117"/>
        <v>1189</v>
      </c>
      <c r="AE112" s="206">
        <v>10411</v>
      </c>
      <c r="AF112" s="207">
        <f t="shared" si="118"/>
        <v>2444</v>
      </c>
      <c r="AG112" s="207">
        <f t="shared" si="119"/>
        <v>252</v>
      </c>
      <c r="AH112" s="207">
        <f t="shared" si="120"/>
        <v>930</v>
      </c>
      <c r="AI112" s="207">
        <f t="shared" si="121"/>
        <v>1019</v>
      </c>
    </row>
    <row r="113" spans="1:35" x14ac:dyDescent="0.15">
      <c r="A113" s="206">
        <v>10501</v>
      </c>
      <c r="B113" s="207">
        <f t="shared" ref="B113:B125" si="122">C54</f>
        <v>1904</v>
      </c>
      <c r="C113" s="207">
        <f t="shared" ref="C113:D125" si="123">D54</f>
        <v>190</v>
      </c>
      <c r="D113" s="207">
        <f t="shared" si="123"/>
        <v>714</v>
      </c>
      <c r="E113" s="207">
        <f t="shared" ref="E113:E125" si="124">H54</f>
        <v>714</v>
      </c>
      <c r="F113" s="206">
        <v>10501</v>
      </c>
      <c r="G113" s="207">
        <f t="shared" ref="G113:G125" si="125">AA54</f>
        <v>1904</v>
      </c>
      <c r="H113" s="207">
        <f t="shared" ref="H113:H125" si="126">AB54</f>
        <v>101</v>
      </c>
      <c r="I113" s="207">
        <f t="shared" ref="I113:I125" si="127">AC54</f>
        <v>782</v>
      </c>
      <c r="J113" s="207">
        <f t="shared" ref="J113:J125" si="128">AF54</f>
        <v>714</v>
      </c>
      <c r="K113" s="206">
        <v>10501</v>
      </c>
      <c r="L113" s="207">
        <f t="shared" ref="L113:L125" si="129">AY54</f>
        <v>1904</v>
      </c>
      <c r="M113" s="207">
        <f t="shared" ref="M113:M125" si="130">AZ54</f>
        <v>190</v>
      </c>
      <c r="N113" s="207">
        <f t="shared" ref="N113:N125" si="131">BA54</f>
        <v>714</v>
      </c>
      <c r="O113" s="207">
        <f t="shared" ref="O113:O125" si="132">BD54</f>
        <v>714</v>
      </c>
      <c r="P113" s="206">
        <v>10501</v>
      </c>
      <c r="Q113" s="207">
        <f t="shared" ref="Q113:Q125" si="133">BW54</f>
        <v>2055</v>
      </c>
      <c r="R113" s="207">
        <f t="shared" ref="R113:R125" si="134">BX54</f>
        <v>177</v>
      </c>
      <c r="S113" s="207">
        <f t="shared" ref="S113:S125" si="135">BY54</f>
        <v>680</v>
      </c>
      <c r="T113" s="207">
        <f t="shared" ref="T113:T125" si="136">CB54</f>
        <v>857</v>
      </c>
      <c r="U113" s="206">
        <v>10501</v>
      </c>
      <c r="V113" s="207">
        <f t="shared" ref="V113:V125" si="137">CU54</f>
        <v>1904</v>
      </c>
      <c r="W113" s="207">
        <f t="shared" ref="W113:W125" si="138">CV54</f>
        <v>383</v>
      </c>
      <c r="X113" s="207">
        <f t="shared" ref="X113:X125" si="139">CW54</f>
        <v>850</v>
      </c>
      <c r="Y113" s="207">
        <f t="shared" ref="Y113:Y125" si="140">CZ54</f>
        <v>714</v>
      </c>
      <c r="Z113" s="206">
        <v>10501</v>
      </c>
      <c r="AA113" s="207">
        <f t="shared" ref="AA113:AA125" si="141">DS54</f>
        <v>2329</v>
      </c>
      <c r="AB113" s="207">
        <f t="shared" ref="AB113:AB125" si="142">DT54</f>
        <v>638</v>
      </c>
      <c r="AC113" s="207">
        <f t="shared" ref="AC113:AC125" si="143">DU54</f>
        <v>680</v>
      </c>
      <c r="AD113" s="207">
        <f t="shared" ref="AD113:AD125" si="144">DX54</f>
        <v>1000</v>
      </c>
      <c r="AE113" s="206">
        <v>10501</v>
      </c>
      <c r="AF113" s="207">
        <f t="shared" ref="AF113:AF125" si="145">EQ54</f>
        <v>2055</v>
      </c>
      <c r="AG113" s="207">
        <f t="shared" ref="AG113:AG125" si="146">ER54</f>
        <v>212</v>
      </c>
      <c r="AH113" s="207">
        <f t="shared" ref="AH113:AH125" si="147">ES54</f>
        <v>782</v>
      </c>
      <c r="AI113" s="207">
        <f t="shared" ref="AI113:AI125" si="148">EV54</f>
        <v>857</v>
      </c>
    </row>
    <row r="114" spans="1:35" x14ac:dyDescent="0.15">
      <c r="A114" s="206">
        <v>10502</v>
      </c>
      <c r="B114" s="207">
        <f t="shared" si="122"/>
        <v>1992</v>
      </c>
      <c r="C114" s="207">
        <f t="shared" si="123"/>
        <v>199</v>
      </c>
      <c r="D114" s="207">
        <f t="shared" si="123"/>
        <v>747</v>
      </c>
      <c r="E114" s="207">
        <f t="shared" si="124"/>
        <v>747</v>
      </c>
      <c r="F114" s="206">
        <v>10502</v>
      </c>
      <c r="G114" s="207">
        <f t="shared" si="125"/>
        <v>1992</v>
      </c>
      <c r="H114" s="207">
        <f t="shared" si="126"/>
        <v>106</v>
      </c>
      <c r="I114" s="207">
        <f t="shared" si="127"/>
        <v>818</v>
      </c>
      <c r="J114" s="207">
        <f t="shared" si="128"/>
        <v>747</v>
      </c>
      <c r="K114" s="206">
        <v>10502</v>
      </c>
      <c r="L114" s="207">
        <f t="shared" si="129"/>
        <v>1992</v>
      </c>
      <c r="M114" s="207">
        <f t="shared" si="130"/>
        <v>199</v>
      </c>
      <c r="N114" s="207">
        <f t="shared" si="131"/>
        <v>747</v>
      </c>
      <c r="O114" s="207">
        <f t="shared" si="132"/>
        <v>747</v>
      </c>
      <c r="P114" s="206">
        <v>10502</v>
      </c>
      <c r="Q114" s="207">
        <f t="shared" si="133"/>
        <v>2150</v>
      </c>
      <c r="R114" s="207">
        <f t="shared" si="134"/>
        <v>185</v>
      </c>
      <c r="S114" s="207">
        <f t="shared" si="135"/>
        <v>711</v>
      </c>
      <c r="T114" s="207">
        <f t="shared" si="136"/>
        <v>896</v>
      </c>
      <c r="U114" s="206">
        <v>10502</v>
      </c>
      <c r="V114" s="207">
        <f t="shared" si="137"/>
        <v>1992</v>
      </c>
      <c r="W114" s="207">
        <f t="shared" si="138"/>
        <v>401</v>
      </c>
      <c r="X114" s="207">
        <f t="shared" si="139"/>
        <v>889</v>
      </c>
      <c r="Y114" s="207">
        <f t="shared" si="140"/>
        <v>747</v>
      </c>
      <c r="Z114" s="206">
        <v>10502</v>
      </c>
      <c r="AA114" s="207">
        <f t="shared" si="141"/>
        <v>2437</v>
      </c>
      <c r="AB114" s="207">
        <f t="shared" si="142"/>
        <v>667</v>
      </c>
      <c r="AC114" s="207">
        <f t="shared" si="143"/>
        <v>711</v>
      </c>
      <c r="AD114" s="207">
        <f t="shared" si="144"/>
        <v>1046</v>
      </c>
      <c r="AE114" s="206">
        <v>10502</v>
      </c>
      <c r="AF114" s="207">
        <f t="shared" si="145"/>
        <v>2150</v>
      </c>
      <c r="AG114" s="207">
        <f t="shared" si="146"/>
        <v>221</v>
      </c>
      <c r="AH114" s="207">
        <f t="shared" si="147"/>
        <v>818</v>
      </c>
      <c r="AI114" s="207">
        <f t="shared" si="148"/>
        <v>896</v>
      </c>
    </row>
    <row r="115" spans="1:35" x14ac:dyDescent="0.15">
      <c r="A115" s="206">
        <v>10503</v>
      </c>
      <c r="B115" s="207">
        <f t="shared" si="122"/>
        <v>2080</v>
      </c>
      <c r="C115" s="207">
        <f t="shared" si="123"/>
        <v>207</v>
      </c>
      <c r="D115" s="207">
        <f t="shared" si="123"/>
        <v>780</v>
      </c>
      <c r="E115" s="207">
        <f t="shared" si="124"/>
        <v>780</v>
      </c>
      <c r="F115" s="206">
        <v>10503</v>
      </c>
      <c r="G115" s="207">
        <f t="shared" si="125"/>
        <v>2080</v>
      </c>
      <c r="H115" s="207">
        <f t="shared" si="126"/>
        <v>110</v>
      </c>
      <c r="I115" s="207">
        <f t="shared" si="127"/>
        <v>854</v>
      </c>
      <c r="J115" s="207">
        <f t="shared" si="128"/>
        <v>780</v>
      </c>
      <c r="K115" s="206">
        <v>10503</v>
      </c>
      <c r="L115" s="207">
        <f t="shared" si="129"/>
        <v>2080</v>
      </c>
      <c r="M115" s="207">
        <f t="shared" si="130"/>
        <v>207</v>
      </c>
      <c r="N115" s="207">
        <f t="shared" si="131"/>
        <v>780</v>
      </c>
      <c r="O115" s="207">
        <f t="shared" si="132"/>
        <v>780</v>
      </c>
      <c r="P115" s="206">
        <v>10503</v>
      </c>
      <c r="Q115" s="207">
        <f t="shared" si="133"/>
        <v>2245</v>
      </c>
      <c r="R115" s="207">
        <f t="shared" si="134"/>
        <v>193</v>
      </c>
      <c r="S115" s="207">
        <f t="shared" si="135"/>
        <v>743</v>
      </c>
      <c r="T115" s="207">
        <f t="shared" si="136"/>
        <v>936</v>
      </c>
      <c r="U115" s="206">
        <v>10503</v>
      </c>
      <c r="V115" s="207">
        <f t="shared" si="137"/>
        <v>2080</v>
      </c>
      <c r="W115" s="207">
        <f t="shared" si="138"/>
        <v>419</v>
      </c>
      <c r="X115" s="207">
        <f t="shared" si="139"/>
        <v>929</v>
      </c>
      <c r="Y115" s="207">
        <f t="shared" si="140"/>
        <v>780</v>
      </c>
      <c r="Z115" s="206">
        <v>10503</v>
      </c>
      <c r="AA115" s="207">
        <f t="shared" si="141"/>
        <v>2544</v>
      </c>
      <c r="AB115" s="207">
        <f t="shared" si="142"/>
        <v>697</v>
      </c>
      <c r="AC115" s="207">
        <f t="shared" si="143"/>
        <v>743</v>
      </c>
      <c r="AD115" s="207">
        <f t="shared" si="144"/>
        <v>1092</v>
      </c>
      <c r="AE115" s="206">
        <v>10503</v>
      </c>
      <c r="AF115" s="207">
        <f t="shared" si="145"/>
        <v>2245</v>
      </c>
      <c r="AG115" s="207">
        <f t="shared" si="146"/>
        <v>231</v>
      </c>
      <c r="AH115" s="207">
        <f t="shared" si="147"/>
        <v>854</v>
      </c>
      <c r="AI115" s="207">
        <f t="shared" si="148"/>
        <v>936</v>
      </c>
    </row>
    <row r="116" spans="1:35" x14ac:dyDescent="0.15">
      <c r="A116" s="206">
        <v>10504</v>
      </c>
      <c r="B116" s="207">
        <f t="shared" si="122"/>
        <v>2168</v>
      </c>
      <c r="C116" s="207">
        <f t="shared" si="123"/>
        <v>216</v>
      </c>
      <c r="D116" s="207">
        <f t="shared" si="123"/>
        <v>813</v>
      </c>
      <c r="E116" s="207">
        <f t="shared" si="124"/>
        <v>813</v>
      </c>
      <c r="F116" s="206">
        <v>10504</v>
      </c>
      <c r="G116" s="207">
        <f t="shared" si="125"/>
        <v>2168</v>
      </c>
      <c r="H116" s="207">
        <f t="shared" si="126"/>
        <v>115</v>
      </c>
      <c r="I116" s="207">
        <f t="shared" si="127"/>
        <v>890</v>
      </c>
      <c r="J116" s="207">
        <f t="shared" si="128"/>
        <v>813</v>
      </c>
      <c r="K116" s="206">
        <v>10504</v>
      </c>
      <c r="L116" s="207">
        <f t="shared" si="129"/>
        <v>2168</v>
      </c>
      <c r="M116" s="207">
        <f t="shared" si="130"/>
        <v>216</v>
      </c>
      <c r="N116" s="207">
        <f t="shared" si="131"/>
        <v>813</v>
      </c>
      <c r="O116" s="207">
        <f t="shared" si="132"/>
        <v>813</v>
      </c>
      <c r="P116" s="206">
        <v>10504</v>
      </c>
      <c r="Q116" s="207">
        <f t="shared" si="133"/>
        <v>2340</v>
      </c>
      <c r="R116" s="207">
        <f t="shared" si="134"/>
        <v>201</v>
      </c>
      <c r="S116" s="207">
        <f t="shared" si="135"/>
        <v>774</v>
      </c>
      <c r="T116" s="207">
        <f t="shared" si="136"/>
        <v>976</v>
      </c>
      <c r="U116" s="206">
        <v>10504</v>
      </c>
      <c r="V116" s="207">
        <f t="shared" si="137"/>
        <v>2168</v>
      </c>
      <c r="W116" s="207">
        <f t="shared" si="138"/>
        <v>436</v>
      </c>
      <c r="X116" s="207">
        <f t="shared" si="139"/>
        <v>968</v>
      </c>
      <c r="Y116" s="207">
        <f t="shared" si="140"/>
        <v>813</v>
      </c>
      <c r="Z116" s="206">
        <v>10504</v>
      </c>
      <c r="AA116" s="207">
        <f t="shared" si="141"/>
        <v>2652</v>
      </c>
      <c r="AB116" s="207">
        <f t="shared" si="142"/>
        <v>726</v>
      </c>
      <c r="AC116" s="207">
        <f t="shared" si="143"/>
        <v>774</v>
      </c>
      <c r="AD116" s="207">
        <f t="shared" si="144"/>
        <v>1138</v>
      </c>
      <c r="AE116" s="206">
        <v>10504</v>
      </c>
      <c r="AF116" s="207">
        <f t="shared" si="145"/>
        <v>2340</v>
      </c>
      <c r="AG116" s="207">
        <f t="shared" si="146"/>
        <v>241</v>
      </c>
      <c r="AH116" s="207">
        <f t="shared" si="147"/>
        <v>890</v>
      </c>
      <c r="AI116" s="207">
        <f t="shared" si="148"/>
        <v>976</v>
      </c>
    </row>
    <row r="117" spans="1:35" x14ac:dyDescent="0.15">
      <c r="A117" s="206">
        <v>10505</v>
      </c>
      <c r="B117" s="207">
        <f t="shared" si="122"/>
        <v>2256</v>
      </c>
      <c r="C117" s="207">
        <f t="shared" si="123"/>
        <v>225</v>
      </c>
      <c r="D117" s="207">
        <f t="shared" si="123"/>
        <v>846</v>
      </c>
      <c r="E117" s="207">
        <f t="shared" si="124"/>
        <v>846</v>
      </c>
      <c r="F117" s="206">
        <v>10505</v>
      </c>
      <c r="G117" s="207">
        <f t="shared" si="125"/>
        <v>2256</v>
      </c>
      <c r="H117" s="207">
        <f t="shared" si="126"/>
        <v>120</v>
      </c>
      <c r="I117" s="207">
        <f t="shared" si="127"/>
        <v>927</v>
      </c>
      <c r="J117" s="207">
        <f t="shared" si="128"/>
        <v>846</v>
      </c>
      <c r="K117" s="206">
        <v>10505</v>
      </c>
      <c r="L117" s="207">
        <f t="shared" si="129"/>
        <v>2256</v>
      </c>
      <c r="M117" s="207">
        <f t="shared" si="130"/>
        <v>225</v>
      </c>
      <c r="N117" s="207">
        <f t="shared" si="131"/>
        <v>846</v>
      </c>
      <c r="O117" s="207">
        <f t="shared" si="132"/>
        <v>846</v>
      </c>
      <c r="P117" s="206">
        <v>10505</v>
      </c>
      <c r="Q117" s="207">
        <f t="shared" si="133"/>
        <v>2435</v>
      </c>
      <c r="R117" s="207">
        <f t="shared" si="134"/>
        <v>209</v>
      </c>
      <c r="S117" s="207">
        <f t="shared" si="135"/>
        <v>806</v>
      </c>
      <c r="T117" s="207">
        <f t="shared" si="136"/>
        <v>1015</v>
      </c>
      <c r="U117" s="206">
        <v>10505</v>
      </c>
      <c r="V117" s="207">
        <f t="shared" si="137"/>
        <v>2256</v>
      </c>
      <c r="W117" s="207">
        <f t="shared" si="138"/>
        <v>454</v>
      </c>
      <c r="X117" s="207">
        <f t="shared" si="139"/>
        <v>1007</v>
      </c>
      <c r="Y117" s="207">
        <f t="shared" si="140"/>
        <v>846</v>
      </c>
      <c r="Z117" s="206">
        <v>10505</v>
      </c>
      <c r="AA117" s="207">
        <f t="shared" si="141"/>
        <v>2760</v>
      </c>
      <c r="AB117" s="207">
        <f t="shared" si="142"/>
        <v>756</v>
      </c>
      <c r="AC117" s="207">
        <f t="shared" si="143"/>
        <v>806</v>
      </c>
      <c r="AD117" s="207">
        <f t="shared" si="144"/>
        <v>1184</v>
      </c>
      <c r="AE117" s="206">
        <v>10505</v>
      </c>
      <c r="AF117" s="207">
        <f t="shared" si="145"/>
        <v>2435</v>
      </c>
      <c r="AG117" s="207">
        <f t="shared" si="146"/>
        <v>251</v>
      </c>
      <c r="AH117" s="207">
        <f t="shared" si="147"/>
        <v>927</v>
      </c>
      <c r="AI117" s="207">
        <f t="shared" si="148"/>
        <v>1015</v>
      </c>
    </row>
    <row r="118" spans="1:35" x14ac:dyDescent="0.15">
      <c r="A118" s="206">
        <v>10506</v>
      </c>
      <c r="B118" s="207">
        <f t="shared" si="122"/>
        <v>2344</v>
      </c>
      <c r="C118" s="207">
        <f t="shared" si="123"/>
        <v>234</v>
      </c>
      <c r="D118" s="207">
        <f t="shared" si="123"/>
        <v>879</v>
      </c>
      <c r="E118" s="207">
        <f t="shared" si="124"/>
        <v>879</v>
      </c>
      <c r="F118" s="206">
        <v>10506</v>
      </c>
      <c r="G118" s="207">
        <f t="shared" si="125"/>
        <v>2344</v>
      </c>
      <c r="H118" s="207">
        <f t="shared" si="126"/>
        <v>124</v>
      </c>
      <c r="I118" s="207">
        <f t="shared" si="127"/>
        <v>963</v>
      </c>
      <c r="J118" s="207">
        <f t="shared" si="128"/>
        <v>879</v>
      </c>
      <c r="K118" s="206">
        <v>10506</v>
      </c>
      <c r="L118" s="207">
        <f t="shared" si="129"/>
        <v>2344</v>
      </c>
      <c r="M118" s="207">
        <f t="shared" si="130"/>
        <v>234</v>
      </c>
      <c r="N118" s="207">
        <f t="shared" si="131"/>
        <v>879</v>
      </c>
      <c r="O118" s="207">
        <f t="shared" si="132"/>
        <v>879</v>
      </c>
      <c r="P118" s="206">
        <v>10506</v>
      </c>
      <c r="Q118" s="207">
        <f t="shared" si="133"/>
        <v>2530</v>
      </c>
      <c r="R118" s="207">
        <f t="shared" si="134"/>
        <v>217</v>
      </c>
      <c r="S118" s="207">
        <f t="shared" si="135"/>
        <v>837</v>
      </c>
      <c r="T118" s="207">
        <f t="shared" si="136"/>
        <v>1055</v>
      </c>
      <c r="U118" s="206">
        <v>10506</v>
      </c>
      <c r="V118" s="207">
        <f t="shared" si="137"/>
        <v>2344</v>
      </c>
      <c r="W118" s="207">
        <f t="shared" si="138"/>
        <v>472</v>
      </c>
      <c r="X118" s="207">
        <f t="shared" si="139"/>
        <v>1046</v>
      </c>
      <c r="Y118" s="207">
        <f t="shared" si="140"/>
        <v>879</v>
      </c>
      <c r="Z118" s="206">
        <v>10506</v>
      </c>
      <c r="AA118" s="207">
        <f t="shared" si="141"/>
        <v>2867</v>
      </c>
      <c r="AB118" s="207">
        <f t="shared" si="142"/>
        <v>785</v>
      </c>
      <c r="AC118" s="207">
        <f t="shared" si="143"/>
        <v>837</v>
      </c>
      <c r="AD118" s="207">
        <f t="shared" si="144"/>
        <v>1231</v>
      </c>
      <c r="AE118" s="206">
        <v>10506</v>
      </c>
      <c r="AF118" s="207">
        <f t="shared" si="145"/>
        <v>2530</v>
      </c>
      <c r="AG118" s="207">
        <f t="shared" si="146"/>
        <v>261</v>
      </c>
      <c r="AH118" s="207">
        <f t="shared" si="147"/>
        <v>963</v>
      </c>
      <c r="AI118" s="207">
        <f t="shared" si="148"/>
        <v>1055</v>
      </c>
    </row>
    <row r="119" spans="1:35" x14ac:dyDescent="0.15">
      <c r="A119" s="206">
        <v>10507</v>
      </c>
      <c r="B119" s="207">
        <f t="shared" si="122"/>
        <v>2432</v>
      </c>
      <c r="C119" s="207">
        <f t="shared" si="123"/>
        <v>242</v>
      </c>
      <c r="D119" s="207">
        <f t="shared" si="123"/>
        <v>912</v>
      </c>
      <c r="E119" s="207">
        <f t="shared" si="124"/>
        <v>912</v>
      </c>
      <c r="F119" s="206">
        <v>10507</v>
      </c>
      <c r="G119" s="207">
        <f t="shared" si="125"/>
        <v>2432</v>
      </c>
      <c r="H119" s="207">
        <f t="shared" si="126"/>
        <v>129</v>
      </c>
      <c r="I119" s="207">
        <f t="shared" si="127"/>
        <v>999</v>
      </c>
      <c r="J119" s="207">
        <f t="shared" si="128"/>
        <v>912</v>
      </c>
      <c r="K119" s="206">
        <v>10507</v>
      </c>
      <c r="L119" s="207">
        <f t="shared" si="129"/>
        <v>2432</v>
      </c>
      <c r="M119" s="207">
        <f t="shared" si="130"/>
        <v>242</v>
      </c>
      <c r="N119" s="207">
        <f t="shared" si="131"/>
        <v>912</v>
      </c>
      <c r="O119" s="207">
        <f t="shared" si="132"/>
        <v>912</v>
      </c>
      <c r="P119" s="206">
        <v>10507</v>
      </c>
      <c r="Q119" s="207">
        <f t="shared" si="133"/>
        <v>2625</v>
      </c>
      <c r="R119" s="207">
        <f t="shared" si="134"/>
        <v>226</v>
      </c>
      <c r="S119" s="207">
        <f t="shared" si="135"/>
        <v>869</v>
      </c>
      <c r="T119" s="207">
        <f t="shared" si="136"/>
        <v>1094</v>
      </c>
      <c r="U119" s="206">
        <v>10507</v>
      </c>
      <c r="V119" s="207">
        <f t="shared" si="137"/>
        <v>2432</v>
      </c>
      <c r="W119" s="207">
        <f t="shared" si="138"/>
        <v>490</v>
      </c>
      <c r="X119" s="207">
        <f t="shared" si="139"/>
        <v>1086</v>
      </c>
      <c r="Y119" s="207">
        <f t="shared" si="140"/>
        <v>912</v>
      </c>
      <c r="Z119" s="206">
        <v>10507</v>
      </c>
      <c r="AA119" s="207">
        <f t="shared" si="141"/>
        <v>2975</v>
      </c>
      <c r="AB119" s="207">
        <f t="shared" si="142"/>
        <v>815</v>
      </c>
      <c r="AC119" s="207">
        <f t="shared" si="143"/>
        <v>869</v>
      </c>
      <c r="AD119" s="207">
        <f t="shared" si="144"/>
        <v>1277</v>
      </c>
      <c r="AE119" s="206">
        <v>10507</v>
      </c>
      <c r="AF119" s="207">
        <f t="shared" si="145"/>
        <v>2625</v>
      </c>
      <c r="AG119" s="207">
        <f t="shared" si="146"/>
        <v>270</v>
      </c>
      <c r="AH119" s="207">
        <f t="shared" si="147"/>
        <v>999</v>
      </c>
      <c r="AI119" s="207">
        <f t="shared" si="148"/>
        <v>1094</v>
      </c>
    </row>
    <row r="120" spans="1:35" x14ac:dyDescent="0.15">
      <c r="A120" s="206">
        <v>10508</v>
      </c>
      <c r="B120" s="207">
        <f t="shared" si="122"/>
        <v>2520</v>
      </c>
      <c r="C120" s="207">
        <f t="shared" si="123"/>
        <v>251</v>
      </c>
      <c r="D120" s="207">
        <f t="shared" si="123"/>
        <v>945</v>
      </c>
      <c r="E120" s="207">
        <f t="shared" si="124"/>
        <v>945</v>
      </c>
      <c r="F120" s="206">
        <v>10508</v>
      </c>
      <c r="G120" s="207">
        <f t="shared" si="125"/>
        <v>2520</v>
      </c>
      <c r="H120" s="207">
        <f t="shared" si="126"/>
        <v>134</v>
      </c>
      <c r="I120" s="207">
        <f t="shared" si="127"/>
        <v>1035</v>
      </c>
      <c r="J120" s="207">
        <f t="shared" si="128"/>
        <v>945</v>
      </c>
      <c r="K120" s="206">
        <v>10508</v>
      </c>
      <c r="L120" s="207">
        <f t="shared" si="129"/>
        <v>2520</v>
      </c>
      <c r="M120" s="207">
        <f t="shared" si="130"/>
        <v>251</v>
      </c>
      <c r="N120" s="207">
        <f t="shared" si="131"/>
        <v>945</v>
      </c>
      <c r="O120" s="207">
        <f t="shared" si="132"/>
        <v>945</v>
      </c>
      <c r="P120" s="206">
        <v>10508</v>
      </c>
      <c r="Q120" s="207">
        <f t="shared" si="133"/>
        <v>2720</v>
      </c>
      <c r="R120" s="207">
        <f t="shared" si="134"/>
        <v>234</v>
      </c>
      <c r="S120" s="207">
        <f t="shared" si="135"/>
        <v>900</v>
      </c>
      <c r="T120" s="207">
        <f t="shared" si="136"/>
        <v>1134</v>
      </c>
      <c r="U120" s="206">
        <v>10508</v>
      </c>
      <c r="V120" s="207">
        <f t="shared" si="137"/>
        <v>2520</v>
      </c>
      <c r="W120" s="207">
        <f t="shared" si="138"/>
        <v>507</v>
      </c>
      <c r="X120" s="207">
        <f t="shared" si="139"/>
        <v>1125</v>
      </c>
      <c r="Y120" s="207">
        <f t="shared" si="140"/>
        <v>945</v>
      </c>
      <c r="Z120" s="206">
        <v>10508</v>
      </c>
      <c r="AA120" s="207">
        <f t="shared" si="141"/>
        <v>3083</v>
      </c>
      <c r="AB120" s="207">
        <f t="shared" si="142"/>
        <v>844</v>
      </c>
      <c r="AC120" s="207">
        <f t="shared" si="143"/>
        <v>900</v>
      </c>
      <c r="AD120" s="207">
        <f t="shared" si="144"/>
        <v>1323</v>
      </c>
      <c r="AE120" s="206">
        <v>10508</v>
      </c>
      <c r="AF120" s="207">
        <f t="shared" si="145"/>
        <v>2720</v>
      </c>
      <c r="AG120" s="207">
        <f t="shared" si="146"/>
        <v>280</v>
      </c>
      <c r="AH120" s="207">
        <f t="shared" si="147"/>
        <v>1035</v>
      </c>
      <c r="AI120" s="207">
        <f t="shared" si="148"/>
        <v>1134</v>
      </c>
    </row>
    <row r="121" spans="1:35" x14ac:dyDescent="0.15">
      <c r="A121" s="206">
        <v>10509</v>
      </c>
      <c r="B121" s="207">
        <f t="shared" si="122"/>
        <v>2608</v>
      </c>
      <c r="C121" s="207">
        <f t="shared" si="123"/>
        <v>260</v>
      </c>
      <c r="D121" s="207">
        <f t="shared" si="123"/>
        <v>978</v>
      </c>
      <c r="E121" s="207">
        <f t="shared" si="124"/>
        <v>978</v>
      </c>
      <c r="F121" s="206">
        <v>10509</v>
      </c>
      <c r="G121" s="207">
        <f t="shared" si="125"/>
        <v>2608</v>
      </c>
      <c r="H121" s="207">
        <f t="shared" si="126"/>
        <v>138</v>
      </c>
      <c r="I121" s="207">
        <f t="shared" si="127"/>
        <v>1071</v>
      </c>
      <c r="J121" s="207">
        <f t="shared" si="128"/>
        <v>978</v>
      </c>
      <c r="K121" s="206">
        <v>10509</v>
      </c>
      <c r="L121" s="207">
        <f t="shared" si="129"/>
        <v>2608</v>
      </c>
      <c r="M121" s="207">
        <f t="shared" si="130"/>
        <v>260</v>
      </c>
      <c r="N121" s="207">
        <f t="shared" si="131"/>
        <v>978</v>
      </c>
      <c r="O121" s="207">
        <f t="shared" si="132"/>
        <v>978</v>
      </c>
      <c r="P121" s="206">
        <v>10509</v>
      </c>
      <c r="Q121" s="207">
        <f t="shared" si="133"/>
        <v>2815</v>
      </c>
      <c r="R121" s="207">
        <f t="shared" si="134"/>
        <v>242</v>
      </c>
      <c r="S121" s="207">
        <f t="shared" si="135"/>
        <v>931</v>
      </c>
      <c r="T121" s="207">
        <f t="shared" si="136"/>
        <v>1174</v>
      </c>
      <c r="U121" s="206">
        <v>10509</v>
      </c>
      <c r="V121" s="207">
        <f t="shared" si="137"/>
        <v>2608</v>
      </c>
      <c r="W121" s="207">
        <f t="shared" si="138"/>
        <v>525</v>
      </c>
      <c r="X121" s="207">
        <f t="shared" si="139"/>
        <v>1164</v>
      </c>
      <c r="Y121" s="207">
        <f t="shared" si="140"/>
        <v>978</v>
      </c>
      <c r="Z121" s="206">
        <v>10509</v>
      </c>
      <c r="AA121" s="207">
        <f t="shared" si="141"/>
        <v>3190</v>
      </c>
      <c r="AB121" s="207">
        <f t="shared" si="142"/>
        <v>874</v>
      </c>
      <c r="AC121" s="207">
        <f t="shared" si="143"/>
        <v>931</v>
      </c>
      <c r="AD121" s="207">
        <f t="shared" si="144"/>
        <v>1369</v>
      </c>
      <c r="AE121" s="206">
        <v>10509</v>
      </c>
      <c r="AF121" s="207">
        <f t="shared" si="145"/>
        <v>2815</v>
      </c>
      <c r="AG121" s="207">
        <f t="shared" si="146"/>
        <v>290</v>
      </c>
      <c r="AH121" s="207">
        <f t="shared" si="147"/>
        <v>1071</v>
      </c>
      <c r="AI121" s="207">
        <f t="shared" si="148"/>
        <v>1174</v>
      </c>
    </row>
    <row r="122" spans="1:35" x14ac:dyDescent="0.15">
      <c r="A122" s="206">
        <v>10510</v>
      </c>
      <c r="B122" s="207">
        <f t="shared" si="122"/>
        <v>2696</v>
      </c>
      <c r="C122" s="207">
        <f t="shared" si="123"/>
        <v>269</v>
      </c>
      <c r="D122" s="207">
        <f t="shared" si="123"/>
        <v>1011</v>
      </c>
      <c r="E122" s="207">
        <f t="shared" si="124"/>
        <v>1011</v>
      </c>
      <c r="F122" s="206">
        <v>10510</v>
      </c>
      <c r="G122" s="207">
        <f t="shared" si="125"/>
        <v>2696</v>
      </c>
      <c r="H122" s="207">
        <f t="shared" si="126"/>
        <v>143</v>
      </c>
      <c r="I122" s="207">
        <f t="shared" si="127"/>
        <v>1107</v>
      </c>
      <c r="J122" s="207">
        <f t="shared" si="128"/>
        <v>1011</v>
      </c>
      <c r="K122" s="206">
        <v>10510</v>
      </c>
      <c r="L122" s="207">
        <f t="shared" si="129"/>
        <v>2696</v>
      </c>
      <c r="M122" s="207">
        <f t="shared" si="130"/>
        <v>269</v>
      </c>
      <c r="N122" s="207">
        <f t="shared" si="131"/>
        <v>1011</v>
      </c>
      <c r="O122" s="207">
        <f t="shared" si="132"/>
        <v>1011</v>
      </c>
      <c r="P122" s="206">
        <v>10510</v>
      </c>
      <c r="Q122" s="207">
        <f t="shared" si="133"/>
        <v>2910</v>
      </c>
      <c r="R122" s="207">
        <f t="shared" si="134"/>
        <v>250</v>
      </c>
      <c r="S122" s="207">
        <f t="shared" si="135"/>
        <v>963</v>
      </c>
      <c r="T122" s="207">
        <f t="shared" si="136"/>
        <v>1213</v>
      </c>
      <c r="U122" s="206">
        <v>10510</v>
      </c>
      <c r="V122" s="207">
        <f t="shared" si="137"/>
        <v>2696</v>
      </c>
      <c r="W122" s="207">
        <f t="shared" si="138"/>
        <v>543</v>
      </c>
      <c r="X122" s="207">
        <f t="shared" si="139"/>
        <v>1204</v>
      </c>
      <c r="Y122" s="207">
        <f t="shared" si="140"/>
        <v>1011</v>
      </c>
      <c r="Z122" s="206">
        <v>10510</v>
      </c>
      <c r="AA122" s="207">
        <f t="shared" si="141"/>
        <v>3298</v>
      </c>
      <c r="AB122" s="207">
        <f t="shared" si="142"/>
        <v>903</v>
      </c>
      <c r="AC122" s="207">
        <f t="shared" si="143"/>
        <v>963</v>
      </c>
      <c r="AD122" s="207">
        <f t="shared" si="144"/>
        <v>1415</v>
      </c>
      <c r="AE122" s="206">
        <v>10510</v>
      </c>
      <c r="AF122" s="207">
        <f t="shared" si="145"/>
        <v>2910</v>
      </c>
      <c r="AG122" s="207">
        <f t="shared" si="146"/>
        <v>300</v>
      </c>
      <c r="AH122" s="207">
        <f t="shared" si="147"/>
        <v>1107</v>
      </c>
      <c r="AI122" s="207">
        <f t="shared" si="148"/>
        <v>1213</v>
      </c>
    </row>
    <row r="123" spans="1:35" x14ac:dyDescent="0.15">
      <c r="A123" s="206">
        <v>10511</v>
      </c>
      <c r="B123" s="207">
        <f t="shared" si="122"/>
        <v>2784</v>
      </c>
      <c r="C123" s="207">
        <f t="shared" si="123"/>
        <v>277</v>
      </c>
      <c r="D123" s="207">
        <f t="shared" si="123"/>
        <v>1044</v>
      </c>
      <c r="E123" s="207">
        <f t="shared" si="124"/>
        <v>1044</v>
      </c>
      <c r="F123" s="206">
        <v>10511</v>
      </c>
      <c r="G123" s="207">
        <f t="shared" si="125"/>
        <v>2784</v>
      </c>
      <c r="H123" s="207">
        <f t="shared" si="126"/>
        <v>148</v>
      </c>
      <c r="I123" s="207">
        <f t="shared" si="127"/>
        <v>1143</v>
      </c>
      <c r="J123" s="207">
        <f t="shared" si="128"/>
        <v>1044</v>
      </c>
      <c r="K123" s="206">
        <v>10511</v>
      </c>
      <c r="L123" s="207">
        <f t="shared" si="129"/>
        <v>2784</v>
      </c>
      <c r="M123" s="207">
        <f t="shared" si="130"/>
        <v>277</v>
      </c>
      <c r="N123" s="207">
        <f t="shared" si="131"/>
        <v>1044</v>
      </c>
      <c r="O123" s="207">
        <f t="shared" si="132"/>
        <v>1044</v>
      </c>
      <c r="P123" s="206">
        <v>10511</v>
      </c>
      <c r="Q123" s="207">
        <f t="shared" si="133"/>
        <v>3005</v>
      </c>
      <c r="R123" s="207">
        <f t="shared" si="134"/>
        <v>258</v>
      </c>
      <c r="S123" s="207">
        <f t="shared" si="135"/>
        <v>994</v>
      </c>
      <c r="T123" s="207">
        <f t="shared" si="136"/>
        <v>1253</v>
      </c>
      <c r="U123" s="206">
        <v>10511</v>
      </c>
      <c r="V123" s="207">
        <f t="shared" si="137"/>
        <v>2784</v>
      </c>
      <c r="W123" s="207">
        <f t="shared" si="138"/>
        <v>560</v>
      </c>
      <c r="X123" s="207">
        <f t="shared" si="139"/>
        <v>1243</v>
      </c>
      <c r="Y123" s="207">
        <f t="shared" si="140"/>
        <v>1044</v>
      </c>
      <c r="Z123" s="206">
        <v>10511</v>
      </c>
      <c r="AA123" s="207">
        <f t="shared" si="141"/>
        <v>3406</v>
      </c>
      <c r="AB123" s="207">
        <f t="shared" si="142"/>
        <v>933</v>
      </c>
      <c r="AC123" s="207">
        <f t="shared" si="143"/>
        <v>994</v>
      </c>
      <c r="AD123" s="207">
        <f t="shared" si="144"/>
        <v>1462</v>
      </c>
      <c r="AE123" s="206">
        <v>10511</v>
      </c>
      <c r="AF123" s="207">
        <f t="shared" si="145"/>
        <v>3005</v>
      </c>
      <c r="AG123" s="207">
        <f t="shared" si="146"/>
        <v>310</v>
      </c>
      <c r="AH123" s="207">
        <f t="shared" si="147"/>
        <v>1143</v>
      </c>
      <c r="AI123" s="207">
        <f t="shared" si="148"/>
        <v>1253</v>
      </c>
    </row>
    <row r="124" spans="1:35" x14ac:dyDescent="0.15">
      <c r="A124" s="206">
        <v>10512</v>
      </c>
      <c r="B124" s="207">
        <f t="shared" si="122"/>
        <v>2872</v>
      </c>
      <c r="C124" s="207">
        <f t="shared" si="123"/>
        <v>286</v>
      </c>
      <c r="D124" s="207">
        <f t="shared" si="123"/>
        <v>1077</v>
      </c>
      <c r="E124" s="207">
        <f t="shared" si="124"/>
        <v>1077</v>
      </c>
      <c r="F124" s="206">
        <v>10512</v>
      </c>
      <c r="G124" s="207">
        <f t="shared" si="125"/>
        <v>2872</v>
      </c>
      <c r="H124" s="207">
        <f t="shared" si="126"/>
        <v>152</v>
      </c>
      <c r="I124" s="207">
        <f t="shared" si="127"/>
        <v>1180</v>
      </c>
      <c r="J124" s="207">
        <f t="shared" si="128"/>
        <v>1077</v>
      </c>
      <c r="K124" s="206">
        <v>10512</v>
      </c>
      <c r="L124" s="207">
        <f t="shared" si="129"/>
        <v>2872</v>
      </c>
      <c r="M124" s="207">
        <f t="shared" si="130"/>
        <v>286</v>
      </c>
      <c r="N124" s="207">
        <f t="shared" si="131"/>
        <v>1077</v>
      </c>
      <c r="O124" s="207">
        <f t="shared" si="132"/>
        <v>1077</v>
      </c>
      <c r="P124" s="206">
        <v>10512</v>
      </c>
      <c r="Q124" s="207">
        <f t="shared" si="133"/>
        <v>3100</v>
      </c>
      <c r="R124" s="207">
        <f t="shared" si="134"/>
        <v>266</v>
      </c>
      <c r="S124" s="207">
        <f t="shared" si="135"/>
        <v>1026</v>
      </c>
      <c r="T124" s="207">
        <f t="shared" si="136"/>
        <v>1292</v>
      </c>
      <c r="U124" s="206">
        <v>10512</v>
      </c>
      <c r="V124" s="207">
        <f t="shared" si="137"/>
        <v>2872</v>
      </c>
      <c r="W124" s="207">
        <f t="shared" si="138"/>
        <v>578</v>
      </c>
      <c r="X124" s="207">
        <f t="shared" si="139"/>
        <v>1282</v>
      </c>
      <c r="Y124" s="207">
        <f t="shared" si="140"/>
        <v>1077</v>
      </c>
      <c r="Z124" s="206">
        <v>10512</v>
      </c>
      <c r="AA124" s="207">
        <f t="shared" si="141"/>
        <v>3513</v>
      </c>
      <c r="AB124" s="207">
        <f t="shared" si="142"/>
        <v>962</v>
      </c>
      <c r="AC124" s="207">
        <f t="shared" si="143"/>
        <v>1026</v>
      </c>
      <c r="AD124" s="207">
        <f t="shared" si="144"/>
        <v>1508</v>
      </c>
      <c r="AE124" s="206">
        <v>10512</v>
      </c>
      <c r="AF124" s="207">
        <f t="shared" si="145"/>
        <v>3100</v>
      </c>
      <c r="AG124" s="207">
        <f t="shared" si="146"/>
        <v>319</v>
      </c>
      <c r="AH124" s="207">
        <f t="shared" si="147"/>
        <v>1180</v>
      </c>
      <c r="AI124" s="207">
        <f t="shared" si="148"/>
        <v>1292</v>
      </c>
    </row>
    <row r="125" spans="1:35" x14ac:dyDescent="0.15">
      <c r="A125" s="206">
        <v>10513</v>
      </c>
      <c r="B125" s="207">
        <f t="shared" si="122"/>
        <v>2960</v>
      </c>
      <c r="C125" s="207">
        <f t="shared" si="123"/>
        <v>295</v>
      </c>
      <c r="D125" s="207">
        <f t="shared" si="123"/>
        <v>1110</v>
      </c>
      <c r="E125" s="207">
        <f t="shared" si="124"/>
        <v>1110</v>
      </c>
      <c r="F125" s="206">
        <v>10513</v>
      </c>
      <c r="G125" s="207">
        <f t="shared" si="125"/>
        <v>2960</v>
      </c>
      <c r="H125" s="207">
        <f t="shared" si="126"/>
        <v>157</v>
      </c>
      <c r="I125" s="207">
        <f t="shared" si="127"/>
        <v>1216</v>
      </c>
      <c r="J125" s="207">
        <f t="shared" si="128"/>
        <v>1110</v>
      </c>
      <c r="K125" s="206">
        <v>10513</v>
      </c>
      <c r="L125" s="207">
        <f t="shared" si="129"/>
        <v>2960</v>
      </c>
      <c r="M125" s="207">
        <f t="shared" si="130"/>
        <v>295</v>
      </c>
      <c r="N125" s="207">
        <f t="shared" si="131"/>
        <v>1110</v>
      </c>
      <c r="O125" s="207">
        <f t="shared" si="132"/>
        <v>1110</v>
      </c>
      <c r="P125" s="206">
        <v>10513</v>
      </c>
      <c r="Q125" s="207">
        <f t="shared" si="133"/>
        <v>3195</v>
      </c>
      <c r="R125" s="207">
        <f t="shared" si="134"/>
        <v>275</v>
      </c>
      <c r="S125" s="207">
        <f t="shared" si="135"/>
        <v>1057</v>
      </c>
      <c r="T125" s="207">
        <f t="shared" si="136"/>
        <v>1332</v>
      </c>
      <c r="U125" s="206">
        <v>10513</v>
      </c>
      <c r="V125" s="207">
        <f t="shared" si="137"/>
        <v>2960</v>
      </c>
      <c r="W125" s="207">
        <f t="shared" si="138"/>
        <v>596</v>
      </c>
      <c r="X125" s="207">
        <f t="shared" si="139"/>
        <v>1321</v>
      </c>
      <c r="Y125" s="207">
        <f t="shared" si="140"/>
        <v>1110</v>
      </c>
      <c r="Z125" s="206">
        <v>10513</v>
      </c>
      <c r="AA125" s="207">
        <f t="shared" si="141"/>
        <v>3621</v>
      </c>
      <c r="AB125" s="207">
        <f t="shared" si="142"/>
        <v>992</v>
      </c>
      <c r="AC125" s="207">
        <f t="shared" si="143"/>
        <v>1057</v>
      </c>
      <c r="AD125" s="207">
        <f t="shared" si="144"/>
        <v>1554</v>
      </c>
      <c r="AE125" s="206">
        <v>10513</v>
      </c>
      <c r="AF125" s="207">
        <f t="shared" si="145"/>
        <v>3195</v>
      </c>
      <c r="AG125" s="207">
        <f t="shared" si="146"/>
        <v>329</v>
      </c>
      <c r="AH125" s="207">
        <f t="shared" si="147"/>
        <v>1216</v>
      </c>
      <c r="AI125" s="207">
        <f t="shared" si="148"/>
        <v>1332</v>
      </c>
    </row>
    <row r="126" spans="1:35" x14ac:dyDescent="0.15">
      <c r="A126" s="206">
        <v>20201</v>
      </c>
      <c r="B126" s="207">
        <f>K9</f>
        <v>944</v>
      </c>
      <c r="C126" s="207">
        <f t="shared" ref="C126:D141" si="149">L9</f>
        <v>94</v>
      </c>
      <c r="D126" s="207">
        <f t="shared" si="149"/>
        <v>354</v>
      </c>
      <c r="E126" s="207">
        <f t="shared" ref="E126:E141" si="150">P9</f>
        <v>354</v>
      </c>
      <c r="F126" s="206">
        <v>20201</v>
      </c>
      <c r="G126" s="207">
        <f t="shared" ref="G126:G157" si="151">AI9</f>
        <v>944</v>
      </c>
      <c r="H126" s="207">
        <f t="shared" ref="H126:H157" si="152">AJ9</f>
        <v>50</v>
      </c>
      <c r="I126" s="207">
        <f t="shared" ref="I126:I157" si="153">AK9</f>
        <v>388</v>
      </c>
      <c r="J126" s="207">
        <f t="shared" ref="J126:J157" si="154">AN9</f>
        <v>354</v>
      </c>
      <c r="K126" s="206">
        <v>20201</v>
      </c>
      <c r="L126" s="207">
        <f t="shared" ref="L126:L157" si="155">BG9</f>
        <v>944</v>
      </c>
      <c r="M126" s="207">
        <f t="shared" ref="M126:M157" si="156">BH9</f>
        <v>94</v>
      </c>
      <c r="N126" s="207">
        <f t="shared" ref="N126:N157" si="157">BI9</f>
        <v>354</v>
      </c>
      <c r="O126" s="207">
        <f t="shared" ref="O126:O157" si="158">BL9</f>
        <v>354</v>
      </c>
      <c r="P126" s="206">
        <v>20201</v>
      </c>
      <c r="Q126" s="207">
        <f t="shared" ref="Q126:Q157" si="159">CE9</f>
        <v>1019</v>
      </c>
      <c r="R126" s="207">
        <f t="shared" ref="R126:R157" si="160">CF9</f>
        <v>88</v>
      </c>
      <c r="S126" s="207">
        <f t="shared" ref="S126:S157" si="161">CG9</f>
        <v>337</v>
      </c>
      <c r="T126" s="207">
        <f t="shared" ref="T126:T157" si="162">CJ9</f>
        <v>425</v>
      </c>
      <c r="U126" s="206">
        <v>20201</v>
      </c>
      <c r="V126" s="207">
        <f t="shared" ref="V126:V157" si="163">DC9</f>
        <v>944</v>
      </c>
      <c r="W126" s="207">
        <f t="shared" ref="W126:W157" si="164">DD9</f>
        <v>190</v>
      </c>
      <c r="X126" s="207">
        <f t="shared" ref="X126:X157" si="165">DE9</f>
        <v>421</v>
      </c>
      <c r="Y126" s="207">
        <f t="shared" ref="Y126:Y157" si="166">DH9</f>
        <v>354</v>
      </c>
      <c r="Z126" s="206">
        <v>20201</v>
      </c>
      <c r="AA126" s="207">
        <f t="shared" ref="AA126:AA157" si="167">EA9</f>
        <v>1155</v>
      </c>
      <c r="AB126" s="207">
        <f t="shared" ref="AB126:AB157" si="168">EB9</f>
        <v>316</v>
      </c>
      <c r="AC126" s="207">
        <f t="shared" ref="AC126:AC157" si="169">EC9</f>
        <v>337</v>
      </c>
      <c r="AD126" s="207">
        <f t="shared" ref="AD126:AD157" si="170">EF9</f>
        <v>496</v>
      </c>
      <c r="AE126" s="206">
        <v>20201</v>
      </c>
      <c r="AF126" s="207">
        <f t="shared" ref="AF126:AF157" si="171">EY9</f>
        <v>1019</v>
      </c>
      <c r="AG126" s="207">
        <f t="shared" ref="AG126:AG157" si="172">EZ9</f>
        <v>105</v>
      </c>
      <c r="AH126" s="207">
        <f t="shared" ref="AH126:AH157" si="173">FA9</f>
        <v>388</v>
      </c>
      <c r="AI126" s="207">
        <f t="shared" ref="AI126:AI157" si="174">FD9</f>
        <v>425</v>
      </c>
    </row>
    <row r="127" spans="1:35" x14ac:dyDescent="0.15">
      <c r="A127" s="206">
        <v>20202</v>
      </c>
      <c r="B127" s="207">
        <f t="shared" ref="B127:B190" si="175">K10</f>
        <v>1008</v>
      </c>
      <c r="C127" s="207">
        <f t="shared" si="149"/>
        <v>100</v>
      </c>
      <c r="D127" s="207">
        <f t="shared" si="149"/>
        <v>378</v>
      </c>
      <c r="E127" s="207">
        <f t="shared" si="150"/>
        <v>378</v>
      </c>
      <c r="F127" s="206">
        <v>20202</v>
      </c>
      <c r="G127" s="207">
        <f t="shared" si="151"/>
        <v>1008</v>
      </c>
      <c r="H127" s="207">
        <f t="shared" si="152"/>
        <v>54</v>
      </c>
      <c r="I127" s="207">
        <f t="shared" si="153"/>
        <v>414</v>
      </c>
      <c r="J127" s="207">
        <f t="shared" si="154"/>
        <v>378</v>
      </c>
      <c r="K127" s="206">
        <v>20202</v>
      </c>
      <c r="L127" s="207">
        <f t="shared" si="155"/>
        <v>1008</v>
      </c>
      <c r="M127" s="207">
        <f t="shared" si="156"/>
        <v>100</v>
      </c>
      <c r="N127" s="207">
        <f t="shared" si="157"/>
        <v>378</v>
      </c>
      <c r="O127" s="207">
        <f t="shared" si="158"/>
        <v>378</v>
      </c>
      <c r="P127" s="206">
        <v>20202</v>
      </c>
      <c r="Q127" s="207">
        <f t="shared" si="159"/>
        <v>1088</v>
      </c>
      <c r="R127" s="207">
        <f t="shared" si="160"/>
        <v>94</v>
      </c>
      <c r="S127" s="207">
        <f t="shared" si="161"/>
        <v>360</v>
      </c>
      <c r="T127" s="207">
        <f t="shared" si="162"/>
        <v>454</v>
      </c>
      <c r="U127" s="206">
        <v>20202</v>
      </c>
      <c r="V127" s="207">
        <f t="shared" si="163"/>
        <v>1008</v>
      </c>
      <c r="W127" s="207">
        <f t="shared" si="164"/>
        <v>203</v>
      </c>
      <c r="X127" s="207">
        <f t="shared" si="165"/>
        <v>450</v>
      </c>
      <c r="Y127" s="207">
        <f t="shared" si="166"/>
        <v>378</v>
      </c>
      <c r="Z127" s="206">
        <v>20202</v>
      </c>
      <c r="AA127" s="207">
        <f t="shared" si="167"/>
        <v>1233</v>
      </c>
      <c r="AB127" s="207">
        <f t="shared" si="168"/>
        <v>338</v>
      </c>
      <c r="AC127" s="207">
        <f t="shared" si="169"/>
        <v>360</v>
      </c>
      <c r="AD127" s="207">
        <f t="shared" si="170"/>
        <v>529</v>
      </c>
      <c r="AE127" s="206">
        <v>20202</v>
      </c>
      <c r="AF127" s="207">
        <f t="shared" si="171"/>
        <v>1088</v>
      </c>
      <c r="AG127" s="207">
        <f t="shared" si="172"/>
        <v>112</v>
      </c>
      <c r="AH127" s="207">
        <f t="shared" si="173"/>
        <v>414</v>
      </c>
      <c r="AI127" s="207">
        <f t="shared" si="174"/>
        <v>454</v>
      </c>
    </row>
    <row r="128" spans="1:35" x14ac:dyDescent="0.15">
      <c r="A128" s="206">
        <v>20203</v>
      </c>
      <c r="B128" s="207">
        <f t="shared" si="175"/>
        <v>1072</v>
      </c>
      <c r="C128" s="207">
        <f t="shared" si="149"/>
        <v>107</v>
      </c>
      <c r="D128" s="207">
        <f t="shared" si="149"/>
        <v>402</v>
      </c>
      <c r="E128" s="207">
        <f t="shared" si="150"/>
        <v>402</v>
      </c>
      <c r="F128" s="206">
        <v>20203</v>
      </c>
      <c r="G128" s="207">
        <f t="shared" si="151"/>
        <v>1072</v>
      </c>
      <c r="H128" s="207">
        <f t="shared" si="152"/>
        <v>57</v>
      </c>
      <c r="I128" s="207">
        <f t="shared" si="153"/>
        <v>440</v>
      </c>
      <c r="J128" s="207">
        <f t="shared" si="154"/>
        <v>402</v>
      </c>
      <c r="K128" s="206">
        <v>20203</v>
      </c>
      <c r="L128" s="207">
        <f t="shared" si="155"/>
        <v>1072</v>
      </c>
      <c r="M128" s="207">
        <f t="shared" si="156"/>
        <v>107</v>
      </c>
      <c r="N128" s="207">
        <f t="shared" si="157"/>
        <v>402</v>
      </c>
      <c r="O128" s="207">
        <f t="shared" si="158"/>
        <v>402</v>
      </c>
      <c r="P128" s="206">
        <v>20203</v>
      </c>
      <c r="Q128" s="207">
        <f t="shared" si="159"/>
        <v>1157</v>
      </c>
      <c r="R128" s="207">
        <f t="shared" si="160"/>
        <v>99</v>
      </c>
      <c r="S128" s="207">
        <f t="shared" si="161"/>
        <v>383</v>
      </c>
      <c r="T128" s="207">
        <f t="shared" si="162"/>
        <v>482</v>
      </c>
      <c r="U128" s="206">
        <v>20203</v>
      </c>
      <c r="V128" s="207">
        <f t="shared" si="163"/>
        <v>1072</v>
      </c>
      <c r="W128" s="207">
        <f t="shared" si="164"/>
        <v>216</v>
      </c>
      <c r="X128" s="207">
        <f t="shared" si="165"/>
        <v>479</v>
      </c>
      <c r="Y128" s="207">
        <f t="shared" si="166"/>
        <v>402</v>
      </c>
      <c r="Z128" s="206">
        <v>20203</v>
      </c>
      <c r="AA128" s="207">
        <f t="shared" si="167"/>
        <v>1311</v>
      </c>
      <c r="AB128" s="207">
        <f t="shared" si="168"/>
        <v>359</v>
      </c>
      <c r="AC128" s="207">
        <f t="shared" si="169"/>
        <v>383</v>
      </c>
      <c r="AD128" s="207">
        <f t="shared" si="170"/>
        <v>563</v>
      </c>
      <c r="AE128" s="206">
        <v>20203</v>
      </c>
      <c r="AF128" s="207">
        <f t="shared" si="171"/>
        <v>1157</v>
      </c>
      <c r="AG128" s="207">
        <f t="shared" si="172"/>
        <v>119</v>
      </c>
      <c r="AH128" s="207">
        <f t="shared" si="173"/>
        <v>440</v>
      </c>
      <c r="AI128" s="207">
        <f t="shared" si="174"/>
        <v>482</v>
      </c>
    </row>
    <row r="129" spans="1:35" x14ac:dyDescent="0.15">
      <c r="A129" s="206">
        <v>20204</v>
      </c>
      <c r="B129" s="207">
        <f t="shared" si="175"/>
        <v>1136</v>
      </c>
      <c r="C129" s="207">
        <f t="shared" si="149"/>
        <v>113</v>
      </c>
      <c r="D129" s="207">
        <f t="shared" si="149"/>
        <v>426</v>
      </c>
      <c r="E129" s="207">
        <f t="shared" si="150"/>
        <v>426</v>
      </c>
      <c r="F129" s="206">
        <v>20204</v>
      </c>
      <c r="G129" s="207">
        <f t="shared" si="151"/>
        <v>1136</v>
      </c>
      <c r="H129" s="207">
        <f t="shared" si="152"/>
        <v>60</v>
      </c>
      <c r="I129" s="207">
        <f t="shared" si="153"/>
        <v>467</v>
      </c>
      <c r="J129" s="207">
        <f t="shared" si="154"/>
        <v>426</v>
      </c>
      <c r="K129" s="206">
        <v>20204</v>
      </c>
      <c r="L129" s="207">
        <f t="shared" si="155"/>
        <v>1136</v>
      </c>
      <c r="M129" s="207">
        <f t="shared" si="156"/>
        <v>113</v>
      </c>
      <c r="N129" s="207">
        <f t="shared" si="157"/>
        <v>426</v>
      </c>
      <c r="O129" s="207">
        <f t="shared" si="158"/>
        <v>426</v>
      </c>
      <c r="P129" s="206">
        <v>20204</v>
      </c>
      <c r="Q129" s="207">
        <f t="shared" si="159"/>
        <v>1226</v>
      </c>
      <c r="R129" s="207">
        <f t="shared" si="160"/>
        <v>105</v>
      </c>
      <c r="S129" s="207">
        <f t="shared" si="161"/>
        <v>406</v>
      </c>
      <c r="T129" s="207">
        <f t="shared" si="162"/>
        <v>511</v>
      </c>
      <c r="U129" s="206">
        <v>20204</v>
      </c>
      <c r="V129" s="207">
        <f t="shared" si="163"/>
        <v>1136</v>
      </c>
      <c r="W129" s="207">
        <f t="shared" si="164"/>
        <v>229</v>
      </c>
      <c r="X129" s="207">
        <f t="shared" si="165"/>
        <v>507</v>
      </c>
      <c r="Y129" s="207">
        <f t="shared" si="166"/>
        <v>426</v>
      </c>
      <c r="Z129" s="206">
        <v>20204</v>
      </c>
      <c r="AA129" s="207">
        <f t="shared" si="167"/>
        <v>1390</v>
      </c>
      <c r="AB129" s="207">
        <f t="shared" si="168"/>
        <v>381</v>
      </c>
      <c r="AC129" s="207">
        <f t="shared" si="169"/>
        <v>406</v>
      </c>
      <c r="AD129" s="207">
        <f t="shared" si="170"/>
        <v>596</v>
      </c>
      <c r="AE129" s="206">
        <v>20204</v>
      </c>
      <c r="AF129" s="207">
        <f t="shared" si="171"/>
        <v>1226</v>
      </c>
      <c r="AG129" s="207">
        <f t="shared" si="172"/>
        <v>126</v>
      </c>
      <c r="AH129" s="207">
        <f t="shared" si="173"/>
        <v>467</v>
      </c>
      <c r="AI129" s="207">
        <f t="shared" si="174"/>
        <v>511</v>
      </c>
    </row>
    <row r="130" spans="1:35" x14ac:dyDescent="0.15">
      <c r="A130" s="206">
        <v>20205</v>
      </c>
      <c r="B130" s="207">
        <f t="shared" si="175"/>
        <v>1200</v>
      </c>
      <c r="C130" s="207">
        <f t="shared" si="149"/>
        <v>120</v>
      </c>
      <c r="D130" s="207">
        <f t="shared" si="149"/>
        <v>450</v>
      </c>
      <c r="E130" s="207">
        <f t="shared" si="150"/>
        <v>450</v>
      </c>
      <c r="F130" s="206">
        <v>20205</v>
      </c>
      <c r="G130" s="207">
        <f t="shared" si="151"/>
        <v>1200</v>
      </c>
      <c r="H130" s="207">
        <f t="shared" si="152"/>
        <v>64</v>
      </c>
      <c r="I130" s="207">
        <f t="shared" si="153"/>
        <v>493</v>
      </c>
      <c r="J130" s="207">
        <f t="shared" si="154"/>
        <v>450</v>
      </c>
      <c r="K130" s="206">
        <v>20205</v>
      </c>
      <c r="L130" s="207">
        <f t="shared" si="155"/>
        <v>1200</v>
      </c>
      <c r="M130" s="207">
        <f t="shared" si="156"/>
        <v>120</v>
      </c>
      <c r="N130" s="207">
        <f t="shared" si="157"/>
        <v>450</v>
      </c>
      <c r="O130" s="207">
        <f t="shared" si="158"/>
        <v>450</v>
      </c>
      <c r="P130" s="206">
        <v>20205</v>
      </c>
      <c r="Q130" s="207">
        <f t="shared" si="159"/>
        <v>1295</v>
      </c>
      <c r="R130" s="207">
        <f t="shared" si="160"/>
        <v>111</v>
      </c>
      <c r="S130" s="207">
        <f t="shared" si="161"/>
        <v>429</v>
      </c>
      <c r="T130" s="207">
        <f t="shared" si="162"/>
        <v>540</v>
      </c>
      <c r="U130" s="206">
        <v>20205</v>
      </c>
      <c r="V130" s="207">
        <f t="shared" si="163"/>
        <v>1200</v>
      </c>
      <c r="W130" s="207">
        <f t="shared" si="164"/>
        <v>242</v>
      </c>
      <c r="X130" s="207">
        <f t="shared" si="165"/>
        <v>536</v>
      </c>
      <c r="Y130" s="207">
        <f t="shared" si="166"/>
        <v>450</v>
      </c>
      <c r="Z130" s="206">
        <v>20205</v>
      </c>
      <c r="AA130" s="207">
        <f t="shared" si="167"/>
        <v>1468</v>
      </c>
      <c r="AB130" s="207">
        <f t="shared" si="168"/>
        <v>402</v>
      </c>
      <c r="AC130" s="207">
        <f t="shared" si="169"/>
        <v>429</v>
      </c>
      <c r="AD130" s="207">
        <f t="shared" si="170"/>
        <v>630</v>
      </c>
      <c r="AE130" s="206">
        <v>20205</v>
      </c>
      <c r="AF130" s="207">
        <f t="shared" si="171"/>
        <v>1295</v>
      </c>
      <c r="AG130" s="207">
        <f t="shared" si="172"/>
        <v>133</v>
      </c>
      <c r="AH130" s="207">
        <f t="shared" si="173"/>
        <v>493</v>
      </c>
      <c r="AI130" s="207">
        <f t="shared" si="174"/>
        <v>540</v>
      </c>
    </row>
    <row r="131" spans="1:35" x14ac:dyDescent="0.15">
      <c r="A131" s="206">
        <v>20206</v>
      </c>
      <c r="B131" s="207">
        <f t="shared" si="175"/>
        <v>1264</v>
      </c>
      <c r="C131" s="207">
        <f t="shared" si="149"/>
        <v>126</v>
      </c>
      <c r="D131" s="207">
        <f t="shared" si="149"/>
        <v>474</v>
      </c>
      <c r="E131" s="207">
        <f t="shared" si="150"/>
        <v>474</v>
      </c>
      <c r="F131" s="206">
        <v>20206</v>
      </c>
      <c r="G131" s="207">
        <f t="shared" si="151"/>
        <v>1264</v>
      </c>
      <c r="H131" s="207">
        <f t="shared" si="152"/>
        <v>67</v>
      </c>
      <c r="I131" s="207">
        <f t="shared" si="153"/>
        <v>519</v>
      </c>
      <c r="J131" s="207">
        <f t="shared" si="154"/>
        <v>474</v>
      </c>
      <c r="K131" s="206">
        <v>20206</v>
      </c>
      <c r="L131" s="207">
        <f t="shared" si="155"/>
        <v>1264</v>
      </c>
      <c r="M131" s="207">
        <f t="shared" si="156"/>
        <v>126</v>
      </c>
      <c r="N131" s="207">
        <f t="shared" si="157"/>
        <v>474</v>
      </c>
      <c r="O131" s="207">
        <f t="shared" si="158"/>
        <v>474</v>
      </c>
      <c r="P131" s="206">
        <v>20206</v>
      </c>
      <c r="Q131" s="207">
        <f t="shared" si="159"/>
        <v>1364</v>
      </c>
      <c r="R131" s="207">
        <f t="shared" si="160"/>
        <v>117</v>
      </c>
      <c r="S131" s="207">
        <f t="shared" si="161"/>
        <v>451</v>
      </c>
      <c r="T131" s="207">
        <f t="shared" si="162"/>
        <v>569</v>
      </c>
      <c r="U131" s="206">
        <v>20206</v>
      </c>
      <c r="V131" s="207">
        <f t="shared" si="163"/>
        <v>1264</v>
      </c>
      <c r="W131" s="207">
        <f t="shared" si="164"/>
        <v>254</v>
      </c>
      <c r="X131" s="207">
        <f t="shared" si="165"/>
        <v>564</v>
      </c>
      <c r="Y131" s="207">
        <f t="shared" si="166"/>
        <v>474</v>
      </c>
      <c r="Z131" s="206">
        <v>20206</v>
      </c>
      <c r="AA131" s="207">
        <f t="shared" si="167"/>
        <v>1546</v>
      </c>
      <c r="AB131" s="207">
        <f t="shared" si="168"/>
        <v>424</v>
      </c>
      <c r="AC131" s="207">
        <f t="shared" si="169"/>
        <v>451</v>
      </c>
      <c r="AD131" s="207">
        <f t="shared" si="170"/>
        <v>664</v>
      </c>
      <c r="AE131" s="206">
        <v>20206</v>
      </c>
      <c r="AF131" s="207">
        <f t="shared" si="171"/>
        <v>1364</v>
      </c>
      <c r="AG131" s="207">
        <f t="shared" si="172"/>
        <v>141</v>
      </c>
      <c r="AH131" s="207">
        <f t="shared" si="173"/>
        <v>519</v>
      </c>
      <c r="AI131" s="207">
        <f t="shared" si="174"/>
        <v>569</v>
      </c>
    </row>
    <row r="132" spans="1:35" x14ac:dyDescent="0.15">
      <c r="A132" s="206">
        <v>20207</v>
      </c>
      <c r="B132" s="207">
        <f t="shared" si="175"/>
        <v>1328</v>
      </c>
      <c r="C132" s="207">
        <f t="shared" si="149"/>
        <v>132</v>
      </c>
      <c r="D132" s="207">
        <f t="shared" si="149"/>
        <v>498</v>
      </c>
      <c r="E132" s="207">
        <f t="shared" si="150"/>
        <v>498</v>
      </c>
      <c r="F132" s="206">
        <v>20207</v>
      </c>
      <c r="G132" s="207">
        <f t="shared" si="151"/>
        <v>1328</v>
      </c>
      <c r="H132" s="207">
        <f t="shared" si="152"/>
        <v>70</v>
      </c>
      <c r="I132" s="207">
        <f t="shared" si="153"/>
        <v>545</v>
      </c>
      <c r="J132" s="207">
        <f t="shared" si="154"/>
        <v>498</v>
      </c>
      <c r="K132" s="206">
        <v>20207</v>
      </c>
      <c r="L132" s="207">
        <f t="shared" si="155"/>
        <v>1328</v>
      </c>
      <c r="M132" s="207">
        <f t="shared" si="156"/>
        <v>132</v>
      </c>
      <c r="N132" s="207">
        <f t="shared" si="157"/>
        <v>498</v>
      </c>
      <c r="O132" s="207">
        <f t="shared" si="158"/>
        <v>498</v>
      </c>
      <c r="P132" s="206">
        <v>20207</v>
      </c>
      <c r="Q132" s="207">
        <f t="shared" si="159"/>
        <v>1433</v>
      </c>
      <c r="R132" s="207">
        <f t="shared" si="160"/>
        <v>123</v>
      </c>
      <c r="S132" s="207">
        <f t="shared" si="161"/>
        <v>474</v>
      </c>
      <c r="T132" s="207">
        <f t="shared" si="162"/>
        <v>598</v>
      </c>
      <c r="U132" s="206">
        <v>20207</v>
      </c>
      <c r="V132" s="207">
        <f t="shared" si="163"/>
        <v>1328</v>
      </c>
      <c r="W132" s="207">
        <f t="shared" si="164"/>
        <v>267</v>
      </c>
      <c r="X132" s="207">
        <f t="shared" si="165"/>
        <v>593</v>
      </c>
      <c r="Y132" s="207">
        <f t="shared" si="166"/>
        <v>498</v>
      </c>
      <c r="Z132" s="206">
        <v>20207</v>
      </c>
      <c r="AA132" s="207">
        <f t="shared" si="167"/>
        <v>1625</v>
      </c>
      <c r="AB132" s="207">
        <f t="shared" si="168"/>
        <v>445</v>
      </c>
      <c r="AC132" s="207">
        <f t="shared" si="169"/>
        <v>474</v>
      </c>
      <c r="AD132" s="207">
        <f t="shared" si="170"/>
        <v>697</v>
      </c>
      <c r="AE132" s="206">
        <v>20207</v>
      </c>
      <c r="AF132" s="207">
        <f t="shared" si="171"/>
        <v>1433</v>
      </c>
      <c r="AG132" s="207">
        <f t="shared" si="172"/>
        <v>148</v>
      </c>
      <c r="AH132" s="207">
        <f t="shared" si="173"/>
        <v>545</v>
      </c>
      <c r="AI132" s="207">
        <f t="shared" si="174"/>
        <v>598</v>
      </c>
    </row>
    <row r="133" spans="1:35" x14ac:dyDescent="0.15">
      <c r="A133" s="206">
        <v>20208</v>
      </c>
      <c r="B133" s="207">
        <f t="shared" si="175"/>
        <v>1392</v>
      </c>
      <c r="C133" s="207">
        <f t="shared" si="149"/>
        <v>139</v>
      </c>
      <c r="D133" s="207">
        <f t="shared" si="149"/>
        <v>522</v>
      </c>
      <c r="E133" s="207">
        <f t="shared" si="150"/>
        <v>522</v>
      </c>
      <c r="F133" s="206">
        <v>20208</v>
      </c>
      <c r="G133" s="207">
        <f t="shared" si="151"/>
        <v>1392</v>
      </c>
      <c r="H133" s="207">
        <f t="shared" si="152"/>
        <v>74</v>
      </c>
      <c r="I133" s="207">
        <f t="shared" si="153"/>
        <v>572</v>
      </c>
      <c r="J133" s="207">
        <f t="shared" si="154"/>
        <v>522</v>
      </c>
      <c r="K133" s="206">
        <v>20208</v>
      </c>
      <c r="L133" s="207">
        <f t="shared" si="155"/>
        <v>1392</v>
      </c>
      <c r="M133" s="207">
        <f t="shared" si="156"/>
        <v>139</v>
      </c>
      <c r="N133" s="207">
        <f t="shared" si="157"/>
        <v>522</v>
      </c>
      <c r="O133" s="207">
        <f t="shared" si="158"/>
        <v>522</v>
      </c>
      <c r="P133" s="206">
        <v>20208</v>
      </c>
      <c r="Q133" s="207">
        <f t="shared" si="159"/>
        <v>1502</v>
      </c>
      <c r="R133" s="207">
        <f t="shared" si="160"/>
        <v>129</v>
      </c>
      <c r="S133" s="207">
        <f t="shared" si="161"/>
        <v>497</v>
      </c>
      <c r="T133" s="207">
        <f t="shared" si="162"/>
        <v>626</v>
      </c>
      <c r="U133" s="206">
        <v>20208</v>
      </c>
      <c r="V133" s="207">
        <f t="shared" si="163"/>
        <v>1392</v>
      </c>
      <c r="W133" s="207">
        <f t="shared" si="164"/>
        <v>280</v>
      </c>
      <c r="X133" s="207">
        <f t="shared" si="165"/>
        <v>621</v>
      </c>
      <c r="Y133" s="207">
        <f t="shared" si="166"/>
        <v>522</v>
      </c>
      <c r="Z133" s="206">
        <v>20208</v>
      </c>
      <c r="AA133" s="207">
        <f t="shared" si="167"/>
        <v>1703</v>
      </c>
      <c r="AB133" s="207">
        <f t="shared" si="168"/>
        <v>466</v>
      </c>
      <c r="AC133" s="207">
        <f t="shared" si="169"/>
        <v>497</v>
      </c>
      <c r="AD133" s="207">
        <f t="shared" si="170"/>
        <v>731</v>
      </c>
      <c r="AE133" s="206">
        <v>20208</v>
      </c>
      <c r="AF133" s="207">
        <f t="shared" si="171"/>
        <v>1502</v>
      </c>
      <c r="AG133" s="207">
        <f t="shared" si="172"/>
        <v>155</v>
      </c>
      <c r="AH133" s="207">
        <f t="shared" si="173"/>
        <v>572</v>
      </c>
      <c r="AI133" s="207">
        <f t="shared" si="174"/>
        <v>626</v>
      </c>
    </row>
    <row r="134" spans="1:35" x14ac:dyDescent="0.15">
      <c r="A134" s="206">
        <v>20209</v>
      </c>
      <c r="B134" s="207">
        <f t="shared" si="175"/>
        <v>1464</v>
      </c>
      <c r="C134" s="207">
        <f t="shared" si="149"/>
        <v>146</v>
      </c>
      <c r="D134" s="207">
        <f t="shared" si="149"/>
        <v>549</v>
      </c>
      <c r="E134" s="207">
        <f t="shared" si="150"/>
        <v>549</v>
      </c>
      <c r="F134" s="206">
        <v>20209</v>
      </c>
      <c r="G134" s="207">
        <f t="shared" si="151"/>
        <v>1464</v>
      </c>
      <c r="H134" s="207">
        <f t="shared" si="152"/>
        <v>78</v>
      </c>
      <c r="I134" s="207">
        <f t="shared" si="153"/>
        <v>601</v>
      </c>
      <c r="J134" s="207">
        <f t="shared" si="154"/>
        <v>549</v>
      </c>
      <c r="K134" s="206">
        <v>20209</v>
      </c>
      <c r="L134" s="207">
        <f t="shared" si="155"/>
        <v>1464</v>
      </c>
      <c r="M134" s="207">
        <f t="shared" si="156"/>
        <v>146</v>
      </c>
      <c r="N134" s="207">
        <f t="shared" si="157"/>
        <v>549</v>
      </c>
      <c r="O134" s="207">
        <f t="shared" si="158"/>
        <v>549</v>
      </c>
      <c r="P134" s="206">
        <v>20209</v>
      </c>
      <c r="Q134" s="207">
        <f t="shared" si="159"/>
        <v>1580</v>
      </c>
      <c r="R134" s="207">
        <f t="shared" si="160"/>
        <v>136</v>
      </c>
      <c r="S134" s="207">
        <f t="shared" si="161"/>
        <v>523</v>
      </c>
      <c r="T134" s="207">
        <f t="shared" si="162"/>
        <v>659</v>
      </c>
      <c r="U134" s="206">
        <v>20209</v>
      </c>
      <c r="V134" s="207">
        <f t="shared" si="163"/>
        <v>1464</v>
      </c>
      <c r="W134" s="207">
        <f t="shared" si="164"/>
        <v>295</v>
      </c>
      <c r="X134" s="207">
        <f t="shared" si="165"/>
        <v>654</v>
      </c>
      <c r="Y134" s="207">
        <f t="shared" si="166"/>
        <v>549</v>
      </c>
      <c r="Z134" s="206">
        <v>20209</v>
      </c>
      <c r="AA134" s="207">
        <f t="shared" si="167"/>
        <v>1791</v>
      </c>
      <c r="AB134" s="207">
        <f t="shared" si="168"/>
        <v>491</v>
      </c>
      <c r="AC134" s="207">
        <f t="shared" si="169"/>
        <v>523</v>
      </c>
      <c r="AD134" s="207">
        <f t="shared" si="170"/>
        <v>769</v>
      </c>
      <c r="AE134" s="206">
        <v>20209</v>
      </c>
      <c r="AF134" s="207">
        <f t="shared" si="171"/>
        <v>1580</v>
      </c>
      <c r="AG134" s="207">
        <f t="shared" si="172"/>
        <v>163</v>
      </c>
      <c r="AH134" s="207">
        <f t="shared" si="173"/>
        <v>601</v>
      </c>
      <c r="AI134" s="207">
        <f t="shared" si="174"/>
        <v>659</v>
      </c>
    </row>
    <row r="135" spans="1:35" x14ac:dyDescent="0.15">
      <c r="A135" s="206">
        <v>20210</v>
      </c>
      <c r="B135" s="207">
        <f t="shared" si="175"/>
        <v>1536</v>
      </c>
      <c r="C135" s="207">
        <f t="shared" si="149"/>
        <v>153</v>
      </c>
      <c r="D135" s="207">
        <f t="shared" si="149"/>
        <v>576</v>
      </c>
      <c r="E135" s="207">
        <f t="shared" si="150"/>
        <v>576</v>
      </c>
      <c r="F135" s="206">
        <v>20210</v>
      </c>
      <c r="G135" s="207">
        <f t="shared" si="151"/>
        <v>1536</v>
      </c>
      <c r="H135" s="207">
        <f t="shared" si="152"/>
        <v>82</v>
      </c>
      <c r="I135" s="207">
        <f t="shared" si="153"/>
        <v>631</v>
      </c>
      <c r="J135" s="207">
        <f t="shared" si="154"/>
        <v>576</v>
      </c>
      <c r="K135" s="206">
        <v>20210</v>
      </c>
      <c r="L135" s="207">
        <f t="shared" si="155"/>
        <v>1536</v>
      </c>
      <c r="M135" s="207">
        <f t="shared" si="156"/>
        <v>153</v>
      </c>
      <c r="N135" s="207">
        <f t="shared" si="157"/>
        <v>576</v>
      </c>
      <c r="O135" s="207">
        <f t="shared" si="158"/>
        <v>576</v>
      </c>
      <c r="P135" s="206">
        <v>20210</v>
      </c>
      <c r="Q135" s="207">
        <f t="shared" si="159"/>
        <v>1658</v>
      </c>
      <c r="R135" s="207">
        <f t="shared" si="160"/>
        <v>143</v>
      </c>
      <c r="S135" s="207">
        <f t="shared" si="161"/>
        <v>549</v>
      </c>
      <c r="T135" s="207">
        <f t="shared" si="162"/>
        <v>691</v>
      </c>
      <c r="U135" s="206">
        <v>20210</v>
      </c>
      <c r="V135" s="207">
        <f t="shared" si="163"/>
        <v>1536</v>
      </c>
      <c r="W135" s="207">
        <f t="shared" si="164"/>
        <v>309</v>
      </c>
      <c r="X135" s="207">
        <f t="shared" si="165"/>
        <v>686</v>
      </c>
      <c r="Y135" s="207">
        <f t="shared" si="166"/>
        <v>576</v>
      </c>
      <c r="Z135" s="206">
        <v>20210</v>
      </c>
      <c r="AA135" s="207">
        <f t="shared" si="167"/>
        <v>1879</v>
      </c>
      <c r="AB135" s="207">
        <f t="shared" si="168"/>
        <v>515</v>
      </c>
      <c r="AC135" s="207">
        <f t="shared" si="169"/>
        <v>549</v>
      </c>
      <c r="AD135" s="207">
        <f t="shared" si="170"/>
        <v>806</v>
      </c>
      <c r="AE135" s="206">
        <v>20210</v>
      </c>
      <c r="AF135" s="207">
        <f t="shared" si="171"/>
        <v>1658</v>
      </c>
      <c r="AG135" s="207">
        <f t="shared" si="172"/>
        <v>171</v>
      </c>
      <c r="AH135" s="207">
        <f t="shared" si="173"/>
        <v>631</v>
      </c>
      <c r="AI135" s="207">
        <f t="shared" si="174"/>
        <v>691</v>
      </c>
    </row>
    <row r="136" spans="1:35" x14ac:dyDescent="0.15">
      <c r="A136" s="206">
        <v>20211</v>
      </c>
      <c r="B136" s="207">
        <f t="shared" si="175"/>
        <v>1608</v>
      </c>
      <c r="C136" s="207">
        <f t="shared" si="149"/>
        <v>160</v>
      </c>
      <c r="D136" s="207">
        <f t="shared" si="149"/>
        <v>603</v>
      </c>
      <c r="E136" s="207">
        <f t="shared" si="150"/>
        <v>603</v>
      </c>
      <c r="F136" s="206">
        <v>20211</v>
      </c>
      <c r="G136" s="207">
        <f t="shared" si="151"/>
        <v>1608</v>
      </c>
      <c r="H136" s="207">
        <f t="shared" si="152"/>
        <v>85</v>
      </c>
      <c r="I136" s="207">
        <f t="shared" si="153"/>
        <v>660</v>
      </c>
      <c r="J136" s="207">
        <f t="shared" si="154"/>
        <v>603</v>
      </c>
      <c r="K136" s="206">
        <v>20211</v>
      </c>
      <c r="L136" s="207">
        <f t="shared" si="155"/>
        <v>1608</v>
      </c>
      <c r="M136" s="207">
        <f t="shared" si="156"/>
        <v>160</v>
      </c>
      <c r="N136" s="207">
        <f t="shared" si="157"/>
        <v>603</v>
      </c>
      <c r="O136" s="207">
        <f t="shared" si="158"/>
        <v>603</v>
      </c>
      <c r="P136" s="206">
        <v>20211</v>
      </c>
      <c r="Q136" s="207">
        <f t="shared" si="159"/>
        <v>1736</v>
      </c>
      <c r="R136" s="207">
        <f t="shared" si="160"/>
        <v>149</v>
      </c>
      <c r="S136" s="207">
        <f t="shared" si="161"/>
        <v>574</v>
      </c>
      <c r="T136" s="207">
        <f t="shared" si="162"/>
        <v>724</v>
      </c>
      <c r="U136" s="206">
        <v>20211</v>
      </c>
      <c r="V136" s="207">
        <f t="shared" si="163"/>
        <v>1608</v>
      </c>
      <c r="W136" s="207">
        <f t="shared" si="164"/>
        <v>324</v>
      </c>
      <c r="X136" s="207">
        <f t="shared" si="165"/>
        <v>718</v>
      </c>
      <c r="Y136" s="207">
        <f t="shared" si="166"/>
        <v>603</v>
      </c>
      <c r="Z136" s="206">
        <v>20211</v>
      </c>
      <c r="AA136" s="207">
        <f t="shared" si="167"/>
        <v>1967</v>
      </c>
      <c r="AB136" s="207">
        <f t="shared" si="168"/>
        <v>539</v>
      </c>
      <c r="AC136" s="207">
        <f t="shared" si="169"/>
        <v>574</v>
      </c>
      <c r="AD136" s="207">
        <f t="shared" si="170"/>
        <v>844</v>
      </c>
      <c r="AE136" s="206">
        <v>20211</v>
      </c>
      <c r="AF136" s="207">
        <f t="shared" si="171"/>
        <v>1736</v>
      </c>
      <c r="AG136" s="207">
        <f t="shared" si="172"/>
        <v>179</v>
      </c>
      <c r="AH136" s="207">
        <f t="shared" si="173"/>
        <v>660</v>
      </c>
      <c r="AI136" s="207">
        <f t="shared" si="174"/>
        <v>724</v>
      </c>
    </row>
    <row r="137" spans="1:35" x14ac:dyDescent="0.15">
      <c r="A137" s="206">
        <v>20212</v>
      </c>
      <c r="B137" s="207">
        <f t="shared" si="175"/>
        <v>1680</v>
      </c>
      <c r="C137" s="207">
        <f t="shared" si="149"/>
        <v>167</v>
      </c>
      <c r="D137" s="207">
        <f t="shared" si="149"/>
        <v>630</v>
      </c>
      <c r="E137" s="207">
        <f t="shared" si="150"/>
        <v>630</v>
      </c>
      <c r="F137" s="206">
        <v>20212</v>
      </c>
      <c r="G137" s="207">
        <f t="shared" si="151"/>
        <v>1680</v>
      </c>
      <c r="H137" s="207">
        <f t="shared" si="152"/>
        <v>89</v>
      </c>
      <c r="I137" s="207">
        <f t="shared" si="153"/>
        <v>690</v>
      </c>
      <c r="J137" s="207">
        <f t="shared" si="154"/>
        <v>630</v>
      </c>
      <c r="K137" s="206">
        <v>20212</v>
      </c>
      <c r="L137" s="207">
        <f t="shared" si="155"/>
        <v>1680</v>
      </c>
      <c r="M137" s="207">
        <f t="shared" si="156"/>
        <v>167</v>
      </c>
      <c r="N137" s="207">
        <f t="shared" si="157"/>
        <v>630</v>
      </c>
      <c r="O137" s="207">
        <f t="shared" si="158"/>
        <v>630</v>
      </c>
      <c r="P137" s="206">
        <v>20212</v>
      </c>
      <c r="Q137" s="207">
        <f t="shared" si="159"/>
        <v>1813</v>
      </c>
      <c r="R137" s="207">
        <f t="shared" si="160"/>
        <v>156</v>
      </c>
      <c r="S137" s="207">
        <f t="shared" si="161"/>
        <v>600</v>
      </c>
      <c r="T137" s="207">
        <f t="shared" si="162"/>
        <v>756</v>
      </c>
      <c r="U137" s="206">
        <v>20212</v>
      </c>
      <c r="V137" s="207">
        <f t="shared" si="163"/>
        <v>1680</v>
      </c>
      <c r="W137" s="207">
        <f t="shared" si="164"/>
        <v>338</v>
      </c>
      <c r="X137" s="207">
        <f t="shared" si="165"/>
        <v>750</v>
      </c>
      <c r="Y137" s="207">
        <f t="shared" si="166"/>
        <v>630</v>
      </c>
      <c r="Z137" s="206">
        <v>20212</v>
      </c>
      <c r="AA137" s="207">
        <f t="shared" si="167"/>
        <v>2055</v>
      </c>
      <c r="AB137" s="207">
        <f t="shared" si="168"/>
        <v>563</v>
      </c>
      <c r="AC137" s="207">
        <f t="shared" si="169"/>
        <v>600</v>
      </c>
      <c r="AD137" s="207">
        <f t="shared" si="170"/>
        <v>882</v>
      </c>
      <c r="AE137" s="206">
        <v>20212</v>
      </c>
      <c r="AF137" s="207">
        <f t="shared" si="171"/>
        <v>1813</v>
      </c>
      <c r="AG137" s="207">
        <f t="shared" si="172"/>
        <v>187</v>
      </c>
      <c r="AH137" s="207">
        <f t="shared" si="173"/>
        <v>690</v>
      </c>
      <c r="AI137" s="207">
        <f t="shared" si="174"/>
        <v>756</v>
      </c>
    </row>
    <row r="138" spans="1:35" x14ac:dyDescent="0.15">
      <c r="A138" s="206">
        <v>20301</v>
      </c>
      <c r="B138" s="207">
        <f t="shared" si="175"/>
        <v>1168</v>
      </c>
      <c r="C138" s="207">
        <f t="shared" si="149"/>
        <v>116</v>
      </c>
      <c r="D138" s="207">
        <f t="shared" si="149"/>
        <v>438</v>
      </c>
      <c r="E138" s="207">
        <f t="shared" si="150"/>
        <v>438</v>
      </c>
      <c r="F138" s="206">
        <v>20301</v>
      </c>
      <c r="G138" s="207">
        <f t="shared" si="151"/>
        <v>1168</v>
      </c>
      <c r="H138" s="207">
        <f t="shared" si="152"/>
        <v>62</v>
      </c>
      <c r="I138" s="207">
        <f t="shared" si="153"/>
        <v>480</v>
      </c>
      <c r="J138" s="207">
        <f t="shared" si="154"/>
        <v>438</v>
      </c>
      <c r="K138" s="206">
        <v>20301</v>
      </c>
      <c r="L138" s="207">
        <f t="shared" si="155"/>
        <v>1168</v>
      </c>
      <c r="M138" s="207">
        <f t="shared" si="156"/>
        <v>116</v>
      </c>
      <c r="N138" s="207">
        <f t="shared" si="157"/>
        <v>438</v>
      </c>
      <c r="O138" s="207">
        <f t="shared" si="158"/>
        <v>438</v>
      </c>
      <c r="P138" s="206">
        <v>20301</v>
      </c>
      <c r="Q138" s="207">
        <f t="shared" si="159"/>
        <v>1261</v>
      </c>
      <c r="R138" s="207">
        <f t="shared" si="160"/>
        <v>108</v>
      </c>
      <c r="S138" s="207">
        <f t="shared" si="161"/>
        <v>417</v>
      </c>
      <c r="T138" s="207">
        <f t="shared" si="162"/>
        <v>526</v>
      </c>
      <c r="U138" s="206">
        <v>20301</v>
      </c>
      <c r="V138" s="207">
        <f t="shared" si="163"/>
        <v>1168</v>
      </c>
      <c r="W138" s="207">
        <f t="shared" si="164"/>
        <v>235</v>
      </c>
      <c r="X138" s="207">
        <f t="shared" si="165"/>
        <v>521</v>
      </c>
      <c r="Y138" s="207">
        <f t="shared" si="166"/>
        <v>438</v>
      </c>
      <c r="Z138" s="206">
        <v>20301</v>
      </c>
      <c r="AA138" s="207">
        <f t="shared" si="167"/>
        <v>1429</v>
      </c>
      <c r="AB138" s="207">
        <f t="shared" si="168"/>
        <v>391</v>
      </c>
      <c r="AC138" s="207">
        <f t="shared" si="169"/>
        <v>417</v>
      </c>
      <c r="AD138" s="207">
        <f t="shared" si="170"/>
        <v>613</v>
      </c>
      <c r="AE138" s="206">
        <v>20301</v>
      </c>
      <c r="AF138" s="207">
        <f t="shared" si="171"/>
        <v>1261</v>
      </c>
      <c r="AG138" s="207">
        <f t="shared" si="172"/>
        <v>130</v>
      </c>
      <c r="AH138" s="207">
        <f t="shared" si="173"/>
        <v>480</v>
      </c>
      <c r="AI138" s="207">
        <f t="shared" si="174"/>
        <v>526</v>
      </c>
    </row>
    <row r="139" spans="1:35" x14ac:dyDescent="0.15">
      <c r="A139" s="206">
        <v>20302</v>
      </c>
      <c r="B139" s="207">
        <f t="shared" si="175"/>
        <v>1240</v>
      </c>
      <c r="C139" s="207">
        <f t="shared" si="149"/>
        <v>124</v>
      </c>
      <c r="D139" s="207">
        <f t="shared" si="149"/>
        <v>465</v>
      </c>
      <c r="E139" s="207">
        <f t="shared" si="150"/>
        <v>465</v>
      </c>
      <c r="F139" s="206">
        <v>20302</v>
      </c>
      <c r="G139" s="207">
        <f t="shared" si="151"/>
        <v>1240</v>
      </c>
      <c r="H139" s="207">
        <f t="shared" si="152"/>
        <v>66</v>
      </c>
      <c r="I139" s="207">
        <f t="shared" si="153"/>
        <v>509</v>
      </c>
      <c r="J139" s="207">
        <f t="shared" si="154"/>
        <v>465</v>
      </c>
      <c r="K139" s="206">
        <v>20302</v>
      </c>
      <c r="L139" s="207">
        <f t="shared" si="155"/>
        <v>1240</v>
      </c>
      <c r="M139" s="207">
        <f t="shared" si="156"/>
        <v>124</v>
      </c>
      <c r="N139" s="207">
        <f t="shared" si="157"/>
        <v>465</v>
      </c>
      <c r="O139" s="207">
        <f t="shared" si="158"/>
        <v>465</v>
      </c>
      <c r="P139" s="206">
        <v>20302</v>
      </c>
      <c r="Q139" s="207">
        <f t="shared" si="159"/>
        <v>1338</v>
      </c>
      <c r="R139" s="207">
        <f t="shared" si="160"/>
        <v>115</v>
      </c>
      <c r="S139" s="207">
        <f t="shared" si="161"/>
        <v>443</v>
      </c>
      <c r="T139" s="207">
        <f t="shared" si="162"/>
        <v>558</v>
      </c>
      <c r="U139" s="206">
        <v>20302</v>
      </c>
      <c r="V139" s="207">
        <f t="shared" si="163"/>
        <v>1240</v>
      </c>
      <c r="W139" s="207">
        <f t="shared" si="164"/>
        <v>250</v>
      </c>
      <c r="X139" s="207">
        <f t="shared" si="165"/>
        <v>554</v>
      </c>
      <c r="Y139" s="207">
        <f t="shared" si="166"/>
        <v>465</v>
      </c>
      <c r="Z139" s="206">
        <v>20302</v>
      </c>
      <c r="AA139" s="207">
        <f t="shared" si="167"/>
        <v>1517</v>
      </c>
      <c r="AB139" s="207">
        <f t="shared" si="168"/>
        <v>416</v>
      </c>
      <c r="AC139" s="207">
        <f t="shared" si="169"/>
        <v>443</v>
      </c>
      <c r="AD139" s="207">
        <f t="shared" si="170"/>
        <v>651</v>
      </c>
      <c r="AE139" s="206">
        <v>20302</v>
      </c>
      <c r="AF139" s="207">
        <f t="shared" si="171"/>
        <v>1338</v>
      </c>
      <c r="AG139" s="207">
        <f t="shared" si="172"/>
        <v>138</v>
      </c>
      <c r="AH139" s="207">
        <f t="shared" si="173"/>
        <v>509</v>
      </c>
      <c r="AI139" s="207">
        <f t="shared" si="174"/>
        <v>558</v>
      </c>
    </row>
    <row r="140" spans="1:35" x14ac:dyDescent="0.15">
      <c r="A140" s="206">
        <v>20303</v>
      </c>
      <c r="B140" s="207">
        <f t="shared" si="175"/>
        <v>1312</v>
      </c>
      <c r="C140" s="207">
        <f t="shared" si="149"/>
        <v>131</v>
      </c>
      <c r="D140" s="207">
        <f t="shared" si="149"/>
        <v>492</v>
      </c>
      <c r="E140" s="207">
        <f t="shared" si="150"/>
        <v>492</v>
      </c>
      <c r="F140" s="206">
        <v>20303</v>
      </c>
      <c r="G140" s="207">
        <f t="shared" si="151"/>
        <v>1312</v>
      </c>
      <c r="H140" s="207">
        <f t="shared" si="152"/>
        <v>70</v>
      </c>
      <c r="I140" s="207">
        <f t="shared" si="153"/>
        <v>539</v>
      </c>
      <c r="J140" s="207">
        <f t="shared" si="154"/>
        <v>492</v>
      </c>
      <c r="K140" s="206">
        <v>20303</v>
      </c>
      <c r="L140" s="207">
        <f t="shared" si="155"/>
        <v>1312</v>
      </c>
      <c r="M140" s="207">
        <f t="shared" si="156"/>
        <v>131</v>
      </c>
      <c r="N140" s="207">
        <f t="shared" si="157"/>
        <v>492</v>
      </c>
      <c r="O140" s="207">
        <f t="shared" si="158"/>
        <v>492</v>
      </c>
      <c r="P140" s="206">
        <v>20303</v>
      </c>
      <c r="Q140" s="207">
        <f t="shared" si="159"/>
        <v>1416</v>
      </c>
      <c r="R140" s="207">
        <f t="shared" si="160"/>
        <v>122</v>
      </c>
      <c r="S140" s="207">
        <f t="shared" si="161"/>
        <v>469</v>
      </c>
      <c r="T140" s="207">
        <f t="shared" si="162"/>
        <v>590</v>
      </c>
      <c r="U140" s="206">
        <v>20303</v>
      </c>
      <c r="V140" s="207">
        <f t="shared" si="163"/>
        <v>1312</v>
      </c>
      <c r="W140" s="207">
        <f t="shared" si="164"/>
        <v>264</v>
      </c>
      <c r="X140" s="207">
        <f t="shared" si="165"/>
        <v>586</v>
      </c>
      <c r="Y140" s="207">
        <f t="shared" si="166"/>
        <v>492</v>
      </c>
      <c r="Z140" s="206">
        <v>20303</v>
      </c>
      <c r="AA140" s="207">
        <f t="shared" si="167"/>
        <v>1605</v>
      </c>
      <c r="AB140" s="207">
        <f t="shared" si="168"/>
        <v>440</v>
      </c>
      <c r="AC140" s="207">
        <f t="shared" si="169"/>
        <v>469</v>
      </c>
      <c r="AD140" s="207">
        <f t="shared" si="170"/>
        <v>689</v>
      </c>
      <c r="AE140" s="206">
        <v>20303</v>
      </c>
      <c r="AF140" s="207">
        <f t="shared" si="171"/>
        <v>1416</v>
      </c>
      <c r="AG140" s="207">
        <f t="shared" si="172"/>
        <v>146</v>
      </c>
      <c r="AH140" s="207">
        <f t="shared" si="173"/>
        <v>539</v>
      </c>
      <c r="AI140" s="207">
        <f t="shared" si="174"/>
        <v>590</v>
      </c>
    </row>
    <row r="141" spans="1:35" x14ac:dyDescent="0.15">
      <c r="A141" s="206">
        <v>20304</v>
      </c>
      <c r="B141" s="207">
        <f t="shared" si="175"/>
        <v>1384</v>
      </c>
      <c r="C141" s="207">
        <f t="shared" si="149"/>
        <v>138</v>
      </c>
      <c r="D141" s="207">
        <f t="shared" si="149"/>
        <v>519</v>
      </c>
      <c r="E141" s="207">
        <f t="shared" si="150"/>
        <v>519</v>
      </c>
      <c r="F141" s="206">
        <v>20304</v>
      </c>
      <c r="G141" s="207">
        <f t="shared" si="151"/>
        <v>1384</v>
      </c>
      <c r="H141" s="207">
        <f t="shared" si="152"/>
        <v>73</v>
      </c>
      <c r="I141" s="207">
        <f t="shared" si="153"/>
        <v>568</v>
      </c>
      <c r="J141" s="207">
        <f t="shared" si="154"/>
        <v>519</v>
      </c>
      <c r="K141" s="206">
        <v>20304</v>
      </c>
      <c r="L141" s="207">
        <f t="shared" si="155"/>
        <v>1384</v>
      </c>
      <c r="M141" s="207">
        <f t="shared" si="156"/>
        <v>138</v>
      </c>
      <c r="N141" s="207">
        <f t="shared" si="157"/>
        <v>519</v>
      </c>
      <c r="O141" s="207">
        <f t="shared" si="158"/>
        <v>519</v>
      </c>
      <c r="P141" s="206">
        <v>20304</v>
      </c>
      <c r="Q141" s="207">
        <f t="shared" si="159"/>
        <v>1494</v>
      </c>
      <c r="R141" s="207">
        <f t="shared" si="160"/>
        <v>128</v>
      </c>
      <c r="S141" s="207">
        <f t="shared" si="161"/>
        <v>494</v>
      </c>
      <c r="T141" s="207">
        <f t="shared" si="162"/>
        <v>623</v>
      </c>
      <c r="U141" s="206">
        <v>20304</v>
      </c>
      <c r="V141" s="207">
        <f t="shared" si="163"/>
        <v>1384</v>
      </c>
      <c r="W141" s="207">
        <f t="shared" si="164"/>
        <v>279</v>
      </c>
      <c r="X141" s="207">
        <f t="shared" si="165"/>
        <v>618</v>
      </c>
      <c r="Y141" s="207">
        <f t="shared" si="166"/>
        <v>519</v>
      </c>
      <c r="Z141" s="206">
        <v>20304</v>
      </c>
      <c r="AA141" s="207">
        <f t="shared" si="167"/>
        <v>1693</v>
      </c>
      <c r="AB141" s="207">
        <f t="shared" si="168"/>
        <v>464</v>
      </c>
      <c r="AC141" s="207">
        <f t="shared" si="169"/>
        <v>494</v>
      </c>
      <c r="AD141" s="207">
        <f t="shared" si="170"/>
        <v>727</v>
      </c>
      <c r="AE141" s="206">
        <v>20304</v>
      </c>
      <c r="AF141" s="207">
        <f t="shared" si="171"/>
        <v>1494</v>
      </c>
      <c r="AG141" s="207">
        <f t="shared" si="172"/>
        <v>154</v>
      </c>
      <c r="AH141" s="207">
        <f t="shared" si="173"/>
        <v>568</v>
      </c>
      <c r="AI141" s="207">
        <f t="shared" si="174"/>
        <v>623</v>
      </c>
    </row>
    <row r="142" spans="1:35" x14ac:dyDescent="0.15">
      <c r="A142" s="206">
        <v>20305</v>
      </c>
      <c r="B142" s="207">
        <f t="shared" si="175"/>
        <v>1456</v>
      </c>
      <c r="C142" s="207">
        <f t="shared" ref="C142:C191" si="176">L25</f>
        <v>145</v>
      </c>
      <c r="D142" s="207">
        <f t="shared" ref="D142:D191" si="177">M25</f>
        <v>546</v>
      </c>
      <c r="E142" s="207">
        <f t="shared" ref="E142:E191" si="178">P25</f>
        <v>546</v>
      </c>
      <c r="F142" s="206">
        <v>20305</v>
      </c>
      <c r="G142" s="207">
        <f t="shared" si="151"/>
        <v>1456</v>
      </c>
      <c r="H142" s="207">
        <f t="shared" si="152"/>
        <v>77</v>
      </c>
      <c r="I142" s="207">
        <f t="shared" si="153"/>
        <v>598</v>
      </c>
      <c r="J142" s="207">
        <f t="shared" si="154"/>
        <v>546</v>
      </c>
      <c r="K142" s="206">
        <v>20305</v>
      </c>
      <c r="L142" s="207">
        <f t="shared" si="155"/>
        <v>1456</v>
      </c>
      <c r="M142" s="207">
        <f t="shared" si="156"/>
        <v>145</v>
      </c>
      <c r="N142" s="207">
        <f t="shared" si="157"/>
        <v>546</v>
      </c>
      <c r="O142" s="207">
        <f t="shared" si="158"/>
        <v>546</v>
      </c>
      <c r="P142" s="206">
        <v>20305</v>
      </c>
      <c r="Q142" s="207">
        <f t="shared" si="159"/>
        <v>1572</v>
      </c>
      <c r="R142" s="207">
        <f t="shared" si="160"/>
        <v>135</v>
      </c>
      <c r="S142" s="207">
        <f t="shared" si="161"/>
        <v>520</v>
      </c>
      <c r="T142" s="207">
        <f t="shared" si="162"/>
        <v>655</v>
      </c>
      <c r="U142" s="206">
        <v>20305</v>
      </c>
      <c r="V142" s="207">
        <f t="shared" si="163"/>
        <v>1456</v>
      </c>
      <c r="W142" s="207">
        <f t="shared" si="164"/>
        <v>293</v>
      </c>
      <c r="X142" s="207">
        <f t="shared" si="165"/>
        <v>650</v>
      </c>
      <c r="Y142" s="207">
        <f t="shared" si="166"/>
        <v>546</v>
      </c>
      <c r="Z142" s="206">
        <v>20305</v>
      </c>
      <c r="AA142" s="207">
        <f t="shared" si="167"/>
        <v>1781</v>
      </c>
      <c r="AB142" s="207">
        <f t="shared" si="168"/>
        <v>488</v>
      </c>
      <c r="AC142" s="207">
        <f t="shared" si="169"/>
        <v>520</v>
      </c>
      <c r="AD142" s="207">
        <f t="shared" si="170"/>
        <v>764</v>
      </c>
      <c r="AE142" s="206">
        <v>20305</v>
      </c>
      <c r="AF142" s="207">
        <f t="shared" si="171"/>
        <v>1572</v>
      </c>
      <c r="AG142" s="207">
        <f t="shared" si="172"/>
        <v>162</v>
      </c>
      <c r="AH142" s="207">
        <f t="shared" si="173"/>
        <v>598</v>
      </c>
      <c r="AI142" s="207">
        <f t="shared" si="174"/>
        <v>655</v>
      </c>
    </row>
    <row r="143" spans="1:35" x14ac:dyDescent="0.15">
      <c r="A143" s="206">
        <v>20306</v>
      </c>
      <c r="B143" s="207">
        <f t="shared" si="175"/>
        <v>1528</v>
      </c>
      <c r="C143" s="207">
        <f t="shared" si="176"/>
        <v>152</v>
      </c>
      <c r="D143" s="207">
        <f t="shared" si="177"/>
        <v>573</v>
      </c>
      <c r="E143" s="207">
        <f t="shared" si="178"/>
        <v>573</v>
      </c>
      <c r="F143" s="206">
        <v>20306</v>
      </c>
      <c r="G143" s="207">
        <f t="shared" si="151"/>
        <v>1528</v>
      </c>
      <c r="H143" s="207">
        <f t="shared" si="152"/>
        <v>81</v>
      </c>
      <c r="I143" s="207">
        <f t="shared" si="153"/>
        <v>628</v>
      </c>
      <c r="J143" s="207">
        <f t="shared" si="154"/>
        <v>573</v>
      </c>
      <c r="K143" s="206">
        <v>20306</v>
      </c>
      <c r="L143" s="207">
        <f t="shared" si="155"/>
        <v>1528</v>
      </c>
      <c r="M143" s="207">
        <f t="shared" si="156"/>
        <v>152</v>
      </c>
      <c r="N143" s="207">
        <f t="shared" si="157"/>
        <v>573</v>
      </c>
      <c r="O143" s="207">
        <f t="shared" si="158"/>
        <v>573</v>
      </c>
      <c r="P143" s="206">
        <v>20306</v>
      </c>
      <c r="Q143" s="207">
        <f t="shared" si="159"/>
        <v>1649</v>
      </c>
      <c r="R143" s="207">
        <f t="shared" si="160"/>
        <v>142</v>
      </c>
      <c r="S143" s="207">
        <f t="shared" si="161"/>
        <v>546</v>
      </c>
      <c r="T143" s="207">
        <f t="shared" si="162"/>
        <v>688</v>
      </c>
      <c r="U143" s="206">
        <v>20306</v>
      </c>
      <c r="V143" s="207">
        <f t="shared" si="163"/>
        <v>1528</v>
      </c>
      <c r="W143" s="207">
        <f t="shared" si="164"/>
        <v>308</v>
      </c>
      <c r="X143" s="207">
        <f t="shared" si="165"/>
        <v>682</v>
      </c>
      <c r="Y143" s="207">
        <f t="shared" si="166"/>
        <v>573</v>
      </c>
      <c r="Z143" s="206">
        <v>20306</v>
      </c>
      <c r="AA143" s="207">
        <f t="shared" si="167"/>
        <v>1869</v>
      </c>
      <c r="AB143" s="207">
        <f t="shared" si="168"/>
        <v>512</v>
      </c>
      <c r="AC143" s="207">
        <f t="shared" si="169"/>
        <v>546</v>
      </c>
      <c r="AD143" s="207">
        <f t="shared" si="170"/>
        <v>802</v>
      </c>
      <c r="AE143" s="206">
        <v>20306</v>
      </c>
      <c r="AF143" s="207">
        <f t="shared" si="171"/>
        <v>1649</v>
      </c>
      <c r="AG143" s="207">
        <f t="shared" si="172"/>
        <v>170</v>
      </c>
      <c r="AH143" s="207">
        <f t="shared" si="173"/>
        <v>628</v>
      </c>
      <c r="AI143" s="207">
        <f t="shared" si="174"/>
        <v>688</v>
      </c>
    </row>
    <row r="144" spans="1:35" x14ac:dyDescent="0.15">
      <c r="A144" s="206">
        <v>20307</v>
      </c>
      <c r="B144" s="207">
        <f t="shared" si="175"/>
        <v>1600</v>
      </c>
      <c r="C144" s="207">
        <f t="shared" si="176"/>
        <v>159</v>
      </c>
      <c r="D144" s="207">
        <f t="shared" si="177"/>
        <v>600</v>
      </c>
      <c r="E144" s="207">
        <f t="shared" si="178"/>
        <v>600</v>
      </c>
      <c r="F144" s="206">
        <v>20307</v>
      </c>
      <c r="G144" s="207">
        <f t="shared" si="151"/>
        <v>1600</v>
      </c>
      <c r="H144" s="207">
        <f t="shared" si="152"/>
        <v>85</v>
      </c>
      <c r="I144" s="207">
        <f t="shared" si="153"/>
        <v>657</v>
      </c>
      <c r="J144" s="207">
        <f t="shared" si="154"/>
        <v>600</v>
      </c>
      <c r="K144" s="206">
        <v>20307</v>
      </c>
      <c r="L144" s="207">
        <f t="shared" si="155"/>
        <v>1600</v>
      </c>
      <c r="M144" s="207">
        <f t="shared" si="156"/>
        <v>159</v>
      </c>
      <c r="N144" s="207">
        <f t="shared" si="157"/>
        <v>600</v>
      </c>
      <c r="O144" s="207">
        <f t="shared" si="158"/>
        <v>600</v>
      </c>
      <c r="P144" s="206">
        <v>20307</v>
      </c>
      <c r="Q144" s="207">
        <f t="shared" si="159"/>
        <v>1727</v>
      </c>
      <c r="R144" s="207">
        <f t="shared" si="160"/>
        <v>148</v>
      </c>
      <c r="S144" s="207">
        <f t="shared" si="161"/>
        <v>571</v>
      </c>
      <c r="T144" s="207">
        <f t="shared" si="162"/>
        <v>720</v>
      </c>
      <c r="U144" s="206">
        <v>20307</v>
      </c>
      <c r="V144" s="207">
        <f t="shared" si="163"/>
        <v>1600</v>
      </c>
      <c r="W144" s="207">
        <f t="shared" si="164"/>
        <v>322</v>
      </c>
      <c r="X144" s="207">
        <f t="shared" si="165"/>
        <v>714</v>
      </c>
      <c r="Y144" s="207">
        <f t="shared" si="166"/>
        <v>600</v>
      </c>
      <c r="Z144" s="206">
        <v>20307</v>
      </c>
      <c r="AA144" s="207">
        <f t="shared" si="167"/>
        <v>1957</v>
      </c>
      <c r="AB144" s="207">
        <f t="shared" si="168"/>
        <v>536</v>
      </c>
      <c r="AC144" s="207">
        <f t="shared" si="169"/>
        <v>571</v>
      </c>
      <c r="AD144" s="207">
        <f t="shared" si="170"/>
        <v>840</v>
      </c>
      <c r="AE144" s="206">
        <v>20307</v>
      </c>
      <c r="AF144" s="207">
        <f t="shared" si="171"/>
        <v>1727</v>
      </c>
      <c r="AG144" s="207">
        <f t="shared" si="172"/>
        <v>178</v>
      </c>
      <c r="AH144" s="207">
        <f t="shared" si="173"/>
        <v>657</v>
      </c>
      <c r="AI144" s="207">
        <f t="shared" si="174"/>
        <v>720</v>
      </c>
    </row>
    <row r="145" spans="1:35" x14ac:dyDescent="0.15">
      <c r="A145" s="206">
        <v>20308</v>
      </c>
      <c r="B145" s="207">
        <f t="shared" si="175"/>
        <v>1672</v>
      </c>
      <c r="C145" s="207">
        <f t="shared" si="176"/>
        <v>167</v>
      </c>
      <c r="D145" s="207">
        <f t="shared" si="177"/>
        <v>627</v>
      </c>
      <c r="E145" s="207">
        <f t="shared" si="178"/>
        <v>627</v>
      </c>
      <c r="F145" s="206">
        <v>20308</v>
      </c>
      <c r="G145" s="207">
        <f t="shared" si="151"/>
        <v>1672</v>
      </c>
      <c r="H145" s="207">
        <f t="shared" si="152"/>
        <v>89</v>
      </c>
      <c r="I145" s="207">
        <f t="shared" si="153"/>
        <v>687</v>
      </c>
      <c r="J145" s="207">
        <f t="shared" si="154"/>
        <v>627</v>
      </c>
      <c r="K145" s="206">
        <v>20308</v>
      </c>
      <c r="L145" s="207">
        <f t="shared" si="155"/>
        <v>1672</v>
      </c>
      <c r="M145" s="207">
        <f t="shared" si="156"/>
        <v>167</v>
      </c>
      <c r="N145" s="207">
        <f t="shared" si="157"/>
        <v>627</v>
      </c>
      <c r="O145" s="207">
        <f t="shared" si="158"/>
        <v>627</v>
      </c>
      <c r="P145" s="206">
        <v>20308</v>
      </c>
      <c r="Q145" s="207">
        <f t="shared" si="159"/>
        <v>1805</v>
      </c>
      <c r="R145" s="207">
        <f t="shared" si="160"/>
        <v>155</v>
      </c>
      <c r="S145" s="207">
        <f t="shared" si="161"/>
        <v>597</v>
      </c>
      <c r="T145" s="207">
        <f t="shared" si="162"/>
        <v>752</v>
      </c>
      <c r="U145" s="206">
        <v>20308</v>
      </c>
      <c r="V145" s="207">
        <f t="shared" si="163"/>
        <v>1672</v>
      </c>
      <c r="W145" s="207">
        <f t="shared" si="164"/>
        <v>337</v>
      </c>
      <c r="X145" s="207">
        <f t="shared" si="165"/>
        <v>746</v>
      </c>
      <c r="Y145" s="207">
        <f t="shared" si="166"/>
        <v>627</v>
      </c>
      <c r="Z145" s="206">
        <v>20308</v>
      </c>
      <c r="AA145" s="207">
        <f t="shared" si="167"/>
        <v>2045</v>
      </c>
      <c r="AB145" s="207">
        <f t="shared" si="168"/>
        <v>560</v>
      </c>
      <c r="AC145" s="207">
        <f t="shared" si="169"/>
        <v>597</v>
      </c>
      <c r="AD145" s="207">
        <f t="shared" si="170"/>
        <v>878</v>
      </c>
      <c r="AE145" s="206">
        <v>20308</v>
      </c>
      <c r="AF145" s="207">
        <f t="shared" si="171"/>
        <v>1805</v>
      </c>
      <c r="AG145" s="207">
        <f t="shared" si="172"/>
        <v>186</v>
      </c>
      <c r="AH145" s="207">
        <f t="shared" si="173"/>
        <v>687</v>
      </c>
      <c r="AI145" s="207">
        <f t="shared" si="174"/>
        <v>752</v>
      </c>
    </row>
    <row r="146" spans="1:35" x14ac:dyDescent="0.15">
      <c r="A146" s="206">
        <v>20309</v>
      </c>
      <c r="B146" s="207">
        <f t="shared" si="175"/>
        <v>1744</v>
      </c>
      <c r="C146" s="207">
        <f t="shared" si="176"/>
        <v>174</v>
      </c>
      <c r="D146" s="207">
        <f t="shared" si="177"/>
        <v>654</v>
      </c>
      <c r="E146" s="207">
        <f t="shared" si="178"/>
        <v>654</v>
      </c>
      <c r="F146" s="206">
        <v>20309</v>
      </c>
      <c r="G146" s="207">
        <f t="shared" si="151"/>
        <v>1744</v>
      </c>
      <c r="H146" s="207">
        <f t="shared" si="152"/>
        <v>93</v>
      </c>
      <c r="I146" s="207">
        <f t="shared" si="153"/>
        <v>716</v>
      </c>
      <c r="J146" s="207">
        <f t="shared" si="154"/>
        <v>654</v>
      </c>
      <c r="K146" s="206">
        <v>20309</v>
      </c>
      <c r="L146" s="207">
        <f t="shared" si="155"/>
        <v>1744</v>
      </c>
      <c r="M146" s="207">
        <f t="shared" si="156"/>
        <v>174</v>
      </c>
      <c r="N146" s="207">
        <f t="shared" si="157"/>
        <v>654</v>
      </c>
      <c r="O146" s="207">
        <f t="shared" si="158"/>
        <v>654</v>
      </c>
      <c r="P146" s="206">
        <v>20309</v>
      </c>
      <c r="Q146" s="207">
        <f t="shared" si="159"/>
        <v>1882</v>
      </c>
      <c r="R146" s="207">
        <f t="shared" si="160"/>
        <v>162</v>
      </c>
      <c r="S146" s="207">
        <f t="shared" si="161"/>
        <v>623</v>
      </c>
      <c r="T146" s="207">
        <f t="shared" si="162"/>
        <v>785</v>
      </c>
      <c r="U146" s="206">
        <v>20309</v>
      </c>
      <c r="V146" s="207">
        <f t="shared" si="163"/>
        <v>1744</v>
      </c>
      <c r="W146" s="207">
        <f t="shared" si="164"/>
        <v>351</v>
      </c>
      <c r="X146" s="207">
        <f t="shared" si="165"/>
        <v>779</v>
      </c>
      <c r="Y146" s="207">
        <f t="shared" si="166"/>
        <v>654</v>
      </c>
      <c r="Z146" s="206">
        <v>20309</v>
      </c>
      <c r="AA146" s="207">
        <f t="shared" si="167"/>
        <v>2133</v>
      </c>
      <c r="AB146" s="207">
        <f t="shared" si="168"/>
        <v>584</v>
      </c>
      <c r="AC146" s="207">
        <f t="shared" si="169"/>
        <v>623</v>
      </c>
      <c r="AD146" s="207">
        <f t="shared" si="170"/>
        <v>916</v>
      </c>
      <c r="AE146" s="206">
        <v>20309</v>
      </c>
      <c r="AF146" s="207">
        <f t="shared" si="171"/>
        <v>1882</v>
      </c>
      <c r="AG146" s="207">
        <f t="shared" si="172"/>
        <v>194</v>
      </c>
      <c r="AH146" s="207">
        <f t="shared" si="173"/>
        <v>716</v>
      </c>
      <c r="AI146" s="207">
        <f t="shared" si="174"/>
        <v>785</v>
      </c>
    </row>
    <row r="147" spans="1:35" x14ac:dyDescent="0.15">
      <c r="A147" s="206">
        <v>20310</v>
      </c>
      <c r="B147" s="207">
        <f t="shared" si="175"/>
        <v>1816</v>
      </c>
      <c r="C147" s="207">
        <f t="shared" si="176"/>
        <v>181</v>
      </c>
      <c r="D147" s="207">
        <f t="shared" si="177"/>
        <v>681</v>
      </c>
      <c r="E147" s="207">
        <f t="shared" si="178"/>
        <v>681</v>
      </c>
      <c r="F147" s="206">
        <v>20310</v>
      </c>
      <c r="G147" s="207">
        <f t="shared" si="151"/>
        <v>1816</v>
      </c>
      <c r="H147" s="207">
        <f t="shared" si="152"/>
        <v>96</v>
      </c>
      <c r="I147" s="207">
        <f t="shared" si="153"/>
        <v>746</v>
      </c>
      <c r="J147" s="207">
        <f t="shared" si="154"/>
        <v>681</v>
      </c>
      <c r="K147" s="206">
        <v>20310</v>
      </c>
      <c r="L147" s="207">
        <f t="shared" si="155"/>
        <v>1816</v>
      </c>
      <c r="M147" s="207">
        <f t="shared" si="156"/>
        <v>181</v>
      </c>
      <c r="N147" s="207">
        <f t="shared" si="157"/>
        <v>681</v>
      </c>
      <c r="O147" s="207">
        <f t="shared" si="158"/>
        <v>681</v>
      </c>
      <c r="P147" s="206">
        <v>20310</v>
      </c>
      <c r="Q147" s="207">
        <f t="shared" si="159"/>
        <v>1960</v>
      </c>
      <c r="R147" s="207">
        <f t="shared" si="160"/>
        <v>169</v>
      </c>
      <c r="S147" s="207">
        <f t="shared" si="161"/>
        <v>649</v>
      </c>
      <c r="T147" s="207">
        <f t="shared" si="162"/>
        <v>817</v>
      </c>
      <c r="U147" s="206">
        <v>20310</v>
      </c>
      <c r="V147" s="207">
        <f t="shared" si="163"/>
        <v>1816</v>
      </c>
      <c r="W147" s="207">
        <f t="shared" si="164"/>
        <v>366</v>
      </c>
      <c r="X147" s="207">
        <f t="shared" si="165"/>
        <v>811</v>
      </c>
      <c r="Y147" s="207">
        <f t="shared" si="166"/>
        <v>681</v>
      </c>
      <c r="Z147" s="206">
        <v>20310</v>
      </c>
      <c r="AA147" s="207">
        <f t="shared" si="167"/>
        <v>2222</v>
      </c>
      <c r="AB147" s="207">
        <f t="shared" si="168"/>
        <v>609</v>
      </c>
      <c r="AC147" s="207">
        <f t="shared" si="169"/>
        <v>649</v>
      </c>
      <c r="AD147" s="207">
        <f t="shared" si="170"/>
        <v>953</v>
      </c>
      <c r="AE147" s="206">
        <v>20310</v>
      </c>
      <c r="AF147" s="207">
        <f t="shared" si="171"/>
        <v>1960</v>
      </c>
      <c r="AG147" s="207">
        <f t="shared" si="172"/>
        <v>202</v>
      </c>
      <c r="AH147" s="207">
        <f t="shared" si="173"/>
        <v>746</v>
      </c>
      <c r="AI147" s="207">
        <f t="shared" si="174"/>
        <v>817</v>
      </c>
    </row>
    <row r="148" spans="1:35" x14ac:dyDescent="0.15">
      <c r="A148" s="206">
        <v>20311</v>
      </c>
      <c r="B148" s="207">
        <f t="shared" si="175"/>
        <v>1896</v>
      </c>
      <c r="C148" s="207">
        <f t="shared" si="176"/>
        <v>189</v>
      </c>
      <c r="D148" s="207">
        <f t="shared" si="177"/>
        <v>711</v>
      </c>
      <c r="E148" s="207">
        <f t="shared" si="178"/>
        <v>711</v>
      </c>
      <c r="F148" s="206">
        <v>20311</v>
      </c>
      <c r="G148" s="207">
        <f t="shared" si="151"/>
        <v>1896</v>
      </c>
      <c r="H148" s="207">
        <f t="shared" si="152"/>
        <v>101</v>
      </c>
      <c r="I148" s="207">
        <f t="shared" si="153"/>
        <v>779</v>
      </c>
      <c r="J148" s="207">
        <f t="shared" si="154"/>
        <v>711</v>
      </c>
      <c r="K148" s="206">
        <v>20311</v>
      </c>
      <c r="L148" s="207">
        <f t="shared" si="155"/>
        <v>1896</v>
      </c>
      <c r="M148" s="207">
        <f t="shared" si="156"/>
        <v>189</v>
      </c>
      <c r="N148" s="207">
        <f t="shared" si="157"/>
        <v>711</v>
      </c>
      <c r="O148" s="207">
        <f t="shared" si="158"/>
        <v>711</v>
      </c>
      <c r="P148" s="206">
        <v>20311</v>
      </c>
      <c r="Q148" s="207">
        <f t="shared" si="159"/>
        <v>2046</v>
      </c>
      <c r="R148" s="207">
        <f t="shared" si="160"/>
        <v>176</v>
      </c>
      <c r="S148" s="207">
        <f t="shared" si="161"/>
        <v>677</v>
      </c>
      <c r="T148" s="207">
        <f t="shared" si="162"/>
        <v>853</v>
      </c>
      <c r="U148" s="206">
        <v>20311</v>
      </c>
      <c r="V148" s="207">
        <f t="shared" si="163"/>
        <v>1896</v>
      </c>
      <c r="W148" s="207">
        <f t="shared" si="164"/>
        <v>382</v>
      </c>
      <c r="X148" s="207">
        <f t="shared" si="165"/>
        <v>846</v>
      </c>
      <c r="Y148" s="207">
        <f t="shared" si="166"/>
        <v>711</v>
      </c>
      <c r="Z148" s="206">
        <v>20311</v>
      </c>
      <c r="AA148" s="207">
        <f t="shared" si="167"/>
        <v>2319</v>
      </c>
      <c r="AB148" s="207">
        <f t="shared" si="168"/>
        <v>635</v>
      </c>
      <c r="AC148" s="207">
        <f t="shared" si="169"/>
        <v>677</v>
      </c>
      <c r="AD148" s="207">
        <f t="shared" si="170"/>
        <v>995</v>
      </c>
      <c r="AE148" s="206">
        <v>20311</v>
      </c>
      <c r="AF148" s="207">
        <f t="shared" si="171"/>
        <v>2046</v>
      </c>
      <c r="AG148" s="207">
        <f t="shared" si="172"/>
        <v>211</v>
      </c>
      <c r="AH148" s="207">
        <f t="shared" si="173"/>
        <v>779</v>
      </c>
      <c r="AI148" s="207">
        <f t="shared" si="174"/>
        <v>853</v>
      </c>
    </row>
    <row r="149" spans="1:35" x14ac:dyDescent="0.15">
      <c r="A149" s="206">
        <v>20312</v>
      </c>
      <c r="B149" s="207">
        <f t="shared" si="175"/>
        <v>1976</v>
      </c>
      <c r="C149" s="207">
        <f t="shared" si="176"/>
        <v>197</v>
      </c>
      <c r="D149" s="207">
        <f t="shared" si="177"/>
        <v>741</v>
      </c>
      <c r="E149" s="207">
        <f t="shared" si="178"/>
        <v>741</v>
      </c>
      <c r="F149" s="206">
        <v>20312</v>
      </c>
      <c r="G149" s="207">
        <f t="shared" si="151"/>
        <v>1976</v>
      </c>
      <c r="H149" s="207">
        <f t="shared" si="152"/>
        <v>105</v>
      </c>
      <c r="I149" s="207">
        <f t="shared" si="153"/>
        <v>812</v>
      </c>
      <c r="J149" s="207">
        <f t="shared" si="154"/>
        <v>741</v>
      </c>
      <c r="K149" s="206">
        <v>20312</v>
      </c>
      <c r="L149" s="207">
        <f t="shared" si="155"/>
        <v>1976</v>
      </c>
      <c r="M149" s="207">
        <f t="shared" si="156"/>
        <v>197</v>
      </c>
      <c r="N149" s="207">
        <f t="shared" si="157"/>
        <v>741</v>
      </c>
      <c r="O149" s="207">
        <f t="shared" si="158"/>
        <v>741</v>
      </c>
      <c r="P149" s="206">
        <v>20312</v>
      </c>
      <c r="Q149" s="207">
        <f t="shared" si="159"/>
        <v>2133</v>
      </c>
      <c r="R149" s="207">
        <f t="shared" si="160"/>
        <v>183</v>
      </c>
      <c r="S149" s="207">
        <f t="shared" si="161"/>
        <v>706</v>
      </c>
      <c r="T149" s="207">
        <f t="shared" si="162"/>
        <v>889</v>
      </c>
      <c r="U149" s="206">
        <v>20312</v>
      </c>
      <c r="V149" s="207">
        <f t="shared" si="163"/>
        <v>1976</v>
      </c>
      <c r="W149" s="207">
        <f t="shared" si="164"/>
        <v>398</v>
      </c>
      <c r="X149" s="207">
        <f t="shared" si="165"/>
        <v>882</v>
      </c>
      <c r="Y149" s="207">
        <f t="shared" si="166"/>
        <v>741</v>
      </c>
      <c r="Z149" s="206">
        <v>20312</v>
      </c>
      <c r="AA149" s="207">
        <f t="shared" si="167"/>
        <v>2417</v>
      </c>
      <c r="AB149" s="207">
        <f t="shared" si="168"/>
        <v>662</v>
      </c>
      <c r="AC149" s="207">
        <f t="shared" si="169"/>
        <v>706</v>
      </c>
      <c r="AD149" s="207">
        <f t="shared" si="170"/>
        <v>1037</v>
      </c>
      <c r="AE149" s="206">
        <v>20312</v>
      </c>
      <c r="AF149" s="207">
        <f t="shared" si="171"/>
        <v>2133</v>
      </c>
      <c r="AG149" s="207">
        <f t="shared" si="172"/>
        <v>220</v>
      </c>
      <c r="AH149" s="207">
        <f t="shared" si="173"/>
        <v>812</v>
      </c>
      <c r="AI149" s="207">
        <f t="shared" si="174"/>
        <v>889</v>
      </c>
    </row>
    <row r="150" spans="1:35" x14ac:dyDescent="0.15">
      <c r="A150" s="206">
        <v>20313</v>
      </c>
      <c r="B150" s="207">
        <f t="shared" si="175"/>
        <v>2056</v>
      </c>
      <c r="C150" s="207">
        <f t="shared" si="176"/>
        <v>205</v>
      </c>
      <c r="D150" s="207">
        <f t="shared" si="177"/>
        <v>771</v>
      </c>
      <c r="E150" s="207">
        <f t="shared" si="178"/>
        <v>771</v>
      </c>
      <c r="F150" s="206">
        <v>20313</v>
      </c>
      <c r="G150" s="207">
        <f t="shared" si="151"/>
        <v>2056</v>
      </c>
      <c r="H150" s="207">
        <f t="shared" si="152"/>
        <v>109</v>
      </c>
      <c r="I150" s="207">
        <f t="shared" si="153"/>
        <v>844</v>
      </c>
      <c r="J150" s="207">
        <f t="shared" si="154"/>
        <v>771</v>
      </c>
      <c r="K150" s="206">
        <v>20313</v>
      </c>
      <c r="L150" s="207">
        <f t="shared" si="155"/>
        <v>2056</v>
      </c>
      <c r="M150" s="207">
        <f t="shared" si="156"/>
        <v>205</v>
      </c>
      <c r="N150" s="207">
        <f t="shared" si="157"/>
        <v>771</v>
      </c>
      <c r="O150" s="207">
        <f t="shared" si="158"/>
        <v>771</v>
      </c>
      <c r="P150" s="206">
        <v>20313</v>
      </c>
      <c r="Q150" s="207">
        <f t="shared" si="159"/>
        <v>2219</v>
      </c>
      <c r="R150" s="207">
        <f t="shared" si="160"/>
        <v>191</v>
      </c>
      <c r="S150" s="207">
        <f t="shared" si="161"/>
        <v>734</v>
      </c>
      <c r="T150" s="207">
        <f t="shared" si="162"/>
        <v>925</v>
      </c>
      <c r="U150" s="206">
        <v>20313</v>
      </c>
      <c r="V150" s="207">
        <f t="shared" si="163"/>
        <v>2056</v>
      </c>
      <c r="W150" s="207">
        <f t="shared" si="164"/>
        <v>414</v>
      </c>
      <c r="X150" s="207">
        <f t="shared" si="165"/>
        <v>918</v>
      </c>
      <c r="Y150" s="207">
        <f t="shared" si="166"/>
        <v>771</v>
      </c>
      <c r="Z150" s="206">
        <v>20313</v>
      </c>
      <c r="AA150" s="207">
        <f t="shared" si="167"/>
        <v>2515</v>
      </c>
      <c r="AB150" s="207">
        <f t="shared" si="168"/>
        <v>689</v>
      </c>
      <c r="AC150" s="207">
        <f t="shared" si="169"/>
        <v>734</v>
      </c>
      <c r="AD150" s="207">
        <f t="shared" si="170"/>
        <v>1079</v>
      </c>
      <c r="AE150" s="206">
        <v>20313</v>
      </c>
      <c r="AF150" s="207">
        <f t="shared" si="171"/>
        <v>2219</v>
      </c>
      <c r="AG150" s="207">
        <f t="shared" si="172"/>
        <v>229</v>
      </c>
      <c r="AH150" s="207">
        <f t="shared" si="173"/>
        <v>844</v>
      </c>
      <c r="AI150" s="207">
        <f t="shared" si="174"/>
        <v>925</v>
      </c>
    </row>
    <row r="151" spans="1:35" x14ac:dyDescent="0.15">
      <c r="A151" s="206">
        <v>20314</v>
      </c>
      <c r="B151" s="207">
        <f t="shared" si="175"/>
        <v>2136</v>
      </c>
      <c r="C151" s="207">
        <f t="shared" si="176"/>
        <v>213</v>
      </c>
      <c r="D151" s="207">
        <f t="shared" si="177"/>
        <v>801</v>
      </c>
      <c r="E151" s="207">
        <f t="shared" si="178"/>
        <v>801</v>
      </c>
      <c r="F151" s="206">
        <v>20314</v>
      </c>
      <c r="G151" s="207">
        <f t="shared" si="151"/>
        <v>2136</v>
      </c>
      <c r="H151" s="207">
        <f t="shared" si="152"/>
        <v>113</v>
      </c>
      <c r="I151" s="207">
        <f t="shared" si="153"/>
        <v>877</v>
      </c>
      <c r="J151" s="207">
        <f t="shared" si="154"/>
        <v>801</v>
      </c>
      <c r="K151" s="206">
        <v>20314</v>
      </c>
      <c r="L151" s="207">
        <f t="shared" si="155"/>
        <v>2136</v>
      </c>
      <c r="M151" s="207">
        <f t="shared" si="156"/>
        <v>213</v>
      </c>
      <c r="N151" s="207">
        <f t="shared" si="157"/>
        <v>801</v>
      </c>
      <c r="O151" s="207">
        <f t="shared" si="158"/>
        <v>801</v>
      </c>
      <c r="P151" s="206">
        <v>20314</v>
      </c>
      <c r="Q151" s="207">
        <f t="shared" si="159"/>
        <v>2305</v>
      </c>
      <c r="R151" s="207">
        <f t="shared" si="160"/>
        <v>198</v>
      </c>
      <c r="S151" s="207">
        <f t="shared" si="161"/>
        <v>763</v>
      </c>
      <c r="T151" s="207">
        <f t="shared" si="162"/>
        <v>961</v>
      </c>
      <c r="U151" s="206">
        <v>20314</v>
      </c>
      <c r="V151" s="207">
        <f t="shared" si="163"/>
        <v>2136</v>
      </c>
      <c r="W151" s="207">
        <f t="shared" si="164"/>
        <v>430</v>
      </c>
      <c r="X151" s="207">
        <f t="shared" si="165"/>
        <v>954</v>
      </c>
      <c r="Y151" s="207">
        <f t="shared" si="166"/>
        <v>801</v>
      </c>
      <c r="Z151" s="206">
        <v>20314</v>
      </c>
      <c r="AA151" s="207">
        <f t="shared" si="167"/>
        <v>2613</v>
      </c>
      <c r="AB151" s="207">
        <f t="shared" si="168"/>
        <v>716</v>
      </c>
      <c r="AC151" s="207">
        <f t="shared" si="169"/>
        <v>763</v>
      </c>
      <c r="AD151" s="207">
        <f t="shared" si="170"/>
        <v>1121</v>
      </c>
      <c r="AE151" s="206">
        <v>20314</v>
      </c>
      <c r="AF151" s="207">
        <f t="shared" si="171"/>
        <v>2305</v>
      </c>
      <c r="AG151" s="207">
        <f t="shared" si="172"/>
        <v>237</v>
      </c>
      <c r="AH151" s="207">
        <f t="shared" si="173"/>
        <v>877</v>
      </c>
      <c r="AI151" s="207">
        <f t="shared" si="174"/>
        <v>961</v>
      </c>
    </row>
    <row r="152" spans="1:35" x14ac:dyDescent="0.15">
      <c r="A152" s="206">
        <v>20315</v>
      </c>
      <c r="B152" s="207">
        <f t="shared" si="175"/>
        <v>2216</v>
      </c>
      <c r="C152" s="207">
        <f t="shared" si="176"/>
        <v>221</v>
      </c>
      <c r="D152" s="207">
        <f t="shared" si="177"/>
        <v>831</v>
      </c>
      <c r="E152" s="207">
        <f t="shared" si="178"/>
        <v>831</v>
      </c>
      <c r="F152" s="206">
        <v>20315</v>
      </c>
      <c r="G152" s="207">
        <f t="shared" si="151"/>
        <v>2216</v>
      </c>
      <c r="H152" s="207">
        <f t="shared" si="152"/>
        <v>118</v>
      </c>
      <c r="I152" s="207">
        <f t="shared" si="153"/>
        <v>910</v>
      </c>
      <c r="J152" s="207">
        <f t="shared" si="154"/>
        <v>831</v>
      </c>
      <c r="K152" s="206">
        <v>20315</v>
      </c>
      <c r="L152" s="207">
        <f t="shared" si="155"/>
        <v>2216</v>
      </c>
      <c r="M152" s="207">
        <f t="shared" si="156"/>
        <v>221</v>
      </c>
      <c r="N152" s="207">
        <f t="shared" si="157"/>
        <v>831</v>
      </c>
      <c r="O152" s="207">
        <f t="shared" si="158"/>
        <v>831</v>
      </c>
      <c r="P152" s="206">
        <v>20315</v>
      </c>
      <c r="Q152" s="207">
        <f t="shared" si="159"/>
        <v>2392</v>
      </c>
      <c r="R152" s="207">
        <f t="shared" si="160"/>
        <v>206</v>
      </c>
      <c r="S152" s="207">
        <f t="shared" si="161"/>
        <v>791</v>
      </c>
      <c r="T152" s="207">
        <f t="shared" si="162"/>
        <v>997</v>
      </c>
      <c r="U152" s="206">
        <v>20315</v>
      </c>
      <c r="V152" s="207">
        <f t="shared" si="163"/>
        <v>2216</v>
      </c>
      <c r="W152" s="207">
        <f t="shared" si="164"/>
        <v>446</v>
      </c>
      <c r="X152" s="207">
        <f t="shared" si="165"/>
        <v>989</v>
      </c>
      <c r="Y152" s="207">
        <f t="shared" si="166"/>
        <v>831</v>
      </c>
      <c r="Z152" s="206">
        <v>20315</v>
      </c>
      <c r="AA152" s="207">
        <f t="shared" si="167"/>
        <v>2711</v>
      </c>
      <c r="AB152" s="207">
        <f t="shared" si="168"/>
        <v>743</v>
      </c>
      <c r="AC152" s="207">
        <f t="shared" si="169"/>
        <v>791</v>
      </c>
      <c r="AD152" s="207">
        <f t="shared" si="170"/>
        <v>1163</v>
      </c>
      <c r="AE152" s="206">
        <v>20315</v>
      </c>
      <c r="AF152" s="207">
        <f t="shared" si="171"/>
        <v>2392</v>
      </c>
      <c r="AG152" s="207">
        <f t="shared" si="172"/>
        <v>246</v>
      </c>
      <c r="AH152" s="207">
        <f t="shared" si="173"/>
        <v>910</v>
      </c>
      <c r="AI152" s="207">
        <f t="shared" si="174"/>
        <v>997</v>
      </c>
    </row>
    <row r="153" spans="1:35" x14ac:dyDescent="0.15">
      <c r="A153" s="206">
        <v>20401</v>
      </c>
      <c r="B153" s="207">
        <f t="shared" si="175"/>
        <v>1496</v>
      </c>
      <c r="C153" s="207">
        <f t="shared" si="176"/>
        <v>149</v>
      </c>
      <c r="D153" s="207">
        <f t="shared" si="177"/>
        <v>561</v>
      </c>
      <c r="E153" s="207">
        <f t="shared" si="178"/>
        <v>561</v>
      </c>
      <c r="F153" s="206">
        <v>20401</v>
      </c>
      <c r="G153" s="207">
        <f t="shared" si="151"/>
        <v>1496</v>
      </c>
      <c r="H153" s="207">
        <f t="shared" si="152"/>
        <v>79</v>
      </c>
      <c r="I153" s="207">
        <f t="shared" si="153"/>
        <v>614</v>
      </c>
      <c r="J153" s="207">
        <f t="shared" si="154"/>
        <v>561</v>
      </c>
      <c r="K153" s="206">
        <v>20401</v>
      </c>
      <c r="L153" s="207">
        <f t="shared" si="155"/>
        <v>1496</v>
      </c>
      <c r="M153" s="207">
        <f t="shared" si="156"/>
        <v>149</v>
      </c>
      <c r="N153" s="207">
        <f t="shared" si="157"/>
        <v>561</v>
      </c>
      <c r="O153" s="207">
        <f t="shared" si="158"/>
        <v>561</v>
      </c>
      <c r="P153" s="206">
        <v>20401</v>
      </c>
      <c r="Q153" s="207">
        <f t="shared" si="159"/>
        <v>1615</v>
      </c>
      <c r="R153" s="207">
        <f t="shared" si="160"/>
        <v>139</v>
      </c>
      <c r="S153" s="207">
        <f t="shared" si="161"/>
        <v>534</v>
      </c>
      <c r="T153" s="207">
        <f t="shared" si="162"/>
        <v>673</v>
      </c>
      <c r="U153" s="206">
        <v>20401</v>
      </c>
      <c r="V153" s="207">
        <f t="shared" si="163"/>
        <v>1496</v>
      </c>
      <c r="W153" s="207">
        <f t="shared" si="164"/>
        <v>301</v>
      </c>
      <c r="X153" s="207">
        <f t="shared" si="165"/>
        <v>668</v>
      </c>
      <c r="Y153" s="207">
        <f t="shared" si="166"/>
        <v>561</v>
      </c>
      <c r="Z153" s="206">
        <v>20401</v>
      </c>
      <c r="AA153" s="207">
        <f t="shared" si="167"/>
        <v>1830</v>
      </c>
      <c r="AB153" s="207">
        <f t="shared" si="168"/>
        <v>501</v>
      </c>
      <c r="AC153" s="207">
        <f t="shared" si="169"/>
        <v>534</v>
      </c>
      <c r="AD153" s="207">
        <f t="shared" si="170"/>
        <v>785</v>
      </c>
      <c r="AE153" s="206">
        <v>20401</v>
      </c>
      <c r="AF153" s="207">
        <f t="shared" si="171"/>
        <v>1615</v>
      </c>
      <c r="AG153" s="207">
        <f t="shared" si="172"/>
        <v>166</v>
      </c>
      <c r="AH153" s="207">
        <f t="shared" si="173"/>
        <v>614</v>
      </c>
      <c r="AI153" s="207">
        <f t="shared" si="174"/>
        <v>673</v>
      </c>
    </row>
    <row r="154" spans="1:35" x14ac:dyDescent="0.15">
      <c r="A154" s="206">
        <v>20402</v>
      </c>
      <c r="B154" s="207">
        <f t="shared" si="175"/>
        <v>1576</v>
      </c>
      <c r="C154" s="207">
        <f t="shared" si="176"/>
        <v>157</v>
      </c>
      <c r="D154" s="207">
        <f t="shared" si="177"/>
        <v>591</v>
      </c>
      <c r="E154" s="207">
        <f t="shared" si="178"/>
        <v>591</v>
      </c>
      <c r="F154" s="206">
        <v>20402</v>
      </c>
      <c r="G154" s="207">
        <f t="shared" si="151"/>
        <v>1576</v>
      </c>
      <c r="H154" s="207">
        <f t="shared" si="152"/>
        <v>84</v>
      </c>
      <c r="I154" s="207">
        <f t="shared" si="153"/>
        <v>647</v>
      </c>
      <c r="J154" s="207">
        <f t="shared" si="154"/>
        <v>591</v>
      </c>
      <c r="K154" s="206">
        <v>20402</v>
      </c>
      <c r="L154" s="207">
        <f t="shared" si="155"/>
        <v>1576</v>
      </c>
      <c r="M154" s="207">
        <f t="shared" si="156"/>
        <v>157</v>
      </c>
      <c r="N154" s="207">
        <f t="shared" si="157"/>
        <v>591</v>
      </c>
      <c r="O154" s="207">
        <f t="shared" si="158"/>
        <v>591</v>
      </c>
      <c r="P154" s="206">
        <v>20402</v>
      </c>
      <c r="Q154" s="207">
        <f t="shared" si="159"/>
        <v>1701</v>
      </c>
      <c r="R154" s="207">
        <f t="shared" si="160"/>
        <v>146</v>
      </c>
      <c r="S154" s="207">
        <f t="shared" si="161"/>
        <v>563</v>
      </c>
      <c r="T154" s="207">
        <f t="shared" si="162"/>
        <v>709</v>
      </c>
      <c r="U154" s="206">
        <v>20402</v>
      </c>
      <c r="V154" s="207">
        <f t="shared" si="163"/>
        <v>1576</v>
      </c>
      <c r="W154" s="207">
        <f t="shared" si="164"/>
        <v>317</v>
      </c>
      <c r="X154" s="207">
        <f t="shared" si="165"/>
        <v>704</v>
      </c>
      <c r="Y154" s="207">
        <f t="shared" si="166"/>
        <v>591</v>
      </c>
      <c r="Z154" s="206">
        <v>20402</v>
      </c>
      <c r="AA154" s="207">
        <f t="shared" si="167"/>
        <v>1928</v>
      </c>
      <c r="AB154" s="207">
        <f t="shared" si="168"/>
        <v>528</v>
      </c>
      <c r="AC154" s="207">
        <f t="shared" si="169"/>
        <v>563</v>
      </c>
      <c r="AD154" s="207">
        <f t="shared" si="170"/>
        <v>827</v>
      </c>
      <c r="AE154" s="206">
        <v>20402</v>
      </c>
      <c r="AF154" s="207">
        <f t="shared" si="171"/>
        <v>1701</v>
      </c>
      <c r="AG154" s="207">
        <f t="shared" si="172"/>
        <v>175</v>
      </c>
      <c r="AH154" s="207">
        <f t="shared" si="173"/>
        <v>647</v>
      </c>
      <c r="AI154" s="207">
        <f t="shared" si="174"/>
        <v>709</v>
      </c>
    </row>
    <row r="155" spans="1:35" x14ac:dyDescent="0.15">
      <c r="A155" s="206">
        <v>20403</v>
      </c>
      <c r="B155" s="207">
        <f t="shared" si="175"/>
        <v>1656</v>
      </c>
      <c r="C155" s="207">
        <f t="shared" si="176"/>
        <v>165</v>
      </c>
      <c r="D155" s="207">
        <f t="shared" si="177"/>
        <v>621</v>
      </c>
      <c r="E155" s="207">
        <f t="shared" si="178"/>
        <v>621</v>
      </c>
      <c r="F155" s="206">
        <v>20403</v>
      </c>
      <c r="G155" s="207">
        <f t="shared" si="151"/>
        <v>1656</v>
      </c>
      <c r="H155" s="207">
        <f t="shared" si="152"/>
        <v>88</v>
      </c>
      <c r="I155" s="207">
        <f t="shared" si="153"/>
        <v>680</v>
      </c>
      <c r="J155" s="207">
        <f t="shared" si="154"/>
        <v>621</v>
      </c>
      <c r="K155" s="206">
        <v>20403</v>
      </c>
      <c r="L155" s="207">
        <f t="shared" si="155"/>
        <v>1656</v>
      </c>
      <c r="M155" s="207">
        <f t="shared" si="156"/>
        <v>165</v>
      </c>
      <c r="N155" s="207">
        <f t="shared" si="157"/>
        <v>621</v>
      </c>
      <c r="O155" s="207">
        <f t="shared" si="158"/>
        <v>621</v>
      </c>
      <c r="P155" s="206">
        <v>20403</v>
      </c>
      <c r="Q155" s="207">
        <f t="shared" si="159"/>
        <v>1787</v>
      </c>
      <c r="R155" s="207">
        <f t="shared" si="160"/>
        <v>154</v>
      </c>
      <c r="S155" s="207">
        <f t="shared" si="161"/>
        <v>591</v>
      </c>
      <c r="T155" s="207">
        <f t="shared" si="162"/>
        <v>745</v>
      </c>
      <c r="U155" s="206">
        <v>20403</v>
      </c>
      <c r="V155" s="207">
        <f t="shared" si="163"/>
        <v>1656</v>
      </c>
      <c r="W155" s="207">
        <f t="shared" si="164"/>
        <v>333</v>
      </c>
      <c r="X155" s="207">
        <f t="shared" si="165"/>
        <v>739</v>
      </c>
      <c r="Y155" s="207">
        <f t="shared" si="166"/>
        <v>621</v>
      </c>
      <c r="Z155" s="206">
        <v>20403</v>
      </c>
      <c r="AA155" s="207">
        <f t="shared" si="167"/>
        <v>2026</v>
      </c>
      <c r="AB155" s="207">
        <f t="shared" si="168"/>
        <v>555</v>
      </c>
      <c r="AC155" s="207">
        <f t="shared" si="169"/>
        <v>591</v>
      </c>
      <c r="AD155" s="207">
        <f t="shared" si="170"/>
        <v>869</v>
      </c>
      <c r="AE155" s="206">
        <v>20403</v>
      </c>
      <c r="AF155" s="207">
        <f t="shared" si="171"/>
        <v>1787</v>
      </c>
      <c r="AG155" s="207">
        <f t="shared" si="172"/>
        <v>184</v>
      </c>
      <c r="AH155" s="207">
        <f t="shared" si="173"/>
        <v>680</v>
      </c>
      <c r="AI155" s="207">
        <f t="shared" si="174"/>
        <v>745</v>
      </c>
    </row>
    <row r="156" spans="1:35" x14ac:dyDescent="0.15">
      <c r="A156" s="206">
        <v>20404</v>
      </c>
      <c r="B156" s="207">
        <f t="shared" si="175"/>
        <v>1736</v>
      </c>
      <c r="C156" s="207">
        <f t="shared" si="176"/>
        <v>173</v>
      </c>
      <c r="D156" s="207">
        <f t="shared" si="177"/>
        <v>651</v>
      </c>
      <c r="E156" s="207">
        <f t="shared" si="178"/>
        <v>651</v>
      </c>
      <c r="F156" s="206">
        <v>20404</v>
      </c>
      <c r="G156" s="207">
        <f t="shared" si="151"/>
        <v>1736</v>
      </c>
      <c r="H156" s="207">
        <f t="shared" si="152"/>
        <v>92</v>
      </c>
      <c r="I156" s="207">
        <f t="shared" si="153"/>
        <v>713</v>
      </c>
      <c r="J156" s="207">
        <f t="shared" si="154"/>
        <v>651</v>
      </c>
      <c r="K156" s="206">
        <v>20404</v>
      </c>
      <c r="L156" s="207">
        <f t="shared" si="155"/>
        <v>1736</v>
      </c>
      <c r="M156" s="207">
        <f t="shared" si="156"/>
        <v>173</v>
      </c>
      <c r="N156" s="207">
        <f t="shared" si="157"/>
        <v>651</v>
      </c>
      <c r="O156" s="207">
        <f t="shared" si="158"/>
        <v>651</v>
      </c>
      <c r="P156" s="206">
        <v>20404</v>
      </c>
      <c r="Q156" s="207">
        <f t="shared" si="159"/>
        <v>1874</v>
      </c>
      <c r="R156" s="207">
        <f t="shared" si="160"/>
        <v>161</v>
      </c>
      <c r="S156" s="207">
        <f t="shared" si="161"/>
        <v>620</v>
      </c>
      <c r="T156" s="207">
        <f t="shared" si="162"/>
        <v>781</v>
      </c>
      <c r="U156" s="206">
        <v>20404</v>
      </c>
      <c r="V156" s="207">
        <f t="shared" si="163"/>
        <v>1736</v>
      </c>
      <c r="W156" s="207">
        <f t="shared" si="164"/>
        <v>349</v>
      </c>
      <c r="X156" s="207">
        <f t="shared" si="165"/>
        <v>775</v>
      </c>
      <c r="Y156" s="207">
        <f t="shared" si="166"/>
        <v>651</v>
      </c>
      <c r="Z156" s="206">
        <v>20404</v>
      </c>
      <c r="AA156" s="207">
        <f t="shared" si="167"/>
        <v>2124</v>
      </c>
      <c r="AB156" s="207">
        <f t="shared" si="168"/>
        <v>582</v>
      </c>
      <c r="AC156" s="207">
        <f t="shared" si="169"/>
        <v>620</v>
      </c>
      <c r="AD156" s="207">
        <f t="shared" si="170"/>
        <v>911</v>
      </c>
      <c r="AE156" s="206">
        <v>20404</v>
      </c>
      <c r="AF156" s="207">
        <f t="shared" si="171"/>
        <v>1874</v>
      </c>
      <c r="AG156" s="207">
        <f t="shared" si="172"/>
        <v>193</v>
      </c>
      <c r="AH156" s="207">
        <f t="shared" si="173"/>
        <v>713</v>
      </c>
      <c r="AI156" s="207">
        <f t="shared" si="174"/>
        <v>781</v>
      </c>
    </row>
    <row r="157" spans="1:35" x14ac:dyDescent="0.15">
      <c r="A157" s="206">
        <v>20405</v>
      </c>
      <c r="B157" s="207">
        <f t="shared" si="175"/>
        <v>1816</v>
      </c>
      <c r="C157" s="207">
        <f t="shared" si="176"/>
        <v>181</v>
      </c>
      <c r="D157" s="207">
        <f t="shared" si="177"/>
        <v>681</v>
      </c>
      <c r="E157" s="207">
        <f t="shared" si="178"/>
        <v>681</v>
      </c>
      <c r="F157" s="206">
        <v>20405</v>
      </c>
      <c r="G157" s="207">
        <f t="shared" si="151"/>
        <v>1816</v>
      </c>
      <c r="H157" s="207">
        <f t="shared" si="152"/>
        <v>96</v>
      </c>
      <c r="I157" s="207">
        <f t="shared" si="153"/>
        <v>746</v>
      </c>
      <c r="J157" s="207">
        <f t="shared" si="154"/>
        <v>681</v>
      </c>
      <c r="K157" s="206">
        <v>20405</v>
      </c>
      <c r="L157" s="207">
        <f t="shared" si="155"/>
        <v>1816</v>
      </c>
      <c r="M157" s="207">
        <f t="shared" si="156"/>
        <v>181</v>
      </c>
      <c r="N157" s="207">
        <f t="shared" si="157"/>
        <v>681</v>
      </c>
      <c r="O157" s="207">
        <f t="shared" si="158"/>
        <v>681</v>
      </c>
      <c r="P157" s="206">
        <v>20405</v>
      </c>
      <c r="Q157" s="207">
        <f t="shared" si="159"/>
        <v>1960</v>
      </c>
      <c r="R157" s="207">
        <f t="shared" si="160"/>
        <v>169</v>
      </c>
      <c r="S157" s="207">
        <f t="shared" si="161"/>
        <v>649</v>
      </c>
      <c r="T157" s="207">
        <f t="shared" si="162"/>
        <v>817</v>
      </c>
      <c r="U157" s="206">
        <v>20405</v>
      </c>
      <c r="V157" s="207">
        <f t="shared" si="163"/>
        <v>1816</v>
      </c>
      <c r="W157" s="207">
        <f t="shared" si="164"/>
        <v>366</v>
      </c>
      <c r="X157" s="207">
        <f t="shared" si="165"/>
        <v>811</v>
      </c>
      <c r="Y157" s="207">
        <f t="shared" si="166"/>
        <v>681</v>
      </c>
      <c r="Z157" s="206">
        <v>20405</v>
      </c>
      <c r="AA157" s="207">
        <f t="shared" si="167"/>
        <v>2222</v>
      </c>
      <c r="AB157" s="207">
        <f t="shared" si="168"/>
        <v>609</v>
      </c>
      <c r="AC157" s="207">
        <f t="shared" si="169"/>
        <v>649</v>
      </c>
      <c r="AD157" s="207">
        <f t="shared" si="170"/>
        <v>953</v>
      </c>
      <c r="AE157" s="206">
        <v>20405</v>
      </c>
      <c r="AF157" s="207">
        <f t="shared" si="171"/>
        <v>1960</v>
      </c>
      <c r="AG157" s="207">
        <f t="shared" si="172"/>
        <v>202</v>
      </c>
      <c r="AH157" s="207">
        <f t="shared" si="173"/>
        <v>746</v>
      </c>
      <c r="AI157" s="207">
        <f t="shared" si="174"/>
        <v>817</v>
      </c>
    </row>
    <row r="158" spans="1:35" x14ac:dyDescent="0.15">
      <c r="A158" s="206">
        <v>20406</v>
      </c>
      <c r="B158" s="207">
        <f t="shared" si="175"/>
        <v>1896</v>
      </c>
      <c r="C158" s="207">
        <f t="shared" si="176"/>
        <v>189</v>
      </c>
      <c r="D158" s="207">
        <f t="shared" si="177"/>
        <v>711</v>
      </c>
      <c r="E158" s="207">
        <f t="shared" si="178"/>
        <v>711</v>
      </c>
      <c r="F158" s="206">
        <v>20406</v>
      </c>
      <c r="G158" s="207">
        <f t="shared" ref="G158:G189" si="179">AI41</f>
        <v>1896</v>
      </c>
      <c r="H158" s="207">
        <f t="shared" ref="H158:H189" si="180">AJ41</f>
        <v>101</v>
      </c>
      <c r="I158" s="207">
        <f t="shared" ref="I158:I189" si="181">AK41</f>
        <v>779</v>
      </c>
      <c r="J158" s="207">
        <f t="shared" ref="J158:J191" si="182">AN41</f>
        <v>711</v>
      </c>
      <c r="K158" s="206">
        <v>20406</v>
      </c>
      <c r="L158" s="207">
        <f t="shared" ref="L158:L189" si="183">BG41</f>
        <v>1896</v>
      </c>
      <c r="M158" s="207">
        <f t="shared" ref="M158:M189" si="184">BH41</f>
        <v>189</v>
      </c>
      <c r="N158" s="207">
        <f t="shared" ref="N158:N189" si="185">BI41</f>
        <v>711</v>
      </c>
      <c r="O158" s="207">
        <f t="shared" ref="O158:O191" si="186">BL41</f>
        <v>711</v>
      </c>
      <c r="P158" s="206">
        <v>20406</v>
      </c>
      <c r="Q158" s="207">
        <f t="shared" ref="Q158:Q189" si="187">CE41</f>
        <v>2046</v>
      </c>
      <c r="R158" s="207">
        <f t="shared" ref="R158:R189" si="188">CF41</f>
        <v>176</v>
      </c>
      <c r="S158" s="207">
        <f t="shared" ref="S158:S189" si="189">CG41</f>
        <v>677</v>
      </c>
      <c r="T158" s="207">
        <f t="shared" ref="T158:T191" si="190">CJ41</f>
        <v>853</v>
      </c>
      <c r="U158" s="206">
        <v>20406</v>
      </c>
      <c r="V158" s="207">
        <f t="shared" ref="V158:V189" si="191">DC41</f>
        <v>1896</v>
      </c>
      <c r="W158" s="207">
        <f t="shared" ref="W158:W189" si="192">DD41</f>
        <v>382</v>
      </c>
      <c r="X158" s="207">
        <f t="shared" ref="X158:X189" si="193">DE41</f>
        <v>846</v>
      </c>
      <c r="Y158" s="207">
        <f t="shared" ref="Y158:Y191" si="194">DH41</f>
        <v>711</v>
      </c>
      <c r="Z158" s="206">
        <v>20406</v>
      </c>
      <c r="AA158" s="207">
        <f t="shared" ref="AA158:AA189" si="195">EA41</f>
        <v>2319</v>
      </c>
      <c r="AB158" s="207">
        <f t="shared" ref="AB158:AB189" si="196">EB41</f>
        <v>635</v>
      </c>
      <c r="AC158" s="207">
        <f t="shared" ref="AC158:AC189" si="197">EC41</f>
        <v>677</v>
      </c>
      <c r="AD158" s="207">
        <f t="shared" ref="AD158:AD191" si="198">EF41</f>
        <v>995</v>
      </c>
      <c r="AE158" s="206">
        <v>20406</v>
      </c>
      <c r="AF158" s="207">
        <f t="shared" ref="AF158:AF189" si="199">EY41</f>
        <v>2046</v>
      </c>
      <c r="AG158" s="207">
        <f t="shared" ref="AG158:AG189" si="200">EZ41</f>
        <v>211</v>
      </c>
      <c r="AH158" s="207">
        <f t="shared" ref="AH158:AH189" si="201">FA41</f>
        <v>779</v>
      </c>
      <c r="AI158" s="207">
        <f t="shared" ref="AI158:AI191" si="202">FD41</f>
        <v>853</v>
      </c>
    </row>
    <row r="159" spans="1:35" x14ac:dyDescent="0.15">
      <c r="A159" s="206">
        <v>20407</v>
      </c>
      <c r="B159" s="207">
        <f t="shared" si="175"/>
        <v>1976</v>
      </c>
      <c r="C159" s="207">
        <f t="shared" si="176"/>
        <v>197</v>
      </c>
      <c r="D159" s="207">
        <f t="shared" si="177"/>
        <v>741</v>
      </c>
      <c r="E159" s="207">
        <f t="shared" si="178"/>
        <v>741</v>
      </c>
      <c r="F159" s="206">
        <v>20407</v>
      </c>
      <c r="G159" s="207">
        <f t="shared" si="179"/>
        <v>1976</v>
      </c>
      <c r="H159" s="207">
        <f t="shared" si="180"/>
        <v>105</v>
      </c>
      <c r="I159" s="207">
        <f t="shared" si="181"/>
        <v>812</v>
      </c>
      <c r="J159" s="207">
        <f t="shared" si="182"/>
        <v>741</v>
      </c>
      <c r="K159" s="206">
        <v>20407</v>
      </c>
      <c r="L159" s="207">
        <f t="shared" si="183"/>
        <v>1976</v>
      </c>
      <c r="M159" s="207">
        <f t="shared" si="184"/>
        <v>197</v>
      </c>
      <c r="N159" s="207">
        <f t="shared" si="185"/>
        <v>741</v>
      </c>
      <c r="O159" s="207">
        <f t="shared" si="186"/>
        <v>741</v>
      </c>
      <c r="P159" s="206">
        <v>20407</v>
      </c>
      <c r="Q159" s="207">
        <f t="shared" si="187"/>
        <v>2133</v>
      </c>
      <c r="R159" s="207">
        <f t="shared" si="188"/>
        <v>183</v>
      </c>
      <c r="S159" s="207">
        <f t="shared" si="189"/>
        <v>706</v>
      </c>
      <c r="T159" s="207">
        <f t="shared" si="190"/>
        <v>889</v>
      </c>
      <c r="U159" s="206">
        <v>20407</v>
      </c>
      <c r="V159" s="207">
        <f t="shared" si="191"/>
        <v>1976</v>
      </c>
      <c r="W159" s="207">
        <f t="shared" si="192"/>
        <v>398</v>
      </c>
      <c r="X159" s="207">
        <f t="shared" si="193"/>
        <v>882</v>
      </c>
      <c r="Y159" s="207">
        <f t="shared" si="194"/>
        <v>741</v>
      </c>
      <c r="Z159" s="206">
        <v>20407</v>
      </c>
      <c r="AA159" s="207">
        <f t="shared" si="195"/>
        <v>2417</v>
      </c>
      <c r="AB159" s="207">
        <f t="shared" si="196"/>
        <v>662</v>
      </c>
      <c r="AC159" s="207">
        <f t="shared" si="197"/>
        <v>706</v>
      </c>
      <c r="AD159" s="207">
        <f t="shared" si="198"/>
        <v>1037</v>
      </c>
      <c r="AE159" s="206">
        <v>20407</v>
      </c>
      <c r="AF159" s="207">
        <f t="shared" si="199"/>
        <v>2133</v>
      </c>
      <c r="AG159" s="207">
        <f t="shared" si="200"/>
        <v>220</v>
      </c>
      <c r="AH159" s="207">
        <f t="shared" si="201"/>
        <v>812</v>
      </c>
      <c r="AI159" s="207">
        <f t="shared" si="202"/>
        <v>889</v>
      </c>
    </row>
    <row r="160" spans="1:35" x14ac:dyDescent="0.15">
      <c r="A160" s="206">
        <v>20408</v>
      </c>
      <c r="B160" s="207">
        <f t="shared" si="175"/>
        <v>2056</v>
      </c>
      <c r="C160" s="207">
        <f t="shared" si="176"/>
        <v>205</v>
      </c>
      <c r="D160" s="207">
        <f t="shared" si="177"/>
        <v>771</v>
      </c>
      <c r="E160" s="207">
        <f t="shared" si="178"/>
        <v>771</v>
      </c>
      <c r="F160" s="206">
        <v>20408</v>
      </c>
      <c r="G160" s="207">
        <f t="shared" si="179"/>
        <v>2056</v>
      </c>
      <c r="H160" s="207">
        <f t="shared" si="180"/>
        <v>109</v>
      </c>
      <c r="I160" s="207">
        <f t="shared" si="181"/>
        <v>844</v>
      </c>
      <c r="J160" s="207">
        <f t="shared" si="182"/>
        <v>771</v>
      </c>
      <c r="K160" s="206">
        <v>20408</v>
      </c>
      <c r="L160" s="207">
        <f t="shared" si="183"/>
        <v>2056</v>
      </c>
      <c r="M160" s="207">
        <f t="shared" si="184"/>
        <v>205</v>
      </c>
      <c r="N160" s="207">
        <f t="shared" si="185"/>
        <v>771</v>
      </c>
      <c r="O160" s="207">
        <f t="shared" si="186"/>
        <v>771</v>
      </c>
      <c r="P160" s="206">
        <v>20408</v>
      </c>
      <c r="Q160" s="207">
        <f t="shared" si="187"/>
        <v>2219</v>
      </c>
      <c r="R160" s="207">
        <f t="shared" si="188"/>
        <v>191</v>
      </c>
      <c r="S160" s="207">
        <f t="shared" si="189"/>
        <v>734</v>
      </c>
      <c r="T160" s="207">
        <f t="shared" si="190"/>
        <v>925</v>
      </c>
      <c r="U160" s="206">
        <v>20408</v>
      </c>
      <c r="V160" s="207">
        <f t="shared" si="191"/>
        <v>2056</v>
      </c>
      <c r="W160" s="207">
        <f t="shared" si="192"/>
        <v>414</v>
      </c>
      <c r="X160" s="207">
        <f t="shared" si="193"/>
        <v>918</v>
      </c>
      <c r="Y160" s="207">
        <f t="shared" si="194"/>
        <v>771</v>
      </c>
      <c r="Z160" s="206">
        <v>20408</v>
      </c>
      <c r="AA160" s="207">
        <f t="shared" si="195"/>
        <v>2515</v>
      </c>
      <c r="AB160" s="207">
        <f t="shared" si="196"/>
        <v>689</v>
      </c>
      <c r="AC160" s="207">
        <f t="shared" si="197"/>
        <v>734</v>
      </c>
      <c r="AD160" s="207">
        <f t="shared" si="198"/>
        <v>1079</v>
      </c>
      <c r="AE160" s="206">
        <v>20408</v>
      </c>
      <c r="AF160" s="207">
        <f t="shared" si="199"/>
        <v>2219</v>
      </c>
      <c r="AG160" s="207">
        <f t="shared" si="200"/>
        <v>229</v>
      </c>
      <c r="AH160" s="207">
        <f t="shared" si="201"/>
        <v>844</v>
      </c>
      <c r="AI160" s="207">
        <f t="shared" si="202"/>
        <v>925</v>
      </c>
    </row>
    <row r="161" spans="1:35" x14ac:dyDescent="0.15">
      <c r="A161" s="206">
        <v>20409</v>
      </c>
      <c r="B161" s="207">
        <f t="shared" si="175"/>
        <v>2136</v>
      </c>
      <c r="C161" s="207">
        <f t="shared" si="176"/>
        <v>213</v>
      </c>
      <c r="D161" s="207">
        <f t="shared" si="177"/>
        <v>801</v>
      </c>
      <c r="E161" s="207">
        <f t="shared" si="178"/>
        <v>801</v>
      </c>
      <c r="F161" s="206">
        <v>20409</v>
      </c>
      <c r="G161" s="207">
        <f t="shared" si="179"/>
        <v>2136</v>
      </c>
      <c r="H161" s="207">
        <f t="shared" si="180"/>
        <v>113</v>
      </c>
      <c r="I161" s="207">
        <f t="shared" si="181"/>
        <v>877</v>
      </c>
      <c r="J161" s="207">
        <f t="shared" si="182"/>
        <v>801</v>
      </c>
      <c r="K161" s="206">
        <v>20409</v>
      </c>
      <c r="L161" s="207">
        <f t="shared" si="183"/>
        <v>2136</v>
      </c>
      <c r="M161" s="207">
        <f t="shared" si="184"/>
        <v>213</v>
      </c>
      <c r="N161" s="207">
        <f t="shared" si="185"/>
        <v>801</v>
      </c>
      <c r="O161" s="207">
        <f t="shared" si="186"/>
        <v>801</v>
      </c>
      <c r="P161" s="206">
        <v>20409</v>
      </c>
      <c r="Q161" s="207">
        <f t="shared" si="187"/>
        <v>2305</v>
      </c>
      <c r="R161" s="207">
        <f t="shared" si="188"/>
        <v>198</v>
      </c>
      <c r="S161" s="207">
        <f t="shared" si="189"/>
        <v>763</v>
      </c>
      <c r="T161" s="207">
        <f t="shared" si="190"/>
        <v>961</v>
      </c>
      <c r="U161" s="206">
        <v>20409</v>
      </c>
      <c r="V161" s="207">
        <f t="shared" si="191"/>
        <v>2136</v>
      </c>
      <c r="W161" s="207">
        <f t="shared" si="192"/>
        <v>430</v>
      </c>
      <c r="X161" s="207">
        <f t="shared" si="193"/>
        <v>954</v>
      </c>
      <c r="Y161" s="207">
        <f t="shared" si="194"/>
        <v>801</v>
      </c>
      <c r="Z161" s="206">
        <v>20409</v>
      </c>
      <c r="AA161" s="207">
        <f t="shared" si="195"/>
        <v>2613</v>
      </c>
      <c r="AB161" s="207">
        <f t="shared" si="196"/>
        <v>716</v>
      </c>
      <c r="AC161" s="207">
        <f t="shared" si="197"/>
        <v>763</v>
      </c>
      <c r="AD161" s="207">
        <f t="shared" si="198"/>
        <v>1121</v>
      </c>
      <c r="AE161" s="206">
        <v>20409</v>
      </c>
      <c r="AF161" s="207">
        <f t="shared" si="199"/>
        <v>2305</v>
      </c>
      <c r="AG161" s="207">
        <f t="shared" si="200"/>
        <v>237</v>
      </c>
      <c r="AH161" s="207">
        <f t="shared" si="201"/>
        <v>877</v>
      </c>
      <c r="AI161" s="207">
        <f t="shared" si="202"/>
        <v>961</v>
      </c>
    </row>
    <row r="162" spans="1:35" x14ac:dyDescent="0.15">
      <c r="A162" s="206">
        <v>20410</v>
      </c>
      <c r="B162" s="207">
        <f t="shared" si="175"/>
        <v>2216</v>
      </c>
      <c r="C162" s="207">
        <f t="shared" si="176"/>
        <v>221</v>
      </c>
      <c r="D162" s="207">
        <f t="shared" si="177"/>
        <v>831</v>
      </c>
      <c r="E162" s="207">
        <f t="shared" si="178"/>
        <v>831</v>
      </c>
      <c r="F162" s="206">
        <v>20410</v>
      </c>
      <c r="G162" s="207">
        <f t="shared" si="179"/>
        <v>2216</v>
      </c>
      <c r="H162" s="207">
        <f t="shared" si="180"/>
        <v>118</v>
      </c>
      <c r="I162" s="207">
        <f t="shared" si="181"/>
        <v>910</v>
      </c>
      <c r="J162" s="207">
        <f t="shared" si="182"/>
        <v>831</v>
      </c>
      <c r="K162" s="206">
        <v>20410</v>
      </c>
      <c r="L162" s="207">
        <f t="shared" si="183"/>
        <v>2216</v>
      </c>
      <c r="M162" s="207">
        <f t="shared" si="184"/>
        <v>221</v>
      </c>
      <c r="N162" s="207">
        <f t="shared" si="185"/>
        <v>831</v>
      </c>
      <c r="O162" s="207">
        <f t="shared" si="186"/>
        <v>831</v>
      </c>
      <c r="P162" s="206">
        <v>20410</v>
      </c>
      <c r="Q162" s="207">
        <f t="shared" si="187"/>
        <v>2392</v>
      </c>
      <c r="R162" s="207">
        <f t="shared" si="188"/>
        <v>206</v>
      </c>
      <c r="S162" s="207">
        <f t="shared" si="189"/>
        <v>791</v>
      </c>
      <c r="T162" s="207">
        <f t="shared" si="190"/>
        <v>997</v>
      </c>
      <c r="U162" s="206">
        <v>20410</v>
      </c>
      <c r="V162" s="207">
        <f t="shared" si="191"/>
        <v>2216</v>
      </c>
      <c r="W162" s="207">
        <f t="shared" si="192"/>
        <v>446</v>
      </c>
      <c r="X162" s="207">
        <f t="shared" si="193"/>
        <v>989</v>
      </c>
      <c r="Y162" s="207">
        <f t="shared" si="194"/>
        <v>831</v>
      </c>
      <c r="Z162" s="206">
        <v>20410</v>
      </c>
      <c r="AA162" s="207">
        <f t="shared" si="195"/>
        <v>2711</v>
      </c>
      <c r="AB162" s="207">
        <f t="shared" si="196"/>
        <v>743</v>
      </c>
      <c r="AC162" s="207">
        <f t="shared" si="197"/>
        <v>791</v>
      </c>
      <c r="AD162" s="207">
        <f t="shared" si="198"/>
        <v>1163</v>
      </c>
      <c r="AE162" s="206">
        <v>20410</v>
      </c>
      <c r="AF162" s="207">
        <f t="shared" si="199"/>
        <v>2392</v>
      </c>
      <c r="AG162" s="207">
        <f t="shared" si="200"/>
        <v>246</v>
      </c>
      <c r="AH162" s="207">
        <f t="shared" si="201"/>
        <v>910</v>
      </c>
      <c r="AI162" s="207">
        <f t="shared" si="202"/>
        <v>997</v>
      </c>
    </row>
    <row r="163" spans="1:35" x14ac:dyDescent="0.15">
      <c r="A163" s="206">
        <v>20411</v>
      </c>
      <c r="B163" s="207">
        <f t="shared" si="175"/>
        <v>2296</v>
      </c>
      <c r="C163" s="207">
        <f t="shared" si="176"/>
        <v>229</v>
      </c>
      <c r="D163" s="207">
        <f t="shared" si="177"/>
        <v>861</v>
      </c>
      <c r="E163" s="207">
        <f t="shared" si="178"/>
        <v>861</v>
      </c>
      <c r="F163" s="206">
        <v>20411</v>
      </c>
      <c r="G163" s="207">
        <f t="shared" si="179"/>
        <v>2296</v>
      </c>
      <c r="H163" s="207">
        <f t="shared" si="180"/>
        <v>122</v>
      </c>
      <c r="I163" s="207">
        <f t="shared" si="181"/>
        <v>943</v>
      </c>
      <c r="J163" s="207">
        <f t="shared" si="182"/>
        <v>861</v>
      </c>
      <c r="K163" s="206">
        <v>20411</v>
      </c>
      <c r="L163" s="207">
        <f t="shared" si="183"/>
        <v>2296</v>
      </c>
      <c r="M163" s="207">
        <f t="shared" si="184"/>
        <v>229</v>
      </c>
      <c r="N163" s="207">
        <f t="shared" si="185"/>
        <v>861</v>
      </c>
      <c r="O163" s="207">
        <f t="shared" si="186"/>
        <v>861</v>
      </c>
      <c r="P163" s="206">
        <v>20411</v>
      </c>
      <c r="Q163" s="207">
        <f t="shared" si="187"/>
        <v>2478</v>
      </c>
      <c r="R163" s="207">
        <f t="shared" si="188"/>
        <v>213</v>
      </c>
      <c r="S163" s="207">
        <f t="shared" si="189"/>
        <v>820</v>
      </c>
      <c r="T163" s="207">
        <f t="shared" si="190"/>
        <v>1033</v>
      </c>
      <c r="U163" s="206">
        <v>20411</v>
      </c>
      <c r="V163" s="207">
        <f t="shared" si="191"/>
        <v>2296</v>
      </c>
      <c r="W163" s="207">
        <f t="shared" si="192"/>
        <v>462</v>
      </c>
      <c r="X163" s="207">
        <f t="shared" si="193"/>
        <v>1025</v>
      </c>
      <c r="Y163" s="207">
        <f t="shared" si="194"/>
        <v>861</v>
      </c>
      <c r="Z163" s="206">
        <v>20411</v>
      </c>
      <c r="AA163" s="207">
        <f t="shared" si="195"/>
        <v>2809</v>
      </c>
      <c r="AB163" s="207">
        <f t="shared" si="196"/>
        <v>769</v>
      </c>
      <c r="AC163" s="207">
        <f t="shared" si="197"/>
        <v>820</v>
      </c>
      <c r="AD163" s="207">
        <f t="shared" si="198"/>
        <v>1205</v>
      </c>
      <c r="AE163" s="206">
        <v>20411</v>
      </c>
      <c r="AF163" s="207">
        <f t="shared" si="199"/>
        <v>2478</v>
      </c>
      <c r="AG163" s="207">
        <f t="shared" si="200"/>
        <v>255</v>
      </c>
      <c r="AH163" s="207">
        <f t="shared" si="201"/>
        <v>943</v>
      </c>
      <c r="AI163" s="207">
        <f t="shared" si="202"/>
        <v>1033</v>
      </c>
    </row>
    <row r="164" spans="1:35" x14ac:dyDescent="0.15">
      <c r="A164" s="206">
        <v>20412</v>
      </c>
      <c r="B164" s="207">
        <f t="shared" si="175"/>
        <v>2376</v>
      </c>
      <c r="C164" s="207">
        <f t="shared" si="176"/>
        <v>237</v>
      </c>
      <c r="D164" s="207">
        <f t="shared" si="177"/>
        <v>891</v>
      </c>
      <c r="E164" s="207">
        <f t="shared" si="178"/>
        <v>891</v>
      </c>
      <c r="F164" s="206">
        <v>20412</v>
      </c>
      <c r="G164" s="207">
        <f t="shared" si="179"/>
        <v>2376</v>
      </c>
      <c r="H164" s="207">
        <f t="shared" si="180"/>
        <v>126</v>
      </c>
      <c r="I164" s="207">
        <f t="shared" si="181"/>
        <v>976</v>
      </c>
      <c r="J164" s="207">
        <f t="shared" si="182"/>
        <v>891</v>
      </c>
      <c r="K164" s="206">
        <v>20412</v>
      </c>
      <c r="L164" s="207">
        <f t="shared" si="183"/>
        <v>2376</v>
      </c>
      <c r="M164" s="207">
        <f t="shared" si="184"/>
        <v>237</v>
      </c>
      <c r="N164" s="207">
        <f t="shared" si="185"/>
        <v>891</v>
      </c>
      <c r="O164" s="207">
        <f t="shared" si="186"/>
        <v>891</v>
      </c>
      <c r="P164" s="206">
        <v>20412</v>
      </c>
      <c r="Q164" s="207">
        <f t="shared" si="187"/>
        <v>2564</v>
      </c>
      <c r="R164" s="207">
        <f t="shared" si="188"/>
        <v>220</v>
      </c>
      <c r="S164" s="207">
        <f t="shared" si="189"/>
        <v>849</v>
      </c>
      <c r="T164" s="207">
        <f t="shared" si="190"/>
        <v>1069</v>
      </c>
      <c r="U164" s="206">
        <v>20412</v>
      </c>
      <c r="V164" s="207">
        <f t="shared" si="191"/>
        <v>2376</v>
      </c>
      <c r="W164" s="207">
        <f t="shared" si="192"/>
        <v>478</v>
      </c>
      <c r="X164" s="207">
        <f t="shared" si="193"/>
        <v>1061</v>
      </c>
      <c r="Y164" s="207">
        <f t="shared" si="194"/>
        <v>891</v>
      </c>
      <c r="Z164" s="206">
        <v>20412</v>
      </c>
      <c r="AA164" s="207">
        <f t="shared" si="195"/>
        <v>2907</v>
      </c>
      <c r="AB164" s="207">
        <f t="shared" si="196"/>
        <v>796</v>
      </c>
      <c r="AC164" s="207">
        <f t="shared" si="197"/>
        <v>849</v>
      </c>
      <c r="AD164" s="207">
        <f t="shared" si="198"/>
        <v>1247</v>
      </c>
      <c r="AE164" s="206">
        <v>20412</v>
      </c>
      <c r="AF164" s="207">
        <f t="shared" si="199"/>
        <v>2564</v>
      </c>
      <c r="AG164" s="207">
        <f t="shared" si="200"/>
        <v>264</v>
      </c>
      <c r="AH164" s="207">
        <f t="shared" si="201"/>
        <v>976</v>
      </c>
      <c r="AI164" s="207">
        <f t="shared" si="202"/>
        <v>1069</v>
      </c>
    </row>
    <row r="165" spans="1:35" x14ac:dyDescent="0.15">
      <c r="A165" s="206">
        <v>20413</v>
      </c>
      <c r="B165" s="207">
        <f t="shared" si="175"/>
        <v>2464</v>
      </c>
      <c r="C165" s="207">
        <f t="shared" si="176"/>
        <v>246</v>
      </c>
      <c r="D165" s="207">
        <f t="shared" si="177"/>
        <v>924</v>
      </c>
      <c r="E165" s="207">
        <f t="shared" si="178"/>
        <v>924</v>
      </c>
      <c r="F165" s="206">
        <v>20413</v>
      </c>
      <c r="G165" s="207">
        <f t="shared" si="179"/>
        <v>2464</v>
      </c>
      <c r="H165" s="207">
        <f t="shared" si="180"/>
        <v>131</v>
      </c>
      <c r="I165" s="207">
        <f t="shared" si="181"/>
        <v>1012</v>
      </c>
      <c r="J165" s="207">
        <f t="shared" si="182"/>
        <v>924</v>
      </c>
      <c r="K165" s="206">
        <v>20413</v>
      </c>
      <c r="L165" s="207">
        <f t="shared" si="183"/>
        <v>2464</v>
      </c>
      <c r="M165" s="207">
        <f t="shared" si="184"/>
        <v>246</v>
      </c>
      <c r="N165" s="207">
        <f t="shared" si="185"/>
        <v>924</v>
      </c>
      <c r="O165" s="207">
        <f t="shared" si="186"/>
        <v>924</v>
      </c>
      <c r="P165" s="206">
        <v>20413</v>
      </c>
      <c r="Q165" s="207">
        <f t="shared" si="187"/>
        <v>2659</v>
      </c>
      <c r="R165" s="207">
        <f t="shared" si="188"/>
        <v>229</v>
      </c>
      <c r="S165" s="207">
        <f t="shared" si="189"/>
        <v>880</v>
      </c>
      <c r="T165" s="207">
        <f t="shared" si="190"/>
        <v>1109</v>
      </c>
      <c r="U165" s="206">
        <v>20413</v>
      </c>
      <c r="V165" s="207">
        <f t="shared" si="191"/>
        <v>2464</v>
      </c>
      <c r="W165" s="207">
        <f t="shared" si="192"/>
        <v>496</v>
      </c>
      <c r="X165" s="207">
        <f t="shared" si="193"/>
        <v>1100</v>
      </c>
      <c r="Y165" s="207">
        <f t="shared" si="194"/>
        <v>924</v>
      </c>
      <c r="Z165" s="206">
        <v>20413</v>
      </c>
      <c r="AA165" s="207">
        <f t="shared" si="195"/>
        <v>3014</v>
      </c>
      <c r="AB165" s="207">
        <f t="shared" si="196"/>
        <v>826</v>
      </c>
      <c r="AC165" s="207">
        <f t="shared" si="197"/>
        <v>880</v>
      </c>
      <c r="AD165" s="207">
        <f t="shared" si="198"/>
        <v>1294</v>
      </c>
      <c r="AE165" s="206">
        <v>20413</v>
      </c>
      <c r="AF165" s="207">
        <f t="shared" si="199"/>
        <v>2659</v>
      </c>
      <c r="AG165" s="207">
        <f t="shared" si="200"/>
        <v>274</v>
      </c>
      <c r="AH165" s="207">
        <f t="shared" si="201"/>
        <v>1012</v>
      </c>
      <c r="AI165" s="207">
        <f t="shared" si="202"/>
        <v>1109</v>
      </c>
    </row>
    <row r="166" spans="1:35" x14ac:dyDescent="0.15">
      <c r="A166" s="206">
        <v>20414</v>
      </c>
      <c r="B166" s="207">
        <f t="shared" si="175"/>
        <v>2552</v>
      </c>
      <c r="C166" s="207">
        <f t="shared" si="176"/>
        <v>254</v>
      </c>
      <c r="D166" s="207">
        <f t="shared" si="177"/>
        <v>957</v>
      </c>
      <c r="E166" s="207">
        <f t="shared" si="178"/>
        <v>957</v>
      </c>
      <c r="F166" s="206">
        <v>20414</v>
      </c>
      <c r="G166" s="207">
        <f t="shared" si="179"/>
        <v>2552</v>
      </c>
      <c r="H166" s="207">
        <f t="shared" si="180"/>
        <v>135</v>
      </c>
      <c r="I166" s="207">
        <f t="shared" si="181"/>
        <v>1048</v>
      </c>
      <c r="J166" s="207">
        <f t="shared" si="182"/>
        <v>957</v>
      </c>
      <c r="K166" s="206">
        <v>20414</v>
      </c>
      <c r="L166" s="207">
        <f t="shared" si="183"/>
        <v>2552</v>
      </c>
      <c r="M166" s="207">
        <f t="shared" si="184"/>
        <v>254</v>
      </c>
      <c r="N166" s="207">
        <f t="shared" si="185"/>
        <v>957</v>
      </c>
      <c r="O166" s="207">
        <f t="shared" si="186"/>
        <v>957</v>
      </c>
      <c r="P166" s="206">
        <v>20414</v>
      </c>
      <c r="Q166" s="207">
        <f t="shared" si="187"/>
        <v>2754</v>
      </c>
      <c r="R166" s="207">
        <f t="shared" si="188"/>
        <v>237</v>
      </c>
      <c r="S166" s="207">
        <f t="shared" si="189"/>
        <v>911</v>
      </c>
      <c r="T166" s="207">
        <f t="shared" si="190"/>
        <v>1148</v>
      </c>
      <c r="U166" s="206">
        <v>20414</v>
      </c>
      <c r="V166" s="207">
        <f t="shared" si="191"/>
        <v>2552</v>
      </c>
      <c r="W166" s="207">
        <f t="shared" si="192"/>
        <v>514</v>
      </c>
      <c r="X166" s="207">
        <f t="shared" si="193"/>
        <v>1139</v>
      </c>
      <c r="Y166" s="207">
        <f t="shared" si="194"/>
        <v>957</v>
      </c>
      <c r="Z166" s="206">
        <v>20414</v>
      </c>
      <c r="AA166" s="207">
        <f t="shared" si="195"/>
        <v>3122</v>
      </c>
      <c r="AB166" s="207">
        <f t="shared" si="196"/>
        <v>855</v>
      </c>
      <c r="AC166" s="207">
        <f t="shared" si="197"/>
        <v>911</v>
      </c>
      <c r="AD166" s="207">
        <f t="shared" si="198"/>
        <v>1340</v>
      </c>
      <c r="AE166" s="206">
        <v>20414</v>
      </c>
      <c r="AF166" s="207">
        <f t="shared" si="199"/>
        <v>2754</v>
      </c>
      <c r="AG166" s="207">
        <f t="shared" si="200"/>
        <v>284</v>
      </c>
      <c r="AH166" s="207">
        <f t="shared" si="201"/>
        <v>1048</v>
      </c>
      <c r="AI166" s="207">
        <f t="shared" si="202"/>
        <v>1148</v>
      </c>
    </row>
    <row r="167" spans="1:35" x14ac:dyDescent="0.15">
      <c r="A167" s="206">
        <v>20415</v>
      </c>
      <c r="B167" s="207">
        <f t="shared" si="175"/>
        <v>2640</v>
      </c>
      <c r="C167" s="207">
        <f t="shared" si="176"/>
        <v>263</v>
      </c>
      <c r="D167" s="207">
        <f t="shared" si="177"/>
        <v>990</v>
      </c>
      <c r="E167" s="207">
        <f t="shared" si="178"/>
        <v>990</v>
      </c>
      <c r="F167" s="206">
        <v>20415</v>
      </c>
      <c r="G167" s="207">
        <f t="shared" si="179"/>
        <v>2640</v>
      </c>
      <c r="H167" s="207">
        <f t="shared" si="180"/>
        <v>140</v>
      </c>
      <c r="I167" s="207">
        <f t="shared" si="181"/>
        <v>1084</v>
      </c>
      <c r="J167" s="207">
        <f t="shared" si="182"/>
        <v>990</v>
      </c>
      <c r="K167" s="206">
        <v>20415</v>
      </c>
      <c r="L167" s="207">
        <f t="shared" si="183"/>
        <v>2640</v>
      </c>
      <c r="M167" s="207">
        <f t="shared" si="184"/>
        <v>263</v>
      </c>
      <c r="N167" s="207">
        <f t="shared" si="185"/>
        <v>990</v>
      </c>
      <c r="O167" s="207">
        <f t="shared" si="186"/>
        <v>990</v>
      </c>
      <c r="P167" s="206">
        <v>20415</v>
      </c>
      <c r="Q167" s="207">
        <f t="shared" si="187"/>
        <v>2849</v>
      </c>
      <c r="R167" s="207">
        <f t="shared" si="188"/>
        <v>245</v>
      </c>
      <c r="S167" s="207">
        <f t="shared" si="189"/>
        <v>943</v>
      </c>
      <c r="T167" s="207">
        <f t="shared" si="190"/>
        <v>1188</v>
      </c>
      <c r="U167" s="206">
        <v>20415</v>
      </c>
      <c r="V167" s="207">
        <f t="shared" si="191"/>
        <v>2640</v>
      </c>
      <c r="W167" s="207">
        <f t="shared" si="192"/>
        <v>531</v>
      </c>
      <c r="X167" s="207">
        <f t="shared" si="193"/>
        <v>1179</v>
      </c>
      <c r="Y167" s="207">
        <f t="shared" si="194"/>
        <v>990</v>
      </c>
      <c r="Z167" s="206">
        <v>20415</v>
      </c>
      <c r="AA167" s="207">
        <f t="shared" si="195"/>
        <v>3230</v>
      </c>
      <c r="AB167" s="207">
        <f t="shared" si="196"/>
        <v>885</v>
      </c>
      <c r="AC167" s="207">
        <f t="shared" si="197"/>
        <v>943</v>
      </c>
      <c r="AD167" s="207">
        <f t="shared" si="198"/>
        <v>1386</v>
      </c>
      <c r="AE167" s="206">
        <v>20415</v>
      </c>
      <c r="AF167" s="207">
        <f t="shared" si="199"/>
        <v>2849</v>
      </c>
      <c r="AG167" s="207">
        <f t="shared" si="200"/>
        <v>294</v>
      </c>
      <c r="AH167" s="207">
        <f t="shared" si="201"/>
        <v>1084</v>
      </c>
      <c r="AI167" s="207">
        <f t="shared" si="202"/>
        <v>1188</v>
      </c>
    </row>
    <row r="168" spans="1:35" x14ac:dyDescent="0.15">
      <c r="A168" s="206">
        <v>20416</v>
      </c>
      <c r="B168" s="207">
        <f t="shared" si="175"/>
        <v>2728</v>
      </c>
      <c r="C168" s="207">
        <f t="shared" si="176"/>
        <v>272</v>
      </c>
      <c r="D168" s="207">
        <f t="shared" si="177"/>
        <v>1023</v>
      </c>
      <c r="E168" s="207">
        <f t="shared" si="178"/>
        <v>1023</v>
      </c>
      <c r="F168" s="206">
        <v>20416</v>
      </c>
      <c r="G168" s="207">
        <f t="shared" si="179"/>
        <v>2728</v>
      </c>
      <c r="H168" s="207">
        <f t="shared" si="180"/>
        <v>145</v>
      </c>
      <c r="I168" s="207">
        <f t="shared" si="181"/>
        <v>1120</v>
      </c>
      <c r="J168" s="207">
        <f t="shared" si="182"/>
        <v>1023</v>
      </c>
      <c r="K168" s="206">
        <v>20416</v>
      </c>
      <c r="L168" s="207">
        <f t="shared" si="183"/>
        <v>2728</v>
      </c>
      <c r="M168" s="207">
        <f t="shared" si="184"/>
        <v>272</v>
      </c>
      <c r="N168" s="207">
        <f t="shared" si="185"/>
        <v>1023</v>
      </c>
      <c r="O168" s="207">
        <f t="shared" si="186"/>
        <v>1023</v>
      </c>
      <c r="P168" s="206">
        <v>20416</v>
      </c>
      <c r="Q168" s="207">
        <f t="shared" si="187"/>
        <v>2944</v>
      </c>
      <c r="R168" s="207">
        <f t="shared" si="188"/>
        <v>253</v>
      </c>
      <c r="S168" s="207">
        <f t="shared" si="189"/>
        <v>974</v>
      </c>
      <c r="T168" s="207">
        <f t="shared" si="190"/>
        <v>1228</v>
      </c>
      <c r="U168" s="206">
        <v>20416</v>
      </c>
      <c r="V168" s="207">
        <f t="shared" si="191"/>
        <v>2728</v>
      </c>
      <c r="W168" s="207">
        <f t="shared" si="192"/>
        <v>549</v>
      </c>
      <c r="X168" s="207">
        <f t="shared" si="193"/>
        <v>1218</v>
      </c>
      <c r="Y168" s="207">
        <f t="shared" si="194"/>
        <v>1023</v>
      </c>
      <c r="Z168" s="206">
        <v>20416</v>
      </c>
      <c r="AA168" s="207">
        <f t="shared" si="195"/>
        <v>3337</v>
      </c>
      <c r="AB168" s="207">
        <f t="shared" si="196"/>
        <v>914</v>
      </c>
      <c r="AC168" s="207">
        <f t="shared" si="197"/>
        <v>974</v>
      </c>
      <c r="AD168" s="207">
        <f t="shared" si="198"/>
        <v>1432</v>
      </c>
      <c r="AE168" s="206">
        <v>20416</v>
      </c>
      <c r="AF168" s="207">
        <f t="shared" si="199"/>
        <v>2944</v>
      </c>
      <c r="AG168" s="207">
        <f t="shared" si="200"/>
        <v>303</v>
      </c>
      <c r="AH168" s="207">
        <f t="shared" si="201"/>
        <v>1120</v>
      </c>
      <c r="AI168" s="207">
        <f t="shared" si="202"/>
        <v>1228</v>
      </c>
    </row>
    <row r="169" spans="1:35" x14ac:dyDescent="0.15">
      <c r="A169" s="206">
        <v>20417</v>
      </c>
      <c r="B169" s="207">
        <f t="shared" si="175"/>
        <v>2816</v>
      </c>
      <c r="C169" s="207">
        <f t="shared" si="176"/>
        <v>281</v>
      </c>
      <c r="D169" s="207">
        <f t="shared" si="177"/>
        <v>1056</v>
      </c>
      <c r="E169" s="207">
        <f t="shared" si="178"/>
        <v>1056</v>
      </c>
      <c r="F169" s="206">
        <v>20417</v>
      </c>
      <c r="G169" s="207">
        <f t="shared" si="179"/>
        <v>2816</v>
      </c>
      <c r="H169" s="207">
        <f t="shared" si="180"/>
        <v>149</v>
      </c>
      <c r="I169" s="207">
        <f t="shared" si="181"/>
        <v>1157</v>
      </c>
      <c r="J169" s="207">
        <f t="shared" si="182"/>
        <v>1056</v>
      </c>
      <c r="K169" s="206">
        <v>20417</v>
      </c>
      <c r="L169" s="207">
        <f t="shared" si="183"/>
        <v>2816</v>
      </c>
      <c r="M169" s="207">
        <f t="shared" si="184"/>
        <v>281</v>
      </c>
      <c r="N169" s="207">
        <f t="shared" si="185"/>
        <v>1056</v>
      </c>
      <c r="O169" s="207">
        <f t="shared" si="186"/>
        <v>1056</v>
      </c>
      <c r="P169" s="206">
        <v>20417</v>
      </c>
      <c r="Q169" s="207">
        <f t="shared" si="187"/>
        <v>3039</v>
      </c>
      <c r="R169" s="207">
        <f t="shared" si="188"/>
        <v>261</v>
      </c>
      <c r="S169" s="207">
        <f t="shared" si="189"/>
        <v>1006</v>
      </c>
      <c r="T169" s="207">
        <f t="shared" si="190"/>
        <v>1267</v>
      </c>
      <c r="U169" s="206">
        <v>20417</v>
      </c>
      <c r="V169" s="207">
        <f t="shared" si="191"/>
        <v>2816</v>
      </c>
      <c r="W169" s="207">
        <f t="shared" si="192"/>
        <v>567</v>
      </c>
      <c r="X169" s="207">
        <f t="shared" si="193"/>
        <v>1257</v>
      </c>
      <c r="Y169" s="207">
        <f t="shared" si="194"/>
        <v>1056</v>
      </c>
      <c r="Z169" s="206">
        <v>20417</v>
      </c>
      <c r="AA169" s="207">
        <f t="shared" si="195"/>
        <v>3445</v>
      </c>
      <c r="AB169" s="207">
        <f t="shared" si="196"/>
        <v>944</v>
      </c>
      <c r="AC169" s="207">
        <f t="shared" si="197"/>
        <v>1006</v>
      </c>
      <c r="AD169" s="207">
        <f t="shared" si="198"/>
        <v>1478</v>
      </c>
      <c r="AE169" s="206">
        <v>20417</v>
      </c>
      <c r="AF169" s="207">
        <f t="shared" si="199"/>
        <v>3039</v>
      </c>
      <c r="AG169" s="207">
        <f t="shared" si="200"/>
        <v>313</v>
      </c>
      <c r="AH169" s="207">
        <f t="shared" si="201"/>
        <v>1157</v>
      </c>
      <c r="AI169" s="207">
        <f t="shared" si="202"/>
        <v>1267</v>
      </c>
    </row>
    <row r="170" spans="1:35" x14ac:dyDescent="0.15">
      <c r="A170" s="206">
        <v>20418</v>
      </c>
      <c r="B170" s="207">
        <f t="shared" si="175"/>
        <v>2904</v>
      </c>
      <c r="C170" s="207">
        <f t="shared" si="176"/>
        <v>289</v>
      </c>
      <c r="D170" s="207">
        <f t="shared" si="177"/>
        <v>1089</v>
      </c>
      <c r="E170" s="207">
        <f t="shared" si="178"/>
        <v>1089</v>
      </c>
      <c r="F170" s="206">
        <v>20418</v>
      </c>
      <c r="G170" s="207">
        <f t="shared" si="179"/>
        <v>2904</v>
      </c>
      <c r="H170" s="207">
        <f t="shared" si="180"/>
        <v>154</v>
      </c>
      <c r="I170" s="207">
        <f t="shared" si="181"/>
        <v>1193</v>
      </c>
      <c r="J170" s="207">
        <f t="shared" si="182"/>
        <v>1089</v>
      </c>
      <c r="K170" s="206">
        <v>20418</v>
      </c>
      <c r="L170" s="207">
        <f t="shared" si="183"/>
        <v>2904</v>
      </c>
      <c r="M170" s="207">
        <f t="shared" si="184"/>
        <v>289</v>
      </c>
      <c r="N170" s="207">
        <f t="shared" si="185"/>
        <v>1089</v>
      </c>
      <c r="O170" s="207">
        <f t="shared" si="186"/>
        <v>1089</v>
      </c>
      <c r="P170" s="206">
        <v>20418</v>
      </c>
      <c r="Q170" s="207">
        <f t="shared" si="187"/>
        <v>3134</v>
      </c>
      <c r="R170" s="207">
        <f t="shared" si="188"/>
        <v>269</v>
      </c>
      <c r="S170" s="207">
        <f t="shared" si="189"/>
        <v>1037</v>
      </c>
      <c r="T170" s="207">
        <f t="shared" si="190"/>
        <v>1307</v>
      </c>
      <c r="U170" s="206">
        <v>20418</v>
      </c>
      <c r="V170" s="207">
        <f t="shared" si="191"/>
        <v>2904</v>
      </c>
      <c r="W170" s="207">
        <f t="shared" si="192"/>
        <v>585</v>
      </c>
      <c r="X170" s="207">
        <f t="shared" si="193"/>
        <v>1296</v>
      </c>
      <c r="Y170" s="207">
        <f t="shared" si="194"/>
        <v>1089</v>
      </c>
      <c r="Z170" s="206">
        <v>20418</v>
      </c>
      <c r="AA170" s="207">
        <f t="shared" si="195"/>
        <v>3552</v>
      </c>
      <c r="AB170" s="207">
        <f t="shared" si="196"/>
        <v>973</v>
      </c>
      <c r="AC170" s="207">
        <f t="shared" si="197"/>
        <v>1037</v>
      </c>
      <c r="AD170" s="207">
        <f t="shared" si="198"/>
        <v>1525</v>
      </c>
      <c r="AE170" s="206">
        <v>20418</v>
      </c>
      <c r="AF170" s="207">
        <f t="shared" si="199"/>
        <v>3134</v>
      </c>
      <c r="AG170" s="207">
        <f t="shared" si="200"/>
        <v>323</v>
      </c>
      <c r="AH170" s="207">
        <f t="shared" si="201"/>
        <v>1193</v>
      </c>
      <c r="AI170" s="207">
        <f t="shared" si="202"/>
        <v>1307</v>
      </c>
    </row>
    <row r="171" spans="1:35" x14ac:dyDescent="0.15">
      <c r="A171" s="206">
        <v>20501</v>
      </c>
      <c r="B171" s="207">
        <f t="shared" si="175"/>
        <v>1944</v>
      </c>
      <c r="C171" s="207">
        <f t="shared" si="176"/>
        <v>194</v>
      </c>
      <c r="D171" s="207">
        <f t="shared" si="177"/>
        <v>729</v>
      </c>
      <c r="E171" s="207">
        <f t="shared" si="178"/>
        <v>729</v>
      </c>
      <c r="F171" s="206">
        <v>20501</v>
      </c>
      <c r="G171" s="207">
        <f t="shared" si="179"/>
        <v>1944</v>
      </c>
      <c r="H171" s="207">
        <f t="shared" si="180"/>
        <v>103</v>
      </c>
      <c r="I171" s="207">
        <f t="shared" si="181"/>
        <v>798</v>
      </c>
      <c r="J171" s="207">
        <f t="shared" si="182"/>
        <v>729</v>
      </c>
      <c r="K171" s="206">
        <v>20501</v>
      </c>
      <c r="L171" s="207">
        <f t="shared" si="183"/>
        <v>1944</v>
      </c>
      <c r="M171" s="207">
        <f t="shared" si="184"/>
        <v>194</v>
      </c>
      <c r="N171" s="207">
        <f t="shared" si="185"/>
        <v>729</v>
      </c>
      <c r="O171" s="207">
        <f t="shared" si="186"/>
        <v>729</v>
      </c>
      <c r="P171" s="206">
        <v>20501</v>
      </c>
      <c r="Q171" s="207">
        <f t="shared" si="187"/>
        <v>2098</v>
      </c>
      <c r="R171" s="207">
        <f t="shared" si="188"/>
        <v>180</v>
      </c>
      <c r="S171" s="207">
        <f t="shared" si="189"/>
        <v>694</v>
      </c>
      <c r="T171" s="207">
        <f t="shared" si="190"/>
        <v>875</v>
      </c>
      <c r="U171" s="206">
        <v>20501</v>
      </c>
      <c r="V171" s="207">
        <f t="shared" si="191"/>
        <v>1944</v>
      </c>
      <c r="W171" s="207">
        <f t="shared" si="192"/>
        <v>391</v>
      </c>
      <c r="X171" s="207">
        <f t="shared" si="193"/>
        <v>868</v>
      </c>
      <c r="Y171" s="207">
        <f t="shared" si="194"/>
        <v>729</v>
      </c>
      <c r="Z171" s="206">
        <v>20501</v>
      </c>
      <c r="AA171" s="207">
        <f t="shared" si="195"/>
        <v>2378</v>
      </c>
      <c r="AB171" s="207">
        <f t="shared" si="196"/>
        <v>651</v>
      </c>
      <c r="AC171" s="207">
        <f t="shared" si="197"/>
        <v>694</v>
      </c>
      <c r="AD171" s="207">
        <f t="shared" si="198"/>
        <v>1021</v>
      </c>
      <c r="AE171" s="206">
        <v>20501</v>
      </c>
      <c r="AF171" s="207">
        <f t="shared" si="199"/>
        <v>2098</v>
      </c>
      <c r="AG171" s="207">
        <f t="shared" si="200"/>
        <v>216</v>
      </c>
      <c r="AH171" s="207">
        <f t="shared" si="201"/>
        <v>798</v>
      </c>
      <c r="AI171" s="207">
        <f t="shared" si="202"/>
        <v>875</v>
      </c>
    </row>
    <row r="172" spans="1:35" x14ac:dyDescent="0.15">
      <c r="A172" s="206">
        <v>20502</v>
      </c>
      <c r="B172" s="207">
        <f t="shared" si="175"/>
        <v>2032</v>
      </c>
      <c r="C172" s="207">
        <f t="shared" si="176"/>
        <v>202</v>
      </c>
      <c r="D172" s="207">
        <f t="shared" si="177"/>
        <v>762</v>
      </c>
      <c r="E172" s="207">
        <f t="shared" si="178"/>
        <v>762</v>
      </c>
      <c r="F172" s="206">
        <v>20502</v>
      </c>
      <c r="G172" s="207">
        <f t="shared" si="179"/>
        <v>2032</v>
      </c>
      <c r="H172" s="207">
        <f t="shared" si="180"/>
        <v>108</v>
      </c>
      <c r="I172" s="207">
        <f t="shared" si="181"/>
        <v>835</v>
      </c>
      <c r="J172" s="207">
        <f t="shared" si="182"/>
        <v>762</v>
      </c>
      <c r="K172" s="206">
        <v>20502</v>
      </c>
      <c r="L172" s="207">
        <f t="shared" si="183"/>
        <v>2032</v>
      </c>
      <c r="M172" s="207">
        <f t="shared" si="184"/>
        <v>202</v>
      </c>
      <c r="N172" s="207">
        <f t="shared" si="185"/>
        <v>762</v>
      </c>
      <c r="O172" s="207">
        <f t="shared" si="186"/>
        <v>762</v>
      </c>
      <c r="P172" s="206">
        <v>20502</v>
      </c>
      <c r="Q172" s="207">
        <f t="shared" si="187"/>
        <v>2193</v>
      </c>
      <c r="R172" s="207">
        <f t="shared" si="188"/>
        <v>189</v>
      </c>
      <c r="S172" s="207">
        <f t="shared" si="189"/>
        <v>726</v>
      </c>
      <c r="T172" s="207">
        <f t="shared" si="190"/>
        <v>914</v>
      </c>
      <c r="U172" s="206">
        <v>20502</v>
      </c>
      <c r="V172" s="207">
        <f t="shared" si="191"/>
        <v>2032</v>
      </c>
      <c r="W172" s="207">
        <f t="shared" si="192"/>
        <v>409</v>
      </c>
      <c r="X172" s="207">
        <f t="shared" si="193"/>
        <v>907</v>
      </c>
      <c r="Y172" s="207">
        <f t="shared" si="194"/>
        <v>762</v>
      </c>
      <c r="Z172" s="206">
        <v>20502</v>
      </c>
      <c r="AA172" s="207">
        <f t="shared" si="195"/>
        <v>2486</v>
      </c>
      <c r="AB172" s="207">
        <f t="shared" si="196"/>
        <v>681</v>
      </c>
      <c r="AC172" s="207">
        <f t="shared" si="197"/>
        <v>726</v>
      </c>
      <c r="AD172" s="207">
        <f t="shared" si="198"/>
        <v>1067</v>
      </c>
      <c r="AE172" s="206">
        <v>20502</v>
      </c>
      <c r="AF172" s="207">
        <f t="shared" si="199"/>
        <v>2193</v>
      </c>
      <c r="AG172" s="207">
        <f t="shared" si="200"/>
        <v>226</v>
      </c>
      <c r="AH172" s="207">
        <f t="shared" si="201"/>
        <v>835</v>
      </c>
      <c r="AI172" s="207">
        <f t="shared" si="202"/>
        <v>914</v>
      </c>
    </row>
    <row r="173" spans="1:35" x14ac:dyDescent="0.15">
      <c r="A173" s="206">
        <v>20503</v>
      </c>
      <c r="B173" s="207">
        <f t="shared" si="175"/>
        <v>2120</v>
      </c>
      <c r="C173" s="207">
        <f t="shared" si="176"/>
        <v>211</v>
      </c>
      <c r="D173" s="207">
        <f t="shared" si="177"/>
        <v>795</v>
      </c>
      <c r="E173" s="207">
        <f t="shared" si="178"/>
        <v>795</v>
      </c>
      <c r="F173" s="206">
        <v>20503</v>
      </c>
      <c r="G173" s="207">
        <f t="shared" si="179"/>
        <v>2120</v>
      </c>
      <c r="H173" s="207">
        <f t="shared" si="180"/>
        <v>113</v>
      </c>
      <c r="I173" s="207">
        <f t="shared" si="181"/>
        <v>871</v>
      </c>
      <c r="J173" s="207">
        <f t="shared" si="182"/>
        <v>795</v>
      </c>
      <c r="K173" s="206">
        <v>20503</v>
      </c>
      <c r="L173" s="207">
        <f t="shared" si="183"/>
        <v>2120</v>
      </c>
      <c r="M173" s="207">
        <f t="shared" si="184"/>
        <v>211</v>
      </c>
      <c r="N173" s="207">
        <f t="shared" si="185"/>
        <v>795</v>
      </c>
      <c r="O173" s="207">
        <f t="shared" si="186"/>
        <v>795</v>
      </c>
      <c r="P173" s="206">
        <v>20503</v>
      </c>
      <c r="Q173" s="207">
        <f t="shared" si="187"/>
        <v>2288</v>
      </c>
      <c r="R173" s="207">
        <f t="shared" si="188"/>
        <v>197</v>
      </c>
      <c r="S173" s="207">
        <f t="shared" si="189"/>
        <v>757</v>
      </c>
      <c r="T173" s="207">
        <f t="shared" si="190"/>
        <v>954</v>
      </c>
      <c r="U173" s="206">
        <v>20503</v>
      </c>
      <c r="V173" s="207">
        <f t="shared" si="191"/>
        <v>2120</v>
      </c>
      <c r="W173" s="207">
        <f t="shared" si="192"/>
        <v>427</v>
      </c>
      <c r="X173" s="207">
        <f t="shared" si="193"/>
        <v>946</v>
      </c>
      <c r="Y173" s="207">
        <f t="shared" si="194"/>
        <v>795</v>
      </c>
      <c r="Z173" s="206">
        <v>20503</v>
      </c>
      <c r="AA173" s="207">
        <f t="shared" si="195"/>
        <v>2593</v>
      </c>
      <c r="AB173" s="207">
        <f t="shared" si="196"/>
        <v>710</v>
      </c>
      <c r="AC173" s="207">
        <f t="shared" si="197"/>
        <v>757</v>
      </c>
      <c r="AD173" s="207">
        <f t="shared" si="198"/>
        <v>1113</v>
      </c>
      <c r="AE173" s="206">
        <v>20503</v>
      </c>
      <c r="AF173" s="207">
        <f t="shared" si="199"/>
        <v>2288</v>
      </c>
      <c r="AG173" s="207">
        <f t="shared" si="200"/>
        <v>236</v>
      </c>
      <c r="AH173" s="207">
        <f t="shared" si="201"/>
        <v>871</v>
      </c>
      <c r="AI173" s="207">
        <f t="shared" si="202"/>
        <v>954</v>
      </c>
    </row>
    <row r="174" spans="1:35" x14ac:dyDescent="0.15">
      <c r="A174" s="206">
        <v>20504</v>
      </c>
      <c r="B174" s="207">
        <f t="shared" si="175"/>
        <v>2208</v>
      </c>
      <c r="C174" s="207">
        <f t="shared" si="176"/>
        <v>220</v>
      </c>
      <c r="D174" s="207">
        <f t="shared" si="177"/>
        <v>828</v>
      </c>
      <c r="E174" s="207">
        <f t="shared" si="178"/>
        <v>828</v>
      </c>
      <c r="F174" s="206">
        <v>20504</v>
      </c>
      <c r="G174" s="207">
        <f t="shared" si="179"/>
        <v>2208</v>
      </c>
      <c r="H174" s="207">
        <f t="shared" si="180"/>
        <v>117</v>
      </c>
      <c r="I174" s="207">
        <f t="shared" si="181"/>
        <v>907</v>
      </c>
      <c r="J174" s="207">
        <f t="shared" si="182"/>
        <v>828</v>
      </c>
      <c r="K174" s="206">
        <v>20504</v>
      </c>
      <c r="L174" s="207">
        <f t="shared" si="183"/>
        <v>2208</v>
      </c>
      <c r="M174" s="207">
        <f t="shared" si="184"/>
        <v>220</v>
      </c>
      <c r="N174" s="207">
        <f t="shared" si="185"/>
        <v>828</v>
      </c>
      <c r="O174" s="207">
        <f t="shared" si="186"/>
        <v>828</v>
      </c>
      <c r="P174" s="206">
        <v>20504</v>
      </c>
      <c r="Q174" s="207">
        <f t="shared" si="187"/>
        <v>2383</v>
      </c>
      <c r="R174" s="207">
        <f t="shared" si="188"/>
        <v>205</v>
      </c>
      <c r="S174" s="207">
        <f t="shared" si="189"/>
        <v>789</v>
      </c>
      <c r="T174" s="207">
        <f t="shared" si="190"/>
        <v>994</v>
      </c>
      <c r="U174" s="206">
        <v>20504</v>
      </c>
      <c r="V174" s="207">
        <f t="shared" si="191"/>
        <v>2208</v>
      </c>
      <c r="W174" s="207">
        <f t="shared" si="192"/>
        <v>444</v>
      </c>
      <c r="X174" s="207">
        <f t="shared" si="193"/>
        <v>986</v>
      </c>
      <c r="Y174" s="207">
        <f t="shared" si="194"/>
        <v>828</v>
      </c>
      <c r="Z174" s="206">
        <v>20504</v>
      </c>
      <c r="AA174" s="207">
        <f t="shared" si="195"/>
        <v>2701</v>
      </c>
      <c r="AB174" s="207">
        <f t="shared" si="196"/>
        <v>740</v>
      </c>
      <c r="AC174" s="207">
        <f t="shared" si="197"/>
        <v>789</v>
      </c>
      <c r="AD174" s="207">
        <f t="shared" si="198"/>
        <v>1159</v>
      </c>
      <c r="AE174" s="206">
        <v>20504</v>
      </c>
      <c r="AF174" s="207">
        <f t="shared" si="199"/>
        <v>2383</v>
      </c>
      <c r="AG174" s="207">
        <f t="shared" si="200"/>
        <v>246</v>
      </c>
      <c r="AH174" s="207">
        <f t="shared" si="201"/>
        <v>907</v>
      </c>
      <c r="AI174" s="207">
        <f t="shared" si="202"/>
        <v>994</v>
      </c>
    </row>
    <row r="175" spans="1:35" x14ac:dyDescent="0.15">
      <c r="A175" s="206">
        <v>20505</v>
      </c>
      <c r="B175" s="207">
        <f t="shared" si="175"/>
        <v>2296</v>
      </c>
      <c r="C175" s="207">
        <f t="shared" si="176"/>
        <v>229</v>
      </c>
      <c r="D175" s="207">
        <f t="shared" si="177"/>
        <v>861</v>
      </c>
      <c r="E175" s="207">
        <f t="shared" si="178"/>
        <v>861</v>
      </c>
      <c r="F175" s="206">
        <v>20505</v>
      </c>
      <c r="G175" s="207">
        <f t="shared" si="179"/>
        <v>2296</v>
      </c>
      <c r="H175" s="207">
        <f t="shared" si="180"/>
        <v>122</v>
      </c>
      <c r="I175" s="207">
        <f t="shared" si="181"/>
        <v>943</v>
      </c>
      <c r="J175" s="207">
        <f t="shared" si="182"/>
        <v>861</v>
      </c>
      <c r="K175" s="206">
        <v>20505</v>
      </c>
      <c r="L175" s="207">
        <f t="shared" si="183"/>
        <v>2296</v>
      </c>
      <c r="M175" s="207">
        <f t="shared" si="184"/>
        <v>229</v>
      </c>
      <c r="N175" s="207">
        <f t="shared" si="185"/>
        <v>861</v>
      </c>
      <c r="O175" s="207">
        <f t="shared" si="186"/>
        <v>861</v>
      </c>
      <c r="P175" s="206">
        <v>20505</v>
      </c>
      <c r="Q175" s="207">
        <f t="shared" si="187"/>
        <v>2478</v>
      </c>
      <c r="R175" s="207">
        <f t="shared" si="188"/>
        <v>213</v>
      </c>
      <c r="S175" s="207">
        <f t="shared" si="189"/>
        <v>820</v>
      </c>
      <c r="T175" s="207">
        <f t="shared" si="190"/>
        <v>1033</v>
      </c>
      <c r="U175" s="206">
        <v>20505</v>
      </c>
      <c r="V175" s="207">
        <f t="shared" si="191"/>
        <v>2296</v>
      </c>
      <c r="W175" s="207">
        <f t="shared" si="192"/>
        <v>462</v>
      </c>
      <c r="X175" s="207">
        <f t="shared" si="193"/>
        <v>1025</v>
      </c>
      <c r="Y175" s="207">
        <f t="shared" si="194"/>
        <v>861</v>
      </c>
      <c r="Z175" s="206">
        <v>20505</v>
      </c>
      <c r="AA175" s="207">
        <f t="shared" si="195"/>
        <v>2809</v>
      </c>
      <c r="AB175" s="207">
        <f t="shared" si="196"/>
        <v>769</v>
      </c>
      <c r="AC175" s="207">
        <f t="shared" si="197"/>
        <v>820</v>
      </c>
      <c r="AD175" s="207">
        <f t="shared" si="198"/>
        <v>1205</v>
      </c>
      <c r="AE175" s="206">
        <v>20505</v>
      </c>
      <c r="AF175" s="207">
        <f t="shared" si="199"/>
        <v>2478</v>
      </c>
      <c r="AG175" s="207">
        <f t="shared" si="200"/>
        <v>255</v>
      </c>
      <c r="AH175" s="207">
        <f t="shared" si="201"/>
        <v>943</v>
      </c>
      <c r="AI175" s="207">
        <f t="shared" si="202"/>
        <v>1033</v>
      </c>
    </row>
    <row r="176" spans="1:35" x14ac:dyDescent="0.15">
      <c r="A176" s="206">
        <v>20506</v>
      </c>
      <c r="B176" s="207">
        <f t="shared" si="175"/>
        <v>2384</v>
      </c>
      <c r="C176" s="207">
        <f t="shared" si="176"/>
        <v>238</v>
      </c>
      <c r="D176" s="207">
        <f t="shared" si="177"/>
        <v>894</v>
      </c>
      <c r="E176" s="207">
        <f t="shared" si="178"/>
        <v>894</v>
      </c>
      <c r="F176" s="206">
        <v>20506</v>
      </c>
      <c r="G176" s="207">
        <f t="shared" si="179"/>
        <v>2384</v>
      </c>
      <c r="H176" s="207">
        <f t="shared" si="180"/>
        <v>127</v>
      </c>
      <c r="I176" s="207">
        <f t="shared" si="181"/>
        <v>979</v>
      </c>
      <c r="J176" s="207">
        <f t="shared" si="182"/>
        <v>894</v>
      </c>
      <c r="K176" s="206">
        <v>20506</v>
      </c>
      <c r="L176" s="207">
        <f t="shared" si="183"/>
        <v>2384</v>
      </c>
      <c r="M176" s="207">
        <f t="shared" si="184"/>
        <v>238</v>
      </c>
      <c r="N176" s="207">
        <f t="shared" si="185"/>
        <v>894</v>
      </c>
      <c r="O176" s="207">
        <f t="shared" si="186"/>
        <v>894</v>
      </c>
      <c r="P176" s="206">
        <v>20506</v>
      </c>
      <c r="Q176" s="207">
        <f t="shared" si="187"/>
        <v>2573</v>
      </c>
      <c r="R176" s="207">
        <f t="shared" si="188"/>
        <v>221</v>
      </c>
      <c r="S176" s="207">
        <f t="shared" si="189"/>
        <v>851</v>
      </c>
      <c r="T176" s="207">
        <f t="shared" si="190"/>
        <v>1073</v>
      </c>
      <c r="U176" s="206">
        <v>20506</v>
      </c>
      <c r="V176" s="207">
        <f t="shared" si="191"/>
        <v>2384</v>
      </c>
      <c r="W176" s="207">
        <f t="shared" si="192"/>
        <v>480</v>
      </c>
      <c r="X176" s="207">
        <f t="shared" si="193"/>
        <v>1064</v>
      </c>
      <c r="Y176" s="207">
        <f t="shared" si="194"/>
        <v>894</v>
      </c>
      <c r="Z176" s="206">
        <v>20506</v>
      </c>
      <c r="AA176" s="207">
        <f t="shared" si="195"/>
        <v>2916</v>
      </c>
      <c r="AB176" s="207">
        <f t="shared" si="196"/>
        <v>799</v>
      </c>
      <c r="AC176" s="207">
        <f t="shared" si="197"/>
        <v>851</v>
      </c>
      <c r="AD176" s="207">
        <f t="shared" si="198"/>
        <v>1252</v>
      </c>
      <c r="AE176" s="206">
        <v>20506</v>
      </c>
      <c r="AF176" s="207">
        <f t="shared" si="199"/>
        <v>2573</v>
      </c>
      <c r="AG176" s="207">
        <f t="shared" si="200"/>
        <v>265</v>
      </c>
      <c r="AH176" s="207">
        <f t="shared" si="201"/>
        <v>979</v>
      </c>
      <c r="AI176" s="207">
        <f t="shared" si="202"/>
        <v>1073</v>
      </c>
    </row>
    <row r="177" spans="1:35" x14ac:dyDescent="0.15">
      <c r="A177" s="206">
        <v>20507</v>
      </c>
      <c r="B177" s="207">
        <f t="shared" si="175"/>
        <v>2472</v>
      </c>
      <c r="C177" s="207">
        <f t="shared" si="176"/>
        <v>246</v>
      </c>
      <c r="D177" s="207">
        <f t="shared" si="177"/>
        <v>927</v>
      </c>
      <c r="E177" s="207">
        <f t="shared" si="178"/>
        <v>927</v>
      </c>
      <c r="F177" s="206">
        <v>20507</v>
      </c>
      <c r="G177" s="207">
        <f t="shared" si="179"/>
        <v>2472</v>
      </c>
      <c r="H177" s="207">
        <f t="shared" si="180"/>
        <v>131</v>
      </c>
      <c r="I177" s="207">
        <f t="shared" si="181"/>
        <v>1015</v>
      </c>
      <c r="J177" s="207">
        <f t="shared" si="182"/>
        <v>927</v>
      </c>
      <c r="K177" s="206">
        <v>20507</v>
      </c>
      <c r="L177" s="207">
        <f t="shared" si="183"/>
        <v>2472</v>
      </c>
      <c r="M177" s="207">
        <f t="shared" si="184"/>
        <v>246</v>
      </c>
      <c r="N177" s="207">
        <f t="shared" si="185"/>
        <v>927</v>
      </c>
      <c r="O177" s="207">
        <f t="shared" si="186"/>
        <v>927</v>
      </c>
      <c r="P177" s="206">
        <v>20507</v>
      </c>
      <c r="Q177" s="207">
        <f t="shared" si="187"/>
        <v>2668</v>
      </c>
      <c r="R177" s="207">
        <f t="shared" si="188"/>
        <v>229</v>
      </c>
      <c r="S177" s="207">
        <f t="shared" si="189"/>
        <v>883</v>
      </c>
      <c r="T177" s="207">
        <f t="shared" si="190"/>
        <v>1112</v>
      </c>
      <c r="U177" s="206">
        <v>20507</v>
      </c>
      <c r="V177" s="207">
        <f t="shared" si="191"/>
        <v>2472</v>
      </c>
      <c r="W177" s="207">
        <f t="shared" si="192"/>
        <v>498</v>
      </c>
      <c r="X177" s="207">
        <f t="shared" si="193"/>
        <v>1104</v>
      </c>
      <c r="Y177" s="207">
        <f t="shared" si="194"/>
        <v>927</v>
      </c>
      <c r="Z177" s="206">
        <v>20507</v>
      </c>
      <c r="AA177" s="207">
        <f t="shared" si="195"/>
        <v>3024</v>
      </c>
      <c r="AB177" s="207">
        <f t="shared" si="196"/>
        <v>828</v>
      </c>
      <c r="AC177" s="207">
        <f t="shared" si="197"/>
        <v>883</v>
      </c>
      <c r="AD177" s="207">
        <f t="shared" si="198"/>
        <v>1298</v>
      </c>
      <c r="AE177" s="206">
        <v>20507</v>
      </c>
      <c r="AF177" s="207">
        <f t="shared" si="199"/>
        <v>2668</v>
      </c>
      <c r="AG177" s="207">
        <f t="shared" si="200"/>
        <v>275</v>
      </c>
      <c r="AH177" s="207">
        <f t="shared" si="201"/>
        <v>1015</v>
      </c>
      <c r="AI177" s="207">
        <f t="shared" si="202"/>
        <v>1112</v>
      </c>
    </row>
    <row r="178" spans="1:35" x14ac:dyDescent="0.15">
      <c r="A178" s="206">
        <v>20508</v>
      </c>
      <c r="B178" s="207">
        <f t="shared" si="175"/>
        <v>2560</v>
      </c>
      <c r="C178" s="207">
        <f t="shared" si="176"/>
        <v>255</v>
      </c>
      <c r="D178" s="207">
        <f t="shared" si="177"/>
        <v>960</v>
      </c>
      <c r="E178" s="207">
        <f t="shared" si="178"/>
        <v>960</v>
      </c>
      <c r="F178" s="206">
        <v>20508</v>
      </c>
      <c r="G178" s="207">
        <f t="shared" si="179"/>
        <v>2560</v>
      </c>
      <c r="H178" s="207">
        <f t="shared" si="180"/>
        <v>136</v>
      </c>
      <c r="I178" s="207">
        <f t="shared" si="181"/>
        <v>1051</v>
      </c>
      <c r="J178" s="207">
        <f t="shared" si="182"/>
        <v>960</v>
      </c>
      <c r="K178" s="206">
        <v>20508</v>
      </c>
      <c r="L178" s="207">
        <f t="shared" si="183"/>
        <v>2560</v>
      </c>
      <c r="M178" s="207">
        <f t="shared" si="184"/>
        <v>255</v>
      </c>
      <c r="N178" s="207">
        <f t="shared" si="185"/>
        <v>960</v>
      </c>
      <c r="O178" s="207">
        <f t="shared" si="186"/>
        <v>960</v>
      </c>
      <c r="P178" s="206">
        <v>20508</v>
      </c>
      <c r="Q178" s="207">
        <f t="shared" si="187"/>
        <v>2763</v>
      </c>
      <c r="R178" s="207">
        <f t="shared" si="188"/>
        <v>238</v>
      </c>
      <c r="S178" s="207">
        <f t="shared" si="189"/>
        <v>914</v>
      </c>
      <c r="T178" s="207">
        <f t="shared" si="190"/>
        <v>1152</v>
      </c>
      <c r="U178" s="206">
        <v>20508</v>
      </c>
      <c r="V178" s="207">
        <f t="shared" si="191"/>
        <v>2560</v>
      </c>
      <c r="W178" s="207">
        <f t="shared" si="192"/>
        <v>515</v>
      </c>
      <c r="X178" s="207">
        <f t="shared" si="193"/>
        <v>1143</v>
      </c>
      <c r="Y178" s="207">
        <f t="shared" si="194"/>
        <v>960</v>
      </c>
      <c r="Z178" s="206">
        <v>20508</v>
      </c>
      <c r="AA178" s="207">
        <f t="shared" si="195"/>
        <v>3132</v>
      </c>
      <c r="AB178" s="207">
        <f t="shared" si="196"/>
        <v>858</v>
      </c>
      <c r="AC178" s="207">
        <f t="shared" si="197"/>
        <v>914</v>
      </c>
      <c r="AD178" s="207">
        <f t="shared" si="198"/>
        <v>1344</v>
      </c>
      <c r="AE178" s="206">
        <v>20508</v>
      </c>
      <c r="AF178" s="207">
        <f t="shared" si="199"/>
        <v>2763</v>
      </c>
      <c r="AG178" s="207">
        <f t="shared" si="200"/>
        <v>285</v>
      </c>
      <c r="AH178" s="207">
        <f t="shared" si="201"/>
        <v>1051</v>
      </c>
      <c r="AI178" s="207">
        <f t="shared" si="202"/>
        <v>1152</v>
      </c>
    </row>
    <row r="179" spans="1:35" x14ac:dyDescent="0.15">
      <c r="A179" s="206">
        <v>20509</v>
      </c>
      <c r="B179" s="207">
        <f t="shared" si="175"/>
        <v>2648</v>
      </c>
      <c r="C179" s="207">
        <f t="shared" si="176"/>
        <v>264</v>
      </c>
      <c r="D179" s="207">
        <f t="shared" si="177"/>
        <v>993</v>
      </c>
      <c r="E179" s="207">
        <f t="shared" si="178"/>
        <v>993</v>
      </c>
      <c r="F179" s="206">
        <v>20509</v>
      </c>
      <c r="G179" s="207">
        <f t="shared" si="179"/>
        <v>2648</v>
      </c>
      <c r="H179" s="207">
        <f t="shared" si="180"/>
        <v>141</v>
      </c>
      <c r="I179" s="207">
        <f t="shared" si="181"/>
        <v>1088</v>
      </c>
      <c r="J179" s="207">
        <f t="shared" si="182"/>
        <v>993</v>
      </c>
      <c r="K179" s="206">
        <v>20509</v>
      </c>
      <c r="L179" s="207">
        <f t="shared" si="183"/>
        <v>2648</v>
      </c>
      <c r="M179" s="207">
        <f t="shared" si="184"/>
        <v>264</v>
      </c>
      <c r="N179" s="207">
        <f t="shared" si="185"/>
        <v>993</v>
      </c>
      <c r="O179" s="207">
        <f t="shared" si="186"/>
        <v>993</v>
      </c>
      <c r="P179" s="206">
        <v>20509</v>
      </c>
      <c r="Q179" s="207">
        <f t="shared" si="187"/>
        <v>2858</v>
      </c>
      <c r="R179" s="207">
        <f t="shared" si="188"/>
        <v>246</v>
      </c>
      <c r="S179" s="207">
        <f t="shared" si="189"/>
        <v>946</v>
      </c>
      <c r="T179" s="207">
        <f t="shared" si="190"/>
        <v>1192</v>
      </c>
      <c r="U179" s="206">
        <v>20509</v>
      </c>
      <c r="V179" s="207">
        <f t="shared" si="191"/>
        <v>2648</v>
      </c>
      <c r="W179" s="207">
        <f t="shared" si="192"/>
        <v>533</v>
      </c>
      <c r="X179" s="207">
        <f t="shared" si="193"/>
        <v>1182</v>
      </c>
      <c r="Y179" s="207">
        <f t="shared" si="194"/>
        <v>993</v>
      </c>
      <c r="Z179" s="206">
        <v>20509</v>
      </c>
      <c r="AA179" s="207">
        <f t="shared" si="195"/>
        <v>3239</v>
      </c>
      <c r="AB179" s="207">
        <f t="shared" si="196"/>
        <v>887</v>
      </c>
      <c r="AC179" s="207">
        <f t="shared" si="197"/>
        <v>946</v>
      </c>
      <c r="AD179" s="207">
        <f t="shared" si="198"/>
        <v>1390</v>
      </c>
      <c r="AE179" s="206">
        <v>20509</v>
      </c>
      <c r="AF179" s="207">
        <f t="shared" si="199"/>
        <v>2858</v>
      </c>
      <c r="AG179" s="207">
        <f t="shared" si="200"/>
        <v>294</v>
      </c>
      <c r="AH179" s="207">
        <f t="shared" si="201"/>
        <v>1088</v>
      </c>
      <c r="AI179" s="207">
        <f t="shared" si="202"/>
        <v>1192</v>
      </c>
    </row>
    <row r="180" spans="1:35" x14ac:dyDescent="0.15">
      <c r="A180" s="206">
        <v>20510</v>
      </c>
      <c r="B180" s="207">
        <f t="shared" si="175"/>
        <v>2736</v>
      </c>
      <c r="C180" s="207">
        <f t="shared" si="176"/>
        <v>273</v>
      </c>
      <c r="D180" s="207">
        <f t="shared" si="177"/>
        <v>1026</v>
      </c>
      <c r="E180" s="207">
        <f t="shared" si="178"/>
        <v>1026</v>
      </c>
      <c r="F180" s="206">
        <v>20510</v>
      </c>
      <c r="G180" s="207">
        <f t="shared" si="179"/>
        <v>2736</v>
      </c>
      <c r="H180" s="207">
        <f t="shared" si="180"/>
        <v>145</v>
      </c>
      <c r="I180" s="207">
        <f t="shared" si="181"/>
        <v>1124</v>
      </c>
      <c r="J180" s="207">
        <f t="shared" si="182"/>
        <v>1026</v>
      </c>
      <c r="K180" s="206">
        <v>20510</v>
      </c>
      <c r="L180" s="207">
        <f t="shared" si="183"/>
        <v>2736</v>
      </c>
      <c r="M180" s="207">
        <f t="shared" si="184"/>
        <v>273</v>
      </c>
      <c r="N180" s="207">
        <f t="shared" si="185"/>
        <v>1026</v>
      </c>
      <c r="O180" s="207">
        <f t="shared" si="186"/>
        <v>1026</v>
      </c>
      <c r="P180" s="206">
        <v>20510</v>
      </c>
      <c r="Q180" s="207">
        <f t="shared" si="187"/>
        <v>2953</v>
      </c>
      <c r="R180" s="207">
        <f t="shared" si="188"/>
        <v>254</v>
      </c>
      <c r="S180" s="207">
        <f t="shared" si="189"/>
        <v>977</v>
      </c>
      <c r="T180" s="207">
        <f t="shared" si="190"/>
        <v>1231</v>
      </c>
      <c r="U180" s="206">
        <v>20510</v>
      </c>
      <c r="V180" s="207">
        <f t="shared" si="191"/>
        <v>2736</v>
      </c>
      <c r="W180" s="207">
        <f t="shared" si="192"/>
        <v>551</v>
      </c>
      <c r="X180" s="207">
        <f t="shared" si="193"/>
        <v>1221</v>
      </c>
      <c r="Y180" s="207">
        <f t="shared" si="194"/>
        <v>1026</v>
      </c>
      <c r="Z180" s="206">
        <v>20510</v>
      </c>
      <c r="AA180" s="207">
        <f t="shared" si="195"/>
        <v>3347</v>
      </c>
      <c r="AB180" s="207">
        <f t="shared" si="196"/>
        <v>917</v>
      </c>
      <c r="AC180" s="207">
        <f t="shared" si="197"/>
        <v>977</v>
      </c>
      <c r="AD180" s="207">
        <f t="shared" si="198"/>
        <v>1436</v>
      </c>
      <c r="AE180" s="206">
        <v>20510</v>
      </c>
      <c r="AF180" s="207">
        <f t="shared" si="199"/>
        <v>2953</v>
      </c>
      <c r="AG180" s="207">
        <f t="shared" si="200"/>
        <v>304</v>
      </c>
      <c r="AH180" s="207">
        <f t="shared" si="201"/>
        <v>1124</v>
      </c>
      <c r="AI180" s="207">
        <f t="shared" si="202"/>
        <v>1231</v>
      </c>
    </row>
    <row r="181" spans="1:35" x14ac:dyDescent="0.15">
      <c r="A181" s="206">
        <v>20511</v>
      </c>
      <c r="B181" s="207">
        <f t="shared" si="175"/>
        <v>2824</v>
      </c>
      <c r="C181" s="207">
        <f t="shared" si="176"/>
        <v>281</v>
      </c>
      <c r="D181" s="207">
        <f t="shared" si="177"/>
        <v>1059</v>
      </c>
      <c r="E181" s="207">
        <f t="shared" si="178"/>
        <v>1059</v>
      </c>
      <c r="F181" s="206">
        <v>20511</v>
      </c>
      <c r="G181" s="207">
        <f t="shared" si="179"/>
        <v>2824</v>
      </c>
      <c r="H181" s="207">
        <f t="shared" si="180"/>
        <v>150</v>
      </c>
      <c r="I181" s="207">
        <f t="shared" si="181"/>
        <v>1160</v>
      </c>
      <c r="J181" s="207">
        <f t="shared" si="182"/>
        <v>1059</v>
      </c>
      <c r="K181" s="206">
        <v>20511</v>
      </c>
      <c r="L181" s="207">
        <f t="shared" si="183"/>
        <v>2824</v>
      </c>
      <c r="M181" s="207">
        <f t="shared" si="184"/>
        <v>281</v>
      </c>
      <c r="N181" s="207">
        <f t="shared" si="185"/>
        <v>1059</v>
      </c>
      <c r="O181" s="207">
        <f t="shared" si="186"/>
        <v>1059</v>
      </c>
      <c r="P181" s="206">
        <v>20511</v>
      </c>
      <c r="Q181" s="207">
        <f t="shared" si="187"/>
        <v>3048</v>
      </c>
      <c r="R181" s="207">
        <f t="shared" si="188"/>
        <v>262</v>
      </c>
      <c r="S181" s="207">
        <f t="shared" si="189"/>
        <v>1009</v>
      </c>
      <c r="T181" s="207">
        <f t="shared" si="190"/>
        <v>1271</v>
      </c>
      <c r="U181" s="206">
        <v>20511</v>
      </c>
      <c r="V181" s="207">
        <f t="shared" si="191"/>
        <v>2824</v>
      </c>
      <c r="W181" s="207">
        <f t="shared" si="192"/>
        <v>568</v>
      </c>
      <c r="X181" s="207">
        <f t="shared" si="193"/>
        <v>1261</v>
      </c>
      <c r="Y181" s="207">
        <f t="shared" si="194"/>
        <v>1059</v>
      </c>
      <c r="Z181" s="206">
        <v>20511</v>
      </c>
      <c r="AA181" s="207">
        <f t="shared" si="195"/>
        <v>3455</v>
      </c>
      <c r="AB181" s="207">
        <f t="shared" si="196"/>
        <v>946</v>
      </c>
      <c r="AC181" s="207">
        <f t="shared" si="197"/>
        <v>1009</v>
      </c>
      <c r="AD181" s="207">
        <f t="shared" si="198"/>
        <v>1483</v>
      </c>
      <c r="AE181" s="206">
        <v>20511</v>
      </c>
      <c r="AF181" s="207">
        <f t="shared" si="199"/>
        <v>3048</v>
      </c>
      <c r="AG181" s="207">
        <f t="shared" si="200"/>
        <v>314</v>
      </c>
      <c r="AH181" s="207">
        <f t="shared" si="201"/>
        <v>1160</v>
      </c>
      <c r="AI181" s="207">
        <f t="shared" si="202"/>
        <v>1271</v>
      </c>
    </row>
    <row r="182" spans="1:35" x14ac:dyDescent="0.15">
      <c r="A182" s="206">
        <v>20512</v>
      </c>
      <c r="B182" s="207">
        <f t="shared" si="175"/>
        <v>2912</v>
      </c>
      <c r="C182" s="207">
        <f t="shared" si="176"/>
        <v>290</v>
      </c>
      <c r="D182" s="207">
        <f t="shared" si="177"/>
        <v>1092</v>
      </c>
      <c r="E182" s="207">
        <f t="shared" si="178"/>
        <v>1092</v>
      </c>
      <c r="F182" s="206">
        <v>20512</v>
      </c>
      <c r="G182" s="207">
        <f t="shared" si="179"/>
        <v>2912</v>
      </c>
      <c r="H182" s="207">
        <f t="shared" si="180"/>
        <v>155</v>
      </c>
      <c r="I182" s="207">
        <f t="shared" si="181"/>
        <v>1196</v>
      </c>
      <c r="J182" s="207">
        <f t="shared" si="182"/>
        <v>1092</v>
      </c>
      <c r="K182" s="206">
        <v>20512</v>
      </c>
      <c r="L182" s="207">
        <f t="shared" si="183"/>
        <v>2912</v>
      </c>
      <c r="M182" s="207">
        <f t="shared" si="184"/>
        <v>290</v>
      </c>
      <c r="N182" s="207">
        <f t="shared" si="185"/>
        <v>1092</v>
      </c>
      <c r="O182" s="207">
        <f t="shared" si="186"/>
        <v>1092</v>
      </c>
      <c r="P182" s="206">
        <v>20512</v>
      </c>
      <c r="Q182" s="207">
        <f t="shared" si="187"/>
        <v>3143</v>
      </c>
      <c r="R182" s="207">
        <f t="shared" si="188"/>
        <v>270</v>
      </c>
      <c r="S182" s="207">
        <f t="shared" si="189"/>
        <v>1040</v>
      </c>
      <c r="T182" s="207">
        <f t="shared" si="190"/>
        <v>1310</v>
      </c>
      <c r="U182" s="206">
        <v>20512</v>
      </c>
      <c r="V182" s="207">
        <f t="shared" si="191"/>
        <v>2912</v>
      </c>
      <c r="W182" s="207">
        <f t="shared" si="192"/>
        <v>586</v>
      </c>
      <c r="X182" s="207">
        <f t="shared" si="193"/>
        <v>1300</v>
      </c>
      <c r="Y182" s="207">
        <f t="shared" si="194"/>
        <v>1092</v>
      </c>
      <c r="Z182" s="206">
        <v>20512</v>
      </c>
      <c r="AA182" s="207">
        <f t="shared" si="195"/>
        <v>3562</v>
      </c>
      <c r="AB182" s="207">
        <f t="shared" si="196"/>
        <v>976</v>
      </c>
      <c r="AC182" s="207">
        <f t="shared" si="197"/>
        <v>1040</v>
      </c>
      <c r="AD182" s="207">
        <f t="shared" si="198"/>
        <v>1529</v>
      </c>
      <c r="AE182" s="206">
        <v>20512</v>
      </c>
      <c r="AF182" s="207">
        <f t="shared" si="199"/>
        <v>3143</v>
      </c>
      <c r="AG182" s="207">
        <f t="shared" si="200"/>
        <v>324</v>
      </c>
      <c r="AH182" s="207">
        <f t="shared" si="201"/>
        <v>1196</v>
      </c>
      <c r="AI182" s="207">
        <f t="shared" si="202"/>
        <v>1310</v>
      </c>
    </row>
    <row r="183" spans="1:35" x14ac:dyDescent="0.15">
      <c r="A183" s="206">
        <v>20513</v>
      </c>
      <c r="B183" s="207">
        <f t="shared" si="175"/>
        <v>3000</v>
      </c>
      <c r="C183" s="207">
        <f t="shared" si="176"/>
        <v>299</v>
      </c>
      <c r="D183" s="207">
        <f t="shared" si="177"/>
        <v>1125</v>
      </c>
      <c r="E183" s="207">
        <f t="shared" si="178"/>
        <v>1125</v>
      </c>
      <c r="F183" s="206">
        <v>20513</v>
      </c>
      <c r="G183" s="207">
        <f t="shared" si="179"/>
        <v>3000</v>
      </c>
      <c r="H183" s="207">
        <f t="shared" si="180"/>
        <v>159</v>
      </c>
      <c r="I183" s="207">
        <f t="shared" si="181"/>
        <v>1232</v>
      </c>
      <c r="J183" s="207">
        <f t="shared" si="182"/>
        <v>1125</v>
      </c>
      <c r="K183" s="206">
        <v>20513</v>
      </c>
      <c r="L183" s="207">
        <f t="shared" si="183"/>
        <v>3000</v>
      </c>
      <c r="M183" s="207">
        <f t="shared" si="184"/>
        <v>299</v>
      </c>
      <c r="N183" s="207">
        <f t="shared" si="185"/>
        <v>1125</v>
      </c>
      <c r="O183" s="207">
        <f t="shared" si="186"/>
        <v>1125</v>
      </c>
      <c r="P183" s="206">
        <v>20513</v>
      </c>
      <c r="Q183" s="207">
        <f t="shared" si="187"/>
        <v>3238</v>
      </c>
      <c r="R183" s="207">
        <f t="shared" si="188"/>
        <v>278</v>
      </c>
      <c r="S183" s="207">
        <f t="shared" si="189"/>
        <v>1071</v>
      </c>
      <c r="T183" s="207">
        <f t="shared" si="190"/>
        <v>1350</v>
      </c>
      <c r="U183" s="206">
        <v>20513</v>
      </c>
      <c r="V183" s="207">
        <f t="shared" si="191"/>
        <v>3000</v>
      </c>
      <c r="W183" s="207">
        <f t="shared" si="192"/>
        <v>604</v>
      </c>
      <c r="X183" s="207">
        <f t="shared" si="193"/>
        <v>1339</v>
      </c>
      <c r="Y183" s="207">
        <f t="shared" si="194"/>
        <v>1125</v>
      </c>
      <c r="Z183" s="206">
        <v>20513</v>
      </c>
      <c r="AA183" s="207">
        <f t="shared" si="195"/>
        <v>3670</v>
      </c>
      <c r="AB183" s="207">
        <f t="shared" si="196"/>
        <v>1005</v>
      </c>
      <c r="AC183" s="207">
        <f t="shared" si="197"/>
        <v>1071</v>
      </c>
      <c r="AD183" s="207">
        <f t="shared" si="198"/>
        <v>1575</v>
      </c>
      <c r="AE183" s="206">
        <v>20513</v>
      </c>
      <c r="AF183" s="207">
        <f t="shared" si="199"/>
        <v>3238</v>
      </c>
      <c r="AG183" s="207">
        <f t="shared" si="200"/>
        <v>334</v>
      </c>
      <c r="AH183" s="207">
        <f t="shared" si="201"/>
        <v>1232</v>
      </c>
      <c r="AI183" s="207">
        <f t="shared" si="202"/>
        <v>1350</v>
      </c>
    </row>
    <row r="184" spans="1:35" x14ac:dyDescent="0.15">
      <c r="A184" s="206">
        <v>20514</v>
      </c>
      <c r="B184" s="207">
        <f t="shared" si="175"/>
        <v>3088</v>
      </c>
      <c r="C184" s="207">
        <f t="shared" si="176"/>
        <v>308</v>
      </c>
      <c r="D184" s="207">
        <f t="shared" si="177"/>
        <v>1158</v>
      </c>
      <c r="E184" s="207">
        <f t="shared" si="178"/>
        <v>1158</v>
      </c>
      <c r="F184" s="206">
        <v>20514</v>
      </c>
      <c r="G184" s="207">
        <f t="shared" si="179"/>
        <v>3088</v>
      </c>
      <c r="H184" s="207">
        <f t="shared" si="180"/>
        <v>164</v>
      </c>
      <c r="I184" s="207">
        <f t="shared" si="181"/>
        <v>1268</v>
      </c>
      <c r="J184" s="207">
        <f t="shared" si="182"/>
        <v>1158</v>
      </c>
      <c r="K184" s="206">
        <v>20514</v>
      </c>
      <c r="L184" s="207">
        <f t="shared" si="183"/>
        <v>3088</v>
      </c>
      <c r="M184" s="207">
        <f t="shared" si="184"/>
        <v>308</v>
      </c>
      <c r="N184" s="207">
        <f t="shared" si="185"/>
        <v>1158</v>
      </c>
      <c r="O184" s="207">
        <f t="shared" si="186"/>
        <v>1158</v>
      </c>
      <c r="P184" s="206">
        <v>20514</v>
      </c>
      <c r="Q184" s="207">
        <f t="shared" si="187"/>
        <v>3333</v>
      </c>
      <c r="R184" s="207">
        <f t="shared" si="188"/>
        <v>287</v>
      </c>
      <c r="S184" s="207">
        <f t="shared" si="189"/>
        <v>1103</v>
      </c>
      <c r="T184" s="207">
        <f t="shared" si="190"/>
        <v>1390</v>
      </c>
      <c r="U184" s="206">
        <v>20514</v>
      </c>
      <c r="V184" s="207">
        <f t="shared" si="191"/>
        <v>3088</v>
      </c>
      <c r="W184" s="207">
        <f t="shared" si="192"/>
        <v>622</v>
      </c>
      <c r="X184" s="207">
        <f t="shared" si="193"/>
        <v>1379</v>
      </c>
      <c r="Y184" s="207">
        <f t="shared" si="194"/>
        <v>1158</v>
      </c>
      <c r="Z184" s="206">
        <v>20514</v>
      </c>
      <c r="AA184" s="207">
        <f t="shared" si="195"/>
        <v>3778</v>
      </c>
      <c r="AB184" s="207">
        <f t="shared" si="196"/>
        <v>1035</v>
      </c>
      <c r="AC184" s="207">
        <f t="shared" si="197"/>
        <v>1103</v>
      </c>
      <c r="AD184" s="207">
        <f t="shared" si="198"/>
        <v>1621</v>
      </c>
      <c r="AE184" s="206">
        <v>20514</v>
      </c>
      <c r="AF184" s="207">
        <f t="shared" si="199"/>
        <v>3333</v>
      </c>
      <c r="AG184" s="207">
        <f t="shared" si="200"/>
        <v>343</v>
      </c>
      <c r="AH184" s="207">
        <f t="shared" si="201"/>
        <v>1268</v>
      </c>
      <c r="AI184" s="207">
        <f t="shared" si="202"/>
        <v>1390</v>
      </c>
    </row>
    <row r="185" spans="1:35" x14ac:dyDescent="0.15">
      <c r="A185" s="206">
        <v>20515</v>
      </c>
      <c r="B185" s="207">
        <f t="shared" si="175"/>
        <v>3184</v>
      </c>
      <c r="C185" s="207">
        <f t="shared" si="176"/>
        <v>317</v>
      </c>
      <c r="D185" s="207">
        <f t="shared" si="177"/>
        <v>1194</v>
      </c>
      <c r="E185" s="207">
        <f t="shared" si="178"/>
        <v>1194</v>
      </c>
      <c r="F185" s="206">
        <v>20515</v>
      </c>
      <c r="G185" s="207">
        <f t="shared" si="179"/>
        <v>3184</v>
      </c>
      <c r="H185" s="207">
        <f t="shared" si="180"/>
        <v>169</v>
      </c>
      <c r="I185" s="207">
        <f t="shared" si="181"/>
        <v>1308</v>
      </c>
      <c r="J185" s="207">
        <f t="shared" si="182"/>
        <v>1194</v>
      </c>
      <c r="K185" s="206">
        <v>20515</v>
      </c>
      <c r="L185" s="207">
        <f t="shared" si="183"/>
        <v>3184</v>
      </c>
      <c r="M185" s="207">
        <f t="shared" si="184"/>
        <v>317</v>
      </c>
      <c r="N185" s="207">
        <f t="shared" si="185"/>
        <v>1194</v>
      </c>
      <c r="O185" s="207">
        <f t="shared" si="186"/>
        <v>1194</v>
      </c>
      <c r="P185" s="206">
        <v>20515</v>
      </c>
      <c r="Q185" s="207">
        <f t="shared" si="187"/>
        <v>3437</v>
      </c>
      <c r="R185" s="207">
        <f t="shared" si="188"/>
        <v>295</v>
      </c>
      <c r="S185" s="207">
        <f t="shared" si="189"/>
        <v>1137</v>
      </c>
      <c r="T185" s="207">
        <f t="shared" si="190"/>
        <v>1433</v>
      </c>
      <c r="U185" s="206">
        <v>20515</v>
      </c>
      <c r="V185" s="207">
        <f t="shared" si="191"/>
        <v>3184</v>
      </c>
      <c r="W185" s="207">
        <f t="shared" si="192"/>
        <v>641</v>
      </c>
      <c r="X185" s="207">
        <f t="shared" si="193"/>
        <v>1421</v>
      </c>
      <c r="Y185" s="207">
        <f t="shared" si="194"/>
        <v>1194</v>
      </c>
      <c r="Z185" s="206">
        <v>20515</v>
      </c>
      <c r="AA185" s="207">
        <f t="shared" si="195"/>
        <v>3895</v>
      </c>
      <c r="AB185" s="207">
        <f t="shared" si="196"/>
        <v>1067</v>
      </c>
      <c r="AC185" s="207">
        <f t="shared" si="197"/>
        <v>1137</v>
      </c>
      <c r="AD185" s="207">
        <f t="shared" si="198"/>
        <v>1672</v>
      </c>
      <c r="AE185" s="206">
        <v>20515</v>
      </c>
      <c r="AF185" s="207">
        <f t="shared" si="199"/>
        <v>3437</v>
      </c>
      <c r="AG185" s="207">
        <f t="shared" si="200"/>
        <v>354</v>
      </c>
      <c r="AH185" s="207">
        <f t="shared" si="201"/>
        <v>1308</v>
      </c>
      <c r="AI185" s="207">
        <f t="shared" si="202"/>
        <v>1433</v>
      </c>
    </row>
    <row r="186" spans="1:35" x14ac:dyDescent="0.15">
      <c r="A186" s="206">
        <v>20516</v>
      </c>
      <c r="B186" s="207">
        <f t="shared" si="175"/>
        <v>3280</v>
      </c>
      <c r="C186" s="207">
        <f t="shared" si="176"/>
        <v>327</v>
      </c>
      <c r="D186" s="207">
        <f t="shared" si="177"/>
        <v>1230</v>
      </c>
      <c r="E186" s="207">
        <f t="shared" si="178"/>
        <v>1230</v>
      </c>
      <c r="F186" s="206">
        <v>20516</v>
      </c>
      <c r="G186" s="207">
        <f t="shared" si="179"/>
        <v>3280</v>
      </c>
      <c r="H186" s="207">
        <f t="shared" si="180"/>
        <v>174</v>
      </c>
      <c r="I186" s="207">
        <f t="shared" si="181"/>
        <v>1347</v>
      </c>
      <c r="J186" s="207">
        <f t="shared" si="182"/>
        <v>1230</v>
      </c>
      <c r="K186" s="206">
        <v>20516</v>
      </c>
      <c r="L186" s="207">
        <f t="shared" si="183"/>
        <v>3280</v>
      </c>
      <c r="M186" s="207">
        <f t="shared" si="184"/>
        <v>327</v>
      </c>
      <c r="N186" s="207">
        <f t="shared" si="185"/>
        <v>1230</v>
      </c>
      <c r="O186" s="207">
        <f t="shared" si="186"/>
        <v>1230</v>
      </c>
      <c r="P186" s="206">
        <v>20516</v>
      </c>
      <c r="Q186" s="207">
        <f t="shared" si="187"/>
        <v>3540</v>
      </c>
      <c r="R186" s="207">
        <f t="shared" si="188"/>
        <v>304</v>
      </c>
      <c r="S186" s="207">
        <f t="shared" si="189"/>
        <v>1171</v>
      </c>
      <c r="T186" s="207">
        <f t="shared" si="190"/>
        <v>1476</v>
      </c>
      <c r="U186" s="206">
        <v>20516</v>
      </c>
      <c r="V186" s="207">
        <f t="shared" si="191"/>
        <v>3280</v>
      </c>
      <c r="W186" s="207">
        <f t="shared" si="192"/>
        <v>660</v>
      </c>
      <c r="X186" s="207">
        <f t="shared" si="193"/>
        <v>1464</v>
      </c>
      <c r="Y186" s="207">
        <f t="shared" si="194"/>
        <v>1230</v>
      </c>
      <c r="Z186" s="206">
        <v>20516</v>
      </c>
      <c r="AA186" s="207">
        <f t="shared" si="195"/>
        <v>4012</v>
      </c>
      <c r="AB186" s="207">
        <f t="shared" si="196"/>
        <v>1099</v>
      </c>
      <c r="AC186" s="207">
        <f t="shared" si="197"/>
        <v>1171</v>
      </c>
      <c r="AD186" s="207">
        <f t="shared" si="198"/>
        <v>1722</v>
      </c>
      <c r="AE186" s="206">
        <v>20516</v>
      </c>
      <c r="AF186" s="207">
        <f t="shared" si="199"/>
        <v>3540</v>
      </c>
      <c r="AG186" s="207">
        <f t="shared" si="200"/>
        <v>365</v>
      </c>
      <c r="AH186" s="207">
        <f t="shared" si="201"/>
        <v>1347</v>
      </c>
      <c r="AI186" s="207">
        <f t="shared" si="202"/>
        <v>1476</v>
      </c>
    </row>
    <row r="187" spans="1:35" x14ac:dyDescent="0.15">
      <c r="A187" s="206">
        <v>20517</v>
      </c>
      <c r="B187" s="207">
        <f t="shared" si="175"/>
        <v>3376</v>
      </c>
      <c r="C187" s="207">
        <f t="shared" si="176"/>
        <v>336</v>
      </c>
      <c r="D187" s="207">
        <f t="shared" si="177"/>
        <v>1266</v>
      </c>
      <c r="E187" s="207">
        <f t="shared" si="178"/>
        <v>1266</v>
      </c>
      <c r="F187" s="206">
        <v>20517</v>
      </c>
      <c r="G187" s="207">
        <f t="shared" si="179"/>
        <v>3376</v>
      </c>
      <c r="H187" s="207">
        <f t="shared" si="180"/>
        <v>179</v>
      </c>
      <c r="I187" s="207">
        <f t="shared" si="181"/>
        <v>1387</v>
      </c>
      <c r="J187" s="207">
        <f t="shared" si="182"/>
        <v>1266</v>
      </c>
      <c r="K187" s="206">
        <v>20517</v>
      </c>
      <c r="L187" s="207">
        <f t="shared" si="183"/>
        <v>3376</v>
      </c>
      <c r="M187" s="207">
        <f t="shared" si="184"/>
        <v>336</v>
      </c>
      <c r="N187" s="207">
        <f t="shared" si="185"/>
        <v>1266</v>
      </c>
      <c r="O187" s="207">
        <f t="shared" si="186"/>
        <v>1266</v>
      </c>
      <c r="P187" s="206">
        <v>20517</v>
      </c>
      <c r="Q187" s="207">
        <f t="shared" si="187"/>
        <v>3644</v>
      </c>
      <c r="R187" s="207">
        <f t="shared" si="188"/>
        <v>313</v>
      </c>
      <c r="S187" s="207">
        <f t="shared" si="189"/>
        <v>1206</v>
      </c>
      <c r="T187" s="207">
        <f t="shared" si="190"/>
        <v>1519</v>
      </c>
      <c r="U187" s="206">
        <v>20517</v>
      </c>
      <c r="V187" s="207">
        <f t="shared" si="191"/>
        <v>3376</v>
      </c>
      <c r="W187" s="207">
        <f t="shared" si="192"/>
        <v>680</v>
      </c>
      <c r="X187" s="207">
        <f t="shared" si="193"/>
        <v>1507</v>
      </c>
      <c r="Y187" s="207">
        <f t="shared" si="194"/>
        <v>1266</v>
      </c>
      <c r="Z187" s="206">
        <v>20517</v>
      </c>
      <c r="AA187" s="207">
        <f t="shared" si="195"/>
        <v>4130</v>
      </c>
      <c r="AB187" s="207">
        <f t="shared" si="196"/>
        <v>1131</v>
      </c>
      <c r="AC187" s="207">
        <f t="shared" si="197"/>
        <v>1206</v>
      </c>
      <c r="AD187" s="207">
        <f t="shared" si="198"/>
        <v>1772</v>
      </c>
      <c r="AE187" s="206">
        <v>20517</v>
      </c>
      <c r="AF187" s="207">
        <f t="shared" si="199"/>
        <v>3644</v>
      </c>
      <c r="AG187" s="207">
        <f t="shared" si="200"/>
        <v>375</v>
      </c>
      <c r="AH187" s="207">
        <f t="shared" si="201"/>
        <v>1387</v>
      </c>
      <c r="AI187" s="207">
        <f t="shared" si="202"/>
        <v>1519</v>
      </c>
    </row>
    <row r="188" spans="1:35" x14ac:dyDescent="0.15">
      <c r="A188" s="206">
        <v>20518</v>
      </c>
      <c r="B188" s="207">
        <f t="shared" si="175"/>
        <v>3472</v>
      </c>
      <c r="C188" s="207">
        <f t="shared" si="176"/>
        <v>346</v>
      </c>
      <c r="D188" s="207">
        <f t="shared" si="177"/>
        <v>1302</v>
      </c>
      <c r="E188" s="207">
        <f t="shared" si="178"/>
        <v>1302</v>
      </c>
      <c r="F188" s="206">
        <v>20518</v>
      </c>
      <c r="G188" s="207">
        <f t="shared" si="179"/>
        <v>3472</v>
      </c>
      <c r="H188" s="207">
        <f t="shared" si="180"/>
        <v>184</v>
      </c>
      <c r="I188" s="207">
        <f t="shared" si="181"/>
        <v>1426</v>
      </c>
      <c r="J188" s="207">
        <f t="shared" si="182"/>
        <v>1302</v>
      </c>
      <c r="K188" s="206">
        <v>20518</v>
      </c>
      <c r="L188" s="207">
        <f t="shared" si="183"/>
        <v>3472</v>
      </c>
      <c r="M188" s="207">
        <f t="shared" si="184"/>
        <v>346</v>
      </c>
      <c r="N188" s="207">
        <f t="shared" si="185"/>
        <v>1302</v>
      </c>
      <c r="O188" s="207">
        <f t="shared" si="186"/>
        <v>1302</v>
      </c>
      <c r="P188" s="206">
        <v>20518</v>
      </c>
      <c r="Q188" s="207">
        <f t="shared" si="187"/>
        <v>3747</v>
      </c>
      <c r="R188" s="207">
        <f t="shared" si="188"/>
        <v>322</v>
      </c>
      <c r="S188" s="207">
        <f t="shared" si="189"/>
        <v>1240</v>
      </c>
      <c r="T188" s="207">
        <f t="shared" si="190"/>
        <v>1562</v>
      </c>
      <c r="U188" s="206">
        <v>20518</v>
      </c>
      <c r="V188" s="207">
        <f t="shared" si="191"/>
        <v>3472</v>
      </c>
      <c r="W188" s="207">
        <f t="shared" si="192"/>
        <v>699</v>
      </c>
      <c r="X188" s="207">
        <f t="shared" si="193"/>
        <v>1550</v>
      </c>
      <c r="Y188" s="207">
        <f t="shared" si="194"/>
        <v>1302</v>
      </c>
      <c r="Z188" s="206">
        <v>20518</v>
      </c>
      <c r="AA188" s="207">
        <f t="shared" si="195"/>
        <v>4247</v>
      </c>
      <c r="AB188" s="207">
        <f t="shared" si="196"/>
        <v>1163</v>
      </c>
      <c r="AC188" s="207">
        <f t="shared" si="197"/>
        <v>1240</v>
      </c>
      <c r="AD188" s="207">
        <f t="shared" si="198"/>
        <v>1823</v>
      </c>
      <c r="AE188" s="206">
        <v>20518</v>
      </c>
      <c r="AF188" s="207">
        <f t="shared" si="199"/>
        <v>3747</v>
      </c>
      <c r="AG188" s="207">
        <f t="shared" si="200"/>
        <v>386</v>
      </c>
      <c r="AH188" s="207">
        <f t="shared" si="201"/>
        <v>1426</v>
      </c>
      <c r="AI188" s="207">
        <f t="shared" si="202"/>
        <v>1562</v>
      </c>
    </row>
    <row r="189" spans="1:35" x14ac:dyDescent="0.15">
      <c r="A189" s="206">
        <v>20519</v>
      </c>
      <c r="B189" s="207">
        <f t="shared" si="175"/>
        <v>3568</v>
      </c>
      <c r="C189" s="207">
        <f t="shared" si="176"/>
        <v>356</v>
      </c>
      <c r="D189" s="207">
        <f t="shared" si="177"/>
        <v>1338</v>
      </c>
      <c r="E189" s="207">
        <f t="shared" si="178"/>
        <v>1338</v>
      </c>
      <c r="F189" s="206">
        <v>20519</v>
      </c>
      <c r="G189" s="207">
        <f t="shared" si="179"/>
        <v>3568</v>
      </c>
      <c r="H189" s="207">
        <f t="shared" si="180"/>
        <v>189</v>
      </c>
      <c r="I189" s="207">
        <f t="shared" si="181"/>
        <v>1465</v>
      </c>
      <c r="J189" s="207">
        <f t="shared" si="182"/>
        <v>1338</v>
      </c>
      <c r="K189" s="206">
        <v>20519</v>
      </c>
      <c r="L189" s="207">
        <f t="shared" si="183"/>
        <v>3568</v>
      </c>
      <c r="M189" s="207">
        <f t="shared" si="184"/>
        <v>356</v>
      </c>
      <c r="N189" s="207">
        <f t="shared" si="185"/>
        <v>1338</v>
      </c>
      <c r="O189" s="207">
        <f t="shared" si="186"/>
        <v>1338</v>
      </c>
      <c r="P189" s="206">
        <v>20519</v>
      </c>
      <c r="Q189" s="207">
        <f t="shared" si="187"/>
        <v>3851</v>
      </c>
      <c r="R189" s="207">
        <f t="shared" si="188"/>
        <v>331</v>
      </c>
      <c r="S189" s="207">
        <f t="shared" si="189"/>
        <v>1274</v>
      </c>
      <c r="T189" s="207">
        <f t="shared" si="190"/>
        <v>1606</v>
      </c>
      <c r="U189" s="206">
        <v>20519</v>
      </c>
      <c r="V189" s="207">
        <f t="shared" si="191"/>
        <v>3568</v>
      </c>
      <c r="W189" s="207">
        <f t="shared" si="192"/>
        <v>718</v>
      </c>
      <c r="X189" s="207">
        <f t="shared" si="193"/>
        <v>1593</v>
      </c>
      <c r="Y189" s="207">
        <f t="shared" si="194"/>
        <v>1338</v>
      </c>
      <c r="Z189" s="206">
        <v>20519</v>
      </c>
      <c r="AA189" s="207">
        <f t="shared" si="195"/>
        <v>4365</v>
      </c>
      <c r="AB189" s="207">
        <f t="shared" si="196"/>
        <v>1196</v>
      </c>
      <c r="AC189" s="207">
        <f t="shared" si="197"/>
        <v>1274</v>
      </c>
      <c r="AD189" s="207">
        <f t="shared" si="198"/>
        <v>1873</v>
      </c>
      <c r="AE189" s="206">
        <v>20519</v>
      </c>
      <c r="AF189" s="207">
        <f t="shared" si="199"/>
        <v>3851</v>
      </c>
      <c r="AG189" s="207">
        <f t="shared" si="200"/>
        <v>397</v>
      </c>
      <c r="AH189" s="207">
        <f t="shared" si="201"/>
        <v>1465</v>
      </c>
      <c r="AI189" s="207">
        <f t="shared" si="202"/>
        <v>1606</v>
      </c>
    </row>
    <row r="190" spans="1:35" x14ac:dyDescent="0.15">
      <c r="A190" s="206">
        <v>20520</v>
      </c>
      <c r="B190" s="207">
        <f t="shared" si="175"/>
        <v>3664</v>
      </c>
      <c r="C190" s="207">
        <f t="shared" si="176"/>
        <v>365</v>
      </c>
      <c r="D190" s="207">
        <f t="shared" si="177"/>
        <v>1374</v>
      </c>
      <c r="E190" s="207">
        <f t="shared" si="178"/>
        <v>1374</v>
      </c>
      <c r="F190" s="206">
        <v>20520</v>
      </c>
      <c r="G190" s="207">
        <f t="shared" ref="G190:I191" si="203">AI73</f>
        <v>3664</v>
      </c>
      <c r="H190" s="207">
        <f t="shared" si="203"/>
        <v>195</v>
      </c>
      <c r="I190" s="207">
        <f t="shared" si="203"/>
        <v>1505</v>
      </c>
      <c r="J190" s="207">
        <f t="shared" si="182"/>
        <v>1374</v>
      </c>
      <c r="K190" s="206">
        <v>20520</v>
      </c>
      <c r="L190" s="207">
        <f t="shared" ref="L190:N191" si="204">BG73</f>
        <v>3664</v>
      </c>
      <c r="M190" s="207">
        <f t="shared" si="204"/>
        <v>365</v>
      </c>
      <c r="N190" s="207">
        <f t="shared" si="204"/>
        <v>1374</v>
      </c>
      <c r="O190" s="207">
        <f t="shared" si="186"/>
        <v>1374</v>
      </c>
      <c r="P190" s="206">
        <v>20520</v>
      </c>
      <c r="Q190" s="207">
        <f t="shared" ref="Q190:S191" si="205">CE73</f>
        <v>3955</v>
      </c>
      <c r="R190" s="207">
        <f t="shared" si="205"/>
        <v>340</v>
      </c>
      <c r="S190" s="207">
        <f t="shared" si="205"/>
        <v>1309</v>
      </c>
      <c r="T190" s="207">
        <f t="shared" si="190"/>
        <v>1649</v>
      </c>
      <c r="U190" s="206">
        <v>20520</v>
      </c>
      <c r="V190" s="207">
        <f t="shared" ref="V190:X191" si="206">DC73</f>
        <v>3664</v>
      </c>
      <c r="W190" s="207">
        <f t="shared" si="206"/>
        <v>738</v>
      </c>
      <c r="X190" s="207">
        <f t="shared" si="206"/>
        <v>1636</v>
      </c>
      <c r="Y190" s="207">
        <f t="shared" si="194"/>
        <v>1374</v>
      </c>
      <c r="Z190" s="206">
        <v>20520</v>
      </c>
      <c r="AA190" s="207">
        <f t="shared" ref="AA190:AC191" si="207">EA73</f>
        <v>4482</v>
      </c>
      <c r="AB190" s="207">
        <f t="shared" si="207"/>
        <v>1228</v>
      </c>
      <c r="AC190" s="207">
        <f t="shared" si="207"/>
        <v>1309</v>
      </c>
      <c r="AD190" s="207">
        <f t="shared" si="198"/>
        <v>1924</v>
      </c>
      <c r="AE190" s="206">
        <v>20520</v>
      </c>
      <c r="AF190" s="207">
        <f t="shared" ref="AF190:AH191" si="208">EY73</f>
        <v>3955</v>
      </c>
      <c r="AG190" s="207">
        <f t="shared" si="208"/>
        <v>407</v>
      </c>
      <c r="AH190" s="207">
        <f t="shared" si="208"/>
        <v>1505</v>
      </c>
      <c r="AI190" s="207">
        <f t="shared" si="202"/>
        <v>1649</v>
      </c>
    </row>
    <row r="191" spans="1:35" x14ac:dyDescent="0.15">
      <c r="A191" s="206">
        <v>20521</v>
      </c>
      <c r="B191" s="207">
        <f>K74</f>
        <v>3760</v>
      </c>
      <c r="C191" s="207">
        <f t="shared" si="176"/>
        <v>375</v>
      </c>
      <c r="D191" s="207">
        <f t="shared" si="177"/>
        <v>1410</v>
      </c>
      <c r="E191" s="207">
        <f t="shared" si="178"/>
        <v>1410</v>
      </c>
      <c r="F191" s="206">
        <v>20521</v>
      </c>
      <c r="G191" s="207">
        <f t="shared" si="203"/>
        <v>3760</v>
      </c>
      <c r="H191" s="207">
        <f t="shared" si="203"/>
        <v>200</v>
      </c>
      <c r="I191" s="207">
        <f t="shared" si="203"/>
        <v>1544</v>
      </c>
      <c r="J191" s="207">
        <f t="shared" si="182"/>
        <v>1410</v>
      </c>
      <c r="K191" s="206">
        <v>20521</v>
      </c>
      <c r="L191" s="207">
        <f t="shared" si="204"/>
        <v>3760</v>
      </c>
      <c r="M191" s="207">
        <f t="shared" si="204"/>
        <v>375</v>
      </c>
      <c r="N191" s="207">
        <f t="shared" si="204"/>
        <v>1410</v>
      </c>
      <c r="O191" s="207">
        <f t="shared" si="186"/>
        <v>1410</v>
      </c>
      <c r="P191" s="206">
        <v>20521</v>
      </c>
      <c r="Q191" s="207">
        <f t="shared" si="205"/>
        <v>4058</v>
      </c>
      <c r="R191" s="207">
        <f t="shared" si="205"/>
        <v>349</v>
      </c>
      <c r="S191" s="207">
        <f t="shared" si="205"/>
        <v>1343</v>
      </c>
      <c r="T191" s="207">
        <f t="shared" si="190"/>
        <v>1692</v>
      </c>
      <c r="U191" s="206">
        <v>20521</v>
      </c>
      <c r="V191" s="207">
        <f t="shared" si="206"/>
        <v>3760</v>
      </c>
      <c r="W191" s="207">
        <f t="shared" si="206"/>
        <v>757</v>
      </c>
      <c r="X191" s="207">
        <f t="shared" si="206"/>
        <v>1679</v>
      </c>
      <c r="Y191" s="207">
        <f t="shared" si="194"/>
        <v>1410</v>
      </c>
      <c r="Z191" s="206">
        <v>20521</v>
      </c>
      <c r="AA191" s="207">
        <f t="shared" si="207"/>
        <v>4600</v>
      </c>
      <c r="AB191" s="207">
        <f t="shared" si="207"/>
        <v>1260</v>
      </c>
      <c r="AC191" s="207">
        <f t="shared" si="207"/>
        <v>1343</v>
      </c>
      <c r="AD191" s="207">
        <f t="shared" si="198"/>
        <v>1974</v>
      </c>
      <c r="AE191" s="206">
        <v>20521</v>
      </c>
      <c r="AF191" s="207">
        <f t="shared" si="208"/>
        <v>4058</v>
      </c>
      <c r="AG191" s="207">
        <f t="shared" si="208"/>
        <v>418</v>
      </c>
      <c r="AH191" s="207">
        <f t="shared" si="208"/>
        <v>1544</v>
      </c>
      <c r="AI191" s="207">
        <f t="shared" si="202"/>
        <v>1692</v>
      </c>
    </row>
    <row r="192" spans="1:35" x14ac:dyDescent="0.15">
      <c r="A192" s="206">
        <v>30301</v>
      </c>
      <c r="B192" s="207">
        <f>S21</f>
        <v>1192</v>
      </c>
      <c r="C192" s="207">
        <f t="shared" ref="C192:D207" si="209">T21</f>
        <v>119</v>
      </c>
      <c r="D192" s="207">
        <f t="shared" si="209"/>
        <v>447</v>
      </c>
      <c r="E192" s="207">
        <f t="shared" ref="E192:E207" si="210">X21</f>
        <v>447</v>
      </c>
      <c r="F192" s="206">
        <v>30301</v>
      </c>
      <c r="G192" s="207">
        <f t="shared" ref="G192:G223" si="211">AQ21</f>
        <v>1192</v>
      </c>
      <c r="H192" s="207">
        <f t="shared" ref="H192:H223" si="212">AR21</f>
        <v>63</v>
      </c>
      <c r="I192" s="207">
        <f t="shared" ref="I192:I223" si="213">AS21</f>
        <v>490</v>
      </c>
      <c r="J192" s="207">
        <f t="shared" ref="J192:J223" si="214">AV21</f>
        <v>447</v>
      </c>
      <c r="K192" s="206">
        <v>30301</v>
      </c>
      <c r="L192" s="207">
        <f t="shared" ref="L192:L223" si="215">BO21</f>
        <v>1192</v>
      </c>
      <c r="M192" s="207">
        <f t="shared" ref="M192:M223" si="216">BP21</f>
        <v>119</v>
      </c>
      <c r="N192" s="207">
        <f t="shared" ref="N192:N223" si="217">BQ21</f>
        <v>447</v>
      </c>
      <c r="O192" s="207">
        <f t="shared" ref="O192:O223" si="218">BT21</f>
        <v>447</v>
      </c>
      <c r="P192" s="206">
        <v>30301</v>
      </c>
      <c r="Q192" s="207">
        <f t="shared" ref="Q192:Q223" si="219">CM21</f>
        <v>1287</v>
      </c>
      <c r="R192" s="207">
        <f t="shared" ref="R192:R223" si="220">CN21</f>
        <v>111</v>
      </c>
      <c r="S192" s="207">
        <f t="shared" ref="S192:S223" si="221">CO21</f>
        <v>426</v>
      </c>
      <c r="T192" s="207">
        <f t="shared" ref="T192:T223" si="222">CR21</f>
        <v>536</v>
      </c>
      <c r="U192" s="206">
        <v>30301</v>
      </c>
      <c r="V192" s="207">
        <f t="shared" ref="V192:V223" si="223">DK21</f>
        <v>1192</v>
      </c>
      <c r="W192" s="207">
        <f t="shared" ref="W192:W223" si="224">DL21</f>
        <v>240</v>
      </c>
      <c r="X192" s="207">
        <f t="shared" ref="X192:X223" si="225">DM21</f>
        <v>532</v>
      </c>
      <c r="Y192" s="207">
        <f t="shared" ref="Y192:Y223" si="226">DP21</f>
        <v>447</v>
      </c>
      <c r="Z192" s="206">
        <v>30301</v>
      </c>
      <c r="AA192" s="207">
        <f t="shared" ref="AA192:AA223" si="227">EI21</f>
        <v>1458</v>
      </c>
      <c r="AB192" s="207">
        <f t="shared" ref="AB192:AB223" si="228">EJ21</f>
        <v>399</v>
      </c>
      <c r="AC192" s="207">
        <f t="shared" ref="AC192:AC223" si="229">EK21</f>
        <v>426</v>
      </c>
      <c r="AD192" s="207">
        <f t="shared" ref="AD192:AD223" si="230">EN21</f>
        <v>626</v>
      </c>
      <c r="AE192" s="206">
        <v>30301</v>
      </c>
      <c r="AF192" s="207">
        <f t="shared" ref="AF192:AF223" si="231">FG21</f>
        <v>1287</v>
      </c>
      <c r="AG192" s="207">
        <f t="shared" ref="AG192:AG223" si="232">FH21</f>
        <v>133</v>
      </c>
      <c r="AH192" s="207">
        <f t="shared" ref="AH192:AH223" si="233">FI21</f>
        <v>490</v>
      </c>
      <c r="AI192" s="207">
        <f t="shared" ref="AI192:AI223" si="234">FL21</f>
        <v>536</v>
      </c>
    </row>
    <row r="193" spans="1:35" x14ac:dyDescent="0.15">
      <c r="A193" s="206">
        <v>30302</v>
      </c>
      <c r="B193" s="207">
        <f t="shared" ref="B193:B245" si="235">S22</f>
        <v>1264</v>
      </c>
      <c r="C193" s="207">
        <f t="shared" si="209"/>
        <v>126</v>
      </c>
      <c r="D193" s="207">
        <f t="shared" si="209"/>
        <v>474</v>
      </c>
      <c r="E193" s="207">
        <f t="shared" si="210"/>
        <v>474</v>
      </c>
      <c r="F193" s="206">
        <v>30302</v>
      </c>
      <c r="G193" s="207">
        <f t="shared" si="211"/>
        <v>1264</v>
      </c>
      <c r="H193" s="207">
        <f t="shared" si="212"/>
        <v>67</v>
      </c>
      <c r="I193" s="207">
        <f t="shared" si="213"/>
        <v>519</v>
      </c>
      <c r="J193" s="207">
        <f t="shared" si="214"/>
        <v>474</v>
      </c>
      <c r="K193" s="206">
        <v>30302</v>
      </c>
      <c r="L193" s="207">
        <f t="shared" si="215"/>
        <v>1264</v>
      </c>
      <c r="M193" s="207">
        <f t="shared" si="216"/>
        <v>126</v>
      </c>
      <c r="N193" s="207">
        <f t="shared" si="217"/>
        <v>474</v>
      </c>
      <c r="O193" s="207">
        <f t="shared" si="218"/>
        <v>474</v>
      </c>
      <c r="P193" s="206">
        <v>30302</v>
      </c>
      <c r="Q193" s="207">
        <f t="shared" si="219"/>
        <v>1364</v>
      </c>
      <c r="R193" s="207">
        <f t="shared" si="220"/>
        <v>117</v>
      </c>
      <c r="S193" s="207">
        <f t="shared" si="221"/>
        <v>451</v>
      </c>
      <c r="T193" s="207">
        <f t="shared" si="222"/>
        <v>569</v>
      </c>
      <c r="U193" s="206">
        <v>30302</v>
      </c>
      <c r="V193" s="207">
        <f t="shared" si="223"/>
        <v>1264</v>
      </c>
      <c r="W193" s="207">
        <f t="shared" si="224"/>
        <v>254</v>
      </c>
      <c r="X193" s="207">
        <f t="shared" si="225"/>
        <v>564</v>
      </c>
      <c r="Y193" s="207">
        <f t="shared" si="226"/>
        <v>474</v>
      </c>
      <c r="Z193" s="206">
        <v>30302</v>
      </c>
      <c r="AA193" s="207">
        <f t="shared" si="227"/>
        <v>1546</v>
      </c>
      <c r="AB193" s="207">
        <f t="shared" si="228"/>
        <v>424</v>
      </c>
      <c r="AC193" s="207">
        <f t="shared" si="229"/>
        <v>451</v>
      </c>
      <c r="AD193" s="207">
        <f t="shared" si="230"/>
        <v>664</v>
      </c>
      <c r="AE193" s="206">
        <v>30302</v>
      </c>
      <c r="AF193" s="207">
        <f t="shared" si="231"/>
        <v>1364</v>
      </c>
      <c r="AG193" s="207">
        <f t="shared" si="232"/>
        <v>141</v>
      </c>
      <c r="AH193" s="207">
        <f t="shared" si="233"/>
        <v>519</v>
      </c>
      <c r="AI193" s="207">
        <f t="shared" si="234"/>
        <v>569</v>
      </c>
    </row>
    <row r="194" spans="1:35" x14ac:dyDescent="0.15">
      <c r="A194" s="206">
        <v>30303</v>
      </c>
      <c r="B194" s="207">
        <f t="shared" si="235"/>
        <v>1336</v>
      </c>
      <c r="C194" s="207">
        <f t="shared" si="209"/>
        <v>133</v>
      </c>
      <c r="D194" s="207">
        <f t="shared" si="209"/>
        <v>501</v>
      </c>
      <c r="E194" s="207">
        <f t="shared" si="210"/>
        <v>501</v>
      </c>
      <c r="F194" s="206">
        <v>30303</v>
      </c>
      <c r="G194" s="207">
        <f t="shared" si="211"/>
        <v>1336</v>
      </c>
      <c r="H194" s="207">
        <f t="shared" si="212"/>
        <v>71</v>
      </c>
      <c r="I194" s="207">
        <f t="shared" si="213"/>
        <v>549</v>
      </c>
      <c r="J194" s="207">
        <f t="shared" si="214"/>
        <v>501</v>
      </c>
      <c r="K194" s="206">
        <v>30303</v>
      </c>
      <c r="L194" s="207">
        <f t="shared" si="215"/>
        <v>1336</v>
      </c>
      <c r="M194" s="207">
        <f t="shared" si="216"/>
        <v>133</v>
      </c>
      <c r="N194" s="207">
        <f t="shared" si="217"/>
        <v>501</v>
      </c>
      <c r="O194" s="207">
        <f t="shared" si="218"/>
        <v>501</v>
      </c>
      <c r="P194" s="206">
        <v>30303</v>
      </c>
      <c r="Q194" s="207">
        <f t="shared" si="219"/>
        <v>1442</v>
      </c>
      <c r="R194" s="207">
        <f t="shared" si="220"/>
        <v>124</v>
      </c>
      <c r="S194" s="207">
        <f t="shared" si="221"/>
        <v>477</v>
      </c>
      <c r="T194" s="207">
        <f t="shared" si="222"/>
        <v>601</v>
      </c>
      <c r="U194" s="206">
        <v>30303</v>
      </c>
      <c r="V194" s="207">
        <f t="shared" si="223"/>
        <v>1336</v>
      </c>
      <c r="W194" s="207">
        <f t="shared" si="224"/>
        <v>269</v>
      </c>
      <c r="X194" s="207">
        <f t="shared" si="225"/>
        <v>596</v>
      </c>
      <c r="Y194" s="207">
        <f t="shared" si="226"/>
        <v>501</v>
      </c>
      <c r="Z194" s="206">
        <v>30303</v>
      </c>
      <c r="AA194" s="207">
        <f t="shared" si="227"/>
        <v>1634</v>
      </c>
      <c r="AB194" s="207">
        <f t="shared" si="228"/>
        <v>448</v>
      </c>
      <c r="AC194" s="207">
        <f t="shared" si="229"/>
        <v>477</v>
      </c>
      <c r="AD194" s="207">
        <f t="shared" si="230"/>
        <v>701</v>
      </c>
      <c r="AE194" s="206">
        <v>30303</v>
      </c>
      <c r="AF194" s="207">
        <f t="shared" si="231"/>
        <v>1442</v>
      </c>
      <c r="AG194" s="207">
        <f t="shared" si="232"/>
        <v>149</v>
      </c>
      <c r="AH194" s="207">
        <f t="shared" si="233"/>
        <v>549</v>
      </c>
      <c r="AI194" s="207">
        <f t="shared" si="234"/>
        <v>601</v>
      </c>
    </row>
    <row r="195" spans="1:35" x14ac:dyDescent="0.15">
      <c r="A195" s="206">
        <v>30304</v>
      </c>
      <c r="B195" s="207">
        <f t="shared" si="235"/>
        <v>1408</v>
      </c>
      <c r="C195" s="207">
        <f t="shared" si="209"/>
        <v>140</v>
      </c>
      <c r="D195" s="207">
        <f t="shared" si="209"/>
        <v>528</v>
      </c>
      <c r="E195" s="207">
        <f t="shared" si="210"/>
        <v>528</v>
      </c>
      <c r="F195" s="206">
        <v>30304</v>
      </c>
      <c r="G195" s="207">
        <f t="shared" si="211"/>
        <v>1408</v>
      </c>
      <c r="H195" s="207">
        <f t="shared" si="212"/>
        <v>75</v>
      </c>
      <c r="I195" s="207">
        <f t="shared" si="213"/>
        <v>578</v>
      </c>
      <c r="J195" s="207">
        <f t="shared" si="214"/>
        <v>528</v>
      </c>
      <c r="K195" s="206">
        <v>30304</v>
      </c>
      <c r="L195" s="207">
        <f t="shared" si="215"/>
        <v>1408</v>
      </c>
      <c r="M195" s="207">
        <f t="shared" si="216"/>
        <v>140</v>
      </c>
      <c r="N195" s="207">
        <f t="shared" si="217"/>
        <v>528</v>
      </c>
      <c r="O195" s="207">
        <f t="shared" si="218"/>
        <v>528</v>
      </c>
      <c r="P195" s="206">
        <v>30304</v>
      </c>
      <c r="Q195" s="207">
        <f t="shared" si="219"/>
        <v>1520</v>
      </c>
      <c r="R195" s="207">
        <f t="shared" si="220"/>
        <v>131</v>
      </c>
      <c r="S195" s="207">
        <f t="shared" si="221"/>
        <v>503</v>
      </c>
      <c r="T195" s="207">
        <f t="shared" si="222"/>
        <v>634</v>
      </c>
      <c r="U195" s="206">
        <v>30304</v>
      </c>
      <c r="V195" s="207">
        <f t="shared" si="223"/>
        <v>1408</v>
      </c>
      <c r="W195" s="207">
        <f t="shared" si="224"/>
        <v>283</v>
      </c>
      <c r="X195" s="207">
        <f t="shared" si="225"/>
        <v>629</v>
      </c>
      <c r="Y195" s="207">
        <f t="shared" si="226"/>
        <v>528</v>
      </c>
      <c r="Z195" s="206">
        <v>30304</v>
      </c>
      <c r="AA195" s="207">
        <f t="shared" si="227"/>
        <v>1722</v>
      </c>
      <c r="AB195" s="207">
        <f t="shared" si="228"/>
        <v>472</v>
      </c>
      <c r="AC195" s="207">
        <f t="shared" si="229"/>
        <v>503</v>
      </c>
      <c r="AD195" s="207">
        <f t="shared" si="230"/>
        <v>739</v>
      </c>
      <c r="AE195" s="206">
        <v>30304</v>
      </c>
      <c r="AF195" s="207">
        <f t="shared" si="231"/>
        <v>1520</v>
      </c>
      <c r="AG195" s="207">
        <f t="shared" si="232"/>
        <v>157</v>
      </c>
      <c r="AH195" s="207">
        <f t="shared" si="233"/>
        <v>578</v>
      </c>
      <c r="AI195" s="207">
        <f t="shared" si="234"/>
        <v>634</v>
      </c>
    </row>
    <row r="196" spans="1:35" x14ac:dyDescent="0.15">
      <c r="A196" s="206">
        <v>30305</v>
      </c>
      <c r="B196" s="207">
        <f t="shared" si="235"/>
        <v>1480</v>
      </c>
      <c r="C196" s="207">
        <f t="shared" si="209"/>
        <v>147</v>
      </c>
      <c r="D196" s="207">
        <f t="shared" si="209"/>
        <v>555</v>
      </c>
      <c r="E196" s="207">
        <f t="shared" si="210"/>
        <v>555</v>
      </c>
      <c r="F196" s="206">
        <v>30305</v>
      </c>
      <c r="G196" s="207">
        <f t="shared" si="211"/>
        <v>1480</v>
      </c>
      <c r="H196" s="207">
        <f t="shared" si="212"/>
        <v>79</v>
      </c>
      <c r="I196" s="207">
        <f t="shared" si="213"/>
        <v>608</v>
      </c>
      <c r="J196" s="207">
        <f t="shared" si="214"/>
        <v>555</v>
      </c>
      <c r="K196" s="206">
        <v>30305</v>
      </c>
      <c r="L196" s="207">
        <f t="shared" si="215"/>
        <v>1480</v>
      </c>
      <c r="M196" s="207">
        <f t="shared" si="216"/>
        <v>147</v>
      </c>
      <c r="N196" s="207">
        <f t="shared" si="217"/>
        <v>555</v>
      </c>
      <c r="O196" s="207">
        <f t="shared" si="218"/>
        <v>555</v>
      </c>
      <c r="P196" s="206">
        <v>30305</v>
      </c>
      <c r="Q196" s="207">
        <f t="shared" si="219"/>
        <v>1597</v>
      </c>
      <c r="R196" s="207">
        <f t="shared" si="220"/>
        <v>137</v>
      </c>
      <c r="S196" s="207">
        <f t="shared" si="221"/>
        <v>529</v>
      </c>
      <c r="T196" s="207">
        <f t="shared" si="222"/>
        <v>666</v>
      </c>
      <c r="U196" s="206">
        <v>30305</v>
      </c>
      <c r="V196" s="207">
        <f t="shared" si="223"/>
        <v>1480</v>
      </c>
      <c r="W196" s="207">
        <f t="shared" si="224"/>
        <v>298</v>
      </c>
      <c r="X196" s="207">
        <f t="shared" si="225"/>
        <v>661</v>
      </c>
      <c r="Y196" s="207">
        <f t="shared" si="226"/>
        <v>555</v>
      </c>
      <c r="Z196" s="206">
        <v>30305</v>
      </c>
      <c r="AA196" s="207">
        <f t="shared" si="227"/>
        <v>1810</v>
      </c>
      <c r="AB196" s="207">
        <f t="shared" si="228"/>
        <v>496</v>
      </c>
      <c r="AC196" s="207">
        <f t="shared" si="229"/>
        <v>529</v>
      </c>
      <c r="AD196" s="207">
        <f t="shared" si="230"/>
        <v>777</v>
      </c>
      <c r="AE196" s="206">
        <v>30305</v>
      </c>
      <c r="AF196" s="207">
        <f t="shared" si="231"/>
        <v>1597</v>
      </c>
      <c r="AG196" s="207">
        <f t="shared" si="232"/>
        <v>165</v>
      </c>
      <c r="AH196" s="207">
        <f t="shared" si="233"/>
        <v>608</v>
      </c>
      <c r="AI196" s="207">
        <f t="shared" si="234"/>
        <v>666</v>
      </c>
    </row>
    <row r="197" spans="1:35" x14ac:dyDescent="0.15">
      <c r="A197" s="206">
        <v>30306</v>
      </c>
      <c r="B197" s="207">
        <f t="shared" si="235"/>
        <v>1552</v>
      </c>
      <c r="C197" s="207">
        <f t="shared" si="209"/>
        <v>155</v>
      </c>
      <c r="D197" s="207">
        <f t="shared" si="209"/>
        <v>582</v>
      </c>
      <c r="E197" s="207">
        <f t="shared" si="210"/>
        <v>582</v>
      </c>
      <c r="F197" s="206">
        <v>30306</v>
      </c>
      <c r="G197" s="207">
        <f t="shared" si="211"/>
        <v>1552</v>
      </c>
      <c r="H197" s="207">
        <f t="shared" si="212"/>
        <v>82</v>
      </c>
      <c r="I197" s="207">
        <f t="shared" si="213"/>
        <v>637</v>
      </c>
      <c r="J197" s="207">
        <f t="shared" si="214"/>
        <v>582</v>
      </c>
      <c r="K197" s="206">
        <v>30306</v>
      </c>
      <c r="L197" s="207">
        <f t="shared" si="215"/>
        <v>1552</v>
      </c>
      <c r="M197" s="207">
        <f t="shared" si="216"/>
        <v>155</v>
      </c>
      <c r="N197" s="207">
        <f t="shared" si="217"/>
        <v>582</v>
      </c>
      <c r="O197" s="207">
        <f t="shared" si="218"/>
        <v>582</v>
      </c>
      <c r="P197" s="206">
        <v>30306</v>
      </c>
      <c r="Q197" s="207">
        <f t="shared" si="219"/>
        <v>1675</v>
      </c>
      <c r="R197" s="207">
        <f t="shared" si="220"/>
        <v>144</v>
      </c>
      <c r="S197" s="207">
        <f t="shared" si="221"/>
        <v>554</v>
      </c>
      <c r="T197" s="207">
        <f t="shared" si="222"/>
        <v>698</v>
      </c>
      <c r="U197" s="206">
        <v>30306</v>
      </c>
      <c r="V197" s="207">
        <f t="shared" si="223"/>
        <v>1552</v>
      </c>
      <c r="W197" s="207">
        <f t="shared" si="224"/>
        <v>312</v>
      </c>
      <c r="X197" s="207">
        <f t="shared" si="225"/>
        <v>693</v>
      </c>
      <c r="Y197" s="207">
        <f t="shared" si="226"/>
        <v>582</v>
      </c>
      <c r="Z197" s="206">
        <v>30306</v>
      </c>
      <c r="AA197" s="207">
        <f t="shared" si="227"/>
        <v>1899</v>
      </c>
      <c r="AB197" s="207">
        <f t="shared" si="228"/>
        <v>520</v>
      </c>
      <c r="AC197" s="207">
        <f t="shared" si="229"/>
        <v>554</v>
      </c>
      <c r="AD197" s="207">
        <f t="shared" si="230"/>
        <v>815</v>
      </c>
      <c r="AE197" s="206">
        <v>30306</v>
      </c>
      <c r="AF197" s="207">
        <f t="shared" si="231"/>
        <v>1675</v>
      </c>
      <c r="AG197" s="207">
        <f t="shared" si="232"/>
        <v>173</v>
      </c>
      <c r="AH197" s="207">
        <f t="shared" si="233"/>
        <v>637</v>
      </c>
      <c r="AI197" s="207">
        <f t="shared" si="234"/>
        <v>698</v>
      </c>
    </row>
    <row r="198" spans="1:35" x14ac:dyDescent="0.15">
      <c r="A198" s="206">
        <v>30307</v>
      </c>
      <c r="B198" s="207">
        <f t="shared" si="235"/>
        <v>1624</v>
      </c>
      <c r="C198" s="207">
        <f t="shared" si="209"/>
        <v>162</v>
      </c>
      <c r="D198" s="207">
        <f t="shared" si="209"/>
        <v>609</v>
      </c>
      <c r="E198" s="207">
        <f t="shared" si="210"/>
        <v>609</v>
      </c>
      <c r="F198" s="206">
        <v>30307</v>
      </c>
      <c r="G198" s="207">
        <f t="shared" si="211"/>
        <v>1624</v>
      </c>
      <c r="H198" s="207">
        <f t="shared" si="212"/>
        <v>86</v>
      </c>
      <c r="I198" s="207">
        <f t="shared" si="213"/>
        <v>667</v>
      </c>
      <c r="J198" s="207">
        <f t="shared" si="214"/>
        <v>609</v>
      </c>
      <c r="K198" s="206">
        <v>30307</v>
      </c>
      <c r="L198" s="207">
        <f t="shared" si="215"/>
        <v>1624</v>
      </c>
      <c r="M198" s="207">
        <f t="shared" si="216"/>
        <v>162</v>
      </c>
      <c r="N198" s="207">
        <f t="shared" si="217"/>
        <v>609</v>
      </c>
      <c r="O198" s="207">
        <f t="shared" si="218"/>
        <v>609</v>
      </c>
      <c r="P198" s="206">
        <v>30307</v>
      </c>
      <c r="Q198" s="207">
        <f t="shared" si="219"/>
        <v>1753</v>
      </c>
      <c r="R198" s="207">
        <f t="shared" si="220"/>
        <v>151</v>
      </c>
      <c r="S198" s="207">
        <f t="shared" si="221"/>
        <v>580</v>
      </c>
      <c r="T198" s="207">
        <f t="shared" si="222"/>
        <v>731</v>
      </c>
      <c r="U198" s="206">
        <v>30307</v>
      </c>
      <c r="V198" s="207">
        <f t="shared" si="223"/>
        <v>1624</v>
      </c>
      <c r="W198" s="207">
        <f t="shared" si="224"/>
        <v>327</v>
      </c>
      <c r="X198" s="207">
        <f t="shared" si="225"/>
        <v>725</v>
      </c>
      <c r="Y198" s="207">
        <f t="shared" si="226"/>
        <v>609</v>
      </c>
      <c r="Z198" s="206">
        <v>30307</v>
      </c>
      <c r="AA198" s="207">
        <f t="shared" si="227"/>
        <v>1987</v>
      </c>
      <c r="AB198" s="207">
        <f t="shared" si="228"/>
        <v>544</v>
      </c>
      <c r="AC198" s="207">
        <f t="shared" si="229"/>
        <v>580</v>
      </c>
      <c r="AD198" s="207">
        <f t="shared" si="230"/>
        <v>853</v>
      </c>
      <c r="AE198" s="206">
        <v>30307</v>
      </c>
      <c r="AF198" s="207">
        <f t="shared" si="231"/>
        <v>1753</v>
      </c>
      <c r="AG198" s="207">
        <f t="shared" si="232"/>
        <v>181</v>
      </c>
      <c r="AH198" s="207">
        <f t="shared" si="233"/>
        <v>667</v>
      </c>
      <c r="AI198" s="207">
        <f t="shared" si="234"/>
        <v>731</v>
      </c>
    </row>
    <row r="199" spans="1:35" x14ac:dyDescent="0.15">
      <c r="A199" s="206">
        <v>30308</v>
      </c>
      <c r="B199" s="207">
        <f t="shared" si="235"/>
        <v>1696</v>
      </c>
      <c r="C199" s="207">
        <f t="shared" si="209"/>
        <v>169</v>
      </c>
      <c r="D199" s="207">
        <f t="shared" si="209"/>
        <v>636</v>
      </c>
      <c r="E199" s="207">
        <f t="shared" si="210"/>
        <v>636</v>
      </c>
      <c r="F199" s="206">
        <v>30308</v>
      </c>
      <c r="G199" s="207">
        <f t="shared" si="211"/>
        <v>1696</v>
      </c>
      <c r="H199" s="207">
        <f t="shared" si="212"/>
        <v>90</v>
      </c>
      <c r="I199" s="207">
        <f t="shared" si="213"/>
        <v>697</v>
      </c>
      <c r="J199" s="207">
        <f t="shared" si="214"/>
        <v>636</v>
      </c>
      <c r="K199" s="206">
        <v>30308</v>
      </c>
      <c r="L199" s="207">
        <f t="shared" si="215"/>
        <v>1696</v>
      </c>
      <c r="M199" s="207">
        <f t="shared" si="216"/>
        <v>169</v>
      </c>
      <c r="N199" s="207">
        <f t="shared" si="217"/>
        <v>636</v>
      </c>
      <c r="O199" s="207">
        <f t="shared" si="218"/>
        <v>636</v>
      </c>
      <c r="P199" s="206">
        <v>30308</v>
      </c>
      <c r="Q199" s="207">
        <f t="shared" si="219"/>
        <v>1831</v>
      </c>
      <c r="R199" s="207">
        <f t="shared" si="220"/>
        <v>157</v>
      </c>
      <c r="S199" s="207">
        <f t="shared" si="221"/>
        <v>606</v>
      </c>
      <c r="T199" s="207">
        <f t="shared" si="222"/>
        <v>763</v>
      </c>
      <c r="U199" s="206">
        <v>30308</v>
      </c>
      <c r="V199" s="207">
        <f t="shared" si="223"/>
        <v>1696</v>
      </c>
      <c r="W199" s="207">
        <f t="shared" si="224"/>
        <v>341</v>
      </c>
      <c r="X199" s="207">
        <f t="shared" si="225"/>
        <v>757</v>
      </c>
      <c r="Y199" s="207">
        <f t="shared" si="226"/>
        <v>636</v>
      </c>
      <c r="Z199" s="206">
        <v>30308</v>
      </c>
      <c r="AA199" s="207">
        <f t="shared" si="227"/>
        <v>2075</v>
      </c>
      <c r="AB199" s="207">
        <f t="shared" si="228"/>
        <v>568</v>
      </c>
      <c r="AC199" s="207">
        <f t="shared" si="229"/>
        <v>606</v>
      </c>
      <c r="AD199" s="207">
        <f t="shared" si="230"/>
        <v>890</v>
      </c>
      <c r="AE199" s="206">
        <v>30308</v>
      </c>
      <c r="AF199" s="207">
        <f t="shared" si="231"/>
        <v>1831</v>
      </c>
      <c r="AG199" s="207">
        <f t="shared" si="232"/>
        <v>189</v>
      </c>
      <c r="AH199" s="207">
        <f t="shared" si="233"/>
        <v>697</v>
      </c>
      <c r="AI199" s="207">
        <f t="shared" si="234"/>
        <v>763</v>
      </c>
    </row>
    <row r="200" spans="1:35" x14ac:dyDescent="0.15">
      <c r="A200" s="206">
        <v>30309</v>
      </c>
      <c r="B200" s="207">
        <f t="shared" si="235"/>
        <v>1768</v>
      </c>
      <c r="C200" s="207">
        <f t="shared" si="209"/>
        <v>176</v>
      </c>
      <c r="D200" s="207">
        <f t="shared" si="209"/>
        <v>663</v>
      </c>
      <c r="E200" s="207">
        <f t="shared" si="210"/>
        <v>663</v>
      </c>
      <c r="F200" s="206">
        <v>30309</v>
      </c>
      <c r="G200" s="207">
        <f t="shared" si="211"/>
        <v>1768</v>
      </c>
      <c r="H200" s="207">
        <f t="shared" si="212"/>
        <v>94</v>
      </c>
      <c r="I200" s="207">
        <f t="shared" si="213"/>
        <v>726</v>
      </c>
      <c r="J200" s="207">
        <f t="shared" si="214"/>
        <v>663</v>
      </c>
      <c r="K200" s="206">
        <v>30309</v>
      </c>
      <c r="L200" s="207">
        <f t="shared" si="215"/>
        <v>1768</v>
      </c>
      <c r="M200" s="207">
        <f t="shared" si="216"/>
        <v>176</v>
      </c>
      <c r="N200" s="207">
        <f t="shared" si="217"/>
        <v>663</v>
      </c>
      <c r="O200" s="207">
        <f t="shared" si="218"/>
        <v>663</v>
      </c>
      <c r="P200" s="206">
        <v>30309</v>
      </c>
      <c r="Q200" s="207">
        <f t="shared" si="219"/>
        <v>1908</v>
      </c>
      <c r="R200" s="207">
        <f t="shared" si="220"/>
        <v>164</v>
      </c>
      <c r="S200" s="207">
        <f t="shared" si="221"/>
        <v>631</v>
      </c>
      <c r="T200" s="207">
        <f t="shared" si="222"/>
        <v>796</v>
      </c>
      <c r="U200" s="206">
        <v>30309</v>
      </c>
      <c r="V200" s="207">
        <f t="shared" si="223"/>
        <v>1768</v>
      </c>
      <c r="W200" s="207">
        <f t="shared" si="224"/>
        <v>356</v>
      </c>
      <c r="X200" s="207">
        <f t="shared" si="225"/>
        <v>789</v>
      </c>
      <c r="Y200" s="207">
        <f t="shared" si="226"/>
        <v>663</v>
      </c>
      <c r="Z200" s="206">
        <v>30309</v>
      </c>
      <c r="AA200" s="207">
        <f t="shared" si="227"/>
        <v>2163</v>
      </c>
      <c r="AB200" s="207">
        <f t="shared" si="228"/>
        <v>592</v>
      </c>
      <c r="AC200" s="207">
        <f t="shared" si="229"/>
        <v>631</v>
      </c>
      <c r="AD200" s="207">
        <f t="shared" si="230"/>
        <v>928</v>
      </c>
      <c r="AE200" s="206">
        <v>30309</v>
      </c>
      <c r="AF200" s="207">
        <f t="shared" si="231"/>
        <v>1908</v>
      </c>
      <c r="AG200" s="207">
        <f t="shared" si="232"/>
        <v>197</v>
      </c>
      <c r="AH200" s="207">
        <f t="shared" si="233"/>
        <v>726</v>
      </c>
      <c r="AI200" s="207">
        <f t="shared" si="234"/>
        <v>796</v>
      </c>
    </row>
    <row r="201" spans="1:35" x14ac:dyDescent="0.15">
      <c r="A201" s="206">
        <v>30310</v>
      </c>
      <c r="B201" s="207">
        <f t="shared" si="235"/>
        <v>1840</v>
      </c>
      <c r="C201" s="207">
        <f t="shared" si="209"/>
        <v>183</v>
      </c>
      <c r="D201" s="207">
        <f t="shared" si="209"/>
        <v>690</v>
      </c>
      <c r="E201" s="207">
        <f t="shared" si="210"/>
        <v>690</v>
      </c>
      <c r="F201" s="206">
        <v>30310</v>
      </c>
      <c r="G201" s="207">
        <f t="shared" si="211"/>
        <v>1840</v>
      </c>
      <c r="H201" s="207">
        <f t="shared" si="212"/>
        <v>98</v>
      </c>
      <c r="I201" s="207">
        <f t="shared" si="213"/>
        <v>756</v>
      </c>
      <c r="J201" s="207">
        <f t="shared" si="214"/>
        <v>690</v>
      </c>
      <c r="K201" s="206">
        <v>30310</v>
      </c>
      <c r="L201" s="207">
        <f t="shared" si="215"/>
        <v>1840</v>
      </c>
      <c r="M201" s="207">
        <f t="shared" si="216"/>
        <v>183</v>
      </c>
      <c r="N201" s="207">
        <f t="shared" si="217"/>
        <v>690</v>
      </c>
      <c r="O201" s="207">
        <f t="shared" si="218"/>
        <v>690</v>
      </c>
      <c r="P201" s="206">
        <v>30310</v>
      </c>
      <c r="Q201" s="207">
        <f t="shared" si="219"/>
        <v>1986</v>
      </c>
      <c r="R201" s="207">
        <f t="shared" si="220"/>
        <v>171</v>
      </c>
      <c r="S201" s="207">
        <f t="shared" si="221"/>
        <v>657</v>
      </c>
      <c r="T201" s="207">
        <f t="shared" si="222"/>
        <v>828</v>
      </c>
      <c r="U201" s="206">
        <v>30310</v>
      </c>
      <c r="V201" s="207">
        <f t="shared" si="223"/>
        <v>1840</v>
      </c>
      <c r="W201" s="207">
        <f t="shared" si="224"/>
        <v>370</v>
      </c>
      <c r="X201" s="207">
        <f t="shared" si="225"/>
        <v>821</v>
      </c>
      <c r="Y201" s="207">
        <f t="shared" si="226"/>
        <v>690</v>
      </c>
      <c r="Z201" s="206">
        <v>30310</v>
      </c>
      <c r="AA201" s="207">
        <f t="shared" si="227"/>
        <v>2251</v>
      </c>
      <c r="AB201" s="207">
        <f t="shared" si="228"/>
        <v>617</v>
      </c>
      <c r="AC201" s="207">
        <f t="shared" si="229"/>
        <v>657</v>
      </c>
      <c r="AD201" s="207">
        <f t="shared" si="230"/>
        <v>966</v>
      </c>
      <c r="AE201" s="206">
        <v>30310</v>
      </c>
      <c r="AF201" s="207">
        <f t="shared" si="231"/>
        <v>1986</v>
      </c>
      <c r="AG201" s="207">
        <f t="shared" si="232"/>
        <v>205</v>
      </c>
      <c r="AH201" s="207">
        <f t="shared" si="233"/>
        <v>756</v>
      </c>
      <c r="AI201" s="207">
        <f t="shared" si="234"/>
        <v>828</v>
      </c>
    </row>
    <row r="202" spans="1:35" x14ac:dyDescent="0.15">
      <c r="A202" s="206">
        <v>30311</v>
      </c>
      <c r="B202" s="207">
        <f t="shared" si="235"/>
        <v>1928</v>
      </c>
      <c r="C202" s="207">
        <f t="shared" si="209"/>
        <v>192</v>
      </c>
      <c r="D202" s="207">
        <f t="shared" si="209"/>
        <v>723</v>
      </c>
      <c r="E202" s="207">
        <f t="shared" si="210"/>
        <v>723</v>
      </c>
      <c r="F202" s="206">
        <v>30311</v>
      </c>
      <c r="G202" s="207">
        <f t="shared" si="211"/>
        <v>1928</v>
      </c>
      <c r="H202" s="207">
        <f t="shared" si="212"/>
        <v>102</v>
      </c>
      <c r="I202" s="207">
        <f t="shared" si="213"/>
        <v>792</v>
      </c>
      <c r="J202" s="207">
        <f t="shared" si="214"/>
        <v>723</v>
      </c>
      <c r="K202" s="206">
        <v>30311</v>
      </c>
      <c r="L202" s="207">
        <f t="shared" si="215"/>
        <v>1928</v>
      </c>
      <c r="M202" s="207">
        <f t="shared" si="216"/>
        <v>192</v>
      </c>
      <c r="N202" s="207">
        <f t="shared" si="217"/>
        <v>723</v>
      </c>
      <c r="O202" s="207">
        <f t="shared" si="218"/>
        <v>723</v>
      </c>
      <c r="P202" s="206">
        <v>30311</v>
      </c>
      <c r="Q202" s="207">
        <f t="shared" si="219"/>
        <v>2081</v>
      </c>
      <c r="R202" s="207">
        <f t="shared" si="220"/>
        <v>179</v>
      </c>
      <c r="S202" s="207">
        <f t="shared" si="221"/>
        <v>689</v>
      </c>
      <c r="T202" s="207">
        <f t="shared" si="222"/>
        <v>868</v>
      </c>
      <c r="U202" s="206">
        <v>30311</v>
      </c>
      <c r="V202" s="207">
        <f t="shared" si="223"/>
        <v>1928</v>
      </c>
      <c r="W202" s="207">
        <f t="shared" si="224"/>
        <v>388</v>
      </c>
      <c r="X202" s="207">
        <f t="shared" si="225"/>
        <v>861</v>
      </c>
      <c r="Y202" s="207">
        <f t="shared" si="226"/>
        <v>723</v>
      </c>
      <c r="Z202" s="206">
        <v>30311</v>
      </c>
      <c r="AA202" s="207">
        <f t="shared" si="227"/>
        <v>2359</v>
      </c>
      <c r="AB202" s="207">
        <f t="shared" si="228"/>
        <v>646</v>
      </c>
      <c r="AC202" s="207">
        <f t="shared" si="229"/>
        <v>689</v>
      </c>
      <c r="AD202" s="207">
        <f t="shared" si="230"/>
        <v>1012</v>
      </c>
      <c r="AE202" s="206">
        <v>30311</v>
      </c>
      <c r="AF202" s="207">
        <f t="shared" si="231"/>
        <v>2081</v>
      </c>
      <c r="AG202" s="207">
        <f t="shared" si="232"/>
        <v>214</v>
      </c>
      <c r="AH202" s="207">
        <f t="shared" si="233"/>
        <v>792</v>
      </c>
      <c r="AI202" s="207">
        <f t="shared" si="234"/>
        <v>868</v>
      </c>
    </row>
    <row r="203" spans="1:35" x14ac:dyDescent="0.15">
      <c r="A203" s="206">
        <v>30312</v>
      </c>
      <c r="B203" s="207">
        <f t="shared" si="235"/>
        <v>2016</v>
      </c>
      <c r="C203" s="207">
        <f t="shared" si="209"/>
        <v>201</v>
      </c>
      <c r="D203" s="207">
        <f t="shared" si="209"/>
        <v>756</v>
      </c>
      <c r="E203" s="207">
        <f t="shared" si="210"/>
        <v>756</v>
      </c>
      <c r="F203" s="206">
        <v>30312</v>
      </c>
      <c r="G203" s="207">
        <f t="shared" si="211"/>
        <v>2016</v>
      </c>
      <c r="H203" s="207">
        <f t="shared" si="212"/>
        <v>107</v>
      </c>
      <c r="I203" s="207">
        <f t="shared" si="213"/>
        <v>828</v>
      </c>
      <c r="J203" s="207">
        <f t="shared" si="214"/>
        <v>756</v>
      </c>
      <c r="K203" s="206">
        <v>30312</v>
      </c>
      <c r="L203" s="207">
        <f t="shared" si="215"/>
        <v>2016</v>
      </c>
      <c r="M203" s="207">
        <f t="shared" si="216"/>
        <v>201</v>
      </c>
      <c r="N203" s="207">
        <f t="shared" si="217"/>
        <v>756</v>
      </c>
      <c r="O203" s="207">
        <f t="shared" si="218"/>
        <v>756</v>
      </c>
      <c r="P203" s="206">
        <v>30312</v>
      </c>
      <c r="Q203" s="207">
        <f t="shared" si="219"/>
        <v>2176</v>
      </c>
      <c r="R203" s="207">
        <f t="shared" si="220"/>
        <v>187</v>
      </c>
      <c r="S203" s="207">
        <f t="shared" si="221"/>
        <v>720</v>
      </c>
      <c r="T203" s="207">
        <f t="shared" si="222"/>
        <v>907</v>
      </c>
      <c r="U203" s="206">
        <v>30312</v>
      </c>
      <c r="V203" s="207">
        <f t="shared" si="223"/>
        <v>2016</v>
      </c>
      <c r="W203" s="207">
        <f t="shared" si="224"/>
        <v>406</v>
      </c>
      <c r="X203" s="207">
        <f t="shared" si="225"/>
        <v>900</v>
      </c>
      <c r="Y203" s="207">
        <f t="shared" si="226"/>
        <v>756</v>
      </c>
      <c r="Z203" s="206">
        <v>30312</v>
      </c>
      <c r="AA203" s="207">
        <f t="shared" si="227"/>
        <v>2466</v>
      </c>
      <c r="AB203" s="207">
        <f t="shared" si="228"/>
        <v>676</v>
      </c>
      <c r="AC203" s="207">
        <f t="shared" si="229"/>
        <v>720</v>
      </c>
      <c r="AD203" s="207">
        <f t="shared" si="230"/>
        <v>1058</v>
      </c>
      <c r="AE203" s="206">
        <v>30312</v>
      </c>
      <c r="AF203" s="207">
        <f t="shared" si="231"/>
        <v>2176</v>
      </c>
      <c r="AG203" s="207">
        <f t="shared" si="232"/>
        <v>224</v>
      </c>
      <c r="AH203" s="207">
        <f t="shared" si="233"/>
        <v>828</v>
      </c>
      <c r="AI203" s="207">
        <f t="shared" si="234"/>
        <v>907</v>
      </c>
    </row>
    <row r="204" spans="1:35" x14ac:dyDescent="0.15">
      <c r="A204" s="206">
        <v>30313</v>
      </c>
      <c r="B204" s="207">
        <f t="shared" si="235"/>
        <v>2104</v>
      </c>
      <c r="C204" s="207">
        <f t="shared" si="209"/>
        <v>210</v>
      </c>
      <c r="D204" s="207">
        <f t="shared" si="209"/>
        <v>789</v>
      </c>
      <c r="E204" s="207">
        <f t="shared" si="210"/>
        <v>789</v>
      </c>
      <c r="F204" s="206">
        <v>30313</v>
      </c>
      <c r="G204" s="207">
        <f t="shared" si="211"/>
        <v>2104</v>
      </c>
      <c r="H204" s="207">
        <f t="shared" si="212"/>
        <v>112</v>
      </c>
      <c r="I204" s="207">
        <f t="shared" si="213"/>
        <v>864</v>
      </c>
      <c r="J204" s="207">
        <f t="shared" si="214"/>
        <v>789</v>
      </c>
      <c r="K204" s="206">
        <v>30313</v>
      </c>
      <c r="L204" s="207">
        <f t="shared" si="215"/>
        <v>2104</v>
      </c>
      <c r="M204" s="207">
        <f t="shared" si="216"/>
        <v>210</v>
      </c>
      <c r="N204" s="207">
        <f t="shared" si="217"/>
        <v>789</v>
      </c>
      <c r="O204" s="207">
        <f t="shared" si="218"/>
        <v>789</v>
      </c>
      <c r="P204" s="206">
        <v>30313</v>
      </c>
      <c r="Q204" s="207">
        <f t="shared" si="219"/>
        <v>2271</v>
      </c>
      <c r="R204" s="207">
        <f t="shared" si="220"/>
        <v>195</v>
      </c>
      <c r="S204" s="207">
        <f t="shared" si="221"/>
        <v>751</v>
      </c>
      <c r="T204" s="207">
        <f t="shared" si="222"/>
        <v>947</v>
      </c>
      <c r="U204" s="206">
        <v>30313</v>
      </c>
      <c r="V204" s="207">
        <f t="shared" si="223"/>
        <v>2104</v>
      </c>
      <c r="W204" s="207">
        <f t="shared" si="224"/>
        <v>424</v>
      </c>
      <c r="X204" s="207">
        <f t="shared" si="225"/>
        <v>939</v>
      </c>
      <c r="Y204" s="207">
        <f t="shared" si="226"/>
        <v>789</v>
      </c>
      <c r="Z204" s="206">
        <v>30313</v>
      </c>
      <c r="AA204" s="207">
        <f t="shared" si="227"/>
        <v>2574</v>
      </c>
      <c r="AB204" s="207">
        <f t="shared" si="228"/>
        <v>705</v>
      </c>
      <c r="AC204" s="207">
        <f t="shared" si="229"/>
        <v>751</v>
      </c>
      <c r="AD204" s="207">
        <f t="shared" si="230"/>
        <v>1105</v>
      </c>
      <c r="AE204" s="206">
        <v>30313</v>
      </c>
      <c r="AF204" s="207">
        <f t="shared" si="231"/>
        <v>2271</v>
      </c>
      <c r="AG204" s="207">
        <f t="shared" si="232"/>
        <v>234</v>
      </c>
      <c r="AH204" s="207">
        <f t="shared" si="233"/>
        <v>864</v>
      </c>
      <c r="AI204" s="207">
        <f t="shared" si="234"/>
        <v>947</v>
      </c>
    </row>
    <row r="205" spans="1:35" x14ac:dyDescent="0.15">
      <c r="A205" s="206">
        <v>30314</v>
      </c>
      <c r="B205" s="207">
        <f t="shared" si="235"/>
        <v>2192</v>
      </c>
      <c r="C205" s="207">
        <f t="shared" si="209"/>
        <v>218</v>
      </c>
      <c r="D205" s="207">
        <f t="shared" si="209"/>
        <v>822</v>
      </c>
      <c r="E205" s="207">
        <f t="shared" si="210"/>
        <v>822</v>
      </c>
      <c r="F205" s="206">
        <v>30314</v>
      </c>
      <c r="G205" s="207">
        <f t="shared" si="211"/>
        <v>2192</v>
      </c>
      <c r="H205" s="207">
        <f t="shared" si="212"/>
        <v>116</v>
      </c>
      <c r="I205" s="207">
        <f t="shared" si="213"/>
        <v>900</v>
      </c>
      <c r="J205" s="207">
        <f t="shared" si="214"/>
        <v>822</v>
      </c>
      <c r="K205" s="206">
        <v>30314</v>
      </c>
      <c r="L205" s="207">
        <f t="shared" si="215"/>
        <v>2192</v>
      </c>
      <c r="M205" s="207">
        <f t="shared" si="216"/>
        <v>218</v>
      </c>
      <c r="N205" s="207">
        <f t="shared" si="217"/>
        <v>822</v>
      </c>
      <c r="O205" s="207">
        <f t="shared" si="218"/>
        <v>822</v>
      </c>
      <c r="P205" s="206">
        <v>30314</v>
      </c>
      <c r="Q205" s="207">
        <f t="shared" si="219"/>
        <v>2366</v>
      </c>
      <c r="R205" s="207">
        <f t="shared" si="220"/>
        <v>203</v>
      </c>
      <c r="S205" s="207">
        <f t="shared" si="221"/>
        <v>783</v>
      </c>
      <c r="T205" s="207">
        <f t="shared" si="222"/>
        <v>986</v>
      </c>
      <c r="U205" s="206">
        <v>30314</v>
      </c>
      <c r="V205" s="207">
        <f t="shared" si="223"/>
        <v>2192</v>
      </c>
      <c r="W205" s="207">
        <f t="shared" si="224"/>
        <v>441</v>
      </c>
      <c r="X205" s="207">
        <f t="shared" si="225"/>
        <v>979</v>
      </c>
      <c r="Y205" s="207">
        <f t="shared" si="226"/>
        <v>822</v>
      </c>
      <c r="Z205" s="206">
        <v>30314</v>
      </c>
      <c r="AA205" s="207">
        <f t="shared" si="227"/>
        <v>2681</v>
      </c>
      <c r="AB205" s="207">
        <f t="shared" si="228"/>
        <v>734</v>
      </c>
      <c r="AC205" s="207">
        <f t="shared" si="229"/>
        <v>783</v>
      </c>
      <c r="AD205" s="207">
        <f t="shared" si="230"/>
        <v>1151</v>
      </c>
      <c r="AE205" s="206">
        <v>30314</v>
      </c>
      <c r="AF205" s="207">
        <f t="shared" si="231"/>
        <v>2366</v>
      </c>
      <c r="AG205" s="207">
        <f t="shared" si="232"/>
        <v>244</v>
      </c>
      <c r="AH205" s="207">
        <f t="shared" si="233"/>
        <v>900</v>
      </c>
      <c r="AI205" s="207">
        <f t="shared" si="234"/>
        <v>986</v>
      </c>
    </row>
    <row r="206" spans="1:35" x14ac:dyDescent="0.15">
      <c r="A206" s="206">
        <v>30315</v>
      </c>
      <c r="B206" s="207">
        <f t="shared" si="235"/>
        <v>2280</v>
      </c>
      <c r="C206" s="207">
        <f t="shared" si="209"/>
        <v>227</v>
      </c>
      <c r="D206" s="207">
        <f t="shared" si="209"/>
        <v>855</v>
      </c>
      <c r="E206" s="207">
        <f t="shared" si="210"/>
        <v>855</v>
      </c>
      <c r="F206" s="206">
        <v>30315</v>
      </c>
      <c r="G206" s="207">
        <f t="shared" si="211"/>
        <v>2280</v>
      </c>
      <c r="H206" s="207">
        <f t="shared" si="212"/>
        <v>121</v>
      </c>
      <c r="I206" s="207">
        <f t="shared" si="213"/>
        <v>936</v>
      </c>
      <c r="J206" s="207">
        <f t="shared" si="214"/>
        <v>855</v>
      </c>
      <c r="K206" s="206">
        <v>30315</v>
      </c>
      <c r="L206" s="207">
        <f t="shared" si="215"/>
        <v>2280</v>
      </c>
      <c r="M206" s="207">
        <f t="shared" si="216"/>
        <v>227</v>
      </c>
      <c r="N206" s="207">
        <f t="shared" si="217"/>
        <v>855</v>
      </c>
      <c r="O206" s="207">
        <f t="shared" si="218"/>
        <v>855</v>
      </c>
      <c r="P206" s="206">
        <v>30315</v>
      </c>
      <c r="Q206" s="207">
        <f t="shared" si="219"/>
        <v>2461</v>
      </c>
      <c r="R206" s="207">
        <f t="shared" si="220"/>
        <v>212</v>
      </c>
      <c r="S206" s="207">
        <f t="shared" si="221"/>
        <v>814</v>
      </c>
      <c r="T206" s="207">
        <f t="shared" si="222"/>
        <v>1026</v>
      </c>
      <c r="U206" s="206">
        <v>30315</v>
      </c>
      <c r="V206" s="207">
        <f t="shared" si="223"/>
        <v>2280</v>
      </c>
      <c r="W206" s="207">
        <f t="shared" si="224"/>
        <v>459</v>
      </c>
      <c r="X206" s="207">
        <f t="shared" si="225"/>
        <v>1018</v>
      </c>
      <c r="Y206" s="207">
        <f t="shared" si="226"/>
        <v>855</v>
      </c>
      <c r="Z206" s="206">
        <v>30315</v>
      </c>
      <c r="AA206" s="207">
        <f t="shared" si="227"/>
        <v>2789</v>
      </c>
      <c r="AB206" s="207">
        <f t="shared" si="228"/>
        <v>764</v>
      </c>
      <c r="AC206" s="207">
        <f t="shared" si="229"/>
        <v>814</v>
      </c>
      <c r="AD206" s="207">
        <f t="shared" si="230"/>
        <v>1197</v>
      </c>
      <c r="AE206" s="206">
        <v>30315</v>
      </c>
      <c r="AF206" s="207">
        <f t="shared" si="231"/>
        <v>2461</v>
      </c>
      <c r="AG206" s="207">
        <f t="shared" si="232"/>
        <v>254</v>
      </c>
      <c r="AH206" s="207">
        <f t="shared" si="233"/>
        <v>936</v>
      </c>
      <c r="AI206" s="207">
        <f t="shared" si="234"/>
        <v>1026</v>
      </c>
    </row>
    <row r="207" spans="1:35" x14ac:dyDescent="0.15">
      <c r="A207" s="206">
        <v>30401</v>
      </c>
      <c r="B207" s="207">
        <f t="shared" si="235"/>
        <v>1528</v>
      </c>
      <c r="C207" s="207">
        <f t="shared" si="209"/>
        <v>152</v>
      </c>
      <c r="D207" s="207">
        <f t="shared" si="209"/>
        <v>573</v>
      </c>
      <c r="E207" s="207">
        <f t="shared" si="210"/>
        <v>573</v>
      </c>
      <c r="F207" s="206">
        <v>30401</v>
      </c>
      <c r="G207" s="207">
        <f t="shared" si="211"/>
        <v>1528</v>
      </c>
      <c r="H207" s="207">
        <f t="shared" si="212"/>
        <v>81</v>
      </c>
      <c r="I207" s="207">
        <f t="shared" si="213"/>
        <v>628</v>
      </c>
      <c r="J207" s="207">
        <f t="shared" si="214"/>
        <v>573</v>
      </c>
      <c r="K207" s="206">
        <v>30401</v>
      </c>
      <c r="L207" s="207">
        <f t="shared" si="215"/>
        <v>1528</v>
      </c>
      <c r="M207" s="207">
        <f t="shared" si="216"/>
        <v>152</v>
      </c>
      <c r="N207" s="207">
        <f t="shared" si="217"/>
        <v>573</v>
      </c>
      <c r="O207" s="207">
        <f t="shared" si="218"/>
        <v>573</v>
      </c>
      <c r="P207" s="206">
        <v>30401</v>
      </c>
      <c r="Q207" s="207">
        <f t="shared" si="219"/>
        <v>1649</v>
      </c>
      <c r="R207" s="207">
        <f t="shared" si="220"/>
        <v>142</v>
      </c>
      <c r="S207" s="207">
        <f t="shared" si="221"/>
        <v>546</v>
      </c>
      <c r="T207" s="207">
        <f t="shared" si="222"/>
        <v>688</v>
      </c>
      <c r="U207" s="206">
        <v>30401</v>
      </c>
      <c r="V207" s="207">
        <f t="shared" si="223"/>
        <v>1528</v>
      </c>
      <c r="W207" s="207">
        <f t="shared" si="224"/>
        <v>308</v>
      </c>
      <c r="X207" s="207">
        <f t="shared" si="225"/>
        <v>682</v>
      </c>
      <c r="Y207" s="207">
        <f t="shared" si="226"/>
        <v>573</v>
      </c>
      <c r="Z207" s="206">
        <v>30401</v>
      </c>
      <c r="AA207" s="207">
        <f t="shared" si="227"/>
        <v>1869</v>
      </c>
      <c r="AB207" s="207">
        <f t="shared" si="228"/>
        <v>512</v>
      </c>
      <c r="AC207" s="207">
        <f t="shared" si="229"/>
        <v>546</v>
      </c>
      <c r="AD207" s="207">
        <f t="shared" si="230"/>
        <v>802</v>
      </c>
      <c r="AE207" s="206">
        <v>30401</v>
      </c>
      <c r="AF207" s="207">
        <f t="shared" si="231"/>
        <v>1649</v>
      </c>
      <c r="AG207" s="207">
        <f t="shared" si="232"/>
        <v>170</v>
      </c>
      <c r="AH207" s="207">
        <f t="shared" si="233"/>
        <v>628</v>
      </c>
      <c r="AI207" s="207">
        <f t="shared" si="234"/>
        <v>688</v>
      </c>
    </row>
    <row r="208" spans="1:35" x14ac:dyDescent="0.15">
      <c r="A208" s="206">
        <v>30402</v>
      </c>
      <c r="B208" s="207">
        <f t="shared" si="235"/>
        <v>1608</v>
      </c>
      <c r="C208" s="207">
        <f t="shared" ref="C208:C245" si="236">T37</f>
        <v>160</v>
      </c>
      <c r="D208" s="207">
        <f t="shared" ref="D208:D245" si="237">U37</f>
        <v>603</v>
      </c>
      <c r="E208" s="207">
        <f t="shared" ref="E208:E245" si="238">X37</f>
        <v>603</v>
      </c>
      <c r="F208" s="206">
        <v>30402</v>
      </c>
      <c r="G208" s="207">
        <f t="shared" si="211"/>
        <v>1608</v>
      </c>
      <c r="H208" s="207">
        <f t="shared" si="212"/>
        <v>85</v>
      </c>
      <c r="I208" s="207">
        <f t="shared" si="213"/>
        <v>660</v>
      </c>
      <c r="J208" s="207">
        <f t="shared" si="214"/>
        <v>603</v>
      </c>
      <c r="K208" s="206">
        <v>30402</v>
      </c>
      <c r="L208" s="207">
        <f t="shared" si="215"/>
        <v>1608</v>
      </c>
      <c r="M208" s="207">
        <f t="shared" si="216"/>
        <v>160</v>
      </c>
      <c r="N208" s="207">
        <f t="shared" si="217"/>
        <v>603</v>
      </c>
      <c r="O208" s="207">
        <f t="shared" si="218"/>
        <v>603</v>
      </c>
      <c r="P208" s="206">
        <v>30402</v>
      </c>
      <c r="Q208" s="207">
        <f t="shared" si="219"/>
        <v>1736</v>
      </c>
      <c r="R208" s="207">
        <f t="shared" si="220"/>
        <v>149</v>
      </c>
      <c r="S208" s="207">
        <f t="shared" si="221"/>
        <v>574</v>
      </c>
      <c r="T208" s="207">
        <f t="shared" si="222"/>
        <v>724</v>
      </c>
      <c r="U208" s="206">
        <v>30402</v>
      </c>
      <c r="V208" s="207">
        <f t="shared" si="223"/>
        <v>1608</v>
      </c>
      <c r="W208" s="207">
        <f t="shared" si="224"/>
        <v>324</v>
      </c>
      <c r="X208" s="207">
        <f t="shared" si="225"/>
        <v>718</v>
      </c>
      <c r="Y208" s="207">
        <f t="shared" si="226"/>
        <v>603</v>
      </c>
      <c r="Z208" s="206">
        <v>30402</v>
      </c>
      <c r="AA208" s="207">
        <f t="shared" si="227"/>
        <v>1967</v>
      </c>
      <c r="AB208" s="207">
        <f t="shared" si="228"/>
        <v>539</v>
      </c>
      <c r="AC208" s="207">
        <f t="shared" si="229"/>
        <v>574</v>
      </c>
      <c r="AD208" s="207">
        <f t="shared" si="230"/>
        <v>844</v>
      </c>
      <c r="AE208" s="206">
        <v>30402</v>
      </c>
      <c r="AF208" s="207">
        <f t="shared" si="231"/>
        <v>1736</v>
      </c>
      <c r="AG208" s="207">
        <f t="shared" si="232"/>
        <v>179</v>
      </c>
      <c r="AH208" s="207">
        <f t="shared" si="233"/>
        <v>660</v>
      </c>
      <c r="AI208" s="207">
        <f t="shared" si="234"/>
        <v>724</v>
      </c>
    </row>
    <row r="209" spans="1:35" x14ac:dyDescent="0.15">
      <c r="A209" s="206">
        <v>30403</v>
      </c>
      <c r="B209" s="207">
        <f t="shared" si="235"/>
        <v>1688</v>
      </c>
      <c r="C209" s="207">
        <f t="shared" si="236"/>
        <v>168</v>
      </c>
      <c r="D209" s="207">
        <f t="shared" si="237"/>
        <v>633</v>
      </c>
      <c r="E209" s="207">
        <f t="shared" si="238"/>
        <v>633</v>
      </c>
      <c r="F209" s="206">
        <v>30403</v>
      </c>
      <c r="G209" s="207">
        <f t="shared" si="211"/>
        <v>1688</v>
      </c>
      <c r="H209" s="207">
        <f t="shared" si="212"/>
        <v>90</v>
      </c>
      <c r="I209" s="207">
        <f t="shared" si="213"/>
        <v>693</v>
      </c>
      <c r="J209" s="207">
        <f t="shared" si="214"/>
        <v>633</v>
      </c>
      <c r="K209" s="206">
        <v>30403</v>
      </c>
      <c r="L209" s="207">
        <f t="shared" si="215"/>
        <v>1688</v>
      </c>
      <c r="M209" s="207">
        <f t="shared" si="216"/>
        <v>168</v>
      </c>
      <c r="N209" s="207">
        <f t="shared" si="217"/>
        <v>633</v>
      </c>
      <c r="O209" s="207">
        <f t="shared" si="218"/>
        <v>633</v>
      </c>
      <c r="P209" s="206">
        <v>30403</v>
      </c>
      <c r="Q209" s="207">
        <f t="shared" si="219"/>
        <v>1822</v>
      </c>
      <c r="R209" s="207">
        <f t="shared" si="220"/>
        <v>157</v>
      </c>
      <c r="S209" s="207">
        <f t="shared" si="221"/>
        <v>603</v>
      </c>
      <c r="T209" s="207">
        <f t="shared" si="222"/>
        <v>760</v>
      </c>
      <c r="U209" s="206">
        <v>30403</v>
      </c>
      <c r="V209" s="207">
        <f t="shared" si="223"/>
        <v>1688</v>
      </c>
      <c r="W209" s="207">
        <f t="shared" si="224"/>
        <v>340</v>
      </c>
      <c r="X209" s="207">
        <f t="shared" si="225"/>
        <v>754</v>
      </c>
      <c r="Y209" s="207">
        <f t="shared" si="226"/>
        <v>633</v>
      </c>
      <c r="Z209" s="206">
        <v>30403</v>
      </c>
      <c r="AA209" s="207">
        <f t="shared" si="227"/>
        <v>2065</v>
      </c>
      <c r="AB209" s="207">
        <f t="shared" si="228"/>
        <v>566</v>
      </c>
      <c r="AC209" s="207">
        <f t="shared" si="229"/>
        <v>603</v>
      </c>
      <c r="AD209" s="207">
        <f t="shared" si="230"/>
        <v>886</v>
      </c>
      <c r="AE209" s="206">
        <v>30403</v>
      </c>
      <c r="AF209" s="207">
        <f t="shared" si="231"/>
        <v>1822</v>
      </c>
      <c r="AG209" s="207">
        <f t="shared" si="232"/>
        <v>188</v>
      </c>
      <c r="AH209" s="207">
        <f t="shared" si="233"/>
        <v>693</v>
      </c>
      <c r="AI209" s="207">
        <f t="shared" si="234"/>
        <v>760</v>
      </c>
    </row>
    <row r="210" spans="1:35" x14ac:dyDescent="0.15">
      <c r="A210" s="206">
        <v>30404</v>
      </c>
      <c r="B210" s="207">
        <f t="shared" si="235"/>
        <v>1768</v>
      </c>
      <c r="C210" s="207">
        <f t="shared" si="236"/>
        <v>176</v>
      </c>
      <c r="D210" s="207">
        <f t="shared" si="237"/>
        <v>663</v>
      </c>
      <c r="E210" s="207">
        <f t="shared" si="238"/>
        <v>663</v>
      </c>
      <c r="F210" s="206">
        <v>30404</v>
      </c>
      <c r="G210" s="207">
        <f t="shared" si="211"/>
        <v>1768</v>
      </c>
      <c r="H210" s="207">
        <f t="shared" si="212"/>
        <v>94</v>
      </c>
      <c r="I210" s="207">
        <f t="shared" si="213"/>
        <v>726</v>
      </c>
      <c r="J210" s="207">
        <f t="shared" si="214"/>
        <v>663</v>
      </c>
      <c r="K210" s="206">
        <v>30404</v>
      </c>
      <c r="L210" s="207">
        <f t="shared" si="215"/>
        <v>1768</v>
      </c>
      <c r="M210" s="207">
        <f t="shared" si="216"/>
        <v>176</v>
      </c>
      <c r="N210" s="207">
        <f t="shared" si="217"/>
        <v>663</v>
      </c>
      <c r="O210" s="207">
        <f t="shared" si="218"/>
        <v>663</v>
      </c>
      <c r="P210" s="206">
        <v>30404</v>
      </c>
      <c r="Q210" s="207">
        <f t="shared" si="219"/>
        <v>1908</v>
      </c>
      <c r="R210" s="207">
        <f t="shared" si="220"/>
        <v>164</v>
      </c>
      <c r="S210" s="207">
        <f t="shared" si="221"/>
        <v>631</v>
      </c>
      <c r="T210" s="207">
        <f t="shared" si="222"/>
        <v>796</v>
      </c>
      <c r="U210" s="206">
        <v>30404</v>
      </c>
      <c r="V210" s="207">
        <f t="shared" si="223"/>
        <v>1768</v>
      </c>
      <c r="W210" s="207">
        <f t="shared" si="224"/>
        <v>356</v>
      </c>
      <c r="X210" s="207">
        <f t="shared" si="225"/>
        <v>789</v>
      </c>
      <c r="Y210" s="207">
        <f t="shared" si="226"/>
        <v>663</v>
      </c>
      <c r="Z210" s="206">
        <v>30404</v>
      </c>
      <c r="AA210" s="207">
        <f t="shared" si="227"/>
        <v>2163</v>
      </c>
      <c r="AB210" s="207">
        <f t="shared" si="228"/>
        <v>592</v>
      </c>
      <c r="AC210" s="207">
        <f t="shared" si="229"/>
        <v>631</v>
      </c>
      <c r="AD210" s="207">
        <f t="shared" si="230"/>
        <v>928</v>
      </c>
      <c r="AE210" s="206">
        <v>30404</v>
      </c>
      <c r="AF210" s="207">
        <f t="shared" si="231"/>
        <v>1908</v>
      </c>
      <c r="AG210" s="207">
        <f t="shared" si="232"/>
        <v>197</v>
      </c>
      <c r="AH210" s="207">
        <f t="shared" si="233"/>
        <v>726</v>
      </c>
      <c r="AI210" s="207">
        <f t="shared" si="234"/>
        <v>796</v>
      </c>
    </row>
    <row r="211" spans="1:35" x14ac:dyDescent="0.15">
      <c r="A211" s="206">
        <v>30405</v>
      </c>
      <c r="B211" s="207">
        <f t="shared" si="235"/>
        <v>1848</v>
      </c>
      <c r="C211" s="207">
        <f t="shared" si="236"/>
        <v>184</v>
      </c>
      <c r="D211" s="207">
        <f t="shared" si="237"/>
        <v>693</v>
      </c>
      <c r="E211" s="207">
        <f t="shared" si="238"/>
        <v>693</v>
      </c>
      <c r="F211" s="206">
        <v>30405</v>
      </c>
      <c r="G211" s="207">
        <f t="shared" si="211"/>
        <v>1848</v>
      </c>
      <c r="H211" s="207">
        <f t="shared" si="212"/>
        <v>98</v>
      </c>
      <c r="I211" s="207">
        <f t="shared" si="213"/>
        <v>759</v>
      </c>
      <c r="J211" s="207">
        <f t="shared" si="214"/>
        <v>693</v>
      </c>
      <c r="K211" s="206">
        <v>30405</v>
      </c>
      <c r="L211" s="207">
        <f t="shared" si="215"/>
        <v>1848</v>
      </c>
      <c r="M211" s="207">
        <f t="shared" si="216"/>
        <v>184</v>
      </c>
      <c r="N211" s="207">
        <f t="shared" si="217"/>
        <v>693</v>
      </c>
      <c r="O211" s="207">
        <f t="shared" si="218"/>
        <v>693</v>
      </c>
      <c r="P211" s="206">
        <v>30405</v>
      </c>
      <c r="Q211" s="207">
        <f t="shared" si="219"/>
        <v>1995</v>
      </c>
      <c r="R211" s="207">
        <f t="shared" si="220"/>
        <v>171</v>
      </c>
      <c r="S211" s="207">
        <f t="shared" si="221"/>
        <v>660</v>
      </c>
      <c r="T211" s="207">
        <f t="shared" si="222"/>
        <v>832</v>
      </c>
      <c r="U211" s="206">
        <v>30405</v>
      </c>
      <c r="V211" s="207">
        <f t="shared" si="223"/>
        <v>1848</v>
      </c>
      <c r="W211" s="207">
        <f t="shared" si="224"/>
        <v>372</v>
      </c>
      <c r="X211" s="207">
        <f t="shared" si="225"/>
        <v>825</v>
      </c>
      <c r="Y211" s="207">
        <f t="shared" si="226"/>
        <v>693</v>
      </c>
      <c r="Z211" s="206">
        <v>30405</v>
      </c>
      <c r="AA211" s="207">
        <f t="shared" si="227"/>
        <v>2261</v>
      </c>
      <c r="AB211" s="207">
        <f t="shared" si="228"/>
        <v>619</v>
      </c>
      <c r="AC211" s="207">
        <f t="shared" si="229"/>
        <v>660</v>
      </c>
      <c r="AD211" s="207">
        <f t="shared" si="230"/>
        <v>970</v>
      </c>
      <c r="AE211" s="206">
        <v>30405</v>
      </c>
      <c r="AF211" s="207">
        <f t="shared" si="231"/>
        <v>1995</v>
      </c>
      <c r="AG211" s="207">
        <f t="shared" si="232"/>
        <v>205</v>
      </c>
      <c r="AH211" s="207">
        <f t="shared" si="233"/>
        <v>759</v>
      </c>
      <c r="AI211" s="207">
        <f t="shared" si="234"/>
        <v>832</v>
      </c>
    </row>
    <row r="212" spans="1:35" x14ac:dyDescent="0.15">
      <c r="A212" s="206">
        <v>30406</v>
      </c>
      <c r="B212" s="207">
        <f t="shared" si="235"/>
        <v>1928</v>
      </c>
      <c r="C212" s="207">
        <f t="shared" si="236"/>
        <v>192</v>
      </c>
      <c r="D212" s="207">
        <f t="shared" si="237"/>
        <v>723</v>
      </c>
      <c r="E212" s="207">
        <f t="shared" si="238"/>
        <v>723</v>
      </c>
      <c r="F212" s="206">
        <v>30406</v>
      </c>
      <c r="G212" s="207">
        <f t="shared" si="211"/>
        <v>1928</v>
      </c>
      <c r="H212" s="207">
        <f t="shared" si="212"/>
        <v>102</v>
      </c>
      <c r="I212" s="207">
        <f t="shared" si="213"/>
        <v>792</v>
      </c>
      <c r="J212" s="207">
        <f t="shared" si="214"/>
        <v>723</v>
      </c>
      <c r="K212" s="206">
        <v>30406</v>
      </c>
      <c r="L212" s="207">
        <f t="shared" si="215"/>
        <v>1928</v>
      </c>
      <c r="M212" s="207">
        <f t="shared" si="216"/>
        <v>192</v>
      </c>
      <c r="N212" s="207">
        <f t="shared" si="217"/>
        <v>723</v>
      </c>
      <c r="O212" s="207">
        <f t="shared" si="218"/>
        <v>723</v>
      </c>
      <c r="P212" s="206">
        <v>30406</v>
      </c>
      <c r="Q212" s="207">
        <f t="shared" si="219"/>
        <v>2081</v>
      </c>
      <c r="R212" s="207">
        <f t="shared" si="220"/>
        <v>179</v>
      </c>
      <c r="S212" s="207">
        <f t="shared" si="221"/>
        <v>689</v>
      </c>
      <c r="T212" s="207">
        <f t="shared" si="222"/>
        <v>868</v>
      </c>
      <c r="U212" s="206">
        <v>30406</v>
      </c>
      <c r="V212" s="207">
        <f t="shared" si="223"/>
        <v>1928</v>
      </c>
      <c r="W212" s="207">
        <f t="shared" si="224"/>
        <v>388</v>
      </c>
      <c r="X212" s="207">
        <f t="shared" si="225"/>
        <v>861</v>
      </c>
      <c r="Y212" s="207">
        <f t="shared" si="226"/>
        <v>723</v>
      </c>
      <c r="Z212" s="206">
        <v>30406</v>
      </c>
      <c r="AA212" s="207">
        <f t="shared" si="227"/>
        <v>2359</v>
      </c>
      <c r="AB212" s="207">
        <f t="shared" si="228"/>
        <v>646</v>
      </c>
      <c r="AC212" s="207">
        <f t="shared" si="229"/>
        <v>689</v>
      </c>
      <c r="AD212" s="207">
        <f t="shared" si="230"/>
        <v>1012</v>
      </c>
      <c r="AE212" s="206">
        <v>30406</v>
      </c>
      <c r="AF212" s="207">
        <f t="shared" si="231"/>
        <v>2081</v>
      </c>
      <c r="AG212" s="207">
        <f t="shared" si="232"/>
        <v>214</v>
      </c>
      <c r="AH212" s="207">
        <f t="shared" si="233"/>
        <v>792</v>
      </c>
      <c r="AI212" s="207">
        <f t="shared" si="234"/>
        <v>868</v>
      </c>
    </row>
    <row r="213" spans="1:35" x14ac:dyDescent="0.15">
      <c r="A213" s="206">
        <v>30407</v>
      </c>
      <c r="B213" s="207">
        <f t="shared" si="235"/>
        <v>2008</v>
      </c>
      <c r="C213" s="207">
        <f t="shared" si="236"/>
        <v>200</v>
      </c>
      <c r="D213" s="207">
        <f t="shared" si="237"/>
        <v>753</v>
      </c>
      <c r="E213" s="207">
        <f t="shared" si="238"/>
        <v>753</v>
      </c>
      <c r="F213" s="206">
        <v>30407</v>
      </c>
      <c r="G213" s="207">
        <f t="shared" si="211"/>
        <v>2008</v>
      </c>
      <c r="H213" s="207">
        <f t="shared" si="212"/>
        <v>107</v>
      </c>
      <c r="I213" s="207">
        <f t="shared" si="213"/>
        <v>825</v>
      </c>
      <c r="J213" s="207">
        <f t="shared" si="214"/>
        <v>753</v>
      </c>
      <c r="K213" s="206">
        <v>30407</v>
      </c>
      <c r="L213" s="207">
        <f t="shared" si="215"/>
        <v>2008</v>
      </c>
      <c r="M213" s="207">
        <f t="shared" si="216"/>
        <v>200</v>
      </c>
      <c r="N213" s="207">
        <f t="shared" si="217"/>
        <v>753</v>
      </c>
      <c r="O213" s="207">
        <f t="shared" si="218"/>
        <v>753</v>
      </c>
      <c r="P213" s="206">
        <v>30407</v>
      </c>
      <c r="Q213" s="207">
        <f t="shared" si="219"/>
        <v>2167</v>
      </c>
      <c r="R213" s="207">
        <f t="shared" si="220"/>
        <v>186</v>
      </c>
      <c r="S213" s="207">
        <f t="shared" si="221"/>
        <v>717</v>
      </c>
      <c r="T213" s="207">
        <f t="shared" si="222"/>
        <v>904</v>
      </c>
      <c r="U213" s="206">
        <v>30407</v>
      </c>
      <c r="V213" s="207">
        <f t="shared" si="223"/>
        <v>2008</v>
      </c>
      <c r="W213" s="207">
        <f t="shared" si="224"/>
        <v>404</v>
      </c>
      <c r="X213" s="207">
        <f t="shared" si="225"/>
        <v>896</v>
      </c>
      <c r="Y213" s="207">
        <f t="shared" si="226"/>
        <v>753</v>
      </c>
      <c r="Z213" s="206">
        <v>30407</v>
      </c>
      <c r="AA213" s="207">
        <f t="shared" si="227"/>
        <v>2456</v>
      </c>
      <c r="AB213" s="207">
        <f t="shared" si="228"/>
        <v>673</v>
      </c>
      <c r="AC213" s="207">
        <f t="shared" si="229"/>
        <v>717</v>
      </c>
      <c r="AD213" s="207">
        <f t="shared" si="230"/>
        <v>1054</v>
      </c>
      <c r="AE213" s="206">
        <v>30407</v>
      </c>
      <c r="AF213" s="207">
        <f t="shared" si="231"/>
        <v>2167</v>
      </c>
      <c r="AG213" s="207">
        <f t="shared" si="232"/>
        <v>223</v>
      </c>
      <c r="AH213" s="207">
        <f t="shared" si="233"/>
        <v>825</v>
      </c>
      <c r="AI213" s="207">
        <f t="shared" si="234"/>
        <v>904</v>
      </c>
    </row>
    <row r="214" spans="1:35" x14ac:dyDescent="0.15">
      <c r="A214" s="206">
        <v>30408</v>
      </c>
      <c r="B214" s="207">
        <f t="shared" si="235"/>
        <v>2088</v>
      </c>
      <c r="C214" s="207">
        <f t="shared" si="236"/>
        <v>208</v>
      </c>
      <c r="D214" s="207">
        <f t="shared" si="237"/>
        <v>783</v>
      </c>
      <c r="E214" s="207">
        <f t="shared" si="238"/>
        <v>783</v>
      </c>
      <c r="F214" s="206">
        <v>30408</v>
      </c>
      <c r="G214" s="207">
        <f t="shared" si="211"/>
        <v>2088</v>
      </c>
      <c r="H214" s="207">
        <f t="shared" si="212"/>
        <v>111</v>
      </c>
      <c r="I214" s="207">
        <f t="shared" si="213"/>
        <v>858</v>
      </c>
      <c r="J214" s="207">
        <f t="shared" si="214"/>
        <v>783</v>
      </c>
      <c r="K214" s="206">
        <v>30408</v>
      </c>
      <c r="L214" s="207">
        <f t="shared" si="215"/>
        <v>2088</v>
      </c>
      <c r="M214" s="207">
        <f t="shared" si="216"/>
        <v>208</v>
      </c>
      <c r="N214" s="207">
        <f t="shared" si="217"/>
        <v>783</v>
      </c>
      <c r="O214" s="207">
        <f t="shared" si="218"/>
        <v>783</v>
      </c>
      <c r="P214" s="206">
        <v>30408</v>
      </c>
      <c r="Q214" s="207">
        <f t="shared" si="219"/>
        <v>2254</v>
      </c>
      <c r="R214" s="207">
        <f t="shared" si="220"/>
        <v>194</v>
      </c>
      <c r="S214" s="207">
        <f t="shared" si="221"/>
        <v>746</v>
      </c>
      <c r="T214" s="207">
        <f t="shared" si="222"/>
        <v>940</v>
      </c>
      <c r="U214" s="206">
        <v>30408</v>
      </c>
      <c r="V214" s="207">
        <f t="shared" si="223"/>
        <v>2088</v>
      </c>
      <c r="W214" s="207">
        <f t="shared" si="224"/>
        <v>420</v>
      </c>
      <c r="X214" s="207">
        <f t="shared" si="225"/>
        <v>932</v>
      </c>
      <c r="Y214" s="207">
        <f t="shared" si="226"/>
        <v>783</v>
      </c>
      <c r="Z214" s="206">
        <v>30408</v>
      </c>
      <c r="AA214" s="207">
        <f t="shared" si="227"/>
        <v>2554</v>
      </c>
      <c r="AB214" s="207">
        <f t="shared" si="228"/>
        <v>700</v>
      </c>
      <c r="AC214" s="207">
        <f t="shared" si="229"/>
        <v>746</v>
      </c>
      <c r="AD214" s="207">
        <f t="shared" si="230"/>
        <v>1096</v>
      </c>
      <c r="AE214" s="206">
        <v>30408</v>
      </c>
      <c r="AF214" s="207">
        <f t="shared" si="231"/>
        <v>2254</v>
      </c>
      <c r="AG214" s="207">
        <f t="shared" si="232"/>
        <v>232</v>
      </c>
      <c r="AH214" s="207">
        <f t="shared" si="233"/>
        <v>858</v>
      </c>
      <c r="AI214" s="207">
        <f t="shared" si="234"/>
        <v>940</v>
      </c>
    </row>
    <row r="215" spans="1:35" x14ac:dyDescent="0.15">
      <c r="A215" s="206">
        <v>30409</v>
      </c>
      <c r="B215" s="207">
        <f t="shared" si="235"/>
        <v>2168</v>
      </c>
      <c r="C215" s="207">
        <f t="shared" si="236"/>
        <v>216</v>
      </c>
      <c r="D215" s="207">
        <f t="shared" si="237"/>
        <v>813</v>
      </c>
      <c r="E215" s="207">
        <f t="shared" si="238"/>
        <v>813</v>
      </c>
      <c r="F215" s="206">
        <v>30409</v>
      </c>
      <c r="G215" s="207">
        <f t="shared" si="211"/>
        <v>2168</v>
      </c>
      <c r="H215" s="207">
        <f t="shared" si="212"/>
        <v>115</v>
      </c>
      <c r="I215" s="207">
        <f t="shared" si="213"/>
        <v>890</v>
      </c>
      <c r="J215" s="207">
        <f t="shared" si="214"/>
        <v>813</v>
      </c>
      <c r="K215" s="206">
        <v>30409</v>
      </c>
      <c r="L215" s="207">
        <f t="shared" si="215"/>
        <v>2168</v>
      </c>
      <c r="M215" s="207">
        <f t="shared" si="216"/>
        <v>216</v>
      </c>
      <c r="N215" s="207">
        <f t="shared" si="217"/>
        <v>813</v>
      </c>
      <c r="O215" s="207">
        <f t="shared" si="218"/>
        <v>813</v>
      </c>
      <c r="P215" s="206">
        <v>30409</v>
      </c>
      <c r="Q215" s="207">
        <f t="shared" si="219"/>
        <v>2340</v>
      </c>
      <c r="R215" s="207">
        <f t="shared" si="220"/>
        <v>201</v>
      </c>
      <c r="S215" s="207">
        <f t="shared" si="221"/>
        <v>774</v>
      </c>
      <c r="T215" s="207">
        <f t="shared" si="222"/>
        <v>976</v>
      </c>
      <c r="U215" s="206">
        <v>30409</v>
      </c>
      <c r="V215" s="207">
        <f t="shared" si="223"/>
        <v>2168</v>
      </c>
      <c r="W215" s="207">
        <f t="shared" si="224"/>
        <v>436</v>
      </c>
      <c r="X215" s="207">
        <f t="shared" si="225"/>
        <v>968</v>
      </c>
      <c r="Y215" s="207">
        <f t="shared" si="226"/>
        <v>813</v>
      </c>
      <c r="Z215" s="206">
        <v>30409</v>
      </c>
      <c r="AA215" s="207">
        <f t="shared" si="227"/>
        <v>2652</v>
      </c>
      <c r="AB215" s="207">
        <f t="shared" si="228"/>
        <v>726</v>
      </c>
      <c r="AC215" s="207">
        <f t="shared" si="229"/>
        <v>774</v>
      </c>
      <c r="AD215" s="207">
        <f t="shared" si="230"/>
        <v>1138</v>
      </c>
      <c r="AE215" s="206">
        <v>30409</v>
      </c>
      <c r="AF215" s="207">
        <f t="shared" si="231"/>
        <v>2340</v>
      </c>
      <c r="AG215" s="207">
        <f t="shared" si="232"/>
        <v>241</v>
      </c>
      <c r="AH215" s="207">
        <f t="shared" si="233"/>
        <v>890</v>
      </c>
      <c r="AI215" s="207">
        <f t="shared" si="234"/>
        <v>976</v>
      </c>
    </row>
    <row r="216" spans="1:35" x14ac:dyDescent="0.15">
      <c r="A216" s="206">
        <v>30410</v>
      </c>
      <c r="B216" s="207">
        <f t="shared" si="235"/>
        <v>2248</v>
      </c>
      <c r="C216" s="207">
        <f t="shared" si="236"/>
        <v>224</v>
      </c>
      <c r="D216" s="207">
        <f t="shared" si="237"/>
        <v>843</v>
      </c>
      <c r="E216" s="207">
        <f t="shared" si="238"/>
        <v>843</v>
      </c>
      <c r="F216" s="206">
        <v>30410</v>
      </c>
      <c r="G216" s="207">
        <f t="shared" si="211"/>
        <v>2248</v>
      </c>
      <c r="H216" s="207">
        <f t="shared" si="212"/>
        <v>119</v>
      </c>
      <c r="I216" s="207">
        <f t="shared" si="213"/>
        <v>923</v>
      </c>
      <c r="J216" s="207">
        <f t="shared" si="214"/>
        <v>843</v>
      </c>
      <c r="K216" s="206">
        <v>30410</v>
      </c>
      <c r="L216" s="207">
        <f t="shared" si="215"/>
        <v>2248</v>
      </c>
      <c r="M216" s="207">
        <f t="shared" si="216"/>
        <v>224</v>
      </c>
      <c r="N216" s="207">
        <f t="shared" si="217"/>
        <v>843</v>
      </c>
      <c r="O216" s="207">
        <f t="shared" si="218"/>
        <v>843</v>
      </c>
      <c r="P216" s="206">
        <v>30410</v>
      </c>
      <c r="Q216" s="207">
        <f t="shared" si="219"/>
        <v>2426</v>
      </c>
      <c r="R216" s="207">
        <f t="shared" si="220"/>
        <v>209</v>
      </c>
      <c r="S216" s="207">
        <f t="shared" si="221"/>
        <v>803</v>
      </c>
      <c r="T216" s="207">
        <f t="shared" si="222"/>
        <v>1012</v>
      </c>
      <c r="U216" s="206">
        <v>30410</v>
      </c>
      <c r="V216" s="207">
        <f t="shared" si="223"/>
        <v>2248</v>
      </c>
      <c r="W216" s="207">
        <f t="shared" si="224"/>
        <v>453</v>
      </c>
      <c r="X216" s="207">
        <f t="shared" si="225"/>
        <v>1004</v>
      </c>
      <c r="Y216" s="207">
        <f t="shared" si="226"/>
        <v>843</v>
      </c>
      <c r="Z216" s="206">
        <v>30410</v>
      </c>
      <c r="AA216" s="207">
        <f t="shared" si="227"/>
        <v>2750</v>
      </c>
      <c r="AB216" s="207">
        <f t="shared" si="228"/>
        <v>753</v>
      </c>
      <c r="AC216" s="207">
        <f t="shared" si="229"/>
        <v>803</v>
      </c>
      <c r="AD216" s="207">
        <f t="shared" si="230"/>
        <v>1180</v>
      </c>
      <c r="AE216" s="206">
        <v>30410</v>
      </c>
      <c r="AF216" s="207">
        <f t="shared" si="231"/>
        <v>2426</v>
      </c>
      <c r="AG216" s="207">
        <f t="shared" si="232"/>
        <v>250</v>
      </c>
      <c r="AH216" s="207">
        <f t="shared" si="233"/>
        <v>923</v>
      </c>
      <c r="AI216" s="207">
        <f t="shared" si="234"/>
        <v>1012</v>
      </c>
    </row>
    <row r="217" spans="1:35" x14ac:dyDescent="0.15">
      <c r="A217" s="206">
        <v>30411</v>
      </c>
      <c r="B217" s="207">
        <f t="shared" si="235"/>
        <v>2328</v>
      </c>
      <c r="C217" s="207">
        <f t="shared" si="236"/>
        <v>232</v>
      </c>
      <c r="D217" s="207">
        <f t="shared" si="237"/>
        <v>873</v>
      </c>
      <c r="E217" s="207">
        <f t="shared" si="238"/>
        <v>873</v>
      </c>
      <c r="F217" s="206">
        <v>30411</v>
      </c>
      <c r="G217" s="207">
        <f t="shared" si="211"/>
        <v>2328</v>
      </c>
      <c r="H217" s="207">
        <f t="shared" si="212"/>
        <v>124</v>
      </c>
      <c r="I217" s="207">
        <f t="shared" si="213"/>
        <v>956</v>
      </c>
      <c r="J217" s="207">
        <f t="shared" si="214"/>
        <v>873</v>
      </c>
      <c r="K217" s="206">
        <v>30411</v>
      </c>
      <c r="L217" s="207">
        <f t="shared" si="215"/>
        <v>2328</v>
      </c>
      <c r="M217" s="207">
        <f t="shared" si="216"/>
        <v>232</v>
      </c>
      <c r="N217" s="207">
        <f t="shared" si="217"/>
        <v>873</v>
      </c>
      <c r="O217" s="207">
        <f t="shared" si="218"/>
        <v>873</v>
      </c>
      <c r="P217" s="206">
        <v>30411</v>
      </c>
      <c r="Q217" s="207">
        <f t="shared" si="219"/>
        <v>2513</v>
      </c>
      <c r="R217" s="207">
        <f t="shared" si="220"/>
        <v>216</v>
      </c>
      <c r="S217" s="207">
        <f t="shared" si="221"/>
        <v>831</v>
      </c>
      <c r="T217" s="207">
        <f t="shared" si="222"/>
        <v>1048</v>
      </c>
      <c r="U217" s="206">
        <v>30411</v>
      </c>
      <c r="V217" s="207">
        <f t="shared" si="223"/>
        <v>2328</v>
      </c>
      <c r="W217" s="207">
        <f t="shared" si="224"/>
        <v>469</v>
      </c>
      <c r="X217" s="207">
        <f t="shared" si="225"/>
        <v>1039</v>
      </c>
      <c r="Y217" s="207">
        <f t="shared" si="226"/>
        <v>873</v>
      </c>
      <c r="Z217" s="206">
        <v>30411</v>
      </c>
      <c r="AA217" s="207">
        <f t="shared" si="227"/>
        <v>2848</v>
      </c>
      <c r="AB217" s="207">
        <f t="shared" si="228"/>
        <v>780</v>
      </c>
      <c r="AC217" s="207">
        <f t="shared" si="229"/>
        <v>831</v>
      </c>
      <c r="AD217" s="207">
        <f t="shared" si="230"/>
        <v>1222</v>
      </c>
      <c r="AE217" s="206">
        <v>30411</v>
      </c>
      <c r="AF217" s="207">
        <f t="shared" si="231"/>
        <v>2513</v>
      </c>
      <c r="AG217" s="207">
        <f t="shared" si="232"/>
        <v>259</v>
      </c>
      <c r="AH217" s="207">
        <f t="shared" si="233"/>
        <v>956</v>
      </c>
      <c r="AI217" s="207">
        <f t="shared" si="234"/>
        <v>1048</v>
      </c>
    </row>
    <row r="218" spans="1:35" x14ac:dyDescent="0.15">
      <c r="A218" s="206">
        <v>30412</v>
      </c>
      <c r="B218" s="207">
        <f t="shared" si="235"/>
        <v>2408</v>
      </c>
      <c r="C218" s="207">
        <f t="shared" si="236"/>
        <v>240</v>
      </c>
      <c r="D218" s="207">
        <f t="shared" si="237"/>
        <v>903</v>
      </c>
      <c r="E218" s="207">
        <f t="shared" si="238"/>
        <v>903</v>
      </c>
      <c r="F218" s="206">
        <v>30412</v>
      </c>
      <c r="G218" s="207">
        <f t="shared" si="211"/>
        <v>2408</v>
      </c>
      <c r="H218" s="207">
        <f t="shared" si="212"/>
        <v>128</v>
      </c>
      <c r="I218" s="207">
        <f t="shared" si="213"/>
        <v>989</v>
      </c>
      <c r="J218" s="207">
        <f t="shared" si="214"/>
        <v>903</v>
      </c>
      <c r="K218" s="206">
        <v>30412</v>
      </c>
      <c r="L218" s="207">
        <f t="shared" si="215"/>
        <v>2408</v>
      </c>
      <c r="M218" s="207">
        <f t="shared" si="216"/>
        <v>240</v>
      </c>
      <c r="N218" s="207">
        <f t="shared" si="217"/>
        <v>903</v>
      </c>
      <c r="O218" s="207">
        <f t="shared" si="218"/>
        <v>903</v>
      </c>
      <c r="P218" s="206">
        <v>30412</v>
      </c>
      <c r="Q218" s="207">
        <f t="shared" si="219"/>
        <v>2599</v>
      </c>
      <c r="R218" s="207">
        <f t="shared" si="220"/>
        <v>223</v>
      </c>
      <c r="S218" s="207">
        <f t="shared" si="221"/>
        <v>860</v>
      </c>
      <c r="T218" s="207">
        <f t="shared" si="222"/>
        <v>1084</v>
      </c>
      <c r="U218" s="206">
        <v>30412</v>
      </c>
      <c r="V218" s="207">
        <f t="shared" si="223"/>
        <v>2408</v>
      </c>
      <c r="W218" s="207">
        <f t="shared" si="224"/>
        <v>485</v>
      </c>
      <c r="X218" s="207">
        <f t="shared" si="225"/>
        <v>1075</v>
      </c>
      <c r="Y218" s="207">
        <f t="shared" si="226"/>
        <v>903</v>
      </c>
      <c r="Z218" s="206">
        <v>30412</v>
      </c>
      <c r="AA218" s="207">
        <f t="shared" si="227"/>
        <v>2946</v>
      </c>
      <c r="AB218" s="207">
        <f t="shared" si="228"/>
        <v>807</v>
      </c>
      <c r="AC218" s="207">
        <f t="shared" si="229"/>
        <v>860</v>
      </c>
      <c r="AD218" s="207">
        <f t="shared" si="230"/>
        <v>1264</v>
      </c>
      <c r="AE218" s="206">
        <v>30412</v>
      </c>
      <c r="AF218" s="207">
        <f t="shared" si="231"/>
        <v>2599</v>
      </c>
      <c r="AG218" s="207">
        <f t="shared" si="232"/>
        <v>268</v>
      </c>
      <c r="AH218" s="207">
        <f t="shared" si="233"/>
        <v>989</v>
      </c>
      <c r="AI218" s="207">
        <f t="shared" si="234"/>
        <v>1084</v>
      </c>
    </row>
    <row r="219" spans="1:35" x14ac:dyDescent="0.15">
      <c r="A219" s="206">
        <v>30413</v>
      </c>
      <c r="B219" s="207">
        <f t="shared" si="235"/>
        <v>2504</v>
      </c>
      <c r="C219" s="207">
        <f t="shared" si="236"/>
        <v>250</v>
      </c>
      <c r="D219" s="207">
        <f t="shared" si="237"/>
        <v>939</v>
      </c>
      <c r="E219" s="207">
        <f t="shared" si="238"/>
        <v>939</v>
      </c>
      <c r="F219" s="206">
        <v>30413</v>
      </c>
      <c r="G219" s="207">
        <f t="shared" si="211"/>
        <v>2504</v>
      </c>
      <c r="H219" s="207">
        <f t="shared" si="212"/>
        <v>133</v>
      </c>
      <c r="I219" s="207">
        <f t="shared" si="213"/>
        <v>1028</v>
      </c>
      <c r="J219" s="207">
        <f t="shared" si="214"/>
        <v>939</v>
      </c>
      <c r="K219" s="206">
        <v>30413</v>
      </c>
      <c r="L219" s="207">
        <f t="shared" si="215"/>
        <v>2504</v>
      </c>
      <c r="M219" s="207">
        <f t="shared" si="216"/>
        <v>250</v>
      </c>
      <c r="N219" s="207">
        <f t="shared" si="217"/>
        <v>939</v>
      </c>
      <c r="O219" s="207">
        <f t="shared" si="218"/>
        <v>939</v>
      </c>
      <c r="P219" s="206">
        <v>30413</v>
      </c>
      <c r="Q219" s="207">
        <f t="shared" si="219"/>
        <v>2703</v>
      </c>
      <c r="R219" s="207">
        <f t="shared" si="220"/>
        <v>232</v>
      </c>
      <c r="S219" s="207">
        <f t="shared" si="221"/>
        <v>894</v>
      </c>
      <c r="T219" s="207">
        <f t="shared" si="222"/>
        <v>1127</v>
      </c>
      <c r="U219" s="206">
        <v>30413</v>
      </c>
      <c r="V219" s="207">
        <f t="shared" si="223"/>
        <v>2504</v>
      </c>
      <c r="W219" s="207">
        <f t="shared" si="224"/>
        <v>504</v>
      </c>
      <c r="X219" s="207">
        <f t="shared" si="225"/>
        <v>1118</v>
      </c>
      <c r="Y219" s="207">
        <f t="shared" si="226"/>
        <v>939</v>
      </c>
      <c r="Z219" s="206">
        <v>30413</v>
      </c>
      <c r="AA219" s="207">
        <f t="shared" si="227"/>
        <v>3063</v>
      </c>
      <c r="AB219" s="207">
        <f t="shared" si="228"/>
        <v>839</v>
      </c>
      <c r="AC219" s="207">
        <f t="shared" si="229"/>
        <v>894</v>
      </c>
      <c r="AD219" s="207">
        <f t="shared" si="230"/>
        <v>1315</v>
      </c>
      <c r="AE219" s="206">
        <v>30413</v>
      </c>
      <c r="AF219" s="207">
        <f t="shared" si="231"/>
        <v>2703</v>
      </c>
      <c r="AG219" s="207">
        <f t="shared" si="232"/>
        <v>278</v>
      </c>
      <c r="AH219" s="207">
        <f t="shared" si="233"/>
        <v>1028</v>
      </c>
      <c r="AI219" s="207">
        <f t="shared" si="234"/>
        <v>1127</v>
      </c>
    </row>
    <row r="220" spans="1:35" x14ac:dyDescent="0.15">
      <c r="A220" s="206">
        <v>30414</v>
      </c>
      <c r="B220" s="207">
        <f t="shared" si="235"/>
        <v>2600</v>
      </c>
      <c r="C220" s="207">
        <f t="shared" si="236"/>
        <v>259</v>
      </c>
      <c r="D220" s="207">
        <f t="shared" si="237"/>
        <v>975</v>
      </c>
      <c r="E220" s="207">
        <f t="shared" si="238"/>
        <v>975</v>
      </c>
      <c r="F220" s="206">
        <v>30414</v>
      </c>
      <c r="G220" s="207">
        <f t="shared" si="211"/>
        <v>2600</v>
      </c>
      <c r="H220" s="207">
        <f t="shared" si="212"/>
        <v>138</v>
      </c>
      <c r="I220" s="207">
        <f t="shared" si="213"/>
        <v>1068</v>
      </c>
      <c r="J220" s="207">
        <f t="shared" si="214"/>
        <v>975</v>
      </c>
      <c r="K220" s="206">
        <v>30414</v>
      </c>
      <c r="L220" s="207">
        <f t="shared" si="215"/>
        <v>2600</v>
      </c>
      <c r="M220" s="207">
        <f t="shared" si="216"/>
        <v>259</v>
      </c>
      <c r="N220" s="207">
        <f t="shared" si="217"/>
        <v>975</v>
      </c>
      <c r="O220" s="207">
        <f t="shared" si="218"/>
        <v>975</v>
      </c>
      <c r="P220" s="206">
        <v>30414</v>
      </c>
      <c r="Q220" s="207">
        <f t="shared" si="219"/>
        <v>2806</v>
      </c>
      <c r="R220" s="207">
        <f t="shared" si="220"/>
        <v>241</v>
      </c>
      <c r="S220" s="207">
        <f t="shared" si="221"/>
        <v>929</v>
      </c>
      <c r="T220" s="207">
        <f t="shared" si="222"/>
        <v>1170</v>
      </c>
      <c r="U220" s="206">
        <v>30414</v>
      </c>
      <c r="V220" s="207">
        <f t="shared" si="223"/>
        <v>2600</v>
      </c>
      <c r="W220" s="207">
        <f t="shared" si="224"/>
        <v>523</v>
      </c>
      <c r="X220" s="207">
        <f t="shared" si="225"/>
        <v>1161</v>
      </c>
      <c r="Y220" s="207">
        <f t="shared" si="226"/>
        <v>975</v>
      </c>
      <c r="Z220" s="206">
        <v>30414</v>
      </c>
      <c r="AA220" s="207">
        <f t="shared" si="227"/>
        <v>3181</v>
      </c>
      <c r="AB220" s="207">
        <f t="shared" si="228"/>
        <v>871</v>
      </c>
      <c r="AC220" s="207">
        <f t="shared" si="229"/>
        <v>929</v>
      </c>
      <c r="AD220" s="207">
        <f t="shared" si="230"/>
        <v>1365</v>
      </c>
      <c r="AE220" s="206">
        <v>30414</v>
      </c>
      <c r="AF220" s="207">
        <f t="shared" si="231"/>
        <v>2806</v>
      </c>
      <c r="AG220" s="207">
        <f t="shared" si="232"/>
        <v>289</v>
      </c>
      <c r="AH220" s="207">
        <f t="shared" si="233"/>
        <v>1068</v>
      </c>
      <c r="AI220" s="207">
        <f t="shared" si="234"/>
        <v>1170</v>
      </c>
    </row>
    <row r="221" spans="1:35" x14ac:dyDescent="0.15">
      <c r="A221" s="206">
        <v>30415</v>
      </c>
      <c r="B221" s="207">
        <f t="shared" si="235"/>
        <v>2696</v>
      </c>
      <c r="C221" s="207">
        <f t="shared" si="236"/>
        <v>269</v>
      </c>
      <c r="D221" s="207">
        <f t="shared" si="237"/>
        <v>1011</v>
      </c>
      <c r="E221" s="207">
        <f t="shared" si="238"/>
        <v>1011</v>
      </c>
      <c r="F221" s="206">
        <v>30415</v>
      </c>
      <c r="G221" s="207">
        <f t="shared" si="211"/>
        <v>2696</v>
      </c>
      <c r="H221" s="207">
        <f t="shared" si="212"/>
        <v>143</v>
      </c>
      <c r="I221" s="207">
        <f t="shared" si="213"/>
        <v>1107</v>
      </c>
      <c r="J221" s="207">
        <f t="shared" si="214"/>
        <v>1011</v>
      </c>
      <c r="K221" s="206">
        <v>30415</v>
      </c>
      <c r="L221" s="207">
        <f t="shared" si="215"/>
        <v>2696</v>
      </c>
      <c r="M221" s="207">
        <f t="shared" si="216"/>
        <v>269</v>
      </c>
      <c r="N221" s="207">
        <f t="shared" si="217"/>
        <v>1011</v>
      </c>
      <c r="O221" s="207">
        <f t="shared" si="218"/>
        <v>1011</v>
      </c>
      <c r="P221" s="206">
        <v>30415</v>
      </c>
      <c r="Q221" s="207">
        <f t="shared" si="219"/>
        <v>2910</v>
      </c>
      <c r="R221" s="207">
        <f t="shared" si="220"/>
        <v>250</v>
      </c>
      <c r="S221" s="207">
        <f t="shared" si="221"/>
        <v>963</v>
      </c>
      <c r="T221" s="207">
        <f t="shared" si="222"/>
        <v>1213</v>
      </c>
      <c r="U221" s="206">
        <v>30415</v>
      </c>
      <c r="V221" s="207">
        <f t="shared" si="223"/>
        <v>2696</v>
      </c>
      <c r="W221" s="207">
        <f t="shared" si="224"/>
        <v>543</v>
      </c>
      <c r="X221" s="207">
        <f t="shared" si="225"/>
        <v>1204</v>
      </c>
      <c r="Y221" s="207">
        <f t="shared" si="226"/>
        <v>1011</v>
      </c>
      <c r="Z221" s="206">
        <v>30415</v>
      </c>
      <c r="AA221" s="207">
        <f t="shared" si="227"/>
        <v>3298</v>
      </c>
      <c r="AB221" s="207">
        <f t="shared" si="228"/>
        <v>903</v>
      </c>
      <c r="AC221" s="207">
        <f t="shared" si="229"/>
        <v>963</v>
      </c>
      <c r="AD221" s="207">
        <f t="shared" si="230"/>
        <v>1415</v>
      </c>
      <c r="AE221" s="206">
        <v>30415</v>
      </c>
      <c r="AF221" s="207">
        <f t="shared" si="231"/>
        <v>2910</v>
      </c>
      <c r="AG221" s="207">
        <f t="shared" si="232"/>
        <v>300</v>
      </c>
      <c r="AH221" s="207">
        <f t="shared" si="233"/>
        <v>1107</v>
      </c>
      <c r="AI221" s="207">
        <f t="shared" si="234"/>
        <v>1213</v>
      </c>
    </row>
    <row r="222" spans="1:35" x14ac:dyDescent="0.15">
      <c r="A222" s="206">
        <v>30416</v>
      </c>
      <c r="B222" s="207">
        <f t="shared" si="235"/>
        <v>2792</v>
      </c>
      <c r="C222" s="207">
        <f t="shared" si="236"/>
        <v>278</v>
      </c>
      <c r="D222" s="207">
        <f t="shared" si="237"/>
        <v>1047</v>
      </c>
      <c r="E222" s="207">
        <f t="shared" si="238"/>
        <v>1047</v>
      </c>
      <c r="F222" s="206">
        <v>30416</v>
      </c>
      <c r="G222" s="207">
        <f t="shared" si="211"/>
        <v>2792</v>
      </c>
      <c r="H222" s="207">
        <f t="shared" si="212"/>
        <v>148</v>
      </c>
      <c r="I222" s="207">
        <f t="shared" si="213"/>
        <v>1147</v>
      </c>
      <c r="J222" s="207">
        <f t="shared" si="214"/>
        <v>1047</v>
      </c>
      <c r="K222" s="206">
        <v>30416</v>
      </c>
      <c r="L222" s="207">
        <f t="shared" si="215"/>
        <v>2792</v>
      </c>
      <c r="M222" s="207">
        <f t="shared" si="216"/>
        <v>278</v>
      </c>
      <c r="N222" s="207">
        <f t="shared" si="217"/>
        <v>1047</v>
      </c>
      <c r="O222" s="207">
        <f t="shared" si="218"/>
        <v>1047</v>
      </c>
      <c r="P222" s="206">
        <v>30416</v>
      </c>
      <c r="Q222" s="207">
        <f t="shared" si="219"/>
        <v>3013</v>
      </c>
      <c r="R222" s="207">
        <f t="shared" si="220"/>
        <v>259</v>
      </c>
      <c r="S222" s="207">
        <f t="shared" si="221"/>
        <v>997</v>
      </c>
      <c r="T222" s="207">
        <f t="shared" si="222"/>
        <v>1256</v>
      </c>
      <c r="U222" s="206">
        <v>30416</v>
      </c>
      <c r="V222" s="207">
        <f t="shared" si="223"/>
        <v>2792</v>
      </c>
      <c r="W222" s="207">
        <f t="shared" si="224"/>
        <v>562</v>
      </c>
      <c r="X222" s="207">
        <f t="shared" si="225"/>
        <v>1246</v>
      </c>
      <c r="Y222" s="207">
        <f t="shared" si="226"/>
        <v>1047</v>
      </c>
      <c r="Z222" s="206">
        <v>30416</v>
      </c>
      <c r="AA222" s="207">
        <f t="shared" si="227"/>
        <v>3415</v>
      </c>
      <c r="AB222" s="207">
        <f t="shared" si="228"/>
        <v>936</v>
      </c>
      <c r="AC222" s="207">
        <f t="shared" si="229"/>
        <v>997</v>
      </c>
      <c r="AD222" s="207">
        <f t="shared" si="230"/>
        <v>1466</v>
      </c>
      <c r="AE222" s="206">
        <v>30416</v>
      </c>
      <c r="AF222" s="207">
        <f t="shared" si="231"/>
        <v>3013</v>
      </c>
      <c r="AG222" s="207">
        <f t="shared" si="232"/>
        <v>310</v>
      </c>
      <c r="AH222" s="207">
        <f t="shared" si="233"/>
        <v>1147</v>
      </c>
      <c r="AI222" s="207">
        <f t="shared" si="234"/>
        <v>1256</v>
      </c>
    </row>
    <row r="223" spans="1:35" x14ac:dyDescent="0.15">
      <c r="A223" s="206">
        <v>30417</v>
      </c>
      <c r="B223" s="207">
        <f t="shared" si="235"/>
        <v>2888</v>
      </c>
      <c r="C223" s="207">
        <f t="shared" si="236"/>
        <v>288</v>
      </c>
      <c r="D223" s="207">
        <f t="shared" si="237"/>
        <v>1083</v>
      </c>
      <c r="E223" s="207">
        <f t="shared" si="238"/>
        <v>1083</v>
      </c>
      <c r="F223" s="206">
        <v>30417</v>
      </c>
      <c r="G223" s="207">
        <f t="shared" si="211"/>
        <v>2888</v>
      </c>
      <c r="H223" s="207">
        <f t="shared" si="212"/>
        <v>153</v>
      </c>
      <c r="I223" s="207">
        <f t="shared" si="213"/>
        <v>1186</v>
      </c>
      <c r="J223" s="207">
        <f t="shared" si="214"/>
        <v>1083</v>
      </c>
      <c r="K223" s="206">
        <v>30417</v>
      </c>
      <c r="L223" s="207">
        <f t="shared" si="215"/>
        <v>2888</v>
      </c>
      <c r="M223" s="207">
        <f t="shared" si="216"/>
        <v>288</v>
      </c>
      <c r="N223" s="207">
        <f t="shared" si="217"/>
        <v>1083</v>
      </c>
      <c r="O223" s="207">
        <f t="shared" si="218"/>
        <v>1083</v>
      </c>
      <c r="P223" s="206">
        <v>30417</v>
      </c>
      <c r="Q223" s="207">
        <f t="shared" si="219"/>
        <v>3117</v>
      </c>
      <c r="R223" s="207">
        <f t="shared" si="220"/>
        <v>268</v>
      </c>
      <c r="S223" s="207">
        <f t="shared" si="221"/>
        <v>1031</v>
      </c>
      <c r="T223" s="207">
        <f t="shared" si="222"/>
        <v>1300</v>
      </c>
      <c r="U223" s="206">
        <v>30417</v>
      </c>
      <c r="V223" s="207">
        <f t="shared" si="223"/>
        <v>2888</v>
      </c>
      <c r="W223" s="207">
        <f t="shared" si="224"/>
        <v>581</v>
      </c>
      <c r="X223" s="207">
        <f t="shared" si="225"/>
        <v>1289</v>
      </c>
      <c r="Y223" s="207">
        <f t="shared" si="226"/>
        <v>1083</v>
      </c>
      <c r="Z223" s="206">
        <v>30417</v>
      </c>
      <c r="AA223" s="207">
        <f t="shared" si="227"/>
        <v>3533</v>
      </c>
      <c r="AB223" s="207">
        <f t="shared" si="228"/>
        <v>968</v>
      </c>
      <c r="AC223" s="207">
        <f t="shared" si="229"/>
        <v>1031</v>
      </c>
      <c r="AD223" s="207">
        <f t="shared" si="230"/>
        <v>1516</v>
      </c>
      <c r="AE223" s="206">
        <v>30417</v>
      </c>
      <c r="AF223" s="207">
        <f t="shared" si="231"/>
        <v>3117</v>
      </c>
      <c r="AG223" s="207">
        <f t="shared" si="232"/>
        <v>321</v>
      </c>
      <c r="AH223" s="207">
        <f t="shared" si="233"/>
        <v>1186</v>
      </c>
      <c r="AI223" s="207">
        <f t="shared" si="234"/>
        <v>1300</v>
      </c>
    </row>
    <row r="224" spans="1:35" x14ac:dyDescent="0.15">
      <c r="A224" s="206">
        <v>30418</v>
      </c>
      <c r="B224" s="207">
        <f t="shared" si="235"/>
        <v>2984</v>
      </c>
      <c r="C224" s="207">
        <f t="shared" si="236"/>
        <v>297</v>
      </c>
      <c r="D224" s="207">
        <f t="shared" si="237"/>
        <v>1119</v>
      </c>
      <c r="E224" s="207">
        <f t="shared" si="238"/>
        <v>1119</v>
      </c>
      <c r="F224" s="206">
        <v>30418</v>
      </c>
      <c r="G224" s="207">
        <f t="shared" ref="G224:G245" si="239">AQ53</f>
        <v>2984</v>
      </c>
      <c r="H224" s="207">
        <f t="shared" ref="H224:H245" si="240">AR53</f>
        <v>158</v>
      </c>
      <c r="I224" s="207">
        <f t="shared" ref="I224:I245" si="241">AS53</f>
        <v>1226</v>
      </c>
      <c r="J224" s="207">
        <f t="shared" ref="J224:J245" si="242">AV53</f>
        <v>1119</v>
      </c>
      <c r="K224" s="206">
        <v>30418</v>
      </c>
      <c r="L224" s="207">
        <f t="shared" ref="L224:L245" si="243">BO53</f>
        <v>2984</v>
      </c>
      <c r="M224" s="207">
        <f t="shared" ref="M224:M245" si="244">BP53</f>
        <v>297</v>
      </c>
      <c r="N224" s="207">
        <f t="shared" ref="N224:N245" si="245">BQ53</f>
        <v>1119</v>
      </c>
      <c r="O224" s="207">
        <f t="shared" ref="O224:O245" si="246">BT53</f>
        <v>1119</v>
      </c>
      <c r="P224" s="206">
        <v>30418</v>
      </c>
      <c r="Q224" s="207">
        <f t="shared" ref="Q224:Q245" si="247">CM53</f>
        <v>3221</v>
      </c>
      <c r="R224" s="207">
        <f t="shared" ref="R224:R245" si="248">CN53</f>
        <v>277</v>
      </c>
      <c r="S224" s="207">
        <f t="shared" ref="S224:S245" si="249">CO53</f>
        <v>1066</v>
      </c>
      <c r="T224" s="207">
        <f t="shared" ref="T224:T245" si="250">CR53</f>
        <v>1343</v>
      </c>
      <c r="U224" s="206">
        <v>30418</v>
      </c>
      <c r="V224" s="207">
        <f t="shared" ref="V224:V245" si="251">DK53</f>
        <v>2984</v>
      </c>
      <c r="W224" s="207">
        <f t="shared" ref="W224:W245" si="252">DL53</f>
        <v>601</v>
      </c>
      <c r="X224" s="207">
        <f t="shared" ref="X224:X245" si="253">DM53</f>
        <v>1332</v>
      </c>
      <c r="Y224" s="207">
        <f t="shared" ref="Y224:Y245" si="254">DP53</f>
        <v>1119</v>
      </c>
      <c r="Z224" s="206">
        <v>30418</v>
      </c>
      <c r="AA224" s="207">
        <f t="shared" ref="AA224:AA245" si="255">EI53</f>
        <v>3650</v>
      </c>
      <c r="AB224" s="207">
        <f t="shared" ref="AB224:AB245" si="256">EJ53</f>
        <v>1000</v>
      </c>
      <c r="AC224" s="207">
        <f t="shared" ref="AC224:AC245" si="257">EK53</f>
        <v>1066</v>
      </c>
      <c r="AD224" s="207">
        <f t="shared" ref="AD224:AD245" si="258">EN53</f>
        <v>1567</v>
      </c>
      <c r="AE224" s="206">
        <v>30418</v>
      </c>
      <c r="AF224" s="207">
        <f t="shared" ref="AF224:AF245" si="259">FG53</f>
        <v>3221</v>
      </c>
      <c r="AG224" s="207">
        <f t="shared" ref="AG224:AG245" si="260">FH53</f>
        <v>332</v>
      </c>
      <c r="AH224" s="207">
        <f t="shared" ref="AH224:AH245" si="261">FI53</f>
        <v>1226</v>
      </c>
      <c r="AI224" s="207">
        <f t="shared" ref="AI224:AI245" si="262">FL53</f>
        <v>1343</v>
      </c>
    </row>
    <row r="225" spans="1:35" x14ac:dyDescent="0.15">
      <c r="A225" s="206">
        <v>30501</v>
      </c>
      <c r="B225" s="207">
        <f t="shared" si="235"/>
        <v>1984</v>
      </c>
      <c r="C225" s="207">
        <f t="shared" si="236"/>
        <v>198</v>
      </c>
      <c r="D225" s="207">
        <f t="shared" si="237"/>
        <v>744</v>
      </c>
      <c r="E225" s="207">
        <f t="shared" si="238"/>
        <v>744</v>
      </c>
      <c r="F225" s="206">
        <v>30501</v>
      </c>
      <c r="G225" s="207">
        <f t="shared" si="239"/>
        <v>1984</v>
      </c>
      <c r="H225" s="207">
        <f t="shared" si="240"/>
        <v>105</v>
      </c>
      <c r="I225" s="207">
        <f t="shared" si="241"/>
        <v>815</v>
      </c>
      <c r="J225" s="207">
        <f t="shared" si="242"/>
        <v>744</v>
      </c>
      <c r="K225" s="206">
        <v>30501</v>
      </c>
      <c r="L225" s="207">
        <f t="shared" si="243"/>
        <v>1984</v>
      </c>
      <c r="M225" s="207">
        <f t="shared" si="244"/>
        <v>198</v>
      </c>
      <c r="N225" s="207">
        <f t="shared" si="245"/>
        <v>744</v>
      </c>
      <c r="O225" s="207">
        <f t="shared" si="246"/>
        <v>744</v>
      </c>
      <c r="P225" s="206">
        <v>30501</v>
      </c>
      <c r="Q225" s="207">
        <f t="shared" si="247"/>
        <v>2141</v>
      </c>
      <c r="R225" s="207">
        <f t="shared" si="248"/>
        <v>184</v>
      </c>
      <c r="S225" s="207">
        <f t="shared" si="249"/>
        <v>709</v>
      </c>
      <c r="T225" s="207">
        <f t="shared" si="250"/>
        <v>893</v>
      </c>
      <c r="U225" s="206">
        <v>30501</v>
      </c>
      <c r="V225" s="207">
        <f t="shared" si="251"/>
        <v>1984</v>
      </c>
      <c r="W225" s="207">
        <f t="shared" si="252"/>
        <v>399</v>
      </c>
      <c r="X225" s="207">
        <f t="shared" si="253"/>
        <v>886</v>
      </c>
      <c r="Y225" s="207">
        <f t="shared" si="254"/>
        <v>744</v>
      </c>
      <c r="Z225" s="206">
        <v>30501</v>
      </c>
      <c r="AA225" s="207">
        <f t="shared" si="255"/>
        <v>2427</v>
      </c>
      <c r="AB225" s="207">
        <f t="shared" si="256"/>
        <v>665</v>
      </c>
      <c r="AC225" s="207">
        <f t="shared" si="257"/>
        <v>709</v>
      </c>
      <c r="AD225" s="207">
        <f t="shared" si="258"/>
        <v>1042</v>
      </c>
      <c r="AE225" s="206">
        <v>30501</v>
      </c>
      <c r="AF225" s="207">
        <f t="shared" si="259"/>
        <v>2141</v>
      </c>
      <c r="AG225" s="207">
        <f t="shared" si="260"/>
        <v>221</v>
      </c>
      <c r="AH225" s="207">
        <f t="shared" si="261"/>
        <v>815</v>
      </c>
      <c r="AI225" s="207">
        <f t="shared" si="262"/>
        <v>893</v>
      </c>
    </row>
    <row r="226" spans="1:35" x14ac:dyDescent="0.15">
      <c r="A226" s="206">
        <v>30502</v>
      </c>
      <c r="B226" s="207">
        <f t="shared" si="235"/>
        <v>2072</v>
      </c>
      <c r="C226" s="207">
        <f t="shared" si="236"/>
        <v>206</v>
      </c>
      <c r="D226" s="207">
        <f t="shared" si="237"/>
        <v>777</v>
      </c>
      <c r="E226" s="207">
        <f t="shared" si="238"/>
        <v>777</v>
      </c>
      <c r="F226" s="206">
        <v>30502</v>
      </c>
      <c r="G226" s="207">
        <f t="shared" si="239"/>
        <v>2072</v>
      </c>
      <c r="H226" s="207">
        <f t="shared" si="240"/>
        <v>110</v>
      </c>
      <c r="I226" s="207">
        <f t="shared" si="241"/>
        <v>851</v>
      </c>
      <c r="J226" s="207">
        <f t="shared" si="242"/>
        <v>777</v>
      </c>
      <c r="K226" s="206">
        <v>30502</v>
      </c>
      <c r="L226" s="207">
        <f t="shared" si="243"/>
        <v>2072</v>
      </c>
      <c r="M226" s="207">
        <f t="shared" si="244"/>
        <v>206</v>
      </c>
      <c r="N226" s="207">
        <f t="shared" si="245"/>
        <v>777</v>
      </c>
      <c r="O226" s="207">
        <f t="shared" si="246"/>
        <v>777</v>
      </c>
      <c r="P226" s="206">
        <v>30502</v>
      </c>
      <c r="Q226" s="207">
        <f t="shared" si="247"/>
        <v>2236</v>
      </c>
      <c r="R226" s="207">
        <f t="shared" si="248"/>
        <v>192</v>
      </c>
      <c r="S226" s="207">
        <f t="shared" si="249"/>
        <v>740</v>
      </c>
      <c r="T226" s="207">
        <f t="shared" si="250"/>
        <v>932</v>
      </c>
      <c r="U226" s="206">
        <v>30502</v>
      </c>
      <c r="V226" s="207">
        <f t="shared" si="251"/>
        <v>2072</v>
      </c>
      <c r="W226" s="207">
        <f t="shared" si="252"/>
        <v>417</v>
      </c>
      <c r="X226" s="207">
        <f t="shared" si="253"/>
        <v>925</v>
      </c>
      <c r="Y226" s="207">
        <f t="shared" si="254"/>
        <v>777</v>
      </c>
      <c r="Z226" s="206">
        <v>30502</v>
      </c>
      <c r="AA226" s="207">
        <f t="shared" si="255"/>
        <v>2535</v>
      </c>
      <c r="AB226" s="207">
        <f t="shared" si="256"/>
        <v>694</v>
      </c>
      <c r="AC226" s="207">
        <f t="shared" si="257"/>
        <v>740</v>
      </c>
      <c r="AD226" s="207">
        <f t="shared" si="258"/>
        <v>1088</v>
      </c>
      <c r="AE226" s="206">
        <v>30502</v>
      </c>
      <c r="AF226" s="207">
        <f t="shared" si="259"/>
        <v>2236</v>
      </c>
      <c r="AG226" s="207">
        <f t="shared" si="260"/>
        <v>230</v>
      </c>
      <c r="AH226" s="207">
        <f t="shared" si="261"/>
        <v>851</v>
      </c>
      <c r="AI226" s="207">
        <f t="shared" si="262"/>
        <v>932</v>
      </c>
    </row>
    <row r="227" spans="1:35" x14ac:dyDescent="0.15">
      <c r="A227" s="206">
        <v>30503</v>
      </c>
      <c r="B227" s="207">
        <f t="shared" si="235"/>
        <v>2160</v>
      </c>
      <c r="C227" s="207">
        <f t="shared" si="236"/>
        <v>215</v>
      </c>
      <c r="D227" s="207">
        <f t="shared" si="237"/>
        <v>810</v>
      </c>
      <c r="E227" s="207">
        <f t="shared" si="238"/>
        <v>810</v>
      </c>
      <c r="F227" s="206">
        <v>30503</v>
      </c>
      <c r="G227" s="207">
        <f t="shared" si="239"/>
        <v>2160</v>
      </c>
      <c r="H227" s="207">
        <f t="shared" si="240"/>
        <v>115</v>
      </c>
      <c r="I227" s="207">
        <f t="shared" si="241"/>
        <v>887</v>
      </c>
      <c r="J227" s="207">
        <f t="shared" si="242"/>
        <v>810</v>
      </c>
      <c r="K227" s="206">
        <v>30503</v>
      </c>
      <c r="L227" s="207">
        <f t="shared" si="243"/>
        <v>2160</v>
      </c>
      <c r="M227" s="207">
        <f t="shared" si="244"/>
        <v>215</v>
      </c>
      <c r="N227" s="207">
        <f t="shared" si="245"/>
        <v>810</v>
      </c>
      <c r="O227" s="207">
        <f t="shared" si="246"/>
        <v>810</v>
      </c>
      <c r="P227" s="206">
        <v>30503</v>
      </c>
      <c r="Q227" s="207">
        <f t="shared" si="247"/>
        <v>2331</v>
      </c>
      <c r="R227" s="207">
        <f t="shared" si="248"/>
        <v>200</v>
      </c>
      <c r="S227" s="207">
        <f t="shared" si="249"/>
        <v>771</v>
      </c>
      <c r="T227" s="207">
        <f t="shared" si="250"/>
        <v>972</v>
      </c>
      <c r="U227" s="206">
        <v>30503</v>
      </c>
      <c r="V227" s="207">
        <f t="shared" si="251"/>
        <v>2160</v>
      </c>
      <c r="W227" s="207">
        <f t="shared" si="252"/>
        <v>435</v>
      </c>
      <c r="X227" s="207">
        <f t="shared" si="253"/>
        <v>964</v>
      </c>
      <c r="Y227" s="207">
        <f t="shared" si="254"/>
        <v>810</v>
      </c>
      <c r="Z227" s="206">
        <v>30503</v>
      </c>
      <c r="AA227" s="207">
        <f t="shared" si="255"/>
        <v>2642</v>
      </c>
      <c r="AB227" s="207">
        <f t="shared" si="256"/>
        <v>724</v>
      </c>
      <c r="AC227" s="207">
        <f t="shared" si="257"/>
        <v>771</v>
      </c>
      <c r="AD227" s="207">
        <f t="shared" si="258"/>
        <v>1134</v>
      </c>
      <c r="AE227" s="206">
        <v>30503</v>
      </c>
      <c r="AF227" s="207">
        <f t="shared" si="259"/>
        <v>2331</v>
      </c>
      <c r="AG227" s="207">
        <f t="shared" si="260"/>
        <v>240</v>
      </c>
      <c r="AH227" s="207">
        <f t="shared" si="261"/>
        <v>887</v>
      </c>
      <c r="AI227" s="207">
        <f t="shared" si="262"/>
        <v>972</v>
      </c>
    </row>
    <row r="228" spans="1:35" x14ac:dyDescent="0.15">
      <c r="A228" s="206">
        <v>30504</v>
      </c>
      <c r="B228" s="207">
        <f t="shared" si="235"/>
        <v>2248</v>
      </c>
      <c r="C228" s="207">
        <f t="shared" si="236"/>
        <v>224</v>
      </c>
      <c r="D228" s="207">
        <f t="shared" si="237"/>
        <v>843</v>
      </c>
      <c r="E228" s="207">
        <f t="shared" si="238"/>
        <v>843</v>
      </c>
      <c r="F228" s="206">
        <v>30504</v>
      </c>
      <c r="G228" s="207">
        <f t="shared" si="239"/>
        <v>2248</v>
      </c>
      <c r="H228" s="207">
        <f t="shared" si="240"/>
        <v>119</v>
      </c>
      <c r="I228" s="207">
        <f t="shared" si="241"/>
        <v>923</v>
      </c>
      <c r="J228" s="207">
        <f t="shared" si="242"/>
        <v>843</v>
      </c>
      <c r="K228" s="206">
        <v>30504</v>
      </c>
      <c r="L228" s="207">
        <f t="shared" si="243"/>
        <v>2248</v>
      </c>
      <c r="M228" s="207">
        <f t="shared" si="244"/>
        <v>224</v>
      </c>
      <c r="N228" s="207">
        <f t="shared" si="245"/>
        <v>843</v>
      </c>
      <c r="O228" s="207">
        <f t="shared" si="246"/>
        <v>843</v>
      </c>
      <c r="P228" s="206">
        <v>30504</v>
      </c>
      <c r="Q228" s="207">
        <f t="shared" si="247"/>
        <v>2426</v>
      </c>
      <c r="R228" s="207">
        <f t="shared" si="248"/>
        <v>209</v>
      </c>
      <c r="S228" s="207">
        <f t="shared" si="249"/>
        <v>803</v>
      </c>
      <c r="T228" s="207">
        <f t="shared" si="250"/>
        <v>1012</v>
      </c>
      <c r="U228" s="206">
        <v>30504</v>
      </c>
      <c r="V228" s="207">
        <f t="shared" si="251"/>
        <v>2248</v>
      </c>
      <c r="W228" s="207">
        <f t="shared" si="252"/>
        <v>453</v>
      </c>
      <c r="X228" s="207">
        <f t="shared" si="253"/>
        <v>1004</v>
      </c>
      <c r="Y228" s="207">
        <f t="shared" si="254"/>
        <v>843</v>
      </c>
      <c r="Z228" s="206">
        <v>30504</v>
      </c>
      <c r="AA228" s="207">
        <f t="shared" si="255"/>
        <v>2750</v>
      </c>
      <c r="AB228" s="207">
        <f t="shared" si="256"/>
        <v>753</v>
      </c>
      <c r="AC228" s="207">
        <f t="shared" si="257"/>
        <v>803</v>
      </c>
      <c r="AD228" s="207">
        <f t="shared" si="258"/>
        <v>1180</v>
      </c>
      <c r="AE228" s="206">
        <v>30504</v>
      </c>
      <c r="AF228" s="207">
        <f t="shared" si="259"/>
        <v>2426</v>
      </c>
      <c r="AG228" s="207">
        <f t="shared" si="260"/>
        <v>250</v>
      </c>
      <c r="AH228" s="207">
        <f t="shared" si="261"/>
        <v>923</v>
      </c>
      <c r="AI228" s="207">
        <f t="shared" si="262"/>
        <v>1012</v>
      </c>
    </row>
    <row r="229" spans="1:35" x14ac:dyDescent="0.15">
      <c r="A229" s="206">
        <v>30505</v>
      </c>
      <c r="B229" s="207">
        <f t="shared" si="235"/>
        <v>2336</v>
      </c>
      <c r="C229" s="207">
        <f t="shared" si="236"/>
        <v>233</v>
      </c>
      <c r="D229" s="207">
        <f t="shared" si="237"/>
        <v>876</v>
      </c>
      <c r="E229" s="207">
        <f t="shared" si="238"/>
        <v>876</v>
      </c>
      <c r="F229" s="206">
        <v>30505</v>
      </c>
      <c r="G229" s="207">
        <f t="shared" si="239"/>
        <v>2336</v>
      </c>
      <c r="H229" s="207">
        <f t="shared" si="240"/>
        <v>124</v>
      </c>
      <c r="I229" s="207">
        <f t="shared" si="241"/>
        <v>959</v>
      </c>
      <c r="J229" s="207">
        <f t="shared" si="242"/>
        <v>876</v>
      </c>
      <c r="K229" s="206">
        <v>30505</v>
      </c>
      <c r="L229" s="207">
        <f t="shared" si="243"/>
        <v>2336</v>
      </c>
      <c r="M229" s="207">
        <f t="shared" si="244"/>
        <v>233</v>
      </c>
      <c r="N229" s="207">
        <f t="shared" si="245"/>
        <v>876</v>
      </c>
      <c r="O229" s="207">
        <f t="shared" si="246"/>
        <v>876</v>
      </c>
      <c r="P229" s="206">
        <v>30505</v>
      </c>
      <c r="Q229" s="207">
        <f t="shared" si="247"/>
        <v>2521</v>
      </c>
      <c r="R229" s="207">
        <f t="shared" si="248"/>
        <v>217</v>
      </c>
      <c r="S229" s="207">
        <f t="shared" si="249"/>
        <v>834</v>
      </c>
      <c r="T229" s="207">
        <f t="shared" si="250"/>
        <v>1051</v>
      </c>
      <c r="U229" s="206">
        <v>30505</v>
      </c>
      <c r="V229" s="207">
        <f t="shared" si="251"/>
        <v>2336</v>
      </c>
      <c r="W229" s="207">
        <f t="shared" si="252"/>
        <v>470</v>
      </c>
      <c r="X229" s="207">
        <f t="shared" si="253"/>
        <v>1043</v>
      </c>
      <c r="Y229" s="207">
        <f t="shared" si="254"/>
        <v>876</v>
      </c>
      <c r="Z229" s="206">
        <v>30505</v>
      </c>
      <c r="AA229" s="207">
        <f t="shared" si="255"/>
        <v>2858</v>
      </c>
      <c r="AB229" s="207">
        <f t="shared" si="256"/>
        <v>783</v>
      </c>
      <c r="AC229" s="207">
        <f t="shared" si="257"/>
        <v>834</v>
      </c>
      <c r="AD229" s="207">
        <f t="shared" si="258"/>
        <v>1226</v>
      </c>
      <c r="AE229" s="206">
        <v>30505</v>
      </c>
      <c r="AF229" s="207">
        <f t="shared" si="259"/>
        <v>2521</v>
      </c>
      <c r="AG229" s="207">
        <f t="shared" si="260"/>
        <v>260</v>
      </c>
      <c r="AH229" s="207">
        <f t="shared" si="261"/>
        <v>959</v>
      </c>
      <c r="AI229" s="207">
        <f t="shared" si="262"/>
        <v>1051</v>
      </c>
    </row>
    <row r="230" spans="1:35" x14ac:dyDescent="0.15">
      <c r="A230" s="206">
        <v>30506</v>
      </c>
      <c r="B230" s="207">
        <f t="shared" si="235"/>
        <v>2424</v>
      </c>
      <c r="C230" s="207">
        <f t="shared" si="236"/>
        <v>242</v>
      </c>
      <c r="D230" s="207">
        <f t="shared" si="237"/>
        <v>909</v>
      </c>
      <c r="E230" s="207">
        <f t="shared" si="238"/>
        <v>909</v>
      </c>
      <c r="F230" s="206">
        <v>30506</v>
      </c>
      <c r="G230" s="207">
        <f t="shared" si="239"/>
        <v>2424</v>
      </c>
      <c r="H230" s="207">
        <f t="shared" si="240"/>
        <v>129</v>
      </c>
      <c r="I230" s="207">
        <f t="shared" si="241"/>
        <v>996</v>
      </c>
      <c r="J230" s="207">
        <f t="shared" si="242"/>
        <v>909</v>
      </c>
      <c r="K230" s="206">
        <v>30506</v>
      </c>
      <c r="L230" s="207">
        <f t="shared" si="243"/>
        <v>2424</v>
      </c>
      <c r="M230" s="207">
        <f t="shared" si="244"/>
        <v>242</v>
      </c>
      <c r="N230" s="207">
        <f t="shared" si="245"/>
        <v>909</v>
      </c>
      <c r="O230" s="207">
        <f t="shared" si="246"/>
        <v>909</v>
      </c>
      <c r="P230" s="206">
        <v>30506</v>
      </c>
      <c r="Q230" s="207">
        <f t="shared" si="247"/>
        <v>2616</v>
      </c>
      <c r="R230" s="207">
        <f t="shared" si="248"/>
        <v>225</v>
      </c>
      <c r="S230" s="207">
        <f t="shared" si="249"/>
        <v>866</v>
      </c>
      <c r="T230" s="207">
        <f t="shared" si="250"/>
        <v>1091</v>
      </c>
      <c r="U230" s="206">
        <v>30506</v>
      </c>
      <c r="V230" s="207">
        <f t="shared" si="251"/>
        <v>2424</v>
      </c>
      <c r="W230" s="207">
        <f t="shared" si="252"/>
        <v>488</v>
      </c>
      <c r="X230" s="207">
        <f t="shared" si="253"/>
        <v>1082</v>
      </c>
      <c r="Y230" s="207">
        <f t="shared" si="254"/>
        <v>909</v>
      </c>
      <c r="Z230" s="206">
        <v>30506</v>
      </c>
      <c r="AA230" s="207">
        <f t="shared" si="255"/>
        <v>2965</v>
      </c>
      <c r="AB230" s="207">
        <f t="shared" si="256"/>
        <v>812</v>
      </c>
      <c r="AC230" s="207">
        <f t="shared" si="257"/>
        <v>866</v>
      </c>
      <c r="AD230" s="207">
        <f t="shared" si="258"/>
        <v>1273</v>
      </c>
      <c r="AE230" s="206">
        <v>30506</v>
      </c>
      <c r="AF230" s="207">
        <f t="shared" si="259"/>
        <v>2616</v>
      </c>
      <c r="AG230" s="207">
        <f t="shared" si="260"/>
        <v>270</v>
      </c>
      <c r="AH230" s="207">
        <f t="shared" si="261"/>
        <v>996</v>
      </c>
      <c r="AI230" s="207">
        <f t="shared" si="262"/>
        <v>1091</v>
      </c>
    </row>
    <row r="231" spans="1:35" x14ac:dyDescent="0.15">
      <c r="A231" s="206">
        <v>30507</v>
      </c>
      <c r="B231" s="207">
        <f t="shared" si="235"/>
        <v>2512</v>
      </c>
      <c r="C231" s="207">
        <f t="shared" si="236"/>
        <v>250</v>
      </c>
      <c r="D231" s="207">
        <f t="shared" si="237"/>
        <v>942</v>
      </c>
      <c r="E231" s="207">
        <f t="shared" si="238"/>
        <v>942</v>
      </c>
      <c r="F231" s="206">
        <v>30507</v>
      </c>
      <c r="G231" s="207">
        <f t="shared" si="239"/>
        <v>2512</v>
      </c>
      <c r="H231" s="207">
        <f t="shared" si="240"/>
        <v>133</v>
      </c>
      <c r="I231" s="207">
        <f t="shared" si="241"/>
        <v>1032</v>
      </c>
      <c r="J231" s="207">
        <f t="shared" si="242"/>
        <v>942</v>
      </c>
      <c r="K231" s="206">
        <v>30507</v>
      </c>
      <c r="L231" s="207">
        <f t="shared" si="243"/>
        <v>2512</v>
      </c>
      <c r="M231" s="207">
        <f t="shared" si="244"/>
        <v>250</v>
      </c>
      <c r="N231" s="207">
        <f t="shared" si="245"/>
        <v>942</v>
      </c>
      <c r="O231" s="207">
        <f t="shared" si="246"/>
        <v>942</v>
      </c>
      <c r="P231" s="206">
        <v>30507</v>
      </c>
      <c r="Q231" s="207">
        <f t="shared" si="247"/>
        <v>2711</v>
      </c>
      <c r="R231" s="207">
        <f t="shared" si="248"/>
        <v>233</v>
      </c>
      <c r="S231" s="207">
        <f t="shared" si="249"/>
        <v>897</v>
      </c>
      <c r="T231" s="207">
        <f t="shared" si="250"/>
        <v>1130</v>
      </c>
      <c r="U231" s="206">
        <v>30507</v>
      </c>
      <c r="V231" s="207">
        <f t="shared" si="251"/>
        <v>2512</v>
      </c>
      <c r="W231" s="207">
        <f t="shared" si="252"/>
        <v>506</v>
      </c>
      <c r="X231" s="207">
        <f t="shared" si="253"/>
        <v>1121</v>
      </c>
      <c r="Y231" s="207">
        <f t="shared" si="254"/>
        <v>942</v>
      </c>
      <c r="Z231" s="206">
        <v>30507</v>
      </c>
      <c r="AA231" s="207">
        <f t="shared" si="255"/>
        <v>3073</v>
      </c>
      <c r="AB231" s="207">
        <f t="shared" si="256"/>
        <v>842</v>
      </c>
      <c r="AC231" s="207">
        <f t="shared" si="257"/>
        <v>897</v>
      </c>
      <c r="AD231" s="207">
        <f t="shared" si="258"/>
        <v>1319</v>
      </c>
      <c r="AE231" s="206">
        <v>30507</v>
      </c>
      <c r="AF231" s="207">
        <f t="shared" si="259"/>
        <v>2711</v>
      </c>
      <c r="AG231" s="207">
        <f t="shared" si="260"/>
        <v>279</v>
      </c>
      <c r="AH231" s="207">
        <f t="shared" si="261"/>
        <v>1032</v>
      </c>
      <c r="AI231" s="207">
        <f t="shared" si="262"/>
        <v>1130</v>
      </c>
    </row>
    <row r="232" spans="1:35" x14ac:dyDescent="0.15">
      <c r="A232" s="206">
        <v>30508</v>
      </c>
      <c r="B232" s="207">
        <f t="shared" si="235"/>
        <v>2600</v>
      </c>
      <c r="C232" s="207">
        <f t="shared" si="236"/>
        <v>259</v>
      </c>
      <c r="D232" s="207">
        <f t="shared" si="237"/>
        <v>975</v>
      </c>
      <c r="E232" s="207">
        <f t="shared" si="238"/>
        <v>975</v>
      </c>
      <c r="F232" s="206">
        <v>30508</v>
      </c>
      <c r="G232" s="207">
        <f t="shared" si="239"/>
        <v>2600</v>
      </c>
      <c r="H232" s="207">
        <f t="shared" si="240"/>
        <v>138</v>
      </c>
      <c r="I232" s="207">
        <f t="shared" si="241"/>
        <v>1068</v>
      </c>
      <c r="J232" s="207">
        <f t="shared" si="242"/>
        <v>975</v>
      </c>
      <c r="K232" s="206">
        <v>30508</v>
      </c>
      <c r="L232" s="207">
        <f t="shared" si="243"/>
        <v>2600</v>
      </c>
      <c r="M232" s="207">
        <f t="shared" si="244"/>
        <v>259</v>
      </c>
      <c r="N232" s="207">
        <f t="shared" si="245"/>
        <v>975</v>
      </c>
      <c r="O232" s="207">
        <f t="shared" si="246"/>
        <v>975</v>
      </c>
      <c r="P232" s="206">
        <v>30508</v>
      </c>
      <c r="Q232" s="207">
        <f t="shared" si="247"/>
        <v>2806</v>
      </c>
      <c r="R232" s="207">
        <f t="shared" si="248"/>
        <v>241</v>
      </c>
      <c r="S232" s="207">
        <f t="shared" si="249"/>
        <v>929</v>
      </c>
      <c r="T232" s="207">
        <f t="shared" si="250"/>
        <v>1170</v>
      </c>
      <c r="U232" s="206">
        <v>30508</v>
      </c>
      <c r="V232" s="207">
        <f t="shared" si="251"/>
        <v>2600</v>
      </c>
      <c r="W232" s="207">
        <f t="shared" si="252"/>
        <v>523</v>
      </c>
      <c r="X232" s="207">
        <f t="shared" si="253"/>
        <v>1161</v>
      </c>
      <c r="Y232" s="207">
        <f t="shared" si="254"/>
        <v>975</v>
      </c>
      <c r="Z232" s="206">
        <v>30508</v>
      </c>
      <c r="AA232" s="207">
        <f t="shared" si="255"/>
        <v>3181</v>
      </c>
      <c r="AB232" s="207">
        <f t="shared" si="256"/>
        <v>871</v>
      </c>
      <c r="AC232" s="207">
        <f t="shared" si="257"/>
        <v>929</v>
      </c>
      <c r="AD232" s="207">
        <f t="shared" si="258"/>
        <v>1365</v>
      </c>
      <c r="AE232" s="206">
        <v>30508</v>
      </c>
      <c r="AF232" s="207">
        <f t="shared" si="259"/>
        <v>2806</v>
      </c>
      <c r="AG232" s="207">
        <f t="shared" si="260"/>
        <v>289</v>
      </c>
      <c r="AH232" s="207">
        <f t="shared" si="261"/>
        <v>1068</v>
      </c>
      <c r="AI232" s="207">
        <f t="shared" si="262"/>
        <v>1170</v>
      </c>
    </row>
    <row r="233" spans="1:35" x14ac:dyDescent="0.15">
      <c r="A233" s="206">
        <v>30509</v>
      </c>
      <c r="B233" s="207">
        <f t="shared" si="235"/>
        <v>2688</v>
      </c>
      <c r="C233" s="207">
        <f t="shared" si="236"/>
        <v>268</v>
      </c>
      <c r="D233" s="207">
        <f t="shared" si="237"/>
        <v>1008</v>
      </c>
      <c r="E233" s="207">
        <f t="shared" si="238"/>
        <v>1008</v>
      </c>
      <c r="F233" s="206">
        <v>30509</v>
      </c>
      <c r="G233" s="207">
        <f t="shared" si="239"/>
        <v>2688</v>
      </c>
      <c r="H233" s="207">
        <f t="shared" si="240"/>
        <v>143</v>
      </c>
      <c r="I233" s="207">
        <f t="shared" si="241"/>
        <v>1104</v>
      </c>
      <c r="J233" s="207">
        <f t="shared" si="242"/>
        <v>1008</v>
      </c>
      <c r="K233" s="206">
        <v>30509</v>
      </c>
      <c r="L233" s="207">
        <f t="shared" si="243"/>
        <v>2688</v>
      </c>
      <c r="M233" s="207">
        <f t="shared" si="244"/>
        <v>268</v>
      </c>
      <c r="N233" s="207">
        <f t="shared" si="245"/>
        <v>1008</v>
      </c>
      <c r="O233" s="207">
        <f t="shared" si="246"/>
        <v>1008</v>
      </c>
      <c r="P233" s="206">
        <v>30509</v>
      </c>
      <c r="Q233" s="207">
        <f t="shared" si="247"/>
        <v>2901</v>
      </c>
      <c r="R233" s="207">
        <f t="shared" si="248"/>
        <v>249</v>
      </c>
      <c r="S233" s="207">
        <f t="shared" si="249"/>
        <v>960</v>
      </c>
      <c r="T233" s="207">
        <f t="shared" si="250"/>
        <v>1210</v>
      </c>
      <c r="U233" s="206">
        <v>30509</v>
      </c>
      <c r="V233" s="207">
        <f t="shared" si="251"/>
        <v>2688</v>
      </c>
      <c r="W233" s="207">
        <f t="shared" si="252"/>
        <v>541</v>
      </c>
      <c r="X233" s="207">
        <f t="shared" si="253"/>
        <v>1200</v>
      </c>
      <c r="Y233" s="207">
        <f t="shared" si="254"/>
        <v>1008</v>
      </c>
      <c r="Z233" s="206">
        <v>30509</v>
      </c>
      <c r="AA233" s="207">
        <f t="shared" si="255"/>
        <v>3288</v>
      </c>
      <c r="AB233" s="207">
        <f t="shared" si="256"/>
        <v>901</v>
      </c>
      <c r="AC233" s="207">
        <f t="shared" si="257"/>
        <v>960</v>
      </c>
      <c r="AD233" s="207">
        <f t="shared" si="258"/>
        <v>1411</v>
      </c>
      <c r="AE233" s="206">
        <v>30509</v>
      </c>
      <c r="AF233" s="207">
        <f t="shared" si="259"/>
        <v>2901</v>
      </c>
      <c r="AG233" s="207">
        <f t="shared" si="260"/>
        <v>299</v>
      </c>
      <c r="AH233" s="207">
        <f t="shared" si="261"/>
        <v>1104</v>
      </c>
      <c r="AI233" s="207">
        <f t="shared" si="262"/>
        <v>1210</v>
      </c>
    </row>
    <row r="234" spans="1:35" x14ac:dyDescent="0.15">
      <c r="A234" s="206">
        <v>30510</v>
      </c>
      <c r="B234" s="207">
        <f t="shared" si="235"/>
        <v>2776</v>
      </c>
      <c r="C234" s="207">
        <f t="shared" si="236"/>
        <v>277</v>
      </c>
      <c r="D234" s="207">
        <f t="shared" si="237"/>
        <v>1041</v>
      </c>
      <c r="E234" s="207">
        <f t="shared" si="238"/>
        <v>1041</v>
      </c>
      <c r="F234" s="206">
        <v>30510</v>
      </c>
      <c r="G234" s="207">
        <f t="shared" si="239"/>
        <v>2776</v>
      </c>
      <c r="H234" s="207">
        <f t="shared" si="240"/>
        <v>147</v>
      </c>
      <c r="I234" s="207">
        <f t="shared" si="241"/>
        <v>1140</v>
      </c>
      <c r="J234" s="207">
        <f t="shared" si="242"/>
        <v>1041</v>
      </c>
      <c r="K234" s="206">
        <v>30510</v>
      </c>
      <c r="L234" s="207">
        <f t="shared" si="243"/>
        <v>2776</v>
      </c>
      <c r="M234" s="207">
        <f t="shared" si="244"/>
        <v>277</v>
      </c>
      <c r="N234" s="207">
        <f t="shared" si="245"/>
        <v>1041</v>
      </c>
      <c r="O234" s="207">
        <f t="shared" si="246"/>
        <v>1041</v>
      </c>
      <c r="P234" s="206">
        <v>30510</v>
      </c>
      <c r="Q234" s="207">
        <f t="shared" si="247"/>
        <v>2996</v>
      </c>
      <c r="R234" s="207">
        <f t="shared" si="248"/>
        <v>258</v>
      </c>
      <c r="S234" s="207">
        <f t="shared" si="249"/>
        <v>991</v>
      </c>
      <c r="T234" s="207">
        <f t="shared" si="250"/>
        <v>1249</v>
      </c>
      <c r="U234" s="206">
        <v>30510</v>
      </c>
      <c r="V234" s="207">
        <f t="shared" si="251"/>
        <v>2776</v>
      </c>
      <c r="W234" s="207">
        <f t="shared" si="252"/>
        <v>559</v>
      </c>
      <c r="X234" s="207">
        <f t="shared" si="253"/>
        <v>1239</v>
      </c>
      <c r="Y234" s="207">
        <f t="shared" si="254"/>
        <v>1041</v>
      </c>
      <c r="Z234" s="206">
        <v>30510</v>
      </c>
      <c r="AA234" s="207">
        <f t="shared" si="255"/>
        <v>3396</v>
      </c>
      <c r="AB234" s="207">
        <f t="shared" si="256"/>
        <v>930</v>
      </c>
      <c r="AC234" s="207">
        <f t="shared" si="257"/>
        <v>991</v>
      </c>
      <c r="AD234" s="207">
        <f t="shared" si="258"/>
        <v>1457</v>
      </c>
      <c r="AE234" s="206">
        <v>30510</v>
      </c>
      <c r="AF234" s="207">
        <f t="shared" si="259"/>
        <v>2996</v>
      </c>
      <c r="AG234" s="207">
        <f t="shared" si="260"/>
        <v>309</v>
      </c>
      <c r="AH234" s="207">
        <f t="shared" si="261"/>
        <v>1140</v>
      </c>
      <c r="AI234" s="207">
        <f t="shared" si="262"/>
        <v>1249</v>
      </c>
    </row>
    <row r="235" spans="1:35" x14ac:dyDescent="0.15">
      <c r="A235" s="206">
        <v>30511</v>
      </c>
      <c r="B235" s="207">
        <f t="shared" si="235"/>
        <v>2864</v>
      </c>
      <c r="C235" s="207">
        <f t="shared" si="236"/>
        <v>285</v>
      </c>
      <c r="D235" s="207">
        <f t="shared" si="237"/>
        <v>1074</v>
      </c>
      <c r="E235" s="207">
        <f t="shared" si="238"/>
        <v>1074</v>
      </c>
      <c r="F235" s="206">
        <v>30511</v>
      </c>
      <c r="G235" s="207">
        <f t="shared" si="239"/>
        <v>2864</v>
      </c>
      <c r="H235" s="207">
        <f t="shared" si="240"/>
        <v>152</v>
      </c>
      <c r="I235" s="207">
        <f t="shared" si="241"/>
        <v>1176</v>
      </c>
      <c r="J235" s="207">
        <f t="shared" si="242"/>
        <v>1074</v>
      </c>
      <c r="K235" s="206">
        <v>30511</v>
      </c>
      <c r="L235" s="207">
        <f t="shared" si="243"/>
        <v>2864</v>
      </c>
      <c r="M235" s="207">
        <f t="shared" si="244"/>
        <v>285</v>
      </c>
      <c r="N235" s="207">
        <f t="shared" si="245"/>
        <v>1074</v>
      </c>
      <c r="O235" s="207">
        <f t="shared" si="246"/>
        <v>1074</v>
      </c>
      <c r="P235" s="206">
        <v>30511</v>
      </c>
      <c r="Q235" s="207">
        <f t="shared" si="247"/>
        <v>3091</v>
      </c>
      <c r="R235" s="207">
        <f t="shared" si="248"/>
        <v>266</v>
      </c>
      <c r="S235" s="207">
        <f t="shared" si="249"/>
        <v>1023</v>
      </c>
      <c r="T235" s="207">
        <f t="shared" si="250"/>
        <v>1289</v>
      </c>
      <c r="U235" s="206">
        <v>30511</v>
      </c>
      <c r="V235" s="207">
        <f t="shared" si="251"/>
        <v>2864</v>
      </c>
      <c r="W235" s="207">
        <f t="shared" si="252"/>
        <v>577</v>
      </c>
      <c r="X235" s="207">
        <f t="shared" si="253"/>
        <v>1279</v>
      </c>
      <c r="Y235" s="207">
        <f t="shared" si="254"/>
        <v>1074</v>
      </c>
      <c r="Z235" s="206">
        <v>30511</v>
      </c>
      <c r="AA235" s="207">
        <f t="shared" si="255"/>
        <v>3504</v>
      </c>
      <c r="AB235" s="207">
        <f t="shared" si="256"/>
        <v>960</v>
      </c>
      <c r="AC235" s="207">
        <f t="shared" si="257"/>
        <v>1023</v>
      </c>
      <c r="AD235" s="207">
        <f t="shared" si="258"/>
        <v>1504</v>
      </c>
      <c r="AE235" s="206">
        <v>30511</v>
      </c>
      <c r="AF235" s="207">
        <f t="shared" si="259"/>
        <v>3091</v>
      </c>
      <c r="AG235" s="207">
        <f t="shared" si="260"/>
        <v>318</v>
      </c>
      <c r="AH235" s="207">
        <f t="shared" si="261"/>
        <v>1176</v>
      </c>
      <c r="AI235" s="207">
        <f t="shared" si="262"/>
        <v>1289</v>
      </c>
    </row>
    <row r="236" spans="1:35" x14ac:dyDescent="0.15">
      <c r="A236" s="206">
        <v>30512</v>
      </c>
      <c r="B236" s="207">
        <f t="shared" si="235"/>
        <v>2952</v>
      </c>
      <c r="C236" s="207">
        <f t="shared" si="236"/>
        <v>294</v>
      </c>
      <c r="D236" s="207">
        <f t="shared" si="237"/>
        <v>1107</v>
      </c>
      <c r="E236" s="207">
        <f t="shared" si="238"/>
        <v>1107</v>
      </c>
      <c r="F236" s="206">
        <v>30512</v>
      </c>
      <c r="G236" s="207">
        <f t="shared" si="239"/>
        <v>2952</v>
      </c>
      <c r="H236" s="207">
        <f t="shared" si="240"/>
        <v>157</v>
      </c>
      <c r="I236" s="207">
        <f t="shared" si="241"/>
        <v>1212</v>
      </c>
      <c r="J236" s="207">
        <f t="shared" si="242"/>
        <v>1107</v>
      </c>
      <c r="K236" s="206">
        <v>30512</v>
      </c>
      <c r="L236" s="207">
        <f t="shared" si="243"/>
        <v>2952</v>
      </c>
      <c r="M236" s="207">
        <f t="shared" si="244"/>
        <v>294</v>
      </c>
      <c r="N236" s="207">
        <f t="shared" si="245"/>
        <v>1107</v>
      </c>
      <c r="O236" s="207">
        <f t="shared" si="246"/>
        <v>1107</v>
      </c>
      <c r="P236" s="206">
        <v>30512</v>
      </c>
      <c r="Q236" s="207">
        <f t="shared" si="247"/>
        <v>3186</v>
      </c>
      <c r="R236" s="207">
        <f t="shared" si="248"/>
        <v>274</v>
      </c>
      <c r="S236" s="207">
        <f t="shared" si="249"/>
        <v>1054</v>
      </c>
      <c r="T236" s="207">
        <f t="shared" si="250"/>
        <v>1328</v>
      </c>
      <c r="U236" s="206">
        <v>30512</v>
      </c>
      <c r="V236" s="207">
        <f t="shared" si="251"/>
        <v>2952</v>
      </c>
      <c r="W236" s="207">
        <f t="shared" si="252"/>
        <v>594</v>
      </c>
      <c r="X236" s="207">
        <f t="shared" si="253"/>
        <v>1318</v>
      </c>
      <c r="Y236" s="207">
        <f t="shared" si="254"/>
        <v>1107</v>
      </c>
      <c r="Z236" s="206">
        <v>30512</v>
      </c>
      <c r="AA236" s="207">
        <f t="shared" si="255"/>
        <v>3611</v>
      </c>
      <c r="AB236" s="207">
        <f t="shared" si="256"/>
        <v>989</v>
      </c>
      <c r="AC236" s="207">
        <f t="shared" si="257"/>
        <v>1054</v>
      </c>
      <c r="AD236" s="207">
        <f t="shared" si="258"/>
        <v>1550</v>
      </c>
      <c r="AE236" s="206">
        <v>30512</v>
      </c>
      <c r="AF236" s="207">
        <f t="shared" si="259"/>
        <v>3186</v>
      </c>
      <c r="AG236" s="207">
        <f t="shared" si="260"/>
        <v>328</v>
      </c>
      <c r="AH236" s="207">
        <f t="shared" si="261"/>
        <v>1212</v>
      </c>
      <c r="AI236" s="207">
        <f t="shared" si="262"/>
        <v>1328</v>
      </c>
    </row>
    <row r="237" spans="1:35" x14ac:dyDescent="0.15">
      <c r="A237" s="206">
        <v>30513</v>
      </c>
      <c r="B237" s="207">
        <f t="shared" si="235"/>
        <v>3040</v>
      </c>
      <c r="C237" s="207">
        <f t="shared" si="236"/>
        <v>303</v>
      </c>
      <c r="D237" s="207">
        <f t="shared" si="237"/>
        <v>1140</v>
      </c>
      <c r="E237" s="207">
        <f t="shared" si="238"/>
        <v>1140</v>
      </c>
      <c r="F237" s="206">
        <v>30513</v>
      </c>
      <c r="G237" s="207">
        <f t="shared" si="239"/>
        <v>3040</v>
      </c>
      <c r="H237" s="207">
        <f t="shared" si="240"/>
        <v>161</v>
      </c>
      <c r="I237" s="207">
        <f t="shared" si="241"/>
        <v>1249</v>
      </c>
      <c r="J237" s="207">
        <f t="shared" si="242"/>
        <v>1140</v>
      </c>
      <c r="K237" s="206">
        <v>30513</v>
      </c>
      <c r="L237" s="207">
        <f t="shared" si="243"/>
        <v>3040</v>
      </c>
      <c r="M237" s="207">
        <f t="shared" si="244"/>
        <v>303</v>
      </c>
      <c r="N237" s="207">
        <f t="shared" si="245"/>
        <v>1140</v>
      </c>
      <c r="O237" s="207">
        <f t="shared" si="246"/>
        <v>1140</v>
      </c>
      <c r="P237" s="206">
        <v>30513</v>
      </c>
      <c r="Q237" s="207">
        <f t="shared" si="247"/>
        <v>3281</v>
      </c>
      <c r="R237" s="207">
        <f t="shared" si="248"/>
        <v>282</v>
      </c>
      <c r="S237" s="207">
        <f t="shared" si="249"/>
        <v>1086</v>
      </c>
      <c r="T237" s="207">
        <f t="shared" si="250"/>
        <v>1368</v>
      </c>
      <c r="U237" s="206">
        <v>30513</v>
      </c>
      <c r="V237" s="207">
        <f t="shared" si="251"/>
        <v>3040</v>
      </c>
      <c r="W237" s="207">
        <f t="shared" si="252"/>
        <v>612</v>
      </c>
      <c r="X237" s="207">
        <f t="shared" si="253"/>
        <v>1357</v>
      </c>
      <c r="Y237" s="207">
        <f t="shared" si="254"/>
        <v>1140</v>
      </c>
      <c r="Z237" s="206">
        <v>30513</v>
      </c>
      <c r="AA237" s="207">
        <f t="shared" si="255"/>
        <v>3719</v>
      </c>
      <c r="AB237" s="207">
        <f t="shared" si="256"/>
        <v>1019</v>
      </c>
      <c r="AC237" s="207">
        <f t="shared" si="257"/>
        <v>1086</v>
      </c>
      <c r="AD237" s="207">
        <f t="shared" si="258"/>
        <v>1596</v>
      </c>
      <c r="AE237" s="206">
        <v>30513</v>
      </c>
      <c r="AF237" s="207">
        <f t="shared" si="259"/>
        <v>3281</v>
      </c>
      <c r="AG237" s="207">
        <f t="shared" si="260"/>
        <v>338</v>
      </c>
      <c r="AH237" s="207">
        <f t="shared" si="261"/>
        <v>1249</v>
      </c>
      <c r="AI237" s="207">
        <f t="shared" si="262"/>
        <v>1368</v>
      </c>
    </row>
    <row r="238" spans="1:35" x14ac:dyDescent="0.15">
      <c r="A238" s="206">
        <v>30514</v>
      </c>
      <c r="B238" s="207">
        <f t="shared" si="235"/>
        <v>3128</v>
      </c>
      <c r="C238" s="207">
        <f t="shared" si="236"/>
        <v>312</v>
      </c>
      <c r="D238" s="207">
        <f t="shared" si="237"/>
        <v>1173</v>
      </c>
      <c r="E238" s="207">
        <f t="shared" si="238"/>
        <v>1173</v>
      </c>
      <c r="F238" s="206">
        <v>30514</v>
      </c>
      <c r="G238" s="207">
        <f t="shared" si="239"/>
        <v>3128</v>
      </c>
      <c r="H238" s="207">
        <f t="shared" si="240"/>
        <v>166</v>
      </c>
      <c r="I238" s="207">
        <f t="shared" si="241"/>
        <v>1285</v>
      </c>
      <c r="J238" s="207">
        <f t="shared" si="242"/>
        <v>1173</v>
      </c>
      <c r="K238" s="206">
        <v>30514</v>
      </c>
      <c r="L238" s="207">
        <f t="shared" si="243"/>
        <v>3128</v>
      </c>
      <c r="M238" s="207">
        <f t="shared" si="244"/>
        <v>312</v>
      </c>
      <c r="N238" s="207">
        <f t="shared" si="245"/>
        <v>1173</v>
      </c>
      <c r="O238" s="207">
        <f t="shared" si="246"/>
        <v>1173</v>
      </c>
      <c r="P238" s="206">
        <v>30514</v>
      </c>
      <c r="Q238" s="207">
        <f t="shared" si="247"/>
        <v>3376</v>
      </c>
      <c r="R238" s="207">
        <f t="shared" si="248"/>
        <v>290</v>
      </c>
      <c r="S238" s="207">
        <f t="shared" si="249"/>
        <v>1117</v>
      </c>
      <c r="T238" s="207">
        <f t="shared" si="250"/>
        <v>1408</v>
      </c>
      <c r="U238" s="206">
        <v>30514</v>
      </c>
      <c r="V238" s="207">
        <f t="shared" si="251"/>
        <v>3128</v>
      </c>
      <c r="W238" s="207">
        <f t="shared" si="252"/>
        <v>630</v>
      </c>
      <c r="X238" s="207">
        <f t="shared" si="253"/>
        <v>1396</v>
      </c>
      <c r="Y238" s="207">
        <f t="shared" si="254"/>
        <v>1173</v>
      </c>
      <c r="Z238" s="206">
        <v>30514</v>
      </c>
      <c r="AA238" s="207">
        <f t="shared" si="255"/>
        <v>3826</v>
      </c>
      <c r="AB238" s="207">
        <f t="shared" si="256"/>
        <v>1048</v>
      </c>
      <c r="AC238" s="207">
        <f t="shared" si="257"/>
        <v>1117</v>
      </c>
      <c r="AD238" s="207">
        <f t="shared" si="258"/>
        <v>1642</v>
      </c>
      <c r="AE238" s="206">
        <v>30514</v>
      </c>
      <c r="AF238" s="207">
        <f t="shared" si="259"/>
        <v>3376</v>
      </c>
      <c r="AG238" s="207">
        <f t="shared" si="260"/>
        <v>348</v>
      </c>
      <c r="AH238" s="207">
        <f t="shared" si="261"/>
        <v>1285</v>
      </c>
      <c r="AI238" s="207">
        <f t="shared" si="262"/>
        <v>1408</v>
      </c>
    </row>
    <row r="239" spans="1:35" x14ac:dyDescent="0.15">
      <c r="A239" s="206">
        <v>30515</v>
      </c>
      <c r="B239" s="207">
        <f t="shared" si="235"/>
        <v>3232</v>
      </c>
      <c r="C239" s="207">
        <f t="shared" si="236"/>
        <v>322</v>
      </c>
      <c r="D239" s="207">
        <f t="shared" si="237"/>
        <v>1212</v>
      </c>
      <c r="E239" s="207">
        <f t="shared" si="238"/>
        <v>1212</v>
      </c>
      <c r="F239" s="206">
        <v>30515</v>
      </c>
      <c r="G239" s="207">
        <f t="shared" si="239"/>
        <v>3232</v>
      </c>
      <c r="H239" s="207">
        <f t="shared" si="240"/>
        <v>172</v>
      </c>
      <c r="I239" s="207">
        <f t="shared" si="241"/>
        <v>1327</v>
      </c>
      <c r="J239" s="207">
        <f t="shared" si="242"/>
        <v>1212</v>
      </c>
      <c r="K239" s="206">
        <v>30515</v>
      </c>
      <c r="L239" s="207">
        <f t="shared" si="243"/>
        <v>3232</v>
      </c>
      <c r="M239" s="207">
        <f t="shared" si="244"/>
        <v>322</v>
      </c>
      <c r="N239" s="207">
        <f t="shared" si="245"/>
        <v>1212</v>
      </c>
      <c r="O239" s="207">
        <f t="shared" si="246"/>
        <v>1212</v>
      </c>
      <c r="P239" s="206">
        <v>30515</v>
      </c>
      <c r="Q239" s="207">
        <f t="shared" si="247"/>
        <v>3488</v>
      </c>
      <c r="R239" s="207">
        <f t="shared" si="248"/>
        <v>300</v>
      </c>
      <c r="S239" s="207">
        <f t="shared" si="249"/>
        <v>1154</v>
      </c>
      <c r="T239" s="207">
        <f t="shared" si="250"/>
        <v>1454</v>
      </c>
      <c r="U239" s="206">
        <v>30515</v>
      </c>
      <c r="V239" s="207">
        <f t="shared" si="251"/>
        <v>3232</v>
      </c>
      <c r="W239" s="207">
        <f t="shared" si="252"/>
        <v>651</v>
      </c>
      <c r="X239" s="207">
        <f t="shared" si="253"/>
        <v>1443</v>
      </c>
      <c r="Y239" s="207">
        <f t="shared" si="254"/>
        <v>1212</v>
      </c>
      <c r="Z239" s="206">
        <v>30515</v>
      </c>
      <c r="AA239" s="207">
        <f t="shared" si="255"/>
        <v>3954</v>
      </c>
      <c r="AB239" s="207">
        <f t="shared" si="256"/>
        <v>1083</v>
      </c>
      <c r="AC239" s="207">
        <f t="shared" si="257"/>
        <v>1154</v>
      </c>
      <c r="AD239" s="207">
        <f t="shared" si="258"/>
        <v>1697</v>
      </c>
      <c r="AE239" s="206">
        <v>30515</v>
      </c>
      <c r="AF239" s="207">
        <f t="shared" si="259"/>
        <v>3488</v>
      </c>
      <c r="AG239" s="207">
        <f t="shared" si="260"/>
        <v>359</v>
      </c>
      <c r="AH239" s="207">
        <f t="shared" si="261"/>
        <v>1327</v>
      </c>
      <c r="AI239" s="207">
        <f t="shared" si="262"/>
        <v>1454</v>
      </c>
    </row>
    <row r="240" spans="1:35" x14ac:dyDescent="0.15">
      <c r="A240" s="206">
        <v>30516</v>
      </c>
      <c r="B240" s="207">
        <f t="shared" si="235"/>
        <v>3336</v>
      </c>
      <c r="C240" s="207">
        <f t="shared" si="236"/>
        <v>332</v>
      </c>
      <c r="D240" s="207">
        <f t="shared" si="237"/>
        <v>1251</v>
      </c>
      <c r="E240" s="207">
        <f t="shared" si="238"/>
        <v>1251</v>
      </c>
      <c r="F240" s="206">
        <v>30516</v>
      </c>
      <c r="G240" s="207">
        <f t="shared" si="239"/>
        <v>3336</v>
      </c>
      <c r="H240" s="207">
        <f t="shared" si="240"/>
        <v>177</v>
      </c>
      <c r="I240" s="207">
        <f t="shared" si="241"/>
        <v>1370</v>
      </c>
      <c r="J240" s="207">
        <f t="shared" si="242"/>
        <v>1251</v>
      </c>
      <c r="K240" s="206">
        <v>30516</v>
      </c>
      <c r="L240" s="207">
        <f t="shared" si="243"/>
        <v>3336</v>
      </c>
      <c r="M240" s="207">
        <f t="shared" si="244"/>
        <v>332</v>
      </c>
      <c r="N240" s="207">
        <f t="shared" si="245"/>
        <v>1251</v>
      </c>
      <c r="O240" s="207">
        <f t="shared" si="246"/>
        <v>1251</v>
      </c>
      <c r="P240" s="206">
        <v>30516</v>
      </c>
      <c r="Q240" s="207">
        <f t="shared" si="247"/>
        <v>3601</v>
      </c>
      <c r="R240" s="207">
        <f t="shared" si="248"/>
        <v>310</v>
      </c>
      <c r="S240" s="207">
        <f t="shared" si="249"/>
        <v>1191</v>
      </c>
      <c r="T240" s="207">
        <f t="shared" si="250"/>
        <v>1501</v>
      </c>
      <c r="U240" s="206">
        <v>30516</v>
      </c>
      <c r="V240" s="207">
        <f t="shared" si="251"/>
        <v>3336</v>
      </c>
      <c r="W240" s="207">
        <f t="shared" si="252"/>
        <v>672</v>
      </c>
      <c r="X240" s="207">
        <f t="shared" si="253"/>
        <v>1489</v>
      </c>
      <c r="Y240" s="207">
        <f t="shared" si="254"/>
        <v>1251</v>
      </c>
      <c r="Z240" s="206">
        <v>30516</v>
      </c>
      <c r="AA240" s="207">
        <f t="shared" si="255"/>
        <v>4081</v>
      </c>
      <c r="AB240" s="207">
        <f t="shared" si="256"/>
        <v>1118</v>
      </c>
      <c r="AC240" s="207">
        <f t="shared" si="257"/>
        <v>1191</v>
      </c>
      <c r="AD240" s="207">
        <f t="shared" si="258"/>
        <v>1751</v>
      </c>
      <c r="AE240" s="206">
        <v>30516</v>
      </c>
      <c r="AF240" s="207">
        <f t="shared" si="259"/>
        <v>3601</v>
      </c>
      <c r="AG240" s="207">
        <f t="shared" si="260"/>
        <v>371</v>
      </c>
      <c r="AH240" s="207">
        <f t="shared" si="261"/>
        <v>1370</v>
      </c>
      <c r="AI240" s="207">
        <f t="shared" si="262"/>
        <v>1501</v>
      </c>
    </row>
    <row r="241" spans="1:35" x14ac:dyDescent="0.15">
      <c r="A241" s="206">
        <v>30517</v>
      </c>
      <c r="B241" s="207">
        <f t="shared" si="235"/>
        <v>3440</v>
      </c>
      <c r="C241" s="207">
        <f t="shared" si="236"/>
        <v>343</v>
      </c>
      <c r="D241" s="207">
        <f t="shared" si="237"/>
        <v>1290</v>
      </c>
      <c r="E241" s="207">
        <f t="shared" si="238"/>
        <v>1290</v>
      </c>
      <c r="F241" s="206">
        <v>30517</v>
      </c>
      <c r="G241" s="207">
        <f t="shared" si="239"/>
        <v>3440</v>
      </c>
      <c r="H241" s="207">
        <f t="shared" si="240"/>
        <v>183</v>
      </c>
      <c r="I241" s="207">
        <f t="shared" si="241"/>
        <v>1413</v>
      </c>
      <c r="J241" s="207">
        <f t="shared" si="242"/>
        <v>1290</v>
      </c>
      <c r="K241" s="206">
        <v>30517</v>
      </c>
      <c r="L241" s="207">
        <f t="shared" si="243"/>
        <v>3440</v>
      </c>
      <c r="M241" s="207">
        <f t="shared" si="244"/>
        <v>343</v>
      </c>
      <c r="N241" s="207">
        <f t="shared" si="245"/>
        <v>1290</v>
      </c>
      <c r="O241" s="207">
        <f t="shared" si="246"/>
        <v>1290</v>
      </c>
      <c r="P241" s="206">
        <v>30517</v>
      </c>
      <c r="Q241" s="207">
        <f t="shared" si="247"/>
        <v>3713</v>
      </c>
      <c r="R241" s="207">
        <f t="shared" si="248"/>
        <v>319</v>
      </c>
      <c r="S241" s="207">
        <f t="shared" si="249"/>
        <v>1229</v>
      </c>
      <c r="T241" s="207">
        <f t="shared" si="250"/>
        <v>1548</v>
      </c>
      <c r="U241" s="206">
        <v>30517</v>
      </c>
      <c r="V241" s="207">
        <f t="shared" si="251"/>
        <v>3440</v>
      </c>
      <c r="W241" s="207">
        <f t="shared" si="252"/>
        <v>692</v>
      </c>
      <c r="X241" s="207">
        <f t="shared" si="253"/>
        <v>1536</v>
      </c>
      <c r="Y241" s="207">
        <f t="shared" si="254"/>
        <v>1290</v>
      </c>
      <c r="Z241" s="206">
        <v>30517</v>
      </c>
      <c r="AA241" s="207">
        <f t="shared" si="255"/>
        <v>4208</v>
      </c>
      <c r="AB241" s="207">
        <f t="shared" si="256"/>
        <v>1153</v>
      </c>
      <c r="AC241" s="207">
        <f t="shared" si="257"/>
        <v>1229</v>
      </c>
      <c r="AD241" s="207">
        <f t="shared" si="258"/>
        <v>1806</v>
      </c>
      <c r="AE241" s="206">
        <v>30517</v>
      </c>
      <c r="AF241" s="207">
        <f t="shared" si="259"/>
        <v>3713</v>
      </c>
      <c r="AG241" s="207">
        <f t="shared" si="260"/>
        <v>382</v>
      </c>
      <c r="AH241" s="207">
        <f t="shared" si="261"/>
        <v>1413</v>
      </c>
      <c r="AI241" s="207">
        <f t="shared" si="262"/>
        <v>1548</v>
      </c>
    </row>
    <row r="242" spans="1:35" x14ac:dyDescent="0.15">
      <c r="A242" s="206">
        <v>30518</v>
      </c>
      <c r="B242" s="207">
        <f t="shared" si="235"/>
        <v>3544</v>
      </c>
      <c r="C242" s="207">
        <f t="shared" si="236"/>
        <v>353</v>
      </c>
      <c r="D242" s="207">
        <f t="shared" si="237"/>
        <v>1329</v>
      </c>
      <c r="E242" s="207">
        <f t="shared" si="238"/>
        <v>1329</v>
      </c>
      <c r="F242" s="206">
        <v>30518</v>
      </c>
      <c r="G242" s="207">
        <f t="shared" si="239"/>
        <v>3544</v>
      </c>
      <c r="H242" s="207">
        <f t="shared" si="240"/>
        <v>188</v>
      </c>
      <c r="I242" s="207">
        <f t="shared" si="241"/>
        <v>1456</v>
      </c>
      <c r="J242" s="207">
        <f t="shared" si="242"/>
        <v>1329</v>
      </c>
      <c r="K242" s="206">
        <v>30518</v>
      </c>
      <c r="L242" s="207">
        <f t="shared" si="243"/>
        <v>3544</v>
      </c>
      <c r="M242" s="207">
        <f t="shared" si="244"/>
        <v>353</v>
      </c>
      <c r="N242" s="207">
        <f t="shared" si="245"/>
        <v>1329</v>
      </c>
      <c r="O242" s="207">
        <f t="shared" si="246"/>
        <v>1329</v>
      </c>
      <c r="P242" s="206">
        <v>30518</v>
      </c>
      <c r="Q242" s="207">
        <f t="shared" si="247"/>
        <v>3825</v>
      </c>
      <c r="R242" s="207">
        <f t="shared" si="248"/>
        <v>329</v>
      </c>
      <c r="S242" s="207">
        <f t="shared" si="249"/>
        <v>1266</v>
      </c>
      <c r="T242" s="207">
        <f t="shared" si="250"/>
        <v>1595</v>
      </c>
      <c r="U242" s="206">
        <v>30518</v>
      </c>
      <c r="V242" s="207">
        <f t="shared" si="251"/>
        <v>3544</v>
      </c>
      <c r="W242" s="207">
        <f t="shared" si="252"/>
        <v>713</v>
      </c>
      <c r="X242" s="207">
        <f t="shared" si="253"/>
        <v>1582</v>
      </c>
      <c r="Y242" s="207">
        <f t="shared" si="254"/>
        <v>1329</v>
      </c>
      <c r="Z242" s="206">
        <v>30518</v>
      </c>
      <c r="AA242" s="207">
        <f t="shared" si="255"/>
        <v>4335</v>
      </c>
      <c r="AB242" s="207">
        <f t="shared" si="256"/>
        <v>1188</v>
      </c>
      <c r="AC242" s="207">
        <f t="shared" si="257"/>
        <v>1266</v>
      </c>
      <c r="AD242" s="207">
        <f t="shared" si="258"/>
        <v>1861</v>
      </c>
      <c r="AE242" s="206">
        <v>30518</v>
      </c>
      <c r="AF242" s="207">
        <f t="shared" si="259"/>
        <v>3825</v>
      </c>
      <c r="AG242" s="207">
        <f t="shared" si="260"/>
        <v>394</v>
      </c>
      <c r="AH242" s="207">
        <f t="shared" si="261"/>
        <v>1456</v>
      </c>
      <c r="AI242" s="207">
        <f t="shared" si="262"/>
        <v>1595</v>
      </c>
    </row>
    <row r="243" spans="1:35" x14ac:dyDescent="0.15">
      <c r="A243" s="206">
        <v>30519</v>
      </c>
      <c r="B243" s="207">
        <f t="shared" si="235"/>
        <v>3648</v>
      </c>
      <c r="C243" s="207">
        <f t="shared" si="236"/>
        <v>364</v>
      </c>
      <c r="D243" s="207">
        <f t="shared" si="237"/>
        <v>1368</v>
      </c>
      <c r="E243" s="207">
        <f t="shared" si="238"/>
        <v>1368</v>
      </c>
      <c r="F243" s="206">
        <v>30519</v>
      </c>
      <c r="G243" s="207">
        <f t="shared" si="239"/>
        <v>3648</v>
      </c>
      <c r="H243" s="207">
        <f t="shared" si="240"/>
        <v>194</v>
      </c>
      <c r="I243" s="207">
        <f t="shared" si="241"/>
        <v>1498</v>
      </c>
      <c r="J243" s="207">
        <f t="shared" si="242"/>
        <v>1368</v>
      </c>
      <c r="K243" s="206">
        <v>30519</v>
      </c>
      <c r="L243" s="207">
        <f t="shared" si="243"/>
        <v>3648</v>
      </c>
      <c r="M243" s="207">
        <f t="shared" si="244"/>
        <v>364</v>
      </c>
      <c r="N243" s="207">
        <f t="shared" si="245"/>
        <v>1368</v>
      </c>
      <c r="O243" s="207">
        <f t="shared" si="246"/>
        <v>1368</v>
      </c>
      <c r="P243" s="206">
        <v>30519</v>
      </c>
      <c r="Q243" s="207">
        <f t="shared" si="247"/>
        <v>3937</v>
      </c>
      <c r="R243" s="207">
        <f t="shared" si="248"/>
        <v>338</v>
      </c>
      <c r="S243" s="207">
        <f t="shared" si="249"/>
        <v>1303</v>
      </c>
      <c r="T243" s="207">
        <f t="shared" si="250"/>
        <v>1642</v>
      </c>
      <c r="U243" s="206">
        <v>30519</v>
      </c>
      <c r="V243" s="207">
        <f t="shared" si="251"/>
        <v>3648</v>
      </c>
      <c r="W243" s="207">
        <f t="shared" si="252"/>
        <v>734</v>
      </c>
      <c r="X243" s="207">
        <f t="shared" si="253"/>
        <v>1629</v>
      </c>
      <c r="Y243" s="207">
        <f t="shared" si="254"/>
        <v>1368</v>
      </c>
      <c r="Z243" s="206">
        <v>30519</v>
      </c>
      <c r="AA243" s="207">
        <f t="shared" si="255"/>
        <v>4463</v>
      </c>
      <c r="AB243" s="207">
        <f t="shared" si="256"/>
        <v>1222</v>
      </c>
      <c r="AC243" s="207">
        <f t="shared" si="257"/>
        <v>1303</v>
      </c>
      <c r="AD243" s="207">
        <f t="shared" si="258"/>
        <v>1915</v>
      </c>
      <c r="AE243" s="206">
        <v>30519</v>
      </c>
      <c r="AF243" s="207">
        <f t="shared" si="259"/>
        <v>3937</v>
      </c>
      <c r="AG243" s="207">
        <f t="shared" si="260"/>
        <v>406</v>
      </c>
      <c r="AH243" s="207">
        <f t="shared" si="261"/>
        <v>1498</v>
      </c>
      <c r="AI243" s="207">
        <f t="shared" si="262"/>
        <v>1642</v>
      </c>
    </row>
    <row r="244" spans="1:35" x14ac:dyDescent="0.15">
      <c r="A244" s="206">
        <v>30520</v>
      </c>
      <c r="B244" s="207">
        <f t="shared" si="235"/>
        <v>3752</v>
      </c>
      <c r="C244" s="207">
        <f t="shared" si="236"/>
        <v>374</v>
      </c>
      <c r="D244" s="207">
        <f t="shared" si="237"/>
        <v>1407</v>
      </c>
      <c r="E244" s="207">
        <f t="shared" si="238"/>
        <v>1407</v>
      </c>
      <c r="F244" s="206">
        <v>30520</v>
      </c>
      <c r="G244" s="207">
        <f t="shared" si="239"/>
        <v>3752</v>
      </c>
      <c r="H244" s="207">
        <f t="shared" si="240"/>
        <v>199</v>
      </c>
      <c r="I244" s="207">
        <f t="shared" si="241"/>
        <v>1541</v>
      </c>
      <c r="J244" s="207">
        <f t="shared" si="242"/>
        <v>1407</v>
      </c>
      <c r="K244" s="206">
        <v>30520</v>
      </c>
      <c r="L244" s="207">
        <f t="shared" si="243"/>
        <v>3752</v>
      </c>
      <c r="M244" s="207">
        <f t="shared" si="244"/>
        <v>374</v>
      </c>
      <c r="N244" s="207">
        <f t="shared" si="245"/>
        <v>1407</v>
      </c>
      <c r="O244" s="207">
        <f t="shared" si="246"/>
        <v>1407</v>
      </c>
      <c r="P244" s="206">
        <v>30520</v>
      </c>
      <c r="Q244" s="207">
        <f t="shared" si="247"/>
        <v>4050</v>
      </c>
      <c r="R244" s="207">
        <f t="shared" si="248"/>
        <v>348</v>
      </c>
      <c r="S244" s="207">
        <f t="shared" si="249"/>
        <v>1340</v>
      </c>
      <c r="T244" s="207">
        <f t="shared" si="250"/>
        <v>1688</v>
      </c>
      <c r="U244" s="206">
        <v>30520</v>
      </c>
      <c r="V244" s="207">
        <f t="shared" si="251"/>
        <v>3752</v>
      </c>
      <c r="W244" s="207">
        <f t="shared" si="252"/>
        <v>755</v>
      </c>
      <c r="X244" s="207">
        <f t="shared" si="253"/>
        <v>1675</v>
      </c>
      <c r="Y244" s="207">
        <f t="shared" si="254"/>
        <v>1407</v>
      </c>
      <c r="Z244" s="206">
        <v>30520</v>
      </c>
      <c r="AA244" s="207">
        <f t="shared" si="255"/>
        <v>4590</v>
      </c>
      <c r="AB244" s="207">
        <f t="shared" si="256"/>
        <v>1257</v>
      </c>
      <c r="AC244" s="207">
        <f t="shared" si="257"/>
        <v>1340</v>
      </c>
      <c r="AD244" s="207">
        <f t="shared" si="258"/>
        <v>1970</v>
      </c>
      <c r="AE244" s="206">
        <v>30520</v>
      </c>
      <c r="AF244" s="207">
        <f t="shared" si="259"/>
        <v>4050</v>
      </c>
      <c r="AG244" s="207">
        <f t="shared" si="260"/>
        <v>417</v>
      </c>
      <c r="AH244" s="207">
        <f t="shared" si="261"/>
        <v>1541</v>
      </c>
      <c r="AI244" s="207">
        <f t="shared" si="262"/>
        <v>1688</v>
      </c>
    </row>
    <row r="245" spans="1:35" x14ac:dyDescent="0.15">
      <c r="A245" s="206">
        <v>30521</v>
      </c>
      <c r="B245" s="207">
        <f t="shared" si="235"/>
        <v>3856</v>
      </c>
      <c r="C245" s="207">
        <f t="shared" si="236"/>
        <v>384</v>
      </c>
      <c r="D245" s="207">
        <f t="shared" si="237"/>
        <v>1446</v>
      </c>
      <c r="E245" s="207">
        <f t="shared" si="238"/>
        <v>1446</v>
      </c>
      <c r="F245" s="206">
        <v>30521</v>
      </c>
      <c r="G245" s="207">
        <f t="shared" si="239"/>
        <v>3856</v>
      </c>
      <c r="H245" s="207">
        <f t="shared" si="240"/>
        <v>205</v>
      </c>
      <c r="I245" s="207">
        <f t="shared" si="241"/>
        <v>1584</v>
      </c>
      <c r="J245" s="207">
        <f t="shared" si="242"/>
        <v>1446</v>
      </c>
      <c r="K245" s="206">
        <v>30521</v>
      </c>
      <c r="L245" s="207">
        <f t="shared" si="243"/>
        <v>3856</v>
      </c>
      <c r="M245" s="207">
        <f t="shared" si="244"/>
        <v>384</v>
      </c>
      <c r="N245" s="207">
        <f t="shared" si="245"/>
        <v>1446</v>
      </c>
      <c r="O245" s="207">
        <f t="shared" si="246"/>
        <v>1446</v>
      </c>
      <c r="P245" s="206">
        <v>30521</v>
      </c>
      <c r="Q245" s="207">
        <f t="shared" si="247"/>
        <v>4162</v>
      </c>
      <c r="R245" s="207">
        <f t="shared" si="248"/>
        <v>358</v>
      </c>
      <c r="S245" s="207">
        <f t="shared" si="249"/>
        <v>1377</v>
      </c>
      <c r="T245" s="207">
        <f t="shared" si="250"/>
        <v>1735</v>
      </c>
      <c r="U245" s="206">
        <v>30521</v>
      </c>
      <c r="V245" s="207">
        <f t="shared" si="251"/>
        <v>3856</v>
      </c>
      <c r="W245" s="207">
        <f t="shared" si="252"/>
        <v>776</v>
      </c>
      <c r="X245" s="207">
        <f t="shared" si="253"/>
        <v>1721</v>
      </c>
      <c r="Y245" s="207">
        <f t="shared" si="254"/>
        <v>1446</v>
      </c>
      <c r="Z245" s="206">
        <v>30521</v>
      </c>
      <c r="AA245" s="207">
        <f t="shared" si="255"/>
        <v>4717</v>
      </c>
      <c r="AB245" s="207">
        <f t="shared" si="256"/>
        <v>1292</v>
      </c>
      <c r="AC245" s="207">
        <f t="shared" si="257"/>
        <v>1377</v>
      </c>
      <c r="AD245" s="207">
        <f t="shared" si="258"/>
        <v>2024</v>
      </c>
      <c r="AE245" s="206">
        <v>30521</v>
      </c>
      <c r="AF245" s="207">
        <f t="shared" si="259"/>
        <v>4162</v>
      </c>
      <c r="AG245" s="207">
        <f t="shared" si="260"/>
        <v>429</v>
      </c>
      <c r="AH245" s="207">
        <f t="shared" si="261"/>
        <v>1584</v>
      </c>
      <c r="AI245" s="207">
        <f t="shared" si="262"/>
        <v>1735</v>
      </c>
    </row>
  </sheetData>
  <mergeCells count="14">
    <mergeCell ref="DR2:EO2"/>
    <mergeCell ref="EP2:FM2"/>
    <mergeCell ref="A79:E79"/>
    <mergeCell ref="F79:J79"/>
    <mergeCell ref="K79:O79"/>
    <mergeCell ref="P79:T79"/>
    <mergeCell ref="U79:Y79"/>
    <mergeCell ref="Z79:AD79"/>
    <mergeCell ref="AE79:AI79"/>
    <mergeCell ref="B2:Y2"/>
    <mergeCell ref="Z2:AW2"/>
    <mergeCell ref="AX2:BU2"/>
    <mergeCell ref="BV2:CS2"/>
    <mergeCell ref="CT2:DQ2"/>
  </mergeCells>
  <phoneticPr fontId="34" type="noConversion"/>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FK237"/>
  <sheetViews>
    <sheetView topLeftCell="A67" workbookViewId="0">
      <selection activeCell="I101" sqref="I101"/>
    </sheetView>
  </sheetViews>
  <sheetFormatPr defaultColWidth="9" defaultRowHeight="13.5" x14ac:dyDescent="0.15"/>
  <cols>
    <col min="1" max="1" width="12.625" style="50" customWidth="1"/>
    <col min="2" max="2" width="11" style="50" customWidth="1"/>
    <col min="3" max="3" width="12.375" style="50" customWidth="1"/>
    <col min="4" max="167" width="12.625" style="50" customWidth="1"/>
    <col min="168" max="16384" width="9" style="50"/>
  </cols>
  <sheetData>
    <row r="3" spans="1:39" x14ac:dyDescent="0.15">
      <c r="B3" s="164" t="s">
        <v>877</v>
      </c>
      <c r="C3" s="165" t="s">
        <v>878</v>
      </c>
    </row>
    <row r="4" spans="1:39" x14ac:dyDescent="0.15">
      <c r="B4" s="166" t="s">
        <v>72</v>
      </c>
      <c r="C4" s="167" t="s">
        <v>72</v>
      </c>
    </row>
    <row r="5" spans="1:39" x14ac:dyDescent="0.15">
      <c r="B5" s="168" t="s">
        <v>79</v>
      </c>
      <c r="C5" s="168" t="s">
        <v>79</v>
      </c>
    </row>
    <row r="7" spans="1:39" x14ac:dyDescent="0.15">
      <c r="B7" s="277" t="s">
        <v>879</v>
      </c>
      <c r="C7" s="277"/>
      <c r="D7" s="277"/>
      <c r="E7" s="277"/>
    </row>
    <row r="8" spans="1:39" x14ac:dyDescent="0.15">
      <c r="B8" s="277" t="s">
        <v>880</v>
      </c>
      <c r="C8" s="277"/>
      <c r="D8" s="277"/>
      <c r="E8" s="277"/>
      <c r="F8" s="277"/>
    </row>
    <row r="9" spans="1:39" x14ac:dyDescent="0.15">
      <c r="B9" s="277" t="s">
        <v>881</v>
      </c>
      <c r="C9" s="277"/>
      <c r="D9" s="277"/>
      <c r="E9" s="277"/>
    </row>
    <row r="12" spans="1:39" x14ac:dyDescent="0.15">
      <c r="A12" s="275" t="s">
        <v>882</v>
      </c>
      <c r="B12" s="276"/>
      <c r="C12" s="169" t="str">
        <f>"T"&amp;LEFT(RIGHT(C13,3),1)&amp;""&amp;IF(LEFT(C13,1)="1","低品质",IF(LEFT(C13,1)="2","中品质","高品质"))&amp;""</f>
        <v>T1低品质</v>
      </c>
      <c r="D12" s="169" t="str">
        <f t="shared" ref="D12:M12" si="0">"T"&amp;LEFT(RIGHT(D13,3),1)&amp;""&amp;IF(LEFT(D13,1)="1","低品质",IF(LEFT(D13,1)="2","中品质","高品质"))&amp;""</f>
        <v>T2低品质</v>
      </c>
      <c r="E12" s="169" t="str">
        <f t="shared" si="0"/>
        <v>T3低品质</v>
      </c>
      <c r="F12" s="169" t="str">
        <f t="shared" si="0"/>
        <v>T4低品质</v>
      </c>
      <c r="G12" s="169" t="str">
        <f t="shared" si="0"/>
        <v>T2中品质</v>
      </c>
      <c r="H12" s="169" t="str">
        <f t="shared" si="0"/>
        <v>T3中品质</v>
      </c>
      <c r="I12" s="169" t="str">
        <f t="shared" si="0"/>
        <v>T4中品质</v>
      </c>
      <c r="J12" s="169" t="str">
        <f t="shared" si="0"/>
        <v>T5中品质</v>
      </c>
      <c r="K12" s="169" t="str">
        <f t="shared" si="0"/>
        <v>T3高品质</v>
      </c>
      <c r="L12" s="169" t="str">
        <f t="shared" si="0"/>
        <v>T4高品质</v>
      </c>
      <c r="M12" s="169" t="str">
        <f t="shared" si="0"/>
        <v>T5高品质</v>
      </c>
      <c r="P12" s="174" t="s">
        <v>882</v>
      </c>
      <c r="Q12" s="176"/>
      <c r="R12" s="177" t="str">
        <f>"T"&amp;LEFT(RIGHT(R13,3),1)&amp;""&amp;IF(LEFT(R13,1)="1","低",IF(LEFT(R13,1)="2","中","高"))&amp;"初"</f>
        <v>T1低初</v>
      </c>
      <c r="S12" s="177" t="str">
        <f>"T"&amp;LEFT(RIGHT(S13,3),1)&amp;""&amp;IF(LEFT(S13,1)="1","低",IF(LEFT(S13,1)="2","中","高"))&amp;"满"</f>
        <v>T1低满</v>
      </c>
      <c r="T12" s="169" t="str">
        <f>"T"&amp;LEFT(RIGHT(T13,3),1)&amp;""&amp;IF(LEFT(T13,1)="1","低",IF(LEFT(T13,1)="2","中","高"))&amp;"初"</f>
        <v>T2低初</v>
      </c>
      <c r="U12" s="169" t="str">
        <f>"T"&amp;LEFT(RIGHT(U13,3),1)&amp;""&amp;IF(LEFT(U13,1)="1","低",IF(LEFT(U13,1)="2","中","高"))&amp;"满"</f>
        <v>T2低满</v>
      </c>
      <c r="V12" s="177" t="str">
        <f>"T"&amp;LEFT(RIGHT(V13,3),1)&amp;""&amp;IF(LEFT(V13,1)="1","低",IF(LEFT(V13,1)="2","中","高"))&amp;"初"</f>
        <v>T3低初</v>
      </c>
      <c r="W12" s="177" t="str">
        <f>"T"&amp;LEFT(RIGHT(W13,3),1)&amp;""&amp;IF(LEFT(W13,1)="1","低",IF(LEFT(W13,1)="2","中","高"))&amp;"满"</f>
        <v>T3低满</v>
      </c>
      <c r="X12" s="169" t="str">
        <f>"T"&amp;LEFT(RIGHT(X13,3),1)&amp;""&amp;IF(LEFT(X13,1)="1","低",IF(LEFT(X13,1)="2","中","高"))&amp;"初"</f>
        <v>T4低初</v>
      </c>
      <c r="Y12" s="169" t="str">
        <f>"T"&amp;LEFT(RIGHT(Y13,3),1)&amp;""&amp;IF(LEFT(Y13,1)="1","低",IF(LEFT(Y13,1)="2","中","高"))&amp;"满"</f>
        <v>T4低满</v>
      </c>
      <c r="Z12" s="177" t="str">
        <f>"T"&amp;LEFT(RIGHT(Z13,3),1)&amp;""&amp;IF(LEFT(Z13,1)="1","低",IF(LEFT(Z13,1)="2","中","高"))&amp;"初"</f>
        <v>T2中初</v>
      </c>
      <c r="AA12" s="177" t="str">
        <f>"T"&amp;LEFT(RIGHT(AA13,3),1)&amp;""&amp;IF(LEFT(AA13,1)="1","低",IF(LEFT(AA13,1)="2","中","高"))&amp;"满"</f>
        <v>T2中满</v>
      </c>
      <c r="AB12" s="169" t="str">
        <f>"T"&amp;LEFT(RIGHT(AB13,3),1)&amp;""&amp;IF(LEFT(AB13,1)="1","低",IF(LEFT(AB13,1)="2","中","高"))&amp;"初"</f>
        <v>T3中初</v>
      </c>
      <c r="AC12" s="169" t="str">
        <f>"T"&amp;LEFT(RIGHT(AC13,3),1)&amp;""&amp;IF(LEFT(AC13,1)="1","低",IF(LEFT(AC13,1)="2","中","高"))&amp;"满"</f>
        <v>T3中满</v>
      </c>
      <c r="AD12" s="177" t="str">
        <f>"T"&amp;LEFT(RIGHT(AD13,3),1)&amp;""&amp;IF(LEFT(AD13,1)="1","低",IF(LEFT(AD13,1)="2","中","高"))&amp;"初"</f>
        <v>T4中初</v>
      </c>
      <c r="AE12" s="177" t="str">
        <f>"T"&amp;LEFT(RIGHT(AE13,3),1)&amp;""&amp;IF(LEFT(AE13,1)="1","低",IF(LEFT(AE13,1)="2","中","高"))&amp;"满"</f>
        <v>T4中满</v>
      </c>
      <c r="AF12" s="169" t="str">
        <f>"T"&amp;LEFT(RIGHT(AF13,3),1)&amp;""&amp;IF(LEFT(AF13,1)="1","低",IF(LEFT(AF13,1)="2","中","高"))&amp;"初"</f>
        <v>T5中初</v>
      </c>
      <c r="AG12" s="169" t="str">
        <f>"T"&amp;LEFT(RIGHT(AG13,3),1)&amp;""&amp;IF(LEFT(AG13,1)="1","低",IF(LEFT(AG13,1)="2","中","高"))&amp;"满"</f>
        <v>T5中满</v>
      </c>
      <c r="AH12" s="177" t="str">
        <f>"T"&amp;LEFT(RIGHT(AH13,3),1)&amp;""&amp;IF(LEFT(AH13,1)="1","低",IF(LEFT(AH13,1)="2","中","高"))&amp;"初"</f>
        <v>T3高初</v>
      </c>
      <c r="AI12" s="177" t="str">
        <f>"T"&amp;LEFT(RIGHT(AI13,3),1)&amp;""&amp;IF(LEFT(AI13,1)="1","低",IF(LEFT(AI13,1)="2","中","高"))&amp;"满"</f>
        <v>T3高满</v>
      </c>
      <c r="AJ12" s="169" t="str">
        <f>"T"&amp;LEFT(RIGHT(AJ13,3),1)&amp;""&amp;IF(LEFT(AJ13,1)="1","低",IF(LEFT(AJ13,1)="2","中","高"))&amp;"初"</f>
        <v>T4高初</v>
      </c>
      <c r="AK12" s="169" t="str">
        <f>"T"&amp;LEFT(RIGHT(AK13,3),1)&amp;""&amp;IF(LEFT(AK13,1)="1","低",IF(LEFT(AK13,1)="2","中","高"))&amp;"满"</f>
        <v>T4高满</v>
      </c>
      <c r="AL12" s="177" t="str">
        <f>"T"&amp;LEFT(RIGHT(AL13,3),1)&amp;""&amp;IF(LEFT(AL13,1)="1","低",IF(LEFT(AL13,1)="2","中","高"))&amp;"初"</f>
        <v>T5高初</v>
      </c>
      <c r="AM12" s="177" t="str">
        <f>"T"&amp;LEFT(RIGHT(AM13,3),1)&amp;""&amp;IF(LEFT(AM13,1)="1","低",IF(LEFT(AM13,1)="2","中","高"))&amp;"满"</f>
        <v>T5高满</v>
      </c>
    </row>
    <row r="13" spans="1:39" x14ac:dyDescent="0.15">
      <c r="A13" s="275" t="s">
        <v>883</v>
      </c>
      <c r="B13" s="276"/>
      <c r="C13" s="170">
        <v>10101</v>
      </c>
      <c r="D13" s="170">
        <v>10201</v>
      </c>
      <c r="E13" s="170">
        <v>10301</v>
      </c>
      <c r="F13" s="170">
        <v>10401</v>
      </c>
      <c r="G13" s="170">
        <v>20201</v>
      </c>
      <c r="H13" s="170">
        <v>20301</v>
      </c>
      <c r="I13" s="170">
        <v>20401</v>
      </c>
      <c r="J13" s="170">
        <v>20501</v>
      </c>
      <c r="K13" s="170">
        <v>30301</v>
      </c>
      <c r="L13" s="170">
        <v>30401</v>
      </c>
      <c r="M13" s="170">
        <v>30501</v>
      </c>
      <c r="P13" s="174" t="s">
        <v>884</v>
      </c>
      <c r="Q13" s="176"/>
      <c r="R13" s="178">
        <v>10101</v>
      </c>
      <c r="S13" s="178">
        <v>10105</v>
      </c>
      <c r="T13" s="170">
        <v>10201</v>
      </c>
      <c r="U13" s="170">
        <v>10207</v>
      </c>
      <c r="V13" s="178">
        <v>10301</v>
      </c>
      <c r="W13" s="178">
        <v>10309</v>
      </c>
      <c r="X13" s="170">
        <v>10401</v>
      </c>
      <c r="Y13" s="170">
        <v>10411</v>
      </c>
      <c r="Z13" s="178">
        <v>20201</v>
      </c>
      <c r="AA13" s="178">
        <v>20212</v>
      </c>
      <c r="AB13" s="170">
        <v>20301</v>
      </c>
      <c r="AC13" s="170">
        <v>20315</v>
      </c>
      <c r="AD13" s="178">
        <v>20401</v>
      </c>
      <c r="AE13" s="178">
        <v>20418</v>
      </c>
      <c r="AF13" s="170">
        <v>20501</v>
      </c>
      <c r="AG13" s="170">
        <v>20521</v>
      </c>
      <c r="AH13" s="178">
        <v>30301</v>
      </c>
      <c r="AI13" s="178">
        <v>30315</v>
      </c>
      <c r="AJ13" s="170">
        <v>30401</v>
      </c>
      <c r="AK13" s="170">
        <v>30418</v>
      </c>
      <c r="AL13" s="178">
        <v>30501</v>
      </c>
      <c r="AM13" s="178">
        <v>30521</v>
      </c>
    </row>
    <row r="14" spans="1:39" x14ac:dyDescent="0.15">
      <c r="A14" s="171" t="str">
        <f>"T"&amp;LEFT(RIGHT(B14,3),1)&amp;""&amp;IF(LEFT(B14,1)="1","低品质",IF(LEFT(B14,1)="2","中品质","高品质"))&amp;""</f>
        <v>T1低品质</v>
      </c>
      <c r="B14" s="172">
        <v>10101</v>
      </c>
      <c r="C14" s="173">
        <f ca="1">(VLOOKUP(C$13,INDIRECT($C$5&amp;"生成成长"),2))/((VLOOKUP($B14,INDIRECT($B$5&amp;"生成成长"),4))/(VLOOKUP(C$13,INDIRECT($C$5&amp;"生成成长"),5))*(VLOOKUP($B$5,标准坦克设计!$B$24:$U$30,MATCH("对"&amp;LEFT($C$5,2)&amp;"输出",标准坦克设计!$B$23:$U$23,0)))*(VLOOKUP($B14,INDIRECT($B$5&amp;"生成成长"),3))*(VLOOKUP($B$5,标准坦克设计!$B$14:$K$20,9)/30))</f>
        <v>9.0406969250443243</v>
      </c>
      <c r="D14" s="173">
        <f ca="1">(VLOOKUP(D$13,INDIRECT($C$5&amp;"生成成长"),2))/((VLOOKUP($B14,INDIRECT($B$5&amp;"生成成长"),4))/(VLOOKUP(D$13,INDIRECT($C$5&amp;"生成成长"),5))*(VLOOKUP($B$5,标准坦克设计!$B$24:$U$30,MATCH("对"&amp;LEFT($C$5,2)&amp;"输出",标准坦克设计!$B$23:$U$23,0)))*(VLOOKUP($B14,INDIRECT($B$5&amp;"生成成长"),3))*(VLOOKUP($B$5,标准坦克设计!$B$14:$K$20,9)/30))</f>
        <v>12.165161782339645</v>
      </c>
      <c r="E14" s="173">
        <f ca="1">(VLOOKUP(E$13,INDIRECT($C$5&amp;"生成成长"),2))/((VLOOKUP($B14,INDIRECT($B$5&amp;"生成成长"),4))/(VLOOKUP(E$13,INDIRECT($C$5&amp;"生成成长"),5))*(VLOOKUP($B$5,标准坦克设计!$B$24:$U$30,MATCH("对"&amp;LEFT($C$5,2)&amp;"输出",标准坦克设计!$B$23:$U$23,0)))*(VLOOKUP($B14,INDIRECT($B$5&amp;"生成成长"),3))*(VLOOKUP($B$5,标准坦克设计!$B$14:$K$20,9)/30))</f>
        <v>18.487321142023141</v>
      </c>
      <c r="F14" s="173">
        <f ca="1">(VLOOKUP(F$13,INDIRECT($C$5&amp;"生成成长"),2))/((VLOOKUP($B14,INDIRECT($B$5&amp;"生成成长"),4))/(VLOOKUP(F$13,INDIRECT($C$5&amp;"生成成长"),5))*(VLOOKUP($B$5,标准坦克设计!$B$24:$U$30,MATCH("对"&amp;LEFT($C$5,2)&amp;"输出",标准坦克设计!$B$23:$U$23,0)))*(VLOOKUP($B14,INDIRECT($B$5&amp;"生成成长"),3))*(VLOOKUP($B$5,标准坦克设计!$B$14:$K$20,9)/30))</f>
        <v>30.276389932280939</v>
      </c>
      <c r="G14" s="173">
        <f ca="1">(VLOOKUP(G$13,INDIRECT($C$5&amp;"生成成长"),2))/((VLOOKUP($B14,INDIRECT($B$5&amp;"生成成长"),4))/(VLOOKUP(G$13,INDIRECT($C$5&amp;"生成成长"),5))*(VLOOKUP($B$5,标准坦克设计!$B$24:$U$30,MATCH("对"&amp;LEFT($C$5,2)&amp;"输出",标准坦克设计!$B$23:$U$23,0)))*(VLOOKUP($B14,INDIRECT($B$5&amp;"生成成长"),3))*(VLOOKUP($B$5,标准坦克设计!$B$14:$K$20,9)/30))</f>
        <v>12.588266398431719</v>
      </c>
      <c r="H14" s="173">
        <f ca="1">(VLOOKUP(H$13,INDIRECT($C$5&amp;"生成成长"),2))/((VLOOKUP($B14,INDIRECT($B$5&amp;"生成成长"),4))/(VLOOKUP(H$13,INDIRECT($C$5&amp;"生成成长"),5))*(VLOOKUP($B$5,标准坦克设计!$B$24:$U$30,MATCH("对"&amp;LEFT($C$5,2)&amp;"输出",标准坦克设计!$B$23:$U$23,0)))*(VLOOKUP($B14,INDIRECT($B$5&amp;"生成成长"),3))*(VLOOKUP($B$5,标准坦克设计!$B$14:$K$20,9)/30))</f>
        <v>19.271149565424484</v>
      </c>
      <c r="I14" s="173">
        <f ca="1">(VLOOKUP(I$13,INDIRECT($C$5&amp;"生成成长"),2))/((VLOOKUP($B14,INDIRECT($B$5&amp;"生成成长"),4))/(VLOOKUP(I$13,INDIRECT($C$5&amp;"生成成长"),5))*(VLOOKUP($B$5,标准坦克设计!$B$24:$U$30,MATCH("对"&amp;LEFT($C$5,2)&amp;"输出",标准坦克设计!$B$23:$U$23,0)))*(VLOOKUP($B14,INDIRECT($B$5&amp;"生成成长"),3))*(VLOOKUP($B$5,标准坦克设计!$B$14:$K$20,9)/30))</f>
        <v>31.6144130771875</v>
      </c>
      <c r="J14" s="173">
        <f ca="1">(VLOOKUP(J$13,INDIRECT($C$5&amp;"生成成长"),2))/((VLOOKUP($B14,INDIRECT($B$5&amp;"生成成长"),4))/(VLOOKUP(J$13,INDIRECT($C$5&amp;"生成成长"),5))*(VLOOKUP($B$5,标准坦克设计!$B$24:$U$30,MATCH("对"&amp;LEFT($C$5,2)&amp;"输出",标准坦克设计!$B$23:$U$23,0)))*(VLOOKUP($B14,INDIRECT($B$5&amp;"生成成长"),3))*(VLOOKUP($B$5,标准坦克设计!$B$14:$K$20,9)/30))</f>
        <v>53.38441127269423</v>
      </c>
      <c r="K14" s="173">
        <f ca="1">(VLOOKUP(K$13,INDIRECT($C$5&amp;"生成成长"),2))/((VLOOKUP($B14,INDIRECT($B$5&amp;"生成成长"),4))/(VLOOKUP(K$13,INDIRECT($C$5&amp;"生成成长"),5))*(VLOOKUP($B$5,标准坦克设计!$B$24:$U$30,MATCH("对"&amp;LEFT($C$5,2)&amp;"输出",标准坦克设计!$B$23:$U$23,0)))*(VLOOKUP($B14,INDIRECT($B$5&amp;"生成成长"),3))*(VLOOKUP($B$5,标准坦克设计!$B$14:$K$20,9)/30))</f>
        <v>20.071251243290909</v>
      </c>
      <c r="L14" s="173">
        <f ca="1">(VLOOKUP(L$13,INDIRECT($C$5&amp;"生成成长"),2))/((VLOOKUP($B14,INDIRECT($B$5&amp;"生成成长"),4))/(VLOOKUP(L$13,INDIRECT($C$5&amp;"生成成长"),5))*(VLOOKUP($B$5,标准坦克设计!$B$24:$U$30,MATCH("对"&amp;LEFT($C$5,2)&amp;"输出",标准坦克设计!$B$23:$U$23,0)))*(VLOOKUP($B14,INDIRECT($B$5&amp;"生成成长"),3))*(VLOOKUP($B$5,标准坦克设计!$B$14:$K$20,9)/30))</f>
        <v>32.981366452254207</v>
      </c>
      <c r="M14" s="173">
        <f ca="1">(VLOOKUP(M$13,INDIRECT($C$5&amp;"生成成长"),2))/((VLOOKUP($B14,INDIRECT($B$5&amp;"生成成长"),4))/(VLOOKUP(M$13,INDIRECT($C$5&amp;"生成成长"),5))*(VLOOKUP($B$5,标准坦克设计!$B$24:$U$30,MATCH("对"&amp;LEFT($C$5,2)&amp;"输出",标准坦克设计!$B$23:$U$23,0)))*(VLOOKUP($B14,INDIRECT($B$5&amp;"生成成长"),3))*(VLOOKUP($B$5,标准坦克设计!$B$14:$K$20,9)/30))</f>
        <v>55.603902367792621</v>
      </c>
      <c r="P14" s="171" t="str">
        <f>"T"&amp;LEFT(RIGHT(Q14,3),1)&amp;""&amp;IF(LEFT(Q14,1)="1","低",IF(LEFT(Q14,1)="2","中","高"))&amp;"初"</f>
        <v>T1低初</v>
      </c>
      <c r="Q14" s="172">
        <v>10101</v>
      </c>
      <c r="R14" s="173">
        <f ca="1">(VLOOKUP(R$13,INDIRECT($C$5&amp;"生成成长"),2))/((VLOOKUP($Q14,INDIRECT($B$5&amp;"生成成长"),4))/(VLOOKUP(R$13,INDIRECT($C$5&amp;"生成成长"),5))*(VLOOKUP($B$5,标准坦克设计!$B$24:$U$30,MATCH("对"&amp;LEFT($C$5,2)&amp;"输出",标准坦克设计!$B$23:$U$23,0)))*(VLOOKUP($Q14,INDIRECT($B$5&amp;"生成成长"),3))*(VLOOKUP($B$5,标准坦克设计!$B$14:$K$20,9)/30))</f>
        <v>9.0406969250443243</v>
      </c>
      <c r="S14" s="173">
        <f ca="1">(VLOOKUP(S$13,INDIRECT($C$5&amp;"生成成长"),2))/((VLOOKUP($Q14,INDIRECT($B$5&amp;"生成成长"),4))/(VLOOKUP(S$13,INDIRECT($C$5&amp;"生成成长"),5))*(VLOOKUP($B$5,标准坦克设计!$B$24:$U$30,MATCH("对"&amp;LEFT($C$5,2)&amp;"输出",标准坦克设计!$B$23:$U$23,0)))*(VLOOKUP($Q14,INDIRECT($B$5&amp;"生成成长"),3))*(VLOOKUP($B$5,标准坦克设计!$B$14:$K$20,9)/30))</f>
        <v>13.900975591948155</v>
      </c>
      <c r="T14" s="173">
        <f ca="1">(VLOOKUP(T$13,INDIRECT($C$5&amp;"生成成长"),2))/((VLOOKUP($Q14,INDIRECT($B$5&amp;"生成成长"),4))/(VLOOKUP(T$13,INDIRECT($C$5&amp;"生成成长"),5))*(VLOOKUP($B$5,标准坦克设计!$B$24:$U$30,MATCH("对"&amp;LEFT($C$5,2)&amp;"输出",标准坦克设计!$B$23:$U$23,0)))*(VLOOKUP($Q14,INDIRECT($B$5&amp;"生成成长"),3))*(VLOOKUP($B$5,标准坦克设计!$B$14:$K$20,9)/30))</f>
        <v>12.165161782339645</v>
      </c>
      <c r="U14" s="173">
        <f ca="1">(VLOOKUP(U$13,INDIRECT($C$5&amp;"生成成长"),2))/((VLOOKUP($Q14,INDIRECT($B$5&amp;"生成成长"),4))/(VLOOKUP(U$13,INDIRECT($C$5&amp;"生成成长"),5))*(VLOOKUP($B$5,标准坦克设计!$B$24:$U$30,MATCH("对"&amp;LEFT($C$5,2)&amp;"输出",标准坦克设计!$B$23:$U$23,0)))*(VLOOKUP($Q14,INDIRECT($B$5&amp;"生成成长"),3))*(VLOOKUP($B$5,标准坦克设计!$B$14:$K$20,9)/30))</f>
        <v>24.315858449599215</v>
      </c>
      <c r="V14" s="173">
        <f ca="1">(VLOOKUP(V$13,INDIRECT($C$5&amp;"生成成长"),2))/((VLOOKUP($Q14,INDIRECT($B$5&amp;"生成成长"),4))/(VLOOKUP(V$13,INDIRECT($C$5&amp;"生成成长"),5))*(VLOOKUP($B$5,标准坦克设计!$B$24:$U$30,MATCH("对"&amp;LEFT($C$5,2)&amp;"输出",标准坦克设计!$B$23:$U$23,0)))*(VLOOKUP($Q14,INDIRECT($B$5&amp;"生成成长"),3))*(VLOOKUP($B$5,标准坦克设计!$B$14:$K$20,9)/30))</f>
        <v>18.487321142023141</v>
      </c>
      <c r="W14" s="173">
        <f ca="1">(VLOOKUP(W$13,INDIRECT($C$5&amp;"生成成长"),2))/((VLOOKUP($Q14,INDIRECT($B$5&amp;"生成成长"),4))/(VLOOKUP(W$13,INDIRECT($C$5&amp;"生成成长"),5))*(VLOOKUP($B$5,标准坦克设计!$B$24:$U$30,MATCH("对"&amp;LEFT($C$5,2)&amp;"输出",标准坦克设计!$B$23:$U$23,0)))*(VLOOKUP($Q14,INDIRECT($B$5&amp;"生成成长"),3))*(VLOOKUP($B$5,标准坦克设计!$B$14:$K$20,9)/30))</f>
        <v>41.790621536017397</v>
      </c>
      <c r="X14" s="173">
        <f ca="1">(VLOOKUP(X$13,INDIRECT($C$5&amp;"生成成长"),2))/((VLOOKUP($Q14,INDIRECT($B$5&amp;"生成成长"),4))/(VLOOKUP(X$13,INDIRECT($C$5&amp;"生成成长"),5))*(VLOOKUP($B$5,标准坦克设计!$B$24:$U$30,MATCH("对"&amp;LEFT($C$5,2)&amp;"输出",标准坦克设计!$B$23:$U$23,0)))*(VLOOKUP($Q14,INDIRECT($B$5&amp;"生成成长"),3))*(VLOOKUP($B$5,标准坦克设计!$B$14:$K$20,9)/30))</f>
        <v>30.276389932280939</v>
      </c>
      <c r="Y14" s="173">
        <f ca="1">(VLOOKUP(Y$13,INDIRECT($C$5&amp;"生成成长"),2))/((VLOOKUP($Q14,INDIRECT($B$5&amp;"生成成长"),4))/(VLOOKUP(Y$13,INDIRECT($C$5&amp;"生成成长"),5))*(VLOOKUP($B$5,标准坦克设计!$B$24:$U$30,MATCH("对"&amp;LEFT($C$5,2)&amp;"输出",标准坦克设计!$B$23:$U$23,0)))*(VLOOKUP($Q14,INDIRECT($B$5&amp;"生成成长"),3))*(VLOOKUP($B$5,标准坦克设计!$B$14:$K$20,9)/30))</f>
        <v>72.406037602987496</v>
      </c>
      <c r="Z14" s="173">
        <f ca="1">(VLOOKUP(Z$13,INDIRECT($C$5&amp;"生成成长"),2))/((VLOOKUP($Q14,INDIRECT($B$5&amp;"生成成长"),4))/(VLOOKUP(Z$13,INDIRECT($C$5&amp;"生成成长"),5))*(VLOOKUP($B$5,标准坦克设计!$B$24:$U$30,MATCH("对"&amp;LEFT($C$5,2)&amp;"输出",标准坦克设计!$B$23:$U$23,0)))*(VLOOKUP($Q14,INDIRECT($B$5&amp;"生成成长"),3))*(VLOOKUP($B$5,标准坦克设计!$B$14:$K$20,9)/30))</f>
        <v>12.588266398431719</v>
      </c>
      <c r="AA14" s="173">
        <f ca="1">(VLOOKUP(AA$13,INDIRECT($C$5&amp;"生成成长"),2))/((VLOOKUP($Q14,INDIRECT($B$5&amp;"生成成长"),4))/(VLOOKUP(AA$13,INDIRECT($C$5&amp;"生成成长"),5))*(VLOOKUP($B$5,标准坦克设计!$B$24:$U$30,MATCH("对"&amp;LEFT($C$5,2)&amp;"输出",标准坦克设计!$B$23:$U$23,0)))*(VLOOKUP($Q14,INDIRECT($B$5&amp;"生成成长"),3))*(VLOOKUP($B$5,标准坦克设计!$B$14:$K$20,9)/30))</f>
        <v>39.869473439445471</v>
      </c>
      <c r="AB14" s="173">
        <f ca="1">(VLOOKUP(AB$13,INDIRECT($C$5&amp;"生成成长"),2))/((VLOOKUP($Q14,INDIRECT($B$5&amp;"生成成长"),4))/(VLOOKUP(AB$13,INDIRECT($C$5&amp;"生成成长"),5))*(VLOOKUP($B$5,标准坦克设计!$B$24:$U$30,MATCH("对"&amp;LEFT($C$5,2)&amp;"输出",标准坦克设计!$B$23:$U$23,0)))*(VLOOKUP($Q14,INDIRECT($B$5&amp;"生成成长"),3))*(VLOOKUP($B$5,标准坦克设计!$B$14:$K$20,9)/30))</f>
        <v>19.271149565424484</v>
      </c>
      <c r="AC14" s="173">
        <f ca="1">(VLOOKUP(AC$13,INDIRECT($C$5&amp;"生成成长"),2))/((VLOOKUP($Q14,INDIRECT($B$5&amp;"生成成长"),4))/(VLOOKUP(AC$13,INDIRECT($C$5&amp;"生成成长"),5))*(VLOOKUP($B$5,标准坦克设计!$B$24:$U$30,MATCH("对"&amp;LEFT($C$5,2)&amp;"输出",标准坦克设计!$B$23:$U$23,0)))*(VLOOKUP($Q14,INDIRECT($B$5&amp;"生成成长"),3))*(VLOOKUP($B$5,标准坦克设计!$B$14:$K$20,9)/30))</f>
        <v>69.368363436172601</v>
      </c>
      <c r="AD14" s="173">
        <f ca="1">(VLOOKUP(AD$13,INDIRECT($C$5&amp;"生成成长"),2))/((VLOOKUP($Q14,INDIRECT($B$5&amp;"生成成长"),4))/(VLOOKUP(AD$13,INDIRECT($C$5&amp;"生成成长"),5))*(VLOOKUP($B$5,标准坦克设计!$B$24:$U$30,MATCH("对"&amp;LEFT($C$5,2)&amp;"输出",标准坦克设计!$B$23:$U$23,0)))*(VLOOKUP($Q14,INDIRECT($B$5&amp;"生成成长"),3))*(VLOOKUP($B$5,标准坦克设计!$B$14:$K$20,9)/30))</f>
        <v>31.6144130771875</v>
      </c>
      <c r="AE14" s="173">
        <f ca="1">(VLOOKUP(AE$13,INDIRECT($C$5&amp;"生成成长"),2))/((VLOOKUP($Q14,INDIRECT($B$5&amp;"生成成长"),4))/(VLOOKUP(AE$13,INDIRECT($C$5&amp;"生成成长"),5))*(VLOOKUP($B$5,标准坦克设计!$B$24:$U$30,MATCH("对"&amp;LEFT($C$5,2)&amp;"输出",标准坦克设计!$B$23:$U$23,0)))*(VLOOKUP($Q14,INDIRECT($B$5&amp;"生成成长"),3))*(VLOOKUP($B$5,标准坦克设计!$B$14:$K$20,9)/30))</f>
        <v>119.12835931161656</v>
      </c>
      <c r="AF14" s="173">
        <f ca="1">(VLOOKUP(AF$13,INDIRECT($C$5&amp;"生成成长"),2))/((VLOOKUP($Q14,INDIRECT($B$5&amp;"生成成长"),4))/(VLOOKUP(AF$13,INDIRECT($C$5&amp;"生成成长"),5))*(VLOOKUP($B$5,标准坦克设计!$B$24:$U$30,MATCH("对"&amp;LEFT($C$5,2)&amp;"输出",标准坦克设计!$B$23:$U$23,0)))*(VLOOKUP($Q14,INDIRECT($B$5&amp;"生成成长"),3))*(VLOOKUP($B$5,标准坦克设计!$B$14:$K$20,9)/30))</f>
        <v>53.38441127269423</v>
      </c>
      <c r="AG14" s="173">
        <f ca="1">(VLOOKUP(AG$13,INDIRECT($C$5&amp;"生成成长"),2))/((VLOOKUP($Q14,INDIRECT($B$5&amp;"生成成长"),4))/(VLOOKUP(AG$13,INDIRECT($C$5&amp;"生成成长"),5))*(VLOOKUP($B$5,标准坦克设计!$B$24:$U$30,MATCH("对"&amp;LEFT($C$5,2)&amp;"输出",标准坦克设计!$B$23:$U$23,0)))*(VLOOKUP($Q14,INDIRECT($B$5&amp;"生成成长"),3))*(VLOOKUP($B$5,标准坦克设计!$B$14:$K$20,9)/30))</f>
        <v>199.70899507422916</v>
      </c>
      <c r="AH14" s="173">
        <f ca="1">(VLOOKUP(AH$13,INDIRECT($C$5&amp;"生成成长"),2))/((VLOOKUP($Q14,INDIRECT($B$5&amp;"生成成长"),4))/(VLOOKUP(AH$13,INDIRECT($C$5&amp;"生成成长"),5))*(VLOOKUP($B$5,标准坦克设计!$B$24:$U$30,MATCH("对"&amp;LEFT($C$5,2)&amp;"输出",标准坦克设计!$B$23:$U$23,0)))*(VLOOKUP($Q14,INDIRECT($B$5&amp;"生成成长"),3))*(VLOOKUP($B$5,标准坦克设计!$B$14:$K$20,9)/30))</f>
        <v>20.071251243290909</v>
      </c>
      <c r="AI14" s="173">
        <f ca="1">(VLOOKUP(AI$13,INDIRECT($C$5&amp;"生成成长"),2))/((VLOOKUP($Q14,INDIRECT($B$5&amp;"生成成长"),4))/(VLOOKUP(AI$13,INDIRECT($C$5&amp;"生成成长"),5))*(VLOOKUP($B$5,标准坦克设计!$B$24:$U$30,MATCH("对"&amp;LEFT($C$5,2)&amp;"输出",标准坦克设计!$B$23:$U$23,0)))*(VLOOKUP($Q14,INDIRECT($B$5&amp;"生成成长"),3))*(VLOOKUP($B$5,标准坦克设计!$B$14:$K$20,9)/30))</f>
        <v>73.433060773672537</v>
      </c>
      <c r="AJ14" s="173">
        <f ca="1">(VLOOKUP(AJ$13,INDIRECT($C$5&amp;"生成成长"),2))/((VLOOKUP($Q14,INDIRECT($B$5&amp;"生成成长"),4))/(VLOOKUP(AJ$13,INDIRECT($C$5&amp;"生成成长"),5))*(VLOOKUP($B$5,标准坦克设计!$B$24:$U$30,MATCH("对"&amp;LEFT($C$5,2)&amp;"输出",标准坦克设计!$B$23:$U$23,0)))*(VLOOKUP($Q14,INDIRECT($B$5&amp;"生成成长"),3))*(VLOOKUP($B$5,标准坦克设计!$B$14:$K$20,9)/30))</f>
        <v>32.981366452254207</v>
      </c>
      <c r="AK14" s="173">
        <f ca="1">(VLOOKUP(AK$13,INDIRECT($C$5&amp;"生成成长"),2))/((VLOOKUP($Q14,INDIRECT($B$5&amp;"生成成长"),4))/(VLOOKUP(AK$13,INDIRECT($C$5&amp;"生成成长"),5))*(VLOOKUP($B$5,标准坦克设计!$B$24:$U$30,MATCH("对"&amp;LEFT($C$5,2)&amp;"输出",标准坦克设计!$B$23:$U$23,0)))*(VLOOKUP($Q14,INDIRECT($B$5&amp;"生成成长"),3))*(VLOOKUP($B$5,标准坦克设计!$B$14:$K$20,9)/30))</f>
        <v>125.78231224844917</v>
      </c>
      <c r="AL14" s="173">
        <f ca="1">(VLOOKUP(AL$13,INDIRECT($C$5&amp;"生成成长"),2))/((VLOOKUP($Q14,INDIRECT($B$5&amp;"生成成长"),4))/(VLOOKUP(AL$13,INDIRECT($C$5&amp;"生成成长"),5))*(VLOOKUP($B$5,标准坦克设计!$B$24:$U$30,MATCH("对"&amp;LEFT($C$5,2)&amp;"输出",标准坦克设计!$B$23:$U$23,0)))*(VLOOKUP($Q14,INDIRECT($B$5&amp;"生成成长"),3))*(VLOOKUP($B$5,标准坦克设计!$B$14:$K$20,9)/30))</f>
        <v>55.603902367792621</v>
      </c>
      <c r="AM14" s="173">
        <f ca="1">(VLOOKUP(AM$13,INDIRECT($C$5&amp;"生成成长"),2))/((VLOOKUP($Q14,INDIRECT($B$5&amp;"生成成长"),4))/(VLOOKUP(AM$13,INDIRECT($C$5&amp;"生成成长"),5))*(VLOOKUP($B$5,标准坦克设计!$B$24:$U$30,MATCH("对"&amp;LEFT($C$5,2)&amp;"输出",标准坦克设计!$B$23:$U$23,0)))*(VLOOKUP($Q14,INDIRECT($B$5&amp;"生成成长"),3))*(VLOOKUP($B$5,标准坦克设计!$B$14:$K$20,9)/30))</f>
        <v>210.03708724139975</v>
      </c>
    </row>
    <row r="15" spans="1:39" x14ac:dyDescent="0.15">
      <c r="A15" s="171" t="str">
        <f t="shared" ref="A15:A25" si="1">"T"&amp;LEFT(RIGHT(B15,3),1)&amp;""&amp;IF(LEFT(B15,1)="1","低品质",IF(LEFT(B15,1)="2","中品质","高品质"))&amp;""</f>
        <v>T2低品质</v>
      </c>
      <c r="B15" s="172">
        <v>10201</v>
      </c>
      <c r="C15" s="173">
        <f ca="1">(VLOOKUP(C$13,INDIRECT($C$5&amp;"生成成长"),2))/((VLOOKUP($B15,INDIRECT($B$5&amp;"生成成长"),4))/(VLOOKUP(C$13,INDIRECT($C$5&amp;"生成成长"),5))*(VLOOKUP($B$5,标准坦克设计!$B$24:$U$30,MATCH("对"&amp;LEFT($C$5,2)&amp;"输出",标准坦克设计!$B$23:$U$23,0)))*(VLOOKUP($B15,INDIRECT($B$5&amp;"生成成长"),3))*(VLOOKUP($B$5,标准坦克设计!$B$14:$K$20,9)/30))</f>
        <v>6.7771341267198846</v>
      </c>
      <c r="D15" s="173">
        <f ca="1">(VLOOKUP(D$13,INDIRECT($C$5&amp;"生成成长"),2))/((VLOOKUP($B15,INDIRECT($B$5&amp;"生成成长"),4))/(VLOOKUP(D$13,INDIRECT($C$5&amp;"生成成长"),5))*(VLOOKUP($B$5,标准坦克设计!$B$24:$U$30,MATCH("对"&amp;LEFT($C$5,2)&amp;"输出",标准坦克设计!$B$23:$U$23,0)))*(VLOOKUP($B15,INDIRECT($B$5&amp;"生成成长"),3))*(VLOOKUP($B$5,标准坦克设计!$B$14:$K$20,9)/30))</f>
        <v>9.1193116809142758</v>
      </c>
      <c r="E15" s="173">
        <f ca="1">(VLOOKUP(E$13,INDIRECT($C$5&amp;"生成成长"),2))/((VLOOKUP($B15,INDIRECT($B$5&amp;"生成成长"),4))/(VLOOKUP(E$13,INDIRECT($C$5&amp;"生成成长"),5))*(VLOOKUP($B$5,标准坦克设计!$B$24:$U$30,MATCH("对"&amp;LEFT($C$5,2)&amp;"输出",标准坦克设计!$B$23:$U$23,0)))*(VLOOKUP($B15,INDIRECT($B$5&amp;"生成成长"),3))*(VLOOKUP($B$5,标准坦克设计!$B$14:$K$20,9)/30))</f>
        <v>13.858561575729491</v>
      </c>
      <c r="F15" s="173">
        <f ca="1">(VLOOKUP(F$13,INDIRECT($C$5&amp;"生成成长"),2))/((VLOOKUP($B15,INDIRECT($B$5&amp;"生成成长"),4))/(VLOOKUP(F$13,INDIRECT($C$5&amp;"生成成长"),5))*(VLOOKUP($B$5,标准坦克设计!$B$24:$U$30,MATCH("对"&amp;LEFT($C$5,2)&amp;"输出",标准坦克设计!$B$23:$U$23,0)))*(VLOOKUP($B15,INDIRECT($B$5&amp;"生成成长"),3))*(VLOOKUP($B$5,标准坦克设计!$B$14:$K$20,9)/30))</f>
        <v>22.695944476972219</v>
      </c>
      <c r="G15" s="173">
        <f ca="1">(VLOOKUP(G$13,INDIRECT($C$5&amp;"生成成长"),2))/((VLOOKUP($B15,INDIRECT($B$5&amp;"生成成长"),4))/(VLOOKUP(G$13,INDIRECT($C$5&amp;"生成成长"),5))*(VLOOKUP($B$5,标准坦克设计!$B$24:$U$30,MATCH("对"&amp;LEFT($C$5,2)&amp;"输出",标准坦克设计!$B$23:$U$23,0)))*(VLOOKUP($B15,INDIRECT($B$5&amp;"生成成长"),3))*(VLOOKUP($B$5,标准坦克设计!$B$14:$K$20,9)/30))</f>
        <v>9.4364815580447647</v>
      </c>
      <c r="H15" s="173">
        <f ca="1">(VLOOKUP(H$13,INDIRECT($C$5&amp;"生成成长"),2))/((VLOOKUP($B15,INDIRECT($B$5&amp;"生成成长"),4))/(VLOOKUP(H$13,INDIRECT($C$5&amp;"生成成长"),5))*(VLOOKUP($B$5,标准坦克设计!$B$24:$U$30,MATCH("对"&amp;LEFT($C$5,2)&amp;"输出",标准坦克设计!$B$23:$U$23,0)))*(VLOOKUP($B15,INDIRECT($B$5&amp;"生成成长"),3))*(VLOOKUP($B$5,标准坦克设计!$B$14:$K$20,9)/30))</f>
        <v>14.446139104516105</v>
      </c>
      <c r="I15" s="173">
        <f ca="1">(VLOOKUP(I$13,INDIRECT($C$5&amp;"生成成长"),2))/((VLOOKUP($B15,INDIRECT($B$5&amp;"生成成长"),4))/(VLOOKUP(I$13,INDIRECT($C$5&amp;"生成成长"),5))*(VLOOKUP($B$5,标准坦克设计!$B$24:$U$30,MATCH("对"&amp;LEFT($C$5,2)&amp;"输出",标准坦克设计!$B$23:$U$23,0)))*(VLOOKUP($B15,INDIRECT($B$5&amp;"生成成长"),3))*(VLOOKUP($B$5,标准坦克设计!$B$14:$K$20,9)/30))</f>
        <v>23.698960327726759</v>
      </c>
      <c r="J15" s="173">
        <f ca="1">(VLOOKUP(J$13,INDIRECT($C$5&amp;"生成成长"),2))/((VLOOKUP($B15,INDIRECT($B$5&amp;"生成成长"),4))/(VLOOKUP(J$13,INDIRECT($C$5&amp;"生成成长"),5))*(VLOOKUP($B$5,标准坦克设计!$B$24:$U$30,MATCH("对"&amp;LEFT($C$5,2)&amp;"输出",标准坦克设计!$B$23:$U$23,0)))*(VLOOKUP($B15,INDIRECT($B$5&amp;"生成成长"),3))*(VLOOKUP($B$5,标准坦克设计!$B$14:$K$20,9)/30))</f>
        <v>40.018299304868243</v>
      </c>
      <c r="K15" s="173">
        <f ca="1">(VLOOKUP(K$13,INDIRECT($C$5&amp;"生成成长"),2))/((VLOOKUP($B15,INDIRECT($B$5&amp;"生成成长"),4))/(VLOOKUP(K$13,INDIRECT($C$5&amp;"生成成长"),5))*(VLOOKUP($B$5,标准坦克设计!$B$24:$U$30,MATCH("对"&amp;LEFT($C$5,2)&amp;"输出",标准坦克设计!$B$23:$U$23,0)))*(VLOOKUP($B15,INDIRECT($B$5&amp;"生成成长"),3))*(VLOOKUP($B$5,标准坦克设计!$B$14:$K$20,9)/30))</f>
        <v>15.045915474730814</v>
      </c>
      <c r="L15" s="173">
        <f ca="1">(VLOOKUP(L$13,INDIRECT($C$5&amp;"生成成长"),2))/((VLOOKUP($B15,INDIRECT($B$5&amp;"生成成长"),4))/(VLOOKUP(L$13,INDIRECT($C$5&amp;"生成成长"),5))*(VLOOKUP($B$5,标准坦克设计!$B$24:$U$30,MATCH("对"&amp;LEFT($C$5,2)&amp;"输出",标准坦克设计!$B$23:$U$23,0)))*(VLOOKUP($B15,INDIRECT($B$5&amp;"生成成长"),3))*(VLOOKUP($B$5,标准坦克设计!$B$14:$K$20,9)/30))</f>
        <v>24.72366300768681</v>
      </c>
      <c r="M15" s="173">
        <f ca="1">(VLOOKUP(M$13,INDIRECT($C$5&amp;"生成成长"),2))/((VLOOKUP($B15,INDIRECT($B$5&amp;"生成成长"),4))/(VLOOKUP(M$13,INDIRECT($C$5&amp;"生成成长"),5))*(VLOOKUP($B$5,标准坦克设计!$B$24:$U$30,MATCH("对"&amp;LEFT($C$5,2)&amp;"输出",标准坦克设计!$B$23:$U$23,0)))*(VLOOKUP($B15,INDIRECT($B$5&amp;"生成成长"),3))*(VLOOKUP($B$5,标准坦克设计!$B$14:$K$20,9)/30))</f>
        <v>41.682085732977967</v>
      </c>
      <c r="P15" s="171" t="str">
        <f>"T"&amp;LEFT(RIGHT(Q15,3),1)&amp;""&amp;IF(LEFT(Q15,1)="1","低",IF(LEFT(Q15,1)="2","中","高"))&amp;"满"</f>
        <v>T1低满</v>
      </c>
      <c r="Q15" s="172">
        <v>10105</v>
      </c>
      <c r="R15" s="173">
        <f ca="1">(VLOOKUP(R$13,INDIRECT($C$5&amp;"生成成长"),2))/((VLOOKUP($Q15,INDIRECT($B$5&amp;"生成成长"),4))/(VLOOKUP(R$13,INDIRECT($C$5&amp;"生成成长"),5))*(VLOOKUP($B$5,标准坦克设计!$B$24:$U$30,MATCH("对"&amp;LEFT($C$5,2)&amp;"输出",标准坦克设计!$B$23:$U$23,0)))*(VLOOKUP($Q15,INDIRECT($B$5&amp;"生成成长"),3))*(VLOOKUP($B$5,标准坦克设计!$B$14:$K$20,9)/30))</f>
        <v>5.891623932906044</v>
      </c>
      <c r="S15" s="173">
        <f ca="1">(VLOOKUP(S$13,INDIRECT($C$5&amp;"生成成长"),2))/((VLOOKUP($Q15,INDIRECT($B$5&amp;"生成成长"),4))/(VLOOKUP(S$13,INDIRECT($C$5&amp;"生成成长"),5))*(VLOOKUP($B$5,标准坦克设计!$B$24:$U$30,MATCH("对"&amp;LEFT($C$5,2)&amp;"输出",标准坦克设计!$B$23:$U$23,0)))*(VLOOKUP($Q15,INDIRECT($B$5&amp;"生成成长"),3))*(VLOOKUP($B$5,标准坦克设计!$B$14:$K$20,9)/30))</f>
        <v>9.0589609592363356</v>
      </c>
      <c r="T15" s="173">
        <f ca="1">(VLOOKUP(T$13,INDIRECT($C$5&amp;"生成成长"),2))/((VLOOKUP($Q15,INDIRECT($B$5&amp;"生成成长"),4))/(VLOOKUP(T$13,INDIRECT($C$5&amp;"生成成长"),5))*(VLOOKUP($B$5,标准坦克设计!$B$24:$U$30,MATCH("对"&amp;LEFT($C$5,2)&amp;"输出",标准坦克设计!$B$23:$U$23,0)))*(VLOOKUP($Q15,INDIRECT($B$5&amp;"生成成长"),3))*(VLOOKUP($B$5,标准坦克设计!$B$14:$K$20,9)/30))</f>
        <v>7.9277691641183727</v>
      </c>
      <c r="U15" s="173">
        <f ca="1">(VLOOKUP(U$13,INDIRECT($C$5&amp;"生成成长"),2))/((VLOOKUP($Q15,INDIRECT($B$5&amp;"生成成长"),4))/(VLOOKUP(U$13,INDIRECT($C$5&amp;"生成成长"),5))*(VLOOKUP($B$5,标准坦克设计!$B$24:$U$30,MATCH("对"&amp;LEFT($C$5,2)&amp;"输出",标准坦克设计!$B$23:$U$23,0)))*(VLOOKUP($Q15,INDIRECT($B$5&amp;"生成成长"),3))*(VLOOKUP($B$5,标准坦克设计!$B$14:$K$20,9)/30))</f>
        <v>15.846111729944099</v>
      </c>
      <c r="V15" s="173">
        <f ca="1">(VLOOKUP(V$13,INDIRECT($C$5&amp;"生成成长"),2))/((VLOOKUP($Q15,INDIRECT($B$5&amp;"生成成长"),4))/(VLOOKUP(V$13,INDIRECT($C$5&amp;"生成成长"),5))*(VLOOKUP($B$5,标准坦克设计!$B$24:$U$30,MATCH("对"&amp;LEFT($C$5,2)&amp;"输出",标准坦克设计!$B$23:$U$23,0)))*(VLOOKUP($Q15,INDIRECT($B$5&amp;"生成成长"),3))*(VLOOKUP($B$5,标准坦克设计!$B$14:$K$20,9)/30))</f>
        <v>12.047781780399571</v>
      </c>
      <c r="W15" s="173">
        <f ca="1">(VLOOKUP(W$13,INDIRECT($C$5&amp;"生成成长"),2))/((VLOOKUP($Q15,INDIRECT($B$5&amp;"生成成长"),4))/(VLOOKUP(W$13,INDIRECT($C$5&amp;"生成成长"),5))*(VLOOKUP($B$5,标准坦克设计!$B$24:$U$30,MATCH("对"&amp;LEFT($C$5,2)&amp;"输出",标准坦克设计!$B$23:$U$23,0)))*(VLOOKUP($Q15,INDIRECT($B$5&amp;"生成成长"),3))*(VLOOKUP($B$5,标准坦克设计!$B$14:$K$20,9)/30))</f>
        <v>27.234031629858187</v>
      </c>
      <c r="X15" s="173">
        <f ca="1">(VLOOKUP(X$13,INDIRECT($C$5&amp;"生成成长"),2))/((VLOOKUP($Q15,INDIRECT($B$5&amp;"生成成长"),4))/(VLOOKUP(X$13,INDIRECT($C$5&amp;"生成成长"),5))*(VLOOKUP($B$5,标准坦克设计!$B$24:$U$30,MATCH("对"&amp;LEFT($C$5,2)&amp;"输出",标准坦克设计!$B$23:$U$23,0)))*(VLOOKUP($Q15,INDIRECT($B$5&amp;"生成成长"),3))*(VLOOKUP($B$5,标准坦克设计!$B$14:$K$20,9)/30))</f>
        <v>19.73045938890905</v>
      </c>
      <c r="Y15" s="173">
        <f ca="1">(VLOOKUP(Y$13,INDIRECT($C$5&amp;"生成成长"),2))/((VLOOKUP($Q15,INDIRECT($B$5&amp;"生成成长"),4))/(VLOOKUP(Y$13,INDIRECT($C$5&amp;"生成成长"),5))*(VLOOKUP($B$5,标准坦克设计!$B$24:$U$30,MATCH("对"&amp;LEFT($C$5,2)&amp;"输出",标准坦克设计!$B$23:$U$23,0)))*(VLOOKUP($Q15,INDIRECT($B$5&amp;"生成成长"),3))*(VLOOKUP($B$5,标准坦克设计!$B$14:$K$20,9)/30))</f>
        <v>47.185426916251217</v>
      </c>
      <c r="Z15" s="173">
        <f ca="1">(VLOOKUP(Z$13,INDIRECT($C$5&amp;"生成成长"),2))/((VLOOKUP($Q15,INDIRECT($B$5&amp;"生成成长"),4))/(VLOOKUP(Z$13,INDIRECT($C$5&amp;"生成成长"),5))*(VLOOKUP($B$5,标准坦克设计!$B$24:$U$30,MATCH("对"&amp;LEFT($C$5,2)&amp;"输出",标准坦克设计!$B$23:$U$23,0)))*(VLOOKUP($Q15,INDIRECT($B$5&amp;"生成成长"),3))*(VLOOKUP($B$5,标准坦克设计!$B$14:$K$20,9)/30))</f>
        <v>8.2034971641783763</v>
      </c>
      <c r="AA15" s="173">
        <f ca="1">(VLOOKUP(AA$13,INDIRECT($C$5&amp;"生成成长"),2))/((VLOOKUP($Q15,INDIRECT($B$5&amp;"生成成长"),4))/(VLOOKUP(AA$13,INDIRECT($C$5&amp;"生成成长"),5))*(VLOOKUP($B$5,标准坦克设计!$B$24:$U$30,MATCH("对"&amp;LEFT($C$5,2)&amp;"输出",标准坦克设计!$B$23:$U$23,0)))*(VLOOKUP($Q15,INDIRECT($B$5&amp;"生成成长"),3))*(VLOOKUP($B$5,标准坦克设计!$B$14:$K$20,9)/30))</f>
        <v>25.982061544115655</v>
      </c>
      <c r="AB15" s="173">
        <f ca="1">(VLOOKUP(AB$13,INDIRECT($C$5&amp;"生成成长"),2))/((VLOOKUP($Q15,INDIRECT($B$5&amp;"生成成长"),4))/(VLOOKUP(AB$13,INDIRECT($C$5&amp;"生成成长"),5))*(VLOOKUP($B$5,标准坦克设计!$B$24:$U$30,MATCH("对"&amp;LEFT($C$5,2)&amp;"输出",标准坦克设计!$B$23:$U$23,0)))*(VLOOKUP($Q15,INDIRECT($B$5&amp;"生成成长"),3))*(VLOOKUP($B$5,标准坦克设计!$B$14:$K$20,9)/30))</f>
        <v>12.558585575382523</v>
      </c>
      <c r="AC15" s="173">
        <f ca="1">(VLOOKUP(AC$13,INDIRECT($C$5&amp;"生成成长"),2))/((VLOOKUP($Q15,INDIRECT($B$5&amp;"生成成长"),4))/(VLOOKUP(AC$13,INDIRECT($C$5&amp;"生成成长"),5))*(VLOOKUP($B$5,标准坦克设计!$B$24:$U$30,MATCH("对"&amp;LEFT($C$5,2)&amp;"输出",标准坦克设计!$B$23:$U$23,0)))*(VLOOKUP($Q15,INDIRECT($B$5&amp;"生成成长"),3))*(VLOOKUP($B$5,标准坦克设计!$B$14:$K$20,9)/30))</f>
        <v>45.205841274794786</v>
      </c>
      <c r="AD15" s="173">
        <f ca="1">(VLOOKUP(AD$13,INDIRECT($C$5&amp;"生成成长"),2))/((VLOOKUP($Q15,INDIRECT($B$5&amp;"生成成长"),4))/(VLOOKUP(AD$13,INDIRECT($C$5&amp;"生成成长"),5))*(VLOOKUP($B$5,标准坦克设计!$B$24:$U$30,MATCH("对"&amp;LEFT($C$5,2)&amp;"输出",标准坦克设计!$B$23:$U$23,0)))*(VLOOKUP($Q15,INDIRECT($B$5&amp;"生成成长"),3))*(VLOOKUP($B$5,标准坦克设计!$B$14:$K$20,9)/30))</f>
        <v>20.60241973097915</v>
      </c>
      <c r="AE15" s="173">
        <f ca="1">(VLOOKUP(AE$13,INDIRECT($C$5&amp;"生成成长"),2))/((VLOOKUP($Q15,INDIRECT($B$5&amp;"生成成长"),4))/(VLOOKUP(AE$13,INDIRECT($C$5&amp;"生成成长"),5))*(VLOOKUP($B$5,标准坦克设计!$B$24:$U$30,MATCH("对"&amp;LEFT($C$5,2)&amp;"输出",标准坦克设计!$B$23:$U$23,0)))*(VLOOKUP($Q15,INDIRECT($B$5&amp;"生成成长"),3))*(VLOOKUP($B$5,标准坦克设计!$B$14:$K$20,9)/30))</f>
        <v>77.633339401509659</v>
      </c>
      <c r="AF15" s="173">
        <f ca="1">(VLOOKUP(AF$13,INDIRECT($C$5&amp;"生成成长"),2))/((VLOOKUP($Q15,INDIRECT($B$5&amp;"生成成长"),4))/(VLOOKUP(AF$13,INDIRECT($C$5&amp;"生成成长"),5))*(VLOOKUP($B$5,标准坦克设计!$B$24:$U$30,MATCH("对"&amp;LEFT($C$5,2)&amp;"输出",标准坦克设计!$B$23:$U$23,0)))*(VLOOKUP($Q15,INDIRECT($B$5&amp;"生成成长"),3))*(VLOOKUP($B$5,标准坦克设计!$B$14:$K$20,9)/30))</f>
        <v>34.789450161416909</v>
      </c>
      <c r="AG15" s="173">
        <f ca="1">(VLOOKUP(AG$13,INDIRECT($C$5&amp;"生成成长"),2))/((VLOOKUP($Q15,INDIRECT($B$5&amp;"生成成长"),4))/(VLOOKUP(AG$13,INDIRECT($C$5&amp;"生成成长"),5))*(VLOOKUP($B$5,标准坦克设计!$B$24:$U$30,MATCH("对"&amp;LEFT($C$5,2)&amp;"输出",标准坦克设计!$B$23:$U$23,0)))*(VLOOKUP($Q15,INDIRECT($B$5&amp;"生成成长"),3))*(VLOOKUP($B$5,标准坦克设计!$B$14:$K$20,9)/30))</f>
        <v>130.14597267789455</v>
      </c>
      <c r="AH15" s="173">
        <f ca="1">(VLOOKUP(AH$13,INDIRECT($C$5&amp;"生成成长"),2))/((VLOOKUP($Q15,INDIRECT($B$5&amp;"生成成长"),4))/(VLOOKUP(AH$13,INDIRECT($C$5&amp;"生成成长"),5))*(VLOOKUP($B$5,标准坦克设计!$B$24:$U$30,MATCH("对"&amp;LEFT($C$5,2)&amp;"输出",标准坦克设计!$B$23:$U$23,0)))*(VLOOKUP($Q15,INDIRECT($B$5&amp;"生成成长"),3))*(VLOOKUP($B$5,标准坦克设计!$B$14:$K$20,9)/30))</f>
        <v>13.079994293444708</v>
      </c>
      <c r="AI15" s="173">
        <f ca="1">(VLOOKUP(AI$13,INDIRECT($C$5&amp;"生成成长"),2))/((VLOOKUP($Q15,INDIRECT($B$5&amp;"生成成长"),4))/(VLOOKUP(AI$13,INDIRECT($C$5&amp;"生成成长"),5))*(VLOOKUP($B$5,标准坦克设计!$B$24:$U$30,MATCH("对"&amp;LEFT($C$5,2)&amp;"输出",标准坦克设计!$B$23:$U$23,0)))*(VLOOKUP($Q15,INDIRECT($B$5&amp;"生成成长"),3))*(VLOOKUP($B$5,标准坦克设计!$B$14:$K$20,9)/30))</f>
        <v>47.854715395029352</v>
      </c>
      <c r="AJ15" s="173">
        <f ca="1">(VLOOKUP(AJ$13,INDIRECT($C$5&amp;"生成成长"),2))/((VLOOKUP($Q15,INDIRECT($B$5&amp;"生成成长"),4))/(VLOOKUP(AJ$13,INDIRECT($C$5&amp;"生成成长"),5))*(VLOOKUP($B$5,标准坦克设计!$B$24:$U$30,MATCH("对"&amp;LEFT($C$5,2)&amp;"输出",标准坦克设计!$B$23:$U$23,0)))*(VLOOKUP($Q15,INDIRECT($B$5&amp;"生成成长"),3))*(VLOOKUP($B$5,标准坦克设计!$B$14:$K$20,9)/30))</f>
        <v>21.493233269634541</v>
      </c>
      <c r="AK15" s="173">
        <f ca="1">(VLOOKUP(AK$13,INDIRECT($C$5&amp;"生成成长"),2))/((VLOOKUP($Q15,INDIRECT($B$5&amp;"生成成长"),4))/(VLOOKUP(AK$13,INDIRECT($C$5&amp;"生成成长"),5))*(VLOOKUP($B$5,标准坦克设计!$B$24:$U$30,MATCH("对"&amp;LEFT($C$5,2)&amp;"输出",标准坦克设计!$B$23:$U$23,0)))*(VLOOKUP($Q15,INDIRECT($B$5&amp;"生成成长"),3))*(VLOOKUP($B$5,标准坦克设计!$B$14:$K$20,9)/30))</f>
        <v>81.969574616128511</v>
      </c>
      <c r="AL15" s="173">
        <f ca="1">(VLOOKUP(AL$13,INDIRECT($C$5&amp;"生成成长"),2))/((VLOOKUP($Q15,INDIRECT($B$5&amp;"生成成长"),4))/(VLOOKUP(AL$13,INDIRECT($C$5&amp;"生成成长"),5))*(VLOOKUP($B$5,标准坦克设计!$B$24:$U$30,MATCH("对"&amp;LEFT($C$5,2)&amp;"输出",标准坦克设计!$B$23:$U$23,0)))*(VLOOKUP($Q15,INDIRECT($B$5&amp;"生成成长"),3))*(VLOOKUP($B$5,标准坦克设计!$B$14:$K$20,9)/30))</f>
        <v>36.235843836945342</v>
      </c>
      <c r="AM15" s="173">
        <f ca="1">(VLOOKUP(AM$13,INDIRECT($C$5&amp;"生成成长"),2))/((VLOOKUP($Q15,INDIRECT($B$5&amp;"生成成长"),4))/(VLOOKUP(AM$13,INDIRECT($C$5&amp;"生成成长"),5))*(VLOOKUP($B$5,标准坦克设计!$B$24:$U$30,MATCH("对"&amp;LEFT($C$5,2)&amp;"输出",标准坦克设计!$B$23:$U$23,0)))*(VLOOKUP($Q15,INDIRECT($B$5&amp;"生成成长"),3))*(VLOOKUP($B$5,标准坦克设计!$B$14:$K$20,9)/30))</f>
        <v>136.8765638588464</v>
      </c>
    </row>
    <row r="16" spans="1:39" x14ac:dyDescent="0.15">
      <c r="A16" s="171" t="str">
        <f t="shared" si="1"/>
        <v>T3低品质</v>
      </c>
      <c r="B16" s="172">
        <v>10301</v>
      </c>
      <c r="C16" s="173">
        <f ca="1">(VLOOKUP(C$13,INDIRECT($C$5&amp;"生成成长"),2))/((VLOOKUP($B16,INDIRECT($B$5&amp;"生成成长"),4))/(VLOOKUP(C$13,INDIRECT($C$5&amp;"生成成长"),5))*(VLOOKUP($B$5,标准坦克设计!$B$24:$U$30,MATCH("对"&amp;LEFT($C$5,2)&amp;"输出",标准坦克设计!$B$23:$U$23,0)))*(VLOOKUP($B16,INDIRECT($B$5&amp;"生成成长"),3))*(VLOOKUP($B$5,标准坦克设计!$B$14:$K$20,9)/30))</f>
        <v>4.4366074960345108</v>
      </c>
      <c r="D16" s="173">
        <f ca="1">(VLOOKUP(D$13,INDIRECT($C$5&amp;"生成成长"),2))/((VLOOKUP($B16,INDIRECT($B$5&amp;"生成成长"),4))/(VLOOKUP(D$13,INDIRECT($C$5&amp;"生成成长"),5))*(VLOOKUP($B$5,标准坦克设计!$B$24:$U$30,MATCH("对"&amp;LEFT($C$5,2)&amp;"输出",标准坦克设计!$B$23:$U$23,0)))*(VLOOKUP($B16,INDIRECT($B$5&amp;"生成成长"),3))*(VLOOKUP($B$5,标准坦克设计!$B$14:$K$20,9)/30))</f>
        <v>5.9698990466640387</v>
      </c>
      <c r="E16" s="173">
        <f ca="1">(VLOOKUP(E$13,INDIRECT($C$5&amp;"生成成长"),2))/((VLOOKUP($B16,INDIRECT($B$5&amp;"生成成长"),4))/(VLOOKUP(E$13,INDIRECT($C$5&amp;"生成成长"),5))*(VLOOKUP($B$5,标准坦克设计!$B$24:$U$30,MATCH("对"&amp;LEFT($C$5,2)&amp;"输出",标准坦克设计!$B$23:$U$23,0)))*(VLOOKUP($B16,INDIRECT($B$5&amp;"生成成长"),3))*(VLOOKUP($B$5,标准坦克设计!$B$14:$K$20,9)/30))</f>
        <v>9.0724186686409709</v>
      </c>
      <c r="F16" s="173">
        <f ca="1">(VLOOKUP(F$13,INDIRECT($C$5&amp;"生成成长"),2))/((VLOOKUP($B16,INDIRECT($B$5&amp;"生成成长"),4))/(VLOOKUP(F$13,INDIRECT($C$5&amp;"生成成长"),5))*(VLOOKUP($B$5,标准坦克设计!$B$24:$U$30,MATCH("对"&amp;LEFT($C$5,2)&amp;"输出",标准坦克设计!$B$23:$U$23,0)))*(VLOOKUP($B16,INDIRECT($B$5&amp;"生成成长"),3))*(VLOOKUP($B$5,标准坦克设计!$B$14:$K$20,9)/30))</f>
        <v>14.857754843469975</v>
      </c>
      <c r="G16" s="173">
        <f ca="1">(VLOOKUP(G$13,INDIRECT($C$5&amp;"生成成长"),2))/((VLOOKUP($B16,INDIRECT($B$5&amp;"生成成长"),4))/(VLOOKUP(G$13,INDIRECT($C$5&amp;"生成成长"),5))*(VLOOKUP($B$5,标准坦克设计!$B$24:$U$30,MATCH("对"&amp;LEFT($C$5,2)&amp;"输出",标准坦克设计!$B$23:$U$23,0)))*(VLOOKUP($B16,INDIRECT($B$5&amp;"生成成长"),3))*(VLOOKUP($B$5,标准坦克设计!$B$14:$K$20,9)/30))</f>
        <v>6.1775322774784529</v>
      </c>
      <c r="H16" s="173">
        <f ca="1">(VLOOKUP(H$13,INDIRECT($C$5&amp;"生成成长"),2))/((VLOOKUP($B16,INDIRECT($B$5&amp;"生成成长"),4))/(VLOOKUP(H$13,INDIRECT($C$5&amp;"生成成长"),5))*(VLOOKUP($B$5,标准坦克设计!$B$24:$U$30,MATCH("对"&amp;LEFT($C$5,2)&amp;"输出",标准坦克设计!$B$23:$U$23,0)))*(VLOOKUP($B16,INDIRECT($B$5&amp;"生成成长"),3))*(VLOOKUP($B$5,标准坦克设计!$B$14:$K$20,9)/30))</f>
        <v>9.4570725385471643</v>
      </c>
      <c r="I16" s="173">
        <f ca="1">(VLOOKUP(I$13,INDIRECT($C$5&amp;"生成成长"),2))/((VLOOKUP($B16,INDIRECT($B$5&amp;"生成成长"),4))/(VLOOKUP(I$13,INDIRECT($C$5&amp;"生成成长"),5))*(VLOOKUP($B$5,标准坦克设计!$B$24:$U$30,MATCH("对"&amp;LEFT($C$5,2)&amp;"输出",标准坦克设计!$B$23:$U$23,0)))*(VLOOKUP($B16,INDIRECT($B$5&amp;"生成成长"),3))*(VLOOKUP($B$5,标准坦克设计!$B$14:$K$20,9)/30))</f>
        <v>15.514372752883082</v>
      </c>
      <c r="J16" s="173">
        <f ca="1">(VLOOKUP(J$13,INDIRECT($C$5&amp;"生成成长"),2))/((VLOOKUP($B16,INDIRECT($B$5&amp;"生成成长"),4))/(VLOOKUP(J$13,INDIRECT($C$5&amp;"生成成长"),5))*(VLOOKUP($B$5,标准坦克设计!$B$24:$U$30,MATCH("对"&amp;LEFT($C$5,2)&amp;"输出",标准坦克设计!$B$23:$U$23,0)))*(VLOOKUP($B16,INDIRECT($B$5&amp;"生成成长"),3))*(VLOOKUP($B$5,标准坦克设计!$B$14:$K$20,9)/30))</f>
        <v>26.197723603334182</v>
      </c>
      <c r="K16" s="173">
        <f ca="1">(VLOOKUP(K$13,INDIRECT($C$5&amp;"生成成长"),2))/((VLOOKUP($B16,INDIRECT($B$5&amp;"生成成长"),4))/(VLOOKUP(K$13,INDIRECT($C$5&amp;"生成成长"),5))*(VLOOKUP($B$5,标准坦克设计!$B$24:$U$30,MATCH("对"&amp;LEFT($C$5,2)&amp;"输出",标准坦克设计!$B$23:$U$23,0)))*(VLOOKUP($B16,INDIRECT($B$5&amp;"生成成长"),3))*(VLOOKUP($B$5,标准坦克设计!$B$14:$K$20,9)/30))</f>
        <v>9.8497123019462176</v>
      </c>
      <c r="L16" s="173">
        <f ca="1">(VLOOKUP(L$13,INDIRECT($C$5&amp;"生成成长"),2))/((VLOOKUP($B16,INDIRECT($B$5&amp;"生成成长"),4))/(VLOOKUP(L$13,INDIRECT($C$5&amp;"生成成长"),5))*(VLOOKUP($B$5,标准坦克设计!$B$24:$U$30,MATCH("对"&amp;LEFT($C$5,2)&amp;"输出",标准坦克设计!$B$23:$U$23,0)))*(VLOOKUP($B16,INDIRECT($B$5&amp;"生成成长"),3))*(VLOOKUP($B$5,标准坦克设计!$B$14:$K$20,9)/30))</f>
        <v>16.185187806283501</v>
      </c>
      <c r="M16" s="173">
        <f ca="1">(VLOOKUP(M$13,INDIRECT($C$5&amp;"生成成长"),2))/((VLOOKUP($B16,INDIRECT($B$5&amp;"生成成长"),4))/(VLOOKUP(M$13,INDIRECT($C$5&amp;"生成成长"),5))*(VLOOKUP($B$5,标准坦克设计!$B$24:$U$30,MATCH("对"&amp;LEFT($C$5,2)&amp;"输出",标准坦克设计!$B$23:$U$23,0)))*(VLOOKUP($B16,INDIRECT($B$5&amp;"生成成长"),3))*(VLOOKUP($B$5,标准坦克设计!$B$14:$K$20,9)/30))</f>
        <v>27.286910743610655</v>
      </c>
      <c r="P16" s="175" t="str">
        <f>"T"&amp;LEFT(RIGHT(Q16,3),1)&amp;""&amp;IF(LEFT(Q16,1)="1","低",IF(LEFT(Q16,1)="2","中","高"))&amp;"初"</f>
        <v>T2低初</v>
      </c>
      <c r="Q16" s="179">
        <v>10201</v>
      </c>
      <c r="R16" s="173">
        <f ca="1">(VLOOKUP(R$13,INDIRECT($C$5&amp;"生成成长"),2))/((VLOOKUP($Q16,INDIRECT($B$5&amp;"生成成长"),4))/(VLOOKUP(R$13,INDIRECT($C$5&amp;"生成成长"),5))*(VLOOKUP($B$5,标准坦克设计!$B$24:$U$30,MATCH("对"&amp;LEFT($C$5,2)&amp;"输出",标准坦克设计!$B$23:$U$23,0)))*(VLOOKUP($Q16,INDIRECT($B$5&amp;"生成成长"),3))*(VLOOKUP($B$5,标准坦克设计!$B$14:$K$20,9)/30))</f>
        <v>6.7771341267198846</v>
      </c>
      <c r="S16" s="173">
        <f ca="1">(VLOOKUP(S$13,INDIRECT($C$5&amp;"生成成长"),2))/((VLOOKUP($Q16,INDIRECT($B$5&amp;"生成成长"),4))/(VLOOKUP(S$13,INDIRECT($C$5&amp;"生成成长"),5))*(VLOOKUP($B$5,标准坦克设计!$B$24:$U$30,MATCH("对"&amp;LEFT($C$5,2)&amp;"输出",标准坦克设计!$B$23:$U$23,0)))*(VLOOKUP($Q16,INDIRECT($B$5&amp;"生成成长"),3))*(VLOOKUP($B$5,标准坦克设计!$B$14:$K$20,9)/30))</f>
        <v>10.420521433244492</v>
      </c>
      <c r="T16" s="173">
        <f ca="1">(VLOOKUP(T$13,INDIRECT($C$5&amp;"生成成长"),2))/((VLOOKUP($Q16,INDIRECT($B$5&amp;"生成成长"),4))/(VLOOKUP(T$13,INDIRECT($C$5&amp;"生成成长"),5))*(VLOOKUP($B$5,标准坦克设计!$B$24:$U$30,MATCH("对"&amp;LEFT($C$5,2)&amp;"输出",标准坦克设计!$B$23:$U$23,0)))*(VLOOKUP($Q16,INDIRECT($B$5&amp;"生成成长"),3))*(VLOOKUP($B$5,标准坦克设计!$B$14:$K$20,9)/30))</f>
        <v>9.1193116809142758</v>
      </c>
      <c r="U16" s="173">
        <f ca="1">(VLOOKUP(U$13,INDIRECT($C$5&amp;"生成成长"),2))/((VLOOKUP($Q16,INDIRECT($B$5&amp;"生成成长"),4))/(VLOOKUP(U$13,INDIRECT($C$5&amp;"生成成长"),5))*(VLOOKUP($B$5,标准坦克设计!$B$24:$U$30,MATCH("对"&amp;LEFT($C$5,2)&amp;"输出",标准坦克设计!$B$23:$U$23,0)))*(VLOOKUP($Q16,INDIRECT($B$5&amp;"生成成长"),3))*(VLOOKUP($B$5,标准坦克设计!$B$14:$K$20,9)/30))</f>
        <v>18.227779947225798</v>
      </c>
      <c r="V16" s="173">
        <f ca="1">(VLOOKUP(V$13,INDIRECT($C$5&amp;"生成成长"),2))/((VLOOKUP($Q16,INDIRECT($B$5&amp;"生成成长"),4))/(VLOOKUP(V$13,INDIRECT($C$5&amp;"生成成长"),5))*(VLOOKUP($B$5,标准坦克设计!$B$24:$U$30,MATCH("对"&amp;LEFT($C$5,2)&amp;"输出",标准坦克设计!$B$23:$U$23,0)))*(VLOOKUP($Q16,INDIRECT($B$5&amp;"生成成长"),3))*(VLOOKUP($B$5,标准坦克设计!$B$14:$K$20,9)/30))</f>
        <v>13.858561575729491</v>
      </c>
      <c r="W16" s="173">
        <f ca="1">(VLOOKUP(W$13,INDIRECT($C$5&amp;"生成成长"),2))/((VLOOKUP($Q16,INDIRECT($B$5&amp;"生成成长"),4))/(VLOOKUP(W$13,INDIRECT($C$5&amp;"生成成长"),5))*(VLOOKUP($B$5,标准坦克设计!$B$24:$U$30,MATCH("对"&amp;LEFT($C$5,2)&amp;"输出",标准坦克设计!$B$23:$U$23,0)))*(VLOOKUP($Q16,INDIRECT($B$5&amp;"生成成长"),3))*(VLOOKUP($B$5,标准坦克设计!$B$14:$K$20,9)/30))</f>
        <v>31.327302500762659</v>
      </c>
      <c r="X16" s="173">
        <f ca="1">(VLOOKUP(X$13,INDIRECT($C$5&amp;"生成成长"),2))/((VLOOKUP($Q16,INDIRECT($B$5&amp;"生成成长"),4))/(VLOOKUP(X$13,INDIRECT($C$5&amp;"生成成长"),5))*(VLOOKUP($B$5,标准坦克设计!$B$24:$U$30,MATCH("对"&amp;LEFT($C$5,2)&amp;"输出",标准坦克设计!$B$23:$U$23,0)))*(VLOOKUP($Q16,INDIRECT($B$5&amp;"生成成长"),3))*(VLOOKUP($B$5,标准坦克设计!$B$14:$K$20,9)/30))</f>
        <v>22.695944476972219</v>
      </c>
      <c r="Y16" s="173">
        <f ca="1">(VLOOKUP(Y$13,INDIRECT($C$5&amp;"生成成长"),2))/((VLOOKUP($Q16,INDIRECT($B$5&amp;"生成成长"),4))/(VLOOKUP(Y$13,INDIRECT($C$5&amp;"生成成长"),5))*(VLOOKUP($B$5,标准坦克设计!$B$24:$U$30,MATCH("对"&amp;LEFT($C$5,2)&amp;"输出",标准坦克设计!$B$23:$U$23,0)))*(VLOOKUP($Q16,INDIRECT($B$5&amp;"生成成长"),3))*(VLOOKUP($B$5,标准坦克设计!$B$14:$K$20,9)/30))</f>
        <v>54.277389507486866</v>
      </c>
      <c r="Z16" s="173">
        <f ca="1">(VLOOKUP(Z$13,INDIRECT($C$5&amp;"生成成长"),2))/((VLOOKUP($Q16,INDIRECT($B$5&amp;"生成成长"),4))/(VLOOKUP(Z$13,INDIRECT($C$5&amp;"生成成长"),5))*(VLOOKUP($B$5,标准坦克设计!$B$24:$U$30,MATCH("对"&amp;LEFT($C$5,2)&amp;"输出",标准坦克设计!$B$23:$U$23,0)))*(VLOOKUP($Q16,INDIRECT($B$5&amp;"生成成长"),3))*(VLOOKUP($B$5,标准坦克设计!$B$14:$K$20,9)/30))</f>
        <v>9.4364815580447647</v>
      </c>
      <c r="AA16" s="173">
        <f ca="1">(VLOOKUP(AA$13,INDIRECT($C$5&amp;"生成成长"),2))/((VLOOKUP($Q16,INDIRECT($B$5&amp;"生成成长"),4))/(VLOOKUP(AA$13,INDIRECT($C$5&amp;"生成成长"),5))*(VLOOKUP($B$5,标准坦克设计!$B$24:$U$30,MATCH("对"&amp;LEFT($C$5,2)&amp;"输出",标准坦克设计!$B$23:$U$23,0)))*(VLOOKUP($Q16,INDIRECT($B$5&amp;"生成成长"),3))*(VLOOKUP($B$5,标准坦克设计!$B$14:$K$20,9)/30))</f>
        <v>29.88716149883469</v>
      </c>
      <c r="AB16" s="173">
        <f ca="1">(VLOOKUP(AB$13,INDIRECT($C$5&amp;"生成成长"),2))/((VLOOKUP($Q16,INDIRECT($B$5&amp;"生成成长"),4))/(VLOOKUP(AB$13,INDIRECT($C$5&amp;"生成成长"),5))*(VLOOKUP($B$5,标准坦克设计!$B$24:$U$30,MATCH("对"&amp;LEFT($C$5,2)&amp;"输出",标准坦克设计!$B$23:$U$23,0)))*(VLOOKUP($Q16,INDIRECT($B$5&amp;"生成成长"),3))*(VLOOKUP($B$5,标准坦克设计!$B$14:$K$20,9)/30))</f>
        <v>14.446139104516105</v>
      </c>
      <c r="AC16" s="173">
        <f ca="1">(VLOOKUP(AC$13,INDIRECT($C$5&amp;"生成成长"),2))/((VLOOKUP($Q16,INDIRECT($B$5&amp;"生成成长"),4))/(VLOOKUP(AC$13,INDIRECT($C$5&amp;"生成成长"),5))*(VLOOKUP($B$5,标准坦克设计!$B$24:$U$30,MATCH("对"&amp;LEFT($C$5,2)&amp;"输出",标准坦克设计!$B$23:$U$23,0)))*(VLOOKUP($Q16,INDIRECT($B$5&amp;"生成成长"),3))*(VLOOKUP($B$5,标准坦克设计!$B$14:$K$20,9)/30))</f>
        <v>52.000272440908994</v>
      </c>
      <c r="AD16" s="173">
        <f ca="1">(VLOOKUP(AD$13,INDIRECT($C$5&amp;"生成成长"),2))/((VLOOKUP($Q16,INDIRECT($B$5&amp;"生成成长"),4))/(VLOOKUP(AD$13,INDIRECT($C$5&amp;"生成成长"),5))*(VLOOKUP($B$5,标准坦克设计!$B$24:$U$30,MATCH("对"&amp;LEFT($C$5,2)&amp;"输出",标准坦克设计!$B$23:$U$23,0)))*(VLOOKUP($Q16,INDIRECT($B$5&amp;"生成成长"),3))*(VLOOKUP($B$5,标准坦克设计!$B$14:$K$20,9)/30))</f>
        <v>23.698960327726759</v>
      </c>
      <c r="AE16" s="173">
        <f ca="1">(VLOOKUP(AE$13,INDIRECT($C$5&amp;"生成成长"),2))/((VLOOKUP($Q16,INDIRECT($B$5&amp;"生成成长"),4))/(VLOOKUP(AE$13,INDIRECT($C$5&amp;"生成成长"),5))*(VLOOKUP($B$5,标准坦克设计!$B$24:$U$30,MATCH("对"&amp;LEFT($C$5,2)&amp;"输出",标准坦克设计!$B$23:$U$23,0)))*(VLOOKUP($Q16,INDIRECT($B$5&amp;"生成成长"),3))*(VLOOKUP($B$5,标准坦克设计!$B$14:$K$20,9)/30))</f>
        <v>89.301618674375234</v>
      </c>
      <c r="AF16" s="173">
        <f ca="1">(VLOOKUP(AF$13,INDIRECT($C$5&amp;"生成成长"),2))/((VLOOKUP($Q16,INDIRECT($B$5&amp;"生成成长"),4))/(VLOOKUP(AF$13,INDIRECT($C$5&amp;"生成成长"),5))*(VLOOKUP($B$5,标准坦克设计!$B$24:$U$30,MATCH("对"&amp;LEFT($C$5,2)&amp;"输出",标准坦克设计!$B$23:$U$23,0)))*(VLOOKUP($Q16,INDIRECT($B$5&amp;"生成成长"),3))*(VLOOKUP($B$5,标准坦克设计!$B$14:$K$20,9)/30))</f>
        <v>40.018299304868243</v>
      </c>
      <c r="AG16" s="173">
        <f ca="1">(VLOOKUP(AG$13,INDIRECT($C$5&amp;"生成成长"),2))/((VLOOKUP($Q16,INDIRECT($B$5&amp;"生成成长"),4))/(VLOOKUP(AG$13,INDIRECT($C$5&amp;"生成成长"),5))*(VLOOKUP($B$5,标准坦克设计!$B$24:$U$30,MATCH("对"&amp;LEFT($C$5,2)&amp;"输出",标准坦克设计!$B$23:$U$23,0)))*(VLOOKUP($Q16,INDIRECT($B$5&amp;"生成成长"),3))*(VLOOKUP($B$5,标准坦克设计!$B$14:$K$20,9)/30))</f>
        <v>149.70689285924226</v>
      </c>
      <c r="AH16" s="173">
        <f ca="1">(VLOOKUP(AH$13,INDIRECT($C$5&amp;"生成成长"),2))/((VLOOKUP($Q16,INDIRECT($B$5&amp;"生成成长"),4))/(VLOOKUP(AH$13,INDIRECT($C$5&amp;"生成成长"),5))*(VLOOKUP($B$5,标准坦克设计!$B$24:$U$30,MATCH("对"&amp;LEFT($C$5,2)&amp;"输出",标准坦克设计!$B$23:$U$23,0)))*(VLOOKUP($Q16,INDIRECT($B$5&amp;"生成成长"),3))*(VLOOKUP($B$5,标准坦克设计!$B$14:$K$20,9)/30))</f>
        <v>15.045915474730814</v>
      </c>
      <c r="AI16" s="173">
        <f ca="1">(VLOOKUP(AI$13,INDIRECT($C$5&amp;"生成成长"),2))/((VLOOKUP($Q16,INDIRECT($B$5&amp;"生成成长"),4))/(VLOOKUP(AI$13,INDIRECT($C$5&amp;"生成成长"),5))*(VLOOKUP($B$5,标准坦克设计!$B$24:$U$30,MATCH("对"&amp;LEFT($C$5,2)&amp;"输出",标准坦克设计!$B$23:$U$23,0)))*(VLOOKUP($Q16,INDIRECT($B$5&amp;"生成成长"),3))*(VLOOKUP($B$5,标准坦克设计!$B$14:$K$20,9)/30))</f>
        <v>55.047271944282251</v>
      </c>
      <c r="AJ16" s="173">
        <f ca="1">(VLOOKUP(AJ$13,INDIRECT($C$5&amp;"生成成长"),2))/((VLOOKUP($Q16,INDIRECT($B$5&amp;"生成成长"),4))/(VLOOKUP(AJ$13,INDIRECT($C$5&amp;"生成成长"),5))*(VLOOKUP($B$5,标准坦克设计!$B$24:$U$30,MATCH("对"&amp;LEFT($C$5,2)&amp;"输出",标准坦克设计!$B$23:$U$23,0)))*(VLOOKUP($Q16,INDIRECT($B$5&amp;"生成成长"),3))*(VLOOKUP($B$5,标准坦克设计!$B$14:$K$20,9)/30))</f>
        <v>24.72366300768681</v>
      </c>
      <c r="AK16" s="173">
        <f ca="1">(VLOOKUP(AK$13,INDIRECT($C$5&amp;"生成成长"),2))/((VLOOKUP($Q16,INDIRECT($B$5&amp;"生成成长"),4))/(VLOOKUP(AK$13,INDIRECT($C$5&amp;"生成成长"),5))*(VLOOKUP($B$5,标准坦克设计!$B$24:$U$30,MATCH("对"&amp;LEFT($C$5,2)&amp;"输出",标准坦克设计!$B$23:$U$23,0)))*(VLOOKUP($Q16,INDIRECT($B$5&amp;"生成成长"),3))*(VLOOKUP($B$5,标准坦克设计!$B$14:$K$20,9)/30))</f>
        <v>94.289589391641087</v>
      </c>
      <c r="AL16" s="173">
        <f ca="1">(VLOOKUP(AL$13,INDIRECT($C$5&amp;"生成成长"),2))/((VLOOKUP($Q16,INDIRECT($B$5&amp;"生成成长"),4))/(VLOOKUP(AL$13,INDIRECT($C$5&amp;"生成成长"),5))*(VLOOKUP($B$5,标准坦克设计!$B$24:$U$30,MATCH("对"&amp;LEFT($C$5,2)&amp;"输出",标准坦克设计!$B$23:$U$23,0)))*(VLOOKUP($Q16,INDIRECT($B$5&amp;"生成成长"),3))*(VLOOKUP($B$5,标准坦克设计!$B$14:$K$20,9)/30))</f>
        <v>41.682085732977967</v>
      </c>
      <c r="AM16" s="173">
        <f ca="1">(VLOOKUP(AM$13,INDIRECT($C$5&amp;"生成成长"),2))/((VLOOKUP($Q16,INDIRECT($B$5&amp;"生成成长"),4))/(VLOOKUP(AM$13,INDIRECT($C$5&amp;"生成成长"),5))*(VLOOKUP($B$5,标准坦克设计!$B$24:$U$30,MATCH("对"&amp;LEFT($C$5,2)&amp;"输出",标准坦克设计!$B$23:$U$23,0)))*(VLOOKUP($Q16,INDIRECT($B$5&amp;"生成成长"),3))*(VLOOKUP($B$5,标准坦克设计!$B$14:$K$20,9)/30))</f>
        <v>157.44909088560703</v>
      </c>
    </row>
    <row r="17" spans="1:39" x14ac:dyDescent="0.15">
      <c r="A17" s="171" t="str">
        <f t="shared" si="1"/>
        <v>T4低品质</v>
      </c>
      <c r="B17" s="172">
        <v>10401</v>
      </c>
      <c r="C17" s="173">
        <f ca="1">(VLOOKUP(C$13,INDIRECT($C$5&amp;"生成成长"),2))/((VLOOKUP($B17,INDIRECT($B$5&amp;"生成成长"),4))/(VLOOKUP(C$13,INDIRECT($C$5&amp;"生成成长"),5))*(VLOOKUP($B$5,标准坦克设计!$B$24:$U$30,MATCH("对"&amp;LEFT($C$5,2)&amp;"输出",标准坦克设计!$B$23:$U$23,0)))*(VLOOKUP($B17,INDIRECT($B$5&amp;"生成成长"),3))*(VLOOKUP($B$5,标准坦克设计!$B$14:$K$20,9)/30))</f>
        <v>2.7069981061589412</v>
      </c>
      <c r="D17" s="173">
        <f ca="1">(VLOOKUP(D$13,INDIRECT($C$5&amp;"生成成长"),2))/((VLOOKUP($B17,INDIRECT($B$5&amp;"生成成长"),4))/(VLOOKUP(D$13,INDIRECT($C$5&amp;"生成成长"),5))*(VLOOKUP($B$5,标准坦克设计!$B$24:$U$30,MATCH("对"&amp;LEFT($C$5,2)&amp;"输出",标准坦克设计!$B$23:$U$23,0)))*(VLOOKUP($B17,INDIRECT($B$5&amp;"生成成长"),3))*(VLOOKUP($B$5,标准坦克设计!$B$14:$K$20,9)/30))</f>
        <v>3.6425366516474713</v>
      </c>
      <c r="E17" s="173">
        <f ca="1">(VLOOKUP(E$13,INDIRECT($C$5&amp;"生成成长"),2))/((VLOOKUP($B17,INDIRECT($B$5&amp;"生成成长"),4))/(VLOOKUP(E$13,INDIRECT($C$5&amp;"生成成长"),5))*(VLOOKUP($B$5,标准坦克设计!$B$24:$U$30,MATCH("对"&amp;LEFT($C$5,2)&amp;"输出",标准坦克设计!$B$23:$U$23,0)))*(VLOOKUP($B17,INDIRECT($B$5&amp;"生成成长"),3))*(VLOOKUP($B$5,标准坦克设计!$B$14:$K$20,9)/30))</f>
        <v>5.5355404272844195</v>
      </c>
      <c r="F17" s="173">
        <f ca="1">(VLOOKUP(F$13,INDIRECT($C$5&amp;"生成成长"),2))/((VLOOKUP($B17,INDIRECT($B$5&amp;"生成成长"),4))/(VLOOKUP(F$13,INDIRECT($C$5&amp;"生成成长"),5))*(VLOOKUP($B$5,标准坦克设计!$B$24:$U$30,MATCH("对"&amp;LEFT($C$5,2)&amp;"输出",标准坦克设计!$B$23:$U$23,0)))*(VLOOKUP($B17,INDIRECT($B$5&amp;"生成成长"),3))*(VLOOKUP($B$5,标准坦克设计!$B$14:$K$20,9)/30))</f>
        <v>9.0654659577156806</v>
      </c>
      <c r="G17" s="173">
        <f ca="1">(VLOOKUP(G$13,INDIRECT($C$5&amp;"生成成长"),2))/((VLOOKUP($B17,INDIRECT($B$5&amp;"生成成长"),4))/(VLOOKUP(G$13,INDIRECT($C$5&amp;"生成成长"),5))*(VLOOKUP($B$5,标准坦克设计!$B$24:$U$30,MATCH("对"&amp;LEFT($C$5,2)&amp;"输出",标准坦克设计!$B$23:$U$23,0)))*(VLOOKUP($B17,INDIRECT($B$5&amp;"生成成长"),3))*(VLOOKUP($B$5,标准坦克设计!$B$14:$K$20,9)/30))</f>
        <v>3.7692241630157102</v>
      </c>
      <c r="H17" s="173">
        <f ca="1">(VLOOKUP(H$13,INDIRECT($C$5&amp;"生成成长"),2))/((VLOOKUP($B17,INDIRECT($B$5&amp;"生成成长"),4))/(VLOOKUP(H$13,INDIRECT($C$5&amp;"生成成长"),5))*(VLOOKUP($B$5,标准坦克设计!$B$24:$U$30,MATCH("对"&amp;LEFT($C$5,2)&amp;"输出",标准坦克设计!$B$23:$U$23,0)))*(VLOOKUP($B17,INDIRECT($B$5&amp;"生成成长"),3))*(VLOOKUP($B$5,标准坦克设计!$B$14:$K$20,9)/30))</f>
        <v>5.7702371630884004</v>
      </c>
      <c r="I17" s="173">
        <f ca="1">(VLOOKUP(I$13,INDIRECT($C$5&amp;"生成成长"),2))/((VLOOKUP($B17,INDIRECT($B$5&amp;"生成成长"),4))/(VLOOKUP(I$13,INDIRECT($C$5&amp;"生成成长"),5))*(VLOOKUP($B$5,标准坦克设计!$B$24:$U$30,MATCH("对"&amp;LEFT($C$5,2)&amp;"输出",标准坦克设计!$B$23:$U$23,0)))*(VLOOKUP($B17,INDIRECT($B$5&amp;"生成成长"),3))*(VLOOKUP($B$5,标准坦克设计!$B$14:$K$20,9)/30))</f>
        <v>9.4661016774272024</v>
      </c>
      <c r="J17" s="173">
        <f ca="1">(VLOOKUP(J$13,INDIRECT($C$5&amp;"生成成长"),2))/((VLOOKUP($B17,INDIRECT($B$5&amp;"生成成长"),4))/(VLOOKUP(J$13,INDIRECT($C$5&amp;"生成成长"),5))*(VLOOKUP($B$5,标准坦克设计!$B$24:$U$30,MATCH("对"&amp;LEFT($C$5,2)&amp;"输出",标准坦克设计!$B$23:$U$23,0)))*(VLOOKUP($B17,INDIRECT($B$5&amp;"生成成长"),3))*(VLOOKUP($B$5,标准坦克设计!$B$14:$K$20,9)/30))</f>
        <v>15.984553117057935</v>
      </c>
      <c r="K17" s="173">
        <f ca="1">(VLOOKUP(K$13,INDIRECT($C$5&amp;"生成成长"),2))/((VLOOKUP($B17,INDIRECT($B$5&amp;"生成成长"),4))/(VLOOKUP(K$13,INDIRECT($C$5&amp;"生成成长"),5))*(VLOOKUP($B$5,标准坦克设计!$B$24:$U$30,MATCH("对"&amp;LEFT($C$5,2)&amp;"输出",标准坦克设计!$B$23:$U$23,0)))*(VLOOKUP($B17,INDIRECT($B$5&amp;"生成成长"),3))*(VLOOKUP($B$5,标准坦克设计!$B$14:$K$20,9)/30))</f>
        <v>6.009806495483466</v>
      </c>
      <c r="L17" s="173">
        <f ca="1">(VLOOKUP(L$13,INDIRECT($C$5&amp;"生成成长"),2))/((VLOOKUP($B17,INDIRECT($B$5&amp;"生成成长"),4))/(VLOOKUP(L$13,INDIRECT($C$5&amp;"生成成长"),5))*(VLOOKUP($B$5,标准坦克设计!$B$24:$U$30,MATCH("对"&amp;LEFT($C$5,2)&amp;"输出",标准坦克设计!$B$23:$U$23,0)))*(VLOOKUP($B17,INDIRECT($B$5&amp;"生成成长"),3))*(VLOOKUP($B$5,标准坦克设计!$B$14:$K$20,9)/30))</f>
        <v>9.8753997910784346</v>
      </c>
      <c r="M17" s="173">
        <f ca="1">(VLOOKUP(M$13,INDIRECT($C$5&amp;"生成成长"),2))/((VLOOKUP($B17,INDIRECT($B$5&amp;"生成成长"),4))/(VLOOKUP(M$13,INDIRECT($C$5&amp;"生成成长"),5))*(VLOOKUP($B$5,标准坦克设计!$B$24:$U$30,MATCH("对"&amp;LEFT($C$5,2)&amp;"输出",标准坦克设计!$B$23:$U$23,0)))*(VLOOKUP($B17,INDIRECT($B$5&amp;"生成成长"),3))*(VLOOKUP($B$5,标准坦克设计!$B$14:$K$20,9)/30))</f>
        <v>16.649121152119953</v>
      </c>
      <c r="P17" s="175" t="str">
        <f>"T"&amp;LEFT(RIGHT(Q17,3),1)&amp;""&amp;IF(LEFT(Q17,1)="1","低",IF(LEFT(Q17,1)="2","中","高"))&amp;"满"</f>
        <v>T2低满</v>
      </c>
      <c r="Q17" s="179">
        <v>10207</v>
      </c>
      <c r="R17" s="173">
        <f ca="1">(VLOOKUP(R$13,INDIRECT($C$5&amp;"生成成长"),2))/((VLOOKUP($Q17,INDIRECT($B$5&amp;"生成成长"),4))/(VLOOKUP(R$13,INDIRECT($C$5&amp;"生成成长"),5))*(VLOOKUP($B$5,标准坦克设计!$B$24:$U$30,MATCH("对"&amp;LEFT($C$5,2)&amp;"输出",标准坦克设计!$B$23:$U$23,0)))*(VLOOKUP($Q17,INDIRECT($B$5&amp;"生成成长"),3))*(VLOOKUP($B$5,标准坦克设计!$B$14:$K$20,9)/30))</f>
        <v>3.3664855427459788</v>
      </c>
      <c r="S17" s="173">
        <f ca="1">(VLOOKUP(S$13,INDIRECT($C$5&amp;"生成成长"),2))/((VLOOKUP($Q17,INDIRECT($B$5&amp;"生成成长"),4))/(VLOOKUP(S$13,INDIRECT($C$5&amp;"生成成长"),5))*(VLOOKUP($B$5,标准坦克设计!$B$24:$U$30,MATCH("对"&amp;LEFT($C$5,2)&amp;"输出",标准坦克设计!$B$23:$U$23,0)))*(VLOOKUP($Q17,INDIRECT($B$5&amp;"生成成长"),3))*(VLOOKUP($B$5,标准坦克设计!$B$14:$K$20,9)/30))</f>
        <v>5.1763081705262168</v>
      </c>
      <c r="T17" s="173">
        <f ca="1">(VLOOKUP(T$13,INDIRECT($C$5&amp;"生成成长"),2))/((VLOOKUP($Q17,INDIRECT($B$5&amp;"生成成长"),4))/(VLOOKUP(T$13,INDIRECT($C$5&amp;"生成成长"),5))*(VLOOKUP($B$5,标准坦克设计!$B$24:$U$30,MATCH("对"&amp;LEFT($C$5,2)&amp;"输出",标准坦克设计!$B$23:$U$23,0)))*(VLOOKUP($Q17,INDIRECT($B$5&amp;"生成成长"),3))*(VLOOKUP($B$5,标准坦克设计!$B$14:$K$20,9)/30))</f>
        <v>4.5299429463189886</v>
      </c>
      <c r="U17" s="173">
        <f ca="1">(VLOOKUP(U$13,INDIRECT($C$5&amp;"生成成长"),2))/((VLOOKUP($Q17,INDIRECT($B$5&amp;"生成成长"),4))/(VLOOKUP(U$13,INDIRECT($C$5&amp;"生成成长"),5))*(VLOOKUP($B$5,标准坦克设计!$B$24:$U$30,MATCH("对"&amp;LEFT($C$5,2)&amp;"输出",标准坦克设计!$B$23:$U$23,0)))*(VLOOKUP($Q17,INDIRECT($B$5&amp;"生成成长"),3))*(VLOOKUP($B$5,标准坦克设计!$B$14:$K$20,9)/30))</f>
        <v>9.0544995157695833</v>
      </c>
      <c r="V17" s="173">
        <f ca="1">(VLOOKUP(V$13,INDIRECT($C$5&amp;"生成成长"),2))/((VLOOKUP($Q17,INDIRECT($B$5&amp;"生成成长"),4))/(VLOOKUP(V$13,INDIRECT($C$5&amp;"生成成长"),5))*(VLOOKUP($B$5,标准坦克设计!$B$24:$U$30,MATCH("对"&amp;LEFT($C$5,2)&amp;"输出",标准坦克设计!$B$23:$U$23,0)))*(VLOOKUP($Q17,INDIRECT($B$5&amp;"生成成长"),3))*(VLOOKUP($B$5,标准坦克设计!$B$14:$K$20,9)/30))</f>
        <v>6.8841262863612513</v>
      </c>
      <c r="W17" s="173">
        <f ca="1">(VLOOKUP(W$13,INDIRECT($C$5&amp;"生成成长"),2))/((VLOOKUP($Q17,INDIRECT($B$5&amp;"生成成长"),4))/(VLOOKUP(W$13,INDIRECT($C$5&amp;"生成成长"),5))*(VLOOKUP($B$5,标准坦克设计!$B$24:$U$30,MATCH("对"&amp;LEFT($C$5,2)&amp;"输出",标准坦克设计!$B$23:$U$23,0)))*(VLOOKUP($Q17,INDIRECT($B$5&amp;"生成成长"),3))*(VLOOKUP($B$5,标准坦克设计!$B$14:$K$20,9)/30))</f>
        <v>15.561579421343284</v>
      </c>
      <c r="X17" s="173">
        <f ca="1">(VLOOKUP(X$13,INDIRECT($C$5&amp;"生成成长"),2))/((VLOOKUP($Q17,INDIRECT($B$5&amp;"生成成长"),4))/(VLOOKUP(X$13,INDIRECT($C$5&amp;"生成成长"),5))*(VLOOKUP($B$5,标准坦克设计!$B$24:$U$30,MATCH("对"&amp;LEFT($C$5,2)&amp;"输出",标准坦克设计!$B$23:$U$23,0)))*(VLOOKUP($Q17,INDIRECT($B$5&amp;"生成成长"),3))*(VLOOKUP($B$5,标准坦克设计!$B$14:$K$20,9)/30))</f>
        <v>11.274023434102006</v>
      </c>
      <c r="Y17" s="173">
        <f ca="1">(VLOOKUP(Y$13,INDIRECT($C$5&amp;"生成成长"),2))/((VLOOKUP($Q17,INDIRECT($B$5&amp;"生成成长"),4))/(VLOOKUP(Y$13,INDIRECT($C$5&amp;"生成成长"),5))*(VLOOKUP($B$5,标准坦克设计!$B$24:$U$30,MATCH("对"&amp;LEFT($C$5,2)&amp;"输出",标准坦克设计!$B$23:$U$23,0)))*(VLOOKUP($Q17,INDIRECT($B$5&amp;"生成成长"),3))*(VLOOKUP($B$5,标准坦克设计!$B$14:$K$20,9)/30))</f>
        <v>26.961846063298267</v>
      </c>
      <c r="Z17" s="173">
        <f ca="1">(VLOOKUP(Z$13,INDIRECT($C$5&amp;"生成成长"),2))/((VLOOKUP($Q17,INDIRECT($B$5&amp;"生成成长"),4))/(VLOOKUP(Z$13,INDIRECT($C$5&amp;"生成成长"),5))*(VLOOKUP($B$5,标准坦克设计!$B$24:$U$30,MATCH("对"&amp;LEFT($C$5,2)&amp;"输出",标准坦克设计!$B$23:$U$23,0)))*(VLOOKUP($Q17,INDIRECT($B$5&amp;"生成成长"),3))*(VLOOKUP($B$5,标准坦克设计!$B$14:$K$20,9)/30))</f>
        <v>4.6874944697195007</v>
      </c>
      <c r="AA17" s="173">
        <f ca="1">(VLOOKUP(AA$13,INDIRECT($C$5&amp;"生成成长"),2))/((VLOOKUP($Q17,INDIRECT($B$5&amp;"生成成长"),4))/(VLOOKUP(AA$13,INDIRECT($C$5&amp;"生成成长"),5))*(VLOOKUP($B$5,标准坦克设计!$B$24:$U$30,MATCH("对"&amp;LEFT($C$5,2)&amp;"输出",标准坦克设计!$B$23:$U$23,0)))*(VLOOKUP($Q17,INDIRECT($B$5&amp;"生成成长"),3))*(VLOOKUP($B$5,标准坦克设计!$B$14:$K$20,9)/30))</f>
        <v>14.846201243509764</v>
      </c>
      <c r="AB17" s="173">
        <f ca="1">(VLOOKUP(AB$13,INDIRECT($C$5&amp;"生成成长"),2))/((VLOOKUP($Q17,INDIRECT($B$5&amp;"生成成长"),4))/(VLOOKUP(AB$13,INDIRECT($C$5&amp;"生成成长"),5))*(VLOOKUP($B$5,标准坦克设计!$B$24:$U$30,MATCH("对"&amp;LEFT($C$5,2)&amp;"输出",标准坦克设计!$B$23:$U$23,0)))*(VLOOKUP($Q17,INDIRECT($B$5&amp;"生成成长"),3))*(VLOOKUP($B$5,标准坦克设计!$B$14:$K$20,9)/30))</f>
        <v>7.1760005829173279</v>
      </c>
      <c r="AC17" s="173">
        <f ca="1">(VLOOKUP(AC$13,INDIRECT($C$5&amp;"生成成长"),2))/((VLOOKUP($Q17,INDIRECT($B$5&amp;"生成成长"),4))/(VLOOKUP(AC$13,INDIRECT($C$5&amp;"生成成长"),5))*(VLOOKUP($B$5,标准坦克设计!$B$24:$U$30,MATCH("对"&amp;LEFT($C$5,2)&amp;"输出",标准坦克设计!$B$23:$U$23,0)))*(VLOOKUP($Q17,INDIRECT($B$5&amp;"生成成长"),3))*(VLOOKUP($B$5,标准坦克设计!$B$14:$K$20,9)/30))</f>
        <v>25.830706920935615</v>
      </c>
      <c r="AD17" s="173">
        <f ca="1">(VLOOKUP(AD$13,INDIRECT($C$5&amp;"生成成长"),2))/((VLOOKUP($Q17,INDIRECT($B$5&amp;"生成成长"),4))/(VLOOKUP(AD$13,INDIRECT($C$5&amp;"生成成长"),5))*(VLOOKUP($B$5,标准坦克设计!$B$24:$U$30,MATCH("对"&amp;LEFT($C$5,2)&amp;"输出",标准坦克设计!$B$23:$U$23,0)))*(VLOOKUP($Q17,INDIRECT($B$5&amp;"生成成长"),3))*(VLOOKUP($B$5,标准坦克设计!$B$14:$K$20,9)/30))</f>
        <v>11.772263294428411</v>
      </c>
      <c r="AE17" s="173">
        <f ca="1">(VLOOKUP(AE$13,INDIRECT($C$5&amp;"生成成长"),2))/((VLOOKUP($Q17,INDIRECT($B$5&amp;"生成成长"),4))/(VLOOKUP(AE$13,INDIRECT($C$5&amp;"生成成长"),5))*(VLOOKUP($B$5,标准坦克设计!$B$24:$U$30,MATCH("对"&amp;LEFT($C$5,2)&amp;"输出",标准坦克设计!$B$23:$U$23,0)))*(VLOOKUP($Q17,INDIRECT($B$5&amp;"生成成长"),3))*(VLOOKUP($B$5,标准坦克设计!$B$14:$K$20,9)/30))</f>
        <v>44.359843348209495</v>
      </c>
      <c r="AF17" s="173">
        <f ca="1">(VLOOKUP(AF$13,INDIRECT($C$5&amp;"生成成长"),2))/((VLOOKUP($Q17,INDIRECT($B$5&amp;"生成成长"),4))/(VLOOKUP(AF$13,INDIRECT($C$5&amp;"生成成长"),5))*(VLOOKUP($B$5,标准坦克设计!$B$24:$U$30,MATCH("对"&amp;LEFT($C$5,2)&amp;"输出",标准坦克设计!$B$23:$U$23,0)))*(VLOOKUP($Q17,INDIRECT($B$5&amp;"生成成长"),3))*(VLOOKUP($B$5,标准坦克设计!$B$14:$K$20,9)/30))</f>
        <v>19.878760481360725</v>
      </c>
      <c r="AG17" s="173">
        <f ca="1">(VLOOKUP(AG$13,INDIRECT($C$5&amp;"生成成长"),2))/((VLOOKUP($Q17,INDIRECT($B$5&amp;"生成成长"),4))/(VLOOKUP(AG$13,INDIRECT($C$5&amp;"生成成长"),5))*(VLOOKUP($B$5,标准坦克设计!$B$24:$U$30,MATCH("对"&amp;LEFT($C$5,2)&amp;"输出",标准坦克设计!$B$23:$U$23,0)))*(VLOOKUP($Q17,INDIRECT($B$5&amp;"生成成长"),3))*(VLOOKUP($B$5,标准坦克设计!$B$14:$K$20,9)/30))</f>
        <v>74.365665639258651</v>
      </c>
      <c r="AH17" s="173">
        <f ca="1">(VLOOKUP(AH$13,INDIRECT($C$5&amp;"生成成长"),2))/((VLOOKUP($Q17,INDIRECT($B$5&amp;"生成成长"),4))/(VLOOKUP(AH$13,INDIRECT($C$5&amp;"生成成长"),5))*(VLOOKUP($B$5,标准坦克设计!$B$24:$U$30,MATCH("对"&amp;LEFT($C$5,2)&amp;"输出",标准坦克设计!$B$23:$U$23,0)))*(VLOOKUP($Q17,INDIRECT($B$5&amp;"生成成长"),3))*(VLOOKUP($B$5,标准坦克设计!$B$14:$K$20,9)/30))</f>
        <v>7.4739345534503467</v>
      </c>
      <c r="AI17" s="173">
        <f ca="1">(VLOOKUP(AI$13,INDIRECT($C$5&amp;"生成成长"),2))/((VLOOKUP($Q17,INDIRECT($B$5&amp;"生成成长"),4))/(VLOOKUP(AI$13,INDIRECT($C$5&amp;"生成成长"),5))*(VLOOKUP($B$5,标准坦克设计!$B$24:$U$30,MATCH("对"&amp;LEFT($C$5,2)&amp;"输出",标准坦克设计!$B$23:$U$23,0)))*(VLOOKUP($Q17,INDIRECT($B$5&amp;"生成成长"),3))*(VLOOKUP($B$5,标准坦克设计!$B$14:$K$20,9)/30))</f>
        <v>27.344278820954212</v>
      </c>
      <c r="AJ17" s="173">
        <f ca="1">(VLOOKUP(AJ$13,INDIRECT($C$5&amp;"生成成长"),2))/((VLOOKUP($Q17,INDIRECT($B$5&amp;"生成成长"),4))/(VLOOKUP(AJ$13,INDIRECT($C$5&amp;"生成成长"),5))*(VLOOKUP($B$5,标准坦克设计!$B$24:$U$30,MATCH("对"&amp;LEFT($C$5,2)&amp;"输出",标准坦克设计!$B$23:$U$23,0)))*(VLOOKUP($Q17,INDIRECT($B$5&amp;"生成成长"),3))*(VLOOKUP($B$5,标准坦克设计!$B$14:$K$20,9)/30))</f>
        <v>12.281275908491603</v>
      </c>
      <c r="AK17" s="173">
        <f ca="1">(VLOOKUP(AK$13,INDIRECT($C$5&amp;"生成成长"),2))/((VLOOKUP($Q17,INDIRECT($B$5&amp;"生成成长"),4))/(VLOOKUP(AK$13,INDIRECT($C$5&amp;"生成成长"),5))*(VLOOKUP($B$5,标准坦克设计!$B$24:$U$30,MATCH("对"&amp;LEFT($C$5,2)&amp;"输出",标准坦克设计!$B$23:$U$23,0)))*(VLOOKUP($Q17,INDIRECT($B$5&amp;"生成成长"),3))*(VLOOKUP($B$5,标准坦克设计!$B$14:$K$20,9)/30))</f>
        <v>46.837576707670522</v>
      </c>
      <c r="AL17" s="173">
        <f ca="1">(VLOOKUP(AL$13,INDIRECT($C$5&amp;"生成成长"),2))/((VLOOKUP($Q17,INDIRECT($B$5&amp;"生成成长"),4))/(VLOOKUP(AL$13,INDIRECT($C$5&amp;"生成成长"),5))*(VLOOKUP($B$5,标准坦克设计!$B$24:$U$30,MATCH("对"&amp;LEFT($C$5,2)&amp;"输出",标准坦克设计!$B$23:$U$23,0)))*(VLOOKUP($Q17,INDIRECT($B$5&amp;"生成成长"),3))*(VLOOKUP($B$5,标准坦克设计!$B$14:$K$20,9)/30))</f>
        <v>20.705232682104867</v>
      </c>
      <c r="AM17" s="173">
        <f ca="1">(VLOOKUP(AM$13,INDIRECT($C$5&amp;"生成成长"),2))/((VLOOKUP($Q17,INDIRECT($B$5&amp;"生成成长"),4))/(VLOOKUP(AM$13,INDIRECT($C$5&amp;"生成成长"),5))*(VLOOKUP($B$5,标准坦克设计!$B$24:$U$30,MATCH("对"&amp;LEFT($C$5,2)&amp;"输出",标准坦克设计!$B$23:$U$23,0)))*(VLOOKUP($Q17,INDIRECT($B$5&amp;"生成成长"),3))*(VLOOKUP($B$5,标准坦克设计!$B$14:$K$20,9)/30))</f>
        <v>78.211538723291667</v>
      </c>
    </row>
    <row r="18" spans="1:39" x14ac:dyDescent="0.15">
      <c r="A18" s="171" t="str">
        <f t="shared" si="1"/>
        <v>T5低品质</v>
      </c>
      <c r="B18" s="172">
        <v>10501</v>
      </c>
      <c r="C18" s="173">
        <f ca="1">(VLOOKUP(C$13,INDIRECT($C$5&amp;"生成成长"),2))/((VLOOKUP($B18,INDIRECT($B$5&amp;"生成成长"),4))/(VLOOKUP(C$13,INDIRECT($C$5&amp;"生成成长"),5))*(VLOOKUP($B$5,标准坦克设计!$B$24:$U$30,MATCH("对"&amp;LEFT($C$5,2)&amp;"输出",标准坦克设计!$B$23:$U$23,0)))*(VLOOKUP($B18,INDIRECT($B$5&amp;"生成成长"),3))*(VLOOKUP($B$5,标准坦克设计!$B$14:$K$20,9)/30))</f>
        <v>1.5994156435284079</v>
      </c>
      <c r="D18" s="173">
        <f ca="1">(VLOOKUP(D$13,INDIRECT($C$5&amp;"生成成长"),2))/((VLOOKUP($B18,INDIRECT($B$5&amp;"生成成长"),4))/(VLOOKUP(D$13,INDIRECT($C$5&amp;"生成成长"),5))*(VLOOKUP($B$5,标准坦克设计!$B$24:$U$30,MATCH("对"&amp;LEFT($C$5,2)&amp;"输出",标准坦克设计!$B$23:$U$23,0)))*(VLOOKUP($B18,INDIRECT($B$5&amp;"生成成长"),3))*(VLOOKUP($B$5,标准坦克设计!$B$14:$K$20,9)/30))</f>
        <v>2.1521736899318253</v>
      </c>
      <c r="E18" s="173">
        <f ca="1">(VLOOKUP(E$13,INDIRECT($C$5&amp;"生成成长"),2))/((VLOOKUP($B18,INDIRECT($B$5&amp;"生成成长"),4))/(VLOOKUP(E$13,INDIRECT($C$5&amp;"生成成长"),5))*(VLOOKUP($B$5,标准坦克设计!$B$24:$U$30,MATCH("对"&amp;LEFT($C$5,2)&amp;"输出",标准坦克设计!$B$23:$U$23,0)))*(VLOOKUP($B18,INDIRECT($B$5&amp;"生成成长"),3))*(VLOOKUP($B$5,标准坦克设计!$B$14:$K$20,9)/30))</f>
        <v>3.2706450494512409</v>
      </c>
      <c r="F18" s="173">
        <f ca="1">(VLOOKUP(F$13,INDIRECT($C$5&amp;"生成成长"),2))/((VLOOKUP($B18,INDIRECT($B$5&amp;"生成成长"),4))/(VLOOKUP(F$13,INDIRECT($C$5&amp;"生成成长"),5))*(VLOOKUP($B$5,标准坦克设计!$B$24:$U$30,MATCH("对"&amp;LEFT($C$5,2)&amp;"输出",标准坦克设计!$B$23:$U$23,0)))*(VLOOKUP($B18,INDIRECT($B$5&amp;"生成成长"),3))*(VLOOKUP($B$5,标准坦克设计!$B$14:$K$20,9)/30))</f>
        <v>5.3562830486122852</v>
      </c>
      <c r="G18" s="173">
        <f ca="1">(VLOOKUP(G$13,INDIRECT($C$5&amp;"生成成长"),2))/((VLOOKUP($B18,INDIRECT($B$5&amp;"生成成长"),4))/(VLOOKUP(G$13,INDIRECT($C$5&amp;"生成成长"),5))*(VLOOKUP($B$5,标准坦克设计!$B$24:$U$30,MATCH("对"&amp;LEFT($C$5,2)&amp;"输出",标准坦克设计!$B$23:$U$23,0)))*(VLOOKUP($B18,INDIRECT($B$5&amp;"生成成长"),3))*(VLOOKUP($B$5,标准坦克设计!$B$14:$K$20,9)/30))</f>
        <v>2.2270263420489549</v>
      </c>
      <c r="H18" s="173">
        <f ca="1">(VLOOKUP(H$13,INDIRECT($C$5&amp;"生成成长"),2))/((VLOOKUP($B18,INDIRECT($B$5&amp;"生成成长"),4))/(VLOOKUP(H$13,INDIRECT($C$5&amp;"生成成长"),5))*(VLOOKUP($B$5,标准坦克设计!$B$24:$U$30,MATCH("对"&amp;LEFT($C$5,2)&amp;"输出",标准坦克设计!$B$23:$U$23,0)))*(VLOOKUP($B18,INDIRECT($B$5&amp;"生成成长"),3))*(VLOOKUP($B$5,标准坦克设计!$B$14:$K$20,9)/30))</f>
        <v>3.4093143857451533</v>
      </c>
      <c r="I18" s="173">
        <f ca="1">(VLOOKUP(I$13,INDIRECT($C$5&amp;"生成成长"),2))/((VLOOKUP($B18,INDIRECT($B$5&amp;"生成成长"),4))/(VLOOKUP(I$13,INDIRECT($C$5&amp;"生成成长"),5))*(VLOOKUP($B$5,标准坦克设计!$B$24:$U$30,MATCH("对"&amp;LEFT($C$5,2)&amp;"输出",标准坦克设计!$B$23:$U$23,0)))*(VLOOKUP($B18,INDIRECT($B$5&amp;"生成成长"),3))*(VLOOKUP($B$5,标准坦克设计!$B$14:$K$20,9)/30))</f>
        <v>5.5929965638544887</v>
      </c>
      <c r="J18" s="173">
        <f ca="1">(VLOOKUP(J$13,INDIRECT($C$5&amp;"生成成长"),2))/((VLOOKUP($B18,INDIRECT($B$5&amp;"生成成长"),4))/(VLOOKUP(J$13,INDIRECT($C$5&amp;"生成成长"),5))*(VLOOKUP($B$5,标准坦克设计!$B$24:$U$30,MATCH("对"&amp;LEFT($C$5,2)&amp;"输出",标准坦克设计!$B$23:$U$23,0)))*(VLOOKUP($B18,INDIRECT($B$5&amp;"生成成长"),3))*(VLOOKUP($B$5,标准坦克设计!$B$14:$K$20,9)/30))</f>
        <v>9.4443894334708958</v>
      </c>
      <c r="K18" s="173">
        <f ca="1">(VLOOKUP(K$13,INDIRECT($C$5&amp;"生成成长"),2))/((VLOOKUP($B18,INDIRECT($B$5&amp;"生成成长"),4))/(VLOOKUP(K$13,INDIRECT($C$5&amp;"生成成长"),5))*(VLOOKUP($B$5,标准坦克设计!$B$24:$U$30,MATCH("对"&amp;LEFT($C$5,2)&amp;"输出",标准坦克设计!$B$23:$U$23,0)))*(VLOOKUP($B18,INDIRECT($B$5&amp;"生成成长"),3))*(VLOOKUP($B$5,标准坦克设计!$B$14:$K$20,9)/30))</f>
        <v>3.5508626701974184</v>
      </c>
      <c r="L18" s="173">
        <f ca="1">(VLOOKUP(L$13,INDIRECT($C$5&amp;"生成成长"),2))/((VLOOKUP($B18,INDIRECT($B$5&amp;"生成成长"),4))/(VLOOKUP(L$13,INDIRECT($C$5&amp;"生成成长"),5))*(VLOOKUP($B$5,标准坦克设计!$B$24:$U$30,MATCH("对"&amp;LEFT($C$5,2)&amp;"输出",标准坦克设计!$B$23:$U$23,0)))*(VLOOKUP($B18,INDIRECT($B$5&amp;"生成成长"),3))*(VLOOKUP($B$5,标准坦克设计!$B$14:$K$20,9)/30))</f>
        <v>5.8348282091559849</v>
      </c>
      <c r="M18" s="173">
        <f ca="1">(VLOOKUP(M$13,INDIRECT($C$5&amp;"生成成长"),2))/((VLOOKUP($B18,INDIRECT($B$5&amp;"生成成长"),4))/(VLOOKUP(M$13,INDIRECT($C$5&amp;"生成成长"),5))*(VLOOKUP($B$5,标准坦克设计!$B$24:$U$30,MATCH("对"&amp;LEFT($C$5,2)&amp;"输出",标准坦克设计!$B$23:$U$23,0)))*(VLOOKUP($B18,INDIRECT($B$5&amp;"生成成长"),3))*(VLOOKUP($B$5,标准坦克设计!$B$14:$K$20,9)/30))</f>
        <v>9.8370459739571192</v>
      </c>
      <c r="P18" s="171" t="str">
        <f>"T"&amp;LEFT(RIGHT(Q18,3),1)&amp;""&amp;IF(LEFT(Q18,1)="1","低",IF(LEFT(Q18,1)="2","中","高"))&amp;"初"</f>
        <v>T3低初</v>
      </c>
      <c r="Q18" s="172">
        <v>10301</v>
      </c>
      <c r="R18" s="173">
        <f ca="1">(VLOOKUP(R$13,INDIRECT($C$5&amp;"生成成长"),2))/((VLOOKUP($Q18,INDIRECT($B$5&amp;"生成成长"),4))/(VLOOKUP(R$13,INDIRECT($C$5&amp;"生成成长"),5))*(VLOOKUP($B$5,标准坦克设计!$B$24:$U$30,MATCH("对"&amp;LEFT($C$5,2)&amp;"输出",标准坦克设计!$B$23:$U$23,0)))*(VLOOKUP($Q18,INDIRECT($B$5&amp;"生成成长"),3))*(VLOOKUP($B$5,标准坦克设计!$B$14:$K$20,9)/30))</f>
        <v>4.4366074960345108</v>
      </c>
      <c r="S18" s="173">
        <f ca="1">(VLOOKUP(S$13,INDIRECT($C$5&amp;"生成成长"),2))/((VLOOKUP($Q18,INDIRECT($B$5&amp;"生成成长"),4))/(VLOOKUP(S$13,INDIRECT($C$5&amp;"生成成长"),5))*(VLOOKUP($B$5,标准坦克设计!$B$24:$U$30,MATCH("对"&amp;LEFT($C$5,2)&amp;"输出",标准坦克设计!$B$23:$U$23,0)))*(VLOOKUP($Q18,INDIRECT($B$5&amp;"生成成长"),3))*(VLOOKUP($B$5,标准坦克设计!$B$14:$K$20,9)/30))</f>
        <v>6.8217276859026637</v>
      </c>
      <c r="T18" s="173">
        <f ca="1">(VLOOKUP(T$13,INDIRECT($C$5&amp;"生成成长"),2))/((VLOOKUP($Q18,INDIRECT($B$5&amp;"生成成长"),4))/(VLOOKUP(T$13,INDIRECT($C$5&amp;"生成成长"),5))*(VLOOKUP($B$5,标准坦克设计!$B$24:$U$30,MATCH("对"&amp;LEFT($C$5,2)&amp;"输出",标准坦克设计!$B$23:$U$23,0)))*(VLOOKUP($Q18,INDIRECT($B$5&amp;"生成成长"),3))*(VLOOKUP($B$5,标准坦克设计!$B$14:$K$20,9)/30))</f>
        <v>5.9698990466640387</v>
      </c>
      <c r="U18" s="173">
        <f ca="1">(VLOOKUP(U$13,INDIRECT($C$5&amp;"生成成长"),2))/((VLOOKUP($Q18,INDIRECT($B$5&amp;"生成成长"),4))/(VLOOKUP(U$13,INDIRECT($C$5&amp;"生成成长"),5))*(VLOOKUP($B$5,标准坦克设计!$B$24:$U$30,MATCH("对"&amp;LEFT($C$5,2)&amp;"输出",标准坦克设计!$B$23:$U$23,0)))*(VLOOKUP($Q18,INDIRECT($B$5&amp;"生成成长"),3))*(VLOOKUP($B$5,标准坦克设计!$B$14:$K$20,9)/30))</f>
        <v>11.932699521334422</v>
      </c>
      <c r="V18" s="173">
        <f ca="1">(VLOOKUP(V$13,INDIRECT($C$5&amp;"生成成长"),2))/((VLOOKUP($Q18,INDIRECT($B$5&amp;"生成成长"),4))/(VLOOKUP(V$13,INDIRECT($C$5&amp;"生成成长"),5))*(VLOOKUP($B$5,标准坦克设计!$B$24:$U$30,MATCH("对"&amp;LEFT($C$5,2)&amp;"输出",标准坦克设计!$B$23:$U$23,0)))*(VLOOKUP($Q18,INDIRECT($B$5&amp;"生成成长"),3))*(VLOOKUP($B$5,标准坦克设计!$B$14:$K$20,9)/30))</f>
        <v>9.0724186686409709</v>
      </c>
      <c r="W18" s="173">
        <f ca="1">(VLOOKUP(W$13,INDIRECT($C$5&amp;"生成成长"),2))/((VLOOKUP($Q18,INDIRECT($B$5&amp;"生成成长"),4))/(VLOOKUP(W$13,INDIRECT($C$5&amp;"生成成长"),5))*(VLOOKUP($B$5,标准坦克设计!$B$24:$U$30,MATCH("对"&amp;LEFT($C$5,2)&amp;"输出",标准坦克设计!$B$23:$U$23,0)))*(VLOOKUP($Q18,INDIRECT($B$5&amp;"生成成长"),3))*(VLOOKUP($B$5,标准坦克设计!$B$14:$K$20,9)/30))</f>
        <v>20.50821815041953</v>
      </c>
      <c r="X18" s="173">
        <f ca="1">(VLOOKUP(X$13,INDIRECT($C$5&amp;"生成成长"),2))/((VLOOKUP($Q18,INDIRECT($B$5&amp;"生成成长"),4))/(VLOOKUP(X$13,INDIRECT($C$5&amp;"生成成长"),5))*(VLOOKUP($B$5,标准坦克设计!$B$24:$U$30,MATCH("对"&amp;LEFT($C$5,2)&amp;"输出",标准坦克设计!$B$23:$U$23,0)))*(VLOOKUP($Q18,INDIRECT($B$5&amp;"生成成长"),3))*(VLOOKUP($B$5,标准坦克设计!$B$14:$K$20,9)/30))</f>
        <v>14.857754843469975</v>
      </c>
      <c r="Y18" s="173">
        <f ca="1">(VLOOKUP(Y$13,INDIRECT($C$5&amp;"生成成长"),2))/((VLOOKUP($Q18,INDIRECT($B$5&amp;"生成成长"),4))/(VLOOKUP(Y$13,INDIRECT($C$5&amp;"生成成长"),5))*(VLOOKUP($B$5,标准坦克设计!$B$24:$U$30,MATCH("对"&amp;LEFT($C$5,2)&amp;"输出",标准坦克设计!$B$23:$U$23,0)))*(VLOOKUP($Q18,INDIRECT($B$5&amp;"生成成长"),3))*(VLOOKUP($B$5,标准坦克设计!$B$14:$K$20,9)/30))</f>
        <v>35.532345774990794</v>
      </c>
      <c r="Z18" s="173">
        <f ca="1">(VLOOKUP(Z$13,INDIRECT($C$5&amp;"生成成长"),2))/((VLOOKUP($Q18,INDIRECT($B$5&amp;"生成成长"),4))/(VLOOKUP(Z$13,INDIRECT($C$5&amp;"生成成长"),5))*(VLOOKUP($B$5,标准坦克设计!$B$24:$U$30,MATCH("对"&amp;LEFT($C$5,2)&amp;"输出",标准坦克设计!$B$23:$U$23,0)))*(VLOOKUP($Q18,INDIRECT($B$5&amp;"生成成长"),3))*(VLOOKUP($B$5,标准坦克设计!$B$14:$K$20,9)/30))</f>
        <v>6.1775322774784529</v>
      </c>
      <c r="AA18" s="173">
        <f ca="1">(VLOOKUP(AA$13,INDIRECT($C$5&amp;"生成成长"),2))/((VLOOKUP($Q18,INDIRECT($B$5&amp;"生成成长"),4))/(VLOOKUP(AA$13,INDIRECT($C$5&amp;"生成成长"),5))*(VLOOKUP($B$5,标准坦克设计!$B$24:$U$30,MATCH("对"&amp;LEFT($C$5,2)&amp;"输出",标准坦克设计!$B$23:$U$23,0)))*(VLOOKUP($Q18,INDIRECT($B$5&amp;"生成成长"),3))*(VLOOKUP($B$5,标准坦克设计!$B$14:$K$20,9)/30))</f>
        <v>19.565439057512194</v>
      </c>
      <c r="AB18" s="173">
        <f ca="1">(VLOOKUP(AB$13,INDIRECT($C$5&amp;"生成成长"),2))/((VLOOKUP($Q18,INDIRECT($B$5&amp;"生成成长"),4))/(VLOOKUP(AB$13,INDIRECT($C$5&amp;"生成成长"),5))*(VLOOKUP($B$5,标准坦克设计!$B$24:$U$30,MATCH("对"&amp;LEFT($C$5,2)&amp;"输出",标准坦克设计!$B$23:$U$23,0)))*(VLOOKUP($Q18,INDIRECT($B$5&amp;"生成成长"),3))*(VLOOKUP($B$5,标准坦克设计!$B$14:$K$20,9)/30))</f>
        <v>9.4570725385471643</v>
      </c>
      <c r="AC18" s="173">
        <f ca="1">(VLOOKUP(AC$13,INDIRECT($C$5&amp;"生成成长"),2))/((VLOOKUP($Q18,INDIRECT($B$5&amp;"生成成长"),4))/(VLOOKUP(AC$13,INDIRECT($C$5&amp;"生成成长"),5))*(VLOOKUP($B$5,标准坦克设计!$B$24:$U$30,MATCH("对"&amp;LEFT($C$5,2)&amp;"输出",标准坦克设计!$B$23:$U$23,0)))*(VLOOKUP($Q18,INDIRECT($B$5&amp;"生成成长"),3))*(VLOOKUP($B$5,标准坦克设计!$B$14:$K$20,9)/30))</f>
        <v>34.041645656323197</v>
      </c>
      <c r="AD18" s="173">
        <f ca="1">(VLOOKUP(AD$13,INDIRECT($C$5&amp;"生成成长"),2))/((VLOOKUP($Q18,INDIRECT($B$5&amp;"生成成长"),4))/(VLOOKUP(AD$13,INDIRECT($C$5&amp;"生成成长"),5))*(VLOOKUP($B$5,标准坦克设计!$B$24:$U$30,MATCH("对"&amp;LEFT($C$5,2)&amp;"输出",标准坦克设计!$B$23:$U$23,0)))*(VLOOKUP($Q18,INDIRECT($B$5&amp;"生成成长"),3))*(VLOOKUP($B$5,标准坦克设计!$B$14:$K$20,9)/30))</f>
        <v>15.514372752883082</v>
      </c>
      <c r="AE18" s="173">
        <f ca="1">(VLOOKUP(AE$13,INDIRECT($C$5&amp;"生成成长"),2))/((VLOOKUP($Q18,INDIRECT($B$5&amp;"生成成长"),4))/(VLOOKUP(AE$13,INDIRECT($C$5&amp;"生成成长"),5))*(VLOOKUP($B$5,标准坦克设计!$B$24:$U$30,MATCH("对"&amp;LEFT($C$5,2)&amp;"输出",标准坦克设计!$B$23:$U$23,0)))*(VLOOKUP($Q18,INDIRECT($B$5&amp;"生成成长"),3))*(VLOOKUP($B$5,标准坦克设计!$B$14:$K$20,9)/30))</f>
        <v>58.460733314497148</v>
      </c>
      <c r="AF18" s="173">
        <f ca="1">(VLOOKUP(AF$13,INDIRECT($C$5&amp;"生成成长"),2))/((VLOOKUP($Q18,INDIRECT($B$5&amp;"生成成长"),4))/(VLOOKUP(AF$13,INDIRECT($C$5&amp;"生成成长"),5))*(VLOOKUP($B$5,标准坦克设计!$B$24:$U$30,MATCH("对"&amp;LEFT($C$5,2)&amp;"输出",标准坦克设计!$B$23:$U$23,0)))*(VLOOKUP($Q18,INDIRECT($B$5&amp;"生成成长"),3))*(VLOOKUP($B$5,标准坦克设计!$B$14:$K$20,9)/30))</f>
        <v>26.197723603334182</v>
      </c>
      <c r="AG18" s="173">
        <f ca="1">(VLOOKUP(AG$13,INDIRECT($C$5&amp;"生成成长"),2))/((VLOOKUP($Q18,INDIRECT($B$5&amp;"生成成长"),4))/(VLOOKUP(AG$13,INDIRECT($C$5&amp;"生成成长"),5))*(VLOOKUP($B$5,标准坦克设计!$B$24:$U$30,MATCH("对"&amp;LEFT($C$5,2)&amp;"输出",标准坦克设计!$B$23:$U$23,0)))*(VLOOKUP($Q18,INDIRECT($B$5&amp;"生成成长"),3))*(VLOOKUP($B$5,标准坦克设计!$B$14:$K$20,9)/30))</f>
        <v>98.004659587402358</v>
      </c>
      <c r="AH18" s="173">
        <f ca="1">(VLOOKUP(AH$13,INDIRECT($C$5&amp;"生成成长"),2))/((VLOOKUP($Q18,INDIRECT($B$5&amp;"生成成长"),4))/(VLOOKUP(AH$13,INDIRECT($C$5&amp;"生成成长"),5))*(VLOOKUP($B$5,标准坦克设计!$B$24:$U$30,MATCH("对"&amp;LEFT($C$5,2)&amp;"输出",标准坦克设计!$B$23:$U$23,0)))*(VLOOKUP($Q18,INDIRECT($B$5&amp;"生成成长"),3))*(VLOOKUP($B$5,标准坦克设计!$B$14:$K$20,9)/30))</f>
        <v>9.8497123019462176</v>
      </c>
      <c r="AI18" s="173">
        <f ca="1">(VLOOKUP(AI$13,INDIRECT($C$5&amp;"生成成长"),2))/((VLOOKUP($Q18,INDIRECT($B$5&amp;"生成成长"),4))/(VLOOKUP(AI$13,INDIRECT($C$5&amp;"生成成长"),5))*(VLOOKUP($B$5,标准坦克设计!$B$24:$U$30,MATCH("对"&amp;LEFT($C$5,2)&amp;"输出",标准坦克设计!$B$23:$U$23,0)))*(VLOOKUP($Q18,INDIRECT($B$5&amp;"生成成长"),3))*(VLOOKUP($B$5,标准坦克设计!$B$14:$K$20,9)/30))</f>
        <v>36.036344386540321</v>
      </c>
      <c r="AJ18" s="173">
        <f ca="1">(VLOOKUP(AJ$13,INDIRECT($C$5&amp;"生成成长"),2))/((VLOOKUP($Q18,INDIRECT($B$5&amp;"生成成长"),4))/(VLOOKUP(AJ$13,INDIRECT($C$5&amp;"生成成长"),5))*(VLOOKUP($B$5,标准坦克设计!$B$24:$U$30,MATCH("对"&amp;LEFT($C$5,2)&amp;"输出",标准坦克设计!$B$23:$U$23,0)))*(VLOOKUP($Q18,INDIRECT($B$5&amp;"生成成长"),3))*(VLOOKUP($B$5,标准坦克设计!$B$14:$K$20,9)/30))</f>
        <v>16.185187806283501</v>
      </c>
      <c r="AK18" s="173">
        <f ca="1">(VLOOKUP(AK$13,INDIRECT($C$5&amp;"生成成长"),2))/((VLOOKUP($Q18,INDIRECT($B$5&amp;"生成成长"),4))/(VLOOKUP(AK$13,INDIRECT($C$5&amp;"生成成长"),5))*(VLOOKUP($B$5,标准坦克设计!$B$24:$U$30,MATCH("对"&amp;LEFT($C$5,2)&amp;"输出",标准坦克设计!$B$23:$U$23,0)))*(VLOOKUP($Q18,INDIRECT($B$5&amp;"生成成长"),3))*(VLOOKUP($B$5,标准坦克设计!$B$14:$K$20,9)/30))</f>
        <v>61.726076431578555</v>
      </c>
      <c r="AL18" s="173">
        <f ca="1">(VLOOKUP(AL$13,INDIRECT($C$5&amp;"生成成长"),2))/((VLOOKUP($Q18,INDIRECT($B$5&amp;"生成成长"),4))/(VLOOKUP(AL$13,INDIRECT($C$5&amp;"生成成长"),5))*(VLOOKUP($B$5,标准坦克设计!$B$24:$U$30,MATCH("对"&amp;LEFT($C$5,2)&amp;"输出",标准坦克设计!$B$23:$U$23,0)))*(VLOOKUP($Q18,INDIRECT($B$5&amp;"生成成长"),3))*(VLOOKUP($B$5,标准坦克设计!$B$14:$K$20,9)/30))</f>
        <v>27.286910743610655</v>
      </c>
      <c r="AM18" s="173">
        <f ca="1">(VLOOKUP(AM$13,INDIRECT($C$5&amp;"生成成长"),2))/((VLOOKUP($Q18,INDIRECT($B$5&amp;"生成成长"),4))/(VLOOKUP(AM$13,INDIRECT($C$5&amp;"生成成长"),5))*(VLOOKUP($B$5,标准坦克设计!$B$24:$U$30,MATCH("对"&amp;LEFT($C$5,2)&amp;"输出",标准坦克设计!$B$23:$U$23,0)))*(VLOOKUP($Q18,INDIRECT($B$5&amp;"生成成长"),3))*(VLOOKUP($B$5,标准坦克设计!$B$14:$K$20,9)/30))</f>
        <v>103.07303999087218</v>
      </c>
    </row>
    <row r="19" spans="1:39" x14ac:dyDescent="0.15">
      <c r="A19" s="171" t="str">
        <f t="shared" si="1"/>
        <v>T2中品质</v>
      </c>
      <c r="B19" s="172">
        <v>20201</v>
      </c>
      <c r="C19" s="173">
        <f ca="1">(VLOOKUP(C$13,INDIRECT($C$5&amp;"生成成长"),2))/((VLOOKUP($B19,INDIRECT($B$5&amp;"生成成长"),4))/(VLOOKUP(C$13,INDIRECT($C$5&amp;"生成成长"),5))*(VLOOKUP($B$5,标准坦克设计!$B$24:$U$30,MATCH("对"&amp;LEFT($C$5,2)&amp;"输出",标准坦克设计!$B$23:$U$23,0)))*(VLOOKUP($B19,INDIRECT($B$5&amp;"生成成长"),3))*(VLOOKUP($B$5,标准坦克设计!$B$14:$K$20,9)/30))</f>
        <v>6.5205170754016049</v>
      </c>
      <c r="D19" s="173">
        <f ca="1">(VLOOKUP(D$13,INDIRECT($C$5&amp;"生成成长"),2))/((VLOOKUP($B19,INDIRECT($B$5&amp;"生成成长"),4))/(VLOOKUP(D$13,INDIRECT($C$5&amp;"生成成长"),5))*(VLOOKUP($B$5,标准坦克设计!$B$24:$U$30,MATCH("对"&amp;LEFT($C$5,2)&amp;"输出",标准坦克设计!$B$23:$U$23,0)))*(VLOOKUP($B19,INDIRECT($B$5&amp;"生成成长"),3))*(VLOOKUP($B$5,标准坦克设计!$B$14:$K$20,9)/30))</f>
        <v>8.774007776660401</v>
      </c>
      <c r="E19" s="173">
        <f ca="1">(VLOOKUP(E$13,INDIRECT($C$5&amp;"生成成长"),2))/((VLOOKUP($B19,INDIRECT($B$5&amp;"生成成长"),4))/(VLOOKUP(E$13,INDIRECT($C$5&amp;"生成成长"),5))*(VLOOKUP($B$5,标准坦克设计!$B$24:$U$30,MATCH("对"&amp;LEFT($C$5,2)&amp;"输出",标准坦克设计!$B$23:$U$23,0)))*(VLOOKUP($B19,INDIRECT($B$5&amp;"生成成长"),3))*(VLOOKUP($B$5,标准坦克设计!$B$14:$K$20,9)/30))</f>
        <v>13.33380536748874</v>
      </c>
      <c r="F19" s="173">
        <f ca="1">(VLOOKUP(F$13,INDIRECT($C$5&amp;"生成成长"),2))/((VLOOKUP($B19,INDIRECT($B$5&amp;"生成成长"),4))/(VLOOKUP(F$13,INDIRECT($C$5&amp;"生成成长"),5))*(VLOOKUP($B$5,标准坦克设计!$B$24:$U$30,MATCH("对"&amp;LEFT($C$5,2)&amp;"输出",标准坦克设计!$B$23:$U$23,0)))*(VLOOKUP($B19,INDIRECT($B$5&amp;"生成成长"),3))*(VLOOKUP($B$5,标准坦克设计!$B$14:$K$20,9)/30))</f>
        <v>21.836559633812435</v>
      </c>
      <c r="G19" s="173">
        <f ca="1">(VLOOKUP(G$13,INDIRECT($C$5&amp;"生成成长"),2))/((VLOOKUP($B19,INDIRECT($B$5&amp;"生成成长"),4))/(VLOOKUP(G$13,INDIRECT($C$5&amp;"生成成长"),5))*(VLOOKUP($B$5,标准坦克设计!$B$24:$U$30,MATCH("对"&amp;LEFT($C$5,2)&amp;"输出",标准坦克设计!$B$23:$U$23,0)))*(VLOOKUP($B19,INDIRECT($B$5&amp;"生成成长"),3))*(VLOOKUP($B$5,标准坦克设计!$B$14:$K$20,9)/30))</f>
        <v>9.0791679757891952</v>
      </c>
      <c r="H19" s="173">
        <f ca="1">(VLOOKUP(H$13,INDIRECT($C$5&amp;"生成成长"),2))/((VLOOKUP($B19,INDIRECT($B$5&amp;"生成成长"),4))/(VLOOKUP(H$13,INDIRECT($C$5&amp;"生成成长"),5))*(VLOOKUP($B$5,标准坦克设计!$B$24:$U$30,MATCH("对"&amp;LEFT($C$5,2)&amp;"输出",标准坦克设计!$B$23:$U$23,0)))*(VLOOKUP($B19,INDIRECT($B$5&amp;"生成成长"),3))*(VLOOKUP($B$5,标准坦克设计!$B$14:$K$20,9)/30))</f>
        <v>13.89913419792606</v>
      </c>
      <c r="I19" s="173">
        <f ca="1">(VLOOKUP(I$13,INDIRECT($C$5&amp;"生成成长"),2))/((VLOOKUP($B19,INDIRECT($B$5&amp;"生成成长"),4))/(VLOOKUP(I$13,INDIRECT($C$5&amp;"生成成长"),5))*(VLOOKUP($B$5,标准坦克设计!$B$24:$U$30,MATCH("对"&amp;LEFT($C$5,2)&amp;"输出",标准坦克设计!$B$23:$U$23,0)))*(VLOOKUP($B19,INDIRECT($B$5&amp;"生成成长"),3))*(VLOOKUP($B$5,标准坦克设计!$B$14:$K$20,9)/30))</f>
        <v>22.801596160971872</v>
      </c>
      <c r="J19" s="173">
        <f ca="1">(VLOOKUP(J$13,INDIRECT($C$5&amp;"生成成长"),2))/((VLOOKUP($B19,INDIRECT($B$5&amp;"生成成长"),4))/(VLOOKUP(J$13,INDIRECT($C$5&amp;"生成成长"),5))*(VLOOKUP($B$5,标准坦克设计!$B$24:$U$30,MATCH("对"&amp;LEFT($C$5,2)&amp;"输出",标准坦克设计!$B$23:$U$23,0)))*(VLOOKUP($B19,INDIRECT($B$5&amp;"生成成长"),3))*(VLOOKUP($B$5,标准坦克设计!$B$14:$K$20,9)/30))</f>
        <v>38.503001278538939</v>
      </c>
      <c r="K19" s="173">
        <f ca="1">(VLOOKUP(K$13,INDIRECT($C$5&amp;"生成成长"),2))/((VLOOKUP($B19,INDIRECT($B$5&amp;"生成成长"),4))/(VLOOKUP(K$13,INDIRECT($C$5&amp;"生成成长"),5))*(VLOOKUP($B$5,标准坦克设计!$B$24:$U$30,MATCH("对"&amp;LEFT($C$5,2)&amp;"输出",标准坦克设计!$B$23:$U$23,0)))*(VLOOKUP($B19,INDIRECT($B$5&amp;"生成成长"),3))*(VLOOKUP($B$5,标准坦克设计!$B$14:$K$20,9)/30))</f>
        <v>14.476199959099104</v>
      </c>
      <c r="L19" s="173">
        <f ca="1">(VLOOKUP(L$13,INDIRECT($C$5&amp;"生成成长"),2))/((VLOOKUP($B19,INDIRECT($B$5&amp;"生成成长"),4))/(VLOOKUP(L$13,INDIRECT($C$5&amp;"生成成长"),5))*(VLOOKUP($B$5,标准坦克设计!$B$24:$U$30,MATCH("对"&amp;LEFT($C$5,2)&amp;"输出",标准坦克设计!$B$23:$U$23,0)))*(VLOOKUP($B19,INDIRECT($B$5&amp;"生成成长"),3))*(VLOOKUP($B$5,标准坦克设计!$B$14:$K$20,9)/30))</f>
        <v>23.787498342772597</v>
      </c>
      <c r="M19" s="173">
        <f ca="1">(VLOOKUP(M$13,INDIRECT($C$5&amp;"生成成长"),2))/((VLOOKUP($B19,INDIRECT($B$5&amp;"生成成长"),4))/(VLOOKUP(M$13,INDIRECT($C$5&amp;"生成成长"),5))*(VLOOKUP($B$5,标准坦克设计!$B$24:$U$30,MATCH("对"&amp;LEFT($C$5,2)&amp;"输出",标准坦克设计!$B$23:$U$23,0)))*(VLOOKUP($B19,INDIRECT($B$5&amp;"生成成长"),3))*(VLOOKUP($B$5,标准坦克设计!$B$14:$K$20,9)/30))</f>
        <v>40.10378822055003</v>
      </c>
      <c r="P19" s="171" t="str">
        <f>"T"&amp;LEFT(RIGHT(Q19,3),1)&amp;""&amp;IF(LEFT(Q19,1)="1","低",IF(LEFT(Q19,1)="2","中","高"))&amp;"满"</f>
        <v>T3低满</v>
      </c>
      <c r="Q19" s="172">
        <v>10309</v>
      </c>
      <c r="R19" s="173">
        <f ca="1">(VLOOKUP(R$13,INDIRECT($C$5&amp;"生成成长"),2))/((VLOOKUP($Q19,INDIRECT($B$5&amp;"生成成长"),4))/(VLOOKUP(R$13,INDIRECT($C$5&amp;"生成成长"),5))*(VLOOKUP($B$5,标准坦克设计!$B$24:$U$30,MATCH("对"&amp;LEFT($C$5,2)&amp;"输出",标准坦克设计!$B$23:$U$23,0)))*(VLOOKUP($Q19,INDIRECT($B$5&amp;"生成成长"),3))*(VLOOKUP($B$5,标准坦克设计!$B$14:$K$20,9)/30))</f>
        <v>1.9672399129703413</v>
      </c>
      <c r="S19" s="173">
        <f ca="1">(VLOOKUP(S$13,INDIRECT($C$5&amp;"生成成长"),2))/((VLOOKUP($Q19,INDIRECT($B$5&amp;"生成成长"),4))/(VLOOKUP(S$13,INDIRECT($C$5&amp;"生成成长"),5))*(VLOOKUP($B$5,标准坦克设计!$B$24:$U$30,MATCH("对"&amp;LEFT($C$5,2)&amp;"输出",标准坦克设计!$B$23:$U$23,0)))*(VLOOKUP($Q19,INDIRECT($B$5&amp;"生成成长"),3))*(VLOOKUP($B$5,标准坦克设计!$B$14:$K$20,9)/30))</f>
        <v>3.0248280901831972</v>
      </c>
      <c r="T19" s="173">
        <f ca="1">(VLOOKUP(T$13,INDIRECT($C$5&amp;"生成成长"),2))/((VLOOKUP($Q19,INDIRECT($B$5&amp;"生成成长"),4))/(VLOOKUP(T$13,INDIRECT($C$5&amp;"生成成长"),5))*(VLOOKUP($B$5,标准坦克设计!$B$24:$U$30,MATCH("对"&amp;LEFT($C$5,2)&amp;"输出",标准坦克设计!$B$23:$U$23,0)))*(VLOOKUP($Q19,INDIRECT($B$5&amp;"生成成长"),3))*(VLOOKUP($B$5,标准坦克设计!$B$14:$K$20,9)/30))</f>
        <v>2.6471180268928918</v>
      </c>
      <c r="U19" s="173">
        <f ca="1">(VLOOKUP(U$13,INDIRECT($C$5&amp;"生成成长"),2))/((VLOOKUP($Q19,INDIRECT($B$5&amp;"生成成长"),4))/(VLOOKUP(U$13,INDIRECT($C$5&amp;"生成成长"),5))*(VLOOKUP($B$5,标准坦克设计!$B$24:$U$30,MATCH("对"&amp;LEFT($C$5,2)&amp;"输出",标准坦克设计!$B$23:$U$23,0)))*(VLOOKUP($Q19,INDIRECT($B$5&amp;"生成成长"),3))*(VLOOKUP($B$5,标准坦克设计!$B$14:$K$20,9)/30))</f>
        <v>5.2910884699250298</v>
      </c>
      <c r="V19" s="173">
        <f ca="1">(VLOOKUP(V$13,INDIRECT($C$5&amp;"生成成长"),2))/((VLOOKUP($Q19,INDIRECT($B$5&amp;"生成成长"),4))/(VLOOKUP(V$13,INDIRECT($C$5&amp;"生成成长"),5))*(VLOOKUP($B$5,标准坦克设计!$B$24:$U$30,MATCH("对"&amp;LEFT($C$5,2)&amp;"输出",标准坦克设计!$B$23:$U$23,0)))*(VLOOKUP($Q19,INDIRECT($B$5&amp;"生成成长"),3))*(VLOOKUP($B$5,标准坦克设计!$B$14:$K$20,9)/30))</f>
        <v>4.022808898033051</v>
      </c>
      <c r="W19" s="173">
        <f ca="1">(VLOOKUP(W$13,INDIRECT($C$5&amp;"生成成长"),2))/((VLOOKUP($Q19,INDIRECT($B$5&amp;"生成成长"),4))/(VLOOKUP(W$13,INDIRECT($C$5&amp;"生成成长"),5))*(VLOOKUP($B$5,标准坦克设计!$B$24:$U$30,MATCH("对"&amp;LEFT($C$5,2)&amp;"输出",标准坦克设计!$B$23:$U$23,0)))*(VLOOKUP($Q19,INDIRECT($B$5&amp;"生成成长"),3))*(VLOOKUP($B$5,标准坦克设计!$B$14:$K$20,9)/30))</f>
        <v>9.0935664977054032</v>
      </c>
      <c r="X19" s="173">
        <f ca="1">(VLOOKUP(X$13,INDIRECT($C$5&amp;"生成成长"),2))/((VLOOKUP($Q19,INDIRECT($B$5&amp;"生成成长"),4))/(VLOOKUP(X$13,INDIRECT($C$5&amp;"生成成长"),5))*(VLOOKUP($B$5,标准坦克设计!$B$24:$U$30,MATCH("对"&amp;LEFT($C$5,2)&amp;"输出",标准坦克设计!$B$23:$U$23,0)))*(VLOOKUP($Q19,INDIRECT($B$5&amp;"生成成长"),3))*(VLOOKUP($B$5,标准坦克设计!$B$14:$K$20,9)/30))</f>
        <v>6.5880897445463749</v>
      </c>
      <c r="Y19" s="173">
        <f ca="1">(VLOOKUP(Y$13,INDIRECT($C$5&amp;"生成成长"),2))/((VLOOKUP($Q19,INDIRECT($B$5&amp;"生成成长"),4))/(VLOOKUP(Y$13,INDIRECT($C$5&amp;"生成成长"),5))*(VLOOKUP($B$5,标准坦克设计!$B$24:$U$30,MATCH("对"&amp;LEFT($C$5,2)&amp;"输出",标准坦克设计!$B$23:$U$23,0)))*(VLOOKUP($Q19,INDIRECT($B$5&amp;"生成成长"),3))*(VLOOKUP($B$5,标准坦克设计!$B$14:$K$20,9)/30))</f>
        <v>15.755427738988166</v>
      </c>
      <c r="Z19" s="173">
        <f ca="1">(VLOOKUP(Z$13,INDIRECT($C$5&amp;"生成成长"),2))/((VLOOKUP($Q19,INDIRECT($B$5&amp;"生成成长"),4))/(VLOOKUP(Z$13,INDIRECT($C$5&amp;"生成成长"),5))*(VLOOKUP($B$5,标准坦克设计!$B$24:$U$30,MATCH("对"&amp;LEFT($C$5,2)&amp;"输出",标准坦克设计!$B$23:$U$23,0)))*(VLOOKUP($Q19,INDIRECT($B$5&amp;"生成成长"),3))*(VLOOKUP($B$5,标准坦克设计!$B$14:$K$20,9)/30))</f>
        <v>2.7391848548199036</v>
      </c>
      <c r="AA19" s="173">
        <f ca="1">(VLOOKUP(AA$13,INDIRECT($C$5&amp;"生成成长"),2))/((VLOOKUP($Q19,INDIRECT($B$5&amp;"生成成长"),4))/(VLOOKUP(AA$13,INDIRECT($C$5&amp;"生成成长"),5))*(VLOOKUP($B$5,标准坦克设计!$B$24:$U$30,MATCH("对"&amp;LEFT($C$5,2)&amp;"输出",标准坦克设计!$B$23:$U$23,0)))*(VLOOKUP($Q19,INDIRECT($B$5&amp;"生成成长"),3))*(VLOOKUP($B$5,标准坦克设计!$B$14:$K$20,9)/30))</f>
        <v>8.6755280161992054</v>
      </c>
      <c r="AB19" s="173">
        <f ca="1">(VLOOKUP(AB$13,INDIRECT($C$5&amp;"生成成长"),2))/((VLOOKUP($Q19,INDIRECT($B$5&amp;"生成成长"),4))/(VLOOKUP(AB$13,INDIRECT($C$5&amp;"生成成长"),5))*(VLOOKUP($B$5,标准坦克设计!$B$24:$U$30,MATCH("对"&amp;LEFT($C$5,2)&amp;"输出",标准坦克设计!$B$23:$U$23,0)))*(VLOOKUP($Q19,INDIRECT($B$5&amp;"生成成长"),3))*(VLOOKUP($B$5,标准坦克设计!$B$14:$K$20,9)/30))</f>
        <v>4.1933685984875799</v>
      </c>
      <c r="AC19" s="173">
        <f ca="1">(VLOOKUP(AC$13,INDIRECT($C$5&amp;"生成成长"),2))/((VLOOKUP($Q19,INDIRECT($B$5&amp;"生成成长"),4))/(VLOOKUP(AC$13,INDIRECT($C$5&amp;"生成成长"),5))*(VLOOKUP($B$5,标准坦克设计!$B$24:$U$30,MATCH("对"&amp;LEFT($C$5,2)&amp;"输出",标准坦克设计!$B$23:$U$23,0)))*(VLOOKUP($Q19,INDIRECT($B$5&amp;"生成成长"),3))*(VLOOKUP($B$5,标准坦克设计!$B$14:$K$20,9)/30))</f>
        <v>15.094435128230131</v>
      </c>
      <c r="AD19" s="173">
        <f ca="1">(VLOOKUP(AD$13,INDIRECT($C$5&amp;"生成成长"),2))/((VLOOKUP($Q19,INDIRECT($B$5&amp;"生成成长"),4))/(VLOOKUP(AD$13,INDIRECT($C$5&amp;"生成成长"),5))*(VLOOKUP($B$5,标准坦克设计!$B$24:$U$30,MATCH("对"&amp;LEFT($C$5,2)&amp;"输出",标准坦克设计!$B$23:$U$23,0)))*(VLOOKUP($Q19,INDIRECT($B$5&amp;"生成成长"),3))*(VLOOKUP($B$5,标准坦克设计!$B$14:$K$20,9)/30))</f>
        <v>6.879241251665988</v>
      </c>
      <c r="AE19" s="173">
        <f ca="1">(VLOOKUP(AE$13,INDIRECT($C$5&amp;"生成成长"),2))/((VLOOKUP($Q19,INDIRECT($B$5&amp;"生成成长"),4))/(VLOOKUP(AE$13,INDIRECT($C$5&amp;"生成成长"),5))*(VLOOKUP($B$5,标准坦克设计!$B$24:$U$30,MATCH("对"&amp;LEFT($C$5,2)&amp;"输出",标准坦克设计!$B$23:$U$23,0)))*(VLOOKUP($Q19,INDIRECT($B$5&amp;"生成成长"),3))*(VLOOKUP($B$5,标准坦克设计!$B$14:$K$20,9)/30))</f>
        <v>25.92212360921889</v>
      </c>
      <c r="AF19" s="173">
        <f ca="1">(VLOOKUP(AF$13,INDIRECT($C$5&amp;"生成成长"),2))/((VLOOKUP($Q19,INDIRECT($B$5&amp;"生成成长"),4))/(VLOOKUP(AF$13,INDIRECT($C$5&amp;"生成成长"),5))*(VLOOKUP($B$5,标准坦克设计!$B$24:$U$30,MATCH("对"&amp;LEFT($C$5,2)&amp;"输出",标准坦克设计!$B$23:$U$23,0)))*(VLOOKUP($Q19,INDIRECT($B$5&amp;"生成成长"),3))*(VLOOKUP($B$5,标准坦克设计!$B$14:$K$20,9)/30))</f>
        <v>11.616354962098573</v>
      </c>
      <c r="AG19" s="173">
        <f ca="1">(VLOOKUP(AG$13,INDIRECT($C$5&amp;"生成成长"),2))/((VLOOKUP($Q19,INDIRECT($B$5&amp;"生成成长"),4))/(VLOOKUP(AG$13,INDIRECT($C$5&amp;"生成成长"),5))*(VLOOKUP($B$5,标准坦克设计!$B$24:$U$30,MATCH("对"&amp;LEFT($C$5,2)&amp;"输出",标准坦克设计!$B$23:$U$23,0)))*(VLOOKUP($Q19,INDIRECT($B$5&amp;"生成成长"),3))*(VLOOKUP($B$5,标准坦克设计!$B$14:$K$20,9)/30))</f>
        <v>43.456329677514844</v>
      </c>
      <c r="AH19" s="173">
        <f ca="1">(VLOOKUP(AH$13,INDIRECT($C$5&amp;"生成成长"),2))/((VLOOKUP($Q19,INDIRECT($B$5&amp;"生成成长"),4))/(VLOOKUP(AH$13,INDIRECT($C$5&amp;"生成成长"),5))*(VLOOKUP($B$5,标准坦克设计!$B$24:$U$30,MATCH("对"&amp;LEFT($C$5,2)&amp;"输出",标准坦克设计!$B$23:$U$23,0)))*(VLOOKUP($Q19,INDIRECT($B$5&amp;"生成成长"),3))*(VLOOKUP($B$5,标准坦克设计!$B$14:$K$20,9)/30))</f>
        <v>4.3674693307854549</v>
      </c>
      <c r="AI19" s="173">
        <f ca="1">(VLOOKUP(AI$13,INDIRECT($C$5&amp;"生成成长"),2))/((VLOOKUP($Q19,INDIRECT($B$5&amp;"生成成长"),4))/(VLOOKUP(AI$13,INDIRECT($C$5&amp;"生成成长"),5))*(VLOOKUP($B$5,标准坦克设计!$B$24:$U$30,MATCH("对"&amp;LEFT($C$5,2)&amp;"输出",标准坦克设计!$B$23:$U$23,0)))*(VLOOKUP($Q19,INDIRECT($B$5&amp;"生成成长"),3))*(VLOOKUP($B$5,标准坦克设计!$B$14:$K$20,9)/30))</f>
        <v>15.978906193101597</v>
      </c>
      <c r="AJ19" s="173">
        <f ca="1">(VLOOKUP(AJ$13,INDIRECT($C$5&amp;"生成成长"),2))/((VLOOKUP($Q19,INDIRECT($B$5&amp;"生成成长"),4))/(VLOOKUP(AJ$13,INDIRECT($C$5&amp;"生成成长"),5))*(VLOOKUP($B$5,标准坦克设计!$B$24:$U$30,MATCH("对"&amp;LEFT($C$5,2)&amp;"输出",标准坦克设计!$B$23:$U$23,0)))*(VLOOKUP($Q19,INDIRECT($B$5&amp;"生成成长"),3))*(VLOOKUP($B$5,标准坦克设计!$B$14:$K$20,9)/30))</f>
        <v>7.1766879265071024</v>
      </c>
      <c r="AK19" s="173">
        <f ca="1">(VLOOKUP(AK$13,INDIRECT($C$5&amp;"生成成长"),2))/((VLOOKUP($Q19,INDIRECT($B$5&amp;"生成成长"),4))/(VLOOKUP(AK$13,INDIRECT($C$5&amp;"生成成长"),5))*(VLOOKUP($B$5,标准坦克设计!$B$24:$U$30,MATCH("对"&amp;LEFT($C$5,2)&amp;"输出",标准坦克设计!$B$23:$U$23,0)))*(VLOOKUP($Q19,INDIRECT($B$5&amp;"生成成长"),3))*(VLOOKUP($B$5,标准坦克设计!$B$14:$K$20,9)/30))</f>
        <v>27.370012185165063</v>
      </c>
      <c r="AL19" s="173">
        <f ca="1">(VLOOKUP(AL$13,INDIRECT($C$5&amp;"生成成长"),2))/((VLOOKUP($Q19,INDIRECT($B$5&amp;"生成成长"),4))/(VLOOKUP(AL$13,INDIRECT($C$5&amp;"生成成长"),5))*(VLOOKUP($B$5,标准坦克设计!$B$24:$U$30,MATCH("对"&amp;LEFT($C$5,2)&amp;"输出",标准坦克设计!$B$23:$U$23,0)))*(VLOOKUP($Q19,INDIRECT($B$5&amp;"生成成长"),3))*(VLOOKUP($B$5,标准坦克设计!$B$14:$K$20,9)/30))</f>
        <v>12.099312360732789</v>
      </c>
      <c r="AM19" s="173">
        <f ca="1">(VLOOKUP(AM$13,INDIRECT($C$5&amp;"生成成长"),2))/((VLOOKUP($Q19,INDIRECT($B$5&amp;"生成成长"),4))/(VLOOKUP(AM$13,INDIRECT($C$5&amp;"生成成长"),5))*(VLOOKUP($B$5,标准坦克设计!$B$24:$U$30,MATCH("对"&amp;LEFT($C$5,2)&amp;"输出",标准坦克设计!$B$23:$U$23,0)))*(VLOOKUP($Q19,INDIRECT($B$5&amp;"生成成长"),3))*(VLOOKUP($B$5,标准坦克设计!$B$14:$K$20,9)/30))</f>
        <v>45.703704554092155</v>
      </c>
    </row>
    <row r="20" spans="1:39" x14ac:dyDescent="0.15">
      <c r="A20" s="171" t="str">
        <f t="shared" si="1"/>
        <v>T3中品质</v>
      </c>
      <c r="B20" s="172">
        <v>20301</v>
      </c>
      <c r="C20" s="173">
        <f ca="1">(VLOOKUP(C$13,INDIRECT($C$5&amp;"生成成长"),2))/((VLOOKUP($B20,INDIRECT($B$5&amp;"生成成长"),4))/(VLOOKUP(C$13,INDIRECT($C$5&amp;"生成成长"),5))*(VLOOKUP($B$5,标准坦克设计!$B$24:$U$30,MATCH("对"&amp;LEFT($C$5,2)&amp;"输出",标准坦克设计!$B$23:$U$23,0)))*(VLOOKUP($B20,INDIRECT($B$5&amp;"生成成长"),3))*(VLOOKUP($B$5,标准坦克设计!$B$14:$K$20,9)/30))</f>
        <v>4.2705228743714336</v>
      </c>
      <c r="D20" s="173">
        <f ca="1">(VLOOKUP(D$13,INDIRECT($C$5&amp;"生成成长"),2))/((VLOOKUP($B20,INDIRECT($B$5&amp;"生成成长"),4))/(VLOOKUP(D$13,INDIRECT($C$5&amp;"生成成长"),5))*(VLOOKUP($B$5,标准坦克设计!$B$24:$U$30,MATCH("对"&amp;LEFT($C$5,2)&amp;"输出",标准坦克设计!$B$23:$U$23,0)))*(VLOOKUP($B20,INDIRECT($B$5&amp;"生成成长"),3))*(VLOOKUP($B$5,标准坦克设计!$B$14:$K$20,9)/30))</f>
        <v>5.7464155797542018</v>
      </c>
      <c r="E20" s="173">
        <f ca="1">(VLOOKUP(E$13,INDIRECT($C$5&amp;"生成成长"),2))/((VLOOKUP($B20,INDIRECT($B$5&amp;"生成成长"),4))/(VLOOKUP(E$13,INDIRECT($C$5&amp;"生成成长"),5))*(VLOOKUP($B$5,标准坦克设计!$B$24:$U$30,MATCH("对"&amp;LEFT($C$5,2)&amp;"输出",标准坦克设计!$B$23:$U$23,0)))*(VLOOKUP($B20,INDIRECT($B$5&amp;"生成成长"),3))*(VLOOKUP($B$5,标准坦克设计!$B$14:$K$20,9)/30))</f>
        <v>8.7327922258021431</v>
      </c>
      <c r="F20" s="173">
        <f ca="1">(VLOOKUP(F$13,INDIRECT($C$5&amp;"生成成长"),2))/((VLOOKUP($B20,INDIRECT($B$5&amp;"生成成长"),4))/(VLOOKUP(F$13,INDIRECT($C$5&amp;"生成成长"),5))*(VLOOKUP($B$5,标准坦克设计!$B$24:$U$30,MATCH("对"&amp;LEFT($C$5,2)&amp;"输出",标准坦克设计!$B$23:$U$23,0)))*(VLOOKUP($B20,INDIRECT($B$5&amp;"生成成长"),3))*(VLOOKUP($B$5,标准坦克设计!$B$14:$K$20,9)/30))</f>
        <v>14.301554053982494</v>
      </c>
      <c r="G20" s="173">
        <f ca="1">(VLOOKUP(G$13,INDIRECT($C$5&amp;"生成成长"),2))/((VLOOKUP($B20,INDIRECT($B$5&amp;"生成成长"),4))/(VLOOKUP(G$13,INDIRECT($C$5&amp;"生成成长"),5))*(VLOOKUP($B$5,标准坦克设计!$B$24:$U$30,MATCH("对"&amp;LEFT($C$5,2)&amp;"输出",标准坦克设计!$B$23:$U$23,0)))*(VLOOKUP($B20,INDIRECT($B$5&amp;"生成成长"),3))*(VLOOKUP($B$5,标准坦克设计!$B$14:$K$20,9)/30))</f>
        <v>5.9462760502747836</v>
      </c>
      <c r="H20" s="173">
        <f ca="1">(VLOOKUP(H$13,INDIRECT($C$5&amp;"生成成长"),2))/((VLOOKUP($B20,INDIRECT($B$5&amp;"生成成长"),4))/(VLOOKUP(H$13,INDIRECT($C$5&amp;"生成成长"),5))*(VLOOKUP($B$5,标准坦克设计!$B$24:$U$30,MATCH("对"&amp;LEFT($C$5,2)&amp;"输出",标准坦克设计!$B$23:$U$23,0)))*(VLOOKUP($B20,INDIRECT($B$5&amp;"生成成长"),3))*(VLOOKUP($B$5,标准坦克设计!$B$14:$K$20,9)/30))</f>
        <v>9.1030465590101475</v>
      </c>
      <c r="I20" s="173">
        <f ca="1">(VLOOKUP(I$13,INDIRECT($C$5&amp;"生成成长"),2))/((VLOOKUP($B20,INDIRECT($B$5&amp;"生成成长"),4))/(VLOOKUP(I$13,INDIRECT($C$5&amp;"生成成长"),5))*(VLOOKUP($B$5,标准坦克设计!$B$24:$U$30,MATCH("对"&amp;LEFT($C$5,2)&amp;"输出",标准坦克设计!$B$23:$U$23,0)))*(VLOOKUP($B20,INDIRECT($B$5&amp;"生成成长"),3))*(VLOOKUP($B$5,标准坦克设计!$B$14:$K$20,9)/30))</f>
        <v>14.933591439389467</v>
      </c>
      <c r="J20" s="173">
        <f ca="1">(VLOOKUP(J$13,INDIRECT($C$5&amp;"生成成长"),2))/((VLOOKUP($B20,INDIRECT($B$5&amp;"生成成长"),4))/(VLOOKUP(J$13,INDIRECT($C$5&amp;"生成成长"),5))*(VLOOKUP($B$5,标准坦克设计!$B$24:$U$30,MATCH("对"&amp;LEFT($C$5,2)&amp;"输出",标准坦克设计!$B$23:$U$23,0)))*(VLOOKUP($B20,INDIRECT($B$5&amp;"生成成长"),3))*(VLOOKUP($B$5,标准坦克设计!$B$14:$K$20,9)/30))</f>
        <v>25.217010520875878</v>
      </c>
      <c r="K20" s="173">
        <f ca="1">(VLOOKUP(K$13,INDIRECT($C$5&amp;"生成成长"),2))/((VLOOKUP($B20,INDIRECT($B$5&amp;"生成成长"),4))/(VLOOKUP(K$13,INDIRECT($C$5&amp;"生成成长"),5))*(VLOOKUP($B$5,标准坦克设计!$B$24:$U$30,MATCH("对"&amp;LEFT($C$5,2)&amp;"输出",标准坦克设计!$B$23:$U$23,0)))*(VLOOKUP($B20,INDIRECT($B$5&amp;"生成成长"),3))*(VLOOKUP($B$5,标准坦克设计!$B$14:$K$20,9)/30))</f>
        <v>9.4809878333920192</v>
      </c>
      <c r="L20" s="173">
        <f ca="1">(VLOOKUP(L$13,INDIRECT($C$5&amp;"生成成长"),2))/((VLOOKUP($B20,INDIRECT($B$5&amp;"生成成长"),4))/(VLOOKUP(L$13,INDIRECT($C$5&amp;"生成成长"),5))*(VLOOKUP($B$5,标准坦克设计!$B$24:$U$30,MATCH("对"&amp;LEFT($C$5,2)&amp;"输出",标准坦克设计!$B$23:$U$23,0)))*(VLOOKUP($B20,INDIRECT($B$5&amp;"生成成长"),3))*(VLOOKUP($B$5,标准坦克设计!$B$14:$K$20,9)/30))</f>
        <v>15.579294497994429</v>
      </c>
      <c r="M20" s="173">
        <f ca="1">(VLOOKUP(M$13,INDIRECT($C$5&amp;"生成成长"),2))/((VLOOKUP($B20,INDIRECT($B$5&amp;"生成成长"),4))/(VLOOKUP(M$13,INDIRECT($C$5&amp;"生成成长"),5))*(VLOOKUP($B$5,标准坦克设计!$B$24:$U$30,MATCH("对"&amp;LEFT($C$5,2)&amp;"输出",标准坦克设计!$B$23:$U$23,0)))*(VLOOKUP($B20,INDIRECT($B$5&amp;"生成成长"),3))*(VLOOKUP($B$5,标准坦克设计!$B$14:$K$20,9)/30))</f>
        <v>26.265423886534069</v>
      </c>
      <c r="P20" s="175" t="str">
        <f>"T"&amp;LEFT(RIGHT(Q20,3),1)&amp;""&amp;IF(LEFT(Q20,1)="1","低",IF(LEFT(Q20,1)="2","中","高"))&amp;"初"</f>
        <v>T4低初</v>
      </c>
      <c r="Q20" s="179">
        <v>10401</v>
      </c>
      <c r="R20" s="173">
        <f ca="1">(VLOOKUP(R$13,INDIRECT($C$5&amp;"生成成长"),2))/((VLOOKUP($Q20,INDIRECT($B$5&amp;"生成成长"),4))/(VLOOKUP(R$13,INDIRECT($C$5&amp;"生成成长"),5))*(VLOOKUP($B$5,标准坦克设计!$B$24:$U$30,MATCH("对"&amp;LEFT($C$5,2)&amp;"输出",标准坦克设计!$B$23:$U$23,0)))*(VLOOKUP($Q20,INDIRECT($B$5&amp;"生成成长"),3))*(VLOOKUP($B$5,标准坦克设计!$B$14:$K$20,9)/30))</f>
        <v>2.7069981061589412</v>
      </c>
      <c r="S20" s="173">
        <f ca="1">(VLOOKUP(S$13,INDIRECT($C$5&amp;"生成成长"),2))/((VLOOKUP($Q20,INDIRECT($B$5&amp;"生成成长"),4))/(VLOOKUP(S$13,INDIRECT($C$5&amp;"生成成长"),5))*(VLOOKUP($B$5,标准坦克设计!$B$24:$U$30,MATCH("对"&amp;LEFT($C$5,2)&amp;"输出",标准坦克设计!$B$23:$U$23,0)))*(VLOOKUP($Q20,INDIRECT($B$5&amp;"生成成长"),3))*(VLOOKUP($B$5,标准坦克设计!$B$14:$K$20,9)/30))</f>
        <v>4.1622802880299883</v>
      </c>
      <c r="T20" s="173">
        <f ca="1">(VLOOKUP(T$13,INDIRECT($C$5&amp;"生成成长"),2))/((VLOOKUP($Q20,INDIRECT($B$5&amp;"生成成长"),4))/(VLOOKUP(T$13,INDIRECT($C$5&amp;"生成成长"),5))*(VLOOKUP($B$5,标准坦克设计!$B$24:$U$30,MATCH("对"&amp;LEFT($C$5,2)&amp;"输出",标准坦克设计!$B$23:$U$23,0)))*(VLOOKUP($Q20,INDIRECT($B$5&amp;"生成成长"),3))*(VLOOKUP($B$5,标准坦克设计!$B$14:$K$20,9)/30))</f>
        <v>3.6425366516474713</v>
      </c>
      <c r="U20" s="173">
        <f ca="1">(VLOOKUP(U$13,INDIRECT($C$5&amp;"生成成长"),2))/((VLOOKUP($Q20,INDIRECT($B$5&amp;"生成成长"),4))/(VLOOKUP(U$13,INDIRECT($C$5&amp;"生成成长"),5))*(VLOOKUP($B$5,标准坦克设计!$B$24:$U$30,MATCH("对"&amp;LEFT($C$5,2)&amp;"输出",标准坦克设计!$B$23:$U$23,0)))*(VLOOKUP($Q20,INDIRECT($B$5&amp;"生成成长"),3))*(VLOOKUP($B$5,标准坦克设计!$B$14:$K$20,9)/30))</f>
        <v>7.2807421063250892</v>
      </c>
      <c r="V20" s="173">
        <f ca="1">(VLOOKUP(V$13,INDIRECT($C$5&amp;"生成成长"),2))/((VLOOKUP($Q20,INDIRECT($B$5&amp;"生成成长"),4))/(VLOOKUP(V$13,INDIRECT($C$5&amp;"生成成长"),5))*(VLOOKUP($B$5,标准坦克设计!$B$24:$U$30,MATCH("对"&amp;LEFT($C$5,2)&amp;"输出",标准坦克设计!$B$23:$U$23,0)))*(VLOOKUP($Q20,INDIRECT($B$5&amp;"生成成长"),3))*(VLOOKUP($B$5,标准坦克设计!$B$14:$K$20,9)/30))</f>
        <v>5.5355404272844195</v>
      </c>
      <c r="W20" s="173">
        <f ca="1">(VLOOKUP(W$13,INDIRECT($C$5&amp;"生成成长"),2))/((VLOOKUP($Q20,INDIRECT($B$5&amp;"生成成长"),4))/(VLOOKUP(W$13,INDIRECT($C$5&amp;"生成成长"),5))*(VLOOKUP($B$5,标准坦克设计!$B$24:$U$30,MATCH("对"&amp;LEFT($C$5,2)&amp;"输出",标准坦克设计!$B$23:$U$23,0)))*(VLOOKUP($Q20,INDIRECT($B$5&amp;"生成成长"),3))*(VLOOKUP($B$5,标准坦克设计!$B$14:$K$20,9)/30))</f>
        <v>12.513098745719709</v>
      </c>
      <c r="X20" s="173">
        <f ca="1">(VLOOKUP(X$13,INDIRECT($C$5&amp;"生成成长"),2))/((VLOOKUP($Q20,INDIRECT($B$5&amp;"生成成长"),4))/(VLOOKUP(X$13,INDIRECT($C$5&amp;"生成成长"),5))*(VLOOKUP($B$5,标准坦克设计!$B$24:$U$30,MATCH("对"&amp;LEFT($C$5,2)&amp;"输出",标准坦克设计!$B$23:$U$23,0)))*(VLOOKUP($Q20,INDIRECT($B$5&amp;"生成成长"),3))*(VLOOKUP($B$5,标准坦克设计!$B$14:$K$20,9)/30))</f>
        <v>9.0654659577156806</v>
      </c>
      <c r="Y20" s="173">
        <f ca="1">(VLOOKUP(Y$13,INDIRECT($C$5&amp;"生成成长"),2))/((VLOOKUP($Q20,INDIRECT($B$5&amp;"生成成长"),4))/(VLOOKUP(Y$13,INDIRECT($C$5&amp;"生成成长"),5))*(VLOOKUP($B$5,标准坦克设计!$B$24:$U$30,MATCH("对"&amp;LEFT($C$5,2)&amp;"输出",标准坦克设计!$B$23:$U$23,0)))*(VLOOKUP($Q20,INDIRECT($B$5&amp;"生成成长"),3))*(VLOOKUP($B$5,标准坦克设计!$B$14:$K$20,9)/30))</f>
        <v>21.680077132416343</v>
      </c>
      <c r="Z20" s="173">
        <f ca="1">(VLOOKUP(Z$13,INDIRECT($C$5&amp;"生成成长"),2))/((VLOOKUP($Q20,INDIRECT($B$5&amp;"生成成长"),4))/(VLOOKUP(Z$13,INDIRECT($C$5&amp;"生成成长"),5))*(VLOOKUP($B$5,标准坦克设计!$B$24:$U$30,MATCH("对"&amp;LEFT($C$5,2)&amp;"输出",标准坦克设计!$B$23:$U$23,0)))*(VLOOKUP($Q20,INDIRECT($B$5&amp;"生成成长"),3))*(VLOOKUP($B$5,标准坦克设计!$B$14:$K$20,9)/30))</f>
        <v>3.7692241630157102</v>
      </c>
      <c r="AA20" s="173">
        <f ca="1">(VLOOKUP(AA$13,INDIRECT($C$5&amp;"生成成长"),2))/((VLOOKUP($Q20,INDIRECT($B$5&amp;"生成成长"),4))/(VLOOKUP(AA$13,INDIRECT($C$5&amp;"生成成长"),5))*(VLOOKUP($B$5,标准坦克设计!$B$24:$U$30,MATCH("对"&amp;LEFT($C$5,2)&amp;"输出",标准坦克设计!$B$23:$U$23,0)))*(VLOOKUP($Q20,INDIRECT($B$5&amp;"生成成长"),3))*(VLOOKUP($B$5,标准坦克设计!$B$14:$K$20,9)/30))</f>
        <v>11.937861648160931</v>
      </c>
      <c r="AB20" s="173">
        <f ca="1">(VLOOKUP(AB$13,INDIRECT($C$5&amp;"生成成长"),2))/((VLOOKUP($Q20,INDIRECT($B$5&amp;"生成成长"),4))/(VLOOKUP(AB$13,INDIRECT($C$5&amp;"生成成长"),5))*(VLOOKUP($B$5,标准坦克设计!$B$24:$U$30,MATCH("对"&amp;LEFT($C$5,2)&amp;"输出",标准坦克设计!$B$23:$U$23,0)))*(VLOOKUP($Q20,INDIRECT($B$5&amp;"生成成长"),3))*(VLOOKUP($B$5,标准坦克设计!$B$14:$K$20,9)/30))</f>
        <v>5.7702371630884004</v>
      </c>
      <c r="AC20" s="173">
        <f ca="1">(VLOOKUP(AC$13,INDIRECT($C$5&amp;"生成成长"),2))/((VLOOKUP($Q20,INDIRECT($B$5&amp;"生成成长"),4))/(VLOOKUP(AC$13,INDIRECT($C$5&amp;"生成成长"),5))*(VLOOKUP($B$5,标准坦克设计!$B$24:$U$30,MATCH("对"&amp;LEFT($C$5,2)&amp;"输出",标准坦克设计!$B$23:$U$23,0)))*(VLOOKUP($Q20,INDIRECT($B$5&amp;"生成成长"),3))*(VLOOKUP($B$5,标准坦克设计!$B$14:$K$20,9)/30))</f>
        <v>20.770525768746946</v>
      </c>
      <c r="AD20" s="173">
        <f ca="1">(VLOOKUP(AD$13,INDIRECT($C$5&amp;"生成成长"),2))/((VLOOKUP($Q20,INDIRECT($B$5&amp;"生成成长"),4))/(VLOOKUP(AD$13,INDIRECT($C$5&amp;"生成成长"),5))*(VLOOKUP($B$5,标准坦克设计!$B$24:$U$30,MATCH("对"&amp;LEFT($C$5,2)&amp;"输出",标准坦克设计!$B$23:$U$23,0)))*(VLOOKUP($Q20,INDIRECT($B$5&amp;"生成成长"),3))*(VLOOKUP($B$5,标准坦克设计!$B$14:$K$20,9)/30))</f>
        <v>9.4661016774272024</v>
      </c>
      <c r="AE20" s="173">
        <f ca="1">(VLOOKUP(AE$13,INDIRECT($C$5&amp;"生成成长"),2))/((VLOOKUP($Q20,INDIRECT($B$5&amp;"生成成长"),4))/(VLOOKUP(AE$13,INDIRECT($C$5&amp;"生成成长"),5))*(VLOOKUP($B$5,标准坦克设计!$B$24:$U$30,MATCH("对"&amp;LEFT($C$5,2)&amp;"输出",标准坦克设计!$B$23:$U$23,0)))*(VLOOKUP($Q20,INDIRECT($B$5&amp;"生成成长"),3))*(VLOOKUP($B$5,标准坦克设计!$B$14:$K$20,9)/30))</f>
        <v>35.669843345045763</v>
      </c>
      <c r="AF20" s="173">
        <f ca="1">(VLOOKUP(AF$13,INDIRECT($C$5&amp;"生成成长"),2))/((VLOOKUP($Q20,INDIRECT($B$5&amp;"生成成长"),4))/(VLOOKUP(AF$13,INDIRECT($C$5&amp;"生成成长"),5))*(VLOOKUP($B$5,标准坦克设计!$B$24:$U$30,MATCH("对"&amp;LEFT($C$5,2)&amp;"输出",标准坦克设计!$B$23:$U$23,0)))*(VLOOKUP($Q20,INDIRECT($B$5&amp;"生成成长"),3))*(VLOOKUP($B$5,标准坦克设计!$B$14:$K$20,9)/30))</f>
        <v>15.984553117057935</v>
      </c>
      <c r="AG20" s="173">
        <f ca="1">(VLOOKUP(AG$13,INDIRECT($C$5&amp;"生成成长"),2))/((VLOOKUP($Q20,INDIRECT($B$5&amp;"生成成长"),4))/(VLOOKUP(AG$13,INDIRECT($C$5&amp;"生成成长"),5))*(VLOOKUP($B$5,标准坦克设计!$B$24:$U$30,MATCH("对"&amp;LEFT($C$5,2)&amp;"输出",标准坦克设计!$B$23:$U$23,0)))*(VLOOKUP($Q20,INDIRECT($B$5&amp;"生成成长"),3))*(VLOOKUP($B$5,标准坦克设计!$B$14:$K$20,9)/30))</f>
        <v>59.797588165051025</v>
      </c>
      <c r="AH20" s="173">
        <f ca="1">(VLOOKUP(AH$13,INDIRECT($C$5&amp;"生成成长"),2))/((VLOOKUP($Q20,INDIRECT($B$5&amp;"生成成长"),4))/(VLOOKUP(AH$13,INDIRECT($C$5&amp;"生成成长"),5))*(VLOOKUP($B$5,标准坦克设计!$B$24:$U$30,MATCH("对"&amp;LEFT($C$5,2)&amp;"输出",标准坦克设计!$B$23:$U$23,0)))*(VLOOKUP($Q20,INDIRECT($B$5&amp;"生成成长"),3))*(VLOOKUP($B$5,标准坦克设计!$B$14:$K$20,9)/30))</f>
        <v>6.009806495483466</v>
      </c>
      <c r="AI20" s="173">
        <f ca="1">(VLOOKUP(AI$13,INDIRECT($C$5&amp;"生成成长"),2))/((VLOOKUP($Q20,INDIRECT($B$5&amp;"生成成长"),4))/(VLOOKUP(AI$13,INDIRECT($C$5&amp;"生成成长"),5))*(VLOOKUP($B$5,标准坦克设计!$B$24:$U$30,MATCH("对"&amp;LEFT($C$5,2)&amp;"输出",标准坦克设计!$B$23:$U$23,0)))*(VLOOKUP($Q20,INDIRECT($B$5&amp;"生成成长"),3))*(VLOOKUP($B$5,标准坦克设计!$B$14:$K$20,9)/30))</f>
        <v>21.987592117276002</v>
      </c>
      <c r="AJ20" s="173">
        <f ca="1">(VLOOKUP(AJ$13,INDIRECT($C$5&amp;"生成成长"),2))/((VLOOKUP($Q20,INDIRECT($B$5&amp;"生成成长"),4))/(VLOOKUP(AJ$13,INDIRECT($C$5&amp;"生成成长"),5))*(VLOOKUP($B$5,标准坦克设计!$B$24:$U$30,MATCH("对"&amp;LEFT($C$5,2)&amp;"输出",标准坦克设计!$B$23:$U$23,0)))*(VLOOKUP($Q20,INDIRECT($B$5&amp;"生成成长"),3))*(VLOOKUP($B$5,标准坦克设计!$B$14:$K$20,9)/30))</f>
        <v>9.8753997910784346</v>
      </c>
      <c r="AK20" s="173">
        <f ca="1">(VLOOKUP(AK$13,INDIRECT($C$5&amp;"生成成长"),2))/((VLOOKUP($Q20,INDIRECT($B$5&amp;"生成成长"),4))/(VLOOKUP(AK$13,INDIRECT($C$5&amp;"生成成长"),5))*(VLOOKUP($B$5,标准坦克设计!$B$24:$U$30,MATCH("对"&amp;LEFT($C$5,2)&amp;"输出",标准坦克设计!$B$23:$U$23,0)))*(VLOOKUP($Q20,INDIRECT($B$5&amp;"生成成长"),3))*(VLOOKUP($B$5,标准坦克设计!$B$14:$K$20,9)/30))</f>
        <v>37.662193951178743</v>
      </c>
      <c r="AL20" s="173">
        <f ca="1">(VLOOKUP(AL$13,INDIRECT($C$5&amp;"生成成长"),2))/((VLOOKUP($Q20,INDIRECT($B$5&amp;"生成成长"),4))/(VLOOKUP(AL$13,INDIRECT($C$5&amp;"生成成长"),5))*(VLOOKUP($B$5,标准坦克设计!$B$24:$U$30,MATCH("对"&amp;LEFT($C$5,2)&amp;"输出",标准坦克设计!$B$23:$U$23,0)))*(VLOOKUP($Q20,INDIRECT($B$5&amp;"生成成长"),3))*(VLOOKUP($B$5,标准坦克设计!$B$14:$K$20,9)/30))</f>
        <v>16.649121152119953</v>
      </c>
      <c r="AM20" s="173">
        <f ca="1">(VLOOKUP(AM$13,INDIRECT($C$5&amp;"生成成长"),2))/((VLOOKUP($Q20,INDIRECT($B$5&amp;"生成成长"),4))/(VLOOKUP(AM$13,INDIRECT($C$5&amp;"生成成长"),5))*(VLOOKUP($B$5,标准坦克设计!$B$24:$U$30,MATCH("对"&amp;LEFT($C$5,2)&amp;"输出",标准坦克设计!$B$23:$U$23,0)))*(VLOOKUP($Q20,INDIRECT($B$5&amp;"生成成长"),3))*(VLOOKUP($B$5,标准坦克设计!$B$14:$K$20,9)/30))</f>
        <v>62.890062801526987</v>
      </c>
    </row>
    <row r="21" spans="1:39" x14ac:dyDescent="0.15">
      <c r="A21" s="171" t="str">
        <f t="shared" si="1"/>
        <v>T4中品质</v>
      </c>
      <c r="B21" s="172">
        <v>20401</v>
      </c>
      <c r="C21" s="173">
        <f ca="1">(VLOOKUP(C$13,INDIRECT($C$5&amp;"生成成长"),2))/((VLOOKUP($B21,INDIRECT($B$5&amp;"生成成长"),4))/(VLOOKUP(C$13,INDIRECT($C$5&amp;"生成成长"),5))*(VLOOKUP($B$5,标准坦克设计!$B$24:$U$30,MATCH("对"&amp;LEFT($C$5,2)&amp;"输出",标准坦克设计!$B$23:$U$23,0)))*(VLOOKUP($B21,INDIRECT($B$5&amp;"生成成长"),3))*(VLOOKUP($B$5,标准坦克设计!$B$14:$K$20,9)/30))</f>
        <v>2.595756932144945</v>
      </c>
      <c r="D21" s="173">
        <f ca="1">(VLOOKUP(D$13,INDIRECT($C$5&amp;"生成成长"),2))/((VLOOKUP($B21,INDIRECT($B$5&amp;"生成成长"),4))/(VLOOKUP(D$13,INDIRECT($C$5&amp;"生成成长"),5))*(VLOOKUP($B$5,标准坦克设计!$B$24:$U$30,MATCH("对"&amp;LEFT($C$5,2)&amp;"输出",标准坦克设计!$B$23:$U$23,0)))*(VLOOKUP($B21,INDIRECT($B$5&amp;"生成成长"),3))*(VLOOKUP($B$5,标准坦克设计!$B$14:$K$20,9)/30))</f>
        <v>3.4928505278942379</v>
      </c>
      <c r="E21" s="173">
        <f ca="1">(VLOOKUP(E$13,INDIRECT($C$5&amp;"生成成长"),2))/((VLOOKUP($B21,INDIRECT($B$5&amp;"生成成长"),4))/(VLOOKUP(E$13,INDIRECT($C$5&amp;"生成成长"),5))*(VLOOKUP($B$5,标准坦克设计!$B$24:$U$30,MATCH("对"&amp;LEFT($C$5,2)&amp;"输出",标准坦克设计!$B$23:$U$23,0)))*(VLOOKUP($B21,INDIRECT($B$5&amp;"生成成长"),3))*(VLOOKUP($B$5,标准坦克设计!$B$14:$K$20,9)/30))</f>
        <v>5.3080633505431978</v>
      </c>
      <c r="F21" s="173">
        <f ca="1">(VLOOKUP(F$13,INDIRECT($C$5&amp;"生成成长"),2))/((VLOOKUP($B21,INDIRECT($B$5&amp;"生成成长"),4))/(VLOOKUP(F$13,INDIRECT($C$5&amp;"生成成长"),5))*(VLOOKUP($B$5,标准坦克设计!$B$24:$U$30,MATCH("对"&amp;LEFT($C$5,2)&amp;"输出",标准坦克设计!$B$23:$U$23,0)))*(VLOOKUP($B21,INDIRECT($B$5&amp;"生成成长"),3))*(VLOOKUP($B$5,标准坦克设计!$B$14:$K$20,9)/30))</f>
        <v>8.6929303900602068</v>
      </c>
      <c r="G21" s="173">
        <f ca="1">(VLOOKUP(G$13,INDIRECT($C$5&amp;"生成成长"),2))/((VLOOKUP($B21,INDIRECT($B$5&amp;"生成成长"),4))/(VLOOKUP(G$13,INDIRECT($C$5&amp;"生成成长"),5))*(VLOOKUP($B$5,标准坦克设计!$B$24:$U$30,MATCH("对"&amp;LEFT($C$5,2)&amp;"输出",标准坦克设计!$B$23:$U$23,0)))*(VLOOKUP($B21,INDIRECT($B$5&amp;"生成成长"),3))*(VLOOKUP($B$5,标准坦克设计!$B$14:$K$20,9)/30))</f>
        <v>3.6143319523186213</v>
      </c>
      <c r="H21" s="173">
        <f ca="1">(VLOOKUP(H$13,INDIRECT($C$5&amp;"生成成长"),2))/((VLOOKUP($B21,INDIRECT($B$5&amp;"生成成长"),4))/(VLOOKUP(H$13,INDIRECT($C$5&amp;"生成成长"),5))*(VLOOKUP($B$5,标准坦克设计!$B$24:$U$30,MATCH("对"&amp;LEFT($C$5,2)&amp;"输出",标准坦克设计!$B$23:$U$23,0)))*(VLOOKUP($B21,INDIRECT($B$5&amp;"生成成长"),3))*(VLOOKUP($B$5,标准坦克设计!$B$14:$K$20,9)/30))</f>
        <v>5.5331154765601651</v>
      </c>
      <c r="I21" s="173">
        <f ca="1">(VLOOKUP(I$13,INDIRECT($C$5&amp;"生成成长"),2))/((VLOOKUP($B21,INDIRECT($B$5&amp;"生成成长"),4))/(VLOOKUP(I$13,INDIRECT($C$5&amp;"生成成长"),5))*(VLOOKUP($B$5,标准坦克设计!$B$24:$U$30,MATCH("对"&amp;LEFT($C$5,2)&amp;"输出",标准坦克设计!$B$23:$U$23,0)))*(VLOOKUP($B21,INDIRECT($B$5&amp;"生成成长"),3))*(VLOOKUP($B$5,标准坦克设计!$B$14:$K$20,9)/30))</f>
        <v>9.0771024160176594</v>
      </c>
      <c r="J21" s="173">
        <f ca="1">(VLOOKUP(J$13,INDIRECT($C$5&amp;"生成成长"),2))/((VLOOKUP($B21,INDIRECT($B$5&amp;"生成成长"),4))/(VLOOKUP(J$13,INDIRECT($C$5&amp;"生成成长"),5))*(VLOOKUP($B$5,标准坦克设计!$B$24:$U$30,MATCH("对"&amp;LEFT($C$5,2)&amp;"输出",标准坦克设计!$B$23:$U$23,0)))*(VLOOKUP($B21,INDIRECT($B$5&amp;"生成成长"),3))*(VLOOKUP($B$5,标准坦克设计!$B$14:$K$20,9)/30))</f>
        <v>15.327685108622685</v>
      </c>
      <c r="K21" s="173">
        <f ca="1">(VLOOKUP(K$13,INDIRECT($C$5&amp;"生成成长"),2))/((VLOOKUP($B21,INDIRECT($B$5&amp;"生成成长"),4))/(VLOOKUP(K$13,INDIRECT($C$5&amp;"生成成长"),5))*(VLOOKUP($B$5,标准坦克设计!$B$24:$U$30,MATCH("对"&amp;LEFT($C$5,2)&amp;"输出",标准坦克设计!$B$23:$U$23,0)))*(VLOOKUP($B21,INDIRECT($B$5&amp;"生成成长"),3))*(VLOOKUP($B$5,标准坦克设计!$B$14:$K$20,9)/30))</f>
        <v>5.762839965054992</v>
      </c>
      <c r="L21" s="173">
        <f ca="1">(VLOOKUP(L$13,INDIRECT($C$5&amp;"生成成长"),2))/((VLOOKUP($B21,INDIRECT($B$5&amp;"生成成长"),4))/(VLOOKUP(L$13,INDIRECT($C$5&amp;"生成成长"),5))*(VLOOKUP($B$5,标准坦克设计!$B$24:$U$30,MATCH("对"&amp;LEFT($C$5,2)&amp;"输出",标准坦克设计!$B$23:$U$23,0)))*(VLOOKUP($B21,INDIRECT($B$5&amp;"生成成长"),3))*(VLOOKUP($B$5,标准坦克设计!$B$14:$K$20,9)/30))</f>
        <v>9.4695808641579742</v>
      </c>
      <c r="M21" s="173">
        <f ca="1">(VLOOKUP(M$13,INDIRECT($C$5&amp;"生成成长"),2))/((VLOOKUP($B21,INDIRECT($B$5&amp;"生成成长"),4))/(VLOOKUP(M$13,INDIRECT($C$5&amp;"生成成长"),5))*(VLOOKUP($B$5,标准坦克设计!$B$24:$U$30,MATCH("对"&amp;LEFT($C$5,2)&amp;"输出",标准坦克设计!$B$23:$U$23,0)))*(VLOOKUP($B21,INDIRECT($B$5&amp;"生成成长"),3))*(VLOOKUP($B$5,标准坦克设计!$B$14:$K$20,9)/30))</f>
        <v>15.964943435464269</v>
      </c>
      <c r="P21" s="175" t="str">
        <f>"T"&amp;LEFT(RIGHT(Q21,3),1)&amp;""&amp;IF(LEFT(Q21,1)="1","低",IF(LEFT(Q21,1)="2","中","高"))&amp;"满"</f>
        <v>T4低满</v>
      </c>
      <c r="Q21" s="179">
        <v>10411</v>
      </c>
      <c r="R21" s="173">
        <f ca="1">(VLOOKUP(R$13,INDIRECT($C$5&amp;"生成成长"),2))/((VLOOKUP($Q21,INDIRECT($B$5&amp;"生成成长"),4))/(VLOOKUP(R$13,INDIRECT($C$5&amp;"生成成长"),5))*(VLOOKUP($B$5,标准坦克设计!$B$24:$U$30,MATCH("对"&amp;LEFT($C$5,2)&amp;"输出",标准坦克设计!$B$23:$U$23,0)))*(VLOOKUP($Q21,INDIRECT($B$5&amp;"生成成长"),3))*(VLOOKUP($B$5,标准坦克设计!$B$14:$K$20,9)/30))</f>
        <v>1.1308292223076799</v>
      </c>
      <c r="S21" s="173">
        <f ca="1">(VLOOKUP(S$13,INDIRECT($C$5&amp;"生成成长"),2))/((VLOOKUP($Q21,INDIRECT($B$5&amp;"生成成长"),4))/(VLOOKUP(S$13,INDIRECT($C$5&amp;"生成成长"),5))*(VLOOKUP($B$5,标准坦克设计!$B$24:$U$30,MATCH("对"&amp;LEFT($C$5,2)&amp;"输出",标准坦克设计!$B$23:$U$23,0)))*(VLOOKUP($Q21,INDIRECT($B$5&amp;"生成成长"),3))*(VLOOKUP($B$5,标准坦克设计!$B$14:$K$20,9)/30))</f>
        <v>1.7387630122202886</v>
      </c>
      <c r="T21" s="173">
        <f ca="1">(VLOOKUP(T$13,INDIRECT($C$5&amp;"生成成长"),2))/((VLOOKUP($Q21,INDIRECT($B$5&amp;"生成成长"),4))/(VLOOKUP(T$13,INDIRECT($C$5&amp;"生成成长"),5))*(VLOOKUP($B$5,标准坦克设计!$B$24:$U$30,MATCH("对"&amp;LEFT($C$5,2)&amp;"输出",标准坦克设计!$B$23:$U$23,0)))*(VLOOKUP($Q21,INDIRECT($B$5&amp;"生成成长"),3))*(VLOOKUP($B$5,标准坦克设计!$B$14:$K$20,9)/30))</f>
        <v>1.5216438015372142</v>
      </c>
      <c r="U21" s="173">
        <f ca="1">(VLOOKUP(U$13,INDIRECT($C$5&amp;"生成成长"),2))/((VLOOKUP($Q21,INDIRECT($B$5&amp;"生成成长"),4))/(VLOOKUP(U$13,INDIRECT($C$5&amp;"生成成长"),5))*(VLOOKUP($B$5,标准坦克设计!$B$24:$U$30,MATCH("对"&amp;LEFT($C$5,2)&amp;"输出",标准坦克设计!$B$23:$U$23,0)))*(VLOOKUP($Q21,INDIRECT($B$5&amp;"生成成长"),3))*(VLOOKUP($B$5,标准坦克设计!$B$14:$K$20,9)/30))</f>
        <v>3.0414782763187365</v>
      </c>
      <c r="V21" s="173">
        <f ca="1">(VLOOKUP(V$13,INDIRECT($C$5&amp;"生成成长"),2))/((VLOOKUP($Q21,INDIRECT($B$5&amp;"生成成长"),4))/(VLOOKUP(V$13,INDIRECT($C$5&amp;"生成成长"),5))*(VLOOKUP($B$5,标准坦克设计!$B$24:$U$30,MATCH("对"&amp;LEFT($C$5,2)&amp;"输出",标准坦克设计!$B$23:$U$23,0)))*(VLOOKUP($Q21,INDIRECT($B$5&amp;"生成成长"),3))*(VLOOKUP($B$5,标准坦克设计!$B$14:$K$20,9)/30))</f>
        <v>2.3124326766969752</v>
      </c>
      <c r="W21" s="173">
        <f ca="1">(VLOOKUP(W$13,INDIRECT($C$5&amp;"生成成长"),2))/((VLOOKUP($Q21,INDIRECT($B$5&amp;"生成成长"),4))/(VLOOKUP(W$13,INDIRECT($C$5&amp;"生成成长"),5))*(VLOOKUP($B$5,标准坦克设计!$B$24:$U$30,MATCH("对"&amp;LEFT($C$5,2)&amp;"输出",标准坦克设计!$B$23:$U$23,0)))*(VLOOKUP($Q21,INDIRECT($B$5&amp;"生成成长"),3))*(VLOOKUP($B$5,标准坦克设计!$B$14:$K$20,9)/30))</f>
        <v>5.2272580801172515</v>
      </c>
      <c r="X21" s="173">
        <f ca="1">(VLOOKUP(X$13,INDIRECT($C$5&amp;"生成成长"),2))/((VLOOKUP($Q21,INDIRECT($B$5&amp;"生成成长"),4))/(VLOOKUP(X$13,INDIRECT($C$5&amp;"生成成长"),5))*(VLOOKUP($B$5,标准坦克设计!$B$24:$U$30,MATCH("对"&amp;LEFT($C$5,2)&amp;"输出",标准坦克设计!$B$23:$U$23,0)))*(VLOOKUP($Q21,INDIRECT($B$5&amp;"生成成长"),3))*(VLOOKUP($B$5,标准坦克设计!$B$14:$K$20,9)/30))</f>
        <v>3.7870339825861903</v>
      </c>
      <c r="Y21" s="173">
        <f ca="1">(VLOOKUP(Y$13,INDIRECT($C$5&amp;"生成成长"),2))/((VLOOKUP($Q21,INDIRECT($B$5&amp;"生成成长"),4))/(VLOOKUP(Y$13,INDIRECT($C$5&amp;"生成成长"),5))*(VLOOKUP($B$5,标准坦克设计!$B$24:$U$30,MATCH("对"&amp;LEFT($C$5,2)&amp;"输出",标准坦克设计!$B$23:$U$23,0)))*(VLOOKUP($Q21,INDIRECT($B$5&amp;"生成成长"),3))*(VLOOKUP($B$5,标准坦克设计!$B$14:$K$20,9)/30))</f>
        <v>9.0566981585399802</v>
      </c>
      <c r="Z21" s="173">
        <f ca="1">(VLOOKUP(Z$13,INDIRECT($C$5&amp;"生成成长"),2))/((VLOOKUP($Q21,INDIRECT($B$5&amp;"生成成长"),4))/(VLOOKUP(Z$13,INDIRECT($C$5&amp;"生成成长"),5))*(VLOOKUP($B$5,标准坦克设计!$B$24:$U$30,MATCH("对"&amp;LEFT($C$5,2)&amp;"输出",标准坦克设计!$B$23:$U$23,0)))*(VLOOKUP($Q21,INDIRECT($B$5&amp;"生成成长"),3))*(VLOOKUP($B$5,标准坦克设计!$B$14:$K$20,9)/30))</f>
        <v>1.574566609141214</v>
      </c>
      <c r="AA21" s="173">
        <f ca="1">(VLOOKUP(AA$13,INDIRECT($C$5&amp;"生成成长"),2))/((VLOOKUP($Q21,INDIRECT($B$5&amp;"生成成长"),4))/(VLOOKUP(AA$13,INDIRECT($C$5&amp;"生成成长"),5))*(VLOOKUP($B$5,标准坦克设计!$B$24:$U$30,MATCH("对"&amp;LEFT($C$5,2)&amp;"输出",标准坦克设计!$B$23:$U$23,0)))*(VLOOKUP($Q21,INDIRECT($B$5&amp;"生成成长"),3))*(VLOOKUP($B$5,标准坦克设计!$B$14:$K$20,9)/30))</f>
        <v>4.9869568703768685</v>
      </c>
      <c r="AB21" s="173">
        <f ca="1">(VLOOKUP(AB$13,INDIRECT($C$5&amp;"生成成长"),2))/((VLOOKUP($Q21,INDIRECT($B$5&amp;"生成成长"),4))/(VLOOKUP(AB$13,INDIRECT($C$5&amp;"生成成长"),5))*(VLOOKUP($B$5,标准坦克设计!$B$24:$U$30,MATCH("对"&amp;LEFT($C$5,2)&amp;"输出",标准坦克设计!$B$23:$U$23,0)))*(VLOOKUP($Q21,INDIRECT($B$5&amp;"生成成长"),3))*(VLOOKUP($B$5,标准坦克设计!$B$14:$K$20,9)/30))</f>
        <v>2.4104755702710512</v>
      </c>
      <c r="AC21" s="173">
        <f ca="1">(VLOOKUP(AC$13,INDIRECT($C$5&amp;"生成成长"),2))/((VLOOKUP($Q21,INDIRECT($B$5&amp;"生成成长"),4))/(VLOOKUP(AC$13,INDIRECT($C$5&amp;"生成成长"),5))*(VLOOKUP($B$5,标准坦克设计!$B$24:$U$30,MATCH("对"&amp;LEFT($C$5,2)&amp;"输出",标准坦克设计!$B$23:$U$23,0)))*(VLOOKUP($Q21,INDIRECT($B$5&amp;"生成成长"),3))*(VLOOKUP($B$5,标准坦克设计!$B$14:$K$20,9)/30))</f>
        <v>8.676739539844597</v>
      </c>
      <c r="AD21" s="173">
        <f ca="1">(VLOOKUP(AD$13,INDIRECT($C$5&amp;"生成成长"),2))/((VLOOKUP($Q21,INDIRECT($B$5&amp;"生成成长"),4))/(VLOOKUP(AD$13,INDIRECT($C$5&amp;"生成成长"),5))*(VLOOKUP($B$5,标准坦克设计!$B$24:$U$30,MATCH("对"&amp;LEFT($C$5,2)&amp;"输出",标准坦克设计!$B$23:$U$23,0)))*(VLOOKUP($Q21,INDIRECT($B$5&amp;"生成成长"),3))*(VLOOKUP($B$5,标准坦克设计!$B$14:$K$20,9)/30))</f>
        <v>3.9543967074877262</v>
      </c>
      <c r="AE21" s="173">
        <f ca="1">(VLOOKUP(AE$13,INDIRECT($C$5&amp;"生成成长"),2))/((VLOOKUP($Q21,INDIRECT($B$5&amp;"生成成长"),4))/(VLOOKUP(AE$13,INDIRECT($C$5&amp;"生成成长"),5))*(VLOOKUP($B$5,标准坦克设计!$B$24:$U$30,MATCH("对"&amp;LEFT($C$5,2)&amp;"输出",标准坦克设计!$B$23:$U$23,0)))*(VLOOKUP($Q21,INDIRECT($B$5&amp;"生成成长"),3))*(VLOOKUP($B$5,标准坦克设计!$B$14:$K$20,9)/30))</f>
        <v>14.900823579426069</v>
      </c>
      <c r="AF21" s="173">
        <f ca="1">(VLOOKUP(AF$13,INDIRECT($C$5&amp;"生成成长"),2))/((VLOOKUP($Q21,INDIRECT($B$5&amp;"生成成长"),4))/(VLOOKUP(AF$13,INDIRECT($C$5&amp;"生成成长"),5))*(VLOOKUP($B$5,标准坦克设计!$B$24:$U$30,MATCH("对"&amp;LEFT($C$5,2)&amp;"输出",标准坦克设计!$B$23:$U$23,0)))*(VLOOKUP($Q21,INDIRECT($B$5&amp;"生成成长"),3))*(VLOOKUP($B$5,标准坦克设计!$B$14:$K$20,9)/30))</f>
        <v>6.6774334748046194</v>
      </c>
      <c r="AG21" s="173">
        <f ca="1">(VLOOKUP(AG$13,INDIRECT($C$5&amp;"生成成长"),2))/((VLOOKUP($Q21,INDIRECT($B$5&amp;"生成成长"),4))/(VLOOKUP(AG$13,INDIRECT($C$5&amp;"生成成长"),5))*(VLOOKUP($B$5,标准坦克设计!$B$24:$U$30,MATCH("对"&amp;LEFT($C$5,2)&amp;"输出",标准坦克设计!$B$23:$U$23,0)))*(VLOOKUP($Q21,INDIRECT($B$5&amp;"生成成长"),3))*(VLOOKUP($B$5,标准坦克设计!$B$14:$K$20,9)/30))</f>
        <v>24.980017520776645</v>
      </c>
      <c r="AH21" s="173">
        <f ca="1">(VLOOKUP(AH$13,INDIRECT($C$5&amp;"生成成长"),2))/((VLOOKUP($Q21,INDIRECT($B$5&amp;"生成成长"),4))/(VLOOKUP(AH$13,INDIRECT($C$5&amp;"生成成长"),5))*(VLOOKUP($B$5,标准坦克设计!$B$24:$U$30,MATCH("对"&amp;LEFT($C$5,2)&amp;"输出",标准坦克设计!$B$23:$U$23,0)))*(VLOOKUP($Q21,INDIRECT($B$5&amp;"生成成长"),3))*(VLOOKUP($B$5,标准坦克设计!$B$14:$K$20,9)/30))</f>
        <v>2.5105539564452806</v>
      </c>
      <c r="AI21" s="173">
        <f ca="1">(VLOOKUP(AI$13,INDIRECT($C$5&amp;"生成成长"),2))/((VLOOKUP($Q21,INDIRECT($B$5&amp;"生成成长"),4))/(VLOOKUP(AI$13,INDIRECT($C$5&amp;"生成成长"),5))*(VLOOKUP($B$5,标准坦克设计!$B$24:$U$30,MATCH("对"&amp;LEFT($C$5,2)&amp;"输出",标准坦克设计!$B$23:$U$23,0)))*(VLOOKUP($Q21,INDIRECT($B$5&amp;"生成成长"),3))*(VLOOKUP($B$5,标准坦克设计!$B$14:$K$20,9)/30))</f>
        <v>9.1851603581941319</v>
      </c>
      <c r="AJ21" s="173">
        <f ca="1">(VLOOKUP(AJ$13,INDIRECT($C$5&amp;"生成成长"),2))/((VLOOKUP($Q21,INDIRECT($B$5&amp;"生成成长"),4))/(VLOOKUP(AJ$13,INDIRECT($C$5&amp;"生成成长"),5))*(VLOOKUP($B$5,标准坦克设计!$B$24:$U$30,MATCH("对"&amp;LEFT($C$5,2)&amp;"输出",标准坦克设计!$B$23:$U$23,0)))*(VLOOKUP($Q21,INDIRECT($B$5&amp;"生成成长"),3))*(VLOOKUP($B$5,标准坦克设计!$B$14:$K$20,9)/30))</f>
        <v>4.1253780859006479</v>
      </c>
      <c r="AK21" s="173">
        <f ca="1">(VLOOKUP(AK$13,INDIRECT($C$5&amp;"生成成长"),2))/((VLOOKUP($Q21,INDIRECT($B$5&amp;"生成成长"),4))/(VLOOKUP(AK$13,INDIRECT($C$5&amp;"生成成长"),5))*(VLOOKUP($B$5,标准坦克设计!$B$24:$U$30,MATCH("对"&amp;LEFT($C$5,2)&amp;"输出",标准坦克设计!$B$23:$U$23,0)))*(VLOOKUP($Q21,INDIRECT($B$5&amp;"生成成长"),3))*(VLOOKUP($B$5,标准坦克设计!$B$14:$K$20,9)/30))</f>
        <v>15.733113887044526</v>
      </c>
      <c r="AL21" s="173">
        <f ca="1">(VLOOKUP(AL$13,INDIRECT($C$5&amp;"生成成长"),2))/((VLOOKUP($Q21,INDIRECT($B$5&amp;"生成成长"),4))/(VLOOKUP(AL$13,INDIRECT($C$5&amp;"生成成长"),5))*(VLOOKUP($B$5,标准坦克设计!$B$24:$U$30,MATCH("对"&amp;LEFT($C$5,2)&amp;"输出",标准坦克设计!$B$23:$U$23,0)))*(VLOOKUP($Q21,INDIRECT($B$5&amp;"生成成长"),3))*(VLOOKUP($B$5,标准坦克设计!$B$14:$K$20,9)/30))</f>
        <v>6.9550520488811545</v>
      </c>
      <c r="AM21" s="173">
        <f ca="1">(VLOOKUP(AM$13,INDIRECT($C$5&amp;"生成成长"),2))/((VLOOKUP($Q21,INDIRECT($B$5&amp;"生成成长"),4))/(VLOOKUP(AM$13,INDIRECT($C$5&amp;"生成成长"),5))*(VLOOKUP($B$5,标准坦克设计!$B$24:$U$30,MATCH("对"&amp;LEFT($C$5,2)&amp;"输出",标准坦克设计!$B$23:$U$23,0)))*(VLOOKUP($Q21,INDIRECT($B$5&amp;"生成成长"),3))*(VLOOKUP($B$5,标准坦克设计!$B$14:$K$20,9)/30))</f>
        <v>26.271876824340946</v>
      </c>
    </row>
    <row r="22" spans="1:39" x14ac:dyDescent="0.15">
      <c r="A22" s="171" t="str">
        <f t="shared" si="1"/>
        <v>T5中品质</v>
      </c>
      <c r="B22" s="172">
        <v>20501</v>
      </c>
      <c r="C22" s="173">
        <f ca="1">(VLOOKUP(C$13,INDIRECT($C$5&amp;"生成成长"),2))/((VLOOKUP($B22,INDIRECT($B$5&amp;"生成成长"),4))/(VLOOKUP(C$13,INDIRECT($C$5&amp;"生成成长"),5))*(VLOOKUP($B$5,标准坦克设计!$B$24:$U$30,MATCH("对"&amp;LEFT($C$5,2)&amp;"输出",标准坦克设计!$B$23:$U$23,0)))*(VLOOKUP($B22,INDIRECT($B$5&amp;"生成成长"),3))*(VLOOKUP($B$5,标准坦克设计!$B$14:$K$20,9)/30))</f>
        <v>1.5342067667972212</v>
      </c>
      <c r="D22" s="173">
        <f ca="1">(VLOOKUP(D$13,INDIRECT($C$5&amp;"生成成长"),2))/((VLOOKUP($B22,INDIRECT($B$5&amp;"生成成长"),4))/(VLOOKUP(D$13,INDIRECT($C$5&amp;"生成成长"),5))*(VLOOKUP($B$5,标准坦克设计!$B$24:$U$30,MATCH("对"&amp;LEFT($C$5,2)&amp;"输出",标准坦克设计!$B$23:$U$23,0)))*(VLOOKUP($B22,INDIRECT($B$5&amp;"生成成长"),3))*(VLOOKUP($B$5,标准坦克设计!$B$14:$K$20,9)/30))</f>
        <v>2.064428625402341</v>
      </c>
      <c r="E22" s="173">
        <f ca="1">(VLOOKUP(E$13,INDIRECT($C$5&amp;"生成成长"),2))/((VLOOKUP($B22,INDIRECT($B$5&amp;"生成成长"),4))/(VLOOKUP(E$13,INDIRECT($C$5&amp;"生成成长"),5))*(VLOOKUP($B$5,标准坦克设计!$B$24:$U$30,MATCH("对"&amp;LEFT($C$5,2)&amp;"输出",标准坦克设计!$B$23:$U$23,0)))*(VLOOKUP($B22,INDIRECT($B$5&amp;"生成成长"),3))*(VLOOKUP($B$5,标准坦克设计!$B$14:$K$20,9)/30))</f>
        <v>3.1372994174236379</v>
      </c>
      <c r="F22" s="173">
        <f ca="1">(VLOOKUP(F$13,INDIRECT($C$5&amp;"生成成长"),2))/((VLOOKUP($B22,INDIRECT($B$5&amp;"生成成长"),4))/(VLOOKUP(F$13,INDIRECT($C$5&amp;"生成成长"),5))*(VLOOKUP($B$5,标准坦克设计!$B$24:$U$30,MATCH("对"&amp;LEFT($C$5,2)&amp;"输出",标准坦克设计!$B$23:$U$23,0)))*(VLOOKUP($B22,INDIRECT($B$5&amp;"生成成长"),3))*(VLOOKUP($B$5,标准坦克设计!$B$14:$K$20,9)/30))</f>
        <v>5.1379050413272136</v>
      </c>
      <c r="G22" s="173">
        <f ca="1">(VLOOKUP(G$13,INDIRECT($C$5&amp;"生成成长"),2))/((VLOOKUP($B22,INDIRECT($B$5&amp;"生成成长"),4))/(VLOOKUP(G$13,INDIRECT($C$5&amp;"生成成长"),5))*(VLOOKUP($B$5,标准坦克设计!$B$24:$U$30,MATCH("对"&amp;LEFT($C$5,2)&amp;"输出",标准坦克设计!$B$23:$U$23,0)))*(VLOOKUP($B22,INDIRECT($B$5&amp;"生成成长"),3))*(VLOOKUP($B$5,标准坦克设计!$B$14:$K$20,9)/30))</f>
        <v>2.1362295020884514</v>
      </c>
      <c r="H22" s="173">
        <f ca="1">(VLOOKUP(H$13,INDIRECT($C$5&amp;"生成成长"),2))/((VLOOKUP($B22,INDIRECT($B$5&amp;"生成成长"),4))/(VLOOKUP(H$13,INDIRECT($C$5&amp;"生成成长"),5))*(VLOOKUP($B$5,标准坦克设计!$B$24:$U$30,MATCH("对"&amp;LEFT($C$5,2)&amp;"输出",标准坦克设计!$B$23:$U$23,0)))*(VLOOKUP($B22,INDIRECT($B$5&amp;"生成成长"),3))*(VLOOKUP($B$5,标准坦克设计!$B$14:$K$20,9)/30))</f>
        <v>3.2703151441049569</v>
      </c>
      <c r="I22" s="173">
        <f ca="1">(VLOOKUP(I$13,INDIRECT($C$5&amp;"生成成长"),2))/((VLOOKUP($B22,INDIRECT($B$5&amp;"生成成长"),4))/(VLOOKUP(I$13,INDIRECT($C$5&amp;"生成成长"),5))*(VLOOKUP($B$5,标准坦克设计!$B$24:$U$30,MATCH("对"&amp;LEFT($C$5,2)&amp;"输出",标准坦克设计!$B$23:$U$23,0)))*(VLOOKUP($B22,INDIRECT($B$5&amp;"生成成长"),3))*(VLOOKUP($B$5,标准坦克设计!$B$14:$K$20,9)/30))</f>
        <v>5.3649676428132027</v>
      </c>
      <c r="J22" s="173">
        <f ca="1">(VLOOKUP(J$13,INDIRECT($C$5&amp;"生成成长"),2))/((VLOOKUP($B22,INDIRECT($B$5&amp;"生成成长"),4))/(VLOOKUP(J$13,INDIRECT($C$5&amp;"生成成长"),5))*(VLOOKUP($B$5,标准坦克设计!$B$24:$U$30,MATCH("对"&amp;LEFT($C$5,2)&amp;"输出",标准坦克设计!$B$23:$U$23,0)))*(VLOOKUP($B22,INDIRECT($B$5&amp;"生成成长"),3))*(VLOOKUP($B$5,标准坦克设计!$B$14:$K$20,9)/30))</f>
        <v>9.0593375372609106</v>
      </c>
      <c r="K22" s="173">
        <f ca="1">(VLOOKUP(K$13,INDIRECT($C$5&amp;"生成成长"),2))/((VLOOKUP($B22,INDIRECT($B$5&amp;"生成成长"),4))/(VLOOKUP(K$13,INDIRECT($C$5&amp;"生成成长"),5))*(VLOOKUP($B$5,标准坦克设计!$B$24:$U$30,MATCH("对"&amp;LEFT($C$5,2)&amp;"输出",标准坦克设计!$B$23:$U$23,0)))*(VLOOKUP($B22,INDIRECT($B$5&amp;"生成成长"),3))*(VLOOKUP($B$5,标准坦克设计!$B$14:$K$20,9)/30))</f>
        <v>3.4060924429665111</v>
      </c>
      <c r="L22" s="173">
        <f ca="1">(VLOOKUP(L$13,INDIRECT($C$5&amp;"生成成长"),2))/((VLOOKUP($B22,INDIRECT($B$5&amp;"生成成长"),4))/(VLOOKUP(L$13,INDIRECT($C$5&amp;"生成成长"),5))*(VLOOKUP($B$5,标准坦克设计!$B$24:$U$30,MATCH("对"&amp;LEFT($C$5,2)&amp;"输出",标准坦克设计!$B$23:$U$23,0)))*(VLOOKUP($B22,INDIRECT($B$5&amp;"生成成长"),3))*(VLOOKUP($B$5,标准坦克设计!$B$14:$K$20,9)/30))</f>
        <v>5.5969397059529422</v>
      </c>
      <c r="M22" s="173">
        <f ca="1">(VLOOKUP(M$13,INDIRECT($C$5&amp;"生成成长"),2))/((VLOOKUP($B22,INDIRECT($B$5&amp;"生成成长"),4))/(VLOOKUP(M$13,INDIRECT($C$5&amp;"生成成长"),5))*(VLOOKUP($B$5,标准坦克设计!$B$24:$U$30,MATCH("对"&amp;LEFT($C$5,2)&amp;"输出",标准坦克设计!$B$23:$U$23,0)))*(VLOOKUP($B22,INDIRECT($B$5&amp;"生成成长"),3))*(VLOOKUP($B$5,标准坦克设计!$B$14:$K$20,9)/30))</f>
        <v>9.4359852985096282</v>
      </c>
      <c r="P22" s="171" t="str">
        <f>"T"&amp;LEFT(RIGHT(Q22,3),1)&amp;""&amp;IF(LEFT(Q22,1)="1","低",IF(LEFT(Q22,1)="2","中","高"))&amp;"初"</f>
        <v>T5低初</v>
      </c>
      <c r="Q22" s="172">
        <v>10501</v>
      </c>
      <c r="R22" s="173">
        <f ca="1">(VLOOKUP(R$13,INDIRECT($C$5&amp;"生成成长"),2))/((VLOOKUP($Q22,INDIRECT($B$5&amp;"生成成长"),4))/(VLOOKUP(R$13,INDIRECT($C$5&amp;"生成成长"),5))*(VLOOKUP($B$5,标准坦克设计!$B$24:$U$30,MATCH("对"&amp;LEFT($C$5,2)&amp;"输出",标准坦克设计!$B$23:$U$23,0)))*(VLOOKUP($Q22,INDIRECT($B$5&amp;"生成成长"),3))*(VLOOKUP($B$5,标准坦克设计!$B$14:$K$20,9)/30))</f>
        <v>1.5994156435284079</v>
      </c>
      <c r="S22" s="173">
        <f ca="1">(VLOOKUP(S$13,INDIRECT($C$5&amp;"生成成长"),2))/((VLOOKUP($Q22,INDIRECT($B$5&amp;"生成成长"),4))/(VLOOKUP(S$13,INDIRECT($C$5&amp;"生成成长"),5))*(VLOOKUP($B$5,标准坦克设计!$B$24:$U$30,MATCH("对"&amp;LEFT($C$5,2)&amp;"输出",标准坦克设计!$B$23:$U$23,0)))*(VLOOKUP($Q22,INDIRECT($B$5&amp;"生成成长"),3))*(VLOOKUP($B$5,标准坦克设计!$B$14:$K$20,9)/30))</f>
        <v>2.4592614934892798</v>
      </c>
      <c r="T22" s="173">
        <f ca="1">(VLOOKUP(T$13,INDIRECT($C$5&amp;"生成成长"),2))/((VLOOKUP($Q22,INDIRECT($B$5&amp;"生成成长"),4))/(VLOOKUP(T$13,INDIRECT($C$5&amp;"生成成长"),5))*(VLOOKUP($B$5,标准坦克设计!$B$24:$U$30,MATCH("对"&amp;LEFT($C$5,2)&amp;"输出",标准坦克设计!$B$23:$U$23,0)))*(VLOOKUP($Q22,INDIRECT($B$5&amp;"生成成长"),3))*(VLOOKUP($B$5,标准坦克设计!$B$14:$K$20,9)/30))</f>
        <v>2.1521736899318253</v>
      </c>
      <c r="U22" s="173">
        <f ca="1">(VLOOKUP(U$13,INDIRECT($C$5&amp;"生成成长"),2))/((VLOOKUP($Q22,INDIRECT($B$5&amp;"生成成长"),4))/(VLOOKUP(U$13,INDIRECT($C$5&amp;"生成成长"),5))*(VLOOKUP($B$5,标准坦克设计!$B$24:$U$30,MATCH("对"&amp;LEFT($C$5,2)&amp;"输出",标准坦克设计!$B$23:$U$23,0)))*(VLOOKUP($Q22,INDIRECT($B$5&amp;"生成成长"),3))*(VLOOKUP($B$5,标准坦克设计!$B$14:$K$20,9)/30))</f>
        <v>4.3017883148340061</v>
      </c>
      <c r="V22" s="173">
        <f ca="1">(VLOOKUP(V$13,INDIRECT($C$5&amp;"生成成长"),2))/((VLOOKUP($Q22,INDIRECT($B$5&amp;"生成成长"),4))/(VLOOKUP(V$13,INDIRECT($C$5&amp;"生成成长"),5))*(VLOOKUP($B$5,标准坦克设计!$B$24:$U$30,MATCH("对"&amp;LEFT($C$5,2)&amp;"输出",标准坦克设计!$B$23:$U$23,0)))*(VLOOKUP($Q22,INDIRECT($B$5&amp;"生成成长"),3))*(VLOOKUP($B$5,标准坦克设计!$B$14:$K$20,9)/30))</f>
        <v>3.2706450494512409</v>
      </c>
      <c r="W22" s="173">
        <f ca="1">(VLOOKUP(W$13,INDIRECT($C$5&amp;"生成成长"),2))/((VLOOKUP($Q22,INDIRECT($B$5&amp;"生成成长"),4))/(VLOOKUP(W$13,INDIRECT($C$5&amp;"生成成长"),5))*(VLOOKUP($B$5,标准坦克设计!$B$24:$U$30,MATCH("对"&amp;LEFT($C$5,2)&amp;"输出",标准坦克设计!$B$23:$U$23,0)))*(VLOOKUP($Q22,INDIRECT($B$5&amp;"生成成长"),3))*(VLOOKUP($B$5,标准坦克设计!$B$14:$K$20,9)/30))</f>
        <v>7.3932988122100642</v>
      </c>
      <c r="X22" s="173">
        <f ca="1">(VLOOKUP(X$13,INDIRECT($C$5&amp;"生成成长"),2))/((VLOOKUP($Q22,INDIRECT($B$5&amp;"生成成长"),4))/(VLOOKUP(X$13,INDIRECT($C$5&amp;"生成成长"),5))*(VLOOKUP($B$5,标准坦克设计!$B$24:$U$30,MATCH("对"&amp;LEFT($C$5,2)&amp;"输出",标准坦克设计!$B$23:$U$23,0)))*(VLOOKUP($Q22,INDIRECT($B$5&amp;"生成成长"),3))*(VLOOKUP($B$5,标准坦克设计!$B$14:$K$20,9)/30))</f>
        <v>5.3562830486122852</v>
      </c>
      <c r="Y22" s="173">
        <f ca="1">(VLOOKUP(Y$13,INDIRECT($C$5&amp;"生成成长"),2))/((VLOOKUP($Q22,INDIRECT($B$5&amp;"生成成长"),4))/(VLOOKUP(Y$13,INDIRECT($C$5&amp;"生成成长"),5))*(VLOOKUP($B$5,标准坦克设计!$B$24:$U$30,MATCH("对"&amp;LEFT($C$5,2)&amp;"输出",标准坦克设计!$B$23:$U$23,0)))*(VLOOKUP($Q22,INDIRECT($B$5&amp;"生成成长"),3))*(VLOOKUP($B$5,标准坦克设计!$B$14:$K$20,9)/30))</f>
        <v>12.809559947454664</v>
      </c>
      <c r="Z22" s="173">
        <f ca="1">(VLOOKUP(Z$13,INDIRECT($C$5&amp;"生成成长"),2))/((VLOOKUP($Q22,INDIRECT($B$5&amp;"生成成长"),4))/(VLOOKUP(Z$13,INDIRECT($C$5&amp;"生成成长"),5))*(VLOOKUP($B$5,标准坦克设计!$B$24:$U$30,MATCH("对"&amp;LEFT($C$5,2)&amp;"输出",标准坦克设计!$B$23:$U$23,0)))*(VLOOKUP($Q22,INDIRECT($B$5&amp;"生成成长"),3))*(VLOOKUP($B$5,标准坦克设计!$B$14:$K$20,9)/30))</f>
        <v>2.2270263420489549</v>
      </c>
      <c r="AA22" s="173">
        <f ca="1">(VLOOKUP(AA$13,INDIRECT($C$5&amp;"生成成长"),2))/((VLOOKUP($Q22,INDIRECT($B$5&amp;"生成成长"),4))/(VLOOKUP(AA$13,INDIRECT($C$5&amp;"生成成长"),5))*(VLOOKUP($B$5,标准坦克设计!$B$24:$U$30,MATCH("对"&amp;LEFT($C$5,2)&amp;"输出",标准坦克设计!$B$23:$U$23,0)))*(VLOOKUP($Q22,INDIRECT($B$5&amp;"生成成长"),3))*(VLOOKUP($B$5,标准坦克设计!$B$14:$K$20,9)/30))</f>
        <v>7.0534229879602783</v>
      </c>
      <c r="AB22" s="173">
        <f ca="1">(VLOOKUP(AB$13,INDIRECT($C$5&amp;"生成成长"),2))/((VLOOKUP($Q22,INDIRECT($B$5&amp;"生成成长"),4))/(VLOOKUP(AB$13,INDIRECT($C$5&amp;"生成成长"),5))*(VLOOKUP($B$5,标准坦克设计!$B$24:$U$30,MATCH("对"&amp;LEFT($C$5,2)&amp;"输出",标准坦克设计!$B$23:$U$23,0)))*(VLOOKUP($Q22,INDIRECT($B$5&amp;"生成成长"),3))*(VLOOKUP($B$5,标准坦克设计!$B$14:$K$20,9)/30))</f>
        <v>3.4093143857451533</v>
      </c>
      <c r="AC22" s="173">
        <f ca="1">(VLOOKUP(AC$13,INDIRECT($C$5&amp;"生成成长"),2))/((VLOOKUP($Q22,INDIRECT($B$5&amp;"生成成长"),4))/(VLOOKUP(AC$13,INDIRECT($C$5&amp;"生成成长"),5))*(VLOOKUP($B$5,标准坦克设计!$B$24:$U$30,MATCH("对"&amp;LEFT($C$5,2)&amp;"输出",标准坦克设计!$B$23:$U$23,0)))*(VLOOKUP($Q22,INDIRECT($B$5&amp;"生成成长"),3))*(VLOOKUP($B$5,标准坦克设计!$B$14:$K$20,9)/30))</f>
        <v>12.27215629122912</v>
      </c>
      <c r="AD22" s="173">
        <f ca="1">(VLOOKUP(AD$13,INDIRECT($C$5&amp;"生成成长"),2))/((VLOOKUP($Q22,INDIRECT($B$5&amp;"生成成长"),4))/(VLOOKUP(AD$13,INDIRECT($C$5&amp;"生成成长"),5))*(VLOOKUP($B$5,标准坦克设计!$B$24:$U$30,MATCH("对"&amp;LEFT($C$5,2)&amp;"输出",标准坦克设计!$B$23:$U$23,0)))*(VLOOKUP($Q22,INDIRECT($B$5&amp;"生成成长"),3))*(VLOOKUP($B$5,标准坦克设计!$B$14:$K$20,9)/30))</f>
        <v>5.5929965638544887</v>
      </c>
      <c r="AE22" s="173">
        <f ca="1">(VLOOKUP(AE$13,INDIRECT($C$5&amp;"生成成长"),2))/((VLOOKUP($Q22,INDIRECT($B$5&amp;"生成成长"),4))/(VLOOKUP(AE$13,INDIRECT($C$5&amp;"生成成长"),5))*(VLOOKUP($B$5,标准坦克设计!$B$24:$U$30,MATCH("对"&amp;LEFT($C$5,2)&amp;"输出",标准坦克设计!$B$23:$U$23,0)))*(VLOOKUP($Q22,INDIRECT($B$5&amp;"生成成长"),3))*(VLOOKUP($B$5,标准坦克设计!$B$14:$K$20,9)/30))</f>
        <v>21.075339993209479</v>
      </c>
      <c r="AF22" s="173">
        <f ca="1">(VLOOKUP(AF$13,INDIRECT($C$5&amp;"生成成长"),2))/((VLOOKUP($Q22,INDIRECT($B$5&amp;"生成成长"),4))/(VLOOKUP(AF$13,INDIRECT($C$5&amp;"生成成长"),5))*(VLOOKUP($B$5,标准坦克设计!$B$24:$U$30,MATCH("对"&amp;LEFT($C$5,2)&amp;"输出",标准坦克设计!$B$23:$U$23,0)))*(VLOOKUP($Q22,INDIRECT($B$5&amp;"生成成长"),3))*(VLOOKUP($B$5,标准坦克设计!$B$14:$K$20,9)/30))</f>
        <v>9.4443894334708958</v>
      </c>
      <c r="AG22" s="173">
        <f ca="1">(VLOOKUP(AG$13,INDIRECT($C$5&amp;"生成成长"),2))/((VLOOKUP($Q22,INDIRECT($B$5&amp;"生成成长"),4))/(VLOOKUP(AG$13,INDIRECT($C$5&amp;"生成成长"),5))*(VLOOKUP($B$5,标准坦克设计!$B$24:$U$30,MATCH("对"&amp;LEFT($C$5,2)&amp;"输出",标准坦克设计!$B$23:$U$23,0)))*(VLOOKUP($Q22,INDIRECT($B$5&amp;"生成成长"),3))*(VLOOKUP($B$5,标准坦克设计!$B$14:$K$20,9)/30))</f>
        <v>35.331091565542529</v>
      </c>
      <c r="AH22" s="173">
        <f ca="1">(VLOOKUP(AH$13,INDIRECT($C$5&amp;"生成成长"),2))/((VLOOKUP($Q22,INDIRECT($B$5&amp;"生成成长"),4))/(VLOOKUP(AH$13,INDIRECT($C$5&amp;"生成成长"),5))*(VLOOKUP($B$5,标准坦克设计!$B$24:$U$30,MATCH("对"&amp;LEFT($C$5,2)&amp;"输出",标准坦克设计!$B$23:$U$23,0)))*(VLOOKUP($Q22,INDIRECT($B$5&amp;"生成成长"),3))*(VLOOKUP($B$5,标准坦克设计!$B$14:$K$20,9)/30))</f>
        <v>3.5508626701974184</v>
      </c>
      <c r="AI22" s="173">
        <f ca="1">(VLOOKUP(AI$13,INDIRECT($C$5&amp;"生成成长"),2))/((VLOOKUP($Q22,INDIRECT($B$5&amp;"生成成长"),4))/(VLOOKUP(AI$13,INDIRECT($C$5&amp;"生成成长"),5))*(VLOOKUP($B$5,标准坦克设计!$B$24:$U$30,MATCH("对"&amp;LEFT($C$5,2)&amp;"输出",标准坦克设计!$B$23:$U$23,0)))*(VLOOKUP($Q22,INDIRECT($B$5&amp;"生成成长"),3))*(VLOOKUP($B$5,标准坦克设计!$B$14:$K$20,9)/30))</f>
        <v>12.991253564559491</v>
      </c>
      <c r="AJ22" s="173">
        <f ca="1">(VLOOKUP(AJ$13,INDIRECT($C$5&amp;"生成成长"),2))/((VLOOKUP($Q22,INDIRECT($B$5&amp;"生成成长"),4))/(VLOOKUP(AJ$13,INDIRECT($C$5&amp;"生成成长"),5))*(VLOOKUP($B$5,标准坦克设计!$B$24:$U$30,MATCH("对"&amp;LEFT($C$5,2)&amp;"输出",标准坦克设计!$B$23:$U$23,0)))*(VLOOKUP($Q22,INDIRECT($B$5&amp;"生成成长"),3))*(VLOOKUP($B$5,标准坦克设计!$B$14:$K$20,9)/30))</f>
        <v>5.8348282091559849</v>
      </c>
      <c r="AK22" s="173">
        <f ca="1">(VLOOKUP(AK$13,INDIRECT($C$5&amp;"生成成长"),2))/((VLOOKUP($Q22,INDIRECT($B$5&amp;"生成成长"),4))/(VLOOKUP(AK$13,INDIRECT($C$5&amp;"生成成长"),5))*(VLOOKUP($B$5,标准坦克设计!$B$24:$U$30,MATCH("对"&amp;LEFT($C$5,2)&amp;"输出",标准坦克设计!$B$23:$U$23,0)))*(VLOOKUP($Q22,INDIRECT($B$5&amp;"生成成长"),3))*(VLOOKUP($B$5,标准坦克设计!$B$14:$K$20,9)/30))</f>
        <v>22.252509906846385</v>
      </c>
      <c r="AL22" s="173">
        <f ca="1">(VLOOKUP(AL$13,INDIRECT($C$5&amp;"生成成长"),2))/((VLOOKUP($Q22,INDIRECT($B$5&amp;"生成成长"),4))/(VLOOKUP(AL$13,INDIRECT($C$5&amp;"生成成长"),5))*(VLOOKUP($B$5,标准坦克设计!$B$24:$U$30,MATCH("对"&amp;LEFT($C$5,2)&amp;"输出",标准坦克设计!$B$23:$U$23,0)))*(VLOOKUP($Q22,INDIRECT($B$5&amp;"生成成长"),3))*(VLOOKUP($B$5,标准坦克设计!$B$14:$K$20,9)/30))</f>
        <v>9.8370459739571192</v>
      </c>
      <c r="AM22" s="173">
        <f ca="1">(VLOOKUP(AM$13,INDIRECT($C$5&amp;"生成成长"),2))/((VLOOKUP($Q22,INDIRECT($B$5&amp;"生成成长"),4))/(VLOOKUP(AM$13,INDIRECT($C$5&amp;"生成成长"),5))*(VLOOKUP($B$5,标准坦克设计!$B$24:$U$30,MATCH("对"&amp;LEFT($C$5,2)&amp;"输出",标准坦克设计!$B$23:$U$23,0)))*(VLOOKUP($Q22,INDIRECT($B$5&amp;"生成成长"),3))*(VLOOKUP($B$5,标准坦克设计!$B$14:$K$20,9)/30))</f>
        <v>37.15826399670938</v>
      </c>
    </row>
    <row r="23" spans="1:39" x14ac:dyDescent="0.15">
      <c r="A23" s="171" t="str">
        <f t="shared" si="1"/>
        <v>T3高品质</v>
      </c>
      <c r="B23" s="172">
        <v>30301</v>
      </c>
      <c r="C23" s="173">
        <f ca="1">(VLOOKUP(C$13,INDIRECT($C$5&amp;"生成成长"),2))/((VLOOKUP($B23,INDIRECT($B$5&amp;"生成成长"),4))/(VLOOKUP(C$13,INDIRECT($C$5&amp;"生成成长"),5))*(VLOOKUP($B$5,标准坦克设计!$B$24:$U$30,MATCH("对"&amp;LEFT($C$5,2)&amp;"输出",标准坦克设计!$B$23:$U$23,0)))*(VLOOKUP($B23,INDIRECT($B$5&amp;"生成成长"),3))*(VLOOKUP($B$5,标准坦克设计!$B$14:$K$20,9)/30))</f>
        <v>4.0790466076563421</v>
      </c>
      <c r="D23" s="173">
        <f ca="1">(VLOOKUP(D$13,INDIRECT($C$5&amp;"生成成长"),2))/((VLOOKUP($B23,INDIRECT($B$5&amp;"生成成长"),4))/(VLOOKUP(D$13,INDIRECT($C$5&amp;"生成成长"),5))*(VLOOKUP($B$5,标准坦克设计!$B$24:$U$30,MATCH("对"&amp;LEFT($C$5,2)&amp;"输出",标准坦克设计!$B$23:$U$23,0)))*(VLOOKUP($B23,INDIRECT($B$5&amp;"生成成长"),3))*(VLOOKUP($B$5,标准坦克设计!$B$14:$K$20,9)/30))</f>
        <v>5.4887651152623729</v>
      </c>
      <c r="E23" s="173">
        <f ca="1">(VLOOKUP(E$13,INDIRECT($C$5&amp;"生成成长"),2))/((VLOOKUP($B23,INDIRECT($B$5&amp;"生成成长"),4))/(VLOOKUP(E$13,INDIRECT($C$5&amp;"生成成长"),5))*(VLOOKUP($B$5,标准坦克设计!$B$24:$U$30,MATCH("对"&amp;LEFT($C$5,2)&amp;"输出",标准坦克设计!$B$23:$U$23,0)))*(VLOOKUP($B23,INDIRECT($B$5&amp;"生成成长"),3))*(VLOOKUP($B$5,标准坦克设计!$B$14:$K$20,9)/30))</f>
        <v>8.3412424079964556</v>
      </c>
      <c r="F23" s="173">
        <f ca="1">(VLOOKUP(F$13,INDIRECT($C$5&amp;"生成成长"),2))/((VLOOKUP($B23,INDIRECT($B$5&amp;"生成成长"),4))/(VLOOKUP(F$13,INDIRECT($C$5&amp;"生成成长"),5))*(VLOOKUP($B$5,标准坦克设计!$B$24:$U$30,MATCH("对"&amp;LEFT($C$5,2)&amp;"输出",标准坦克设计!$B$23:$U$23,0)))*(VLOOKUP($B23,INDIRECT($B$5&amp;"生成成长"),3))*(VLOOKUP($B$5,标准坦克设计!$B$14:$K$20,9)/30))</f>
        <v>13.660319184380324</v>
      </c>
      <c r="G23" s="173">
        <f ca="1">(VLOOKUP(G$13,INDIRECT($C$5&amp;"生成成长"),2))/((VLOOKUP($B23,INDIRECT($B$5&amp;"生成成长"),4))/(VLOOKUP(G$13,INDIRECT($C$5&amp;"生成成长"),5))*(VLOOKUP($B$5,标准坦克设计!$B$24:$U$30,MATCH("对"&amp;LEFT($C$5,2)&amp;"输出",标准坦克设计!$B$23:$U$23,0)))*(VLOOKUP($B23,INDIRECT($B$5&amp;"生成成长"),3))*(VLOOKUP($B$5,标准坦克设计!$B$14:$K$20,9)/30))</f>
        <v>5.6796644965006902</v>
      </c>
      <c r="H23" s="173">
        <f ca="1">(VLOOKUP(H$13,INDIRECT($C$5&amp;"生成成长"),2))/((VLOOKUP($B23,INDIRECT($B$5&amp;"生成成长"),4))/(VLOOKUP(H$13,INDIRECT($C$5&amp;"生成成长"),5))*(VLOOKUP($B$5,标准坦克设计!$B$24:$U$30,MATCH("对"&amp;LEFT($C$5,2)&amp;"输出",标准坦克设计!$B$23:$U$23,0)))*(VLOOKUP($B23,INDIRECT($B$5&amp;"生成成长"),3))*(VLOOKUP($B$5,标准坦克设计!$B$14:$K$20,9)/30))</f>
        <v>8.6948957488802598</v>
      </c>
      <c r="I23" s="173">
        <f ca="1">(VLOOKUP(I$13,INDIRECT($C$5&amp;"生成成长"),2))/((VLOOKUP($B23,INDIRECT($B$5&amp;"生成成长"),4))/(VLOOKUP(I$13,INDIRECT($C$5&amp;"生成成长"),5))*(VLOOKUP($B$5,标准坦克设计!$B$24:$U$30,MATCH("对"&amp;LEFT($C$5,2)&amp;"输出",标准坦克设计!$B$23:$U$23,0)))*(VLOOKUP($B23,INDIRECT($B$5&amp;"生成成长"),3))*(VLOOKUP($B$5,标准坦克设计!$B$14:$K$20,9)/30))</f>
        <v>14.264018082313465</v>
      </c>
      <c r="J23" s="173">
        <f ca="1">(VLOOKUP(J$13,INDIRECT($C$5&amp;"生成成长"),2))/((VLOOKUP($B23,INDIRECT($B$5&amp;"生成成长"),4))/(VLOOKUP(J$13,INDIRECT($C$5&amp;"生成成长"),5))*(VLOOKUP($B$5,标准坦克设计!$B$24:$U$30,MATCH("对"&amp;LEFT($C$5,2)&amp;"输出",标准坦克设计!$B$23:$U$23,0)))*(VLOOKUP($B23,INDIRECT($B$5&amp;"生成成长"),3))*(VLOOKUP($B$5,标准坦克设计!$B$14:$K$20,9)/30))</f>
        <v>24.086362313549934</v>
      </c>
      <c r="K23" s="173">
        <f ca="1">(VLOOKUP(K$13,INDIRECT($C$5&amp;"生成成长"),2))/((VLOOKUP($B23,INDIRECT($B$5&amp;"生成成长"),4))/(VLOOKUP(K$13,INDIRECT($C$5&amp;"生成成长"),5))*(VLOOKUP($B$5,标准坦克设计!$B$24:$U$30,MATCH("对"&amp;LEFT($C$5,2)&amp;"输出",标准坦克设计!$B$23:$U$23,0)))*(VLOOKUP($B23,INDIRECT($B$5&amp;"生成成长"),3))*(VLOOKUP($B$5,标准坦克设计!$B$14:$K$20,9)/30))</f>
        <v>9.055891373657845</v>
      </c>
      <c r="L23" s="173">
        <f ca="1">(VLOOKUP(L$13,INDIRECT($C$5&amp;"生成成长"),2))/((VLOOKUP($B23,INDIRECT($B$5&amp;"生成成长"),4))/(VLOOKUP(L$13,INDIRECT($C$5&amp;"生成成长"),5))*(VLOOKUP($B$5,标准坦克设计!$B$24:$U$30,MATCH("对"&amp;LEFT($C$5,2)&amp;"输出",标准坦克设计!$B$23:$U$23,0)))*(VLOOKUP($B23,INDIRECT($B$5&amp;"生成成长"),3))*(VLOOKUP($B$5,标准坦克设计!$B$14:$K$20,9)/30))</f>
        <v>14.8807699293911</v>
      </c>
      <c r="M23" s="173">
        <f ca="1">(VLOOKUP(M$13,INDIRECT($C$5&amp;"生成成长"),2))/((VLOOKUP($B23,INDIRECT($B$5&amp;"生成成长"),4))/(VLOOKUP(M$13,INDIRECT($C$5&amp;"生成成长"),5))*(VLOOKUP($B$5,标准坦克设计!$B$24:$U$30,MATCH("对"&amp;LEFT($C$5,2)&amp;"输出",标准坦克设计!$B$23:$U$23,0)))*(VLOOKUP($B23,INDIRECT($B$5&amp;"生成成长"),3))*(VLOOKUP($B$5,标准坦克设计!$B$14:$K$20,9)/30))</f>
        <v>25.087768255729564</v>
      </c>
      <c r="P23" s="171" t="str">
        <f>"T"&amp;LEFT(RIGHT(Q23,3),1)&amp;""&amp;IF(LEFT(Q23,1)="1","低",IF(LEFT(Q23,1)="2","中","高"))&amp;"满"</f>
        <v>T5低满</v>
      </c>
      <c r="Q23" s="172">
        <v>10513</v>
      </c>
      <c r="R23" s="173">
        <f ca="1">(VLOOKUP(R$13,INDIRECT($C$5&amp;"生成成长"),2))/((VLOOKUP($Q23,INDIRECT($B$5&amp;"生成成长"),4))/(VLOOKUP(R$13,INDIRECT($C$5&amp;"生成成长"),5))*(VLOOKUP($B$5,标准坦克设计!$B$24:$U$30,MATCH("对"&amp;LEFT($C$5,2)&amp;"输出",标准坦克设计!$B$23:$U$23,0)))*(VLOOKUP($Q23,INDIRECT($B$5&amp;"生成成长"),3))*(VLOOKUP($B$5,标准坦克设计!$B$14:$K$20,9)/30))</f>
        <v>0.66262551901378475</v>
      </c>
      <c r="S23" s="173">
        <f ca="1">(VLOOKUP(S$13,INDIRECT($C$5&amp;"生成成长"),2))/((VLOOKUP($Q23,INDIRECT($B$5&amp;"生成成长"),4))/(VLOOKUP(S$13,INDIRECT($C$5&amp;"生成成长"),5))*(VLOOKUP($B$5,标准坦克设计!$B$24:$U$30,MATCH("对"&amp;LEFT($C$5,2)&amp;"输出",标准坦克设计!$B$23:$U$23,0)))*(VLOOKUP($Q23,INDIRECT($B$5&amp;"生成成长"),3))*(VLOOKUP($B$5,标准坦克设计!$B$14:$K$20,9)/30))</f>
        <v>1.0188529980355954</v>
      </c>
      <c r="T23" s="173">
        <f ca="1">(VLOOKUP(T$13,INDIRECT($C$5&amp;"生成成长"),2))/((VLOOKUP($Q23,INDIRECT($B$5&amp;"生成成长"),4))/(VLOOKUP(T$13,INDIRECT($C$5&amp;"生成成长"),5))*(VLOOKUP($B$5,标准坦克设计!$B$24:$U$30,MATCH("对"&amp;LEFT($C$5,2)&amp;"输出",标准坦克设计!$B$23:$U$23,0)))*(VLOOKUP($Q23,INDIRECT($B$5&amp;"生成成长"),3))*(VLOOKUP($B$5,标准坦克设计!$B$14:$K$20,9)/30))</f>
        <v>0.89162889838494885</v>
      </c>
      <c r="U23" s="173">
        <f ca="1">(VLOOKUP(U$13,INDIRECT($C$5&amp;"生成成长"),2))/((VLOOKUP($Q23,INDIRECT($B$5&amp;"生成成长"),4))/(VLOOKUP(U$13,INDIRECT($C$5&amp;"生成成长"),5))*(VLOOKUP($B$5,标准坦克设计!$B$24:$U$30,MATCH("对"&amp;LEFT($C$5,2)&amp;"输出",标准坦克设计!$B$23:$U$23,0)))*(VLOOKUP($Q23,INDIRECT($B$5&amp;"生成成长"),3))*(VLOOKUP($B$5,标准坦克设计!$B$14:$K$20,9)/30))</f>
        <v>1.7821975959394754</v>
      </c>
      <c r="V23" s="173">
        <f ca="1">(VLOOKUP(V$13,INDIRECT($C$5&amp;"生成成长"),2))/((VLOOKUP($Q23,INDIRECT($B$5&amp;"生成成长"),4))/(VLOOKUP(V$13,INDIRECT($C$5&amp;"生成成长"),5))*(VLOOKUP($B$5,标准坦克设计!$B$24:$U$30,MATCH("对"&amp;LEFT($C$5,2)&amp;"输出",标准坦克设计!$B$23:$U$23,0)))*(VLOOKUP($Q23,INDIRECT($B$5&amp;"生成成长"),3))*(VLOOKUP($B$5,标准坦克设计!$B$14:$K$20,9)/30))</f>
        <v>1.3550029238312882</v>
      </c>
      <c r="W23" s="173">
        <f ca="1">(VLOOKUP(W$13,INDIRECT($C$5&amp;"生成成长"),2))/((VLOOKUP($Q23,INDIRECT($B$5&amp;"生成成长"),4))/(VLOOKUP(W$13,INDIRECT($C$5&amp;"生成成长"),5))*(VLOOKUP($B$5,标准坦克设计!$B$24:$U$30,MATCH("对"&amp;LEFT($C$5,2)&amp;"输出",标准坦克设计!$B$23:$U$23,0)))*(VLOOKUP($Q23,INDIRECT($B$5&amp;"生成成长"),3))*(VLOOKUP($B$5,标准坦克设计!$B$14:$K$20,9)/30))</f>
        <v>3.0629864616412199</v>
      </c>
      <c r="X23" s="173">
        <f ca="1">(VLOOKUP(X$13,INDIRECT($C$5&amp;"生成成长"),2))/((VLOOKUP($Q23,INDIRECT($B$5&amp;"生成成长"),4))/(VLOOKUP(X$13,INDIRECT($C$5&amp;"生成成长"),5))*(VLOOKUP($B$5,标准坦克设计!$B$24:$U$30,MATCH("对"&amp;LEFT($C$5,2)&amp;"输出",标准坦克设计!$B$23:$U$23,0)))*(VLOOKUP($Q23,INDIRECT($B$5&amp;"生成成长"),3))*(VLOOKUP($B$5,标准坦克设计!$B$14:$K$20,9)/30))</f>
        <v>2.2190666006252635</v>
      </c>
      <c r="Y23" s="173">
        <f ca="1">(VLOOKUP(Y$13,INDIRECT($C$5&amp;"生成成长"),2))/((VLOOKUP($Q23,INDIRECT($B$5&amp;"生成成长"),4))/(VLOOKUP(Y$13,INDIRECT($C$5&amp;"生成成长"),5))*(VLOOKUP($B$5,标准坦克设计!$B$24:$U$30,MATCH("对"&amp;LEFT($C$5,2)&amp;"输出",标准坦克设计!$B$23:$U$23,0)))*(VLOOKUP($Q23,INDIRECT($B$5&amp;"生成成长"),3))*(VLOOKUP($B$5,标准坦克设计!$B$14:$K$20,9)/30))</f>
        <v>5.306901519229501</v>
      </c>
      <c r="Z23" s="173">
        <f ca="1">(VLOOKUP(Z$13,INDIRECT($C$5&amp;"生成成长"),2))/((VLOOKUP($Q23,INDIRECT($B$5&amp;"生成成长"),4))/(VLOOKUP(Z$13,INDIRECT($C$5&amp;"生成成长"),5))*(VLOOKUP($B$5,标准坦克设计!$B$24:$U$30,MATCH("对"&amp;LEFT($C$5,2)&amp;"输出",标准坦克设计!$B$23:$U$23,0)))*(VLOOKUP($Q23,INDIRECT($B$5&amp;"生成成长"),3))*(VLOOKUP($B$5,标准坦克设计!$B$14:$K$20,9)/30))</f>
        <v>0.9226397726747938</v>
      </c>
      <c r="AA23" s="173">
        <f ca="1">(VLOOKUP(AA$13,INDIRECT($C$5&amp;"生成成长"),2))/((VLOOKUP($Q23,INDIRECT($B$5&amp;"生成成长"),4))/(VLOOKUP(AA$13,INDIRECT($C$5&amp;"生成成长"),5))*(VLOOKUP($B$5,标准坦克设计!$B$24:$U$30,MATCH("对"&amp;LEFT($C$5,2)&amp;"输出",标准坦克设计!$B$23:$U$23,0)))*(VLOOKUP($Q23,INDIRECT($B$5&amp;"生成成长"),3))*(VLOOKUP($B$5,标准坦克设计!$B$14:$K$20,9)/30))</f>
        <v>2.9221785388507908</v>
      </c>
      <c r="AB23" s="173">
        <f ca="1">(VLOOKUP(AB$13,INDIRECT($C$5&amp;"生成成长"),2))/((VLOOKUP($Q23,INDIRECT($B$5&amp;"生成成长"),4))/(VLOOKUP(AB$13,INDIRECT($C$5&amp;"生成成长"),5))*(VLOOKUP($B$5,标准坦克设计!$B$24:$U$30,MATCH("对"&amp;LEFT($C$5,2)&amp;"输出",标准坦克设计!$B$23:$U$23,0)))*(VLOOKUP($Q23,INDIRECT($B$5&amp;"生成成长"),3))*(VLOOKUP($B$5,标准坦克设计!$B$14:$K$20,9)/30))</f>
        <v>1.4124525563297836</v>
      </c>
      <c r="AC23" s="173">
        <f ca="1">(VLOOKUP(AC$13,INDIRECT($C$5&amp;"生成成长"),2))/((VLOOKUP($Q23,INDIRECT($B$5&amp;"生成成长"),4))/(VLOOKUP(AC$13,INDIRECT($C$5&amp;"生成成长"),5))*(VLOOKUP($B$5,标准坦克设计!$B$24:$U$30,MATCH("对"&amp;LEFT($C$5,2)&amp;"输出",标准坦克设计!$B$23:$U$23,0)))*(VLOOKUP($Q23,INDIRECT($B$5&amp;"生成成长"),3))*(VLOOKUP($B$5,标准坦克设计!$B$14:$K$20,9)/30))</f>
        <v>5.0842593448408682</v>
      </c>
      <c r="AD23" s="173">
        <f ca="1">(VLOOKUP(AD$13,INDIRECT($C$5&amp;"生成成长"),2))/((VLOOKUP($Q23,INDIRECT($B$5&amp;"生成成长"),4))/(VLOOKUP(AD$13,INDIRECT($C$5&amp;"生成成长"),5))*(VLOOKUP($B$5,标准坦克设计!$B$24:$U$30,MATCH("对"&amp;LEFT($C$5,2)&amp;"输出",标准坦克设计!$B$23:$U$23,0)))*(VLOOKUP($Q23,INDIRECT($B$5&amp;"生成成长"),3))*(VLOOKUP($B$5,标准坦克设计!$B$14:$K$20,9)/30))</f>
        <v>2.3171351774393036</v>
      </c>
      <c r="AE23" s="173">
        <f ca="1">(VLOOKUP(AE$13,INDIRECT($C$5&amp;"生成成长"),2))/((VLOOKUP($Q23,INDIRECT($B$5&amp;"生成成长"),4))/(VLOOKUP(AE$13,INDIRECT($C$5&amp;"生成成长"),5))*(VLOOKUP($B$5,标准坦克设计!$B$24:$U$30,MATCH("对"&amp;LEFT($C$5,2)&amp;"输出",标准坦克设计!$B$23:$U$23,0)))*(VLOOKUP($Q23,INDIRECT($B$5&amp;"生成成长"),3))*(VLOOKUP($B$5,标准坦克设计!$B$14:$K$20,9)/30))</f>
        <v>8.731350201492738</v>
      </c>
      <c r="AF23" s="173">
        <f ca="1">(VLOOKUP(AF$13,INDIRECT($C$5&amp;"生成成长"),2))/((VLOOKUP($Q23,INDIRECT($B$5&amp;"生成成长"),4))/(VLOOKUP(AF$13,INDIRECT($C$5&amp;"生成成长"),5))*(VLOOKUP($B$5,标准坦克设计!$B$24:$U$30,MATCH("对"&amp;LEFT($C$5,2)&amp;"输出",标准坦克设计!$B$23:$U$23,0)))*(VLOOKUP($Q23,INDIRECT($B$5&amp;"生成成长"),3))*(VLOOKUP($B$5,标准坦克设计!$B$14:$K$20,9)/30))</f>
        <v>3.9127374272244975</v>
      </c>
      <c r="AG23" s="173">
        <f ca="1">(VLOOKUP(AG$13,INDIRECT($C$5&amp;"生成成长"),2))/((VLOOKUP($Q23,INDIRECT($B$5&amp;"生成成长"),4))/(VLOOKUP(AG$13,INDIRECT($C$5&amp;"生成成长"),5))*(VLOOKUP($B$5,标准坦克设计!$B$24:$U$30,MATCH("对"&amp;LEFT($C$5,2)&amp;"输出",标准坦克设计!$B$23:$U$23,0)))*(VLOOKUP($Q23,INDIRECT($B$5&amp;"生成成长"),3))*(VLOOKUP($B$5,标准坦克设计!$B$14:$K$20,9)/30))</f>
        <v>14.637397715014504</v>
      </c>
      <c r="AH23" s="173">
        <f ca="1">(VLOOKUP(AH$13,INDIRECT($C$5&amp;"生成成长"),2))/((VLOOKUP($Q23,INDIRECT($B$5&amp;"生成成长"),4))/(VLOOKUP(AH$13,INDIRECT($C$5&amp;"生成成长"),5))*(VLOOKUP($B$5,标准坦克设计!$B$24:$U$30,MATCH("对"&amp;LEFT($C$5,2)&amp;"输出",标准坦克设计!$B$23:$U$23,0)))*(VLOOKUP($Q23,INDIRECT($B$5&amp;"生成成长"),3))*(VLOOKUP($B$5,标准坦克设计!$B$14:$K$20,9)/30))</f>
        <v>1.4710949147625032</v>
      </c>
      <c r="AI23" s="173">
        <f ca="1">(VLOOKUP(AI$13,INDIRECT($C$5&amp;"生成成长"),2))/((VLOOKUP($Q23,INDIRECT($B$5&amp;"生成成长"),4))/(VLOOKUP(AI$13,INDIRECT($C$5&amp;"生成成长"),5))*(VLOOKUP($B$5,标准坦克设计!$B$24:$U$30,MATCH("对"&amp;LEFT($C$5,2)&amp;"输出",标准坦克设计!$B$23:$U$23,0)))*(VLOOKUP($Q23,INDIRECT($B$5&amp;"生成成长"),3))*(VLOOKUP($B$5,标准坦克设计!$B$14:$K$20,9)/30))</f>
        <v>5.382175778189465</v>
      </c>
      <c r="AJ23" s="173">
        <f ca="1">(VLOOKUP(AJ$13,INDIRECT($C$5&amp;"生成成长"),2))/((VLOOKUP($Q23,INDIRECT($B$5&amp;"生成成长"),4))/(VLOOKUP(AJ$13,INDIRECT($C$5&amp;"生成成长"),5))*(VLOOKUP($B$5,标准坦克设计!$B$24:$U$30,MATCH("对"&amp;LEFT($C$5,2)&amp;"输出",标准坦克设计!$B$23:$U$23,0)))*(VLOOKUP($Q23,INDIRECT($B$5&amp;"生成成长"),3))*(VLOOKUP($B$5,标准坦克设计!$B$14:$K$20,9)/30))</f>
        <v>2.417324155914188</v>
      </c>
      <c r="AK23" s="173">
        <f ca="1">(VLOOKUP(AK$13,INDIRECT($C$5&amp;"生成成长"),2))/((VLOOKUP($Q23,INDIRECT($B$5&amp;"生成成长"),4))/(VLOOKUP(AK$13,INDIRECT($C$5&amp;"生成成长"),5))*(VLOOKUP($B$5,标准坦克设计!$B$24:$U$30,MATCH("对"&amp;LEFT($C$5,2)&amp;"输出",标准坦克设计!$B$23:$U$23,0)))*(VLOOKUP($Q23,INDIRECT($B$5&amp;"生成成长"),3))*(VLOOKUP($B$5,标准坦克设计!$B$14:$K$20,9)/30))</f>
        <v>9.2190425834868854</v>
      </c>
      <c r="AL23" s="173">
        <f ca="1">(VLOOKUP(AL$13,INDIRECT($C$5&amp;"生成成长"),2))/((VLOOKUP($Q23,INDIRECT($B$5&amp;"生成成长"),4))/(VLOOKUP(AL$13,INDIRECT($C$5&amp;"生成成长"),5))*(VLOOKUP($B$5,标准坦克设计!$B$24:$U$30,MATCH("对"&amp;LEFT($C$5,2)&amp;"输出",标准坦克设计!$B$23:$U$23,0)))*(VLOOKUP($Q23,INDIRECT($B$5&amp;"生成成长"),3))*(VLOOKUP($B$5,标准坦克设计!$B$14:$K$20,9)/30))</f>
        <v>4.0754119921423815</v>
      </c>
      <c r="AM23" s="173">
        <f ca="1">(VLOOKUP(AM$13,INDIRECT($C$5&amp;"生成成长"),2))/((VLOOKUP($Q23,INDIRECT($B$5&amp;"生成成长"),4))/(VLOOKUP(AM$13,INDIRECT($C$5&amp;"生成成长"),5))*(VLOOKUP($B$5,标准坦克设计!$B$24:$U$30,MATCH("对"&amp;LEFT($C$5,2)&amp;"输出",标准坦克设计!$B$23:$U$23,0)))*(VLOOKUP($Q23,INDIRECT($B$5&amp;"生成成长"),3))*(VLOOKUP($B$5,标准坦克设计!$B$14:$K$20,9)/30))</f>
        <v>15.39438110793585</v>
      </c>
    </row>
    <row r="24" spans="1:39" x14ac:dyDescent="0.15">
      <c r="A24" s="171" t="str">
        <f t="shared" si="1"/>
        <v>T4高品质</v>
      </c>
      <c r="B24" s="172">
        <v>30401</v>
      </c>
      <c r="C24" s="173">
        <f ca="1">(VLOOKUP(C$13,INDIRECT($C$5&amp;"生成成长"),2))/((VLOOKUP($B24,INDIRECT($B$5&amp;"生成成长"),4))/(VLOOKUP(C$13,INDIRECT($C$5&amp;"生成成长"),5))*(VLOOKUP($B$5,标准坦克设计!$B$24:$U$30,MATCH("对"&amp;LEFT($C$5,2)&amp;"输出",标准坦克设计!$B$23:$U$23,0)))*(VLOOKUP($B24,INDIRECT($B$5&amp;"生成成长"),3))*(VLOOKUP($B$5,标准坦克设计!$B$14:$K$20,9)/30))</f>
        <v>2.4912364081136196</v>
      </c>
      <c r="D24" s="173">
        <f ca="1">(VLOOKUP(D$13,INDIRECT($C$5&amp;"生成成长"),2))/((VLOOKUP($B24,INDIRECT($B$5&amp;"生成成长"),4))/(VLOOKUP(D$13,INDIRECT($C$5&amp;"生成成长"),5))*(VLOOKUP($B$5,标准坦克设计!$B$24:$U$30,MATCH("对"&amp;LEFT($C$5,2)&amp;"输出",标准坦克设计!$B$23:$U$23,0)))*(VLOOKUP($B24,INDIRECT($B$5&amp;"生成成长"),3))*(VLOOKUP($B$5,标准坦克设计!$B$14:$K$20,9)/30))</f>
        <v>3.3522077107576864</v>
      </c>
      <c r="E24" s="173">
        <f ca="1">(VLOOKUP(E$13,INDIRECT($C$5&amp;"生成成长"),2))/((VLOOKUP($B24,INDIRECT($B$5&amp;"生成成长"),4))/(VLOOKUP(E$13,INDIRECT($C$5&amp;"生成成长"),5))*(VLOOKUP($B$5,标准坦克设计!$B$24:$U$30,MATCH("对"&amp;LEFT($C$5,2)&amp;"输出",标准坦克设计!$B$23:$U$23,0)))*(VLOOKUP($B24,INDIRECT($B$5&amp;"生成成长"),3))*(VLOOKUP($B$5,标准坦克设计!$B$14:$K$20,9)/30))</f>
        <v>5.0943293309515409</v>
      </c>
      <c r="F24" s="173">
        <f ca="1">(VLOOKUP(F$13,INDIRECT($C$5&amp;"生成成长"),2))/((VLOOKUP($B24,INDIRECT($B$5&amp;"生成成长"),4))/(VLOOKUP(F$13,INDIRECT($C$5&amp;"生成成长"),5))*(VLOOKUP($B$5,标准坦克设计!$B$24:$U$30,MATCH("对"&amp;LEFT($C$5,2)&amp;"输出",标准坦克设计!$B$23:$U$23,0)))*(VLOOKUP($B24,INDIRECT($B$5&amp;"生成成长"),3))*(VLOOKUP($B$5,标准坦克设计!$B$14:$K$20,9)/30))</f>
        <v>8.342901607131699</v>
      </c>
      <c r="G24" s="173">
        <f ca="1">(VLOOKUP(G$13,INDIRECT($C$5&amp;"生成成长"),2))/((VLOOKUP($B24,INDIRECT($B$5&amp;"生成成长"),4))/(VLOOKUP(G$13,INDIRECT($C$5&amp;"生成成长"),5))*(VLOOKUP($B$5,标准坦克设计!$B$24:$U$30,MATCH("对"&amp;LEFT($C$5,2)&amp;"输出",标准坦克设计!$B$23:$U$23,0)))*(VLOOKUP($B24,INDIRECT($B$5&amp;"生成成长"),3))*(VLOOKUP($B$5,标准坦克设计!$B$14:$K$20,9)/30))</f>
        <v>3.4687975746574042</v>
      </c>
      <c r="H24" s="173">
        <f ca="1">(VLOOKUP(H$13,INDIRECT($C$5&amp;"生成成长"),2))/((VLOOKUP($B24,INDIRECT($B$5&amp;"生成成长"),4))/(VLOOKUP(H$13,INDIRECT($C$5&amp;"生成成长"),5))*(VLOOKUP($B$5,标准坦克设计!$B$24:$U$30,MATCH("对"&amp;LEFT($C$5,2)&amp;"输出",标准坦克设计!$B$23:$U$23,0)))*(VLOOKUP($B24,INDIRECT($B$5&amp;"生成成长"),3))*(VLOOKUP($B$5,标准坦克设计!$B$14:$K$20,9)/30))</f>
        <v>5.3103195275349915</v>
      </c>
      <c r="I24" s="173">
        <f ca="1">(VLOOKUP(I$13,INDIRECT($C$5&amp;"生成成长"),2))/((VLOOKUP($B24,INDIRECT($B$5&amp;"生成成长"),4))/(VLOOKUP(I$13,INDIRECT($C$5&amp;"生成成长"),5))*(VLOOKUP($B$5,标准坦克设计!$B$24:$U$30,MATCH("对"&amp;LEFT($C$5,2)&amp;"输出",标准坦克设计!$B$23:$U$23,0)))*(VLOOKUP($B24,INDIRECT($B$5&amp;"生成成长"),3))*(VLOOKUP($B$5,标准坦克设计!$B$14:$K$20,9)/30))</f>
        <v>8.7116045955325152</v>
      </c>
      <c r="J24" s="173">
        <f ca="1">(VLOOKUP(J$13,INDIRECT($C$5&amp;"生成成长"),2))/((VLOOKUP($B24,INDIRECT($B$5&amp;"生成成长"),4))/(VLOOKUP(J$13,INDIRECT($C$5&amp;"生成成长"),5))*(VLOOKUP($B$5,标准坦克设计!$B$24:$U$30,MATCH("对"&amp;LEFT($C$5,2)&amp;"输出",标准坦克设计!$B$23:$U$23,0)))*(VLOOKUP($B24,INDIRECT($B$5&amp;"生成成长"),3))*(VLOOKUP($B$5,标准坦克设计!$B$14:$K$20,9)/30))</f>
        <v>14.710501866270112</v>
      </c>
      <c r="K24" s="173">
        <f ca="1">(VLOOKUP(K$13,INDIRECT($C$5&amp;"生成成长"),2))/((VLOOKUP($B24,INDIRECT($B$5&amp;"生成成长"),4))/(VLOOKUP(K$13,INDIRECT($C$5&amp;"生成成长"),5))*(VLOOKUP($B$5,标准坦克设计!$B$24:$U$30,MATCH("对"&amp;LEFT($C$5,2)&amp;"输出",标准坦克设计!$B$23:$U$23,0)))*(VLOOKUP($B24,INDIRECT($B$5&amp;"生成成长"),3))*(VLOOKUP($B$5,标准坦克设计!$B$14:$K$20,9)/30))</f>
        <v>5.530793949653046</v>
      </c>
      <c r="L24" s="173">
        <f ca="1">(VLOOKUP(L$13,INDIRECT($C$5&amp;"生成成长"),2))/((VLOOKUP($B24,INDIRECT($B$5&amp;"生成成长"),4))/(VLOOKUP(L$13,INDIRECT($C$5&amp;"生成成长"),5))*(VLOOKUP($B$5,标准坦克设计!$B$24:$U$30,MATCH("对"&amp;LEFT($C$5,2)&amp;"输出",标准坦克设计!$B$23:$U$23,0)))*(VLOOKUP($B24,INDIRECT($B$5&amp;"生成成长"),3))*(VLOOKUP($B$5,标准坦克设计!$B$14:$K$20,9)/30))</f>
        <v>9.0882795404392951</v>
      </c>
      <c r="M24" s="173">
        <f ca="1">(VLOOKUP(M$13,INDIRECT($C$5&amp;"生成成长"),2))/((VLOOKUP($B24,INDIRECT($B$5&amp;"生成成长"),4))/(VLOOKUP(M$13,INDIRECT($C$5&amp;"生成成长"),5))*(VLOOKUP($B$5,标准坦克设计!$B$24:$U$30,MATCH("对"&amp;LEFT($C$5,2)&amp;"输出",标准坦克设计!$B$23:$U$23,0)))*(VLOOKUP($B24,INDIRECT($B$5&amp;"生成成长"),3))*(VLOOKUP($B$5,标准坦克设计!$B$14:$K$20,9)/30))</f>
        <v>15.322100404462006</v>
      </c>
      <c r="P24" s="175" t="str">
        <f>"T"&amp;LEFT(RIGHT(Q24,3),1)&amp;""&amp;IF(LEFT(Q24,1)="1","低",IF(LEFT(Q24,1)="2","中","高"))&amp;"初"</f>
        <v>T2中初</v>
      </c>
      <c r="Q24" s="179">
        <v>20201</v>
      </c>
      <c r="R24" s="173">
        <f ca="1">(VLOOKUP(R$13,INDIRECT($C$5&amp;"生成成长"),2))/((VLOOKUP($Q24,INDIRECT($B$5&amp;"生成成长"),4))/(VLOOKUP(R$13,INDIRECT($C$5&amp;"生成成长"),5))*(VLOOKUP($B$5,标准坦克设计!$B$24:$U$30,MATCH("对"&amp;LEFT($C$5,2)&amp;"输出",标准坦克设计!$B$23:$U$23,0)))*(VLOOKUP($Q24,INDIRECT($B$5&amp;"生成成长"),3))*(VLOOKUP($B$5,标准坦克设计!$B$14:$K$20,9)/30))</f>
        <v>6.5205170754016049</v>
      </c>
      <c r="S24" s="173">
        <f ca="1">(VLOOKUP(S$13,INDIRECT($C$5&amp;"生成成长"),2))/((VLOOKUP($Q24,INDIRECT($B$5&amp;"生成成长"),4))/(VLOOKUP(S$13,INDIRECT($C$5&amp;"生成成长"),5))*(VLOOKUP($B$5,标准坦克设计!$B$24:$U$30,MATCH("对"&amp;LEFT($C$5,2)&amp;"输出",标准坦克设计!$B$23:$U$23,0)))*(VLOOKUP($Q24,INDIRECT($B$5&amp;"生成成长"),3))*(VLOOKUP($B$5,标准坦克设计!$B$14:$K$20,9)/30))</f>
        <v>10.025947055137507</v>
      </c>
      <c r="T24" s="173">
        <f ca="1">(VLOOKUP(T$13,INDIRECT($C$5&amp;"生成成长"),2))/((VLOOKUP($Q24,INDIRECT($B$5&amp;"生成成长"),4))/(VLOOKUP(T$13,INDIRECT($C$5&amp;"生成成长"),5))*(VLOOKUP($B$5,标准坦克设计!$B$24:$U$30,MATCH("对"&amp;LEFT($C$5,2)&amp;"输出",标准坦克设计!$B$23:$U$23,0)))*(VLOOKUP($Q24,INDIRECT($B$5&amp;"生成成长"),3))*(VLOOKUP($B$5,标准坦克设计!$B$14:$K$20,9)/30))</f>
        <v>8.774007776660401</v>
      </c>
      <c r="U24" s="173">
        <f ca="1">(VLOOKUP(U$13,INDIRECT($C$5&amp;"生成成长"),2))/((VLOOKUP($Q24,INDIRECT($B$5&amp;"生成成长"),4))/(VLOOKUP(U$13,INDIRECT($C$5&amp;"生成成长"),5))*(VLOOKUP($B$5,标准坦克设计!$B$24:$U$30,MATCH("对"&amp;LEFT($C$5,2)&amp;"输出",标准坦克设计!$B$23:$U$23,0)))*(VLOOKUP($Q24,INDIRECT($B$5&amp;"生成成长"),3))*(VLOOKUP($B$5,标准坦克设计!$B$14:$K$20,9)/30))</f>
        <v>17.537582726000156</v>
      </c>
      <c r="V24" s="173">
        <f ca="1">(VLOOKUP(V$13,INDIRECT($C$5&amp;"生成成长"),2))/((VLOOKUP($Q24,INDIRECT($B$5&amp;"生成成长"),4))/(VLOOKUP(V$13,INDIRECT($C$5&amp;"生成成长"),5))*(VLOOKUP($B$5,标准坦克设计!$B$24:$U$30,MATCH("对"&amp;LEFT($C$5,2)&amp;"输出",标准坦克设计!$B$23:$U$23,0)))*(VLOOKUP($Q24,INDIRECT($B$5&amp;"生成成长"),3))*(VLOOKUP($B$5,标准坦克设计!$B$14:$K$20,9)/30))</f>
        <v>13.33380536748874</v>
      </c>
      <c r="W24" s="173">
        <f ca="1">(VLOOKUP(W$13,INDIRECT($C$5&amp;"生成成长"),2))/((VLOOKUP($Q24,INDIRECT($B$5&amp;"生成成长"),4))/(VLOOKUP(W$13,INDIRECT($C$5&amp;"生成成长"),5))*(VLOOKUP($B$5,标准坦克设计!$B$24:$U$30,MATCH("对"&amp;LEFT($C$5,2)&amp;"输出",标准坦克设计!$B$23:$U$23,0)))*(VLOOKUP($Q24,INDIRECT($B$5&amp;"生成成长"),3))*(VLOOKUP($B$5,标准坦克设计!$B$14:$K$20,9)/30))</f>
        <v>30.141090181043918</v>
      </c>
      <c r="X24" s="173">
        <f ca="1">(VLOOKUP(X$13,INDIRECT($C$5&amp;"生成成长"),2))/((VLOOKUP($Q24,INDIRECT($B$5&amp;"生成成长"),4))/(VLOOKUP(X$13,INDIRECT($C$5&amp;"生成成长"),5))*(VLOOKUP($B$5,标准坦克设计!$B$24:$U$30,MATCH("对"&amp;LEFT($C$5,2)&amp;"输出",标准坦克设计!$B$23:$U$23,0)))*(VLOOKUP($Q24,INDIRECT($B$5&amp;"生成成长"),3))*(VLOOKUP($B$5,标准坦克设计!$B$14:$K$20,9)/30))</f>
        <v>21.836559633812435</v>
      </c>
      <c r="Y24" s="173">
        <f ca="1">(VLOOKUP(Y$13,INDIRECT($C$5&amp;"生成成长"),2))/((VLOOKUP($Q24,INDIRECT($B$5&amp;"生成成长"),4))/(VLOOKUP(Y$13,INDIRECT($C$5&amp;"生成成长"),5))*(VLOOKUP($B$5,标准坦克设计!$B$24:$U$30,MATCH("对"&amp;LEFT($C$5,2)&amp;"输出",标准坦克设计!$B$23:$U$23,0)))*(VLOOKUP($Q24,INDIRECT($B$5&amp;"生成成长"),3))*(VLOOKUP($B$5,标准坦克设计!$B$14:$K$20,9)/30))</f>
        <v>52.222169205183917</v>
      </c>
      <c r="Z24" s="173">
        <f ca="1">(VLOOKUP(Z$13,INDIRECT($C$5&amp;"生成成长"),2))/((VLOOKUP($Q24,INDIRECT($B$5&amp;"生成成长"),4))/(VLOOKUP(Z$13,INDIRECT($C$5&amp;"生成成长"),5))*(VLOOKUP($B$5,标准坦克设计!$B$24:$U$30,MATCH("对"&amp;LEFT($C$5,2)&amp;"输出",标准坦克设计!$B$23:$U$23,0)))*(VLOOKUP($Q24,INDIRECT($B$5&amp;"生成成长"),3))*(VLOOKUP($B$5,标准坦克设计!$B$14:$K$20,9)/30))</f>
        <v>9.0791679757891952</v>
      </c>
      <c r="AA24" s="173">
        <f ca="1">(VLOOKUP(AA$13,INDIRECT($C$5&amp;"生成成长"),2))/((VLOOKUP($Q24,INDIRECT($B$5&amp;"生成成长"),4))/(VLOOKUP(AA$13,INDIRECT($C$5&amp;"生成成长"),5))*(VLOOKUP($B$5,标准坦克设计!$B$24:$U$30,MATCH("对"&amp;LEFT($C$5,2)&amp;"输出",标准坦克设计!$B$23:$U$23,0)))*(VLOOKUP($Q24,INDIRECT($B$5&amp;"生成成长"),3))*(VLOOKUP($B$5,标准坦克设计!$B$14:$K$20,9)/30))</f>
        <v>28.755480302521079</v>
      </c>
      <c r="AB24" s="173">
        <f ca="1">(VLOOKUP(AB$13,INDIRECT($C$5&amp;"生成成长"),2))/((VLOOKUP($Q24,INDIRECT($B$5&amp;"生成成长"),4))/(VLOOKUP(AB$13,INDIRECT($C$5&amp;"生成成长"),5))*(VLOOKUP($B$5,标准坦克设计!$B$24:$U$30,MATCH("对"&amp;LEFT($C$5,2)&amp;"输出",标准坦克设计!$B$23:$U$23,0)))*(VLOOKUP($Q24,INDIRECT($B$5&amp;"生成成长"),3))*(VLOOKUP($B$5,标准坦克设计!$B$14:$K$20,9)/30))</f>
        <v>13.89913419792606</v>
      </c>
      <c r="AC24" s="173">
        <f ca="1">(VLOOKUP(AC$13,INDIRECT($C$5&amp;"生成成长"),2))/((VLOOKUP($Q24,INDIRECT($B$5&amp;"生成成长"),4))/(VLOOKUP(AC$13,INDIRECT($C$5&amp;"生成成长"),5))*(VLOOKUP($B$5,标准坦克设计!$B$24:$U$30,MATCH("对"&amp;LEFT($C$5,2)&amp;"输出",标准坦克设计!$B$23:$U$23,0)))*(VLOOKUP($Q24,INDIRECT($B$5&amp;"生成成长"),3))*(VLOOKUP($B$5,标准坦克设计!$B$14:$K$20,9)/30))</f>
        <v>50.031275467848964</v>
      </c>
      <c r="AD24" s="173">
        <f ca="1">(VLOOKUP(AD$13,INDIRECT($C$5&amp;"生成成长"),2))/((VLOOKUP($Q24,INDIRECT($B$5&amp;"生成成长"),4))/(VLOOKUP(AD$13,INDIRECT($C$5&amp;"生成成长"),5))*(VLOOKUP($B$5,标准坦克设计!$B$24:$U$30,MATCH("对"&amp;LEFT($C$5,2)&amp;"输出",标准坦克设计!$B$23:$U$23,0)))*(VLOOKUP($Q24,INDIRECT($B$5&amp;"生成成长"),3))*(VLOOKUP($B$5,标准坦克设计!$B$14:$K$20,9)/30))</f>
        <v>22.801596160971872</v>
      </c>
      <c r="AE24" s="173">
        <f ca="1">(VLOOKUP(AE$13,INDIRECT($C$5&amp;"生成成长"),2))/((VLOOKUP($Q24,INDIRECT($B$5&amp;"生成成长"),4))/(VLOOKUP(AE$13,INDIRECT($C$5&amp;"生成成长"),5))*(VLOOKUP($B$5,标准坦克设计!$B$24:$U$30,MATCH("对"&amp;LEFT($C$5,2)&amp;"输出",标准坦克设计!$B$23:$U$23,0)))*(VLOOKUP($Q24,INDIRECT($B$5&amp;"生成成长"),3))*(VLOOKUP($B$5,标准坦克设计!$B$14:$K$20,9)/30))</f>
        <v>85.920201450859409</v>
      </c>
      <c r="AF24" s="173">
        <f ca="1">(VLOOKUP(AF$13,INDIRECT($C$5&amp;"生成成长"),2))/((VLOOKUP($Q24,INDIRECT($B$5&amp;"生成成长"),4))/(VLOOKUP(AF$13,INDIRECT($C$5&amp;"生成成长"),5))*(VLOOKUP($B$5,标准坦克设计!$B$24:$U$30,MATCH("对"&amp;LEFT($C$5,2)&amp;"输出",标准坦克设计!$B$23:$U$23,0)))*(VLOOKUP($Q24,INDIRECT($B$5&amp;"生成成长"),3))*(VLOOKUP($B$5,标准坦克设计!$B$14:$K$20,9)/30))</f>
        <v>38.503001278538939</v>
      </c>
      <c r="AG24" s="173">
        <f ca="1">(VLOOKUP(AG$13,INDIRECT($C$5&amp;"生成成长"),2))/((VLOOKUP($Q24,INDIRECT($B$5&amp;"生成成长"),4))/(VLOOKUP(AG$13,INDIRECT($C$5&amp;"生成成长"),5))*(VLOOKUP($B$5,标准坦克设计!$B$24:$U$30,MATCH("对"&amp;LEFT($C$5,2)&amp;"输出",标准坦克设计!$B$23:$U$23,0)))*(VLOOKUP($Q24,INDIRECT($B$5&amp;"生成成长"),3))*(VLOOKUP($B$5,标准坦克设计!$B$14:$K$20,9)/30))</f>
        <v>144.03822219562147</v>
      </c>
      <c r="AH24" s="173">
        <f ca="1">(VLOOKUP(AH$13,INDIRECT($C$5&amp;"生成成长"),2))/((VLOOKUP($Q24,INDIRECT($B$5&amp;"生成成长"),4))/(VLOOKUP(AH$13,INDIRECT($C$5&amp;"生成成长"),5))*(VLOOKUP($B$5,标准坦克设计!$B$24:$U$30,MATCH("对"&amp;LEFT($C$5,2)&amp;"输出",标准坦克设计!$B$23:$U$23,0)))*(VLOOKUP($Q24,INDIRECT($B$5&amp;"生成成长"),3))*(VLOOKUP($B$5,标准坦克设计!$B$14:$K$20,9)/30))</f>
        <v>14.476199959099104</v>
      </c>
      <c r="AI24" s="173">
        <f ca="1">(VLOOKUP(AI$13,INDIRECT($C$5&amp;"生成成长"),2))/((VLOOKUP($Q24,INDIRECT($B$5&amp;"生成成长"),4))/(VLOOKUP(AI$13,INDIRECT($C$5&amp;"生成成长"),5))*(VLOOKUP($B$5,标准坦克设计!$B$24:$U$30,MATCH("对"&amp;LEFT($C$5,2)&amp;"输出",标准坦克设计!$B$23:$U$23,0)))*(VLOOKUP($Q24,INDIRECT($B$5&amp;"生成成长"),3))*(VLOOKUP($B$5,标准坦克设计!$B$14:$K$20,9)/30))</f>
        <v>52.962899944949527</v>
      </c>
      <c r="AJ24" s="173">
        <f ca="1">(VLOOKUP(AJ$13,INDIRECT($C$5&amp;"生成成长"),2))/((VLOOKUP($Q24,INDIRECT($B$5&amp;"生成成长"),4))/(VLOOKUP(AJ$13,INDIRECT($C$5&amp;"生成成长"),5))*(VLOOKUP($B$5,标准坦克设计!$B$24:$U$30,MATCH("对"&amp;LEFT($C$5,2)&amp;"输出",标准坦克设计!$B$23:$U$23,0)))*(VLOOKUP($Q24,INDIRECT($B$5&amp;"生成成长"),3))*(VLOOKUP($B$5,标准坦克设计!$B$14:$K$20,9)/30))</f>
        <v>23.787498342772597</v>
      </c>
      <c r="AK24" s="173">
        <f ca="1">(VLOOKUP(AK$13,INDIRECT($C$5&amp;"生成成长"),2))/((VLOOKUP($Q24,INDIRECT($B$5&amp;"生成成长"),4))/(VLOOKUP(AK$13,INDIRECT($C$5&amp;"生成成长"),5))*(VLOOKUP($B$5,标准坦克设计!$B$24:$U$30,MATCH("对"&amp;LEFT($C$5,2)&amp;"输出",标准坦克设计!$B$23:$U$23,0)))*(VLOOKUP($Q24,INDIRECT($B$5&amp;"生成成长"),3))*(VLOOKUP($B$5,标准坦克设计!$B$14:$K$20,9)/30))</f>
        <v>90.719302018354981</v>
      </c>
      <c r="AL24" s="173">
        <f ca="1">(VLOOKUP(AL$13,INDIRECT($C$5&amp;"生成成长"),2))/((VLOOKUP($Q24,INDIRECT($B$5&amp;"生成成长"),4))/(VLOOKUP(AL$13,INDIRECT($C$5&amp;"生成成长"),5))*(VLOOKUP($B$5,标准坦克设计!$B$24:$U$30,MATCH("对"&amp;LEFT($C$5,2)&amp;"输出",标准坦克设计!$B$23:$U$23,0)))*(VLOOKUP($Q24,INDIRECT($B$5&amp;"生成成长"),3))*(VLOOKUP($B$5,标准坦克设计!$B$14:$K$20,9)/30))</f>
        <v>40.10378822055003</v>
      </c>
      <c r="AM24" s="173">
        <f ca="1">(VLOOKUP(AM$13,INDIRECT($C$5&amp;"生成成长"),2))/((VLOOKUP($Q24,INDIRECT($B$5&amp;"生成成长"),4))/(VLOOKUP(AM$13,INDIRECT($C$5&amp;"生成成长"),5))*(VLOOKUP($B$5,标准坦克设计!$B$24:$U$30,MATCH("对"&amp;LEFT($C$5,2)&amp;"输出",标准坦克设计!$B$23:$U$23,0)))*(VLOOKUP($Q24,INDIRECT($B$5&amp;"生成成长"),3))*(VLOOKUP($B$5,标准坦克设计!$B$14:$K$20,9)/30))</f>
        <v>151.48726090256025</v>
      </c>
    </row>
    <row r="25" spans="1:39" x14ac:dyDescent="0.15">
      <c r="A25" s="171" t="str">
        <f t="shared" si="1"/>
        <v>T5高品质</v>
      </c>
      <c r="B25" s="172">
        <v>30501</v>
      </c>
      <c r="C25" s="173">
        <f ca="1">(VLOOKUP(C$13,INDIRECT($C$5&amp;"生成成长"),2))/((VLOOKUP($B25,INDIRECT($B$5&amp;"生成成长"),4))/(VLOOKUP(C$13,INDIRECT($C$5&amp;"生成成长"),5))*(VLOOKUP($B$5,标准坦克设计!$B$24:$U$30,MATCH("对"&amp;LEFT($C$5,2)&amp;"输出",标准坦克设计!$B$23:$U$23,0)))*(VLOOKUP($B25,INDIRECT($B$5&amp;"生成成长"),3))*(VLOOKUP($B$5,标准坦克设计!$B$14:$K$20,9)/30))</f>
        <v>1.472905983226511</v>
      </c>
      <c r="D25" s="173">
        <f ca="1">(VLOOKUP(D$13,INDIRECT($C$5&amp;"生成成长"),2))/((VLOOKUP($B25,INDIRECT($B$5&amp;"生成成长"),4))/(VLOOKUP(D$13,INDIRECT($C$5&amp;"生成成长"),5))*(VLOOKUP($B$5,标准坦克设计!$B$24:$U$30,MATCH("对"&amp;LEFT($C$5,2)&amp;"输出",标准坦克设计!$B$23:$U$23,0)))*(VLOOKUP($B25,INDIRECT($B$5&amp;"生成成长"),3))*(VLOOKUP($B$5,标准坦克设计!$B$14:$K$20,9)/30))</f>
        <v>1.9819422910295932</v>
      </c>
      <c r="E25" s="173">
        <f ca="1">(VLOOKUP(E$13,INDIRECT($C$5&amp;"生成成长"),2))/((VLOOKUP($B25,INDIRECT($B$5&amp;"生成成长"),4))/(VLOOKUP(E$13,INDIRECT($C$5&amp;"生成成长"),5))*(VLOOKUP($B$5,标准坦克设计!$B$24:$U$30,MATCH("对"&amp;LEFT($C$5,2)&amp;"输出",标准坦克设计!$B$23:$U$23,0)))*(VLOOKUP($B25,INDIRECT($B$5&amp;"生成成长"),3))*(VLOOKUP($B$5,标准坦克设计!$B$14:$K$20,9)/30))</f>
        <v>3.0119454450998928</v>
      </c>
      <c r="F25" s="173">
        <f ca="1">(VLOOKUP(F$13,INDIRECT($C$5&amp;"生成成长"),2))/((VLOOKUP($B25,INDIRECT($B$5&amp;"生成成长"),4))/(VLOOKUP(F$13,INDIRECT($C$5&amp;"生成成长"),5))*(VLOOKUP($B$5,标准坦克设计!$B$24:$U$30,MATCH("对"&amp;LEFT($C$5,2)&amp;"输出",标准坦克设计!$B$23:$U$23,0)))*(VLOOKUP($B25,INDIRECT($B$5&amp;"生成成长"),3))*(VLOOKUP($B$5,标准坦克设计!$B$14:$K$20,9)/30))</f>
        <v>4.9326148472272626</v>
      </c>
      <c r="G25" s="173">
        <f ca="1">(VLOOKUP(G$13,INDIRECT($C$5&amp;"生成成长"),2))/((VLOOKUP($B25,INDIRECT($B$5&amp;"生成成长"),4))/(VLOOKUP(G$13,INDIRECT($C$5&amp;"生成成长"),5))*(VLOOKUP($B$5,标准坦克设计!$B$24:$U$30,MATCH("对"&amp;LEFT($C$5,2)&amp;"输出",标准坦克设计!$B$23:$U$23,0)))*(VLOOKUP($B25,INDIRECT($B$5&amp;"生成成长"),3))*(VLOOKUP($B$5,标准坦克设计!$B$14:$K$20,9)/30))</f>
        <v>2.0508742910445941</v>
      </c>
      <c r="H25" s="173">
        <f ca="1">(VLOOKUP(H$13,INDIRECT($C$5&amp;"生成成长"),2))/((VLOOKUP($B25,INDIRECT($B$5&amp;"生成成长"),4))/(VLOOKUP(H$13,INDIRECT($C$5&amp;"生成成长"),5))*(VLOOKUP($B$5,标准坦克设计!$B$24:$U$30,MATCH("对"&amp;LEFT($C$5,2)&amp;"输出",标准坦克设计!$B$23:$U$23,0)))*(VLOOKUP($B25,INDIRECT($B$5&amp;"生成成长"),3))*(VLOOKUP($B$5,标准坦克设计!$B$14:$K$20,9)/30))</f>
        <v>3.1396463938456307</v>
      </c>
      <c r="I25" s="173">
        <f ca="1">(VLOOKUP(I$13,INDIRECT($C$5&amp;"生成成长"),2))/((VLOOKUP($B25,INDIRECT($B$5&amp;"生成成长"),4))/(VLOOKUP(I$13,INDIRECT($C$5&amp;"生成成长"),5))*(VLOOKUP($B$5,标准坦克设计!$B$24:$U$30,MATCH("对"&amp;LEFT($C$5,2)&amp;"输出",标准坦克设计!$B$23:$U$23,0)))*(VLOOKUP($B25,INDIRECT($B$5&amp;"生成成长"),3))*(VLOOKUP($B$5,标准坦克设计!$B$14:$K$20,9)/30))</f>
        <v>5.1506049327447876</v>
      </c>
      <c r="J25" s="173">
        <f ca="1">(VLOOKUP(J$13,INDIRECT($C$5&amp;"生成成长"),2))/((VLOOKUP($B25,INDIRECT($B$5&amp;"生成成长"),4))/(VLOOKUP(J$13,INDIRECT($C$5&amp;"生成成长"),5))*(VLOOKUP($B$5,标准坦克设计!$B$24:$U$30,MATCH("对"&amp;LEFT($C$5,2)&amp;"输出",标准坦克设计!$B$23:$U$23,0)))*(VLOOKUP($B25,INDIRECT($B$5&amp;"生成成长"),3))*(VLOOKUP($B$5,标准坦克设计!$B$14:$K$20,9)/30))</f>
        <v>8.6973625403542272</v>
      </c>
      <c r="K25" s="173">
        <f ca="1">(VLOOKUP(K$13,INDIRECT($C$5&amp;"生成成长"),2))/((VLOOKUP($B25,INDIRECT($B$5&amp;"生成成长"),4))/(VLOOKUP(K$13,INDIRECT($C$5&amp;"生成成长"),5))*(VLOOKUP($B$5,标准坦克设计!$B$24:$U$30,MATCH("对"&amp;LEFT($C$5,2)&amp;"输出",标准坦克设计!$B$23:$U$23,0)))*(VLOOKUP($B25,INDIRECT($B$5&amp;"生成成长"),3))*(VLOOKUP($B$5,标准坦克设计!$B$14:$K$20,9)/30))</f>
        <v>3.2699985733611769</v>
      </c>
      <c r="L25" s="173">
        <f ca="1">(VLOOKUP(L$13,INDIRECT($C$5&amp;"生成成长"),2))/((VLOOKUP($B25,INDIRECT($B$5&amp;"生成成长"),4))/(VLOOKUP(L$13,INDIRECT($C$5&amp;"生成成长"),5))*(VLOOKUP($B$5,标准坦克设计!$B$24:$U$30,MATCH("对"&amp;LEFT($C$5,2)&amp;"输出",标准坦克设计!$B$23:$U$23,0)))*(VLOOKUP($B25,INDIRECT($B$5&amp;"生成成长"),3))*(VLOOKUP($B$5,标准坦克设计!$B$14:$K$20,9)/30))</f>
        <v>5.3733083174086351</v>
      </c>
      <c r="M25" s="173">
        <f ca="1">(VLOOKUP(M$13,INDIRECT($C$5&amp;"生成成长"),2))/((VLOOKUP($B25,INDIRECT($B$5&amp;"生成成长"),4))/(VLOOKUP(M$13,INDIRECT($C$5&amp;"生成成长"),5))*(VLOOKUP($B$5,标准坦克设计!$B$24:$U$30,MATCH("对"&amp;LEFT($C$5,2)&amp;"输出",标准坦克设计!$B$23:$U$23,0)))*(VLOOKUP($B25,INDIRECT($B$5&amp;"生成成长"),3))*(VLOOKUP($B$5,标准坦克设计!$B$14:$K$20,9)/30))</f>
        <v>9.0589609592363356</v>
      </c>
      <c r="P25" s="175" t="str">
        <f>"T"&amp;LEFT(RIGHT(Q25,3),1)&amp;""&amp;IF(LEFT(Q25,1)="1","低",IF(LEFT(Q25,1)="2","中","高"))&amp;"满"</f>
        <v>T2中满</v>
      </c>
      <c r="Q25" s="179">
        <v>20212</v>
      </c>
      <c r="R25" s="173">
        <f ca="1">(VLOOKUP(R$13,INDIRECT($C$5&amp;"生成成长"),2))/((VLOOKUP($Q25,INDIRECT($B$5&amp;"生成成长"),4))/(VLOOKUP(R$13,INDIRECT($C$5&amp;"生成成长"),5))*(VLOOKUP($B$5,标准坦克设计!$B$24:$U$30,MATCH("对"&amp;LEFT($C$5,2)&amp;"输出",标准坦克设计!$B$23:$U$23,0)))*(VLOOKUP($Q25,INDIRECT($B$5&amp;"生成成长"),3))*(VLOOKUP($B$5,标准坦克设计!$B$14:$K$20,9)/30))</f>
        <v>2.0623203706973081</v>
      </c>
      <c r="S25" s="173">
        <f ca="1">(VLOOKUP(S$13,INDIRECT($C$5&amp;"生成成长"),2))/((VLOOKUP($Q25,INDIRECT($B$5&amp;"生成成长"),4))/(VLOOKUP(S$13,INDIRECT($C$5&amp;"生成成长"),5))*(VLOOKUP($B$5,标准坦克设计!$B$24:$U$30,MATCH("对"&amp;LEFT($C$5,2)&amp;"输出",标准坦克设计!$B$23:$U$23,0)))*(VLOOKUP($Q25,INDIRECT($B$5&amp;"生成成长"),3))*(VLOOKUP($B$5,标准坦克设计!$B$14:$K$20,9)/30))</f>
        <v>3.1710238019841812</v>
      </c>
      <c r="T25" s="173">
        <f ca="1">(VLOOKUP(T$13,INDIRECT($C$5&amp;"生成成长"),2))/((VLOOKUP($Q25,INDIRECT($B$5&amp;"生成成长"),4))/(VLOOKUP(T$13,INDIRECT($C$5&amp;"生成成长"),5))*(VLOOKUP($B$5,标准坦克设计!$B$24:$U$30,MATCH("对"&amp;LEFT($C$5,2)&amp;"输出",标准坦克设计!$B$23:$U$23,0)))*(VLOOKUP($Q25,INDIRECT($B$5&amp;"生成成长"),3))*(VLOOKUP($B$5,标准坦克设计!$B$14:$K$20,9)/30))</f>
        <v>2.7750582908102981</v>
      </c>
      <c r="U25" s="173">
        <f ca="1">(VLOOKUP(U$13,INDIRECT($C$5&amp;"生成成长"),2))/((VLOOKUP($Q25,INDIRECT($B$5&amp;"生成成长"),4))/(VLOOKUP(U$13,INDIRECT($C$5&amp;"生成成长"),5))*(VLOOKUP($B$5,标准坦克设计!$B$24:$U$30,MATCH("对"&amp;LEFT($C$5,2)&amp;"输出",标准坦克设计!$B$23:$U$23,0)))*(VLOOKUP($Q25,INDIRECT($B$5&amp;"生成成长"),3))*(VLOOKUP($B$5,标准坦克设计!$B$14:$K$20,9)/30))</f>
        <v>5.5468168690274799</v>
      </c>
      <c r="V25" s="173">
        <f ca="1">(VLOOKUP(V$13,INDIRECT($C$5&amp;"生成成长"),2))/((VLOOKUP($Q25,INDIRECT($B$5&amp;"生成成长"),4))/(VLOOKUP(V$13,INDIRECT($C$5&amp;"生成成长"),5))*(VLOOKUP($B$5,标准坦克设计!$B$24:$U$30,MATCH("对"&amp;LEFT($C$5,2)&amp;"输出",标准坦克设计!$B$23:$U$23,0)))*(VLOOKUP($Q25,INDIRECT($B$5&amp;"生成成长"),3))*(VLOOKUP($B$5,标准坦克设计!$B$14:$K$20,9)/30))</f>
        <v>4.2172389260389256</v>
      </c>
      <c r="W25" s="173">
        <f ca="1">(VLOOKUP(W$13,INDIRECT($C$5&amp;"生成成长"),2))/((VLOOKUP($Q25,INDIRECT($B$5&amp;"生成成长"),4))/(VLOOKUP(W$13,INDIRECT($C$5&amp;"生成成长"),5))*(VLOOKUP($B$5,标准坦克设计!$B$24:$U$30,MATCH("对"&amp;LEFT($C$5,2)&amp;"输出",标准坦克设计!$B$23:$U$23,0)))*(VLOOKUP($Q25,INDIRECT($B$5&amp;"生成成长"),3))*(VLOOKUP($B$5,标准坦克设计!$B$14:$K$20,9)/30))</f>
        <v>9.5330759135483092</v>
      </c>
      <c r="X25" s="173">
        <f ca="1">(VLOOKUP(X$13,INDIRECT($C$5&amp;"生成成长"),2))/((VLOOKUP($Q25,INDIRECT($B$5&amp;"生成成长"),4))/(VLOOKUP(X$13,INDIRECT($C$5&amp;"生成成长"),5))*(VLOOKUP($B$5,标准坦克设计!$B$24:$U$30,MATCH("对"&amp;LEFT($C$5,2)&amp;"输出",标准坦克设计!$B$23:$U$23,0)))*(VLOOKUP($Q25,INDIRECT($B$5&amp;"生成成长"),3))*(VLOOKUP($B$5,标准坦克设计!$B$14:$K$20,9)/30))</f>
        <v>6.9065046894282149</v>
      </c>
      <c r="Y25" s="173">
        <f ca="1">(VLOOKUP(Y$13,INDIRECT($C$5&amp;"生成成长"),2))/((VLOOKUP($Q25,INDIRECT($B$5&amp;"生成成长"),4))/(VLOOKUP(Y$13,INDIRECT($C$5&amp;"生成成长"),5))*(VLOOKUP($B$5,标准坦克设计!$B$24:$U$30,MATCH("对"&amp;LEFT($C$5,2)&amp;"输出",标准坦克设计!$B$23:$U$23,0)))*(VLOOKUP($Q25,INDIRECT($B$5&amp;"生成成长"),3))*(VLOOKUP($B$5,标准坦克设计!$B$14:$K$20,9)/30))</f>
        <v>16.516917616877674</v>
      </c>
      <c r="Z25" s="173">
        <f ca="1">(VLOOKUP(Z$13,INDIRECT($C$5&amp;"生成成长"),2))/((VLOOKUP($Q25,INDIRECT($B$5&amp;"生成成长"),4))/(VLOOKUP(Z$13,INDIRECT($C$5&amp;"生成成长"),5))*(VLOOKUP($B$5,标准坦克设计!$B$24:$U$30,MATCH("对"&amp;LEFT($C$5,2)&amp;"输出",标准坦克设计!$B$23:$U$23,0)))*(VLOOKUP($Q25,INDIRECT($B$5&amp;"生成成长"),3))*(VLOOKUP($B$5,标准坦克设计!$B$14:$K$20,9)/30))</f>
        <v>2.8715748841589326</v>
      </c>
      <c r="AA25" s="173">
        <f ca="1">(VLOOKUP(AA$13,INDIRECT($C$5&amp;"生成成长"),2))/((VLOOKUP($Q25,INDIRECT($B$5&amp;"生成成长"),4))/(VLOOKUP(AA$13,INDIRECT($C$5&amp;"生成成长"),5))*(VLOOKUP($B$5,标准坦克设计!$B$24:$U$30,MATCH("对"&amp;LEFT($C$5,2)&amp;"输出",标准坦克设计!$B$23:$U$23,0)))*(VLOOKUP($Q25,INDIRECT($B$5&amp;"生成成长"),3))*(VLOOKUP($B$5,标准坦克设计!$B$14:$K$20,9)/30))</f>
        <v>9.0948328347751293</v>
      </c>
      <c r="AB25" s="173">
        <f ca="1">(VLOOKUP(AB$13,INDIRECT($C$5&amp;"生成成长"),2))/((VLOOKUP($Q25,INDIRECT($B$5&amp;"生成成长"),4))/(VLOOKUP(AB$13,INDIRECT($C$5&amp;"生成成长"),5))*(VLOOKUP($B$5,标准坦克设计!$B$24:$U$30,MATCH("对"&amp;LEFT($C$5,2)&amp;"输出",标准坦克设计!$B$23:$U$23,0)))*(VLOOKUP($Q25,INDIRECT($B$5&amp;"生成成长"),3))*(VLOOKUP($B$5,标准坦克设计!$B$14:$K$20,9)/30))</f>
        <v>4.3960421021783826</v>
      </c>
      <c r="AC25" s="173">
        <f ca="1">(VLOOKUP(AC$13,INDIRECT($C$5&amp;"生成成长"),2))/((VLOOKUP($Q25,INDIRECT($B$5&amp;"生成成长"),4))/(VLOOKUP(AC$13,INDIRECT($C$5&amp;"生成成长"),5))*(VLOOKUP($B$5,标准坦克设计!$B$24:$U$30,MATCH("对"&amp;LEFT($C$5,2)&amp;"输出",标准坦克设计!$B$23:$U$23,0)))*(VLOOKUP($Q25,INDIRECT($B$5&amp;"生成成长"),3))*(VLOOKUP($B$5,标准坦克设计!$B$14:$K$20,9)/30))</f>
        <v>15.823977972323377</v>
      </c>
      <c r="AD25" s="173">
        <f ca="1">(VLOOKUP(AD$13,INDIRECT($C$5&amp;"生成成长"),2))/((VLOOKUP($Q25,INDIRECT($B$5&amp;"生成成长"),4))/(VLOOKUP(AD$13,INDIRECT($C$5&amp;"生成成长"),5))*(VLOOKUP($B$5,标准坦克设计!$B$24:$U$30,MATCH("对"&amp;LEFT($C$5,2)&amp;"输出",标准坦克设计!$B$23:$U$23,0)))*(VLOOKUP($Q25,INDIRECT($B$5&amp;"生成成长"),3))*(VLOOKUP($B$5,标准坦克设计!$B$14:$K$20,9)/30))</f>
        <v>7.2117281042914172</v>
      </c>
      <c r="AE25" s="173">
        <f ca="1">(VLOOKUP(AE$13,INDIRECT($C$5&amp;"生成成长"),2))/((VLOOKUP($Q25,INDIRECT($B$5&amp;"生成成长"),4))/(VLOOKUP(AE$13,INDIRECT($C$5&amp;"生成成长"),5))*(VLOOKUP($B$5,标准坦克设计!$B$24:$U$30,MATCH("对"&amp;LEFT($C$5,2)&amp;"输出",标准坦克设计!$B$23:$U$23,0)))*(VLOOKUP($Q25,INDIRECT($B$5&amp;"生成成长"),3))*(VLOOKUP($B$5,标准坦克设计!$B$14:$K$20,9)/30))</f>
        <v>27.174989292641364</v>
      </c>
      <c r="AF25" s="173">
        <f ca="1">(VLOOKUP(AF$13,INDIRECT($C$5&amp;"生成成长"),2))/((VLOOKUP($Q25,INDIRECT($B$5&amp;"生成成长"),4))/(VLOOKUP(AF$13,INDIRECT($C$5&amp;"生成成长"),5))*(VLOOKUP($B$5,标准坦克设计!$B$24:$U$30,MATCH("对"&amp;LEFT($C$5,2)&amp;"输出",标准坦克设计!$B$23:$U$23,0)))*(VLOOKUP($Q25,INDIRECT($B$5&amp;"生成成长"),3))*(VLOOKUP($B$5,标准坦克设计!$B$14:$K$20,9)/30))</f>
        <v>12.177795556930537</v>
      </c>
      <c r="AG25" s="173">
        <f ca="1">(VLOOKUP(AG$13,INDIRECT($C$5&amp;"生成成长"),2))/((VLOOKUP($Q25,INDIRECT($B$5&amp;"生成成长"),4))/(VLOOKUP(AG$13,INDIRECT($C$5&amp;"生成成长"),5))*(VLOOKUP($B$5,标准坦克设计!$B$24:$U$30,MATCH("对"&amp;LEFT($C$5,2)&amp;"输出",标准坦克设计!$B$23:$U$23,0)))*(VLOOKUP($Q25,INDIRECT($B$5&amp;"生成成长"),3))*(VLOOKUP($B$5,标准坦克设计!$B$14:$K$20,9)/30))</f>
        <v>45.556656988703537</v>
      </c>
      <c r="AH25" s="173">
        <f ca="1">(VLOOKUP(AH$13,INDIRECT($C$5&amp;"生成成长"),2))/((VLOOKUP($Q25,INDIRECT($B$5&amp;"生成成长"),4))/(VLOOKUP(AH$13,INDIRECT($C$5&amp;"生成成长"),5))*(VLOOKUP($B$5,标准坦克设计!$B$24:$U$30,MATCH("对"&amp;LEFT($C$5,2)&amp;"输出",标准坦克设计!$B$23:$U$23,0)))*(VLOOKUP($Q25,INDIRECT($B$5&amp;"生成成长"),3))*(VLOOKUP($B$5,标准坦克设计!$B$14:$K$20,9)/30))</f>
        <v>4.578557454985094</v>
      </c>
      <c r="AI25" s="173">
        <f ca="1">(VLOOKUP(AI$13,INDIRECT($C$5&amp;"生成成长"),2))/((VLOOKUP($Q25,INDIRECT($B$5&amp;"生成成长"),4))/(VLOOKUP(AI$13,INDIRECT($C$5&amp;"生成成长"),5))*(VLOOKUP($B$5,标准坦克设计!$B$24:$U$30,MATCH("对"&amp;LEFT($C$5,2)&amp;"输出",标准坦克设计!$B$23:$U$23,0)))*(VLOOKUP($Q25,INDIRECT($B$5&amp;"生成成长"),3))*(VLOOKUP($B$5,标准坦克设计!$B$14:$K$20,9)/30))</f>
        <v>16.751197210988884</v>
      </c>
      <c r="AJ25" s="173">
        <f ca="1">(VLOOKUP(AJ$13,INDIRECT($C$5&amp;"生成成长"),2))/((VLOOKUP($Q25,INDIRECT($B$5&amp;"生成成长"),4))/(VLOOKUP(AJ$13,INDIRECT($C$5&amp;"生成成长"),5))*(VLOOKUP($B$5,标准坦克设计!$B$24:$U$30,MATCH("对"&amp;LEFT($C$5,2)&amp;"输出",标准坦克设计!$B$23:$U$23,0)))*(VLOOKUP($Q25,INDIRECT($B$5&amp;"生成成长"),3))*(VLOOKUP($B$5,标准坦克设计!$B$14:$K$20,9)/30))</f>
        <v>7.523550944340851</v>
      </c>
      <c r="AK25" s="173">
        <f ca="1">(VLOOKUP(AK$13,INDIRECT($C$5&amp;"生成成长"),2))/((VLOOKUP($Q25,INDIRECT($B$5&amp;"生成成长"),4))/(VLOOKUP(AK$13,INDIRECT($C$5&amp;"生成成长"),5))*(VLOOKUP($B$5,标准坦克设计!$B$24:$U$30,MATCH("对"&amp;LEFT($C$5,2)&amp;"输出",标准坦克设计!$B$23:$U$23,0)))*(VLOOKUP($Q25,INDIRECT($B$5&amp;"生成成长"),3))*(VLOOKUP($B$5,标准坦克设计!$B$14:$K$20,9)/30))</f>
        <v>28.692857085474575</v>
      </c>
      <c r="AL25" s="173">
        <f ca="1">(VLOOKUP(AL$13,INDIRECT($C$5&amp;"生成成长"),2))/((VLOOKUP($Q25,INDIRECT($B$5&amp;"生成成长"),4))/(VLOOKUP(AL$13,INDIRECT($C$5&amp;"生成成长"),5))*(VLOOKUP($B$5,标准坦克设计!$B$24:$U$30,MATCH("对"&amp;LEFT($C$5,2)&amp;"输出",标准坦克设计!$B$23:$U$23,0)))*(VLOOKUP($Q25,INDIRECT($B$5&amp;"生成成长"),3))*(VLOOKUP($B$5,标准坦克设计!$B$14:$K$20,9)/30))</f>
        <v>12.684095207936725</v>
      </c>
      <c r="AM25" s="173">
        <f ca="1">(VLOOKUP(AM$13,INDIRECT($C$5&amp;"生成成长"),2))/((VLOOKUP($Q25,INDIRECT($B$5&amp;"生成成长"),4))/(VLOOKUP(AM$13,INDIRECT($C$5&amp;"生成成长"),5))*(VLOOKUP($B$5,标准坦克设计!$B$24:$U$30,MATCH("对"&amp;LEFT($C$5,2)&amp;"输出",标准坦克设计!$B$23:$U$23,0)))*(VLOOKUP($Q25,INDIRECT($B$5&amp;"生成成长"),3))*(VLOOKUP($B$5,标准坦克设计!$B$14:$K$20,9)/30))</f>
        <v>47.912651780188142</v>
      </c>
    </row>
    <row r="26" spans="1:39" x14ac:dyDescent="0.15">
      <c r="P26" s="171" t="str">
        <f>"T"&amp;LEFT(RIGHT(Q26,3),1)&amp;""&amp;IF(LEFT(Q26,1)="1","低",IF(LEFT(Q26,1)="2","中","高"))&amp;"初"</f>
        <v>T3中初</v>
      </c>
      <c r="Q26" s="172">
        <v>20301</v>
      </c>
      <c r="R26" s="173">
        <f ca="1">(VLOOKUP(R$13,INDIRECT($C$5&amp;"生成成长"),2))/((VLOOKUP($Q26,INDIRECT($B$5&amp;"生成成长"),4))/(VLOOKUP(R$13,INDIRECT($C$5&amp;"生成成长"),5))*(VLOOKUP($B$5,标准坦克设计!$B$24:$U$30,MATCH("对"&amp;LEFT($C$5,2)&amp;"输出",标准坦克设计!$B$23:$U$23,0)))*(VLOOKUP($Q26,INDIRECT($B$5&amp;"生成成长"),3))*(VLOOKUP($B$5,标准坦克设计!$B$14:$K$20,9)/30))</f>
        <v>4.2705228743714336</v>
      </c>
      <c r="S26" s="173">
        <f ca="1">(VLOOKUP(S$13,INDIRECT($C$5&amp;"生成成长"),2))/((VLOOKUP($Q26,INDIRECT($B$5&amp;"生成成长"),4))/(VLOOKUP(S$13,INDIRECT($C$5&amp;"生成成长"),5))*(VLOOKUP($B$5,标准坦克设计!$B$24:$U$30,MATCH("对"&amp;LEFT($C$5,2)&amp;"输出",标准坦克设计!$B$23:$U$23,0)))*(VLOOKUP($Q26,INDIRECT($B$5&amp;"生成成长"),3))*(VLOOKUP($B$5,标准坦克设计!$B$14:$K$20,9)/30))</f>
        <v>6.5663559716335174</v>
      </c>
      <c r="T26" s="173">
        <f ca="1">(VLOOKUP(T$13,INDIRECT($C$5&amp;"生成成长"),2))/((VLOOKUP($Q26,INDIRECT($B$5&amp;"生成成长"),4))/(VLOOKUP(T$13,INDIRECT($C$5&amp;"生成成长"),5))*(VLOOKUP($B$5,标准坦克设计!$B$24:$U$30,MATCH("对"&amp;LEFT($C$5,2)&amp;"输出",标准坦克设计!$B$23:$U$23,0)))*(VLOOKUP($Q26,INDIRECT($B$5&amp;"生成成长"),3))*(VLOOKUP($B$5,标准坦克设计!$B$14:$K$20,9)/30))</f>
        <v>5.7464155797542018</v>
      </c>
      <c r="U26" s="173">
        <f ca="1">(VLOOKUP(U$13,INDIRECT($C$5&amp;"生成成长"),2))/((VLOOKUP($Q26,INDIRECT($B$5&amp;"生成成长"),4))/(VLOOKUP(U$13,INDIRECT($C$5&amp;"生成成长"),5))*(VLOOKUP($B$5,标准坦克设计!$B$24:$U$30,MATCH("对"&amp;LEFT($C$5,2)&amp;"输出",标准坦克设计!$B$23:$U$23,0)))*(VLOOKUP($Q26,INDIRECT($B$5&amp;"生成成长"),3))*(VLOOKUP($B$5,标准坦克设计!$B$14:$K$20,9)/30))</f>
        <v>11.485998322909406</v>
      </c>
      <c r="V26" s="173">
        <f ca="1">(VLOOKUP(V$13,INDIRECT($C$5&amp;"生成成长"),2))/((VLOOKUP($Q26,INDIRECT($B$5&amp;"生成成长"),4))/(VLOOKUP(V$13,INDIRECT($C$5&amp;"生成成长"),5))*(VLOOKUP($B$5,标准坦克设计!$B$24:$U$30,MATCH("对"&amp;LEFT($C$5,2)&amp;"输出",标准坦克设计!$B$23:$U$23,0)))*(VLOOKUP($Q26,INDIRECT($B$5&amp;"生成成长"),3))*(VLOOKUP($B$5,标准坦克设计!$B$14:$K$20,9)/30))</f>
        <v>8.7327922258021431</v>
      </c>
      <c r="W26" s="173">
        <f ca="1">(VLOOKUP(W$13,INDIRECT($C$5&amp;"生成成长"),2))/((VLOOKUP($Q26,INDIRECT($B$5&amp;"生成成长"),4))/(VLOOKUP(W$13,INDIRECT($C$5&amp;"生成成长"),5))*(VLOOKUP($B$5,标准坦克设计!$B$24:$U$30,MATCH("对"&amp;LEFT($C$5,2)&amp;"输出",标准坦克设计!$B$23:$U$23,0)))*(VLOOKUP($Q26,INDIRECT($B$5&amp;"生成成长"),3))*(VLOOKUP($B$5,标准坦克设计!$B$14:$K$20,9)/30))</f>
        <v>19.740491986781951</v>
      </c>
      <c r="X26" s="173">
        <f ca="1">(VLOOKUP(X$13,INDIRECT($C$5&amp;"生成成长"),2))/((VLOOKUP($Q26,INDIRECT($B$5&amp;"生成成长"),4))/(VLOOKUP(X$13,INDIRECT($C$5&amp;"生成成长"),5))*(VLOOKUP($B$5,标准坦克设计!$B$24:$U$30,MATCH("对"&amp;LEFT($C$5,2)&amp;"输出",标准坦克设计!$B$23:$U$23,0)))*(VLOOKUP($Q26,INDIRECT($B$5&amp;"生成成长"),3))*(VLOOKUP($B$5,标准坦克设计!$B$14:$K$20,9)/30))</f>
        <v>14.301554053982494</v>
      </c>
      <c r="Y26" s="173">
        <f ca="1">(VLOOKUP(Y$13,INDIRECT($C$5&amp;"生成成长"),2))/((VLOOKUP($Q26,INDIRECT($B$5&amp;"生成成长"),4))/(VLOOKUP(Y$13,INDIRECT($C$5&amp;"生成成长"),5))*(VLOOKUP($B$5,标准坦克设计!$B$24:$U$30,MATCH("对"&amp;LEFT($C$5,2)&amp;"输出",标准坦克设计!$B$23:$U$23,0)))*(VLOOKUP($Q26,INDIRECT($B$5&amp;"生成成长"),3))*(VLOOKUP($B$5,标准坦克设计!$B$14:$K$20,9)/30))</f>
        <v>34.202190648553376</v>
      </c>
      <c r="Z26" s="173">
        <f ca="1">(VLOOKUP(Z$13,INDIRECT($C$5&amp;"生成成长"),2))/((VLOOKUP($Q26,INDIRECT($B$5&amp;"生成成长"),4))/(VLOOKUP(Z$13,INDIRECT($C$5&amp;"生成成长"),5))*(VLOOKUP($B$5,标准坦克设计!$B$24:$U$30,MATCH("对"&amp;LEFT($C$5,2)&amp;"输出",标准坦克设计!$B$23:$U$23,0)))*(VLOOKUP($Q26,INDIRECT($B$5&amp;"生成成长"),3))*(VLOOKUP($B$5,标准坦克设计!$B$14:$K$20,9)/30))</f>
        <v>5.9462760502747836</v>
      </c>
      <c r="AA26" s="173">
        <f ca="1">(VLOOKUP(AA$13,INDIRECT($C$5&amp;"生成成长"),2))/((VLOOKUP($Q26,INDIRECT($B$5&amp;"生成成长"),4))/(VLOOKUP(AA$13,INDIRECT($C$5&amp;"生成成长"),5))*(VLOOKUP($B$5,标准坦克设计!$B$24:$U$30,MATCH("对"&amp;LEFT($C$5,2)&amp;"输出",标准坦克设计!$B$23:$U$23,0)))*(VLOOKUP($Q26,INDIRECT($B$5&amp;"生成成长"),3))*(VLOOKUP($B$5,标准坦克设计!$B$14:$K$20,9)/30))</f>
        <v>18.833005875978024</v>
      </c>
      <c r="AB26" s="173">
        <f ca="1">(VLOOKUP(AB$13,INDIRECT($C$5&amp;"生成成长"),2))/((VLOOKUP($Q26,INDIRECT($B$5&amp;"生成成长"),4))/(VLOOKUP(AB$13,INDIRECT($C$5&amp;"生成成长"),5))*(VLOOKUP($B$5,标准坦克设计!$B$24:$U$30,MATCH("对"&amp;LEFT($C$5,2)&amp;"输出",标准坦克设计!$B$23:$U$23,0)))*(VLOOKUP($Q26,INDIRECT($B$5&amp;"生成成长"),3))*(VLOOKUP($B$5,标准坦克设计!$B$14:$K$20,9)/30))</f>
        <v>9.1030465590101475</v>
      </c>
      <c r="AC26" s="173">
        <f ca="1">(VLOOKUP(AC$13,INDIRECT($C$5&amp;"生成成长"),2))/((VLOOKUP($Q26,INDIRECT($B$5&amp;"生成成长"),4))/(VLOOKUP(AC$13,INDIRECT($C$5&amp;"生成成长"),5))*(VLOOKUP($B$5,标准坦克设计!$B$24:$U$30,MATCH("对"&amp;LEFT($C$5,2)&amp;"输出",标准坦克设计!$B$23:$U$23,0)))*(VLOOKUP($Q26,INDIRECT($B$5&amp;"生成成长"),3))*(VLOOKUP($B$5,标准坦克设计!$B$14:$K$20,9)/30))</f>
        <v>32.767294962764566</v>
      </c>
      <c r="AD26" s="173">
        <f ca="1">(VLOOKUP(AD$13,INDIRECT($C$5&amp;"生成成长"),2))/((VLOOKUP($Q26,INDIRECT($B$5&amp;"生成成长"),4))/(VLOOKUP(AD$13,INDIRECT($C$5&amp;"生成成长"),5))*(VLOOKUP($B$5,标准坦克设计!$B$24:$U$30,MATCH("对"&amp;LEFT($C$5,2)&amp;"输出",标准坦克设计!$B$23:$U$23,0)))*(VLOOKUP($Q26,INDIRECT($B$5&amp;"生成成长"),3))*(VLOOKUP($B$5,标准坦克设计!$B$14:$K$20,9)/30))</f>
        <v>14.933591439389467</v>
      </c>
      <c r="AE26" s="173">
        <f ca="1">(VLOOKUP(AE$13,INDIRECT($C$5&amp;"生成成长"),2))/((VLOOKUP($Q26,INDIRECT($B$5&amp;"生成成长"),4))/(VLOOKUP(AE$13,INDIRECT($C$5&amp;"生成成长"),5))*(VLOOKUP($B$5,标准坦克设计!$B$24:$U$30,MATCH("对"&amp;LEFT($C$5,2)&amp;"输出",标准坦克设计!$B$23:$U$23,0)))*(VLOOKUP($Q26,INDIRECT($B$5&amp;"生成成长"),3))*(VLOOKUP($B$5,标准坦克设计!$B$14:$K$20,9)/30))</f>
        <v>56.272252863304942</v>
      </c>
      <c r="AF26" s="173">
        <f ca="1">(VLOOKUP(AF$13,INDIRECT($C$5&amp;"生成成长"),2))/((VLOOKUP($Q26,INDIRECT($B$5&amp;"生成成长"),4))/(VLOOKUP(AF$13,INDIRECT($C$5&amp;"生成成长"),5))*(VLOOKUP($B$5,标准坦克设计!$B$24:$U$30,MATCH("对"&amp;LEFT($C$5,2)&amp;"输出",标准坦克设计!$B$23:$U$23,0)))*(VLOOKUP($Q26,INDIRECT($B$5&amp;"生成成长"),3))*(VLOOKUP($B$5,标准坦克设计!$B$14:$K$20,9)/30))</f>
        <v>25.217010520875878</v>
      </c>
      <c r="AG26" s="173">
        <f ca="1">(VLOOKUP(AG$13,INDIRECT($C$5&amp;"生成成长"),2))/((VLOOKUP($Q26,INDIRECT($B$5&amp;"生成成长"),4))/(VLOOKUP(AG$13,INDIRECT($C$5&amp;"生成成长"),5))*(VLOOKUP($B$5,标准坦克设计!$B$24:$U$30,MATCH("对"&amp;LEFT($C$5,2)&amp;"输出",标准坦克设计!$B$23:$U$23,0)))*(VLOOKUP($Q26,INDIRECT($B$5&amp;"生成成长"),3))*(VLOOKUP($B$5,标准坦克设计!$B$14:$K$20,9)/30))</f>
        <v>94.335850294864969</v>
      </c>
      <c r="AH26" s="173">
        <f ca="1">(VLOOKUP(AH$13,INDIRECT($C$5&amp;"生成成长"),2))/((VLOOKUP($Q26,INDIRECT($B$5&amp;"生成成长"),4))/(VLOOKUP(AH$13,INDIRECT($C$5&amp;"生成成长"),5))*(VLOOKUP($B$5,标准坦克设计!$B$24:$U$30,MATCH("对"&amp;LEFT($C$5,2)&amp;"输出",标准坦克设计!$B$23:$U$23,0)))*(VLOOKUP($Q26,INDIRECT($B$5&amp;"生成成长"),3))*(VLOOKUP($B$5,标准坦克设计!$B$14:$K$20,9)/30))</f>
        <v>9.4809878333920192</v>
      </c>
      <c r="AI26" s="173">
        <f ca="1">(VLOOKUP(AI$13,INDIRECT($C$5&amp;"生成成长"),2))/((VLOOKUP($Q26,INDIRECT($B$5&amp;"生成成长"),4))/(VLOOKUP(AI$13,INDIRECT($C$5&amp;"生成成长"),5))*(VLOOKUP($B$5,标准坦克设计!$B$24:$U$30,MATCH("对"&amp;LEFT($C$5,2)&amp;"输出",标准坦克设计!$B$23:$U$23,0)))*(VLOOKUP($Q26,INDIRECT($B$5&amp;"生成成长"),3))*(VLOOKUP($B$5,标准坦克设计!$B$14:$K$20,9)/30))</f>
        <v>34.687322047081963</v>
      </c>
      <c r="AJ26" s="173">
        <f ca="1">(VLOOKUP(AJ$13,INDIRECT($C$5&amp;"生成成长"),2))/((VLOOKUP($Q26,INDIRECT($B$5&amp;"生成成长"),4))/(VLOOKUP(AJ$13,INDIRECT($C$5&amp;"生成成长"),5))*(VLOOKUP($B$5,标准坦克设计!$B$24:$U$30,MATCH("对"&amp;LEFT($C$5,2)&amp;"输出",标准坦克设计!$B$23:$U$23,0)))*(VLOOKUP($Q26,INDIRECT($B$5&amp;"生成成长"),3))*(VLOOKUP($B$5,标准坦克设计!$B$14:$K$20,9)/30))</f>
        <v>15.579294497994429</v>
      </c>
      <c r="AK26" s="173">
        <f ca="1">(VLOOKUP(AK$13,INDIRECT($C$5&amp;"生成成长"),2))/((VLOOKUP($Q26,INDIRECT($B$5&amp;"生成成长"),4))/(VLOOKUP(AK$13,INDIRECT($C$5&amp;"生成成长"),5))*(VLOOKUP($B$5,标准坦克设计!$B$24:$U$30,MATCH("对"&amp;LEFT($C$5,2)&amp;"输出",标准坦克设计!$B$23:$U$23,0)))*(VLOOKUP($Q26,INDIRECT($B$5&amp;"生成成长"),3))*(VLOOKUP($B$5,标准坦克设计!$B$14:$K$20,9)/30))</f>
        <v>59.415357698842314</v>
      </c>
      <c r="AL26" s="173">
        <f ca="1">(VLOOKUP(AL$13,INDIRECT($C$5&amp;"生成成长"),2))/((VLOOKUP($Q26,INDIRECT($B$5&amp;"生成成长"),4))/(VLOOKUP(AL$13,INDIRECT($C$5&amp;"生成成长"),5))*(VLOOKUP($B$5,标准坦克设计!$B$24:$U$30,MATCH("对"&amp;LEFT($C$5,2)&amp;"输出",标准坦克设计!$B$23:$U$23,0)))*(VLOOKUP($Q26,INDIRECT($B$5&amp;"生成成长"),3))*(VLOOKUP($B$5,标准坦克设计!$B$14:$K$20,9)/30))</f>
        <v>26.265423886534069</v>
      </c>
      <c r="AM26" s="173">
        <f ca="1">(VLOOKUP(AM$13,INDIRECT($C$5&amp;"生成成长"),2))/((VLOOKUP($Q26,INDIRECT($B$5&amp;"生成成长"),4))/(VLOOKUP(AM$13,INDIRECT($C$5&amp;"生成成长"),5))*(VLOOKUP($B$5,标准坦克设计!$B$24:$U$30,MATCH("对"&amp;LEFT($C$5,2)&amp;"输出",标准坦克设计!$B$23:$U$23,0)))*(VLOOKUP($Q26,INDIRECT($B$5&amp;"生成成长"),3))*(VLOOKUP($B$5,标准坦克设计!$B$14:$K$20,9)/30))</f>
        <v>99.214495626546906</v>
      </c>
    </row>
    <row r="27" spans="1:39" x14ac:dyDescent="0.15">
      <c r="P27" s="171" t="str">
        <f>"T"&amp;LEFT(RIGHT(Q27,3),1)&amp;""&amp;IF(LEFT(Q27,1)="1","低",IF(LEFT(Q27,1)="2","中","高"))&amp;"满"</f>
        <v>T3中满</v>
      </c>
      <c r="Q27" s="172">
        <v>20315</v>
      </c>
      <c r="R27" s="173">
        <f ca="1">(VLOOKUP(R$13,INDIRECT($C$5&amp;"生成成长"),2))/((VLOOKUP($Q27,INDIRECT($B$5&amp;"生成成长"),4))/(VLOOKUP(R$13,INDIRECT($C$5&amp;"生成成长"),5))*(VLOOKUP($B$5,标准坦克设计!$B$24:$U$30,MATCH("对"&amp;LEFT($C$5,2)&amp;"输出",标准坦克设计!$B$23:$U$23,0)))*(VLOOKUP($Q27,INDIRECT($B$5&amp;"生成成长"),3))*(VLOOKUP($B$5,标准坦克设计!$B$14:$K$20,9)/30))</f>
        <v>1.1814622637560581</v>
      </c>
      <c r="S27" s="173">
        <f ca="1">(VLOOKUP(S$13,INDIRECT($C$5&amp;"生成成长"),2))/((VLOOKUP($Q27,INDIRECT($B$5&amp;"生成成长"),4))/(VLOOKUP(S$13,INDIRECT($C$5&amp;"生成成长"),5))*(VLOOKUP($B$5,标准坦克设计!$B$24:$U$30,MATCH("对"&amp;LEFT($C$5,2)&amp;"输出",标准坦克设计!$B$23:$U$23,0)))*(VLOOKUP($Q27,INDIRECT($B$5&amp;"生成成长"),3))*(VLOOKUP($B$5,标准坦克设计!$B$14:$K$20,9)/30))</f>
        <v>1.8166163767513148</v>
      </c>
      <c r="T27" s="173">
        <f ca="1">(VLOOKUP(T$13,INDIRECT($C$5&amp;"生成成长"),2))/((VLOOKUP($Q27,INDIRECT($B$5&amp;"生成成长"),4))/(VLOOKUP(T$13,INDIRECT($C$5&amp;"生成成长"),5))*(VLOOKUP($B$5,标准坦克设计!$B$24:$U$30,MATCH("对"&amp;LEFT($C$5,2)&amp;"输出",标准坦克设计!$B$23:$U$23,0)))*(VLOOKUP($Q27,INDIRECT($B$5&amp;"生成成长"),3))*(VLOOKUP($B$5,标准坦克设计!$B$14:$K$20,9)/30))</f>
        <v>1.5897756221101518</v>
      </c>
      <c r="U27" s="173">
        <f ca="1">(VLOOKUP(U$13,INDIRECT($C$5&amp;"生成成长"),2))/((VLOOKUP($Q27,INDIRECT($B$5&amp;"生成成长"),4))/(VLOOKUP(U$13,INDIRECT($C$5&amp;"生成成长"),5))*(VLOOKUP($B$5,标准坦克设计!$B$24:$U$30,MATCH("对"&amp;LEFT($C$5,2)&amp;"输出",标准坦克设计!$B$23:$U$23,0)))*(VLOOKUP($Q27,INDIRECT($B$5&amp;"生成成长"),3))*(VLOOKUP($B$5,标准坦克设计!$B$14:$K$20,9)/30))</f>
        <v>3.1776609045982935</v>
      </c>
      <c r="V27" s="173">
        <f ca="1">(VLOOKUP(V$13,INDIRECT($C$5&amp;"生成成长"),2))/((VLOOKUP($Q27,INDIRECT($B$5&amp;"生成成长"),4))/(VLOOKUP(V$13,INDIRECT($C$5&amp;"生成成长"),5))*(VLOOKUP($B$5,标准坦克设计!$B$24:$U$30,MATCH("对"&amp;LEFT($C$5,2)&amp;"输出",标准坦克设计!$B$23:$U$23,0)))*(VLOOKUP($Q27,INDIRECT($B$5&amp;"生成成长"),3))*(VLOOKUP($B$5,标准坦克设计!$B$14:$K$20,9)/30))</f>
        <v>2.4159721831547629</v>
      </c>
      <c r="W27" s="173">
        <f ca="1">(VLOOKUP(W$13,INDIRECT($C$5&amp;"生成成长"),2))/((VLOOKUP($Q27,INDIRECT($B$5&amp;"生成成长"),4))/(VLOOKUP(W$13,INDIRECT($C$5&amp;"生成成长"),5))*(VLOOKUP($B$5,标准坦克设计!$B$24:$U$30,MATCH("对"&amp;LEFT($C$5,2)&amp;"输出",标准坦克设计!$B$23:$U$23,0)))*(VLOOKUP($Q27,INDIRECT($B$5&amp;"生成成长"),3))*(VLOOKUP($B$5,标准坦克设计!$B$14:$K$20,9)/30))</f>
        <v>5.4613093142123779</v>
      </c>
      <c r="X27" s="173">
        <f ca="1">(VLOOKUP(X$13,INDIRECT($C$5&amp;"生成成长"),2))/((VLOOKUP($Q27,INDIRECT($B$5&amp;"生成成长"),4))/(VLOOKUP(X$13,INDIRECT($C$5&amp;"生成成长"),5))*(VLOOKUP($B$5,标准坦克设计!$B$24:$U$30,MATCH("对"&amp;LEFT($C$5,2)&amp;"输出",标准坦克设计!$B$23:$U$23,0)))*(VLOOKUP($Q27,INDIRECT($B$5&amp;"生成成长"),3))*(VLOOKUP($B$5,标准坦克设计!$B$14:$K$20,9)/30))</f>
        <v>3.9565989750926631</v>
      </c>
      <c r="Y27" s="173">
        <f ca="1">(VLOOKUP(Y$13,INDIRECT($C$5&amp;"生成成长"),2))/((VLOOKUP($Q27,INDIRECT($B$5&amp;"生成成长"),4))/(VLOOKUP(Y$13,INDIRECT($C$5&amp;"生成成长"),5))*(VLOOKUP($B$5,标准坦克设计!$B$24:$U$30,MATCH("对"&amp;LEFT($C$5,2)&amp;"输出",标准坦克设计!$B$23:$U$23,0)))*(VLOOKUP($Q27,INDIRECT($B$5&amp;"生成成长"),3))*(VLOOKUP($B$5,标准坦克设计!$B$14:$K$20,9)/30))</f>
        <v>9.4622131241958947</v>
      </c>
      <c r="Z27" s="173">
        <f ca="1">(VLOOKUP(Z$13,INDIRECT($C$5&amp;"生成成长"),2))/((VLOOKUP($Q27,INDIRECT($B$5&amp;"生成成长"),4))/(VLOOKUP(Z$13,INDIRECT($C$5&amp;"生成成长"),5))*(VLOOKUP($B$5,标准坦克设计!$B$24:$U$30,MATCH("对"&amp;LEFT($C$5,2)&amp;"输出",标准坦克设计!$B$23:$U$23,0)))*(VLOOKUP($Q27,INDIRECT($B$5&amp;"生成成长"),3))*(VLOOKUP($B$5,标准坦克设计!$B$14:$K$20,9)/30))</f>
        <v>1.6450680560539352</v>
      </c>
      <c r="AA27" s="173">
        <f ca="1">(VLOOKUP(AA$13,INDIRECT($C$5&amp;"生成成长"),2))/((VLOOKUP($Q27,INDIRECT($B$5&amp;"生成成长"),4))/(VLOOKUP(AA$13,INDIRECT($C$5&amp;"生成成长"),5))*(VLOOKUP($B$5,标准坦克设计!$B$24:$U$30,MATCH("对"&amp;LEFT($C$5,2)&amp;"输出",标准坦克设计!$B$23:$U$23,0)))*(VLOOKUP($Q27,INDIRECT($B$5&amp;"生成成长"),3))*(VLOOKUP($B$5,标准坦克设计!$B$14:$K$20,9)/30))</f>
        <v>5.2102485831642156</v>
      </c>
      <c r="AB27" s="173">
        <f ca="1">(VLOOKUP(AB$13,INDIRECT($C$5&amp;"生成成长"),2))/((VLOOKUP($Q27,INDIRECT($B$5&amp;"生成成长"),4))/(VLOOKUP(AB$13,INDIRECT($C$5&amp;"生成成长"),5))*(VLOOKUP($B$5,标准坦克设计!$B$24:$U$30,MATCH("对"&amp;LEFT($C$5,2)&amp;"输出",标准坦克设计!$B$23:$U$23,0)))*(VLOOKUP($Q27,INDIRECT($B$5&amp;"生成成长"),3))*(VLOOKUP($B$5,标准坦克设计!$B$14:$K$20,9)/30))</f>
        <v>2.5184049614224131</v>
      </c>
      <c r="AC27" s="173">
        <f ca="1">(VLOOKUP(AC$13,INDIRECT($C$5&amp;"生成成长"),2))/((VLOOKUP($Q27,INDIRECT($B$5&amp;"生成成长"),4))/(VLOOKUP(AC$13,INDIRECT($C$5&amp;"生成成长"),5))*(VLOOKUP($B$5,标准坦克设计!$B$24:$U$30,MATCH("对"&amp;LEFT($C$5,2)&amp;"输出",标准坦克设计!$B$23:$U$23,0)))*(VLOOKUP($Q27,INDIRECT($B$5&amp;"生成成长"),3))*(VLOOKUP($B$5,标准坦克设计!$B$14:$K$20,9)/30))</f>
        <v>9.0652418035738567</v>
      </c>
      <c r="AD27" s="173">
        <f ca="1">(VLOOKUP(AD$13,INDIRECT($C$5&amp;"生成成长"),2))/((VLOOKUP($Q27,INDIRECT($B$5&amp;"生成成长"),4))/(VLOOKUP(AD$13,INDIRECT($C$5&amp;"生成成长"),5))*(VLOOKUP($B$5,标准坦克设计!$B$24:$U$30,MATCH("对"&amp;LEFT($C$5,2)&amp;"输出",标准坦克设计!$B$23:$U$23,0)))*(VLOOKUP($Q27,INDIRECT($B$5&amp;"生成成长"),3))*(VLOOKUP($B$5,标准坦克设计!$B$14:$K$20,9)/30))</f>
        <v>4.1314553901285596</v>
      </c>
      <c r="AE27" s="173">
        <f ca="1">(VLOOKUP(AE$13,INDIRECT($C$5&amp;"生成成长"),2))/((VLOOKUP($Q27,INDIRECT($B$5&amp;"生成成长"),4))/(VLOOKUP(AE$13,INDIRECT($C$5&amp;"生成成长"),5))*(VLOOKUP($B$5,标准坦克设计!$B$24:$U$30,MATCH("对"&amp;LEFT($C$5,2)&amp;"输出",标准坦克设计!$B$23:$U$23,0)))*(VLOOKUP($Q27,INDIRECT($B$5&amp;"生成成长"),3))*(VLOOKUP($B$5,标准坦克设计!$B$14:$K$20,9)/30))</f>
        <v>15.5680101032872</v>
      </c>
      <c r="AF27" s="173">
        <f ca="1">(VLOOKUP(AF$13,INDIRECT($C$5&amp;"生成成长"),2))/((VLOOKUP($Q27,INDIRECT($B$5&amp;"生成成长"),4))/(VLOOKUP(AF$13,INDIRECT($C$5&amp;"生成成长"),5))*(VLOOKUP($B$5,标准坦克设计!$B$24:$U$30,MATCH("对"&amp;LEFT($C$5,2)&amp;"输出",标准坦克设计!$B$23:$U$23,0)))*(VLOOKUP($Q27,INDIRECT($B$5&amp;"生成成长"),3))*(VLOOKUP($B$5,标准坦克设计!$B$14:$K$20,9)/30))</f>
        <v>6.9764165212531477</v>
      </c>
      <c r="AG27" s="173">
        <f ca="1">(VLOOKUP(AG$13,INDIRECT($C$5&amp;"生成成长"),2))/((VLOOKUP($Q27,INDIRECT($B$5&amp;"生成成长"),4))/(VLOOKUP(AG$13,INDIRECT($C$5&amp;"生成成长"),5))*(VLOOKUP($B$5,标准坦克设计!$B$24:$U$30,MATCH("对"&amp;LEFT($C$5,2)&amp;"输出",标准坦克设计!$B$23:$U$23,0)))*(VLOOKUP($Q27,INDIRECT($B$5&amp;"生成成长"),3))*(VLOOKUP($B$5,标准坦克设计!$B$14:$K$20,9)/30))</f>
        <v>26.098501406371316</v>
      </c>
      <c r="AH27" s="173">
        <f ca="1">(VLOOKUP(AH$13,INDIRECT($C$5&amp;"生成成长"),2))/((VLOOKUP($Q27,INDIRECT($B$5&amp;"生成成长"),4))/(VLOOKUP(AH$13,INDIRECT($C$5&amp;"生成成长"),5))*(VLOOKUP($B$5,标准坦克设计!$B$24:$U$30,MATCH("对"&amp;LEFT($C$5,2)&amp;"输出",标准坦克设计!$B$23:$U$23,0)))*(VLOOKUP($Q27,INDIRECT($B$5&amp;"生成成长"),3))*(VLOOKUP($B$5,标准坦克设计!$B$14:$K$20,9)/30))</f>
        <v>2.6229643717648239</v>
      </c>
      <c r="AI27" s="173">
        <f ca="1">(VLOOKUP(AI$13,INDIRECT($C$5&amp;"生成成长"),2))/((VLOOKUP($Q27,INDIRECT($B$5&amp;"生成成长"),4))/(VLOOKUP(AI$13,INDIRECT($C$5&amp;"生成成长"),5))*(VLOOKUP($B$5,标准坦克设计!$B$24:$U$30,MATCH("对"&amp;LEFT($C$5,2)&amp;"输出",标准坦克设计!$B$23:$U$23,0)))*(VLOOKUP($Q27,INDIRECT($B$5&amp;"生成成长"),3))*(VLOOKUP($B$5,标准坦克设计!$B$14:$K$20,9)/30))</f>
        <v>9.5964272373585811</v>
      </c>
      <c r="AJ27" s="173">
        <f ca="1">(VLOOKUP(AJ$13,INDIRECT($C$5&amp;"生成成长"),2))/((VLOOKUP($Q27,INDIRECT($B$5&amp;"生成成长"),4))/(VLOOKUP(AJ$13,INDIRECT($C$5&amp;"生成成长"),5))*(VLOOKUP($B$5,标准坦克设计!$B$24:$U$30,MATCH("对"&amp;LEFT($C$5,2)&amp;"输出",标准坦克设计!$B$23:$U$23,0)))*(VLOOKUP($Q27,INDIRECT($B$5&amp;"生成成长"),3))*(VLOOKUP($B$5,标准坦克设计!$B$14:$K$20,9)/30))</f>
        <v>4.3100924844084751</v>
      </c>
      <c r="AK27" s="173">
        <f ca="1">(VLOOKUP(AK$13,INDIRECT($C$5&amp;"生成成长"),2))/((VLOOKUP($Q27,INDIRECT($B$5&amp;"生成成长"),4))/(VLOOKUP(AK$13,INDIRECT($C$5&amp;"生成成长"),5))*(VLOOKUP($B$5,标准坦克设计!$B$24:$U$30,MATCH("对"&amp;LEFT($C$5,2)&amp;"输出",标准坦克设计!$B$23:$U$23,0)))*(VLOOKUP($Q27,INDIRECT($B$5&amp;"生成成长"),3))*(VLOOKUP($B$5,标准坦克设计!$B$14:$K$20,9)/30))</f>
        <v>16.437566329411659</v>
      </c>
      <c r="AL27" s="173">
        <f ca="1">(VLOOKUP(AL$13,INDIRECT($C$5&amp;"生成成长"),2))/((VLOOKUP($Q27,INDIRECT($B$5&amp;"生成成长"),4))/(VLOOKUP(AL$13,INDIRECT($C$5&amp;"生成成长"),5))*(VLOOKUP($B$5,标准坦克设计!$B$24:$U$30,MATCH("对"&amp;LEFT($C$5,2)&amp;"输出",标准坦克设计!$B$23:$U$23,0)))*(VLOOKUP($Q27,INDIRECT($B$5&amp;"生成成长"),3))*(VLOOKUP($B$5,标准坦克设计!$B$14:$K$20,9)/30))</f>
        <v>7.2664655070052593</v>
      </c>
      <c r="AM27" s="173">
        <f ca="1">(VLOOKUP(AM$13,INDIRECT($C$5&amp;"生成成长"),2))/((VLOOKUP($Q27,INDIRECT($B$5&amp;"生成成长"),4))/(VLOOKUP(AM$13,INDIRECT($C$5&amp;"生成成长"),5))*(VLOOKUP($B$5,标准坦克设计!$B$24:$U$30,MATCH("对"&amp;LEFT($C$5,2)&amp;"输出",标准坦克设计!$B$23:$U$23,0)))*(VLOOKUP($Q27,INDIRECT($B$5&amp;"生成成长"),3))*(VLOOKUP($B$5,标准坦克设计!$B$14:$K$20,9)/30))</f>
        <v>27.448203896486241</v>
      </c>
    </row>
    <row r="28" spans="1:39" x14ac:dyDescent="0.15">
      <c r="A28" s="275" t="s">
        <v>885</v>
      </c>
      <c r="B28" s="276"/>
      <c r="C28" s="169" t="str">
        <f>"T"&amp;LEFT(RIGHT(C29,3),1)&amp;""&amp;IF(LEFT(C29,1)="1","低品质",IF(LEFT(C29,1)="2","中品质","高品质"))&amp;""</f>
        <v>T1低品质</v>
      </c>
      <c r="D28" s="169" t="str">
        <f t="shared" ref="D28:M28" si="2">"T"&amp;LEFT(RIGHT(D29,3),1)&amp;""&amp;IF(LEFT(D29,1)="1","低品质",IF(LEFT(D29,1)="2","中品质","高品质"))&amp;""</f>
        <v>T2低品质</v>
      </c>
      <c r="E28" s="169" t="str">
        <f t="shared" si="2"/>
        <v>T3低品质</v>
      </c>
      <c r="F28" s="169" t="str">
        <f t="shared" si="2"/>
        <v>T4低品质</v>
      </c>
      <c r="G28" s="169" t="str">
        <f t="shared" si="2"/>
        <v>T2中品质</v>
      </c>
      <c r="H28" s="169" t="str">
        <f t="shared" si="2"/>
        <v>T3中品质</v>
      </c>
      <c r="I28" s="169" t="str">
        <f t="shared" si="2"/>
        <v>T4中品质</v>
      </c>
      <c r="J28" s="169" t="str">
        <f t="shared" si="2"/>
        <v>T5中品质</v>
      </c>
      <c r="K28" s="169" t="str">
        <f t="shared" si="2"/>
        <v>T3高品质</v>
      </c>
      <c r="L28" s="169" t="str">
        <f t="shared" si="2"/>
        <v>T4高品质</v>
      </c>
      <c r="M28" s="169" t="str">
        <f t="shared" si="2"/>
        <v>T5高品质</v>
      </c>
      <c r="P28" s="175" t="str">
        <f>"T"&amp;LEFT(RIGHT(Q28,3),1)&amp;""&amp;IF(LEFT(Q28,1)="1","低",IF(LEFT(Q28,1)="2","中","高"))&amp;"初"</f>
        <v>T4中初</v>
      </c>
      <c r="Q28" s="179">
        <v>20401</v>
      </c>
      <c r="R28" s="173">
        <f ca="1">(VLOOKUP(R$13,INDIRECT($C$5&amp;"生成成长"),2))/((VLOOKUP($Q28,INDIRECT($B$5&amp;"生成成长"),4))/(VLOOKUP(R$13,INDIRECT($C$5&amp;"生成成长"),5))*(VLOOKUP($B$5,标准坦克设计!$B$24:$U$30,MATCH("对"&amp;LEFT($C$5,2)&amp;"输出",标准坦克设计!$B$23:$U$23,0)))*(VLOOKUP($Q28,INDIRECT($B$5&amp;"生成成长"),3))*(VLOOKUP($B$5,标准坦克设计!$B$14:$K$20,9)/30))</f>
        <v>2.595756932144945</v>
      </c>
      <c r="S28" s="173">
        <f ca="1">(VLOOKUP(S$13,INDIRECT($C$5&amp;"生成成长"),2))/((VLOOKUP($Q28,INDIRECT($B$5&amp;"生成成长"),4))/(VLOOKUP(S$13,INDIRECT($C$5&amp;"生成成长"),5))*(VLOOKUP($B$5,标准坦克设计!$B$24:$U$30,MATCH("对"&amp;LEFT($C$5,2)&amp;"输出",标准坦克设计!$B$23:$U$23,0)))*(VLOOKUP($Q28,INDIRECT($B$5&amp;"生成成长"),3))*(VLOOKUP($B$5,标准坦克设计!$B$14:$K$20,9)/30))</f>
        <v>3.9912358588660672</v>
      </c>
      <c r="T28" s="173">
        <f ca="1">(VLOOKUP(T$13,INDIRECT($C$5&amp;"生成成长"),2))/((VLOOKUP($Q28,INDIRECT($B$5&amp;"生成成长"),4))/(VLOOKUP(T$13,INDIRECT($C$5&amp;"生成成长"),5))*(VLOOKUP($B$5,标准坦克设计!$B$24:$U$30,MATCH("对"&amp;LEFT($C$5,2)&amp;"输出",标准坦克设计!$B$23:$U$23,0)))*(VLOOKUP($Q28,INDIRECT($B$5&amp;"生成成长"),3))*(VLOOKUP($B$5,标准坦克设计!$B$14:$K$20,9)/30))</f>
        <v>3.4928505278942379</v>
      </c>
      <c r="U28" s="173">
        <f ca="1">(VLOOKUP(U$13,INDIRECT($C$5&amp;"生成成长"),2))/((VLOOKUP($Q28,INDIRECT($B$5&amp;"生成成长"),4))/(VLOOKUP(U$13,INDIRECT($C$5&amp;"生成成长"),5))*(VLOOKUP($B$5,标准坦克设计!$B$24:$U$30,MATCH("对"&amp;LEFT($C$5,2)&amp;"输出",标准坦克设计!$B$23:$U$23,0)))*(VLOOKUP($Q28,INDIRECT($B$5&amp;"生成成长"),3))*(VLOOKUP($B$5,标准坦克设计!$B$14:$K$20,9)/30))</f>
        <v>6.9815478446970438</v>
      </c>
      <c r="V28" s="173">
        <f ca="1">(VLOOKUP(V$13,INDIRECT($C$5&amp;"生成成长"),2))/((VLOOKUP($Q28,INDIRECT($B$5&amp;"生成成长"),4))/(VLOOKUP(V$13,INDIRECT($C$5&amp;"生成成长"),5))*(VLOOKUP($B$5,标准坦克设计!$B$24:$U$30,MATCH("对"&amp;LEFT($C$5,2)&amp;"输出",标准坦克设计!$B$23:$U$23,0)))*(VLOOKUP($Q28,INDIRECT($B$5&amp;"生成成长"),3))*(VLOOKUP($B$5,标准坦克设计!$B$14:$K$20,9)/30))</f>
        <v>5.3080633505431978</v>
      </c>
      <c r="W28" s="173">
        <f ca="1">(VLOOKUP(W$13,INDIRECT($C$5&amp;"生成成长"),2))/((VLOOKUP($Q28,INDIRECT($B$5&amp;"生成成长"),4))/(VLOOKUP(W$13,INDIRECT($C$5&amp;"生成成长"),5))*(VLOOKUP($B$5,标准坦克设计!$B$24:$U$30,MATCH("对"&amp;LEFT($C$5,2)&amp;"输出",标准坦克设计!$B$23:$U$23,0)))*(VLOOKUP($Q28,INDIRECT($B$5&amp;"生成成长"),3))*(VLOOKUP($B$5,标准坦克设计!$B$14:$K$20,9)/30))</f>
        <v>11.998886418840009</v>
      </c>
      <c r="X28" s="173">
        <f ca="1">(VLOOKUP(X$13,INDIRECT($C$5&amp;"生成成长"),2))/((VLOOKUP($Q28,INDIRECT($B$5&amp;"生成成长"),4))/(VLOOKUP(X$13,INDIRECT($C$5&amp;"生成成长"),5))*(VLOOKUP($B$5,标准坦克设计!$B$24:$U$30,MATCH("对"&amp;LEFT($C$5,2)&amp;"输出",标准坦克设计!$B$23:$U$23,0)))*(VLOOKUP($Q28,INDIRECT($B$5&amp;"生成成长"),3))*(VLOOKUP($B$5,标准坦克设计!$B$14:$K$20,9)/30))</f>
        <v>8.6929303900602068</v>
      </c>
      <c r="Y28" s="173">
        <f ca="1">(VLOOKUP(Y$13,INDIRECT($C$5&amp;"生成成长"),2))/((VLOOKUP($Q28,INDIRECT($B$5&amp;"生成成长"),4))/(VLOOKUP(Y$13,INDIRECT($C$5&amp;"生成成长"),5))*(VLOOKUP($B$5,标准坦克设计!$B$24:$U$30,MATCH("对"&amp;LEFT($C$5,2)&amp;"输出",标准坦克设计!$B$23:$U$23,0)))*(VLOOKUP($Q28,INDIRECT($B$5&amp;"生成成长"),3))*(VLOOKUP($B$5,标准坦克设计!$B$14:$K$20,9)/30))</f>
        <v>20.78915769385565</v>
      </c>
      <c r="Z28" s="173">
        <f ca="1">(VLOOKUP(Z$13,INDIRECT($C$5&amp;"生成成长"),2))/((VLOOKUP($Q28,INDIRECT($B$5&amp;"生成成长"),4))/(VLOOKUP(Z$13,INDIRECT($C$5&amp;"生成成长"),5))*(VLOOKUP($B$5,标准坦克设计!$B$24:$U$30,MATCH("对"&amp;LEFT($C$5,2)&amp;"输出",标准坦克设计!$B$23:$U$23,0)))*(VLOOKUP($Q28,INDIRECT($B$5&amp;"生成成长"),3))*(VLOOKUP($B$5,标准坦克设计!$B$14:$K$20,9)/30))</f>
        <v>3.6143319523186213</v>
      </c>
      <c r="AA28" s="173">
        <f ca="1">(VLOOKUP(AA$13,INDIRECT($C$5&amp;"生成成长"),2))/((VLOOKUP($Q28,INDIRECT($B$5&amp;"生成成长"),4))/(VLOOKUP(AA$13,INDIRECT($C$5&amp;"生成成长"),5))*(VLOOKUP($B$5,标准坦克设计!$B$24:$U$30,MATCH("对"&amp;LEFT($C$5,2)&amp;"输出",标准坦克设计!$B$23:$U$23,0)))*(VLOOKUP($Q28,INDIRECT($B$5&amp;"生成成长"),3))*(VLOOKUP($B$5,标准坦克设计!$B$14:$K$20,9)/30))</f>
        <v>11.447288070759207</v>
      </c>
      <c r="AB28" s="173">
        <f ca="1">(VLOOKUP(AB$13,INDIRECT($C$5&amp;"生成成长"),2))/((VLOOKUP($Q28,INDIRECT($B$5&amp;"生成成长"),4))/(VLOOKUP(AB$13,INDIRECT($C$5&amp;"生成成长"),5))*(VLOOKUP($B$5,标准坦克设计!$B$24:$U$30,MATCH("对"&amp;LEFT($C$5,2)&amp;"输出",标准坦克设计!$B$23:$U$23,0)))*(VLOOKUP($Q28,INDIRECT($B$5&amp;"生成成长"),3))*(VLOOKUP($B$5,标准坦克设计!$B$14:$K$20,9)/30))</f>
        <v>5.5331154765601651</v>
      </c>
      <c r="AC28" s="173">
        <f ca="1">(VLOOKUP(AC$13,INDIRECT($C$5&amp;"生成成长"),2))/((VLOOKUP($Q28,INDIRECT($B$5&amp;"生成成长"),4))/(VLOOKUP(AC$13,INDIRECT($C$5&amp;"生成成长"),5))*(VLOOKUP($B$5,标准坦克设计!$B$24:$U$30,MATCH("对"&amp;LEFT($C$5,2)&amp;"输出",标准坦克设计!$B$23:$U$23,0)))*(VLOOKUP($Q28,INDIRECT($B$5&amp;"生成成长"),3))*(VLOOKUP($B$5,标准坦克设计!$B$14:$K$20,9)/30))</f>
        <v>19.91698336465495</v>
      </c>
      <c r="AD28" s="173">
        <f ca="1">(VLOOKUP(AD$13,INDIRECT($C$5&amp;"生成成长"),2))/((VLOOKUP($Q28,INDIRECT($B$5&amp;"生成成长"),4))/(VLOOKUP(AD$13,INDIRECT($C$5&amp;"生成成长"),5))*(VLOOKUP($B$5,标准坦克设计!$B$24:$U$30,MATCH("对"&amp;LEFT($C$5,2)&amp;"输出",标准坦克设计!$B$23:$U$23,0)))*(VLOOKUP($Q28,INDIRECT($B$5&amp;"生成成长"),3))*(VLOOKUP($B$5,标准坦克设计!$B$14:$K$20,9)/30))</f>
        <v>9.0771024160176594</v>
      </c>
      <c r="AE28" s="173">
        <f ca="1">(VLOOKUP(AE$13,INDIRECT($C$5&amp;"生成成长"),2))/((VLOOKUP($Q28,INDIRECT($B$5&amp;"生成成长"),4))/(VLOOKUP(AE$13,INDIRECT($C$5&amp;"生成成长"),5))*(VLOOKUP($B$5,标准坦克设计!$B$24:$U$30,MATCH("对"&amp;LEFT($C$5,2)&amp;"输出",标准坦克设计!$B$23:$U$23,0)))*(VLOOKUP($Q28,INDIRECT($B$5&amp;"生成成长"),3))*(VLOOKUP($B$5,标准坦克设计!$B$14:$K$20,9)/30))</f>
        <v>34.204029519180729</v>
      </c>
      <c r="AF28" s="173">
        <f ca="1">(VLOOKUP(AF$13,INDIRECT($C$5&amp;"生成成长"),2))/((VLOOKUP($Q28,INDIRECT($B$5&amp;"生成成长"),4))/(VLOOKUP(AF$13,INDIRECT($C$5&amp;"生成成长"),5))*(VLOOKUP($B$5,标准坦克设计!$B$24:$U$30,MATCH("对"&amp;LEFT($C$5,2)&amp;"输出",标准坦克设计!$B$23:$U$23,0)))*(VLOOKUP($Q28,INDIRECT($B$5&amp;"生成成长"),3))*(VLOOKUP($B$5,标准坦克设计!$B$14:$K$20,9)/30))</f>
        <v>15.327685108622685</v>
      </c>
      <c r="AG28" s="173">
        <f ca="1">(VLOOKUP(AG$13,INDIRECT($C$5&amp;"生成成长"),2))/((VLOOKUP($Q28,INDIRECT($B$5&amp;"生成成长"),4))/(VLOOKUP(AG$13,INDIRECT($C$5&amp;"生成成长"),5))*(VLOOKUP($B$5,标准坦克设计!$B$24:$U$30,MATCH("对"&amp;LEFT($C$5,2)&amp;"输出",标准坦克设计!$B$23:$U$23,0)))*(VLOOKUP($Q28,INDIRECT($B$5&amp;"生成成长"),3))*(VLOOKUP($B$5,标准坦克设计!$B$14:$K$20,9)/30))</f>
        <v>57.340270631081822</v>
      </c>
      <c r="AH28" s="173">
        <f ca="1">(VLOOKUP(AH$13,INDIRECT($C$5&amp;"生成成长"),2))/((VLOOKUP($Q28,INDIRECT($B$5&amp;"生成成长"),4))/(VLOOKUP(AH$13,INDIRECT($C$5&amp;"生成成长"),5))*(VLOOKUP($B$5,标准坦克设计!$B$24:$U$30,MATCH("对"&amp;LEFT($C$5,2)&amp;"输出",标准坦克设计!$B$23:$U$23,0)))*(VLOOKUP($Q28,INDIRECT($B$5&amp;"生成成长"),3))*(VLOOKUP($B$5,标准坦克设计!$B$14:$K$20,9)/30))</f>
        <v>5.762839965054992</v>
      </c>
      <c r="AI28" s="173">
        <f ca="1">(VLOOKUP(AI$13,INDIRECT($C$5&amp;"生成成长"),2))/((VLOOKUP($Q28,INDIRECT($B$5&amp;"生成成长"),4))/(VLOOKUP(AI$13,INDIRECT($C$5&amp;"生成成长"),5))*(VLOOKUP($B$5,标准坦克设计!$B$24:$U$30,MATCH("对"&amp;LEFT($C$5,2)&amp;"输出",标准坦克设计!$B$23:$U$23,0)))*(VLOOKUP($Q28,INDIRECT($B$5&amp;"生成成长"),3))*(VLOOKUP($B$5,标准坦克设计!$B$14:$K$20,9)/30))</f>
        <v>21.084035681347313</v>
      </c>
      <c r="AJ28" s="173">
        <f ca="1">(VLOOKUP(AJ$13,INDIRECT($C$5&amp;"生成成长"),2))/((VLOOKUP($Q28,INDIRECT($B$5&amp;"生成成长"),4))/(VLOOKUP(AJ$13,INDIRECT($C$5&amp;"生成成长"),5))*(VLOOKUP($B$5,标准坦克设计!$B$24:$U$30,MATCH("对"&amp;LEFT($C$5,2)&amp;"输出",标准坦克设计!$B$23:$U$23,0)))*(VLOOKUP($Q28,INDIRECT($B$5&amp;"生成成长"),3))*(VLOOKUP($B$5,标准坦克设计!$B$14:$K$20,9)/30))</f>
        <v>9.4695808641579742</v>
      </c>
      <c r="AK28" s="173">
        <f ca="1">(VLOOKUP(AK$13,INDIRECT($C$5&amp;"生成成长"),2))/((VLOOKUP($Q28,INDIRECT($B$5&amp;"生成成长"),4))/(VLOOKUP(AK$13,INDIRECT($C$5&amp;"生成成长"),5))*(VLOOKUP($B$5,标准坦克设计!$B$24:$U$30,MATCH("对"&amp;LEFT($C$5,2)&amp;"输出",标准坦克设计!$B$23:$U$23,0)))*(VLOOKUP($Q28,INDIRECT($B$5&amp;"生成成长"),3))*(VLOOKUP($B$5,标准坦克设计!$B$14:$K$20,9)/30))</f>
        <v>36.114506621239407</v>
      </c>
      <c r="AL28" s="173">
        <f ca="1">(VLOOKUP(AL$13,INDIRECT($C$5&amp;"生成成长"),2))/((VLOOKUP($Q28,INDIRECT($B$5&amp;"生成成长"),4))/(VLOOKUP(AL$13,INDIRECT($C$5&amp;"生成成长"),5))*(VLOOKUP($B$5,标准坦克设计!$B$24:$U$30,MATCH("对"&amp;LEFT($C$5,2)&amp;"输出",标准坦克设计!$B$23:$U$23,0)))*(VLOOKUP($Q28,INDIRECT($B$5&amp;"生成成长"),3))*(VLOOKUP($B$5,标准坦克设计!$B$14:$K$20,9)/30))</f>
        <v>15.964943435464269</v>
      </c>
      <c r="AM28" s="173">
        <f ca="1">(VLOOKUP(AM$13,INDIRECT($C$5&amp;"生成成长"),2))/((VLOOKUP($Q28,INDIRECT($B$5&amp;"生成成长"),4))/(VLOOKUP(AM$13,INDIRECT($C$5&amp;"生成成长"),5))*(VLOOKUP($B$5,标准坦克设计!$B$24:$U$30,MATCH("对"&amp;LEFT($C$5,2)&amp;"输出",标准坦克设计!$B$23:$U$23,0)))*(VLOOKUP($Q28,INDIRECT($B$5&amp;"生成成长"),3))*(VLOOKUP($B$5,标准坦克设计!$B$14:$K$20,9)/30))</f>
        <v>60.305663350364227</v>
      </c>
    </row>
    <row r="29" spans="1:39" x14ac:dyDescent="0.15">
      <c r="A29" s="275" t="s">
        <v>883</v>
      </c>
      <c r="B29" s="276"/>
      <c r="C29" s="170">
        <v>10105</v>
      </c>
      <c r="D29" s="170">
        <v>10207</v>
      </c>
      <c r="E29" s="170">
        <v>10309</v>
      </c>
      <c r="F29" s="170">
        <v>10411</v>
      </c>
      <c r="G29" s="170">
        <v>20212</v>
      </c>
      <c r="H29" s="170">
        <v>20315</v>
      </c>
      <c r="I29" s="170">
        <v>20418</v>
      </c>
      <c r="J29" s="170">
        <v>20521</v>
      </c>
      <c r="K29" s="170">
        <v>30315</v>
      </c>
      <c r="L29" s="170">
        <v>30418</v>
      </c>
      <c r="M29" s="170">
        <v>30521</v>
      </c>
      <c r="P29" s="175" t="str">
        <f>"T"&amp;LEFT(RIGHT(Q29,3),1)&amp;""&amp;IF(LEFT(Q29,1)="1","低",IF(LEFT(Q29,1)="2","中","高"))&amp;"满"</f>
        <v>T4中满</v>
      </c>
      <c r="Q29" s="179">
        <v>20418</v>
      </c>
      <c r="R29" s="173">
        <f ca="1">(VLOOKUP(R$13,INDIRECT($C$5&amp;"生成成长"),2))/((VLOOKUP($Q29,INDIRECT($B$5&amp;"生成成长"),4))/(VLOOKUP(R$13,INDIRECT($C$5&amp;"生成成长"),5))*(VLOOKUP($B$5,标准坦克设计!$B$24:$U$30,MATCH("对"&amp;LEFT($C$5,2)&amp;"输出",标准坦克设计!$B$23:$U$23,0)))*(VLOOKUP($Q29,INDIRECT($B$5&amp;"生成成长"),3))*(VLOOKUP($B$5,标准坦克设计!$B$14:$K$20,9)/30))</f>
        <v>0.6894256379493704</v>
      </c>
      <c r="S29" s="173">
        <f ca="1">(VLOOKUP(S$13,INDIRECT($C$5&amp;"生成成长"),2))/((VLOOKUP($Q29,INDIRECT($B$5&amp;"生成成长"),4))/(VLOOKUP(S$13,INDIRECT($C$5&amp;"生成成长"),5))*(VLOOKUP($B$5,标准坦克设计!$B$24:$U$30,MATCH("对"&amp;LEFT($C$5,2)&amp;"输出",标准坦克设计!$B$23:$U$23,0)))*(VLOOKUP($Q29,INDIRECT($B$5&amp;"生成成长"),3))*(VLOOKUP($B$5,标准坦克设计!$B$14:$K$20,9)/30))</f>
        <v>1.0600608609109519</v>
      </c>
      <c r="T29" s="173">
        <f ca="1">(VLOOKUP(T$13,INDIRECT($C$5&amp;"生成成长"),2))/((VLOOKUP($Q29,INDIRECT($B$5&amp;"生成成长"),4))/(VLOOKUP(T$13,INDIRECT($C$5&amp;"生成成长"),5))*(VLOOKUP($B$5,标准坦克设计!$B$24:$U$30,MATCH("对"&amp;LEFT($C$5,2)&amp;"输出",标准坦克设计!$B$23:$U$23,0)))*(VLOOKUP($Q29,INDIRECT($B$5&amp;"生成成长"),3))*(VLOOKUP($B$5,标准坦克设计!$B$14:$K$20,9)/30))</f>
        <v>0.92769113842467277</v>
      </c>
      <c r="U29" s="173">
        <f ca="1">(VLOOKUP(U$13,INDIRECT($C$5&amp;"生成成长"),2))/((VLOOKUP($Q29,INDIRECT($B$5&amp;"生成成长"),4))/(VLOOKUP(U$13,INDIRECT($C$5&amp;"生成成长"),5))*(VLOOKUP($B$5,标准坦克设计!$B$24:$U$30,MATCH("对"&amp;LEFT($C$5,2)&amp;"输出",标准坦克设计!$B$23:$U$23,0)))*(VLOOKUP($Q29,INDIRECT($B$5&amp;"生成成长"),3))*(VLOOKUP($B$5,标准坦克设计!$B$14:$K$20,9)/30))</f>
        <v>1.8542791958286264</v>
      </c>
      <c r="V29" s="173">
        <f ca="1">(VLOOKUP(V$13,INDIRECT($C$5&amp;"生成成长"),2))/((VLOOKUP($Q29,INDIRECT($B$5&amp;"生成成长"),4))/(VLOOKUP(V$13,INDIRECT($C$5&amp;"生成成长"),5))*(VLOOKUP($B$5,标准坦克设计!$B$24:$U$30,MATCH("对"&amp;LEFT($C$5,2)&amp;"输出",标准坦克设计!$B$23:$U$23,0)))*(VLOOKUP($Q29,INDIRECT($B$5&amp;"生成成长"),3))*(VLOOKUP($B$5,标准坦克设计!$B$14:$K$20,9)/30))</f>
        <v>1.4098064870426679</v>
      </c>
      <c r="W29" s="173">
        <f ca="1">(VLOOKUP(W$13,INDIRECT($C$5&amp;"生成成长"),2))/((VLOOKUP($Q29,INDIRECT($B$5&amp;"生成成长"),4))/(VLOOKUP(W$13,INDIRECT($C$5&amp;"生成成长"),5))*(VLOOKUP($B$5,标准坦克设计!$B$24:$U$30,MATCH("对"&amp;LEFT($C$5,2)&amp;"输出",标准坦克设计!$B$23:$U$23,0)))*(VLOOKUP($Q29,INDIRECT($B$5&amp;"生成成长"),3))*(VLOOKUP($B$5,标准坦克设计!$B$14:$K$20,9)/30))</f>
        <v>3.1868700114209649</v>
      </c>
      <c r="X29" s="173">
        <f ca="1">(VLOOKUP(X$13,INDIRECT($C$5&amp;"生成成长"),2))/((VLOOKUP($Q29,INDIRECT($B$5&amp;"生成成长"),4))/(VLOOKUP(X$13,INDIRECT($C$5&amp;"生成成长"),5))*(VLOOKUP($B$5,标准坦克设计!$B$24:$U$30,MATCH("对"&amp;LEFT($C$5,2)&amp;"输出",标准坦克设计!$B$23:$U$23,0)))*(VLOOKUP($Q29,INDIRECT($B$5&amp;"生成成长"),3))*(VLOOKUP($B$5,标准坦克设计!$B$14:$K$20,9)/30))</f>
        <v>2.3088175189286471</v>
      </c>
      <c r="Y29" s="173">
        <f ca="1">(VLOOKUP(Y$13,INDIRECT($C$5&amp;"生成成长"),2))/((VLOOKUP($Q29,INDIRECT($B$5&amp;"生成成长"),4))/(VLOOKUP(Y$13,INDIRECT($C$5&amp;"生成成长"),5))*(VLOOKUP($B$5,标准坦克设计!$B$24:$U$30,MATCH("对"&amp;LEFT($C$5,2)&amp;"输出",标准坦克设计!$B$23:$U$23,0)))*(VLOOKUP($Q29,INDIRECT($B$5&amp;"生成成长"),3))*(VLOOKUP($B$5,标准坦克设计!$B$14:$K$20,9)/30))</f>
        <v>5.5215409917727127</v>
      </c>
      <c r="Z29" s="173">
        <f ca="1">(VLOOKUP(Z$13,INDIRECT($C$5&amp;"生成成长"),2))/((VLOOKUP($Q29,INDIRECT($B$5&amp;"生成成长"),4))/(VLOOKUP(Z$13,INDIRECT($C$5&amp;"生成成长"),5))*(VLOOKUP($B$5,标准坦克设计!$B$24:$U$30,MATCH("对"&amp;LEFT($C$5,2)&amp;"输出",标准坦克设计!$B$23:$U$23,0)))*(VLOOKUP($Q29,INDIRECT($B$5&amp;"生成成长"),3))*(VLOOKUP($B$5,标准坦克设计!$B$14:$K$20,9)/30))</f>
        <v>0.95995625828070352</v>
      </c>
      <c r="AA29" s="173">
        <f ca="1">(VLOOKUP(AA$13,INDIRECT($C$5&amp;"生成成长"),2))/((VLOOKUP($Q29,INDIRECT($B$5&amp;"生成成长"),4))/(VLOOKUP(AA$13,INDIRECT($C$5&amp;"生成成长"),5))*(VLOOKUP($B$5,标准坦克设计!$B$24:$U$30,MATCH("对"&amp;LEFT($C$5,2)&amp;"输出",标准坦克设计!$B$23:$U$23,0)))*(VLOOKUP($Q29,INDIRECT($B$5&amp;"生成成长"),3))*(VLOOKUP($B$5,标准坦克设计!$B$14:$K$20,9)/30))</f>
        <v>3.0403670633567237</v>
      </c>
      <c r="AB29" s="173">
        <f ca="1">(VLOOKUP(AB$13,INDIRECT($C$5&amp;"生成成长"),2))/((VLOOKUP($Q29,INDIRECT($B$5&amp;"生成成长"),4))/(VLOOKUP(AB$13,INDIRECT($C$5&amp;"生成成长"),5))*(VLOOKUP($B$5,标准坦克设计!$B$24:$U$30,MATCH("对"&amp;LEFT($C$5,2)&amp;"输出",标准坦克设计!$B$23:$U$23,0)))*(VLOOKUP($Q29,INDIRECT($B$5&amp;"生成成长"),3))*(VLOOKUP($B$5,标准坦克设计!$B$14:$K$20,9)/30))</f>
        <v>1.4695796898528779</v>
      </c>
      <c r="AC29" s="173">
        <f ca="1">(VLOOKUP(AC$13,INDIRECT($C$5&amp;"生成成长"),2))/((VLOOKUP($Q29,INDIRECT($B$5&amp;"生成成长"),4))/(VLOOKUP(AC$13,INDIRECT($C$5&amp;"生成成长"),5))*(VLOOKUP($B$5,标准坦克设计!$B$24:$U$30,MATCH("对"&amp;LEFT($C$5,2)&amp;"输出",标准坦克设计!$B$23:$U$23,0)))*(VLOOKUP($Q29,INDIRECT($B$5&amp;"生成成长"),3))*(VLOOKUP($B$5,标准坦克设计!$B$14:$K$20,9)/30))</f>
        <v>5.2898939774217242</v>
      </c>
      <c r="AD29" s="173">
        <f ca="1">(VLOOKUP(AD$13,INDIRECT($C$5&amp;"生成成长"),2))/((VLOOKUP($Q29,INDIRECT($B$5&amp;"生成成长"),4))/(VLOOKUP(AD$13,INDIRECT($C$5&amp;"生成成长"),5))*(VLOOKUP($B$5,标准坦克设计!$B$24:$U$30,MATCH("对"&amp;LEFT($C$5,2)&amp;"输出",标准坦克设计!$B$23:$U$23,0)))*(VLOOKUP($Q29,INDIRECT($B$5&amp;"生成成长"),3))*(VLOOKUP($B$5,标准坦克设计!$B$14:$K$20,9)/30))</f>
        <v>2.4108525133451533</v>
      </c>
      <c r="AE29" s="173">
        <f ca="1">(VLOOKUP(AE$13,INDIRECT($C$5&amp;"生成成长"),2))/((VLOOKUP($Q29,INDIRECT($B$5&amp;"生成成长"),4))/(VLOOKUP(AE$13,INDIRECT($C$5&amp;"生成成长"),5))*(VLOOKUP($B$5,标准坦克设计!$B$24:$U$30,MATCH("对"&amp;LEFT($C$5,2)&amp;"输出",标准坦克设计!$B$23:$U$23,0)))*(VLOOKUP($Q29,INDIRECT($B$5&amp;"生成成长"),3))*(VLOOKUP($B$5,标准坦克设计!$B$14:$K$20,9)/30))</f>
        <v>9.0844926886950592</v>
      </c>
      <c r="AF29" s="173">
        <f ca="1">(VLOOKUP(AF$13,INDIRECT($C$5&amp;"生成成长"),2))/((VLOOKUP($Q29,INDIRECT($B$5&amp;"生成成长"),4))/(VLOOKUP(AF$13,INDIRECT($C$5&amp;"生成成长"),5))*(VLOOKUP($B$5,标准坦克设计!$B$24:$U$30,MATCH("对"&amp;LEFT($C$5,2)&amp;"输出",标准坦克设计!$B$23:$U$23,0)))*(VLOOKUP($Q29,INDIRECT($B$5&amp;"生成成长"),3))*(VLOOKUP($B$5,标准坦克设计!$B$14:$K$20,9)/30))</f>
        <v>4.0709894495272376</v>
      </c>
      <c r="AG29" s="173">
        <f ca="1">(VLOOKUP(AG$13,INDIRECT($C$5&amp;"生成成长"),2))/((VLOOKUP($Q29,INDIRECT($B$5&amp;"生成成长"),4))/(VLOOKUP(AG$13,INDIRECT($C$5&amp;"生成成长"),5))*(VLOOKUP($B$5,标准坦克设计!$B$24:$U$30,MATCH("对"&amp;LEFT($C$5,2)&amp;"输出",标准坦克设计!$B$23:$U$23,0)))*(VLOOKUP($Q29,INDIRECT($B$5&amp;"生成成长"),3))*(VLOOKUP($B$5,标准坦克设计!$B$14:$K$20,9)/30))</f>
        <v>15.229412342301593</v>
      </c>
      <c r="AH29" s="173">
        <f ca="1">(VLOOKUP(AH$13,INDIRECT($C$5&amp;"生成成长"),2))/((VLOOKUP($Q29,INDIRECT($B$5&amp;"生成成长"),4))/(VLOOKUP(AH$13,INDIRECT($C$5&amp;"生成成长"),5))*(VLOOKUP($B$5,标准坦克设计!$B$24:$U$30,MATCH("对"&amp;LEFT($C$5,2)&amp;"输出",标准坦克设计!$B$23:$U$23,0)))*(VLOOKUP($Q29,INDIRECT($B$5&amp;"生成成长"),3))*(VLOOKUP($B$5,标准坦克设计!$B$14:$K$20,9)/30))</f>
        <v>1.5305938588113972</v>
      </c>
      <c r="AI29" s="173">
        <f ca="1">(VLOOKUP(AI$13,INDIRECT($C$5&amp;"生成成长"),2))/((VLOOKUP($Q29,INDIRECT($B$5&amp;"生成成长"),4))/(VLOOKUP(AI$13,INDIRECT($C$5&amp;"生成成长"),5))*(VLOOKUP($B$5,标准坦克设计!$B$24:$U$30,MATCH("对"&amp;LEFT($C$5,2)&amp;"输出",标准坦克设计!$B$23:$U$23,0)))*(VLOOKUP($Q29,INDIRECT($B$5&amp;"生成成长"),3))*(VLOOKUP($B$5,标准坦克设计!$B$14:$K$20,9)/30))</f>
        <v>5.5998597442437603</v>
      </c>
      <c r="AJ29" s="173">
        <f ca="1">(VLOOKUP(AJ$13,INDIRECT($C$5&amp;"生成成长"),2))/((VLOOKUP($Q29,INDIRECT($B$5&amp;"生成成长"),4))/(VLOOKUP(AJ$13,INDIRECT($C$5&amp;"生成成长"),5))*(VLOOKUP($B$5,标准坦克设计!$B$24:$U$30,MATCH("对"&amp;LEFT($C$5,2)&amp;"输出",标准坦克设计!$B$23:$U$23,0)))*(VLOOKUP($Q29,INDIRECT($B$5&amp;"生成成长"),3))*(VLOOKUP($B$5,标准坦克设计!$B$14:$K$20,9)/30))</f>
        <v>2.5150936698030981</v>
      </c>
      <c r="AK29" s="173">
        <f ca="1">(VLOOKUP(AK$13,INDIRECT($C$5&amp;"生成成长"),2))/((VLOOKUP($Q29,INDIRECT($B$5&amp;"生成成长"),4))/(VLOOKUP(AK$13,INDIRECT($C$5&amp;"生成成长"),5))*(VLOOKUP($B$5,标准坦克设计!$B$24:$U$30,MATCH("对"&amp;LEFT($C$5,2)&amp;"输出",标准坦克设计!$B$23:$U$23,0)))*(VLOOKUP($Q29,INDIRECT($B$5&amp;"生成成长"),3))*(VLOOKUP($B$5,标准坦克设计!$B$14:$K$20,9)/30))</f>
        <v>9.591909958225795</v>
      </c>
      <c r="AL29" s="173">
        <f ca="1">(VLOOKUP(AL$13,INDIRECT($C$5&amp;"生成成长"),2))/((VLOOKUP($Q29,INDIRECT($B$5&amp;"生成成长"),4))/(VLOOKUP(AL$13,INDIRECT($C$5&amp;"生成成长"),5))*(VLOOKUP($B$5,标准坦克设计!$B$24:$U$30,MATCH("对"&amp;LEFT($C$5,2)&amp;"输出",标准坦克设计!$B$23:$U$23,0)))*(VLOOKUP($Q29,INDIRECT($B$5&amp;"生成成长"),3))*(VLOOKUP($B$5,标准坦克设计!$B$14:$K$20,9)/30))</f>
        <v>4.2402434436438075</v>
      </c>
      <c r="AM29" s="173">
        <f ca="1">(VLOOKUP(AM$13,INDIRECT($C$5&amp;"生成成长"),2))/((VLOOKUP($Q29,INDIRECT($B$5&amp;"生成成长"),4))/(VLOOKUP(AM$13,INDIRECT($C$5&amp;"生成成长"),5))*(VLOOKUP($B$5,标准坦克设计!$B$24:$U$30,MATCH("对"&amp;LEFT($C$5,2)&amp;"输出",标准坦克设计!$B$23:$U$23,0)))*(VLOOKUP($Q29,INDIRECT($B$5&amp;"生成成长"),3))*(VLOOKUP($B$5,标准坦克设计!$B$14:$K$20,9)/30))</f>
        <v>16.017012191094953</v>
      </c>
    </row>
    <row r="30" spans="1:39" x14ac:dyDescent="0.15">
      <c r="A30" s="171" t="str">
        <f>"T"&amp;LEFT(RIGHT(B30,3),1)&amp;""&amp;IF(LEFT(B30,1)="1","低品质",IF(LEFT(B30,1)="2","中品质","高品质"))&amp;""</f>
        <v>T1低品质</v>
      </c>
      <c r="B30" s="172">
        <v>10105</v>
      </c>
      <c r="C30" s="173">
        <f ca="1">(VLOOKUP(C$29,INDIRECT($C$5&amp;"生成成长"),2))/((VLOOKUP($B30,INDIRECT($B$5&amp;"生成成长"),4))/(VLOOKUP(C$29,INDIRECT($C$5&amp;"生成成长"),5))*(VLOOKUP($B$5,标准坦克设计!$B$24:$U$30,MATCH("对"&amp;LEFT($C$5,2)&amp;"输出",标准坦克设计!$B$23:$U$23,0)))*(VLOOKUP($B30,INDIRECT($B$5&amp;"生成成长"),3))*(VLOOKUP($B$5,标准坦克设计!$B$14:$K$20,9)/30))</f>
        <v>9.0589609592363356</v>
      </c>
      <c r="D30" s="173">
        <f ca="1">(VLOOKUP(D$29,INDIRECT($C$5&amp;"生成成长"),2))/((VLOOKUP($B30,INDIRECT($B$5&amp;"生成成长"),4))/(VLOOKUP(D$29,INDIRECT($C$5&amp;"生成成长"),5))*(VLOOKUP($B$5,标准坦克设计!$B$24:$U$30,MATCH("对"&amp;LEFT($C$5,2)&amp;"输出",标准坦克设计!$B$23:$U$23,0)))*(VLOOKUP($B30,INDIRECT($B$5&amp;"生成成长"),3))*(VLOOKUP($B$5,标准坦克设计!$B$14:$K$20,9)/30))</f>
        <v>15.846111729944099</v>
      </c>
      <c r="E30" s="173">
        <f ca="1">(VLOOKUP(E$29,INDIRECT($C$5&amp;"生成成长"),2))/((VLOOKUP($B30,INDIRECT($B$5&amp;"生成成长"),4))/(VLOOKUP(E$29,INDIRECT($C$5&amp;"生成成长"),5))*(VLOOKUP($B$5,标准坦克设计!$B$24:$U$30,MATCH("对"&amp;LEFT($C$5,2)&amp;"输出",标准坦克设计!$B$23:$U$23,0)))*(VLOOKUP($B30,INDIRECT($B$5&amp;"生成成长"),3))*(VLOOKUP($B$5,标准坦克设计!$B$14:$K$20,9)/30))</f>
        <v>27.234031629858187</v>
      </c>
      <c r="F30" s="173">
        <f ca="1">(VLOOKUP(F$29,INDIRECT($C$5&amp;"生成成长"),2))/((VLOOKUP($B30,INDIRECT($B$5&amp;"生成成长"),4))/(VLOOKUP(F$29,INDIRECT($C$5&amp;"生成成长"),5))*(VLOOKUP($B$5,标准坦克设计!$B$24:$U$30,MATCH("对"&amp;LEFT($C$5,2)&amp;"输出",标准坦克设计!$B$23:$U$23,0)))*(VLOOKUP($B30,INDIRECT($B$5&amp;"生成成长"),3))*(VLOOKUP($B$5,标准坦克设计!$B$14:$K$20,9)/30))</f>
        <v>47.185426916251217</v>
      </c>
      <c r="G30" s="173">
        <f ca="1">(VLOOKUP(G$29,INDIRECT($C$5&amp;"生成成长"),2))/((VLOOKUP($B30,INDIRECT($B$5&amp;"生成成长"),4))/(VLOOKUP(G$29,INDIRECT($C$5&amp;"生成成长"),5))*(VLOOKUP($B$5,标准坦克设计!$B$24:$U$30,MATCH("对"&amp;LEFT($C$5,2)&amp;"输出",标准坦克设计!$B$23:$U$23,0)))*(VLOOKUP($B30,INDIRECT($B$5&amp;"生成成长"),3))*(VLOOKUP($B$5,标准坦克设计!$B$14:$K$20,9)/30))</f>
        <v>25.982061544115655</v>
      </c>
      <c r="H30" s="173">
        <f ca="1">(VLOOKUP(H$29,INDIRECT($C$5&amp;"生成成长"),2))/((VLOOKUP($B30,INDIRECT($B$5&amp;"生成成长"),4))/(VLOOKUP(H$29,INDIRECT($C$5&amp;"生成成长"),5))*(VLOOKUP($B$5,标准坦克设计!$B$24:$U$30,MATCH("对"&amp;LEFT($C$5,2)&amp;"输出",标准坦克设计!$B$23:$U$23,0)))*(VLOOKUP($B30,INDIRECT($B$5&amp;"生成成长"),3))*(VLOOKUP($B$5,标准坦克设计!$B$14:$K$20,9)/30))</f>
        <v>45.205841274794786</v>
      </c>
      <c r="I30" s="173">
        <f ca="1">(VLOOKUP(I$29,INDIRECT($C$5&amp;"生成成长"),2))/((VLOOKUP($B30,INDIRECT($B$5&amp;"生成成长"),4))/(VLOOKUP(I$29,INDIRECT($C$5&amp;"生成成长"),5))*(VLOOKUP($B$5,标准坦克设计!$B$24:$U$30,MATCH("对"&amp;LEFT($C$5,2)&amp;"输出",标准坦克设计!$B$23:$U$23,0)))*(VLOOKUP($B30,INDIRECT($B$5&amp;"生成成长"),3))*(VLOOKUP($B$5,标准坦克设计!$B$14:$K$20,9)/30))</f>
        <v>77.633339401509659</v>
      </c>
      <c r="J30" s="173">
        <f ca="1">(VLOOKUP(J$29,INDIRECT($C$5&amp;"生成成长"),2))/((VLOOKUP($B30,INDIRECT($B$5&amp;"生成成长"),4))/(VLOOKUP(J$29,INDIRECT($C$5&amp;"生成成长"),5))*(VLOOKUP($B$5,标准坦克设计!$B$24:$U$30,MATCH("对"&amp;LEFT($C$5,2)&amp;"输出",标准坦克设计!$B$23:$U$23,0)))*(VLOOKUP($B30,INDIRECT($B$5&amp;"生成成长"),3))*(VLOOKUP($B$5,标准坦克设计!$B$14:$K$20,9)/30))</f>
        <v>130.14597267789455</v>
      </c>
      <c r="K30" s="173">
        <f ca="1">(VLOOKUP(K$29,INDIRECT($C$5&amp;"生成成长"),2))/((VLOOKUP($B30,INDIRECT($B$5&amp;"生成成长"),4))/(VLOOKUP(K$29,INDIRECT($C$5&amp;"生成成长"),5))*(VLOOKUP($B$5,标准坦克设计!$B$24:$U$30,MATCH("对"&amp;LEFT($C$5,2)&amp;"输出",标准坦克设计!$B$23:$U$23,0)))*(VLOOKUP($B30,INDIRECT($B$5&amp;"生成成长"),3))*(VLOOKUP($B$5,标准坦克设计!$B$14:$K$20,9)/30))</f>
        <v>47.854715395029352</v>
      </c>
      <c r="L30" s="173">
        <f ca="1">(VLOOKUP(L$29,INDIRECT($C$5&amp;"生成成长"),2))/((VLOOKUP($B30,INDIRECT($B$5&amp;"生成成长"),4))/(VLOOKUP(L$29,INDIRECT($C$5&amp;"生成成长"),5))*(VLOOKUP($B$5,标准坦克设计!$B$24:$U$30,MATCH("对"&amp;LEFT($C$5,2)&amp;"输出",标准坦克设计!$B$23:$U$23,0)))*(VLOOKUP($B30,INDIRECT($B$5&amp;"生成成长"),3))*(VLOOKUP($B$5,标准坦克设计!$B$14:$K$20,9)/30))</f>
        <v>81.969574616128511</v>
      </c>
      <c r="M30" s="173">
        <f ca="1">(VLOOKUP(M$29,INDIRECT($C$5&amp;"生成成长"),2))/((VLOOKUP($B30,INDIRECT($B$5&amp;"生成成长"),4))/(VLOOKUP(M$29,INDIRECT($C$5&amp;"生成成长"),5))*(VLOOKUP($B$5,标准坦克设计!$B$24:$U$30,MATCH("对"&amp;LEFT($C$5,2)&amp;"输出",标准坦克设计!$B$23:$U$23,0)))*(VLOOKUP($B30,INDIRECT($B$5&amp;"生成成长"),3))*(VLOOKUP($B$5,标准坦克设计!$B$14:$K$20,9)/30))</f>
        <v>136.8765638588464</v>
      </c>
      <c r="P30" s="171" t="str">
        <f>"T"&amp;LEFT(RIGHT(Q30,3),1)&amp;""&amp;IF(LEFT(Q30,1)="1","低",IF(LEFT(Q30,1)="2","中","高"))&amp;"初"</f>
        <v>T5中初</v>
      </c>
      <c r="Q30" s="172">
        <v>20501</v>
      </c>
      <c r="R30" s="173">
        <f ca="1">(VLOOKUP(R$13,INDIRECT($C$5&amp;"生成成长"),2))/((VLOOKUP($Q30,INDIRECT($B$5&amp;"生成成长"),4))/(VLOOKUP(R$13,INDIRECT($C$5&amp;"生成成长"),5))*(VLOOKUP($B$5,标准坦克设计!$B$24:$U$30,MATCH("对"&amp;LEFT($C$5,2)&amp;"输出",标准坦克设计!$B$23:$U$23,0)))*(VLOOKUP($Q30,INDIRECT($B$5&amp;"生成成长"),3))*(VLOOKUP($B$5,标准坦克设计!$B$14:$K$20,9)/30))</f>
        <v>1.5342067667972212</v>
      </c>
      <c r="S30" s="173">
        <f ca="1">(VLOOKUP(S$13,INDIRECT($C$5&amp;"生成成长"),2))/((VLOOKUP($Q30,INDIRECT($B$5&amp;"生成成长"),4))/(VLOOKUP(S$13,INDIRECT($C$5&amp;"生成成长"),5))*(VLOOKUP($B$5,标准坦克设计!$B$24:$U$30,MATCH("对"&amp;LEFT($C$5,2)&amp;"输出",标准坦克设计!$B$23:$U$23,0)))*(VLOOKUP($Q30,INDIRECT($B$5&amp;"生成成长"),3))*(VLOOKUP($B$5,标准坦克设计!$B$14:$K$20,9)/30))</f>
        <v>2.358996324627407</v>
      </c>
      <c r="T30" s="173">
        <f ca="1">(VLOOKUP(T$13,INDIRECT($C$5&amp;"生成成长"),2))/((VLOOKUP($Q30,INDIRECT($B$5&amp;"生成成长"),4))/(VLOOKUP(T$13,INDIRECT($C$5&amp;"生成成长"),5))*(VLOOKUP($B$5,标准坦克设计!$B$24:$U$30,MATCH("对"&amp;LEFT($C$5,2)&amp;"输出",标准坦克设计!$B$23:$U$23,0)))*(VLOOKUP($Q30,INDIRECT($B$5&amp;"生成成长"),3))*(VLOOKUP($B$5,标准坦克设计!$B$14:$K$20,9)/30))</f>
        <v>2.064428625402341</v>
      </c>
      <c r="U30" s="173">
        <f ca="1">(VLOOKUP(U$13,INDIRECT($C$5&amp;"生成成长"),2))/((VLOOKUP($Q30,INDIRECT($B$5&amp;"生成成长"),4))/(VLOOKUP(U$13,INDIRECT($C$5&amp;"生成成长"),5))*(VLOOKUP($B$5,标准坦克设计!$B$24:$U$30,MATCH("对"&amp;LEFT($C$5,2)&amp;"输出",标准坦克设计!$B$23:$U$23,0)))*(VLOOKUP($Q30,INDIRECT($B$5&amp;"生成成长"),3))*(VLOOKUP($B$5,标准坦克设计!$B$14:$K$20,9)/30))</f>
        <v>4.1264025199778063</v>
      </c>
      <c r="V30" s="173">
        <f ca="1">(VLOOKUP(V$13,INDIRECT($C$5&amp;"生成成长"),2))/((VLOOKUP($Q30,INDIRECT($B$5&amp;"生成成长"),4))/(VLOOKUP(V$13,INDIRECT($C$5&amp;"生成成长"),5))*(VLOOKUP($B$5,标准坦克设计!$B$24:$U$30,MATCH("对"&amp;LEFT($C$5,2)&amp;"输出",标准坦克设计!$B$23:$U$23,0)))*(VLOOKUP($Q30,INDIRECT($B$5&amp;"生成成长"),3))*(VLOOKUP($B$5,标准坦克设计!$B$14:$K$20,9)/30))</f>
        <v>3.1372994174236379</v>
      </c>
      <c r="W30" s="173">
        <f ca="1">(VLOOKUP(W$13,INDIRECT($C$5&amp;"生成成长"),2))/((VLOOKUP($Q30,INDIRECT($B$5&amp;"生成成长"),4))/(VLOOKUP(W$13,INDIRECT($C$5&amp;"生成成长"),5))*(VLOOKUP($B$5,标准坦克设计!$B$24:$U$30,MATCH("对"&amp;LEFT($C$5,2)&amp;"输出",标准坦克设计!$B$23:$U$23,0)))*(VLOOKUP($Q30,INDIRECT($B$5&amp;"生成成长"),3))*(VLOOKUP($B$5,标准坦克设计!$B$14:$K$20,9)/30))</f>
        <v>7.0918707795201534</v>
      </c>
      <c r="X30" s="173">
        <f ca="1">(VLOOKUP(X$13,INDIRECT($C$5&amp;"生成成长"),2))/((VLOOKUP($Q30,INDIRECT($B$5&amp;"生成成长"),4))/(VLOOKUP(X$13,INDIRECT($C$5&amp;"生成成长"),5))*(VLOOKUP($B$5,标准坦克设计!$B$24:$U$30,MATCH("对"&amp;LEFT($C$5,2)&amp;"输出",标准坦克设计!$B$23:$U$23,0)))*(VLOOKUP($Q30,INDIRECT($B$5&amp;"生成成长"),3))*(VLOOKUP($B$5,标准坦克设计!$B$14:$K$20,9)/30))</f>
        <v>5.1379050413272136</v>
      </c>
      <c r="Y30" s="173">
        <f ca="1">(VLOOKUP(Y$13,INDIRECT($C$5&amp;"生成成长"),2))/((VLOOKUP($Q30,INDIRECT($B$5&amp;"生成成长"),4))/(VLOOKUP(Y$13,INDIRECT($C$5&amp;"生成成长"),5))*(VLOOKUP($B$5,标准坦克设计!$B$24:$U$30,MATCH("对"&amp;LEFT($C$5,2)&amp;"输出",标准坦克设计!$B$23:$U$23,0)))*(VLOOKUP($Q30,INDIRECT($B$5&amp;"生成成长"),3))*(VLOOKUP($B$5,标准坦克设计!$B$14:$K$20,9)/30))</f>
        <v>12.287308574602266</v>
      </c>
      <c r="Z30" s="173">
        <f ca="1">(VLOOKUP(Z$13,INDIRECT($C$5&amp;"生成成长"),2))/((VLOOKUP($Q30,INDIRECT($B$5&amp;"生成成长"),4))/(VLOOKUP(Z$13,INDIRECT($C$5&amp;"生成成长"),5))*(VLOOKUP($B$5,标准坦克设计!$B$24:$U$30,MATCH("对"&amp;LEFT($C$5,2)&amp;"输出",标准坦克设计!$B$23:$U$23,0)))*(VLOOKUP($Q30,INDIRECT($B$5&amp;"生成成长"),3))*(VLOOKUP($B$5,标准坦克设计!$B$14:$K$20,9)/30))</f>
        <v>2.1362295020884514</v>
      </c>
      <c r="AA30" s="173">
        <f ca="1">(VLOOKUP(AA$13,INDIRECT($C$5&amp;"生成成长"),2))/((VLOOKUP($Q30,INDIRECT($B$5&amp;"生成成长"),4))/(VLOOKUP(AA$13,INDIRECT($C$5&amp;"生成成长"),5))*(VLOOKUP($B$5,标准坦克设计!$B$24:$U$30,MATCH("对"&amp;LEFT($C$5,2)&amp;"输出",标准坦克设计!$B$23:$U$23,0)))*(VLOOKUP($Q30,INDIRECT($B$5&amp;"生成成长"),3))*(VLOOKUP($B$5,标准坦克设计!$B$14:$K$20,9)/30))</f>
        <v>6.7658518415757447</v>
      </c>
      <c r="AB30" s="173">
        <f ca="1">(VLOOKUP(AB$13,INDIRECT($C$5&amp;"生成成长"),2))/((VLOOKUP($Q30,INDIRECT($B$5&amp;"生成成长"),4))/(VLOOKUP(AB$13,INDIRECT($C$5&amp;"生成成长"),5))*(VLOOKUP($B$5,标准坦克设计!$B$24:$U$30,MATCH("对"&amp;LEFT($C$5,2)&amp;"输出",标准坦克设计!$B$23:$U$23,0)))*(VLOOKUP($Q30,INDIRECT($B$5&amp;"生成成长"),3))*(VLOOKUP($B$5,标准坦克设计!$B$14:$K$20,9)/30))</f>
        <v>3.2703151441049569</v>
      </c>
      <c r="AC30" s="173">
        <f ca="1">(VLOOKUP(AC$13,INDIRECT($C$5&amp;"生成成长"),2))/((VLOOKUP($Q30,INDIRECT($B$5&amp;"生成成长"),4))/(VLOOKUP(AC$13,INDIRECT($C$5&amp;"生成成长"),5))*(VLOOKUP($B$5,标准坦克设计!$B$24:$U$30,MATCH("对"&amp;LEFT($C$5,2)&amp;"输出",标准坦克设计!$B$23:$U$23,0)))*(VLOOKUP($Q30,INDIRECT($B$5&amp;"生成成长"),3))*(VLOOKUP($B$5,标准坦克设计!$B$14:$K$20,9)/30))</f>
        <v>11.771815100958399</v>
      </c>
      <c r="AD30" s="173">
        <f ca="1">(VLOOKUP(AD$13,INDIRECT($C$5&amp;"生成成长"),2))/((VLOOKUP($Q30,INDIRECT($B$5&amp;"生成成长"),4))/(VLOOKUP(AD$13,INDIRECT($C$5&amp;"生成成长"),5))*(VLOOKUP($B$5,标准坦克设计!$B$24:$U$30,MATCH("对"&amp;LEFT($C$5,2)&amp;"输出",标准坦克设计!$B$23:$U$23,0)))*(VLOOKUP($Q30,INDIRECT($B$5&amp;"生成成长"),3))*(VLOOKUP($B$5,标准坦克设计!$B$14:$K$20,9)/30))</f>
        <v>5.3649676428132027</v>
      </c>
      <c r="AE30" s="173">
        <f ca="1">(VLOOKUP(AE$13,INDIRECT($C$5&amp;"生成成长"),2))/((VLOOKUP($Q30,INDIRECT($B$5&amp;"生成成长"),4))/(VLOOKUP(AE$13,INDIRECT($C$5&amp;"生成成长"),5))*(VLOOKUP($B$5,标准坦克设计!$B$24:$U$30,MATCH("对"&amp;LEFT($C$5,2)&amp;"输出",标准坦克设计!$B$23:$U$23,0)))*(VLOOKUP($Q30,INDIRECT($B$5&amp;"生成成长"),3))*(VLOOKUP($B$5,标准坦克设计!$B$14:$K$20,9)/30))</f>
        <v>20.216089145410304</v>
      </c>
      <c r="AF30" s="173">
        <f ca="1">(VLOOKUP(AF$13,INDIRECT($C$5&amp;"生成成长"),2))/((VLOOKUP($Q30,INDIRECT($B$5&amp;"生成成长"),4))/(VLOOKUP(AF$13,INDIRECT($C$5&amp;"生成成长"),5))*(VLOOKUP($B$5,标准坦克设计!$B$24:$U$30,MATCH("对"&amp;LEFT($C$5,2)&amp;"输出",标准坦克设计!$B$23:$U$23,0)))*(VLOOKUP($Q30,INDIRECT($B$5&amp;"生成成长"),3))*(VLOOKUP($B$5,标准坦克设计!$B$14:$K$20,9)/30))</f>
        <v>9.0593375372609106</v>
      </c>
      <c r="AG30" s="173">
        <f ca="1">(VLOOKUP(AG$13,INDIRECT($C$5&amp;"生成成长"),2))/((VLOOKUP($Q30,INDIRECT($B$5&amp;"生成成长"),4))/(VLOOKUP(AG$13,INDIRECT($C$5&amp;"生成成长"),5))*(VLOOKUP($B$5,标准坦克设计!$B$24:$U$30,MATCH("对"&amp;LEFT($C$5,2)&amp;"输出",标准坦克设计!$B$23:$U$23,0)))*(VLOOKUP($Q30,INDIRECT($B$5&amp;"生成成长"),3))*(VLOOKUP($B$5,标准坦克设计!$B$14:$K$20,9)/30))</f>
        <v>33.89062747855062</v>
      </c>
      <c r="AH30" s="173">
        <f ca="1">(VLOOKUP(AH$13,INDIRECT($C$5&amp;"生成成长"),2))/((VLOOKUP($Q30,INDIRECT($B$5&amp;"生成成长"),4))/(VLOOKUP(AH$13,INDIRECT($C$5&amp;"生成成长"),5))*(VLOOKUP($B$5,标准坦克设计!$B$24:$U$30,MATCH("对"&amp;LEFT($C$5,2)&amp;"输出",标准坦克设计!$B$23:$U$23,0)))*(VLOOKUP($Q30,INDIRECT($B$5&amp;"生成成长"),3))*(VLOOKUP($B$5,标准坦克设计!$B$14:$K$20,9)/30))</f>
        <v>3.4060924429665111</v>
      </c>
      <c r="AI30" s="173">
        <f ca="1">(VLOOKUP(AI$13,INDIRECT($C$5&amp;"生成成长"),2))/((VLOOKUP($Q30,INDIRECT($B$5&amp;"生成成长"),4))/(VLOOKUP(AI$13,INDIRECT($C$5&amp;"生成成长"),5))*(VLOOKUP($B$5,标准坦克设计!$B$24:$U$30,MATCH("对"&amp;LEFT($C$5,2)&amp;"输出",标准坦克设计!$B$23:$U$23,0)))*(VLOOKUP($Q30,INDIRECT($B$5&amp;"生成成长"),3))*(VLOOKUP($B$5,标准坦克设计!$B$14:$K$20,9)/30))</f>
        <v>12.46159446331043</v>
      </c>
      <c r="AJ30" s="173">
        <f ca="1">(VLOOKUP(AJ$13,INDIRECT($C$5&amp;"生成成长"),2))/((VLOOKUP($Q30,INDIRECT($B$5&amp;"生成成长"),4))/(VLOOKUP(AJ$13,INDIRECT($C$5&amp;"生成成长"),5))*(VLOOKUP($B$5,标准坦克设计!$B$24:$U$30,MATCH("对"&amp;LEFT($C$5,2)&amp;"输出",标准坦克设计!$B$23:$U$23,0)))*(VLOOKUP($Q30,INDIRECT($B$5&amp;"生成成长"),3))*(VLOOKUP($B$5,标准坦克设计!$B$14:$K$20,9)/30))</f>
        <v>5.5969397059529422</v>
      </c>
      <c r="AK30" s="173">
        <f ca="1">(VLOOKUP(AK$13,INDIRECT($C$5&amp;"生成成长"),2))/((VLOOKUP($Q30,INDIRECT($B$5&amp;"生成成长"),4))/(VLOOKUP(AK$13,INDIRECT($C$5&amp;"生成成长"),5))*(VLOOKUP($B$5,标准坦克设计!$B$24:$U$30,MATCH("对"&amp;LEFT($C$5,2)&amp;"输出",标准坦克设计!$B$23:$U$23,0)))*(VLOOKUP($Q30,INDIRECT($B$5&amp;"生成成长"),3))*(VLOOKUP($B$5,标准坦克设计!$B$14:$K$20,9)/30))</f>
        <v>21.34526532577306</v>
      </c>
      <c r="AL30" s="173">
        <f ca="1">(VLOOKUP(AL$13,INDIRECT($C$5&amp;"生成成长"),2))/((VLOOKUP($Q30,INDIRECT($B$5&amp;"生成成长"),4))/(VLOOKUP(AL$13,INDIRECT($C$5&amp;"生成成长"),5))*(VLOOKUP($B$5,标准坦克设计!$B$24:$U$30,MATCH("对"&amp;LEFT($C$5,2)&amp;"输出",标准坦克设计!$B$23:$U$23,0)))*(VLOOKUP($Q30,INDIRECT($B$5&amp;"生成成长"),3))*(VLOOKUP($B$5,标准坦克设计!$B$14:$K$20,9)/30))</f>
        <v>9.4359852985096282</v>
      </c>
      <c r="AM30" s="173">
        <f ca="1">(VLOOKUP(AM$13,INDIRECT($C$5&amp;"生成成长"),2))/((VLOOKUP($Q30,INDIRECT($B$5&amp;"生成成长"),4))/(VLOOKUP(AM$13,INDIRECT($C$5&amp;"生成成长"),5))*(VLOOKUP($B$5,标准坦克设计!$B$24:$U$30,MATCH("对"&amp;LEFT($C$5,2)&amp;"输出",标准坦克设计!$B$23:$U$23,0)))*(VLOOKUP($Q30,INDIRECT($B$5&amp;"生成成长"),3))*(VLOOKUP($B$5,标准坦克设计!$B$14:$K$20,9)/30))</f>
        <v>35.643305288939764</v>
      </c>
    </row>
    <row r="31" spans="1:39" x14ac:dyDescent="0.15">
      <c r="A31" s="171" t="str">
        <f t="shared" ref="A31:A41" si="3">"T"&amp;LEFT(RIGHT(B31,3),1)&amp;""&amp;IF(LEFT(B31,1)="1","低品质",IF(LEFT(B31,1)="2","中品质","高品质"))&amp;""</f>
        <v>T2低品质</v>
      </c>
      <c r="B31" s="172">
        <v>10207</v>
      </c>
      <c r="C31" s="173">
        <f ca="1">(VLOOKUP(C$29,INDIRECT($C$5&amp;"生成成长"),2))/((VLOOKUP($B31,INDIRECT($B$5&amp;"生成成长"),4))/(VLOOKUP(C$29,INDIRECT($C$5&amp;"生成成长"),5))*(VLOOKUP($B$5,标准坦克设计!$B$24:$U$30,MATCH("对"&amp;LEFT($C$5,2)&amp;"输出",标准坦克设计!$B$23:$U$23,0)))*(VLOOKUP($B31,INDIRECT($B$5&amp;"生成成长"),3))*(VLOOKUP($B$5,标准坦克设计!$B$14:$K$20,9)/30))</f>
        <v>5.1763081705262168</v>
      </c>
      <c r="D31" s="173">
        <f ca="1">(VLOOKUP(D$29,INDIRECT($C$5&amp;"生成成长"),2))/((VLOOKUP($B31,INDIRECT($B$5&amp;"生成成长"),4))/(VLOOKUP(D$29,INDIRECT($C$5&amp;"生成成长"),5))*(VLOOKUP($B$5,标准坦克设计!$B$24:$U$30,MATCH("对"&amp;LEFT($C$5,2)&amp;"输出",标准坦克设计!$B$23:$U$23,0)))*(VLOOKUP($B31,INDIRECT($B$5&amp;"生成成长"),3))*(VLOOKUP($B$5,标准坦克设计!$B$14:$K$20,9)/30))</f>
        <v>9.0544995157695833</v>
      </c>
      <c r="E31" s="173">
        <f ca="1">(VLOOKUP(E$29,INDIRECT($C$5&amp;"生成成长"),2))/((VLOOKUP($B31,INDIRECT($B$5&amp;"生成成长"),4))/(VLOOKUP(E$29,INDIRECT($C$5&amp;"生成成长"),5))*(VLOOKUP($B$5,标准坦克设计!$B$24:$U$30,MATCH("对"&amp;LEFT($C$5,2)&amp;"输出",标准坦克设计!$B$23:$U$23,0)))*(VLOOKUP($B31,INDIRECT($B$5&amp;"生成成长"),3))*(VLOOKUP($B$5,标准坦克设计!$B$14:$K$20,9)/30))</f>
        <v>15.561579421343284</v>
      </c>
      <c r="F31" s="173">
        <f ca="1">(VLOOKUP(F$29,INDIRECT($C$5&amp;"生成成长"),2))/((VLOOKUP($B31,INDIRECT($B$5&amp;"生成成长"),4))/(VLOOKUP(F$29,INDIRECT($C$5&amp;"生成成长"),5))*(VLOOKUP($B$5,标准坦克设计!$B$24:$U$30,MATCH("对"&amp;LEFT($C$5,2)&amp;"输出",标准坦克设计!$B$23:$U$23,0)))*(VLOOKUP($B31,INDIRECT($B$5&amp;"生成成长"),3))*(VLOOKUP($B$5,标准坦克设计!$B$14:$K$20,9)/30))</f>
        <v>26.961846063298267</v>
      </c>
      <c r="G31" s="173">
        <f ca="1">(VLOOKUP(G$29,INDIRECT($C$5&amp;"生成成长"),2))/((VLOOKUP($B31,INDIRECT($B$5&amp;"生成成长"),4))/(VLOOKUP(G$29,INDIRECT($C$5&amp;"生成成长"),5))*(VLOOKUP($B$5,标准坦克设计!$B$24:$U$30,MATCH("对"&amp;LEFT($C$5,2)&amp;"输出",标准坦克设计!$B$23:$U$23,0)))*(VLOOKUP($B31,INDIRECT($B$5&amp;"生成成长"),3))*(VLOOKUP($B$5,标准坦克设计!$B$14:$K$20,9)/30))</f>
        <v>14.846201243509764</v>
      </c>
      <c r="H31" s="173">
        <f ca="1">(VLOOKUP(H$29,INDIRECT($C$5&amp;"生成成长"),2))/((VLOOKUP($B31,INDIRECT($B$5&amp;"生成成长"),4))/(VLOOKUP(H$29,INDIRECT($C$5&amp;"生成成长"),5))*(VLOOKUP($B$5,标准坦克设计!$B$24:$U$30,MATCH("对"&amp;LEFT($C$5,2)&amp;"输出",标准坦克设计!$B$23:$U$23,0)))*(VLOOKUP($B31,INDIRECT($B$5&amp;"生成成长"),3))*(VLOOKUP($B$5,标准坦克设计!$B$14:$K$20,9)/30))</f>
        <v>25.830706920935615</v>
      </c>
      <c r="I31" s="173">
        <f ca="1">(VLOOKUP(I$29,INDIRECT($C$5&amp;"生成成长"),2))/((VLOOKUP($B31,INDIRECT($B$5&amp;"生成成长"),4))/(VLOOKUP(I$29,INDIRECT($C$5&amp;"生成成长"),5))*(VLOOKUP($B$5,标准坦克设计!$B$24:$U$30,MATCH("对"&amp;LEFT($C$5,2)&amp;"输出",标准坦克设计!$B$23:$U$23,0)))*(VLOOKUP($B31,INDIRECT($B$5&amp;"生成成长"),3))*(VLOOKUP($B$5,标准坦克设计!$B$14:$K$20,9)/30))</f>
        <v>44.359843348209495</v>
      </c>
      <c r="J31" s="173">
        <f ca="1">(VLOOKUP(J$29,INDIRECT($C$5&amp;"生成成长"),2))/((VLOOKUP($B31,INDIRECT($B$5&amp;"生成成长"),4))/(VLOOKUP(J$29,INDIRECT($C$5&amp;"生成成长"),5))*(VLOOKUP($B$5,标准坦克设计!$B$24:$U$30,MATCH("对"&amp;LEFT($C$5,2)&amp;"输出",标准坦克设计!$B$23:$U$23,0)))*(VLOOKUP($B31,INDIRECT($B$5&amp;"生成成长"),3))*(VLOOKUP($B$5,标准坦克设计!$B$14:$K$20,9)/30))</f>
        <v>74.365665639258651</v>
      </c>
      <c r="K31" s="173">
        <f ca="1">(VLOOKUP(K$29,INDIRECT($C$5&amp;"生成成长"),2))/((VLOOKUP($B31,INDIRECT($B$5&amp;"生成成长"),4))/(VLOOKUP(K$29,INDIRECT($C$5&amp;"生成成长"),5))*(VLOOKUP($B$5,标准坦克设计!$B$24:$U$30,MATCH("对"&amp;LEFT($C$5,2)&amp;"输出",标准坦克设计!$B$23:$U$23,0)))*(VLOOKUP($B31,INDIRECT($B$5&amp;"生成成长"),3))*(VLOOKUP($B$5,标准坦克设计!$B$14:$K$20,9)/30))</f>
        <v>27.344278820954212</v>
      </c>
      <c r="L31" s="173">
        <f ca="1">(VLOOKUP(L$29,INDIRECT($C$5&amp;"生成成长"),2))/((VLOOKUP($B31,INDIRECT($B$5&amp;"生成成长"),4))/(VLOOKUP(L$29,INDIRECT($C$5&amp;"生成成长"),5))*(VLOOKUP($B$5,标准坦克设计!$B$24:$U$30,MATCH("对"&amp;LEFT($C$5,2)&amp;"输出",标准坦克设计!$B$23:$U$23,0)))*(VLOOKUP($B31,INDIRECT($B$5&amp;"生成成长"),3))*(VLOOKUP($B$5,标准坦克设计!$B$14:$K$20,9)/30))</f>
        <v>46.837576707670522</v>
      </c>
      <c r="M31" s="173">
        <f ca="1">(VLOOKUP(M$29,INDIRECT($C$5&amp;"生成成长"),2))/((VLOOKUP($B31,INDIRECT($B$5&amp;"生成成长"),4))/(VLOOKUP(M$29,INDIRECT($C$5&amp;"生成成长"),5))*(VLOOKUP($B$5,标准坦克设计!$B$24:$U$30,MATCH("对"&amp;LEFT($C$5,2)&amp;"输出",标准坦克设计!$B$23:$U$23,0)))*(VLOOKUP($B31,INDIRECT($B$5&amp;"生成成长"),3))*(VLOOKUP($B$5,标准坦克设计!$B$14:$K$20,9)/30))</f>
        <v>78.211538723291667</v>
      </c>
      <c r="P31" s="171" t="str">
        <f>"T"&amp;LEFT(RIGHT(Q31,3),1)&amp;""&amp;IF(LEFT(Q31,1)="1","低",IF(LEFT(Q31,1)="2","中","高"))&amp;"满"</f>
        <v>T5中满</v>
      </c>
      <c r="Q31" s="172">
        <v>20521</v>
      </c>
      <c r="R31" s="173">
        <f ca="1">(VLOOKUP(R$13,INDIRECT($C$5&amp;"生成成长"),2))/((VLOOKUP($Q31,INDIRECT($B$5&amp;"生成成长"),4))/(VLOOKUP(R$13,INDIRECT($C$5&amp;"生成成长"),5))*(VLOOKUP($B$5,标准坦克设计!$B$24:$U$30,MATCH("对"&amp;LEFT($C$5,2)&amp;"输出",标准坦克设计!$B$23:$U$23,0)))*(VLOOKUP($Q31,INDIRECT($B$5&amp;"生成成长"),3))*(VLOOKUP($B$5,标准坦克设计!$B$14:$K$20,9)/30))</f>
        <v>0.41035787461194095</v>
      </c>
      <c r="S31" s="173">
        <f ca="1">(VLOOKUP(S$13,INDIRECT($C$5&amp;"生成成长"),2))/((VLOOKUP($Q31,INDIRECT($B$5&amp;"生成成长"),4))/(VLOOKUP(S$13,INDIRECT($C$5&amp;"生成成长"),5))*(VLOOKUP($B$5,标准坦克设计!$B$24:$U$30,MATCH("对"&amp;LEFT($C$5,2)&amp;"输出",标准坦克设计!$B$23:$U$23,0)))*(VLOOKUP($Q31,INDIRECT($B$5&amp;"生成成长"),3))*(VLOOKUP($B$5,标准坦克设计!$B$14:$K$20,9)/30))</f>
        <v>0.63096626800332056</v>
      </c>
      <c r="T31" s="173">
        <f ca="1">(VLOOKUP(T$13,INDIRECT($C$5&amp;"生成成长"),2))/((VLOOKUP($Q31,INDIRECT($B$5&amp;"生成成长"),4))/(VLOOKUP(T$13,INDIRECT($C$5&amp;"生成成长"),5))*(VLOOKUP($B$5,标准坦克设计!$B$24:$U$30,MATCH("对"&amp;LEFT($C$5,2)&amp;"输出",标准坦克设计!$B$23:$U$23,0)))*(VLOOKUP($Q31,INDIRECT($B$5&amp;"生成成长"),3))*(VLOOKUP($B$5,标准坦克设计!$B$14:$K$20,9)/30))</f>
        <v>0.55217755607782781</v>
      </c>
      <c r="U31" s="173">
        <f ca="1">(VLOOKUP(U$13,INDIRECT($C$5&amp;"生成成长"),2))/((VLOOKUP($Q31,INDIRECT($B$5&amp;"生成成长"),4))/(VLOOKUP(U$13,INDIRECT($C$5&amp;"生成成长"),5))*(VLOOKUP($B$5,标准坦克设计!$B$24:$U$30,MATCH("对"&amp;LEFT($C$5,2)&amp;"输出",标准坦克设计!$B$23:$U$23,0)))*(VLOOKUP($Q31,INDIRECT($B$5&amp;"生成成长"),3))*(VLOOKUP($B$5,标准坦克设计!$B$14:$K$20,9)/30))</f>
        <v>1.1036985395562766</v>
      </c>
      <c r="V31" s="173">
        <f ca="1">(VLOOKUP(V$13,INDIRECT($C$5&amp;"生成成长"),2))/((VLOOKUP($Q31,INDIRECT($B$5&amp;"生成成长"),4))/(VLOOKUP(V$13,INDIRECT($C$5&amp;"生成成长"),5))*(VLOOKUP($B$5,标准坦克设计!$B$24:$U$30,MATCH("对"&amp;LEFT($C$5,2)&amp;"输出",标准坦克设计!$B$23:$U$23,0)))*(VLOOKUP($Q31,INDIRECT($B$5&amp;"生成成长"),3))*(VLOOKUP($B$5,标准坦克设计!$B$14:$K$20,9)/30))</f>
        <v>0.83914081779395822</v>
      </c>
      <c r="W31" s="173">
        <f ca="1">(VLOOKUP(W$13,INDIRECT($C$5&amp;"生成成长"),2))/((VLOOKUP($Q31,INDIRECT($B$5&amp;"生成成长"),4))/(VLOOKUP(W$13,INDIRECT($C$5&amp;"生成成长"),5))*(VLOOKUP($B$5,标准坦克设计!$B$24:$U$30,MATCH("对"&amp;LEFT($C$5,2)&amp;"输出",标准坦克设计!$B$23:$U$23,0)))*(VLOOKUP($Q31,INDIRECT($B$5&amp;"生成成长"),3))*(VLOOKUP($B$5,标准坦克设计!$B$14:$K$20,9)/30))</f>
        <v>1.8968792753936976</v>
      </c>
      <c r="X31" s="173">
        <f ca="1">(VLOOKUP(X$13,INDIRECT($C$5&amp;"生成成长"),2))/((VLOOKUP($Q31,INDIRECT($B$5&amp;"生成成长"),4))/(VLOOKUP(X$13,INDIRECT($C$5&amp;"生成成长"),5))*(VLOOKUP($B$5,标准坦克设计!$B$24:$U$30,MATCH("对"&amp;LEFT($C$5,2)&amp;"输出",标准坦克设计!$B$23:$U$23,0)))*(VLOOKUP($Q31,INDIRECT($B$5&amp;"生成成长"),3))*(VLOOKUP($B$5,标准坦克设计!$B$14:$K$20,9)/30))</f>
        <v>1.374247486287929</v>
      </c>
      <c r="Y31" s="173">
        <f ca="1">(VLOOKUP(Y$13,INDIRECT($C$5&amp;"生成成长"),2))/((VLOOKUP($Q31,INDIRECT($B$5&amp;"生成成长"),4))/(VLOOKUP(Y$13,INDIRECT($C$5&amp;"生成成长"),5))*(VLOOKUP($B$5,标准坦克设计!$B$24:$U$30,MATCH("对"&amp;LEFT($C$5,2)&amp;"输出",标准坦克设计!$B$23:$U$23,0)))*(VLOOKUP($Q31,INDIRECT($B$5&amp;"生成成长"),3))*(VLOOKUP($B$5,标准坦克设计!$B$14:$K$20,9)/30))</f>
        <v>3.2865151819795737</v>
      </c>
      <c r="Z31" s="173">
        <f ca="1">(VLOOKUP(Z$13,INDIRECT($C$5&amp;"生成成长"),2))/((VLOOKUP($Q31,INDIRECT($B$5&amp;"生成成长"),4))/(VLOOKUP(Z$13,INDIRECT($C$5&amp;"生成成长"),5))*(VLOOKUP($B$5,标准坦克设计!$B$24:$U$30,MATCH("对"&amp;LEFT($C$5,2)&amp;"输出",标准坦克设计!$B$23:$U$23,0)))*(VLOOKUP($Q31,INDIRECT($B$5&amp;"生成成长"),3))*(VLOOKUP($B$5,标准坦克设计!$B$14:$K$20,9)/30))</f>
        <v>0.57138230460966666</v>
      </c>
      <c r="AA31" s="173">
        <f ca="1">(VLOOKUP(AA$13,INDIRECT($C$5&amp;"生成成长"),2))/((VLOOKUP($Q31,INDIRECT($B$5&amp;"生成成长"),4))/(VLOOKUP(AA$13,INDIRECT($C$5&amp;"生成成长"),5))*(VLOOKUP($B$5,标准坦克设计!$B$24:$U$30,MATCH("对"&amp;LEFT($C$5,2)&amp;"输出",标准坦克设计!$B$23:$U$23,0)))*(VLOOKUP($Q31,INDIRECT($B$5&amp;"生成成长"),3))*(VLOOKUP($B$5,标准坦克设计!$B$14:$K$20,9)/30))</f>
        <v>1.80967822703866</v>
      </c>
      <c r="AB31" s="173">
        <f ca="1">(VLOOKUP(AB$13,INDIRECT($C$5&amp;"生成成长"),2))/((VLOOKUP($Q31,INDIRECT($B$5&amp;"生成成长"),4))/(VLOOKUP(AB$13,INDIRECT($C$5&amp;"生成成长"),5))*(VLOOKUP($B$5,标准坦克设计!$B$24:$U$30,MATCH("对"&amp;LEFT($C$5,2)&amp;"输出",标准坦克设计!$B$23:$U$23,0)))*(VLOOKUP($Q31,INDIRECT($B$5&amp;"生成成长"),3))*(VLOOKUP($B$5,标准坦克设计!$B$14:$K$20,9)/30))</f>
        <v>0.87471884552281332</v>
      </c>
      <c r="AC31" s="173">
        <f ca="1">(VLOOKUP(AC$13,INDIRECT($C$5&amp;"生成成长"),2))/((VLOOKUP($Q31,INDIRECT($B$5&amp;"生成成长"),4))/(VLOOKUP(AC$13,INDIRECT($C$5&amp;"生成成长"),5))*(VLOOKUP($B$5,标准坦克设计!$B$24:$U$30,MATCH("对"&amp;LEFT($C$5,2)&amp;"输出",标准坦克设计!$B$23:$U$23,0)))*(VLOOKUP($Q31,INDIRECT($B$5&amp;"生成成长"),3))*(VLOOKUP($B$5,标准坦克设计!$B$14:$K$20,9)/30))</f>
        <v>3.1486349361099624</v>
      </c>
      <c r="AD31" s="173">
        <f ca="1">(VLOOKUP(AD$13,INDIRECT($C$5&amp;"生成成长"),2))/((VLOOKUP($Q31,INDIRECT($B$5&amp;"生成成长"),4))/(VLOOKUP(AD$13,INDIRECT($C$5&amp;"生成成长"),5))*(VLOOKUP($B$5,标准坦克设计!$B$24:$U$30,MATCH("对"&amp;LEFT($C$5,2)&amp;"输出",标准坦克设计!$B$23:$U$23,0)))*(VLOOKUP($Q31,INDIRECT($B$5&amp;"生成成长"),3))*(VLOOKUP($B$5,标准坦克设计!$B$14:$K$20,9)/30))</f>
        <v>1.4349804517304967</v>
      </c>
      <c r="AE31" s="173">
        <f ca="1">(VLOOKUP(AE$13,INDIRECT($C$5&amp;"生成成长"),2))/((VLOOKUP($Q31,INDIRECT($B$5&amp;"生成成长"),4))/(VLOOKUP(AE$13,INDIRECT($C$5&amp;"生成成长"),5))*(VLOOKUP($B$5,标准坦克设计!$B$24:$U$30,MATCH("对"&amp;LEFT($C$5,2)&amp;"输出",标准坦克设计!$B$23:$U$23,0)))*(VLOOKUP($Q31,INDIRECT($B$5&amp;"生成成长"),3))*(VLOOKUP($B$5,标准坦克设计!$B$14:$K$20,9)/30))</f>
        <v>5.4072446779740861</v>
      </c>
      <c r="AF31" s="173">
        <f ca="1">(VLOOKUP(AF$13,INDIRECT($C$5&amp;"生成成长"),2))/((VLOOKUP($Q31,INDIRECT($B$5&amp;"生成成长"),4))/(VLOOKUP(AF$13,INDIRECT($C$5&amp;"生成成长"),5))*(VLOOKUP($B$5,标准坦克设计!$B$24:$U$30,MATCH("对"&amp;LEFT($C$5,2)&amp;"输出",标准坦克设计!$B$23:$U$23,0)))*(VLOOKUP($Q31,INDIRECT($B$5&amp;"生成成长"),3))*(VLOOKUP($B$5,标准坦克设计!$B$14:$K$20,9)/30))</f>
        <v>2.4231222137960504</v>
      </c>
      <c r="AG31" s="173">
        <f ca="1">(VLOOKUP(AG$13,INDIRECT($C$5&amp;"生成成长"),2))/((VLOOKUP($Q31,INDIRECT($B$5&amp;"生成成长"),4))/(VLOOKUP(AG$13,INDIRECT($C$5&amp;"生成成长"),5))*(VLOOKUP($B$5,标准坦克设计!$B$24:$U$30,MATCH("对"&amp;LEFT($C$5,2)&amp;"输出",标准坦克设计!$B$23:$U$23,0)))*(VLOOKUP($Q31,INDIRECT($B$5&amp;"生成成长"),3))*(VLOOKUP($B$5,标准坦克设计!$B$14:$K$20,9)/30))</f>
        <v>9.0648054501777757</v>
      </c>
      <c r="AH31" s="173">
        <f ca="1">(VLOOKUP(AH$13,INDIRECT($C$5&amp;"生成成长"),2))/((VLOOKUP($Q31,INDIRECT($B$5&amp;"生成成长"),4))/(VLOOKUP(AH$13,INDIRECT($C$5&amp;"生成成长"),5))*(VLOOKUP($B$5,标准坦克设计!$B$24:$U$30,MATCH("对"&amp;LEFT($C$5,2)&amp;"输出",标准坦克设计!$B$23:$U$23,0)))*(VLOOKUP($Q31,INDIRECT($B$5&amp;"生成成长"),3))*(VLOOKUP($B$5,标准坦克设计!$B$14:$K$20,9)/30))</f>
        <v>0.91103551742597033</v>
      </c>
      <c r="AI31" s="173">
        <f ca="1">(VLOOKUP(AI$13,INDIRECT($C$5&amp;"生成成长"),2))/((VLOOKUP($Q31,INDIRECT($B$5&amp;"生成成长"),4))/(VLOOKUP(AI$13,INDIRECT($C$5&amp;"生成成长"),5))*(VLOOKUP($B$5,标准坦克设计!$B$24:$U$30,MATCH("对"&amp;LEFT($C$5,2)&amp;"输出",标准坦克设计!$B$23:$U$23,0)))*(VLOOKUP($Q31,INDIRECT($B$5&amp;"生成成长"),3))*(VLOOKUP($B$5,标准坦克设计!$B$14:$K$20,9)/30))</f>
        <v>3.3331318365354909</v>
      </c>
      <c r="AJ31" s="173">
        <f ca="1">(VLOOKUP(AJ$13,INDIRECT($C$5&amp;"生成成长"),2))/((VLOOKUP($Q31,INDIRECT($B$5&amp;"生成成长"),4))/(VLOOKUP(AJ$13,INDIRECT($C$5&amp;"生成成长"),5))*(VLOOKUP($B$5,标准坦克设计!$B$24:$U$30,MATCH("对"&amp;LEFT($C$5,2)&amp;"输出",标准坦克设计!$B$23:$U$23,0)))*(VLOOKUP($Q31,INDIRECT($B$5&amp;"生成成长"),3))*(VLOOKUP($B$5,标准坦克设计!$B$14:$K$20,9)/30))</f>
        <v>1.497026562371822</v>
      </c>
      <c r="AK31" s="173">
        <f ca="1">(VLOOKUP(AK$13,INDIRECT($C$5&amp;"生成成长"),2))/((VLOOKUP($Q31,INDIRECT($B$5&amp;"生成成长"),4))/(VLOOKUP(AK$13,INDIRECT($C$5&amp;"生成成长"),5))*(VLOOKUP($B$5,标准坦克设计!$B$24:$U$30,MATCH("对"&amp;LEFT($C$5,2)&amp;"输出",标准坦克设计!$B$23:$U$23,0)))*(VLOOKUP($Q31,INDIRECT($B$5&amp;"生成成长"),3))*(VLOOKUP($B$5,标准坦克设计!$B$14:$K$20,9)/30))</f>
        <v>5.7092680736884747</v>
      </c>
      <c r="AL31" s="173">
        <f ca="1">(VLOOKUP(AL$13,INDIRECT($C$5&amp;"生成成长"),2))/((VLOOKUP($Q31,INDIRECT($B$5&amp;"生成成长"),4))/(VLOOKUP(AL$13,INDIRECT($C$5&amp;"生成成长"),5))*(VLOOKUP($B$5,标准坦克设计!$B$24:$U$30,MATCH("对"&amp;LEFT($C$5,2)&amp;"输出",标准坦克设计!$B$23:$U$23,0)))*(VLOOKUP($Q31,INDIRECT($B$5&amp;"生成成长"),3))*(VLOOKUP($B$5,标准坦克设计!$B$14:$K$20,9)/30))</f>
        <v>2.5238650720132823</v>
      </c>
      <c r="AM31" s="173">
        <f ca="1">(VLOOKUP(AM$13,INDIRECT($C$5&amp;"生成成长"),2))/((VLOOKUP($Q31,INDIRECT($B$5&amp;"生成成长"),4))/(VLOOKUP(AM$13,INDIRECT($C$5&amp;"生成成长"),5))*(VLOOKUP($B$5,标准坦克设计!$B$24:$U$30,MATCH("对"&amp;LEFT($C$5,2)&amp;"输出",标准坦克设计!$B$23:$U$23,0)))*(VLOOKUP($Q31,INDIRECT($B$5&amp;"生成成长"),3))*(VLOOKUP($B$5,标准坦克设计!$B$14:$K$20,9)/30))</f>
        <v>9.5335982861344597</v>
      </c>
    </row>
    <row r="32" spans="1:39" x14ac:dyDescent="0.15">
      <c r="A32" s="171" t="str">
        <f t="shared" si="3"/>
        <v>T3低品质</v>
      </c>
      <c r="B32" s="172">
        <v>10309</v>
      </c>
      <c r="C32" s="173">
        <f ca="1">(VLOOKUP(C$29,INDIRECT($C$5&amp;"生成成长"),2))/((VLOOKUP($B32,INDIRECT($B$5&amp;"生成成长"),4))/(VLOOKUP(C$29,INDIRECT($C$5&amp;"生成成长"),5))*(VLOOKUP($B$5,标准坦克设计!$B$24:$U$30,MATCH("对"&amp;LEFT($C$5,2)&amp;"输出",标准坦克设计!$B$23:$U$23,0)))*(VLOOKUP($B32,INDIRECT($B$5&amp;"生成成长"),3))*(VLOOKUP($B$5,标准坦克设计!$B$14:$K$20,9)/30))</f>
        <v>3.0248280901831972</v>
      </c>
      <c r="D32" s="173">
        <f ca="1">(VLOOKUP(D$29,INDIRECT($C$5&amp;"生成成长"),2))/((VLOOKUP($B32,INDIRECT($B$5&amp;"生成成长"),4))/(VLOOKUP(D$29,INDIRECT($C$5&amp;"生成成长"),5))*(VLOOKUP($B$5,标准坦克设计!$B$24:$U$30,MATCH("对"&amp;LEFT($C$5,2)&amp;"输出",标准坦克设计!$B$23:$U$23,0)))*(VLOOKUP($B32,INDIRECT($B$5&amp;"生成成长"),3))*(VLOOKUP($B$5,标准坦克设计!$B$14:$K$20,9)/30))</f>
        <v>5.2910884699250298</v>
      </c>
      <c r="E32" s="173">
        <f ca="1">(VLOOKUP(E$29,INDIRECT($C$5&amp;"生成成长"),2))/((VLOOKUP($B32,INDIRECT($B$5&amp;"生成成长"),4))/(VLOOKUP(E$29,INDIRECT($C$5&amp;"生成成长"),5))*(VLOOKUP($B$5,标准坦克设计!$B$24:$U$30,MATCH("对"&amp;LEFT($C$5,2)&amp;"输出",标准坦克设计!$B$23:$U$23,0)))*(VLOOKUP($B32,INDIRECT($B$5&amp;"生成成长"),3))*(VLOOKUP($B$5,标准坦克设计!$B$14:$K$20,9)/30))</f>
        <v>9.0935664977054032</v>
      </c>
      <c r="F32" s="173">
        <f ca="1">(VLOOKUP(F$29,INDIRECT($C$5&amp;"生成成长"),2))/((VLOOKUP($B32,INDIRECT($B$5&amp;"生成成长"),4))/(VLOOKUP(F$29,INDIRECT($C$5&amp;"生成成长"),5))*(VLOOKUP($B$5,标准坦克设计!$B$24:$U$30,MATCH("对"&amp;LEFT($C$5,2)&amp;"输出",标准坦克设计!$B$23:$U$23,0)))*(VLOOKUP($B32,INDIRECT($B$5&amp;"生成成长"),3))*(VLOOKUP($B$5,标准坦克设计!$B$14:$K$20,9)/30))</f>
        <v>15.755427738988166</v>
      </c>
      <c r="G32" s="173">
        <f ca="1">(VLOOKUP(G$29,INDIRECT($C$5&amp;"生成成长"),2))/((VLOOKUP($B32,INDIRECT($B$5&amp;"生成成长"),4))/(VLOOKUP(G$29,INDIRECT($C$5&amp;"生成成长"),5))*(VLOOKUP($B$5,标准坦克设计!$B$24:$U$30,MATCH("对"&amp;LEFT($C$5,2)&amp;"输出",标准坦克设计!$B$23:$U$23,0)))*(VLOOKUP($B32,INDIRECT($B$5&amp;"生成成长"),3))*(VLOOKUP($B$5,标准坦克设计!$B$14:$K$20,9)/30))</f>
        <v>8.6755280161992054</v>
      </c>
      <c r="H32" s="173">
        <f ca="1">(VLOOKUP(H$29,INDIRECT($C$5&amp;"生成成长"),2))/((VLOOKUP($B32,INDIRECT($B$5&amp;"生成成长"),4))/(VLOOKUP(H$29,INDIRECT($C$5&amp;"生成成长"),5))*(VLOOKUP($B$5,标准坦克设计!$B$24:$U$30,MATCH("对"&amp;LEFT($C$5,2)&amp;"输出",标准坦克设计!$B$23:$U$23,0)))*(VLOOKUP($B32,INDIRECT($B$5&amp;"生成成长"),3))*(VLOOKUP($B$5,标准坦克设计!$B$14:$K$20,9)/30))</f>
        <v>15.094435128230131</v>
      </c>
      <c r="I32" s="173">
        <f ca="1">(VLOOKUP(I$29,INDIRECT($C$5&amp;"生成成长"),2))/((VLOOKUP($B32,INDIRECT($B$5&amp;"生成成长"),4))/(VLOOKUP(I$29,INDIRECT($C$5&amp;"生成成长"),5))*(VLOOKUP($B$5,标准坦克设计!$B$24:$U$30,MATCH("对"&amp;LEFT($C$5,2)&amp;"输出",标准坦克设计!$B$23:$U$23,0)))*(VLOOKUP($B32,INDIRECT($B$5&amp;"生成成长"),3))*(VLOOKUP($B$5,标准坦克设计!$B$14:$K$20,9)/30))</f>
        <v>25.92212360921889</v>
      </c>
      <c r="J32" s="173">
        <f ca="1">(VLOOKUP(J$29,INDIRECT($C$5&amp;"生成成长"),2))/((VLOOKUP($B32,INDIRECT($B$5&amp;"生成成长"),4))/(VLOOKUP(J$29,INDIRECT($C$5&amp;"生成成长"),5))*(VLOOKUP($B$5,标准坦克设计!$B$24:$U$30,MATCH("对"&amp;LEFT($C$5,2)&amp;"输出",标准坦克设计!$B$23:$U$23,0)))*(VLOOKUP($B32,INDIRECT($B$5&amp;"生成成长"),3))*(VLOOKUP($B$5,标准坦克设计!$B$14:$K$20,9)/30))</f>
        <v>43.456329677514844</v>
      </c>
      <c r="K32" s="173">
        <f ca="1">(VLOOKUP(K$29,INDIRECT($C$5&amp;"生成成长"),2))/((VLOOKUP($B32,INDIRECT($B$5&amp;"生成成长"),4))/(VLOOKUP(K$29,INDIRECT($C$5&amp;"生成成长"),5))*(VLOOKUP($B$5,标准坦克设计!$B$24:$U$30,MATCH("对"&amp;LEFT($C$5,2)&amp;"输出",标准坦克设计!$B$23:$U$23,0)))*(VLOOKUP($B32,INDIRECT($B$5&amp;"生成成长"),3))*(VLOOKUP($B$5,标准坦克设计!$B$14:$K$20,9)/30))</f>
        <v>15.978906193101597</v>
      </c>
      <c r="L32" s="173">
        <f ca="1">(VLOOKUP(L$29,INDIRECT($C$5&amp;"生成成长"),2))/((VLOOKUP($B32,INDIRECT($B$5&amp;"生成成长"),4))/(VLOOKUP(L$29,INDIRECT($C$5&amp;"生成成长"),5))*(VLOOKUP($B$5,标准坦克设计!$B$24:$U$30,MATCH("对"&amp;LEFT($C$5,2)&amp;"输出",标准坦克设计!$B$23:$U$23,0)))*(VLOOKUP($B32,INDIRECT($B$5&amp;"生成成长"),3))*(VLOOKUP($B$5,标准坦克设计!$B$14:$K$20,9)/30))</f>
        <v>27.370012185165063</v>
      </c>
      <c r="M32" s="173">
        <f ca="1">(VLOOKUP(M$29,INDIRECT($C$5&amp;"生成成长"),2))/((VLOOKUP($B32,INDIRECT($B$5&amp;"生成成长"),4))/(VLOOKUP(M$29,INDIRECT($C$5&amp;"生成成长"),5))*(VLOOKUP($B$5,标准坦克设计!$B$24:$U$30,MATCH("对"&amp;LEFT($C$5,2)&amp;"输出",标准坦克设计!$B$23:$U$23,0)))*(VLOOKUP($B32,INDIRECT($B$5&amp;"生成成长"),3))*(VLOOKUP($B$5,标准坦克设计!$B$14:$K$20,9)/30))</f>
        <v>45.703704554092155</v>
      </c>
      <c r="P32" s="175" t="str">
        <f>"T"&amp;LEFT(RIGHT(Q32,3),1)&amp;""&amp;IF(LEFT(Q32,1)="1","低",IF(LEFT(Q32,1)="2","中","高"))&amp;"初"</f>
        <v>T3高初</v>
      </c>
      <c r="Q32" s="179">
        <v>30301</v>
      </c>
      <c r="R32" s="173">
        <f ca="1">(VLOOKUP(R$13,INDIRECT($C$5&amp;"生成成长"),2))/((VLOOKUP($Q32,INDIRECT($B$5&amp;"生成成长"),4))/(VLOOKUP(R$13,INDIRECT($C$5&amp;"生成成长"),5))*(VLOOKUP($B$5,标准坦克设计!$B$24:$U$30,MATCH("对"&amp;LEFT($C$5,2)&amp;"输出",标准坦克设计!$B$23:$U$23,0)))*(VLOOKUP($Q32,INDIRECT($B$5&amp;"生成成长"),3))*(VLOOKUP($B$5,标准坦克设计!$B$14:$K$20,9)/30))</f>
        <v>4.0790466076563421</v>
      </c>
      <c r="S32" s="173">
        <f ca="1">(VLOOKUP(S$13,INDIRECT($C$5&amp;"生成成长"),2))/((VLOOKUP($Q32,INDIRECT($B$5&amp;"生成成长"),4))/(VLOOKUP(S$13,INDIRECT($C$5&amp;"生成成长"),5))*(VLOOKUP($B$5,标准坦克设计!$B$24:$U$30,MATCH("对"&amp;LEFT($C$5,2)&amp;"输出",标准坦克设计!$B$23:$U$23,0)))*(VLOOKUP($Q32,INDIRECT($B$5&amp;"生成成长"),3))*(VLOOKUP($B$5,标准坦克设计!$B$14:$K$20,9)/30))</f>
        <v>6.2719420639323911</v>
      </c>
      <c r="T32" s="173">
        <f ca="1">(VLOOKUP(T$13,INDIRECT($C$5&amp;"生成成长"),2))/((VLOOKUP($Q32,INDIRECT($B$5&amp;"生成成长"),4))/(VLOOKUP(T$13,INDIRECT($C$5&amp;"生成成长"),5))*(VLOOKUP($B$5,标准坦克设计!$B$24:$U$30,MATCH("对"&amp;LEFT($C$5,2)&amp;"输出",标准坦克设计!$B$23:$U$23,0)))*(VLOOKUP($Q32,INDIRECT($B$5&amp;"生成成长"),3))*(VLOOKUP($B$5,标准坦克设计!$B$14:$K$20,9)/30))</f>
        <v>5.4887651152623729</v>
      </c>
      <c r="U32" s="173">
        <f ca="1">(VLOOKUP(U$13,INDIRECT($C$5&amp;"生成成长"),2))/((VLOOKUP($Q32,INDIRECT($B$5&amp;"生成成长"),4))/(VLOOKUP(U$13,INDIRECT($C$5&amp;"生成成长"),5))*(VLOOKUP($B$5,标准坦克设计!$B$24:$U$30,MATCH("对"&amp;LEFT($C$5,2)&amp;"输出",标准坦克设计!$B$23:$U$23,0)))*(VLOOKUP($Q32,INDIRECT($B$5&amp;"生成成长"),3))*(VLOOKUP($B$5,标准坦克设计!$B$14:$K$20,9)/30))</f>
        <v>10.971003755952497</v>
      </c>
      <c r="V32" s="173">
        <f ca="1">(VLOOKUP(V$13,INDIRECT($C$5&amp;"生成成长"),2))/((VLOOKUP($Q32,INDIRECT($B$5&amp;"生成成长"),4))/(VLOOKUP(V$13,INDIRECT($C$5&amp;"生成成长"),5))*(VLOOKUP($B$5,标准坦克设计!$B$24:$U$30,MATCH("对"&amp;LEFT($C$5,2)&amp;"输出",标准坦克设计!$B$23:$U$23,0)))*(VLOOKUP($Q32,INDIRECT($B$5&amp;"生成成长"),3))*(VLOOKUP($B$5,标准坦克设计!$B$14:$K$20,9)/30))</f>
        <v>8.3412424079964556</v>
      </c>
      <c r="W32" s="173">
        <f ca="1">(VLOOKUP(W$13,INDIRECT($C$5&amp;"生成成长"),2))/((VLOOKUP($Q32,INDIRECT($B$5&amp;"生成成长"),4))/(VLOOKUP(W$13,INDIRECT($C$5&amp;"生成成长"),5))*(VLOOKUP($B$5,标准坦克设计!$B$24:$U$30,MATCH("对"&amp;LEFT($C$5,2)&amp;"输出",标准坦克设计!$B$23:$U$23,0)))*(VLOOKUP($Q32,INDIRECT($B$5&amp;"生成成长"),3))*(VLOOKUP($B$5,标准坦克设计!$B$14:$K$20,9)/30))</f>
        <v>18.855392943891442</v>
      </c>
      <c r="X32" s="173">
        <f ca="1">(VLOOKUP(X$13,INDIRECT($C$5&amp;"生成成长"),2))/((VLOOKUP($Q32,INDIRECT($B$5&amp;"生成成长"),4))/(VLOOKUP(X$13,INDIRECT($C$5&amp;"生成成长"),5))*(VLOOKUP($B$5,标准坦克设计!$B$24:$U$30,MATCH("对"&amp;LEFT($C$5,2)&amp;"输出",标准坦克设计!$B$23:$U$23,0)))*(VLOOKUP($Q32,INDIRECT($B$5&amp;"生成成长"),3))*(VLOOKUP($B$5,标准坦克设计!$B$14:$K$20,9)/30))</f>
        <v>13.660319184380324</v>
      </c>
      <c r="Y32" s="173">
        <f ca="1">(VLOOKUP(Y$13,INDIRECT($C$5&amp;"生成成长"),2))/((VLOOKUP($Q32,INDIRECT($B$5&amp;"生成成长"),4))/(VLOOKUP(Y$13,INDIRECT($C$5&amp;"生成成长"),5))*(VLOOKUP($B$5,标准坦克设计!$B$24:$U$30,MATCH("对"&amp;LEFT($C$5,2)&amp;"输出",标准坦克设计!$B$23:$U$23,0)))*(VLOOKUP($Q32,INDIRECT($B$5&amp;"生成成长"),3))*(VLOOKUP($B$5,标准坦克设计!$B$14:$K$20,9)/30))</f>
        <v>32.668676376058883</v>
      </c>
      <c r="Z32" s="173">
        <f ca="1">(VLOOKUP(Z$13,INDIRECT($C$5&amp;"生成成长"),2))/((VLOOKUP($Q32,INDIRECT($B$5&amp;"生成成长"),4))/(VLOOKUP(Z$13,INDIRECT($C$5&amp;"生成成长"),5))*(VLOOKUP($B$5,标准坦克设计!$B$24:$U$30,MATCH("对"&amp;LEFT($C$5,2)&amp;"输出",标准坦克设计!$B$23:$U$23,0)))*(VLOOKUP($Q32,INDIRECT($B$5&amp;"生成成长"),3))*(VLOOKUP($B$5,标准坦克设计!$B$14:$K$20,9)/30))</f>
        <v>5.6796644965006902</v>
      </c>
      <c r="AA32" s="173">
        <f ca="1">(VLOOKUP(AA$13,INDIRECT($C$5&amp;"生成成长"),2))/((VLOOKUP($Q32,INDIRECT($B$5&amp;"生成成长"),4))/(VLOOKUP(AA$13,INDIRECT($C$5&amp;"生成成长"),5))*(VLOOKUP($B$5,标准坦克设计!$B$24:$U$30,MATCH("对"&amp;LEFT($C$5,2)&amp;"输出",标准坦克设计!$B$23:$U$23,0)))*(VLOOKUP($Q32,INDIRECT($B$5&amp;"生成成长"),3))*(VLOOKUP($B$5,标准坦克设计!$B$14:$K$20,9)/30))</f>
        <v>17.988595539764468</v>
      </c>
      <c r="AB32" s="173">
        <f ca="1">(VLOOKUP(AB$13,INDIRECT($C$5&amp;"生成成长"),2))/((VLOOKUP($Q32,INDIRECT($B$5&amp;"生成成长"),4))/(VLOOKUP(AB$13,INDIRECT($C$5&amp;"生成成长"),5))*(VLOOKUP($B$5,标准坦克设计!$B$24:$U$30,MATCH("对"&amp;LEFT($C$5,2)&amp;"输出",标准坦克设计!$B$23:$U$23,0)))*(VLOOKUP($Q32,INDIRECT($B$5&amp;"生成成长"),3))*(VLOOKUP($B$5,标准坦克设计!$B$14:$K$20,9)/30))</f>
        <v>8.6948957488802598</v>
      </c>
      <c r="AC32" s="173">
        <f ca="1">(VLOOKUP(AC$13,INDIRECT($C$5&amp;"生成成长"),2))/((VLOOKUP($Q32,INDIRECT($B$5&amp;"生成成长"),4))/(VLOOKUP(AC$13,INDIRECT($C$5&amp;"生成成长"),5))*(VLOOKUP($B$5,标准坦克设计!$B$24:$U$30,MATCH("对"&amp;LEFT($C$5,2)&amp;"输出",标准坦克设计!$B$23:$U$23,0)))*(VLOOKUP($Q32,INDIRECT($B$5&amp;"生成成长"),3))*(VLOOKUP($B$5,标准坦克设计!$B$14:$K$20,9)/30))</f>
        <v>31.298116715886351</v>
      </c>
      <c r="AD32" s="173">
        <f ca="1">(VLOOKUP(AD$13,INDIRECT($C$5&amp;"生成成长"),2))/((VLOOKUP($Q32,INDIRECT($B$5&amp;"生成成长"),4))/(VLOOKUP(AD$13,INDIRECT($C$5&amp;"生成成长"),5))*(VLOOKUP($B$5,标准坦克设计!$B$24:$U$30,MATCH("对"&amp;LEFT($C$5,2)&amp;"输出",标准坦克设计!$B$23:$U$23,0)))*(VLOOKUP($Q32,INDIRECT($B$5&amp;"生成成长"),3))*(VLOOKUP($B$5,标准坦克设计!$B$14:$K$20,9)/30))</f>
        <v>14.264018082313465</v>
      </c>
      <c r="AE32" s="173">
        <f ca="1">(VLOOKUP(AE$13,INDIRECT($C$5&amp;"生成成长"),2))/((VLOOKUP($Q32,INDIRECT($B$5&amp;"生成成长"),4))/(VLOOKUP(AE$13,INDIRECT($C$5&amp;"生成成长"),5))*(VLOOKUP($B$5,标准坦克设计!$B$24:$U$30,MATCH("对"&amp;LEFT($C$5,2)&amp;"输出",标准坦克设计!$B$23:$U$23,0)))*(VLOOKUP($Q32,INDIRECT($B$5&amp;"生成成长"),3))*(VLOOKUP($B$5,标准坦克设计!$B$14:$K$20,9)/30))</f>
        <v>53.749189244426866</v>
      </c>
      <c r="AF32" s="173">
        <f ca="1">(VLOOKUP(AF$13,INDIRECT($C$5&amp;"生成成长"),2))/((VLOOKUP($Q32,INDIRECT($B$5&amp;"生成成长"),4))/(VLOOKUP(AF$13,INDIRECT($C$5&amp;"生成成长"),5))*(VLOOKUP($B$5,标准坦克设计!$B$24:$U$30,MATCH("对"&amp;LEFT($C$5,2)&amp;"输出",标准坦克设计!$B$23:$U$23,0)))*(VLOOKUP($Q32,INDIRECT($B$5&amp;"生成成长"),3))*(VLOOKUP($B$5,标准坦克设计!$B$14:$K$20,9)/30))</f>
        <v>24.086362313549934</v>
      </c>
      <c r="AG32" s="173">
        <f ca="1">(VLOOKUP(AG$13,INDIRECT($C$5&amp;"生成成长"),2))/((VLOOKUP($Q32,INDIRECT($B$5&amp;"生成成长"),4))/(VLOOKUP(AG$13,INDIRECT($C$5&amp;"生成成长"),5))*(VLOOKUP($B$5,标准坦克设计!$B$24:$U$30,MATCH("对"&amp;LEFT($C$5,2)&amp;"输出",标准坦克设计!$B$23:$U$23,0)))*(VLOOKUP($Q32,INDIRECT($B$5&amp;"生成成长"),3))*(VLOOKUP($B$5,标准坦克设计!$B$14:$K$20,9)/30))</f>
        <v>90.106139563128579</v>
      </c>
      <c r="AH32" s="173">
        <f ca="1">(VLOOKUP(AH$13,INDIRECT($C$5&amp;"生成成长"),2))/((VLOOKUP($Q32,INDIRECT($B$5&amp;"生成成长"),4))/(VLOOKUP(AH$13,INDIRECT($C$5&amp;"生成成长"),5))*(VLOOKUP($B$5,标准坦克设计!$B$24:$U$30,MATCH("对"&amp;LEFT($C$5,2)&amp;"输出",标准坦克设计!$B$23:$U$23,0)))*(VLOOKUP($Q32,INDIRECT($B$5&amp;"生成成长"),3))*(VLOOKUP($B$5,标准坦克设计!$B$14:$K$20,9)/30))</f>
        <v>9.055891373657845</v>
      </c>
      <c r="AI32" s="173">
        <f ca="1">(VLOOKUP(AI$13,INDIRECT($C$5&amp;"生成成长"),2))/((VLOOKUP($Q32,INDIRECT($B$5&amp;"生成成长"),4))/(VLOOKUP(AI$13,INDIRECT($C$5&amp;"生成成长"),5))*(VLOOKUP($B$5,标准坦克设计!$B$24:$U$30,MATCH("对"&amp;LEFT($C$5,2)&amp;"输出",标准坦克设计!$B$23:$U$23,0)))*(VLOOKUP($Q32,INDIRECT($B$5&amp;"生成成长"),3))*(VLOOKUP($B$5,标准坦克设计!$B$14:$K$20,9)/30))</f>
        <v>33.132056070688641</v>
      </c>
      <c r="AJ32" s="173">
        <f ca="1">(VLOOKUP(AJ$13,INDIRECT($C$5&amp;"生成成长"),2))/((VLOOKUP($Q32,INDIRECT($B$5&amp;"生成成长"),4))/(VLOOKUP(AJ$13,INDIRECT($C$5&amp;"生成成长"),5))*(VLOOKUP($B$5,标准坦克设计!$B$24:$U$30,MATCH("对"&amp;LEFT($C$5,2)&amp;"输出",标准坦克设计!$B$23:$U$23,0)))*(VLOOKUP($Q32,INDIRECT($B$5&amp;"生成成长"),3))*(VLOOKUP($B$5,标准坦克设计!$B$14:$K$20,9)/30))</f>
        <v>14.8807699293911</v>
      </c>
      <c r="AK32" s="173">
        <f ca="1">(VLOOKUP(AK$13,INDIRECT($C$5&amp;"生成成长"),2))/((VLOOKUP($Q32,INDIRECT($B$5&amp;"生成成长"),4))/(VLOOKUP(AK$13,INDIRECT($C$5&amp;"生成成长"),5))*(VLOOKUP($B$5,标准坦克设计!$B$24:$U$30,MATCH("对"&amp;LEFT($C$5,2)&amp;"输出",标准坦克设计!$B$23:$U$23,0)))*(VLOOKUP($Q32,INDIRECT($B$5&amp;"生成成长"),3))*(VLOOKUP($B$5,标准坦克设计!$B$14:$K$20,9)/30))</f>
        <v>56.751367547661928</v>
      </c>
      <c r="AL32" s="173">
        <f ca="1">(VLOOKUP(AL$13,INDIRECT($C$5&amp;"生成成长"),2))/((VLOOKUP($Q32,INDIRECT($B$5&amp;"生成成长"),4))/(VLOOKUP(AL$13,INDIRECT($C$5&amp;"生成成长"),5))*(VLOOKUP($B$5,标准坦克设计!$B$24:$U$30,MATCH("对"&amp;LEFT($C$5,2)&amp;"输出",标准坦克设计!$B$23:$U$23,0)))*(VLOOKUP($Q32,INDIRECT($B$5&amp;"生成成长"),3))*(VLOOKUP($B$5,标准坦克设计!$B$14:$K$20,9)/30))</f>
        <v>25.087768255729564</v>
      </c>
      <c r="AM32" s="173">
        <f ca="1">(VLOOKUP(AM$13,INDIRECT($C$5&amp;"生成成长"),2))/((VLOOKUP($Q32,INDIRECT($B$5&amp;"生成成长"),4))/(VLOOKUP(AM$13,INDIRECT($C$5&amp;"生成成长"),5))*(VLOOKUP($B$5,标准坦克设计!$B$24:$U$30,MATCH("对"&amp;LEFT($C$5,2)&amp;"输出",标准坦克设计!$B$23:$U$23,0)))*(VLOOKUP($Q32,INDIRECT($B$5&amp;"生成成长"),3))*(VLOOKUP($B$5,标准坦克设计!$B$14:$K$20,9)/30))</f>
        <v>94.76604240771519</v>
      </c>
    </row>
    <row r="33" spans="1:39" x14ac:dyDescent="0.15">
      <c r="A33" s="171" t="str">
        <f t="shared" si="3"/>
        <v>T4低品质</v>
      </c>
      <c r="B33" s="172">
        <v>10411</v>
      </c>
      <c r="C33" s="173">
        <f ca="1">(VLOOKUP(C$29,INDIRECT($C$5&amp;"生成成长"),2))/((VLOOKUP($B33,INDIRECT($B$5&amp;"生成成长"),4))/(VLOOKUP(C$29,INDIRECT($C$5&amp;"生成成长"),5))*(VLOOKUP($B$5,标准坦克设计!$B$24:$U$30,MATCH("对"&amp;LEFT($C$5,2)&amp;"输出",标准坦克设计!$B$23:$U$23,0)))*(VLOOKUP($B33,INDIRECT($B$5&amp;"生成成长"),3))*(VLOOKUP($B$5,标准坦克设计!$B$14:$K$20,9)/30))</f>
        <v>1.7387630122202886</v>
      </c>
      <c r="D33" s="173">
        <f ca="1">(VLOOKUP(D$29,INDIRECT($C$5&amp;"生成成长"),2))/((VLOOKUP($B33,INDIRECT($B$5&amp;"生成成长"),4))/(VLOOKUP(D$29,INDIRECT($C$5&amp;"生成成长"),5))*(VLOOKUP($B$5,标准坦克设计!$B$24:$U$30,MATCH("对"&amp;LEFT($C$5,2)&amp;"输出",标准坦克设计!$B$23:$U$23,0)))*(VLOOKUP($B33,INDIRECT($B$5&amp;"生成成长"),3))*(VLOOKUP($B$5,标准坦克设计!$B$14:$K$20,9)/30))</f>
        <v>3.0414782763187365</v>
      </c>
      <c r="E33" s="173">
        <f ca="1">(VLOOKUP(E$29,INDIRECT($C$5&amp;"生成成长"),2))/((VLOOKUP($B33,INDIRECT($B$5&amp;"生成成长"),4))/(VLOOKUP(E$29,INDIRECT($C$5&amp;"生成成长"),5))*(VLOOKUP($B$5,标准坦克设计!$B$24:$U$30,MATCH("对"&amp;LEFT($C$5,2)&amp;"输出",标准坦克设计!$B$23:$U$23,0)))*(VLOOKUP($B33,INDIRECT($B$5&amp;"生成成长"),3))*(VLOOKUP($B$5,标准坦克设计!$B$14:$K$20,9)/30))</f>
        <v>5.2272580801172515</v>
      </c>
      <c r="F33" s="173">
        <f ca="1">(VLOOKUP(F$29,INDIRECT($C$5&amp;"生成成长"),2))/((VLOOKUP($B33,INDIRECT($B$5&amp;"生成成长"),4))/(VLOOKUP(F$29,INDIRECT($C$5&amp;"生成成长"),5))*(VLOOKUP($B$5,标准坦克设计!$B$24:$U$30,MATCH("对"&amp;LEFT($C$5,2)&amp;"输出",标准坦克设计!$B$23:$U$23,0)))*(VLOOKUP($B33,INDIRECT($B$5&amp;"生成成长"),3))*(VLOOKUP($B$5,标准坦克设计!$B$14:$K$20,9)/30))</f>
        <v>9.0566981585399802</v>
      </c>
      <c r="G33" s="173">
        <f ca="1">(VLOOKUP(G$29,INDIRECT($C$5&amp;"生成成长"),2))/((VLOOKUP($B33,INDIRECT($B$5&amp;"生成成长"),4))/(VLOOKUP(G$29,INDIRECT($C$5&amp;"生成成长"),5))*(VLOOKUP($B$5,标准坦克设计!$B$24:$U$30,MATCH("对"&amp;LEFT($C$5,2)&amp;"输出",标准坦克设计!$B$23:$U$23,0)))*(VLOOKUP($B33,INDIRECT($B$5&amp;"生成成长"),3))*(VLOOKUP($B$5,标准坦克设计!$B$14:$K$20,9)/30))</f>
        <v>4.9869568703768685</v>
      </c>
      <c r="H33" s="173">
        <f ca="1">(VLOOKUP(H$29,INDIRECT($C$5&amp;"生成成长"),2))/((VLOOKUP($B33,INDIRECT($B$5&amp;"生成成长"),4))/(VLOOKUP(H$29,INDIRECT($C$5&amp;"生成成长"),5))*(VLOOKUP($B$5,标准坦克设计!$B$24:$U$30,MATCH("对"&amp;LEFT($C$5,2)&amp;"输出",标准坦克设计!$B$23:$U$23,0)))*(VLOOKUP($B33,INDIRECT($B$5&amp;"生成成长"),3))*(VLOOKUP($B$5,标准坦克设计!$B$14:$K$20,9)/30))</f>
        <v>8.676739539844597</v>
      </c>
      <c r="I33" s="173">
        <f ca="1">(VLOOKUP(I$29,INDIRECT($C$5&amp;"生成成长"),2))/((VLOOKUP($B33,INDIRECT($B$5&amp;"生成成长"),4))/(VLOOKUP(I$29,INDIRECT($C$5&amp;"生成成长"),5))*(VLOOKUP($B$5,标准坦克设计!$B$24:$U$30,MATCH("对"&amp;LEFT($C$5,2)&amp;"输出",标准坦克设计!$B$23:$U$23,0)))*(VLOOKUP($B33,INDIRECT($B$5&amp;"生成成长"),3))*(VLOOKUP($B$5,标准坦克设计!$B$14:$K$20,9)/30))</f>
        <v>14.900823579426069</v>
      </c>
      <c r="J33" s="173">
        <f ca="1">(VLOOKUP(J$29,INDIRECT($C$5&amp;"生成成长"),2))/((VLOOKUP($B33,INDIRECT($B$5&amp;"生成成长"),4))/(VLOOKUP(J$29,INDIRECT($C$5&amp;"生成成长"),5))*(VLOOKUP($B$5,标准坦克设计!$B$24:$U$30,MATCH("对"&amp;LEFT($C$5,2)&amp;"输出",标准坦克设计!$B$23:$U$23,0)))*(VLOOKUP($B33,INDIRECT($B$5&amp;"生成成长"),3))*(VLOOKUP($B$5,标准坦克设计!$B$14:$K$20,9)/30))</f>
        <v>24.980017520776645</v>
      </c>
      <c r="K33" s="173">
        <f ca="1">(VLOOKUP(K$29,INDIRECT($C$5&amp;"生成成长"),2))/((VLOOKUP($B33,INDIRECT($B$5&amp;"生成成长"),4))/(VLOOKUP(K$29,INDIRECT($C$5&amp;"生成成长"),5))*(VLOOKUP($B$5,标准坦克设计!$B$24:$U$30,MATCH("对"&amp;LEFT($C$5,2)&amp;"输出",标准坦克设计!$B$23:$U$23,0)))*(VLOOKUP($B33,INDIRECT($B$5&amp;"生成成长"),3))*(VLOOKUP($B$5,标准坦克设计!$B$14:$K$20,9)/30))</f>
        <v>9.1851603581941319</v>
      </c>
      <c r="L33" s="173">
        <f ca="1">(VLOOKUP(L$29,INDIRECT($C$5&amp;"生成成长"),2))/((VLOOKUP($B33,INDIRECT($B$5&amp;"生成成长"),4))/(VLOOKUP(L$29,INDIRECT($C$5&amp;"生成成长"),5))*(VLOOKUP($B$5,标准坦克设计!$B$24:$U$30,MATCH("对"&amp;LEFT($C$5,2)&amp;"输出",标准坦克设计!$B$23:$U$23,0)))*(VLOOKUP($B33,INDIRECT($B$5&amp;"生成成长"),3))*(VLOOKUP($B$5,标准坦克设计!$B$14:$K$20,9)/30))</f>
        <v>15.733113887044526</v>
      </c>
      <c r="M33" s="173">
        <f ca="1">(VLOOKUP(M$29,INDIRECT($C$5&amp;"生成成长"),2))/((VLOOKUP($B33,INDIRECT($B$5&amp;"生成成长"),4))/(VLOOKUP(M$29,INDIRECT($C$5&amp;"生成成长"),5))*(VLOOKUP($B$5,标准坦克设计!$B$24:$U$30,MATCH("对"&amp;LEFT($C$5,2)&amp;"输出",标准坦克设计!$B$23:$U$23,0)))*(VLOOKUP($B33,INDIRECT($B$5&amp;"生成成长"),3))*(VLOOKUP($B$5,标准坦克设计!$B$14:$K$20,9)/30))</f>
        <v>26.271876824340946</v>
      </c>
      <c r="P33" s="175" t="str">
        <f>"T"&amp;LEFT(RIGHT(Q33,3),1)&amp;""&amp;IF(LEFT(Q33,1)="1","低",IF(LEFT(Q33,1)="2","中","高"))&amp;"满"</f>
        <v>T3高满</v>
      </c>
      <c r="Q33" s="179">
        <v>30315</v>
      </c>
      <c r="R33" s="173">
        <f ca="1">(VLOOKUP(R$13,INDIRECT($C$5&amp;"生成成长"),2))/((VLOOKUP($Q33,INDIRECT($B$5&amp;"生成成长"),4))/(VLOOKUP(R$13,INDIRECT($C$5&amp;"生成成长"),5))*(VLOOKUP($B$5,标准坦克设计!$B$24:$U$30,MATCH("对"&amp;LEFT($C$5,2)&amp;"输出",标准坦克设计!$B$23:$U$23,0)))*(VLOOKUP($Q33,INDIRECT($B$5&amp;"生成成长"),3))*(VLOOKUP($B$5,标准坦克设计!$B$14:$K$20,9)/30))</f>
        <v>1.1179469108950399</v>
      </c>
      <c r="S33" s="173">
        <f ca="1">(VLOOKUP(S$13,INDIRECT($C$5&amp;"生成成长"),2))/((VLOOKUP($Q33,INDIRECT($B$5&amp;"生成成长"),4))/(VLOOKUP(S$13,INDIRECT($C$5&amp;"生成成长"),5))*(VLOOKUP($B$5,标准坦克设计!$B$24:$U$30,MATCH("对"&amp;LEFT($C$5,2)&amp;"输出",标准坦克设计!$B$23:$U$23,0)))*(VLOOKUP($Q33,INDIRECT($B$5&amp;"生成成长"),3))*(VLOOKUP($B$5,标准坦克设计!$B$14:$K$20,9)/30))</f>
        <v>1.7189551701922134</v>
      </c>
      <c r="T33" s="173">
        <f ca="1">(VLOOKUP(T$13,INDIRECT($C$5&amp;"生成成长"),2))/((VLOOKUP($Q33,INDIRECT($B$5&amp;"生成成长"),4))/(VLOOKUP(T$13,INDIRECT($C$5&amp;"生成成长"),5))*(VLOOKUP($B$5,标准坦克设计!$B$24:$U$30,MATCH("对"&amp;LEFT($C$5,2)&amp;"输出",标准坦克设计!$B$23:$U$23,0)))*(VLOOKUP($Q33,INDIRECT($B$5&amp;"生成成长"),3))*(VLOOKUP($B$5,标准坦克设计!$B$14:$K$20,9)/30))</f>
        <v>1.5043093633003657</v>
      </c>
      <c r="U33" s="173">
        <f ca="1">(VLOOKUP(U$13,INDIRECT($C$5&amp;"生成成长"),2))/((VLOOKUP($Q33,INDIRECT($B$5&amp;"生成成长"),4))/(VLOOKUP(U$13,INDIRECT($C$5&amp;"生成成长"),5))*(VLOOKUP($B$5,标准坦克设计!$B$24:$U$30,MATCH("对"&amp;LEFT($C$5,2)&amp;"输出",标准坦克设计!$B$23:$U$23,0)))*(VLOOKUP($Q33,INDIRECT($B$5&amp;"生成成长"),3))*(VLOOKUP($B$5,标准坦克设计!$B$14:$K$20,9)/30))</f>
        <v>3.0068300115432991</v>
      </c>
      <c r="V33" s="173">
        <f ca="1">(VLOOKUP(V$13,INDIRECT($C$5&amp;"生成成长"),2))/((VLOOKUP($Q33,INDIRECT($B$5&amp;"生成成长"),4))/(VLOOKUP(V$13,INDIRECT($C$5&amp;"生成成长"),5))*(VLOOKUP($B$5,标准坦克设计!$B$24:$U$30,MATCH("对"&amp;LEFT($C$5,2)&amp;"输出",标准坦克设计!$B$23:$U$23,0)))*(VLOOKUP($Q33,INDIRECT($B$5&amp;"生成成长"),3))*(VLOOKUP($B$5,标准坦克设计!$B$14:$K$20,9)/30))</f>
        <v>2.2860896380892672</v>
      </c>
      <c r="W33" s="173">
        <f ca="1">(VLOOKUP(W$13,INDIRECT($C$5&amp;"生成成长"),2))/((VLOOKUP($Q33,INDIRECT($B$5&amp;"生成成长"),4))/(VLOOKUP(W$13,INDIRECT($C$5&amp;"生成成长"),5))*(VLOOKUP($B$5,标准坦克设计!$B$24:$U$30,MATCH("对"&amp;LEFT($C$5,2)&amp;"输出",标准坦克设计!$B$23:$U$23,0)))*(VLOOKUP($Q33,INDIRECT($B$5&amp;"生成成长"),3))*(VLOOKUP($B$5,标准坦克设计!$B$14:$K$20,9)/30))</f>
        <v>5.1677095956123207</v>
      </c>
      <c r="X33" s="173">
        <f ca="1">(VLOOKUP(X$13,INDIRECT($C$5&amp;"生成成长"),2))/((VLOOKUP($Q33,INDIRECT($B$5&amp;"生成成长"),4))/(VLOOKUP(X$13,INDIRECT($C$5&amp;"生成成长"),5))*(VLOOKUP($B$5,标准坦克设计!$B$24:$U$30,MATCH("对"&amp;LEFT($C$5,2)&amp;"输出",标准坦克设计!$B$23:$U$23,0)))*(VLOOKUP($Q33,INDIRECT($B$5&amp;"生成成长"),3))*(VLOOKUP($B$5,标准坦克设计!$B$14:$K$20,9)/30))</f>
        <v>3.7438924098963988</v>
      </c>
      <c r="Y33" s="173">
        <f ca="1">(VLOOKUP(Y$13,INDIRECT($C$5&amp;"生成成长"),2))/((VLOOKUP($Q33,INDIRECT($B$5&amp;"生成成长"),4))/(VLOOKUP(Y$13,INDIRECT($C$5&amp;"生成成长"),5))*(VLOOKUP($B$5,标准坦克设计!$B$24:$U$30,MATCH("对"&amp;LEFT($C$5,2)&amp;"输出",标准坦克设计!$B$23:$U$23,0)))*(VLOOKUP($Q33,INDIRECT($B$5&amp;"生成成长"),3))*(VLOOKUP($B$5,标准坦克设计!$B$14:$K$20,9)/30))</f>
        <v>8.9535250146672851</v>
      </c>
      <c r="Z33" s="173">
        <f ca="1">(VLOOKUP(Z$13,INDIRECT($C$5&amp;"生成成长"),2))/((VLOOKUP($Q33,INDIRECT($B$5&amp;"生成成长"),4))/(VLOOKUP(Z$13,INDIRECT($C$5&amp;"生成成长"),5))*(VLOOKUP($B$5,标准坦克设计!$B$24:$U$30,MATCH("对"&amp;LEFT($C$5,2)&amp;"输出",标准坦克设计!$B$23:$U$23,0)))*(VLOOKUP($Q33,INDIRECT($B$5&amp;"生成成长"),3))*(VLOOKUP($B$5,标准坦克设计!$B$14:$K$20,9)/30))</f>
        <v>1.5566292787302538</v>
      </c>
      <c r="AA33" s="173">
        <f ca="1">(VLOOKUP(AA$13,INDIRECT($C$5&amp;"生成成长"),2))/((VLOOKUP($Q33,INDIRECT($B$5&amp;"生成成长"),4))/(VLOOKUP(AA$13,INDIRECT($C$5&amp;"生成成长"),5))*(VLOOKUP($B$5,标准坦克设计!$B$24:$U$30,MATCH("对"&amp;LEFT($C$5,2)&amp;"输出",标准坦克设计!$B$23:$U$23,0)))*(VLOOKUP($Q33,INDIRECT($B$5&amp;"生成成长"),3))*(VLOOKUP($B$5,标准坦克设计!$B$14:$K$20,9)/30))</f>
        <v>4.9301458770471251</v>
      </c>
      <c r="AB33" s="173">
        <f ca="1">(VLOOKUP(AB$13,INDIRECT($C$5&amp;"生成成长"),2))/((VLOOKUP($Q33,INDIRECT($B$5&amp;"生成成长"),4))/(VLOOKUP(AB$13,INDIRECT($C$5&amp;"生成成长"),5))*(VLOOKUP($B$5,标准坦克设计!$B$24:$U$30,MATCH("对"&amp;LEFT($C$5,2)&amp;"输出",标准坦克设计!$B$23:$U$23,0)))*(VLOOKUP($Q33,INDIRECT($B$5&amp;"生成成长"),3))*(VLOOKUP($B$5,标准坦克设计!$B$14:$K$20,9)/30))</f>
        <v>2.3830156352638672</v>
      </c>
      <c r="AC33" s="173">
        <f ca="1">(VLOOKUP(AC$13,INDIRECT($C$5&amp;"生成成长"),2))/((VLOOKUP($Q33,INDIRECT($B$5&amp;"生成成长"),4))/(VLOOKUP(AC$13,INDIRECT($C$5&amp;"生成成长"),5))*(VLOOKUP($B$5,标准坦克设计!$B$24:$U$30,MATCH("对"&amp;LEFT($C$5,2)&amp;"输出",标准坦克设计!$B$23:$U$23,0)))*(VLOOKUP($Q33,INDIRECT($B$5&amp;"生成成长"),3))*(VLOOKUP($B$5,标准坦克设计!$B$14:$K$20,9)/30))</f>
        <v>8.5778948526065513</v>
      </c>
      <c r="AD33" s="173">
        <f ca="1">(VLOOKUP(AD$13,INDIRECT($C$5&amp;"生成成长"),2))/((VLOOKUP($Q33,INDIRECT($B$5&amp;"生成成长"),4))/(VLOOKUP(AD$13,INDIRECT($C$5&amp;"生成成长"),5))*(VLOOKUP($B$5,标准坦克设计!$B$24:$U$30,MATCH("对"&amp;LEFT($C$5,2)&amp;"输出",标准坦克设计!$B$23:$U$23,0)))*(VLOOKUP($Q33,INDIRECT($B$5&amp;"生成成长"),3))*(VLOOKUP($B$5,标准坦克设计!$B$14:$K$20,9)/30))</f>
        <v>3.9093485527088641</v>
      </c>
      <c r="AE33" s="173">
        <f ca="1">(VLOOKUP(AE$13,INDIRECT($C$5&amp;"生成成长"),2))/((VLOOKUP($Q33,INDIRECT($B$5&amp;"生成成长"),4))/(VLOOKUP(AE$13,INDIRECT($C$5&amp;"生成成长"),5))*(VLOOKUP($B$5,标准坦克设计!$B$24:$U$30,MATCH("对"&amp;LEFT($C$5,2)&amp;"输出",标准坦克设计!$B$23:$U$23,0)))*(VLOOKUP($Q33,INDIRECT($B$5&amp;"生成成长"),3))*(VLOOKUP($B$5,标准坦克设计!$B$14:$K$20,9)/30))</f>
        <v>14.73107465017285</v>
      </c>
      <c r="AF33" s="173">
        <f ca="1">(VLOOKUP(AF$13,INDIRECT($C$5&amp;"生成成长"),2))/((VLOOKUP($Q33,INDIRECT($B$5&amp;"生成成长"),4))/(VLOOKUP(AF$13,INDIRECT($C$5&amp;"生成成长"),5))*(VLOOKUP($B$5,标准坦克设计!$B$24:$U$30,MATCH("对"&amp;LEFT($C$5,2)&amp;"输出",标准坦克设计!$B$23:$U$23,0)))*(VLOOKUP($Q33,INDIRECT($B$5&amp;"生成成长"),3))*(VLOOKUP($B$5,标准坦克设计!$B$14:$K$20,9)/30))</f>
        <v>6.6013647141441201</v>
      </c>
      <c r="AG33" s="173">
        <f ca="1">(VLOOKUP(AG$13,INDIRECT($C$5&amp;"生成成长"),2))/((VLOOKUP($Q33,INDIRECT($B$5&amp;"生成成长"),4))/(VLOOKUP(AG$13,INDIRECT($C$5&amp;"生成成长"),5))*(VLOOKUP($B$5,标准坦克设计!$B$24:$U$30,MATCH("对"&amp;LEFT($C$5,2)&amp;"输出",标准坦克设计!$B$23:$U$23,0)))*(VLOOKUP($Q33,INDIRECT($B$5&amp;"生成成长"),3))*(VLOOKUP($B$5,标准坦克设计!$B$14:$K$20,9)/30))</f>
        <v>24.695447261671429</v>
      </c>
      <c r="AH33" s="173">
        <f ca="1">(VLOOKUP(AH$13,INDIRECT($C$5&amp;"生成成长"),2))/((VLOOKUP($Q33,INDIRECT($B$5&amp;"生成成长"),4))/(VLOOKUP(AH$13,INDIRECT($C$5&amp;"生成成长"),5))*(VLOOKUP($B$5,标准坦克设计!$B$24:$U$30,MATCH("对"&amp;LEFT($C$5,2)&amp;"输出",标准坦克设计!$B$23:$U$23,0)))*(VLOOKUP($Q33,INDIRECT($B$5&amp;"生成成长"),3))*(VLOOKUP($B$5,标准坦克设计!$B$14:$K$20,9)/30))</f>
        <v>2.4819539368780785</v>
      </c>
      <c r="AI33" s="173">
        <f ca="1">(VLOOKUP(AI$13,INDIRECT($C$5&amp;"生成成长"),2))/((VLOOKUP($Q33,INDIRECT($B$5&amp;"生成成长"),4))/(VLOOKUP(AI$13,INDIRECT($C$5&amp;"生成成长"),5))*(VLOOKUP($B$5,标准坦克设计!$B$24:$U$30,MATCH("对"&amp;LEFT($C$5,2)&amp;"输出",标准坦克设计!$B$23:$U$23,0)))*(VLOOKUP($Q33,INDIRECT($B$5&amp;"生成成长"),3))*(VLOOKUP($B$5,标准坦克设计!$B$14:$K$20,9)/30))</f>
        <v>9.0805237837449599</v>
      </c>
      <c r="AJ33" s="173">
        <f ca="1">(VLOOKUP(AJ$13,INDIRECT($C$5&amp;"生成成长"),2))/((VLOOKUP($Q33,INDIRECT($B$5&amp;"生成成长"),4))/(VLOOKUP(AJ$13,INDIRECT($C$5&amp;"生成成长"),5))*(VLOOKUP($B$5,标准坦克设计!$B$24:$U$30,MATCH("对"&amp;LEFT($C$5,2)&amp;"输出",标准坦克设计!$B$23:$U$23,0)))*(VLOOKUP($Q33,INDIRECT($B$5&amp;"生成成长"),3))*(VLOOKUP($B$5,标准坦克设计!$B$14:$K$20,9)/30))</f>
        <v>4.0783821256361943</v>
      </c>
      <c r="AK33" s="173">
        <f ca="1">(VLOOKUP(AK$13,INDIRECT($C$5&amp;"生成成长"),2))/((VLOOKUP($Q33,INDIRECT($B$5&amp;"生成成长"),4))/(VLOOKUP(AK$13,INDIRECT($C$5&amp;"生成成长"),5))*(VLOOKUP($B$5,标准坦克设计!$B$24:$U$30,MATCH("对"&amp;LEFT($C$5,2)&amp;"输出",标准坦克设计!$B$23:$U$23,0)))*(VLOOKUP($Q33,INDIRECT($B$5&amp;"生成成长"),3))*(VLOOKUP($B$5,标准坦克设计!$B$14:$K$20,9)/30))</f>
        <v>15.5538835765916</v>
      </c>
      <c r="AL33" s="173">
        <f ca="1">(VLOOKUP(AL$13,INDIRECT($C$5&amp;"生成成长"),2))/((VLOOKUP($Q33,INDIRECT($B$5&amp;"生成成长"),4))/(VLOOKUP(AL$13,INDIRECT($C$5&amp;"生成成长"),5))*(VLOOKUP($B$5,标准坦克设计!$B$24:$U$30,MATCH("对"&amp;LEFT($C$5,2)&amp;"输出",标准坦克设计!$B$23:$U$23,0)))*(VLOOKUP($Q33,INDIRECT($B$5&amp;"生成成长"),3))*(VLOOKUP($B$5,标准坦克设计!$B$14:$K$20,9)/30))</f>
        <v>6.8758206807688538</v>
      </c>
      <c r="AM33" s="173">
        <f ca="1">(VLOOKUP(AM$13,INDIRECT($C$5&amp;"生成成长"),2))/((VLOOKUP($Q33,INDIRECT($B$5&amp;"生成成长"),4))/(VLOOKUP(AM$13,INDIRECT($C$5&amp;"生成成长"),5))*(VLOOKUP($B$5,标准坦克设计!$B$24:$U$30,MATCH("对"&amp;LEFT($C$5,2)&amp;"输出",标准坦克设计!$B$23:$U$23,0)))*(VLOOKUP($Q33,INDIRECT($B$5&amp;"生成成长"),3))*(VLOOKUP($B$5,标准坦克设计!$B$14:$K$20,9)/30))</f>
        <v>25.972589812677921</v>
      </c>
    </row>
    <row r="34" spans="1:39" x14ac:dyDescent="0.15">
      <c r="A34" s="171" t="str">
        <f t="shared" si="3"/>
        <v>T5低品质</v>
      </c>
      <c r="B34" s="172">
        <v>10513</v>
      </c>
      <c r="C34" s="173">
        <f ca="1">(VLOOKUP(C$29,INDIRECT($C$5&amp;"生成成长"),2))/((VLOOKUP($B34,INDIRECT($B$5&amp;"生成成长"),4))/(VLOOKUP(C$29,INDIRECT($C$5&amp;"生成成长"),5))*(VLOOKUP($B$5,标准坦克设计!$B$24:$U$30,MATCH("对"&amp;LEFT($C$5,2)&amp;"输出",标准坦克设计!$B$23:$U$23,0)))*(VLOOKUP($B34,INDIRECT($B$5&amp;"生成成长"),3))*(VLOOKUP($B$5,标准坦克设计!$B$14:$K$20,9)/30))</f>
        <v>1.0188529980355954</v>
      </c>
      <c r="D34" s="173">
        <f ca="1">(VLOOKUP(D$29,INDIRECT($C$5&amp;"生成成长"),2))/((VLOOKUP($B34,INDIRECT($B$5&amp;"生成成长"),4))/(VLOOKUP(D$29,INDIRECT($C$5&amp;"生成成长"),5))*(VLOOKUP($B$5,标准坦克设计!$B$24:$U$30,MATCH("对"&amp;LEFT($C$5,2)&amp;"输出",标准坦克设计!$B$23:$U$23,0)))*(VLOOKUP($B34,INDIRECT($B$5&amp;"生成成长"),3))*(VLOOKUP($B$5,标准坦克设计!$B$14:$K$20,9)/30))</f>
        <v>1.7821975959394754</v>
      </c>
      <c r="E34" s="173">
        <f ca="1">(VLOOKUP(E$29,INDIRECT($C$5&amp;"生成成长"),2))/((VLOOKUP($B34,INDIRECT($B$5&amp;"生成成长"),4))/(VLOOKUP(E$29,INDIRECT($C$5&amp;"生成成长"),5))*(VLOOKUP($B$5,标准坦克设计!$B$24:$U$30,MATCH("对"&amp;LEFT($C$5,2)&amp;"输出",标准坦克设计!$B$23:$U$23,0)))*(VLOOKUP($B34,INDIRECT($B$5&amp;"生成成长"),3))*(VLOOKUP($B$5,标准坦克设计!$B$14:$K$20,9)/30))</f>
        <v>3.0629864616412199</v>
      </c>
      <c r="F34" s="173">
        <f ca="1">(VLOOKUP(F$29,INDIRECT($C$5&amp;"生成成长"),2))/((VLOOKUP($B34,INDIRECT($B$5&amp;"生成成长"),4))/(VLOOKUP(F$29,INDIRECT($C$5&amp;"生成成长"),5))*(VLOOKUP($B$5,标准坦克设计!$B$24:$U$30,MATCH("对"&amp;LEFT($C$5,2)&amp;"输出",标准坦克设计!$B$23:$U$23,0)))*(VLOOKUP($B34,INDIRECT($B$5&amp;"生成成长"),3))*(VLOOKUP($B$5,标准坦克设计!$B$14:$K$20,9)/30))</f>
        <v>5.306901519229501</v>
      </c>
      <c r="G34" s="173">
        <f ca="1">(VLOOKUP(G$29,INDIRECT($C$5&amp;"生成成长"),2))/((VLOOKUP($B34,INDIRECT($B$5&amp;"生成成长"),4))/(VLOOKUP(G$29,INDIRECT($C$5&amp;"生成成长"),5))*(VLOOKUP($B$5,标准坦克设计!$B$24:$U$30,MATCH("对"&amp;LEFT($C$5,2)&amp;"输出",标准坦克设计!$B$23:$U$23,0)))*(VLOOKUP($B34,INDIRECT($B$5&amp;"生成成长"),3))*(VLOOKUP($B$5,标准坦克设计!$B$14:$K$20,9)/30))</f>
        <v>2.9221785388507908</v>
      </c>
      <c r="H34" s="173">
        <f ca="1">(VLOOKUP(H$29,INDIRECT($C$5&amp;"生成成长"),2))/((VLOOKUP($B34,INDIRECT($B$5&amp;"生成成长"),4))/(VLOOKUP(H$29,INDIRECT($C$5&amp;"生成成长"),5))*(VLOOKUP($B$5,标准坦克设计!$B$24:$U$30,MATCH("对"&amp;LEFT($C$5,2)&amp;"输出",标准坦克设计!$B$23:$U$23,0)))*(VLOOKUP($B34,INDIRECT($B$5&amp;"生成成长"),3))*(VLOOKUP($B$5,标准坦克设计!$B$14:$K$20,9)/30))</f>
        <v>5.0842593448408682</v>
      </c>
      <c r="I34" s="173">
        <f ca="1">(VLOOKUP(I$29,INDIRECT($C$5&amp;"生成成长"),2))/((VLOOKUP($B34,INDIRECT($B$5&amp;"生成成长"),4))/(VLOOKUP(I$29,INDIRECT($C$5&amp;"生成成长"),5))*(VLOOKUP($B$5,标准坦克设计!$B$24:$U$30,MATCH("对"&amp;LEFT($C$5,2)&amp;"输出",标准坦克设计!$B$23:$U$23,0)))*(VLOOKUP($B34,INDIRECT($B$5&amp;"生成成长"),3))*(VLOOKUP($B$5,标准坦克设计!$B$14:$K$20,9)/30))</f>
        <v>8.731350201492738</v>
      </c>
      <c r="J34" s="173">
        <f ca="1">(VLOOKUP(J$29,INDIRECT($C$5&amp;"生成成长"),2))/((VLOOKUP($B34,INDIRECT($B$5&amp;"生成成长"),4))/(VLOOKUP(J$29,INDIRECT($C$5&amp;"生成成长"),5))*(VLOOKUP($B$5,标准坦克设计!$B$24:$U$30,MATCH("对"&amp;LEFT($C$5,2)&amp;"输出",标准坦克设计!$B$23:$U$23,0)))*(VLOOKUP($B34,INDIRECT($B$5&amp;"生成成长"),3))*(VLOOKUP($B$5,标准坦克设计!$B$14:$K$20,9)/30))</f>
        <v>14.637397715014504</v>
      </c>
      <c r="K34" s="173">
        <f ca="1">(VLOOKUP(K$29,INDIRECT($C$5&amp;"生成成长"),2))/((VLOOKUP($B34,INDIRECT($B$5&amp;"生成成长"),4))/(VLOOKUP(K$29,INDIRECT($C$5&amp;"生成成长"),5))*(VLOOKUP($B$5,标准坦克设计!$B$24:$U$30,MATCH("对"&amp;LEFT($C$5,2)&amp;"输出",标准坦克设计!$B$23:$U$23,0)))*(VLOOKUP($B34,INDIRECT($B$5&amp;"生成成长"),3))*(VLOOKUP($B$5,标准坦克设计!$B$14:$K$20,9)/30))</f>
        <v>5.382175778189465</v>
      </c>
      <c r="L34" s="173">
        <f ca="1">(VLOOKUP(L$29,INDIRECT($C$5&amp;"生成成长"),2))/((VLOOKUP($B34,INDIRECT($B$5&amp;"生成成长"),4))/(VLOOKUP(L$29,INDIRECT($C$5&amp;"生成成长"),5))*(VLOOKUP($B$5,标准坦克设计!$B$24:$U$30,MATCH("对"&amp;LEFT($C$5,2)&amp;"输出",标准坦克设计!$B$23:$U$23,0)))*(VLOOKUP($B34,INDIRECT($B$5&amp;"生成成长"),3))*(VLOOKUP($B$5,标准坦克设计!$B$14:$K$20,9)/30))</f>
        <v>9.2190425834868854</v>
      </c>
      <c r="M34" s="173">
        <f ca="1">(VLOOKUP(M$29,INDIRECT($C$5&amp;"生成成长"),2))/((VLOOKUP($B34,INDIRECT($B$5&amp;"生成成长"),4))/(VLOOKUP(M$29,INDIRECT($C$5&amp;"生成成长"),5))*(VLOOKUP($B$5,标准坦克设计!$B$24:$U$30,MATCH("对"&amp;LEFT($C$5,2)&amp;"输出",标准坦克设计!$B$23:$U$23,0)))*(VLOOKUP($B34,INDIRECT($B$5&amp;"生成成长"),3))*(VLOOKUP($B$5,标准坦克设计!$B$14:$K$20,9)/30))</f>
        <v>15.39438110793585</v>
      </c>
      <c r="P34" s="171" t="str">
        <f>"T"&amp;LEFT(RIGHT(Q34,3),1)&amp;""&amp;IF(LEFT(Q34,1)="1","低",IF(LEFT(Q34,1)="2","中","高"))&amp;"初"</f>
        <v>T4高初</v>
      </c>
      <c r="Q34" s="172">
        <v>30401</v>
      </c>
      <c r="R34" s="173">
        <f ca="1">(VLOOKUP(R$13,INDIRECT($C$5&amp;"生成成长"),2))/((VLOOKUP($Q34,INDIRECT($B$5&amp;"生成成长"),4))/(VLOOKUP(R$13,INDIRECT($C$5&amp;"生成成长"),5))*(VLOOKUP($B$5,标准坦克设计!$B$24:$U$30,MATCH("对"&amp;LEFT($C$5,2)&amp;"输出",标准坦克设计!$B$23:$U$23,0)))*(VLOOKUP($Q34,INDIRECT($B$5&amp;"生成成长"),3))*(VLOOKUP($B$5,标准坦克设计!$B$14:$K$20,9)/30))</f>
        <v>2.4912364081136196</v>
      </c>
      <c r="S34" s="173">
        <f ca="1">(VLOOKUP(S$13,INDIRECT($C$5&amp;"生成成长"),2))/((VLOOKUP($Q34,INDIRECT($B$5&amp;"生成成长"),4))/(VLOOKUP(S$13,INDIRECT($C$5&amp;"生成成长"),5))*(VLOOKUP($B$5,标准坦克设计!$B$24:$U$30,MATCH("对"&amp;LEFT($C$5,2)&amp;"输出",标准坦克设计!$B$23:$U$23,0)))*(VLOOKUP($Q34,INDIRECT($B$5&amp;"生成成长"),3))*(VLOOKUP($B$5,标准坦克设计!$B$14:$K$20,9)/30))</f>
        <v>3.8305251011155015</v>
      </c>
      <c r="T34" s="173">
        <f ca="1">(VLOOKUP(T$13,INDIRECT($C$5&amp;"生成成长"),2))/((VLOOKUP($Q34,INDIRECT($B$5&amp;"生成成长"),4))/(VLOOKUP(T$13,INDIRECT($C$5&amp;"生成成长"),5))*(VLOOKUP($B$5,标准坦克设计!$B$24:$U$30,MATCH("对"&amp;LEFT($C$5,2)&amp;"输出",标准坦克设计!$B$23:$U$23,0)))*(VLOOKUP($Q34,INDIRECT($B$5&amp;"生成成长"),3))*(VLOOKUP($B$5,标准坦克设计!$B$14:$K$20,9)/30))</f>
        <v>3.3522077107576864</v>
      </c>
      <c r="U34" s="173">
        <f ca="1">(VLOOKUP(U$13,INDIRECT($C$5&amp;"生成成长"),2))/((VLOOKUP($Q34,INDIRECT($B$5&amp;"生成成长"),4))/(VLOOKUP(U$13,INDIRECT($C$5&amp;"生成成长"),5))*(VLOOKUP($B$5,标准坦克设计!$B$24:$U$30,MATCH("对"&amp;LEFT($C$5,2)&amp;"输出",标准坦克设计!$B$23:$U$23,0)))*(VLOOKUP($Q34,INDIRECT($B$5&amp;"生成成长"),3))*(VLOOKUP($B$5,标准坦克设计!$B$14:$K$20,9)/30))</f>
        <v>6.7004294432623919</v>
      </c>
      <c r="V34" s="173">
        <f ca="1">(VLOOKUP(V$13,INDIRECT($C$5&amp;"生成成长"),2))/((VLOOKUP($Q34,INDIRECT($B$5&amp;"生成成长"),4))/(VLOOKUP(V$13,INDIRECT($C$5&amp;"生成成长"),5))*(VLOOKUP($B$5,标准坦克设计!$B$24:$U$30,MATCH("对"&amp;LEFT($C$5,2)&amp;"输出",标准坦克设计!$B$23:$U$23,0)))*(VLOOKUP($Q34,INDIRECT($B$5&amp;"生成成长"),3))*(VLOOKUP($B$5,标准坦克设计!$B$14:$K$20,9)/30))</f>
        <v>5.0943293309515409</v>
      </c>
      <c r="W34" s="173">
        <f ca="1">(VLOOKUP(W$13,INDIRECT($C$5&amp;"生成成长"),2))/((VLOOKUP($Q34,INDIRECT($B$5&amp;"生成成长"),4))/(VLOOKUP(W$13,INDIRECT($C$5&amp;"生成成长"),5))*(VLOOKUP($B$5,标准坦克设计!$B$24:$U$30,MATCH("对"&amp;LEFT($C$5,2)&amp;"输出",标准坦克设计!$B$23:$U$23,0)))*(VLOOKUP($Q34,INDIRECT($B$5&amp;"生成成长"),3))*(VLOOKUP($B$5,标准坦克设计!$B$14:$K$20,9)/30))</f>
        <v>11.515740296505205</v>
      </c>
      <c r="X34" s="173">
        <f ca="1">(VLOOKUP(X$13,INDIRECT($C$5&amp;"生成成长"),2))/((VLOOKUP($Q34,INDIRECT($B$5&amp;"生成成长"),4))/(VLOOKUP(X$13,INDIRECT($C$5&amp;"生成成长"),5))*(VLOOKUP($B$5,标准坦克设计!$B$24:$U$30,MATCH("对"&amp;LEFT($C$5,2)&amp;"输出",标准坦克设计!$B$23:$U$23,0)))*(VLOOKUP($Q34,INDIRECT($B$5&amp;"生成成长"),3))*(VLOOKUP($B$5,标准坦克设计!$B$14:$K$20,9)/30))</f>
        <v>8.342901607131699</v>
      </c>
      <c r="Y34" s="173">
        <f ca="1">(VLOOKUP(Y$13,INDIRECT($C$5&amp;"生成成长"),2))/((VLOOKUP($Q34,INDIRECT($B$5&amp;"生成成长"),4))/(VLOOKUP(Y$13,INDIRECT($C$5&amp;"生成成长"),5))*(VLOOKUP($B$5,标准坦克设计!$B$24:$U$30,MATCH("对"&amp;LEFT($C$5,2)&amp;"输出",标准坦克设计!$B$23:$U$23,0)))*(VLOOKUP($Q34,INDIRECT($B$5&amp;"生成成长"),3))*(VLOOKUP($B$5,标准坦克设计!$B$14:$K$20,9)/30))</f>
        <v>19.952063268941167</v>
      </c>
      <c r="Z34" s="173">
        <f ca="1">(VLOOKUP(Z$13,INDIRECT($C$5&amp;"生成成长"),2))/((VLOOKUP($Q34,INDIRECT($B$5&amp;"生成成长"),4))/(VLOOKUP(Z$13,INDIRECT($C$5&amp;"生成成长"),5))*(VLOOKUP($B$5,标准坦克设计!$B$24:$U$30,MATCH("对"&amp;LEFT($C$5,2)&amp;"输出",标准坦克设计!$B$23:$U$23,0)))*(VLOOKUP($Q34,INDIRECT($B$5&amp;"生成成长"),3))*(VLOOKUP($B$5,标准坦克设计!$B$14:$K$20,9)/30))</f>
        <v>3.4687975746574042</v>
      </c>
      <c r="AA34" s="173">
        <f ca="1">(VLOOKUP(AA$13,INDIRECT($C$5&amp;"生成成长"),2))/((VLOOKUP($Q34,INDIRECT($B$5&amp;"生成成长"),4))/(VLOOKUP(AA$13,INDIRECT($C$5&amp;"生成成长"),5))*(VLOOKUP($B$5,标准坦克设计!$B$24:$U$30,MATCH("对"&amp;LEFT($C$5,2)&amp;"输出",标准坦克设计!$B$23:$U$23,0)))*(VLOOKUP($Q34,INDIRECT($B$5&amp;"生成成长"),3))*(VLOOKUP($B$5,标准坦克设计!$B$14:$K$20,9)/30))</f>
        <v>10.986352559781061</v>
      </c>
      <c r="AB34" s="173">
        <f ca="1">(VLOOKUP(AB$13,INDIRECT($C$5&amp;"生成成长"),2))/((VLOOKUP($Q34,INDIRECT($B$5&amp;"生成成长"),4))/(VLOOKUP(AB$13,INDIRECT($C$5&amp;"生成成长"),5))*(VLOOKUP($B$5,标准坦克设计!$B$24:$U$30,MATCH("对"&amp;LEFT($C$5,2)&amp;"输出",标准坦克设计!$B$23:$U$23,0)))*(VLOOKUP($Q34,INDIRECT($B$5&amp;"生成成长"),3))*(VLOOKUP($B$5,标准坦克设计!$B$14:$K$20,9)/30))</f>
        <v>5.3103195275349915</v>
      </c>
      <c r="AC34" s="173">
        <f ca="1">(VLOOKUP(AC$13,INDIRECT($C$5&amp;"生成成长"),2))/((VLOOKUP($Q34,INDIRECT($B$5&amp;"生成成长"),4))/(VLOOKUP(AC$13,INDIRECT($C$5&amp;"生成成长"),5))*(VLOOKUP($B$5,标准坦克设计!$B$24:$U$30,MATCH("对"&amp;LEFT($C$5,2)&amp;"输出",标准坦克设计!$B$23:$U$23,0)))*(VLOOKUP($Q34,INDIRECT($B$5&amp;"生成成长"),3))*(VLOOKUP($B$5,标准坦克设计!$B$14:$K$20,9)/30))</f>
        <v>19.115007835814989</v>
      </c>
      <c r="AD34" s="173">
        <f ca="1">(VLOOKUP(AD$13,INDIRECT($C$5&amp;"生成成长"),2))/((VLOOKUP($Q34,INDIRECT($B$5&amp;"生成成长"),4))/(VLOOKUP(AD$13,INDIRECT($C$5&amp;"生成成长"),5))*(VLOOKUP($B$5,标准坦克设计!$B$24:$U$30,MATCH("对"&amp;LEFT($C$5,2)&amp;"输出",标准坦克设计!$B$23:$U$23,0)))*(VLOOKUP($Q34,INDIRECT($B$5&amp;"生成成长"),3))*(VLOOKUP($B$5,标准坦克设计!$B$14:$K$20,9)/30))</f>
        <v>8.7116045955325152</v>
      </c>
      <c r="AE34" s="173">
        <f ca="1">(VLOOKUP(AE$13,INDIRECT($C$5&amp;"生成成长"),2))/((VLOOKUP($Q34,INDIRECT($B$5&amp;"生成成长"),4))/(VLOOKUP(AE$13,INDIRECT($C$5&amp;"生成成长"),5))*(VLOOKUP($B$5,标准坦克设计!$B$24:$U$30,MATCH("对"&amp;LEFT($C$5,2)&amp;"输出",标准坦克设计!$B$23:$U$23,0)))*(VLOOKUP($Q34,INDIRECT($B$5&amp;"生成成长"),3))*(VLOOKUP($B$5,标准坦克设计!$B$14:$K$20,9)/30))</f>
        <v>32.82677302607236</v>
      </c>
      <c r="AF34" s="173">
        <f ca="1">(VLOOKUP(AF$13,INDIRECT($C$5&amp;"生成成长"),2))/((VLOOKUP($Q34,INDIRECT($B$5&amp;"生成成长"),4))/(VLOOKUP(AF$13,INDIRECT($C$5&amp;"生成成长"),5))*(VLOOKUP($B$5,标准坦克设计!$B$24:$U$30,MATCH("对"&amp;LEFT($C$5,2)&amp;"输出",标准坦克设计!$B$23:$U$23,0)))*(VLOOKUP($Q34,INDIRECT($B$5&amp;"生成成长"),3))*(VLOOKUP($B$5,标准坦克设计!$B$14:$K$20,9)/30))</f>
        <v>14.710501866270112</v>
      </c>
      <c r="AG34" s="173">
        <f ca="1">(VLOOKUP(AG$13,INDIRECT($C$5&amp;"生成成长"),2))/((VLOOKUP($Q34,INDIRECT($B$5&amp;"生成成长"),4))/(VLOOKUP(AG$13,INDIRECT($C$5&amp;"生成成长"),5))*(VLOOKUP($B$5,标准坦克设计!$B$24:$U$30,MATCH("对"&amp;LEFT($C$5,2)&amp;"输出",标准坦克设计!$B$23:$U$23,0)))*(VLOOKUP($Q34,INDIRECT($B$5&amp;"生成成长"),3))*(VLOOKUP($B$5,标准坦克设计!$B$14:$K$20,9)/30))</f>
        <v>55.031412255229846</v>
      </c>
      <c r="AH34" s="173">
        <f ca="1">(VLOOKUP(AH$13,INDIRECT($C$5&amp;"生成成长"),2))/((VLOOKUP($Q34,INDIRECT($B$5&amp;"生成成长"),4))/(VLOOKUP(AH$13,INDIRECT($C$5&amp;"生成成长"),5))*(VLOOKUP($B$5,标准坦克设计!$B$24:$U$30,MATCH("对"&amp;LEFT($C$5,2)&amp;"输出",标准坦克设计!$B$23:$U$23,0)))*(VLOOKUP($Q34,INDIRECT($B$5&amp;"生成成长"),3))*(VLOOKUP($B$5,标准坦克设计!$B$14:$K$20,9)/30))</f>
        <v>5.530793949653046</v>
      </c>
      <c r="AI34" s="173">
        <f ca="1">(VLOOKUP(AI$13,INDIRECT($C$5&amp;"生成成长"),2))/((VLOOKUP($Q34,INDIRECT($B$5&amp;"生成成长"),4))/(VLOOKUP(AI$13,INDIRECT($C$5&amp;"生成成长"),5))*(VLOOKUP($B$5,标准坦克设计!$B$24:$U$30,MATCH("对"&amp;LEFT($C$5,2)&amp;"输出",标准坦克设计!$B$23:$U$23,0)))*(VLOOKUP($Q34,INDIRECT($B$5&amp;"生成成长"),3))*(VLOOKUP($B$5,标准坦克设计!$B$14:$K$20,9)/30))</f>
        <v>20.23506772490288</v>
      </c>
      <c r="AJ34" s="173">
        <f ca="1">(VLOOKUP(AJ$13,INDIRECT($C$5&amp;"生成成长"),2))/((VLOOKUP($Q34,INDIRECT($B$5&amp;"生成成长"),4))/(VLOOKUP(AJ$13,INDIRECT($C$5&amp;"生成成长"),5))*(VLOOKUP($B$5,标准坦克设计!$B$24:$U$30,MATCH("对"&amp;LEFT($C$5,2)&amp;"输出",标准坦克设计!$B$23:$U$23,0)))*(VLOOKUP($Q34,INDIRECT($B$5&amp;"生成成长"),3))*(VLOOKUP($B$5,标准坦克设计!$B$14:$K$20,9)/30))</f>
        <v>9.0882795404392951</v>
      </c>
      <c r="AK34" s="173">
        <f ca="1">(VLOOKUP(AK$13,INDIRECT($C$5&amp;"生成成长"),2))/((VLOOKUP($Q34,INDIRECT($B$5&amp;"生成成长"),4))/(VLOOKUP(AK$13,INDIRECT($C$5&amp;"生成成长"),5))*(VLOOKUP($B$5,标准坦克设计!$B$24:$U$30,MATCH("对"&amp;LEFT($C$5,2)&amp;"输出",标准坦克设计!$B$23:$U$23,0)))*(VLOOKUP($Q34,INDIRECT($B$5&amp;"生成成长"),3))*(VLOOKUP($B$5,标准坦克设计!$B$14:$K$20,9)/30))</f>
        <v>34.660323022443968</v>
      </c>
      <c r="AL34" s="173">
        <f ca="1">(VLOOKUP(AL$13,INDIRECT($C$5&amp;"生成成长"),2))/((VLOOKUP($Q34,INDIRECT($B$5&amp;"生成成长"),4))/(VLOOKUP(AL$13,INDIRECT($C$5&amp;"生成成长"),5))*(VLOOKUP($B$5,标准坦克设计!$B$24:$U$30,MATCH("对"&amp;LEFT($C$5,2)&amp;"输出",标准坦克设计!$B$23:$U$23,0)))*(VLOOKUP($Q34,INDIRECT($B$5&amp;"生成成长"),3))*(VLOOKUP($B$5,标准坦克设计!$B$14:$K$20,9)/30))</f>
        <v>15.322100404462006</v>
      </c>
      <c r="AM34" s="173">
        <f ca="1">(VLOOKUP(AM$13,INDIRECT($C$5&amp;"生成成长"),2))/((VLOOKUP($Q34,INDIRECT($B$5&amp;"生成成长"),4))/(VLOOKUP(AM$13,INDIRECT($C$5&amp;"生成成长"),5))*(VLOOKUP($B$5,标准坦克设计!$B$24:$U$30,MATCH("对"&amp;LEFT($C$5,2)&amp;"输出",标准坦克设计!$B$23:$U$23,0)))*(VLOOKUP($Q34,INDIRECT($B$5&amp;"生成成长"),3))*(VLOOKUP($B$5,标准坦克设计!$B$14:$K$20,9)/30))</f>
        <v>57.877400727858856</v>
      </c>
    </row>
    <row r="35" spans="1:39" x14ac:dyDescent="0.15">
      <c r="A35" s="171" t="str">
        <f t="shared" si="3"/>
        <v>T2中品质</v>
      </c>
      <c r="B35" s="172">
        <v>20212</v>
      </c>
      <c r="C35" s="173">
        <f ca="1">(VLOOKUP(C$29,INDIRECT($C$5&amp;"生成成长"),2))/((VLOOKUP($B35,INDIRECT($B$5&amp;"生成成长"),4))/(VLOOKUP(C$29,INDIRECT($C$5&amp;"生成成长"),5))*(VLOOKUP($B$5,标准坦克设计!$B$24:$U$30,MATCH("对"&amp;LEFT($C$5,2)&amp;"输出",标准坦克设计!$B$23:$U$23,0)))*(VLOOKUP($B35,INDIRECT($B$5&amp;"生成成长"),3))*(VLOOKUP($B$5,标准坦克设计!$B$14:$K$20,9)/30))</f>
        <v>3.1710238019841812</v>
      </c>
      <c r="D35" s="173">
        <f ca="1">(VLOOKUP(D$29,INDIRECT($C$5&amp;"生成成长"),2))/((VLOOKUP($B35,INDIRECT($B$5&amp;"生成成长"),4))/(VLOOKUP(D$29,INDIRECT($C$5&amp;"生成成长"),5))*(VLOOKUP($B$5,标准坦克设计!$B$24:$U$30,MATCH("对"&amp;LEFT($C$5,2)&amp;"输出",标准坦克设计!$B$23:$U$23,0)))*(VLOOKUP($B35,INDIRECT($B$5&amp;"生成成长"),3))*(VLOOKUP($B$5,标准坦克设计!$B$14:$K$20,9)/30))</f>
        <v>5.5468168690274799</v>
      </c>
      <c r="E35" s="173">
        <f ca="1">(VLOOKUP(E$29,INDIRECT($C$5&amp;"生成成长"),2))/((VLOOKUP($B35,INDIRECT($B$5&amp;"生成成长"),4))/(VLOOKUP(E$29,INDIRECT($C$5&amp;"生成成长"),5))*(VLOOKUP($B$5,标准坦克设计!$B$24:$U$30,MATCH("对"&amp;LEFT($C$5,2)&amp;"输出",标准坦克设计!$B$23:$U$23,0)))*(VLOOKUP($B35,INDIRECT($B$5&amp;"生成成长"),3))*(VLOOKUP($B$5,标准坦克设计!$B$14:$K$20,9)/30))</f>
        <v>9.5330759135483092</v>
      </c>
      <c r="F35" s="173">
        <f ca="1">(VLOOKUP(F$29,INDIRECT($C$5&amp;"生成成长"),2))/((VLOOKUP($B35,INDIRECT($B$5&amp;"生成成长"),4))/(VLOOKUP(F$29,INDIRECT($C$5&amp;"生成成长"),5))*(VLOOKUP($B$5,标准坦克设计!$B$24:$U$30,MATCH("对"&amp;LEFT($C$5,2)&amp;"输出",标准坦克设计!$B$23:$U$23,0)))*(VLOOKUP($B35,INDIRECT($B$5&amp;"生成成长"),3))*(VLOOKUP($B$5,标准坦克设计!$B$14:$K$20,9)/30))</f>
        <v>16.516917616877674</v>
      </c>
      <c r="G35" s="173">
        <f ca="1">(VLOOKUP(G$29,INDIRECT($C$5&amp;"生成成长"),2))/((VLOOKUP($B35,INDIRECT($B$5&amp;"生成成长"),4))/(VLOOKUP(G$29,INDIRECT($C$5&amp;"生成成长"),5))*(VLOOKUP($B$5,标准坦克设计!$B$24:$U$30,MATCH("对"&amp;LEFT($C$5,2)&amp;"输出",标准坦克设计!$B$23:$U$23,0)))*(VLOOKUP($B35,INDIRECT($B$5&amp;"生成成长"),3))*(VLOOKUP($B$5,标准坦克设计!$B$14:$K$20,9)/30))</f>
        <v>9.0948328347751293</v>
      </c>
      <c r="H35" s="173">
        <f ca="1">(VLOOKUP(H$29,INDIRECT($C$5&amp;"生成成长"),2))/((VLOOKUP($B35,INDIRECT($B$5&amp;"生成成长"),4))/(VLOOKUP(H$29,INDIRECT($C$5&amp;"生成成长"),5))*(VLOOKUP($B$5,标准坦克设计!$B$24:$U$30,MATCH("对"&amp;LEFT($C$5,2)&amp;"输出",标准坦克设计!$B$23:$U$23,0)))*(VLOOKUP($B35,INDIRECT($B$5&amp;"生成成长"),3))*(VLOOKUP($B$5,标准坦克设计!$B$14:$K$20,9)/30))</f>
        <v>15.823977972323377</v>
      </c>
      <c r="I35" s="173">
        <f ca="1">(VLOOKUP(I$29,INDIRECT($C$5&amp;"生成成长"),2))/((VLOOKUP($B35,INDIRECT($B$5&amp;"生成成长"),4))/(VLOOKUP(I$29,INDIRECT($C$5&amp;"生成成长"),5))*(VLOOKUP($B$5,标准坦克设计!$B$24:$U$30,MATCH("对"&amp;LEFT($C$5,2)&amp;"输出",标准坦克设计!$B$23:$U$23,0)))*(VLOOKUP($B35,INDIRECT($B$5&amp;"生成成长"),3))*(VLOOKUP($B$5,标准坦克设计!$B$14:$K$20,9)/30))</f>
        <v>27.174989292641364</v>
      </c>
      <c r="J35" s="173">
        <f ca="1">(VLOOKUP(J$29,INDIRECT($C$5&amp;"生成成长"),2))/((VLOOKUP($B35,INDIRECT($B$5&amp;"生成成长"),4))/(VLOOKUP(J$29,INDIRECT($C$5&amp;"生成成长"),5))*(VLOOKUP($B$5,标准坦克设计!$B$24:$U$30,MATCH("对"&amp;LEFT($C$5,2)&amp;"输出",标准坦克设计!$B$23:$U$23,0)))*(VLOOKUP($B35,INDIRECT($B$5&amp;"生成成长"),3))*(VLOOKUP($B$5,标准坦克设计!$B$14:$K$20,9)/30))</f>
        <v>45.556656988703537</v>
      </c>
      <c r="K35" s="173">
        <f ca="1">(VLOOKUP(K$29,INDIRECT($C$5&amp;"生成成长"),2))/((VLOOKUP($B35,INDIRECT($B$5&amp;"生成成长"),4))/(VLOOKUP(K$29,INDIRECT($C$5&amp;"生成成长"),5))*(VLOOKUP($B$5,标准坦克设计!$B$24:$U$30,MATCH("对"&amp;LEFT($C$5,2)&amp;"输出",标准坦克设计!$B$23:$U$23,0)))*(VLOOKUP($B35,INDIRECT($B$5&amp;"生成成长"),3))*(VLOOKUP($B$5,标准坦克设计!$B$14:$K$20,9)/30))</f>
        <v>16.751197210988884</v>
      </c>
      <c r="L35" s="173">
        <f ca="1">(VLOOKUP(L$29,INDIRECT($C$5&amp;"生成成长"),2))/((VLOOKUP($B35,INDIRECT($B$5&amp;"生成成长"),4))/(VLOOKUP(L$29,INDIRECT($C$5&amp;"生成成长"),5))*(VLOOKUP($B$5,标准坦克设计!$B$24:$U$30,MATCH("对"&amp;LEFT($C$5,2)&amp;"输出",标准坦克设计!$B$23:$U$23,0)))*(VLOOKUP($B35,INDIRECT($B$5&amp;"生成成长"),3))*(VLOOKUP($B$5,标准坦克设计!$B$14:$K$20,9)/30))</f>
        <v>28.692857085474575</v>
      </c>
      <c r="M35" s="173">
        <f ca="1">(VLOOKUP(M$29,INDIRECT($C$5&amp;"生成成长"),2))/((VLOOKUP($B35,INDIRECT($B$5&amp;"生成成长"),4))/(VLOOKUP(M$29,INDIRECT($C$5&amp;"生成成长"),5))*(VLOOKUP($B$5,标准坦克设计!$B$24:$U$30,MATCH("对"&amp;LEFT($C$5,2)&amp;"输出",标准坦克设计!$B$23:$U$23,0)))*(VLOOKUP($B35,INDIRECT($B$5&amp;"生成成长"),3))*(VLOOKUP($B$5,标准坦克设计!$B$14:$K$20,9)/30))</f>
        <v>47.912651780188142</v>
      </c>
      <c r="P35" s="171" t="str">
        <f>"T"&amp;LEFT(RIGHT(Q35,3),1)&amp;""&amp;IF(LEFT(Q35,1)="1","低",IF(LEFT(Q35,1)="2","中","高"))&amp;"满"</f>
        <v>T4高满</v>
      </c>
      <c r="Q35" s="172">
        <v>30418</v>
      </c>
      <c r="R35" s="173">
        <f ca="1">(VLOOKUP(R$13,INDIRECT($C$5&amp;"生成成长"),2))/((VLOOKUP($Q35,INDIRECT($B$5&amp;"生成成长"),4))/(VLOOKUP(R$13,INDIRECT($C$5&amp;"生成成长"),5))*(VLOOKUP($B$5,标准坦克设计!$B$24:$U$30,MATCH("对"&amp;LEFT($C$5,2)&amp;"输出",标准坦克设计!$B$23:$U$23,0)))*(VLOOKUP($Q35,INDIRECT($B$5&amp;"生成成长"),3))*(VLOOKUP($B$5,标准坦克设计!$B$14:$K$20,9)/30))</f>
        <v>0.65286985494222483</v>
      </c>
      <c r="S35" s="173">
        <f ca="1">(VLOOKUP(S$13,INDIRECT($C$5&amp;"生成成长"),2))/((VLOOKUP($Q35,INDIRECT($B$5&amp;"生成成长"),4))/(VLOOKUP(S$13,INDIRECT($C$5&amp;"生成成长"),5))*(VLOOKUP($B$5,标准坦克设计!$B$24:$U$30,MATCH("对"&amp;LEFT($C$5,2)&amp;"输出",标准坦克设计!$B$23:$U$23,0)))*(VLOOKUP($Q35,INDIRECT($B$5&amp;"生成成长"),3))*(VLOOKUP($B$5,标准坦克设计!$B$14:$K$20,9)/30))</f>
        <v>1.0038526889591646</v>
      </c>
      <c r="T35" s="173">
        <f ca="1">(VLOOKUP(T$13,INDIRECT($C$5&amp;"生成成长"),2))/((VLOOKUP($Q35,INDIRECT($B$5&amp;"生成成长"),4))/(VLOOKUP(T$13,INDIRECT($C$5&amp;"生成成长"),5))*(VLOOKUP($B$5,标准坦克设计!$B$24:$U$30,MATCH("对"&amp;LEFT($C$5,2)&amp;"输出",标准坦克设计!$B$23:$U$23,0)))*(VLOOKUP($Q35,INDIRECT($B$5&amp;"生成成长"),3))*(VLOOKUP($B$5,标准坦克设计!$B$14:$K$20,9)/30))</f>
        <v>0.87850167681025759</v>
      </c>
      <c r="U35" s="173">
        <f ca="1">(VLOOKUP(U$13,INDIRECT($C$5&amp;"生成成长"),2))/((VLOOKUP($Q35,INDIRECT($B$5&amp;"生成成长"),4))/(VLOOKUP(U$13,INDIRECT($C$5&amp;"生成成长"),5))*(VLOOKUP($B$5,标准坦克设计!$B$24:$U$30,MATCH("对"&amp;LEFT($C$5,2)&amp;"输出",标准坦克设计!$B$23:$U$23,0)))*(VLOOKUP($Q35,INDIRECT($B$5&amp;"生成成长"),3))*(VLOOKUP($B$5,标准坦克设计!$B$14:$K$20,9)/30))</f>
        <v>1.7559587618526076</v>
      </c>
      <c r="V35" s="173">
        <f ca="1">(VLOOKUP(V$13,INDIRECT($C$5&amp;"生成成长"),2))/((VLOOKUP($Q35,INDIRECT($B$5&amp;"生成成长"),4))/(VLOOKUP(V$13,INDIRECT($C$5&amp;"生成成长"),5))*(VLOOKUP($B$5,标准坦克设计!$B$24:$U$30,MATCH("对"&amp;LEFT($C$5,2)&amp;"输出",标准坦克设计!$B$23:$U$23,0)))*(VLOOKUP($Q35,INDIRECT($B$5&amp;"生成成长"),3))*(VLOOKUP($B$5,标准坦克设计!$B$14:$K$20,9)/30))</f>
        <v>1.3350535663713554</v>
      </c>
      <c r="W35" s="173">
        <f ca="1">(VLOOKUP(W$13,INDIRECT($C$5&amp;"生成成长"),2))/((VLOOKUP($Q35,INDIRECT($B$5&amp;"生成成长"),4))/(VLOOKUP(W$13,INDIRECT($C$5&amp;"生成成长"),5))*(VLOOKUP($B$5,标准坦克设计!$B$24:$U$30,MATCH("对"&amp;LEFT($C$5,2)&amp;"输出",标准坦克设计!$B$23:$U$23,0)))*(VLOOKUP($Q35,INDIRECT($B$5&amp;"生成成长"),3))*(VLOOKUP($B$5,标准坦克设计!$B$14:$K$20,9)/30))</f>
        <v>3.0178909044704341</v>
      </c>
      <c r="X35" s="173">
        <f ca="1">(VLOOKUP(X$13,INDIRECT($C$5&amp;"生成成长"),2))/((VLOOKUP($Q35,INDIRECT($B$5&amp;"生成成长"),4))/(VLOOKUP(X$13,INDIRECT($C$5&amp;"生成成长"),5))*(VLOOKUP($B$5,标准坦克设计!$B$24:$U$30,MATCH("对"&amp;LEFT($C$5,2)&amp;"输出",标准坦克设计!$B$23:$U$23,0)))*(VLOOKUP($Q35,INDIRECT($B$5&amp;"生成成长"),3))*(VLOOKUP($B$5,标准坦克设计!$B$14:$K$20,9)/30))</f>
        <v>2.1863958572160169</v>
      </c>
      <c r="Y35" s="173">
        <f ca="1">(VLOOKUP(Y$13,INDIRECT($C$5&amp;"生成成长"),2))/((VLOOKUP($Q35,INDIRECT($B$5&amp;"生成成长"),4))/(VLOOKUP(Y$13,INDIRECT($C$5&amp;"生成成长"),5))*(VLOOKUP($B$5,标准坦克设计!$B$24:$U$30,MATCH("对"&amp;LEFT($C$5,2)&amp;"输出",标准坦克设计!$B$23:$U$23,0)))*(VLOOKUP($Q35,INDIRECT($B$5&amp;"生成成长"),3))*(VLOOKUP($B$5,标准坦克设计!$B$14:$K$20,9)/30))</f>
        <v>5.2287693812467841</v>
      </c>
      <c r="Z35" s="173">
        <f ca="1">(VLOOKUP(Z$13,INDIRECT($C$5&amp;"生成成长"),2))/((VLOOKUP($Q35,INDIRECT($B$5&amp;"生成成长"),4))/(VLOOKUP(Z$13,INDIRECT($C$5&amp;"生成成长"),5))*(VLOOKUP($B$5,标准坦克设计!$B$24:$U$30,MATCH("对"&amp;LEFT($C$5,2)&amp;"输出",标准坦克设计!$B$23:$U$23,0)))*(VLOOKUP($Q35,INDIRECT($B$5&amp;"生成成长"),3))*(VLOOKUP($B$5,标准坦克设计!$B$14:$K$20,9)/30))</f>
        <v>0.90905598602155402</v>
      </c>
      <c r="AA35" s="173">
        <f ca="1">(VLOOKUP(AA$13,INDIRECT($C$5&amp;"生成成长"),2))/((VLOOKUP($Q35,INDIRECT($B$5&amp;"生成成长"),4))/(VLOOKUP(AA$13,INDIRECT($C$5&amp;"生成成长"),5))*(VLOOKUP($B$5,标准坦克设计!$B$24:$U$30,MATCH("对"&amp;LEFT($C$5,2)&amp;"输出",标准坦克设计!$B$23:$U$23,0)))*(VLOOKUP($Q35,INDIRECT($B$5&amp;"生成成长"),3))*(VLOOKUP($B$5,标准坦克设计!$B$14:$K$20,9)/30))</f>
        <v>2.8791560602952115</v>
      </c>
      <c r="AB35" s="173">
        <f ca="1">(VLOOKUP(AB$13,INDIRECT($C$5&amp;"生成成长"),2))/((VLOOKUP($Q35,INDIRECT($B$5&amp;"生成成长"),4))/(VLOOKUP(AB$13,INDIRECT($C$5&amp;"生成成长"),5))*(VLOOKUP($B$5,标准坦克设计!$B$24:$U$30,MATCH("对"&amp;LEFT($C$5,2)&amp;"输出",标准坦克设计!$B$23:$U$23,0)))*(VLOOKUP($Q35,INDIRECT($B$5&amp;"生成成长"),3))*(VLOOKUP($B$5,标准坦克设计!$B$14:$K$20,9)/30))</f>
        <v>1.391657382794846</v>
      </c>
      <c r="AC35" s="173">
        <f ca="1">(VLOOKUP(AC$13,INDIRECT($C$5&amp;"生成成长"),2))/((VLOOKUP($Q35,INDIRECT($B$5&amp;"生成成长"),4))/(VLOOKUP(AC$13,INDIRECT($C$5&amp;"生成成长"),5))*(VLOOKUP($B$5,标准坦克设计!$B$24:$U$30,MATCH("对"&amp;LEFT($C$5,2)&amp;"输出",标准坦克设计!$B$23:$U$23,0)))*(VLOOKUP($Q35,INDIRECT($B$5&amp;"生成成长"),3))*(VLOOKUP($B$5,标准坦克设计!$B$14:$K$20,9)/30))</f>
        <v>5.0094051099861954</v>
      </c>
      <c r="AD35" s="173">
        <f ca="1">(VLOOKUP(AD$13,INDIRECT($C$5&amp;"生成成长"),2))/((VLOOKUP($Q35,INDIRECT($B$5&amp;"生成成长"),4))/(VLOOKUP(AD$13,INDIRECT($C$5&amp;"生成成长"),5))*(VLOOKUP($B$5,标准坦克设计!$B$24:$U$30,MATCH("对"&amp;LEFT($C$5,2)&amp;"输出",标准坦克设计!$B$23:$U$23,0)))*(VLOOKUP($Q35,INDIRECT($B$5&amp;"生成成长"),3))*(VLOOKUP($B$5,标准坦克设计!$B$14:$K$20,9)/30))</f>
        <v>2.2830205957474656</v>
      </c>
      <c r="AE35" s="173">
        <f ca="1">(VLOOKUP(AE$13,INDIRECT($C$5&amp;"生成成长"),2))/((VLOOKUP($Q35,INDIRECT($B$5&amp;"生成成长"),4))/(VLOOKUP(AE$13,INDIRECT($C$5&amp;"生成成长"),5))*(VLOOKUP($B$5,标准坦克设计!$B$24:$U$30,MATCH("对"&amp;LEFT($C$5,2)&amp;"输出",标准坦克设计!$B$23:$U$23,0)))*(VLOOKUP($Q35,INDIRECT($B$5&amp;"生成成长"),3))*(VLOOKUP($B$5,标准坦克设计!$B$14:$K$20,9)/30))</f>
        <v>8.6028007915882014</v>
      </c>
      <c r="AF35" s="173">
        <f ca="1">(VLOOKUP(AF$13,INDIRECT($C$5&amp;"生成成长"),2))/((VLOOKUP($Q35,INDIRECT($B$5&amp;"生成成长"),4))/(VLOOKUP(AF$13,INDIRECT($C$5&amp;"生成成长"),5))*(VLOOKUP($B$5,标准坦克设计!$B$24:$U$30,MATCH("对"&amp;LEFT($C$5,2)&amp;"输出",标准坦克设计!$B$23:$U$23,0)))*(VLOOKUP($Q35,INDIRECT($B$5&amp;"生成成长"),3))*(VLOOKUP($B$5,标准坦克设计!$B$14:$K$20,9)/30))</f>
        <v>3.855131206448343</v>
      </c>
      <c r="AG35" s="173">
        <f ca="1">(VLOOKUP(AG$13,INDIRECT($C$5&amp;"生成成长"),2))/((VLOOKUP($Q35,INDIRECT($B$5&amp;"生成成长"),4))/(VLOOKUP(AG$13,INDIRECT($C$5&amp;"生成成长"),5))*(VLOOKUP($B$5,标准坦克设计!$B$24:$U$30,MATCH("对"&amp;LEFT($C$5,2)&amp;"输出",标准坦克设计!$B$23:$U$23,0)))*(VLOOKUP($Q35,INDIRECT($B$5&amp;"生成成长"),3))*(VLOOKUP($B$5,标准坦克设计!$B$14:$K$20,9)/30))</f>
        <v>14.421895095673746</v>
      </c>
      <c r="AH35" s="173">
        <f ca="1">(VLOOKUP(AH$13,INDIRECT($C$5&amp;"生成成长"),2))/((VLOOKUP($Q35,INDIRECT($B$5&amp;"生成成长"),4))/(VLOOKUP(AH$13,INDIRECT($C$5&amp;"生成成长"),5))*(VLOOKUP($B$5,标准坦克设计!$B$24:$U$30,MATCH("对"&amp;LEFT($C$5,2)&amp;"输出",标准坦克设计!$B$23:$U$23,0)))*(VLOOKUP($Q35,INDIRECT($B$5&amp;"生成成长"),3))*(VLOOKUP($B$5,标准坦克设计!$B$14:$K$20,9)/30))</f>
        <v>1.449436364957233</v>
      </c>
      <c r="AI35" s="173">
        <f ca="1">(VLOOKUP(AI$13,INDIRECT($C$5&amp;"生成成长"),2))/((VLOOKUP($Q35,INDIRECT($B$5&amp;"生成成长"),4))/(VLOOKUP(AI$13,INDIRECT($C$5&amp;"生成成长"),5))*(VLOOKUP($B$5,标准坦克设计!$B$24:$U$30,MATCH("对"&amp;LEFT($C$5,2)&amp;"输出",标准坦克设计!$B$23:$U$23,0)))*(VLOOKUP($Q35,INDIRECT($B$5&amp;"生成成长"),3))*(VLOOKUP($B$5,标准坦克设计!$B$14:$K$20,9)/30))</f>
        <v>5.3029353967682207</v>
      </c>
      <c r="AJ35" s="173">
        <f ca="1">(VLOOKUP(AJ$13,INDIRECT($C$5&amp;"生成成长"),2))/((VLOOKUP($Q35,INDIRECT($B$5&amp;"生成成长"),4))/(VLOOKUP(AJ$13,INDIRECT($C$5&amp;"生成成长"),5))*(VLOOKUP($B$5,标准坦克设计!$B$24:$U$30,MATCH("对"&amp;LEFT($C$5,2)&amp;"输出",标准坦克设计!$B$23:$U$23,0)))*(VLOOKUP($Q35,INDIRECT($B$5&amp;"生成成长"),3))*(VLOOKUP($B$5,标准坦克设计!$B$14:$K$20,9)/30))</f>
        <v>2.3817345178147304</v>
      </c>
      <c r="AK35" s="173">
        <f ca="1">(VLOOKUP(AK$13,INDIRECT($C$5&amp;"生成成长"),2))/((VLOOKUP($Q35,INDIRECT($B$5&amp;"生成成长"),4))/(VLOOKUP(AK$13,INDIRECT($C$5&amp;"生成成长"),5))*(VLOOKUP($B$5,标准坦克设计!$B$24:$U$30,MATCH("对"&amp;LEFT($C$5,2)&amp;"输出",标准坦克设计!$B$23:$U$23,0)))*(VLOOKUP($Q35,INDIRECT($B$5&amp;"生成成长"),3))*(VLOOKUP($B$5,标准坦克设计!$B$14:$K$20,9)/30))</f>
        <v>9.083313004825678</v>
      </c>
      <c r="AL35" s="173">
        <f ca="1">(VLOOKUP(AL$13,INDIRECT($C$5&amp;"生成成长"),2))/((VLOOKUP($Q35,INDIRECT($B$5&amp;"生成成长"),4))/(VLOOKUP(AL$13,INDIRECT($C$5&amp;"生成成长"),5))*(VLOOKUP($B$5,标准坦克设计!$B$24:$U$30,MATCH("对"&amp;LEFT($C$5,2)&amp;"输出",标准坦克设计!$B$23:$U$23,0)))*(VLOOKUP($Q35,INDIRECT($B$5&amp;"生成成长"),3))*(VLOOKUP($B$5,标准坦克设计!$B$14:$K$20,9)/30))</f>
        <v>4.0154107558366583</v>
      </c>
      <c r="AM35" s="173">
        <f ca="1">(VLOOKUP(AM$13,INDIRECT($C$5&amp;"生成成长"),2))/((VLOOKUP($Q35,INDIRECT($B$5&amp;"生成成长"),4))/(VLOOKUP(AM$13,INDIRECT($C$5&amp;"生成成长"),5))*(VLOOKUP($B$5,标准坦克设计!$B$24:$U$30,MATCH("对"&amp;LEFT($C$5,2)&amp;"输出",标准坦克设计!$B$23:$U$23,0)))*(VLOOKUP($Q35,INDIRECT($B$5&amp;"生成成长"),3))*(VLOOKUP($B$5,标准坦克设计!$B$14:$K$20,9)/30))</f>
        <v>15.167733617959742</v>
      </c>
    </row>
    <row r="36" spans="1:39" x14ac:dyDescent="0.15">
      <c r="A36" s="171" t="str">
        <f t="shared" si="3"/>
        <v>T3中品质</v>
      </c>
      <c r="B36" s="172">
        <v>20315</v>
      </c>
      <c r="C36" s="173">
        <f ca="1">(VLOOKUP(C$29,INDIRECT($C$5&amp;"生成成长"),2))/((VLOOKUP($B36,INDIRECT($B$5&amp;"生成成长"),4))/(VLOOKUP(C$29,INDIRECT($C$5&amp;"生成成长"),5))*(VLOOKUP($B$5,标准坦克设计!$B$24:$U$30,MATCH("对"&amp;LEFT($C$5,2)&amp;"输出",标准坦克设计!$B$23:$U$23,0)))*(VLOOKUP($B36,INDIRECT($B$5&amp;"生成成长"),3))*(VLOOKUP($B$5,标准坦克设计!$B$14:$K$20,9)/30))</f>
        <v>1.8166163767513148</v>
      </c>
      <c r="D36" s="173">
        <f ca="1">(VLOOKUP(D$29,INDIRECT($C$5&amp;"生成成长"),2))/((VLOOKUP($B36,INDIRECT($B$5&amp;"生成成长"),4))/(VLOOKUP(D$29,INDIRECT($C$5&amp;"生成成长"),5))*(VLOOKUP($B$5,标准坦克设计!$B$24:$U$30,MATCH("对"&amp;LEFT($C$5,2)&amp;"输出",标准坦克设计!$B$23:$U$23,0)))*(VLOOKUP($B36,INDIRECT($B$5&amp;"生成成长"),3))*(VLOOKUP($B$5,标准坦克设计!$B$14:$K$20,9)/30))</f>
        <v>3.1776609045982935</v>
      </c>
      <c r="E36" s="173">
        <f ca="1">(VLOOKUP(E$29,INDIRECT($C$5&amp;"生成成长"),2))/((VLOOKUP($B36,INDIRECT($B$5&amp;"生成成长"),4))/(VLOOKUP(E$29,INDIRECT($C$5&amp;"生成成长"),5))*(VLOOKUP($B$5,标准坦克设计!$B$24:$U$30,MATCH("对"&amp;LEFT($C$5,2)&amp;"输出",标准坦克设计!$B$23:$U$23,0)))*(VLOOKUP($B36,INDIRECT($B$5&amp;"生成成长"),3))*(VLOOKUP($B$5,标准坦克设计!$B$14:$K$20,9)/30))</f>
        <v>5.4613093142123779</v>
      </c>
      <c r="F36" s="173">
        <f ca="1">(VLOOKUP(F$29,INDIRECT($C$5&amp;"生成成长"),2))/((VLOOKUP($B36,INDIRECT($B$5&amp;"生成成长"),4))/(VLOOKUP(F$29,INDIRECT($C$5&amp;"生成成长"),5))*(VLOOKUP($B$5,标准坦克设计!$B$24:$U$30,MATCH("对"&amp;LEFT($C$5,2)&amp;"输出",标准坦克设计!$B$23:$U$23,0)))*(VLOOKUP($B36,INDIRECT($B$5&amp;"生成成长"),3))*(VLOOKUP($B$5,标准坦克设计!$B$14:$K$20,9)/30))</f>
        <v>9.4622131241958947</v>
      </c>
      <c r="G36" s="173">
        <f ca="1">(VLOOKUP(G$29,INDIRECT($C$5&amp;"生成成长"),2))/((VLOOKUP($B36,INDIRECT($B$5&amp;"生成成长"),4))/(VLOOKUP(G$29,INDIRECT($C$5&amp;"生成成长"),5))*(VLOOKUP($B$5,标准坦克设计!$B$24:$U$30,MATCH("对"&amp;LEFT($C$5,2)&amp;"输出",标准坦克设计!$B$23:$U$23,0)))*(VLOOKUP($B36,INDIRECT($B$5&amp;"生成成长"),3))*(VLOOKUP($B$5,标准坦克设计!$B$14:$K$20,9)/30))</f>
        <v>5.2102485831642156</v>
      </c>
      <c r="H36" s="173">
        <f ca="1">(VLOOKUP(H$29,INDIRECT($C$5&amp;"生成成长"),2))/((VLOOKUP($B36,INDIRECT($B$5&amp;"生成成长"),4))/(VLOOKUP(H$29,INDIRECT($C$5&amp;"生成成长"),5))*(VLOOKUP($B$5,标准坦克设计!$B$24:$U$30,MATCH("对"&amp;LEFT($C$5,2)&amp;"输出",标准坦克设计!$B$23:$U$23,0)))*(VLOOKUP($B36,INDIRECT($B$5&amp;"生成成长"),3))*(VLOOKUP($B$5,标准坦克设计!$B$14:$K$20,9)/30))</f>
        <v>9.0652418035738567</v>
      </c>
      <c r="I36" s="173">
        <f ca="1">(VLOOKUP(I$29,INDIRECT($C$5&amp;"生成成长"),2))/((VLOOKUP($B36,INDIRECT($B$5&amp;"生成成长"),4))/(VLOOKUP(I$29,INDIRECT($C$5&amp;"生成成长"),5))*(VLOOKUP($B$5,标准坦克设计!$B$24:$U$30,MATCH("对"&amp;LEFT($C$5,2)&amp;"输出",标准坦克设计!$B$23:$U$23,0)))*(VLOOKUP($B36,INDIRECT($B$5&amp;"生成成长"),3))*(VLOOKUP($B$5,标准坦克设计!$B$14:$K$20,9)/30))</f>
        <v>15.5680101032872</v>
      </c>
      <c r="J36" s="173">
        <f ca="1">(VLOOKUP(J$29,INDIRECT($C$5&amp;"生成成长"),2))/((VLOOKUP($B36,INDIRECT($B$5&amp;"生成成长"),4))/(VLOOKUP(J$29,INDIRECT($C$5&amp;"生成成长"),5))*(VLOOKUP($B$5,标准坦克设计!$B$24:$U$30,MATCH("对"&amp;LEFT($C$5,2)&amp;"输出",标准坦克设计!$B$23:$U$23,0)))*(VLOOKUP($B36,INDIRECT($B$5&amp;"生成成长"),3))*(VLOOKUP($B$5,标准坦克设计!$B$14:$K$20,9)/30))</f>
        <v>26.098501406371316</v>
      </c>
      <c r="K36" s="173">
        <f ca="1">(VLOOKUP(K$29,INDIRECT($C$5&amp;"生成成长"),2))/((VLOOKUP($B36,INDIRECT($B$5&amp;"生成成长"),4))/(VLOOKUP(K$29,INDIRECT($C$5&amp;"生成成长"),5))*(VLOOKUP($B$5,标准坦克设计!$B$24:$U$30,MATCH("对"&amp;LEFT($C$5,2)&amp;"输出",标准坦克设计!$B$23:$U$23,0)))*(VLOOKUP($B36,INDIRECT($B$5&amp;"生成成长"),3))*(VLOOKUP($B$5,标准坦克设计!$B$14:$K$20,9)/30))</f>
        <v>9.5964272373585811</v>
      </c>
      <c r="L36" s="173">
        <f ca="1">(VLOOKUP(L$29,INDIRECT($C$5&amp;"生成成长"),2))/((VLOOKUP($B36,INDIRECT($B$5&amp;"生成成长"),4))/(VLOOKUP(L$29,INDIRECT($C$5&amp;"生成成长"),5))*(VLOOKUP($B$5,标准坦克设计!$B$24:$U$30,MATCH("对"&amp;LEFT($C$5,2)&amp;"输出",标准坦克设计!$B$23:$U$23,0)))*(VLOOKUP($B36,INDIRECT($B$5&amp;"生成成长"),3))*(VLOOKUP($B$5,标准坦克设计!$B$14:$K$20,9)/30))</f>
        <v>16.437566329411659</v>
      </c>
      <c r="M36" s="173">
        <f ca="1">(VLOOKUP(M$29,INDIRECT($C$5&amp;"生成成长"),2))/((VLOOKUP($B36,INDIRECT($B$5&amp;"生成成长"),4))/(VLOOKUP(M$29,INDIRECT($C$5&amp;"生成成长"),5))*(VLOOKUP($B$5,标准坦克设计!$B$24:$U$30,MATCH("对"&amp;LEFT($C$5,2)&amp;"输出",标准坦克设计!$B$23:$U$23,0)))*(VLOOKUP($B36,INDIRECT($B$5&amp;"生成成长"),3))*(VLOOKUP($B$5,标准坦克设计!$B$14:$K$20,9)/30))</f>
        <v>27.448203896486241</v>
      </c>
      <c r="P36" s="175" t="str">
        <f>"T"&amp;LEFT(RIGHT(Q36,3),1)&amp;""&amp;IF(LEFT(Q36,1)="1","低",IF(LEFT(Q36,1)="2","中","高"))&amp;"初"</f>
        <v>T5高初</v>
      </c>
      <c r="Q36" s="179">
        <v>30501</v>
      </c>
      <c r="R36" s="173">
        <f ca="1">(VLOOKUP(R$13,INDIRECT($C$5&amp;"生成成长"),2))/((VLOOKUP($Q36,INDIRECT($B$5&amp;"生成成长"),4))/(VLOOKUP(R$13,INDIRECT($C$5&amp;"生成成长"),5))*(VLOOKUP($B$5,标准坦克设计!$B$24:$U$30,MATCH("对"&amp;LEFT($C$5,2)&amp;"输出",标准坦克设计!$B$23:$U$23,0)))*(VLOOKUP($Q36,INDIRECT($B$5&amp;"生成成长"),3))*(VLOOKUP($B$5,标准坦克设计!$B$14:$K$20,9)/30))</f>
        <v>1.472905983226511</v>
      </c>
      <c r="S36" s="173">
        <f ca="1">(VLOOKUP(S$13,INDIRECT($C$5&amp;"生成成长"),2))/((VLOOKUP($Q36,INDIRECT($B$5&amp;"生成成长"),4))/(VLOOKUP(S$13,INDIRECT($C$5&amp;"生成成长"),5))*(VLOOKUP($B$5,标准坦克设计!$B$24:$U$30,MATCH("对"&amp;LEFT($C$5,2)&amp;"输出",标准坦克设计!$B$23:$U$23,0)))*(VLOOKUP($Q36,INDIRECT($B$5&amp;"生成成长"),3))*(VLOOKUP($B$5,标准坦克设计!$B$14:$K$20,9)/30))</f>
        <v>2.2647402398090839</v>
      </c>
      <c r="T36" s="173">
        <f ca="1">(VLOOKUP(T$13,INDIRECT($C$5&amp;"生成成长"),2))/((VLOOKUP($Q36,INDIRECT($B$5&amp;"生成成长"),4))/(VLOOKUP(T$13,INDIRECT($C$5&amp;"生成成长"),5))*(VLOOKUP($B$5,标准坦克设计!$B$24:$U$30,MATCH("对"&amp;LEFT($C$5,2)&amp;"输出",标准坦克设计!$B$23:$U$23,0)))*(VLOOKUP($Q36,INDIRECT($B$5&amp;"生成成长"),3))*(VLOOKUP($B$5,标准坦克设计!$B$14:$K$20,9)/30))</f>
        <v>1.9819422910295932</v>
      </c>
      <c r="U36" s="173">
        <f ca="1">(VLOOKUP(U$13,INDIRECT($C$5&amp;"生成成长"),2))/((VLOOKUP($Q36,INDIRECT($B$5&amp;"生成成长"),4))/(VLOOKUP(U$13,INDIRECT($C$5&amp;"生成成长"),5))*(VLOOKUP($B$5,标准坦克设计!$B$24:$U$30,MATCH("对"&amp;LEFT($C$5,2)&amp;"输出",标准坦克设计!$B$23:$U$23,0)))*(VLOOKUP($Q36,INDIRECT($B$5&amp;"生成成长"),3))*(VLOOKUP($B$5,标准坦克设计!$B$14:$K$20,9)/30))</f>
        <v>3.9615279324860246</v>
      </c>
      <c r="V36" s="173">
        <f ca="1">(VLOOKUP(V$13,INDIRECT($C$5&amp;"生成成长"),2))/((VLOOKUP($Q36,INDIRECT($B$5&amp;"生成成长"),4))/(VLOOKUP(V$13,INDIRECT($C$5&amp;"生成成长"),5))*(VLOOKUP($B$5,标准坦克设计!$B$24:$U$30,MATCH("对"&amp;LEFT($C$5,2)&amp;"输出",标准坦克设计!$B$23:$U$23,0)))*(VLOOKUP($Q36,INDIRECT($B$5&amp;"生成成长"),3))*(VLOOKUP($B$5,标准坦克设计!$B$14:$K$20,9)/30))</f>
        <v>3.0119454450998928</v>
      </c>
      <c r="W36" s="173">
        <f ca="1">(VLOOKUP(W$13,INDIRECT($C$5&amp;"生成成长"),2))/((VLOOKUP($Q36,INDIRECT($B$5&amp;"生成成长"),4))/(VLOOKUP(W$13,INDIRECT($C$5&amp;"生成成长"),5))*(VLOOKUP($B$5,标准坦克设计!$B$24:$U$30,MATCH("对"&amp;LEFT($C$5,2)&amp;"输出",标准坦克设计!$B$23:$U$23,0)))*(VLOOKUP($Q36,INDIRECT($B$5&amp;"生成成长"),3))*(VLOOKUP($B$5,标准坦克设计!$B$14:$K$20,9)/30))</f>
        <v>6.8085079074645467</v>
      </c>
      <c r="X36" s="173">
        <f ca="1">(VLOOKUP(X$13,INDIRECT($C$5&amp;"生成成长"),2))/((VLOOKUP($Q36,INDIRECT($B$5&amp;"生成成长"),4))/(VLOOKUP(X$13,INDIRECT($C$5&amp;"生成成长"),5))*(VLOOKUP($B$5,标准坦克设计!$B$24:$U$30,MATCH("对"&amp;LEFT($C$5,2)&amp;"输出",标准坦克设计!$B$23:$U$23,0)))*(VLOOKUP($Q36,INDIRECT($B$5&amp;"生成成长"),3))*(VLOOKUP($B$5,标准坦克设计!$B$14:$K$20,9)/30))</f>
        <v>4.9326148472272626</v>
      </c>
      <c r="Y36" s="173">
        <f ca="1">(VLOOKUP(Y$13,INDIRECT($C$5&amp;"生成成长"),2))/((VLOOKUP($Q36,INDIRECT($B$5&amp;"生成成长"),4))/(VLOOKUP(Y$13,INDIRECT($C$5&amp;"生成成长"),5))*(VLOOKUP($B$5,标准坦克设计!$B$24:$U$30,MATCH("对"&amp;LEFT($C$5,2)&amp;"输出",标准坦克设计!$B$23:$U$23,0)))*(VLOOKUP($Q36,INDIRECT($B$5&amp;"生成成长"),3))*(VLOOKUP($B$5,标准坦克设计!$B$14:$K$20,9)/30))</f>
        <v>11.796356729062804</v>
      </c>
      <c r="Z36" s="173">
        <f ca="1">(VLOOKUP(Z$13,INDIRECT($C$5&amp;"生成成长"),2))/((VLOOKUP($Q36,INDIRECT($B$5&amp;"生成成长"),4))/(VLOOKUP(Z$13,INDIRECT($C$5&amp;"生成成长"),5))*(VLOOKUP($B$5,标准坦克设计!$B$24:$U$30,MATCH("对"&amp;LEFT($C$5,2)&amp;"输出",标准坦克设计!$B$23:$U$23,0)))*(VLOOKUP($Q36,INDIRECT($B$5&amp;"生成成长"),3))*(VLOOKUP($B$5,标准坦克设计!$B$14:$K$20,9)/30))</f>
        <v>2.0508742910445941</v>
      </c>
      <c r="AA36" s="173">
        <f ca="1">(VLOOKUP(AA$13,INDIRECT($C$5&amp;"生成成长"),2))/((VLOOKUP($Q36,INDIRECT($B$5&amp;"生成成长"),4))/(VLOOKUP(AA$13,INDIRECT($C$5&amp;"生成成长"),5))*(VLOOKUP($B$5,标准坦克设计!$B$24:$U$30,MATCH("对"&amp;LEFT($C$5,2)&amp;"输出",标准坦克设计!$B$23:$U$23,0)))*(VLOOKUP($Q36,INDIRECT($B$5&amp;"生成成长"),3))*(VLOOKUP($B$5,标准坦克设计!$B$14:$K$20,9)/30))</f>
        <v>6.4955153860289139</v>
      </c>
      <c r="AB36" s="173">
        <f ca="1">(VLOOKUP(AB$13,INDIRECT($C$5&amp;"生成成长"),2))/((VLOOKUP($Q36,INDIRECT($B$5&amp;"生成成长"),4))/(VLOOKUP(AB$13,INDIRECT($C$5&amp;"生成成长"),5))*(VLOOKUP($B$5,标准坦克设计!$B$24:$U$30,MATCH("对"&amp;LEFT($C$5,2)&amp;"输出",标准坦克设计!$B$23:$U$23,0)))*(VLOOKUP($Q36,INDIRECT($B$5&amp;"生成成长"),3))*(VLOOKUP($B$5,标准坦克设计!$B$14:$K$20,9)/30))</f>
        <v>3.1396463938456307</v>
      </c>
      <c r="AC36" s="173">
        <f ca="1">(VLOOKUP(AC$13,INDIRECT($C$5&amp;"生成成长"),2))/((VLOOKUP($Q36,INDIRECT($B$5&amp;"生成成长"),4))/(VLOOKUP(AC$13,INDIRECT($C$5&amp;"生成成长"),5))*(VLOOKUP($B$5,标准坦克设计!$B$24:$U$30,MATCH("对"&amp;LEFT($C$5,2)&amp;"输出",标准坦克设计!$B$23:$U$23,0)))*(VLOOKUP($Q36,INDIRECT($B$5&amp;"生成成长"),3))*(VLOOKUP($B$5,标准坦克设计!$B$14:$K$20,9)/30))</f>
        <v>11.301460318698696</v>
      </c>
      <c r="AD36" s="173">
        <f ca="1">(VLOOKUP(AD$13,INDIRECT($C$5&amp;"生成成长"),2))/((VLOOKUP($Q36,INDIRECT($B$5&amp;"生成成长"),4))/(VLOOKUP(AD$13,INDIRECT($C$5&amp;"生成成长"),5))*(VLOOKUP($B$5,标准坦克设计!$B$24:$U$30,MATCH("对"&amp;LEFT($C$5,2)&amp;"输出",标准坦克设计!$B$23:$U$23,0)))*(VLOOKUP($Q36,INDIRECT($B$5&amp;"生成成长"),3))*(VLOOKUP($B$5,标准坦克设计!$B$14:$K$20,9)/30))</f>
        <v>5.1506049327447876</v>
      </c>
      <c r="AE36" s="173">
        <f ca="1">(VLOOKUP(AE$13,INDIRECT($C$5&amp;"生成成长"),2))/((VLOOKUP($Q36,INDIRECT($B$5&amp;"生成成长"),4))/(VLOOKUP(AE$13,INDIRECT($C$5&amp;"生成成长"),5))*(VLOOKUP($B$5,标准坦克设计!$B$24:$U$30,MATCH("对"&amp;LEFT($C$5,2)&amp;"输出",标准坦克设计!$B$23:$U$23,0)))*(VLOOKUP($Q36,INDIRECT($B$5&amp;"生成成长"),3))*(VLOOKUP($B$5,标准坦克设计!$B$14:$K$20,9)/30))</f>
        <v>19.408334850377415</v>
      </c>
      <c r="AF36" s="173">
        <f ca="1">(VLOOKUP(AF$13,INDIRECT($C$5&amp;"生成成长"),2))/((VLOOKUP($Q36,INDIRECT($B$5&amp;"生成成长"),4))/(VLOOKUP(AF$13,INDIRECT($C$5&amp;"生成成长"),5))*(VLOOKUP($B$5,标准坦克设计!$B$24:$U$30,MATCH("对"&amp;LEFT($C$5,2)&amp;"输出",标准坦克设计!$B$23:$U$23,0)))*(VLOOKUP($Q36,INDIRECT($B$5&amp;"生成成长"),3))*(VLOOKUP($B$5,标准坦克设计!$B$14:$K$20,9)/30))</f>
        <v>8.6973625403542272</v>
      </c>
      <c r="AG36" s="173">
        <f ca="1">(VLOOKUP(AG$13,INDIRECT($C$5&amp;"生成成长"),2))/((VLOOKUP($Q36,INDIRECT($B$5&amp;"生成成长"),4))/(VLOOKUP(AG$13,INDIRECT($C$5&amp;"生成成长"),5))*(VLOOKUP($B$5,标准坦克设计!$B$24:$U$30,MATCH("对"&amp;LEFT($C$5,2)&amp;"输出",标准坦克设计!$B$23:$U$23,0)))*(VLOOKUP($Q36,INDIRECT($B$5&amp;"生成成长"),3))*(VLOOKUP($B$5,标准坦克设计!$B$14:$K$20,9)/30))</f>
        <v>32.536493169473637</v>
      </c>
      <c r="AH36" s="173">
        <f ca="1">(VLOOKUP(AH$13,INDIRECT($C$5&amp;"生成成长"),2))/((VLOOKUP($Q36,INDIRECT($B$5&amp;"生成成长"),4))/(VLOOKUP(AH$13,INDIRECT($C$5&amp;"生成成长"),5))*(VLOOKUP($B$5,标准坦克设计!$B$24:$U$30,MATCH("对"&amp;LEFT($C$5,2)&amp;"输出",标准坦克设计!$B$23:$U$23,0)))*(VLOOKUP($Q36,INDIRECT($B$5&amp;"生成成长"),3))*(VLOOKUP($B$5,标准坦克设计!$B$14:$K$20,9)/30))</f>
        <v>3.2699985733611769</v>
      </c>
      <c r="AI36" s="173">
        <f ca="1">(VLOOKUP(AI$13,INDIRECT($C$5&amp;"生成成长"),2))/((VLOOKUP($Q36,INDIRECT($B$5&amp;"生成成长"),4))/(VLOOKUP(AI$13,INDIRECT($C$5&amp;"生成成长"),5))*(VLOOKUP($B$5,标准坦克设计!$B$24:$U$30,MATCH("对"&amp;LEFT($C$5,2)&amp;"输出",标准坦克设计!$B$23:$U$23,0)))*(VLOOKUP($Q36,INDIRECT($B$5&amp;"生成成长"),3))*(VLOOKUP($B$5,标准坦克设计!$B$14:$K$20,9)/30))</f>
        <v>11.963678848757338</v>
      </c>
      <c r="AJ36" s="173">
        <f ca="1">(VLOOKUP(AJ$13,INDIRECT($C$5&amp;"生成成长"),2))/((VLOOKUP($Q36,INDIRECT($B$5&amp;"生成成长"),4))/(VLOOKUP(AJ$13,INDIRECT($C$5&amp;"生成成长"),5))*(VLOOKUP($B$5,标准坦克设计!$B$24:$U$30,MATCH("对"&amp;LEFT($C$5,2)&amp;"输出",标准坦克设计!$B$23:$U$23,0)))*(VLOOKUP($Q36,INDIRECT($B$5&amp;"生成成长"),3))*(VLOOKUP($B$5,标准坦克设计!$B$14:$K$20,9)/30))</f>
        <v>5.3733083174086351</v>
      </c>
      <c r="AK36" s="173">
        <f ca="1">(VLOOKUP(AK$13,INDIRECT($C$5&amp;"生成成长"),2))/((VLOOKUP($Q36,INDIRECT($B$5&amp;"生成成长"),4))/(VLOOKUP(AK$13,INDIRECT($C$5&amp;"生成成长"),5))*(VLOOKUP($B$5,标准坦克设计!$B$24:$U$30,MATCH("对"&amp;LEFT($C$5,2)&amp;"输出",标准坦克设计!$B$23:$U$23,0)))*(VLOOKUP($Q36,INDIRECT($B$5&amp;"生成成长"),3))*(VLOOKUP($B$5,标准坦克设计!$B$14:$K$20,9)/30))</f>
        <v>20.492393654032128</v>
      </c>
      <c r="AL36" s="173">
        <f ca="1">(VLOOKUP(AL$13,INDIRECT($C$5&amp;"生成成长"),2))/((VLOOKUP($Q36,INDIRECT($B$5&amp;"生成成长"),4))/(VLOOKUP(AL$13,INDIRECT($C$5&amp;"生成成长"),5))*(VLOOKUP($B$5,标准坦克设计!$B$24:$U$30,MATCH("对"&amp;LEFT($C$5,2)&amp;"输出",标准坦克设计!$B$23:$U$23,0)))*(VLOOKUP($Q36,INDIRECT($B$5&amp;"生成成长"),3))*(VLOOKUP($B$5,标准坦克设计!$B$14:$K$20,9)/30))</f>
        <v>9.0589609592363356</v>
      </c>
      <c r="AM36" s="173">
        <f ca="1">(VLOOKUP(AM$13,INDIRECT($C$5&amp;"生成成长"),2))/((VLOOKUP($Q36,INDIRECT($B$5&amp;"生成成长"),4))/(VLOOKUP(AM$13,INDIRECT($C$5&amp;"生成成长"),5))*(VLOOKUP($B$5,标准坦克设计!$B$24:$U$30,MATCH("对"&amp;LEFT($C$5,2)&amp;"输出",标准坦克设计!$B$23:$U$23,0)))*(VLOOKUP($Q36,INDIRECT($B$5&amp;"生成成长"),3))*(VLOOKUP($B$5,标准坦克设计!$B$14:$K$20,9)/30))</f>
        <v>34.219140964711599</v>
      </c>
    </row>
    <row r="37" spans="1:39" x14ac:dyDescent="0.15">
      <c r="A37" s="171" t="str">
        <f t="shared" si="3"/>
        <v>T4中品质</v>
      </c>
      <c r="B37" s="172">
        <v>20418</v>
      </c>
      <c r="C37" s="173">
        <f ca="1">(VLOOKUP(C$29,INDIRECT($C$5&amp;"生成成长"),2))/((VLOOKUP($B37,INDIRECT($B$5&amp;"生成成长"),4))/(VLOOKUP(C$29,INDIRECT($C$5&amp;"生成成长"),5))*(VLOOKUP($B$5,标准坦克设计!$B$24:$U$30,MATCH("对"&amp;LEFT($C$5,2)&amp;"输出",标准坦克设计!$B$23:$U$23,0)))*(VLOOKUP($B37,INDIRECT($B$5&amp;"生成成长"),3))*(VLOOKUP($B$5,标准坦克设计!$B$14:$K$20,9)/30))</f>
        <v>1.0600608609109519</v>
      </c>
      <c r="D37" s="173">
        <f ca="1">(VLOOKUP(D$29,INDIRECT($C$5&amp;"生成成长"),2))/((VLOOKUP($B37,INDIRECT($B$5&amp;"生成成长"),4))/(VLOOKUP(D$29,INDIRECT($C$5&amp;"生成成长"),5))*(VLOOKUP($B$5,标准坦克设计!$B$24:$U$30,MATCH("对"&amp;LEFT($C$5,2)&amp;"输出",标准坦克设计!$B$23:$U$23,0)))*(VLOOKUP($B37,INDIRECT($B$5&amp;"生成成长"),3))*(VLOOKUP($B$5,标准坦克设计!$B$14:$K$20,9)/30))</f>
        <v>1.8542791958286264</v>
      </c>
      <c r="E37" s="173">
        <f ca="1">(VLOOKUP(E$29,INDIRECT($C$5&amp;"生成成长"),2))/((VLOOKUP($B37,INDIRECT($B$5&amp;"生成成长"),4))/(VLOOKUP(E$29,INDIRECT($C$5&amp;"生成成长"),5))*(VLOOKUP($B$5,标准坦克设计!$B$24:$U$30,MATCH("对"&amp;LEFT($C$5,2)&amp;"输出",标准坦克设计!$B$23:$U$23,0)))*(VLOOKUP($B37,INDIRECT($B$5&amp;"生成成长"),3))*(VLOOKUP($B$5,标准坦克设计!$B$14:$K$20,9)/30))</f>
        <v>3.1868700114209649</v>
      </c>
      <c r="F37" s="173">
        <f ca="1">(VLOOKUP(F$29,INDIRECT($C$5&amp;"生成成长"),2))/((VLOOKUP($B37,INDIRECT($B$5&amp;"生成成长"),4))/(VLOOKUP(F$29,INDIRECT($C$5&amp;"生成成长"),5))*(VLOOKUP($B$5,标准坦克设计!$B$24:$U$30,MATCH("对"&amp;LEFT($C$5,2)&amp;"输出",标准坦克设计!$B$23:$U$23,0)))*(VLOOKUP($B37,INDIRECT($B$5&amp;"生成成长"),3))*(VLOOKUP($B$5,标准坦克设计!$B$14:$K$20,9)/30))</f>
        <v>5.5215409917727127</v>
      </c>
      <c r="G37" s="173">
        <f ca="1">(VLOOKUP(G$29,INDIRECT($C$5&amp;"生成成长"),2))/((VLOOKUP($B37,INDIRECT($B$5&amp;"生成成长"),4))/(VLOOKUP(G$29,INDIRECT($C$5&amp;"生成成长"),5))*(VLOOKUP($B$5,标准坦克设计!$B$24:$U$30,MATCH("对"&amp;LEFT($C$5,2)&amp;"输出",标准坦克设计!$B$23:$U$23,0)))*(VLOOKUP($B37,INDIRECT($B$5&amp;"生成成长"),3))*(VLOOKUP($B$5,标准坦克设计!$B$14:$K$20,9)/30))</f>
        <v>3.0403670633567237</v>
      </c>
      <c r="H37" s="173">
        <f ca="1">(VLOOKUP(H$29,INDIRECT($C$5&amp;"生成成长"),2))/((VLOOKUP($B37,INDIRECT($B$5&amp;"生成成长"),4))/(VLOOKUP(H$29,INDIRECT($C$5&amp;"生成成长"),5))*(VLOOKUP($B$5,标准坦克设计!$B$24:$U$30,MATCH("对"&amp;LEFT($C$5,2)&amp;"输出",标准坦克设计!$B$23:$U$23,0)))*(VLOOKUP($B37,INDIRECT($B$5&amp;"生成成长"),3))*(VLOOKUP($B$5,标准坦克设计!$B$14:$K$20,9)/30))</f>
        <v>5.2898939774217242</v>
      </c>
      <c r="I37" s="173">
        <f ca="1">(VLOOKUP(I$29,INDIRECT($C$5&amp;"生成成长"),2))/((VLOOKUP($B37,INDIRECT($B$5&amp;"生成成长"),4))/(VLOOKUP(I$29,INDIRECT($C$5&amp;"生成成长"),5))*(VLOOKUP($B$5,标准坦克设计!$B$24:$U$30,MATCH("对"&amp;LEFT($C$5,2)&amp;"输出",标准坦克设计!$B$23:$U$23,0)))*(VLOOKUP($B37,INDIRECT($B$5&amp;"生成成长"),3))*(VLOOKUP($B$5,标准坦克设计!$B$14:$K$20,9)/30))</f>
        <v>9.0844926886950592</v>
      </c>
      <c r="J37" s="173">
        <f ca="1">(VLOOKUP(J$29,INDIRECT($C$5&amp;"生成成长"),2))/((VLOOKUP($B37,INDIRECT($B$5&amp;"生成成长"),4))/(VLOOKUP(J$29,INDIRECT($C$5&amp;"生成成长"),5))*(VLOOKUP($B$5,标准坦克设计!$B$24:$U$30,MATCH("对"&amp;LEFT($C$5,2)&amp;"输出",标准坦克设计!$B$23:$U$23,0)))*(VLOOKUP($B37,INDIRECT($B$5&amp;"生成成长"),3))*(VLOOKUP($B$5,标准坦克设计!$B$14:$K$20,9)/30))</f>
        <v>15.229412342301593</v>
      </c>
      <c r="K37" s="173">
        <f ca="1">(VLOOKUP(K$29,INDIRECT($C$5&amp;"生成成长"),2))/((VLOOKUP($B37,INDIRECT($B$5&amp;"生成成长"),4))/(VLOOKUP(K$29,INDIRECT($C$5&amp;"生成成长"),5))*(VLOOKUP($B$5,标准坦克设计!$B$24:$U$30,MATCH("对"&amp;LEFT($C$5,2)&amp;"输出",标准坦克设计!$B$23:$U$23,0)))*(VLOOKUP($B37,INDIRECT($B$5&amp;"生成成长"),3))*(VLOOKUP($B$5,标准坦克设计!$B$14:$K$20,9)/30))</f>
        <v>5.5998597442437603</v>
      </c>
      <c r="L37" s="173">
        <f ca="1">(VLOOKUP(L$29,INDIRECT($C$5&amp;"生成成长"),2))/((VLOOKUP($B37,INDIRECT($B$5&amp;"生成成长"),4))/(VLOOKUP(L$29,INDIRECT($C$5&amp;"生成成长"),5))*(VLOOKUP($B$5,标准坦克设计!$B$24:$U$30,MATCH("对"&amp;LEFT($C$5,2)&amp;"输出",标准坦克设计!$B$23:$U$23,0)))*(VLOOKUP($B37,INDIRECT($B$5&amp;"生成成长"),3))*(VLOOKUP($B$5,标准坦克设计!$B$14:$K$20,9)/30))</f>
        <v>9.591909958225795</v>
      </c>
      <c r="M37" s="173">
        <f ca="1">(VLOOKUP(M$29,INDIRECT($C$5&amp;"生成成长"),2))/((VLOOKUP($B37,INDIRECT($B$5&amp;"生成成长"),4))/(VLOOKUP(M$29,INDIRECT($C$5&amp;"生成成长"),5))*(VLOOKUP($B$5,标准坦克设计!$B$24:$U$30,MATCH("对"&amp;LEFT($C$5,2)&amp;"输出",标准坦克设计!$B$23:$U$23,0)))*(VLOOKUP($B37,INDIRECT($B$5&amp;"生成成长"),3))*(VLOOKUP($B$5,标准坦克设计!$B$14:$K$20,9)/30))</f>
        <v>16.017012191094953</v>
      </c>
      <c r="P37" s="175" t="str">
        <f>"T"&amp;LEFT(RIGHT(Q37,3),1)&amp;""&amp;IF(LEFT(Q37,1)="1","低",IF(LEFT(Q37,1)="2","中","高"))&amp;"满"</f>
        <v>T5高满</v>
      </c>
      <c r="Q37" s="179">
        <v>30521</v>
      </c>
      <c r="R37" s="173">
        <f ca="1">(VLOOKUP(R$13,INDIRECT($C$5&amp;"生成成长"),2))/((VLOOKUP($Q37,INDIRECT($B$5&amp;"生成成长"),4))/(VLOOKUP(R$13,INDIRECT($C$5&amp;"生成成长"),5))*(VLOOKUP($B$5,标准坦克设计!$B$24:$U$30,MATCH("对"&amp;LEFT($C$5,2)&amp;"输出",标准坦克设计!$B$23:$U$23,0)))*(VLOOKUP($Q37,INDIRECT($B$5&amp;"生成成长"),3))*(VLOOKUP($B$5,标准坦克设计!$B$14:$K$20,9)/30))</f>
        <v>0.39076317967861013</v>
      </c>
      <c r="S37" s="173">
        <f ca="1">(VLOOKUP(S$13,INDIRECT($C$5&amp;"生成成长"),2))/((VLOOKUP($Q37,INDIRECT($B$5&amp;"生成成长"),4))/(VLOOKUP(S$13,INDIRECT($C$5&amp;"生成成长"),5))*(VLOOKUP($B$5,标准坦克设计!$B$24:$U$30,MATCH("对"&amp;LEFT($C$5,2)&amp;"输出",标准坦克设计!$B$23:$U$23,0)))*(VLOOKUP($Q37,INDIRECT($B$5&amp;"生成成长"),3))*(VLOOKUP($B$5,标准坦克设计!$B$14:$K$20,9)/30))</f>
        <v>0.60083746507383096</v>
      </c>
      <c r="T37" s="173">
        <f ca="1">(VLOOKUP(T$13,INDIRECT($C$5&amp;"生成成长"),2))/((VLOOKUP($Q37,INDIRECT($B$5&amp;"生成成长"),4))/(VLOOKUP(T$13,INDIRECT($C$5&amp;"生成成长"),5))*(VLOOKUP($B$5,标准坦克设计!$B$24:$U$30,MATCH("对"&amp;LEFT($C$5,2)&amp;"输出",标准坦克设计!$B$23:$U$23,0)))*(VLOOKUP($Q37,INDIRECT($B$5&amp;"生成成长"),3))*(VLOOKUP($B$5,标准坦克设计!$B$14:$K$20,9)/30))</f>
        <v>0.52581093457553785</v>
      </c>
      <c r="U37" s="173">
        <f ca="1">(VLOOKUP(U$13,INDIRECT($C$5&amp;"生成成长"),2))/((VLOOKUP($Q37,INDIRECT($B$5&amp;"生成成长"),4))/(VLOOKUP(U$13,INDIRECT($C$5&amp;"生成成长"),5))*(VLOOKUP($B$5,标准坦克设计!$B$24:$U$30,MATCH("对"&amp;LEFT($C$5,2)&amp;"输出",标准坦克设计!$B$23:$U$23,0)))*(VLOOKUP($Q37,INDIRECT($B$5&amp;"生成成长"),3))*(VLOOKUP($B$5,标准坦克设计!$B$14:$K$20,9)/30))</f>
        <v>1.0509966480635897</v>
      </c>
      <c r="V37" s="173">
        <f ca="1">(VLOOKUP(V$13,INDIRECT($C$5&amp;"生成成长"),2))/((VLOOKUP($Q37,INDIRECT($B$5&amp;"生成成长"),4))/(VLOOKUP(V$13,INDIRECT($C$5&amp;"生成成长"),5))*(VLOOKUP($B$5,标准坦克设计!$B$24:$U$30,MATCH("对"&amp;LEFT($C$5,2)&amp;"输出",标准坦克设计!$B$23:$U$23,0)))*(VLOOKUP($Q37,INDIRECT($B$5&amp;"生成成长"),3))*(VLOOKUP($B$5,标准坦克设计!$B$14:$K$20,9)/30))</f>
        <v>0.79907162612478999</v>
      </c>
      <c r="W37" s="173">
        <f ca="1">(VLOOKUP(W$13,INDIRECT($C$5&amp;"生成成长"),2))/((VLOOKUP($Q37,INDIRECT($B$5&amp;"生成成长"),4))/(VLOOKUP(W$13,INDIRECT($C$5&amp;"生成成长"),5))*(VLOOKUP($B$5,标准坦克设计!$B$24:$U$30,MATCH("对"&amp;LEFT($C$5,2)&amp;"输出",标准坦克设计!$B$23:$U$23,0)))*(VLOOKUP($Q37,INDIRECT($B$5&amp;"生成成长"),3))*(VLOOKUP($B$5,标准坦克设计!$B$14:$K$20,9)/30))</f>
        <v>1.8063027980643758</v>
      </c>
      <c r="X37" s="173">
        <f ca="1">(VLOOKUP(X$13,INDIRECT($C$5&amp;"生成成长"),2))/((VLOOKUP($Q37,INDIRECT($B$5&amp;"生成成长"),4))/(VLOOKUP(X$13,INDIRECT($C$5&amp;"生成成长"),5))*(VLOOKUP($B$5,标准坦克设计!$B$24:$U$30,MATCH("对"&amp;LEFT($C$5,2)&amp;"输出",标准坦克设计!$B$23:$U$23,0)))*(VLOOKUP($Q37,INDIRECT($B$5&amp;"生成成长"),3))*(VLOOKUP($B$5,标准坦克设计!$B$14:$K$20,9)/30))</f>
        <v>1.3086268124256977</v>
      </c>
      <c r="Y37" s="173">
        <f ca="1">(VLOOKUP(Y$13,INDIRECT($C$5&amp;"生成成长"),2))/((VLOOKUP($Q37,INDIRECT($B$5&amp;"生成成长"),4))/(VLOOKUP(Y$13,INDIRECT($C$5&amp;"生成成长"),5))*(VLOOKUP($B$5,标准坦克设计!$B$24:$U$30,MATCH("对"&amp;LEFT($C$5,2)&amp;"输出",标准坦克设计!$B$23:$U$23,0)))*(VLOOKUP($Q37,INDIRECT($B$5&amp;"生成成长"),3))*(VLOOKUP($B$5,标准坦克设计!$B$14:$K$20,9)/30))</f>
        <v>3.1295832297280213</v>
      </c>
      <c r="Z37" s="173">
        <f ca="1">(VLOOKUP(Z$13,INDIRECT($C$5&amp;"生成成长"),2))/((VLOOKUP($Q37,INDIRECT($B$5&amp;"生成成长"),4))/(VLOOKUP(Z$13,INDIRECT($C$5&amp;"生成成长"),5))*(VLOOKUP($B$5,标准坦克设计!$B$24:$U$30,MATCH("对"&amp;LEFT($C$5,2)&amp;"输出",标准坦克设计!$B$23:$U$23,0)))*(VLOOKUP($Q37,INDIRECT($B$5&amp;"生成成长"),3))*(VLOOKUP($B$5,标准坦克设计!$B$14:$K$20,9)/30))</f>
        <v>0.54409865138449687</v>
      </c>
      <c r="AA37" s="173">
        <f ca="1">(VLOOKUP(AA$13,INDIRECT($C$5&amp;"生成成长"),2))/((VLOOKUP($Q37,INDIRECT($B$5&amp;"生成成长"),4))/(VLOOKUP(AA$13,INDIRECT($C$5&amp;"生成成长"),5))*(VLOOKUP($B$5,标准坦克设计!$B$24:$U$30,MATCH("对"&amp;LEFT($C$5,2)&amp;"输出",标准坦克设计!$B$23:$U$23,0)))*(VLOOKUP($Q37,INDIRECT($B$5&amp;"生成成长"),3))*(VLOOKUP($B$5,标准坦克设计!$B$14:$K$20,9)/30))</f>
        <v>1.7232656223826712</v>
      </c>
      <c r="AB37" s="173">
        <f ca="1">(VLOOKUP(AB$13,INDIRECT($C$5&amp;"生成成长"),2))/((VLOOKUP($Q37,INDIRECT($B$5&amp;"生成成长"),4))/(VLOOKUP(AB$13,INDIRECT($C$5&amp;"生成成长"),5))*(VLOOKUP($B$5,标准坦克设计!$B$24:$U$30,MATCH("对"&amp;LEFT($C$5,2)&amp;"输出",标准坦克设计!$B$23:$U$23,0)))*(VLOOKUP($Q37,INDIRECT($B$5&amp;"生成成长"),3))*(VLOOKUP($B$5,标准坦克设计!$B$14:$K$20,9)/30))</f>
        <v>0.83295079380292536</v>
      </c>
      <c r="AC37" s="173">
        <f ca="1">(VLOOKUP(AC$13,INDIRECT($C$5&amp;"生成成长"),2))/((VLOOKUP($Q37,INDIRECT($B$5&amp;"生成成长"),4))/(VLOOKUP(AC$13,INDIRECT($C$5&amp;"生成成长"),5))*(VLOOKUP($B$5,标准坦克设计!$B$24:$U$30,MATCH("对"&amp;LEFT($C$5,2)&amp;"输出",标准坦克设计!$B$23:$U$23,0)))*(VLOOKUP($Q37,INDIRECT($B$5&amp;"生成成长"),3))*(VLOOKUP($B$5,标准坦克设计!$B$14:$K$20,9)/30))</f>
        <v>2.998286801356008</v>
      </c>
      <c r="AD37" s="173">
        <f ca="1">(VLOOKUP(AD$13,INDIRECT($C$5&amp;"生成成长"),2))/((VLOOKUP($Q37,INDIRECT($B$5&amp;"生成成长"),4))/(VLOOKUP(AD$13,INDIRECT($C$5&amp;"生成成长"),5))*(VLOOKUP($B$5,标准坦克设计!$B$24:$U$30,MATCH("对"&amp;LEFT($C$5,2)&amp;"输出",标准坦克设计!$B$23:$U$23,0)))*(VLOOKUP($Q37,INDIRECT($B$5&amp;"生成成长"),3))*(VLOOKUP($B$5,标准坦克设计!$B$14:$K$20,9)/30))</f>
        <v>1.3664597630181319</v>
      </c>
      <c r="AE37" s="173">
        <f ca="1">(VLOOKUP(AE$13,INDIRECT($C$5&amp;"生成成长"),2))/((VLOOKUP($Q37,INDIRECT($B$5&amp;"生成成长"),4))/(VLOOKUP(AE$13,INDIRECT($C$5&amp;"生成成长"),5))*(VLOOKUP($B$5,标准坦克设计!$B$24:$U$30,MATCH("对"&amp;LEFT($C$5,2)&amp;"输出",标准坦克设计!$B$23:$U$23,0)))*(VLOOKUP($Q37,INDIRECT($B$5&amp;"生成成长"),3))*(VLOOKUP($B$5,标准坦克设计!$B$14:$K$20,9)/30))</f>
        <v>5.1490473423070791</v>
      </c>
      <c r="AF37" s="173">
        <f ca="1">(VLOOKUP(AF$13,INDIRECT($C$5&amp;"生成成长"),2))/((VLOOKUP($Q37,INDIRECT($B$5&amp;"生成成长"),4))/(VLOOKUP(AF$13,INDIRECT($C$5&amp;"生成成长"),5))*(VLOOKUP($B$5,标准坦克设计!$B$24:$U$30,MATCH("对"&amp;LEFT($C$5,2)&amp;"输出",标准坦克设计!$B$23:$U$23,0)))*(VLOOKUP($Q37,INDIRECT($B$5&amp;"生成成长"),3))*(VLOOKUP($B$5,标准坦克设计!$B$14:$K$20,9)/30))</f>
        <v>2.3074174996842256</v>
      </c>
      <c r="AG37" s="173">
        <f ca="1">(VLOOKUP(AG$13,INDIRECT($C$5&amp;"生成成长"),2))/((VLOOKUP($Q37,INDIRECT($B$5&amp;"生成成长"),4))/(VLOOKUP(AG$13,INDIRECT($C$5&amp;"生成成长"),5))*(VLOOKUP($B$5,标准坦克设计!$B$24:$U$30,MATCH("对"&amp;LEFT($C$5,2)&amp;"输出",标准坦克设计!$B$23:$U$23,0)))*(VLOOKUP($Q37,INDIRECT($B$5&amp;"生成成长"),3))*(VLOOKUP($B$5,标准坦克设计!$B$14:$K$20,9)/30))</f>
        <v>8.6319586391004979</v>
      </c>
      <c r="AH37" s="173">
        <f ca="1">(VLOOKUP(AH$13,INDIRECT($C$5&amp;"生成成长"),2))/((VLOOKUP($Q37,INDIRECT($B$5&amp;"生成成长"),4))/(VLOOKUP(AH$13,INDIRECT($C$5&amp;"生成成长"),5))*(VLOOKUP($B$5,标准坦克设计!$B$24:$U$30,MATCH("对"&amp;LEFT($C$5,2)&amp;"输出",标准坦克设计!$B$23:$U$23,0)))*(VLOOKUP($Q37,INDIRECT($B$5&amp;"生成成长"),3))*(VLOOKUP($B$5,标准坦克设计!$B$14:$K$20,9)/30))</f>
        <v>0.8675333352044825</v>
      </c>
      <c r="AI37" s="173">
        <f ca="1">(VLOOKUP(AI$13,INDIRECT($C$5&amp;"生成成长"),2))/((VLOOKUP($Q37,INDIRECT($B$5&amp;"生成成长"),4))/(VLOOKUP(AI$13,INDIRECT($C$5&amp;"生成成长"),5))*(VLOOKUP($B$5,标准坦克设计!$B$24:$U$30,MATCH("对"&amp;LEFT($C$5,2)&amp;"输出",标准坦克设计!$B$23:$U$23,0)))*(VLOOKUP($Q37,INDIRECT($B$5&amp;"生成成长"),3))*(VLOOKUP($B$5,标准坦克设计!$B$14:$K$20,9)/30))</f>
        <v>3.1739739269395115</v>
      </c>
      <c r="AJ37" s="173">
        <f ca="1">(VLOOKUP(AJ$13,INDIRECT($C$5&amp;"生成成长"),2))/((VLOOKUP($Q37,INDIRECT($B$5&amp;"生成成长"),4))/(VLOOKUP(AJ$13,INDIRECT($C$5&amp;"生成成长"),5))*(VLOOKUP($B$5,标准坦克设计!$B$24:$U$30,MATCH("对"&amp;LEFT($C$5,2)&amp;"输出",标准坦克设计!$B$23:$U$23,0)))*(VLOOKUP($Q37,INDIRECT($B$5&amp;"生成成长"),3))*(VLOOKUP($B$5,标准坦克设计!$B$14:$K$20,9)/30))</f>
        <v>1.4255431557855378</v>
      </c>
      <c r="AK37" s="173">
        <f ca="1">(VLOOKUP(AK$13,INDIRECT($C$5&amp;"生成成长"),2))/((VLOOKUP($Q37,INDIRECT($B$5&amp;"生成成长"),4))/(VLOOKUP(AK$13,INDIRECT($C$5&amp;"生成成长"),5))*(VLOOKUP($B$5,标准坦克设计!$B$24:$U$30,MATCH("对"&amp;LEFT($C$5,2)&amp;"输出",标准坦克设计!$B$23:$U$23,0)))*(VLOOKUP($Q37,INDIRECT($B$5&amp;"生成成长"),3))*(VLOOKUP($B$5,标准坦克设计!$B$14:$K$20,9)/30))</f>
        <v>5.4366490425505356</v>
      </c>
      <c r="AL37" s="173">
        <f ca="1">(VLOOKUP(AL$13,INDIRECT($C$5&amp;"生成成长"),2))/((VLOOKUP($Q37,INDIRECT($B$5&amp;"生成成长"),4))/(VLOOKUP(AL$13,INDIRECT($C$5&amp;"生成成长"),5))*(VLOOKUP($B$5,标准坦克设计!$B$24:$U$30,MATCH("对"&amp;LEFT($C$5,2)&amp;"输出",标准坦克设计!$B$23:$U$23,0)))*(VLOOKUP($Q37,INDIRECT($B$5&amp;"生成成长"),3))*(VLOOKUP($B$5,标准坦克设计!$B$14:$K$20,9)/30))</f>
        <v>2.4033498602953238</v>
      </c>
      <c r="AM37" s="173">
        <f ca="1">(VLOOKUP(AM$13,INDIRECT($C$5&amp;"生成成长"),2))/((VLOOKUP($Q37,INDIRECT($B$5&amp;"生成成长"),4))/(VLOOKUP(AM$13,INDIRECT($C$5&amp;"生成成长"),5))*(VLOOKUP($B$5,标准坦克设计!$B$24:$U$30,MATCH("对"&amp;LEFT($C$5,2)&amp;"输出",标准坦克设计!$B$23:$U$23,0)))*(VLOOKUP($Q37,INDIRECT($B$5&amp;"生成成长"),3))*(VLOOKUP($B$5,标准坦克设计!$B$14:$K$20,9)/30))</f>
        <v>9.0783664955653443</v>
      </c>
    </row>
    <row r="38" spans="1:39" x14ac:dyDescent="0.15">
      <c r="A38" s="171" t="str">
        <f t="shared" si="3"/>
        <v>T5中品质</v>
      </c>
      <c r="B38" s="172">
        <v>20521</v>
      </c>
      <c r="C38" s="173">
        <f ca="1">(VLOOKUP(C$29,INDIRECT($C$5&amp;"生成成长"),2))/((VLOOKUP($B38,INDIRECT($B$5&amp;"生成成长"),4))/(VLOOKUP(C$29,INDIRECT($C$5&amp;"生成成长"),5))*(VLOOKUP($B$5,标准坦克设计!$B$24:$U$30,MATCH("对"&amp;LEFT($C$5,2)&amp;"输出",标准坦克设计!$B$23:$U$23,0)))*(VLOOKUP($B38,INDIRECT($B$5&amp;"生成成长"),3))*(VLOOKUP($B$5,标准坦克设计!$B$14:$K$20,9)/30))</f>
        <v>0.63096626800332056</v>
      </c>
      <c r="D38" s="173">
        <f ca="1">(VLOOKUP(D$29,INDIRECT($C$5&amp;"生成成长"),2))/((VLOOKUP($B38,INDIRECT($B$5&amp;"生成成长"),4))/(VLOOKUP(D$29,INDIRECT($C$5&amp;"生成成长"),5))*(VLOOKUP($B$5,标准坦克设计!$B$24:$U$30,MATCH("对"&amp;LEFT($C$5,2)&amp;"输出",标准坦克设计!$B$23:$U$23,0)))*(VLOOKUP($B38,INDIRECT($B$5&amp;"生成成长"),3))*(VLOOKUP($B$5,标准坦克设计!$B$14:$K$20,9)/30))</f>
        <v>1.1036985395562766</v>
      </c>
      <c r="E38" s="173">
        <f ca="1">(VLOOKUP(E$29,INDIRECT($C$5&amp;"生成成长"),2))/((VLOOKUP($B38,INDIRECT($B$5&amp;"生成成长"),4))/(VLOOKUP(E$29,INDIRECT($C$5&amp;"生成成长"),5))*(VLOOKUP($B$5,标准坦克设计!$B$24:$U$30,MATCH("对"&amp;LEFT($C$5,2)&amp;"输出",标准坦克设计!$B$23:$U$23,0)))*(VLOOKUP($B38,INDIRECT($B$5&amp;"生成成长"),3))*(VLOOKUP($B$5,标准坦克设计!$B$14:$K$20,9)/30))</f>
        <v>1.8968792753936976</v>
      </c>
      <c r="F38" s="173">
        <f ca="1">(VLOOKUP(F$29,INDIRECT($C$5&amp;"生成成长"),2))/((VLOOKUP($B38,INDIRECT($B$5&amp;"生成成长"),4))/(VLOOKUP(F$29,INDIRECT($C$5&amp;"生成成长"),5))*(VLOOKUP($B$5,标准坦克设计!$B$24:$U$30,MATCH("对"&amp;LEFT($C$5,2)&amp;"输出",标准坦克设计!$B$23:$U$23,0)))*(VLOOKUP($B38,INDIRECT($B$5&amp;"生成成长"),3))*(VLOOKUP($B$5,标准坦克设计!$B$14:$K$20,9)/30))</f>
        <v>3.2865151819795737</v>
      </c>
      <c r="G38" s="173">
        <f ca="1">(VLOOKUP(G$29,INDIRECT($C$5&amp;"生成成长"),2))/((VLOOKUP($B38,INDIRECT($B$5&amp;"生成成长"),4))/(VLOOKUP(G$29,INDIRECT($C$5&amp;"生成成长"),5))*(VLOOKUP($B$5,标准坦克设计!$B$24:$U$30,MATCH("对"&amp;LEFT($C$5,2)&amp;"输出",标准坦克设计!$B$23:$U$23,0)))*(VLOOKUP($B38,INDIRECT($B$5&amp;"生成成长"),3))*(VLOOKUP($B$5,标准坦克设计!$B$14:$K$20,9)/30))</f>
        <v>1.80967822703866</v>
      </c>
      <c r="H38" s="173">
        <f ca="1">(VLOOKUP(H$29,INDIRECT($C$5&amp;"生成成长"),2))/((VLOOKUP($B38,INDIRECT($B$5&amp;"生成成长"),4))/(VLOOKUP(H$29,INDIRECT($C$5&amp;"生成成长"),5))*(VLOOKUP($B$5,标准坦克设计!$B$24:$U$30,MATCH("对"&amp;LEFT($C$5,2)&amp;"输出",标准坦克设计!$B$23:$U$23,0)))*(VLOOKUP($B38,INDIRECT($B$5&amp;"生成成长"),3))*(VLOOKUP($B$5,标准坦克设计!$B$14:$K$20,9)/30))</f>
        <v>3.1486349361099624</v>
      </c>
      <c r="I38" s="173">
        <f ca="1">(VLOOKUP(I$29,INDIRECT($C$5&amp;"生成成长"),2))/((VLOOKUP($B38,INDIRECT($B$5&amp;"生成成长"),4))/(VLOOKUP(I$29,INDIRECT($C$5&amp;"生成成长"),5))*(VLOOKUP($B$5,标准坦克设计!$B$24:$U$30,MATCH("对"&amp;LEFT($C$5,2)&amp;"输出",标准坦克设计!$B$23:$U$23,0)))*(VLOOKUP($B38,INDIRECT($B$5&amp;"生成成长"),3))*(VLOOKUP($B$5,标准坦克设计!$B$14:$K$20,9)/30))</f>
        <v>5.4072446779740861</v>
      </c>
      <c r="J38" s="173">
        <f ca="1">(VLOOKUP(J$29,INDIRECT($C$5&amp;"生成成长"),2))/((VLOOKUP($B38,INDIRECT($B$5&amp;"生成成长"),4))/(VLOOKUP(J$29,INDIRECT($C$5&amp;"生成成长"),5))*(VLOOKUP($B$5,标准坦克设计!$B$24:$U$30,MATCH("对"&amp;LEFT($C$5,2)&amp;"输出",标准坦克设计!$B$23:$U$23,0)))*(VLOOKUP($B38,INDIRECT($B$5&amp;"生成成长"),3))*(VLOOKUP($B$5,标准坦克设计!$B$14:$K$20,9)/30))</f>
        <v>9.0648054501777757</v>
      </c>
      <c r="K38" s="173">
        <f ca="1">(VLOOKUP(K$29,INDIRECT($C$5&amp;"生成成长"),2))/((VLOOKUP($B38,INDIRECT($B$5&amp;"生成成长"),4))/(VLOOKUP(K$29,INDIRECT($C$5&amp;"生成成长"),5))*(VLOOKUP($B$5,标准坦克设计!$B$24:$U$30,MATCH("对"&amp;LEFT($C$5,2)&amp;"输出",标准坦克设计!$B$23:$U$23,0)))*(VLOOKUP($B38,INDIRECT($B$5&amp;"生成成长"),3))*(VLOOKUP($B$5,标准坦克设计!$B$14:$K$20,9)/30))</f>
        <v>3.3331318365354909</v>
      </c>
      <c r="L38" s="173">
        <f ca="1">(VLOOKUP(L$29,INDIRECT($C$5&amp;"生成成长"),2))/((VLOOKUP($B38,INDIRECT($B$5&amp;"生成成长"),4))/(VLOOKUP(L$29,INDIRECT($C$5&amp;"生成成长"),5))*(VLOOKUP($B$5,标准坦克设计!$B$24:$U$30,MATCH("对"&amp;LEFT($C$5,2)&amp;"输出",标准坦克设计!$B$23:$U$23,0)))*(VLOOKUP($B38,INDIRECT($B$5&amp;"生成成长"),3))*(VLOOKUP($B$5,标准坦克设计!$B$14:$K$20,9)/30))</f>
        <v>5.7092680736884747</v>
      </c>
      <c r="M38" s="173">
        <f ca="1">(VLOOKUP(M$29,INDIRECT($C$5&amp;"生成成长"),2))/((VLOOKUP($B38,INDIRECT($B$5&amp;"生成成长"),4))/(VLOOKUP(M$29,INDIRECT($C$5&amp;"生成成长"),5))*(VLOOKUP($B$5,标准坦克设计!$B$24:$U$30,MATCH("对"&amp;LEFT($C$5,2)&amp;"输出",标准坦克设计!$B$23:$U$23,0)))*(VLOOKUP($B38,INDIRECT($B$5&amp;"生成成长"),3))*(VLOOKUP($B$5,标准坦克设计!$B$14:$K$20,9)/30))</f>
        <v>9.5335982861344597</v>
      </c>
    </row>
    <row r="39" spans="1:39" x14ac:dyDescent="0.15">
      <c r="A39" s="171" t="str">
        <f t="shared" si="3"/>
        <v>T3高品质</v>
      </c>
      <c r="B39" s="172">
        <v>30315</v>
      </c>
      <c r="C39" s="173">
        <f ca="1">(VLOOKUP(C$29,INDIRECT($C$5&amp;"生成成长"),2))/((VLOOKUP($B39,INDIRECT($B$5&amp;"生成成长"),4))/(VLOOKUP(C$29,INDIRECT($C$5&amp;"生成成长"),5))*(VLOOKUP($B$5,标准坦克设计!$B$24:$U$30,MATCH("对"&amp;LEFT($C$5,2)&amp;"输出",标准坦克设计!$B$23:$U$23,0)))*(VLOOKUP($B39,INDIRECT($B$5&amp;"生成成长"),3))*(VLOOKUP($B$5,标准坦克设计!$B$14:$K$20,9)/30))</f>
        <v>1.7189551701922134</v>
      </c>
      <c r="D39" s="173">
        <f ca="1">(VLOOKUP(D$29,INDIRECT($C$5&amp;"生成成长"),2))/((VLOOKUP($B39,INDIRECT($B$5&amp;"生成成长"),4))/(VLOOKUP(D$29,INDIRECT($C$5&amp;"生成成长"),5))*(VLOOKUP($B$5,标准坦克设计!$B$24:$U$30,MATCH("对"&amp;LEFT($C$5,2)&amp;"输出",标准坦克设计!$B$23:$U$23,0)))*(VLOOKUP($B39,INDIRECT($B$5&amp;"生成成长"),3))*(VLOOKUP($B$5,标准坦克设计!$B$14:$K$20,9)/30))</f>
        <v>3.0068300115432991</v>
      </c>
      <c r="E39" s="173">
        <f ca="1">(VLOOKUP(E$29,INDIRECT($C$5&amp;"生成成长"),2))/((VLOOKUP($B39,INDIRECT($B$5&amp;"生成成长"),4))/(VLOOKUP(E$29,INDIRECT($C$5&amp;"生成成长"),5))*(VLOOKUP($B$5,标准坦克设计!$B$24:$U$30,MATCH("对"&amp;LEFT($C$5,2)&amp;"输出",标准坦克设计!$B$23:$U$23,0)))*(VLOOKUP($B39,INDIRECT($B$5&amp;"生成成长"),3))*(VLOOKUP($B$5,标准坦克设计!$B$14:$K$20,9)/30))</f>
        <v>5.1677095956123207</v>
      </c>
      <c r="F39" s="173">
        <f ca="1">(VLOOKUP(F$29,INDIRECT($C$5&amp;"生成成长"),2))/((VLOOKUP($B39,INDIRECT($B$5&amp;"生成成长"),4))/(VLOOKUP(F$29,INDIRECT($C$5&amp;"生成成长"),5))*(VLOOKUP($B$5,标准坦克设计!$B$24:$U$30,MATCH("对"&amp;LEFT($C$5,2)&amp;"输出",标准坦克设计!$B$23:$U$23,0)))*(VLOOKUP($B39,INDIRECT($B$5&amp;"生成成长"),3))*(VLOOKUP($B$5,标准坦克设计!$B$14:$K$20,9)/30))</f>
        <v>8.9535250146672851</v>
      </c>
      <c r="G39" s="173">
        <f ca="1">(VLOOKUP(G$29,INDIRECT($C$5&amp;"生成成长"),2))/((VLOOKUP($B39,INDIRECT($B$5&amp;"生成成长"),4))/(VLOOKUP(G$29,INDIRECT($C$5&amp;"生成成长"),5))*(VLOOKUP($B$5,标准坦克设计!$B$24:$U$30,MATCH("对"&amp;LEFT($C$5,2)&amp;"输出",标准坦克设计!$B$23:$U$23,0)))*(VLOOKUP($B39,INDIRECT($B$5&amp;"生成成长"),3))*(VLOOKUP($B$5,标准坦克设计!$B$14:$K$20,9)/30))</f>
        <v>4.9301458770471251</v>
      </c>
      <c r="H39" s="173">
        <f ca="1">(VLOOKUP(H$29,INDIRECT($C$5&amp;"生成成长"),2))/((VLOOKUP($B39,INDIRECT($B$5&amp;"生成成长"),4))/(VLOOKUP(H$29,INDIRECT($C$5&amp;"生成成长"),5))*(VLOOKUP($B$5,标准坦克设计!$B$24:$U$30,MATCH("对"&amp;LEFT($C$5,2)&amp;"输出",标准坦克设计!$B$23:$U$23,0)))*(VLOOKUP($B39,INDIRECT($B$5&amp;"生成成长"),3))*(VLOOKUP($B$5,标准坦克设计!$B$14:$K$20,9)/30))</f>
        <v>8.5778948526065513</v>
      </c>
      <c r="I39" s="173">
        <f ca="1">(VLOOKUP(I$29,INDIRECT($C$5&amp;"生成成长"),2))/((VLOOKUP($B39,INDIRECT($B$5&amp;"生成成长"),4))/(VLOOKUP(I$29,INDIRECT($C$5&amp;"生成成长"),5))*(VLOOKUP($B$5,标准坦克设计!$B$24:$U$30,MATCH("对"&amp;LEFT($C$5,2)&amp;"输出",标准坦克设计!$B$23:$U$23,0)))*(VLOOKUP($B39,INDIRECT($B$5&amp;"生成成长"),3))*(VLOOKUP($B$5,标准坦克设计!$B$14:$K$20,9)/30))</f>
        <v>14.73107465017285</v>
      </c>
      <c r="J39" s="173">
        <f ca="1">(VLOOKUP(J$29,INDIRECT($C$5&amp;"生成成长"),2))/((VLOOKUP($B39,INDIRECT($B$5&amp;"生成成长"),4))/(VLOOKUP(J$29,INDIRECT($C$5&amp;"生成成长"),5))*(VLOOKUP($B$5,标准坦克设计!$B$24:$U$30,MATCH("对"&amp;LEFT($C$5,2)&amp;"输出",标准坦克设计!$B$23:$U$23,0)))*(VLOOKUP($B39,INDIRECT($B$5&amp;"生成成长"),3))*(VLOOKUP($B$5,标准坦克设计!$B$14:$K$20,9)/30))</f>
        <v>24.695447261671429</v>
      </c>
      <c r="K39" s="173">
        <f ca="1">(VLOOKUP(K$29,INDIRECT($C$5&amp;"生成成长"),2))/((VLOOKUP($B39,INDIRECT($B$5&amp;"生成成长"),4))/(VLOOKUP(K$29,INDIRECT($C$5&amp;"生成成长"),5))*(VLOOKUP($B$5,标准坦克设计!$B$24:$U$30,MATCH("对"&amp;LEFT($C$5,2)&amp;"输出",标准坦克设计!$B$23:$U$23,0)))*(VLOOKUP($B39,INDIRECT($B$5&amp;"生成成长"),3))*(VLOOKUP($B$5,标准坦克设计!$B$14:$K$20,9)/30))</f>
        <v>9.0805237837449599</v>
      </c>
      <c r="L39" s="173">
        <f ca="1">(VLOOKUP(L$29,INDIRECT($C$5&amp;"生成成长"),2))/((VLOOKUP($B39,INDIRECT($B$5&amp;"生成成长"),4))/(VLOOKUP(L$29,INDIRECT($C$5&amp;"生成成长"),5))*(VLOOKUP($B$5,标准坦克设计!$B$24:$U$30,MATCH("对"&amp;LEFT($C$5,2)&amp;"输出",标准坦克设计!$B$23:$U$23,0)))*(VLOOKUP($B39,INDIRECT($B$5&amp;"生成成长"),3))*(VLOOKUP($B$5,标准坦克设计!$B$14:$K$20,9)/30))</f>
        <v>15.5538835765916</v>
      </c>
      <c r="M39" s="173">
        <f ca="1">(VLOOKUP(M$29,INDIRECT($C$5&amp;"生成成长"),2))/((VLOOKUP($B39,INDIRECT($B$5&amp;"生成成长"),4))/(VLOOKUP(M$29,INDIRECT($C$5&amp;"生成成长"),5))*(VLOOKUP($B$5,标准坦克设计!$B$24:$U$30,MATCH("对"&amp;LEFT($C$5,2)&amp;"输出",标准坦克设计!$B$23:$U$23,0)))*(VLOOKUP($B39,INDIRECT($B$5&amp;"生成成长"),3))*(VLOOKUP($B$5,标准坦克设计!$B$14:$K$20,9)/30))</f>
        <v>25.972589812677921</v>
      </c>
    </row>
    <row r="40" spans="1:39" x14ac:dyDescent="0.15">
      <c r="A40" s="171" t="str">
        <f t="shared" si="3"/>
        <v>T4高品质</v>
      </c>
      <c r="B40" s="172">
        <v>30418</v>
      </c>
      <c r="C40" s="173">
        <f ca="1">(VLOOKUP(C$29,INDIRECT($C$5&amp;"生成成长"),2))/((VLOOKUP($B40,INDIRECT($B$5&amp;"生成成长"),4))/(VLOOKUP(C$29,INDIRECT($C$5&amp;"生成成长"),5))*(VLOOKUP($B$5,标准坦克设计!$B$24:$U$30,MATCH("对"&amp;LEFT($C$5,2)&amp;"输出",标准坦克设计!$B$23:$U$23,0)))*(VLOOKUP($B40,INDIRECT($B$5&amp;"生成成长"),3))*(VLOOKUP($B$5,标准坦克设计!$B$14:$K$20,9)/30))</f>
        <v>1.0038526889591646</v>
      </c>
      <c r="D40" s="173">
        <f ca="1">(VLOOKUP(D$29,INDIRECT($C$5&amp;"生成成长"),2))/((VLOOKUP($B40,INDIRECT($B$5&amp;"生成成长"),4))/(VLOOKUP(D$29,INDIRECT($C$5&amp;"生成成长"),5))*(VLOOKUP($B$5,标准坦克设计!$B$24:$U$30,MATCH("对"&amp;LEFT($C$5,2)&amp;"输出",标准坦克设计!$B$23:$U$23,0)))*(VLOOKUP($B40,INDIRECT($B$5&amp;"生成成长"),3))*(VLOOKUP($B$5,标准坦克设计!$B$14:$K$20,9)/30))</f>
        <v>1.7559587618526076</v>
      </c>
      <c r="E40" s="173">
        <f ca="1">(VLOOKUP(E$29,INDIRECT($C$5&amp;"生成成长"),2))/((VLOOKUP($B40,INDIRECT($B$5&amp;"生成成长"),4))/(VLOOKUP(E$29,INDIRECT($C$5&amp;"生成成长"),5))*(VLOOKUP($B$5,标准坦克设计!$B$24:$U$30,MATCH("对"&amp;LEFT($C$5,2)&amp;"输出",标准坦克设计!$B$23:$U$23,0)))*(VLOOKUP($B40,INDIRECT($B$5&amp;"生成成长"),3))*(VLOOKUP($B$5,标准坦克设计!$B$14:$K$20,9)/30))</f>
        <v>3.0178909044704341</v>
      </c>
      <c r="F40" s="173">
        <f ca="1">(VLOOKUP(F$29,INDIRECT($C$5&amp;"生成成长"),2))/((VLOOKUP($B40,INDIRECT($B$5&amp;"生成成长"),4))/(VLOOKUP(F$29,INDIRECT($C$5&amp;"生成成长"),5))*(VLOOKUP($B$5,标准坦克设计!$B$24:$U$30,MATCH("对"&amp;LEFT($C$5,2)&amp;"输出",标准坦克设计!$B$23:$U$23,0)))*(VLOOKUP($B40,INDIRECT($B$5&amp;"生成成长"),3))*(VLOOKUP($B$5,标准坦克设计!$B$14:$K$20,9)/30))</f>
        <v>5.2287693812467841</v>
      </c>
      <c r="G40" s="173">
        <f ca="1">(VLOOKUP(G$29,INDIRECT($C$5&amp;"生成成长"),2))/((VLOOKUP($B40,INDIRECT($B$5&amp;"生成成长"),4))/(VLOOKUP(G$29,INDIRECT($C$5&amp;"生成成长"),5))*(VLOOKUP($B$5,标准坦克设计!$B$24:$U$30,MATCH("对"&amp;LEFT($C$5,2)&amp;"输出",标准坦克设计!$B$23:$U$23,0)))*(VLOOKUP($B40,INDIRECT($B$5&amp;"生成成长"),3))*(VLOOKUP($B$5,标准坦克设计!$B$14:$K$20,9)/30))</f>
        <v>2.8791560602952115</v>
      </c>
      <c r="H40" s="173">
        <f ca="1">(VLOOKUP(H$29,INDIRECT($C$5&amp;"生成成长"),2))/((VLOOKUP($B40,INDIRECT($B$5&amp;"生成成长"),4))/(VLOOKUP(H$29,INDIRECT($C$5&amp;"生成成长"),5))*(VLOOKUP($B$5,标准坦克设计!$B$24:$U$30,MATCH("对"&amp;LEFT($C$5,2)&amp;"输出",标准坦克设计!$B$23:$U$23,0)))*(VLOOKUP($B40,INDIRECT($B$5&amp;"生成成长"),3))*(VLOOKUP($B$5,标准坦克设计!$B$14:$K$20,9)/30))</f>
        <v>5.0094051099861954</v>
      </c>
      <c r="I40" s="173">
        <f ca="1">(VLOOKUP(I$29,INDIRECT($C$5&amp;"生成成长"),2))/((VLOOKUP($B40,INDIRECT($B$5&amp;"生成成长"),4))/(VLOOKUP(I$29,INDIRECT($C$5&amp;"生成成长"),5))*(VLOOKUP($B$5,标准坦克设计!$B$24:$U$30,MATCH("对"&amp;LEFT($C$5,2)&amp;"输出",标准坦克设计!$B$23:$U$23,0)))*(VLOOKUP($B40,INDIRECT($B$5&amp;"生成成长"),3))*(VLOOKUP($B$5,标准坦克设计!$B$14:$K$20,9)/30))</f>
        <v>8.6028007915882014</v>
      </c>
      <c r="J40" s="173">
        <f ca="1">(VLOOKUP(J$29,INDIRECT($C$5&amp;"生成成长"),2))/((VLOOKUP($B40,INDIRECT($B$5&amp;"生成成长"),4))/(VLOOKUP(J$29,INDIRECT($C$5&amp;"生成成长"),5))*(VLOOKUP($B$5,标准坦克设计!$B$24:$U$30,MATCH("对"&amp;LEFT($C$5,2)&amp;"输出",标准坦克设计!$B$23:$U$23,0)))*(VLOOKUP($B40,INDIRECT($B$5&amp;"生成成长"),3))*(VLOOKUP($B$5,标准坦克设计!$B$14:$K$20,9)/30))</f>
        <v>14.421895095673746</v>
      </c>
      <c r="K40" s="173">
        <f ca="1">(VLOOKUP(K$29,INDIRECT($C$5&amp;"生成成长"),2))/((VLOOKUP($B40,INDIRECT($B$5&amp;"生成成长"),4))/(VLOOKUP(K$29,INDIRECT($C$5&amp;"生成成长"),5))*(VLOOKUP($B$5,标准坦克设计!$B$24:$U$30,MATCH("对"&amp;LEFT($C$5,2)&amp;"输出",标准坦克设计!$B$23:$U$23,0)))*(VLOOKUP($B40,INDIRECT($B$5&amp;"生成成长"),3))*(VLOOKUP($B$5,标准坦克设计!$B$14:$K$20,9)/30))</f>
        <v>5.3029353967682207</v>
      </c>
      <c r="L40" s="173">
        <f ca="1">(VLOOKUP(L$29,INDIRECT($C$5&amp;"生成成长"),2))/((VLOOKUP($B40,INDIRECT($B$5&amp;"生成成长"),4))/(VLOOKUP(L$29,INDIRECT($C$5&amp;"生成成长"),5))*(VLOOKUP($B$5,标准坦克设计!$B$24:$U$30,MATCH("对"&amp;LEFT($C$5,2)&amp;"输出",标准坦克设计!$B$23:$U$23,0)))*(VLOOKUP($B40,INDIRECT($B$5&amp;"生成成长"),3))*(VLOOKUP($B$5,标准坦克设计!$B$14:$K$20,9)/30))</f>
        <v>9.083313004825678</v>
      </c>
      <c r="M40" s="173">
        <f ca="1">(VLOOKUP(M$29,INDIRECT($C$5&amp;"生成成长"),2))/((VLOOKUP($B40,INDIRECT($B$5&amp;"生成成长"),4))/(VLOOKUP(M$29,INDIRECT($C$5&amp;"生成成长"),5))*(VLOOKUP($B$5,标准坦克设计!$B$24:$U$30,MATCH("对"&amp;LEFT($C$5,2)&amp;"输出",标准坦克设计!$B$23:$U$23,0)))*(VLOOKUP($B40,INDIRECT($B$5&amp;"生成成长"),3))*(VLOOKUP($B$5,标准坦克设计!$B$14:$K$20,9)/30))</f>
        <v>15.167733617959742</v>
      </c>
      <c r="P40" s="275" t="s">
        <v>882</v>
      </c>
      <c r="Q40" s="276"/>
      <c r="R40" s="177" t="str">
        <f t="shared" ref="R40:AB40" si="4">"T"&amp;LEFT(RIGHT(R41,3),1)&amp;""&amp;IF(LEFT(R41,1)="1","低",IF(LEFT(R41,1)="2","中","高"))&amp;"初"</f>
        <v>T1低初</v>
      </c>
      <c r="S40" s="177" t="str">
        <f t="shared" si="4"/>
        <v>T2低初</v>
      </c>
      <c r="T40" s="177" t="str">
        <f t="shared" si="4"/>
        <v>T3低初</v>
      </c>
      <c r="U40" s="177" t="str">
        <f t="shared" si="4"/>
        <v>T4低初</v>
      </c>
      <c r="V40" s="177" t="str">
        <f t="shared" si="4"/>
        <v>T2中初</v>
      </c>
      <c r="W40" s="177" t="str">
        <f t="shared" si="4"/>
        <v>T3中初</v>
      </c>
      <c r="X40" s="177" t="str">
        <f t="shared" si="4"/>
        <v>T4中初</v>
      </c>
      <c r="Y40" s="177" t="str">
        <f t="shared" si="4"/>
        <v>T5中初</v>
      </c>
      <c r="Z40" s="177" t="str">
        <f t="shared" si="4"/>
        <v>T3高初</v>
      </c>
      <c r="AA40" s="177" t="str">
        <f t="shared" si="4"/>
        <v>T4高初</v>
      </c>
      <c r="AB40" s="177" t="str">
        <f t="shared" si="4"/>
        <v>T5高初</v>
      </c>
      <c r="AC40" s="169" t="str">
        <f t="shared" ref="AC40:AM40" si="5">"T"&amp;LEFT(RIGHT(AC41,3),1)&amp;""&amp;IF(LEFT(AC41,1)="1","低",IF(LEFT(AC41,1)="2","中","高"))&amp;"满"</f>
        <v>T1低满</v>
      </c>
      <c r="AD40" s="169" t="str">
        <f t="shared" si="5"/>
        <v>T2低满</v>
      </c>
      <c r="AE40" s="169" t="str">
        <f t="shared" si="5"/>
        <v>T3低满</v>
      </c>
      <c r="AF40" s="169" t="str">
        <f t="shared" si="5"/>
        <v>T4低满</v>
      </c>
      <c r="AG40" s="169" t="str">
        <f t="shared" si="5"/>
        <v>T2中满</v>
      </c>
      <c r="AH40" s="169" t="str">
        <f t="shared" si="5"/>
        <v>T3中满</v>
      </c>
      <c r="AI40" s="169" t="str">
        <f t="shared" si="5"/>
        <v>T4中满</v>
      </c>
      <c r="AJ40" s="169" t="str">
        <f t="shared" si="5"/>
        <v>T5中满</v>
      </c>
      <c r="AK40" s="169" t="str">
        <f t="shared" si="5"/>
        <v>T3高满</v>
      </c>
      <c r="AL40" s="169" t="str">
        <f t="shared" si="5"/>
        <v>T4高满</v>
      </c>
      <c r="AM40" s="169" t="str">
        <f t="shared" si="5"/>
        <v>T5高满</v>
      </c>
    </row>
    <row r="41" spans="1:39" x14ac:dyDescent="0.15">
      <c r="A41" s="171" t="str">
        <f t="shared" si="3"/>
        <v>T5高品质</v>
      </c>
      <c r="B41" s="172">
        <v>30521</v>
      </c>
      <c r="C41" s="173">
        <f ca="1">(VLOOKUP(C$29,INDIRECT($C$5&amp;"生成成长"),2))/((VLOOKUP($B41,INDIRECT($B$5&amp;"生成成长"),4))/(VLOOKUP(C$29,INDIRECT($C$5&amp;"生成成长"),5))*(VLOOKUP($B$5,标准坦克设计!$B$24:$U$30,MATCH("对"&amp;LEFT($C$5,2)&amp;"输出",标准坦克设计!$B$23:$U$23,0)))*(VLOOKUP($B41,INDIRECT($B$5&amp;"生成成长"),3))*(VLOOKUP($B$5,标准坦克设计!$B$14:$K$20,9)/30))</f>
        <v>0.60083746507383096</v>
      </c>
      <c r="D41" s="173">
        <f ca="1">(VLOOKUP(D$29,INDIRECT($C$5&amp;"生成成长"),2))/((VLOOKUP($B41,INDIRECT($B$5&amp;"生成成长"),4))/(VLOOKUP(D$29,INDIRECT($C$5&amp;"生成成长"),5))*(VLOOKUP($B$5,标准坦克设计!$B$24:$U$30,MATCH("对"&amp;LEFT($C$5,2)&amp;"输出",标准坦克设计!$B$23:$U$23,0)))*(VLOOKUP($B41,INDIRECT($B$5&amp;"生成成长"),3))*(VLOOKUP($B$5,标准坦克设计!$B$14:$K$20,9)/30))</f>
        <v>1.0509966480635897</v>
      </c>
      <c r="E41" s="173">
        <f ca="1">(VLOOKUP(E$29,INDIRECT($C$5&amp;"生成成长"),2))/((VLOOKUP($B41,INDIRECT($B$5&amp;"生成成长"),4))/(VLOOKUP(E$29,INDIRECT($C$5&amp;"生成成长"),5))*(VLOOKUP($B$5,标准坦克设计!$B$24:$U$30,MATCH("对"&amp;LEFT($C$5,2)&amp;"输出",标准坦克设计!$B$23:$U$23,0)))*(VLOOKUP($B41,INDIRECT($B$5&amp;"生成成长"),3))*(VLOOKUP($B$5,标准坦克设计!$B$14:$K$20,9)/30))</f>
        <v>1.8063027980643758</v>
      </c>
      <c r="F41" s="173">
        <f ca="1">(VLOOKUP(F$29,INDIRECT($C$5&amp;"生成成长"),2))/((VLOOKUP($B41,INDIRECT($B$5&amp;"生成成长"),4))/(VLOOKUP(F$29,INDIRECT($C$5&amp;"生成成长"),5))*(VLOOKUP($B$5,标准坦克设计!$B$24:$U$30,MATCH("对"&amp;LEFT($C$5,2)&amp;"输出",标准坦克设计!$B$23:$U$23,0)))*(VLOOKUP($B41,INDIRECT($B$5&amp;"生成成长"),3))*(VLOOKUP($B$5,标准坦克设计!$B$14:$K$20,9)/30))</f>
        <v>3.1295832297280213</v>
      </c>
      <c r="G41" s="173">
        <f ca="1">(VLOOKUP(G$29,INDIRECT($C$5&amp;"生成成长"),2))/((VLOOKUP($B41,INDIRECT($B$5&amp;"生成成长"),4))/(VLOOKUP(G$29,INDIRECT($C$5&amp;"生成成长"),5))*(VLOOKUP($B$5,标准坦克设计!$B$24:$U$30,MATCH("对"&amp;LEFT($C$5,2)&amp;"输出",标准坦克设计!$B$23:$U$23,0)))*(VLOOKUP($B41,INDIRECT($B$5&amp;"生成成长"),3))*(VLOOKUP($B$5,标准坦克设计!$B$14:$K$20,9)/30))</f>
        <v>1.7232656223826712</v>
      </c>
      <c r="H41" s="173">
        <f ca="1">(VLOOKUP(H$29,INDIRECT($C$5&amp;"生成成长"),2))/((VLOOKUP($B41,INDIRECT($B$5&amp;"生成成长"),4))/(VLOOKUP(H$29,INDIRECT($C$5&amp;"生成成长"),5))*(VLOOKUP($B$5,标准坦克设计!$B$24:$U$30,MATCH("对"&amp;LEFT($C$5,2)&amp;"输出",标准坦克设计!$B$23:$U$23,0)))*(VLOOKUP($B41,INDIRECT($B$5&amp;"生成成长"),3))*(VLOOKUP($B$5,标准坦克设计!$B$14:$K$20,9)/30))</f>
        <v>2.998286801356008</v>
      </c>
      <c r="I41" s="173">
        <f ca="1">(VLOOKUP(I$29,INDIRECT($C$5&amp;"生成成长"),2))/((VLOOKUP($B41,INDIRECT($B$5&amp;"生成成长"),4))/(VLOOKUP(I$29,INDIRECT($C$5&amp;"生成成长"),5))*(VLOOKUP($B$5,标准坦克设计!$B$24:$U$30,MATCH("对"&amp;LEFT($C$5,2)&amp;"输出",标准坦克设计!$B$23:$U$23,0)))*(VLOOKUP($B41,INDIRECT($B$5&amp;"生成成长"),3))*(VLOOKUP($B$5,标准坦克设计!$B$14:$K$20,9)/30))</f>
        <v>5.1490473423070791</v>
      </c>
      <c r="J41" s="173">
        <f ca="1">(VLOOKUP(J$29,INDIRECT($C$5&amp;"生成成长"),2))/((VLOOKUP($B41,INDIRECT($B$5&amp;"生成成长"),4))/(VLOOKUP(J$29,INDIRECT($C$5&amp;"生成成长"),5))*(VLOOKUP($B$5,标准坦克设计!$B$24:$U$30,MATCH("对"&amp;LEFT($C$5,2)&amp;"输出",标准坦克设计!$B$23:$U$23,0)))*(VLOOKUP($B41,INDIRECT($B$5&amp;"生成成长"),3))*(VLOOKUP($B$5,标准坦克设计!$B$14:$K$20,9)/30))</f>
        <v>8.6319586391004979</v>
      </c>
      <c r="K41" s="173">
        <f ca="1">(VLOOKUP(K$29,INDIRECT($C$5&amp;"生成成长"),2))/((VLOOKUP($B41,INDIRECT($B$5&amp;"生成成长"),4))/(VLOOKUP(K$29,INDIRECT($C$5&amp;"生成成长"),5))*(VLOOKUP($B$5,标准坦克设计!$B$24:$U$30,MATCH("对"&amp;LEFT($C$5,2)&amp;"输出",标准坦克设计!$B$23:$U$23,0)))*(VLOOKUP($B41,INDIRECT($B$5&amp;"生成成长"),3))*(VLOOKUP($B$5,标准坦克设计!$B$14:$K$20,9)/30))</f>
        <v>3.1739739269395115</v>
      </c>
      <c r="L41" s="173">
        <f ca="1">(VLOOKUP(L$29,INDIRECT($C$5&amp;"生成成长"),2))/((VLOOKUP($B41,INDIRECT($B$5&amp;"生成成长"),4))/(VLOOKUP(L$29,INDIRECT($C$5&amp;"生成成长"),5))*(VLOOKUP($B$5,标准坦克设计!$B$24:$U$30,MATCH("对"&amp;LEFT($C$5,2)&amp;"输出",标准坦克设计!$B$23:$U$23,0)))*(VLOOKUP($B41,INDIRECT($B$5&amp;"生成成长"),3))*(VLOOKUP($B$5,标准坦克设计!$B$14:$K$20,9)/30))</f>
        <v>5.4366490425505356</v>
      </c>
      <c r="M41" s="173">
        <f ca="1">(VLOOKUP(M$29,INDIRECT($C$5&amp;"生成成长"),2))/((VLOOKUP($B41,INDIRECT($B$5&amp;"生成成长"),4))/(VLOOKUP(M$29,INDIRECT($C$5&amp;"生成成长"),5))*(VLOOKUP($B$5,标准坦克设计!$B$24:$U$30,MATCH("对"&amp;LEFT($C$5,2)&amp;"输出",标准坦克设计!$B$23:$U$23,0)))*(VLOOKUP($B41,INDIRECT($B$5&amp;"生成成长"),3))*(VLOOKUP($B$5,标准坦克设计!$B$14:$K$20,9)/30))</f>
        <v>9.0783664955653443</v>
      </c>
      <c r="P41" s="275" t="s">
        <v>884</v>
      </c>
      <c r="Q41" s="276"/>
      <c r="R41" s="178">
        <v>10101</v>
      </c>
      <c r="S41" s="178">
        <v>10201</v>
      </c>
      <c r="T41" s="178">
        <v>10301</v>
      </c>
      <c r="U41" s="178">
        <v>10401</v>
      </c>
      <c r="V41" s="178">
        <v>20201</v>
      </c>
      <c r="W41" s="178">
        <v>20301</v>
      </c>
      <c r="X41" s="178">
        <v>20401</v>
      </c>
      <c r="Y41" s="178">
        <v>20501</v>
      </c>
      <c r="Z41" s="178">
        <v>30301</v>
      </c>
      <c r="AA41" s="178">
        <v>30401</v>
      </c>
      <c r="AB41" s="178">
        <v>30501</v>
      </c>
      <c r="AC41" s="170">
        <v>10105</v>
      </c>
      <c r="AD41" s="170">
        <v>10207</v>
      </c>
      <c r="AE41" s="170">
        <v>10309</v>
      </c>
      <c r="AF41" s="170">
        <v>10411</v>
      </c>
      <c r="AG41" s="170">
        <v>20212</v>
      </c>
      <c r="AH41" s="170">
        <v>20315</v>
      </c>
      <c r="AI41" s="170">
        <v>20418</v>
      </c>
      <c r="AJ41" s="170">
        <v>20521</v>
      </c>
      <c r="AK41" s="170">
        <v>30315</v>
      </c>
      <c r="AL41" s="170">
        <v>30418</v>
      </c>
      <c r="AM41" s="170">
        <v>30521</v>
      </c>
    </row>
    <row r="42" spans="1:39" x14ac:dyDescent="0.15">
      <c r="P42" s="171" t="str">
        <f t="shared" ref="P42:P53" si="6">"T"&amp;LEFT(RIGHT(Q42,3),1)&amp;""&amp;IF(LEFT(Q42,1)="1","低",IF(LEFT(Q42,1)="2","中","高"))&amp;"初"</f>
        <v>T1低初</v>
      </c>
      <c r="Q42" s="172">
        <v>10101</v>
      </c>
      <c r="R42" s="173">
        <f ca="1">(VLOOKUP(R$41,INDIRECT($C$5&amp;"生成成长"),2))/((VLOOKUP($Q42,INDIRECT($B$5&amp;"生成成长"),4))/(VLOOKUP(R$41,INDIRECT($C$5&amp;"生成成长"),5))*(VLOOKUP($B$5,标准坦克设计!$B$24:$U$30,MATCH("对"&amp;LEFT($C$5,2)&amp;"输出",标准坦克设计!$B$23:$U$23,0)))*(VLOOKUP($Q42,INDIRECT($B$5&amp;"生成成长"),3))*(VLOOKUP($B$5,标准坦克设计!$B$14:$K$20,9)/30))</f>
        <v>9.0406969250443243</v>
      </c>
      <c r="S42" s="173">
        <f ca="1">(VLOOKUP(S$41,INDIRECT($C$5&amp;"生成成长"),2))/((VLOOKUP($Q42,INDIRECT($B$5&amp;"生成成长"),4))/(VLOOKUP(S$41,INDIRECT($C$5&amp;"生成成长"),5))*(VLOOKUP($B$5,标准坦克设计!$B$24:$U$30,MATCH("对"&amp;LEFT($C$5,2)&amp;"输出",标准坦克设计!$B$23:$U$23,0)))*(VLOOKUP($Q42,INDIRECT($B$5&amp;"生成成长"),3))*(VLOOKUP($B$5,标准坦克设计!$B$14:$K$20,9)/30))</f>
        <v>12.165161782339645</v>
      </c>
      <c r="T42" s="173">
        <f ca="1">(VLOOKUP(T$41,INDIRECT($C$5&amp;"生成成长"),2))/((VLOOKUP($Q42,INDIRECT($B$5&amp;"生成成长"),4))/(VLOOKUP(T$41,INDIRECT($C$5&amp;"生成成长"),5))*(VLOOKUP($B$5,标准坦克设计!$B$24:$U$30,MATCH("对"&amp;LEFT($C$5,2)&amp;"输出",标准坦克设计!$B$23:$U$23,0)))*(VLOOKUP($Q42,INDIRECT($B$5&amp;"生成成长"),3))*(VLOOKUP($B$5,标准坦克设计!$B$14:$K$20,9)/30))</f>
        <v>18.487321142023141</v>
      </c>
      <c r="U42" s="173">
        <f ca="1">(VLOOKUP(U$41,INDIRECT($C$5&amp;"生成成长"),2))/((VLOOKUP($Q42,INDIRECT($B$5&amp;"生成成长"),4))/(VLOOKUP(U$41,INDIRECT($C$5&amp;"生成成长"),5))*(VLOOKUP($B$5,标准坦克设计!$B$24:$U$30,MATCH("对"&amp;LEFT($C$5,2)&amp;"输出",标准坦克设计!$B$23:$U$23,0)))*(VLOOKUP($Q42,INDIRECT($B$5&amp;"生成成长"),3))*(VLOOKUP($B$5,标准坦克设计!$B$14:$K$20,9)/30))</f>
        <v>30.276389932280939</v>
      </c>
      <c r="V42" s="173">
        <f ca="1">(VLOOKUP(V$41,INDIRECT($C$5&amp;"生成成长"),2))/((VLOOKUP($Q42,INDIRECT($B$5&amp;"生成成长"),4))/(VLOOKUP(V$41,INDIRECT($C$5&amp;"生成成长"),5))*(VLOOKUP($B$5,标准坦克设计!$B$24:$U$30,MATCH("对"&amp;LEFT($C$5,2)&amp;"输出",标准坦克设计!$B$23:$U$23,0)))*(VLOOKUP($Q42,INDIRECT($B$5&amp;"生成成长"),3))*(VLOOKUP($B$5,标准坦克设计!$B$14:$K$20,9)/30))</f>
        <v>12.588266398431719</v>
      </c>
      <c r="W42" s="173">
        <f ca="1">(VLOOKUP(W$41,INDIRECT($C$5&amp;"生成成长"),2))/((VLOOKUP($Q42,INDIRECT($B$5&amp;"生成成长"),4))/(VLOOKUP(W$41,INDIRECT($C$5&amp;"生成成长"),5))*(VLOOKUP($B$5,标准坦克设计!$B$24:$U$30,MATCH("对"&amp;LEFT($C$5,2)&amp;"输出",标准坦克设计!$B$23:$U$23,0)))*(VLOOKUP($Q42,INDIRECT($B$5&amp;"生成成长"),3))*(VLOOKUP($B$5,标准坦克设计!$B$14:$K$20,9)/30))</f>
        <v>19.271149565424484</v>
      </c>
      <c r="X42" s="173">
        <f ca="1">(VLOOKUP(X$41,INDIRECT($C$5&amp;"生成成长"),2))/((VLOOKUP($Q42,INDIRECT($B$5&amp;"生成成长"),4))/(VLOOKUP(X$41,INDIRECT($C$5&amp;"生成成长"),5))*(VLOOKUP($B$5,标准坦克设计!$B$24:$U$30,MATCH("对"&amp;LEFT($C$5,2)&amp;"输出",标准坦克设计!$B$23:$U$23,0)))*(VLOOKUP($Q42,INDIRECT($B$5&amp;"生成成长"),3))*(VLOOKUP($B$5,标准坦克设计!$B$14:$K$20,9)/30))</f>
        <v>31.6144130771875</v>
      </c>
      <c r="Y42" s="173">
        <f ca="1">(VLOOKUP(Y$41,INDIRECT($C$5&amp;"生成成长"),2))/((VLOOKUP($Q42,INDIRECT($B$5&amp;"生成成长"),4))/(VLOOKUP(Y$41,INDIRECT($C$5&amp;"生成成长"),5))*(VLOOKUP($B$5,标准坦克设计!$B$24:$U$30,MATCH("对"&amp;LEFT($C$5,2)&amp;"输出",标准坦克设计!$B$23:$U$23,0)))*(VLOOKUP($Q42,INDIRECT($B$5&amp;"生成成长"),3))*(VLOOKUP($B$5,标准坦克设计!$B$14:$K$20,9)/30))</f>
        <v>53.38441127269423</v>
      </c>
      <c r="Z42" s="173">
        <f ca="1">(VLOOKUP(Z$41,INDIRECT($C$5&amp;"生成成长"),2))/((VLOOKUP($Q42,INDIRECT($B$5&amp;"生成成长"),4))/(VLOOKUP(Z$41,INDIRECT($C$5&amp;"生成成长"),5))*(VLOOKUP($B$5,标准坦克设计!$B$24:$U$30,MATCH("对"&amp;LEFT($C$5,2)&amp;"输出",标准坦克设计!$B$23:$U$23,0)))*(VLOOKUP($Q42,INDIRECT($B$5&amp;"生成成长"),3))*(VLOOKUP($B$5,标准坦克设计!$B$14:$K$20,9)/30))</f>
        <v>20.071251243290909</v>
      </c>
      <c r="AA42" s="173">
        <f ca="1">(VLOOKUP(AA$41,INDIRECT($C$5&amp;"生成成长"),2))/((VLOOKUP($Q42,INDIRECT($B$5&amp;"生成成长"),4))/(VLOOKUP(AA$41,INDIRECT($C$5&amp;"生成成长"),5))*(VLOOKUP($B$5,标准坦克设计!$B$24:$U$30,MATCH("对"&amp;LEFT($C$5,2)&amp;"输出",标准坦克设计!$B$23:$U$23,0)))*(VLOOKUP($Q42,INDIRECT($B$5&amp;"生成成长"),3))*(VLOOKUP($B$5,标准坦克设计!$B$14:$K$20,9)/30))</f>
        <v>32.981366452254207</v>
      </c>
      <c r="AB42" s="173">
        <f ca="1">(VLOOKUP(AB$41,INDIRECT($C$5&amp;"生成成长"),2))/((VLOOKUP($Q42,INDIRECT($B$5&amp;"生成成长"),4))/(VLOOKUP(AB$41,INDIRECT($C$5&amp;"生成成长"),5))*(VLOOKUP($B$5,标准坦克设计!$B$24:$U$30,MATCH("对"&amp;LEFT($C$5,2)&amp;"输出",标准坦克设计!$B$23:$U$23,0)))*(VLOOKUP($Q42,INDIRECT($B$5&amp;"生成成长"),3))*(VLOOKUP($B$5,标准坦克设计!$B$14:$K$20,9)/30))</f>
        <v>55.603902367792621</v>
      </c>
      <c r="AC42" s="173">
        <f ca="1">(VLOOKUP(AC$41,INDIRECT($C$5&amp;"生成成长"),2))/((VLOOKUP($Q42,INDIRECT($B$5&amp;"生成成长"),4))/(VLOOKUP(AC$41,INDIRECT($C$5&amp;"生成成长"),5))*(VLOOKUP($B$5,标准坦克设计!$B$24:$U$30,MATCH("对"&amp;LEFT($C$5,2)&amp;"输出",标准坦克设计!$B$23:$U$23,0)))*(VLOOKUP($Q42,INDIRECT($B$5&amp;"生成成长"),3))*(VLOOKUP($B$5,标准坦克设计!$B$14:$K$20,9)/30))</f>
        <v>13.900975591948155</v>
      </c>
      <c r="AD42" s="173">
        <f ca="1">(VLOOKUP(AD$41,INDIRECT($C$5&amp;"生成成长"),2))/((VLOOKUP($Q42,INDIRECT($B$5&amp;"生成成长"),4))/(VLOOKUP(AD$41,INDIRECT($C$5&amp;"生成成长"),5))*(VLOOKUP($B$5,标准坦克设计!$B$24:$U$30,MATCH("对"&amp;LEFT($C$5,2)&amp;"输出",标准坦克设计!$B$23:$U$23,0)))*(VLOOKUP($Q42,INDIRECT($B$5&amp;"生成成长"),3))*(VLOOKUP($B$5,标准坦克设计!$B$14:$K$20,9)/30))</f>
        <v>24.315858449599215</v>
      </c>
      <c r="AE42" s="173">
        <f ca="1">(VLOOKUP(AE$41,INDIRECT($C$5&amp;"生成成长"),2))/((VLOOKUP($Q42,INDIRECT($B$5&amp;"生成成长"),4))/(VLOOKUP(AE$41,INDIRECT($C$5&amp;"生成成长"),5))*(VLOOKUP($B$5,标准坦克设计!$B$24:$U$30,MATCH("对"&amp;LEFT($C$5,2)&amp;"输出",标准坦克设计!$B$23:$U$23,0)))*(VLOOKUP($Q42,INDIRECT($B$5&amp;"生成成长"),3))*(VLOOKUP($B$5,标准坦克设计!$B$14:$K$20,9)/30))</f>
        <v>41.790621536017397</v>
      </c>
      <c r="AF42" s="173">
        <f ca="1">(VLOOKUP(AF$41,INDIRECT($C$5&amp;"生成成长"),2))/((VLOOKUP($Q42,INDIRECT($B$5&amp;"生成成长"),4))/(VLOOKUP(AF$41,INDIRECT($C$5&amp;"生成成长"),5))*(VLOOKUP($B$5,标准坦克设计!$B$24:$U$30,MATCH("对"&amp;LEFT($C$5,2)&amp;"输出",标准坦克设计!$B$23:$U$23,0)))*(VLOOKUP($Q42,INDIRECT($B$5&amp;"生成成长"),3))*(VLOOKUP($B$5,标准坦克设计!$B$14:$K$20,9)/30))</f>
        <v>72.406037602987496</v>
      </c>
      <c r="AG42" s="173">
        <f ca="1">(VLOOKUP(AG$41,INDIRECT($C$5&amp;"生成成长"),2))/((VLOOKUP($Q42,INDIRECT($B$5&amp;"生成成长"),4))/(VLOOKUP(AG$41,INDIRECT($C$5&amp;"生成成长"),5))*(VLOOKUP($B$5,标准坦克设计!$B$24:$U$30,MATCH("对"&amp;LEFT($C$5,2)&amp;"输出",标准坦克设计!$B$23:$U$23,0)))*(VLOOKUP($Q42,INDIRECT($B$5&amp;"生成成长"),3))*(VLOOKUP($B$5,标准坦克设计!$B$14:$K$20,9)/30))</f>
        <v>39.869473439445471</v>
      </c>
      <c r="AH42" s="173">
        <f ca="1">(VLOOKUP(AH$41,INDIRECT($C$5&amp;"生成成长"),2))/((VLOOKUP($Q42,INDIRECT($B$5&amp;"生成成长"),4))/(VLOOKUP(AH$41,INDIRECT($C$5&amp;"生成成长"),5))*(VLOOKUP($B$5,标准坦克设计!$B$24:$U$30,MATCH("对"&amp;LEFT($C$5,2)&amp;"输出",标准坦克设计!$B$23:$U$23,0)))*(VLOOKUP($Q42,INDIRECT($B$5&amp;"生成成长"),3))*(VLOOKUP($B$5,标准坦克设计!$B$14:$K$20,9)/30))</f>
        <v>69.368363436172601</v>
      </c>
      <c r="AI42" s="173">
        <f ca="1">(VLOOKUP(AI$41,INDIRECT($C$5&amp;"生成成长"),2))/((VLOOKUP($Q42,INDIRECT($B$5&amp;"生成成长"),4))/(VLOOKUP(AI$41,INDIRECT($C$5&amp;"生成成长"),5))*(VLOOKUP($B$5,标准坦克设计!$B$24:$U$30,MATCH("对"&amp;LEFT($C$5,2)&amp;"输出",标准坦克设计!$B$23:$U$23,0)))*(VLOOKUP($Q42,INDIRECT($B$5&amp;"生成成长"),3))*(VLOOKUP($B$5,标准坦克设计!$B$14:$K$20,9)/30))</f>
        <v>119.12835931161656</v>
      </c>
      <c r="AJ42" s="173">
        <f ca="1">(VLOOKUP(AJ$41,INDIRECT($C$5&amp;"生成成长"),2))/((VLOOKUP($Q42,INDIRECT($B$5&amp;"生成成长"),4))/(VLOOKUP(AJ$41,INDIRECT($C$5&amp;"生成成长"),5))*(VLOOKUP($B$5,标准坦克设计!$B$24:$U$30,MATCH("对"&amp;LEFT($C$5,2)&amp;"输出",标准坦克设计!$B$23:$U$23,0)))*(VLOOKUP($Q42,INDIRECT($B$5&amp;"生成成长"),3))*(VLOOKUP($B$5,标准坦克设计!$B$14:$K$20,9)/30))</f>
        <v>199.70899507422916</v>
      </c>
      <c r="AK42" s="173">
        <f ca="1">(VLOOKUP(AK$41,INDIRECT($C$5&amp;"生成成长"),2))/((VLOOKUP($Q42,INDIRECT($B$5&amp;"生成成长"),4))/(VLOOKUP(AK$41,INDIRECT($C$5&amp;"生成成长"),5))*(VLOOKUP($B$5,标准坦克设计!$B$24:$U$30,MATCH("对"&amp;LEFT($C$5,2)&amp;"输出",标准坦克设计!$B$23:$U$23,0)))*(VLOOKUP($Q42,INDIRECT($B$5&amp;"生成成长"),3))*(VLOOKUP($B$5,标准坦克设计!$B$14:$K$20,9)/30))</f>
        <v>73.433060773672537</v>
      </c>
      <c r="AL42" s="173">
        <f ca="1">(VLOOKUP(AL$41,INDIRECT($C$5&amp;"生成成长"),2))/((VLOOKUP($Q42,INDIRECT($B$5&amp;"生成成长"),4))/(VLOOKUP(AL$41,INDIRECT($C$5&amp;"生成成长"),5))*(VLOOKUP($B$5,标准坦克设计!$B$24:$U$30,MATCH("对"&amp;LEFT($C$5,2)&amp;"输出",标准坦克设计!$B$23:$U$23,0)))*(VLOOKUP($Q42,INDIRECT($B$5&amp;"生成成长"),3))*(VLOOKUP($B$5,标准坦克设计!$B$14:$K$20,9)/30))</f>
        <v>125.78231224844917</v>
      </c>
      <c r="AM42" s="173">
        <f ca="1">(VLOOKUP(AM$41,INDIRECT($C$5&amp;"生成成长"),2))/((VLOOKUP($Q42,INDIRECT($B$5&amp;"生成成长"),4))/(VLOOKUP(AM$41,INDIRECT($C$5&amp;"生成成长"),5))*(VLOOKUP($B$5,标准坦克设计!$B$24:$U$30,MATCH("对"&amp;LEFT($C$5,2)&amp;"输出",标准坦克设计!$B$23:$U$23,0)))*(VLOOKUP($Q42,INDIRECT($B$5&amp;"生成成长"),3))*(VLOOKUP($B$5,标准坦克设计!$B$14:$K$20,9)/30))</f>
        <v>210.03708724139975</v>
      </c>
    </row>
    <row r="43" spans="1:39" x14ac:dyDescent="0.15">
      <c r="P43" s="171" t="str">
        <f t="shared" si="6"/>
        <v>T2低初</v>
      </c>
      <c r="Q43" s="172">
        <v>10201</v>
      </c>
      <c r="R43" s="173">
        <f ca="1">(VLOOKUP(R$41,INDIRECT($C$5&amp;"生成成长"),2))/((VLOOKUP($Q43,INDIRECT($B$5&amp;"生成成长"),4))/(VLOOKUP(R$41,INDIRECT($C$5&amp;"生成成长"),5))*(VLOOKUP($B$5,标准坦克设计!$B$24:$U$30,MATCH("对"&amp;LEFT($C$5,2)&amp;"输出",标准坦克设计!$B$23:$U$23,0)))*(VLOOKUP($Q43,INDIRECT($B$5&amp;"生成成长"),3))*(VLOOKUP($B$5,标准坦克设计!$B$14:$K$20,9)/30))</f>
        <v>6.7771341267198846</v>
      </c>
      <c r="S43" s="173">
        <f ca="1">(VLOOKUP(S$41,INDIRECT($C$5&amp;"生成成长"),2))/((VLOOKUP($Q43,INDIRECT($B$5&amp;"生成成长"),4))/(VLOOKUP(S$41,INDIRECT($C$5&amp;"生成成长"),5))*(VLOOKUP($B$5,标准坦克设计!$B$24:$U$30,MATCH("对"&amp;LEFT($C$5,2)&amp;"输出",标准坦克设计!$B$23:$U$23,0)))*(VLOOKUP($Q43,INDIRECT($B$5&amp;"生成成长"),3))*(VLOOKUP($B$5,标准坦克设计!$B$14:$K$20,9)/30))</f>
        <v>9.1193116809142758</v>
      </c>
      <c r="T43" s="173">
        <f ca="1">(VLOOKUP(T$41,INDIRECT($C$5&amp;"生成成长"),2))/((VLOOKUP($Q43,INDIRECT($B$5&amp;"生成成长"),4))/(VLOOKUP(T$41,INDIRECT($C$5&amp;"生成成长"),5))*(VLOOKUP($B$5,标准坦克设计!$B$24:$U$30,MATCH("对"&amp;LEFT($C$5,2)&amp;"输出",标准坦克设计!$B$23:$U$23,0)))*(VLOOKUP($Q43,INDIRECT($B$5&amp;"生成成长"),3))*(VLOOKUP($B$5,标准坦克设计!$B$14:$K$20,9)/30))</f>
        <v>13.858561575729491</v>
      </c>
      <c r="U43" s="173">
        <f ca="1">(VLOOKUP(U$41,INDIRECT($C$5&amp;"生成成长"),2))/((VLOOKUP($Q43,INDIRECT($B$5&amp;"生成成长"),4))/(VLOOKUP(U$41,INDIRECT($C$5&amp;"生成成长"),5))*(VLOOKUP($B$5,标准坦克设计!$B$24:$U$30,MATCH("对"&amp;LEFT($C$5,2)&amp;"输出",标准坦克设计!$B$23:$U$23,0)))*(VLOOKUP($Q43,INDIRECT($B$5&amp;"生成成长"),3))*(VLOOKUP($B$5,标准坦克设计!$B$14:$K$20,9)/30))</f>
        <v>22.695944476972219</v>
      </c>
      <c r="V43" s="173">
        <f ca="1">(VLOOKUP(V$41,INDIRECT($C$5&amp;"生成成长"),2))/((VLOOKUP($Q43,INDIRECT($B$5&amp;"生成成长"),4))/(VLOOKUP(V$41,INDIRECT($C$5&amp;"生成成长"),5))*(VLOOKUP($B$5,标准坦克设计!$B$24:$U$30,MATCH("对"&amp;LEFT($C$5,2)&amp;"输出",标准坦克设计!$B$23:$U$23,0)))*(VLOOKUP($Q43,INDIRECT($B$5&amp;"生成成长"),3))*(VLOOKUP($B$5,标准坦克设计!$B$14:$K$20,9)/30))</f>
        <v>9.4364815580447647</v>
      </c>
      <c r="W43" s="173">
        <f ca="1">(VLOOKUP(W$41,INDIRECT($C$5&amp;"生成成长"),2))/((VLOOKUP($Q43,INDIRECT($B$5&amp;"生成成长"),4))/(VLOOKUP(W$41,INDIRECT($C$5&amp;"生成成长"),5))*(VLOOKUP($B$5,标准坦克设计!$B$24:$U$30,MATCH("对"&amp;LEFT($C$5,2)&amp;"输出",标准坦克设计!$B$23:$U$23,0)))*(VLOOKUP($Q43,INDIRECT($B$5&amp;"生成成长"),3))*(VLOOKUP($B$5,标准坦克设计!$B$14:$K$20,9)/30))</f>
        <v>14.446139104516105</v>
      </c>
      <c r="X43" s="173">
        <f ca="1">(VLOOKUP(X$41,INDIRECT($C$5&amp;"生成成长"),2))/((VLOOKUP($Q43,INDIRECT($B$5&amp;"生成成长"),4))/(VLOOKUP(X$41,INDIRECT($C$5&amp;"生成成长"),5))*(VLOOKUP($B$5,标准坦克设计!$B$24:$U$30,MATCH("对"&amp;LEFT($C$5,2)&amp;"输出",标准坦克设计!$B$23:$U$23,0)))*(VLOOKUP($Q43,INDIRECT($B$5&amp;"生成成长"),3))*(VLOOKUP($B$5,标准坦克设计!$B$14:$K$20,9)/30))</f>
        <v>23.698960327726759</v>
      </c>
      <c r="Y43" s="173">
        <f ca="1">(VLOOKUP(Y$41,INDIRECT($C$5&amp;"生成成长"),2))/((VLOOKUP($Q43,INDIRECT($B$5&amp;"生成成长"),4))/(VLOOKUP(Y$41,INDIRECT($C$5&amp;"生成成长"),5))*(VLOOKUP($B$5,标准坦克设计!$B$24:$U$30,MATCH("对"&amp;LEFT($C$5,2)&amp;"输出",标准坦克设计!$B$23:$U$23,0)))*(VLOOKUP($Q43,INDIRECT($B$5&amp;"生成成长"),3))*(VLOOKUP($B$5,标准坦克设计!$B$14:$K$20,9)/30))</f>
        <v>40.018299304868243</v>
      </c>
      <c r="Z43" s="173">
        <f ca="1">(VLOOKUP(Z$41,INDIRECT($C$5&amp;"生成成长"),2))/((VLOOKUP($Q43,INDIRECT($B$5&amp;"生成成长"),4))/(VLOOKUP(Z$41,INDIRECT($C$5&amp;"生成成长"),5))*(VLOOKUP($B$5,标准坦克设计!$B$24:$U$30,MATCH("对"&amp;LEFT($C$5,2)&amp;"输出",标准坦克设计!$B$23:$U$23,0)))*(VLOOKUP($Q43,INDIRECT($B$5&amp;"生成成长"),3))*(VLOOKUP($B$5,标准坦克设计!$B$14:$K$20,9)/30))</f>
        <v>15.045915474730814</v>
      </c>
      <c r="AA43" s="173">
        <f ca="1">(VLOOKUP(AA$41,INDIRECT($C$5&amp;"生成成长"),2))/((VLOOKUP($Q43,INDIRECT($B$5&amp;"生成成长"),4))/(VLOOKUP(AA$41,INDIRECT($C$5&amp;"生成成长"),5))*(VLOOKUP($B$5,标准坦克设计!$B$24:$U$30,MATCH("对"&amp;LEFT($C$5,2)&amp;"输出",标准坦克设计!$B$23:$U$23,0)))*(VLOOKUP($Q43,INDIRECT($B$5&amp;"生成成长"),3))*(VLOOKUP($B$5,标准坦克设计!$B$14:$K$20,9)/30))</f>
        <v>24.72366300768681</v>
      </c>
      <c r="AB43" s="173">
        <f ca="1">(VLOOKUP(AB$41,INDIRECT($C$5&amp;"生成成长"),2))/((VLOOKUP($Q43,INDIRECT($B$5&amp;"生成成长"),4))/(VLOOKUP(AB$41,INDIRECT($C$5&amp;"生成成长"),5))*(VLOOKUP($B$5,标准坦克设计!$B$24:$U$30,MATCH("对"&amp;LEFT($C$5,2)&amp;"输出",标准坦克设计!$B$23:$U$23,0)))*(VLOOKUP($Q43,INDIRECT($B$5&amp;"生成成长"),3))*(VLOOKUP($B$5,标准坦克设计!$B$14:$K$20,9)/30))</f>
        <v>41.682085732977967</v>
      </c>
      <c r="AC43" s="173">
        <f ca="1">(VLOOKUP(AC$41,INDIRECT($C$5&amp;"生成成长"),2))/((VLOOKUP($Q43,INDIRECT($B$5&amp;"生成成长"),4))/(VLOOKUP(AC$41,INDIRECT($C$5&amp;"生成成长"),5))*(VLOOKUP($B$5,标准坦克设计!$B$24:$U$30,MATCH("对"&amp;LEFT($C$5,2)&amp;"输出",标准坦克设计!$B$23:$U$23,0)))*(VLOOKUP($Q43,INDIRECT($B$5&amp;"生成成长"),3))*(VLOOKUP($B$5,标准坦克设计!$B$14:$K$20,9)/30))</f>
        <v>10.420521433244492</v>
      </c>
      <c r="AD43" s="173">
        <f ca="1">(VLOOKUP(AD$41,INDIRECT($C$5&amp;"生成成长"),2))/((VLOOKUP($Q43,INDIRECT($B$5&amp;"生成成长"),4))/(VLOOKUP(AD$41,INDIRECT($C$5&amp;"生成成长"),5))*(VLOOKUP($B$5,标准坦克设计!$B$24:$U$30,MATCH("对"&amp;LEFT($C$5,2)&amp;"输出",标准坦克设计!$B$23:$U$23,0)))*(VLOOKUP($Q43,INDIRECT($B$5&amp;"生成成长"),3))*(VLOOKUP($B$5,标准坦克设计!$B$14:$K$20,9)/30))</f>
        <v>18.227779947225798</v>
      </c>
      <c r="AE43" s="173">
        <f ca="1">(VLOOKUP(AE$41,INDIRECT($C$5&amp;"生成成长"),2))/((VLOOKUP($Q43,INDIRECT($B$5&amp;"生成成长"),4))/(VLOOKUP(AE$41,INDIRECT($C$5&amp;"生成成长"),5))*(VLOOKUP($B$5,标准坦克设计!$B$24:$U$30,MATCH("对"&amp;LEFT($C$5,2)&amp;"输出",标准坦克设计!$B$23:$U$23,0)))*(VLOOKUP($Q43,INDIRECT($B$5&amp;"生成成长"),3))*(VLOOKUP($B$5,标准坦克设计!$B$14:$K$20,9)/30))</f>
        <v>31.327302500762659</v>
      </c>
      <c r="AF43" s="173">
        <f ca="1">(VLOOKUP(AF$41,INDIRECT($C$5&amp;"生成成长"),2))/((VLOOKUP($Q43,INDIRECT($B$5&amp;"生成成长"),4))/(VLOOKUP(AF$41,INDIRECT($C$5&amp;"生成成长"),5))*(VLOOKUP($B$5,标准坦克设计!$B$24:$U$30,MATCH("对"&amp;LEFT($C$5,2)&amp;"输出",标准坦克设计!$B$23:$U$23,0)))*(VLOOKUP($Q43,INDIRECT($B$5&amp;"生成成长"),3))*(VLOOKUP($B$5,标准坦克设计!$B$14:$K$20,9)/30))</f>
        <v>54.277389507486866</v>
      </c>
      <c r="AG43" s="173">
        <f ca="1">(VLOOKUP(AG$41,INDIRECT($C$5&amp;"生成成长"),2))/((VLOOKUP($Q43,INDIRECT($B$5&amp;"生成成长"),4))/(VLOOKUP(AG$41,INDIRECT($C$5&amp;"生成成长"),5))*(VLOOKUP($B$5,标准坦克设计!$B$24:$U$30,MATCH("对"&amp;LEFT($C$5,2)&amp;"输出",标准坦克设计!$B$23:$U$23,0)))*(VLOOKUP($Q43,INDIRECT($B$5&amp;"生成成长"),3))*(VLOOKUP($B$5,标准坦克设计!$B$14:$K$20,9)/30))</f>
        <v>29.88716149883469</v>
      </c>
      <c r="AH43" s="173">
        <f ca="1">(VLOOKUP(AH$41,INDIRECT($C$5&amp;"生成成长"),2))/((VLOOKUP($Q43,INDIRECT($B$5&amp;"生成成长"),4))/(VLOOKUP(AH$41,INDIRECT($C$5&amp;"生成成长"),5))*(VLOOKUP($B$5,标准坦克设计!$B$24:$U$30,MATCH("对"&amp;LEFT($C$5,2)&amp;"输出",标准坦克设计!$B$23:$U$23,0)))*(VLOOKUP($Q43,INDIRECT($B$5&amp;"生成成长"),3))*(VLOOKUP($B$5,标准坦克设计!$B$14:$K$20,9)/30))</f>
        <v>52.000272440908994</v>
      </c>
      <c r="AI43" s="173">
        <f ca="1">(VLOOKUP(AI$41,INDIRECT($C$5&amp;"生成成长"),2))/((VLOOKUP($Q43,INDIRECT($B$5&amp;"生成成长"),4))/(VLOOKUP(AI$41,INDIRECT($C$5&amp;"生成成长"),5))*(VLOOKUP($B$5,标准坦克设计!$B$24:$U$30,MATCH("对"&amp;LEFT($C$5,2)&amp;"输出",标准坦克设计!$B$23:$U$23,0)))*(VLOOKUP($Q43,INDIRECT($B$5&amp;"生成成长"),3))*(VLOOKUP($B$5,标准坦克设计!$B$14:$K$20,9)/30))</f>
        <v>89.301618674375234</v>
      </c>
      <c r="AJ43" s="173">
        <f ca="1">(VLOOKUP(AJ$41,INDIRECT($C$5&amp;"生成成长"),2))/((VLOOKUP($Q43,INDIRECT($B$5&amp;"生成成长"),4))/(VLOOKUP(AJ$41,INDIRECT($C$5&amp;"生成成长"),5))*(VLOOKUP($B$5,标准坦克设计!$B$24:$U$30,MATCH("对"&amp;LEFT($C$5,2)&amp;"输出",标准坦克设计!$B$23:$U$23,0)))*(VLOOKUP($Q43,INDIRECT($B$5&amp;"生成成长"),3))*(VLOOKUP($B$5,标准坦克设计!$B$14:$K$20,9)/30))</f>
        <v>149.70689285924226</v>
      </c>
      <c r="AK43" s="173">
        <f ca="1">(VLOOKUP(AK$41,INDIRECT($C$5&amp;"生成成长"),2))/((VLOOKUP($Q43,INDIRECT($B$5&amp;"生成成长"),4))/(VLOOKUP(AK$41,INDIRECT($C$5&amp;"生成成长"),5))*(VLOOKUP($B$5,标准坦克设计!$B$24:$U$30,MATCH("对"&amp;LEFT($C$5,2)&amp;"输出",标准坦克设计!$B$23:$U$23,0)))*(VLOOKUP($Q43,INDIRECT($B$5&amp;"生成成长"),3))*(VLOOKUP($B$5,标准坦克设计!$B$14:$K$20,9)/30))</f>
        <v>55.047271944282251</v>
      </c>
      <c r="AL43" s="173">
        <f ca="1">(VLOOKUP(AL$41,INDIRECT($C$5&amp;"生成成长"),2))/((VLOOKUP($Q43,INDIRECT($B$5&amp;"生成成长"),4))/(VLOOKUP(AL$41,INDIRECT($C$5&amp;"生成成长"),5))*(VLOOKUP($B$5,标准坦克设计!$B$24:$U$30,MATCH("对"&amp;LEFT($C$5,2)&amp;"输出",标准坦克设计!$B$23:$U$23,0)))*(VLOOKUP($Q43,INDIRECT($B$5&amp;"生成成长"),3))*(VLOOKUP($B$5,标准坦克设计!$B$14:$K$20,9)/30))</f>
        <v>94.289589391641087</v>
      </c>
      <c r="AM43" s="173">
        <f ca="1">(VLOOKUP(AM$41,INDIRECT($C$5&amp;"生成成长"),2))/((VLOOKUP($Q43,INDIRECT($B$5&amp;"生成成长"),4))/(VLOOKUP(AM$41,INDIRECT($C$5&amp;"生成成长"),5))*(VLOOKUP($B$5,标准坦克设计!$B$24:$U$30,MATCH("对"&amp;LEFT($C$5,2)&amp;"输出",标准坦克设计!$B$23:$U$23,0)))*(VLOOKUP($Q43,INDIRECT($B$5&amp;"生成成长"),3))*(VLOOKUP($B$5,标准坦克设计!$B$14:$K$20,9)/30))</f>
        <v>157.44909088560703</v>
      </c>
    </row>
    <row r="44" spans="1:39" x14ac:dyDescent="0.15">
      <c r="P44" s="171" t="str">
        <f t="shared" si="6"/>
        <v>T3低初</v>
      </c>
      <c r="Q44" s="172">
        <v>10301</v>
      </c>
      <c r="R44" s="173">
        <f ca="1">(VLOOKUP(R$41,INDIRECT($C$5&amp;"生成成长"),2))/((VLOOKUP($Q44,INDIRECT($B$5&amp;"生成成长"),4))/(VLOOKUP(R$41,INDIRECT($C$5&amp;"生成成长"),5))*(VLOOKUP($B$5,标准坦克设计!$B$24:$U$30,MATCH("对"&amp;LEFT($C$5,2)&amp;"输出",标准坦克设计!$B$23:$U$23,0)))*(VLOOKUP($Q44,INDIRECT($B$5&amp;"生成成长"),3))*(VLOOKUP($B$5,标准坦克设计!$B$14:$K$20,9)/30))</f>
        <v>4.4366074960345108</v>
      </c>
      <c r="S44" s="173">
        <f ca="1">(VLOOKUP(S$41,INDIRECT($C$5&amp;"生成成长"),2))/((VLOOKUP($Q44,INDIRECT($B$5&amp;"生成成长"),4))/(VLOOKUP(S$41,INDIRECT($C$5&amp;"生成成长"),5))*(VLOOKUP($B$5,标准坦克设计!$B$24:$U$30,MATCH("对"&amp;LEFT($C$5,2)&amp;"输出",标准坦克设计!$B$23:$U$23,0)))*(VLOOKUP($Q44,INDIRECT($B$5&amp;"生成成长"),3))*(VLOOKUP($B$5,标准坦克设计!$B$14:$K$20,9)/30))</f>
        <v>5.9698990466640387</v>
      </c>
      <c r="T44" s="173">
        <f ca="1">(VLOOKUP(T$41,INDIRECT($C$5&amp;"生成成长"),2))/((VLOOKUP($Q44,INDIRECT($B$5&amp;"生成成长"),4))/(VLOOKUP(T$41,INDIRECT($C$5&amp;"生成成长"),5))*(VLOOKUP($B$5,标准坦克设计!$B$24:$U$30,MATCH("对"&amp;LEFT($C$5,2)&amp;"输出",标准坦克设计!$B$23:$U$23,0)))*(VLOOKUP($Q44,INDIRECT($B$5&amp;"生成成长"),3))*(VLOOKUP($B$5,标准坦克设计!$B$14:$K$20,9)/30))</f>
        <v>9.0724186686409709</v>
      </c>
      <c r="U44" s="173">
        <f ca="1">(VLOOKUP(U$41,INDIRECT($C$5&amp;"生成成长"),2))/((VLOOKUP($Q44,INDIRECT($B$5&amp;"生成成长"),4))/(VLOOKUP(U$41,INDIRECT($C$5&amp;"生成成长"),5))*(VLOOKUP($B$5,标准坦克设计!$B$24:$U$30,MATCH("对"&amp;LEFT($C$5,2)&amp;"输出",标准坦克设计!$B$23:$U$23,0)))*(VLOOKUP($Q44,INDIRECT($B$5&amp;"生成成长"),3))*(VLOOKUP($B$5,标准坦克设计!$B$14:$K$20,9)/30))</f>
        <v>14.857754843469975</v>
      </c>
      <c r="V44" s="173">
        <f ca="1">(VLOOKUP(V$41,INDIRECT($C$5&amp;"生成成长"),2))/((VLOOKUP($Q44,INDIRECT($B$5&amp;"生成成长"),4))/(VLOOKUP(V$41,INDIRECT($C$5&amp;"生成成长"),5))*(VLOOKUP($B$5,标准坦克设计!$B$24:$U$30,MATCH("对"&amp;LEFT($C$5,2)&amp;"输出",标准坦克设计!$B$23:$U$23,0)))*(VLOOKUP($Q44,INDIRECT($B$5&amp;"生成成长"),3))*(VLOOKUP($B$5,标准坦克设计!$B$14:$K$20,9)/30))</f>
        <v>6.1775322774784529</v>
      </c>
      <c r="W44" s="173">
        <f ca="1">(VLOOKUP(W$41,INDIRECT($C$5&amp;"生成成长"),2))/((VLOOKUP($Q44,INDIRECT($B$5&amp;"生成成长"),4))/(VLOOKUP(W$41,INDIRECT($C$5&amp;"生成成长"),5))*(VLOOKUP($B$5,标准坦克设计!$B$24:$U$30,MATCH("对"&amp;LEFT($C$5,2)&amp;"输出",标准坦克设计!$B$23:$U$23,0)))*(VLOOKUP($Q44,INDIRECT($B$5&amp;"生成成长"),3))*(VLOOKUP($B$5,标准坦克设计!$B$14:$K$20,9)/30))</f>
        <v>9.4570725385471643</v>
      </c>
      <c r="X44" s="173">
        <f ca="1">(VLOOKUP(X$41,INDIRECT($C$5&amp;"生成成长"),2))/((VLOOKUP($Q44,INDIRECT($B$5&amp;"生成成长"),4))/(VLOOKUP(X$41,INDIRECT($C$5&amp;"生成成长"),5))*(VLOOKUP($B$5,标准坦克设计!$B$24:$U$30,MATCH("对"&amp;LEFT($C$5,2)&amp;"输出",标准坦克设计!$B$23:$U$23,0)))*(VLOOKUP($Q44,INDIRECT($B$5&amp;"生成成长"),3))*(VLOOKUP($B$5,标准坦克设计!$B$14:$K$20,9)/30))</f>
        <v>15.514372752883082</v>
      </c>
      <c r="Y44" s="173">
        <f ca="1">(VLOOKUP(Y$41,INDIRECT($C$5&amp;"生成成长"),2))/((VLOOKUP($Q44,INDIRECT($B$5&amp;"生成成长"),4))/(VLOOKUP(Y$41,INDIRECT($C$5&amp;"生成成长"),5))*(VLOOKUP($B$5,标准坦克设计!$B$24:$U$30,MATCH("对"&amp;LEFT($C$5,2)&amp;"输出",标准坦克设计!$B$23:$U$23,0)))*(VLOOKUP($Q44,INDIRECT($B$5&amp;"生成成长"),3))*(VLOOKUP($B$5,标准坦克设计!$B$14:$K$20,9)/30))</f>
        <v>26.197723603334182</v>
      </c>
      <c r="Z44" s="173">
        <f ca="1">(VLOOKUP(Z$41,INDIRECT($C$5&amp;"生成成长"),2))/((VLOOKUP($Q44,INDIRECT($B$5&amp;"生成成长"),4))/(VLOOKUP(Z$41,INDIRECT($C$5&amp;"生成成长"),5))*(VLOOKUP($B$5,标准坦克设计!$B$24:$U$30,MATCH("对"&amp;LEFT($C$5,2)&amp;"输出",标准坦克设计!$B$23:$U$23,0)))*(VLOOKUP($Q44,INDIRECT($B$5&amp;"生成成长"),3))*(VLOOKUP($B$5,标准坦克设计!$B$14:$K$20,9)/30))</f>
        <v>9.8497123019462176</v>
      </c>
      <c r="AA44" s="173">
        <f ca="1">(VLOOKUP(AA$41,INDIRECT($C$5&amp;"生成成长"),2))/((VLOOKUP($Q44,INDIRECT($B$5&amp;"生成成长"),4))/(VLOOKUP(AA$41,INDIRECT($C$5&amp;"生成成长"),5))*(VLOOKUP($B$5,标准坦克设计!$B$24:$U$30,MATCH("对"&amp;LEFT($C$5,2)&amp;"输出",标准坦克设计!$B$23:$U$23,0)))*(VLOOKUP($Q44,INDIRECT($B$5&amp;"生成成长"),3))*(VLOOKUP($B$5,标准坦克设计!$B$14:$K$20,9)/30))</f>
        <v>16.185187806283501</v>
      </c>
      <c r="AB44" s="173">
        <f ca="1">(VLOOKUP(AB$41,INDIRECT($C$5&amp;"生成成长"),2))/((VLOOKUP($Q44,INDIRECT($B$5&amp;"生成成长"),4))/(VLOOKUP(AB$41,INDIRECT($C$5&amp;"生成成长"),5))*(VLOOKUP($B$5,标准坦克设计!$B$24:$U$30,MATCH("对"&amp;LEFT($C$5,2)&amp;"输出",标准坦克设计!$B$23:$U$23,0)))*(VLOOKUP($Q44,INDIRECT($B$5&amp;"生成成长"),3))*(VLOOKUP($B$5,标准坦克设计!$B$14:$K$20,9)/30))</f>
        <v>27.286910743610655</v>
      </c>
      <c r="AC44" s="173">
        <f ca="1">(VLOOKUP(AC$41,INDIRECT($C$5&amp;"生成成长"),2))/((VLOOKUP($Q44,INDIRECT($B$5&amp;"生成成长"),4))/(VLOOKUP(AC$41,INDIRECT($C$5&amp;"生成成长"),5))*(VLOOKUP($B$5,标准坦克设计!$B$24:$U$30,MATCH("对"&amp;LEFT($C$5,2)&amp;"输出",标准坦克设计!$B$23:$U$23,0)))*(VLOOKUP($Q44,INDIRECT($B$5&amp;"生成成长"),3))*(VLOOKUP($B$5,标准坦克设计!$B$14:$K$20,9)/30))</f>
        <v>6.8217276859026637</v>
      </c>
      <c r="AD44" s="173">
        <f ca="1">(VLOOKUP(AD$41,INDIRECT($C$5&amp;"生成成长"),2))/((VLOOKUP($Q44,INDIRECT($B$5&amp;"生成成长"),4))/(VLOOKUP(AD$41,INDIRECT($C$5&amp;"生成成长"),5))*(VLOOKUP($B$5,标准坦克设计!$B$24:$U$30,MATCH("对"&amp;LEFT($C$5,2)&amp;"输出",标准坦克设计!$B$23:$U$23,0)))*(VLOOKUP($Q44,INDIRECT($B$5&amp;"生成成长"),3))*(VLOOKUP($B$5,标准坦克设计!$B$14:$K$20,9)/30))</f>
        <v>11.932699521334422</v>
      </c>
      <c r="AE44" s="173">
        <f ca="1">(VLOOKUP(AE$41,INDIRECT($C$5&amp;"生成成长"),2))/((VLOOKUP($Q44,INDIRECT($B$5&amp;"生成成长"),4))/(VLOOKUP(AE$41,INDIRECT($C$5&amp;"生成成长"),5))*(VLOOKUP($B$5,标准坦克设计!$B$24:$U$30,MATCH("对"&amp;LEFT($C$5,2)&amp;"输出",标准坦克设计!$B$23:$U$23,0)))*(VLOOKUP($Q44,INDIRECT($B$5&amp;"生成成长"),3))*(VLOOKUP($B$5,标准坦克设计!$B$14:$K$20,9)/30))</f>
        <v>20.50821815041953</v>
      </c>
      <c r="AF44" s="173">
        <f ca="1">(VLOOKUP(AF$41,INDIRECT($C$5&amp;"生成成长"),2))/((VLOOKUP($Q44,INDIRECT($B$5&amp;"生成成长"),4))/(VLOOKUP(AF$41,INDIRECT($C$5&amp;"生成成长"),5))*(VLOOKUP($B$5,标准坦克设计!$B$24:$U$30,MATCH("对"&amp;LEFT($C$5,2)&amp;"输出",标准坦克设计!$B$23:$U$23,0)))*(VLOOKUP($Q44,INDIRECT($B$5&amp;"生成成长"),3))*(VLOOKUP($B$5,标准坦克设计!$B$14:$K$20,9)/30))</f>
        <v>35.532345774990794</v>
      </c>
      <c r="AG44" s="173">
        <f ca="1">(VLOOKUP(AG$41,INDIRECT($C$5&amp;"生成成长"),2))/((VLOOKUP($Q44,INDIRECT($B$5&amp;"生成成长"),4))/(VLOOKUP(AG$41,INDIRECT($C$5&amp;"生成成长"),5))*(VLOOKUP($B$5,标准坦克设计!$B$24:$U$30,MATCH("对"&amp;LEFT($C$5,2)&amp;"输出",标准坦克设计!$B$23:$U$23,0)))*(VLOOKUP($Q44,INDIRECT($B$5&amp;"生成成长"),3))*(VLOOKUP($B$5,标准坦克设计!$B$14:$K$20,9)/30))</f>
        <v>19.565439057512194</v>
      </c>
      <c r="AH44" s="173">
        <f ca="1">(VLOOKUP(AH$41,INDIRECT($C$5&amp;"生成成长"),2))/((VLOOKUP($Q44,INDIRECT($B$5&amp;"生成成长"),4))/(VLOOKUP(AH$41,INDIRECT($C$5&amp;"生成成长"),5))*(VLOOKUP($B$5,标准坦克设计!$B$24:$U$30,MATCH("对"&amp;LEFT($C$5,2)&amp;"输出",标准坦克设计!$B$23:$U$23,0)))*(VLOOKUP($Q44,INDIRECT($B$5&amp;"生成成长"),3))*(VLOOKUP($B$5,标准坦克设计!$B$14:$K$20,9)/30))</f>
        <v>34.041645656323197</v>
      </c>
      <c r="AI44" s="173">
        <f ca="1">(VLOOKUP(AI$41,INDIRECT($C$5&amp;"生成成长"),2))/((VLOOKUP($Q44,INDIRECT($B$5&amp;"生成成长"),4))/(VLOOKUP(AI$41,INDIRECT($C$5&amp;"生成成长"),5))*(VLOOKUP($B$5,标准坦克设计!$B$24:$U$30,MATCH("对"&amp;LEFT($C$5,2)&amp;"输出",标准坦克设计!$B$23:$U$23,0)))*(VLOOKUP($Q44,INDIRECT($B$5&amp;"生成成长"),3))*(VLOOKUP($B$5,标准坦克设计!$B$14:$K$20,9)/30))</f>
        <v>58.460733314497148</v>
      </c>
      <c r="AJ44" s="173">
        <f ca="1">(VLOOKUP(AJ$41,INDIRECT($C$5&amp;"生成成长"),2))/((VLOOKUP($Q44,INDIRECT($B$5&amp;"生成成长"),4))/(VLOOKUP(AJ$41,INDIRECT($C$5&amp;"生成成长"),5))*(VLOOKUP($B$5,标准坦克设计!$B$24:$U$30,MATCH("对"&amp;LEFT($C$5,2)&amp;"输出",标准坦克设计!$B$23:$U$23,0)))*(VLOOKUP($Q44,INDIRECT($B$5&amp;"生成成长"),3))*(VLOOKUP($B$5,标准坦克设计!$B$14:$K$20,9)/30))</f>
        <v>98.004659587402358</v>
      </c>
      <c r="AK44" s="173">
        <f ca="1">(VLOOKUP(AK$41,INDIRECT($C$5&amp;"生成成长"),2))/((VLOOKUP($Q44,INDIRECT($B$5&amp;"生成成长"),4))/(VLOOKUP(AK$41,INDIRECT($C$5&amp;"生成成长"),5))*(VLOOKUP($B$5,标准坦克设计!$B$24:$U$30,MATCH("对"&amp;LEFT($C$5,2)&amp;"输出",标准坦克设计!$B$23:$U$23,0)))*(VLOOKUP($Q44,INDIRECT($B$5&amp;"生成成长"),3))*(VLOOKUP($B$5,标准坦克设计!$B$14:$K$20,9)/30))</f>
        <v>36.036344386540321</v>
      </c>
      <c r="AL44" s="173">
        <f ca="1">(VLOOKUP(AL$41,INDIRECT($C$5&amp;"生成成长"),2))/((VLOOKUP($Q44,INDIRECT($B$5&amp;"生成成长"),4))/(VLOOKUP(AL$41,INDIRECT($C$5&amp;"生成成长"),5))*(VLOOKUP($B$5,标准坦克设计!$B$24:$U$30,MATCH("对"&amp;LEFT($C$5,2)&amp;"输出",标准坦克设计!$B$23:$U$23,0)))*(VLOOKUP($Q44,INDIRECT($B$5&amp;"生成成长"),3))*(VLOOKUP($B$5,标准坦克设计!$B$14:$K$20,9)/30))</f>
        <v>61.726076431578555</v>
      </c>
      <c r="AM44" s="173">
        <f ca="1">(VLOOKUP(AM$41,INDIRECT($C$5&amp;"生成成长"),2))/((VLOOKUP($Q44,INDIRECT($B$5&amp;"生成成长"),4))/(VLOOKUP(AM$41,INDIRECT($C$5&amp;"生成成长"),5))*(VLOOKUP($B$5,标准坦克设计!$B$24:$U$30,MATCH("对"&amp;LEFT($C$5,2)&amp;"输出",标准坦克设计!$B$23:$U$23,0)))*(VLOOKUP($Q44,INDIRECT($B$5&amp;"生成成长"),3))*(VLOOKUP($B$5,标准坦克设计!$B$14:$K$20,9)/30))</f>
        <v>103.07303999087218</v>
      </c>
    </row>
    <row r="45" spans="1:39" x14ac:dyDescent="0.15">
      <c r="P45" s="171" t="str">
        <f t="shared" si="6"/>
        <v>T4低初</v>
      </c>
      <c r="Q45" s="172">
        <v>10401</v>
      </c>
      <c r="R45" s="173">
        <f ca="1">(VLOOKUP(R$41,INDIRECT($C$5&amp;"生成成长"),2))/((VLOOKUP($Q45,INDIRECT($B$5&amp;"生成成长"),4))/(VLOOKUP(R$41,INDIRECT($C$5&amp;"生成成长"),5))*(VLOOKUP($B$5,标准坦克设计!$B$24:$U$30,MATCH("对"&amp;LEFT($C$5,2)&amp;"输出",标准坦克设计!$B$23:$U$23,0)))*(VLOOKUP($Q45,INDIRECT($B$5&amp;"生成成长"),3))*(VLOOKUP($B$5,标准坦克设计!$B$14:$K$20,9)/30))</f>
        <v>2.7069981061589412</v>
      </c>
      <c r="S45" s="173">
        <f ca="1">(VLOOKUP(S$41,INDIRECT($C$5&amp;"生成成长"),2))/((VLOOKUP($Q45,INDIRECT($B$5&amp;"生成成长"),4))/(VLOOKUP(S$41,INDIRECT($C$5&amp;"生成成长"),5))*(VLOOKUP($B$5,标准坦克设计!$B$24:$U$30,MATCH("对"&amp;LEFT($C$5,2)&amp;"输出",标准坦克设计!$B$23:$U$23,0)))*(VLOOKUP($Q45,INDIRECT($B$5&amp;"生成成长"),3))*(VLOOKUP($B$5,标准坦克设计!$B$14:$K$20,9)/30))</f>
        <v>3.6425366516474713</v>
      </c>
      <c r="T45" s="173">
        <f ca="1">(VLOOKUP(T$41,INDIRECT($C$5&amp;"生成成长"),2))/((VLOOKUP($Q45,INDIRECT($B$5&amp;"生成成长"),4))/(VLOOKUP(T$41,INDIRECT($C$5&amp;"生成成长"),5))*(VLOOKUP($B$5,标准坦克设计!$B$24:$U$30,MATCH("对"&amp;LEFT($C$5,2)&amp;"输出",标准坦克设计!$B$23:$U$23,0)))*(VLOOKUP($Q45,INDIRECT($B$5&amp;"生成成长"),3))*(VLOOKUP($B$5,标准坦克设计!$B$14:$K$20,9)/30))</f>
        <v>5.5355404272844195</v>
      </c>
      <c r="U45" s="173">
        <f ca="1">(VLOOKUP(U$41,INDIRECT($C$5&amp;"生成成长"),2))/((VLOOKUP($Q45,INDIRECT($B$5&amp;"生成成长"),4))/(VLOOKUP(U$41,INDIRECT($C$5&amp;"生成成长"),5))*(VLOOKUP($B$5,标准坦克设计!$B$24:$U$30,MATCH("对"&amp;LEFT($C$5,2)&amp;"输出",标准坦克设计!$B$23:$U$23,0)))*(VLOOKUP($Q45,INDIRECT($B$5&amp;"生成成长"),3))*(VLOOKUP($B$5,标准坦克设计!$B$14:$K$20,9)/30))</f>
        <v>9.0654659577156806</v>
      </c>
      <c r="V45" s="173">
        <f ca="1">(VLOOKUP(V$41,INDIRECT($C$5&amp;"生成成长"),2))/((VLOOKUP($Q45,INDIRECT($B$5&amp;"生成成长"),4))/(VLOOKUP(V$41,INDIRECT($C$5&amp;"生成成长"),5))*(VLOOKUP($B$5,标准坦克设计!$B$24:$U$30,MATCH("对"&amp;LEFT($C$5,2)&amp;"输出",标准坦克设计!$B$23:$U$23,0)))*(VLOOKUP($Q45,INDIRECT($B$5&amp;"生成成长"),3))*(VLOOKUP($B$5,标准坦克设计!$B$14:$K$20,9)/30))</f>
        <v>3.7692241630157102</v>
      </c>
      <c r="W45" s="173">
        <f ca="1">(VLOOKUP(W$41,INDIRECT($C$5&amp;"生成成长"),2))/((VLOOKUP($Q45,INDIRECT($B$5&amp;"生成成长"),4))/(VLOOKUP(W$41,INDIRECT($C$5&amp;"生成成长"),5))*(VLOOKUP($B$5,标准坦克设计!$B$24:$U$30,MATCH("对"&amp;LEFT($C$5,2)&amp;"输出",标准坦克设计!$B$23:$U$23,0)))*(VLOOKUP($Q45,INDIRECT($B$5&amp;"生成成长"),3))*(VLOOKUP($B$5,标准坦克设计!$B$14:$K$20,9)/30))</f>
        <v>5.7702371630884004</v>
      </c>
      <c r="X45" s="173">
        <f ca="1">(VLOOKUP(X$41,INDIRECT($C$5&amp;"生成成长"),2))/((VLOOKUP($Q45,INDIRECT($B$5&amp;"生成成长"),4))/(VLOOKUP(X$41,INDIRECT($C$5&amp;"生成成长"),5))*(VLOOKUP($B$5,标准坦克设计!$B$24:$U$30,MATCH("对"&amp;LEFT($C$5,2)&amp;"输出",标准坦克设计!$B$23:$U$23,0)))*(VLOOKUP($Q45,INDIRECT($B$5&amp;"生成成长"),3))*(VLOOKUP($B$5,标准坦克设计!$B$14:$K$20,9)/30))</f>
        <v>9.4661016774272024</v>
      </c>
      <c r="Y45" s="173">
        <f ca="1">(VLOOKUP(Y$41,INDIRECT($C$5&amp;"生成成长"),2))/((VLOOKUP($Q45,INDIRECT($B$5&amp;"生成成长"),4))/(VLOOKUP(Y$41,INDIRECT($C$5&amp;"生成成长"),5))*(VLOOKUP($B$5,标准坦克设计!$B$24:$U$30,MATCH("对"&amp;LEFT($C$5,2)&amp;"输出",标准坦克设计!$B$23:$U$23,0)))*(VLOOKUP($Q45,INDIRECT($B$5&amp;"生成成长"),3))*(VLOOKUP($B$5,标准坦克设计!$B$14:$K$20,9)/30))</f>
        <v>15.984553117057935</v>
      </c>
      <c r="Z45" s="173">
        <f ca="1">(VLOOKUP(Z$41,INDIRECT($C$5&amp;"生成成长"),2))/((VLOOKUP($Q45,INDIRECT($B$5&amp;"生成成长"),4))/(VLOOKUP(Z$41,INDIRECT($C$5&amp;"生成成长"),5))*(VLOOKUP($B$5,标准坦克设计!$B$24:$U$30,MATCH("对"&amp;LEFT($C$5,2)&amp;"输出",标准坦克设计!$B$23:$U$23,0)))*(VLOOKUP($Q45,INDIRECT($B$5&amp;"生成成长"),3))*(VLOOKUP($B$5,标准坦克设计!$B$14:$K$20,9)/30))</f>
        <v>6.009806495483466</v>
      </c>
      <c r="AA45" s="173">
        <f ca="1">(VLOOKUP(AA$41,INDIRECT($C$5&amp;"生成成长"),2))/((VLOOKUP($Q45,INDIRECT($B$5&amp;"生成成长"),4))/(VLOOKUP(AA$41,INDIRECT($C$5&amp;"生成成长"),5))*(VLOOKUP($B$5,标准坦克设计!$B$24:$U$30,MATCH("对"&amp;LEFT($C$5,2)&amp;"输出",标准坦克设计!$B$23:$U$23,0)))*(VLOOKUP($Q45,INDIRECT($B$5&amp;"生成成长"),3))*(VLOOKUP($B$5,标准坦克设计!$B$14:$K$20,9)/30))</f>
        <v>9.8753997910784346</v>
      </c>
      <c r="AB45" s="173">
        <f ca="1">(VLOOKUP(AB$41,INDIRECT($C$5&amp;"生成成长"),2))/((VLOOKUP($Q45,INDIRECT($B$5&amp;"生成成长"),4))/(VLOOKUP(AB$41,INDIRECT($C$5&amp;"生成成长"),5))*(VLOOKUP($B$5,标准坦克设计!$B$24:$U$30,MATCH("对"&amp;LEFT($C$5,2)&amp;"输出",标准坦克设计!$B$23:$U$23,0)))*(VLOOKUP($Q45,INDIRECT($B$5&amp;"生成成长"),3))*(VLOOKUP($B$5,标准坦克设计!$B$14:$K$20,9)/30))</f>
        <v>16.649121152119953</v>
      </c>
      <c r="AC45" s="173">
        <f ca="1">(VLOOKUP(AC$41,INDIRECT($C$5&amp;"生成成长"),2))/((VLOOKUP($Q45,INDIRECT($B$5&amp;"生成成长"),4))/(VLOOKUP(AC$41,INDIRECT($C$5&amp;"生成成长"),5))*(VLOOKUP($B$5,标准坦克设计!$B$24:$U$30,MATCH("对"&amp;LEFT($C$5,2)&amp;"输出",标准坦克设计!$B$23:$U$23,0)))*(VLOOKUP($Q45,INDIRECT($B$5&amp;"生成成长"),3))*(VLOOKUP($B$5,标准坦克设计!$B$14:$K$20,9)/30))</f>
        <v>4.1622802880299883</v>
      </c>
      <c r="AD45" s="173">
        <f ca="1">(VLOOKUP(AD$41,INDIRECT($C$5&amp;"生成成长"),2))/((VLOOKUP($Q45,INDIRECT($B$5&amp;"生成成长"),4))/(VLOOKUP(AD$41,INDIRECT($C$5&amp;"生成成长"),5))*(VLOOKUP($B$5,标准坦克设计!$B$24:$U$30,MATCH("对"&amp;LEFT($C$5,2)&amp;"输出",标准坦克设计!$B$23:$U$23,0)))*(VLOOKUP($Q45,INDIRECT($B$5&amp;"生成成长"),3))*(VLOOKUP($B$5,标准坦克设计!$B$14:$K$20,9)/30))</f>
        <v>7.2807421063250892</v>
      </c>
      <c r="AE45" s="173">
        <f ca="1">(VLOOKUP(AE$41,INDIRECT($C$5&amp;"生成成长"),2))/((VLOOKUP($Q45,INDIRECT($B$5&amp;"生成成长"),4))/(VLOOKUP(AE$41,INDIRECT($C$5&amp;"生成成长"),5))*(VLOOKUP($B$5,标准坦克设计!$B$24:$U$30,MATCH("对"&amp;LEFT($C$5,2)&amp;"输出",标准坦克设计!$B$23:$U$23,0)))*(VLOOKUP($Q45,INDIRECT($B$5&amp;"生成成长"),3))*(VLOOKUP($B$5,标准坦克设计!$B$14:$K$20,9)/30))</f>
        <v>12.513098745719709</v>
      </c>
      <c r="AF45" s="173">
        <f ca="1">(VLOOKUP(AF$41,INDIRECT($C$5&amp;"生成成长"),2))/((VLOOKUP($Q45,INDIRECT($B$5&amp;"生成成长"),4))/(VLOOKUP(AF$41,INDIRECT($C$5&amp;"生成成长"),5))*(VLOOKUP($B$5,标准坦克设计!$B$24:$U$30,MATCH("对"&amp;LEFT($C$5,2)&amp;"输出",标准坦克设计!$B$23:$U$23,0)))*(VLOOKUP($Q45,INDIRECT($B$5&amp;"生成成长"),3))*(VLOOKUP($B$5,标准坦克设计!$B$14:$K$20,9)/30))</f>
        <v>21.680077132416343</v>
      </c>
      <c r="AG45" s="173">
        <f ca="1">(VLOOKUP(AG$41,INDIRECT($C$5&amp;"生成成长"),2))/((VLOOKUP($Q45,INDIRECT($B$5&amp;"生成成长"),4))/(VLOOKUP(AG$41,INDIRECT($C$5&amp;"生成成长"),5))*(VLOOKUP($B$5,标准坦克设计!$B$24:$U$30,MATCH("对"&amp;LEFT($C$5,2)&amp;"输出",标准坦克设计!$B$23:$U$23,0)))*(VLOOKUP($Q45,INDIRECT($B$5&amp;"生成成长"),3))*(VLOOKUP($B$5,标准坦克设计!$B$14:$K$20,9)/30))</f>
        <v>11.937861648160931</v>
      </c>
      <c r="AH45" s="173">
        <f ca="1">(VLOOKUP(AH$41,INDIRECT($C$5&amp;"生成成长"),2))/((VLOOKUP($Q45,INDIRECT($B$5&amp;"生成成长"),4))/(VLOOKUP(AH$41,INDIRECT($C$5&amp;"生成成长"),5))*(VLOOKUP($B$5,标准坦克设计!$B$24:$U$30,MATCH("对"&amp;LEFT($C$5,2)&amp;"输出",标准坦克设计!$B$23:$U$23,0)))*(VLOOKUP($Q45,INDIRECT($B$5&amp;"生成成长"),3))*(VLOOKUP($B$5,标准坦克设计!$B$14:$K$20,9)/30))</f>
        <v>20.770525768746946</v>
      </c>
      <c r="AI45" s="173">
        <f ca="1">(VLOOKUP(AI$41,INDIRECT($C$5&amp;"生成成长"),2))/((VLOOKUP($Q45,INDIRECT($B$5&amp;"生成成长"),4))/(VLOOKUP(AI$41,INDIRECT($C$5&amp;"生成成长"),5))*(VLOOKUP($B$5,标准坦克设计!$B$24:$U$30,MATCH("对"&amp;LEFT($C$5,2)&amp;"输出",标准坦克设计!$B$23:$U$23,0)))*(VLOOKUP($Q45,INDIRECT($B$5&amp;"生成成长"),3))*(VLOOKUP($B$5,标准坦克设计!$B$14:$K$20,9)/30))</f>
        <v>35.669843345045763</v>
      </c>
      <c r="AJ45" s="173">
        <f ca="1">(VLOOKUP(AJ$41,INDIRECT($C$5&amp;"生成成长"),2))/((VLOOKUP($Q45,INDIRECT($B$5&amp;"生成成长"),4))/(VLOOKUP(AJ$41,INDIRECT($C$5&amp;"生成成长"),5))*(VLOOKUP($B$5,标准坦克设计!$B$24:$U$30,MATCH("对"&amp;LEFT($C$5,2)&amp;"输出",标准坦克设计!$B$23:$U$23,0)))*(VLOOKUP($Q45,INDIRECT($B$5&amp;"生成成长"),3))*(VLOOKUP($B$5,标准坦克设计!$B$14:$K$20,9)/30))</f>
        <v>59.797588165051025</v>
      </c>
      <c r="AK45" s="173">
        <f ca="1">(VLOOKUP(AK$41,INDIRECT($C$5&amp;"生成成长"),2))/((VLOOKUP($Q45,INDIRECT($B$5&amp;"生成成长"),4))/(VLOOKUP(AK$41,INDIRECT($C$5&amp;"生成成长"),5))*(VLOOKUP($B$5,标准坦克设计!$B$24:$U$30,MATCH("对"&amp;LEFT($C$5,2)&amp;"输出",标准坦克设计!$B$23:$U$23,0)))*(VLOOKUP($Q45,INDIRECT($B$5&amp;"生成成长"),3))*(VLOOKUP($B$5,标准坦克设计!$B$14:$K$20,9)/30))</f>
        <v>21.987592117276002</v>
      </c>
      <c r="AL45" s="173">
        <f ca="1">(VLOOKUP(AL$41,INDIRECT($C$5&amp;"生成成长"),2))/((VLOOKUP($Q45,INDIRECT($B$5&amp;"生成成长"),4))/(VLOOKUP(AL$41,INDIRECT($C$5&amp;"生成成长"),5))*(VLOOKUP($B$5,标准坦克设计!$B$24:$U$30,MATCH("对"&amp;LEFT($C$5,2)&amp;"输出",标准坦克设计!$B$23:$U$23,0)))*(VLOOKUP($Q45,INDIRECT($B$5&amp;"生成成长"),3))*(VLOOKUP($B$5,标准坦克设计!$B$14:$K$20,9)/30))</f>
        <v>37.662193951178743</v>
      </c>
      <c r="AM45" s="173">
        <f ca="1">(VLOOKUP(AM$41,INDIRECT($C$5&amp;"生成成长"),2))/((VLOOKUP($Q45,INDIRECT($B$5&amp;"生成成长"),4))/(VLOOKUP(AM$41,INDIRECT($C$5&amp;"生成成长"),5))*(VLOOKUP($B$5,标准坦克设计!$B$24:$U$30,MATCH("对"&amp;LEFT($C$5,2)&amp;"输出",标准坦克设计!$B$23:$U$23,0)))*(VLOOKUP($Q45,INDIRECT($B$5&amp;"生成成长"),3))*(VLOOKUP($B$5,标准坦克设计!$B$14:$K$20,9)/30))</f>
        <v>62.890062801526987</v>
      </c>
    </row>
    <row r="46" spans="1:39" x14ac:dyDescent="0.15">
      <c r="P46" s="171" t="str">
        <f t="shared" si="6"/>
        <v>T5低初</v>
      </c>
      <c r="Q46" s="172">
        <v>10501</v>
      </c>
      <c r="R46" s="173">
        <f ca="1">(VLOOKUP(R$41,INDIRECT($C$5&amp;"生成成长"),2))/((VLOOKUP($Q46,INDIRECT($B$5&amp;"生成成长"),4))/(VLOOKUP(R$41,INDIRECT($C$5&amp;"生成成长"),5))*(VLOOKUP($B$5,标准坦克设计!$B$24:$U$30,MATCH("对"&amp;LEFT($C$5,2)&amp;"输出",标准坦克设计!$B$23:$U$23,0)))*(VLOOKUP($Q46,INDIRECT($B$5&amp;"生成成长"),3))*(VLOOKUP($B$5,标准坦克设计!$B$14:$K$20,9)/30))</f>
        <v>1.5994156435284079</v>
      </c>
      <c r="S46" s="173">
        <f ca="1">(VLOOKUP(S$41,INDIRECT($C$5&amp;"生成成长"),2))/((VLOOKUP($Q46,INDIRECT($B$5&amp;"生成成长"),4))/(VLOOKUP(S$41,INDIRECT($C$5&amp;"生成成长"),5))*(VLOOKUP($B$5,标准坦克设计!$B$24:$U$30,MATCH("对"&amp;LEFT($C$5,2)&amp;"输出",标准坦克设计!$B$23:$U$23,0)))*(VLOOKUP($Q46,INDIRECT($B$5&amp;"生成成长"),3))*(VLOOKUP($B$5,标准坦克设计!$B$14:$K$20,9)/30))</f>
        <v>2.1521736899318253</v>
      </c>
      <c r="T46" s="173">
        <f ca="1">(VLOOKUP(T$41,INDIRECT($C$5&amp;"生成成长"),2))/((VLOOKUP($Q46,INDIRECT($B$5&amp;"生成成长"),4))/(VLOOKUP(T$41,INDIRECT($C$5&amp;"生成成长"),5))*(VLOOKUP($B$5,标准坦克设计!$B$24:$U$30,MATCH("对"&amp;LEFT($C$5,2)&amp;"输出",标准坦克设计!$B$23:$U$23,0)))*(VLOOKUP($Q46,INDIRECT($B$5&amp;"生成成长"),3))*(VLOOKUP($B$5,标准坦克设计!$B$14:$K$20,9)/30))</f>
        <v>3.2706450494512409</v>
      </c>
      <c r="U46" s="173">
        <f ca="1">(VLOOKUP(U$41,INDIRECT($C$5&amp;"生成成长"),2))/((VLOOKUP($Q46,INDIRECT($B$5&amp;"生成成长"),4))/(VLOOKUP(U$41,INDIRECT($C$5&amp;"生成成长"),5))*(VLOOKUP($B$5,标准坦克设计!$B$24:$U$30,MATCH("对"&amp;LEFT($C$5,2)&amp;"输出",标准坦克设计!$B$23:$U$23,0)))*(VLOOKUP($Q46,INDIRECT($B$5&amp;"生成成长"),3))*(VLOOKUP($B$5,标准坦克设计!$B$14:$K$20,9)/30))</f>
        <v>5.3562830486122852</v>
      </c>
      <c r="V46" s="173">
        <f ca="1">(VLOOKUP(V$41,INDIRECT($C$5&amp;"生成成长"),2))/((VLOOKUP($Q46,INDIRECT($B$5&amp;"生成成长"),4))/(VLOOKUP(V$41,INDIRECT($C$5&amp;"生成成长"),5))*(VLOOKUP($B$5,标准坦克设计!$B$24:$U$30,MATCH("对"&amp;LEFT($C$5,2)&amp;"输出",标准坦克设计!$B$23:$U$23,0)))*(VLOOKUP($Q46,INDIRECT($B$5&amp;"生成成长"),3))*(VLOOKUP($B$5,标准坦克设计!$B$14:$K$20,9)/30))</f>
        <v>2.2270263420489549</v>
      </c>
      <c r="W46" s="173">
        <f ca="1">(VLOOKUP(W$41,INDIRECT($C$5&amp;"生成成长"),2))/((VLOOKUP($Q46,INDIRECT($B$5&amp;"生成成长"),4))/(VLOOKUP(W$41,INDIRECT($C$5&amp;"生成成长"),5))*(VLOOKUP($B$5,标准坦克设计!$B$24:$U$30,MATCH("对"&amp;LEFT($C$5,2)&amp;"输出",标准坦克设计!$B$23:$U$23,0)))*(VLOOKUP($Q46,INDIRECT($B$5&amp;"生成成长"),3))*(VLOOKUP($B$5,标准坦克设计!$B$14:$K$20,9)/30))</f>
        <v>3.4093143857451533</v>
      </c>
      <c r="X46" s="173">
        <f ca="1">(VLOOKUP(X$41,INDIRECT($C$5&amp;"生成成长"),2))/((VLOOKUP($Q46,INDIRECT($B$5&amp;"生成成长"),4))/(VLOOKUP(X$41,INDIRECT($C$5&amp;"生成成长"),5))*(VLOOKUP($B$5,标准坦克设计!$B$24:$U$30,MATCH("对"&amp;LEFT($C$5,2)&amp;"输出",标准坦克设计!$B$23:$U$23,0)))*(VLOOKUP($Q46,INDIRECT($B$5&amp;"生成成长"),3))*(VLOOKUP($B$5,标准坦克设计!$B$14:$K$20,9)/30))</f>
        <v>5.5929965638544887</v>
      </c>
      <c r="Y46" s="173">
        <f ca="1">(VLOOKUP(Y$41,INDIRECT($C$5&amp;"生成成长"),2))/((VLOOKUP($Q46,INDIRECT($B$5&amp;"生成成长"),4))/(VLOOKUP(Y$41,INDIRECT($C$5&amp;"生成成长"),5))*(VLOOKUP($B$5,标准坦克设计!$B$24:$U$30,MATCH("对"&amp;LEFT($C$5,2)&amp;"输出",标准坦克设计!$B$23:$U$23,0)))*(VLOOKUP($Q46,INDIRECT($B$5&amp;"生成成长"),3))*(VLOOKUP($B$5,标准坦克设计!$B$14:$K$20,9)/30))</f>
        <v>9.4443894334708958</v>
      </c>
      <c r="Z46" s="173">
        <f ca="1">(VLOOKUP(Z$41,INDIRECT($C$5&amp;"生成成长"),2))/((VLOOKUP($Q46,INDIRECT($B$5&amp;"生成成长"),4))/(VLOOKUP(Z$41,INDIRECT($C$5&amp;"生成成长"),5))*(VLOOKUP($B$5,标准坦克设计!$B$24:$U$30,MATCH("对"&amp;LEFT($C$5,2)&amp;"输出",标准坦克设计!$B$23:$U$23,0)))*(VLOOKUP($Q46,INDIRECT($B$5&amp;"生成成长"),3))*(VLOOKUP($B$5,标准坦克设计!$B$14:$K$20,9)/30))</f>
        <v>3.5508626701974184</v>
      </c>
      <c r="AA46" s="173">
        <f ca="1">(VLOOKUP(AA$41,INDIRECT($C$5&amp;"生成成长"),2))/((VLOOKUP($Q46,INDIRECT($B$5&amp;"生成成长"),4))/(VLOOKUP(AA$41,INDIRECT($C$5&amp;"生成成长"),5))*(VLOOKUP($B$5,标准坦克设计!$B$24:$U$30,MATCH("对"&amp;LEFT($C$5,2)&amp;"输出",标准坦克设计!$B$23:$U$23,0)))*(VLOOKUP($Q46,INDIRECT($B$5&amp;"生成成长"),3))*(VLOOKUP($B$5,标准坦克设计!$B$14:$K$20,9)/30))</f>
        <v>5.8348282091559849</v>
      </c>
      <c r="AB46" s="173">
        <f ca="1">(VLOOKUP(AB$41,INDIRECT($C$5&amp;"生成成长"),2))/((VLOOKUP($Q46,INDIRECT($B$5&amp;"生成成长"),4))/(VLOOKUP(AB$41,INDIRECT($C$5&amp;"生成成长"),5))*(VLOOKUP($B$5,标准坦克设计!$B$24:$U$30,MATCH("对"&amp;LEFT($C$5,2)&amp;"输出",标准坦克设计!$B$23:$U$23,0)))*(VLOOKUP($Q46,INDIRECT($B$5&amp;"生成成长"),3))*(VLOOKUP($B$5,标准坦克设计!$B$14:$K$20,9)/30))</f>
        <v>9.8370459739571192</v>
      </c>
      <c r="AC46" s="173">
        <f ca="1">(VLOOKUP(AC$41,INDIRECT($C$5&amp;"生成成长"),2))/((VLOOKUP($Q46,INDIRECT($B$5&amp;"生成成长"),4))/(VLOOKUP(AC$41,INDIRECT($C$5&amp;"生成成长"),5))*(VLOOKUP($B$5,标准坦克设计!$B$24:$U$30,MATCH("对"&amp;LEFT($C$5,2)&amp;"输出",标准坦克设计!$B$23:$U$23,0)))*(VLOOKUP($Q46,INDIRECT($B$5&amp;"生成成长"),3))*(VLOOKUP($B$5,标准坦克设计!$B$14:$K$20,9)/30))</f>
        <v>2.4592614934892798</v>
      </c>
      <c r="AD46" s="173">
        <f ca="1">(VLOOKUP(AD$41,INDIRECT($C$5&amp;"生成成长"),2))/((VLOOKUP($Q46,INDIRECT($B$5&amp;"生成成长"),4))/(VLOOKUP(AD$41,INDIRECT($C$5&amp;"生成成长"),5))*(VLOOKUP($B$5,标准坦克设计!$B$24:$U$30,MATCH("对"&amp;LEFT($C$5,2)&amp;"输出",标准坦克设计!$B$23:$U$23,0)))*(VLOOKUP($Q46,INDIRECT($B$5&amp;"生成成长"),3))*(VLOOKUP($B$5,标准坦克设计!$B$14:$K$20,9)/30))</f>
        <v>4.3017883148340061</v>
      </c>
      <c r="AE46" s="173">
        <f ca="1">(VLOOKUP(AE$41,INDIRECT($C$5&amp;"生成成长"),2))/((VLOOKUP($Q46,INDIRECT($B$5&amp;"生成成长"),4))/(VLOOKUP(AE$41,INDIRECT($C$5&amp;"生成成长"),5))*(VLOOKUP($B$5,标准坦克设计!$B$24:$U$30,MATCH("对"&amp;LEFT($C$5,2)&amp;"输出",标准坦克设计!$B$23:$U$23,0)))*(VLOOKUP($Q46,INDIRECT($B$5&amp;"生成成长"),3))*(VLOOKUP($B$5,标准坦克设计!$B$14:$K$20,9)/30))</f>
        <v>7.3932988122100642</v>
      </c>
      <c r="AF46" s="173">
        <f ca="1">(VLOOKUP(AF$41,INDIRECT($C$5&amp;"生成成长"),2))/((VLOOKUP($Q46,INDIRECT($B$5&amp;"生成成长"),4))/(VLOOKUP(AF$41,INDIRECT($C$5&amp;"生成成长"),5))*(VLOOKUP($B$5,标准坦克设计!$B$24:$U$30,MATCH("对"&amp;LEFT($C$5,2)&amp;"输出",标准坦克设计!$B$23:$U$23,0)))*(VLOOKUP($Q46,INDIRECT($B$5&amp;"生成成长"),3))*(VLOOKUP($B$5,标准坦克设计!$B$14:$K$20,9)/30))</f>
        <v>12.809559947454664</v>
      </c>
      <c r="AG46" s="173">
        <f ca="1">(VLOOKUP(AG$41,INDIRECT($C$5&amp;"生成成长"),2))/((VLOOKUP($Q46,INDIRECT($B$5&amp;"生成成长"),4))/(VLOOKUP(AG$41,INDIRECT($C$5&amp;"生成成长"),5))*(VLOOKUP($B$5,标准坦克设计!$B$24:$U$30,MATCH("对"&amp;LEFT($C$5,2)&amp;"输出",标准坦克设计!$B$23:$U$23,0)))*(VLOOKUP($Q46,INDIRECT($B$5&amp;"生成成长"),3))*(VLOOKUP($B$5,标准坦克设计!$B$14:$K$20,9)/30))</f>
        <v>7.0534229879602783</v>
      </c>
      <c r="AH46" s="173">
        <f ca="1">(VLOOKUP(AH$41,INDIRECT($C$5&amp;"生成成长"),2))/((VLOOKUP($Q46,INDIRECT($B$5&amp;"生成成长"),4))/(VLOOKUP(AH$41,INDIRECT($C$5&amp;"生成成长"),5))*(VLOOKUP($B$5,标准坦克设计!$B$24:$U$30,MATCH("对"&amp;LEFT($C$5,2)&amp;"输出",标准坦克设计!$B$23:$U$23,0)))*(VLOOKUP($Q46,INDIRECT($B$5&amp;"生成成长"),3))*(VLOOKUP($B$5,标准坦克设计!$B$14:$K$20,9)/30))</f>
        <v>12.27215629122912</v>
      </c>
      <c r="AI46" s="173">
        <f ca="1">(VLOOKUP(AI$41,INDIRECT($C$5&amp;"生成成长"),2))/((VLOOKUP($Q46,INDIRECT($B$5&amp;"生成成长"),4))/(VLOOKUP(AI$41,INDIRECT($C$5&amp;"生成成长"),5))*(VLOOKUP($B$5,标准坦克设计!$B$24:$U$30,MATCH("对"&amp;LEFT($C$5,2)&amp;"输出",标准坦克设计!$B$23:$U$23,0)))*(VLOOKUP($Q46,INDIRECT($B$5&amp;"生成成长"),3))*(VLOOKUP($B$5,标准坦克设计!$B$14:$K$20,9)/30))</f>
        <v>21.075339993209479</v>
      </c>
      <c r="AJ46" s="173">
        <f ca="1">(VLOOKUP(AJ$41,INDIRECT($C$5&amp;"生成成长"),2))/((VLOOKUP($Q46,INDIRECT($B$5&amp;"生成成长"),4))/(VLOOKUP(AJ$41,INDIRECT($C$5&amp;"生成成长"),5))*(VLOOKUP($B$5,标准坦克设计!$B$24:$U$30,MATCH("对"&amp;LEFT($C$5,2)&amp;"输出",标准坦克设计!$B$23:$U$23,0)))*(VLOOKUP($Q46,INDIRECT($B$5&amp;"生成成长"),3))*(VLOOKUP($B$5,标准坦克设计!$B$14:$K$20,9)/30))</f>
        <v>35.331091565542529</v>
      </c>
      <c r="AK46" s="173">
        <f ca="1">(VLOOKUP(AK$41,INDIRECT($C$5&amp;"生成成长"),2))/((VLOOKUP($Q46,INDIRECT($B$5&amp;"生成成长"),4))/(VLOOKUP(AK$41,INDIRECT($C$5&amp;"生成成长"),5))*(VLOOKUP($B$5,标准坦克设计!$B$24:$U$30,MATCH("对"&amp;LEFT($C$5,2)&amp;"输出",标准坦克设计!$B$23:$U$23,0)))*(VLOOKUP($Q46,INDIRECT($B$5&amp;"生成成长"),3))*(VLOOKUP($B$5,标准坦克设计!$B$14:$K$20,9)/30))</f>
        <v>12.991253564559491</v>
      </c>
      <c r="AL46" s="173">
        <f ca="1">(VLOOKUP(AL$41,INDIRECT($C$5&amp;"生成成长"),2))/((VLOOKUP($Q46,INDIRECT($B$5&amp;"生成成长"),4))/(VLOOKUP(AL$41,INDIRECT($C$5&amp;"生成成长"),5))*(VLOOKUP($B$5,标准坦克设计!$B$24:$U$30,MATCH("对"&amp;LEFT($C$5,2)&amp;"输出",标准坦克设计!$B$23:$U$23,0)))*(VLOOKUP($Q46,INDIRECT($B$5&amp;"生成成长"),3))*(VLOOKUP($B$5,标准坦克设计!$B$14:$K$20,9)/30))</f>
        <v>22.252509906846385</v>
      </c>
      <c r="AM46" s="173">
        <f ca="1">(VLOOKUP(AM$41,INDIRECT($C$5&amp;"生成成长"),2))/((VLOOKUP($Q46,INDIRECT($B$5&amp;"生成成长"),4))/(VLOOKUP(AM$41,INDIRECT($C$5&amp;"生成成长"),5))*(VLOOKUP($B$5,标准坦克设计!$B$24:$U$30,MATCH("对"&amp;LEFT($C$5,2)&amp;"输出",标准坦克设计!$B$23:$U$23,0)))*(VLOOKUP($Q46,INDIRECT($B$5&amp;"生成成长"),3))*(VLOOKUP($B$5,标准坦克设计!$B$14:$K$20,9)/30))</f>
        <v>37.15826399670938</v>
      </c>
    </row>
    <row r="47" spans="1:39" x14ac:dyDescent="0.15">
      <c r="P47" s="171" t="str">
        <f t="shared" si="6"/>
        <v>T2中初</v>
      </c>
      <c r="Q47" s="172">
        <v>20201</v>
      </c>
      <c r="R47" s="173">
        <f ca="1">(VLOOKUP(R$41,INDIRECT($C$5&amp;"生成成长"),2))/((VLOOKUP($Q47,INDIRECT($B$5&amp;"生成成长"),4))/(VLOOKUP(R$41,INDIRECT($C$5&amp;"生成成长"),5))*(VLOOKUP($B$5,标准坦克设计!$B$24:$U$30,MATCH("对"&amp;LEFT($C$5,2)&amp;"输出",标准坦克设计!$B$23:$U$23,0)))*(VLOOKUP($Q47,INDIRECT($B$5&amp;"生成成长"),3))*(VLOOKUP($B$5,标准坦克设计!$B$14:$K$20,9)/30))</f>
        <v>6.5205170754016049</v>
      </c>
      <c r="S47" s="173">
        <f ca="1">(VLOOKUP(S$41,INDIRECT($C$5&amp;"生成成长"),2))/((VLOOKUP($Q47,INDIRECT($B$5&amp;"生成成长"),4))/(VLOOKUP(S$41,INDIRECT($C$5&amp;"生成成长"),5))*(VLOOKUP($B$5,标准坦克设计!$B$24:$U$30,MATCH("对"&amp;LEFT($C$5,2)&amp;"输出",标准坦克设计!$B$23:$U$23,0)))*(VLOOKUP($Q47,INDIRECT($B$5&amp;"生成成长"),3))*(VLOOKUP($B$5,标准坦克设计!$B$14:$K$20,9)/30))</f>
        <v>8.774007776660401</v>
      </c>
      <c r="T47" s="173">
        <f ca="1">(VLOOKUP(T$41,INDIRECT($C$5&amp;"生成成长"),2))/((VLOOKUP($Q47,INDIRECT($B$5&amp;"生成成长"),4))/(VLOOKUP(T$41,INDIRECT($C$5&amp;"生成成长"),5))*(VLOOKUP($B$5,标准坦克设计!$B$24:$U$30,MATCH("对"&amp;LEFT($C$5,2)&amp;"输出",标准坦克设计!$B$23:$U$23,0)))*(VLOOKUP($Q47,INDIRECT($B$5&amp;"生成成长"),3))*(VLOOKUP($B$5,标准坦克设计!$B$14:$K$20,9)/30))</f>
        <v>13.33380536748874</v>
      </c>
      <c r="U47" s="173">
        <f ca="1">(VLOOKUP(U$41,INDIRECT($C$5&amp;"生成成长"),2))/((VLOOKUP($Q47,INDIRECT($B$5&amp;"生成成长"),4))/(VLOOKUP(U$41,INDIRECT($C$5&amp;"生成成长"),5))*(VLOOKUP($B$5,标准坦克设计!$B$24:$U$30,MATCH("对"&amp;LEFT($C$5,2)&amp;"输出",标准坦克设计!$B$23:$U$23,0)))*(VLOOKUP($Q47,INDIRECT($B$5&amp;"生成成长"),3))*(VLOOKUP($B$5,标准坦克设计!$B$14:$K$20,9)/30))</f>
        <v>21.836559633812435</v>
      </c>
      <c r="V47" s="173">
        <f ca="1">(VLOOKUP(V$41,INDIRECT($C$5&amp;"生成成长"),2))/((VLOOKUP($Q47,INDIRECT($B$5&amp;"生成成长"),4))/(VLOOKUP(V$41,INDIRECT($C$5&amp;"生成成长"),5))*(VLOOKUP($B$5,标准坦克设计!$B$24:$U$30,MATCH("对"&amp;LEFT($C$5,2)&amp;"输出",标准坦克设计!$B$23:$U$23,0)))*(VLOOKUP($Q47,INDIRECT($B$5&amp;"生成成长"),3))*(VLOOKUP($B$5,标准坦克设计!$B$14:$K$20,9)/30))</f>
        <v>9.0791679757891952</v>
      </c>
      <c r="W47" s="173">
        <f ca="1">(VLOOKUP(W$41,INDIRECT($C$5&amp;"生成成长"),2))/((VLOOKUP($Q47,INDIRECT($B$5&amp;"生成成长"),4))/(VLOOKUP(W$41,INDIRECT($C$5&amp;"生成成长"),5))*(VLOOKUP($B$5,标准坦克设计!$B$24:$U$30,MATCH("对"&amp;LEFT($C$5,2)&amp;"输出",标准坦克设计!$B$23:$U$23,0)))*(VLOOKUP($Q47,INDIRECT($B$5&amp;"生成成长"),3))*(VLOOKUP($B$5,标准坦克设计!$B$14:$K$20,9)/30))</f>
        <v>13.89913419792606</v>
      </c>
      <c r="X47" s="173">
        <f ca="1">(VLOOKUP(X$41,INDIRECT($C$5&amp;"生成成长"),2))/((VLOOKUP($Q47,INDIRECT($B$5&amp;"生成成长"),4))/(VLOOKUP(X$41,INDIRECT($C$5&amp;"生成成长"),5))*(VLOOKUP($B$5,标准坦克设计!$B$24:$U$30,MATCH("对"&amp;LEFT($C$5,2)&amp;"输出",标准坦克设计!$B$23:$U$23,0)))*(VLOOKUP($Q47,INDIRECT($B$5&amp;"生成成长"),3))*(VLOOKUP($B$5,标准坦克设计!$B$14:$K$20,9)/30))</f>
        <v>22.801596160971872</v>
      </c>
      <c r="Y47" s="173">
        <f ca="1">(VLOOKUP(Y$41,INDIRECT($C$5&amp;"生成成长"),2))/((VLOOKUP($Q47,INDIRECT($B$5&amp;"生成成长"),4))/(VLOOKUP(Y$41,INDIRECT($C$5&amp;"生成成长"),5))*(VLOOKUP($B$5,标准坦克设计!$B$24:$U$30,MATCH("对"&amp;LEFT($C$5,2)&amp;"输出",标准坦克设计!$B$23:$U$23,0)))*(VLOOKUP($Q47,INDIRECT($B$5&amp;"生成成长"),3))*(VLOOKUP($B$5,标准坦克设计!$B$14:$K$20,9)/30))</f>
        <v>38.503001278538939</v>
      </c>
      <c r="Z47" s="173">
        <f ca="1">(VLOOKUP(Z$41,INDIRECT($C$5&amp;"生成成长"),2))/((VLOOKUP($Q47,INDIRECT($B$5&amp;"生成成长"),4))/(VLOOKUP(Z$41,INDIRECT($C$5&amp;"生成成长"),5))*(VLOOKUP($B$5,标准坦克设计!$B$24:$U$30,MATCH("对"&amp;LEFT($C$5,2)&amp;"输出",标准坦克设计!$B$23:$U$23,0)))*(VLOOKUP($Q47,INDIRECT($B$5&amp;"生成成长"),3))*(VLOOKUP($B$5,标准坦克设计!$B$14:$K$20,9)/30))</f>
        <v>14.476199959099104</v>
      </c>
      <c r="AA47" s="173">
        <f ca="1">(VLOOKUP(AA$41,INDIRECT($C$5&amp;"生成成长"),2))/((VLOOKUP($Q47,INDIRECT($B$5&amp;"生成成长"),4))/(VLOOKUP(AA$41,INDIRECT($C$5&amp;"生成成长"),5))*(VLOOKUP($B$5,标准坦克设计!$B$24:$U$30,MATCH("对"&amp;LEFT($C$5,2)&amp;"输出",标准坦克设计!$B$23:$U$23,0)))*(VLOOKUP($Q47,INDIRECT($B$5&amp;"生成成长"),3))*(VLOOKUP($B$5,标准坦克设计!$B$14:$K$20,9)/30))</f>
        <v>23.787498342772597</v>
      </c>
      <c r="AB47" s="173">
        <f ca="1">(VLOOKUP(AB$41,INDIRECT($C$5&amp;"生成成长"),2))/((VLOOKUP($Q47,INDIRECT($B$5&amp;"生成成长"),4))/(VLOOKUP(AB$41,INDIRECT($C$5&amp;"生成成长"),5))*(VLOOKUP($B$5,标准坦克设计!$B$24:$U$30,MATCH("对"&amp;LEFT($C$5,2)&amp;"输出",标准坦克设计!$B$23:$U$23,0)))*(VLOOKUP($Q47,INDIRECT($B$5&amp;"生成成长"),3))*(VLOOKUP($B$5,标准坦克设计!$B$14:$K$20,9)/30))</f>
        <v>40.10378822055003</v>
      </c>
      <c r="AC47" s="173">
        <f ca="1">(VLOOKUP(AC$41,INDIRECT($C$5&amp;"生成成长"),2))/((VLOOKUP($Q47,INDIRECT($B$5&amp;"生成成长"),4))/(VLOOKUP(AC$41,INDIRECT($C$5&amp;"生成成长"),5))*(VLOOKUP($B$5,标准坦克设计!$B$24:$U$30,MATCH("对"&amp;LEFT($C$5,2)&amp;"输出",标准坦克设计!$B$23:$U$23,0)))*(VLOOKUP($Q47,INDIRECT($B$5&amp;"生成成长"),3))*(VLOOKUP($B$5,标准坦克设计!$B$14:$K$20,9)/30))</f>
        <v>10.025947055137507</v>
      </c>
      <c r="AD47" s="173">
        <f ca="1">(VLOOKUP(AD$41,INDIRECT($C$5&amp;"生成成长"),2))/((VLOOKUP($Q47,INDIRECT($B$5&amp;"生成成长"),4))/(VLOOKUP(AD$41,INDIRECT($C$5&amp;"生成成长"),5))*(VLOOKUP($B$5,标准坦克设计!$B$24:$U$30,MATCH("对"&amp;LEFT($C$5,2)&amp;"输出",标准坦克设计!$B$23:$U$23,0)))*(VLOOKUP($Q47,INDIRECT($B$5&amp;"生成成长"),3))*(VLOOKUP($B$5,标准坦克设计!$B$14:$K$20,9)/30))</f>
        <v>17.537582726000156</v>
      </c>
      <c r="AE47" s="173">
        <f ca="1">(VLOOKUP(AE$41,INDIRECT($C$5&amp;"生成成长"),2))/((VLOOKUP($Q47,INDIRECT($B$5&amp;"生成成长"),4))/(VLOOKUP(AE$41,INDIRECT($C$5&amp;"生成成长"),5))*(VLOOKUP($B$5,标准坦克设计!$B$24:$U$30,MATCH("对"&amp;LEFT($C$5,2)&amp;"输出",标准坦克设计!$B$23:$U$23,0)))*(VLOOKUP($Q47,INDIRECT($B$5&amp;"生成成长"),3))*(VLOOKUP($B$5,标准坦克设计!$B$14:$K$20,9)/30))</f>
        <v>30.141090181043918</v>
      </c>
      <c r="AF47" s="173">
        <f ca="1">(VLOOKUP(AF$41,INDIRECT($C$5&amp;"生成成长"),2))/((VLOOKUP($Q47,INDIRECT($B$5&amp;"生成成长"),4))/(VLOOKUP(AF$41,INDIRECT($C$5&amp;"生成成长"),5))*(VLOOKUP($B$5,标准坦克设计!$B$24:$U$30,MATCH("对"&amp;LEFT($C$5,2)&amp;"输出",标准坦克设计!$B$23:$U$23,0)))*(VLOOKUP($Q47,INDIRECT($B$5&amp;"生成成长"),3))*(VLOOKUP($B$5,标准坦克设计!$B$14:$K$20,9)/30))</f>
        <v>52.222169205183917</v>
      </c>
      <c r="AG47" s="173">
        <f ca="1">(VLOOKUP(AG$41,INDIRECT($C$5&amp;"生成成长"),2))/((VLOOKUP($Q47,INDIRECT($B$5&amp;"生成成长"),4))/(VLOOKUP(AG$41,INDIRECT($C$5&amp;"生成成长"),5))*(VLOOKUP($B$5,标准坦克设计!$B$24:$U$30,MATCH("对"&amp;LEFT($C$5,2)&amp;"输出",标准坦克设计!$B$23:$U$23,0)))*(VLOOKUP($Q47,INDIRECT($B$5&amp;"生成成长"),3))*(VLOOKUP($B$5,标准坦克设计!$B$14:$K$20,9)/30))</f>
        <v>28.755480302521079</v>
      </c>
      <c r="AH47" s="173">
        <f ca="1">(VLOOKUP(AH$41,INDIRECT($C$5&amp;"生成成长"),2))/((VLOOKUP($Q47,INDIRECT($B$5&amp;"生成成长"),4))/(VLOOKUP(AH$41,INDIRECT($C$5&amp;"生成成长"),5))*(VLOOKUP($B$5,标准坦克设计!$B$24:$U$30,MATCH("对"&amp;LEFT($C$5,2)&amp;"输出",标准坦克设计!$B$23:$U$23,0)))*(VLOOKUP($Q47,INDIRECT($B$5&amp;"生成成长"),3))*(VLOOKUP($B$5,标准坦克设计!$B$14:$K$20,9)/30))</f>
        <v>50.031275467848964</v>
      </c>
      <c r="AI47" s="173">
        <f ca="1">(VLOOKUP(AI$41,INDIRECT($C$5&amp;"生成成长"),2))/((VLOOKUP($Q47,INDIRECT($B$5&amp;"生成成长"),4))/(VLOOKUP(AI$41,INDIRECT($C$5&amp;"生成成长"),5))*(VLOOKUP($B$5,标准坦克设计!$B$24:$U$30,MATCH("对"&amp;LEFT($C$5,2)&amp;"输出",标准坦克设计!$B$23:$U$23,0)))*(VLOOKUP($Q47,INDIRECT($B$5&amp;"生成成长"),3))*(VLOOKUP($B$5,标准坦克设计!$B$14:$K$20,9)/30))</f>
        <v>85.920201450859409</v>
      </c>
      <c r="AJ47" s="173">
        <f ca="1">(VLOOKUP(AJ$41,INDIRECT($C$5&amp;"生成成长"),2))/((VLOOKUP($Q47,INDIRECT($B$5&amp;"生成成长"),4))/(VLOOKUP(AJ$41,INDIRECT($C$5&amp;"生成成长"),5))*(VLOOKUP($B$5,标准坦克设计!$B$24:$U$30,MATCH("对"&amp;LEFT($C$5,2)&amp;"输出",标准坦克设计!$B$23:$U$23,0)))*(VLOOKUP($Q47,INDIRECT($B$5&amp;"生成成长"),3))*(VLOOKUP($B$5,标准坦克设计!$B$14:$K$20,9)/30))</f>
        <v>144.03822219562147</v>
      </c>
      <c r="AK47" s="173">
        <f ca="1">(VLOOKUP(AK$41,INDIRECT($C$5&amp;"生成成长"),2))/((VLOOKUP($Q47,INDIRECT($B$5&amp;"生成成长"),4))/(VLOOKUP(AK$41,INDIRECT($C$5&amp;"生成成长"),5))*(VLOOKUP($B$5,标准坦克设计!$B$24:$U$30,MATCH("对"&amp;LEFT($C$5,2)&amp;"输出",标准坦克设计!$B$23:$U$23,0)))*(VLOOKUP($Q47,INDIRECT($B$5&amp;"生成成长"),3))*(VLOOKUP($B$5,标准坦克设计!$B$14:$K$20,9)/30))</f>
        <v>52.962899944949527</v>
      </c>
      <c r="AL47" s="173">
        <f ca="1">(VLOOKUP(AL$41,INDIRECT($C$5&amp;"生成成长"),2))/((VLOOKUP($Q47,INDIRECT($B$5&amp;"生成成长"),4))/(VLOOKUP(AL$41,INDIRECT($C$5&amp;"生成成长"),5))*(VLOOKUP($B$5,标准坦克设计!$B$24:$U$30,MATCH("对"&amp;LEFT($C$5,2)&amp;"输出",标准坦克设计!$B$23:$U$23,0)))*(VLOOKUP($Q47,INDIRECT($B$5&amp;"生成成长"),3))*(VLOOKUP($B$5,标准坦克设计!$B$14:$K$20,9)/30))</f>
        <v>90.719302018354981</v>
      </c>
      <c r="AM47" s="173">
        <f ca="1">(VLOOKUP(AM$41,INDIRECT($C$5&amp;"生成成长"),2))/((VLOOKUP($Q47,INDIRECT($B$5&amp;"生成成长"),4))/(VLOOKUP(AM$41,INDIRECT($C$5&amp;"生成成长"),5))*(VLOOKUP($B$5,标准坦克设计!$B$24:$U$30,MATCH("对"&amp;LEFT($C$5,2)&amp;"输出",标准坦克设计!$B$23:$U$23,0)))*(VLOOKUP($Q47,INDIRECT($B$5&amp;"生成成长"),3))*(VLOOKUP($B$5,标准坦克设计!$B$14:$K$20,9)/30))</f>
        <v>151.48726090256025</v>
      </c>
    </row>
    <row r="48" spans="1:39" x14ac:dyDescent="0.15">
      <c r="P48" s="171" t="str">
        <f t="shared" si="6"/>
        <v>T3中初</v>
      </c>
      <c r="Q48" s="172">
        <v>20301</v>
      </c>
      <c r="R48" s="173">
        <f ca="1">(VLOOKUP(R$41,INDIRECT($C$5&amp;"生成成长"),2))/((VLOOKUP($Q48,INDIRECT($B$5&amp;"生成成长"),4))/(VLOOKUP(R$41,INDIRECT($C$5&amp;"生成成长"),5))*(VLOOKUP($B$5,标准坦克设计!$B$24:$U$30,MATCH("对"&amp;LEFT($C$5,2)&amp;"输出",标准坦克设计!$B$23:$U$23,0)))*(VLOOKUP($Q48,INDIRECT($B$5&amp;"生成成长"),3))*(VLOOKUP($B$5,标准坦克设计!$B$14:$K$20,9)/30))</f>
        <v>4.2705228743714336</v>
      </c>
      <c r="S48" s="173">
        <f ca="1">(VLOOKUP(S$41,INDIRECT($C$5&amp;"生成成长"),2))/((VLOOKUP($Q48,INDIRECT($B$5&amp;"生成成长"),4))/(VLOOKUP(S$41,INDIRECT($C$5&amp;"生成成长"),5))*(VLOOKUP($B$5,标准坦克设计!$B$24:$U$30,MATCH("对"&amp;LEFT($C$5,2)&amp;"输出",标准坦克设计!$B$23:$U$23,0)))*(VLOOKUP($Q48,INDIRECT($B$5&amp;"生成成长"),3))*(VLOOKUP($B$5,标准坦克设计!$B$14:$K$20,9)/30))</f>
        <v>5.7464155797542018</v>
      </c>
      <c r="T48" s="173">
        <f ca="1">(VLOOKUP(T$41,INDIRECT($C$5&amp;"生成成长"),2))/((VLOOKUP($Q48,INDIRECT($B$5&amp;"生成成长"),4))/(VLOOKUP(T$41,INDIRECT($C$5&amp;"生成成长"),5))*(VLOOKUP($B$5,标准坦克设计!$B$24:$U$30,MATCH("对"&amp;LEFT($C$5,2)&amp;"输出",标准坦克设计!$B$23:$U$23,0)))*(VLOOKUP($Q48,INDIRECT($B$5&amp;"生成成长"),3))*(VLOOKUP($B$5,标准坦克设计!$B$14:$K$20,9)/30))</f>
        <v>8.7327922258021431</v>
      </c>
      <c r="U48" s="173">
        <f ca="1">(VLOOKUP(U$41,INDIRECT($C$5&amp;"生成成长"),2))/((VLOOKUP($Q48,INDIRECT($B$5&amp;"生成成长"),4))/(VLOOKUP(U$41,INDIRECT($C$5&amp;"生成成长"),5))*(VLOOKUP($B$5,标准坦克设计!$B$24:$U$30,MATCH("对"&amp;LEFT($C$5,2)&amp;"输出",标准坦克设计!$B$23:$U$23,0)))*(VLOOKUP($Q48,INDIRECT($B$5&amp;"生成成长"),3))*(VLOOKUP($B$5,标准坦克设计!$B$14:$K$20,9)/30))</f>
        <v>14.301554053982494</v>
      </c>
      <c r="V48" s="173">
        <f ca="1">(VLOOKUP(V$41,INDIRECT($C$5&amp;"生成成长"),2))/((VLOOKUP($Q48,INDIRECT($B$5&amp;"生成成长"),4))/(VLOOKUP(V$41,INDIRECT($C$5&amp;"生成成长"),5))*(VLOOKUP($B$5,标准坦克设计!$B$24:$U$30,MATCH("对"&amp;LEFT($C$5,2)&amp;"输出",标准坦克设计!$B$23:$U$23,0)))*(VLOOKUP($Q48,INDIRECT($B$5&amp;"生成成长"),3))*(VLOOKUP($B$5,标准坦克设计!$B$14:$K$20,9)/30))</f>
        <v>5.9462760502747836</v>
      </c>
      <c r="W48" s="173">
        <f ca="1">(VLOOKUP(W$41,INDIRECT($C$5&amp;"生成成长"),2))/((VLOOKUP($Q48,INDIRECT($B$5&amp;"生成成长"),4))/(VLOOKUP(W$41,INDIRECT($C$5&amp;"生成成长"),5))*(VLOOKUP($B$5,标准坦克设计!$B$24:$U$30,MATCH("对"&amp;LEFT($C$5,2)&amp;"输出",标准坦克设计!$B$23:$U$23,0)))*(VLOOKUP($Q48,INDIRECT($B$5&amp;"生成成长"),3))*(VLOOKUP($B$5,标准坦克设计!$B$14:$K$20,9)/30))</f>
        <v>9.1030465590101475</v>
      </c>
      <c r="X48" s="173">
        <f ca="1">(VLOOKUP(X$41,INDIRECT($C$5&amp;"生成成长"),2))/((VLOOKUP($Q48,INDIRECT($B$5&amp;"生成成长"),4))/(VLOOKUP(X$41,INDIRECT($C$5&amp;"生成成长"),5))*(VLOOKUP($B$5,标准坦克设计!$B$24:$U$30,MATCH("对"&amp;LEFT($C$5,2)&amp;"输出",标准坦克设计!$B$23:$U$23,0)))*(VLOOKUP($Q48,INDIRECT($B$5&amp;"生成成长"),3))*(VLOOKUP($B$5,标准坦克设计!$B$14:$K$20,9)/30))</f>
        <v>14.933591439389467</v>
      </c>
      <c r="Y48" s="173">
        <f ca="1">(VLOOKUP(Y$41,INDIRECT($C$5&amp;"生成成长"),2))/((VLOOKUP($Q48,INDIRECT($B$5&amp;"生成成长"),4))/(VLOOKUP(Y$41,INDIRECT($C$5&amp;"生成成长"),5))*(VLOOKUP($B$5,标准坦克设计!$B$24:$U$30,MATCH("对"&amp;LEFT($C$5,2)&amp;"输出",标准坦克设计!$B$23:$U$23,0)))*(VLOOKUP($Q48,INDIRECT($B$5&amp;"生成成长"),3))*(VLOOKUP($B$5,标准坦克设计!$B$14:$K$20,9)/30))</f>
        <v>25.217010520875878</v>
      </c>
      <c r="Z48" s="173">
        <f ca="1">(VLOOKUP(Z$41,INDIRECT($C$5&amp;"生成成长"),2))/((VLOOKUP($Q48,INDIRECT($B$5&amp;"生成成长"),4))/(VLOOKUP(Z$41,INDIRECT($C$5&amp;"生成成长"),5))*(VLOOKUP($B$5,标准坦克设计!$B$24:$U$30,MATCH("对"&amp;LEFT($C$5,2)&amp;"输出",标准坦克设计!$B$23:$U$23,0)))*(VLOOKUP($Q48,INDIRECT($B$5&amp;"生成成长"),3))*(VLOOKUP($B$5,标准坦克设计!$B$14:$K$20,9)/30))</f>
        <v>9.4809878333920192</v>
      </c>
      <c r="AA48" s="173">
        <f ca="1">(VLOOKUP(AA$41,INDIRECT($C$5&amp;"生成成长"),2))/((VLOOKUP($Q48,INDIRECT($B$5&amp;"生成成长"),4))/(VLOOKUP(AA$41,INDIRECT($C$5&amp;"生成成长"),5))*(VLOOKUP($B$5,标准坦克设计!$B$24:$U$30,MATCH("对"&amp;LEFT($C$5,2)&amp;"输出",标准坦克设计!$B$23:$U$23,0)))*(VLOOKUP($Q48,INDIRECT($B$5&amp;"生成成长"),3))*(VLOOKUP($B$5,标准坦克设计!$B$14:$K$20,9)/30))</f>
        <v>15.579294497994429</v>
      </c>
      <c r="AB48" s="173">
        <f ca="1">(VLOOKUP(AB$41,INDIRECT($C$5&amp;"生成成长"),2))/((VLOOKUP($Q48,INDIRECT($B$5&amp;"生成成长"),4))/(VLOOKUP(AB$41,INDIRECT($C$5&amp;"生成成长"),5))*(VLOOKUP($B$5,标准坦克设计!$B$24:$U$30,MATCH("对"&amp;LEFT($C$5,2)&amp;"输出",标准坦克设计!$B$23:$U$23,0)))*(VLOOKUP($Q48,INDIRECT($B$5&amp;"生成成长"),3))*(VLOOKUP($B$5,标准坦克设计!$B$14:$K$20,9)/30))</f>
        <v>26.265423886534069</v>
      </c>
      <c r="AC48" s="173">
        <f ca="1">(VLOOKUP(AC$41,INDIRECT($C$5&amp;"生成成长"),2))/((VLOOKUP($Q48,INDIRECT($B$5&amp;"生成成长"),4))/(VLOOKUP(AC$41,INDIRECT($C$5&amp;"生成成长"),5))*(VLOOKUP($B$5,标准坦克设计!$B$24:$U$30,MATCH("对"&amp;LEFT($C$5,2)&amp;"输出",标准坦克设计!$B$23:$U$23,0)))*(VLOOKUP($Q48,INDIRECT($B$5&amp;"生成成长"),3))*(VLOOKUP($B$5,标准坦克设计!$B$14:$K$20,9)/30))</f>
        <v>6.5663559716335174</v>
      </c>
      <c r="AD48" s="173">
        <f ca="1">(VLOOKUP(AD$41,INDIRECT($C$5&amp;"生成成长"),2))/((VLOOKUP($Q48,INDIRECT($B$5&amp;"生成成长"),4))/(VLOOKUP(AD$41,INDIRECT($C$5&amp;"生成成长"),5))*(VLOOKUP($B$5,标准坦克设计!$B$24:$U$30,MATCH("对"&amp;LEFT($C$5,2)&amp;"输出",标准坦克设计!$B$23:$U$23,0)))*(VLOOKUP($Q48,INDIRECT($B$5&amp;"生成成长"),3))*(VLOOKUP($B$5,标准坦克设计!$B$14:$K$20,9)/30))</f>
        <v>11.485998322909406</v>
      </c>
      <c r="AE48" s="173">
        <f ca="1">(VLOOKUP(AE$41,INDIRECT($C$5&amp;"生成成长"),2))/((VLOOKUP($Q48,INDIRECT($B$5&amp;"生成成长"),4))/(VLOOKUP(AE$41,INDIRECT($C$5&amp;"生成成长"),5))*(VLOOKUP($B$5,标准坦克设计!$B$24:$U$30,MATCH("对"&amp;LEFT($C$5,2)&amp;"输出",标准坦克设计!$B$23:$U$23,0)))*(VLOOKUP($Q48,INDIRECT($B$5&amp;"生成成长"),3))*(VLOOKUP($B$5,标准坦克设计!$B$14:$K$20,9)/30))</f>
        <v>19.740491986781951</v>
      </c>
      <c r="AF48" s="173">
        <f ca="1">(VLOOKUP(AF$41,INDIRECT($C$5&amp;"生成成长"),2))/((VLOOKUP($Q48,INDIRECT($B$5&amp;"生成成长"),4))/(VLOOKUP(AF$41,INDIRECT($C$5&amp;"生成成长"),5))*(VLOOKUP($B$5,标准坦克设计!$B$24:$U$30,MATCH("对"&amp;LEFT($C$5,2)&amp;"输出",标准坦克设计!$B$23:$U$23,0)))*(VLOOKUP($Q48,INDIRECT($B$5&amp;"生成成长"),3))*(VLOOKUP($B$5,标准坦克设计!$B$14:$K$20,9)/30))</f>
        <v>34.202190648553376</v>
      </c>
      <c r="AG48" s="173">
        <f ca="1">(VLOOKUP(AG$41,INDIRECT($C$5&amp;"生成成长"),2))/((VLOOKUP($Q48,INDIRECT($B$5&amp;"生成成长"),4))/(VLOOKUP(AG$41,INDIRECT($C$5&amp;"生成成长"),5))*(VLOOKUP($B$5,标准坦克设计!$B$24:$U$30,MATCH("对"&amp;LEFT($C$5,2)&amp;"输出",标准坦克设计!$B$23:$U$23,0)))*(VLOOKUP($Q48,INDIRECT($B$5&amp;"生成成长"),3))*(VLOOKUP($B$5,标准坦克设计!$B$14:$K$20,9)/30))</f>
        <v>18.833005875978024</v>
      </c>
      <c r="AH48" s="173">
        <f ca="1">(VLOOKUP(AH$41,INDIRECT($C$5&amp;"生成成长"),2))/((VLOOKUP($Q48,INDIRECT($B$5&amp;"生成成长"),4))/(VLOOKUP(AH$41,INDIRECT($C$5&amp;"生成成长"),5))*(VLOOKUP($B$5,标准坦克设计!$B$24:$U$30,MATCH("对"&amp;LEFT($C$5,2)&amp;"输出",标准坦克设计!$B$23:$U$23,0)))*(VLOOKUP($Q48,INDIRECT($B$5&amp;"生成成长"),3))*(VLOOKUP($B$5,标准坦克设计!$B$14:$K$20,9)/30))</f>
        <v>32.767294962764566</v>
      </c>
      <c r="AI48" s="173">
        <f ca="1">(VLOOKUP(AI$41,INDIRECT($C$5&amp;"生成成长"),2))/((VLOOKUP($Q48,INDIRECT($B$5&amp;"生成成长"),4))/(VLOOKUP(AI$41,INDIRECT($C$5&amp;"生成成长"),5))*(VLOOKUP($B$5,标准坦克设计!$B$24:$U$30,MATCH("对"&amp;LEFT($C$5,2)&amp;"输出",标准坦克设计!$B$23:$U$23,0)))*(VLOOKUP($Q48,INDIRECT($B$5&amp;"生成成长"),3))*(VLOOKUP($B$5,标准坦克设计!$B$14:$K$20,9)/30))</f>
        <v>56.272252863304942</v>
      </c>
      <c r="AJ48" s="173">
        <f ca="1">(VLOOKUP(AJ$41,INDIRECT($C$5&amp;"生成成长"),2))/((VLOOKUP($Q48,INDIRECT($B$5&amp;"生成成长"),4))/(VLOOKUP(AJ$41,INDIRECT($C$5&amp;"生成成长"),5))*(VLOOKUP($B$5,标准坦克设计!$B$24:$U$30,MATCH("对"&amp;LEFT($C$5,2)&amp;"输出",标准坦克设计!$B$23:$U$23,0)))*(VLOOKUP($Q48,INDIRECT($B$5&amp;"生成成长"),3))*(VLOOKUP($B$5,标准坦克设计!$B$14:$K$20,9)/30))</f>
        <v>94.335850294864969</v>
      </c>
      <c r="AK48" s="173">
        <f ca="1">(VLOOKUP(AK$41,INDIRECT($C$5&amp;"生成成长"),2))/((VLOOKUP($Q48,INDIRECT($B$5&amp;"生成成长"),4))/(VLOOKUP(AK$41,INDIRECT($C$5&amp;"生成成长"),5))*(VLOOKUP($B$5,标准坦克设计!$B$24:$U$30,MATCH("对"&amp;LEFT($C$5,2)&amp;"输出",标准坦克设计!$B$23:$U$23,0)))*(VLOOKUP($Q48,INDIRECT($B$5&amp;"生成成长"),3))*(VLOOKUP($B$5,标准坦克设计!$B$14:$K$20,9)/30))</f>
        <v>34.687322047081963</v>
      </c>
      <c r="AL48" s="173">
        <f ca="1">(VLOOKUP(AL$41,INDIRECT($C$5&amp;"生成成长"),2))/((VLOOKUP($Q48,INDIRECT($B$5&amp;"生成成长"),4))/(VLOOKUP(AL$41,INDIRECT($C$5&amp;"生成成长"),5))*(VLOOKUP($B$5,标准坦克设计!$B$24:$U$30,MATCH("对"&amp;LEFT($C$5,2)&amp;"输出",标准坦克设计!$B$23:$U$23,0)))*(VLOOKUP($Q48,INDIRECT($B$5&amp;"生成成长"),3))*(VLOOKUP($B$5,标准坦克设计!$B$14:$K$20,9)/30))</f>
        <v>59.415357698842314</v>
      </c>
      <c r="AM48" s="173">
        <f ca="1">(VLOOKUP(AM$41,INDIRECT($C$5&amp;"生成成长"),2))/((VLOOKUP($Q48,INDIRECT($B$5&amp;"生成成长"),4))/(VLOOKUP(AM$41,INDIRECT($C$5&amp;"生成成长"),5))*(VLOOKUP($B$5,标准坦克设计!$B$24:$U$30,MATCH("对"&amp;LEFT($C$5,2)&amp;"输出",标准坦克设计!$B$23:$U$23,0)))*(VLOOKUP($Q48,INDIRECT($B$5&amp;"生成成长"),3))*(VLOOKUP($B$5,标准坦克设计!$B$14:$K$20,9)/30))</f>
        <v>99.214495626546906</v>
      </c>
    </row>
    <row r="49" spans="16:39" x14ac:dyDescent="0.15">
      <c r="P49" s="171" t="str">
        <f t="shared" si="6"/>
        <v>T4中初</v>
      </c>
      <c r="Q49" s="172">
        <v>20401</v>
      </c>
      <c r="R49" s="173">
        <f ca="1">(VLOOKUP(R$41,INDIRECT($C$5&amp;"生成成长"),2))/((VLOOKUP($Q49,INDIRECT($B$5&amp;"生成成长"),4))/(VLOOKUP(R$41,INDIRECT($C$5&amp;"生成成长"),5))*(VLOOKUP($B$5,标准坦克设计!$B$24:$U$30,MATCH("对"&amp;LEFT($C$5,2)&amp;"输出",标准坦克设计!$B$23:$U$23,0)))*(VLOOKUP($Q49,INDIRECT($B$5&amp;"生成成长"),3))*(VLOOKUP($B$5,标准坦克设计!$B$14:$K$20,9)/30))</f>
        <v>2.595756932144945</v>
      </c>
      <c r="S49" s="173">
        <f ca="1">(VLOOKUP(S$41,INDIRECT($C$5&amp;"生成成长"),2))/((VLOOKUP($Q49,INDIRECT($B$5&amp;"生成成长"),4))/(VLOOKUP(S$41,INDIRECT($C$5&amp;"生成成长"),5))*(VLOOKUP($B$5,标准坦克设计!$B$24:$U$30,MATCH("对"&amp;LEFT($C$5,2)&amp;"输出",标准坦克设计!$B$23:$U$23,0)))*(VLOOKUP($Q49,INDIRECT($B$5&amp;"生成成长"),3))*(VLOOKUP($B$5,标准坦克设计!$B$14:$K$20,9)/30))</f>
        <v>3.4928505278942379</v>
      </c>
      <c r="T49" s="173">
        <f ca="1">(VLOOKUP(T$41,INDIRECT($C$5&amp;"生成成长"),2))/((VLOOKUP($Q49,INDIRECT($B$5&amp;"生成成长"),4))/(VLOOKUP(T$41,INDIRECT($C$5&amp;"生成成长"),5))*(VLOOKUP($B$5,标准坦克设计!$B$24:$U$30,MATCH("对"&amp;LEFT($C$5,2)&amp;"输出",标准坦克设计!$B$23:$U$23,0)))*(VLOOKUP($Q49,INDIRECT($B$5&amp;"生成成长"),3))*(VLOOKUP($B$5,标准坦克设计!$B$14:$K$20,9)/30))</f>
        <v>5.3080633505431978</v>
      </c>
      <c r="U49" s="173">
        <f ca="1">(VLOOKUP(U$41,INDIRECT($C$5&amp;"生成成长"),2))/((VLOOKUP($Q49,INDIRECT($B$5&amp;"生成成长"),4))/(VLOOKUP(U$41,INDIRECT($C$5&amp;"生成成长"),5))*(VLOOKUP($B$5,标准坦克设计!$B$24:$U$30,MATCH("对"&amp;LEFT($C$5,2)&amp;"输出",标准坦克设计!$B$23:$U$23,0)))*(VLOOKUP($Q49,INDIRECT($B$5&amp;"生成成长"),3))*(VLOOKUP($B$5,标准坦克设计!$B$14:$K$20,9)/30))</f>
        <v>8.6929303900602068</v>
      </c>
      <c r="V49" s="173">
        <f ca="1">(VLOOKUP(V$41,INDIRECT($C$5&amp;"生成成长"),2))/((VLOOKUP($Q49,INDIRECT($B$5&amp;"生成成长"),4))/(VLOOKUP(V$41,INDIRECT($C$5&amp;"生成成长"),5))*(VLOOKUP($B$5,标准坦克设计!$B$24:$U$30,MATCH("对"&amp;LEFT($C$5,2)&amp;"输出",标准坦克设计!$B$23:$U$23,0)))*(VLOOKUP($Q49,INDIRECT($B$5&amp;"生成成长"),3))*(VLOOKUP($B$5,标准坦克设计!$B$14:$K$20,9)/30))</f>
        <v>3.6143319523186213</v>
      </c>
      <c r="W49" s="173">
        <f ca="1">(VLOOKUP(W$41,INDIRECT($C$5&amp;"生成成长"),2))/((VLOOKUP($Q49,INDIRECT($B$5&amp;"生成成长"),4))/(VLOOKUP(W$41,INDIRECT($C$5&amp;"生成成长"),5))*(VLOOKUP($B$5,标准坦克设计!$B$24:$U$30,MATCH("对"&amp;LEFT($C$5,2)&amp;"输出",标准坦克设计!$B$23:$U$23,0)))*(VLOOKUP($Q49,INDIRECT($B$5&amp;"生成成长"),3))*(VLOOKUP($B$5,标准坦克设计!$B$14:$K$20,9)/30))</f>
        <v>5.5331154765601651</v>
      </c>
      <c r="X49" s="173">
        <f ca="1">(VLOOKUP(X$41,INDIRECT($C$5&amp;"生成成长"),2))/((VLOOKUP($Q49,INDIRECT($B$5&amp;"生成成长"),4))/(VLOOKUP(X$41,INDIRECT($C$5&amp;"生成成长"),5))*(VLOOKUP($B$5,标准坦克设计!$B$24:$U$30,MATCH("对"&amp;LEFT($C$5,2)&amp;"输出",标准坦克设计!$B$23:$U$23,0)))*(VLOOKUP($Q49,INDIRECT($B$5&amp;"生成成长"),3))*(VLOOKUP($B$5,标准坦克设计!$B$14:$K$20,9)/30))</f>
        <v>9.0771024160176594</v>
      </c>
      <c r="Y49" s="173">
        <f ca="1">(VLOOKUP(Y$41,INDIRECT($C$5&amp;"生成成长"),2))/((VLOOKUP($Q49,INDIRECT($B$5&amp;"生成成长"),4))/(VLOOKUP(Y$41,INDIRECT($C$5&amp;"生成成长"),5))*(VLOOKUP($B$5,标准坦克设计!$B$24:$U$30,MATCH("对"&amp;LEFT($C$5,2)&amp;"输出",标准坦克设计!$B$23:$U$23,0)))*(VLOOKUP($Q49,INDIRECT($B$5&amp;"生成成长"),3))*(VLOOKUP($B$5,标准坦克设计!$B$14:$K$20,9)/30))</f>
        <v>15.327685108622685</v>
      </c>
      <c r="Z49" s="173">
        <f ca="1">(VLOOKUP(Z$41,INDIRECT($C$5&amp;"生成成长"),2))/((VLOOKUP($Q49,INDIRECT($B$5&amp;"生成成长"),4))/(VLOOKUP(Z$41,INDIRECT($C$5&amp;"生成成长"),5))*(VLOOKUP($B$5,标准坦克设计!$B$24:$U$30,MATCH("对"&amp;LEFT($C$5,2)&amp;"输出",标准坦克设计!$B$23:$U$23,0)))*(VLOOKUP($Q49,INDIRECT($B$5&amp;"生成成长"),3))*(VLOOKUP($B$5,标准坦克设计!$B$14:$K$20,9)/30))</f>
        <v>5.762839965054992</v>
      </c>
      <c r="AA49" s="173">
        <f ca="1">(VLOOKUP(AA$41,INDIRECT($C$5&amp;"生成成长"),2))/((VLOOKUP($Q49,INDIRECT($B$5&amp;"生成成长"),4))/(VLOOKUP(AA$41,INDIRECT($C$5&amp;"生成成长"),5))*(VLOOKUP($B$5,标准坦克设计!$B$24:$U$30,MATCH("对"&amp;LEFT($C$5,2)&amp;"输出",标准坦克设计!$B$23:$U$23,0)))*(VLOOKUP($Q49,INDIRECT($B$5&amp;"生成成长"),3))*(VLOOKUP($B$5,标准坦克设计!$B$14:$K$20,9)/30))</f>
        <v>9.4695808641579742</v>
      </c>
      <c r="AB49" s="173">
        <f ca="1">(VLOOKUP(AB$41,INDIRECT($C$5&amp;"生成成长"),2))/((VLOOKUP($Q49,INDIRECT($B$5&amp;"生成成长"),4))/(VLOOKUP(AB$41,INDIRECT($C$5&amp;"生成成长"),5))*(VLOOKUP($B$5,标准坦克设计!$B$24:$U$30,MATCH("对"&amp;LEFT($C$5,2)&amp;"输出",标准坦克设计!$B$23:$U$23,0)))*(VLOOKUP($Q49,INDIRECT($B$5&amp;"生成成长"),3))*(VLOOKUP($B$5,标准坦克设计!$B$14:$K$20,9)/30))</f>
        <v>15.964943435464269</v>
      </c>
      <c r="AC49" s="173">
        <f ca="1">(VLOOKUP(AC$41,INDIRECT($C$5&amp;"生成成长"),2))/((VLOOKUP($Q49,INDIRECT($B$5&amp;"生成成长"),4))/(VLOOKUP(AC$41,INDIRECT($C$5&amp;"生成成长"),5))*(VLOOKUP($B$5,标准坦克设计!$B$24:$U$30,MATCH("对"&amp;LEFT($C$5,2)&amp;"输出",标准坦克设计!$B$23:$U$23,0)))*(VLOOKUP($Q49,INDIRECT($B$5&amp;"生成成长"),3))*(VLOOKUP($B$5,标准坦克设计!$B$14:$K$20,9)/30))</f>
        <v>3.9912358588660672</v>
      </c>
      <c r="AD49" s="173">
        <f ca="1">(VLOOKUP(AD$41,INDIRECT($C$5&amp;"生成成长"),2))/((VLOOKUP($Q49,INDIRECT($B$5&amp;"生成成长"),4))/(VLOOKUP(AD$41,INDIRECT($C$5&amp;"生成成长"),5))*(VLOOKUP($B$5,标准坦克设计!$B$24:$U$30,MATCH("对"&amp;LEFT($C$5,2)&amp;"输出",标准坦克设计!$B$23:$U$23,0)))*(VLOOKUP($Q49,INDIRECT($B$5&amp;"生成成长"),3))*(VLOOKUP($B$5,标准坦克设计!$B$14:$K$20,9)/30))</f>
        <v>6.9815478446970438</v>
      </c>
      <c r="AE49" s="173">
        <f ca="1">(VLOOKUP(AE$41,INDIRECT($C$5&amp;"生成成长"),2))/((VLOOKUP($Q49,INDIRECT($B$5&amp;"生成成长"),4))/(VLOOKUP(AE$41,INDIRECT($C$5&amp;"生成成长"),5))*(VLOOKUP($B$5,标准坦克设计!$B$24:$U$30,MATCH("对"&amp;LEFT($C$5,2)&amp;"输出",标准坦克设计!$B$23:$U$23,0)))*(VLOOKUP($Q49,INDIRECT($B$5&amp;"生成成长"),3))*(VLOOKUP($B$5,标准坦克设计!$B$14:$K$20,9)/30))</f>
        <v>11.998886418840009</v>
      </c>
      <c r="AF49" s="173">
        <f ca="1">(VLOOKUP(AF$41,INDIRECT($C$5&amp;"生成成长"),2))/((VLOOKUP($Q49,INDIRECT($B$5&amp;"生成成长"),4))/(VLOOKUP(AF$41,INDIRECT($C$5&amp;"生成成长"),5))*(VLOOKUP($B$5,标准坦克设计!$B$24:$U$30,MATCH("对"&amp;LEFT($C$5,2)&amp;"输出",标准坦克设计!$B$23:$U$23,0)))*(VLOOKUP($Q49,INDIRECT($B$5&amp;"生成成长"),3))*(VLOOKUP($B$5,标准坦克设计!$B$14:$K$20,9)/30))</f>
        <v>20.78915769385565</v>
      </c>
      <c r="AG49" s="173">
        <f ca="1">(VLOOKUP(AG$41,INDIRECT($C$5&amp;"生成成长"),2))/((VLOOKUP($Q49,INDIRECT($B$5&amp;"生成成长"),4))/(VLOOKUP(AG$41,INDIRECT($C$5&amp;"生成成长"),5))*(VLOOKUP($B$5,标准坦克设计!$B$24:$U$30,MATCH("对"&amp;LEFT($C$5,2)&amp;"输出",标准坦克设计!$B$23:$U$23,0)))*(VLOOKUP($Q49,INDIRECT($B$5&amp;"生成成长"),3))*(VLOOKUP($B$5,标准坦克设计!$B$14:$K$20,9)/30))</f>
        <v>11.447288070759207</v>
      </c>
      <c r="AH49" s="173">
        <f ca="1">(VLOOKUP(AH$41,INDIRECT($C$5&amp;"生成成长"),2))/((VLOOKUP($Q49,INDIRECT($B$5&amp;"生成成长"),4))/(VLOOKUP(AH$41,INDIRECT($C$5&amp;"生成成长"),5))*(VLOOKUP($B$5,标准坦克设计!$B$24:$U$30,MATCH("对"&amp;LEFT($C$5,2)&amp;"输出",标准坦克设计!$B$23:$U$23,0)))*(VLOOKUP($Q49,INDIRECT($B$5&amp;"生成成长"),3))*(VLOOKUP($B$5,标准坦克设计!$B$14:$K$20,9)/30))</f>
        <v>19.91698336465495</v>
      </c>
      <c r="AI49" s="173">
        <f ca="1">(VLOOKUP(AI$41,INDIRECT($C$5&amp;"生成成长"),2))/((VLOOKUP($Q49,INDIRECT($B$5&amp;"生成成长"),4))/(VLOOKUP(AI$41,INDIRECT($C$5&amp;"生成成长"),5))*(VLOOKUP($B$5,标准坦克设计!$B$24:$U$30,MATCH("对"&amp;LEFT($C$5,2)&amp;"输出",标准坦克设计!$B$23:$U$23,0)))*(VLOOKUP($Q49,INDIRECT($B$5&amp;"生成成长"),3))*(VLOOKUP($B$5,标准坦克设计!$B$14:$K$20,9)/30))</f>
        <v>34.204029519180729</v>
      </c>
      <c r="AJ49" s="173">
        <f ca="1">(VLOOKUP(AJ$41,INDIRECT($C$5&amp;"生成成长"),2))/((VLOOKUP($Q49,INDIRECT($B$5&amp;"生成成长"),4))/(VLOOKUP(AJ$41,INDIRECT($C$5&amp;"生成成长"),5))*(VLOOKUP($B$5,标准坦克设计!$B$24:$U$30,MATCH("对"&amp;LEFT($C$5,2)&amp;"输出",标准坦克设计!$B$23:$U$23,0)))*(VLOOKUP($Q49,INDIRECT($B$5&amp;"生成成长"),3))*(VLOOKUP($B$5,标准坦克设计!$B$14:$K$20,9)/30))</f>
        <v>57.340270631081822</v>
      </c>
      <c r="AK49" s="173">
        <f ca="1">(VLOOKUP(AK$41,INDIRECT($C$5&amp;"生成成长"),2))/((VLOOKUP($Q49,INDIRECT($B$5&amp;"生成成长"),4))/(VLOOKUP(AK$41,INDIRECT($C$5&amp;"生成成长"),5))*(VLOOKUP($B$5,标准坦克设计!$B$24:$U$30,MATCH("对"&amp;LEFT($C$5,2)&amp;"输出",标准坦克设计!$B$23:$U$23,0)))*(VLOOKUP($Q49,INDIRECT($B$5&amp;"生成成长"),3))*(VLOOKUP($B$5,标准坦克设计!$B$14:$K$20,9)/30))</f>
        <v>21.084035681347313</v>
      </c>
      <c r="AL49" s="173">
        <f ca="1">(VLOOKUP(AL$41,INDIRECT($C$5&amp;"生成成长"),2))/((VLOOKUP($Q49,INDIRECT($B$5&amp;"生成成长"),4))/(VLOOKUP(AL$41,INDIRECT($C$5&amp;"生成成长"),5))*(VLOOKUP($B$5,标准坦克设计!$B$24:$U$30,MATCH("对"&amp;LEFT($C$5,2)&amp;"输出",标准坦克设计!$B$23:$U$23,0)))*(VLOOKUP($Q49,INDIRECT($B$5&amp;"生成成长"),3))*(VLOOKUP($B$5,标准坦克设计!$B$14:$K$20,9)/30))</f>
        <v>36.114506621239407</v>
      </c>
      <c r="AM49" s="173">
        <f ca="1">(VLOOKUP(AM$41,INDIRECT($C$5&amp;"生成成长"),2))/((VLOOKUP($Q49,INDIRECT($B$5&amp;"生成成长"),4))/(VLOOKUP(AM$41,INDIRECT($C$5&amp;"生成成长"),5))*(VLOOKUP($B$5,标准坦克设计!$B$24:$U$30,MATCH("对"&amp;LEFT($C$5,2)&amp;"输出",标准坦克设计!$B$23:$U$23,0)))*(VLOOKUP($Q49,INDIRECT($B$5&amp;"生成成长"),3))*(VLOOKUP($B$5,标准坦克设计!$B$14:$K$20,9)/30))</f>
        <v>60.305663350364227</v>
      </c>
    </row>
    <row r="50" spans="16:39" x14ac:dyDescent="0.15">
      <c r="P50" s="171" t="str">
        <f t="shared" si="6"/>
        <v>T5中初</v>
      </c>
      <c r="Q50" s="172">
        <v>20501</v>
      </c>
      <c r="R50" s="173">
        <f ca="1">(VLOOKUP(R$41,INDIRECT($C$5&amp;"生成成长"),2))/((VLOOKUP($Q50,INDIRECT($B$5&amp;"生成成长"),4))/(VLOOKUP(R$41,INDIRECT($C$5&amp;"生成成长"),5))*(VLOOKUP($B$5,标准坦克设计!$B$24:$U$30,MATCH("对"&amp;LEFT($C$5,2)&amp;"输出",标准坦克设计!$B$23:$U$23,0)))*(VLOOKUP($Q50,INDIRECT($B$5&amp;"生成成长"),3))*(VLOOKUP($B$5,标准坦克设计!$B$14:$K$20,9)/30))</f>
        <v>1.5342067667972212</v>
      </c>
      <c r="S50" s="173">
        <f ca="1">(VLOOKUP(S$41,INDIRECT($C$5&amp;"生成成长"),2))/((VLOOKUP($Q50,INDIRECT($B$5&amp;"生成成长"),4))/(VLOOKUP(S$41,INDIRECT($C$5&amp;"生成成长"),5))*(VLOOKUP($B$5,标准坦克设计!$B$24:$U$30,MATCH("对"&amp;LEFT($C$5,2)&amp;"输出",标准坦克设计!$B$23:$U$23,0)))*(VLOOKUP($Q50,INDIRECT($B$5&amp;"生成成长"),3))*(VLOOKUP($B$5,标准坦克设计!$B$14:$K$20,9)/30))</f>
        <v>2.064428625402341</v>
      </c>
      <c r="T50" s="173">
        <f ca="1">(VLOOKUP(T$41,INDIRECT($C$5&amp;"生成成长"),2))/((VLOOKUP($Q50,INDIRECT($B$5&amp;"生成成长"),4))/(VLOOKUP(T$41,INDIRECT($C$5&amp;"生成成长"),5))*(VLOOKUP($B$5,标准坦克设计!$B$24:$U$30,MATCH("对"&amp;LEFT($C$5,2)&amp;"输出",标准坦克设计!$B$23:$U$23,0)))*(VLOOKUP($Q50,INDIRECT($B$5&amp;"生成成长"),3))*(VLOOKUP($B$5,标准坦克设计!$B$14:$K$20,9)/30))</f>
        <v>3.1372994174236379</v>
      </c>
      <c r="U50" s="173">
        <f ca="1">(VLOOKUP(U$41,INDIRECT($C$5&amp;"生成成长"),2))/((VLOOKUP($Q50,INDIRECT($B$5&amp;"生成成长"),4))/(VLOOKUP(U$41,INDIRECT($C$5&amp;"生成成长"),5))*(VLOOKUP($B$5,标准坦克设计!$B$24:$U$30,MATCH("对"&amp;LEFT($C$5,2)&amp;"输出",标准坦克设计!$B$23:$U$23,0)))*(VLOOKUP($Q50,INDIRECT($B$5&amp;"生成成长"),3))*(VLOOKUP($B$5,标准坦克设计!$B$14:$K$20,9)/30))</f>
        <v>5.1379050413272136</v>
      </c>
      <c r="V50" s="173">
        <f ca="1">(VLOOKUP(V$41,INDIRECT($C$5&amp;"生成成长"),2))/((VLOOKUP($Q50,INDIRECT($B$5&amp;"生成成长"),4))/(VLOOKUP(V$41,INDIRECT($C$5&amp;"生成成长"),5))*(VLOOKUP($B$5,标准坦克设计!$B$24:$U$30,MATCH("对"&amp;LEFT($C$5,2)&amp;"输出",标准坦克设计!$B$23:$U$23,0)))*(VLOOKUP($Q50,INDIRECT($B$5&amp;"生成成长"),3))*(VLOOKUP($B$5,标准坦克设计!$B$14:$K$20,9)/30))</f>
        <v>2.1362295020884514</v>
      </c>
      <c r="W50" s="173">
        <f ca="1">(VLOOKUP(W$41,INDIRECT($C$5&amp;"生成成长"),2))/((VLOOKUP($Q50,INDIRECT($B$5&amp;"生成成长"),4))/(VLOOKUP(W$41,INDIRECT($C$5&amp;"生成成长"),5))*(VLOOKUP($B$5,标准坦克设计!$B$24:$U$30,MATCH("对"&amp;LEFT($C$5,2)&amp;"输出",标准坦克设计!$B$23:$U$23,0)))*(VLOOKUP($Q50,INDIRECT($B$5&amp;"生成成长"),3))*(VLOOKUP($B$5,标准坦克设计!$B$14:$K$20,9)/30))</f>
        <v>3.2703151441049569</v>
      </c>
      <c r="X50" s="173">
        <f ca="1">(VLOOKUP(X$41,INDIRECT($C$5&amp;"生成成长"),2))/((VLOOKUP($Q50,INDIRECT($B$5&amp;"生成成长"),4))/(VLOOKUP(X$41,INDIRECT($C$5&amp;"生成成长"),5))*(VLOOKUP($B$5,标准坦克设计!$B$24:$U$30,MATCH("对"&amp;LEFT($C$5,2)&amp;"输出",标准坦克设计!$B$23:$U$23,0)))*(VLOOKUP($Q50,INDIRECT($B$5&amp;"生成成长"),3))*(VLOOKUP($B$5,标准坦克设计!$B$14:$K$20,9)/30))</f>
        <v>5.3649676428132027</v>
      </c>
      <c r="Y50" s="173">
        <f ca="1">(VLOOKUP(Y$41,INDIRECT($C$5&amp;"生成成长"),2))/((VLOOKUP($Q50,INDIRECT($B$5&amp;"生成成长"),4))/(VLOOKUP(Y$41,INDIRECT($C$5&amp;"生成成长"),5))*(VLOOKUP($B$5,标准坦克设计!$B$24:$U$30,MATCH("对"&amp;LEFT($C$5,2)&amp;"输出",标准坦克设计!$B$23:$U$23,0)))*(VLOOKUP($Q50,INDIRECT($B$5&amp;"生成成长"),3))*(VLOOKUP($B$5,标准坦克设计!$B$14:$K$20,9)/30))</f>
        <v>9.0593375372609106</v>
      </c>
      <c r="Z50" s="173">
        <f ca="1">(VLOOKUP(Z$41,INDIRECT($C$5&amp;"生成成长"),2))/((VLOOKUP($Q50,INDIRECT($B$5&amp;"生成成长"),4))/(VLOOKUP(Z$41,INDIRECT($C$5&amp;"生成成长"),5))*(VLOOKUP($B$5,标准坦克设计!$B$24:$U$30,MATCH("对"&amp;LEFT($C$5,2)&amp;"输出",标准坦克设计!$B$23:$U$23,0)))*(VLOOKUP($Q50,INDIRECT($B$5&amp;"生成成长"),3))*(VLOOKUP($B$5,标准坦克设计!$B$14:$K$20,9)/30))</f>
        <v>3.4060924429665111</v>
      </c>
      <c r="AA50" s="173">
        <f ca="1">(VLOOKUP(AA$41,INDIRECT($C$5&amp;"生成成长"),2))/((VLOOKUP($Q50,INDIRECT($B$5&amp;"生成成长"),4))/(VLOOKUP(AA$41,INDIRECT($C$5&amp;"生成成长"),5))*(VLOOKUP($B$5,标准坦克设计!$B$24:$U$30,MATCH("对"&amp;LEFT($C$5,2)&amp;"输出",标准坦克设计!$B$23:$U$23,0)))*(VLOOKUP($Q50,INDIRECT($B$5&amp;"生成成长"),3))*(VLOOKUP($B$5,标准坦克设计!$B$14:$K$20,9)/30))</f>
        <v>5.5969397059529422</v>
      </c>
      <c r="AB50" s="173">
        <f ca="1">(VLOOKUP(AB$41,INDIRECT($C$5&amp;"生成成长"),2))/((VLOOKUP($Q50,INDIRECT($B$5&amp;"生成成长"),4))/(VLOOKUP(AB$41,INDIRECT($C$5&amp;"生成成长"),5))*(VLOOKUP($B$5,标准坦克设计!$B$24:$U$30,MATCH("对"&amp;LEFT($C$5,2)&amp;"输出",标准坦克设计!$B$23:$U$23,0)))*(VLOOKUP($Q50,INDIRECT($B$5&amp;"生成成长"),3))*(VLOOKUP($B$5,标准坦克设计!$B$14:$K$20,9)/30))</f>
        <v>9.4359852985096282</v>
      </c>
      <c r="AC50" s="173">
        <f ca="1">(VLOOKUP(AC$41,INDIRECT($C$5&amp;"生成成长"),2))/((VLOOKUP($Q50,INDIRECT($B$5&amp;"生成成长"),4))/(VLOOKUP(AC$41,INDIRECT($C$5&amp;"生成成长"),5))*(VLOOKUP($B$5,标准坦克设计!$B$24:$U$30,MATCH("对"&amp;LEFT($C$5,2)&amp;"输出",标准坦克设计!$B$23:$U$23,0)))*(VLOOKUP($Q50,INDIRECT($B$5&amp;"生成成长"),3))*(VLOOKUP($B$5,标准坦克设计!$B$14:$K$20,9)/30))</f>
        <v>2.358996324627407</v>
      </c>
      <c r="AD50" s="173">
        <f ca="1">(VLOOKUP(AD$41,INDIRECT($C$5&amp;"生成成长"),2))/((VLOOKUP($Q50,INDIRECT($B$5&amp;"生成成长"),4))/(VLOOKUP(AD$41,INDIRECT($C$5&amp;"生成成长"),5))*(VLOOKUP($B$5,标准坦克设计!$B$24:$U$30,MATCH("对"&amp;LEFT($C$5,2)&amp;"输出",标准坦克设计!$B$23:$U$23,0)))*(VLOOKUP($Q50,INDIRECT($B$5&amp;"生成成长"),3))*(VLOOKUP($B$5,标准坦克设计!$B$14:$K$20,9)/30))</f>
        <v>4.1264025199778063</v>
      </c>
      <c r="AE50" s="173">
        <f ca="1">(VLOOKUP(AE$41,INDIRECT($C$5&amp;"生成成长"),2))/((VLOOKUP($Q50,INDIRECT($B$5&amp;"生成成长"),4))/(VLOOKUP(AE$41,INDIRECT($C$5&amp;"生成成长"),5))*(VLOOKUP($B$5,标准坦克设计!$B$24:$U$30,MATCH("对"&amp;LEFT($C$5,2)&amp;"输出",标准坦克设计!$B$23:$U$23,0)))*(VLOOKUP($Q50,INDIRECT($B$5&amp;"生成成长"),3))*(VLOOKUP($B$5,标准坦克设计!$B$14:$K$20,9)/30))</f>
        <v>7.0918707795201534</v>
      </c>
      <c r="AF50" s="173">
        <f ca="1">(VLOOKUP(AF$41,INDIRECT($C$5&amp;"生成成长"),2))/((VLOOKUP($Q50,INDIRECT($B$5&amp;"生成成长"),4))/(VLOOKUP(AF$41,INDIRECT($C$5&amp;"生成成长"),5))*(VLOOKUP($B$5,标准坦克设计!$B$24:$U$30,MATCH("对"&amp;LEFT($C$5,2)&amp;"输出",标准坦克设计!$B$23:$U$23,0)))*(VLOOKUP($Q50,INDIRECT($B$5&amp;"生成成长"),3))*(VLOOKUP($B$5,标准坦克设计!$B$14:$K$20,9)/30))</f>
        <v>12.287308574602266</v>
      </c>
      <c r="AG50" s="173">
        <f ca="1">(VLOOKUP(AG$41,INDIRECT($C$5&amp;"生成成长"),2))/((VLOOKUP($Q50,INDIRECT($B$5&amp;"生成成长"),4))/(VLOOKUP(AG$41,INDIRECT($C$5&amp;"生成成长"),5))*(VLOOKUP($B$5,标准坦克设计!$B$24:$U$30,MATCH("对"&amp;LEFT($C$5,2)&amp;"输出",标准坦克设计!$B$23:$U$23,0)))*(VLOOKUP($Q50,INDIRECT($B$5&amp;"生成成长"),3))*(VLOOKUP($B$5,标准坦克设计!$B$14:$K$20,9)/30))</f>
        <v>6.7658518415757447</v>
      </c>
      <c r="AH50" s="173">
        <f ca="1">(VLOOKUP(AH$41,INDIRECT($C$5&amp;"生成成长"),2))/((VLOOKUP($Q50,INDIRECT($B$5&amp;"生成成长"),4))/(VLOOKUP(AH$41,INDIRECT($C$5&amp;"生成成长"),5))*(VLOOKUP($B$5,标准坦克设计!$B$24:$U$30,MATCH("对"&amp;LEFT($C$5,2)&amp;"输出",标准坦克设计!$B$23:$U$23,0)))*(VLOOKUP($Q50,INDIRECT($B$5&amp;"生成成长"),3))*(VLOOKUP($B$5,标准坦克设计!$B$14:$K$20,9)/30))</f>
        <v>11.771815100958399</v>
      </c>
      <c r="AI50" s="173">
        <f ca="1">(VLOOKUP(AI$41,INDIRECT($C$5&amp;"生成成长"),2))/((VLOOKUP($Q50,INDIRECT($B$5&amp;"生成成长"),4))/(VLOOKUP(AI$41,INDIRECT($C$5&amp;"生成成长"),5))*(VLOOKUP($B$5,标准坦克设计!$B$24:$U$30,MATCH("对"&amp;LEFT($C$5,2)&amp;"输出",标准坦克设计!$B$23:$U$23,0)))*(VLOOKUP($Q50,INDIRECT($B$5&amp;"生成成长"),3))*(VLOOKUP($B$5,标准坦克设计!$B$14:$K$20,9)/30))</f>
        <v>20.216089145410304</v>
      </c>
      <c r="AJ50" s="173">
        <f ca="1">(VLOOKUP(AJ$41,INDIRECT($C$5&amp;"生成成长"),2))/((VLOOKUP($Q50,INDIRECT($B$5&amp;"生成成长"),4))/(VLOOKUP(AJ$41,INDIRECT($C$5&amp;"生成成长"),5))*(VLOOKUP($B$5,标准坦克设计!$B$24:$U$30,MATCH("对"&amp;LEFT($C$5,2)&amp;"输出",标准坦克设计!$B$23:$U$23,0)))*(VLOOKUP($Q50,INDIRECT($B$5&amp;"生成成长"),3))*(VLOOKUP($B$5,标准坦克设计!$B$14:$K$20,9)/30))</f>
        <v>33.89062747855062</v>
      </c>
      <c r="AK50" s="173">
        <f ca="1">(VLOOKUP(AK$41,INDIRECT($C$5&amp;"生成成长"),2))/((VLOOKUP($Q50,INDIRECT($B$5&amp;"生成成长"),4))/(VLOOKUP(AK$41,INDIRECT($C$5&amp;"生成成长"),5))*(VLOOKUP($B$5,标准坦克设计!$B$24:$U$30,MATCH("对"&amp;LEFT($C$5,2)&amp;"输出",标准坦克设计!$B$23:$U$23,0)))*(VLOOKUP($Q50,INDIRECT($B$5&amp;"生成成长"),3))*(VLOOKUP($B$5,标准坦克设计!$B$14:$K$20,9)/30))</f>
        <v>12.46159446331043</v>
      </c>
      <c r="AL50" s="173">
        <f ca="1">(VLOOKUP(AL$41,INDIRECT($C$5&amp;"生成成长"),2))/((VLOOKUP($Q50,INDIRECT($B$5&amp;"生成成长"),4))/(VLOOKUP(AL$41,INDIRECT($C$5&amp;"生成成长"),5))*(VLOOKUP($B$5,标准坦克设计!$B$24:$U$30,MATCH("对"&amp;LEFT($C$5,2)&amp;"输出",标准坦克设计!$B$23:$U$23,0)))*(VLOOKUP($Q50,INDIRECT($B$5&amp;"生成成长"),3))*(VLOOKUP($B$5,标准坦克设计!$B$14:$K$20,9)/30))</f>
        <v>21.34526532577306</v>
      </c>
      <c r="AM50" s="173">
        <f ca="1">(VLOOKUP(AM$41,INDIRECT($C$5&amp;"生成成长"),2))/((VLOOKUP($Q50,INDIRECT($B$5&amp;"生成成长"),4))/(VLOOKUP(AM$41,INDIRECT($C$5&amp;"生成成长"),5))*(VLOOKUP($B$5,标准坦克设计!$B$24:$U$30,MATCH("对"&amp;LEFT($C$5,2)&amp;"输出",标准坦克设计!$B$23:$U$23,0)))*(VLOOKUP($Q50,INDIRECT($B$5&amp;"生成成长"),3))*(VLOOKUP($B$5,标准坦克设计!$B$14:$K$20,9)/30))</f>
        <v>35.643305288939764</v>
      </c>
    </row>
    <row r="51" spans="16:39" x14ac:dyDescent="0.15">
      <c r="P51" s="171" t="str">
        <f t="shared" si="6"/>
        <v>T3高初</v>
      </c>
      <c r="Q51" s="172">
        <v>30301</v>
      </c>
      <c r="R51" s="173">
        <f ca="1">(VLOOKUP(R$41,INDIRECT($C$5&amp;"生成成长"),2))/((VLOOKUP($Q51,INDIRECT($B$5&amp;"生成成长"),4))/(VLOOKUP(R$41,INDIRECT($C$5&amp;"生成成长"),5))*(VLOOKUP($B$5,标准坦克设计!$B$24:$U$30,MATCH("对"&amp;LEFT($C$5,2)&amp;"输出",标准坦克设计!$B$23:$U$23,0)))*(VLOOKUP($Q51,INDIRECT($B$5&amp;"生成成长"),3))*(VLOOKUP($B$5,标准坦克设计!$B$14:$K$20,9)/30))</f>
        <v>4.0790466076563421</v>
      </c>
      <c r="S51" s="173">
        <f ca="1">(VLOOKUP(S$41,INDIRECT($C$5&amp;"生成成长"),2))/((VLOOKUP($Q51,INDIRECT($B$5&amp;"生成成长"),4))/(VLOOKUP(S$41,INDIRECT($C$5&amp;"生成成长"),5))*(VLOOKUP($B$5,标准坦克设计!$B$24:$U$30,MATCH("对"&amp;LEFT($C$5,2)&amp;"输出",标准坦克设计!$B$23:$U$23,0)))*(VLOOKUP($Q51,INDIRECT($B$5&amp;"生成成长"),3))*(VLOOKUP($B$5,标准坦克设计!$B$14:$K$20,9)/30))</f>
        <v>5.4887651152623729</v>
      </c>
      <c r="T51" s="173">
        <f ca="1">(VLOOKUP(T$41,INDIRECT($C$5&amp;"生成成长"),2))/((VLOOKUP($Q51,INDIRECT($B$5&amp;"生成成长"),4))/(VLOOKUP(T$41,INDIRECT($C$5&amp;"生成成长"),5))*(VLOOKUP($B$5,标准坦克设计!$B$24:$U$30,MATCH("对"&amp;LEFT($C$5,2)&amp;"输出",标准坦克设计!$B$23:$U$23,0)))*(VLOOKUP($Q51,INDIRECT($B$5&amp;"生成成长"),3))*(VLOOKUP($B$5,标准坦克设计!$B$14:$K$20,9)/30))</f>
        <v>8.3412424079964556</v>
      </c>
      <c r="U51" s="173">
        <f ca="1">(VLOOKUP(U$41,INDIRECT($C$5&amp;"生成成长"),2))/((VLOOKUP($Q51,INDIRECT($B$5&amp;"生成成长"),4))/(VLOOKUP(U$41,INDIRECT($C$5&amp;"生成成长"),5))*(VLOOKUP($B$5,标准坦克设计!$B$24:$U$30,MATCH("对"&amp;LEFT($C$5,2)&amp;"输出",标准坦克设计!$B$23:$U$23,0)))*(VLOOKUP($Q51,INDIRECT($B$5&amp;"生成成长"),3))*(VLOOKUP($B$5,标准坦克设计!$B$14:$K$20,9)/30))</f>
        <v>13.660319184380324</v>
      </c>
      <c r="V51" s="173">
        <f ca="1">(VLOOKUP(V$41,INDIRECT($C$5&amp;"生成成长"),2))/((VLOOKUP($Q51,INDIRECT($B$5&amp;"生成成长"),4))/(VLOOKUP(V$41,INDIRECT($C$5&amp;"生成成长"),5))*(VLOOKUP($B$5,标准坦克设计!$B$24:$U$30,MATCH("对"&amp;LEFT($C$5,2)&amp;"输出",标准坦克设计!$B$23:$U$23,0)))*(VLOOKUP($Q51,INDIRECT($B$5&amp;"生成成长"),3))*(VLOOKUP($B$5,标准坦克设计!$B$14:$K$20,9)/30))</f>
        <v>5.6796644965006902</v>
      </c>
      <c r="W51" s="173">
        <f ca="1">(VLOOKUP(W$41,INDIRECT($C$5&amp;"生成成长"),2))/((VLOOKUP($Q51,INDIRECT($B$5&amp;"生成成长"),4))/(VLOOKUP(W$41,INDIRECT($C$5&amp;"生成成长"),5))*(VLOOKUP($B$5,标准坦克设计!$B$24:$U$30,MATCH("对"&amp;LEFT($C$5,2)&amp;"输出",标准坦克设计!$B$23:$U$23,0)))*(VLOOKUP($Q51,INDIRECT($B$5&amp;"生成成长"),3))*(VLOOKUP($B$5,标准坦克设计!$B$14:$K$20,9)/30))</f>
        <v>8.6948957488802598</v>
      </c>
      <c r="X51" s="173">
        <f ca="1">(VLOOKUP(X$41,INDIRECT($C$5&amp;"生成成长"),2))/((VLOOKUP($Q51,INDIRECT($B$5&amp;"生成成长"),4))/(VLOOKUP(X$41,INDIRECT($C$5&amp;"生成成长"),5))*(VLOOKUP($B$5,标准坦克设计!$B$24:$U$30,MATCH("对"&amp;LEFT($C$5,2)&amp;"输出",标准坦克设计!$B$23:$U$23,0)))*(VLOOKUP($Q51,INDIRECT($B$5&amp;"生成成长"),3))*(VLOOKUP($B$5,标准坦克设计!$B$14:$K$20,9)/30))</f>
        <v>14.264018082313465</v>
      </c>
      <c r="Y51" s="173">
        <f ca="1">(VLOOKUP(Y$41,INDIRECT($C$5&amp;"生成成长"),2))/((VLOOKUP($Q51,INDIRECT($B$5&amp;"生成成长"),4))/(VLOOKUP(Y$41,INDIRECT($C$5&amp;"生成成长"),5))*(VLOOKUP($B$5,标准坦克设计!$B$24:$U$30,MATCH("对"&amp;LEFT($C$5,2)&amp;"输出",标准坦克设计!$B$23:$U$23,0)))*(VLOOKUP($Q51,INDIRECT($B$5&amp;"生成成长"),3))*(VLOOKUP($B$5,标准坦克设计!$B$14:$K$20,9)/30))</f>
        <v>24.086362313549934</v>
      </c>
      <c r="Z51" s="173">
        <f ca="1">(VLOOKUP(Z$41,INDIRECT($C$5&amp;"生成成长"),2))/((VLOOKUP($Q51,INDIRECT($B$5&amp;"生成成长"),4))/(VLOOKUP(Z$41,INDIRECT($C$5&amp;"生成成长"),5))*(VLOOKUP($B$5,标准坦克设计!$B$24:$U$30,MATCH("对"&amp;LEFT($C$5,2)&amp;"输出",标准坦克设计!$B$23:$U$23,0)))*(VLOOKUP($Q51,INDIRECT($B$5&amp;"生成成长"),3))*(VLOOKUP($B$5,标准坦克设计!$B$14:$K$20,9)/30))</f>
        <v>9.055891373657845</v>
      </c>
      <c r="AA51" s="173">
        <f ca="1">(VLOOKUP(AA$41,INDIRECT($C$5&amp;"生成成长"),2))/((VLOOKUP($Q51,INDIRECT($B$5&amp;"生成成长"),4))/(VLOOKUP(AA$41,INDIRECT($C$5&amp;"生成成长"),5))*(VLOOKUP($B$5,标准坦克设计!$B$24:$U$30,MATCH("对"&amp;LEFT($C$5,2)&amp;"输出",标准坦克设计!$B$23:$U$23,0)))*(VLOOKUP($Q51,INDIRECT($B$5&amp;"生成成长"),3))*(VLOOKUP($B$5,标准坦克设计!$B$14:$K$20,9)/30))</f>
        <v>14.8807699293911</v>
      </c>
      <c r="AB51" s="173">
        <f ca="1">(VLOOKUP(AB$41,INDIRECT($C$5&amp;"生成成长"),2))/((VLOOKUP($Q51,INDIRECT($B$5&amp;"生成成长"),4))/(VLOOKUP(AB$41,INDIRECT($C$5&amp;"生成成长"),5))*(VLOOKUP($B$5,标准坦克设计!$B$24:$U$30,MATCH("对"&amp;LEFT($C$5,2)&amp;"输出",标准坦克设计!$B$23:$U$23,0)))*(VLOOKUP($Q51,INDIRECT($B$5&amp;"生成成长"),3))*(VLOOKUP($B$5,标准坦克设计!$B$14:$K$20,9)/30))</f>
        <v>25.087768255729564</v>
      </c>
      <c r="AC51" s="173">
        <f ca="1">(VLOOKUP(AC$41,INDIRECT($C$5&amp;"生成成长"),2))/((VLOOKUP($Q51,INDIRECT($B$5&amp;"生成成长"),4))/(VLOOKUP(AC$41,INDIRECT($C$5&amp;"生成成长"),5))*(VLOOKUP($B$5,标准坦克设计!$B$24:$U$30,MATCH("对"&amp;LEFT($C$5,2)&amp;"输出",标准坦克设计!$B$23:$U$23,0)))*(VLOOKUP($Q51,INDIRECT($B$5&amp;"生成成长"),3))*(VLOOKUP($B$5,标准坦克设计!$B$14:$K$20,9)/30))</f>
        <v>6.2719420639323911</v>
      </c>
      <c r="AD51" s="173">
        <f ca="1">(VLOOKUP(AD$41,INDIRECT($C$5&amp;"生成成长"),2))/((VLOOKUP($Q51,INDIRECT($B$5&amp;"生成成长"),4))/(VLOOKUP(AD$41,INDIRECT($C$5&amp;"生成成长"),5))*(VLOOKUP($B$5,标准坦克设计!$B$24:$U$30,MATCH("对"&amp;LEFT($C$5,2)&amp;"输出",标准坦克设计!$B$23:$U$23,0)))*(VLOOKUP($Q51,INDIRECT($B$5&amp;"生成成长"),3))*(VLOOKUP($B$5,标准坦克设计!$B$14:$K$20,9)/30))</f>
        <v>10.971003755952497</v>
      </c>
      <c r="AE51" s="173">
        <f ca="1">(VLOOKUP(AE$41,INDIRECT($C$5&amp;"生成成长"),2))/((VLOOKUP($Q51,INDIRECT($B$5&amp;"生成成长"),4))/(VLOOKUP(AE$41,INDIRECT($C$5&amp;"生成成长"),5))*(VLOOKUP($B$5,标准坦克设计!$B$24:$U$30,MATCH("对"&amp;LEFT($C$5,2)&amp;"输出",标准坦克设计!$B$23:$U$23,0)))*(VLOOKUP($Q51,INDIRECT($B$5&amp;"生成成长"),3))*(VLOOKUP($B$5,标准坦克设计!$B$14:$K$20,9)/30))</f>
        <v>18.855392943891442</v>
      </c>
      <c r="AF51" s="173">
        <f ca="1">(VLOOKUP(AF$41,INDIRECT($C$5&amp;"生成成长"),2))/((VLOOKUP($Q51,INDIRECT($B$5&amp;"生成成长"),4))/(VLOOKUP(AF$41,INDIRECT($C$5&amp;"生成成长"),5))*(VLOOKUP($B$5,标准坦克设计!$B$24:$U$30,MATCH("对"&amp;LEFT($C$5,2)&amp;"输出",标准坦克设计!$B$23:$U$23,0)))*(VLOOKUP($Q51,INDIRECT($B$5&amp;"生成成长"),3))*(VLOOKUP($B$5,标准坦克设计!$B$14:$K$20,9)/30))</f>
        <v>32.668676376058883</v>
      </c>
      <c r="AG51" s="173">
        <f ca="1">(VLOOKUP(AG$41,INDIRECT($C$5&amp;"生成成长"),2))/((VLOOKUP($Q51,INDIRECT($B$5&amp;"生成成长"),4))/(VLOOKUP(AG$41,INDIRECT($C$5&amp;"生成成长"),5))*(VLOOKUP($B$5,标准坦克设计!$B$24:$U$30,MATCH("对"&amp;LEFT($C$5,2)&amp;"输出",标准坦克设计!$B$23:$U$23,0)))*(VLOOKUP($Q51,INDIRECT($B$5&amp;"生成成长"),3))*(VLOOKUP($B$5,标准坦克设计!$B$14:$K$20,9)/30))</f>
        <v>17.988595539764468</v>
      </c>
      <c r="AH51" s="173">
        <f ca="1">(VLOOKUP(AH$41,INDIRECT($C$5&amp;"生成成长"),2))/((VLOOKUP($Q51,INDIRECT($B$5&amp;"生成成长"),4))/(VLOOKUP(AH$41,INDIRECT($C$5&amp;"生成成长"),5))*(VLOOKUP($B$5,标准坦克设计!$B$24:$U$30,MATCH("对"&amp;LEFT($C$5,2)&amp;"输出",标准坦克设计!$B$23:$U$23,0)))*(VLOOKUP($Q51,INDIRECT($B$5&amp;"生成成长"),3))*(VLOOKUP($B$5,标准坦克设计!$B$14:$K$20,9)/30))</f>
        <v>31.298116715886351</v>
      </c>
      <c r="AI51" s="173">
        <f ca="1">(VLOOKUP(AI$41,INDIRECT($C$5&amp;"生成成长"),2))/((VLOOKUP($Q51,INDIRECT($B$5&amp;"生成成长"),4))/(VLOOKUP(AI$41,INDIRECT($C$5&amp;"生成成长"),5))*(VLOOKUP($B$5,标准坦克设计!$B$24:$U$30,MATCH("对"&amp;LEFT($C$5,2)&amp;"输出",标准坦克设计!$B$23:$U$23,0)))*(VLOOKUP($Q51,INDIRECT($B$5&amp;"生成成长"),3))*(VLOOKUP($B$5,标准坦克设计!$B$14:$K$20,9)/30))</f>
        <v>53.749189244426866</v>
      </c>
      <c r="AJ51" s="173">
        <f ca="1">(VLOOKUP(AJ$41,INDIRECT($C$5&amp;"生成成长"),2))/((VLOOKUP($Q51,INDIRECT($B$5&amp;"生成成长"),4))/(VLOOKUP(AJ$41,INDIRECT($C$5&amp;"生成成长"),5))*(VLOOKUP($B$5,标准坦克设计!$B$24:$U$30,MATCH("对"&amp;LEFT($C$5,2)&amp;"输出",标准坦克设计!$B$23:$U$23,0)))*(VLOOKUP($Q51,INDIRECT($B$5&amp;"生成成长"),3))*(VLOOKUP($B$5,标准坦克设计!$B$14:$K$20,9)/30))</f>
        <v>90.106139563128579</v>
      </c>
      <c r="AK51" s="173">
        <f ca="1">(VLOOKUP(AK$41,INDIRECT($C$5&amp;"生成成长"),2))/((VLOOKUP($Q51,INDIRECT($B$5&amp;"生成成长"),4))/(VLOOKUP(AK$41,INDIRECT($C$5&amp;"生成成长"),5))*(VLOOKUP($B$5,标准坦克设计!$B$24:$U$30,MATCH("对"&amp;LEFT($C$5,2)&amp;"输出",标准坦克设计!$B$23:$U$23,0)))*(VLOOKUP($Q51,INDIRECT($B$5&amp;"生成成长"),3))*(VLOOKUP($B$5,标准坦克设计!$B$14:$K$20,9)/30))</f>
        <v>33.132056070688641</v>
      </c>
      <c r="AL51" s="173">
        <f ca="1">(VLOOKUP(AL$41,INDIRECT($C$5&amp;"生成成长"),2))/((VLOOKUP($Q51,INDIRECT($B$5&amp;"生成成长"),4))/(VLOOKUP(AL$41,INDIRECT($C$5&amp;"生成成长"),5))*(VLOOKUP($B$5,标准坦克设计!$B$24:$U$30,MATCH("对"&amp;LEFT($C$5,2)&amp;"输出",标准坦克设计!$B$23:$U$23,0)))*(VLOOKUP($Q51,INDIRECT($B$5&amp;"生成成长"),3))*(VLOOKUP($B$5,标准坦克设计!$B$14:$K$20,9)/30))</f>
        <v>56.751367547661928</v>
      </c>
      <c r="AM51" s="173">
        <f ca="1">(VLOOKUP(AM$41,INDIRECT($C$5&amp;"生成成长"),2))/((VLOOKUP($Q51,INDIRECT($B$5&amp;"生成成长"),4))/(VLOOKUP(AM$41,INDIRECT($C$5&amp;"生成成长"),5))*(VLOOKUP($B$5,标准坦克设计!$B$24:$U$30,MATCH("对"&amp;LEFT($C$5,2)&amp;"输出",标准坦克设计!$B$23:$U$23,0)))*(VLOOKUP($Q51,INDIRECT($B$5&amp;"生成成长"),3))*(VLOOKUP($B$5,标准坦克设计!$B$14:$K$20,9)/30))</f>
        <v>94.76604240771519</v>
      </c>
    </row>
    <row r="52" spans="16:39" x14ac:dyDescent="0.15">
      <c r="P52" s="171" t="str">
        <f t="shared" si="6"/>
        <v>T4高初</v>
      </c>
      <c r="Q52" s="172">
        <v>30401</v>
      </c>
      <c r="R52" s="173">
        <f ca="1">(VLOOKUP(R$41,INDIRECT($C$5&amp;"生成成长"),2))/((VLOOKUP($Q52,INDIRECT($B$5&amp;"生成成长"),4))/(VLOOKUP(R$41,INDIRECT($C$5&amp;"生成成长"),5))*(VLOOKUP($B$5,标准坦克设计!$B$24:$U$30,MATCH("对"&amp;LEFT($C$5,2)&amp;"输出",标准坦克设计!$B$23:$U$23,0)))*(VLOOKUP($Q52,INDIRECT($B$5&amp;"生成成长"),3))*(VLOOKUP($B$5,标准坦克设计!$B$14:$K$20,9)/30))</f>
        <v>2.4912364081136196</v>
      </c>
      <c r="S52" s="173">
        <f ca="1">(VLOOKUP(S$41,INDIRECT($C$5&amp;"生成成长"),2))/((VLOOKUP($Q52,INDIRECT($B$5&amp;"生成成长"),4))/(VLOOKUP(S$41,INDIRECT($C$5&amp;"生成成长"),5))*(VLOOKUP($B$5,标准坦克设计!$B$24:$U$30,MATCH("对"&amp;LEFT($C$5,2)&amp;"输出",标准坦克设计!$B$23:$U$23,0)))*(VLOOKUP($Q52,INDIRECT($B$5&amp;"生成成长"),3))*(VLOOKUP($B$5,标准坦克设计!$B$14:$K$20,9)/30))</f>
        <v>3.3522077107576864</v>
      </c>
      <c r="T52" s="173">
        <f ca="1">(VLOOKUP(T$41,INDIRECT($C$5&amp;"生成成长"),2))/((VLOOKUP($Q52,INDIRECT($B$5&amp;"生成成长"),4))/(VLOOKUP(T$41,INDIRECT($C$5&amp;"生成成长"),5))*(VLOOKUP($B$5,标准坦克设计!$B$24:$U$30,MATCH("对"&amp;LEFT($C$5,2)&amp;"输出",标准坦克设计!$B$23:$U$23,0)))*(VLOOKUP($Q52,INDIRECT($B$5&amp;"生成成长"),3))*(VLOOKUP($B$5,标准坦克设计!$B$14:$K$20,9)/30))</f>
        <v>5.0943293309515409</v>
      </c>
      <c r="U52" s="173">
        <f ca="1">(VLOOKUP(U$41,INDIRECT($C$5&amp;"生成成长"),2))/((VLOOKUP($Q52,INDIRECT($B$5&amp;"生成成长"),4))/(VLOOKUP(U$41,INDIRECT($C$5&amp;"生成成长"),5))*(VLOOKUP($B$5,标准坦克设计!$B$24:$U$30,MATCH("对"&amp;LEFT($C$5,2)&amp;"输出",标准坦克设计!$B$23:$U$23,0)))*(VLOOKUP($Q52,INDIRECT($B$5&amp;"生成成长"),3))*(VLOOKUP($B$5,标准坦克设计!$B$14:$K$20,9)/30))</f>
        <v>8.342901607131699</v>
      </c>
      <c r="V52" s="173">
        <f ca="1">(VLOOKUP(V$41,INDIRECT($C$5&amp;"生成成长"),2))/((VLOOKUP($Q52,INDIRECT($B$5&amp;"生成成长"),4))/(VLOOKUP(V$41,INDIRECT($C$5&amp;"生成成长"),5))*(VLOOKUP($B$5,标准坦克设计!$B$24:$U$30,MATCH("对"&amp;LEFT($C$5,2)&amp;"输出",标准坦克设计!$B$23:$U$23,0)))*(VLOOKUP($Q52,INDIRECT($B$5&amp;"生成成长"),3))*(VLOOKUP($B$5,标准坦克设计!$B$14:$K$20,9)/30))</f>
        <v>3.4687975746574042</v>
      </c>
      <c r="W52" s="173">
        <f ca="1">(VLOOKUP(W$41,INDIRECT($C$5&amp;"生成成长"),2))/((VLOOKUP($Q52,INDIRECT($B$5&amp;"生成成长"),4))/(VLOOKUP(W$41,INDIRECT($C$5&amp;"生成成长"),5))*(VLOOKUP($B$5,标准坦克设计!$B$24:$U$30,MATCH("对"&amp;LEFT($C$5,2)&amp;"输出",标准坦克设计!$B$23:$U$23,0)))*(VLOOKUP($Q52,INDIRECT($B$5&amp;"生成成长"),3))*(VLOOKUP($B$5,标准坦克设计!$B$14:$K$20,9)/30))</f>
        <v>5.3103195275349915</v>
      </c>
      <c r="X52" s="173">
        <f ca="1">(VLOOKUP(X$41,INDIRECT($C$5&amp;"生成成长"),2))/((VLOOKUP($Q52,INDIRECT($B$5&amp;"生成成长"),4))/(VLOOKUP(X$41,INDIRECT($C$5&amp;"生成成长"),5))*(VLOOKUP($B$5,标准坦克设计!$B$24:$U$30,MATCH("对"&amp;LEFT($C$5,2)&amp;"输出",标准坦克设计!$B$23:$U$23,0)))*(VLOOKUP($Q52,INDIRECT($B$5&amp;"生成成长"),3))*(VLOOKUP($B$5,标准坦克设计!$B$14:$K$20,9)/30))</f>
        <v>8.7116045955325152</v>
      </c>
      <c r="Y52" s="173">
        <f ca="1">(VLOOKUP(Y$41,INDIRECT($C$5&amp;"生成成长"),2))/((VLOOKUP($Q52,INDIRECT($B$5&amp;"生成成长"),4))/(VLOOKUP(Y$41,INDIRECT($C$5&amp;"生成成长"),5))*(VLOOKUP($B$5,标准坦克设计!$B$24:$U$30,MATCH("对"&amp;LEFT($C$5,2)&amp;"输出",标准坦克设计!$B$23:$U$23,0)))*(VLOOKUP($Q52,INDIRECT($B$5&amp;"生成成长"),3))*(VLOOKUP($B$5,标准坦克设计!$B$14:$K$20,9)/30))</f>
        <v>14.710501866270112</v>
      </c>
      <c r="Z52" s="173">
        <f ca="1">(VLOOKUP(Z$41,INDIRECT($C$5&amp;"生成成长"),2))/((VLOOKUP($Q52,INDIRECT($B$5&amp;"生成成长"),4))/(VLOOKUP(Z$41,INDIRECT($C$5&amp;"生成成长"),5))*(VLOOKUP($B$5,标准坦克设计!$B$24:$U$30,MATCH("对"&amp;LEFT($C$5,2)&amp;"输出",标准坦克设计!$B$23:$U$23,0)))*(VLOOKUP($Q52,INDIRECT($B$5&amp;"生成成长"),3))*(VLOOKUP($B$5,标准坦克设计!$B$14:$K$20,9)/30))</f>
        <v>5.530793949653046</v>
      </c>
      <c r="AA52" s="173">
        <f ca="1">(VLOOKUP(AA$41,INDIRECT($C$5&amp;"生成成长"),2))/((VLOOKUP($Q52,INDIRECT($B$5&amp;"生成成长"),4))/(VLOOKUP(AA$41,INDIRECT($C$5&amp;"生成成长"),5))*(VLOOKUP($B$5,标准坦克设计!$B$24:$U$30,MATCH("对"&amp;LEFT($C$5,2)&amp;"输出",标准坦克设计!$B$23:$U$23,0)))*(VLOOKUP($Q52,INDIRECT($B$5&amp;"生成成长"),3))*(VLOOKUP($B$5,标准坦克设计!$B$14:$K$20,9)/30))</f>
        <v>9.0882795404392951</v>
      </c>
      <c r="AB52" s="173">
        <f ca="1">(VLOOKUP(AB$41,INDIRECT($C$5&amp;"生成成长"),2))/((VLOOKUP($Q52,INDIRECT($B$5&amp;"生成成长"),4))/(VLOOKUP(AB$41,INDIRECT($C$5&amp;"生成成长"),5))*(VLOOKUP($B$5,标准坦克设计!$B$24:$U$30,MATCH("对"&amp;LEFT($C$5,2)&amp;"输出",标准坦克设计!$B$23:$U$23,0)))*(VLOOKUP($Q52,INDIRECT($B$5&amp;"生成成长"),3))*(VLOOKUP($B$5,标准坦克设计!$B$14:$K$20,9)/30))</f>
        <v>15.322100404462006</v>
      </c>
      <c r="AC52" s="173">
        <f ca="1">(VLOOKUP(AC$41,INDIRECT($C$5&amp;"生成成长"),2))/((VLOOKUP($Q52,INDIRECT($B$5&amp;"生成成长"),4))/(VLOOKUP(AC$41,INDIRECT($C$5&amp;"生成成长"),5))*(VLOOKUP($B$5,标准坦克设计!$B$24:$U$30,MATCH("对"&amp;LEFT($C$5,2)&amp;"输出",标准坦克设计!$B$23:$U$23,0)))*(VLOOKUP($Q52,INDIRECT($B$5&amp;"生成成长"),3))*(VLOOKUP($B$5,标准坦克设计!$B$14:$K$20,9)/30))</f>
        <v>3.8305251011155015</v>
      </c>
      <c r="AD52" s="173">
        <f ca="1">(VLOOKUP(AD$41,INDIRECT($C$5&amp;"生成成长"),2))/((VLOOKUP($Q52,INDIRECT($B$5&amp;"生成成长"),4))/(VLOOKUP(AD$41,INDIRECT($C$5&amp;"生成成长"),5))*(VLOOKUP($B$5,标准坦克设计!$B$24:$U$30,MATCH("对"&amp;LEFT($C$5,2)&amp;"输出",标准坦克设计!$B$23:$U$23,0)))*(VLOOKUP($Q52,INDIRECT($B$5&amp;"生成成长"),3))*(VLOOKUP($B$5,标准坦克设计!$B$14:$K$20,9)/30))</f>
        <v>6.7004294432623919</v>
      </c>
      <c r="AE52" s="173">
        <f ca="1">(VLOOKUP(AE$41,INDIRECT($C$5&amp;"生成成长"),2))/((VLOOKUP($Q52,INDIRECT($B$5&amp;"生成成长"),4))/(VLOOKUP(AE$41,INDIRECT($C$5&amp;"生成成长"),5))*(VLOOKUP($B$5,标准坦克设计!$B$24:$U$30,MATCH("对"&amp;LEFT($C$5,2)&amp;"输出",标准坦克设计!$B$23:$U$23,0)))*(VLOOKUP($Q52,INDIRECT($B$5&amp;"生成成长"),3))*(VLOOKUP($B$5,标准坦克设计!$B$14:$K$20,9)/30))</f>
        <v>11.515740296505205</v>
      </c>
      <c r="AF52" s="173">
        <f ca="1">(VLOOKUP(AF$41,INDIRECT($C$5&amp;"生成成长"),2))/((VLOOKUP($Q52,INDIRECT($B$5&amp;"生成成长"),4))/(VLOOKUP(AF$41,INDIRECT($C$5&amp;"生成成长"),5))*(VLOOKUP($B$5,标准坦克设计!$B$24:$U$30,MATCH("对"&amp;LEFT($C$5,2)&amp;"输出",标准坦克设计!$B$23:$U$23,0)))*(VLOOKUP($Q52,INDIRECT($B$5&amp;"生成成长"),3))*(VLOOKUP($B$5,标准坦克设计!$B$14:$K$20,9)/30))</f>
        <v>19.952063268941167</v>
      </c>
      <c r="AG52" s="173">
        <f ca="1">(VLOOKUP(AG$41,INDIRECT($C$5&amp;"生成成长"),2))/((VLOOKUP($Q52,INDIRECT($B$5&amp;"生成成长"),4))/(VLOOKUP(AG$41,INDIRECT($C$5&amp;"生成成长"),5))*(VLOOKUP($B$5,标准坦克设计!$B$24:$U$30,MATCH("对"&amp;LEFT($C$5,2)&amp;"输出",标准坦克设计!$B$23:$U$23,0)))*(VLOOKUP($Q52,INDIRECT($B$5&amp;"生成成长"),3))*(VLOOKUP($B$5,标准坦克设计!$B$14:$K$20,9)/30))</f>
        <v>10.986352559781061</v>
      </c>
      <c r="AH52" s="173">
        <f ca="1">(VLOOKUP(AH$41,INDIRECT($C$5&amp;"生成成长"),2))/((VLOOKUP($Q52,INDIRECT($B$5&amp;"生成成长"),4))/(VLOOKUP(AH$41,INDIRECT($C$5&amp;"生成成长"),5))*(VLOOKUP($B$5,标准坦克设计!$B$24:$U$30,MATCH("对"&amp;LEFT($C$5,2)&amp;"输出",标准坦克设计!$B$23:$U$23,0)))*(VLOOKUP($Q52,INDIRECT($B$5&amp;"生成成长"),3))*(VLOOKUP($B$5,标准坦克设计!$B$14:$K$20,9)/30))</f>
        <v>19.115007835814989</v>
      </c>
      <c r="AI52" s="173">
        <f ca="1">(VLOOKUP(AI$41,INDIRECT($C$5&amp;"生成成长"),2))/((VLOOKUP($Q52,INDIRECT($B$5&amp;"生成成长"),4))/(VLOOKUP(AI$41,INDIRECT($C$5&amp;"生成成长"),5))*(VLOOKUP($B$5,标准坦克设计!$B$24:$U$30,MATCH("对"&amp;LEFT($C$5,2)&amp;"输出",标准坦克设计!$B$23:$U$23,0)))*(VLOOKUP($Q52,INDIRECT($B$5&amp;"生成成长"),3))*(VLOOKUP($B$5,标准坦克设计!$B$14:$K$20,9)/30))</f>
        <v>32.82677302607236</v>
      </c>
      <c r="AJ52" s="173">
        <f ca="1">(VLOOKUP(AJ$41,INDIRECT($C$5&amp;"生成成长"),2))/((VLOOKUP($Q52,INDIRECT($B$5&amp;"生成成长"),4))/(VLOOKUP(AJ$41,INDIRECT($C$5&amp;"生成成长"),5))*(VLOOKUP($B$5,标准坦克设计!$B$24:$U$30,MATCH("对"&amp;LEFT($C$5,2)&amp;"输出",标准坦克设计!$B$23:$U$23,0)))*(VLOOKUP($Q52,INDIRECT($B$5&amp;"生成成长"),3))*(VLOOKUP($B$5,标准坦克设计!$B$14:$K$20,9)/30))</f>
        <v>55.031412255229846</v>
      </c>
      <c r="AK52" s="173">
        <f ca="1">(VLOOKUP(AK$41,INDIRECT($C$5&amp;"生成成长"),2))/((VLOOKUP($Q52,INDIRECT($B$5&amp;"生成成长"),4))/(VLOOKUP(AK$41,INDIRECT($C$5&amp;"生成成长"),5))*(VLOOKUP($B$5,标准坦克设计!$B$24:$U$30,MATCH("对"&amp;LEFT($C$5,2)&amp;"输出",标准坦克设计!$B$23:$U$23,0)))*(VLOOKUP($Q52,INDIRECT($B$5&amp;"生成成长"),3))*(VLOOKUP($B$5,标准坦克设计!$B$14:$K$20,9)/30))</f>
        <v>20.23506772490288</v>
      </c>
      <c r="AL52" s="173">
        <f ca="1">(VLOOKUP(AL$41,INDIRECT($C$5&amp;"生成成长"),2))/((VLOOKUP($Q52,INDIRECT($B$5&amp;"生成成长"),4))/(VLOOKUP(AL$41,INDIRECT($C$5&amp;"生成成长"),5))*(VLOOKUP($B$5,标准坦克设计!$B$24:$U$30,MATCH("对"&amp;LEFT($C$5,2)&amp;"输出",标准坦克设计!$B$23:$U$23,0)))*(VLOOKUP($Q52,INDIRECT($B$5&amp;"生成成长"),3))*(VLOOKUP($B$5,标准坦克设计!$B$14:$K$20,9)/30))</f>
        <v>34.660323022443968</v>
      </c>
      <c r="AM52" s="173">
        <f ca="1">(VLOOKUP(AM$41,INDIRECT($C$5&amp;"生成成长"),2))/((VLOOKUP($Q52,INDIRECT($B$5&amp;"生成成长"),4))/(VLOOKUP(AM$41,INDIRECT($C$5&amp;"生成成长"),5))*(VLOOKUP($B$5,标准坦克设计!$B$24:$U$30,MATCH("对"&amp;LEFT($C$5,2)&amp;"输出",标准坦克设计!$B$23:$U$23,0)))*(VLOOKUP($Q52,INDIRECT($B$5&amp;"生成成长"),3))*(VLOOKUP($B$5,标准坦克设计!$B$14:$K$20,9)/30))</f>
        <v>57.877400727858856</v>
      </c>
    </row>
    <row r="53" spans="16:39" x14ac:dyDescent="0.15">
      <c r="P53" s="171" t="str">
        <f t="shared" si="6"/>
        <v>T5高初</v>
      </c>
      <c r="Q53" s="172">
        <v>30501</v>
      </c>
      <c r="R53" s="173">
        <f ca="1">(VLOOKUP(R$41,INDIRECT($C$5&amp;"生成成长"),2))/((VLOOKUP($Q53,INDIRECT($B$5&amp;"生成成长"),4))/(VLOOKUP(R$41,INDIRECT($C$5&amp;"生成成长"),5))*(VLOOKUP($B$5,标准坦克设计!$B$24:$U$30,MATCH("对"&amp;LEFT($C$5,2)&amp;"输出",标准坦克设计!$B$23:$U$23,0)))*(VLOOKUP($Q53,INDIRECT($B$5&amp;"生成成长"),3))*(VLOOKUP($B$5,标准坦克设计!$B$14:$K$20,9)/30))</f>
        <v>1.472905983226511</v>
      </c>
      <c r="S53" s="173">
        <f ca="1">(VLOOKUP(S$41,INDIRECT($C$5&amp;"生成成长"),2))/((VLOOKUP($Q53,INDIRECT($B$5&amp;"生成成长"),4))/(VLOOKUP(S$41,INDIRECT($C$5&amp;"生成成长"),5))*(VLOOKUP($B$5,标准坦克设计!$B$24:$U$30,MATCH("对"&amp;LEFT($C$5,2)&amp;"输出",标准坦克设计!$B$23:$U$23,0)))*(VLOOKUP($Q53,INDIRECT($B$5&amp;"生成成长"),3))*(VLOOKUP($B$5,标准坦克设计!$B$14:$K$20,9)/30))</f>
        <v>1.9819422910295932</v>
      </c>
      <c r="T53" s="173">
        <f ca="1">(VLOOKUP(T$41,INDIRECT($C$5&amp;"生成成长"),2))/((VLOOKUP($Q53,INDIRECT($B$5&amp;"生成成长"),4))/(VLOOKUP(T$41,INDIRECT($C$5&amp;"生成成长"),5))*(VLOOKUP($B$5,标准坦克设计!$B$24:$U$30,MATCH("对"&amp;LEFT($C$5,2)&amp;"输出",标准坦克设计!$B$23:$U$23,0)))*(VLOOKUP($Q53,INDIRECT($B$5&amp;"生成成长"),3))*(VLOOKUP($B$5,标准坦克设计!$B$14:$K$20,9)/30))</f>
        <v>3.0119454450998928</v>
      </c>
      <c r="U53" s="173">
        <f ca="1">(VLOOKUP(U$41,INDIRECT($C$5&amp;"生成成长"),2))/((VLOOKUP($Q53,INDIRECT($B$5&amp;"生成成长"),4))/(VLOOKUP(U$41,INDIRECT($C$5&amp;"生成成长"),5))*(VLOOKUP($B$5,标准坦克设计!$B$24:$U$30,MATCH("对"&amp;LEFT($C$5,2)&amp;"输出",标准坦克设计!$B$23:$U$23,0)))*(VLOOKUP($Q53,INDIRECT($B$5&amp;"生成成长"),3))*(VLOOKUP($B$5,标准坦克设计!$B$14:$K$20,9)/30))</f>
        <v>4.9326148472272626</v>
      </c>
      <c r="V53" s="173">
        <f ca="1">(VLOOKUP(V$41,INDIRECT($C$5&amp;"生成成长"),2))/((VLOOKUP($Q53,INDIRECT($B$5&amp;"生成成长"),4))/(VLOOKUP(V$41,INDIRECT($C$5&amp;"生成成长"),5))*(VLOOKUP($B$5,标准坦克设计!$B$24:$U$30,MATCH("对"&amp;LEFT($C$5,2)&amp;"输出",标准坦克设计!$B$23:$U$23,0)))*(VLOOKUP($Q53,INDIRECT($B$5&amp;"生成成长"),3))*(VLOOKUP($B$5,标准坦克设计!$B$14:$K$20,9)/30))</f>
        <v>2.0508742910445941</v>
      </c>
      <c r="W53" s="173">
        <f ca="1">(VLOOKUP(W$41,INDIRECT($C$5&amp;"生成成长"),2))/((VLOOKUP($Q53,INDIRECT($B$5&amp;"生成成长"),4))/(VLOOKUP(W$41,INDIRECT($C$5&amp;"生成成长"),5))*(VLOOKUP($B$5,标准坦克设计!$B$24:$U$30,MATCH("对"&amp;LEFT($C$5,2)&amp;"输出",标准坦克设计!$B$23:$U$23,0)))*(VLOOKUP($Q53,INDIRECT($B$5&amp;"生成成长"),3))*(VLOOKUP($B$5,标准坦克设计!$B$14:$K$20,9)/30))</f>
        <v>3.1396463938456307</v>
      </c>
      <c r="X53" s="173">
        <f ca="1">(VLOOKUP(X$41,INDIRECT($C$5&amp;"生成成长"),2))/((VLOOKUP($Q53,INDIRECT($B$5&amp;"生成成长"),4))/(VLOOKUP(X$41,INDIRECT($C$5&amp;"生成成长"),5))*(VLOOKUP($B$5,标准坦克设计!$B$24:$U$30,MATCH("对"&amp;LEFT($C$5,2)&amp;"输出",标准坦克设计!$B$23:$U$23,0)))*(VLOOKUP($Q53,INDIRECT($B$5&amp;"生成成长"),3))*(VLOOKUP($B$5,标准坦克设计!$B$14:$K$20,9)/30))</f>
        <v>5.1506049327447876</v>
      </c>
      <c r="Y53" s="173">
        <f ca="1">(VLOOKUP(Y$41,INDIRECT($C$5&amp;"生成成长"),2))/((VLOOKUP($Q53,INDIRECT($B$5&amp;"生成成长"),4))/(VLOOKUP(Y$41,INDIRECT($C$5&amp;"生成成长"),5))*(VLOOKUP($B$5,标准坦克设计!$B$24:$U$30,MATCH("对"&amp;LEFT($C$5,2)&amp;"输出",标准坦克设计!$B$23:$U$23,0)))*(VLOOKUP($Q53,INDIRECT($B$5&amp;"生成成长"),3))*(VLOOKUP($B$5,标准坦克设计!$B$14:$K$20,9)/30))</f>
        <v>8.6973625403542272</v>
      </c>
      <c r="Z53" s="173">
        <f ca="1">(VLOOKUP(Z$41,INDIRECT($C$5&amp;"生成成长"),2))/((VLOOKUP($Q53,INDIRECT($B$5&amp;"生成成长"),4))/(VLOOKUP(Z$41,INDIRECT($C$5&amp;"生成成长"),5))*(VLOOKUP($B$5,标准坦克设计!$B$24:$U$30,MATCH("对"&amp;LEFT($C$5,2)&amp;"输出",标准坦克设计!$B$23:$U$23,0)))*(VLOOKUP($Q53,INDIRECT($B$5&amp;"生成成长"),3))*(VLOOKUP($B$5,标准坦克设计!$B$14:$K$20,9)/30))</f>
        <v>3.2699985733611769</v>
      </c>
      <c r="AA53" s="173">
        <f ca="1">(VLOOKUP(AA$41,INDIRECT($C$5&amp;"生成成长"),2))/((VLOOKUP($Q53,INDIRECT($B$5&amp;"生成成长"),4))/(VLOOKUP(AA$41,INDIRECT($C$5&amp;"生成成长"),5))*(VLOOKUP($B$5,标准坦克设计!$B$24:$U$30,MATCH("对"&amp;LEFT($C$5,2)&amp;"输出",标准坦克设计!$B$23:$U$23,0)))*(VLOOKUP($Q53,INDIRECT($B$5&amp;"生成成长"),3))*(VLOOKUP($B$5,标准坦克设计!$B$14:$K$20,9)/30))</f>
        <v>5.3733083174086351</v>
      </c>
      <c r="AB53" s="173">
        <f ca="1">(VLOOKUP(AB$41,INDIRECT($C$5&amp;"生成成长"),2))/((VLOOKUP($Q53,INDIRECT($B$5&amp;"生成成长"),4))/(VLOOKUP(AB$41,INDIRECT($C$5&amp;"生成成长"),5))*(VLOOKUP($B$5,标准坦克设计!$B$24:$U$30,MATCH("对"&amp;LEFT($C$5,2)&amp;"输出",标准坦克设计!$B$23:$U$23,0)))*(VLOOKUP($Q53,INDIRECT($B$5&amp;"生成成长"),3))*(VLOOKUP($B$5,标准坦克设计!$B$14:$K$20,9)/30))</f>
        <v>9.0589609592363356</v>
      </c>
      <c r="AC53" s="173">
        <f ca="1">(VLOOKUP(AC$41,INDIRECT($C$5&amp;"生成成长"),2))/((VLOOKUP($Q53,INDIRECT($B$5&amp;"生成成长"),4))/(VLOOKUP(AC$41,INDIRECT($C$5&amp;"生成成长"),5))*(VLOOKUP($B$5,标准坦克设计!$B$24:$U$30,MATCH("对"&amp;LEFT($C$5,2)&amp;"输出",标准坦克设计!$B$23:$U$23,0)))*(VLOOKUP($Q53,INDIRECT($B$5&amp;"生成成长"),3))*(VLOOKUP($B$5,标准坦克设计!$B$14:$K$20,9)/30))</f>
        <v>2.2647402398090839</v>
      </c>
      <c r="AD53" s="173">
        <f ca="1">(VLOOKUP(AD$41,INDIRECT($C$5&amp;"生成成长"),2))/((VLOOKUP($Q53,INDIRECT($B$5&amp;"生成成长"),4))/(VLOOKUP(AD$41,INDIRECT($C$5&amp;"生成成长"),5))*(VLOOKUP($B$5,标准坦克设计!$B$24:$U$30,MATCH("对"&amp;LEFT($C$5,2)&amp;"输出",标准坦克设计!$B$23:$U$23,0)))*(VLOOKUP($Q53,INDIRECT($B$5&amp;"生成成长"),3))*(VLOOKUP($B$5,标准坦克设计!$B$14:$K$20,9)/30))</f>
        <v>3.9615279324860246</v>
      </c>
      <c r="AE53" s="173">
        <f ca="1">(VLOOKUP(AE$41,INDIRECT($C$5&amp;"生成成长"),2))/((VLOOKUP($Q53,INDIRECT($B$5&amp;"生成成长"),4))/(VLOOKUP(AE$41,INDIRECT($C$5&amp;"生成成长"),5))*(VLOOKUP($B$5,标准坦克设计!$B$24:$U$30,MATCH("对"&amp;LEFT($C$5,2)&amp;"输出",标准坦克设计!$B$23:$U$23,0)))*(VLOOKUP($Q53,INDIRECT($B$5&amp;"生成成长"),3))*(VLOOKUP($B$5,标准坦克设计!$B$14:$K$20,9)/30))</f>
        <v>6.8085079074645467</v>
      </c>
      <c r="AF53" s="173">
        <f ca="1">(VLOOKUP(AF$41,INDIRECT($C$5&amp;"生成成长"),2))/((VLOOKUP($Q53,INDIRECT($B$5&amp;"生成成长"),4))/(VLOOKUP(AF$41,INDIRECT($C$5&amp;"生成成长"),5))*(VLOOKUP($B$5,标准坦克设计!$B$24:$U$30,MATCH("对"&amp;LEFT($C$5,2)&amp;"输出",标准坦克设计!$B$23:$U$23,0)))*(VLOOKUP($Q53,INDIRECT($B$5&amp;"生成成长"),3))*(VLOOKUP($B$5,标准坦克设计!$B$14:$K$20,9)/30))</f>
        <v>11.796356729062804</v>
      </c>
      <c r="AG53" s="173">
        <f ca="1">(VLOOKUP(AG$41,INDIRECT($C$5&amp;"生成成长"),2))/((VLOOKUP($Q53,INDIRECT($B$5&amp;"生成成长"),4))/(VLOOKUP(AG$41,INDIRECT($C$5&amp;"生成成长"),5))*(VLOOKUP($B$5,标准坦克设计!$B$24:$U$30,MATCH("对"&amp;LEFT($C$5,2)&amp;"输出",标准坦克设计!$B$23:$U$23,0)))*(VLOOKUP($Q53,INDIRECT($B$5&amp;"生成成长"),3))*(VLOOKUP($B$5,标准坦克设计!$B$14:$K$20,9)/30))</f>
        <v>6.4955153860289139</v>
      </c>
      <c r="AH53" s="173">
        <f ca="1">(VLOOKUP(AH$41,INDIRECT($C$5&amp;"生成成长"),2))/((VLOOKUP($Q53,INDIRECT($B$5&amp;"生成成长"),4))/(VLOOKUP(AH$41,INDIRECT($C$5&amp;"生成成长"),5))*(VLOOKUP($B$5,标准坦克设计!$B$24:$U$30,MATCH("对"&amp;LEFT($C$5,2)&amp;"输出",标准坦克设计!$B$23:$U$23,0)))*(VLOOKUP($Q53,INDIRECT($B$5&amp;"生成成长"),3))*(VLOOKUP($B$5,标准坦克设计!$B$14:$K$20,9)/30))</f>
        <v>11.301460318698696</v>
      </c>
      <c r="AI53" s="173">
        <f ca="1">(VLOOKUP(AI$41,INDIRECT($C$5&amp;"生成成长"),2))/((VLOOKUP($Q53,INDIRECT($B$5&amp;"生成成长"),4))/(VLOOKUP(AI$41,INDIRECT($C$5&amp;"生成成长"),5))*(VLOOKUP($B$5,标准坦克设计!$B$24:$U$30,MATCH("对"&amp;LEFT($C$5,2)&amp;"输出",标准坦克设计!$B$23:$U$23,0)))*(VLOOKUP($Q53,INDIRECT($B$5&amp;"生成成长"),3))*(VLOOKUP($B$5,标准坦克设计!$B$14:$K$20,9)/30))</f>
        <v>19.408334850377415</v>
      </c>
      <c r="AJ53" s="173">
        <f ca="1">(VLOOKUP(AJ$41,INDIRECT($C$5&amp;"生成成长"),2))/((VLOOKUP($Q53,INDIRECT($B$5&amp;"生成成长"),4))/(VLOOKUP(AJ$41,INDIRECT($C$5&amp;"生成成长"),5))*(VLOOKUP($B$5,标准坦克设计!$B$24:$U$30,MATCH("对"&amp;LEFT($C$5,2)&amp;"输出",标准坦克设计!$B$23:$U$23,0)))*(VLOOKUP($Q53,INDIRECT($B$5&amp;"生成成长"),3))*(VLOOKUP($B$5,标准坦克设计!$B$14:$K$20,9)/30))</f>
        <v>32.536493169473637</v>
      </c>
      <c r="AK53" s="173">
        <f ca="1">(VLOOKUP(AK$41,INDIRECT($C$5&amp;"生成成长"),2))/((VLOOKUP($Q53,INDIRECT($B$5&amp;"生成成长"),4))/(VLOOKUP(AK$41,INDIRECT($C$5&amp;"生成成长"),5))*(VLOOKUP($B$5,标准坦克设计!$B$24:$U$30,MATCH("对"&amp;LEFT($C$5,2)&amp;"输出",标准坦克设计!$B$23:$U$23,0)))*(VLOOKUP($Q53,INDIRECT($B$5&amp;"生成成长"),3))*(VLOOKUP($B$5,标准坦克设计!$B$14:$K$20,9)/30))</f>
        <v>11.963678848757338</v>
      </c>
      <c r="AL53" s="173">
        <f ca="1">(VLOOKUP(AL$41,INDIRECT($C$5&amp;"生成成长"),2))/((VLOOKUP($Q53,INDIRECT($B$5&amp;"生成成长"),4))/(VLOOKUP(AL$41,INDIRECT($C$5&amp;"生成成长"),5))*(VLOOKUP($B$5,标准坦克设计!$B$24:$U$30,MATCH("对"&amp;LEFT($C$5,2)&amp;"输出",标准坦克设计!$B$23:$U$23,0)))*(VLOOKUP($Q53,INDIRECT($B$5&amp;"生成成长"),3))*(VLOOKUP($B$5,标准坦克设计!$B$14:$K$20,9)/30))</f>
        <v>20.492393654032128</v>
      </c>
      <c r="AM53" s="173">
        <f ca="1">(VLOOKUP(AM$41,INDIRECT($C$5&amp;"生成成长"),2))/((VLOOKUP($Q53,INDIRECT($B$5&amp;"生成成长"),4))/(VLOOKUP(AM$41,INDIRECT($C$5&amp;"生成成长"),5))*(VLOOKUP($B$5,标准坦克设计!$B$24:$U$30,MATCH("对"&amp;LEFT($C$5,2)&amp;"输出",标准坦克设计!$B$23:$U$23,0)))*(VLOOKUP($Q53,INDIRECT($B$5&amp;"生成成长"),3))*(VLOOKUP($B$5,标准坦克设计!$B$14:$K$20,9)/30))</f>
        <v>34.219140964711599</v>
      </c>
    </row>
    <row r="54" spans="16:39" x14ac:dyDescent="0.15">
      <c r="P54" s="175" t="str">
        <f t="shared" ref="P54:P65" si="7">"T"&amp;LEFT(RIGHT(Q54,3),1)&amp;""&amp;IF(LEFT(Q54,1)="1","低",IF(LEFT(Q54,1)="2","中","高"))&amp;"满"</f>
        <v>T1低满</v>
      </c>
      <c r="Q54" s="179">
        <v>10105</v>
      </c>
      <c r="R54" s="173">
        <f ca="1">(VLOOKUP(R$41,INDIRECT($C$5&amp;"生成成长"),2))/((VLOOKUP($Q54,INDIRECT($B$5&amp;"生成成长"),4))/(VLOOKUP(R$41,INDIRECT($C$5&amp;"生成成长"),5))*(VLOOKUP($B$5,标准坦克设计!$B$24:$U$30,MATCH("对"&amp;LEFT($C$5,2)&amp;"输出",标准坦克设计!$B$23:$U$23,0)))*(VLOOKUP($Q54,INDIRECT($B$5&amp;"生成成长"),3))*(VLOOKUP($B$5,标准坦克设计!$B$14:$K$20,9)/30))</f>
        <v>5.891623932906044</v>
      </c>
      <c r="S54" s="173">
        <f ca="1">(VLOOKUP(S$41,INDIRECT($C$5&amp;"生成成长"),2))/((VLOOKUP($Q54,INDIRECT($B$5&amp;"生成成长"),4))/(VLOOKUP(S$41,INDIRECT($C$5&amp;"生成成长"),5))*(VLOOKUP($B$5,标准坦克设计!$B$24:$U$30,MATCH("对"&amp;LEFT($C$5,2)&amp;"输出",标准坦克设计!$B$23:$U$23,0)))*(VLOOKUP($Q54,INDIRECT($B$5&amp;"生成成长"),3))*(VLOOKUP($B$5,标准坦克设计!$B$14:$K$20,9)/30))</f>
        <v>7.9277691641183727</v>
      </c>
      <c r="T54" s="173">
        <f ca="1">(VLOOKUP(T$41,INDIRECT($C$5&amp;"生成成长"),2))/((VLOOKUP($Q54,INDIRECT($B$5&amp;"生成成长"),4))/(VLOOKUP(T$41,INDIRECT($C$5&amp;"生成成长"),5))*(VLOOKUP($B$5,标准坦克设计!$B$24:$U$30,MATCH("对"&amp;LEFT($C$5,2)&amp;"输出",标准坦克设计!$B$23:$U$23,0)))*(VLOOKUP($Q54,INDIRECT($B$5&amp;"生成成长"),3))*(VLOOKUP($B$5,标准坦克设计!$B$14:$K$20,9)/30))</f>
        <v>12.047781780399571</v>
      </c>
      <c r="U54" s="173">
        <f ca="1">(VLOOKUP(U$41,INDIRECT($C$5&amp;"生成成长"),2))/((VLOOKUP($Q54,INDIRECT($B$5&amp;"生成成长"),4))/(VLOOKUP(U$41,INDIRECT($C$5&amp;"生成成长"),5))*(VLOOKUP($B$5,标准坦克设计!$B$24:$U$30,MATCH("对"&amp;LEFT($C$5,2)&amp;"输出",标准坦克设计!$B$23:$U$23,0)))*(VLOOKUP($Q54,INDIRECT($B$5&amp;"生成成长"),3))*(VLOOKUP($B$5,标准坦克设计!$B$14:$K$20,9)/30))</f>
        <v>19.73045938890905</v>
      </c>
      <c r="V54" s="173">
        <f ca="1">(VLOOKUP(V$41,INDIRECT($C$5&amp;"生成成长"),2))/((VLOOKUP($Q54,INDIRECT($B$5&amp;"生成成长"),4))/(VLOOKUP(V$41,INDIRECT($C$5&amp;"生成成长"),5))*(VLOOKUP($B$5,标准坦克设计!$B$24:$U$30,MATCH("对"&amp;LEFT($C$5,2)&amp;"输出",标准坦克设计!$B$23:$U$23,0)))*(VLOOKUP($Q54,INDIRECT($B$5&amp;"生成成长"),3))*(VLOOKUP($B$5,标准坦克设计!$B$14:$K$20,9)/30))</f>
        <v>8.2034971641783763</v>
      </c>
      <c r="W54" s="173">
        <f ca="1">(VLOOKUP(W$41,INDIRECT($C$5&amp;"生成成长"),2))/((VLOOKUP($Q54,INDIRECT($B$5&amp;"生成成长"),4))/(VLOOKUP(W$41,INDIRECT($C$5&amp;"生成成长"),5))*(VLOOKUP($B$5,标准坦克设计!$B$24:$U$30,MATCH("对"&amp;LEFT($C$5,2)&amp;"输出",标准坦克设计!$B$23:$U$23,0)))*(VLOOKUP($Q54,INDIRECT($B$5&amp;"生成成长"),3))*(VLOOKUP($B$5,标准坦克设计!$B$14:$K$20,9)/30))</f>
        <v>12.558585575382523</v>
      </c>
      <c r="X54" s="173">
        <f ca="1">(VLOOKUP(X$41,INDIRECT($C$5&amp;"生成成长"),2))/((VLOOKUP($Q54,INDIRECT($B$5&amp;"生成成长"),4))/(VLOOKUP(X$41,INDIRECT($C$5&amp;"生成成长"),5))*(VLOOKUP($B$5,标准坦克设计!$B$24:$U$30,MATCH("对"&amp;LEFT($C$5,2)&amp;"输出",标准坦克设计!$B$23:$U$23,0)))*(VLOOKUP($Q54,INDIRECT($B$5&amp;"生成成长"),3))*(VLOOKUP($B$5,标准坦克设计!$B$14:$K$20,9)/30))</f>
        <v>20.60241973097915</v>
      </c>
      <c r="Y54" s="173">
        <f ca="1">(VLOOKUP(Y$41,INDIRECT($C$5&amp;"生成成长"),2))/((VLOOKUP($Q54,INDIRECT($B$5&amp;"生成成长"),4))/(VLOOKUP(Y$41,INDIRECT($C$5&amp;"生成成长"),5))*(VLOOKUP($B$5,标准坦克设计!$B$24:$U$30,MATCH("对"&amp;LEFT($C$5,2)&amp;"输出",标准坦克设计!$B$23:$U$23,0)))*(VLOOKUP($Q54,INDIRECT($B$5&amp;"生成成长"),3))*(VLOOKUP($B$5,标准坦克设计!$B$14:$K$20,9)/30))</f>
        <v>34.789450161416909</v>
      </c>
      <c r="Z54" s="173">
        <f ca="1">(VLOOKUP(Z$41,INDIRECT($C$5&amp;"生成成长"),2))/((VLOOKUP($Q54,INDIRECT($B$5&amp;"生成成长"),4))/(VLOOKUP(Z$41,INDIRECT($C$5&amp;"生成成长"),5))*(VLOOKUP($B$5,标准坦克设计!$B$24:$U$30,MATCH("对"&amp;LEFT($C$5,2)&amp;"输出",标准坦克设计!$B$23:$U$23,0)))*(VLOOKUP($Q54,INDIRECT($B$5&amp;"生成成长"),3))*(VLOOKUP($B$5,标准坦克设计!$B$14:$K$20,9)/30))</f>
        <v>13.079994293444708</v>
      </c>
      <c r="AA54" s="173">
        <f ca="1">(VLOOKUP(AA$41,INDIRECT($C$5&amp;"生成成长"),2))/((VLOOKUP($Q54,INDIRECT($B$5&amp;"生成成长"),4))/(VLOOKUP(AA$41,INDIRECT($C$5&amp;"生成成长"),5))*(VLOOKUP($B$5,标准坦克设计!$B$24:$U$30,MATCH("对"&amp;LEFT($C$5,2)&amp;"输出",标准坦克设计!$B$23:$U$23,0)))*(VLOOKUP($Q54,INDIRECT($B$5&amp;"生成成长"),3))*(VLOOKUP($B$5,标准坦克设计!$B$14:$K$20,9)/30))</f>
        <v>21.493233269634541</v>
      </c>
      <c r="AB54" s="173">
        <f ca="1">(VLOOKUP(AB$41,INDIRECT($C$5&amp;"生成成长"),2))/((VLOOKUP($Q54,INDIRECT($B$5&amp;"生成成长"),4))/(VLOOKUP(AB$41,INDIRECT($C$5&amp;"生成成长"),5))*(VLOOKUP($B$5,标准坦克设计!$B$24:$U$30,MATCH("对"&amp;LEFT($C$5,2)&amp;"输出",标准坦克设计!$B$23:$U$23,0)))*(VLOOKUP($Q54,INDIRECT($B$5&amp;"生成成长"),3))*(VLOOKUP($B$5,标准坦克设计!$B$14:$K$20,9)/30))</f>
        <v>36.235843836945342</v>
      </c>
      <c r="AC54" s="173">
        <f ca="1">(VLOOKUP(AC$41,INDIRECT($C$5&amp;"生成成长"),2))/((VLOOKUP($Q54,INDIRECT($B$5&amp;"生成成长"),4))/(VLOOKUP(AC$41,INDIRECT($C$5&amp;"生成成长"),5))*(VLOOKUP($B$5,标准坦克设计!$B$24:$U$30,MATCH("对"&amp;LEFT($C$5,2)&amp;"输出",标准坦克设计!$B$23:$U$23,0)))*(VLOOKUP($Q54,INDIRECT($B$5&amp;"生成成长"),3))*(VLOOKUP($B$5,标准坦克设计!$B$14:$K$20,9)/30))</f>
        <v>9.0589609592363356</v>
      </c>
      <c r="AD54" s="173">
        <f ca="1">(VLOOKUP(AD$41,INDIRECT($C$5&amp;"生成成长"),2))/((VLOOKUP($Q54,INDIRECT($B$5&amp;"生成成长"),4))/(VLOOKUP(AD$41,INDIRECT($C$5&amp;"生成成长"),5))*(VLOOKUP($B$5,标准坦克设计!$B$24:$U$30,MATCH("对"&amp;LEFT($C$5,2)&amp;"输出",标准坦克设计!$B$23:$U$23,0)))*(VLOOKUP($Q54,INDIRECT($B$5&amp;"生成成长"),3))*(VLOOKUP($B$5,标准坦克设计!$B$14:$K$20,9)/30))</f>
        <v>15.846111729944099</v>
      </c>
      <c r="AE54" s="173">
        <f ca="1">(VLOOKUP(AE$41,INDIRECT($C$5&amp;"生成成长"),2))/((VLOOKUP($Q54,INDIRECT($B$5&amp;"生成成长"),4))/(VLOOKUP(AE$41,INDIRECT($C$5&amp;"生成成长"),5))*(VLOOKUP($B$5,标准坦克设计!$B$24:$U$30,MATCH("对"&amp;LEFT($C$5,2)&amp;"输出",标准坦克设计!$B$23:$U$23,0)))*(VLOOKUP($Q54,INDIRECT($B$5&amp;"生成成长"),3))*(VLOOKUP($B$5,标准坦克设计!$B$14:$K$20,9)/30))</f>
        <v>27.234031629858187</v>
      </c>
      <c r="AF54" s="173">
        <f ca="1">(VLOOKUP(AF$41,INDIRECT($C$5&amp;"生成成长"),2))/((VLOOKUP($Q54,INDIRECT($B$5&amp;"生成成长"),4))/(VLOOKUP(AF$41,INDIRECT($C$5&amp;"生成成长"),5))*(VLOOKUP($B$5,标准坦克设计!$B$24:$U$30,MATCH("对"&amp;LEFT($C$5,2)&amp;"输出",标准坦克设计!$B$23:$U$23,0)))*(VLOOKUP($Q54,INDIRECT($B$5&amp;"生成成长"),3))*(VLOOKUP($B$5,标准坦克设计!$B$14:$K$20,9)/30))</f>
        <v>47.185426916251217</v>
      </c>
      <c r="AG54" s="173">
        <f ca="1">(VLOOKUP(AG$41,INDIRECT($C$5&amp;"生成成长"),2))/((VLOOKUP($Q54,INDIRECT($B$5&amp;"生成成长"),4))/(VLOOKUP(AG$41,INDIRECT($C$5&amp;"生成成长"),5))*(VLOOKUP($B$5,标准坦克设计!$B$24:$U$30,MATCH("对"&amp;LEFT($C$5,2)&amp;"输出",标准坦克设计!$B$23:$U$23,0)))*(VLOOKUP($Q54,INDIRECT($B$5&amp;"生成成长"),3))*(VLOOKUP($B$5,标准坦克设计!$B$14:$K$20,9)/30))</f>
        <v>25.982061544115655</v>
      </c>
      <c r="AH54" s="173">
        <f ca="1">(VLOOKUP(AH$41,INDIRECT($C$5&amp;"生成成长"),2))/((VLOOKUP($Q54,INDIRECT($B$5&amp;"生成成长"),4))/(VLOOKUP(AH$41,INDIRECT($C$5&amp;"生成成长"),5))*(VLOOKUP($B$5,标准坦克设计!$B$24:$U$30,MATCH("对"&amp;LEFT($C$5,2)&amp;"输出",标准坦克设计!$B$23:$U$23,0)))*(VLOOKUP($Q54,INDIRECT($B$5&amp;"生成成长"),3))*(VLOOKUP($B$5,标准坦克设计!$B$14:$K$20,9)/30))</f>
        <v>45.205841274794786</v>
      </c>
      <c r="AI54" s="173">
        <f ca="1">(VLOOKUP(AI$41,INDIRECT($C$5&amp;"生成成长"),2))/((VLOOKUP($Q54,INDIRECT($B$5&amp;"生成成长"),4))/(VLOOKUP(AI$41,INDIRECT($C$5&amp;"生成成长"),5))*(VLOOKUP($B$5,标准坦克设计!$B$24:$U$30,MATCH("对"&amp;LEFT($C$5,2)&amp;"输出",标准坦克设计!$B$23:$U$23,0)))*(VLOOKUP($Q54,INDIRECT($B$5&amp;"生成成长"),3))*(VLOOKUP($B$5,标准坦克设计!$B$14:$K$20,9)/30))</f>
        <v>77.633339401509659</v>
      </c>
      <c r="AJ54" s="173">
        <f ca="1">(VLOOKUP(AJ$41,INDIRECT($C$5&amp;"生成成长"),2))/((VLOOKUP($Q54,INDIRECT($B$5&amp;"生成成长"),4))/(VLOOKUP(AJ$41,INDIRECT($C$5&amp;"生成成长"),5))*(VLOOKUP($B$5,标准坦克设计!$B$24:$U$30,MATCH("对"&amp;LEFT($C$5,2)&amp;"输出",标准坦克设计!$B$23:$U$23,0)))*(VLOOKUP($Q54,INDIRECT($B$5&amp;"生成成长"),3))*(VLOOKUP($B$5,标准坦克设计!$B$14:$K$20,9)/30))</f>
        <v>130.14597267789455</v>
      </c>
      <c r="AK54" s="173">
        <f ca="1">(VLOOKUP(AK$41,INDIRECT($C$5&amp;"生成成长"),2))/((VLOOKUP($Q54,INDIRECT($B$5&amp;"生成成长"),4))/(VLOOKUP(AK$41,INDIRECT($C$5&amp;"生成成长"),5))*(VLOOKUP($B$5,标准坦克设计!$B$24:$U$30,MATCH("对"&amp;LEFT($C$5,2)&amp;"输出",标准坦克设计!$B$23:$U$23,0)))*(VLOOKUP($Q54,INDIRECT($B$5&amp;"生成成长"),3))*(VLOOKUP($B$5,标准坦克设计!$B$14:$K$20,9)/30))</f>
        <v>47.854715395029352</v>
      </c>
      <c r="AL54" s="173">
        <f ca="1">(VLOOKUP(AL$41,INDIRECT($C$5&amp;"生成成长"),2))/((VLOOKUP($Q54,INDIRECT($B$5&amp;"生成成长"),4))/(VLOOKUP(AL$41,INDIRECT($C$5&amp;"生成成长"),5))*(VLOOKUP($B$5,标准坦克设计!$B$24:$U$30,MATCH("对"&amp;LEFT($C$5,2)&amp;"输出",标准坦克设计!$B$23:$U$23,0)))*(VLOOKUP($Q54,INDIRECT($B$5&amp;"生成成长"),3))*(VLOOKUP($B$5,标准坦克设计!$B$14:$K$20,9)/30))</f>
        <v>81.969574616128511</v>
      </c>
      <c r="AM54" s="173">
        <f ca="1">(VLOOKUP(AM$41,INDIRECT($C$5&amp;"生成成长"),2))/((VLOOKUP($Q54,INDIRECT($B$5&amp;"生成成长"),4))/(VLOOKUP(AM$41,INDIRECT($C$5&amp;"生成成长"),5))*(VLOOKUP($B$5,标准坦克设计!$B$24:$U$30,MATCH("对"&amp;LEFT($C$5,2)&amp;"输出",标准坦克设计!$B$23:$U$23,0)))*(VLOOKUP($Q54,INDIRECT($B$5&amp;"生成成长"),3))*(VLOOKUP($B$5,标准坦克设计!$B$14:$K$20,9)/30))</f>
        <v>136.8765638588464</v>
      </c>
    </row>
    <row r="55" spans="16:39" x14ac:dyDescent="0.15">
      <c r="P55" s="175" t="str">
        <f t="shared" si="7"/>
        <v>T2低满</v>
      </c>
      <c r="Q55" s="179">
        <v>10207</v>
      </c>
      <c r="R55" s="173">
        <f ca="1">(VLOOKUP(R$41,INDIRECT($C$5&amp;"生成成长"),2))/((VLOOKUP($Q55,INDIRECT($B$5&amp;"生成成长"),4))/(VLOOKUP(R$41,INDIRECT($C$5&amp;"生成成长"),5))*(VLOOKUP($B$5,标准坦克设计!$B$24:$U$30,MATCH("对"&amp;LEFT($C$5,2)&amp;"输出",标准坦克设计!$B$23:$U$23,0)))*(VLOOKUP($Q55,INDIRECT($B$5&amp;"生成成长"),3))*(VLOOKUP($B$5,标准坦克设计!$B$14:$K$20,9)/30))</f>
        <v>3.3664855427459788</v>
      </c>
      <c r="S55" s="173">
        <f ca="1">(VLOOKUP(S$41,INDIRECT($C$5&amp;"生成成长"),2))/((VLOOKUP($Q55,INDIRECT($B$5&amp;"生成成长"),4))/(VLOOKUP(S$41,INDIRECT($C$5&amp;"生成成长"),5))*(VLOOKUP($B$5,标准坦克设计!$B$24:$U$30,MATCH("对"&amp;LEFT($C$5,2)&amp;"输出",标准坦克设计!$B$23:$U$23,0)))*(VLOOKUP($Q55,INDIRECT($B$5&amp;"生成成长"),3))*(VLOOKUP($B$5,标准坦克设计!$B$14:$K$20,9)/30))</f>
        <v>4.5299429463189886</v>
      </c>
      <c r="T55" s="173">
        <f ca="1">(VLOOKUP(T$41,INDIRECT($C$5&amp;"生成成长"),2))/((VLOOKUP($Q55,INDIRECT($B$5&amp;"生成成长"),4))/(VLOOKUP(T$41,INDIRECT($C$5&amp;"生成成长"),5))*(VLOOKUP($B$5,标准坦克设计!$B$24:$U$30,MATCH("对"&amp;LEFT($C$5,2)&amp;"输出",标准坦克设计!$B$23:$U$23,0)))*(VLOOKUP($Q55,INDIRECT($B$5&amp;"生成成长"),3))*(VLOOKUP($B$5,标准坦克设计!$B$14:$K$20,9)/30))</f>
        <v>6.8841262863612513</v>
      </c>
      <c r="U55" s="173">
        <f ca="1">(VLOOKUP(U$41,INDIRECT($C$5&amp;"生成成长"),2))/((VLOOKUP($Q55,INDIRECT($B$5&amp;"生成成长"),4))/(VLOOKUP(U$41,INDIRECT($C$5&amp;"生成成长"),5))*(VLOOKUP($B$5,标准坦克设计!$B$24:$U$30,MATCH("对"&amp;LEFT($C$5,2)&amp;"输出",标准坦克设计!$B$23:$U$23,0)))*(VLOOKUP($Q55,INDIRECT($B$5&amp;"生成成长"),3))*(VLOOKUP($B$5,标准坦克设计!$B$14:$K$20,9)/30))</f>
        <v>11.274023434102006</v>
      </c>
      <c r="V55" s="173">
        <f ca="1">(VLOOKUP(V$41,INDIRECT($C$5&amp;"生成成长"),2))/((VLOOKUP($Q55,INDIRECT($B$5&amp;"生成成长"),4))/(VLOOKUP(V$41,INDIRECT($C$5&amp;"生成成长"),5))*(VLOOKUP($B$5,标准坦克设计!$B$24:$U$30,MATCH("对"&amp;LEFT($C$5,2)&amp;"输出",标准坦克设计!$B$23:$U$23,0)))*(VLOOKUP($Q55,INDIRECT($B$5&amp;"生成成长"),3))*(VLOOKUP($B$5,标准坦克设计!$B$14:$K$20,9)/30))</f>
        <v>4.6874944697195007</v>
      </c>
      <c r="W55" s="173">
        <f ca="1">(VLOOKUP(W$41,INDIRECT($C$5&amp;"生成成长"),2))/((VLOOKUP($Q55,INDIRECT($B$5&amp;"生成成长"),4))/(VLOOKUP(W$41,INDIRECT($C$5&amp;"生成成长"),5))*(VLOOKUP($B$5,标准坦克设计!$B$24:$U$30,MATCH("对"&amp;LEFT($C$5,2)&amp;"输出",标准坦克设计!$B$23:$U$23,0)))*(VLOOKUP($Q55,INDIRECT($B$5&amp;"生成成长"),3))*(VLOOKUP($B$5,标准坦克设计!$B$14:$K$20,9)/30))</f>
        <v>7.1760005829173279</v>
      </c>
      <c r="X55" s="173">
        <f ca="1">(VLOOKUP(X$41,INDIRECT($C$5&amp;"生成成长"),2))/((VLOOKUP($Q55,INDIRECT($B$5&amp;"生成成长"),4))/(VLOOKUP(X$41,INDIRECT($C$5&amp;"生成成长"),5))*(VLOOKUP($B$5,标准坦克设计!$B$24:$U$30,MATCH("对"&amp;LEFT($C$5,2)&amp;"输出",标准坦克设计!$B$23:$U$23,0)))*(VLOOKUP($Q55,INDIRECT($B$5&amp;"生成成长"),3))*(VLOOKUP($B$5,标准坦克设计!$B$14:$K$20,9)/30))</f>
        <v>11.772263294428411</v>
      </c>
      <c r="Y55" s="173">
        <f ca="1">(VLOOKUP(Y$41,INDIRECT($C$5&amp;"生成成长"),2))/((VLOOKUP($Q55,INDIRECT($B$5&amp;"生成成长"),4))/(VLOOKUP(Y$41,INDIRECT($C$5&amp;"生成成长"),5))*(VLOOKUP($B$5,标准坦克设计!$B$24:$U$30,MATCH("对"&amp;LEFT($C$5,2)&amp;"输出",标准坦克设计!$B$23:$U$23,0)))*(VLOOKUP($Q55,INDIRECT($B$5&amp;"生成成长"),3))*(VLOOKUP($B$5,标准坦克设计!$B$14:$K$20,9)/30))</f>
        <v>19.878760481360725</v>
      </c>
      <c r="Z55" s="173">
        <f ca="1">(VLOOKUP(Z$41,INDIRECT($C$5&amp;"生成成长"),2))/((VLOOKUP($Q55,INDIRECT($B$5&amp;"生成成长"),4))/(VLOOKUP(Z$41,INDIRECT($C$5&amp;"生成成长"),5))*(VLOOKUP($B$5,标准坦克设计!$B$24:$U$30,MATCH("对"&amp;LEFT($C$5,2)&amp;"输出",标准坦克设计!$B$23:$U$23,0)))*(VLOOKUP($Q55,INDIRECT($B$5&amp;"生成成长"),3))*(VLOOKUP($B$5,标准坦克设计!$B$14:$K$20,9)/30))</f>
        <v>7.4739345534503467</v>
      </c>
      <c r="AA55" s="173">
        <f ca="1">(VLOOKUP(AA$41,INDIRECT($C$5&amp;"生成成长"),2))/((VLOOKUP($Q55,INDIRECT($B$5&amp;"生成成长"),4))/(VLOOKUP(AA$41,INDIRECT($C$5&amp;"生成成长"),5))*(VLOOKUP($B$5,标准坦克设计!$B$24:$U$30,MATCH("对"&amp;LEFT($C$5,2)&amp;"输出",标准坦克设计!$B$23:$U$23,0)))*(VLOOKUP($Q55,INDIRECT($B$5&amp;"生成成长"),3))*(VLOOKUP($B$5,标准坦克设计!$B$14:$K$20,9)/30))</f>
        <v>12.281275908491603</v>
      </c>
      <c r="AB55" s="173">
        <f ca="1">(VLOOKUP(AB$41,INDIRECT($C$5&amp;"生成成长"),2))/((VLOOKUP($Q55,INDIRECT($B$5&amp;"生成成长"),4))/(VLOOKUP(AB$41,INDIRECT($C$5&amp;"生成成长"),5))*(VLOOKUP($B$5,标准坦克设计!$B$24:$U$30,MATCH("对"&amp;LEFT($C$5,2)&amp;"输出",标准坦克设计!$B$23:$U$23,0)))*(VLOOKUP($Q55,INDIRECT($B$5&amp;"生成成长"),3))*(VLOOKUP($B$5,标准坦克设计!$B$14:$K$20,9)/30))</f>
        <v>20.705232682104867</v>
      </c>
      <c r="AC55" s="173">
        <f ca="1">(VLOOKUP(AC$41,INDIRECT($C$5&amp;"生成成长"),2))/((VLOOKUP($Q55,INDIRECT($B$5&amp;"生成成长"),4))/(VLOOKUP(AC$41,INDIRECT($C$5&amp;"生成成长"),5))*(VLOOKUP($B$5,标准坦克设计!$B$24:$U$30,MATCH("对"&amp;LEFT($C$5,2)&amp;"输出",标准坦克设计!$B$23:$U$23,0)))*(VLOOKUP($Q55,INDIRECT($B$5&amp;"生成成长"),3))*(VLOOKUP($B$5,标准坦克设计!$B$14:$K$20,9)/30))</f>
        <v>5.1763081705262168</v>
      </c>
      <c r="AD55" s="173">
        <f ca="1">(VLOOKUP(AD$41,INDIRECT($C$5&amp;"生成成长"),2))/((VLOOKUP($Q55,INDIRECT($B$5&amp;"生成成长"),4))/(VLOOKUP(AD$41,INDIRECT($C$5&amp;"生成成长"),5))*(VLOOKUP($B$5,标准坦克设计!$B$24:$U$30,MATCH("对"&amp;LEFT($C$5,2)&amp;"输出",标准坦克设计!$B$23:$U$23,0)))*(VLOOKUP($Q55,INDIRECT($B$5&amp;"生成成长"),3))*(VLOOKUP($B$5,标准坦克设计!$B$14:$K$20,9)/30))</f>
        <v>9.0544995157695833</v>
      </c>
      <c r="AE55" s="173">
        <f ca="1">(VLOOKUP(AE$41,INDIRECT($C$5&amp;"生成成长"),2))/((VLOOKUP($Q55,INDIRECT($B$5&amp;"生成成长"),4))/(VLOOKUP(AE$41,INDIRECT($C$5&amp;"生成成长"),5))*(VLOOKUP($B$5,标准坦克设计!$B$24:$U$30,MATCH("对"&amp;LEFT($C$5,2)&amp;"输出",标准坦克设计!$B$23:$U$23,0)))*(VLOOKUP($Q55,INDIRECT($B$5&amp;"生成成长"),3))*(VLOOKUP($B$5,标准坦克设计!$B$14:$K$20,9)/30))</f>
        <v>15.561579421343284</v>
      </c>
      <c r="AF55" s="173">
        <f ca="1">(VLOOKUP(AF$41,INDIRECT($C$5&amp;"生成成长"),2))/((VLOOKUP($Q55,INDIRECT($B$5&amp;"生成成长"),4))/(VLOOKUP(AF$41,INDIRECT($C$5&amp;"生成成长"),5))*(VLOOKUP($B$5,标准坦克设计!$B$24:$U$30,MATCH("对"&amp;LEFT($C$5,2)&amp;"输出",标准坦克设计!$B$23:$U$23,0)))*(VLOOKUP($Q55,INDIRECT($B$5&amp;"生成成长"),3))*(VLOOKUP($B$5,标准坦克设计!$B$14:$K$20,9)/30))</f>
        <v>26.961846063298267</v>
      </c>
      <c r="AG55" s="173">
        <f ca="1">(VLOOKUP(AG$41,INDIRECT($C$5&amp;"生成成长"),2))/((VLOOKUP($Q55,INDIRECT($B$5&amp;"生成成长"),4))/(VLOOKUP(AG$41,INDIRECT($C$5&amp;"生成成长"),5))*(VLOOKUP($B$5,标准坦克设计!$B$24:$U$30,MATCH("对"&amp;LEFT($C$5,2)&amp;"输出",标准坦克设计!$B$23:$U$23,0)))*(VLOOKUP($Q55,INDIRECT($B$5&amp;"生成成长"),3))*(VLOOKUP($B$5,标准坦克设计!$B$14:$K$20,9)/30))</f>
        <v>14.846201243509764</v>
      </c>
      <c r="AH55" s="173">
        <f ca="1">(VLOOKUP(AH$41,INDIRECT($C$5&amp;"生成成长"),2))/((VLOOKUP($Q55,INDIRECT($B$5&amp;"生成成长"),4))/(VLOOKUP(AH$41,INDIRECT($C$5&amp;"生成成长"),5))*(VLOOKUP($B$5,标准坦克设计!$B$24:$U$30,MATCH("对"&amp;LEFT($C$5,2)&amp;"输出",标准坦克设计!$B$23:$U$23,0)))*(VLOOKUP($Q55,INDIRECT($B$5&amp;"生成成长"),3))*(VLOOKUP($B$5,标准坦克设计!$B$14:$K$20,9)/30))</f>
        <v>25.830706920935615</v>
      </c>
      <c r="AI55" s="173">
        <f ca="1">(VLOOKUP(AI$41,INDIRECT($C$5&amp;"生成成长"),2))/((VLOOKUP($Q55,INDIRECT($B$5&amp;"生成成长"),4))/(VLOOKUP(AI$41,INDIRECT($C$5&amp;"生成成长"),5))*(VLOOKUP($B$5,标准坦克设计!$B$24:$U$30,MATCH("对"&amp;LEFT($C$5,2)&amp;"输出",标准坦克设计!$B$23:$U$23,0)))*(VLOOKUP($Q55,INDIRECT($B$5&amp;"生成成长"),3))*(VLOOKUP($B$5,标准坦克设计!$B$14:$K$20,9)/30))</f>
        <v>44.359843348209495</v>
      </c>
      <c r="AJ55" s="173">
        <f ca="1">(VLOOKUP(AJ$41,INDIRECT($C$5&amp;"生成成长"),2))/((VLOOKUP($Q55,INDIRECT($B$5&amp;"生成成长"),4))/(VLOOKUP(AJ$41,INDIRECT($C$5&amp;"生成成长"),5))*(VLOOKUP($B$5,标准坦克设计!$B$24:$U$30,MATCH("对"&amp;LEFT($C$5,2)&amp;"输出",标准坦克设计!$B$23:$U$23,0)))*(VLOOKUP($Q55,INDIRECT($B$5&amp;"生成成长"),3))*(VLOOKUP($B$5,标准坦克设计!$B$14:$K$20,9)/30))</f>
        <v>74.365665639258651</v>
      </c>
      <c r="AK55" s="173">
        <f ca="1">(VLOOKUP(AK$41,INDIRECT($C$5&amp;"生成成长"),2))/((VLOOKUP($Q55,INDIRECT($B$5&amp;"生成成长"),4))/(VLOOKUP(AK$41,INDIRECT($C$5&amp;"生成成长"),5))*(VLOOKUP($B$5,标准坦克设计!$B$24:$U$30,MATCH("对"&amp;LEFT($C$5,2)&amp;"输出",标准坦克设计!$B$23:$U$23,0)))*(VLOOKUP($Q55,INDIRECT($B$5&amp;"生成成长"),3))*(VLOOKUP($B$5,标准坦克设计!$B$14:$K$20,9)/30))</f>
        <v>27.344278820954212</v>
      </c>
      <c r="AL55" s="173">
        <f ca="1">(VLOOKUP(AL$41,INDIRECT($C$5&amp;"生成成长"),2))/((VLOOKUP($Q55,INDIRECT($B$5&amp;"生成成长"),4))/(VLOOKUP(AL$41,INDIRECT($C$5&amp;"生成成长"),5))*(VLOOKUP($B$5,标准坦克设计!$B$24:$U$30,MATCH("对"&amp;LEFT($C$5,2)&amp;"输出",标准坦克设计!$B$23:$U$23,0)))*(VLOOKUP($Q55,INDIRECT($B$5&amp;"生成成长"),3))*(VLOOKUP($B$5,标准坦克设计!$B$14:$K$20,9)/30))</f>
        <v>46.837576707670522</v>
      </c>
      <c r="AM55" s="173">
        <f ca="1">(VLOOKUP(AM$41,INDIRECT($C$5&amp;"生成成长"),2))/((VLOOKUP($Q55,INDIRECT($B$5&amp;"生成成长"),4))/(VLOOKUP(AM$41,INDIRECT($C$5&amp;"生成成长"),5))*(VLOOKUP($B$5,标准坦克设计!$B$24:$U$30,MATCH("对"&amp;LEFT($C$5,2)&amp;"输出",标准坦克设计!$B$23:$U$23,0)))*(VLOOKUP($Q55,INDIRECT($B$5&amp;"生成成长"),3))*(VLOOKUP($B$5,标准坦克设计!$B$14:$K$20,9)/30))</f>
        <v>78.211538723291667</v>
      </c>
    </row>
    <row r="56" spans="16:39" x14ac:dyDescent="0.15">
      <c r="P56" s="175" t="str">
        <f t="shared" si="7"/>
        <v>T3低满</v>
      </c>
      <c r="Q56" s="179">
        <v>10309</v>
      </c>
      <c r="R56" s="173">
        <f ca="1">(VLOOKUP(R$41,INDIRECT($C$5&amp;"生成成长"),2))/((VLOOKUP($Q56,INDIRECT($B$5&amp;"生成成长"),4))/(VLOOKUP(R$41,INDIRECT($C$5&amp;"生成成长"),5))*(VLOOKUP($B$5,标准坦克设计!$B$24:$U$30,MATCH("对"&amp;LEFT($C$5,2)&amp;"输出",标准坦克设计!$B$23:$U$23,0)))*(VLOOKUP($Q56,INDIRECT($B$5&amp;"生成成长"),3))*(VLOOKUP($B$5,标准坦克设计!$B$14:$K$20,9)/30))</f>
        <v>1.9672399129703413</v>
      </c>
      <c r="S56" s="173">
        <f ca="1">(VLOOKUP(S$41,INDIRECT($C$5&amp;"生成成长"),2))/((VLOOKUP($Q56,INDIRECT($B$5&amp;"生成成长"),4))/(VLOOKUP(S$41,INDIRECT($C$5&amp;"生成成长"),5))*(VLOOKUP($B$5,标准坦克设计!$B$24:$U$30,MATCH("对"&amp;LEFT($C$5,2)&amp;"输出",标准坦克设计!$B$23:$U$23,0)))*(VLOOKUP($Q56,INDIRECT($B$5&amp;"生成成长"),3))*(VLOOKUP($B$5,标准坦克设计!$B$14:$K$20,9)/30))</f>
        <v>2.6471180268928918</v>
      </c>
      <c r="T56" s="173">
        <f ca="1">(VLOOKUP(T$41,INDIRECT($C$5&amp;"生成成长"),2))/((VLOOKUP($Q56,INDIRECT($B$5&amp;"生成成长"),4))/(VLOOKUP(T$41,INDIRECT($C$5&amp;"生成成长"),5))*(VLOOKUP($B$5,标准坦克设计!$B$24:$U$30,MATCH("对"&amp;LEFT($C$5,2)&amp;"输出",标准坦克设计!$B$23:$U$23,0)))*(VLOOKUP($Q56,INDIRECT($B$5&amp;"生成成长"),3))*(VLOOKUP($B$5,标准坦克设计!$B$14:$K$20,9)/30))</f>
        <v>4.022808898033051</v>
      </c>
      <c r="U56" s="173">
        <f ca="1">(VLOOKUP(U$41,INDIRECT($C$5&amp;"生成成长"),2))/((VLOOKUP($Q56,INDIRECT($B$5&amp;"生成成长"),4))/(VLOOKUP(U$41,INDIRECT($C$5&amp;"生成成长"),5))*(VLOOKUP($B$5,标准坦克设计!$B$24:$U$30,MATCH("对"&amp;LEFT($C$5,2)&amp;"输出",标准坦克设计!$B$23:$U$23,0)))*(VLOOKUP($Q56,INDIRECT($B$5&amp;"生成成长"),3))*(VLOOKUP($B$5,标准坦克设计!$B$14:$K$20,9)/30))</f>
        <v>6.5880897445463749</v>
      </c>
      <c r="V56" s="173">
        <f ca="1">(VLOOKUP(V$41,INDIRECT($C$5&amp;"生成成长"),2))/((VLOOKUP($Q56,INDIRECT($B$5&amp;"生成成长"),4))/(VLOOKUP(V$41,INDIRECT($C$5&amp;"生成成长"),5))*(VLOOKUP($B$5,标准坦克设计!$B$24:$U$30,MATCH("对"&amp;LEFT($C$5,2)&amp;"输出",标准坦克设计!$B$23:$U$23,0)))*(VLOOKUP($Q56,INDIRECT($B$5&amp;"生成成长"),3))*(VLOOKUP($B$5,标准坦克设计!$B$14:$K$20,9)/30))</f>
        <v>2.7391848548199036</v>
      </c>
      <c r="W56" s="173">
        <f ca="1">(VLOOKUP(W$41,INDIRECT($C$5&amp;"生成成长"),2))/((VLOOKUP($Q56,INDIRECT($B$5&amp;"生成成长"),4))/(VLOOKUP(W$41,INDIRECT($C$5&amp;"生成成长"),5))*(VLOOKUP($B$5,标准坦克设计!$B$24:$U$30,MATCH("对"&amp;LEFT($C$5,2)&amp;"输出",标准坦克设计!$B$23:$U$23,0)))*(VLOOKUP($Q56,INDIRECT($B$5&amp;"生成成长"),3))*(VLOOKUP($B$5,标准坦克设计!$B$14:$K$20,9)/30))</f>
        <v>4.1933685984875799</v>
      </c>
      <c r="X56" s="173">
        <f ca="1">(VLOOKUP(X$41,INDIRECT($C$5&amp;"生成成长"),2))/((VLOOKUP($Q56,INDIRECT($B$5&amp;"生成成长"),4))/(VLOOKUP(X$41,INDIRECT($C$5&amp;"生成成长"),5))*(VLOOKUP($B$5,标准坦克设计!$B$24:$U$30,MATCH("对"&amp;LEFT($C$5,2)&amp;"输出",标准坦克设计!$B$23:$U$23,0)))*(VLOOKUP($Q56,INDIRECT($B$5&amp;"生成成长"),3))*(VLOOKUP($B$5,标准坦克设计!$B$14:$K$20,9)/30))</f>
        <v>6.879241251665988</v>
      </c>
      <c r="Y56" s="173">
        <f ca="1">(VLOOKUP(Y$41,INDIRECT($C$5&amp;"生成成长"),2))/((VLOOKUP($Q56,INDIRECT($B$5&amp;"生成成长"),4))/(VLOOKUP(Y$41,INDIRECT($C$5&amp;"生成成长"),5))*(VLOOKUP($B$5,标准坦克设计!$B$24:$U$30,MATCH("对"&amp;LEFT($C$5,2)&amp;"输出",标准坦克设计!$B$23:$U$23,0)))*(VLOOKUP($Q56,INDIRECT($B$5&amp;"生成成长"),3))*(VLOOKUP($B$5,标准坦克设计!$B$14:$K$20,9)/30))</f>
        <v>11.616354962098573</v>
      </c>
      <c r="Z56" s="173">
        <f ca="1">(VLOOKUP(Z$41,INDIRECT($C$5&amp;"生成成长"),2))/((VLOOKUP($Q56,INDIRECT($B$5&amp;"生成成长"),4))/(VLOOKUP(Z$41,INDIRECT($C$5&amp;"生成成长"),5))*(VLOOKUP($B$5,标准坦克设计!$B$24:$U$30,MATCH("对"&amp;LEFT($C$5,2)&amp;"输出",标准坦克设计!$B$23:$U$23,0)))*(VLOOKUP($Q56,INDIRECT($B$5&amp;"生成成长"),3))*(VLOOKUP($B$5,标准坦克设计!$B$14:$K$20,9)/30))</f>
        <v>4.3674693307854549</v>
      </c>
      <c r="AA56" s="173">
        <f ca="1">(VLOOKUP(AA$41,INDIRECT($C$5&amp;"生成成长"),2))/((VLOOKUP($Q56,INDIRECT($B$5&amp;"生成成长"),4))/(VLOOKUP(AA$41,INDIRECT($C$5&amp;"生成成长"),5))*(VLOOKUP($B$5,标准坦克设计!$B$24:$U$30,MATCH("对"&amp;LEFT($C$5,2)&amp;"输出",标准坦克设计!$B$23:$U$23,0)))*(VLOOKUP($Q56,INDIRECT($B$5&amp;"生成成长"),3))*(VLOOKUP($B$5,标准坦克设计!$B$14:$K$20,9)/30))</f>
        <v>7.1766879265071024</v>
      </c>
      <c r="AB56" s="173">
        <f ca="1">(VLOOKUP(AB$41,INDIRECT($C$5&amp;"生成成长"),2))/((VLOOKUP($Q56,INDIRECT($B$5&amp;"生成成长"),4))/(VLOOKUP(AB$41,INDIRECT($C$5&amp;"生成成长"),5))*(VLOOKUP($B$5,标准坦克设计!$B$24:$U$30,MATCH("对"&amp;LEFT($C$5,2)&amp;"输出",标准坦克设计!$B$23:$U$23,0)))*(VLOOKUP($Q56,INDIRECT($B$5&amp;"生成成长"),3))*(VLOOKUP($B$5,标准坦克设计!$B$14:$K$20,9)/30))</f>
        <v>12.099312360732789</v>
      </c>
      <c r="AC56" s="173">
        <f ca="1">(VLOOKUP(AC$41,INDIRECT($C$5&amp;"生成成长"),2))/((VLOOKUP($Q56,INDIRECT($B$5&amp;"生成成长"),4))/(VLOOKUP(AC$41,INDIRECT($C$5&amp;"生成成长"),5))*(VLOOKUP($B$5,标准坦克设计!$B$24:$U$30,MATCH("对"&amp;LEFT($C$5,2)&amp;"输出",标准坦克设计!$B$23:$U$23,0)))*(VLOOKUP($Q56,INDIRECT($B$5&amp;"生成成长"),3))*(VLOOKUP($B$5,标准坦克设计!$B$14:$K$20,9)/30))</f>
        <v>3.0248280901831972</v>
      </c>
      <c r="AD56" s="173">
        <f ca="1">(VLOOKUP(AD$41,INDIRECT($C$5&amp;"生成成长"),2))/((VLOOKUP($Q56,INDIRECT($B$5&amp;"生成成长"),4))/(VLOOKUP(AD$41,INDIRECT($C$5&amp;"生成成长"),5))*(VLOOKUP($B$5,标准坦克设计!$B$24:$U$30,MATCH("对"&amp;LEFT($C$5,2)&amp;"输出",标准坦克设计!$B$23:$U$23,0)))*(VLOOKUP($Q56,INDIRECT($B$5&amp;"生成成长"),3))*(VLOOKUP($B$5,标准坦克设计!$B$14:$K$20,9)/30))</f>
        <v>5.2910884699250298</v>
      </c>
      <c r="AE56" s="173">
        <f ca="1">(VLOOKUP(AE$41,INDIRECT($C$5&amp;"生成成长"),2))/((VLOOKUP($Q56,INDIRECT($B$5&amp;"生成成长"),4))/(VLOOKUP(AE$41,INDIRECT($C$5&amp;"生成成长"),5))*(VLOOKUP($B$5,标准坦克设计!$B$24:$U$30,MATCH("对"&amp;LEFT($C$5,2)&amp;"输出",标准坦克设计!$B$23:$U$23,0)))*(VLOOKUP($Q56,INDIRECT($B$5&amp;"生成成长"),3))*(VLOOKUP($B$5,标准坦克设计!$B$14:$K$20,9)/30))</f>
        <v>9.0935664977054032</v>
      </c>
      <c r="AF56" s="173">
        <f ca="1">(VLOOKUP(AF$41,INDIRECT($C$5&amp;"生成成长"),2))/((VLOOKUP($Q56,INDIRECT($B$5&amp;"生成成长"),4))/(VLOOKUP(AF$41,INDIRECT($C$5&amp;"生成成长"),5))*(VLOOKUP($B$5,标准坦克设计!$B$24:$U$30,MATCH("对"&amp;LEFT($C$5,2)&amp;"输出",标准坦克设计!$B$23:$U$23,0)))*(VLOOKUP($Q56,INDIRECT($B$5&amp;"生成成长"),3))*(VLOOKUP($B$5,标准坦克设计!$B$14:$K$20,9)/30))</f>
        <v>15.755427738988166</v>
      </c>
      <c r="AG56" s="173">
        <f ca="1">(VLOOKUP(AG$41,INDIRECT($C$5&amp;"生成成长"),2))/((VLOOKUP($Q56,INDIRECT($B$5&amp;"生成成长"),4))/(VLOOKUP(AG$41,INDIRECT($C$5&amp;"生成成长"),5))*(VLOOKUP($B$5,标准坦克设计!$B$24:$U$30,MATCH("对"&amp;LEFT($C$5,2)&amp;"输出",标准坦克设计!$B$23:$U$23,0)))*(VLOOKUP($Q56,INDIRECT($B$5&amp;"生成成长"),3))*(VLOOKUP($B$5,标准坦克设计!$B$14:$K$20,9)/30))</f>
        <v>8.6755280161992054</v>
      </c>
      <c r="AH56" s="173">
        <f ca="1">(VLOOKUP(AH$41,INDIRECT($C$5&amp;"生成成长"),2))/((VLOOKUP($Q56,INDIRECT($B$5&amp;"生成成长"),4))/(VLOOKUP(AH$41,INDIRECT($C$5&amp;"生成成长"),5))*(VLOOKUP($B$5,标准坦克设计!$B$24:$U$30,MATCH("对"&amp;LEFT($C$5,2)&amp;"输出",标准坦克设计!$B$23:$U$23,0)))*(VLOOKUP($Q56,INDIRECT($B$5&amp;"生成成长"),3))*(VLOOKUP($B$5,标准坦克设计!$B$14:$K$20,9)/30))</f>
        <v>15.094435128230131</v>
      </c>
      <c r="AI56" s="173">
        <f ca="1">(VLOOKUP(AI$41,INDIRECT($C$5&amp;"生成成长"),2))/((VLOOKUP($Q56,INDIRECT($B$5&amp;"生成成长"),4))/(VLOOKUP(AI$41,INDIRECT($C$5&amp;"生成成长"),5))*(VLOOKUP($B$5,标准坦克设计!$B$24:$U$30,MATCH("对"&amp;LEFT($C$5,2)&amp;"输出",标准坦克设计!$B$23:$U$23,0)))*(VLOOKUP($Q56,INDIRECT($B$5&amp;"生成成长"),3))*(VLOOKUP($B$5,标准坦克设计!$B$14:$K$20,9)/30))</f>
        <v>25.92212360921889</v>
      </c>
      <c r="AJ56" s="173">
        <f ca="1">(VLOOKUP(AJ$41,INDIRECT($C$5&amp;"生成成长"),2))/((VLOOKUP($Q56,INDIRECT($B$5&amp;"生成成长"),4))/(VLOOKUP(AJ$41,INDIRECT($C$5&amp;"生成成长"),5))*(VLOOKUP($B$5,标准坦克设计!$B$24:$U$30,MATCH("对"&amp;LEFT($C$5,2)&amp;"输出",标准坦克设计!$B$23:$U$23,0)))*(VLOOKUP($Q56,INDIRECT($B$5&amp;"生成成长"),3))*(VLOOKUP($B$5,标准坦克设计!$B$14:$K$20,9)/30))</f>
        <v>43.456329677514844</v>
      </c>
      <c r="AK56" s="173">
        <f ca="1">(VLOOKUP(AK$41,INDIRECT($C$5&amp;"生成成长"),2))/((VLOOKUP($Q56,INDIRECT($B$5&amp;"生成成长"),4))/(VLOOKUP(AK$41,INDIRECT($C$5&amp;"生成成长"),5))*(VLOOKUP($B$5,标准坦克设计!$B$24:$U$30,MATCH("对"&amp;LEFT($C$5,2)&amp;"输出",标准坦克设计!$B$23:$U$23,0)))*(VLOOKUP($Q56,INDIRECT($B$5&amp;"生成成长"),3))*(VLOOKUP($B$5,标准坦克设计!$B$14:$K$20,9)/30))</f>
        <v>15.978906193101597</v>
      </c>
      <c r="AL56" s="173">
        <f ca="1">(VLOOKUP(AL$41,INDIRECT($C$5&amp;"生成成长"),2))/((VLOOKUP($Q56,INDIRECT($B$5&amp;"生成成长"),4))/(VLOOKUP(AL$41,INDIRECT($C$5&amp;"生成成长"),5))*(VLOOKUP($B$5,标准坦克设计!$B$24:$U$30,MATCH("对"&amp;LEFT($C$5,2)&amp;"输出",标准坦克设计!$B$23:$U$23,0)))*(VLOOKUP($Q56,INDIRECT($B$5&amp;"生成成长"),3))*(VLOOKUP($B$5,标准坦克设计!$B$14:$K$20,9)/30))</f>
        <v>27.370012185165063</v>
      </c>
      <c r="AM56" s="173">
        <f ca="1">(VLOOKUP(AM$41,INDIRECT($C$5&amp;"生成成长"),2))/((VLOOKUP($Q56,INDIRECT($B$5&amp;"生成成长"),4))/(VLOOKUP(AM$41,INDIRECT($C$5&amp;"生成成长"),5))*(VLOOKUP($B$5,标准坦克设计!$B$24:$U$30,MATCH("对"&amp;LEFT($C$5,2)&amp;"输出",标准坦克设计!$B$23:$U$23,0)))*(VLOOKUP($Q56,INDIRECT($B$5&amp;"生成成长"),3))*(VLOOKUP($B$5,标准坦克设计!$B$14:$K$20,9)/30))</f>
        <v>45.703704554092155</v>
      </c>
    </row>
    <row r="57" spans="16:39" x14ac:dyDescent="0.15">
      <c r="P57" s="175" t="str">
        <f t="shared" si="7"/>
        <v>T4低满</v>
      </c>
      <c r="Q57" s="179">
        <v>10411</v>
      </c>
      <c r="R57" s="173">
        <f ca="1">(VLOOKUP(R$41,INDIRECT($C$5&amp;"生成成长"),2))/((VLOOKUP($Q57,INDIRECT($B$5&amp;"生成成长"),4))/(VLOOKUP(R$41,INDIRECT($C$5&amp;"生成成长"),5))*(VLOOKUP($B$5,标准坦克设计!$B$24:$U$30,MATCH("对"&amp;LEFT($C$5,2)&amp;"输出",标准坦克设计!$B$23:$U$23,0)))*(VLOOKUP($Q57,INDIRECT($B$5&amp;"生成成长"),3))*(VLOOKUP($B$5,标准坦克设计!$B$14:$K$20,9)/30))</f>
        <v>1.1308292223076799</v>
      </c>
      <c r="S57" s="173">
        <f ca="1">(VLOOKUP(S$41,INDIRECT($C$5&amp;"生成成长"),2))/((VLOOKUP($Q57,INDIRECT($B$5&amp;"生成成长"),4))/(VLOOKUP(S$41,INDIRECT($C$5&amp;"生成成长"),5))*(VLOOKUP($B$5,标准坦克设计!$B$24:$U$30,MATCH("对"&amp;LEFT($C$5,2)&amp;"输出",标准坦克设计!$B$23:$U$23,0)))*(VLOOKUP($Q57,INDIRECT($B$5&amp;"生成成长"),3))*(VLOOKUP($B$5,标准坦克设计!$B$14:$K$20,9)/30))</f>
        <v>1.5216438015372142</v>
      </c>
      <c r="T57" s="173">
        <f ca="1">(VLOOKUP(T$41,INDIRECT($C$5&amp;"生成成长"),2))/((VLOOKUP($Q57,INDIRECT($B$5&amp;"生成成长"),4))/(VLOOKUP(T$41,INDIRECT($C$5&amp;"生成成长"),5))*(VLOOKUP($B$5,标准坦克设计!$B$24:$U$30,MATCH("对"&amp;LEFT($C$5,2)&amp;"输出",标准坦克设计!$B$23:$U$23,0)))*(VLOOKUP($Q57,INDIRECT($B$5&amp;"生成成长"),3))*(VLOOKUP($B$5,标准坦克设计!$B$14:$K$20,9)/30))</f>
        <v>2.3124326766969752</v>
      </c>
      <c r="U57" s="173">
        <f ca="1">(VLOOKUP(U$41,INDIRECT($C$5&amp;"生成成长"),2))/((VLOOKUP($Q57,INDIRECT($B$5&amp;"生成成长"),4))/(VLOOKUP(U$41,INDIRECT($C$5&amp;"生成成长"),5))*(VLOOKUP($B$5,标准坦克设计!$B$24:$U$30,MATCH("对"&amp;LEFT($C$5,2)&amp;"输出",标准坦克设计!$B$23:$U$23,0)))*(VLOOKUP($Q57,INDIRECT($B$5&amp;"生成成长"),3))*(VLOOKUP($B$5,标准坦克设计!$B$14:$K$20,9)/30))</f>
        <v>3.7870339825861903</v>
      </c>
      <c r="V57" s="173">
        <f ca="1">(VLOOKUP(V$41,INDIRECT($C$5&amp;"生成成长"),2))/((VLOOKUP($Q57,INDIRECT($B$5&amp;"生成成长"),4))/(VLOOKUP(V$41,INDIRECT($C$5&amp;"生成成长"),5))*(VLOOKUP($B$5,标准坦克设计!$B$24:$U$30,MATCH("对"&amp;LEFT($C$5,2)&amp;"输出",标准坦克设计!$B$23:$U$23,0)))*(VLOOKUP($Q57,INDIRECT($B$5&amp;"生成成长"),3))*(VLOOKUP($B$5,标准坦克设计!$B$14:$K$20,9)/30))</f>
        <v>1.574566609141214</v>
      </c>
      <c r="W57" s="173">
        <f ca="1">(VLOOKUP(W$41,INDIRECT($C$5&amp;"生成成长"),2))/((VLOOKUP($Q57,INDIRECT($B$5&amp;"生成成长"),4))/(VLOOKUP(W$41,INDIRECT($C$5&amp;"生成成长"),5))*(VLOOKUP($B$5,标准坦克设计!$B$24:$U$30,MATCH("对"&amp;LEFT($C$5,2)&amp;"输出",标准坦克设计!$B$23:$U$23,0)))*(VLOOKUP($Q57,INDIRECT($B$5&amp;"生成成长"),3))*(VLOOKUP($B$5,标准坦克设计!$B$14:$K$20,9)/30))</f>
        <v>2.4104755702710512</v>
      </c>
      <c r="X57" s="173">
        <f ca="1">(VLOOKUP(X$41,INDIRECT($C$5&amp;"生成成长"),2))/((VLOOKUP($Q57,INDIRECT($B$5&amp;"生成成长"),4))/(VLOOKUP(X$41,INDIRECT($C$5&amp;"生成成长"),5))*(VLOOKUP($B$5,标准坦克设计!$B$24:$U$30,MATCH("对"&amp;LEFT($C$5,2)&amp;"输出",标准坦克设计!$B$23:$U$23,0)))*(VLOOKUP($Q57,INDIRECT($B$5&amp;"生成成长"),3))*(VLOOKUP($B$5,标准坦克设计!$B$14:$K$20,9)/30))</f>
        <v>3.9543967074877262</v>
      </c>
      <c r="Y57" s="173">
        <f ca="1">(VLOOKUP(Y$41,INDIRECT($C$5&amp;"生成成长"),2))/((VLOOKUP($Q57,INDIRECT($B$5&amp;"生成成长"),4))/(VLOOKUP(Y$41,INDIRECT($C$5&amp;"生成成长"),5))*(VLOOKUP($B$5,标准坦克设计!$B$24:$U$30,MATCH("对"&amp;LEFT($C$5,2)&amp;"输出",标准坦克设计!$B$23:$U$23,0)))*(VLOOKUP($Q57,INDIRECT($B$5&amp;"生成成长"),3))*(VLOOKUP($B$5,标准坦克设计!$B$14:$K$20,9)/30))</f>
        <v>6.6774334748046194</v>
      </c>
      <c r="Z57" s="173">
        <f ca="1">(VLOOKUP(Z$41,INDIRECT($C$5&amp;"生成成长"),2))/((VLOOKUP($Q57,INDIRECT($B$5&amp;"生成成长"),4))/(VLOOKUP(Z$41,INDIRECT($C$5&amp;"生成成长"),5))*(VLOOKUP($B$5,标准坦克设计!$B$24:$U$30,MATCH("对"&amp;LEFT($C$5,2)&amp;"输出",标准坦克设计!$B$23:$U$23,0)))*(VLOOKUP($Q57,INDIRECT($B$5&amp;"生成成长"),3))*(VLOOKUP($B$5,标准坦克设计!$B$14:$K$20,9)/30))</f>
        <v>2.5105539564452806</v>
      </c>
      <c r="AA57" s="173">
        <f ca="1">(VLOOKUP(AA$41,INDIRECT($C$5&amp;"生成成长"),2))/((VLOOKUP($Q57,INDIRECT($B$5&amp;"生成成长"),4))/(VLOOKUP(AA$41,INDIRECT($C$5&amp;"生成成长"),5))*(VLOOKUP($B$5,标准坦克设计!$B$24:$U$30,MATCH("对"&amp;LEFT($C$5,2)&amp;"输出",标准坦克设计!$B$23:$U$23,0)))*(VLOOKUP($Q57,INDIRECT($B$5&amp;"生成成长"),3))*(VLOOKUP($B$5,标准坦克设计!$B$14:$K$20,9)/30))</f>
        <v>4.1253780859006479</v>
      </c>
      <c r="AB57" s="173">
        <f ca="1">(VLOOKUP(AB$41,INDIRECT($C$5&amp;"生成成长"),2))/((VLOOKUP($Q57,INDIRECT($B$5&amp;"生成成长"),4))/(VLOOKUP(AB$41,INDIRECT($C$5&amp;"生成成长"),5))*(VLOOKUP($B$5,标准坦克设计!$B$24:$U$30,MATCH("对"&amp;LEFT($C$5,2)&amp;"输出",标准坦克设计!$B$23:$U$23,0)))*(VLOOKUP($Q57,INDIRECT($B$5&amp;"生成成长"),3))*(VLOOKUP($B$5,标准坦克设计!$B$14:$K$20,9)/30))</f>
        <v>6.9550520488811545</v>
      </c>
      <c r="AC57" s="173">
        <f ca="1">(VLOOKUP(AC$41,INDIRECT($C$5&amp;"生成成长"),2))/((VLOOKUP($Q57,INDIRECT($B$5&amp;"生成成长"),4))/(VLOOKUP(AC$41,INDIRECT($C$5&amp;"生成成长"),5))*(VLOOKUP($B$5,标准坦克设计!$B$24:$U$30,MATCH("对"&amp;LEFT($C$5,2)&amp;"输出",标准坦克设计!$B$23:$U$23,0)))*(VLOOKUP($Q57,INDIRECT($B$5&amp;"生成成长"),3))*(VLOOKUP($B$5,标准坦克设计!$B$14:$K$20,9)/30))</f>
        <v>1.7387630122202886</v>
      </c>
      <c r="AD57" s="173">
        <f ca="1">(VLOOKUP(AD$41,INDIRECT($C$5&amp;"生成成长"),2))/((VLOOKUP($Q57,INDIRECT($B$5&amp;"生成成长"),4))/(VLOOKUP(AD$41,INDIRECT($C$5&amp;"生成成长"),5))*(VLOOKUP($B$5,标准坦克设计!$B$24:$U$30,MATCH("对"&amp;LEFT($C$5,2)&amp;"输出",标准坦克设计!$B$23:$U$23,0)))*(VLOOKUP($Q57,INDIRECT($B$5&amp;"生成成长"),3))*(VLOOKUP($B$5,标准坦克设计!$B$14:$K$20,9)/30))</f>
        <v>3.0414782763187365</v>
      </c>
      <c r="AE57" s="173">
        <f ca="1">(VLOOKUP(AE$41,INDIRECT($C$5&amp;"生成成长"),2))/((VLOOKUP($Q57,INDIRECT($B$5&amp;"生成成长"),4))/(VLOOKUP(AE$41,INDIRECT($C$5&amp;"生成成长"),5))*(VLOOKUP($B$5,标准坦克设计!$B$24:$U$30,MATCH("对"&amp;LEFT($C$5,2)&amp;"输出",标准坦克设计!$B$23:$U$23,0)))*(VLOOKUP($Q57,INDIRECT($B$5&amp;"生成成长"),3))*(VLOOKUP($B$5,标准坦克设计!$B$14:$K$20,9)/30))</f>
        <v>5.2272580801172515</v>
      </c>
      <c r="AF57" s="173">
        <f ca="1">(VLOOKUP(AF$41,INDIRECT($C$5&amp;"生成成长"),2))/((VLOOKUP($Q57,INDIRECT($B$5&amp;"生成成长"),4))/(VLOOKUP(AF$41,INDIRECT($C$5&amp;"生成成长"),5))*(VLOOKUP($B$5,标准坦克设计!$B$24:$U$30,MATCH("对"&amp;LEFT($C$5,2)&amp;"输出",标准坦克设计!$B$23:$U$23,0)))*(VLOOKUP($Q57,INDIRECT($B$5&amp;"生成成长"),3))*(VLOOKUP($B$5,标准坦克设计!$B$14:$K$20,9)/30))</f>
        <v>9.0566981585399802</v>
      </c>
      <c r="AG57" s="173">
        <f ca="1">(VLOOKUP(AG$41,INDIRECT($C$5&amp;"生成成长"),2))/((VLOOKUP($Q57,INDIRECT($B$5&amp;"生成成长"),4))/(VLOOKUP(AG$41,INDIRECT($C$5&amp;"生成成长"),5))*(VLOOKUP($B$5,标准坦克设计!$B$24:$U$30,MATCH("对"&amp;LEFT($C$5,2)&amp;"输出",标准坦克设计!$B$23:$U$23,0)))*(VLOOKUP($Q57,INDIRECT($B$5&amp;"生成成长"),3))*(VLOOKUP($B$5,标准坦克设计!$B$14:$K$20,9)/30))</f>
        <v>4.9869568703768685</v>
      </c>
      <c r="AH57" s="173">
        <f ca="1">(VLOOKUP(AH$41,INDIRECT($C$5&amp;"生成成长"),2))/((VLOOKUP($Q57,INDIRECT($B$5&amp;"生成成长"),4))/(VLOOKUP(AH$41,INDIRECT($C$5&amp;"生成成长"),5))*(VLOOKUP($B$5,标准坦克设计!$B$24:$U$30,MATCH("对"&amp;LEFT($C$5,2)&amp;"输出",标准坦克设计!$B$23:$U$23,0)))*(VLOOKUP($Q57,INDIRECT($B$5&amp;"生成成长"),3))*(VLOOKUP($B$5,标准坦克设计!$B$14:$K$20,9)/30))</f>
        <v>8.676739539844597</v>
      </c>
      <c r="AI57" s="173">
        <f ca="1">(VLOOKUP(AI$41,INDIRECT($C$5&amp;"生成成长"),2))/((VLOOKUP($Q57,INDIRECT($B$5&amp;"生成成长"),4))/(VLOOKUP(AI$41,INDIRECT($C$5&amp;"生成成长"),5))*(VLOOKUP($B$5,标准坦克设计!$B$24:$U$30,MATCH("对"&amp;LEFT($C$5,2)&amp;"输出",标准坦克设计!$B$23:$U$23,0)))*(VLOOKUP($Q57,INDIRECT($B$5&amp;"生成成长"),3))*(VLOOKUP($B$5,标准坦克设计!$B$14:$K$20,9)/30))</f>
        <v>14.900823579426069</v>
      </c>
      <c r="AJ57" s="173">
        <f ca="1">(VLOOKUP(AJ$41,INDIRECT($C$5&amp;"生成成长"),2))/((VLOOKUP($Q57,INDIRECT($B$5&amp;"生成成长"),4))/(VLOOKUP(AJ$41,INDIRECT($C$5&amp;"生成成长"),5))*(VLOOKUP($B$5,标准坦克设计!$B$24:$U$30,MATCH("对"&amp;LEFT($C$5,2)&amp;"输出",标准坦克设计!$B$23:$U$23,0)))*(VLOOKUP($Q57,INDIRECT($B$5&amp;"生成成长"),3))*(VLOOKUP($B$5,标准坦克设计!$B$14:$K$20,9)/30))</f>
        <v>24.980017520776645</v>
      </c>
      <c r="AK57" s="173">
        <f ca="1">(VLOOKUP(AK$41,INDIRECT($C$5&amp;"生成成长"),2))/((VLOOKUP($Q57,INDIRECT($B$5&amp;"生成成长"),4))/(VLOOKUP(AK$41,INDIRECT($C$5&amp;"生成成长"),5))*(VLOOKUP($B$5,标准坦克设计!$B$24:$U$30,MATCH("对"&amp;LEFT($C$5,2)&amp;"输出",标准坦克设计!$B$23:$U$23,0)))*(VLOOKUP($Q57,INDIRECT($B$5&amp;"生成成长"),3))*(VLOOKUP($B$5,标准坦克设计!$B$14:$K$20,9)/30))</f>
        <v>9.1851603581941319</v>
      </c>
      <c r="AL57" s="173">
        <f ca="1">(VLOOKUP(AL$41,INDIRECT($C$5&amp;"生成成长"),2))/((VLOOKUP($Q57,INDIRECT($B$5&amp;"生成成长"),4))/(VLOOKUP(AL$41,INDIRECT($C$5&amp;"生成成长"),5))*(VLOOKUP($B$5,标准坦克设计!$B$24:$U$30,MATCH("对"&amp;LEFT($C$5,2)&amp;"输出",标准坦克设计!$B$23:$U$23,0)))*(VLOOKUP($Q57,INDIRECT($B$5&amp;"生成成长"),3))*(VLOOKUP($B$5,标准坦克设计!$B$14:$K$20,9)/30))</f>
        <v>15.733113887044526</v>
      </c>
      <c r="AM57" s="173">
        <f ca="1">(VLOOKUP(AM$41,INDIRECT($C$5&amp;"生成成长"),2))/((VLOOKUP($Q57,INDIRECT($B$5&amp;"生成成长"),4))/(VLOOKUP(AM$41,INDIRECT($C$5&amp;"生成成长"),5))*(VLOOKUP($B$5,标准坦克设计!$B$24:$U$30,MATCH("对"&amp;LEFT($C$5,2)&amp;"输出",标准坦克设计!$B$23:$U$23,0)))*(VLOOKUP($Q57,INDIRECT($B$5&amp;"生成成长"),3))*(VLOOKUP($B$5,标准坦克设计!$B$14:$K$20,9)/30))</f>
        <v>26.271876824340946</v>
      </c>
    </row>
    <row r="58" spans="16:39" x14ac:dyDescent="0.15">
      <c r="P58" s="175" t="str">
        <f t="shared" si="7"/>
        <v>T5低满</v>
      </c>
      <c r="Q58" s="179">
        <v>10513</v>
      </c>
      <c r="R58" s="173">
        <f ca="1">(VLOOKUP(R$41,INDIRECT($C$5&amp;"生成成长"),2))/((VLOOKUP($Q58,INDIRECT($B$5&amp;"生成成长"),4))/(VLOOKUP(R$41,INDIRECT($C$5&amp;"生成成长"),5))*(VLOOKUP($B$5,标准坦克设计!$B$24:$U$30,MATCH("对"&amp;LEFT($C$5,2)&amp;"输出",标准坦克设计!$B$23:$U$23,0)))*(VLOOKUP($Q58,INDIRECT($B$5&amp;"生成成长"),3))*(VLOOKUP($B$5,标准坦克设计!$B$14:$K$20,9)/30))</f>
        <v>0.66262551901378475</v>
      </c>
      <c r="S58" s="173">
        <f ca="1">(VLOOKUP(S$41,INDIRECT($C$5&amp;"生成成长"),2))/((VLOOKUP($Q58,INDIRECT($B$5&amp;"生成成长"),4))/(VLOOKUP(S$41,INDIRECT($C$5&amp;"生成成长"),5))*(VLOOKUP($B$5,标准坦克设计!$B$24:$U$30,MATCH("对"&amp;LEFT($C$5,2)&amp;"输出",标准坦克设计!$B$23:$U$23,0)))*(VLOOKUP($Q58,INDIRECT($B$5&amp;"生成成长"),3))*(VLOOKUP($B$5,标准坦克设计!$B$14:$K$20,9)/30))</f>
        <v>0.89162889838494885</v>
      </c>
      <c r="T58" s="173">
        <f ca="1">(VLOOKUP(T$41,INDIRECT($C$5&amp;"生成成长"),2))/((VLOOKUP($Q58,INDIRECT($B$5&amp;"生成成长"),4))/(VLOOKUP(T$41,INDIRECT($C$5&amp;"生成成长"),5))*(VLOOKUP($B$5,标准坦克设计!$B$24:$U$30,MATCH("对"&amp;LEFT($C$5,2)&amp;"输出",标准坦克设计!$B$23:$U$23,0)))*(VLOOKUP($Q58,INDIRECT($B$5&amp;"生成成长"),3))*(VLOOKUP($B$5,标准坦克设计!$B$14:$K$20,9)/30))</f>
        <v>1.3550029238312882</v>
      </c>
      <c r="U58" s="173">
        <f ca="1">(VLOOKUP(U$41,INDIRECT($C$5&amp;"生成成长"),2))/((VLOOKUP($Q58,INDIRECT($B$5&amp;"生成成长"),4))/(VLOOKUP(U$41,INDIRECT($C$5&amp;"生成成长"),5))*(VLOOKUP($B$5,标准坦克设计!$B$24:$U$30,MATCH("对"&amp;LEFT($C$5,2)&amp;"输出",标准坦克设计!$B$23:$U$23,0)))*(VLOOKUP($Q58,INDIRECT($B$5&amp;"生成成长"),3))*(VLOOKUP($B$5,标准坦克设计!$B$14:$K$20,9)/30))</f>
        <v>2.2190666006252635</v>
      </c>
      <c r="V58" s="173">
        <f ca="1">(VLOOKUP(V$41,INDIRECT($C$5&amp;"生成成长"),2))/((VLOOKUP($Q58,INDIRECT($B$5&amp;"生成成长"),4))/(VLOOKUP(V$41,INDIRECT($C$5&amp;"生成成长"),5))*(VLOOKUP($B$5,标准坦克设计!$B$24:$U$30,MATCH("对"&amp;LEFT($C$5,2)&amp;"输出",标准坦克设计!$B$23:$U$23,0)))*(VLOOKUP($Q58,INDIRECT($B$5&amp;"生成成长"),3))*(VLOOKUP($B$5,标准坦克设计!$B$14:$K$20,9)/30))</f>
        <v>0.9226397726747938</v>
      </c>
      <c r="W58" s="173">
        <f ca="1">(VLOOKUP(W$41,INDIRECT($C$5&amp;"生成成长"),2))/((VLOOKUP($Q58,INDIRECT($B$5&amp;"生成成长"),4))/(VLOOKUP(W$41,INDIRECT($C$5&amp;"生成成长"),5))*(VLOOKUP($B$5,标准坦克设计!$B$24:$U$30,MATCH("对"&amp;LEFT($C$5,2)&amp;"输出",标准坦克设计!$B$23:$U$23,0)))*(VLOOKUP($Q58,INDIRECT($B$5&amp;"生成成长"),3))*(VLOOKUP($B$5,标准坦克设计!$B$14:$K$20,9)/30))</f>
        <v>1.4124525563297836</v>
      </c>
      <c r="X58" s="173">
        <f ca="1">(VLOOKUP(X$41,INDIRECT($C$5&amp;"生成成长"),2))/((VLOOKUP($Q58,INDIRECT($B$5&amp;"生成成长"),4))/(VLOOKUP(X$41,INDIRECT($C$5&amp;"生成成长"),5))*(VLOOKUP($B$5,标准坦克设计!$B$24:$U$30,MATCH("对"&amp;LEFT($C$5,2)&amp;"输出",标准坦克设计!$B$23:$U$23,0)))*(VLOOKUP($Q58,INDIRECT($B$5&amp;"生成成长"),3))*(VLOOKUP($B$5,标准坦克设计!$B$14:$K$20,9)/30))</f>
        <v>2.3171351774393036</v>
      </c>
      <c r="Y58" s="173">
        <f ca="1">(VLOOKUP(Y$41,INDIRECT($C$5&amp;"生成成长"),2))/((VLOOKUP($Q58,INDIRECT($B$5&amp;"生成成长"),4))/(VLOOKUP(Y$41,INDIRECT($C$5&amp;"生成成长"),5))*(VLOOKUP($B$5,标准坦克设计!$B$24:$U$30,MATCH("对"&amp;LEFT($C$5,2)&amp;"输出",标准坦克设计!$B$23:$U$23,0)))*(VLOOKUP($Q58,INDIRECT($B$5&amp;"生成成长"),3))*(VLOOKUP($B$5,标准坦克设计!$B$14:$K$20,9)/30))</f>
        <v>3.9127374272244975</v>
      </c>
      <c r="Z58" s="173">
        <f ca="1">(VLOOKUP(Z$41,INDIRECT($C$5&amp;"生成成长"),2))/((VLOOKUP($Q58,INDIRECT($B$5&amp;"生成成长"),4))/(VLOOKUP(Z$41,INDIRECT($C$5&amp;"生成成长"),5))*(VLOOKUP($B$5,标准坦克设计!$B$24:$U$30,MATCH("对"&amp;LEFT($C$5,2)&amp;"输出",标准坦克设计!$B$23:$U$23,0)))*(VLOOKUP($Q58,INDIRECT($B$5&amp;"生成成长"),3))*(VLOOKUP($B$5,标准坦克设计!$B$14:$K$20,9)/30))</f>
        <v>1.4710949147625032</v>
      </c>
      <c r="AA58" s="173">
        <f ca="1">(VLOOKUP(AA$41,INDIRECT($C$5&amp;"生成成长"),2))/((VLOOKUP($Q58,INDIRECT($B$5&amp;"生成成长"),4))/(VLOOKUP(AA$41,INDIRECT($C$5&amp;"生成成长"),5))*(VLOOKUP($B$5,标准坦克设计!$B$24:$U$30,MATCH("对"&amp;LEFT($C$5,2)&amp;"输出",标准坦克设计!$B$23:$U$23,0)))*(VLOOKUP($Q58,INDIRECT($B$5&amp;"生成成长"),3))*(VLOOKUP($B$5,标准坦克设计!$B$14:$K$20,9)/30))</f>
        <v>2.417324155914188</v>
      </c>
      <c r="AB58" s="173">
        <f ca="1">(VLOOKUP(AB$41,INDIRECT($C$5&amp;"生成成长"),2))/((VLOOKUP($Q58,INDIRECT($B$5&amp;"生成成长"),4))/(VLOOKUP(AB$41,INDIRECT($C$5&amp;"生成成长"),5))*(VLOOKUP($B$5,标准坦克设计!$B$24:$U$30,MATCH("对"&amp;LEFT($C$5,2)&amp;"输出",标准坦克设计!$B$23:$U$23,0)))*(VLOOKUP($Q58,INDIRECT($B$5&amp;"生成成长"),3))*(VLOOKUP($B$5,标准坦克设计!$B$14:$K$20,9)/30))</f>
        <v>4.0754119921423815</v>
      </c>
      <c r="AC58" s="173">
        <f ca="1">(VLOOKUP(AC$41,INDIRECT($C$5&amp;"生成成长"),2))/((VLOOKUP($Q58,INDIRECT($B$5&amp;"生成成长"),4))/(VLOOKUP(AC$41,INDIRECT($C$5&amp;"生成成长"),5))*(VLOOKUP($B$5,标准坦克设计!$B$24:$U$30,MATCH("对"&amp;LEFT($C$5,2)&amp;"输出",标准坦克设计!$B$23:$U$23,0)))*(VLOOKUP($Q58,INDIRECT($B$5&amp;"生成成长"),3))*(VLOOKUP($B$5,标准坦克设计!$B$14:$K$20,9)/30))</f>
        <v>1.0188529980355954</v>
      </c>
      <c r="AD58" s="173">
        <f ca="1">(VLOOKUP(AD$41,INDIRECT($C$5&amp;"生成成长"),2))/((VLOOKUP($Q58,INDIRECT($B$5&amp;"生成成长"),4))/(VLOOKUP(AD$41,INDIRECT($C$5&amp;"生成成长"),5))*(VLOOKUP($B$5,标准坦克设计!$B$24:$U$30,MATCH("对"&amp;LEFT($C$5,2)&amp;"输出",标准坦克设计!$B$23:$U$23,0)))*(VLOOKUP($Q58,INDIRECT($B$5&amp;"生成成长"),3))*(VLOOKUP($B$5,标准坦克设计!$B$14:$K$20,9)/30))</f>
        <v>1.7821975959394754</v>
      </c>
      <c r="AE58" s="173">
        <f ca="1">(VLOOKUP(AE$41,INDIRECT($C$5&amp;"生成成长"),2))/((VLOOKUP($Q58,INDIRECT($B$5&amp;"生成成长"),4))/(VLOOKUP(AE$41,INDIRECT($C$5&amp;"生成成长"),5))*(VLOOKUP($B$5,标准坦克设计!$B$24:$U$30,MATCH("对"&amp;LEFT($C$5,2)&amp;"输出",标准坦克设计!$B$23:$U$23,0)))*(VLOOKUP($Q58,INDIRECT($B$5&amp;"生成成长"),3))*(VLOOKUP($B$5,标准坦克设计!$B$14:$K$20,9)/30))</f>
        <v>3.0629864616412199</v>
      </c>
      <c r="AF58" s="173">
        <f ca="1">(VLOOKUP(AF$41,INDIRECT($C$5&amp;"生成成长"),2))/((VLOOKUP($Q58,INDIRECT($B$5&amp;"生成成长"),4))/(VLOOKUP(AF$41,INDIRECT($C$5&amp;"生成成长"),5))*(VLOOKUP($B$5,标准坦克设计!$B$24:$U$30,MATCH("对"&amp;LEFT($C$5,2)&amp;"输出",标准坦克设计!$B$23:$U$23,0)))*(VLOOKUP($Q58,INDIRECT($B$5&amp;"生成成长"),3))*(VLOOKUP($B$5,标准坦克设计!$B$14:$K$20,9)/30))</f>
        <v>5.306901519229501</v>
      </c>
      <c r="AG58" s="173">
        <f ca="1">(VLOOKUP(AG$41,INDIRECT($C$5&amp;"生成成长"),2))/((VLOOKUP($Q58,INDIRECT($B$5&amp;"生成成长"),4))/(VLOOKUP(AG$41,INDIRECT($C$5&amp;"生成成长"),5))*(VLOOKUP($B$5,标准坦克设计!$B$24:$U$30,MATCH("对"&amp;LEFT($C$5,2)&amp;"输出",标准坦克设计!$B$23:$U$23,0)))*(VLOOKUP($Q58,INDIRECT($B$5&amp;"生成成长"),3))*(VLOOKUP($B$5,标准坦克设计!$B$14:$K$20,9)/30))</f>
        <v>2.9221785388507908</v>
      </c>
      <c r="AH58" s="173">
        <f ca="1">(VLOOKUP(AH$41,INDIRECT($C$5&amp;"生成成长"),2))/((VLOOKUP($Q58,INDIRECT($B$5&amp;"生成成长"),4))/(VLOOKUP(AH$41,INDIRECT($C$5&amp;"生成成长"),5))*(VLOOKUP($B$5,标准坦克设计!$B$24:$U$30,MATCH("对"&amp;LEFT($C$5,2)&amp;"输出",标准坦克设计!$B$23:$U$23,0)))*(VLOOKUP($Q58,INDIRECT($B$5&amp;"生成成长"),3))*(VLOOKUP($B$5,标准坦克设计!$B$14:$K$20,9)/30))</f>
        <v>5.0842593448408682</v>
      </c>
      <c r="AI58" s="173">
        <f ca="1">(VLOOKUP(AI$41,INDIRECT($C$5&amp;"生成成长"),2))/((VLOOKUP($Q58,INDIRECT($B$5&amp;"生成成长"),4))/(VLOOKUP(AI$41,INDIRECT($C$5&amp;"生成成长"),5))*(VLOOKUP($B$5,标准坦克设计!$B$24:$U$30,MATCH("对"&amp;LEFT($C$5,2)&amp;"输出",标准坦克设计!$B$23:$U$23,0)))*(VLOOKUP($Q58,INDIRECT($B$5&amp;"生成成长"),3))*(VLOOKUP($B$5,标准坦克设计!$B$14:$K$20,9)/30))</f>
        <v>8.731350201492738</v>
      </c>
      <c r="AJ58" s="173">
        <f ca="1">(VLOOKUP(AJ$41,INDIRECT($C$5&amp;"生成成长"),2))/((VLOOKUP($Q58,INDIRECT($B$5&amp;"生成成长"),4))/(VLOOKUP(AJ$41,INDIRECT($C$5&amp;"生成成长"),5))*(VLOOKUP($B$5,标准坦克设计!$B$24:$U$30,MATCH("对"&amp;LEFT($C$5,2)&amp;"输出",标准坦克设计!$B$23:$U$23,0)))*(VLOOKUP($Q58,INDIRECT($B$5&amp;"生成成长"),3))*(VLOOKUP($B$5,标准坦克设计!$B$14:$K$20,9)/30))</f>
        <v>14.637397715014504</v>
      </c>
      <c r="AK58" s="173">
        <f ca="1">(VLOOKUP(AK$41,INDIRECT($C$5&amp;"生成成长"),2))/((VLOOKUP($Q58,INDIRECT($B$5&amp;"生成成长"),4))/(VLOOKUP(AK$41,INDIRECT($C$5&amp;"生成成长"),5))*(VLOOKUP($B$5,标准坦克设计!$B$24:$U$30,MATCH("对"&amp;LEFT($C$5,2)&amp;"输出",标准坦克设计!$B$23:$U$23,0)))*(VLOOKUP($Q58,INDIRECT($B$5&amp;"生成成长"),3))*(VLOOKUP($B$5,标准坦克设计!$B$14:$K$20,9)/30))</f>
        <v>5.382175778189465</v>
      </c>
      <c r="AL58" s="173">
        <f ca="1">(VLOOKUP(AL$41,INDIRECT($C$5&amp;"生成成长"),2))/((VLOOKUP($Q58,INDIRECT($B$5&amp;"生成成长"),4))/(VLOOKUP(AL$41,INDIRECT($C$5&amp;"生成成长"),5))*(VLOOKUP($B$5,标准坦克设计!$B$24:$U$30,MATCH("对"&amp;LEFT($C$5,2)&amp;"输出",标准坦克设计!$B$23:$U$23,0)))*(VLOOKUP($Q58,INDIRECT($B$5&amp;"生成成长"),3))*(VLOOKUP($B$5,标准坦克设计!$B$14:$K$20,9)/30))</f>
        <v>9.2190425834868854</v>
      </c>
      <c r="AM58" s="173">
        <f ca="1">(VLOOKUP(AM$41,INDIRECT($C$5&amp;"生成成长"),2))/((VLOOKUP($Q58,INDIRECT($B$5&amp;"生成成长"),4))/(VLOOKUP(AM$41,INDIRECT($C$5&amp;"生成成长"),5))*(VLOOKUP($B$5,标准坦克设计!$B$24:$U$30,MATCH("对"&amp;LEFT($C$5,2)&amp;"输出",标准坦克设计!$B$23:$U$23,0)))*(VLOOKUP($Q58,INDIRECT($B$5&amp;"生成成长"),3))*(VLOOKUP($B$5,标准坦克设计!$B$14:$K$20,9)/30))</f>
        <v>15.39438110793585</v>
      </c>
    </row>
    <row r="59" spans="16:39" x14ac:dyDescent="0.15">
      <c r="P59" s="175" t="str">
        <f t="shared" si="7"/>
        <v>T2中满</v>
      </c>
      <c r="Q59" s="179">
        <v>20212</v>
      </c>
      <c r="R59" s="173">
        <f ca="1">(VLOOKUP(R$41,INDIRECT($C$5&amp;"生成成长"),2))/((VLOOKUP($Q59,INDIRECT($B$5&amp;"生成成长"),4))/(VLOOKUP(R$41,INDIRECT($C$5&amp;"生成成长"),5))*(VLOOKUP($B$5,标准坦克设计!$B$24:$U$30,MATCH("对"&amp;LEFT($C$5,2)&amp;"输出",标准坦克设计!$B$23:$U$23,0)))*(VLOOKUP($Q59,INDIRECT($B$5&amp;"生成成长"),3))*(VLOOKUP($B$5,标准坦克设计!$B$14:$K$20,9)/30))</f>
        <v>2.0623203706973081</v>
      </c>
      <c r="S59" s="173">
        <f ca="1">(VLOOKUP(S$41,INDIRECT($C$5&amp;"生成成长"),2))/((VLOOKUP($Q59,INDIRECT($B$5&amp;"生成成长"),4))/(VLOOKUP(S$41,INDIRECT($C$5&amp;"生成成长"),5))*(VLOOKUP($B$5,标准坦克设计!$B$24:$U$30,MATCH("对"&amp;LEFT($C$5,2)&amp;"输出",标准坦克设计!$B$23:$U$23,0)))*(VLOOKUP($Q59,INDIRECT($B$5&amp;"生成成长"),3))*(VLOOKUP($B$5,标准坦克设计!$B$14:$K$20,9)/30))</f>
        <v>2.7750582908102981</v>
      </c>
      <c r="T59" s="173">
        <f ca="1">(VLOOKUP(T$41,INDIRECT($C$5&amp;"生成成长"),2))/((VLOOKUP($Q59,INDIRECT($B$5&amp;"生成成长"),4))/(VLOOKUP(T$41,INDIRECT($C$5&amp;"生成成长"),5))*(VLOOKUP($B$5,标准坦克设计!$B$24:$U$30,MATCH("对"&amp;LEFT($C$5,2)&amp;"输出",标准坦克设计!$B$23:$U$23,0)))*(VLOOKUP($Q59,INDIRECT($B$5&amp;"生成成长"),3))*(VLOOKUP($B$5,标准坦克设计!$B$14:$K$20,9)/30))</f>
        <v>4.2172389260389256</v>
      </c>
      <c r="U59" s="173">
        <f ca="1">(VLOOKUP(U$41,INDIRECT($C$5&amp;"生成成长"),2))/((VLOOKUP($Q59,INDIRECT($B$5&amp;"生成成长"),4))/(VLOOKUP(U$41,INDIRECT($C$5&amp;"生成成长"),5))*(VLOOKUP($B$5,标准坦克设计!$B$24:$U$30,MATCH("对"&amp;LEFT($C$5,2)&amp;"输出",标准坦克设计!$B$23:$U$23,0)))*(VLOOKUP($Q59,INDIRECT($B$5&amp;"生成成长"),3))*(VLOOKUP($B$5,标准坦克设计!$B$14:$K$20,9)/30))</f>
        <v>6.9065046894282149</v>
      </c>
      <c r="V59" s="173">
        <f ca="1">(VLOOKUP(V$41,INDIRECT($C$5&amp;"生成成长"),2))/((VLOOKUP($Q59,INDIRECT($B$5&amp;"生成成长"),4))/(VLOOKUP(V$41,INDIRECT($C$5&amp;"生成成长"),5))*(VLOOKUP($B$5,标准坦克设计!$B$24:$U$30,MATCH("对"&amp;LEFT($C$5,2)&amp;"输出",标准坦克设计!$B$23:$U$23,0)))*(VLOOKUP($Q59,INDIRECT($B$5&amp;"生成成长"),3))*(VLOOKUP($B$5,标准坦克设计!$B$14:$K$20,9)/30))</f>
        <v>2.8715748841589326</v>
      </c>
      <c r="W59" s="173">
        <f ca="1">(VLOOKUP(W$41,INDIRECT($C$5&amp;"生成成长"),2))/((VLOOKUP($Q59,INDIRECT($B$5&amp;"生成成长"),4))/(VLOOKUP(W$41,INDIRECT($C$5&amp;"生成成长"),5))*(VLOOKUP($B$5,标准坦克设计!$B$24:$U$30,MATCH("对"&amp;LEFT($C$5,2)&amp;"输出",标准坦克设计!$B$23:$U$23,0)))*(VLOOKUP($Q59,INDIRECT($B$5&amp;"生成成长"),3))*(VLOOKUP($B$5,标准坦克设计!$B$14:$K$20,9)/30))</f>
        <v>4.3960421021783826</v>
      </c>
      <c r="X59" s="173">
        <f ca="1">(VLOOKUP(X$41,INDIRECT($C$5&amp;"生成成长"),2))/((VLOOKUP($Q59,INDIRECT($B$5&amp;"生成成长"),4))/(VLOOKUP(X$41,INDIRECT($C$5&amp;"生成成长"),5))*(VLOOKUP($B$5,标准坦克设计!$B$24:$U$30,MATCH("对"&amp;LEFT($C$5,2)&amp;"输出",标准坦克设计!$B$23:$U$23,0)))*(VLOOKUP($Q59,INDIRECT($B$5&amp;"生成成长"),3))*(VLOOKUP($B$5,标准坦克设计!$B$14:$K$20,9)/30))</f>
        <v>7.2117281042914172</v>
      </c>
      <c r="Y59" s="173">
        <f ca="1">(VLOOKUP(Y$41,INDIRECT($C$5&amp;"生成成长"),2))/((VLOOKUP($Q59,INDIRECT($B$5&amp;"生成成长"),4))/(VLOOKUP(Y$41,INDIRECT($C$5&amp;"生成成长"),5))*(VLOOKUP($B$5,标准坦克设计!$B$24:$U$30,MATCH("对"&amp;LEFT($C$5,2)&amp;"输出",标准坦克设计!$B$23:$U$23,0)))*(VLOOKUP($Q59,INDIRECT($B$5&amp;"生成成长"),3))*(VLOOKUP($B$5,标准坦克设计!$B$14:$K$20,9)/30))</f>
        <v>12.177795556930537</v>
      </c>
      <c r="Z59" s="173">
        <f ca="1">(VLOOKUP(Z$41,INDIRECT($C$5&amp;"生成成长"),2))/((VLOOKUP($Q59,INDIRECT($B$5&amp;"生成成长"),4))/(VLOOKUP(Z$41,INDIRECT($C$5&amp;"生成成长"),5))*(VLOOKUP($B$5,标准坦克设计!$B$24:$U$30,MATCH("对"&amp;LEFT($C$5,2)&amp;"输出",标准坦克设计!$B$23:$U$23,0)))*(VLOOKUP($Q59,INDIRECT($B$5&amp;"生成成长"),3))*(VLOOKUP($B$5,标准坦克设计!$B$14:$K$20,9)/30))</f>
        <v>4.578557454985094</v>
      </c>
      <c r="AA59" s="173">
        <f ca="1">(VLOOKUP(AA$41,INDIRECT($C$5&amp;"生成成长"),2))/((VLOOKUP($Q59,INDIRECT($B$5&amp;"生成成长"),4))/(VLOOKUP(AA$41,INDIRECT($C$5&amp;"生成成长"),5))*(VLOOKUP($B$5,标准坦克设计!$B$24:$U$30,MATCH("对"&amp;LEFT($C$5,2)&amp;"输出",标准坦克设计!$B$23:$U$23,0)))*(VLOOKUP($Q59,INDIRECT($B$5&amp;"生成成长"),3))*(VLOOKUP($B$5,标准坦克设计!$B$14:$K$20,9)/30))</f>
        <v>7.523550944340851</v>
      </c>
      <c r="AB59" s="173">
        <f ca="1">(VLOOKUP(AB$41,INDIRECT($C$5&amp;"生成成长"),2))/((VLOOKUP($Q59,INDIRECT($B$5&amp;"生成成长"),4))/(VLOOKUP(AB$41,INDIRECT($C$5&amp;"生成成长"),5))*(VLOOKUP($B$5,标准坦克设计!$B$24:$U$30,MATCH("对"&amp;LEFT($C$5,2)&amp;"输出",标准坦克设计!$B$23:$U$23,0)))*(VLOOKUP($Q59,INDIRECT($B$5&amp;"生成成长"),3))*(VLOOKUP($B$5,标准坦克设计!$B$14:$K$20,9)/30))</f>
        <v>12.684095207936725</v>
      </c>
      <c r="AC59" s="173">
        <f ca="1">(VLOOKUP(AC$41,INDIRECT($C$5&amp;"生成成长"),2))/((VLOOKUP($Q59,INDIRECT($B$5&amp;"生成成长"),4))/(VLOOKUP(AC$41,INDIRECT($C$5&amp;"生成成长"),5))*(VLOOKUP($B$5,标准坦克设计!$B$24:$U$30,MATCH("对"&amp;LEFT($C$5,2)&amp;"输出",标准坦克设计!$B$23:$U$23,0)))*(VLOOKUP($Q59,INDIRECT($B$5&amp;"生成成长"),3))*(VLOOKUP($B$5,标准坦克设计!$B$14:$K$20,9)/30))</f>
        <v>3.1710238019841812</v>
      </c>
      <c r="AD59" s="173">
        <f ca="1">(VLOOKUP(AD$41,INDIRECT($C$5&amp;"生成成长"),2))/((VLOOKUP($Q59,INDIRECT($B$5&amp;"生成成长"),4))/(VLOOKUP(AD$41,INDIRECT($C$5&amp;"生成成长"),5))*(VLOOKUP($B$5,标准坦克设计!$B$24:$U$30,MATCH("对"&amp;LEFT($C$5,2)&amp;"输出",标准坦克设计!$B$23:$U$23,0)))*(VLOOKUP($Q59,INDIRECT($B$5&amp;"生成成长"),3))*(VLOOKUP($B$5,标准坦克设计!$B$14:$K$20,9)/30))</f>
        <v>5.5468168690274799</v>
      </c>
      <c r="AE59" s="173">
        <f ca="1">(VLOOKUP(AE$41,INDIRECT($C$5&amp;"生成成长"),2))/((VLOOKUP($Q59,INDIRECT($B$5&amp;"生成成长"),4))/(VLOOKUP(AE$41,INDIRECT($C$5&amp;"生成成长"),5))*(VLOOKUP($B$5,标准坦克设计!$B$24:$U$30,MATCH("对"&amp;LEFT($C$5,2)&amp;"输出",标准坦克设计!$B$23:$U$23,0)))*(VLOOKUP($Q59,INDIRECT($B$5&amp;"生成成长"),3))*(VLOOKUP($B$5,标准坦克设计!$B$14:$K$20,9)/30))</f>
        <v>9.5330759135483092</v>
      </c>
      <c r="AF59" s="173">
        <f ca="1">(VLOOKUP(AF$41,INDIRECT($C$5&amp;"生成成长"),2))/((VLOOKUP($Q59,INDIRECT($B$5&amp;"生成成长"),4))/(VLOOKUP(AF$41,INDIRECT($C$5&amp;"生成成长"),5))*(VLOOKUP($B$5,标准坦克设计!$B$24:$U$30,MATCH("对"&amp;LEFT($C$5,2)&amp;"输出",标准坦克设计!$B$23:$U$23,0)))*(VLOOKUP($Q59,INDIRECT($B$5&amp;"生成成长"),3))*(VLOOKUP($B$5,标准坦克设计!$B$14:$K$20,9)/30))</f>
        <v>16.516917616877674</v>
      </c>
      <c r="AG59" s="173">
        <f ca="1">(VLOOKUP(AG$41,INDIRECT($C$5&amp;"生成成长"),2))/((VLOOKUP($Q59,INDIRECT($B$5&amp;"生成成长"),4))/(VLOOKUP(AG$41,INDIRECT($C$5&amp;"生成成长"),5))*(VLOOKUP($B$5,标准坦克设计!$B$24:$U$30,MATCH("对"&amp;LEFT($C$5,2)&amp;"输出",标准坦克设计!$B$23:$U$23,0)))*(VLOOKUP($Q59,INDIRECT($B$5&amp;"生成成长"),3))*(VLOOKUP($B$5,标准坦克设计!$B$14:$K$20,9)/30))</f>
        <v>9.0948328347751293</v>
      </c>
      <c r="AH59" s="173">
        <f ca="1">(VLOOKUP(AH$41,INDIRECT($C$5&amp;"生成成长"),2))/((VLOOKUP($Q59,INDIRECT($B$5&amp;"生成成长"),4))/(VLOOKUP(AH$41,INDIRECT($C$5&amp;"生成成长"),5))*(VLOOKUP($B$5,标准坦克设计!$B$24:$U$30,MATCH("对"&amp;LEFT($C$5,2)&amp;"输出",标准坦克设计!$B$23:$U$23,0)))*(VLOOKUP($Q59,INDIRECT($B$5&amp;"生成成长"),3))*(VLOOKUP($B$5,标准坦克设计!$B$14:$K$20,9)/30))</f>
        <v>15.823977972323377</v>
      </c>
      <c r="AI59" s="173">
        <f ca="1">(VLOOKUP(AI$41,INDIRECT($C$5&amp;"生成成长"),2))/((VLOOKUP($Q59,INDIRECT($B$5&amp;"生成成长"),4))/(VLOOKUP(AI$41,INDIRECT($C$5&amp;"生成成长"),5))*(VLOOKUP($B$5,标准坦克设计!$B$24:$U$30,MATCH("对"&amp;LEFT($C$5,2)&amp;"输出",标准坦克设计!$B$23:$U$23,0)))*(VLOOKUP($Q59,INDIRECT($B$5&amp;"生成成长"),3))*(VLOOKUP($B$5,标准坦克设计!$B$14:$K$20,9)/30))</f>
        <v>27.174989292641364</v>
      </c>
      <c r="AJ59" s="173">
        <f ca="1">(VLOOKUP(AJ$41,INDIRECT($C$5&amp;"生成成长"),2))/((VLOOKUP($Q59,INDIRECT($B$5&amp;"生成成长"),4))/(VLOOKUP(AJ$41,INDIRECT($C$5&amp;"生成成长"),5))*(VLOOKUP($B$5,标准坦克设计!$B$24:$U$30,MATCH("对"&amp;LEFT($C$5,2)&amp;"输出",标准坦克设计!$B$23:$U$23,0)))*(VLOOKUP($Q59,INDIRECT($B$5&amp;"生成成长"),3))*(VLOOKUP($B$5,标准坦克设计!$B$14:$K$20,9)/30))</f>
        <v>45.556656988703537</v>
      </c>
      <c r="AK59" s="173">
        <f ca="1">(VLOOKUP(AK$41,INDIRECT($C$5&amp;"生成成长"),2))/((VLOOKUP($Q59,INDIRECT($B$5&amp;"生成成长"),4))/(VLOOKUP(AK$41,INDIRECT($C$5&amp;"生成成长"),5))*(VLOOKUP($B$5,标准坦克设计!$B$24:$U$30,MATCH("对"&amp;LEFT($C$5,2)&amp;"输出",标准坦克设计!$B$23:$U$23,0)))*(VLOOKUP($Q59,INDIRECT($B$5&amp;"生成成长"),3))*(VLOOKUP($B$5,标准坦克设计!$B$14:$K$20,9)/30))</f>
        <v>16.751197210988884</v>
      </c>
      <c r="AL59" s="173">
        <f ca="1">(VLOOKUP(AL$41,INDIRECT($C$5&amp;"生成成长"),2))/((VLOOKUP($Q59,INDIRECT($B$5&amp;"生成成长"),4))/(VLOOKUP(AL$41,INDIRECT($C$5&amp;"生成成长"),5))*(VLOOKUP($B$5,标准坦克设计!$B$24:$U$30,MATCH("对"&amp;LEFT($C$5,2)&amp;"输出",标准坦克设计!$B$23:$U$23,0)))*(VLOOKUP($Q59,INDIRECT($B$5&amp;"生成成长"),3))*(VLOOKUP($B$5,标准坦克设计!$B$14:$K$20,9)/30))</f>
        <v>28.692857085474575</v>
      </c>
      <c r="AM59" s="173">
        <f ca="1">(VLOOKUP(AM$41,INDIRECT($C$5&amp;"生成成长"),2))/((VLOOKUP($Q59,INDIRECT($B$5&amp;"生成成长"),4))/(VLOOKUP(AM$41,INDIRECT($C$5&amp;"生成成长"),5))*(VLOOKUP($B$5,标准坦克设计!$B$24:$U$30,MATCH("对"&amp;LEFT($C$5,2)&amp;"输出",标准坦克设计!$B$23:$U$23,0)))*(VLOOKUP($Q59,INDIRECT($B$5&amp;"生成成长"),3))*(VLOOKUP($B$5,标准坦克设计!$B$14:$K$20,9)/30))</f>
        <v>47.912651780188142</v>
      </c>
    </row>
    <row r="60" spans="16:39" x14ac:dyDescent="0.15">
      <c r="P60" s="175" t="str">
        <f t="shared" si="7"/>
        <v>T3中满</v>
      </c>
      <c r="Q60" s="179">
        <v>20315</v>
      </c>
      <c r="R60" s="173">
        <f ca="1">(VLOOKUP(R$41,INDIRECT($C$5&amp;"生成成长"),2))/((VLOOKUP($Q60,INDIRECT($B$5&amp;"生成成长"),4))/(VLOOKUP(R$41,INDIRECT($C$5&amp;"生成成长"),5))*(VLOOKUP($B$5,标准坦克设计!$B$24:$U$30,MATCH("对"&amp;LEFT($C$5,2)&amp;"输出",标准坦克设计!$B$23:$U$23,0)))*(VLOOKUP($Q60,INDIRECT($B$5&amp;"生成成长"),3))*(VLOOKUP($B$5,标准坦克设计!$B$14:$K$20,9)/30))</f>
        <v>1.1814622637560581</v>
      </c>
      <c r="S60" s="173">
        <f ca="1">(VLOOKUP(S$41,INDIRECT($C$5&amp;"生成成长"),2))/((VLOOKUP($Q60,INDIRECT($B$5&amp;"生成成长"),4))/(VLOOKUP(S$41,INDIRECT($C$5&amp;"生成成长"),5))*(VLOOKUP($B$5,标准坦克设计!$B$24:$U$30,MATCH("对"&amp;LEFT($C$5,2)&amp;"输出",标准坦克设计!$B$23:$U$23,0)))*(VLOOKUP($Q60,INDIRECT($B$5&amp;"生成成长"),3))*(VLOOKUP($B$5,标准坦克设计!$B$14:$K$20,9)/30))</f>
        <v>1.5897756221101518</v>
      </c>
      <c r="T60" s="173">
        <f ca="1">(VLOOKUP(T$41,INDIRECT($C$5&amp;"生成成长"),2))/((VLOOKUP($Q60,INDIRECT($B$5&amp;"生成成长"),4))/(VLOOKUP(T$41,INDIRECT($C$5&amp;"生成成长"),5))*(VLOOKUP($B$5,标准坦克设计!$B$24:$U$30,MATCH("对"&amp;LEFT($C$5,2)&amp;"输出",标准坦克设计!$B$23:$U$23,0)))*(VLOOKUP($Q60,INDIRECT($B$5&amp;"生成成长"),3))*(VLOOKUP($B$5,标准坦克设计!$B$14:$K$20,9)/30))</f>
        <v>2.4159721831547629</v>
      </c>
      <c r="U60" s="173">
        <f ca="1">(VLOOKUP(U$41,INDIRECT($C$5&amp;"生成成长"),2))/((VLOOKUP($Q60,INDIRECT($B$5&amp;"生成成长"),4))/(VLOOKUP(U$41,INDIRECT($C$5&amp;"生成成长"),5))*(VLOOKUP($B$5,标准坦克设计!$B$24:$U$30,MATCH("对"&amp;LEFT($C$5,2)&amp;"输出",标准坦克设计!$B$23:$U$23,0)))*(VLOOKUP($Q60,INDIRECT($B$5&amp;"生成成长"),3))*(VLOOKUP($B$5,标准坦克设计!$B$14:$K$20,9)/30))</f>
        <v>3.9565989750926631</v>
      </c>
      <c r="V60" s="173">
        <f ca="1">(VLOOKUP(V$41,INDIRECT($C$5&amp;"生成成长"),2))/((VLOOKUP($Q60,INDIRECT($B$5&amp;"生成成长"),4))/(VLOOKUP(V$41,INDIRECT($C$5&amp;"生成成长"),5))*(VLOOKUP($B$5,标准坦克设计!$B$24:$U$30,MATCH("对"&amp;LEFT($C$5,2)&amp;"输出",标准坦克设计!$B$23:$U$23,0)))*(VLOOKUP($Q60,INDIRECT($B$5&amp;"生成成长"),3))*(VLOOKUP($B$5,标准坦克设计!$B$14:$K$20,9)/30))</f>
        <v>1.6450680560539352</v>
      </c>
      <c r="W60" s="173">
        <f ca="1">(VLOOKUP(W$41,INDIRECT($C$5&amp;"生成成长"),2))/((VLOOKUP($Q60,INDIRECT($B$5&amp;"生成成长"),4))/(VLOOKUP(W$41,INDIRECT($C$5&amp;"生成成长"),5))*(VLOOKUP($B$5,标准坦克设计!$B$24:$U$30,MATCH("对"&amp;LEFT($C$5,2)&amp;"输出",标准坦克设计!$B$23:$U$23,0)))*(VLOOKUP($Q60,INDIRECT($B$5&amp;"生成成长"),3))*(VLOOKUP($B$5,标准坦克设计!$B$14:$K$20,9)/30))</f>
        <v>2.5184049614224131</v>
      </c>
      <c r="X60" s="173">
        <f ca="1">(VLOOKUP(X$41,INDIRECT($C$5&amp;"生成成长"),2))/((VLOOKUP($Q60,INDIRECT($B$5&amp;"生成成长"),4))/(VLOOKUP(X$41,INDIRECT($C$5&amp;"生成成长"),5))*(VLOOKUP($B$5,标准坦克设计!$B$24:$U$30,MATCH("对"&amp;LEFT($C$5,2)&amp;"输出",标准坦克设计!$B$23:$U$23,0)))*(VLOOKUP($Q60,INDIRECT($B$5&amp;"生成成长"),3))*(VLOOKUP($B$5,标准坦克设计!$B$14:$K$20,9)/30))</f>
        <v>4.1314553901285596</v>
      </c>
      <c r="Y60" s="173">
        <f ca="1">(VLOOKUP(Y$41,INDIRECT($C$5&amp;"生成成长"),2))/((VLOOKUP($Q60,INDIRECT($B$5&amp;"生成成长"),4))/(VLOOKUP(Y$41,INDIRECT($C$5&amp;"生成成长"),5))*(VLOOKUP($B$5,标准坦克设计!$B$24:$U$30,MATCH("对"&amp;LEFT($C$5,2)&amp;"输出",标准坦克设计!$B$23:$U$23,0)))*(VLOOKUP($Q60,INDIRECT($B$5&amp;"生成成长"),3))*(VLOOKUP($B$5,标准坦克设计!$B$14:$K$20,9)/30))</f>
        <v>6.9764165212531477</v>
      </c>
      <c r="Z60" s="173">
        <f ca="1">(VLOOKUP(Z$41,INDIRECT($C$5&amp;"生成成长"),2))/((VLOOKUP($Q60,INDIRECT($B$5&amp;"生成成长"),4))/(VLOOKUP(Z$41,INDIRECT($C$5&amp;"生成成长"),5))*(VLOOKUP($B$5,标准坦克设计!$B$24:$U$30,MATCH("对"&amp;LEFT($C$5,2)&amp;"输出",标准坦克设计!$B$23:$U$23,0)))*(VLOOKUP($Q60,INDIRECT($B$5&amp;"生成成长"),3))*(VLOOKUP($B$5,标准坦克设计!$B$14:$K$20,9)/30))</f>
        <v>2.6229643717648239</v>
      </c>
      <c r="AA60" s="173">
        <f ca="1">(VLOOKUP(AA$41,INDIRECT($C$5&amp;"生成成长"),2))/((VLOOKUP($Q60,INDIRECT($B$5&amp;"生成成长"),4))/(VLOOKUP(AA$41,INDIRECT($C$5&amp;"生成成长"),5))*(VLOOKUP($B$5,标准坦克设计!$B$24:$U$30,MATCH("对"&amp;LEFT($C$5,2)&amp;"输出",标准坦克设计!$B$23:$U$23,0)))*(VLOOKUP($Q60,INDIRECT($B$5&amp;"生成成长"),3))*(VLOOKUP($B$5,标准坦克设计!$B$14:$K$20,9)/30))</f>
        <v>4.3100924844084751</v>
      </c>
      <c r="AB60" s="173">
        <f ca="1">(VLOOKUP(AB$41,INDIRECT($C$5&amp;"生成成长"),2))/((VLOOKUP($Q60,INDIRECT($B$5&amp;"生成成长"),4))/(VLOOKUP(AB$41,INDIRECT($C$5&amp;"生成成长"),5))*(VLOOKUP($B$5,标准坦克设计!$B$24:$U$30,MATCH("对"&amp;LEFT($C$5,2)&amp;"输出",标准坦克设计!$B$23:$U$23,0)))*(VLOOKUP($Q60,INDIRECT($B$5&amp;"生成成长"),3))*(VLOOKUP($B$5,标准坦克设计!$B$14:$K$20,9)/30))</f>
        <v>7.2664655070052593</v>
      </c>
      <c r="AC60" s="173">
        <f ca="1">(VLOOKUP(AC$41,INDIRECT($C$5&amp;"生成成长"),2))/((VLOOKUP($Q60,INDIRECT($B$5&amp;"生成成长"),4))/(VLOOKUP(AC$41,INDIRECT($C$5&amp;"生成成长"),5))*(VLOOKUP($B$5,标准坦克设计!$B$24:$U$30,MATCH("对"&amp;LEFT($C$5,2)&amp;"输出",标准坦克设计!$B$23:$U$23,0)))*(VLOOKUP($Q60,INDIRECT($B$5&amp;"生成成长"),3))*(VLOOKUP($B$5,标准坦克设计!$B$14:$K$20,9)/30))</f>
        <v>1.8166163767513148</v>
      </c>
      <c r="AD60" s="173">
        <f ca="1">(VLOOKUP(AD$41,INDIRECT($C$5&amp;"生成成长"),2))/((VLOOKUP($Q60,INDIRECT($B$5&amp;"生成成长"),4))/(VLOOKUP(AD$41,INDIRECT($C$5&amp;"生成成长"),5))*(VLOOKUP($B$5,标准坦克设计!$B$24:$U$30,MATCH("对"&amp;LEFT($C$5,2)&amp;"输出",标准坦克设计!$B$23:$U$23,0)))*(VLOOKUP($Q60,INDIRECT($B$5&amp;"生成成长"),3))*(VLOOKUP($B$5,标准坦克设计!$B$14:$K$20,9)/30))</f>
        <v>3.1776609045982935</v>
      </c>
      <c r="AE60" s="173">
        <f ca="1">(VLOOKUP(AE$41,INDIRECT($C$5&amp;"生成成长"),2))/((VLOOKUP($Q60,INDIRECT($B$5&amp;"生成成长"),4))/(VLOOKUP(AE$41,INDIRECT($C$5&amp;"生成成长"),5))*(VLOOKUP($B$5,标准坦克设计!$B$24:$U$30,MATCH("对"&amp;LEFT($C$5,2)&amp;"输出",标准坦克设计!$B$23:$U$23,0)))*(VLOOKUP($Q60,INDIRECT($B$5&amp;"生成成长"),3))*(VLOOKUP($B$5,标准坦克设计!$B$14:$K$20,9)/30))</f>
        <v>5.4613093142123779</v>
      </c>
      <c r="AF60" s="173">
        <f ca="1">(VLOOKUP(AF$41,INDIRECT($C$5&amp;"生成成长"),2))/((VLOOKUP($Q60,INDIRECT($B$5&amp;"生成成长"),4))/(VLOOKUP(AF$41,INDIRECT($C$5&amp;"生成成长"),5))*(VLOOKUP($B$5,标准坦克设计!$B$24:$U$30,MATCH("对"&amp;LEFT($C$5,2)&amp;"输出",标准坦克设计!$B$23:$U$23,0)))*(VLOOKUP($Q60,INDIRECT($B$5&amp;"生成成长"),3))*(VLOOKUP($B$5,标准坦克设计!$B$14:$K$20,9)/30))</f>
        <v>9.4622131241958947</v>
      </c>
      <c r="AG60" s="173">
        <f ca="1">(VLOOKUP(AG$41,INDIRECT($C$5&amp;"生成成长"),2))/((VLOOKUP($Q60,INDIRECT($B$5&amp;"生成成长"),4))/(VLOOKUP(AG$41,INDIRECT($C$5&amp;"生成成长"),5))*(VLOOKUP($B$5,标准坦克设计!$B$24:$U$30,MATCH("对"&amp;LEFT($C$5,2)&amp;"输出",标准坦克设计!$B$23:$U$23,0)))*(VLOOKUP($Q60,INDIRECT($B$5&amp;"生成成长"),3))*(VLOOKUP($B$5,标准坦克设计!$B$14:$K$20,9)/30))</f>
        <v>5.2102485831642156</v>
      </c>
      <c r="AH60" s="173">
        <f ca="1">(VLOOKUP(AH$41,INDIRECT($C$5&amp;"生成成长"),2))/((VLOOKUP($Q60,INDIRECT($B$5&amp;"生成成长"),4))/(VLOOKUP(AH$41,INDIRECT($C$5&amp;"生成成长"),5))*(VLOOKUP($B$5,标准坦克设计!$B$24:$U$30,MATCH("对"&amp;LEFT($C$5,2)&amp;"输出",标准坦克设计!$B$23:$U$23,0)))*(VLOOKUP($Q60,INDIRECT($B$5&amp;"生成成长"),3))*(VLOOKUP($B$5,标准坦克设计!$B$14:$K$20,9)/30))</f>
        <v>9.0652418035738567</v>
      </c>
      <c r="AI60" s="173">
        <f ca="1">(VLOOKUP(AI$41,INDIRECT($C$5&amp;"生成成长"),2))/((VLOOKUP($Q60,INDIRECT($B$5&amp;"生成成长"),4))/(VLOOKUP(AI$41,INDIRECT($C$5&amp;"生成成长"),5))*(VLOOKUP($B$5,标准坦克设计!$B$24:$U$30,MATCH("对"&amp;LEFT($C$5,2)&amp;"输出",标准坦克设计!$B$23:$U$23,0)))*(VLOOKUP($Q60,INDIRECT($B$5&amp;"生成成长"),3))*(VLOOKUP($B$5,标准坦克设计!$B$14:$K$20,9)/30))</f>
        <v>15.5680101032872</v>
      </c>
      <c r="AJ60" s="173">
        <f ca="1">(VLOOKUP(AJ$41,INDIRECT($C$5&amp;"生成成长"),2))/((VLOOKUP($Q60,INDIRECT($B$5&amp;"生成成长"),4))/(VLOOKUP(AJ$41,INDIRECT($C$5&amp;"生成成长"),5))*(VLOOKUP($B$5,标准坦克设计!$B$24:$U$30,MATCH("对"&amp;LEFT($C$5,2)&amp;"输出",标准坦克设计!$B$23:$U$23,0)))*(VLOOKUP($Q60,INDIRECT($B$5&amp;"生成成长"),3))*(VLOOKUP($B$5,标准坦克设计!$B$14:$K$20,9)/30))</f>
        <v>26.098501406371316</v>
      </c>
      <c r="AK60" s="173">
        <f ca="1">(VLOOKUP(AK$41,INDIRECT($C$5&amp;"生成成长"),2))/((VLOOKUP($Q60,INDIRECT($B$5&amp;"生成成长"),4))/(VLOOKUP(AK$41,INDIRECT($C$5&amp;"生成成长"),5))*(VLOOKUP($B$5,标准坦克设计!$B$24:$U$30,MATCH("对"&amp;LEFT($C$5,2)&amp;"输出",标准坦克设计!$B$23:$U$23,0)))*(VLOOKUP($Q60,INDIRECT($B$5&amp;"生成成长"),3))*(VLOOKUP($B$5,标准坦克设计!$B$14:$K$20,9)/30))</f>
        <v>9.5964272373585811</v>
      </c>
      <c r="AL60" s="173">
        <f ca="1">(VLOOKUP(AL$41,INDIRECT($C$5&amp;"生成成长"),2))/((VLOOKUP($Q60,INDIRECT($B$5&amp;"生成成长"),4))/(VLOOKUP(AL$41,INDIRECT($C$5&amp;"生成成长"),5))*(VLOOKUP($B$5,标准坦克设计!$B$24:$U$30,MATCH("对"&amp;LEFT($C$5,2)&amp;"输出",标准坦克设计!$B$23:$U$23,0)))*(VLOOKUP($Q60,INDIRECT($B$5&amp;"生成成长"),3))*(VLOOKUP($B$5,标准坦克设计!$B$14:$K$20,9)/30))</f>
        <v>16.437566329411659</v>
      </c>
      <c r="AM60" s="173">
        <f ca="1">(VLOOKUP(AM$41,INDIRECT($C$5&amp;"生成成长"),2))/((VLOOKUP($Q60,INDIRECT($B$5&amp;"生成成长"),4))/(VLOOKUP(AM$41,INDIRECT($C$5&amp;"生成成长"),5))*(VLOOKUP($B$5,标准坦克设计!$B$24:$U$30,MATCH("对"&amp;LEFT($C$5,2)&amp;"输出",标准坦克设计!$B$23:$U$23,0)))*(VLOOKUP($Q60,INDIRECT($B$5&amp;"生成成长"),3))*(VLOOKUP($B$5,标准坦克设计!$B$14:$K$20,9)/30))</f>
        <v>27.448203896486241</v>
      </c>
    </row>
    <row r="61" spans="16:39" x14ac:dyDescent="0.15">
      <c r="P61" s="175" t="str">
        <f t="shared" si="7"/>
        <v>T4中满</v>
      </c>
      <c r="Q61" s="179">
        <v>20418</v>
      </c>
      <c r="R61" s="173">
        <f ca="1">(VLOOKUP(R$41,INDIRECT($C$5&amp;"生成成长"),2))/((VLOOKUP($Q61,INDIRECT($B$5&amp;"生成成长"),4))/(VLOOKUP(R$41,INDIRECT($C$5&amp;"生成成长"),5))*(VLOOKUP($B$5,标准坦克设计!$B$24:$U$30,MATCH("对"&amp;LEFT($C$5,2)&amp;"输出",标准坦克设计!$B$23:$U$23,0)))*(VLOOKUP($Q61,INDIRECT($B$5&amp;"生成成长"),3))*(VLOOKUP($B$5,标准坦克设计!$B$14:$K$20,9)/30))</f>
        <v>0.6894256379493704</v>
      </c>
      <c r="S61" s="173">
        <f ca="1">(VLOOKUP(S$41,INDIRECT($C$5&amp;"生成成长"),2))/((VLOOKUP($Q61,INDIRECT($B$5&amp;"生成成长"),4))/(VLOOKUP(S$41,INDIRECT($C$5&amp;"生成成长"),5))*(VLOOKUP($B$5,标准坦克设计!$B$24:$U$30,MATCH("对"&amp;LEFT($C$5,2)&amp;"输出",标准坦克设计!$B$23:$U$23,0)))*(VLOOKUP($Q61,INDIRECT($B$5&amp;"生成成长"),3))*(VLOOKUP($B$5,标准坦克设计!$B$14:$K$20,9)/30))</f>
        <v>0.92769113842467277</v>
      </c>
      <c r="T61" s="173">
        <f ca="1">(VLOOKUP(T$41,INDIRECT($C$5&amp;"生成成长"),2))/((VLOOKUP($Q61,INDIRECT($B$5&amp;"生成成长"),4))/(VLOOKUP(T$41,INDIRECT($C$5&amp;"生成成长"),5))*(VLOOKUP($B$5,标准坦克设计!$B$24:$U$30,MATCH("对"&amp;LEFT($C$5,2)&amp;"输出",标准坦克设计!$B$23:$U$23,0)))*(VLOOKUP($Q61,INDIRECT($B$5&amp;"生成成长"),3))*(VLOOKUP($B$5,标准坦克设计!$B$14:$K$20,9)/30))</f>
        <v>1.4098064870426679</v>
      </c>
      <c r="U61" s="173">
        <f ca="1">(VLOOKUP(U$41,INDIRECT($C$5&amp;"生成成长"),2))/((VLOOKUP($Q61,INDIRECT($B$5&amp;"生成成长"),4))/(VLOOKUP(U$41,INDIRECT($C$5&amp;"生成成长"),5))*(VLOOKUP($B$5,标准坦克设计!$B$24:$U$30,MATCH("对"&amp;LEFT($C$5,2)&amp;"输出",标准坦克设计!$B$23:$U$23,0)))*(VLOOKUP($Q61,INDIRECT($B$5&amp;"生成成长"),3))*(VLOOKUP($B$5,标准坦克设计!$B$14:$K$20,9)/30))</f>
        <v>2.3088175189286471</v>
      </c>
      <c r="V61" s="173">
        <f ca="1">(VLOOKUP(V$41,INDIRECT($C$5&amp;"生成成长"),2))/((VLOOKUP($Q61,INDIRECT($B$5&amp;"生成成长"),4))/(VLOOKUP(V$41,INDIRECT($C$5&amp;"生成成长"),5))*(VLOOKUP($B$5,标准坦克设计!$B$24:$U$30,MATCH("对"&amp;LEFT($C$5,2)&amp;"输出",标准坦克设计!$B$23:$U$23,0)))*(VLOOKUP($Q61,INDIRECT($B$5&amp;"生成成长"),3))*(VLOOKUP($B$5,标准坦克设计!$B$14:$K$20,9)/30))</f>
        <v>0.95995625828070352</v>
      </c>
      <c r="W61" s="173">
        <f ca="1">(VLOOKUP(W$41,INDIRECT($C$5&amp;"生成成长"),2))/((VLOOKUP($Q61,INDIRECT($B$5&amp;"生成成长"),4))/(VLOOKUP(W$41,INDIRECT($C$5&amp;"生成成长"),5))*(VLOOKUP($B$5,标准坦克设计!$B$24:$U$30,MATCH("对"&amp;LEFT($C$5,2)&amp;"输出",标准坦克设计!$B$23:$U$23,0)))*(VLOOKUP($Q61,INDIRECT($B$5&amp;"生成成长"),3))*(VLOOKUP($B$5,标准坦克设计!$B$14:$K$20,9)/30))</f>
        <v>1.4695796898528779</v>
      </c>
      <c r="X61" s="173">
        <f ca="1">(VLOOKUP(X$41,INDIRECT($C$5&amp;"生成成长"),2))/((VLOOKUP($Q61,INDIRECT($B$5&amp;"生成成长"),4))/(VLOOKUP(X$41,INDIRECT($C$5&amp;"生成成长"),5))*(VLOOKUP($B$5,标准坦克设计!$B$24:$U$30,MATCH("对"&amp;LEFT($C$5,2)&amp;"输出",标准坦克设计!$B$23:$U$23,0)))*(VLOOKUP($Q61,INDIRECT($B$5&amp;"生成成长"),3))*(VLOOKUP($B$5,标准坦克设计!$B$14:$K$20,9)/30))</f>
        <v>2.4108525133451533</v>
      </c>
      <c r="Y61" s="173">
        <f ca="1">(VLOOKUP(Y$41,INDIRECT($C$5&amp;"生成成长"),2))/((VLOOKUP($Q61,INDIRECT($B$5&amp;"生成成长"),4))/(VLOOKUP(Y$41,INDIRECT($C$5&amp;"生成成长"),5))*(VLOOKUP($B$5,标准坦克设计!$B$24:$U$30,MATCH("对"&amp;LEFT($C$5,2)&amp;"输出",标准坦克设计!$B$23:$U$23,0)))*(VLOOKUP($Q61,INDIRECT($B$5&amp;"生成成长"),3))*(VLOOKUP($B$5,标准坦克设计!$B$14:$K$20,9)/30))</f>
        <v>4.0709894495272376</v>
      </c>
      <c r="Z61" s="173">
        <f ca="1">(VLOOKUP(Z$41,INDIRECT($C$5&amp;"生成成长"),2))/((VLOOKUP($Q61,INDIRECT($B$5&amp;"生成成长"),4))/(VLOOKUP(Z$41,INDIRECT($C$5&amp;"生成成长"),5))*(VLOOKUP($B$5,标准坦克设计!$B$24:$U$30,MATCH("对"&amp;LEFT($C$5,2)&amp;"输出",标准坦克设计!$B$23:$U$23,0)))*(VLOOKUP($Q61,INDIRECT($B$5&amp;"生成成长"),3))*(VLOOKUP($B$5,标准坦克设计!$B$14:$K$20,9)/30))</f>
        <v>1.5305938588113972</v>
      </c>
      <c r="AA61" s="173">
        <f ca="1">(VLOOKUP(AA$41,INDIRECT($C$5&amp;"生成成长"),2))/((VLOOKUP($Q61,INDIRECT($B$5&amp;"生成成长"),4))/(VLOOKUP(AA$41,INDIRECT($C$5&amp;"生成成长"),5))*(VLOOKUP($B$5,标准坦克设计!$B$24:$U$30,MATCH("对"&amp;LEFT($C$5,2)&amp;"输出",标准坦克设计!$B$23:$U$23,0)))*(VLOOKUP($Q61,INDIRECT($B$5&amp;"生成成长"),3))*(VLOOKUP($B$5,标准坦克设计!$B$14:$K$20,9)/30))</f>
        <v>2.5150936698030981</v>
      </c>
      <c r="AB61" s="173">
        <f ca="1">(VLOOKUP(AB$41,INDIRECT($C$5&amp;"生成成长"),2))/((VLOOKUP($Q61,INDIRECT($B$5&amp;"生成成长"),4))/(VLOOKUP(AB$41,INDIRECT($C$5&amp;"生成成长"),5))*(VLOOKUP($B$5,标准坦克设计!$B$24:$U$30,MATCH("对"&amp;LEFT($C$5,2)&amp;"输出",标准坦克设计!$B$23:$U$23,0)))*(VLOOKUP($Q61,INDIRECT($B$5&amp;"生成成长"),3))*(VLOOKUP($B$5,标准坦克设计!$B$14:$K$20,9)/30))</f>
        <v>4.2402434436438075</v>
      </c>
      <c r="AC61" s="173">
        <f ca="1">(VLOOKUP(AC$41,INDIRECT($C$5&amp;"生成成长"),2))/((VLOOKUP($Q61,INDIRECT($B$5&amp;"生成成长"),4))/(VLOOKUP(AC$41,INDIRECT($C$5&amp;"生成成长"),5))*(VLOOKUP($B$5,标准坦克设计!$B$24:$U$30,MATCH("对"&amp;LEFT($C$5,2)&amp;"输出",标准坦克设计!$B$23:$U$23,0)))*(VLOOKUP($Q61,INDIRECT($B$5&amp;"生成成长"),3))*(VLOOKUP($B$5,标准坦克设计!$B$14:$K$20,9)/30))</f>
        <v>1.0600608609109519</v>
      </c>
      <c r="AD61" s="173">
        <f ca="1">(VLOOKUP(AD$41,INDIRECT($C$5&amp;"生成成长"),2))/((VLOOKUP($Q61,INDIRECT($B$5&amp;"生成成长"),4))/(VLOOKUP(AD$41,INDIRECT($C$5&amp;"生成成长"),5))*(VLOOKUP($B$5,标准坦克设计!$B$24:$U$30,MATCH("对"&amp;LEFT($C$5,2)&amp;"输出",标准坦克设计!$B$23:$U$23,0)))*(VLOOKUP($Q61,INDIRECT($B$5&amp;"生成成长"),3))*(VLOOKUP($B$5,标准坦克设计!$B$14:$K$20,9)/30))</f>
        <v>1.8542791958286264</v>
      </c>
      <c r="AE61" s="173">
        <f ca="1">(VLOOKUP(AE$41,INDIRECT($C$5&amp;"生成成长"),2))/((VLOOKUP($Q61,INDIRECT($B$5&amp;"生成成长"),4))/(VLOOKUP(AE$41,INDIRECT($C$5&amp;"生成成长"),5))*(VLOOKUP($B$5,标准坦克设计!$B$24:$U$30,MATCH("对"&amp;LEFT($C$5,2)&amp;"输出",标准坦克设计!$B$23:$U$23,0)))*(VLOOKUP($Q61,INDIRECT($B$5&amp;"生成成长"),3))*(VLOOKUP($B$5,标准坦克设计!$B$14:$K$20,9)/30))</f>
        <v>3.1868700114209649</v>
      </c>
      <c r="AF61" s="173">
        <f ca="1">(VLOOKUP(AF$41,INDIRECT($C$5&amp;"生成成长"),2))/((VLOOKUP($Q61,INDIRECT($B$5&amp;"生成成长"),4))/(VLOOKUP(AF$41,INDIRECT($C$5&amp;"生成成长"),5))*(VLOOKUP($B$5,标准坦克设计!$B$24:$U$30,MATCH("对"&amp;LEFT($C$5,2)&amp;"输出",标准坦克设计!$B$23:$U$23,0)))*(VLOOKUP($Q61,INDIRECT($B$5&amp;"生成成长"),3))*(VLOOKUP($B$5,标准坦克设计!$B$14:$K$20,9)/30))</f>
        <v>5.5215409917727127</v>
      </c>
      <c r="AG61" s="173">
        <f ca="1">(VLOOKUP(AG$41,INDIRECT($C$5&amp;"生成成长"),2))/((VLOOKUP($Q61,INDIRECT($B$5&amp;"生成成长"),4))/(VLOOKUP(AG$41,INDIRECT($C$5&amp;"生成成长"),5))*(VLOOKUP($B$5,标准坦克设计!$B$24:$U$30,MATCH("对"&amp;LEFT($C$5,2)&amp;"输出",标准坦克设计!$B$23:$U$23,0)))*(VLOOKUP($Q61,INDIRECT($B$5&amp;"生成成长"),3))*(VLOOKUP($B$5,标准坦克设计!$B$14:$K$20,9)/30))</f>
        <v>3.0403670633567237</v>
      </c>
      <c r="AH61" s="173">
        <f ca="1">(VLOOKUP(AH$41,INDIRECT($C$5&amp;"生成成长"),2))/((VLOOKUP($Q61,INDIRECT($B$5&amp;"生成成长"),4))/(VLOOKUP(AH$41,INDIRECT($C$5&amp;"生成成长"),5))*(VLOOKUP($B$5,标准坦克设计!$B$24:$U$30,MATCH("对"&amp;LEFT($C$5,2)&amp;"输出",标准坦克设计!$B$23:$U$23,0)))*(VLOOKUP($Q61,INDIRECT($B$5&amp;"生成成长"),3))*(VLOOKUP($B$5,标准坦克设计!$B$14:$K$20,9)/30))</f>
        <v>5.2898939774217242</v>
      </c>
      <c r="AI61" s="173">
        <f ca="1">(VLOOKUP(AI$41,INDIRECT($C$5&amp;"生成成长"),2))/((VLOOKUP($Q61,INDIRECT($B$5&amp;"生成成长"),4))/(VLOOKUP(AI$41,INDIRECT($C$5&amp;"生成成长"),5))*(VLOOKUP($B$5,标准坦克设计!$B$24:$U$30,MATCH("对"&amp;LEFT($C$5,2)&amp;"输出",标准坦克设计!$B$23:$U$23,0)))*(VLOOKUP($Q61,INDIRECT($B$5&amp;"生成成长"),3))*(VLOOKUP($B$5,标准坦克设计!$B$14:$K$20,9)/30))</f>
        <v>9.0844926886950592</v>
      </c>
      <c r="AJ61" s="173">
        <f ca="1">(VLOOKUP(AJ$41,INDIRECT($C$5&amp;"生成成长"),2))/((VLOOKUP($Q61,INDIRECT($B$5&amp;"生成成长"),4))/(VLOOKUP(AJ$41,INDIRECT($C$5&amp;"生成成长"),5))*(VLOOKUP($B$5,标准坦克设计!$B$24:$U$30,MATCH("对"&amp;LEFT($C$5,2)&amp;"输出",标准坦克设计!$B$23:$U$23,0)))*(VLOOKUP($Q61,INDIRECT($B$5&amp;"生成成长"),3))*(VLOOKUP($B$5,标准坦克设计!$B$14:$K$20,9)/30))</f>
        <v>15.229412342301593</v>
      </c>
      <c r="AK61" s="173">
        <f ca="1">(VLOOKUP(AK$41,INDIRECT($C$5&amp;"生成成长"),2))/((VLOOKUP($Q61,INDIRECT($B$5&amp;"生成成长"),4))/(VLOOKUP(AK$41,INDIRECT($C$5&amp;"生成成长"),5))*(VLOOKUP($B$5,标准坦克设计!$B$24:$U$30,MATCH("对"&amp;LEFT($C$5,2)&amp;"输出",标准坦克设计!$B$23:$U$23,0)))*(VLOOKUP($Q61,INDIRECT($B$5&amp;"生成成长"),3))*(VLOOKUP($B$5,标准坦克设计!$B$14:$K$20,9)/30))</f>
        <v>5.5998597442437603</v>
      </c>
      <c r="AL61" s="173">
        <f ca="1">(VLOOKUP(AL$41,INDIRECT($C$5&amp;"生成成长"),2))/((VLOOKUP($Q61,INDIRECT($B$5&amp;"生成成长"),4))/(VLOOKUP(AL$41,INDIRECT($C$5&amp;"生成成长"),5))*(VLOOKUP($B$5,标准坦克设计!$B$24:$U$30,MATCH("对"&amp;LEFT($C$5,2)&amp;"输出",标准坦克设计!$B$23:$U$23,0)))*(VLOOKUP($Q61,INDIRECT($B$5&amp;"生成成长"),3))*(VLOOKUP($B$5,标准坦克设计!$B$14:$K$20,9)/30))</f>
        <v>9.591909958225795</v>
      </c>
      <c r="AM61" s="173">
        <f ca="1">(VLOOKUP(AM$41,INDIRECT($C$5&amp;"生成成长"),2))/((VLOOKUP($Q61,INDIRECT($B$5&amp;"生成成长"),4))/(VLOOKUP(AM$41,INDIRECT($C$5&amp;"生成成长"),5))*(VLOOKUP($B$5,标准坦克设计!$B$24:$U$30,MATCH("对"&amp;LEFT($C$5,2)&amp;"输出",标准坦克设计!$B$23:$U$23,0)))*(VLOOKUP($Q61,INDIRECT($B$5&amp;"生成成长"),3))*(VLOOKUP($B$5,标准坦克设计!$B$14:$K$20,9)/30))</f>
        <v>16.017012191094953</v>
      </c>
    </row>
    <row r="62" spans="16:39" x14ac:dyDescent="0.15">
      <c r="P62" s="175" t="str">
        <f t="shared" si="7"/>
        <v>T5中满</v>
      </c>
      <c r="Q62" s="179">
        <v>20521</v>
      </c>
      <c r="R62" s="173">
        <f ca="1">(VLOOKUP(R$41,INDIRECT($C$5&amp;"生成成长"),2))/((VLOOKUP($Q62,INDIRECT($B$5&amp;"生成成长"),4))/(VLOOKUP(R$41,INDIRECT($C$5&amp;"生成成长"),5))*(VLOOKUP($B$5,标准坦克设计!$B$24:$U$30,MATCH("对"&amp;LEFT($C$5,2)&amp;"输出",标准坦克设计!$B$23:$U$23,0)))*(VLOOKUP($Q62,INDIRECT($B$5&amp;"生成成长"),3))*(VLOOKUP($B$5,标准坦克设计!$B$14:$K$20,9)/30))</f>
        <v>0.41035787461194095</v>
      </c>
      <c r="S62" s="173">
        <f ca="1">(VLOOKUP(S$41,INDIRECT($C$5&amp;"生成成长"),2))/((VLOOKUP($Q62,INDIRECT($B$5&amp;"生成成长"),4))/(VLOOKUP(S$41,INDIRECT($C$5&amp;"生成成长"),5))*(VLOOKUP($B$5,标准坦克设计!$B$24:$U$30,MATCH("对"&amp;LEFT($C$5,2)&amp;"输出",标准坦克设计!$B$23:$U$23,0)))*(VLOOKUP($Q62,INDIRECT($B$5&amp;"生成成长"),3))*(VLOOKUP($B$5,标准坦克设计!$B$14:$K$20,9)/30))</f>
        <v>0.55217755607782781</v>
      </c>
      <c r="T62" s="173">
        <f ca="1">(VLOOKUP(T$41,INDIRECT($C$5&amp;"生成成长"),2))/((VLOOKUP($Q62,INDIRECT($B$5&amp;"生成成长"),4))/(VLOOKUP(T$41,INDIRECT($C$5&amp;"生成成长"),5))*(VLOOKUP($B$5,标准坦克设计!$B$24:$U$30,MATCH("对"&amp;LEFT($C$5,2)&amp;"输出",标准坦克设计!$B$23:$U$23,0)))*(VLOOKUP($Q62,INDIRECT($B$5&amp;"生成成长"),3))*(VLOOKUP($B$5,标准坦克设计!$B$14:$K$20,9)/30))</f>
        <v>0.83914081779395822</v>
      </c>
      <c r="U62" s="173">
        <f ca="1">(VLOOKUP(U$41,INDIRECT($C$5&amp;"生成成长"),2))/((VLOOKUP($Q62,INDIRECT($B$5&amp;"生成成长"),4))/(VLOOKUP(U$41,INDIRECT($C$5&amp;"生成成长"),5))*(VLOOKUP($B$5,标准坦克设计!$B$24:$U$30,MATCH("对"&amp;LEFT($C$5,2)&amp;"输出",标准坦克设计!$B$23:$U$23,0)))*(VLOOKUP($Q62,INDIRECT($B$5&amp;"生成成长"),3))*(VLOOKUP($B$5,标准坦克设计!$B$14:$K$20,9)/30))</f>
        <v>1.374247486287929</v>
      </c>
      <c r="V62" s="173">
        <f ca="1">(VLOOKUP(V$41,INDIRECT($C$5&amp;"生成成长"),2))/((VLOOKUP($Q62,INDIRECT($B$5&amp;"生成成长"),4))/(VLOOKUP(V$41,INDIRECT($C$5&amp;"生成成长"),5))*(VLOOKUP($B$5,标准坦克设计!$B$24:$U$30,MATCH("对"&amp;LEFT($C$5,2)&amp;"输出",标准坦克设计!$B$23:$U$23,0)))*(VLOOKUP($Q62,INDIRECT($B$5&amp;"生成成长"),3))*(VLOOKUP($B$5,标准坦克设计!$B$14:$K$20,9)/30))</f>
        <v>0.57138230460966666</v>
      </c>
      <c r="W62" s="173">
        <f ca="1">(VLOOKUP(W$41,INDIRECT($C$5&amp;"生成成长"),2))/((VLOOKUP($Q62,INDIRECT($B$5&amp;"生成成长"),4))/(VLOOKUP(W$41,INDIRECT($C$5&amp;"生成成长"),5))*(VLOOKUP($B$5,标准坦克设计!$B$24:$U$30,MATCH("对"&amp;LEFT($C$5,2)&amp;"输出",标准坦克设计!$B$23:$U$23,0)))*(VLOOKUP($Q62,INDIRECT($B$5&amp;"生成成长"),3))*(VLOOKUP($B$5,标准坦克设计!$B$14:$K$20,9)/30))</f>
        <v>0.87471884552281332</v>
      </c>
      <c r="X62" s="173">
        <f ca="1">(VLOOKUP(X$41,INDIRECT($C$5&amp;"生成成长"),2))/((VLOOKUP($Q62,INDIRECT($B$5&amp;"生成成长"),4))/(VLOOKUP(X$41,INDIRECT($C$5&amp;"生成成长"),5))*(VLOOKUP($B$5,标准坦克设计!$B$24:$U$30,MATCH("对"&amp;LEFT($C$5,2)&amp;"输出",标准坦克设计!$B$23:$U$23,0)))*(VLOOKUP($Q62,INDIRECT($B$5&amp;"生成成长"),3))*(VLOOKUP($B$5,标准坦克设计!$B$14:$K$20,9)/30))</f>
        <v>1.4349804517304967</v>
      </c>
      <c r="Y62" s="173">
        <f ca="1">(VLOOKUP(Y$41,INDIRECT($C$5&amp;"生成成长"),2))/((VLOOKUP($Q62,INDIRECT($B$5&amp;"生成成长"),4))/(VLOOKUP(Y$41,INDIRECT($C$5&amp;"生成成长"),5))*(VLOOKUP($B$5,标准坦克设计!$B$24:$U$30,MATCH("对"&amp;LEFT($C$5,2)&amp;"输出",标准坦克设计!$B$23:$U$23,0)))*(VLOOKUP($Q62,INDIRECT($B$5&amp;"生成成长"),3))*(VLOOKUP($B$5,标准坦克设计!$B$14:$K$20,9)/30))</f>
        <v>2.4231222137960504</v>
      </c>
      <c r="Z62" s="173">
        <f ca="1">(VLOOKUP(Z$41,INDIRECT($C$5&amp;"生成成长"),2))/((VLOOKUP($Q62,INDIRECT($B$5&amp;"生成成长"),4))/(VLOOKUP(Z$41,INDIRECT($C$5&amp;"生成成长"),5))*(VLOOKUP($B$5,标准坦克设计!$B$24:$U$30,MATCH("对"&amp;LEFT($C$5,2)&amp;"输出",标准坦克设计!$B$23:$U$23,0)))*(VLOOKUP($Q62,INDIRECT($B$5&amp;"生成成长"),3))*(VLOOKUP($B$5,标准坦克设计!$B$14:$K$20,9)/30))</f>
        <v>0.91103551742597033</v>
      </c>
      <c r="AA62" s="173">
        <f ca="1">(VLOOKUP(AA$41,INDIRECT($C$5&amp;"生成成长"),2))/((VLOOKUP($Q62,INDIRECT($B$5&amp;"生成成长"),4))/(VLOOKUP(AA$41,INDIRECT($C$5&amp;"生成成长"),5))*(VLOOKUP($B$5,标准坦克设计!$B$24:$U$30,MATCH("对"&amp;LEFT($C$5,2)&amp;"输出",标准坦克设计!$B$23:$U$23,0)))*(VLOOKUP($Q62,INDIRECT($B$5&amp;"生成成长"),3))*(VLOOKUP($B$5,标准坦克设计!$B$14:$K$20,9)/30))</f>
        <v>1.497026562371822</v>
      </c>
      <c r="AB62" s="173">
        <f ca="1">(VLOOKUP(AB$41,INDIRECT($C$5&amp;"生成成长"),2))/((VLOOKUP($Q62,INDIRECT($B$5&amp;"生成成长"),4))/(VLOOKUP(AB$41,INDIRECT($C$5&amp;"生成成长"),5))*(VLOOKUP($B$5,标准坦克设计!$B$24:$U$30,MATCH("对"&amp;LEFT($C$5,2)&amp;"输出",标准坦克设计!$B$23:$U$23,0)))*(VLOOKUP($Q62,INDIRECT($B$5&amp;"生成成长"),3))*(VLOOKUP($B$5,标准坦克设计!$B$14:$K$20,9)/30))</f>
        <v>2.5238650720132823</v>
      </c>
      <c r="AC62" s="173">
        <f ca="1">(VLOOKUP(AC$41,INDIRECT($C$5&amp;"生成成长"),2))/((VLOOKUP($Q62,INDIRECT($B$5&amp;"生成成长"),4))/(VLOOKUP(AC$41,INDIRECT($C$5&amp;"生成成长"),5))*(VLOOKUP($B$5,标准坦克设计!$B$24:$U$30,MATCH("对"&amp;LEFT($C$5,2)&amp;"输出",标准坦克设计!$B$23:$U$23,0)))*(VLOOKUP($Q62,INDIRECT($B$5&amp;"生成成长"),3))*(VLOOKUP($B$5,标准坦克设计!$B$14:$K$20,9)/30))</f>
        <v>0.63096626800332056</v>
      </c>
      <c r="AD62" s="173">
        <f ca="1">(VLOOKUP(AD$41,INDIRECT($C$5&amp;"生成成长"),2))/((VLOOKUP($Q62,INDIRECT($B$5&amp;"生成成长"),4))/(VLOOKUP(AD$41,INDIRECT($C$5&amp;"生成成长"),5))*(VLOOKUP($B$5,标准坦克设计!$B$24:$U$30,MATCH("对"&amp;LEFT($C$5,2)&amp;"输出",标准坦克设计!$B$23:$U$23,0)))*(VLOOKUP($Q62,INDIRECT($B$5&amp;"生成成长"),3))*(VLOOKUP($B$5,标准坦克设计!$B$14:$K$20,9)/30))</f>
        <v>1.1036985395562766</v>
      </c>
      <c r="AE62" s="173">
        <f ca="1">(VLOOKUP(AE$41,INDIRECT($C$5&amp;"生成成长"),2))/((VLOOKUP($Q62,INDIRECT($B$5&amp;"生成成长"),4))/(VLOOKUP(AE$41,INDIRECT($C$5&amp;"生成成长"),5))*(VLOOKUP($B$5,标准坦克设计!$B$24:$U$30,MATCH("对"&amp;LEFT($C$5,2)&amp;"输出",标准坦克设计!$B$23:$U$23,0)))*(VLOOKUP($Q62,INDIRECT($B$5&amp;"生成成长"),3))*(VLOOKUP($B$5,标准坦克设计!$B$14:$K$20,9)/30))</f>
        <v>1.8968792753936976</v>
      </c>
      <c r="AF62" s="173">
        <f ca="1">(VLOOKUP(AF$41,INDIRECT($C$5&amp;"生成成长"),2))/((VLOOKUP($Q62,INDIRECT($B$5&amp;"生成成长"),4))/(VLOOKUP(AF$41,INDIRECT($C$5&amp;"生成成长"),5))*(VLOOKUP($B$5,标准坦克设计!$B$24:$U$30,MATCH("对"&amp;LEFT($C$5,2)&amp;"输出",标准坦克设计!$B$23:$U$23,0)))*(VLOOKUP($Q62,INDIRECT($B$5&amp;"生成成长"),3))*(VLOOKUP($B$5,标准坦克设计!$B$14:$K$20,9)/30))</f>
        <v>3.2865151819795737</v>
      </c>
      <c r="AG62" s="173">
        <f ca="1">(VLOOKUP(AG$41,INDIRECT($C$5&amp;"生成成长"),2))/((VLOOKUP($Q62,INDIRECT($B$5&amp;"生成成长"),4))/(VLOOKUP(AG$41,INDIRECT($C$5&amp;"生成成长"),5))*(VLOOKUP($B$5,标准坦克设计!$B$24:$U$30,MATCH("对"&amp;LEFT($C$5,2)&amp;"输出",标准坦克设计!$B$23:$U$23,0)))*(VLOOKUP($Q62,INDIRECT($B$5&amp;"生成成长"),3))*(VLOOKUP($B$5,标准坦克设计!$B$14:$K$20,9)/30))</f>
        <v>1.80967822703866</v>
      </c>
      <c r="AH62" s="173">
        <f ca="1">(VLOOKUP(AH$41,INDIRECT($C$5&amp;"生成成长"),2))/((VLOOKUP($Q62,INDIRECT($B$5&amp;"生成成长"),4))/(VLOOKUP(AH$41,INDIRECT($C$5&amp;"生成成长"),5))*(VLOOKUP($B$5,标准坦克设计!$B$24:$U$30,MATCH("对"&amp;LEFT($C$5,2)&amp;"输出",标准坦克设计!$B$23:$U$23,0)))*(VLOOKUP($Q62,INDIRECT($B$5&amp;"生成成长"),3))*(VLOOKUP($B$5,标准坦克设计!$B$14:$K$20,9)/30))</f>
        <v>3.1486349361099624</v>
      </c>
      <c r="AI62" s="173">
        <f ca="1">(VLOOKUP(AI$41,INDIRECT($C$5&amp;"生成成长"),2))/((VLOOKUP($Q62,INDIRECT($B$5&amp;"生成成长"),4))/(VLOOKUP(AI$41,INDIRECT($C$5&amp;"生成成长"),5))*(VLOOKUP($B$5,标准坦克设计!$B$24:$U$30,MATCH("对"&amp;LEFT($C$5,2)&amp;"输出",标准坦克设计!$B$23:$U$23,0)))*(VLOOKUP($Q62,INDIRECT($B$5&amp;"生成成长"),3))*(VLOOKUP($B$5,标准坦克设计!$B$14:$K$20,9)/30))</f>
        <v>5.4072446779740861</v>
      </c>
      <c r="AJ62" s="173">
        <f ca="1">(VLOOKUP(AJ$41,INDIRECT($C$5&amp;"生成成长"),2))/((VLOOKUP($Q62,INDIRECT($B$5&amp;"生成成长"),4))/(VLOOKUP(AJ$41,INDIRECT($C$5&amp;"生成成长"),5))*(VLOOKUP($B$5,标准坦克设计!$B$24:$U$30,MATCH("对"&amp;LEFT($C$5,2)&amp;"输出",标准坦克设计!$B$23:$U$23,0)))*(VLOOKUP($Q62,INDIRECT($B$5&amp;"生成成长"),3))*(VLOOKUP($B$5,标准坦克设计!$B$14:$K$20,9)/30))</f>
        <v>9.0648054501777757</v>
      </c>
      <c r="AK62" s="173">
        <f ca="1">(VLOOKUP(AK$41,INDIRECT($C$5&amp;"生成成长"),2))/((VLOOKUP($Q62,INDIRECT($B$5&amp;"生成成长"),4))/(VLOOKUP(AK$41,INDIRECT($C$5&amp;"生成成长"),5))*(VLOOKUP($B$5,标准坦克设计!$B$24:$U$30,MATCH("对"&amp;LEFT($C$5,2)&amp;"输出",标准坦克设计!$B$23:$U$23,0)))*(VLOOKUP($Q62,INDIRECT($B$5&amp;"生成成长"),3))*(VLOOKUP($B$5,标准坦克设计!$B$14:$K$20,9)/30))</f>
        <v>3.3331318365354909</v>
      </c>
      <c r="AL62" s="173">
        <f ca="1">(VLOOKUP(AL$41,INDIRECT($C$5&amp;"生成成长"),2))/((VLOOKUP($Q62,INDIRECT($B$5&amp;"生成成长"),4))/(VLOOKUP(AL$41,INDIRECT($C$5&amp;"生成成长"),5))*(VLOOKUP($B$5,标准坦克设计!$B$24:$U$30,MATCH("对"&amp;LEFT($C$5,2)&amp;"输出",标准坦克设计!$B$23:$U$23,0)))*(VLOOKUP($Q62,INDIRECT($B$5&amp;"生成成长"),3))*(VLOOKUP($B$5,标准坦克设计!$B$14:$K$20,9)/30))</f>
        <v>5.7092680736884747</v>
      </c>
      <c r="AM62" s="173">
        <f ca="1">(VLOOKUP(AM$41,INDIRECT($C$5&amp;"生成成长"),2))/((VLOOKUP($Q62,INDIRECT($B$5&amp;"生成成长"),4))/(VLOOKUP(AM$41,INDIRECT($C$5&amp;"生成成长"),5))*(VLOOKUP($B$5,标准坦克设计!$B$24:$U$30,MATCH("对"&amp;LEFT($C$5,2)&amp;"输出",标准坦克设计!$B$23:$U$23,0)))*(VLOOKUP($Q62,INDIRECT($B$5&amp;"生成成长"),3))*(VLOOKUP($B$5,标准坦克设计!$B$14:$K$20,9)/30))</f>
        <v>9.5335982861344597</v>
      </c>
    </row>
    <row r="63" spans="16:39" x14ac:dyDescent="0.15">
      <c r="P63" s="175" t="str">
        <f t="shared" si="7"/>
        <v>T3高满</v>
      </c>
      <c r="Q63" s="179">
        <v>30315</v>
      </c>
      <c r="R63" s="173">
        <f ca="1">(VLOOKUP(R$41,INDIRECT($C$5&amp;"生成成长"),2))/((VLOOKUP($Q63,INDIRECT($B$5&amp;"生成成长"),4))/(VLOOKUP(R$41,INDIRECT($C$5&amp;"生成成长"),5))*(VLOOKUP($B$5,标准坦克设计!$B$24:$U$30,MATCH("对"&amp;LEFT($C$5,2)&amp;"输出",标准坦克设计!$B$23:$U$23,0)))*(VLOOKUP($Q63,INDIRECT($B$5&amp;"生成成长"),3))*(VLOOKUP($B$5,标准坦克设计!$B$14:$K$20,9)/30))</f>
        <v>1.1179469108950399</v>
      </c>
      <c r="S63" s="173">
        <f ca="1">(VLOOKUP(S$41,INDIRECT($C$5&amp;"生成成长"),2))/((VLOOKUP($Q63,INDIRECT($B$5&amp;"生成成长"),4))/(VLOOKUP(S$41,INDIRECT($C$5&amp;"生成成长"),5))*(VLOOKUP($B$5,标准坦克设计!$B$24:$U$30,MATCH("对"&amp;LEFT($C$5,2)&amp;"输出",标准坦克设计!$B$23:$U$23,0)))*(VLOOKUP($Q63,INDIRECT($B$5&amp;"生成成长"),3))*(VLOOKUP($B$5,标准坦克设计!$B$14:$K$20,9)/30))</f>
        <v>1.5043093633003657</v>
      </c>
      <c r="T63" s="173">
        <f ca="1">(VLOOKUP(T$41,INDIRECT($C$5&amp;"生成成长"),2))/((VLOOKUP($Q63,INDIRECT($B$5&amp;"生成成长"),4))/(VLOOKUP(T$41,INDIRECT($C$5&amp;"生成成长"),5))*(VLOOKUP($B$5,标准坦克设计!$B$24:$U$30,MATCH("对"&amp;LEFT($C$5,2)&amp;"输出",标准坦克设计!$B$23:$U$23,0)))*(VLOOKUP($Q63,INDIRECT($B$5&amp;"生成成长"),3))*(VLOOKUP($B$5,标准坦克设计!$B$14:$K$20,9)/30))</f>
        <v>2.2860896380892672</v>
      </c>
      <c r="U63" s="173">
        <f ca="1">(VLOOKUP(U$41,INDIRECT($C$5&amp;"生成成长"),2))/((VLOOKUP($Q63,INDIRECT($B$5&amp;"生成成长"),4))/(VLOOKUP(U$41,INDIRECT($C$5&amp;"生成成长"),5))*(VLOOKUP($B$5,标准坦克设计!$B$24:$U$30,MATCH("对"&amp;LEFT($C$5,2)&amp;"输出",标准坦克设计!$B$23:$U$23,0)))*(VLOOKUP($Q63,INDIRECT($B$5&amp;"生成成长"),3))*(VLOOKUP($B$5,标准坦克设计!$B$14:$K$20,9)/30))</f>
        <v>3.7438924098963988</v>
      </c>
      <c r="V63" s="173">
        <f ca="1">(VLOOKUP(V$41,INDIRECT($C$5&amp;"生成成长"),2))/((VLOOKUP($Q63,INDIRECT($B$5&amp;"生成成长"),4))/(VLOOKUP(V$41,INDIRECT($C$5&amp;"生成成长"),5))*(VLOOKUP($B$5,标准坦克设计!$B$24:$U$30,MATCH("对"&amp;LEFT($C$5,2)&amp;"输出",标准坦克设计!$B$23:$U$23,0)))*(VLOOKUP($Q63,INDIRECT($B$5&amp;"生成成长"),3))*(VLOOKUP($B$5,标准坦克设计!$B$14:$K$20,9)/30))</f>
        <v>1.5566292787302538</v>
      </c>
      <c r="W63" s="173">
        <f ca="1">(VLOOKUP(W$41,INDIRECT($C$5&amp;"生成成长"),2))/((VLOOKUP($Q63,INDIRECT($B$5&amp;"生成成长"),4))/(VLOOKUP(W$41,INDIRECT($C$5&amp;"生成成长"),5))*(VLOOKUP($B$5,标准坦克设计!$B$24:$U$30,MATCH("对"&amp;LEFT($C$5,2)&amp;"输出",标准坦克设计!$B$23:$U$23,0)))*(VLOOKUP($Q63,INDIRECT($B$5&amp;"生成成长"),3))*(VLOOKUP($B$5,标准坦克设计!$B$14:$K$20,9)/30))</f>
        <v>2.3830156352638672</v>
      </c>
      <c r="X63" s="173">
        <f ca="1">(VLOOKUP(X$41,INDIRECT($C$5&amp;"生成成长"),2))/((VLOOKUP($Q63,INDIRECT($B$5&amp;"生成成长"),4))/(VLOOKUP(X$41,INDIRECT($C$5&amp;"生成成长"),5))*(VLOOKUP($B$5,标准坦克设计!$B$24:$U$30,MATCH("对"&amp;LEFT($C$5,2)&amp;"输出",标准坦克设计!$B$23:$U$23,0)))*(VLOOKUP($Q63,INDIRECT($B$5&amp;"生成成长"),3))*(VLOOKUP($B$5,标准坦克设计!$B$14:$K$20,9)/30))</f>
        <v>3.9093485527088641</v>
      </c>
      <c r="Y63" s="173">
        <f ca="1">(VLOOKUP(Y$41,INDIRECT($C$5&amp;"生成成长"),2))/((VLOOKUP($Q63,INDIRECT($B$5&amp;"生成成长"),4))/(VLOOKUP(Y$41,INDIRECT($C$5&amp;"生成成长"),5))*(VLOOKUP($B$5,标准坦克设计!$B$24:$U$30,MATCH("对"&amp;LEFT($C$5,2)&amp;"输出",标准坦克设计!$B$23:$U$23,0)))*(VLOOKUP($Q63,INDIRECT($B$5&amp;"生成成长"),3))*(VLOOKUP($B$5,标准坦克设计!$B$14:$K$20,9)/30))</f>
        <v>6.6013647141441201</v>
      </c>
      <c r="Z63" s="173">
        <f ca="1">(VLOOKUP(Z$41,INDIRECT($C$5&amp;"生成成长"),2))/((VLOOKUP($Q63,INDIRECT($B$5&amp;"生成成长"),4))/(VLOOKUP(Z$41,INDIRECT($C$5&amp;"生成成长"),5))*(VLOOKUP($B$5,标准坦克设计!$B$24:$U$30,MATCH("对"&amp;LEFT($C$5,2)&amp;"输出",标准坦克设计!$B$23:$U$23,0)))*(VLOOKUP($Q63,INDIRECT($B$5&amp;"生成成长"),3))*(VLOOKUP($B$5,标准坦克设计!$B$14:$K$20,9)/30))</f>
        <v>2.4819539368780785</v>
      </c>
      <c r="AA63" s="173">
        <f ca="1">(VLOOKUP(AA$41,INDIRECT($C$5&amp;"生成成长"),2))/((VLOOKUP($Q63,INDIRECT($B$5&amp;"生成成长"),4))/(VLOOKUP(AA$41,INDIRECT($C$5&amp;"生成成长"),5))*(VLOOKUP($B$5,标准坦克设计!$B$24:$U$30,MATCH("对"&amp;LEFT($C$5,2)&amp;"输出",标准坦克设计!$B$23:$U$23,0)))*(VLOOKUP($Q63,INDIRECT($B$5&amp;"生成成长"),3))*(VLOOKUP($B$5,标准坦克设计!$B$14:$K$20,9)/30))</f>
        <v>4.0783821256361943</v>
      </c>
      <c r="AB63" s="173">
        <f ca="1">(VLOOKUP(AB$41,INDIRECT($C$5&amp;"生成成长"),2))/((VLOOKUP($Q63,INDIRECT($B$5&amp;"生成成长"),4))/(VLOOKUP(AB$41,INDIRECT($C$5&amp;"生成成长"),5))*(VLOOKUP($B$5,标准坦克设计!$B$24:$U$30,MATCH("对"&amp;LEFT($C$5,2)&amp;"输出",标准坦克设计!$B$23:$U$23,0)))*(VLOOKUP($Q63,INDIRECT($B$5&amp;"生成成长"),3))*(VLOOKUP($B$5,标准坦克设计!$B$14:$K$20,9)/30))</f>
        <v>6.8758206807688538</v>
      </c>
      <c r="AC63" s="173">
        <f ca="1">(VLOOKUP(AC$41,INDIRECT($C$5&amp;"生成成长"),2))/((VLOOKUP($Q63,INDIRECT($B$5&amp;"生成成长"),4))/(VLOOKUP(AC$41,INDIRECT($C$5&amp;"生成成长"),5))*(VLOOKUP($B$5,标准坦克设计!$B$24:$U$30,MATCH("对"&amp;LEFT($C$5,2)&amp;"输出",标准坦克设计!$B$23:$U$23,0)))*(VLOOKUP($Q63,INDIRECT($B$5&amp;"生成成长"),3))*(VLOOKUP($B$5,标准坦克设计!$B$14:$K$20,9)/30))</f>
        <v>1.7189551701922134</v>
      </c>
      <c r="AD63" s="173">
        <f ca="1">(VLOOKUP(AD$41,INDIRECT($C$5&amp;"生成成长"),2))/((VLOOKUP($Q63,INDIRECT($B$5&amp;"生成成长"),4))/(VLOOKUP(AD$41,INDIRECT($C$5&amp;"生成成长"),5))*(VLOOKUP($B$5,标准坦克设计!$B$24:$U$30,MATCH("对"&amp;LEFT($C$5,2)&amp;"输出",标准坦克设计!$B$23:$U$23,0)))*(VLOOKUP($Q63,INDIRECT($B$5&amp;"生成成长"),3))*(VLOOKUP($B$5,标准坦克设计!$B$14:$K$20,9)/30))</f>
        <v>3.0068300115432991</v>
      </c>
      <c r="AE63" s="173">
        <f ca="1">(VLOOKUP(AE$41,INDIRECT($C$5&amp;"生成成长"),2))/((VLOOKUP($Q63,INDIRECT($B$5&amp;"生成成长"),4))/(VLOOKUP(AE$41,INDIRECT($C$5&amp;"生成成长"),5))*(VLOOKUP($B$5,标准坦克设计!$B$24:$U$30,MATCH("对"&amp;LEFT($C$5,2)&amp;"输出",标准坦克设计!$B$23:$U$23,0)))*(VLOOKUP($Q63,INDIRECT($B$5&amp;"生成成长"),3))*(VLOOKUP($B$5,标准坦克设计!$B$14:$K$20,9)/30))</f>
        <v>5.1677095956123207</v>
      </c>
      <c r="AF63" s="173">
        <f ca="1">(VLOOKUP(AF$41,INDIRECT($C$5&amp;"生成成长"),2))/((VLOOKUP($Q63,INDIRECT($B$5&amp;"生成成长"),4))/(VLOOKUP(AF$41,INDIRECT($C$5&amp;"生成成长"),5))*(VLOOKUP($B$5,标准坦克设计!$B$24:$U$30,MATCH("对"&amp;LEFT($C$5,2)&amp;"输出",标准坦克设计!$B$23:$U$23,0)))*(VLOOKUP($Q63,INDIRECT($B$5&amp;"生成成长"),3))*(VLOOKUP($B$5,标准坦克设计!$B$14:$K$20,9)/30))</f>
        <v>8.9535250146672851</v>
      </c>
      <c r="AG63" s="173">
        <f ca="1">(VLOOKUP(AG$41,INDIRECT($C$5&amp;"生成成长"),2))/((VLOOKUP($Q63,INDIRECT($B$5&amp;"生成成长"),4))/(VLOOKUP(AG$41,INDIRECT($C$5&amp;"生成成长"),5))*(VLOOKUP($B$5,标准坦克设计!$B$24:$U$30,MATCH("对"&amp;LEFT($C$5,2)&amp;"输出",标准坦克设计!$B$23:$U$23,0)))*(VLOOKUP($Q63,INDIRECT($B$5&amp;"生成成长"),3))*(VLOOKUP($B$5,标准坦克设计!$B$14:$K$20,9)/30))</f>
        <v>4.9301458770471251</v>
      </c>
      <c r="AH63" s="173">
        <f ca="1">(VLOOKUP(AH$41,INDIRECT($C$5&amp;"生成成长"),2))/((VLOOKUP($Q63,INDIRECT($B$5&amp;"生成成长"),4))/(VLOOKUP(AH$41,INDIRECT($C$5&amp;"生成成长"),5))*(VLOOKUP($B$5,标准坦克设计!$B$24:$U$30,MATCH("对"&amp;LEFT($C$5,2)&amp;"输出",标准坦克设计!$B$23:$U$23,0)))*(VLOOKUP($Q63,INDIRECT($B$5&amp;"生成成长"),3))*(VLOOKUP($B$5,标准坦克设计!$B$14:$K$20,9)/30))</f>
        <v>8.5778948526065513</v>
      </c>
      <c r="AI63" s="173">
        <f ca="1">(VLOOKUP(AI$41,INDIRECT($C$5&amp;"生成成长"),2))/((VLOOKUP($Q63,INDIRECT($B$5&amp;"生成成长"),4))/(VLOOKUP(AI$41,INDIRECT($C$5&amp;"生成成长"),5))*(VLOOKUP($B$5,标准坦克设计!$B$24:$U$30,MATCH("对"&amp;LEFT($C$5,2)&amp;"输出",标准坦克设计!$B$23:$U$23,0)))*(VLOOKUP($Q63,INDIRECT($B$5&amp;"生成成长"),3))*(VLOOKUP($B$5,标准坦克设计!$B$14:$K$20,9)/30))</f>
        <v>14.73107465017285</v>
      </c>
      <c r="AJ63" s="173">
        <f ca="1">(VLOOKUP(AJ$41,INDIRECT($C$5&amp;"生成成长"),2))/((VLOOKUP($Q63,INDIRECT($B$5&amp;"生成成长"),4))/(VLOOKUP(AJ$41,INDIRECT($C$5&amp;"生成成长"),5))*(VLOOKUP($B$5,标准坦克设计!$B$24:$U$30,MATCH("对"&amp;LEFT($C$5,2)&amp;"输出",标准坦克设计!$B$23:$U$23,0)))*(VLOOKUP($Q63,INDIRECT($B$5&amp;"生成成长"),3))*(VLOOKUP($B$5,标准坦克设计!$B$14:$K$20,9)/30))</f>
        <v>24.695447261671429</v>
      </c>
      <c r="AK63" s="173">
        <f ca="1">(VLOOKUP(AK$41,INDIRECT($C$5&amp;"生成成长"),2))/((VLOOKUP($Q63,INDIRECT($B$5&amp;"生成成长"),4))/(VLOOKUP(AK$41,INDIRECT($C$5&amp;"生成成长"),5))*(VLOOKUP($B$5,标准坦克设计!$B$24:$U$30,MATCH("对"&amp;LEFT($C$5,2)&amp;"输出",标准坦克设计!$B$23:$U$23,0)))*(VLOOKUP($Q63,INDIRECT($B$5&amp;"生成成长"),3))*(VLOOKUP($B$5,标准坦克设计!$B$14:$K$20,9)/30))</f>
        <v>9.0805237837449599</v>
      </c>
      <c r="AL63" s="173">
        <f ca="1">(VLOOKUP(AL$41,INDIRECT($C$5&amp;"生成成长"),2))/((VLOOKUP($Q63,INDIRECT($B$5&amp;"生成成长"),4))/(VLOOKUP(AL$41,INDIRECT($C$5&amp;"生成成长"),5))*(VLOOKUP($B$5,标准坦克设计!$B$24:$U$30,MATCH("对"&amp;LEFT($C$5,2)&amp;"输出",标准坦克设计!$B$23:$U$23,0)))*(VLOOKUP($Q63,INDIRECT($B$5&amp;"生成成长"),3))*(VLOOKUP($B$5,标准坦克设计!$B$14:$K$20,9)/30))</f>
        <v>15.5538835765916</v>
      </c>
      <c r="AM63" s="173">
        <f ca="1">(VLOOKUP(AM$41,INDIRECT($C$5&amp;"生成成长"),2))/((VLOOKUP($Q63,INDIRECT($B$5&amp;"生成成长"),4))/(VLOOKUP(AM$41,INDIRECT($C$5&amp;"生成成长"),5))*(VLOOKUP($B$5,标准坦克设计!$B$24:$U$30,MATCH("对"&amp;LEFT($C$5,2)&amp;"输出",标准坦克设计!$B$23:$U$23,0)))*(VLOOKUP($Q63,INDIRECT($B$5&amp;"生成成长"),3))*(VLOOKUP($B$5,标准坦克设计!$B$14:$K$20,9)/30))</f>
        <v>25.972589812677921</v>
      </c>
    </row>
    <row r="64" spans="16:39" x14ac:dyDescent="0.15">
      <c r="P64" s="175" t="str">
        <f t="shared" si="7"/>
        <v>T4高满</v>
      </c>
      <c r="Q64" s="179">
        <v>30418</v>
      </c>
      <c r="R64" s="173">
        <f ca="1">(VLOOKUP(R$41,INDIRECT($C$5&amp;"生成成长"),2))/((VLOOKUP($Q64,INDIRECT($B$5&amp;"生成成长"),4))/(VLOOKUP(R$41,INDIRECT($C$5&amp;"生成成长"),5))*(VLOOKUP($B$5,标准坦克设计!$B$24:$U$30,MATCH("对"&amp;LEFT($C$5,2)&amp;"输出",标准坦克设计!$B$23:$U$23,0)))*(VLOOKUP($Q64,INDIRECT($B$5&amp;"生成成长"),3))*(VLOOKUP($B$5,标准坦克设计!$B$14:$K$20,9)/30))</f>
        <v>0.65286985494222483</v>
      </c>
      <c r="S64" s="173">
        <f ca="1">(VLOOKUP(S$41,INDIRECT($C$5&amp;"生成成长"),2))/((VLOOKUP($Q64,INDIRECT($B$5&amp;"生成成长"),4))/(VLOOKUP(S$41,INDIRECT($C$5&amp;"生成成长"),5))*(VLOOKUP($B$5,标准坦克设计!$B$24:$U$30,MATCH("对"&amp;LEFT($C$5,2)&amp;"输出",标准坦克设计!$B$23:$U$23,0)))*(VLOOKUP($Q64,INDIRECT($B$5&amp;"生成成长"),3))*(VLOOKUP($B$5,标准坦克设计!$B$14:$K$20,9)/30))</f>
        <v>0.87850167681025759</v>
      </c>
      <c r="T64" s="173">
        <f ca="1">(VLOOKUP(T$41,INDIRECT($C$5&amp;"生成成长"),2))/((VLOOKUP($Q64,INDIRECT($B$5&amp;"生成成长"),4))/(VLOOKUP(T$41,INDIRECT($C$5&amp;"生成成长"),5))*(VLOOKUP($B$5,标准坦克设计!$B$24:$U$30,MATCH("对"&amp;LEFT($C$5,2)&amp;"输出",标准坦克设计!$B$23:$U$23,0)))*(VLOOKUP($Q64,INDIRECT($B$5&amp;"生成成长"),3))*(VLOOKUP($B$5,标准坦克设计!$B$14:$K$20,9)/30))</f>
        <v>1.3350535663713554</v>
      </c>
      <c r="U64" s="173">
        <f ca="1">(VLOOKUP(U$41,INDIRECT($C$5&amp;"生成成长"),2))/((VLOOKUP($Q64,INDIRECT($B$5&amp;"生成成长"),4))/(VLOOKUP(U$41,INDIRECT($C$5&amp;"生成成长"),5))*(VLOOKUP($B$5,标准坦克设计!$B$24:$U$30,MATCH("对"&amp;LEFT($C$5,2)&amp;"输出",标准坦克设计!$B$23:$U$23,0)))*(VLOOKUP($Q64,INDIRECT($B$5&amp;"生成成长"),3))*(VLOOKUP($B$5,标准坦克设计!$B$14:$K$20,9)/30))</f>
        <v>2.1863958572160169</v>
      </c>
      <c r="V64" s="173">
        <f ca="1">(VLOOKUP(V$41,INDIRECT($C$5&amp;"生成成长"),2))/((VLOOKUP($Q64,INDIRECT($B$5&amp;"生成成长"),4))/(VLOOKUP(V$41,INDIRECT($C$5&amp;"生成成长"),5))*(VLOOKUP($B$5,标准坦克设计!$B$24:$U$30,MATCH("对"&amp;LEFT($C$5,2)&amp;"输出",标准坦克设计!$B$23:$U$23,0)))*(VLOOKUP($Q64,INDIRECT($B$5&amp;"生成成长"),3))*(VLOOKUP($B$5,标准坦克设计!$B$14:$K$20,9)/30))</f>
        <v>0.90905598602155402</v>
      </c>
      <c r="W64" s="173">
        <f ca="1">(VLOOKUP(W$41,INDIRECT($C$5&amp;"生成成长"),2))/((VLOOKUP($Q64,INDIRECT($B$5&amp;"生成成长"),4))/(VLOOKUP(W$41,INDIRECT($C$5&amp;"生成成长"),5))*(VLOOKUP($B$5,标准坦克设计!$B$24:$U$30,MATCH("对"&amp;LEFT($C$5,2)&amp;"输出",标准坦克设计!$B$23:$U$23,0)))*(VLOOKUP($Q64,INDIRECT($B$5&amp;"生成成长"),3))*(VLOOKUP($B$5,标准坦克设计!$B$14:$K$20,9)/30))</f>
        <v>1.391657382794846</v>
      </c>
      <c r="X64" s="173">
        <f ca="1">(VLOOKUP(X$41,INDIRECT($C$5&amp;"生成成长"),2))/((VLOOKUP($Q64,INDIRECT($B$5&amp;"生成成长"),4))/(VLOOKUP(X$41,INDIRECT($C$5&amp;"生成成长"),5))*(VLOOKUP($B$5,标准坦克设计!$B$24:$U$30,MATCH("对"&amp;LEFT($C$5,2)&amp;"输出",标准坦克设计!$B$23:$U$23,0)))*(VLOOKUP($Q64,INDIRECT($B$5&amp;"生成成长"),3))*(VLOOKUP($B$5,标准坦克设计!$B$14:$K$20,9)/30))</f>
        <v>2.2830205957474656</v>
      </c>
      <c r="Y64" s="173">
        <f ca="1">(VLOOKUP(Y$41,INDIRECT($C$5&amp;"生成成长"),2))/((VLOOKUP($Q64,INDIRECT($B$5&amp;"生成成长"),4))/(VLOOKUP(Y$41,INDIRECT($C$5&amp;"生成成长"),5))*(VLOOKUP($B$5,标准坦克设计!$B$24:$U$30,MATCH("对"&amp;LEFT($C$5,2)&amp;"输出",标准坦克设计!$B$23:$U$23,0)))*(VLOOKUP($Q64,INDIRECT($B$5&amp;"生成成长"),3))*(VLOOKUP($B$5,标准坦克设计!$B$14:$K$20,9)/30))</f>
        <v>3.855131206448343</v>
      </c>
      <c r="Z64" s="173">
        <f ca="1">(VLOOKUP(Z$41,INDIRECT($C$5&amp;"生成成长"),2))/((VLOOKUP($Q64,INDIRECT($B$5&amp;"生成成长"),4))/(VLOOKUP(Z$41,INDIRECT($C$5&amp;"生成成长"),5))*(VLOOKUP($B$5,标准坦克设计!$B$24:$U$30,MATCH("对"&amp;LEFT($C$5,2)&amp;"输出",标准坦克设计!$B$23:$U$23,0)))*(VLOOKUP($Q64,INDIRECT($B$5&amp;"生成成长"),3))*(VLOOKUP($B$5,标准坦克设计!$B$14:$K$20,9)/30))</f>
        <v>1.449436364957233</v>
      </c>
      <c r="AA64" s="173">
        <f ca="1">(VLOOKUP(AA$41,INDIRECT($C$5&amp;"生成成长"),2))/((VLOOKUP($Q64,INDIRECT($B$5&amp;"生成成长"),4))/(VLOOKUP(AA$41,INDIRECT($C$5&amp;"生成成长"),5))*(VLOOKUP($B$5,标准坦克设计!$B$24:$U$30,MATCH("对"&amp;LEFT($C$5,2)&amp;"输出",标准坦克设计!$B$23:$U$23,0)))*(VLOOKUP($Q64,INDIRECT($B$5&amp;"生成成长"),3))*(VLOOKUP($B$5,标准坦克设计!$B$14:$K$20,9)/30))</f>
        <v>2.3817345178147304</v>
      </c>
      <c r="AB64" s="173">
        <f ca="1">(VLOOKUP(AB$41,INDIRECT($C$5&amp;"生成成长"),2))/((VLOOKUP($Q64,INDIRECT($B$5&amp;"生成成长"),4))/(VLOOKUP(AB$41,INDIRECT($C$5&amp;"生成成长"),5))*(VLOOKUP($B$5,标准坦克设计!$B$24:$U$30,MATCH("对"&amp;LEFT($C$5,2)&amp;"输出",标准坦克设计!$B$23:$U$23,0)))*(VLOOKUP($Q64,INDIRECT($B$5&amp;"生成成长"),3))*(VLOOKUP($B$5,标准坦克设计!$B$14:$K$20,9)/30))</f>
        <v>4.0154107558366583</v>
      </c>
      <c r="AC64" s="173">
        <f ca="1">(VLOOKUP(AC$41,INDIRECT($C$5&amp;"生成成长"),2))/((VLOOKUP($Q64,INDIRECT($B$5&amp;"生成成长"),4))/(VLOOKUP(AC$41,INDIRECT($C$5&amp;"生成成长"),5))*(VLOOKUP($B$5,标准坦克设计!$B$24:$U$30,MATCH("对"&amp;LEFT($C$5,2)&amp;"输出",标准坦克设计!$B$23:$U$23,0)))*(VLOOKUP($Q64,INDIRECT($B$5&amp;"生成成长"),3))*(VLOOKUP($B$5,标准坦克设计!$B$14:$K$20,9)/30))</f>
        <v>1.0038526889591646</v>
      </c>
      <c r="AD64" s="173">
        <f ca="1">(VLOOKUP(AD$41,INDIRECT($C$5&amp;"生成成长"),2))/((VLOOKUP($Q64,INDIRECT($B$5&amp;"生成成长"),4))/(VLOOKUP(AD$41,INDIRECT($C$5&amp;"生成成长"),5))*(VLOOKUP($B$5,标准坦克设计!$B$24:$U$30,MATCH("对"&amp;LEFT($C$5,2)&amp;"输出",标准坦克设计!$B$23:$U$23,0)))*(VLOOKUP($Q64,INDIRECT($B$5&amp;"生成成长"),3))*(VLOOKUP($B$5,标准坦克设计!$B$14:$K$20,9)/30))</f>
        <v>1.7559587618526076</v>
      </c>
      <c r="AE64" s="173">
        <f ca="1">(VLOOKUP(AE$41,INDIRECT($C$5&amp;"生成成长"),2))/((VLOOKUP($Q64,INDIRECT($B$5&amp;"生成成长"),4))/(VLOOKUP(AE$41,INDIRECT($C$5&amp;"生成成长"),5))*(VLOOKUP($B$5,标准坦克设计!$B$24:$U$30,MATCH("对"&amp;LEFT($C$5,2)&amp;"输出",标准坦克设计!$B$23:$U$23,0)))*(VLOOKUP($Q64,INDIRECT($B$5&amp;"生成成长"),3))*(VLOOKUP($B$5,标准坦克设计!$B$14:$K$20,9)/30))</f>
        <v>3.0178909044704341</v>
      </c>
      <c r="AF64" s="173">
        <f ca="1">(VLOOKUP(AF$41,INDIRECT($C$5&amp;"生成成长"),2))/((VLOOKUP($Q64,INDIRECT($B$5&amp;"生成成长"),4))/(VLOOKUP(AF$41,INDIRECT($C$5&amp;"生成成长"),5))*(VLOOKUP($B$5,标准坦克设计!$B$24:$U$30,MATCH("对"&amp;LEFT($C$5,2)&amp;"输出",标准坦克设计!$B$23:$U$23,0)))*(VLOOKUP($Q64,INDIRECT($B$5&amp;"生成成长"),3))*(VLOOKUP($B$5,标准坦克设计!$B$14:$K$20,9)/30))</f>
        <v>5.2287693812467841</v>
      </c>
      <c r="AG64" s="173">
        <f ca="1">(VLOOKUP(AG$41,INDIRECT($C$5&amp;"生成成长"),2))/((VLOOKUP($Q64,INDIRECT($B$5&amp;"生成成长"),4))/(VLOOKUP(AG$41,INDIRECT($C$5&amp;"生成成长"),5))*(VLOOKUP($B$5,标准坦克设计!$B$24:$U$30,MATCH("对"&amp;LEFT($C$5,2)&amp;"输出",标准坦克设计!$B$23:$U$23,0)))*(VLOOKUP($Q64,INDIRECT($B$5&amp;"生成成长"),3))*(VLOOKUP($B$5,标准坦克设计!$B$14:$K$20,9)/30))</f>
        <v>2.8791560602952115</v>
      </c>
      <c r="AH64" s="173">
        <f ca="1">(VLOOKUP(AH$41,INDIRECT($C$5&amp;"生成成长"),2))/((VLOOKUP($Q64,INDIRECT($B$5&amp;"生成成长"),4))/(VLOOKUP(AH$41,INDIRECT($C$5&amp;"生成成长"),5))*(VLOOKUP($B$5,标准坦克设计!$B$24:$U$30,MATCH("对"&amp;LEFT($C$5,2)&amp;"输出",标准坦克设计!$B$23:$U$23,0)))*(VLOOKUP($Q64,INDIRECT($B$5&amp;"生成成长"),3))*(VLOOKUP($B$5,标准坦克设计!$B$14:$K$20,9)/30))</f>
        <v>5.0094051099861954</v>
      </c>
      <c r="AI64" s="173">
        <f ca="1">(VLOOKUP(AI$41,INDIRECT($C$5&amp;"生成成长"),2))/((VLOOKUP($Q64,INDIRECT($B$5&amp;"生成成长"),4))/(VLOOKUP(AI$41,INDIRECT($C$5&amp;"生成成长"),5))*(VLOOKUP($B$5,标准坦克设计!$B$24:$U$30,MATCH("对"&amp;LEFT($C$5,2)&amp;"输出",标准坦克设计!$B$23:$U$23,0)))*(VLOOKUP($Q64,INDIRECT($B$5&amp;"生成成长"),3))*(VLOOKUP($B$5,标准坦克设计!$B$14:$K$20,9)/30))</f>
        <v>8.6028007915882014</v>
      </c>
      <c r="AJ64" s="173">
        <f ca="1">(VLOOKUP(AJ$41,INDIRECT($C$5&amp;"生成成长"),2))/((VLOOKUP($Q64,INDIRECT($B$5&amp;"生成成长"),4))/(VLOOKUP(AJ$41,INDIRECT($C$5&amp;"生成成长"),5))*(VLOOKUP($B$5,标准坦克设计!$B$24:$U$30,MATCH("对"&amp;LEFT($C$5,2)&amp;"输出",标准坦克设计!$B$23:$U$23,0)))*(VLOOKUP($Q64,INDIRECT($B$5&amp;"生成成长"),3))*(VLOOKUP($B$5,标准坦克设计!$B$14:$K$20,9)/30))</f>
        <v>14.421895095673746</v>
      </c>
      <c r="AK64" s="173">
        <f ca="1">(VLOOKUP(AK$41,INDIRECT($C$5&amp;"生成成长"),2))/((VLOOKUP($Q64,INDIRECT($B$5&amp;"生成成长"),4))/(VLOOKUP(AK$41,INDIRECT($C$5&amp;"生成成长"),5))*(VLOOKUP($B$5,标准坦克设计!$B$24:$U$30,MATCH("对"&amp;LEFT($C$5,2)&amp;"输出",标准坦克设计!$B$23:$U$23,0)))*(VLOOKUP($Q64,INDIRECT($B$5&amp;"生成成长"),3))*(VLOOKUP($B$5,标准坦克设计!$B$14:$K$20,9)/30))</f>
        <v>5.3029353967682207</v>
      </c>
      <c r="AL64" s="173">
        <f ca="1">(VLOOKUP(AL$41,INDIRECT($C$5&amp;"生成成长"),2))/((VLOOKUP($Q64,INDIRECT($B$5&amp;"生成成长"),4))/(VLOOKUP(AL$41,INDIRECT($C$5&amp;"生成成长"),5))*(VLOOKUP($B$5,标准坦克设计!$B$24:$U$30,MATCH("对"&amp;LEFT($C$5,2)&amp;"输出",标准坦克设计!$B$23:$U$23,0)))*(VLOOKUP($Q64,INDIRECT($B$5&amp;"生成成长"),3))*(VLOOKUP($B$5,标准坦克设计!$B$14:$K$20,9)/30))</f>
        <v>9.083313004825678</v>
      </c>
      <c r="AM64" s="173">
        <f ca="1">(VLOOKUP(AM$41,INDIRECT($C$5&amp;"生成成长"),2))/((VLOOKUP($Q64,INDIRECT($B$5&amp;"生成成长"),4))/(VLOOKUP(AM$41,INDIRECT($C$5&amp;"生成成长"),5))*(VLOOKUP($B$5,标准坦克设计!$B$24:$U$30,MATCH("对"&amp;LEFT($C$5,2)&amp;"输出",标准坦克设计!$B$23:$U$23,0)))*(VLOOKUP($Q64,INDIRECT($B$5&amp;"生成成长"),3))*(VLOOKUP($B$5,标准坦克设计!$B$14:$K$20,9)/30))</f>
        <v>15.167733617959742</v>
      </c>
    </row>
    <row r="65" spans="1:167" x14ac:dyDescent="0.15">
      <c r="P65" s="175" t="str">
        <f t="shared" si="7"/>
        <v>T5高满</v>
      </c>
      <c r="Q65" s="179">
        <v>30521</v>
      </c>
      <c r="R65" s="173">
        <f ca="1">(VLOOKUP(R$41,INDIRECT($C$5&amp;"生成成长"),2))/((VLOOKUP($Q65,INDIRECT($B$5&amp;"生成成长"),4))/(VLOOKUP(R$41,INDIRECT($C$5&amp;"生成成长"),5))*(VLOOKUP($B$5,标准坦克设计!$B$24:$U$30,MATCH("对"&amp;LEFT($C$5,2)&amp;"输出",标准坦克设计!$B$23:$U$23,0)))*(VLOOKUP($Q65,INDIRECT($B$5&amp;"生成成长"),3))*(VLOOKUP($B$5,标准坦克设计!$B$14:$K$20,9)/30))</f>
        <v>0.39076317967861013</v>
      </c>
      <c r="S65" s="173">
        <f ca="1">(VLOOKUP(S$41,INDIRECT($C$5&amp;"生成成长"),2))/((VLOOKUP($Q65,INDIRECT($B$5&amp;"生成成长"),4))/(VLOOKUP(S$41,INDIRECT($C$5&amp;"生成成长"),5))*(VLOOKUP($B$5,标准坦克设计!$B$24:$U$30,MATCH("对"&amp;LEFT($C$5,2)&amp;"输出",标准坦克设计!$B$23:$U$23,0)))*(VLOOKUP($Q65,INDIRECT($B$5&amp;"生成成长"),3))*(VLOOKUP($B$5,标准坦克设计!$B$14:$K$20,9)/30))</f>
        <v>0.52581093457553785</v>
      </c>
      <c r="T65" s="173">
        <f ca="1">(VLOOKUP(T$41,INDIRECT($C$5&amp;"生成成长"),2))/((VLOOKUP($Q65,INDIRECT($B$5&amp;"生成成长"),4))/(VLOOKUP(T$41,INDIRECT($C$5&amp;"生成成长"),5))*(VLOOKUP($B$5,标准坦克设计!$B$24:$U$30,MATCH("对"&amp;LEFT($C$5,2)&amp;"输出",标准坦克设计!$B$23:$U$23,0)))*(VLOOKUP($Q65,INDIRECT($B$5&amp;"生成成长"),3))*(VLOOKUP($B$5,标准坦克设计!$B$14:$K$20,9)/30))</f>
        <v>0.79907162612478999</v>
      </c>
      <c r="U65" s="173">
        <f ca="1">(VLOOKUP(U$41,INDIRECT($C$5&amp;"生成成长"),2))/((VLOOKUP($Q65,INDIRECT($B$5&amp;"生成成长"),4))/(VLOOKUP(U$41,INDIRECT($C$5&amp;"生成成长"),5))*(VLOOKUP($B$5,标准坦克设计!$B$24:$U$30,MATCH("对"&amp;LEFT($C$5,2)&amp;"输出",标准坦克设计!$B$23:$U$23,0)))*(VLOOKUP($Q65,INDIRECT($B$5&amp;"生成成长"),3))*(VLOOKUP($B$5,标准坦克设计!$B$14:$K$20,9)/30))</f>
        <v>1.3086268124256977</v>
      </c>
      <c r="V65" s="173">
        <f ca="1">(VLOOKUP(V$41,INDIRECT($C$5&amp;"生成成长"),2))/((VLOOKUP($Q65,INDIRECT($B$5&amp;"生成成长"),4))/(VLOOKUP(V$41,INDIRECT($C$5&amp;"生成成长"),5))*(VLOOKUP($B$5,标准坦克设计!$B$24:$U$30,MATCH("对"&amp;LEFT($C$5,2)&amp;"输出",标准坦克设计!$B$23:$U$23,0)))*(VLOOKUP($Q65,INDIRECT($B$5&amp;"生成成长"),3))*(VLOOKUP($B$5,标准坦克设计!$B$14:$K$20,9)/30))</f>
        <v>0.54409865138449687</v>
      </c>
      <c r="W65" s="173">
        <f ca="1">(VLOOKUP(W$41,INDIRECT($C$5&amp;"生成成长"),2))/((VLOOKUP($Q65,INDIRECT($B$5&amp;"生成成长"),4))/(VLOOKUP(W$41,INDIRECT($C$5&amp;"生成成长"),5))*(VLOOKUP($B$5,标准坦克设计!$B$24:$U$30,MATCH("对"&amp;LEFT($C$5,2)&amp;"输出",标准坦克设计!$B$23:$U$23,0)))*(VLOOKUP($Q65,INDIRECT($B$5&amp;"生成成长"),3))*(VLOOKUP($B$5,标准坦克设计!$B$14:$K$20,9)/30))</f>
        <v>0.83295079380292536</v>
      </c>
      <c r="X65" s="173">
        <f ca="1">(VLOOKUP(X$41,INDIRECT($C$5&amp;"生成成长"),2))/((VLOOKUP($Q65,INDIRECT($B$5&amp;"生成成长"),4))/(VLOOKUP(X$41,INDIRECT($C$5&amp;"生成成长"),5))*(VLOOKUP($B$5,标准坦克设计!$B$24:$U$30,MATCH("对"&amp;LEFT($C$5,2)&amp;"输出",标准坦克设计!$B$23:$U$23,0)))*(VLOOKUP($Q65,INDIRECT($B$5&amp;"生成成长"),3))*(VLOOKUP($B$5,标准坦克设计!$B$14:$K$20,9)/30))</f>
        <v>1.3664597630181319</v>
      </c>
      <c r="Y65" s="173">
        <f ca="1">(VLOOKUP(Y$41,INDIRECT($C$5&amp;"生成成长"),2))/((VLOOKUP($Q65,INDIRECT($B$5&amp;"生成成长"),4))/(VLOOKUP(Y$41,INDIRECT($C$5&amp;"生成成长"),5))*(VLOOKUP($B$5,标准坦克设计!$B$24:$U$30,MATCH("对"&amp;LEFT($C$5,2)&amp;"输出",标准坦克设计!$B$23:$U$23,0)))*(VLOOKUP($Q65,INDIRECT($B$5&amp;"生成成长"),3))*(VLOOKUP($B$5,标准坦克设计!$B$14:$K$20,9)/30))</f>
        <v>2.3074174996842256</v>
      </c>
      <c r="Z65" s="173">
        <f ca="1">(VLOOKUP(Z$41,INDIRECT($C$5&amp;"生成成长"),2))/((VLOOKUP($Q65,INDIRECT($B$5&amp;"生成成长"),4))/(VLOOKUP(Z$41,INDIRECT($C$5&amp;"生成成长"),5))*(VLOOKUP($B$5,标准坦克设计!$B$24:$U$30,MATCH("对"&amp;LEFT($C$5,2)&amp;"输出",标准坦克设计!$B$23:$U$23,0)))*(VLOOKUP($Q65,INDIRECT($B$5&amp;"生成成长"),3))*(VLOOKUP($B$5,标准坦克设计!$B$14:$K$20,9)/30))</f>
        <v>0.8675333352044825</v>
      </c>
      <c r="AA65" s="173">
        <f ca="1">(VLOOKUP(AA$41,INDIRECT($C$5&amp;"生成成长"),2))/((VLOOKUP($Q65,INDIRECT($B$5&amp;"生成成长"),4))/(VLOOKUP(AA$41,INDIRECT($C$5&amp;"生成成长"),5))*(VLOOKUP($B$5,标准坦克设计!$B$24:$U$30,MATCH("对"&amp;LEFT($C$5,2)&amp;"输出",标准坦克设计!$B$23:$U$23,0)))*(VLOOKUP($Q65,INDIRECT($B$5&amp;"生成成长"),3))*(VLOOKUP($B$5,标准坦克设计!$B$14:$K$20,9)/30))</f>
        <v>1.4255431557855378</v>
      </c>
      <c r="AB65" s="173">
        <f ca="1">(VLOOKUP(AB$41,INDIRECT($C$5&amp;"生成成长"),2))/((VLOOKUP($Q65,INDIRECT($B$5&amp;"生成成长"),4))/(VLOOKUP(AB$41,INDIRECT($C$5&amp;"生成成长"),5))*(VLOOKUP($B$5,标准坦克设计!$B$24:$U$30,MATCH("对"&amp;LEFT($C$5,2)&amp;"输出",标准坦克设计!$B$23:$U$23,0)))*(VLOOKUP($Q65,INDIRECT($B$5&amp;"生成成长"),3))*(VLOOKUP($B$5,标准坦克设计!$B$14:$K$20,9)/30))</f>
        <v>2.4033498602953238</v>
      </c>
      <c r="AC65" s="173">
        <f ca="1">(VLOOKUP(AC$41,INDIRECT($C$5&amp;"生成成长"),2))/((VLOOKUP($Q65,INDIRECT($B$5&amp;"生成成长"),4))/(VLOOKUP(AC$41,INDIRECT($C$5&amp;"生成成长"),5))*(VLOOKUP($B$5,标准坦克设计!$B$24:$U$30,MATCH("对"&amp;LEFT($C$5,2)&amp;"输出",标准坦克设计!$B$23:$U$23,0)))*(VLOOKUP($Q65,INDIRECT($B$5&amp;"生成成长"),3))*(VLOOKUP($B$5,标准坦克设计!$B$14:$K$20,9)/30))</f>
        <v>0.60083746507383096</v>
      </c>
      <c r="AD65" s="173">
        <f ca="1">(VLOOKUP(AD$41,INDIRECT($C$5&amp;"生成成长"),2))/((VLOOKUP($Q65,INDIRECT($B$5&amp;"生成成长"),4))/(VLOOKUP(AD$41,INDIRECT($C$5&amp;"生成成长"),5))*(VLOOKUP($B$5,标准坦克设计!$B$24:$U$30,MATCH("对"&amp;LEFT($C$5,2)&amp;"输出",标准坦克设计!$B$23:$U$23,0)))*(VLOOKUP($Q65,INDIRECT($B$5&amp;"生成成长"),3))*(VLOOKUP($B$5,标准坦克设计!$B$14:$K$20,9)/30))</f>
        <v>1.0509966480635897</v>
      </c>
      <c r="AE65" s="173">
        <f ca="1">(VLOOKUP(AE$41,INDIRECT($C$5&amp;"生成成长"),2))/((VLOOKUP($Q65,INDIRECT($B$5&amp;"生成成长"),4))/(VLOOKUP(AE$41,INDIRECT($C$5&amp;"生成成长"),5))*(VLOOKUP($B$5,标准坦克设计!$B$24:$U$30,MATCH("对"&amp;LEFT($C$5,2)&amp;"输出",标准坦克设计!$B$23:$U$23,0)))*(VLOOKUP($Q65,INDIRECT($B$5&amp;"生成成长"),3))*(VLOOKUP($B$5,标准坦克设计!$B$14:$K$20,9)/30))</f>
        <v>1.8063027980643758</v>
      </c>
      <c r="AF65" s="173">
        <f ca="1">(VLOOKUP(AF$41,INDIRECT($C$5&amp;"生成成长"),2))/((VLOOKUP($Q65,INDIRECT($B$5&amp;"生成成长"),4))/(VLOOKUP(AF$41,INDIRECT($C$5&amp;"生成成长"),5))*(VLOOKUP($B$5,标准坦克设计!$B$24:$U$30,MATCH("对"&amp;LEFT($C$5,2)&amp;"输出",标准坦克设计!$B$23:$U$23,0)))*(VLOOKUP($Q65,INDIRECT($B$5&amp;"生成成长"),3))*(VLOOKUP($B$5,标准坦克设计!$B$14:$K$20,9)/30))</f>
        <v>3.1295832297280213</v>
      </c>
      <c r="AG65" s="173">
        <f ca="1">(VLOOKUP(AG$41,INDIRECT($C$5&amp;"生成成长"),2))/((VLOOKUP($Q65,INDIRECT($B$5&amp;"生成成长"),4))/(VLOOKUP(AG$41,INDIRECT($C$5&amp;"生成成长"),5))*(VLOOKUP($B$5,标准坦克设计!$B$24:$U$30,MATCH("对"&amp;LEFT($C$5,2)&amp;"输出",标准坦克设计!$B$23:$U$23,0)))*(VLOOKUP($Q65,INDIRECT($B$5&amp;"生成成长"),3))*(VLOOKUP($B$5,标准坦克设计!$B$14:$K$20,9)/30))</f>
        <v>1.7232656223826712</v>
      </c>
      <c r="AH65" s="173">
        <f ca="1">(VLOOKUP(AH$41,INDIRECT($C$5&amp;"生成成长"),2))/((VLOOKUP($Q65,INDIRECT($B$5&amp;"生成成长"),4))/(VLOOKUP(AH$41,INDIRECT($C$5&amp;"生成成长"),5))*(VLOOKUP($B$5,标准坦克设计!$B$24:$U$30,MATCH("对"&amp;LEFT($C$5,2)&amp;"输出",标准坦克设计!$B$23:$U$23,0)))*(VLOOKUP($Q65,INDIRECT($B$5&amp;"生成成长"),3))*(VLOOKUP($B$5,标准坦克设计!$B$14:$K$20,9)/30))</f>
        <v>2.998286801356008</v>
      </c>
      <c r="AI65" s="173">
        <f ca="1">(VLOOKUP(AI$41,INDIRECT($C$5&amp;"生成成长"),2))/((VLOOKUP($Q65,INDIRECT($B$5&amp;"生成成长"),4))/(VLOOKUP(AI$41,INDIRECT($C$5&amp;"生成成长"),5))*(VLOOKUP($B$5,标准坦克设计!$B$24:$U$30,MATCH("对"&amp;LEFT($C$5,2)&amp;"输出",标准坦克设计!$B$23:$U$23,0)))*(VLOOKUP($Q65,INDIRECT($B$5&amp;"生成成长"),3))*(VLOOKUP($B$5,标准坦克设计!$B$14:$K$20,9)/30))</f>
        <v>5.1490473423070791</v>
      </c>
      <c r="AJ65" s="173">
        <f ca="1">(VLOOKUP(AJ$41,INDIRECT($C$5&amp;"生成成长"),2))/((VLOOKUP($Q65,INDIRECT($B$5&amp;"生成成长"),4))/(VLOOKUP(AJ$41,INDIRECT($C$5&amp;"生成成长"),5))*(VLOOKUP($B$5,标准坦克设计!$B$24:$U$30,MATCH("对"&amp;LEFT($C$5,2)&amp;"输出",标准坦克设计!$B$23:$U$23,0)))*(VLOOKUP($Q65,INDIRECT($B$5&amp;"生成成长"),3))*(VLOOKUP($B$5,标准坦克设计!$B$14:$K$20,9)/30))</f>
        <v>8.6319586391004979</v>
      </c>
      <c r="AK65" s="173">
        <f ca="1">(VLOOKUP(AK$41,INDIRECT($C$5&amp;"生成成长"),2))/((VLOOKUP($Q65,INDIRECT($B$5&amp;"生成成长"),4))/(VLOOKUP(AK$41,INDIRECT($C$5&amp;"生成成长"),5))*(VLOOKUP($B$5,标准坦克设计!$B$24:$U$30,MATCH("对"&amp;LEFT($C$5,2)&amp;"输出",标准坦克设计!$B$23:$U$23,0)))*(VLOOKUP($Q65,INDIRECT($B$5&amp;"生成成长"),3))*(VLOOKUP($B$5,标准坦克设计!$B$14:$K$20,9)/30))</f>
        <v>3.1739739269395115</v>
      </c>
      <c r="AL65" s="173">
        <f ca="1">(VLOOKUP(AL$41,INDIRECT($C$5&amp;"生成成长"),2))/((VLOOKUP($Q65,INDIRECT($B$5&amp;"生成成长"),4))/(VLOOKUP(AL$41,INDIRECT($C$5&amp;"生成成长"),5))*(VLOOKUP($B$5,标准坦克设计!$B$24:$U$30,MATCH("对"&amp;LEFT($C$5,2)&amp;"输出",标准坦克设计!$B$23:$U$23,0)))*(VLOOKUP($Q65,INDIRECT($B$5&amp;"生成成长"),3))*(VLOOKUP($B$5,标准坦克设计!$B$14:$K$20,9)/30))</f>
        <v>5.4366490425505356</v>
      </c>
      <c r="AM65" s="173">
        <f ca="1">(VLOOKUP(AM$41,INDIRECT($C$5&amp;"生成成长"),2))/((VLOOKUP($Q65,INDIRECT($B$5&amp;"生成成长"),4))/(VLOOKUP(AM$41,INDIRECT($C$5&amp;"生成成长"),5))*(VLOOKUP($B$5,标准坦克设计!$B$24:$U$30,MATCH("对"&amp;LEFT($C$5,2)&amp;"输出",标准坦克设计!$B$23:$U$23,0)))*(VLOOKUP($Q65,INDIRECT($B$5&amp;"生成成长"),3))*(VLOOKUP($B$5,标准坦克设计!$B$14:$K$20,9)/30))</f>
        <v>9.0783664955653443</v>
      </c>
    </row>
    <row r="71" spans="1:167" x14ac:dyDescent="0.15">
      <c r="A71" s="180" t="s">
        <v>883</v>
      </c>
      <c r="B71" s="181"/>
      <c r="C71" s="169" t="str">
        <f>"T"&amp;LEFT(RIGHT(C72,3),1)&amp;""&amp;IF(LEFT(C72,1)="1","低品质",IF(LEFT(C72,1)="2","中品质","高品质"))&amp;""&amp;IF(LEFT(RIGHT(C72,2),1)="0",RIGHT(C72,1),RIGHT(C72,2))&amp;"级"</f>
        <v>T1低品质1级</v>
      </c>
      <c r="D71" s="169" t="str">
        <f t="shared" ref="D71:BO71" si="8">"T"&amp;LEFT(RIGHT(D72,3),1)&amp;""&amp;IF(LEFT(D72,1)="1","低品质",IF(LEFT(D72,1)="2","中品质","高品质"))&amp;""&amp;IF(LEFT(RIGHT(D72,2),1)="0",RIGHT(D72,1),RIGHT(D72,2))&amp;"级"</f>
        <v>T1低品质2级</v>
      </c>
      <c r="E71" s="169" t="str">
        <f t="shared" si="8"/>
        <v>T1低品质3级</v>
      </c>
      <c r="F71" s="169" t="str">
        <f t="shared" si="8"/>
        <v>T1低品质4级</v>
      </c>
      <c r="G71" s="169" t="str">
        <f t="shared" si="8"/>
        <v>T1低品质5级</v>
      </c>
      <c r="H71" s="169" t="str">
        <f t="shared" si="8"/>
        <v>T2低品质1级</v>
      </c>
      <c r="I71" s="169" t="str">
        <f t="shared" si="8"/>
        <v>T2低品质2级</v>
      </c>
      <c r="J71" s="169" t="str">
        <f t="shared" si="8"/>
        <v>T2低品质3级</v>
      </c>
      <c r="K71" s="169" t="str">
        <f t="shared" si="8"/>
        <v>T2低品质4级</v>
      </c>
      <c r="L71" s="169" t="str">
        <f t="shared" si="8"/>
        <v>T2低品质5级</v>
      </c>
      <c r="M71" s="169" t="str">
        <f t="shared" si="8"/>
        <v>T2低品质6级</v>
      </c>
      <c r="N71" s="169" t="str">
        <f t="shared" si="8"/>
        <v>T2低品质7级</v>
      </c>
      <c r="O71" s="169" t="str">
        <f t="shared" si="8"/>
        <v>T3低品质1级</v>
      </c>
      <c r="P71" s="169" t="str">
        <f t="shared" si="8"/>
        <v>T3低品质2级</v>
      </c>
      <c r="Q71" s="169" t="str">
        <f t="shared" si="8"/>
        <v>T3低品质3级</v>
      </c>
      <c r="R71" s="169" t="str">
        <f t="shared" si="8"/>
        <v>T3低品质4级</v>
      </c>
      <c r="S71" s="169" t="str">
        <f t="shared" si="8"/>
        <v>T3低品质5级</v>
      </c>
      <c r="T71" s="169" t="str">
        <f t="shared" si="8"/>
        <v>T3低品质6级</v>
      </c>
      <c r="U71" s="169" t="str">
        <f t="shared" si="8"/>
        <v>T3低品质7级</v>
      </c>
      <c r="V71" s="169" t="str">
        <f t="shared" si="8"/>
        <v>T3低品质8级</v>
      </c>
      <c r="W71" s="169" t="str">
        <f t="shared" si="8"/>
        <v>T3低品质9级</v>
      </c>
      <c r="X71" s="169" t="str">
        <f t="shared" si="8"/>
        <v>T4低品质1级</v>
      </c>
      <c r="Y71" s="169" t="str">
        <f t="shared" si="8"/>
        <v>T4低品质2级</v>
      </c>
      <c r="Z71" s="169" t="str">
        <f t="shared" si="8"/>
        <v>T4低品质3级</v>
      </c>
      <c r="AA71" s="169" t="str">
        <f t="shared" si="8"/>
        <v>T4低品质4级</v>
      </c>
      <c r="AB71" s="169" t="str">
        <f t="shared" si="8"/>
        <v>T4低品质5级</v>
      </c>
      <c r="AC71" s="169" t="str">
        <f t="shared" si="8"/>
        <v>T4低品质6级</v>
      </c>
      <c r="AD71" s="169" t="str">
        <f t="shared" si="8"/>
        <v>T4低品质7级</v>
      </c>
      <c r="AE71" s="169" t="str">
        <f t="shared" si="8"/>
        <v>T4低品质8级</v>
      </c>
      <c r="AF71" s="169" t="str">
        <f t="shared" si="8"/>
        <v>T4低品质9级</v>
      </c>
      <c r="AG71" s="169" t="str">
        <f t="shared" si="8"/>
        <v>T4低品质10级</v>
      </c>
      <c r="AH71" s="169" t="str">
        <f t="shared" si="8"/>
        <v>T4低品质11级</v>
      </c>
      <c r="AI71" s="169" t="str">
        <f t="shared" si="8"/>
        <v>T5低品质1级</v>
      </c>
      <c r="AJ71" s="169" t="str">
        <f t="shared" si="8"/>
        <v>T5低品质2级</v>
      </c>
      <c r="AK71" s="169" t="str">
        <f t="shared" si="8"/>
        <v>T5低品质3级</v>
      </c>
      <c r="AL71" s="169" t="str">
        <f t="shared" si="8"/>
        <v>T5低品质4级</v>
      </c>
      <c r="AM71" s="169" t="str">
        <f t="shared" si="8"/>
        <v>T5低品质5级</v>
      </c>
      <c r="AN71" s="169" t="str">
        <f t="shared" si="8"/>
        <v>T5低品质6级</v>
      </c>
      <c r="AO71" s="169" t="str">
        <f t="shared" si="8"/>
        <v>T5低品质7级</v>
      </c>
      <c r="AP71" s="169" t="str">
        <f t="shared" si="8"/>
        <v>T5低品质8级</v>
      </c>
      <c r="AQ71" s="169" t="str">
        <f t="shared" si="8"/>
        <v>T5低品质9级</v>
      </c>
      <c r="AR71" s="169" t="str">
        <f t="shared" si="8"/>
        <v>T5低品质10级</v>
      </c>
      <c r="AS71" s="169" t="str">
        <f t="shared" si="8"/>
        <v>T5低品质11级</v>
      </c>
      <c r="AT71" s="169" t="str">
        <f t="shared" si="8"/>
        <v>T5低品质12级</v>
      </c>
      <c r="AU71" s="169" t="str">
        <f t="shared" si="8"/>
        <v>T5低品质13级</v>
      </c>
      <c r="AV71" s="169" t="str">
        <f t="shared" si="8"/>
        <v>T2中品质1级</v>
      </c>
      <c r="AW71" s="169" t="str">
        <f t="shared" si="8"/>
        <v>T2中品质2级</v>
      </c>
      <c r="AX71" s="169" t="str">
        <f t="shared" si="8"/>
        <v>T2中品质3级</v>
      </c>
      <c r="AY71" s="169" t="str">
        <f t="shared" si="8"/>
        <v>T2中品质4级</v>
      </c>
      <c r="AZ71" s="169" t="str">
        <f t="shared" si="8"/>
        <v>T2中品质5级</v>
      </c>
      <c r="BA71" s="169" t="str">
        <f t="shared" si="8"/>
        <v>T2中品质6级</v>
      </c>
      <c r="BB71" s="169" t="str">
        <f t="shared" si="8"/>
        <v>T2中品质7级</v>
      </c>
      <c r="BC71" s="169" t="str">
        <f t="shared" si="8"/>
        <v>T2中品质8级</v>
      </c>
      <c r="BD71" s="169" t="str">
        <f t="shared" si="8"/>
        <v>T2中品质9级</v>
      </c>
      <c r="BE71" s="169" t="str">
        <f t="shared" si="8"/>
        <v>T2中品质10级</v>
      </c>
      <c r="BF71" s="169" t="str">
        <f t="shared" si="8"/>
        <v>T2中品质11级</v>
      </c>
      <c r="BG71" s="169" t="str">
        <f t="shared" si="8"/>
        <v>T2中品质12级</v>
      </c>
      <c r="BH71" s="169" t="str">
        <f t="shared" si="8"/>
        <v>T3中品质1级</v>
      </c>
      <c r="BI71" s="169" t="str">
        <f t="shared" si="8"/>
        <v>T3中品质2级</v>
      </c>
      <c r="BJ71" s="169" t="str">
        <f t="shared" si="8"/>
        <v>T3中品质3级</v>
      </c>
      <c r="BK71" s="169" t="str">
        <f t="shared" si="8"/>
        <v>T3中品质4级</v>
      </c>
      <c r="BL71" s="169" t="str">
        <f t="shared" si="8"/>
        <v>T3中品质5级</v>
      </c>
      <c r="BM71" s="169" t="str">
        <f t="shared" si="8"/>
        <v>T3中品质6级</v>
      </c>
      <c r="BN71" s="169" t="str">
        <f t="shared" si="8"/>
        <v>T3中品质7级</v>
      </c>
      <c r="BO71" s="169" t="str">
        <f t="shared" si="8"/>
        <v>T3中品质8级</v>
      </c>
      <c r="BP71" s="169" t="str">
        <f t="shared" ref="BP71:EA71" si="9">"T"&amp;LEFT(RIGHT(BP72,3),1)&amp;""&amp;IF(LEFT(BP72,1)="1","低品质",IF(LEFT(BP72,1)="2","中品质","高品质"))&amp;""&amp;IF(LEFT(RIGHT(BP72,2),1)="0",RIGHT(BP72,1),RIGHT(BP72,2))&amp;"级"</f>
        <v>T3中品质9级</v>
      </c>
      <c r="BQ71" s="169" t="str">
        <f t="shared" si="9"/>
        <v>T3中品质10级</v>
      </c>
      <c r="BR71" s="169" t="str">
        <f t="shared" si="9"/>
        <v>T3中品质11级</v>
      </c>
      <c r="BS71" s="169" t="str">
        <f t="shared" si="9"/>
        <v>T3中品质12级</v>
      </c>
      <c r="BT71" s="169" t="str">
        <f t="shared" si="9"/>
        <v>T3中品质13级</v>
      </c>
      <c r="BU71" s="169" t="str">
        <f t="shared" si="9"/>
        <v>T3中品质14级</v>
      </c>
      <c r="BV71" s="169" t="str">
        <f t="shared" si="9"/>
        <v>T3中品质15级</v>
      </c>
      <c r="BW71" s="169" t="str">
        <f t="shared" si="9"/>
        <v>T4中品质1级</v>
      </c>
      <c r="BX71" s="169" t="str">
        <f t="shared" si="9"/>
        <v>T4中品质2级</v>
      </c>
      <c r="BY71" s="169" t="str">
        <f t="shared" si="9"/>
        <v>T4中品质3级</v>
      </c>
      <c r="BZ71" s="169" t="str">
        <f t="shared" si="9"/>
        <v>T4中品质4级</v>
      </c>
      <c r="CA71" s="169" t="str">
        <f t="shared" si="9"/>
        <v>T4中品质5级</v>
      </c>
      <c r="CB71" s="169" t="str">
        <f t="shared" si="9"/>
        <v>T4中品质6级</v>
      </c>
      <c r="CC71" s="169" t="str">
        <f t="shared" si="9"/>
        <v>T4中品质7级</v>
      </c>
      <c r="CD71" s="169" t="str">
        <f t="shared" si="9"/>
        <v>T4中品质8级</v>
      </c>
      <c r="CE71" s="169" t="str">
        <f t="shared" si="9"/>
        <v>T4中品质9级</v>
      </c>
      <c r="CF71" s="169" t="str">
        <f t="shared" si="9"/>
        <v>T4中品质10级</v>
      </c>
      <c r="CG71" s="169" t="str">
        <f t="shared" si="9"/>
        <v>T4中品质11级</v>
      </c>
      <c r="CH71" s="169" t="str">
        <f t="shared" si="9"/>
        <v>T4中品质12级</v>
      </c>
      <c r="CI71" s="169" t="str">
        <f t="shared" si="9"/>
        <v>T4中品质13级</v>
      </c>
      <c r="CJ71" s="169" t="str">
        <f t="shared" si="9"/>
        <v>T4中品质14级</v>
      </c>
      <c r="CK71" s="169" t="str">
        <f t="shared" si="9"/>
        <v>T4中品质15级</v>
      </c>
      <c r="CL71" s="169" t="str">
        <f t="shared" si="9"/>
        <v>T4中品质16级</v>
      </c>
      <c r="CM71" s="169" t="str">
        <f t="shared" si="9"/>
        <v>T4中品质17级</v>
      </c>
      <c r="CN71" s="169" t="str">
        <f t="shared" si="9"/>
        <v>T4中品质18级</v>
      </c>
      <c r="CO71" s="169" t="str">
        <f t="shared" si="9"/>
        <v>T5中品质1级</v>
      </c>
      <c r="CP71" s="169" t="str">
        <f t="shared" si="9"/>
        <v>T5中品质2级</v>
      </c>
      <c r="CQ71" s="169" t="str">
        <f t="shared" si="9"/>
        <v>T5中品质3级</v>
      </c>
      <c r="CR71" s="169" t="str">
        <f t="shared" si="9"/>
        <v>T5中品质4级</v>
      </c>
      <c r="CS71" s="169" t="str">
        <f t="shared" si="9"/>
        <v>T5中品质5级</v>
      </c>
      <c r="CT71" s="169" t="str">
        <f t="shared" si="9"/>
        <v>T5中品质6级</v>
      </c>
      <c r="CU71" s="169" t="str">
        <f t="shared" si="9"/>
        <v>T5中品质7级</v>
      </c>
      <c r="CV71" s="169" t="str">
        <f t="shared" si="9"/>
        <v>T5中品质8级</v>
      </c>
      <c r="CW71" s="169" t="str">
        <f t="shared" si="9"/>
        <v>T5中品质9级</v>
      </c>
      <c r="CX71" s="169" t="str">
        <f t="shared" si="9"/>
        <v>T5中品质10级</v>
      </c>
      <c r="CY71" s="169" t="str">
        <f t="shared" si="9"/>
        <v>T5中品质11级</v>
      </c>
      <c r="CZ71" s="169" t="str">
        <f t="shared" si="9"/>
        <v>T5中品质12级</v>
      </c>
      <c r="DA71" s="169" t="str">
        <f t="shared" si="9"/>
        <v>T5中品质13级</v>
      </c>
      <c r="DB71" s="169" t="str">
        <f t="shared" si="9"/>
        <v>T5中品质14级</v>
      </c>
      <c r="DC71" s="169" t="str">
        <f t="shared" si="9"/>
        <v>T5中品质15级</v>
      </c>
      <c r="DD71" s="169" t="str">
        <f t="shared" si="9"/>
        <v>T5中品质16级</v>
      </c>
      <c r="DE71" s="169" t="str">
        <f t="shared" si="9"/>
        <v>T5中品质17级</v>
      </c>
      <c r="DF71" s="169" t="str">
        <f t="shared" si="9"/>
        <v>T5中品质18级</v>
      </c>
      <c r="DG71" s="169" t="str">
        <f t="shared" si="9"/>
        <v>T5中品质19级</v>
      </c>
      <c r="DH71" s="169" t="str">
        <f t="shared" si="9"/>
        <v>T5中品质20级</v>
      </c>
      <c r="DI71" s="169" t="str">
        <f t="shared" si="9"/>
        <v>T5中品质21级</v>
      </c>
      <c r="DJ71" s="169" t="str">
        <f t="shared" si="9"/>
        <v>T3高品质1级</v>
      </c>
      <c r="DK71" s="169" t="str">
        <f t="shared" si="9"/>
        <v>T3高品质2级</v>
      </c>
      <c r="DL71" s="169" t="str">
        <f t="shared" si="9"/>
        <v>T3高品质3级</v>
      </c>
      <c r="DM71" s="169" t="str">
        <f t="shared" si="9"/>
        <v>T3高品质4级</v>
      </c>
      <c r="DN71" s="169" t="str">
        <f t="shared" si="9"/>
        <v>T3高品质5级</v>
      </c>
      <c r="DO71" s="169" t="str">
        <f t="shared" si="9"/>
        <v>T3高品质6级</v>
      </c>
      <c r="DP71" s="169" t="str">
        <f t="shared" si="9"/>
        <v>T3高品质7级</v>
      </c>
      <c r="DQ71" s="169" t="str">
        <f t="shared" si="9"/>
        <v>T3高品质8级</v>
      </c>
      <c r="DR71" s="169" t="str">
        <f t="shared" si="9"/>
        <v>T3高品质9级</v>
      </c>
      <c r="DS71" s="169" t="str">
        <f t="shared" si="9"/>
        <v>T3高品质10级</v>
      </c>
      <c r="DT71" s="169" t="str">
        <f t="shared" si="9"/>
        <v>T3高品质11级</v>
      </c>
      <c r="DU71" s="169" t="str">
        <f t="shared" si="9"/>
        <v>T3高品质12级</v>
      </c>
      <c r="DV71" s="169" t="str">
        <f t="shared" si="9"/>
        <v>T3高品质13级</v>
      </c>
      <c r="DW71" s="169" t="str">
        <f t="shared" si="9"/>
        <v>T3高品质14级</v>
      </c>
      <c r="DX71" s="169" t="str">
        <f t="shared" si="9"/>
        <v>T3高品质15级</v>
      </c>
      <c r="DY71" s="169" t="str">
        <f t="shared" si="9"/>
        <v>T4高品质1级</v>
      </c>
      <c r="DZ71" s="169" t="str">
        <f t="shared" si="9"/>
        <v>T4高品质2级</v>
      </c>
      <c r="EA71" s="169" t="str">
        <f t="shared" si="9"/>
        <v>T4高品质3级</v>
      </c>
      <c r="EB71" s="169" t="str">
        <f t="shared" ref="EB71:FK71" si="10">"T"&amp;LEFT(RIGHT(EB72,3),1)&amp;""&amp;IF(LEFT(EB72,1)="1","低品质",IF(LEFT(EB72,1)="2","中品质","高品质"))&amp;""&amp;IF(LEFT(RIGHT(EB72,2),1)="0",RIGHT(EB72,1),RIGHT(EB72,2))&amp;"级"</f>
        <v>T4高品质4级</v>
      </c>
      <c r="EC71" s="169" t="str">
        <f t="shared" si="10"/>
        <v>T4高品质5级</v>
      </c>
      <c r="ED71" s="169" t="str">
        <f t="shared" si="10"/>
        <v>T4高品质6级</v>
      </c>
      <c r="EE71" s="169" t="str">
        <f t="shared" si="10"/>
        <v>T4高品质7级</v>
      </c>
      <c r="EF71" s="169" t="str">
        <f t="shared" si="10"/>
        <v>T4高品质8级</v>
      </c>
      <c r="EG71" s="169" t="str">
        <f t="shared" si="10"/>
        <v>T4高品质9级</v>
      </c>
      <c r="EH71" s="169" t="str">
        <f t="shared" si="10"/>
        <v>T4高品质10级</v>
      </c>
      <c r="EI71" s="169" t="str">
        <f t="shared" si="10"/>
        <v>T4高品质11级</v>
      </c>
      <c r="EJ71" s="169" t="str">
        <f t="shared" si="10"/>
        <v>T4高品质12级</v>
      </c>
      <c r="EK71" s="169" t="str">
        <f t="shared" si="10"/>
        <v>T4高品质13级</v>
      </c>
      <c r="EL71" s="169" t="str">
        <f t="shared" si="10"/>
        <v>T4高品质14级</v>
      </c>
      <c r="EM71" s="169" t="str">
        <f t="shared" si="10"/>
        <v>T4高品质15级</v>
      </c>
      <c r="EN71" s="169" t="str">
        <f t="shared" si="10"/>
        <v>T4高品质16级</v>
      </c>
      <c r="EO71" s="169" t="str">
        <f t="shared" si="10"/>
        <v>T4高品质17级</v>
      </c>
      <c r="EP71" s="169" t="str">
        <f t="shared" si="10"/>
        <v>T4高品质18级</v>
      </c>
      <c r="EQ71" s="169" t="str">
        <f t="shared" si="10"/>
        <v>T5高品质1级</v>
      </c>
      <c r="ER71" s="169" t="str">
        <f t="shared" si="10"/>
        <v>T5高品质2级</v>
      </c>
      <c r="ES71" s="169" t="str">
        <f t="shared" si="10"/>
        <v>T5高品质3级</v>
      </c>
      <c r="ET71" s="169" t="str">
        <f t="shared" si="10"/>
        <v>T5高品质4级</v>
      </c>
      <c r="EU71" s="169" t="str">
        <f t="shared" si="10"/>
        <v>T5高品质5级</v>
      </c>
      <c r="EV71" s="169" t="str">
        <f t="shared" si="10"/>
        <v>T5高品质6级</v>
      </c>
      <c r="EW71" s="169" t="str">
        <f t="shared" si="10"/>
        <v>T5高品质7级</v>
      </c>
      <c r="EX71" s="169" t="str">
        <f t="shared" si="10"/>
        <v>T5高品质8级</v>
      </c>
      <c r="EY71" s="169" t="str">
        <f t="shared" si="10"/>
        <v>T5高品质9级</v>
      </c>
      <c r="EZ71" s="169" t="str">
        <f t="shared" si="10"/>
        <v>T5高品质10级</v>
      </c>
      <c r="FA71" s="169" t="str">
        <f t="shared" si="10"/>
        <v>T5高品质11级</v>
      </c>
      <c r="FB71" s="169" t="str">
        <f t="shared" si="10"/>
        <v>T5高品质12级</v>
      </c>
      <c r="FC71" s="169" t="str">
        <f t="shared" si="10"/>
        <v>T5高品质13级</v>
      </c>
      <c r="FD71" s="169" t="str">
        <f t="shared" si="10"/>
        <v>T5高品质14级</v>
      </c>
      <c r="FE71" s="169" t="str">
        <f t="shared" si="10"/>
        <v>T5高品质15级</v>
      </c>
      <c r="FF71" s="169" t="str">
        <f t="shared" si="10"/>
        <v>T5高品质16级</v>
      </c>
      <c r="FG71" s="169" t="str">
        <f t="shared" si="10"/>
        <v>T5高品质17级</v>
      </c>
      <c r="FH71" s="169" t="str">
        <f t="shared" si="10"/>
        <v>T5高品质18级</v>
      </c>
      <c r="FI71" s="169" t="str">
        <f t="shared" si="10"/>
        <v>T5高品质19级</v>
      </c>
      <c r="FJ71" s="169" t="str">
        <f t="shared" si="10"/>
        <v>T5高品质20级</v>
      </c>
      <c r="FK71" s="169" t="str">
        <f t="shared" si="10"/>
        <v>T5高品质21级</v>
      </c>
    </row>
    <row r="72" spans="1:167" x14ac:dyDescent="0.15">
      <c r="A72" s="182"/>
      <c r="B72" s="183"/>
      <c r="C72" s="170">
        <v>10101</v>
      </c>
      <c r="D72" s="170">
        <v>10102</v>
      </c>
      <c r="E72" s="170">
        <v>10103</v>
      </c>
      <c r="F72" s="170">
        <v>10104</v>
      </c>
      <c r="G72" s="170">
        <v>10105</v>
      </c>
      <c r="H72" s="170">
        <v>10201</v>
      </c>
      <c r="I72" s="170">
        <v>10202</v>
      </c>
      <c r="J72" s="170">
        <v>10203</v>
      </c>
      <c r="K72" s="170">
        <v>10204</v>
      </c>
      <c r="L72" s="170">
        <v>10205</v>
      </c>
      <c r="M72" s="170">
        <v>10206</v>
      </c>
      <c r="N72" s="170">
        <v>10207</v>
      </c>
      <c r="O72" s="170">
        <v>10301</v>
      </c>
      <c r="P72" s="170">
        <v>10302</v>
      </c>
      <c r="Q72" s="170">
        <v>10303</v>
      </c>
      <c r="R72" s="170">
        <v>10304</v>
      </c>
      <c r="S72" s="170">
        <v>10305</v>
      </c>
      <c r="T72" s="170">
        <v>10306</v>
      </c>
      <c r="U72" s="170">
        <v>10307</v>
      </c>
      <c r="V72" s="170">
        <v>10308</v>
      </c>
      <c r="W72" s="170">
        <v>10309</v>
      </c>
      <c r="X72" s="170">
        <v>10401</v>
      </c>
      <c r="Y72" s="170">
        <v>10402</v>
      </c>
      <c r="Z72" s="170">
        <v>10403</v>
      </c>
      <c r="AA72" s="170">
        <v>10404</v>
      </c>
      <c r="AB72" s="170">
        <v>10405</v>
      </c>
      <c r="AC72" s="170">
        <v>10406</v>
      </c>
      <c r="AD72" s="170">
        <v>10407</v>
      </c>
      <c r="AE72" s="170">
        <v>10408</v>
      </c>
      <c r="AF72" s="170">
        <v>10409</v>
      </c>
      <c r="AG72" s="170">
        <v>10410</v>
      </c>
      <c r="AH72" s="170">
        <v>10411</v>
      </c>
      <c r="AI72" s="170">
        <v>10501</v>
      </c>
      <c r="AJ72" s="170">
        <v>10502</v>
      </c>
      <c r="AK72" s="170">
        <v>10503</v>
      </c>
      <c r="AL72" s="170">
        <v>10504</v>
      </c>
      <c r="AM72" s="170">
        <v>10505</v>
      </c>
      <c r="AN72" s="170">
        <v>10506</v>
      </c>
      <c r="AO72" s="170">
        <v>10507</v>
      </c>
      <c r="AP72" s="170">
        <v>10508</v>
      </c>
      <c r="AQ72" s="170">
        <v>10509</v>
      </c>
      <c r="AR72" s="170">
        <v>10510</v>
      </c>
      <c r="AS72" s="170">
        <v>10511</v>
      </c>
      <c r="AT72" s="170">
        <v>10512</v>
      </c>
      <c r="AU72" s="170">
        <v>10513</v>
      </c>
      <c r="AV72" s="170">
        <v>20201</v>
      </c>
      <c r="AW72" s="170">
        <v>20202</v>
      </c>
      <c r="AX72" s="170">
        <v>20203</v>
      </c>
      <c r="AY72" s="170">
        <v>20204</v>
      </c>
      <c r="AZ72" s="170">
        <v>20205</v>
      </c>
      <c r="BA72" s="170">
        <v>20206</v>
      </c>
      <c r="BB72" s="170">
        <v>20207</v>
      </c>
      <c r="BC72" s="170">
        <v>20208</v>
      </c>
      <c r="BD72" s="170">
        <v>20209</v>
      </c>
      <c r="BE72" s="170">
        <v>20210</v>
      </c>
      <c r="BF72" s="170">
        <v>20211</v>
      </c>
      <c r="BG72" s="170">
        <v>20212</v>
      </c>
      <c r="BH72" s="170">
        <v>20301</v>
      </c>
      <c r="BI72" s="170">
        <v>20302</v>
      </c>
      <c r="BJ72" s="170">
        <v>20303</v>
      </c>
      <c r="BK72" s="170">
        <v>20304</v>
      </c>
      <c r="BL72" s="170">
        <v>20305</v>
      </c>
      <c r="BM72" s="170">
        <v>20306</v>
      </c>
      <c r="BN72" s="170">
        <v>20307</v>
      </c>
      <c r="BO72" s="170">
        <v>20308</v>
      </c>
      <c r="BP72" s="170">
        <v>20309</v>
      </c>
      <c r="BQ72" s="170">
        <v>20310</v>
      </c>
      <c r="BR72" s="170">
        <v>20311</v>
      </c>
      <c r="BS72" s="170">
        <v>20312</v>
      </c>
      <c r="BT72" s="170">
        <v>20313</v>
      </c>
      <c r="BU72" s="170">
        <v>20314</v>
      </c>
      <c r="BV72" s="170">
        <v>20315</v>
      </c>
      <c r="BW72" s="170">
        <v>20401</v>
      </c>
      <c r="BX72" s="170">
        <v>20402</v>
      </c>
      <c r="BY72" s="170">
        <v>20403</v>
      </c>
      <c r="BZ72" s="170">
        <v>20404</v>
      </c>
      <c r="CA72" s="170">
        <v>20405</v>
      </c>
      <c r="CB72" s="170">
        <v>20406</v>
      </c>
      <c r="CC72" s="170">
        <v>20407</v>
      </c>
      <c r="CD72" s="170">
        <v>20408</v>
      </c>
      <c r="CE72" s="170">
        <v>20409</v>
      </c>
      <c r="CF72" s="170">
        <v>20410</v>
      </c>
      <c r="CG72" s="170">
        <v>20411</v>
      </c>
      <c r="CH72" s="170">
        <v>20412</v>
      </c>
      <c r="CI72" s="170">
        <v>20413</v>
      </c>
      <c r="CJ72" s="170">
        <v>20414</v>
      </c>
      <c r="CK72" s="170">
        <v>20415</v>
      </c>
      <c r="CL72" s="170">
        <v>20416</v>
      </c>
      <c r="CM72" s="170">
        <v>20417</v>
      </c>
      <c r="CN72" s="170">
        <v>20418</v>
      </c>
      <c r="CO72" s="170">
        <v>20501</v>
      </c>
      <c r="CP72" s="170">
        <v>20502</v>
      </c>
      <c r="CQ72" s="170">
        <v>20503</v>
      </c>
      <c r="CR72" s="170">
        <v>20504</v>
      </c>
      <c r="CS72" s="170">
        <v>20505</v>
      </c>
      <c r="CT72" s="170">
        <v>20506</v>
      </c>
      <c r="CU72" s="170">
        <v>20507</v>
      </c>
      <c r="CV72" s="170">
        <v>20508</v>
      </c>
      <c r="CW72" s="170">
        <v>20509</v>
      </c>
      <c r="CX72" s="170">
        <v>20510</v>
      </c>
      <c r="CY72" s="170">
        <v>20511</v>
      </c>
      <c r="CZ72" s="170">
        <v>20512</v>
      </c>
      <c r="DA72" s="170">
        <v>20513</v>
      </c>
      <c r="DB72" s="170">
        <v>20514</v>
      </c>
      <c r="DC72" s="170">
        <v>20515</v>
      </c>
      <c r="DD72" s="170">
        <v>20516</v>
      </c>
      <c r="DE72" s="170">
        <v>20517</v>
      </c>
      <c r="DF72" s="170">
        <v>20518</v>
      </c>
      <c r="DG72" s="170">
        <v>20519</v>
      </c>
      <c r="DH72" s="170">
        <v>20520</v>
      </c>
      <c r="DI72" s="170">
        <v>20521</v>
      </c>
      <c r="DJ72" s="170">
        <v>30301</v>
      </c>
      <c r="DK72" s="170">
        <v>30302</v>
      </c>
      <c r="DL72" s="170">
        <v>30303</v>
      </c>
      <c r="DM72" s="170">
        <v>30304</v>
      </c>
      <c r="DN72" s="170">
        <v>30305</v>
      </c>
      <c r="DO72" s="170">
        <v>30306</v>
      </c>
      <c r="DP72" s="170">
        <v>30307</v>
      </c>
      <c r="DQ72" s="170">
        <v>30308</v>
      </c>
      <c r="DR72" s="170">
        <v>30309</v>
      </c>
      <c r="DS72" s="170">
        <v>30310</v>
      </c>
      <c r="DT72" s="170">
        <v>30311</v>
      </c>
      <c r="DU72" s="170">
        <v>30312</v>
      </c>
      <c r="DV72" s="170">
        <v>30313</v>
      </c>
      <c r="DW72" s="170">
        <v>30314</v>
      </c>
      <c r="DX72" s="170">
        <v>30315</v>
      </c>
      <c r="DY72" s="170">
        <v>30401</v>
      </c>
      <c r="DZ72" s="170">
        <v>30402</v>
      </c>
      <c r="EA72" s="170">
        <v>30403</v>
      </c>
      <c r="EB72" s="170">
        <v>30404</v>
      </c>
      <c r="EC72" s="170">
        <v>30405</v>
      </c>
      <c r="ED72" s="170">
        <v>30406</v>
      </c>
      <c r="EE72" s="170">
        <v>30407</v>
      </c>
      <c r="EF72" s="170">
        <v>30408</v>
      </c>
      <c r="EG72" s="170">
        <v>30409</v>
      </c>
      <c r="EH72" s="170">
        <v>30410</v>
      </c>
      <c r="EI72" s="170">
        <v>30411</v>
      </c>
      <c r="EJ72" s="170">
        <v>30412</v>
      </c>
      <c r="EK72" s="170">
        <v>30413</v>
      </c>
      <c r="EL72" s="170">
        <v>30414</v>
      </c>
      <c r="EM72" s="170">
        <v>30415</v>
      </c>
      <c r="EN72" s="170">
        <v>30416</v>
      </c>
      <c r="EO72" s="170">
        <v>30417</v>
      </c>
      <c r="EP72" s="170">
        <v>30418</v>
      </c>
      <c r="EQ72" s="170">
        <v>30501</v>
      </c>
      <c r="ER72" s="170">
        <v>30502</v>
      </c>
      <c r="ES72" s="170">
        <v>30503</v>
      </c>
      <c r="ET72" s="170">
        <v>30504</v>
      </c>
      <c r="EU72" s="170">
        <v>30505</v>
      </c>
      <c r="EV72" s="170">
        <v>30506</v>
      </c>
      <c r="EW72" s="170">
        <v>30507</v>
      </c>
      <c r="EX72" s="170">
        <v>30508</v>
      </c>
      <c r="EY72" s="170">
        <v>30509</v>
      </c>
      <c r="EZ72" s="170">
        <v>30510</v>
      </c>
      <c r="FA72" s="170">
        <v>30511</v>
      </c>
      <c r="FB72" s="170">
        <v>30512</v>
      </c>
      <c r="FC72" s="170">
        <v>30513</v>
      </c>
      <c r="FD72" s="170">
        <v>30514</v>
      </c>
      <c r="FE72" s="170">
        <v>30515</v>
      </c>
      <c r="FF72" s="170">
        <v>30516</v>
      </c>
      <c r="FG72" s="170">
        <v>30517</v>
      </c>
      <c r="FH72" s="170">
        <v>30518</v>
      </c>
      <c r="FI72" s="170">
        <v>30519</v>
      </c>
      <c r="FJ72" s="170">
        <v>30520</v>
      </c>
      <c r="FK72" s="170">
        <v>30521</v>
      </c>
    </row>
    <row r="73" spans="1:167" x14ac:dyDescent="0.15">
      <c r="A73" s="171" t="str">
        <f>"T"&amp;LEFT(RIGHT(B73,3),1)&amp;""&amp;IF(LEFT(B73,1)="1","低品质",IF(LEFT(B73,1)="2","中品质","高品质"))&amp;""&amp;IF(LEFT(RIGHT(B73,2),1)="0",RIGHT(B73,1),RIGHT(B73,2))&amp;"级"</f>
        <v>T1低品质1级</v>
      </c>
      <c r="B73" s="172">
        <v>10101</v>
      </c>
      <c r="C73" s="173">
        <f ca="1">(VLOOKUP(C$72,INDIRECT($C$5&amp;"生成成长"),2))/((VLOOKUP($B73,INDIRECT($B$5&amp;"生成成长"),4))/(VLOOKUP(C$72,INDIRECT($C$5&amp;"生成成长"),5))*(VLOOKUP($B$5,标准坦克设计!$B$24:$U$30,MATCH("对"&amp;LEFT($C$5,2)&amp;"输出",标准坦克设计!$B$23:$U$23,0)))*(VLOOKUP($B73,INDIRECT($B$5&amp;"生成成长"),3))*(VLOOKUP($B$5,标准坦克设计!$B$14:$K$20,9)/30))</f>
        <v>9.0406969250443243</v>
      </c>
      <c r="D73" s="173">
        <f ca="1">(VLOOKUP(D$72,INDIRECT($C$5&amp;"生成成长"),2))/((VLOOKUP($B73,INDIRECT($B$5&amp;"生成成长"),4))/(VLOOKUP(D$72,INDIRECT($C$5&amp;"生成成长"),5))*(VLOOKUP($B$5,标准坦克设计!$B$24:$U$30,MATCH("对"&amp;LEFT($C$5,2)&amp;"输出",标准坦克设计!$B$23:$U$23,0)))*(VLOOKUP($B73,INDIRECT($B$5&amp;"生成成长"),3))*(VLOOKUP($B$5,标准坦克设计!$B$14:$K$20,9)/30))</f>
        <v>10.158127064979803</v>
      </c>
      <c r="E73" s="173">
        <f ca="1">(VLOOKUP(E$72,INDIRECT($C$5&amp;"生成成长"),2))/((VLOOKUP($B73,INDIRECT($B$5&amp;"生成成长"),4))/(VLOOKUP(E$72,INDIRECT($C$5&amp;"生成成长"),5))*(VLOOKUP($B$5,标准坦克设计!$B$24:$U$30,MATCH("对"&amp;LEFT($C$5,2)&amp;"输出",标准坦克设计!$B$23:$U$23,0)))*(VLOOKUP($B73,INDIRECT($B$5&amp;"生成成长"),3))*(VLOOKUP($B$5,标准坦克设计!$B$14:$K$20,9)/30))</f>
        <v>11.340650222775601</v>
      </c>
      <c r="F73" s="173">
        <f ca="1">(VLOOKUP(F$72,INDIRECT($C$5&amp;"生成成长"),2))/((VLOOKUP($B73,INDIRECT($B$5&amp;"生成成长"),4))/(VLOOKUP(F$72,INDIRECT($C$5&amp;"生成成长"),5))*(VLOOKUP($B$5,标准坦克设计!$B$24:$U$30,MATCH("对"&amp;LEFT($C$5,2)&amp;"输出",标准坦克设计!$B$23:$U$23,0)))*(VLOOKUP($B73,INDIRECT($B$5&amp;"生成成长"),3))*(VLOOKUP($B$5,标准坦克设计!$B$14:$K$20,9)/30))</f>
        <v>12.588266398431719</v>
      </c>
      <c r="G73" s="173">
        <f ca="1">(VLOOKUP(G$72,INDIRECT($C$5&amp;"生成成长"),2))/((VLOOKUP($B73,INDIRECT($B$5&amp;"生成成长"),4))/(VLOOKUP(G$72,INDIRECT($C$5&amp;"生成成长"),5))*(VLOOKUP($B$5,标准坦克设计!$B$24:$U$30,MATCH("对"&amp;LEFT($C$5,2)&amp;"输出",标准坦克设计!$B$23:$U$23,0)))*(VLOOKUP($B73,INDIRECT($B$5&amp;"生成成长"),3))*(VLOOKUP($B$5,标准坦克设计!$B$14:$K$20,9)/30))</f>
        <v>13.900975591948155</v>
      </c>
      <c r="H73" s="173">
        <f ca="1">(VLOOKUP(H$72,INDIRECT($C$5&amp;"生成成长"),2))/((VLOOKUP($B73,INDIRECT($B$5&amp;"生成成长"),4))/(VLOOKUP(H$72,INDIRECT($C$5&amp;"生成成长"),5))*(VLOOKUP($B$5,标准坦克设计!$B$24:$U$30,MATCH("对"&amp;LEFT($C$5,2)&amp;"输出",标准坦克设计!$B$23:$U$23,0)))*(VLOOKUP($B73,INDIRECT($B$5&amp;"生成成长"),3))*(VLOOKUP($B$5,标准坦克设计!$B$14:$K$20,9)/30))</f>
        <v>12.165161782339645</v>
      </c>
      <c r="I73" s="173">
        <f ca="1">(VLOOKUP(I$72,INDIRECT($C$5&amp;"生成成长"),2))/((VLOOKUP($B73,INDIRECT($B$5&amp;"生成成长"),4))/(VLOOKUP(I$72,INDIRECT($C$5&amp;"生成成长"),5))*(VLOOKUP($B$5,标准坦克设计!$B$24:$U$30,MATCH("对"&amp;LEFT($C$5,2)&amp;"输出",标准坦克设计!$B$23:$U$23,0)))*(VLOOKUP($B73,INDIRECT($B$5&amp;"生成成长"),3))*(VLOOKUP($B$5,标准坦克设计!$B$14:$K$20,9)/30))</f>
        <v>13.900975591948155</v>
      </c>
      <c r="J73" s="173">
        <f ca="1">(VLOOKUP(J$72,INDIRECT($C$5&amp;"生成成长"),2))/((VLOOKUP($B73,INDIRECT($B$5&amp;"生成成长"),4))/(VLOOKUP(J$72,INDIRECT($C$5&amp;"生成成长"),5))*(VLOOKUP($B$5,标准坦克设计!$B$24:$U$30,MATCH("对"&amp;LEFT($C$5,2)&amp;"输出",标准坦克设计!$B$23:$U$23,0)))*(VLOOKUP($B73,INDIRECT($B$5&amp;"生成成长"),3))*(VLOOKUP($B$5,标准坦克设计!$B$14:$K$20,9)/30))</f>
        <v>15.752510322197233</v>
      </c>
      <c r="K73" s="173">
        <f ca="1">(VLOOKUP(K$72,INDIRECT($C$5&amp;"生成成长"),2))/((VLOOKUP($B73,INDIRECT($B$5&amp;"生成成长"),4))/(VLOOKUP(K$72,INDIRECT($C$5&amp;"生成成长"),5))*(VLOOKUP($B$5,标准坦克设计!$B$24:$U$30,MATCH("对"&amp;LEFT($C$5,2)&amp;"输出",标准坦克设计!$B$23:$U$23,0)))*(VLOOKUP($B73,INDIRECT($B$5&amp;"生成成长"),3))*(VLOOKUP($B$5,标准坦克设计!$B$14:$K$20,9)/30))</f>
        <v>17.719765973086876</v>
      </c>
      <c r="L73" s="173">
        <f ca="1">(VLOOKUP(L$72,INDIRECT($C$5&amp;"生成成长"),2))/((VLOOKUP($B73,INDIRECT($B$5&amp;"生成成长"),4))/(VLOOKUP(L$72,INDIRECT($C$5&amp;"生成成长"),5))*(VLOOKUP($B$5,标准坦克设计!$B$24:$U$30,MATCH("对"&amp;LEFT($C$5,2)&amp;"输出",标准坦克设计!$B$23:$U$23,0)))*(VLOOKUP($B73,INDIRECT($B$5&amp;"生成成长"),3))*(VLOOKUP($B$5,标准坦克设计!$B$14:$K$20,9)/30))</f>
        <v>19.802742544617093</v>
      </c>
      <c r="M73" s="173">
        <f ca="1">(VLOOKUP(M$72,INDIRECT($C$5&amp;"生成成长"),2))/((VLOOKUP($B73,INDIRECT($B$5&amp;"生成成长"),4))/(VLOOKUP(M$72,INDIRECT($C$5&amp;"生成成长"),5))*(VLOOKUP($B$5,标准坦克设计!$B$24:$U$30,MATCH("对"&amp;LEFT($C$5,2)&amp;"输出",标准坦克设计!$B$23:$U$23,0)))*(VLOOKUP($B73,INDIRECT($B$5&amp;"生成成长"),3))*(VLOOKUP($B$5,标准坦克设计!$B$14:$K$20,9)/30))</f>
        <v>22.001440036787869</v>
      </c>
      <c r="N73" s="173">
        <f ca="1">(VLOOKUP(N$72,INDIRECT($C$5&amp;"生成成长"),2))/((VLOOKUP($B73,INDIRECT($B$5&amp;"生成成长"),4))/(VLOOKUP(N$72,INDIRECT($C$5&amp;"生成成长"),5))*(VLOOKUP($B$5,标准坦克设计!$B$24:$U$30,MATCH("对"&amp;LEFT($C$5,2)&amp;"输出",标准坦克设计!$B$23:$U$23,0)))*(VLOOKUP($B73,INDIRECT($B$5&amp;"生成成长"),3))*(VLOOKUP($B$5,标准坦克设计!$B$14:$K$20,9)/30))</f>
        <v>24.315858449599215</v>
      </c>
      <c r="O73" s="173">
        <f ca="1">(VLOOKUP(O$72,INDIRECT($C$5&amp;"生成成长"),2))/((VLOOKUP($B73,INDIRECT($B$5&amp;"生成成长"),4))/(VLOOKUP(O$72,INDIRECT($C$5&amp;"生成成长"),5))*(VLOOKUP($B$5,标准坦克设计!$B$24:$U$30,MATCH("对"&amp;LEFT($C$5,2)&amp;"输出",标准坦克设计!$B$23:$U$23,0)))*(VLOOKUP($B73,INDIRECT($B$5&amp;"生成成长"),3))*(VLOOKUP($B$5,标准坦克设计!$B$14:$K$20,9)/30))</f>
        <v>18.487321142023141</v>
      </c>
      <c r="P73" s="173">
        <f ca="1">(VLOOKUP(P$72,INDIRECT($C$5&amp;"生成成长"),2))/((VLOOKUP($B73,INDIRECT($B$5&amp;"生成成长"),4))/(VLOOKUP(P$72,INDIRECT($C$5&amp;"生成成长"),5))*(VLOOKUP($B$5,标准坦克设计!$B$24:$U$30,MATCH("对"&amp;LEFT($C$5,2)&amp;"输出",标准坦克设计!$B$23:$U$23,0)))*(VLOOKUP($B73,INDIRECT($B$5&amp;"生成成长"),3))*(VLOOKUP($B$5,标准坦克设计!$B$14:$K$20,9)/30))</f>
        <v>20.887626175622405</v>
      </c>
      <c r="Q73" s="173">
        <f ca="1">(VLOOKUP(Q$72,INDIRECT($C$5&amp;"生成成长"),2))/((VLOOKUP($B73,INDIRECT($B$5&amp;"生成成长"),4))/(VLOOKUP(Q$72,INDIRECT($C$5&amp;"生成成长"),5))*(VLOOKUP($B$5,标准坦克设计!$B$24:$U$30,MATCH("对"&amp;LEFT($C$5,2)&amp;"输出",标准坦克设计!$B$23:$U$23,0)))*(VLOOKUP($B73,INDIRECT($B$5&amp;"生成成长"),3))*(VLOOKUP($B$5,标准坦克设计!$B$14:$K$20,9)/30))</f>
        <v>23.434390499407396</v>
      </c>
      <c r="R73" s="173">
        <f ca="1">(VLOOKUP(R$72,INDIRECT($C$5&amp;"生成成长"),2))/((VLOOKUP($B73,INDIRECT($B$5&amp;"生成成长"),4))/(VLOOKUP(R$72,INDIRECT($C$5&amp;"生成成长"),5))*(VLOOKUP($B$5,标准坦克设计!$B$24:$U$30,MATCH("对"&amp;LEFT($C$5,2)&amp;"输出",标准坦克设计!$B$23:$U$23,0)))*(VLOOKUP($B73,INDIRECT($B$5&amp;"生成成长"),3))*(VLOOKUP($B$5,标准坦克设计!$B$14:$K$20,9)/30))</f>
        <v>26.127614113378101</v>
      </c>
      <c r="S73" s="173">
        <f ca="1">(VLOOKUP(S$72,INDIRECT($C$5&amp;"生成成长"),2))/((VLOOKUP($B73,INDIRECT($B$5&amp;"生成成长"),4))/(VLOOKUP(S$72,INDIRECT($C$5&amp;"生成成长"),5))*(VLOOKUP($B$5,标准坦克设计!$B$24:$U$30,MATCH("对"&amp;LEFT($C$5,2)&amp;"输出",标准坦克设计!$B$23:$U$23,0)))*(VLOOKUP($B73,INDIRECT($B$5&amp;"生成成长"),3))*(VLOOKUP($B$5,标准坦克设计!$B$14:$K$20,9)/30))</f>
        <v>28.96729701753452</v>
      </c>
      <c r="T73" s="173">
        <f ca="1">(VLOOKUP(T$72,INDIRECT($C$5&amp;"生成成长"),2))/((VLOOKUP($B73,INDIRECT($B$5&amp;"生成成长"),4))/(VLOOKUP(T$72,INDIRECT($C$5&amp;"生成成长"),5))*(VLOOKUP($B$5,标准坦克设计!$B$24:$U$30,MATCH("对"&amp;LEFT($C$5,2)&amp;"输出",标准坦克设计!$B$23:$U$23,0)))*(VLOOKUP($B73,INDIRECT($B$5&amp;"生成成长"),3))*(VLOOKUP($B$5,标准坦克设计!$B$14:$K$20,9)/30))</f>
        <v>31.953439211876667</v>
      </c>
      <c r="U73" s="173">
        <f ca="1">(VLOOKUP(U$72,INDIRECT($C$5&amp;"生成成长"),2))/((VLOOKUP($B73,INDIRECT($B$5&amp;"生成成长"),4))/(VLOOKUP(U$72,INDIRECT($C$5&amp;"生成成长"),5))*(VLOOKUP($B$5,标准坦克设计!$B$24:$U$30,MATCH("对"&amp;LEFT($C$5,2)&amp;"输出",标准坦克设计!$B$23:$U$23,0)))*(VLOOKUP($B73,INDIRECT($B$5&amp;"生成成长"),3))*(VLOOKUP($B$5,标准坦克设计!$B$14:$K$20,9)/30))</f>
        <v>35.086040696404524</v>
      </c>
      <c r="V73" s="173">
        <f ca="1">(VLOOKUP(V$72,INDIRECT($C$5&amp;"生成成长"),2))/((VLOOKUP($B73,INDIRECT($B$5&amp;"生成成长"),4))/(VLOOKUP(V$72,INDIRECT($C$5&amp;"生成成长"),5))*(VLOOKUP($B$5,标准坦克设计!$B$24:$U$30,MATCH("对"&amp;LEFT($C$5,2)&amp;"输出",标准坦克设计!$B$23:$U$23,0)))*(VLOOKUP($B73,INDIRECT($B$5&amp;"生成成长"),3))*(VLOOKUP($B$5,标准坦克设计!$B$14:$K$20,9)/30))</f>
        <v>38.365101471118102</v>
      </c>
      <c r="W73" s="173">
        <f ca="1">(VLOOKUP(W$72,INDIRECT($C$5&amp;"生成成长"),2))/((VLOOKUP($B73,INDIRECT($B$5&amp;"生成成长"),4))/(VLOOKUP(W$72,INDIRECT($C$5&amp;"生成成长"),5))*(VLOOKUP($B$5,标准坦克设计!$B$24:$U$30,MATCH("对"&amp;LEFT($C$5,2)&amp;"输出",标准坦克设计!$B$23:$U$23,0)))*(VLOOKUP($B73,INDIRECT($B$5&amp;"生成成长"),3))*(VLOOKUP($B$5,标准坦克设计!$B$14:$K$20,9)/30))</f>
        <v>41.790621536017397</v>
      </c>
      <c r="X73" s="173">
        <f ca="1">(VLOOKUP(X$72,INDIRECT($C$5&amp;"生成成长"),2))/((VLOOKUP($B73,INDIRECT($B$5&amp;"生成成长"),4))/(VLOOKUP(X$72,INDIRECT($C$5&amp;"生成成长"),5))*(VLOOKUP($B$5,标准坦克设计!$B$24:$U$30,MATCH("对"&amp;LEFT($C$5,2)&amp;"输出",标准坦克设计!$B$23:$U$23,0)))*(VLOOKUP($B73,INDIRECT($B$5&amp;"生成成长"),3))*(VLOOKUP($B$5,标准坦克设计!$B$14:$K$20,9)/30))</f>
        <v>30.276389932280939</v>
      </c>
      <c r="Y73" s="173">
        <f ca="1">(VLOOKUP(Y$72,INDIRECT($C$5&amp;"生成成长"),2))/((VLOOKUP($B73,INDIRECT($B$5&amp;"生成成长"),4))/(VLOOKUP(Y$72,INDIRECT($C$5&amp;"生成成长"),5))*(VLOOKUP($B$5,标准坦克设计!$B$24:$U$30,MATCH("对"&amp;LEFT($C$5,2)&amp;"输出",标准坦克设计!$B$23:$U$23,0)))*(VLOOKUP($B73,INDIRECT($B$5&amp;"生成成长"),3))*(VLOOKUP($B$5,标准坦克设计!$B$14:$K$20,9)/30))</f>
        <v>33.675691976097603</v>
      </c>
      <c r="Z73" s="173">
        <f ca="1">(VLOOKUP(Z$72,INDIRECT($C$5&amp;"生成成长"),2))/((VLOOKUP($B73,INDIRECT($B$5&amp;"生成成长"),4))/(VLOOKUP(Z$72,INDIRECT($C$5&amp;"生成成长"),5))*(VLOOKUP($B$5,标准坦克设计!$B$24:$U$30,MATCH("对"&amp;LEFT($C$5,2)&amp;"输出",标准坦克设计!$B$23:$U$23,0)))*(VLOOKUP($B73,INDIRECT($B$5&amp;"生成成长"),3))*(VLOOKUP($B$5,标准坦克设计!$B$14:$K$20,9)/30))</f>
        <v>37.255807958415161</v>
      </c>
      <c r="AA73" s="173">
        <f ca="1">(VLOOKUP(AA$72,INDIRECT($C$5&amp;"生成成长"),2))/((VLOOKUP($B73,INDIRECT($B$5&amp;"生成成长"),4))/(VLOOKUP(AA$72,INDIRECT($C$5&amp;"生成成长"),5))*(VLOOKUP($B$5,标准坦克设计!$B$24:$U$30,MATCH("对"&amp;LEFT($C$5,2)&amp;"输出",标准坦克设计!$B$23:$U$23,0)))*(VLOOKUP($B73,INDIRECT($B$5&amp;"生成成长"),3))*(VLOOKUP($B$5,标准坦克设计!$B$14:$K$20,9)/30))</f>
        <v>41.016737879233595</v>
      </c>
      <c r="AB73" s="173">
        <f ca="1">(VLOOKUP(AB$72,INDIRECT($C$5&amp;"生成成长"),2))/((VLOOKUP($B73,INDIRECT($B$5&amp;"生成成长"),4))/(VLOOKUP(AB$72,INDIRECT($C$5&amp;"生成成长"),5))*(VLOOKUP($B$5,标准坦克设计!$B$24:$U$30,MATCH("对"&amp;LEFT($C$5,2)&amp;"输出",标准坦克设计!$B$23:$U$23,0)))*(VLOOKUP($B73,INDIRECT($B$5&amp;"生成成长"),3))*(VLOOKUP($B$5,标准坦克设计!$B$14:$K$20,9)/30))</f>
        <v>44.958481738552926</v>
      </c>
      <c r="AC73" s="173">
        <f ca="1">(VLOOKUP(AC$72,INDIRECT($C$5&amp;"生成成长"),2))/((VLOOKUP($B73,INDIRECT($B$5&amp;"生成成长"),4))/(VLOOKUP(AC$72,INDIRECT($C$5&amp;"生成成长"),5))*(VLOOKUP($B$5,标准坦克设计!$B$24:$U$30,MATCH("对"&amp;LEFT($C$5,2)&amp;"输出",标准坦克设计!$B$23:$U$23,0)))*(VLOOKUP($B73,INDIRECT($B$5&amp;"生成成长"),3))*(VLOOKUP($B$5,标准坦克设计!$B$14:$K$20,9)/30))</f>
        <v>49.081039536373133</v>
      </c>
      <c r="AD73" s="173">
        <f ca="1">(VLOOKUP(AD$72,INDIRECT($C$5&amp;"生成成长"),2))/((VLOOKUP($B73,INDIRECT($B$5&amp;"生成成长"),4))/(VLOOKUP(AD$72,INDIRECT($C$5&amp;"生成成长"),5))*(VLOOKUP($B$5,标准坦克设计!$B$24:$U$30,MATCH("对"&amp;LEFT($C$5,2)&amp;"输出",标准坦克设计!$B$23:$U$23,0)))*(VLOOKUP($B73,INDIRECT($B$5&amp;"生成成长"),3))*(VLOOKUP($B$5,标准坦克设计!$B$14:$K$20,9)/30))</f>
        <v>53.38441127269423</v>
      </c>
      <c r="AE73" s="173">
        <f ca="1">(VLOOKUP(AE$72,INDIRECT($C$5&amp;"生成成长"),2))/((VLOOKUP($B73,INDIRECT($B$5&amp;"生成成长"),4))/(VLOOKUP(AE$72,INDIRECT($C$5&amp;"生成成长"),5))*(VLOOKUP($B$5,标准坦克设计!$B$24:$U$30,MATCH("对"&amp;LEFT($C$5,2)&amp;"输出",标准坦克设计!$B$23:$U$23,0)))*(VLOOKUP($B73,INDIRECT($B$5&amp;"生成成长"),3))*(VLOOKUP($B$5,标准坦克设计!$B$14:$K$20,9)/30))</f>
        <v>57.868596947516224</v>
      </c>
      <c r="AF73" s="173">
        <f ca="1">(VLOOKUP(AF$72,INDIRECT($C$5&amp;"生成成长"),2))/((VLOOKUP($B73,INDIRECT($B$5&amp;"生成成长"),4))/(VLOOKUP(AF$72,INDIRECT($C$5&amp;"生成成长"),5))*(VLOOKUP($B$5,标准坦克设计!$B$24:$U$30,MATCH("对"&amp;LEFT($C$5,2)&amp;"输出",标准坦克设计!$B$23:$U$23,0)))*(VLOOKUP($B73,INDIRECT($B$5&amp;"生成成长"),3))*(VLOOKUP($B$5,标准坦克设计!$B$14:$K$20,9)/30))</f>
        <v>62.533596560839094</v>
      </c>
      <c r="AG73" s="173">
        <f ca="1">(VLOOKUP(AG$72,INDIRECT($C$5&amp;"生成成长"),2))/((VLOOKUP($B73,INDIRECT($B$5&amp;"生成成长"),4))/(VLOOKUP(AG$72,INDIRECT($C$5&amp;"生成成长"),5))*(VLOOKUP($B$5,标准坦克设计!$B$24:$U$30,MATCH("对"&amp;LEFT($C$5,2)&amp;"输出",标准坦克设计!$B$23:$U$23,0)))*(VLOOKUP($B73,INDIRECT($B$5&amp;"生成成长"),3))*(VLOOKUP($B$5,标准坦克设计!$B$14:$K$20,9)/30))</f>
        <v>67.379410112662853</v>
      </c>
      <c r="AH73" s="173">
        <f ca="1">(VLOOKUP(AH$72,INDIRECT($C$5&amp;"生成成长"),2))/((VLOOKUP($B73,INDIRECT($B$5&amp;"生成成长"),4))/(VLOOKUP(AH$72,INDIRECT($C$5&amp;"生成成长"),5))*(VLOOKUP($B$5,标准坦克设计!$B$24:$U$30,MATCH("对"&amp;LEFT($C$5,2)&amp;"输出",标准坦克设计!$B$23:$U$23,0)))*(VLOOKUP($B73,INDIRECT($B$5&amp;"生成成长"),3))*(VLOOKUP($B$5,标准坦克设计!$B$14:$K$20,9)/30))</f>
        <v>72.406037602987496</v>
      </c>
      <c r="AI73" s="173">
        <f ca="1">(VLOOKUP(AI$72,INDIRECT($C$5&amp;"生成成长"),2))/((VLOOKUP($B73,INDIRECT($B$5&amp;"生成成长"),4))/(VLOOKUP(AI$72,INDIRECT($C$5&amp;"生成成长"),5))*(VLOOKUP($B$5,标准坦克设计!$B$24:$U$30,MATCH("对"&amp;LEFT($C$5,2)&amp;"输出",标准坦克设计!$B$23:$U$23,0)))*(VLOOKUP($B73,INDIRECT($B$5&amp;"生成成长"),3))*(VLOOKUP($B$5,标准坦克设计!$B$14:$K$20,9)/30))</f>
        <v>51.210123662221079</v>
      </c>
      <c r="AJ73" s="173">
        <f ca="1">(VLOOKUP(AJ$72,INDIRECT($C$5&amp;"生成成长"),2))/((VLOOKUP($B73,INDIRECT($B$5&amp;"生成成长"),4))/(VLOOKUP(AJ$72,INDIRECT($C$5&amp;"生成成长"),5))*(VLOOKUP($B$5,标准坦克设计!$B$24:$U$30,MATCH("对"&amp;LEFT($C$5,2)&amp;"输出",标准坦克设计!$B$23:$U$23,0)))*(VLOOKUP($B73,INDIRECT($B$5&amp;"生成成长"),3))*(VLOOKUP($B$5,标准坦克设计!$B$14:$K$20,9)/30))</f>
        <v>56.053225004967317</v>
      </c>
      <c r="AK73" s="173">
        <f ca="1">(VLOOKUP(AK$72,INDIRECT($C$5&amp;"生成成长"),2))/((VLOOKUP($B73,INDIRECT($B$5&amp;"生成成长"),4))/(VLOOKUP(AK$72,INDIRECT($C$5&amp;"生成成长"),5))*(VLOOKUP($B$5,标准坦克设计!$B$24:$U$30,MATCH("对"&amp;LEFT($C$5,2)&amp;"输出",标准坦克设计!$B$23:$U$23,0)))*(VLOOKUP($B73,INDIRECT($B$5&amp;"生成成长"),3))*(VLOOKUP($B$5,标准坦克设计!$B$14:$K$20,9)/30))</f>
        <v>61.115111213299642</v>
      </c>
      <c r="AL73" s="173">
        <f ca="1">(VLOOKUP(AL$72,INDIRECT($C$5&amp;"生成成长"),2))/((VLOOKUP($B73,INDIRECT($B$5&amp;"生成成长"),4))/(VLOOKUP(AL$72,INDIRECT($C$5&amp;"生成成长"),5))*(VLOOKUP($B$5,标准坦克设计!$B$24:$U$30,MATCH("对"&amp;LEFT($C$5,2)&amp;"输出",标准坦克设计!$B$23:$U$23,0)))*(VLOOKUP($B73,INDIRECT($B$5&amp;"生成成长"),3))*(VLOOKUP($B$5,标准坦克设计!$B$14:$K$20,9)/30))</f>
        <v>66.39578228721804</v>
      </c>
      <c r="AM73" s="173">
        <f ca="1">(VLOOKUP(AM$72,INDIRECT($C$5&amp;"生成成长"),2))/((VLOOKUP($B73,INDIRECT($B$5&amp;"生成成长"),4))/(VLOOKUP(AM$72,INDIRECT($C$5&amp;"生成成长"),5))*(VLOOKUP($B$5,标准坦克设计!$B$24:$U$30,MATCH("对"&amp;LEFT($C$5,2)&amp;"输出",标准坦克设计!$B$23:$U$23,0)))*(VLOOKUP($B73,INDIRECT($B$5&amp;"生成成长"),3))*(VLOOKUP($B$5,标准坦克设计!$B$14:$K$20,9)/30))</f>
        <v>71.895238226722498</v>
      </c>
      <c r="AN73" s="173">
        <f ca="1">(VLOOKUP(AN$72,INDIRECT($C$5&amp;"生成成长"),2))/((VLOOKUP($B73,INDIRECT($B$5&amp;"生成成长"),4))/(VLOOKUP(AN$72,INDIRECT($C$5&amp;"生成成长"),5))*(VLOOKUP($B$5,标准坦克设计!$B$24:$U$30,MATCH("对"&amp;LEFT($C$5,2)&amp;"输出",标准坦克设计!$B$23:$U$23,0)))*(VLOOKUP($B73,INDIRECT($B$5&amp;"生成成长"),3))*(VLOOKUP($B$5,标准坦克设计!$B$14:$K$20,9)/30))</f>
        <v>77.613479031813029</v>
      </c>
      <c r="AO73" s="173">
        <f ca="1">(VLOOKUP(AO$72,INDIRECT($C$5&amp;"生成成长"),2))/((VLOOKUP($B73,INDIRECT($B$5&amp;"生成成长"),4))/(VLOOKUP(AO$72,INDIRECT($C$5&amp;"生成成长"),5))*(VLOOKUP($B$5,标准坦克设计!$B$24:$U$30,MATCH("对"&amp;LEFT($C$5,2)&amp;"输出",标准坦克设计!$B$23:$U$23,0)))*(VLOOKUP($B73,INDIRECT($B$5&amp;"生成成长"),3))*(VLOOKUP($B$5,标准坦克设计!$B$14:$K$20,9)/30))</f>
        <v>83.550504702489619</v>
      </c>
      <c r="AP73" s="173">
        <f ca="1">(VLOOKUP(AP$72,INDIRECT($C$5&amp;"生成成长"),2))/((VLOOKUP($B73,INDIRECT($B$5&amp;"生成成长"),4))/(VLOOKUP(AP$72,INDIRECT($C$5&amp;"生成成长"),5))*(VLOOKUP($B$5,标准坦克设计!$B$24:$U$30,MATCH("对"&amp;LEFT($C$5,2)&amp;"输出",标准坦克设计!$B$23:$U$23,0)))*(VLOOKUP($B73,INDIRECT($B$5&amp;"生成成长"),3))*(VLOOKUP($B$5,标准坦克设计!$B$14:$K$20,9)/30))</f>
        <v>89.706315238752325</v>
      </c>
      <c r="AQ73" s="173">
        <f ca="1">(VLOOKUP(AQ$72,INDIRECT($C$5&amp;"生成成长"),2))/((VLOOKUP($B73,INDIRECT($B$5&amp;"生成成长"),4))/(VLOOKUP(AQ$72,INDIRECT($C$5&amp;"生成成长"),5))*(VLOOKUP($B$5,标准坦克设计!$B$24:$U$30,MATCH("对"&amp;LEFT($C$5,2)&amp;"输出",标准坦克设计!$B$23:$U$23,0)))*(VLOOKUP($B73,INDIRECT($B$5&amp;"生成成长"),3))*(VLOOKUP($B$5,标准坦克设计!$B$14:$K$20,9)/30))</f>
        <v>96.080910640601061</v>
      </c>
      <c r="AR73" s="173">
        <f ca="1">(VLOOKUP(AR$72,INDIRECT($C$5&amp;"生成成长"),2))/((VLOOKUP($B73,INDIRECT($B$5&amp;"生成成长"),4))/(VLOOKUP(AR$72,INDIRECT($C$5&amp;"生成成长"),5))*(VLOOKUP($B$5,标准坦克设计!$B$24:$U$30,MATCH("对"&amp;LEFT($C$5,2)&amp;"输出",标准坦克设计!$B$23:$U$23,0)))*(VLOOKUP($B73,INDIRECT($B$5&amp;"生成成长"),3))*(VLOOKUP($B$5,标准坦克设计!$B$14:$K$20,9)/30))</f>
        <v>102.6742909080359</v>
      </c>
      <c r="AS73" s="173">
        <f ca="1">(VLOOKUP(AS$72,INDIRECT($C$5&amp;"生成成长"),2))/((VLOOKUP($B73,INDIRECT($B$5&amp;"生成成长"),4))/(VLOOKUP(AS$72,INDIRECT($C$5&amp;"生成成长"),5))*(VLOOKUP($B$5,标准坦克设计!$B$24:$U$30,MATCH("对"&amp;LEFT($C$5,2)&amp;"输出",标准坦克设计!$B$23:$U$23,0)))*(VLOOKUP($B73,INDIRECT($B$5&amp;"生成成长"),3))*(VLOOKUP($B$5,标准坦克设计!$B$14:$K$20,9)/30))</f>
        <v>109.48645604105678</v>
      </c>
      <c r="AT73" s="173">
        <f ca="1">(VLOOKUP(AT$72,INDIRECT($C$5&amp;"生成成长"),2))/((VLOOKUP($B73,INDIRECT($B$5&amp;"生成成长"),4))/(VLOOKUP(AT$72,INDIRECT($C$5&amp;"生成成长"),5))*(VLOOKUP($B$5,标准坦克设计!$B$24:$U$30,MATCH("对"&amp;LEFT($C$5,2)&amp;"输出",标准坦克设计!$B$23:$U$23,0)))*(VLOOKUP($B73,INDIRECT($B$5&amp;"生成成长"),3))*(VLOOKUP($B$5,标准坦克设计!$B$14:$K$20,9)/30))</f>
        <v>116.51740603966377</v>
      </c>
      <c r="AU73" s="173">
        <f ca="1">(VLOOKUP(AU$72,INDIRECT($C$5&amp;"生成成长"),2))/((VLOOKUP($B73,INDIRECT($B$5&amp;"生成成长"),4))/(VLOOKUP(AU$72,INDIRECT($C$5&amp;"生成成长"),5))*(VLOOKUP($B$5,标准坦克设计!$B$24:$U$30,MATCH("对"&amp;LEFT($C$5,2)&amp;"输出",标准坦克设计!$B$23:$U$23,0)))*(VLOOKUP($B73,INDIRECT($B$5&amp;"生成成长"),3))*(VLOOKUP($B$5,标准坦克设计!$B$14:$K$20,9)/30))</f>
        <v>123.7671409038568</v>
      </c>
      <c r="AV73" s="173">
        <f ca="1">(VLOOKUP(AV$72,INDIRECT($C$5&amp;"生成成长"),2))/((VLOOKUP($B73,INDIRECT($B$5&amp;"生成成长"),4))/(VLOOKUP(AV$72,INDIRECT($C$5&amp;"生成成长"),5))*(VLOOKUP($B$5,标准坦克设计!$B$24:$U$30,MATCH("对"&amp;LEFT($C$5,2)&amp;"输出",标准坦克设计!$B$23:$U$23,0)))*(VLOOKUP($B73,INDIRECT($B$5&amp;"生成成长"),3))*(VLOOKUP($B$5,标准坦克设计!$B$14:$K$20,9)/30))</f>
        <v>12.588266398431719</v>
      </c>
      <c r="AW73" s="173">
        <f ca="1">(VLOOKUP(AW$72,INDIRECT($C$5&amp;"生成成长"),2))/((VLOOKUP($B73,INDIRECT($B$5&amp;"生成成长"),4))/(VLOOKUP(AW$72,INDIRECT($C$5&amp;"生成成长"),5))*(VLOOKUP($B$5,标准坦克设计!$B$24:$U$30,MATCH("对"&amp;LEFT($C$5,2)&amp;"输出",标准坦克设计!$B$23:$U$23,0)))*(VLOOKUP($B73,INDIRECT($B$5&amp;"生成成长"),3))*(VLOOKUP($B$5,标准坦克设计!$B$14:$K$20,9)/30))</f>
        <v>14.353010438200371</v>
      </c>
      <c r="AX73" s="173">
        <f ca="1">(VLOOKUP(AX$72,INDIRECT($C$5&amp;"生成成长"),2))/((VLOOKUP($B73,INDIRECT($B$5&amp;"生成成长"),4))/(VLOOKUP(AX$72,INDIRECT($C$5&amp;"生成成长"),5))*(VLOOKUP($B$5,标准坦克设计!$B$24:$U$30,MATCH("对"&amp;LEFT($C$5,2)&amp;"输出",标准坦克设计!$B$23:$U$23,0)))*(VLOOKUP($B73,INDIRECT($B$5&amp;"生成成长"),3))*(VLOOKUP($B$5,标准坦克设计!$B$14:$K$20,9)/30))</f>
        <v>16.233475398609588</v>
      </c>
      <c r="AY73" s="173">
        <f ca="1">(VLOOKUP(AY$72,INDIRECT($C$5&amp;"生成成长"),2))/((VLOOKUP($B73,INDIRECT($B$5&amp;"生成成长"),4))/(VLOOKUP(AY$72,INDIRECT($C$5&amp;"生成成长"),5))*(VLOOKUP($B$5,标准坦克设计!$B$24:$U$30,MATCH("对"&amp;LEFT($C$5,2)&amp;"输出",标准坦克设计!$B$23:$U$23,0)))*(VLOOKUP($B73,INDIRECT($B$5&amp;"生成成长"),3))*(VLOOKUP($B$5,标准坦克设计!$B$14:$K$20,9)/30))</f>
        <v>18.229661279659378</v>
      </c>
      <c r="AZ73" s="173">
        <f ca="1">(VLOOKUP(AZ$72,INDIRECT($C$5&amp;"生成成长"),2))/((VLOOKUP($B73,INDIRECT($B$5&amp;"生成成长"),4))/(VLOOKUP(AZ$72,INDIRECT($C$5&amp;"生成成长"),5))*(VLOOKUP($B$5,标准坦克设计!$B$24:$U$30,MATCH("对"&amp;LEFT($C$5,2)&amp;"输出",标准坦克设计!$B$23:$U$23,0)))*(VLOOKUP($B73,INDIRECT($B$5&amp;"生成成长"),3))*(VLOOKUP($B$5,标准坦克设计!$B$14:$K$20,9)/30))</f>
        <v>20.341568081349731</v>
      </c>
      <c r="BA73" s="173">
        <f ca="1">(VLOOKUP(BA$72,INDIRECT($C$5&amp;"生成成长"),2))/((VLOOKUP($B73,INDIRECT($B$5&amp;"生成成长"),4))/(VLOOKUP(BA$72,INDIRECT($C$5&amp;"生成成长"),5))*(VLOOKUP($B$5,标准坦克设计!$B$24:$U$30,MATCH("对"&amp;LEFT($C$5,2)&amp;"输出",标准坦克设计!$B$23:$U$23,0)))*(VLOOKUP($B73,INDIRECT($B$5&amp;"生成成长"),3))*(VLOOKUP($B$5,标准坦克设计!$B$14:$K$20,9)/30))</f>
        <v>22.56919580368065</v>
      </c>
      <c r="BB73" s="173">
        <f ca="1">(VLOOKUP(BB$72,INDIRECT($C$5&amp;"生成成长"),2))/((VLOOKUP($B73,INDIRECT($B$5&amp;"生成成长"),4))/(VLOOKUP(BB$72,INDIRECT($C$5&amp;"生成成长"),5))*(VLOOKUP($B$5,标准坦克设计!$B$24:$U$30,MATCH("对"&amp;LEFT($C$5,2)&amp;"输出",标准坦克设计!$B$23:$U$23,0)))*(VLOOKUP($B73,INDIRECT($B$5&amp;"生成成长"),3))*(VLOOKUP($B$5,标准坦克设计!$B$14:$K$20,9)/30))</f>
        <v>24.912544446652138</v>
      </c>
      <c r="BC73" s="173">
        <f ca="1">(VLOOKUP(BC$72,INDIRECT($C$5&amp;"生成成长"),2))/((VLOOKUP($B73,INDIRECT($B$5&amp;"生成成长"),4))/(VLOOKUP(BC$72,INDIRECT($C$5&amp;"生成成长"),5))*(VLOOKUP($B$5,标准坦克设计!$B$24:$U$30,MATCH("对"&amp;LEFT($C$5,2)&amp;"输出",标准坦克设计!$B$23:$U$23,0)))*(VLOOKUP($B73,INDIRECT($B$5&amp;"生成成长"),3))*(VLOOKUP($B$5,标准坦克设计!$B$14:$K$20,9)/30))</f>
        <v>27.371614010264196</v>
      </c>
      <c r="BD73" s="173">
        <f ca="1">(VLOOKUP(BD$72,INDIRECT($C$5&amp;"生成成长"),2))/((VLOOKUP($B73,INDIRECT($B$5&amp;"生成成长"),4))/(VLOOKUP(BD$72,INDIRECT($C$5&amp;"生成成长"),5))*(VLOOKUP($B$5,标准坦克设计!$B$24:$U$30,MATCH("对"&amp;LEFT($C$5,2)&amp;"输出",标准坦克设计!$B$23:$U$23,0)))*(VLOOKUP($B73,INDIRECT($B$5&amp;"生成成长"),3))*(VLOOKUP($B$5,标准坦克设计!$B$14:$K$20,9)/30))</f>
        <v>30.276389932280939</v>
      </c>
      <c r="BE73" s="173">
        <f ca="1">(VLOOKUP(BE$72,INDIRECT($C$5&amp;"生成成长"),2))/((VLOOKUP($B73,INDIRECT($B$5&amp;"生成成长"),4))/(VLOOKUP(BE$72,INDIRECT($C$5&amp;"生成成长"),5))*(VLOOKUP($B$5,标准坦克设计!$B$24:$U$30,MATCH("对"&amp;LEFT($C$5,2)&amp;"输出",标准坦克设计!$B$23:$U$23,0)))*(VLOOKUP($B73,INDIRECT($B$5&amp;"生成成长"),3))*(VLOOKUP($B$5,标准坦克设计!$B$14:$K$20,9)/30))</f>
        <v>33.327625144483399</v>
      </c>
      <c r="BF73" s="173">
        <f ca="1">(VLOOKUP(BF$72,INDIRECT($C$5&amp;"生成成长"),2))/((VLOOKUP($B73,INDIRECT($B$5&amp;"生成成长"),4))/(VLOOKUP(BF$72,INDIRECT($C$5&amp;"生成成长"),5))*(VLOOKUP($B$5,标准坦克设计!$B$24:$U$30,MATCH("对"&amp;LEFT($C$5,2)&amp;"输出",标准坦克设计!$B$23:$U$23,0)))*(VLOOKUP($B73,INDIRECT($B$5&amp;"生成成长"),3))*(VLOOKUP($B$5,标准坦克设计!$B$14:$K$20,9)/30))</f>
        <v>36.52531964687158</v>
      </c>
      <c r="BG73" s="173">
        <f ca="1">(VLOOKUP(BG$72,INDIRECT($C$5&amp;"生成成长"),2))/((VLOOKUP($B73,INDIRECT($B$5&amp;"生成成长"),4))/(VLOOKUP(BG$72,INDIRECT($C$5&amp;"生成成长"),5))*(VLOOKUP($B$5,标准坦克设计!$B$24:$U$30,MATCH("对"&amp;LEFT($C$5,2)&amp;"输出",标准坦克设计!$B$23:$U$23,0)))*(VLOOKUP($B73,INDIRECT($B$5&amp;"生成成长"),3))*(VLOOKUP($B$5,标准坦克设计!$B$14:$K$20,9)/30))</f>
        <v>39.869473439445471</v>
      </c>
      <c r="BH73" s="173">
        <f ca="1">(VLOOKUP(BH$72,INDIRECT($C$5&amp;"生成成长"),2))/((VLOOKUP($B73,INDIRECT($B$5&amp;"生成成长"),4))/(VLOOKUP(BH$72,INDIRECT($C$5&amp;"生成成长"),5))*(VLOOKUP($B$5,标准坦克设计!$B$24:$U$30,MATCH("对"&amp;LEFT($C$5,2)&amp;"输出",标准坦克设计!$B$23:$U$23,0)))*(VLOOKUP($B73,INDIRECT($B$5&amp;"生成成长"),3))*(VLOOKUP($B$5,标准坦克设计!$B$14:$K$20,9)/30))</f>
        <v>19.271149565424484</v>
      </c>
      <c r="BI73" s="173">
        <f ca="1">(VLOOKUP(BI$72,INDIRECT($C$5&amp;"生成成长"),2))/((VLOOKUP($B73,INDIRECT($B$5&amp;"生成成长"),4))/(VLOOKUP(BI$72,INDIRECT($C$5&amp;"生成成长"),5))*(VLOOKUP($B$5,标准坦克设计!$B$24:$U$30,MATCH("对"&amp;LEFT($C$5,2)&amp;"输出",标准坦克设计!$B$23:$U$23,0)))*(VLOOKUP($B73,INDIRECT($B$5&amp;"生成成长"),3))*(VLOOKUP($B$5,标准坦克设计!$B$14:$K$20,9)/30))</f>
        <v>21.720274362418994</v>
      </c>
      <c r="BJ73" s="173">
        <f ca="1">(VLOOKUP(BJ$72,INDIRECT($C$5&amp;"生成成长"),2))/((VLOOKUP($B73,INDIRECT($B$5&amp;"生成成长"),4))/(VLOOKUP(BJ$72,INDIRECT($C$5&amp;"生成成长"),5))*(VLOOKUP($B$5,标准坦克设计!$B$24:$U$30,MATCH("对"&amp;LEFT($C$5,2)&amp;"输出",标准坦克设计!$B$23:$U$23,0)))*(VLOOKUP($B73,INDIRECT($B$5&amp;"生成成长"),3))*(VLOOKUP($B$5,标准坦克设计!$B$14:$K$20,9)/30))</f>
        <v>24.315858449599215</v>
      </c>
      <c r="BK73" s="173">
        <f ca="1">(VLOOKUP(BK$72,INDIRECT($C$5&amp;"生成成长"),2))/((VLOOKUP($B73,INDIRECT($B$5&amp;"生成成长"),4))/(VLOOKUP(BK$72,INDIRECT($C$5&amp;"生成成长"),5))*(VLOOKUP($B$5,标准坦克设计!$B$24:$U$30,MATCH("对"&amp;LEFT($C$5,2)&amp;"输出",标准坦克设计!$B$23:$U$23,0)))*(VLOOKUP($B73,INDIRECT($B$5&amp;"生成成长"),3))*(VLOOKUP($B$5,标准坦克设计!$B$14:$K$20,9)/30))</f>
        <v>27.057901826965161</v>
      </c>
      <c r="BL73" s="173">
        <f ca="1">(VLOOKUP(BL$72,INDIRECT($C$5&amp;"生成成长"),2))/((VLOOKUP($B73,INDIRECT($B$5&amp;"生成成长"),4))/(VLOOKUP(BL$72,INDIRECT($C$5&amp;"生成成长"),5))*(VLOOKUP($B$5,标准坦克设计!$B$24:$U$30,MATCH("对"&amp;LEFT($C$5,2)&amp;"输出",标准坦克设计!$B$23:$U$23,0)))*(VLOOKUP($B73,INDIRECT($B$5&amp;"生成成长"),3))*(VLOOKUP($B$5,标准坦克设计!$B$14:$K$20,9)/30))</f>
        <v>29.94640449451682</v>
      </c>
      <c r="BM73" s="173">
        <f ca="1">(VLOOKUP(BM$72,INDIRECT($C$5&amp;"生成成长"),2))/((VLOOKUP($B73,INDIRECT($B$5&amp;"生成成长"),4))/(VLOOKUP(BM$72,INDIRECT($C$5&amp;"生成成长"),5))*(VLOOKUP($B$5,标准坦克设计!$B$24:$U$30,MATCH("对"&amp;LEFT($C$5,2)&amp;"输出",标准坦克设计!$B$23:$U$23,0)))*(VLOOKUP($B73,INDIRECT($B$5&amp;"生成成长"),3))*(VLOOKUP($B$5,标准坦克设计!$B$14:$K$20,9)/30))</f>
        <v>32.981366452254207</v>
      </c>
      <c r="BN73" s="173">
        <f ca="1">(VLOOKUP(BN$72,INDIRECT($C$5&amp;"生成成长"),2))/((VLOOKUP($B73,INDIRECT($B$5&amp;"生成成长"),4))/(VLOOKUP(BN$72,INDIRECT($C$5&amp;"生成成长"),5))*(VLOOKUP($B$5,标准坦克设计!$B$24:$U$30,MATCH("对"&amp;LEFT($C$5,2)&amp;"输出",标准坦克设计!$B$23:$U$23,0)))*(VLOOKUP($B73,INDIRECT($B$5&amp;"生成成长"),3))*(VLOOKUP($B$5,标准坦克设计!$B$14:$K$20,9)/30))</f>
        <v>36.162787700177297</v>
      </c>
      <c r="BO73" s="173">
        <f ca="1">(VLOOKUP(BO$72,INDIRECT($C$5&amp;"生成成长"),2))/((VLOOKUP($B73,INDIRECT($B$5&amp;"生成成长"),4))/(VLOOKUP(BO$72,INDIRECT($C$5&amp;"生成成长"),5))*(VLOOKUP($B$5,标准坦克设计!$B$24:$U$30,MATCH("对"&amp;LEFT($C$5,2)&amp;"输出",标准坦克设计!$B$23:$U$23,0)))*(VLOOKUP($B73,INDIRECT($B$5&amp;"生成成长"),3))*(VLOOKUP($B$5,标准坦克设计!$B$14:$K$20,9)/30))</f>
        <v>39.490668238286119</v>
      </c>
      <c r="BP73" s="173">
        <f ca="1">(VLOOKUP(BP$72,INDIRECT($C$5&amp;"生成成长"),2))/((VLOOKUP($B73,INDIRECT($B$5&amp;"生成成长"),4))/(VLOOKUP(BP$72,INDIRECT($C$5&amp;"生成成长"),5))*(VLOOKUP($B$5,标准坦克设计!$B$24:$U$30,MATCH("对"&amp;LEFT($C$5,2)&amp;"输出",标准坦克设计!$B$23:$U$23,0)))*(VLOOKUP($B73,INDIRECT($B$5&amp;"生成成长"),3))*(VLOOKUP($B$5,标准坦克设计!$B$14:$K$20,9)/30))</f>
        <v>42.965008066580644</v>
      </c>
      <c r="BQ73" s="173">
        <f ca="1">(VLOOKUP(BQ$72,INDIRECT($C$5&amp;"生成成长"),2))/((VLOOKUP($B73,INDIRECT($B$5&amp;"生成成长"),4))/(VLOOKUP(BQ$72,INDIRECT($C$5&amp;"生成成长"),5))*(VLOOKUP($B$5,标准坦克设计!$B$24:$U$30,MATCH("对"&amp;LEFT($C$5,2)&amp;"输出",标准坦克设计!$B$23:$U$23,0)))*(VLOOKUP($B73,INDIRECT($B$5&amp;"生成成长"),3))*(VLOOKUP($B$5,标准坦克设计!$B$14:$K$20,9)/30))</f>
        <v>46.585807185060908</v>
      </c>
      <c r="BR73" s="173">
        <f ca="1">(VLOOKUP(BR$72,INDIRECT($C$5&amp;"生成成长"),2))/((VLOOKUP($B73,INDIRECT($B$5&amp;"生成成长"),4))/(VLOOKUP(BR$72,INDIRECT($C$5&amp;"生成成长"),5))*(VLOOKUP($B$5,标准坦克设计!$B$24:$U$30,MATCH("对"&amp;LEFT($C$5,2)&amp;"输出",标准坦克设计!$B$23:$U$23,0)))*(VLOOKUP($B73,INDIRECT($B$5&amp;"生成成长"),3))*(VLOOKUP($B$5,标准坦克设计!$B$14:$K$20,9)/30))</f>
        <v>50.780690558281457</v>
      </c>
      <c r="BS73" s="173">
        <f ca="1">(VLOOKUP(BS$72,INDIRECT($C$5&amp;"生成成长"),2))/((VLOOKUP($B73,INDIRECT($B$5&amp;"生成成长"),4))/(VLOOKUP(BS$72,INDIRECT($C$5&amp;"生成成长"),5))*(VLOOKUP($B$5,标准坦克设计!$B$24:$U$30,MATCH("对"&amp;LEFT($C$5,2)&amp;"输出",标准坦克设计!$B$23:$U$23,0)))*(VLOOKUP($B73,INDIRECT($B$5&amp;"生成成长"),3))*(VLOOKUP($B$5,标准坦克设计!$B$14:$K$20,9)/30))</f>
        <v>55.156387870002931</v>
      </c>
      <c r="BT73" s="173">
        <f ca="1">(VLOOKUP(BT$72,INDIRECT($C$5&amp;"生成成长"),2))/((VLOOKUP($B73,INDIRECT($B$5&amp;"生成成长"),4))/(VLOOKUP(BT$72,INDIRECT($C$5&amp;"生成成长"),5))*(VLOOKUP($B$5,标准坦克设计!$B$24:$U$30,MATCH("对"&amp;LEFT($C$5,2)&amp;"输出",标准坦克设计!$B$23:$U$23,0)))*(VLOOKUP($B73,INDIRECT($B$5&amp;"生成成长"),3))*(VLOOKUP($B$5,标准坦克设计!$B$14:$K$20,9)/30))</f>
        <v>59.712899120225259</v>
      </c>
      <c r="BU73" s="173">
        <f ca="1">(VLOOKUP(BU$72,INDIRECT($C$5&amp;"生成成长"),2))/((VLOOKUP($B73,INDIRECT($B$5&amp;"生成成长"),4))/(VLOOKUP(BU$72,INDIRECT($C$5&amp;"生成成长"),5))*(VLOOKUP($B$5,标准坦克设计!$B$24:$U$30,MATCH("对"&amp;LEFT($C$5,2)&amp;"输出",标准坦克设计!$B$23:$U$23,0)))*(VLOOKUP($B73,INDIRECT($B$5&amp;"生成成长"),3))*(VLOOKUP($B$5,标准坦克设计!$B$14:$K$20,9)/30))</f>
        <v>64.450224308948478</v>
      </c>
      <c r="BV73" s="173">
        <f ca="1">(VLOOKUP(BV$72,INDIRECT($C$5&amp;"生成成长"),2))/((VLOOKUP($B73,INDIRECT($B$5&amp;"生成成长"),4))/(VLOOKUP(BV$72,INDIRECT($C$5&amp;"生成成长"),5))*(VLOOKUP($B$5,标准坦克设计!$B$24:$U$30,MATCH("对"&amp;LEFT($C$5,2)&amp;"输出",标准坦克设计!$B$23:$U$23,0)))*(VLOOKUP($B73,INDIRECT($B$5&amp;"生成成长"),3))*(VLOOKUP($B$5,标准坦克设计!$B$14:$K$20,9)/30))</f>
        <v>69.368363436172601</v>
      </c>
      <c r="BW73" s="173">
        <f ca="1">(VLOOKUP(BW$72,INDIRECT($C$5&amp;"生成成长"),2))/((VLOOKUP($B73,INDIRECT($B$5&amp;"生成成长"),4))/(VLOOKUP(BW$72,INDIRECT($C$5&amp;"生成成长"),5))*(VLOOKUP($B$5,标准坦克设计!$B$24:$U$30,MATCH("对"&amp;LEFT($C$5,2)&amp;"输出",标准坦克设计!$B$23:$U$23,0)))*(VLOOKUP($B73,INDIRECT($B$5&amp;"生成成长"),3))*(VLOOKUP($B$5,标准坦克设计!$B$14:$K$20,9)/30))</f>
        <v>31.6144130771875</v>
      </c>
      <c r="BX73" s="173">
        <f ca="1">(VLOOKUP(BX$72,INDIRECT($C$5&amp;"生成成长"),2))/((VLOOKUP($B73,INDIRECT($B$5&amp;"生成成长"),4))/(VLOOKUP(BX$72,INDIRECT($C$5&amp;"生成成长"),5))*(VLOOKUP($B$5,标准坦克设计!$B$24:$U$30,MATCH("对"&amp;LEFT($C$5,2)&amp;"输出",标准坦克设计!$B$23:$U$23,0)))*(VLOOKUP($B73,INDIRECT($B$5&amp;"生成成长"),3))*(VLOOKUP($B$5,标准坦克设计!$B$14:$K$20,9)/30))</f>
        <v>35.086040696404524</v>
      </c>
      <c r="BY73" s="173">
        <f ca="1">(VLOOKUP(BY$72,INDIRECT($C$5&amp;"生成成长"),2))/((VLOOKUP($B73,INDIRECT($B$5&amp;"生成成长"),4))/(VLOOKUP(BY$72,INDIRECT($C$5&amp;"生成成长"),5))*(VLOOKUP($B$5,标准坦克设计!$B$24:$U$30,MATCH("对"&amp;LEFT($C$5,2)&amp;"输出",标准坦克设计!$B$23:$U$23,0)))*(VLOOKUP($B73,INDIRECT($B$5&amp;"生成成长"),3))*(VLOOKUP($B$5,标准坦克设计!$B$14:$K$20,9)/30))</f>
        <v>38.738482254122431</v>
      </c>
      <c r="BZ73" s="173">
        <f ca="1">(VLOOKUP(BZ$72,INDIRECT($C$5&amp;"生成成长"),2))/((VLOOKUP($B73,INDIRECT($B$5&amp;"生成成长"),4))/(VLOOKUP(BZ$72,INDIRECT($C$5&amp;"生成成长"),5))*(VLOOKUP($B$5,标准坦克设计!$B$24:$U$30,MATCH("对"&amp;LEFT($C$5,2)&amp;"输出",标准坦克设计!$B$23:$U$23,0)))*(VLOOKUP($B73,INDIRECT($B$5&amp;"生成成长"),3))*(VLOOKUP($B$5,标准坦克设计!$B$14:$K$20,9)/30))</f>
        <v>42.571737750341221</v>
      </c>
      <c r="CA73" s="173">
        <f ca="1">(VLOOKUP(CA$72,INDIRECT($C$5&amp;"生成成长"),2))/((VLOOKUP($B73,INDIRECT($B$5&amp;"生成成长"),4))/(VLOOKUP(CA$72,INDIRECT($C$5&amp;"生成成长"),5))*(VLOOKUP($B$5,标准坦克设计!$B$24:$U$30,MATCH("对"&amp;LEFT($C$5,2)&amp;"输出",标准坦克设计!$B$23:$U$23,0)))*(VLOOKUP($B73,INDIRECT($B$5&amp;"生成成长"),3))*(VLOOKUP($B$5,标准坦克设计!$B$14:$K$20,9)/30))</f>
        <v>46.585807185060908</v>
      </c>
      <c r="CB73" s="173">
        <f ca="1">(VLOOKUP(CB$72,INDIRECT($C$5&amp;"生成成长"),2))/((VLOOKUP($B73,INDIRECT($B$5&amp;"生成成长"),4))/(VLOOKUP(CB$72,INDIRECT($C$5&amp;"生成成长"),5))*(VLOOKUP($B$5,标准坦克设计!$B$24:$U$30,MATCH("对"&amp;LEFT($C$5,2)&amp;"输出",标准坦克设计!$B$23:$U$23,0)))*(VLOOKUP($B73,INDIRECT($B$5&amp;"生成成长"),3))*(VLOOKUP($B$5,标准坦克设计!$B$14:$K$20,9)/30))</f>
        <v>50.780690558281457</v>
      </c>
      <c r="CC73" s="173">
        <f ca="1">(VLOOKUP(CC$72,INDIRECT($C$5&amp;"生成成长"),2))/((VLOOKUP($B73,INDIRECT($B$5&amp;"生成成长"),4))/(VLOOKUP(CC$72,INDIRECT($C$5&amp;"生成成长"),5))*(VLOOKUP($B$5,标准坦克设计!$B$24:$U$30,MATCH("对"&amp;LEFT($C$5,2)&amp;"输出",标准坦克设计!$B$23:$U$23,0)))*(VLOOKUP($B73,INDIRECT($B$5&amp;"生成成长"),3))*(VLOOKUP($B$5,标准坦克设计!$B$14:$K$20,9)/30))</f>
        <v>55.156387870002931</v>
      </c>
      <c r="CD73" s="173">
        <f ca="1">(VLOOKUP(CD$72,INDIRECT($C$5&amp;"生成成长"),2))/((VLOOKUP($B73,INDIRECT($B$5&amp;"生成成长"),4))/(VLOOKUP(CD$72,INDIRECT($C$5&amp;"生成成长"),5))*(VLOOKUP($B$5,标准坦克设计!$B$24:$U$30,MATCH("对"&amp;LEFT($C$5,2)&amp;"输出",标准坦克设计!$B$23:$U$23,0)))*(VLOOKUP($B73,INDIRECT($B$5&amp;"生成成长"),3))*(VLOOKUP($B$5,标准坦克设计!$B$14:$K$20,9)/30))</f>
        <v>59.712899120225259</v>
      </c>
      <c r="CE73" s="173">
        <f ca="1">(VLOOKUP(CE$72,INDIRECT($C$5&amp;"生成成长"),2))/((VLOOKUP($B73,INDIRECT($B$5&amp;"生成成长"),4))/(VLOOKUP(CE$72,INDIRECT($C$5&amp;"生成成长"),5))*(VLOOKUP($B$5,标准坦克设计!$B$24:$U$30,MATCH("对"&amp;LEFT($C$5,2)&amp;"输出",标准坦克设计!$B$23:$U$23,0)))*(VLOOKUP($B73,INDIRECT($B$5&amp;"生成成长"),3))*(VLOOKUP($B$5,标准坦克设计!$B$14:$K$20,9)/30))</f>
        <v>64.450224308948478</v>
      </c>
      <c r="CF73" s="173">
        <f ca="1">(VLOOKUP(CF$72,INDIRECT($C$5&amp;"生成成长"),2))/((VLOOKUP($B73,INDIRECT($B$5&amp;"生成成长"),4))/(VLOOKUP(CF$72,INDIRECT($C$5&amp;"生成成长"),5))*(VLOOKUP($B$5,标准坦克设计!$B$24:$U$30,MATCH("对"&amp;LEFT($C$5,2)&amp;"输出",标准坦克设计!$B$23:$U$23,0)))*(VLOOKUP($B73,INDIRECT($B$5&amp;"生成成长"),3))*(VLOOKUP($B$5,标准坦克设计!$B$14:$K$20,9)/30))</f>
        <v>69.368363436172601</v>
      </c>
      <c r="CG73" s="173">
        <f ca="1">(VLOOKUP(CG$72,INDIRECT($C$5&amp;"生成成长"),2))/((VLOOKUP($B73,INDIRECT($B$5&amp;"生成成长"),4))/(VLOOKUP(CG$72,INDIRECT($C$5&amp;"生成成长"),5))*(VLOOKUP($B$5,标准坦克设计!$B$24:$U$30,MATCH("对"&amp;LEFT($C$5,2)&amp;"输出",标准坦克设计!$B$23:$U$23,0)))*(VLOOKUP($B73,INDIRECT($B$5&amp;"生成成长"),3))*(VLOOKUP($B$5,标准坦克设计!$B$14:$K$20,9)/30))</f>
        <v>74.467316501897599</v>
      </c>
      <c r="CH73" s="173">
        <f ca="1">(VLOOKUP(CH$72,INDIRECT($C$5&amp;"生成成长"),2))/((VLOOKUP($B73,INDIRECT($B$5&amp;"生成成长"),4))/(VLOOKUP(CH$72,INDIRECT($C$5&amp;"生成成长"),5))*(VLOOKUP($B$5,标准坦克设计!$B$24:$U$30,MATCH("对"&amp;LEFT($C$5,2)&amp;"输出",标准坦克设计!$B$23:$U$23,0)))*(VLOOKUP($B73,INDIRECT($B$5&amp;"生成成长"),3))*(VLOOKUP($B$5,标准坦克设计!$B$14:$K$20,9)/30))</f>
        <v>79.747083506123488</v>
      </c>
      <c r="CI73" s="173">
        <f ca="1">(VLOOKUP(CI$72,INDIRECT($C$5&amp;"生成成长"),2))/((VLOOKUP($B73,INDIRECT($B$5&amp;"生成成长"),4))/(VLOOKUP(CI$72,INDIRECT($C$5&amp;"生成成长"),5))*(VLOOKUP($B$5,标准坦克设计!$B$24:$U$30,MATCH("对"&amp;LEFT($C$5,2)&amp;"输出",标准坦克设计!$B$23:$U$23,0)))*(VLOOKUP($B73,INDIRECT($B$5&amp;"生成成长"),3))*(VLOOKUP($B$5,标准坦克设计!$B$14:$K$20,9)/30))</f>
        <v>85.763667309740498</v>
      </c>
      <c r="CJ73" s="173">
        <f ca="1">(VLOOKUP(CJ$72,INDIRECT($C$5&amp;"生成成长"),2))/((VLOOKUP($B73,INDIRECT($B$5&amp;"生成成长"),4))/(VLOOKUP(CJ$72,INDIRECT($C$5&amp;"生成成长"),5))*(VLOOKUP($B$5,标准坦克设计!$B$24:$U$30,MATCH("对"&amp;LEFT($C$5,2)&amp;"输出",标准坦克设计!$B$23:$U$23,0)))*(VLOOKUP($B73,INDIRECT($B$5&amp;"生成成长"),3))*(VLOOKUP($B$5,标准坦克设计!$B$14:$K$20,9)/30))</f>
        <v>91.999035978943553</v>
      </c>
      <c r="CK73" s="173">
        <f ca="1">(VLOOKUP(CK$72,INDIRECT($C$5&amp;"生成成长"),2))/((VLOOKUP($B73,INDIRECT($B$5&amp;"生成成长"),4))/(VLOOKUP(CK$72,INDIRECT($C$5&amp;"生成成长"),5))*(VLOOKUP($B$5,标准坦克设计!$B$24:$U$30,MATCH("对"&amp;LEFT($C$5,2)&amp;"输出",标准坦克设计!$B$23:$U$23,0)))*(VLOOKUP($B73,INDIRECT($B$5&amp;"生成成长"),3))*(VLOOKUP($B$5,标准坦克设计!$B$14:$K$20,9)/30))</f>
        <v>98.453189513732696</v>
      </c>
      <c r="CL73" s="173">
        <f ca="1">(VLOOKUP(CL$72,INDIRECT($C$5&amp;"生成成长"),2))/((VLOOKUP($B73,INDIRECT($B$5&amp;"生成成长"),4))/(VLOOKUP(CL$72,INDIRECT($C$5&amp;"生成成长"),5))*(VLOOKUP($B$5,标准坦克设计!$B$24:$U$30,MATCH("对"&amp;LEFT($C$5,2)&amp;"输出",标准坦克设计!$B$23:$U$23,0)))*(VLOOKUP($B73,INDIRECT($B$5&amp;"生成成长"),3))*(VLOOKUP($B$5,标准坦克设计!$B$14:$K$20,9)/30))</f>
        <v>105.12612791410791</v>
      </c>
      <c r="CM73" s="173">
        <f ca="1">(VLOOKUP(CM$72,INDIRECT($C$5&amp;"生成成长"),2))/((VLOOKUP($B73,INDIRECT($B$5&amp;"生成成长"),4))/(VLOOKUP(CM$72,INDIRECT($C$5&amp;"生成成长"),5))*(VLOOKUP($B$5,标准坦克设计!$B$24:$U$30,MATCH("对"&amp;LEFT($C$5,2)&amp;"输出",标准坦克设计!$B$23:$U$23,0)))*(VLOOKUP($B73,INDIRECT($B$5&amp;"生成成长"),3))*(VLOOKUP($B$5,标准坦克设计!$B$14:$K$20,9)/30))</f>
        <v>112.0178511800692</v>
      </c>
      <c r="CN73" s="173">
        <f ca="1">(VLOOKUP(CN$72,INDIRECT($C$5&amp;"生成成长"),2))/((VLOOKUP($B73,INDIRECT($B$5&amp;"生成成长"),4))/(VLOOKUP(CN$72,INDIRECT($C$5&amp;"生成成长"),5))*(VLOOKUP($B$5,标准坦克设计!$B$24:$U$30,MATCH("对"&amp;LEFT($C$5,2)&amp;"输出",标准坦克设计!$B$23:$U$23,0)))*(VLOOKUP($B73,INDIRECT($B$5&amp;"生成成长"),3))*(VLOOKUP($B$5,标准坦克设计!$B$14:$K$20,9)/30))</f>
        <v>119.12835931161656</v>
      </c>
      <c r="CO73" s="173">
        <f ca="1">(VLOOKUP(CO$72,INDIRECT($C$5&amp;"生成成长"),2))/((VLOOKUP($B73,INDIRECT($B$5&amp;"生成成长"),4))/(VLOOKUP(CO$72,INDIRECT($C$5&amp;"生成成长"),5))*(VLOOKUP($B$5,标准坦克设计!$B$24:$U$30,MATCH("对"&amp;LEFT($C$5,2)&amp;"输出",标准坦克设计!$B$23:$U$23,0)))*(VLOOKUP($B73,INDIRECT($B$5&amp;"生成成长"),3))*(VLOOKUP($B$5,标准坦克设计!$B$14:$K$20,9)/30))</f>
        <v>53.38441127269423</v>
      </c>
      <c r="CP73" s="173">
        <f ca="1">(VLOOKUP(CP$72,INDIRECT($C$5&amp;"生成成长"),2))/((VLOOKUP($B73,INDIRECT($B$5&amp;"生成成长"),4))/(VLOOKUP(CP$72,INDIRECT($C$5&amp;"生成成长"),5))*(VLOOKUP($B$5,标准坦克设计!$B$24:$U$30,MATCH("对"&amp;LEFT($C$5,2)&amp;"输出",标准坦克设计!$B$23:$U$23,0)))*(VLOOKUP($B73,INDIRECT($B$5&amp;"生成成长"),3))*(VLOOKUP($B$5,标准坦克设计!$B$14:$K$20,9)/30))</f>
        <v>58.326960281615975</v>
      </c>
      <c r="CQ73" s="173">
        <f ca="1">(VLOOKUP(CQ$72,INDIRECT($C$5&amp;"生成成长"),2))/((VLOOKUP($B73,INDIRECT($B$5&amp;"生成成长"),4))/(VLOOKUP(CQ$72,INDIRECT($C$5&amp;"生成成长"),5))*(VLOOKUP($B$5,标准坦克设计!$B$24:$U$30,MATCH("对"&amp;LEFT($C$5,2)&amp;"输出",标准坦克设计!$B$23:$U$23,0)))*(VLOOKUP($B73,INDIRECT($B$5&amp;"生成成长"),3))*(VLOOKUP($B$5,标准坦克设计!$B$14:$K$20,9)/30))</f>
        <v>63.488294156123771</v>
      </c>
      <c r="CR73" s="173">
        <f ca="1">(VLOOKUP(CR$72,INDIRECT($C$5&amp;"生成成长"),2))/((VLOOKUP($B73,INDIRECT($B$5&amp;"生成成长"),4))/(VLOOKUP(CR$72,INDIRECT($C$5&amp;"生成成长"),5))*(VLOOKUP($B$5,标准坦克设计!$B$24:$U$30,MATCH("对"&amp;LEFT($C$5,2)&amp;"输出",标准坦克设计!$B$23:$U$23,0)))*(VLOOKUP($B73,INDIRECT($B$5&amp;"生成成长"),3))*(VLOOKUP($B$5,标准坦克设计!$B$14:$K$20,9)/30))</f>
        <v>68.868412896217649</v>
      </c>
      <c r="CS73" s="173">
        <f ca="1">(VLOOKUP(CS$72,INDIRECT($C$5&amp;"生成成长"),2))/((VLOOKUP($B73,INDIRECT($B$5&amp;"生成成长"),4))/(VLOOKUP(CS$72,INDIRECT($C$5&amp;"生成成长"),5))*(VLOOKUP($B$5,标准坦克设计!$B$24:$U$30,MATCH("对"&amp;LEFT($C$5,2)&amp;"输出",标准坦克设计!$B$23:$U$23,0)))*(VLOOKUP($B73,INDIRECT($B$5&amp;"生成成长"),3))*(VLOOKUP($B$5,标准坦克设计!$B$14:$K$20,9)/30))</f>
        <v>74.467316501897599</v>
      </c>
      <c r="CT73" s="173">
        <f ca="1">(VLOOKUP(CT$72,INDIRECT($C$5&amp;"生成成长"),2))/((VLOOKUP($B73,INDIRECT($B$5&amp;"生成成长"),4))/(VLOOKUP(CT$72,INDIRECT($C$5&amp;"生成成长"),5))*(VLOOKUP($B$5,标准坦克设计!$B$24:$U$30,MATCH("对"&amp;LEFT($C$5,2)&amp;"输出",标准坦克设计!$B$23:$U$23,0)))*(VLOOKUP($B73,INDIRECT($B$5&amp;"生成成长"),3))*(VLOOKUP($B$5,标准坦克设计!$B$14:$K$20,9)/30))</f>
        <v>80.285004973163637</v>
      </c>
      <c r="CU73" s="173">
        <f ca="1">(VLOOKUP(CU$72,INDIRECT($C$5&amp;"生成成长"),2))/((VLOOKUP($B73,INDIRECT($B$5&amp;"生成成长"),4))/(VLOOKUP(CU$72,INDIRECT($C$5&amp;"生成成长"),5))*(VLOOKUP($B$5,标准坦克设计!$B$24:$U$30,MATCH("对"&amp;LEFT($C$5,2)&amp;"输出",标准坦克设计!$B$23:$U$23,0)))*(VLOOKUP($B73,INDIRECT($B$5&amp;"生成成长"),3))*(VLOOKUP($B$5,标准坦克设计!$B$14:$K$20,9)/30))</f>
        <v>86.321478310015735</v>
      </c>
      <c r="CV73" s="173">
        <f ca="1">(VLOOKUP(CV$72,INDIRECT($C$5&amp;"生成成长"),2))/((VLOOKUP($B73,INDIRECT($B$5&amp;"生成成长"),4))/(VLOOKUP(CV$72,INDIRECT($C$5&amp;"生成成长"),5))*(VLOOKUP($B$5,标准坦克设计!$B$24:$U$30,MATCH("对"&amp;LEFT($C$5,2)&amp;"输出",标准坦克设计!$B$23:$U$23,0)))*(VLOOKUP($B73,INDIRECT($B$5&amp;"生成成长"),3))*(VLOOKUP($B$5,标准坦克设计!$B$14:$K$20,9)/30))</f>
        <v>92.576736512453891</v>
      </c>
      <c r="CW73" s="173">
        <f ca="1">(VLOOKUP(CW$72,INDIRECT($C$5&amp;"生成成长"),2))/((VLOOKUP($B73,INDIRECT($B$5&amp;"生成成长"),4))/(VLOOKUP(CW$72,INDIRECT($C$5&amp;"生成成长"),5))*(VLOOKUP($B$5,标准坦克设计!$B$24:$U$30,MATCH("对"&amp;LEFT($C$5,2)&amp;"输出",标准坦克设计!$B$23:$U$23,0)))*(VLOOKUP($B73,INDIRECT($B$5&amp;"生成成长"),3))*(VLOOKUP($B$5,标准坦克设计!$B$14:$K$20,9)/30))</f>
        <v>99.050779580478135</v>
      </c>
      <c r="CX73" s="173">
        <f ca="1">(VLOOKUP(CX$72,INDIRECT($C$5&amp;"生成成长"),2))/((VLOOKUP($B73,INDIRECT($B$5&amp;"生成成长"),4))/(VLOOKUP(CX$72,INDIRECT($C$5&amp;"生成成长"),5))*(VLOOKUP($B$5,标准坦克设计!$B$24:$U$30,MATCH("对"&amp;LEFT($C$5,2)&amp;"输出",标准坦克设计!$B$23:$U$23,0)))*(VLOOKUP($B73,INDIRECT($B$5&amp;"生成成长"),3))*(VLOOKUP($B$5,标准坦克设计!$B$14:$K$20,9)/30))</f>
        <v>105.74360751408844</v>
      </c>
      <c r="CY73" s="173">
        <f ca="1">(VLOOKUP(CY$72,INDIRECT($C$5&amp;"生成成长"),2))/((VLOOKUP($B73,INDIRECT($B$5&amp;"生成成长"),4))/(VLOOKUP(CY$72,INDIRECT($C$5&amp;"生成成长"),5))*(VLOOKUP($B$5,标准坦克设计!$B$24:$U$30,MATCH("对"&amp;LEFT($C$5,2)&amp;"输出",标准坦克设计!$B$23:$U$23,0)))*(VLOOKUP($B73,INDIRECT($B$5&amp;"生成成长"),3))*(VLOOKUP($B$5,标准坦克设计!$B$14:$K$20,9)/30))</f>
        <v>112.65522031328483</v>
      </c>
      <c r="CZ73" s="173">
        <f ca="1">(VLOOKUP(CZ$72,INDIRECT($C$5&amp;"生成成长"),2))/((VLOOKUP($B73,INDIRECT($B$5&amp;"生成成长"),4))/(VLOOKUP(CZ$72,INDIRECT($C$5&amp;"生成成长"),5))*(VLOOKUP($B$5,标准坦克设计!$B$24:$U$30,MATCH("对"&amp;LEFT($C$5,2)&amp;"输出",标准坦克设计!$B$23:$U$23,0)))*(VLOOKUP($B73,INDIRECT($B$5&amp;"生成成长"),3))*(VLOOKUP($B$5,标准坦克设计!$B$14:$K$20,9)/30))</f>
        <v>119.78561797806728</v>
      </c>
      <c r="DA73" s="173">
        <f ca="1">(VLOOKUP(DA$72,INDIRECT($C$5&amp;"生成成长"),2))/((VLOOKUP($B73,INDIRECT($B$5&amp;"生成成长"),4))/(VLOOKUP(DA$72,INDIRECT($C$5&amp;"生成成长"),5))*(VLOOKUP($B$5,标准坦克设计!$B$24:$U$30,MATCH("对"&amp;LEFT($C$5,2)&amp;"输出",标准坦克设计!$B$23:$U$23,0)))*(VLOOKUP($B73,INDIRECT($B$5&amp;"生成成长"),3))*(VLOOKUP($B$5,标准坦克设计!$B$14:$K$20,9)/30))</f>
        <v>127.13480050843582</v>
      </c>
      <c r="DB73" s="173">
        <f ca="1">(VLOOKUP(DB$72,INDIRECT($C$5&amp;"生成成长"),2))/((VLOOKUP($B73,INDIRECT($B$5&amp;"生成成长"),4))/(VLOOKUP(DB$72,INDIRECT($C$5&amp;"生成成长"),5))*(VLOOKUP($B$5,标准坦克设计!$B$24:$U$30,MATCH("对"&amp;LEFT($C$5,2)&amp;"输出",标准坦克设计!$B$23:$U$23,0)))*(VLOOKUP($B73,INDIRECT($B$5&amp;"生成成长"),3))*(VLOOKUP($B$5,标准坦克设计!$B$14:$K$20,9)/30))</f>
        <v>134.70276790439041</v>
      </c>
      <c r="DC73" s="173">
        <f ca="1">(VLOOKUP(DC$72,INDIRECT($C$5&amp;"生成成长"),2))/((VLOOKUP($B73,INDIRECT($B$5&amp;"生成成长"),4))/(VLOOKUP(DC$72,INDIRECT($C$5&amp;"生成成长"),5))*(VLOOKUP($B$5,标准坦克设计!$B$24:$U$30,MATCH("对"&amp;LEFT($C$5,2)&amp;"输出",标准坦克设计!$B$23:$U$23,0)))*(VLOOKUP($B73,INDIRECT($B$5&amp;"生成成长"),3))*(VLOOKUP($B$5,标准坦克设计!$B$14:$K$20,9)/30))</f>
        <v>143.20825557147214</v>
      </c>
      <c r="DD73" s="173">
        <f ca="1">(VLOOKUP(DD$72,INDIRECT($C$5&amp;"生成成长"),2))/((VLOOKUP($B73,INDIRECT($B$5&amp;"生成成长"),4))/(VLOOKUP(DD$72,INDIRECT($C$5&amp;"生成成长"),5))*(VLOOKUP($B$5,标准坦克设计!$B$24:$U$30,MATCH("对"&amp;LEFT($C$5,2)&amp;"输出",标准坦克设计!$B$23:$U$23,0)))*(VLOOKUP($B73,INDIRECT($B$5&amp;"生成成长"),3))*(VLOOKUP($B$5,标准坦克设计!$B$14:$K$20,9)/30))</f>
        <v>151.97411530999514</v>
      </c>
      <c r="DE73" s="173">
        <f ca="1">(VLOOKUP(DE$72,INDIRECT($C$5&amp;"生成成长"),2))/((VLOOKUP($B73,INDIRECT($B$5&amp;"生成成长"),4))/(VLOOKUP(DE$72,INDIRECT($C$5&amp;"生成成长"),5))*(VLOOKUP($B$5,标准坦克设计!$B$24:$U$30,MATCH("对"&amp;LEFT($C$5,2)&amp;"输出",标准坦克设计!$B$23:$U$23,0)))*(VLOOKUP($B73,INDIRECT($B$5&amp;"生成成长"),3))*(VLOOKUP($B$5,标准坦克设计!$B$14:$K$20,9)/30))</f>
        <v>161.00034711995932</v>
      </c>
      <c r="DF73" s="173">
        <f ca="1">(VLOOKUP(DF$72,INDIRECT($C$5&amp;"生成成长"),2))/((VLOOKUP($B73,INDIRECT($B$5&amp;"生成成长"),4))/(VLOOKUP(DF$72,INDIRECT($C$5&amp;"生成成长"),5))*(VLOOKUP($B$5,标准坦克设计!$B$24:$U$30,MATCH("对"&amp;LEFT($C$5,2)&amp;"输出",标准坦克设计!$B$23:$U$23,0)))*(VLOOKUP($B73,INDIRECT($B$5&amp;"生成成长"),3))*(VLOOKUP($B$5,标准坦克设计!$B$14:$K$20,9)/30))</f>
        <v>170.28695100136488</v>
      </c>
      <c r="DG73" s="173">
        <f ca="1">(VLOOKUP(DG$72,INDIRECT($C$5&amp;"生成成长"),2))/((VLOOKUP($B73,INDIRECT($B$5&amp;"生成成长"),4))/(VLOOKUP(DG$72,INDIRECT($C$5&amp;"生成成长"),5))*(VLOOKUP($B$5,标准坦克设计!$B$24:$U$30,MATCH("对"&amp;LEFT($C$5,2)&amp;"输出",标准坦克设计!$B$23:$U$23,0)))*(VLOOKUP($B73,INDIRECT($B$5&amp;"生成成长"),3))*(VLOOKUP($B$5,标准坦克设计!$B$14:$K$20,9)/30))</f>
        <v>179.83392695421171</v>
      </c>
      <c r="DH73" s="173">
        <f ca="1">(VLOOKUP(DH$72,INDIRECT($C$5&amp;"生成成长"),2))/((VLOOKUP($B73,INDIRECT($B$5&amp;"生成成长"),4))/(VLOOKUP(DH$72,INDIRECT($C$5&amp;"生成成长"),5))*(VLOOKUP($B$5,标准坦克设计!$B$24:$U$30,MATCH("对"&amp;LEFT($C$5,2)&amp;"输出",标准坦克设计!$B$23:$U$23,0)))*(VLOOKUP($B73,INDIRECT($B$5&amp;"生成成长"),3))*(VLOOKUP($B$5,标准坦克设计!$B$14:$K$20,9)/30))</f>
        <v>189.64127497849975</v>
      </c>
      <c r="DI73" s="173">
        <f ca="1">(VLOOKUP(DI$72,INDIRECT($C$5&amp;"生成成长"),2))/((VLOOKUP($B73,INDIRECT($B$5&amp;"生成成长"),4))/(VLOOKUP(DI$72,INDIRECT($C$5&amp;"生成成长"),5))*(VLOOKUP($B$5,标准坦克设计!$B$24:$U$30,MATCH("对"&amp;LEFT($C$5,2)&amp;"输出",标准坦克设计!$B$23:$U$23,0)))*(VLOOKUP($B73,INDIRECT($B$5&amp;"生成成长"),3))*(VLOOKUP($B$5,标准坦克设计!$B$14:$K$20,9)/30))</f>
        <v>199.70899507422916</v>
      </c>
      <c r="DJ73" s="173">
        <f ca="1">(VLOOKUP(DJ$72,INDIRECT($C$5&amp;"生成成长"),2))/((VLOOKUP($B73,INDIRECT($B$5&amp;"生成成长"),4))/(VLOOKUP(DJ$72,INDIRECT($C$5&amp;"生成成长"),5))*(VLOOKUP($B$5,标准坦克设计!$B$24:$U$30,MATCH("对"&amp;LEFT($C$5,2)&amp;"输出",标准坦克设计!$B$23:$U$23,0)))*(VLOOKUP($B73,INDIRECT($B$5&amp;"生成成长"),3))*(VLOOKUP($B$5,标准坦克设计!$B$14:$K$20,9)/30))</f>
        <v>20.071251243290909</v>
      </c>
      <c r="DK73" s="173">
        <f ca="1">(VLOOKUP(DK$72,INDIRECT($C$5&amp;"生成成长"),2))/((VLOOKUP($B73,INDIRECT($B$5&amp;"生成成长"),4))/(VLOOKUP(DK$72,INDIRECT($C$5&amp;"生成成长"),5))*(VLOOKUP($B$5,标准坦克设计!$B$24:$U$30,MATCH("对"&amp;LEFT($C$5,2)&amp;"输出",标准坦克设计!$B$23:$U$23,0)))*(VLOOKUP($B73,INDIRECT($B$5&amp;"生成成长"),3))*(VLOOKUP($B$5,标准坦克设计!$B$14:$K$20,9)/30))</f>
        <v>22.56919580368065</v>
      </c>
      <c r="DL73" s="173">
        <f ca="1">(VLOOKUP(DL$72,INDIRECT($C$5&amp;"生成成长"),2))/((VLOOKUP($B73,INDIRECT($B$5&amp;"生成成长"),4))/(VLOOKUP(DL$72,INDIRECT($C$5&amp;"生成成长"),5))*(VLOOKUP($B$5,标准坦克设计!$B$24:$U$30,MATCH("对"&amp;LEFT($C$5,2)&amp;"输出",标准坦克设计!$B$23:$U$23,0)))*(VLOOKUP($B73,INDIRECT($B$5&amp;"生成成长"),3))*(VLOOKUP($B$5,标准坦克设计!$B$14:$K$20,9)/30))</f>
        <v>25.213599654256122</v>
      </c>
      <c r="DM73" s="173">
        <f ca="1">(VLOOKUP(DM$72,INDIRECT($C$5&amp;"生成成长"),2))/((VLOOKUP($B73,INDIRECT($B$5&amp;"生成成长"),4))/(VLOOKUP(DM$72,INDIRECT($C$5&amp;"生成成长"),5))*(VLOOKUP($B$5,标准坦克设计!$B$24:$U$30,MATCH("对"&amp;LEFT($C$5,2)&amp;"输出",标准坦克设计!$B$23:$U$23,0)))*(VLOOKUP($B73,INDIRECT($B$5&amp;"生成成长"),3))*(VLOOKUP($B$5,标准坦克设计!$B$14:$K$20,9)/30))</f>
        <v>28.0044627950173</v>
      </c>
      <c r="DN73" s="173">
        <f ca="1">(VLOOKUP(DN$72,INDIRECT($C$5&amp;"生成成长"),2))/((VLOOKUP($B73,INDIRECT($B$5&amp;"生成成长"),4))/(VLOOKUP(DN$72,INDIRECT($C$5&amp;"生成成长"),5))*(VLOOKUP($B$5,标准坦克设计!$B$24:$U$30,MATCH("对"&amp;LEFT($C$5,2)&amp;"输出",标准坦克设计!$B$23:$U$23,0)))*(VLOOKUP($B73,INDIRECT($B$5&amp;"生成成长"),3))*(VLOOKUP($B$5,标准坦克设计!$B$14:$K$20,9)/30))</f>
        <v>30.9417852259642</v>
      </c>
      <c r="DO73" s="173">
        <f ca="1">(VLOOKUP(DO$72,INDIRECT($C$5&amp;"生成成长"),2))/((VLOOKUP($B73,INDIRECT($B$5&amp;"生成成长"),4))/(VLOOKUP(DO$72,INDIRECT($C$5&amp;"生成成长"),5))*(VLOOKUP($B$5,标准坦克设计!$B$24:$U$30,MATCH("对"&amp;LEFT($C$5,2)&amp;"输出",标准坦克设计!$B$23:$U$23,0)))*(VLOOKUP($B73,INDIRECT($B$5&amp;"生成成长"),3))*(VLOOKUP($B$5,标准坦克设计!$B$14:$K$20,9)/30))</f>
        <v>34.025566947096827</v>
      </c>
      <c r="DP73" s="173">
        <f ca="1">(VLOOKUP(DP$72,INDIRECT($C$5&amp;"生成成长"),2))/((VLOOKUP($B73,INDIRECT($B$5&amp;"生成成长"),4))/(VLOOKUP(DP$72,INDIRECT($C$5&amp;"生成成长"),5))*(VLOOKUP($B$5,标准坦克设计!$B$24:$U$30,MATCH("对"&amp;LEFT($C$5,2)&amp;"输出",标准坦克设计!$B$23:$U$23,0)))*(VLOOKUP($B73,INDIRECT($B$5&amp;"生成成长"),3))*(VLOOKUP($B$5,标准坦克设计!$B$14:$K$20,9)/30))</f>
        <v>37.255807958415161</v>
      </c>
      <c r="DQ73" s="173">
        <f ca="1">(VLOOKUP(DQ$72,INDIRECT($C$5&amp;"生成成长"),2))/((VLOOKUP($B73,INDIRECT($B$5&amp;"生成成长"),4))/(VLOOKUP(DQ$72,INDIRECT($C$5&amp;"生成成长"),5))*(VLOOKUP($B$5,标准坦克设计!$B$24:$U$30,MATCH("对"&amp;LEFT($C$5,2)&amp;"输出",标准坦克设计!$B$23:$U$23,0)))*(VLOOKUP($B73,INDIRECT($B$5&amp;"生成成长"),3))*(VLOOKUP($B$5,标准坦克设计!$B$14:$K$20,9)/30))</f>
        <v>40.632508259919213</v>
      </c>
      <c r="DR73" s="173">
        <f ca="1">(VLOOKUP(DR$72,INDIRECT($C$5&amp;"生成成长"),2))/((VLOOKUP($B73,INDIRECT($B$5&amp;"生成成长"),4))/(VLOOKUP(DR$72,INDIRECT($C$5&amp;"生成成长"),5))*(VLOOKUP($B$5,标准坦克设计!$B$24:$U$30,MATCH("对"&amp;LEFT($C$5,2)&amp;"输出",标准坦克设计!$B$23:$U$23,0)))*(VLOOKUP($B73,INDIRECT($B$5&amp;"生成成长"),3))*(VLOOKUP($B$5,标准坦克设计!$B$14:$K$20,9)/30))</f>
        <v>44.155667851608982</v>
      </c>
      <c r="DS73" s="173">
        <f ca="1">(VLOOKUP(DS$72,INDIRECT($C$5&amp;"生成成长"),2))/((VLOOKUP($B73,INDIRECT($B$5&amp;"生成成长"),4))/(VLOOKUP(DS$72,INDIRECT($C$5&amp;"生成成长"),5))*(VLOOKUP($B$5,标准坦克设计!$B$24:$U$30,MATCH("对"&amp;LEFT($C$5,2)&amp;"输出",标准坦克设计!$B$23:$U$23,0)))*(VLOOKUP($B73,INDIRECT($B$5&amp;"生成成长"),3))*(VLOOKUP($B$5,标准坦克设计!$B$14:$K$20,9)/30))</f>
        <v>47.825286733484482</v>
      </c>
      <c r="DT73" s="173">
        <f ca="1">(VLOOKUP(DT$72,INDIRECT($C$5&amp;"生成成长"),2))/((VLOOKUP($B73,INDIRECT($B$5&amp;"生成成长"),4))/(VLOOKUP(DT$72,INDIRECT($C$5&amp;"生成成长"),5))*(VLOOKUP($B$5,标准坦克设计!$B$24:$U$30,MATCH("对"&amp;LEFT($C$5,2)&amp;"输出",标准坦克设计!$B$23:$U$23,0)))*(VLOOKUP($B73,INDIRECT($B$5&amp;"生成成长"),3))*(VLOOKUP($B$5,标准坦克设计!$B$14:$K$20,9)/30))</f>
        <v>52.509271810349937</v>
      </c>
      <c r="DU73" s="173">
        <f ca="1">(VLOOKUP(DU$72,INDIRECT($C$5&amp;"生成成长"),2))/((VLOOKUP($B73,INDIRECT($B$5&amp;"生成成长"),4))/(VLOOKUP(DU$72,INDIRECT($C$5&amp;"生成成长"),5))*(VLOOKUP($B$5,标准坦克设计!$B$24:$U$30,MATCH("对"&amp;LEFT($C$5,2)&amp;"输出",标准坦克设计!$B$23:$U$23,0)))*(VLOOKUP($B73,INDIRECT($B$5&amp;"生成成长"),3))*(VLOOKUP($B$5,标准坦克设计!$B$14:$K$20,9)/30))</f>
        <v>57.412041752801485</v>
      </c>
      <c r="DV73" s="173">
        <f ca="1">(VLOOKUP(DV$72,INDIRECT($C$5&amp;"生成成长"),2))/((VLOOKUP($B73,INDIRECT($B$5&amp;"生成成长"),4))/(VLOOKUP(DV$72,INDIRECT($C$5&amp;"生成成长"),5))*(VLOOKUP($B$5,标准坦克设计!$B$24:$U$30,MATCH("对"&amp;LEFT($C$5,2)&amp;"输出",标准坦克设计!$B$23:$U$23,0)))*(VLOOKUP($B73,INDIRECT($B$5&amp;"生成成长"),3))*(VLOOKUP($B$5,标准坦克设计!$B$14:$K$20,9)/30))</f>
        <v>62.533596560839094</v>
      </c>
      <c r="DW73" s="173">
        <f ca="1">(VLOOKUP(DW$72,INDIRECT($C$5&amp;"生成成长"),2))/((VLOOKUP($B73,INDIRECT($B$5&amp;"生成成长"),4))/(VLOOKUP(DW$72,INDIRECT($C$5&amp;"生成成长"),5))*(VLOOKUP($B$5,标准坦克设计!$B$24:$U$30,MATCH("对"&amp;LEFT($C$5,2)&amp;"输出",标准坦克设计!$B$23:$U$23,0)))*(VLOOKUP($B73,INDIRECT($B$5&amp;"生成成长"),3))*(VLOOKUP($B$5,标准坦克设计!$B$14:$K$20,9)/30))</f>
        <v>67.873936234462789</v>
      </c>
      <c r="DX73" s="173">
        <f ca="1">(VLOOKUP(DX$72,INDIRECT($C$5&amp;"生成成长"),2))/((VLOOKUP($B73,INDIRECT($B$5&amp;"生成成长"),4))/(VLOOKUP(DX$72,INDIRECT($C$5&amp;"生成成长"),5))*(VLOOKUP($B$5,标准坦克设计!$B$24:$U$30,MATCH("对"&amp;LEFT($C$5,2)&amp;"输出",标准坦克设计!$B$23:$U$23,0)))*(VLOOKUP($B73,INDIRECT($B$5&amp;"生成成长"),3))*(VLOOKUP($B$5,标准坦克设计!$B$14:$K$20,9)/30))</f>
        <v>73.433060773672537</v>
      </c>
      <c r="DY73" s="173">
        <f ca="1">(VLOOKUP(DY$72,INDIRECT($C$5&amp;"生成成长"),2))/((VLOOKUP($B73,INDIRECT($B$5&amp;"生成成长"),4))/(VLOOKUP(DY$72,INDIRECT($C$5&amp;"生成成长"),5))*(VLOOKUP($B$5,标准坦克设计!$B$24:$U$30,MATCH("对"&amp;LEFT($C$5,2)&amp;"输出",标准坦克设计!$B$23:$U$23,0)))*(VLOOKUP($B73,INDIRECT($B$5&amp;"生成成长"),3))*(VLOOKUP($B$5,标准坦克设计!$B$14:$K$20,9)/30))</f>
        <v>32.981366452254207</v>
      </c>
      <c r="DZ73" s="173">
        <f ca="1">(VLOOKUP(DZ$72,INDIRECT($C$5&amp;"生成成长"),2))/((VLOOKUP($B73,INDIRECT($B$5&amp;"生成成长"),4))/(VLOOKUP(DZ$72,INDIRECT($C$5&amp;"生成成长"),5))*(VLOOKUP($B$5,标准坦克设计!$B$24:$U$30,MATCH("对"&amp;LEFT($C$5,2)&amp;"输出",标准坦克设计!$B$23:$U$23,0)))*(VLOOKUP($B73,INDIRECT($B$5&amp;"生成成长"),3))*(VLOOKUP($B$5,标准坦克设计!$B$14:$K$20,9)/30))</f>
        <v>36.52531964687158</v>
      </c>
      <c r="EA73" s="173">
        <f ca="1">(VLOOKUP(EA$72,INDIRECT($C$5&amp;"生成成长"),2))/((VLOOKUP($B73,INDIRECT($B$5&amp;"生成成长"),4))/(VLOOKUP(EA$72,INDIRECT($C$5&amp;"生成成长"),5))*(VLOOKUP($B$5,标准坦克设计!$B$24:$U$30,MATCH("对"&amp;LEFT($C$5,2)&amp;"输出",标准坦克设计!$B$23:$U$23,0)))*(VLOOKUP($B73,INDIRECT($B$5&amp;"生成成长"),3))*(VLOOKUP($B$5,标准坦克设计!$B$14:$K$20,9)/30))</f>
        <v>40.250086779989829</v>
      </c>
      <c r="EB73" s="173">
        <f ca="1">(VLOOKUP(EB$72,INDIRECT($C$5&amp;"生成成长"),2))/((VLOOKUP($B73,INDIRECT($B$5&amp;"生成成长"),4))/(VLOOKUP(EB$72,INDIRECT($C$5&amp;"生成成长"),5))*(VLOOKUP($B$5,标准坦克设计!$B$24:$U$30,MATCH("对"&amp;LEFT($C$5,2)&amp;"输出",标准坦克设计!$B$23:$U$23,0)))*(VLOOKUP($B73,INDIRECT($B$5&amp;"生成成长"),3))*(VLOOKUP($B$5,标准坦克设计!$B$14:$K$20,9)/30))</f>
        <v>44.155667851608982</v>
      </c>
      <c r="EC73" s="173">
        <f ca="1">(VLOOKUP(EC$72,INDIRECT($C$5&amp;"生成成长"),2))/((VLOOKUP($B73,INDIRECT($B$5&amp;"生成成长"),4))/(VLOOKUP(EC$72,INDIRECT($C$5&amp;"生成成长"),5))*(VLOOKUP($B$5,标准坦克设计!$B$24:$U$30,MATCH("对"&amp;LEFT($C$5,2)&amp;"输出",标准坦克设计!$B$23:$U$23,0)))*(VLOOKUP($B73,INDIRECT($B$5&amp;"生成成长"),3))*(VLOOKUP($B$5,标准坦克设计!$B$14:$K$20,9)/30))</f>
        <v>48.242062861729018</v>
      </c>
      <c r="ED73" s="173">
        <f ca="1">(VLOOKUP(ED$72,INDIRECT($C$5&amp;"生成成长"),2))/((VLOOKUP($B73,INDIRECT($B$5&amp;"生成成长"),4))/(VLOOKUP(ED$72,INDIRECT($C$5&amp;"生成成长"),5))*(VLOOKUP($B$5,标准坦克设计!$B$24:$U$30,MATCH("对"&amp;LEFT($C$5,2)&amp;"输出",标准坦克设计!$B$23:$U$23,0)))*(VLOOKUP($B73,INDIRECT($B$5&amp;"生成成长"),3))*(VLOOKUP($B$5,标准坦克设计!$B$14:$K$20,9)/30))</f>
        <v>52.509271810349937</v>
      </c>
      <c r="EE73" s="173">
        <f ca="1">(VLOOKUP(EE$72,INDIRECT($C$5&amp;"生成成长"),2))/((VLOOKUP($B73,INDIRECT($B$5&amp;"生成成长"),4))/(VLOOKUP(EE$72,INDIRECT($C$5&amp;"生成成长"),5))*(VLOOKUP($B$5,标准坦克设计!$B$24:$U$30,MATCH("对"&amp;LEFT($C$5,2)&amp;"输出",标准坦克设计!$B$23:$U$23,0)))*(VLOOKUP($B73,INDIRECT($B$5&amp;"生成成长"),3))*(VLOOKUP($B$5,标准坦克设计!$B$14:$K$20,9)/30))</f>
        <v>56.957294697471752</v>
      </c>
      <c r="EF73" s="173">
        <f ca="1">(VLOOKUP(EF$72,INDIRECT($C$5&amp;"生成成长"),2))/((VLOOKUP($B73,INDIRECT($B$5&amp;"生成成长"),4))/(VLOOKUP(EF$72,INDIRECT($C$5&amp;"生成成长"),5))*(VLOOKUP($B$5,标准坦克设计!$B$24:$U$30,MATCH("对"&amp;LEFT($C$5,2)&amp;"输出",标准坦克设计!$B$23:$U$23,0)))*(VLOOKUP($B73,INDIRECT($B$5&amp;"生成成长"),3))*(VLOOKUP($B$5,标准坦克设计!$B$14:$K$20,9)/30))</f>
        <v>61.586131523094444</v>
      </c>
      <c r="EG73" s="173">
        <f ca="1">(VLOOKUP(EG$72,INDIRECT($C$5&amp;"生成成长"),2))/((VLOOKUP($B73,INDIRECT($B$5&amp;"生成成长"),4))/(VLOOKUP(EG$72,INDIRECT($C$5&amp;"生成成长"),5))*(VLOOKUP($B$5,标准坦克设计!$B$24:$U$30,MATCH("对"&amp;LEFT($C$5,2)&amp;"输出",标准坦克设计!$B$23:$U$23,0)))*(VLOOKUP($B73,INDIRECT($B$5&amp;"生成成长"),3))*(VLOOKUP($B$5,标准坦克设计!$B$14:$K$20,9)/30))</f>
        <v>66.39578228721804</v>
      </c>
      <c r="EH73" s="173">
        <f ca="1">(VLOOKUP(EH$72,INDIRECT($C$5&amp;"生成成长"),2))/((VLOOKUP($B73,INDIRECT($B$5&amp;"生成成长"),4))/(VLOOKUP(EH$72,INDIRECT($C$5&amp;"生成成长"),5))*(VLOOKUP($B$5,标准坦克设计!$B$24:$U$30,MATCH("对"&amp;LEFT($C$5,2)&amp;"输出",标准坦克设计!$B$23:$U$23,0)))*(VLOOKUP($B73,INDIRECT($B$5&amp;"生成成长"),3))*(VLOOKUP($B$5,标准坦克设计!$B$14:$K$20,9)/30))</f>
        <v>71.386246989842491</v>
      </c>
      <c r="EI73" s="173">
        <f ca="1">(VLOOKUP(EI$72,INDIRECT($C$5&amp;"生成成长"),2))/((VLOOKUP($B73,INDIRECT($B$5&amp;"生成成长"),4))/(VLOOKUP(EI$72,INDIRECT($C$5&amp;"生成成长"),5))*(VLOOKUP($B$5,标准坦克设计!$B$24:$U$30,MATCH("对"&amp;LEFT($C$5,2)&amp;"输出",标准坦克设计!$B$23:$U$23,0)))*(VLOOKUP($B73,INDIRECT($B$5&amp;"生成成长"),3))*(VLOOKUP($B$5,标准坦克设计!$B$14:$K$20,9)/30))</f>
        <v>76.557525630967845</v>
      </c>
      <c r="EJ73" s="173">
        <f ca="1">(VLOOKUP(EJ$72,INDIRECT($C$5&amp;"生成成长"),2))/((VLOOKUP($B73,INDIRECT($B$5&amp;"生成成长"),4))/(VLOOKUP(EJ$72,INDIRECT($C$5&amp;"生成成长"),5))*(VLOOKUP($B$5,标准坦克设计!$B$24:$U$30,MATCH("对"&amp;LEFT($C$5,2)&amp;"输出",标准坦克设计!$B$23:$U$23,0)))*(VLOOKUP($B73,INDIRECT($B$5&amp;"生成成长"),3))*(VLOOKUP($B$5,标准坦克设计!$B$14:$K$20,9)/30))</f>
        <v>81.90961821059409</v>
      </c>
      <c r="EK73" s="173">
        <f ca="1">(VLOOKUP(EK$72,INDIRECT($C$5&amp;"生成成长"),2))/((VLOOKUP($B73,INDIRECT($B$5&amp;"生成成长"),4))/(VLOOKUP(EK$72,INDIRECT($C$5&amp;"生成成长"),5))*(VLOOKUP($B$5,标准坦克设计!$B$24:$U$30,MATCH("对"&amp;LEFT($C$5,2)&amp;"输出",标准坦克设计!$B$23:$U$23,0)))*(VLOOKUP($B73,INDIRECT($B$5&amp;"生成成长"),3))*(VLOOKUP($B$5,标准坦克设计!$B$14:$K$20,9)/30))</f>
        <v>88.570803704966764</v>
      </c>
      <c r="EL73" s="173">
        <f ca="1">(VLOOKUP(EL$72,INDIRECT($C$5&amp;"生成成长"),2))/((VLOOKUP($B73,INDIRECT($B$5&amp;"生成成长"),4))/(VLOOKUP(EL$72,INDIRECT($C$5&amp;"生成成长"),5))*(VLOOKUP($B$5,标准坦克设计!$B$24:$U$30,MATCH("对"&amp;LEFT($C$5,2)&amp;"输出",标准坦克设计!$B$23:$U$23,0)))*(VLOOKUP($B73,INDIRECT($B$5&amp;"生成成长"),3))*(VLOOKUP($B$5,标准坦克设计!$B$14:$K$20,9)/30))</f>
        <v>95.492361270780677</v>
      </c>
      <c r="EM73" s="173">
        <f ca="1">(VLOOKUP(EM$72,INDIRECT($C$5&amp;"生成成长"),2))/((VLOOKUP($B73,INDIRECT($B$5&amp;"生成成长"),4))/(VLOOKUP(EM$72,INDIRECT($C$5&amp;"生成成长"),5))*(VLOOKUP($B$5,标准坦克设计!$B$24:$U$30,MATCH("对"&amp;LEFT($C$5,2)&amp;"输出",标准坦克设计!$B$23:$U$23,0)))*(VLOOKUP($B73,INDIRECT($B$5&amp;"生成成长"),3))*(VLOOKUP($B$5,标准坦克设计!$B$14:$K$20,9)/30))</f>
        <v>102.6742909080359</v>
      </c>
      <c r="EN73" s="173">
        <f ca="1">(VLOOKUP(EN$72,INDIRECT($C$5&amp;"生成成长"),2))/((VLOOKUP($B73,INDIRECT($B$5&amp;"生成成长"),4))/(VLOOKUP(EN$72,INDIRECT($C$5&amp;"生成成长"),5))*(VLOOKUP($B$5,标准坦克设计!$B$24:$U$30,MATCH("对"&amp;LEFT($C$5,2)&amp;"输出",标准坦克设计!$B$23:$U$23,0)))*(VLOOKUP($B73,INDIRECT($B$5&amp;"生成成长"),3))*(VLOOKUP($B$5,标准坦克设计!$B$14:$K$20,9)/30))</f>
        <v>110.11659261673239</v>
      </c>
      <c r="EO73" s="173">
        <f ca="1">(VLOOKUP(EO$72,INDIRECT($C$5&amp;"生成成长"),2))/((VLOOKUP($B73,INDIRECT($B$5&amp;"生成成长"),4))/(VLOOKUP(EO$72,INDIRECT($C$5&amp;"生成成长"),5))*(VLOOKUP($B$5,标准坦克设计!$B$24:$U$30,MATCH("对"&amp;LEFT($C$5,2)&amp;"输出",标准坦克设计!$B$23:$U$23,0)))*(VLOOKUP($B73,INDIRECT($B$5&amp;"生成成长"),3))*(VLOOKUP($B$5,标准坦克设计!$B$14:$K$20,9)/30))</f>
        <v>117.81926639687015</v>
      </c>
      <c r="EP73" s="173">
        <f ca="1">(VLOOKUP(EP$72,INDIRECT($C$5&amp;"生成成长"),2))/((VLOOKUP($B73,INDIRECT($B$5&amp;"生成成长"),4))/(VLOOKUP(EP$72,INDIRECT($C$5&amp;"生成成长"),5))*(VLOOKUP($B$5,标准坦克设计!$B$24:$U$30,MATCH("对"&amp;LEFT($C$5,2)&amp;"输出",标准坦克设计!$B$23:$U$23,0)))*(VLOOKUP($B73,INDIRECT($B$5&amp;"生成成长"),3))*(VLOOKUP($B$5,标准坦克设计!$B$14:$K$20,9)/30))</f>
        <v>125.78231224844917</v>
      </c>
      <c r="EQ73" s="173">
        <f ca="1">(VLOOKUP(EQ$72,INDIRECT($C$5&amp;"生成成长"),2))/((VLOOKUP($B73,INDIRECT($B$5&amp;"生成成长"),4))/(VLOOKUP(EQ$72,INDIRECT($C$5&amp;"生成成长"),5))*(VLOOKUP($B$5,标准坦克设计!$B$24:$U$30,MATCH("对"&amp;LEFT($C$5,2)&amp;"输出",标准坦克设计!$B$23:$U$23,0)))*(VLOOKUP($B73,INDIRECT($B$5&amp;"生成成长"),3))*(VLOOKUP($B$5,标准坦克设计!$B$14:$K$20,9)/30))</f>
        <v>55.603902367792621</v>
      </c>
      <c r="ER73" s="173">
        <f ca="1">(VLOOKUP(ER$72,INDIRECT($C$5&amp;"生成成长"),2))/((VLOOKUP($B73,INDIRECT($B$5&amp;"生成成长"),4))/(VLOOKUP(ER$72,INDIRECT($C$5&amp;"生成成长"),5))*(VLOOKUP($B$5,标准坦克设计!$B$24:$U$30,MATCH("对"&amp;LEFT($C$5,2)&amp;"输出",标准坦克设计!$B$23:$U$23,0)))*(VLOOKUP($B73,INDIRECT($B$5&amp;"生成成长"),3))*(VLOOKUP($B$5,标准坦克设计!$B$14:$K$20,9)/30))</f>
        <v>60.645899042889837</v>
      </c>
      <c r="ES73" s="173">
        <f ca="1">(VLOOKUP(ES$72,INDIRECT($C$5&amp;"生成成长"),2))/((VLOOKUP($B73,INDIRECT($B$5&amp;"生成成长"),4))/(VLOOKUP(ES$72,INDIRECT($C$5&amp;"生成成长"),5))*(VLOOKUP($B$5,标准坦克设计!$B$24:$U$30,MATCH("对"&amp;LEFT($C$5,2)&amp;"输出",标准坦克设计!$B$23:$U$23,0)))*(VLOOKUP($B73,INDIRECT($B$5&amp;"生成成长"),3))*(VLOOKUP($B$5,标准坦克设计!$B$14:$K$20,9)/30))</f>
        <v>65.906680583573134</v>
      </c>
      <c r="ET73" s="173">
        <f ca="1">(VLOOKUP(ET$72,INDIRECT($C$5&amp;"生成成长"),2))/((VLOOKUP($B73,INDIRECT($B$5&amp;"生成成长"),4))/(VLOOKUP(ET$72,INDIRECT($C$5&amp;"生成成长"),5))*(VLOOKUP($B$5,标准坦克设计!$B$24:$U$30,MATCH("对"&amp;LEFT($C$5,2)&amp;"输出",标准坦克设计!$B$23:$U$23,0)))*(VLOOKUP($B73,INDIRECT($B$5&amp;"生成成长"),3))*(VLOOKUP($B$5,标准坦克设计!$B$14:$K$20,9)/30))</f>
        <v>71.386246989842491</v>
      </c>
      <c r="EU73" s="173">
        <f ca="1">(VLOOKUP(EU$72,INDIRECT($C$5&amp;"生成成长"),2))/((VLOOKUP($B73,INDIRECT($B$5&amp;"生成成长"),4))/(VLOOKUP(EU$72,INDIRECT($C$5&amp;"生成成长"),5))*(VLOOKUP($B$5,标准坦克设计!$B$24:$U$30,MATCH("对"&amp;LEFT($C$5,2)&amp;"输出",标准坦克设计!$B$23:$U$23,0)))*(VLOOKUP($B73,INDIRECT($B$5&amp;"生成成长"),3))*(VLOOKUP($B$5,标准坦克设计!$B$14:$K$20,9)/30))</f>
        <v>77.084598261697934</v>
      </c>
      <c r="EV73" s="173">
        <f ca="1">(VLOOKUP(EV$72,INDIRECT($C$5&amp;"生成成长"),2))/((VLOOKUP($B73,INDIRECT($B$5&amp;"生成成长"),4))/(VLOOKUP(EV$72,INDIRECT($C$5&amp;"生成成长"),5))*(VLOOKUP($B$5,标准坦克设计!$B$24:$U$30,MATCH("对"&amp;LEFT($C$5,2)&amp;"输出",标准坦克设计!$B$23:$U$23,0)))*(VLOOKUP($B73,INDIRECT($B$5&amp;"生成成长"),3))*(VLOOKUP($B$5,标准坦克设计!$B$14:$K$20,9)/30))</f>
        <v>83.001734399139451</v>
      </c>
      <c r="EW73" s="173">
        <f ca="1">(VLOOKUP(EW$72,INDIRECT($C$5&amp;"生成成长"),2))/((VLOOKUP($B73,INDIRECT($B$5&amp;"生成成长"),4))/(VLOOKUP(EW$72,INDIRECT($C$5&amp;"生成成长"),5))*(VLOOKUP($B$5,标准坦克设计!$B$24:$U$30,MATCH("对"&amp;LEFT($C$5,2)&amp;"输出",标准坦克设计!$B$23:$U$23,0)))*(VLOOKUP($B73,INDIRECT($B$5&amp;"生成成长"),3))*(VLOOKUP($B$5,标准坦克设计!$B$14:$K$20,9)/30))</f>
        <v>89.137655402167027</v>
      </c>
      <c r="EX73" s="173">
        <f ca="1">(VLOOKUP(EX$72,INDIRECT($C$5&amp;"生成成长"),2))/((VLOOKUP($B73,INDIRECT($B$5&amp;"生成成长"),4))/(VLOOKUP(EX$72,INDIRECT($C$5&amp;"生成成长"),5))*(VLOOKUP($B$5,标准坦克设计!$B$24:$U$30,MATCH("对"&amp;LEFT($C$5,2)&amp;"输出",标准坦克设计!$B$23:$U$23,0)))*(VLOOKUP($B73,INDIRECT($B$5&amp;"生成成长"),3))*(VLOOKUP($B$5,标准坦克设计!$B$14:$K$20,9)/30))</f>
        <v>95.492361270780677</v>
      </c>
      <c r="EY73" s="173">
        <f ca="1">(VLOOKUP(EY$72,INDIRECT($C$5&amp;"生成成长"),2))/((VLOOKUP($B73,INDIRECT($B$5&amp;"生成成长"),4))/(VLOOKUP(EY$72,INDIRECT($C$5&amp;"生成成长"),5))*(VLOOKUP($B$5,标准坦克设计!$B$24:$U$30,MATCH("对"&amp;LEFT($C$5,2)&amp;"输出",标准坦克设计!$B$23:$U$23,0)))*(VLOOKUP($B73,INDIRECT($B$5&amp;"生成成长"),3))*(VLOOKUP($B$5,标准坦克设计!$B$14:$K$20,9)/30))</f>
        <v>102.06585200498041</v>
      </c>
      <c r="EZ73" s="173">
        <f ca="1">(VLOOKUP(EZ$72,INDIRECT($C$5&amp;"生成成长"),2))/((VLOOKUP($B73,INDIRECT($B$5&amp;"生成成长"),4))/(VLOOKUP(EZ$72,INDIRECT($C$5&amp;"生成成长"),5))*(VLOOKUP($B$5,标准坦克设计!$B$24:$U$30,MATCH("对"&amp;LEFT($C$5,2)&amp;"输出",标准坦克设计!$B$23:$U$23,0)))*(VLOOKUP($B73,INDIRECT($B$5&amp;"生成成长"),3))*(VLOOKUP($B$5,标准坦克设计!$B$14:$K$20,9)/30))</f>
        <v>108.85812760476622</v>
      </c>
      <c r="FA73" s="173">
        <f ca="1">(VLOOKUP(FA$72,INDIRECT($C$5&amp;"生成成长"),2))/((VLOOKUP($B73,INDIRECT($B$5&amp;"生成成长"),4))/(VLOOKUP(FA$72,INDIRECT($C$5&amp;"生成成长"),5))*(VLOOKUP($B$5,标准坦克设计!$B$24:$U$30,MATCH("对"&amp;LEFT($C$5,2)&amp;"输出",标准坦克设计!$B$23:$U$23,0)))*(VLOOKUP($B73,INDIRECT($B$5&amp;"生成成长"),3))*(VLOOKUP($B$5,标准坦克设计!$B$14:$K$20,9)/30))</f>
        <v>115.86918807013808</v>
      </c>
      <c r="FB73" s="173">
        <f ca="1">(VLOOKUP(FB$72,INDIRECT($C$5&amp;"生成成长"),2))/((VLOOKUP($B73,INDIRECT($B$5&amp;"生成成长"),4))/(VLOOKUP(FB$72,INDIRECT($C$5&amp;"生成成长"),5))*(VLOOKUP($B$5,标准坦克设计!$B$24:$U$30,MATCH("对"&amp;LEFT($C$5,2)&amp;"输出",标准坦克设计!$B$23:$U$23,0)))*(VLOOKUP($B73,INDIRECT($B$5&amp;"生成成长"),3))*(VLOOKUP($B$5,标准坦克设计!$B$14:$K$20,9)/30))</f>
        <v>123.09903340109602</v>
      </c>
      <c r="FC73" s="173">
        <f ca="1">(VLOOKUP(FC$72,INDIRECT($C$5&amp;"生成成长"),2))/((VLOOKUP($B73,INDIRECT($B$5&amp;"生成成长"),4))/(VLOOKUP(FC$72,INDIRECT($C$5&amp;"生成成长"),5))*(VLOOKUP($B$5,标准坦克设计!$B$24:$U$30,MATCH("对"&amp;LEFT($C$5,2)&amp;"输出",标准坦克设计!$B$23:$U$23,0)))*(VLOOKUP($B73,INDIRECT($B$5&amp;"生成成长"),3))*(VLOOKUP($B$5,标准坦克设计!$B$14:$K$20,9)/30))</f>
        <v>130.54766359764005</v>
      </c>
      <c r="FD73" s="173">
        <f ca="1">(VLOOKUP(FD$72,INDIRECT($C$5&amp;"生成成长"),2))/((VLOOKUP($B73,INDIRECT($B$5&amp;"生成成长"),4))/(VLOOKUP(FD$72,INDIRECT($C$5&amp;"生成成长"),5))*(VLOOKUP($B$5,标准坦克设计!$B$24:$U$30,MATCH("对"&amp;LEFT($C$5,2)&amp;"输出",标准坦克设计!$B$23:$U$23,0)))*(VLOOKUP($B73,INDIRECT($B$5&amp;"生成成长"),3))*(VLOOKUP($B$5,标准坦克设计!$B$14:$K$20,9)/30))</f>
        <v>138.21507865977014</v>
      </c>
      <c r="FE73" s="173">
        <f ca="1">(VLOOKUP(FE$72,INDIRECT($C$5&amp;"生成成长"),2))/((VLOOKUP($B73,INDIRECT($B$5&amp;"生成成长"),4))/(VLOOKUP(FE$72,INDIRECT($C$5&amp;"生成成长"),5))*(VLOOKUP($B$5,标准坦克设计!$B$24:$U$30,MATCH("对"&amp;LEFT($C$5,2)&amp;"输出",标准坦克设计!$B$23:$U$23,0)))*(VLOOKUP($B73,INDIRECT($B$5&amp;"生成成长"),3))*(VLOOKUP($B$5,标准坦克设计!$B$14:$K$20,9)/30))</f>
        <v>147.55863893180344</v>
      </c>
      <c r="FF73" s="173">
        <f ca="1">(VLOOKUP(FF$72,INDIRECT($C$5&amp;"生成成长"),2))/((VLOOKUP($B73,INDIRECT($B$5&amp;"生成成长"),4))/(VLOOKUP(FF$72,INDIRECT($C$5&amp;"生成成长"),5))*(VLOOKUP($B$5,标准坦克设计!$B$24:$U$30,MATCH("对"&amp;LEFT($C$5,2)&amp;"输出",标准坦克设计!$B$23:$U$23,0)))*(VLOOKUP($B73,INDIRECT($B$5&amp;"生成成长"),3))*(VLOOKUP($B$5,标准坦克设计!$B$14:$K$20,9)/30))</f>
        <v>157.20777475990323</v>
      </c>
      <c r="FG73" s="173">
        <f ca="1">(VLOOKUP(FG$72,INDIRECT($C$5&amp;"生成成长"),2))/((VLOOKUP($B73,INDIRECT($B$5&amp;"生成成长"),4))/(VLOOKUP(FG$72,INDIRECT($C$5&amp;"生成成长"),5))*(VLOOKUP($B$5,标准坦克设计!$B$24:$U$30,MATCH("对"&amp;LEFT($C$5,2)&amp;"输出",标准坦克设计!$B$23:$U$23,0)))*(VLOOKUP($B73,INDIRECT($B$5&amp;"生成成长"),3))*(VLOOKUP($B$5,标准坦克设计!$B$14:$K$20,9)/30))</f>
        <v>167.16248614406959</v>
      </c>
      <c r="FH73" s="173">
        <f ca="1">(VLOOKUP(FH$72,INDIRECT($C$5&amp;"生成成长"),2))/((VLOOKUP($B73,INDIRECT($B$5&amp;"生成成长"),4))/(VLOOKUP(FH$72,INDIRECT($C$5&amp;"生成成长"),5))*(VLOOKUP($B$5,标准坦克设计!$B$24:$U$30,MATCH("对"&amp;LEFT($C$5,2)&amp;"输出",标准坦克设计!$B$23:$U$23,0)))*(VLOOKUP($B73,INDIRECT($B$5&amp;"生成成长"),3))*(VLOOKUP($B$5,标准坦克设计!$B$14:$K$20,9)/30))</f>
        <v>177.42277308430238</v>
      </c>
      <c r="FI73" s="173">
        <f ca="1">(VLOOKUP(FI$72,INDIRECT($C$5&amp;"生成成长"),2))/((VLOOKUP($B73,INDIRECT($B$5&amp;"生成成长"),4))/(VLOOKUP(FI$72,INDIRECT($C$5&amp;"生成成长"),5))*(VLOOKUP($B$5,标准坦克设计!$B$24:$U$30,MATCH("对"&amp;LEFT($C$5,2)&amp;"输出",标准坦克设计!$B$23:$U$23,0)))*(VLOOKUP($B73,INDIRECT($B$5&amp;"生成成长"),3))*(VLOOKUP($B$5,标准坦克设计!$B$14:$K$20,9)/30))</f>
        <v>187.98863558060168</v>
      </c>
      <c r="FJ73" s="173">
        <f ca="1">(VLOOKUP(FJ$72,INDIRECT($C$5&amp;"生成成长"),2))/((VLOOKUP($B73,INDIRECT($B$5&amp;"生成成长"),4))/(VLOOKUP(FJ$72,INDIRECT($C$5&amp;"生成成长"),5))*(VLOOKUP($B$5,标准坦克设计!$B$24:$U$30,MATCH("对"&amp;LEFT($C$5,2)&amp;"输出",标准坦克设计!$B$23:$U$23,0)))*(VLOOKUP($B73,INDIRECT($B$5&amp;"生成成长"),3))*(VLOOKUP($B$5,标准坦克设计!$B$14:$K$20,9)/30))</f>
        <v>198.8600736329675</v>
      </c>
      <c r="FK73" s="173">
        <f ca="1">(VLOOKUP(FK$72,INDIRECT($C$5&amp;"生成成长"),2))/((VLOOKUP($B73,INDIRECT($B$5&amp;"生成成长"),4))/(VLOOKUP(FK$72,INDIRECT($C$5&amp;"生成成长"),5))*(VLOOKUP($B$5,标准坦克设计!$B$24:$U$30,MATCH("对"&amp;LEFT($C$5,2)&amp;"输出",标准坦克设计!$B$23:$U$23,0)))*(VLOOKUP($B73,INDIRECT($B$5&amp;"生成成长"),3))*(VLOOKUP($B$5,标准坦克设计!$B$14:$K$20,9)/30))</f>
        <v>210.03708724139975</v>
      </c>
    </row>
    <row r="74" spans="1:167" x14ac:dyDescent="0.15">
      <c r="A74" s="171" t="str">
        <f t="shared" ref="A74:A137" si="11">"T"&amp;LEFT(RIGHT(B74,3),1)&amp;""&amp;IF(LEFT(B74,1)="1","低品质",IF(LEFT(B74,1)="2","中品质","高品质"))&amp;""&amp;IF(LEFT(RIGHT(B74,2),1)="0",RIGHT(B74,1),RIGHT(B74,2))&amp;"级"</f>
        <v>T1低品质2级</v>
      </c>
      <c r="B74" s="172">
        <v>10102</v>
      </c>
      <c r="C74" s="173">
        <f ca="1">(VLOOKUP(C$72,INDIRECT($C$5&amp;"生成成长"),2))/((VLOOKUP($B74,INDIRECT($B$5&amp;"生成成长"),4))/(VLOOKUP(C$72,INDIRECT($C$5&amp;"生成成长"),5))*(VLOOKUP($B$5,标准坦克设计!$B$24:$U$30,MATCH("对"&amp;LEFT($C$5,2)&amp;"输出",标准坦克设计!$B$23:$U$23,0)))*(VLOOKUP($B74,INDIRECT($B$5&amp;"生成成长"),3))*(VLOOKUP($B$5,标准坦克设计!$B$14:$K$20,9)/30))</f>
        <v>8.0272558712935176</v>
      </c>
      <c r="D74" s="173">
        <f ca="1">(VLOOKUP(D$72,INDIRECT($C$5&amp;"生成成长"),2))/((VLOOKUP($B74,INDIRECT($B$5&amp;"生成成长"),4))/(VLOOKUP(D$72,INDIRECT($C$5&amp;"生成成长"),5))*(VLOOKUP($B$5,标准坦克设计!$B$24:$U$30,MATCH("对"&amp;LEFT($C$5,2)&amp;"输出",标准坦克设计!$B$23:$U$23,0)))*(VLOOKUP($B74,INDIRECT($B$5&amp;"生成成长"),3))*(VLOOKUP($B$5,标准坦克设计!$B$14:$K$20,9)/30))</f>
        <v>9.0194246969853964</v>
      </c>
      <c r="E74" s="173">
        <f ca="1">(VLOOKUP(E$72,INDIRECT($C$5&amp;"生成成长"),2))/((VLOOKUP($B74,INDIRECT($B$5&amp;"生成成长"),4))/(VLOOKUP(E$72,INDIRECT($C$5&amp;"生成成长"),5))*(VLOOKUP($B$5,标准坦克设计!$B$24:$U$30,MATCH("对"&amp;LEFT($C$5,2)&amp;"输出",标准坦克设计!$B$23:$U$23,0)))*(VLOOKUP($B74,INDIRECT($B$5&amp;"生成成长"),3))*(VLOOKUP($B$5,标准坦克设计!$B$14:$K$20,9)/30))</f>
        <v>10.069389764950591</v>
      </c>
      <c r="F74" s="173">
        <f ca="1">(VLOOKUP(F$72,INDIRECT($C$5&amp;"生成成长"),2))/((VLOOKUP($B74,INDIRECT($B$5&amp;"生成成长"),4))/(VLOOKUP(F$72,INDIRECT($C$5&amp;"生成成长"),5))*(VLOOKUP($B$5,标准坦克设计!$B$24:$U$30,MATCH("对"&amp;LEFT($C$5,2)&amp;"输出",标准坦克设计!$B$23:$U$23,0)))*(VLOOKUP($B74,INDIRECT($B$5&amp;"生成成长"),3))*(VLOOKUP($B$5,标准坦克设计!$B$14:$K$20,9)/30))</f>
        <v>11.177151075189094</v>
      </c>
      <c r="G74" s="173">
        <f ca="1">(VLOOKUP(G$72,INDIRECT($C$5&amp;"生成成长"),2))/((VLOOKUP($B74,INDIRECT($B$5&amp;"生成成长"),4))/(VLOOKUP(G$72,INDIRECT($C$5&amp;"生成成长"),5))*(VLOOKUP($B$5,标准坦克设计!$B$24:$U$30,MATCH("对"&amp;LEFT($C$5,2)&amp;"输出",标准坦克设计!$B$23:$U$23,0)))*(VLOOKUP($B74,INDIRECT($B$5&amp;"生成成长"),3))*(VLOOKUP($B$5,标准坦克设计!$B$14:$K$20,9)/30))</f>
        <v>12.342708627700915</v>
      </c>
      <c r="H74" s="173">
        <f ca="1">(VLOOKUP(H$72,INDIRECT($C$5&amp;"生成成长"),2))/((VLOOKUP($B74,INDIRECT($B$5&amp;"生成成长"),4))/(VLOOKUP(H$72,INDIRECT($C$5&amp;"生成成长"),5))*(VLOOKUP($B$5,标准坦克设计!$B$24:$U$30,MATCH("对"&amp;LEFT($C$5,2)&amp;"输出",标准坦克设计!$B$23:$U$23,0)))*(VLOOKUP($B74,INDIRECT($B$5&amp;"生成成长"),3))*(VLOOKUP($B$5,标准坦克设计!$B$14:$K$20,9)/30))</f>
        <v>10.801475500412559</v>
      </c>
      <c r="I74" s="173">
        <f ca="1">(VLOOKUP(I$72,INDIRECT($C$5&amp;"生成成长"),2))/((VLOOKUP($B74,INDIRECT($B$5&amp;"生成成长"),4))/(VLOOKUP(I$72,INDIRECT($C$5&amp;"生成成长"),5))*(VLOOKUP($B$5,标准坦克设计!$B$24:$U$30,MATCH("对"&amp;LEFT($C$5,2)&amp;"输出",标准坦克设计!$B$23:$U$23,0)))*(VLOOKUP($B74,INDIRECT($B$5&amp;"生成成长"),3))*(VLOOKUP($B$5,标准坦克设计!$B$14:$K$20,9)/30))</f>
        <v>12.342708627700915</v>
      </c>
      <c r="J74" s="173">
        <f ca="1">(VLOOKUP(J$72,INDIRECT($C$5&amp;"生成成长"),2))/((VLOOKUP($B74,INDIRECT($B$5&amp;"生成成长"),4))/(VLOOKUP(J$72,INDIRECT($C$5&amp;"生成成长"),5))*(VLOOKUP($B$5,标准坦克设计!$B$24:$U$30,MATCH("对"&amp;LEFT($C$5,2)&amp;"输出",标准坦克设计!$B$23:$U$23,0)))*(VLOOKUP($B74,INDIRECT($B$5&amp;"生成成长"),3))*(VLOOKUP($B$5,标准坦克设计!$B$14:$K$20,9)/30))</f>
        <v>13.986690630141828</v>
      </c>
      <c r="K74" s="173">
        <f ca="1">(VLOOKUP(K$72,INDIRECT($C$5&amp;"生成成长"),2))/((VLOOKUP($B74,INDIRECT($B$5&amp;"生成成长"),4))/(VLOOKUP(K$72,INDIRECT($C$5&amp;"生成成长"),5))*(VLOOKUP($B$5,标准坦克设计!$B$24:$U$30,MATCH("对"&amp;LEFT($C$5,2)&amp;"输出",标准坦克设计!$B$23:$U$23,0)))*(VLOOKUP($B74,INDIRECT($B$5&amp;"生成成长"),3))*(VLOOKUP($B$5,标准坦克设计!$B$14:$K$20,9)/30))</f>
        <v>15.733421507735295</v>
      </c>
      <c r="L74" s="173">
        <f ca="1">(VLOOKUP(L$72,INDIRECT($C$5&amp;"生成成长"),2))/((VLOOKUP($B74,INDIRECT($B$5&amp;"生成成长"),4))/(VLOOKUP(L$72,INDIRECT($C$5&amp;"生成成长"),5))*(VLOOKUP($B$5,标准坦克设计!$B$24:$U$30,MATCH("对"&amp;LEFT($C$5,2)&amp;"输出",标准坦克设计!$B$23:$U$23,0)))*(VLOOKUP($B74,INDIRECT($B$5&amp;"生成成长"),3))*(VLOOKUP($B$5,标准坦克设计!$B$14:$K$20,9)/30))</f>
        <v>17.582901260481325</v>
      </c>
      <c r="M74" s="173">
        <f ca="1">(VLOOKUP(M$72,INDIRECT($C$5&amp;"生成成长"),2))/((VLOOKUP($B74,INDIRECT($B$5&amp;"生成成长"),4))/(VLOOKUP(M$72,INDIRECT($C$5&amp;"生成成长"),5))*(VLOOKUP($B$5,标准坦克设计!$B$24:$U$30,MATCH("对"&amp;LEFT($C$5,2)&amp;"输出",标准坦克设计!$B$23:$U$23,0)))*(VLOOKUP($B74,INDIRECT($B$5&amp;"生成成长"),3))*(VLOOKUP($B$5,标准坦克设计!$B$14:$K$20,9)/30))</f>
        <v>19.535129888379906</v>
      </c>
      <c r="N74" s="173">
        <f ca="1">(VLOOKUP(N$72,INDIRECT($C$5&amp;"生成成长"),2))/((VLOOKUP($B74,INDIRECT($B$5&amp;"生成成长"),4))/(VLOOKUP(N$72,INDIRECT($C$5&amp;"生成成长"),5))*(VLOOKUP($B$5,标准坦克设计!$B$24:$U$30,MATCH("对"&amp;LEFT($C$5,2)&amp;"输出",标准坦克设计!$B$23:$U$23,0)))*(VLOOKUP($B74,INDIRECT($B$5&amp;"生成成长"),3))*(VLOOKUP($B$5,标准坦克设计!$B$14:$K$20,9)/30))</f>
        <v>21.590107391431047</v>
      </c>
      <c r="O74" s="173">
        <f ca="1">(VLOOKUP(O$72,INDIRECT($C$5&amp;"生成成长"),2))/((VLOOKUP($B74,INDIRECT($B$5&amp;"生成成长"),4))/(VLOOKUP(O$72,INDIRECT($C$5&amp;"生成成长"),5))*(VLOOKUP($B$5,标准坦克设计!$B$24:$U$30,MATCH("对"&amp;LEFT($C$5,2)&amp;"输出",标准坦克设计!$B$23:$U$23,0)))*(VLOOKUP($B74,INDIRECT($B$5&amp;"生成成长"),3))*(VLOOKUP($B$5,标准坦克设计!$B$14:$K$20,9)/30))</f>
        <v>16.414935531208116</v>
      </c>
      <c r="P74" s="173">
        <f ca="1">(VLOOKUP(P$72,INDIRECT($C$5&amp;"生成成长"),2))/((VLOOKUP($B74,INDIRECT($B$5&amp;"生成成长"),4))/(VLOOKUP(P$72,INDIRECT($C$5&amp;"生成成长"),5))*(VLOOKUP($B$5,标准坦克设计!$B$24:$U$30,MATCH("对"&amp;LEFT($C$5,2)&amp;"输出",标准坦克设计!$B$23:$U$23,0)))*(VLOOKUP($B74,INDIRECT($B$5&amp;"生成成长"),3))*(VLOOKUP($B$5,标准坦克设计!$B$14:$K$20,9)/30))</f>
        <v>18.54617196503655</v>
      </c>
      <c r="Q74" s="173">
        <f ca="1">(VLOOKUP(Q$72,INDIRECT($C$5&amp;"生成成长"),2))/((VLOOKUP($B74,INDIRECT($B$5&amp;"生成成长"),4))/(VLOOKUP(Q$72,INDIRECT($C$5&amp;"生成成长"),5))*(VLOOKUP($B$5,标准坦克设计!$B$24:$U$30,MATCH("对"&amp;LEFT($C$5,2)&amp;"输出",标准坦克设计!$B$23:$U$23,0)))*(VLOOKUP($B74,INDIRECT($B$5&amp;"生成成长"),3))*(VLOOKUP($B$5,标准坦克设计!$B$14:$K$20,9)/30))</f>
        <v>20.807449943979929</v>
      </c>
      <c r="R74" s="173">
        <f ca="1">(VLOOKUP(R$72,INDIRECT($C$5&amp;"生成成长"),2))/((VLOOKUP($B74,INDIRECT($B$5&amp;"生成成长"),4))/(VLOOKUP(R$72,INDIRECT($C$5&amp;"生成成长"),5))*(VLOOKUP($B$5,标准坦克设计!$B$24:$U$30,MATCH("对"&amp;LEFT($C$5,2)&amp;"输出",标准坦克设计!$B$23:$U$23,0)))*(VLOOKUP($B74,INDIRECT($B$5&amp;"生成成长"),3))*(VLOOKUP($B$5,标准坦克设计!$B$14:$K$20,9)/30))</f>
        <v>23.198769468038265</v>
      </c>
      <c r="S74" s="173">
        <f ca="1">(VLOOKUP(S$72,INDIRECT($C$5&amp;"生成成长"),2))/((VLOOKUP($B74,INDIRECT($B$5&amp;"生成成长"),4))/(VLOOKUP(S$72,INDIRECT($C$5&amp;"生成成长"),5))*(VLOOKUP($B$5,标准坦克设计!$B$24:$U$30,MATCH("对"&amp;LEFT($C$5,2)&amp;"输出",标准坦克设计!$B$23:$U$23,0)))*(VLOOKUP($B74,INDIRECT($B$5&amp;"生成成长"),3))*(VLOOKUP($B$5,标准坦克设计!$B$14:$K$20,9)/30))</f>
        <v>25.72013053721156</v>
      </c>
      <c r="T74" s="173">
        <f ca="1">(VLOOKUP(T$72,INDIRECT($C$5&amp;"生成成长"),2))/((VLOOKUP($B74,INDIRECT($B$5&amp;"生成成长"),4))/(VLOOKUP(T$72,INDIRECT($C$5&amp;"生成成长"),5))*(VLOOKUP($B$5,标准坦克设计!$B$24:$U$30,MATCH("对"&amp;LEFT($C$5,2)&amp;"输出",标准坦克设计!$B$23:$U$23,0)))*(VLOOKUP($B74,INDIRECT($B$5&amp;"生成成长"),3))*(VLOOKUP($B$5,标准坦克设计!$B$14:$K$20,9)/30))</f>
        <v>28.371533151499811</v>
      </c>
      <c r="U74" s="173">
        <f ca="1">(VLOOKUP(U$72,INDIRECT($C$5&amp;"生成成长"),2))/((VLOOKUP($B74,INDIRECT($B$5&amp;"生成成长"),4))/(VLOOKUP(U$72,INDIRECT($C$5&amp;"生成成长"),5))*(VLOOKUP($B$5,标准坦克设计!$B$24:$U$30,MATCH("对"&amp;LEFT($C$5,2)&amp;"输出",标准坦克设计!$B$23:$U$23,0)))*(VLOOKUP($B74,INDIRECT($B$5&amp;"生成成长"),3))*(VLOOKUP($B$5,标准坦克设计!$B$14:$K$20,9)/30))</f>
        <v>31.152977310903015</v>
      </c>
      <c r="V74" s="173">
        <f ca="1">(VLOOKUP(V$72,INDIRECT($C$5&amp;"生成成长"),2))/((VLOOKUP($B74,INDIRECT($B$5&amp;"生成成长"),4))/(VLOOKUP(V$72,INDIRECT($C$5&amp;"生成成长"),5))*(VLOOKUP($B$5,标准坦克设计!$B$24:$U$30,MATCH("对"&amp;LEFT($C$5,2)&amp;"输出",标准坦克设计!$B$23:$U$23,0)))*(VLOOKUP($B74,INDIRECT($B$5&amp;"生成成长"),3))*(VLOOKUP($B$5,标准坦克设计!$B$14:$K$20,9)/30))</f>
        <v>34.064463015421175</v>
      </c>
      <c r="W74" s="173">
        <f ca="1">(VLOOKUP(W$72,INDIRECT($C$5&amp;"生成成长"),2))/((VLOOKUP($B74,INDIRECT($B$5&amp;"生成成长"),4))/(VLOOKUP(W$72,INDIRECT($C$5&amp;"生成成长"),5))*(VLOOKUP($B$5,标准坦克设计!$B$24:$U$30,MATCH("对"&amp;LEFT($C$5,2)&amp;"输出",标准坦克设计!$B$23:$U$23,0)))*(VLOOKUP($B74,INDIRECT($B$5&amp;"生成成长"),3))*(VLOOKUP($B$5,标准坦克设计!$B$14:$K$20,9)/30))</f>
        <v>37.105990265054288</v>
      </c>
      <c r="X74" s="173">
        <f ca="1">(VLOOKUP(X$72,INDIRECT($C$5&amp;"生成成长"),2))/((VLOOKUP($B74,INDIRECT($B$5&amp;"生成成长"),4))/(VLOOKUP(X$72,INDIRECT($C$5&amp;"生成成长"),5))*(VLOOKUP($B$5,标准坦克设计!$B$24:$U$30,MATCH("对"&amp;LEFT($C$5,2)&amp;"输出",标准坦克设计!$B$23:$U$23,0)))*(VLOOKUP($B74,INDIRECT($B$5&amp;"生成成长"),3))*(VLOOKUP($B$5,标准坦克设计!$B$14:$K$20,9)/30))</f>
        <v>26.882477187374867</v>
      </c>
      <c r="Y74" s="173">
        <f ca="1">(VLOOKUP(Y$72,INDIRECT($C$5&amp;"生成成长"),2))/((VLOOKUP($B74,INDIRECT($B$5&amp;"生成成长"),4))/(VLOOKUP(Y$72,INDIRECT($C$5&amp;"生成成长"),5))*(VLOOKUP($B$5,标准坦克设计!$B$24:$U$30,MATCH("对"&amp;LEFT($C$5,2)&amp;"输出",标准坦克设计!$B$23:$U$23,0)))*(VLOOKUP($B74,INDIRECT($B$5&amp;"生成成长"),3))*(VLOOKUP($B$5,标准坦克设计!$B$14:$K$20,9)/30))</f>
        <v>29.900725394981229</v>
      </c>
      <c r="Z74" s="173">
        <f ca="1">(VLOOKUP(Z$72,INDIRECT($C$5&amp;"生成成长"),2))/((VLOOKUP($B74,INDIRECT($B$5&amp;"生成成长"),4))/(VLOOKUP(Z$72,INDIRECT($C$5&amp;"生成成长"),5))*(VLOOKUP($B$5,标准坦克设计!$B$24:$U$30,MATCH("对"&amp;LEFT($C$5,2)&amp;"输出",标准坦克设计!$B$23:$U$23,0)))*(VLOOKUP($B74,INDIRECT($B$5&amp;"生成成长"),3))*(VLOOKUP($B$5,标准坦克设计!$B$14:$K$20,9)/30))</f>
        <v>33.079518720013454</v>
      </c>
      <c r="AA74" s="173">
        <f ca="1">(VLOOKUP(AA$72,INDIRECT($C$5&amp;"生成成长"),2))/((VLOOKUP($B74,INDIRECT($B$5&amp;"生成成长"),4))/(VLOOKUP(AA$72,INDIRECT($C$5&amp;"生成成长"),5))*(VLOOKUP($B$5,标准坦克设计!$B$24:$U$30,MATCH("对"&amp;LEFT($C$5,2)&amp;"输出",标准坦克设计!$B$23:$U$23,0)))*(VLOOKUP($B74,INDIRECT($B$5&amp;"生成成长"),3))*(VLOOKUP($B$5,标准坦克设计!$B$14:$K$20,9)/30))</f>
        <v>36.418857162471561</v>
      </c>
      <c r="AB74" s="173">
        <f ca="1">(VLOOKUP(AB$72,INDIRECT($C$5&amp;"生成成长"),2))/((VLOOKUP($B74,INDIRECT($B$5&amp;"生成成长"),4))/(VLOOKUP(AB$72,INDIRECT($C$5&amp;"生成成长"),5))*(VLOOKUP($B$5,标准坦克设计!$B$24:$U$30,MATCH("对"&amp;LEFT($C$5,2)&amp;"输出",标准坦克设计!$B$23:$U$23,0)))*(VLOOKUP($B74,INDIRECT($B$5&amp;"生成成长"),3))*(VLOOKUP($B$5,标准坦克设计!$B$14:$K$20,9)/30))</f>
        <v>39.918740722355537</v>
      </c>
      <c r="AC74" s="173">
        <f ca="1">(VLOOKUP(AC$72,INDIRECT($C$5&amp;"生成成长"),2))/((VLOOKUP($B74,INDIRECT($B$5&amp;"生成成长"),4))/(VLOOKUP(AC$72,INDIRECT($C$5&amp;"生成成长"),5))*(VLOOKUP($B$5,标准坦克设计!$B$24:$U$30,MATCH("对"&amp;LEFT($C$5,2)&amp;"输出",标准坦克设计!$B$23:$U$23,0)))*(VLOOKUP($B74,INDIRECT($B$5&amp;"生成成长"),3))*(VLOOKUP($B$5,标准坦克设计!$B$14:$K$20,9)/30))</f>
        <v>43.579169399665382</v>
      </c>
      <c r="AD74" s="173">
        <f ca="1">(VLOOKUP(AD$72,INDIRECT($C$5&amp;"生成成长"),2))/((VLOOKUP($B74,INDIRECT($B$5&amp;"生成成长"),4))/(VLOOKUP(AD$72,INDIRECT($C$5&amp;"生成成长"),5))*(VLOOKUP($B$5,标准坦克设计!$B$24:$U$30,MATCH("对"&amp;LEFT($C$5,2)&amp;"输出",标准坦克设计!$B$23:$U$23,0)))*(VLOOKUP($B74,INDIRECT($B$5&amp;"生成成长"),3))*(VLOOKUP($B$5,标准坦克设计!$B$14:$K$20,9)/30))</f>
        <v>47.400143194401089</v>
      </c>
      <c r="AE74" s="173">
        <f ca="1">(VLOOKUP(AE$72,INDIRECT($C$5&amp;"生成成长"),2))/((VLOOKUP($B74,INDIRECT($B$5&amp;"生成成长"),4))/(VLOOKUP(AE$72,INDIRECT($C$5&amp;"生成成长"),5))*(VLOOKUP($B$5,标准坦克设计!$B$24:$U$30,MATCH("对"&amp;LEFT($C$5,2)&amp;"输出",标准坦克设计!$B$23:$U$23,0)))*(VLOOKUP($B74,INDIRECT($B$5&amp;"生成成长"),3))*(VLOOKUP($B$5,标准坦克设计!$B$14:$K$20,9)/30))</f>
        <v>51.381662106562679</v>
      </c>
      <c r="AF74" s="173">
        <f ca="1">(VLOOKUP(AF$72,INDIRECT($C$5&amp;"生成成长"),2))/((VLOOKUP($B74,INDIRECT($B$5&amp;"生成成长"),4))/(VLOOKUP(AF$72,INDIRECT($C$5&amp;"生成成长"),5))*(VLOOKUP($B$5,标准坦克设计!$B$24:$U$30,MATCH("对"&amp;LEFT($C$5,2)&amp;"输出",标准坦克设计!$B$23:$U$23,0)))*(VLOOKUP($B74,INDIRECT($B$5&amp;"生成成长"),3))*(VLOOKUP($B$5,标准坦克设计!$B$14:$K$20,9)/30))</f>
        <v>55.523726136150145</v>
      </c>
      <c r="AG74" s="173">
        <f ca="1">(VLOOKUP(AG$72,INDIRECT($C$5&amp;"生成成长"),2))/((VLOOKUP($B74,INDIRECT($B$5&amp;"生成成长"),4))/(VLOOKUP(AG$72,INDIRECT($C$5&amp;"生成成长"),5))*(VLOOKUP($B$5,标准坦克设计!$B$24:$U$30,MATCH("对"&amp;LEFT($C$5,2)&amp;"输出",标准坦克设计!$B$23:$U$23,0)))*(VLOOKUP($B74,INDIRECT($B$5&amp;"生成成长"),3))*(VLOOKUP($B$5,标准坦克设计!$B$14:$K$20,9)/30))</f>
        <v>59.826335283163459</v>
      </c>
      <c r="AH74" s="173">
        <f ca="1">(VLOOKUP(AH$72,INDIRECT($C$5&amp;"生成成长"),2))/((VLOOKUP($B74,INDIRECT($B$5&amp;"生成成长"),4))/(VLOOKUP(AH$72,INDIRECT($C$5&amp;"生成成长"),5))*(VLOOKUP($B$5,标准坦克设计!$B$24:$U$30,MATCH("对"&amp;LEFT($C$5,2)&amp;"输出",标准坦克设计!$B$23:$U$23,0)))*(VLOOKUP($B74,INDIRECT($B$5&amp;"生成成长"),3))*(VLOOKUP($B$5,标准坦克设计!$B$14:$K$20,9)/30))</f>
        <v>64.289489547602656</v>
      </c>
      <c r="AI74" s="173">
        <f ca="1">(VLOOKUP(AI$72,INDIRECT($C$5&amp;"生成成长"),2))/((VLOOKUP($B74,INDIRECT($B$5&amp;"生成成长"),4))/(VLOOKUP(AI$72,INDIRECT($C$5&amp;"生成成长"),5))*(VLOOKUP($B$5,标准坦克设计!$B$24:$U$30,MATCH("对"&amp;LEFT($C$5,2)&amp;"输出",标准坦克设计!$B$23:$U$23,0)))*(VLOOKUP($B74,INDIRECT($B$5&amp;"生成成长"),3))*(VLOOKUP($B$5,标准坦克设计!$B$14:$K$20,9)/30))</f>
        <v>45.469588157355005</v>
      </c>
      <c r="AJ74" s="173">
        <f ca="1">(VLOOKUP(AJ$72,INDIRECT($C$5&amp;"生成成长"),2))/((VLOOKUP($B74,INDIRECT($B$5&amp;"生成成长"),4))/(VLOOKUP(AJ$72,INDIRECT($C$5&amp;"生成成长"),5))*(VLOOKUP($B$5,标准坦克设计!$B$24:$U$30,MATCH("对"&amp;LEFT($C$5,2)&amp;"输出",标准坦克设计!$B$23:$U$23,0)))*(VLOOKUP($B74,INDIRECT($B$5&amp;"生成成长"),3))*(VLOOKUP($B$5,标准坦克设计!$B$14:$K$20,9)/30))</f>
        <v>49.769789127606941</v>
      </c>
      <c r="AK74" s="173">
        <f ca="1">(VLOOKUP(AK$72,INDIRECT($C$5&amp;"生成成长"),2))/((VLOOKUP($B74,INDIRECT($B$5&amp;"生成成长"),4))/(VLOOKUP(AK$72,INDIRECT($C$5&amp;"生成成长"),5))*(VLOOKUP($B$5,标准坦克设计!$B$24:$U$30,MATCH("对"&amp;LEFT($C$5,2)&amp;"输出",标准坦克设计!$B$23:$U$23,0)))*(VLOOKUP($B74,INDIRECT($B$5&amp;"生成成长"),3))*(VLOOKUP($B$5,标准坦克设计!$B$14:$K$20,9)/30))</f>
        <v>54.264249689944187</v>
      </c>
      <c r="AL74" s="173">
        <f ca="1">(VLOOKUP(AL$72,INDIRECT($C$5&amp;"生成成长"),2))/((VLOOKUP($B74,INDIRECT($B$5&amp;"生成成长"),4))/(VLOOKUP(AL$72,INDIRECT($C$5&amp;"生成成长"),5))*(VLOOKUP($B$5,标准坦克设计!$B$24:$U$30,MATCH("对"&amp;LEFT($C$5,2)&amp;"输出",标准坦克设计!$B$23:$U$23,0)))*(VLOOKUP($B74,INDIRECT($B$5&amp;"生成成长"),3))*(VLOOKUP($B$5,标准坦克设计!$B$14:$K$20,9)/30))</f>
        <v>58.952969844366734</v>
      </c>
      <c r="AM74" s="173">
        <f ca="1">(VLOOKUP(AM$72,INDIRECT($C$5&amp;"生成成长"),2))/((VLOOKUP($B74,INDIRECT($B$5&amp;"生成成长"),4))/(VLOOKUP(AM$72,INDIRECT($C$5&amp;"生成成长"),5))*(VLOOKUP($B$5,标准坦克设计!$B$24:$U$30,MATCH("对"&amp;LEFT($C$5,2)&amp;"输出",标准坦克设计!$B$23:$U$23,0)))*(VLOOKUP($B74,INDIRECT($B$5&amp;"生成成长"),3))*(VLOOKUP($B$5,标准坦克设计!$B$14:$K$20,9)/30))</f>
        <v>63.835949590874584</v>
      </c>
      <c r="AN74" s="173">
        <f ca="1">(VLOOKUP(AN$72,INDIRECT($C$5&amp;"生成成长"),2))/((VLOOKUP($B74,INDIRECT($B$5&amp;"生成成长"),4))/(VLOOKUP(AN$72,INDIRECT($C$5&amp;"生成成长"),5))*(VLOOKUP($B$5,标准坦克设计!$B$24:$U$30,MATCH("对"&amp;LEFT($C$5,2)&amp;"输出",标准坦克设计!$B$23:$U$23,0)))*(VLOOKUP($B74,INDIRECT($B$5&amp;"生成成长"),3))*(VLOOKUP($B$5,标准坦克设计!$B$14:$K$20,9)/30))</f>
        <v>68.913188929467722</v>
      </c>
      <c r="AO74" s="173">
        <f ca="1">(VLOOKUP(AO$72,INDIRECT($C$5&amp;"生成成长"),2))/((VLOOKUP($B74,INDIRECT($B$5&amp;"生成成长"),4))/(VLOOKUP(AO$72,INDIRECT($C$5&amp;"生成成长"),5))*(VLOOKUP($B$5,标准坦克设计!$B$24:$U$30,MATCH("对"&amp;LEFT($C$5,2)&amp;"输出",标准坦克设计!$B$23:$U$23,0)))*(VLOOKUP($B74,INDIRECT($B$5&amp;"生成成长"),3))*(VLOOKUP($B$5,标准坦克设计!$B$14:$K$20,9)/30))</f>
        <v>74.184687860146198</v>
      </c>
      <c r="AP74" s="173">
        <f ca="1">(VLOOKUP(AP$72,INDIRECT($C$5&amp;"生成成长"),2))/((VLOOKUP($B74,INDIRECT($B$5&amp;"生成成长"),4))/(VLOOKUP(AP$72,INDIRECT($C$5&amp;"生成成长"),5))*(VLOOKUP($B$5,标准坦克设计!$B$24:$U$30,MATCH("对"&amp;LEFT($C$5,2)&amp;"输出",标准坦克设计!$B$23:$U$23,0)))*(VLOOKUP($B74,INDIRECT($B$5&amp;"生成成长"),3))*(VLOOKUP($B$5,标准坦克设计!$B$14:$K$20,9)/30))</f>
        <v>79.650446382909934</v>
      </c>
      <c r="AQ74" s="173">
        <f ca="1">(VLOOKUP(AQ$72,INDIRECT($C$5&amp;"生成成长"),2))/((VLOOKUP($B74,INDIRECT($B$5&amp;"生成成长"),4))/(VLOOKUP(AQ$72,INDIRECT($C$5&amp;"生成成长"),5))*(VLOOKUP($B$5,标准坦克设计!$B$24:$U$30,MATCH("对"&amp;LEFT($C$5,2)&amp;"输出",标准坦克设计!$B$23:$U$23,0)))*(VLOOKUP($B74,INDIRECT($B$5&amp;"生成成长"),3))*(VLOOKUP($B$5,标准坦克设计!$B$14:$K$20,9)/30))</f>
        <v>85.310464497759</v>
      </c>
      <c r="AR74" s="173">
        <f ca="1">(VLOOKUP(AR$72,INDIRECT($C$5&amp;"生成成长"),2))/((VLOOKUP($B74,INDIRECT($B$5&amp;"生成成长"),4))/(VLOOKUP(AR$72,INDIRECT($C$5&amp;"生成成长"),5))*(VLOOKUP($B$5,标准坦克设计!$B$24:$U$30,MATCH("对"&amp;LEFT($C$5,2)&amp;"输出",标准坦克设计!$B$23:$U$23,0)))*(VLOOKUP($B74,INDIRECT($B$5&amp;"生成成长"),3))*(VLOOKUP($B$5,标准坦克设计!$B$14:$K$20,9)/30))</f>
        <v>91.164742204693368</v>
      </c>
      <c r="AS74" s="173">
        <f ca="1">(VLOOKUP(AS$72,INDIRECT($C$5&amp;"生成成长"),2))/((VLOOKUP($B74,INDIRECT($B$5&amp;"生成成长"),4))/(VLOOKUP(AS$72,INDIRECT($C$5&amp;"生成成长"),5))*(VLOOKUP($B$5,标准坦克设计!$B$24:$U$30,MATCH("对"&amp;LEFT($C$5,2)&amp;"输出",标准坦克设计!$B$23:$U$23,0)))*(VLOOKUP($B74,INDIRECT($B$5&amp;"生成成长"),3))*(VLOOKUP($B$5,标准坦克设计!$B$14:$K$20,9)/30))</f>
        <v>97.213279503713011</v>
      </c>
      <c r="AT74" s="173">
        <f ca="1">(VLOOKUP(AT$72,INDIRECT($C$5&amp;"生成成长"),2))/((VLOOKUP($B74,INDIRECT($B$5&amp;"生成成长"),4))/(VLOOKUP(AT$72,INDIRECT($C$5&amp;"生成成长"),5))*(VLOOKUP($B$5,标准坦克设计!$B$24:$U$30,MATCH("对"&amp;LEFT($C$5,2)&amp;"输出",标准坦克设计!$B$23:$U$23,0)))*(VLOOKUP($B74,INDIRECT($B$5&amp;"生成成长"),3))*(VLOOKUP($B$5,标准坦克设计!$B$14:$K$20,9)/30))</f>
        <v>103.45607639481798</v>
      </c>
      <c r="AU74" s="173">
        <f ca="1">(VLOOKUP(AU$72,INDIRECT($C$5&amp;"生成成长"),2))/((VLOOKUP($B74,INDIRECT($B$5&amp;"生成成长"),4))/(VLOOKUP(AU$72,INDIRECT($C$5&amp;"生成成长"),5))*(VLOOKUP($B$5,标准坦克设计!$B$24:$U$30,MATCH("对"&amp;LEFT($C$5,2)&amp;"输出",标准坦克设计!$B$23:$U$23,0)))*(VLOOKUP($B74,INDIRECT($B$5&amp;"生成成长"),3))*(VLOOKUP($B$5,标准坦克设计!$B$14:$K$20,9)/30))</f>
        <v>109.89313287800827</v>
      </c>
      <c r="AV74" s="173">
        <f ca="1">(VLOOKUP(AV$72,INDIRECT($C$5&amp;"生成成长"),2))/((VLOOKUP($B74,INDIRECT($B$5&amp;"生成成长"),4))/(VLOOKUP(AV$72,INDIRECT($C$5&amp;"生成成长"),5))*(VLOOKUP($B$5,标准坦克设计!$B$24:$U$30,MATCH("对"&amp;LEFT($C$5,2)&amp;"输出",标准坦克设计!$B$23:$U$23,0)))*(VLOOKUP($B74,INDIRECT($B$5&amp;"生成成长"),3))*(VLOOKUP($B$5,标准坦克设计!$B$14:$K$20,9)/30))</f>
        <v>11.177151075189094</v>
      </c>
      <c r="AW74" s="173">
        <f ca="1">(VLOOKUP(AW$72,INDIRECT($C$5&amp;"生成成长"),2))/((VLOOKUP($B74,INDIRECT($B$5&amp;"生成成长"),4))/(VLOOKUP(AW$72,INDIRECT($C$5&amp;"生成成长"),5))*(VLOOKUP($B$5,标准坦克设计!$B$24:$U$30,MATCH("对"&amp;LEFT($C$5,2)&amp;"输出",标准坦克设计!$B$23:$U$23,0)))*(VLOOKUP($B74,INDIRECT($B$5&amp;"生成成长"),3))*(VLOOKUP($B$5,标准坦克设计!$B$14:$K$20,9)/30))</f>
        <v>12.744071421265591</v>
      </c>
      <c r="AX74" s="173">
        <f ca="1">(VLOOKUP(AX$72,INDIRECT($C$5&amp;"生成成长"),2))/((VLOOKUP($B74,INDIRECT($B$5&amp;"生成成长"),4))/(VLOOKUP(AX$72,INDIRECT($C$5&amp;"生成成长"),5))*(VLOOKUP($B$5,标准坦克设计!$B$24:$U$30,MATCH("对"&amp;LEFT($C$5,2)&amp;"输出",标准坦克设计!$B$23:$U$23,0)))*(VLOOKUP($B74,INDIRECT($B$5&amp;"生成成长"),3))*(VLOOKUP($B$5,标准坦克设计!$B$14:$K$20,9)/30))</f>
        <v>14.413740642494643</v>
      </c>
      <c r="AY74" s="173">
        <f ca="1">(VLOOKUP(AY$72,INDIRECT($C$5&amp;"生成成长"),2))/((VLOOKUP($B74,INDIRECT($B$5&amp;"生成成长"),4))/(VLOOKUP(AY$72,INDIRECT($C$5&amp;"生成成长"),5))*(VLOOKUP($B$5,标准坦克设计!$B$24:$U$30,MATCH("对"&amp;LEFT($C$5,2)&amp;"输出",标准坦克设计!$B$23:$U$23,0)))*(VLOOKUP($B74,INDIRECT($B$5&amp;"生成成长"),3))*(VLOOKUP($B$5,标准坦克设计!$B$14:$K$20,9)/30))</f>
        <v>16.186158738876248</v>
      </c>
      <c r="AZ74" s="173">
        <f ca="1">(VLOOKUP(AZ$72,INDIRECT($C$5&amp;"生成成长"),2))/((VLOOKUP($B74,INDIRECT($B$5&amp;"生成成长"),4))/(VLOOKUP(AZ$72,INDIRECT($C$5&amp;"生成成长"),5))*(VLOOKUP($B$5,标准坦克设计!$B$24:$U$30,MATCH("对"&amp;LEFT($C$5,2)&amp;"输出",标准坦克设计!$B$23:$U$23,0)))*(VLOOKUP($B74,INDIRECT($B$5&amp;"生成成长"),3))*(VLOOKUP($B$5,标准坦克设计!$B$14:$K$20,9)/30))</f>
        <v>18.061325710410415</v>
      </c>
      <c r="BA74" s="173">
        <f ca="1">(VLOOKUP(BA$72,INDIRECT($C$5&amp;"生成成长"),2))/((VLOOKUP($B74,INDIRECT($B$5&amp;"生成成长"),4))/(VLOOKUP(BA$72,INDIRECT($C$5&amp;"生成成长"),5))*(VLOOKUP($B$5,标准坦克设计!$B$24:$U$30,MATCH("对"&amp;LEFT($C$5,2)&amp;"输出",标准坦克设计!$B$23:$U$23,0)))*(VLOOKUP($B74,INDIRECT($B$5&amp;"生成成长"),3))*(VLOOKUP($B$5,标准坦克设计!$B$14:$K$20,9)/30))</f>
        <v>20.039241557097142</v>
      </c>
      <c r="BB74" s="173">
        <f ca="1">(VLOOKUP(BB$72,INDIRECT($C$5&amp;"生成成长"),2))/((VLOOKUP($B74,INDIRECT($B$5&amp;"生成成长"),4))/(VLOOKUP(BB$72,INDIRECT($C$5&amp;"生成成长"),5))*(VLOOKUP($B$5,标准坦克设计!$B$24:$U$30,MATCH("对"&amp;LEFT($C$5,2)&amp;"输出",标准坦克设计!$B$23:$U$23,0)))*(VLOOKUP($B74,INDIRECT($B$5&amp;"生成成长"),3))*(VLOOKUP($B$5,标准坦克设计!$B$14:$K$20,9)/30))</f>
        <v>22.119906278936426</v>
      </c>
      <c r="BC74" s="173">
        <f ca="1">(VLOOKUP(BC$72,INDIRECT($C$5&amp;"生成成长"),2))/((VLOOKUP($B74,INDIRECT($B$5&amp;"生成成长"),4))/(VLOOKUP(BC$72,INDIRECT($C$5&amp;"生成成长"),5))*(VLOOKUP($B$5,标准坦克设计!$B$24:$U$30,MATCH("对"&amp;LEFT($C$5,2)&amp;"输出",标准坦克设计!$B$23:$U$23,0)))*(VLOOKUP($B74,INDIRECT($B$5&amp;"生成成长"),3))*(VLOOKUP($B$5,标准坦克设计!$B$14:$K$20,9)/30))</f>
        <v>24.303319875928253</v>
      </c>
      <c r="BD74" s="173">
        <f ca="1">(VLOOKUP(BD$72,INDIRECT($C$5&amp;"生成成长"),2))/((VLOOKUP($B74,INDIRECT($B$5&amp;"生成成长"),4))/(VLOOKUP(BD$72,INDIRECT($C$5&amp;"生成成长"),5))*(VLOOKUP($B$5,标准坦克设计!$B$24:$U$30,MATCH("对"&amp;LEFT($C$5,2)&amp;"输出",标准坦克设计!$B$23:$U$23,0)))*(VLOOKUP($B74,INDIRECT($B$5&amp;"生成成长"),3))*(VLOOKUP($B$5,标准坦克设计!$B$14:$K$20,9)/30))</f>
        <v>26.882477187374867</v>
      </c>
      <c r="BE74" s="173">
        <f ca="1">(VLOOKUP(BE$72,INDIRECT($C$5&amp;"生成成长"),2))/((VLOOKUP($B74,INDIRECT($B$5&amp;"生成成长"),4))/(VLOOKUP(BE$72,INDIRECT($C$5&amp;"生成成长"),5))*(VLOOKUP($B$5,标准坦克设计!$B$24:$U$30,MATCH("对"&amp;LEFT($C$5,2)&amp;"输出",标准坦克设计!$B$23:$U$23,0)))*(VLOOKUP($B74,INDIRECT($B$5&amp;"生成成长"),3))*(VLOOKUP($B$5,标准坦克设计!$B$14:$K$20,9)/30))</f>
        <v>29.591676043936424</v>
      </c>
      <c r="BF74" s="173">
        <f ca="1">(VLOOKUP(BF$72,INDIRECT($C$5&amp;"生成成长"),2))/((VLOOKUP($B74,INDIRECT($B$5&amp;"生成成长"),4))/(VLOOKUP(BF$72,INDIRECT($C$5&amp;"生成成长"),5))*(VLOOKUP($B$5,标准坦克设计!$B$24:$U$30,MATCH("对"&amp;LEFT($C$5,2)&amp;"输出",标准坦克设计!$B$23:$U$23,0)))*(VLOOKUP($B74,INDIRECT($B$5&amp;"生成成长"),3))*(VLOOKUP($B$5,标准坦克设计!$B$14:$K$20,9)/30))</f>
        <v>32.430916445612944</v>
      </c>
      <c r="BG74" s="173">
        <f ca="1">(VLOOKUP(BG$72,INDIRECT($C$5&amp;"生成成长"),2))/((VLOOKUP($B74,INDIRECT($B$5&amp;"生成成长"),4))/(VLOOKUP(BG$72,INDIRECT($C$5&amp;"生成成长"),5))*(VLOOKUP($B$5,标准坦克设计!$B$24:$U$30,MATCH("对"&amp;LEFT($C$5,2)&amp;"输出",标准坦克设计!$B$23:$U$23,0)))*(VLOOKUP($B74,INDIRECT($B$5&amp;"生成成长"),3))*(VLOOKUP($B$5,标准坦克设计!$B$14:$K$20,9)/30))</f>
        <v>35.40019839240442</v>
      </c>
      <c r="BH74" s="173">
        <f ca="1">(VLOOKUP(BH$72,INDIRECT($C$5&amp;"生成成长"),2))/((VLOOKUP($B74,INDIRECT($B$5&amp;"生成成长"),4))/(VLOOKUP(BH$72,INDIRECT($C$5&amp;"生成成长"),5))*(VLOOKUP($B$5,标准坦克设计!$B$24:$U$30,MATCH("对"&amp;LEFT($C$5,2)&amp;"输出",标准坦克设计!$B$23:$U$23,0)))*(VLOOKUP($B74,INDIRECT($B$5&amp;"生成成长"),3))*(VLOOKUP($B$5,标准坦克设计!$B$14:$K$20,9)/30))</f>
        <v>17.110898615249262</v>
      </c>
      <c r="BI74" s="173">
        <f ca="1">(VLOOKUP(BI$72,INDIRECT($C$5&amp;"生成成长"),2))/((VLOOKUP($B74,INDIRECT($B$5&amp;"生成成长"),4))/(VLOOKUP(BI$72,INDIRECT($C$5&amp;"生成成长"),5))*(VLOOKUP($B$5,标准坦克设计!$B$24:$U$30,MATCH("对"&amp;LEFT($C$5,2)&amp;"输出",标准坦克设计!$B$23:$U$23,0)))*(VLOOKUP($B74,INDIRECT($B$5&amp;"生成成长"),3))*(VLOOKUP($B$5,标准坦克设计!$B$14:$K$20,9)/30))</f>
        <v>19.285482230782677</v>
      </c>
      <c r="BJ74" s="173">
        <f ca="1">(VLOOKUP(BJ$72,INDIRECT($C$5&amp;"生成成长"),2))/((VLOOKUP($B74,INDIRECT($B$5&amp;"生成成长"),4))/(VLOOKUP(BJ$72,INDIRECT($C$5&amp;"生成成长"),5))*(VLOOKUP($B$5,标准坦克设计!$B$24:$U$30,MATCH("对"&amp;LEFT($C$5,2)&amp;"输出",标准坦克设计!$B$23:$U$23,0)))*(VLOOKUP($B74,INDIRECT($B$5&amp;"生成成长"),3))*(VLOOKUP($B$5,标准坦克设计!$B$14:$K$20,9)/30))</f>
        <v>21.590107391431047</v>
      </c>
      <c r="BK74" s="173">
        <f ca="1">(VLOOKUP(BK$72,INDIRECT($C$5&amp;"生成成长"),2))/((VLOOKUP($B74,INDIRECT($B$5&amp;"生成成长"),4))/(VLOOKUP(BK$72,INDIRECT($C$5&amp;"生成成长"),5))*(VLOOKUP($B$5,标准坦克设计!$B$24:$U$30,MATCH("对"&amp;LEFT($C$5,2)&amp;"输出",标准坦克设计!$B$23:$U$23,0)))*(VLOOKUP($B74,INDIRECT($B$5&amp;"生成成长"),3))*(VLOOKUP($B$5,标准坦克设计!$B$14:$K$20,9)/30))</f>
        <v>24.024774097194371</v>
      </c>
      <c r="BL74" s="173">
        <f ca="1">(VLOOKUP(BL$72,INDIRECT($C$5&amp;"生成成长"),2))/((VLOOKUP($B74,INDIRECT($B$5&amp;"生成成长"),4))/(VLOOKUP(BL$72,INDIRECT($C$5&amp;"生成成长"),5))*(VLOOKUP($B$5,标准坦克设计!$B$24:$U$30,MATCH("对"&amp;LEFT($C$5,2)&amp;"输出",标准坦克设计!$B$23:$U$23,0)))*(VLOOKUP($B74,INDIRECT($B$5&amp;"生成成长"),3))*(VLOOKUP($B$5,标准坦克设计!$B$14:$K$20,9)/30))</f>
        <v>26.589482348072647</v>
      </c>
      <c r="BM74" s="173">
        <f ca="1">(VLOOKUP(BM$72,INDIRECT($C$5&amp;"生成成长"),2))/((VLOOKUP($B74,INDIRECT($B$5&amp;"生成成长"),4))/(VLOOKUP(BM$72,INDIRECT($C$5&amp;"生成成长"),5))*(VLOOKUP($B$5,标准坦克设计!$B$24:$U$30,MATCH("对"&amp;LEFT($C$5,2)&amp;"输出",标准坦克设计!$B$23:$U$23,0)))*(VLOOKUP($B74,INDIRECT($B$5&amp;"生成成长"),3))*(VLOOKUP($B$5,标准坦克设计!$B$14:$K$20,9)/30))</f>
        <v>29.284232144065882</v>
      </c>
      <c r="BN74" s="173">
        <f ca="1">(VLOOKUP(BN$72,INDIRECT($C$5&amp;"生成成长"),2))/((VLOOKUP($B74,INDIRECT($B$5&amp;"生成成长"),4))/(VLOOKUP(BN$72,INDIRECT($C$5&amp;"生成成长"),5))*(VLOOKUP($B$5,标准坦克设计!$B$24:$U$30,MATCH("对"&amp;LEFT($C$5,2)&amp;"输出",标准坦克设计!$B$23:$U$23,0)))*(VLOOKUP($B74,INDIRECT($B$5&amp;"生成成长"),3))*(VLOOKUP($B$5,标准坦克设计!$B$14:$K$20,9)/30))</f>
        <v>32.10902348517407</v>
      </c>
      <c r="BO74" s="173">
        <f ca="1">(VLOOKUP(BO$72,INDIRECT($C$5&amp;"生成成长"),2))/((VLOOKUP($B74,INDIRECT($B$5&amp;"生成成长"),4))/(VLOOKUP(BO$72,INDIRECT($C$5&amp;"生成成长"),5))*(VLOOKUP($B$5,标准坦克设计!$B$24:$U$30,MATCH("对"&amp;LEFT($C$5,2)&amp;"输出",标准坦克设计!$B$23:$U$23,0)))*(VLOOKUP($B74,INDIRECT($B$5&amp;"生成成长"),3))*(VLOOKUP($B$5,标准坦克设计!$B$14:$K$20,9)/30))</f>
        <v>35.063856371397215</v>
      </c>
      <c r="BP74" s="173">
        <f ca="1">(VLOOKUP(BP$72,INDIRECT($C$5&amp;"生成成长"),2))/((VLOOKUP($B74,INDIRECT($B$5&amp;"生成成长"),4))/(VLOOKUP(BP$72,INDIRECT($C$5&amp;"生成成长"),5))*(VLOOKUP($B$5,标准坦克设计!$B$24:$U$30,MATCH("对"&amp;LEFT($C$5,2)&amp;"输出",标准坦克设计!$B$23:$U$23,0)))*(VLOOKUP($B74,INDIRECT($B$5&amp;"生成成长"),3))*(VLOOKUP($B$5,标准坦克设计!$B$14:$K$20,9)/30))</f>
        <v>38.148730802735315</v>
      </c>
      <c r="BQ74" s="173">
        <f ca="1">(VLOOKUP(BQ$72,INDIRECT($C$5&amp;"生成成长"),2))/((VLOOKUP($B74,INDIRECT($B$5&amp;"生成成长"),4))/(VLOOKUP(BQ$72,INDIRECT($C$5&amp;"生成成长"),5))*(VLOOKUP($B$5,标准坦克设计!$B$24:$U$30,MATCH("对"&amp;LEFT($C$5,2)&amp;"输出",标准坦克设计!$B$23:$U$23,0)))*(VLOOKUP($B74,INDIRECT($B$5&amp;"生成成长"),3))*(VLOOKUP($B$5,标准坦克设计!$B$14:$K$20,9)/30))</f>
        <v>41.363646779188372</v>
      </c>
      <c r="BR74" s="173">
        <f ca="1">(VLOOKUP(BR$72,INDIRECT($C$5&amp;"生成成长"),2))/((VLOOKUP($B74,INDIRECT($B$5&amp;"生成成长"),4))/(VLOOKUP(BR$72,INDIRECT($C$5&amp;"生成成长"),5))*(VLOOKUP($B$5,标准坦克设计!$B$24:$U$30,MATCH("对"&amp;LEFT($C$5,2)&amp;"输出",标准坦克设计!$B$23:$U$23,0)))*(VLOOKUP($B74,INDIRECT($B$5&amp;"生成成长"),3))*(VLOOKUP($B$5,标准坦克设计!$B$14:$K$20,9)/30))</f>
        <v>45.088293503468563</v>
      </c>
      <c r="BS74" s="173">
        <f ca="1">(VLOOKUP(BS$72,INDIRECT($C$5&amp;"生成成长"),2))/((VLOOKUP($B74,INDIRECT($B$5&amp;"生成成长"),4))/(VLOOKUP(BS$72,INDIRECT($C$5&amp;"生成成长"),5))*(VLOOKUP($B$5,标准坦克设计!$B$24:$U$30,MATCH("对"&amp;LEFT($C$5,2)&amp;"输出",标准坦克设计!$B$23:$U$23,0)))*(VLOOKUP($B74,INDIRECT($B$5&amp;"生成成长"),3))*(VLOOKUP($B$5,标准坦克设计!$B$14:$K$20,9)/30))</f>
        <v>48.973485345174623</v>
      </c>
      <c r="BT74" s="173">
        <f ca="1">(VLOOKUP(BT$72,INDIRECT($C$5&amp;"生成成长"),2))/((VLOOKUP($B74,INDIRECT($B$5&amp;"生成成长"),4))/(VLOOKUP(BT$72,INDIRECT($C$5&amp;"生成成长"),5))*(VLOOKUP($B$5,标准坦克设计!$B$24:$U$30,MATCH("对"&amp;LEFT($C$5,2)&amp;"输出",标准坦克设计!$B$23:$U$23,0)))*(VLOOKUP($B74,INDIRECT($B$5&amp;"生成成长"),3))*(VLOOKUP($B$5,标准坦克设计!$B$14:$K$20,9)/30))</f>
        <v>53.019222304306567</v>
      </c>
      <c r="BU74" s="173">
        <f ca="1">(VLOOKUP(BU$72,INDIRECT($C$5&amp;"生成成长"),2))/((VLOOKUP($B74,INDIRECT($B$5&amp;"生成成长"),4))/(VLOOKUP(BU$72,INDIRECT($C$5&amp;"生成成长"),5))*(VLOOKUP($B$5,标准坦克设计!$B$24:$U$30,MATCH("对"&amp;LEFT($C$5,2)&amp;"输出",标准坦克设计!$B$23:$U$23,0)))*(VLOOKUP($B74,INDIRECT($B$5&amp;"生成成长"),3))*(VLOOKUP($B$5,标准坦克设计!$B$14:$K$20,9)/30))</f>
        <v>57.225504380864351</v>
      </c>
      <c r="BV74" s="173">
        <f ca="1">(VLOOKUP(BV$72,INDIRECT($C$5&amp;"生成成长"),2))/((VLOOKUP($B74,INDIRECT($B$5&amp;"生成成长"),4))/(VLOOKUP(BV$72,INDIRECT($C$5&amp;"生成成长"),5))*(VLOOKUP($B$5,标准坦克设计!$B$24:$U$30,MATCH("对"&amp;LEFT($C$5,2)&amp;"输出",标准坦克设计!$B$23:$U$23,0)))*(VLOOKUP($B74,INDIRECT($B$5&amp;"生成成长"),3))*(VLOOKUP($B$5,标准坦克设计!$B$14:$K$20,9)/30))</f>
        <v>61.592331574848032</v>
      </c>
      <c r="BW74" s="173">
        <f ca="1">(VLOOKUP(BW$72,INDIRECT($C$5&amp;"生成成长"),2))/((VLOOKUP($B74,INDIRECT($B$5&amp;"生成成长"),4))/(VLOOKUP(BW$72,INDIRECT($C$5&amp;"生成成长"),5))*(VLOOKUP($B$5,标准坦克设计!$B$24:$U$30,MATCH("对"&amp;LEFT($C$5,2)&amp;"输出",标准坦克设计!$B$23:$U$23,0)))*(VLOOKUP($B74,INDIRECT($B$5&amp;"生成成长"),3))*(VLOOKUP($B$5,标准坦克设计!$B$14:$K$20,9)/30))</f>
        <v>28.070511056326303</v>
      </c>
      <c r="BX74" s="173">
        <f ca="1">(VLOOKUP(BX$72,INDIRECT($C$5&amp;"生成成长"),2))/((VLOOKUP($B74,INDIRECT($B$5&amp;"生成成长"),4))/(VLOOKUP(BX$72,INDIRECT($C$5&amp;"生成成长"),5))*(VLOOKUP($B$5,标准坦克设计!$B$24:$U$30,MATCH("对"&amp;LEFT($C$5,2)&amp;"输出",标准坦克设计!$B$23:$U$23,0)))*(VLOOKUP($B74,INDIRECT($B$5&amp;"生成成长"),3))*(VLOOKUP($B$5,标准坦克设计!$B$14:$K$20,9)/30))</f>
        <v>31.152977310903015</v>
      </c>
      <c r="BY74" s="173">
        <f ca="1">(VLOOKUP(BY$72,INDIRECT($C$5&amp;"生成成长"),2))/((VLOOKUP($B74,INDIRECT($B$5&amp;"生成成长"),4))/(VLOOKUP(BY$72,INDIRECT($C$5&amp;"生成成长"),5))*(VLOOKUP($B$5,标准坦克设计!$B$24:$U$30,MATCH("对"&amp;LEFT($C$5,2)&amp;"输出",标准坦克设计!$B$23:$U$23,0)))*(VLOOKUP($B74,INDIRECT($B$5&amp;"生成成长"),3))*(VLOOKUP($B$5,标准坦克设计!$B$14:$K$20,9)/30))</f>
        <v>34.395988682905596</v>
      </c>
      <c r="BZ74" s="173">
        <f ca="1">(VLOOKUP(BZ$72,INDIRECT($C$5&amp;"生成成长"),2))/((VLOOKUP($B74,INDIRECT($B$5&amp;"生成成长"),4))/(VLOOKUP(BZ$72,INDIRECT($C$5&amp;"生成成长"),5))*(VLOOKUP($B$5,标准坦克设计!$B$24:$U$30,MATCH("对"&amp;LEFT($C$5,2)&amp;"输出",标准坦克设计!$B$23:$U$23,0)))*(VLOOKUP($B74,INDIRECT($B$5&amp;"生成成长"),3))*(VLOOKUP($B$5,标准坦克设计!$B$14:$K$20,9)/30))</f>
        <v>37.799545172334049</v>
      </c>
      <c r="CA74" s="173">
        <f ca="1">(VLOOKUP(CA$72,INDIRECT($C$5&amp;"生成成长"),2))/((VLOOKUP($B74,INDIRECT($B$5&amp;"生成成长"),4))/(VLOOKUP(CA$72,INDIRECT($C$5&amp;"生成成长"),5))*(VLOOKUP($B$5,标准坦克设计!$B$24:$U$30,MATCH("对"&amp;LEFT($C$5,2)&amp;"输出",标准坦克设计!$B$23:$U$23,0)))*(VLOOKUP($B74,INDIRECT($B$5&amp;"生成成长"),3))*(VLOOKUP($B$5,标准坦克设计!$B$14:$K$20,9)/30))</f>
        <v>41.363646779188372</v>
      </c>
      <c r="CB74" s="173">
        <f ca="1">(VLOOKUP(CB$72,INDIRECT($C$5&amp;"生成成长"),2))/((VLOOKUP($B74,INDIRECT($B$5&amp;"生成成长"),4))/(VLOOKUP(CB$72,INDIRECT($C$5&amp;"生成成长"),5))*(VLOOKUP($B$5,标准坦克设计!$B$24:$U$30,MATCH("对"&amp;LEFT($C$5,2)&amp;"输出",标准坦克设计!$B$23:$U$23,0)))*(VLOOKUP($B74,INDIRECT($B$5&amp;"生成成长"),3))*(VLOOKUP($B$5,标准坦克设计!$B$14:$K$20,9)/30))</f>
        <v>45.088293503468563</v>
      </c>
      <c r="CC74" s="173">
        <f ca="1">(VLOOKUP(CC$72,INDIRECT($C$5&amp;"生成成长"),2))/((VLOOKUP($B74,INDIRECT($B$5&amp;"生成成长"),4))/(VLOOKUP(CC$72,INDIRECT($C$5&amp;"生成成长"),5))*(VLOOKUP($B$5,标准坦克设计!$B$24:$U$30,MATCH("对"&amp;LEFT($C$5,2)&amp;"输出",标准坦克设计!$B$23:$U$23,0)))*(VLOOKUP($B74,INDIRECT($B$5&amp;"生成成长"),3))*(VLOOKUP($B$5,标准坦克设计!$B$14:$K$20,9)/30))</f>
        <v>48.973485345174623</v>
      </c>
      <c r="CD74" s="173">
        <f ca="1">(VLOOKUP(CD$72,INDIRECT($C$5&amp;"生成成长"),2))/((VLOOKUP($B74,INDIRECT($B$5&amp;"生成成长"),4))/(VLOOKUP(CD$72,INDIRECT($C$5&amp;"生成成长"),5))*(VLOOKUP($B$5,标准坦克设计!$B$24:$U$30,MATCH("对"&amp;LEFT($C$5,2)&amp;"输出",标准坦克设计!$B$23:$U$23,0)))*(VLOOKUP($B74,INDIRECT($B$5&amp;"生成成长"),3))*(VLOOKUP($B$5,标准坦克设计!$B$14:$K$20,9)/30))</f>
        <v>53.019222304306567</v>
      </c>
      <c r="CE74" s="173">
        <f ca="1">(VLOOKUP(CE$72,INDIRECT($C$5&amp;"生成成长"),2))/((VLOOKUP($B74,INDIRECT($B$5&amp;"生成成长"),4))/(VLOOKUP(CE$72,INDIRECT($C$5&amp;"生成成长"),5))*(VLOOKUP($B$5,标准坦克设计!$B$24:$U$30,MATCH("对"&amp;LEFT($C$5,2)&amp;"输出",标准坦克设计!$B$23:$U$23,0)))*(VLOOKUP($B74,INDIRECT($B$5&amp;"生成成长"),3))*(VLOOKUP($B$5,标准坦克设计!$B$14:$K$20,9)/30))</f>
        <v>57.225504380864351</v>
      </c>
      <c r="CF74" s="173">
        <f ca="1">(VLOOKUP(CF$72,INDIRECT($C$5&amp;"生成成长"),2))/((VLOOKUP($B74,INDIRECT($B$5&amp;"生成成长"),4))/(VLOOKUP(CF$72,INDIRECT($C$5&amp;"生成成长"),5))*(VLOOKUP($B$5,标准坦克设计!$B$24:$U$30,MATCH("对"&amp;LEFT($C$5,2)&amp;"输出",标准坦克设计!$B$23:$U$23,0)))*(VLOOKUP($B74,INDIRECT($B$5&amp;"生成成长"),3))*(VLOOKUP($B$5,标准坦克设计!$B$14:$K$20,9)/30))</f>
        <v>61.592331574848032</v>
      </c>
      <c r="CG74" s="173">
        <f ca="1">(VLOOKUP(CG$72,INDIRECT($C$5&amp;"生成成长"),2))/((VLOOKUP($B74,INDIRECT($B$5&amp;"生成成长"),4))/(VLOOKUP(CG$72,INDIRECT($C$5&amp;"生成成长"),5))*(VLOOKUP($B$5,标准坦克设计!$B$24:$U$30,MATCH("对"&amp;LEFT($C$5,2)&amp;"输出",标准坦克设计!$B$23:$U$23,0)))*(VLOOKUP($B74,INDIRECT($B$5&amp;"生成成长"),3))*(VLOOKUP($B$5,标准坦克设计!$B$14:$K$20,9)/30))</f>
        <v>66.119703886257582</v>
      </c>
      <c r="CH74" s="173">
        <f ca="1">(VLOOKUP(CH$72,INDIRECT($C$5&amp;"生成成长"),2))/((VLOOKUP($B74,INDIRECT($B$5&amp;"生成成长"),4))/(VLOOKUP(CH$72,INDIRECT($C$5&amp;"生成成长"),5))*(VLOOKUP($B$5,标准坦克设计!$B$24:$U$30,MATCH("对"&amp;LEFT($C$5,2)&amp;"输出",标准坦克设计!$B$23:$U$23,0)))*(VLOOKUP($B74,INDIRECT($B$5&amp;"生成成长"),3))*(VLOOKUP($B$5,标准坦克设计!$B$14:$K$20,9)/30))</f>
        <v>70.807621315093002</v>
      </c>
      <c r="CI74" s="173">
        <f ca="1">(VLOOKUP(CI$72,INDIRECT($C$5&amp;"生成成长"),2))/((VLOOKUP($B74,INDIRECT($B$5&amp;"生成成长"),4))/(VLOOKUP(CI$72,INDIRECT($C$5&amp;"生成成长"),5))*(VLOOKUP($B$5,标准坦克设计!$B$24:$U$30,MATCH("对"&amp;LEFT($C$5,2)&amp;"输出",标准坦克设计!$B$23:$U$23,0)))*(VLOOKUP($B74,INDIRECT($B$5&amp;"生成成长"),3))*(VLOOKUP($B$5,标准坦克设计!$B$14:$K$20,9)/30))</f>
        <v>76.149760097438829</v>
      </c>
      <c r="CJ74" s="173">
        <f ca="1">(VLOOKUP(CJ$72,INDIRECT($C$5&amp;"生成成长"),2))/((VLOOKUP($B74,INDIRECT($B$5&amp;"生成成长"),4))/(VLOOKUP(CJ$72,INDIRECT($C$5&amp;"生成成长"),5))*(VLOOKUP($B$5,标准坦克设计!$B$24:$U$30,MATCH("对"&amp;LEFT($C$5,2)&amp;"输出",标准坦克设计!$B$23:$U$23,0)))*(VLOOKUP($B74,INDIRECT($B$5&amp;"生成成长"),3))*(VLOOKUP($B$5,标准坦克设计!$B$14:$K$20,9)/30))</f>
        <v>81.686158471869973</v>
      </c>
      <c r="CK74" s="173">
        <f ca="1">(VLOOKUP(CK$72,INDIRECT($C$5&amp;"生成成长"),2))/((VLOOKUP($B74,INDIRECT($B$5&amp;"生成成长"),4))/(VLOOKUP(CK$72,INDIRECT($C$5&amp;"生成成长"),5))*(VLOOKUP($B$5,标准坦克设计!$B$24:$U$30,MATCH("对"&amp;LEFT($C$5,2)&amp;"输出",标准坦克设计!$B$23:$U$23,0)))*(VLOOKUP($B74,INDIRECT($B$5&amp;"生成成长"),3))*(VLOOKUP($B$5,标准坦克设计!$B$14:$K$20,9)/30))</f>
        <v>87.416816438386434</v>
      </c>
      <c r="CL74" s="173">
        <f ca="1">(VLOOKUP(CL$72,INDIRECT($C$5&amp;"生成成长"),2))/((VLOOKUP($B74,INDIRECT($B$5&amp;"生成成长"),4))/(VLOOKUP(CL$72,INDIRECT($C$5&amp;"生成成长"),5))*(VLOOKUP($B$5,标准坦克设计!$B$24:$U$30,MATCH("对"&amp;LEFT($C$5,2)&amp;"输出",标准坦克设计!$B$23:$U$23,0)))*(VLOOKUP($B74,INDIRECT($B$5&amp;"生成成长"),3))*(VLOOKUP($B$5,标准坦克设计!$B$14:$K$20,9)/30))</f>
        <v>93.34173399698814</v>
      </c>
      <c r="CM74" s="173">
        <f ca="1">(VLOOKUP(CM$72,INDIRECT($C$5&amp;"生成成长"),2))/((VLOOKUP($B74,INDIRECT($B$5&amp;"生成成长"),4))/(VLOOKUP(CM$72,INDIRECT($C$5&amp;"生成成长"),5))*(VLOOKUP($B$5,标准坦克设计!$B$24:$U$30,MATCH("对"&amp;LEFT($C$5,2)&amp;"输出",标准坦克设计!$B$23:$U$23,0)))*(VLOOKUP($B74,INDIRECT($B$5&amp;"生成成长"),3))*(VLOOKUP($B$5,标准坦克设计!$B$14:$K$20,9)/30))</f>
        <v>99.460911147675205</v>
      </c>
      <c r="CN74" s="173">
        <f ca="1">(VLOOKUP(CN$72,INDIRECT($C$5&amp;"生成成长"),2))/((VLOOKUP($B74,INDIRECT($B$5&amp;"生成成长"),4))/(VLOOKUP(CN$72,INDIRECT($C$5&amp;"生成成长"),5))*(VLOOKUP($B$5,标准坦克设计!$B$24:$U$30,MATCH("对"&amp;LEFT($C$5,2)&amp;"输出",标准坦克设计!$B$23:$U$23,0)))*(VLOOKUP($B74,INDIRECT($B$5&amp;"生成成长"),3))*(VLOOKUP($B$5,标准坦克设计!$B$14:$K$20,9)/30))</f>
        <v>105.77434789044756</v>
      </c>
      <c r="CO74" s="173">
        <f ca="1">(VLOOKUP(CO$72,INDIRECT($C$5&amp;"生成成长"),2))/((VLOOKUP($B74,INDIRECT($B$5&amp;"生成成长"),4))/(VLOOKUP(CO$72,INDIRECT($C$5&amp;"生成成长"),5))*(VLOOKUP($B$5,标准坦克设计!$B$24:$U$30,MATCH("对"&amp;LEFT($C$5,2)&amp;"输出",标准坦克设计!$B$23:$U$23,0)))*(VLOOKUP($B74,INDIRECT($B$5&amp;"生成成长"),3))*(VLOOKUP($B$5,标准坦克设计!$B$14:$K$20,9)/30))</f>
        <v>47.400143194401089</v>
      </c>
      <c r="CP74" s="173">
        <f ca="1">(VLOOKUP(CP$72,INDIRECT($C$5&amp;"生成成长"),2))/((VLOOKUP($B74,INDIRECT($B$5&amp;"生成成长"),4))/(VLOOKUP(CP$72,INDIRECT($C$5&amp;"生成成长"),5))*(VLOOKUP($B$5,标准坦克设计!$B$24:$U$30,MATCH("对"&amp;LEFT($C$5,2)&amp;"输出",标准坦克设计!$B$23:$U$23,0)))*(VLOOKUP($B74,INDIRECT($B$5&amp;"生成成长"),3))*(VLOOKUP($B$5,标准坦克设计!$B$14:$K$20,9)/30))</f>
        <v>51.788643979237271</v>
      </c>
      <c r="CQ74" s="173">
        <f ca="1">(VLOOKUP(CQ$72,INDIRECT($C$5&amp;"生成成长"),2))/((VLOOKUP($B74,INDIRECT($B$5&amp;"生成成长"),4))/(VLOOKUP(CQ$72,INDIRECT($C$5&amp;"生成成长"),5))*(VLOOKUP($B$5,标准坦克设计!$B$24:$U$30,MATCH("对"&amp;LEFT($C$5,2)&amp;"输出",标准坦克设计!$B$23:$U$23,0)))*(VLOOKUP($B74,INDIRECT($B$5&amp;"生成成长"),3))*(VLOOKUP($B$5,标准坦克设计!$B$14:$K$20,9)/30))</f>
        <v>56.371404356158742</v>
      </c>
      <c r="CR74" s="173">
        <f ca="1">(VLOOKUP(CR$72,INDIRECT($C$5&amp;"生成成长"),2))/((VLOOKUP($B74,INDIRECT($B$5&amp;"生成成长"),4))/(VLOOKUP(CR$72,INDIRECT($C$5&amp;"生成成长"),5))*(VLOOKUP($B$5,标准坦克设计!$B$24:$U$30,MATCH("对"&amp;LEFT($C$5,2)&amp;"输出",标准坦克设计!$B$23:$U$23,0)))*(VLOOKUP($B74,INDIRECT($B$5&amp;"生成成长"),3))*(VLOOKUP($B$5,标准坦克设计!$B$14:$K$20,9)/30))</f>
        <v>61.1484243251655</v>
      </c>
      <c r="CS74" s="173">
        <f ca="1">(VLOOKUP(CS$72,INDIRECT($C$5&amp;"生成成长"),2))/((VLOOKUP($B74,INDIRECT($B$5&amp;"生成成长"),4))/(VLOOKUP(CS$72,INDIRECT($C$5&amp;"生成成长"),5))*(VLOOKUP($B$5,标准坦克设计!$B$24:$U$30,MATCH("对"&amp;LEFT($C$5,2)&amp;"输出",标准坦克设计!$B$23:$U$23,0)))*(VLOOKUP($B74,INDIRECT($B$5&amp;"生成成长"),3))*(VLOOKUP($B$5,标准坦克设计!$B$14:$K$20,9)/30))</f>
        <v>66.119703886257582</v>
      </c>
      <c r="CT74" s="173">
        <f ca="1">(VLOOKUP(CT$72,INDIRECT($C$5&amp;"生成成长"),2))/((VLOOKUP($B74,INDIRECT($B$5&amp;"生成成长"),4))/(VLOOKUP(CT$72,INDIRECT($C$5&amp;"生成成长"),5))*(VLOOKUP($B$5,标准坦克设计!$B$24:$U$30,MATCH("对"&amp;LEFT($C$5,2)&amp;"输出",标准坦克设计!$B$23:$U$23,0)))*(VLOOKUP($B74,INDIRECT($B$5&amp;"生成成长"),3))*(VLOOKUP($B$5,标准坦克设计!$B$14:$K$20,9)/30))</f>
        <v>71.28524303943496</v>
      </c>
      <c r="CU74" s="173">
        <f ca="1">(VLOOKUP(CU$72,INDIRECT($C$5&amp;"生成成长"),2))/((VLOOKUP($B74,INDIRECT($B$5&amp;"生成成长"),4))/(VLOOKUP(CU$72,INDIRECT($C$5&amp;"生成成长"),5))*(VLOOKUP($B$5,标准坦克设计!$B$24:$U$30,MATCH("对"&amp;LEFT($C$5,2)&amp;"输出",标准坦克设计!$B$23:$U$23,0)))*(VLOOKUP($B74,INDIRECT($B$5&amp;"生成成长"),3))*(VLOOKUP($B$5,标准坦克设计!$B$14:$K$20,9)/30))</f>
        <v>76.645041784697668</v>
      </c>
      <c r="CV74" s="173">
        <f ca="1">(VLOOKUP(CV$72,INDIRECT($C$5&amp;"生成成长"),2))/((VLOOKUP($B74,INDIRECT($B$5&amp;"生成成长"),4))/(VLOOKUP(CV$72,INDIRECT($C$5&amp;"生成成长"),5))*(VLOOKUP($B$5,标准坦克设计!$B$24:$U$30,MATCH("对"&amp;LEFT($C$5,2)&amp;"输出",标准坦克设计!$B$23:$U$23,0)))*(VLOOKUP($B74,INDIRECT($B$5&amp;"生成成长"),3))*(VLOOKUP($B$5,标准坦克设计!$B$14:$K$20,9)/30))</f>
        <v>82.199100122045621</v>
      </c>
      <c r="CW74" s="173">
        <f ca="1">(VLOOKUP(CW$72,INDIRECT($C$5&amp;"生成成长"),2))/((VLOOKUP($B74,INDIRECT($B$5&amp;"生成成长"),4))/(VLOOKUP(CW$72,INDIRECT($C$5&amp;"生成成长"),5))*(VLOOKUP($B$5,标准坦克设计!$B$24:$U$30,MATCH("对"&amp;LEFT($C$5,2)&amp;"输出",标准坦克设计!$B$23:$U$23,0)))*(VLOOKUP($B74,INDIRECT($B$5&amp;"生成成长"),3))*(VLOOKUP($B$5,标准坦克设计!$B$14:$K$20,9)/30))</f>
        <v>87.947418051478934</v>
      </c>
      <c r="CX74" s="173">
        <f ca="1">(VLOOKUP(CX$72,INDIRECT($C$5&amp;"生成成长"),2))/((VLOOKUP($B74,INDIRECT($B$5&amp;"生成成长"),4))/(VLOOKUP(CX$72,INDIRECT($C$5&amp;"生成成长"),5))*(VLOOKUP($B$5,标准坦克设计!$B$24:$U$30,MATCH("对"&amp;LEFT($C$5,2)&amp;"输出",标准坦克设计!$B$23:$U$23,0)))*(VLOOKUP($B74,INDIRECT($B$5&amp;"生成成长"),3))*(VLOOKUP($B$5,标准坦克设计!$B$14:$K$20,9)/30))</f>
        <v>93.889995572997506</v>
      </c>
      <c r="CY74" s="173">
        <f ca="1">(VLOOKUP(CY$72,INDIRECT($C$5&amp;"生成成长"),2))/((VLOOKUP($B74,INDIRECT($B$5&amp;"生成成长"),4))/(VLOOKUP(CY$72,INDIRECT($C$5&amp;"生成成长"),5))*(VLOOKUP($B$5,标准坦克设计!$B$24:$U$30,MATCH("对"&amp;LEFT($C$5,2)&amp;"输出",标准坦克设计!$B$23:$U$23,0)))*(VLOOKUP($B74,INDIRECT($B$5&amp;"生成成长"),3))*(VLOOKUP($B$5,标准坦克设计!$B$14:$K$20,9)/30))</f>
        <v>100.02683268660138</v>
      </c>
      <c r="CZ74" s="173">
        <f ca="1">(VLOOKUP(CZ$72,INDIRECT($C$5&amp;"生成成长"),2))/((VLOOKUP($B74,INDIRECT($B$5&amp;"生成成长"),4))/(VLOOKUP(CZ$72,INDIRECT($C$5&amp;"生成成长"),5))*(VLOOKUP($B$5,标准坦克设计!$B$24:$U$30,MATCH("对"&amp;LEFT($C$5,2)&amp;"输出",标准坦克设计!$B$23:$U$23,0)))*(VLOOKUP($B74,INDIRECT($B$5&amp;"生成成长"),3))*(VLOOKUP($B$5,标准坦克设计!$B$14:$K$20,9)/30))</f>
        <v>106.35792939229059</v>
      </c>
      <c r="DA74" s="173">
        <f ca="1">(VLOOKUP(DA$72,INDIRECT($C$5&amp;"生成成长"),2))/((VLOOKUP($B74,INDIRECT($B$5&amp;"生成成长"),4))/(VLOOKUP(DA$72,INDIRECT($C$5&amp;"生成成长"),5))*(VLOOKUP($B$5,标准坦克设计!$B$24:$U$30,MATCH("对"&amp;LEFT($C$5,2)&amp;"输出",标准坦克设计!$B$23:$U$23,0)))*(VLOOKUP($B74,INDIRECT($B$5&amp;"生成成长"),3))*(VLOOKUP($B$5,标准坦克设计!$B$14:$K$20,9)/30))</f>
        <v>112.88328569006509</v>
      </c>
      <c r="DB74" s="173">
        <f ca="1">(VLOOKUP(DB$72,INDIRECT($C$5&amp;"生成成长"),2))/((VLOOKUP($B74,INDIRECT($B$5&amp;"生成成长"),4))/(VLOOKUP(DB$72,INDIRECT($C$5&amp;"生成成长"),5))*(VLOOKUP($B$5,标准坦克设计!$B$24:$U$30,MATCH("对"&amp;LEFT($C$5,2)&amp;"输出",标准坦克设计!$B$23:$U$23,0)))*(VLOOKUP($B74,INDIRECT($B$5&amp;"生成成长"),3))*(VLOOKUP($B$5,标准坦克设计!$B$14:$K$20,9)/30))</f>
        <v>119.60290157992492</v>
      </c>
      <c r="DC74" s="173">
        <f ca="1">(VLOOKUP(DC$72,INDIRECT($C$5&amp;"生成成长"),2))/((VLOOKUP($B74,INDIRECT($B$5&amp;"生成成长"),4))/(VLOOKUP(DC$72,INDIRECT($C$5&amp;"生成成长"),5))*(VLOOKUP($B$5,标准坦克设计!$B$24:$U$30,MATCH("对"&amp;LEFT($C$5,2)&amp;"输出",标准坦克设计!$B$23:$U$23,0)))*(VLOOKUP($B74,INDIRECT($B$5&amp;"生成成长"),3))*(VLOOKUP($B$5,标准坦克设计!$B$14:$K$20,9)/30))</f>
        <v>127.15494390363786</v>
      </c>
      <c r="DD74" s="173">
        <f ca="1">(VLOOKUP(DD$72,INDIRECT($C$5&amp;"生成成长"),2))/((VLOOKUP($B74,INDIRECT($B$5&amp;"生成成长"),4))/(VLOOKUP(DD$72,INDIRECT($C$5&amp;"生成成长"),5))*(VLOOKUP($B$5,标准坦克设计!$B$24:$U$30,MATCH("对"&amp;LEFT($C$5,2)&amp;"输出",标准坦克设计!$B$23:$U$23,0)))*(VLOOKUP($B74,INDIRECT($B$5&amp;"生成成长"),3))*(VLOOKUP($B$5,标准坦克设计!$B$14:$K$20,9)/30))</f>
        <v>134.93817119644402</v>
      </c>
      <c r="DE74" s="173">
        <f ca="1">(VLOOKUP(DE$72,INDIRECT($C$5&amp;"生成成长"),2))/((VLOOKUP($B74,INDIRECT($B$5&amp;"生成成长"),4))/(VLOOKUP(DE$72,INDIRECT($C$5&amp;"生成成长"),5))*(VLOOKUP($B$5,标准坦克设计!$B$24:$U$30,MATCH("对"&amp;LEFT($C$5,2)&amp;"输出",标准坦克设计!$B$23:$U$23,0)))*(VLOOKUP($B74,INDIRECT($B$5&amp;"生成成长"),3))*(VLOOKUP($B$5,标准坦克设计!$B$14:$K$20,9)/30))</f>
        <v>142.9525834583435</v>
      </c>
      <c r="DF74" s="173">
        <f ca="1">(VLOOKUP(DF$72,INDIRECT($C$5&amp;"生成成长"),2))/((VLOOKUP($B74,INDIRECT($B$5&amp;"生成成长"),4))/(VLOOKUP(DF$72,INDIRECT($C$5&amp;"生成成长"),5))*(VLOOKUP($B$5,标准坦克设计!$B$24:$U$30,MATCH("对"&amp;LEFT($C$5,2)&amp;"输出",标准坦克设计!$B$23:$U$23,0)))*(VLOOKUP($B74,INDIRECT($B$5&amp;"生成成长"),3))*(VLOOKUP($B$5,标准坦克设计!$B$14:$K$20,9)/30))</f>
        <v>151.1981806893362</v>
      </c>
      <c r="DG74" s="173">
        <f ca="1">(VLOOKUP(DG$72,INDIRECT($C$5&amp;"生成成长"),2))/((VLOOKUP($B74,INDIRECT($B$5&amp;"生成成长"),4))/(VLOOKUP(DG$72,INDIRECT($C$5&amp;"生成成长"),5))*(VLOOKUP($B$5,标准坦克设计!$B$24:$U$30,MATCH("对"&amp;LEFT($C$5,2)&amp;"输出",标准坦克设计!$B$23:$U$23,0)))*(VLOOKUP($B74,INDIRECT($B$5&amp;"生成成长"),3))*(VLOOKUP($B$5,标准坦克设计!$B$14:$K$20,9)/30))</f>
        <v>159.67496288942215</v>
      </c>
      <c r="DH74" s="173">
        <f ca="1">(VLOOKUP(DH$72,INDIRECT($C$5&amp;"生成成长"),2))/((VLOOKUP($B74,INDIRECT($B$5&amp;"生成成长"),4))/(VLOOKUP(DH$72,INDIRECT($C$5&amp;"生成成长"),5))*(VLOOKUP($B$5,标准坦克设计!$B$24:$U$30,MATCH("对"&amp;LEFT($C$5,2)&amp;"输出",标准坦克设计!$B$23:$U$23,0)))*(VLOOKUP($B74,INDIRECT($B$5&amp;"生成成长"),3))*(VLOOKUP($B$5,标准坦克设计!$B$14:$K$20,9)/30))</f>
        <v>168.38293005860135</v>
      </c>
      <c r="DI74" s="173">
        <f ca="1">(VLOOKUP(DI$72,INDIRECT($C$5&amp;"生成成长"),2))/((VLOOKUP($B74,INDIRECT($B$5&amp;"生成成长"),4))/(VLOOKUP(DI$72,INDIRECT($C$5&amp;"生成成长"),5))*(VLOOKUP($B$5,标准坦克设计!$B$24:$U$30,MATCH("对"&amp;LEFT($C$5,2)&amp;"输出",标准坦克设计!$B$23:$U$23,0)))*(VLOOKUP($B74,INDIRECT($B$5&amp;"生成成长"),3))*(VLOOKUP($B$5,标准坦克设计!$B$14:$K$20,9)/30))</f>
        <v>177.32208219687385</v>
      </c>
      <c r="DJ74" s="173">
        <f ca="1">(VLOOKUP(DJ$72,INDIRECT($C$5&amp;"生成成长"),2))/((VLOOKUP($B74,INDIRECT($B$5&amp;"生成成长"),4))/(VLOOKUP(DJ$72,INDIRECT($C$5&amp;"生成成长"),5))*(VLOOKUP($B$5,标准坦克设计!$B$24:$U$30,MATCH("对"&amp;LEFT($C$5,2)&amp;"输出",标准坦克设计!$B$23:$U$23,0)))*(VLOOKUP($B74,INDIRECT($B$5&amp;"生成成长"),3))*(VLOOKUP($B$5,标准坦克设计!$B$14:$K$20,9)/30))</f>
        <v>17.82131075985874</v>
      </c>
      <c r="DK74" s="173">
        <f ca="1">(VLOOKUP(DK$72,INDIRECT($C$5&amp;"生成成长"),2))/((VLOOKUP($B74,INDIRECT($B$5&amp;"生成成长"),4))/(VLOOKUP(DK$72,INDIRECT($C$5&amp;"生成成长"),5))*(VLOOKUP($B$5,标准坦克设计!$B$24:$U$30,MATCH("对"&amp;LEFT($C$5,2)&amp;"输出",标准坦克设计!$B$23:$U$23,0)))*(VLOOKUP($B74,INDIRECT($B$5&amp;"生成成长"),3))*(VLOOKUP($B$5,标准坦克设计!$B$14:$K$20,9)/30))</f>
        <v>20.039241557097142</v>
      </c>
      <c r="DL74" s="173">
        <f ca="1">(VLOOKUP(DL$72,INDIRECT($C$5&amp;"生成成长"),2))/((VLOOKUP($B74,INDIRECT($B$5&amp;"生成成长"),4))/(VLOOKUP(DL$72,INDIRECT($C$5&amp;"生成成长"),5))*(VLOOKUP($B$5,标准坦克设计!$B$24:$U$30,MATCH("对"&amp;LEFT($C$5,2)&amp;"输出",标准坦克设计!$B$23:$U$23,0)))*(VLOOKUP($B74,INDIRECT($B$5&amp;"生成成长"),3))*(VLOOKUP($B$5,标准坦克设计!$B$14:$K$20,9)/30))</f>
        <v>22.387213899450494</v>
      </c>
      <c r="DM74" s="173">
        <f ca="1">(VLOOKUP(DM$72,INDIRECT($C$5&amp;"生成成长"),2))/((VLOOKUP($B74,INDIRECT($B$5&amp;"生成成长"),4))/(VLOOKUP(DM$72,INDIRECT($C$5&amp;"生成成长"),5))*(VLOOKUP($B$5,标准坦克设计!$B$24:$U$30,MATCH("对"&amp;LEFT($C$5,2)&amp;"输出",标准坦克设计!$B$23:$U$23,0)))*(VLOOKUP($B74,INDIRECT($B$5&amp;"生成成长"),3))*(VLOOKUP($B$5,标准坦克设计!$B$14:$K$20,9)/30))</f>
        <v>24.865227786918801</v>
      </c>
      <c r="DN74" s="173">
        <f ca="1">(VLOOKUP(DN$72,INDIRECT($C$5&amp;"生成成长"),2))/((VLOOKUP($B74,INDIRECT($B$5&amp;"生成成长"),4))/(VLOOKUP(DN$72,INDIRECT($C$5&amp;"生成成长"),5))*(VLOOKUP($B$5,标准坦克设计!$B$24:$U$30,MATCH("对"&amp;LEFT($C$5,2)&amp;"输出",标准坦克设计!$B$23:$U$23,0)))*(VLOOKUP($B74,INDIRECT($B$5&amp;"生成成长"),3))*(VLOOKUP($B$5,标准坦克设计!$B$14:$K$20,9)/30))</f>
        <v>27.473283219502068</v>
      </c>
      <c r="DO74" s="173">
        <f ca="1">(VLOOKUP(DO$72,INDIRECT($C$5&amp;"生成成长"),2))/((VLOOKUP($B74,INDIRECT($B$5&amp;"生成成长"),4))/(VLOOKUP(DO$72,INDIRECT($C$5&amp;"生成成长"),5))*(VLOOKUP($B$5,标准坦克设计!$B$24:$U$30,MATCH("对"&amp;LEFT($C$5,2)&amp;"输出",标准坦克设计!$B$23:$U$23,0)))*(VLOOKUP($B74,INDIRECT($B$5&amp;"生成成长"),3))*(VLOOKUP($B$5,标准坦克设计!$B$14:$K$20,9)/30))</f>
        <v>30.211380197200288</v>
      </c>
      <c r="DP74" s="173">
        <f ca="1">(VLOOKUP(DP$72,INDIRECT($C$5&amp;"生成成长"),2))/((VLOOKUP($B74,INDIRECT($B$5&amp;"生成成长"),4))/(VLOOKUP(DP$72,INDIRECT($C$5&amp;"生成成长"),5))*(VLOOKUP($B$5,标准坦克设计!$B$24:$U$30,MATCH("对"&amp;LEFT($C$5,2)&amp;"输出",标准坦克设计!$B$23:$U$23,0)))*(VLOOKUP($B74,INDIRECT($B$5&amp;"生成成长"),3))*(VLOOKUP($B$5,标准坦克设计!$B$14:$K$20,9)/30))</f>
        <v>33.079518720013454</v>
      </c>
      <c r="DQ74" s="173">
        <f ca="1">(VLOOKUP(DQ$72,INDIRECT($C$5&amp;"生成成长"),2))/((VLOOKUP($B74,INDIRECT($B$5&amp;"生成成长"),4))/(VLOOKUP(DQ$72,INDIRECT($C$5&amp;"生成成长"),5))*(VLOOKUP($B$5,标准坦克设计!$B$24:$U$30,MATCH("对"&amp;LEFT($C$5,2)&amp;"输出",标准坦克设计!$B$23:$U$23,0)))*(VLOOKUP($B74,INDIRECT($B$5&amp;"生成成长"),3))*(VLOOKUP($B$5,标准坦克设计!$B$14:$K$20,9)/30))</f>
        <v>36.077698787941586</v>
      </c>
      <c r="DR74" s="173">
        <f ca="1">(VLOOKUP(DR$72,INDIRECT($C$5&amp;"生成成长"),2))/((VLOOKUP($B74,INDIRECT($B$5&amp;"生成成长"),4))/(VLOOKUP(DR$72,INDIRECT($C$5&amp;"生成成长"),5))*(VLOOKUP($B$5,标准坦克设计!$B$24:$U$30,MATCH("对"&amp;LEFT($C$5,2)&amp;"输出",标准坦克设计!$B$23:$U$23,0)))*(VLOOKUP($B74,INDIRECT($B$5&amp;"生成成长"),3))*(VLOOKUP($B$5,标准坦克设计!$B$14:$K$20,9)/30))</f>
        <v>39.205920400984667</v>
      </c>
      <c r="DS74" s="173">
        <f ca="1">(VLOOKUP(DS$72,INDIRECT($C$5&amp;"生成成长"),2))/((VLOOKUP($B74,INDIRECT($B$5&amp;"生成成长"),4))/(VLOOKUP(DS$72,INDIRECT($C$5&amp;"生成成长"),5))*(VLOOKUP($B$5,标准坦克设计!$B$24:$U$30,MATCH("对"&amp;LEFT($C$5,2)&amp;"输出",标准坦克设计!$B$23:$U$23,0)))*(VLOOKUP($B74,INDIRECT($B$5&amp;"生成成长"),3))*(VLOOKUP($B$5,标准坦克设计!$B$14:$K$20,9)/30))</f>
        <v>42.464183559142718</v>
      </c>
      <c r="DT74" s="173">
        <f ca="1">(VLOOKUP(DT$72,INDIRECT($C$5&amp;"生成成长"),2))/((VLOOKUP($B74,INDIRECT($B$5&amp;"生成成长"),4))/(VLOOKUP(DT$72,INDIRECT($C$5&amp;"生成成长"),5))*(VLOOKUP($B$5,标准坦克设计!$B$24:$U$30,MATCH("对"&amp;LEFT($C$5,2)&amp;"输出",标准坦克设计!$B$23:$U$23,0)))*(VLOOKUP($B74,INDIRECT($B$5&amp;"生成成长"),3))*(VLOOKUP($B$5,标准坦克设计!$B$14:$K$20,9)/30))</f>
        <v>46.623104826059887</v>
      </c>
      <c r="DU74" s="173">
        <f ca="1">(VLOOKUP(DU$72,INDIRECT($C$5&amp;"生成成长"),2))/((VLOOKUP($B74,INDIRECT($B$5&amp;"生成成长"),4))/(VLOOKUP(DU$72,INDIRECT($C$5&amp;"生成成长"),5))*(VLOOKUP($B$5,标准坦克设计!$B$24:$U$30,MATCH("对"&amp;LEFT($C$5,2)&amp;"输出",标准坦克设计!$B$23:$U$23,0)))*(VLOOKUP($B74,INDIRECT($B$5&amp;"生成成长"),3))*(VLOOKUP($B$5,标准坦克设计!$B$14:$K$20,9)/30))</f>
        <v>50.976285685062365</v>
      </c>
      <c r="DV74" s="173">
        <f ca="1">(VLOOKUP(DV$72,INDIRECT($C$5&amp;"生成成长"),2))/((VLOOKUP($B74,INDIRECT($B$5&amp;"生成成长"),4))/(VLOOKUP(DV$72,INDIRECT($C$5&amp;"生成成长"),5))*(VLOOKUP($B$5,标准坦克设计!$B$24:$U$30,MATCH("对"&amp;LEFT($C$5,2)&amp;"输出",标准坦克设计!$B$23:$U$23,0)))*(VLOOKUP($B74,INDIRECT($B$5&amp;"生成成长"),3))*(VLOOKUP($B$5,标准坦克设计!$B$14:$K$20,9)/30))</f>
        <v>55.523726136150145</v>
      </c>
      <c r="DW74" s="173">
        <f ca="1">(VLOOKUP(DW$72,INDIRECT($C$5&amp;"生成成长"),2))/((VLOOKUP($B74,INDIRECT($B$5&amp;"生成成长"),4))/(VLOOKUP(DW$72,INDIRECT($C$5&amp;"生成成长"),5))*(VLOOKUP($B$5,标准坦克设计!$B$24:$U$30,MATCH("对"&amp;LEFT($C$5,2)&amp;"输出",标准坦克设计!$B$23:$U$23,0)))*(VLOOKUP($B74,INDIRECT($B$5&amp;"生成成长"),3))*(VLOOKUP($B$5,标准坦克设计!$B$14:$K$20,9)/30))</f>
        <v>60.265426179323214</v>
      </c>
      <c r="DX74" s="173">
        <f ca="1">(VLOOKUP(DX$72,INDIRECT($C$5&amp;"生成成长"),2))/((VLOOKUP($B74,INDIRECT($B$5&amp;"生成成长"),4))/(VLOOKUP(DX$72,INDIRECT($C$5&amp;"生成成长"),5))*(VLOOKUP($B$5,标准坦克设计!$B$24:$U$30,MATCH("对"&amp;LEFT($C$5,2)&amp;"输出",标准坦克设计!$B$23:$U$23,0)))*(VLOOKUP($B74,INDIRECT($B$5&amp;"生成成长"),3))*(VLOOKUP($B$5,标准坦克设计!$B$14:$K$20,9)/30))</f>
        <v>65.201385814581599</v>
      </c>
      <c r="DY74" s="173">
        <f ca="1">(VLOOKUP(DY$72,INDIRECT($C$5&amp;"生成成长"),2))/((VLOOKUP($B74,INDIRECT($B$5&amp;"生成成长"),4))/(VLOOKUP(DY$72,INDIRECT($C$5&amp;"生成成长"),5))*(VLOOKUP($B$5,标准坦克设计!$B$24:$U$30,MATCH("对"&amp;LEFT($C$5,2)&amp;"输出",标准坦克设计!$B$23:$U$23,0)))*(VLOOKUP($B74,INDIRECT($B$5&amp;"生成成长"),3))*(VLOOKUP($B$5,标准坦克设计!$B$14:$K$20,9)/30))</f>
        <v>29.284232144065882</v>
      </c>
      <c r="DZ74" s="173">
        <f ca="1">(VLOOKUP(DZ$72,INDIRECT($C$5&amp;"生成成长"),2))/((VLOOKUP($B74,INDIRECT($B$5&amp;"生成成长"),4))/(VLOOKUP(DZ$72,INDIRECT($C$5&amp;"生成成长"),5))*(VLOOKUP($B$5,标准坦克设计!$B$24:$U$30,MATCH("对"&amp;LEFT($C$5,2)&amp;"输出",标准坦克设计!$B$23:$U$23,0)))*(VLOOKUP($B74,INDIRECT($B$5&amp;"生成成长"),3))*(VLOOKUP($B$5,标准坦克设计!$B$14:$K$20,9)/30))</f>
        <v>32.430916445612944</v>
      </c>
      <c r="EA74" s="173">
        <f ca="1">(VLOOKUP(EA$72,INDIRECT($C$5&amp;"生成成长"),2))/((VLOOKUP($B74,INDIRECT($B$5&amp;"生成成长"),4))/(VLOOKUP(EA$72,INDIRECT($C$5&amp;"生成成长"),5))*(VLOOKUP($B$5,标准坦克设计!$B$24:$U$30,MATCH("对"&amp;LEFT($C$5,2)&amp;"输出",标准坦克设计!$B$23:$U$23,0)))*(VLOOKUP($B74,INDIRECT($B$5&amp;"生成成长"),3))*(VLOOKUP($B$5,标准坦克设计!$B$14:$K$20,9)/30))</f>
        <v>35.738145864585874</v>
      </c>
      <c r="EB74" s="173">
        <f ca="1">(VLOOKUP(EB$72,INDIRECT($C$5&amp;"生成成长"),2))/((VLOOKUP($B74,INDIRECT($B$5&amp;"生成成长"),4))/(VLOOKUP(EB$72,INDIRECT($C$5&amp;"生成成长"),5))*(VLOOKUP($B$5,标准坦克设计!$B$24:$U$30,MATCH("对"&amp;LEFT($C$5,2)&amp;"输出",标准坦克设计!$B$23:$U$23,0)))*(VLOOKUP($B74,INDIRECT($B$5&amp;"生成成长"),3))*(VLOOKUP($B$5,标准坦克设计!$B$14:$K$20,9)/30))</f>
        <v>39.205920400984667</v>
      </c>
      <c r="EC74" s="173">
        <f ca="1">(VLOOKUP(EC$72,INDIRECT($C$5&amp;"生成成长"),2))/((VLOOKUP($B74,INDIRECT($B$5&amp;"生成成长"),4))/(VLOOKUP(EC$72,INDIRECT($C$5&amp;"生成成长"),5))*(VLOOKUP($B$5,标准坦克设计!$B$24:$U$30,MATCH("对"&amp;LEFT($C$5,2)&amp;"输出",标准坦克设计!$B$23:$U$23,0)))*(VLOOKUP($B74,INDIRECT($B$5&amp;"生成成长"),3))*(VLOOKUP($B$5,标准坦克设计!$B$14:$K$20,9)/30))</f>
        <v>42.834240054809342</v>
      </c>
      <c r="ED74" s="173">
        <f ca="1">(VLOOKUP(ED$72,INDIRECT($C$5&amp;"生成成长"),2))/((VLOOKUP($B74,INDIRECT($B$5&amp;"生成成长"),4))/(VLOOKUP(ED$72,INDIRECT($C$5&amp;"生成成长"),5))*(VLOOKUP($B$5,标准坦克设计!$B$24:$U$30,MATCH("对"&amp;LEFT($C$5,2)&amp;"输出",标准坦克设计!$B$23:$U$23,0)))*(VLOOKUP($B74,INDIRECT($B$5&amp;"生成成长"),3))*(VLOOKUP($B$5,标准坦克设计!$B$14:$K$20,9)/30))</f>
        <v>46.623104826059887</v>
      </c>
      <c r="EE74" s="173">
        <f ca="1">(VLOOKUP(EE$72,INDIRECT($C$5&amp;"生成成长"),2))/((VLOOKUP($B74,INDIRECT($B$5&amp;"生成成长"),4))/(VLOOKUP(EE$72,INDIRECT($C$5&amp;"生成成长"),5))*(VLOOKUP($B$5,标准坦克设计!$B$24:$U$30,MATCH("对"&amp;LEFT($C$5,2)&amp;"输出",标准坦克设计!$B$23:$U$23,0)))*(VLOOKUP($B74,INDIRECT($B$5&amp;"生成成长"),3))*(VLOOKUP($B$5,标准坦克设计!$B$14:$K$20,9)/30))</f>
        <v>50.572514714736286</v>
      </c>
      <c r="EF74" s="173">
        <f ca="1">(VLOOKUP(EF$72,INDIRECT($C$5&amp;"生成成长"),2))/((VLOOKUP($B74,INDIRECT($B$5&amp;"生成成长"),4))/(VLOOKUP(EF$72,INDIRECT($C$5&amp;"生成成长"),5))*(VLOOKUP($B$5,标准坦克设计!$B$24:$U$30,MATCH("对"&amp;LEFT($C$5,2)&amp;"输出",标准坦克设计!$B$23:$U$23,0)))*(VLOOKUP($B74,INDIRECT($B$5&amp;"生成成长"),3))*(VLOOKUP($B$5,标准坦克设计!$B$14:$K$20,9)/30))</f>
        <v>54.682469720838583</v>
      </c>
      <c r="EG74" s="173">
        <f ca="1">(VLOOKUP(EG$72,INDIRECT($C$5&amp;"生成成长"),2))/((VLOOKUP($B74,INDIRECT($B$5&amp;"生成成长"),4))/(VLOOKUP(EG$72,INDIRECT($C$5&amp;"生成成长"),5))*(VLOOKUP($B$5,标准坦克设计!$B$24:$U$30,MATCH("对"&amp;LEFT($C$5,2)&amp;"输出",标准坦克设计!$B$23:$U$23,0)))*(VLOOKUP($B74,INDIRECT($B$5&amp;"生成成长"),3))*(VLOOKUP($B$5,标准坦克设计!$B$14:$K$20,9)/30))</f>
        <v>58.952969844366734</v>
      </c>
      <c r="EH74" s="173">
        <f ca="1">(VLOOKUP(EH$72,INDIRECT($C$5&amp;"生成成长"),2))/((VLOOKUP($B74,INDIRECT($B$5&amp;"生成成长"),4))/(VLOOKUP(EH$72,INDIRECT($C$5&amp;"生成成长"),5))*(VLOOKUP($B$5,标准坦克设计!$B$24:$U$30,MATCH("对"&amp;LEFT($C$5,2)&amp;"输出",标准坦克设计!$B$23:$U$23,0)))*(VLOOKUP($B74,INDIRECT($B$5&amp;"生成成长"),3))*(VLOOKUP($B$5,标准坦克设计!$B$14:$K$20,9)/30))</f>
        <v>63.384015085320733</v>
      </c>
      <c r="EI74" s="173">
        <f ca="1">(VLOOKUP(EI$72,INDIRECT($C$5&amp;"生成成长"),2))/((VLOOKUP($B74,INDIRECT($B$5&amp;"生成成长"),4))/(VLOOKUP(EI$72,INDIRECT($C$5&amp;"生成成长"),5))*(VLOOKUP($B$5,标准坦克设计!$B$24:$U$30,MATCH("对"&amp;LEFT($C$5,2)&amp;"输出",标准坦克设计!$B$23:$U$23,0)))*(VLOOKUP($B74,INDIRECT($B$5&amp;"生成成长"),3))*(VLOOKUP($B$5,标准坦克设计!$B$14:$K$20,9)/30))</f>
        <v>67.975605443700658</v>
      </c>
      <c r="EJ74" s="173">
        <f ca="1">(VLOOKUP(EJ$72,INDIRECT($C$5&amp;"生成成长"),2))/((VLOOKUP($B74,INDIRECT($B$5&amp;"生成成长"),4))/(VLOOKUP(EJ$72,INDIRECT($C$5&amp;"生成成长"),5))*(VLOOKUP($B$5,标准坦克设计!$B$24:$U$30,MATCH("对"&amp;LEFT($C$5,2)&amp;"输出",标准坦克设计!$B$23:$U$23,0)))*(VLOOKUP($B74,INDIRECT($B$5&amp;"生成成长"),3))*(VLOOKUP($B$5,标准坦克设计!$B$14:$K$20,9)/30))</f>
        <v>72.727740919506417</v>
      </c>
      <c r="EK74" s="173">
        <f ca="1">(VLOOKUP(EK$72,INDIRECT($C$5&amp;"生成成长"),2))/((VLOOKUP($B74,INDIRECT($B$5&amp;"生成成长"),4))/(VLOOKUP(EK$72,INDIRECT($C$5&amp;"生成成长"),5))*(VLOOKUP($B$5,标准坦克设计!$B$24:$U$30,MATCH("对"&amp;LEFT($C$5,2)&amp;"输出",标准坦克设计!$B$23:$U$23,0)))*(VLOOKUP($B74,INDIRECT($B$5&amp;"生成成长"),3))*(VLOOKUP($B$5,标准坦克设计!$B$14:$K$20,9)/30))</f>
        <v>78.642223045475475</v>
      </c>
      <c r="EL74" s="173">
        <f ca="1">(VLOOKUP(EL$72,INDIRECT($C$5&amp;"生成成长"),2))/((VLOOKUP($B74,INDIRECT($B$5&amp;"生成成长"),4))/(VLOOKUP(EL$72,INDIRECT($C$5&amp;"生成成长"),5))*(VLOOKUP($B$5,标准坦克设计!$B$24:$U$30,MATCH("对"&amp;LEFT($C$5,2)&amp;"输出",标准坦克设计!$B$23:$U$23,0)))*(VLOOKUP($B74,INDIRECT($B$5&amp;"生成成长"),3))*(VLOOKUP($B$5,标准坦克设计!$B$14:$K$20,9)/30))</f>
        <v>84.787890140537797</v>
      </c>
      <c r="EM74" s="173">
        <f ca="1">(VLOOKUP(EM$72,INDIRECT($C$5&amp;"生成成长"),2))/((VLOOKUP($B74,INDIRECT($B$5&amp;"生成成长"),4))/(VLOOKUP(EM$72,INDIRECT($C$5&amp;"生成成长"),5))*(VLOOKUP($B$5,标准坦克设计!$B$24:$U$30,MATCH("对"&amp;LEFT($C$5,2)&amp;"输出",标准坦克设计!$B$23:$U$23,0)))*(VLOOKUP($B74,INDIRECT($B$5&amp;"生成成长"),3))*(VLOOKUP($B$5,标准坦克设计!$B$14:$K$20,9)/30))</f>
        <v>91.164742204693368</v>
      </c>
      <c r="EN74" s="173">
        <f ca="1">(VLOOKUP(EN$72,INDIRECT($C$5&amp;"生成成长"),2))/((VLOOKUP($B74,INDIRECT($B$5&amp;"生成成长"),4))/(VLOOKUP(EN$72,INDIRECT($C$5&amp;"生成成长"),5))*(VLOOKUP($B$5,标准坦克设计!$B$24:$U$30,MATCH("对"&amp;LEFT($C$5,2)&amp;"输出",标准坦克设计!$B$23:$U$23,0)))*(VLOOKUP($B74,INDIRECT($B$5&amp;"生成成长"),3))*(VLOOKUP($B$5,标准坦克设计!$B$14:$K$20,9)/30))</f>
        <v>97.772779237942189</v>
      </c>
      <c r="EO74" s="173">
        <f ca="1">(VLOOKUP(EO$72,INDIRECT($C$5&amp;"生成成长"),2))/((VLOOKUP($B74,INDIRECT($B$5&amp;"生成成长"),4))/(VLOOKUP(EO$72,INDIRECT($C$5&amp;"生成成长"),5))*(VLOOKUP($B$5,标准坦克设计!$B$24:$U$30,MATCH("对"&amp;LEFT($C$5,2)&amp;"输出",标准坦克设计!$B$23:$U$23,0)))*(VLOOKUP($B74,INDIRECT($B$5&amp;"生成成长"),3))*(VLOOKUP($B$5,标准坦克设计!$B$14:$K$20,9)/30))</f>
        <v>104.61200124028426</v>
      </c>
      <c r="EP74" s="173">
        <f ca="1">(VLOOKUP(EP$72,INDIRECT($C$5&amp;"生成成长"),2))/((VLOOKUP($B74,INDIRECT($B$5&amp;"生成成长"),4))/(VLOOKUP(EP$72,INDIRECT($C$5&amp;"生成成长"),5))*(VLOOKUP($B$5,标准坦克设计!$B$24:$U$30,MATCH("对"&amp;LEFT($C$5,2)&amp;"输出",标准坦克设计!$B$23:$U$23,0)))*(VLOOKUP($B74,INDIRECT($B$5&amp;"生成成长"),3))*(VLOOKUP($B$5,标准坦克设计!$B$14:$K$20,9)/30))</f>
        <v>111.68240821171958</v>
      </c>
      <c r="EQ74" s="173">
        <f ca="1">(VLOOKUP(EQ$72,INDIRECT($C$5&amp;"生成成长"),2))/((VLOOKUP($B74,INDIRECT($B$5&amp;"生成成长"),4))/(VLOOKUP(EQ$72,INDIRECT($C$5&amp;"生成成长"),5))*(VLOOKUP($B$5,标准坦克设计!$B$24:$U$30,MATCH("对"&amp;LEFT($C$5,2)&amp;"输出",标准坦克设计!$B$23:$U$23,0)))*(VLOOKUP($B74,INDIRECT($B$5&amp;"生成成长"),3))*(VLOOKUP($B$5,标准坦克设计!$B$14:$K$20,9)/30))</f>
        <v>49.370834510803661</v>
      </c>
      <c r="ER74" s="173">
        <f ca="1">(VLOOKUP(ER$72,INDIRECT($C$5&amp;"生成成长"),2))/((VLOOKUP($B74,INDIRECT($B$5&amp;"生成成长"),4))/(VLOOKUP(ER$72,INDIRECT($C$5&amp;"生成成长"),5))*(VLOOKUP($B$5,标准坦克设计!$B$24:$U$30,MATCH("对"&amp;LEFT($C$5,2)&amp;"输出",标准坦克设计!$B$23:$U$23,0)))*(VLOOKUP($B74,INDIRECT($B$5&amp;"生成成长"),3))*(VLOOKUP($B$5,标准坦克设计!$B$14:$K$20,9)/30))</f>
        <v>53.847635110224047</v>
      </c>
      <c r="ES74" s="173">
        <f ca="1">(VLOOKUP(ES$72,INDIRECT($C$5&amp;"生成成长"),2))/((VLOOKUP($B74,INDIRECT($B$5&amp;"生成成长"),4))/(VLOOKUP(ES$72,INDIRECT($C$5&amp;"生成成长"),5))*(VLOOKUP($B$5,标准坦克设计!$B$24:$U$30,MATCH("对"&amp;LEFT($C$5,2)&amp;"输出",标准坦克设计!$B$23:$U$23,0)))*(VLOOKUP($B74,INDIRECT($B$5&amp;"生成成长"),3))*(VLOOKUP($B$5,标准坦克设计!$B$14:$K$20,9)/30))</f>
        <v>58.518695301729757</v>
      </c>
      <c r="ET74" s="173">
        <f ca="1">(VLOOKUP(ET$72,INDIRECT($C$5&amp;"生成成长"),2))/((VLOOKUP($B74,INDIRECT($B$5&amp;"生成成长"),4))/(VLOOKUP(ET$72,INDIRECT($C$5&amp;"生成成长"),5))*(VLOOKUP($B$5,标准坦克设计!$B$24:$U$30,MATCH("对"&amp;LEFT($C$5,2)&amp;"输出",标准坦克设计!$B$23:$U$23,0)))*(VLOOKUP($B74,INDIRECT($B$5&amp;"生成成长"),3))*(VLOOKUP($B$5,标准坦克设计!$B$14:$K$20,9)/30))</f>
        <v>63.384015085320733</v>
      </c>
      <c r="EU74" s="173">
        <f ca="1">(VLOOKUP(EU$72,INDIRECT($C$5&amp;"生成成长"),2))/((VLOOKUP($B74,INDIRECT($B$5&amp;"生成成长"),4))/(VLOOKUP(EU$72,INDIRECT($C$5&amp;"生成成长"),5))*(VLOOKUP($B$5,标准坦克设计!$B$24:$U$30,MATCH("对"&amp;LEFT($C$5,2)&amp;"输出",标准坦克设计!$B$23:$U$23,0)))*(VLOOKUP($B74,INDIRECT($B$5&amp;"生成成长"),3))*(VLOOKUP($B$5,标准坦克设计!$B$14:$K$20,9)/30))</f>
        <v>68.443594460997048</v>
      </c>
      <c r="EV74" s="173">
        <f ca="1">(VLOOKUP(EV$72,INDIRECT($C$5&amp;"生成成长"),2))/((VLOOKUP($B74,INDIRECT($B$5&amp;"生成成长"),4))/(VLOOKUP(EV$72,INDIRECT($C$5&amp;"生成成长"),5))*(VLOOKUP($B$5,标准坦克设计!$B$24:$U$30,MATCH("对"&amp;LEFT($C$5,2)&amp;"输出",标准坦克设计!$B$23:$U$23,0)))*(VLOOKUP($B74,INDIRECT($B$5&amp;"生成成长"),3))*(VLOOKUP($B$5,标准坦克设计!$B$14:$K$20,9)/30))</f>
        <v>73.697433428758671</v>
      </c>
      <c r="EW74" s="173">
        <f ca="1">(VLOOKUP(EW$72,INDIRECT($C$5&amp;"生成成长"),2))/((VLOOKUP($B74,INDIRECT($B$5&amp;"生成成长"),4))/(VLOOKUP(EW$72,INDIRECT($C$5&amp;"生成成长"),5))*(VLOOKUP($B$5,标准坦克设计!$B$24:$U$30,MATCH("对"&amp;LEFT($C$5,2)&amp;"输出",标准坦克设计!$B$23:$U$23,0)))*(VLOOKUP($B74,INDIRECT($B$5&amp;"生成成长"),3))*(VLOOKUP($B$5,标准坦克设计!$B$14:$K$20,9)/30))</f>
        <v>79.145531988605569</v>
      </c>
      <c r="EX74" s="173">
        <f ca="1">(VLOOKUP(EX$72,INDIRECT($C$5&amp;"生成成长"),2))/((VLOOKUP($B74,INDIRECT($B$5&amp;"生成成长"),4))/(VLOOKUP(EX$72,INDIRECT($C$5&amp;"生成成长"),5))*(VLOOKUP($B$5,标准坦克设计!$B$24:$U$30,MATCH("对"&amp;LEFT($C$5,2)&amp;"输出",标准坦克设计!$B$23:$U$23,0)))*(VLOOKUP($B74,INDIRECT($B$5&amp;"生成成长"),3))*(VLOOKUP($B$5,标准坦克设计!$B$14:$K$20,9)/30))</f>
        <v>84.787890140537797</v>
      </c>
      <c r="EY74" s="173">
        <f ca="1">(VLOOKUP(EY$72,INDIRECT($C$5&amp;"生成成长"),2))/((VLOOKUP($B74,INDIRECT($B$5&amp;"生成成长"),4))/(VLOOKUP(EY$72,INDIRECT($C$5&amp;"生成成长"),5))*(VLOOKUP($B$5,标准坦克设计!$B$24:$U$30,MATCH("对"&amp;LEFT($C$5,2)&amp;"输出",标准坦克设计!$B$23:$U$23,0)))*(VLOOKUP($B74,INDIRECT($B$5&amp;"生成成长"),3))*(VLOOKUP($B$5,标准坦克设计!$B$14:$K$20,9)/30))</f>
        <v>90.624507884555314</v>
      </c>
      <c r="EZ74" s="173">
        <f ca="1">(VLOOKUP(EZ$72,INDIRECT($C$5&amp;"生成成长"),2))/((VLOOKUP($B74,INDIRECT($B$5&amp;"生成成长"),4))/(VLOOKUP(EZ$72,INDIRECT($C$5&amp;"生成成长"),5))*(VLOOKUP($B$5,标准坦克设计!$B$24:$U$30,MATCH("对"&amp;LEFT($C$5,2)&amp;"输出",标准坦克设计!$B$23:$U$23,0)))*(VLOOKUP($B74,INDIRECT($B$5&amp;"生成成长"),3))*(VLOOKUP($B$5,标准坦克设计!$B$14:$K$20,9)/30))</f>
        <v>96.655385220658133</v>
      </c>
      <c r="FA74" s="173">
        <f ca="1">(VLOOKUP(FA$72,INDIRECT($C$5&amp;"生成成长"),2))/((VLOOKUP($B74,INDIRECT($B$5&amp;"生成成长"),4))/(VLOOKUP(FA$72,INDIRECT($C$5&amp;"生成成长"),5))*(VLOOKUP($B$5,标准坦克设计!$B$24:$U$30,MATCH("对"&amp;LEFT($C$5,2)&amp;"输出",标准坦克设计!$B$23:$U$23,0)))*(VLOOKUP($B74,INDIRECT($B$5&amp;"生成成长"),3))*(VLOOKUP($B$5,标准坦克设计!$B$14:$K$20,9)/30))</f>
        <v>102.88052214884624</v>
      </c>
      <c r="FB74" s="173">
        <f ca="1">(VLOOKUP(FB$72,INDIRECT($C$5&amp;"生成成长"),2))/((VLOOKUP($B74,INDIRECT($B$5&amp;"生成成长"),4))/(VLOOKUP(FB$72,INDIRECT($C$5&amp;"生成成长"),5))*(VLOOKUP($B$5,标准坦克设计!$B$24:$U$30,MATCH("对"&amp;LEFT($C$5,2)&amp;"输出",标准坦克设计!$B$23:$U$23,0)))*(VLOOKUP($B74,INDIRECT($B$5&amp;"生成成长"),3))*(VLOOKUP($B$5,标准坦克设计!$B$14:$K$20,9)/30))</f>
        <v>109.29991866911968</v>
      </c>
      <c r="FC74" s="173">
        <f ca="1">(VLOOKUP(FC$72,INDIRECT($C$5&amp;"生成成长"),2))/((VLOOKUP($B74,INDIRECT($B$5&amp;"生成成长"),4))/(VLOOKUP(FC$72,INDIRECT($C$5&amp;"生成成长"),5))*(VLOOKUP($B$5,标准坦克设计!$B$24:$U$30,MATCH("对"&amp;LEFT($C$5,2)&amp;"输出",标准坦克设计!$B$23:$U$23,0)))*(VLOOKUP($B74,INDIRECT($B$5&amp;"生成成长"),3))*(VLOOKUP($B$5,标准坦克设计!$B$14:$K$20,9)/30))</f>
        <v>115.91357478147842</v>
      </c>
      <c r="FD74" s="173">
        <f ca="1">(VLOOKUP(FD$72,INDIRECT($C$5&amp;"生成成长"),2))/((VLOOKUP($B74,INDIRECT($B$5&amp;"生成成长"),4))/(VLOOKUP(FD$72,INDIRECT($C$5&amp;"生成成长"),5))*(VLOOKUP($B$5,标准坦克设计!$B$24:$U$30,MATCH("对"&amp;LEFT($C$5,2)&amp;"输出",标准坦克设计!$B$23:$U$23,0)))*(VLOOKUP($B74,INDIRECT($B$5&amp;"生成成长"),3))*(VLOOKUP($B$5,标准坦克设计!$B$14:$K$20,9)/30))</f>
        <v>122.72149048592244</v>
      </c>
      <c r="FE74" s="173">
        <f ca="1">(VLOOKUP(FE$72,INDIRECT($C$5&amp;"生成成长"),2))/((VLOOKUP($B74,INDIRECT($B$5&amp;"生成成长"),4))/(VLOOKUP(FE$72,INDIRECT($C$5&amp;"生成成长"),5))*(VLOOKUP($B$5,标准坦克设计!$B$24:$U$30,MATCH("对"&amp;LEFT($C$5,2)&amp;"输出",标准坦克设计!$B$23:$U$23,0)))*(VLOOKUP($B74,INDIRECT($B$5&amp;"生成成长"),3))*(VLOOKUP($B$5,标准坦克设计!$B$14:$K$20,9)/30))</f>
        <v>131.01765942890427</v>
      </c>
      <c r="FF74" s="173">
        <f ca="1">(VLOOKUP(FF$72,INDIRECT($C$5&amp;"生成成长"),2))/((VLOOKUP($B74,INDIRECT($B$5&amp;"生成成长"),4))/(VLOOKUP(FF$72,INDIRECT($C$5&amp;"生成成长"),5))*(VLOOKUP($B$5,标准坦克设计!$B$24:$U$30,MATCH("对"&amp;LEFT($C$5,2)&amp;"输出",标准坦克设计!$B$23:$U$23,0)))*(VLOOKUP($B74,INDIRECT($B$5&amp;"生成成长"),3))*(VLOOKUP($B$5,标准坦克设计!$B$14:$K$20,9)/30))</f>
        <v>139.58514962033587</v>
      </c>
      <c r="FG74" s="173">
        <f ca="1">(VLOOKUP(FG$72,INDIRECT($C$5&amp;"生成成长"),2))/((VLOOKUP($B74,INDIRECT($B$5&amp;"生成成长"),4))/(VLOOKUP(FG$72,INDIRECT($C$5&amp;"生成成长"),5))*(VLOOKUP($B$5,标准坦克设计!$B$24:$U$30,MATCH("对"&amp;LEFT($C$5,2)&amp;"输出",标准坦克设计!$B$23:$U$23,0)))*(VLOOKUP($B74,INDIRECT($B$5&amp;"生成成长"),3))*(VLOOKUP($B$5,标准坦克设计!$B$14:$K$20,9)/30))</f>
        <v>148.42396106021715</v>
      </c>
      <c r="FH74" s="173">
        <f ca="1">(VLOOKUP(FH$72,INDIRECT($C$5&amp;"生成成长"),2))/((VLOOKUP($B74,INDIRECT($B$5&amp;"生成成长"),4))/(VLOOKUP(FH$72,INDIRECT($C$5&amp;"生成成长"),5))*(VLOOKUP($B$5,标准坦克设计!$B$24:$U$30,MATCH("对"&amp;LEFT($C$5,2)&amp;"输出",标准坦克设计!$B$23:$U$23,0)))*(VLOOKUP($B74,INDIRECT($B$5&amp;"生成成长"),3))*(VLOOKUP($B$5,标准坦克设计!$B$14:$K$20,9)/30))</f>
        <v>157.53409374854817</v>
      </c>
      <c r="FI74" s="173">
        <f ca="1">(VLOOKUP(FI$72,INDIRECT($C$5&amp;"生成成长"),2))/((VLOOKUP($B74,INDIRECT($B$5&amp;"生成成长"),4))/(VLOOKUP(FI$72,INDIRECT($C$5&amp;"生成成长"),5))*(VLOOKUP($B$5,标准坦克设计!$B$24:$U$30,MATCH("对"&amp;LEFT($C$5,2)&amp;"输出",标准坦克设计!$B$23:$U$23,0)))*(VLOOKUP($B74,INDIRECT($B$5&amp;"生成成长"),3))*(VLOOKUP($B$5,标准坦克设计!$B$14:$K$20,9)/30))</f>
        <v>166.91554768532893</v>
      </c>
      <c r="FJ74" s="173">
        <f ca="1">(VLOOKUP(FJ$72,INDIRECT($C$5&amp;"生成成长"),2))/((VLOOKUP($B74,INDIRECT($B$5&amp;"生成成长"),4))/(VLOOKUP(FJ$72,INDIRECT($C$5&amp;"生成成长"),5))*(VLOOKUP($B$5,标准坦克设计!$B$24:$U$30,MATCH("对"&amp;LEFT($C$5,2)&amp;"输出",标准坦克设计!$B$23:$U$23,0)))*(VLOOKUP($B74,INDIRECT($B$5&amp;"生成成长"),3))*(VLOOKUP($B$5,标准坦克设计!$B$14:$K$20,9)/30))</f>
        <v>176.56832287055934</v>
      </c>
      <c r="FK74" s="173">
        <f ca="1">(VLOOKUP(FK$72,INDIRECT($C$5&amp;"生成成长"),2))/((VLOOKUP($B74,INDIRECT($B$5&amp;"生成成长"),4))/(VLOOKUP(FK$72,INDIRECT($C$5&amp;"生成成长"),5))*(VLOOKUP($B$5,标准坦克设计!$B$24:$U$30,MATCH("对"&amp;LEFT($C$5,2)&amp;"输出",标准坦克设计!$B$23:$U$23,0)))*(VLOOKUP($B74,INDIRECT($B$5&amp;"生成成长"),3))*(VLOOKUP($B$5,标准坦克设计!$B$14:$K$20,9)/30))</f>
        <v>186.49241930423955</v>
      </c>
    </row>
    <row r="75" spans="1:167" x14ac:dyDescent="0.15">
      <c r="A75" s="171" t="str">
        <f t="shared" si="11"/>
        <v>T1低品质3级</v>
      </c>
      <c r="B75" s="172">
        <v>10103</v>
      </c>
      <c r="C75" s="173">
        <f ca="1">(VLOOKUP(C$72,INDIRECT($C$5&amp;"生成成长"),2))/((VLOOKUP($B75,INDIRECT($B$5&amp;"生成成长"),4))/(VLOOKUP(C$72,INDIRECT($C$5&amp;"生成成长"),5))*(VLOOKUP($B$5,标准坦克设计!$B$24:$U$30,MATCH("对"&amp;LEFT($C$5,2)&amp;"输出",标准坦克设计!$B$23:$U$23,0)))*(VLOOKUP($B75,INDIRECT($B$5&amp;"生成成长"),3))*(VLOOKUP($B$5,标准坦克设计!$B$14:$K$20,9)/30))</f>
        <v>7.2557760233100517</v>
      </c>
      <c r="D75" s="173">
        <f ca="1">(VLOOKUP(D$72,INDIRECT($C$5&amp;"生成成长"),2))/((VLOOKUP($B75,INDIRECT($B$5&amp;"生成成长"),4))/(VLOOKUP(D$72,INDIRECT($C$5&amp;"生成成长"),5))*(VLOOKUP($B$5,标准坦克设计!$B$24:$U$30,MATCH("对"&amp;LEFT($C$5,2)&amp;"输出",标准坦克设计!$B$23:$U$23,0)))*(VLOOKUP($B75,INDIRECT($B$5&amp;"生成成长"),3))*(VLOOKUP($B$5,标准坦克设计!$B$14:$K$20,9)/30))</f>
        <v>8.1525899397911754</v>
      </c>
      <c r="E75" s="173">
        <f ca="1">(VLOOKUP(E$72,INDIRECT($C$5&amp;"生成成长"),2))/((VLOOKUP($B75,INDIRECT($B$5&amp;"生成成长"),4))/(VLOOKUP(E$72,INDIRECT($C$5&amp;"生成成长"),5))*(VLOOKUP($B$5,标准坦克设计!$B$24:$U$30,MATCH("对"&amp;LEFT($C$5,2)&amp;"输出",标准坦克设计!$B$23:$U$23,0)))*(VLOOKUP($B75,INDIRECT($B$5&amp;"生成成长"),3))*(VLOOKUP($B$5,标准坦克设计!$B$14:$K$20,9)/30))</f>
        <v>9.1016454436401286</v>
      </c>
      <c r="F75" s="173">
        <f ca="1">(VLOOKUP(F$72,INDIRECT($C$5&amp;"生成成长"),2))/((VLOOKUP($B75,INDIRECT($B$5&amp;"生成成长"),4))/(VLOOKUP(F$72,INDIRECT($C$5&amp;"生成成长"),5))*(VLOOKUP($B$5,标准坦克设计!$B$24:$U$30,MATCH("对"&amp;LEFT($C$5,2)&amp;"输出",标准坦克设计!$B$23:$U$23,0)))*(VLOOKUP($B75,INDIRECT($B$5&amp;"生成成长"),3))*(VLOOKUP($B$5,标准坦克设计!$B$14:$K$20,9)/30))</f>
        <v>10.102942534856917</v>
      </c>
      <c r="G75" s="173">
        <f ca="1">(VLOOKUP(G$72,INDIRECT($C$5&amp;"生成成长"),2))/((VLOOKUP($B75,INDIRECT($B$5&amp;"生成成长"),4))/(VLOOKUP(G$72,INDIRECT($C$5&amp;"生成成长"),5))*(VLOOKUP($B$5,标准坦克设计!$B$24:$U$30,MATCH("对"&amp;LEFT($C$5,2)&amp;"输出",标准坦克设计!$B$23:$U$23,0)))*(VLOOKUP($B75,INDIRECT($B$5&amp;"生成成长"),3))*(VLOOKUP($B$5,标准坦克设计!$B$14:$K$20,9)/30))</f>
        <v>11.156481213441538</v>
      </c>
      <c r="H75" s="173">
        <f ca="1">(VLOOKUP(H$72,INDIRECT($C$5&amp;"生成成长"),2))/((VLOOKUP($B75,INDIRECT($B$5&amp;"生成成长"),4))/(VLOOKUP(H$72,INDIRECT($C$5&amp;"生成成长"),5))*(VLOOKUP($B$5,标准坦克设计!$B$24:$U$30,MATCH("对"&amp;LEFT($C$5,2)&amp;"输出",标准坦克设计!$B$23:$U$23,0)))*(VLOOKUP($B75,INDIRECT($B$5&amp;"生成成长"),3))*(VLOOKUP($B$5,标准坦克设计!$B$14:$K$20,9)/30))</f>
        <v>9.7633722169660064</v>
      </c>
      <c r="I75" s="173">
        <f ca="1">(VLOOKUP(I$72,INDIRECT($C$5&amp;"生成成长"),2))/((VLOOKUP($B75,INDIRECT($B$5&amp;"生成成长"),4))/(VLOOKUP(I$72,INDIRECT($C$5&amp;"生成成长"),5))*(VLOOKUP($B$5,标准坦克设计!$B$24:$U$30,MATCH("对"&amp;LEFT($C$5,2)&amp;"输出",标准坦克设计!$B$23:$U$23,0)))*(VLOOKUP($B75,INDIRECT($B$5&amp;"生成成长"),3))*(VLOOKUP($B$5,标准坦克设计!$B$14:$K$20,9)/30))</f>
        <v>11.156481213441538</v>
      </c>
      <c r="J75" s="173">
        <f ca="1">(VLOOKUP(J$72,INDIRECT($C$5&amp;"生成成长"),2))/((VLOOKUP($B75,INDIRECT($B$5&amp;"生成成长"),4))/(VLOOKUP(J$72,INDIRECT($C$5&amp;"生成成长"),5))*(VLOOKUP($B$5,标准坦克设计!$B$24:$U$30,MATCH("对"&amp;LEFT($C$5,2)&amp;"输出",标准坦克设计!$B$23:$U$23,0)))*(VLOOKUP($B75,INDIRECT($B$5&amp;"生成成长"),3))*(VLOOKUP($B$5,标准坦克设计!$B$14:$K$20,9)/30))</f>
        <v>12.642464143015436</v>
      </c>
      <c r="K75" s="173">
        <f ca="1">(VLOOKUP(K$72,INDIRECT($C$5&amp;"生成成长"),2))/((VLOOKUP($B75,INDIRECT($B$5&amp;"生成成长"),4))/(VLOOKUP(K$72,INDIRECT($C$5&amp;"生成成长"),5))*(VLOOKUP($B$5,标准坦克设计!$B$24:$U$30,MATCH("对"&amp;LEFT($C$5,2)&amp;"输出",标准坦克设计!$B$23:$U$23,0)))*(VLOOKUP($B75,INDIRECT($B$5&amp;"生成成长"),3))*(VLOOKUP($B$5,标准坦克设计!$B$14:$K$20,9)/30))</f>
        <v>14.221321005687702</v>
      </c>
      <c r="L75" s="173">
        <f ca="1">(VLOOKUP(L$72,INDIRECT($C$5&amp;"生成成长"),2))/((VLOOKUP($B75,INDIRECT($B$5&amp;"生成成长"),4))/(VLOOKUP(L$72,INDIRECT($C$5&amp;"生成成长"),5))*(VLOOKUP($B$5,标准坦克设计!$B$24:$U$30,MATCH("对"&amp;LEFT($C$5,2)&amp;"输出",标准坦克设计!$B$23:$U$23,0)))*(VLOOKUP($B75,INDIRECT($B$5&amp;"生成成长"),3))*(VLOOKUP($B$5,标准坦克设计!$B$14:$K$20,9)/30))</f>
        <v>15.893051801458338</v>
      </c>
      <c r="M75" s="173">
        <f ca="1">(VLOOKUP(M$72,INDIRECT($C$5&amp;"生成成长"),2))/((VLOOKUP($B75,INDIRECT($B$5&amp;"生成成长"),4))/(VLOOKUP(M$72,INDIRECT($C$5&amp;"生成成长"),5))*(VLOOKUP($B$5,标准坦克设计!$B$24:$U$30,MATCH("对"&amp;LEFT($C$5,2)&amp;"输出",标准坦克设计!$B$23:$U$23,0)))*(VLOOKUP($B75,INDIRECT($B$5&amp;"生成成长"),3))*(VLOOKUP($B$5,标准坦克设计!$B$14:$K$20,9)/30))</f>
        <v>17.657656530327344</v>
      </c>
      <c r="N75" s="173">
        <f ca="1">(VLOOKUP(N$72,INDIRECT($C$5&amp;"生成成长"),2))/((VLOOKUP($B75,INDIRECT($B$5&amp;"生成成长"),4))/(VLOOKUP(N$72,INDIRECT($C$5&amp;"生成成长"),5))*(VLOOKUP($B$5,标准坦克设计!$B$24:$U$30,MATCH("对"&amp;LEFT($C$5,2)&amp;"输出",标准坦克设计!$B$23:$U$23,0)))*(VLOOKUP($B75,INDIRECT($B$5&amp;"生成成长"),3))*(VLOOKUP($B$5,标准坦克设计!$B$14:$K$20,9)/30))</f>
        <v>19.515135192294714</v>
      </c>
      <c r="O75" s="173">
        <f ca="1">(VLOOKUP(O$72,INDIRECT($C$5&amp;"生成成长"),2))/((VLOOKUP($B75,INDIRECT($B$5&amp;"生成成长"),4))/(VLOOKUP(O$72,INDIRECT($C$5&amp;"生成成长"),5))*(VLOOKUP($B$5,标准坦克设计!$B$24:$U$30,MATCH("对"&amp;LEFT($C$5,2)&amp;"输出",标准坦克设计!$B$23:$U$23,0)))*(VLOOKUP($B75,INDIRECT($B$5&amp;"生成成长"),3))*(VLOOKUP($B$5,标准坦克设计!$B$14:$K$20,9)/30))</f>
        <v>14.837336390066726</v>
      </c>
      <c r="P75" s="173">
        <f ca="1">(VLOOKUP(P$72,INDIRECT($C$5&amp;"生成成长"),2))/((VLOOKUP($B75,INDIRECT($B$5&amp;"生成成长"),4))/(VLOOKUP(P$72,INDIRECT($C$5&amp;"生成成长"),5))*(VLOOKUP($B$5,标准坦克设计!$B$24:$U$30,MATCH("对"&amp;LEFT($C$5,2)&amp;"输出",标准坦克设计!$B$23:$U$23,0)))*(VLOOKUP($B75,INDIRECT($B$5&amp;"生成成长"),3))*(VLOOKUP($B$5,标准坦克设计!$B$14:$K$20,9)/30))</f>
        <v>16.763744924255544</v>
      </c>
      <c r="Q75" s="173">
        <f ca="1">(VLOOKUP(Q$72,INDIRECT($C$5&amp;"生成成长"),2))/((VLOOKUP($B75,INDIRECT($B$5&amp;"生成成长"),4))/(VLOOKUP(Q$72,INDIRECT($C$5&amp;"生成成长"),5))*(VLOOKUP($B$5,标准坦克设计!$B$24:$U$30,MATCH("对"&amp;LEFT($C$5,2)&amp;"输出",标准坦克设计!$B$23:$U$23,0)))*(VLOOKUP($B75,INDIRECT($B$5&amp;"生成成长"),3))*(VLOOKUP($B$5,标准坦克设计!$B$14:$K$20,9)/30))</f>
        <v>18.807697030021984</v>
      </c>
      <c r="R75" s="173">
        <f ca="1">(VLOOKUP(R$72,INDIRECT($C$5&amp;"生成成长"),2))/((VLOOKUP($B75,INDIRECT($B$5&amp;"生成成长"),4))/(VLOOKUP(R$72,INDIRECT($C$5&amp;"生成成长"),5))*(VLOOKUP($B$5,标准坦克设计!$B$24:$U$30,MATCH("对"&amp;LEFT($C$5,2)&amp;"输出",标准坦克设计!$B$23:$U$23,0)))*(VLOOKUP($B75,INDIRECT($B$5&amp;"生成成长"),3))*(VLOOKUP($B$5,标准坦克设计!$B$14:$K$20,9)/30))</f>
        <v>20.969192707366052</v>
      </c>
      <c r="S75" s="173">
        <f ca="1">(VLOOKUP(S$72,INDIRECT($C$5&amp;"生成成长"),2))/((VLOOKUP($B75,INDIRECT($B$5&amp;"生成成长"),4))/(VLOOKUP(S$72,INDIRECT($C$5&amp;"生成成长"),5))*(VLOOKUP($B$5,标准坦克设计!$B$24:$U$30,MATCH("对"&amp;LEFT($C$5,2)&amp;"输出",标准坦克设计!$B$23:$U$23,0)))*(VLOOKUP($B75,INDIRECT($B$5&amp;"生成成长"),3))*(VLOOKUP($B$5,标准坦克设计!$B$14:$K$20,9)/30))</f>
        <v>23.248231956287739</v>
      </c>
      <c r="T75" s="173">
        <f ca="1">(VLOOKUP(T$72,INDIRECT($C$5&amp;"生成成长"),2))/((VLOOKUP($B75,INDIRECT($B$5&amp;"生成成长"),4))/(VLOOKUP(T$72,INDIRECT($C$5&amp;"生成成长"),5))*(VLOOKUP($B$5,标准坦克设计!$B$24:$U$30,MATCH("对"&amp;LEFT($C$5,2)&amp;"输出",标准坦克设计!$B$23:$U$23,0)))*(VLOOKUP($B75,INDIRECT($B$5&amp;"生成成长"),3))*(VLOOKUP($B$5,标准坦克设计!$B$14:$K$20,9)/30))</f>
        <v>25.644814776787051</v>
      </c>
      <c r="U75" s="173">
        <f ca="1">(VLOOKUP(U$72,INDIRECT($C$5&amp;"生成成长"),2))/((VLOOKUP($B75,INDIRECT($B$5&amp;"生成成长"),4))/(VLOOKUP(U$72,INDIRECT($C$5&amp;"生成成长"),5))*(VLOOKUP($B$5,标准坦克设计!$B$24:$U$30,MATCH("对"&amp;LEFT($C$5,2)&amp;"输出",标准坦克设计!$B$23:$U$23,0)))*(VLOOKUP($B75,INDIRECT($B$5&amp;"生成成长"),3))*(VLOOKUP($B$5,标准坦克设计!$B$14:$K$20,9)/30))</f>
        <v>28.158941168863979</v>
      </c>
      <c r="V75" s="173">
        <f ca="1">(VLOOKUP(V$72,INDIRECT($C$5&amp;"生成成长"),2))/((VLOOKUP($B75,INDIRECT($B$5&amp;"生成成长"),4))/(VLOOKUP(V$72,INDIRECT($C$5&amp;"生成成长"),5))*(VLOOKUP($B$5,标准坦克设计!$B$24:$U$30,MATCH("对"&amp;LEFT($C$5,2)&amp;"输出",标准坦克设计!$B$23:$U$23,0)))*(VLOOKUP($B75,INDIRECT($B$5&amp;"生成成长"),3))*(VLOOKUP($B$5,标准坦克设计!$B$14:$K$20,9)/30))</f>
        <v>30.790611132518539</v>
      </c>
      <c r="W75" s="173">
        <f ca="1">(VLOOKUP(W$72,INDIRECT($C$5&amp;"生成成长"),2))/((VLOOKUP($B75,INDIRECT($B$5&amp;"生成成长"),4))/(VLOOKUP(W$72,INDIRECT($C$5&amp;"生成成长"),5))*(VLOOKUP($B$5,标准坦克设计!$B$24:$U$30,MATCH("对"&amp;LEFT($C$5,2)&amp;"输出",标准坦克设计!$B$23:$U$23,0)))*(VLOOKUP($B75,INDIRECT($B$5&amp;"生成成长"),3))*(VLOOKUP($B$5,标准坦克设计!$B$14:$K$20,9)/30))</f>
        <v>33.539824667750715</v>
      </c>
      <c r="X75" s="173">
        <f ca="1">(VLOOKUP(X$72,INDIRECT($C$5&amp;"生成成长"),2))/((VLOOKUP($B75,INDIRECT($B$5&amp;"生成成长"),4))/(VLOOKUP(X$72,INDIRECT($C$5&amp;"生成成长"),5))*(VLOOKUP($B$5,标准坦克设计!$B$24:$U$30,MATCH("对"&amp;LEFT($C$5,2)&amp;"输出",标准坦克设计!$B$23:$U$23,0)))*(VLOOKUP($B75,INDIRECT($B$5&amp;"生成成长"),3))*(VLOOKUP($B$5,标准坦克设计!$B$14:$K$20,9)/30))</f>
        <v>24.298868324463037</v>
      </c>
      <c r="Y75" s="173">
        <f ca="1">(VLOOKUP(Y$72,INDIRECT($C$5&amp;"生成成长"),2))/((VLOOKUP($B75,INDIRECT($B$5&amp;"生成成长"),4))/(VLOOKUP(Y$72,INDIRECT($C$5&amp;"生成成长"),5))*(VLOOKUP($B$5,标准坦克设计!$B$24:$U$30,MATCH("对"&amp;LEFT($C$5,2)&amp;"输出",标准坦克设计!$B$23:$U$23,0)))*(VLOOKUP($B75,INDIRECT($B$5&amp;"生成成长"),3))*(VLOOKUP($B$5,标准坦克设计!$B$14:$K$20,9)/30))</f>
        <v>27.02704010922762</v>
      </c>
      <c r="Z75" s="173">
        <f ca="1">(VLOOKUP(Z$72,INDIRECT($C$5&amp;"生成成长"),2))/((VLOOKUP($B75,INDIRECT($B$5&amp;"生成成长"),4))/(VLOOKUP(Z$72,INDIRECT($C$5&amp;"生成成长"),5))*(VLOOKUP($B$5,标准坦克设计!$B$24:$U$30,MATCH("对"&amp;LEFT($C$5,2)&amp;"输出",标准坦克设计!$B$23:$U$23,0)))*(VLOOKUP($B75,INDIRECT($B$5&amp;"生成成长"),3))*(VLOOKUP($B$5,标准坦克设计!$B$14:$K$20,9)/30))</f>
        <v>29.900327414458392</v>
      </c>
      <c r="AA75" s="173">
        <f ca="1">(VLOOKUP(AA$72,INDIRECT($C$5&amp;"生成成长"),2))/((VLOOKUP($B75,INDIRECT($B$5&amp;"生成成长"),4))/(VLOOKUP(AA$72,INDIRECT($C$5&amp;"生成成长"),5))*(VLOOKUP($B$5,标准坦克设计!$B$24:$U$30,MATCH("对"&amp;LEFT($C$5,2)&amp;"输出",标准坦克设计!$B$23:$U$23,0)))*(VLOOKUP($B75,INDIRECT($B$5&amp;"生成成长"),3))*(VLOOKUP($B$5,标准坦克设计!$B$14:$K$20,9)/30))</f>
        <v>32.918730240155369</v>
      </c>
      <c r="AB75" s="173">
        <f ca="1">(VLOOKUP(AB$72,INDIRECT($C$5&amp;"生成成长"),2))/((VLOOKUP($B75,INDIRECT($B$5&amp;"生成成长"),4))/(VLOOKUP(AB$72,INDIRECT($C$5&amp;"生成成长"),5))*(VLOOKUP($B$5,标准坦克设计!$B$24:$U$30,MATCH("对"&amp;LEFT($C$5,2)&amp;"输出",标准坦克设计!$B$23:$U$23,0)))*(VLOOKUP($B75,INDIRECT($B$5&amp;"生成成长"),3))*(VLOOKUP($B$5,标准坦克设计!$B$14:$K$20,9)/30))</f>
        <v>36.082248586318556</v>
      </c>
      <c r="AC75" s="173">
        <f ca="1">(VLOOKUP(AC$72,INDIRECT($C$5&amp;"生成成长"),2))/((VLOOKUP($B75,INDIRECT($B$5&amp;"生成成长"),4))/(VLOOKUP(AC$72,INDIRECT($C$5&amp;"生成成长"),5))*(VLOOKUP($B$5,标准坦克设计!$B$24:$U$30,MATCH("对"&amp;LEFT($C$5,2)&amp;"输出",标准坦克设计!$B$23:$U$23,0)))*(VLOOKUP($B75,INDIRECT($B$5&amp;"生成成长"),3))*(VLOOKUP($B$5,标准坦克设计!$B$14:$K$20,9)/30))</f>
        <v>39.390882452947949</v>
      </c>
      <c r="AD75" s="173">
        <f ca="1">(VLOOKUP(AD$72,INDIRECT($C$5&amp;"生成成长"),2))/((VLOOKUP($B75,INDIRECT($B$5&amp;"生成成长"),4))/(VLOOKUP(AD$72,INDIRECT($C$5&amp;"生成成长"),5))*(VLOOKUP($B$5,标准坦克设计!$B$24:$U$30,MATCH("对"&amp;LEFT($C$5,2)&amp;"输出",标准坦克设计!$B$23:$U$23,0)))*(VLOOKUP($B75,INDIRECT($B$5&amp;"生成成长"),3))*(VLOOKUP($B$5,标准坦克设计!$B$14:$K$20,9)/30))</f>
        <v>42.844631840043526</v>
      </c>
      <c r="AE75" s="173">
        <f ca="1">(VLOOKUP(AE$72,INDIRECT($C$5&amp;"生成成长"),2))/((VLOOKUP($B75,INDIRECT($B$5&amp;"生成成长"),4))/(VLOOKUP(AE$72,INDIRECT($C$5&amp;"生成成长"),5))*(VLOOKUP($B$5,标准坦克设计!$B$24:$U$30,MATCH("对"&amp;LEFT($C$5,2)&amp;"输出",标准坦克设计!$B$23:$U$23,0)))*(VLOOKUP($B75,INDIRECT($B$5&amp;"生成成长"),3))*(VLOOKUP($B$5,标准坦克设计!$B$14:$K$20,9)/30))</f>
        <v>46.443496747605316</v>
      </c>
      <c r="AF75" s="173">
        <f ca="1">(VLOOKUP(AF$72,INDIRECT($C$5&amp;"生成成长"),2))/((VLOOKUP($B75,INDIRECT($B$5&amp;"生成成长"),4))/(VLOOKUP(AF$72,INDIRECT($C$5&amp;"生成成长"),5))*(VLOOKUP($B$5,标准坦克设计!$B$24:$U$30,MATCH("对"&amp;LEFT($C$5,2)&amp;"输出",标准坦克设计!$B$23:$U$23,0)))*(VLOOKUP($B75,INDIRECT($B$5&amp;"生成成长"),3))*(VLOOKUP($B$5,标准坦克设计!$B$14:$K$20,9)/30))</f>
        <v>50.187477175633305</v>
      </c>
      <c r="AG75" s="173">
        <f ca="1">(VLOOKUP(AG$72,INDIRECT($C$5&amp;"生成成长"),2))/((VLOOKUP($B75,INDIRECT($B$5&amp;"生成成长"),4))/(VLOOKUP(AG$72,INDIRECT($C$5&amp;"生成成长"),5))*(VLOOKUP($B$5,标准坦克设计!$B$24:$U$30,MATCH("对"&amp;LEFT($C$5,2)&amp;"输出",标准坦克设计!$B$23:$U$23,0)))*(VLOOKUP($B75,INDIRECT($B$5&amp;"生成成长"),3))*(VLOOKUP($B$5,标准坦克设计!$B$14:$K$20,9)/30))</f>
        <v>54.076573124127492</v>
      </c>
      <c r="AH75" s="173">
        <f ca="1">(VLOOKUP(AH$72,INDIRECT($C$5&amp;"生成成长"),2))/((VLOOKUP($B75,INDIRECT($B$5&amp;"生成成长"),4))/(VLOOKUP(AH$72,INDIRECT($C$5&amp;"生成成长"),5))*(VLOOKUP($B$5,标准坦克设计!$B$24:$U$30,MATCH("对"&amp;LEFT($C$5,2)&amp;"输出",标准坦克设计!$B$23:$U$23,0)))*(VLOOKUP($B75,INDIRECT($B$5&amp;"生成成长"),3))*(VLOOKUP($B$5,标准坦克设计!$B$14:$K$20,9)/30))</f>
        <v>58.110784593087878</v>
      </c>
      <c r="AI75" s="173">
        <f ca="1">(VLOOKUP(AI$72,INDIRECT($C$5&amp;"生成成长"),2))/((VLOOKUP($B75,INDIRECT($B$5&amp;"生成成长"),4))/(VLOOKUP(AI$72,INDIRECT($C$5&amp;"生成成长"),5))*(VLOOKUP($B$5,标准坦克设计!$B$24:$U$30,MATCH("对"&amp;LEFT($C$5,2)&amp;"输出",标准坦克设计!$B$23:$U$23,0)))*(VLOOKUP($B75,INDIRECT($B$5&amp;"生成成长"),3))*(VLOOKUP($B$5,标准坦克设计!$B$14:$K$20,9)/30))</f>
        <v>41.099617706437463</v>
      </c>
      <c r="AJ75" s="173">
        <f ca="1">(VLOOKUP(AJ$72,INDIRECT($C$5&amp;"生成成长"),2))/((VLOOKUP($B75,INDIRECT($B$5&amp;"生成成长"),4))/(VLOOKUP(AJ$72,INDIRECT($C$5&amp;"生成成长"),5))*(VLOOKUP($B$5,标准坦克设计!$B$24:$U$30,MATCH("对"&amp;LEFT($C$5,2)&amp;"输出",标准坦克设计!$B$23:$U$23,0)))*(VLOOKUP($B75,INDIRECT($B$5&amp;"生成成长"),3))*(VLOOKUP($B$5,标准坦克设计!$B$14:$K$20,9)/30))</f>
        <v>44.986536922124657</v>
      </c>
      <c r="AK75" s="173">
        <f ca="1">(VLOOKUP(AK$72,INDIRECT($C$5&amp;"生成成长"),2))/((VLOOKUP($B75,INDIRECT($B$5&amp;"生成成长"),4))/(VLOOKUP(AK$72,INDIRECT($C$5&amp;"生成成长"),5))*(VLOOKUP($B$5,标准坦克设计!$B$24:$U$30,MATCH("对"&amp;LEFT($C$5,2)&amp;"输出",标准坦克设计!$B$23:$U$23,0)))*(VLOOKUP($B75,INDIRECT($B$5&amp;"生成成长"),3))*(VLOOKUP($B$5,标准坦克设计!$B$14:$K$20,9)/30))</f>
        <v>49.049045917575938</v>
      </c>
      <c r="AL75" s="173">
        <f ca="1">(VLOOKUP(AL$72,INDIRECT($C$5&amp;"生成成长"),2))/((VLOOKUP($B75,INDIRECT($B$5&amp;"生成成长"),4))/(VLOOKUP(AL$72,INDIRECT($C$5&amp;"生成成长"),5))*(VLOOKUP($B$5,标准坦克设计!$B$24:$U$30,MATCH("对"&amp;LEFT($C$5,2)&amp;"输出",标准坦克设计!$B$23:$U$23,0)))*(VLOOKUP($B75,INDIRECT($B$5&amp;"生成成长"),3))*(VLOOKUP($B$5,标准坦克设计!$B$14:$K$20,9)/30))</f>
        <v>53.287144692791358</v>
      </c>
      <c r="AM75" s="173">
        <f ca="1">(VLOOKUP(AM$72,INDIRECT($C$5&amp;"生成成长"),2))/((VLOOKUP($B75,INDIRECT($B$5&amp;"生成成长"),4))/(VLOOKUP(AM$72,INDIRECT($C$5&amp;"生成成长"),5))*(VLOOKUP($B$5,标准坦克设计!$B$24:$U$30,MATCH("对"&amp;LEFT($C$5,2)&amp;"输出",标准坦克设计!$B$23:$U$23,0)))*(VLOOKUP($B75,INDIRECT($B$5&amp;"生成成长"),3))*(VLOOKUP($B$5,标准坦克设计!$B$14:$K$20,9)/30))</f>
        <v>57.700833247770866</v>
      </c>
      <c r="AN75" s="173">
        <f ca="1">(VLOOKUP(AN$72,INDIRECT($C$5&amp;"生成成长"),2))/((VLOOKUP($B75,INDIRECT($B$5&amp;"生成成长"),4))/(VLOOKUP(AN$72,INDIRECT($C$5&amp;"生成成长"),5))*(VLOOKUP($B$5,标准坦克设计!$B$24:$U$30,MATCH("对"&amp;LEFT($C$5,2)&amp;"输出",标准坦克设计!$B$23:$U$23,0)))*(VLOOKUP($B75,INDIRECT($B$5&amp;"生成成长"),3))*(VLOOKUP($B$5,标准坦克设计!$B$14:$K$20,9)/30))</f>
        <v>62.290111582514463</v>
      </c>
      <c r="AO75" s="173">
        <f ca="1">(VLOOKUP(AO$72,INDIRECT($C$5&amp;"生成成长"),2))/((VLOOKUP($B75,INDIRECT($B$5&amp;"生成成长"),4))/(VLOOKUP(AO$72,INDIRECT($C$5&amp;"生成成长"),5))*(VLOOKUP($B$5,标准坦克设计!$B$24:$U$30,MATCH("对"&amp;LEFT($C$5,2)&amp;"输出",标准坦克设计!$B$23:$U$23,0)))*(VLOOKUP($B75,INDIRECT($B$5&amp;"生成成长"),3))*(VLOOKUP($B$5,标准坦克设计!$B$14:$K$20,9)/30))</f>
        <v>67.054979697022176</v>
      </c>
      <c r="AP75" s="173">
        <f ca="1">(VLOOKUP(AP$72,INDIRECT($C$5&amp;"生成成长"),2))/((VLOOKUP($B75,INDIRECT($B$5&amp;"生成成长"),4))/(VLOOKUP(AP$72,INDIRECT($C$5&amp;"生成成长"),5))*(VLOOKUP($B$5,标准坦克设计!$B$24:$U$30,MATCH("对"&amp;LEFT($C$5,2)&amp;"输出",标准坦克设计!$B$23:$U$23,0)))*(VLOOKUP($B75,INDIRECT($B$5&amp;"生成成长"),3))*(VLOOKUP($B$5,标准坦克设计!$B$14:$K$20,9)/30))</f>
        <v>71.995437591293992</v>
      </c>
      <c r="AQ75" s="173">
        <f ca="1">(VLOOKUP(AQ$72,INDIRECT($C$5&amp;"生成成长"),2))/((VLOOKUP($B75,INDIRECT($B$5&amp;"生成成长"),4))/(VLOOKUP(AQ$72,INDIRECT($C$5&amp;"生成成长"),5))*(VLOOKUP($B$5,标准坦克设计!$B$24:$U$30,MATCH("对"&amp;LEFT($C$5,2)&amp;"输出",标准坦克设计!$B$23:$U$23,0)))*(VLOOKUP($B75,INDIRECT($B$5&amp;"生成成长"),3))*(VLOOKUP($B$5,标准坦克设计!$B$14:$K$20,9)/30))</f>
        <v>77.111485265329918</v>
      </c>
      <c r="AR75" s="173">
        <f ca="1">(VLOOKUP(AR$72,INDIRECT($C$5&amp;"生成成长"),2))/((VLOOKUP($B75,INDIRECT($B$5&amp;"生成成长"),4))/(VLOOKUP(AR$72,INDIRECT($C$5&amp;"生成成长"),5))*(VLOOKUP($B$5,标准坦克设计!$B$24:$U$30,MATCH("对"&amp;LEFT($C$5,2)&amp;"输出",标准坦克设计!$B$23:$U$23,0)))*(VLOOKUP($B75,INDIRECT($B$5&amp;"生成成长"),3))*(VLOOKUP($B$5,标准坦克设计!$B$14:$K$20,9)/30))</f>
        <v>82.403122719129925</v>
      </c>
      <c r="AS75" s="173">
        <f ca="1">(VLOOKUP(AS$72,INDIRECT($C$5&amp;"生成成长"),2))/((VLOOKUP($B75,INDIRECT($B$5&amp;"生成成长"),4))/(VLOOKUP(AS$72,INDIRECT($C$5&amp;"生成成长"),5))*(VLOOKUP($B$5,标准坦克设计!$B$24:$U$30,MATCH("对"&amp;LEFT($C$5,2)&amp;"输出",标准坦克设计!$B$23:$U$23,0)))*(VLOOKUP($B75,INDIRECT($B$5&amp;"生成成长"),3))*(VLOOKUP($B$5,标准坦克设计!$B$14:$K$20,9)/30))</f>
        <v>87.870349952694056</v>
      </c>
      <c r="AT75" s="173">
        <f ca="1">(VLOOKUP(AT$72,INDIRECT($C$5&amp;"生成成长"),2))/((VLOOKUP($B75,INDIRECT($B$5&amp;"生成成长"),4))/(VLOOKUP(AT$72,INDIRECT($C$5&amp;"生成成长"),5))*(VLOOKUP($B$5,标准坦克设计!$B$24:$U$30,MATCH("对"&amp;LEFT($C$5,2)&amp;"输出",标准坦克设计!$B$23:$U$23,0)))*(VLOOKUP($B75,INDIRECT($B$5&amp;"生成成长"),3))*(VLOOKUP($B$5,标准坦克设计!$B$14:$K$20,9)/30))</f>
        <v>93.513166966022268</v>
      </c>
      <c r="AU75" s="173">
        <f ca="1">(VLOOKUP(AU$72,INDIRECT($C$5&amp;"生成成长"),2))/((VLOOKUP($B75,INDIRECT($B$5&amp;"生成成长"),4))/(VLOOKUP(AU$72,INDIRECT($C$5&amp;"生成成长"),5))*(VLOOKUP($B$5,标准坦克设计!$B$24:$U$30,MATCH("对"&amp;LEFT($C$5,2)&amp;"输出",标准坦克设计!$B$23:$U$23,0)))*(VLOOKUP($B75,INDIRECT($B$5&amp;"生成成长"),3))*(VLOOKUP($B$5,标准坦克设计!$B$14:$K$20,9)/30))</f>
        <v>99.331573759114619</v>
      </c>
      <c r="AV75" s="173">
        <f ca="1">(VLOOKUP(AV$72,INDIRECT($C$5&amp;"生成成长"),2))/((VLOOKUP($B75,INDIRECT($B$5&amp;"生成成长"),4))/(VLOOKUP(AV$72,INDIRECT($C$5&amp;"生成成长"),5))*(VLOOKUP($B$5,标准坦克设计!$B$24:$U$30,MATCH("对"&amp;LEFT($C$5,2)&amp;"输出",标准坦克设计!$B$23:$U$23,0)))*(VLOOKUP($B75,INDIRECT($B$5&amp;"生成成长"),3))*(VLOOKUP($B$5,标准坦克设计!$B$14:$K$20,9)/30))</f>
        <v>10.102942534856917</v>
      </c>
      <c r="AW75" s="173">
        <f ca="1">(VLOOKUP(AW$72,INDIRECT($C$5&amp;"生成成长"),2))/((VLOOKUP($B75,INDIRECT($B$5&amp;"生成成长"),4))/(VLOOKUP(AW$72,INDIRECT($C$5&amp;"生成成长"),5))*(VLOOKUP($B$5,标准坦克设计!$B$24:$U$30,MATCH("对"&amp;LEFT($C$5,2)&amp;"输出",标准坦克设计!$B$23:$U$23,0)))*(VLOOKUP($B75,INDIRECT($B$5&amp;"生成成长"),3))*(VLOOKUP($B$5,标准坦克设计!$B$14:$K$20,9)/30))</f>
        <v>11.51927001460704</v>
      </c>
      <c r="AX75" s="173">
        <f ca="1">(VLOOKUP(AX$72,INDIRECT($C$5&amp;"生成成长"),2))/((VLOOKUP($B75,INDIRECT($B$5&amp;"生成成长"),4))/(VLOOKUP(AX$72,INDIRECT($C$5&amp;"生成成长"),5))*(VLOOKUP($B$5,标准坦克设计!$B$24:$U$30,MATCH("对"&amp;LEFT($C$5,2)&amp;"输出",标准坦克设计!$B$23:$U$23,0)))*(VLOOKUP($B75,INDIRECT($B$5&amp;"生成成长"),3))*(VLOOKUP($B$5,标准坦克设计!$B$14:$K$20,9)/30))</f>
        <v>13.02847142745553</v>
      </c>
      <c r="AY75" s="173">
        <f ca="1">(VLOOKUP(AY$72,INDIRECT($C$5&amp;"生成成长"),2))/((VLOOKUP($B75,INDIRECT($B$5&amp;"生成成长"),4))/(VLOOKUP(AY$72,INDIRECT($C$5&amp;"生成成长"),5))*(VLOOKUP($B$5,标准坦克设计!$B$24:$U$30,MATCH("对"&amp;LEFT($C$5,2)&amp;"输出",标准坦克设计!$B$23:$U$23,0)))*(VLOOKUP($B75,INDIRECT($B$5&amp;"生成成长"),3))*(VLOOKUP($B$5,标准坦克设计!$B$14:$K$20,9)/30))</f>
        <v>14.63054677340239</v>
      </c>
      <c r="AZ75" s="173">
        <f ca="1">(VLOOKUP(AZ$72,INDIRECT($C$5&amp;"生成成长"),2))/((VLOOKUP($B75,INDIRECT($B$5&amp;"生成成长"),4))/(VLOOKUP(AZ$72,INDIRECT($C$5&amp;"生成成长"),5))*(VLOOKUP($B$5,标准坦克设计!$B$24:$U$30,MATCH("对"&amp;LEFT($C$5,2)&amp;"输出",标准坦克设计!$B$23:$U$23,0)))*(VLOOKUP($B75,INDIRECT($B$5&amp;"生成成长"),3))*(VLOOKUP($B$5,标准坦克设计!$B$14:$K$20,9)/30))</f>
        <v>16.325496052447615</v>
      </c>
      <c r="BA75" s="173">
        <f ca="1">(VLOOKUP(BA$72,INDIRECT($C$5&amp;"生成成长"),2))/((VLOOKUP($B75,INDIRECT($B$5&amp;"生成成长"),4))/(VLOOKUP(BA$72,INDIRECT($C$5&amp;"生成成长"),5))*(VLOOKUP($B$5,标准坦克设计!$B$24:$U$30,MATCH("对"&amp;LEFT($C$5,2)&amp;"输出",标准坦克设计!$B$23:$U$23,0)))*(VLOOKUP($B75,INDIRECT($B$5&amp;"生成成长"),3))*(VLOOKUP($B$5,标准坦克设计!$B$14:$K$20,9)/30))</f>
        <v>18.113319264591215</v>
      </c>
      <c r="BB75" s="173">
        <f ca="1">(VLOOKUP(BB$72,INDIRECT($C$5&amp;"生成成长"),2))/((VLOOKUP($B75,INDIRECT($B$5&amp;"生成成长"),4))/(VLOOKUP(BB$72,INDIRECT($C$5&amp;"生成成长"),5))*(VLOOKUP($B$5,标准坦克设计!$B$24:$U$30,MATCH("对"&amp;LEFT($C$5,2)&amp;"输出",标准坦克设计!$B$23:$U$23,0)))*(VLOOKUP($B75,INDIRECT($B$5&amp;"生成成长"),3))*(VLOOKUP($B$5,标准坦克设计!$B$14:$K$20,9)/30))</f>
        <v>19.994016409833179</v>
      </c>
      <c r="BC75" s="173">
        <f ca="1">(VLOOKUP(BC$72,INDIRECT($C$5&amp;"生成成长"),2))/((VLOOKUP($B75,INDIRECT($B$5&amp;"生成成长"),4))/(VLOOKUP(BC$72,INDIRECT($C$5&amp;"生成成长"),5))*(VLOOKUP($B$5,标准坦克设计!$B$24:$U$30,MATCH("对"&amp;LEFT($C$5,2)&amp;"输出",标准坦克设计!$B$23:$U$23,0)))*(VLOOKUP($B75,INDIRECT($B$5&amp;"生成成长"),3))*(VLOOKUP($B$5,标准坦克设计!$B$14:$K$20,9)/30))</f>
        <v>21.967587488173514</v>
      </c>
      <c r="BD75" s="173">
        <f ca="1">(VLOOKUP(BD$72,INDIRECT($C$5&amp;"生成成长"),2))/((VLOOKUP($B75,INDIRECT($B$5&amp;"生成成长"),4))/(VLOOKUP(BD$72,INDIRECT($C$5&amp;"生成成长"),5))*(VLOOKUP($B$5,标准坦克设计!$B$24:$U$30,MATCH("对"&amp;LEFT($C$5,2)&amp;"输出",标准坦克设计!$B$23:$U$23,0)))*(VLOOKUP($B75,INDIRECT($B$5&amp;"生成成长"),3))*(VLOOKUP($B$5,标准坦克设计!$B$14:$K$20,9)/30))</f>
        <v>24.298868324463037</v>
      </c>
      <c r="BE75" s="173">
        <f ca="1">(VLOOKUP(BE$72,INDIRECT($C$5&amp;"生成成长"),2))/((VLOOKUP($B75,INDIRECT($B$5&amp;"生成成长"),4))/(VLOOKUP(BE$72,INDIRECT($C$5&amp;"生成成长"),5))*(VLOOKUP($B$5,标准坦克设计!$B$24:$U$30,MATCH("对"&amp;LEFT($C$5,2)&amp;"输出",标准坦克设计!$B$23:$U$23,0)))*(VLOOKUP($B75,INDIRECT($B$5&amp;"生成成长"),3))*(VLOOKUP($B$5,标准坦克设计!$B$14:$K$20,9)/30))</f>
        <v>26.747692732330172</v>
      </c>
      <c r="BF75" s="173">
        <f ca="1">(VLOOKUP(BF$72,INDIRECT($C$5&amp;"生成成长"),2))/((VLOOKUP($B75,INDIRECT($B$5&amp;"生成成长"),4))/(VLOOKUP(BF$72,INDIRECT($C$5&amp;"生成成长"),5))*(VLOOKUP($B$5,标准坦克设计!$B$24:$U$30,MATCH("对"&amp;LEFT($C$5,2)&amp;"输出",标准坦克设计!$B$23:$U$23,0)))*(VLOOKUP($B75,INDIRECT($B$5&amp;"生成成长"),3))*(VLOOKUP($B$5,标准坦克设计!$B$14:$K$20,9)/30))</f>
        <v>29.314060711774943</v>
      </c>
      <c r="BG75" s="173">
        <f ca="1">(VLOOKUP(BG$72,INDIRECT($C$5&amp;"生成成长"),2))/((VLOOKUP($B75,INDIRECT($B$5&amp;"生成成长"),4))/(VLOOKUP(BG$72,INDIRECT($C$5&amp;"生成成长"),5))*(VLOOKUP($B$5,标准坦克设计!$B$24:$U$30,MATCH("对"&amp;LEFT($C$5,2)&amp;"输出",标准坦克设计!$B$23:$U$23,0)))*(VLOOKUP($B75,INDIRECT($B$5&amp;"生成成长"),3))*(VLOOKUP($B$5,标准坦克设计!$B$14:$K$20,9)/30))</f>
        <v>31.99797226279733</v>
      </c>
      <c r="BH75" s="173">
        <f ca="1">(VLOOKUP(BH$72,INDIRECT($C$5&amp;"生成成长"),2))/((VLOOKUP($B75,INDIRECT($B$5&amp;"生成成长"),4))/(VLOOKUP(BH$72,INDIRECT($C$5&amp;"生成成长"),5))*(VLOOKUP($B$5,标准坦克设计!$B$24:$U$30,MATCH("对"&amp;LEFT($C$5,2)&amp;"输出",标准坦克设计!$B$23:$U$23,0)))*(VLOOKUP($B75,INDIRECT($B$5&amp;"生成成长"),3))*(VLOOKUP($B$5,标准坦克设计!$B$14:$K$20,9)/30))</f>
        <v>15.466412171287708</v>
      </c>
      <c r="BI75" s="173">
        <f ca="1">(VLOOKUP(BI$72,INDIRECT($C$5&amp;"生成成长"),2))/((VLOOKUP($B75,INDIRECT($B$5&amp;"生成成长"),4))/(VLOOKUP(BI$72,INDIRECT($C$5&amp;"生成成长"),5))*(VLOOKUP($B$5,标准坦克设计!$B$24:$U$30,MATCH("对"&amp;LEFT($C$5,2)&amp;"输出",标准坦克设计!$B$23:$U$23,0)))*(VLOOKUP($B75,INDIRECT($B$5&amp;"生成成长"),3))*(VLOOKUP($B$5,标准坦克设计!$B$14:$K$20,9)/30))</f>
        <v>17.432001896002401</v>
      </c>
      <c r="BJ75" s="173">
        <f ca="1">(VLOOKUP(BJ$72,INDIRECT($C$5&amp;"生成成长"),2))/((VLOOKUP($B75,INDIRECT($B$5&amp;"生成成长"),4))/(VLOOKUP(BJ$72,INDIRECT($C$5&amp;"生成成长"),5))*(VLOOKUP($B$5,标准坦克设计!$B$24:$U$30,MATCH("对"&amp;LEFT($C$5,2)&amp;"输出",标准坦克设计!$B$23:$U$23,0)))*(VLOOKUP($B75,INDIRECT($B$5&amp;"生成成长"),3))*(VLOOKUP($B$5,标准坦克设计!$B$14:$K$20,9)/30))</f>
        <v>19.515135192294714</v>
      </c>
      <c r="BK75" s="173">
        <f ca="1">(VLOOKUP(BK$72,INDIRECT($C$5&amp;"生成成长"),2))/((VLOOKUP($B75,INDIRECT($B$5&amp;"生成成长"),4))/(VLOOKUP(BK$72,INDIRECT($C$5&amp;"生成成长"),5))*(VLOOKUP($B$5,标准坦克设计!$B$24:$U$30,MATCH("对"&amp;LEFT($C$5,2)&amp;"输出",标准坦克设计!$B$23:$U$23,0)))*(VLOOKUP($B75,INDIRECT($B$5&amp;"生成成长"),3))*(VLOOKUP($B$5,标准坦克设计!$B$14:$K$20,9)/30))</f>
        <v>21.715812060164655</v>
      </c>
      <c r="BL75" s="173">
        <f ca="1">(VLOOKUP(BL$72,INDIRECT($C$5&amp;"生成成长"),2))/((VLOOKUP($B75,INDIRECT($B$5&amp;"生成成长"),4))/(VLOOKUP(BL$72,INDIRECT($C$5&amp;"生成成长"),5))*(VLOOKUP($B$5,标准坦克设计!$B$24:$U$30,MATCH("对"&amp;LEFT($C$5,2)&amp;"输出",标准坦克设计!$B$23:$U$23,0)))*(VLOOKUP($B75,INDIRECT($B$5&amp;"生成成长"),3))*(VLOOKUP($B$5,标准坦克设计!$B$14:$K$20,9)/30))</f>
        <v>24.034032499612216</v>
      </c>
      <c r="BM75" s="173">
        <f ca="1">(VLOOKUP(BM$72,INDIRECT($C$5&amp;"生成成长"),2))/((VLOOKUP($B75,INDIRECT($B$5&amp;"生成成长"),4))/(VLOOKUP(BM$72,INDIRECT($C$5&amp;"生成成长"),5))*(VLOOKUP($B$5,标准坦克设计!$B$24:$U$30,MATCH("对"&amp;LEFT($C$5,2)&amp;"输出",标准坦克设计!$B$23:$U$23,0)))*(VLOOKUP($B75,INDIRECT($B$5&amp;"生成成长"),3))*(VLOOKUP($B$5,标准坦克设计!$B$14:$K$20,9)/30))</f>
        <v>26.469796510637405</v>
      </c>
      <c r="BN75" s="173">
        <f ca="1">(VLOOKUP(BN$72,INDIRECT($C$5&amp;"生成成长"),2))/((VLOOKUP($B75,INDIRECT($B$5&amp;"生成成长"),4))/(VLOOKUP(BN$72,INDIRECT($C$5&amp;"生成成长"),5))*(VLOOKUP($B$5,标准坦克设计!$B$24:$U$30,MATCH("对"&amp;LEFT($C$5,2)&amp;"输出",标准坦克设计!$B$23:$U$23,0)))*(VLOOKUP($B75,INDIRECT($B$5&amp;"生成成长"),3))*(VLOOKUP($B$5,标准坦克设计!$B$14:$K$20,9)/30))</f>
        <v>29.023104093240207</v>
      </c>
      <c r="BO75" s="173">
        <f ca="1">(VLOOKUP(BO$72,INDIRECT($C$5&amp;"生成成长"),2))/((VLOOKUP($B75,INDIRECT($B$5&amp;"生成成长"),4))/(VLOOKUP(BO$72,INDIRECT($C$5&amp;"生成成长"),5))*(VLOOKUP($B$5,标准坦克设计!$B$24:$U$30,MATCH("对"&amp;LEFT($C$5,2)&amp;"输出",标准坦克设计!$B$23:$U$23,0)))*(VLOOKUP($B75,INDIRECT($B$5&amp;"生成成长"),3))*(VLOOKUP($B$5,标准坦克设计!$B$14:$K$20,9)/30))</f>
        <v>31.693955247420636</v>
      </c>
      <c r="BP75" s="173">
        <f ca="1">(VLOOKUP(BP$72,INDIRECT($C$5&amp;"生成成长"),2))/((VLOOKUP($B75,INDIRECT($B$5&amp;"生成成长"),4))/(VLOOKUP(BP$72,INDIRECT($C$5&amp;"生成成长"),5))*(VLOOKUP($B$5,标准坦克设计!$B$24:$U$30,MATCH("对"&amp;LEFT($C$5,2)&amp;"输出",标准坦克设计!$B$23:$U$23,0)))*(VLOOKUP($B75,INDIRECT($B$5&amp;"生成成长"),3))*(VLOOKUP($B$5,标准坦克设计!$B$14:$K$20,9)/30))</f>
        <v>34.482349973178692</v>
      </c>
      <c r="BQ75" s="173">
        <f ca="1">(VLOOKUP(BQ$72,INDIRECT($C$5&amp;"生成成长"),2))/((VLOOKUP($B75,INDIRECT($B$5&amp;"生成成长"),4))/(VLOOKUP(BQ$72,INDIRECT($C$5&amp;"生成成长"),5))*(VLOOKUP($B$5,标准坦克设计!$B$24:$U$30,MATCH("对"&amp;LEFT($C$5,2)&amp;"输出",标准坦克设计!$B$23:$U$23,0)))*(VLOOKUP($B75,INDIRECT($B$5&amp;"生成成长"),3))*(VLOOKUP($B$5,标准坦克设计!$B$14:$K$20,9)/30))</f>
        <v>37.388288270514366</v>
      </c>
      <c r="BR75" s="173">
        <f ca="1">(VLOOKUP(BR$72,INDIRECT($C$5&amp;"生成成长"),2))/((VLOOKUP($B75,INDIRECT($B$5&amp;"生成成长"),4))/(VLOOKUP(BR$72,INDIRECT($C$5&amp;"生成成长"),5))*(VLOOKUP($B$5,标准坦克设计!$B$24:$U$30,MATCH("对"&amp;LEFT($C$5,2)&amp;"输出",标准坦克设计!$B$23:$U$23,0)))*(VLOOKUP($B75,INDIRECT($B$5&amp;"生成成长"),3))*(VLOOKUP($B$5,标准坦克设计!$B$14:$K$20,9)/30))</f>
        <v>40.754968345330234</v>
      </c>
      <c r="BS75" s="173">
        <f ca="1">(VLOOKUP(BS$72,INDIRECT($C$5&amp;"生成成长"),2))/((VLOOKUP($B75,INDIRECT($B$5&amp;"生成成长"),4))/(VLOOKUP(BS$72,INDIRECT($C$5&amp;"生成成长"),5))*(VLOOKUP($B$5,标准坦克设计!$B$24:$U$30,MATCH("对"&amp;LEFT($C$5,2)&amp;"输出",标准坦克设计!$B$23:$U$23,0)))*(VLOOKUP($B75,INDIRECT($B$5&amp;"生成成长"),3))*(VLOOKUP($B$5,标准坦克设计!$B$14:$K$20,9)/30))</f>
        <v>44.266763940612293</v>
      </c>
      <c r="BT75" s="173">
        <f ca="1">(VLOOKUP(BT$72,INDIRECT($C$5&amp;"生成成长"),2))/((VLOOKUP($B75,INDIRECT($B$5&amp;"生成成长"),4))/(VLOOKUP(BT$72,INDIRECT($C$5&amp;"生成成长"),5))*(VLOOKUP($B$5,标准坦克设计!$B$24:$U$30,MATCH("对"&amp;LEFT($C$5,2)&amp;"输出",标准坦克设计!$B$23:$U$23,0)))*(VLOOKUP($B75,INDIRECT($B$5&amp;"生成成长"),3))*(VLOOKUP($B$5,标准坦克设计!$B$14:$K$20,9)/30))</f>
        <v>47.923675056360565</v>
      </c>
      <c r="BU75" s="173">
        <f ca="1">(VLOOKUP(BU$72,INDIRECT($C$5&amp;"生成成长"),2))/((VLOOKUP($B75,INDIRECT($B$5&amp;"生成成长"),4))/(VLOOKUP(BU$72,INDIRECT($C$5&amp;"生成成长"),5))*(VLOOKUP($B$5,标准坦克设计!$B$24:$U$30,MATCH("对"&amp;LEFT($C$5,2)&amp;"输出",标准坦克设计!$B$23:$U$23,0)))*(VLOOKUP($B75,INDIRECT($B$5&amp;"生成成长"),3))*(VLOOKUP($B$5,标准坦克设计!$B$14:$K$20,9)/30))</f>
        <v>51.725701692575022</v>
      </c>
      <c r="BV75" s="173">
        <f ca="1">(VLOOKUP(BV$72,INDIRECT($C$5&amp;"生成成长"),2))/((VLOOKUP($B75,INDIRECT($B$5&amp;"生成成长"),4))/(VLOOKUP(BV$72,INDIRECT($C$5&amp;"生成成长"),5))*(VLOOKUP($B$5,标准坦克设计!$B$24:$U$30,MATCH("对"&amp;LEFT($C$5,2)&amp;"输出",标准坦克设计!$B$23:$U$23,0)))*(VLOOKUP($B75,INDIRECT($B$5&amp;"生成成长"),3))*(VLOOKUP($B$5,标准坦克设计!$B$14:$K$20,9)/30))</f>
        <v>55.672843849255713</v>
      </c>
      <c r="BW75" s="173">
        <f ca="1">(VLOOKUP(BW$72,INDIRECT($C$5&amp;"生成成长"),2))/((VLOOKUP($B75,INDIRECT($B$5&amp;"生成成长"),4))/(VLOOKUP(BW$72,INDIRECT($C$5&amp;"生成成长"),5))*(VLOOKUP($B$5,标准坦克设计!$B$24:$U$30,MATCH("对"&amp;LEFT($C$5,2)&amp;"输出",标准坦克设计!$B$23:$U$23,0)))*(VLOOKUP($B75,INDIRECT($B$5&amp;"生成成长"),3))*(VLOOKUP($B$5,标准坦克设计!$B$14:$K$20,9)/30))</f>
        <v>25.372723175912927</v>
      </c>
      <c r="BX75" s="173">
        <f ca="1">(VLOOKUP(BX$72,INDIRECT($C$5&amp;"生成成长"),2))/((VLOOKUP($B75,INDIRECT($B$5&amp;"生成成长"),4))/(VLOOKUP(BX$72,INDIRECT($C$5&amp;"生成成长"),5))*(VLOOKUP($B$5,标准坦克设计!$B$24:$U$30,MATCH("对"&amp;LEFT($C$5,2)&amp;"输出",标准坦克设计!$B$23:$U$23,0)))*(VLOOKUP($B75,INDIRECT($B$5&amp;"生成成长"),3))*(VLOOKUP($B$5,标准坦克设计!$B$14:$K$20,9)/30))</f>
        <v>28.158941168863979</v>
      </c>
      <c r="BY75" s="173">
        <f ca="1">(VLOOKUP(BY$72,INDIRECT($C$5&amp;"生成成长"),2))/((VLOOKUP($B75,INDIRECT($B$5&amp;"生成成长"),4))/(VLOOKUP(BY$72,INDIRECT($C$5&amp;"生成成长"),5))*(VLOOKUP($B$5,标准坦克设计!$B$24:$U$30,MATCH("对"&amp;LEFT($C$5,2)&amp;"输出",标准坦克设计!$B$23:$U$23,0)))*(VLOOKUP($B75,INDIRECT($B$5&amp;"生成成长"),3))*(VLOOKUP($B$5,标准坦克设计!$B$14:$K$20,9)/30))</f>
        <v>31.090274682281244</v>
      </c>
      <c r="BZ75" s="173">
        <f ca="1">(VLOOKUP(BZ$72,INDIRECT($C$5&amp;"生成成长"),2))/((VLOOKUP($B75,INDIRECT($B$5&amp;"生成成长"),4))/(VLOOKUP(BZ$72,INDIRECT($C$5&amp;"生成成长"),5))*(VLOOKUP($B$5,标准坦克设计!$B$24:$U$30,MATCH("对"&amp;LEFT($C$5,2)&amp;"输出",标准坦克设计!$B$23:$U$23,0)))*(VLOOKUP($B75,INDIRECT($B$5&amp;"生成成长"),3))*(VLOOKUP($B$5,标准坦克设计!$B$14:$K$20,9)/30))</f>
        <v>34.166723716164711</v>
      </c>
      <c r="CA75" s="173">
        <f ca="1">(VLOOKUP(CA$72,INDIRECT($C$5&amp;"生成成长"),2))/((VLOOKUP($B75,INDIRECT($B$5&amp;"生成成长"),4))/(VLOOKUP(CA$72,INDIRECT($C$5&amp;"生成成长"),5))*(VLOOKUP($B$5,标准坦克设计!$B$24:$U$30,MATCH("对"&amp;LEFT($C$5,2)&amp;"输出",标准坦克设计!$B$23:$U$23,0)))*(VLOOKUP($B75,INDIRECT($B$5&amp;"生成成长"),3))*(VLOOKUP($B$5,标准坦克设计!$B$14:$K$20,9)/30))</f>
        <v>37.388288270514366</v>
      </c>
      <c r="CB75" s="173">
        <f ca="1">(VLOOKUP(CB$72,INDIRECT($C$5&amp;"生成成长"),2))/((VLOOKUP($B75,INDIRECT($B$5&amp;"生成成长"),4))/(VLOOKUP(CB$72,INDIRECT($C$5&amp;"生成成长"),5))*(VLOOKUP($B$5,标准坦克设计!$B$24:$U$30,MATCH("对"&amp;LEFT($C$5,2)&amp;"输出",标准坦克设计!$B$23:$U$23,0)))*(VLOOKUP($B75,INDIRECT($B$5&amp;"生成成长"),3))*(VLOOKUP($B$5,标准坦克设计!$B$14:$K$20,9)/30))</f>
        <v>40.754968345330234</v>
      </c>
      <c r="CC75" s="173">
        <f ca="1">(VLOOKUP(CC$72,INDIRECT($C$5&amp;"生成成长"),2))/((VLOOKUP($B75,INDIRECT($B$5&amp;"生成成长"),4))/(VLOOKUP(CC$72,INDIRECT($C$5&amp;"生成成长"),5))*(VLOOKUP($B$5,标准坦克设计!$B$24:$U$30,MATCH("对"&amp;LEFT($C$5,2)&amp;"输出",标准坦克设计!$B$23:$U$23,0)))*(VLOOKUP($B75,INDIRECT($B$5&amp;"生成成长"),3))*(VLOOKUP($B$5,标准坦克设计!$B$14:$K$20,9)/30))</f>
        <v>44.266763940612293</v>
      </c>
      <c r="CD75" s="173">
        <f ca="1">(VLOOKUP(CD$72,INDIRECT($C$5&amp;"生成成长"),2))/((VLOOKUP($B75,INDIRECT($B$5&amp;"生成成长"),4))/(VLOOKUP(CD$72,INDIRECT($C$5&amp;"生成成长"),5))*(VLOOKUP($B$5,标准坦克设计!$B$24:$U$30,MATCH("对"&amp;LEFT($C$5,2)&amp;"输出",标准坦克设计!$B$23:$U$23,0)))*(VLOOKUP($B75,INDIRECT($B$5&amp;"生成成长"),3))*(VLOOKUP($B$5,标准坦克设计!$B$14:$K$20,9)/30))</f>
        <v>47.923675056360565</v>
      </c>
      <c r="CE75" s="173">
        <f ca="1">(VLOOKUP(CE$72,INDIRECT($C$5&amp;"生成成长"),2))/((VLOOKUP($B75,INDIRECT($B$5&amp;"生成成长"),4))/(VLOOKUP(CE$72,INDIRECT($C$5&amp;"生成成长"),5))*(VLOOKUP($B$5,标准坦克设计!$B$24:$U$30,MATCH("对"&amp;LEFT($C$5,2)&amp;"输出",标准坦克设计!$B$23:$U$23,0)))*(VLOOKUP($B75,INDIRECT($B$5&amp;"生成成长"),3))*(VLOOKUP($B$5,标准坦克设计!$B$14:$K$20,9)/30))</f>
        <v>51.725701692575022</v>
      </c>
      <c r="CF75" s="173">
        <f ca="1">(VLOOKUP(CF$72,INDIRECT($C$5&amp;"生成成长"),2))/((VLOOKUP($B75,INDIRECT($B$5&amp;"生成成长"),4))/(VLOOKUP(CF$72,INDIRECT($C$5&amp;"生成成长"),5))*(VLOOKUP($B$5,标准坦克设计!$B$24:$U$30,MATCH("对"&amp;LEFT($C$5,2)&amp;"输出",标准坦克设计!$B$23:$U$23,0)))*(VLOOKUP($B75,INDIRECT($B$5&amp;"生成成长"),3))*(VLOOKUP($B$5,标准坦克设计!$B$14:$K$20,9)/30))</f>
        <v>55.672843849255713</v>
      </c>
      <c r="CG75" s="173">
        <f ca="1">(VLOOKUP(CG$72,INDIRECT($C$5&amp;"生成成长"),2))/((VLOOKUP($B75,INDIRECT($B$5&amp;"生成成长"),4))/(VLOOKUP(CG$72,INDIRECT($C$5&amp;"生成成长"),5))*(VLOOKUP($B$5,标准坦克设计!$B$24:$U$30,MATCH("对"&amp;LEFT($C$5,2)&amp;"输出",标准坦克设计!$B$23:$U$23,0)))*(VLOOKUP($B75,INDIRECT($B$5&amp;"生成成长"),3))*(VLOOKUP($B$5,标准坦克设计!$B$14:$K$20,9)/30))</f>
        <v>59.765101526402567</v>
      </c>
      <c r="CH75" s="173">
        <f ca="1">(VLOOKUP(CH$72,INDIRECT($C$5&amp;"生成成长"),2))/((VLOOKUP($B75,INDIRECT($B$5&amp;"生成成长"),4))/(VLOOKUP(CH$72,INDIRECT($C$5&amp;"生成成长"),5))*(VLOOKUP($B$5,标准坦克设计!$B$24:$U$30,MATCH("对"&amp;LEFT($C$5,2)&amp;"输出",标准坦克设计!$B$23:$U$23,0)))*(VLOOKUP($B75,INDIRECT($B$5&amp;"生成成长"),3))*(VLOOKUP($B$5,标准坦克设计!$B$14:$K$20,9)/30))</f>
        <v>64.002474724015642</v>
      </c>
      <c r="CI75" s="173">
        <f ca="1">(VLOOKUP(CI$72,INDIRECT($C$5&amp;"生成成长"),2))/((VLOOKUP($B75,INDIRECT($B$5&amp;"生成成长"),4))/(VLOOKUP(CI$72,INDIRECT($C$5&amp;"生成成长"),5))*(VLOOKUP($B$5,标准坦克设计!$B$24:$U$30,MATCH("对"&amp;LEFT($C$5,2)&amp;"输出",标准坦克设计!$B$23:$U$23,0)))*(VLOOKUP($B75,INDIRECT($B$5&amp;"生成成长"),3))*(VLOOKUP($B$5,标准坦克设计!$B$14:$K$20,9)/30))</f>
        <v>68.831193667528481</v>
      </c>
      <c r="CJ75" s="173">
        <f ca="1">(VLOOKUP(CJ$72,INDIRECT($C$5&amp;"生成成长"),2))/((VLOOKUP($B75,INDIRECT($B$5&amp;"生成成长"),4))/(VLOOKUP(CJ$72,INDIRECT($C$5&amp;"生成成长"),5))*(VLOOKUP($B$5,标准坦克设计!$B$24:$U$30,MATCH("对"&amp;LEFT($C$5,2)&amp;"输出",标准坦克设计!$B$23:$U$23,0)))*(VLOOKUP($B75,INDIRECT($B$5&amp;"生成成长"),3))*(VLOOKUP($B$5,标准坦克设计!$B$14:$K$20,9)/30))</f>
        <v>73.835502390805431</v>
      </c>
      <c r="CK75" s="173">
        <f ca="1">(VLOOKUP(CK$72,INDIRECT($C$5&amp;"生成成长"),2))/((VLOOKUP($B75,INDIRECT($B$5&amp;"生成成长"),4))/(VLOOKUP(CK$72,INDIRECT($C$5&amp;"生成成长"),5))*(VLOOKUP($B$5,标准坦克设计!$B$24:$U$30,MATCH("对"&amp;LEFT($C$5,2)&amp;"输出",标准坦克设计!$B$23:$U$23,0)))*(VLOOKUP($B75,INDIRECT($B$5&amp;"生成成长"),3))*(VLOOKUP($B$5,标准坦克设计!$B$14:$K$20,9)/30))</f>
        <v>79.015400893846476</v>
      </c>
      <c r="CL75" s="173">
        <f ca="1">(VLOOKUP(CL$72,INDIRECT($C$5&amp;"生成成长"),2))/((VLOOKUP($B75,INDIRECT($B$5&amp;"生成成长"),4))/(VLOOKUP(CL$72,INDIRECT($C$5&amp;"生成成长"),5))*(VLOOKUP($B$5,标准坦克设计!$B$24:$U$30,MATCH("对"&amp;LEFT($C$5,2)&amp;"输出",标准坦克设计!$B$23:$U$23,0)))*(VLOOKUP($B75,INDIRECT($B$5&amp;"生成成长"),3))*(VLOOKUP($B$5,标准坦克设计!$B$14:$K$20,9)/30))</f>
        <v>84.370889176651616</v>
      </c>
      <c r="CM75" s="173">
        <f ca="1">(VLOOKUP(CM$72,INDIRECT($C$5&amp;"生成成长"),2))/((VLOOKUP($B75,INDIRECT($B$5&amp;"生成成长"),4))/(VLOOKUP(CM$72,INDIRECT($C$5&amp;"生成成长"),5))*(VLOOKUP($B$5,标准坦克设计!$B$24:$U$30,MATCH("对"&amp;LEFT($C$5,2)&amp;"输出",标准坦克设计!$B$23:$U$23,0)))*(VLOOKUP($B75,INDIRECT($B$5&amp;"生成成长"),3))*(VLOOKUP($B$5,标准坦克设计!$B$14:$K$20,9)/30))</f>
        <v>89.901967239220866</v>
      </c>
      <c r="CN75" s="173">
        <f ca="1">(VLOOKUP(CN$72,INDIRECT($C$5&amp;"生成成长"),2))/((VLOOKUP($B75,INDIRECT($B$5&amp;"生成成长"),4))/(VLOOKUP(CN$72,INDIRECT($C$5&amp;"生成成长"),5))*(VLOOKUP($B$5,标准坦克设计!$B$24:$U$30,MATCH("对"&amp;LEFT($C$5,2)&amp;"输出",标准坦克设计!$B$23:$U$23,0)))*(VLOOKUP($B75,INDIRECT($B$5&amp;"生成成长"),3))*(VLOOKUP($B$5,标准坦克设计!$B$14:$K$20,9)/30))</f>
        <v>95.608635081554226</v>
      </c>
      <c r="CO75" s="173">
        <f ca="1">(VLOOKUP(CO$72,INDIRECT($C$5&amp;"生成成长"),2))/((VLOOKUP($B75,INDIRECT($B$5&amp;"生成成长"),4))/(VLOOKUP(CO$72,INDIRECT($C$5&amp;"生成成长"),5))*(VLOOKUP($B$5,标准坦克设计!$B$24:$U$30,MATCH("对"&amp;LEFT($C$5,2)&amp;"输出",标准坦克设计!$B$23:$U$23,0)))*(VLOOKUP($B75,INDIRECT($B$5&amp;"生成成长"),3))*(VLOOKUP($B$5,标准坦克设计!$B$14:$K$20,9)/30))</f>
        <v>42.844631840043526</v>
      </c>
      <c r="CP75" s="173">
        <f ca="1">(VLOOKUP(CP$72,INDIRECT($C$5&amp;"生成成长"),2))/((VLOOKUP($B75,INDIRECT($B$5&amp;"生成成长"),4))/(VLOOKUP(CP$72,INDIRECT($C$5&amp;"生成成长"),5))*(VLOOKUP($B$5,标准坦克设计!$B$24:$U$30,MATCH("对"&amp;LEFT($C$5,2)&amp;"输出",标准坦克设计!$B$23:$U$23,0)))*(VLOOKUP($B75,INDIRECT($B$5&amp;"生成成长"),3))*(VLOOKUP($B$5,标准坦克设计!$B$14:$K$20,9)/30))</f>
        <v>46.811364591987136</v>
      </c>
      <c r="CQ75" s="173">
        <f ca="1">(VLOOKUP(CQ$72,INDIRECT($C$5&amp;"生成成长"),2))/((VLOOKUP($B75,INDIRECT($B$5&amp;"生成成长"),4))/(VLOOKUP(CQ$72,INDIRECT($C$5&amp;"生成成长"),5))*(VLOOKUP($B$5,标准坦克设计!$B$24:$U$30,MATCH("对"&amp;LEFT($C$5,2)&amp;"输出",标准坦克设计!$B$23:$U$23,0)))*(VLOOKUP($B75,INDIRECT($B$5&amp;"生成成长"),3))*(VLOOKUP($B$5,标准坦克设计!$B$14:$K$20,9)/30))</f>
        <v>50.953687123694841</v>
      </c>
      <c r="CR75" s="173">
        <f ca="1">(VLOOKUP(CR$72,INDIRECT($C$5&amp;"生成成长"),2))/((VLOOKUP($B75,INDIRECT($B$5&amp;"生成成长"),4))/(VLOOKUP(CR$72,INDIRECT($C$5&amp;"生成成长"),5))*(VLOOKUP($B$5,标准坦克设计!$B$24:$U$30,MATCH("对"&amp;LEFT($C$5,2)&amp;"输出",标准坦克设计!$B$23:$U$23,0)))*(VLOOKUP($B75,INDIRECT($B$5&amp;"生成成长"),3))*(VLOOKUP($B$5,标准坦克设计!$B$14:$K$20,9)/30))</f>
        <v>55.27159943516665</v>
      </c>
      <c r="CS75" s="173">
        <f ca="1">(VLOOKUP(CS$72,INDIRECT($C$5&amp;"生成成长"),2))/((VLOOKUP($B75,INDIRECT($B$5&amp;"生成成长"),4))/(VLOOKUP(CS$72,INDIRECT($C$5&amp;"生成成长"),5))*(VLOOKUP($B$5,标准坦克设计!$B$24:$U$30,MATCH("对"&amp;LEFT($C$5,2)&amp;"输出",标准坦克设计!$B$23:$U$23,0)))*(VLOOKUP($B75,INDIRECT($B$5&amp;"生成成长"),3))*(VLOOKUP($B$5,标准坦克设计!$B$14:$K$20,9)/30))</f>
        <v>59.765101526402567</v>
      </c>
      <c r="CT75" s="173">
        <f ca="1">(VLOOKUP(CT$72,INDIRECT($C$5&amp;"生成成长"),2))/((VLOOKUP($B75,INDIRECT($B$5&amp;"生成成长"),4))/(VLOOKUP(CT$72,INDIRECT($C$5&amp;"生成成长"),5))*(VLOOKUP($B$5,标准坦克设计!$B$24:$U$30,MATCH("对"&amp;LEFT($C$5,2)&amp;"输出",标准坦克设计!$B$23:$U$23,0)))*(VLOOKUP($B75,INDIRECT($B$5&amp;"生成成长"),3))*(VLOOKUP($B$5,标准坦克设计!$B$14:$K$20,9)/30))</f>
        <v>64.434193397402581</v>
      </c>
      <c r="CU75" s="173">
        <f ca="1">(VLOOKUP(CU$72,INDIRECT($C$5&amp;"生成成长"),2))/((VLOOKUP($B75,INDIRECT($B$5&amp;"生成成长"),4))/(VLOOKUP(CU$72,INDIRECT($C$5&amp;"生成成长"),5))*(VLOOKUP($B$5,标准坦克设计!$B$24:$U$30,MATCH("对"&amp;LEFT($C$5,2)&amp;"输出",标准坦克设计!$B$23:$U$23,0)))*(VLOOKUP($B75,INDIRECT($B$5&amp;"生成成长"),3))*(VLOOKUP($B$5,标准坦克设计!$B$14:$K$20,9)/30))</f>
        <v>69.278875048166697</v>
      </c>
      <c r="CV75" s="173">
        <f ca="1">(VLOOKUP(CV$72,INDIRECT($C$5&amp;"生成成长"),2))/((VLOOKUP($B75,INDIRECT($B$5&amp;"生成成长"),4))/(VLOOKUP(CV$72,INDIRECT($C$5&amp;"生成成长"),5))*(VLOOKUP($B$5,标准坦克设计!$B$24:$U$30,MATCH("对"&amp;LEFT($C$5,2)&amp;"输出",标准坦克设计!$B$23:$U$23,0)))*(VLOOKUP($B75,INDIRECT($B$5&amp;"生成成长"),3))*(VLOOKUP($B$5,标准坦克设计!$B$14:$K$20,9)/30))</f>
        <v>74.299146478694965</v>
      </c>
      <c r="CW75" s="173">
        <f ca="1">(VLOOKUP(CW$72,INDIRECT($C$5&amp;"生成成长"),2))/((VLOOKUP($B75,INDIRECT($B$5&amp;"生成成长"),4))/(VLOOKUP(CW$72,INDIRECT($C$5&amp;"生成成长"),5))*(VLOOKUP($B$5,标准坦克设计!$B$24:$U$30,MATCH("对"&amp;LEFT($C$5,2)&amp;"输出",标准坦克设计!$B$23:$U$23,0)))*(VLOOKUP($B75,INDIRECT($B$5&amp;"生成成长"),3))*(VLOOKUP($B$5,标准坦克设计!$B$14:$K$20,9)/30))</f>
        <v>79.495007688987272</v>
      </c>
      <c r="CX75" s="173">
        <f ca="1">(VLOOKUP(CX$72,INDIRECT($C$5&amp;"生成成长"),2))/((VLOOKUP($B75,INDIRECT($B$5&amp;"生成成长"),4))/(VLOOKUP(CX$72,INDIRECT($C$5&amp;"生成成长"),5))*(VLOOKUP($B$5,标准坦克设计!$B$24:$U$30,MATCH("对"&amp;LEFT($C$5,2)&amp;"输出",标准坦克设计!$B$23:$U$23,0)))*(VLOOKUP($B75,INDIRECT($B$5&amp;"生成成长"),3))*(VLOOKUP($B$5,标准坦克设计!$B$14:$K$20,9)/30))</f>
        <v>84.866458679043703</v>
      </c>
      <c r="CY75" s="173">
        <f ca="1">(VLOOKUP(CY$72,INDIRECT($C$5&amp;"生成成长"),2))/((VLOOKUP($B75,INDIRECT($B$5&amp;"生成成长"),4))/(VLOOKUP(CY$72,INDIRECT($C$5&amp;"生成成长"),5))*(VLOOKUP($B$5,标准坦克设计!$B$24:$U$30,MATCH("对"&amp;LEFT($C$5,2)&amp;"输出",标准坦克设计!$B$23:$U$23,0)))*(VLOOKUP($B75,INDIRECT($B$5&amp;"生成成长"),3))*(VLOOKUP($B$5,标准坦克设计!$B$14:$K$20,9)/30))</f>
        <v>90.413499448864215</v>
      </c>
      <c r="CZ75" s="173">
        <f ca="1">(VLOOKUP(CZ$72,INDIRECT($C$5&amp;"生成成长"),2))/((VLOOKUP($B75,INDIRECT($B$5&amp;"生成成长"),4))/(VLOOKUP(CZ$72,INDIRECT($C$5&amp;"生成成长"),5))*(VLOOKUP($B$5,标准坦克设计!$B$24:$U$30,MATCH("对"&amp;LEFT($C$5,2)&amp;"输出",标准坦克设计!$B$23:$U$23,0)))*(VLOOKUP($B75,INDIRECT($B$5&amp;"生成成长"),3))*(VLOOKUP($B$5,标准坦克设计!$B$14:$K$20,9)/30))</f>
        <v>96.136129998448865</v>
      </c>
      <c r="DA75" s="173">
        <f ca="1">(VLOOKUP(DA$72,INDIRECT($C$5&amp;"生成成长"),2))/((VLOOKUP($B75,INDIRECT($B$5&amp;"生成成长"),4))/(VLOOKUP(DA$72,INDIRECT($C$5&amp;"生成成长"),5))*(VLOOKUP($B$5,标准坦克设计!$B$24:$U$30,MATCH("对"&amp;LEFT($C$5,2)&amp;"输出",标准坦克设计!$B$23:$U$23,0)))*(VLOOKUP($B75,INDIRECT($B$5&amp;"生成成长"),3))*(VLOOKUP($B$5,标准坦克设计!$B$14:$K$20,9)/30))</f>
        <v>102.0343503277976</v>
      </c>
      <c r="DB75" s="173">
        <f ca="1">(VLOOKUP(DB$72,INDIRECT($C$5&amp;"生成成长"),2))/((VLOOKUP($B75,INDIRECT($B$5&amp;"生成成长"),4))/(VLOOKUP(DB$72,INDIRECT($C$5&amp;"生成成长"),5))*(VLOOKUP($B$5,标准坦克设计!$B$24:$U$30,MATCH("对"&amp;LEFT($C$5,2)&amp;"输出",标准坦克设计!$B$23:$U$23,0)))*(VLOOKUP($B75,INDIRECT($B$5&amp;"生成成长"),3))*(VLOOKUP($B$5,标准坦克设计!$B$14:$K$20,9)/30))</f>
        <v>108.10816043691048</v>
      </c>
      <c r="DC75" s="173">
        <f ca="1">(VLOOKUP(DC$72,INDIRECT($C$5&amp;"生成成长"),2))/((VLOOKUP($B75,INDIRECT($B$5&amp;"生成成长"),4))/(VLOOKUP(DC$72,INDIRECT($C$5&amp;"生成成长"),5))*(VLOOKUP($B$5,标准坦克设计!$B$24:$U$30,MATCH("对"&amp;LEFT($C$5,2)&amp;"输出",标准坦克设计!$B$23:$U$23,0)))*(VLOOKUP($B75,INDIRECT($B$5&amp;"生成成长"),3))*(VLOOKUP($B$5,标准坦克设计!$B$14:$K$20,9)/30))</f>
        <v>114.93439451964055</v>
      </c>
      <c r="DD75" s="173">
        <f ca="1">(VLOOKUP(DD$72,INDIRECT($C$5&amp;"生成成长"),2))/((VLOOKUP($B75,INDIRECT($B$5&amp;"生成成长"),4))/(VLOOKUP(DD$72,INDIRECT($C$5&amp;"生成成长"),5))*(VLOOKUP($B$5,标准坦克设计!$B$24:$U$30,MATCH("对"&amp;LEFT($C$5,2)&amp;"输出",标准坦克设计!$B$23:$U$23,0)))*(VLOOKUP($B75,INDIRECT($B$5&amp;"生成成长"),3))*(VLOOKUP($B$5,标准坦克设计!$B$14:$K$20,9)/30))</f>
        <v>121.96959495184197</v>
      </c>
      <c r="DE75" s="173">
        <f ca="1">(VLOOKUP(DE$72,INDIRECT($C$5&amp;"生成成长"),2))/((VLOOKUP($B75,INDIRECT($B$5&amp;"生成成长"),4))/(VLOOKUP(DE$72,INDIRECT($C$5&amp;"生成成长"),5))*(VLOOKUP($B$5,标准坦克设计!$B$24:$U$30,MATCH("对"&amp;LEFT($C$5,2)&amp;"输出",标准坦克设计!$B$23:$U$23,0)))*(VLOOKUP($B75,INDIRECT($B$5&amp;"生成成长"),3))*(VLOOKUP($B$5,标准坦克设计!$B$14:$K$20,9)/30))</f>
        <v>129.21376173351473</v>
      </c>
      <c r="DF75" s="173">
        <f ca="1">(VLOOKUP(DF$72,INDIRECT($C$5&amp;"生成成长"),2))/((VLOOKUP($B75,INDIRECT($B$5&amp;"生成成长"),4))/(VLOOKUP(DF$72,INDIRECT($C$5&amp;"生成成长"),5))*(VLOOKUP($B$5,标准坦克设计!$B$24:$U$30,MATCH("对"&amp;LEFT($C$5,2)&amp;"输出",标准坦克设计!$B$23:$U$23,0)))*(VLOOKUP($B75,INDIRECT($B$5&amp;"生成成长"),3))*(VLOOKUP($B$5,标准坦克设计!$B$14:$K$20,9)/30))</f>
        <v>136.66689486465884</v>
      </c>
      <c r="DG75" s="173">
        <f ca="1">(VLOOKUP(DG$72,INDIRECT($C$5&amp;"生成成长"),2))/((VLOOKUP($B75,INDIRECT($B$5&amp;"生成成长"),4))/(VLOOKUP(DG$72,INDIRECT($C$5&amp;"生成成长"),5))*(VLOOKUP($B$5,标准坦克设计!$B$24:$U$30,MATCH("对"&amp;LEFT($C$5,2)&amp;"输出",标准坦克设计!$B$23:$U$23,0)))*(VLOOKUP($B75,INDIRECT($B$5&amp;"生成成长"),3))*(VLOOKUP($B$5,标准坦克设计!$B$14:$K$20,9)/30))</f>
        <v>144.32899434527422</v>
      </c>
      <c r="DH75" s="173">
        <f ca="1">(VLOOKUP(DH$72,INDIRECT($C$5&amp;"生成成长"),2))/((VLOOKUP($B75,INDIRECT($B$5&amp;"生成成长"),4))/(VLOOKUP(DH$72,INDIRECT($C$5&amp;"生成成长"),5))*(VLOOKUP($B$5,标准坦克设计!$B$24:$U$30,MATCH("对"&amp;LEFT($C$5,2)&amp;"输出",标准坦克设计!$B$23:$U$23,0)))*(VLOOKUP($B75,INDIRECT($B$5&amp;"生成成长"),3))*(VLOOKUP($B$5,标准坦克设计!$B$14:$K$20,9)/30))</f>
        <v>152.20006017536102</v>
      </c>
      <c r="DI75" s="173">
        <f ca="1">(VLOOKUP(DI$72,INDIRECT($C$5&amp;"生成成长"),2))/((VLOOKUP($B75,INDIRECT($B$5&amp;"生成成长"),4))/(VLOOKUP(DI$72,INDIRECT($C$5&amp;"生成成长"),5))*(VLOOKUP($B$5,标准坦克设计!$B$24:$U$30,MATCH("对"&amp;LEFT($C$5,2)&amp;"输出",标准坦克设计!$B$23:$U$23,0)))*(VLOOKUP($B75,INDIRECT($B$5&amp;"生成成长"),3))*(VLOOKUP($B$5,标准坦克设计!$B$14:$K$20,9)/30))</f>
        <v>160.28009235491908</v>
      </c>
      <c r="DJ75" s="173">
        <f ca="1">(VLOOKUP(DJ$72,INDIRECT($C$5&amp;"生成成长"),2))/((VLOOKUP($B75,INDIRECT($B$5&amp;"生成成长"),4))/(VLOOKUP(DJ$72,INDIRECT($C$5&amp;"生成成长"),5))*(VLOOKUP($B$5,标准坦克设计!$B$24:$U$30,MATCH("对"&amp;LEFT($C$5,2)&amp;"输出",标准坦克设计!$B$23:$U$23,0)))*(VLOOKUP($B75,INDIRECT($B$5&amp;"生成成长"),3))*(VLOOKUP($B$5,标准坦克设计!$B$14:$K$20,9)/30))</f>
        <v>16.108548349350645</v>
      </c>
      <c r="DK75" s="173">
        <f ca="1">(VLOOKUP(DK$72,INDIRECT($C$5&amp;"生成成长"),2))/((VLOOKUP($B75,INDIRECT($B$5&amp;"生成成长"),4))/(VLOOKUP(DK$72,INDIRECT($C$5&amp;"生成成长"),5))*(VLOOKUP($B$5,标准坦克设计!$B$24:$U$30,MATCH("对"&amp;LEFT($C$5,2)&amp;"输出",标准坦克设计!$B$23:$U$23,0)))*(VLOOKUP($B75,INDIRECT($B$5&amp;"生成成长"),3))*(VLOOKUP($B$5,标准坦克设计!$B$14:$K$20,9)/30))</f>
        <v>18.113319264591215</v>
      </c>
      <c r="DL75" s="173">
        <f ca="1">(VLOOKUP(DL$72,INDIRECT($C$5&amp;"生成成长"),2))/((VLOOKUP($B75,INDIRECT($B$5&amp;"生成成长"),4))/(VLOOKUP(DL$72,INDIRECT($C$5&amp;"生成成长"),5))*(VLOOKUP($B$5,标准坦克设计!$B$24:$U$30,MATCH("对"&amp;LEFT($C$5,2)&amp;"输出",标准坦克设计!$B$23:$U$23,0)))*(VLOOKUP($B75,INDIRECT($B$5&amp;"生成成长"),3))*(VLOOKUP($B$5,标准坦克设计!$B$14:$K$20,9)/30))</f>
        <v>20.235633751409406</v>
      </c>
      <c r="DM75" s="173">
        <f ca="1">(VLOOKUP(DM$72,INDIRECT($C$5&amp;"生成成长"),2))/((VLOOKUP($B75,INDIRECT($B$5&amp;"生成成长"),4))/(VLOOKUP(DM$72,INDIRECT($C$5&amp;"生成成长"),5))*(VLOOKUP($B$5,标准坦克设计!$B$24:$U$30,MATCH("对"&amp;LEFT($C$5,2)&amp;"输出",标准坦克设计!$B$23:$U$23,0)))*(VLOOKUP($B75,INDIRECT($B$5&amp;"生成成长"),3))*(VLOOKUP($B$5,标准坦克设计!$B$14:$K$20,9)/30))</f>
        <v>22.475491809805217</v>
      </c>
      <c r="DN75" s="173">
        <f ca="1">(VLOOKUP(DN$72,INDIRECT($C$5&amp;"生成成长"),2))/((VLOOKUP($B75,INDIRECT($B$5&amp;"生成成长"),4))/(VLOOKUP(DN$72,INDIRECT($C$5&amp;"生成成长"),5))*(VLOOKUP($B$5,标准坦克设计!$B$24:$U$30,MATCH("对"&amp;LEFT($C$5,2)&amp;"输出",标准坦克设计!$B$23:$U$23,0)))*(VLOOKUP($B75,INDIRECT($B$5&amp;"生成成长"),3))*(VLOOKUP($B$5,标准坦克设计!$B$14:$K$20,9)/30))</f>
        <v>24.832893439778655</v>
      </c>
      <c r="DO75" s="173">
        <f ca="1">(VLOOKUP(DO$72,INDIRECT($C$5&amp;"生成成长"),2))/((VLOOKUP($B75,INDIRECT($B$5&amp;"生成成长"),4))/(VLOOKUP(DO$72,INDIRECT($C$5&amp;"生成成长"),5))*(VLOOKUP($B$5,标准坦克设计!$B$24:$U$30,MATCH("对"&amp;LEFT($C$5,2)&amp;"输出",标准坦克设计!$B$23:$U$23,0)))*(VLOOKUP($B75,INDIRECT($B$5&amp;"生成成长"),3))*(VLOOKUP($B$5,标准坦克设计!$B$14:$K$20,9)/30))</f>
        <v>27.307838641329717</v>
      </c>
      <c r="DP75" s="173">
        <f ca="1">(VLOOKUP(DP$72,INDIRECT($C$5&amp;"生成成长"),2))/((VLOOKUP($B75,INDIRECT($B$5&amp;"生成成长"),4))/(VLOOKUP(DP$72,INDIRECT($C$5&amp;"生成成长"),5))*(VLOOKUP($B$5,标准坦克设计!$B$24:$U$30,MATCH("对"&amp;LEFT($C$5,2)&amp;"输出",标准坦克设计!$B$23:$U$23,0)))*(VLOOKUP($B75,INDIRECT($B$5&amp;"生成成长"),3))*(VLOOKUP($B$5,标准坦克设计!$B$14:$K$20,9)/30))</f>
        <v>29.900327414458392</v>
      </c>
      <c r="DQ75" s="173">
        <f ca="1">(VLOOKUP(DQ$72,INDIRECT($C$5&amp;"生成成长"),2))/((VLOOKUP($B75,INDIRECT($B$5&amp;"生成成长"),4))/(VLOOKUP(DQ$72,INDIRECT($C$5&amp;"生成成长"),5))*(VLOOKUP($B$5,标准坦克设计!$B$24:$U$30,MATCH("对"&amp;LEFT($C$5,2)&amp;"输出",标准坦克设计!$B$23:$U$23,0)))*(VLOOKUP($B75,INDIRECT($B$5&amp;"生成成长"),3))*(VLOOKUP($B$5,标准坦克设计!$B$14:$K$20,9)/30))</f>
        <v>32.610359759164702</v>
      </c>
      <c r="DR75" s="173">
        <f ca="1">(VLOOKUP(DR$72,INDIRECT($C$5&amp;"生成成长"),2))/((VLOOKUP($B75,INDIRECT($B$5&amp;"生成成长"),4))/(VLOOKUP(DR$72,INDIRECT($C$5&amp;"生成成长"),5))*(VLOOKUP($B$5,标准坦克设计!$B$24:$U$30,MATCH("对"&amp;LEFT($C$5,2)&amp;"输出",标准坦克设计!$B$23:$U$23,0)))*(VLOOKUP($B75,INDIRECT($B$5&amp;"生成成长"),3))*(VLOOKUP($B$5,标准坦克设计!$B$14:$K$20,9)/30))</f>
        <v>35.437935675448628</v>
      </c>
      <c r="DS75" s="173">
        <f ca="1">(VLOOKUP(DS$72,INDIRECT($C$5&amp;"生成成长"),2))/((VLOOKUP($B75,INDIRECT($B$5&amp;"生成成长"),4))/(VLOOKUP(DS$72,INDIRECT($C$5&amp;"生成成长"),5))*(VLOOKUP($B$5,标准坦克设计!$B$24:$U$30,MATCH("对"&amp;LEFT($C$5,2)&amp;"输出",标准坦克设计!$B$23:$U$23,0)))*(VLOOKUP($B75,INDIRECT($B$5&amp;"生成成长"),3))*(VLOOKUP($B$5,标准坦克设计!$B$14:$K$20,9)/30))</f>
        <v>38.383055163310175</v>
      </c>
      <c r="DT75" s="173">
        <f ca="1">(VLOOKUP(DT$72,INDIRECT($C$5&amp;"生成成长"),2))/((VLOOKUP($B75,INDIRECT($B$5&amp;"生成成长"),4))/(VLOOKUP(DT$72,INDIRECT($C$5&amp;"生成成长"),5))*(VLOOKUP($B$5,标准坦克设计!$B$24:$U$30,MATCH("对"&amp;LEFT($C$5,2)&amp;"输出",标准坦克设计!$B$23:$U$23,0)))*(VLOOKUP($B75,INDIRECT($B$5&amp;"生成成长"),3))*(VLOOKUP($B$5,标准坦克设计!$B$14:$K$20,9)/30))</f>
        <v>42.142272720987116</v>
      </c>
      <c r="DU75" s="173">
        <f ca="1">(VLOOKUP(DU$72,INDIRECT($C$5&amp;"生成成长"),2))/((VLOOKUP($B75,INDIRECT($B$5&amp;"生成成长"),4))/(VLOOKUP(DU$72,INDIRECT($C$5&amp;"生成成长"),5))*(VLOOKUP($B$5,标准坦克设计!$B$24:$U$30,MATCH("对"&amp;LEFT($C$5,2)&amp;"输出",标准坦克设计!$B$23:$U$23,0)))*(VLOOKUP($B75,INDIRECT($B$5&amp;"生成成长"),3))*(VLOOKUP($B$5,标准坦克设计!$B$14:$K$20,9)/30))</f>
        <v>46.077080058428159</v>
      </c>
      <c r="DV75" s="173">
        <f ca="1">(VLOOKUP(DV$72,INDIRECT($C$5&amp;"生成成长"),2))/((VLOOKUP($B75,INDIRECT($B$5&amp;"生成成长"),4))/(VLOOKUP(DV$72,INDIRECT($C$5&amp;"生成成长"),5))*(VLOOKUP($B$5,标准坦克设计!$B$24:$U$30,MATCH("对"&amp;LEFT($C$5,2)&amp;"输出",标准坦克设计!$B$23:$U$23,0)))*(VLOOKUP($B75,INDIRECT($B$5&amp;"生成成长"),3))*(VLOOKUP($B$5,标准坦克设计!$B$14:$K$20,9)/30))</f>
        <v>50.187477175633305</v>
      </c>
      <c r="DW75" s="173">
        <f ca="1">(VLOOKUP(DW$72,INDIRECT($C$5&amp;"生成成长"),2))/((VLOOKUP($B75,INDIRECT($B$5&amp;"生成成长"),4))/(VLOOKUP(DW$72,INDIRECT($C$5&amp;"生成成长"),5))*(VLOOKUP($B$5,标准坦克设计!$B$24:$U$30,MATCH("对"&amp;LEFT($C$5,2)&amp;"输出",标准坦克设计!$B$23:$U$23,0)))*(VLOOKUP($B75,INDIRECT($B$5&amp;"生成成长"),3))*(VLOOKUP($B$5,标准坦克设计!$B$14:$K$20,9)/30))</f>
        <v>54.473464072602546</v>
      </c>
      <c r="DX75" s="173">
        <f ca="1">(VLOOKUP(DX$72,INDIRECT($C$5&amp;"生成成长"),2))/((VLOOKUP($B75,INDIRECT($B$5&amp;"生成成长"),4))/(VLOOKUP(DX$72,INDIRECT($C$5&amp;"生成成长"),5))*(VLOOKUP($B$5,标准坦克设计!$B$24:$U$30,MATCH("对"&amp;LEFT($C$5,2)&amp;"输出",标准坦克设计!$B$23:$U$23,0)))*(VLOOKUP($B75,INDIRECT($B$5&amp;"生成成长"),3))*(VLOOKUP($B$5,标准坦克设计!$B$14:$K$20,9)/30))</f>
        <v>58.935040749335897</v>
      </c>
      <c r="DY75" s="173">
        <f ca="1">(VLOOKUP(DY$72,INDIRECT($C$5&amp;"生成成长"),2))/((VLOOKUP($B75,INDIRECT($B$5&amp;"生成成长"),4))/(VLOOKUP(DY$72,INDIRECT($C$5&amp;"生成成长"),5))*(VLOOKUP($B$5,标准坦克设计!$B$24:$U$30,MATCH("对"&amp;LEFT($C$5,2)&amp;"输出",标准坦克设计!$B$23:$U$23,0)))*(VLOOKUP($B75,INDIRECT($B$5&amp;"生成成长"),3))*(VLOOKUP($B$5,标准坦克设计!$B$14:$K$20,9)/30))</f>
        <v>26.469796510637405</v>
      </c>
      <c r="DZ75" s="173">
        <f ca="1">(VLOOKUP(DZ$72,INDIRECT($C$5&amp;"生成成长"),2))/((VLOOKUP($B75,INDIRECT($B$5&amp;"生成成长"),4))/(VLOOKUP(DZ$72,INDIRECT($C$5&amp;"生成成长"),5))*(VLOOKUP($B$5,标准坦克设计!$B$24:$U$30,MATCH("对"&amp;LEFT($C$5,2)&amp;"输出",标准坦克设计!$B$23:$U$23,0)))*(VLOOKUP($B75,INDIRECT($B$5&amp;"生成成长"),3))*(VLOOKUP($B$5,标准坦克设计!$B$14:$K$20,9)/30))</f>
        <v>29.314060711774943</v>
      </c>
      <c r="EA75" s="173">
        <f ca="1">(VLOOKUP(EA$72,INDIRECT($C$5&amp;"生成成长"),2))/((VLOOKUP($B75,INDIRECT($B$5&amp;"生成成长"),4))/(VLOOKUP(EA$72,INDIRECT($C$5&amp;"生成成长"),5))*(VLOOKUP($B$5,标准坦克设计!$B$24:$U$30,MATCH("对"&amp;LEFT($C$5,2)&amp;"输出",标准坦克设计!$B$23:$U$23,0)))*(VLOOKUP($B75,INDIRECT($B$5&amp;"生成成长"),3))*(VLOOKUP($B$5,标准坦克设计!$B$14:$K$20,9)/30))</f>
        <v>32.303440433378682</v>
      </c>
      <c r="EB75" s="173">
        <f ca="1">(VLOOKUP(EB$72,INDIRECT($C$5&amp;"生成成长"),2))/((VLOOKUP($B75,INDIRECT($B$5&amp;"生成成长"),4))/(VLOOKUP(EB$72,INDIRECT($C$5&amp;"生成成长"),5))*(VLOOKUP($B$5,标准坦克设计!$B$24:$U$30,MATCH("对"&amp;LEFT($C$5,2)&amp;"输出",标准坦克设计!$B$23:$U$23,0)))*(VLOOKUP($B75,INDIRECT($B$5&amp;"生成成长"),3))*(VLOOKUP($B$5,标准坦克设计!$B$14:$K$20,9)/30))</f>
        <v>35.437935675448628</v>
      </c>
      <c r="EC75" s="173">
        <f ca="1">(VLOOKUP(EC$72,INDIRECT($C$5&amp;"生成成长"),2))/((VLOOKUP($B75,INDIRECT($B$5&amp;"生成成长"),4))/(VLOOKUP(EC$72,INDIRECT($C$5&amp;"生成成长"),5))*(VLOOKUP($B$5,标准坦克设计!$B$24:$U$30,MATCH("对"&amp;LEFT($C$5,2)&amp;"输出",标准坦克设计!$B$23:$U$23,0)))*(VLOOKUP($B75,INDIRECT($B$5&amp;"生成成长"),3))*(VLOOKUP($B$5,标准坦克设计!$B$14:$K$20,9)/30))</f>
        <v>38.71754643798478</v>
      </c>
      <c r="ED75" s="173">
        <f ca="1">(VLOOKUP(ED$72,INDIRECT($C$5&amp;"生成成长"),2))/((VLOOKUP($B75,INDIRECT($B$5&amp;"生成成长"),4))/(VLOOKUP(ED$72,INDIRECT($C$5&amp;"生成成长"),5))*(VLOOKUP($B$5,标准坦克设计!$B$24:$U$30,MATCH("对"&amp;LEFT($C$5,2)&amp;"输出",标准坦克设计!$B$23:$U$23,0)))*(VLOOKUP($B75,INDIRECT($B$5&amp;"生成成长"),3))*(VLOOKUP($B$5,标准坦克设计!$B$14:$K$20,9)/30))</f>
        <v>42.142272720987116</v>
      </c>
      <c r="EE75" s="173">
        <f ca="1">(VLOOKUP(EE$72,INDIRECT($C$5&amp;"生成成长"),2))/((VLOOKUP($B75,INDIRECT($B$5&amp;"生成成长"),4))/(VLOOKUP(EE$72,INDIRECT($C$5&amp;"生成成长"),5))*(VLOOKUP($B$5,标准坦克设计!$B$24:$U$30,MATCH("对"&amp;LEFT($C$5,2)&amp;"输出",标准坦克设计!$B$23:$U$23,0)))*(VLOOKUP($B75,INDIRECT($B$5&amp;"生成成长"),3))*(VLOOKUP($B$5,标准坦克设计!$B$14:$K$20,9)/30))</f>
        <v>45.712114524455664</v>
      </c>
      <c r="EF75" s="173">
        <f ca="1">(VLOOKUP(EF$72,INDIRECT($C$5&amp;"生成成长"),2))/((VLOOKUP($B75,INDIRECT($B$5&amp;"生成成长"),4))/(VLOOKUP(EF$72,INDIRECT($C$5&amp;"生成成长"),5))*(VLOOKUP($B$5,标准坦克设计!$B$24:$U$30,MATCH("对"&amp;LEFT($C$5,2)&amp;"输出",标准坦克设计!$B$23:$U$23,0)))*(VLOOKUP($B75,INDIRECT($B$5&amp;"生成成长"),3))*(VLOOKUP($B$5,标准坦克设计!$B$14:$K$20,9)/30))</f>
        <v>49.427071848390405</v>
      </c>
      <c r="EG75" s="173">
        <f ca="1">(VLOOKUP(EG$72,INDIRECT($C$5&amp;"生成成长"),2))/((VLOOKUP($B75,INDIRECT($B$5&amp;"生成成长"),4))/(VLOOKUP(EG$72,INDIRECT($C$5&amp;"生成成长"),5))*(VLOOKUP($B$5,标准坦克设计!$B$24:$U$30,MATCH("对"&amp;LEFT($C$5,2)&amp;"输出",标准坦克设计!$B$23:$U$23,0)))*(VLOOKUP($B75,INDIRECT($B$5&amp;"生成成长"),3))*(VLOOKUP($B$5,标准坦克设计!$B$14:$K$20,9)/30))</f>
        <v>53.287144692791358</v>
      </c>
      <c r="EH75" s="173">
        <f ca="1">(VLOOKUP(EH$72,INDIRECT($C$5&amp;"生成成长"),2))/((VLOOKUP($B75,INDIRECT($B$5&amp;"生成成长"),4))/(VLOOKUP(EH$72,INDIRECT($C$5&amp;"生成成长"),5))*(VLOOKUP($B$5,标准坦克设计!$B$24:$U$30,MATCH("对"&amp;LEFT($C$5,2)&amp;"输出",标准坦克设计!$B$23:$U$23,0)))*(VLOOKUP($B75,INDIRECT($B$5&amp;"生成成长"),3))*(VLOOKUP($B$5,标准坦克设计!$B$14:$K$20,9)/30))</f>
        <v>57.292333057658503</v>
      </c>
      <c r="EI75" s="173">
        <f ca="1">(VLOOKUP(EI$72,INDIRECT($C$5&amp;"生成成长"),2))/((VLOOKUP($B75,INDIRECT($B$5&amp;"生成成长"),4))/(VLOOKUP(EI$72,INDIRECT($C$5&amp;"生成成长"),5))*(VLOOKUP($B$5,标准坦克设计!$B$24:$U$30,MATCH("对"&amp;LEFT($C$5,2)&amp;"输出",标准坦克设计!$B$23:$U$23,0)))*(VLOOKUP($B75,INDIRECT($B$5&amp;"生成成长"),3))*(VLOOKUP($B$5,标准坦克设计!$B$14:$K$20,9)/30))</f>
        <v>61.442636942991847</v>
      </c>
      <c r="EJ75" s="173">
        <f ca="1">(VLOOKUP(EJ$72,INDIRECT($C$5&amp;"生成成长"),2))/((VLOOKUP($B75,INDIRECT($B$5&amp;"生成成长"),4))/(VLOOKUP(EJ$72,INDIRECT($C$5&amp;"生成成长"),5))*(VLOOKUP($B$5,标准坦克设计!$B$24:$U$30,MATCH("对"&amp;LEFT($C$5,2)&amp;"输出",标准坦克设计!$B$23:$U$23,0)))*(VLOOKUP($B75,INDIRECT($B$5&amp;"生成成长"),3))*(VLOOKUP($B$5,标准坦克设计!$B$14:$K$20,9)/30))</f>
        <v>65.738056348791403</v>
      </c>
      <c r="EK75" s="173">
        <f ca="1">(VLOOKUP(EK$72,INDIRECT($C$5&amp;"生成成长"),2))/((VLOOKUP($B75,INDIRECT($B$5&amp;"生成成长"),4))/(VLOOKUP(EK$72,INDIRECT($C$5&amp;"生成成长"),5))*(VLOOKUP($B$5,标准坦克设计!$B$24:$U$30,MATCH("对"&amp;LEFT($C$5,2)&amp;"输出",标准坦克设计!$B$23:$U$23,0)))*(VLOOKUP($B75,INDIRECT($B$5&amp;"生成成长"),3))*(VLOOKUP($B$5,标准坦克设计!$B$14:$K$20,9)/30))</f>
        <v>71.084112122766243</v>
      </c>
      <c r="EL75" s="173">
        <f ca="1">(VLOOKUP(EL$72,INDIRECT($C$5&amp;"生成成长"),2))/((VLOOKUP($B75,INDIRECT($B$5&amp;"生成成长"),4))/(VLOOKUP(EL$72,INDIRECT($C$5&amp;"生成成长"),5))*(VLOOKUP($B$5,标准坦克设计!$B$24:$U$30,MATCH("对"&amp;LEFT($C$5,2)&amp;"输出",标准坦克设计!$B$23:$U$23,0)))*(VLOOKUP($B75,INDIRECT($B$5&amp;"生成成长"),3))*(VLOOKUP($B$5,标准坦克设计!$B$14:$K$20,9)/30))</f>
        <v>76.639134246212421</v>
      </c>
      <c r="EM75" s="173">
        <f ca="1">(VLOOKUP(EM$72,INDIRECT($C$5&amp;"生成成长"),2))/((VLOOKUP($B75,INDIRECT($B$5&amp;"生成成长"),4))/(VLOOKUP(EM$72,INDIRECT($C$5&amp;"生成成长"),5))*(VLOOKUP($B$5,标准坦克设计!$B$24:$U$30,MATCH("对"&amp;LEFT($C$5,2)&amp;"输出",标准坦克设计!$B$23:$U$23,0)))*(VLOOKUP($B75,INDIRECT($B$5&amp;"生成成长"),3))*(VLOOKUP($B$5,标准坦克设计!$B$14:$K$20,9)/30))</f>
        <v>82.403122719129925</v>
      </c>
      <c r="EN75" s="173">
        <f ca="1">(VLOOKUP(EN$72,INDIRECT($C$5&amp;"生成成长"),2))/((VLOOKUP($B75,INDIRECT($B$5&amp;"生成成长"),4))/(VLOOKUP(EN$72,INDIRECT($C$5&amp;"生成成长"),5))*(VLOOKUP($B$5,标准坦克设计!$B$24:$U$30,MATCH("对"&amp;LEFT($C$5,2)&amp;"输出",标准坦克设计!$B$23:$U$23,0)))*(VLOOKUP($B75,INDIRECT($B$5&amp;"生成成长"),3))*(VLOOKUP($B$5,标准坦克设计!$B$14:$K$20,9)/30))</f>
        <v>88.376077541518768</v>
      </c>
      <c r="EO75" s="173">
        <f ca="1">(VLOOKUP(EO$72,INDIRECT($C$5&amp;"生成成长"),2))/((VLOOKUP($B75,INDIRECT($B$5&amp;"生成成长"),4))/(VLOOKUP(EO$72,INDIRECT($C$5&amp;"生成成长"),5))*(VLOOKUP($B$5,标准坦克设计!$B$24:$U$30,MATCH("对"&amp;LEFT($C$5,2)&amp;"输出",标准坦克设计!$B$23:$U$23,0)))*(VLOOKUP($B75,INDIRECT($B$5&amp;"生成成长"),3))*(VLOOKUP($B$5,标准坦克设计!$B$14:$K$20,9)/30))</f>
        <v>94.557998713378922</v>
      </c>
      <c r="EP75" s="173">
        <f ca="1">(VLOOKUP(EP$72,INDIRECT($C$5&amp;"生成成长"),2))/((VLOOKUP($B75,INDIRECT($B$5&amp;"生成成长"),4))/(VLOOKUP(EP$72,INDIRECT($C$5&amp;"生成成长"),5))*(VLOOKUP($B$5,标准坦克设计!$B$24:$U$30,MATCH("对"&amp;LEFT($C$5,2)&amp;"输出",标准坦克设计!$B$23:$U$23,0)))*(VLOOKUP($B75,INDIRECT($B$5&amp;"生成成长"),3))*(VLOOKUP($B$5,标准坦克设计!$B$14:$K$20,9)/30))</f>
        <v>100.94888623471041</v>
      </c>
      <c r="EQ75" s="173">
        <f ca="1">(VLOOKUP(EQ$72,INDIRECT($C$5&amp;"生成成长"),2))/((VLOOKUP($B75,INDIRECT($B$5&amp;"生成成长"),4))/(VLOOKUP(EQ$72,INDIRECT($C$5&amp;"生成成长"),5))*(VLOOKUP($B$5,标准坦克设计!$B$24:$U$30,MATCH("对"&amp;LEFT($C$5,2)&amp;"输出",标准坦克设计!$B$23:$U$23,0)))*(VLOOKUP($B75,INDIRECT($B$5&amp;"生成成长"),3))*(VLOOKUP($B$5,标准坦克设计!$B$14:$K$20,9)/30))</f>
        <v>44.625924853766151</v>
      </c>
      <c r="ER75" s="173">
        <f ca="1">(VLOOKUP(ER$72,INDIRECT($C$5&amp;"生成成长"),2))/((VLOOKUP($B75,INDIRECT($B$5&amp;"生成成长"),4))/(VLOOKUP(ER$72,INDIRECT($C$5&amp;"生成成长"),5))*(VLOOKUP($B$5,标准坦克设计!$B$24:$U$30,MATCH("对"&amp;LEFT($C$5,2)&amp;"输出",标准坦克设计!$B$23:$U$23,0)))*(VLOOKUP($B75,INDIRECT($B$5&amp;"生成成长"),3))*(VLOOKUP($B$5,标准坦克设计!$B$14:$K$20,9)/30))</f>
        <v>48.672471141966163</v>
      </c>
      <c r="ES75" s="173">
        <f ca="1">(VLOOKUP(ES$72,INDIRECT($C$5&amp;"生成成长"),2))/((VLOOKUP($B75,INDIRECT($B$5&amp;"生成成长"),4))/(VLOOKUP(ES$72,INDIRECT($C$5&amp;"生成成长"),5))*(VLOOKUP($B$5,标准坦克设计!$B$24:$U$30,MATCH("对"&amp;LEFT($C$5,2)&amp;"输出",标准坦克设计!$B$23:$U$23,0)))*(VLOOKUP($B75,INDIRECT($B$5&amp;"生成成长"),3))*(VLOOKUP($B$5,标准坦克设计!$B$14:$K$20,9)/30))</f>
        <v>52.894607209930285</v>
      </c>
      <c r="ET75" s="173">
        <f ca="1">(VLOOKUP(ET$72,INDIRECT($C$5&amp;"生成成长"),2))/((VLOOKUP($B75,INDIRECT($B$5&amp;"生成成长"),4))/(VLOOKUP(ET$72,INDIRECT($C$5&amp;"生成成长"),5))*(VLOOKUP($B$5,标准坦克设计!$B$24:$U$30,MATCH("对"&amp;LEFT($C$5,2)&amp;"输出",标准坦克设计!$B$23:$U$23,0)))*(VLOOKUP($B75,INDIRECT($B$5&amp;"生成成长"),3))*(VLOOKUP($B$5,标准坦克设计!$B$14:$K$20,9)/30))</f>
        <v>57.292333057658503</v>
      </c>
      <c r="EU75" s="173">
        <f ca="1">(VLOOKUP(EU$72,INDIRECT($C$5&amp;"生成成长"),2))/((VLOOKUP($B75,INDIRECT($B$5&amp;"生成成长"),4))/(VLOOKUP(EU$72,INDIRECT($C$5&amp;"生成成长"),5))*(VLOOKUP($B$5,标准坦克设计!$B$24:$U$30,MATCH("对"&amp;LEFT($C$5,2)&amp;"输出",标准坦克设计!$B$23:$U$23,0)))*(VLOOKUP($B75,INDIRECT($B$5&amp;"生成成长"),3))*(VLOOKUP($B$5,标准坦克设计!$B$14:$K$20,9)/30))</f>
        <v>61.86564868515083</v>
      </c>
      <c r="EV75" s="173">
        <f ca="1">(VLOOKUP(EV$72,INDIRECT($C$5&amp;"生成成长"),2))/((VLOOKUP($B75,INDIRECT($B$5&amp;"生成成长"),4))/(VLOOKUP(EV$72,INDIRECT($C$5&amp;"生成成长"),5))*(VLOOKUP($B$5,标准坦克设计!$B$24:$U$30,MATCH("对"&amp;LEFT($C$5,2)&amp;"输出",标准坦克设计!$B$23:$U$23,0)))*(VLOOKUP($B75,INDIRECT($B$5&amp;"生成成长"),3))*(VLOOKUP($B$5,标准坦克设计!$B$14:$K$20,9)/30))</f>
        <v>66.614554092407261</v>
      </c>
      <c r="EW75" s="173">
        <f ca="1">(VLOOKUP(EW$72,INDIRECT($C$5&amp;"生成成长"),2))/((VLOOKUP($B75,INDIRECT($B$5&amp;"生成成长"),4))/(VLOOKUP(EW$72,INDIRECT($C$5&amp;"生成成长"),5))*(VLOOKUP($B$5,标准坦克设计!$B$24:$U$30,MATCH("对"&amp;LEFT($C$5,2)&amp;"输出",标准坦克设计!$B$23:$U$23,0)))*(VLOOKUP($B75,INDIRECT($B$5&amp;"生成成长"),3))*(VLOOKUP($B$5,标准坦克设计!$B$14:$K$20,9)/30))</f>
        <v>71.5390492794278</v>
      </c>
      <c r="EX75" s="173">
        <f ca="1">(VLOOKUP(EX$72,INDIRECT($C$5&amp;"生成成长"),2))/((VLOOKUP($B75,INDIRECT($B$5&amp;"生成成长"),4))/(VLOOKUP(EX$72,INDIRECT($C$5&amp;"生成成长"),5))*(VLOOKUP($B$5,标准坦克设计!$B$24:$U$30,MATCH("对"&amp;LEFT($C$5,2)&amp;"输出",标准坦克设计!$B$23:$U$23,0)))*(VLOOKUP($B75,INDIRECT($B$5&amp;"生成成长"),3))*(VLOOKUP($B$5,标准坦克设计!$B$14:$K$20,9)/30))</f>
        <v>76.639134246212421</v>
      </c>
      <c r="EY75" s="173">
        <f ca="1">(VLOOKUP(EY$72,INDIRECT($C$5&amp;"生成成长"),2))/((VLOOKUP($B75,INDIRECT($B$5&amp;"生成成长"),4))/(VLOOKUP(EY$72,INDIRECT($C$5&amp;"生成成长"),5))*(VLOOKUP($B$5,标准坦克设计!$B$24:$U$30,MATCH("对"&amp;LEFT($C$5,2)&amp;"输出",标准坦克设计!$B$23:$U$23,0)))*(VLOOKUP($B75,INDIRECT($B$5&amp;"生成成长"),3))*(VLOOKUP($B$5,标准坦克设计!$B$14:$K$20,9)/30))</f>
        <v>81.914808992761181</v>
      </c>
      <c r="EZ75" s="173">
        <f ca="1">(VLOOKUP(EZ$72,INDIRECT($C$5&amp;"生成成长"),2))/((VLOOKUP($B75,INDIRECT($B$5&amp;"生成成长"),4))/(VLOOKUP(EZ$72,INDIRECT($C$5&amp;"生成成长"),5))*(VLOOKUP($B$5,标准坦克设计!$B$24:$U$30,MATCH("对"&amp;LEFT($C$5,2)&amp;"输出",标准坦克设计!$B$23:$U$23,0)))*(VLOOKUP($B75,INDIRECT($B$5&amp;"生成成长"),3))*(VLOOKUP($B$5,标准坦克设计!$B$14:$K$20,9)/30))</f>
        <v>87.366073519073993</v>
      </c>
      <c r="FA75" s="173">
        <f ca="1">(VLOOKUP(FA$72,INDIRECT($C$5&amp;"生成成长"),2))/((VLOOKUP($B75,INDIRECT($B$5&amp;"生成成长"),4))/(VLOOKUP(FA$72,INDIRECT($C$5&amp;"生成成长"),5))*(VLOOKUP($B$5,标准坦克设计!$B$24:$U$30,MATCH("对"&amp;LEFT($C$5,2)&amp;"输出",标准坦克设计!$B$23:$U$23,0)))*(VLOOKUP($B75,INDIRECT($B$5&amp;"生成成长"),3))*(VLOOKUP($B$5,标准坦克设计!$B$14:$K$20,9)/30))</f>
        <v>92.992927825150957</v>
      </c>
      <c r="FB75" s="173">
        <f ca="1">(VLOOKUP(FB$72,INDIRECT($C$5&amp;"生成成长"),2))/((VLOOKUP($B75,INDIRECT($B$5&amp;"生成成长"),4))/(VLOOKUP(FB$72,INDIRECT($C$5&amp;"生成成长"),5))*(VLOOKUP($B$5,标准坦克设计!$B$24:$U$30,MATCH("对"&amp;LEFT($C$5,2)&amp;"输出",标准坦克设计!$B$23:$U$23,0)))*(VLOOKUP($B75,INDIRECT($B$5&amp;"生成成长"),3))*(VLOOKUP($B$5,标准坦克设计!$B$14:$K$20,9)/30))</f>
        <v>98.795371910991989</v>
      </c>
      <c r="FC75" s="173">
        <f ca="1">(VLOOKUP(FC$72,INDIRECT($C$5&amp;"生成成长"),2))/((VLOOKUP($B75,INDIRECT($B$5&amp;"生成成长"),4))/(VLOOKUP(FC$72,INDIRECT($C$5&amp;"生成成长"),5))*(VLOOKUP($B$5,标准坦克设计!$B$24:$U$30,MATCH("对"&amp;LEFT($C$5,2)&amp;"输出",标准坦克设计!$B$23:$U$23,0)))*(VLOOKUP($B75,INDIRECT($B$5&amp;"生成成长"),3))*(VLOOKUP($B$5,标准坦克设计!$B$14:$K$20,9)/30))</f>
        <v>104.77340577659717</v>
      </c>
      <c r="FD75" s="173">
        <f ca="1">(VLOOKUP(FD$72,INDIRECT($C$5&amp;"生成成长"),2))/((VLOOKUP($B75,INDIRECT($B$5&amp;"生成成长"),4))/(VLOOKUP(FD$72,INDIRECT($C$5&amp;"生成成长"),5))*(VLOOKUP($B$5,标准坦克设计!$B$24:$U$30,MATCH("对"&amp;LEFT($C$5,2)&amp;"输出",标准坦克设计!$B$23:$U$23,0)))*(VLOOKUP($B75,INDIRECT($B$5&amp;"生成成长"),3))*(VLOOKUP($B$5,标准坦克设计!$B$14:$K$20,9)/30))</f>
        <v>110.9270294219664</v>
      </c>
      <c r="FE75" s="173">
        <f ca="1">(VLOOKUP(FE$72,INDIRECT($C$5&amp;"生成成长"),2))/((VLOOKUP($B75,INDIRECT($B$5&amp;"生成成长"),4))/(VLOOKUP(FE$72,INDIRECT($C$5&amp;"生成成长"),5))*(VLOOKUP($B$5,标准坦克设计!$B$24:$U$30,MATCH("对"&amp;LEFT($C$5,2)&amp;"输出",标准坦克设计!$B$23:$U$23,0)))*(VLOOKUP($B75,INDIRECT($B$5&amp;"生成成长"),3))*(VLOOKUP($B$5,标准坦克设计!$B$14:$K$20,9)/30))</f>
        <v>118.42587394205735</v>
      </c>
      <c r="FF75" s="173">
        <f ca="1">(VLOOKUP(FF$72,INDIRECT($C$5&amp;"生成成长"),2))/((VLOOKUP($B75,INDIRECT($B$5&amp;"生成成长"),4))/(VLOOKUP(FF$72,INDIRECT($C$5&amp;"生成成长"),5))*(VLOOKUP($B$5,标准坦克设计!$B$24:$U$30,MATCH("对"&amp;LEFT($C$5,2)&amp;"输出",标准坦克设计!$B$23:$U$23,0)))*(VLOOKUP($B75,INDIRECT($B$5&amp;"生成成长"),3))*(VLOOKUP($B$5,标准坦克设计!$B$14:$K$20,9)/30))</f>
        <v>126.16996369173616</v>
      </c>
      <c r="FG75" s="173">
        <f ca="1">(VLOOKUP(FG$72,INDIRECT($C$5&amp;"生成成长"),2))/((VLOOKUP($B75,INDIRECT($B$5&amp;"生成成长"),4))/(VLOOKUP(FG$72,INDIRECT($C$5&amp;"生成成长"),5))*(VLOOKUP($B$5,标准坦克设计!$B$24:$U$30,MATCH("对"&amp;LEFT($C$5,2)&amp;"输出",标准坦克设计!$B$23:$U$23,0)))*(VLOOKUP($B75,INDIRECT($B$5&amp;"生成成长"),3))*(VLOOKUP($B$5,标准坦克设计!$B$14:$K$20,9)/30))</f>
        <v>134.15929867100286</v>
      </c>
      <c r="FH75" s="173">
        <f ca="1">(VLOOKUP(FH$72,INDIRECT($C$5&amp;"生成成长"),2))/((VLOOKUP($B75,INDIRECT($B$5&amp;"生成成长"),4))/(VLOOKUP(FH$72,INDIRECT($C$5&amp;"生成成长"),5))*(VLOOKUP($B$5,标准坦克设计!$B$24:$U$30,MATCH("对"&amp;LEFT($C$5,2)&amp;"输出",标准坦克设计!$B$23:$U$23,0)))*(VLOOKUP($B75,INDIRECT($B$5&amp;"生成成长"),3))*(VLOOKUP($B$5,标准坦克设计!$B$14:$K$20,9)/30))</f>
        <v>142.39387887985743</v>
      </c>
      <c r="FI75" s="173">
        <f ca="1">(VLOOKUP(FI$72,INDIRECT($C$5&amp;"生成成长"),2))/((VLOOKUP($B75,INDIRECT($B$5&amp;"生成成长"),4))/(VLOOKUP(FI$72,INDIRECT($C$5&amp;"生成成长"),5))*(VLOOKUP($B$5,标准坦克设计!$B$24:$U$30,MATCH("对"&amp;LEFT($C$5,2)&amp;"输出",标准坦克设计!$B$23:$U$23,0)))*(VLOOKUP($B75,INDIRECT($B$5&amp;"生成成长"),3))*(VLOOKUP($B$5,标准坦克设计!$B$14:$K$20,9)/30))</f>
        <v>150.8737043182999</v>
      </c>
      <c r="FJ75" s="173">
        <f ca="1">(VLOOKUP(FJ$72,INDIRECT($C$5&amp;"生成成长"),2))/((VLOOKUP($B75,INDIRECT($B$5&amp;"生成成长"),4))/(VLOOKUP(FJ$72,INDIRECT($C$5&amp;"生成成长"),5))*(VLOOKUP($B$5,标准坦克设计!$B$24:$U$30,MATCH("对"&amp;LEFT($C$5,2)&amp;"输出",标准坦克设计!$B$23:$U$23,0)))*(VLOOKUP($B75,INDIRECT($B$5&amp;"生成成长"),3))*(VLOOKUP($B$5,标准坦克设计!$B$14:$K$20,9)/30))</f>
        <v>159.59877498633026</v>
      </c>
      <c r="FK75" s="173">
        <f ca="1">(VLOOKUP(FK$72,INDIRECT($C$5&amp;"生成成长"),2))/((VLOOKUP($B75,INDIRECT($B$5&amp;"生成成长"),4))/(VLOOKUP(FK$72,INDIRECT($C$5&amp;"生成成长"),5))*(VLOOKUP($B$5,标准坦克设计!$B$24:$U$30,MATCH("对"&amp;LEFT($C$5,2)&amp;"输出",标准坦克设计!$B$23:$U$23,0)))*(VLOOKUP($B75,INDIRECT($B$5&amp;"生成成长"),3))*(VLOOKUP($B$5,标准坦克设计!$B$14:$K$20,9)/30))</f>
        <v>168.56909088394846</v>
      </c>
    </row>
    <row r="76" spans="1:167" x14ac:dyDescent="0.15">
      <c r="A76" s="171" t="str">
        <f t="shared" si="11"/>
        <v>T1低品质4级</v>
      </c>
      <c r="B76" s="172">
        <v>10104</v>
      </c>
      <c r="C76" s="173">
        <f ca="1">(VLOOKUP(C$72,INDIRECT($C$5&amp;"生成成长"),2))/((VLOOKUP($B76,INDIRECT($B$5&amp;"生成成长"),4))/(VLOOKUP(C$72,INDIRECT($C$5&amp;"生成成长"),5))*(VLOOKUP($B$5,标准坦克设计!$B$24:$U$30,MATCH("对"&amp;LEFT($C$5,2)&amp;"输出",标准坦克设计!$B$23:$U$23,0)))*(VLOOKUP($B76,INDIRECT($B$5&amp;"生成成长"),3))*(VLOOKUP($B$5,标准坦克设计!$B$14:$K$20,9)/30))</f>
        <v>6.5205170754016049</v>
      </c>
      <c r="D76" s="173">
        <f ca="1">(VLOOKUP(D$72,INDIRECT($C$5&amp;"生成成长"),2))/((VLOOKUP($B76,INDIRECT($B$5&amp;"生成成长"),4))/(VLOOKUP(D$72,INDIRECT($C$5&amp;"生成成长"),5))*(VLOOKUP($B$5,标准坦克设计!$B$24:$U$30,MATCH("对"&amp;LEFT($C$5,2)&amp;"输出",标准坦克设计!$B$23:$U$23,0)))*(VLOOKUP($B76,INDIRECT($B$5&amp;"生成成长"),3))*(VLOOKUP($B$5,标准坦克设计!$B$14:$K$20,9)/30))</f>
        <v>7.3264529859212431</v>
      </c>
      <c r="E76" s="173">
        <f ca="1">(VLOOKUP(E$72,INDIRECT($C$5&amp;"生成成长"),2))/((VLOOKUP($B76,INDIRECT($B$5&amp;"生成成长"),4))/(VLOOKUP(E$72,INDIRECT($C$5&amp;"生成成长"),5))*(VLOOKUP($B$5,标准坦克设计!$B$24:$U$30,MATCH("对"&amp;LEFT($C$5,2)&amp;"输出",标准坦克设计!$B$23:$U$23,0)))*(VLOOKUP($B76,INDIRECT($B$5&amp;"生成成长"),3))*(VLOOKUP($B$5,标准坦克设计!$B$14:$K$20,9)/30))</f>
        <v>8.1793366193837738</v>
      </c>
      <c r="F76" s="173">
        <f ca="1">(VLOOKUP(F$72,INDIRECT($C$5&amp;"生成成长"),2))/((VLOOKUP($B76,INDIRECT($B$5&amp;"生成成长"),4))/(VLOOKUP(F$72,INDIRECT($C$5&amp;"生成成长"),5))*(VLOOKUP($B$5,标准坦克设计!$B$24:$U$30,MATCH("对"&amp;LEFT($C$5,2)&amp;"输出",标准坦克设计!$B$23:$U$23,0)))*(VLOOKUP($B76,INDIRECT($B$5&amp;"生成成长"),3))*(VLOOKUP($B$5,标准坦克设计!$B$14:$K$20,9)/30))</f>
        <v>9.0791679757891952</v>
      </c>
      <c r="G76" s="173">
        <f ca="1">(VLOOKUP(G$72,INDIRECT($C$5&amp;"生成成长"),2))/((VLOOKUP($B76,INDIRECT($B$5&amp;"生成成长"),4))/(VLOOKUP(G$72,INDIRECT($C$5&amp;"生成成长"),5))*(VLOOKUP($B$5,标准坦克设计!$B$24:$U$30,MATCH("对"&amp;LEFT($C$5,2)&amp;"输出",标准坦克设计!$B$23:$U$23,0)))*(VLOOKUP($B76,INDIRECT($B$5&amp;"生成成长"),3))*(VLOOKUP($B$5,标准坦克设计!$B$14:$K$20,9)/30))</f>
        <v>10.025947055137507</v>
      </c>
      <c r="H76" s="173">
        <f ca="1">(VLOOKUP(H$72,INDIRECT($C$5&amp;"生成成长"),2))/((VLOOKUP($B76,INDIRECT($B$5&amp;"生成成长"),4))/(VLOOKUP(H$72,INDIRECT($C$5&amp;"生成成长"),5))*(VLOOKUP($B$5,标准坦克设计!$B$24:$U$30,MATCH("对"&amp;LEFT($C$5,2)&amp;"输出",标准坦克设计!$B$23:$U$23,0)))*(VLOOKUP($B76,INDIRECT($B$5&amp;"生成成长"),3))*(VLOOKUP($B$5,标准坦克设计!$B$14:$K$20,9)/30))</f>
        <v>8.774007776660401</v>
      </c>
      <c r="I76" s="173">
        <f ca="1">(VLOOKUP(I$72,INDIRECT($C$5&amp;"生成成长"),2))/((VLOOKUP($B76,INDIRECT($B$5&amp;"生成成长"),4))/(VLOOKUP(I$72,INDIRECT($C$5&amp;"生成成长"),5))*(VLOOKUP($B$5,标准坦克设计!$B$24:$U$30,MATCH("对"&amp;LEFT($C$5,2)&amp;"输出",标准坦克设计!$B$23:$U$23,0)))*(VLOOKUP($B76,INDIRECT($B$5&amp;"生成成长"),3))*(VLOOKUP($B$5,标准坦克设计!$B$14:$K$20,9)/30))</f>
        <v>10.025947055137507</v>
      </c>
      <c r="J76" s="173">
        <f ca="1">(VLOOKUP(J$72,INDIRECT($C$5&amp;"生成成长"),2))/((VLOOKUP($B76,INDIRECT($B$5&amp;"生成成长"),4))/(VLOOKUP(J$72,INDIRECT($C$5&amp;"生成成长"),5))*(VLOOKUP($B$5,标准坦克设计!$B$24:$U$30,MATCH("对"&amp;LEFT($C$5,2)&amp;"输出",标准坦克设计!$B$23:$U$23,0)))*(VLOOKUP($B76,INDIRECT($B$5&amp;"生成成长"),3))*(VLOOKUP($B$5,标准坦克设计!$B$14:$K$20,9)/30))</f>
        <v>11.361348952179757</v>
      </c>
      <c r="K76" s="173">
        <f ca="1">(VLOOKUP(K$72,INDIRECT($C$5&amp;"生成成长"),2))/((VLOOKUP($B76,INDIRECT($B$5&amp;"生成成长"),4))/(VLOOKUP(K$72,INDIRECT($C$5&amp;"生成成长"),5))*(VLOOKUP($B$5,标准坦克设计!$B$24:$U$30,MATCH("对"&amp;LEFT($C$5,2)&amp;"输出",标准坦克设计!$B$23:$U$23,0)))*(VLOOKUP($B76,INDIRECT($B$5&amp;"生成成长"),3))*(VLOOKUP($B$5,标准坦克设计!$B$14:$K$20,9)/30))</f>
        <v>12.780213467787148</v>
      </c>
      <c r="L76" s="173">
        <f ca="1">(VLOOKUP(L$72,INDIRECT($C$5&amp;"生成成长"),2))/((VLOOKUP($B76,INDIRECT($B$5&amp;"生成成长"),4))/(VLOOKUP(L$72,INDIRECT($C$5&amp;"生成成长"),5))*(VLOOKUP($B$5,标准坦克设计!$B$24:$U$30,MATCH("对"&amp;LEFT($C$5,2)&amp;"输出",标准坦克设计!$B$23:$U$23,0)))*(VLOOKUP($B76,INDIRECT($B$5&amp;"生成成长"),3))*(VLOOKUP($B$5,标准坦克设计!$B$14:$K$20,9)/30))</f>
        <v>14.282540601959674</v>
      </c>
      <c r="M76" s="173">
        <f ca="1">(VLOOKUP(M$72,INDIRECT($C$5&amp;"生成成长"),2))/((VLOOKUP($B76,INDIRECT($B$5&amp;"生成成长"),4))/(VLOOKUP(M$72,INDIRECT($C$5&amp;"生成成长"),5))*(VLOOKUP($B$5,标准坦克设计!$B$24:$U$30,MATCH("对"&amp;LEFT($C$5,2)&amp;"输出",标准坦克设计!$B$23:$U$23,0)))*(VLOOKUP($B76,INDIRECT($B$5&amp;"生成成长"),3))*(VLOOKUP($B$5,标准坦克设计!$B$14:$K$20,9)/30))</f>
        <v>15.868330354697347</v>
      </c>
      <c r="N76" s="173">
        <f ca="1">(VLOOKUP(N$72,INDIRECT($C$5&amp;"生成成长"),2))/((VLOOKUP($B76,INDIRECT($B$5&amp;"生成成长"),4))/(VLOOKUP(N$72,INDIRECT($C$5&amp;"生成成长"),5))*(VLOOKUP($B$5,标准坦克设计!$B$24:$U$30,MATCH("对"&amp;LEFT($C$5,2)&amp;"输出",标准坦克设计!$B$23:$U$23,0)))*(VLOOKUP($B76,INDIRECT($B$5&amp;"生成成长"),3))*(VLOOKUP($B$5,标准坦克设计!$B$14:$K$20,9)/30))</f>
        <v>17.537582726000156</v>
      </c>
      <c r="O76" s="173">
        <f ca="1">(VLOOKUP(O$72,INDIRECT($C$5&amp;"生成成长"),2))/((VLOOKUP($B76,INDIRECT($B$5&amp;"生成成长"),4))/(VLOOKUP(O$72,INDIRECT($C$5&amp;"生成成长"),5))*(VLOOKUP($B$5,标准坦克设计!$B$24:$U$30,MATCH("对"&amp;LEFT($C$5,2)&amp;"输出",标准坦克设计!$B$23:$U$23,0)))*(VLOOKUP($B76,INDIRECT($B$5&amp;"生成成长"),3))*(VLOOKUP($B$5,标准坦克设计!$B$14:$K$20,9)/30))</f>
        <v>13.33380536748874</v>
      </c>
      <c r="P76" s="173">
        <f ca="1">(VLOOKUP(P$72,INDIRECT($C$5&amp;"生成成长"),2))/((VLOOKUP($B76,INDIRECT($B$5&amp;"生成成长"),4))/(VLOOKUP(P$72,INDIRECT($C$5&amp;"生成成长"),5))*(VLOOKUP($B$5,标准坦克设计!$B$24:$U$30,MATCH("对"&amp;LEFT($C$5,2)&amp;"输出",标准坦克设计!$B$23:$U$23,0)))*(VLOOKUP($B76,INDIRECT($B$5&amp;"生成成长"),3))*(VLOOKUP($B$5,标准坦克设计!$B$14:$K$20,9)/30))</f>
        <v>15.065002651007868</v>
      </c>
      <c r="Q76" s="173">
        <f ca="1">(VLOOKUP(Q$72,INDIRECT($C$5&amp;"生成成长"),2))/((VLOOKUP($B76,INDIRECT($B$5&amp;"生成成长"),4))/(VLOOKUP(Q$72,INDIRECT($C$5&amp;"生成成长"),5))*(VLOOKUP($B$5,标准坦克设计!$B$24:$U$30,MATCH("对"&amp;LEFT($C$5,2)&amp;"输出",标准坦克设计!$B$23:$U$23,0)))*(VLOOKUP($B76,INDIRECT($B$5&amp;"生成成长"),3))*(VLOOKUP($B$5,标准坦克设计!$B$14:$K$20,9)/30))</f>
        <v>16.9018323111485</v>
      </c>
      <c r="R76" s="173">
        <f ca="1">(VLOOKUP(R$72,INDIRECT($C$5&amp;"生成成长"),2))/((VLOOKUP($B76,INDIRECT($B$5&amp;"生成成长"),4))/(VLOOKUP(R$72,INDIRECT($C$5&amp;"生成成长"),5))*(VLOOKUP($B$5,标准坦克设计!$B$24:$U$30,MATCH("对"&amp;LEFT($C$5,2)&amp;"输出",标准坦克设计!$B$23:$U$23,0)))*(VLOOKUP($B76,INDIRECT($B$5&amp;"生成成长"),3))*(VLOOKUP($B$5,标准坦克设计!$B$14:$K$20,9)/30))</f>
        <v>18.84429434791064</v>
      </c>
      <c r="S76" s="173">
        <f ca="1">(VLOOKUP(S$72,INDIRECT($C$5&amp;"生成成长"),2))/((VLOOKUP($B76,INDIRECT($B$5&amp;"生成成长"),4))/(VLOOKUP(S$72,INDIRECT($C$5&amp;"生成成长"),5))*(VLOOKUP($B$5,标准坦克设计!$B$24:$U$30,MATCH("对"&amp;LEFT($C$5,2)&amp;"输出",标准坦克设计!$B$23:$U$23,0)))*(VLOOKUP($B76,INDIRECT($B$5&amp;"生成成长"),3))*(VLOOKUP($B$5,标准坦克设计!$B$14:$K$20,9)/30))</f>
        <v>20.892388761294285</v>
      </c>
      <c r="T76" s="173">
        <f ca="1">(VLOOKUP(T$72,INDIRECT($C$5&amp;"生成成长"),2))/((VLOOKUP($B76,INDIRECT($B$5&amp;"生成成长"),4))/(VLOOKUP(T$72,INDIRECT($C$5&amp;"生成成长"),5))*(VLOOKUP($B$5,标准坦克设计!$B$24:$U$30,MATCH("对"&amp;LEFT($C$5,2)&amp;"输出",标准坦克设计!$B$23:$U$23,0)))*(VLOOKUP($B76,INDIRECT($B$5&amp;"生成成长"),3))*(VLOOKUP($B$5,标准坦克设计!$B$14:$K$20,9)/30))</f>
        <v>23.046115551299433</v>
      </c>
      <c r="U76" s="173">
        <f ca="1">(VLOOKUP(U$72,INDIRECT($C$5&amp;"生成成长"),2))/((VLOOKUP($B76,INDIRECT($B$5&amp;"生成成长"),4))/(VLOOKUP(U$72,INDIRECT($C$5&amp;"生成成长"),5))*(VLOOKUP($B$5,标准坦克设计!$B$24:$U$30,MATCH("对"&amp;LEFT($C$5,2)&amp;"输出",标准坦克设计!$B$23:$U$23,0)))*(VLOOKUP($B76,INDIRECT($B$5&amp;"生成成长"),3))*(VLOOKUP($B$5,标准坦克设计!$B$14:$K$20,9)/30))</f>
        <v>25.305474717926089</v>
      </c>
      <c r="V76" s="173">
        <f ca="1">(VLOOKUP(V$72,INDIRECT($C$5&amp;"生成成长"),2))/((VLOOKUP($B76,INDIRECT($B$5&amp;"生成成长"),4))/(VLOOKUP(V$72,INDIRECT($C$5&amp;"生成成长"),5))*(VLOOKUP($B$5,标准坦克设计!$B$24:$U$30,MATCH("对"&amp;LEFT($C$5,2)&amp;"输出",标准坦克设计!$B$23:$U$23,0)))*(VLOOKUP($B76,INDIRECT($B$5&amp;"生成成长"),3))*(VLOOKUP($B$5,标准坦克设计!$B$14:$K$20,9)/30))</f>
        <v>27.670466261174251</v>
      </c>
      <c r="W76" s="173">
        <f ca="1">(VLOOKUP(W$72,INDIRECT($C$5&amp;"生成成长"),2))/((VLOOKUP($B76,INDIRECT($B$5&amp;"生成成长"),4))/(VLOOKUP(W$72,INDIRECT($C$5&amp;"生成成长"),5))*(VLOOKUP($B$5,标准坦克设计!$B$24:$U$30,MATCH("对"&amp;LEFT($C$5,2)&amp;"输出",标准坦克设计!$B$23:$U$23,0)))*(VLOOKUP($B76,INDIRECT($B$5&amp;"生成成长"),3))*(VLOOKUP($B$5,标准坦克设计!$B$14:$K$20,9)/30))</f>
        <v>30.141090181043918</v>
      </c>
      <c r="X76" s="173">
        <f ca="1">(VLOOKUP(X$72,INDIRECT($C$5&amp;"生成成长"),2))/((VLOOKUP($B76,INDIRECT($B$5&amp;"生成成长"),4))/(VLOOKUP(X$72,INDIRECT($C$5&amp;"生成成长"),5))*(VLOOKUP($B$5,标准坦克设计!$B$24:$U$30,MATCH("对"&amp;LEFT($C$5,2)&amp;"输出",标准坦克设计!$B$23:$U$23,0)))*(VLOOKUP($B76,INDIRECT($B$5&amp;"生成成长"),3))*(VLOOKUP($B$5,标准坦克设计!$B$14:$K$20,9)/30))</f>
        <v>21.836559633812435</v>
      </c>
      <c r="Y76" s="173">
        <f ca="1">(VLOOKUP(Y$72,INDIRECT($C$5&amp;"生成成长"),2))/((VLOOKUP($B76,INDIRECT($B$5&amp;"生成成长"),4))/(VLOOKUP(Y$72,INDIRECT($C$5&amp;"生成成长"),5))*(VLOOKUP($B$5,标准坦克设计!$B$24:$U$30,MATCH("对"&amp;LEFT($C$5,2)&amp;"输出",标准坦克设计!$B$23:$U$23,0)))*(VLOOKUP($B76,INDIRECT($B$5&amp;"生成成长"),3))*(VLOOKUP($B$5,标准坦克设计!$B$14:$K$20,9)/30))</f>
        <v>24.288274054163441</v>
      </c>
      <c r="Z76" s="173">
        <f ca="1">(VLOOKUP(Z$72,INDIRECT($C$5&amp;"生成成长"),2))/((VLOOKUP($B76,INDIRECT($B$5&amp;"生成成长"),4))/(VLOOKUP(Z$72,INDIRECT($C$5&amp;"生成成长"),5))*(VLOOKUP($B$5,标准坦克设计!$B$24:$U$30,MATCH("对"&amp;LEFT($C$5,2)&amp;"输出",标准坦克设计!$B$23:$U$23,0)))*(VLOOKUP($B76,INDIRECT($B$5&amp;"生成成长"),3))*(VLOOKUP($B$5,标准坦克设计!$B$14:$K$20,9)/30))</f>
        <v>26.870398816022476</v>
      </c>
      <c r="AA76" s="173">
        <f ca="1">(VLOOKUP(AA$72,INDIRECT($C$5&amp;"生成成长"),2))/((VLOOKUP($B76,INDIRECT($B$5&amp;"生成成长"),4))/(VLOOKUP(AA$72,INDIRECT($C$5&amp;"生成成长"),5))*(VLOOKUP($B$5,标准坦克设计!$B$24:$U$30,MATCH("对"&amp;LEFT($C$5,2)&amp;"输出",标准坦克设计!$B$23:$U$23,0)))*(VLOOKUP($B76,INDIRECT($B$5&amp;"生成成长"),3))*(VLOOKUP($B$5,标准坦克设计!$B$14:$K$20,9)/30))</f>
        <v>29.582933919389539</v>
      </c>
      <c r="AB76" s="173">
        <f ca="1">(VLOOKUP(AB$72,INDIRECT($C$5&amp;"生成成长"),2))/((VLOOKUP($B76,INDIRECT($B$5&amp;"生成成长"),4))/(VLOOKUP(AB$72,INDIRECT($C$5&amp;"生成成长"),5))*(VLOOKUP($B$5,标准坦克设计!$B$24:$U$30,MATCH("对"&amp;LEFT($C$5,2)&amp;"输出",标准坦克设计!$B$23:$U$23,0)))*(VLOOKUP($B76,INDIRECT($B$5&amp;"生成成长"),3))*(VLOOKUP($B$5,标准坦克设计!$B$14:$K$20,9)/30))</f>
        <v>32.425879364264638</v>
      </c>
      <c r="AC76" s="173">
        <f ca="1">(VLOOKUP(AC$72,INDIRECT($C$5&amp;"生成成长"),2))/((VLOOKUP($B76,INDIRECT($B$5&amp;"生成成长"),4))/(VLOOKUP(AC$72,INDIRECT($C$5&amp;"生成成长"),5))*(VLOOKUP($B$5,标准坦克设计!$B$24:$U$30,MATCH("对"&amp;LEFT($C$5,2)&amp;"输出",标准坦克设计!$B$23:$U$23,0)))*(VLOOKUP($B76,INDIRECT($B$5&amp;"生成成长"),3))*(VLOOKUP($B$5,标准坦克设计!$B$14:$K$20,9)/30))</f>
        <v>35.399235150647769</v>
      </c>
      <c r="AD76" s="173">
        <f ca="1">(VLOOKUP(AD$72,INDIRECT($C$5&amp;"生成成长"),2))/((VLOOKUP($B76,INDIRECT($B$5&amp;"生成成长"),4))/(VLOOKUP(AD$72,INDIRECT($C$5&amp;"生成成长"),5))*(VLOOKUP($B$5,标准坦克设计!$B$24:$U$30,MATCH("对"&amp;LEFT($C$5,2)&amp;"输出",标准坦克设计!$B$23:$U$23,0)))*(VLOOKUP($B76,INDIRECT($B$5&amp;"生成成长"),3))*(VLOOKUP($B$5,标准坦克设计!$B$14:$K$20,9)/30))</f>
        <v>38.503001278538939</v>
      </c>
      <c r="AE76" s="173">
        <f ca="1">(VLOOKUP(AE$72,INDIRECT($C$5&amp;"生成成长"),2))/((VLOOKUP($B76,INDIRECT($B$5&amp;"生成成长"),4))/(VLOOKUP(AE$72,INDIRECT($C$5&amp;"生成成长"),5))*(VLOOKUP($B$5,标准坦克设计!$B$24:$U$30,MATCH("对"&amp;LEFT($C$5,2)&amp;"输出",标准坦克设计!$B$23:$U$23,0)))*(VLOOKUP($B76,INDIRECT($B$5&amp;"生成成长"),3))*(VLOOKUP($B$5,标准坦克设计!$B$14:$K$20,9)/30))</f>
        <v>41.737177747938134</v>
      </c>
      <c r="AF76" s="173">
        <f ca="1">(VLOOKUP(AF$72,INDIRECT($C$5&amp;"生成成长"),2))/((VLOOKUP($B76,INDIRECT($B$5&amp;"生成成长"),4))/(VLOOKUP(AF$72,INDIRECT($C$5&amp;"生成成长"),5))*(VLOOKUP($B$5,标准坦克设计!$B$24:$U$30,MATCH("对"&amp;LEFT($C$5,2)&amp;"输出",标准坦克设计!$B$23:$U$23,0)))*(VLOOKUP($B76,INDIRECT($B$5&amp;"生成成长"),3))*(VLOOKUP($B$5,标准坦克设计!$B$14:$K$20,9)/30))</f>
        <v>45.10176455884536</v>
      </c>
      <c r="AG76" s="173">
        <f ca="1">(VLOOKUP(AG$72,INDIRECT($C$5&amp;"生成成长"),2))/((VLOOKUP($B76,INDIRECT($B$5&amp;"生成成长"),4))/(VLOOKUP(AG$72,INDIRECT($C$5&amp;"生成成长"),5))*(VLOOKUP($B$5,标准坦克设计!$B$24:$U$30,MATCH("对"&amp;LEFT($C$5,2)&amp;"输出",标准坦克设计!$B$23:$U$23,0)))*(VLOOKUP($B76,INDIRECT($B$5&amp;"生成成长"),3))*(VLOOKUP($B$5,标准坦克设计!$B$14:$K$20,9)/30))</f>
        <v>48.596761711260619</v>
      </c>
      <c r="AH76" s="173">
        <f ca="1">(VLOOKUP(AH$72,INDIRECT($C$5&amp;"生成成长"),2))/((VLOOKUP($B76,INDIRECT($B$5&amp;"生成成长"),4))/(VLOOKUP(AH$72,INDIRECT($C$5&amp;"生成成长"),5))*(VLOOKUP($B$5,标准坦克设计!$B$24:$U$30,MATCH("对"&amp;LEFT($C$5,2)&amp;"输出",标准坦克设计!$B$23:$U$23,0)))*(VLOOKUP($B76,INDIRECT($B$5&amp;"生成成长"),3))*(VLOOKUP($B$5,标准坦克设计!$B$14:$K$20,9)/30))</f>
        <v>52.222169205183917</v>
      </c>
      <c r="AI76" s="173">
        <f ca="1">(VLOOKUP(AI$72,INDIRECT($C$5&amp;"生成成长"),2))/((VLOOKUP($B76,INDIRECT($B$5&amp;"生成成长"),4))/(VLOOKUP(AI$72,INDIRECT($C$5&amp;"生成成长"),5))*(VLOOKUP($B$5,标准坦克设计!$B$24:$U$30,MATCH("对"&amp;LEFT($C$5,2)&amp;"输出",标准坦克设计!$B$23:$U$23,0)))*(VLOOKUP($B76,INDIRECT($B$5&amp;"生成成长"),3))*(VLOOKUP($B$5,标准坦克设计!$B$14:$K$20,9)/30))</f>
        <v>36.934816921904854</v>
      </c>
      <c r="AJ76" s="173">
        <f ca="1">(VLOOKUP(AJ$72,INDIRECT($C$5&amp;"生成成长"),2))/((VLOOKUP($B76,INDIRECT($B$5&amp;"生成成长"),4))/(VLOOKUP(AJ$72,INDIRECT($C$5&amp;"生成成长"),5))*(VLOOKUP($B$5,标准坦克设计!$B$24:$U$30,MATCH("对"&amp;LEFT($C$5,2)&amp;"输出",标准坦克设计!$B$23:$U$23,0)))*(VLOOKUP($B76,INDIRECT($B$5&amp;"生成成长"),3))*(VLOOKUP($B$5,标准坦克设计!$B$14:$K$20,9)/30))</f>
        <v>40.427857919197493</v>
      </c>
      <c r="AK76" s="173">
        <f ca="1">(VLOOKUP(AK$72,INDIRECT($C$5&amp;"生成成长"),2))/((VLOOKUP($B76,INDIRECT($B$5&amp;"生成成长"),4))/(VLOOKUP(AK$72,INDIRECT($C$5&amp;"生成成长"),5))*(VLOOKUP($B$5,标准坦克设计!$B$24:$U$30,MATCH("对"&amp;LEFT($C$5,2)&amp;"输出",标准坦克设计!$B$23:$U$23,0)))*(VLOOKUP($B76,INDIRECT($B$5&amp;"生成成长"),3))*(VLOOKUP($B$5,标准坦克设计!$B$14:$K$20,9)/30))</f>
        <v>44.078695429714848</v>
      </c>
      <c r="AL76" s="173">
        <f ca="1">(VLOOKUP(AL$72,INDIRECT($C$5&amp;"生成成长"),2))/((VLOOKUP($B76,INDIRECT($B$5&amp;"生成成长"),4))/(VLOOKUP(AL$72,INDIRECT($C$5&amp;"生成成长"),5))*(VLOOKUP($B$5,标准坦克设计!$B$24:$U$30,MATCH("对"&amp;LEFT($C$5,2)&amp;"输出",标准坦克设计!$B$23:$U$23,0)))*(VLOOKUP($B76,INDIRECT($B$5&amp;"生成成长"),3))*(VLOOKUP($B$5,标准坦克设计!$B$14:$K$20,9)/30))</f>
        <v>47.887329453456935</v>
      </c>
      <c r="AM76" s="173">
        <f ca="1">(VLOOKUP(AM$72,INDIRECT($C$5&amp;"生成成长"),2))/((VLOOKUP($B76,INDIRECT($B$5&amp;"生成成长"),4))/(VLOOKUP(AM$72,INDIRECT($C$5&amp;"生成成长"),5))*(VLOOKUP($B$5,标准坦克设计!$B$24:$U$30,MATCH("对"&amp;LEFT($C$5,2)&amp;"输出",标准坦克设计!$B$23:$U$23,0)))*(VLOOKUP($B76,INDIRECT($B$5&amp;"生成成长"),3))*(VLOOKUP($B$5,标准坦克设计!$B$14:$K$20,9)/30))</f>
        <v>51.853759990423725</v>
      </c>
      <c r="AN76" s="173">
        <f ca="1">(VLOOKUP(AN$72,INDIRECT($C$5&amp;"生成成长"),2))/((VLOOKUP($B76,INDIRECT($B$5&amp;"生成成长"),4))/(VLOOKUP(AN$72,INDIRECT($C$5&amp;"生成成长"),5))*(VLOOKUP($B$5,标准坦克设计!$B$24:$U$30,MATCH("对"&amp;LEFT($C$5,2)&amp;"输出",标准坦克设计!$B$23:$U$23,0)))*(VLOOKUP($B76,INDIRECT($B$5&amp;"生成成长"),3))*(VLOOKUP($B$5,标准坦克设计!$B$14:$K$20,9)/30))</f>
        <v>55.977987040615233</v>
      </c>
      <c r="AO76" s="173">
        <f ca="1">(VLOOKUP(AO$72,INDIRECT($C$5&amp;"生成成长"),2))/((VLOOKUP($B76,INDIRECT($B$5&amp;"生成成长"),4))/(VLOOKUP(AO$72,INDIRECT($C$5&amp;"生成成长"),5))*(VLOOKUP($B$5,标准坦克设计!$B$24:$U$30,MATCH("对"&amp;LEFT($C$5,2)&amp;"输出",标准坦克设计!$B$23:$U$23,0)))*(VLOOKUP($B76,INDIRECT($B$5&amp;"生成成长"),3))*(VLOOKUP($B$5,标准坦克设计!$B$14:$K$20,9)/30))</f>
        <v>60.260010604031471</v>
      </c>
      <c r="AP76" s="173">
        <f ca="1">(VLOOKUP(AP$72,INDIRECT($C$5&amp;"生成成长"),2))/((VLOOKUP($B76,INDIRECT($B$5&amp;"生成成长"),4))/(VLOOKUP(AP$72,INDIRECT($C$5&amp;"生成成长"),5))*(VLOOKUP($B$5,标准坦克设计!$B$24:$U$30,MATCH("对"&amp;LEFT($C$5,2)&amp;"输出",标准坦克设计!$B$23:$U$23,0)))*(VLOOKUP($B76,INDIRECT($B$5&amp;"生成成长"),3))*(VLOOKUP($B$5,标准坦克设计!$B$14:$K$20,9)/30))</f>
        <v>64.69983068067242</v>
      </c>
      <c r="AQ76" s="173">
        <f ca="1">(VLOOKUP(AQ$72,INDIRECT($C$5&amp;"生成成长"),2))/((VLOOKUP($B76,INDIRECT($B$5&amp;"生成成长"),4))/(VLOOKUP(AQ$72,INDIRECT($C$5&amp;"生成成长"),5))*(VLOOKUP($B$5,标准坦克设计!$B$24:$U$30,MATCH("对"&amp;LEFT($C$5,2)&amp;"输出",标准坦克设计!$B$23:$U$23,0)))*(VLOOKUP($B76,INDIRECT($B$5&amp;"生成成长"),3))*(VLOOKUP($B$5,标准坦克设计!$B$14:$K$20,9)/30))</f>
        <v>69.297447270538086</v>
      </c>
      <c r="AR76" s="173">
        <f ca="1">(VLOOKUP(AR$72,INDIRECT($C$5&amp;"生成成长"),2))/((VLOOKUP($B76,INDIRECT($B$5&amp;"生成成长"),4))/(VLOOKUP(AR$72,INDIRECT($C$5&amp;"生成成长"),5))*(VLOOKUP($B$5,标准坦克设计!$B$24:$U$30,MATCH("对"&amp;LEFT($C$5,2)&amp;"输出",标准坦克设计!$B$23:$U$23,0)))*(VLOOKUP($B76,INDIRECT($B$5&amp;"生成成长"),3))*(VLOOKUP($B$5,标准坦克设计!$B$14:$K$20,9)/30))</f>
        <v>74.052860373628491</v>
      </c>
      <c r="AS76" s="173">
        <f ca="1">(VLOOKUP(AS$72,INDIRECT($C$5&amp;"生成成长"),2))/((VLOOKUP($B76,INDIRECT($B$5&amp;"生成成长"),4))/(VLOOKUP(AS$72,INDIRECT($C$5&amp;"生成成长"),5))*(VLOOKUP($B$5,标准坦克设计!$B$24:$U$30,MATCH("对"&amp;LEFT($C$5,2)&amp;"输出",标准坦克设计!$B$23:$U$23,0)))*(VLOOKUP($B76,INDIRECT($B$5&amp;"生成成长"),3))*(VLOOKUP($B$5,标准坦克设计!$B$14:$K$20,9)/30))</f>
        <v>78.966069989943605</v>
      </c>
      <c r="AT76" s="173">
        <f ca="1">(VLOOKUP(AT$72,INDIRECT($C$5&amp;"生成成长"),2))/((VLOOKUP($B76,INDIRECT($B$5&amp;"生成成长"),4))/(VLOOKUP(AT$72,INDIRECT($C$5&amp;"生成成长"),5))*(VLOOKUP($B$5,标准坦克设计!$B$24:$U$30,MATCH("对"&amp;LEFT($C$5,2)&amp;"输出",标准坦克设计!$B$23:$U$23,0)))*(VLOOKUP($B76,INDIRECT($B$5&amp;"生成成长"),3))*(VLOOKUP($B$5,标准坦克设计!$B$14:$K$20,9)/30))</f>
        <v>84.037076119483444</v>
      </c>
      <c r="AU76" s="173">
        <f ca="1">(VLOOKUP(AU$72,INDIRECT($C$5&amp;"生成成长"),2))/((VLOOKUP($B76,INDIRECT($B$5&amp;"生成成长"),4))/(VLOOKUP(AU$72,INDIRECT($C$5&amp;"生成成长"),5))*(VLOOKUP($B$5,标准坦克设计!$B$24:$U$30,MATCH("对"&amp;LEFT($C$5,2)&amp;"输出",标准坦克设计!$B$23:$U$23,0)))*(VLOOKUP($B76,INDIRECT($B$5&amp;"生成成长"),3))*(VLOOKUP($B$5,标准坦克设计!$B$14:$K$20,9)/30))</f>
        <v>89.265878762247979</v>
      </c>
      <c r="AV76" s="173">
        <f ca="1">(VLOOKUP(AV$72,INDIRECT($C$5&amp;"生成成长"),2))/((VLOOKUP($B76,INDIRECT($B$5&amp;"生成成长"),4))/(VLOOKUP(AV$72,INDIRECT($C$5&amp;"生成成长"),5))*(VLOOKUP($B$5,标准坦克设计!$B$24:$U$30,MATCH("对"&amp;LEFT($C$5,2)&amp;"输出",标准坦克设计!$B$23:$U$23,0)))*(VLOOKUP($B76,INDIRECT($B$5&amp;"生成成长"),3))*(VLOOKUP($B$5,标准坦克设计!$B$14:$K$20,9)/30))</f>
        <v>9.0791679757891952</v>
      </c>
      <c r="AW76" s="173">
        <f ca="1">(VLOOKUP(AW$72,INDIRECT($C$5&amp;"生成成长"),2))/((VLOOKUP($B76,INDIRECT($B$5&amp;"生成成长"),4))/(VLOOKUP(AW$72,INDIRECT($C$5&amp;"生成成长"),5))*(VLOOKUP($B$5,标准坦克设计!$B$24:$U$30,MATCH("对"&amp;LEFT($C$5,2)&amp;"输出",标准坦克设计!$B$23:$U$23,0)))*(VLOOKUP($B76,INDIRECT($B$5&amp;"生成成长"),3))*(VLOOKUP($B$5,标准坦克设计!$B$14:$K$20,9)/30))</f>
        <v>10.351972908907587</v>
      </c>
      <c r="AX76" s="173">
        <f ca="1">(VLOOKUP(AX$72,INDIRECT($C$5&amp;"生成成长"),2))/((VLOOKUP($B76,INDIRECT($B$5&amp;"生成成长"),4))/(VLOOKUP(AX$72,INDIRECT($C$5&amp;"生成成长"),5))*(VLOOKUP($B$5,标准坦克设计!$B$24:$U$30,MATCH("对"&amp;LEFT($C$5,2)&amp;"输出",标准坦克设计!$B$23:$U$23,0)))*(VLOOKUP($B76,INDIRECT($B$5&amp;"生成成长"),3))*(VLOOKUP($B$5,标准坦克设计!$B$14:$K$20,9)/30))</f>
        <v>11.708240460591123</v>
      </c>
      <c r="AY76" s="173">
        <f ca="1">(VLOOKUP(AY$72,INDIRECT($C$5&amp;"生成成长"),2))/((VLOOKUP($B76,INDIRECT($B$5&amp;"生成成长"),4))/(VLOOKUP(AY$72,INDIRECT($C$5&amp;"生成成长"),5))*(VLOOKUP($B$5,标准坦克设计!$B$24:$U$30,MATCH("对"&amp;LEFT($C$5,2)&amp;"输出",标准坦克设计!$B$23:$U$23,0)))*(VLOOKUP($B76,INDIRECT($B$5&amp;"生成成长"),3))*(VLOOKUP($B$5,标准坦克设计!$B$14:$K$20,9)/30))</f>
        <v>13.147970630839795</v>
      </c>
      <c r="AZ76" s="173">
        <f ca="1">(VLOOKUP(AZ$72,INDIRECT($C$5&amp;"生成成长"),2))/((VLOOKUP($B76,INDIRECT($B$5&amp;"生成成长"),4))/(VLOOKUP(AZ$72,INDIRECT($C$5&amp;"生成成长"),5))*(VLOOKUP($B$5,标准坦克设计!$B$24:$U$30,MATCH("对"&amp;LEFT($C$5,2)&amp;"输出",标准坦克设计!$B$23:$U$23,0)))*(VLOOKUP($B76,INDIRECT($B$5&amp;"生成成长"),3))*(VLOOKUP($B$5,标准坦克设计!$B$14:$K$20,9)/30))</f>
        <v>14.671163419653611</v>
      </c>
      <c r="BA76" s="173">
        <f ca="1">(VLOOKUP(BA$72,INDIRECT($C$5&amp;"生成成长"),2))/((VLOOKUP($B76,INDIRECT($B$5&amp;"生成成长"),4))/(VLOOKUP(BA$72,INDIRECT($C$5&amp;"生成成长"),5))*(VLOOKUP($B$5,标准坦克设计!$B$24:$U$30,MATCH("对"&amp;LEFT($C$5,2)&amp;"输出",标准坦克设计!$B$23:$U$23,0)))*(VLOOKUP($B76,INDIRECT($B$5&amp;"生成成长"),3))*(VLOOKUP($B$5,标准坦克设计!$B$14:$K$20,9)/30))</f>
        <v>16.277818827032565</v>
      </c>
      <c r="BB76" s="173">
        <f ca="1">(VLOOKUP(BB$72,INDIRECT($C$5&amp;"生成成长"),2))/((VLOOKUP($B76,INDIRECT($B$5&amp;"生成成长"),4))/(VLOOKUP(BB$72,INDIRECT($C$5&amp;"生成成长"),5))*(VLOOKUP($B$5,标准坦克设计!$B$24:$U$30,MATCH("对"&amp;LEFT($C$5,2)&amp;"输出",标准坦克设计!$B$23:$U$23,0)))*(VLOOKUP($B76,INDIRECT($B$5&amp;"生成成长"),3))*(VLOOKUP($B$5,标准坦克设计!$B$14:$K$20,9)/30))</f>
        <v>17.967936852976663</v>
      </c>
      <c r="BC76" s="173">
        <f ca="1">(VLOOKUP(BC$72,INDIRECT($C$5&amp;"生成成长"),2))/((VLOOKUP($B76,INDIRECT($B$5&amp;"生成成长"),4))/(VLOOKUP(BC$72,INDIRECT($C$5&amp;"生成成长"),5))*(VLOOKUP($B$5,标准坦克设计!$B$24:$U$30,MATCH("对"&amp;LEFT($C$5,2)&amp;"输出",标准坦克设计!$B$23:$U$23,0)))*(VLOOKUP($B76,INDIRECT($B$5&amp;"生成成长"),3))*(VLOOKUP($B$5,标准坦克设计!$B$14:$K$20,9)/30))</f>
        <v>19.741517497485901</v>
      </c>
      <c r="BD76" s="173">
        <f ca="1">(VLOOKUP(BD$72,INDIRECT($C$5&amp;"生成成长"),2))/((VLOOKUP($B76,INDIRECT($B$5&amp;"生成成长"),4))/(VLOOKUP(BD$72,INDIRECT($C$5&amp;"生成成长"),5))*(VLOOKUP($B$5,标准坦克设计!$B$24:$U$30,MATCH("对"&amp;LEFT($C$5,2)&amp;"输出",标准坦克设计!$B$23:$U$23,0)))*(VLOOKUP($B76,INDIRECT($B$5&amp;"生成成长"),3))*(VLOOKUP($B$5,标准坦克设计!$B$14:$K$20,9)/30))</f>
        <v>21.836559633812435</v>
      </c>
      <c r="BE76" s="173">
        <f ca="1">(VLOOKUP(BE$72,INDIRECT($C$5&amp;"生成成长"),2))/((VLOOKUP($B76,INDIRECT($B$5&amp;"生成成长"),4))/(VLOOKUP(BE$72,INDIRECT($C$5&amp;"生成成长"),5))*(VLOOKUP($B$5,标准坦克设计!$B$24:$U$30,MATCH("对"&amp;LEFT($C$5,2)&amp;"输出",标准坦克设计!$B$23:$U$23,0)))*(VLOOKUP($B76,INDIRECT($B$5&amp;"生成成长"),3))*(VLOOKUP($B$5,标准坦克设计!$B$14:$K$20,9)/30))</f>
        <v>24.037234146760476</v>
      </c>
      <c r="BF76" s="173">
        <f ca="1">(VLOOKUP(BF$72,INDIRECT($C$5&amp;"生成成长"),2))/((VLOOKUP($B76,INDIRECT($B$5&amp;"生成成长"),4))/(VLOOKUP(BF$72,INDIRECT($C$5&amp;"生成成长"),5))*(VLOOKUP($B$5,标准坦克设计!$B$24:$U$30,MATCH("对"&amp;LEFT($C$5,2)&amp;"输出",标准坦克设计!$B$23:$U$23,0)))*(VLOOKUP($B76,INDIRECT($B$5&amp;"生成成长"),3))*(VLOOKUP($B$5,标准坦克设计!$B$14:$K$20,9)/30))</f>
        <v>26.34354103633002</v>
      </c>
      <c r="BG76" s="173">
        <f ca="1">(VLOOKUP(BG$72,INDIRECT($C$5&amp;"生成成长"),2))/((VLOOKUP($B76,INDIRECT($B$5&amp;"生成成长"),4))/(VLOOKUP(BG$72,INDIRECT($C$5&amp;"生成成长"),5))*(VLOOKUP($B$5,标准坦克设计!$B$24:$U$30,MATCH("对"&amp;LEFT($C$5,2)&amp;"输出",标准坦克设计!$B$23:$U$23,0)))*(VLOOKUP($B76,INDIRECT($B$5&amp;"生成成长"),3))*(VLOOKUP($B$5,标准坦克设计!$B$14:$K$20,9)/30))</f>
        <v>28.755480302521079</v>
      </c>
      <c r="BH76" s="173">
        <f ca="1">(VLOOKUP(BH$72,INDIRECT($C$5&amp;"生成成长"),2))/((VLOOKUP($B76,INDIRECT($B$5&amp;"生成成长"),4))/(VLOOKUP(BH$72,INDIRECT($C$5&amp;"生成成长"),5))*(VLOOKUP($B$5,标准坦克设计!$B$24:$U$30,MATCH("对"&amp;LEFT($C$5,2)&amp;"输出",标准坦克设计!$B$23:$U$23,0)))*(VLOOKUP($B76,INDIRECT($B$5&amp;"生成成长"),3))*(VLOOKUP($B$5,标准坦克设计!$B$14:$K$20,9)/30))</f>
        <v>13.89913419792606</v>
      </c>
      <c r="BI76" s="173">
        <f ca="1">(VLOOKUP(BI$72,INDIRECT($C$5&amp;"生成成长"),2))/((VLOOKUP($B76,INDIRECT($B$5&amp;"生成成长"),4))/(VLOOKUP(BI$72,INDIRECT($C$5&amp;"生成成长"),5))*(VLOOKUP($B$5,标准坦克设计!$B$24:$U$30,MATCH("对"&amp;LEFT($C$5,2)&amp;"输出",标准坦克设计!$B$23:$U$23,0)))*(VLOOKUP($B76,INDIRECT($B$5&amp;"生成成长"),3))*(VLOOKUP($B$5,标准坦克设计!$B$14:$K$20,9)/30))</f>
        <v>15.665542273652358</v>
      </c>
      <c r="BJ76" s="173">
        <f ca="1">(VLOOKUP(BJ$72,INDIRECT($C$5&amp;"生成成长"),2))/((VLOOKUP($B76,INDIRECT($B$5&amp;"生成成长"),4))/(VLOOKUP(BJ$72,INDIRECT($C$5&amp;"生成成长"),5))*(VLOOKUP($B$5,标准坦克设计!$B$24:$U$30,MATCH("对"&amp;LEFT($C$5,2)&amp;"输出",标准坦克设计!$B$23:$U$23,0)))*(VLOOKUP($B76,INDIRECT($B$5&amp;"生成成长"),3))*(VLOOKUP($B$5,标准坦克设计!$B$14:$K$20,9)/30))</f>
        <v>17.537582726000156</v>
      </c>
      <c r="BK76" s="173">
        <f ca="1">(VLOOKUP(BK$72,INDIRECT($C$5&amp;"生成成长"),2))/((VLOOKUP($B76,INDIRECT($B$5&amp;"生成成长"),4))/(VLOOKUP(BK$72,INDIRECT($C$5&amp;"生成成长"),5))*(VLOOKUP($B$5,标准坦克设计!$B$24:$U$30,MATCH("对"&amp;LEFT($C$5,2)&amp;"输出",标准坦克设计!$B$23:$U$23,0)))*(VLOOKUP($B76,INDIRECT($B$5&amp;"生成成长"),3))*(VLOOKUP($B$5,标准坦克设计!$B$14:$K$20,9)/30))</f>
        <v>19.515255554969464</v>
      </c>
      <c r="BL76" s="173">
        <f ca="1">(VLOOKUP(BL$72,INDIRECT($C$5&amp;"生成成长"),2))/((VLOOKUP($B76,INDIRECT($B$5&amp;"生成成长"),4))/(VLOOKUP(BL$72,INDIRECT($C$5&amp;"生成成长"),5))*(VLOOKUP($B$5,标准坦克设计!$B$24:$U$30,MATCH("对"&amp;LEFT($C$5,2)&amp;"输出",标准坦克设计!$B$23:$U$23,0)))*(VLOOKUP($B76,INDIRECT($B$5&amp;"生成成长"),3))*(VLOOKUP($B$5,标准坦克设计!$B$14:$K$20,9)/30))</f>
        <v>21.598560760560275</v>
      </c>
      <c r="BM76" s="173">
        <f ca="1">(VLOOKUP(BM$72,INDIRECT($C$5&amp;"生成成长"),2))/((VLOOKUP($B76,INDIRECT($B$5&amp;"生成成长"),4))/(VLOOKUP(BM$72,INDIRECT($C$5&amp;"生成成长"),5))*(VLOOKUP($B$5,标准坦克设计!$B$24:$U$30,MATCH("对"&amp;LEFT($C$5,2)&amp;"输出",标准坦克设计!$B$23:$U$23,0)))*(VLOOKUP($B76,INDIRECT($B$5&amp;"生成成长"),3))*(VLOOKUP($B$5,标准坦克设计!$B$14:$K$20,9)/30))</f>
        <v>23.787498342772597</v>
      </c>
      <c r="BN76" s="173">
        <f ca="1">(VLOOKUP(BN$72,INDIRECT($C$5&amp;"生成成长"),2))/((VLOOKUP($B76,INDIRECT($B$5&amp;"生成成长"),4))/(VLOOKUP(BN$72,INDIRECT($C$5&amp;"生成成长"),5))*(VLOOKUP($B$5,标准坦克设计!$B$24:$U$30,MATCH("对"&amp;LEFT($C$5,2)&amp;"输出",标准坦克设计!$B$23:$U$23,0)))*(VLOOKUP($B76,INDIRECT($B$5&amp;"生成成长"),3))*(VLOOKUP($B$5,标准坦克设计!$B$14:$K$20,9)/30))</f>
        <v>26.082068301606419</v>
      </c>
      <c r="BO76" s="173">
        <f ca="1">(VLOOKUP(BO$72,INDIRECT($C$5&amp;"生成成长"),2))/((VLOOKUP($B76,INDIRECT($B$5&amp;"生成成长"),4))/(VLOOKUP(BO$72,INDIRECT($C$5&amp;"生成成长"),5))*(VLOOKUP($B$5,标准坦克设计!$B$24:$U$30,MATCH("对"&amp;LEFT($C$5,2)&amp;"输出",标准坦克设计!$B$23:$U$23,0)))*(VLOOKUP($B76,INDIRECT($B$5&amp;"生成成长"),3))*(VLOOKUP($B$5,标准坦克设计!$B$14:$K$20,9)/30))</f>
        <v>28.482270637061756</v>
      </c>
      <c r="BP76" s="173">
        <f ca="1">(VLOOKUP(BP$72,INDIRECT($C$5&amp;"生成成长"),2))/((VLOOKUP($B76,INDIRECT($B$5&amp;"生成成长"),4))/(VLOOKUP(BP$72,INDIRECT($C$5&amp;"生成成长"),5))*(VLOOKUP($B$5,标准坦克设计!$B$24:$U$30,MATCH("对"&amp;LEFT($C$5,2)&amp;"输出",标准坦克设计!$B$23:$U$23,0)))*(VLOOKUP($B76,INDIRECT($B$5&amp;"生成成长"),3))*(VLOOKUP($B$5,标准坦克设计!$B$14:$K$20,9)/30))</f>
        <v>30.988105349138589</v>
      </c>
      <c r="BQ76" s="173">
        <f ca="1">(VLOOKUP(BQ$72,INDIRECT($C$5&amp;"生成成长"),2))/((VLOOKUP($B76,INDIRECT($B$5&amp;"生成成长"),4))/(VLOOKUP(BQ$72,INDIRECT($C$5&amp;"生成成长"),5))*(VLOOKUP($B$5,标准坦克设计!$B$24:$U$30,MATCH("对"&amp;LEFT($C$5,2)&amp;"输出",标准坦克设计!$B$23:$U$23,0)))*(VLOOKUP($B76,INDIRECT($B$5&amp;"生成成长"),3))*(VLOOKUP($B$5,标准坦克设计!$B$14:$K$20,9)/30))</f>
        <v>33.599572437836926</v>
      </c>
      <c r="BR76" s="173">
        <f ca="1">(VLOOKUP(BR$72,INDIRECT($C$5&amp;"生成成长"),2))/((VLOOKUP($B76,INDIRECT($B$5&amp;"生成成长"),4))/(VLOOKUP(BR$72,INDIRECT($C$5&amp;"生成成长"),5))*(VLOOKUP($B$5,标准坦克设计!$B$24:$U$30,MATCH("对"&amp;LEFT($C$5,2)&amp;"输出",标准坦克设计!$B$23:$U$23,0)))*(VLOOKUP($B76,INDIRECT($B$5&amp;"生成成长"),3))*(VLOOKUP($B$5,标准坦克设计!$B$14:$K$20,9)/30))</f>
        <v>36.625092360823274</v>
      </c>
      <c r="BS76" s="173">
        <f ca="1">(VLOOKUP(BS$72,INDIRECT($C$5&amp;"生成成长"),2))/((VLOOKUP($B76,INDIRECT($B$5&amp;"生成成长"),4))/(VLOOKUP(BS$72,INDIRECT($C$5&amp;"生成成长"),5))*(VLOOKUP($B$5,标准坦克设计!$B$24:$U$30,MATCH("对"&amp;LEFT($C$5,2)&amp;"输出",标准坦克设计!$B$23:$U$23,0)))*(VLOOKUP($B76,INDIRECT($B$5&amp;"生成成长"),3))*(VLOOKUP($B$5,标准坦克设计!$B$14:$K$20,9)/30))</f>
        <v>39.781022625317661</v>
      </c>
      <c r="BT76" s="173">
        <f ca="1">(VLOOKUP(BT$72,INDIRECT($C$5&amp;"生成成长"),2))/((VLOOKUP($B76,INDIRECT($B$5&amp;"生成成长"),4))/(VLOOKUP(BT$72,INDIRECT($C$5&amp;"生成成长"),5))*(VLOOKUP($B$5,标准坦克设计!$B$24:$U$30,MATCH("对"&amp;LEFT($C$5,2)&amp;"输出",标准坦克设计!$B$23:$U$23,0)))*(VLOOKUP($B76,INDIRECT($B$5&amp;"生成成长"),3))*(VLOOKUP($B$5,标准坦克设计!$B$14:$K$20,9)/30))</f>
        <v>43.067363231320066</v>
      </c>
      <c r="BU76" s="173">
        <f ca="1">(VLOOKUP(BU$72,INDIRECT($C$5&amp;"生成成长"),2))/((VLOOKUP($B76,INDIRECT($B$5&amp;"生成成长"),4))/(VLOOKUP(BU$72,INDIRECT($C$5&amp;"生成成长"),5))*(VLOOKUP($B$5,标准坦克设计!$B$24:$U$30,MATCH("对"&amp;LEFT($C$5,2)&amp;"输出",标准坦克设计!$B$23:$U$23,0)))*(VLOOKUP($B76,INDIRECT($B$5&amp;"生成成长"),3))*(VLOOKUP($B$5,标准坦克设计!$B$14:$K$20,9)/30))</f>
        <v>46.484114178830502</v>
      </c>
      <c r="BV76" s="173">
        <f ca="1">(VLOOKUP(BV$72,INDIRECT($C$5&amp;"生成成长"),2))/((VLOOKUP($B76,INDIRECT($B$5&amp;"生成成长"),4))/(VLOOKUP(BV$72,INDIRECT($C$5&amp;"生成成长"),5))*(VLOOKUP($B$5,标准坦克设计!$B$24:$U$30,MATCH("对"&amp;LEFT($C$5,2)&amp;"输出",标准坦克设计!$B$23:$U$23,0)))*(VLOOKUP($B76,INDIRECT($B$5&amp;"生成成长"),3))*(VLOOKUP($B$5,标准坦克设计!$B$14:$K$20,9)/30))</f>
        <v>50.031275467848964</v>
      </c>
      <c r="BW76" s="173">
        <f ca="1">(VLOOKUP(BW$72,INDIRECT($C$5&amp;"生成成长"),2))/((VLOOKUP($B76,INDIRECT($B$5&amp;"生成成长"),4))/(VLOOKUP(BW$72,INDIRECT($C$5&amp;"生成成长"),5))*(VLOOKUP($B$5,标准坦克设计!$B$24:$U$30,MATCH("对"&amp;LEFT($C$5,2)&amp;"输出",标准坦克设计!$B$23:$U$23,0)))*(VLOOKUP($B76,INDIRECT($B$5&amp;"生成成长"),3))*(VLOOKUP($B$5,标准坦克设计!$B$14:$K$20,9)/30))</f>
        <v>22.801596160971872</v>
      </c>
      <c r="BX76" s="173">
        <f ca="1">(VLOOKUP(BX$72,INDIRECT($C$5&amp;"生成成长"),2))/((VLOOKUP($B76,INDIRECT($B$5&amp;"生成成长"),4))/(VLOOKUP(BX$72,INDIRECT($C$5&amp;"生成成长"),5))*(VLOOKUP($B$5,标准坦克设计!$B$24:$U$30,MATCH("对"&amp;LEFT($C$5,2)&amp;"输出",标准坦克设计!$B$23:$U$23,0)))*(VLOOKUP($B76,INDIRECT($B$5&amp;"生成成长"),3))*(VLOOKUP($B$5,标准坦克设计!$B$14:$K$20,9)/30))</f>
        <v>25.305474717926089</v>
      </c>
      <c r="BY76" s="173">
        <f ca="1">(VLOOKUP(BY$72,INDIRECT($C$5&amp;"生成成长"),2))/((VLOOKUP($B76,INDIRECT($B$5&amp;"生成成长"),4))/(VLOOKUP(BY$72,INDIRECT($C$5&amp;"生成成长"),5))*(VLOOKUP($B$5,标准坦克设计!$B$24:$U$30,MATCH("对"&amp;LEFT($C$5,2)&amp;"输出",标准坦克设计!$B$23:$U$23,0)))*(VLOOKUP($B76,INDIRECT($B$5&amp;"生成成长"),3))*(VLOOKUP($B$5,标准坦克设计!$B$14:$K$20,9)/30))</f>
        <v>27.939763616388337</v>
      </c>
      <c r="BZ76" s="173">
        <f ca="1">(VLOOKUP(BZ$72,INDIRECT($C$5&amp;"生成成长"),2))/((VLOOKUP($B76,INDIRECT($B$5&amp;"生成成长"),4))/(VLOOKUP(BZ$72,INDIRECT($C$5&amp;"生成成长"),5))*(VLOOKUP($B$5,标准坦克设计!$B$24:$U$30,MATCH("对"&amp;LEFT($C$5,2)&amp;"输出",标准坦克设计!$B$23:$U$23,0)))*(VLOOKUP($B76,INDIRECT($B$5&amp;"生成成长"),3))*(VLOOKUP($B$5,标准坦克设计!$B$14:$K$20,9)/30))</f>
        <v>30.704462856358621</v>
      </c>
      <c r="CA76" s="173">
        <f ca="1">(VLOOKUP(CA$72,INDIRECT($C$5&amp;"生成成长"),2))/((VLOOKUP($B76,INDIRECT($B$5&amp;"生成成长"),4))/(VLOOKUP(CA$72,INDIRECT($C$5&amp;"生成成长"),5))*(VLOOKUP($B$5,标准坦克设计!$B$24:$U$30,MATCH("对"&amp;LEFT($C$5,2)&amp;"输出",标准坦克设计!$B$23:$U$23,0)))*(VLOOKUP($B76,INDIRECT($B$5&amp;"生成成长"),3))*(VLOOKUP($B$5,标准坦克设计!$B$14:$K$20,9)/30))</f>
        <v>33.599572437836926</v>
      </c>
      <c r="CB76" s="173">
        <f ca="1">(VLOOKUP(CB$72,INDIRECT($C$5&amp;"生成成长"),2))/((VLOOKUP($B76,INDIRECT($B$5&amp;"生成成长"),4))/(VLOOKUP(CB$72,INDIRECT($C$5&amp;"生成成长"),5))*(VLOOKUP($B$5,标准坦克设计!$B$24:$U$30,MATCH("对"&amp;LEFT($C$5,2)&amp;"输出",标准坦克设计!$B$23:$U$23,0)))*(VLOOKUP($B76,INDIRECT($B$5&amp;"生成成长"),3))*(VLOOKUP($B$5,标准坦克设计!$B$14:$K$20,9)/30))</f>
        <v>36.625092360823274</v>
      </c>
      <c r="CC76" s="173">
        <f ca="1">(VLOOKUP(CC$72,INDIRECT($C$5&amp;"生成成长"),2))/((VLOOKUP($B76,INDIRECT($B$5&amp;"生成成长"),4))/(VLOOKUP(CC$72,INDIRECT($C$5&amp;"生成成长"),5))*(VLOOKUP($B$5,标准坦克设计!$B$24:$U$30,MATCH("对"&amp;LEFT($C$5,2)&amp;"输出",标准坦克设计!$B$23:$U$23,0)))*(VLOOKUP($B76,INDIRECT($B$5&amp;"生成成长"),3))*(VLOOKUP($B$5,标准坦克设计!$B$14:$K$20,9)/30))</f>
        <v>39.781022625317661</v>
      </c>
      <c r="CD76" s="173">
        <f ca="1">(VLOOKUP(CD$72,INDIRECT($C$5&amp;"生成成长"),2))/((VLOOKUP($B76,INDIRECT($B$5&amp;"生成成长"),4))/(VLOOKUP(CD$72,INDIRECT($C$5&amp;"生成成长"),5))*(VLOOKUP($B$5,标准坦克设计!$B$24:$U$30,MATCH("对"&amp;LEFT($C$5,2)&amp;"输出",标准坦克设计!$B$23:$U$23,0)))*(VLOOKUP($B76,INDIRECT($B$5&amp;"生成成长"),3))*(VLOOKUP($B$5,标准坦克设计!$B$14:$K$20,9)/30))</f>
        <v>43.067363231320066</v>
      </c>
      <c r="CE76" s="173">
        <f ca="1">(VLOOKUP(CE$72,INDIRECT($C$5&amp;"生成成长"),2))/((VLOOKUP($B76,INDIRECT($B$5&amp;"生成成长"),4))/(VLOOKUP(CE$72,INDIRECT($C$5&amp;"生成成长"),5))*(VLOOKUP($B$5,标准坦克设计!$B$24:$U$30,MATCH("对"&amp;LEFT($C$5,2)&amp;"输出",标准坦克设计!$B$23:$U$23,0)))*(VLOOKUP($B76,INDIRECT($B$5&amp;"生成成长"),3))*(VLOOKUP($B$5,标准坦克设计!$B$14:$K$20,9)/30))</f>
        <v>46.484114178830502</v>
      </c>
      <c r="CF76" s="173">
        <f ca="1">(VLOOKUP(CF$72,INDIRECT($C$5&amp;"生成成长"),2))/((VLOOKUP($B76,INDIRECT($B$5&amp;"生成成长"),4))/(VLOOKUP(CF$72,INDIRECT($C$5&amp;"生成成长"),5))*(VLOOKUP($B$5,标准坦克设计!$B$24:$U$30,MATCH("对"&amp;LEFT($C$5,2)&amp;"输出",标准坦克设计!$B$23:$U$23,0)))*(VLOOKUP($B76,INDIRECT($B$5&amp;"生成成长"),3))*(VLOOKUP($B$5,标准坦克设计!$B$14:$K$20,9)/30))</f>
        <v>50.031275467848964</v>
      </c>
      <c r="CG76" s="173">
        <f ca="1">(VLOOKUP(CG$72,INDIRECT($C$5&amp;"生成成长"),2))/((VLOOKUP($B76,INDIRECT($B$5&amp;"生成成长"),4))/(VLOOKUP(CG$72,INDIRECT($C$5&amp;"生成成长"),5))*(VLOOKUP($B$5,标准坦克设计!$B$24:$U$30,MATCH("对"&amp;LEFT($C$5,2)&amp;"输出",标准坦克设计!$B$23:$U$23,0)))*(VLOOKUP($B76,INDIRECT($B$5&amp;"生成成长"),3))*(VLOOKUP($B$5,标准坦克设计!$B$14:$K$20,9)/30))</f>
        <v>53.708847098375472</v>
      </c>
      <c r="CH76" s="173">
        <f ca="1">(VLOOKUP(CH$72,INDIRECT($C$5&amp;"生成成长"),2))/((VLOOKUP($B76,INDIRECT($B$5&amp;"生成成长"),4))/(VLOOKUP(CH$72,INDIRECT($C$5&amp;"生成成长"),5))*(VLOOKUP($B$5,标准坦克设计!$B$24:$U$30,MATCH("对"&amp;LEFT($C$5,2)&amp;"输出",标准坦克设计!$B$23:$U$23,0)))*(VLOOKUP($B76,INDIRECT($B$5&amp;"生成成长"),3))*(VLOOKUP($B$5,标准坦克设计!$B$14:$K$20,9)/30))</f>
        <v>57.516829070410012</v>
      </c>
      <c r="CI76" s="173">
        <f ca="1">(VLOOKUP(CI$72,INDIRECT($C$5&amp;"生成成长"),2))/((VLOOKUP($B76,INDIRECT($B$5&amp;"生成成长"),4))/(VLOOKUP(CI$72,INDIRECT($C$5&amp;"生成成长"),5))*(VLOOKUP($B$5,标准坦克设计!$B$24:$U$30,MATCH("对"&amp;LEFT($C$5,2)&amp;"输出",标准坦克设计!$B$23:$U$23,0)))*(VLOOKUP($B76,INDIRECT($B$5&amp;"生成成长"),3))*(VLOOKUP($B$5,标准坦克设计!$B$14:$K$20,9)/30))</f>
        <v>61.856233184089781</v>
      </c>
      <c r="CJ76" s="173">
        <f ca="1">(VLOOKUP(CJ$72,INDIRECT($C$5&amp;"生成成长"),2))/((VLOOKUP($B76,INDIRECT($B$5&amp;"生成成长"),4))/(VLOOKUP(CJ$72,INDIRECT($C$5&amp;"生成成长"),5))*(VLOOKUP($B$5,标准坦克设计!$B$24:$U$30,MATCH("对"&amp;LEFT($C$5,2)&amp;"输出",标准坦克设计!$B$23:$U$23,0)))*(VLOOKUP($B76,INDIRECT($B$5&amp;"生成成长"),3))*(VLOOKUP($B$5,标准坦克设计!$B$14:$K$20,9)/30))</f>
        <v>66.353433810994275</v>
      </c>
      <c r="CK76" s="173">
        <f ca="1">(VLOOKUP(CK$72,INDIRECT($C$5&amp;"生成成长"),2))/((VLOOKUP($B76,INDIRECT($B$5&amp;"生成成长"),4))/(VLOOKUP(CK$72,INDIRECT($C$5&amp;"生成成长"),5))*(VLOOKUP($B$5,标准坦克设计!$B$24:$U$30,MATCH("对"&amp;LEFT($C$5,2)&amp;"输出",标准坦克设计!$B$23:$U$23,0)))*(VLOOKUP($B76,INDIRECT($B$5&amp;"生成成长"),3))*(VLOOKUP($B$5,标准坦克设计!$B$14:$K$20,9)/30))</f>
        <v>71.008430951123472</v>
      </c>
      <c r="CL76" s="173">
        <f ca="1">(VLOOKUP(CL$72,INDIRECT($C$5&amp;"生成成长"),2))/((VLOOKUP($B76,INDIRECT($B$5&amp;"生成成长"),4))/(VLOOKUP(CL$72,INDIRECT($C$5&amp;"生成成长"),5))*(VLOOKUP($B$5,标准坦克设计!$B$24:$U$30,MATCH("对"&amp;LEFT($C$5,2)&amp;"输出",标准坦克设计!$B$23:$U$23,0)))*(VLOOKUP($B76,INDIRECT($B$5&amp;"生成成长"),3))*(VLOOKUP($B$5,标准坦克设计!$B$14:$K$20,9)/30))</f>
        <v>75.821224604477408</v>
      </c>
      <c r="CM76" s="173">
        <f ca="1">(VLOOKUP(CM$72,INDIRECT($C$5&amp;"生成成长"),2))/((VLOOKUP($B76,INDIRECT($B$5&amp;"生成成长"),4))/(VLOOKUP(CM$72,INDIRECT($C$5&amp;"生成成长"),5))*(VLOOKUP($B$5,标准坦克设计!$B$24:$U$30,MATCH("对"&amp;LEFT($C$5,2)&amp;"输出",标准坦克设计!$B$23:$U$23,0)))*(VLOOKUP($B76,INDIRECT($B$5&amp;"生成成长"),3))*(VLOOKUP($B$5,标准坦克设计!$B$14:$K$20,9)/30))</f>
        <v>80.791814771056039</v>
      </c>
      <c r="CN76" s="173">
        <f ca="1">(VLOOKUP(CN$72,INDIRECT($C$5&amp;"生成成长"),2))/((VLOOKUP($B76,INDIRECT($B$5&amp;"生成成长"),4))/(VLOOKUP(CN$72,INDIRECT($C$5&amp;"生成成长"),5))*(VLOOKUP($B$5,标准坦克设计!$B$24:$U$30,MATCH("对"&amp;LEFT($C$5,2)&amp;"输出",标准坦克设计!$B$23:$U$23,0)))*(VLOOKUP($B76,INDIRECT($B$5&amp;"生成成长"),3))*(VLOOKUP($B$5,标准坦克设计!$B$14:$K$20,9)/30))</f>
        <v>85.920201450859409</v>
      </c>
      <c r="CO76" s="173">
        <f ca="1">(VLOOKUP(CO$72,INDIRECT($C$5&amp;"生成成长"),2))/((VLOOKUP($B76,INDIRECT($B$5&amp;"生成成长"),4))/(VLOOKUP(CO$72,INDIRECT($C$5&amp;"生成成长"),5))*(VLOOKUP($B$5,标准坦克设计!$B$24:$U$30,MATCH("对"&amp;LEFT($C$5,2)&amp;"输出",标准坦克设计!$B$23:$U$23,0)))*(VLOOKUP($B76,INDIRECT($B$5&amp;"生成成长"),3))*(VLOOKUP($B$5,标准坦克设计!$B$14:$K$20,9)/30))</f>
        <v>38.503001278538939</v>
      </c>
      <c r="CP76" s="173">
        <f ca="1">(VLOOKUP(CP$72,INDIRECT($C$5&amp;"生成成长"),2))/((VLOOKUP($B76,INDIRECT($B$5&amp;"生成成长"),4))/(VLOOKUP(CP$72,INDIRECT($C$5&amp;"生成成长"),5))*(VLOOKUP($B$5,标准坦克设计!$B$24:$U$30,MATCH("对"&amp;LEFT($C$5,2)&amp;"输出",标准坦克设计!$B$23:$U$23,0)))*(VLOOKUP($B76,INDIRECT($B$5&amp;"生成成长"),3))*(VLOOKUP($B$5,标准坦克设计!$B$14:$K$20,9)/30))</f>
        <v>42.067767963660998</v>
      </c>
      <c r="CQ76" s="173">
        <f ca="1">(VLOOKUP(CQ$72,INDIRECT($C$5&amp;"生成成长"),2))/((VLOOKUP($B76,INDIRECT($B$5&amp;"生成成长"),4))/(VLOOKUP(CQ$72,INDIRECT($C$5&amp;"生成成长"),5))*(VLOOKUP($B$5,标准坦克设计!$B$24:$U$30,MATCH("对"&amp;LEFT($C$5,2)&amp;"输出",标准坦克设计!$B$23:$U$23,0)))*(VLOOKUP($B76,INDIRECT($B$5&amp;"生成成长"),3))*(VLOOKUP($B$5,标准坦克设计!$B$14:$K$20,9)/30))</f>
        <v>45.790331162007767</v>
      </c>
      <c r="CR76" s="173">
        <f ca="1">(VLOOKUP(CR$72,INDIRECT($C$5&amp;"生成成长"),2))/((VLOOKUP($B76,INDIRECT($B$5&amp;"生成成长"),4))/(VLOOKUP(CR$72,INDIRECT($C$5&amp;"生成成长"),5))*(VLOOKUP($B$5,标准坦克设计!$B$24:$U$30,MATCH("对"&amp;LEFT($C$5,2)&amp;"输出",标准坦克设计!$B$23:$U$23,0)))*(VLOOKUP($B76,INDIRECT($B$5&amp;"生成成长"),3))*(VLOOKUP($B$5,标准坦克设计!$B$14:$K$20,9)/30))</f>
        <v>49.670690873579261</v>
      </c>
      <c r="CS76" s="173">
        <f ca="1">(VLOOKUP(CS$72,INDIRECT($C$5&amp;"生成成长"),2))/((VLOOKUP($B76,INDIRECT($B$5&amp;"生成成长"),4))/(VLOOKUP(CS$72,INDIRECT($C$5&amp;"生成成长"),5))*(VLOOKUP($B$5,标准坦克设计!$B$24:$U$30,MATCH("对"&amp;LEFT($C$5,2)&amp;"输出",标准坦克设计!$B$23:$U$23,0)))*(VLOOKUP($B76,INDIRECT($B$5&amp;"生成成长"),3))*(VLOOKUP($B$5,标准坦克设计!$B$14:$K$20,9)/30))</f>
        <v>53.708847098375472</v>
      </c>
      <c r="CT76" s="173">
        <f ca="1">(VLOOKUP(CT$72,INDIRECT($C$5&amp;"生成成长"),2))/((VLOOKUP($B76,INDIRECT($B$5&amp;"生成成长"),4))/(VLOOKUP(CT$72,INDIRECT($C$5&amp;"生成成长"),5))*(VLOOKUP($B$5,标准坦克设计!$B$24:$U$30,MATCH("对"&amp;LEFT($C$5,2)&amp;"输出",标准坦克设计!$B$23:$U$23,0)))*(VLOOKUP($B76,INDIRECT($B$5&amp;"生成成长"),3))*(VLOOKUP($B$5,标准坦克设计!$B$14:$K$20,9)/30))</f>
        <v>57.904799836396414</v>
      </c>
      <c r="CU76" s="173">
        <f ca="1">(VLOOKUP(CU$72,INDIRECT($C$5&amp;"生成成长"),2))/((VLOOKUP($B76,INDIRECT($B$5&amp;"生成成长"),4))/(VLOOKUP(CU$72,INDIRECT($C$5&amp;"生成成长"),5))*(VLOOKUP($B$5,标准坦克设计!$B$24:$U$30,MATCH("对"&amp;LEFT($C$5,2)&amp;"输出",标准坦克设计!$B$23:$U$23,0)))*(VLOOKUP($B76,INDIRECT($B$5&amp;"生成成长"),3))*(VLOOKUP($B$5,标准坦克设计!$B$14:$K$20,9)/30))</f>
        <v>62.258549087642059</v>
      </c>
      <c r="CV76" s="173">
        <f ca="1">(VLOOKUP(CV$72,INDIRECT($C$5&amp;"生成成长"),2))/((VLOOKUP($B76,INDIRECT($B$5&amp;"生成成长"),4))/(VLOOKUP(CV$72,INDIRECT($C$5&amp;"生成成长"),5))*(VLOOKUP($B$5,标准坦克设计!$B$24:$U$30,MATCH("对"&amp;LEFT($C$5,2)&amp;"输出",标准坦克设计!$B$23:$U$23,0)))*(VLOOKUP($B76,INDIRECT($B$5&amp;"生成成长"),3))*(VLOOKUP($B$5,标准坦克设计!$B$14:$K$20,9)/30))</f>
        <v>66.770094852112422</v>
      </c>
      <c r="CW76" s="173">
        <f ca="1">(VLOOKUP(CW$72,INDIRECT($C$5&amp;"生成成长"),2))/((VLOOKUP($B76,INDIRECT($B$5&amp;"生成成长"),4))/(VLOOKUP(CW$72,INDIRECT($C$5&amp;"生成成长"),5))*(VLOOKUP($B$5,标准坦克设计!$B$24:$U$30,MATCH("对"&amp;LEFT($C$5,2)&amp;"输出",标准坦克设计!$B$23:$U$23,0)))*(VLOOKUP($B76,INDIRECT($B$5&amp;"生成成长"),3))*(VLOOKUP($B$5,标准坦克设计!$B$14:$K$20,9)/30))</f>
        <v>71.43943712980753</v>
      </c>
      <c r="CX76" s="173">
        <f ca="1">(VLOOKUP(CX$72,INDIRECT($C$5&amp;"生成成长"),2))/((VLOOKUP($B76,INDIRECT($B$5&amp;"生成成长"),4))/(VLOOKUP(CX$72,INDIRECT($C$5&amp;"生成成长"),5))*(VLOOKUP($B$5,标准坦克设计!$B$24:$U$30,MATCH("对"&amp;LEFT($C$5,2)&amp;"输出",标准坦克设计!$B$23:$U$23,0)))*(VLOOKUP($B76,INDIRECT($B$5&amp;"生成成长"),3))*(VLOOKUP($B$5,标准坦克设计!$B$14:$K$20,9)/30))</f>
        <v>76.266575920727334</v>
      </c>
      <c r="CY76" s="173">
        <f ca="1">(VLOOKUP(CY$72,INDIRECT($C$5&amp;"生成成长"),2))/((VLOOKUP($B76,INDIRECT($B$5&amp;"生成成长"),4))/(VLOOKUP(CY$72,INDIRECT($C$5&amp;"生成成长"),5))*(VLOOKUP($B$5,标准坦克设计!$B$24:$U$30,MATCH("对"&amp;LEFT($C$5,2)&amp;"输出",标准坦克设计!$B$23:$U$23,0)))*(VLOOKUP($B76,INDIRECT($B$5&amp;"生成成长"),3))*(VLOOKUP($B$5,标准坦克设计!$B$14:$K$20,9)/30))</f>
        <v>81.251511224871862</v>
      </c>
      <c r="CZ76" s="173">
        <f ca="1">(VLOOKUP(CZ$72,INDIRECT($C$5&amp;"生成成长"),2))/((VLOOKUP($B76,INDIRECT($B$5&amp;"生成成长"),4))/(VLOOKUP(CZ$72,INDIRECT($C$5&amp;"生成成长"),5))*(VLOOKUP($B$5,标准坦克设计!$B$24:$U$30,MATCH("对"&amp;LEFT($C$5,2)&amp;"输出",标准坦克设计!$B$23:$U$23,0)))*(VLOOKUP($B76,INDIRECT($B$5&amp;"生成成长"),3))*(VLOOKUP($B$5,标准坦克设计!$B$14:$K$20,9)/30))</f>
        <v>86.394243042241101</v>
      </c>
      <c r="DA76" s="173">
        <f ca="1">(VLOOKUP(DA$72,INDIRECT($C$5&amp;"生成成长"),2))/((VLOOKUP($B76,INDIRECT($B$5&amp;"生成成长"),4))/(VLOOKUP(DA$72,INDIRECT($C$5&amp;"生成成长"),5))*(VLOOKUP($B$5,标准坦克设计!$B$24:$U$30,MATCH("对"&amp;LEFT($C$5,2)&amp;"输出",标准坦克设计!$B$23:$U$23,0)))*(VLOOKUP($B76,INDIRECT($B$5&amp;"生成成长"),3))*(VLOOKUP($B$5,标准坦克设计!$B$14:$K$20,9)/30))</f>
        <v>91.694771372835064</v>
      </c>
      <c r="DB76" s="173">
        <f ca="1">(VLOOKUP(DB$72,INDIRECT($C$5&amp;"生成成长"),2))/((VLOOKUP($B76,INDIRECT($B$5&amp;"生成成长"),4))/(VLOOKUP(DB$72,INDIRECT($C$5&amp;"生成成长"),5))*(VLOOKUP($B$5,标准坦克设计!$B$24:$U$30,MATCH("对"&amp;LEFT($C$5,2)&amp;"输出",标准坦克设计!$B$23:$U$23,0)))*(VLOOKUP($B76,INDIRECT($B$5&amp;"生成成长"),3))*(VLOOKUP($B$5,标准坦克设计!$B$14:$K$20,9)/30))</f>
        <v>97.153096216653765</v>
      </c>
      <c r="DC76" s="173">
        <f ca="1">(VLOOKUP(DC$72,INDIRECT($C$5&amp;"生成成长"),2))/((VLOOKUP($B76,INDIRECT($B$5&amp;"生成成长"),4))/(VLOOKUP(DC$72,INDIRECT($C$5&amp;"生成成长"),5))*(VLOOKUP($B$5,标准坦克设计!$B$24:$U$30,MATCH("对"&amp;LEFT($C$5,2)&amp;"输出",标准坦克设计!$B$23:$U$23,0)))*(VLOOKUP($B76,INDIRECT($B$5&amp;"生成成长"),3))*(VLOOKUP($B$5,标准坦克设计!$B$14:$K$20,9)/30))</f>
        <v>103.28759868119158</v>
      </c>
      <c r="DD76" s="173">
        <f ca="1">(VLOOKUP(DD$72,INDIRECT($C$5&amp;"生成成长"),2))/((VLOOKUP($B76,INDIRECT($B$5&amp;"生成成长"),4))/(VLOOKUP(DD$72,INDIRECT($C$5&amp;"生成成长"),5))*(VLOOKUP($B$5,标准坦克设计!$B$24:$U$30,MATCH("对"&amp;LEFT($C$5,2)&amp;"输出",标准坦克设计!$B$23:$U$23,0)))*(VLOOKUP($B76,INDIRECT($B$5&amp;"生成成长"),3))*(VLOOKUP($B$5,标准坦克设计!$B$14:$K$20,9)/30))</f>
        <v>109.60989203750098</v>
      </c>
      <c r="DE76" s="173">
        <f ca="1">(VLOOKUP(DE$72,INDIRECT($C$5&amp;"生成成长"),2))/((VLOOKUP($B76,INDIRECT($B$5&amp;"生成成长"),4))/(VLOOKUP(DE$72,INDIRECT($C$5&amp;"生成成长"),5))*(VLOOKUP($B$5,标准坦克设计!$B$24:$U$30,MATCH("对"&amp;LEFT($C$5,2)&amp;"输出",标准坦克设计!$B$23:$U$23,0)))*(VLOOKUP($B76,INDIRECT($B$5&amp;"生成成长"),3))*(VLOOKUP($B$5,标准坦克设计!$B$14:$K$20,9)/30))</f>
        <v>116.11997628558196</v>
      </c>
      <c r="DF76" s="173">
        <f ca="1">(VLOOKUP(DF$72,INDIRECT($C$5&amp;"生成成长"),2))/((VLOOKUP($B76,INDIRECT($B$5&amp;"生成成长"),4))/(VLOOKUP(DF$72,INDIRECT($C$5&amp;"生成成长"),5))*(VLOOKUP($B$5,标准坦克设计!$B$24:$U$30,MATCH("对"&amp;LEFT($C$5,2)&amp;"输出",标准坦克设计!$B$23:$U$23,0)))*(VLOOKUP($B76,INDIRECT($B$5&amp;"生成成长"),3))*(VLOOKUP($B$5,标准坦克设计!$B$14:$K$20,9)/30))</f>
        <v>122.81785142543448</v>
      </c>
      <c r="DG76" s="173">
        <f ca="1">(VLOOKUP(DG$72,INDIRECT($C$5&amp;"生成成长"),2))/((VLOOKUP($B76,INDIRECT($B$5&amp;"生成成长"),4))/(VLOOKUP(DG$72,INDIRECT($C$5&amp;"生成成长"),5))*(VLOOKUP($B$5,标准坦克设计!$B$24:$U$30,MATCH("对"&amp;LEFT($C$5,2)&amp;"输出",标准坦克设计!$B$23:$U$23,0)))*(VLOOKUP($B76,INDIRECT($B$5&amp;"生成成长"),3))*(VLOOKUP($B$5,标准坦克设计!$B$14:$K$20,9)/30))</f>
        <v>129.70351745705855</v>
      </c>
      <c r="DH76" s="173">
        <f ca="1">(VLOOKUP(DH$72,INDIRECT($C$5&amp;"生成成长"),2))/((VLOOKUP($B76,INDIRECT($B$5&amp;"生成成长"),4))/(VLOOKUP(DH$72,INDIRECT($C$5&amp;"生成成长"),5))*(VLOOKUP($B$5,标准坦克设计!$B$24:$U$30,MATCH("对"&amp;LEFT($C$5,2)&amp;"输出",标准坦克设计!$B$23:$U$23,0)))*(VLOOKUP($B76,INDIRECT($B$5&amp;"生成成长"),3))*(VLOOKUP($B$5,标准坦克设计!$B$14:$K$20,9)/30))</f>
        <v>136.77697438045422</v>
      </c>
      <c r="DI76" s="173">
        <f ca="1">(VLOOKUP(DI$72,INDIRECT($C$5&amp;"生成成长"),2))/((VLOOKUP($B76,INDIRECT($B$5&amp;"生成成长"),4))/(VLOOKUP(DI$72,INDIRECT($C$5&amp;"生成成长"),5))*(VLOOKUP($B$5,标准坦克设计!$B$24:$U$30,MATCH("对"&amp;LEFT($C$5,2)&amp;"输出",标准坦克设计!$B$23:$U$23,0)))*(VLOOKUP($B76,INDIRECT($B$5&amp;"生成成长"),3))*(VLOOKUP($B$5,标准坦克设计!$B$14:$K$20,9)/30))</f>
        <v>144.03822219562147</v>
      </c>
      <c r="DJ76" s="173">
        <f ca="1">(VLOOKUP(DJ$72,INDIRECT($C$5&amp;"生成成长"),2))/((VLOOKUP($B76,INDIRECT($B$5&amp;"生成成长"),4))/(VLOOKUP(DJ$72,INDIRECT($C$5&amp;"生成成长"),5))*(VLOOKUP($B$5,标准坦克设计!$B$24:$U$30,MATCH("对"&amp;LEFT($C$5,2)&amp;"输出",标准坦克设计!$B$23:$U$23,0)))*(VLOOKUP($B76,INDIRECT($B$5&amp;"生成成长"),3))*(VLOOKUP($B$5,标准坦克设计!$B$14:$K$20,9)/30))</f>
        <v>14.476199959099104</v>
      </c>
      <c r="DK76" s="173">
        <f ca="1">(VLOOKUP(DK$72,INDIRECT($C$5&amp;"生成成长"),2))/((VLOOKUP($B76,INDIRECT($B$5&amp;"生成成长"),4))/(VLOOKUP(DK$72,INDIRECT($C$5&amp;"生成成长"),5))*(VLOOKUP($B$5,标准坦克设计!$B$24:$U$30,MATCH("对"&amp;LEFT($C$5,2)&amp;"输出",标准坦克设计!$B$23:$U$23,0)))*(VLOOKUP($B76,INDIRECT($B$5&amp;"生成成长"),3))*(VLOOKUP($B$5,标准坦克设计!$B$14:$K$20,9)/30))</f>
        <v>16.277818827032565</v>
      </c>
      <c r="DL76" s="173">
        <f ca="1">(VLOOKUP(DL$72,INDIRECT($C$5&amp;"生成成长"),2))/((VLOOKUP($B76,INDIRECT($B$5&amp;"生成成长"),4))/(VLOOKUP(DL$72,INDIRECT($C$5&amp;"生成成长"),5))*(VLOOKUP($B$5,标准坦克设计!$B$24:$U$30,MATCH("对"&amp;LEFT($C$5,2)&amp;"输出",标准坦克设计!$B$23:$U$23,0)))*(VLOOKUP($B76,INDIRECT($B$5&amp;"生成成长"),3))*(VLOOKUP($B$5,标准坦克设计!$B$14:$K$20,9)/30))</f>
        <v>18.185070071587536</v>
      </c>
      <c r="DM76" s="173">
        <f ca="1">(VLOOKUP(DM$72,INDIRECT($C$5&amp;"生成成长"),2))/((VLOOKUP($B76,INDIRECT($B$5&amp;"生成成长"),4))/(VLOOKUP(DM$72,INDIRECT($C$5&amp;"生成成长"),5))*(VLOOKUP($B$5,标准坦克设计!$B$24:$U$30,MATCH("对"&amp;LEFT($C$5,2)&amp;"输出",标准坦克设计!$B$23:$U$23,0)))*(VLOOKUP($B76,INDIRECT($B$5&amp;"生成成长"),3))*(VLOOKUP($B$5,标准坦克设计!$B$14:$K$20,9)/30))</f>
        <v>20.19795369276401</v>
      </c>
      <c r="DN76" s="173">
        <f ca="1">(VLOOKUP(DN$72,INDIRECT($C$5&amp;"生成成长"),2))/((VLOOKUP($B76,INDIRECT($B$5&amp;"生成成长"),4))/(VLOOKUP(DN$72,INDIRECT($C$5&amp;"生成成长"),5))*(VLOOKUP($B$5,标准坦克设计!$B$24:$U$30,MATCH("对"&amp;LEFT($C$5,2)&amp;"输出",标准坦克设计!$B$23:$U$23,0)))*(VLOOKUP($B76,INDIRECT($B$5&amp;"生成成长"),3))*(VLOOKUP($B$5,标准坦克设计!$B$14:$K$20,9)/30))</f>
        <v>22.316469690561995</v>
      </c>
      <c r="DO76" s="173">
        <f ca="1">(VLOOKUP(DO$72,INDIRECT($C$5&amp;"生成成长"),2))/((VLOOKUP($B76,INDIRECT($B$5&amp;"生成成长"),4))/(VLOOKUP(DO$72,INDIRECT($C$5&amp;"生成成长"),5))*(VLOOKUP($B$5,标准坦克设计!$B$24:$U$30,MATCH("对"&amp;LEFT($C$5,2)&amp;"输出",标准坦克设计!$B$23:$U$23,0)))*(VLOOKUP($B76,INDIRECT($B$5&amp;"生成成长"),3))*(VLOOKUP($B$5,标准坦克设计!$B$14:$K$20,9)/30))</f>
        <v>24.540618064981484</v>
      </c>
      <c r="DP76" s="173">
        <f ca="1">(VLOOKUP(DP$72,INDIRECT($C$5&amp;"生成成长"),2))/((VLOOKUP($B76,INDIRECT($B$5&amp;"生成成长"),4))/(VLOOKUP(DP$72,INDIRECT($C$5&amp;"生成成长"),5))*(VLOOKUP($B$5,标准坦克设计!$B$24:$U$30,MATCH("对"&amp;LEFT($C$5,2)&amp;"输出",标准坦克设计!$B$23:$U$23,0)))*(VLOOKUP($B76,INDIRECT($B$5&amp;"生成成长"),3))*(VLOOKUP($B$5,标准坦克设计!$B$14:$K$20,9)/30))</f>
        <v>26.870398816022476</v>
      </c>
      <c r="DQ76" s="173">
        <f ca="1">(VLOOKUP(DQ$72,INDIRECT($C$5&amp;"生成成长"),2))/((VLOOKUP($B76,INDIRECT($B$5&amp;"生成成长"),4))/(VLOOKUP(DQ$72,INDIRECT($C$5&amp;"生成成长"),5))*(VLOOKUP($B$5,标准坦克设计!$B$24:$U$30,MATCH("对"&amp;LEFT($C$5,2)&amp;"输出",标准坦克设计!$B$23:$U$23,0)))*(VLOOKUP($B76,INDIRECT($B$5&amp;"生成成长"),3))*(VLOOKUP($B$5,标准坦克设计!$B$14:$K$20,9)/30))</f>
        <v>29.305811943684972</v>
      </c>
      <c r="DR76" s="173">
        <f ca="1">(VLOOKUP(DR$72,INDIRECT($C$5&amp;"生成成长"),2))/((VLOOKUP($B76,INDIRECT($B$5&amp;"生成成长"),4))/(VLOOKUP(DR$72,INDIRECT($C$5&amp;"生成成长"),5))*(VLOOKUP($B$5,标准坦克设计!$B$24:$U$30,MATCH("对"&amp;LEFT($C$5,2)&amp;"输出",标准坦克设计!$B$23:$U$23,0)))*(VLOOKUP($B76,INDIRECT($B$5&amp;"生成成长"),3))*(VLOOKUP($B$5,标准坦克设计!$B$14:$K$20,9)/30))</f>
        <v>31.846857447968976</v>
      </c>
      <c r="DS76" s="173">
        <f ca="1">(VLOOKUP(DS$72,INDIRECT($C$5&amp;"生成成长"),2))/((VLOOKUP($B76,INDIRECT($B$5&amp;"生成成长"),4))/(VLOOKUP(DS$72,INDIRECT($C$5&amp;"生成成长"),5))*(VLOOKUP($B$5,标准坦克设计!$B$24:$U$30,MATCH("对"&amp;LEFT($C$5,2)&amp;"输出",标准坦克设计!$B$23:$U$23,0)))*(VLOOKUP($B76,INDIRECT($B$5&amp;"生成成长"),3))*(VLOOKUP($B$5,标准坦克设计!$B$14:$K$20,9)/30))</f>
        <v>34.493535328874486</v>
      </c>
      <c r="DT76" s="173">
        <f ca="1">(VLOOKUP(DT$72,INDIRECT($C$5&amp;"生成成长"),2))/((VLOOKUP($B76,INDIRECT($B$5&amp;"生成成长"),4))/(VLOOKUP(DT$72,INDIRECT($C$5&amp;"生成成长"),5))*(VLOOKUP($B$5,标准坦克设计!$B$24:$U$30,MATCH("对"&amp;LEFT($C$5,2)&amp;"输出",标准坦克设计!$B$23:$U$23,0)))*(VLOOKUP($B76,INDIRECT($B$5&amp;"生成成长"),3))*(VLOOKUP($B$5,标准坦克设计!$B$14:$K$20,9)/30))</f>
        <v>37.871815225640063</v>
      </c>
      <c r="DU76" s="173">
        <f ca="1">(VLOOKUP(DU$72,INDIRECT($C$5&amp;"生成成长"),2))/((VLOOKUP($B76,INDIRECT($B$5&amp;"生成成长"),4))/(VLOOKUP(DU$72,INDIRECT($C$5&amp;"生成成长"),5))*(VLOOKUP($B$5,标准坦克设计!$B$24:$U$30,MATCH("对"&amp;LEFT($C$5,2)&amp;"输出",标准坦克设计!$B$23:$U$23,0)))*(VLOOKUP($B76,INDIRECT($B$5&amp;"生成成长"),3))*(VLOOKUP($B$5,标准坦克设计!$B$14:$K$20,9)/30))</f>
        <v>41.407891635630349</v>
      </c>
      <c r="DV76" s="173">
        <f ca="1">(VLOOKUP(DV$72,INDIRECT($C$5&amp;"生成成长"),2))/((VLOOKUP($B76,INDIRECT($B$5&amp;"生成成长"),4))/(VLOOKUP(DV$72,INDIRECT($C$5&amp;"生成成长"),5))*(VLOOKUP($B$5,标准坦克设计!$B$24:$U$30,MATCH("对"&amp;LEFT($C$5,2)&amp;"输出",标准坦克设计!$B$23:$U$23,0)))*(VLOOKUP($B76,INDIRECT($B$5&amp;"生成成长"),3))*(VLOOKUP($B$5,标准坦克设计!$B$14:$K$20,9)/30))</f>
        <v>45.10176455884536</v>
      </c>
      <c r="DW76" s="173">
        <f ca="1">(VLOOKUP(DW$72,INDIRECT($C$5&amp;"生成成长"),2))/((VLOOKUP($B76,INDIRECT($B$5&amp;"生成成长"),4))/(VLOOKUP(DW$72,INDIRECT($C$5&amp;"生成成长"),5))*(VLOOKUP($B$5,标准坦克设计!$B$24:$U$30,MATCH("对"&amp;LEFT($C$5,2)&amp;"输出",标准坦克设计!$B$23:$U$23,0)))*(VLOOKUP($B76,INDIRECT($B$5&amp;"生成成长"),3))*(VLOOKUP($B$5,标准坦克设计!$B$14:$K$20,9)/30))</f>
        <v>48.953433995285089</v>
      </c>
      <c r="DX76" s="173">
        <f ca="1">(VLOOKUP(DX$72,INDIRECT($C$5&amp;"生成成长"),2))/((VLOOKUP($B76,INDIRECT($B$5&amp;"生成成长"),4))/(VLOOKUP(DX$72,INDIRECT($C$5&amp;"生成成长"),5))*(VLOOKUP($B$5,标准坦克设计!$B$24:$U$30,MATCH("对"&amp;LEFT($C$5,2)&amp;"输出",标准坦克设计!$B$23:$U$23,0)))*(VLOOKUP($B76,INDIRECT($B$5&amp;"生成成长"),3))*(VLOOKUP($B$5,标准坦克设计!$B$14:$K$20,9)/30))</f>
        <v>52.962899944949527</v>
      </c>
      <c r="DY76" s="173">
        <f ca="1">(VLOOKUP(DY$72,INDIRECT($C$5&amp;"生成成长"),2))/((VLOOKUP($B76,INDIRECT($B$5&amp;"生成成长"),4))/(VLOOKUP(DY$72,INDIRECT($C$5&amp;"生成成长"),5))*(VLOOKUP($B$5,标准坦克设计!$B$24:$U$30,MATCH("对"&amp;LEFT($C$5,2)&amp;"输出",标准坦克设计!$B$23:$U$23,0)))*(VLOOKUP($B76,INDIRECT($B$5&amp;"生成成长"),3))*(VLOOKUP($B$5,标准坦克设计!$B$14:$K$20,9)/30))</f>
        <v>23.787498342772597</v>
      </c>
      <c r="DZ76" s="173">
        <f ca="1">(VLOOKUP(DZ$72,INDIRECT($C$5&amp;"生成成长"),2))/((VLOOKUP($B76,INDIRECT($B$5&amp;"生成成长"),4))/(VLOOKUP(DZ$72,INDIRECT($C$5&amp;"生成成长"),5))*(VLOOKUP($B$5,标准坦克设计!$B$24:$U$30,MATCH("对"&amp;LEFT($C$5,2)&amp;"输出",标准坦克设计!$B$23:$U$23,0)))*(VLOOKUP($B76,INDIRECT($B$5&amp;"生成成长"),3))*(VLOOKUP($B$5,标准坦克设计!$B$14:$K$20,9)/30))</f>
        <v>26.34354103633002</v>
      </c>
      <c r="EA76" s="173">
        <f ca="1">(VLOOKUP(EA$72,INDIRECT($C$5&amp;"生成成长"),2))/((VLOOKUP($B76,INDIRECT($B$5&amp;"生成成长"),4))/(VLOOKUP(EA$72,INDIRECT($C$5&amp;"生成成长"),5))*(VLOOKUP($B$5,标准坦克设计!$B$24:$U$30,MATCH("对"&amp;LEFT($C$5,2)&amp;"输出",标准坦克设计!$B$23:$U$23,0)))*(VLOOKUP($B76,INDIRECT($B$5&amp;"生成成长"),3))*(VLOOKUP($B$5,标准坦克设计!$B$14:$K$20,9)/30))</f>
        <v>29.029994071395489</v>
      </c>
      <c r="EB76" s="173">
        <f ca="1">(VLOOKUP(EB$72,INDIRECT($C$5&amp;"生成成长"),2))/((VLOOKUP($B76,INDIRECT($B$5&amp;"生成成长"),4))/(VLOOKUP(EB$72,INDIRECT($C$5&amp;"生成成长"),5))*(VLOOKUP($B$5,标准坦克设计!$B$24:$U$30,MATCH("对"&amp;LEFT($C$5,2)&amp;"输出",标准坦克设计!$B$23:$U$23,0)))*(VLOOKUP($B76,INDIRECT($B$5&amp;"生成成长"),3))*(VLOOKUP($B$5,标准坦克设计!$B$14:$K$20,9)/30))</f>
        <v>31.846857447968976</v>
      </c>
      <c r="EC76" s="173">
        <f ca="1">(VLOOKUP(EC$72,INDIRECT($C$5&amp;"生成成长"),2))/((VLOOKUP($B76,INDIRECT($B$5&amp;"生成成长"),4))/(VLOOKUP(EC$72,INDIRECT($C$5&amp;"生成成长"),5))*(VLOOKUP($B$5,标准坦克设计!$B$24:$U$30,MATCH("对"&amp;LEFT($C$5,2)&amp;"输出",标准坦克设计!$B$23:$U$23,0)))*(VLOOKUP($B76,INDIRECT($B$5&amp;"生成成长"),3))*(VLOOKUP($B$5,标准坦克设计!$B$14:$K$20,9)/30))</f>
        <v>34.794131166050505</v>
      </c>
      <c r="ED76" s="173">
        <f ca="1">(VLOOKUP(ED$72,INDIRECT($C$5&amp;"生成成长"),2))/((VLOOKUP($B76,INDIRECT($B$5&amp;"生成成长"),4))/(VLOOKUP(ED$72,INDIRECT($C$5&amp;"生成成长"),5))*(VLOOKUP($B$5,标准坦克设计!$B$24:$U$30,MATCH("对"&amp;LEFT($C$5,2)&amp;"输出",标准坦克设计!$B$23:$U$23,0)))*(VLOOKUP($B76,INDIRECT($B$5&amp;"生成成长"),3))*(VLOOKUP($B$5,标准坦克设计!$B$14:$K$20,9)/30))</f>
        <v>37.871815225640063</v>
      </c>
      <c r="EE76" s="173">
        <f ca="1">(VLOOKUP(EE$72,INDIRECT($C$5&amp;"生成成长"),2))/((VLOOKUP($B76,INDIRECT($B$5&amp;"生成成长"),4))/(VLOOKUP(EE$72,INDIRECT($C$5&amp;"生成成长"),5))*(VLOOKUP($B$5,标准坦克设计!$B$24:$U$30,MATCH("对"&amp;LEFT($C$5,2)&amp;"输出",标准坦克设计!$B$23:$U$23,0)))*(VLOOKUP($B76,INDIRECT($B$5&amp;"生成成长"),3))*(VLOOKUP($B$5,标准坦克设计!$B$14:$K$20,9)/30))</f>
        <v>41.079909626737653</v>
      </c>
      <c r="EF76" s="173">
        <f ca="1">(VLOOKUP(EF$72,INDIRECT($C$5&amp;"生成成长"),2))/((VLOOKUP($B76,INDIRECT($B$5&amp;"生成成长"),4))/(VLOOKUP(EF$72,INDIRECT($C$5&amp;"生成成长"),5))*(VLOOKUP($B$5,标准坦克设计!$B$24:$U$30,MATCH("对"&amp;LEFT($C$5,2)&amp;"输出",标准坦克设计!$B$23:$U$23,0)))*(VLOOKUP($B76,INDIRECT($B$5&amp;"生成成长"),3))*(VLOOKUP($B$5,标准坦克设计!$B$14:$K$20,9)/30))</f>
        <v>44.418414369343274</v>
      </c>
      <c r="EG76" s="173">
        <f ca="1">(VLOOKUP(EG$72,INDIRECT($C$5&amp;"生成成长"),2))/((VLOOKUP($B76,INDIRECT($B$5&amp;"生成成长"),4))/(VLOOKUP(EG$72,INDIRECT($C$5&amp;"生成成长"),5))*(VLOOKUP($B$5,标准坦克设计!$B$24:$U$30,MATCH("对"&amp;LEFT($C$5,2)&amp;"输出",标准坦克设计!$B$23:$U$23,0)))*(VLOOKUP($B76,INDIRECT($B$5&amp;"生成成长"),3))*(VLOOKUP($B$5,标准坦克设计!$B$14:$K$20,9)/30))</f>
        <v>47.887329453456935</v>
      </c>
      <c r="EH76" s="173">
        <f ca="1">(VLOOKUP(EH$72,INDIRECT($C$5&amp;"生成成长"),2))/((VLOOKUP($B76,INDIRECT($B$5&amp;"生成成长"),4))/(VLOOKUP(EH$72,INDIRECT($C$5&amp;"生成成长"),5))*(VLOOKUP($B$5,标准坦克设计!$B$24:$U$30,MATCH("对"&amp;LEFT($C$5,2)&amp;"输出",标准坦克设计!$B$23:$U$23,0)))*(VLOOKUP($B76,INDIRECT($B$5&amp;"生成成长"),3))*(VLOOKUP($B$5,标准坦克设计!$B$14:$K$20,9)/30))</f>
        <v>51.486654879078614</v>
      </c>
      <c r="EI76" s="173">
        <f ca="1">(VLOOKUP(EI$72,INDIRECT($C$5&amp;"生成成长"),2))/((VLOOKUP($B76,INDIRECT($B$5&amp;"生成成长"),4))/(VLOOKUP(EI$72,INDIRECT($C$5&amp;"生成成长"),5))*(VLOOKUP($B$5,标准坦克设计!$B$24:$U$30,MATCH("对"&amp;LEFT($C$5,2)&amp;"输出",标准坦克设计!$B$23:$U$23,0)))*(VLOOKUP($B76,INDIRECT($B$5&amp;"生成成长"),3))*(VLOOKUP($B$5,标准坦克设计!$B$14:$K$20,9)/30))</f>
        <v>55.216390646208332</v>
      </c>
      <c r="EJ76" s="173">
        <f ca="1">(VLOOKUP(EJ$72,INDIRECT($C$5&amp;"生成成长"),2))/((VLOOKUP($B76,INDIRECT($B$5&amp;"生成成长"),4))/(VLOOKUP(EJ$72,INDIRECT($C$5&amp;"生成成长"),5))*(VLOOKUP($B$5,标准坦克设计!$B$24:$U$30,MATCH("对"&amp;LEFT($C$5,2)&amp;"输出",标准坦克设计!$B$23:$U$23,0)))*(VLOOKUP($B76,INDIRECT($B$5&amp;"生成成长"),3))*(VLOOKUP($B$5,标准坦克设计!$B$14:$K$20,9)/30))</f>
        <v>59.076536754846082</v>
      </c>
      <c r="EK76" s="173">
        <f ca="1">(VLOOKUP(EK$72,INDIRECT($C$5&amp;"生成成长"),2))/((VLOOKUP($B76,INDIRECT($B$5&amp;"生成成长"),4))/(VLOOKUP(EK$72,INDIRECT($C$5&amp;"生成成长"),5))*(VLOOKUP($B$5,标准坦克设计!$B$24:$U$30,MATCH("对"&amp;LEFT($C$5,2)&amp;"输出",标准坦克设计!$B$23:$U$23,0)))*(VLOOKUP($B76,INDIRECT($B$5&amp;"生成成长"),3))*(VLOOKUP($B$5,标准坦克设计!$B$14:$K$20,9)/30))</f>
        <v>63.880853736001981</v>
      </c>
      <c r="EL76" s="173">
        <f ca="1">(VLOOKUP(EL$72,INDIRECT($C$5&amp;"生成成长"),2))/((VLOOKUP($B76,INDIRECT($B$5&amp;"生成成长"),4))/(VLOOKUP(EL$72,INDIRECT($C$5&amp;"生成成长"),5))*(VLOOKUP($B$5,标准坦克设计!$B$24:$U$30,MATCH("对"&amp;LEFT($C$5,2)&amp;"输出",标准坦克设计!$B$23:$U$23,0)))*(VLOOKUP($B76,INDIRECT($B$5&amp;"生成成长"),3))*(VLOOKUP($B$5,标准坦克设计!$B$14:$K$20,9)/30))</f>
        <v>68.872961608929444</v>
      </c>
      <c r="EM76" s="173">
        <f ca="1">(VLOOKUP(EM$72,INDIRECT($C$5&amp;"生成成长"),2))/((VLOOKUP($B76,INDIRECT($B$5&amp;"生成成长"),4))/(VLOOKUP(EM$72,INDIRECT($C$5&amp;"生成成长"),5))*(VLOOKUP($B$5,标准坦克设计!$B$24:$U$30,MATCH("对"&amp;LEFT($C$5,2)&amp;"输出",标准坦克设计!$B$23:$U$23,0)))*(VLOOKUP($B76,INDIRECT($B$5&amp;"生成成长"),3))*(VLOOKUP($B$5,标准坦克设计!$B$14:$K$20,9)/30))</f>
        <v>74.052860373628491</v>
      </c>
      <c r="EN76" s="173">
        <f ca="1">(VLOOKUP(EN$72,INDIRECT($C$5&amp;"生成成长"),2))/((VLOOKUP($B76,INDIRECT($B$5&amp;"生成成长"),4))/(VLOOKUP(EN$72,INDIRECT($C$5&amp;"生成成长"),5))*(VLOOKUP($B$5,标准坦克设计!$B$24:$U$30,MATCH("对"&amp;LEFT($C$5,2)&amp;"输出",标准坦克设计!$B$23:$U$23,0)))*(VLOOKUP($B76,INDIRECT($B$5&amp;"生成成长"),3))*(VLOOKUP($B$5,标准坦克设计!$B$14:$K$20,9)/30))</f>
        <v>79.420550030099079</v>
      </c>
      <c r="EO76" s="173">
        <f ca="1">(VLOOKUP(EO$72,INDIRECT($C$5&amp;"生成成长"),2))/((VLOOKUP($B76,INDIRECT($B$5&amp;"生成成长"),4))/(VLOOKUP(EO$72,INDIRECT($C$5&amp;"生成成长"),5))*(VLOOKUP($B$5,标准坦克设计!$B$24:$U$30,MATCH("对"&amp;LEFT($C$5,2)&amp;"输出",标准坦克设计!$B$23:$U$23,0)))*(VLOOKUP($B76,INDIRECT($B$5&amp;"生成成长"),3))*(VLOOKUP($B$5,标准坦克设计!$B$14:$K$20,9)/30))</f>
        <v>84.976030578341238</v>
      </c>
      <c r="EP76" s="173">
        <f ca="1">(VLOOKUP(EP$72,INDIRECT($C$5&amp;"生成成长"),2))/((VLOOKUP($B76,INDIRECT($B$5&amp;"生成成长"),4))/(VLOOKUP(EP$72,INDIRECT($C$5&amp;"生成成长"),5))*(VLOOKUP($B$5,标准坦克设计!$B$24:$U$30,MATCH("对"&amp;LEFT($C$5,2)&amp;"输出",标准坦克设计!$B$23:$U$23,0)))*(VLOOKUP($B76,INDIRECT($B$5&amp;"生成成长"),3))*(VLOOKUP($B$5,标准坦克设计!$B$14:$K$20,9)/30))</f>
        <v>90.719302018354981</v>
      </c>
      <c r="EQ76" s="173">
        <f ca="1">(VLOOKUP(EQ$72,INDIRECT($C$5&amp;"生成成长"),2))/((VLOOKUP($B76,INDIRECT($B$5&amp;"生成成长"),4))/(VLOOKUP(EQ$72,INDIRECT($C$5&amp;"生成成长"),5))*(VLOOKUP($B$5,标准坦克设计!$B$24:$U$30,MATCH("对"&amp;LEFT($C$5,2)&amp;"输出",标准坦克设计!$B$23:$U$23,0)))*(VLOOKUP($B76,INDIRECT($B$5&amp;"生成成长"),3))*(VLOOKUP($B$5,标准坦克设计!$B$14:$K$20,9)/30))</f>
        <v>40.10378822055003</v>
      </c>
      <c r="ER76" s="173">
        <f ca="1">(VLOOKUP(ER$72,INDIRECT($C$5&amp;"生成成长"),2))/((VLOOKUP($B76,INDIRECT($B$5&amp;"生成成长"),4))/(VLOOKUP(ER$72,INDIRECT($C$5&amp;"生成成长"),5))*(VLOOKUP($B$5,标准坦克设计!$B$24:$U$30,MATCH("对"&amp;LEFT($C$5,2)&amp;"输出",标准坦克设计!$B$23:$U$23,0)))*(VLOOKUP($B76,INDIRECT($B$5&amp;"生成成长"),3))*(VLOOKUP($B$5,标准坦克设计!$B$14:$K$20,9)/30))</f>
        <v>43.74028059350151</v>
      </c>
      <c r="ES76" s="173">
        <f ca="1">(VLOOKUP(ES$72,INDIRECT($C$5&amp;"生成成长"),2))/((VLOOKUP($B76,INDIRECT($B$5&amp;"生成成长"),4))/(VLOOKUP(ES$72,INDIRECT($C$5&amp;"生成成长"),5))*(VLOOKUP($B$5,标准坦克设计!$B$24:$U$30,MATCH("对"&amp;LEFT($C$5,2)&amp;"输出",标准坦克设计!$B$23:$U$23,0)))*(VLOOKUP($B76,INDIRECT($B$5&amp;"生成成长"),3))*(VLOOKUP($B$5,标准坦克设计!$B$14:$K$20,9)/30))</f>
        <v>47.5345694796777</v>
      </c>
      <c r="ET76" s="173">
        <f ca="1">(VLOOKUP(ET$72,INDIRECT($C$5&amp;"生成成长"),2))/((VLOOKUP($B76,INDIRECT($B$5&amp;"生成成长"),4))/(VLOOKUP(ET$72,INDIRECT($C$5&amp;"生成成长"),5))*(VLOOKUP($B$5,标准坦克设计!$B$24:$U$30,MATCH("对"&amp;LEFT($C$5,2)&amp;"输出",标准坦克设计!$B$23:$U$23,0)))*(VLOOKUP($B76,INDIRECT($B$5&amp;"生成成长"),3))*(VLOOKUP($B$5,标准坦克设计!$B$14:$K$20,9)/30))</f>
        <v>51.486654879078614</v>
      </c>
      <c r="EU76" s="173">
        <f ca="1">(VLOOKUP(EU$72,INDIRECT($C$5&amp;"生成成长"),2))/((VLOOKUP($B76,INDIRECT($B$5&amp;"生成成长"),4))/(VLOOKUP(EU$72,INDIRECT($C$5&amp;"生成成长"),5))*(VLOOKUP($B$5,标准坦克设计!$B$24:$U$30,MATCH("对"&amp;LEFT($C$5,2)&amp;"输出",标准坦克设计!$B$23:$U$23,0)))*(VLOOKUP($B76,INDIRECT($B$5&amp;"生成成长"),3))*(VLOOKUP($B$5,标准坦克设计!$B$14:$K$20,9)/30))</f>
        <v>55.596536791704239</v>
      </c>
      <c r="EV76" s="173">
        <f ca="1">(VLOOKUP(EV$72,INDIRECT($C$5&amp;"生成成长"),2))/((VLOOKUP($B76,INDIRECT($B$5&amp;"生成成长"),4))/(VLOOKUP(EV$72,INDIRECT($C$5&amp;"生成成长"),5))*(VLOOKUP($B$5,标准坦克设计!$B$24:$U$30,MATCH("对"&amp;LEFT($C$5,2)&amp;"输出",标准坦克设计!$B$23:$U$23,0)))*(VLOOKUP($B76,INDIRECT($B$5&amp;"生成成长"),3))*(VLOOKUP($B$5,标准坦克设计!$B$14:$K$20,9)/30))</f>
        <v>59.864215217554587</v>
      </c>
      <c r="EW76" s="173">
        <f ca="1">(VLOOKUP(EW$72,INDIRECT($C$5&amp;"生成成长"),2))/((VLOOKUP($B76,INDIRECT($B$5&amp;"生成成长"),4))/(VLOOKUP(EW$72,INDIRECT($C$5&amp;"生成成长"),5))*(VLOOKUP($B$5,标准坦克设计!$B$24:$U$30,MATCH("对"&amp;LEFT($C$5,2)&amp;"输出",标准坦克设计!$B$23:$U$23,0)))*(VLOOKUP($B76,INDIRECT($B$5&amp;"生成成长"),3))*(VLOOKUP($B$5,标准坦克设计!$B$14:$K$20,9)/30))</f>
        <v>64.289690156629661</v>
      </c>
      <c r="EX76" s="173">
        <f ca="1">(VLOOKUP(EX$72,INDIRECT($C$5&amp;"生成成长"),2))/((VLOOKUP($B76,INDIRECT($B$5&amp;"生成成长"),4))/(VLOOKUP(EX$72,INDIRECT($C$5&amp;"生成成长"),5))*(VLOOKUP($B$5,标准坦克设计!$B$24:$U$30,MATCH("对"&amp;LEFT($C$5,2)&amp;"输出",标准坦克设计!$B$23:$U$23,0)))*(VLOOKUP($B76,INDIRECT($B$5&amp;"生成成长"),3))*(VLOOKUP($B$5,标准坦克设计!$B$14:$K$20,9)/30))</f>
        <v>68.872961608929444</v>
      </c>
      <c r="EY76" s="173">
        <f ca="1">(VLOOKUP(EY$72,INDIRECT($C$5&amp;"生成成长"),2))/((VLOOKUP($B76,INDIRECT($B$5&amp;"生成成长"),4))/(VLOOKUP(EY$72,INDIRECT($C$5&amp;"生成成长"),5))*(VLOOKUP($B$5,标准坦克设计!$B$24:$U$30,MATCH("对"&amp;LEFT($C$5,2)&amp;"输出",标准坦克设计!$B$23:$U$23,0)))*(VLOOKUP($B76,INDIRECT($B$5&amp;"生成成长"),3))*(VLOOKUP($B$5,标准坦克设计!$B$14:$K$20,9)/30))</f>
        <v>73.614029574453966</v>
      </c>
      <c r="EZ76" s="173">
        <f ca="1">(VLOOKUP(EZ$72,INDIRECT($C$5&amp;"生成成长"),2))/((VLOOKUP($B76,INDIRECT($B$5&amp;"生成成长"),4))/(VLOOKUP(EZ$72,INDIRECT($C$5&amp;"生成成长"),5))*(VLOOKUP($B$5,标准坦克设计!$B$24:$U$30,MATCH("对"&amp;LEFT($C$5,2)&amp;"输出",标准坦克设计!$B$23:$U$23,0)))*(VLOOKUP($B76,INDIRECT($B$5&amp;"生成成长"),3))*(VLOOKUP($B$5,标准坦克设计!$B$14:$K$20,9)/30))</f>
        <v>78.512894053203183</v>
      </c>
      <c r="FA76" s="173">
        <f ca="1">(VLOOKUP(FA$72,INDIRECT($C$5&amp;"生成成长"),2))/((VLOOKUP($B76,INDIRECT($B$5&amp;"生成成长"),4))/(VLOOKUP(FA$72,INDIRECT($C$5&amp;"生成成长"),5))*(VLOOKUP($B$5,标准坦克设计!$B$24:$U$30,MATCH("对"&amp;LEFT($C$5,2)&amp;"输出",标准坦克设计!$B$23:$U$23,0)))*(VLOOKUP($B76,INDIRECT($B$5&amp;"生成成长"),3))*(VLOOKUP($B$5,标准坦克设计!$B$14:$K$20,9)/30))</f>
        <v>83.56955504517714</v>
      </c>
      <c r="FB76" s="173">
        <f ca="1">(VLOOKUP(FB$72,INDIRECT($C$5&amp;"生成成长"),2))/((VLOOKUP($B76,INDIRECT($B$5&amp;"生成成长"),4))/(VLOOKUP(FB$72,INDIRECT($C$5&amp;"生成成长"),5))*(VLOOKUP($B$5,标准坦克设计!$B$24:$U$30,MATCH("对"&amp;LEFT($C$5,2)&amp;"输出",标准坦克设计!$B$23:$U$23,0)))*(VLOOKUP($B76,INDIRECT($B$5&amp;"生成成长"),3))*(VLOOKUP($B$5,标准坦克设计!$B$14:$K$20,9)/30))</f>
        <v>88.784012550375806</v>
      </c>
      <c r="FC76" s="173">
        <f ca="1">(VLOOKUP(FC$72,INDIRECT($C$5&amp;"生成成长"),2))/((VLOOKUP($B76,INDIRECT($B$5&amp;"生成成长"),4))/(VLOOKUP(FC$72,INDIRECT($C$5&amp;"生成成长"),5))*(VLOOKUP($B$5,标准坦克设计!$B$24:$U$30,MATCH("对"&amp;LEFT($C$5,2)&amp;"输出",标准坦克设计!$B$23:$U$23,0)))*(VLOOKUP($B76,INDIRECT($B$5&amp;"生成成长"),3))*(VLOOKUP($B$5,标准坦克设计!$B$14:$K$20,9)/30))</f>
        <v>94.156266568799182</v>
      </c>
      <c r="FD76" s="173">
        <f ca="1">(VLOOKUP(FD$72,INDIRECT($C$5&amp;"生成成长"),2))/((VLOOKUP($B76,INDIRECT($B$5&amp;"生成成长"),4))/(VLOOKUP(FD$72,INDIRECT($C$5&amp;"生成成长"),5))*(VLOOKUP($B$5,标准坦克设计!$B$24:$U$30,MATCH("对"&amp;LEFT($C$5,2)&amp;"输出",标准坦克设计!$B$23:$U$23,0)))*(VLOOKUP($B76,INDIRECT($B$5&amp;"生成成长"),3))*(VLOOKUP($B$5,标准坦克设计!$B$14:$K$20,9)/30))</f>
        <v>99.686317100447283</v>
      </c>
      <c r="FE76" s="173">
        <f ca="1">(VLOOKUP(FE$72,INDIRECT($C$5&amp;"生成成长"),2))/((VLOOKUP($B76,INDIRECT($B$5&amp;"生成成长"),4))/(VLOOKUP(FE$72,INDIRECT($C$5&amp;"生成成长"),5))*(VLOOKUP($B$5,标准坦克设计!$B$24:$U$30,MATCH("对"&amp;LEFT($C$5,2)&amp;"输出",标准坦克设计!$B$23:$U$23,0)))*(VLOOKUP($B76,INDIRECT($B$5&amp;"生成成长"),3))*(VLOOKUP($B$5,标准坦克设计!$B$14:$K$20,9)/30))</f>
        <v>106.42527149787485</v>
      </c>
      <c r="FF76" s="173">
        <f ca="1">(VLOOKUP(FF$72,INDIRECT($C$5&amp;"生成成长"),2))/((VLOOKUP($B76,INDIRECT($B$5&amp;"生成成长"),4))/(VLOOKUP(FF$72,INDIRECT($C$5&amp;"生成成长"),5))*(VLOOKUP($B$5,标准坦克设计!$B$24:$U$30,MATCH("对"&amp;LEFT($C$5,2)&amp;"输出",标准坦克设计!$B$23:$U$23,0)))*(VLOOKUP($B76,INDIRECT($B$5&amp;"生成成长"),3))*(VLOOKUP($B$5,标准坦克设计!$B$14:$K$20,9)/30))</f>
        <v>113.38461937245098</v>
      </c>
      <c r="FG76" s="173">
        <f ca="1">(VLOOKUP(FG$72,INDIRECT($C$5&amp;"生成成长"),2))/((VLOOKUP($B76,INDIRECT($B$5&amp;"生成成长"),4))/(VLOOKUP(FG$72,INDIRECT($C$5&amp;"生成成长"),5))*(VLOOKUP($B$5,标准坦克设计!$B$24:$U$30,MATCH("对"&amp;LEFT($C$5,2)&amp;"输出",标准坦克设计!$B$23:$U$23,0)))*(VLOOKUP($B76,INDIRECT($B$5&amp;"生成成长"),3))*(VLOOKUP($B$5,标准坦克设计!$B$14:$K$20,9)/30))</f>
        <v>120.56436072417567</v>
      </c>
      <c r="FH76" s="173">
        <f ca="1">(VLOOKUP(FH$72,INDIRECT($C$5&amp;"生成成长"),2))/((VLOOKUP($B76,INDIRECT($B$5&amp;"生成成长"),4))/(VLOOKUP(FH$72,INDIRECT($C$5&amp;"生成成长"),5))*(VLOOKUP($B$5,标准坦克设计!$B$24:$U$30,MATCH("对"&amp;LEFT($C$5,2)&amp;"输出",标准坦克设计!$B$23:$U$23,0)))*(VLOOKUP($B76,INDIRECT($B$5&amp;"生成成长"),3))*(VLOOKUP($B$5,标准坦克设计!$B$14:$K$20,9)/30))</f>
        <v>127.96449555304898</v>
      </c>
      <c r="FI76" s="173">
        <f ca="1">(VLOOKUP(FI$72,INDIRECT($C$5&amp;"生成成长"),2))/((VLOOKUP($B76,INDIRECT($B$5&amp;"生成成长"),4))/(VLOOKUP(FI$72,INDIRECT($C$5&amp;"生成成长"),5))*(VLOOKUP($B$5,标准坦克设计!$B$24:$U$30,MATCH("对"&amp;LEFT($C$5,2)&amp;"输出",标准坦克设计!$B$23:$U$23,0)))*(VLOOKUP($B76,INDIRECT($B$5&amp;"生成成长"),3))*(VLOOKUP($B$5,标准坦克设计!$B$14:$K$20,9)/30))</f>
        <v>135.58502385907079</v>
      </c>
      <c r="FJ76" s="173">
        <f ca="1">(VLOOKUP(FJ$72,INDIRECT($C$5&amp;"生成成长"),2))/((VLOOKUP($B76,INDIRECT($B$5&amp;"生成成长"),4))/(VLOOKUP(FJ$72,INDIRECT($C$5&amp;"生成成长"),5))*(VLOOKUP($B$5,标准坦克设计!$B$24:$U$30,MATCH("对"&amp;LEFT($C$5,2)&amp;"输出",标准坦克设计!$B$23:$U$23,0)))*(VLOOKUP($B76,INDIRECT($B$5&amp;"生成成长"),3))*(VLOOKUP($B$5,标准坦克设计!$B$14:$K$20,9)/30))</f>
        <v>143.42594564224123</v>
      </c>
      <c r="FK76" s="173">
        <f ca="1">(VLOOKUP(FK$72,INDIRECT($C$5&amp;"生成成长"),2))/((VLOOKUP($B76,INDIRECT($B$5&amp;"生成成长"),4))/(VLOOKUP(FK$72,INDIRECT($C$5&amp;"生成成长"),5))*(VLOOKUP($B$5,标准坦克设计!$B$24:$U$30,MATCH("对"&amp;LEFT($C$5,2)&amp;"输出",标准坦克设计!$B$23:$U$23,0)))*(VLOOKUP($B76,INDIRECT($B$5&amp;"生成成长"),3))*(VLOOKUP($B$5,标准坦克设计!$B$14:$K$20,9)/30))</f>
        <v>151.48726090256025</v>
      </c>
    </row>
    <row r="77" spans="1:167" x14ac:dyDescent="0.15">
      <c r="A77" s="171" t="str">
        <f t="shared" si="11"/>
        <v>T1低品质5级</v>
      </c>
      <c r="B77" s="172">
        <v>10105</v>
      </c>
      <c r="C77" s="173">
        <f ca="1">(VLOOKUP(C$72,INDIRECT($C$5&amp;"生成成长"),2))/((VLOOKUP($B77,INDIRECT($B$5&amp;"生成成长"),4))/(VLOOKUP(C$72,INDIRECT($C$5&amp;"生成成长"),5))*(VLOOKUP($B$5,标准坦克设计!$B$24:$U$30,MATCH("对"&amp;LEFT($C$5,2)&amp;"输出",标准坦克设计!$B$23:$U$23,0)))*(VLOOKUP($B77,INDIRECT($B$5&amp;"生成成长"),3))*(VLOOKUP($B$5,标准坦克设计!$B$14:$K$20,9)/30))</f>
        <v>5.891623932906044</v>
      </c>
      <c r="D77" s="173">
        <f ca="1">(VLOOKUP(D$72,INDIRECT($C$5&amp;"生成成长"),2))/((VLOOKUP($B77,INDIRECT($B$5&amp;"生成成长"),4))/(VLOOKUP(D$72,INDIRECT($C$5&amp;"生成成长"),5))*(VLOOKUP($B$5,标准坦克设计!$B$24:$U$30,MATCH("对"&amp;LEFT($C$5,2)&amp;"输出",标准坦克设计!$B$23:$U$23,0)))*(VLOOKUP($B77,INDIRECT($B$5&amp;"生成成长"),3))*(VLOOKUP($B$5,标准坦克设计!$B$14:$K$20,9)/30))</f>
        <v>6.6198286510132318</v>
      </c>
      <c r="E77" s="173">
        <f ca="1">(VLOOKUP(E$72,INDIRECT($C$5&amp;"生成成长"),2))/((VLOOKUP($B77,INDIRECT($B$5&amp;"生成成长"),4))/(VLOOKUP(E$72,INDIRECT($C$5&amp;"生成成长"),5))*(VLOOKUP($B$5,标准坦克设计!$B$24:$U$30,MATCH("对"&amp;LEFT($C$5,2)&amp;"输出",标准坦克设计!$B$23:$U$23,0)))*(VLOOKUP($B77,INDIRECT($B$5&amp;"生成成长"),3))*(VLOOKUP($B$5,标准坦克设计!$B$14:$K$20,9)/30))</f>
        <v>7.3904530614373405</v>
      </c>
      <c r="F77" s="173">
        <f ca="1">(VLOOKUP(F$72,INDIRECT($C$5&amp;"生成成长"),2))/((VLOOKUP($B77,INDIRECT($B$5&amp;"生成成长"),4))/(VLOOKUP(F$72,INDIRECT($C$5&amp;"生成成长"),5))*(VLOOKUP($B$5,标准坦克设计!$B$24:$U$30,MATCH("对"&amp;LEFT($C$5,2)&amp;"输出",标准坦克设计!$B$23:$U$23,0)))*(VLOOKUP($B77,INDIRECT($B$5&amp;"生成成长"),3))*(VLOOKUP($B$5,标准坦克设计!$B$14:$K$20,9)/30))</f>
        <v>8.2034971641783763</v>
      </c>
      <c r="G77" s="173">
        <f ca="1">(VLOOKUP(G$72,INDIRECT($C$5&amp;"生成成长"),2))/((VLOOKUP($B77,INDIRECT($B$5&amp;"生成成长"),4))/(VLOOKUP(G$72,INDIRECT($C$5&amp;"生成成长"),5))*(VLOOKUP($B$5,标准坦克设计!$B$24:$U$30,MATCH("对"&amp;LEFT($C$5,2)&amp;"输出",标准坦克设计!$B$23:$U$23,0)))*(VLOOKUP($B77,INDIRECT($B$5&amp;"生成成长"),3))*(VLOOKUP($B$5,标准坦克设计!$B$14:$K$20,9)/30))</f>
        <v>9.0589609592363356</v>
      </c>
      <c r="H77" s="173">
        <f ca="1">(VLOOKUP(H$72,INDIRECT($C$5&amp;"生成成长"),2))/((VLOOKUP($B77,INDIRECT($B$5&amp;"生成成长"),4))/(VLOOKUP(H$72,INDIRECT($C$5&amp;"生成成长"),5))*(VLOOKUP($B$5,标准坦克设计!$B$24:$U$30,MATCH("对"&amp;LEFT($C$5,2)&amp;"输出",标准坦克设计!$B$23:$U$23,0)))*(VLOOKUP($B77,INDIRECT($B$5&amp;"生成成长"),3))*(VLOOKUP($B$5,标准坦克设计!$B$14:$K$20,9)/30))</f>
        <v>7.9277691641183727</v>
      </c>
      <c r="I77" s="173">
        <f ca="1">(VLOOKUP(I$72,INDIRECT($C$5&amp;"生成成长"),2))/((VLOOKUP($B77,INDIRECT($B$5&amp;"生成成长"),4))/(VLOOKUP(I$72,INDIRECT($C$5&amp;"生成成长"),5))*(VLOOKUP($B$5,标准坦克设计!$B$24:$U$30,MATCH("对"&amp;LEFT($C$5,2)&amp;"输出",标准坦克设计!$B$23:$U$23,0)))*(VLOOKUP($B77,INDIRECT($B$5&amp;"生成成长"),3))*(VLOOKUP($B$5,标准坦克设计!$B$14:$K$20,9)/30))</f>
        <v>9.0589609592363356</v>
      </c>
      <c r="J77" s="173">
        <f ca="1">(VLOOKUP(J$72,INDIRECT($C$5&amp;"生成成长"),2))/((VLOOKUP($B77,INDIRECT($B$5&amp;"生成成长"),4))/(VLOOKUP(J$72,INDIRECT($C$5&amp;"生成成长"),5))*(VLOOKUP($B$5,标准坦克设计!$B$24:$U$30,MATCH("对"&amp;LEFT($C$5,2)&amp;"输出",标准坦克设计!$B$23:$U$23,0)))*(VLOOKUP($B77,INDIRECT($B$5&amp;"生成成长"),3))*(VLOOKUP($B$5,标准坦克设计!$B$14:$K$20,9)/30))</f>
        <v>10.265565540695491</v>
      </c>
      <c r="K77" s="173">
        <f ca="1">(VLOOKUP(K$72,INDIRECT($C$5&amp;"生成成长"),2))/((VLOOKUP($B77,INDIRECT($B$5&amp;"生成成长"),4))/(VLOOKUP(K$72,INDIRECT($C$5&amp;"生成成长"),5))*(VLOOKUP($B$5,标准坦克设计!$B$24:$U$30,MATCH("对"&amp;LEFT($C$5,2)&amp;"输出",标准坦克设计!$B$23:$U$23,0)))*(VLOOKUP($B77,INDIRECT($B$5&amp;"生成成长"),3))*(VLOOKUP($B$5,标准坦克设计!$B$14:$K$20,9)/30))</f>
        <v>11.547582908495848</v>
      </c>
      <c r="L77" s="173">
        <f ca="1">(VLOOKUP(L$72,INDIRECT($C$5&amp;"生成成长"),2))/((VLOOKUP($B77,INDIRECT($B$5&amp;"生成成长"),4))/(VLOOKUP(L$72,INDIRECT($C$5&amp;"生成成长"),5))*(VLOOKUP($B$5,标准坦克设计!$B$24:$U$30,MATCH("对"&amp;LEFT($C$5,2)&amp;"输出",标准坦克设计!$B$23:$U$23,0)))*(VLOOKUP($B77,INDIRECT($B$5&amp;"生成成长"),3))*(VLOOKUP($B$5,标准坦克设计!$B$14:$K$20,9)/30))</f>
        <v>12.905013062637398</v>
      </c>
      <c r="M77" s="173">
        <f ca="1">(VLOOKUP(M$72,INDIRECT($C$5&amp;"生成成长"),2))/((VLOOKUP($B77,INDIRECT($B$5&amp;"生成成长"),4))/(VLOOKUP(M$72,INDIRECT($C$5&amp;"生成成长"),5))*(VLOOKUP($B$5,标准坦克设计!$B$24:$U$30,MATCH("对"&amp;LEFT($C$5,2)&amp;"输出",标准坦克设计!$B$23:$U$23,0)))*(VLOOKUP($B77,INDIRECT($B$5&amp;"生成成长"),3))*(VLOOKUP($B$5,标准坦克设计!$B$14:$K$20,9)/30))</f>
        <v>14.337856003120152</v>
      </c>
      <c r="N77" s="173">
        <f ca="1">(VLOOKUP(N$72,INDIRECT($C$5&amp;"生成成长"),2))/((VLOOKUP($B77,INDIRECT($B$5&amp;"生成成长"),4))/(VLOOKUP(N$72,INDIRECT($C$5&amp;"生成成长"),5))*(VLOOKUP($B$5,标准坦克设计!$B$24:$U$30,MATCH("对"&amp;LEFT($C$5,2)&amp;"输出",标准坦克设计!$B$23:$U$23,0)))*(VLOOKUP($B77,INDIRECT($B$5&amp;"生成成长"),3))*(VLOOKUP($B$5,标准坦克设计!$B$14:$K$20,9)/30))</f>
        <v>15.846111729944099</v>
      </c>
      <c r="O77" s="173">
        <f ca="1">(VLOOKUP(O$72,INDIRECT($C$5&amp;"生成成长"),2))/((VLOOKUP($B77,INDIRECT($B$5&amp;"生成成长"),4))/(VLOOKUP(O$72,INDIRECT($C$5&amp;"生成成长"),5))*(VLOOKUP($B$5,标准坦克设计!$B$24:$U$30,MATCH("对"&amp;LEFT($C$5,2)&amp;"输出",标准坦克设计!$B$23:$U$23,0)))*(VLOOKUP($B77,INDIRECT($B$5&amp;"生成成长"),3))*(VLOOKUP($B$5,标准坦克设计!$B$14:$K$20,9)/30))</f>
        <v>12.047781780399571</v>
      </c>
      <c r="P77" s="173">
        <f ca="1">(VLOOKUP(P$72,INDIRECT($C$5&amp;"生成成长"),2))/((VLOOKUP($B77,INDIRECT($B$5&amp;"生成成长"),4))/(VLOOKUP(P$72,INDIRECT($C$5&amp;"生成成长"),5))*(VLOOKUP($B$5,标准坦克设计!$B$24:$U$30,MATCH("对"&amp;LEFT($C$5,2)&amp;"输出",标准坦克设计!$B$23:$U$23,0)))*(VLOOKUP($B77,INDIRECT($B$5&amp;"生成成长"),3))*(VLOOKUP($B$5,标准坦克设计!$B$14:$K$20,9)/30))</f>
        <v>13.612007934586124</v>
      </c>
      <c r="Q77" s="173">
        <f ca="1">(VLOOKUP(Q$72,INDIRECT($C$5&amp;"生成成长"),2))/((VLOOKUP($B77,INDIRECT($B$5&amp;"生成成长"),4))/(VLOOKUP(Q$72,INDIRECT($C$5&amp;"生成成长"),5))*(VLOOKUP($B$5,标准坦克设计!$B$24:$U$30,MATCH("对"&amp;LEFT($C$5,2)&amp;"输出",标准坦克设计!$B$23:$U$23,0)))*(VLOOKUP($B77,INDIRECT($B$5&amp;"生成成长"),3))*(VLOOKUP($B$5,标准坦克设计!$B$14:$K$20,9)/30))</f>
        <v>15.271678396485759</v>
      </c>
      <c r="R77" s="173">
        <f ca="1">(VLOOKUP(R$72,INDIRECT($C$5&amp;"生成成长"),2))/((VLOOKUP($B77,INDIRECT($B$5&amp;"生成成长"),4))/(VLOOKUP(R$72,INDIRECT($C$5&amp;"生成成长"),5))*(VLOOKUP($B$5,标准坦克设计!$B$24:$U$30,MATCH("对"&amp;LEFT($C$5,2)&amp;"输出",标准坦克设计!$B$23:$U$23,0)))*(VLOOKUP($B77,INDIRECT($B$5&amp;"生成成长"),3))*(VLOOKUP($B$5,标准坦克设计!$B$14:$K$20,9)/30))</f>
        <v>17.026793166098468</v>
      </c>
      <c r="S77" s="173">
        <f ca="1">(VLOOKUP(S$72,INDIRECT($C$5&amp;"生成成长"),2))/((VLOOKUP($B77,INDIRECT($B$5&amp;"生成成长"),4))/(VLOOKUP(S$72,INDIRECT($C$5&amp;"生成成长"),5))*(VLOOKUP($B$5,标准坦克设计!$B$24:$U$30,MATCH("对"&amp;LEFT($C$5,2)&amp;"输出",标准坦克设计!$B$23:$U$23,0)))*(VLOOKUP($B77,INDIRECT($B$5&amp;"生成成长"),3))*(VLOOKUP($B$5,标准坦克设计!$B$14:$K$20,9)/30))</f>
        <v>18.877352243424255</v>
      </c>
      <c r="T77" s="173">
        <f ca="1">(VLOOKUP(T$72,INDIRECT($C$5&amp;"生成成长"),2))/((VLOOKUP($B77,INDIRECT($B$5&amp;"生成成长"),4))/(VLOOKUP(T$72,INDIRECT($C$5&amp;"生成成长"),5))*(VLOOKUP($B$5,标准坦克设计!$B$24:$U$30,MATCH("对"&amp;LEFT($C$5,2)&amp;"输出",标准坦克设计!$B$23:$U$23,0)))*(VLOOKUP($B77,INDIRECT($B$5&amp;"生成成长"),3))*(VLOOKUP($B$5,标准坦克设计!$B$14:$K$20,9)/30))</f>
        <v>20.823355628463126</v>
      </c>
      <c r="U77" s="173">
        <f ca="1">(VLOOKUP(U$72,INDIRECT($C$5&amp;"生成成长"),2))/((VLOOKUP($B77,INDIRECT($B$5&amp;"生成成长"),4))/(VLOOKUP(U$72,INDIRECT($C$5&amp;"生成成长"),5))*(VLOOKUP($B$5,标准坦克设计!$B$24:$U$30,MATCH("对"&amp;LEFT($C$5,2)&amp;"输出",标准坦克设计!$B$23:$U$23,0)))*(VLOOKUP($B77,INDIRECT($B$5&amp;"生成成长"),3))*(VLOOKUP($B$5,标准坦克设计!$B$14:$K$20,9)/30))</f>
        <v>22.864803321215067</v>
      </c>
      <c r="V77" s="173">
        <f ca="1">(VLOOKUP(V$72,INDIRECT($C$5&amp;"生成成长"),2))/((VLOOKUP($B77,INDIRECT($B$5&amp;"生成成长"),4))/(VLOOKUP(V$72,INDIRECT($C$5&amp;"生成成长"),5))*(VLOOKUP($B$5,标准坦克设计!$B$24:$U$30,MATCH("对"&amp;LEFT($C$5,2)&amp;"输出",标准坦克设计!$B$23:$U$23,0)))*(VLOOKUP($B77,INDIRECT($B$5&amp;"生成成长"),3))*(VLOOKUP($B$5,标准坦克设计!$B$14:$K$20,9)/30))</f>
        <v>25.001695321680092</v>
      </c>
      <c r="W77" s="173">
        <f ca="1">(VLOOKUP(W$72,INDIRECT($C$5&amp;"生成成长"),2))/((VLOOKUP($B77,INDIRECT($B$5&amp;"生成成长"),4))/(VLOOKUP(W$72,INDIRECT($C$5&amp;"生成成长"),5))*(VLOOKUP($B$5,标准坦克设计!$B$24:$U$30,MATCH("对"&amp;LEFT($C$5,2)&amp;"输出",标准坦克设计!$B$23:$U$23,0)))*(VLOOKUP($B77,INDIRECT($B$5&amp;"生成成长"),3))*(VLOOKUP($B$5,标准坦克设计!$B$14:$K$20,9)/30))</f>
        <v>27.234031629858187</v>
      </c>
      <c r="X77" s="173">
        <f ca="1">(VLOOKUP(X$72,INDIRECT($C$5&amp;"生成成长"),2))/((VLOOKUP($B77,INDIRECT($B$5&amp;"生成成长"),4))/(VLOOKUP(X$72,INDIRECT($C$5&amp;"生成成长"),5))*(VLOOKUP($B$5,标准坦克设计!$B$24:$U$30,MATCH("对"&amp;LEFT($C$5,2)&amp;"输出",标准坦克设计!$B$23:$U$23,0)))*(VLOOKUP($B77,INDIRECT($B$5&amp;"生成成长"),3))*(VLOOKUP($B$5,标准坦克设计!$B$14:$K$20,9)/30))</f>
        <v>19.73045938890905</v>
      </c>
      <c r="Y77" s="173">
        <f ca="1">(VLOOKUP(Y$72,INDIRECT($C$5&amp;"生成成长"),2))/((VLOOKUP($B77,INDIRECT($B$5&amp;"生成成长"),4))/(VLOOKUP(Y$72,INDIRECT($C$5&amp;"生成成长"),5))*(VLOOKUP($B$5,标准坦克设计!$B$24:$U$30,MATCH("对"&amp;LEFT($C$5,2)&amp;"输出",标准坦克设计!$B$23:$U$23,0)))*(VLOOKUP($B77,INDIRECT($B$5&amp;"生成成长"),3))*(VLOOKUP($B$5,标准坦克设计!$B$14:$K$20,9)/30))</f>
        <v>21.945709987681724</v>
      </c>
      <c r="Z77" s="173">
        <f ca="1">(VLOOKUP(Z$72,INDIRECT($C$5&amp;"生成成长"),2))/((VLOOKUP($B77,INDIRECT($B$5&amp;"生成成长"),4))/(VLOOKUP(Z$72,INDIRECT($C$5&amp;"生成成长"),5))*(VLOOKUP($B$5,标准坦克设计!$B$24:$U$30,MATCH("对"&amp;LEFT($C$5,2)&amp;"输出",标准坦克设计!$B$23:$U$23,0)))*(VLOOKUP($B77,INDIRECT($B$5&amp;"生成成长"),3))*(VLOOKUP($B$5,标准坦克设计!$B$14:$K$20,9)/30))</f>
        <v>24.278793065112517</v>
      </c>
      <c r="AA77" s="173">
        <f ca="1">(VLOOKUP(AA$72,INDIRECT($C$5&amp;"生成成长"),2))/((VLOOKUP($B77,INDIRECT($B$5&amp;"生成成长"),4))/(VLOOKUP(AA$72,INDIRECT($C$5&amp;"生成成长"),5))*(VLOOKUP($B$5,标准坦克设计!$B$24:$U$30,MATCH("对"&amp;LEFT($C$5,2)&amp;"输出",标准坦克设计!$B$23:$U$23,0)))*(VLOOKUP($B77,INDIRECT($B$5&amp;"生成成长"),3))*(VLOOKUP($B$5,标准坦克设计!$B$14:$K$20,9)/30))</f>
        <v>26.729708621201436</v>
      </c>
      <c r="AB77" s="173">
        <f ca="1">(VLOOKUP(AB$72,INDIRECT($C$5&amp;"生成成长"),2))/((VLOOKUP($B77,INDIRECT($B$5&amp;"生成成长"),4))/(VLOOKUP(AB$72,INDIRECT($C$5&amp;"生成成长"),5))*(VLOOKUP($B$5,标准坦克设计!$B$24:$U$30,MATCH("对"&amp;LEFT($C$5,2)&amp;"输出",标准坦克设计!$B$23:$U$23,0)))*(VLOOKUP($B77,INDIRECT($B$5&amp;"生成成长"),3))*(VLOOKUP($B$5,标准坦克设计!$B$14:$K$20,9)/30))</f>
        <v>29.298456655948463</v>
      </c>
      <c r="AC77" s="173">
        <f ca="1">(VLOOKUP(AC$72,INDIRECT($C$5&amp;"生成成长"),2))/((VLOOKUP($B77,INDIRECT($B$5&amp;"生成成长"),4))/(VLOOKUP(AC$72,INDIRECT($C$5&amp;"生成成长"),5))*(VLOOKUP($B$5,标准坦克设计!$B$24:$U$30,MATCH("对"&amp;LEFT($C$5,2)&amp;"输出",标准坦克设计!$B$23:$U$23,0)))*(VLOOKUP($B77,INDIRECT($B$5&amp;"生成成长"),3))*(VLOOKUP($B$5,标准坦克设计!$B$14:$K$20,9)/30))</f>
        <v>31.985037169353625</v>
      </c>
      <c r="AD77" s="173">
        <f ca="1">(VLOOKUP(AD$72,INDIRECT($C$5&amp;"生成成长"),2))/((VLOOKUP($B77,INDIRECT($B$5&amp;"生成成长"),4))/(VLOOKUP(AD$72,INDIRECT($C$5&amp;"生成成长"),5))*(VLOOKUP($B$5,标准坦克设计!$B$24:$U$30,MATCH("对"&amp;LEFT($C$5,2)&amp;"输出",标准坦克设计!$B$23:$U$23,0)))*(VLOOKUP($B77,INDIRECT($B$5&amp;"生成成长"),3))*(VLOOKUP($B$5,标准坦克设计!$B$14:$K$20,9)/30))</f>
        <v>34.789450161416909</v>
      </c>
      <c r="AE77" s="173">
        <f ca="1">(VLOOKUP(AE$72,INDIRECT($C$5&amp;"生成成长"),2))/((VLOOKUP($B77,INDIRECT($B$5&amp;"生成成长"),4))/(VLOOKUP(AE$72,INDIRECT($C$5&amp;"生成成长"),5))*(VLOOKUP($B$5,标准坦克设计!$B$24:$U$30,MATCH("对"&amp;LEFT($C$5,2)&amp;"输出",标准坦克设计!$B$23:$U$23,0)))*(VLOOKUP($B77,INDIRECT($B$5&amp;"生成成长"),3))*(VLOOKUP($B$5,标准坦克设计!$B$14:$K$20,9)/30))</f>
        <v>37.711695632138301</v>
      </c>
      <c r="AF77" s="173">
        <f ca="1">(VLOOKUP(AF$72,INDIRECT($C$5&amp;"生成成长"),2))/((VLOOKUP($B77,INDIRECT($B$5&amp;"生成成长"),4))/(VLOOKUP(AF$72,INDIRECT($C$5&amp;"生成成长"),5))*(VLOOKUP($B$5,标准坦克设计!$B$24:$U$30,MATCH("对"&amp;LEFT($C$5,2)&amp;"输出",标准坦克设计!$B$23:$U$23,0)))*(VLOOKUP($B77,INDIRECT($B$5&amp;"生成成长"),3))*(VLOOKUP($B$5,标准坦克设计!$B$14:$K$20,9)/30))</f>
        <v>40.751773581517817</v>
      </c>
      <c r="AG77" s="173">
        <f ca="1">(VLOOKUP(AG$72,INDIRECT($C$5&amp;"生成成长"),2))/((VLOOKUP($B77,INDIRECT($B$5&amp;"生成成长"),4))/(VLOOKUP(AG$72,INDIRECT($C$5&amp;"生成成长"),5))*(VLOOKUP($B$5,标准坦克设计!$B$24:$U$30,MATCH("对"&amp;LEFT($C$5,2)&amp;"输出",标准坦克设计!$B$23:$U$23,0)))*(VLOOKUP($B77,INDIRECT($B$5&amp;"生成成长"),3))*(VLOOKUP($B$5,标准坦克设计!$B$14:$K$20,9)/30))</f>
        <v>43.909684009555455</v>
      </c>
      <c r="AH77" s="173">
        <f ca="1">(VLOOKUP(AH$72,INDIRECT($C$5&amp;"生成成长"),2))/((VLOOKUP($B77,INDIRECT($B$5&amp;"生成成长"),4))/(VLOOKUP(AH$72,INDIRECT($C$5&amp;"生成成长"),5))*(VLOOKUP($B$5,标准坦克设计!$B$24:$U$30,MATCH("对"&amp;LEFT($C$5,2)&amp;"输出",标准坦克设计!$B$23:$U$23,0)))*(VLOOKUP($B77,INDIRECT($B$5&amp;"生成成长"),3))*(VLOOKUP($B$5,标准坦克设计!$B$14:$K$20,9)/30))</f>
        <v>47.185426916251217</v>
      </c>
      <c r="AI77" s="173">
        <f ca="1">(VLOOKUP(AI$72,INDIRECT($C$5&amp;"生成成长"),2))/((VLOOKUP($B77,INDIRECT($B$5&amp;"生成成长"),4))/(VLOOKUP(AI$72,INDIRECT($C$5&amp;"生成成长"),5))*(VLOOKUP($B$5,标准坦克设计!$B$24:$U$30,MATCH("对"&amp;LEFT($C$5,2)&amp;"输出",标准坦克设计!$B$23:$U$23,0)))*(VLOOKUP($B77,INDIRECT($B$5&amp;"生成成长"),3))*(VLOOKUP($B$5,标准坦克设计!$B$14:$K$20,9)/30))</f>
        <v>33.372514605553</v>
      </c>
      <c r="AJ77" s="173">
        <f ca="1">(VLOOKUP(AJ$72,INDIRECT($C$5&amp;"生成成长"),2))/((VLOOKUP($B77,INDIRECT($B$5&amp;"生成成长"),4))/(VLOOKUP(AJ$72,INDIRECT($C$5&amp;"生成成长"),5))*(VLOOKUP($B$5,标准坦克设计!$B$24:$U$30,MATCH("对"&amp;LEFT($C$5,2)&amp;"输出",标准坦克设计!$B$23:$U$23,0)))*(VLOOKUP($B77,INDIRECT($B$5&amp;"生成成长"),3))*(VLOOKUP($B$5,标准坦克设计!$B$14:$K$20,9)/30))</f>
        <v>36.528657546410763</v>
      </c>
      <c r="AK77" s="173">
        <f ca="1">(VLOOKUP(AK$72,INDIRECT($C$5&amp;"生成成长"),2))/((VLOOKUP($B77,INDIRECT($B$5&amp;"生成成长"),4))/(VLOOKUP(AK$72,INDIRECT($C$5&amp;"生成成长"),5))*(VLOOKUP($B$5,标准坦克设计!$B$24:$U$30,MATCH("对"&amp;LEFT($C$5,2)&amp;"输出",标准坦克设计!$B$23:$U$23,0)))*(VLOOKUP($B77,INDIRECT($B$5&amp;"生成成长"),3))*(VLOOKUP($B$5,标准坦克设计!$B$14:$K$20,9)/30))</f>
        <v>39.827377786444863</v>
      </c>
      <c r="AL77" s="173">
        <f ca="1">(VLOOKUP(AL$72,INDIRECT($C$5&amp;"生成成长"),2))/((VLOOKUP($B77,INDIRECT($B$5&amp;"生成成长"),4))/(VLOOKUP(AL$72,INDIRECT($C$5&amp;"生成成长"),5))*(VLOOKUP($B$5,标准坦克设计!$B$24:$U$30,MATCH("对"&amp;LEFT($C$5,2)&amp;"输出",标准坦克设计!$B$23:$U$23,0)))*(VLOOKUP($B77,INDIRECT($B$5&amp;"生成成长"),3))*(VLOOKUP($B$5,标准坦克设计!$B$14:$K$20,9)/30))</f>
        <v>43.268675325655273</v>
      </c>
      <c r="AM77" s="173">
        <f ca="1">(VLOOKUP(AM$72,INDIRECT($C$5&amp;"生成成长"),2))/((VLOOKUP($B77,INDIRECT($B$5&amp;"生成成长"),4))/(VLOOKUP(AM$72,INDIRECT($C$5&amp;"生成成长"),5))*(VLOOKUP($B$5,标准坦克设计!$B$24:$U$30,MATCH("对"&amp;LEFT($C$5,2)&amp;"输出",标准坦克设计!$B$23:$U$23,0)))*(VLOOKUP($B77,INDIRECT($B$5&amp;"生成成长"),3))*(VLOOKUP($B$5,标准坦克设计!$B$14:$K$20,9)/30))</f>
        <v>46.852550164042022</v>
      </c>
      <c r="AN77" s="173">
        <f ca="1">(VLOOKUP(AN$72,INDIRECT($C$5&amp;"生成成长"),2))/((VLOOKUP($B77,INDIRECT($B$5&amp;"生成成长"),4))/(VLOOKUP(AN$72,INDIRECT($C$5&amp;"生成成长"),5))*(VLOOKUP($B$5,标准坦克设计!$B$24:$U$30,MATCH("对"&amp;LEFT($C$5,2)&amp;"输出",标准坦克设计!$B$23:$U$23,0)))*(VLOOKUP($B77,INDIRECT($B$5&amp;"生成成长"),3))*(VLOOKUP($B$5,标准坦克设计!$B$14:$K$20,9)/30))</f>
        <v>50.579002301605101</v>
      </c>
      <c r="AO77" s="173">
        <f ca="1">(VLOOKUP(AO$72,INDIRECT($C$5&amp;"生成成长"),2))/((VLOOKUP($B77,INDIRECT($B$5&amp;"生成成长"),4))/(VLOOKUP(AO$72,INDIRECT($C$5&amp;"生成成长"),5))*(VLOOKUP($B$5,标准坦克设计!$B$24:$U$30,MATCH("对"&amp;LEFT($C$5,2)&amp;"输出",标准坦克设计!$B$23:$U$23,0)))*(VLOOKUP($B77,INDIRECT($B$5&amp;"生成成长"),3))*(VLOOKUP($B$5,标准坦克设计!$B$14:$K$20,9)/30))</f>
        <v>54.448031738344497</v>
      </c>
      <c r="AP77" s="173">
        <f ca="1">(VLOOKUP(AP$72,INDIRECT($C$5&amp;"生成成长"),2))/((VLOOKUP($B77,INDIRECT($B$5&amp;"生成成长"),4))/(VLOOKUP(AP$72,INDIRECT($C$5&amp;"生成成长"),5))*(VLOOKUP($B$5,标准坦克设计!$B$24:$U$30,MATCH("对"&amp;LEFT($C$5,2)&amp;"输出",标准坦克设计!$B$23:$U$23,0)))*(VLOOKUP($B77,INDIRECT($B$5&amp;"生成成长"),3))*(VLOOKUP($B$5,标准坦克设计!$B$14:$K$20,9)/30))</f>
        <v>58.459638474260231</v>
      </c>
      <c r="AQ77" s="173">
        <f ca="1">(VLOOKUP(AQ$72,INDIRECT($C$5&amp;"生成成长"),2))/((VLOOKUP($B77,INDIRECT($B$5&amp;"生成成长"),4))/(VLOOKUP(AQ$72,INDIRECT($C$5&amp;"生成成长"),5))*(VLOOKUP($B$5,标准坦克设计!$B$24:$U$30,MATCH("对"&amp;LEFT($C$5,2)&amp;"输出",标准坦克设计!$B$23:$U$23,0)))*(VLOOKUP($B77,INDIRECT($B$5&amp;"生成成长"),3))*(VLOOKUP($B$5,标准坦克设计!$B$14:$K$20,9)/30))</f>
        <v>62.613822509352261</v>
      </c>
      <c r="AR77" s="173">
        <f ca="1">(VLOOKUP(AR$72,INDIRECT($C$5&amp;"生成成长"),2))/((VLOOKUP($B77,INDIRECT($B$5&amp;"生成成长"),4))/(VLOOKUP(AR$72,INDIRECT($C$5&amp;"生成成长"),5))*(VLOOKUP($B$5,标准坦克设计!$B$24:$U$30,MATCH("对"&amp;LEFT($C$5,2)&amp;"输出",标准坦克设计!$B$23:$U$23,0)))*(VLOOKUP($B77,INDIRECT($B$5&amp;"生成成长"),3))*(VLOOKUP($B$5,标准坦克设计!$B$14:$K$20,9)/30))</f>
        <v>66.910583843620657</v>
      </c>
      <c r="AS77" s="173">
        <f ca="1">(VLOOKUP(AS$72,INDIRECT($C$5&amp;"生成成长"),2))/((VLOOKUP($B77,INDIRECT($B$5&amp;"生成成长"),4))/(VLOOKUP(AS$72,INDIRECT($C$5&amp;"生成成长"),5))*(VLOOKUP($B$5,标准坦克设计!$B$24:$U$30,MATCH("对"&amp;LEFT($C$5,2)&amp;"输出",标准坦克设计!$B$23:$U$23,0)))*(VLOOKUP($B77,INDIRECT($B$5&amp;"生成成长"),3))*(VLOOKUP($B$5,标准坦克设计!$B$14:$K$20,9)/30))</f>
        <v>71.349922477065363</v>
      </c>
      <c r="AT77" s="173">
        <f ca="1">(VLOOKUP(AT$72,INDIRECT($C$5&amp;"生成成长"),2))/((VLOOKUP($B77,INDIRECT($B$5&amp;"生成成长"),4))/(VLOOKUP(AT$72,INDIRECT($C$5&amp;"生成成长"),5))*(VLOOKUP($B$5,标准坦克设计!$B$24:$U$30,MATCH("对"&amp;LEFT($C$5,2)&amp;"输出",标准坦克设计!$B$23:$U$23,0)))*(VLOOKUP($B77,INDIRECT($B$5&amp;"生成成长"),3))*(VLOOKUP($B$5,标准坦克设计!$B$14:$K$20,9)/30))</f>
        <v>75.931838409686378</v>
      </c>
      <c r="AU77" s="173">
        <f ca="1">(VLOOKUP(AU$72,INDIRECT($C$5&amp;"生成成长"),2))/((VLOOKUP($B77,INDIRECT($B$5&amp;"生成成长"),4))/(VLOOKUP(AU$72,INDIRECT($C$5&amp;"生成成长"),5))*(VLOOKUP($B$5,标准坦克设计!$B$24:$U$30,MATCH("对"&amp;LEFT($C$5,2)&amp;"输出",标准坦克设计!$B$23:$U$23,0)))*(VLOOKUP($B77,INDIRECT($B$5&amp;"生成成长"),3))*(VLOOKUP($B$5,标准坦克设计!$B$14:$K$20,9)/30))</f>
        <v>80.656331641483732</v>
      </c>
      <c r="AV77" s="173">
        <f ca="1">(VLOOKUP(AV$72,INDIRECT($C$5&amp;"生成成长"),2))/((VLOOKUP($B77,INDIRECT($B$5&amp;"生成成长"),4))/(VLOOKUP(AV$72,INDIRECT($C$5&amp;"生成成长"),5))*(VLOOKUP($B$5,标准坦克设计!$B$24:$U$30,MATCH("对"&amp;LEFT($C$5,2)&amp;"输出",标准坦克设计!$B$23:$U$23,0)))*(VLOOKUP($B77,INDIRECT($B$5&amp;"生成成长"),3))*(VLOOKUP($B$5,标准坦克设计!$B$14:$K$20,9)/30))</f>
        <v>8.2034971641783763</v>
      </c>
      <c r="AW77" s="173">
        <f ca="1">(VLOOKUP(AW$72,INDIRECT($C$5&amp;"生成成长"),2))/((VLOOKUP($B77,INDIRECT($B$5&amp;"生成成长"),4))/(VLOOKUP(AW$72,INDIRECT($C$5&amp;"生成成长"),5))*(VLOOKUP($B$5,标准坦克设计!$B$24:$U$30,MATCH("对"&amp;LEFT($C$5,2)&amp;"输出",标准坦克设计!$B$23:$U$23,0)))*(VLOOKUP($B77,INDIRECT($B$5&amp;"生成成长"),3))*(VLOOKUP($B$5,标准坦克设计!$B$14:$K$20,9)/30))</f>
        <v>9.3535421558816356</v>
      </c>
      <c r="AX77" s="173">
        <f ca="1">(VLOOKUP(AX$72,INDIRECT($C$5&amp;"生成成长"),2))/((VLOOKUP($B77,INDIRECT($B$5&amp;"生成成长"),4))/(VLOOKUP(AX$72,INDIRECT($C$5&amp;"生成成长"),5))*(VLOOKUP($B$5,标准坦克设计!$B$24:$U$30,MATCH("对"&amp;LEFT($C$5,2)&amp;"输出",标准坦克设计!$B$23:$U$23,0)))*(VLOOKUP($B77,INDIRECT($B$5&amp;"生成成长"),3))*(VLOOKUP($B$5,标准坦克设计!$B$14:$K$20,9)/30))</f>
        <v>10.578999933926093</v>
      </c>
      <c r="AY77" s="173">
        <f ca="1">(VLOOKUP(AY$72,INDIRECT($C$5&amp;"生成成长"),2))/((VLOOKUP($B77,INDIRECT($B$5&amp;"生成成长"),4))/(VLOOKUP(AY$72,INDIRECT($C$5&amp;"生成成长"),5))*(VLOOKUP($B$5,标准坦克设计!$B$24:$U$30,MATCH("对"&amp;LEFT($C$5,2)&amp;"输出",标准坦克设计!$B$23:$U$23,0)))*(VLOOKUP($B77,INDIRECT($B$5&amp;"生成成长"),3))*(VLOOKUP($B$5,标准坦克设计!$B$14:$K$20,9)/30))</f>
        <v>11.87987049831175</v>
      </c>
      <c r="AZ77" s="173">
        <f ca="1">(VLOOKUP(AZ$72,INDIRECT($C$5&amp;"生成成长"),2))/((VLOOKUP($B77,INDIRECT($B$5&amp;"生成成长"),4))/(VLOOKUP(AZ$72,INDIRECT($C$5&amp;"生成成长"),5))*(VLOOKUP($B$5,标准坦克设计!$B$24:$U$30,MATCH("对"&amp;LEFT($C$5,2)&amp;"输出",标准坦克设计!$B$23:$U$23,0)))*(VLOOKUP($B77,INDIRECT($B$5&amp;"生成成长"),3))*(VLOOKUP($B$5,标准坦克设计!$B$14:$K$20,9)/30))</f>
        <v>13.256153849038602</v>
      </c>
      <c r="BA77" s="173">
        <f ca="1">(VLOOKUP(BA$72,INDIRECT($C$5&amp;"生成成长"),2))/((VLOOKUP($B77,INDIRECT($B$5&amp;"生成成长"),4))/(VLOOKUP(BA$72,INDIRECT($C$5&amp;"生成成长"),5))*(VLOOKUP($B$5,标准坦克设计!$B$24:$U$30,MATCH("对"&amp;LEFT($C$5,2)&amp;"输出",标准坦克设计!$B$23:$U$23,0)))*(VLOOKUP($B77,INDIRECT($B$5&amp;"生成成长"),3))*(VLOOKUP($B$5,标准坦克设计!$B$14:$K$20,9)/30))</f>
        <v>14.70784998610665</v>
      </c>
      <c r="BB77" s="173">
        <f ca="1">(VLOOKUP(BB$72,INDIRECT($C$5&amp;"生成成长"),2))/((VLOOKUP($B77,INDIRECT($B$5&amp;"生成成长"),4))/(VLOOKUP(BB$72,INDIRECT($C$5&amp;"生成成长"),5))*(VLOOKUP($B$5,标准坦克设计!$B$24:$U$30,MATCH("对"&amp;LEFT($C$5,2)&amp;"输出",标准坦克设计!$B$23:$U$23,0)))*(VLOOKUP($B77,INDIRECT($B$5&amp;"生成成长"),3))*(VLOOKUP($B$5,标准坦克设计!$B$14:$K$20,9)/30))</f>
        <v>16.234958909515896</v>
      </c>
      <c r="BC77" s="173">
        <f ca="1">(VLOOKUP(BC$72,INDIRECT($C$5&amp;"生成成长"),2))/((VLOOKUP($B77,INDIRECT($B$5&amp;"生成成长"),4))/(VLOOKUP(BC$72,INDIRECT($C$5&amp;"生成成长"),5))*(VLOOKUP($B$5,标准坦克设计!$B$24:$U$30,MATCH("对"&amp;LEFT($C$5,2)&amp;"输出",标准坦克设计!$B$23:$U$23,0)))*(VLOOKUP($B77,INDIRECT($B$5&amp;"生成成长"),3))*(VLOOKUP($B$5,标准坦克设计!$B$14:$K$20,9)/30))</f>
        <v>17.837480619266341</v>
      </c>
      <c r="BD77" s="173">
        <f ca="1">(VLOOKUP(BD$72,INDIRECT($C$5&amp;"生成成长"),2))/((VLOOKUP($B77,INDIRECT($B$5&amp;"生成成长"),4))/(VLOOKUP(BD$72,INDIRECT($C$5&amp;"生成成长"),5))*(VLOOKUP($B$5,标准坦克设计!$B$24:$U$30,MATCH("对"&amp;LEFT($C$5,2)&amp;"输出",标准坦克设计!$B$23:$U$23,0)))*(VLOOKUP($B77,INDIRECT($B$5&amp;"生成成长"),3))*(VLOOKUP($B$5,标准坦克设计!$B$14:$K$20,9)/30))</f>
        <v>19.73045938890905</v>
      </c>
      <c r="BE77" s="173">
        <f ca="1">(VLOOKUP(BE$72,INDIRECT($C$5&amp;"生成成长"),2))/((VLOOKUP($B77,INDIRECT($B$5&amp;"生成成长"),4))/(VLOOKUP(BE$72,INDIRECT($C$5&amp;"生成成长"),5))*(VLOOKUP($B$5,标准坦克设计!$B$24:$U$30,MATCH("对"&amp;LEFT($C$5,2)&amp;"输出",标准坦克设计!$B$23:$U$23,0)))*(VLOOKUP($B77,INDIRECT($B$5&amp;"生成成长"),3))*(VLOOKUP($B$5,标准坦克设计!$B$14:$K$20,9)/30))</f>
        <v>21.718882466264844</v>
      </c>
      <c r="BF77" s="173">
        <f ca="1">(VLOOKUP(BF$72,INDIRECT($C$5&amp;"生成成长"),2))/((VLOOKUP($B77,INDIRECT($B$5&amp;"生成成长"),4))/(VLOOKUP(BF$72,INDIRECT($C$5&amp;"生成成长"),5))*(VLOOKUP($B$5,标准坦克设计!$B$24:$U$30,MATCH("对"&amp;LEFT($C$5,2)&amp;"输出",标准坦克设计!$B$23:$U$23,0)))*(VLOOKUP($B77,INDIRECT($B$5&amp;"生成成长"),3))*(VLOOKUP($B$5,标准坦克设计!$B$14:$K$20,9)/30))</f>
        <v>23.802749851333711</v>
      </c>
      <c r="BG77" s="173">
        <f ca="1">(VLOOKUP(BG$72,INDIRECT($C$5&amp;"生成成长"),2))/((VLOOKUP($B77,INDIRECT($B$5&amp;"生成成长"),4))/(VLOOKUP(BG$72,INDIRECT($C$5&amp;"生成成长"),5))*(VLOOKUP($B$5,标准坦克设计!$B$24:$U$30,MATCH("对"&amp;LEFT($C$5,2)&amp;"输出",标准坦克设计!$B$23:$U$23,0)))*(VLOOKUP($B77,INDIRECT($B$5&amp;"生成成长"),3))*(VLOOKUP($B$5,标准坦克设计!$B$14:$K$20,9)/30))</f>
        <v>25.982061544115655</v>
      </c>
      <c r="BH77" s="173">
        <f ca="1">(VLOOKUP(BH$72,INDIRECT($C$5&amp;"生成成长"),2))/((VLOOKUP($B77,INDIRECT($B$5&amp;"生成成长"),4))/(VLOOKUP(BH$72,INDIRECT($C$5&amp;"生成成长"),5))*(VLOOKUP($B$5,标准坦克设计!$B$24:$U$30,MATCH("对"&amp;LEFT($C$5,2)&amp;"输出",标准坦克设计!$B$23:$U$23,0)))*(VLOOKUP($B77,INDIRECT($B$5&amp;"生成成长"),3))*(VLOOKUP($B$5,标准坦克设计!$B$14:$K$20,9)/30))</f>
        <v>12.558585575382523</v>
      </c>
      <c r="BI77" s="173">
        <f ca="1">(VLOOKUP(BI$72,INDIRECT($C$5&amp;"生成成长"),2))/((VLOOKUP($B77,INDIRECT($B$5&amp;"生成成长"),4))/(VLOOKUP(BI$72,INDIRECT($C$5&amp;"生成成长"),5))*(VLOOKUP($B$5,标准坦克设计!$B$24:$U$30,MATCH("对"&amp;LEFT($C$5,2)&amp;"输出",标准坦克设计!$B$23:$U$23,0)))*(VLOOKUP($B77,INDIRECT($B$5&amp;"生成成长"),3))*(VLOOKUP($B$5,标准坦克设计!$B$14:$K$20,9)/30))</f>
        <v>14.154626498806772</v>
      </c>
      <c r="BJ77" s="173">
        <f ca="1">(VLOOKUP(BJ$72,INDIRECT($C$5&amp;"生成成长"),2))/((VLOOKUP($B77,INDIRECT($B$5&amp;"生成成长"),4))/(VLOOKUP(BJ$72,INDIRECT($C$5&amp;"生成成长"),5))*(VLOOKUP($B$5,标准坦克设计!$B$24:$U$30,MATCH("对"&amp;LEFT($C$5,2)&amp;"输出",标准坦克设计!$B$23:$U$23,0)))*(VLOOKUP($B77,INDIRECT($B$5&amp;"生成成长"),3))*(VLOOKUP($B$5,标准坦克设计!$B$14:$K$20,9)/30))</f>
        <v>15.846111729944099</v>
      </c>
      <c r="BK77" s="173">
        <f ca="1">(VLOOKUP(BK$72,INDIRECT($C$5&amp;"生成成长"),2))/((VLOOKUP($B77,INDIRECT($B$5&amp;"生成成长"),4))/(VLOOKUP(BK$72,INDIRECT($C$5&amp;"生成成长"),5))*(VLOOKUP($B$5,标准坦克设计!$B$24:$U$30,MATCH("对"&amp;LEFT($C$5,2)&amp;"输出",标准坦克设计!$B$23:$U$23,0)))*(VLOOKUP($B77,INDIRECT($B$5&amp;"生成成长"),3))*(VLOOKUP($B$5,标准坦克设计!$B$14:$K$20,9)/30))</f>
        <v>17.6330412687945</v>
      </c>
      <c r="BL77" s="173">
        <f ca="1">(VLOOKUP(BL$72,INDIRECT($C$5&amp;"生成成长"),2))/((VLOOKUP($B77,INDIRECT($B$5&amp;"生成成长"),4))/(VLOOKUP(BL$72,INDIRECT($C$5&amp;"生成成长"),5))*(VLOOKUP($B$5,标准坦克设计!$B$24:$U$30,MATCH("对"&amp;LEFT($C$5,2)&amp;"输出",标准坦克设计!$B$23:$U$23,0)))*(VLOOKUP($B77,INDIRECT($B$5&amp;"生成成长"),3))*(VLOOKUP($B$5,标准坦克设计!$B$14:$K$20,9)/30))</f>
        <v>19.515415115357982</v>
      </c>
      <c r="BM77" s="173">
        <f ca="1">(VLOOKUP(BM$72,INDIRECT($C$5&amp;"生成成长"),2))/((VLOOKUP($B77,INDIRECT($B$5&amp;"生成成长"),4))/(VLOOKUP(BM$72,INDIRECT($C$5&amp;"生成成长"),5))*(VLOOKUP($B$5,标准坦克设计!$B$24:$U$30,MATCH("对"&amp;LEFT($C$5,2)&amp;"输出",标准坦克设计!$B$23:$U$23,0)))*(VLOOKUP($B77,INDIRECT($B$5&amp;"生成成长"),3))*(VLOOKUP($B$5,标准坦克设计!$B$14:$K$20,9)/30))</f>
        <v>21.493233269634541</v>
      </c>
      <c r="BN77" s="173">
        <f ca="1">(VLOOKUP(BN$72,INDIRECT($C$5&amp;"生成成长"),2))/((VLOOKUP($B77,INDIRECT($B$5&amp;"生成成长"),4))/(VLOOKUP(BN$72,INDIRECT($C$5&amp;"生成成长"),5))*(VLOOKUP($B$5,标准坦克设计!$B$24:$U$30,MATCH("对"&amp;LEFT($C$5,2)&amp;"输出",标准坦克设计!$B$23:$U$23,0)))*(VLOOKUP($B77,INDIRECT($B$5&amp;"生成成长"),3))*(VLOOKUP($B$5,标准坦克设计!$B$14:$K$20,9)/30))</f>
        <v>23.566495731624176</v>
      </c>
      <c r="BO77" s="173">
        <f ca="1">(VLOOKUP(BO$72,INDIRECT($C$5&amp;"生成成长"),2))/((VLOOKUP($B77,INDIRECT($B$5&amp;"生成成长"),4))/(VLOOKUP(BO$72,INDIRECT($C$5&amp;"生成成长"),5))*(VLOOKUP($B$5,标准坦克设计!$B$24:$U$30,MATCH("对"&amp;LEFT($C$5,2)&amp;"输出",标准坦克设计!$B$23:$U$23,0)))*(VLOOKUP($B77,INDIRECT($B$5&amp;"生成成长"),3))*(VLOOKUP($B$5,标准坦克设计!$B$14:$K$20,9)/30))</f>
        <v>25.735202501326892</v>
      </c>
      <c r="BP77" s="173">
        <f ca="1">(VLOOKUP(BP$72,INDIRECT($C$5&amp;"生成成长"),2))/((VLOOKUP($B77,INDIRECT($B$5&amp;"生成成长"),4))/(VLOOKUP(BP$72,INDIRECT($C$5&amp;"生成成长"),5))*(VLOOKUP($B$5,标准坦克设计!$B$24:$U$30,MATCH("对"&amp;LEFT($C$5,2)&amp;"输出",标准坦克设计!$B$23:$U$23,0)))*(VLOOKUP($B77,INDIRECT($B$5&amp;"生成成长"),3))*(VLOOKUP($B$5,标准坦克设计!$B$14:$K$20,9)/30))</f>
        <v>27.999353578742689</v>
      </c>
      <c r="BQ77" s="173">
        <f ca="1">(VLOOKUP(BQ$72,INDIRECT($C$5&amp;"生成成长"),2))/((VLOOKUP($B77,INDIRECT($B$5&amp;"生成成长"),4))/(VLOOKUP(BQ$72,INDIRECT($C$5&amp;"生成成长"),5))*(VLOOKUP($B$5,标准坦克设计!$B$24:$U$30,MATCH("对"&amp;LEFT($C$5,2)&amp;"输出",标准坦克设计!$B$23:$U$23,0)))*(VLOOKUP($B77,INDIRECT($B$5&amp;"生成成长"),3))*(VLOOKUP($B$5,标准坦克设计!$B$14:$K$20,9)/30))</f>
        <v>30.358948963871555</v>
      </c>
      <c r="BR77" s="173">
        <f ca="1">(VLOOKUP(BR$72,INDIRECT($C$5&amp;"生成成长"),2))/((VLOOKUP($B77,INDIRECT($B$5&amp;"生成成长"),4))/(VLOOKUP(BR$72,INDIRECT($C$5&amp;"生成成长"),5))*(VLOOKUP($B$5,标准坦克设计!$B$24:$U$30,MATCH("对"&amp;LEFT($C$5,2)&amp;"输出",标准坦克设计!$B$23:$U$23,0)))*(VLOOKUP($B77,INDIRECT($B$5&amp;"生成成长"),3))*(VLOOKUP($B$5,标准坦克设计!$B$14:$K$20,9)/30))</f>
        <v>33.092662468739952</v>
      </c>
      <c r="BS77" s="173">
        <f ca="1">(VLOOKUP(BS$72,INDIRECT($C$5&amp;"生成成长"),2))/((VLOOKUP($B77,INDIRECT($B$5&amp;"生成成长"),4))/(VLOOKUP(BS$72,INDIRECT($C$5&amp;"生成成长"),5))*(VLOOKUP($B$5,标准坦克设计!$B$24:$U$30,MATCH("对"&amp;LEFT($C$5,2)&amp;"输出",标准坦克设计!$B$23:$U$23,0)))*(VLOOKUP($B77,INDIRECT($B$5&amp;"生成成长"),3))*(VLOOKUP($B$5,标准坦克设计!$B$14:$K$20,9)/30))</f>
        <v>35.944208452266494</v>
      </c>
      <c r="BT77" s="173">
        <f ca="1">(VLOOKUP(BT$72,INDIRECT($C$5&amp;"生成成长"),2))/((VLOOKUP($B77,INDIRECT($B$5&amp;"生成成长"),4))/(VLOOKUP(BT$72,INDIRECT($C$5&amp;"生成成长"),5))*(VLOOKUP($B$5,标准坦克设计!$B$24:$U$30,MATCH("对"&amp;LEFT($C$5,2)&amp;"输出",标准坦克设计!$B$23:$U$23,0)))*(VLOOKUP($B77,INDIRECT($B$5&amp;"生成成长"),3))*(VLOOKUP($B$5,标准坦克设计!$B$14:$K$20,9)/30))</f>
        <v>38.913586914451137</v>
      </c>
      <c r="BU77" s="173">
        <f ca="1">(VLOOKUP(BU$72,INDIRECT($C$5&amp;"生成成长"),2))/((VLOOKUP($B77,INDIRECT($B$5&amp;"生成成长"),4))/(VLOOKUP(BU$72,INDIRECT($C$5&amp;"生成成长"),5))*(VLOOKUP($B$5,标准坦克设计!$B$24:$U$30,MATCH("对"&amp;LEFT($C$5,2)&amp;"输出",标准坦克设计!$B$23:$U$23,0)))*(VLOOKUP($B77,INDIRECT($B$5&amp;"生成成长"),3))*(VLOOKUP($B$5,标准坦克设计!$B$14:$K$20,9)/30))</f>
        <v>42.000797855293897</v>
      </c>
      <c r="BV77" s="173">
        <f ca="1">(VLOOKUP(BV$72,INDIRECT($C$5&amp;"生成成长"),2))/((VLOOKUP($B77,INDIRECT($B$5&amp;"生成成长"),4))/(VLOOKUP(BV$72,INDIRECT($C$5&amp;"生成成长"),5))*(VLOOKUP($B$5,标准坦克设计!$B$24:$U$30,MATCH("对"&amp;LEFT($C$5,2)&amp;"输出",标准坦克设计!$B$23:$U$23,0)))*(VLOOKUP($B77,INDIRECT($B$5&amp;"生成成长"),3))*(VLOOKUP($B$5,标准坦克设计!$B$14:$K$20,9)/30))</f>
        <v>45.205841274794786</v>
      </c>
      <c r="BW77" s="173">
        <f ca="1">(VLOOKUP(BW$72,INDIRECT($C$5&amp;"生成成长"),2))/((VLOOKUP($B77,INDIRECT($B$5&amp;"生成成长"),4))/(VLOOKUP(BW$72,INDIRECT($C$5&amp;"生成成长"),5))*(VLOOKUP($B$5,标准坦克设计!$B$24:$U$30,MATCH("对"&amp;LEFT($C$5,2)&amp;"输出",标准坦克设计!$B$23:$U$23,0)))*(VLOOKUP($B77,INDIRECT($B$5&amp;"生成成长"),3))*(VLOOKUP($B$5,标准坦克设计!$B$14:$K$20,9)/30))</f>
        <v>20.60241973097915</v>
      </c>
      <c r="BX77" s="173">
        <f ca="1">(VLOOKUP(BX$72,INDIRECT($C$5&amp;"生成成长"),2))/((VLOOKUP($B77,INDIRECT($B$5&amp;"生成成长"),4))/(VLOOKUP(BX$72,INDIRECT($C$5&amp;"生成成长"),5))*(VLOOKUP($B$5,标准坦克设计!$B$24:$U$30,MATCH("对"&amp;LEFT($C$5,2)&amp;"输出",标准坦克设计!$B$23:$U$23,0)))*(VLOOKUP($B77,INDIRECT($B$5&amp;"生成成长"),3))*(VLOOKUP($B$5,标准坦克设计!$B$14:$K$20,9)/30))</f>
        <v>22.864803321215067</v>
      </c>
      <c r="BY77" s="173">
        <f ca="1">(VLOOKUP(BY$72,INDIRECT($C$5&amp;"生成成长"),2))/((VLOOKUP($B77,INDIRECT($B$5&amp;"生成成长"),4))/(VLOOKUP(BY$72,INDIRECT($C$5&amp;"生成成长"),5))*(VLOOKUP($B$5,标准坦克设计!$B$24:$U$30,MATCH("对"&amp;LEFT($C$5,2)&amp;"输出",标准坦克设计!$B$23:$U$23,0)))*(VLOOKUP($B77,INDIRECT($B$5&amp;"生成成长"),3))*(VLOOKUP($B$5,标准坦克设计!$B$14:$K$20,9)/30))</f>
        <v>25.245019390109114</v>
      </c>
      <c r="BZ77" s="173">
        <f ca="1">(VLOOKUP(BZ$72,INDIRECT($C$5&amp;"生成成长"),2))/((VLOOKUP($B77,INDIRECT($B$5&amp;"生成成长"),4))/(VLOOKUP(BZ$72,INDIRECT($C$5&amp;"生成成长"),5))*(VLOOKUP($B$5,标准坦克设计!$B$24:$U$30,MATCH("对"&amp;LEFT($C$5,2)&amp;"输出",标准坦克设计!$B$23:$U$23,0)))*(VLOOKUP($B77,INDIRECT($B$5&amp;"生成成长"),3))*(VLOOKUP($B$5,标准坦克设计!$B$14:$K$20,9)/30))</f>
        <v>27.743067937661277</v>
      </c>
      <c r="CA77" s="173">
        <f ca="1">(VLOOKUP(CA$72,INDIRECT($C$5&amp;"生成成长"),2))/((VLOOKUP($B77,INDIRECT($B$5&amp;"生成成长"),4))/(VLOOKUP(CA$72,INDIRECT($C$5&amp;"生成成长"),5))*(VLOOKUP($B$5,标准坦克设计!$B$24:$U$30,MATCH("对"&amp;LEFT($C$5,2)&amp;"输出",标准坦克设计!$B$23:$U$23,0)))*(VLOOKUP($B77,INDIRECT($B$5&amp;"生成成长"),3))*(VLOOKUP($B$5,标准坦克设计!$B$14:$K$20,9)/30))</f>
        <v>30.358948963871555</v>
      </c>
      <c r="CB77" s="173">
        <f ca="1">(VLOOKUP(CB$72,INDIRECT($C$5&amp;"生成成长"),2))/((VLOOKUP($B77,INDIRECT($B$5&amp;"生成成长"),4))/(VLOOKUP(CB$72,INDIRECT($C$5&amp;"生成成长"),5))*(VLOOKUP($B$5,标准坦克设计!$B$24:$U$30,MATCH("对"&amp;LEFT($C$5,2)&amp;"输出",标准坦克设计!$B$23:$U$23,0)))*(VLOOKUP($B77,INDIRECT($B$5&amp;"生成成长"),3))*(VLOOKUP($B$5,标准坦克设计!$B$14:$K$20,9)/30))</f>
        <v>33.092662468739952</v>
      </c>
      <c r="CC77" s="173">
        <f ca="1">(VLOOKUP(CC$72,INDIRECT($C$5&amp;"生成成长"),2))/((VLOOKUP($B77,INDIRECT($B$5&amp;"生成成长"),4))/(VLOOKUP(CC$72,INDIRECT($C$5&amp;"生成成长"),5))*(VLOOKUP($B$5,标准坦克设计!$B$24:$U$30,MATCH("对"&amp;LEFT($C$5,2)&amp;"输出",标准坦克设计!$B$23:$U$23,0)))*(VLOOKUP($B77,INDIRECT($B$5&amp;"生成成长"),3))*(VLOOKUP($B$5,标准坦克设计!$B$14:$K$20,9)/30))</f>
        <v>35.944208452266494</v>
      </c>
      <c r="CD77" s="173">
        <f ca="1">(VLOOKUP(CD$72,INDIRECT($C$5&amp;"生成成长"),2))/((VLOOKUP($B77,INDIRECT($B$5&amp;"生成成长"),4))/(VLOOKUP(CD$72,INDIRECT($C$5&amp;"生成成长"),5))*(VLOOKUP($B$5,标准坦克设计!$B$24:$U$30,MATCH("对"&amp;LEFT($C$5,2)&amp;"输出",标准坦克设计!$B$23:$U$23,0)))*(VLOOKUP($B77,INDIRECT($B$5&amp;"生成成长"),3))*(VLOOKUP($B$5,标准坦克设计!$B$14:$K$20,9)/30))</f>
        <v>38.913586914451137</v>
      </c>
      <c r="CE77" s="173">
        <f ca="1">(VLOOKUP(CE$72,INDIRECT($C$5&amp;"生成成长"),2))/((VLOOKUP($B77,INDIRECT($B$5&amp;"生成成长"),4))/(VLOOKUP(CE$72,INDIRECT($C$5&amp;"生成成长"),5))*(VLOOKUP($B$5,标准坦克设计!$B$24:$U$30,MATCH("对"&amp;LEFT($C$5,2)&amp;"输出",标准坦克设计!$B$23:$U$23,0)))*(VLOOKUP($B77,INDIRECT($B$5&amp;"生成成长"),3))*(VLOOKUP($B$5,标准坦克设计!$B$14:$K$20,9)/30))</f>
        <v>42.000797855293897</v>
      </c>
      <c r="CF77" s="173">
        <f ca="1">(VLOOKUP(CF$72,INDIRECT($C$5&amp;"生成成长"),2))/((VLOOKUP($B77,INDIRECT($B$5&amp;"生成成长"),4))/(VLOOKUP(CF$72,INDIRECT($C$5&amp;"生成成长"),5))*(VLOOKUP($B$5,标准坦克设计!$B$24:$U$30,MATCH("对"&amp;LEFT($C$5,2)&amp;"输出",标准坦克设计!$B$23:$U$23,0)))*(VLOOKUP($B77,INDIRECT($B$5&amp;"生成成长"),3))*(VLOOKUP($B$5,标准坦克设计!$B$14:$K$20,9)/30))</f>
        <v>45.205841274794786</v>
      </c>
      <c r="CG77" s="173">
        <f ca="1">(VLOOKUP(CG$72,INDIRECT($C$5&amp;"生成成长"),2))/((VLOOKUP($B77,INDIRECT($B$5&amp;"生成成长"),4))/(VLOOKUP(CG$72,INDIRECT($C$5&amp;"生成成长"),5))*(VLOOKUP($B$5,标准坦克设计!$B$24:$U$30,MATCH("对"&amp;LEFT($C$5,2)&amp;"输出",标准坦克设计!$B$23:$U$23,0)))*(VLOOKUP($B77,INDIRECT($B$5&amp;"生成成长"),3))*(VLOOKUP($B$5,标准坦克设计!$B$14:$K$20,9)/30))</f>
        <v>48.52871717295379</v>
      </c>
      <c r="CH77" s="173">
        <f ca="1">(VLOOKUP(CH$72,INDIRECT($C$5&amp;"生成成长"),2))/((VLOOKUP($B77,INDIRECT($B$5&amp;"生成成长"),4))/(VLOOKUP(CH$72,INDIRECT($C$5&amp;"生成成长"),5))*(VLOOKUP($B$5,标准坦克设计!$B$24:$U$30,MATCH("对"&amp;LEFT($C$5,2)&amp;"输出",标准坦克设计!$B$23:$U$23,0)))*(VLOOKUP($B77,INDIRECT($B$5&amp;"生成成长"),3))*(VLOOKUP($B$5,标准坦克设计!$B$14:$K$20,9)/30))</f>
        <v>51.969425549770925</v>
      </c>
      <c r="CI77" s="173">
        <f ca="1">(VLOOKUP(CI$72,INDIRECT($C$5&amp;"生成成长"),2))/((VLOOKUP($B77,INDIRECT($B$5&amp;"生成成长"),4))/(VLOOKUP(CI$72,INDIRECT($C$5&amp;"生成成长"),5))*(VLOOKUP($B$5,标准坦克设计!$B$24:$U$30,MATCH("对"&amp;LEFT($C$5,2)&amp;"输出",标准坦克设计!$B$23:$U$23,0)))*(VLOOKUP($B77,INDIRECT($B$5&amp;"生成成长"),3))*(VLOOKUP($B$5,标准坦克设计!$B$14:$K$20,9)/30))</f>
        <v>55.890301277119903</v>
      </c>
      <c r="CJ77" s="173">
        <f ca="1">(VLOOKUP(CJ$72,INDIRECT($C$5&amp;"生成成长"),2))/((VLOOKUP($B77,INDIRECT($B$5&amp;"生成成长"),4))/(VLOOKUP(CJ$72,INDIRECT($C$5&amp;"生成成长"),5))*(VLOOKUP($B$5,标准坦克设计!$B$24:$U$30,MATCH("对"&amp;LEFT($C$5,2)&amp;"输出",标准坦克设计!$B$23:$U$23,0)))*(VLOOKUP($B77,INDIRECT($B$5&amp;"生成成长"),3))*(VLOOKUP($B$5,标准坦克设计!$B$14:$K$20,9)/30))</f>
        <v>59.953754303645205</v>
      </c>
      <c r="CK77" s="173">
        <f ca="1">(VLOOKUP(CK$72,INDIRECT($C$5&amp;"生成成长"),2))/((VLOOKUP($B77,INDIRECT($B$5&amp;"生成成长"),4))/(VLOOKUP(CK$72,INDIRECT($C$5&amp;"生成成长"),5))*(VLOOKUP($B$5,标准坦克设计!$B$24:$U$30,MATCH("对"&amp;LEFT($C$5,2)&amp;"输出",标准坦克设计!$B$23:$U$23,0)))*(VLOOKUP($B77,INDIRECT($B$5&amp;"生成成长"),3))*(VLOOKUP($B$5,标准坦克设计!$B$14:$K$20,9)/30))</f>
        <v>64.159784629346831</v>
      </c>
      <c r="CL77" s="173">
        <f ca="1">(VLOOKUP(CL$72,INDIRECT($C$5&amp;"生成成长"),2))/((VLOOKUP($B77,INDIRECT($B$5&amp;"生成成长"),4))/(VLOOKUP(CL$72,INDIRECT($C$5&amp;"生成成长"),5))*(VLOOKUP($B$5,标准坦克设计!$B$24:$U$30,MATCH("对"&amp;LEFT($C$5,2)&amp;"输出",标准坦克设计!$B$23:$U$23,0)))*(VLOOKUP($B77,INDIRECT($B$5&amp;"生成成长"),3))*(VLOOKUP($B$5,标准坦克设计!$B$14:$K$20,9)/30))</f>
        <v>68.508392254224773</v>
      </c>
      <c r="CM77" s="173">
        <f ca="1">(VLOOKUP(CM$72,INDIRECT($C$5&amp;"生成成长"),2))/((VLOOKUP($B77,INDIRECT($B$5&amp;"生成成长"),4))/(VLOOKUP(CM$72,INDIRECT($C$5&amp;"生成成长"),5))*(VLOOKUP($B$5,标准坦克设计!$B$24:$U$30,MATCH("对"&amp;LEFT($C$5,2)&amp;"输出",标准坦克设计!$B$23:$U$23,0)))*(VLOOKUP($B77,INDIRECT($B$5&amp;"生成成长"),3))*(VLOOKUP($B$5,标准坦克设计!$B$14:$K$20,9)/30))</f>
        <v>72.999577178279054</v>
      </c>
      <c r="CN77" s="173">
        <f ca="1">(VLOOKUP(CN$72,INDIRECT($C$5&amp;"生成成长"),2))/((VLOOKUP($B77,INDIRECT($B$5&amp;"生成成长"),4))/(VLOOKUP(CN$72,INDIRECT($C$5&amp;"生成成长"),5))*(VLOOKUP($B$5,标准坦克设计!$B$24:$U$30,MATCH("对"&amp;LEFT($C$5,2)&amp;"输出",标准坦克设计!$B$23:$U$23,0)))*(VLOOKUP($B77,INDIRECT($B$5&amp;"生成成长"),3))*(VLOOKUP($B$5,标准坦克设计!$B$14:$K$20,9)/30))</f>
        <v>77.633339401509659</v>
      </c>
      <c r="CO77" s="173">
        <f ca="1">(VLOOKUP(CO$72,INDIRECT($C$5&amp;"生成成长"),2))/((VLOOKUP($B77,INDIRECT($B$5&amp;"生成成长"),4))/(VLOOKUP(CO$72,INDIRECT($C$5&amp;"生成成长"),5))*(VLOOKUP($B$5,标准坦克设计!$B$24:$U$30,MATCH("对"&amp;LEFT($C$5,2)&amp;"输出",标准坦克设计!$B$23:$U$23,0)))*(VLOOKUP($B77,INDIRECT($B$5&amp;"生成成长"),3))*(VLOOKUP($B$5,标准坦克设计!$B$14:$K$20,9)/30))</f>
        <v>34.789450161416909</v>
      </c>
      <c r="CP77" s="173">
        <f ca="1">(VLOOKUP(CP$72,INDIRECT($C$5&amp;"生成成长"),2))/((VLOOKUP($B77,INDIRECT($B$5&amp;"生成成长"),4))/(VLOOKUP(CP$72,INDIRECT($C$5&amp;"生成成长"),5))*(VLOOKUP($B$5,标准坦克设计!$B$24:$U$30,MATCH("对"&amp;LEFT($C$5,2)&amp;"输出",标准坦克设计!$B$23:$U$23,0)))*(VLOOKUP($B77,INDIRECT($B$5&amp;"生成成长"),3))*(VLOOKUP($B$5,标准坦克设计!$B$14:$K$20,9)/30))</f>
        <v>38.01040096553664</v>
      </c>
      <c r="CQ77" s="173">
        <f ca="1">(VLOOKUP(CQ$72,INDIRECT($C$5&amp;"生成成长"),2))/((VLOOKUP($B77,INDIRECT($B$5&amp;"生成成长"),4))/(VLOOKUP(CQ$72,INDIRECT($C$5&amp;"生成成长"),5))*(VLOOKUP($B$5,标准坦克设计!$B$24:$U$30,MATCH("对"&amp;LEFT($C$5,2)&amp;"输出",标准坦克设计!$B$23:$U$23,0)))*(VLOOKUP($B77,INDIRECT($B$5&amp;"生成成长"),3))*(VLOOKUP($B$5,标准坦克设计!$B$14:$K$20,9)/30))</f>
        <v>41.373929068832695</v>
      </c>
      <c r="CR77" s="173">
        <f ca="1">(VLOOKUP(CR$72,INDIRECT($C$5&amp;"生成成长"),2))/((VLOOKUP($B77,INDIRECT($B$5&amp;"生成成长"),4))/(VLOOKUP(CR$72,INDIRECT($C$5&amp;"生成成长"),5))*(VLOOKUP($B$5,标准坦克设计!$B$24:$U$30,MATCH("对"&amp;LEFT($C$5,2)&amp;"输出",标准坦克设计!$B$23:$U$23,0)))*(VLOOKUP($B77,INDIRECT($B$5&amp;"生成成长"),3))*(VLOOKUP($B$5,标准坦克设计!$B$14:$K$20,9)/30))</f>
        <v>44.880034471305073</v>
      </c>
      <c r="CS77" s="173">
        <f ca="1">(VLOOKUP(CS$72,INDIRECT($C$5&amp;"生成成长"),2))/((VLOOKUP($B77,INDIRECT($B$5&amp;"生成成长"),4))/(VLOOKUP(CS$72,INDIRECT($C$5&amp;"生成成长"),5))*(VLOOKUP($B$5,标准坦克设计!$B$24:$U$30,MATCH("对"&amp;LEFT($C$5,2)&amp;"输出",标准坦克设计!$B$23:$U$23,0)))*(VLOOKUP($B77,INDIRECT($B$5&amp;"生成成长"),3))*(VLOOKUP($B$5,标准坦克设计!$B$14:$K$20,9)/30))</f>
        <v>48.52871717295379</v>
      </c>
      <c r="CT77" s="173">
        <f ca="1">(VLOOKUP(CT$72,INDIRECT($C$5&amp;"生成成长"),2))/((VLOOKUP($B77,INDIRECT($B$5&amp;"生成成长"),4))/(VLOOKUP(CT$72,INDIRECT($C$5&amp;"生成成长"),5))*(VLOOKUP($B$5,标准坦克设计!$B$24:$U$30,MATCH("对"&amp;LEFT($C$5,2)&amp;"输出",标准坦克设计!$B$23:$U$23,0)))*(VLOOKUP($B77,INDIRECT($B$5&amp;"生成成长"),3))*(VLOOKUP($B$5,标准坦克设计!$B$14:$K$20,9)/30))</f>
        <v>52.319977173778831</v>
      </c>
      <c r="CU77" s="173">
        <f ca="1">(VLOOKUP(CU$72,INDIRECT($C$5&amp;"生成成长"),2))/((VLOOKUP($B77,INDIRECT($B$5&amp;"生成成长"),4))/(VLOOKUP(CU$72,INDIRECT($C$5&amp;"生成成长"),5))*(VLOOKUP($B$5,标准坦克设计!$B$24:$U$30,MATCH("对"&amp;LEFT($C$5,2)&amp;"输出",标准坦克设计!$B$23:$U$23,0)))*(VLOOKUP($B77,INDIRECT($B$5&amp;"生成成长"),3))*(VLOOKUP($B$5,标准坦克设计!$B$14:$K$20,9)/30))</f>
        <v>56.253814473780189</v>
      </c>
      <c r="CV77" s="173">
        <f ca="1">(VLOOKUP(CV$72,INDIRECT($C$5&amp;"生成成长"),2))/((VLOOKUP($B77,INDIRECT($B$5&amp;"生成成长"),4))/(VLOOKUP(CV$72,INDIRECT($C$5&amp;"生成成长"),5))*(VLOOKUP($B$5,标准坦克设计!$B$24:$U$30,MATCH("对"&amp;LEFT($C$5,2)&amp;"输出",标准坦克设计!$B$23:$U$23,0)))*(VLOOKUP($B77,INDIRECT($B$5&amp;"生成成长"),3))*(VLOOKUP($B$5,标准坦克设计!$B$14:$K$20,9)/30))</f>
        <v>60.330229072957884</v>
      </c>
      <c r="CW77" s="173">
        <f ca="1">(VLOOKUP(CW$72,INDIRECT($C$5&amp;"生成成长"),2))/((VLOOKUP($B77,INDIRECT($B$5&amp;"生成成长"),4))/(VLOOKUP(CW$72,INDIRECT($C$5&amp;"生成成长"),5))*(VLOOKUP($B$5,标准坦克设计!$B$24:$U$30,MATCH("对"&amp;LEFT($C$5,2)&amp;"输出",标准坦克设计!$B$23:$U$23,0)))*(VLOOKUP($B77,INDIRECT($B$5&amp;"生成成长"),3))*(VLOOKUP($B$5,标准坦克设计!$B$14:$K$20,9)/30))</f>
        <v>64.549220971311911</v>
      </c>
      <c r="CX77" s="173">
        <f ca="1">(VLOOKUP(CX$72,INDIRECT($C$5&amp;"生成成长"),2))/((VLOOKUP($B77,INDIRECT($B$5&amp;"生成成长"),4))/(VLOOKUP(CX$72,INDIRECT($C$5&amp;"生成成长"),5))*(VLOOKUP($B$5,标准坦克设计!$B$24:$U$30,MATCH("对"&amp;LEFT($C$5,2)&amp;"输出",标准坦克设计!$B$23:$U$23,0)))*(VLOOKUP($B77,INDIRECT($B$5&amp;"生成成长"),3))*(VLOOKUP($B$5,标准坦克设计!$B$14:$K$20,9)/30))</f>
        <v>68.910790168842269</v>
      </c>
      <c r="CY77" s="173">
        <f ca="1">(VLOOKUP(CY$72,INDIRECT($C$5&amp;"生成成长"),2))/((VLOOKUP($B77,INDIRECT($B$5&amp;"生成成长"),4))/(VLOOKUP(CY$72,INDIRECT($C$5&amp;"生成成长"),5))*(VLOOKUP($B$5,标准坦克设计!$B$24:$U$30,MATCH("对"&amp;LEFT($C$5,2)&amp;"输出",标准坦克设计!$B$23:$U$23,0)))*(VLOOKUP($B77,INDIRECT($B$5&amp;"生成成长"),3))*(VLOOKUP($B$5,标准坦克设计!$B$14:$K$20,9)/30))</f>
        <v>73.414936665548936</v>
      </c>
      <c r="CZ77" s="173">
        <f ca="1">(VLOOKUP(CZ$72,INDIRECT($C$5&amp;"生成成长"),2))/((VLOOKUP($B77,INDIRECT($B$5&amp;"生成成长"),4))/(VLOOKUP(CZ$72,INDIRECT($C$5&amp;"生成成长"),5))*(VLOOKUP($B$5,标准坦克设计!$B$24:$U$30,MATCH("对"&amp;LEFT($C$5,2)&amp;"输出",标准坦克设计!$B$23:$U$23,0)))*(VLOOKUP($B77,INDIRECT($B$5&amp;"生成成长"),3))*(VLOOKUP($B$5,标准坦克设计!$B$14:$K$20,9)/30))</f>
        <v>78.061660461431927</v>
      </c>
      <c r="DA77" s="173">
        <f ca="1">(VLOOKUP(DA$72,INDIRECT($C$5&amp;"生成成长"),2))/((VLOOKUP($B77,INDIRECT($B$5&amp;"生成成长"),4))/(VLOOKUP(DA$72,INDIRECT($C$5&amp;"生成成长"),5))*(VLOOKUP($B$5,标准坦克设计!$B$24:$U$30,MATCH("对"&amp;LEFT($C$5,2)&amp;"输出",标准坦克设计!$B$23:$U$23,0)))*(VLOOKUP($B77,INDIRECT($B$5&amp;"生成成长"),3))*(VLOOKUP($B$5,标准坦克设计!$B$14:$K$20,9)/30))</f>
        <v>82.850961556491242</v>
      </c>
      <c r="DB77" s="173">
        <f ca="1">(VLOOKUP(DB$72,INDIRECT($C$5&amp;"生成成长"),2))/((VLOOKUP($B77,INDIRECT($B$5&amp;"生成成长"),4))/(VLOOKUP(DB$72,INDIRECT($C$5&amp;"生成成长"),5))*(VLOOKUP($B$5,标准坦克设计!$B$24:$U$30,MATCH("对"&amp;LEFT($C$5,2)&amp;"输出",标准坦克设计!$B$23:$U$23,0)))*(VLOOKUP($B77,INDIRECT($B$5&amp;"生成成长"),3))*(VLOOKUP($B$5,标准坦克设计!$B$14:$K$20,9)/30))</f>
        <v>87.782839950726895</v>
      </c>
      <c r="DC77" s="173">
        <f ca="1">(VLOOKUP(DC$72,INDIRECT($C$5&amp;"生成成长"),2))/((VLOOKUP($B77,INDIRECT($B$5&amp;"生成成长"),4))/(VLOOKUP(DC$72,INDIRECT($C$5&amp;"生成成长"),5))*(VLOOKUP($B$5,标准坦克设计!$B$24:$U$30,MATCH("对"&amp;LEFT($C$5,2)&amp;"输出",标准坦克设计!$B$23:$U$23,0)))*(VLOOKUP($B77,INDIRECT($B$5&amp;"生成成长"),3))*(VLOOKUP($B$5,标准坦克设计!$B$14:$K$20,9)/30))</f>
        <v>93.325679746804909</v>
      </c>
      <c r="DD77" s="173">
        <f ca="1">(VLOOKUP(DD$72,INDIRECT($C$5&amp;"生成成长"),2))/((VLOOKUP($B77,INDIRECT($B$5&amp;"生成成长"),4))/(VLOOKUP(DD$72,INDIRECT($C$5&amp;"生成成长"),5))*(VLOOKUP($B$5,标准坦克设计!$B$24:$U$30,MATCH("对"&amp;LEFT($C$5,2)&amp;"输出",标准坦克设计!$B$23:$U$23,0)))*(VLOOKUP($B77,INDIRECT($B$5&amp;"生成成长"),3))*(VLOOKUP($B$5,标准坦克设计!$B$14:$K$20,9)/30))</f>
        <v>99.038198312150598</v>
      </c>
      <c r="DE77" s="173">
        <f ca="1">(VLOOKUP(DE$72,INDIRECT($C$5&amp;"生成成长"),2))/((VLOOKUP($B77,INDIRECT($B$5&amp;"生成成长"),4))/(VLOOKUP(DE$72,INDIRECT($C$5&amp;"生成成长"),5))*(VLOOKUP($B$5,标准坦克设计!$B$24:$U$30,MATCH("对"&amp;LEFT($C$5,2)&amp;"输出",标准坦克设计!$B$23:$U$23,0)))*(VLOOKUP($B77,INDIRECT($B$5&amp;"生成成长"),3))*(VLOOKUP($B$5,标准坦克设计!$B$14:$K$20,9)/30))</f>
        <v>104.92039564676399</v>
      </c>
      <c r="DF77" s="173">
        <f ca="1">(VLOOKUP(DF$72,INDIRECT($C$5&amp;"生成成长"),2))/((VLOOKUP($B77,INDIRECT($B$5&amp;"生成成长"),4))/(VLOOKUP(DF$72,INDIRECT($C$5&amp;"生成成长"),5))*(VLOOKUP($B$5,标准坦克设计!$B$24:$U$30,MATCH("对"&amp;LEFT($C$5,2)&amp;"输出",标准坦克设计!$B$23:$U$23,0)))*(VLOOKUP($B77,INDIRECT($B$5&amp;"生成成长"),3))*(VLOOKUP($B$5,标准坦克设计!$B$14:$K$20,9)/30))</f>
        <v>110.97227175064511</v>
      </c>
      <c r="DG77" s="173">
        <f ca="1">(VLOOKUP(DG$72,INDIRECT($C$5&amp;"生成成长"),2))/((VLOOKUP($B77,INDIRECT($B$5&amp;"生成成长"),4))/(VLOOKUP(DG$72,INDIRECT($C$5&amp;"生成成长"),5))*(VLOOKUP($B$5,标准坦克设计!$B$24:$U$30,MATCH("对"&amp;LEFT($C$5,2)&amp;"输出",标准坦克设计!$B$23:$U$23,0)))*(VLOOKUP($B77,INDIRECT($B$5&amp;"生成成长"),3))*(VLOOKUP($B$5,标准坦克设计!$B$14:$K$20,9)/30))</f>
        <v>117.19382662379385</v>
      </c>
      <c r="DH77" s="173">
        <f ca="1">(VLOOKUP(DH$72,INDIRECT($C$5&amp;"生成成长"),2))/((VLOOKUP($B77,INDIRECT($B$5&amp;"生成成长"),4))/(VLOOKUP(DH$72,INDIRECT($C$5&amp;"生成成长"),5))*(VLOOKUP($B$5,标准坦克设计!$B$24:$U$30,MATCH("对"&amp;LEFT($C$5,2)&amp;"输出",标准坦克设计!$B$23:$U$23,0)))*(VLOOKUP($B77,INDIRECT($B$5&amp;"生成成长"),3))*(VLOOKUP($B$5,标准坦克设计!$B$14:$K$20,9)/30))</f>
        <v>123.58506026621035</v>
      </c>
      <c r="DI77" s="173">
        <f ca="1">(VLOOKUP(DI$72,INDIRECT($C$5&amp;"生成成长"),2))/((VLOOKUP($B77,INDIRECT($B$5&amp;"生成成长"),4))/(VLOOKUP(DI$72,INDIRECT($C$5&amp;"生成成长"),5))*(VLOOKUP($B$5,标准坦克设计!$B$24:$U$30,MATCH("对"&amp;LEFT($C$5,2)&amp;"输出",标准坦克设计!$B$23:$U$23,0)))*(VLOOKUP($B77,INDIRECT($B$5&amp;"生成成长"),3))*(VLOOKUP($B$5,标准坦克设计!$B$14:$K$20,9)/30))</f>
        <v>130.14597267789455</v>
      </c>
      <c r="DJ77" s="173">
        <f ca="1">(VLOOKUP(DJ$72,INDIRECT($C$5&amp;"生成成长"),2))/((VLOOKUP($B77,INDIRECT($B$5&amp;"生成成长"),4))/(VLOOKUP(DJ$72,INDIRECT($C$5&amp;"生成成长"),5))*(VLOOKUP($B$5,标准坦克设计!$B$24:$U$30,MATCH("对"&amp;LEFT($C$5,2)&amp;"输出",标准坦克设计!$B$23:$U$23,0)))*(VLOOKUP($B77,INDIRECT($B$5&amp;"生成成长"),3))*(VLOOKUP($B$5,标准坦克设计!$B$14:$K$20,9)/30))</f>
        <v>13.079994293444708</v>
      </c>
      <c r="DK77" s="173">
        <f ca="1">(VLOOKUP(DK$72,INDIRECT($C$5&amp;"生成成长"),2))/((VLOOKUP($B77,INDIRECT($B$5&amp;"生成成长"),4))/(VLOOKUP(DK$72,INDIRECT($C$5&amp;"生成成长"),5))*(VLOOKUP($B$5,标准坦克设计!$B$24:$U$30,MATCH("对"&amp;LEFT($C$5,2)&amp;"输出",标准坦克设计!$B$23:$U$23,0)))*(VLOOKUP($B77,INDIRECT($B$5&amp;"生成成长"),3))*(VLOOKUP($B$5,标准坦克设计!$B$14:$K$20,9)/30))</f>
        <v>14.70784998610665</v>
      </c>
      <c r="DL77" s="173">
        <f ca="1">(VLOOKUP(DL$72,INDIRECT($C$5&amp;"生成成长"),2))/((VLOOKUP($B77,INDIRECT($B$5&amp;"生成成长"),4))/(VLOOKUP(DL$72,INDIRECT($C$5&amp;"生成成长"),5))*(VLOOKUP($B$5,标准坦克设计!$B$24:$U$30,MATCH("对"&amp;LEFT($C$5,2)&amp;"输出",标准坦克设计!$B$23:$U$23,0)))*(VLOOKUP($B77,INDIRECT($B$5&amp;"生成成长"),3))*(VLOOKUP($B$5,标准坦克设计!$B$14:$K$20,9)/30))</f>
        <v>16.431149986481667</v>
      </c>
      <c r="DM77" s="173">
        <f ca="1">(VLOOKUP(DM$72,INDIRECT($C$5&amp;"生成成长"),2))/((VLOOKUP($B77,INDIRECT($B$5&amp;"生成成长"),4))/(VLOOKUP(DM$72,INDIRECT($C$5&amp;"生成成长"),5))*(VLOOKUP($B$5,标准坦克设计!$B$24:$U$30,MATCH("对"&amp;LEFT($C$5,2)&amp;"输出",标准坦克设计!$B$23:$U$23,0)))*(VLOOKUP($B77,INDIRECT($B$5&amp;"生成成长"),3))*(VLOOKUP($B$5,标准坦克设计!$B$14:$K$20,9)/30))</f>
        <v>18.249894294569764</v>
      </c>
      <c r="DN77" s="173">
        <f ca="1">(VLOOKUP(DN$72,INDIRECT($C$5&amp;"生成成长"),2))/((VLOOKUP($B77,INDIRECT($B$5&amp;"生成成长"),4))/(VLOOKUP(DN$72,INDIRECT($C$5&amp;"生成成长"),5))*(VLOOKUP($B$5,标准坦克设计!$B$24:$U$30,MATCH("对"&amp;LEFT($C$5,2)&amp;"输出",标准坦克设计!$B$23:$U$23,0)))*(VLOOKUP($B77,INDIRECT($B$5&amp;"生成成长"),3))*(VLOOKUP($B$5,标准坦克设计!$B$14:$K$20,9)/30))</f>
        <v>20.164082910370933</v>
      </c>
      <c r="DO77" s="173">
        <f ca="1">(VLOOKUP(DO$72,INDIRECT($C$5&amp;"生成成长"),2))/((VLOOKUP($B77,INDIRECT($B$5&amp;"生成成长"),4))/(VLOOKUP(DO$72,INDIRECT($C$5&amp;"生成成长"),5))*(VLOOKUP($B$5,标准坦克设计!$B$24:$U$30,MATCH("对"&amp;LEFT($C$5,2)&amp;"输出",标准坦克设计!$B$23:$U$23,0)))*(VLOOKUP($B77,INDIRECT($B$5&amp;"生成成长"),3))*(VLOOKUP($B$5,标准坦克设计!$B$14:$K$20,9)/30))</f>
        <v>22.173715833885193</v>
      </c>
      <c r="DP77" s="173">
        <f ca="1">(VLOOKUP(DP$72,INDIRECT($C$5&amp;"生成成长"),2))/((VLOOKUP($B77,INDIRECT($B$5&amp;"生成成长"),4))/(VLOOKUP(DP$72,INDIRECT($C$5&amp;"生成成长"),5))*(VLOOKUP($B$5,标准坦克设计!$B$24:$U$30,MATCH("对"&amp;LEFT($C$5,2)&amp;"输出",标准坦克设计!$B$23:$U$23,0)))*(VLOOKUP($B77,INDIRECT($B$5&amp;"生成成长"),3))*(VLOOKUP($B$5,标准坦克设计!$B$14:$K$20,9)/30))</f>
        <v>24.278793065112517</v>
      </c>
      <c r="DQ77" s="173">
        <f ca="1">(VLOOKUP(DQ$72,INDIRECT($C$5&amp;"生成成长"),2))/((VLOOKUP($B77,INDIRECT($B$5&amp;"生成成长"),4))/(VLOOKUP(DQ$72,INDIRECT($C$5&amp;"生成成长"),5))*(VLOOKUP($B$5,标准坦克设计!$B$24:$U$30,MATCH("对"&amp;LEFT($C$5,2)&amp;"输出",标准坦克设计!$B$23:$U$23,0)))*(VLOOKUP($B77,INDIRECT($B$5&amp;"生成成长"),3))*(VLOOKUP($B$5,标准坦克设计!$B$14:$K$20,9)/30))</f>
        <v>26.479314604052927</v>
      </c>
      <c r="DR77" s="173">
        <f ca="1">(VLOOKUP(DR$72,INDIRECT($C$5&amp;"生成成长"),2))/((VLOOKUP($B77,INDIRECT($B$5&amp;"生成成长"),4))/(VLOOKUP(DR$72,INDIRECT($C$5&amp;"生成成长"),5))*(VLOOKUP($B$5,标准坦克设计!$B$24:$U$30,MATCH("对"&amp;LEFT($C$5,2)&amp;"输出",标准坦克设计!$B$23:$U$23,0)))*(VLOOKUP($B77,INDIRECT($B$5&amp;"生成成长"),3))*(VLOOKUP($B$5,标准坦克设计!$B$14:$K$20,9)/30))</f>
        <v>28.775280450706408</v>
      </c>
      <c r="DS77" s="173">
        <f ca="1">(VLOOKUP(DS$72,INDIRECT($C$5&amp;"生成成长"),2))/((VLOOKUP($B77,INDIRECT($B$5&amp;"生成成长"),4))/(VLOOKUP(DS$72,INDIRECT($C$5&amp;"生成成长"),5))*(VLOOKUP($B$5,标准坦克设计!$B$24:$U$30,MATCH("对"&amp;LEFT($C$5,2)&amp;"输出",标准坦克设计!$B$23:$U$23,0)))*(VLOOKUP($B77,INDIRECT($B$5&amp;"生成成长"),3))*(VLOOKUP($B$5,标准坦克设计!$B$14:$K$20,9)/30))</f>
        <v>31.166690605072972</v>
      </c>
      <c r="DT77" s="173">
        <f ca="1">(VLOOKUP(DT$72,INDIRECT($C$5&amp;"生成成长"),2))/((VLOOKUP($B77,INDIRECT($B$5&amp;"生成成长"),4))/(VLOOKUP(DT$72,INDIRECT($C$5&amp;"生成成长"),5))*(VLOOKUP($B$5,标准坦克设计!$B$24:$U$30,MATCH("对"&amp;LEFT($C$5,2)&amp;"输出",标准坦克设计!$B$23:$U$23,0)))*(VLOOKUP($B77,INDIRECT($B$5&amp;"生成成长"),3))*(VLOOKUP($B$5,标准坦克设计!$B$14:$K$20,9)/30))</f>
        <v>34.219140964711599</v>
      </c>
      <c r="DU77" s="173">
        <f ca="1">(VLOOKUP(DU$72,INDIRECT($C$5&amp;"生成成长"),2))/((VLOOKUP($B77,INDIRECT($B$5&amp;"生成成长"),4))/(VLOOKUP(DU$72,INDIRECT($C$5&amp;"生成成长"),5))*(VLOOKUP($B$5,标准坦克设计!$B$24:$U$30,MATCH("对"&amp;LEFT($C$5,2)&amp;"输出",标准坦克设计!$B$23:$U$23,0)))*(VLOOKUP($B77,INDIRECT($B$5&amp;"生成成长"),3))*(VLOOKUP($B$5,标准坦克设计!$B$14:$K$20,9)/30))</f>
        <v>37.414168623526542</v>
      </c>
      <c r="DV77" s="173">
        <f ca="1">(VLOOKUP(DV$72,INDIRECT($C$5&amp;"生成成长"),2))/((VLOOKUP($B77,INDIRECT($B$5&amp;"生成成长"),4))/(VLOOKUP(DV$72,INDIRECT($C$5&amp;"生成成长"),5))*(VLOOKUP($B$5,标准坦克设计!$B$24:$U$30,MATCH("对"&amp;LEFT($C$5,2)&amp;"输出",标准坦克设计!$B$23:$U$23,0)))*(VLOOKUP($B77,INDIRECT($B$5&amp;"生成成长"),3))*(VLOOKUP($B$5,标准坦克设计!$B$14:$K$20,9)/30))</f>
        <v>40.751773581517817</v>
      </c>
      <c r="DW77" s="173">
        <f ca="1">(VLOOKUP(DW$72,INDIRECT($C$5&amp;"生成成长"),2))/((VLOOKUP($B77,INDIRECT($B$5&amp;"生成成长"),4))/(VLOOKUP(DW$72,INDIRECT($C$5&amp;"生成成长"),5))*(VLOOKUP($B$5,标准坦克设计!$B$24:$U$30,MATCH("对"&amp;LEFT($C$5,2)&amp;"输出",标准坦克设计!$B$23:$U$23,0)))*(VLOOKUP($B77,INDIRECT($B$5&amp;"生成成长"),3))*(VLOOKUP($B$5,标准坦克设计!$B$14:$K$20,9)/30))</f>
        <v>44.231955838685423</v>
      </c>
      <c r="DX77" s="173">
        <f ca="1">(VLOOKUP(DX$72,INDIRECT($C$5&amp;"生成成长"),2))/((VLOOKUP($B77,INDIRECT($B$5&amp;"生成成长"),4))/(VLOOKUP(DX$72,INDIRECT($C$5&amp;"生成成长"),5))*(VLOOKUP($B$5,标准坦克设计!$B$24:$U$30,MATCH("对"&amp;LEFT($C$5,2)&amp;"输出",标准坦克设计!$B$23:$U$23,0)))*(VLOOKUP($B77,INDIRECT($B$5&amp;"生成成长"),3))*(VLOOKUP($B$5,标准坦克设计!$B$14:$K$20,9)/30))</f>
        <v>47.854715395029352</v>
      </c>
      <c r="DY77" s="173">
        <f ca="1">(VLOOKUP(DY$72,INDIRECT($C$5&amp;"生成成长"),2))/((VLOOKUP($B77,INDIRECT($B$5&amp;"生成成长"),4))/(VLOOKUP(DY$72,INDIRECT($C$5&amp;"生成成长"),5))*(VLOOKUP($B$5,标准坦克设计!$B$24:$U$30,MATCH("对"&amp;LEFT($C$5,2)&amp;"输出",标准坦克设计!$B$23:$U$23,0)))*(VLOOKUP($B77,INDIRECT($B$5&amp;"生成成长"),3))*(VLOOKUP($B$5,标准坦克设计!$B$14:$K$20,9)/30))</f>
        <v>21.493233269634541</v>
      </c>
      <c r="DZ77" s="173">
        <f ca="1">(VLOOKUP(DZ$72,INDIRECT($C$5&amp;"生成成长"),2))/((VLOOKUP($B77,INDIRECT($B$5&amp;"生成成长"),4))/(VLOOKUP(DZ$72,INDIRECT($C$5&amp;"生成成长"),5))*(VLOOKUP($B$5,标准坦克设计!$B$24:$U$30,MATCH("对"&amp;LEFT($C$5,2)&amp;"输出",标准坦克设计!$B$23:$U$23,0)))*(VLOOKUP($B77,INDIRECT($B$5&amp;"生成成长"),3))*(VLOOKUP($B$5,标准坦克设计!$B$14:$K$20,9)/30))</f>
        <v>23.802749851333711</v>
      </c>
      <c r="EA77" s="173">
        <f ca="1">(VLOOKUP(EA$72,INDIRECT($C$5&amp;"生成成长"),2))/((VLOOKUP($B77,INDIRECT($B$5&amp;"生成成长"),4))/(VLOOKUP(EA$72,INDIRECT($C$5&amp;"生成成长"),5))*(VLOOKUP($B$5,标准坦克设计!$B$24:$U$30,MATCH("对"&amp;LEFT($C$5,2)&amp;"输出",标准坦克设计!$B$23:$U$23,0)))*(VLOOKUP($B77,INDIRECT($B$5&amp;"生成成长"),3))*(VLOOKUP($B$5,标准坦克设计!$B$14:$K$20,9)/30))</f>
        <v>26.230098911690998</v>
      </c>
      <c r="EB77" s="173">
        <f ca="1">(VLOOKUP(EB$72,INDIRECT($C$5&amp;"生成成长"),2))/((VLOOKUP($B77,INDIRECT($B$5&amp;"生成成长"),4))/(VLOOKUP(EB$72,INDIRECT($C$5&amp;"生成成长"),5))*(VLOOKUP($B$5,标准坦克设计!$B$24:$U$30,MATCH("对"&amp;LEFT($C$5,2)&amp;"输出",标准坦克设计!$B$23:$U$23,0)))*(VLOOKUP($B77,INDIRECT($B$5&amp;"生成成长"),3))*(VLOOKUP($B$5,标准坦克设计!$B$14:$K$20,9)/30))</f>
        <v>28.775280450706408</v>
      </c>
      <c r="EC77" s="173">
        <f ca="1">(VLOOKUP(EC$72,INDIRECT($C$5&amp;"生成成长"),2))/((VLOOKUP($B77,INDIRECT($B$5&amp;"生成成长"),4))/(VLOOKUP(EC$72,INDIRECT($C$5&amp;"生成成长"),5))*(VLOOKUP($B$5,标准坦克设计!$B$24:$U$30,MATCH("对"&amp;LEFT($C$5,2)&amp;"输出",标准坦克设计!$B$23:$U$23,0)))*(VLOOKUP($B77,INDIRECT($B$5&amp;"生成成长"),3))*(VLOOKUP($B$5,标准坦克设计!$B$14:$K$20,9)/30))</f>
        <v>31.43829446837994</v>
      </c>
      <c r="ED77" s="173">
        <f ca="1">(VLOOKUP(ED$72,INDIRECT($C$5&amp;"生成成长"),2))/((VLOOKUP($B77,INDIRECT($B$5&amp;"生成成长"),4))/(VLOOKUP(ED$72,INDIRECT($C$5&amp;"生成成长"),5))*(VLOOKUP($B$5,标准坦克设计!$B$24:$U$30,MATCH("对"&amp;LEFT($C$5,2)&amp;"输出",标准坦克设计!$B$23:$U$23,0)))*(VLOOKUP($B77,INDIRECT($B$5&amp;"生成成长"),3))*(VLOOKUP($B$5,标准坦克设计!$B$14:$K$20,9)/30))</f>
        <v>34.219140964711599</v>
      </c>
      <c r="EE77" s="173">
        <f ca="1">(VLOOKUP(EE$72,INDIRECT($C$5&amp;"生成成长"),2))/((VLOOKUP($B77,INDIRECT($B$5&amp;"生成成长"),4))/(VLOOKUP(EE$72,INDIRECT($C$5&amp;"生成成长"),5))*(VLOOKUP($B$5,标准坦克设计!$B$24:$U$30,MATCH("对"&amp;LEFT($C$5,2)&amp;"输出",标准坦克设计!$B$23:$U$23,0)))*(VLOOKUP($B77,INDIRECT($B$5&amp;"生成成长"),3))*(VLOOKUP($B$5,标准坦克设计!$B$14:$K$20,9)/30))</f>
        <v>37.11781993970137</v>
      </c>
      <c r="EF77" s="173">
        <f ca="1">(VLOOKUP(EF$72,INDIRECT($C$5&amp;"生成成长"),2))/((VLOOKUP($B77,INDIRECT($B$5&amp;"生成成长"),4))/(VLOOKUP(EF$72,INDIRECT($C$5&amp;"生成成长"),5))*(VLOOKUP($B$5,标准坦克设计!$B$24:$U$30,MATCH("对"&amp;LEFT($C$5,2)&amp;"输出",标准坦克设计!$B$23:$U$23,0)))*(VLOOKUP($B77,INDIRECT($B$5&amp;"生成成长"),3))*(VLOOKUP($B$5,标准坦克设计!$B$14:$K$20,9)/30))</f>
        <v>40.134331393349264</v>
      </c>
      <c r="EG77" s="173">
        <f ca="1">(VLOOKUP(EG$72,INDIRECT($C$5&amp;"生成成长"),2))/((VLOOKUP($B77,INDIRECT($B$5&amp;"生成成长"),4))/(VLOOKUP(EG$72,INDIRECT($C$5&amp;"生成成长"),5))*(VLOOKUP($B$5,标准坦克设计!$B$24:$U$30,MATCH("对"&amp;LEFT($C$5,2)&amp;"输出",标准坦克设计!$B$23:$U$23,0)))*(VLOOKUP($B77,INDIRECT($B$5&amp;"生成成长"),3))*(VLOOKUP($B$5,标准坦克设计!$B$14:$K$20,9)/30))</f>
        <v>43.268675325655273</v>
      </c>
      <c r="EH77" s="173">
        <f ca="1">(VLOOKUP(EH$72,INDIRECT($C$5&amp;"生成成长"),2))/((VLOOKUP($B77,INDIRECT($B$5&amp;"生成成长"),4))/(VLOOKUP(EH$72,INDIRECT($C$5&amp;"生成成长"),5))*(VLOOKUP($B$5,标准坦克设计!$B$24:$U$30,MATCH("对"&amp;LEFT($C$5,2)&amp;"输出",标准坦克设计!$B$23:$U$23,0)))*(VLOOKUP($B77,INDIRECT($B$5&amp;"生成成长"),3))*(VLOOKUP($B$5,标准坦克设计!$B$14:$K$20,9)/30))</f>
        <v>46.52085173661942</v>
      </c>
      <c r="EI77" s="173">
        <f ca="1">(VLOOKUP(EI$72,INDIRECT($C$5&amp;"生成成长"),2))/((VLOOKUP($B77,INDIRECT($B$5&amp;"生成成长"),4))/(VLOOKUP(EI$72,INDIRECT($C$5&amp;"生成成长"),5))*(VLOOKUP($B$5,标准坦克设计!$B$24:$U$30,MATCH("对"&amp;LEFT($C$5,2)&amp;"输出",标准坦克设计!$B$23:$U$23,0)))*(VLOOKUP($B77,INDIRECT($B$5&amp;"生成成长"),3))*(VLOOKUP($B$5,标准坦克设计!$B$14:$K$20,9)/30))</f>
        <v>49.890860626241675</v>
      </c>
      <c r="EJ77" s="173">
        <f ca="1">(VLOOKUP(EJ$72,INDIRECT($C$5&amp;"生成成长"),2))/((VLOOKUP($B77,INDIRECT($B$5&amp;"生成成长"),4))/(VLOOKUP(EJ$72,INDIRECT($C$5&amp;"生成成长"),5))*(VLOOKUP($B$5,标准坦克设计!$B$24:$U$30,MATCH("对"&amp;LEFT($C$5,2)&amp;"输出",标准坦克设计!$B$23:$U$23,0)))*(VLOOKUP($B77,INDIRECT($B$5&amp;"生成成长"),3))*(VLOOKUP($B$5,标准坦克设计!$B$14:$K$20,9)/30))</f>
        <v>53.378701994522054</v>
      </c>
      <c r="EK77" s="173">
        <f ca="1">(VLOOKUP(EK$72,INDIRECT($C$5&amp;"生成成长"),2))/((VLOOKUP($B77,INDIRECT($B$5&amp;"生成成长"),4))/(VLOOKUP(EK$72,INDIRECT($C$5&amp;"生成成长"),5))*(VLOOKUP($B$5,标准坦克设计!$B$24:$U$30,MATCH("对"&amp;LEFT($C$5,2)&amp;"输出",标准坦克设计!$B$23:$U$23,0)))*(VLOOKUP($B77,INDIRECT($B$5&amp;"生成成长"),3))*(VLOOKUP($B$5,标准坦克设计!$B$14:$K$20,9)/30))</f>
        <v>57.719650508287224</v>
      </c>
      <c r="EL77" s="173">
        <f ca="1">(VLOOKUP(EL$72,INDIRECT($C$5&amp;"生成成长"),2))/((VLOOKUP($B77,INDIRECT($B$5&amp;"生成成长"),4))/(VLOOKUP(EL$72,INDIRECT($C$5&amp;"生成成长"),5))*(VLOOKUP($B$5,标准坦克设计!$B$24:$U$30,MATCH("对"&amp;LEFT($C$5,2)&amp;"输出",标准坦克设计!$B$23:$U$23,0)))*(VLOOKUP($B77,INDIRECT($B$5&amp;"生成成长"),3))*(VLOOKUP($B$5,标准坦克设计!$B$14:$K$20,9)/30))</f>
        <v>62.230277791320084</v>
      </c>
      <c r="EM77" s="173">
        <f ca="1">(VLOOKUP(EM$72,INDIRECT($C$5&amp;"生成成长"),2))/((VLOOKUP($B77,INDIRECT($B$5&amp;"生成成长"),4))/(VLOOKUP(EM$72,INDIRECT($C$5&amp;"生成成长"),5))*(VLOOKUP($B$5,标准坦克设计!$B$24:$U$30,MATCH("对"&amp;LEFT($C$5,2)&amp;"输出",标准坦克设计!$B$23:$U$23,0)))*(VLOOKUP($B77,INDIRECT($B$5&amp;"生成成长"),3))*(VLOOKUP($B$5,标准坦克设计!$B$14:$K$20,9)/30))</f>
        <v>66.910583843620657</v>
      </c>
      <c r="EN77" s="173">
        <f ca="1">(VLOOKUP(EN$72,INDIRECT($C$5&amp;"生成成长"),2))/((VLOOKUP($B77,INDIRECT($B$5&amp;"生成成长"),4))/(VLOOKUP(EN$72,INDIRECT($C$5&amp;"生成成长"),5))*(VLOOKUP($B$5,标准坦克设计!$B$24:$U$30,MATCH("对"&amp;LEFT($C$5,2)&amp;"输出",标准坦克设计!$B$23:$U$23,0)))*(VLOOKUP($B77,INDIRECT($B$5&amp;"生成成长"),3))*(VLOOKUP($B$5,标准坦克设计!$B$14:$K$20,9)/30))</f>
        <v>71.760568665188913</v>
      </c>
      <c r="EO77" s="173">
        <f ca="1">(VLOOKUP(EO$72,INDIRECT($C$5&amp;"生成成长"),2))/((VLOOKUP($B77,INDIRECT($B$5&amp;"生成成长"),4))/(VLOOKUP(EO$72,INDIRECT($C$5&amp;"生成成长"),5))*(VLOOKUP($B$5,标准坦克设计!$B$24:$U$30,MATCH("对"&amp;LEFT($C$5,2)&amp;"输出",标准坦克设计!$B$23:$U$23,0)))*(VLOOKUP($B77,INDIRECT($B$5&amp;"生成成长"),3))*(VLOOKUP($B$5,标准坦克设计!$B$14:$K$20,9)/30))</f>
        <v>76.78023225602486</v>
      </c>
      <c r="EP77" s="173">
        <f ca="1">(VLOOKUP(EP$72,INDIRECT($C$5&amp;"生成成长"),2))/((VLOOKUP($B77,INDIRECT($B$5&amp;"生成成长"),4))/(VLOOKUP(EP$72,INDIRECT($C$5&amp;"生成成长"),5))*(VLOOKUP($B$5,标准坦克设计!$B$24:$U$30,MATCH("对"&amp;LEFT($C$5,2)&amp;"输出",标准坦克设计!$B$23:$U$23,0)))*(VLOOKUP($B77,INDIRECT($B$5&amp;"生成成长"),3))*(VLOOKUP($B$5,标准坦克设计!$B$14:$K$20,9)/30))</f>
        <v>81.969574616128511</v>
      </c>
      <c r="EQ77" s="173">
        <f ca="1">(VLOOKUP(EQ$72,INDIRECT($C$5&amp;"生成成长"),2))/((VLOOKUP($B77,INDIRECT($B$5&amp;"生成成长"),4))/(VLOOKUP(EQ$72,INDIRECT($C$5&amp;"生成成长"),5))*(VLOOKUP($B$5,标准坦克设计!$B$24:$U$30,MATCH("对"&amp;LEFT($C$5,2)&amp;"输出",标准坦克设计!$B$23:$U$23,0)))*(VLOOKUP($B77,INDIRECT($B$5&amp;"生成成长"),3))*(VLOOKUP($B$5,标准坦克设计!$B$14:$K$20,9)/30))</f>
        <v>36.235843836945342</v>
      </c>
      <c r="ER77" s="173">
        <f ca="1">(VLOOKUP(ER$72,INDIRECT($C$5&amp;"生成成长"),2))/((VLOOKUP($B77,INDIRECT($B$5&amp;"生成成长"),4))/(VLOOKUP(ER$72,INDIRECT($C$5&amp;"生成成长"),5))*(VLOOKUP($B$5,标准坦克设计!$B$24:$U$30,MATCH("对"&amp;LEFT($C$5,2)&amp;"输出",标准坦克设计!$B$23:$U$23,0)))*(VLOOKUP($B77,INDIRECT($B$5&amp;"生成成长"),3))*(VLOOKUP($B$5,标准坦克设计!$B$14:$K$20,9)/30))</f>
        <v>39.521602504327035</v>
      </c>
      <c r="ES77" s="173">
        <f ca="1">(VLOOKUP(ES$72,INDIRECT($C$5&amp;"生成成长"),2))/((VLOOKUP($B77,INDIRECT($B$5&amp;"生成成长"),4))/(VLOOKUP(ES$72,INDIRECT($C$5&amp;"生成成长"),5))*(VLOOKUP($B$5,标准坦克设计!$B$24:$U$30,MATCH("对"&amp;LEFT($C$5,2)&amp;"输出",标准坦克设计!$B$23:$U$23,0)))*(VLOOKUP($B77,INDIRECT($B$5&amp;"生成成长"),3))*(VLOOKUP($B$5,标准坦克设计!$B$14:$K$20,9)/30))</f>
        <v>42.949938470885058</v>
      </c>
      <c r="ET77" s="173">
        <f ca="1">(VLOOKUP(ET$72,INDIRECT($C$5&amp;"生成成长"),2))/((VLOOKUP($B77,INDIRECT($B$5&amp;"生成成长"),4))/(VLOOKUP(ET$72,INDIRECT($C$5&amp;"生成成长"),5))*(VLOOKUP($B$5,标准坦克设计!$B$24:$U$30,MATCH("对"&amp;LEFT($C$5,2)&amp;"输出",标准坦克设计!$B$23:$U$23,0)))*(VLOOKUP($B77,INDIRECT($B$5&amp;"生成成长"),3))*(VLOOKUP($B$5,标准坦克设计!$B$14:$K$20,9)/30))</f>
        <v>46.52085173661942</v>
      </c>
      <c r="EU77" s="173">
        <f ca="1">(VLOOKUP(EU$72,INDIRECT($C$5&amp;"生成成长"),2))/((VLOOKUP($B77,INDIRECT($B$5&amp;"生成成长"),4))/(VLOOKUP(EU$72,INDIRECT($C$5&amp;"生成成长"),5))*(VLOOKUP($B$5,标准坦克设计!$B$24:$U$30,MATCH("对"&amp;LEFT($C$5,2)&amp;"输出",标准坦克设计!$B$23:$U$23,0)))*(VLOOKUP($B77,INDIRECT($B$5&amp;"生成成长"),3))*(VLOOKUP($B$5,标准坦克设计!$B$14:$K$20,9)/30))</f>
        <v>50.234342301530091</v>
      </c>
      <c r="EV77" s="173">
        <f ca="1">(VLOOKUP(EV$72,INDIRECT($C$5&amp;"生成成长"),2))/((VLOOKUP($B77,INDIRECT($B$5&amp;"生成成长"),4))/(VLOOKUP(EV$72,INDIRECT($C$5&amp;"生成成长"),5))*(VLOOKUP($B$5,标准坦克设计!$B$24:$U$30,MATCH("对"&amp;LEFT($C$5,2)&amp;"输出",标准坦克设计!$B$23:$U$23,0)))*(VLOOKUP($B77,INDIRECT($B$5&amp;"生成成长"),3))*(VLOOKUP($B$5,标准坦克设计!$B$14:$K$20,9)/30))</f>
        <v>54.090410165617101</v>
      </c>
      <c r="EW77" s="173">
        <f ca="1">(VLOOKUP(EW$72,INDIRECT($C$5&amp;"生成成长"),2))/((VLOOKUP($B77,INDIRECT($B$5&amp;"生成成长"),4))/(VLOOKUP(EW$72,INDIRECT($C$5&amp;"生成成长"),5))*(VLOOKUP($B$5,标准坦克设计!$B$24:$U$30,MATCH("对"&amp;LEFT($C$5,2)&amp;"输出",标准坦克设计!$B$23:$U$23,0)))*(VLOOKUP($B77,INDIRECT($B$5&amp;"生成成长"),3))*(VLOOKUP($B$5,标准坦克设计!$B$14:$K$20,9)/30))</f>
        <v>58.089055328880434</v>
      </c>
      <c r="EX77" s="173">
        <f ca="1">(VLOOKUP(EX$72,INDIRECT($C$5&amp;"生成成长"),2))/((VLOOKUP($B77,INDIRECT($B$5&amp;"生成成长"),4))/(VLOOKUP(EX$72,INDIRECT($C$5&amp;"生成成长"),5))*(VLOOKUP($B$5,标准坦克设计!$B$24:$U$30,MATCH("对"&amp;LEFT($C$5,2)&amp;"输出",标准坦克设计!$B$23:$U$23,0)))*(VLOOKUP($B77,INDIRECT($B$5&amp;"生成成长"),3))*(VLOOKUP($B$5,标准坦克设计!$B$14:$K$20,9)/30))</f>
        <v>62.230277791320084</v>
      </c>
      <c r="EY77" s="173">
        <f ca="1">(VLOOKUP(EY$72,INDIRECT($C$5&amp;"生成成长"),2))/((VLOOKUP($B77,INDIRECT($B$5&amp;"生成成长"),4))/(VLOOKUP(EY$72,INDIRECT($C$5&amp;"生成成长"),5))*(VLOOKUP($B$5,标准坦克设计!$B$24:$U$30,MATCH("对"&amp;LEFT($C$5,2)&amp;"输出",标准坦克设计!$B$23:$U$23,0)))*(VLOOKUP($B77,INDIRECT($B$5&amp;"生成成长"),3))*(VLOOKUP($B$5,标准坦克设计!$B$14:$K$20,9)/30))</f>
        <v>66.514077552936072</v>
      </c>
      <c r="EZ77" s="173">
        <f ca="1">(VLOOKUP(EZ$72,INDIRECT($C$5&amp;"生成成长"),2))/((VLOOKUP($B77,INDIRECT($B$5&amp;"生成成长"),4))/(VLOOKUP(EZ$72,INDIRECT($C$5&amp;"生成成长"),5))*(VLOOKUP($B$5,标准坦克设计!$B$24:$U$30,MATCH("对"&amp;LEFT($C$5,2)&amp;"输出",标准坦克设计!$B$23:$U$23,0)))*(VLOOKUP($B77,INDIRECT($B$5&amp;"生成成长"),3))*(VLOOKUP($B$5,标准坦克设计!$B$14:$K$20,9)/30))</f>
        <v>70.940454613728392</v>
      </c>
      <c r="FA77" s="173">
        <f ca="1">(VLOOKUP(FA$72,INDIRECT($C$5&amp;"生成成长"),2))/((VLOOKUP($B77,INDIRECT($B$5&amp;"生成成长"),4))/(VLOOKUP(FA$72,INDIRECT($C$5&amp;"生成成长"),5))*(VLOOKUP($B$5,标准坦克设计!$B$24:$U$30,MATCH("对"&amp;LEFT($C$5,2)&amp;"输出",标准坦克设计!$B$23:$U$23,0)))*(VLOOKUP($B77,INDIRECT($B$5&amp;"生成成长"),3))*(VLOOKUP($B$5,标准坦克设计!$B$14:$K$20,9)/30))</f>
        <v>75.50940897369702</v>
      </c>
      <c r="FB77" s="173">
        <f ca="1">(VLOOKUP(FB$72,INDIRECT($C$5&amp;"生成成长"),2))/((VLOOKUP($B77,INDIRECT($B$5&amp;"生成成长"),4))/(VLOOKUP(FB$72,INDIRECT($C$5&amp;"生成成长"),5))*(VLOOKUP($B$5,标准坦克设计!$B$24:$U$30,MATCH("对"&amp;LEFT($C$5,2)&amp;"输出",标准坦克设计!$B$23:$U$23,0)))*(VLOOKUP($B77,INDIRECT($B$5&amp;"生成成长"),3))*(VLOOKUP($B$5,标准坦克设计!$B$14:$K$20,9)/30))</f>
        <v>80.220940632841987</v>
      </c>
      <c r="FC77" s="173">
        <f ca="1">(VLOOKUP(FC$72,INDIRECT($C$5&amp;"生成成长"),2))/((VLOOKUP($B77,INDIRECT($B$5&amp;"生成成长"),4))/(VLOOKUP(FC$72,INDIRECT($C$5&amp;"生成成长"),5))*(VLOOKUP($B$5,标准坦克设计!$B$24:$U$30,MATCH("对"&amp;LEFT($C$5,2)&amp;"输出",标准坦克设计!$B$23:$U$23,0)))*(VLOOKUP($B77,INDIRECT($B$5&amp;"生成成长"),3))*(VLOOKUP($B$5,标准坦克设计!$B$14:$K$20,9)/30))</f>
        <v>85.075049591163278</v>
      </c>
      <c r="FD77" s="173">
        <f ca="1">(VLOOKUP(FD$72,INDIRECT($C$5&amp;"生成成长"),2))/((VLOOKUP($B77,INDIRECT($B$5&amp;"生成成长"),4))/(VLOOKUP(FD$72,INDIRECT($C$5&amp;"生成成长"),5))*(VLOOKUP($B$5,标准坦克设计!$B$24:$U$30,MATCH("对"&amp;LEFT($C$5,2)&amp;"输出",标准坦克设计!$B$23:$U$23,0)))*(VLOOKUP($B77,INDIRECT($B$5&amp;"生成成长"),3))*(VLOOKUP($B$5,标准坦克设计!$B$14:$K$20,9)/30))</f>
        <v>90.071735848660893</v>
      </c>
      <c r="FE77" s="173">
        <f ca="1">(VLOOKUP(FE$72,INDIRECT($C$5&amp;"生成成长"),2))/((VLOOKUP($B77,INDIRECT($B$5&amp;"生成成长"),4))/(VLOOKUP(FE$72,INDIRECT($C$5&amp;"生成成长"),5))*(VLOOKUP($B$5,标准坦克设计!$B$24:$U$30,MATCH("对"&amp;LEFT($C$5,2)&amp;"输出",标准坦克设计!$B$23:$U$23,0)))*(VLOOKUP($B77,INDIRECT($B$5&amp;"生成成长"),3))*(VLOOKUP($B$5,标准坦克设计!$B$14:$K$20,9)/30))</f>
        <v>96.160729183319305</v>
      </c>
      <c r="FF77" s="173">
        <f ca="1">(VLOOKUP(FF$72,INDIRECT($C$5&amp;"生成成长"),2))/((VLOOKUP($B77,INDIRECT($B$5&amp;"生成成长"),4))/(VLOOKUP(FF$72,INDIRECT($C$5&amp;"生成成长"),5))*(VLOOKUP($B$5,标准坦克设计!$B$24:$U$30,MATCH("对"&amp;LEFT($C$5,2)&amp;"输出",标准坦克设计!$B$23:$U$23,0)))*(VLOOKUP($B77,INDIRECT($B$5&amp;"生成成长"),3))*(VLOOKUP($B$5,标准坦克设计!$B$14:$K$20,9)/30))</f>
        <v>102.4488594069099</v>
      </c>
      <c r="FG77" s="173">
        <f ca="1">(VLOOKUP(FG$72,INDIRECT($C$5&amp;"生成成长"),2))/((VLOOKUP($B77,INDIRECT($B$5&amp;"生成成长"),4))/(VLOOKUP(FG$72,INDIRECT($C$5&amp;"生成成长"),5))*(VLOOKUP($B$5,标准坦克设计!$B$24:$U$30,MATCH("对"&amp;LEFT($C$5,2)&amp;"输出",标准坦克设计!$B$23:$U$23,0)))*(VLOOKUP($B77,INDIRECT($B$5&amp;"生成成长"),3))*(VLOOKUP($B$5,标准坦克设计!$B$14:$K$20,9)/30))</f>
        <v>108.93612651943275</v>
      </c>
      <c r="FH77" s="173">
        <f ca="1">(VLOOKUP(FH$72,INDIRECT($C$5&amp;"生成成长"),2))/((VLOOKUP($B77,INDIRECT($B$5&amp;"生成成长"),4))/(VLOOKUP(FH$72,INDIRECT($C$5&amp;"生成成长"),5))*(VLOOKUP($B$5,标准坦克设计!$B$24:$U$30,MATCH("对"&amp;LEFT($C$5,2)&amp;"输出",标准坦克设计!$B$23:$U$23,0)))*(VLOOKUP($B77,INDIRECT($B$5&amp;"生成成长"),3))*(VLOOKUP($B$5,标准坦克设计!$B$14:$K$20,9)/30))</f>
        <v>115.62253052088782</v>
      </c>
      <c r="FI77" s="173">
        <f ca="1">(VLOOKUP(FI$72,INDIRECT($C$5&amp;"生成成长"),2))/((VLOOKUP($B77,INDIRECT($B$5&amp;"生成成长"),4))/(VLOOKUP(FI$72,INDIRECT($C$5&amp;"生成成长"),5))*(VLOOKUP($B$5,标准坦克设计!$B$24:$U$30,MATCH("对"&amp;LEFT($C$5,2)&amp;"输出",标准坦克设计!$B$23:$U$23,0)))*(VLOOKUP($B77,INDIRECT($B$5&amp;"生成成长"),3))*(VLOOKUP($B$5,标准坦克设计!$B$14:$K$20,9)/30))</f>
        <v>122.50807141127513</v>
      </c>
      <c r="FJ77" s="173">
        <f ca="1">(VLOOKUP(FJ$72,INDIRECT($C$5&amp;"生成成长"),2))/((VLOOKUP($B77,INDIRECT($B$5&amp;"生成成长"),4))/(VLOOKUP(FJ$72,INDIRECT($C$5&amp;"生成成长"),5))*(VLOOKUP($B$5,标准坦克设计!$B$24:$U$30,MATCH("对"&amp;LEFT($C$5,2)&amp;"输出",标准坦克设计!$B$23:$U$23,0)))*(VLOOKUP($B77,INDIRECT($B$5&amp;"生成成长"),3))*(VLOOKUP($B$5,标准坦克设计!$B$14:$K$20,9)/30))</f>
        <v>129.59274919059462</v>
      </c>
      <c r="FK77" s="173">
        <f ca="1">(VLOOKUP(FK$72,INDIRECT($C$5&amp;"生成成长"),2))/((VLOOKUP($B77,INDIRECT($B$5&amp;"生成成长"),4))/(VLOOKUP(FK$72,INDIRECT($C$5&amp;"生成成长"),5))*(VLOOKUP($B$5,标准坦克设计!$B$24:$U$30,MATCH("对"&amp;LEFT($C$5,2)&amp;"输出",标准坦克设计!$B$23:$U$23,0)))*(VLOOKUP($B77,INDIRECT($B$5&amp;"生成成长"),3))*(VLOOKUP($B$5,标准坦克设计!$B$14:$K$20,9)/30))</f>
        <v>136.8765638588464</v>
      </c>
    </row>
    <row r="78" spans="1:167" x14ac:dyDescent="0.15">
      <c r="A78" s="171" t="str">
        <f t="shared" si="11"/>
        <v>T2低品质1级</v>
      </c>
      <c r="B78" s="172">
        <v>10201</v>
      </c>
      <c r="C78" s="173">
        <f ca="1">(VLOOKUP(C$72,INDIRECT($C$5&amp;"生成成长"),2))/((VLOOKUP($B78,INDIRECT($B$5&amp;"生成成长"),4))/(VLOOKUP(C$72,INDIRECT($C$5&amp;"生成成长"),5))*(VLOOKUP($B$5,标准坦克设计!$B$24:$U$30,MATCH("对"&amp;LEFT($C$5,2)&amp;"输出",标准坦克设计!$B$23:$U$23,0)))*(VLOOKUP($B78,INDIRECT($B$5&amp;"生成成长"),3))*(VLOOKUP($B$5,标准坦克设计!$B$14:$K$20,9)/30))</f>
        <v>6.7771341267198846</v>
      </c>
      <c r="D78" s="173">
        <f ca="1">(VLOOKUP(D$72,INDIRECT($C$5&amp;"生成成长"),2))/((VLOOKUP($B78,INDIRECT($B$5&amp;"生成成长"),4))/(VLOOKUP(D$72,INDIRECT($C$5&amp;"生成成长"),5))*(VLOOKUP($B$5,标准坦克设计!$B$24:$U$30,MATCH("对"&amp;LEFT($C$5,2)&amp;"输出",标准坦克设计!$B$23:$U$23,0)))*(VLOOKUP($B78,INDIRECT($B$5&amp;"生成成长"),3))*(VLOOKUP($B$5,标准坦克设计!$B$14:$K$20,9)/30))</f>
        <v>7.6147879047824611</v>
      </c>
      <c r="E78" s="173">
        <f ca="1">(VLOOKUP(E$72,INDIRECT($C$5&amp;"生成成长"),2))/((VLOOKUP($B78,INDIRECT($B$5&amp;"生成成长"),4))/(VLOOKUP(E$72,INDIRECT($C$5&amp;"生成成长"),5))*(VLOOKUP($B$5,标准坦克设计!$B$24:$U$30,MATCH("对"&amp;LEFT($C$5,2)&amp;"输出",标准坦克设计!$B$23:$U$23,0)))*(VLOOKUP($B78,INDIRECT($B$5&amp;"生成成长"),3))*(VLOOKUP($B$5,标准坦克设计!$B$14:$K$20,9)/30))</f>
        <v>8.5012370485574209</v>
      </c>
      <c r="F78" s="173">
        <f ca="1">(VLOOKUP(F$72,INDIRECT($C$5&amp;"生成成长"),2))/((VLOOKUP($B78,INDIRECT($B$5&amp;"生成成长"),4))/(VLOOKUP(F$72,INDIRECT($C$5&amp;"生成成长"),5))*(VLOOKUP($B$5,标准坦克设计!$B$24:$U$30,MATCH("对"&amp;LEFT($C$5,2)&amp;"输出",标准坦克设计!$B$23:$U$23,0)))*(VLOOKUP($B78,INDIRECT($B$5&amp;"生成成长"),3))*(VLOOKUP($B$5,标准坦克设计!$B$14:$K$20,9)/30))</f>
        <v>9.4364815580447647</v>
      </c>
      <c r="G78" s="173">
        <f ca="1">(VLOOKUP(G$72,INDIRECT($C$5&amp;"生成成长"),2))/((VLOOKUP($B78,INDIRECT($B$5&amp;"生成成长"),4))/(VLOOKUP(G$72,INDIRECT($C$5&amp;"生成成长"),5))*(VLOOKUP($B$5,标准坦克设计!$B$24:$U$30,MATCH("对"&amp;LEFT($C$5,2)&amp;"输出",标准坦克设计!$B$23:$U$23,0)))*(VLOOKUP($B78,INDIRECT($B$5&amp;"生成成长"),3))*(VLOOKUP($B$5,标准坦克设计!$B$14:$K$20,9)/30))</f>
        <v>10.420521433244492</v>
      </c>
      <c r="H78" s="173">
        <f ca="1">(VLOOKUP(H$72,INDIRECT($C$5&amp;"生成成长"),2))/((VLOOKUP($B78,INDIRECT($B$5&amp;"生成成长"),4))/(VLOOKUP(H$72,INDIRECT($C$5&amp;"生成成长"),5))*(VLOOKUP($B$5,标准坦克设计!$B$24:$U$30,MATCH("对"&amp;LEFT($C$5,2)&amp;"输出",标准坦克设计!$B$23:$U$23,0)))*(VLOOKUP($B78,INDIRECT($B$5&amp;"生成成长"),3))*(VLOOKUP($B$5,标准坦克设计!$B$14:$K$20,9)/30))</f>
        <v>9.1193116809142758</v>
      </c>
      <c r="I78" s="173">
        <f ca="1">(VLOOKUP(I$72,INDIRECT($C$5&amp;"生成成长"),2))/((VLOOKUP($B78,INDIRECT($B$5&amp;"生成成长"),4))/(VLOOKUP(I$72,INDIRECT($C$5&amp;"生成成长"),5))*(VLOOKUP($B$5,标准坦克设计!$B$24:$U$30,MATCH("对"&amp;LEFT($C$5,2)&amp;"输出",标准坦克设计!$B$23:$U$23,0)))*(VLOOKUP($B78,INDIRECT($B$5&amp;"生成成长"),3))*(VLOOKUP($B$5,标准坦克设计!$B$14:$K$20,9)/30))</f>
        <v>10.420521433244492</v>
      </c>
      <c r="J78" s="173">
        <f ca="1">(VLOOKUP(J$72,INDIRECT($C$5&amp;"生成成长"),2))/((VLOOKUP($B78,INDIRECT($B$5&amp;"生成成长"),4))/(VLOOKUP(J$72,INDIRECT($C$5&amp;"生成成长"),5))*(VLOOKUP($B$5,标准坦克设计!$B$24:$U$30,MATCH("对"&amp;LEFT($C$5,2)&amp;"输出",标准坦克设计!$B$23:$U$23,0)))*(VLOOKUP($B78,INDIRECT($B$5&amp;"生成成长"),3))*(VLOOKUP($B$5,标准坦克设计!$B$14:$K$20,9)/30))</f>
        <v>11.808478502396726</v>
      </c>
      <c r="K78" s="173">
        <f ca="1">(VLOOKUP(K$72,INDIRECT($C$5&amp;"生成成长"),2))/((VLOOKUP($B78,INDIRECT($B$5&amp;"生成成长"),4))/(VLOOKUP(K$72,INDIRECT($C$5&amp;"生成成长"),5))*(VLOOKUP($B$5,标准坦克设计!$B$24:$U$30,MATCH("对"&amp;LEFT($C$5,2)&amp;"输出",标准坦克设计!$B$23:$U$23,0)))*(VLOOKUP($B78,INDIRECT($B$5&amp;"生成成长"),3))*(VLOOKUP($B$5,标准坦克设计!$B$14:$K$20,9)/30))</f>
        <v>13.283182888370971</v>
      </c>
      <c r="L78" s="173">
        <f ca="1">(VLOOKUP(L$72,INDIRECT($C$5&amp;"生成成长"),2))/((VLOOKUP($B78,INDIRECT($B$5&amp;"生成成长"),4))/(VLOOKUP(L$72,INDIRECT($C$5&amp;"生成成长"),5))*(VLOOKUP($B$5,标准坦克设计!$B$24:$U$30,MATCH("对"&amp;LEFT($C$5,2)&amp;"输出",标准坦克设计!$B$23:$U$23,0)))*(VLOOKUP($B78,INDIRECT($B$5&amp;"生成成长"),3))*(VLOOKUP($B$5,标准坦克设计!$B$14:$K$20,9)/30))</f>
        <v>14.844634591167235</v>
      </c>
      <c r="M78" s="173">
        <f ca="1">(VLOOKUP(M$72,INDIRECT($C$5&amp;"生成成长"),2))/((VLOOKUP($B78,INDIRECT($B$5&amp;"生成成长"),4))/(VLOOKUP(M$72,INDIRECT($C$5&amp;"生成成长"),5))*(VLOOKUP($B$5,标准坦克设计!$B$24:$U$30,MATCH("对"&amp;LEFT($C$5,2)&amp;"输出",标准坦克设计!$B$23:$U$23,0)))*(VLOOKUP($B78,INDIRECT($B$5&amp;"生成成长"),3))*(VLOOKUP($B$5,标准坦克设计!$B$14:$K$20,9)/30))</f>
        <v>16.49283361078551</v>
      </c>
      <c r="N78" s="173">
        <f ca="1">(VLOOKUP(N$72,INDIRECT($C$5&amp;"生成成长"),2))/((VLOOKUP($B78,INDIRECT($B$5&amp;"生成成长"),4))/(VLOOKUP(N$72,INDIRECT($C$5&amp;"生成成长"),5))*(VLOOKUP($B$5,标准坦克设计!$B$24:$U$30,MATCH("对"&amp;LEFT($C$5,2)&amp;"输出",标准坦克设计!$B$23:$U$23,0)))*(VLOOKUP($B78,INDIRECT($B$5&amp;"生成成长"),3))*(VLOOKUP($B$5,标准坦克设计!$B$14:$K$20,9)/30))</f>
        <v>18.227779947225798</v>
      </c>
      <c r="O78" s="173">
        <f ca="1">(VLOOKUP(O$72,INDIRECT($C$5&amp;"生成成长"),2))/((VLOOKUP($B78,INDIRECT($B$5&amp;"生成成长"),4))/(VLOOKUP(O$72,INDIRECT($C$5&amp;"生成成长"),5))*(VLOOKUP($B$5,标准坦克设计!$B$24:$U$30,MATCH("对"&amp;LEFT($C$5,2)&amp;"输出",标准坦克设计!$B$23:$U$23,0)))*(VLOOKUP($B78,INDIRECT($B$5&amp;"生成成长"),3))*(VLOOKUP($B$5,标准坦克设计!$B$14:$K$20,9)/30))</f>
        <v>13.858561575729491</v>
      </c>
      <c r="P78" s="173">
        <f ca="1">(VLOOKUP(P$72,INDIRECT($C$5&amp;"生成成长"),2))/((VLOOKUP($B78,INDIRECT($B$5&amp;"生成成长"),4))/(VLOOKUP(P$72,INDIRECT($C$5&amp;"生成成长"),5))*(VLOOKUP($B$5,标准坦克设计!$B$24:$U$30,MATCH("对"&amp;LEFT($C$5,2)&amp;"输出",标准坦克设计!$B$23:$U$23,0)))*(VLOOKUP($B78,INDIRECT($B$5&amp;"生成成长"),3))*(VLOOKUP($B$5,标准坦克设计!$B$14:$K$20,9)/30))</f>
        <v>15.657890686373619</v>
      </c>
      <c r="Q78" s="173">
        <f ca="1">(VLOOKUP(Q$72,INDIRECT($C$5&amp;"生成成长"),2))/((VLOOKUP($B78,INDIRECT($B$5&amp;"生成成长"),4))/(VLOOKUP(Q$72,INDIRECT($C$5&amp;"生成成长"),5))*(VLOOKUP($B$5,标准坦克设计!$B$24:$U$30,MATCH("对"&amp;LEFT($C$5,2)&amp;"输出",标准坦克设计!$B$23:$U$23,0)))*(VLOOKUP($B78,INDIRECT($B$5&amp;"生成成长"),3))*(VLOOKUP($B$5,标准坦克设计!$B$14:$K$20,9)/30))</f>
        <v>17.567009369870608</v>
      </c>
      <c r="R78" s="173">
        <f ca="1">(VLOOKUP(R$72,INDIRECT($C$5&amp;"生成成长"),2))/((VLOOKUP($B78,INDIRECT($B$5&amp;"生成成长"),4))/(VLOOKUP(R$72,INDIRECT($C$5&amp;"生成成长"),5))*(VLOOKUP($B$5,标准坦克设计!$B$24:$U$30,MATCH("对"&amp;LEFT($C$5,2)&amp;"输出",标准坦克设计!$B$23:$U$23,0)))*(VLOOKUP($B78,INDIRECT($B$5&amp;"生成成长"),3))*(VLOOKUP($B$5,标准坦克设计!$B$14:$K$20,9)/30))</f>
        <v>19.585917626220468</v>
      </c>
      <c r="S78" s="173">
        <f ca="1">(VLOOKUP(S$72,INDIRECT($C$5&amp;"生成成长"),2))/((VLOOKUP($B78,INDIRECT($B$5&amp;"生成成长"),4))/(VLOOKUP(S$72,INDIRECT($C$5&amp;"生成成长"),5))*(VLOOKUP($B$5,标准坦克设计!$B$24:$U$30,MATCH("对"&amp;LEFT($C$5,2)&amp;"输出",标准坦克设计!$B$23:$U$23,0)))*(VLOOKUP($B78,INDIRECT($B$5&amp;"生成成长"),3))*(VLOOKUP($B$5,标准坦克设计!$B$14:$K$20,9)/30))</f>
        <v>21.714615455423186</v>
      </c>
      <c r="T78" s="173">
        <f ca="1">(VLOOKUP(T$72,INDIRECT($C$5&amp;"生成成长"),2))/((VLOOKUP($B78,INDIRECT($B$5&amp;"生成成长"),4))/(VLOOKUP(T$72,INDIRECT($C$5&amp;"生成成长"),5))*(VLOOKUP($B$5,标准坦克设计!$B$24:$U$30,MATCH("对"&amp;LEFT($C$5,2)&amp;"输出",标准坦克设计!$B$23:$U$23,0)))*(VLOOKUP($B78,INDIRECT($B$5&amp;"生成成长"),3))*(VLOOKUP($B$5,标准坦克设计!$B$14:$K$20,9)/30))</f>
        <v>23.953102857478761</v>
      </c>
      <c r="U78" s="173">
        <f ca="1">(VLOOKUP(U$72,INDIRECT($C$5&amp;"生成成长"),2))/((VLOOKUP($B78,INDIRECT($B$5&amp;"生成成长"),4))/(VLOOKUP(U$72,INDIRECT($C$5&amp;"生成成长"),5))*(VLOOKUP($B$5,标准坦克设计!$B$24:$U$30,MATCH("对"&amp;LEFT($C$5,2)&amp;"输出",标准坦克设计!$B$23:$U$23,0)))*(VLOOKUP($B78,INDIRECT($B$5&amp;"生成成长"),3))*(VLOOKUP($B$5,标准坦克设计!$B$14:$K$20,9)/30))</f>
        <v>26.301379832387198</v>
      </c>
      <c r="V78" s="173">
        <f ca="1">(VLOOKUP(V$72,INDIRECT($C$5&amp;"生成成长"),2))/((VLOOKUP($B78,INDIRECT($B$5&amp;"生成成长"),4))/(VLOOKUP(V$72,INDIRECT($C$5&amp;"生成成长"),5))*(VLOOKUP($B$5,标准坦克设计!$B$24:$U$30,MATCH("对"&amp;LEFT($C$5,2)&amp;"输出",标准坦克设计!$B$23:$U$23,0)))*(VLOOKUP($B78,INDIRECT($B$5&amp;"生成成长"),3))*(VLOOKUP($B$5,标准坦克设计!$B$14:$K$20,9)/30))</f>
        <v>28.759446380148503</v>
      </c>
      <c r="W78" s="173">
        <f ca="1">(VLOOKUP(W$72,INDIRECT($C$5&amp;"生成成长"),2))/((VLOOKUP($B78,INDIRECT($B$5&amp;"生成成长"),4))/(VLOOKUP(W$72,INDIRECT($C$5&amp;"生成成长"),5))*(VLOOKUP($B$5,标准坦克设计!$B$24:$U$30,MATCH("对"&amp;LEFT($C$5,2)&amp;"输出",标准坦克设计!$B$23:$U$23,0)))*(VLOOKUP($B78,INDIRECT($B$5&amp;"生成成长"),3))*(VLOOKUP($B$5,标准坦克设计!$B$14:$K$20,9)/30))</f>
        <v>31.327302500762659</v>
      </c>
      <c r="X78" s="173">
        <f ca="1">(VLOOKUP(X$72,INDIRECT($C$5&amp;"生成成长"),2))/((VLOOKUP($B78,INDIRECT($B$5&amp;"生成成长"),4))/(VLOOKUP(X$72,INDIRECT($C$5&amp;"生成成长"),5))*(VLOOKUP($B$5,标准坦克设计!$B$24:$U$30,MATCH("对"&amp;LEFT($C$5,2)&amp;"输出",标准坦克设计!$B$23:$U$23,0)))*(VLOOKUP($B78,INDIRECT($B$5&amp;"生成成长"),3))*(VLOOKUP($B$5,标准坦克设计!$B$14:$K$20,9)/30))</f>
        <v>22.695944476972219</v>
      </c>
      <c r="Y78" s="173">
        <f ca="1">(VLOOKUP(Y$72,INDIRECT($C$5&amp;"生成成长"),2))/((VLOOKUP($B78,INDIRECT($B$5&amp;"生成成长"),4))/(VLOOKUP(Y$72,INDIRECT($C$5&amp;"生成成长"),5))*(VLOOKUP($B$5,标准坦克设计!$B$24:$U$30,MATCH("对"&amp;LEFT($C$5,2)&amp;"输出",标准坦克设计!$B$23:$U$23,0)))*(VLOOKUP($B78,INDIRECT($B$5&amp;"生成成长"),3))*(VLOOKUP($B$5,标准坦克设计!$B$14:$K$20,9)/30))</f>
        <v>25.244146908618895</v>
      </c>
      <c r="Z78" s="173">
        <f ca="1">(VLOOKUP(Z$72,INDIRECT($C$5&amp;"生成成长"),2))/((VLOOKUP($B78,INDIRECT($B$5&amp;"生成成长"),4))/(VLOOKUP(Z$72,INDIRECT($C$5&amp;"生成成长"),5))*(VLOOKUP($B$5,标准坦克设计!$B$24:$U$30,MATCH("对"&amp;LEFT($C$5,2)&amp;"输出",标准坦克设计!$B$23:$U$23,0)))*(VLOOKUP($B78,INDIRECT($B$5&amp;"生成成长"),3))*(VLOOKUP($B$5,标准坦克设计!$B$14:$K$20,9)/30))</f>
        <v>27.92789202279997</v>
      </c>
      <c r="AA78" s="173">
        <f ca="1">(VLOOKUP(AA$72,INDIRECT($C$5&amp;"生成成长"),2))/((VLOOKUP($B78,INDIRECT($B$5&amp;"生成成长"),4))/(VLOOKUP(AA$72,INDIRECT($C$5&amp;"生成成长"),5))*(VLOOKUP($B$5,标准坦克设计!$B$24:$U$30,MATCH("对"&amp;LEFT($C$5,2)&amp;"输出",标准坦克设计!$B$23:$U$23,0)))*(VLOOKUP($B78,INDIRECT($B$5&amp;"生成成长"),3))*(VLOOKUP($B$5,标准坦克设计!$B$14:$K$20,9)/30))</f>
        <v>30.747179819515445</v>
      </c>
      <c r="AB78" s="173">
        <f ca="1">(VLOOKUP(AB$72,INDIRECT($C$5&amp;"生成成长"),2))/((VLOOKUP($B78,INDIRECT($B$5&amp;"生成成长"),4))/(VLOOKUP(AB$72,INDIRECT($C$5&amp;"生成成长"),5))*(VLOOKUP($B$5,标准坦克设计!$B$24:$U$30,MATCH("对"&amp;LEFT($C$5,2)&amp;"输出",标准坦克设计!$B$23:$U$23,0)))*(VLOOKUP($B78,INDIRECT($B$5&amp;"生成成长"),3))*(VLOOKUP($B$5,标准坦克设计!$B$14:$K$20,9)/30))</f>
        <v>33.702010298765309</v>
      </c>
      <c r="AC78" s="173">
        <f ca="1">(VLOOKUP(AC$72,INDIRECT($C$5&amp;"生成成长"),2))/((VLOOKUP($B78,INDIRECT($B$5&amp;"生成成长"),4))/(VLOOKUP(AC$72,INDIRECT($C$5&amp;"生成成长"),5))*(VLOOKUP($B$5,标准坦克设计!$B$24:$U$30,MATCH("对"&amp;LEFT($C$5,2)&amp;"输出",标准坦克设计!$B$23:$U$23,0)))*(VLOOKUP($B78,INDIRECT($B$5&amp;"生成成长"),3))*(VLOOKUP($B$5,标准坦克设计!$B$14:$K$20,9)/30))</f>
        <v>36.79238346054958</v>
      </c>
      <c r="AD78" s="173">
        <f ca="1">(VLOOKUP(AD$72,INDIRECT($C$5&amp;"生成成长"),2))/((VLOOKUP($B78,INDIRECT($B$5&amp;"生成成长"),4))/(VLOOKUP(AD$72,INDIRECT($C$5&amp;"生成成长"),5))*(VLOOKUP($B$5,标准坦克设计!$B$24:$U$30,MATCH("对"&amp;LEFT($C$5,2)&amp;"输出",标准坦克设计!$B$23:$U$23,0)))*(VLOOKUP($B78,INDIRECT($B$5&amp;"生成成长"),3))*(VLOOKUP($B$5,标准坦克设计!$B$14:$K$20,9)/30))</f>
        <v>40.018299304868243</v>
      </c>
      <c r="AE78" s="173">
        <f ca="1">(VLOOKUP(AE$72,INDIRECT($C$5&amp;"生成成长"),2))/((VLOOKUP($B78,INDIRECT($B$5&amp;"生成成长"),4))/(VLOOKUP(AE$72,INDIRECT($C$5&amp;"生成成长"),5))*(VLOOKUP($B$5,标准坦克设计!$B$24:$U$30,MATCH("对"&amp;LEFT($C$5,2)&amp;"输出",标准坦克设计!$B$23:$U$23,0)))*(VLOOKUP($B78,INDIRECT($B$5&amp;"生成成长"),3))*(VLOOKUP($B$5,标准坦克设计!$B$14:$K$20,9)/30))</f>
        <v>43.3797578317213</v>
      </c>
      <c r="AF78" s="173">
        <f ca="1">(VLOOKUP(AF$72,INDIRECT($C$5&amp;"生成成长"),2))/((VLOOKUP($B78,INDIRECT($B$5&amp;"生成成长"),4))/(VLOOKUP(AF$72,INDIRECT($C$5&amp;"生成成长"),5))*(VLOOKUP($B$5,标准坦克设计!$B$24:$U$30,MATCH("对"&amp;LEFT($C$5,2)&amp;"输出",标准坦克设计!$B$23:$U$23,0)))*(VLOOKUP($B78,INDIRECT($B$5&amp;"生成成长"),3))*(VLOOKUP($B$5,标准坦克设计!$B$14:$K$20,9)/30))</f>
        <v>46.876759041108762</v>
      </c>
      <c r="AG78" s="173">
        <f ca="1">(VLOOKUP(AG$72,INDIRECT($C$5&amp;"生成成长"),2))/((VLOOKUP($B78,INDIRECT($B$5&amp;"生成成长"),4))/(VLOOKUP(AG$72,INDIRECT($C$5&amp;"生成成长"),5))*(VLOOKUP($B$5,标准坦克设计!$B$24:$U$30,MATCH("对"&amp;LEFT($C$5,2)&amp;"输出",标准坦克设计!$B$23:$U$23,0)))*(VLOOKUP($B78,INDIRECT($B$5&amp;"生成成长"),3))*(VLOOKUP($B$5,标准坦克设计!$B$14:$K$20,9)/30))</f>
        <v>50.509302933030618</v>
      </c>
      <c r="AH78" s="173">
        <f ca="1">(VLOOKUP(AH$72,INDIRECT($C$5&amp;"生成成长"),2))/((VLOOKUP($B78,INDIRECT($B$5&amp;"生成成长"),4))/(VLOOKUP(AH$72,INDIRECT($C$5&amp;"生成成长"),5))*(VLOOKUP($B$5,标准坦克设计!$B$24:$U$30,MATCH("对"&amp;LEFT($C$5,2)&amp;"输出",标准坦克设计!$B$23:$U$23,0)))*(VLOOKUP($B78,INDIRECT($B$5&amp;"生成成长"),3))*(VLOOKUP($B$5,标准坦克设计!$B$14:$K$20,9)/30))</f>
        <v>54.277389507486866</v>
      </c>
      <c r="AI78" s="173">
        <f ca="1">(VLOOKUP(AI$72,INDIRECT($C$5&amp;"生成成长"),2))/((VLOOKUP($B78,INDIRECT($B$5&amp;"生成成长"),4))/(VLOOKUP(AI$72,INDIRECT($C$5&amp;"生成成长"),5))*(VLOOKUP($B$5,标准坦克设计!$B$24:$U$30,MATCH("对"&amp;LEFT($C$5,2)&amp;"输出",标准坦克设计!$B$23:$U$23,0)))*(VLOOKUP($B78,INDIRECT($B$5&amp;"生成成长"),3))*(VLOOKUP($B$5,标准坦克设计!$B$14:$K$20,9)/30))</f>
        <v>38.388398547392114</v>
      </c>
      <c r="AJ78" s="173">
        <f ca="1">(VLOOKUP(AJ$72,INDIRECT($C$5&amp;"生成成长"),2))/((VLOOKUP($B78,INDIRECT($B$5&amp;"生成成长"),4))/(VLOOKUP(AJ$72,INDIRECT($C$5&amp;"生成成长"),5))*(VLOOKUP($B$5,标准坦克设计!$B$24:$U$30,MATCH("对"&amp;LEFT($C$5,2)&amp;"输出",标准坦克设计!$B$23:$U$23,0)))*(VLOOKUP($B78,INDIRECT($B$5&amp;"生成成长"),3))*(VLOOKUP($B$5,标准坦克设计!$B$14:$K$20,9)/30))</f>
        <v>42.018909299075943</v>
      </c>
      <c r="AK78" s="173">
        <f ca="1">(VLOOKUP(AK$72,INDIRECT($C$5&amp;"生成成长"),2))/((VLOOKUP($B78,INDIRECT($B$5&amp;"生成成长"),4))/(VLOOKUP(AK$72,INDIRECT($C$5&amp;"生成成长"),5))*(VLOOKUP($B$5,标准坦克设计!$B$24:$U$30,MATCH("对"&amp;LEFT($C$5,2)&amp;"输出",标准坦克设计!$B$23:$U$23,0)))*(VLOOKUP($B78,INDIRECT($B$5&amp;"生成成长"),3))*(VLOOKUP($B$5,标准坦克设计!$B$14:$K$20,9)/30))</f>
        <v>45.813426696626408</v>
      </c>
      <c r="AL78" s="173">
        <f ca="1">(VLOOKUP(AL$72,INDIRECT($C$5&amp;"生成成长"),2))/((VLOOKUP($B78,INDIRECT($B$5&amp;"生成成长"),4))/(VLOOKUP(AL$72,INDIRECT($C$5&amp;"生成成长"),5))*(VLOOKUP($B$5,标准坦克设计!$B$24:$U$30,MATCH("对"&amp;LEFT($C$5,2)&amp;"输出",标准坦克设计!$B$23:$U$23,0)))*(VLOOKUP($B78,INDIRECT($B$5&amp;"生成成长"),3))*(VLOOKUP($B$5,标准坦克设计!$B$14:$K$20,9)/30))</f>
        <v>49.771950740043501</v>
      </c>
      <c r="AM78" s="173">
        <f ca="1">(VLOOKUP(AM$72,INDIRECT($C$5&amp;"生成成长"),2))/((VLOOKUP($B78,INDIRECT($B$5&amp;"生成成长"),4))/(VLOOKUP(AM$72,INDIRECT($C$5&amp;"生成成长"),5))*(VLOOKUP($B$5,标准坦克设计!$B$24:$U$30,MATCH("对"&amp;LEFT($C$5,2)&amp;"输出",标准坦克设计!$B$23:$U$23,0)))*(VLOOKUP($B78,INDIRECT($B$5&amp;"生成成长"),3))*(VLOOKUP($B$5,标准坦克设计!$B$14:$K$20,9)/30))</f>
        <v>53.894481429327207</v>
      </c>
      <c r="AN78" s="173">
        <f ca="1">(VLOOKUP(AN$72,INDIRECT($C$5&amp;"生成成长"),2))/((VLOOKUP($B78,INDIRECT($B$5&amp;"生成成长"),4))/(VLOOKUP(AN$72,INDIRECT($C$5&amp;"生成成长"),5))*(VLOOKUP($B$5,标准坦克设计!$B$24:$U$30,MATCH("对"&amp;LEFT($C$5,2)&amp;"输出",标准坦克设计!$B$23:$U$23,0)))*(VLOOKUP($B78,INDIRECT($B$5&amp;"生成成长"),3))*(VLOOKUP($B$5,标准坦克设计!$B$14:$K$20,9)/30))</f>
        <v>58.181018764477521</v>
      </c>
      <c r="AO78" s="173">
        <f ca="1">(VLOOKUP(AO$72,INDIRECT($C$5&amp;"生成成长"),2))/((VLOOKUP($B78,INDIRECT($B$5&amp;"生成成长"),4))/(VLOOKUP(AO$72,INDIRECT($C$5&amp;"生成成长"),5))*(VLOOKUP($B$5,标准坦克设计!$B$24:$U$30,MATCH("对"&amp;LEFT($C$5,2)&amp;"输出",标准坦克设计!$B$23:$U$23,0)))*(VLOOKUP($B78,INDIRECT($B$5&amp;"生成成长"),3))*(VLOOKUP($B$5,标准坦克设计!$B$14:$K$20,9)/30))</f>
        <v>62.631562745494477</v>
      </c>
      <c r="AP78" s="173">
        <f ca="1">(VLOOKUP(AP$72,INDIRECT($C$5&amp;"生成成长"),2))/((VLOOKUP($B78,INDIRECT($B$5&amp;"生成成长"),4))/(VLOOKUP(AP$72,INDIRECT($C$5&amp;"生成成长"),5))*(VLOOKUP($B$5,标准坦克设计!$B$24:$U$30,MATCH("对"&amp;LEFT($C$5,2)&amp;"输出",标准坦克设计!$B$23:$U$23,0)))*(VLOOKUP($B78,INDIRECT($B$5&amp;"生成成长"),3))*(VLOOKUP($B$5,标准坦克设计!$B$14:$K$20,9)/30))</f>
        <v>67.246113372378048</v>
      </c>
      <c r="AQ78" s="173">
        <f ca="1">(VLOOKUP(AQ$72,INDIRECT($C$5&amp;"生成成长"),2))/((VLOOKUP($B78,INDIRECT($B$5&amp;"生成成长"),4))/(VLOOKUP(AQ$72,INDIRECT($C$5&amp;"生成成长"),5))*(VLOOKUP($B$5,标准坦克设计!$B$24:$U$30,MATCH("对"&amp;LEFT($C$5,2)&amp;"输出",标准坦克设计!$B$23:$U$23,0)))*(VLOOKUP($B78,INDIRECT($B$5&amp;"生成成长"),3))*(VLOOKUP($B$5,标准坦克设计!$B$14:$K$20,9)/30))</f>
        <v>72.024670645128225</v>
      </c>
      <c r="AR78" s="173">
        <f ca="1">(VLOOKUP(AR$72,INDIRECT($C$5&amp;"生成成长"),2))/((VLOOKUP($B78,INDIRECT($B$5&amp;"生成成长"),4))/(VLOOKUP(AR$72,INDIRECT($C$5&amp;"生成成长"),5))*(VLOOKUP($B$5,标准坦克设计!$B$24:$U$30,MATCH("对"&amp;LEFT($C$5,2)&amp;"输出",标准坦克设计!$B$23:$U$23,0)))*(VLOOKUP($B78,INDIRECT($B$5&amp;"生成成长"),3))*(VLOOKUP($B$5,标准坦克设计!$B$14:$K$20,9)/30))</f>
        <v>76.967234563745052</v>
      </c>
      <c r="AS78" s="173">
        <f ca="1">(VLOOKUP(AS$72,INDIRECT($C$5&amp;"生成成长"),2))/((VLOOKUP($B78,INDIRECT($B$5&amp;"生成成长"),4))/(VLOOKUP(AS$72,INDIRECT($C$5&amp;"生成成长"),5))*(VLOOKUP($B$5,标准坦克设计!$B$24:$U$30,MATCH("对"&amp;LEFT($C$5,2)&amp;"输出",标准坦克设计!$B$23:$U$23,0)))*(VLOOKUP($B78,INDIRECT($B$5&amp;"生成成长"),3))*(VLOOKUP($B$5,标准坦克设计!$B$14:$K$20,9)/30))</f>
        <v>82.073805128228486</v>
      </c>
      <c r="AT78" s="173">
        <f ca="1">(VLOOKUP(AT$72,INDIRECT($C$5&amp;"生成成长"),2))/((VLOOKUP($B78,INDIRECT($B$5&amp;"生成成长"),4))/(VLOOKUP(AT$72,INDIRECT($C$5&amp;"生成成长"),5))*(VLOOKUP($B$5,标准坦克设计!$B$24:$U$30,MATCH("对"&amp;LEFT($C$5,2)&amp;"输出",标准坦克设计!$B$23:$U$23,0)))*(VLOOKUP($B78,INDIRECT($B$5&amp;"生成成长"),3))*(VLOOKUP($B$5,标准坦克设计!$B$14:$K$20,9)/30))</f>
        <v>87.344382338578527</v>
      </c>
      <c r="AU78" s="173">
        <f ca="1">(VLOOKUP(AU$72,INDIRECT($C$5&amp;"生成成长"),2))/((VLOOKUP($B78,INDIRECT($B$5&amp;"生成成长"),4))/(VLOOKUP(AU$72,INDIRECT($C$5&amp;"生成成长"),5))*(VLOOKUP($B$5,标准坦克设计!$B$24:$U$30,MATCH("对"&amp;LEFT($C$5,2)&amp;"输出",标准坦克设计!$B$23:$U$23,0)))*(VLOOKUP($B78,INDIRECT($B$5&amp;"生成成长"),3))*(VLOOKUP($B$5,标准坦克设计!$B$14:$K$20,9)/30))</f>
        <v>92.778966194795203</v>
      </c>
      <c r="AV78" s="173">
        <f ca="1">(VLOOKUP(AV$72,INDIRECT($C$5&amp;"生成成长"),2))/((VLOOKUP($B78,INDIRECT($B$5&amp;"生成成长"),4))/(VLOOKUP(AV$72,INDIRECT($C$5&amp;"生成成长"),5))*(VLOOKUP($B$5,标准坦克设计!$B$24:$U$30,MATCH("对"&amp;LEFT($C$5,2)&amp;"输出",标准坦克设计!$B$23:$U$23,0)))*(VLOOKUP($B78,INDIRECT($B$5&amp;"生成成长"),3))*(VLOOKUP($B$5,标准坦克设计!$B$14:$K$20,9)/30))</f>
        <v>9.4364815580447647</v>
      </c>
      <c r="AW78" s="173">
        <f ca="1">(VLOOKUP(AW$72,INDIRECT($C$5&amp;"生成成长"),2))/((VLOOKUP($B78,INDIRECT($B$5&amp;"生成成长"),4))/(VLOOKUP(AW$72,INDIRECT($C$5&amp;"生成成长"),5))*(VLOOKUP($B$5,标准坦克设计!$B$24:$U$30,MATCH("对"&amp;LEFT($C$5,2)&amp;"输出",标准坦克设计!$B$23:$U$23,0)))*(VLOOKUP($B78,INDIRECT($B$5&amp;"生成成长"),3))*(VLOOKUP($B$5,标准坦克设计!$B$14:$K$20,9)/30))</f>
        <v>10.759378139580489</v>
      </c>
      <c r="AX78" s="173">
        <f ca="1">(VLOOKUP(AX$72,INDIRECT($C$5&amp;"生成成长"),2))/((VLOOKUP($B78,INDIRECT($B$5&amp;"生成成长"),4))/(VLOOKUP(AX$72,INDIRECT($C$5&amp;"生成成长"),5))*(VLOOKUP($B$5,标准坦克设计!$B$24:$U$30,MATCH("对"&amp;LEFT($C$5,2)&amp;"输出",标准坦克设计!$B$23:$U$23,0)))*(VLOOKUP($B78,INDIRECT($B$5&amp;"生成成长"),3))*(VLOOKUP($B$5,标准坦克设计!$B$14:$K$20,9)/30))</f>
        <v>12.169022037938225</v>
      </c>
      <c r="AY78" s="173">
        <f ca="1">(VLOOKUP(AY$72,INDIRECT($C$5&amp;"生成成长"),2))/((VLOOKUP($B78,INDIRECT($B$5&amp;"生成成长"),4))/(VLOOKUP(AY$72,INDIRECT($C$5&amp;"生成成长"),5))*(VLOOKUP($B$5,标准坦克设计!$B$24:$U$30,MATCH("对"&amp;LEFT($C$5,2)&amp;"输出",标准坦克设计!$B$23:$U$23,0)))*(VLOOKUP($B78,INDIRECT($B$5&amp;"生成成长"),3))*(VLOOKUP($B$5,标准坦克设计!$B$14:$K$20,9)/30))</f>
        <v>13.665413253117972</v>
      </c>
      <c r="AZ78" s="173">
        <f ca="1">(VLOOKUP(AZ$72,INDIRECT($C$5&amp;"生成成长"),2))/((VLOOKUP($B78,INDIRECT($B$5&amp;"生成成长"),4))/(VLOOKUP(AZ$72,INDIRECT($C$5&amp;"生成成长"),5))*(VLOOKUP($B$5,标准坦克设计!$B$24:$U$30,MATCH("对"&amp;LEFT($C$5,2)&amp;"输出",标准坦克设计!$B$23:$U$23,0)))*(VLOOKUP($B78,INDIRECT($B$5&amp;"生成成长"),3))*(VLOOKUP($B$5,标准坦克设计!$B$14:$K$20,9)/30))</f>
        <v>15.248551785119739</v>
      </c>
      <c r="BA78" s="173">
        <f ca="1">(VLOOKUP(BA$72,INDIRECT($C$5&amp;"生成成长"),2))/((VLOOKUP($B78,INDIRECT($B$5&amp;"生成成长"),4))/(VLOOKUP(BA$72,INDIRECT($C$5&amp;"生成成长"),5))*(VLOOKUP($B$5,标准坦克设计!$B$24:$U$30,MATCH("对"&amp;LEFT($C$5,2)&amp;"输出",标准坦克设计!$B$23:$U$23,0)))*(VLOOKUP($B78,INDIRECT($B$5&amp;"生成成长"),3))*(VLOOKUP($B$5,标准坦克设计!$B$14:$K$20,9)/30))</f>
        <v>16.918437633943519</v>
      </c>
      <c r="BB78" s="173">
        <f ca="1">(VLOOKUP(BB$72,INDIRECT($C$5&amp;"生成成长"),2))/((VLOOKUP($B78,INDIRECT($B$5&amp;"生成成长"),4))/(VLOOKUP(BB$72,INDIRECT($C$5&amp;"生成成长"),5))*(VLOOKUP($B$5,标准坦克设计!$B$24:$U$30,MATCH("对"&amp;LEFT($C$5,2)&amp;"输出",标准坦克设计!$B$23:$U$23,0)))*(VLOOKUP($B78,INDIRECT($B$5&amp;"生成成长"),3))*(VLOOKUP($B$5,标准坦克设计!$B$14:$K$20,9)/30))</f>
        <v>18.675070799589314</v>
      </c>
      <c r="BC78" s="173">
        <f ca="1">(VLOOKUP(BC$72,INDIRECT($C$5&amp;"生成成长"),2))/((VLOOKUP($B78,INDIRECT($B$5&amp;"生成成长"),4))/(VLOOKUP(BC$72,INDIRECT($C$5&amp;"生成成长"),5))*(VLOOKUP($B$5,标准坦克设计!$B$24:$U$30,MATCH("对"&amp;LEFT($C$5,2)&amp;"输出",标准坦克设计!$B$23:$U$23,0)))*(VLOOKUP($B78,INDIRECT($B$5&amp;"生成成长"),3))*(VLOOKUP($B$5,标准坦克设计!$B$14:$K$20,9)/30))</f>
        <v>20.518451282057121</v>
      </c>
      <c r="BD78" s="173">
        <f ca="1">(VLOOKUP(BD$72,INDIRECT($C$5&amp;"生成成长"),2))/((VLOOKUP($B78,INDIRECT($B$5&amp;"生成成长"),4))/(VLOOKUP(BD$72,INDIRECT($C$5&amp;"生成成长"),5))*(VLOOKUP($B$5,标准坦克设计!$B$24:$U$30,MATCH("对"&amp;LEFT($C$5,2)&amp;"输出",标准坦克设计!$B$23:$U$23,0)))*(VLOOKUP($B78,INDIRECT($B$5&amp;"生成成长"),3))*(VLOOKUP($B$5,标准坦克设计!$B$14:$K$20,9)/30))</f>
        <v>22.695944476972219</v>
      </c>
      <c r="BE78" s="173">
        <f ca="1">(VLOOKUP(BE$72,INDIRECT($C$5&amp;"生成成长"),2))/((VLOOKUP($B78,INDIRECT($B$5&amp;"生成成长"),4))/(VLOOKUP(BE$72,INDIRECT($C$5&amp;"生成成长"),5))*(VLOOKUP($B$5,标准坦克设计!$B$24:$U$30,MATCH("对"&amp;LEFT($C$5,2)&amp;"输出",标准坦克设计!$B$23:$U$23,0)))*(VLOOKUP($B78,INDIRECT($B$5&amp;"生成成长"),3))*(VLOOKUP($B$5,标准坦克设计!$B$14:$K$20,9)/30))</f>
        <v>24.983227244740181</v>
      </c>
      <c r="BF78" s="173">
        <f ca="1">(VLOOKUP(BF$72,INDIRECT($C$5&amp;"生成成长"),2))/((VLOOKUP($B78,INDIRECT($B$5&amp;"生成成长"),4))/(VLOOKUP(BF$72,INDIRECT($C$5&amp;"生成成长"),5))*(VLOOKUP($B$5,标准坦克设计!$B$24:$U$30,MATCH("对"&amp;LEFT($C$5,2)&amp;"输出",标准坦克设计!$B$23:$U$23,0)))*(VLOOKUP($B78,INDIRECT($B$5&amp;"生成成长"),3))*(VLOOKUP($B$5,标准坦克设计!$B$14:$K$20,9)/30))</f>
        <v>27.380299585361001</v>
      </c>
      <c r="BG78" s="173">
        <f ca="1">(VLOOKUP(BG$72,INDIRECT($C$5&amp;"生成成长"),2))/((VLOOKUP($B78,INDIRECT($B$5&amp;"生成成长"),4))/(VLOOKUP(BG$72,INDIRECT($C$5&amp;"生成成长"),5))*(VLOOKUP($B$5,标准坦克设计!$B$24:$U$30,MATCH("对"&amp;LEFT($C$5,2)&amp;"输出",标准坦克设计!$B$23:$U$23,0)))*(VLOOKUP($B78,INDIRECT($B$5&amp;"生成成长"),3))*(VLOOKUP($B$5,标准坦克设计!$B$14:$K$20,9)/30))</f>
        <v>29.88716149883469</v>
      </c>
      <c r="BH78" s="173">
        <f ca="1">(VLOOKUP(BH$72,INDIRECT($C$5&amp;"生成成长"),2))/((VLOOKUP($B78,INDIRECT($B$5&amp;"生成成长"),4))/(VLOOKUP(BH$72,INDIRECT($C$5&amp;"生成成长"),5))*(VLOOKUP($B$5,标准坦克设计!$B$24:$U$30,MATCH("对"&amp;LEFT($C$5,2)&amp;"输出",标准坦克设计!$B$23:$U$23,0)))*(VLOOKUP($B78,INDIRECT($B$5&amp;"生成成长"),3))*(VLOOKUP($B$5,标准坦克设计!$B$14:$K$20,9)/30))</f>
        <v>14.446139104516105</v>
      </c>
      <c r="BI78" s="173">
        <f ca="1">(VLOOKUP(BI$72,INDIRECT($C$5&amp;"生成成长"),2))/((VLOOKUP($B78,INDIRECT($B$5&amp;"生成成长"),4))/(VLOOKUP(BI$72,INDIRECT($C$5&amp;"生成成长"),5))*(VLOOKUP($B$5,标准坦克设计!$B$24:$U$30,MATCH("对"&amp;LEFT($C$5,2)&amp;"输出",标准坦克设计!$B$23:$U$23,0)))*(VLOOKUP($B78,INDIRECT($B$5&amp;"生成成长"),3))*(VLOOKUP($B$5,标准坦克设计!$B$14:$K$20,9)/30))</f>
        <v>16.282064739444522</v>
      </c>
      <c r="BJ78" s="173">
        <f ca="1">(VLOOKUP(BJ$72,INDIRECT($C$5&amp;"生成成长"),2))/((VLOOKUP($B78,INDIRECT($B$5&amp;"生成成长"),4))/(VLOOKUP(BJ$72,INDIRECT($C$5&amp;"生成成长"),5))*(VLOOKUP($B$5,标准坦克设计!$B$24:$U$30,MATCH("对"&amp;LEFT($C$5,2)&amp;"输出",标准坦克设计!$B$23:$U$23,0)))*(VLOOKUP($B78,INDIRECT($B$5&amp;"生成成长"),3))*(VLOOKUP($B$5,标准坦克设计!$B$14:$K$20,9)/30))</f>
        <v>18.227779947225798</v>
      </c>
      <c r="BK78" s="173">
        <f ca="1">(VLOOKUP(BK$72,INDIRECT($C$5&amp;"生成成长"),2))/((VLOOKUP($B78,INDIRECT($B$5&amp;"生成成长"),4))/(VLOOKUP(BK$72,INDIRECT($C$5&amp;"生成成长"),5))*(VLOOKUP($B$5,标准坦克设计!$B$24:$U$30,MATCH("对"&amp;LEFT($C$5,2)&amp;"输出",标准坦克设计!$B$23:$U$23,0)))*(VLOOKUP($B78,INDIRECT($B$5&amp;"生成成长"),3))*(VLOOKUP($B$5,标准坦克设计!$B$14:$K$20,9)/30))</f>
        <v>20.283284727859943</v>
      </c>
      <c r="BL78" s="173">
        <f ca="1">(VLOOKUP(BL$72,INDIRECT($C$5&amp;"生成成长"),2))/((VLOOKUP($B78,INDIRECT($B$5&amp;"生成成长"),4))/(VLOOKUP(BL$72,INDIRECT($C$5&amp;"生成成长"),5))*(VLOOKUP($B$5,标准坦克设计!$B$24:$U$30,MATCH("对"&amp;LEFT($C$5,2)&amp;"输出",标准坦克设计!$B$23:$U$23,0)))*(VLOOKUP($B78,INDIRECT($B$5&amp;"生成成长"),3))*(VLOOKUP($B$5,标准坦克设计!$B$14:$K$20,9)/30))</f>
        <v>22.448579081346946</v>
      </c>
      <c r="BM78" s="173">
        <f ca="1">(VLOOKUP(BM$72,INDIRECT($C$5&amp;"生成成长"),2))/((VLOOKUP($B78,INDIRECT($B$5&amp;"生成成长"),4))/(VLOOKUP(BM$72,INDIRECT($C$5&amp;"生成成长"),5))*(VLOOKUP($B$5,标准坦克设计!$B$24:$U$30,MATCH("对"&amp;LEFT($C$5,2)&amp;"输出",标准坦克设计!$B$23:$U$23,0)))*(VLOOKUP($B78,INDIRECT($B$5&amp;"生成成长"),3))*(VLOOKUP($B$5,标准坦克设计!$B$14:$K$20,9)/30))</f>
        <v>24.72366300768681</v>
      </c>
      <c r="BN78" s="173">
        <f ca="1">(VLOOKUP(BN$72,INDIRECT($C$5&amp;"生成成长"),2))/((VLOOKUP($B78,INDIRECT($B$5&amp;"生成成长"),4))/(VLOOKUP(BN$72,INDIRECT($C$5&amp;"生成成长"),5))*(VLOOKUP($B$5,标准坦克设计!$B$24:$U$30,MATCH("对"&amp;LEFT($C$5,2)&amp;"输出",标准坦克设计!$B$23:$U$23,0)))*(VLOOKUP($B78,INDIRECT($B$5&amp;"生成成长"),3))*(VLOOKUP($B$5,标准坦克设计!$B$14:$K$20,9)/30))</f>
        <v>27.108536506879538</v>
      </c>
      <c r="BO78" s="173">
        <f ca="1">(VLOOKUP(BO$72,INDIRECT($C$5&amp;"生成成长"),2))/((VLOOKUP($B78,INDIRECT($B$5&amp;"生成成长"),4))/(VLOOKUP(BO$72,INDIRECT($C$5&amp;"生成成长"),5))*(VLOOKUP($B$5,标准坦克设计!$B$24:$U$30,MATCH("对"&amp;LEFT($C$5,2)&amp;"输出",标准坦克设计!$B$23:$U$23,0)))*(VLOOKUP($B78,INDIRECT($B$5&amp;"生成成长"),3))*(VLOOKUP($B$5,标准坦克设计!$B$14:$K$20,9)/30))</f>
        <v>29.603199578925128</v>
      </c>
      <c r="BP78" s="173">
        <f ca="1">(VLOOKUP(BP$72,INDIRECT($C$5&amp;"生成成长"),2))/((VLOOKUP($B78,INDIRECT($B$5&amp;"生成成长"),4))/(VLOOKUP(BP$72,INDIRECT($C$5&amp;"生成成长"),5))*(VLOOKUP($B$5,标准坦克设计!$B$24:$U$30,MATCH("对"&amp;LEFT($C$5,2)&amp;"输出",标准坦克设计!$B$23:$U$23,0)))*(VLOOKUP($B78,INDIRECT($B$5&amp;"生成成长"),3))*(VLOOKUP($B$5,标准坦克设计!$B$14:$K$20,9)/30))</f>
        <v>32.207652223823573</v>
      </c>
      <c r="BQ78" s="173">
        <f ca="1">(VLOOKUP(BQ$72,INDIRECT($C$5&amp;"生成成长"),2))/((VLOOKUP($B78,INDIRECT($B$5&amp;"生成成长"),4))/(VLOOKUP(BQ$72,INDIRECT($C$5&amp;"生成成长"),5))*(VLOOKUP($B$5,标准坦克设计!$B$24:$U$30,MATCH("对"&amp;LEFT($C$5,2)&amp;"输出",标准坦克设计!$B$23:$U$23,0)))*(VLOOKUP($B78,INDIRECT($B$5&amp;"生成成长"),3))*(VLOOKUP($B$5,标准坦克设计!$B$14:$K$20,9)/30))</f>
        <v>34.921894441574892</v>
      </c>
      <c r="BR78" s="173">
        <f ca="1">(VLOOKUP(BR$72,INDIRECT($C$5&amp;"生成成长"),2))/((VLOOKUP($B78,INDIRECT($B$5&amp;"生成成长"),4))/(VLOOKUP(BR$72,INDIRECT($C$5&amp;"生成成长"),5))*(VLOOKUP($B$5,标准坦克设计!$B$24:$U$30,MATCH("对"&amp;LEFT($C$5,2)&amp;"输出",标准坦克设计!$B$23:$U$23,0)))*(VLOOKUP($B78,INDIRECT($B$5&amp;"生成成长"),3))*(VLOOKUP($B$5,标准坦克设计!$B$14:$K$20,9)/30))</f>
        <v>38.066484676372916</v>
      </c>
      <c r="BS78" s="173">
        <f ca="1">(VLOOKUP(BS$72,INDIRECT($C$5&amp;"生成成长"),2))/((VLOOKUP($B78,INDIRECT($B$5&amp;"生成成长"),4))/(VLOOKUP(BS$72,INDIRECT($C$5&amp;"生成成长"),5))*(VLOOKUP($B$5,标准坦克设计!$B$24:$U$30,MATCH("对"&amp;LEFT($C$5,2)&amp;"输出",标准坦克设计!$B$23:$U$23,0)))*(VLOOKUP($B78,INDIRECT($B$5&amp;"生成成长"),3))*(VLOOKUP($B$5,标准坦克设计!$B$14:$K$20,9)/30))</f>
        <v>41.346617593705339</v>
      </c>
      <c r="BT78" s="173">
        <f ca="1">(VLOOKUP(BT$72,INDIRECT($C$5&amp;"生成成长"),2))/((VLOOKUP($B78,INDIRECT($B$5&amp;"生成成长"),4))/(VLOOKUP(BT$72,INDIRECT($C$5&amp;"生成成长"),5))*(VLOOKUP($B$5,标准坦克设计!$B$24:$U$30,MATCH("对"&amp;LEFT($C$5,2)&amp;"输出",标准坦克设计!$B$23:$U$23,0)))*(VLOOKUP($B78,INDIRECT($B$5&amp;"生成成长"),3))*(VLOOKUP($B$5,标准坦克设计!$B$14:$K$20,9)/30))</f>
        <v>44.762293193572155</v>
      </c>
      <c r="BU78" s="173">
        <f ca="1">(VLOOKUP(BU$72,INDIRECT($C$5&amp;"生成成长"),2))/((VLOOKUP($B78,INDIRECT($B$5&amp;"生成成长"),4))/(VLOOKUP(BU$72,INDIRECT($C$5&amp;"生成成长"),5))*(VLOOKUP($B$5,标准坦克设计!$B$24:$U$30,MATCH("对"&amp;LEFT($C$5,2)&amp;"输出",标准坦克设计!$B$23:$U$23,0)))*(VLOOKUP($B78,INDIRECT($B$5&amp;"生成成长"),3))*(VLOOKUP($B$5,标准坦克设计!$B$14:$K$20,9)/30))</f>
        <v>48.313511475973378</v>
      </c>
      <c r="BV78" s="173">
        <f ca="1">(VLOOKUP(BV$72,INDIRECT($C$5&amp;"生成成长"),2))/((VLOOKUP($B78,INDIRECT($B$5&amp;"生成成长"),4))/(VLOOKUP(BV$72,INDIRECT($C$5&amp;"生成成长"),5))*(VLOOKUP($B$5,标准坦克设计!$B$24:$U$30,MATCH("对"&amp;LEFT($C$5,2)&amp;"输出",标准坦克设计!$B$23:$U$23,0)))*(VLOOKUP($B78,INDIRECT($B$5&amp;"生成成长"),3))*(VLOOKUP($B$5,标准坦克设计!$B$14:$K$20,9)/30))</f>
        <v>52.000272440908994</v>
      </c>
      <c r="BW78" s="173">
        <f ca="1">(VLOOKUP(BW$72,INDIRECT($C$5&amp;"生成成长"),2))/((VLOOKUP($B78,INDIRECT($B$5&amp;"生成成长"),4))/(VLOOKUP(BW$72,INDIRECT($C$5&amp;"生成成长"),5))*(VLOOKUP($B$5,标准坦克设计!$B$24:$U$30,MATCH("对"&amp;LEFT($C$5,2)&amp;"输出",标准坦克设计!$B$23:$U$23,0)))*(VLOOKUP($B78,INDIRECT($B$5&amp;"生成成长"),3))*(VLOOKUP($B$5,标准坦克设计!$B$14:$K$20,9)/30))</f>
        <v>23.698960327726759</v>
      </c>
      <c r="BX78" s="173">
        <f ca="1">(VLOOKUP(BX$72,INDIRECT($C$5&amp;"生成成长"),2))/((VLOOKUP($B78,INDIRECT($B$5&amp;"生成成长"),4))/(VLOOKUP(BX$72,INDIRECT($C$5&amp;"生成成长"),5))*(VLOOKUP($B$5,标准坦克设计!$B$24:$U$30,MATCH("对"&amp;LEFT($C$5,2)&amp;"输出",标准坦克设计!$B$23:$U$23,0)))*(VLOOKUP($B78,INDIRECT($B$5&amp;"生成成长"),3))*(VLOOKUP($B$5,标准坦克设计!$B$14:$K$20,9)/30))</f>
        <v>26.301379832387198</v>
      </c>
      <c r="BY78" s="173">
        <f ca="1">(VLOOKUP(BY$72,INDIRECT($C$5&amp;"生成成长"),2))/((VLOOKUP($B78,INDIRECT($B$5&amp;"生成成长"),4))/(VLOOKUP(BY$72,INDIRECT($C$5&amp;"生成成长"),5))*(VLOOKUP($B$5,标准坦克设计!$B$24:$U$30,MATCH("对"&amp;LEFT($C$5,2)&amp;"输出",标准坦克设计!$B$23:$U$23,0)))*(VLOOKUP($B78,INDIRECT($B$5&amp;"生成成长"),3))*(VLOOKUP($B$5,标准坦克设计!$B$14:$K$20,9)/30))</f>
        <v>29.039342019582033</v>
      </c>
      <c r="BZ78" s="173">
        <f ca="1">(VLOOKUP(BZ$72,INDIRECT($C$5&amp;"生成成长"),2))/((VLOOKUP($B78,INDIRECT($B$5&amp;"生成成长"),4))/(VLOOKUP(BZ$72,INDIRECT($C$5&amp;"生成成长"),5))*(VLOOKUP($B$5,标准坦克设计!$B$24:$U$30,MATCH("对"&amp;LEFT($C$5,2)&amp;"输出",标准坦克设计!$B$23:$U$23,0)))*(VLOOKUP($B78,INDIRECT($B$5&amp;"生成成长"),3))*(VLOOKUP($B$5,标准坦克设计!$B$14:$K$20,9)/30))</f>
        <v>31.912846889311261</v>
      </c>
      <c r="CA78" s="173">
        <f ca="1">(VLOOKUP(CA$72,INDIRECT($C$5&amp;"生成成长"),2))/((VLOOKUP($B78,INDIRECT($B$5&amp;"生成成长"),4))/(VLOOKUP(CA$72,INDIRECT($C$5&amp;"生成成长"),5))*(VLOOKUP($B$5,标准坦克设计!$B$24:$U$30,MATCH("对"&amp;LEFT($C$5,2)&amp;"输出",标准坦克设计!$B$23:$U$23,0)))*(VLOOKUP($B78,INDIRECT($B$5&amp;"生成成长"),3))*(VLOOKUP($B$5,标准坦克设计!$B$14:$K$20,9)/30))</f>
        <v>34.921894441574892</v>
      </c>
      <c r="CB78" s="173">
        <f ca="1">(VLOOKUP(CB$72,INDIRECT($C$5&amp;"生成成长"),2))/((VLOOKUP($B78,INDIRECT($B$5&amp;"生成成长"),4))/(VLOOKUP(CB$72,INDIRECT($C$5&amp;"生成成长"),5))*(VLOOKUP($B$5,标准坦克设计!$B$24:$U$30,MATCH("对"&amp;LEFT($C$5,2)&amp;"输出",标准坦克设计!$B$23:$U$23,0)))*(VLOOKUP($B78,INDIRECT($B$5&amp;"生成成长"),3))*(VLOOKUP($B$5,标准坦克设计!$B$14:$K$20,9)/30))</f>
        <v>38.066484676372916</v>
      </c>
      <c r="CC78" s="173">
        <f ca="1">(VLOOKUP(CC$72,INDIRECT($C$5&amp;"生成成长"),2))/((VLOOKUP($B78,INDIRECT($B$5&amp;"生成成长"),4))/(VLOOKUP(CC$72,INDIRECT($C$5&amp;"生成成长"),5))*(VLOOKUP($B$5,标准坦克设计!$B$24:$U$30,MATCH("对"&amp;LEFT($C$5,2)&amp;"输出",标准坦克设计!$B$23:$U$23,0)))*(VLOOKUP($B78,INDIRECT($B$5&amp;"生成成长"),3))*(VLOOKUP($B$5,标准坦克设计!$B$14:$K$20,9)/30))</f>
        <v>41.346617593705339</v>
      </c>
      <c r="CD78" s="173">
        <f ca="1">(VLOOKUP(CD$72,INDIRECT($C$5&amp;"生成成长"),2))/((VLOOKUP($B78,INDIRECT($B$5&amp;"生成成长"),4))/(VLOOKUP(CD$72,INDIRECT($C$5&amp;"生成成长"),5))*(VLOOKUP($B$5,标准坦克设计!$B$24:$U$30,MATCH("对"&amp;LEFT($C$5,2)&amp;"输出",标准坦克设计!$B$23:$U$23,0)))*(VLOOKUP($B78,INDIRECT($B$5&amp;"生成成长"),3))*(VLOOKUP($B$5,标准坦克设计!$B$14:$K$20,9)/30))</f>
        <v>44.762293193572155</v>
      </c>
      <c r="CE78" s="173">
        <f ca="1">(VLOOKUP(CE$72,INDIRECT($C$5&amp;"生成成长"),2))/((VLOOKUP($B78,INDIRECT($B$5&amp;"生成成长"),4))/(VLOOKUP(CE$72,INDIRECT($C$5&amp;"生成成长"),5))*(VLOOKUP($B$5,标准坦克设计!$B$24:$U$30,MATCH("对"&amp;LEFT($C$5,2)&amp;"输出",标准坦克设计!$B$23:$U$23,0)))*(VLOOKUP($B78,INDIRECT($B$5&amp;"生成成长"),3))*(VLOOKUP($B$5,标准坦克设计!$B$14:$K$20,9)/30))</f>
        <v>48.313511475973378</v>
      </c>
      <c r="CF78" s="173">
        <f ca="1">(VLOOKUP(CF$72,INDIRECT($C$5&amp;"生成成长"),2))/((VLOOKUP($B78,INDIRECT($B$5&amp;"生成成长"),4))/(VLOOKUP(CF$72,INDIRECT($C$5&amp;"生成成长"),5))*(VLOOKUP($B$5,标准坦克设计!$B$24:$U$30,MATCH("对"&amp;LEFT($C$5,2)&amp;"输出",标准坦克设计!$B$23:$U$23,0)))*(VLOOKUP($B78,INDIRECT($B$5&amp;"生成成长"),3))*(VLOOKUP($B$5,标准坦克设计!$B$14:$K$20,9)/30))</f>
        <v>52.000272440908994</v>
      </c>
      <c r="CG78" s="173">
        <f ca="1">(VLOOKUP(CG$72,INDIRECT($C$5&amp;"生成成长"),2))/((VLOOKUP($B78,INDIRECT($B$5&amp;"生成成长"),4))/(VLOOKUP(CG$72,INDIRECT($C$5&amp;"生成成长"),5))*(VLOOKUP($B$5,标准坦克设计!$B$24:$U$30,MATCH("对"&amp;LEFT($C$5,2)&amp;"输出",标准坦克设计!$B$23:$U$23,0)))*(VLOOKUP($B78,INDIRECT($B$5&amp;"生成成长"),3))*(VLOOKUP($B$5,标准坦克设计!$B$14:$K$20,9)/30))</f>
        <v>55.822576088379009</v>
      </c>
      <c r="CH78" s="173">
        <f ca="1">(VLOOKUP(CH$72,INDIRECT($C$5&amp;"生成成长"),2))/((VLOOKUP($B78,INDIRECT($B$5&amp;"生成成长"),4))/(VLOOKUP(CH$72,INDIRECT($C$5&amp;"生成成长"),5))*(VLOOKUP($B$5,标准坦克设计!$B$24:$U$30,MATCH("对"&amp;LEFT($C$5,2)&amp;"输出",标准坦克设计!$B$23:$U$23,0)))*(VLOOKUP($B78,INDIRECT($B$5&amp;"生成成长"),3))*(VLOOKUP($B$5,标准坦克设计!$B$14:$K$20,9)/30))</f>
        <v>59.780422418383424</v>
      </c>
      <c r="CI78" s="173">
        <f ca="1">(VLOOKUP(CI$72,INDIRECT($C$5&amp;"生成成长"),2))/((VLOOKUP($B78,INDIRECT($B$5&amp;"生成成长"),4))/(VLOOKUP(CI$72,INDIRECT($C$5&amp;"生成成长"),5))*(VLOOKUP($B$5,标准坦克设计!$B$24:$U$30,MATCH("对"&amp;LEFT($C$5,2)&amp;"输出",标准坦克设计!$B$23:$U$23,0)))*(VLOOKUP($B78,INDIRECT($B$5&amp;"生成成长"),3))*(VLOOKUP($B$5,标准坦克设计!$B$14:$K$20,9)/30))</f>
        <v>64.290605179715499</v>
      </c>
      <c r="CJ78" s="173">
        <f ca="1">(VLOOKUP(CJ$72,INDIRECT($C$5&amp;"生成成长"),2))/((VLOOKUP($B78,INDIRECT($B$5&amp;"生成成长"),4))/(VLOOKUP(CJ$72,INDIRECT($C$5&amp;"生成成长"),5))*(VLOOKUP($B$5,标准坦克设计!$B$24:$U$30,MATCH("对"&amp;LEFT($C$5,2)&amp;"输出",标准坦克设计!$B$23:$U$23,0)))*(VLOOKUP($B78,INDIRECT($B$5&amp;"生成成长"),3))*(VLOOKUP($B$5,标准坦克设计!$B$14:$K$20,9)/30))</f>
        <v>68.964794586914195</v>
      </c>
      <c r="CK78" s="173">
        <f ca="1">(VLOOKUP(CK$72,INDIRECT($C$5&amp;"生成成长"),2))/((VLOOKUP($B78,INDIRECT($B$5&amp;"生成成长"),4))/(VLOOKUP(CK$72,INDIRECT($C$5&amp;"生成成长"),5))*(VLOOKUP($B$5,标准坦克设计!$B$24:$U$30,MATCH("对"&amp;LEFT($C$5,2)&amp;"输出",标准坦克设计!$B$23:$U$23,0)))*(VLOOKUP($B78,INDIRECT($B$5&amp;"生成成长"),3))*(VLOOKUP($B$5,标准坦克设计!$B$14:$K$20,9)/30))</f>
        <v>73.802990639979541</v>
      </c>
      <c r="CL78" s="173">
        <f ca="1">(VLOOKUP(CL$72,INDIRECT($C$5&amp;"生成成长"),2))/((VLOOKUP($B78,INDIRECT($B$5&amp;"生成成长"),4))/(VLOOKUP(CL$72,INDIRECT($C$5&amp;"生成成长"),5))*(VLOOKUP($B$5,标准坦克设计!$B$24:$U$30,MATCH("对"&amp;LEFT($C$5,2)&amp;"输出",标准坦克设计!$B$23:$U$23,0)))*(VLOOKUP($B78,INDIRECT($B$5&amp;"生成成长"),3))*(VLOOKUP($B$5,标准坦克设计!$B$14:$K$20,9)/30))</f>
        <v>78.805193338911494</v>
      </c>
      <c r="CM78" s="173">
        <f ca="1">(VLOOKUP(CM$72,INDIRECT($C$5&amp;"生成成长"),2))/((VLOOKUP($B78,INDIRECT($B$5&amp;"生成成长"),4))/(VLOOKUP(CM$72,INDIRECT($C$5&amp;"生成成长"),5))*(VLOOKUP($B$5,标准坦克设计!$B$24:$U$30,MATCH("对"&amp;LEFT($C$5,2)&amp;"输出",标准坦克设计!$B$23:$U$23,0)))*(VLOOKUP($B78,INDIRECT($B$5&amp;"生成成长"),3))*(VLOOKUP($B$5,标准坦克设计!$B$14:$K$20,9)/30))</f>
        <v>83.971402683710068</v>
      </c>
      <c r="CN78" s="173">
        <f ca="1">(VLOOKUP(CN$72,INDIRECT($C$5&amp;"生成成长"),2))/((VLOOKUP($B78,INDIRECT($B$5&amp;"生成成长"),4))/(VLOOKUP(CN$72,INDIRECT($C$5&amp;"生成成长"),5))*(VLOOKUP($B$5,标准坦克设计!$B$24:$U$30,MATCH("对"&amp;LEFT($C$5,2)&amp;"输出",标准坦克设计!$B$23:$U$23,0)))*(VLOOKUP($B78,INDIRECT($B$5&amp;"生成成长"),3))*(VLOOKUP($B$5,标准坦克设计!$B$14:$K$20,9)/30))</f>
        <v>89.301618674375234</v>
      </c>
      <c r="CO78" s="173">
        <f ca="1">(VLOOKUP(CO$72,INDIRECT($C$5&amp;"生成成长"),2))/((VLOOKUP($B78,INDIRECT($B$5&amp;"生成成长"),4))/(VLOOKUP(CO$72,INDIRECT($C$5&amp;"生成成长"),5))*(VLOOKUP($B$5,标准坦克设计!$B$24:$U$30,MATCH("对"&amp;LEFT($C$5,2)&amp;"输出",标准坦克设计!$B$23:$U$23,0)))*(VLOOKUP($B78,INDIRECT($B$5&amp;"生成成长"),3))*(VLOOKUP($B$5,标准坦克设计!$B$14:$K$20,9)/30))</f>
        <v>40.018299304868243</v>
      </c>
      <c r="CP78" s="173">
        <f ca="1">(VLOOKUP(CP$72,INDIRECT($C$5&amp;"生成成长"),2))/((VLOOKUP($B78,INDIRECT($B$5&amp;"生成成长"),4))/(VLOOKUP(CP$72,INDIRECT($C$5&amp;"生成成长"),5))*(VLOOKUP($B$5,标准坦克设计!$B$24:$U$30,MATCH("对"&amp;LEFT($C$5,2)&amp;"输出",标准坦克设计!$B$23:$U$23,0)))*(VLOOKUP($B78,INDIRECT($B$5&amp;"生成成长"),3))*(VLOOKUP($B$5,标准坦克设计!$B$14:$K$20,9)/30))</f>
        <v>43.723358531945998</v>
      </c>
      <c r="CQ78" s="173">
        <f ca="1">(VLOOKUP(CQ$72,INDIRECT($C$5&amp;"生成成长"),2))/((VLOOKUP($B78,INDIRECT($B$5&amp;"生成成长"),4))/(VLOOKUP(CQ$72,INDIRECT($C$5&amp;"生成成长"),5))*(VLOOKUP($B$5,标准坦克设计!$B$24:$U$30,MATCH("对"&amp;LEFT($C$5,2)&amp;"输出",标准坦克设计!$B$23:$U$23,0)))*(VLOOKUP($B78,INDIRECT($B$5&amp;"生成成长"),3))*(VLOOKUP($B$5,标准坦克设计!$B$14:$K$20,9)/30))</f>
        <v>47.59242440489038</v>
      </c>
      <c r="CR78" s="173">
        <f ca="1">(VLOOKUP(CR$72,INDIRECT($C$5&amp;"生成成长"),2))/((VLOOKUP($B78,INDIRECT($B$5&amp;"生成成长"),4))/(VLOOKUP(CR$72,INDIRECT($C$5&amp;"生成成长"),5))*(VLOOKUP($B$5,标准坦克设计!$B$24:$U$30,MATCH("对"&amp;LEFT($C$5,2)&amp;"输出",标准坦克设计!$B$23:$U$23,0)))*(VLOOKUP($B78,INDIRECT($B$5&amp;"生成成长"),3))*(VLOOKUP($B$5,标准坦克设计!$B$14:$K$20,9)/30))</f>
        <v>51.625496923701391</v>
      </c>
      <c r="CS78" s="173">
        <f ca="1">(VLOOKUP(CS$72,INDIRECT($C$5&amp;"生成成长"),2))/((VLOOKUP($B78,INDIRECT($B$5&amp;"生成成长"),4))/(VLOOKUP(CS$72,INDIRECT($C$5&amp;"生成成长"),5))*(VLOOKUP($B$5,标准坦克设计!$B$24:$U$30,MATCH("对"&amp;LEFT($C$5,2)&amp;"输出",标准坦克设计!$B$23:$U$23,0)))*(VLOOKUP($B78,INDIRECT($B$5&amp;"生成成长"),3))*(VLOOKUP($B$5,标准坦克设计!$B$14:$K$20,9)/30))</f>
        <v>55.822576088379009</v>
      </c>
      <c r="CT78" s="173">
        <f ca="1">(VLOOKUP(CT$72,INDIRECT($C$5&amp;"生成成长"),2))/((VLOOKUP($B78,INDIRECT($B$5&amp;"生成成长"),4))/(VLOOKUP(CT$72,INDIRECT($C$5&amp;"生成成长"),5))*(VLOOKUP($B$5,标准坦克设计!$B$24:$U$30,MATCH("对"&amp;LEFT($C$5,2)&amp;"输出",标准坦克设计!$B$23:$U$23,0)))*(VLOOKUP($B78,INDIRECT($B$5&amp;"生成成长"),3))*(VLOOKUP($B$5,标准坦克设计!$B$14:$K$20,9)/30))</f>
        <v>60.183661898923255</v>
      </c>
      <c r="CU78" s="173">
        <f ca="1">(VLOOKUP(CU$72,INDIRECT($C$5&amp;"生成成长"),2))/((VLOOKUP($B78,INDIRECT($B$5&amp;"生成成长"),4))/(VLOOKUP(CU$72,INDIRECT($C$5&amp;"生成成长"),5))*(VLOOKUP($B$5,标准坦克设计!$B$24:$U$30,MATCH("对"&amp;LEFT($C$5,2)&amp;"输出",标准坦克设计!$B$23:$U$23,0)))*(VLOOKUP($B78,INDIRECT($B$5&amp;"生成成长"),3))*(VLOOKUP($B$5,标准坦克设计!$B$14:$K$20,9)/30))</f>
        <v>64.708754355334136</v>
      </c>
      <c r="CV78" s="173">
        <f ca="1">(VLOOKUP(CV$72,INDIRECT($C$5&amp;"生成成长"),2))/((VLOOKUP($B78,INDIRECT($B$5&amp;"生成成长"),4))/(VLOOKUP(CV$72,INDIRECT($C$5&amp;"生成成长"),5))*(VLOOKUP($B$5,标准坦克设计!$B$24:$U$30,MATCH("对"&amp;LEFT($C$5,2)&amp;"输出",标准坦克设计!$B$23:$U$23,0)))*(VLOOKUP($B78,INDIRECT($B$5&amp;"生成成长"),3))*(VLOOKUP($B$5,标准坦克设计!$B$14:$K$20,9)/30))</f>
        <v>69.397853457611618</v>
      </c>
      <c r="CW78" s="173">
        <f ca="1">(VLOOKUP(CW$72,INDIRECT($C$5&amp;"生成成长"),2))/((VLOOKUP($B78,INDIRECT($B$5&amp;"生成成长"),4))/(VLOOKUP(CW$72,INDIRECT($C$5&amp;"生成成长"),5))*(VLOOKUP($B$5,标准坦克设计!$B$24:$U$30,MATCH("对"&amp;LEFT($C$5,2)&amp;"输出",标准坦克设计!$B$23:$U$23,0)))*(VLOOKUP($B78,INDIRECT($B$5&amp;"生成成长"),3))*(VLOOKUP($B$5,标准坦克设计!$B$14:$K$20,9)/30))</f>
        <v>74.250959205755706</v>
      </c>
      <c r="CX78" s="173">
        <f ca="1">(VLOOKUP(CX$72,INDIRECT($C$5&amp;"生成成长"),2))/((VLOOKUP($B78,INDIRECT($B$5&amp;"生成成长"),4))/(VLOOKUP(CX$72,INDIRECT($C$5&amp;"生成成长"),5))*(VLOOKUP($B$5,标准坦克设计!$B$24:$U$30,MATCH("对"&amp;LEFT($C$5,2)&amp;"输出",标准坦克设计!$B$23:$U$23,0)))*(VLOOKUP($B78,INDIRECT($B$5&amp;"生成成长"),3))*(VLOOKUP($B$5,标准坦克设计!$B$14:$K$20,9)/30))</f>
        <v>79.268071599766458</v>
      </c>
      <c r="CY78" s="173">
        <f ca="1">(VLOOKUP(CY$72,INDIRECT($C$5&amp;"生成成长"),2))/((VLOOKUP($B78,INDIRECT($B$5&amp;"生成成长"),4))/(VLOOKUP(CY$72,INDIRECT($C$5&amp;"生成成长"),5))*(VLOOKUP($B$5,标准坦克设计!$B$24:$U$30,MATCH("对"&amp;LEFT($C$5,2)&amp;"输出",标准坦克设计!$B$23:$U$23,0)))*(VLOOKUP($B78,INDIRECT($B$5&amp;"生成成长"),3))*(VLOOKUP($B$5,标准坦克设计!$B$14:$K$20,9)/30))</f>
        <v>84.449190639643774</v>
      </c>
      <c r="CZ78" s="173">
        <f ca="1">(VLOOKUP(CZ$72,INDIRECT($C$5&amp;"生成成长"),2))/((VLOOKUP($B78,INDIRECT($B$5&amp;"生成成长"),4))/(VLOOKUP(CZ$72,INDIRECT($C$5&amp;"生成成长"),5))*(VLOOKUP($B$5,标准坦克设计!$B$24:$U$30,MATCH("对"&amp;LEFT($C$5,2)&amp;"输出",标准坦克设计!$B$23:$U$23,0)))*(VLOOKUP($B78,INDIRECT($B$5&amp;"生成成长"),3))*(VLOOKUP($B$5,标准坦克设计!$B$14:$K$20,9)/30))</f>
        <v>89.794316325387783</v>
      </c>
      <c r="DA78" s="173">
        <f ca="1">(VLOOKUP(DA$72,INDIRECT($C$5&amp;"生成成长"),2))/((VLOOKUP($B78,INDIRECT($B$5&amp;"生成成长"),4))/(VLOOKUP(DA$72,INDIRECT($C$5&amp;"生成成长"),5))*(VLOOKUP($B$5,标准坦克设计!$B$24:$U$30,MATCH("对"&amp;LEFT($C$5,2)&amp;"输出",标准坦克设计!$B$23:$U$23,0)))*(VLOOKUP($B78,INDIRECT($B$5&amp;"生成成长"),3))*(VLOOKUP($B$5,标准坦克设计!$B$14:$K$20,9)/30))</f>
        <v>95.30344865699837</v>
      </c>
      <c r="DB78" s="173">
        <f ca="1">(VLOOKUP(DB$72,INDIRECT($C$5&amp;"生成成长"),2))/((VLOOKUP($B78,INDIRECT($B$5&amp;"生成成长"),4))/(VLOOKUP(DB$72,INDIRECT($C$5&amp;"生成成长"),5))*(VLOOKUP($B$5,标准坦克设计!$B$24:$U$30,MATCH("对"&amp;LEFT($C$5,2)&amp;"输出",标准坦克设计!$B$23:$U$23,0)))*(VLOOKUP($B78,INDIRECT($B$5&amp;"生成成长"),3))*(VLOOKUP($B$5,标准坦克设计!$B$14:$K$20,9)/30))</f>
        <v>100.97658763447558</v>
      </c>
      <c r="DC78" s="173">
        <f ca="1">(VLOOKUP(DC$72,INDIRECT($C$5&amp;"生成成长"),2))/((VLOOKUP($B78,INDIRECT($B$5&amp;"生成成长"),4))/(VLOOKUP(DC$72,INDIRECT($C$5&amp;"生成成长"),5))*(VLOOKUP($B$5,标准坦克设计!$B$24:$U$30,MATCH("对"&amp;LEFT($C$5,2)&amp;"输出",标准坦克设计!$B$23:$U$23,0)))*(VLOOKUP($B78,INDIRECT($B$5&amp;"生成成长"),3))*(VLOOKUP($B$5,标准坦克设计!$B$14:$K$20,9)/30))</f>
        <v>107.35251542089365</v>
      </c>
      <c r="DD78" s="173">
        <f ca="1">(VLOOKUP(DD$72,INDIRECT($C$5&amp;"生成成长"),2))/((VLOOKUP($B78,INDIRECT($B$5&amp;"生成成长"),4))/(VLOOKUP(DD$72,INDIRECT($C$5&amp;"生成成长"),5))*(VLOOKUP($B$5,标准坦克设计!$B$24:$U$30,MATCH("对"&amp;LEFT($C$5,2)&amp;"输出",标准坦克设计!$B$23:$U$23,0)))*(VLOOKUP($B78,INDIRECT($B$5&amp;"生成成长"),3))*(VLOOKUP($B$5,标准坦克设计!$B$14:$K$20,9)/30))</f>
        <v>113.92362467016126</v>
      </c>
      <c r="DE78" s="173">
        <f ca="1">(VLOOKUP(DE$72,INDIRECT($C$5&amp;"生成成长"),2))/((VLOOKUP($B78,INDIRECT($B$5&amp;"生成成长"),4))/(VLOOKUP(DE$72,INDIRECT($C$5&amp;"生成成长"),5))*(VLOOKUP($B$5,标准坦克设计!$B$24:$U$30,MATCH("对"&amp;LEFT($C$5,2)&amp;"输出",标准坦克设计!$B$23:$U$23,0)))*(VLOOKUP($B78,INDIRECT($B$5&amp;"生成成长"),3))*(VLOOKUP($B$5,标准坦克设计!$B$14:$K$20,9)/30))</f>
        <v>120.68991538227837</v>
      </c>
      <c r="DF78" s="173">
        <f ca="1">(VLOOKUP(DF$72,INDIRECT($C$5&amp;"生成成长"),2))/((VLOOKUP($B78,INDIRECT($B$5&amp;"生成成长"),4))/(VLOOKUP(DF$72,INDIRECT($C$5&amp;"生成成长"),5))*(VLOOKUP($B$5,标准坦克设计!$B$24:$U$30,MATCH("对"&amp;LEFT($C$5,2)&amp;"输出",标准坦克设计!$B$23:$U$23,0)))*(VLOOKUP($B78,INDIRECT($B$5&amp;"生成成长"),3))*(VLOOKUP($B$5,标准坦克设计!$B$14:$K$20,9)/30))</f>
        <v>127.65138755724504</v>
      </c>
      <c r="DG78" s="173">
        <f ca="1">(VLOOKUP(DG$72,INDIRECT($C$5&amp;"生成成长"),2))/((VLOOKUP($B78,INDIRECT($B$5&amp;"生成成长"),4))/(VLOOKUP(DG$72,INDIRECT($C$5&amp;"生成成长"),5))*(VLOOKUP($B$5,标准坦克设计!$B$24:$U$30,MATCH("对"&amp;LEFT($C$5,2)&amp;"输出",标准坦克设计!$B$23:$U$23,0)))*(VLOOKUP($B78,INDIRECT($B$5&amp;"生成成长"),3))*(VLOOKUP($B$5,标准坦克设计!$B$14:$K$20,9)/30))</f>
        <v>134.80804119506124</v>
      </c>
      <c r="DH78" s="173">
        <f ca="1">(VLOOKUP(DH$72,INDIRECT($C$5&amp;"生成成长"),2))/((VLOOKUP($B78,INDIRECT($B$5&amp;"生成成长"),4))/(VLOOKUP(DH$72,INDIRECT($C$5&amp;"生成成长"),5))*(VLOOKUP($B$5,标准坦克设计!$B$24:$U$30,MATCH("对"&amp;LEFT($C$5,2)&amp;"输出",标准坦克设计!$B$23:$U$23,0)))*(VLOOKUP($B78,INDIRECT($B$5&amp;"生成成长"),3))*(VLOOKUP($B$5,标准坦克设计!$B$14:$K$20,9)/30))</f>
        <v>142.15987629572697</v>
      </c>
      <c r="DI78" s="173">
        <f ca="1">(VLOOKUP(DI$72,INDIRECT($C$5&amp;"生成成长"),2))/((VLOOKUP($B78,INDIRECT($B$5&amp;"生成成长"),4))/(VLOOKUP(DI$72,INDIRECT($C$5&amp;"生成成长"),5))*(VLOOKUP($B$5,标准坦克设计!$B$24:$U$30,MATCH("对"&amp;LEFT($C$5,2)&amp;"输出",标准坦克设计!$B$23:$U$23,0)))*(VLOOKUP($B78,INDIRECT($B$5&amp;"生成成长"),3))*(VLOOKUP($B$5,标准坦克设计!$B$14:$K$20,9)/30))</f>
        <v>149.70689285924226</v>
      </c>
      <c r="DJ78" s="173">
        <f ca="1">(VLOOKUP(DJ$72,INDIRECT($C$5&amp;"生成成长"),2))/((VLOOKUP($B78,INDIRECT($B$5&amp;"生成成长"),4))/(VLOOKUP(DJ$72,INDIRECT($C$5&amp;"生成成长"),5))*(VLOOKUP($B$5,标准坦克设计!$B$24:$U$30,MATCH("对"&amp;LEFT($C$5,2)&amp;"输出",标准坦克设计!$B$23:$U$23,0)))*(VLOOKUP($B78,INDIRECT($B$5&amp;"生成成长"),3))*(VLOOKUP($B$5,标准坦克设计!$B$14:$K$20,9)/30))</f>
        <v>15.045915474730814</v>
      </c>
      <c r="DK78" s="173">
        <f ca="1">(VLOOKUP(DK$72,INDIRECT($C$5&amp;"生成成长"),2))/((VLOOKUP($B78,INDIRECT($B$5&amp;"生成成长"),4))/(VLOOKUP(DK$72,INDIRECT($C$5&amp;"生成成长"),5))*(VLOOKUP($B$5,标准坦克设计!$B$24:$U$30,MATCH("对"&amp;LEFT($C$5,2)&amp;"输出",标准坦克设计!$B$23:$U$23,0)))*(VLOOKUP($B78,INDIRECT($B$5&amp;"生成成长"),3))*(VLOOKUP($B$5,标准坦克设计!$B$14:$K$20,9)/30))</f>
        <v>16.918437633943519</v>
      </c>
      <c r="DL78" s="173">
        <f ca="1">(VLOOKUP(DL$72,INDIRECT($C$5&amp;"生成成长"),2))/((VLOOKUP($B78,INDIRECT($B$5&amp;"生成成长"),4))/(VLOOKUP(DL$72,INDIRECT($C$5&amp;"生成成长"),5))*(VLOOKUP($B$5,标准坦克设计!$B$24:$U$30,MATCH("对"&amp;LEFT($C$5,2)&amp;"输出",标准坦克设计!$B$23:$U$23,0)))*(VLOOKUP($B78,INDIRECT($B$5&amp;"生成成长"),3))*(VLOOKUP($B$5,标准坦克设计!$B$14:$K$20,9)/30))</f>
        <v>18.900749366009084</v>
      </c>
      <c r="DM78" s="173">
        <f ca="1">(VLOOKUP(DM$72,INDIRECT($C$5&amp;"生成成长"),2))/((VLOOKUP($B78,INDIRECT($B$5&amp;"生成成长"),4))/(VLOOKUP(DM$72,INDIRECT($C$5&amp;"生成成长"),5))*(VLOOKUP($B$5,标准坦克设计!$B$24:$U$30,MATCH("对"&amp;LEFT($C$5,2)&amp;"输出",标准坦克设计!$B$23:$U$23,0)))*(VLOOKUP($B78,INDIRECT($B$5&amp;"生成成长"),3))*(VLOOKUP($B$5,标准坦克设计!$B$14:$K$20,9)/30))</f>
        <v>20.992850670927517</v>
      </c>
      <c r="DN78" s="173">
        <f ca="1">(VLOOKUP(DN$72,INDIRECT($C$5&amp;"生成成长"),2))/((VLOOKUP($B78,INDIRECT($B$5&amp;"生成成长"),4))/(VLOOKUP(DN$72,INDIRECT($C$5&amp;"生成成长"),5))*(VLOOKUP($B$5,标准坦克设计!$B$24:$U$30,MATCH("对"&amp;LEFT($C$5,2)&amp;"输出",标准坦克设计!$B$23:$U$23,0)))*(VLOOKUP($B78,INDIRECT($B$5&amp;"生成成长"),3))*(VLOOKUP($B$5,标准坦克设计!$B$14:$K$20,9)/30))</f>
        <v>23.194741548698801</v>
      </c>
      <c r="DO78" s="173">
        <f ca="1">(VLOOKUP(DO$72,INDIRECT($C$5&amp;"生成成长"),2))/((VLOOKUP($B78,INDIRECT($B$5&amp;"生成成长"),4))/(VLOOKUP(DO$72,INDIRECT($C$5&amp;"生成成长"),5))*(VLOOKUP($B$5,标准坦克设计!$B$24:$U$30,MATCH("对"&amp;LEFT($C$5,2)&amp;"输出",标准坦克设计!$B$23:$U$23,0)))*(VLOOKUP($B78,INDIRECT($B$5&amp;"生成成长"),3))*(VLOOKUP($B$5,标准坦克设计!$B$14:$K$20,9)/30))</f>
        <v>25.506421999322956</v>
      </c>
      <c r="DP78" s="173">
        <f ca="1">(VLOOKUP(DP$72,INDIRECT($C$5&amp;"生成成长"),2))/((VLOOKUP($B78,INDIRECT($B$5&amp;"生成成长"),4))/(VLOOKUP(DP$72,INDIRECT($C$5&amp;"生成成长"),5))*(VLOOKUP($B$5,标准坦克设计!$B$24:$U$30,MATCH("对"&amp;LEFT($C$5,2)&amp;"输出",标准坦克设计!$B$23:$U$23,0)))*(VLOOKUP($B78,INDIRECT($B$5&amp;"生成成长"),3))*(VLOOKUP($B$5,标准坦克设计!$B$14:$K$20,9)/30))</f>
        <v>27.92789202279997</v>
      </c>
      <c r="DQ78" s="173">
        <f ca="1">(VLOOKUP(DQ$72,INDIRECT($C$5&amp;"生成成长"),2))/((VLOOKUP($B78,INDIRECT($B$5&amp;"生成成长"),4))/(VLOOKUP(DQ$72,INDIRECT($C$5&amp;"生成成长"),5))*(VLOOKUP($B$5,标准坦克设计!$B$24:$U$30,MATCH("对"&amp;LEFT($C$5,2)&amp;"输出",标准坦克设计!$B$23:$U$23,0)))*(VLOOKUP($B78,INDIRECT($B$5&amp;"生成成长"),3))*(VLOOKUP($B$5,标准坦克设计!$B$14:$K$20,9)/30))</f>
        <v>30.459151619129845</v>
      </c>
      <c r="DR78" s="173">
        <f ca="1">(VLOOKUP(DR$72,INDIRECT($C$5&amp;"生成成长"),2))/((VLOOKUP($B78,INDIRECT($B$5&amp;"生成成长"),4))/(VLOOKUP(DR$72,INDIRECT($C$5&amp;"生成成长"),5))*(VLOOKUP($B$5,标准坦克设计!$B$24:$U$30,MATCH("对"&amp;LEFT($C$5,2)&amp;"输出",标准坦克设计!$B$23:$U$23,0)))*(VLOOKUP($B78,INDIRECT($B$5&amp;"生成成长"),3))*(VLOOKUP($B$5,标准坦克设计!$B$14:$K$20,9)/30))</f>
        <v>33.100200788312584</v>
      </c>
      <c r="DS78" s="173">
        <f ca="1">(VLOOKUP(DS$72,INDIRECT($C$5&amp;"生成成长"),2))/((VLOOKUP($B78,INDIRECT($B$5&amp;"生成成长"),4))/(VLOOKUP(DS$72,INDIRECT($C$5&amp;"生成成长"),5))*(VLOOKUP($B$5,标准坦克设计!$B$24:$U$30,MATCH("对"&amp;LEFT($C$5,2)&amp;"输出",标准坦克设计!$B$23:$U$23,0)))*(VLOOKUP($B78,INDIRECT($B$5&amp;"生成成长"),3))*(VLOOKUP($B$5,标准坦克设计!$B$14:$K$20,9)/30))</f>
        <v>35.851039530348189</v>
      </c>
      <c r="DT78" s="173">
        <f ca="1">(VLOOKUP(DT$72,INDIRECT($C$5&amp;"生成成长"),2))/((VLOOKUP($B78,INDIRECT($B$5&amp;"生成成长"),4))/(VLOOKUP(DT$72,INDIRECT($C$5&amp;"生成成长"),5))*(VLOOKUP($B$5,标准坦克设计!$B$24:$U$30,MATCH("对"&amp;LEFT($C$5,2)&amp;"输出",标准坦克设计!$B$23:$U$23,0)))*(VLOOKUP($B78,INDIRECT($B$5&amp;"生成成长"),3))*(VLOOKUP($B$5,标准坦克设计!$B$14:$K$20,9)/30))</f>
        <v>39.362272721401759</v>
      </c>
      <c r="DU78" s="173">
        <f ca="1">(VLOOKUP(DU$72,INDIRECT($C$5&amp;"生成成长"),2))/((VLOOKUP($B78,INDIRECT($B$5&amp;"生成成长"),4))/(VLOOKUP(DU$72,INDIRECT($C$5&amp;"生成成长"),5))*(VLOOKUP($B$5,标准坦克设计!$B$24:$U$30,MATCH("对"&amp;LEFT($C$5,2)&amp;"输出",标准坦克设计!$B$23:$U$23,0)))*(VLOOKUP($B78,INDIRECT($B$5&amp;"生成成长"),3))*(VLOOKUP($B$5,标准坦克设计!$B$14:$K$20,9)/30))</f>
        <v>43.037512558321957</v>
      </c>
      <c r="DV78" s="173">
        <f ca="1">(VLOOKUP(DV$72,INDIRECT($C$5&amp;"生成成长"),2))/((VLOOKUP($B78,INDIRECT($B$5&amp;"生成成长"),4))/(VLOOKUP(DV$72,INDIRECT($C$5&amp;"生成成长"),5))*(VLOOKUP($B$5,标准坦克设计!$B$24:$U$30,MATCH("对"&amp;LEFT($C$5,2)&amp;"输出",标准坦克设计!$B$23:$U$23,0)))*(VLOOKUP($B78,INDIRECT($B$5&amp;"生成成长"),3))*(VLOOKUP($B$5,标准坦克设计!$B$14:$K$20,9)/30))</f>
        <v>46.876759041108762</v>
      </c>
      <c r="DW78" s="173">
        <f ca="1">(VLOOKUP(DW$72,INDIRECT($C$5&amp;"生成成长"),2))/((VLOOKUP($B78,INDIRECT($B$5&amp;"生成成长"),4))/(VLOOKUP(DW$72,INDIRECT($C$5&amp;"生成成长"),5))*(VLOOKUP($B$5,标准坦克设计!$B$24:$U$30,MATCH("对"&amp;LEFT($C$5,2)&amp;"输出",标准坦克设计!$B$23:$U$23,0)))*(VLOOKUP($B78,INDIRECT($B$5&amp;"生成成长"),3))*(VLOOKUP($B$5,标准坦克设计!$B$14:$K$20,9)/30))</f>
        <v>50.880012169762203</v>
      </c>
      <c r="DX78" s="173">
        <f ca="1">(VLOOKUP(DX$72,INDIRECT($C$5&amp;"生成成长"),2))/((VLOOKUP($B78,INDIRECT($B$5&amp;"生成成长"),4))/(VLOOKUP(DX$72,INDIRECT($C$5&amp;"生成成长"),5))*(VLOOKUP($B$5,标准坦克设计!$B$24:$U$30,MATCH("对"&amp;LEFT($C$5,2)&amp;"输出",标准坦克设计!$B$23:$U$23,0)))*(VLOOKUP($B78,INDIRECT($B$5&amp;"生成成长"),3))*(VLOOKUP($B$5,标准坦克设计!$B$14:$K$20,9)/30))</f>
        <v>55.047271944282251</v>
      </c>
      <c r="DY78" s="173">
        <f ca="1">(VLOOKUP(DY$72,INDIRECT($C$5&amp;"生成成长"),2))/((VLOOKUP($B78,INDIRECT($B$5&amp;"生成成长"),4))/(VLOOKUP(DY$72,INDIRECT($C$5&amp;"生成成长"),5))*(VLOOKUP($B$5,标准坦克设计!$B$24:$U$30,MATCH("对"&amp;LEFT($C$5,2)&amp;"输出",标准坦克设计!$B$23:$U$23,0)))*(VLOOKUP($B78,INDIRECT($B$5&amp;"生成成长"),3))*(VLOOKUP($B$5,标准坦克设计!$B$14:$K$20,9)/30))</f>
        <v>24.72366300768681</v>
      </c>
      <c r="DZ78" s="173">
        <f ca="1">(VLOOKUP(DZ$72,INDIRECT($C$5&amp;"生成成长"),2))/((VLOOKUP($B78,INDIRECT($B$5&amp;"生成成长"),4))/(VLOOKUP(DZ$72,INDIRECT($C$5&amp;"生成成长"),5))*(VLOOKUP($B$5,标准坦克设计!$B$24:$U$30,MATCH("对"&amp;LEFT($C$5,2)&amp;"输出",标准坦克设计!$B$23:$U$23,0)))*(VLOOKUP($B78,INDIRECT($B$5&amp;"生成成长"),3))*(VLOOKUP($B$5,标准坦克设计!$B$14:$K$20,9)/30))</f>
        <v>27.380299585361001</v>
      </c>
      <c r="EA78" s="173">
        <f ca="1">(VLOOKUP(EA$72,INDIRECT($C$5&amp;"生成成长"),2))/((VLOOKUP($B78,INDIRECT($B$5&amp;"生成成长"),4))/(VLOOKUP(EA$72,INDIRECT($C$5&amp;"生成成长"),5))*(VLOOKUP($B$5,标准坦克设计!$B$24:$U$30,MATCH("对"&amp;LEFT($C$5,2)&amp;"输出",标准坦克设计!$B$23:$U$23,0)))*(VLOOKUP($B78,INDIRECT($B$5&amp;"生成成长"),3))*(VLOOKUP($B$5,标准坦克设计!$B$14:$K$20,9)/30))</f>
        <v>30.172478845569593</v>
      </c>
      <c r="EB78" s="173">
        <f ca="1">(VLOOKUP(EB$72,INDIRECT($C$5&amp;"生成成长"),2))/((VLOOKUP($B78,INDIRECT($B$5&amp;"生成成长"),4))/(VLOOKUP(EB$72,INDIRECT($C$5&amp;"生成成长"),5))*(VLOOKUP($B$5,标准坦克设计!$B$24:$U$30,MATCH("对"&amp;LEFT($C$5,2)&amp;"输出",标准坦克设计!$B$23:$U$23,0)))*(VLOOKUP($B78,INDIRECT($B$5&amp;"生成成长"),3))*(VLOOKUP($B$5,标准坦克设计!$B$14:$K$20,9)/30))</f>
        <v>33.100200788312584</v>
      </c>
      <c r="EC78" s="173">
        <f ca="1">(VLOOKUP(EC$72,INDIRECT($C$5&amp;"生成成长"),2))/((VLOOKUP($B78,INDIRECT($B$5&amp;"生成成长"),4))/(VLOOKUP(EC$72,INDIRECT($C$5&amp;"生成成长"),5))*(VLOOKUP($B$5,标准坦克设计!$B$24:$U$30,MATCH("对"&amp;LEFT($C$5,2)&amp;"输出",标准坦克设计!$B$23:$U$23,0)))*(VLOOKUP($B78,INDIRECT($B$5&amp;"生成成长"),3))*(VLOOKUP($B$5,标准坦克设计!$B$14:$K$20,9)/30))</f>
        <v>36.163465413589975</v>
      </c>
      <c r="ED78" s="173">
        <f ca="1">(VLOOKUP(ED$72,INDIRECT($C$5&amp;"生成成长"),2))/((VLOOKUP($B78,INDIRECT($B$5&amp;"生成成长"),4))/(VLOOKUP(ED$72,INDIRECT($C$5&amp;"生成成长"),5))*(VLOOKUP($B$5,标准坦克设计!$B$24:$U$30,MATCH("对"&amp;LEFT($C$5,2)&amp;"输出",标准坦克设计!$B$23:$U$23,0)))*(VLOOKUP($B78,INDIRECT($B$5&amp;"生成成长"),3))*(VLOOKUP($B$5,标准坦克设计!$B$14:$K$20,9)/30))</f>
        <v>39.362272721401759</v>
      </c>
      <c r="EE78" s="173">
        <f ca="1">(VLOOKUP(EE$72,INDIRECT($C$5&amp;"生成成长"),2))/((VLOOKUP($B78,INDIRECT($B$5&amp;"生成成长"),4))/(VLOOKUP(EE$72,INDIRECT($C$5&amp;"生成成长"),5))*(VLOOKUP($B$5,标准坦克设计!$B$24:$U$30,MATCH("对"&amp;LEFT($C$5,2)&amp;"输出",标准坦克设计!$B$23:$U$23,0)))*(VLOOKUP($B78,INDIRECT($B$5&amp;"生成成长"),3))*(VLOOKUP($B$5,标准坦克设计!$B$14:$K$20,9)/30))</f>
        <v>42.696622711747949</v>
      </c>
      <c r="EF78" s="173">
        <f ca="1">(VLOOKUP(EF$72,INDIRECT($C$5&amp;"生成成长"),2))/((VLOOKUP($B78,INDIRECT($B$5&amp;"生成成长"),4))/(VLOOKUP(EF$72,INDIRECT($C$5&amp;"生成成长"),5))*(VLOOKUP($B$5,标准坦克设计!$B$24:$U$30,MATCH("对"&amp;LEFT($C$5,2)&amp;"输出",标准坦克设计!$B$23:$U$23,0)))*(VLOOKUP($B78,INDIRECT($B$5&amp;"生成成长"),3))*(VLOOKUP($B$5,标准坦克设计!$B$14:$K$20,9)/30))</f>
        <v>46.166515384628525</v>
      </c>
      <c r="EG78" s="173">
        <f ca="1">(VLOOKUP(EG$72,INDIRECT($C$5&amp;"生成成长"),2))/((VLOOKUP($B78,INDIRECT($B$5&amp;"生成成长"),4))/(VLOOKUP(EG$72,INDIRECT($C$5&amp;"生成成长"),5))*(VLOOKUP($B$5,标准坦克设计!$B$24:$U$30,MATCH("对"&amp;LEFT($C$5,2)&amp;"输出",标准坦克设计!$B$23:$U$23,0)))*(VLOOKUP($B78,INDIRECT($B$5&amp;"生成成长"),3))*(VLOOKUP($B$5,标准坦克设计!$B$14:$K$20,9)/30))</f>
        <v>49.771950740043501</v>
      </c>
      <c r="EH78" s="173">
        <f ca="1">(VLOOKUP(EH$72,INDIRECT($C$5&amp;"生成成长"),2))/((VLOOKUP($B78,INDIRECT($B$5&amp;"生成成长"),4))/(VLOOKUP(EH$72,INDIRECT($C$5&amp;"生成成长"),5))*(VLOOKUP($B$5,标准坦克设计!$B$24:$U$30,MATCH("对"&amp;LEFT($C$5,2)&amp;"输出",标准坦克设计!$B$23:$U$23,0)))*(VLOOKUP($B78,INDIRECT($B$5&amp;"生成成长"),3))*(VLOOKUP($B$5,标准坦克设计!$B$14:$K$20,9)/30))</f>
        <v>53.512928777992876</v>
      </c>
      <c r="EI78" s="173">
        <f ca="1">(VLOOKUP(EI$72,INDIRECT($C$5&amp;"生成成长"),2))/((VLOOKUP($B78,INDIRECT($B$5&amp;"生成成长"),4))/(VLOOKUP(EI$72,INDIRECT($C$5&amp;"生成成长"),5))*(VLOOKUP($B$5,标准坦克设计!$B$24:$U$30,MATCH("对"&amp;LEFT($C$5,2)&amp;"输出",标准坦克设计!$B$23:$U$23,0)))*(VLOOKUP($B78,INDIRECT($B$5&amp;"生成成长"),3))*(VLOOKUP($B$5,标准坦克设计!$B$14:$K$20,9)/30))</f>
        <v>57.389449498476651</v>
      </c>
      <c r="EJ78" s="173">
        <f ca="1">(VLOOKUP(EJ$72,INDIRECT($C$5&amp;"生成成长"),2))/((VLOOKUP($B78,INDIRECT($B$5&amp;"生成成长"),4))/(VLOOKUP(EJ$72,INDIRECT($C$5&amp;"生成成长"),5))*(VLOOKUP($B$5,标准坦克设计!$B$24:$U$30,MATCH("对"&amp;LEFT($C$5,2)&amp;"输出",标准坦克设计!$B$23:$U$23,0)))*(VLOOKUP($B78,INDIRECT($B$5&amp;"生成成长"),3))*(VLOOKUP($B$5,标准坦克设计!$B$14:$K$20,9)/30))</f>
        <v>61.401512901494812</v>
      </c>
      <c r="EK78" s="173">
        <f ca="1">(VLOOKUP(EK$72,INDIRECT($C$5&amp;"生成成长"),2))/((VLOOKUP($B78,INDIRECT($B$5&amp;"生成成长"),4))/(VLOOKUP(EK$72,INDIRECT($C$5&amp;"生成成长"),5))*(VLOOKUP($B$5,标准坦克设计!$B$24:$U$30,MATCH("对"&amp;LEFT($C$5,2)&amp;"输出",标准坦克设计!$B$23:$U$23,0)))*(VLOOKUP($B78,INDIRECT($B$5&amp;"生成成长"),3))*(VLOOKUP($B$5,标准坦克设计!$B$14:$K$20,9)/30))</f>
        <v>66.394905326062045</v>
      </c>
      <c r="EL78" s="173">
        <f ca="1">(VLOOKUP(EL$72,INDIRECT($C$5&amp;"生成成长"),2))/((VLOOKUP($B78,INDIRECT($B$5&amp;"生成成长"),4))/(VLOOKUP(EL$72,INDIRECT($C$5&amp;"生成成长"),5))*(VLOOKUP($B$5,标准坦克设计!$B$24:$U$30,MATCH("对"&amp;LEFT($C$5,2)&amp;"输出",标准坦克设计!$B$23:$U$23,0)))*(VLOOKUP($B78,INDIRECT($B$5&amp;"生成成长"),3))*(VLOOKUP($B$5,标准坦克设计!$B$14:$K$20,9)/30))</f>
        <v>71.583479213478782</v>
      </c>
      <c r="EM78" s="173">
        <f ca="1">(VLOOKUP(EM$72,INDIRECT($C$5&amp;"生成成长"),2))/((VLOOKUP($B78,INDIRECT($B$5&amp;"生成成长"),4))/(VLOOKUP(EM$72,INDIRECT($C$5&amp;"生成成长"),5))*(VLOOKUP($B$5,标准坦克设计!$B$24:$U$30,MATCH("对"&amp;LEFT($C$5,2)&amp;"输出",标准坦克设计!$B$23:$U$23,0)))*(VLOOKUP($B78,INDIRECT($B$5&amp;"生成成长"),3))*(VLOOKUP($B$5,标准坦克设计!$B$14:$K$20,9)/30))</f>
        <v>76.967234563745052</v>
      </c>
      <c r="EN78" s="173">
        <f ca="1">(VLOOKUP(EN$72,INDIRECT($C$5&amp;"生成成长"),2))/((VLOOKUP($B78,INDIRECT($B$5&amp;"生成成长"),4))/(VLOOKUP(EN$72,INDIRECT($C$5&amp;"生成成长"),5))*(VLOOKUP($B$5,标准坦克设计!$B$24:$U$30,MATCH("对"&amp;LEFT($C$5,2)&amp;"输出",标准坦克设计!$B$23:$U$23,0)))*(VLOOKUP($B78,INDIRECT($B$5&amp;"生成成长"),3))*(VLOOKUP($B$5,标准坦克设计!$B$14:$K$20,9)/30))</f>
        <v>82.546171376860855</v>
      </c>
      <c r="EO78" s="173">
        <f ca="1">(VLOOKUP(EO$72,INDIRECT($C$5&amp;"生成成长"),2))/((VLOOKUP($B78,INDIRECT($B$5&amp;"生成成长"),4))/(VLOOKUP(EO$72,INDIRECT($C$5&amp;"生成成长"),5))*(VLOOKUP($B$5,标准坦克设计!$B$24:$U$30,MATCH("对"&amp;LEFT($C$5,2)&amp;"输出",标准坦克设计!$B$23:$U$23,0)))*(VLOOKUP($B78,INDIRECT($B$5&amp;"生成成长"),3))*(VLOOKUP($B$5,标准坦克设计!$B$14:$K$20,9)/30))</f>
        <v>88.320289652826204</v>
      </c>
      <c r="EP78" s="173">
        <f ca="1">(VLOOKUP(EP$72,INDIRECT($C$5&amp;"生成成长"),2))/((VLOOKUP($B78,INDIRECT($B$5&amp;"生成成长"),4))/(VLOOKUP(EP$72,INDIRECT($C$5&amp;"生成成长"),5))*(VLOOKUP($B$5,标准坦克设计!$B$24:$U$30,MATCH("对"&amp;LEFT($C$5,2)&amp;"输出",标准坦克设计!$B$23:$U$23,0)))*(VLOOKUP($B78,INDIRECT($B$5&amp;"生成成长"),3))*(VLOOKUP($B$5,标准坦克设计!$B$14:$K$20,9)/30))</f>
        <v>94.289589391641087</v>
      </c>
      <c r="EQ78" s="173">
        <f ca="1">(VLOOKUP(EQ$72,INDIRECT($C$5&amp;"生成成长"),2))/((VLOOKUP($B78,INDIRECT($B$5&amp;"生成成长"),4))/(VLOOKUP(EQ$72,INDIRECT($C$5&amp;"生成成长"),5))*(VLOOKUP($B$5,标准坦克设计!$B$24:$U$30,MATCH("对"&amp;LEFT($C$5,2)&amp;"输出",标准坦克设计!$B$23:$U$23,0)))*(VLOOKUP($B78,INDIRECT($B$5&amp;"生成成长"),3))*(VLOOKUP($B$5,标准坦克设计!$B$14:$K$20,9)/30))</f>
        <v>41.682085732977967</v>
      </c>
      <c r="ER78" s="173">
        <f ca="1">(VLOOKUP(ER$72,INDIRECT($C$5&amp;"生成成长"),2))/((VLOOKUP($B78,INDIRECT($B$5&amp;"生成成长"),4))/(VLOOKUP(ER$72,INDIRECT($C$5&amp;"生成成长"),5))*(VLOOKUP($B$5,标准坦克设计!$B$24:$U$30,MATCH("对"&amp;LEFT($C$5,2)&amp;"输出",标准坦克设计!$B$23:$U$23,0)))*(VLOOKUP($B78,INDIRECT($B$5&amp;"生成成长"),3))*(VLOOKUP($B$5,标准坦克设计!$B$14:$K$20,9)/30))</f>
        <v>45.461693435449654</v>
      </c>
      <c r="ES78" s="173">
        <f ca="1">(VLOOKUP(ES$72,INDIRECT($C$5&amp;"生成成长"),2))/((VLOOKUP($B78,INDIRECT($B$5&amp;"生成成长"),4))/(VLOOKUP(ES$72,INDIRECT($C$5&amp;"生成成长"),5))*(VLOOKUP($B$5,标准坦克设计!$B$24:$U$30,MATCH("对"&amp;LEFT($C$5,2)&amp;"输出",标准坦克设计!$B$23:$U$23,0)))*(VLOOKUP($B78,INDIRECT($B$5&amp;"生成成长"),3))*(VLOOKUP($B$5,标准坦克设计!$B$14:$K$20,9)/30))</f>
        <v>49.405307783787947</v>
      </c>
      <c r="ET78" s="173">
        <f ca="1">(VLOOKUP(ET$72,INDIRECT($C$5&amp;"生成成长"),2))/((VLOOKUP($B78,INDIRECT($B$5&amp;"生成成长"),4))/(VLOOKUP(ET$72,INDIRECT($C$5&amp;"生成成长"),5))*(VLOOKUP($B$5,标准坦克设计!$B$24:$U$30,MATCH("对"&amp;LEFT($C$5,2)&amp;"输出",标准坦克设计!$B$23:$U$23,0)))*(VLOOKUP($B78,INDIRECT($B$5&amp;"生成成长"),3))*(VLOOKUP($B$5,标准坦克设计!$B$14:$K$20,9)/30))</f>
        <v>53.512928777992876</v>
      </c>
      <c r="EU78" s="173">
        <f ca="1">(VLOOKUP(EU$72,INDIRECT($C$5&amp;"生成成长"),2))/((VLOOKUP($B78,INDIRECT($B$5&amp;"生成成长"),4))/(VLOOKUP(EU$72,INDIRECT($C$5&amp;"生成成长"),5))*(VLOOKUP($B$5,标准坦克设计!$B$24:$U$30,MATCH("对"&amp;LEFT($C$5,2)&amp;"输出",标准坦克设计!$B$23:$U$23,0)))*(VLOOKUP($B78,INDIRECT($B$5&amp;"生成成长"),3))*(VLOOKUP($B$5,标准坦克设计!$B$14:$K$20,9)/30))</f>
        <v>57.784556418064419</v>
      </c>
      <c r="EV78" s="173">
        <f ca="1">(VLOOKUP(EV$72,INDIRECT($C$5&amp;"生成成长"),2))/((VLOOKUP($B78,INDIRECT($B$5&amp;"生成成长"),4))/(VLOOKUP(EV$72,INDIRECT($C$5&amp;"生成成长"),5))*(VLOOKUP($B$5,标准坦克设计!$B$24:$U$30,MATCH("对"&amp;LEFT($C$5,2)&amp;"输出",标准坦克设计!$B$23:$U$23,0)))*(VLOOKUP($B78,INDIRECT($B$5&amp;"生成成长"),3))*(VLOOKUP($B$5,标准坦克设计!$B$14:$K$20,9)/30))</f>
        <v>62.220190704002583</v>
      </c>
      <c r="EW78" s="173">
        <f ca="1">(VLOOKUP(EW$72,INDIRECT($C$5&amp;"生成成长"),2))/((VLOOKUP($B78,INDIRECT($B$5&amp;"生成成长"),4))/(VLOOKUP(EW$72,INDIRECT($C$5&amp;"生成成长"),5))*(VLOOKUP($B$5,标准坦克设计!$B$24:$U$30,MATCH("对"&amp;LEFT($C$5,2)&amp;"输出",标准坦克设计!$B$23:$U$23,0)))*(VLOOKUP($B78,INDIRECT($B$5&amp;"生成成长"),3))*(VLOOKUP($B$5,标准坦克设计!$B$14:$K$20,9)/30))</f>
        <v>66.819831635807361</v>
      </c>
      <c r="EX78" s="173">
        <f ca="1">(VLOOKUP(EX$72,INDIRECT($C$5&amp;"生成成长"),2))/((VLOOKUP($B78,INDIRECT($B$5&amp;"生成成长"),4))/(VLOOKUP(EX$72,INDIRECT($C$5&amp;"生成成长"),5))*(VLOOKUP($B$5,标准坦克设计!$B$24:$U$30,MATCH("对"&amp;LEFT($C$5,2)&amp;"输出",标准坦克设计!$B$23:$U$23,0)))*(VLOOKUP($B78,INDIRECT($B$5&amp;"生成成长"),3))*(VLOOKUP($B$5,标准坦克设计!$B$14:$K$20,9)/30))</f>
        <v>71.583479213478782</v>
      </c>
      <c r="EY78" s="173">
        <f ca="1">(VLOOKUP(EY$72,INDIRECT($C$5&amp;"生成成长"),2))/((VLOOKUP($B78,INDIRECT($B$5&amp;"生成成长"),4))/(VLOOKUP(EY$72,INDIRECT($C$5&amp;"生成成长"),5))*(VLOOKUP($B$5,标准坦克设计!$B$24:$U$30,MATCH("对"&amp;LEFT($C$5,2)&amp;"输出",标准坦克设计!$B$23:$U$23,0)))*(VLOOKUP($B78,INDIRECT($B$5&amp;"生成成长"),3))*(VLOOKUP($B$5,标准坦克设计!$B$14:$K$20,9)/30))</f>
        <v>76.511133437016795</v>
      </c>
      <c r="EZ78" s="173">
        <f ca="1">(VLOOKUP(EZ$72,INDIRECT($C$5&amp;"生成成长"),2))/((VLOOKUP($B78,INDIRECT($B$5&amp;"生成成长"),4))/(VLOOKUP(EZ$72,INDIRECT($C$5&amp;"生成成长"),5))*(VLOOKUP($B$5,标准坦克设计!$B$24:$U$30,MATCH("对"&amp;LEFT($C$5,2)&amp;"输出",标准坦克设计!$B$23:$U$23,0)))*(VLOOKUP($B78,INDIRECT($B$5&amp;"生成成长"),3))*(VLOOKUP($B$5,标准坦克设计!$B$14:$K$20,9)/30))</f>
        <v>81.602794306421458</v>
      </c>
      <c r="FA78" s="173">
        <f ca="1">(VLOOKUP(FA$72,INDIRECT($C$5&amp;"生成成长"),2))/((VLOOKUP($B78,INDIRECT($B$5&amp;"生成成长"),4))/(VLOOKUP(FA$72,INDIRECT($C$5&amp;"生成成长"),5))*(VLOOKUP($B$5,标准坦克设计!$B$24:$U$30,MATCH("对"&amp;LEFT($C$5,2)&amp;"输出",标准坦克设计!$B$23:$U$23,0)))*(VLOOKUP($B78,INDIRECT($B$5&amp;"生成成长"),3))*(VLOOKUP($B$5,标准坦克设计!$B$14:$K$20,9)/30))</f>
        <v>86.858461821692742</v>
      </c>
      <c r="FB78" s="173">
        <f ca="1">(VLOOKUP(FB$72,INDIRECT($C$5&amp;"生成成长"),2))/((VLOOKUP($B78,INDIRECT($B$5&amp;"生成成长"),4))/(VLOOKUP(FB$72,INDIRECT($C$5&amp;"生成成长"),5))*(VLOOKUP($B$5,标准坦克设计!$B$24:$U$30,MATCH("对"&amp;LEFT($C$5,2)&amp;"输出",标准坦克设计!$B$23:$U$23,0)))*(VLOOKUP($B78,INDIRECT($B$5&amp;"生成成长"),3))*(VLOOKUP($B$5,标准坦克设计!$B$14:$K$20,9)/30))</f>
        <v>92.278135982830619</v>
      </c>
      <c r="FC78" s="173">
        <f ca="1">(VLOOKUP(FC$72,INDIRECT($C$5&amp;"生成成长"),2))/((VLOOKUP($B78,INDIRECT($B$5&amp;"生成成长"),4))/(VLOOKUP(FC$72,INDIRECT($C$5&amp;"生成成长"),5))*(VLOOKUP($B$5,标准坦克设计!$B$24:$U$30,MATCH("对"&amp;LEFT($C$5,2)&amp;"输出",标准坦克设计!$B$23:$U$23,0)))*(VLOOKUP($B78,INDIRECT($B$5&amp;"生成成长"),3))*(VLOOKUP($B$5,标准坦克设计!$B$14:$K$20,9)/30))</f>
        <v>97.861816789835132</v>
      </c>
      <c r="FD78" s="173">
        <f ca="1">(VLOOKUP(FD$72,INDIRECT($C$5&amp;"生成成长"),2))/((VLOOKUP($B78,INDIRECT($B$5&amp;"生成成长"),4))/(VLOOKUP(FD$72,INDIRECT($C$5&amp;"生成成长"),5))*(VLOOKUP($B$5,标准坦克设计!$B$24:$U$30,MATCH("对"&amp;LEFT($C$5,2)&amp;"输出",标准坦克设计!$B$23:$U$23,0)))*(VLOOKUP($B78,INDIRECT($B$5&amp;"生成成长"),3))*(VLOOKUP($B$5,标准坦克设计!$B$14:$K$20,9)/30))</f>
        <v>103.60950424270627</v>
      </c>
      <c r="FE78" s="173">
        <f ca="1">(VLOOKUP(FE$72,INDIRECT($C$5&amp;"生成成长"),2))/((VLOOKUP($B78,INDIRECT($B$5&amp;"生成成长"),4))/(VLOOKUP(FE$72,INDIRECT($C$5&amp;"生成成长"),5))*(VLOOKUP($B$5,标准坦克设计!$B$24:$U$30,MATCH("对"&amp;LEFT($C$5,2)&amp;"输出",标准坦克设计!$B$23:$U$23,0)))*(VLOOKUP($B78,INDIRECT($B$5&amp;"生成成长"),3))*(VLOOKUP($B$5,标准坦克设计!$B$14:$K$20,9)/30))</f>
        <v>110.61367236267127</v>
      </c>
      <c r="FF78" s="173">
        <f ca="1">(VLOOKUP(FF$72,INDIRECT($C$5&amp;"生成成长"),2))/((VLOOKUP($B78,INDIRECT($B$5&amp;"生成成长"),4))/(VLOOKUP(FF$72,INDIRECT($C$5&amp;"生成成长"),5))*(VLOOKUP($B$5,标准坦克设计!$B$24:$U$30,MATCH("对"&amp;LEFT($C$5,2)&amp;"输出",标准坦克设计!$B$23:$U$23,0)))*(VLOOKUP($B78,INDIRECT($B$5&amp;"生成成长"),3))*(VLOOKUP($B$5,标准坦克设计!$B$14:$K$20,9)/30))</f>
        <v>117.8469076161194</v>
      </c>
      <c r="FG78" s="173">
        <f ca="1">(VLOOKUP(FG$72,INDIRECT($C$5&amp;"生成成长"),2))/((VLOOKUP($B78,INDIRECT($B$5&amp;"生成成长"),4))/(VLOOKUP(FG$72,INDIRECT($C$5&amp;"生成成长"),5))*(VLOOKUP($B$5,标准坦克设计!$B$24:$U$30,MATCH("对"&amp;LEFT($C$5,2)&amp;"输出",标准坦克设计!$B$23:$U$23,0)))*(VLOOKUP($B78,INDIRECT($B$5&amp;"生成成长"),3))*(VLOOKUP($B$5,标准坦克设计!$B$14:$K$20,9)/30))</f>
        <v>125.30921000305064</v>
      </c>
      <c r="FH78" s="173">
        <f ca="1">(VLOOKUP(FH$72,INDIRECT($C$5&amp;"生成成长"),2))/((VLOOKUP($B78,INDIRECT($B$5&amp;"生成成长"),4))/(VLOOKUP(FH$72,INDIRECT($C$5&amp;"生成成长"),5))*(VLOOKUP($B$5,标准坦克设计!$B$24:$U$30,MATCH("对"&amp;LEFT($C$5,2)&amp;"输出",标准坦克设计!$B$23:$U$23,0)))*(VLOOKUP($B78,INDIRECT($B$5&amp;"生成成长"),3))*(VLOOKUP($B$5,标准坦克设计!$B$14:$K$20,9)/30))</f>
        <v>133.00057952346506</v>
      </c>
      <c r="FI78" s="173">
        <f ca="1">(VLOOKUP(FI$72,INDIRECT($C$5&amp;"生成成长"),2))/((VLOOKUP($B78,INDIRECT($B$5&amp;"生成成长"),4))/(VLOOKUP(FI$72,INDIRECT($C$5&amp;"生成成长"),5))*(VLOOKUP($B$5,标准坦克设计!$B$24:$U$30,MATCH("对"&amp;LEFT($C$5,2)&amp;"输出",标准坦克设计!$B$23:$U$23,0)))*(VLOOKUP($B78,INDIRECT($B$5&amp;"生成成长"),3))*(VLOOKUP($B$5,标准坦克设计!$B$14:$K$20,9)/30))</f>
        <v>140.92101617736259</v>
      </c>
      <c r="FJ78" s="173">
        <f ca="1">(VLOOKUP(FJ$72,INDIRECT($C$5&amp;"生成成长"),2))/((VLOOKUP($B78,INDIRECT($B$5&amp;"生成成长"),4))/(VLOOKUP(FJ$72,INDIRECT($C$5&amp;"生成成长"),5))*(VLOOKUP($B$5,标准坦克设计!$B$24:$U$30,MATCH("对"&amp;LEFT($C$5,2)&amp;"输出",标准坦克设计!$B$23:$U$23,0)))*(VLOOKUP($B78,INDIRECT($B$5&amp;"生成成长"),3))*(VLOOKUP($B$5,标准坦克设计!$B$14:$K$20,9)/30))</f>
        <v>149.07051996474323</v>
      </c>
      <c r="FK78" s="173">
        <f ca="1">(VLOOKUP(FK$72,INDIRECT($C$5&amp;"生成成长"),2))/((VLOOKUP($B78,INDIRECT($B$5&amp;"生成成长"),4))/(VLOOKUP(FK$72,INDIRECT($C$5&amp;"生成成长"),5))*(VLOOKUP($B$5,标准坦克设计!$B$24:$U$30,MATCH("对"&amp;LEFT($C$5,2)&amp;"输出",标准坦克设计!$B$23:$U$23,0)))*(VLOOKUP($B78,INDIRECT($B$5&amp;"生成成长"),3))*(VLOOKUP($B$5,标准坦克设计!$B$14:$K$20,9)/30))</f>
        <v>157.44909088560703</v>
      </c>
    </row>
    <row r="79" spans="1:167" x14ac:dyDescent="0.15">
      <c r="A79" s="171" t="str">
        <f t="shared" si="11"/>
        <v>T2低品质2级</v>
      </c>
      <c r="B79" s="172">
        <v>10202</v>
      </c>
      <c r="C79" s="173">
        <f ca="1">(VLOOKUP(C$72,INDIRECT($C$5&amp;"生成成长"),2))/((VLOOKUP($B79,INDIRECT($B$5&amp;"生成成长"),4))/(VLOOKUP(C$72,INDIRECT($C$5&amp;"生成成长"),5))*(VLOOKUP($B$5,标准坦克设计!$B$24:$U$30,MATCH("对"&amp;LEFT($C$5,2)&amp;"输出",标准坦克设计!$B$23:$U$23,0)))*(VLOOKUP($B79,INDIRECT($B$5&amp;"生成成长"),3))*(VLOOKUP($B$5,标准坦克设计!$B$14:$K$20,9)/30))</f>
        <v>5.891623932906044</v>
      </c>
      <c r="D79" s="173">
        <f ca="1">(VLOOKUP(D$72,INDIRECT($C$5&amp;"生成成长"),2))/((VLOOKUP($B79,INDIRECT($B$5&amp;"生成成长"),4))/(VLOOKUP(D$72,INDIRECT($C$5&amp;"生成成长"),5))*(VLOOKUP($B$5,标准坦克设计!$B$24:$U$30,MATCH("对"&amp;LEFT($C$5,2)&amp;"输出",标准坦克设计!$B$23:$U$23,0)))*(VLOOKUP($B79,INDIRECT($B$5&amp;"生成成长"),3))*(VLOOKUP($B$5,标准坦克设计!$B$14:$K$20,9)/30))</f>
        <v>6.6198286510132318</v>
      </c>
      <c r="E79" s="173">
        <f ca="1">(VLOOKUP(E$72,INDIRECT($C$5&amp;"生成成长"),2))/((VLOOKUP($B79,INDIRECT($B$5&amp;"生成成长"),4))/(VLOOKUP(E$72,INDIRECT($C$5&amp;"生成成长"),5))*(VLOOKUP($B$5,标准坦克设计!$B$24:$U$30,MATCH("对"&amp;LEFT($C$5,2)&amp;"输出",标准坦克设计!$B$23:$U$23,0)))*(VLOOKUP($B79,INDIRECT($B$5&amp;"生成成长"),3))*(VLOOKUP($B$5,标准坦克设计!$B$14:$K$20,9)/30))</f>
        <v>7.3904530614373405</v>
      </c>
      <c r="F79" s="173">
        <f ca="1">(VLOOKUP(F$72,INDIRECT($C$5&amp;"生成成长"),2))/((VLOOKUP($B79,INDIRECT($B$5&amp;"生成成长"),4))/(VLOOKUP(F$72,INDIRECT($C$5&amp;"生成成长"),5))*(VLOOKUP($B$5,标准坦克设计!$B$24:$U$30,MATCH("对"&amp;LEFT($C$5,2)&amp;"输出",标准坦克设计!$B$23:$U$23,0)))*(VLOOKUP($B79,INDIRECT($B$5&amp;"生成成长"),3))*(VLOOKUP($B$5,标准坦克设计!$B$14:$K$20,9)/30))</f>
        <v>8.2034971641783763</v>
      </c>
      <c r="G79" s="173">
        <f ca="1">(VLOOKUP(G$72,INDIRECT($C$5&amp;"生成成长"),2))/((VLOOKUP($B79,INDIRECT($B$5&amp;"生成成长"),4))/(VLOOKUP(G$72,INDIRECT($C$5&amp;"生成成长"),5))*(VLOOKUP($B$5,标准坦克设计!$B$24:$U$30,MATCH("对"&amp;LEFT($C$5,2)&amp;"输出",标准坦克设计!$B$23:$U$23,0)))*(VLOOKUP($B79,INDIRECT($B$5&amp;"生成成长"),3))*(VLOOKUP($B$5,标准坦克设计!$B$14:$K$20,9)/30))</f>
        <v>9.0589609592363356</v>
      </c>
      <c r="H79" s="173">
        <f ca="1">(VLOOKUP(H$72,INDIRECT($C$5&amp;"生成成长"),2))/((VLOOKUP($B79,INDIRECT($B$5&amp;"生成成长"),4))/(VLOOKUP(H$72,INDIRECT($C$5&amp;"生成成长"),5))*(VLOOKUP($B$5,标准坦克设计!$B$24:$U$30,MATCH("对"&amp;LEFT($C$5,2)&amp;"输出",标准坦克设计!$B$23:$U$23,0)))*(VLOOKUP($B79,INDIRECT($B$5&amp;"生成成长"),3))*(VLOOKUP($B$5,标准坦克设计!$B$14:$K$20,9)/30))</f>
        <v>7.9277691641183727</v>
      </c>
      <c r="I79" s="173">
        <f ca="1">(VLOOKUP(I$72,INDIRECT($C$5&amp;"生成成长"),2))/((VLOOKUP($B79,INDIRECT($B$5&amp;"生成成长"),4))/(VLOOKUP(I$72,INDIRECT($C$5&amp;"生成成长"),5))*(VLOOKUP($B$5,标准坦克设计!$B$24:$U$30,MATCH("对"&amp;LEFT($C$5,2)&amp;"输出",标准坦克设计!$B$23:$U$23,0)))*(VLOOKUP($B79,INDIRECT($B$5&amp;"生成成长"),3))*(VLOOKUP($B$5,标准坦克设计!$B$14:$K$20,9)/30))</f>
        <v>9.0589609592363356</v>
      </c>
      <c r="J79" s="173">
        <f ca="1">(VLOOKUP(J$72,INDIRECT($C$5&amp;"生成成长"),2))/((VLOOKUP($B79,INDIRECT($B$5&amp;"生成成长"),4))/(VLOOKUP(J$72,INDIRECT($C$5&amp;"生成成长"),5))*(VLOOKUP($B$5,标准坦克设计!$B$24:$U$30,MATCH("对"&amp;LEFT($C$5,2)&amp;"输出",标准坦克设计!$B$23:$U$23,0)))*(VLOOKUP($B79,INDIRECT($B$5&amp;"生成成长"),3))*(VLOOKUP($B$5,标准坦克设计!$B$14:$K$20,9)/30))</f>
        <v>10.265565540695491</v>
      </c>
      <c r="K79" s="173">
        <f ca="1">(VLOOKUP(K$72,INDIRECT($C$5&amp;"生成成长"),2))/((VLOOKUP($B79,INDIRECT($B$5&amp;"生成成长"),4))/(VLOOKUP(K$72,INDIRECT($C$5&amp;"生成成长"),5))*(VLOOKUP($B$5,标准坦克设计!$B$24:$U$30,MATCH("对"&amp;LEFT($C$5,2)&amp;"输出",标准坦克设计!$B$23:$U$23,0)))*(VLOOKUP($B79,INDIRECT($B$5&amp;"生成成长"),3))*(VLOOKUP($B$5,标准坦克设计!$B$14:$K$20,9)/30))</f>
        <v>11.547582908495848</v>
      </c>
      <c r="L79" s="173">
        <f ca="1">(VLOOKUP(L$72,INDIRECT($C$5&amp;"生成成长"),2))/((VLOOKUP($B79,INDIRECT($B$5&amp;"生成成长"),4))/(VLOOKUP(L$72,INDIRECT($C$5&amp;"生成成长"),5))*(VLOOKUP($B$5,标准坦克设计!$B$24:$U$30,MATCH("对"&amp;LEFT($C$5,2)&amp;"输出",标准坦克设计!$B$23:$U$23,0)))*(VLOOKUP($B79,INDIRECT($B$5&amp;"生成成长"),3))*(VLOOKUP($B$5,标准坦克设计!$B$14:$K$20,9)/30))</f>
        <v>12.905013062637398</v>
      </c>
      <c r="M79" s="173">
        <f ca="1">(VLOOKUP(M$72,INDIRECT($C$5&amp;"生成成长"),2))/((VLOOKUP($B79,INDIRECT($B$5&amp;"生成成长"),4))/(VLOOKUP(M$72,INDIRECT($C$5&amp;"生成成长"),5))*(VLOOKUP($B$5,标准坦克设计!$B$24:$U$30,MATCH("对"&amp;LEFT($C$5,2)&amp;"输出",标准坦克设计!$B$23:$U$23,0)))*(VLOOKUP($B79,INDIRECT($B$5&amp;"生成成长"),3))*(VLOOKUP($B$5,标准坦克设计!$B$14:$K$20,9)/30))</f>
        <v>14.337856003120152</v>
      </c>
      <c r="N79" s="173">
        <f ca="1">(VLOOKUP(N$72,INDIRECT($C$5&amp;"生成成长"),2))/((VLOOKUP($B79,INDIRECT($B$5&amp;"生成成长"),4))/(VLOOKUP(N$72,INDIRECT($C$5&amp;"生成成长"),5))*(VLOOKUP($B$5,标准坦克设计!$B$24:$U$30,MATCH("对"&amp;LEFT($C$5,2)&amp;"输出",标准坦克设计!$B$23:$U$23,0)))*(VLOOKUP($B79,INDIRECT($B$5&amp;"生成成长"),3))*(VLOOKUP($B$5,标准坦克设计!$B$14:$K$20,9)/30))</f>
        <v>15.846111729944099</v>
      </c>
      <c r="O79" s="173">
        <f ca="1">(VLOOKUP(O$72,INDIRECT($C$5&amp;"生成成长"),2))/((VLOOKUP($B79,INDIRECT($B$5&amp;"生成成长"),4))/(VLOOKUP(O$72,INDIRECT($C$5&amp;"生成成长"),5))*(VLOOKUP($B$5,标准坦克设计!$B$24:$U$30,MATCH("对"&amp;LEFT($C$5,2)&amp;"输出",标准坦克设计!$B$23:$U$23,0)))*(VLOOKUP($B79,INDIRECT($B$5&amp;"生成成长"),3))*(VLOOKUP($B$5,标准坦克设计!$B$14:$K$20,9)/30))</f>
        <v>12.047781780399571</v>
      </c>
      <c r="P79" s="173">
        <f ca="1">(VLOOKUP(P$72,INDIRECT($C$5&amp;"生成成长"),2))/((VLOOKUP($B79,INDIRECT($B$5&amp;"生成成长"),4))/(VLOOKUP(P$72,INDIRECT($C$5&amp;"生成成长"),5))*(VLOOKUP($B$5,标准坦克设计!$B$24:$U$30,MATCH("对"&amp;LEFT($C$5,2)&amp;"输出",标准坦克设计!$B$23:$U$23,0)))*(VLOOKUP($B79,INDIRECT($B$5&amp;"生成成长"),3))*(VLOOKUP($B$5,标准坦克设计!$B$14:$K$20,9)/30))</f>
        <v>13.612007934586124</v>
      </c>
      <c r="Q79" s="173">
        <f ca="1">(VLOOKUP(Q$72,INDIRECT($C$5&amp;"生成成长"),2))/((VLOOKUP($B79,INDIRECT($B$5&amp;"生成成长"),4))/(VLOOKUP(Q$72,INDIRECT($C$5&amp;"生成成长"),5))*(VLOOKUP($B$5,标准坦克设计!$B$24:$U$30,MATCH("对"&amp;LEFT($C$5,2)&amp;"输出",标准坦克设计!$B$23:$U$23,0)))*(VLOOKUP($B79,INDIRECT($B$5&amp;"生成成长"),3))*(VLOOKUP($B$5,标准坦克设计!$B$14:$K$20,9)/30))</f>
        <v>15.271678396485759</v>
      </c>
      <c r="R79" s="173">
        <f ca="1">(VLOOKUP(R$72,INDIRECT($C$5&amp;"生成成长"),2))/((VLOOKUP($B79,INDIRECT($B$5&amp;"生成成长"),4))/(VLOOKUP(R$72,INDIRECT($C$5&amp;"生成成长"),5))*(VLOOKUP($B$5,标准坦克设计!$B$24:$U$30,MATCH("对"&amp;LEFT($C$5,2)&amp;"输出",标准坦克设计!$B$23:$U$23,0)))*(VLOOKUP($B79,INDIRECT($B$5&amp;"生成成长"),3))*(VLOOKUP($B$5,标准坦克设计!$B$14:$K$20,9)/30))</f>
        <v>17.026793166098468</v>
      </c>
      <c r="S79" s="173">
        <f ca="1">(VLOOKUP(S$72,INDIRECT($C$5&amp;"生成成长"),2))/((VLOOKUP($B79,INDIRECT($B$5&amp;"生成成长"),4))/(VLOOKUP(S$72,INDIRECT($C$5&amp;"生成成长"),5))*(VLOOKUP($B$5,标准坦克设计!$B$24:$U$30,MATCH("对"&amp;LEFT($C$5,2)&amp;"输出",标准坦克设计!$B$23:$U$23,0)))*(VLOOKUP($B79,INDIRECT($B$5&amp;"生成成长"),3))*(VLOOKUP($B$5,标准坦克设计!$B$14:$K$20,9)/30))</f>
        <v>18.877352243424255</v>
      </c>
      <c r="T79" s="173">
        <f ca="1">(VLOOKUP(T$72,INDIRECT($C$5&amp;"生成成长"),2))/((VLOOKUP($B79,INDIRECT($B$5&amp;"生成成长"),4))/(VLOOKUP(T$72,INDIRECT($C$5&amp;"生成成长"),5))*(VLOOKUP($B$5,标准坦克设计!$B$24:$U$30,MATCH("对"&amp;LEFT($C$5,2)&amp;"输出",标准坦克设计!$B$23:$U$23,0)))*(VLOOKUP($B79,INDIRECT($B$5&amp;"生成成长"),3))*(VLOOKUP($B$5,标准坦克设计!$B$14:$K$20,9)/30))</f>
        <v>20.823355628463126</v>
      </c>
      <c r="U79" s="173">
        <f ca="1">(VLOOKUP(U$72,INDIRECT($C$5&amp;"生成成长"),2))/((VLOOKUP($B79,INDIRECT($B$5&amp;"生成成长"),4))/(VLOOKUP(U$72,INDIRECT($C$5&amp;"生成成长"),5))*(VLOOKUP($B$5,标准坦克设计!$B$24:$U$30,MATCH("对"&amp;LEFT($C$5,2)&amp;"输出",标准坦克设计!$B$23:$U$23,0)))*(VLOOKUP($B79,INDIRECT($B$5&amp;"生成成长"),3))*(VLOOKUP($B$5,标准坦克设计!$B$14:$K$20,9)/30))</f>
        <v>22.864803321215067</v>
      </c>
      <c r="V79" s="173">
        <f ca="1">(VLOOKUP(V$72,INDIRECT($C$5&amp;"生成成长"),2))/((VLOOKUP($B79,INDIRECT($B$5&amp;"生成成长"),4))/(VLOOKUP(V$72,INDIRECT($C$5&amp;"生成成长"),5))*(VLOOKUP($B$5,标准坦克设计!$B$24:$U$30,MATCH("对"&amp;LEFT($C$5,2)&amp;"输出",标准坦克设计!$B$23:$U$23,0)))*(VLOOKUP($B79,INDIRECT($B$5&amp;"生成成长"),3))*(VLOOKUP($B$5,标准坦克设计!$B$14:$K$20,9)/30))</f>
        <v>25.001695321680092</v>
      </c>
      <c r="W79" s="173">
        <f ca="1">(VLOOKUP(W$72,INDIRECT($C$5&amp;"生成成长"),2))/((VLOOKUP($B79,INDIRECT($B$5&amp;"生成成长"),4))/(VLOOKUP(W$72,INDIRECT($C$5&amp;"生成成长"),5))*(VLOOKUP($B$5,标准坦克设计!$B$24:$U$30,MATCH("对"&amp;LEFT($C$5,2)&amp;"输出",标准坦克设计!$B$23:$U$23,0)))*(VLOOKUP($B79,INDIRECT($B$5&amp;"生成成长"),3))*(VLOOKUP($B$5,标准坦克设计!$B$14:$K$20,9)/30))</f>
        <v>27.234031629858187</v>
      </c>
      <c r="X79" s="173">
        <f ca="1">(VLOOKUP(X$72,INDIRECT($C$5&amp;"生成成长"),2))/((VLOOKUP($B79,INDIRECT($B$5&amp;"生成成长"),4))/(VLOOKUP(X$72,INDIRECT($C$5&amp;"生成成长"),5))*(VLOOKUP($B$5,标准坦克设计!$B$24:$U$30,MATCH("对"&amp;LEFT($C$5,2)&amp;"输出",标准坦克设计!$B$23:$U$23,0)))*(VLOOKUP($B79,INDIRECT($B$5&amp;"生成成长"),3))*(VLOOKUP($B$5,标准坦克设计!$B$14:$K$20,9)/30))</f>
        <v>19.73045938890905</v>
      </c>
      <c r="Y79" s="173">
        <f ca="1">(VLOOKUP(Y$72,INDIRECT($C$5&amp;"生成成长"),2))/((VLOOKUP($B79,INDIRECT($B$5&amp;"生成成长"),4))/(VLOOKUP(Y$72,INDIRECT($C$5&amp;"生成成长"),5))*(VLOOKUP($B$5,标准坦克设计!$B$24:$U$30,MATCH("对"&amp;LEFT($C$5,2)&amp;"输出",标准坦克设计!$B$23:$U$23,0)))*(VLOOKUP($B79,INDIRECT($B$5&amp;"生成成长"),3))*(VLOOKUP($B$5,标准坦克设计!$B$14:$K$20,9)/30))</f>
        <v>21.945709987681724</v>
      </c>
      <c r="Z79" s="173">
        <f ca="1">(VLOOKUP(Z$72,INDIRECT($C$5&amp;"生成成长"),2))/((VLOOKUP($B79,INDIRECT($B$5&amp;"生成成长"),4))/(VLOOKUP(Z$72,INDIRECT($C$5&amp;"生成成长"),5))*(VLOOKUP($B$5,标准坦克设计!$B$24:$U$30,MATCH("对"&amp;LEFT($C$5,2)&amp;"输出",标准坦克设计!$B$23:$U$23,0)))*(VLOOKUP($B79,INDIRECT($B$5&amp;"生成成长"),3))*(VLOOKUP($B$5,标准坦克设计!$B$14:$K$20,9)/30))</f>
        <v>24.278793065112517</v>
      </c>
      <c r="AA79" s="173">
        <f ca="1">(VLOOKUP(AA$72,INDIRECT($C$5&amp;"生成成长"),2))/((VLOOKUP($B79,INDIRECT($B$5&amp;"生成成长"),4))/(VLOOKUP(AA$72,INDIRECT($C$5&amp;"生成成长"),5))*(VLOOKUP($B$5,标准坦克设计!$B$24:$U$30,MATCH("对"&amp;LEFT($C$5,2)&amp;"输出",标准坦克设计!$B$23:$U$23,0)))*(VLOOKUP($B79,INDIRECT($B$5&amp;"生成成长"),3))*(VLOOKUP($B$5,标准坦克设计!$B$14:$K$20,9)/30))</f>
        <v>26.729708621201436</v>
      </c>
      <c r="AB79" s="173">
        <f ca="1">(VLOOKUP(AB$72,INDIRECT($C$5&amp;"生成成长"),2))/((VLOOKUP($B79,INDIRECT($B$5&amp;"生成成长"),4))/(VLOOKUP(AB$72,INDIRECT($C$5&amp;"生成成长"),5))*(VLOOKUP($B$5,标准坦克设计!$B$24:$U$30,MATCH("对"&amp;LEFT($C$5,2)&amp;"输出",标准坦克设计!$B$23:$U$23,0)))*(VLOOKUP($B79,INDIRECT($B$5&amp;"生成成长"),3))*(VLOOKUP($B$5,标准坦克设计!$B$14:$K$20,9)/30))</f>
        <v>29.298456655948463</v>
      </c>
      <c r="AC79" s="173">
        <f ca="1">(VLOOKUP(AC$72,INDIRECT($C$5&amp;"生成成长"),2))/((VLOOKUP($B79,INDIRECT($B$5&amp;"生成成长"),4))/(VLOOKUP(AC$72,INDIRECT($C$5&amp;"生成成长"),5))*(VLOOKUP($B$5,标准坦克设计!$B$24:$U$30,MATCH("对"&amp;LEFT($C$5,2)&amp;"输出",标准坦克设计!$B$23:$U$23,0)))*(VLOOKUP($B79,INDIRECT($B$5&amp;"生成成长"),3))*(VLOOKUP($B$5,标准坦克设计!$B$14:$K$20,9)/30))</f>
        <v>31.985037169353625</v>
      </c>
      <c r="AD79" s="173">
        <f ca="1">(VLOOKUP(AD$72,INDIRECT($C$5&amp;"生成成长"),2))/((VLOOKUP($B79,INDIRECT($B$5&amp;"生成成长"),4))/(VLOOKUP(AD$72,INDIRECT($C$5&amp;"生成成长"),5))*(VLOOKUP($B$5,标准坦克设计!$B$24:$U$30,MATCH("对"&amp;LEFT($C$5,2)&amp;"输出",标准坦克设计!$B$23:$U$23,0)))*(VLOOKUP($B79,INDIRECT($B$5&amp;"生成成长"),3))*(VLOOKUP($B$5,标准坦克设计!$B$14:$K$20,9)/30))</f>
        <v>34.789450161416909</v>
      </c>
      <c r="AE79" s="173">
        <f ca="1">(VLOOKUP(AE$72,INDIRECT($C$5&amp;"生成成长"),2))/((VLOOKUP($B79,INDIRECT($B$5&amp;"生成成长"),4))/(VLOOKUP(AE$72,INDIRECT($C$5&amp;"生成成长"),5))*(VLOOKUP($B$5,标准坦克设计!$B$24:$U$30,MATCH("对"&amp;LEFT($C$5,2)&amp;"输出",标准坦克设计!$B$23:$U$23,0)))*(VLOOKUP($B79,INDIRECT($B$5&amp;"生成成长"),3))*(VLOOKUP($B$5,标准坦克设计!$B$14:$K$20,9)/30))</f>
        <v>37.711695632138301</v>
      </c>
      <c r="AF79" s="173">
        <f ca="1">(VLOOKUP(AF$72,INDIRECT($C$5&amp;"生成成长"),2))/((VLOOKUP($B79,INDIRECT($B$5&amp;"生成成长"),4))/(VLOOKUP(AF$72,INDIRECT($C$5&amp;"生成成长"),5))*(VLOOKUP($B$5,标准坦克设计!$B$24:$U$30,MATCH("对"&amp;LEFT($C$5,2)&amp;"输出",标准坦克设计!$B$23:$U$23,0)))*(VLOOKUP($B79,INDIRECT($B$5&amp;"生成成长"),3))*(VLOOKUP($B$5,标准坦克设计!$B$14:$K$20,9)/30))</f>
        <v>40.751773581517817</v>
      </c>
      <c r="AG79" s="173">
        <f ca="1">(VLOOKUP(AG$72,INDIRECT($C$5&amp;"生成成长"),2))/((VLOOKUP($B79,INDIRECT($B$5&amp;"生成成长"),4))/(VLOOKUP(AG$72,INDIRECT($C$5&amp;"生成成长"),5))*(VLOOKUP($B$5,标准坦克设计!$B$24:$U$30,MATCH("对"&amp;LEFT($C$5,2)&amp;"输出",标准坦克设计!$B$23:$U$23,0)))*(VLOOKUP($B79,INDIRECT($B$5&amp;"生成成长"),3))*(VLOOKUP($B$5,标准坦克设计!$B$14:$K$20,9)/30))</f>
        <v>43.909684009555455</v>
      </c>
      <c r="AH79" s="173">
        <f ca="1">(VLOOKUP(AH$72,INDIRECT($C$5&amp;"生成成长"),2))/((VLOOKUP($B79,INDIRECT($B$5&amp;"生成成长"),4))/(VLOOKUP(AH$72,INDIRECT($C$5&amp;"生成成长"),5))*(VLOOKUP($B$5,标准坦克设计!$B$24:$U$30,MATCH("对"&amp;LEFT($C$5,2)&amp;"输出",标准坦克设计!$B$23:$U$23,0)))*(VLOOKUP($B79,INDIRECT($B$5&amp;"生成成长"),3))*(VLOOKUP($B$5,标准坦克设计!$B$14:$K$20,9)/30))</f>
        <v>47.185426916251217</v>
      </c>
      <c r="AI79" s="173">
        <f ca="1">(VLOOKUP(AI$72,INDIRECT($C$5&amp;"生成成长"),2))/((VLOOKUP($B79,INDIRECT($B$5&amp;"生成成长"),4))/(VLOOKUP(AI$72,INDIRECT($C$5&amp;"生成成长"),5))*(VLOOKUP($B$5,标准坦克设计!$B$24:$U$30,MATCH("对"&amp;LEFT($C$5,2)&amp;"输出",标准坦克设计!$B$23:$U$23,0)))*(VLOOKUP($B79,INDIRECT($B$5&amp;"生成成长"),3))*(VLOOKUP($B$5,标准坦克设计!$B$14:$K$20,9)/30))</f>
        <v>33.372514605553</v>
      </c>
      <c r="AJ79" s="173">
        <f ca="1">(VLOOKUP(AJ$72,INDIRECT($C$5&amp;"生成成长"),2))/((VLOOKUP($B79,INDIRECT($B$5&amp;"生成成长"),4))/(VLOOKUP(AJ$72,INDIRECT($C$5&amp;"生成成长"),5))*(VLOOKUP($B$5,标准坦克设计!$B$24:$U$30,MATCH("对"&amp;LEFT($C$5,2)&amp;"输出",标准坦克设计!$B$23:$U$23,0)))*(VLOOKUP($B79,INDIRECT($B$5&amp;"生成成长"),3))*(VLOOKUP($B$5,标准坦克设计!$B$14:$K$20,9)/30))</f>
        <v>36.528657546410763</v>
      </c>
      <c r="AK79" s="173">
        <f ca="1">(VLOOKUP(AK$72,INDIRECT($C$5&amp;"生成成长"),2))/((VLOOKUP($B79,INDIRECT($B$5&amp;"生成成长"),4))/(VLOOKUP(AK$72,INDIRECT($C$5&amp;"生成成长"),5))*(VLOOKUP($B$5,标准坦克设计!$B$24:$U$30,MATCH("对"&amp;LEFT($C$5,2)&amp;"输出",标准坦克设计!$B$23:$U$23,0)))*(VLOOKUP($B79,INDIRECT($B$5&amp;"生成成长"),3))*(VLOOKUP($B$5,标准坦克设计!$B$14:$K$20,9)/30))</f>
        <v>39.827377786444863</v>
      </c>
      <c r="AL79" s="173">
        <f ca="1">(VLOOKUP(AL$72,INDIRECT($C$5&amp;"生成成长"),2))/((VLOOKUP($B79,INDIRECT($B$5&amp;"生成成长"),4))/(VLOOKUP(AL$72,INDIRECT($C$5&amp;"生成成长"),5))*(VLOOKUP($B$5,标准坦克设计!$B$24:$U$30,MATCH("对"&amp;LEFT($C$5,2)&amp;"输出",标准坦克设计!$B$23:$U$23,0)))*(VLOOKUP($B79,INDIRECT($B$5&amp;"生成成长"),3))*(VLOOKUP($B$5,标准坦克设计!$B$14:$K$20,9)/30))</f>
        <v>43.268675325655273</v>
      </c>
      <c r="AM79" s="173">
        <f ca="1">(VLOOKUP(AM$72,INDIRECT($C$5&amp;"生成成长"),2))/((VLOOKUP($B79,INDIRECT($B$5&amp;"生成成长"),4))/(VLOOKUP(AM$72,INDIRECT($C$5&amp;"生成成长"),5))*(VLOOKUP($B$5,标准坦克设计!$B$24:$U$30,MATCH("对"&amp;LEFT($C$5,2)&amp;"输出",标准坦克设计!$B$23:$U$23,0)))*(VLOOKUP($B79,INDIRECT($B$5&amp;"生成成长"),3))*(VLOOKUP($B$5,标准坦克设计!$B$14:$K$20,9)/30))</f>
        <v>46.852550164042022</v>
      </c>
      <c r="AN79" s="173">
        <f ca="1">(VLOOKUP(AN$72,INDIRECT($C$5&amp;"生成成长"),2))/((VLOOKUP($B79,INDIRECT($B$5&amp;"生成成长"),4))/(VLOOKUP(AN$72,INDIRECT($C$5&amp;"生成成长"),5))*(VLOOKUP($B$5,标准坦克设计!$B$24:$U$30,MATCH("对"&amp;LEFT($C$5,2)&amp;"输出",标准坦克设计!$B$23:$U$23,0)))*(VLOOKUP($B79,INDIRECT($B$5&amp;"生成成长"),3))*(VLOOKUP($B$5,标准坦克设计!$B$14:$K$20,9)/30))</f>
        <v>50.579002301605101</v>
      </c>
      <c r="AO79" s="173">
        <f ca="1">(VLOOKUP(AO$72,INDIRECT($C$5&amp;"生成成长"),2))/((VLOOKUP($B79,INDIRECT($B$5&amp;"生成成长"),4))/(VLOOKUP(AO$72,INDIRECT($C$5&amp;"生成成长"),5))*(VLOOKUP($B$5,标准坦克设计!$B$24:$U$30,MATCH("对"&amp;LEFT($C$5,2)&amp;"输出",标准坦克设计!$B$23:$U$23,0)))*(VLOOKUP($B79,INDIRECT($B$5&amp;"生成成长"),3))*(VLOOKUP($B$5,标准坦克设计!$B$14:$K$20,9)/30))</f>
        <v>54.448031738344497</v>
      </c>
      <c r="AP79" s="173">
        <f ca="1">(VLOOKUP(AP$72,INDIRECT($C$5&amp;"生成成长"),2))/((VLOOKUP($B79,INDIRECT($B$5&amp;"生成成长"),4))/(VLOOKUP(AP$72,INDIRECT($C$5&amp;"生成成长"),5))*(VLOOKUP($B$5,标准坦克设计!$B$24:$U$30,MATCH("对"&amp;LEFT($C$5,2)&amp;"输出",标准坦克设计!$B$23:$U$23,0)))*(VLOOKUP($B79,INDIRECT($B$5&amp;"生成成长"),3))*(VLOOKUP($B$5,标准坦克设计!$B$14:$K$20,9)/30))</f>
        <v>58.459638474260231</v>
      </c>
      <c r="AQ79" s="173">
        <f ca="1">(VLOOKUP(AQ$72,INDIRECT($C$5&amp;"生成成长"),2))/((VLOOKUP($B79,INDIRECT($B$5&amp;"生成成长"),4))/(VLOOKUP(AQ$72,INDIRECT($C$5&amp;"生成成长"),5))*(VLOOKUP($B$5,标准坦克设计!$B$24:$U$30,MATCH("对"&amp;LEFT($C$5,2)&amp;"输出",标准坦克设计!$B$23:$U$23,0)))*(VLOOKUP($B79,INDIRECT($B$5&amp;"生成成长"),3))*(VLOOKUP($B$5,标准坦克设计!$B$14:$K$20,9)/30))</f>
        <v>62.613822509352261</v>
      </c>
      <c r="AR79" s="173">
        <f ca="1">(VLOOKUP(AR$72,INDIRECT($C$5&amp;"生成成长"),2))/((VLOOKUP($B79,INDIRECT($B$5&amp;"生成成长"),4))/(VLOOKUP(AR$72,INDIRECT($C$5&amp;"生成成长"),5))*(VLOOKUP($B$5,标准坦克设计!$B$24:$U$30,MATCH("对"&amp;LEFT($C$5,2)&amp;"输出",标准坦克设计!$B$23:$U$23,0)))*(VLOOKUP($B79,INDIRECT($B$5&amp;"生成成长"),3))*(VLOOKUP($B$5,标准坦克设计!$B$14:$K$20,9)/30))</f>
        <v>66.910583843620657</v>
      </c>
      <c r="AS79" s="173">
        <f ca="1">(VLOOKUP(AS$72,INDIRECT($C$5&amp;"生成成长"),2))/((VLOOKUP($B79,INDIRECT($B$5&amp;"生成成长"),4))/(VLOOKUP(AS$72,INDIRECT($C$5&amp;"生成成长"),5))*(VLOOKUP($B$5,标准坦克设计!$B$24:$U$30,MATCH("对"&amp;LEFT($C$5,2)&amp;"输出",标准坦克设计!$B$23:$U$23,0)))*(VLOOKUP($B79,INDIRECT($B$5&amp;"生成成长"),3))*(VLOOKUP($B$5,标准坦克设计!$B$14:$K$20,9)/30))</f>
        <v>71.349922477065363</v>
      </c>
      <c r="AT79" s="173">
        <f ca="1">(VLOOKUP(AT$72,INDIRECT($C$5&amp;"生成成长"),2))/((VLOOKUP($B79,INDIRECT($B$5&amp;"生成成长"),4))/(VLOOKUP(AT$72,INDIRECT($C$5&amp;"生成成长"),5))*(VLOOKUP($B$5,标准坦克设计!$B$24:$U$30,MATCH("对"&amp;LEFT($C$5,2)&amp;"输出",标准坦克设计!$B$23:$U$23,0)))*(VLOOKUP($B79,INDIRECT($B$5&amp;"生成成长"),3))*(VLOOKUP($B$5,标准坦克设计!$B$14:$K$20,9)/30))</f>
        <v>75.931838409686378</v>
      </c>
      <c r="AU79" s="173">
        <f ca="1">(VLOOKUP(AU$72,INDIRECT($C$5&amp;"生成成长"),2))/((VLOOKUP($B79,INDIRECT($B$5&amp;"生成成长"),4))/(VLOOKUP(AU$72,INDIRECT($C$5&amp;"生成成长"),5))*(VLOOKUP($B$5,标准坦克设计!$B$24:$U$30,MATCH("对"&amp;LEFT($C$5,2)&amp;"输出",标准坦克设计!$B$23:$U$23,0)))*(VLOOKUP($B79,INDIRECT($B$5&amp;"生成成长"),3))*(VLOOKUP($B$5,标准坦克设计!$B$14:$K$20,9)/30))</f>
        <v>80.656331641483732</v>
      </c>
      <c r="AV79" s="173">
        <f ca="1">(VLOOKUP(AV$72,INDIRECT($C$5&amp;"生成成长"),2))/((VLOOKUP($B79,INDIRECT($B$5&amp;"生成成长"),4))/(VLOOKUP(AV$72,INDIRECT($C$5&amp;"生成成长"),5))*(VLOOKUP($B$5,标准坦克设计!$B$24:$U$30,MATCH("对"&amp;LEFT($C$5,2)&amp;"输出",标准坦克设计!$B$23:$U$23,0)))*(VLOOKUP($B79,INDIRECT($B$5&amp;"生成成长"),3))*(VLOOKUP($B$5,标准坦克设计!$B$14:$K$20,9)/30))</f>
        <v>8.2034971641783763</v>
      </c>
      <c r="AW79" s="173">
        <f ca="1">(VLOOKUP(AW$72,INDIRECT($C$5&amp;"生成成长"),2))/((VLOOKUP($B79,INDIRECT($B$5&amp;"生成成长"),4))/(VLOOKUP(AW$72,INDIRECT($C$5&amp;"生成成长"),5))*(VLOOKUP($B$5,标准坦克设计!$B$24:$U$30,MATCH("对"&amp;LEFT($C$5,2)&amp;"输出",标准坦克设计!$B$23:$U$23,0)))*(VLOOKUP($B79,INDIRECT($B$5&amp;"生成成长"),3))*(VLOOKUP($B$5,标准坦克设计!$B$14:$K$20,9)/30))</f>
        <v>9.3535421558816356</v>
      </c>
      <c r="AX79" s="173">
        <f ca="1">(VLOOKUP(AX$72,INDIRECT($C$5&amp;"生成成长"),2))/((VLOOKUP($B79,INDIRECT($B$5&amp;"生成成长"),4))/(VLOOKUP(AX$72,INDIRECT($C$5&amp;"生成成长"),5))*(VLOOKUP($B$5,标准坦克设计!$B$24:$U$30,MATCH("对"&amp;LEFT($C$5,2)&amp;"输出",标准坦克设计!$B$23:$U$23,0)))*(VLOOKUP($B79,INDIRECT($B$5&amp;"生成成长"),3))*(VLOOKUP($B$5,标准坦克设计!$B$14:$K$20,9)/30))</f>
        <v>10.578999933926093</v>
      </c>
      <c r="AY79" s="173">
        <f ca="1">(VLOOKUP(AY$72,INDIRECT($C$5&amp;"生成成长"),2))/((VLOOKUP($B79,INDIRECT($B$5&amp;"生成成长"),4))/(VLOOKUP(AY$72,INDIRECT($C$5&amp;"生成成长"),5))*(VLOOKUP($B$5,标准坦克设计!$B$24:$U$30,MATCH("对"&amp;LEFT($C$5,2)&amp;"输出",标准坦克设计!$B$23:$U$23,0)))*(VLOOKUP($B79,INDIRECT($B$5&amp;"生成成长"),3))*(VLOOKUP($B$5,标准坦克设计!$B$14:$K$20,9)/30))</f>
        <v>11.87987049831175</v>
      </c>
      <c r="AZ79" s="173">
        <f ca="1">(VLOOKUP(AZ$72,INDIRECT($C$5&amp;"生成成长"),2))/((VLOOKUP($B79,INDIRECT($B$5&amp;"生成成长"),4))/(VLOOKUP(AZ$72,INDIRECT($C$5&amp;"生成成长"),5))*(VLOOKUP($B$5,标准坦克设计!$B$24:$U$30,MATCH("对"&amp;LEFT($C$5,2)&amp;"输出",标准坦克设计!$B$23:$U$23,0)))*(VLOOKUP($B79,INDIRECT($B$5&amp;"生成成长"),3))*(VLOOKUP($B$5,标准坦克设计!$B$14:$K$20,9)/30))</f>
        <v>13.256153849038602</v>
      </c>
      <c r="BA79" s="173">
        <f ca="1">(VLOOKUP(BA$72,INDIRECT($C$5&amp;"生成成长"),2))/((VLOOKUP($B79,INDIRECT($B$5&amp;"生成成长"),4))/(VLOOKUP(BA$72,INDIRECT($C$5&amp;"生成成长"),5))*(VLOOKUP($B$5,标准坦克设计!$B$24:$U$30,MATCH("对"&amp;LEFT($C$5,2)&amp;"输出",标准坦克设计!$B$23:$U$23,0)))*(VLOOKUP($B79,INDIRECT($B$5&amp;"生成成长"),3))*(VLOOKUP($B$5,标准坦克设计!$B$14:$K$20,9)/30))</f>
        <v>14.70784998610665</v>
      </c>
      <c r="BB79" s="173">
        <f ca="1">(VLOOKUP(BB$72,INDIRECT($C$5&amp;"生成成长"),2))/((VLOOKUP($B79,INDIRECT($B$5&amp;"生成成长"),4))/(VLOOKUP(BB$72,INDIRECT($C$5&amp;"生成成长"),5))*(VLOOKUP($B$5,标准坦克设计!$B$24:$U$30,MATCH("对"&amp;LEFT($C$5,2)&amp;"输出",标准坦克设计!$B$23:$U$23,0)))*(VLOOKUP($B79,INDIRECT($B$5&amp;"生成成长"),3))*(VLOOKUP($B$5,标准坦克设计!$B$14:$K$20,9)/30))</f>
        <v>16.234958909515896</v>
      </c>
      <c r="BC79" s="173">
        <f ca="1">(VLOOKUP(BC$72,INDIRECT($C$5&amp;"生成成长"),2))/((VLOOKUP($B79,INDIRECT($B$5&amp;"生成成长"),4))/(VLOOKUP(BC$72,INDIRECT($C$5&amp;"生成成长"),5))*(VLOOKUP($B$5,标准坦克设计!$B$24:$U$30,MATCH("对"&amp;LEFT($C$5,2)&amp;"输出",标准坦克设计!$B$23:$U$23,0)))*(VLOOKUP($B79,INDIRECT($B$5&amp;"生成成长"),3))*(VLOOKUP($B$5,标准坦克设计!$B$14:$K$20,9)/30))</f>
        <v>17.837480619266341</v>
      </c>
      <c r="BD79" s="173">
        <f ca="1">(VLOOKUP(BD$72,INDIRECT($C$5&amp;"生成成长"),2))/((VLOOKUP($B79,INDIRECT($B$5&amp;"生成成长"),4))/(VLOOKUP(BD$72,INDIRECT($C$5&amp;"生成成长"),5))*(VLOOKUP($B$5,标准坦克设计!$B$24:$U$30,MATCH("对"&amp;LEFT($C$5,2)&amp;"输出",标准坦克设计!$B$23:$U$23,0)))*(VLOOKUP($B79,INDIRECT($B$5&amp;"生成成长"),3))*(VLOOKUP($B$5,标准坦克设计!$B$14:$K$20,9)/30))</f>
        <v>19.73045938890905</v>
      </c>
      <c r="BE79" s="173">
        <f ca="1">(VLOOKUP(BE$72,INDIRECT($C$5&amp;"生成成长"),2))/((VLOOKUP($B79,INDIRECT($B$5&amp;"生成成长"),4))/(VLOOKUP(BE$72,INDIRECT($C$5&amp;"生成成长"),5))*(VLOOKUP($B$5,标准坦克设计!$B$24:$U$30,MATCH("对"&amp;LEFT($C$5,2)&amp;"输出",标准坦克设计!$B$23:$U$23,0)))*(VLOOKUP($B79,INDIRECT($B$5&amp;"生成成长"),3))*(VLOOKUP($B$5,标准坦克设计!$B$14:$K$20,9)/30))</f>
        <v>21.718882466264844</v>
      </c>
      <c r="BF79" s="173">
        <f ca="1">(VLOOKUP(BF$72,INDIRECT($C$5&amp;"生成成长"),2))/((VLOOKUP($B79,INDIRECT($B$5&amp;"生成成长"),4))/(VLOOKUP(BF$72,INDIRECT($C$5&amp;"生成成长"),5))*(VLOOKUP($B$5,标准坦克设计!$B$24:$U$30,MATCH("对"&amp;LEFT($C$5,2)&amp;"输出",标准坦克设计!$B$23:$U$23,0)))*(VLOOKUP($B79,INDIRECT($B$5&amp;"生成成长"),3))*(VLOOKUP($B$5,标准坦克设计!$B$14:$K$20,9)/30))</f>
        <v>23.802749851333711</v>
      </c>
      <c r="BG79" s="173">
        <f ca="1">(VLOOKUP(BG$72,INDIRECT($C$5&amp;"生成成长"),2))/((VLOOKUP($B79,INDIRECT($B$5&amp;"生成成长"),4))/(VLOOKUP(BG$72,INDIRECT($C$5&amp;"生成成长"),5))*(VLOOKUP($B$5,标准坦克设计!$B$24:$U$30,MATCH("对"&amp;LEFT($C$5,2)&amp;"输出",标准坦克设计!$B$23:$U$23,0)))*(VLOOKUP($B79,INDIRECT($B$5&amp;"生成成长"),3))*(VLOOKUP($B$5,标准坦克设计!$B$14:$K$20,9)/30))</f>
        <v>25.982061544115655</v>
      </c>
      <c r="BH79" s="173">
        <f ca="1">(VLOOKUP(BH$72,INDIRECT($C$5&amp;"生成成长"),2))/((VLOOKUP($B79,INDIRECT($B$5&amp;"生成成长"),4))/(VLOOKUP(BH$72,INDIRECT($C$5&amp;"生成成长"),5))*(VLOOKUP($B$5,标准坦克设计!$B$24:$U$30,MATCH("对"&amp;LEFT($C$5,2)&amp;"输出",标准坦克设计!$B$23:$U$23,0)))*(VLOOKUP($B79,INDIRECT($B$5&amp;"生成成长"),3))*(VLOOKUP($B$5,标准坦克设计!$B$14:$K$20,9)/30))</f>
        <v>12.558585575382523</v>
      </c>
      <c r="BI79" s="173">
        <f ca="1">(VLOOKUP(BI$72,INDIRECT($C$5&amp;"生成成长"),2))/((VLOOKUP($B79,INDIRECT($B$5&amp;"生成成长"),4))/(VLOOKUP(BI$72,INDIRECT($C$5&amp;"生成成长"),5))*(VLOOKUP($B$5,标准坦克设计!$B$24:$U$30,MATCH("对"&amp;LEFT($C$5,2)&amp;"输出",标准坦克设计!$B$23:$U$23,0)))*(VLOOKUP($B79,INDIRECT($B$5&amp;"生成成长"),3))*(VLOOKUP($B$5,标准坦克设计!$B$14:$K$20,9)/30))</f>
        <v>14.154626498806772</v>
      </c>
      <c r="BJ79" s="173">
        <f ca="1">(VLOOKUP(BJ$72,INDIRECT($C$5&amp;"生成成长"),2))/((VLOOKUP($B79,INDIRECT($B$5&amp;"生成成长"),4))/(VLOOKUP(BJ$72,INDIRECT($C$5&amp;"生成成长"),5))*(VLOOKUP($B$5,标准坦克设计!$B$24:$U$30,MATCH("对"&amp;LEFT($C$5,2)&amp;"输出",标准坦克设计!$B$23:$U$23,0)))*(VLOOKUP($B79,INDIRECT($B$5&amp;"生成成长"),3))*(VLOOKUP($B$5,标准坦克设计!$B$14:$K$20,9)/30))</f>
        <v>15.846111729944099</v>
      </c>
      <c r="BK79" s="173">
        <f ca="1">(VLOOKUP(BK$72,INDIRECT($C$5&amp;"生成成长"),2))/((VLOOKUP($B79,INDIRECT($B$5&amp;"生成成长"),4))/(VLOOKUP(BK$72,INDIRECT($C$5&amp;"生成成长"),5))*(VLOOKUP($B$5,标准坦克设计!$B$24:$U$30,MATCH("对"&amp;LEFT($C$5,2)&amp;"输出",标准坦克设计!$B$23:$U$23,0)))*(VLOOKUP($B79,INDIRECT($B$5&amp;"生成成长"),3))*(VLOOKUP($B$5,标准坦克设计!$B$14:$K$20,9)/30))</f>
        <v>17.6330412687945</v>
      </c>
      <c r="BL79" s="173">
        <f ca="1">(VLOOKUP(BL$72,INDIRECT($C$5&amp;"生成成长"),2))/((VLOOKUP($B79,INDIRECT($B$5&amp;"生成成长"),4))/(VLOOKUP(BL$72,INDIRECT($C$5&amp;"生成成长"),5))*(VLOOKUP($B$5,标准坦克设计!$B$24:$U$30,MATCH("对"&amp;LEFT($C$5,2)&amp;"输出",标准坦克设计!$B$23:$U$23,0)))*(VLOOKUP($B79,INDIRECT($B$5&amp;"生成成长"),3))*(VLOOKUP($B$5,标准坦克设计!$B$14:$K$20,9)/30))</f>
        <v>19.515415115357982</v>
      </c>
      <c r="BM79" s="173">
        <f ca="1">(VLOOKUP(BM$72,INDIRECT($C$5&amp;"生成成长"),2))/((VLOOKUP($B79,INDIRECT($B$5&amp;"生成成长"),4))/(VLOOKUP(BM$72,INDIRECT($C$5&amp;"生成成长"),5))*(VLOOKUP($B$5,标准坦克设计!$B$24:$U$30,MATCH("对"&amp;LEFT($C$5,2)&amp;"输出",标准坦克设计!$B$23:$U$23,0)))*(VLOOKUP($B79,INDIRECT($B$5&amp;"生成成长"),3))*(VLOOKUP($B$5,标准坦克设计!$B$14:$K$20,9)/30))</f>
        <v>21.493233269634541</v>
      </c>
      <c r="BN79" s="173">
        <f ca="1">(VLOOKUP(BN$72,INDIRECT($C$5&amp;"生成成长"),2))/((VLOOKUP($B79,INDIRECT($B$5&amp;"生成成长"),4))/(VLOOKUP(BN$72,INDIRECT($C$5&amp;"生成成长"),5))*(VLOOKUP($B$5,标准坦克设计!$B$24:$U$30,MATCH("对"&amp;LEFT($C$5,2)&amp;"输出",标准坦克设计!$B$23:$U$23,0)))*(VLOOKUP($B79,INDIRECT($B$5&amp;"生成成长"),3))*(VLOOKUP($B$5,标准坦克设计!$B$14:$K$20,9)/30))</f>
        <v>23.566495731624176</v>
      </c>
      <c r="BO79" s="173">
        <f ca="1">(VLOOKUP(BO$72,INDIRECT($C$5&amp;"生成成长"),2))/((VLOOKUP($B79,INDIRECT($B$5&amp;"生成成长"),4))/(VLOOKUP(BO$72,INDIRECT($C$5&amp;"生成成长"),5))*(VLOOKUP($B$5,标准坦克设计!$B$24:$U$30,MATCH("对"&amp;LEFT($C$5,2)&amp;"输出",标准坦克设计!$B$23:$U$23,0)))*(VLOOKUP($B79,INDIRECT($B$5&amp;"生成成长"),3))*(VLOOKUP($B$5,标准坦克设计!$B$14:$K$20,9)/30))</f>
        <v>25.735202501326892</v>
      </c>
      <c r="BP79" s="173">
        <f ca="1">(VLOOKUP(BP$72,INDIRECT($C$5&amp;"生成成长"),2))/((VLOOKUP($B79,INDIRECT($B$5&amp;"生成成长"),4))/(VLOOKUP(BP$72,INDIRECT($C$5&amp;"生成成长"),5))*(VLOOKUP($B$5,标准坦克设计!$B$24:$U$30,MATCH("对"&amp;LEFT($C$5,2)&amp;"输出",标准坦克设计!$B$23:$U$23,0)))*(VLOOKUP($B79,INDIRECT($B$5&amp;"生成成长"),3))*(VLOOKUP($B$5,标准坦克设计!$B$14:$K$20,9)/30))</f>
        <v>27.999353578742689</v>
      </c>
      <c r="BQ79" s="173">
        <f ca="1">(VLOOKUP(BQ$72,INDIRECT($C$5&amp;"生成成长"),2))/((VLOOKUP($B79,INDIRECT($B$5&amp;"生成成长"),4))/(VLOOKUP(BQ$72,INDIRECT($C$5&amp;"生成成长"),5))*(VLOOKUP($B$5,标准坦克设计!$B$24:$U$30,MATCH("对"&amp;LEFT($C$5,2)&amp;"输出",标准坦克设计!$B$23:$U$23,0)))*(VLOOKUP($B79,INDIRECT($B$5&amp;"生成成长"),3))*(VLOOKUP($B$5,标准坦克设计!$B$14:$K$20,9)/30))</f>
        <v>30.358948963871555</v>
      </c>
      <c r="BR79" s="173">
        <f ca="1">(VLOOKUP(BR$72,INDIRECT($C$5&amp;"生成成长"),2))/((VLOOKUP($B79,INDIRECT($B$5&amp;"生成成长"),4))/(VLOOKUP(BR$72,INDIRECT($C$5&amp;"生成成长"),5))*(VLOOKUP($B$5,标准坦克设计!$B$24:$U$30,MATCH("对"&amp;LEFT($C$5,2)&amp;"输出",标准坦克设计!$B$23:$U$23,0)))*(VLOOKUP($B79,INDIRECT($B$5&amp;"生成成长"),3))*(VLOOKUP($B$5,标准坦克设计!$B$14:$K$20,9)/30))</f>
        <v>33.092662468739952</v>
      </c>
      <c r="BS79" s="173">
        <f ca="1">(VLOOKUP(BS$72,INDIRECT($C$5&amp;"生成成长"),2))/((VLOOKUP($B79,INDIRECT($B$5&amp;"生成成长"),4))/(VLOOKUP(BS$72,INDIRECT($C$5&amp;"生成成长"),5))*(VLOOKUP($B$5,标准坦克设计!$B$24:$U$30,MATCH("对"&amp;LEFT($C$5,2)&amp;"输出",标准坦克设计!$B$23:$U$23,0)))*(VLOOKUP($B79,INDIRECT($B$5&amp;"生成成长"),3))*(VLOOKUP($B$5,标准坦克设计!$B$14:$K$20,9)/30))</f>
        <v>35.944208452266494</v>
      </c>
      <c r="BT79" s="173">
        <f ca="1">(VLOOKUP(BT$72,INDIRECT($C$5&amp;"生成成长"),2))/((VLOOKUP($B79,INDIRECT($B$5&amp;"生成成长"),4))/(VLOOKUP(BT$72,INDIRECT($C$5&amp;"生成成长"),5))*(VLOOKUP($B$5,标准坦克设计!$B$24:$U$30,MATCH("对"&amp;LEFT($C$5,2)&amp;"输出",标准坦克设计!$B$23:$U$23,0)))*(VLOOKUP($B79,INDIRECT($B$5&amp;"生成成长"),3))*(VLOOKUP($B$5,标准坦克设计!$B$14:$K$20,9)/30))</f>
        <v>38.913586914451137</v>
      </c>
      <c r="BU79" s="173">
        <f ca="1">(VLOOKUP(BU$72,INDIRECT($C$5&amp;"生成成长"),2))/((VLOOKUP($B79,INDIRECT($B$5&amp;"生成成长"),4))/(VLOOKUP(BU$72,INDIRECT($C$5&amp;"生成成长"),5))*(VLOOKUP($B$5,标准坦克设计!$B$24:$U$30,MATCH("对"&amp;LEFT($C$5,2)&amp;"输出",标准坦克设计!$B$23:$U$23,0)))*(VLOOKUP($B79,INDIRECT($B$5&amp;"生成成长"),3))*(VLOOKUP($B$5,标准坦克设计!$B$14:$K$20,9)/30))</f>
        <v>42.000797855293897</v>
      </c>
      <c r="BV79" s="173">
        <f ca="1">(VLOOKUP(BV$72,INDIRECT($C$5&amp;"生成成长"),2))/((VLOOKUP($B79,INDIRECT($B$5&amp;"生成成长"),4))/(VLOOKUP(BV$72,INDIRECT($C$5&amp;"生成成长"),5))*(VLOOKUP($B$5,标准坦克设计!$B$24:$U$30,MATCH("对"&amp;LEFT($C$5,2)&amp;"输出",标准坦克设计!$B$23:$U$23,0)))*(VLOOKUP($B79,INDIRECT($B$5&amp;"生成成长"),3))*(VLOOKUP($B$5,标准坦克设计!$B$14:$K$20,9)/30))</f>
        <v>45.205841274794786</v>
      </c>
      <c r="BW79" s="173">
        <f ca="1">(VLOOKUP(BW$72,INDIRECT($C$5&amp;"生成成长"),2))/((VLOOKUP($B79,INDIRECT($B$5&amp;"生成成长"),4))/(VLOOKUP(BW$72,INDIRECT($C$5&amp;"生成成长"),5))*(VLOOKUP($B$5,标准坦克设计!$B$24:$U$30,MATCH("对"&amp;LEFT($C$5,2)&amp;"输出",标准坦克设计!$B$23:$U$23,0)))*(VLOOKUP($B79,INDIRECT($B$5&amp;"生成成长"),3))*(VLOOKUP($B$5,标准坦克设计!$B$14:$K$20,9)/30))</f>
        <v>20.60241973097915</v>
      </c>
      <c r="BX79" s="173">
        <f ca="1">(VLOOKUP(BX$72,INDIRECT($C$5&amp;"生成成长"),2))/((VLOOKUP($B79,INDIRECT($B$5&amp;"生成成长"),4))/(VLOOKUP(BX$72,INDIRECT($C$5&amp;"生成成长"),5))*(VLOOKUP($B$5,标准坦克设计!$B$24:$U$30,MATCH("对"&amp;LEFT($C$5,2)&amp;"输出",标准坦克设计!$B$23:$U$23,0)))*(VLOOKUP($B79,INDIRECT($B$5&amp;"生成成长"),3))*(VLOOKUP($B$5,标准坦克设计!$B$14:$K$20,9)/30))</f>
        <v>22.864803321215067</v>
      </c>
      <c r="BY79" s="173">
        <f ca="1">(VLOOKUP(BY$72,INDIRECT($C$5&amp;"生成成长"),2))/((VLOOKUP($B79,INDIRECT($B$5&amp;"生成成长"),4))/(VLOOKUP(BY$72,INDIRECT($C$5&amp;"生成成长"),5))*(VLOOKUP($B$5,标准坦克设计!$B$24:$U$30,MATCH("对"&amp;LEFT($C$5,2)&amp;"输出",标准坦克设计!$B$23:$U$23,0)))*(VLOOKUP($B79,INDIRECT($B$5&amp;"生成成长"),3))*(VLOOKUP($B$5,标准坦克设计!$B$14:$K$20,9)/30))</f>
        <v>25.245019390109114</v>
      </c>
      <c r="BZ79" s="173">
        <f ca="1">(VLOOKUP(BZ$72,INDIRECT($C$5&amp;"生成成长"),2))/((VLOOKUP($B79,INDIRECT($B$5&amp;"生成成长"),4))/(VLOOKUP(BZ$72,INDIRECT($C$5&amp;"生成成长"),5))*(VLOOKUP($B$5,标准坦克设计!$B$24:$U$30,MATCH("对"&amp;LEFT($C$5,2)&amp;"输出",标准坦克设计!$B$23:$U$23,0)))*(VLOOKUP($B79,INDIRECT($B$5&amp;"生成成长"),3))*(VLOOKUP($B$5,标准坦克设计!$B$14:$K$20,9)/30))</f>
        <v>27.743067937661277</v>
      </c>
      <c r="CA79" s="173">
        <f ca="1">(VLOOKUP(CA$72,INDIRECT($C$5&amp;"生成成长"),2))/((VLOOKUP($B79,INDIRECT($B$5&amp;"生成成长"),4))/(VLOOKUP(CA$72,INDIRECT($C$5&amp;"生成成长"),5))*(VLOOKUP($B$5,标准坦克设计!$B$24:$U$30,MATCH("对"&amp;LEFT($C$5,2)&amp;"输出",标准坦克设计!$B$23:$U$23,0)))*(VLOOKUP($B79,INDIRECT($B$5&amp;"生成成长"),3))*(VLOOKUP($B$5,标准坦克设计!$B$14:$K$20,9)/30))</f>
        <v>30.358948963871555</v>
      </c>
      <c r="CB79" s="173">
        <f ca="1">(VLOOKUP(CB$72,INDIRECT($C$5&amp;"生成成长"),2))/((VLOOKUP($B79,INDIRECT($B$5&amp;"生成成长"),4))/(VLOOKUP(CB$72,INDIRECT($C$5&amp;"生成成长"),5))*(VLOOKUP($B$5,标准坦克设计!$B$24:$U$30,MATCH("对"&amp;LEFT($C$5,2)&amp;"输出",标准坦克设计!$B$23:$U$23,0)))*(VLOOKUP($B79,INDIRECT($B$5&amp;"生成成长"),3))*(VLOOKUP($B$5,标准坦克设计!$B$14:$K$20,9)/30))</f>
        <v>33.092662468739952</v>
      </c>
      <c r="CC79" s="173">
        <f ca="1">(VLOOKUP(CC$72,INDIRECT($C$5&amp;"生成成长"),2))/((VLOOKUP($B79,INDIRECT($B$5&amp;"生成成长"),4))/(VLOOKUP(CC$72,INDIRECT($C$5&amp;"生成成长"),5))*(VLOOKUP($B$5,标准坦克设计!$B$24:$U$30,MATCH("对"&amp;LEFT($C$5,2)&amp;"输出",标准坦克设计!$B$23:$U$23,0)))*(VLOOKUP($B79,INDIRECT($B$5&amp;"生成成长"),3))*(VLOOKUP($B$5,标准坦克设计!$B$14:$K$20,9)/30))</f>
        <v>35.944208452266494</v>
      </c>
      <c r="CD79" s="173">
        <f ca="1">(VLOOKUP(CD$72,INDIRECT($C$5&amp;"生成成长"),2))/((VLOOKUP($B79,INDIRECT($B$5&amp;"生成成长"),4))/(VLOOKUP(CD$72,INDIRECT($C$5&amp;"生成成长"),5))*(VLOOKUP($B$5,标准坦克设计!$B$24:$U$30,MATCH("对"&amp;LEFT($C$5,2)&amp;"输出",标准坦克设计!$B$23:$U$23,0)))*(VLOOKUP($B79,INDIRECT($B$5&amp;"生成成长"),3))*(VLOOKUP($B$5,标准坦克设计!$B$14:$K$20,9)/30))</f>
        <v>38.913586914451137</v>
      </c>
      <c r="CE79" s="173">
        <f ca="1">(VLOOKUP(CE$72,INDIRECT($C$5&amp;"生成成长"),2))/((VLOOKUP($B79,INDIRECT($B$5&amp;"生成成长"),4))/(VLOOKUP(CE$72,INDIRECT($C$5&amp;"生成成长"),5))*(VLOOKUP($B$5,标准坦克设计!$B$24:$U$30,MATCH("对"&amp;LEFT($C$5,2)&amp;"输出",标准坦克设计!$B$23:$U$23,0)))*(VLOOKUP($B79,INDIRECT($B$5&amp;"生成成长"),3))*(VLOOKUP($B$5,标准坦克设计!$B$14:$K$20,9)/30))</f>
        <v>42.000797855293897</v>
      </c>
      <c r="CF79" s="173">
        <f ca="1">(VLOOKUP(CF$72,INDIRECT($C$5&amp;"生成成长"),2))/((VLOOKUP($B79,INDIRECT($B$5&amp;"生成成长"),4))/(VLOOKUP(CF$72,INDIRECT($C$5&amp;"生成成长"),5))*(VLOOKUP($B$5,标准坦克设计!$B$24:$U$30,MATCH("对"&amp;LEFT($C$5,2)&amp;"输出",标准坦克设计!$B$23:$U$23,0)))*(VLOOKUP($B79,INDIRECT($B$5&amp;"生成成长"),3))*(VLOOKUP($B$5,标准坦克设计!$B$14:$K$20,9)/30))</f>
        <v>45.205841274794786</v>
      </c>
      <c r="CG79" s="173">
        <f ca="1">(VLOOKUP(CG$72,INDIRECT($C$5&amp;"生成成长"),2))/((VLOOKUP($B79,INDIRECT($B$5&amp;"生成成长"),4))/(VLOOKUP(CG$72,INDIRECT($C$5&amp;"生成成长"),5))*(VLOOKUP($B$5,标准坦克设计!$B$24:$U$30,MATCH("对"&amp;LEFT($C$5,2)&amp;"输出",标准坦克设计!$B$23:$U$23,0)))*(VLOOKUP($B79,INDIRECT($B$5&amp;"生成成长"),3))*(VLOOKUP($B$5,标准坦克设计!$B$14:$K$20,9)/30))</f>
        <v>48.52871717295379</v>
      </c>
      <c r="CH79" s="173">
        <f ca="1">(VLOOKUP(CH$72,INDIRECT($C$5&amp;"生成成长"),2))/((VLOOKUP($B79,INDIRECT($B$5&amp;"生成成长"),4))/(VLOOKUP(CH$72,INDIRECT($C$5&amp;"生成成长"),5))*(VLOOKUP($B$5,标准坦克设计!$B$24:$U$30,MATCH("对"&amp;LEFT($C$5,2)&amp;"输出",标准坦克设计!$B$23:$U$23,0)))*(VLOOKUP($B79,INDIRECT($B$5&amp;"生成成长"),3))*(VLOOKUP($B$5,标准坦克设计!$B$14:$K$20,9)/30))</f>
        <v>51.969425549770925</v>
      </c>
      <c r="CI79" s="173">
        <f ca="1">(VLOOKUP(CI$72,INDIRECT($C$5&amp;"生成成长"),2))/((VLOOKUP($B79,INDIRECT($B$5&amp;"生成成长"),4))/(VLOOKUP(CI$72,INDIRECT($C$5&amp;"生成成长"),5))*(VLOOKUP($B$5,标准坦克设计!$B$24:$U$30,MATCH("对"&amp;LEFT($C$5,2)&amp;"输出",标准坦克设计!$B$23:$U$23,0)))*(VLOOKUP($B79,INDIRECT($B$5&amp;"生成成长"),3))*(VLOOKUP($B$5,标准坦克设计!$B$14:$K$20,9)/30))</f>
        <v>55.890301277119903</v>
      </c>
      <c r="CJ79" s="173">
        <f ca="1">(VLOOKUP(CJ$72,INDIRECT($C$5&amp;"生成成长"),2))/((VLOOKUP($B79,INDIRECT($B$5&amp;"生成成长"),4))/(VLOOKUP(CJ$72,INDIRECT($C$5&amp;"生成成长"),5))*(VLOOKUP($B$5,标准坦克设计!$B$24:$U$30,MATCH("对"&amp;LEFT($C$5,2)&amp;"输出",标准坦克设计!$B$23:$U$23,0)))*(VLOOKUP($B79,INDIRECT($B$5&amp;"生成成长"),3))*(VLOOKUP($B$5,标准坦克设计!$B$14:$K$20,9)/30))</f>
        <v>59.953754303645205</v>
      </c>
      <c r="CK79" s="173">
        <f ca="1">(VLOOKUP(CK$72,INDIRECT($C$5&amp;"生成成长"),2))/((VLOOKUP($B79,INDIRECT($B$5&amp;"生成成长"),4))/(VLOOKUP(CK$72,INDIRECT($C$5&amp;"生成成长"),5))*(VLOOKUP($B$5,标准坦克设计!$B$24:$U$30,MATCH("对"&amp;LEFT($C$5,2)&amp;"输出",标准坦克设计!$B$23:$U$23,0)))*(VLOOKUP($B79,INDIRECT($B$5&amp;"生成成长"),3))*(VLOOKUP($B$5,标准坦克设计!$B$14:$K$20,9)/30))</f>
        <v>64.159784629346831</v>
      </c>
      <c r="CL79" s="173">
        <f ca="1">(VLOOKUP(CL$72,INDIRECT($C$5&amp;"生成成长"),2))/((VLOOKUP($B79,INDIRECT($B$5&amp;"生成成长"),4))/(VLOOKUP(CL$72,INDIRECT($C$5&amp;"生成成长"),5))*(VLOOKUP($B$5,标准坦克设计!$B$24:$U$30,MATCH("对"&amp;LEFT($C$5,2)&amp;"输出",标准坦克设计!$B$23:$U$23,0)))*(VLOOKUP($B79,INDIRECT($B$5&amp;"生成成长"),3))*(VLOOKUP($B$5,标准坦克设计!$B$14:$K$20,9)/30))</f>
        <v>68.508392254224773</v>
      </c>
      <c r="CM79" s="173">
        <f ca="1">(VLOOKUP(CM$72,INDIRECT($C$5&amp;"生成成长"),2))/((VLOOKUP($B79,INDIRECT($B$5&amp;"生成成长"),4))/(VLOOKUP(CM$72,INDIRECT($C$5&amp;"生成成长"),5))*(VLOOKUP($B$5,标准坦克设计!$B$24:$U$30,MATCH("对"&amp;LEFT($C$5,2)&amp;"输出",标准坦克设计!$B$23:$U$23,0)))*(VLOOKUP($B79,INDIRECT($B$5&amp;"生成成长"),3))*(VLOOKUP($B$5,标准坦克设计!$B$14:$K$20,9)/30))</f>
        <v>72.999577178279054</v>
      </c>
      <c r="CN79" s="173">
        <f ca="1">(VLOOKUP(CN$72,INDIRECT($C$5&amp;"生成成长"),2))/((VLOOKUP($B79,INDIRECT($B$5&amp;"生成成长"),4))/(VLOOKUP(CN$72,INDIRECT($C$5&amp;"生成成长"),5))*(VLOOKUP($B$5,标准坦克设计!$B$24:$U$30,MATCH("对"&amp;LEFT($C$5,2)&amp;"输出",标准坦克设计!$B$23:$U$23,0)))*(VLOOKUP($B79,INDIRECT($B$5&amp;"生成成长"),3))*(VLOOKUP($B$5,标准坦克设计!$B$14:$K$20,9)/30))</f>
        <v>77.633339401509659</v>
      </c>
      <c r="CO79" s="173">
        <f ca="1">(VLOOKUP(CO$72,INDIRECT($C$5&amp;"生成成长"),2))/((VLOOKUP($B79,INDIRECT($B$5&amp;"生成成长"),4))/(VLOOKUP(CO$72,INDIRECT($C$5&amp;"生成成长"),5))*(VLOOKUP($B$5,标准坦克设计!$B$24:$U$30,MATCH("对"&amp;LEFT($C$5,2)&amp;"输出",标准坦克设计!$B$23:$U$23,0)))*(VLOOKUP($B79,INDIRECT($B$5&amp;"生成成长"),3))*(VLOOKUP($B$5,标准坦克设计!$B$14:$K$20,9)/30))</f>
        <v>34.789450161416909</v>
      </c>
      <c r="CP79" s="173">
        <f ca="1">(VLOOKUP(CP$72,INDIRECT($C$5&amp;"生成成长"),2))/((VLOOKUP($B79,INDIRECT($B$5&amp;"生成成长"),4))/(VLOOKUP(CP$72,INDIRECT($C$5&amp;"生成成长"),5))*(VLOOKUP($B$5,标准坦克设计!$B$24:$U$30,MATCH("对"&amp;LEFT($C$5,2)&amp;"输出",标准坦克设计!$B$23:$U$23,0)))*(VLOOKUP($B79,INDIRECT($B$5&amp;"生成成长"),3))*(VLOOKUP($B$5,标准坦克设计!$B$14:$K$20,9)/30))</f>
        <v>38.01040096553664</v>
      </c>
      <c r="CQ79" s="173">
        <f ca="1">(VLOOKUP(CQ$72,INDIRECT($C$5&amp;"生成成长"),2))/((VLOOKUP($B79,INDIRECT($B$5&amp;"生成成长"),4))/(VLOOKUP(CQ$72,INDIRECT($C$5&amp;"生成成长"),5))*(VLOOKUP($B$5,标准坦克设计!$B$24:$U$30,MATCH("对"&amp;LEFT($C$5,2)&amp;"输出",标准坦克设计!$B$23:$U$23,0)))*(VLOOKUP($B79,INDIRECT($B$5&amp;"生成成长"),3))*(VLOOKUP($B$5,标准坦克设计!$B$14:$K$20,9)/30))</f>
        <v>41.373929068832695</v>
      </c>
      <c r="CR79" s="173">
        <f ca="1">(VLOOKUP(CR$72,INDIRECT($C$5&amp;"生成成长"),2))/((VLOOKUP($B79,INDIRECT($B$5&amp;"生成成长"),4))/(VLOOKUP(CR$72,INDIRECT($C$5&amp;"生成成长"),5))*(VLOOKUP($B$5,标准坦克设计!$B$24:$U$30,MATCH("对"&amp;LEFT($C$5,2)&amp;"输出",标准坦克设计!$B$23:$U$23,0)))*(VLOOKUP($B79,INDIRECT($B$5&amp;"生成成长"),3))*(VLOOKUP($B$5,标准坦克设计!$B$14:$K$20,9)/30))</f>
        <v>44.880034471305073</v>
      </c>
      <c r="CS79" s="173">
        <f ca="1">(VLOOKUP(CS$72,INDIRECT($C$5&amp;"生成成长"),2))/((VLOOKUP($B79,INDIRECT($B$5&amp;"生成成长"),4))/(VLOOKUP(CS$72,INDIRECT($C$5&amp;"生成成长"),5))*(VLOOKUP($B$5,标准坦克设计!$B$24:$U$30,MATCH("对"&amp;LEFT($C$5,2)&amp;"输出",标准坦克设计!$B$23:$U$23,0)))*(VLOOKUP($B79,INDIRECT($B$5&amp;"生成成长"),3))*(VLOOKUP($B$5,标准坦克设计!$B$14:$K$20,9)/30))</f>
        <v>48.52871717295379</v>
      </c>
      <c r="CT79" s="173">
        <f ca="1">(VLOOKUP(CT$72,INDIRECT($C$5&amp;"生成成长"),2))/((VLOOKUP($B79,INDIRECT($B$5&amp;"生成成长"),4))/(VLOOKUP(CT$72,INDIRECT($C$5&amp;"生成成长"),5))*(VLOOKUP($B$5,标准坦克设计!$B$24:$U$30,MATCH("对"&amp;LEFT($C$5,2)&amp;"输出",标准坦克设计!$B$23:$U$23,0)))*(VLOOKUP($B79,INDIRECT($B$5&amp;"生成成长"),3))*(VLOOKUP($B$5,标准坦克设计!$B$14:$K$20,9)/30))</f>
        <v>52.319977173778831</v>
      </c>
      <c r="CU79" s="173">
        <f ca="1">(VLOOKUP(CU$72,INDIRECT($C$5&amp;"生成成长"),2))/((VLOOKUP($B79,INDIRECT($B$5&amp;"生成成长"),4))/(VLOOKUP(CU$72,INDIRECT($C$5&amp;"生成成长"),5))*(VLOOKUP($B$5,标准坦克设计!$B$24:$U$30,MATCH("对"&amp;LEFT($C$5,2)&amp;"输出",标准坦克设计!$B$23:$U$23,0)))*(VLOOKUP($B79,INDIRECT($B$5&amp;"生成成长"),3))*(VLOOKUP($B$5,标准坦克设计!$B$14:$K$20,9)/30))</f>
        <v>56.253814473780189</v>
      </c>
      <c r="CV79" s="173">
        <f ca="1">(VLOOKUP(CV$72,INDIRECT($C$5&amp;"生成成长"),2))/((VLOOKUP($B79,INDIRECT($B$5&amp;"生成成长"),4))/(VLOOKUP(CV$72,INDIRECT($C$5&amp;"生成成长"),5))*(VLOOKUP($B$5,标准坦克设计!$B$24:$U$30,MATCH("对"&amp;LEFT($C$5,2)&amp;"输出",标准坦克设计!$B$23:$U$23,0)))*(VLOOKUP($B79,INDIRECT($B$5&amp;"生成成长"),3))*(VLOOKUP($B$5,标准坦克设计!$B$14:$K$20,9)/30))</f>
        <v>60.330229072957884</v>
      </c>
      <c r="CW79" s="173">
        <f ca="1">(VLOOKUP(CW$72,INDIRECT($C$5&amp;"生成成长"),2))/((VLOOKUP($B79,INDIRECT($B$5&amp;"生成成长"),4))/(VLOOKUP(CW$72,INDIRECT($C$5&amp;"生成成长"),5))*(VLOOKUP($B$5,标准坦克设计!$B$24:$U$30,MATCH("对"&amp;LEFT($C$5,2)&amp;"输出",标准坦克设计!$B$23:$U$23,0)))*(VLOOKUP($B79,INDIRECT($B$5&amp;"生成成长"),3))*(VLOOKUP($B$5,标准坦克设计!$B$14:$K$20,9)/30))</f>
        <v>64.549220971311911</v>
      </c>
      <c r="CX79" s="173">
        <f ca="1">(VLOOKUP(CX$72,INDIRECT($C$5&amp;"生成成长"),2))/((VLOOKUP($B79,INDIRECT($B$5&amp;"生成成长"),4))/(VLOOKUP(CX$72,INDIRECT($C$5&amp;"生成成长"),5))*(VLOOKUP($B$5,标准坦克设计!$B$24:$U$30,MATCH("对"&amp;LEFT($C$5,2)&amp;"输出",标准坦克设计!$B$23:$U$23,0)))*(VLOOKUP($B79,INDIRECT($B$5&amp;"生成成长"),3))*(VLOOKUP($B$5,标准坦克设计!$B$14:$K$20,9)/30))</f>
        <v>68.910790168842269</v>
      </c>
      <c r="CY79" s="173">
        <f ca="1">(VLOOKUP(CY$72,INDIRECT($C$5&amp;"生成成长"),2))/((VLOOKUP($B79,INDIRECT($B$5&amp;"生成成长"),4))/(VLOOKUP(CY$72,INDIRECT($C$5&amp;"生成成长"),5))*(VLOOKUP($B$5,标准坦克设计!$B$24:$U$30,MATCH("对"&amp;LEFT($C$5,2)&amp;"输出",标准坦克设计!$B$23:$U$23,0)))*(VLOOKUP($B79,INDIRECT($B$5&amp;"生成成长"),3))*(VLOOKUP($B$5,标准坦克设计!$B$14:$K$20,9)/30))</f>
        <v>73.414936665548936</v>
      </c>
      <c r="CZ79" s="173">
        <f ca="1">(VLOOKUP(CZ$72,INDIRECT($C$5&amp;"生成成长"),2))/((VLOOKUP($B79,INDIRECT($B$5&amp;"生成成长"),4))/(VLOOKUP(CZ$72,INDIRECT($C$5&amp;"生成成长"),5))*(VLOOKUP($B$5,标准坦克设计!$B$24:$U$30,MATCH("对"&amp;LEFT($C$5,2)&amp;"输出",标准坦克设计!$B$23:$U$23,0)))*(VLOOKUP($B79,INDIRECT($B$5&amp;"生成成长"),3))*(VLOOKUP($B$5,标准坦克设计!$B$14:$K$20,9)/30))</f>
        <v>78.061660461431927</v>
      </c>
      <c r="DA79" s="173">
        <f ca="1">(VLOOKUP(DA$72,INDIRECT($C$5&amp;"生成成长"),2))/((VLOOKUP($B79,INDIRECT($B$5&amp;"生成成长"),4))/(VLOOKUP(DA$72,INDIRECT($C$5&amp;"生成成长"),5))*(VLOOKUP($B$5,标准坦克设计!$B$24:$U$30,MATCH("对"&amp;LEFT($C$5,2)&amp;"输出",标准坦克设计!$B$23:$U$23,0)))*(VLOOKUP($B79,INDIRECT($B$5&amp;"生成成长"),3))*(VLOOKUP($B$5,标准坦克设计!$B$14:$K$20,9)/30))</f>
        <v>82.850961556491242</v>
      </c>
      <c r="DB79" s="173">
        <f ca="1">(VLOOKUP(DB$72,INDIRECT($C$5&amp;"生成成长"),2))/((VLOOKUP($B79,INDIRECT($B$5&amp;"生成成长"),4))/(VLOOKUP(DB$72,INDIRECT($C$5&amp;"生成成长"),5))*(VLOOKUP($B$5,标准坦克设计!$B$24:$U$30,MATCH("对"&amp;LEFT($C$5,2)&amp;"输出",标准坦克设计!$B$23:$U$23,0)))*(VLOOKUP($B79,INDIRECT($B$5&amp;"生成成长"),3))*(VLOOKUP($B$5,标准坦克设计!$B$14:$K$20,9)/30))</f>
        <v>87.782839950726895</v>
      </c>
      <c r="DC79" s="173">
        <f ca="1">(VLOOKUP(DC$72,INDIRECT($C$5&amp;"生成成长"),2))/((VLOOKUP($B79,INDIRECT($B$5&amp;"生成成长"),4))/(VLOOKUP(DC$72,INDIRECT($C$5&amp;"生成成长"),5))*(VLOOKUP($B$5,标准坦克设计!$B$24:$U$30,MATCH("对"&amp;LEFT($C$5,2)&amp;"输出",标准坦克设计!$B$23:$U$23,0)))*(VLOOKUP($B79,INDIRECT($B$5&amp;"生成成长"),3))*(VLOOKUP($B$5,标准坦克设计!$B$14:$K$20,9)/30))</f>
        <v>93.325679746804909</v>
      </c>
      <c r="DD79" s="173">
        <f ca="1">(VLOOKUP(DD$72,INDIRECT($C$5&amp;"生成成长"),2))/((VLOOKUP($B79,INDIRECT($B$5&amp;"生成成长"),4))/(VLOOKUP(DD$72,INDIRECT($C$5&amp;"生成成长"),5))*(VLOOKUP($B$5,标准坦克设计!$B$24:$U$30,MATCH("对"&amp;LEFT($C$5,2)&amp;"输出",标准坦克设计!$B$23:$U$23,0)))*(VLOOKUP($B79,INDIRECT($B$5&amp;"生成成长"),3))*(VLOOKUP($B$5,标准坦克设计!$B$14:$K$20,9)/30))</f>
        <v>99.038198312150598</v>
      </c>
      <c r="DE79" s="173">
        <f ca="1">(VLOOKUP(DE$72,INDIRECT($C$5&amp;"生成成长"),2))/((VLOOKUP($B79,INDIRECT($B$5&amp;"生成成长"),4))/(VLOOKUP(DE$72,INDIRECT($C$5&amp;"生成成长"),5))*(VLOOKUP($B$5,标准坦克设计!$B$24:$U$30,MATCH("对"&amp;LEFT($C$5,2)&amp;"输出",标准坦克设计!$B$23:$U$23,0)))*(VLOOKUP($B79,INDIRECT($B$5&amp;"生成成长"),3))*(VLOOKUP($B$5,标准坦克设计!$B$14:$K$20,9)/30))</f>
        <v>104.92039564676399</v>
      </c>
      <c r="DF79" s="173">
        <f ca="1">(VLOOKUP(DF$72,INDIRECT($C$5&amp;"生成成长"),2))/((VLOOKUP($B79,INDIRECT($B$5&amp;"生成成长"),4))/(VLOOKUP(DF$72,INDIRECT($C$5&amp;"生成成长"),5))*(VLOOKUP($B$5,标准坦克设计!$B$24:$U$30,MATCH("对"&amp;LEFT($C$5,2)&amp;"输出",标准坦克设计!$B$23:$U$23,0)))*(VLOOKUP($B79,INDIRECT($B$5&amp;"生成成长"),3))*(VLOOKUP($B$5,标准坦克设计!$B$14:$K$20,9)/30))</f>
        <v>110.97227175064511</v>
      </c>
      <c r="DG79" s="173">
        <f ca="1">(VLOOKUP(DG$72,INDIRECT($C$5&amp;"生成成长"),2))/((VLOOKUP($B79,INDIRECT($B$5&amp;"生成成长"),4))/(VLOOKUP(DG$72,INDIRECT($C$5&amp;"生成成长"),5))*(VLOOKUP($B$5,标准坦克设计!$B$24:$U$30,MATCH("对"&amp;LEFT($C$5,2)&amp;"输出",标准坦克设计!$B$23:$U$23,0)))*(VLOOKUP($B79,INDIRECT($B$5&amp;"生成成长"),3))*(VLOOKUP($B$5,标准坦克设计!$B$14:$K$20,9)/30))</f>
        <v>117.19382662379385</v>
      </c>
      <c r="DH79" s="173">
        <f ca="1">(VLOOKUP(DH$72,INDIRECT($C$5&amp;"生成成长"),2))/((VLOOKUP($B79,INDIRECT($B$5&amp;"生成成长"),4))/(VLOOKUP(DH$72,INDIRECT($C$5&amp;"生成成长"),5))*(VLOOKUP($B$5,标准坦克设计!$B$24:$U$30,MATCH("对"&amp;LEFT($C$5,2)&amp;"输出",标准坦克设计!$B$23:$U$23,0)))*(VLOOKUP($B79,INDIRECT($B$5&amp;"生成成长"),3))*(VLOOKUP($B$5,标准坦克设计!$B$14:$K$20,9)/30))</f>
        <v>123.58506026621035</v>
      </c>
      <c r="DI79" s="173">
        <f ca="1">(VLOOKUP(DI$72,INDIRECT($C$5&amp;"生成成长"),2))/((VLOOKUP($B79,INDIRECT($B$5&amp;"生成成长"),4))/(VLOOKUP(DI$72,INDIRECT($C$5&amp;"生成成长"),5))*(VLOOKUP($B$5,标准坦克设计!$B$24:$U$30,MATCH("对"&amp;LEFT($C$5,2)&amp;"输出",标准坦克设计!$B$23:$U$23,0)))*(VLOOKUP($B79,INDIRECT($B$5&amp;"生成成长"),3))*(VLOOKUP($B$5,标准坦克设计!$B$14:$K$20,9)/30))</f>
        <v>130.14597267789455</v>
      </c>
      <c r="DJ79" s="173">
        <f ca="1">(VLOOKUP(DJ$72,INDIRECT($C$5&amp;"生成成长"),2))/((VLOOKUP($B79,INDIRECT($B$5&amp;"生成成长"),4))/(VLOOKUP(DJ$72,INDIRECT($C$5&amp;"生成成长"),5))*(VLOOKUP($B$5,标准坦克设计!$B$24:$U$30,MATCH("对"&amp;LEFT($C$5,2)&amp;"输出",标准坦克设计!$B$23:$U$23,0)))*(VLOOKUP($B79,INDIRECT($B$5&amp;"生成成长"),3))*(VLOOKUP($B$5,标准坦克设计!$B$14:$K$20,9)/30))</f>
        <v>13.079994293444708</v>
      </c>
      <c r="DK79" s="173">
        <f ca="1">(VLOOKUP(DK$72,INDIRECT($C$5&amp;"生成成长"),2))/((VLOOKUP($B79,INDIRECT($B$5&amp;"生成成长"),4))/(VLOOKUP(DK$72,INDIRECT($C$5&amp;"生成成长"),5))*(VLOOKUP($B$5,标准坦克设计!$B$24:$U$30,MATCH("对"&amp;LEFT($C$5,2)&amp;"输出",标准坦克设计!$B$23:$U$23,0)))*(VLOOKUP($B79,INDIRECT($B$5&amp;"生成成长"),3))*(VLOOKUP($B$5,标准坦克设计!$B$14:$K$20,9)/30))</f>
        <v>14.70784998610665</v>
      </c>
      <c r="DL79" s="173">
        <f ca="1">(VLOOKUP(DL$72,INDIRECT($C$5&amp;"生成成长"),2))/((VLOOKUP($B79,INDIRECT($B$5&amp;"生成成长"),4))/(VLOOKUP(DL$72,INDIRECT($C$5&amp;"生成成长"),5))*(VLOOKUP($B$5,标准坦克设计!$B$24:$U$30,MATCH("对"&amp;LEFT($C$5,2)&amp;"输出",标准坦克设计!$B$23:$U$23,0)))*(VLOOKUP($B79,INDIRECT($B$5&amp;"生成成长"),3))*(VLOOKUP($B$5,标准坦克设计!$B$14:$K$20,9)/30))</f>
        <v>16.431149986481667</v>
      </c>
      <c r="DM79" s="173">
        <f ca="1">(VLOOKUP(DM$72,INDIRECT($C$5&amp;"生成成长"),2))/((VLOOKUP($B79,INDIRECT($B$5&amp;"生成成长"),4))/(VLOOKUP(DM$72,INDIRECT($C$5&amp;"生成成长"),5))*(VLOOKUP($B$5,标准坦克设计!$B$24:$U$30,MATCH("对"&amp;LEFT($C$5,2)&amp;"输出",标准坦克设计!$B$23:$U$23,0)))*(VLOOKUP($B79,INDIRECT($B$5&amp;"生成成长"),3))*(VLOOKUP($B$5,标准坦克设计!$B$14:$K$20,9)/30))</f>
        <v>18.249894294569764</v>
      </c>
      <c r="DN79" s="173">
        <f ca="1">(VLOOKUP(DN$72,INDIRECT($C$5&amp;"生成成长"),2))/((VLOOKUP($B79,INDIRECT($B$5&amp;"生成成长"),4))/(VLOOKUP(DN$72,INDIRECT($C$5&amp;"生成成长"),5))*(VLOOKUP($B$5,标准坦克设计!$B$24:$U$30,MATCH("对"&amp;LEFT($C$5,2)&amp;"输出",标准坦克设计!$B$23:$U$23,0)))*(VLOOKUP($B79,INDIRECT($B$5&amp;"生成成长"),3))*(VLOOKUP($B$5,标准坦克设计!$B$14:$K$20,9)/30))</f>
        <v>20.164082910370933</v>
      </c>
      <c r="DO79" s="173">
        <f ca="1">(VLOOKUP(DO$72,INDIRECT($C$5&amp;"生成成长"),2))/((VLOOKUP($B79,INDIRECT($B$5&amp;"生成成长"),4))/(VLOOKUP(DO$72,INDIRECT($C$5&amp;"生成成长"),5))*(VLOOKUP($B$5,标准坦克设计!$B$24:$U$30,MATCH("对"&amp;LEFT($C$5,2)&amp;"输出",标准坦克设计!$B$23:$U$23,0)))*(VLOOKUP($B79,INDIRECT($B$5&amp;"生成成长"),3))*(VLOOKUP($B$5,标准坦克设计!$B$14:$K$20,9)/30))</f>
        <v>22.173715833885193</v>
      </c>
      <c r="DP79" s="173">
        <f ca="1">(VLOOKUP(DP$72,INDIRECT($C$5&amp;"生成成长"),2))/((VLOOKUP($B79,INDIRECT($B$5&amp;"生成成长"),4))/(VLOOKUP(DP$72,INDIRECT($C$5&amp;"生成成长"),5))*(VLOOKUP($B$5,标准坦克设计!$B$24:$U$30,MATCH("对"&amp;LEFT($C$5,2)&amp;"输出",标准坦克设计!$B$23:$U$23,0)))*(VLOOKUP($B79,INDIRECT($B$5&amp;"生成成长"),3))*(VLOOKUP($B$5,标准坦克设计!$B$14:$K$20,9)/30))</f>
        <v>24.278793065112517</v>
      </c>
      <c r="DQ79" s="173">
        <f ca="1">(VLOOKUP(DQ$72,INDIRECT($C$5&amp;"生成成长"),2))/((VLOOKUP($B79,INDIRECT($B$5&amp;"生成成长"),4))/(VLOOKUP(DQ$72,INDIRECT($C$5&amp;"生成成长"),5))*(VLOOKUP($B$5,标准坦克设计!$B$24:$U$30,MATCH("对"&amp;LEFT($C$5,2)&amp;"输出",标准坦克设计!$B$23:$U$23,0)))*(VLOOKUP($B79,INDIRECT($B$5&amp;"生成成长"),3))*(VLOOKUP($B$5,标准坦克设计!$B$14:$K$20,9)/30))</f>
        <v>26.479314604052927</v>
      </c>
      <c r="DR79" s="173">
        <f ca="1">(VLOOKUP(DR$72,INDIRECT($C$5&amp;"生成成长"),2))/((VLOOKUP($B79,INDIRECT($B$5&amp;"生成成长"),4))/(VLOOKUP(DR$72,INDIRECT($C$5&amp;"生成成长"),5))*(VLOOKUP($B$5,标准坦克设计!$B$24:$U$30,MATCH("对"&amp;LEFT($C$5,2)&amp;"输出",标准坦克设计!$B$23:$U$23,0)))*(VLOOKUP($B79,INDIRECT($B$5&amp;"生成成长"),3))*(VLOOKUP($B$5,标准坦克设计!$B$14:$K$20,9)/30))</f>
        <v>28.775280450706408</v>
      </c>
      <c r="DS79" s="173">
        <f ca="1">(VLOOKUP(DS$72,INDIRECT($C$5&amp;"生成成长"),2))/((VLOOKUP($B79,INDIRECT($B$5&amp;"生成成长"),4))/(VLOOKUP(DS$72,INDIRECT($C$5&amp;"生成成长"),5))*(VLOOKUP($B$5,标准坦克设计!$B$24:$U$30,MATCH("对"&amp;LEFT($C$5,2)&amp;"输出",标准坦克设计!$B$23:$U$23,0)))*(VLOOKUP($B79,INDIRECT($B$5&amp;"生成成长"),3))*(VLOOKUP($B$5,标准坦克设计!$B$14:$K$20,9)/30))</f>
        <v>31.166690605072972</v>
      </c>
      <c r="DT79" s="173">
        <f ca="1">(VLOOKUP(DT$72,INDIRECT($C$5&amp;"生成成长"),2))/((VLOOKUP($B79,INDIRECT($B$5&amp;"生成成长"),4))/(VLOOKUP(DT$72,INDIRECT($C$5&amp;"生成成长"),5))*(VLOOKUP($B$5,标准坦克设计!$B$24:$U$30,MATCH("对"&amp;LEFT($C$5,2)&amp;"输出",标准坦克设计!$B$23:$U$23,0)))*(VLOOKUP($B79,INDIRECT($B$5&amp;"生成成长"),3))*(VLOOKUP($B$5,标准坦克设计!$B$14:$K$20,9)/30))</f>
        <v>34.219140964711599</v>
      </c>
      <c r="DU79" s="173">
        <f ca="1">(VLOOKUP(DU$72,INDIRECT($C$5&amp;"生成成长"),2))/((VLOOKUP($B79,INDIRECT($B$5&amp;"生成成长"),4))/(VLOOKUP(DU$72,INDIRECT($C$5&amp;"生成成长"),5))*(VLOOKUP($B$5,标准坦克设计!$B$24:$U$30,MATCH("对"&amp;LEFT($C$5,2)&amp;"输出",标准坦克设计!$B$23:$U$23,0)))*(VLOOKUP($B79,INDIRECT($B$5&amp;"生成成长"),3))*(VLOOKUP($B$5,标准坦克设计!$B$14:$K$20,9)/30))</f>
        <v>37.414168623526542</v>
      </c>
      <c r="DV79" s="173">
        <f ca="1">(VLOOKUP(DV$72,INDIRECT($C$5&amp;"生成成长"),2))/((VLOOKUP($B79,INDIRECT($B$5&amp;"生成成长"),4))/(VLOOKUP(DV$72,INDIRECT($C$5&amp;"生成成长"),5))*(VLOOKUP($B$5,标准坦克设计!$B$24:$U$30,MATCH("对"&amp;LEFT($C$5,2)&amp;"输出",标准坦克设计!$B$23:$U$23,0)))*(VLOOKUP($B79,INDIRECT($B$5&amp;"生成成长"),3))*(VLOOKUP($B$5,标准坦克设计!$B$14:$K$20,9)/30))</f>
        <v>40.751773581517817</v>
      </c>
      <c r="DW79" s="173">
        <f ca="1">(VLOOKUP(DW$72,INDIRECT($C$5&amp;"生成成长"),2))/((VLOOKUP($B79,INDIRECT($B$5&amp;"生成成长"),4))/(VLOOKUP(DW$72,INDIRECT($C$5&amp;"生成成长"),5))*(VLOOKUP($B$5,标准坦克设计!$B$24:$U$30,MATCH("对"&amp;LEFT($C$5,2)&amp;"输出",标准坦克设计!$B$23:$U$23,0)))*(VLOOKUP($B79,INDIRECT($B$5&amp;"生成成长"),3))*(VLOOKUP($B$5,标准坦克设计!$B$14:$K$20,9)/30))</f>
        <v>44.231955838685423</v>
      </c>
      <c r="DX79" s="173">
        <f ca="1">(VLOOKUP(DX$72,INDIRECT($C$5&amp;"生成成长"),2))/((VLOOKUP($B79,INDIRECT($B$5&amp;"生成成长"),4))/(VLOOKUP(DX$72,INDIRECT($C$5&amp;"生成成长"),5))*(VLOOKUP($B$5,标准坦克设计!$B$24:$U$30,MATCH("对"&amp;LEFT($C$5,2)&amp;"输出",标准坦克设计!$B$23:$U$23,0)))*(VLOOKUP($B79,INDIRECT($B$5&amp;"生成成长"),3))*(VLOOKUP($B$5,标准坦克设计!$B$14:$K$20,9)/30))</f>
        <v>47.854715395029352</v>
      </c>
      <c r="DY79" s="173">
        <f ca="1">(VLOOKUP(DY$72,INDIRECT($C$5&amp;"生成成长"),2))/((VLOOKUP($B79,INDIRECT($B$5&amp;"生成成长"),4))/(VLOOKUP(DY$72,INDIRECT($C$5&amp;"生成成长"),5))*(VLOOKUP($B$5,标准坦克设计!$B$24:$U$30,MATCH("对"&amp;LEFT($C$5,2)&amp;"输出",标准坦克设计!$B$23:$U$23,0)))*(VLOOKUP($B79,INDIRECT($B$5&amp;"生成成长"),3))*(VLOOKUP($B$5,标准坦克设计!$B$14:$K$20,9)/30))</f>
        <v>21.493233269634541</v>
      </c>
      <c r="DZ79" s="173">
        <f ca="1">(VLOOKUP(DZ$72,INDIRECT($C$5&amp;"生成成长"),2))/((VLOOKUP($B79,INDIRECT($B$5&amp;"生成成长"),4))/(VLOOKUP(DZ$72,INDIRECT($C$5&amp;"生成成长"),5))*(VLOOKUP($B$5,标准坦克设计!$B$24:$U$30,MATCH("对"&amp;LEFT($C$5,2)&amp;"输出",标准坦克设计!$B$23:$U$23,0)))*(VLOOKUP($B79,INDIRECT($B$5&amp;"生成成长"),3))*(VLOOKUP($B$5,标准坦克设计!$B$14:$K$20,9)/30))</f>
        <v>23.802749851333711</v>
      </c>
      <c r="EA79" s="173">
        <f ca="1">(VLOOKUP(EA$72,INDIRECT($C$5&amp;"生成成长"),2))/((VLOOKUP($B79,INDIRECT($B$5&amp;"生成成长"),4))/(VLOOKUP(EA$72,INDIRECT($C$5&amp;"生成成长"),5))*(VLOOKUP($B$5,标准坦克设计!$B$24:$U$30,MATCH("对"&amp;LEFT($C$5,2)&amp;"输出",标准坦克设计!$B$23:$U$23,0)))*(VLOOKUP($B79,INDIRECT($B$5&amp;"生成成长"),3))*(VLOOKUP($B$5,标准坦克设计!$B$14:$K$20,9)/30))</f>
        <v>26.230098911690998</v>
      </c>
      <c r="EB79" s="173">
        <f ca="1">(VLOOKUP(EB$72,INDIRECT($C$5&amp;"生成成长"),2))/((VLOOKUP($B79,INDIRECT($B$5&amp;"生成成长"),4))/(VLOOKUP(EB$72,INDIRECT($C$5&amp;"生成成长"),5))*(VLOOKUP($B$5,标准坦克设计!$B$24:$U$30,MATCH("对"&amp;LEFT($C$5,2)&amp;"输出",标准坦克设计!$B$23:$U$23,0)))*(VLOOKUP($B79,INDIRECT($B$5&amp;"生成成长"),3))*(VLOOKUP($B$5,标准坦克设计!$B$14:$K$20,9)/30))</f>
        <v>28.775280450706408</v>
      </c>
      <c r="EC79" s="173">
        <f ca="1">(VLOOKUP(EC$72,INDIRECT($C$5&amp;"生成成长"),2))/((VLOOKUP($B79,INDIRECT($B$5&amp;"生成成长"),4))/(VLOOKUP(EC$72,INDIRECT($C$5&amp;"生成成长"),5))*(VLOOKUP($B$5,标准坦克设计!$B$24:$U$30,MATCH("对"&amp;LEFT($C$5,2)&amp;"输出",标准坦克设计!$B$23:$U$23,0)))*(VLOOKUP($B79,INDIRECT($B$5&amp;"生成成长"),3))*(VLOOKUP($B$5,标准坦克设计!$B$14:$K$20,9)/30))</f>
        <v>31.43829446837994</v>
      </c>
      <c r="ED79" s="173">
        <f ca="1">(VLOOKUP(ED$72,INDIRECT($C$5&amp;"生成成长"),2))/((VLOOKUP($B79,INDIRECT($B$5&amp;"生成成长"),4))/(VLOOKUP(ED$72,INDIRECT($C$5&amp;"生成成长"),5))*(VLOOKUP($B$5,标准坦克设计!$B$24:$U$30,MATCH("对"&amp;LEFT($C$5,2)&amp;"输出",标准坦克设计!$B$23:$U$23,0)))*(VLOOKUP($B79,INDIRECT($B$5&amp;"生成成长"),3))*(VLOOKUP($B$5,标准坦克设计!$B$14:$K$20,9)/30))</f>
        <v>34.219140964711599</v>
      </c>
      <c r="EE79" s="173">
        <f ca="1">(VLOOKUP(EE$72,INDIRECT($C$5&amp;"生成成长"),2))/((VLOOKUP($B79,INDIRECT($B$5&amp;"生成成长"),4))/(VLOOKUP(EE$72,INDIRECT($C$5&amp;"生成成长"),5))*(VLOOKUP($B$5,标准坦克设计!$B$24:$U$30,MATCH("对"&amp;LEFT($C$5,2)&amp;"输出",标准坦克设计!$B$23:$U$23,0)))*(VLOOKUP($B79,INDIRECT($B$5&amp;"生成成长"),3))*(VLOOKUP($B$5,标准坦克设计!$B$14:$K$20,9)/30))</f>
        <v>37.11781993970137</v>
      </c>
      <c r="EF79" s="173">
        <f ca="1">(VLOOKUP(EF$72,INDIRECT($C$5&amp;"生成成长"),2))/((VLOOKUP($B79,INDIRECT($B$5&amp;"生成成长"),4))/(VLOOKUP(EF$72,INDIRECT($C$5&amp;"生成成长"),5))*(VLOOKUP($B$5,标准坦克设计!$B$24:$U$30,MATCH("对"&amp;LEFT($C$5,2)&amp;"输出",标准坦克设计!$B$23:$U$23,0)))*(VLOOKUP($B79,INDIRECT($B$5&amp;"生成成长"),3))*(VLOOKUP($B$5,标准坦克设计!$B$14:$K$20,9)/30))</f>
        <v>40.134331393349264</v>
      </c>
      <c r="EG79" s="173">
        <f ca="1">(VLOOKUP(EG$72,INDIRECT($C$5&amp;"生成成长"),2))/((VLOOKUP($B79,INDIRECT($B$5&amp;"生成成长"),4))/(VLOOKUP(EG$72,INDIRECT($C$5&amp;"生成成长"),5))*(VLOOKUP($B$5,标准坦克设计!$B$24:$U$30,MATCH("对"&amp;LEFT($C$5,2)&amp;"输出",标准坦克设计!$B$23:$U$23,0)))*(VLOOKUP($B79,INDIRECT($B$5&amp;"生成成长"),3))*(VLOOKUP($B$5,标准坦克设计!$B$14:$K$20,9)/30))</f>
        <v>43.268675325655273</v>
      </c>
      <c r="EH79" s="173">
        <f ca="1">(VLOOKUP(EH$72,INDIRECT($C$5&amp;"生成成长"),2))/((VLOOKUP($B79,INDIRECT($B$5&amp;"生成成长"),4))/(VLOOKUP(EH$72,INDIRECT($C$5&amp;"生成成长"),5))*(VLOOKUP($B$5,标准坦克设计!$B$24:$U$30,MATCH("对"&amp;LEFT($C$5,2)&amp;"输出",标准坦克设计!$B$23:$U$23,0)))*(VLOOKUP($B79,INDIRECT($B$5&amp;"生成成长"),3))*(VLOOKUP($B$5,标准坦克设计!$B$14:$K$20,9)/30))</f>
        <v>46.52085173661942</v>
      </c>
      <c r="EI79" s="173">
        <f ca="1">(VLOOKUP(EI$72,INDIRECT($C$5&amp;"生成成长"),2))/((VLOOKUP($B79,INDIRECT($B$5&amp;"生成成长"),4))/(VLOOKUP(EI$72,INDIRECT($C$5&amp;"生成成长"),5))*(VLOOKUP($B$5,标准坦克设计!$B$24:$U$30,MATCH("对"&amp;LEFT($C$5,2)&amp;"输出",标准坦克设计!$B$23:$U$23,0)))*(VLOOKUP($B79,INDIRECT($B$5&amp;"生成成长"),3))*(VLOOKUP($B$5,标准坦克设计!$B$14:$K$20,9)/30))</f>
        <v>49.890860626241675</v>
      </c>
      <c r="EJ79" s="173">
        <f ca="1">(VLOOKUP(EJ$72,INDIRECT($C$5&amp;"生成成长"),2))/((VLOOKUP($B79,INDIRECT($B$5&amp;"生成成长"),4))/(VLOOKUP(EJ$72,INDIRECT($C$5&amp;"生成成长"),5))*(VLOOKUP($B$5,标准坦克设计!$B$24:$U$30,MATCH("对"&amp;LEFT($C$5,2)&amp;"输出",标准坦克设计!$B$23:$U$23,0)))*(VLOOKUP($B79,INDIRECT($B$5&amp;"生成成长"),3))*(VLOOKUP($B$5,标准坦克设计!$B$14:$K$20,9)/30))</f>
        <v>53.378701994522054</v>
      </c>
      <c r="EK79" s="173">
        <f ca="1">(VLOOKUP(EK$72,INDIRECT($C$5&amp;"生成成长"),2))/((VLOOKUP($B79,INDIRECT($B$5&amp;"生成成长"),4))/(VLOOKUP(EK$72,INDIRECT($C$5&amp;"生成成长"),5))*(VLOOKUP($B$5,标准坦克设计!$B$24:$U$30,MATCH("对"&amp;LEFT($C$5,2)&amp;"输出",标准坦克设计!$B$23:$U$23,0)))*(VLOOKUP($B79,INDIRECT($B$5&amp;"生成成长"),3))*(VLOOKUP($B$5,标准坦克设计!$B$14:$K$20,9)/30))</f>
        <v>57.719650508287224</v>
      </c>
      <c r="EL79" s="173">
        <f ca="1">(VLOOKUP(EL$72,INDIRECT($C$5&amp;"生成成长"),2))/((VLOOKUP($B79,INDIRECT($B$5&amp;"生成成长"),4))/(VLOOKUP(EL$72,INDIRECT($C$5&amp;"生成成长"),5))*(VLOOKUP($B$5,标准坦克设计!$B$24:$U$30,MATCH("对"&amp;LEFT($C$5,2)&amp;"输出",标准坦克设计!$B$23:$U$23,0)))*(VLOOKUP($B79,INDIRECT($B$5&amp;"生成成长"),3))*(VLOOKUP($B$5,标准坦克设计!$B$14:$K$20,9)/30))</f>
        <v>62.230277791320084</v>
      </c>
      <c r="EM79" s="173">
        <f ca="1">(VLOOKUP(EM$72,INDIRECT($C$5&amp;"生成成长"),2))/((VLOOKUP($B79,INDIRECT($B$5&amp;"生成成长"),4))/(VLOOKUP(EM$72,INDIRECT($C$5&amp;"生成成长"),5))*(VLOOKUP($B$5,标准坦克设计!$B$24:$U$30,MATCH("对"&amp;LEFT($C$5,2)&amp;"输出",标准坦克设计!$B$23:$U$23,0)))*(VLOOKUP($B79,INDIRECT($B$5&amp;"生成成长"),3))*(VLOOKUP($B$5,标准坦克设计!$B$14:$K$20,9)/30))</f>
        <v>66.910583843620657</v>
      </c>
      <c r="EN79" s="173">
        <f ca="1">(VLOOKUP(EN$72,INDIRECT($C$5&amp;"生成成长"),2))/((VLOOKUP($B79,INDIRECT($B$5&amp;"生成成长"),4))/(VLOOKUP(EN$72,INDIRECT($C$5&amp;"生成成长"),5))*(VLOOKUP($B$5,标准坦克设计!$B$24:$U$30,MATCH("对"&amp;LEFT($C$5,2)&amp;"输出",标准坦克设计!$B$23:$U$23,0)))*(VLOOKUP($B79,INDIRECT($B$5&amp;"生成成长"),3))*(VLOOKUP($B$5,标准坦克设计!$B$14:$K$20,9)/30))</f>
        <v>71.760568665188913</v>
      </c>
      <c r="EO79" s="173">
        <f ca="1">(VLOOKUP(EO$72,INDIRECT($C$5&amp;"生成成长"),2))/((VLOOKUP($B79,INDIRECT($B$5&amp;"生成成长"),4))/(VLOOKUP(EO$72,INDIRECT($C$5&amp;"生成成长"),5))*(VLOOKUP($B$5,标准坦克设计!$B$24:$U$30,MATCH("对"&amp;LEFT($C$5,2)&amp;"输出",标准坦克设计!$B$23:$U$23,0)))*(VLOOKUP($B79,INDIRECT($B$5&amp;"生成成长"),3))*(VLOOKUP($B$5,标准坦克设计!$B$14:$K$20,9)/30))</f>
        <v>76.78023225602486</v>
      </c>
      <c r="EP79" s="173">
        <f ca="1">(VLOOKUP(EP$72,INDIRECT($C$5&amp;"生成成长"),2))/((VLOOKUP($B79,INDIRECT($B$5&amp;"生成成长"),4))/(VLOOKUP(EP$72,INDIRECT($C$5&amp;"生成成长"),5))*(VLOOKUP($B$5,标准坦克设计!$B$24:$U$30,MATCH("对"&amp;LEFT($C$5,2)&amp;"输出",标准坦克设计!$B$23:$U$23,0)))*(VLOOKUP($B79,INDIRECT($B$5&amp;"生成成长"),3))*(VLOOKUP($B$5,标准坦克设计!$B$14:$K$20,9)/30))</f>
        <v>81.969574616128511</v>
      </c>
      <c r="EQ79" s="173">
        <f ca="1">(VLOOKUP(EQ$72,INDIRECT($C$5&amp;"生成成长"),2))/((VLOOKUP($B79,INDIRECT($B$5&amp;"生成成长"),4))/(VLOOKUP(EQ$72,INDIRECT($C$5&amp;"生成成长"),5))*(VLOOKUP($B$5,标准坦克设计!$B$24:$U$30,MATCH("对"&amp;LEFT($C$5,2)&amp;"输出",标准坦克设计!$B$23:$U$23,0)))*(VLOOKUP($B79,INDIRECT($B$5&amp;"生成成长"),3))*(VLOOKUP($B$5,标准坦克设计!$B$14:$K$20,9)/30))</f>
        <v>36.235843836945342</v>
      </c>
      <c r="ER79" s="173">
        <f ca="1">(VLOOKUP(ER$72,INDIRECT($C$5&amp;"生成成长"),2))/((VLOOKUP($B79,INDIRECT($B$5&amp;"生成成长"),4))/(VLOOKUP(ER$72,INDIRECT($C$5&amp;"生成成长"),5))*(VLOOKUP($B$5,标准坦克设计!$B$24:$U$30,MATCH("对"&amp;LEFT($C$5,2)&amp;"输出",标准坦克设计!$B$23:$U$23,0)))*(VLOOKUP($B79,INDIRECT($B$5&amp;"生成成长"),3))*(VLOOKUP($B$5,标准坦克设计!$B$14:$K$20,9)/30))</f>
        <v>39.521602504327035</v>
      </c>
      <c r="ES79" s="173">
        <f ca="1">(VLOOKUP(ES$72,INDIRECT($C$5&amp;"生成成长"),2))/((VLOOKUP($B79,INDIRECT($B$5&amp;"生成成长"),4))/(VLOOKUP(ES$72,INDIRECT($C$5&amp;"生成成长"),5))*(VLOOKUP($B$5,标准坦克设计!$B$24:$U$30,MATCH("对"&amp;LEFT($C$5,2)&amp;"输出",标准坦克设计!$B$23:$U$23,0)))*(VLOOKUP($B79,INDIRECT($B$5&amp;"生成成长"),3))*(VLOOKUP($B$5,标准坦克设计!$B$14:$K$20,9)/30))</f>
        <v>42.949938470885058</v>
      </c>
      <c r="ET79" s="173">
        <f ca="1">(VLOOKUP(ET$72,INDIRECT($C$5&amp;"生成成长"),2))/((VLOOKUP($B79,INDIRECT($B$5&amp;"生成成长"),4))/(VLOOKUP(ET$72,INDIRECT($C$5&amp;"生成成长"),5))*(VLOOKUP($B$5,标准坦克设计!$B$24:$U$30,MATCH("对"&amp;LEFT($C$5,2)&amp;"输出",标准坦克设计!$B$23:$U$23,0)))*(VLOOKUP($B79,INDIRECT($B$5&amp;"生成成长"),3))*(VLOOKUP($B$5,标准坦克设计!$B$14:$K$20,9)/30))</f>
        <v>46.52085173661942</v>
      </c>
      <c r="EU79" s="173">
        <f ca="1">(VLOOKUP(EU$72,INDIRECT($C$5&amp;"生成成长"),2))/((VLOOKUP($B79,INDIRECT($B$5&amp;"生成成长"),4))/(VLOOKUP(EU$72,INDIRECT($C$5&amp;"生成成长"),5))*(VLOOKUP($B$5,标准坦克设计!$B$24:$U$30,MATCH("对"&amp;LEFT($C$5,2)&amp;"输出",标准坦克设计!$B$23:$U$23,0)))*(VLOOKUP($B79,INDIRECT($B$5&amp;"生成成长"),3))*(VLOOKUP($B$5,标准坦克设计!$B$14:$K$20,9)/30))</f>
        <v>50.234342301530091</v>
      </c>
      <c r="EV79" s="173">
        <f ca="1">(VLOOKUP(EV$72,INDIRECT($C$5&amp;"生成成长"),2))/((VLOOKUP($B79,INDIRECT($B$5&amp;"生成成长"),4))/(VLOOKUP(EV$72,INDIRECT($C$5&amp;"生成成长"),5))*(VLOOKUP($B$5,标准坦克设计!$B$24:$U$30,MATCH("对"&amp;LEFT($C$5,2)&amp;"输出",标准坦克设计!$B$23:$U$23,0)))*(VLOOKUP($B79,INDIRECT($B$5&amp;"生成成长"),3))*(VLOOKUP($B$5,标准坦克设计!$B$14:$K$20,9)/30))</f>
        <v>54.090410165617101</v>
      </c>
      <c r="EW79" s="173">
        <f ca="1">(VLOOKUP(EW$72,INDIRECT($C$5&amp;"生成成长"),2))/((VLOOKUP($B79,INDIRECT($B$5&amp;"生成成长"),4))/(VLOOKUP(EW$72,INDIRECT($C$5&amp;"生成成长"),5))*(VLOOKUP($B$5,标准坦克设计!$B$24:$U$30,MATCH("对"&amp;LEFT($C$5,2)&amp;"输出",标准坦克设计!$B$23:$U$23,0)))*(VLOOKUP($B79,INDIRECT($B$5&amp;"生成成长"),3))*(VLOOKUP($B$5,标准坦克设计!$B$14:$K$20,9)/30))</f>
        <v>58.089055328880434</v>
      </c>
      <c r="EX79" s="173">
        <f ca="1">(VLOOKUP(EX$72,INDIRECT($C$5&amp;"生成成长"),2))/((VLOOKUP($B79,INDIRECT($B$5&amp;"生成成长"),4))/(VLOOKUP(EX$72,INDIRECT($C$5&amp;"生成成长"),5))*(VLOOKUP($B$5,标准坦克设计!$B$24:$U$30,MATCH("对"&amp;LEFT($C$5,2)&amp;"输出",标准坦克设计!$B$23:$U$23,0)))*(VLOOKUP($B79,INDIRECT($B$5&amp;"生成成长"),3))*(VLOOKUP($B$5,标准坦克设计!$B$14:$K$20,9)/30))</f>
        <v>62.230277791320084</v>
      </c>
      <c r="EY79" s="173">
        <f ca="1">(VLOOKUP(EY$72,INDIRECT($C$5&amp;"生成成长"),2))/((VLOOKUP($B79,INDIRECT($B$5&amp;"生成成长"),4))/(VLOOKUP(EY$72,INDIRECT($C$5&amp;"生成成长"),5))*(VLOOKUP($B$5,标准坦克设计!$B$24:$U$30,MATCH("对"&amp;LEFT($C$5,2)&amp;"输出",标准坦克设计!$B$23:$U$23,0)))*(VLOOKUP($B79,INDIRECT($B$5&amp;"生成成长"),3))*(VLOOKUP($B$5,标准坦克设计!$B$14:$K$20,9)/30))</f>
        <v>66.514077552936072</v>
      </c>
      <c r="EZ79" s="173">
        <f ca="1">(VLOOKUP(EZ$72,INDIRECT($C$5&amp;"生成成长"),2))/((VLOOKUP($B79,INDIRECT($B$5&amp;"生成成长"),4))/(VLOOKUP(EZ$72,INDIRECT($C$5&amp;"生成成长"),5))*(VLOOKUP($B$5,标准坦克设计!$B$24:$U$30,MATCH("对"&amp;LEFT($C$5,2)&amp;"输出",标准坦克设计!$B$23:$U$23,0)))*(VLOOKUP($B79,INDIRECT($B$5&amp;"生成成长"),3))*(VLOOKUP($B$5,标准坦克设计!$B$14:$K$20,9)/30))</f>
        <v>70.940454613728392</v>
      </c>
      <c r="FA79" s="173">
        <f ca="1">(VLOOKUP(FA$72,INDIRECT($C$5&amp;"生成成长"),2))/((VLOOKUP($B79,INDIRECT($B$5&amp;"生成成长"),4))/(VLOOKUP(FA$72,INDIRECT($C$5&amp;"生成成长"),5))*(VLOOKUP($B$5,标准坦克设计!$B$24:$U$30,MATCH("对"&amp;LEFT($C$5,2)&amp;"输出",标准坦克设计!$B$23:$U$23,0)))*(VLOOKUP($B79,INDIRECT($B$5&amp;"生成成长"),3))*(VLOOKUP($B$5,标准坦克设计!$B$14:$K$20,9)/30))</f>
        <v>75.50940897369702</v>
      </c>
      <c r="FB79" s="173">
        <f ca="1">(VLOOKUP(FB$72,INDIRECT($C$5&amp;"生成成长"),2))/((VLOOKUP($B79,INDIRECT($B$5&amp;"生成成长"),4))/(VLOOKUP(FB$72,INDIRECT($C$5&amp;"生成成长"),5))*(VLOOKUP($B$5,标准坦克设计!$B$24:$U$30,MATCH("对"&amp;LEFT($C$5,2)&amp;"输出",标准坦克设计!$B$23:$U$23,0)))*(VLOOKUP($B79,INDIRECT($B$5&amp;"生成成长"),3))*(VLOOKUP($B$5,标准坦克设计!$B$14:$K$20,9)/30))</f>
        <v>80.220940632841987</v>
      </c>
      <c r="FC79" s="173">
        <f ca="1">(VLOOKUP(FC$72,INDIRECT($C$5&amp;"生成成长"),2))/((VLOOKUP($B79,INDIRECT($B$5&amp;"生成成长"),4))/(VLOOKUP(FC$72,INDIRECT($C$5&amp;"生成成长"),5))*(VLOOKUP($B$5,标准坦克设计!$B$24:$U$30,MATCH("对"&amp;LEFT($C$5,2)&amp;"输出",标准坦克设计!$B$23:$U$23,0)))*(VLOOKUP($B79,INDIRECT($B$5&amp;"生成成长"),3))*(VLOOKUP($B$5,标准坦克设计!$B$14:$K$20,9)/30))</f>
        <v>85.075049591163278</v>
      </c>
      <c r="FD79" s="173">
        <f ca="1">(VLOOKUP(FD$72,INDIRECT($C$5&amp;"生成成长"),2))/((VLOOKUP($B79,INDIRECT($B$5&amp;"生成成长"),4))/(VLOOKUP(FD$72,INDIRECT($C$5&amp;"生成成长"),5))*(VLOOKUP($B$5,标准坦克设计!$B$24:$U$30,MATCH("对"&amp;LEFT($C$5,2)&amp;"输出",标准坦克设计!$B$23:$U$23,0)))*(VLOOKUP($B79,INDIRECT($B$5&amp;"生成成长"),3))*(VLOOKUP($B$5,标准坦克设计!$B$14:$K$20,9)/30))</f>
        <v>90.071735848660893</v>
      </c>
      <c r="FE79" s="173">
        <f ca="1">(VLOOKUP(FE$72,INDIRECT($C$5&amp;"生成成长"),2))/((VLOOKUP($B79,INDIRECT($B$5&amp;"生成成长"),4))/(VLOOKUP(FE$72,INDIRECT($C$5&amp;"生成成长"),5))*(VLOOKUP($B$5,标准坦克设计!$B$24:$U$30,MATCH("对"&amp;LEFT($C$5,2)&amp;"输出",标准坦克设计!$B$23:$U$23,0)))*(VLOOKUP($B79,INDIRECT($B$5&amp;"生成成长"),3))*(VLOOKUP($B$5,标准坦克设计!$B$14:$K$20,9)/30))</f>
        <v>96.160729183319305</v>
      </c>
      <c r="FF79" s="173">
        <f ca="1">(VLOOKUP(FF$72,INDIRECT($C$5&amp;"生成成长"),2))/((VLOOKUP($B79,INDIRECT($B$5&amp;"生成成长"),4))/(VLOOKUP(FF$72,INDIRECT($C$5&amp;"生成成长"),5))*(VLOOKUP($B$5,标准坦克设计!$B$24:$U$30,MATCH("对"&amp;LEFT($C$5,2)&amp;"输出",标准坦克设计!$B$23:$U$23,0)))*(VLOOKUP($B79,INDIRECT($B$5&amp;"生成成长"),3))*(VLOOKUP($B$5,标准坦克设计!$B$14:$K$20,9)/30))</f>
        <v>102.4488594069099</v>
      </c>
      <c r="FG79" s="173">
        <f ca="1">(VLOOKUP(FG$72,INDIRECT($C$5&amp;"生成成长"),2))/((VLOOKUP($B79,INDIRECT($B$5&amp;"生成成长"),4))/(VLOOKUP(FG$72,INDIRECT($C$5&amp;"生成成长"),5))*(VLOOKUP($B$5,标准坦克设计!$B$24:$U$30,MATCH("对"&amp;LEFT($C$5,2)&amp;"输出",标准坦克设计!$B$23:$U$23,0)))*(VLOOKUP($B79,INDIRECT($B$5&amp;"生成成长"),3))*(VLOOKUP($B$5,标准坦克设计!$B$14:$K$20,9)/30))</f>
        <v>108.93612651943275</v>
      </c>
      <c r="FH79" s="173">
        <f ca="1">(VLOOKUP(FH$72,INDIRECT($C$5&amp;"生成成长"),2))/((VLOOKUP($B79,INDIRECT($B$5&amp;"生成成长"),4))/(VLOOKUP(FH$72,INDIRECT($C$5&amp;"生成成长"),5))*(VLOOKUP($B$5,标准坦克设计!$B$24:$U$30,MATCH("对"&amp;LEFT($C$5,2)&amp;"输出",标准坦克设计!$B$23:$U$23,0)))*(VLOOKUP($B79,INDIRECT($B$5&amp;"生成成长"),3))*(VLOOKUP($B$5,标准坦克设计!$B$14:$K$20,9)/30))</f>
        <v>115.62253052088782</v>
      </c>
      <c r="FI79" s="173">
        <f ca="1">(VLOOKUP(FI$72,INDIRECT($C$5&amp;"生成成长"),2))/((VLOOKUP($B79,INDIRECT($B$5&amp;"生成成长"),4))/(VLOOKUP(FI$72,INDIRECT($C$5&amp;"生成成长"),5))*(VLOOKUP($B$5,标准坦克设计!$B$24:$U$30,MATCH("对"&amp;LEFT($C$5,2)&amp;"输出",标准坦克设计!$B$23:$U$23,0)))*(VLOOKUP($B79,INDIRECT($B$5&amp;"生成成长"),3))*(VLOOKUP($B$5,标准坦克设计!$B$14:$K$20,9)/30))</f>
        <v>122.50807141127513</v>
      </c>
      <c r="FJ79" s="173">
        <f ca="1">(VLOOKUP(FJ$72,INDIRECT($C$5&amp;"生成成长"),2))/((VLOOKUP($B79,INDIRECT($B$5&amp;"生成成长"),4))/(VLOOKUP(FJ$72,INDIRECT($C$5&amp;"生成成长"),5))*(VLOOKUP($B$5,标准坦克设计!$B$24:$U$30,MATCH("对"&amp;LEFT($C$5,2)&amp;"输出",标准坦克设计!$B$23:$U$23,0)))*(VLOOKUP($B79,INDIRECT($B$5&amp;"生成成长"),3))*(VLOOKUP($B$5,标准坦克设计!$B$14:$K$20,9)/30))</f>
        <v>129.59274919059462</v>
      </c>
      <c r="FK79" s="173">
        <f ca="1">(VLOOKUP(FK$72,INDIRECT($C$5&amp;"生成成长"),2))/((VLOOKUP($B79,INDIRECT($B$5&amp;"生成成长"),4))/(VLOOKUP(FK$72,INDIRECT($C$5&amp;"生成成长"),5))*(VLOOKUP($B$5,标准坦克设计!$B$24:$U$30,MATCH("对"&amp;LEFT($C$5,2)&amp;"输出",标准坦克设计!$B$23:$U$23,0)))*(VLOOKUP($B79,INDIRECT($B$5&amp;"生成成长"),3))*(VLOOKUP($B$5,标准坦克设计!$B$14:$K$20,9)/30))</f>
        <v>136.8765638588464</v>
      </c>
    </row>
    <row r="80" spans="1:167" x14ac:dyDescent="0.15">
      <c r="A80" s="171" t="str">
        <f t="shared" si="11"/>
        <v>T2低品质3级</v>
      </c>
      <c r="B80" s="172">
        <v>10203</v>
      </c>
      <c r="C80" s="173">
        <f ca="1">(VLOOKUP(C$72,INDIRECT($C$5&amp;"生成成长"),2))/((VLOOKUP($B80,INDIRECT($B$5&amp;"生成成长"),4))/(VLOOKUP(C$72,INDIRECT($C$5&amp;"生成成长"),5))*(VLOOKUP($B$5,标准坦克设计!$B$24:$U$30,MATCH("对"&amp;LEFT($C$5,2)&amp;"输出",标准坦克设计!$B$23:$U$23,0)))*(VLOOKUP($B80,INDIRECT($B$5&amp;"生成成长"),3))*(VLOOKUP($B$5,标准坦克设计!$B$14:$K$20,9)/30))</f>
        <v>5.2182954834310671</v>
      </c>
      <c r="D80" s="173">
        <f ca="1">(VLOOKUP(D$72,INDIRECT($C$5&amp;"生成成长"),2))/((VLOOKUP($B80,INDIRECT($B$5&amp;"生成成长"),4))/(VLOOKUP(D$72,INDIRECT($C$5&amp;"生成成长"),5))*(VLOOKUP($B$5,标准坦克设计!$B$24:$U$30,MATCH("对"&amp;LEFT($C$5,2)&amp;"输出",标准坦克设计!$B$23:$U$23,0)))*(VLOOKUP($B80,INDIRECT($B$5&amp;"生成成长"),3))*(VLOOKUP($B$5,标准坦克设计!$B$14:$K$20,9)/30))</f>
        <v>5.8632768051831485</v>
      </c>
      <c r="E80" s="173">
        <f ca="1">(VLOOKUP(E$72,INDIRECT($C$5&amp;"生成成长"),2))/((VLOOKUP($B80,INDIRECT($B$5&amp;"生成成长"),4))/(VLOOKUP(E$72,INDIRECT($C$5&amp;"生成成长"),5))*(VLOOKUP($B$5,标准坦克设计!$B$24:$U$30,MATCH("对"&amp;LEFT($C$5,2)&amp;"输出",标准坦克设计!$B$23:$U$23,0)))*(VLOOKUP($B80,INDIRECT($B$5&amp;"生成成长"),3))*(VLOOKUP($B$5,标准坦克设计!$B$14:$K$20,9)/30))</f>
        <v>6.5458298544159312</v>
      </c>
      <c r="F80" s="173">
        <f ca="1">(VLOOKUP(F$72,INDIRECT($C$5&amp;"生成成长"),2))/((VLOOKUP($B80,INDIRECT($B$5&amp;"生成成长"),4))/(VLOOKUP(F$72,INDIRECT($C$5&amp;"生成成长"),5))*(VLOOKUP($B$5,标准坦克设计!$B$24:$U$30,MATCH("对"&amp;LEFT($C$5,2)&amp;"输出",标准坦克设计!$B$23:$U$23,0)))*(VLOOKUP($B80,INDIRECT($B$5&amp;"生成成长"),3))*(VLOOKUP($B$5,标准坦克设计!$B$14:$K$20,9)/30))</f>
        <v>7.2659546311294205</v>
      </c>
      <c r="G80" s="173">
        <f ca="1">(VLOOKUP(G$72,INDIRECT($C$5&amp;"生成成长"),2))/((VLOOKUP($B80,INDIRECT($B$5&amp;"生成成长"),4))/(VLOOKUP(G$72,INDIRECT($C$5&amp;"生成成长"),5))*(VLOOKUP($B$5,标准坦克设计!$B$24:$U$30,MATCH("对"&amp;LEFT($C$5,2)&amp;"输出",标准坦克设计!$B$23:$U$23,0)))*(VLOOKUP($B80,INDIRECT($B$5&amp;"生成成长"),3))*(VLOOKUP($B$5,标准坦克设计!$B$14:$K$20,9)/30))</f>
        <v>8.0236511353236093</v>
      </c>
      <c r="H80" s="173">
        <f ca="1">(VLOOKUP(H$72,INDIRECT($C$5&amp;"生成成长"),2))/((VLOOKUP($B80,INDIRECT($B$5&amp;"生成成长"),4))/(VLOOKUP(H$72,INDIRECT($C$5&amp;"生成成长"),5))*(VLOOKUP($B$5,标准坦克设计!$B$24:$U$30,MATCH("对"&amp;LEFT($C$5,2)&amp;"输出",标准坦克设计!$B$23:$U$23,0)))*(VLOOKUP($B80,INDIRECT($B$5&amp;"生成成长"),3))*(VLOOKUP($B$5,标准坦克设计!$B$14:$K$20,9)/30))</f>
        <v>7.0217384025048446</v>
      </c>
      <c r="I80" s="173">
        <f ca="1">(VLOOKUP(I$72,INDIRECT($C$5&amp;"生成成长"),2))/((VLOOKUP($B80,INDIRECT($B$5&amp;"生成成长"),4))/(VLOOKUP(I$72,INDIRECT($C$5&amp;"生成成长"),5))*(VLOOKUP($B$5,标准坦克设计!$B$24:$U$30,MATCH("对"&amp;LEFT($C$5,2)&amp;"输出",标准坦克设计!$B$23:$U$23,0)))*(VLOOKUP($B80,INDIRECT($B$5&amp;"生成成长"),3))*(VLOOKUP($B$5,标准坦克设计!$B$14:$K$20,9)/30))</f>
        <v>8.0236511353236093</v>
      </c>
      <c r="J80" s="173">
        <f ca="1">(VLOOKUP(J$72,INDIRECT($C$5&amp;"生成成长"),2))/((VLOOKUP($B80,INDIRECT($B$5&amp;"生成成长"),4))/(VLOOKUP(J$72,INDIRECT($C$5&amp;"生成成长"),5))*(VLOOKUP($B$5,标准坦克设计!$B$24:$U$30,MATCH("对"&amp;LEFT($C$5,2)&amp;"输出",标准坦克设计!$B$23:$U$23,0)))*(VLOOKUP($B80,INDIRECT($B$5&amp;"生成成长"),3))*(VLOOKUP($B$5,标准坦克设计!$B$14:$K$20,9)/30))</f>
        <v>9.0923580503302919</v>
      </c>
      <c r="K80" s="173">
        <f ca="1">(VLOOKUP(K$72,INDIRECT($C$5&amp;"生成成长"),2))/((VLOOKUP($B80,INDIRECT($B$5&amp;"生成成长"),4))/(VLOOKUP(K$72,INDIRECT($C$5&amp;"生成成长"),5))*(VLOOKUP($B$5,标准坦克设计!$B$24:$U$30,MATCH("对"&amp;LEFT($C$5,2)&amp;"输出",标准坦克设计!$B$23:$U$23,0)))*(VLOOKUP($B80,INDIRECT($B$5&amp;"生成成长"),3))*(VLOOKUP($B$5,标准坦克设计!$B$14:$K$20,9)/30))</f>
        <v>10.227859147524894</v>
      </c>
      <c r="L80" s="173">
        <f ca="1">(VLOOKUP(L$72,INDIRECT($C$5&amp;"生成成长"),2))/((VLOOKUP($B80,INDIRECT($B$5&amp;"生成成长"),4))/(VLOOKUP(L$72,INDIRECT($C$5&amp;"生成成长"),5))*(VLOOKUP($B$5,标准坦克设计!$B$24:$U$30,MATCH("对"&amp;LEFT($C$5,2)&amp;"输出",标准坦克设计!$B$23:$U$23,0)))*(VLOOKUP($B80,INDIRECT($B$5&amp;"生成成长"),3))*(VLOOKUP($B$5,标准坦克设计!$B$14:$K$20,9)/30))</f>
        <v>11.430154426907411</v>
      </c>
      <c r="M80" s="173">
        <f ca="1">(VLOOKUP(M$72,INDIRECT($C$5&amp;"生成成长"),2))/((VLOOKUP($B80,INDIRECT($B$5&amp;"生成成长"),4))/(VLOOKUP(M$72,INDIRECT($C$5&amp;"生成成长"),5))*(VLOOKUP($B$5,标准坦克设计!$B$24:$U$30,MATCH("对"&amp;LEFT($C$5,2)&amp;"输出",标准坦克设计!$B$23:$U$23,0)))*(VLOOKUP($B80,INDIRECT($B$5&amp;"生成成长"),3))*(VLOOKUP($B$5,标准坦克设计!$B$14:$K$20,9)/30))</f>
        <v>12.699243888477847</v>
      </c>
      <c r="N80" s="173">
        <f ca="1">(VLOOKUP(N$72,INDIRECT($C$5&amp;"生成成长"),2))/((VLOOKUP($B80,INDIRECT($B$5&amp;"生成成长"),4))/(VLOOKUP(N$72,INDIRECT($C$5&amp;"生成成长"),5))*(VLOOKUP($B$5,标准坦克设计!$B$24:$U$30,MATCH("对"&amp;LEFT($C$5,2)&amp;"输出",标准坦克设计!$B$23:$U$23,0)))*(VLOOKUP($B80,INDIRECT($B$5&amp;"生成成长"),3))*(VLOOKUP($B$5,标准坦克设计!$B$14:$K$20,9)/30))</f>
        <v>14.035127532236199</v>
      </c>
      <c r="O80" s="173">
        <f ca="1">(VLOOKUP(O$72,INDIRECT($C$5&amp;"生成成长"),2))/((VLOOKUP($B80,INDIRECT($B$5&amp;"生成成长"),4))/(VLOOKUP(O$72,INDIRECT($C$5&amp;"生成成长"),5))*(VLOOKUP($B$5,标准坦克设计!$B$24:$U$30,MATCH("对"&amp;LEFT($C$5,2)&amp;"输出",标准坦克设计!$B$23:$U$23,0)))*(VLOOKUP($B80,INDIRECT($B$5&amp;"生成成长"),3))*(VLOOKUP($B$5,标准坦克设计!$B$14:$K$20,9)/30))</f>
        <v>10.67089243406819</v>
      </c>
      <c r="P80" s="173">
        <f ca="1">(VLOOKUP(P$72,INDIRECT($C$5&amp;"生成成长"),2))/((VLOOKUP($B80,INDIRECT($B$5&amp;"生成成长"),4))/(VLOOKUP(P$72,INDIRECT($C$5&amp;"生成成长"),5))*(VLOOKUP($B$5,标准坦克设计!$B$24:$U$30,MATCH("对"&amp;LEFT($C$5,2)&amp;"输出",标准坦克设计!$B$23:$U$23,0)))*(VLOOKUP($B80,INDIRECT($B$5&amp;"生成成长"),3))*(VLOOKUP($B$5,标准坦克设计!$B$14:$K$20,9)/30))</f>
        <v>12.05634988491914</v>
      </c>
      <c r="Q80" s="173">
        <f ca="1">(VLOOKUP(Q$72,INDIRECT($C$5&amp;"生成成长"),2))/((VLOOKUP($B80,INDIRECT($B$5&amp;"生成成长"),4))/(VLOOKUP(Q$72,INDIRECT($C$5&amp;"生成成长"),5))*(VLOOKUP($B$5,标准坦克设计!$B$24:$U$30,MATCH("对"&amp;LEFT($C$5,2)&amp;"输出",标准坦克设计!$B$23:$U$23,0)))*(VLOOKUP($B80,INDIRECT($B$5&amp;"生成成长"),3))*(VLOOKUP($B$5,标准坦克设计!$B$14:$K$20,9)/30))</f>
        <v>13.526343722601672</v>
      </c>
      <c r="R80" s="173">
        <f ca="1">(VLOOKUP(R$72,INDIRECT($C$5&amp;"生成成长"),2))/((VLOOKUP($B80,INDIRECT($B$5&amp;"生成成长"),4))/(VLOOKUP(R$72,INDIRECT($C$5&amp;"生成成长"),5))*(VLOOKUP($B$5,标准坦克设计!$B$24:$U$30,MATCH("对"&amp;LEFT($C$5,2)&amp;"输出",标准坦克设计!$B$23:$U$23,0)))*(VLOOKUP($B80,INDIRECT($B$5&amp;"生成成长"),3))*(VLOOKUP($B$5,标准坦克设计!$B$14:$K$20,9)/30))</f>
        <v>15.080873947115785</v>
      </c>
      <c r="S80" s="173">
        <f ca="1">(VLOOKUP(S$72,INDIRECT($C$5&amp;"生成成长"),2))/((VLOOKUP($B80,INDIRECT($B$5&amp;"生成成长"),4))/(VLOOKUP(S$72,INDIRECT($C$5&amp;"生成成长"),5))*(VLOOKUP($B$5,标准坦克设计!$B$24:$U$30,MATCH("对"&amp;LEFT($C$5,2)&amp;"输出",标准坦克设计!$B$23:$U$23,0)))*(VLOOKUP($B80,INDIRECT($B$5&amp;"生成成长"),3))*(VLOOKUP($B$5,标准坦克设计!$B$14:$K$20,9)/30))</f>
        <v>16.719940558461484</v>
      </c>
      <c r="T80" s="173">
        <f ca="1">(VLOOKUP(T$72,INDIRECT($C$5&amp;"生成成长"),2))/((VLOOKUP($B80,INDIRECT($B$5&amp;"生成成长"),4))/(VLOOKUP(T$72,INDIRECT($C$5&amp;"生成成长"),5))*(VLOOKUP($B$5,标准坦克设计!$B$24:$U$30,MATCH("对"&amp;LEFT($C$5,2)&amp;"输出",标准坦克设计!$B$23:$U$23,0)))*(VLOOKUP($B80,INDIRECT($B$5&amp;"生成成长"),3))*(VLOOKUP($B$5,标准坦克设计!$B$14:$K$20,9)/30))</f>
        <v>18.443543556638765</v>
      </c>
      <c r="U80" s="173">
        <f ca="1">(VLOOKUP(U$72,INDIRECT($C$5&amp;"生成成长"),2))/((VLOOKUP($B80,INDIRECT($B$5&amp;"生成成长"),4))/(VLOOKUP(U$72,INDIRECT($C$5&amp;"生成成长"),5))*(VLOOKUP($B$5,标准坦克设计!$B$24:$U$30,MATCH("对"&amp;LEFT($C$5,2)&amp;"输出",标准坦克设计!$B$23:$U$23,0)))*(VLOOKUP($B80,INDIRECT($B$5&amp;"生成成长"),3))*(VLOOKUP($B$5,标准坦克设计!$B$14:$K$20,9)/30))</f>
        <v>20.251682941647633</v>
      </c>
      <c r="V80" s="173">
        <f ca="1">(VLOOKUP(V$72,INDIRECT($C$5&amp;"生成成长"),2))/((VLOOKUP($B80,INDIRECT($B$5&amp;"生成成长"),4))/(VLOOKUP(V$72,INDIRECT($C$5&amp;"生成成长"),5))*(VLOOKUP($B$5,标准坦克设计!$B$24:$U$30,MATCH("对"&amp;LEFT($C$5,2)&amp;"输出",标准坦克设计!$B$23:$U$23,0)))*(VLOOKUP($B80,INDIRECT($B$5&amp;"生成成长"),3))*(VLOOKUP($B$5,标准坦克设计!$B$14:$K$20,9)/30))</f>
        <v>22.144358713488078</v>
      </c>
      <c r="W80" s="173">
        <f ca="1">(VLOOKUP(W$72,INDIRECT($C$5&amp;"生成成长"),2))/((VLOOKUP($B80,INDIRECT($B$5&amp;"生成成长"),4))/(VLOOKUP(W$72,INDIRECT($C$5&amp;"生成成长"),5))*(VLOOKUP($B$5,标准坦克设计!$B$24:$U$30,MATCH("对"&amp;LEFT($C$5,2)&amp;"输出",标准坦克设计!$B$23:$U$23,0)))*(VLOOKUP($B80,INDIRECT($B$5&amp;"生成成长"),3))*(VLOOKUP($B$5,标准坦克设计!$B$14:$K$20,9)/30))</f>
        <v>24.12157087216011</v>
      </c>
      <c r="X80" s="173">
        <f ca="1">(VLOOKUP(X$72,INDIRECT($C$5&amp;"生成成长"),2))/((VLOOKUP($B80,INDIRECT($B$5&amp;"生成成长"),4))/(VLOOKUP(X$72,INDIRECT($C$5&amp;"生成成长"),5))*(VLOOKUP($B$5,标准坦克设计!$B$24:$U$30,MATCH("对"&amp;LEFT($C$5,2)&amp;"输出",标准坦克设计!$B$23:$U$23,0)))*(VLOOKUP($B80,INDIRECT($B$5&amp;"生成成长"),3))*(VLOOKUP($B$5,标准坦克设计!$B$14:$K$20,9)/30))</f>
        <v>17.475549744462306</v>
      </c>
      <c r="Y80" s="173">
        <f ca="1">(VLOOKUP(Y$72,INDIRECT($C$5&amp;"生成成长"),2))/((VLOOKUP($B80,INDIRECT($B$5&amp;"生成成长"),4))/(VLOOKUP(Y$72,INDIRECT($C$5&amp;"生成成长"),5))*(VLOOKUP($B$5,标准坦克设计!$B$24:$U$30,MATCH("对"&amp;LEFT($C$5,2)&amp;"输出",标准坦克设计!$B$23:$U$23,0)))*(VLOOKUP($B80,INDIRECT($B$5&amp;"生成成长"),3))*(VLOOKUP($B$5,标准坦克设计!$B$14:$K$20,9)/30))</f>
        <v>19.437628846232382</v>
      </c>
      <c r="Z80" s="173">
        <f ca="1">(VLOOKUP(Z$72,INDIRECT($C$5&amp;"生成成长"),2))/((VLOOKUP($B80,INDIRECT($B$5&amp;"生成成长"),4))/(VLOOKUP(Z$72,INDIRECT($C$5&amp;"生成成长"),5))*(VLOOKUP($B$5,标准坦克设计!$B$24:$U$30,MATCH("对"&amp;LEFT($C$5,2)&amp;"输出",标准坦克设计!$B$23:$U$23,0)))*(VLOOKUP($B80,INDIRECT($B$5&amp;"生成成长"),3))*(VLOOKUP($B$5,标准坦克设计!$B$14:$K$20,9)/30))</f>
        <v>21.504073857671084</v>
      </c>
      <c r="AA80" s="173">
        <f ca="1">(VLOOKUP(AA$72,INDIRECT($C$5&amp;"生成成长"),2))/((VLOOKUP($B80,INDIRECT($B$5&amp;"生成成长"),4))/(VLOOKUP(AA$72,INDIRECT($C$5&amp;"生成成长"),5))*(VLOOKUP($B$5,标准坦克设计!$B$24:$U$30,MATCH("对"&amp;LEFT($C$5,2)&amp;"输出",标准坦克设计!$B$23:$U$23,0)))*(VLOOKUP($B80,INDIRECT($B$5&amp;"生成成长"),3))*(VLOOKUP($B$5,标准坦克设计!$B$14:$K$20,9)/30))</f>
        <v>23.674884778778416</v>
      </c>
      <c r="AB80" s="173">
        <f ca="1">(VLOOKUP(AB$72,INDIRECT($C$5&amp;"生成成长"),2))/((VLOOKUP($B80,INDIRECT($B$5&amp;"生成成长"),4))/(VLOOKUP(AB$72,INDIRECT($C$5&amp;"生成成长"),5))*(VLOOKUP($B$5,标准坦克设计!$B$24:$U$30,MATCH("对"&amp;LEFT($C$5,2)&amp;"输出",标准坦克设计!$B$23:$U$23,0)))*(VLOOKUP($B80,INDIRECT($B$5&amp;"生成成长"),3))*(VLOOKUP($B$5,标准坦克设计!$B$14:$K$20,9)/30))</f>
        <v>25.950061609554357</v>
      </c>
      <c r="AC80" s="173">
        <f ca="1">(VLOOKUP(AC$72,INDIRECT($C$5&amp;"生成成长"),2))/((VLOOKUP($B80,INDIRECT($B$5&amp;"生成成长"),4))/(VLOOKUP(AC$72,INDIRECT($C$5&amp;"生成成长"),5))*(VLOOKUP($B$5,标准坦克设计!$B$24:$U$30,MATCH("对"&amp;LEFT($C$5,2)&amp;"输出",标准坦克设计!$B$23:$U$23,0)))*(VLOOKUP($B80,INDIRECT($B$5&amp;"生成成长"),3))*(VLOOKUP($B$5,标准坦克设计!$B$14:$K$20,9)/30))</f>
        <v>28.329604349998924</v>
      </c>
      <c r="AD80" s="173">
        <f ca="1">(VLOOKUP(AD$72,INDIRECT($C$5&amp;"生成成长"),2))/((VLOOKUP($B80,INDIRECT($B$5&amp;"生成成长"),4))/(VLOOKUP(AD$72,INDIRECT($C$5&amp;"生成成长"),5))*(VLOOKUP($B$5,标准坦克设计!$B$24:$U$30,MATCH("对"&amp;LEFT($C$5,2)&amp;"输出",标准坦克设计!$B$23:$U$23,0)))*(VLOOKUP($B80,INDIRECT($B$5&amp;"生成成长"),3))*(VLOOKUP($B$5,标准坦克设计!$B$14:$K$20,9)/30))</f>
        <v>30.813513000112117</v>
      </c>
      <c r="AE80" s="173">
        <f ca="1">(VLOOKUP(AE$72,INDIRECT($C$5&amp;"生成成长"),2))/((VLOOKUP($B80,INDIRECT($B$5&amp;"生成成长"),4))/(VLOOKUP(AE$72,INDIRECT($C$5&amp;"生成成长"),5))*(VLOOKUP($B$5,标准坦克设计!$B$24:$U$30,MATCH("对"&amp;LEFT($C$5,2)&amp;"输出",标准坦克设计!$B$23:$U$23,0)))*(VLOOKUP($B80,INDIRECT($B$5&amp;"生成成长"),3))*(VLOOKUP($B$5,标准坦克设计!$B$14:$K$20,9)/30))</f>
        <v>33.401787559893926</v>
      </c>
      <c r="AF80" s="173">
        <f ca="1">(VLOOKUP(AF$72,INDIRECT($C$5&amp;"生成成长"),2))/((VLOOKUP($B80,INDIRECT($B$5&amp;"生成成长"),4))/(VLOOKUP(AF$72,INDIRECT($C$5&amp;"生成成长"),5))*(VLOOKUP($B$5,标准坦克设计!$B$24:$U$30,MATCH("对"&amp;LEFT($C$5,2)&amp;"输出",标准坦克设计!$B$23:$U$23,0)))*(VLOOKUP($B80,INDIRECT($B$5&amp;"生成成长"),3))*(VLOOKUP($B$5,标准坦克设计!$B$14:$K$20,9)/30))</f>
        <v>36.094428029344364</v>
      </c>
      <c r="AG80" s="173">
        <f ca="1">(VLOOKUP(AG$72,INDIRECT($C$5&amp;"生成成长"),2))/((VLOOKUP($B80,INDIRECT($B$5&amp;"生成成长"),4))/(VLOOKUP(AG$72,INDIRECT($C$5&amp;"生成成长"),5))*(VLOOKUP($B$5,标准坦克设计!$B$24:$U$30,MATCH("对"&amp;LEFT($C$5,2)&amp;"输出",标准坦克设计!$B$23:$U$23,0)))*(VLOOKUP($B80,INDIRECT($B$5&amp;"生成成长"),3))*(VLOOKUP($B$5,标准坦克设计!$B$14:$K$20,9)/30))</f>
        <v>38.891434408463404</v>
      </c>
      <c r="AH80" s="173">
        <f ca="1">(VLOOKUP(AH$72,INDIRECT($C$5&amp;"生成成长"),2))/((VLOOKUP($B80,INDIRECT($B$5&amp;"生成成长"),4))/(VLOOKUP(AH$72,INDIRECT($C$5&amp;"生成成长"),5))*(VLOOKUP($B$5,标准坦克设计!$B$24:$U$30,MATCH("对"&amp;LEFT($C$5,2)&amp;"输出",标准坦克设计!$B$23:$U$23,0)))*(VLOOKUP($B80,INDIRECT($B$5&amp;"生成成长"),3))*(VLOOKUP($B$5,标准坦克设计!$B$14:$K$20,9)/30))</f>
        <v>41.792806697251081</v>
      </c>
      <c r="AI80" s="173">
        <f ca="1">(VLOOKUP(AI$72,INDIRECT($C$5&amp;"生成成长"),2))/((VLOOKUP($B80,INDIRECT($B$5&amp;"生成成长"),4))/(VLOOKUP(AI$72,INDIRECT($C$5&amp;"生成成长"),5))*(VLOOKUP($B$5,标准坦克设计!$B$24:$U$30,MATCH("对"&amp;LEFT($C$5,2)&amp;"输出",标准坦克设计!$B$23:$U$23,0)))*(VLOOKUP($B80,INDIRECT($B$5&amp;"生成成长"),3))*(VLOOKUP($B$5,标准坦克设计!$B$14:$K$20,9)/30))</f>
        <v>29.558512936346936</v>
      </c>
      <c r="AJ80" s="173">
        <f ca="1">(VLOOKUP(AJ$72,INDIRECT($C$5&amp;"生成成长"),2))/((VLOOKUP($B80,INDIRECT($B$5&amp;"生成成长"),4))/(VLOOKUP(AJ$72,INDIRECT($C$5&amp;"生成成长"),5))*(VLOOKUP($B$5,标准坦克设计!$B$24:$U$30,MATCH("对"&amp;LEFT($C$5,2)&amp;"输出",标准坦克设计!$B$23:$U$23,0)))*(VLOOKUP($B80,INDIRECT($B$5&amp;"生成成长"),3))*(VLOOKUP($B$5,标准坦克设计!$B$14:$K$20,9)/30))</f>
        <v>32.353953826820963</v>
      </c>
      <c r="AK80" s="173">
        <f ca="1">(VLOOKUP(AK$72,INDIRECT($C$5&amp;"生成成长"),2))/((VLOOKUP($B80,INDIRECT($B$5&amp;"生成成长"),4))/(VLOOKUP(AK$72,INDIRECT($C$5&amp;"生成成长"),5))*(VLOOKUP($B$5,标准坦克设计!$B$24:$U$30,MATCH("对"&amp;LEFT($C$5,2)&amp;"输出",标准坦克设计!$B$23:$U$23,0)))*(VLOOKUP($B80,INDIRECT($B$5&amp;"生成成长"),3))*(VLOOKUP($B$5,标准坦克设计!$B$14:$K$20,9)/30))</f>
        <v>35.275677467994022</v>
      </c>
      <c r="AL80" s="173">
        <f ca="1">(VLOOKUP(AL$72,INDIRECT($C$5&amp;"生成成长"),2))/((VLOOKUP($B80,INDIRECT($B$5&amp;"生成成长"),4))/(VLOOKUP(AL$72,INDIRECT($C$5&amp;"生成成长"),5))*(VLOOKUP($B$5,标准坦克设计!$B$24:$U$30,MATCH("对"&amp;LEFT($C$5,2)&amp;"输出",标准坦克设计!$B$23:$U$23,0)))*(VLOOKUP($B80,INDIRECT($B$5&amp;"生成成长"),3))*(VLOOKUP($B$5,标准坦克设计!$B$14:$K$20,9)/30))</f>
        <v>38.323683859866108</v>
      </c>
      <c r="AM80" s="173">
        <f ca="1">(VLOOKUP(AM$72,INDIRECT($C$5&amp;"生成成长"),2))/((VLOOKUP($B80,INDIRECT($B$5&amp;"生成成长"),4))/(VLOOKUP(AM$72,INDIRECT($C$5&amp;"生成成长"),5))*(VLOOKUP($B$5,标准坦克设计!$B$24:$U$30,MATCH("对"&amp;LEFT($C$5,2)&amp;"输出",标准坦克设计!$B$23:$U$23,0)))*(VLOOKUP($B80,INDIRECT($B$5&amp;"生成成长"),3))*(VLOOKUP($B$5,标准坦克设计!$B$14:$K$20,9)/30))</f>
        <v>41.49797300243722</v>
      </c>
      <c r="AN80" s="173">
        <f ca="1">(VLOOKUP(AN$72,INDIRECT($C$5&amp;"生成成长"),2))/((VLOOKUP($B80,INDIRECT($B$5&amp;"生成成长"),4))/(VLOOKUP(AN$72,INDIRECT($C$5&amp;"生成成长"),5))*(VLOOKUP($B$5,标准坦克设计!$B$24:$U$30,MATCH("对"&amp;LEFT($C$5,2)&amp;"输出",标准坦克设计!$B$23:$U$23,0)))*(VLOOKUP($B80,INDIRECT($B$5&amp;"生成成长"),3))*(VLOOKUP($B$5,标准坦克设计!$B$14:$K$20,9)/30))</f>
        <v>44.79854489570738</v>
      </c>
      <c r="AO80" s="173">
        <f ca="1">(VLOOKUP(AO$72,INDIRECT($C$5&amp;"生成成长"),2))/((VLOOKUP($B80,INDIRECT($B$5&amp;"生成成长"),4))/(VLOOKUP(AO$72,INDIRECT($C$5&amp;"生成成长"),5))*(VLOOKUP($B$5,标准坦克设计!$B$24:$U$30,MATCH("对"&amp;LEFT($C$5,2)&amp;"输出",标准坦克设计!$B$23:$U$23,0)))*(VLOOKUP($B80,INDIRECT($B$5&amp;"生成成长"),3))*(VLOOKUP($B$5,标准坦克设计!$B$14:$K$20,9)/30))</f>
        <v>48.225399539676559</v>
      </c>
      <c r="AP80" s="173">
        <f ca="1">(VLOOKUP(AP$72,INDIRECT($C$5&amp;"生成成长"),2))/((VLOOKUP($B80,INDIRECT($B$5&amp;"生成成长"),4))/(VLOOKUP(AP$72,INDIRECT($C$5&amp;"生成成长"),5))*(VLOOKUP($B$5,标准坦克设计!$B$24:$U$30,MATCH("对"&amp;LEFT($C$5,2)&amp;"输出",标准坦克设计!$B$23:$U$23,0)))*(VLOOKUP($B80,INDIRECT($B$5&amp;"生成成长"),3))*(VLOOKUP($B$5,标准坦克设计!$B$14:$K$20,9)/30))</f>
        <v>51.778536934344771</v>
      </c>
      <c r="AQ80" s="173">
        <f ca="1">(VLOOKUP(AQ$72,INDIRECT($C$5&amp;"生成成长"),2))/((VLOOKUP($B80,INDIRECT($B$5&amp;"生成成长"),4))/(VLOOKUP(AQ$72,INDIRECT($C$5&amp;"生成成长"),5))*(VLOOKUP($B$5,标准坦克设计!$B$24:$U$30,MATCH("对"&amp;LEFT($C$5,2)&amp;"输出",标准坦克设计!$B$23:$U$23,0)))*(VLOOKUP($B80,INDIRECT($B$5&amp;"生成成长"),3))*(VLOOKUP($B$5,标准坦克设计!$B$14:$K$20,9)/30))</f>
        <v>55.457957079712024</v>
      </c>
      <c r="AR80" s="173">
        <f ca="1">(VLOOKUP(AR$72,INDIRECT($C$5&amp;"生成成长"),2))/((VLOOKUP($B80,INDIRECT($B$5&amp;"生成成长"),4))/(VLOOKUP(AR$72,INDIRECT($C$5&amp;"生成成长"),5))*(VLOOKUP($B$5,标准坦克设计!$B$24:$U$30,MATCH("对"&amp;LEFT($C$5,2)&amp;"输出",标准坦克设计!$B$23:$U$23,0)))*(VLOOKUP($B80,INDIRECT($B$5&amp;"生成成长"),3))*(VLOOKUP($B$5,标准坦克设计!$B$14:$K$20,9)/30))</f>
        <v>59.263659975778303</v>
      </c>
      <c r="AS80" s="173">
        <f ca="1">(VLOOKUP(AS$72,INDIRECT($C$5&amp;"生成成长"),2))/((VLOOKUP($B80,INDIRECT($B$5&amp;"生成成长"),4))/(VLOOKUP(AS$72,INDIRECT($C$5&amp;"生成成长"),5))*(VLOOKUP($B$5,标准坦克设计!$B$24:$U$30,MATCH("对"&amp;LEFT($C$5,2)&amp;"输出",标准坦克设计!$B$23:$U$23,0)))*(VLOOKUP($B80,INDIRECT($B$5&amp;"生成成长"),3))*(VLOOKUP($B$5,标准坦克设计!$B$14:$K$20,9)/30))</f>
        <v>63.195645622543609</v>
      </c>
      <c r="AT80" s="173">
        <f ca="1">(VLOOKUP(AT$72,INDIRECT($C$5&amp;"生成成长"),2))/((VLOOKUP($B80,INDIRECT($B$5&amp;"生成成长"),4))/(VLOOKUP(AT$72,INDIRECT($C$5&amp;"生成成长"),5))*(VLOOKUP($B$5,标准坦克设计!$B$24:$U$30,MATCH("对"&amp;LEFT($C$5,2)&amp;"输出",标准坦克设计!$B$23:$U$23,0)))*(VLOOKUP($B80,INDIRECT($B$5&amp;"生成成长"),3))*(VLOOKUP($B$5,标准坦克设计!$B$14:$K$20,9)/30))</f>
        <v>67.253914020007954</v>
      </c>
      <c r="AU80" s="173">
        <f ca="1">(VLOOKUP(AU$72,INDIRECT($C$5&amp;"生成成长"),2))/((VLOOKUP($B80,INDIRECT($B$5&amp;"生成成长"),4))/(VLOOKUP(AU$72,INDIRECT($C$5&amp;"生成成长"),5))*(VLOOKUP($B$5,标准坦克设计!$B$24:$U$30,MATCH("对"&amp;LEFT($C$5,2)&amp;"输出",标准坦克设计!$B$23:$U$23,0)))*(VLOOKUP($B80,INDIRECT($B$5&amp;"生成成长"),3))*(VLOOKUP($B$5,标准坦克设计!$B$14:$K$20,9)/30))</f>
        <v>71.438465168171319</v>
      </c>
      <c r="AV80" s="173">
        <f ca="1">(VLOOKUP(AV$72,INDIRECT($C$5&amp;"生成成长"),2))/((VLOOKUP($B80,INDIRECT($B$5&amp;"生成成长"),4))/(VLOOKUP(AV$72,INDIRECT($C$5&amp;"生成成长"),5))*(VLOOKUP($B$5,标准坦克设计!$B$24:$U$30,MATCH("对"&amp;LEFT($C$5,2)&amp;"输出",标准坦克设计!$B$23:$U$23,0)))*(VLOOKUP($B80,INDIRECT($B$5&amp;"生成成长"),3))*(VLOOKUP($B$5,标准坦克设计!$B$14:$K$20,9)/30))</f>
        <v>7.2659546311294205</v>
      </c>
      <c r="AW80" s="173">
        <f ca="1">(VLOOKUP(AW$72,INDIRECT($C$5&amp;"生成成长"),2))/((VLOOKUP($B80,INDIRECT($B$5&amp;"生成成长"),4))/(VLOOKUP(AW$72,INDIRECT($C$5&amp;"生成成长"),5))*(VLOOKUP($B$5,标准坦克设计!$B$24:$U$30,MATCH("对"&amp;LEFT($C$5,2)&amp;"输出",标准坦克设计!$B$23:$U$23,0)))*(VLOOKUP($B80,INDIRECT($B$5&amp;"生成成长"),3))*(VLOOKUP($B$5,标准坦克设计!$B$14:$K$20,9)/30))</f>
        <v>8.2845659094951642</v>
      </c>
      <c r="AX80" s="173">
        <f ca="1">(VLOOKUP(AX$72,INDIRECT($C$5&amp;"生成成长"),2))/((VLOOKUP($B80,INDIRECT($B$5&amp;"生成成长"),4))/(VLOOKUP(AX$72,INDIRECT($C$5&amp;"生成成长"),5))*(VLOOKUP($B$5,标准坦克设计!$B$24:$U$30,MATCH("对"&amp;LEFT($C$5,2)&amp;"输出",标准坦克设计!$B$23:$U$23,0)))*(VLOOKUP($B80,INDIRECT($B$5&amp;"生成成长"),3))*(VLOOKUP($B$5,标准坦克设计!$B$14:$K$20,9)/30))</f>
        <v>9.369971370048825</v>
      </c>
      <c r="AY80" s="173">
        <f ca="1">(VLOOKUP(AY$72,INDIRECT($C$5&amp;"生成成长"),2))/((VLOOKUP($B80,INDIRECT($B$5&amp;"生成成长"),4))/(VLOOKUP(AY$72,INDIRECT($C$5&amp;"生成成长"),5))*(VLOOKUP($B$5,标准坦克设计!$B$24:$U$30,MATCH("对"&amp;LEFT($C$5,2)&amp;"输出",标准坦克设计!$B$23:$U$23,0)))*(VLOOKUP($B80,INDIRECT($B$5&amp;"生成成长"),3))*(VLOOKUP($B$5,标准坦克设计!$B$14:$K$20,9)/30))</f>
        <v>10.522171012790405</v>
      </c>
      <c r="AZ80" s="173">
        <f ca="1">(VLOOKUP(AZ$72,INDIRECT($C$5&amp;"生成成长"),2))/((VLOOKUP($B80,INDIRECT($B$5&amp;"生成成长"),4))/(VLOOKUP(AZ$72,INDIRECT($C$5&amp;"生成成长"),5))*(VLOOKUP($B$5,标准坦克设计!$B$24:$U$30,MATCH("对"&amp;LEFT($C$5,2)&amp;"输出",标准坦克设计!$B$23:$U$23,0)))*(VLOOKUP($B80,INDIRECT($B$5&amp;"生成成长"),3))*(VLOOKUP($B$5,标准坦克设计!$B$14:$K$20,9)/30))</f>
        <v>11.741164837719904</v>
      </c>
      <c r="BA80" s="173">
        <f ca="1">(VLOOKUP(BA$72,INDIRECT($C$5&amp;"生成成长"),2))/((VLOOKUP($B80,INDIRECT($B$5&amp;"生成成长"),4))/(VLOOKUP(BA$72,INDIRECT($C$5&amp;"生成成长"),5))*(VLOOKUP($B$5,标准坦克设计!$B$24:$U$30,MATCH("对"&amp;LEFT($C$5,2)&amp;"输出",标准坦克设计!$B$23:$U$23,0)))*(VLOOKUP($B80,INDIRECT($B$5&amp;"生成成长"),3))*(VLOOKUP($B$5,标准坦克设计!$B$14:$K$20,9)/30))</f>
        <v>13.026952844837316</v>
      </c>
      <c r="BB80" s="173">
        <f ca="1">(VLOOKUP(BB$72,INDIRECT($C$5&amp;"生成成长"),2))/((VLOOKUP($B80,INDIRECT($B$5&amp;"生成成长"),4))/(VLOOKUP(BB$72,INDIRECT($C$5&amp;"生成成长"),5))*(VLOOKUP($B$5,标准坦克设计!$B$24:$U$30,MATCH("对"&amp;LEFT($C$5,2)&amp;"输出",标准坦克设计!$B$23:$U$23,0)))*(VLOOKUP($B80,INDIRECT($B$5&amp;"生成成长"),3))*(VLOOKUP($B$5,标准坦克设计!$B$14:$K$20,9)/30))</f>
        <v>14.379535034142652</v>
      </c>
      <c r="BC80" s="173">
        <f ca="1">(VLOOKUP(BC$72,INDIRECT($C$5&amp;"生成成长"),2))/((VLOOKUP($B80,INDIRECT($B$5&amp;"生成成长"),4))/(VLOOKUP(BC$72,INDIRECT($C$5&amp;"生成成长"),5))*(VLOOKUP($B$5,标准坦克设计!$B$24:$U$30,MATCH("对"&amp;LEFT($C$5,2)&amp;"输出",标准坦克设计!$B$23:$U$23,0)))*(VLOOKUP($B80,INDIRECT($B$5&amp;"生成成长"),3))*(VLOOKUP($B$5,标准坦克设计!$B$14:$K$20,9)/30))</f>
        <v>15.798911405635902</v>
      </c>
      <c r="BD80" s="173">
        <f ca="1">(VLOOKUP(BD$72,INDIRECT($C$5&amp;"生成成长"),2))/((VLOOKUP($B80,INDIRECT($B$5&amp;"生成成长"),4))/(VLOOKUP(BD$72,INDIRECT($C$5&amp;"生成成长"),5))*(VLOOKUP($B$5,标准坦克设计!$B$24:$U$30,MATCH("对"&amp;LEFT($C$5,2)&amp;"输出",标准坦克设计!$B$23:$U$23,0)))*(VLOOKUP($B80,INDIRECT($B$5&amp;"生成成长"),3))*(VLOOKUP($B$5,标准坦克设计!$B$14:$K$20,9)/30))</f>
        <v>17.475549744462306</v>
      </c>
      <c r="BE80" s="173">
        <f ca="1">(VLOOKUP(BE$72,INDIRECT($C$5&amp;"生成成长"),2))/((VLOOKUP($B80,INDIRECT($B$5&amp;"生成成长"),4))/(VLOOKUP(BE$72,INDIRECT($C$5&amp;"生成成长"),5))*(VLOOKUP($B$5,标准坦克设计!$B$24:$U$30,MATCH("对"&amp;LEFT($C$5,2)&amp;"输出",标准坦克设计!$B$23:$U$23,0)))*(VLOOKUP($B80,INDIRECT($B$5&amp;"生成成长"),3))*(VLOOKUP($B$5,标准坦克设计!$B$14:$K$20,9)/30))</f>
        <v>19.23672447012029</v>
      </c>
      <c r="BF80" s="173">
        <f ca="1">(VLOOKUP(BF$72,INDIRECT($C$5&amp;"生成成长"),2))/((VLOOKUP($B80,INDIRECT($B$5&amp;"生成成长"),4))/(VLOOKUP(BF$72,INDIRECT($C$5&amp;"生成成长"),5))*(VLOOKUP($B$5,标准坦克设计!$B$24:$U$30,MATCH("对"&amp;LEFT($C$5,2)&amp;"输出",标准坦克设计!$B$23:$U$23,0)))*(VLOOKUP($B80,INDIRECT($B$5&amp;"生成成长"),3))*(VLOOKUP($B$5,标准坦克设计!$B$14:$K$20,9)/30))</f>
        <v>21.082435582609854</v>
      </c>
      <c r="BG80" s="173">
        <f ca="1">(VLOOKUP(BG$72,INDIRECT($C$5&amp;"生成成长"),2))/((VLOOKUP($B80,INDIRECT($B$5&amp;"生成成长"),4))/(VLOOKUP(BG$72,INDIRECT($C$5&amp;"生成成长"),5))*(VLOOKUP($B$5,标准坦克设计!$B$24:$U$30,MATCH("对"&amp;LEFT($C$5,2)&amp;"输出",标准坦克设计!$B$23:$U$23,0)))*(VLOOKUP($B80,INDIRECT($B$5&amp;"生成成长"),3))*(VLOOKUP($B$5,标准坦克设计!$B$14:$K$20,9)/30))</f>
        <v>23.012683081931009</v>
      </c>
      <c r="BH80" s="173">
        <f ca="1">(VLOOKUP(BH$72,INDIRECT($C$5&amp;"生成成长"),2))/((VLOOKUP($B80,INDIRECT($B$5&amp;"生成成长"),4))/(VLOOKUP(BH$72,INDIRECT($C$5&amp;"生成成长"),5))*(VLOOKUP($B$5,标准坦克设计!$B$24:$U$30,MATCH("对"&amp;LEFT($C$5,2)&amp;"输出",标准坦克设计!$B$23:$U$23,0)))*(VLOOKUP($B80,INDIRECT($B$5&amp;"生成成长"),3))*(VLOOKUP($B$5,标准坦克设计!$B$14:$K$20,9)/30))</f>
        <v>11.123318652481665</v>
      </c>
      <c r="BI80" s="173">
        <f ca="1">(VLOOKUP(BI$72,INDIRECT($C$5&amp;"生成成长"),2))/((VLOOKUP($B80,INDIRECT($B$5&amp;"生成成长"),4))/(VLOOKUP(BI$72,INDIRECT($C$5&amp;"生成成长"),5))*(VLOOKUP($B$5,标准坦克设计!$B$24:$U$30,MATCH("对"&amp;LEFT($C$5,2)&amp;"输出",标准坦克设计!$B$23:$U$23,0)))*(VLOOKUP($B80,INDIRECT($B$5&amp;"生成成长"),3))*(VLOOKUP($B$5,标准坦克设计!$B$14:$K$20,9)/30))</f>
        <v>12.536954898943142</v>
      </c>
      <c r="BJ80" s="173">
        <f ca="1">(VLOOKUP(BJ$72,INDIRECT($C$5&amp;"生成成长"),2))/((VLOOKUP($B80,INDIRECT($B$5&amp;"生成成长"),4))/(VLOOKUP(BJ$72,INDIRECT($C$5&amp;"生成成长"),5))*(VLOOKUP($B$5,标准坦克设计!$B$24:$U$30,MATCH("对"&amp;LEFT($C$5,2)&amp;"输出",标准坦克设计!$B$23:$U$23,0)))*(VLOOKUP($B80,INDIRECT($B$5&amp;"生成成长"),3))*(VLOOKUP($B$5,标准坦克设计!$B$14:$K$20,9)/30))</f>
        <v>14.035127532236199</v>
      </c>
      <c r="BK80" s="173">
        <f ca="1">(VLOOKUP(BK$72,INDIRECT($C$5&amp;"生成成长"),2))/((VLOOKUP($B80,INDIRECT($B$5&amp;"生成成长"),4))/(VLOOKUP(BK$72,INDIRECT($C$5&amp;"生成成长"),5))*(VLOOKUP($B$5,标准坦克设计!$B$24:$U$30,MATCH("对"&amp;LEFT($C$5,2)&amp;"输出",标准坦克设计!$B$23:$U$23,0)))*(VLOOKUP($B80,INDIRECT($B$5&amp;"生成成长"),3))*(VLOOKUP($B$5,标准坦克设计!$B$14:$K$20,9)/30))</f>
        <v>15.617836552360846</v>
      </c>
      <c r="BL80" s="173">
        <f ca="1">(VLOOKUP(BL$72,INDIRECT($C$5&amp;"生成成长"),2))/((VLOOKUP($B80,INDIRECT($B$5&amp;"生成成长"),4))/(VLOOKUP(BL$72,INDIRECT($C$5&amp;"生成成长"),5))*(VLOOKUP($B$5,标准坦克设计!$B$24:$U$30,MATCH("对"&amp;LEFT($C$5,2)&amp;"输出",标准坦克设计!$B$23:$U$23,0)))*(VLOOKUP($B80,INDIRECT($B$5&amp;"生成成长"),3))*(VLOOKUP($B$5,标准坦克设计!$B$14:$K$20,9)/30))</f>
        <v>17.285081959317072</v>
      </c>
      <c r="BM80" s="173">
        <f ca="1">(VLOOKUP(BM$72,INDIRECT($C$5&amp;"生成成长"),2))/((VLOOKUP($B80,INDIRECT($B$5&amp;"生成成长"),4))/(VLOOKUP(BM$72,INDIRECT($C$5&amp;"生成成长"),5))*(VLOOKUP($B$5,标准坦克设计!$B$24:$U$30,MATCH("对"&amp;LEFT($C$5,2)&amp;"输出",标准坦克设计!$B$23:$U$23,0)))*(VLOOKUP($B80,INDIRECT($B$5&amp;"生成成长"),3))*(VLOOKUP($B$5,标准坦克设计!$B$14:$K$20,9)/30))</f>
        <v>19.036863753104882</v>
      </c>
      <c r="BN80" s="173">
        <f ca="1">(VLOOKUP(BN$72,INDIRECT($C$5&amp;"生成成长"),2))/((VLOOKUP($B80,INDIRECT($B$5&amp;"生成成长"),4))/(VLOOKUP(BN$72,INDIRECT($C$5&amp;"生成成长"),5))*(VLOOKUP($B$5,标准坦克设计!$B$24:$U$30,MATCH("对"&amp;LEFT($C$5,2)&amp;"输出",标准坦克设计!$B$23:$U$23,0)))*(VLOOKUP($B80,INDIRECT($B$5&amp;"生成成长"),3))*(VLOOKUP($B$5,标准坦克设计!$B$14:$K$20,9)/30))</f>
        <v>20.873181933724268</v>
      </c>
      <c r="BO80" s="173">
        <f ca="1">(VLOOKUP(BO$72,INDIRECT($C$5&amp;"生成成长"),2))/((VLOOKUP($B80,INDIRECT($B$5&amp;"生成成长"),4))/(VLOOKUP(BO$72,INDIRECT($C$5&amp;"生成成长"),5))*(VLOOKUP($B$5,标准坦克设计!$B$24:$U$30,MATCH("对"&amp;LEFT($C$5,2)&amp;"输出",标准坦克设计!$B$23:$U$23,0)))*(VLOOKUP($B80,INDIRECT($B$5&amp;"生成成长"),3))*(VLOOKUP($B$5,标准坦克设计!$B$14:$K$20,9)/30))</f>
        <v>22.794036501175245</v>
      </c>
      <c r="BP80" s="173">
        <f ca="1">(VLOOKUP(BP$72,INDIRECT($C$5&amp;"生成成长"),2))/((VLOOKUP($B80,INDIRECT($B$5&amp;"生成成长"),4))/(VLOOKUP(BP$72,INDIRECT($C$5&amp;"生成成长"),5))*(VLOOKUP($B$5,标准坦克设计!$B$24:$U$30,MATCH("对"&amp;LEFT($C$5,2)&amp;"输出",标准坦克设计!$B$23:$U$23,0)))*(VLOOKUP($B80,INDIRECT($B$5&amp;"生成成长"),3))*(VLOOKUP($B$5,标准坦克设计!$B$14:$K$20,9)/30))</f>
        <v>24.799427455457803</v>
      </c>
      <c r="BQ80" s="173">
        <f ca="1">(VLOOKUP(BQ$72,INDIRECT($C$5&amp;"生成成长"),2))/((VLOOKUP($B80,INDIRECT($B$5&amp;"生成成长"),4))/(VLOOKUP(BQ$72,INDIRECT($C$5&amp;"生成成长"),5))*(VLOOKUP($B$5,标准坦克设计!$B$24:$U$30,MATCH("对"&amp;LEFT($C$5,2)&amp;"输出",标准坦克设计!$B$23:$U$23,0)))*(VLOOKUP($B80,INDIRECT($B$5&amp;"生成成长"),3))*(VLOOKUP($B$5,标准坦克设计!$B$14:$K$20,9)/30))</f>
        <v>26.889354796571954</v>
      </c>
      <c r="BR80" s="173">
        <f ca="1">(VLOOKUP(BR$72,INDIRECT($C$5&amp;"生成成长"),2))/((VLOOKUP($B80,INDIRECT($B$5&amp;"生成成长"),4))/(VLOOKUP(BR$72,INDIRECT($C$5&amp;"生成成长"),5))*(VLOOKUP($B$5,标准坦克设计!$B$24:$U$30,MATCH("对"&amp;LEFT($C$5,2)&amp;"输出",标准坦克设计!$B$23:$U$23,0)))*(VLOOKUP($B80,INDIRECT($B$5&amp;"生成成长"),3))*(VLOOKUP($B$5,标准坦克设计!$B$14:$K$20,9)/30))</f>
        <v>29.310643900883971</v>
      </c>
      <c r="BS80" s="173">
        <f ca="1">(VLOOKUP(BS$72,INDIRECT($C$5&amp;"生成成长"),2))/((VLOOKUP($B80,INDIRECT($B$5&amp;"生成成长"),4))/(VLOOKUP(BS$72,INDIRECT($C$5&amp;"生成成长"),5))*(VLOOKUP($B$5,标准坦克设计!$B$24:$U$30,MATCH("对"&amp;LEFT($C$5,2)&amp;"输出",标准坦克设计!$B$23:$U$23,0)))*(VLOOKUP($B80,INDIRECT($B$5&amp;"生成成长"),3))*(VLOOKUP($B$5,标准坦克设计!$B$14:$K$20,9)/30))</f>
        <v>31.836298914864599</v>
      </c>
      <c r="BT80" s="173">
        <f ca="1">(VLOOKUP(BT$72,INDIRECT($C$5&amp;"生成成长"),2))/((VLOOKUP($B80,INDIRECT($B$5&amp;"生成成长"),4))/(VLOOKUP(BT$72,INDIRECT($C$5&amp;"生成成长"),5))*(VLOOKUP($B$5,标准坦克设计!$B$24:$U$30,MATCH("对"&amp;LEFT($C$5,2)&amp;"输出",标准坦克设计!$B$23:$U$23,0)))*(VLOOKUP($B80,INDIRECT($B$5&amp;"生成成长"),3))*(VLOOKUP($B$5,标准坦克设计!$B$14:$K$20,9)/30))</f>
        <v>34.466319838513861</v>
      </c>
      <c r="BU80" s="173">
        <f ca="1">(VLOOKUP(BU$72,INDIRECT($C$5&amp;"生成成长"),2))/((VLOOKUP($B80,INDIRECT($B$5&amp;"生成成长"),4))/(VLOOKUP(BU$72,INDIRECT($C$5&amp;"生成成长"),5))*(VLOOKUP($B$5,标准坦克设计!$B$24:$U$30,MATCH("对"&amp;LEFT($C$5,2)&amp;"输出",标准坦克设计!$B$23:$U$23,0)))*(VLOOKUP($B80,INDIRECT($B$5&amp;"生成成长"),3))*(VLOOKUP($B$5,标准坦克设计!$B$14:$K$20,9)/30))</f>
        <v>37.200706671831739</v>
      </c>
      <c r="BV80" s="173">
        <f ca="1">(VLOOKUP(BV$72,INDIRECT($C$5&amp;"生成成长"),2))/((VLOOKUP($B80,INDIRECT($B$5&amp;"生成成长"),4))/(VLOOKUP(BV$72,INDIRECT($C$5&amp;"生成成长"),5))*(VLOOKUP($B$5,标准坦克设计!$B$24:$U$30,MATCH("对"&amp;LEFT($C$5,2)&amp;"输出",标准坦克设计!$B$23:$U$23,0)))*(VLOOKUP($B80,INDIRECT($B$5&amp;"生成成长"),3))*(VLOOKUP($B$5,标准坦克设计!$B$14:$K$20,9)/30))</f>
        <v>40.039459414818239</v>
      </c>
      <c r="BW80" s="173">
        <f ca="1">(VLOOKUP(BW$72,INDIRECT($C$5&amp;"生成成长"),2))/((VLOOKUP($B80,INDIRECT($B$5&amp;"生成成长"),4))/(VLOOKUP(BW$72,INDIRECT($C$5&amp;"生成成长"),5))*(VLOOKUP($B$5,标准坦克设计!$B$24:$U$30,MATCH("对"&amp;LEFT($C$5,2)&amp;"输出",标准坦克设计!$B$23:$U$23,0)))*(VLOOKUP($B80,INDIRECT($B$5&amp;"生成成长"),3))*(VLOOKUP($B$5,标准坦克设计!$B$14:$K$20,9)/30))</f>
        <v>18.2478574760101</v>
      </c>
      <c r="BX80" s="173">
        <f ca="1">(VLOOKUP(BX$72,INDIRECT($C$5&amp;"生成成长"),2))/((VLOOKUP($B80,INDIRECT($B$5&amp;"生成成长"),4))/(VLOOKUP(BX$72,INDIRECT($C$5&amp;"生成成长"),5))*(VLOOKUP($B$5,标准坦克设计!$B$24:$U$30,MATCH("对"&amp;LEFT($C$5,2)&amp;"输出",标准坦克设计!$B$23:$U$23,0)))*(VLOOKUP($B80,INDIRECT($B$5&amp;"生成成长"),3))*(VLOOKUP($B$5,标准坦克设计!$B$14:$K$20,9)/30))</f>
        <v>20.251682941647633</v>
      </c>
      <c r="BY80" s="173">
        <f ca="1">(VLOOKUP(BY$72,INDIRECT($C$5&amp;"生成成长"),2))/((VLOOKUP($B80,INDIRECT($B$5&amp;"生成成长"),4))/(VLOOKUP(BY$72,INDIRECT($C$5&amp;"生成成长"),5))*(VLOOKUP($B$5,标准坦克设计!$B$24:$U$30,MATCH("对"&amp;LEFT($C$5,2)&amp;"输出",标准坦克设计!$B$23:$U$23,0)))*(VLOOKUP($B80,INDIRECT($B$5&amp;"生成成长"),3))*(VLOOKUP($B$5,标准坦克设计!$B$14:$K$20,9)/30))</f>
        <v>22.359874316953785</v>
      </c>
      <c r="BZ80" s="173">
        <f ca="1">(VLOOKUP(BZ$72,INDIRECT($C$5&amp;"生成成长"),2))/((VLOOKUP($B80,INDIRECT($B$5&amp;"生成成长"),4))/(VLOOKUP(BZ$72,INDIRECT($C$5&amp;"生成成长"),5))*(VLOOKUP($B$5,标准坦克设计!$B$24:$U$30,MATCH("对"&amp;LEFT($C$5,2)&amp;"输出",标准坦克设计!$B$23:$U$23,0)))*(VLOOKUP($B80,INDIRECT($B$5&amp;"生成成长"),3))*(VLOOKUP($B$5,标准坦克设计!$B$14:$K$20,9)/30))</f>
        <v>24.57243160192856</v>
      </c>
      <c r="CA80" s="173">
        <f ca="1">(VLOOKUP(CA$72,INDIRECT($C$5&amp;"生成成长"),2))/((VLOOKUP($B80,INDIRECT($B$5&amp;"生成成长"),4))/(VLOOKUP(CA$72,INDIRECT($C$5&amp;"生成成长"),5))*(VLOOKUP($B$5,标准坦克设计!$B$24:$U$30,MATCH("对"&amp;LEFT($C$5,2)&amp;"输出",标准坦克设计!$B$23:$U$23,0)))*(VLOOKUP($B80,INDIRECT($B$5&amp;"生成成长"),3))*(VLOOKUP($B$5,标准坦克设计!$B$14:$K$20,9)/30))</f>
        <v>26.889354796571954</v>
      </c>
      <c r="CB80" s="173">
        <f ca="1">(VLOOKUP(CB$72,INDIRECT($C$5&amp;"生成成长"),2))/((VLOOKUP($B80,INDIRECT($B$5&amp;"生成成长"),4))/(VLOOKUP(CB$72,INDIRECT($C$5&amp;"生成成长"),5))*(VLOOKUP($B$5,标准坦克设计!$B$24:$U$30,MATCH("对"&amp;LEFT($C$5,2)&amp;"输出",标准坦克设计!$B$23:$U$23,0)))*(VLOOKUP($B80,INDIRECT($B$5&amp;"生成成长"),3))*(VLOOKUP($B$5,标准坦克设计!$B$14:$K$20,9)/30))</f>
        <v>29.310643900883971</v>
      </c>
      <c r="CC80" s="173">
        <f ca="1">(VLOOKUP(CC$72,INDIRECT($C$5&amp;"生成成长"),2))/((VLOOKUP($B80,INDIRECT($B$5&amp;"生成成长"),4))/(VLOOKUP(CC$72,INDIRECT($C$5&amp;"生成成长"),5))*(VLOOKUP($B$5,标准坦克设计!$B$24:$U$30,MATCH("对"&amp;LEFT($C$5,2)&amp;"输出",标准坦克设计!$B$23:$U$23,0)))*(VLOOKUP($B80,INDIRECT($B$5&amp;"生成成长"),3))*(VLOOKUP($B$5,标准坦克设计!$B$14:$K$20,9)/30))</f>
        <v>31.836298914864599</v>
      </c>
      <c r="CD80" s="173">
        <f ca="1">(VLOOKUP(CD$72,INDIRECT($C$5&amp;"生成成长"),2))/((VLOOKUP($B80,INDIRECT($B$5&amp;"生成成长"),4))/(VLOOKUP(CD$72,INDIRECT($C$5&amp;"生成成长"),5))*(VLOOKUP($B$5,标准坦克设计!$B$24:$U$30,MATCH("对"&amp;LEFT($C$5,2)&amp;"输出",标准坦克设计!$B$23:$U$23,0)))*(VLOOKUP($B80,INDIRECT($B$5&amp;"生成成长"),3))*(VLOOKUP($B$5,标准坦克设计!$B$14:$K$20,9)/30))</f>
        <v>34.466319838513861</v>
      </c>
      <c r="CE80" s="173">
        <f ca="1">(VLOOKUP(CE$72,INDIRECT($C$5&amp;"生成成长"),2))/((VLOOKUP($B80,INDIRECT($B$5&amp;"生成成长"),4))/(VLOOKUP(CE$72,INDIRECT($C$5&amp;"生成成长"),5))*(VLOOKUP($B$5,标准坦克设计!$B$24:$U$30,MATCH("对"&amp;LEFT($C$5,2)&amp;"输出",标准坦克设计!$B$23:$U$23,0)))*(VLOOKUP($B80,INDIRECT($B$5&amp;"生成成长"),3))*(VLOOKUP($B$5,标准坦克设计!$B$14:$K$20,9)/30))</f>
        <v>37.200706671831739</v>
      </c>
      <c r="CF80" s="173">
        <f ca="1">(VLOOKUP(CF$72,INDIRECT($C$5&amp;"生成成长"),2))/((VLOOKUP($B80,INDIRECT($B$5&amp;"生成成长"),4))/(VLOOKUP(CF$72,INDIRECT($C$5&amp;"生成成长"),5))*(VLOOKUP($B$5,标准坦克设计!$B$24:$U$30,MATCH("对"&amp;LEFT($C$5,2)&amp;"输出",标准坦克设计!$B$23:$U$23,0)))*(VLOOKUP($B80,INDIRECT($B$5&amp;"生成成长"),3))*(VLOOKUP($B$5,标准坦克设计!$B$14:$K$20,9)/30))</f>
        <v>40.039459414818239</v>
      </c>
      <c r="CG80" s="173">
        <f ca="1">(VLOOKUP(CG$72,INDIRECT($C$5&amp;"生成成长"),2))/((VLOOKUP($B80,INDIRECT($B$5&amp;"生成成长"),4))/(VLOOKUP(CG$72,INDIRECT($C$5&amp;"生成成长"),5))*(VLOOKUP($B$5,标准坦克设计!$B$24:$U$30,MATCH("对"&amp;LEFT($C$5,2)&amp;"输出",标准坦克设计!$B$23:$U$23,0)))*(VLOOKUP($B80,INDIRECT($B$5&amp;"生成成长"),3))*(VLOOKUP($B$5,标准坦克设计!$B$14:$K$20,9)/30))</f>
        <v>42.982578067473362</v>
      </c>
      <c r="CH80" s="173">
        <f ca="1">(VLOOKUP(CH$72,INDIRECT($C$5&amp;"生成成长"),2))/((VLOOKUP($B80,INDIRECT($B$5&amp;"生成成长"),4))/(VLOOKUP(CH$72,INDIRECT($C$5&amp;"生成成长"),5))*(VLOOKUP($B$5,标准坦克设计!$B$24:$U$30,MATCH("对"&amp;LEFT($C$5,2)&amp;"输出",标准坦克设计!$B$23:$U$23,0)))*(VLOOKUP($B80,INDIRECT($B$5&amp;"生成成长"),3))*(VLOOKUP($B$5,标准坦克设计!$B$14:$K$20,9)/30))</f>
        <v>46.030062629797115</v>
      </c>
      <c r="CI80" s="173">
        <f ca="1">(VLOOKUP(CI$72,INDIRECT($C$5&amp;"生成成长"),2))/((VLOOKUP($B80,INDIRECT($B$5&amp;"生成成长"),4))/(VLOOKUP(CI$72,INDIRECT($C$5&amp;"生成成长"),5))*(VLOOKUP($B$5,标准坦克设计!$B$24:$U$30,MATCH("对"&amp;LEFT($C$5,2)&amp;"输出",标准坦克设计!$B$23:$U$23,0)))*(VLOOKUP($B80,INDIRECT($B$5&amp;"生成成长"),3))*(VLOOKUP($B$5,标准坦克设计!$B$14:$K$20,9)/30))</f>
        <v>49.50283827402049</v>
      </c>
      <c r="CJ80" s="173">
        <f ca="1">(VLOOKUP(CJ$72,INDIRECT($C$5&amp;"生成成长"),2))/((VLOOKUP($B80,INDIRECT($B$5&amp;"生成成长"),4))/(VLOOKUP(CJ$72,INDIRECT($C$5&amp;"生成成长"),5))*(VLOOKUP($B$5,标准坦克设计!$B$24:$U$30,MATCH("对"&amp;LEFT($C$5,2)&amp;"输出",标准坦克设计!$B$23:$U$23,0)))*(VLOOKUP($B80,INDIRECT($B$5&amp;"生成成长"),3))*(VLOOKUP($B$5,标准坦克设计!$B$14:$K$20,9)/30))</f>
        <v>53.101896668942892</v>
      </c>
      <c r="CK80" s="173">
        <f ca="1">(VLOOKUP(CK$72,INDIRECT($C$5&amp;"生成成长"),2))/((VLOOKUP($B80,INDIRECT($B$5&amp;"生成成长"),4))/(VLOOKUP(CK$72,INDIRECT($C$5&amp;"生成成长"),5))*(VLOOKUP($B$5,标准坦克设计!$B$24:$U$30,MATCH("对"&amp;LEFT($C$5,2)&amp;"输出",标准坦克设计!$B$23:$U$23,0)))*(VLOOKUP($B80,INDIRECT($B$5&amp;"生成成长"),3))*(VLOOKUP($B$5,标准坦克设计!$B$14:$K$20,9)/30))</f>
        <v>56.827237814564327</v>
      </c>
      <c r="CL80" s="173">
        <f ca="1">(VLOOKUP(CL$72,INDIRECT($C$5&amp;"生成成长"),2))/((VLOOKUP($B80,INDIRECT($B$5&amp;"生成成长"),4))/(VLOOKUP(CL$72,INDIRECT($C$5&amp;"生成成长"),5))*(VLOOKUP($B$5,标准坦克设计!$B$24:$U$30,MATCH("对"&amp;LEFT($C$5,2)&amp;"输出",标准坦克设计!$B$23:$U$23,0)))*(VLOOKUP($B80,INDIRECT($B$5&amp;"生成成长"),3))*(VLOOKUP($B$5,标准坦克设计!$B$14:$K$20,9)/30))</f>
        <v>60.678861710884803</v>
      </c>
      <c r="CM80" s="173">
        <f ca="1">(VLOOKUP(CM$72,INDIRECT($C$5&amp;"生成成长"),2))/((VLOOKUP($B80,INDIRECT($B$5&amp;"生成成长"),4))/(VLOOKUP(CM$72,INDIRECT($C$5&amp;"生成成长"),5))*(VLOOKUP($B$5,标准坦克设计!$B$24:$U$30,MATCH("对"&amp;LEFT($C$5,2)&amp;"输出",标准坦克设计!$B$23:$U$23,0)))*(VLOOKUP($B80,INDIRECT($B$5&amp;"生成成长"),3))*(VLOOKUP($B$5,标准坦克设计!$B$14:$K$20,9)/30))</f>
        <v>64.656768357904298</v>
      </c>
      <c r="CN80" s="173">
        <f ca="1">(VLOOKUP(CN$72,INDIRECT($C$5&amp;"生成成长"),2))/((VLOOKUP($B80,INDIRECT($B$5&amp;"生成成长"),4))/(VLOOKUP(CN$72,INDIRECT($C$5&amp;"生成成长"),5))*(VLOOKUP($B$5,标准坦克设计!$B$24:$U$30,MATCH("对"&amp;LEFT($C$5,2)&amp;"输出",标准坦克设计!$B$23:$U$23,0)))*(VLOOKUP($B80,INDIRECT($B$5&amp;"生成成长"),3))*(VLOOKUP($B$5,标准坦克设计!$B$14:$K$20,9)/30))</f>
        <v>68.760957755622826</v>
      </c>
      <c r="CO80" s="173">
        <f ca="1">(VLOOKUP(CO$72,INDIRECT($C$5&amp;"生成成长"),2))/((VLOOKUP($B80,INDIRECT($B$5&amp;"生成成长"),4))/(VLOOKUP(CO$72,INDIRECT($C$5&amp;"生成成长"),5))*(VLOOKUP($B$5,标准坦克设计!$B$24:$U$30,MATCH("对"&amp;LEFT($C$5,2)&amp;"输出",标准坦克设计!$B$23:$U$23,0)))*(VLOOKUP($B80,INDIRECT($B$5&amp;"生成成长"),3))*(VLOOKUP($B$5,标准坦克设计!$B$14:$K$20,9)/30))</f>
        <v>30.813513000112117</v>
      </c>
      <c r="CP80" s="173">
        <f ca="1">(VLOOKUP(CP$72,INDIRECT($C$5&amp;"生成成长"),2))/((VLOOKUP($B80,INDIRECT($B$5&amp;"生成成长"),4))/(VLOOKUP(CP$72,INDIRECT($C$5&amp;"生成成长"),5))*(VLOOKUP($B$5,标准坦克设计!$B$24:$U$30,MATCH("对"&amp;LEFT($C$5,2)&amp;"输出",标准坦克设计!$B$23:$U$23,0)))*(VLOOKUP($B80,INDIRECT($B$5&amp;"生成成长"),3))*(VLOOKUP($B$5,标准坦克设计!$B$14:$K$20,9)/30))</f>
        <v>33.666355140903875</v>
      </c>
      <c r="CQ80" s="173">
        <f ca="1">(VLOOKUP(CQ$72,INDIRECT($C$5&amp;"生成成长"),2))/((VLOOKUP($B80,INDIRECT($B$5&amp;"生成成长"),4))/(VLOOKUP(CQ$72,INDIRECT($C$5&amp;"生成成长"),5))*(VLOOKUP($B$5,标准坦克设计!$B$24:$U$30,MATCH("对"&amp;LEFT($C$5,2)&amp;"输出",标准坦克设计!$B$23:$U$23,0)))*(VLOOKUP($B80,INDIRECT($B$5&amp;"生成成长"),3))*(VLOOKUP($B$5,标准坦克设计!$B$14:$K$20,9)/30))</f>
        <v>36.645480032394673</v>
      </c>
      <c r="CR80" s="173">
        <f ca="1">(VLOOKUP(CR$72,INDIRECT($C$5&amp;"生成成长"),2))/((VLOOKUP($B80,INDIRECT($B$5&amp;"生成成长"),4))/(VLOOKUP(CR$72,INDIRECT($C$5&amp;"生成成长"),5))*(VLOOKUP($B$5,标准坦克设计!$B$24:$U$30,MATCH("对"&amp;LEFT($C$5,2)&amp;"输出",标准坦克设计!$B$23:$U$23,0)))*(VLOOKUP($B80,INDIRECT($B$5&amp;"生成成长"),3))*(VLOOKUP($B$5,标准坦克设计!$B$14:$K$20,9)/30))</f>
        <v>39.750887674584504</v>
      </c>
      <c r="CS80" s="173">
        <f ca="1">(VLOOKUP(CS$72,INDIRECT($C$5&amp;"生成成长"),2))/((VLOOKUP($B80,INDIRECT($B$5&amp;"生成成长"),4))/(VLOOKUP(CS$72,INDIRECT($C$5&amp;"生成成长"),5))*(VLOOKUP($B$5,标准坦克设计!$B$24:$U$30,MATCH("对"&amp;LEFT($C$5,2)&amp;"输出",标准坦克设计!$B$23:$U$23,0)))*(VLOOKUP($B80,INDIRECT($B$5&amp;"生成成长"),3))*(VLOOKUP($B$5,标准坦克设计!$B$14:$K$20,9)/30))</f>
        <v>42.982578067473362</v>
      </c>
      <c r="CT80" s="173">
        <f ca="1">(VLOOKUP(CT$72,INDIRECT($C$5&amp;"生成成长"),2))/((VLOOKUP($B80,INDIRECT($B$5&amp;"生成成长"),4))/(VLOOKUP(CT$72,INDIRECT($C$5&amp;"生成成长"),5))*(VLOOKUP($B$5,标准坦克设计!$B$24:$U$30,MATCH("对"&amp;LEFT($C$5,2)&amp;"输出",标准坦克设计!$B$23:$U$23,0)))*(VLOOKUP($B80,INDIRECT($B$5&amp;"生成成长"),3))*(VLOOKUP($B$5,标准坦克设计!$B$14:$K$20,9)/30))</f>
        <v>46.340551211061253</v>
      </c>
      <c r="CU80" s="173">
        <f ca="1">(VLOOKUP(CU$72,INDIRECT($C$5&amp;"生成成长"),2))/((VLOOKUP($B80,INDIRECT($B$5&amp;"生成成长"),4))/(VLOOKUP(CU$72,INDIRECT($C$5&amp;"生成成长"),5))*(VLOOKUP($B$5,标准坦克设计!$B$24:$U$30,MATCH("对"&amp;LEFT($C$5,2)&amp;"输出",标准坦克设计!$B$23:$U$23,0)))*(VLOOKUP($B80,INDIRECT($B$5&amp;"生成成长"),3))*(VLOOKUP($B$5,标准坦克设计!$B$14:$K$20,9)/30))</f>
        <v>49.824807105348185</v>
      </c>
      <c r="CV80" s="173">
        <f ca="1">(VLOOKUP(CV$72,INDIRECT($C$5&amp;"生成成长"),2))/((VLOOKUP($B80,INDIRECT($B$5&amp;"生成成长"),4))/(VLOOKUP(CV$72,INDIRECT($C$5&amp;"生成成长"),5))*(VLOOKUP($B$5,标准坦克设计!$B$24:$U$30,MATCH("对"&amp;LEFT($C$5,2)&amp;"输出",标准坦克设计!$B$23:$U$23,0)))*(VLOOKUP($B80,INDIRECT($B$5&amp;"生成成长"),3))*(VLOOKUP($B$5,标准坦克设计!$B$14:$K$20,9)/30))</f>
        <v>53.435345750334143</v>
      </c>
      <c r="CW80" s="173">
        <f ca="1">(VLOOKUP(CW$72,INDIRECT($C$5&amp;"生成成长"),2))/((VLOOKUP($B80,INDIRECT($B$5&amp;"生成成长"),4))/(VLOOKUP(CW$72,INDIRECT($C$5&amp;"生成成长"),5))*(VLOOKUP($B$5,标准坦克设计!$B$24:$U$30,MATCH("对"&amp;LEFT($C$5,2)&amp;"输出",标准坦克设计!$B$23:$U$23,0)))*(VLOOKUP($B80,INDIRECT($B$5&amp;"生成成长"),3))*(VLOOKUP($B$5,标准坦克设计!$B$14:$K$20,9)/30))</f>
        <v>57.17216714601912</v>
      </c>
      <c r="CX80" s="173">
        <f ca="1">(VLOOKUP(CX$72,INDIRECT($C$5&amp;"生成成长"),2))/((VLOOKUP($B80,INDIRECT($B$5&amp;"生成成长"),4))/(VLOOKUP(CX$72,INDIRECT($C$5&amp;"生成成长"),5))*(VLOOKUP($B$5,标准坦克设计!$B$24:$U$30,MATCH("对"&amp;LEFT($C$5,2)&amp;"输出",标准坦克设计!$B$23:$U$23,0)))*(VLOOKUP($B80,INDIRECT($B$5&amp;"生成成长"),3))*(VLOOKUP($B$5,标准坦克设计!$B$14:$K$20,9)/30))</f>
        <v>61.035271292403145</v>
      </c>
      <c r="CY80" s="173">
        <f ca="1">(VLOOKUP(CY$72,INDIRECT($C$5&amp;"生成成长"),2))/((VLOOKUP($B80,INDIRECT($B$5&amp;"生成成长"),4))/(VLOOKUP(CY$72,INDIRECT($C$5&amp;"生成成长"),5))*(VLOOKUP($B$5,标准坦克设计!$B$24:$U$30,MATCH("对"&amp;LEFT($C$5,2)&amp;"输出",标准坦克设计!$B$23:$U$23,0)))*(VLOOKUP($B80,INDIRECT($B$5&amp;"生成成长"),3))*(VLOOKUP($B$5,标准坦克设计!$B$14:$K$20,9)/30))</f>
        <v>65.024658189486189</v>
      </c>
      <c r="CZ80" s="173">
        <f ca="1">(VLOOKUP(CZ$72,INDIRECT($C$5&amp;"生成成长"),2))/((VLOOKUP($B80,INDIRECT($B$5&amp;"生成成长"),4))/(VLOOKUP(CZ$72,INDIRECT($C$5&amp;"生成成长"),5))*(VLOOKUP($B$5,标准坦克设计!$B$24:$U$30,MATCH("对"&amp;LEFT($C$5,2)&amp;"输出",标准坦克设计!$B$23:$U$23,0)))*(VLOOKUP($B80,INDIRECT($B$5&amp;"生成成长"),3))*(VLOOKUP($B$5,标准坦克设计!$B$14:$K$20,9)/30))</f>
        <v>69.140327837268288</v>
      </c>
      <c r="DA80" s="173">
        <f ca="1">(VLOOKUP(DA$72,INDIRECT($C$5&amp;"生成成长"),2))/((VLOOKUP($B80,INDIRECT($B$5&amp;"生成成长"),4))/(VLOOKUP(DA$72,INDIRECT($C$5&amp;"生成成长"),5))*(VLOOKUP($B$5,标准坦克设计!$B$24:$U$30,MATCH("对"&amp;LEFT($C$5,2)&amp;"输出",标准坦克设计!$B$23:$U$23,0)))*(VLOOKUP($B80,INDIRECT($B$5&amp;"生成成长"),3))*(VLOOKUP($B$5,标准坦克设计!$B$14:$K$20,9)/30))</f>
        <v>73.382280235749406</v>
      </c>
      <c r="DB80" s="173">
        <f ca="1">(VLOOKUP(DB$72,INDIRECT($C$5&amp;"生成成长"),2))/((VLOOKUP($B80,INDIRECT($B$5&amp;"生成成长"),4))/(VLOOKUP(DB$72,INDIRECT($C$5&amp;"生成成长"),5))*(VLOOKUP($B$5,标准坦克设计!$B$24:$U$30,MATCH("对"&amp;LEFT($C$5,2)&amp;"输出",标准坦克设计!$B$23:$U$23,0)))*(VLOOKUP($B80,INDIRECT($B$5&amp;"生成成长"),3))*(VLOOKUP($B$5,标准坦克设计!$B$14:$K$20,9)/30))</f>
        <v>77.750515384929528</v>
      </c>
      <c r="DC80" s="173">
        <f ca="1">(VLOOKUP(DC$72,INDIRECT($C$5&amp;"生成成长"),2))/((VLOOKUP($B80,INDIRECT($B$5&amp;"生成成长"),4))/(VLOOKUP(DC$72,INDIRECT($C$5&amp;"生成成长"),5))*(VLOOKUP($B$5,标准坦克设计!$B$24:$U$30,MATCH("对"&amp;LEFT($C$5,2)&amp;"输出",标准坦克设计!$B$23:$U$23,0)))*(VLOOKUP($B80,INDIRECT($B$5&amp;"生成成长"),3))*(VLOOKUP($B$5,标准坦克设计!$B$14:$K$20,9)/30))</f>
        <v>82.659887775741481</v>
      </c>
      <c r="DD80" s="173">
        <f ca="1">(VLOOKUP(DD$72,INDIRECT($C$5&amp;"生成成长"),2))/((VLOOKUP($B80,INDIRECT($B$5&amp;"生成成长"),4))/(VLOOKUP(DD$72,INDIRECT($C$5&amp;"生成成长"),5))*(VLOOKUP($B$5,标准坦克设计!$B$24:$U$30,MATCH("对"&amp;LEFT($C$5,2)&amp;"输出",标准坦克设计!$B$23:$U$23,0)))*(VLOOKUP($B80,INDIRECT($B$5&amp;"生成成长"),3))*(VLOOKUP($B$5,标准坦克设计!$B$14:$K$20,9)/30))</f>
        <v>87.719547076476246</v>
      </c>
      <c r="DE80" s="173">
        <f ca="1">(VLOOKUP(DE$72,INDIRECT($C$5&amp;"生成成长"),2))/((VLOOKUP($B80,INDIRECT($B$5&amp;"生成成长"),4))/(VLOOKUP(DE$72,INDIRECT($C$5&amp;"生成成长"),5))*(VLOOKUP($B$5,标准坦克设计!$B$24:$U$30,MATCH("对"&amp;LEFT($C$5,2)&amp;"输出",标准坦克设计!$B$23:$U$23,0)))*(VLOOKUP($B80,INDIRECT($B$5&amp;"生成成长"),3))*(VLOOKUP($B$5,标准坦克设计!$B$14:$K$20,9)/30))</f>
        <v>92.929493287133823</v>
      </c>
      <c r="DF80" s="173">
        <f ca="1">(VLOOKUP(DF$72,INDIRECT($C$5&amp;"生成成长"),2))/((VLOOKUP($B80,INDIRECT($B$5&amp;"生成成长"),4))/(VLOOKUP(DF$72,INDIRECT($C$5&amp;"生成成长"),5))*(VLOOKUP($B$5,标准坦克设计!$B$24:$U$30,MATCH("对"&amp;LEFT($C$5,2)&amp;"输出",标准坦克设计!$B$23:$U$23,0)))*(VLOOKUP($B80,INDIRECT($B$5&amp;"生成成长"),3))*(VLOOKUP($B$5,标准坦克设计!$B$14:$K$20,9)/30))</f>
        <v>98.289726407714241</v>
      </c>
      <c r="DG80" s="173">
        <f ca="1">(VLOOKUP(DG$72,INDIRECT($C$5&amp;"生成成长"),2))/((VLOOKUP($B80,INDIRECT($B$5&amp;"生成成长"),4))/(VLOOKUP(DG$72,INDIRECT($C$5&amp;"生成成长"),5))*(VLOOKUP($B$5,标准坦克设计!$B$24:$U$30,MATCH("对"&amp;LEFT($C$5,2)&amp;"输出",标准坦克设计!$B$23:$U$23,0)))*(VLOOKUP($B80,INDIRECT($B$5&amp;"生成成长"),3))*(VLOOKUP($B$5,标准坦克设计!$B$14:$K$20,9)/30))</f>
        <v>103.80024643821743</v>
      </c>
      <c r="DH80" s="173">
        <f ca="1">(VLOOKUP(DH$72,INDIRECT($C$5&amp;"生成成长"),2))/((VLOOKUP($B80,INDIRECT($B$5&amp;"生成成长"),4))/(VLOOKUP(DH$72,INDIRECT($C$5&amp;"生成成长"),5))*(VLOOKUP($B$5,标准坦克设计!$B$24:$U$30,MATCH("对"&amp;LEFT($C$5,2)&amp;"输出",标准坦克设计!$B$23:$U$23,0)))*(VLOOKUP($B80,INDIRECT($B$5&amp;"生成成长"),3))*(VLOOKUP($B$5,标准坦克设计!$B$14:$K$20,9)/30))</f>
        <v>109.46105337864344</v>
      </c>
      <c r="DI80" s="173">
        <f ca="1">(VLOOKUP(DI$72,INDIRECT($C$5&amp;"生成成长"),2))/((VLOOKUP($B80,INDIRECT($B$5&amp;"生成成长"),4))/(VLOOKUP(DI$72,INDIRECT($C$5&amp;"生成成长"),5))*(VLOOKUP($B$5,标准坦克设计!$B$24:$U$30,MATCH("对"&amp;LEFT($C$5,2)&amp;"输出",标准坦克设计!$B$23:$U$23,0)))*(VLOOKUP($B80,INDIRECT($B$5&amp;"生成成长"),3))*(VLOOKUP($B$5,标准坦克设计!$B$14:$K$20,9)/30))</f>
        <v>115.2721472289923</v>
      </c>
      <c r="DJ80" s="173">
        <f ca="1">(VLOOKUP(DJ$72,INDIRECT($C$5&amp;"生成成长"),2))/((VLOOKUP($B80,INDIRECT($B$5&amp;"生成成长"),4))/(VLOOKUP(DJ$72,INDIRECT($C$5&amp;"生成成长"),5))*(VLOOKUP($B$5,标准坦克设计!$B$24:$U$30,MATCH("对"&amp;LEFT($C$5,2)&amp;"输出",标准坦克设计!$B$23:$U$23,0)))*(VLOOKUP($B80,INDIRECT($B$5&amp;"生成成长"),3))*(VLOOKUP($B$5,标准坦克设计!$B$14:$K$20,9)/30))</f>
        <v>11.585137802765313</v>
      </c>
      <c r="DK80" s="173">
        <f ca="1">(VLOOKUP(DK$72,INDIRECT($C$5&amp;"生成成长"),2))/((VLOOKUP($B80,INDIRECT($B$5&amp;"生成成长"),4))/(VLOOKUP(DK$72,INDIRECT($C$5&amp;"生成成长"),5))*(VLOOKUP($B$5,标准坦克设计!$B$24:$U$30,MATCH("对"&amp;LEFT($C$5,2)&amp;"输出",标准坦克设计!$B$23:$U$23,0)))*(VLOOKUP($B80,INDIRECT($B$5&amp;"生成成长"),3))*(VLOOKUP($B$5,标准坦克设计!$B$14:$K$20,9)/30))</f>
        <v>13.026952844837316</v>
      </c>
      <c r="DL80" s="173">
        <f ca="1">(VLOOKUP(DL$72,INDIRECT($C$5&amp;"生成成长"),2))/((VLOOKUP($B80,INDIRECT($B$5&amp;"生成成长"),4))/(VLOOKUP(DL$72,INDIRECT($C$5&amp;"生成成长"),5))*(VLOOKUP($B$5,标准坦克设计!$B$24:$U$30,MATCH("对"&amp;LEFT($C$5,2)&amp;"输出",标准坦克设计!$B$23:$U$23,0)))*(VLOOKUP($B80,INDIRECT($B$5&amp;"生成成长"),3))*(VLOOKUP($B$5,标准坦克设计!$B$14:$K$20,9)/30))</f>
        <v>14.553304273740904</v>
      </c>
      <c r="DM80" s="173">
        <f ca="1">(VLOOKUP(DM$72,INDIRECT($C$5&amp;"生成成长"),2))/((VLOOKUP($B80,INDIRECT($B$5&amp;"生成成长"),4))/(VLOOKUP(DM$72,INDIRECT($C$5&amp;"生成成长"),5))*(VLOOKUP($B$5,标准坦克设计!$B$24:$U$30,MATCH("对"&amp;LEFT($C$5,2)&amp;"输出",标准坦克设计!$B$23:$U$23,0)))*(VLOOKUP($B80,INDIRECT($B$5&amp;"生成成长"),3))*(VLOOKUP($B$5,标准坦克设计!$B$14:$K$20,9)/30))</f>
        <v>16.164192089476074</v>
      </c>
      <c r="DN80" s="173">
        <f ca="1">(VLOOKUP(DN$72,INDIRECT($C$5&amp;"生成成长"),2))/((VLOOKUP($B80,INDIRECT($B$5&amp;"生成成长"),4))/(VLOOKUP(DN$72,INDIRECT($C$5&amp;"生成成长"),5))*(VLOOKUP($B$5,标准坦克设计!$B$24:$U$30,MATCH("对"&amp;LEFT($C$5,2)&amp;"输出",标准坦克设计!$B$23:$U$23,0)))*(VLOOKUP($B80,INDIRECT($B$5&amp;"生成成长"),3))*(VLOOKUP($B$5,标准坦克设计!$B$14:$K$20,9)/30))</f>
        <v>17.85961629204283</v>
      </c>
      <c r="DO80" s="173">
        <f ca="1">(VLOOKUP(DO$72,INDIRECT($C$5&amp;"生成成长"),2))/((VLOOKUP($B80,INDIRECT($B$5&amp;"生成成长"),4))/(VLOOKUP(DO$72,INDIRECT($C$5&amp;"生成成长"),5))*(VLOOKUP($B$5,标准坦克设计!$B$24:$U$30,MATCH("对"&amp;LEFT($C$5,2)&amp;"输出",标准坦克设计!$B$23:$U$23,0)))*(VLOOKUP($B80,INDIRECT($B$5&amp;"生成成长"),3))*(VLOOKUP($B$5,标准坦克设计!$B$14:$K$20,9)/30))</f>
        <v>19.639576881441169</v>
      </c>
      <c r="DP80" s="173">
        <f ca="1">(VLOOKUP(DP$72,INDIRECT($C$5&amp;"生成成长"),2))/((VLOOKUP($B80,INDIRECT($B$5&amp;"生成成长"),4))/(VLOOKUP(DP$72,INDIRECT($C$5&amp;"生成成长"),5))*(VLOOKUP($B$5,标准坦克设计!$B$24:$U$30,MATCH("对"&amp;LEFT($C$5,2)&amp;"输出",标准坦克设计!$B$23:$U$23,0)))*(VLOOKUP($B80,INDIRECT($B$5&amp;"生成成长"),3))*(VLOOKUP($B$5,标准坦克设计!$B$14:$K$20,9)/30))</f>
        <v>21.504073857671084</v>
      </c>
      <c r="DQ80" s="173">
        <f ca="1">(VLOOKUP(DQ$72,INDIRECT($C$5&amp;"生成成长"),2))/((VLOOKUP($B80,INDIRECT($B$5&amp;"生成成长"),4))/(VLOOKUP(DQ$72,INDIRECT($C$5&amp;"生成成长"),5))*(VLOOKUP($B$5,标准坦克设计!$B$24:$U$30,MATCH("对"&amp;LEFT($C$5,2)&amp;"输出",标准坦克设计!$B$23:$U$23,0)))*(VLOOKUP($B80,INDIRECT($B$5&amp;"生成成长"),3))*(VLOOKUP($B$5,标准坦克设计!$B$14:$K$20,9)/30))</f>
        <v>23.453107220732594</v>
      </c>
      <c r="DR80" s="173">
        <f ca="1">(VLOOKUP(DR$72,INDIRECT($C$5&amp;"生成成长"),2))/((VLOOKUP($B80,INDIRECT($B$5&amp;"生成成长"),4))/(VLOOKUP(DR$72,INDIRECT($C$5&amp;"生成成长"),5))*(VLOOKUP($B$5,标准坦克设计!$B$24:$U$30,MATCH("对"&amp;LEFT($C$5,2)&amp;"输出",标准坦克设计!$B$23:$U$23,0)))*(VLOOKUP($B80,INDIRECT($B$5&amp;"生成成长"),3))*(VLOOKUP($B$5,标准坦克设计!$B$14:$K$20,9)/30))</f>
        <v>25.48667697062568</v>
      </c>
      <c r="DS80" s="173">
        <f ca="1">(VLOOKUP(DS$72,INDIRECT($C$5&amp;"生成成长"),2))/((VLOOKUP($B80,INDIRECT($B$5&amp;"生成成长"),4))/(VLOOKUP(DS$72,INDIRECT($C$5&amp;"生成成长"),5))*(VLOOKUP($B$5,标准坦克设计!$B$24:$U$30,MATCH("对"&amp;LEFT($C$5,2)&amp;"输出",标准坦克设计!$B$23:$U$23,0)))*(VLOOKUP($B80,INDIRECT($B$5&amp;"生成成长"),3))*(VLOOKUP($B$5,标准坦克设计!$B$14:$K$20,9)/30))</f>
        <v>27.604783107350347</v>
      </c>
      <c r="DT80" s="173">
        <f ca="1">(VLOOKUP(DT$72,INDIRECT($C$5&amp;"生成成长"),2))/((VLOOKUP($B80,INDIRECT($B$5&amp;"生成成长"),4))/(VLOOKUP(DT$72,INDIRECT($C$5&amp;"生成成长"),5))*(VLOOKUP($B$5,标准坦克设计!$B$24:$U$30,MATCH("对"&amp;LEFT($C$5,2)&amp;"输出",标准坦克设计!$B$23:$U$23,0)))*(VLOOKUP($B80,INDIRECT($B$5&amp;"生成成长"),3))*(VLOOKUP($B$5,标准坦克设计!$B$14:$K$20,9)/30))</f>
        <v>30.308381997315983</v>
      </c>
      <c r="DU80" s="173">
        <f ca="1">(VLOOKUP(DU$72,INDIRECT($C$5&amp;"生成成长"),2))/((VLOOKUP($B80,INDIRECT($B$5&amp;"生成成长"),4))/(VLOOKUP(DU$72,INDIRECT($C$5&amp;"生成成长"),5))*(VLOOKUP($B$5,标准坦克设计!$B$24:$U$30,MATCH("对"&amp;LEFT($C$5,2)&amp;"输出",标准坦克设计!$B$23:$U$23,0)))*(VLOOKUP($B80,INDIRECT($B$5&amp;"生成成长"),3))*(VLOOKUP($B$5,标准坦克设计!$B$14:$K$20,9)/30))</f>
        <v>33.138263637980657</v>
      </c>
      <c r="DV80" s="173">
        <f ca="1">(VLOOKUP(DV$72,INDIRECT($C$5&amp;"生成成长"),2))/((VLOOKUP($B80,INDIRECT($B$5&amp;"生成成长"),4))/(VLOOKUP(DV$72,INDIRECT($C$5&amp;"生成成长"),5))*(VLOOKUP($B$5,标准坦克设计!$B$24:$U$30,MATCH("对"&amp;LEFT($C$5,2)&amp;"输出",标准坦克设计!$B$23:$U$23,0)))*(VLOOKUP($B80,INDIRECT($B$5&amp;"生成成长"),3))*(VLOOKUP($B$5,标准坦克设计!$B$14:$K$20,9)/30))</f>
        <v>36.094428029344364</v>
      </c>
      <c r="DW80" s="173">
        <f ca="1">(VLOOKUP(DW$72,INDIRECT($C$5&amp;"生成成长"),2))/((VLOOKUP($B80,INDIRECT($B$5&amp;"生成成长"),4))/(VLOOKUP(DW$72,INDIRECT($C$5&amp;"生成成长"),5))*(VLOOKUP($B$5,标准坦克设计!$B$24:$U$30,MATCH("对"&amp;LEFT($C$5,2)&amp;"输出",标准坦克设计!$B$23:$U$23,0)))*(VLOOKUP($B80,INDIRECT($B$5&amp;"生成成长"),3))*(VLOOKUP($B$5,标准坦克设计!$B$14:$K$20,9)/30))</f>
        <v>39.17687517140709</v>
      </c>
      <c r="DX80" s="173">
        <f ca="1">(VLOOKUP(DX$72,INDIRECT($C$5&amp;"生成成长"),2))/((VLOOKUP($B80,INDIRECT($B$5&amp;"生成成长"),4))/(VLOOKUP(DX$72,INDIRECT($C$5&amp;"生成成长"),5))*(VLOOKUP($B$5,标准坦克设计!$B$24:$U$30,MATCH("对"&amp;LEFT($C$5,2)&amp;"输出",标准坦克设计!$B$23:$U$23,0)))*(VLOOKUP($B80,INDIRECT($B$5&amp;"生成成长"),3))*(VLOOKUP($B$5,标准坦克设计!$B$14:$K$20,9)/30))</f>
        <v>42.38560506416885</v>
      </c>
      <c r="DY80" s="173">
        <f ca="1">(VLOOKUP(DY$72,INDIRECT($C$5&amp;"生成成长"),2))/((VLOOKUP($B80,INDIRECT($B$5&amp;"生成成长"),4))/(VLOOKUP(DY$72,INDIRECT($C$5&amp;"生成成长"),5))*(VLOOKUP($B$5,标准坦克设计!$B$24:$U$30,MATCH("对"&amp;LEFT($C$5,2)&amp;"输出",标准坦克设计!$B$23:$U$23,0)))*(VLOOKUP($B80,INDIRECT($B$5&amp;"生成成长"),3))*(VLOOKUP($B$5,标准坦克设计!$B$14:$K$20,9)/30))</f>
        <v>19.036863753104882</v>
      </c>
      <c r="DZ80" s="173">
        <f ca="1">(VLOOKUP(DZ$72,INDIRECT($C$5&amp;"生成成长"),2))/((VLOOKUP($B80,INDIRECT($B$5&amp;"生成成长"),4))/(VLOOKUP(DZ$72,INDIRECT($C$5&amp;"生成成长"),5))*(VLOOKUP($B$5,标准坦克设计!$B$24:$U$30,MATCH("对"&amp;LEFT($C$5,2)&amp;"输出",标准坦克设计!$B$23:$U$23,0)))*(VLOOKUP($B80,INDIRECT($B$5&amp;"生成成长"),3))*(VLOOKUP($B$5,标准坦克设计!$B$14:$K$20,9)/30))</f>
        <v>21.082435582609854</v>
      </c>
      <c r="EA80" s="173">
        <f ca="1">(VLOOKUP(EA$72,INDIRECT($C$5&amp;"生成成长"),2))/((VLOOKUP($B80,INDIRECT($B$5&amp;"生成成长"),4))/(VLOOKUP(EA$72,INDIRECT($C$5&amp;"生成成长"),5))*(VLOOKUP($B$5,标准坦克设计!$B$24:$U$30,MATCH("对"&amp;LEFT($C$5,2)&amp;"输出",标准坦克设计!$B$23:$U$23,0)))*(VLOOKUP($B80,INDIRECT($B$5&amp;"生成成长"),3))*(VLOOKUP($B$5,标准坦克设计!$B$14:$K$20,9)/30))</f>
        <v>23.232373321783456</v>
      </c>
      <c r="EB80" s="173">
        <f ca="1">(VLOOKUP(EB$72,INDIRECT($C$5&amp;"生成成长"),2))/((VLOOKUP($B80,INDIRECT($B$5&amp;"生成成长"),4))/(VLOOKUP(EB$72,INDIRECT($C$5&amp;"生成成长"),5))*(VLOOKUP($B$5,标准坦克设计!$B$24:$U$30,MATCH("对"&amp;LEFT($C$5,2)&amp;"输出",标准坦克设计!$B$23:$U$23,0)))*(VLOOKUP($B80,INDIRECT($B$5&amp;"生成成长"),3))*(VLOOKUP($B$5,标准坦克设计!$B$14:$K$20,9)/30))</f>
        <v>25.48667697062568</v>
      </c>
      <c r="EC80" s="173">
        <f ca="1">(VLOOKUP(EC$72,INDIRECT($C$5&amp;"生成成长"),2))/((VLOOKUP($B80,INDIRECT($B$5&amp;"生成成长"),4))/(VLOOKUP(EC$72,INDIRECT($C$5&amp;"生成成长"),5))*(VLOOKUP($B$5,标准坦克设计!$B$24:$U$30,MATCH("对"&amp;LEFT($C$5,2)&amp;"输出",标准坦克设计!$B$23:$U$23,0)))*(VLOOKUP($B80,INDIRECT($B$5&amp;"生成成长"),3))*(VLOOKUP($B$5,标准坦克设计!$B$14:$K$20,9)/30))</f>
        <v>27.845346529136528</v>
      </c>
      <c r="ED80" s="173">
        <f ca="1">(VLOOKUP(ED$72,INDIRECT($C$5&amp;"生成成长"),2))/((VLOOKUP($B80,INDIRECT($B$5&amp;"生成成长"),4))/(VLOOKUP(ED$72,INDIRECT($C$5&amp;"生成成长"),5))*(VLOOKUP($B$5,标准坦克设计!$B$24:$U$30,MATCH("对"&amp;LEFT($C$5,2)&amp;"输出",标准坦克设计!$B$23:$U$23,0)))*(VLOOKUP($B80,INDIRECT($B$5&amp;"生成成长"),3))*(VLOOKUP($B$5,标准坦克设计!$B$14:$K$20,9)/30))</f>
        <v>30.308381997315983</v>
      </c>
      <c r="EE80" s="173">
        <f ca="1">(VLOOKUP(EE$72,INDIRECT($C$5&amp;"生成成长"),2))/((VLOOKUP($B80,INDIRECT($B$5&amp;"生成成长"),4))/(VLOOKUP(EE$72,INDIRECT($C$5&amp;"生成成长"),5))*(VLOOKUP($B$5,标准坦克设计!$B$24:$U$30,MATCH("对"&amp;LEFT($C$5,2)&amp;"输出",标准坦克设计!$B$23:$U$23,0)))*(VLOOKUP($B80,INDIRECT($B$5&amp;"生成成长"),3))*(VLOOKUP($B$5,标准坦克设计!$B$14:$K$20,9)/30))</f>
        <v>32.875783375164076</v>
      </c>
      <c r="EF80" s="173">
        <f ca="1">(VLOOKUP(EF$72,INDIRECT($C$5&amp;"生成成长"),2))/((VLOOKUP($B80,INDIRECT($B$5&amp;"生成成长"),4))/(VLOOKUP(EF$72,INDIRECT($C$5&amp;"生成成长"),5))*(VLOOKUP($B$5,标准坦克设计!$B$24:$U$30,MATCH("对"&amp;LEFT($C$5,2)&amp;"输出",标准坦克设计!$B$23:$U$23,0)))*(VLOOKUP($B80,INDIRECT($B$5&amp;"生成成长"),3))*(VLOOKUP($B$5,标准坦克设计!$B$14:$K$20,9)/30))</f>
        <v>35.547550662680777</v>
      </c>
      <c r="EG80" s="173">
        <f ca="1">(VLOOKUP(EG$72,INDIRECT($C$5&amp;"生成成长"),2))/((VLOOKUP($B80,INDIRECT($B$5&amp;"生成成长"),4))/(VLOOKUP(EG$72,INDIRECT($C$5&amp;"生成成长"),5))*(VLOOKUP($B$5,标准坦克设计!$B$24:$U$30,MATCH("对"&amp;LEFT($C$5,2)&amp;"输出",标准坦克设计!$B$23:$U$23,0)))*(VLOOKUP($B80,INDIRECT($B$5&amp;"生成成长"),3))*(VLOOKUP($B$5,标准坦克设计!$B$14:$K$20,9)/30))</f>
        <v>38.323683859866108</v>
      </c>
      <c r="EH80" s="173">
        <f ca="1">(VLOOKUP(EH$72,INDIRECT($C$5&amp;"生成成长"),2))/((VLOOKUP($B80,INDIRECT($B$5&amp;"生成成长"),4))/(VLOOKUP(EH$72,INDIRECT($C$5&amp;"生成成长"),5))*(VLOOKUP($B$5,标准坦克设计!$B$24:$U$30,MATCH("对"&amp;LEFT($C$5,2)&amp;"输出",标准坦克设计!$B$23:$U$23,0)))*(VLOOKUP($B80,INDIRECT($B$5&amp;"生成成长"),3))*(VLOOKUP($B$5,标准坦克设计!$B$14:$K$20,9)/30))</f>
        <v>41.204182966720055</v>
      </c>
      <c r="EI80" s="173">
        <f ca="1">(VLOOKUP(EI$72,INDIRECT($C$5&amp;"生成成长"),2))/((VLOOKUP($B80,INDIRECT($B$5&amp;"生成成长"),4))/(VLOOKUP(EI$72,INDIRECT($C$5&amp;"生成成长"),5))*(VLOOKUP($B$5,标准坦克设计!$B$24:$U$30,MATCH("对"&amp;LEFT($C$5,2)&amp;"输出",标准坦克设计!$B$23:$U$23,0)))*(VLOOKUP($B80,INDIRECT($B$5&amp;"生成成长"),3))*(VLOOKUP($B$5,标准坦克设计!$B$14:$K$20,9)/30))</f>
        <v>44.189047983242624</v>
      </c>
      <c r="EJ80" s="173">
        <f ca="1">(VLOOKUP(EJ$72,INDIRECT($C$5&amp;"生成成长"),2))/((VLOOKUP($B80,INDIRECT($B$5&amp;"生成成长"),4))/(VLOOKUP(EJ$72,INDIRECT($C$5&amp;"生成成长"),5))*(VLOOKUP($B$5,标准坦克设计!$B$24:$U$30,MATCH("对"&amp;LEFT($C$5,2)&amp;"输出",标准坦克设计!$B$23:$U$23,0)))*(VLOOKUP($B80,INDIRECT($B$5&amp;"生成成长"),3))*(VLOOKUP($B$5,标准坦克设计!$B$14:$K$20,9)/30))</f>
        <v>47.27827890943383</v>
      </c>
      <c r="EK80" s="173">
        <f ca="1">(VLOOKUP(EK$72,INDIRECT($C$5&amp;"生成成长"),2))/((VLOOKUP($B80,INDIRECT($B$5&amp;"生成成长"),4))/(VLOOKUP(EK$72,INDIRECT($C$5&amp;"生成成长"),5))*(VLOOKUP($B$5,标准坦克设计!$B$24:$U$30,MATCH("对"&amp;LEFT($C$5,2)&amp;"输出",标准坦克设计!$B$23:$U$23,0)))*(VLOOKUP($B80,INDIRECT($B$5&amp;"生成成长"),3))*(VLOOKUP($B$5,标准坦克设计!$B$14:$K$20,9)/30))</f>
        <v>51.123119021625826</v>
      </c>
      <c r="EL80" s="173">
        <f ca="1">(VLOOKUP(EL$72,INDIRECT($C$5&amp;"生成成长"),2))/((VLOOKUP($B80,INDIRECT($B$5&amp;"生成成长"),4))/(VLOOKUP(EL$72,INDIRECT($C$5&amp;"生成成长"),5))*(VLOOKUP($B$5,标准坦克设计!$B$24:$U$30,MATCH("对"&amp;LEFT($C$5,2)&amp;"输出",标准坦克设计!$B$23:$U$23,0)))*(VLOOKUP($B80,INDIRECT($B$5&amp;"生成成长"),3))*(VLOOKUP($B$5,标准坦克设计!$B$14:$K$20,9)/30))</f>
        <v>55.118246043740662</v>
      </c>
      <c r="EM80" s="173">
        <f ca="1">(VLOOKUP(EM$72,INDIRECT($C$5&amp;"生成成长"),2))/((VLOOKUP($B80,INDIRECT($B$5&amp;"生成成长"),4))/(VLOOKUP(EM$72,INDIRECT($C$5&amp;"生成成长"),5))*(VLOOKUP($B$5,标准坦克设计!$B$24:$U$30,MATCH("对"&amp;LEFT($C$5,2)&amp;"输出",标准坦克设计!$B$23:$U$23,0)))*(VLOOKUP($B80,INDIRECT($B$5&amp;"生成成长"),3))*(VLOOKUP($B$5,标准坦克设计!$B$14:$K$20,9)/30))</f>
        <v>59.263659975778303</v>
      </c>
      <c r="EN80" s="173">
        <f ca="1">(VLOOKUP(EN$72,INDIRECT($C$5&amp;"生成成长"),2))/((VLOOKUP($B80,INDIRECT($B$5&amp;"生成成长"),4))/(VLOOKUP(EN$72,INDIRECT($C$5&amp;"生成成长"),5))*(VLOOKUP($B$5,标准坦克设计!$B$24:$U$30,MATCH("对"&amp;LEFT($C$5,2)&amp;"输出",标准坦克设计!$B$23:$U$23,0)))*(VLOOKUP($B80,INDIRECT($B$5&amp;"生成成长"),3))*(VLOOKUP($B$5,标准坦克设计!$B$14:$K$20,9)/30))</f>
        <v>63.559360817738749</v>
      </c>
      <c r="EO80" s="173">
        <f ca="1">(VLOOKUP(EO$72,INDIRECT($C$5&amp;"生成成长"),2))/((VLOOKUP($B80,INDIRECT($B$5&amp;"生成成长"),4))/(VLOOKUP(EO$72,INDIRECT($C$5&amp;"生成成长"),5))*(VLOOKUP($B$5,标准坦克设计!$B$24:$U$30,MATCH("对"&amp;LEFT($C$5,2)&amp;"输出",标准坦克设计!$B$23:$U$23,0)))*(VLOOKUP($B80,INDIRECT($B$5&amp;"生成成长"),3))*(VLOOKUP($B$5,标准坦克设计!$B$14:$K$20,9)/30))</f>
        <v>68.005348569622015</v>
      </c>
      <c r="EP80" s="173">
        <f ca="1">(VLOOKUP(EP$72,INDIRECT($C$5&amp;"生成成长"),2))/((VLOOKUP($B80,INDIRECT($B$5&amp;"生成成长"),4))/(VLOOKUP(EP$72,INDIRECT($C$5&amp;"生成成长"),5))*(VLOOKUP($B$5,标准坦克设计!$B$24:$U$30,MATCH("对"&amp;LEFT($C$5,2)&amp;"输出",标准坦克设计!$B$23:$U$23,0)))*(VLOOKUP($B80,INDIRECT($B$5&amp;"生成成长"),3))*(VLOOKUP($B$5,标准坦克设计!$B$14:$K$20,9)/30))</f>
        <v>72.601623231428107</v>
      </c>
      <c r="EQ80" s="173">
        <f ca="1">(VLOOKUP(EQ$72,INDIRECT($C$5&amp;"生成成长"),2))/((VLOOKUP($B80,INDIRECT($B$5&amp;"生成成长"),4))/(VLOOKUP(EQ$72,INDIRECT($C$5&amp;"生成成长"),5))*(VLOOKUP($B$5,标准坦克设计!$B$24:$U$30,MATCH("对"&amp;LEFT($C$5,2)&amp;"输出",标准坦克设计!$B$23:$U$23,0)))*(VLOOKUP($B80,INDIRECT($B$5&amp;"生成成长"),3))*(VLOOKUP($B$5,标准坦克设计!$B$14:$K$20,9)/30))</f>
        <v>32.094604541294437</v>
      </c>
      <c r="ER80" s="173">
        <f ca="1">(VLOOKUP(ER$72,INDIRECT($C$5&amp;"生成成长"),2))/((VLOOKUP($B80,INDIRECT($B$5&amp;"生成成长"),4))/(VLOOKUP(ER$72,INDIRECT($C$5&amp;"生成成长"),5))*(VLOOKUP($B$5,标准坦克设计!$B$24:$U$30,MATCH("对"&amp;LEFT($C$5,2)&amp;"输出",标准坦克设计!$B$23:$U$23,0)))*(VLOOKUP($B80,INDIRECT($B$5&amp;"生成成长"),3))*(VLOOKUP($B$5,标准坦克设计!$B$14:$K$20,9)/30))</f>
        <v>35.004847932403948</v>
      </c>
      <c r="ES80" s="173">
        <f ca="1">(VLOOKUP(ES$72,INDIRECT($C$5&amp;"生成成长"),2))/((VLOOKUP($B80,INDIRECT($B$5&amp;"生成成长"),4))/(VLOOKUP(ES$72,INDIRECT($C$5&amp;"生成成长"),5))*(VLOOKUP($B$5,标准坦克设计!$B$24:$U$30,MATCH("对"&amp;LEFT($C$5,2)&amp;"输出",标准坦克设计!$B$23:$U$23,0)))*(VLOOKUP($B80,INDIRECT($B$5&amp;"生成成长"),3))*(VLOOKUP($B$5,标准坦克设计!$B$14:$K$20,9)/30))</f>
        <v>38.041374074212477</v>
      </c>
      <c r="ET80" s="173">
        <f ca="1">(VLOOKUP(ET$72,INDIRECT($C$5&amp;"生成成长"),2))/((VLOOKUP($B80,INDIRECT($B$5&amp;"生成成长"),4))/(VLOOKUP(ET$72,INDIRECT($C$5&amp;"生成成长"),5))*(VLOOKUP($B$5,标准坦克设计!$B$24:$U$30,MATCH("对"&amp;LEFT($C$5,2)&amp;"输出",标准坦克设计!$B$23:$U$23,0)))*(VLOOKUP($B80,INDIRECT($B$5&amp;"生成成长"),3))*(VLOOKUP($B$5,标准坦克设计!$B$14:$K$20,9)/30))</f>
        <v>41.204182966720055</v>
      </c>
      <c r="EU80" s="173">
        <f ca="1">(VLOOKUP(EU$72,INDIRECT($C$5&amp;"生成成长"),2))/((VLOOKUP($B80,INDIRECT($B$5&amp;"生成成长"),4))/(VLOOKUP(EU$72,INDIRECT($C$5&amp;"生成成长"),5))*(VLOOKUP($B$5,标准坦克设计!$B$24:$U$30,MATCH("对"&amp;LEFT($C$5,2)&amp;"输出",标准坦克设计!$B$23:$U$23,0)))*(VLOOKUP($B80,INDIRECT($B$5&amp;"生成成长"),3))*(VLOOKUP($B$5,标准坦克设计!$B$14:$K$20,9)/30))</f>
        <v>44.493274609926658</v>
      </c>
      <c r="EV80" s="173">
        <f ca="1">(VLOOKUP(EV$72,INDIRECT($C$5&amp;"生成成长"),2))/((VLOOKUP($B80,INDIRECT($B$5&amp;"生成成长"),4))/(VLOOKUP(EV$72,INDIRECT($C$5&amp;"生成成长"),5))*(VLOOKUP($B$5,标准坦克设计!$B$24:$U$30,MATCH("对"&amp;LEFT($C$5,2)&amp;"输出",标准坦克设计!$B$23:$U$23,0)))*(VLOOKUP($B80,INDIRECT($B$5&amp;"生成成长"),3))*(VLOOKUP($B$5,标准坦克设计!$B$14:$K$20,9)/30))</f>
        <v>47.908649003832295</v>
      </c>
      <c r="EW80" s="173">
        <f ca="1">(VLOOKUP(EW$72,INDIRECT($C$5&amp;"生成成长"),2))/((VLOOKUP($B80,INDIRECT($B$5&amp;"生成成长"),4))/(VLOOKUP(EW$72,INDIRECT($C$5&amp;"生成成长"),5))*(VLOOKUP($B$5,标准坦克设计!$B$24:$U$30,MATCH("对"&amp;LEFT($C$5,2)&amp;"输出",标准坦克设计!$B$23:$U$23,0)))*(VLOOKUP($B80,INDIRECT($B$5&amp;"生成成长"),3))*(VLOOKUP($B$5,标准坦克设计!$B$14:$K$20,9)/30))</f>
        <v>51.450306148436951</v>
      </c>
      <c r="EX80" s="173">
        <f ca="1">(VLOOKUP(EX$72,INDIRECT($C$5&amp;"生成成长"),2))/((VLOOKUP($B80,INDIRECT($B$5&amp;"生成成长"),4))/(VLOOKUP(EX$72,INDIRECT($C$5&amp;"生成成长"),5))*(VLOOKUP($B$5,标准坦克设计!$B$24:$U$30,MATCH("对"&amp;LEFT($C$5,2)&amp;"输出",标准坦克设计!$B$23:$U$23,0)))*(VLOOKUP($B80,INDIRECT($B$5&amp;"生成成长"),3))*(VLOOKUP($B$5,标准坦克设计!$B$14:$K$20,9)/30))</f>
        <v>55.118246043740662</v>
      </c>
      <c r="EY80" s="173">
        <f ca="1">(VLOOKUP(EY$72,INDIRECT($C$5&amp;"生成成长"),2))/((VLOOKUP($B80,INDIRECT($B$5&amp;"生成成长"),4))/(VLOOKUP(EY$72,INDIRECT($C$5&amp;"生成成长"),5))*(VLOOKUP($B$5,标准坦克设计!$B$24:$U$30,MATCH("对"&amp;LEFT($C$5,2)&amp;"输出",标准坦克设计!$B$23:$U$23,0)))*(VLOOKUP($B80,INDIRECT($B$5&amp;"生成成长"),3))*(VLOOKUP($B$5,标准坦克设计!$B$14:$K$20,9)/30))</f>
        <v>58.912468689743385</v>
      </c>
      <c r="EZ80" s="173">
        <f ca="1">(VLOOKUP(EZ$72,INDIRECT($C$5&amp;"生成成长"),2))/((VLOOKUP($B80,INDIRECT($B$5&amp;"生成成长"),4))/(VLOOKUP(EZ$72,INDIRECT($C$5&amp;"生成成长"),5))*(VLOOKUP($B$5,标准坦克设计!$B$24:$U$30,MATCH("对"&amp;LEFT($C$5,2)&amp;"输出",标准坦克设计!$B$23:$U$23,0)))*(VLOOKUP($B80,INDIRECT($B$5&amp;"生成成长"),3))*(VLOOKUP($B$5,标准坦克设计!$B$14:$K$20,9)/30))</f>
        <v>62.832974086445148</v>
      </c>
      <c r="FA80" s="173">
        <f ca="1">(VLOOKUP(FA$72,INDIRECT($C$5&amp;"生成成长"),2))/((VLOOKUP($B80,INDIRECT($B$5&amp;"生成成长"),4))/(VLOOKUP(FA$72,INDIRECT($C$5&amp;"生成成长"),5))*(VLOOKUP($B$5,标准坦克设计!$B$24:$U$30,MATCH("对"&amp;LEFT($C$5,2)&amp;"输出",标准坦克设计!$B$23:$U$23,0)))*(VLOOKUP($B80,INDIRECT($B$5&amp;"生成成长"),3))*(VLOOKUP($B$5,标准坦克设计!$B$14:$K$20,9)/30))</f>
        <v>66.879762233845938</v>
      </c>
      <c r="FB80" s="173">
        <f ca="1">(VLOOKUP(FB$72,INDIRECT($C$5&amp;"生成成长"),2))/((VLOOKUP($B80,INDIRECT($B$5&amp;"生成成长"),4))/(VLOOKUP(FB$72,INDIRECT($C$5&amp;"生成成长"),5))*(VLOOKUP($B$5,标准坦克设计!$B$24:$U$30,MATCH("对"&amp;LEFT($C$5,2)&amp;"输出",标准坦克设计!$B$23:$U$23,0)))*(VLOOKUP($B80,INDIRECT($B$5&amp;"生成成长"),3))*(VLOOKUP($B$5,标准坦克设计!$B$14:$K$20,9)/30))</f>
        <v>71.052833131945761</v>
      </c>
      <c r="FC80" s="173">
        <f ca="1">(VLOOKUP(FC$72,INDIRECT($C$5&amp;"生成成长"),2))/((VLOOKUP($B80,INDIRECT($B$5&amp;"生成成长"),4))/(VLOOKUP(FC$72,INDIRECT($C$5&amp;"生成成长"),5))*(VLOOKUP($B$5,标准坦克设计!$B$24:$U$30,MATCH("对"&amp;LEFT($C$5,2)&amp;"输出",标准坦克设计!$B$23:$U$23,0)))*(VLOOKUP($B80,INDIRECT($B$5&amp;"生成成长"),3))*(VLOOKUP($B$5,标准坦克设计!$B$14:$K$20,9)/30))</f>
        <v>75.352186780744603</v>
      </c>
      <c r="FD80" s="173">
        <f ca="1">(VLOOKUP(FD$72,INDIRECT($C$5&amp;"生成成长"),2))/((VLOOKUP($B80,INDIRECT($B$5&amp;"生成成长"),4))/(VLOOKUP(FD$72,INDIRECT($C$5&amp;"生成成长"),5))*(VLOOKUP($B$5,标准坦克设计!$B$24:$U$30,MATCH("对"&amp;LEFT($C$5,2)&amp;"输出",标准坦克设计!$B$23:$U$23,0)))*(VLOOKUP($B80,INDIRECT($B$5&amp;"生成成长"),3))*(VLOOKUP($B$5,标准坦克设计!$B$14:$K$20,9)/30))</f>
        <v>79.777823180242521</v>
      </c>
      <c r="FE80" s="173">
        <f ca="1">(VLOOKUP(FE$72,INDIRECT($C$5&amp;"生成成长"),2))/((VLOOKUP($B80,INDIRECT($B$5&amp;"生成成长"),4))/(VLOOKUP(FE$72,INDIRECT($C$5&amp;"生成成长"),5))*(VLOOKUP($B$5,标准坦克设计!$B$24:$U$30,MATCH("对"&amp;LEFT($C$5,2)&amp;"输出",标准坦克设计!$B$23:$U$23,0)))*(VLOOKUP($B80,INDIRECT($B$5&amp;"生成成长"),3))*(VLOOKUP($B$5,标准坦克设计!$B$14:$K$20,9)/30))</f>
        <v>85.170931562368523</v>
      </c>
      <c r="FF80" s="173">
        <f ca="1">(VLOOKUP(FF$72,INDIRECT($C$5&amp;"生成成长"),2))/((VLOOKUP($B80,INDIRECT($B$5&amp;"生成成长"),4))/(VLOOKUP(FF$72,INDIRECT($C$5&amp;"生成成长"),5))*(VLOOKUP($B$5,标准坦克设计!$B$24:$U$30,MATCH("对"&amp;LEFT($C$5,2)&amp;"输出",标准坦克设计!$B$23:$U$23,0)))*(VLOOKUP($B80,INDIRECT($B$5&amp;"生成成长"),3))*(VLOOKUP($B$5,标准坦克设计!$B$14:$K$20,9)/30))</f>
        <v>90.740418331834491</v>
      </c>
      <c r="FG80" s="173">
        <f ca="1">(VLOOKUP(FG$72,INDIRECT($C$5&amp;"生成成长"),2))/((VLOOKUP($B80,INDIRECT($B$5&amp;"生成成长"),4))/(VLOOKUP(FG$72,INDIRECT($C$5&amp;"生成成长"),5))*(VLOOKUP($B$5,标准坦克设计!$B$24:$U$30,MATCH("对"&amp;LEFT($C$5,2)&amp;"输出",标准坦克设计!$B$23:$U$23,0)))*(VLOOKUP($B80,INDIRECT($B$5&amp;"生成成长"),3))*(VLOOKUP($B$5,标准坦克设计!$B$14:$K$20,9)/30))</f>
        <v>96.486283488640439</v>
      </c>
      <c r="FH80" s="173">
        <f ca="1">(VLOOKUP(FH$72,INDIRECT($C$5&amp;"生成成长"),2))/((VLOOKUP($B80,INDIRECT($B$5&amp;"生成成长"),4))/(VLOOKUP(FH$72,INDIRECT($C$5&amp;"生成成长"),5))*(VLOOKUP($B$5,标准坦克设计!$B$24:$U$30,MATCH("对"&amp;LEFT($C$5,2)&amp;"输出",标准坦克设计!$B$23:$U$23,0)))*(VLOOKUP($B80,INDIRECT($B$5&amp;"生成成长"),3))*(VLOOKUP($B$5,标准坦克设计!$B$14:$K$20,9)/30))</f>
        <v>102.40852703278637</v>
      </c>
      <c r="FI80" s="173">
        <f ca="1">(VLOOKUP(FI$72,INDIRECT($C$5&amp;"生成成长"),2))/((VLOOKUP($B80,INDIRECT($B$5&amp;"生成成长"),4))/(VLOOKUP(FI$72,INDIRECT($C$5&amp;"生成成长"),5))*(VLOOKUP($B$5,标准坦克设计!$B$24:$U$30,MATCH("对"&amp;LEFT($C$5,2)&amp;"输出",标准坦克设计!$B$23:$U$23,0)))*(VLOOKUP($B80,INDIRECT($B$5&amp;"生成成长"),3))*(VLOOKUP($B$5,标准坦克设计!$B$14:$K$20,9)/30))</f>
        <v>108.50714896427225</v>
      </c>
      <c r="FJ80" s="173">
        <f ca="1">(VLOOKUP(FJ$72,INDIRECT($C$5&amp;"生成成长"),2))/((VLOOKUP($B80,INDIRECT($B$5&amp;"生成成长"),4))/(VLOOKUP(FJ$72,INDIRECT($C$5&amp;"生成成长"),5))*(VLOOKUP($B$5,标准坦克设计!$B$24:$U$30,MATCH("对"&amp;LEFT($C$5,2)&amp;"输出",标准坦克设计!$B$23:$U$23,0)))*(VLOOKUP($B80,INDIRECT($B$5&amp;"生成成长"),3))*(VLOOKUP($B$5,标准坦克设计!$B$14:$K$20,9)/30))</f>
        <v>114.78214928309811</v>
      </c>
      <c r="FK80" s="173">
        <f ca="1">(VLOOKUP(FK$72,INDIRECT($C$5&amp;"生成成长"),2))/((VLOOKUP($B80,INDIRECT($B$5&amp;"生成成长"),4))/(VLOOKUP(FK$72,INDIRECT($C$5&amp;"生成成长"),5))*(VLOOKUP($B$5,标准坦克设计!$B$24:$U$30,MATCH("对"&amp;LEFT($C$5,2)&amp;"输出",标准坦克设计!$B$23:$U$23,0)))*(VLOOKUP($B80,INDIRECT($B$5&amp;"生成成长"),3))*(VLOOKUP($B$5,标准坦克设计!$B$14:$K$20,9)/30))</f>
        <v>121.23352798926393</v>
      </c>
    </row>
    <row r="81" spans="1:167" x14ac:dyDescent="0.15">
      <c r="A81" s="171" t="str">
        <f t="shared" si="11"/>
        <v>T2低品质4级</v>
      </c>
      <c r="B81" s="172">
        <v>10204</v>
      </c>
      <c r="C81" s="173">
        <f ca="1">(VLOOKUP(C$72,INDIRECT($C$5&amp;"生成成长"),2))/((VLOOKUP($B81,INDIRECT($B$5&amp;"生成成长"),4))/(VLOOKUP(C$72,INDIRECT($C$5&amp;"生成成长"),5))*(VLOOKUP($B$5,标准坦克设计!$B$24:$U$30,MATCH("对"&amp;LEFT($C$5,2)&amp;"输出",标准坦克设计!$B$23:$U$23,0)))*(VLOOKUP($B81,INDIRECT($B$5&amp;"生成成长"),3))*(VLOOKUP($B$5,标准坦克设计!$B$14:$K$20,9)/30))</f>
        <v>4.6126004719613913</v>
      </c>
      <c r="D81" s="173">
        <f ca="1">(VLOOKUP(D$72,INDIRECT($C$5&amp;"生成成长"),2))/((VLOOKUP($B81,INDIRECT($B$5&amp;"生成成长"),4))/(VLOOKUP(D$72,INDIRECT($C$5&amp;"生成成长"),5))*(VLOOKUP($B$5,标准坦克设计!$B$24:$U$30,MATCH("对"&amp;LEFT($C$5,2)&amp;"输出",标准坦克设计!$B$23:$U$23,0)))*(VLOOKUP($B81,INDIRECT($B$5&amp;"生成成长"),3))*(VLOOKUP($B$5,标准坦克设计!$B$14:$K$20,9)/30))</f>
        <v>5.1827178902958186</v>
      </c>
      <c r="E81" s="173">
        <f ca="1">(VLOOKUP(E$72,INDIRECT($C$5&amp;"生成成长"),2))/((VLOOKUP($B81,INDIRECT($B$5&amp;"生成成长"),4))/(VLOOKUP(E$72,INDIRECT($C$5&amp;"生成成长"),5))*(VLOOKUP($B$5,标准坦克设计!$B$24:$U$30,MATCH("对"&amp;LEFT($C$5,2)&amp;"输出",标准坦克设计!$B$23:$U$23,0)))*(VLOOKUP($B81,INDIRECT($B$5&amp;"生成成长"),3))*(VLOOKUP($B$5,标准坦克设计!$B$14:$K$20,9)/30))</f>
        <v>5.7860460320283682</v>
      </c>
      <c r="F81" s="173">
        <f ca="1">(VLOOKUP(F$72,INDIRECT($C$5&amp;"生成成长"),2))/((VLOOKUP($B81,INDIRECT($B$5&amp;"生成成长"),4))/(VLOOKUP(F$72,INDIRECT($C$5&amp;"生成成长"),5))*(VLOOKUP($B$5,标准坦克设计!$B$24:$U$30,MATCH("对"&amp;LEFT($C$5,2)&amp;"输出",标准坦克设计!$B$23:$U$23,0)))*(VLOOKUP($B81,INDIRECT($B$5&amp;"生成成长"),3))*(VLOOKUP($B$5,标准坦克设计!$B$14:$K$20,9)/30))</f>
        <v>6.42258489715904</v>
      </c>
      <c r="G81" s="173">
        <f ca="1">(VLOOKUP(G$72,INDIRECT($C$5&amp;"生成成长"),2))/((VLOOKUP($B81,INDIRECT($B$5&amp;"生成成长"),4))/(VLOOKUP(G$72,INDIRECT($C$5&amp;"生成成长"),5))*(VLOOKUP($B$5,标准坦克设计!$B$24:$U$30,MATCH("对"&amp;LEFT($C$5,2)&amp;"输出",标准坦克设计!$B$23:$U$23,0)))*(VLOOKUP($B81,INDIRECT($B$5&amp;"生成成长"),3))*(VLOOKUP($B$5,标准坦克设计!$B$14:$K$20,9)/30))</f>
        <v>7.0923344856878341</v>
      </c>
      <c r="H81" s="173">
        <f ca="1">(VLOOKUP(H$72,INDIRECT($C$5&amp;"生成成长"),2))/((VLOOKUP($B81,INDIRECT($B$5&amp;"生成成长"),4))/(VLOOKUP(H$72,INDIRECT($C$5&amp;"生成成长"),5))*(VLOOKUP($B$5,标准坦克设计!$B$24:$U$30,MATCH("对"&amp;LEFT($C$5,2)&amp;"输出",标准坦克设计!$B$23:$U$23,0)))*(VLOOKUP($B81,INDIRECT($B$5&amp;"生成成长"),3))*(VLOOKUP($B$5,标准坦克设计!$B$14:$K$20,9)/30))</f>
        <v>6.2067151950712471</v>
      </c>
      <c r="I81" s="173">
        <f ca="1">(VLOOKUP(I$72,INDIRECT($C$5&amp;"生成成长"),2))/((VLOOKUP($B81,INDIRECT($B$5&amp;"生成成长"),4))/(VLOOKUP(I$72,INDIRECT($C$5&amp;"生成成长"),5))*(VLOOKUP($B$5,标准坦克设计!$B$24:$U$30,MATCH("对"&amp;LEFT($C$5,2)&amp;"输出",标准坦克设计!$B$23:$U$23,0)))*(VLOOKUP($B81,INDIRECT($B$5&amp;"生成成长"),3))*(VLOOKUP($B$5,标准坦克设计!$B$14:$K$20,9)/30))</f>
        <v>7.0923344856878341</v>
      </c>
      <c r="J81" s="173">
        <f ca="1">(VLOOKUP(J$72,INDIRECT($C$5&amp;"生成成长"),2))/((VLOOKUP($B81,INDIRECT($B$5&amp;"生成成长"),4))/(VLOOKUP(J$72,INDIRECT($C$5&amp;"生成成长"),5))*(VLOOKUP($B$5,标准坦克设计!$B$24:$U$30,MATCH("对"&amp;LEFT($C$5,2)&amp;"输出",标准坦克设计!$B$23:$U$23,0)))*(VLOOKUP($B81,INDIRECT($B$5&amp;"生成成长"),3))*(VLOOKUP($B$5,标准坦克设计!$B$14:$K$20,9)/30))</f>
        <v>8.0369950623455271</v>
      </c>
      <c r="K81" s="173">
        <f ca="1">(VLOOKUP(K$72,INDIRECT($C$5&amp;"生成成长"),2))/((VLOOKUP($B81,INDIRECT($B$5&amp;"生成成长"),4))/(VLOOKUP(K$72,INDIRECT($C$5&amp;"生成成长"),5))*(VLOOKUP($B$5,标准坦克设计!$B$24:$U$30,MATCH("对"&amp;LEFT($C$5,2)&amp;"输出",标准坦克设计!$B$23:$U$23,0)))*(VLOOKUP($B81,INDIRECT($B$5&amp;"生成成长"),3))*(VLOOKUP($B$5,标准坦克设计!$B$14:$K$20,9)/30))</f>
        <v>9.0406969250443261</v>
      </c>
      <c r="L81" s="173">
        <f ca="1">(VLOOKUP(L$72,INDIRECT($C$5&amp;"生成成长"),2))/((VLOOKUP($B81,INDIRECT($B$5&amp;"生成成长"),4))/(VLOOKUP(L$72,INDIRECT($C$5&amp;"生成成长"),5))*(VLOOKUP($B$5,标准坦克设计!$B$24:$U$30,MATCH("对"&amp;LEFT($C$5,2)&amp;"输出",标准坦克设计!$B$23:$U$23,0)))*(VLOOKUP($B81,INDIRECT($B$5&amp;"生成成长"),3))*(VLOOKUP($B$5,标准坦克设计!$B$14:$K$20,9)/30))</f>
        <v>10.103440073784229</v>
      </c>
      <c r="M81" s="173">
        <f ca="1">(VLOOKUP(M$72,INDIRECT($C$5&amp;"生成成长"),2))/((VLOOKUP($B81,INDIRECT($B$5&amp;"生成成长"),4))/(VLOOKUP(M$72,INDIRECT($C$5&amp;"生成成长"),5))*(VLOOKUP($B$5,标准坦克设计!$B$24:$U$30,MATCH("对"&amp;LEFT($C$5,2)&amp;"输出",标准坦克设计!$B$23:$U$23,0)))*(VLOOKUP($B81,INDIRECT($B$5&amp;"生成成长"),3))*(VLOOKUP($B$5,标准坦克设计!$B$14:$K$20,9)/30))</f>
        <v>11.22522450856524</v>
      </c>
      <c r="N81" s="173">
        <f ca="1">(VLOOKUP(N$72,INDIRECT($C$5&amp;"生成成长"),2))/((VLOOKUP($B81,INDIRECT($B$5&amp;"生成成长"),4))/(VLOOKUP(N$72,INDIRECT($C$5&amp;"生成成长"),5))*(VLOOKUP($B$5,标准坦克设计!$B$24:$U$30,MATCH("对"&amp;LEFT($C$5,2)&amp;"输出",标准坦克设计!$B$23:$U$23,0)))*(VLOOKUP($B81,INDIRECT($B$5&amp;"生成成长"),3))*(VLOOKUP($B$5,标准坦克设计!$B$14:$K$20,9)/30))</f>
        <v>12.406050229387358</v>
      </c>
      <c r="O81" s="173">
        <f ca="1">(VLOOKUP(O$72,INDIRECT($C$5&amp;"生成成长"),2))/((VLOOKUP($B81,INDIRECT($B$5&amp;"生成成长"),4))/(VLOOKUP(O$72,INDIRECT($C$5&amp;"生成成长"),5))*(VLOOKUP($B$5,标准坦克设计!$B$24:$U$30,MATCH("对"&amp;LEFT($C$5,2)&amp;"输出",标准坦克设计!$B$23:$U$23,0)))*(VLOOKUP($B81,INDIRECT($B$5&amp;"生成成长"),3))*(VLOOKUP($B$5,标准坦克设计!$B$14:$K$20,9)/30))</f>
        <v>9.4323067051138469</v>
      </c>
      <c r="P81" s="173">
        <f ca="1">(VLOOKUP(P$72,INDIRECT($C$5&amp;"生成成长"),2))/((VLOOKUP($B81,INDIRECT($B$5&amp;"生成成长"),4))/(VLOOKUP(P$72,INDIRECT($C$5&amp;"生成成长"),5))*(VLOOKUP($B$5,标准坦克设计!$B$24:$U$30,MATCH("对"&amp;LEFT($C$5,2)&amp;"输出",标准坦克设计!$B$23:$U$23,0)))*(VLOOKUP($B81,INDIRECT($B$5&amp;"生成成长"),3))*(VLOOKUP($B$5,标准坦克设计!$B$14:$K$20,9)/30))</f>
        <v>10.656952130419596</v>
      </c>
      <c r="Q81" s="173">
        <f ca="1">(VLOOKUP(Q$72,INDIRECT($C$5&amp;"生成成长"),2))/((VLOOKUP($B81,INDIRECT($B$5&amp;"生成成长"),4))/(VLOOKUP(Q$72,INDIRECT($C$5&amp;"生成成长"),5))*(VLOOKUP($B$5,标准坦克设计!$B$24:$U$30,MATCH("对"&amp;LEFT($C$5,2)&amp;"输出",标准坦克设计!$B$23:$U$23,0)))*(VLOOKUP($B81,INDIRECT($B$5&amp;"生成成长"),3))*(VLOOKUP($B$5,标准坦克设计!$B$14:$K$20,9)/30))</f>
        <v>11.956321683371121</v>
      </c>
      <c r="R81" s="173">
        <f ca="1">(VLOOKUP(R$72,INDIRECT($C$5&amp;"生成成长"),2))/((VLOOKUP($B81,INDIRECT($B$5&amp;"生成成长"),4))/(VLOOKUP(R$72,INDIRECT($C$5&amp;"生成成长"),5))*(VLOOKUP($B$5,标准坦克设计!$B$24:$U$30,MATCH("对"&amp;LEFT($C$5,2)&amp;"输出",标准坦克设计!$B$23:$U$23,0)))*(VLOOKUP($B81,INDIRECT($B$5&amp;"生成成长"),3))*(VLOOKUP($B$5,标准坦克设计!$B$14:$K$20,9)/30))</f>
        <v>13.33041536396842</v>
      </c>
      <c r="S81" s="173">
        <f ca="1">(VLOOKUP(S$72,INDIRECT($C$5&amp;"生成成长"),2))/((VLOOKUP($B81,INDIRECT($B$5&amp;"生成成长"),4))/(VLOOKUP(S$72,INDIRECT($C$5&amp;"生成成长"),5))*(VLOOKUP($B$5,标准坦克设计!$B$24:$U$30,MATCH("对"&amp;LEFT($C$5,2)&amp;"输出",标准坦克设计!$B$23:$U$23,0)))*(VLOOKUP($B81,INDIRECT($B$5&amp;"生成成长"),3))*(VLOOKUP($B$5,标准坦克设计!$B$14:$K$20,9)/30))</f>
        <v>14.779233172211491</v>
      </c>
      <c r="T81" s="173">
        <f ca="1">(VLOOKUP(T$72,INDIRECT($C$5&amp;"生成成长"),2))/((VLOOKUP($B81,INDIRECT($B$5&amp;"生成成长"),4))/(VLOOKUP(T$72,INDIRECT($C$5&amp;"生成成长"),5))*(VLOOKUP($B$5,标准坦克设计!$B$24:$U$30,MATCH("对"&amp;LEFT($C$5,2)&amp;"输出",标准坦克设计!$B$23:$U$23,0)))*(VLOOKUP($B81,INDIRECT($B$5&amp;"生成成长"),3))*(VLOOKUP($B$5,标准坦克设计!$B$14:$K$20,9)/30))</f>
        <v>16.302775108100342</v>
      </c>
      <c r="U81" s="173">
        <f ca="1">(VLOOKUP(U$72,INDIRECT($C$5&amp;"生成成长"),2))/((VLOOKUP($B81,INDIRECT($B$5&amp;"生成成长"),4))/(VLOOKUP(U$72,INDIRECT($C$5&amp;"生成成长"),5))*(VLOOKUP($B$5,标准坦克设计!$B$24:$U$30,MATCH("对"&amp;LEFT($C$5,2)&amp;"输出",标准坦克设计!$B$23:$U$23,0)))*(VLOOKUP($B81,INDIRECT($B$5&amp;"生成成长"),3))*(VLOOKUP($B$5,标准坦克设计!$B$14:$K$20,9)/30))</f>
        <v>17.901041171634958</v>
      </c>
      <c r="V81" s="173">
        <f ca="1">(VLOOKUP(V$72,INDIRECT($C$5&amp;"生成成长"),2))/((VLOOKUP($B81,INDIRECT($B$5&amp;"生成成长"),4))/(VLOOKUP(V$72,INDIRECT($C$5&amp;"生成成长"),5))*(VLOOKUP($B$5,标准坦克设计!$B$24:$U$30,MATCH("对"&amp;LEFT($C$5,2)&amp;"输出",标准坦克设计!$B$23:$U$23,0)))*(VLOOKUP($B81,INDIRECT($B$5&amp;"生成成长"),3))*(VLOOKUP($B$5,标准坦克设计!$B$14:$K$20,9)/30))</f>
        <v>19.574031362815354</v>
      </c>
      <c r="W81" s="173">
        <f ca="1">(VLOOKUP(W$72,INDIRECT($C$5&amp;"生成成长"),2))/((VLOOKUP($B81,INDIRECT($B$5&amp;"生成成长"),4))/(VLOOKUP(W$72,INDIRECT($C$5&amp;"生成成长"),5))*(VLOOKUP($B$5,标准坦克设计!$B$24:$U$30,MATCH("对"&amp;LEFT($C$5,2)&amp;"输出",标准坦克设计!$B$23:$U$23,0)))*(VLOOKUP($B81,INDIRECT($B$5&amp;"生成成长"),3))*(VLOOKUP($B$5,标准坦克设计!$B$14:$K$20,9)/30))</f>
        <v>21.321745681641527</v>
      </c>
      <c r="X81" s="173">
        <f ca="1">(VLOOKUP(X$72,INDIRECT($C$5&amp;"生成成长"),2))/((VLOOKUP($B81,INDIRECT($B$5&amp;"生成成长"),4))/(VLOOKUP(X$72,INDIRECT($C$5&amp;"生成成长"),5))*(VLOOKUP($B$5,标准坦克设计!$B$24:$U$30,MATCH("对"&amp;LEFT($C$5,2)&amp;"输出",标准坦克设计!$B$23:$U$23,0)))*(VLOOKUP($B81,INDIRECT($B$5&amp;"生成成长"),3))*(VLOOKUP($B$5,标准坦克设计!$B$14:$K$20,9)/30))</f>
        <v>15.447137720551503</v>
      </c>
      <c r="Y81" s="173">
        <f ca="1">(VLOOKUP(Y$72,INDIRECT($C$5&amp;"生成成长"),2))/((VLOOKUP($B81,INDIRECT($B$5&amp;"生成成长"),4))/(VLOOKUP(Y$72,INDIRECT($C$5&amp;"生成成长"),5))*(VLOOKUP($B$5,标准坦克设计!$B$24:$U$30,MATCH("对"&amp;LEFT($C$5,2)&amp;"输出",标准坦克设计!$B$23:$U$23,0)))*(VLOOKUP($B81,INDIRECT($B$5&amp;"生成成长"),3))*(VLOOKUP($B$5,标准坦克设计!$B$14:$K$20,9)/30))</f>
        <v>17.181475498008982</v>
      </c>
      <c r="Z81" s="173">
        <f ca="1">(VLOOKUP(Z$72,INDIRECT($C$5&amp;"生成成长"),2))/((VLOOKUP($B81,INDIRECT($B$5&amp;"生成成长"),4))/(VLOOKUP(Z$72,INDIRECT($C$5&amp;"生成成长"),5))*(VLOOKUP($B$5,标准坦克设计!$B$24:$U$30,MATCH("对"&amp;LEFT($C$5,2)&amp;"输出",标准坦克设计!$B$23:$U$23,0)))*(VLOOKUP($B81,INDIRECT($B$5&amp;"生成成长"),3))*(VLOOKUP($B$5,标准坦克设计!$B$14:$K$20,9)/30))</f>
        <v>19.00806528490569</v>
      </c>
      <c r="AA81" s="173">
        <f ca="1">(VLOOKUP(AA$72,INDIRECT($C$5&amp;"生成成长"),2))/((VLOOKUP($B81,INDIRECT($B$5&amp;"生成成长"),4))/(VLOOKUP(AA$72,INDIRECT($C$5&amp;"生成成长"),5))*(VLOOKUP($B$5,标准坦克设计!$B$24:$U$30,MATCH("对"&amp;LEFT($C$5,2)&amp;"输出",标准坦克设计!$B$23:$U$23,0)))*(VLOOKUP($B81,INDIRECT($B$5&amp;"生成成长"),3))*(VLOOKUP($B$5,标准坦克设计!$B$14:$K$20,9)/30))</f>
        <v>20.92690708124163</v>
      </c>
      <c r="AB81" s="173">
        <f ca="1">(VLOOKUP(AB$72,INDIRECT($C$5&amp;"生成成长"),2))/((VLOOKUP($B81,INDIRECT($B$5&amp;"生成成长"),4))/(VLOOKUP(AB$72,INDIRECT($C$5&amp;"生成成长"),5))*(VLOOKUP($B$5,标准坦克设计!$B$24:$U$30,MATCH("对"&amp;LEFT($C$5,2)&amp;"输出",标准坦克设计!$B$23:$U$23,0)))*(VLOOKUP($B81,INDIRECT($B$5&amp;"生成成长"),3))*(VLOOKUP($B$5,标准坦克设计!$B$14:$K$20,9)/30))</f>
        <v>22.938000887016795</v>
      </c>
      <c r="AC81" s="173">
        <f ca="1">(VLOOKUP(AC$72,INDIRECT($C$5&amp;"生成成长"),2))/((VLOOKUP($B81,INDIRECT($B$5&amp;"生成成长"),4))/(VLOOKUP(AC$72,INDIRECT($C$5&amp;"生成成长"),5))*(VLOOKUP($B$5,标准坦克设计!$B$24:$U$30,MATCH("对"&amp;LEFT($C$5,2)&amp;"输出",标准坦克设计!$B$23:$U$23,0)))*(VLOOKUP($B81,INDIRECT($B$5&amp;"生成成长"),3))*(VLOOKUP($B$5,标准坦克设计!$B$14:$K$20,9)/30))</f>
        <v>25.041346702231191</v>
      </c>
      <c r="AD81" s="173">
        <f ca="1">(VLOOKUP(AD$72,INDIRECT($C$5&amp;"生成成长"),2))/((VLOOKUP($B81,INDIRECT($B$5&amp;"生成成长"),4))/(VLOOKUP(AD$72,INDIRECT($C$5&amp;"生成成长"),5))*(VLOOKUP($B$5,标准坦克设计!$B$24:$U$30,MATCH("对"&amp;LEFT($C$5,2)&amp;"输出",标准坦克设计!$B$23:$U$23,0)))*(VLOOKUP($B81,INDIRECT($B$5&amp;"生成成长"),3))*(VLOOKUP($B$5,标准坦克设计!$B$14:$K$20,9)/30))</f>
        <v>27.236944526884809</v>
      </c>
      <c r="AE81" s="173">
        <f ca="1">(VLOOKUP(AE$72,INDIRECT($C$5&amp;"生成成长"),2))/((VLOOKUP($B81,INDIRECT($B$5&amp;"生成成长"),4))/(VLOOKUP(AE$72,INDIRECT($C$5&amp;"生成成长"),5))*(VLOOKUP($B$5,标准坦克设计!$B$24:$U$30,MATCH("对"&amp;LEFT($C$5,2)&amp;"输出",标准坦克设计!$B$23:$U$23,0)))*(VLOOKUP($B81,INDIRECT($B$5&amp;"生成成长"),3))*(VLOOKUP($B$5,标准坦克设计!$B$14:$K$20,9)/30))</f>
        <v>29.524794360977662</v>
      </c>
      <c r="AF81" s="173">
        <f ca="1">(VLOOKUP(AF$72,INDIRECT($C$5&amp;"生成成长"),2))/((VLOOKUP($B81,INDIRECT($B$5&amp;"生成成长"),4))/(VLOOKUP(AF$72,INDIRECT($C$5&amp;"生成成长"),5))*(VLOOKUP($B$5,标准坦克设计!$B$24:$U$30,MATCH("对"&amp;LEFT($C$5,2)&amp;"输出",标准坦克设计!$B$23:$U$23,0)))*(VLOOKUP($B81,INDIRECT($B$5&amp;"生成成长"),3))*(VLOOKUP($B$5,标准坦克设计!$B$14:$K$20,9)/30))</f>
        <v>31.904896204509743</v>
      </c>
      <c r="AG81" s="173">
        <f ca="1">(VLOOKUP(AG$72,INDIRECT($C$5&amp;"生成成长"),2))/((VLOOKUP($B81,INDIRECT($B$5&amp;"生成成长"),4))/(VLOOKUP(AG$72,INDIRECT($C$5&amp;"生成成长"),5))*(VLOOKUP($B$5,标准坦克设计!$B$24:$U$30,MATCH("对"&amp;LEFT($C$5,2)&amp;"输出",标准坦克设计!$B$23:$U$23,0)))*(VLOOKUP($B81,INDIRECT($B$5&amp;"生成成长"),3))*(VLOOKUP($B$5,标准坦克设计!$B$14:$K$20,9)/30))</f>
        <v>34.377250057481049</v>
      </c>
      <c r="AH81" s="173">
        <f ca="1">(VLOOKUP(AH$72,INDIRECT($C$5&amp;"生成成长"),2))/((VLOOKUP($B81,INDIRECT($B$5&amp;"生成成长"),4))/(VLOOKUP(AH$72,INDIRECT($C$5&amp;"生成成长"),5))*(VLOOKUP($B$5,标准坦克设计!$B$24:$U$30,MATCH("对"&amp;LEFT($C$5,2)&amp;"输出",标准坦克设计!$B$23:$U$23,0)))*(VLOOKUP($B81,INDIRECT($B$5&amp;"生成成长"),3))*(VLOOKUP($B$5,标准坦克设计!$B$14:$K$20,9)/30))</f>
        <v>36.941855919891573</v>
      </c>
      <c r="AI81" s="173">
        <f ca="1">(VLOOKUP(AI$72,INDIRECT($C$5&amp;"生成成长"),2))/((VLOOKUP($B81,INDIRECT($B$5&amp;"生成成长"),4))/(VLOOKUP(AI$72,INDIRECT($C$5&amp;"生成成长"),5))*(VLOOKUP($B$5,标准坦克设计!$B$24:$U$30,MATCH("对"&amp;LEFT($C$5,2)&amp;"输出",标准坦克设计!$B$23:$U$23,0)))*(VLOOKUP($B81,INDIRECT($B$5&amp;"生成成长"),3))*(VLOOKUP($B$5,标准坦克设计!$B$14:$K$20,9)/30))</f>
        <v>26.127614113378097</v>
      </c>
      <c r="AJ81" s="173">
        <f ca="1">(VLOOKUP(AJ$72,INDIRECT($C$5&amp;"生成成长"),2))/((VLOOKUP($B81,INDIRECT($B$5&amp;"生成成长"),4))/(VLOOKUP(AJ$72,INDIRECT($C$5&amp;"生成成长"),5))*(VLOOKUP($B$5,标准坦克设计!$B$24:$U$30,MATCH("对"&amp;LEFT($C$5,2)&amp;"输出",标准坦克设计!$B$23:$U$23,0)))*(VLOOKUP($B81,INDIRECT($B$5&amp;"生成成长"),3))*(VLOOKUP($B$5,标准坦克设计!$B$14:$K$20,9)/30))</f>
        <v>28.598584186207823</v>
      </c>
      <c r="AK81" s="173">
        <f ca="1">(VLOOKUP(AK$72,INDIRECT($C$5&amp;"生成成长"),2))/((VLOOKUP($B81,INDIRECT($B$5&amp;"生成成长"),4))/(VLOOKUP(AK$72,INDIRECT($C$5&amp;"生成成长"),5))*(VLOOKUP($B$5,标准坦克设计!$B$24:$U$30,MATCH("对"&amp;LEFT($C$5,2)&amp;"输出",标准坦克设计!$B$23:$U$23,0)))*(VLOOKUP($B81,INDIRECT($B$5&amp;"生成成长"),3))*(VLOOKUP($B$5,标准坦克设计!$B$14:$K$20,9)/30))</f>
        <v>31.181179190458998</v>
      </c>
      <c r="AL81" s="173">
        <f ca="1">(VLOOKUP(AL$72,INDIRECT($C$5&amp;"生成成长"),2))/((VLOOKUP($B81,INDIRECT($B$5&amp;"生成成长"),4))/(VLOOKUP(AL$72,INDIRECT($C$5&amp;"生成成长"),5))*(VLOOKUP($B$5,标准坦克设计!$B$24:$U$30,MATCH("对"&amp;LEFT($C$5,2)&amp;"输出",标准坦克设计!$B$23:$U$23,0)))*(VLOOKUP($B81,INDIRECT($B$5&amp;"生成成长"),3))*(VLOOKUP($B$5,标准坦克设计!$B$14:$K$20,9)/30))</f>
        <v>33.875399126131647</v>
      </c>
      <c r="AM81" s="173">
        <f ca="1">(VLOOKUP(AM$72,INDIRECT($C$5&amp;"生成成长"),2))/((VLOOKUP($B81,INDIRECT($B$5&amp;"生成成长"),4))/(VLOOKUP(AM$72,INDIRECT($C$5&amp;"生成成长"),5))*(VLOOKUP($B$5,标准坦克设计!$B$24:$U$30,MATCH("对"&amp;LEFT($C$5,2)&amp;"输出",标准坦克设计!$B$23:$U$23,0)))*(VLOOKUP($B81,INDIRECT($B$5&amp;"生成成长"),3))*(VLOOKUP($B$5,标准坦克设计!$B$14:$K$20,9)/30))</f>
        <v>36.681243993225763</v>
      </c>
      <c r="AN81" s="173">
        <f ca="1">(VLOOKUP(AN$72,INDIRECT($C$5&amp;"生成成长"),2))/((VLOOKUP($B81,INDIRECT($B$5&amp;"生成成长"),4))/(VLOOKUP(AN$72,INDIRECT($C$5&amp;"生成成长"),5))*(VLOOKUP($B$5,标准坦克设计!$B$24:$U$30,MATCH("对"&amp;LEFT($C$5,2)&amp;"输出",标准坦克设计!$B$23:$U$23,0)))*(VLOOKUP($B81,INDIRECT($B$5&amp;"生成成长"),3))*(VLOOKUP($B$5,标准坦克设计!$B$14:$K$20,9)/30))</f>
        <v>39.598713791741339</v>
      </c>
      <c r="AO81" s="173">
        <f ca="1">(VLOOKUP(AO$72,INDIRECT($C$5&amp;"生成成长"),2))/((VLOOKUP($B81,INDIRECT($B$5&amp;"生成成长"),4))/(VLOOKUP(AO$72,INDIRECT($C$5&amp;"生成成长"),5))*(VLOOKUP($B$5,标准坦克设计!$B$24:$U$30,MATCH("对"&amp;LEFT($C$5,2)&amp;"输出",标准坦克设计!$B$23:$U$23,0)))*(VLOOKUP($B81,INDIRECT($B$5&amp;"生成成长"),3))*(VLOOKUP($B$5,标准坦克设计!$B$14:$K$20,9)/30))</f>
        <v>42.627808521678382</v>
      </c>
      <c r="AP81" s="173">
        <f ca="1">(VLOOKUP(AP$72,INDIRECT($C$5&amp;"生成成长"),2))/((VLOOKUP($B81,INDIRECT($B$5&amp;"生成成长"),4))/(VLOOKUP(AP$72,INDIRECT($C$5&amp;"生成成长"),5))*(VLOOKUP($B$5,标准坦克设计!$B$24:$U$30,MATCH("对"&amp;LEFT($C$5,2)&amp;"输出",标准坦克设计!$B$23:$U$23,0)))*(VLOOKUP($B81,INDIRECT($B$5&amp;"生成成长"),3))*(VLOOKUP($B$5,标准坦克设计!$B$14:$K$20,9)/30))</f>
        <v>45.768528183036906</v>
      </c>
      <c r="AQ81" s="173">
        <f ca="1">(VLOOKUP(AQ$72,INDIRECT($C$5&amp;"生成成长"),2))/((VLOOKUP($B81,INDIRECT($B$5&amp;"生成成长"),4))/(VLOOKUP(AQ$72,INDIRECT($C$5&amp;"生成成长"),5))*(VLOOKUP($B$5,标准坦克设计!$B$24:$U$30,MATCH("对"&amp;LEFT($C$5,2)&amp;"输出",标准坦克设计!$B$23:$U$23,0)))*(VLOOKUP($B81,INDIRECT($B$5&amp;"生成成长"),3))*(VLOOKUP($B$5,标准坦克设计!$B$14:$K$20,9)/30))</f>
        <v>49.020872775816876</v>
      </c>
      <c r="AR81" s="173">
        <f ca="1">(VLOOKUP(AR$72,INDIRECT($C$5&amp;"生成成长"),2))/((VLOOKUP($B81,INDIRECT($B$5&amp;"生成成长"),4))/(VLOOKUP(AR$72,INDIRECT($C$5&amp;"生成成长"),5))*(VLOOKUP($B$5,标准坦克设计!$B$24:$U$30,MATCH("对"&amp;LEFT($C$5,2)&amp;"输出",标准坦克设计!$B$23:$U$23,0)))*(VLOOKUP($B81,INDIRECT($B$5&amp;"生成成长"),3))*(VLOOKUP($B$5,标准坦克设计!$B$14:$K$20,9)/30))</f>
        <v>52.384842300018306</v>
      </c>
      <c r="AS81" s="173">
        <f ca="1">(VLOOKUP(AS$72,INDIRECT($C$5&amp;"生成成长"),2))/((VLOOKUP($B81,INDIRECT($B$5&amp;"生成成长"),4))/(VLOOKUP(AS$72,INDIRECT($C$5&amp;"生成成长"),5))*(VLOOKUP($B$5,标准坦克设计!$B$24:$U$30,MATCH("对"&amp;LEFT($C$5,2)&amp;"输出",标准坦克设计!$B$23:$U$23,0)))*(VLOOKUP($B81,INDIRECT($B$5&amp;"生成成长"),3))*(VLOOKUP($B$5,标准坦克设计!$B$14:$K$20,9)/30))</f>
        <v>55.860436755641224</v>
      </c>
      <c r="AT81" s="173">
        <f ca="1">(VLOOKUP(AT$72,INDIRECT($C$5&amp;"生成成长"),2))/((VLOOKUP($B81,INDIRECT($B$5&amp;"生成成长"),4))/(VLOOKUP(AT$72,INDIRECT($C$5&amp;"生成成长"),5))*(VLOOKUP($B$5,标准坦克设计!$B$24:$U$30,MATCH("对"&amp;LEFT($C$5,2)&amp;"输出",标准坦克设计!$B$23:$U$23,0)))*(VLOOKUP($B81,INDIRECT($B$5&amp;"生成成长"),3))*(VLOOKUP($B$5,标准坦克设计!$B$14:$K$20,9)/30))</f>
        <v>59.447656142685595</v>
      </c>
      <c r="AU81" s="173">
        <f ca="1">(VLOOKUP(AU$72,INDIRECT($C$5&amp;"生成成长"),2))/((VLOOKUP($B81,INDIRECT($B$5&amp;"生成成长"),4))/(VLOOKUP(AU$72,INDIRECT($C$5&amp;"生成成长"),5))*(VLOOKUP($B$5,标准坦克设计!$B$24:$U$30,MATCH("对"&amp;LEFT($C$5,2)&amp;"输出",标准坦克设计!$B$23:$U$23,0)))*(VLOOKUP($B81,INDIRECT($B$5&amp;"生成成长"),3))*(VLOOKUP($B$5,标准坦克设计!$B$14:$K$20,9)/30))</f>
        <v>63.146500461151433</v>
      </c>
      <c r="AV81" s="173">
        <f ca="1">(VLOOKUP(AV$72,INDIRECT($C$5&amp;"生成成长"),2))/((VLOOKUP($B81,INDIRECT($B$5&amp;"生成成长"),4))/(VLOOKUP(AV$72,INDIRECT($C$5&amp;"生成成长"),5))*(VLOOKUP($B$5,标准坦克设计!$B$24:$U$30,MATCH("对"&amp;LEFT($C$5,2)&amp;"输出",标准坦克设计!$B$23:$U$23,0)))*(VLOOKUP($B81,INDIRECT($B$5&amp;"生成成长"),3))*(VLOOKUP($B$5,标准坦克设计!$B$14:$K$20,9)/30))</f>
        <v>6.42258489715904</v>
      </c>
      <c r="AW81" s="173">
        <f ca="1">(VLOOKUP(AW$72,INDIRECT($C$5&amp;"生成成长"),2))/((VLOOKUP($B81,INDIRECT($B$5&amp;"生成成长"),4))/(VLOOKUP(AW$72,INDIRECT($C$5&amp;"生成成长"),5))*(VLOOKUP($B$5,标准坦克设计!$B$24:$U$30,MATCH("对"&amp;LEFT($C$5,2)&amp;"输出",标准坦克设计!$B$23:$U$23,0)))*(VLOOKUP($B81,INDIRECT($B$5&amp;"生成成长"),3))*(VLOOKUP($B$5,标准坦克设计!$B$14:$K$20,9)/30))</f>
        <v>7.3229645092859021</v>
      </c>
      <c r="AX81" s="173">
        <f ca="1">(VLOOKUP(AX$72,INDIRECT($C$5&amp;"生成成长"),2))/((VLOOKUP($B81,INDIRECT($B$5&amp;"生成成长"),4))/(VLOOKUP(AX$72,INDIRECT($C$5&amp;"生成成长"),5))*(VLOOKUP($B$5,标准坦克设计!$B$24:$U$30,MATCH("对"&amp;LEFT($C$5,2)&amp;"输出",标准坦克设计!$B$23:$U$23,0)))*(VLOOKUP($B81,INDIRECT($B$5&amp;"生成成长"),3))*(VLOOKUP($B$5,标准坦克设计!$B$14:$K$20,9)/30))</f>
        <v>8.282385407453873</v>
      </c>
      <c r="AY81" s="173">
        <f ca="1">(VLOOKUP(AY$72,INDIRECT($C$5&amp;"生成成长"),2))/((VLOOKUP($B81,INDIRECT($B$5&amp;"生成成长"),4))/(VLOOKUP(AY$72,INDIRECT($C$5&amp;"生成成长"),5))*(VLOOKUP($B$5,标准坦克设计!$B$24:$U$30,MATCH("对"&amp;LEFT($C$5,2)&amp;"输出",标准坦克设计!$B$23:$U$23,0)))*(VLOOKUP($B81,INDIRECT($B$5&amp;"生成成长"),3))*(VLOOKUP($B$5,标准坦克设计!$B$14:$K$20,9)/30))</f>
        <v>9.3008475916629489</v>
      </c>
      <c r="AZ81" s="173">
        <f ca="1">(VLOOKUP(AZ$72,INDIRECT($C$5&amp;"生成成长"),2))/((VLOOKUP($B81,INDIRECT($B$5&amp;"生成成长"),4))/(VLOOKUP(AZ$72,INDIRECT($C$5&amp;"生成成长"),5))*(VLOOKUP($B$5,标准坦克设计!$B$24:$U$30,MATCH("对"&amp;LEFT($C$5,2)&amp;"输出",标准坦克设计!$B$23:$U$23,0)))*(VLOOKUP($B81,INDIRECT($B$5&amp;"生成成长"),3))*(VLOOKUP($B$5,标准坦克设计!$B$14:$K$20,9)/30))</f>
        <v>10.378351061913127</v>
      </c>
      <c r="BA81" s="173">
        <f ca="1">(VLOOKUP(BA$72,INDIRECT($C$5&amp;"生成成长"),2))/((VLOOKUP($B81,INDIRECT($B$5&amp;"生成成长"),4))/(VLOOKUP(BA$72,INDIRECT($C$5&amp;"生成成长"),5))*(VLOOKUP($B$5,标准坦克设计!$B$24:$U$30,MATCH("对"&amp;LEFT($C$5,2)&amp;"输出",标准坦克设计!$B$23:$U$23,0)))*(VLOOKUP($B81,INDIRECT($B$5&amp;"生成成长"),3))*(VLOOKUP($B$5,标准坦克设计!$B$14:$K$20,9)/30))</f>
        <v>11.514895818204417</v>
      </c>
      <c r="BB81" s="173">
        <f ca="1">(VLOOKUP(BB$72,INDIRECT($C$5&amp;"生成成长"),2))/((VLOOKUP($B81,INDIRECT($B$5&amp;"生成成长"),4))/(VLOOKUP(BB$72,INDIRECT($C$5&amp;"生成成长"),5))*(VLOOKUP($B$5,标准坦克设计!$B$24:$U$30,MATCH("对"&amp;LEFT($C$5,2)&amp;"输出",标准坦克设计!$B$23:$U$23,0)))*(VLOOKUP($B81,INDIRECT($B$5&amp;"生成成长"),3))*(VLOOKUP($B$5,标准坦克设计!$B$14:$K$20,9)/30))</f>
        <v>12.710481860536808</v>
      </c>
      <c r="BC81" s="173">
        <f ca="1">(VLOOKUP(BC$72,INDIRECT($C$5&amp;"生成成长"),2))/((VLOOKUP($B81,INDIRECT($B$5&amp;"生成成长"),4))/(VLOOKUP(BC$72,INDIRECT($C$5&amp;"生成成长"),5))*(VLOOKUP($B$5,标准坦克设计!$B$24:$U$30,MATCH("对"&amp;LEFT($C$5,2)&amp;"输出",标准坦克设计!$B$23:$U$23,0)))*(VLOOKUP($B81,INDIRECT($B$5&amp;"生成成长"),3))*(VLOOKUP($B$5,标准坦克设计!$B$14:$K$20,9)/30))</f>
        <v>13.965109188910306</v>
      </c>
      <c r="BD81" s="173">
        <f ca="1">(VLOOKUP(BD$72,INDIRECT($C$5&amp;"生成成长"),2))/((VLOOKUP($B81,INDIRECT($B$5&amp;"生成成长"),4))/(VLOOKUP(BD$72,INDIRECT($C$5&amp;"生成成长"),5))*(VLOOKUP($B$5,标准坦克设计!$B$24:$U$30,MATCH("对"&amp;LEFT($C$5,2)&amp;"输出",标准坦克设计!$B$23:$U$23,0)))*(VLOOKUP($B81,INDIRECT($B$5&amp;"生成成长"),3))*(VLOOKUP($B$5,标准坦克设计!$B$14:$K$20,9)/30))</f>
        <v>15.447137720551503</v>
      </c>
      <c r="BE81" s="173">
        <f ca="1">(VLOOKUP(BE$72,INDIRECT($C$5&amp;"生成成长"),2))/((VLOOKUP($B81,INDIRECT($B$5&amp;"生成成长"),4))/(VLOOKUP(BE$72,INDIRECT($C$5&amp;"生成成长"),5))*(VLOOKUP($B$5,标准坦克设计!$B$24:$U$30,MATCH("对"&amp;LEFT($C$5,2)&amp;"输出",标准坦克设计!$B$23:$U$23,0)))*(VLOOKUP($B81,INDIRECT($B$5&amp;"生成成长"),3))*(VLOOKUP($B$5,标准坦克设计!$B$14:$K$20,9)/30))</f>
        <v>17.00389037983847</v>
      </c>
      <c r="BF81" s="173">
        <f ca="1">(VLOOKUP(BF$72,INDIRECT($C$5&amp;"生成成长"),2))/((VLOOKUP($B81,INDIRECT($B$5&amp;"生成成长"),4))/(VLOOKUP(BF$72,INDIRECT($C$5&amp;"生成成长"),5))*(VLOOKUP($B$5,标准坦克设计!$B$24:$U$30,MATCH("对"&amp;LEFT($C$5,2)&amp;"输出",标准坦克设计!$B$23:$U$23,0)))*(VLOOKUP($B81,INDIRECT($B$5&amp;"生成成长"),3))*(VLOOKUP($B$5,标准坦克设计!$B$14:$K$20,9)/30))</f>
        <v>18.635367166771214</v>
      </c>
      <c r="BG81" s="173">
        <f ca="1">(VLOOKUP(BG$72,INDIRECT($C$5&amp;"生成成长"),2))/((VLOOKUP($B81,INDIRECT($B$5&amp;"生成成长"),4))/(VLOOKUP(BG$72,INDIRECT($C$5&amp;"生成成长"),5))*(VLOOKUP($B$5,标准坦克设计!$B$24:$U$30,MATCH("对"&amp;LEFT($C$5,2)&amp;"输出",标准坦克设计!$B$23:$U$23,0)))*(VLOOKUP($B81,INDIRECT($B$5&amp;"生成成长"),3))*(VLOOKUP($B$5,标准坦克设计!$B$14:$K$20,9)/30))</f>
        <v>20.341568081349731</v>
      </c>
      <c r="BH81" s="173">
        <f ca="1">(VLOOKUP(BH$72,INDIRECT($C$5&amp;"生成成长"),2))/((VLOOKUP($B81,INDIRECT($B$5&amp;"生成成长"),4))/(VLOOKUP(BH$72,INDIRECT($C$5&amp;"生成成长"),5))*(VLOOKUP($B$5,标准坦克设计!$B$24:$U$30,MATCH("对"&amp;LEFT($C$5,2)&amp;"输出",标准坦克设计!$B$23:$U$23,0)))*(VLOOKUP($B81,INDIRECT($B$5&amp;"生成成长"),3))*(VLOOKUP($B$5,标准坦克设计!$B$14:$K$20,9)/30))</f>
        <v>9.8322191660329015</v>
      </c>
      <c r="BI81" s="173">
        <f ca="1">(VLOOKUP(BI$72,INDIRECT($C$5&amp;"生成成长"),2))/((VLOOKUP($B81,INDIRECT($B$5&amp;"生成成长"),4))/(VLOOKUP(BI$72,INDIRECT($C$5&amp;"生成成长"),5))*(VLOOKUP($B$5,标准坦克设计!$B$24:$U$30,MATCH("对"&amp;LEFT($C$5,2)&amp;"输出",标准坦克设计!$B$23:$U$23,0)))*(VLOOKUP($B81,INDIRECT($B$5&amp;"生成成长"),3))*(VLOOKUP($B$5,标准坦克设计!$B$14:$K$20,9)/30))</f>
        <v>11.081772633887239</v>
      </c>
      <c r="BJ81" s="173">
        <f ca="1">(VLOOKUP(BJ$72,INDIRECT($C$5&amp;"生成成长"),2))/((VLOOKUP($B81,INDIRECT($B$5&amp;"生成成长"),4))/(VLOOKUP(BJ$72,INDIRECT($C$5&amp;"生成成长"),5))*(VLOOKUP($B$5,标准坦克设计!$B$24:$U$30,MATCH("对"&amp;LEFT($C$5,2)&amp;"输出",标准坦克设计!$B$23:$U$23,0)))*(VLOOKUP($B81,INDIRECT($B$5&amp;"生成成长"),3))*(VLOOKUP($B$5,标准坦克设计!$B$14:$K$20,9)/30))</f>
        <v>12.406050229387358</v>
      </c>
      <c r="BK81" s="173">
        <f ca="1">(VLOOKUP(BK$72,INDIRECT($C$5&amp;"生成成长"),2))/((VLOOKUP($B81,INDIRECT($B$5&amp;"生成成长"),4))/(VLOOKUP(BK$72,INDIRECT($C$5&amp;"生成成长"),5))*(VLOOKUP($B$5,标准坦克设计!$B$24:$U$30,MATCH("对"&amp;LEFT($C$5,2)&amp;"输出",标准坦克设计!$B$23:$U$23,0)))*(VLOOKUP($B81,INDIRECT($B$5&amp;"生成成长"),3))*(VLOOKUP($B$5,标准坦克设计!$B$14:$K$20,9)/30))</f>
        <v>13.805051952533242</v>
      </c>
      <c r="BL81" s="173">
        <f ca="1">(VLOOKUP(BL$72,INDIRECT($C$5&amp;"生成成长"),2))/((VLOOKUP($B81,INDIRECT($B$5&amp;"生成成长"),4))/(VLOOKUP(BL$72,INDIRECT($C$5&amp;"生成成长"),5))*(VLOOKUP($B$5,标准坦克设计!$B$24:$U$30,MATCH("对"&amp;LEFT($C$5,2)&amp;"输出",标准坦克设计!$B$23:$U$23,0)))*(VLOOKUP($B81,INDIRECT($B$5&amp;"生成成长"),3))*(VLOOKUP($B$5,标准坦克设计!$B$14:$K$20,9)/30))</f>
        <v>15.278777803324909</v>
      </c>
      <c r="BM81" s="173">
        <f ca="1">(VLOOKUP(BM$72,INDIRECT($C$5&amp;"生成成长"),2))/((VLOOKUP($B81,INDIRECT($B$5&amp;"生成成长"),4))/(VLOOKUP(BM$72,INDIRECT($C$5&amp;"生成成长"),5))*(VLOOKUP($B$5,标准坦克设计!$B$24:$U$30,MATCH("对"&amp;LEFT($C$5,2)&amp;"输出",标准坦克设计!$B$23:$U$23,0)))*(VLOOKUP($B81,INDIRECT($B$5&amp;"生成成长"),3))*(VLOOKUP($B$5,标准坦克设计!$B$14:$K$20,9)/30))</f>
        <v>16.82722778176235</v>
      </c>
      <c r="BN81" s="173">
        <f ca="1">(VLOOKUP(BN$72,INDIRECT($C$5&amp;"生成成长"),2))/((VLOOKUP($B81,INDIRECT($B$5&amp;"生成成长"),4))/(VLOOKUP(BN$72,INDIRECT($C$5&amp;"生成成长"),5))*(VLOOKUP($B$5,标准坦克设计!$B$24:$U$30,MATCH("对"&amp;LEFT($C$5,2)&amp;"输出",标准坦克设计!$B$23:$U$23,0)))*(VLOOKUP($B81,INDIRECT($B$5&amp;"生成成长"),3))*(VLOOKUP($B$5,标准坦克设计!$B$14:$K$20,9)/30))</f>
        <v>18.450401887845565</v>
      </c>
      <c r="BO81" s="173">
        <f ca="1">(VLOOKUP(BO$72,INDIRECT($C$5&amp;"生成成长"),2))/((VLOOKUP($B81,INDIRECT($B$5&amp;"生成成长"),4))/(VLOOKUP(BO$72,INDIRECT($C$5&amp;"生成成长"),5))*(VLOOKUP($B$5,标准坦克设计!$B$24:$U$30,MATCH("对"&amp;LEFT($C$5,2)&amp;"输出",标准坦克设计!$B$23:$U$23,0)))*(VLOOKUP($B81,INDIRECT($B$5&amp;"生成成长"),3))*(VLOOKUP($B$5,标准坦克设计!$B$14:$K$20,9)/30))</f>
        <v>20.148300121574547</v>
      </c>
      <c r="BP81" s="173">
        <f ca="1">(VLOOKUP(BP$72,INDIRECT($C$5&amp;"生成成长"),2))/((VLOOKUP($B81,INDIRECT($B$5&amp;"生成成长"),4))/(VLOOKUP(BP$72,INDIRECT($C$5&amp;"生成成长"),5))*(VLOOKUP($B$5,标准坦克设计!$B$24:$U$30,MATCH("对"&amp;LEFT($C$5,2)&amp;"输出",标准坦克设计!$B$23:$U$23,0)))*(VLOOKUP($B81,INDIRECT($B$5&amp;"生成成长"),3))*(VLOOKUP($B$5,标准坦克设计!$B$14:$K$20,9)/30))</f>
        <v>21.920922482949308</v>
      </c>
      <c r="BQ81" s="173">
        <f ca="1">(VLOOKUP(BQ$72,INDIRECT($C$5&amp;"生成成长"),2))/((VLOOKUP($B81,INDIRECT($B$5&amp;"生成成长"),4))/(VLOOKUP(BQ$72,INDIRECT($C$5&amp;"生成成长"),5))*(VLOOKUP($B$5,标准坦克设计!$B$24:$U$30,MATCH("对"&amp;LEFT($C$5,2)&amp;"输出",标准坦克设计!$B$23:$U$23,0)))*(VLOOKUP($B81,INDIRECT($B$5&amp;"生成成长"),3))*(VLOOKUP($B$5,标准坦克设计!$B$14:$K$20,9)/30))</f>
        <v>23.768268971969849</v>
      </c>
      <c r="BR81" s="173">
        <f ca="1">(VLOOKUP(BR$72,INDIRECT($C$5&amp;"生成成长"),2))/((VLOOKUP($B81,INDIRECT($B$5&amp;"生成成长"),4))/(VLOOKUP(BR$72,INDIRECT($C$5&amp;"生成成长"),5))*(VLOOKUP($B$5,标准坦克设计!$B$24:$U$30,MATCH("对"&amp;LEFT($C$5,2)&amp;"输出",标准坦克设计!$B$23:$U$23,0)))*(VLOOKUP($B81,INDIRECT($B$5&amp;"生成成长"),3))*(VLOOKUP($B$5,标准坦克设计!$B$14:$K$20,9)/30))</f>
        <v>25.908515590959929</v>
      </c>
      <c r="BS81" s="173">
        <f ca="1">(VLOOKUP(BS$72,INDIRECT($C$5&amp;"生成成长"),2))/((VLOOKUP($B81,INDIRECT($B$5&amp;"生成成长"),4))/(VLOOKUP(BS$72,INDIRECT($C$5&amp;"生成成长"),5))*(VLOOKUP($B$5,标准坦克设计!$B$24:$U$30,MATCH("对"&amp;LEFT($C$5,2)&amp;"输出",标准坦克设计!$B$23:$U$23,0)))*(VLOOKUP($B81,INDIRECT($B$5&amp;"生成成长"),3))*(VLOOKUP($B$5,标准坦克设计!$B$14:$K$20,9)/30))</f>
        <v>28.141014219389245</v>
      </c>
      <c r="BT81" s="173">
        <f ca="1">(VLOOKUP(BT$72,INDIRECT($C$5&amp;"生成成长"),2))/((VLOOKUP($B81,INDIRECT($B$5&amp;"生成成长"),4))/(VLOOKUP(BT$72,INDIRECT($C$5&amp;"生成成长"),5))*(VLOOKUP($B$5,标准坦克设计!$B$24:$U$30,MATCH("对"&amp;LEFT($C$5,2)&amp;"输出",标准坦克设计!$B$23:$U$23,0)))*(VLOOKUP($B81,INDIRECT($B$5&amp;"生成成长"),3))*(VLOOKUP($B$5,标准坦克设计!$B$14:$K$20,9)/30))</f>
        <v>30.465764857257795</v>
      </c>
      <c r="BU81" s="173">
        <f ca="1">(VLOOKUP(BU$72,INDIRECT($C$5&amp;"生成成长"),2))/((VLOOKUP($B81,INDIRECT($B$5&amp;"生成成长"),4))/(VLOOKUP(BU$72,INDIRECT($C$5&amp;"生成成长"),5))*(VLOOKUP($B$5,标准坦克设计!$B$24:$U$30,MATCH("对"&amp;LEFT($C$5,2)&amp;"输出",标准坦克设计!$B$23:$U$23,0)))*(VLOOKUP($B81,INDIRECT($B$5&amp;"生成成长"),3))*(VLOOKUP($B$5,标准坦克设计!$B$14:$K$20,9)/30))</f>
        <v>32.882767504565564</v>
      </c>
      <c r="BV81" s="173">
        <f ca="1">(VLOOKUP(BV$72,INDIRECT($C$5&amp;"生成成长"),2))/((VLOOKUP($B81,INDIRECT($B$5&amp;"生成成长"),4))/(VLOOKUP(BV$72,INDIRECT($C$5&amp;"生成成长"),5))*(VLOOKUP($B$5,标准坦克设计!$B$24:$U$30,MATCH("对"&amp;LEFT($C$5,2)&amp;"输出",标准坦克设计!$B$23:$U$23,0)))*(VLOOKUP($B81,INDIRECT($B$5&amp;"生成成长"),3))*(VLOOKUP($B$5,标准坦克设计!$B$14:$K$20,9)/30))</f>
        <v>35.392022161312553</v>
      </c>
      <c r="BW81" s="173">
        <f ca="1">(VLOOKUP(BW$72,INDIRECT($C$5&amp;"生成成长"),2))/((VLOOKUP($B81,INDIRECT($B$5&amp;"生成成长"),4))/(VLOOKUP(BW$72,INDIRECT($C$5&amp;"生成成长"),5))*(VLOOKUP($B$5,标准坦克设计!$B$24:$U$30,MATCH("对"&amp;LEFT($C$5,2)&amp;"输出",标准坦克设计!$B$23:$U$23,0)))*(VLOOKUP($B81,INDIRECT($B$5&amp;"生成成长"),3))*(VLOOKUP($B$5,标准坦克设计!$B$14:$K$20,9)/30))</f>
        <v>16.129802590401784</v>
      </c>
      <c r="BX81" s="173">
        <f ca="1">(VLOOKUP(BX$72,INDIRECT($C$5&amp;"生成成长"),2))/((VLOOKUP($B81,INDIRECT($B$5&amp;"生成成长"),4))/(VLOOKUP(BX$72,INDIRECT($C$5&amp;"生成成长"),5))*(VLOOKUP($B$5,标准坦克设计!$B$24:$U$30,MATCH("对"&amp;LEFT($C$5,2)&amp;"输出",标准坦克设计!$B$23:$U$23,0)))*(VLOOKUP($B81,INDIRECT($B$5&amp;"生成成长"),3))*(VLOOKUP($B$5,标准坦克设计!$B$14:$K$20,9)/30))</f>
        <v>17.901041171634958</v>
      </c>
      <c r="BY81" s="173">
        <f ca="1">(VLOOKUP(BY$72,INDIRECT($C$5&amp;"生成成长"),2))/((VLOOKUP($B81,INDIRECT($B$5&amp;"生成成长"),4))/(VLOOKUP(BY$72,INDIRECT($C$5&amp;"生成成长"),5))*(VLOOKUP($B$5,标准坦克设计!$B$24:$U$30,MATCH("对"&amp;LEFT($C$5,2)&amp;"输出",标准坦克设计!$B$23:$U$23,0)))*(VLOOKUP($B81,INDIRECT($B$5&amp;"生成成长"),3))*(VLOOKUP($B$5,标准坦克设计!$B$14:$K$20,9)/30))</f>
        <v>19.764531762307364</v>
      </c>
      <c r="BZ81" s="173">
        <f ca="1">(VLOOKUP(BZ$72,INDIRECT($C$5&amp;"生成成长"),2))/((VLOOKUP($B81,INDIRECT($B$5&amp;"生成成长"),4))/(VLOOKUP(BZ$72,INDIRECT($C$5&amp;"生成成长"),5))*(VLOOKUP($B$5,标准坦克设计!$B$24:$U$30,MATCH("对"&amp;LEFT($C$5,2)&amp;"输出",标准坦克设计!$B$23:$U$23,0)))*(VLOOKUP($B81,INDIRECT($B$5&amp;"生成成长"),3))*(VLOOKUP($B$5,标准坦克设计!$B$14:$K$20,9)/30))</f>
        <v>21.720274362418991</v>
      </c>
      <c r="CA81" s="173">
        <f ca="1">(VLOOKUP(CA$72,INDIRECT($C$5&amp;"生成成长"),2))/((VLOOKUP($B81,INDIRECT($B$5&amp;"生成成长"),4))/(VLOOKUP(CA$72,INDIRECT($C$5&amp;"生成成长"),5))*(VLOOKUP($B$5,标准坦克设计!$B$24:$U$30,MATCH("对"&amp;LEFT($C$5,2)&amp;"输出",标准坦克设计!$B$23:$U$23,0)))*(VLOOKUP($B81,INDIRECT($B$5&amp;"生成成长"),3))*(VLOOKUP($B$5,标准坦克设计!$B$14:$K$20,9)/30))</f>
        <v>23.768268971969849</v>
      </c>
      <c r="CB81" s="173">
        <f ca="1">(VLOOKUP(CB$72,INDIRECT($C$5&amp;"生成成长"),2))/((VLOOKUP($B81,INDIRECT($B$5&amp;"生成成长"),4))/(VLOOKUP(CB$72,INDIRECT($C$5&amp;"生成成长"),5))*(VLOOKUP($B$5,标准坦克设计!$B$24:$U$30,MATCH("对"&amp;LEFT($C$5,2)&amp;"输出",标准坦克设计!$B$23:$U$23,0)))*(VLOOKUP($B81,INDIRECT($B$5&amp;"生成成长"),3))*(VLOOKUP($B$5,标准坦克设计!$B$14:$K$20,9)/30))</f>
        <v>25.908515590959929</v>
      </c>
      <c r="CC81" s="173">
        <f ca="1">(VLOOKUP(CC$72,INDIRECT($C$5&amp;"生成成长"),2))/((VLOOKUP($B81,INDIRECT($B$5&amp;"生成成长"),4))/(VLOOKUP(CC$72,INDIRECT($C$5&amp;"生成成长"),5))*(VLOOKUP($B$5,标准坦克设计!$B$24:$U$30,MATCH("对"&amp;LEFT($C$5,2)&amp;"输出",标准坦克设计!$B$23:$U$23,0)))*(VLOOKUP($B81,INDIRECT($B$5&amp;"生成成长"),3))*(VLOOKUP($B$5,标准坦克设计!$B$14:$K$20,9)/30))</f>
        <v>28.141014219389245</v>
      </c>
      <c r="CD81" s="173">
        <f ca="1">(VLOOKUP(CD$72,INDIRECT($C$5&amp;"生成成长"),2))/((VLOOKUP($B81,INDIRECT($B$5&amp;"生成成长"),4))/(VLOOKUP(CD$72,INDIRECT($C$5&amp;"生成成长"),5))*(VLOOKUP($B$5,标准坦克设计!$B$24:$U$30,MATCH("对"&amp;LEFT($C$5,2)&amp;"输出",标准坦克设计!$B$23:$U$23,0)))*(VLOOKUP($B81,INDIRECT($B$5&amp;"生成成长"),3))*(VLOOKUP($B$5,标准坦克设计!$B$14:$K$20,9)/30))</f>
        <v>30.465764857257795</v>
      </c>
      <c r="CE81" s="173">
        <f ca="1">(VLOOKUP(CE$72,INDIRECT($C$5&amp;"生成成长"),2))/((VLOOKUP($B81,INDIRECT($B$5&amp;"生成成长"),4))/(VLOOKUP(CE$72,INDIRECT($C$5&amp;"生成成长"),5))*(VLOOKUP($B$5,标准坦克设计!$B$24:$U$30,MATCH("对"&amp;LEFT($C$5,2)&amp;"输出",标准坦克设计!$B$23:$U$23,0)))*(VLOOKUP($B81,INDIRECT($B$5&amp;"生成成长"),3))*(VLOOKUP($B$5,标准坦克设计!$B$14:$K$20,9)/30))</f>
        <v>32.882767504565564</v>
      </c>
      <c r="CF81" s="173">
        <f ca="1">(VLOOKUP(CF$72,INDIRECT($C$5&amp;"生成成长"),2))/((VLOOKUP($B81,INDIRECT($B$5&amp;"生成成长"),4))/(VLOOKUP(CF$72,INDIRECT($C$5&amp;"生成成长"),5))*(VLOOKUP($B$5,标准坦克设计!$B$24:$U$30,MATCH("对"&amp;LEFT($C$5,2)&amp;"输出",标准坦克设计!$B$23:$U$23,0)))*(VLOOKUP($B81,INDIRECT($B$5&amp;"生成成长"),3))*(VLOOKUP($B$5,标准坦克设计!$B$14:$K$20,9)/30))</f>
        <v>35.392022161312553</v>
      </c>
      <c r="CG81" s="173">
        <f ca="1">(VLOOKUP(CG$72,INDIRECT($C$5&amp;"生成成长"),2))/((VLOOKUP($B81,INDIRECT($B$5&amp;"生成成长"),4))/(VLOOKUP(CG$72,INDIRECT($C$5&amp;"生成成长"),5))*(VLOOKUP($B$5,标准坦克设计!$B$24:$U$30,MATCH("对"&amp;LEFT($C$5,2)&amp;"输出",标准坦克设计!$B$23:$U$23,0)))*(VLOOKUP($B81,INDIRECT($B$5&amp;"生成成长"),3))*(VLOOKUP($B$5,标准坦克设计!$B$14:$K$20,9)/30))</f>
        <v>37.993528827498778</v>
      </c>
      <c r="CH81" s="173">
        <f ca="1">(VLOOKUP(CH$72,INDIRECT($C$5&amp;"生成成长"),2))/((VLOOKUP($B81,INDIRECT($B$5&amp;"生成成长"),4))/(VLOOKUP(CH$72,INDIRECT($C$5&amp;"生成成长"),5))*(VLOOKUP($B$5,标准坦克设计!$B$24:$U$30,MATCH("对"&amp;LEFT($C$5,2)&amp;"输出",标准坦克设计!$B$23:$U$23,0)))*(VLOOKUP($B81,INDIRECT($B$5&amp;"生成成长"),3))*(VLOOKUP($B$5,标准坦克设计!$B$14:$K$20,9)/30))</f>
        <v>40.687287503124224</v>
      </c>
      <c r="CI81" s="173">
        <f ca="1">(VLOOKUP(CI$72,INDIRECT($C$5&amp;"生成成长"),2))/((VLOOKUP($B81,INDIRECT($B$5&amp;"生成成长"),4))/(VLOOKUP(CI$72,INDIRECT($C$5&amp;"生成成长"),5))*(VLOOKUP($B$5,标准坦克设计!$B$24:$U$30,MATCH("对"&amp;LEFT($C$5,2)&amp;"输出",标准坦克设计!$B$23:$U$23,0)))*(VLOOKUP($B81,INDIRECT($B$5&amp;"生成成长"),3))*(VLOOKUP($B$5,标准坦克设计!$B$14:$K$20,9)/30))</f>
        <v>43.756973117214528</v>
      </c>
      <c r="CJ81" s="173">
        <f ca="1">(VLOOKUP(CJ$72,INDIRECT($C$5&amp;"生成成长"),2))/((VLOOKUP($B81,INDIRECT($B$5&amp;"生成成长"),4))/(VLOOKUP(CJ$72,INDIRECT($C$5&amp;"生成成长"),5))*(VLOOKUP($B$5,标准坦克设计!$B$24:$U$30,MATCH("对"&amp;LEFT($C$5,2)&amp;"输出",标准坦克设计!$B$23:$U$23,0)))*(VLOOKUP($B81,INDIRECT($B$5&amp;"生成成长"),3))*(VLOOKUP($B$5,标准坦克设计!$B$14:$K$20,9)/30))</f>
        <v>46.938283662726306</v>
      </c>
      <c r="CK81" s="173">
        <f ca="1">(VLOOKUP(CK$72,INDIRECT($C$5&amp;"生成成长"),2))/((VLOOKUP($B81,INDIRECT($B$5&amp;"生成成长"),4))/(VLOOKUP(CK$72,INDIRECT($C$5&amp;"生成成长"),5))*(VLOOKUP($B$5,标准坦克设计!$B$24:$U$30,MATCH("对"&amp;LEFT($C$5,2)&amp;"输出",标准坦克设计!$B$23:$U$23,0)))*(VLOOKUP($B81,INDIRECT($B$5&amp;"生成成长"),3))*(VLOOKUP($B$5,标准坦克设计!$B$14:$K$20,9)/30))</f>
        <v>50.231219139659544</v>
      </c>
      <c r="CL81" s="173">
        <f ca="1">(VLOOKUP(CL$72,INDIRECT($C$5&amp;"生成成长"),2))/((VLOOKUP($B81,INDIRECT($B$5&amp;"生成成长"),4))/(VLOOKUP(CL$72,INDIRECT($C$5&amp;"生成成长"),5))*(VLOOKUP($B$5,标准坦克设计!$B$24:$U$30,MATCH("对"&amp;LEFT($C$5,2)&amp;"输出",标准坦克设计!$B$23:$U$23,0)))*(VLOOKUP($B81,INDIRECT($B$5&amp;"生成成长"),3))*(VLOOKUP($B$5,标准坦克设计!$B$14:$K$20,9)/30))</f>
        <v>53.635779548014241</v>
      </c>
      <c r="CM81" s="173">
        <f ca="1">(VLOOKUP(CM$72,INDIRECT($C$5&amp;"生成成长"),2))/((VLOOKUP($B81,INDIRECT($B$5&amp;"生成成长"),4))/(VLOOKUP(CM$72,INDIRECT($C$5&amp;"生成成长"),5))*(VLOOKUP($B$5,标准坦克设计!$B$24:$U$30,MATCH("对"&amp;LEFT($C$5,2)&amp;"输出",标准坦克设计!$B$23:$U$23,0)))*(VLOOKUP($B81,INDIRECT($B$5&amp;"生成成长"),3))*(VLOOKUP($B$5,标准坦克设计!$B$14:$K$20,9)/30))</f>
        <v>57.15196488779042</v>
      </c>
      <c r="CN81" s="173">
        <f ca="1">(VLOOKUP(CN$72,INDIRECT($C$5&amp;"生成成长"),2))/((VLOOKUP($B81,INDIRECT($B$5&amp;"生成成长"),4))/(VLOOKUP(CN$72,INDIRECT($C$5&amp;"生成成长"),5))*(VLOOKUP($B$5,标准坦克设计!$B$24:$U$30,MATCH("对"&amp;LEFT($C$5,2)&amp;"输出",标准坦克设计!$B$23:$U$23,0)))*(VLOOKUP($B81,INDIRECT($B$5&amp;"生成成长"),3))*(VLOOKUP($B$5,标准坦克设计!$B$14:$K$20,9)/30))</f>
        <v>60.779775158988045</v>
      </c>
      <c r="CO81" s="173">
        <f ca="1">(VLOOKUP(CO$72,INDIRECT($C$5&amp;"生成成长"),2))/((VLOOKUP($B81,INDIRECT($B$5&amp;"生成成长"),4))/(VLOOKUP(CO$72,INDIRECT($C$5&amp;"生成成长"),5))*(VLOOKUP($B$5,标准坦克设计!$B$24:$U$30,MATCH("对"&amp;LEFT($C$5,2)&amp;"输出",标准坦克设计!$B$23:$U$23,0)))*(VLOOKUP($B81,INDIRECT($B$5&amp;"生成成长"),3))*(VLOOKUP($B$5,标准坦克设计!$B$14:$K$20,9)/30))</f>
        <v>27.236944526884809</v>
      </c>
      <c r="CP81" s="173">
        <f ca="1">(VLOOKUP(CP$72,INDIRECT($C$5&amp;"生成成长"),2))/((VLOOKUP($B81,INDIRECT($B$5&amp;"生成成长"),4))/(VLOOKUP(CP$72,INDIRECT($C$5&amp;"生成成长"),5))*(VLOOKUP($B$5,标准坦克设计!$B$24:$U$30,MATCH("对"&amp;LEFT($C$5,2)&amp;"输出",标准坦克设计!$B$23:$U$23,0)))*(VLOOKUP($B81,INDIRECT($B$5&amp;"生成成长"),3))*(VLOOKUP($B$5,标准坦克设计!$B$14:$K$20,9)/30))</f>
        <v>29.758653204906103</v>
      </c>
      <c r="CQ81" s="173">
        <f ca="1">(VLOOKUP(CQ$72,INDIRECT($C$5&amp;"生成成长"),2))/((VLOOKUP($B81,INDIRECT($B$5&amp;"生成成长"),4))/(VLOOKUP(CQ$72,INDIRECT($C$5&amp;"生成成长"),5))*(VLOOKUP($B$5,标准坦克设计!$B$24:$U$30,MATCH("对"&amp;LEFT($C$5,2)&amp;"输出",标准坦克设计!$B$23:$U$23,0)))*(VLOOKUP($B81,INDIRECT($B$5&amp;"生成成长"),3))*(VLOOKUP($B$5,标准坦克设计!$B$14:$K$20,9)/30))</f>
        <v>32.391986814348869</v>
      </c>
      <c r="CR81" s="173">
        <f ca="1">(VLOOKUP(CR$72,INDIRECT($C$5&amp;"生成成长"),2))/((VLOOKUP($B81,INDIRECT($B$5&amp;"生成成长"),4))/(VLOOKUP(CR$72,INDIRECT($C$5&amp;"生成成长"),5))*(VLOOKUP($B$5,标准坦克设计!$B$24:$U$30,MATCH("对"&amp;LEFT($C$5,2)&amp;"输出",标准坦克设计!$B$23:$U$23,0)))*(VLOOKUP($B81,INDIRECT($B$5&amp;"生成成长"),3))*(VLOOKUP($B$5,标准坦克设计!$B$14:$K$20,9)/30))</f>
        <v>35.136945355213093</v>
      </c>
      <c r="CS81" s="173">
        <f ca="1">(VLOOKUP(CS$72,INDIRECT($C$5&amp;"生成成长"),2))/((VLOOKUP($B81,INDIRECT($B$5&amp;"生成成长"),4))/(VLOOKUP(CS$72,INDIRECT($C$5&amp;"生成成长"),5))*(VLOOKUP($B$5,标准坦克设计!$B$24:$U$30,MATCH("对"&amp;LEFT($C$5,2)&amp;"输出",标准坦克设计!$B$23:$U$23,0)))*(VLOOKUP($B81,INDIRECT($B$5&amp;"生成成长"),3))*(VLOOKUP($B$5,标准坦克设计!$B$14:$K$20,9)/30))</f>
        <v>37.993528827498778</v>
      </c>
      <c r="CT81" s="173">
        <f ca="1">(VLOOKUP(CT$72,INDIRECT($C$5&amp;"生成成长"),2))/((VLOOKUP($B81,INDIRECT($B$5&amp;"生成成长"),4))/(VLOOKUP(CT$72,INDIRECT($C$5&amp;"生成成长"),5))*(VLOOKUP($B$5,标准坦克设计!$B$24:$U$30,MATCH("对"&amp;LEFT($C$5,2)&amp;"输出",标准坦克设计!$B$23:$U$23,0)))*(VLOOKUP($B81,INDIRECT($B$5&amp;"生成成长"),3))*(VLOOKUP($B$5,标准坦克设计!$B$14:$K$20,9)/30))</f>
        <v>40.96173723120593</v>
      </c>
      <c r="CU81" s="173">
        <f ca="1">(VLOOKUP(CU$72,INDIRECT($C$5&amp;"生成成长"),2))/((VLOOKUP($B81,INDIRECT($B$5&amp;"生成成长"),4))/(VLOOKUP(CU$72,INDIRECT($C$5&amp;"生成成长"),5))*(VLOOKUP($B$5,标准坦克设计!$B$24:$U$30,MATCH("对"&amp;LEFT($C$5,2)&amp;"输出",标准坦克设计!$B$23:$U$23,0)))*(VLOOKUP($B81,INDIRECT($B$5&amp;"生成成长"),3))*(VLOOKUP($B$5,标准坦克设计!$B$14:$K$20,9)/30))</f>
        <v>44.041570566334549</v>
      </c>
      <c r="CV81" s="173">
        <f ca="1">(VLOOKUP(CV$72,INDIRECT($C$5&amp;"生成成长"),2))/((VLOOKUP($B81,INDIRECT($B$5&amp;"生成成长"),4))/(VLOOKUP(CV$72,INDIRECT($C$5&amp;"生成成长"),5))*(VLOOKUP($B$5,标准坦克设计!$B$24:$U$30,MATCH("对"&amp;LEFT($C$5,2)&amp;"输出",标准坦克设计!$B$23:$U$23,0)))*(VLOOKUP($B81,INDIRECT($B$5&amp;"生成成长"),3))*(VLOOKUP($B$5,标准坦克设计!$B$14:$K$20,9)/30))</f>
        <v>47.233028832884635</v>
      </c>
      <c r="CW81" s="173">
        <f ca="1">(VLOOKUP(CW$72,INDIRECT($C$5&amp;"生成成长"),2))/((VLOOKUP($B81,INDIRECT($B$5&amp;"生成成长"),4))/(VLOOKUP(CW$72,INDIRECT($C$5&amp;"生成成长"),5))*(VLOOKUP($B$5,标准坦克设计!$B$24:$U$30,MATCH("对"&amp;LEFT($C$5,2)&amp;"输出",标准坦克设计!$B$23:$U$23,0)))*(VLOOKUP($B81,INDIRECT($B$5&amp;"生成成长"),3))*(VLOOKUP($B$5,标准坦克设计!$B$14:$K$20,9)/30))</f>
        <v>50.536112030856188</v>
      </c>
      <c r="CX81" s="173">
        <f ca="1">(VLOOKUP(CX$72,INDIRECT($C$5&amp;"生成成长"),2))/((VLOOKUP($B81,INDIRECT($B$5&amp;"生成成长"),4))/(VLOOKUP(CX$72,INDIRECT($C$5&amp;"生成成长"),5))*(VLOOKUP($B$5,标准坦克设计!$B$24:$U$30,MATCH("对"&amp;LEFT($C$5,2)&amp;"输出",标准坦克设计!$B$23:$U$23,0)))*(VLOOKUP($B81,INDIRECT($B$5&amp;"生成成长"),3))*(VLOOKUP($B$5,标准坦克设计!$B$14:$K$20,9)/30))</f>
        <v>53.950820160249215</v>
      </c>
      <c r="CY81" s="173">
        <f ca="1">(VLOOKUP(CY$72,INDIRECT($C$5&amp;"生成成长"),2))/((VLOOKUP($B81,INDIRECT($B$5&amp;"生成成长"),4))/(VLOOKUP(CY$72,INDIRECT($C$5&amp;"生成成长"),5))*(VLOOKUP($B$5,标准坦克设计!$B$24:$U$30,MATCH("对"&amp;LEFT($C$5,2)&amp;"输出",标准坦克设计!$B$23:$U$23,0)))*(VLOOKUP($B81,INDIRECT($B$5&amp;"生成成长"),3))*(VLOOKUP($B$5,标准坦克设计!$B$14:$K$20,9)/30))</f>
        <v>57.477153221063688</v>
      </c>
      <c r="CZ81" s="173">
        <f ca="1">(VLOOKUP(CZ$72,INDIRECT($C$5&amp;"生成成长"),2))/((VLOOKUP($B81,INDIRECT($B$5&amp;"生成成长"),4))/(VLOOKUP(CZ$72,INDIRECT($C$5&amp;"生成成长"),5))*(VLOOKUP($B$5,标准坦克设计!$B$24:$U$30,MATCH("对"&amp;LEFT($C$5,2)&amp;"输出",标准坦克设计!$B$23:$U$23,0)))*(VLOOKUP($B81,INDIRECT($B$5&amp;"生成成长"),3))*(VLOOKUP($B$5,标准坦克设计!$B$14:$K$20,9)/30))</f>
        <v>61.115111213299635</v>
      </c>
      <c r="DA81" s="173">
        <f ca="1">(VLOOKUP(DA$72,INDIRECT($C$5&amp;"生成成长"),2))/((VLOOKUP($B81,INDIRECT($B$5&amp;"生成成长"),4))/(VLOOKUP(DA$72,INDIRECT($C$5&amp;"生成成长"),5))*(VLOOKUP($B$5,标准坦克设计!$B$24:$U$30,MATCH("对"&amp;LEFT($C$5,2)&amp;"输出",标准坦克设计!$B$23:$U$23,0)))*(VLOOKUP($B81,INDIRECT($B$5&amp;"生成成长"),3))*(VLOOKUP($B$5,标准坦克设计!$B$14:$K$20,9)/30))</f>
        <v>64.864694136957041</v>
      </c>
      <c r="DB81" s="173">
        <f ca="1">(VLOOKUP(DB$72,INDIRECT($C$5&amp;"生成成长"),2))/((VLOOKUP($B81,INDIRECT($B$5&amp;"生成成长"),4))/(VLOOKUP(DB$72,INDIRECT($C$5&amp;"生成成长"),5))*(VLOOKUP($B$5,标准坦克设计!$B$24:$U$30,MATCH("对"&amp;LEFT($C$5,2)&amp;"输出",标准坦克设计!$B$23:$U$23,0)))*(VLOOKUP($B81,INDIRECT($B$5&amp;"生成成长"),3))*(VLOOKUP($B$5,标准坦克设计!$B$14:$K$20,9)/30))</f>
        <v>68.725901992035929</v>
      </c>
      <c r="DC81" s="173">
        <f ca="1">(VLOOKUP(DC$72,INDIRECT($C$5&amp;"生成成长"),2))/((VLOOKUP($B81,INDIRECT($B$5&amp;"生成成长"),4))/(VLOOKUP(DC$72,INDIRECT($C$5&amp;"生成成长"),5))*(VLOOKUP($B$5,标准坦克设计!$B$24:$U$30,MATCH("对"&amp;LEFT($C$5,2)&amp;"输出",标准坦克设计!$B$23:$U$23,0)))*(VLOOKUP($B81,INDIRECT($B$5&amp;"生成成长"),3))*(VLOOKUP($B$5,标准坦克设计!$B$14:$K$20,9)/30))</f>
        <v>73.065436516057204</v>
      </c>
      <c r="DD81" s="173">
        <f ca="1">(VLOOKUP(DD$72,INDIRECT($C$5&amp;"生成成长"),2))/((VLOOKUP($B81,INDIRECT($B$5&amp;"生成成长"),4))/(VLOOKUP(DD$72,INDIRECT($C$5&amp;"生成成长"),5))*(VLOOKUP($B$5,标准坦克设计!$B$24:$U$30,MATCH("对"&amp;LEFT($C$5,2)&amp;"输出",标准坦克设计!$B$23:$U$23,0)))*(VLOOKUP($B81,INDIRECT($B$5&amp;"生成成长"),3))*(VLOOKUP($B$5,标准坦克设计!$B$14:$K$20,9)/30))</f>
        <v>77.537813933670975</v>
      </c>
      <c r="DE81" s="173">
        <f ca="1">(VLOOKUP(DE$72,INDIRECT($C$5&amp;"生成成长"),2))/((VLOOKUP($B81,INDIRECT($B$5&amp;"生成成长"),4))/(VLOOKUP(DE$72,INDIRECT($C$5&amp;"生成成长"),5))*(VLOOKUP($B$5,标准坦克设计!$B$24:$U$30,MATCH("对"&amp;LEFT($C$5,2)&amp;"输出",标准坦克设计!$B$23:$U$23,0)))*(VLOOKUP($B81,INDIRECT($B$5&amp;"生成成长"),3))*(VLOOKUP($B$5,标准坦克设计!$B$14:$K$20,9)/30))</f>
        <v>82.143034244877242</v>
      </c>
      <c r="DF81" s="173">
        <f ca="1">(VLOOKUP(DF$72,INDIRECT($C$5&amp;"生成成长"),2))/((VLOOKUP($B81,INDIRECT($B$5&amp;"生成成长"),4))/(VLOOKUP(DF$72,INDIRECT($C$5&amp;"生成成长"),5))*(VLOOKUP($B$5,标准坦克设计!$B$24:$U$30,MATCH("对"&amp;LEFT($C$5,2)&amp;"输出",标准坦克设计!$B$23:$U$23,0)))*(VLOOKUP($B81,INDIRECT($B$5&amp;"生成成长"),3))*(VLOOKUP($B$5,标准坦克设计!$B$14:$K$20,9)/30))</f>
        <v>86.881097449675963</v>
      </c>
      <c r="DG81" s="173">
        <f ca="1">(VLOOKUP(DG$72,INDIRECT($C$5&amp;"生成成长"),2))/((VLOOKUP($B81,INDIRECT($B$5&amp;"生成成长"),4))/(VLOOKUP(DG$72,INDIRECT($C$5&amp;"生成成长"),5))*(VLOOKUP($B$5,标准坦克设计!$B$24:$U$30,MATCH("对"&amp;LEFT($C$5,2)&amp;"输出",标准坦克设计!$B$23:$U$23,0)))*(VLOOKUP($B81,INDIRECT($B$5&amp;"生成成长"),3))*(VLOOKUP($B$5,标准坦克设计!$B$14:$K$20,9)/30))</f>
        <v>91.752003548067179</v>
      </c>
      <c r="DH81" s="173">
        <f ca="1">(VLOOKUP(DH$72,INDIRECT($C$5&amp;"生成成长"),2))/((VLOOKUP($B81,INDIRECT($B$5&amp;"生成成长"),4))/(VLOOKUP(DH$72,INDIRECT($C$5&amp;"生成成长"),5))*(VLOOKUP($B$5,标准坦克设计!$B$24:$U$30,MATCH("对"&amp;LEFT($C$5,2)&amp;"输出",标准坦克设计!$B$23:$U$23,0)))*(VLOOKUP($B81,INDIRECT($B$5&amp;"生成成长"),3))*(VLOOKUP($B$5,标准坦克设计!$B$14:$K$20,9)/30))</f>
        <v>96.755752540050921</v>
      </c>
      <c r="DI81" s="173">
        <f ca="1">(VLOOKUP(DI$72,INDIRECT($C$5&amp;"生成成长"),2))/((VLOOKUP($B81,INDIRECT($B$5&amp;"生成成长"),4))/(VLOOKUP(DI$72,INDIRECT($C$5&amp;"生成成长"),5))*(VLOOKUP($B$5,标准坦克设计!$B$24:$U$30,MATCH("对"&amp;LEFT($C$5,2)&amp;"输出",标准坦克设计!$B$23:$U$23,0)))*(VLOOKUP($B81,INDIRECT($B$5&amp;"生成成长"),3))*(VLOOKUP($B$5,标准坦克设计!$B$14:$K$20,9)/30))</f>
        <v>101.89234442562713</v>
      </c>
      <c r="DJ81" s="173">
        <f ca="1">(VLOOKUP(DJ$72,INDIRECT($C$5&amp;"生成成长"),2))/((VLOOKUP($B81,INDIRECT($B$5&amp;"生成成长"),4))/(VLOOKUP(DJ$72,INDIRECT($C$5&amp;"生成成长"),5))*(VLOOKUP($B$5,标准坦克设计!$B$24:$U$30,MATCH("对"&amp;LEFT($C$5,2)&amp;"输出",标准坦克设计!$B$23:$U$23,0)))*(VLOOKUP($B81,INDIRECT($B$5&amp;"生成成长"),3))*(VLOOKUP($B$5,标准坦克设计!$B$14:$K$20,9)/30))</f>
        <v>10.240434307801483</v>
      </c>
      <c r="DK81" s="173">
        <f ca="1">(VLOOKUP(DK$72,INDIRECT($C$5&amp;"生成成长"),2))/((VLOOKUP($B81,INDIRECT($B$5&amp;"生成成长"),4))/(VLOOKUP(DK$72,INDIRECT($C$5&amp;"生成成长"),5))*(VLOOKUP($B$5,标准坦克设计!$B$24:$U$30,MATCH("对"&amp;LEFT($C$5,2)&amp;"输出",标准坦克设计!$B$23:$U$23,0)))*(VLOOKUP($B81,INDIRECT($B$5&amp;"生成成长"),3))*(VLOOKUP($B$5,标准坦克设计!$B$14:$K$20,9)/30))</f>
        <v>11.514895818204417</v>
      </c>
      <c r="DL81" s="173">
        <f ca="1">(VLOOKUP(DL$72,INDIRECT($C$5&amp;"生成成长"),2))/((VLOOKUP($B81,INDIRECT($B$5&amp;"生成成长"),4))/(VLOOKUP(DL$72,INDIRECT($C$5&amp;"生成成长"),5))*(VLOOKUP($B$5,标准坦克设计!$B$24:$U$30,MATCH("对"&amp;LEFT($C$5,2)&amp;"输出",标准坦克设计!$B$23:$U$23,0)))*(VLOOKUP($B81,INDIRECT($B$5&amp;"生成成长"),3))*(VLOOKUP($B$5,标准坦克设计!$B$14:$K$20,9)/30))</f>
        <v>12.864081456253121</v>
      </c>
      <c r="DM81" s="173">
        <f ca="1">(VLOOKUP(DM$72,INDIRECT($C$5&amp;"生成成长"),2))/((VLOOKUP($B81,INDIRECT($B$5&amp;"生成成长"),4))/(VLOOKUP(DM$72,INDIRECT($C$5&amp;"生成成长"),5))*(VLOOKUP($B$5,标准坦克设计!$B$24:$U$30,MATCH("对"&amp;LEFT($C$5,2)&amp;"输出",标准坦克设计!$B$23:$U$23,0)))*(VLOOKUP($B81,INDIRECT($B$5&amp;"生成成长"),3))*(VLOOKUP($B$5,标准坦克设计!$B$14:$K$20,9)/30))</f>
        <v>14.287991221947605</v>
      </c>
      <c r="DN81" s="173">
        <f ca="1">(VLOOKUP(DN$72,INDIRECT($C$5&amp;"生成成长"),2))/((VLOOKUP($B81,INDIRECT($B$5&amp;"生成成长"),4))/(VLOOKUP(DN$72,INDIRECT($C$5&amp;"生成成长"),5))*(VLOOKUP($B$5,标准坦克设计!$B$24:$U$30,MATCH("对"&amp;LEFT($C$5,2)&amp;"输出",标准坦克设计!$B$23:$U$23,0)))*(VLOOKUP($B81,INDIRECT($B$5&amp;"生成成长"),3))*(VLOOKUP($B$5,标准坦克设计!$B$14:$K$20,9)/30))</f>
        <v>15.786625115287858</v>
      </c>
      <c r="DO81" s="173">
        <f ca="1">(VLOOKUP(DO$72,INDIRECT($C$5&amp;"生成成长"),2))/((VLOOKUP($B81,INDIRECT($B$5&amp;"生成成长"),4))/(VLOOKUP(DO$72,INDIRECT($C$5&amp;"生成成长"),5))*(VLOOKUP($B$5,标准坦克设计!$B$24:$U$30,MATCH("对"&amp;LEFT($C$5,2)&amp;"输出",标准坦克设计!$B$23:$U$23,0)))*(VLOOKUP($B81,INDIRECT($B$5&amp;"生成成长"),3))*(VLOOKUP($B$5,标准坦克设计!$B$14:$K$20,9)/30))</f>
        <v>17.35998313627389</v>
      </c>
      <c r="DP81" s="173">
        <f ca="1">(VLOOKUP(DP$72,INDIRECT($C$5&amp;"生成成长"),2))/((VLOOKUP($B81,INDIRECT($B$5&amp;"生成成长"),4))/(VLOOKUP(DP$72,INDIRECT($C$5&amp;"生成成长"),5))*(VLOOKUP($B$5,标准坦克设计!$B$24:$U$30,MATCH("对"&amp;LEFT($C$5,2)&amp;"输出",标准坦克设计!$B$23:$U$23,0)))*(VLOOKUP($B81,INDIRECT($B$5&amp;"生成成长"),3))*(VLOOKUP($B$5,标准坦克设计!$B$14:$K$20,9)/30))</f>
        <v>19.00806528490569</v>
      </c>
      <c r="DQ81" s="173">
        <f ca="1">(VLOOKUP(DQ$72,INDIRECT($C$5&amp;"生成成长"),2))/((VLOOKUP($B81,INDIRECT($B$5&amp;"生成成长"),4))/(VLOOKUP(DQ$72,INDIRECT($C$5&amp;"生成成长"),5))*(VLOOKUP($B$5,标准坦克设计!$B$24:$U$30,MATCH("对"&amp;LEFT($C$5,2)&amp;"输出",标准坦克设计!$B$23:$U$23,0)))*(VLOOKUP($B81,INDIRECT($B$5&amp;"生成成长"),3))*(VLOOKUP($B$5,标准坦克设计!$B$14:$K$20,9)/30))</f>
        <v>20.730871561183275</v>
      </c>
      <c r="DR81" s="173">
        <f ca="1">(VLOOKUP(DR$72,INDIRECT($C$5&amp;"生成成长"),2))/((VLOOKUP($B81,INDIRECT($B$5&amp;"生成成长"),4))/(VLOOKUP(DR$72,INDIRECT($C$5&amp;"生成成长"),5))*(VLOOKUP($B$5,标准坦克设计!$B$24:$U$30,MATCH("对"&amp;LEFT($C$5,2)&amp;"输出",标准坦克设计!$B$23:$U$23,0)))*(VLOOKUP($B81,INDIRECT($B$5&amp;"生成成长"),3))*(VLOOKUP($B$5,标准坦克设计!$B$14:$K$20,9)/30))</f>
        <v>22.528401965106632</v>
      </c>
      <c r="DS81" s="173">
        <f ca="1">(VLOOKUP(DS$72,INDIRECT($C$5&amp;"生成成长"),2))/((VLOOKUP($B81,INDIRECT($B$5&amp;"生成成长"),4))/(VLOOKUP(DS$72,INDIRECT($C$5&amp;"生成成长"),5))*(VLOOKUP($B$5,标准坦克设计!$B$24:$U$30,MATCH("对"&amp;LEFT($C$5,2)&amp;"输出",标准坦克设计!$B$23:$U$23,0)))*(VLOOKUP($B81,INDIRECT($B$5&amp;"生成成长"),3))*(VLOOKUP($B$5,标准坦克设计!$B$14:$K$20,9)/30))</f>
        <v>24.400656496675754</v>
      </c>
      <c r="DT81" s="173">
        <f ca="1">(VLOOKUP(DT$72,INDIRECT($C$5&amp;"生成成长"),2))/((VLOOKUP($B81,INDIRECT($B$5&amp;"生成成长"),4))/(VLOOKUP(DT$72,INDIRECT($C$5&amp;"生成成长"),5))*(VLOOKUP($B$5,标准坦克设计!$B$24:$U$30,MATCH("对"&amp;LEFT($C$5,2)&amp;"输出",标准坦克设计!$B$23:$U$23,0)))*(VLOOKUP($B81,INDIRECT($B$5&amp;"生成成长"),3))*(VLOOKUP($B$5,标准坦克设计!$B$14:$K$20,9)/30))</f>
        <v>26.790444801198952</v>
      </c>
      <c r="DU81" s="173">
        <f ca="1">(VLOOKUP(DU$72,INDIRECT($C$5&amp;"生成成长"),2))/((VLOOKUP($B81,INDIRECT($B$5&amp;"生成成长"),4))/(VLOOKUP(DU$72,INDIRECT($C$5&amp;"生成成长"),5))*(VLOOKUP($B$5,标准坦克设计!$B$24:$U$30,MATCH("对"&amp;LEFT($C$5,2)&amp;"输出",标准坦克设计!$B$23:$U$23,0)))*(VLOOKUP($B81,INDIRECT($B$5&amp;"生成成长"),3))*(VLOOKUP($B$5,标准坦克设计!$B$14:$K$20,9)/30))</f>
        <v>29.291858037143609</v>
      </c>
      <c r="DV81" s="173">
        <f ca="1">(VLOOKUP(DV$72,INDIRECT($C$5&amp;"生成成长"),2))/((VLOOKUP($B81,INDIRECT($B$5&amp;"生成成长"),4))/(VLOOKUP(DV$72,INDIRECT($C$5&amp;"生成成长"),5))*(VLOOKUP($B$5,标准坦克设计!$B$24:$U$30,MATCH("对"&amp;LEFT($C$5,2)&amp;"输出",标准坦克设计!$B$23:$U$23,0)))*(VLOOKUP($B81,INDIRECT($B$5&amp;"生成成长"),3))*(VLOOKUP($B$5,标准坦克设计!$B$14:$K$20,9)/30))</f>
        <v>31.904896204509743</v>
      </c>
      <c r="DW81" s="173">
        <f ca="1">(VLOOKUP(DW$72,INDIRECT($C$5&amp;"生成成长"),2))/((VLOOKUP($B81,INDIRECT($B$5&amp;"生成成长"),4))/(VLOOKUP(DW$72,INDIRECT($C$5&amp;"生成成长"),5))*(VLOOKUP($B$5,标准坦克设计!$B$24:$U$30,MATCH("对"&amp;LEFT($C$5,2)&amp;"输出",标准坦克设计!$B$23:$U$23,0)))*(VLOOKUP($B81,INDIRECT($B$5&amp;"生成成长"),3))*(VLOOKUP($B$5,标准坦克设计!$B$14:$K$20,9)/30))</f>
        <v>34.629559303297334</v>
      </c>
      <c r="DX81" s="173">
        <f ca="1">(VLOOKUP(DX$72,INDIRECT($C$5&amp;"生成成长"),2))/((VLOOKUP($B81,INDIRECT($B$5&amp;"生成成长"),4))/(VLOOKUP(DX$72,INDIRECT($C$5&amp;"生成成长"),5))*(VLOOKUP($B$5,标准坦克设计!$B$24:$U$30,MATCH("对"&amp;LEFT($C$5,2)&amp;"输出",标准坦克设计!$B$23:$U$23,0)))*(VLOOKUP($B81,INDIRECT($B$5&amp;"生成成长"),3))*(VLOOKUP($B$5,标准坦克设计!$B$14:$K$20,9)/30))</f>
        <v>37.465847333506396</v>
      </c>
      <c r="DY81" s="173">
        <f ca="1">(VLOOKUP(DY$72,INDIRECT($C$5&amp;"生成成长"),2))/((VLOOKUP($B81,INDIRECT($B$5&amp;"生成成长"),4))/(VLOOKUP(DY$72,INDIRECT($C$5&amp;"生成成长"),5))*(VLOOKUP($B$5,标准坦克设计!$B$24:$U$30,MATCH("对"&amp;LEFT($C$5,2)&amp;"输出",标准坦克设计!$B$23:$U$23,0)))*(VLOOKUP($B81,INDIRECT($B$5&amp;"生成成长"),3))*(VLOOKUP($B$5,标准坦克设计!$B$14:$K$20,9)/30))</f>
        <v>16.82722778176235</v>
      </c>
      <c r="DZ81" s="173">
        <f ca="1">(VLOOKUP(DZ$72,INDIRECT($C$5&amp;"生成成长"),2))/((VLOOKUP($B81,INDIRECT($B$5&amp;"生成成长"),4))/(VLOOKUP(DZ$72,INDIRECT($C$5&amp;"生成成长"),5))*(VLOOKUP($B$5,标准坦克设计!$B$24:$U$30,MATCH("对"&amp;LEFT($C$5,2)&amp;"输出",标准坦克设计!$B$23:$U$23,0)))*(VLOOKUP($B81,INDIRECT($B$5&amp;"生成成长"),3))*(VLOOKUP($B$5,标准坦克设计!$B$14:$K$20,9)/30))</f>
        <v>18.635367166771214</v>
      </c>
      <c r="EA81" s="173">
        <f ca="1">(VLOOKUP(EA$72,INDIRECT($C$5&amp;"生成成长"),2))/((VLOOKUP($B81,INDIRECT($B$5&amp;"生成成长"),4))/(VLOOKUP(EA$72,INDIRECT($C$5&amp;"生成成长"),5))*(VLOOKUP($B$5,标准坦克设计!$B$24:$U$30,MATCH("对"&amp;LEFT($C$5,2)&amp;"输出",标准坦克设计!$B$23:$U$23,0)))*(VLOOKUP($B81,INDIRECT($B$5&amp;"生成成长"),3))*(VLOOKUP($B$5,标准坦克设计!$B$14:$K$20,9)/30))</f>
        <v>20.535758561219311</v>
      </c>
      <c r="EB81" s="173">
        <f ca="1">(VLOOKUP(EB$72,INDIRECT($C$5&amp;"生成成长"),2))/((VLOOKUP($B81,INDIRECT($B$5&amp;"生成成长"),4))/(VLOOKUP(EB$72,INDIRECT($C$5&amp;"生成成长"),5))*(VLOOKUP($B$5,标准坦克设计!$B$24:$U$30,MATCH("对"&amp;LEFT($C$5,2)&amp;"输出",标准坦克设计!$B$23:$U$23,0)))*(VLOOKUP($B81,INDIRECT($B$5&amp;"生成成长"),3))*(VLOOKUP($B$5,标准坦克设计!$B$14:$K$20,9)/30))</f>
        <v>22.528401965106632</v>
      </c>
      <c r="EC81" s="173">
        <f ca="1">(VLOOKUP(EC$72,INDIRECT($C$5&amp;"生成成长"),2))/((VLOOKUP($B81,INDIRECT($B$5&amp;"生成成长"),4))/(VLOOKUP(EC$72,INDIRECT($C$5&amp;"生成成长"),5))*(VLOOKUP($B$5,标准坦克设计!$B$24:$U$30,MATCH("对"&amp;LEFT($C$5,2)&amp;"输出",标准坦克设计!$B$23:$U$23,0)))*(VLOOKUP($B81,INDIRECT($B$5&amp;"生成成长"),3))*(VLOOKUP($B$5,标准坦克设计!$B$14:$K$20,9)/30))</f>
        <v>24.613297378433177</v>
      </c>
      <c r="ED81" s="173">
        <f ca="1">(VLOOKUP(ED$72,INDIRECT($C$5&amp;"生成成长"),2))/((VLOOKUP($B81,INDIRECT($B$5&amp;"生成成长"),4))/(VLOOKUP(ED$72,INDIRECT($C$5&amp;"生成成长"),5))*(VLOOKUP($B$5,标准坦克设计!$B$24:$U$30,MATCH("对"&amp;LEFT($C$5,2)&amp;"输出",标准坦克设计!$B$23:$U$23,0)))*(VLOOKUP($B81,INDIRECT($B$5&amp;"生成成长"),3))*(VLOOKUP($B$5,标准坦克设计!$B$14:$K$20,9)/30))</f>
        <v>26.790444801198952</v>
      </c>
      <c r="EE81" s="173">
        <f ca="1">(VLOOKUP(EE$72,INDIRECT($C$5&amp;"生成成长"),2))/((VLOOKUP($B81,INDIRECT($B$5&amp;"生成成长"),4))/(VLOOKUP(EE$72,INDIRECT($C$5&amp;"生成成长"),5))*(VLOOKUP($B$5,标准坦克设计!$B$24:$U$30,MATCH("对"&amp;LEFT($C$5,2)&amp;"输出",标准坦克设计!$B$23:$U$23,0)))*(VLOOKUP($B81,INDIRECT($B$5&amp;"生成成长"),3))*(VLOOKUP($B$5,标准坦克设计!$B$14:$K$20,9)/30))</f>
        <v>29.059844233403965</v>
      </c>
      <c r="EF81" s="173">
        <f ca="1">(VLOOKUP(EF$72,INDIRECT($C$5&amp;"生成成长"),2))/((VLOOKUP($B81,INDIRECT($B$5&amp;"生成成长"),4))/(VLOOKUP(EF$72,INDIRECT($C$5&amp;"生成成长"),5))*(VLOOKUP($B$5,标准坦克设计!$B$24:$U$30,MATCH("对"&amp;LEFT($C$5,2)&amp;"输出",标准坦克设计!$B$23:$U$23,0)))*(VLOOKUP($B81,INDIRECT($B$5&amp;"生成成长"),3))*(VLOOKUP($B$5,标准坦克设计!$B$14:$K$20,9)/30))</f>
        <v>31.421495675048195</v>
      </c>
      <c r="EG81" s="173">
        <f ca="1">(VLOOKUP(EG$72,INDIRECT($C$5&amp;"生成成长"),2))/((VLOOKUP($B81,INDIRECT($B$5&amp;"生成成长"),4))/(VLOOKUP(EG$72,INDIRECT($C$5&amp;"生成成长"),5))*(VLOOKUP($B$5,标准坦克设计!$B$24:$U$30,MATCH("对"&amp;LEFT($C$5,2)&amp;"输出",标准坦克设计!$B$23:$U$23,0)))*(VLOOKUP($B81,INDIRECT($B$5&amp;"生成成长"),3))*(VLOOKUP($B$5,标准坦克设计!$B$14:$K$20,9)/30))</f>
        <v>33.875399126131647</v>
      </c>
      <c r="EH81" s="173">
        <f ca="1">(VLOOKUP(EH$72,INDIRECT($C$5&amp;"生成成长"),2))/((VLOOKUP($B81,INDIRECT($B$5&amp;"生成成长"),4))/(VLOOKUP(EH$72,INDIRECT($C$5&amp;"生成成长"),5))*(VLOOKUP($B$5,标准坦克设计!$B$24:$U$30,MATCH("对"&amp;LEFT($C$5,2)&amp;"输出",标准坦克设计!$B$23:$U$23,0)))*(VLOOKUP($B81,INDIRECT($B$5&amp;"生成成长"),3))*(VLOOKUP($B$5,标准坦克设计!$B$14:$K$20,9)/30))</f>
        <v>36.421554586654331</v>
      </c>
      <c r="EI81" s="173">
        <f ca="1">(VLOOKUP(EI$72,INDIRECT($C$5&amp;"生成成长"),2))/((VLOOKUP($B81,INDIRECT($B$5&amp;"生成成长"),4))/(VLOOKUP(EI$72,INDIRECT($C$5&amp;"生成成长"),5))*(VLOOKUP($B$5,标准坦克设计!$B$24:$U$30,MATCH("对"&amp;LEFT($C$5,2)&amp;"输出",标准坦克设计!$B$23:$U$23,0)))*(VLOOKUP($B81,INDIRECT($B$5&amp;"生成成长"),3))*(VLOOKUP($B$5,标准坦克设计!$B$14:$K$20,9)/30))</f>
        <v>39.05996205661625</v>
      </c>
      <c r="EJ81" s="173">
        <f ca="1">(VLOOKUP(EJ$72,INDIRECT($C$5&amp;"生成成长"),2))/((VLOOKUP($B81,INDIRECT($B$5&amp;"生成成长"),4))/(VLOOKUP(EJ$72,INDIRECT($C$5&amp;"生成成长"),5))*(VLOOKUP($B$5,标准坦克设计!$B$24:$U$30,MATCH("对"&amp;LEFT($C$5,2)&amp;"输出",标准坦克设计!$B$23:$U$23,0)))*(VLOOKUP($B81,INDIRECT($B$5&amp;"生成成长"),3))*(VLOOKUP($B$5,标准坦克设计!$B$14:$K$20,9)/30))</f>
        <v>41.790621536017397</v>
      </c>
      <c r="EK81" s="173">
        <f ca="1">(VLOOKUP(EK$72,INDIRECT($C$5&amp;"生成成长"),2))/((VLOOKUP($B81,INDIRECT($B$5&amp;"生成成长"),4))/(VLOOKUP(EK$72,INDIRECT($C$5&amp;"生成成长"),5))*(VLOOKUP($B$5,标准坦克设计!$B$24:$U$30,MATCH("对"&amp;LEFT($C$5,2)&amp;"输出",标准坦克设计!$B$23:$U$23,0)))*(VLOOKUP($B81,INDIRECT($B$5&amp;"生成成长"),3))*(VLOOKUP($B$5,标准坦克设计!$B$14:$K$20,9)/30))</f>
        <v>45.189185563758542</v>
      </c>
      <c r="EL81" s="173">
        <f ca="1">(VLOOKUP(EL$72,INDIRECT($C$5&amp;"生成成长"),2))/((VLOOKUP($B81,INDIRECT($B$5&amp;"生成成长"),4))/(VLOOKUP(EL$72,INDIRECT($C$5&amp;"生成成长"),5))*(VLOOKUP($B$5,标准坦克设计!$B$24:$U$30,MATCH("对"&amp;LEFT($C$5,2)&amp;"输出",标准坦克设计!$B$23:$U$23,0)))*(VLOOKUP($B81,INDIRECT($B$5&amp;"生成成长"),3))*(VLOOKUP($B$5,标准坦克设计!$B$14:$K$20,9)/30))</f>
        <v>48.720592485092176</v>
      </c>
      <c r="EM81" s="173">
        <f ca="1">(VLOOKUP(EM$72,INDIRECT($C$5&amp;"生成成长"),2))/((VLOOKUP($B81,INDIRECT($B$5&amp;"生成成长"),4))/(VLOOKUP(EM$72,INDIRECT($C$5&amp;"生成成长"),5))*(VLOOKUP($B$5,标准坦克设计!$B$24:$U$30,MATCH("对"&amp;LEFT($C$5,2)&amp;"输出",标准坦克设计!$B$23:$U$23,0)))*(VLOOKUP($B81,INDIRECT($B$5&amp;"生成成长"),3))*(VLOOKUP($B$5,标准坦克设计!$B$14:$K$20,9)/30))</f>
        <v>52.384842300018306</v>
      </c>
      <c r="EN81" s="173">
        <f ca="1">(VLOOKUP(EN$72,INDIRECT($C$5&amp;"生成成长"),2))/((VLOOKUP($B81,INDIRECT($B$5&amp;"生成成长"),4))/(VLOOKUP(EN$72,INDIRECT($C$5&amp;"生成成长"),5))*(VLOOKUP($B$5,标准坦克设计!$B$24:$U$30,MATCH("对"&amp;LEFT($C$5,2)&amp;"输出",标准坦克设计!$B$23:$U$23,0)))*(VLOOKUP($B81,INDIRECT($B$5&amp;"生成成长"),3))*(VLOOKUP($B$5,标准坦克设计!$B$14:$K$20,9)/30))</f>
        <v>56.181935008536939</v>
      </c>
      <c r="EO81" s="173">
        <f ca="1">(VLOOKUP(EO$72,INDIRECT($C$5&amp;"生成成长"),2))/((VLOOKUP($B81,INDIRECT($B$5&amp;"生成成长"),4))/(VLOOKUP(EO$72,INDIRECT($C$5&amp;"生成成长"),5))*(VLOOKUP($B$5,标准坦克设计!$B$24:$U$30,MATCH("对"&amp;LEFT($C$5,2)&amp;"输出",标准坦克设计!$B$23:$U$23,0)))*(VLOOKUP($B81,INDIRECT($B$5&amp;"生成成长"),3))*(VLOOKUP($B$5,标准坦克设计!$B$14:$K$20,9)/30))</f>
        <v>60.111870610648033</v>
      </c>
      <c r="EP81" s="173">
        <f ca="1">(VLOOKUP(EP$72,INDIRECT($C$5&amp;"生成成长"),2))/((VLOOKUP($B81,INDIRECT($B$5&amp;"生成成长"),4))/(VLOOKUP(EP$72,INDIRECT($C$5&amp;"生成成长"),5))*(VLOOKUP($B$5,标准坦克设计!$B$24:$U$30,MATCH("对"&amp;LEFT($C$5,2)&amp;"输出",标准坦克设计!$B$23:$U$23,0)))*(VLOOKUP($B81,INDIRECT($B$5&amp;"生成成长"),3))*(VLOOKUP($B$5,标准坦克设计!$B$14:$K$20,9)/30))</f>
        <v>64.174649106351637</v>
      </c>
      <c r="EQ81" s="173">
        <f ca="1">(VLOOKUP(EQ$72,INDIRECT($C$5&amp;"生成成长"),2))/((VLOOKUP($B81,INDIRECT($B$5&amp;"生成成长"),4))/(VLOOKUP(EQ$72,INDIRECT($C$5&amp;"生成成长"),5))*(VLOOKUP($B$5,标准坦克设计!$B$24:$U$30,MATCH("对"&amp;LEFT($C$5,2)&amp;"输出",标准坦克设计!$B$23:$U$23,0)))*(VLOOKUP($B81,INDIRECT($B$5&amp;"生成成长"),3))*(VLOOKUP($B$5,标准坦克设计!$B$14:$K$20,9)/30))</f>
        <v>28.369337942751336</v>
      </c>
      <c r="ER81" s="173">
        <f ca="1">(VLOOKUP(ER$72,INDIRECT($C$5&amp;"生成成长"),2))/((VLOOKUP($B81,INDIRECT($B$5&amp;"生成成长"),4))/(VLOOKUP(ER$72,INDIRECT($C$5&amp;"生成成长"),5))*(VLOOKUP($B$5,标准坦克设计!$B$24:$U$30,MATCH("对"&amp;LEFT($C$5,2)&amp;"输出",标准坦克设计!$B$23:$U$23,0)))*(VLOOKUP($B81,INDIRECT($B$5&amp;"生成成长"),3))*(VLOOKUP($B$5,标准坦克设计!$B$14:$K$20,9)/30))</f>
        <v>30.9417852259642</v>
      </c>
      <c r="ES81" s="173">
        <f ca="1">(VLOOKUP(ES$72,INDIRECT($C$5&amp;"生成成长"),2))/((VLOOKUP($B81,INDIRECT($B$5&amp;"生成成长"),4))/(VLOOKUP(ES$72,INDIRECT($C$5&amp;"生成成长"),5))*(VLOOKUP($B$5,标准坦克设计!$B$24:$U$30,MATCH("对"&amp;LEFT($C$5,2)&amp;"输出",标准坦克设计!$B$23:$U$23,0)))*(VLOOKUP($B81,INDIRECT($B$5&amp;"生成成长"),3))*(VLOOKUP($B$5,标准坦克设计!$B$14:$K$20,9)/30))</f>
        <v>33.625857440598537</v>
      </c>
      <c r="ET81" s="173">
        <f ca="1">(VLOOKUP(ET$72,INDIRECT($C$5&amp;"生成成长"),2))/((VLOOKUP($B81,INDIRECT($B$5&amp;"生成成长"),4))/(VLOOKUP(ET$72,INDIRECT($C$5&amp;"生成成长"),5))*(VLOOKUP($B$5,标准坦克设计!$B$24:$U$30,MATCH("对"&amp;LEFT($C$5,2)&amp;"输出",标准坦克设计!$B$23:$U$23,0)))*(VLOOKUP($B81,INDIRECT($B$5&amp;"生成成长"),3))*(VLOOKUP($B$5,标准坦克设计!$B$14:$K$20,9)/30))</f>
        <v>36.421554586654331</v>
      </c>
      <c r="EU81" s="173">
        <f ca="1">(VLOOKUP(EU$72,INDIRECT($C$5&amp;"生成成长"),2))/((VLOOKUP($B81,INDIRECT($B$5&amp;"生成成长"),4))/(VLOOKUP(EU$72,INDIRECT($C$5&amp;"生成成长"),5))*(VLOOKUP($B$5,标准坦克设计!$B$24:$U$30,MATCH("对"&amp;LEFT($C$5,2)&amp;"输出",标准坦克设计!$B$23:$U$23,0)))*(VLOOKUP($B81,INDIRECT($B$5&amp;"生成成长"),3))*(VLOOKUP($B$5,标准坦克设计!$B$14:$K$20,9)/30))</f>
        <v>39.328876664131606</v>
      </c>
      <c r="EV81" s="173">
        <f ca="1">(VLOOKUP(EV$72,INDIRECT($C$5&amp;"生成成长"),2))/((VLOOKUP($B81,INDIRECT($B$5&amp;"生成成长"),4))/(VLOOKUP(EV$72,INDIRECT($C$5&amp;"生成成长"),5))*(VLOOKUP($B$5,标准坦克设计!$B$24:$U$30,MATCH("对"&amp;LEFT($C$5,2)&amp;"输出",标准坦克设计!$B$23:$U$23,0)))*(VLOOKUP($B81,INDIRECT($B$5&amp;"生成成长"),3))*(VLOOKUP($B$5,标准坦克设计!$B$14:$K$20,9)/30))</f>
        <v>42.347823673030327</v>
      </c>
      <c r="EW81" s="173">
        <f ca="1">(VLOOKUP(EW$72,INDIRECT($C$5&amp;"生成成长"),2))/((VLOOKUP($B81,INDIRECT($B$5&amp;"生成成长"),4))/(VLOOKUP(EW$72,INDIRECT($C$5&amp;"生成成长"),5))*(VLOOKUP($B$5,标准坦克设计!$B$24:$U$30,MATCH("对"&amp;LEFT($C$5,2)&amp;"输出",标准坦克设计!$B$23:$U$23,0)))*(VLOOKUP($B81,INDIRECT($B$5&amp;"生成成长"),3))*(VLOOKUP($B$5,标准坦克设计!$B$14:$K$20,9)/30))</f>
        <v>45.478395613350528</v>
      </c>
      <c r="EX81" s="173">
        <f ca="1">(VLOOKUP(EX$72,INDIRECT($C$5&amp;"生成成长"),2))/((VLOOKUP($B81,INDIRECT($B$5&amp;"生成成长"),4))/(VLOOKUP(EX$72,INDIRECT($C$5&amp;"生成成长"),5))*(VLOOKUP($B$5,标准坦克设计!$B$24:$U$30,MATCH("对"&amp;LEFT($C$5,2)&amp;"输出",标准坦克设计!$B$23:$U$23,0)))*(VLOOKUP($B81,INDIRECT($B$5&amp;"生成成长"),3))*(VLOOKUP($B$5,标准坦克设计!$B$14:$K$20,9)/30))</f>
        <v>48.720592485092176</v>
      </c>
      <c r="EY81" s="173">
        <f ca="1">(VLOOKUP(EY$72,INDIRECT($C$5&amp;"生成成长"),2))/((VLOOKUP($B81,INDIRECT($B$5&amp;"生成成长"),4))/(VLOOKUP(EY$72,INDIRECT($C$5&amp;"生成成长"),5))*(VLOOKUP($B$5,标准坦克设计!$B$24:$U$30,MATCH("对"&amp;LEFT($C$5,2)&amp;"输出",标准坦克设计!$B$23:$U$23,0)))*(VLOOKUP($B81,INDIRECT($B$5&amp;"生成成长"),3))*(VLOOKUP($B$5,标准坦克设计!$B$14:$K$20,9)/30))</f>
        <v>52.074414288255319</v>
      </c>
      <c r="EZ81" s="173">
        <f ca="1">(VLOOKUP(EZ$72,INDIRECT($C$5&amp;"生成成长"),2))/((VLOOKUP($B81,INDIRECT($B$5&amp;"生成成长"),4))/(VLOOKUP(EZ$72,INDIRECT($C$5&amp;"生成成长"),5))*(VLOOKUP($B$5,标准坦克设计!$B$24:$U$30,MATCH("对"&amp;LEFT($C$5,2)&amp;"输出",标准坦克设计!$B$23:$U$23,0)))*(VLOOKUP($B81,INDIRECT($B$5&amp;"生成成长"),3))*(VLOOKUP($B$5,标准坦克设计!$B$14:$K$20,9)/30))</f>
        <v>55.539861022839894</v>
      </c>
      <c r="FA81" s="173">
        <f ca="1">(VLOOKUP(FA$72,INDIRECT($C$5&amp;"生成成长"),2))/((VLOOKUP($B81,INDIRECT($B$5&amp;"生成成长"),4))/(VLOOKUP(FA$72,INDIRECT($C$5&amp;"生成成长"),5))*(VLOOKUP($B$5,标准坦克设计!$B$24:$U$30,MATCH("对"&amp;LEFT($C$5,2)&amp;"输出",标准坦克设计!$B$23:$U$23,0)))*(VLOOKUP($B81,INDIRECT($B$5&amp;"生成成长"),3))*(VLOOKUP($B$5,标准坦克设计!$B$14:$K$20,9)/30))</f>
        <v>59.116932688845964</v>
      </c>
      <c r="FB81" s="173">
        <f ca="1">(VLOOKUP(FB$72,INDIRECT($C$5&amp;"生成成长"),2))/((VLOOKUP($B81,INDIRECT($B$5&amp;"生成成长"),4))/(VLOOKUP(FB$72,INDIRECT($C$5&amp;"生成成长"),5))*(VLOOKUP($B$5,标准坦克设计!$B$24:$U$30,MATCH("对"&amp;LEFT($C$5,2)&amp;"输出",标准坦克设计!$B$23:$U$23,0)))*(VLOOKUP($B81,INDIRECT($B$5&amp;"生成成长"),3))*(VLOOKUP($B$5,标准坦克设计!$B$14:$K$20,9)/30))</f>
        <v>62.805629286273494</v>
      </c>
      <c r="FC81" s="173">
        <f ca="1">(VLOOKUP(FC$72,INDIRECT($C$5&amp;"生成成长"),2))/((VLOOKUP($B81,INDIRECT($B$5&amp;"生成成长"),4))/(VLOOKUP(FC$72,INDIRECT($C$5&amp;"生成成长"),5))*(VLOOKUP($B$5,标准坦克设计!$B$24:$U$30,MATCH("对"&amp;LEFT($C$5,2)&amp;"输出",标准坦克设计!$B$23:$U$23,0)))*(VLOOKUP($B81,INDIRECT($B$5&amp;"生成成长"),3))*(VLOOKUP($B$5,标准坦克设计!$B$14:$K$20,9)/30))</f>
        <v>66.605950815122469</v>
      </c>
      <c r="FD81" s="173">
        <f ca="1">(VLOOKUP(FD$72,INDIRECT($C$5&amp;"生成成长"),2))/((VLOOKUP($B81,INDIRECT($B$5&amp;"生成成长"),4))/(VLOOKUP(FD$72,INDIRECT($C$5&amp;"生成成长"),5))*(VLOOKUP($B$5,标准坦克设计!$B$24:$U$30,MATCH("对"&amp;LEFT($C$5,2)&amp;"输出",标准坦克设计!$B$23:$U$23,0)))*(VLOOKUP($B81,INDIRECT($B$5&amp;"生成成长"),3))*(VLOOKUP($B$5,标准坦克设计!$B$14:$K$20,9)/30))</f>
        <v>70.51789727539294</v>
      </c>
      <c r="FE81" s="173">
        <f ca="1">(VLOOKUP(FE$72,INDIRECT($C$5&amp;"生成成长"),2))/((VLOOKUP($B81,INDIRECT($B$5&amp;"生成成长"),4))/(VLOOKUP(FE$72,INDIRECT($C$5&amp;"生成成长"),5))*(VLOOKUP($B$5,标准坦克设计!$B$24:$U$30,MATCH("对"&amp;LEFT($C$5,2)&amp;"输出",标准坦克设计!$B$23:$U$23,0)))*(VLOOKUP($B81,INDIRECT($B$5&amp;"生成成长"),3))*(VLOOKUP($B$5,标准坦克设计!$B$14:$K$20,9)/30))</f>
        <v>75.285019863165033</v>
      </c>
      <c r="FF81" s="173">
        <f ca="1">(VLOOKUP(FF$72,INDIRECT($C$5&amp;"生成成长"),2))/((VLOOKUP($B81,INDIRECT($B$5&amp;"生成成长"),4))/(VLOOKUP(FF$72,INDIRECT($C$5&amp;"生成成长"),5))*(VLOOKUP($B$5,标准坦克设计!$B$24:$U$30,MATCH("对"&amp;LEFT($C$5,2)&amp;"输出",标准坦克设计!$B$23:$U$23,0)))*(VLOOKUP($B81,INDIRECT($B$5&amp;"生成成长"),3))*(VLOOKUP($B$5,标准坦克设计!$B$14:$K$20,9)/30))</f>
        <v>80.208048346889413</v>
      </c>
      <c r="FG81" s="173">
        <f ca="1">(VLOOKUP(FG$72,INDIRECT($C$5&amp;"生成成长"),2))/((VLOOKUP($B81,INDIRECT($B$5&amp;"生成成长"),4))/(VLOOKUP(FG$72,INDIRECT($C$5&amp;"生成成长"),5))*(VLOOKUP($B$5,标准坦克设计!$B$24:$U$30,MATCH("对"&amp;LEFT($C$5,2)&amp;"输出",标准坦克设计!$B$23:$U$23,0)))*(VLOOKUP($B81,INDIRECT($B$5&amp;"生成成长"),3))*(VLOOKUP($B$5,标准坦克设计!$B$14:$K$20,9)/30))</f>
        <v>85.286982726566109</v>
      </c>
      <c r="FH81" s="173">
        <f ca="1">(VLOOKUP(FH$72,INDIRECT($C$5&amp;"生成成长"),2))/((VLOOKUP($B81,INDIRECT($B$5&amp;"生成成长"),4))/(VLOOKUP(FH$72,INDIRECT($C$5&amp;"生成成长"),5))*(VLOOKUP($B$5,标准坦克设计!$B$24:$U$30,MATCH("对"&amp;LEFT($C$5,2)&amp;"输出",标准坦克设计!$B$23:$U$23,0)))*(VLOOKUP($B81,INDIRECT($B$5&amp;"生成成长"),3))*(VLOOKUP($B$5,标准坦克设计!$B$14:$K$20,9)/30))</f>
        <v>90.521823002195092</v>
      </c>
      <c r="FI81" s="173">
        <f ca="1">(VLOOKUP(FI$72,INDIRECT($C$5&amp;"生成成长"),2))/((VLOOKUP($B81,INDIRECT($B$5&amp;"生成成长"),4))/(VLOOKUP(FI$72,INDIRECT($C$5&amp;"生成成长"),5))*(VLOOKUP($B$5,标准坦克设计!$B$24:$U$30,MATCH("对"&amp;LEFT($C$5,2)&amp;"输出",标准坦克设计!$B$23:$U$23,0)))*(VLOOKUP($B81,INDIRECT($B$5&amp;"生成成长"),3))*(VLOOKUP($B$5,标准坦克设计!$B$14:$K$20,9)/30))</f>
        <v>95.912569173776347</v>
      </c>
      <c r="FJ81" s="173">
        <f ca="1">(VLOOKUP(FJ$72,INDIRECT($C$5&amp;"生成成长"),2))/((VLOOKUP($B81,INDIRECT($B$5&amp;"生成成长"),4))/(VLOOKUP(FJ$72,INDIRECT($C$5&amp;"生成成长"),5))*(VLOOKUP($B$5,标准坦克设计!$B$24:$U$30,MATCH("对"&amp;LEFT($C$5,2)&amp;"输出",标准坦克设计!$B$23:$U$23,0)))*(VLOOKUP($B81,INDIRECT($B$5&amp;"生成成长"),3))*(VLOOKUP($B$5,标准坦克设计!$B$14:$K$20,9)/30))</f>
        <v>101.45922124130996</v>
      </c>
      <c r="FK81" s="173">
        <f ca="1">(VLOOKUP(FK$72,INDIRECT($C$5&amp;"生成成长"),2))/((VLOOKUP($B81,INDIRECT($B$5&amp;"生成成长"),4))/(VLOOKUP(FK$72,INDIRECT($C$5&amp;"生成成长"),5))*(VLOOKUP($B$5,标准坦克设计!$B$24:$U$30,MATCH("对"&amp;LEFT($C$5,2)&amp;"输出",标准坦克设计!$B$23:$U$23,0)))*(VLOOKUP($B81,INDIRECT($B$5&amp;"生成成长"),3))*(VLOOKUP($B$5,标准坦克设计!$B$14:$K$20,9)/30))</f>
        <v>107.16177920479581</v>
      </c>
    </row>
    <row r="82" spans="1:167" x14ac:dyDescent="0.15">
      <c r="A82" s="171" t="str">
        <f t="shared" si="11"/>
        <v>T2低品质5级</v>
      </c>
      <c r="B82" s="172">
        <v>10205</v>
      </c>
      <c r="C82" s="173">
        <f ca="1">(VLOOKUP(C$72,INDIRECT($C$5&amp;"生成成长"),2))/((VLOOKUP($B82,INDIRECT($B$5&amp;"生成成长"),4))/(VLOOKUP(C$72,INDIRECT($C$5&amp;"生成成长"),5))*(VLOOKUP($B$5,标准坦克设计!$B$24:$U$30,MATCH("对"&amp;LEFT($C$5,2)&amp;"输出",标准坦克设计!$B$23:$U$23,0)))*(VLOOKUP($B82,INDIRECT($B$5&amp;"生成成长"),3))*(VLOOKUP($B$5,标准坦克设计!$B$14:$K$20,9)/30))</f>
        <v>4.1414094938361545</v>
      </c>
      <c r="D82" s="173">
        <f ca="1">(VLOOKUP(D$72,INDIRECT($C$5&amp;"生成成长"),2))/((VLOOKUP($B82,INDIRECT($B$5&amp;"生成成长"),4))/(VLOOKUP(D$72,INDIRECT($C$5&amp;"生成成长"),5))*(VLOOKUP($B$5,标准坦克设计!$B$24:$U$30,MATCH("对"&amp;LEFT($C$5,2)&amp;"输出",标准坦克设计!$B$23:$U$23,0)))*(VLOOKUP($B82,INDIRECT($B$5&amp;"生成成长"),3))*(VLOOKUP($B$5,标准坦克设计!$B$14:$K$20,9)/30))</f>
        <v>4.6532877072743037</v>
      </c>
      <c r="E82" s="173">
        <f ca="1">(VLOOKUP(E$72,INDIRECT($C$5&amp;"生成成长"),2))/((VLOOKUP($B82,INDIRECT($B$5&amp;"生成成长"),4))/(VLOOKUP(E$72,INDIRECT($C$5&amp;"生成成长"),5))*(VLOOKUP($B$5,标准坦克设计!$B$24:$U$30,MATCH("对"&amp;LEFT($C$5,2)&amp;"输出",标准坦克设计!$B$23:$U$23,0)))*(VLOOKUP($B82,INDIRECT($B$5&amp;"生成成长"),3))*(VLOOKUP($B$5,标准坦克设计!$B$14:$K$20,9)/30))</f>
        <v>5.1949840690680729</v>
      </c>
      <c r="F82" s="173">
        <f ca="1">(VLOOKUP(F$72,INDIRECT($C$5&amp;"生成成长"),2))/((VLOOKUP($B82,INDIRECT($B$5&amp;"生成成长"),4))/(VLOOKUP(F$72,INDIRECT($C$5&amp;"生成成长"),5))*(VLOOKUP($B$5,标准坦克设计!$B$24:$U$30,MATCH("对"&amp;LEFT($C$5,2)&amp;"输出",标准坦克设计!$B$23:$U$23,0)))*(VLOOKUP($B82,INDIRECT($B$5&amp;"生成成长"),3))*(VLOOKUP($B$5,标准坦克设计!$B$14:$K$20,9)/30))</f>
        <v>5.766498579217461</v>
      </c>
      <c r="G82" s="173">
        <f ca="1">(VLOOKUP(G$72,INDIRECT($C$5&amp;"生成成长"),2))/((VLOOKUP($B82,INDIRECT($B$5&amp;"生成成长"),4))/(VLOOKUP(G$72,INDIRECT($C$5&amp;"生成成长"),5))*(VLOOKUP($B$5,标准坦克设计!$B$24:$U$30,MATCH("对"&amp;LEFT($C$5,2)&amp;"输出",标准坦克设计!$B$23:$U$23,0)))*(VLOOKUP($B82,INDIRECT($B$5&amp;"生成成长"),3))*(VLOOKUP($B$5,标准坦克设计!$B$14:$K$20,9)/30))</f>
        <v>6.3678312377224708</v>
      </c>
      <c r="H82" s="173">
        <f ca="1">(VLOOKUP(H$72,INDIRECT($C$5&amp;"生成成长"),2))/((VLOOKUP($B82,INDIRECT($B$5&amp;"生成成长"),4))/(VLOOKUP(H$72,INDIRECT($C$5&amp;"生成成长"),5))*(VLOOKUP($B$5,标准坦克设计!$B$24:$U$30,MATCH("对"&amp;LEFT($C$5,2)&amp;"输出",标准坦克设计!$B$23:$U$23,0)))*(VLOOKUP($B82,INDIRECT($B$5&amp;"生成成长"),3))*(VLOOKUP($B$5,标准坦克设计!$B$14:$K$20,9)/30))</f>
        <v>5.5726806149059289</v>
      </c>
      <c r="I82" s="173">
        <f ca="1">(VLOOKUP(I$72,INDIRECT($C$5&amp;"生成成长"),2))/((VLOOKUP($B82,INDIRECT($B$5&amp;"生成成长"),4))/(VLOOKUP(I$72,INDIRECT($C$5&amp;"生成成长"),5))*(VLOOKUP($B$5,标准坦克设计!$B$24:$U$30,MATCH("对"&amp;LEFT($C$5,2)&amp;"输出",标准坦克设计!$B$23:$U$23,0)))*(VLOOKUP($B82,INDIRECT($B$5&amp;"生成成长"),3))*(VLOOKUP($B$5,标准坦克设计!$B$14:$K$20,9)/30))</f>
        <v>6.3678312377224708</v>
      </c>
      <c r="J82" s="173">
        <f ca="1">(VLOOKUP(J$72,INDIRECT($C$5&amp;"生成成长"),2))/((VLOOKUP($B82,INDIRECT($B$5&amp;"生成成长"),4))/(VLOOKUP(J$72,INDIRECT($C$5&amp;"生成成长"),5))*(VLOOKUP($B$5,标准坦克设计!$B$24:$U$30,MATCH("对"&amp;LEFT($C$5,2)&amp;"输出",标准坦克设计!$B$23:$U$23,0)))*(VLOOKUP($B82,INDIRECT($B$5&amp;"生成成长"),3))*(VLOOKUP($B$5,标准坦克设计!$B$14:$K$20,9)/30))</f>
        <v>7.215991902060118</v>
      </c>
      <c r="K82" s="173">
        <f ca="1">(VLOOKUP(K$72,INDIRECT($C$5&amp;"生成成长"),2))/((VLOOKUP($B82,INDIRECT($B$5&amp;"生成成长"),4))/(VLOOKUP(K$72,INDIRECT($C$5&amp;"生成成长"),5))*(VLOOKUP($B$5,标准坦克设计!$B$24:$U$30,MATCH("对"&amp;LEFT($C$5,2)&amp;"输出",标准坦克设计!$B$23:$U$23,0)))*(VLOOKUP($B82,INDIRECT($B$5&amp;"生成成长"),3))*(VLOOKUP($B$5,标准坦克设计!$B$14:$K$20,9)/30))</f>
        <v>8.1171626079188606</v>
      </c>
      <c r="L82" s="173">
        <f ca="1">(VLOOKUP(L$72,INDIRECT($C$5&amp;"生成成长"),2))/((VLOOKUP($B82,INDIRECT($B$5&amp;"生成成长"),4))/(VLOOKUP(L$72,INDIRECT($C$5&amp;"生成成长"),5))*(VLOOKUP($B$5,标准坦克设计!$B$24:$U$30,MATCH("对"&amp;LEFT($C$5,2)&amp;"输出",标准坦克设计!$B$23:$U$23,0)))*(VLOOKUP($B82,INDIRECT($B$5&amp;"生成成长"),3))*(VLOOKUP($B$5,标准坦克设计!$B$14:$K$20,9)/30))</f>
        <v>9.0713433552987119</v>
      </c>
      <c r="M82" s="173">
        <f ca="1">(VLOOKUP(M$72,INDIRECT($C$5&amp;"生成成长"),2))/((VLOOKUP($B82,INDIRECT($B$5&amp;"生成成长"),4))/(VLOOKUP(M$72,INDIRECT($C$5&amp;"生成成长"),5))*(VLOOKUP($B$5,标准坦克设计!$B$24:$U$30,MATCH("对"&amp;LEFT($C$5,2)&amp;"输出",标准坦克设计!$B$23:$U$23,0)))*(VLOOKUP($B82,INDIRECT($B$5&amp;"生成成长"),3))*(VLOOKUP($B$5,标准坦克设计!$B$14:$K$20,9)/30))</f>
        <v>10.078534144199667</v>
      </c>
      <c r="N82" s="173">
        <f ca="1">(VLOOKUP(N$72,INDIRECT($C$5&amp;"生成成长"),2))/((VLOOKUP($B82,INDIRECT($B$5&amp;"生成成长"),4))/(VLOOKUP(N$72,INDIRECT($C$5&amp;"生成成长"),5))*(VLOOKUP($B$5,标准坦克设计!$B$24:$U$30,MATCH("对"&amp;LEFT($C$5,2)&amp;"输出",标准坦克设计!$B$23:$U$23,0)))*(VLOOKUP($B82,INDIRECT($B$5&amp;"生成成长"),3))*(VLOOKUP($B$5,标准坦克设计!$B$14:$K$20,9)/30))</f>
        <v>11.138734974621721</v>
      </c>
      <c r="O82" s="173">
        <f ca="1">(VLOOKUP(O$72,INDIRECT($C$5&amp;"生成成长"),2))/((VLOOKUP($B82,INDIRECT($B$5&amp;"生成成长"),4))/(VLOOKUP(O$72,INDIRECT($C$5&amp;"生成成长"),5))*(VLOOKUP($B$5,标准坦克设计!$B$24:$U$30,MATCH("对"&amp;LEFT($C$5,2)&amp;"输出",标准坦克设计!$B$23:$U$23,0)))*(VLOOKUP($B82,INDIRECT($B$5&amp;"生成成长"),3))*(VLOOKUP($B$5,标准坦克设计!$B$14:$K$20,9)/30))</f>
        <v>8.4687682739455514</v>
      </c>
      <c r="P82" s="173">
        <f ca="1">(VLOOKUP(P$72,INDIRECT($C$5&amp;"生成成长"),2))/((VLOOKUP($B82,INDIRECT($B$5&amp;"生成成长"),4))/(VLOOKUP(P$72,INDIRECT($C$5&amp;"生成成长"),5))*(VLOOKUP($B$5,标准坦克设计!$B$24:$U$30,MATCH("对"&amp;LEFT($C$5,2)&amp;"输出",标准坦克设计!$B$23:$U$23,0)))*(VLOOKUP($B82,INDIRECT($B$5&amp;"生成成长"),3))*(VLOOKUP($B$5,标准坦克设计!$B$14:$K$20,9)/30))</f>
        <v>9.5683124945590503</v>
      </c>
      <c r="Q82" s="173">
        <f ca="1">(VLOOKUP(Q$72,INDIRECT($C$5&amp;"生成成长"),2))/((VLOOKUP($B82,INDIRECT($B$5&amp;"生成成长"),4))/(VLOOKUP(Q$72,INDIRECT($C$5&amp;"生成成长"),5))*(VLOOKUP($B$5,标准坦克设计!$B$24:$U$30,MATCH("对"&amp;LEFT($C$5,2)&amp;"输出",标准坦克设计!$B$23:$U$23,0)))*(VLOOKUP($B82,INDIRECT($B$5&amp;"生成成长"),3))*(VLOOKUP($B$5,标准坦克设计!$B$14:$K$20,9)/30))</f>
        <v>10.734947548972698</v>
      </c>
      <c r="R82" s="173">
        <f ca="1">(VLOOKUP(R$72,INDIRECT($C$5&amp;"生成成长"),2))/((VLOOKUP($B82,INDIRECT($B$5&amp;"生成成长"),4))/(VLOOKUP(R$72,INDIRECT($C$5&amp;"生成成长"),5))*(VLOOKUP($B$5,标准坦克设计!$B$24:$U$30,MATCH("对"&amp;LEFT($C$5,2)&amp;"输出",标准坦克设计!$B$23:$U$23,0)))*(VLOOKUP($B82,INDIRECT($B$5&amp;"生成成长"),3))*(VLOOKUP($B$5,标准坦克设计!$B$14:$K$20,9)/30))</f>
        <v>11.968673437186487</v>
      </c>
      <c r="S82" s="173">
        <f ca="1">(VLOOKUP(S$72,INDIRECT($C$5&amp;"生成成长"),2))/((VLOOKUP($B82,INDIRECT($B$5&amp;"生成成长"),4))/(VLOOKUP(S$72,INDIRECT($C$5&amp;"生成成长"),5))*(VLOOKUP($B$5,标准坦克设计!$B$24:$U$30,MATCH("对"&amp;LEFT($C$5,2)&amp;"输出",标准坦克设计!$B$23:$U$23,0)))*(VLOOKUP($B82,INDIRECT($B$5&amp;"生成成长"),3))*(VLOOKUP($B$5,标准坦克设计!$B$14:$K$20,9)/30))</f>
        <v>13.269490159200421</v>
      </c>
      <c r="T82" s="173">
        <f ca="1">(VLOOKUP(T$72,INDIRECT($C$5&amp;"生成成长"),2))/((VLOOKUP($B82,INDIRECT($B$5&amp;"生成成长"),4))/(VLOOKUP(T$72,INDIRECT($C$5&amp;"生成成长"),5))*(VLOOKUP($B$5,标准坦克设计!$B$24:$U$30,MATCH("对"&amp;LEFT($C$5,2)&amp;"输出",标准坦克设计!$B$23:$U$23,0)))*(VLOOKUP($B82,INDIRECT($B$5&amp;"生成成长"),3))*(VLOOKUP($B$5,标准坦克设计!$B$14:$K$20,9)/30))</f>
        <v>14.637397715014504</v>
      </c>
      <c r="U82" s="173">
        <f ca="1">(VLOOKUP(U$72,INDIRECT($C$5&amp;"生成成长"),2))/((VLOOKUP($B82,INDIRECT($B$5&amp;"生成成长"),4))/(VLOOKUP(U$72,INDIRECT($C$5&amp;"生成成长"),5))*(VLOOKUP($B$5,标准坦克设计!$B$24:$U$30,MATCH("对"&amp;LEFT($C$5,2)&amp;"输出",标准坦克设计!$B$23:$U$23,0)))*(VLOOKUP($B82,INDIRECT($B$5&amp;"生成成长"),3))*(VLOOKUP($B$5,标准坦克设计!$B$14:$K$20,9)/30))</f>
        <v>16.072396104628734</v>
      </c>
      <c r="V82" s="173">
        <f ca="1">(VLOOKUP(V$72,INDIRECT($C$5&amp;"生成成长"),2))/((VLOOKUP($B82,INDIRECT($B$5&amp;"生成成长"),4))/(VLOOKUP(V$72,INDIRECT($C$5&amp;"生成成长"),5))*(VLOOKUP($B$5,标准坦克设计!$B$24:$U$30,MATCH("对"&amp;LEFT($C$5,2)&amp;"输出",标准坦克设计!$B$23:$U$23,0)))*(VLOOKUP($B82,INDIRECT($B$5&amp;"生成成长"),3))*(VLOOKUP($B$5,标准坦克设计!$B$14:$K$20,9)/30))</f>
        <v>17.574485328043107</v>
      </c>
      <c r="W82" s="173">
        <f ca="1">(VLOOKUP(W$72,INDIRECT($C$5&amp;"生成成长"),2))/((VLOOKUP($B82,INDIRECT($B$5&amp;"生成成长"),4))/(VLOOKUP(W$72,INDIRECT($C$5&amp;"生成成长"),5))*(VLOOKUP($B$5,标准坦克设计!$B$24:$U$30,MATCH("对"&amp;LEFT($C$5,2)&amp;"输出",标准坦克设计!$B$23:$U$23,0)))*(VLOOKUP($B82,INDIRECT($B$5&amp;"生成成长"),3))*(VLOOKUP($B$5,标准坦克设计!$B$14:$K$20,9)/30))</f>
        <v>19.14366538525762</v>
      </c>
      <c r="X82" s="173">
        <f ca="1">(VLOOKUP(X$72,INDIRECT($C$5&amp;"生成成长"),2))/((VLOOKUP($B82,INDIRECT($B$5&amp;"生成成长"),4))/(VLOOKUP(X$72,INDIRECT($C$5&amp;"生成成长"),5))*(VLOOKUP($B$5,标准坦克设计!$B$24:$U$30,MATCH("对"&amp;LEFT($C$5,2)&amp;"输出",标准坦克设计!$B$23:$U$23,0)))*(VLOOKUP($B82,INDIRECT($B$5&amp;"生成成长"),3))*(VLOOKUP($B$5,标准坦克设计!$B$14:$K$20,9)/30))</f>
        <v>13.869166253907899</v>
      </c>
      <c r="Y82" s="173">
        <f ca="1">(VLOOKUP(Y$72,INDIRECT($C$5&amp;"生成成长"),2))/((VLOOKUP($B82,INDIRECT($B$5&amp;"生成成长"),4))/(VLOOKUP(Y$72,INDIRECT($C$5&amp;"生成成长"),5))*(VLOOKUP($B$5,标准坦克设计!$B$24:$U$30,MATCH("对"&amp;LEFT($C$5,2)&amp;"输出",标准坦克设计!$B$23:$U$23,0)))*(VLOOKUP($B82,INDIRECT($B$5&amp;"生成成长"),3))*(VLOOKUP($B$5,标准坦克设计!$B$14:$K$20,9)/30))</f>
        <v>15.426336223590294</v>
      </c>
      <c r="Z82" s="173">
        <f ca="1">(VLOOKUP(Z$72,INDIRECT($C$5&amp;"生成成长"),2))/((VLOOKUP($B82,INDIRECT($B$5&amp;"生成成长"),4))/(VLOOKUP(Z$72,INDIRECT($C$5&amp;"生成成长"),5))*(VLOOKUP($B$5,标准坦克设计!$B$24:$U$30,MATCH("对"&amp;LEFT($C$5,2)&amp;"输出",标准坦克设计!$B$23:$U$23,0)))*(VLOOKUP($B82,INDIRECT($B$5&amp;"生成成长"),3))*(VLOOKUP($B$5,标准坦克设计!$B$14:$K$20,9)/30))</f>
        <v>17.06633438314941</v>
      </c>
      <c r="AA82" s="173">
        <f ca="1">(VLOOKUP(AA$72,INDIRECT($C$5&amp;"生成成长"),2))/((VLOOKUP($B82,INDIRECT($B$5&amp;"生成成长"),4))/(VLOOKUP(AA$72,INDIRECT($C$5&amp;"生成成长"),5))*(VLOOKUP($B$5,标准坦克设计!$B$24:$U$30,MATCH("对"&amp;LEFT($C$5,2)&amp;"输出",标准坦克设计!$B$23:$U$23,0)))*(VLOOKUP($B82,INDIRECT($B$5&amp;"生成成长"),3))*(VLOOKUP($B$5,标准坦克设计!$B$14:$K$20,9)/30))</f>
        <v>18.789160732585248</v>
      </c>
      <c r="AB82" s="173">
        <f ca="1">(VLOOKUP(AB$72,INDIRECT($C$5&amp;"生成成长"),2))/((VLOOKUP($B82,INDIRECT($B$5&amp;"生成成长"),4))/(VLOOKUP(AB$72,INDIRECT($C$5&amp;"生成成长"),5))*(VLOOKUP($B$5,标准坦克设计!$B$24:$U$30,MATCH("对"&amp;LEFT($C$5,2)&amp;"输出",标准坦克设计!$B$23:$U$23,0)))*(VLOOKUP($B82,INDIRECT($B$5&amp;"生成成长"),3))*(VLOOKUP($B$5,标准坦克设计!$B$14:$K$20,9)/30))</f>
        <v>20.594815271897815</v>
      </c>
      <c r="AC82" s="173">
        <f ca="1">(VLOOKUP(AC$72,INDIRECT($C$5&amp;"生成成长"),2))/((VLOOKUP($B82,INDIRECT($B$5&amp;"生成成长"),4))/(VLOOKUP(AC$72,INDIRECT($C$5&amp;"生成成长"),5))*(VLOOKUP($B$5,标准坦克设计!$B$24:$U$30,MATCH("对"&amp;LEFT($C$5,2)&amp;"输出",标准坦克设计!$B$23:$U$23,0)))*(VLOOKUP($B82,INDIRECT($B$5&amp;"生成成长"),3))*(VLOOKUP($B$5,标准坦克设计!$B$14:$K$20,9)/30))</f>
        <v>22.4832980010871</v>
      </c>
      <c r="AD82" s="173">
        <f ca="1">(VLOOKUP(AD$72,INDIRECT($C$5&amp;"生成成长"),2))/((VLOOKUP($B82,INDIRECT($B$5&amp;"生成成长"),4))/(VLOOKUP(AD$72,INDIRECT($C$5&amp;"生成成长"),5))*(VLOOKUP($B$5,标准坦克设计!$B$24:$U$30,MATCH("对"&amp;LEFT($C$5,2)&amp;"输出",标准坦克设计!$B$23:$U$23,0)))*(VLOOKUP($B82,INDIRECT($B$5&amp;"生成成长"),3))*(VLOOKUP($B$5,标准坦克设计!$B$14:$K$20,9)/30))</f>
        <v>24.454608920153106</v>
      </c>
      <c r="AE82" s="173">
        <f ca="1">(VLOOKUP(AE$72,INDIRECT($C$5&amp;"生成成长"),2))/((VLOOKUP($B82,INDIRECT($B$5&amp;"生成成长"),4))/(VLOOKUP(AE$72,INDIRECT($C$5&amp;"生成成长"),5))*(VLOOKUP($B$5,标准坦克设计!$B$24:$U$30,MATCH("对"&amp;LEFT($C$5,2)&amp;"输出",标准坦克设计!$B$23:$U$23,0)))*(VLOOKUP($B82,INDIRECT($B$5&amp;"生成成长"),3))*(VLOOKUP($B$5,标准坦克设计!$B$14:$K$20,9)/30))</f>
        <v>26.508748029095845</v>
      </c>
      <c r="AF82" s="173">
        <f ca="1">(VLOOKUP(AF$72,INDIRECT($C$5&amp;"生成成长"),2))/((VLOOKUP($B82,INDIRECT($B$5&amp;"生成成长"),4))/(VLOOKUP(AF$72,INDIRECT($C$5&amp;"生成成长"),5))*(VLOOKUP($B$5,标准坦克设计!$B$24:$U$30,MATCH("对"&amp;LEFT($C$5,2)&amp;"输出",标准坦克设计!$B$23:$U$23,0)))*(VLOOKUP($B82,INDIRECT($B$5&amp;"生成成长"),3))*(VLOOKUP($B$5,标准坦克设计!$B$14:$K$20,9)/30))</f>
        <v>28.645715327915294</v>
      </c>
      <c r="AG82" s="173">
        <f ca="1">(VLOOKUP(AG$72,INDIRECT($C$5&amp;"生成成长"),2))/((VLOOKUP($B82,INDIRECT($B$5&amp;"生成成长"),4))/(VLOOKUP(AG$72,INDIRECT($C$5&amp;"生成成长"),5))*(VLOOKUP($B$5,标准坦克设计!$B$24:$U$30,MATCH("对"&amp;LEFT($C$5,2)&amp;"输出",标准坦克设计!$B$23:$U$23,0)))*(VLOOKUP($B82,INDIRECT($B$5&amp;"生成成长"),3))*(VLOOKUP($B$5,标准坦克设计!$B$14:$K$20,9)/30))</f>
        <v>30.865510816611483</v>
      </c>
      <c r="AH82" s="173">
        <f ca="1">(VLOOKUP(AH$72,INDIRECT($C$5&amp;"生成成长"),2))/((VLOOKUP($B82,INDIRECT($B$5&amp;"生成成长"),4))/(VLOOKUP(AH$72,INDIRECT($C$5&amp;"生成成长"),5))*(VLOOKUP($B$5,标准坦克设计!$B$24:$U$30,MATCH("对"&amp;LEFT($C$5,2)&amp;"输出",标准坦克设计!$B$23:$U$23,0)))*(VLOOKUP($B82,INDIRECT($B$5&amp;"生成成长"),3))*(VLOOKUP($B$5,标准坦克设计!$B$14:$K$20,9)/30))</f>
        <v>33.168134495184368</v>
      </c>
      <c r="AI82" s="173">
        <f ca="1">(VLOOKUP(AI$72,INDIRECT($C$5&amp;"生成成长"),2))/((VLOOKUP($B82,INDIRECT($B$5&amp;"生成成长"),4))/(VLOOKUP(AI$72,INDIRECT($C$5&amp;"生成成长"),5))*(VLOOKUP($B$5,标准坦克设计!$B$24:$U$30,MATCH("对"&amp;LEFT($C$5,2)&amp;"输出",标准坦克设计!$B$23:$U$23,0)))*(VLOOKUP($B82,INDIRECT($B$5&amp;"生成成长"),3))*(VLOOKUP($B$5,标准坦克设计!$B$14:$K$20,9)/30))</f>
        <v>23.458599936885516</v>
      </c>
      <c r="AJ82" s="173">
        <f ca="1">(VLOOKUP(AJ$72,INDIRECT($C$5&amp;"生成成长"),2))/((VLOOKUP($B82,INDIRECT($B$5&amp;"生成成长"),4))/(VLOOKUP(AJ$72,INDIRECT($C$5&amp;"生成成长"),5))*(VLOOKUP($B$5,标准坦克设计!$B$24:$U$30,MATCH("对"&amp;LEFT($C$5,2)&amp;"输出",标准坦克设计!$B$23:$U$23,0)))*(VLOOKUP($B82,INDIRECT($B$5&amp;"生成成长"),3))*(VLOOKUP($B$5,标准坦克设计!$B$14:$K$20,9)/30))</f>
        <v>25.677153002733544</v>
      </c>
      <c r="AK82" s="173">
        <f ca="1">(VLOOKUP(AK$72,INDIRECT($C$5&amp;"生成成长"),2))/((VLOOKUP($B82,INDIRECT($B$5&amp;"生成成长"),4))/(VLOOKUP(AK$72,INDIRECT($C$5&amp;"生成成长"),5))*(VLOOKUP($B$5,标准坦克设计!$B$24:$U$30,MATCH("对"&amp;LEFT($C$5,2)&amp;"输出",标准坦克设计!$B$23:$U$23,0)))*(VLOOKUP($B82,INDIRECT($B$5&amp;"生成成长"),3))*(VLOOKUP($B$5,标准坦克设计!$B$14:$K$20,9)/30))</f>
        <v>27.995928178332409</v>
      </c>
      <c r="AL82" s="173">
        <f ca="1">(VLOOKUP(AL$72,INDIRECT($C$5&amp;"生成成长"),2))/((VLOOKUP($B82,INDIRECT($B$5&amp;"生成成长"),4))/(VLOOKUP(AL$72,INDIRECT($C$5&amp;"生成成长"),5))*(VLOOKUP($B$5,标准坦克设计!$B$24:$U$30,MATCH("对"&amp;LEFT($C$5,2)&amp;"输出",标准坦克设计!$B$23:$U$23,0)))*(VLOOKUP($B82,INDIRECT($B$5&amp;"生成成长"),3))*(VLOOKUP($B$5,标准坦克设计!$B$14:$K$20,9)/30))</f>
        <v>30.414925463682103</v>
      </c>
      <c r="AM82" s="173">
        <f ca="1">(VLOOKUP(AM$72,INDIRECT($C$5&amp;"生成成长"),2))/((VLOOKUP($B82,INDIRECT($B$5&amp;"生成成长"),4))/(VLOOKUP(AM$72,INDIRECT($C$5&amp;"生成成长"),5))*(VLOOKUP($B$5,标准坦克设计!$B$24:$U$30,MATCH("对"&amp;LEFT($C$5,2)&amp;"输出",标准坦克设计!$B$23:$U$23,0)))*(VLOOKUP($B82,INDIRECT($B$5&amp;"生成成长"),3))*(VLOOKUP($B$5,标准坦克设计!$B$14:$K$20,9)/30))</f>
        <v>32.934144858782638</v>
      </c>
      <c r="AN82" s="173">
        <f ca="1">(VLOOKUP(AN$72,INDIRECT($C$5&amp;"生成成长"),2))/((VLOOKUP($B82,INDIRECT($B$5&amp;"生成成长"),4))/(VLOOKUP(AN$72,INDIRECT($C$5&amp;"生成成长"),5))*(VLOOKUP($B$5,标准坦克设计!$B$24:$U$30,MATCH("对"&amp;LEFT($C$5,2)&amp;"输出",标准坦克设计!$B$23:$U$23,0)))*(VLOOKUP($B82,INDIRECT($B$5&amp;"生成成长"),3))*(VLOOKUP($B$5,标准坦克设计!$B$14:$K$20,9)/30))</f>
        <v>35.553586363634004</v>
      </c>
      <c r="AO82" s="173">
        <f ca="1">(VLOOKUP(AO$72,INDIRECT($C$5&amp;"生成成长"),2))/((VLOOKUP($B82,INDIRECT($B$5&amp;"生成成长"),4))/(VLOOKUP(AO$72,INDIRECT($C$5&amp;"生成成长"),5))*(VLOOKUP($B$5,标准坦克设计!$B$24:$U$30,MATCH("对"&amp;LEFT($C$5,2)&amp;"输出",标准坦克设计!$B$23:$U$23,0)))*(VLOOKUP($B82,INDIRECT($B$5&amp;"生成成长"),3))*(VLOOKUP($B$5,标准坦克设计!$B$14:$K$20,9)/30))</f>
        <v>38.273249978236201</v>
      </c>
      <c r="AP82" s="173">
        <f ca="1">(VLOOKUP(AP$72,INDIRECT($C$5&amp;"生成成长"),2))/((VLOOKUP($B82,INDIRECT($B$5&amp;"生成成长"),4))/(VLOOKUP(AP$72,INDIRECT($C$5&amp;"生成成长"),5))*(VLOOKUP($B$5,标准坦克设计!$B$24:$U$30,MATCH("对"&amp;LEFT($C$5,2)&amp;"输出",标准坦克设计!$B$23:$U$23,0)))*(VLOOKUP($B82,INDIRECT($B$5&amp;"生成成长"),3))*(VLOOKUP($B$5,标准坦克设计!$B$14:$K$20,9)/30))</f>
        <v>41.093135702589237</v>
      </c>
      <c r="AQ82" s="173">
        <f ca="1">(VLOOKUP(AQ$72,INDIRECT($C$5&amp;"生成成长"),2))/((VLOOKUP($B82,INDIRECT($B$5&amp;"生成成长"),4))/(VLOOKUP(AQ$72,INDIRECT($C$5&amp;"生成成长"),5))*(VLOOKUP($B$5,标准坦克设计!$B$24:$U$30,MATCH("对"&amp;LEFT($C$5,2)&amp;"输出",标准坦克设计!$B$23:$U$23,0)))*(VLOOKUP($B82,INDIRECT($B$5&amp;"生成成长"),3))*(VLOOKUP($B$5,标准坦克设计!$B$14:$K$20,9)/30))</f>
        <v>44.013243536693111</v>
      </c>
      <c r="AR82" s="173">
        <f ca="1">(VLOOKUP(AR$72,INDIRECT($C$5&amp;"生成成长"),2))/((VLOOKUP($B82,INDIRECT($B$5&amp;"生成成长"),4))/(VLOOKUP(AR$72,INDIRECT($C$5&amp;"生成成长"),5))*(VLOOKUP($B$5,标准坦克设计!$B$24:$U$30,MATCH("对"&amp;LEFT($C$5,2)&amp;"输出",标准坦克设计!$B$23:$U$23,0)))*(VLOOKUP($B82,INDIRECT($B$5&amp;"生成成长"),3))*(VLOOKUP($B$5,标准坦克设计!$B$14:$K$20,9)/30))</f>
        <v>47.033573480547815</v>
      </c>
      <c r="AS82" s="173">
        <f ca="1">(VLOOKUP(AS$72,INDIRECT($C$5&amp;"生成成长"),2))/((VLOOKUP($B82,INDIRECT($B$5&amp;"生成成长"),4))/(VLOOKUP(AS$72,INDIRECT($C$5&amp;"生成成长"),5))*(VLOOKUP($B$5,标准坦克设计!$B$24:$U$30,MATCH("对"&amp;LEFT($C$5,2)&amp;"输出",标准坦克设计!$B$23:$U$23,0)))*(VLOOKUP($B82,INDIRECT($B$5&amp;"生成成长"),3))*(VLOOKUP($B$5,标准坦克设计!$B$14:$K$20,9)/30))</f>
        <v>50.154125534153373</v>
      </c>
      <c r="AT82" s="173">
        <f ca="1">(VLOOKUP(AT$72,INDIRECT($C$5&amp;"生成成长"),2))/((VLOOKUP($B82,INDIRECT($B$5&amp;"生成成长"),4))/(VLOOKUP(AT$72,INDIRECT($C$5&amp;"生成成长"),5))*(VLOOKUP($B$5,标准坦克设计!$B$24:$U$30,MATCH("对"&amp;LEFT($C$5,2)&amp;"输出",标准坦克设计!$B$23:$U$23,0)))*(VLOOKUP($B82,INDIRECT($B$5&amp;"生成成长"),3))*(VLOOKUP($B$5,标准坦克设计!$B$14:$K$20,9)/30))</f>
        <v>53.374899697509747</v>
      </c>
      <c r="AU82" s="173">
        <f ca="1">(VLOOKUP(AU$72,INDIRECT($C$5&amp;"生成成长"),2))/((VLOOKUP($B82,INDIRECT($B$5&amp;"生成成长"),4))/(VLOOKUP(AU$72,INDIRECT($C$5&amp;"生成成长"),5))*(VLOOKUP($B$5,标准坦克设计!$B$24:$U$30,MATCH("对"&amp;LEFT($C$5,2)&amp;"输出",标准坦克设计!$B$23:$U$23,0)))*(VLOOKUP($B82,INDIRECT($B$5&amp;"生成成长"),3))*(VLOOKUP($B$5,标准坦克设计!$B$14:$K$20,9)/30))</f>
        <v>56.695895970616959</v>
      </c>
      <c r="AV82" s="173">
        <f ca="1">(VLOOKUP(AV$72,INDIRECT($C$5&amp;"生成成长"),2))/((VLOOKUP($B82,INDIRECT($B$5&amp;"生成成长"),4))/(VLOOKUP(AV$72,INDIRECT($C$5&amp;"生成成长"),5))*(VLOOKUP($B$5,标准坦克设计!$B$24:$U$30,MATCH("对"&amp;LEFT($C$5,2)&amp;"输出",标准坦克设计!$B$23:$U$23,0)))*(VLOOKUP($B82,INDIRECT($B$5&amp;"生成成长"),3))*(VLOOKUP($B$5,标准坦克设计!$B$14:$K$20,9)/30))</f>
        <v>5.766498579217461</v>
      </c>
      <c r="AW82" s="173">
        <f ca="1">(VLOOKUP(AW$72,INDIRECT($C$5&amp;"生成成长"),2))/((VLOOKUP($B82,INDIRECT($B$5&amp;"生成成长"),4))/(VLOOKUP(AW$72,INDIRECT($C$5&amp;"生成成长"),5))*(VLOOKUP($B$5,标准坦克设计!$B$24:$U$30,MATCH("对"&amp;LEFT($C$5,2)&amp;"输出",标准坦克设计!$B$23:$U$23,0)))*(VLOOKUP($B82,INDIRECT($B$5&amp;"生成成长"),3))*(VLOOKUP($B$5,标准坦克设计!$B$14:$K$20,9)/30))</f>
        <v>6.5749017124142783</v>
      </c>
      <c r="AX82" s="173">
        <f ca="1">(VLOOKUP(AX$72,INDIRECT($C$5&amp;"生成成长"),2))/((VLOOKUP($B82,INDIRECT($B$5&amp;"生成成长"),4))/(VLOOKUP(AX$72,INDIRECT($C$5&amp;"生成成长"),5))*(VLOOKUP($B$5,标准坦克设计!$B$24:$U$30,MATCH("对"&amp;LEFT($C$5,2)&amp;"输出",标准坦克设计!$B$23:$U$23,0)))*(VLOOKUP($B82,INDIRECT($B$5&amp;"生成成长"),3))*(VLOOKUP($B$5,标准坦克设计!$B$14:$K$20,9)/30))</f>
        <v>7.4363148871321965</v>
      </c>
      <c r="AY82" s="173">
        <f ca="1">(VLOOKUP(AY$72,INDIRECT($C$5&amp;"生成成长"),2))/((VLOOKUP($B82,INDIRECT($B$5&amp;"生成成长"),4))/(VLOOKUP(AY$72,INDIRECT($C$5&amp;"生成成长"),5))*(VLOOKUP($B$5,标准坦克设计!$B$24:$U$30,MATCH("对"&amp;LEFT($C$5,2)&amp;"输出",标准坦克设计!$B$23:$U$23,0)))*(VLOOKUP($B82,INDIRECT($B$5&amp;"生成成长"),3))*(VLOOKUP($B$5,标准坦克设计!$B$14:$K$20,9)/30))</f>
        <v>8.3507381033712225</v>
      </c>
      <c r="AZ82" s="173">
        <f ca="1">(VLOOKUP(AZ$72,INDIRECT($C$5&amp;"生成成长"),2))/((VLOOKUP($B82,INDIRECT($B$5&amp;"生成成长"),4))/(VLOOKUP(AZ$72,INDIRECT($C$5&amp;"生成成长"),5))*(VLOOKUP($B$5,标准坦克设计!$B$24:$U$30,MATCH("对"&amp;LEFT($C$5,2)&amp;"输出",标准坦克设计!$B$23:$U$23,0)))*(VLOOKUP($B82,INDIRECT($B$5&amp;"生成成长"),3))*(VLOOKUP($B$5,标准坦克设计!$B$14:$K$20,9)/30))</f>
        <v>9.3181713611313484</v>
      </c>
      <c r="BA82" s="173">
        <f ca="1">(VLOOKUP(BA$72,INDIRECT($C$5&amp;"生成成长"),2))/((VLOOKUP($B82,INDIRECT($B$5&amp;"生成成长"),4))/(VLOOKUP(BA$72,INDIRECT($C$5&amp;"生成成长"),5))*(VLOOKUP($B$5,标准坦克设计!$B$24:$U$30,MATCH("对"&amp;LEFT($C$5,2)&amp;"输出",标准坦克设计!$B$23:$U$23,0)))*(VLOOKUP($B82,INDIRECT($B$5&amp;"生成成长"),3))*(VLOOKUP($B$5,标准坦克设计!$B$14:$K$20,9)/30))</f>
        <v>10.338614660412576</v>
      </c>
      <c r="BB82" s="173">
        <f ca="1">(VLOOKUP(BB$72,INDIRECT($C$5&amp;"生成成长"),2))/((VLOOKUP($B82,INDIRECT($B$5&amp;"生成成长"),4))/(VLOOKUP(BB$72,INDIRECT($C$5&amp;"生成成长"),5))*(VLOOKUP($B$5,标准坦克设计!$B$24:$U$30,MATCH("对"&amp;LEFT($C$5,2)&amp;"输出",标准坦克设计!$B$23:$U$23,0)))*(VLOOKUP($B82,INDIRECT($B$5&amp;"生成成长"),3))*(VLOOKUP($B$5,标准坦克设计!$B$14:$K$20,9)/30))</f>
        <v>11.412068001214907</v>
      </c>
      <c r="BC82" s="173">
        <f ca="1">(VLOOKUP(BC$72,INDIRECT($C$5&amp;"生成成长"),2))/((VLOOKUP($B82,INDIRECT($B$5&amp;"生成成长"),4))/(VLOOKUP(BC$72,INDIRECT($C$5&amp;"生成成长"),5))*(VLOOKUP($B$5,标准坦克设计!$B$24:$U$30,MATCH("对"&amp;LEFT($C$5,2)&amp;"输出",标准坦克设计!$B$23:$U$23,0)))*(VLOOKUP($B82,INDIRECT($B$5&amp;"生成成长"),3))*(VLOOKUP($B$5,标准坦克设计!$B$14:$K$20,9)/30))</f>
        <v>12.538531383538343</v>
      </c>
      <c r="BD82" s="173">
        <f ca="1">(VLOOKUP(BD$72,INDIRECT($C$5&amp;"生成成长"),2))/((VLOOKUP($B82,INDIRECT($B$5&amp;"生成成长"),4))/(VLOOKUP(BD$72,INDIRECT($C$5&amp;"生成成长"),5))*(VLOOKUP($B$5,标准坦克设计!$B$24:$U$30,MATCH("对"&amp;LEFT($C$5,2)&amp;"输出",标准坦克设计!$B$23:$U$23,0)))*(VLOOKUP($B82,INDIRECT($B$5&amp;"生成成长"),3))*(VLOOKUP($B$5,标准坦克设计!$B$14:$K$20,9)/30))</f>
        <v>13.869166253907899</v>
      </c>
      <c r="BE82" s="173">
        <f ca="1">(VLOOKUP(BE$72,INDIRECT($C$5&amp;"生成成长"),2))/((VLOOKUP($B82,INDIRECT($B$5&amp;"生成成长"),4))/(VLOOKUP(BE$72,INDIRECT($C$5&amp;"生成成长"),5))*(VLOOKUP($B$5,标准坦克设计!$B$24:$U$30,MATCH("对"&amp;LEFT($C$5,2)&amp;"输出",标准坦克设计!$B$23:$U$23,0)))*(VLOOKUP($B82,INDIRECT($B$5&amp;"生成成长"),3))*(VLOOKUP($B$5,标准坦克设计!$B$14:$K$20,9)/30))</f>
        <v>15.266891958077599</v>
      </c>
      <c r="BF82" s="173">
        <f ca="1">(VLOOKUP(BF$72,INDIRECT($C$5&amp;"生成成长"),2))/((VLOOKUP($B82,INDIRECT($B$5&amp;"生成成长"),4))/(VLOOKUP(BF$72,INDIRECT($C$5&amp;"生成成长"),5))*(VLOOKUP($B$5,标准坦克设计!$B$24:$U$30,MATCH("对"&amp;LEFT($C$5,2)&amp;"输出",标准坦克设计!$B$23:$U$23,0)))*(VLOOKUP($B82,INDIRECT($B$5&amp;"生成成长"),3))*(VLOOKUP($B$5,标准坦克设计!$B$14:$K$20,9)/30))</f>
        <v>16.73170849604745</v>
      </c>
      <c r="BG82" s="173">
        <f ca="1">(VLOOKUP(BG$72,INDIRECT($C$5&amp;"生成成长"),2))/((VLOOKUP($B82,INDIRECT($B$5&amp;"生成成长"),4))/(VLOOKUP(BG$72,INDIRECT($C$5&amp;"生成成长"),5))*(VLOOKUP($B$5,标准坦克设计!$B$24:$U$30,MATCH("对"&amp;LEFT($C$5,2)&amp;"输出",标准坦克设计!$B$23:$U$23,0)))*(VLOOKUP($B82,INDIRECT($B$5&amp;"生成成长"),3))*(VLOOKUP($B$5,标准坦克设计!$B$14:$K$20,9)/30))</f>
        <v>18.263615867817439</v>
      </c>
      <c r="BH82" s="173">
        <f ca="1">(VLOOKUP(BH$72,INDIRECT($C$5&amp;"生成成长"),2))/((VLOOKUP($B82,INDIRECT($B$5&amp;"生成成长"),4))/(VLOOKUP(BH$72,INDIRECT($C$5&amp;"生成成长"),5))*(VLOOKUP($B$5,标准坦克设计!$B$24:$U$30,MATCH("对"&amp;LEFT($C$5,2)&amp;"输出",标准坦克设计!$B$23:$U$23,0)))*(VLOOKUP($B82,INDIRECT($B$5&amp;"生成成长"),3))*(VLOOKUP($B$5,标准坦克设计!$B$14:$K$20,9)/30))</f>
        <v>8.8278284770611464</v>
      </c>
      <c r="BI82" s="173">
        <f ca="1">(VLOOKUP(BI$72,INDIRECT($C$5&amp;"生成成长"),2))/((VLOOKUP($B82,INDIRECT($B$5&amp;"生成成长"),4))/(VLOOKUP(BI$72,INDIRECT($C$5&amp;"生成成长"),5))*(VLOOKUP($B$5,标准坦克设计!$B$24:$U$30,MATCH("对"&amp;LEFT($C$5,2)&amp;"输出",标准坦克设计!$B$23:$U$23,0)))*(VLOOKUP($B82,INDIRECT($B$5&amp;"生成成长"),3))*(VLOOKUP($B$5,标准坦克设计!$B$14:$K$20,9)/30))</f>
        <v>9.9497363089413629</v>
      </c>
      <c r="BJ82" s="173">
        <f ca="1">(VLOOKUP(BJ$72,INDIRECT($C$5&amp;"生成成长"),2))/((VLOOKUP($B82,INDIRECT($B$5&amp;"生成成长"),4))/(VLOOKUP(BJ$72,INDIRECT($C$5&amp;"生成成长"),5))*(VLOOKUP($B$5,标准坦克设计!$B$24:$U$30,MATCH("对"&amp;LEFT($C$5,2)&amp;"输出",标准坦克设计!$B$23:$U$23,0)))*(VLOOKUP($B82,INDIRECT($B$5&amp;"生成成长"),3))*(VLOOKUP($B$5,标准坦克设计!$B$14:$K$20,9)/30))</f>
        <v>11.138734974621721</v>
      </c>
      <c r="BK82" s="173">
        <f ca="1">(VLOOKUP(BK$72,INDIRECT($C$5&amp;"生成成长"),2))/((VLOOKUP($B82,INDIRECT($B$5&amp;"生成成长"),4))/(VLOOKUP(BK$72,INDIRECT($C$5&amp;"生成成长"),5))*(VLOOKUP($B$5,标准坦克设计!$B$24:$U$30,MATCH("对"&amp;LEFT($C$5,2)&amp;"输出",标准坦克设计!$B$23:$U$23,0)))*(VLOOKUP($B82,INDIRECT($B$5&amp;"生成成长"),3))*(VLOOKUP($B$5,标准坦克设计!$B$14:$K$20,9)/30))</f>
        <v>12.394824474102228</v>
      </c>
      <c r="BL82" s="173">
        <f ca="1">(VLOOKUP(BL$72,INDIRECT($C$5&amp;"生成成长"),2))/((VLOOKUP($B82,INDIRECT($B$5&amp;"生成成长"),4))/(VLOOKUP(BL$72,INDIRECT($C$5&amp;"生成成长"),5))*(VLOOKUP($B$5,标准坦克设计!$B$24:$U$30,MATCH("对"&amp;LEFT($C$5,2)&amp;"输出",标准坦克设计!$B$23:$U$23,0)))*(VLOOKUP($B82,INDIRECT($B$5&amp;"生成成长"),3))*(VLOOKUP($B$5,标准坦克设计!$B$14:$K$20,9)/30))</f>
        <v>13.718004807382879</v>
      </c>
      <c r="BM82" s="173">
        <f ca="1">(VLOOKUP(BM$72,INDIRECT($C$5&amp;"生成成长"),2))/((VLOOKUP($B82,INDIRECT($B$5&amp;"生成成长"),4))/(VLOOKUP(BM$72,INDIRECT($C$5&amp;"生成成长"),5))*(VLOOKUP($B$5,标准坦克设计!$B$24:$U$30,MATCH("对"&amp;LEFT($C$5,2)&amp;"输出",标准坦克设计!$B$23:$U$23,0)))*(VLOOKUP($B82,INDIRECT($B$5&amp;"生成成长"),3))*(VLOOKUP($B$5,标准坦克设计!$B$14:$K$20,9)/30))</f>
        <v>15.108275974463675</v>
      </c>
      <c r="BN82" s="173">
        <f ca="1">(VLOOKUP(BN$72,INDIRECT($C$5&amp;"生成成长"),2))/((VLOOKUP($B82,INDIRECT($B$5&amp;"生成成长"),4))/(VLOOKUP(BN$72,INDIRECT($C$5&amp;"生成成长"),5))*(VLOOKUP($B$5,标准坦克设计!$B$24:$U$30,MATCH("对"&amp;LEFT($C$5,2)&amp;"输出",标准坦克设计!$B$23:$U$23,0)))*(VLOOKUP($B82,INDIRECT($B$5&amp;"生成成长"),3))*(VLOOKUP($B$5,标准坦克设计!$B$14:$K$20,9)/30))</f>
        <v>16.565637975344618</v>
      </c>
      <c r="BO82" s="173">
        <f ca="1">(VLOOKUP(BO$72,INDIRECT($C$5&amp;"生成成长"),2))/((VLOOKUP($B82,INDIRECT($B$5&amp;"生成成长"),4))/(VLOOKUP(BO$72,INDIRECT($C$5&amp;"生成成长"),5))*(VLOOKUP($B$5,标准坦克设计!$B$24:$U$30,MATCH("对"&amp;LEFT($C$5,2)&amp;"输出",标准坦克设计!$B$23:$U$23,0)))*(VLOOKUP($B82,INDIRECT($B$5&amp;"生成成长"),3))*(VLOOKUP($B$5,标准坦克设计!$B$14:$K$20,9)/30))</f>
        <v>18.090090810025703</v>
      </c>
      <c r="BP82" s="173">
        <f ca="1">(VLOOKUP(BP$72,INDIRECT($C$5&amp;"生成成长"),2))/((VLOOKUP($B82,INDIRECT($B$5&amp;"生成成长"),4))/(VLOOKUP(BP$72,INDIRECT($C$5&amp;"生成成长"),5))*(VLOOKUP($B$5,标准坦克设计!$B$24:$U$30,MATCH("对"&amp;LEFT($C$5,2)&amp;"输出",标准坦克设计!$B$23:$U$23,0)))*(VLOOKUP($B82,INDIRECT($B$5&amp;"生成成长"),3))*(VLOOKUP($B$5,标准坦克设计!$B$14:$K$20,9)/30))</f>
        <v>19.68163447850694</v>
      </c>
      <c r="BQ82" s="173">
        <f ca="1">(VLOOKUP(BQ$72,INDIRECT($C$5&amp;"生成成长"),2))/((VLOOKUP($B82,INDIRECT($B$5&amp;"生成成长"),4))/(VLOOKUP(BQ$72,INDIRECT($C$5&amp;"生成成长"),5))*(VLOOKUP($B$5,标准坦克设计!$B$24:$U$30,MATCH("对"&amp;LEFT($C$5,2)&amp;"输出",标准坦克设计!$B$23:$U$23,0)))*(VLOOKUP($B82,INDIRECT($B$5&amp;"生成成长"),3))*(VLOOKUP($B$5,标准坦克设计!$B$14:$K$20,9)/30))</f>
        <v>21.340268980788323</v>
      </c>
      <c r="BR82" s="173">
        <f ca="1">(VLOOKUP(BR$72,INDIRECT($C$5&amp;"生成成长"),2))/((VLOOKUP($B82,INDIRECT($B$5&amp;"生成成长"),4))/(VLOOKUP(BR$72,INDIRECT($C$5&amp;"生成成长"),5))*(VLOOKUP($B$5,标准坦克设计!$B$24:$U$30,MATCH("对"&amp;LEFT($C$5,2)&amp;"输出",标准坦克设计!$B$23:$U$23,0)))*(VLOOKUP($B82,INDIRECT($B$5&amp;"生成成长"),3))*(VLOOKUP($B$5,标准坦克设计!$B$14:$K$20,9)/30))</f>
        <v>23.261882985928295</v>
      </c>
      <c r="BS82" s="173">
        <f ca="1">(VLOOKUP(BS$72,INDIRECT($C$5&amp;"生成成长"),2))/((VLOOKUP($B82,INDIRECT($B$5&amp;"生成成长"),4))/(VLOOKUP(BS$72,INDIRECT($C$5&amp;"生成成长"),5))*(VLOOKUP($B$5,标准坦克设计!$B$24:$U$30,MATCH("对"&amp;LEFT($C$5,2)&amp;"输出",标准坦克设计!$B$23:$U$23,0)))*(VLOOKUP($B82,INDIRECT($B$5&amp;"生成成长"),3))*(VLOOKUP($B$5,标准坦克设计!$B$14:$K$20,9)/30))</f>
        <v>25.266325180944992</v>
      </c>
      <c r="BT82" s="173">
        <f ca="1">(VLOOKUP(BT$72,INDIRECT($C$5&amp;"生成成长"),2))/((VLOOKUP($B82,INDIRECT($B$5&amp;"生成成长"),4))/(VLOOKUP(BT$72,INDIRECT($C$5&amp;"生成成长"),5))*(VLOOKUP($B$5,标准坦克设计!$B$24:$U$30,MATCH("对"&amp;LEFT($C$5,2)&amp;"输出",标准坦克设计!$B$23:$U$23,0)))*(VLOOKUP($B82,INDIRECT($B$5&amp;"生成成长"),3))*(VLOOKUP($B$5,标准坦克设计!$B$14:$K$20,9)/30))</f>
        <v>27.353595565838422</v>
      </c>
      <c r="BU82" s="173">
        <f ca="1">(VLOOKUP(BU$72,INDIRECT($C$5&amp;"生成成长"),2))/((VLOOKUP($B82,INDIRECT($B$5&amp;"生成成长"),4))/(VLOOKUP(BU$72,INDIRECT($C$5&amp;"生成成长"),5))*(VLOOKUP($B$5,标准坦克设计!$B$24:$U$30,MATCH("对"&amp;LEFT($C$5,2)&amp;"输出",标准坦克设计!$B$23:$U$23,0)))*(VLOOKUP($B82,INDIRECT($B$5&amp;"生成成长"),3))*(VLOOKUP($B$5,标准坦克设计!$B$14:$K$20,9)/30))</f>
        <v>29.523694140608555</v>
      </c>
      <c r="BV82" s="173">
        <f ca="1">(VLOOKUP(BV$72,INDIRECT($C$5&amp;"生成成长"),2))/((VLOOKUP($B82,INDIRECT($B$5&amp;"生成成长"),4))/(VLOOKUP(BV$72,INDIRECT($C$5&amp;"生成成长"),5))*(VLOOKUP($B$5,标准坦克设计!$B$24:$U$30,MATCH("对"&amp;LEFT($C$5,2)&amp;"输出",标准坦克设计!$B$23:$U$23,0)))*(VLOOKUP($B82,INDIRECT($B$5&amp;"生成成长"),3))*(VLOOKUP($B$5,标准坦克设计!$B$14:$K$20,9)/30))</f>
        <v>31.776620905255424</v>
      </c>
      <c r="BW82" s="173">
        <f ca="1">(VLOOKUP(BW$72,INDIRECT($C$5&amp;"生成成长"),2))/((VLOOKUP($B82,INDIRECT($B$5&amp;"生成成长"),4))/(VLOOKUP(BW$72,INDIRECT($C$5&amp;"生成成长"),5))*(VLOOKUP($B$5,标准坦克设计!$B$24:$U$30,MATCH("对"&amp;LEFT($C$5,2)&amp;"输出",标准坦克设计!$B$23:$U$23,0)))*(VLOOKUP($B82,INDIRECT($B$5&amp;"生成成长"),3))*(VLOOKUP($B$5,标准坦克设计!$B$14:$K$20,9)/30))</f>
        <v>14.482094858995646</v>
      </c>
      <c r="BX82" s="173">
        <f ca="1">(VLOOKUP(BX$72,INDIRECT($C$5&amp;"生成成长"),2))/((VLOOKUP($B82,INDIRECT($B$5&amp;"生成成长"),4))/(VLOOKUP(BX$72,INDIRECT($C$5&amp;"生成成长"),5))*(VLOOKUP($B$5,标准坦克设计!$B$24:$U$30,MATCH("对"&amp;LEFT($C$5,2)&amp;"输出",标准坦克设计!$B$23:$U$23,0)))*(VLOOKUP($B82,INDIRECT($B$5&amp;"生成成长"),3))*(VLOOKUP($B$5,标准坦克设计!$B$14:$K$20,9)/30))</f>
        <v>16.072396104628734</v>
      </c>
      <c r="BY82" s="173">
        <f ca="1">(VLOOKUP(BY$72,INDIRECT($C$5&amp;"生成成长"),2))/((VLOOKUP($B82,INDIRECT($B$5&amp;"生成成长"),4))/(VLOOKUP(BY$72,INDIRECT($C$5&amp;"生成成长"),5))*(VLOOKUP($B$5,标准坦克设计!$B$24:$U$30,MATCH("对"&amp;LEFT($C$5,2)&amp;"输出",标准坦克设计!$B$23:$U$23,0)))*(VLOOKUP($B82,INDIRECT($B$5&amp;"生成成长"),3))*(VLOOKUP($B$5,标准坦克设计!$B$14:$K$20,9)/30))</f>
        <v>17.745525540138537</v>
      </c>
      <c r="BZ82" s="173">
        <f ca="1">(VLOOKUP(BZ$72,INDIRECT($C$5&amp;"生成成长"),2))/((VLOOKUP($B82,INDIRECT($B$5&amp;"生成成长"),4))/(VLOOKUP(BZ$72,INDIRECT($C$5&amp;"生成成长"),5))*(VLOOKUP($B$5,标准坦克设计!$B$24:$U$30,MATCH("对"&amp;LEFT($C$5,2)&amp;"输出",标准坦克设计!$B$23:$U$23,0)))*(VLOOKUP($B82,INDIRECT($B$5&amp;"生成成长"),3))*(VLOOKUP($B$5,标准坦克设计!$B$14:$K$20,9)/30))</f>
        <v>19.501483165525066</v>
      </c>
      <c r="CA82" s="173">
        <f ca="1">(VLOOKUP(CA$72,INDIRECT($C$5&amp;"生成成长"),2))/((VLOOKUP($B82,INDIRECT($B$5&amp;"生成成长"),4))/(VLOOKUP(CA$72,INDIRECT($C$5&amp;"生成成长"),5))*(VLOOKUP($B$5,标准坦克设计!$B$24:$U$30,MATCH("对"&amp;LEFT($C$5,2)&amp;"输出",标准坦克设计!$B$23:$U$23,0)))*(VLOOKUP($B82,INDIRECT($B$5&amp;"生成成长"),3))*(VLOOKUP($B$5,标准坦克设计!$B$14:$K$20,9)/30))</f>
        <v>21.340268980788323</v>
      </c>
      <c r="CB82" s="173">
        <f ca="1">(VLOOKUP(CB$72,INDIRECT($C$5&amp;"生成成长"),2))/((VLOOKUP($B82,INDIRECT($B$5&amp;"生成成长"),4))/(VLOOKUP(CB$72,INDIRECT($C$5&amp;"生成成长"),5))*(VLOOKUP($B$5,标准坦克设计!$B$24:$U$30,MATCH("对"&amp;LEFT($C$5,2)&amp;"输出",标准坦克设计!$B$23:$U$23,0)))*(VLOOKUP($B82,INDIRECT($B$5&amp;"生成成长"),3))*(VLOOKUP($B$5,标准坦克设计!$B$14:$K$20,9)/30))</f>
        <v>23.261882985928295</v>
      </c>
      <c r="CC82" s="173">
        <f ca="1">(VLOOKUP(CC$72,INDIRECT($C$5&amp;"生成成长"),2))/((VLOOKUP($B82,INDIRECT($B$5&amp;"生成成长"),4))/(VLOOKUP(CC$72,INDIRECT($C$5&amp;"生成成长"),5))*(VLOOKUP($B$5,标准坦克设计!$B$24:$U$30,MATCH("对"&amp;LEFT($C$5,2)&amp;"输出",标准坦克设计!$B$23:$U$23,0)))*(VLOOKUP($B82,INDIRECT($B$5&amp;"生成成长"),3))*(VLOOKUP($B$5,标准坦克设计!$B$14:$K$20,9)/30))</f>
        <v>25.266325180944992</v>
      </c>
      <c r="CD82" s="173">
        <f ca="1">(VLOOKUP(CD$72,INDIRECT($C$5&amp;"生成成长"),2))/((VLOOKUP($B82,INDIRECT($B$5&amp;"生成成长"),4))/(VLOOKUP(CD$72,INDIRECT($C$5&amp;"生成成长"),5))*(VLOOKUP($B$5,标准坦克设计!$B$24:$U$30,MATCH("对"&amp;LEFT($C$5,2)&amp;"输出",标准坦克设计!$B$23:$U$23,0)))*(VLOOKUP($B82,INDIRECT($B$5&amp;"生成成长"),3))*(VLOOKUP($B$5,标准坦克设计!$B$14:$K$20,9)/30))</f>
        <v>27.353595565838422</v>
      </c>
      <c r="CE82" s="173">
        <f ca="1">(VLOOKUP(CE$72,INDIRECT($C$5&amp;"生成成长"),2))/((VLOOKUP($B82,INDIRECT($B$5&amp;"生成成长"),4))/(VLOOKUP(CE$72,INDIRECT($C$5&amp;"生成成长"),5))*(VLOOKUP($B$5,标准坦克设计!$B$24:$U$30,MATCH("对"&amp;LEFT($C$5,2)&amp;"输出",标准坦克设计!$B$23:$U$23,0)))*(VLOOKUP($B82,INDIRECT($B$5&amp;"生成成长"),3))*(VLOOKUP($B$5,标准坦克设计!$B$14:$K$20,9)/30))</f>
        <v>29.523694140608555</v>
      </c>
      <c r="CF82" s="173">
        <f ca="1">(VLOOKUP(CF$72,INDIRECT($C$5&amp;"生成成长"),2))/((VLOOKUP($B82,INDIRECT($B$5&amp;"生成成长"),4))/(VLOOKUP(CF$72,INDIRECT($C$5&amp;"生成成长"),5))*(VLOOKUP($B$5,标准坦克设计!$B$24:$U$30,MATCH("对"&amp;LEFT($C$5,2)&amp;"输出",标准坦克设计!$B$23:$U$23,0)))*(VLOOKUP($B82,INDIRECT($B$5&amp;"生成成长"),3))*(VLOOKUP($B$5,标准坦克设计!$B$14:$K$20,9)/30))</f>
        <v>31.776620905255424</v>
      </c>
      <c r="CG82" s="173">
        <f ca="1">(VLOOKUP(CG$72,INDIRECT($C$5&amp;"生成成长"),2))/((VLOOKUP($B82,INDIRECT($B$5&amp;"生成成长"),4))/(VLOOKUP(CG$72,INDIRECT($C$5&amp;"生成成长"),5))*(VLOOKUP($B$5,标准坦克设计!$B$24:$U$30,MATCH("对"&amp;LEFT($C$5,2)&amp;"输出",标准坦克设计!$B$23:$U$23,0)))*(VLOOKUP($B82,INDIRECT($B$5&amp;"生成成长"),3))*(VLOOKUP($B$5,标准坦克设计!$B$14:$K$20,9)/30))</f>
        <v>34.112375859779021</v>
      </c>
      <c r="CH82" s="173">
        <f ca="1">(VLOOKUP(CH$72,INDIRECT($C$5&amp;"生成成长"),2))/((VLOOKUP($B82,INDIRECT($B$5&amp;"生成成长"),4))/(VLOOKUP(CH$72,INDIRECT($C$5&amp;"生成成长"),5))*(VLOOKUP($B$5,标准坦克设计!$B$24:$U$30,MATCH("对"&amp;LEFT($C$5,2)&amp;"输出",标准坦克设计!$B$23:$U$23,0)))*(VLOOKUP($B82,INDIRECT($B$5&amp;"生成成长"),3))*(VLOOKUP($B$5,标准坦克设计!$B$14:$K$20,9)/30))</f>
        <v>36.530959004179337</v>
      </c>
      <c r="CI82" s="173">
        <f ca="1">(VLOOKUP(CI$72,INDIRECT($C$5&amp;"生成成长"),2))/((VLOOKUP($B82,INDIRECT($B$5&amp;"生成成长"),4))/(VLOOKUP(CI$72,INDIRECT($C$5&amp;"生成成长"),5))*(VLOOKUP($B$5,标准坦克设计!$B$24:$U$30,MATCH("对"&amp;LEFT($C$5,2)&amp;"输出",标准坦克设计!$B$23:$U$23,0)))*(VLOOKUP($B82,INDIRECT($B$5&amp;"生成成长"),3))*(VLOOKUP($B$5,标准坦克设计!$B$14:$K$20,9)/30))</f>
        <v>39.2870670223273</v>
      </c>
      <c r="CJ82" s="173">
        <f ca="1">(VLOOKUP(CJ$72,INDIRECT($C$5&amp;"生成成长"),2))/((VLOOKUP($B82,INDIRECT($B$5&amp;"生成成长"),4))/(VLOOKUP(CJ$72,INDIRECT($C$5&amp;"生成成长"),5))*(VLOOKUP($B$5,标准坦克设计!$B$24:$U$30,MATCH("对"&amp;LEFT($C$5,2)&amp;"输出",标准坦克设计!$B$23:$U$23,0)))*(VLOOKUP($B82,INDIRECT($B$5&amp;"生成成长"),3))*(VLOOKUP($B$5,标准坦克设计!$B$14:$K$20,9)/30))</f>
        <v>42.143397150226093</v>
      </c>
      <c r="CK82" s="173">
        <f ca="1">(VLOOKUP(CK$72,INDIRECT($C$5&amp;"生成成长"),2))/((VLOOKUP($B82,INDIRECT($B$5&amp;"生成成长"),4))/(VLOOKUP(CK$72,INDIRECT($C$5&amp;"生成成长"),5))*(VLOOKUP($B$5,标准坦克设计!$B$24:$U$30,MATCH("对"&amp;LEFT($C$5,2)&amp;"输出",标准坦克设计!$B$23:$U$23,0)))*(VLOOKUP($B82,INDIRECT($B$5&amp;"生成成长"),3))*(VLOOKUP($B$5,标准坦克设计!$B$14:$K$20,9)/30))</f>
        <v>45.099949387875725</v>
      </c>
      <c r="CL82" s="173">
        <f ca="1">(VLOOKUP(CL$72,INDIRECT($C$5&amp;"生成成长"),2))/((VLOOKUP($B82,INDIRECT($B$5&amp;"生成成长"),4))/(VLOOKUP(CL$72,INDIRECT($C$5&amp;"生成成长"),5))*(VLOOKUP($B$5,标准坦克设计!$B$24:$U$30,MATCH("对"&amp;LEFT($C$5,2)&amp;"输出",标准坦克设计!$B$23:$U$23,0)))*(VLOOKUP($B82,INDIRECT($B$5&amp;"生成成长"),3))*(VLOOKUP($B$5,标准坦克设计!$B$14:$K$20,9)/30))</f>
        <v>48.156723735276195</v>
      </c>
      <c r="CM82" s="173">
        <f ca="1">(VLOOKUP(CM$72,INDIRECT($C$5&amp;"生成成长"),2))/((VLOOKUP($B82,INDIRECT($B$5&amp;"生成成长"),4))/(VLOOKUP(CM$72,INDIRECT($C$5&amp;"生成成长"),5))*(VLOOKUP($B$5,标准坦克设计!$B$24:$U$30,MATCH("对"&amp;LEFT($C$5,2)&amp;"输出",标准坦克设计!$B$23:$U$23,0)))*(VLOOKUP($B82,INDIRECT($B$5&amp;"生成成长"),3))*(VLOOKUP($B$5,标准坦克设计!$B$14:$K$20,9)/30))</f>
        <v>51.313720192427489</v>
      </c>
      <c r="CN82" s="173">
        <f ca="1">(VLOOKUP(CN$72,INDIRECT($C$5&amp;"生成成长"),2))/((VLOOKUP($B82,INDIRECT($B$5&amp;"生成成长"),4))/(VLOOKUP(CN$72,INDIRECT($C$5&amp;"生成成长"),5))*(VLOOKUP($B$5,标准坦克设计!$B$24:$U$30,MATCH("对"&amp;LEFT($C$5,2)&amp;"输出",标准坦克设计!$B$23:$U$23,0)))*(VLOOKUP($B82,INDIRECT($B$5&amp;"生成成长"),3))*(VLOOKUP($B$5,标准坦克设计!$B$14:$K$20,9)/30))</f>
        <v>54.570938759329621</v>
      </c>
      <c r="CO82" s="173">
        <f ca="1">(VLOOKUP(CO$72,INDIRECT($C$5&amp;"生成成长"),2))/((VLOOKUP($B82,INDIRECT($B$5&amp;"生成成长"),4))/(VLOOKUP(CO$72,INDIRECT($C$5&amp;"生成成长"),5))*(VLOOKUP($B$5,标准坦克设计!$B$24:$U$30,MATCH("对"&amp;LEFT($C$5,2)&amp;"输出",标准坦克设计!$B$23:$U$23,0)))*(VLOOKUP($B82,INDIRECT($B$5&amp;"生成成长"),3))*(VLOOKUP($B$5,标准坦克设计!$B$14:$K$20,9)/30))</f>
        <v>24.454608920153106</v>
      </c>
      <c r="CP82" s="173">
        <f ca="1">(VLOOKUP(CP$72,INDIRECT($C$5&amp;"生成成长"),2))/((VLOOKUP($B82,INDIRECT($B$5&amp;"生成成长"),4))/(VLOOKUP(CP$72,INDIRECT($C$5&amp;"生成成长"),5))*(VLOOKUP($B$5,标准坦克设计!$B$24:$U$30,MATCH("对"&amp;LEFT($C$5,2)&amp;"输出",标准坦克设计!$B$23:$U$23,0)))*(VLOOKUP($B82,INDIRECT($B$5&amp;"生成成长"),3))*(VLOOKUP($B$5,标准坦克设计!$B$14:$K$20,9)/30))</f>
        <v>26.718717490433338</v>
      </c>
      <c r="CQ82" s="173">
        <f ca="1">(VLOOKUP(CQ$72,INDIRECT($C$5&amp;"生成成长"),2))/((VLOOKUP($B82,INDIRECT($B$5&amp;"生成成长"),4))/(VLOOKUP(CQ$72,INDIRECT($C$5&amp;"生成成长"),5))*(VLOOKUP($B$5,标准坦克设计!$B$24:$U$30,MATCH("对"&amp;LEFT($C$5,2)&amp;"输出",标准坦克设计!$B$23:$U$23,0)))*(VLOOKUP($B82,INDIRECT($B$5&amp;"生成成长"),3))*(VLOOKUP($B$5,标准坦克设计!$B$14:$K$20,9)/30))</f>
        <v>29.083048170464394</v>
      </c>
      <c r="CR82" s="173">
        <f ca="1">(VLOOKUP(CR$72,INDIRECT($C$5&amp;"生成成长"),2))/((VLOOKUP($B82,INDIRECT($B$5&amp;"生成成长"),4))/(VLOOKUP(CR$72,INDIRECT($C$5&amp;"生成成长"),5))*(VLOOKUP($B$5,标准坦克设计!$B$24:$U$30,MATCH("对"&amp;LEFT($C$5,2)&amp;"输出",标准坦克设计!$B$23:$U$23,0)))*(VLOOKUP($B82,INDIRECT($B$5&amp;"生成成长"),3))*(VLOOKUP($B$5,标准坦克设计!$B$14:$K$20,9)/30))</f>
        <v>31.547600960246285</v>
      </c>
      <c r="CS82" s="173">
        <f ca="1">(VLOOKUP(CS$72,INDIRECT($C$5&amp;"生成成长"),2))/((VLOOKUP($B82,INDIRECT($B$5&amp;"生成成长"),4))/(VLOOKUP(CS$72,INDIRECT($C$5&amp;"生成成长"),5))*(VLOOKUP($B$5,标准坦克设计!$B$24:$U$30,MATCH("对"&amp;LEFT($C$5,2)&amp;"输出",标准坦克设计!$B$23:$U$23,0)))*(VLOOKUP($B82,INDIRECT($B$5&amp;"生成成长"),3))*(VLOOKUP($B$5,标准坦克设计!$B$14:$K$20,9)/30))</f>
        <v>34.112375859779021</v>
      </c>
      <c r="CT82" s="173">
        <f ca="1">(VLOOKUP(CT$72,INDIRECT($C$5&amp;"生成成长"),2))/((VLOOKUP($B82,INDIRECT($B$5&amp;"生成成长"),4))/(VLOOKUP(CT$72,INDIRECT($C$5&amp;"生成成长"),5))*(VLOOKUP($B$5,标准坦克设计!$B$24:$U$30,MATCH("对"&amp;LEFT($C$5,2)&amp;"输出",标准坦克设计!$B$23:$U$23,0)))*(VLOOKUP($B82,INDIRECT($B$5&amp;"生成成长"),3))*(VLOOKUP($B$5,标准坦克设计!$B$14:$K$20,9)/30))</f>
        <v>36.777372869062589</v>
      </c>
      <c r="CU82" s="173">
        <f ca="1">(VLOOKUP(CU$72,INDIRECT($C$5&amp;"生成成长"),2))/((VLOOKUP($B82,INDIRECT($B$5&amp;"生成成长"),4))/(VLOOKUP(CU$72,INDIRECT($C$5&amp;"生成成长"),5))*(VLOOKUP($B$5,标准坦克设计!$B$24:$U$30,MATCH("对"&amp;LEFT($C$5,2)&amp;"输出",标准坦克设计!$B$23:$U$23,0)))*(VLOOKUP($B82,INDIRECT($B$5&amp;"生成成长"),3))*(VLOOKUP($B$5,标准坦克设计!$B$14:$K$20,9)/30))</f>
        <v>39.542591988096994</v>
      </c>
      <c r="CV82" s="173">
        <f ca="1">(VLOOKUP(CV$72,INDIRECT($C$5&amp;"生成成长"),2))/((VLOOKUP($B82,INDIRECT($B$5&amp;"生成成长"),4))/(VLOOKUP(CV$72,INDIRECT($C$5&amp;"生成成长"),5))*(VLOOKUP($B$5,标准坦克设计!$B$24:$U$30,MATCH("对"&amp;LEFT($C$5,2)&amp;"输出",标准坦克设计!$B$23:$U$23,0)))*(VLOOKUP($B82,INDIRECT($B$5&amp;"生成成长"),3))*(VLOOKUP($B$5,标准坦克设计!$B$14:$K$20,9)/30))</f>
        <v>42.408033216882224</v>
      </c>
      <c r="CW82" s="173">
        <f ca="1">(VLOOKUP(CW$72,INDIRECT($C$5&amp;"生成成长"),2))/((VLOOKUP($B82,INDIRECT($B$5&amp;"生成成长"),4))/(VLOOKUP(CW$72,INDIRECT($C$5&amp;"生成成长"),5))*(VLOOKUP($B$5,标准坦克设计!$B$24:$U$30,MATCH("对"&amp;LEFT($C$5,2)&amp;"输出",标准坦克设计!$B$23:$U$23,0)))*(VLOOKUP($B82,INDIRECT($B$5&amp;"生成成长"),3))*(VLOOKUP($B$5,标准坦克设计!$B$14:$K$20,9)/30))</f>
        <v>45.373696555418299</v>
      </c>
      <c r="CX82" s="173">
        <f ca="1">(VLOOKUP(CX$72,INDIRECT($C$5&amp;"生成成长"),2))/((VLOOKUP($B82,INDIRECT($B$5&amp;"生成成长"),4))/(VLOOKUP(CX$72,INDIRECT($C$5&amp;"生成成长"),5))*(VLOOKUP($B$5,标准坦克设计!$B$24:$U$30,MATCH("对"&amp;LEFT($C$5,2)&amp;"输出",标准坦克设计!$B$23:$U$23,0)))*(VLOOKUP($B82,INDIRECT($B$5&amp;"生成成长"),3))*(VLOOKUP($B$5,标准坦克设计!$B$14:$K$20,9)/30))</f>
        <v>48.439582003705191</v>
      </c>
      <c r="CY82" s="173">
        <f ca="1">(VLOOKUP(CY$72,INDIRECT($C$5&amp;"生成成长"),2))/((VLOOKUP($B82,INDIRECT($B$5&amp;"生成成长"),4))/(VLOOKUP(CY$72,INDIRECT($C$5&amp;"生成成长"),5))*(VLOOKUP($B$5,标准坦克设计!$B$24:$U$30,MATCH("对"&amp;LEFT($C$5,2)&amp;"输出",标准坦克设计!$B$23:$U$23,0)))*(VLOOKUP($B82,INDIRECT($B$5&amp;"生成成长"),3))*(VLOOKUP($B$5,标准坦克设计!$B$14:$K$20,9)/30))</f>
        <v>51.605689561742935</v>
      </c>
      <c r="CZ82" s="173">
        <f ca="1">(VLOOKUP(CZ$72,INDIRECT($C$5&amp;"生成成长"),2))/((VLOOKUP($B82,INDIRECT($B$5&amp;"生成成长"),4))/(VLOOKUP(CZ$72,INDIRECT($C$5&amp;"生成成长"),5))*(VLOOKUP($B$5,标准坦克设计!$B$24:$U$30,MATCH("对"&amp;LEFT($C$5,2)&amp;"输出",标准坦克设计!$B$23:$U$23,0)))*(VLOOKUP($B82,INDIRECT($B$5&amp;"生成成长"),3))*(VLOOKUP($B$5,标准坦克设计!$B$14:$K$20,9)/30))</f>
        <v>54.872019229531517</v>
      </c>
      <c r="DA82" s="173">
        <f ca="1">(VLOOKUP(DA$72,INDIRECT($C$5&amp;"生成成长"),2))/((VLOOKUP($B82,INDIRECT($B$5&amp;"生成成长"),4))/(VLOOKUP(DA$72,INDIRECT($C$5&amp;"生成成长"),5))*(VLOOKUP($B$5,标准坦克设计!$B$24:$U$30,MATCH("对"&amp;LEFT($C$5,2)&amp;"输出",标准坦克设计!$B$23:$U$23,0)))*(VLOOKUP($B82,INDIRECT($B$5&amp;"生成成长"),3))*(VLOOKUP($B$5,标准坦克设计!$B$14:$K$20,9)/30))</f>
        <v>58.238571007070917</v>
      </c>
      <c r="DB82" s="173">
        <f ca="1">(VLOOKUP(DB$72,INDIRECT($C$5&amp;"生成成长"),2))/((VLOOKUP($B82,INDIRECT($B$5&amp;"生成成长"),4))/(VLOOKUP(DB$72,INDIRECT($C$5&amp;"生成成长"),5))*(VLOOKUP($B$5,标准坦克设计!$B$24:$U$30,MATCH("对"&amp;LEFT($C$5,2)&amp;"输出",标准坦克设计!$B$23:$U$23,0)))*(VLOOKUP($B82,INDIRECT($B$5&amp;"生成成长"),3))*(VLOOKUP($B$5,标准坦克设计!$B$14:$K$20,9)/30))</f>
        <v>61.705344894361176</v>
      </c>
      <c r="DC82" s="173">
        <f ca="1">(VLOOKUP(DC$72,INDIRECT($C$5&amp;"生成成长"),2))/((VLOOKUP($B82,INDIRECT($B$5&amp;"生成成长"),4))/(VLOOKUP(DC$72,INDIRECT($C$5&amp;"生成成长"),5))*(VLOOKUP($B$5,标准坦克设计!$B$24:$U$30,MATCH("对"&amp;LEFT($C$5,2)&amp;"输出",标准坦克设计!$B$23:$U$23,0)))*(VLOOKUP($B82,INDIRECT($B$5&amp;"生成成长"),3))*(VLOOKUP($B$5,标准坦克设计!$B$14:$K$20,9)/30))</f>
        <v>65.60158294616221</v>
      </c>
      <c r="DD82" s="173">
        <f ca="1">(VLOOKUP(DD$72,INDIRECT($C$5&amp;"生成成长"),2))/((VLOOKUP($B82,INDIRECT($B$5&amp;"生成成长"),4))/(VLOOKUP(DD$72,INDIRECT($C$5&amp;"生成成长"),5))*(VLOOKUP($B$5,标准坦克设计!$B$24:$U$30,MATCH("对"&amp;LEFT($C$5,2)&amp;"输出",标准坦克设计!$B$23:$U$23,0)))*(VLOOKUP($B82,INDIRECT($B$5&amp;"生成成长"),3))*(VLOOKUP($B$5,标准坦克设计!$B$14:$K$20,9)/30))</f>
        <v>69.617093591385753</v>
      </c>
      <c r="DE82" s="173">
        <f ca="1">(VLOOKUP(DE$72,INDIRECT($C$5&amp;"生成成长"),2))/((VLOOKUP($B82,INDIRECT($B$5&amp;"生成成长"),4))/(VLOOKUP(DE$72,INDIRECT($C$5&amp;"生成成长"),5))*(VLOOKUP($B$5,标准坦克设计!$B$24:$U$30,MATCH("对"&amp;LEFT($C$5,2)&amp;"输出",标准坦克设计!$B$23:$U$23,0)))*(VLOOKUP($B82,INDIRECT($B$5&amp;"生成成长"),3))*(VLOOKUP($B$5,标准坦克设计!$B$14:$K$20,9)/30))</f>
        <v>73.751876830031776</v>
      </c>
      <c r="DF82" s="173">
        <f ca="1">(VLOOKUP(DF$72,INDIRECT($C$5&amp;"生成成长"),2))/((VLOOKUP($B82,INDIRECT($B$5&amp;"生成成长"),4))/(VLOOKUP(DF$72,INDIRECT($C$5&amp;"生成成长"),5))*(VLOOKUP($B$5,标准坦克设计!$B$24:$U$30,MATCH("对"&amp;LEFT($C$5,2)&amp;"输出",标准坦克设计!$B$23:$U$23,0)))*(VLOOKUP($B82,INDIRECT($B$5&amp;"生成成长"),3))*(VLOOKUP($B$5,标准坦克设计!$B$14:$K$20,9)/30))</f>
        <v>78.005932662100264</v>
      </c>
      <c r="DG82" s="173">
        <f ca="1">(VLOOKUP(DG$72,INDIRECT($C$5&amp;"生成成长"),2))/((VLOOKUP($B82,INDIRECT($B$5&amp;"生成成长"),4))/(VLOOKUP(DG$72,INDIRECT($C$5&amp;"生成成长"),5))*(VLOOKUP($B$5,标准坦克设计!$B$24:$U$30,MATCH("对"&amp;LEFT($C$5,2)&amp;"输出",标准坦克设计!$B$23:$U$23,0)))*(VLOOKUP($B82,INDIRECT($B$5&amp;"生成成长"),3))*(VLOOKUP($B$5,标准坦克设计!$B$14:$K$20,9)/30))</f>
        <v>82.37926108759126</v>
      </c>
      <c r="DH82" s="173">
        <f ca="1">(VLOOKUP(DH$72,INDIRECT($C$5&amp;"生成成长"),2))/((VLOOKUP($B82,INDIRECT($B$5&amp;"生成成长"),4))/(VLOOKUP(DH$72,INDIRECT($C$5&amp;"生成成长"),5))*(VLOOKUP($B$5,标准坦克设计!$B$24:$U$30,MATCH("对"&amp;LEFT($C$5,2)&amp;"输出",标准坦克设计!$B$23:$U$23,0)))*(VLOOKUP($B82,INDIRECT($B$5&amp;"生成成长"),3))*(VLOOKUP($B$5,标准坦克设计!$B$14:$K$20,9)/30))</f>
        <v>86.871862106504707</v>
      </c>
      <c r="DI82" s="173">
        <f ca="1">(VLOOKUP(DI$72,INDIRECT($C$5&amp;"生成成长"),2))/((VLOOKUP($B82,INDIRECT($B$5&amp;"生成成长"),4))/(VLOOKUP(DI$72,INDIRECT($C$5&amp;"生成成长"),5))*(VLOOKUP($B$5,标准坦克设计!$B$24:$U$30,MATCH("对"&amp;LEFT($C$5,2)&amp;"输出",标准坦克设计!$B$23:$U$23,0)))*(VLOOKUP($B82,INDIRECT($B$5&amp;"生成成长"),3))*(VLOOKUP($B$5,标准坦克设计!$B$14:$K$20,9)/30))</f>
        <v>91.483735718840649</v>
      </c>
      <c r="DJ82" s="173">
        <f ca="1">(VLOOKUP(DJ$72,INDIRECT($C$5&amp;"生成成长"),2))/((VLOOKUP($B82,INDIRECT($B$5&amp;"生成成长"),4))/(VLOOKUP(DJ$72,INDIRECT($C$5&amp;"生成成长"),5))*(VLOOKUP($B$5,标准坦克设计!$B$24:$U$30,MATCH("对"&amp;LEFT($C$5,2)&amp;"输出",标准坦克设计!$B$23:$U$23,0)))*(VLOOKUP($B82,INDIRECT($B$5&amp;"生成成长"),3))*(VLOOKUP($B$5,标准坦克设计!$B$14:$K$20,9)/30))</f>
        <v>9.1943432172656472</v>
      </c>
      <c r="DK82" s="173">
        <f ca="1">(VLOOKUP(DK$72,INDIRECT($C$5&amp;"生成成长"),2))/((VLOOKUP($B82,INDIRECT($B$5&amp;"生成成长"),4))/(VLOOKUP(DK$72,INDIRECT($C$5&amp;"生成成长"),5))*(VLOOKUP($B$5,标准坦克设计!$B$24:$U$30,MATCH("对"&amp;LEFT($C$5,2)&amp;"输出",标准坦克设计!$B$23:$U$23,0)))*(VLOOKUP($B82,INDIRECT($B$5&amp;"生成成长"),3))*(VLOOKUP($B$5,标准坦克设计!$B$14:$K$20,9)/30))</f>
        <v>10.338614660412576</v>
      </c>
      <c r="DL82" s="173">
        <f ca="1">(VLOOKUP(DL$72,INDIRECT($C$5&amp;"生成成长"),2))/((VLOOKUP($B82,INDIRECT($B$5&amp;"生成成长"),4))/(VLOOKUP(DL$72,INDIRECT($C$5&amp;"生成成长"),5))*(VLOOKUP($B$5,标准坦克设计!$B$24:$U$30,MATCH("对"&amp;LEFT($C$5,2)&amp;"输出",标准坦克设计!$B$23:$U$23,0)))*(VLOOKUP($B82,INDIRECT($B$5&amp;"生成成长"),3))*(VLOOKUP($B$5,标准坦克设计!$B$14:$K$20,9)/30))</f>
        <v>11.549976937359652</v>
      </c>
      <c r="DM82" s="173">
        <f ca="1">(VLOOKUP(DM$72,INDIRECT($C$5&amp;"生成成长"),2))/((VLOOKUP($B82,INDIRECT($B$5&amp;"生成成长"),4))/(VLOOKUP(DM$72,INDIRECT($C$5&amp;"生成成长"),5))*(VLOOKUP($B$5,标准坦克设计!$B$24:$U$30,MATCH("对"&amp;LEFT($C$5,2)&amp;"输出",标准坦克设计!$B$23:$U$23,0)))*(VLOOKUP($B82,INDIRECT($B$5&amp;"生成成长"),3))*(VLOOKUP($B$5,标准坦克设计!$B$14:$K$20,9)/30))</f>
        <v>12.828430048106872</v>
      </c>
      <c r="DN82" s="173">
        <f ca="1">(VLOOKUP(DN$72,INDIRECT($C$5&amp;"生成成长"),2))/((VLOOKUP($B82,INDIRECT($B$5&amp;"生成成长"),4))/(VLOOKUP(DN$72,INDIRECT($C$5&amp;"生成成长"),5))*(VLOOKUP($B$5,标准坦克设计!$B$24:$U$30,MATCH("对"&amp;LEFT($C$5,2)&amp;"输出",标准坦克设计!$B$23:$U$23,0)))*(VLOOKUP($B82,INDIRECT($B$5&amp;"生成成长"),3))*(VLOOKUP($B$5,标准坦克设计!$B$14:$K$20,9)/30))</f>
        <v>14.17397399265424</v>
      </c>
      <c r="DO82" s="173">
        <f ca="1">(VLOOKUP(DO$72,INDIRECT($C$5&amp;"生成成长"),2))/((VLOOKUP($B82,INDIRECT($B$5&amp;"生成成长"),4))/(VLOOKUP(DO$72,INDIRECT($C$5&amp;"生成成长"),5))*(VLOOKUP($B$5,标准坦克设计!$B$24:$U$30,MATCH("对"&amp;LEFT($C$5,2)&amp;"输出",标准坦克设计!$B$23:$U$23,0)))*(VLOOKUP($B82,INDIRECT($B$5&amp;"生成成长"),3))*(VLOOKUP($B$5,标准坦克设计!$B$14:$K$20,9)/30))</f>
        <v>15.586608771001753</v>
      </c>
      <c r="DP82" s="173">
        <f ca="1">(VLOOKUP(DP$72,INDIRECT($C$5&amp;"生成成长"),2))/((VLOOKUP($B82,INDIRECT($B$5&amp;"生成成长"),4))/(VLOOKUP(DP$72,INDIRECT($C$5&amp;"生成成长"),5))*(VLOOKUP($B$5,标准坦克设计!$B$24:$U$30,MATCH("对"&amp;LEFT($C$5,2)&amp;"输出",标准坦克设计!$B$23:$U$23,0)))*(VLOOKUP($B82,INDIRECT($B$5&amp;"生成成长"),3))*(VLOOKUP($B$5,标准坦克设计!$B$14:$K$20,9)/30))</f>
        <v>17.06633438314941</v>
      </c>
      <c r="DQ82" s="173">
        <f ca="1">(VLOOKUP(DQ$72,INDIRECT($C$5&amp;"生成成长"),2))/((VLOOKUP($B82,INDIRECT($B$5&amp;"生成成长"),4))/(VLOOKUP(DQ$72,INDIRECT($C$5&amp;"生成成长"),5))*(VLOOKUP($B$5,标准坦克设计!$B$24:$U$30,MATCH("对"&amp;LEFT($C$5,2)&amp;"输出",标准坦克设计!$B$23:$U$23,0)))*(VLOOKUP($B82,INDIRECT($B$5&amp;"生成成长"),3))*(VLOOKUP($B$5,标准坦克设计!$B$14:$K$20,9)/30))</f>
        <v>18.613150829097215</v>
      </c>
      <c r="DR82" s="173">
        <f ca="1">(VLOOKUP(DR$72,INDIRECT($C$5&amp;"生成成长"),2))/((VLOOKUP($B82,INDIRECT($B$5&amp;"生成成长"),4))/(VLOOKUP(DR$72,INDIRECT($C$5&amp;"生成成长"),5))*(VLOOKUP($B$5,标准坦克设计!$B$24:$U$30,MATCH("对"&amp;LEFT($C$5,2)&amp;"输出",标准坦克设计!$B$23:$U$23,0)))*(VLOOKUP($B82,INDIRECT($B$5&amp;"生成成长"),3))*(VLOOKUP($B$5,标准坦克设计!$B$14:$K$20,9)/30))</f>
        <v>20.227058108845164</v>
      </c>
      <c r="DS82" s="173">
        <f ca="1">(VLOOKUP(DS$72,INDIRECT($C$5&amp;"生成成长"),2))/((VLOOKUP($B82,INDIRECT($B$5&amp;"生成成长"),4))/(VLOOKUP(DS$72,INDIRECT($C$5&amp;"生成成长"),5))*(VLOOKUP($B$5,标准坦克设计!$B$24:$U$30,MATCH("对"&amp;LEFT($C$5,2)&amp;"输出",标准坦克设计!$B$23:$U$23,0)))*(VLOOKUP($B82,INDIRECT($B$5&amp;"生成成长"),3))*(VLOOKUP($B$5,标准坦克设计!$B$14:$K$20,9)/30))</f>
        <v>21.90805622239326</v>
      </c>
      <c r="DT82" s="173">
        <f ca="1">(VLOOKUP(DT$72,INDIRECT($C$5&amp;"生成成长"),2))/((VLOOKUP($B82,INDIRECT($B$5&amp;"生成成长"),4))/(VLOOKUP(DT$72,INDIRECT($C$5&amp;"生成成长"),5))*(VLOOKUP($B$5,标准坦克设计!$B$24:$U$30,MATCH("对"&amp;LEFT($C$5,2)&amp;"输出",标准坦克设计!$B$23:$U$23,0)))*(VLOOKUP($B82,INDIRECT($B$5&amp;"生成成长"),3))*(VLOOKUP($B$5,标准坦克设计!$B$14:$K$20,9)/30))</f>
        <v>24.053720481149767</v>
      </c>
      <c r="DU82" s="173">
        <f ca="1">(VLOOKUP(DU$72,INDIRECT($C$5&amp;"生成成长"),2))/((VLOOKUP($B82,INDIRECT($B$5&amp;"生成成长"),4))/(VLOOKUP(DU$72,INDIRECT($C$5&amp;"生成成长"),5))*(VLOOKUP($B$5,标准坦克设计!$B$24:$U$30,MATCH("对"&amp;LEFT($C$5,2)&amp;"输出",标准坦克设计!$B$23:$U$23,0)))*(VLOOKUP($B82,INDIRECT($B$5&amp;"生成成长"),3))*(VLOOKUP($B$5,标准坦克设计!$B$14:$K$20,9)/30))</f>
        <v>26.299606849657113</v>
      </c>
      <c r="DV82" s="173">
        <f ca="1">(VLOOKUP(DV$72,INDIRECT($C$5&amp;"生成成长"),2))/((VLOOKUP($B82,INDIRECT($B$5&amp;"生成成长"),4))/(VLOOKUP(DV$72,INDIRECT($C$5&amp;"生成成长"),5))*(VLOOKUP($B$5,标准坦克设计!$B$24:$U$30,MATCH("对"&amp;LEFT($C$5,2)&amp;"输出",标准坦克设计!$B$23:$U$23,0)))*(VLOOKUP($B82,INDIRECT($B$5&amp;"生成成长"),3))*(VLOOKUP($B$5,标准坦克设计!$B$14:$K$20,9)/30))</f>
        <v>28.645715327915294</v>
      </c>
      <c r="DW82" s="173">
        <f ca="1">(VLOOKUP(DW$72,INDIRECT($C$5&amp;"生成成长"),2))/((VLOOKUP($B82,INDIRECT($B$5&amp;"生成成长"),4))/(VLOOKUP(DW$72,INDIRECT($C$5&amp;"生成成长"),5))*(VLOOKUP($B$5,标准坦克设计!$B$24:$U$30,MATCH("对"&amp;LEFT($C$5,2)&amp;"输出",标准坦克设计!$B$23:$U$23,0)))*(VLOOKUP($B82,INDIRECT($B$5&amp;"生成成长"),3))*(VLOOKUP($B$5,标准坦克设计!$B$14:$K$20,9)/30))</f>
        <v>31.092045915924313</v>
      </c>
      <c r="DX82" s="173">
        <f ca="1">(VLOOKUP(DX$72,INDIRECT($C$5&amp;"生成成长"),2))/((VLOOKUP($B82,INDIRECT($B$5&amp;"生成成长"),4))/(VLOOKUP(DX$72,INDIRECT($C$5&amp;"生成成长"),5))*(VLOOKUP($B$5,标准坦克设计!$B$24:$U$30,MATCH("对"&amp;LEFT($C$5,2)&amp;"输出",标准坦克设计!$B$23:$U$23,0)))*(VLOOKUP($B82,INDIRECT($B$5&amp;"生成成长"),3))*(VLOOKUP($B$5,标准坦克设计!$B$14:$K$20,9)/30))</f>
        <v>33.638598613684167</v>
      </c>
      <c r="DY82" s="173">
        <f ca="1">(VLOOKUP(DY$72,INDIRECT($C$5&amp;"生成成长"),2))/((VLOOKUP($B82,INDIRECT($B$5&amp;"生成成长"),4))/(VLOOKUP(DY$72,INDIRECT($C$5&amp;"生成成长"),5))*(VLOOKUP($B$5,标准坦克设计!$B$24:$U$30,MATCH("对"&amp;LEFT($C$5,2)&amp;"输出",标准坦克设计!$B$23:$U$23,0)))*(VLOOKUP($B82,INDIRECT($B$5&amp;"生成成长"),3))*(VLOOKUP($B$5,标准坦克设计!$B$14:$K$20,9)/30))</f>
        <v>15.108275974463675</v>
      </c>
      <c r="DZ82" s="173">
        <f ca="1">(VLOOKUP(DZ$72,INDIRECT($C$5&amp;"生成成长"),2))/((VLOOKUP($B82,INDIRECT($B$5&amp;"生成成长"),4))/(VLOOKUP(DZ$72,INDIRECT($C$5&amp;"生成成长"),5))*(VLOOKUP($B$5,标准坦克设计!$B$24:$U$30,MATCH("对"&amp;LEFT($C$5,2)&amp;"输出",标准坦克设计!$B$23:$U$23,0)))*(VLOOKUP($B82,INDIRECT($B$5&amp;"生成成长"),3))*(VLOOKUP($B$5,标准坦克设计!$B$14:$K$20,9)/30))</f>
        <v>16.73170849604745</v>
      </c>
      <c r="EA82" s="173">
        <f ca="1">(VLOOKUP(EA$72,INDIRECT($C$5&amp;"生成成长"),2))/((VLOOKUP($B82,INDIRECT($B$5&amp;"生成成长"),4))/(VLOOKUP(EA$72,INDIRECT($C$5&amp;"生成成长"),5))*(VLOOKUP($B$5,标准坦克设计!$B$24:$U$30,MATCH("对"&amp;LEFT($C$5,2)&amp;"输出",标准坦克设计!$B$23:$U$23,0)))*(VLOOKUP($B82,INDIRECT($B$5&amp;"生成成长"),3))*(VLOOKUP($B$5,标准坦克设计!$B$14:$K$20,9)/30))</f>
        <v>18.437969207507944</v>
      </c>
      <c r="EB82" s="173">
        <f ca="1">(VLOOKUP(EB$72,INDIRECT($C$5&amp;"生成成长"),2))/((VLOOKUP($B82,INDIRECT($B$5&amp;"生成成长"),4))/(VLOOKUP(EB$72,INDIRECT($C$5&amp;"生成成长"),5))*(VLOOKUP($B$5,标准坦克设计!$B$24:$U$30,MATCH("对"&amp;LEFT($C$5,2)&amp;"输出",标准坦克设计!$B$23:$U$23,0)))*(VLOOKUP($B82,INDIRECT($B$5&amp;"生成成长"),3))*(VLOOKUP($B$5,标准坦克设计!$B$14:$K$20,9)/30))</f>
        <v>20.227058108845164</v>
      </c>
      <c r="EC82" s="173">
        <f ca="1">(VLOOKUP(EC$72,INDIRECT($C$5&amp;"生成成长"),2))/((VLOOKUP($B82,INDIRECT($B$5&amp;"生成成长"),4))/(VLOOKUP(EC$72,INDIRECT($C$5&amp;"生成成长"),5))*(VLOOKUP($B$5,标准坦克设计!$B$24:$U$30,MATCH("对"&amp;LEFT($C$5,2)&amp;"输出",标准坦克设计!$B$23:$U$23,0)))*(VLOOKUP($B82,INDIRECT($B$5&amp;"生成成长"),3))*(VLOOKUP($B$5,标准坦克设计!$B$14:$K$20,9)/30))</f>
        <v>22.098975200059108</v>
      </c>
      <c r="ED82" s="173">
        <f ca="1">(VLOOKUP(ED$72,INDIRECT($C$5&amp;"生成成长"),2))/((VLOOKUP($B82,INDIRECT($B$5&amp;"生成成长"),4))/(VLOOKUP(ED$72,INDIRECT($C$5&amp;"生成成长"),5))*(VLOOKUP($B$5,标准坦克设计!$B$24:$U$30,MATCH("对"&amp;LEFT($C$5,2)&amp;"输出",标准坦克设计!$B$23:$U$23,0)))*(VLOOKUP($B82,INDIRECT($B$5&amp;"生成成长"),3))*(VLOOKUP($B$5,标准坦克设计!$B$14:$K$20,9)/30))</f>
        <v>24.053720481149767</v>
      </c>
      <c r="EE82" s="173">
        <f ca="1">(VLOOKUP(EE$72,INDIRECT($C$5&amp;"生成成长"),2))/((VLOOKUP($B82,INDIRECT($B$5&amp;"生成成长"),4))/(VLOOKUP(EE$72,INDIRECT($C$5&amp;"生成成长"),5))*(VLOOKUP($B$5,标准坦克设计!$B$24:$U$30,MATCH("对"&amp;LEFT($C$5,2)&amp;"输出",标准坦克设计!$B$23:$U$23,0)))*(VLOOKUP($B82,INDIRECT($B$5&amp;"生成成长"),3))*(VLOOKUP($B$5,标准坦克设计!$B$14:$K$20,9)/30))</f>
        <v>26.091293952117152</v>
      </c>
      <c r="EF82" s="173">
        <f ca="1">(VLOOKUP(EF$72,INDIRECT($C$5&amp;"生成成长"),2))/((VLOOKUP($B82,INDIRECT($B$5&amp;"生成成长"),4))/(VLOOKUP(EF$72,INDIRECT($C$5&amp;"生成成长"),5))*(VLOOKUP($B$5,标准坦克设计!$B$24:$U$30,MATCH("对"&amp;LEFT($C$5,2)&amp;"输出",标准坦克设计!$B$23:$U$23,0)))*(VLOOKUP($B82,INDIRECT($B$5&amp;"生成成长"),3))*(VLOOKUP($B$5,标准坦克设计!$B$14:$K$20,9)/30))</f>
        <v>28.211695612961268</v>
      </c>
      <c r="EG82" s="173">
        <f ca="1">(VLOOKUP(EG$72,INDIRECT($C$5&amp;"生成成长"),2))/((VLOOKUP($B82,INDIRECT($B$5&amp;"生成成长"),4))/(VLOOKUP(EG$72,INDIRECT($C$5&amp;"生成成长"),5))*(VLOOKUP($B$5,标准坦克设计!$B$24:$U$30,MATCH("对"&amp;LEFT($C$5,2)&amp;"输出",标准坦克设计!$B$23:$U$23,0)))*(VLOOKUP($B82,INDIRECT($B$5&amp;"生成成长"),3))*(VLOOKUP($B$5,标准坦克设计!$B$14:$K$20,9)/30))</f>
        <v>30.414925463682103</v>
      </c>
      <c r="EH82" s="173">
        <f ca="1">(VLOOKUP(EH$72,INDIRECT($C$5&amp;"生成成长"),2))/((VLOOKUP($B82,INDIRECT($B$5&amp;"生成成长"),4))/(VLOOKUP(EH$72,INDIRECT($C$5&amp;"生成成长"),5))*(VLOOKUP($B$5,标准坦克设计!$B$24:$U$30,MATCH("对"&amp;LEFT($C$5,2)&amp;"输出",标准坦克设计!$B$23:$U$23,0)))*(VLOOKUP($B82,INDIRECT($B$5&amp;"生成成长"),3))*(VLOOKUP($B$5,标准坦克设计!$B$14:$K$20,9)/30))</f>
        <v>32.700983504279662</v>
      </c>
      <c r="EI82" s="173">
        <f ca="1">(VLOOKUP(EI$72,INDIRECT($C$5&amp;"生成成长"),2))/((VLOOKUP($B82,INDIRECT($B$5&amp;"生成成长"),4))/(VLOOKUP(EI$72,INDIRECT($C$5&amp;"生成成长"),5))*(VLOOKUP($B$5,标准坦克设计!$B$24:$U$30,MATCH("对"&amp;LEFT($C$5,2)&amp;"输出",标准坦克设计!$B$23:$U$23,0)))*(VLOOKUP($B82,INDIRECT($B$5&amp;"生成成长"),3))*(VLOOKUP($B$5,标准坦克设计!$B$14:$K$20,9)/30))</f>
        <v>35.069869734753944</v>
      </c>
      <c r="EJ82" s="173">
        <f ca="1">(VLOOKUP(EJ$72,INDIRECT($C$5&amp;"生成成长"),2))/((VLOOKUP($B82,INDIRECT($B$5&amp;"生成成长"),4))/(VLOOKUP(EJ$72,INDIRECT($C$5&amp;"生成成长"),5))*(VLOOKUP($B$5,标准坦克设计!$B$24:$U$30,MATCH("对"&amp;LEFT($C$5,2)&amp;"输出",标准坦克设计!$B$23:$U$23,0)))*(VLOOKUP($B82,INDIRECT($B$5&amp;"生成成长"),3))*(VLOOKUP($B$5,标准坦克设计!$B$14:$K$20,9)/30))</f>
        <v>37.521584155104946</v>
      </c>
      <c r="EK82" s="173">
        <f ca="1">(VLOOKUP(EK$72,INDIRECT($C$5&amp;"生成成长"),2))/((VLOOKUP($B82,INDIRECT($B$5&amp;"生成成长"),4))/(VLOOKUP(EK$72,INDIRECT($C$5&amp;"生成成长"),5))*(VLOOKUP($B$5,标准坦克设计!$B$24:$U$30,MATCH("对"&amp;LEFT($C$5,2)&amp;"输出",标准坦克设计!$B$23:$U$23,0)))*(VLOOKUP($B82,INDIRECT($B$5&amp;"生成成长"),3))*(VLOOKUP($B$5,标准坦克设计!$B$14:$K$20,9)/30))</f>
        <v>40.572974670163426</v>
      </c>
      <c r="EL82" s="173">
        <f ca="1">(VLOOKUP(EL$72,INDIRECT($C$5&amp;"生成成长"),2))/((VLOOKUP($B82,INDIRECT($B$5&amp;"生成成长"),4))/(VLOOKUP(EL$72,INDIRECT($C$5&amp;"生成成长"),5))*(VLOOKUP($B$5,标准坦克设计!$B$24:$U$30,MATCH("对"&amp;LEFT($C$5,2)&amp;"输出",标准坦克设计!$B$23:$U$23,0)))*(VLOOKUP($B82,INDIRECT($B$5&amp;"生成成长"),3))*(VLOOKUP($B$5,标准坦克设计!$B$14:$K$20,9)/30))</f>
        <v>43.743637778644377</v>
      </c>
      <c r="EM82" s="173">
        <f ca="1">(VLOOKUP(EM$72,INDIRECT($C$5&amp;"生成成长"),2))/((VLOOKUP($B82,INDIRECT($B$5&amp;"生成成长"),4))/(VLOOKUP(EM$72,INDIRECT($C$5&amp;"生成成长"),5))*(VLOOKUP($B$5,标准坦克设计!$B$24:$U$30,MATCH("对"&amp;LEFT($C$5,2)&amp;"输出",标准坦克设计!$B$23:$U$23,0)))*(VLOOKUP($B82,INDIRECT($B$5&amp;"生成成长"),3))*(VLOOKUP($B$5,标准坦克设计!$B$14:$K$20,9)/30))</f>
        <v>47.033573480547815</v>
      </c>
      <c r="EN82" s="173">
        <f ca="1">(VLOOKUP(EN$72,INDIRECT($C$5&amp;"生成成长"),2))/((VLOOKUP($B82,INDIRECT($B$5&amp;"生成成长"),4))/(VLOOKUP(EN$72,INDIRECT($C$5&amp;"生成成长"),5))*(VLOOKUP($B$5,标准坦克设计!$B$24:$U$30,MATCH("对"&amp;LEFT($C$5,2)&amp;"输出",标准坦克设计!$B$23:$U$23,0)))*(VLOOKUP($B82,INDIRECT($B$5&amp;"生成成长"),3))*(VLOOKUP($B$5,标准坦克设计!$B$14:$K$20,9)/30))</f>
        <v>50.442781775873748</v>
      </c>
      <c r="EO82" s="173">
        <f ca="1">(VLOOKUP(EO$72,INDIRECT($C$5&amp;"生成成长"),2))/((VLOOKUP($B82,INDIRECT($B$5&amp;"生成成长"),4))/(VLOOKUP(EO$72,INDIRECT($C$5&amp;"生成成长"),5))*(VLOOKUP($B$5,标准坦克设计!$B$24:$U$30,MATCH("对"&amp;LEFT($C$5,2)&amp;"输出",标准坦克设计!$B$23:$U$23,0)))*(VLOOKUP($B82,INDIRECT($B$5&amp;"生成成长"),3))*(VLOOKUP($B$5,标准坦克设计!$B$14:$K$20,9)/30))</f>
        <v>53.971262664622152</v>
      </c>
      <c r="EP82" s="173">
        <f ca="1">(VLOOKUP(EP$72,INDIRECT($C$5&amp;"生成成长"),2))/((VLOOKUP($B82,INDIRECT($B$5&amp;"生成成长"),4))/(VLOOKUP(EP$72,INDIRECT($C$5&amp;"生成成长"),5))*(VLOOKUP($B$5,标准坦克设计!$B$24:$U$30,MATCH("对"&amp;LEFT($C$5,2)&amp;"输出",标准坦克设计!$B$23:$U$23,0)))*(VLOOKUP($B82,INDIRECT($B$5&amp;"生成成长"),3))*(VLOOKUP($B$5,标准坦克设计!$B$14:$K$20,9)/30))</f>
        <v>57.619016146793037</v>
      </c>
      <c r="EQ82" s="173">
        <f ca="1">(VLOOKUP(EQ$72,INDIRECT($C$5&amp;"生成成长"),2))/((VLOOKUP($B82,INDIRECT($B$5&amp;"生成成长"),4))/(VLOOKUP(EQ$72,INDIRECT($C$5&amp;"生成成长"),5))*(VLOOKUP($B$5,标准坦克设计!$B$24:$U$30,MATCH("对"&amp;LEFT($C$5,2)&amp;"输出",标准坦克设计!$B$23:$U$23,0)))*(VLOOKUP($B82,INDIRECT($B$5&amp;"生成成长"),3))*(VLOOKUP($B$5,标准坦克设计!$B$14:$K$20,9)/30))</f>
        <v>25.471324950889883</v>
      </c>
      <c r="ER82" s="173">
        <f ca="1">(VLOOKUP(ER$72,INDIRECT($C$5&amp;"生成成长"),2))/((VLOOKUP($B82,INDIRECT($B$5&amp;"生成成长"),4))/(VLOOKUP(ER$72,INDIRECT($C$5&amp;"生成成长"),5))*(VLOOKUP($B$5,标准坦克设计!$B$24:$U$30,MATCH("对"&amp;LEFT($C$5,2)&amp;"输出",标准坦克设计!$B$23:$U$23,0)))*(VLOOKUP($B82,INDIRECT($B$5&amp;"生成成长"),3))*(VLOOKUP($B$5,标准坦克设计!$B$14:$K$20,9)/30))</f>
        <v>27.78098902560231</v>
      </c>
      <c r="ES82" s="173">
        <f ca="1">(VLOOKUP(ES$72,INDIRECT($C$5&amp;"生成成长"),2))/((VLOOKUP($B82,INDIRECT($B$5&amp;"生成成长"),4))/(VLOOKUP(ES$72,INDIRECT($C$5&amp;"生成成长"),5))*(VLOOKUP($B$5,标准坦克设计!$B$24:$U$30,MATCH("对"&amp;LEFT($C$5,2)&amp;"输出",标准坦克设计!$B$23:$U$23,0)))*(VLOOKUP($B82,INDIRECT($B$5&amp;"生成成长"),3))*(VLOOKUP($B$5,标准坦克设计!$B$14:$K$20,9)/30))</f>
        <v>30.190875210065563</v>
      </c>
      <c r="ET82" s="173">
        <f ca="1">(VLOOKUP(ET$72,INDIRECT($C$5&amp;"生成成长"),2))/((VLOOKUP($B82,INDIRECT($B$5&amp;"生成成长"),4))/(VLOOKUP(ET$72,INDIRECT($C$5&amp;"生成成长"),5))*(VLOOKUP($B$5,标准坦克设计!$B$24:$U$30,MATCH("对"&amp;LEFT($C$5,2)&amp;"输出",标准坦克设计!$B$23:$U$23,0)))*(VLOOKUP($B82,INDIRECT($B$5&amp;"生成成长"),3))*(VLOOKUP($B$5,标准坦克设计!$B$14:$K$20,9)/30))</f>
        <v>32.700983504279662</v>
      </c>
      <c r="EU82" s="173">
        <f ca="1">(VLOOKUP(EU$72,INDIRECT($C$5&amp;"生成成长"),2))/((VLOOKUP($B82,INDIRECT($B$5&amp;"生成成长"),4))/(VLOOKUP(EU$72,INDIRECT($C$5&amp;"生成成长"),5))*(VLOOKUP($B$5,标准坦克设计!$B$24:$U$30,MATCH("对"&amp;LEFT($C$5,2)&amp;"输出",标准坦克设计!$B$23:$U$23,0)))*(VLOOKUP($B82,INDIRECT($B$5&amp;"生成成长"),3))*(VLOOKUP($B$5,标准坦克设计!$B$14:$K$20,9)/30))</f>
        <v>35.311313908244585</v>
      </c>
      <c r="EV82" s="173">
        <f ca="1">(VLOOKUP(EV$72,INDIRECT($C$5&amp;"生成成长"),2))/((VLOOKUP($B82,INDIRECT($B$5&amp;"生成成长"),4))/(VLOOKUP(EV$72,INDIRECT($C$5&amp;"生成成长"),5))*(VLOOKUP($B$5,标准坦克设计!$B$24:$U$30,MATCH("对"&amp;LEFT($C$5,2)&amp;"输出",标准坦克设计!$B$23:$U$23,0)))*(VLOOKUP($B82,INDIRECT($B$5&amp;"生成成长"),3))*(VLOOKUP($B$5,标准坦克设计!$B$14:$K$20,9)/30))</f>
        <v>38.021866421960347</v>
      </c>
      <c r="EW82" s="173">
        <f ca="1">(VLOOKUP(EW$72,INDIRECT($C$5&amp;"生成成长"),2))/((VLOOKUP($B82,INDIRECT($B$5&amp;"生成成长"),4))/(VLOOKUP(EW$72,INDIRECT($C$5&amp;"生成成长"),5))*(VLOOKUP($B$5,标准坦克设计!$B$24:$U$30,MATCH("对"&amp;LEFT($C$5,2)&amp;"输出",标准坦克设计!$B$23:$U$23,0)))*(VLOOKUP($B82,INDIRECT($B$5&amp;"生成成长"),3))*(VLOOKUP($B$5,标准坦克设计!$B$14:$K$20,9)/30))</f>
        <v>40.832641045426946</v>
      </c>
      <c r="EX82" s="173">
        <f ca="1">(VLOOKUP(EX$72,INDIRECT($C$5&amp;"生成成长"),2))/((VLOOKUP($B82,INDIRECT($B$5&amp;"生成成长"),4))/(VLOOKUP(EX$72,INDIRECT($C$5&amp;"生成成长"),5))*(VLOOKUP($B$5,标准坦克设计!$B$24:$U$30,MATCH("对"&amp;LEFT($C$5,2)&amp;"输出",标准坦克设计!$B$23:$U$23,0)))*(VLOOKUP($B82,INDIRECT($B$5&amp;"生成成长"),3))*(VLOOKUP($B$5,标准坦克设计!$B$14:$K$20,9)/30))</f>
        <v>43.743637778644377</v>
      </c>
      <c r="EY82" s="173">
        <f ca="1">(VLOOKUP(EY$72,INDIRECT($C$5&amp;"生成成长"),2))/((VLOOKUP($B82,INDIRECT($B$5&amp;"生成成长"),4))/(VLOOKUP(EY$72,INDIRECT($C$5&amp;"生成成长"),5))*(VLOOKUP($B$5,标准坦克设计!$B$24:$U$30,MATCH("对"&amp;LEFT($C$5,2)&amp;"输出",标准坦克设计!$B$23:$U$23,0)))*(VLOOKUP($B82,INDIRECT($B$5&amp;"生成成长"),3))*(VLOOKUP($B$5,标准坦克设计!$B$14:$K$20,9)/30))</f>
        <v>46.754856621612653</v>
      </c>
      <c r="EZ82" s="173">
        <f ca="1">(VLOOKUP(EZ$72,INDIRECT($C$5&amp;"生成成长"),2))/((VLOOKUP($B82,INDIRECT($B$5&amp;"生成成长"),4))/(VLOOKUP(EZ$72,INDIRECT($C$5&amp;"生成成长"),5))*(VLOOKUP($B$5,标准坦克设计!$B$24:$U$30,MATCH("对"&amp;LEFT($C$5,2)&amp;"输出",标准坦克设计!$B$23:$U$23,0)))*(VLOOKUP($B82,INDIRECT($B$5&amp;"生成成长"),3))*(VLOOKUP($B$5,标准坦克设计!$B$14:$K$20,9)/30))</f>
        <v>49.86629757433176</v>
      </c>
      <c r="FA82" s="173">
        <f ca="1">(VLOOKUP(FA$72,INDIRECT($C$5&amp;"生成成长"),2))/((VLOOKUP($B82,INDIRECT($B$5&amp;"生成成长"),4))/(VLOOKUP(FA$72,INDIRECT($C$5&amp;"生成成长"),5))*(VLOOKUP($B$5,标准坦克设计!$B$24:$U$30,MATCH("对"&amp;LEFT($C$5,2)&amp;"输出",标准坦克设计!$B$23:$U$23,0)))*(VLOOKUP($B82,INDIRECT($B$5&amp;"生成成长"),3))*(VLOOKUP($B$5,标准坦克设计!$B$14:$K$20,9)/30))</f>
        <v>53.077960636801684</v>
      </c>
      <c r="FB82" s="173">
        <f ca="1">(VLOOKUP(FB$72,INDIRECT($C$5&amp;"生成成长"),2))/((VLOOKUP($B82,INDIRECT($B$5&amp;"生成成长"),4))/(VLOOKUP(FB$72,INDIRECT($C$5&amp;"生成成长"),5))*(VLOOKUP($B$5,标准坦克设计!$B$24:$U$30,MATCH("对"&amp;LEFT($C$5,2)&amp;"输出",标准坦克设计!$B$23:$U$23,0)))*(VLOOKUP($B82,INDIRECT($B$5&amp;"生成成长"),3))*(VLOOKUP($B$5,标准坦克设计!$B$14:$K$20,9)/30))</f>
        <v>56.389845809022461</v>
      </c>
      <c r="FC82" s="173">
        <f ca="1">(VLOOKUP(FC$72,INDIRECT($C$5&amp;"生成成长"),2))/((VLOOKUP($B82,INDIRECT($B$5&amp;"生成成长"),4))/(VLOOKUP(FC$72,INDIRECT($C$5&amp;"生成成长"),5))*(VLOOKUP($B$5,标准坦克设计!$B$24:$U$30,MATCH("对"&amp;LEFT($C$5,2)&amp;"输出",标准坦克设计!$B$23:$U$23,0)))*(VLOOKUP($B82,INDIRECT($B$5&amp;"生成成长"),3))*(VLOOKUP($B$5,标准坦克设计!$B$14:$K$20,9)/30))</f>
        <v>59.801953090994076</v>
      </c>
      <c r="FD82" s="173">
        <f ca="1">(VLOOKUP(FD$72,INDIRECT($C$5&amp;"生成成长"),2))/((VLOOKUP($B82,INDIRECT($B$5&amp;"生成成长"),4))/(VLOOKUP(FD$72,INDIRECT($C$5&amp;"生成成长"),5))*(VLOOKUP($B$5,标准坦克设计!$B$24:$U$30,MATCH("对"&amp;LEFT($C$5,2)&amp;"输出",标准坦克设计!$B$23:$U$23,0)))*(VLOOKUP($B82,INDIRECT($B$5&amp;"生成成长"),3))*(VLOOKUP($B$5,标准坦克设计!$B$14:$K$20,9)/30))</f>
        <v>63.314282482716507</v>
      </c>
      <c r="FE82" s="173">
        <f ca="1">(VLOOKUP(FE$72,INDIRECT($C$5&amp;"生成成长"),2))/((VLOOKUP($B82,INDIRECT($B$5&amp;"生成成长"),4))/(VLOOKUP(FE$72,INDIRECT($C$5&amp;"生成成长"),5))*(VLOOKUP($B$5,标准坦克设计!$B$24:$U$30,MATCH("对"&amp;LEFT($C$5,2)&amp;"输出",标准坦克设计!$B$23:$U$23,0)))*(VLOOKUP($B82,INDIRECT($B$5&amp;"生成成长"),3))*(VLOOKUP($B$5,标准坦克设计!$B$14:$K$20,9)/30))</f>
        <v>67.594429194596188</v>
      </c>
      <c r="FF82" s="173">
        <f ca="1">(VLOOKUP(FF$72,INDIRECT($C$5&amp;"生成成长"),2))/((VLOOKUP($B82,INDIRECT($B$5&amp;"生成成长"),4))/(VLOOKUP(FF$72,INDIRECT($C$5&amp;"生成成长"),5))*(VLOOKUP($B$5,标准坦克设计!$B$24:$U$30,MATCH("对"&amp;LEFT($C$5,2)&amp;"输出",标准坦克设计!$B$23:$U$23,0)))*(VLOOKUP($B82,INDIRECT($B$5&amp;"生成成长"),3))*(VLOOKUP($B$5,标准坦克设计!$B$14:$K$20,9)/30))</f>
        <v>72.014555547367493</v>
      </c>
      <c r="FG82" s="173">
        <f ca="1">(VLOOKUP(FG$72,INDIRECT($C$5&amp;"生成成长"),2))/((VLOOKUP($B82,INDIRECT($B$5&amp;"生成成长"),4))/(VLOOKUP(FG$72,INDIRECT($C$5&amp;"生成成长"),5))*(VLOOKUP($B$5,标准坦克设计!$B$24:$U$30,MATCH("对"&amp;LEFT($C$5,2)&amp;"输出",标准坦克设计!$B$23:$U$23,0)))*(VLOOKUP($B82,INDIRECT($B$5&amp;"生成成长"),3))*(VLOOKUP($B$5,标准坦克设计!$B$14:$K$20,9)/30))</f>
        <v>76.57466154103048</v>
      </c>
      <c r="FH82" s="173">
        <f ca="1">(VLOOKUP(FH$72,INDIRECT($C$5&amp;"生成成长"),2))/((VLOOKUP($B82,INDIRECT($B$5&amp;"生成成长"),4))/(VLOOKUP(FH$72,INDIRECT($C$5&amp;"生成成长"),5))*(VLOOKUP($B$5,标准坦克设计!$B$24:$U$30,MATCH("对"&amp;LEFT($C$5,2)&amp;"输出",标准坦克设计!$B$23:$U$23,0)))*(VLOOKUP($B82,INDIRECT($B$5&amp;"生成成长"),3))*(VLOOKUP($B$5,标准坦克设计!$B$14:$K$20,9)/30))</f>
        <v>81.274747175585148</v>
      </c>
      <c r="FI82" s="173">
        <f ca="1">(VLOOKUP(FI$72,INDIRECT($C$5&amp;"生成成长"),2))/((VLOOKUP($B82,INDIRECT($B$5&amp;"生成成长"),4))/(VLOOKUP(FI$72,INDIRECT($C$5&amp;"生成成长"),5))*(VLOOKUP($B$5,标准坦克设计!$B$24:$U$30,MATCH("对"&amp;LEFT($C$5,2)&amp;"输出",标准坦克设计!$B$23:$U$23,0)))*(VLOOKUP($B82,INDIRECT($B$5&amp;"生成成长"),3))*(VLOOKUP($B$5,标准坦克设计!$B$14:$K$20,9)/30))</f>
        <v>86.114812451031455</v>
      </c>
      <c r="FJ82" s="173">
        <f ca="1">(VLOOKUP(FJ$72,INDIRECT($C$5&amp;"生成成长"),2))/((VLOOKUP($B82,INDIRECT($B$5&amp;"生成成长"),4))/(VLOOKUP(FJ$72,INDIRECT($C$5&amp;"生成成长"),5))*(VLOOKUP($B$5,标准坦克设计!$B$24:$U$30,MATCH("对"&amp;LEFT($C$5,2)&amp;"输出",标准坦克设计!$B$23:$U$23,0)))*(VLOOKUP($B82,INDIRECT($B$5&amp;"生成成长"),3))*(VLOOKUP($B$5,标准坦克设计!$B$14:$K$20,9)/30))</f>
        <v>91.094857367369443</v>
      </c>
      <c r="FK82" s="173">
        <f ca="1">(VLOOKUP(FK$72,INDIRECT($C$5&amp;"生成成长"),2))/((VLOOKUP($B82,INDIRECT($B$5&amp;"生成成长"),4))/(VLOOKUP(FK$72,INDIRECT($C$5&amp;"生成成长"),5))*(VLOOKUP($B$5,标准坦克设计!$B$24:$U$30,MATCH("对"&amp;LEFT($C$5,2)&amp;"输出",标准坦克设计!$B$23:$U$23,0)))*(VLOOKUP($B82,INDIRECT($B$5&amp;"生成成长"),3))*(VLOOKUP($B$5,标准坦克设计!$B$14:$K$20,9)/30))</f>
        <v>96.214881924599069</v>
      </c>
    </row>
    <row r="83" spans="1:167" x14ac:dyDescent="0.15">
      <c r="A83" s="171" t="str">
        <f t="shared" si="11"/>
        <v>T2低品质6级</v>
      </c>
      <c r="B83" s="172">
        <v>10206</v>
      </c>
      <c r="C83" s="173">
        <f ca="1">(VLOOKUP(C$72,INDIRECT($C$5&amp;"生成成长"),2))/((VLOOKUP($B83,INDIRECT($B$5&amp;"生成成长"),4))/(VLOOKUP(C$72,INDIRECT($C$5&amp;"生成成长"),5))*(VLOOKUP($B$5,标准坦克设计!$B$24:$U$30,MATCH("对"&amp;LEFT($C$5,2)&amp;"输出",标准坦克设计!$B$23:$U$23,0)))*(VLOOKUP($B83,INDIRECT($B$5&amp;"生成成长"),3))*(VLOOKUP($B$5,标准坦克设计!$B$14:$K$20,9)/30))</f>
        <v>3.7389151881903744</v>
      </c>
      <c r="D83" s="173">
        <f ca="1">(VLOOKUP(D$72,INDIRECT($C$5&amp;"生成成长"),2))/((VLOOKUP($B83,INDIRECT($B$5&amp;"生成成长"),4))/(VLOOKUP(D$72,INDIRECT($C$5&amp;"生成成长"),5))*(VLOOKUP($B$5,标准坦克设计!$B$24:$U$30,MATCH("对"&amp;LEFT($C$5,2)&amp;"输出",标准坦克设计!$B$23:$U$23,0)))*(VLOOKUP($B83,INDIRECT($B$5&amp;"生成成长"),3))*(VLOOKUP($B$5,标准坦克设计!$B$14:$K$20,9)/30))</f>
        <v>4.2010451054507048</v>
      </c>
      <c r="E83" s="173">
        <f ca="1">(VLOOKUP(E$72,INDIRECT($C$5&amp;"生成成长"),2))/((VLOOKUP($B83,INDIRECT($B$5&amp;"生成成长"),4))/(VLOOKUP(E$72,INDIRECT($C$5&amp;"生成成长"),5))*(VLOOKUP($B$5,标准坦克设计!$B$24:$U$30,MATCH("对"&amp;LEFT($C$5,2)&amp;"输出",标准坦克设计!$B$23:$U$23,0)))*(VLOOKUP($B83,INDIRECT($B$5&amp;"生成成长"),3))*(VLOOKUP($B$5,标准坦克设计!$B$14:$K$20,9)/30))</f>
        <v>4.690095212066006</v>
      </c>
      <c r="F83" s="173">
        <f ca="1">(VLOOKUP(F$72,INDIRECT($C$5&amp;"生成成长"),2))/((VLOOKUP($B83,INDIRECT($B$5&amp;"生成成长"),4))/(VLOOKUP(F$72,INDIRECT($C$5&amp;"生成成长"),5))*(VLOOKUP($B$5,标准坦克设计!$B$24:$U$30,MATCH("对"&amp;LEFT($C$5,2)&amp;"输出",标准坦克设计!$B$23:$U$23,0)))*(VLOOKUP($B83,INDIRECT($B$5&amp;"生成成长"),3))*(VLOOKUP($B$5,标准坦克设计!$B$14:$K$20,9)/30))</f>
        <v>5.2060655080362768</v>
      </c>
      <c r="G83" s="173">
        <f ca="1">(VLOOKUP(G$72,INDIRECT($C$5&amp;"生成成长"),2))/((VLOOKUP($B83,INDIRECT($B$5&amp;"生成成长"),4))/(VLOOKUP(G$72,INDIRECT($C$5&amp;"生成成长"),5))*(VLOOKUP($B$5,标准坦克设计!$B$24:$U$30,MATCH("对"&amp;LEFT($C$5,2)&amp;"输出",标准坦克设计!$B$23:$U$23,0)))*(VLOOKUP($B83,INDIRECT($B$5&amp;"生成成长"),3))*(VLOOKUP($B$5,标准坦克设计!$B$14:$K$20,9)/30))</f>
        <v>5.7489559933615197</v>
      </c>
      <c r="H83" s="173">
        <f ca="1">(VLOOKUP(H$72,INDIRECT($C$5&amp;"生成成长"),2))/((VLOOKUP($B83,INDIRECT($B$5&amp;"生成成长"),4))/(VLOOKUP(H$72,INDIRECT($C$5&amp;"生成成长"),5))*(VLOOKUP($B$5,标准坦克设计!$B$24:$U$30,MATCH("对"&amp;LEFT($C$5,2)&amp;"输出",标准坦克设计!$B$23:$U$23,0)))*(VLOOKUP($B83,INDIRECT($B$5&amp;"生成成长"),3))*(VLOOKUP($B$5,标准坦克设计!$B$14:$K$20,9)/30))</f>
        <v>5.0310842772289677</v>
      </c>
      <c r="I83" s="173">
        <f ca="1">(VLOOKUP(I$72,INDIRECT($C$5&amp;"生成成长"),2))/((VLOOKUP($B83,INDIRECT($B$5&amp;"生成成长"),4))/(VLOOKUP(I$72,INDIRECT($C$5&amp;"生成成长"),5))*(VLOOKUP($B$5,标准坦克设计!$B$24:$U$30,MATCH("对"&amp;LEFT($C$5,2)&amp;"输出",标准坦克设计!$B$23:$U$23,0)))*(VLOOKUP($B83,INDIRECT($B$5&amp;"生成成长"),3))*(VLOOKUP($B$5,标准坦克设计!$B$14:$K$20,9)/30))</f>
        <v>5.7489559933615197</v>
      </c>
      <c r="J83" s="173">
        <f ca="1">(VLOOKUP(J$72,INDIRECT($C$5&amp;"生成成长"),2))/((VLOOKUP($B83,INDIRECT($B$5&amp;"生成成长"),4))/(VLOOKUP(J$72,INDIRECT($C$5&amp;"生成成长"),5))*(VLOOKUP($B$5,标准坦克设计!$B$24:$U$30,MATCH("对"&amp;LEFT($C$5,2)&amp;"输出",标准坦克设计!$B$23:$U$23,0)))*(VLOOKUP($B83,INDIRECT($B$5&amp;"生成成长"),3))*(VLOOKUP($B$5,标准坦克设计!$B$14:$K$20,9)/30))</f>
        <v>6.5146858239029077</v>
      </c>
      <c r="K83" s="173">
        <f ca="1">(VLOOKUP(K$72,INDIRECT($C$5&amp;"生成成长"),2))/((VLOOKUP($B83,INDIRECT($B$5&amp;"生成成长"),4))/(VLOOKUP(K$72,INDIRECT($C$5&amp;"生成成长"),5))*(VLOOKUP($B$5,标准坦克设计!$B$24:$U$30,MATCH("对"&amp;LEFT($C$5,2)&amp;"输出",标准坦克设计!$B$23:$U$23,0)))*(VLOOKUP($B83,INDIRECT($B$5&amp;"生成成长"),3))*(VLOOKUP($B$5,标准坦克设计!$B$14:$K$20,9)/30))</f>
        <v>7.3282737688531343</v>
      </c>
      <c r="L83" s="173">
        <f ca="1">(VLOOKUP(L$72,INDIRECT($C$5&amp;"生成成长"),2))/((VLOOKUP($B83,INDIRECT($B$5&amp;"生成成长"),4))/(VLOOKUP(L$72,INDIRECT($C$5&amp;"生成成长"),5))*(VLOOKUP($B$5,标准坦克设计!$B$24:$U$30,MATCH("对"&amp;LEFT($C$5,2)&amp;"输出",标准坦克设计!$B$23:$U$23,0)))*(VLOOKUP($B83,INDIRECT($B$5&amp;"生成成长"),3))*(VLOOKUP($B$5,标准坦克设计!$B$14:$K$20,9)/30))</f>
        <v>8.1897198282121959</v>
      </c>
      <c r="M83" s="173">
        <f ca="1">(VLOOKUP(M$72,INDIRECT($C$5&amp;"生成成长"),2))/((VLOOKUP($B83,INDIRECT($B$5&amp;"生成成长"),4))/(VLOOKUP(M$72,INDIRECT($C$5&amp;"生成成长"),5))*(VLOOKUP($B$5,标准坦克设计!$B$24:$U$30,MATCH("对"&amp;LEFT($C$5,2)&amp;"输出",标准坦克设计!$B$23:$U$23,0)))*(VLOOKUP($B83,INDIRECT($B$5&amp;"生成成长"),3))*(VLOOKUP($B$5,标准坦克设计!$B$14:$K$20,9)/30))</f>
        <v>9.0990240019800943</v>
      </c>
      <c r="N83" s="173">
        <f ca="1">(VLOOKUP(N$72,INDIRECT($C$5&amp;"生成成长"),2))/((VLOOKUP($B83,INDIRECT($B$5&amp;"生成成长"),4))/(VLOOKUP(N$72,INDIRECT($C$5&amp;"生成成长"),5))*(VLOOKUP($B$5,标准坦克设计!$B$24:$U$30,MATCH("对"&amp;LEFT($C$5,2)&amp;"输出",标准坦克设计!$B$23:$U$23,0)))*(VLOOKUP($B83,INDIRECT($B$5&amp;"生成成长"),3))*(VLOOKUP($B$5,标准坦克设计!$B$14:$K$20,9)/30))</f>
        <v>10.05618629015683</v>
      </c>
      <c r="O83" s="173">
        <f ca="1">(VLOOKUP(O$72,INDIRECT($C$5&amp;"生成成长"),2))/((VLOOKUP($B83,INDIRECT($B$5&amp;"生成成长"),4))/(VLOOKUP(O$72,INDIRECT($C$5&amp;"生成成长"),5))*(VLOOKUP($B$5,标准坦克设计!$B$24:$U$30,MATCH("对"&amp;LEFT($C$5,2)&amp;"输出",标准坦克设计!$B$23:$U$23,0)))*(VLOOKUP($B83,INDIRECT($B$5&amp;"生成成长"),3))*(VLOOKUP($B$5,标准坦克设计!$B$14:$K$20,9)/30))</f>
        <v>7.6457076683304974</v>
      </c>
      <c r="P83" s="173">
        <f ca="1">(VLOOKUP(P$72,INDIRECT($C$5&amp;"生成成长"),2))/((VLOOKUP($B83,INDIRECT($B$5&amp;"生成成长"),4))/(VLOOKUP(P$72,INDIRECT($C$5&amp;"生成成长"),5))*(VLOOKUP($B$5,标准坦克设计!$B$24:$U$30,MATCH("对"&amp;LEFT($C$5,2)&amp;"输出",标准坦克设计!$B$23:$U$23,0)))*(VLOOKUP($B83,INDIRECT($B$5&amp;"生成成长"),3))*(VLOOKUP($B$5,标准坦克设计!$B$14:$K$20,9)/30))</f>
        <v>8.6383896507950411</v>
      </c>
      <c r="Q83" s="173">
        <f ca="1">(VLOOKUP(Q$72,INDIRECT($C$5&amp;"生成成长"),2))/((VLOOKUP($B83,INDIRECT($B$5&amp;"生成成长"),4))/(VLOOKUP(Q$72,INDIRECT($C$5&amp;"生成成长"),5))*(VLOOKUP($B$5,标准坦克设计!$B$24:$U$30,MATCH("对"&amp;LEFT($C$5,2)&amp;"输出",标准坦克设计!$B$23:$U$23,0)))*(VLOOKUP($B83,INDIRECT($B$5&amp;"生成成长"),3))*(VLOOKUP($B$5,标准坦克设计!$B$14:$K$20,9)/30))</f>
        <v>9.6916420593082702</v>
      </c>
      <c r="R83" s="173">
        <f ca="1">(VLOOKUP(R$72,INDIRECT($C$5&amp;"生成成长"),2))/((VLOOKUP($B83,INDIRECT($B$5&amp;"生成成长"),4))/(VLOOKUP(R$72,INDIRECT($C$5&amp;"生成成长"),5))*(VLOOKUP($B$5,标准坦克设计!$B$24:$U$30,MATCH("对"&amp;LEFT($C$5,2)&amp;"输出",标准坦克设计!$B$23:$U$23,0)))*(VLOOKUP($B83,INDIRECT($B$5&amp;"生成成长"),3))*(VLOOKUP($B$5,标准坦克设计!$B$14:$K$20,9)/30))</f>
        <v>10.805464893870182</v>
      </c>
      <c r="S83" s="173">
        <f ca="1">(VLOOKUP(S$72,INDIRECT($C$5&amp;"生成成长"),2))/((VLOOKUP($B83,INDIRECT($B$5&amp;"生成成长"),4))/(VLOOKUP(S$72,INDIRECT($C$5&amp;"生成成长"),5))*(VLOOKUP($B$5,标准坦克设计!$B$24:$U$30,MATCH("对"&amp;LEFT($C$5,2)&amp;"输出",标准坦克设计!$B$23:$U$23,0)))*(VLOOKUP($B83,INDIRECT($B$5&amp;"生成成长"),3))*(VLOOKUP($B$5,标准坦克设计!$B$14:$K$20,9)/30))</f>
        <v>11.979858154480779</v>
      </c>
      <c r="T83" s="173">
        <f ca="1">(VLOOKUP(T$72,INDIRECT($C$5&amp;"生成成长"),2))/((VLOOKUP($B83,INDIRECT($B$5&amp;"生成成长"),4))/(VLOOKUP(T$72,INDIRECT($C$5&amp;"生成成长"),5))*(VLOOKUP($B$5,标准坦克设计!$B$24:$U$30,MATCH("对"&amp;LEFT($C$5,2)&amp;"输出",标准坦克设计!$B$23:$U$23,0)))*(VLOOKUP($B83,INDIRECT($B$5&amp;"生成成长"),3))*(VLOOKUP($B$5,标准坦克设计!$B$14:$K$20,9)/30))</f>
        <v>13.21482184114006</v>
      </c>
      <c r="U83" s="173">
        <f ca="1">(VLOOKUP(U$72,INDIRECT($C$5&amp;"生成成长"),2))/((VLOOKUP($B83,INDIRECT($B$5&amp;"生成成长"),4))/(VLOOKUP(U$72,INDIRECT($C$5&amp;"生成成长"),5))*(VLOOKUP($B$5,标准坦克设计!$B$24:$U$30,MATCH("对"&amp;LEFT($C$5,2)&amp;"输出",标准坦克设计!$B$23:$U$23,0)))*(VLOOKUP($B83,INDIRECT($B$5&amp;"生成成长"),3))*(VLOOKUP($B$5,标准坦克设计!$B$14:$K$20,9)/30))</f>
        <v>14.510355953848027</v>
      </c>
      <c r="V83" s="173">
        <f ca="1">(VLOOKUP(V$72,INDIRECT($C$5&amp;"生成成长"),2))/((VLOOKUP($B83,INDIRECT($B$5&amp;"生成成长"),4))/(VLOOKUP(V$72,INDIRECT($C$5&amp;"生成成长"),5))*(VLOOKUP($B$5,标准坦克设计!$B$24:$U$30,MATCH("对"&amp;LEFT($C$5,2)&amp;"输出",标准坦克设计!$B$23:$U$23,0)))*(VLOOKUP($B83,INDIRECT($B$5&amp;"生成成长"),3))*(VLOOKUP($B$5,标准坦克设计!$B$14:$K$20,9)/30))</f>
        <v>15.866460492604675</v>
      </c>
      <c r="W83" s="173">
        <f ca="1">(VLOOKUP(W$72,INDIRECT($C$5&amp;"生成成长"),2))/((VLOOKUP($B83,INDIRECT($B$5&amp;"生成成长"),4))/(VLOOKUP(W$72,INDIRECT($C$5&amp;"生成成长"),5))*(VLOOKUP($B$5,标准坦克设计!$B$24:$U$30,MATCH("对"&amp;LEFT($C$5,2)&amp;"输出",标准坦克设计!$B$23:$U$23,0)))*(VLOOKUP($B83,INDIRECT($B$5&amp;"生成成长"),3))*(VLOOKUP($B$5,标准坦克设计!$B$14:$K$20,9)/30))</f>
        <v>17.283135457410005</v>
      </c>
      <c r="X83" s="173">
        <f ca="1">(VLOOKUP(X$72,INDIRECT($C$5&amp;"生成成长"),2))/((VLOOKUP($B83,INDIRECT($B$5&amp;"生成成长"),4))/(VLOOKUP(X$72,INDIRECT($C$5&amp;"生成成长"),5))*(VLOOKUP($B$5,标准坦克设计!$B$24:$U$30,MATCH("对"&amp;LEFT($C$5,2)&amp;"输出",标准坦克设计!$B$23:$U$23,0)))*(VLOOKUP($B83,INDIRECT($B$5&amp;"生成成长"),3))*(VLOOKUP($B$5,标准坦克设计!$B$14:$K$20,9)/30))</f>
        <v>12.521253073730747</v>
      </c>
      <c r="Y83" s="173">
        <f ca="1">(VLOOKUP(Y$72,INDIRECT($C$5&amp;"生成成长"),2))/((VLOOKUP($B83,INDIRECT($B$5&amp;"生成成长"),4))/(VLOOKUP(Y$72,INDIRECT($C$5&amp;"生成成长"),5))*(VLOOKUP($B$5,标准坦克设计!$B$24:$U$30,MATCH("对"&amp;LEFT($C$5,2)&amp;"输出",标准坦克设计!$B$23:$U$23,0)))*(VLOOKUP($B83,INDIRECT($B$5&amp;"生成成长"),3))*(VLOOKUP($B$5,标准坦克设计!$B$14:$K$20,9)/30))</f>
        <v>13.927085184490325</v>
      </c>
      <c r="Z83" s="173">
        <f ca="1">(VLOOKUP(Z$72,INDIRECT($C$5&amp;"生成成长"),2))/((VLOOKUP($B83,INDIRECT($B$5&amp;"生成成长"),4))/(VLOOKUP(Z$72,INDIRECT($C$5&amp;"生成成长"),5))*(VLOOKUP($B$5,标准坦克设计!$B$24:$U$30,MATCH("对"&amp;LEFT($C$5,2)&amp;"输出",标准坦克设计!$B$23:$U$23,0)))*(VLOOKUP($B83,INDIRECT($B$5&amp;"生成成长"),3))*(VLOOKUP($B$5,标准坦克设计!$B$14:$K$20,9)/30))</f>
        <v>15.407695599013714</v>
      </c>
      <c r="AA83" s="173">
        <f ca="1">(VLOOKUP(AA$72,INDIRECT($C$5&amp;"生成成长"),2))/((VLOOKUP($B83,INDIRECT($B$5&amp;"生成成长"),4))/(VLOOKUP(AA$72,INDIRECT($C$5&amp;"生成成长"),5))*(VLOOKUP($B$5,标准坦克设计!$B$24:$U$30,MATCH("对"&amp;LEFT($C$5,2)&amp;"输出",标准坦克设计!$B$23:$U$23,0)))*(VLOOKUP($B83,INDIRECT($B$5&amp;"生成成长"),3))*(VLOOKUP($B$5,标准坦克设计!$B$14:$K$20,9)/30))</f>
        <v>16.963084317300911</v>
      </c>
      <c r="AB83" s="173">
        <f ca="1">(VLOOKUP(AB$72,INDIRECT($C$5&amp;"生成成长"),2))/((VLOOKUP($B83,INDIRECT($B$5&amp;"生成成长"),4))/(VLOOKUP(AB$72,INDIRECT($C$5&amp;"生成成长"),5))*(VLOOKUP($B$5,标准坦克设计!$B$24:$U$30,MATCH("对"&amp;LEFT($C$5,2)&amp;"输出",标准坦克设计!$B$23:$U$23,0)))*(VLOOKUP($B83,INDIRECT($B$5&amp;"生成成长"),3))*(VLOOKUP($B$5,标准坦克设计!$B$14:$K$20,9)/30))</f>
        <v>18.593251339351916</v>
      </c>
      <c r="AC83" s="173">
        <f ca="1">(VLOOKUP(AC$72,INDIRECT($C$5&amp;"生成成长"),2))/((VLOOKUP($B83,INDIRECT($B$5&amp;"生成成长"),4))/(VLOOKUP(AC$72,INDIRECT($C$5&amp;"生成成长"),5))*(VLOOKUP($B$5,标准坦克设计!$B$24:$U$30,MATCH("对"&amp;LEFT($C$5,2)&amp;"输出",标准坦克设计!$B$23:$U$23,0)))*(VLOOKUP($B83,INDIRECT($B$5&amp;"生成成长"),3))*(VLOOKUP($B$5,标准坦克设计!$B$14:$K$20,9)/30))</f>
        <v>20.298196665166724</v>
      </c>
      <c r="AD83" s="173">
        <f ca="1">(VLOOKUP(AD$72,INDIRECT($C$5&amp;"生成成长"),2))/((VLOOKUP($B83,INDIRECT($B$5&amp;"生成成长"),4))/(VLOOKUP(AD$72,INDIRECT($C$5&amp;"生成成长"),5))*(VLOOKUP($B$5,标准坦克设计!$B$24:$U$30,MATCH("对"&amp;LEFT($C$5,2)&amp;"输出",标准坦克设计!$B$23:$U$23,0)))*(VLOOKUP($B83,INDIRECT($B$5&amp;"生成成长"),3))*(VLOOKUP($B$5,标准坦克设计!$B$14:$K$20,9)/30))</f>
        <v>22.077920294745343</v>
      </c>
      <c r="AE83" s="173">
        <f ca="1">(VLOOKUP(AE$72,INDIRECT($C$5&amp;"生成成长"),2))/((VLOOKUP($B83,INDIRECT($B$5&amp;"生成成长"),4))/(VLOOKUP(AE$72,INDIRECT($C$5&amp;"生成成长"),5))*(VLOOKUP($B$5,标准坦克设计!$B$24:$U$30,MATCH("对"&amp;LEFT($C$5,2)&amp;"输出",标准坦克设计!$B$23:$U$23,0)))*(VLOOKUP($B83,INDIRECT($B$5&amp;"生成成长"),3))*(VLOOKUP($B$5,标准坦克设计!$B$14:$K$20,9)/30))</f>
        <v>23.93242222808777</v>
      </c>
      <c r="AF83" s="173">
        <f ca="1">(VLOOKUP(AF$72,INDIRECT($C$5&amp;"生成成长"),2))/((VLOOKUP($B83,INDIRECT($B$5&amp;"生成成长"),4))/(VLOOKUP(AF$72,INDIRECT($C$5&amp;"生成成长"),5))*(VLOOKUP($B$5,标准坦克设计!$B$24:$U$30,MATCH("对"&amp;LEFT($C$5,2)&amp;"输出",标准坦克设计!$B$23:$U$23,0)))*(VLOOKUP($B83,INDIRECT($B$5&amp;"生成成长"),3))*(VLOOKUP($B$5,标准坦克设计!$B$14:$K$20,9)/30))</f>
        <v>25.861702465194</v>
      </c>
      <c r="AG83" s="173">
        <f ca="1">(VLOOKUP(AG$72,INDIRECT($C$5&amp;"生成成长"),2))/((VLOOKUP($B83,INDIRECT($B$5&amp;"生成成长"),4))/(VLOOKUP(AG$72,INDIRECT($C$5&amp;"生成成长"),5))*(VLOOKUP($B$5,标准坦克设计!$B$24:$U$30,MATCH("对"&amp;LEFT($C$5,2)&amp;"输出",标准坦克设计!$B$23:$U$23,0)))*(VLOOKUP($B83,INDIRECT($B$5&amp;"生成成长"),3))*(VLOOKUP($B$5,标准坦克设计!$B$14:$K$20,9)/30))</f>
        <v>27.865761006064041</v>
      </c>
      <c r="AH83" s="173">
        <f ca="1">(VLOOKUP(AH$72,INDIRECT($C$5&amp;"生成成长"),2))/((VLOOKUP($B83,INDIRECT($B$5&amp;"生成成长"),4))/(VLOOKUP(AH$72,INDIRECT($C$5&amp;"生成成长"),5))*(VLOOKUP($B$5,标准坦克设计!$B$24:$U$30,MATCH("对"&amp;LEFT($C$5,2)&amp;"输出",标准坦克设计!$B$23:$U$23,0)))*(VLOOKUP($B83,INDIRECT($B$5&amp;"生成成长"),3))*(VLOOKUP($B$5,标准坦克设计!$B$14:$K$20,9)/30))</f>
        <v>29.944597850697885</v>
      </c>
      <c r="AI83" s="173">
        <f ca="1">(VLOOKUP(AI$72,INDIRECT($C$5&amp;"生成成长"),2))/((VLOOKUP($B83,INDIRECT($B$5&amp;"生成成长"),4))/(VLOOKUP(AI$72,INDIRECT($C$5&amp;"生成成长"),5))*(VLOOKUP($B$5,标准坦克设计!$B$24:$U$30,MATCH("对"&amp;LEFT($C$5,2)&amp;"输出",标准坦克设计!$B$23:$U$23,0)))*(VLOOKUP($B83,INDIRECT($B$5&amp;"生成成长"),3))*(VLOOKUP($B$5,标准坦克设计!$B$14:$K$20,9)/30))</f>
        <v>21.178711191985556</v>
      </c>
      <c r="AJ83" s="173">
        <f ca="1">(VLOOKUP(AJ$72,INDIRECT($C$5&amp;"生成成长"),2))/((VLOOKUP($B83,INDIRECT($B$5&amp;"生成成长"),4))/(VLOOKUP(AJ$72,INDIRECT($C$5&amp;"生成成长"),5))*(VLOOKUP($B$5,标准坦克设计!$B$24:$U$30,MATCH("对"&amp;LEFT($C$5,2)&amp;"输出",标准坦克设计!$B$23:$U$23,0)))*(VLOOKUP($B83,INDIRECT($B$5&amp;"生成成长"),3))*(VLOOKUP($B$5,标准坦克设计!$B$14:$K$20,9)/30))</f>
        <v>23.181648058299139</v>
      </c>
      <c r="AK83" s="173">
        <f ca="1">(VLOOKUP(AK$72,INDIRECT($C$5&amp;"生成成长"),2))/((VLOOKUP($B83,INDIRECT($B$5&amp;"生成成长"),4))/(VLOOKUP(AK$72,INDIRECT($C$5&amp;"生成成长"),5))*(VLOOKUP($B$5,标准坦克设计!$B$24:$U$30,MATCH("对"&amp;LEFT($C$5,2)&amp;"输出",标准坦克设计!$B$23:$U$23,0)))*(VLOOKUP($B83,INDIRECT($B$5&amp;"生成成长"),3))*(VLOOKUP($B$5,标准坦克设计!$B$14:$K$20,9)/30))</f>
        <v>25.275066672166929</v>
      </c>
      <c r="AL83" s="173">
        <f ca="1">(VLOOKUP(AL$72,INDIRECT($C$5&amp;"生成成长"),2))/((VLOOKUP($B83,INDIRECT($B$5&amp;"生成成长"),4))/(VLOOKUP(AL$72,INDIRECT($C$5&amp;"生成成长"),5))*(VLOOKUP($B$5,标准坦克设计!$B$24:$U$30,MATCH("对"&amp;LEFT($C$5,2)&amp;"输出",标准坦克设计!$B$23:$U$23,0)))*(VLOOKUP($B83,INDIRECT($B$5&amp;"生成成长"),3))*(VLOOKUP($B$5,标准坦克设计!$B$14:$K$20,9)/30))</f>
        <v>27.45896703358893</v>
      </c>
      <c r="AM83" s="173">
        <f ca="1">(VLOOKUP(AM$72,INDIRECT($C$5&amp;"生成成长"),2))/((VLOOKUP($B83,INDIRECT($B$5&amp;"生成成长"),4))/(VLOOKUP(AM$72,INDIRECT($C$5&amp;"生成成长"),5))*(VLOOKUP($B$5,标准坦克设计!$B$24:$U$30,MATCH("对"&amp;LEFT($C$5,2)&amp;"输出",标准坦克设计!$B$23:$U$23,0)))*(VLOOKUP($B83,INDIRECT($B$5&amp;"生成成长"),3))*(VLOOKUP($B$5,标准坦克设计!$B$14:$K$20,9)/30))</f>
        <v>29.733349142565128</v>
      </c>
      <c r="AN83" s="173">
        <f ca="1">(VLOOKUP(AN$72,INDIRECT($C$5&amp;"生成成长"),2))/((VLOOKUP($B83,INDIRECT($B$5&amp;"生成成长"),4))/(VLOOKUP(AN$72,INDIRECT($C$5&amp;"生成成长"),5))*(VLOOKUP($B$5,标准坦克设计!$B$24:$U$30,MATCH("对"&amp;LEFT($C$5,2)&amp;"输出",标准坦克设计!$B$23:$U$23,0)))*(VLOOKUP($B83,INDIRECT($B$5&amp;"生成成长"),3))*(VLOOKUP($B$5,标准坦克设计!$B$14:$K$20,9)/30))</f>
        <v>32.098212999095544</v>
      </c>
      <c r="AO83" s="173">
        <f ca="1">(VLOOKUP(AO$72,INDIRECT($C$5&amp;"生成成长"),2))/((VLOOKUP($B83,INDIRECT($B$5&amp;"生成成长"),4))/(VLOOKUP(AO$72,INDIRECT($C$5&amp;"生成成长"),5))*(VLOOKUP($B$5,标准坦克设计!$B$24:$U$30,MATCH("对"&amp;LEFT($C$5,2)&amp;"输出",标准坦克设计!$B$23:$U$23,0)))*(VLOOKUP($B83,INDIRECT($B$5&amp;"生成成长"),3))*(VLOOKUP($B$5,标准坦克设计!$B$14:$K$20,9)/30))</f>
        <v>34.553558603180164</v>
      </c>
      <c r="AP83" s="173">
        <f ca="1">(VLOOKUP(AP$72,INDIRECT($C$5&amp;"生成成长"),2))/((VLOOKUP($B83,INDIRECT($B$5&amp;"生成成长"),4))/(VLOOKUP(AP$72,INDIRECT($C$5&amp;"生成成长"),5))*(VLOOKUP($B$5,标准坦克设计!$B$24:$U$30,MATCH("对"&amp;LEFT($C$5,2)&amp;"输出",标准坦克设计!$B$23:$U$23,0)))*(VLOOKUP($B83,INDIRECT($B$5&amp;"生成成长"),3))*(VLOOKUP($B$5,标准坦克设计!$B$14:$K$20,9)/30))</f>
        <v>37.099385954818985</v>
      </c>
      <c r="AQ83" s="173">
        <f ca="1">(VLOOKUP(AQ$72,INDIRECT($C$5&amp;"生成成长"),2))/((VLOOKUP($B83,INDIRECT($B$5&amp;"生成成长"),4))/(VLOOKUP(AQ$72,INDIRECT($C$5&amp;"生成成长"),5))*(VLOOKUP($B$5,标准坦克设计!$B$24:$U$30,MATCH("对"&amp;LEFT($C$5,2)&amp;"输出",标准坦克设计!$B$23:$U$23,0)))*(VLOOKUP($B83,INDIRECT($B$5&amp;"生成成长"),3))*(VLOOKUP($B$5,标准坦克设计!$B$14:$K$20,9)/30))</f>
        <v>39.73569505401202</v>
      </c>
      <c r="AR83" s="173">
        <f ca="1">(VLOOKUP(AR$72,INDIRECT($C$5&amp;"生成成长"),2))/((VLOOKUP($B83,INDIRECT($B$5&amp;"生成成长"),4))/(VLOOKUP(AR$72,INDIRECT($C$5&amp;"生成成长"),5))*(VLOOKUP($B$5,标准坦克设计!$B$24:$U$30,MATCH("对"&amp;LEFT($C$5,2)&amp;"输出",标准坦克设计!$B$23:$U$23,0)))*(VLOOKUP($B83,INDIRECT($B$5&amp;"生成成长"),3))*(VLOOKUP($B$5,标准坦克设计!$B$14:$K$20,9)/30))</f>
        <v>42.462485900759262</v>
      </c>
      <c r="AS83" s="173">
        <f ca="1">(VLOOKUP(AS$72,INDIRECT($C$5&amp;"生成成长"),2))/((VLOOKUP($B83,INDIRECT($B$5&amp;"生成成长"),4))/(VLOOKUP(AS$72,INDIRECT($C$5&amp;"生成成长"),5))*(VLOOKUP($B$5,标准坦克设计!$B$24:$U$30,MATCH("对"&amp;LEFT($C$5,2)&amp;"输出",标准坦克设计!$B$23:$U$23,0)))*(VLOOKUP($B83,INDIRECT($B$5&amp;"生成成长"),3))*(VLOOKUP($B$5,标准坦克设计!$B$14:$K$20,9)/30))</f>
        <v>45.279758495060712</v>
      </c>
      <c r="AT83" s="173">
        <f ca="1">(VLOOKUP(AT$72,INDIRECT($C$5&amp;"生成成长"),2))/((VLOOKUP($B83,INDIRECT($B$5&amp;"生成成长"),4))/(VLOOKUP(AT$72,INDIRECT($C$5&amp;"生成成长"),5))*(VLOOKUP($B$5,标准坦克设计!$B$24:$U$30,MATCH("对"&amp;LEFT($C$5,2)&amp;"输出",标准坦克设计!$B$23:$U$23,0)))*(VLOOKUP($B83,INDIRECT($B$5&amp;"生成成长"),3))*(VLOOKUP($B$5,标准坦克设计!$B$14:$K$20,9)/30))</f>
        <v>48.187512836916355</v>
      </c>
      <c r="AU83" s="173">
        <f ca="1">(VLOOKUP(AU$72,INDIRECT($C$5&amp;"生成成长"),2))/((VLOOKUP($B83,INDIRECT($B$5&amp;"生成成长"),4))/(VLOOKUP(AU$72,INDIRECT($C$5&amp;"生成成长"),5))*(VLOOKUP($B$5,标准坦克设计!$B$24:$U$30,MATCH("对"&amp;LEFT($C$5,2)&amp;"输出",标准坦克设计!$B$23:$U$23,0)))*(VLOOKUP($B83,INDIRECT($B$5&amp;"生成成长"),3))*(VLOOKUP($B$5,标准坦克设计!$B$14:$K$20,9)/30))</f>
        <v>51.185748926326234</v>
      </c>
      <c r="AV83" s="173">
        <f ca="1">(VLOOKUP(AV$72,INDIRECT($C$5&amp;"生成成长"),2))/((VLOOKUP($B83,INDIRECT($B$5&amp;"生成成长"),4))/(VLOOKUP(AV$72,INDIRECT($C$5&amp;"生成成长"),5))*(VLOOKUP($B$5,标准坦克设计!$B$24:$U$30,MATCH("对"&amp;LEFT($C$5,2)&amp;"输出",标准坦克设计!$B$23:$U$23,0)))*(VLOOKUP($B83,INDIRECT($B$5&amp;"生成成长"),3))*(VLOOKUP($B$5,标准坦克设计!$B$14:$K$20,9)/30))</f>
        <v>5.2060655080362768</v>
      </c>
      <c r="AW83" s="173">
        <f ca="1">(VLOOKUP(AW$72,INDIRECT($C$5&amp;"生成成长"),2))/((VLOOKUP($B83,INDIRECT($B$5&amp;"生成成长"),4))/(VLOOKUP(AW$72,INDIRECT($C$5&amp;"生成成长"),5))*(VLOOKUP($B$5,标准坦克设计!$B$24:$U$30,MATCH("对"&amp;LEFT($C$5,2)&amp;"输出",标准坦克设计!$B$23:$U$23,0)))*(VLOOKUP($B83,INDIRECT($B$5&amp;"生成成长"),3))*(VLOOKUP($B$5,标准坦克设计!$B$14:$K$20,9)/30))</f>
        <v>5.9359017527710378</v>
      </c>
      <c r="AX83" s="173">
        <f ca="1">(VLOOKUP(AX$72,INDIRECT($C$5&amp;"生成成长"),2))/((VLOOKUP($B83,INDIRECT($B$5&amp;"生成成长"),4))/(VLOOKUP(AX$72,INDIRECT($C$5&amp;"生成成长"),5))*(VLOOKUP($B$5,标准坦克设计!$B$24:$U$30,MATCH("对"&amp;LEFT($C$5,2)&amp;"输出",标准坦克设计!$B$23:$U$23,0)))*(VLOOKUP($B83,INDIRECT($B$5&amp;"生成成长"),3))*(VLOOKUP($B$5,标准坦克设计!$B$14:$K$20,9)/30))</f>
        <v>6.7135961119146366</v>
      </c>
      <c r="AY83" s="173">
        <f ca="1">(VLOOKUP(AY$72,INDIRECT($C$5&amp;"生成成长"),2))/((VLOOKUP($B83,INDIRECT($B$5&amp;"生成成长"),4))/(VLOOKUP(AY$72,INDIRECT($C$5&amp;"生成成长"),5))*(VLOOKUP($B$5,标准坦克设计!$B$24:$U$30,MATCH("对"&amp;LEFT($C$5,2)&amp;"输出",标准坦克设计!$B$23:$U$23,0)))*(VLOOKUP($B83,INDIRECT($B$5&amp;"生成成长"),3))*(VLOOKUP($B$5,标准坦克设计!$B$14:$K$20,9)/30))</f>
        <v>7.5391485854670695</v>
      </c>
      <c r="AZ83" s="173">
        <f ca="1">(VLOOKUP(AZ$72,INDIRECT($C$5&amp;"生成成长"),2))/((VLOOKUP($B83,INDIRECT($B$5&amp;"生成成长"),4))/(VLOOKUP(AZ$72,INDIRECT($C$5&amp;"生成成长"),5))*(VLOOKUP($B$5,标准坦克设计!$B$24:$U$30,MATCH("对"&amp;LEFT($C$5,2)&amp;"输出",标准坦克设计!$B$23:$U$23,0)))*(VLOOKUP($B83,INDIRECT($B$5&amp;"生成成长"),3))*(VLOOKUP($B$5,标准坦克设计!$B$14:$K$20,9)/30))</f>
        <v>8.4125591734283418</v>
      </c>
      <c r="BA83" s="173">
        <f ca="1">(VLOOKUP(BA$72,INDIRECT($C$5&amp;"生成成长"),2))/((VLOOKUP($B83,INDIRECT($B$5&amp;"生成成长"),4))/(VLOOKUP(BA$72,INDIRECT($C$5&amp;"生成成长"),5))*(VLOOKUP($B$5,标准坦克设计!$B$24:$U$30,MATCH("对"&amp;LEFT($C$5,2)&amp;"输出",标准坦克设计!$B$23:$U$23,0)))*(VLOOKUP($B83,INDIRECT($B$5&amp;"生成成长"),3))*(VLOOKUP($B$5,标准坦克设计!$B$14:$K$20,9)/30))</f>
        <v>9.3338278757984501</v>
      </c>
      <c r="BB83" s="173">
        <f ca="1">(VLOOKUP(BB$72,INDIRECT($C$5&amp;"生成成长"),2))/((VLOOKUP($B83,INDIRECT($B$5&amp;"生成成长"),4))/(VLOOKUP(BB$72,INDIRECT($C$5&amp;"生成成长"),5))*(VLOOKUP($B$5,标准坦克设计!$B$24:$U$30,MATCH("对"&amp;LEFT($C$5,2)&amp;"输出",标准坦克设计!$B$23:$U$23,0)))*(VLOOKUP($B83,INDIRECT($B$5&amp;"生成成长"),3))*(VLOOKUP($B$5,标准坦克设计!$B$14:$K$20,9)/30))</f>
        <v>10.302954692577394</v>
      </c>
      <c r="BC83" s="173">
        <f ca="1">(VLOOKUP(BC$72,INDIRECT($C$5&amp;"生成成长"),2))/((VLOOKUP($B83,INDIRECT($B$5&amp;"生成成长"),4))/(VLOOKUP(BC$72,INDIRECT($C$5&amp;"生成成长"),5))*(VLOOKUP($B$5,标准坦克设计!$B$24:$U$30,MATCH("对"&amp;LEFT($C$5,2)&amp;"输出",标准坦克设计!$B$23:$U$23,0)))*(VLOOKUP($B83,INDIRECT($B$5&amp;"生成成长"),3))*(VLOOKUP($B$5,标准坦克设计!$B$14:$K$20,9)/30))</f>
        <v>11.319939623765178</v>
      </c>
      <c r="BD83" s="173">
        <f ca="1">(VLOOKUP(BD$72,INDIRECT($C$5&amp;"生成成长"),2))/((VLOOKUP($B83,INDIRECT($B$5&amp;"生成成长"),4))/(VLOOKUP(BD$72,INDIRECT($C$5&amp;"生成成长"),5))*(VLOOKUP($B$5,标准坦克设计!$B$24:$U$30,MATCH("对"&amp;LEFT($C$5,2)&amp;"输出",标准坦克设计!$B$23:$U$23,0)))*(VLOOKUP($B83,INDIRECT($B$5&amp;"生成成长"),3))*(VLOOKUP($B$5,标准坦克设计!$B$14:$K$20,9)/30))</f>
        <v>12.521253073730747</v>
      </c>
      <c r="BE83" s="173">
        <f ca="1">(VLOOKUP(BE$72,INDIRECT($C$5&amp;"生成成长"),2))/((VLOOKUP($B83,INDIRECT($B$5&amp;"生成成长"),4))/(VLOOKUP(BE$72,INDIRECT($C$5&amp;"生成成长"),5))*(VLOOKUP($B$5,标准坦克设计!$B$24:$U$30,MATCH("对"&amp;LEFT($C$5,2)&amp;"输出",标准坦克设计!$B$23:$U$23,0)))*(VLOOKUP($B83,INDIRECT($B$5&amp;"生成成长"),3))*(VLOOKUP($B$5,标准坦克设计!$B$14:$K$20,9)/30))</f>
        <v>13.783136949744996</v>
      </c>
      <c r="BF83" s="173">
        <f ca="1">(VLOOKUP(BF$72,INDIRECT($C$5&amp;"生成成长"),2))/((VLOOKUP($B83,INDIRECT($B$5&amp;"生成成长"),4))/(VLOOKUP(BF$72,INDIRECT($C$5&amp;"生成成长"),5))*(VLOOKUP($B$5,标准坦克设计!$B$24:$U$30,MATCH("对"&amp;LEFT($C$5,2)&amp;"输出",标准坦克设计!$B$23:$U$23,0)))*(VLOOKUP($B83,INDIRECT($B$5&amp;"生成成长"),3))*(VLOOKUP($B$5,标准坦克设计!$B$14:$K$20,9)/30))</f>
        <v>15.105591251807931</v>
      </c>
      <c r="BG83" s="173">
        <f ca="1">(VLOOKUP(BG$72,INDIRECT($C$5&amp;"生成成长"),2))/((VLOOKUP($B83,INDIRECT($B$5&amp;"生成成长"),4))/(VLOOKUP(BG$72,INDIRECT($C$5&amp;"生成成长"),5))*(VLOOKUP($B$5,标准坦克设计!$B$24:$U$30,MATCH("对"&amp;LEFT($C$5,2)&amp;"输出",标准坦克设计!$B$23:$U$23,0)))*(VLOOKUP($B83,INDIRECT($B$5&amp;"生成成长"),3))*(VLOOKUP($B$5,标准坦克设计!$B$14:$K$20,9)/30))</f>
        <v>16.488615979919548</v>
      </c>
      <c r="BH83" s="173">
        <f ca="1">(VLOOKUP(BH$72,INDIRECT($C$5&amp;"生成成长"),2))/((VLOOKUP($B83,INDIRECT($B$5&amp;"生成成长"),4))/(VLOOKUP(BH$72,INDIRECT($C$5&amp;"生成成长"),5))*(VLOOKUP($B$5,标准坦克设计!$B$24:$U$30,MATCH("对"&amp;LEFT($C$5,2)&amp;"输出",标准坦克设计!$B$23:$U$23,0)))*(VLOOKUP($B83,INDIRECT($B$5&amp;"生成成长"),3))*(VLOOKUP($B$5,标准坦克设计!$B$14:$K$20,9)/30))</f>
        <v>7.9698716151466016</v>
      </c>
      <c r="BI83" s="173">
        <f ca="1">(VLOOKUP(BI$72,INDIRECT($C$5&amp;"生成成长"),2))/((VLOOKUP($B83,INDIRECT($B$5&amp;"生成成长"),4))/(VLOOKUP(BI$72,INDIRECT($C$5&amp;"生成成长"),5))*(VLOOKUP($B$5,标准坦克设计!$B$24:$U$30,MATCH("对"&amp;LEFT($C$5,2)&amp;"输出",标准坦克设计!$B$23:$U$23,0)))*(VLOOKUP($B83,INDIRECT($B$5&amp;"生成成长"),3))*(VLOOKUP($B$5,标准坦克设计!$B$14:$K$20,9)/30))</f>
        <v>8.9827437396273755</v>
      </c>
      <c r="BJ83" s="173">
        <f ca="1">(VLOOKUP(BJ$72,INDIRECT($C$5&amp;"生成成长"),2))/((VLOOKUP($B83,INDIRECT($B$5&amp;"生成成长"),4))/(VLOOKUP(BJ$72,INDIRECT($C$5&amp;"生成成长"),5))*(VLOOKUP($B$5,标准坦克设计!$B$24:$U$30,MATCH("对"&amp;LEFT($C$5,2)&amp;"输出",标准坦克设计!$B$23:$U$23,0)))*(VLOOKUP($B83,INDIRECT($B$5&amp;"生成成长"),3))*(VLOOKUP($B$5,标准坦克设计!$B$14:$K$20,9)/30))</f>
        <v>10.05618629015683</v>
      </c>
      <c r="BK83" s="173">
        <f ca="1">(VLOOKUP(BK$72,INDIRECT($C$5&amp;"生成成长"),2))/((VLOOKUP($B83,INDIRECT($B$5&amp;"生成成长"),4))/(VLOOKUP(BK$72,INDIRECT($C$5&amp;"生成成长"),5))*(VLOOKUP($B$5,标准坦克设计!$B$24:$U$30,MATCH("对"&amp;LEFT($C$5,2)&amp;"输出",标准坦克设计!$B$23:$U$23,0)))*(VLOOKUP($B83,INDIRECT($B$5&amp;"生成成长"),3))*(VLOOKUP($B$5,标准坦克设计!$B$14:$K$20,9)/30))</f>
        <v>11.190199266734973</v>
      </c>
      <c r="BL83" s="173">
        <f ca="1">(VLOOKUP(BL$72,INDIRECT($C$5&amp;"生成成长"),2))/((VLOOKUP($B83,INDIRECT($B$5&amp;"生成成长"),4))/(VLOOKUP(BL$72,INDIRECT($C$5&amp;"生成成长"),5))*(VLOOKUP($B$5,标准坦克设计!$B$24:$U$30,MATCH("对"&amp;LEFT($C$5,2)&amp;"输出",标准坦克设计!$B$23:$U$23,0)))*(VLOOKUP($B83,INDIRECT($B$5&amp;"生成成长"),3))*(VLOOKUP($B$5,标准坦克设计!$B$14:$K$20,9)/30))</f>
        <v>12.384782669361798</v>
      </c>
      <c r="BM83" s="173">
        <f ca="1">(VLOOKUP(BM$72,INDIRECT($C$5&amp;"生成成长"),2))/((VLOOKUP($B83,INDIRECT($B$5&amp;"生成成长"),4))/(VLOOKUP(BM$72,INDIRECT($C$5&amp;"生成成长"),5))*(VLOOKUP($B$5,标准坦克设计!$B$24:$U$30,MATCH("对"&amp;LEFT($C$5,2)&amp;"输出",标准坦克设计!$B$23:$U$23,0)))*(VLOOKUP($B83,INDIRECT($B$5&amp;"生成成长"),3))*(VLOOKUP($B$5,标准坦克设计!$B$14:$K$20,9)/30))</f>
        <v>13.639936498037303</v>
      </c>
      <c r="BN83" s="173">
        <f ca="1">(VLOOKUP(BN$72,INDIRECT($C$5&amp;"生成成长"),2))/((VLOOKUP($B83,INDIRECT($B$5&amp;"生成成长"),4))/(VLOOKUP(BN$72,INDIRECT($C$5&amp;"生成成长"),5))*(VLOOKUP($B$5,标准坦克设计!$B$24:$U$30,MATCH("对"&amp;LEFT($C$5,2)&amp;"输出",标准坦克设计!$B$23:$U$23,0)))*(VLOOKUP($B83,INDIRECT($B$5&amp;"生成成长"),3))*(VLOOKUP($B$5,标准坦克设计!$B$14:$K$20,9)/30))</f>
        <v>14.955660752761498</v>
      </c>
      <c r="BO83" s="173">
        <f ca="1">(VLOOKUP(BO$72,INDIRECT($C$5&amp;"生成成长"),2))/((VLOOKUP($B83,INDIRECT($B$5&amp;"生成成长"),4))/(VLOOKUP(BO$72,INDIRECT($C$5&amp;"生成成长"),5))*(VLOOKUP($B$5,标准坦克设计!$B$24:$U$30,MATCH("对"&amp;LEFT($C$5,2)&amp;"输出",标准坦克设计!$B$23:$U$23,0)))*(VLOOKUP($B83,INDIRECT($B$5&amp;"生成成长"),3))*(VLOOKUP($B$5,标准坦克设计!$B$14:$K$20,9)/30))</f>
        <v>16.331955433534375</v>
      </c>
      <c r="BP83" s="173">
        <f ca="1">(VLOOKUP(BP$72,INDIRECT($C$5&amp;"生成成长"),2))/((VLOOKUP($B83,INDIRECT($B$5&amp;"生成成长"),4))/(VLOOKUP(BP$72,INDIRECT($C$5&amp;"生成成长"),5))*(VLOOKUP($B$5,标准坦克设计!$B$24:$U$30,MATCH("对"&amp;LEFT($C$5,2)&amp;"输出",标准坦克设计!$B$23:$U$23,0)))*(VLOOKUP($B83,INDIRECT($B$5&amp;"生成成长"),3))*(VLOOKUP($B$5,标准坦克设计!$B$14:$K$20,9)/30))</f>
        <v>17.768820540355936</v>
      </c>
      <c r="BQ83" s="173">
        <f ca="1">(VLOOKUP(BQ$72,INDIRECT($C$5&amp;"生成成长"),2))/((VLOOKUP($B83,INDIRECT($B$5&amp;"生成成长"),4))/(VLOOKUP(BQ$72,INDIRECT($C$5&amp;"生成成长"),5))*(VLOOKUP($B$5,标准坦克设计!$B$24:$U$30,MATCH("对"&amp;LEFT($C$5,2)&amp;"输出",标准坦克设计!$B$23:$U$23,0)))*(VLOOKUP($B83,INDIRECT($B$5&amp;"生成成长"),3))*(VLOOKUP($B$5,标准坦克设计!$B$14:$K$20,9)/30))</f>
        <v>19.266256073226177</v>
      </c>
      <c r="BR83" s="173">
        <f ca="1">(VLOOKUP(BR$72,INDIRECT($C$5&amp;"生成成长"),2))/((VLOOKUP($B83,INDIRECT($B$5&amp;"生成成长"),4))/(VLOOKUP(BR$72,INDIRECT($C$5&amp;"生成成长"),5))*(VLOOKUP($B$5,标准坦克设计!$B$24:$U$30,MATCH("对"&amp;LEFT($C$5,2)&amp;"输出",标准坦克设计!$B$23:$U$23,0)))*(VLOOKUP($B83,INDIRECT($B$5&amp;"生成成长"),3))*(VLOOKUP($B$5,标准坦克设计!$B$14:$K$20,9)/30))</f>
        <v>21.001112720546512</v>
      </c>
      <c r="BS83" s="173">
        <f ca="1">(VLOOKUP(BS$72,INDIRECT($C$5&amp;"生成成长"),2))/((VLOOKUP($B83,INDIRECT($B$5&amp;"生成成长"),4))/(VLOOKUP(BS$72,INDIRECT($C$5&amp;"生成成长"),5))*(VLOOKUP($B$5,标准坦克设计!$B$24:$U$30,MATCH("对"&amp;LEFT($C$5,2)&amp;"输出",标准坦克设计!$B$23:$U$23,0)))*(VLOOKUP($B83,INDIRECT($B$5&amp;"生成成长"),3))*(VLOOKUP($B$5,标准坦克设计!$B$14:$K$20,9)/30))</f>
        <v>22.810747671630658</v>
      </c>
      <c r="BT83" s="173">
        <f ca="1">(VLOOKUP(BT$72,INDIRECT($C$5&amp;"生成成长"),2))/((VLOOKUP($B83,INDIRECT($B$5&amp;"生成成长"),4))/(VLOOKUP(BT$72,INDIRECT($C$5&amp;"生成成长"),5))*(VLOOKUP($B$5,标准坦克设计!$B$24:$U$30,MATCH("对"&amp;LEFT($C$5,2)&amp;"输出",标准坦克设计!$B$23:$U$23,0)))*(VLOOKUP($B83,INDIRECT($B$5&amp;"生成成长"),3))*(VLOOKUP($B$5,标准坦克设计!$B$14:$K$20,9)/30))</f>
        <v>24.695160926478607</v>
      </c>
      <c r="BU83" s="173">
        <f ca="1">(VLOOKUP(BU$72,INDIRECT($C$5&amp;"生成成长"),2))/((VLOOKUP($B83,INDIRECT($B$5&amp;"生成成长"),4))/(VLOOKUP(BU$72,INDIRECT($C$5&amp;"生成成长"),5))*(VLOOKUP($B$5,标准坦克设计!$B$24:$U$30,MATCH("对"&amp;LEFT($C$5,2)&amp;"输出",标准坦克设计!$B$23:$U$23,0)))*(VLOOKUP($B83,INDIRECT($B$5&amp;"生成成长"),3))*(VLOOKUP($B$5,标准坦克设计!$B$14:$K$20,9)/30))</f>
        <v>26.65435248509036</v>
      </c>
      <c r="BV83" s="173">
        <f ca="1">(VLOOKUP(BV$72,INDIRECT($C$5&amp;"生成成长"),2))/((VLOOKUP($B83,INDIRECT($B$5&amp;"生成成长"),4))/(VLOOKUP(BV$72,INDIRECT($C$5&amp;"生成成长"),5))*(VLOOKUP($B$5,标准坦克设计!$B$24:$U$30,MATCH("对"&amp;LEFT($C$5,2)&amp;"输出",标准坦克设计!$B$23:$U$23,0)))*(VLOOKUP($B83,INDIRECT($B$5&amp;"生成成长"),3))*(VLOOKUP($B$5,标准坦克设计!$B$14:$K$20,9)/30))</f>
        <v>28.688322347465924</v>
      </c>
      <c r="BW83" s="173">
        <f ca="1">(VLOOKUP(BW$72,INDIRECT($C$5&amp;"生成成长"),2))/((VLOOKUP($B83,INDIRECT($B$5&amp;"生成成长"),4))/(VLOOKUP(BW$72,INDIRECT($C$5&amp;"生成成长"),5))*(VLOOKUP($B$5,标准坦克设计!$B$24:$U$30,MATCH("对"&amp;LEFT($C$5,2)&amp;"输出",标准坦克设计!$B$23:$U$23,0)))*(VLOOKUP($B83,INDIRECT($B$5&amp;"生成成长"),3))*(VLOOKUP($B$5,标准坦克设计!$B$14:$K$20,9)/30))</f>
        <v>13.074612521582919</v>
      </c>
      <c r="BX83" s="173">
        <f ca="1">(VLOOKUP(BX$72,INDIRECT($C$5&amp;"生成成长"),2))/((VLOOKUP($B83,INDIRECT($B$5&amp;"生成成长"),4))/(VLOOKUP(BX$72,INDIRECT($C$5&amp;"生成成长"),5))*(VLOOKUP($B$5,标准坦克设计!$B$24:$U$30,MATCH("对"&amp;LEFT($C$5,2)&amp;"输出",标准坦克设计!$B$23:$U$23,0)))*(VLOOKUP($B83,INDIRECT($B$5&amp;"生成成长"),3))*(VLOOKUP($B$5,标准坦克设计!$B$14:$K$20,9)/30))</f>
        <v>14.510355953848027</v>
      </c>
      <c r="BY83" s="173">
        <f ca="1">(VLOOKUP(BY$72,INDIRECT($C$5&amp;"生成成长"),2))/((VLOOKUP($B83,INDIRECT($B$5&amp;"生成成长"),4))/(VLOOKUP(BY$72,INDIRECT($C$5&amp;"生成成长"),5))*(VLOOKUP($B$5,标准坦克设计!$B$24:$U$30,MATCH("对"&amp;LEFT($C$5,2)&amp;"输出",标准坦克设计!$B$23:$U$23,0)))*(VLOOKUP($B83,INDIRECT($B$5&amp;"生成成长"),3))*(VLOOKUP($B$5,标准坦克设计!$B$14:$K$20,9)/30))</f>
        <v>16.020877689876933</v>
      </c>
      <c r="BZ83" s="173">
        <f ca="1">(VLOOKUP(BZ$72,INDIRECT($C$5&amp;"生成成长"),2))/((VLOOKUP($B83,INDIRECT($B$5&amp;"生成成长"),4))/(VLOOKUP(BZ$72,INDIRECT($C$5&amp;"生成成长"),5))*(VLOOKUP($B$5,标准坦克设计!$B$24:$U$30,MATCH("对"&amp;LEFT($C$5,2)&amp;"输出",标准坦克设计!$B$23:$U$23,0)))*(VLOOKUP($B83,INDIRECT($B$5&amp;"生成成长"),3))*(VLOOKUP($B$5,标准坦克设计!$B$14:$K$20,9)/30))</f>
        <v>17.606177729669653</v>
      </c>
      <c r="CA83" s="173">
        <f ca="1">(VLOOKUP(CA$72,INDIRECT($C$5&amp;"生成成长"),2))/((VLOOKUP($B83,INDIRECT($B$5&amp;"生成成长"),4))/(VLOOKUP(CA$72,INDIRECT($C$5&amp;"生成成长"),5))*(VLOOKUP($B$5,标准坦克设计!$B$24:$U$30,MATCH("对"&amp;LEFT($C$5,2)&amp;"输出",标准坦克设计!$B$23:$U$23,0)))*(VLOOKUP($B83,INDIRECT($B$5&amp;"生成成长"),3))*(VLOOKUP($B$5,标准坦克设计!$B$14:$K$20,9)/30))</f>
        <v>19.266256073226177</v>
      </c>
      <c r="CB83" s="173">
        <f ca="1">(VLOOKUP(CB$72,INDIRECT($C$5&amp;"生成成长"),2))/((VLOOKUP($B83,INDIRECT($B$5&amp;"生成成长"),4))/(VLOOKUP(CB$72,INDIRECT($C$5&amp;"生成成长"),5))*(VLOOKUP($B$5,标准坦克设计!$B$24:$U$30,MATCH("对"&amp;LEFT($C$5,2)&amp;"输出",标准坦克设计!$B$23:$U$23,0)))*(VLOOKUP($B83,INDIRECT($B$5&amp;"生成成长"),3))*(VLOOKUP($B$5,标准坦克设计!$B$14:$K$20,9)/30))</f>
        <v>21.001112720546512</v>
      </c>
      <c r="CC83" s="173">
        <f ca="1">(VLOOKUP(CC$72,INDIRECT($C$5&amp;"生成成长"),2))/((VLOOKUP($B83,INDIRECT($B$5&amp;"生成成长"),4))/(VLOOKUP(CC$72,INDIRECT($C$5&amp;"生成成长"),5))*(VLOOKUP($B$5,标准坦克设计!$B$24:$U$30,MATCH("对"&amp;LEFT($C$5,2)&amp;"输出",标准坦克设计!$B$23:$U$23,0)))*(VLOOKUP($B83,INDIRECT($B$5&amp;"生成成长"),3))*(VLOOKUP($B$5,标准坦克设计!$B$14:$K$20,9)/30))</f>
        <v>22.810747671630658</v>
      </c>
      <c r="CD83" s="173">
        <f ca="1">(VLOOKUP(CD$72,INDIRECT($C$5&amp;"生成成长"),2))/((VLOOKUP($B83,INDIRECT($B$5&amp;"生成成长"),4))/(VLOOKUP(CD$72,INDIRECT($C$5&amp;"生成成长"),5))*(VLOOKUP($B$5,标准坦克设计!$B$24:$U$30,MATCH("对"&amp;LEFT($C$5,2)&amp;"输出",标准坦克设计!$B$23:$U$23,0)))*(VLOOKUP($B83,INDIRECT($B$5&amp;"生成成长"),3))*(VLOOKUP($B$5,标准坦克设计!$B$14:$K$20,9)/30))</f>
        <v>24.695160926478607</v>
      </c>
      <c r="CE83" s="173">
        <f ca="1">(VLOOKUP(CE$72,INDIRECT($C$5&amp;"生成成长"),2))/((VLOOKUP($B83,INDIRECT($B$5&amp;"生成成长"),4))/(VLOOKUP(CE$72,INDIRECT($C$5&amp;"生成成长"),5))*(VLOOKUP($B$5,标准坦克设计!$B$24:$U$30,MATCH("对"&amp;LEFT($C$5,2)&amp;"输出",标准坦克设计!$B$23:$U$23,0)))*(VLOOKUP($B83,INDIRECT($B$5&amp;"生成成长"),3))*(VLOOKUP($B$5,标准坦克设计!$B$14:$K$20,9)/30))</f>
        <v>26.65435248509036</v>
      </c>
      <c r="CF83" s="173">
        <f ca="1">(VLOOKUP(CF$72,INDIRECT($C$5&amp;"生成成长"),2))/((VLOOKUP($B83,INDIRECT($B$5&amp;"生成成长"),4))/(VLOOKUP(CF$72,INDIRECT($C$5&amp;"生成成长"),5))*(VLOOKUP($B$5,标准坦克设计!$B$24:$U$30,MATCH("对"&amp;LEFT($C$5,2)&amp;"输出",标准坦克设计!$B$23:$U$23,0)))*(VLOOKUP($B83,INDIRECT($B$5&amp;"生成成长"),3))*(VLOOKUP($B$5,标准坦克设计!$B$14:$K$20,9)/30))</f>
        <v>28.688322347465924</v>
      </c>
      <c r="CG83" s="173">
        <f ca="1">(VLOOKUP(CG$72,INDIRECT($C$5&amp;"生成成长"),2))/((VLOOKUP($B83,INDIRECT($B$5&amp;"生成成长"),4))/(VLOOKUP(CG$72,INDIRECT($C$5&amp;"生成成长"),5))*(VLOOKUP($B$5,标准坦克设计!$B$24:$U$30,MATCH("对"&amp;LEFT($C$5,2)&amp;"输出",标准坦克设计!$B$23:$U$23,0)))*(VLOOKUP($B83,INDIRECT($B$5&amp;"生成成长"),3))*(VLOOKUP($B$5,标准坦克设计!$B$14:$K$20,9)/30))</f>
        <v>30.797070513605302</v>
      </c>
      <c r="CH83" s="173">
        <f ca="1">(VLOOKUP(CH$72,INDIRECT($C$5&amp;"生成成长"),2))/((VLOOKUP($B83,INDIRECT($B$5&amp;"生成成长"),4))/(VLOOKUP(CH$72,INDIRECT($C$5&amp;"生成成长"),5))*(VLOOKUP($B$5,标准坦克设计!$B$24:$U$30,MATCH("对"&amp;LEFT($C$5,2)&amp;"输出",标准坦克设计!$B$23:$U$23,0)))*(VLOOKUP($B83,INDIRECT($B$5&amp;"生成成长"),3))*(VLOOKUP($B$5,标准坦克设计!$B$14:$K$20,9)/30))</f>
        <v>32.98059698350847</v>
      </c>
      <c r="CI83" s="173">
        <f ca="1">(VLOOKUP(CI$72,INDIRECT($C$5&amp;"生成成长"),2))/((VLOOKUP($B83,INDIRECT($B$5&amp;"生成成长"),4))/(VLOOKUP(CI$72,INDIRECT($C$5&amp;"生成成长"),5))*(VLOOKUP($B$5,标准坦克设计!$B$24:$U$30,MATCH("对"&amp;LEFT($C$5,2)&amp;"输出",标准坦克设计!$B$23:$U$23,0)))*(VLOOKUP($B83,INDIRECT($B$5&amp;"生成成长"),3))*(VLOOKUP($B$5,标准坦克设计!$B$14:$K$20,9)/30))</f>
        <v>35.468845041249168</v>
      </c>
      <c r="CJ83" s="173">
        <f ca="1">(VLOOKUP(CJ$72,INDIRECT($C$5&amp;"生成成长"),2))/((VLOOKUP($B83,INDIRECT($B$5&amp;"生成成长"),4))/(VLOOKUP(CJ$72,INDIRECT($C$5&amp;"生成成长"),5))*(VLOOKUP($B$5,标准坦克设计!$B$24:$U$30,MATCH("对"&amp;LEFT($C$5,2)&amp;"输出",标准坦克设计!$B$23:$U$23,0)))*(VLOOKUP($B83,INDIRECT($B$5&amp;"生成成长"),3))*(VLOOKUP($B$5,标准坦克设计!$B$14:$K$20,9)/30))</f>
        <v>38.047574846544066</v>
      </c>
      <c r="CK83" s="173">
        <f ca="1">(VLOOKUP(CK$72,INDIRECT($C$5&amp;"生成成长"),2))/((VLOOKUP($B83,INDIRECT($B$5&amp;"生成成长"),4))/(VLOOKUP(CK$72,INDIRECT($C$5&amp;"生成成长"),5))*(VLOOKUP($B$5,标准坦克设计!$B$24:$U$30,MATCH("对"&amp;LEFT($C$5,2)&amp;"输出",标准坦克设计!$B$23:$U$23,0)))*(VLOOKUP($B83,INDIRECT($B$5&amp;"生成成长"),3))*(VLOOKUP($B$5,标准坦克设计!$B$14:$K$20,9)/30))</f>
        <v>40.716786399393172</v>
      </c>
      <c r="CL83" s="173">
        <f ca="1">(VLOOKUP(CL$72,INDIRECT($C$5&amp;"生成成长"),2))/((VLOOKUP($B83,INDIRECT($B$5&amp;"生成成长"),4))/(VLOOKUP(CL$72,INDIRECT($C$5&amp;"生成成长"),5))*(VLOOKUP($B$5,标准坦克设计!$B$24:$U$30,MATCH("对"&amp;LEFT($C$5,2)&amp;"输出",标准坦克设计!$B$23:$U$23,0)))*(VLOOKUP($B83,INDIRECT($B$5&amp;"生成成长"),3))*(VLOOKUP($B$5,标准坦克设计!$B$14:$K$20,9)/30))</f>
        <v>43.476479699796492</v>
      </c>
      <c r="CM83" s="173">
        <f ca="1">(VLOOKUP(CM$72,INDIRECT($C$5&amp;"生成成长"),2))/((VLOOKUP($B83,INDIRECT($B$5&amp;"生成成长"),4))/(VLOOKUP(CM$72,INDIRECT($C$5&amp;"生成成长"),5))*(VLOOKUP($B$5,标准坦克设计!$B$24:$U$30,MATCH("对"&amp;LEFT($C$5,2)&amp;"输出",标准坦克设计!$B$23:$U$23,0)))*(VLOOKUP($B83,INDIRECT($B$5&amp;"生成成长"),3))*(VLOOKUP($B$5,标准坦克设计!$B$14:$K$20,9)/30))</f>
        <v>46.326654747754013</v>
      </c>
      <c r="CN83" s="173">
        <f ca="1">(VLOOKUP(CN$72,INDIRECT($C$5&amp;"生成成长"),2))/((VLOOKUP($B83,INDIRECT($B$5&amp;"生成成长"),4))/(VLOOKUP(CN$72,INDIRECT($C$5&amp;"生成成长"),5))*(VLOOKUP($B$5,标准坦克设计!$B$24:$U$30,MATCH("对"&amp;LEFT($C$5,2)&amp;"输出",标准坦克设计!$B$23:$U$23,0)))*(VLOOKUP($B83,INDIRECT($B$5&amp;"生成成长"),3))*(VLOOKUP($B$5,标准坦克设计!$B$14:$K$20,9)/30))</f>
        <v>49.267311543265734</v>
      </c>
      <c r="CO83" s="173">
        <f ca="1">(VLOOKUP(CO$72,INDIRECT($C$5&amp;"生成成长"),2))/((VLOOKUP($B83,INDIRECT($B$5&amp;"生成成长"),4))/(VLOOKUP(CO$72,INDIRECT($C$5&amp;"生成成长"),5))*(VLOOKUP($B$5,标准坦克设计!$B$24:$U$30,MATCH("对"&amp;LEFT($C$5,2)&amp;"输出",标准坦克设计!$B$23:$U$23,0)))*(VLOOKUP($B83,INDIRECT($B$5&amp;"生成成长"),3))*(VLOOKUP($B$5,标准坦克设计!$B$14:$K$20,9)/30))</f>
        <v>22.077920294745343</v>
      </c>
      <c r="CP83" s="173">
        <f ca="1">(VLOOKUP(CP$72,INDIRECT($C$5&amp;"生成成长"),2))/((VLOOKUP($B83,INDIRECT($B$5&amp;"生成成长"),4))/(VLOOKUP(CP$72,INDIRECT($C$5&amp;"生成成长"),5))*(VLOOKUP($B$5,标准坦克设计!$B$24:$U$30,MATCH("对"&amp;LEFT($C$5,2)&amp;"输出",标准坦克设计!$B$23:$U$23,0)))*(VLOOKUP($B83,INDIRECT($B$5&amp;"生成成长"),3))*(VLOOKUP($B$5,标准坦克设计!$B$14:$K$20,9)/30))</f>
        <v>24.121985228129017</v>
      </c>
      <c r="CQ83" s="173">
        <f ca="1">(VLOOKUP(CQ$72,INDIRECT($C$5&amp;"生成成长"),2))/((VLOOKUP($B83,INDIRECT($B$5&amp;"生成成长"),4))/(VLOOKUP(CQ$72,INDIRECT($C$5&amp;"生成成长"),5))*(VLOOKUP($B$5,标准坦克设计!$B$24:$U$30,MATCH("对"&amp;LEFT($C$5,2)&amp;"输出",标准坦克设计!$B$23:$U$23,0)))*(VLOOKUP($B83,INDIRECT($B$5&amp;"生成成长"),3))*(VLOOKUP($B$5,标准坦克设计!$B$14:$K$20,9)/30))</f>
        <v>26.256531909066904</v>
      </c>
      <c r="CR83" s="173">
        <f ca="1">(VLOOKUP(CR$72,INDIRECT($C$5&amp;"生成成长"),2))/((VLOOKUP($B83,INDIRECT($B$5&amp;"生成成长"),4))/(VLOOKUP(CR$72,INDIRECT($C$5&amp;"生成成长"),5))*(VLOOKUP($B$5,标准坦克设计!$B$24:$U$30,MATCH("对"&amp;LEFT($C$5,2)&amp;"输出",标准坦克设计!$B$23:$U$23,0)))*(VLOOKUP($B83,INDIRECT($B$5&amp;"生成成长"),3))*(VLOOKUP($B$5,标准坦克设计!$B$14:$K$20,9)/30))</f>
        <v>28.481560337558996</v>
      </c>
      <c r="CS83" s="173">
        <f ca="1">(VLOOKUP(CS$72,INDIRECT($C$5&amp;"生成成长"),2))/((VLOOKUP($B83,INDIRECT($B$5&amp;"生成成长"),4))/(VLOOKUP(CS$72,INDIRECT($C$5&amp;"生成成长"),5))*(VLOOKUP($B$5,标准坦克设计!$B$24:$U$30,MATCH("对"&amp;LEFT($C$5,2)&amp;"输出",标准坦克设计!$B$23:$U$23,0)))*(VLOOKUP($B83,INDIRECT($B$5&amp;"生成成长"),3))*(VLOOKUP($B$5,标准坦克设计!$B$14:$K$20,9)/30))</f>
        <v>30.797070513605302</v>
      </c>
      <c r="CT83" s="173">
        <f ca="1">(VLOOKUP(CT$72,INDIRECT($C$5&amp;"生成成长"),2))/((VLOOKUP($B83,INDIRECT($B$5&amp;"生成成长"),4))/(VLOOKUP(CT$72,INDIRECT($C$5&amp;"生成成长"),5))*(VLOOKUP($B$5,标准坦克设计!$B$24:$U$30,MATCH("对"&amp;LEFT($C$5,2)&amp;"输出",标准坦克设计!$B$23:$U$23,0)))*(VLOOKUP($B83,INDIRECT($B$5&amp;"生成成长"),3))*(VLOOKUP($B$5,标准坦克设计!$B$14:$K$20,9)/30))</f>
        <v>33.203062437205794</v>
      </c>
      <c r="CU83" s="173">
        <f ca="1">(VLOOKUP(CU$72,INDIRECT($C$5&amp;"生成成长"),2))/((VLOOKUP($B83,INDIRECT($B$5&amp;"生成成长"),4))/(VLOOKUP(CU$72,INDIRECT($C$5&amp;"生成成长"),5))*(VLOOKUP($B$5,标准坦克设计!$B$24:$U$30,MATCH("对"&amp;LEFT($C$5,2)&amp;"输出",标准坦克设计!$B$23:$U$23,0)))*(VLOOKUP($B83,INDIRECT($B$5&amp;"生成成长"),3))*(VLOOKUP($B$5,标准坦克设计!$B$14:$K$20,9)/30))</f>
        <v>35.699536108360512</v>
      </c>
      <c r="CV83" s="173">
        <f ca="1">(VLOOKUP(CV$72,INDIRECT($C$5&amp;"生成成长"),2))/((VLOOKUP($B83,INDIRECT($B$5&amp;"生成成长"),4))/(VLOOKUP(CV$72,INDIRECT($C$5&amp;"生成成长"),5))*(VLOOKUP($B$5,标准坦克设计!$B$24:$U$30,MATCH("对"&amp;LEFT($C$5,2)&amp;"输出",标准坦克设计!$B$23:$U$23,0)))*(VLOOKUP($B83,INDIRECT($B$5&amp;"生成成长"),3))*(VLOOKUP($B$5,标准坦克设计!$B$14:$K$20,9)/30))</f>
        <v>38.286491527069437</v>
      </c>
      <c r="CW83" s="173">
        <f ca="1">(VLOOKUP(CW$72,INDIRECT($C$5&amp;"生成成长"),2))/((VLOOKUP($B83,INDIRECT($B$5&amp;"生成成长"),4))/(VLOOKUP(CW$72,INDIRECT($C$5&amp;"生成成长"),5))*(VLOOKUP($B$5,标准坦克设计!$B$24:$U$30,MATCH("对"&amp;LEFT($C$5,2)&amp;"输出",标准坦克设计!$B$23:$U$23,0)))*(VLOOKUP($B83,INDIRECT($B$5&amp;"生成成长"),3))*(VLOOKUP($B$5,标准坦克设计!$B$14:$K$20,9)/30))</f>
        <v>40.963928693332562</v>
      </c>
      <c r="CX83" s="173">
        <f ca="1">(VLOOKUP(CX$72,INDIRECT($C$5&amp;"生成成长"),2))/((VLOOKUP($B83,INDIRECT($B$5&amp;"生成成长"),4))/(VLOOKUP(CX$72,INDIRECT($C$5&amp;"生成成长"),5))*(VLOOKUP($B$5,标准坦克设计!$B$24:$U$30,MATCH("对"&amp;LEFT($C$5,2)&amp;"输出",标准坦克设计!$B$23:$U$23,0)))*(VLOOKUP($B83,INDIRECT($B$5&amp;"生成成长"),3))*(VLOOKUP($B$5,标准坦克设计!$B$14:$K$20,9)/30))</f>
        <v>43.731847607149902</v>
      </c>
      <c r="CY83" s="173">
        <f ca="1">(VLOOKUP(CY$72,INDIRECT($C$5&amp;"生成成长"),2))/((VLOOKUP($B83,INDIRECT($B$5&amp;"生成成长"),4))/(VLOOKUP(CY$72,INDIRECT($C$5&amp;"生成成长"),5))*(VLOOKUP($B$5,标准坦克设计!$B$24:$U$30,MATCH("对"&amp;LEFT($C$5,2)&amp;"输出",标准坦克设计!$B$23:$U$23,0)))*(VLOOKUP($B83,INDIRECT($B$5&amp;"生成成长"),3))*(VLOOKUP($B$5,标准坦克设计!$B$14:$K$20,9)/30))</f>
        <v>46.590248268521442</v>
      </c>
      <c r="CZ83" s="173">
        <f ca="1">(VLOOKUP(CZ$72,INDIRECT($C$5&amp;"生成成长"),2))/((VLOOKUP($B83,INDIRECT($B$5&amp;"生成成长"),4))/(VLOOKUP(CZ$72,INDIRECT($C$5&amp;"生成成长"),5))*(VLOOKUP($B$5,标准坦克设计!$B$24:$U$30,MATCH("对"&amp;LEFT($C$5,2)&amp;"输出",标准坦克设计!$B$23:$U$23,0)))*(VLOOKUP($B83,INDIRECT($B$5&amp;"生成成长"),3))*(VLOOKUP($B$5,标准坦克设计!$B$14:$K$20,9)/30))</f>
        <v>49.53913067744719</v>
      </c>
      <c r="DA83" s="173">
        <f ca="1">(VLOOKUP(DA$72,INDIRECT($C$5&amp;"生成成长"),2))/((VLOOKUP($B83,INDIRECT($B$5&amp;"生成成长"),4))/(VLOOKUP(DA$72,INDIRECT($C$5&amp;"生成成长"),5))*(VLOOKUP($B$5,标准坦克设计!$B$24:$U$30,MATCH("对"&amp;LEFT($C$5,2)&amp;"输出",标准坦克设计!$B$23:$U$23,0)))*(VLOOKUP($B83,INDIRECT($B$5&amp;"生成成长"),3))*(VLOOKUP($B$5,标准坦克设计!$B$14:$K$20,9)/30))</f>
        <v>52.578494833927145</v>
      </c>
      <c r="DB83" s="173">
        <f ca="1">(VLOOKUP(DB$72,INDIRECT($C$5&amp;"生成成长"),2))/((VLOOKUP($B83,INDIRECT($B$5&amp;"生成成长"),4))/(VLOOKUP(DB$72,INDIRECT($C$5&amp;"生成成长"),5))*(VLOOKUP($B$5,标准坦克设计!$B$24:$U$30,MATCH("对"&amp;LEFT($C$5,2)&amp;"输出",标准坦克设计!$B$23:$U$23,0)))*(VLOOKUP($B83,INDIRECT($B$5&amp;"生成成长"),3))*(VLOOKUP($B$5,标准坦克设计!$B$14:$K$20,9)/30))</f>
        <v>55.708340737961301</v>
      </c>
      <c r="DC83" s="173">
        <f ca="1">(VLOOKUP(DC$72,INDIRECT($C$5&amp;"生成成长"),2))/((VLOOKUP($B83,INDIRECT($B$5&amp;"生成成长"),4))/(VLOOKUP(DC$72,INDIRECT($C$5&amp;"生成成长"),5))*(VLOOKUP($B$5,标准坦克设计!$B$24:$U$30,MATCH("对"&amp;LEFT($C$5,2)&amp;"输出",标准坦克设计!$B$23:$U$23,0)))*(VLOOKUP($B83,INDIRECT($B$5&amp;"生成成长"),3))*(VLOOKUP($B$5,标准坦克设计!$B$14:$K$20,9)/30))</f>
        <v>59.22591214701081</v>
      </c>
      <c r="DD83" s="173">
        <f ca="1">(VLOOKUP(DD$72,INDIRECT($C$5&amp;"生成成长"),2))/((VLOOKUP($B83,INDIRECT($B$5&amp;"生成成长"),4))/(VLOOKUP(DD$72,INDIRECT($C$5&amp;"生成成长"),5))*(VLOOKUP($B$5,标准坦克设计!$B$24:$U$30,MATCH("对"&amp;LEFT($C$5,2)&amp;"输出",标准坦克设计!$B$23:$U$23,0)))*(VLOOKUP($B83,INDIRECT($B$5&amp;"生成成长"),3))*(VLOOKUP($B$5,标准坦克设计!$B$14:$K$20,9)/30))</f>
        <v>62.851164313480197</v>
      </c>
      <c r="DE83" s="173">
        <f ca="1">(VLOOKUP(DE$72,INDIRECT($C$5&amp;"生成成长"),2))/((VLOOKUP($B83,INDIRECT($B$5&amp;"生成成长"),4))/(VLOOKUP(DE$72,INDIRECT($C$5&amp;"生成成长"),5))*(VLOOKUP($B$5,标准坦克设计!$B$24:$U$30,MATCH("对"&amp;LEFT($C$5,2)&amp;"输出",标准坦克设计!$B$23:$U$23,0)))*(VLOOKUP($B83,INDIRECT($B$5&amp;"生成成长"),3))*(VLOOKUP($B$5,标准坦克设计!$B$14:$K$20,9)/30))</f>
        <v>66.584097237369463</v>
      </c>
      <c r="DF83" s="173">
        <f ca="1">(VLOOKUP(DF$72,INDIRECT($C$5&amp;"生成成长"),2))/((VLOOKUP($B83,INDIRECT($B$5&amp;"生成成长"),4))/(VLOOKUP(DF$72,INDIRECT($C$5&amp;"生成成长"),5))*(VLOOKUP($B$5,标准坦克设计!$B$24:$U$30,MATCH("对"&amp;LEFT($C$5,2)&amp;"输出",标准坦克设计!$B$23:$U$23,0)))*(VLOOKUP($B83,INDIRECT($B$5&amp;"生成成长"),3))*(VLOOKUP($B$5,标准坦克设计!$B$14:$K$20,9)/30))</f>
        <v>70.424710918678613</v>
      </c>
      <c r="DG83" s="173">
        <f ca="1">(VLOOKUP(DG$72,INDIRECT($C$5&amp;"生成成长"),2))/((VLOOKUP($B83,INDIRECT($B$5&amp;"生成成长"),4))/(VLOOKUP(DG$72,INDIRECT($C$5&amp;"生成成长"),5))*(VLOOKUP($B$5,标准坦克设计!$B$24:$U$30,MATCH("对"&amp;LEFT($C$5,2)&amp;"输出",标准坦克设计!$B$23:$U$23,0)))*(VLOOKUP($B83,INDIRECT($B$5&amp;"生成成长"),3))*(VLOOKUP($B$5,标准坦克设计!$B$14:$K$20,9)/30))</f>
        <v>74.373005357407663</v>
      </c>
      <c r="DH83" s="173">
        <f ca="1">(VLOOKUP(DH$72,INDIRECT($C$5&amp;"生成成长"),2))/((VLOOKUP($B83,INDIRECT($B$5&amp;"生成成长"),4))/(VLOOKUP(DH$72,INDIRECT($C$5&amp;"生成成长"),5))*(VLOOKUP($B$5,标准坦克设计!$B$24:$U$30,MATCH("对"&amp;LEFT($C$5,2)&amp;"输出",标准坦克设计!$B$23:$U$23,0)))*(VLOOKUP($B83,INDIRECT($B$5&amp;"生成成长"),3))*(VLOOKUP($B$5,标准坦克设计!$B$14:$K$20,9)/30))</f>
        <v>78.42898055355657</v>
      </c>
      <c r="DI83" s="173">
        <f ca="1">(VLOOKUP(DI$72,INDIRECT($C$5&amp;"生成成长"),2))/((VLOOKUP($B83,INDIRECT($B$5&amp;"生成成长"),4))/(VLOOKUP(DI$72,INDIRECT($C$5&amp;"生成成长"),5))*(VLOOKUP($B$5,标准坦克设计!$B$24:$U$30,MATCH("对"&amp;LEFT($C$5,2)&amp;"输出",标准坦克设计!$B$23:$U$23,0)))*(VLOOKUP($B83,INDIRECT($B$5&amp;"生成成长"),3))*(VLOOKUP($B$5,标准坦克设计!$B$14:$K$20,9)/30))</f>
        <v>82.592636507125363</v>
      </c>
      <c r="DJ83" s="173">
        <f ca="1">(VLOOKUP(DJ$72,INDIRECT($C$5&amp;"生成成长"),2))/((VLOOKUP($B83,INDIRECT($B$5&amp;"生成成长"),4))/(VLOOKUP(DJ$72,INDIRECT($C$5&amp;"生成成长"),5))*(VLOOKUP($B$5,标准坦克设计!$B$24:$U$30,MATCH("对"&amp;LEFT($C$5,2)&amp;"输出",标准坦克设计!$B$23:$U$23,0)))*(VLOOKUP($B83,INDIRECT($B$5&amp;"生成成长"),3))*(VLOOKUP($B$5,标准坦克设计!$B$14:$K$20,9)/30))</f>
        <v>8.3007656093014486</v>
      </c>
      <c r="DK83" s="173">
        <f ca="1">(VLOOKUP(DK$72,INDIRECT($C$5&amp;"生成成长"),2))/((VLOOKUP($B83,INDIRECT($B$5&amp;"生成成长"),4))/(VLOOKUP(DK$72,INDIRECT($C$5&amp;"生成成长"),5))*(VLOOKUP($B$5,标准坦克设计!$B$24:$U$30,MATCH("对"&amp;LEFT($C$5,2)&amp;"输出",标准坦克设计!$B$23:$U$23,0)))*(VLOOKUP($B83,INDIRECT($B$5&amp;"生成成长"),3))*(VLOOKUP($B$5,标准坦克设计!$B$14:$K$20,9)/30))</f>
        <v>9.3338278757984501</v>
      </c>
      <c r="DL83" s="173">
        <f ca="1">(VLOOKUP(DL$72,INDIRECT($C$5&amp;"生成成长"),2))/((VLOOKUP($B83,INDIRECT($B$5&amp;"生成成长"),4))/(VLOOKUP(DL$72,INDIRECT($C$5&amp;"生成成长"),5))*(VLOOKUP($B$5,标准坦克设计!$B$24:$U$30,MATCH("对"&amp;LEFT($C$5,2)&amp;"输出",标准坦克设计!$B$23:$U$23,0)))*(VLOOKUP($B83,INDIRECT($B$5&amp;"生成成长"),3))*(VLOOKUP($B$5,标准坦克设计!$B$14:$K$20,9)/30))</f>
        <v>10.427460568344136</v>
      </c>
      <c r="DM83" s="173">
        <f ca="1">(VLOOKUP(DM$72,INDIRECT($C$5&amp;"生成成长"),2))/((VLOOKUP($B83,INDIRECT($B$5&amp;"生成成长"),4))/(VLOOKUP(DM$72,INDIRECT($C$5&amp;"生成成长"),5))*(VLOOKUP($B$5,标准坦克设计!$B$24:$U$30,MATCH("对"&amp;LEFT($C$5,2)&amp;"输出",标准坦克设计!$B$23:$U$23,0)))*(VLOOKUP($B83,INDIRECT($B$5&amp;"生成成长"),3))*(VLOOKUP($B$5,标准坦克设计!$B$14:$K$20,9)/30))</f>
        <v>11.581663686938503</v>
      </c>
      <c r="DN83" s="173">
        <f ca="1">(VLOOKUP(DN$72,INDIRECT($C$5&amp;"生成成长"),2))/((VLOOKUP($B83,INDIRECT($B$5&amp;"生成成长"),4))/(VLOOKUP(DN$72,INDIRECT($C$5&amp;"生成成长"),5))*(VLOOKUP($B$5,标准坦克设计!$B$24:$U$30,MATCH("对"&amp;LEFT($C$5,2)&amp;"输出",标准坦克设计!$B$23:$U$23,0)))*(VLOOKUP($B83,INDIRECT($B$5&amp;"生成成长"),3))*(VLOOKUP($B$5,标准坦克设计!$B$14:$K$20,9)/30))</f>
        <v>12.796437231581558</v>
      </c>
      <c r="DO83" s="173">
        <f ca="1">(VLOOKUP(DO$72,INDIRECT($C$5&amp;"生成成长"),2))/((VLOOKUP($B83,INDIRECT($B$5&amp;"生成成长"),4))/(VLOOKUP(DO$72,INDIRECT($C$5&amp;"生成成长"),5))*(VLOOKUP($B$5,标准坦克设计!$B$24:$U$30,MATCH("对"&amp;LEFT($C$5,2)&amp;"输出",标准坦克设计!$B$23:$U$23,0)))*(VLOOKUP($B83,INDIRECT($B$5&amp;"生成成长"),3))*(VLOOKUP($B$5,标准坦克设计!$B$14:$K$20,9)/30))</f>
        <v>14.071781202273291</v>
      </c>
      <c r="DP83" s="173">
        <f ca="1">(VLOOKUP(DP$72,INDIRECT($C$5&amp;"生成成长"),2))/((VLOOKUP($B83,INDIRECT($B$5&amp;"生成成长"),4))/(VLOOKUP(DP$72,INDIRECT($C$5&amp;"生成成长"),5))*(VLOOKUP($B$5,标准坦克设计!$B$24:$U$30,MATCH("对"&amp;LEFT($C$5,2)&amp;"输出",标准坦克设计!$B$23:$U$23,0)))*(VLOOKUP($B83,INDIRECT($B$5&amp;"生成成长"),3))*(VLOOKUP($B$5,标准坦克设计!$B$14:$K$20,9)/30))</f>
        <v>15.407695599013714</v>
      </c>
      <c r="DQ83" s="173">
        <f ca="1">(VLOOKUP(DQ$72,INDIRECT($C$5&amp;"生成成长"),2))/((VLOOKUP($B83,INDIRECT($B$5&amp;"生成成长"),4))/(VLOOKUP(DQ$72,INDIRECT($C$5&amp;"生成成长"),5))*(VLOOKUP($B$5,标准坦克设计!$B$24:$U$30,MATCH("对"&amp;LEFT($C$5,2)&amp;"输出",标准坦克设计!$B$23:$U$23,0)))*(VLOOKUP($B83,INDIRECT($B$5&amp;"生成成长"),3))*(VLOOKUP($B$5,标准坦克设计!$B$14:$K$20,9)/30))</f>
        <v>16.804180421802819</v>
      </c>
      <c r="DR83" s="173">
        <f ca="1">(VLOOKUP(DR$72,INDIRECT($C$5&amp;"生成成长"),2))/((VLOOKUP($B83,INDIRECT($B$5&amp;"生成成长"),4))/(VLOOKUP(DR$72,INDIRECT($C$5&amp;"生成成长"),5))*(VLOOKUP($B$5,标准坦克设计!$B$24:$U$30,MATCH("对"&amp;LEFT($C$5,2)&amp;"输出",标准坦克设计!$B$23:$U$23,0)))*(VLOOKUP($B83,INDIRECT($B$5&amp;"生成成长"),3))*(VLOOKUP($B$5,标准坦克设计!$B$14:$K$20,9)/30))</f>
        <v>18.261235670640605</v>
      </c>
      <c r="DS83" s="173">
        <f ca="1">(VLOOKUP(DS$72,INDIRECT($C$5&amp;"生成成长"),2))/((VLOOKUP($B83,INDIRECT($B$5&amp;"生成成长"),4))/(VLOOKUP(DS$72,INDIRECT($C$5&amp;"生成成长"),5))*(VLOOKUP($B$5,标准坦克设计!$B$24:$U$30,MATCH("对"&amp;LEFT($C$5,2)&amp;"输出",标准坦克设计!$B$23:$U$23,0)))*(VLOOKUP($B83,INDIRECT($B$5&amp;"生成成长"),3))*(VLOOKUP($B$5,标准坦克设计!$B$14:$K$20,9)/30))</f>
        <v>19.778861345527083</v>
      </c>
      <c r="DT83" s="173">
        <f ca="1">(VLOOKUP(DT$72,INDIRECT($C$5&amp;"生成成长"),2))/((VLOOKUP($B83,INDIRECT($B$5&amp;"生成成长"),4))/(VLOOKUP(DT$72,INDIRECT($C$5&amp;"生成成长"),5))*(VLOOKUP($B$5,标准坦克设计!$B$24:$U$30,MATCH("对"&amp;LEFT($C$5,2)&amp;"输出",标准坦克设计!$B$23:$U$23,0)))*(VLOOKUP($B83,INDIRECT($B$5&amp;"生成成长"),3))*(VLOOKUP($B$5,标准坦克设计!$B$14:$K$20,9)/30))</f>
        <v>21.71599330452851</v>
      </c>
      <c r="DU83" s="173">
        <f ca="1">(VLOOKUP(DU$72,INDIRECT($C$5&amp;"生成成长"),2))/((VLOOKUP($B83,INDIRECT($B$5&amp;"生成成长"),4))/(VLOOKUP(DU$72,INDIRECT($C$5&amp;"生成成长"),5))*(VLOOKUP($B$5,标准坦克设计!$B$24:$U$30,MATCH("对"&amp;LEFT($C$5,2)&amp;"输出",标准坦克设计!$B$23:$U$23,0)))*(VLOOKUP($B83,INDIRECT($B$5&amp;"生成成长"),3))*(VLOOKUP($B$5,标准坦克设计!$B$14:$K$20,9)/30))</f>
        <v>23.743607011084151</v>
      </c>
      <c r="DV83" s="173">
        <f ca="1">(VLOOKUP(DV$72,INDIRECT($C$5&amp;"生成成长"),2))/((VLOOKUP($B83,INDIRECT($B$5&amp;"生成成长"),4))/(VLOOKUP(DV$72,INDIRECT($C$5&amp;"生成成长"),5))*(VLOOKUP($B$5,标准坦克设计!$B$24:$U$30,MATCH("对"&amp;LEFT($C$5,2)&amp;"输出",标准坦克设计!$B$23:$U$23,0)))*(VLOOKUP($B83,INDIRECT($B$5&amp;"生成成长"),3))*(VLOOKUP($B$5,标准坦克设计!$B$14:$K$20,9)/30))</f>
        <v>25.861702465194</v>
      </c>
      <c r="DW83" s="173">
        <f ca="1">(VLOOKUP(DW$72,INDIRECT($C$5&amp;"生成成长"),2))/((VLOOKUP($B83,INDIRECT($B$5&amp;"生成成长"),4))/(VLOOKUP(DW$72,INDIRECT($C$5&amp;"生成成长"),5))*(VLOOKUP($B$5,标准坦克设计!$B$24:$U$30,MATCH("对"&amp;LEFT($C$5,2)&amp;"输出",标准坦克设计!$B$23:$U$23,0)))*(VLOOKUP($B83,INDIRECT($B$5&amp;"生成成长"),3))*(VLOOKUP($B$5,标准坦克设计!$B$14:$K$20,9)/30))</f>
        <v>28.070279666858056</v>
      </c>
      <c r="DX83" s="173">
        <f ca="1">(VLOOKUP(DX$72,INDIRECT($C$5&amp;"生成成长"),2))/((VLOOKUP($B83,INDIRECT($B$5&amp;"生成成长"),4))/(VLOOKUP(DX$72,INDIRECT($C$5&amp;"生成成长"),5))*(VLOOKUP($B$5,标准坦克设计!$B$24:$U$30,MATCH("对"&amp;LEFT($C$5,2)&amp;"输出",标准坦克设计!$B$23:$U$23,0)))*(VLOOKUP($B83,INDIRECT($B$5&amp;"生成成长"),3))*(VLOOKUP($B$5,标准坦克设计!$B$14:$K$20,9)/30))</f>
        <v>30.369338616076313</v>
      </c>
      <c r="DY83" s="173">
        <f ca="1">(VLOOKUP(DY$72,INDIRECT($C$5&amp;"生成成长"),2))/((VLOOKUP($B83,INDIRECT($B$5&amp;"生成成长"),4))/(VLOOKUP(DY$72,INDIRECT($C$5&amp;"生成成长"),5))*(VLOOKUP($B$5,标准坦克设计!$B$24:$U$30,MATCH("对"&amp;LEFT($C$5,2)&amp;"输出",标准坦克设计!$B$23:$U$23,0)))*(VLOOKUP($B83,INDIRECT($B$5&amp;"生成成长"),3))*(VLOOKUP($B$5,标准坦克设计!$B$14:$K$20,9)/30))</f>
        <v>13.639936498037303</v>
      </c>
      <c r="DZ83" s="173">
        <f ca="1">(VLOOKUP(DZ$72,INDIRECT($C$5&amp;"生成成长"),2))/((VLOOKUP($B83,INDIRECT($B$5&amp;"生成成长"),4))/(VLOOKUP(DZ$72,INDIRECT($C$5&amp;"生成成长"),5))*(VLOOKUP($B$5,标准坦克设计!$B$24:$U$30,MATCH("对"&amp;LEFT($C$5,2)&amp;"输出",标准坦克设计!$B$23:$U$23,0)))*(VLOOKUP($B83,INDIRECT($B$5&amp;"生成成长"),3))*(VLOOKUP($B$5,标准坦克设计!$B$14:$K$20,9)/30))</f>
        <v>15.105591251807931</v>
      </c>
      <c r="EA83" s="173">
        <f ca="1">(VLOOKUP(EA$72,INDIRECT($C$5&amp;"生成成长"),2))/((VLOOKUP($B83,INDIRECT($B$5&amp;"生成成长"),4))/(VLOOKUP(EA$72,INDIRECT($C$5&amp;"生成成长"),5))*(VLOOKUP($B$5,标准坦克设计!$B$24:$U$30,MATCH("对"&amp;LEFT($C$5,2)&amp;"输出",标准坦克设计!$B$23:$U$23,0)))*(VLOOKUP($B83,INDIRECT($B$5&amp;"生成成长"),3))*(VLOOKUP($B$5,标准坦克设计!$B$14:$K$20,9)/30))</f>
        <v>16.646024309342366</v>
      </c>
      <c r="EB83" s="173">
        <f ca="1">(VLOOKUP(EB$72,INDIRECT($C$5&amp;"生成成长"),2))/((VLOOKUP($B83,INDIRECT($B$5&amp;"生成成长"),4))/(VLOOKUP(EB$72,INDIRECT($C$5&amp;"生成成长"),5))*(VLOOKUP($B$5,标准坦克设计!$B$24:$U$30,MATCH("对"&amp;LEFT($C$5,2)&amp;"输出",标准坦克设计!$B$23:$U$23,0)))*(VLOOKUP($B83,INDIRECT($B$5&amp;"生成成长"),3))*(VLOOKUP($B$5,标准坦克设计!$B$14:$K$20,9)/30))</f>
        <v>18.261235670640605</v>
      </c>
      <c r="EC83" s="173">
        <f ca="1">(VLOOKUP(EC$72,INDIRECT($C$5&amp;"生成成长"),2))/((VLOOKUP($B83,INDIRECT($B$5&amp;"生成成长"),4))/(VLOOKUP(EC$72,INDIRECT($C$5&amp;"生成成长"),5))*(VLOOKUP($B$5,标准坦克设计!$B$24:$U$30,MATCH("对"&amp;LEFT($C$5,2)&amp;"输出",标准坦克设计!$B$23:$U$23,0)))*(VLOOKUP($B83,INDIRECT($B$5&amp;"生成成长"),3))*(VLOOKUP($B$5,标准坦克设计!$B$14:$K$20,9)/30))</f>
        <v>19.951225335702656</v>
      </c>
      <c r="ED83" s="173">
        <f ca="1">(VLOOKUP(ED$72,INDIRECT($C$5&amp;"生成成长"),2))/((VLOOKUP($B83,INDIRECT($B$5&amp;"生成成长"),4))/(VLOOKUP(ED$72,INDIRECT($C$5&amp;"生成成长"),5))*(VLOOKUP($B$5,标准坦克设计!$B$24:$U$30,MATCH("对"&amp;LEFT($C$5,2)&amp;"输出",标准坦克设计!$B$23:$U$23,0)))*(VLOOKUP($B83,INDIRECT($B$5&amp;"生成成长"),3))*(VLOOKUP($B$5,标准坦克设计!$B$14:$K$20,9)/30))</f>
        <v>21.71599330452851</v>
      </c>
      <c r="EE83" s="173">
        <f ca="1">(VLOOKUP(EE$72,INDIRECT($C$5&amp;"生成成长"),2))/((VLOOKUP($B83,INDIRECT($B$5&amp;"生成成长"),4))/(VLOOKUP(EE$72,INDIRECT($C$5&amp;"生成成长"),5))*(VLOOKUP($B$5,标准坦克设计!$B$24:$U$30,MATCH("对"&amp;LEFT($C$5,2)&amp;"输出",标准坦克设计!$B$23:$U$23,0)))*(VLOOKUP($B83,INDIRECT($B$5&amp;"生成成长"),3))*(VLOOKUP($B$5,标准坦克设计!$B$14:$K$20,9)/30))</f>
        <v>23.555539577118179</v>
      </c>
      <c r="EF83" s="173">
        <f ca="1">(VLOOKUP(EF$72,INDIRECT($C$5&amp;"生成成长"),2))/((VLOOKUP($B83,INDIRECT($B$5&amp;"生成成长"),4))/(VLOOKUP(EF$72,INDIRECT($C$5&amp;"生成成长"),5))*(VLOOKUP($B$5,标准坦克设计!$B$24:$U$30,MATCH("对"&amp;LEFT($C$5,2)&amp;"输出",标准坦克设计!$B$23:$U$23,0)))*(VLOOKUP($B83,INDIRECT($B$5&amp;"生成成长"),3))*(VLOOKUP($B$5,标准坦克设计!$B$14:$K$20,9)/30))</f>
        <v>25.469864153471644</v>
      </c>
      <c r="EG83" s="173">
        <f ca="1">(VLOOKUP(EG$72,INDIRECT($C$5&amp;"生成成长"),2))/((VLOOKUP($B83,INDIRECT($B$5&amp;"生成成长"),4))/(VLOOKUP(EG$72,INDIRECT($C$5&amp;"生成成长"),5))*(VLOOKUP($B$5,标准坦克设计!$B$24:$U$30,MATCH("对"&amp;LEFT($C$5,2)&amp;"输出",标准坦克设计!$B$23:$U$23,0)))*(VLOOKUP($B83,INDIRECT($B$5&amp;"生成成长"),3))*(VLOOKUP($B$5,标准坦克设计!$B$14:$K$20,9)/30))</f>
        <v>27.45896703358893</v>
      </c>
      <c r="EH83" s="173">
        <f ca="1">(VLOOKUP(EH$72,INDIRECT($C$5&amp;"生成成长"),2))/((VLOOKUP($B83,INDIRECT($B$5&amp;"生成成长"),4))/(VLOOKUP(EH$72,INDIRECT($C$5&amp;"生成成长"),5))*(VLOOKUP($B$5,标准坦克设计!$B$24:$U$30,MATCH("对"&amp;LEFT($C$5,2)&amp;"输出",标准坦克设计!$B$23:$U$23,0)))*(VLOOKUP($B83,INDIRECT($B$5&amp;"生成成长"),3))*(VLOOKUP($B$5,标准坦克设计!$B$14:$K$20,9)/30))</f>
        <v>29.522848217470017</v>
      </c>
      <c r="EI83" s="173">
        <f ca="1">(VLOOKUP(EI$72,INDIRECT($C$5&amp;"生成成长"),2))/((VLOOKUP($B83,INDIRECT($B$5&amp;"生成成长"),4))/(VLOOKUP(EI$72,INDIRECT($C$5&amp;"生成成长"),5))*(VLOOKUP($B$5,标准坦克设计!$B$24:$U$30,MATCH("对"&amp;LEFT($C$5,2)&amp;"输出",标准坦克设计!$B$23:$U$23,0)))*(VLOOKUP($B83,INDIRECT($B$5&amp;"生成成长"),3))*(VLOOKUP($B$5,标准坦克设计!$B$14:$K$20,9)/30))</f>
        <v>31.661507705114914</v>
      </c>
      <c r="EJ83" s="173">
        <f ca="1">(VLOOKUP(EJ$72,INDIRECT($C$5&amp;"生成成长"),2))/((VLOOKUP($B83,INDIRECT($B$5&amp;"生成成长"),4))/(VLOOKUP(EJ$72,INDIRECT($C$5&amp;"生成成长"),5))*(VLOOKUP($B$5,标准坦克设计!$B$24:$U$30,MATCH("对"&amp;LEFT($C$5,2)&amp;"输出",标准坦克设计!$B$23:$U$23,0)))*(VLOOKUP($B83,INDIRECT($B$5&amp;"生成成长"),3))*(VLOOKUP($B$5,标准坦克设计!$B$14:$K$20,9)/30))</f>
        <v>33.874945496523615</v>
      </c>
      <c r="EK83" s="173">
        <f ca="1">(VLOOKUP(EK$72,INDIRECT($C$5&amp;"生成成长"),2))/((VLOOKUP($B83,INDIRECT($B$5&amp;"生成成长"),4))/(VLOOKUP(EK$72,INDIRECT($C$5&amp;"生成成长"),5))*(VLOOKUP($B$5,标准坦克设计!$B$24:$U$30,MATCH("对"&amp;LEFT($C$5,2)&amp;"输出",标准坦克设计!$B$23:$U$23,0)))*(VLOOKUP($B83,INDIRECT($B$5&amp;"生成成长"),3))*(VLOOKUP($B$5,标准坦克设计!$B$14:$K$20,9)/30))</f>
        <v>36.629778207182284</v>
      </c>
      <c r="EL83" s="173">
        <f ca="1">(VLOOKUP(EL$72,INDIRECT($C$5&amp;"生成成长"),2))/((VLOOKUP($B83,INDIRECT($B$5&amp;"生成成长"),4))/(VLOOKUP(EL$72,INDIRECT($C$5&amp;"生成成长"),5))*(VLOOKUP($B$5,标准坦克设计!$B$24:$U$30,MATCH("对"&amp;LEFT($C$5,2)&amp;"输出",标准坦克设计!$B$23:$U$23,0)))*(VLOOKUP($B83,INDIRECT($B$5&amp;"生成成长"),3))*(VLOOKUP($B$5,标准坦克设计!$B$14:$K$20,9)/30))</f>
        <v>39.492291675260823</v>
      </c>
      <c r="EM83" s="173">
        <f ca="1">(VLOOKUP(EM$72,INDIRECT($C$5&amp;"生成成长"),2))/((VLOOKUP($B83,INDIRECT($B$5&amp;"生成成长"),4))/(VLOOKUP(EM$72,INDIRECT($C$5&amp;"生成成长"),5))*(VLOOKUP($B$5,标准坦克设计!$B$24:$U$30,MATCH("对"&amp;LEFT($C$5,2)&amp;"输出",标准坦克设计!$B$23:$U$23,0)))*(VLOOKUP($B83,INDIRECT($B$5&amp;"生成成长"),3))*(VLOOKUP($B$5,标准坦克设计!$B$14:$K$20,9)/30))</f>
        <v>42.462485900759262</v>
      </c>
      <c r="EN83" s="173">
        <f ca="1">(VLOOKUP(EN$72,INDIRECT($C$5&amp;"生成成长"),2))/((VLOOKUP($B83,INDIRECT($B$5&amp;"生成成长"),4))/(VLOOKUP(EN$72,INDIRECT($C$5&amp;"生成成长"),5))*(VLOOKUP($B$5,标准坦克设计!$B$24:$U$30,MATCH("对"&amp;LEFT($C$5,2)&amp;"输出",标准坦克设计!$B$23:$U$23,0)))*(VLOOKUP($B83,INDIRECT($B$5&amp;"生成成长"),3))*(VLOOKUP($B$5,标准坦克设计!$B$14:$K$20,9)/30))</f>
        <v>45.540360883677579</v>
      </c>
      <c r="EO83" s="173">
        <f ca="1">(VLOOKUP(EO$72,INDIRECT($C$5&amp;"生成成长"),2))/((VLOOKUP($B83,INDIRECT($B$5&amp;"生成成长"),4))/(VLOOKUP(EO$72,INDIRECT($C$5&amp;"生成成长"),5))*(VLOOKUP($B$5,标准坦克设计!$B$24:$U$30,MATCH("对"&amp;LEFT($C$5,2)&amp;"输出",标准坦克设计!$B$23:$U$23,0)))*(VLOOKUP($B83,INDIRECT($B$5&amp;"生成成长"),3))*(VLOOKUP($B$5,标准坦克设计!$B$14:$K$20,9)/30))</f>
        <v>48.725916624015781</v>
      </c>
      <c r="EP83" s="173">
        <f ca="1">(VLOOKUP(EP$72,INDIRECT($C$5&amp;"生成成长"),2))/((VLOOKUP($B83,INDIRECT($B$5&amp;"生成成长"),4))/(VLOOKUP(EP$72,INDIRECT($C$5&amp;"生成成长"),5))*(VLOOKUP($B$5,标准坦克设计!$B$24:$U$30,MATCH("对"&amp;LEFT($C$5,2)&amp;"输出",标准坦克设计!$B$23:$U$23,0)))*(VLOOKUP($B83,INDIRECT($B$5&amp;"生成成长"),3))*(VLOOKUP($B$5,标准坦克设计!$B$14:$K$20,9)/30))</f>
        <v>52.019153121773854</v>
      </c>
      <c r="EQ83" s="173">
        <f ca="1">(VLOOKUP(EQ$72,INDIRECT($C$5&amp;"生成成长"),2))/((VLOOKUP($B83,INDIRECT($B$5&amp;"生成成长"),4))/(VLOOKUP(EQ$72,INDIRECT($C$5&amp;"生成成长"),5))*(VLOOKUP($B$5,标准坦克设计!$B$24:$U$30,MATCH("对"&amp;LEFT($C$5,2)&amp;"输出",标准坦克设计!$B$23:$U$23,0)))*(VLOOKUP($B83,INDIRECT($B$5&amp;"生成成长"),3))*(VLOOKUP($B$5,标准坦克设计!$B$14:$K$20,9)/30))</f>
        <v>22.995823973446079</v>
      </c>
      <c r="ER83" s="173">
        <f ca="1">(VLOOKUP(ER$72,INDIRECT($C$5&amp;"生成成长"),2))/((VLOOKUP($B83,INDIRECT($B$5&amp;"生成成长"),4))/(VLOOKUP(ER$72,INDIRECT($C$5&amp;"生成成长"),5))*(VLOOKUP($B$5,标准坦克设计!$B$24:$U$30,MATCH("对"&amp;LEFT($C$5,2)&amp;"输出",标准坦克设计!$B$23:$U$23,0)))*(VLOOKUP($B83,INDIRECT($B$5&amp;"生成成长"),3))*(VLOOKUP($B$5,标准坦克设计!$B$14:$K$20,9)/30))</f>
        <v>25.081016973899853</v>
      </c>
      <c r="ES83" s="173">
        <f ca="1">(VLOOKUP(ES$72,INDIRECT($C$5&amp;"生成成长"),2))/((VLOOKUP($B83,INDIRECT($B$5&amp;"生成成长"),4))/(VLOOKUP(ES$72,INDIRECT($C$5&amp;"生成成长"),5))*(VLOOKUP($B$5,标准坦克设计!$B$24:$U$30,MATCH("对"&amp;LEFT($C$5,2)&amp;"输出",标准坦克设计!$B$23:$U$23,0)))*(VLOOKUP($B83,INDIRECT($B$5&amp;"生成成长"),3))*(VLOOKUP($B$5,标准坦克设计!$B$14:$K$20,9)/30))</f>
        <v>27.256691721907828</v>
      </c>
      <c r="ET83" s="173">
        <f ca="1">(VLOOKUP(ET$72,INDIRECT($C$5&amp;"生成成长"),2))/((VLOOKUP($B83,INDIRECT($B$5&amp;"生成成长"),4))/(VLOOKUP(ET$72,INDIRECT($C$5&amp;"生成成长"),5))*(VLOOKUP($B$5,标准坦克设计!$B$24:$U$30,MATCH("对"&amp;LEFT($C$5,2)&amp;"输出",标准坦克设计!$B$23:$U$23,0)))*(VLOOKUP($B83,INDIRECT($B$5&amp;"生成成长"),3))*(VLOOKUP($B$5,标准坦克设计!$B$14:$K$20,9)/30))</f>
        <v>29.522848217470017</v>
      </c>
      <c r="EU83" s="173">
        <f ca="1">(VLOOKUP(EU$72,INDIRECT($C$5&amp;"生成成长"),2))/((VLOOKUP($B83,INDIRECT($B$5&amp;"生成成长"),4))/(VLOOKUP(EU$72,INDIRECT($C$5&amp;"生成成长"),5))*(VLOOKUP($B$5,标准坦克设计!$B$24:$U$30,MATCH("对"&amp;LEFT($C$5,2)&amp;"输出",标准坦克设计!$B$23:$U$23,0)))*(VLOOKUP($B83,INDIRECT($B$5&amp;"生成成长"),3))*(VLOOKUP($B$5,标准坦克设计!$B$14:$K$20,9)/30))</f>
        <v>31.879486460586406</v>
      </c>
      <c r="EV83" s="173">
        <f ca="1">(VLOOKUP(EV$72,INDIRECT($C$5&amp;"生成成长"),2))/((VLOOKUP($B83,INDIRECT($B$5&amp;"生成成长"),4))/(VLOOKUP(EV$72,INDIRECT($C$5&amp;"生成成长"),5))*(VLOOKUP($B$5,标准坦克设计!$B$24:$U$30,MATCH("对"&amp;LEFT($C$5,2)&amp;"输出",标准坦克设计!$B$23:$U$23,0)))*(VLOOKUP($B83,INDIRECT($B$5&amp;"生成成长"),3))*(VLOOKUP($B$5,标准坦克设计!$B$14:$K$20,9)/30))</f>
        <v>34.326606451257014</v>
      </c>
      <c r="EW83" s="173">
        <f ca="1">(VLOOKUP(EW$72,INDIRECT($C$5&amp;"生成成长"),2))/((VLOOKUP($B83,INDIRECT($B$5&amp;"生成成长"),4))/(VLOOKUP(EW$72,INDIRECT($C$5&amp;"生成成长"),5))*(VLOOKUP($B$5,标准坦克设计!$B$24:$U$30,MATCH("对"&amp;LEFT($C$5,2)&amp;"输出",标准坦克设计!$B$23:$U$23,0)))*(VLOOKUP($B83,INDIRECT($B$5&amp;"生成成长"),3))*(VLOOKUP($B$5,标准坦克设计!$B$14:$K$20,9)/30))</f>
        <v>36.864208189481815</v>
      </c>
      <c r="EX83" s="173">
        <f ca="1">(VLOOKUP(EX$72,INDIRECT($C$5&amp;"生成成长"),2))/((VLOOKUP($B83,INDIRECT($B$5&amp;"生成成长"),4))/(VLOOKUP(EX$72,INDIRECT($C$5&amp;"生成成长"),5))*(VLOOKUP($B$5,标准坦克设计!$B$24:$U$30,MATCH("对"&amp;LEFT($C$5,2)&amp;"输出",标准坦克设计!$B$23:$U$23,0)))*(VLOOKUP($B83,INDIRECT($B$5&amp;"生成成长"),3))*(VLOOKUP($B$5,标准坦克设计!$B$14:$K$20,9)/30))</f>
        <v>39.492291675260823</v>
      </c>
      <c r="EY83" s="173">
        <f ca="1">(VLOOKUP(EY$72,INDIRECT($C$5&amp;"生成成长"),2))/((VLOOKUP($B83,INDIRECT($B$5&amp;"生成成长"),4))/(VLOOKUP(EY$72,INDIRECT($C$5&amp;"生成成长"),5))*(VLOOKUP($B$5,标准坦克设计!$B$24:$U$30,MATCH("对"&amp;LEFT($C$5,2)&amp;"输出",标准坦克设计!$B$23:$U$23,0)))*(VLOOKUP($B83,INDIRECT($B$5&amp;"生成成长"),3))*(VLOOKUP($B$5,标准坦克设计!$B$14:$K$20,9)/30))</f>
        <v>42.210856908594053</v>
      </c>
      <c r="EZ83" s="173">
        <f ca="1">(VLOOKUP(EZ$72,INDIRECT($C$5&amp;"生成成长"),2))/((VLOOKUP($B83,INDIRECT($B$5&amp;"生成成长"),4))/(VLOOKUP(EZ$72,INDIRECT($C$5&amp;"生成成长"),5))*(VLOOKUP($B$5,标准坦克设计!$B$24:$U$30,MATCH("对"&amp;LEFT($C$5,2)&amp;"输出",标准坦克设计!$B$23:$U$23,0)))*(VLOOKUP($B83,INDIRECT($B$5&amp;"生成成长"),3))*(VLOOKUP($B$5,标准坦克设计!$B$14:$K$20,9)/30))</f>
        <v>45.019903889481476</v>
      </c>
      <c r="FA83" s="173">
        <f ca="1">(VLOOKUP(FA$72,INDIRECT($C$5&amp;"生成成长"),2))/((VLOOKUP($B83,INDIRECT($B$5&amp;"生成成长"),4))/(VLOOKUP(FA$72,INDIRECT($C$5&amp;"生成成长"),5))*(VLOOKUP($B$5,标准坦克设计!$B$24:$U$30,MATCH("对"&amp;LEFT($C$5,2)&amp;"输出",标准坦克设计!$B$23:$U$23,0)))*(VLOOKUP($B83,INDIRECT($B$5&amp;"生成成长"),3))*(VLOOKUP($B$5,标准坦克设计!$B$14:$K$20,9)/30))</f>
        <v>47.919432617923114</v>
      </c>
      <c r="FB83" s="173">
        <f ca="1">(VLOOKUP(FB$72,INDIRECT($C$5&amp;"生成成长"),2))/((VLOOKUP($B83,INDIRECT($B$5&amp;"生成成长"),4))/(VLOOKUP(FB$72,INDIRECT($C$5&amp;"生成成长"),5))*(VLOOKUP($B$5,标准坦克设计!$B$24:$U$30,MATCH("对"&amp;LEFT($C$5,2)&amp;"输出",标准坦克设计!$B$23:$U$23,0)))*(VLOOKUP($B83,INDIRECT($B$5&amp;"生成成长"),3))*(VLOOKUP($B$5,标准坦克设计!$B$14:$K$20,9)/30))</f>
        <v>50.909443093918952</v>
      </c>
      <c r="FC83" s="173">
        <f ca="1">(VLOOKUP(FC$72,INDIRECT($C$5&amp;"生成成长"),2))/((VLOOKUP($B83,INDIRECT($B$5&amp;"生成成长"),4))/(VLOOKUP(FC$72,INDIRECT($C$5&amp;"生成成长"),5))*(VLOOKUP($B$5,标准坦克设计!$B$24:$U$30,MATCH("对"&amp;LEFT($C$5,2)&amp;"输出",标准坦克设计!$B$23:$U$23,0)))*(VLOOKUP($B83,INDIRECT($B$5&amp;"生成成长"),3))*(VLOOKUP($B$5,标准坦克设计!$B$14:$K$20,9)/30))</f>
        <v>53.989935317468998</v>
      </c>
      <c r="FD83" s="173">
        <f ca="1">(VLOOKUP(FD$72,INDIRECT($C$5&amp;"生成成长"),2))/((VLOOKUP($B83,INDIRECT($B$5&amp;"生成成长"),4))/(VLOOKUP(FD$72,INDIRECT($C$5&amp;"生成成长"),5))*(VLOOKUP($B$5,标准坦克设计!$B$24:$U$30,MATCH("对"&amp;LEFT($C$5,2)&amp;"输出",标准坦克设计!$B$23:$U$23,0)))*(VLOOKUP($B83,INDIRECT($B$5&amp;"生成成长"),3))*(VLOOKUP($B$5,标准坦克设计!$B$14:$K$20,9)/30))</f>
        <v>57.160909288573265</v>
      </c>
      <c r="FE83" s="173">
        <f ca="1">(VLOOKUP(FE$72,INDIRECT($C$5&amp;"生成成长"),2))/((VLOOKUP($B83,INDIRECT($B$5&amp;"生成成长"),4))/(VLOOKUP(FE$72,INDIRECT($C$5&amp;"生成成长"),5))*(VLOOKUP($B$5,标准坦克设计!$B$24:$U$30,MATCH("对"&amp;LEFT($C$5,2)&amp;"输出",标准坦克设计!$B$23:$U$23,0)))*(VLOOKUP($B83,INDIRECT($B$5&amp;"生成成长"),3))*(VLOOKUP($B$5,标准坦克设计!$B$14:$K$20,9)/30))</f>
        <v>61.025078135568009</v>
      </c>
      <c r="FF83" s="173">
        <f ca="1">(VLOOKUP(FF$72,INDIRECT($C$5&amp;"生成成长"),2))/((VLOOKUP($B83,INDIRECT($B$5&amp;"生成成长"),4))/(VLOOKUP(FF$72,INDIRECT($C$5&amp;"生成成长"),5))*(VLOOKUP($B$5,标准坦克设计!$B$24:$U$30,MATCH("对"&amp;LEFT($C$5,2)&amp;"输出",标准坦克设计!$B$23:$U$23,0)))*(VLOOKUP($B83,INDIRECT($B$5&amp;"生成成长"),3))*(VLOOKUP($B$5,标准坦克设计!$B$14:$K$20,9)/30))</f>
        <v>65.015622315923594</v>
      </c>
      <c r="FG83" s="173">
        <f ca="1">(VLOOKUP(FG$72,INDIRECT($C$5&amp;"生成成长"),2))/((VLOOKUP($B83,INDIRECT($B$5&amp;"生成成长"),4))/(VLOOKUP(FG$72,INDIRECT($C$5&amp;"生成成长"),5))*(VLOOKUP($B$5,标准坦克设计!$B$24:$U$30,MATCH("对"&amp;LEFT($C$5,2)&amp;"输出",标准坦克设计!$B$23:$U$23,0)))*(VLOOKUP($B83,INDIRECT($B$5&amp;"生成成长"),3))*(VLOOKUP($B$5,标准坦克设计!$B$14:$K$20,9)/30))</f>
        <v>69.132541829640019</v>
      </c>
      <c r="FH83" s="173">
        <f ca="1">(VLOOKUP(FH$72,INDIRECT($C$5&amp;"生成成长"),2))/((VLOOKUP($B83,INDIRECT($B$5&amp;"生成成长"),4))/(VLOOKUP(FH$72,INDIRECT($C$5&amp;"生成成长"),5))*(VLOOKUP($B$5,标准坦克设计!$B$24:$U$30,MATCH("对"&amp;LEFT($C$5,2)&amp;"输出",标准坦克设计!$B$23:$U$23,0)))*(VLOOKUP($B83,INDIRECT($B$5&amp;"生成成长"),3))*(VLOOKUP($B$5,标准坦克设计!$B$14:$K$20,9)/30))</f>
        <v>73.375836676717284</v>
      </c>
      <c r="FI83" s="173">
        <f ca="1">(VLOOKUP(FI$72,INDIRECT($C$5&amp;"生成成长"),2))/((VLOOKUP($B83,INDIRECT($B$5&amp;"生成成长"),4))/(VLOOKUP(FI$72,INDIRECT($C$5&amp;"生成成长"),5))*(VLOOKUP($B$5,标准坦克设计!$B$24:$U$30,MATCH("对"&amp;LEFT($C$5,2)&amp;"输出",标准坦克设计!$B$23:$U$23,0)))*(VLOOKUP($B83,INDIRECT($B$5&amp;"生成成长"),3))*(VLOOKUP($B$5,标准坦克设计!$B$14:$K$20,9)/30))</f>
        <v>77.745506857155377</v>
      </c>
      <c r="FJ83" s="173">
        <f ca="1">(VLOOKUP(FJ$72,INDIRECT($C$5&amp;"生成成长"),2))/((VLOOKUP($B83,INDIRECT($B$5&amp;"生成成长"),4))/(VLOOKUP(FJ$72,INDIRECT($C$5&amp;"生成成长"),5))*(VLOOKUP($B$5,标准坦克设计!$B$24:$U$30,MATCH("对"&amp;LEFT($C$5,2)&amp;"输出",标准坦克设计!$B$23:$U$23,0)))*(VLOOKUP($B83,INDIRECT($B$5&amp;"生成成长"),3))*(VLOOKUP($B$5,标准坦克设计!$B$14:$K$20,9)/30))</f>
        <v>82.241552370954295</v>
      </c>
      <c r="FK83" s="173">
        <f ca="1">(VLOOKUP(FK$72,INDIRECT($C$5&amp;"生成成长"),2))/((VLOOKUP($B83,INDIRECT($B$5&amp;"生成成长"),4))/(VLOOKUP(FK$72,INDIRECT($C$5&amp;"生成成长"),5))*(VLOOKUP($B$5,标准坦克设计!$B$24:$U$30,MATCH("对"&amp;LEFT($C$5,2)&amp;"输出",标准坦克设计!$B$23:$U$23,0)))*(VLOOKUP($B83,INDIRECT($B$5&amp;"生成成长"),3))*(VLOOKUP($B$5,标准坦克设计!$B$14:$K$20,9)/30))</f>
        <v>86.86397321811404</v>
      </c>
    </row>
    <row r="84" spans="1:167" x14ac:dyDescent="0.15">
      <c r="A84" s="171" t="str">
        <f t="shared" si="11"/>
        <v>T2低品质7级</v>
      </c>
      <c r="B84" s="172">
        <v>10207</v>
      </c>
      <c r="C84" s="173">
        <f ca="1">(VLOOKUP(C$72,INDIRECT($C$5&amp;"生成成长"),2))/((VLOOKUP($B84,INDIRECT($B$5&amp;"生成成长"),4))/(VLOOKUP(C$72,INDIRECT($C$5&amp;"生成成长"),5))*(VLOOKUP($B$5,标准坦克设计!$B$24:$U$30,MATCH("对"&amp;LEFT($C$5,2)&amp;"输出",标准坦克设计!$B$23:$U$23,0)))*(VLOOKUP($B84,INDIRECT($B$5&amp;"生成成长"),3))*(VLOOKUP($B$5,标准坦克设计!$B$14:$K$20,9)/30))</f>
        <v>3.3664855427459788</v>
      </c>
      <c r="D84" s="173">
        <f ca="1">(VLOOKUP(D$72,INDIRECT($C$5&amp;"生成成长"),2))/((VLOOKUP($B84,INDIRECT($B$5&amp;"生成成长"),4))/(VLOOKUP(D$72,INDIRECT($C$5&amp;"生成成长"),5))*(VLOOKUP($B$5,标准坦克设计!$B$24:$U$30,MATCH("对"&amp;LEFT($C$5,2)&amp;"输出",标准坦克设计!$B$23:$U$23,0)))*(VLOOKUP($B84,INDIRECT($B$5&amp;"生成成长"),3))*(VLOOKUP($B$5,标准坦克设计!$B$14:$K$20,9)/30))</f>
        <v>3.7825831558293816</v>
      </c>
      <c r="E84" s="173">
        <f ca="1">(VLOOKUP(E$72,INDIRECT($C$5&amp;"生成成长"),2))/((VLOOKUP($B84,INDIRECT($B$5&amp;"生成成长"),4))/(VLOOKUP(E$72,INDIRECT($C$5&amp;"生成成长"),5))*(VLOOKUP($B$5,标准坦克设计!$B$24:$U$30,MATCH("对"&amp;LEFT($C$5,2)&amp;"输出",标准坦克设计!$B$23:$U$23,0)))*(VLOOKUP($B84,INDIRECT($B$5&amp;"生成成长"),3))*(VLOOKUP($B$5,标准坦克设计!$B$14:$K$20,9)/30))</f>
        <v>4.2229194648205555</v>
      </c>
      <c r="F84" s="173">
        <f ca="1">(VLOOKUP(F$72,INDIRECT($C$5&amp;"生成成长"),2))/((VLOOKUP($B84,INDIRECT($B$5&amp;"生成成长"),4))/(VLOOKUP(F$72,INDIRECT($C$5&amp;"生成成长"),5))*(VLOOKUP($B$5,标准坦克设计!$B$24:$U$30,MATCH("对"&amp;LEFT($C$5,2)&amp;"输出",标准坦克设计!$B$23:$U$23,0)))*(VLOOKUP($B84,INDIRECT($B$5&amp;"生成成长"),3))*(VLOOKUP($B$5,标准坦克设计!$B$14:$K$20,9)/30))</f>
        <v>4.6874944697195007</v>
      </c>
      <c r="G84" s="173">
        <f ca="1">(VLOOKUP(G$72,INDIRECT($C$5&amp;"生成成长"),2))/((VLOOKUP($B84,INDIRECT($B$5&amp;"生成成长"),4))/(VLOOKUP(G$72,INDIRECT($C$5&amp;"生成成长"),5))*(VLOOKUP($B$5,标准坦克设计!$B$24:$U$30,MATCH("对"&amp;LEFT($C$5,2)&amp;"输出",标准坦克设计!$B$23:$U$23,0)))*(VLOOKUP($B84,INDIRECT($B$5&amp;"生成成长"),3))*(VLOOKUP($B$5,标准坦克设计!$B$14:$K$20,9)/30))</f>
        <v>5.1763081705262168</v>
      </c>
      <c r="H84" s="173">
        <f ca="1">(VLOOKUP(H$72,INDIRECT($C$5&amp;"生成成长"),2))/((VLOOKUP($B84,INDIRECT($B$5&amp;"生成成长"),4))/(VLOOKUP(H$72,INDIRECT($C$5&amp;"生成成长"),5))*(VLOOKUP($B$5,标准坦克设计!$B$24:$U$30,MATCH("对"&amp;LEFT($C$5,2)&amp;"输出",标准坦克设计!$B$23:$U$23,0)))*(VLOOKUP($B84,INDIRECT($B$5&amp;"生成成长"),3))*(VLOOKUP($B$5,标准坦克设计!$B$14:$K$20,9)/30))</f>
        <v>4.5299429463189886</v>
      </c>
      <c r="I84" s="173">
        <f ca="1">(VLOOKUP(I$72,INDIRECT($C$5&amp;"生成成长"),2))/((VLOOKUP($B84,INDIRECT($B$5&amp;"生成成长"),4))/(VLOOKUP(I$72,INDIRECT($C$5&amp;"生成成长"),5))*(VLOOKUP($B$5,标准坦克设计!$B$24:$U$30,MATCH("对"&amp;LEFT($C$5,2)&amp;"输出",标准坦克设计!$B$23:$U$23,0)))*(VLOOKUP($B84,INDIRECT($B$5&amp;"生成成长"),3))*(VLOOKUP($B$5,标准坦克设计!$B$14:$K$20,9)/30))</f>
        <v>5.1763081705262168</v>
      </c>
      <c r="J84" s="173">
        <f ca="1">(VLOOKUP(J$72,INDIRECT($C$5&amp;"生成成长"),2))/((VLOOKUP($B84,INDIRECT($B$5&amp;"生成成长"),4))/(VLOOKUP(J$72,INDIRECT($C$5&amp;"生成成长"),5))*(VLOOKUP($B$5,标准坦克设计!$B$24:$U$30,MATCH("对"&amp;LEFT($C$5,2)&amp;"输出",标准坦克设计!$B$23:$U$23,0)))*(VLOOKUP($B84,INDIRECT($B$5&amp;"生成成长"),3))*(VLOOKUP($B$5,标准坦克设计!$B$14:$K$20,9)/30))</f>
        <v>5.8657644096805921</v>
      </c>
      <c r="K84" s="173">
        <f ca="1">(VLOOKUP(K$72,INDIRECT($C$5&amp;"生成成长"),2))/((VLOOKUP($B84,INDIRECT($B$5&amp;"生成成长"),4))/(VLOOKUP(K$72,INDIRECT($C$5&amp;"生成成长"),5))*(VLOOKUP($B$5,标准坦克设计!$B$24:$U$30,MATCH("对"&amp;LEFT($C$5,2)&amp;"输出",标准坦克设计!$B$23:$U$23,0)))*(VLOOKUP($B84,INDIRECT($B$5&amp;"生成成长"),3))*(VLOOKUP($B$5,标准坦克设计!$B$14:$K$20,9)/30))</f>
        <v>6.5983116637821162</v>
      </c>
      <c r="L84" s="173">
        <f ca="1">(VLOOKUP(L$72,INDIRECT($C$5&amp;"生成成长"),2))/((VLOOKUP($B84,INDIRECT($B$5&amp;"生成成长"),4))/(VLOOKUP(L$72,INDIRECT($C$5&amp;"生成成长"),5))*(VLOOKUP($B$5,标准坦克设计!$B$24:$U$30,MATCH("对"&amp;LEFT($C$5,2)&amp;"输出",标准坦克设计!$B$23:$U$23,0)))*(VLOOKUP($B84,INDIRECT($B$5&amp;"生成成长"),3))*(VLOOKUP($B$5,标准坦克设计!$B$14:$K$20,9)/30))</f>
        <v>7.3739499328307918</v>
      </c>
      <c r="M84" s="173">
        <f ca="1">(VLOOKUP(M$72,INDIRECT($C$5&amp;"生成成长"),2))/((VLOOKUP($B84,INDIRECT($B$5&amp;"生成成长"),4))/(VLOOKUP(M$72,INDIRECT($C$5&amp;"生成成长"),5))*(VLOOKUP($B$5,标准坦克设计!$B$24:$U$30,MATCH("对"&amp;LEFT($C$5,2)&amp;"输出",标准坦克设计!$B$23:$U$23,0)))*(VLOOKUP($B84,INDIRECT($B$5&amp;"生成成长"),3))*(VLOOKUP($B$5,标准坦克设计!$B$14:$K$20,9)/30))</f>
        <v>8.1926792168266136</v>
      </c>
      <c r="N84" s="173">
        <f ca="1">(VLOOKUP(N$72,INDIRECT($C$5&amp;"生成成长"),2))/((VLOOKUP($B84,INDIRECT($B$5&amp;"生成成长"),4))/(VLOOKUP(N$72,INDIRECT($C$5&amp;"生成成长"),5))*(VLOOKUP($B$5,标准坦克设计!$B$24:$U$30,MATCH("对"&amp;LEFT($C$5,2)&amp;"输出",标准坦克设计!$B$23:$U$23,0)))*(VLOOKUP($B84,INDIRECT($B$5&amp;"生成成长"),3))*(VLOOKUP($B$5,标准坦克设计!$B$14:$K$20,9)/30))</f>
        <v>9.0544995157695833</v>
      </c>
      <c r="O84" s="173">
        <f ca="1">(VLOOKUP(O$72,INDIRECT($C$5&amp;"生成成长"),2))/((VLOOKUP($B84,INDIRECT($B$5&amp;"生成成长"),4))/(VLOOKUP(O$72,INDIRECT($C$5&amp;"生成成长"),5))*(VLOOKUP($B$5,标准坦克设计!$B$24:$U$30,MATCH("对"&amp;LEFT($C$5,2)&amp;"输出",标准坦克设计!$B$23:$U$23,0)))*(VLOOKUP($B84,INDIRECT($B$5&amp;"生成成长"),3))*(VLOOKUP($B$5,标准坦克设计!$B$14:$K$20,9)/30))</f>
        <v>6.8841262863612513</v>
      </c>
      <c r="P84" s="173">
        <f ca="1">(VLOOKUP(P$72,INDIRECT($C$5&amp;"生成成长"),2))/((VLOOKUP($B84,INDIRECT($B$5&amp;"生成成长"),4))/(VLOOKUP(P$72,INDIRECT($C$5&amp;"生成成长"),5))*(VLOOKUP($B$5,标准坦克设计!$B$24:$U$30,MATCH("对"&amp;LEFT($C$5,2)&amp;"输出",标准坦克设计!$B$23:$U$23,0)))*(VLOOKUP($B84,INDIRECT($B$5&amp;"生成成长"),3))*(VLOOKUP($B$5,标准坦克设计!$B$14:$K$20,9)/30))</f>
        <v>7.7779281979603088</v>
      </c>
      <c r="Q84" s="173">
        <f ca="1">(VLOOKUP(Q$72,INDIRECT($C$5&amp;"生成成长"),2))/((VLOOKUP($B84,INDIRECT($B$5&amp;"生成成长"),4))/(VLOOKUP(Q$72,INDIRECT($C$5&amp;"生成成长"),5))*(VLOOKUP($B$5,标准坦克设计!$B$24:$U$30,MATCH("对"&amp;LEFT($C$5,2)&amp;"输出",标准坦克设计!$B$23:$U$23,0)))*(VLOOKUP($B84,INDIRECT($B$5&amp;"生成成长"),3))*(VLOOKUP($B$5,标准坦克设计!$B$14:$K$20,9)/30))</f>
        <v>8.7262671753518504</v>
      </c>
      <c r="R84" s="173">
        <f ca="1">(VLOOKUP(R$72,INDIRECT($C$5&amp;"生成成长"),2))/((VLOOKUP($B84,INDIRECT($B$5&amp;"生成成长"),4))/(VLOOKUP(R$72,INDIRECT($C$5&amp;"生成成长"),5))*(VLOOKUP($B$5,标准坦克设计!$B$24:$U$30,MATCH("对"&amp;LEFT($C$5,2)&amp;"输出",标准坦克设计!$B$23:$U$23,0)))*(VLOOKUP($B84,INDIRECT($B$5&amp;"生成成长"),3))*(VLOOKUP($B$5,标准坦克设计!$B$14:$K$20,9)/30))</f>
        <v>9.7291432185358762</v>
      </c>
      <c r="S84" s="173">
        <f ca="1">(VLOOKUP(S$72,INDIRECT($C$5&amp;"生成成长"),2))/((VLOOKUP($B84,INDIRECT($B$5&amp;"生成成长"),4))/(VLOOKUP(S$72,INDIRECT($C$5&amp;"生成成长"),5))*(VLOOKUP($B$5,标准坦克设计!$B$24:$U$30,MATCH("对"&amp;LEFT($C$5,2)&amp;"输出",标准坦克设计!$B$23:$U$23,0)))*(VLOOKUP($B84,INDIRECT($B$5&amp;"生成成长"),3))*(VLOOKUP($B$5,标准坦克设计!$B$14:$K$20,9)/30))</f>
        <v>10.786556327512388</v>
      </c>
      <c r="T84" s="173">
        <f ca="1">(VLOOKUP(T$72,INDIRECT($C$5&amp;"生成成长"),2))/((VLOOKUP($B84,INDIRECT($B$5&amp;"生成成长"),4))/(VLOOKUP(T$72,INDIRECT($C$5&amp;"生成成长"),5))*(VLOOKUP($B$5,标准坦克设计!$B$24:$U$30,MATCH("对"&amp;LEFT($C$5,2)&amp;"输出",标准坦克设计!$B$23:$U$23,0)))*(VLOOKUP($B84,INDIRECT($B$5&amp;"生成成长"),3))*(VLOOKUP($B$5,标准坦克设计!$B$14:$K$20,9)/30))</f>
        <v>11.898506502281386</v>
      </c>
      <c r="U84" s="173">
        <f ca="1">(VLOOKUP(U$72,INDIRECT($C$5&amp;"生成成长"),2))/((VLOOKUP($B84,INDIRECT($B$5&amp;"生成成长"),4))/(VLOOKUP(U$72,INDIRECT($C$5&amp;"生成成长"),5))*(VLOOKUP($B$5,标准坦克设计!$B$24:$U$30,MATCH("对"&amp;LEFT($C$5,2)&amp;"输出",标准坦克设计!$B$23:$U$23,0)))*(VLOOKUP($B84,INDIRECT($B$5&amp;"生成成长"),3))*(VLOOKUP($B$5,标准坦克设计!$B$14:$K$20,9)/30))</f>
        <v>13.064993742842868</v>
      </c>
      <c r="V84" s="173">
        <f ca="1">(VLOOKUP(V$72,INDIRECT($C$5&amp;"生成成长"),2))/((VLOOKUP($B84,INDIRECT($B$5&amp;"生成成长"),4))/(VLOOKUP(V$72,INDIRECT($C$5&amp;"生成成长"),5))*(VLOOKUP($B$5,标准坦克设计!$B$24:$U$30,MATCH("对"&amp;LEFT($C$5,2)&amp;"输出",标准坦克设计!$B$23:$U$23,0)))*(VLOOKUP($B84,INDIRECT($B$5&amp;"生成成长"),3))*(VLOOKUP($B$5,标准坦克设计!$B$14:$K$20,9)/30))</f>
        <v>14.286018049196835</v>
      </c>
      <c r="W84" s="173">
        <f ca="1">(VLOOKUP(W$72,INDIRECT($C$5&amp;"生成成长"),2))/((VLOOKUP($B84,INDIRECT($B$5&amp;"生成成长"),4))/(VLOOKUP(W$72,INDIRECT($C$5&amp;"生成成长"),5))*(VLOOKUP($B$5,标准坦克设计!$B$24:$U$30,MATCH("对"&amp;LEFT($C$5,2)&amp;"输出",标准坦克设计!$B$23:$U$23,0)))*(VLOOKUP($B84,INDIRECT($B$5&amp;"生成成长"),3))*(VLOOKUP($B$5,标准坦克设计!$B$14:$K$20,9)/30))</f>
        <v>15.561579421343284</v>
      </c>
      <c r="X84" s="173">
        <f ca="1">(VLOOKUP(X$72,INDIRECT($C$5&amp;"生成成长"),2))/((VLOOKUP($B84,INDIRECT($B$5&amp;"生成成长"),4))/(VLOOKUP(X$72,INDIRECT($C$5&amp;"生成成长"),5))*(VLOOKUP($B$5,标准坦克设计!$B$24:$U$30,MATCH("对"&amp;LEFT($C$5,2)&amp;"输出",标准坦克设计!$B$23:$U$23,0)))*(VLOOKUP($B84,INDIRECT($B$5&amp;"生成成长"),3))*(VLOOKUP($B$5,标准坦克设计!$B$14:$K$20,9)/30))</f>
        <v>11.274023434102006</v>
      </c>
      <c r="Y84" s="173">
        <f ca="1">(VLOOKUP(Y$72,INDIRECT($C$5&amp;"生成成长"),2))/((VLOOKUP($B84,INDIRECT($B$5&amp;"生成成长"),4))/(VLOOKUP(Y$72,INDIRECT($C$5&amp;"生成成长"),5))*(VLOOKUP($B$5,标准坦克设计!$B$24:$U$30,MATCH("对"&amp;LEFT($C$5,2)&amp;"输出",标准坦克设计!$B$23:$U$23,0)))*(VLOOKUP($B84,INDIRECT($B$5&amp;"生成成长"),3))*(VLOOKUP($B$5,标准坦克设计!$B$14:$K$20,9)/30))</f>
        <v>12.539821998174494</v>
      </c>
      <c r="Z84" s="173">
        <f ca="1">(VLOOKUP(Z$72,INDIRECT($C$5&amp;"生成成长"),2))/((VLOOKUP($B84,INDIRECT($B$5&amp;"生成成长"),4))/(VLOOKUP(Z$72,INDIRECT($C$5&amp;"生成成长"),5))*(VLOOKUP($B$5,标准坦克设计!$B$24:$U$30,MATCH("对"&amp;LEFT($C$5,2)&amp;"输出",标准坦克设计!$B$23:$U$23,0)))*(VLOOKUP($B84,INDIRECT($B$5&amp;"生成成长"),3))*(VLOOKUP($B$5,标准坦克设计!$B$14:$K$20,9)/30))</f>
        <v>13.872950273101901</v>
      </c>
      <c r="AA84" s="173">
        <f ca="1">(VLOOKUP(AA$72,INDIRECT($C$5&amp;"生成成长"),2))/((VLOOKUP($B84,INDIRECT($B$5&amp;"生成成长"),4))/(VLOOKUP(AA$72,INDIRECT($C$5&amp;"生成成长"),5))*(VLOOKUP($B$5,标准坦克设计!$B$24:$U$30,MATCH("对"&amp;LEFT($C$5,2)&amp;"输出",标准坦克设计!$B$23:$U$23,0)))*(VLOOKUP($B84,INDIRECT($B$5&amp;"生成成长"),3))*(VLOOKUP($B$5,标准坦克设计!$B$14:$K$20,9)/30))</f>
        <v>15.273408258884229</v>
      </c>
      <c r="AB84" s="173">
        <f ca="1">(VLOOKUP(AB$72,INDIRECT($C$5&amp;"生成成长"),2))/((VLOOKUP($B84,INDIRECT($B$5&amp;"生成成长"),4))/(VLOOKUP(AB$72,INDIRECT($C$5&amp;"生成成长"),5))*(VLOOKUP($B$5,标准坦克设计!$B$24:$U$30,MATCH("对"&amp;LEFT($C$5,2)&amp;"输出",标准坦克设计!$B$23:$U$23,0)))*(VLOOKUP($B84,INDIRECT($B$5&amp;"生成成长"),3))*(VLOOKUP($B$5,标准坦克设计!$B$14:$K$20,9)/30))</f>
        <v>16.741195955521476</v>
      </c>
      <c r="AC84" s="173">
        <f ca="1">(VLOOKUP(AC$72,INDIRECT($C$5&amp;"生成成长"),2))/((VLOOKUP($B84,INDIRECT($B$5&amp;"生成成长"),4))/(VLOOKUP(AC$72,INDIRECT($C$5&amp;"生成成长"),5))*(VLOOKUP($B$5,标准坦克设计!$B$24:$U$30,MATCH("对"&amp;LEFT($C$5,2)&amp;"输出",标准坦克设计!$B$23:$U$23,0)))*(VLOOKUP($B84,INDIRECT($B$5&amp;"生成成长"),3))*(VLOOKUP($B$5,标准坦克设计!$B$14:$K$20,9)/30))</f>
        <v>18.276313363013642</v>
      </c>
      <c r="AD84" s="173">
        <f ca="1">(VLOOKUP(AD$72,INDIRECT($C$5&amp;"生成成长"),2))/((VLOOKUP($B84,INDIRECT($B$5&amp;"生成成长"),4))/(VLOOKUP(AD$72,INDIRECT($C$5&amp;"生成成长"),5))*(VLOOKUP($B$5,标准坦克设计!$B$24:$U$30,MATCH("对"&amp;LEFT($C$5,2)&amp;"输出",标准坦克设计!$B$23:$U$23,0)))*(VLOOKUP($B84,INDIRECT($B$5&amp;"生成成长"),3))*(VLOOKUP($B$5,标准坦克设计!$B$14:$K$20,9)/30))</f>
        <v>19.878760481360725</v>
      </c>
      <c r="AE84" s="173">
        <f ca="1">(VLOOKUP(AE$72,INDIRECT($C$5&amp;"生成成长"),2))/((VLOOKUP($B84,INDIRECT($B$5&amp;"生成成长"),4))/(VLOOKUP(AE$72,INDIRECT($C$5&amp;"生成成长"),5))*(VLOOKUP($B$5,标准坦克设计!$B$24:$U$30,MATCH("对"&amp;LEFT($C$5,2)&amp;"输出",标准坦克设计!$B$23:$U$23,0)))*(VLOOKUP($B84,INDIRECT($B$5&amp;"生成成长"),3))*(VLOOKUP($B$5,标准坦克设计!$B$14:$K$20,9)/30))</f>
        <v>21.548537310562732</v>
      </c>
      <c r="AF84" s="173">
        <f ca="1">(VLOOKUP(AF$72,INDIRECT($C$5&amp;"生成成长"),2))/((VLOOKUP($B84,INDIRECT($B$5&amp;"生成成长"),4))/(VLOOKUP(AF$72,INDIRECT($C$5&amp;"生成成长"),5))*(VLOOKUP($B$5,标准坦克设计!$B$24:$U$30,MATCH("对"&amp;LEFT($C$5,2)&amp;"输出",标准坦克设计!$B$23:$U$23,0)))*(VLOOKUP($B84,INDIRECT($B$5&amp;"生成成长"),3))*(VLOOKUP($B$5,标准坦克设计!$B$14:$K$20,9)/30))</f>
        <v>23.28564385061966</v>
      </c>
      <c r="AG84" s="173">
        <f ca="1">(VLOOKUP(AG$72,INDIRECT($C$5&amp;"生成成长"),2))/((VLOOKUP($B84,INDIRECT($B$5&amp;"生成成长"),4))/(VLOOKUP(AG$72,INDIRECT($C$5&amp;"生成成长"),5))*(VLOOKUP($B$5,标准坦克设计!$B$24:$U$30,MATCH("对"&amp;LEFT($C$5,2)&amp;"输出",标准坦克设计!$B$23:$U$23,0)))*(VLOOKUP($B84,INDIRECT($B$5&amp;"生成成长"),3))*(VLOOKUP($B$5,标准坦克设计!$B$14:$K$20,9)/30))</f>
        <v>25.090080101531509</v>
      </c>
      <c r="AH84" s="173">
        <f ca="1">(VLOOKUP(AH$72,INDIRECT($C$5&amp;"生成成长"),2))/((VLOOKUP($B84,INDIRECT($B$5&amp;"生成成长"),4))/(VLOOKUP(AH$72,INDIRECT($C$5&amp;"生成成长"),5))*(VLOOKUP($B$5,标准坦克设计!$B$24:$U$30,MATCH("对"&amp;LEFT($C$5,2)&amp;"输出",标准坦克设计!$B$23:$U$23,0)))*(VLOOKUP($B84,INDIRECT($B$5&amp;"生成成长"),3))*(VLOOKUP($B$5,标准坦克设计!$B$14:$K$20,9)/30))</f>
        <v>26.961846063298267</v>
      </c>
      <c r="AI84" s="173">
        <f ca="1">(VLOOKUP(AI$72,INDIRECT($C$5&amp;"生成成长"),2))/((VLOOKUP($B84,INDIRECT($B$5&amp;"生成成长"),4))/(VLOOKUP(AI$72,INDIRECT($C$5&amp;"生成成长"),5))*(VLOOKUP($B$5,标准坦克设计!$B$24:$U$30,MATCH("对"&amp;LEFT($C$5,2)&amp;"输出",标准坦克设计!$B$23:$U$23,0)))*(VLOOKUP($B84,INDIRECT($B$5&amp;"生成成长"),3))*(VLOOKUP($B$5,标准坦克设计!$B$14:$K$20,9)/30))</f>
        <v>19.06912070833032</v>
      </c>
      <c r="AJ84" s="173">
        <f ca="1">(VLOOKUP(AJ$72,INDIRECT($C$5&amp;"生成成长"),2))/((VLOOKUP($B84,INDIRECT($B$5&amp;"生成成长"),4))/(VLOOKUP(AJ$72,INDIRECT($C$5&amp;"生成成长"),5))*(VLOOKUP($B$5,标准坦克设计!$B$24:$U$30,MATCH("对"&amp;LEFT($C$5,2)&amp;"输出",标准坦克设计!$B$23:$U$23,0)))*(VLOOKUP($B84,INDIRECT($B$5&amp;"生成成长"),3))*(VLOOKUP($B$5,标准坦克设计!$B$14:$K$20,9)/30))</f>
        <v>20.872547013579339</v>
      </c>
      <c r="AK84" s="173">
        <f ca="1">(VLOOKUP(AK$72,INDIRECT($C$5&amp;"生成成长"),2))/((VLOOKUP($B84,INDIRECT($B$5&amp;"生成成长"),4))/(VLOOKUP(AK$72,INDIRECT($C$5&amp;"生成成长"),5))*(VLOOKUP($B$5,标准坦克设计!$B$24:$U$30,MATCH("对"&amp;LEFT($C$5,2)&amp;"输出",标准坦克设计!$B$23:$U$23,0)))*(VLOOKUP($B84,INDIRECT($B$5&amp;"生成成长"),3))*(VLOOKUP($B$5,标准坦克设计!$B$14:$K$20,9)/30))</f>
        <v>22.757442268962816</v>
      </c>
      <c r="AL84" s="173">
        <f ca="1">(VLOOKUP(AL$72,INDIRECT($C$5&amp;"生成成长"),2))/((VLOOKUP($B84,INDIRECT($B$5&amp;"生成成长"),4))/(VLOOKUP(AL$72,INDIRECT($C$5&amp;"生成成长"),5))*(VLOOKUP($B$5,标准坦克设计!$B$24:$U$30,MATCH("对"&amp;LEFT($C$5,2)&amp;"输出",标准坦克设计!$B$23:$U$23,0)))*(VLOOKUP($B84,INDIRECT($B$5&amp;"生成成长"),3))*(VLOOKUP($B$5,标准坦克设计!$B$14:$K$20,9)/30))</f>
        <v>24.723806474480739</v>
      </c>
      <c r="AM84" s="173">
        <f ca="1">(VLOOKUP(AM$72,INDIRECT($C$5&amp;"生成成长"),2))/((VLOOKUP($B84,INDIRECT($B$5&amp;"生成成长"),4))/(VLOOKUP(AM$72,INDIRECT($C$5&amp;"生成成长"),5))*(VLOOKUP($B$5,标准坦克设计!$B$24:$U$30,MATCH("对"&amp;LEFT($C$5,2)&amp;"输出",标准坦克设计!$B$23:$U$23,0)))*(VLOOKUP($B84,INDIRECT($B$5&amp;"生成成长"),3))*(VLOOKUP($B$5,标准坦克设计!$B$14:$K$20,9)/30))</f>
        <v>26.771639630133123</v>
      </c>
      <c r="AN84" s="173">
        <f ca="1">(VLOOKUP(AN$72,INDIRECT($C$5&amp;"生成成长"),2))/((VLOOKUP($B84,INDIRECT($B$5&amp;"生成成长"),4))/(VLOOKUP(AN$72,INDIRECT($C$5&amp;"生成成长"),5))*(VLOOKUP($B$5,标准坦克设计!$B$24:$U$30,MATCH("对"&amp;LEFT($C$5,2)&amp;"输出",标准坦克设计!$B$23:$U$23,0)))*(VLOOKUP($B84,INDIRECT($B$5&amp;"生成成长"),3))*(VLOOKUP($B$5,标准坦克设计!$B$14:$K$20,9)/30))</f>
        <v>28.90094173591995</v>
      </c>
      <c r="AO84" s="173">
        <f ca="1">(VLOOKUP(AO$72,INDIRECT($C$5&amp;"生成成长"),2))/((VLOOKUP($B84,INDIRECT($B$5&amp;"生成成长"),4))/(VLOOKUP(AO$72,INDIRECT($C$5&amp;"生成成长"),5))*(VLOOKUP($B$5,标准坦克设计!$B$24:$U$30,MATCH("对"&amp;LEFT($C$5,2)&amp;"输出",标准坦克设计!$B$23:$U$23,0)))*(VLOOKUP($B84,INDIRECT($B$5&amp;"生成成长"),3))*(VLOOKUP($B$5,标准坦克设计!$B$14:$K$20,9)/30))</f>
        <v>31.111712791841235</v>
      </c>
      <c r="AP84" s="173">
        <f ca="1">(VLOOKUP(AP$72,INDIRECT($C$5&amp;"生成成长"),2))/((VLOOKUP($B84,INDIRECT($B$5&amp;"生成成长"),4))/(VLOOKUP(AP$72,INDIRECT($C$5&amp;"生成成长"),5))*(VLOOKUP($B$5,标准坦克设计!$B$24:$U$30,MATCH("对"&amp;LEFT($C$5,2)&amp;"输出",标准坦克设计!$B$23:$U$23,0)))*(VLOOKUP($B84,INDIRECT($B$5&amp;"生成成长"),3))*(VLOOKUP($B$5,标准坦克设计!$B$14:$K$20,9)/30))</f>
        <v>33.403952797896963</v>
      </c>
      <c r="AQ84" s="173">
        <f ca="1">(VLOOKUP(AQ$72,INDIRECT($C$5&amp;"生成成长"),2))/((VLOOKUP($B84,INDIRECT($B$5&amp;"生成成长"),4))/(VLOOKUP(AQ$72,INDIRECT($C$5&amp;"生成成长"),5))*(VLOOKUP($B$5,标准坦克设计!$B$24:$U$30,MATCH("对"&amp;LEFT($C$5,2)&amp;"输出",标准坦克设计!$B$23:$U$23,0)))*(VLOOKUP($B84,INDIRECT($B$5&amp;"生成成长"),3))*(VLOOKUP($B$5,标准坦克设计!$B$14:$K$20,9)/30))</f>
        <v>35.777661754087163</v>
      </c>
      <c r="AR84" s="173">
        <f ca="1">(VLOOKUP(AR$72,INDIRECT($C$5&amp;"生成成长"),2))/((VLOOKUP($B84,INDIRECT($B$5&amp;"生成成长"),4))/(VLOOKUP(AR$72,INDIRECT($C$5&amp;"生成成长"),5))*(VLOOKUP($B$5,标准坦克设计!$B$24:$U$30,MATCH("对"&amp;LEFT($C$5,2)&amp;"输出",标准坦克设计!$B$23:$U$23,0)))*(VLOOKUP($B84,INDIRECT($B$5&amp;"生成成长"),3))*(VLOOKUP($B$5,标准坦克设计!$B$14:$K$20,9)/30))</f>
        <v>38.232839660411798</v>
      </c>
      <c r="AS84" s="173">
        <f ca="1">(VLOOKUP(AS$72,INDIRECT($C$5&amp;"生成成长"),2))/((VLOOKUP($B84,INDIRECT($B$5&amp;"生成成长"),4))/(VLOOKUP(AS$72,INDIRECT($C$5&amp;"生成成长"),5))*(VLOOKUP($B$5,标准坦克设计!$B$24:$U$30,MATCH("对"&amp;LEFT($C$5,2)&amp;"输出",标准坦克设计!$B$23:$U$23,0)))*(VLOOKUP($B84,INDIRECT($B$5&amp;"生成成长"),3))*(VLOOKUP($B$5,标准坦克设计!$B$14:$K$20,9)/30))</f>
        <v>40.769486516870899</v>
      </c>
      <c r="AT84" s="173">
        <f ca="1">(VLOOKUP(AT$72,INDIRECT($C$5&amp;"生成成长"),2))/((VLOOKUP($B84,INDIRECT($B$5&amp;"生成成长"),4))/(VLOOKUP(AT$72,INDIRECT($C$5&amp;"生成成长"),5))*(VLOOKUP($B$5,标准坦克设计!$B$24:$U$30,MATCH("对"&amp;LEFT($C$5,2)&amp;"输出",标准坦克设计!$B$23:$U$23,0)))*(VLOOKUP($B84,INDIRECT($B$5&amp;"生成成长"),3))*(VLOOKUP($B$5,标准坦克设计!$B$14:$K$20,9)/30))</f>
        <v>43.387602323464449</v>
      </c>
      <c r="AU84" s="173">
        <f ca="1">(VLOOKUP(AU$72,INDIRECT($C$5&amp;"生成成长"),2))/((VLOOKUP($B84,INDIRECT($B$5&amp;"生成成长"),4))/(VLOOKUP(AU$72,INDIRECT($C$5&amp;"生成成长"),5))*(VLOOKUP($B$5,标准坦克设计!$B$24:$U$30,MATCH("对"&amp;LEFT($C$5,2)&amp;"输出",标准坦克设计!$B$23:$U$23,0)))*(VLOOKUP($B84,INDIRECT($B$5&amp;"生成成长"),3))*(VLOOKUP($B$5,标准坦克设计!$B$14:$K$20,9)/30))</f>
        <v>46.087187080192443</v>
      </c>
      <c r="AV84" s="173">
        <f ca="1">(VLOOKUP(AV$72,INDIRECT($C$5&amp;"生成成长"),2))/((VLOOKUP($B84,INDIRECT($B$5&amp;"生成成长"),4))/(VLOOKUP(AV$72,INDIRECT($C$5&amp;"生成成长"),5))*(VLOOKUP($B$5,标准坦克设计!$B$24:$U$30,MATCH("对"&amp;LEFT($C$5,2)&amp;"输出",标准坦克设计!$B$23:$U$23,0)))*(VLOOKUP($B84,INDIRECT($B$5&amp;"生成成长"),3))*(VLOOKUP($B$5,标准坦克设计!$B$14:$K$20,9)/30))</f>
        <v>4.6874944697195007</v>
      </c>
      <c r="AW84" s="173">
        <f ca="1">(VLOOKUP(AW$72,INDIRECT($C$5&amp;"生成成长"),2))/((VLOOKUP($B84,INDIRECT($B$5&amp;"生成成长"),4))/(VLOOKUP(AW$72,INDIRECT($C$5&amp;"生成成长"),5))*(VLOOKUP($B$5,标准坦克设计!$B$24:$U$30,MATCH("对"&amp;LEFT($C$5,2)&amp;"输出",标准坦克设计!$B$23:$U$23,0)))*(VLOOKUP($B84,INDIRECT($B$5&amp;"生成成长"),3))*(VLOOKUP($B$5,标准坦克设计!$B$14:$K$20,9)/30))</f>
        <v>5.3446324476635159</v>
      </c>
      <c r="AX84" s="173">
        <f ca="1">(VLOOKUP(AX$72,INDIRECT($C$5&amp;"生成成长"),2))/((VLOOKUP($B84,INDIRECT($B$5&amp;"生成成长"),4))/(VLOOKUP(AX$72,INDIRECT($C$5&amp;"生成成长"),5))*(VLOOKUP($B$5,标准坦克设计!$B$24:$U$30,MATCH("对"&amp;LEFT($C$5,2)&amp;"输出",标准坦克设计!$B$23:$U$23,0)))*(VLOOKUP($B84,INDIRECT($B$5&amp;"生成成长"),3))*(VLOOKUP($B$5,标准坦克设计!$B$14:$K$20,9)/30))</f>
        <v>6.0448614405546799</v>
      </c>
      <c r="AY84" s="173">
        <f ca="1">(VLOOKUP(AY$72,INDIRECT($C$5&amp;"生成成长"),2))/((VLOOKUP($B84,INDIRECT($B$5&amp;"生成成长"),4))/(VLOOKUP(AY$72,INDIRECT($C$5&amp;"生成成长"),5))*(VLOOKUP($B$5,标准坦克设计!$B$24:$U$30,MATCH("对"&amp;LEFT($C$5,2)&amp;"输出",标准坦克设计!$B$23:$U$23,0)))*(VLOOKUP($B84,INDIRECT($B$5&amp;"生成成长"),3))*(VLOOKUP($B$5,标准坦克设计!$B$14:$K$20,9)/30))</f>
        <v>6.788181448392991</v>
      </c>
      <c r="AZ84" s="173">
        <f ca="1">(VLOOKUP(AZ$72,INDIRECT($C$5&amp;"生成成长"),2))/((VLOOKUP($B84,INDIRECT($B$5&amp;"生成成长"),4))/(VLOOKUP(AZ$72,INDIRECT($C$5&amp;"生成成长"),5))*(VLOOKUP($B$5,标准坦克设计!$B$24:$U$30,MATCH("对"&amp;LEFT($C$5,2)&amp;"输出",标准坦克设计!$B$23:$U$23,0)))*(VLOOKUP($B84,INDIRECT($B$5&amp;"生成成长"),3))*(VLOOKUP($B$5,标准坦克设计!$B$14:$K$20,9)/30))</f>
        <v>7.5745924711784518</v>
      </c>
      <c r="BA84" s="173">
        <f ca="1">(VLOOKUP(BA$72,INDIRECT($C$5&amp;"生成成长"),2))/((VLOOKUP($B84,INDIRECT($B$5&amp;"生成成长"),4))/(VLOOKUP(BA$72,INDIRECT($C$5&amp;"生成成长"),5))*(VLOOKUP($B$5,标准坦克设计!$B$24:$U$30,MATCH("对"&amp;LEFT($C$5,2)&amp;"输出",标准坦克设计!$B$23:$U$23,0)))*(VLOOKUP($B84,INDIRECT($B$5&amp;"生成成长"),3))*(VLOOKUP($B$5,标准坦克设计!$B$14:$K$20,9)/30))</f>
        <v>8.4040945089110615</v>
      </c>
      <c r="BB84" s="173">
        <f ca="1">(VLOOKUP(BB$72,INDIRECT($C$5&amp;"生成成长"),2))/((VLOOKUP($B84,INDIRECT($B$5&amp;"生成成长"),4))/(VLOOKUP(BB$72,INDIRECT($C$5&amp;"生成成长"),5))*(VLOOKUP($B$5,标准坦克设计!$B$24:$U$30,MATCH("对"&amp;LEFT($C$5,2)&amp;"输出",标准坦克设计!$B$23:$U$23,0)))*(VLOOKUP($B84,INDIRECT($B$5&amp;"生成成长"),3))*(VLOOKUP($B$5,标准坦克设计!$B$14:$K$20,9)/30))</f>
        <v>9.2766875615908191</v>
      </c>
      <c r="BC84" s="173">
        <f ca="1">(VLOOKUP(BC$72,INDIRECT($C$5&amp;"生成成长"),2))/((VLOOKUP($B84,INDIRECT($B$5&amp;"生成成长"),4))/(VLOOKUP(BC$72,INDIRECT($C$5&amp;"生成成长"),5))*(VLOOKUP($B$5,标准坦克设计!$B$24:$U$30,MATCH("对"&amp;LEFT($C$5,2)&amp;"输出",标准坦克设计!$B$23:$U$23,0)))*(VLOOKUP($B84,INDIRECT($B$5&amp;"生成成长"),3))*(VLOOKUP($B$5,标准坦克设计!$B$14:$K$20,9)/30))</f>
        <v>10.192371629217725</v>
      </c>
      <c r="BD84" s="173">
        <f ca="1">(VLOOKUP(BD$72,INDIRECT($C$5&amp;"生成成长"),2))/((VLOOKUP($B84,INDIRECT($B$5&amp;"生成成长"),4))/(VLOOKUP(BD$72,INDIRECT($C$5&amp;"生成成长"),5))*(VLOOKUP($B$5,标准坦克设计!$B$24:$U$30,MATCH("对"&amp;LEFT($C$5,2)&amp;"输出",标准坦克设计!$B$23:$U$23,0)))*(VLOOKUP($B84,INDIRECT($B$5&amp;"生成成长"),3))*(VLOOKUP($B$5,标准坦克设计!$B$14:$K$20,9)/30))</f>
        <v>11.274023434102006</v>
      </c>
      <c r="BE84" s="173">
        <f ca="1">(VLOOKUP(BE$72,INDIRECT($C$5&amp;"生成成长"),2))/((VLOOKUP($B84,INDIRECT($B$5&amp;"生成成长"),4))/(VLOOKUP(BE$72,INDIRECT($C$5&amp;"生成成长"),5))*(VLOOKUP($B$5,标准坦克设计!$B$24:$U$30,MATCH("对"&amp;LEFT($C$5,2)&amp;"输出",标准坦克设计!$B$23:$U$23,0)))*(VLOOKUP($B84,INDIRECT($B$5&amp;"生成成长"),3))*(VLOOKUP($B$5,标准坦克设计!$B$14:$K$20,9)/30))</f>
        <v>12.410212304778776</v>
      </c>
      <c r="BF84" s="173">
        <f ca="1">(VLOOKUP(BF$72,INDIRECT($C$5&amp;"生成成长"),2))/((VLOOKUP($B84,INDIRECT($B$5&amp;"生成成长"),4))/(VLOOKUP(BF$72,INDIRECT($C$5&amp;"生成成长"),5))*(VLOOKUP($B$5,标准坦克设计!$B$24:$U$30,MATCH("对"&amp;LEFT($C$5,2)&amp;"输出",标准坦克设计!$B$23:$U$23,0)))*(VLOOKUP($B84,INDIRECT($B$5&amp;"生成成长"),3))*(VLOOKUP($B$5,标准坦克设计!$B$14:$K$20,9)/30))</f>
        <v>13.600938241248031</v>
      </c>
      <c r="BG84" s="173">
        <f ca="1">(VLOOKUP(BG$72,INDIRECT($C$5&amp;"生成成长"),2))/((VLOOKUP($B84,INDIRECT($B$5&amp;"生成成长"),4))/(VLOOKUP(BG$72,INDIRECT($C$5&amp;"生成成长"),5))*(VLOOKUP($B$5,标准坦克设计!$B$24:$U$30,MATCH("对"&amp;LEFT($C$5,2)&amp;"输出",标准坦克设计!$B$23:$U$23,0)))*(VLOOKUP($B84,INDIRECT($B$5&amp;"生成成长"),3))*(VLOOKUP($B$5,标准坦克设计!$B$14:$K$20,9)/30))</f>
        <v>14.846201243509764</v>
      </c>
      <c r="BH84" s="173">
        <f ca="1">(VLOOKUP(BH$72,INDIRECT($C$5&amp;"生成成长"),2))/((VLOOKUP($B84,INDIRECT($B$5&amp;"生成成长"),4))/(VLOOKUP(BH$72,INDIRECT($C$5&amp;"生成成长"),5))*(VLOOKUP($B$5,标准坦克设计!$B$24:$U$30,MATCH("对"&amp;LEFT($C$5,2)&amp;"输出",标准坦克设计!$B$23:$U$23,0)))*(VLOOKUP($B84,INDIRECT($B$5&amp;"生成成长"),3))*(VLOOKUP($B$5,标准坦克设计!$B$14:$K$20,9)/30))</f>
        <v>7.1760005829173279</v>
      </c>
      <c r="BI84" s="173">
        <f ca="1">(VLOOKUP(BI$72,INDIRECT($C$5&amp;"生成成长"),2))/((VLOOKUP($B84,INDIRECT($B$5&amp;"生成成长"),4))/(VLOOKUP(BI$72,INDIRECT($C$5&amp;"生成成长"),5))*(VLOOKUP($B$5,标准坦克设计!$B$24:$U$30,MATCH("对"&amp;LEFT($C$5,2)&amp;"输出",标准坦克设计!$B$23:$U$23,0)))*(VLOOKUP($B84,INDIRECT($B$5&amp;"生成成长"),3))*(VLOOKUP($B$5,标准坦克设计!$B$14:$K$20,9)/30))</f>
        <v>8.0879815164472131</v>
      </c>
      <c r="BJ84" s="173">
        <f ca="1">(VLOOKUP(BJ$72,INDIRECT($C$5&amp;"生成成长"),2))/((VLOOKUP($B84,INDIRECT($B$5&amp;"生成成长"),4))/(VLOOKUP(BJ$72,INDIRECT($C$5&amp;"生成成长"),5))*(VLOOKUP($B$5,标准坦克设计!$B$24:$U$30,MATCH("对"&amp;LEFT($C$5,2)&amp;"输出",标准坦克设计!$B$23:$U$23,0)))*(VLOOKUP($B84,INDIRECT($B$5&amp;"生成成长"),3))*(VLOOKUP($B$5,标准坦克设计!$B$14:$K$20,9)/30))</f>
        <v>9.0544995157695833</v>
      </c>
      <c r="BK84" s="173">
        <f ca="1">(VLOOKUP(BK$72,INDIRECT($C$5&amp;"生成成长"),2))/((VLOOKUP($B84,INDIRECT($B$5&amp;"生成成长"),4))/(VLOOKUP(BK$72,INDIRECT($C$5&amp;"生成成长"),5))*(VLOOKUP($B$5,标准坦克设计!$B$24:$U$30,MATCH("对"&amp;LEFT($C$5,2)&amp;"输出",标准坦克设计!$B$23:$U$23,0)))*(VLOOKUP($B84,INDIRECT($B$5&amp;"生成成长"),3))*(VLOOKUP($B$5,标准坦克设计!$B$14:$K$20,9)/30))</f>
        <v>10.07555458088444</v>
      </c>
      <c r="BL84" s="173">
        <f ca="1">(VLOOKUP(BL$72,INDIRECT($C$5&amp;"生成成长"),2))/((VLOOKUP($B84,INDIRECT($B$5&amp;"生成成长"),4))/(VLOOKUP(BL$72,INDIRECT($C$5&amp;"生成成长"),5))*(VLOOKUP($B$5,标准坦克设计!$B$24:$U$30,MATCH("对"&amp;LEFT($C$5,2)&amp;"输出",标准坦克设计!$B$23:$U$23,0)))*(VLOOKUP($B84,INDIRECT($B$5&amp;"生成成长"),3))*(VLOOKUP($B$5,标准坦克设计!$B$14:$K$20,9)/30))</f>
        <v>11.151146711791778</v>
      </c>
      <c r="BM84" s="173">
        <f ca="1">(VLOOKUP(BM$72,INDIRECT($C$5&amp;"生成成长"),2))/((VLOOKUP($B84,INDIRECT($B$5&amp;"生成成长"),4))/(VLOOKUP(BM$72,INDIRECT($C$5&amp;"生成成长"),5))*(VLOOKUP($B$5,标准坦克设计!$B$24:$U$30,MATCH("对"&amp;LEFT($C$5,2)&amp;"输出",标准坦克设计!$B$23:$U$23,0)))*(VLOOKUP($B84,INDIRECT($B$5&amp;"生成成长"),3))*(VLOOKUP($B$5,标准坦克设计!$B$14:$K$20,9)/30))</f>
        <v>12.281275908491603</v>
      </c>
      <c r="BN84" s="173">
        <f ca="1">(VLOOKUP(BN$72,INDIRECT($C$5&amp;"生成成长"),2))/((VLOOKUP($B84,INDIRECT($B$5&amp;"生成成长"),4))/(VLOOKUP(BN$72,INDIRECT($C$5&amp;"生成成长"),5))*(VLOOKUP($B$5,标准坦克设计!$B$24:$U$30,MATCH("对"&amp;LEFT($C$5,2)&amp;"输出",标准坦克设计!$B$23:$U$23,0)))*(VLOOKUP($B84,INDIRECT($B$5&amp;"生成成长"),3))*(VLOOKUP($B$5,标准坦克设计!$B$14:$K$20,9)/30))</f>
        <v>13.465942170983915</v>
      </c>
      <c r="BO84" s="173">
        <f ca="1">(VLOOKUP(BO$72,INDIRECT($C$5&amp;"生成成长"),2))/((VLOOKUP($B84,INDIRECT($B$5&amp;"生成成长"),4))/(VLOOKUP(BO$72,INDIRECT($C$5&amp;"生成成长"),5))*(VLOOKUP($B$5,标准坦克设计!$B$24:$U$30,MATCH("对"&amp;LEFT($C$5,2)&amp;"输出",标准坦克设计!$B$23:$U$23,0)))*(VLOOKUP($B84,INDIRECT($B$5&amp;"生成成长"),3))*(VLOOKUP($B$5,标准坦克设计!$B$14:$K$20,9)/30))</f>
        <v>14.705145499268708</v>
      </c>
      <c r="BP84" s="173">
        <f ca="1">(VLOOKUP(BP$72,INDIRECT($C$5&amp;"生成成长"),2))/((VLOOKUP($B84,INDIRECT($B$5&amp;"生成成长"),4))/(VLOOKUP(BP$72,INDIRECT($C$5&amp;"生成成长"),5))*(VLOOKUP($B$5,标准坦克设计!$B$24:$U$30,MATCH("对"&amp;LEFT($C$5,2)&amp;"输出",标准坦克设计!$B$23:$U$23,0)))*(VLOOKUP($B84,INDIRECT($B$5&amp;"生成成长"),3))*(VLOOKUP($B$5,标准坦克设计!$B$14:$K$20,9)/30))</f>
        <v>15.998885893345985</v>
      </c>
      <c r="BQ84" s="173">
        <f ca="1">(VLOOKUP(BQ$72,INDIRECT($C$5&amp;"生成成长"),2))/((VLOOKUP($B84,INDIRECT($B$5&amp;"生成成长"),4))/(VLOOKUP(BQ$72,INDIRECT($C$5&amp;"生成成长"),5))*(VLOOKUP($B$5,标准坦克设计!$B$24:$U$30,MATCH("对"&amp;LEFT($C$5,2)&amp;"输出",标准坦克设计!$B$23:$U$23,0)))*(VLOOKUP($B84,INDIRECT($B$5&amp;"生成成长"),3))*(VLOOKUP($B$5,标准坦克设计!$B$14:$K$20,9)/30))</f>
        <v>17.347163353215755</v>
      </c>
      <c r="BR84" s="173">
        <f ca="1">(VLOOKUP(BR$72,INDIRECT($C$5&amp;"生成成长"),2))/((VLOOKUP($B84,INDIRECT($B$5&amp;"生成成长"),4))/(VLOOKUP(BR$72,INDIRECT($C$5&amp;"生成成长"),5))*(VLOOKUP($B$5,标准坦克设计!$B$24:$U$30,MATCH("对"&amp;LEFT($C$5,2)&amp;"输出",标准坦克设计!$B$23:$U$23,0)))*(VLOOKUP($B84,INDIRECT($B$5&amp;"生成成长"),3))*(VLOOKUP($B$5,标准坦克设计!$B$14:$K$20,9)/30))</f>
        <v>18.909212645049884</v>
      </c>
      <c r="BS84" s="173">
        <f ca="1">(VLOOKUP(BS$72,INDIRECT($C$5&amp;"生成成长"),2))/((VLOOKUP($B84,INDIRECT($B$5&amp;"生成成长"),4))/(VLOOKUP(BS$72,INDIRECT($C$5&amp;"生成成长"),5))*(VLOOKUP($B$5,标准坦克设计!$B$24:$U$30,MATCH("对"&amp;LEFT($C$5,2)&amp;"输出",标准坦克设计!$B$23:$U$23,0)))*(VLOOKUP($B84,INDIRECT($B$5&amp;"生成成长"),3))*(VLOOKUP($B$5,标准坦克设计!$B$14:$K$20,9)/30))</f>
        <v>20.538591647738937</v>
      </c>
      <c r="BT84" s="173">
        <f ca="1">(VLOOKUP(BT$72,INDIRECT($C$5&amp;"生成成长"),2))/((VLOOKUP($B84,INDIRECT($B$5&amp;"生成成长"),4))/(VLOOKUP(BT$72,INDIRECT($C$5&amp;"生成成长"),5))*(VLOOKUP($B$5,标准坦克设计!$B$24:$U$30,MATCH("对"&amp;LEFT($C$5,2)&amp;"输出",标准坦克设计!$B$23:$U$23,0)))*(VLOOKUP($B84,INDIRECT($B$5&amp;"生成成长"),3))*(VLOOKUP($B$5,标准坦克设计!$B$14:$K$20,9)/30))</f>
        <v>22.235300361282913</v>
      </c>
      <c r="BU84" s="173">
        <f ca="1">(VLOOKUP(BU$72,INDIRECT($C$5&amp;"生成成长"),2))/((VLOOKUP($B84,INDIRECT($B$5&amp;"生成成长"),4))/(VLOOKUP(BU$72,INDIRECT($C$5&amp;"生成成长"),5))*(VLOOKUP($B$5,标准坦克设计!$B$24:$U$30,MATCH("对"&amp;LEFT($C$5,2)&amp;"输出",标准坦克设计!$B$23:$U$23,0)))*(VLOOKUP($B84,INDIRECT($B$5&amp;"生成成长"),3))*(VLOOKUP($B$5,标准坦克设计!$B$14:$K$20,9)/30))</f>
        <v>23.999338785681807</v>
      </c>
      <c r="BV84" s="173">
        <f ca="1">(VLOOKUP(BV$72,INDIRECT($C$5&amp;"生成成长"),2))/((VLOOKUP($B84,INDIRECT($B$5&amp;"生成成长"),4))/(VLOOKUP(BV$72,INDIRECT($C$5&amp;"生成成长"),5))*(VLOOKUP($B$5,标准坦克设计!$B$24:$U$30,MATCH("对"&amp;LEFT($C$5,2)&amp;"输出",标准坦克设计!$B$23:$U$23,0)))*(VLOOKUP($B84,INDIRECT($B$5&amp;"生成成长"),3))*(VLOOKUP($B$5,标准坦克设计!$B$14:$K$20,9)/30))</f>
        <v>25.830706920935615</v>
      </c>
      <c r="BW84" s="173">
        <f ca="1">(VLOOKUP(BW$72,INDIRECT($C$5&amp;"生成成长"),2))/((VLOOKUP($B84,INDIRECT($B$5&amp;"生成成长"),4))/(VLOOKUP(BW$72,INDIRECT($C$5&amp;"生成成长"),5))*(VLOOKUP($B$5,标准坦克设计!$B$24:$U$30,MATCH("对"&amp;LEFT($C$5,2)&amp;"输出",标准坦克设计!$B$23:$U$23,0)))*(VLOOKUP($B84,INDIRECT($B$5&amp;"生成成长"),3))*(VLOOKUP($B$5,标准坦克设计!$B$14:$K$20,9)/30))</f>
        <v>11.772263294428411</v>
      </c>
      <c r="BX84" s="173">
        <f ca="1">(VLOOKUP(BX$72,INDIRECT($C$5&amp;"生成成长"),2))/((VLOOKUP($B84,INDIRECT($B$5&amp;"生成成长"),4))/(VLOOKUP(BX$72,INDIRECT($C$5&amp;"生成成长"),5))*(VLOOKUP($B$5,标准坦克设计!$B$24:$U$30,MATCH("对"&amp;LEFT($C$5,2)&amp;"输出",标准坦克设计!$B$23:$U$23,0)))*(VLOOKUP($B84,INDIRECT($B$5&amp;"生成成长"),3))*(VLOOKUP($B$5,标准坦克设计!$B$14:$K$20,9)/30))</f>
        <v>13.064993742842868</v>
      </c>
      <c r="BY84" s="173">
        <f ca="1">(VLOOKUP(BY$72,INDIRECT($C$5&amp;"生成成长"),2))/((VLOOKUP($B84,INDIRECT($B$5&amp;"生成成长"),4))/(VLOOKUP(BY$72,INDIRECT($C$5&amp;"生成成长"),5))*(VLOOKUP($B$5,标准坦克设计!$B$24:$U$30,MATCH("对"&amp;LEFT($C$5,2)&amp;"输出",标准坦克设计!$B$23:$U$23,0)))*(VLOOKUP($B84,INDIRECT($B$5&amp;"生成成长"),3))*(VLOOKUP($B$5,标准坦克设计!$B$14:$K$20,9)/30))</f>
        <v>14.425053902112243</v>
      </c>
      <c r="BZ84" s="173">
        <f ca="1">(VLOOKUP(BZ$72,INDIRECT($C$5&amp;"生成成长"),2))/((VLOOKUP($B84,INDIRECT($B$5&amp;"生成成长"),4))/(VLOOKUP(BZ$72,INDIRECT($C$5&amp;"生成成长"),5))*(VLOOKUP($B$5,标准坦克设计!$B$24:$U$30,MATCH("对"&amp;LEFT($C$5,2)&amp;"输出",标准坦克设计!$B$23:$U$23,0)))*(VLOOKUP($B84,INDIRECT($B$5&amp;"生成成长"),3))*(VLOOKUP($B$5,标准坦克设计!$B$14:$K$20,9)/30))</f>
        <v>15.852443772236539</v>
      </c>
      <c r="CA84" s="173">
        <f ca="1">(VLOOKUP(CA$72,INDIRECT($C$5&amp;"生成成长"),2))/((VLOOKUP($B84,INDIRECT($B$5&amp;"生成成长"),4))/(VLOOKUP(CA$72,INDIRECT($C$5&amp;"生成成长"),5))*(VLOOKUP($B$5,标准坦克设计!$B$24:$U$30,MATCH("对"&amp;LEFT($C$5,2)&amp;"输出",标准坦克设计!$B$23:$U$23,0)))*(VLOOKUP($B84,INDIRECT($B$5&amp;"生成成长"),3))*(VLOOKUP($B$5,标准坦克设计!$B$14:$K$20,9)/30))</f>
        <v>17.347163353215755</v>
      </c>
      <c r="CB84" s="173">
        <f ca="1">(VLOOKUP(CB$72,INDIRECT($C$5&amp;"生成成长"),2))/((VLOOKUP($B84,INDIRECT($B$5&amp;"生成成长"),4))/(VLOOKUP(CB$72,INDIRECT($C$5&amp;"生成成长"),5))*(VLOOKUP($B$5,标准坦克设计!$B$24:$U$30,MATCH("对"&amp;LEFT($C$5,2)&amp;"输出",标准坦克设计!$B$23:$U$23,0)))*(VLOOKUP($B84,INDIRECT($B$5&amp;"生成成长"),3))*(VLOOKUP($B$5,标准坦克设计!$B$14:$K$20,9)/30))</f>
        <v>18.909212645049884</v>
      </c>
      <c r="CC84" s="173">
        <f ca="1">(VLOOKUP(CC$72,INDIRECT($C$5&amp;"生成成长"),2))/((VLOOKUP($B84,INDIRECT($B$5&amp;"生成成长"),4))/(VLOOKUP(CC$72,INDIRECT($C$5&amp;"生成成长"),5))*(VLOOKUP($B$5,标准坦克设计!$B$24:$U$30,MATCH("对"&amp;LEFT($C$5,2)&amp;"输出",标准坦克设计!$B$23:$U$23,0)))*(VLOOKUP($B84,INDIRECT($B$5&amp;"生成成长"),3))*(VLOOKUP($B$5,标准坦克设计!$B$14:$K$20,9)/30))</f>
        <v>20.538591647738937</v>
      </c>
      <c r="CD84" s="173">
        <f ca="1">(VLOOKUP(CD$72,INDIRECT($C$5&amp;"生成成长"),2))/((VLOOKUP($B84,INDIRECT($B$5&amp;"生成成长"),4))/(VLOOKUP(CD$72,INDIRECT($C$5&amp;"生成成长"),5))*(VLOOKUP($B$5,标准坦克设计!$B$24:$U$30,MATCH("对"&amp;LEFT($C$5,2)&amp;"输出",标准坦克设计!$B$23:$U$23,0)))*(VLOOKUP($B84,INDIRECT($B$5&amp;"生成成长"),3))*(VLOOKUP($B$5,标准坦克设计!$B$14:$K$20,9)/30))</f>
        <v>22.235300361282913</v>
      </c>
      <c r="CE84" s="173">
        <f ca="1">(VLOOKUP(CE$72,INDIRECT($C$5&amp;"生成成长"),2))/((VLOOKUP($B84,INDIRECT($B$5&amp;"生成成长"),4))/(VLOOKUP(CE$72,INDIRECT($C$5&amp;"生成成长"),5))*(VLOOKUP($B$5,标准坦克设计!$B$24:$U$30,MATCH("对"&amp;LEFT($C$5,2)&amp;"输出",标准坦克设计!$B$23:$U$23,0)))*(VLOOKUP($B84,INDIRECT($B$5&amp;"生成成长"),3))*(VLOOKUP($B$5,标准坦克设计!$B$14:$K$20,9)/30))</f>
        <v>23.999338785681807</v>
      </c>
      <c r="CF84" s="173">
        <f ca="1">(VLOOKUP(CF$72,INDIRECT($C$5&amp;"生成成长"),2))/((VLOOKUP($B84,INDIRECT($B$5&amp;"生成成长"),4))/(VLOOKUP(CF$72,INDIRECT($C$5&amp;"生成成长"),5))*(VLOOKUP($B$5,标准坦克设计!$B$24:$U$30,MATCH("对"&amp;LEFT($C$5,2)&amp;"输出",标准坦克设计!$B$23:$U$23,0)))*(VLOOKUP($B84,INDIRECT($B$5&amp;"生成成长"),3))*(VLOOKUP($B$5,标准坦克设计!$B$14:$K$20,9)/30))</f>
        <v>25.830706920935615</v>
      </c>
      <c r="CG84" s="173">
        <f ca="1">(VLOOKUP(CG$72,INDIRECT($C$5&amp;"生成成长"),2))/((VLOOKUP($B84,INDIRECT($B$5&amp;"生成成长"),4))/(VLOOKUP(CG$72,INDIRECT($C$5&amp;"生成成长"),5))*(VLOOKUP($B$5,标准坦克设计!$B$24:$U$30,MATCH("对"&amp;LEFT($C$5,2)&amp;"输出",标准坦克设计!$B$23:$U$23,0)))*(VLOOKUP($B84,INDIRECT($B$5&amp;"生成成长"),3))*(VLOOKUP($B$5,标准坦克设计!$B$14:$K$20,9)/30))</f>
        <v>27.729404767044354</v>
      </c>
      <c r="CH84" s="173">
        <f ca="1">(VLOOKUP(CH$72,INDIRECT($C$5&amp;"生成成长"),2))/((VLOOKUP($B84,INDIRECT($B$5&amp;"生成成长"),4))/(VLOOKUP(CH$72,INDIRECT($C$5&amp;"生成成长"),5))*(VLOOKUP($B$5,标准坦克设计!$B$24:$U$30,MATCH("对"&amp;LEFT($C$5,2)&amp;"输出",标准坦克设计!$B$23:$U$23,0)))*(VLOOKUP($B84,INDIRECT($B$5&amp;"生成成长"),3))*(VLOOKUP($B$5,标准坦克设计!$B$14:$K$20,9)/30))</f>
        <v>29.695432324007999</v>
      </c>
      <c r="CI84" s="173">
        <f ca="1">(VLOOKUP(CI$72,INDIRECT($C$5&amp;"生成成长"),2))/((VLOOKUP($B84,INDIRECT($B$5&amp;"生成成长"),4))/(VLOOKUP(CI$72,INDIRECT($C$5&amp;"生成成长"),5))*(VLOOKUP($B$5,标准坦克设计!$B$24:$U$30,MATCH("对"&amp;LEFT($C$5,2)&amp;"输出",标准坦克设计!$B$23:$U$23,0)))*(VLOOKUP($B84,INDIRECT($B$5&amp;"生成成长"),3))*(VLOOKUP($B$5,标准坦克设计!$B$14:$K$20,9)/30))</f>
        <v>31.935828452705451</v>
      </c>
      <c r="CJ84" s="173">
        <f ca="1">(VLOOKUP(CJ$72,INDIRECT($C$5&amp;"生成成长"),2))/((VLOOKUP($B84,INDIRECT($B$5&amp;"生成成长"),4))/(VLOOKUP(CJ$72,INDIRECT($C$5&amp;"生成成长"),5))*(VLOOKUP($B$5,标准坦克设计!$B$24:$U$30,MATCH("对"&amp;LEFT($C$5,2)&amp;"输出",标准坦克设计!$B$23:$U$23,0)))*(VLOOKUP($B84,INDIRECT($B$5&amp;"生成成长"),3))*(VLOOKUP($B$5,标准坦克设计!$B$14:$K$20,9)/30))</f>
        <v>34.257693531537349</v>
      </c>
      <c r="CK84" s="173">
        <f ca="1">(VLOOKUP(CK$72,INDIRECT($C$5&amp;"生成成长"),2))/((VLOOKUP($B84,INDIRECT($B$5&amp;"生成成长"),4))/(VLOOKUP(CK$72,INDIRECT($C$5&amp;"生成成长"),5))*(VLOOKUP($B$5,标准坦克设计!$B$24:$U$30,MATCH("对"&amp;LEFT($C$5,2)&amp;"输出",标准坦克设计!$B$23:$U$23,0)))*(VLOOKUP($B84,INDIRECT($B$5&amp;"生成成长"),3))*(VLOOKUP($B$5,标准坦克设计!$B$14:$K$20,9)/30))</f>
        <v>36.661027560503705</v>
      </c>
      <c r="CL84" s="173">
        <f ca="1">(VLOOKUP(CL$72,INDIRECT($C$5&amp;"生成成长"),2))/((VLOOKUP($B84,INDIRECT($B$5&amp;"生成成长"),4))/(VLOOKUP(CL$72,INDIRECT($C$5&amp;"生成成长"),5))*(VLOOKUP($B$5,标准坦克设计!$B$24:$U$30,MATCH("对"&amp;LEFT($C$5,2)&amp;"输出",标准坦克设计!$B$23:$U$23,0)))*(VLOOKUP($B84,INDIRECT($B$5&amp;"生成成长"),3))*(VLOOKUP($B$5,标准坦克设计!$B$14:$K$20,9)/30))</f>
        <v>39.145830539604511</v>
      </c>
      <c r="CM84" s="173">
        <f ca="1">(VLOOKUP(CM$72,INDIRECT($C$5&amp;"生成成长"),2))/((VLOOKUP($B84,INDIRECT($B$5&amp;"生成成长"),4))/(VLOOKUP(CM$72,INDIRECT($C$5&amp;"生成成长"),5))*(VLOOKUP($B$5,标准坦克设计!$B$24:$U$30,MATCH("对"&amp;LEFT($C$5,2)&amp;"输出",标准坦克设计!$B$23:$U$23,0)))*(VLOOKUP($B84,INDIRECT($B$5&amp;"生成成长"),3))*(VLOOKUP($B$5,标准坦克设计!$B$14:$K$20,9)/30))</f>
        <v>41.712102468839767</v>
      </c>
      <c r="CN84" s="173">
        <f ca="1">(VLOOKUP(CN$72,INDIRECT($C$5&amp;"生成成长"),2))/((VLOOKUP($B84,INDIRECT($B$5&amp;"生成成长"),4))/(VLOOKUP(CN$72,INDIRECT($C$5&amp;"生成成长"),5))*(VLOOKUP($B$5,标准坦克设计!$B$24:$U$30,MATCH("对"&amp;LEFT($C$5,2)&amp;"输出",标准坦克设计!$B$23:$U$23,0)))*(VLOOKUP($B84,INDIRECT($B$5&amp;"生成成长"),3))*(VLOOKUP($B$5,标准坦克设计!$B$14:$K$20,9)/30))</f>
        <v>44.359843348209495</v>
      </c>
      <c r="CO84" s="173">
        <f ca="1">(VLOOKUP(CO$72,INDIRECT($C$5&amp;"生成成长"),2))/((VLOOKUP($B84,INDIRECT($B$5&amp;"生成成长"),4))/(VLOOKUP(CO$72,INDIRECT($C$5&amp;"生成成长"),5))*(VLOOKUP($B$5,标准坦克设计!$B$24:$U$30,MATCH("对"&amp;LEFT($C$5,2)&amp;"输出",标准坦克设计!$B$23:$U$23,0)))*(VLOOKUP($B84,INDIRECT($B$5&amp;"生成成长"),3))*(VLOOKUP($B$5,标准坦克设计!$B$14:$K$20,9)/30))</f>
        <v>19.878760481360725</v>
      </c>
      <c r="CP84" s="173">
        <f ca="1">(VLOOKUP(CP$72,INDIRECT($C$5&amp;"生成成长"),2))/((VLOOKUP($B84,INDIRECT($B$5&amp;"生成成长"),4))/(VLOOKUP(CP$72,INDIRECT($C$5&amp;"生成成长"),5))*(VLOOKUP($B$5,标准坦克设计!$B$24:$U$30,MATCH("对"&amp;LEFT($C$5,2)&amp;"输出",标准坦克设计!$B$23:$U$23,0)))*(VLOOKUP($B84,INDIRECT($B$5&amp;"生成成长"),3))*(VLOOKUP($B$5,标准坦克设计!$B$14:$K$20,9)/30))</f>
        <v>21.719218127579957</v>
      </c>
      <c r="CQ84" s="173">
        <f ca="1">(VLOOKUP(CQ$72,INDIRECT($C$5&amp;"生成成长"),2))/((VLOOKUP($B84,INDIRECT($B$5&amp;"生成成长"),4))/(VLOOKUP(CQ$72,INDIRECT($C$5&amp;"生成成长"),5))*(VLOOKUP($B$5,标准坦克设计!$B$24:$U$30,MATCH("对"&amp;LEFT($C$5,2)&amp;"输出",标准坦克设计!$B$23:$U$23,0)))*(VLOOKUP($B84,INDIRECT($B$5&amp;"生成成长"),3))*(VLOOKUP($B$5,标准坦克设计!$B$14:$K$20,9)/30))</f>
        <v>23.641144723933635</v>
      </c>
      <c r="CR84" s="173">
        <f ca="1">(VLOOKUP(CR$72,INDIRECT($C$5&amp;"生成成长"),2))/((VLOOKUP($B84,INDIRECT($B$5&amp;"生成成长"),4))/(VLOOKUP(CR$72,INDIRECT($C$5&amp;"生成成长"),5))*(VLOOKUP($B$5,标准坦克设计!$B$24:$U$30,MATCH("对"&amp;LEFT($C$5,2)&amp;"输出",标准坦克设计!$B$23:$U$23,0)))*(VLOOKUP($B84,INDIRECT($B$5&amp;"生成成长"),3))*(VLOOKUP($B$5,标准坦克设计!$B$14:$K$20,9)/30))</f>
        <v>25.644540270421768</v>
      </c>
      <c r="CS84" s="173">
        <f ca="1">(VLOOKUP(CS$72,INDIRECT($C$5&amp;"生成成长"),2))/((VLOOKUP($B84,INDIRECT($B$5&amp;"生成成长"),4))/(VLOOKUP(CS$72,INDIRECT($C$5&amp;"生成成长"),5))*(VLOOKUP($B$5,标准坦克设计!$B$24:$U$30,MATCH("对"&amp;LEFT($C$5,2)&amp;"输出",标准坦克设计!$B$23:$U$23,0)))*(VLOOKUP($B84,INDIRECT($B$5&amp;"生成成长"),3))*(VLOOKUP($B$5,标准坦克设计!$B$14:$K$20,9)/30))</f>
        <v>27.729404767044354</v>
      </c>
      <c r="CT84" s="173">
        <f ca="1">(VLOOKUP(CT$72,INDIRECT($C$5&amp;"生成成长"),2))/((VLOOKUP($B84,INDIRECT($B$5&amp;"生成成长"),4))/(VLOOKUP(CT$72,INDIRECT($C$5&amp;"生成成长"),5))*(VLOOKUP($B$5,标准坦克设计!$B$24:$U$30,MATCH("对"&amp;LEFT($C$5,2)&amp;"输出",标准坦克设计!$B$23:$U$23,0)))*(VLOOKUP($B84,INDIRECT($B$5&amp;"生成成长"),3))*(VLOOKUP($B$5,标准坦克设计!$B$14:$K$20,9)/30))</f>
        <v>29.895738213801387</v>
      </c>
      <c r="CU84" s="173">
        <f ca="1">(VLOOKUP(CU$72,INDIRECT($C$5&amp;"生成成长"),2))/((VLOOKUP($B84,INDIRECT($B$5&amp;"生成成长"),4))/(VLOOKUP(CU$72,INDIRECT($C$5&amp;"生成成长"),5))*(VLOOKUP($B$5,标准坦克设计!$B$24:$U$30,MATCH("对"&amp;LEFT($C$5,2)&amp;"输出",标准坦克设计!$B$23:$U$23,0)))*(VLOOKUP($B84,INDIRECT($B$5&amp;"生成成长"),3))*(VLOOKUP($B$5,标准坦克设计!$B$14:$K$20,9)/30))</f>
        <v>32.143540610692881</v>
      </c>
      <c r="CV84" s="173">
        <f ca="1">(VLOOKUP(CV$72,INDIRECT($C$5&amp;"生成成长"),2))/((VLOOKUP($B84,INDIRECT($B$5&amp;"生成成长"),4))/(VLOOKUP(CV$72,INDIRECT($C$5&amp;"生成成长"),5))*(VLOOKUP($B$5,标准坦克设计!$B$24:$U$30,MATCH("对"&amp;LEFT($C$5,2)&amp;"输出",标准坦克设计!$B$23:$U$23,0)))*(VLOOKUP($B84,INDIRECT($B$5&amp;"生成成长"),3))*(VLOOKUP($B$5,标准坦克设计!$B$14:$K$20,9)/30))</f>
        <v>34.472811957718818</v>
      </c>
      <c r="CW84" s="173">
        <f ca="1">(VLOOKUP(CW$72,INDIRECT($C$5&amp;"生成成长"),2))/((VLOOKUP($B84,INDIRECT($B$5&amp;"生成成长"),4))/(VLOOKUP(CW$72,INDIRECT($C$5&amp;"生成成长"),5))*(VLOOKUP($B$5,标准坦克设计!$B$24:$U$30,MATCH("对"&amp;LEFT($C$5,2)&amp;"输出",标准坦克设计!$B$23:$U$23,0)))*(VLOOKUP($B84,INDIRECT($B$5&amp;"生成成长"),3))*(VLOOKUP($B$5,标准坦克设计!$B$14:$K$20,9)/30))</f>
        <v>36.883552254879213</v>
      </c>
      <c r="CX84" s="173">
        <f ca="1">(VLOOKUP(CX$72,INDIRECT($C$5&amp;"生成成长"),2))/((VLOOKUP($B84,INDIRECT($B$5&amp;"生成成长"),4))/(VLOOKUP(CX$72,INDIRECT($C$5&amp;"生成成长"),5))*(VLOOKUP($B$5,标准坦克设计!$B$24:$U$30,MATCH("对"&amp;LEFT($C$5,2)&amp;"输出",标准坦克设计!$B$23:$U$23,0)))*(VLOOKUP($B84,INDIRECT($B$5&amp;"生成成长"),3))*(VLOOKUP($B$5,标准坦克设计!$B$14:$K$20,9)/30))</f>
        <v>39.375761502174065</v>
      </c>
      <c r="CY84" s="173">
        <f ca="1">(VLOOKUP(CY$72,INDIRECT($C$5&amp;"生成成长"),2))/((VLOOKUP($B84,INDIRECT($B$5&amp;"生成成长"),4))/(VLOOKUP(CY$72,INDIRECT($C$5&amp;"生成成长"),5))*(VLOOKUP($B$5,标准坦克设计!$B$24:$U$30,MATCH("对"&amp;LEFT($C$5,2)&amp;"输出",标准坦克设计!$B$23:$U$23,0)))*(VLOOKUP($B84,INDIRECT($B$5&amp;"生成成长"),3))*(VLOOKUP($B$5,标准坦克设计!$B$14:$K$20,9)/30))</f>
        <v>41.94943969960336</v>
      </c>
      <c r="CZ84" s="173">
        <f ca="1">(VLOOKUP(CZ$72,INDIRECT($C$5&amp;"生成成长"),2))/((VLOOKUP($B84,INDIRECT($B$5&amp;"生成成长"),4))/(VLOOKUP(CZ$72,INDIRECT($C$5&amp;"生成成长"),5))*(VLOOKUP($B$5,标准坦克设计!$B$24:$U$30,MATCH("对"&amp;LEFT($C$5,2)&amp;"输出",标准坦克设计!$B$23:$U$23,0)))*(VLOOKUP($B84,INDIRECT($B$5&amp;"生成成长"),3))*(VLOOKUP($B$5,标准坦克设计!$B$14:$K$20,9)/30))</f>
        <v>44.604586847167113</v>
      </c>
      <c r="DA84" s="173">
        <f ca="1">(VLOOKUP(DA$72,INDIRECT($C$5&amp;"生成成长"),2))/((VLOOKUP($B84,INDIRECT($B$5&amp;"生成成长"),4))/(VLOOKUP(DA$72,INDIRECT($C$5&amp;"生成成长"),5))*(VLOOKUP($B$5,标准坦克设计!$B$24:$U$30,MATCH("对"&amp;LEFT($C$5,2)&amp;"输出",标准坦克设计!$B$23:$U$23,0)))*(VLOOKUP($B84,INDIRECT($B$5&amp;"生成成长"),3))*(VLOOKUP($B$5,标准坦克设计!$B$14:$K$20,9)/30))</f>
        <v>47.341202944865316</v>
      </c>
      <c r="DB84" s="173">
        <f ca="1">(VLOOKUP(DB$72,INDIRECT($C$5&amp;"生成成长"),2))/((VLOOKUP($B84,INDIRECT($B$5&amp;"生成成长"),4))/(VLOOKUP(DB$72,INDIRECT($C$5&amp;"生成成长"),5))*(VLOOKUP($B$5,标准坦克设计!$B$24:$U$30,MATCH("对"&amp;LEFT($C$5,2)&amp;"输出",标准坦克设计!$B$23:$U$23,0)))*(VLOOKUP($B84,INDIRECT($B$5&amp;"生成成长"),3))*(VLOOKUP($B$5,标准坦克设计!$B$14:$K$20,9)/30))</f>
        <v>50.159287992697976</v>
      </c>
      <c r="DC84" s="173">
        <f ca="1">(VLOOKUP(DC$72,INDIRECT($C$5&amp;"生成成长"),2))/((VLOOKUP($B84,INDIRECT($B$5&amp;"生成成长"),4))/(VLOOKUP(DC$72,INDIRECT($C$5&amp;"生成成长"),5))*(VLOOKUP($B$5,标准坦克设计!$B$24:$U$30,MATCH("对"&amp;LEFT($C$5,2)&amp;"输出",标准坦克设计!$B$23:$U$23,0)))*(VLOOKUP($B84,INDIRECT($B$5&amp;"生成成长"),3))*(VLOOKUP($B$5,标准坦克设计!$B$14:$K$20,9)/30))</f>
        <v>53.326477591313392</v>
      </c>
      <c r="DD84" s="173">
        <f ca="1">(VLOOKUP(DD$72,INDIRECT($C$5&amp;"生成成长"),2))/((VLOOKUP($B84,INDIRECT($B$5&amp;"生成成长"),4))/(VLOOKUP(DD$72,INDIRECT($C$5&amp;"生成成长"),5))*(VLOOKUP($B$5,标准坦克设计!$B$24:$U$30,MATCH("对"&amp;LEFT($C$5,2)&amp;"输出",标准坦克设计!$B$23:$U$23,0)))*(VLOOKUP($B84,INDIRECT($B$5&amp;"生成成长"),3))*(VLOOKUP($B$5,标准坦克设计!$B$14:$K$20,9)/30))</f>
        <v>56.590621973559891</v>
      </c>
      <c r="DE84" s="173">
        <f ca="1">(VLOOKUP(DE$72,INDIRECT($C$5&amp;"生成成长"),2))/((VLOOKUP($B84,INDIRECT($B$5&amp;"生成成长"),4))/(VLOOKUP(DE$72,INDIRECT($C$5&amp;"生成成长"),5))*(VLOOKUP($B$5,标准坦克设计!$B$24:$U$30,MATCH("对"&amp;LEFT($C$5,2)&amp;"输出",标准坦克设计!$B$23:$U$23,0)))*(VLOOKUP($B84,INDIRECT($B$5&amp;"生成成长"),3))*(VLOOKUP($B$5,标准坦克设计!$B$14:$K$20,9)/30))</f>
        <v>59.951721139437481</v>
      </c>
      <c r="DF84" s="173">
        <f ca="1">(VLOOKUP(DF$72,INDIRECT($C$5&amp;"生成成长"),2))/((VLOOKUP($B84,INDIRECT($B$5&amp;"生成成长"),4))/(VLOOKUP(DF$72,INDIRECT($C$5&amp;"生成成长"),5))*(VLOOKUP($B$5,标准坦克设计!$B$24:$U$30,MATCH("对"&amp;LEFT($C$5,2)&amp;"输出",标准坦克设计!$B$23:$U$23,0)))*(VLOOKUP($B84,INDIRECT($B$5&amp;"生成成长"),3))*(VLOOKUP($B$5,标准坦克设计!$B$14:$K$20,9)/30))</f>
        <v>63.409775088946155</v>
      </c>
      <c r="DG84" s="173">
        <f ca="1">(VLOOKUP(DG$72,INDIRECT($C$5&amp;"生成成长"),2))/((VLOOKUP($B84,INDIRECT($B$5&amp;"生成成长"),4))/(VLOOKUP(DG$72,INDIRECT($C$5&amp;"生成成长"),5))*(VLOOKUP($B$5,标准坦克设计!$B$24:$U$30,MATCH("对"&amp;LEFT($C$5,2)&amp;"输出",标准坦克设计!$B$23:$U$23,0)))*(VLOOKUP($B84,INDIRECT($B$5&amp;"生成成长"),3))*(VLOOKUP($B$5,标准坦克设计!$B$14:$K$20,9)/30))</f>
        <v>66.964783822085906</v>
      </c>
      <c r="DH84" s="173">
        <f ca="1">(VLOOKUP(DH$72,INDIRECT($C$5&amp;"生成成长"),2))/((VLOOKUP($B84,INDIRECT($B$5&amp;"生成成长"),4))/(VLOOKUP(DH$72,INDIRECT($C$5&amp;"生成成长"),5))*(VLOOKUP($B$5,标准坦克设计!$B$24:$U$30,MATCH("对"&amp;LEFT($C$5,2)&amp;"输出",标准坦克设计!$B$23:$U$23,0)))*(VLOOKUP($B84,INDIRECT($B$5&amp;"生成成长"),3))*(VLOOKUP($B$5,标准坦克设计!$B$14:$K$20,9)/30))</f>
        <v>70.61674733885674</v>
      </c>
      <c r="DI84" s="173">
        <f ca="1">(VLOOKUP(DI$72,INDIRECT($C$5&amp;"生成成长"),2))/((VLOOKUP($B84,INDIRECT($B$5&amp;"生成成长"),4))/(VLOOKUP(DI$72,INDIRECT($C$5&amp;"生成成长"),5))*(VLOOKUP($B$5,标准坦克设计!$B$24:$U$30,MATCH("对"&amp;LEFT($C$5,2)&amp;"输出",标准坦克设计!$B$23:$U$23,0)))*(VLOOKUP($B84,INDIRECT($B$5&amp;"生成成长"),3))*(VLOOKUP($B$5,标准坦克设计!$B$14:$K$20,9)/30))</f>
        <v>74.365665639258651</v>
      </c>
      <c r="DJ84" s="173">
        <f ca="1">(VLOOKUP(DJ$72,INDIRECT($C$5&amp;"生成成长"),2))/((VLOOKUP($B84,INDIRECT($B$5&amp;"生成成长"),4))/(VLOOKUP(DJ$72,INDIRECT($C$5&amp;"生成成长"),5))*(VLOOKUP($B$5,标准坦克设计!$B$24:$U$30,MATCH("对"&amp;LEFT($C$5,2)&amp;"输出",标准坦克设计!$B$23:$U$23,0)))*(VLOOKUP($B84,INDIRECT($B$5&amp;"生成成长"),3))*(VLOOKUP($B$5,标准坦克设计!$B$14:$K$20,9)/30))</f>
        <v>7.4739345534503467</v>
      </c>
      <c r="DK84" s="173">
        <f ca="1">(VLOOKUP(DK$72,INDIRECT($C$5&amp;"生成成长"),2))/((VLOOKUP($B84,INDIRECT($B$5&amp;"生成成长"),4))/(VLOOKUP(DK$72,INDIRECT($C$5&amp;"生成成长"),5))*(VLOOKUP($B$5,标准坦克设计!$B$24:$U$30,MATCH("对"&amp;LEFT($C$5,2)&amp;"输出",标准坦克设计!$B$23:$U$23,0)))*(VLOOKUP($B84,INDIRECT($B$5&amp;"生成成长"),3))*(VLOOKUP($B$5,标准坦克设计!$B$14:$K$20,9)/30))</f>
        <v>8.4040945089110615</v>
      </c>
      <c r="DL84" s="173">
        <f ca="1">(VLOOKUP(DL$72,INDIRECT($C$5&amp;"生成成长"),2))/((VLOOKUP($B84,INDIRECT($B$5&amp;"生成成长"),4))/(VLOOKUP(DL$72,INDIRECT($C$5&amp;"生成成长"),5))*(VLOOKUP($B$5,标准坦克设计!$B$24:$U$30,MATCH("对"&amp;LEFT($C$5,2)&amp;"输出",标准坦克设计!$B$23:$U$23,0)))*(VLOOKUP($B84,INDIRECT($B$5&amp;"生成成长"),3))*(VLOOKUP($B$5,标准坦克设计!$B$14:$K$20,9)/30))</f>
        <v>9.3887915301642604</v>
      </c>
      <c r="DM84" s="173">
        <f ca="1">(VLOOKUP(DM$72,INDIRECT($C$5&amp;"生成成长"),2))/((VLOOKUP($B84,INDIRECT($B$5&amp;"生成成长"),4))/(VLOOKUP(DM$72,INDIRECT($C$5&amp;"生成成长"),5))*(VLOOKUP($B$5,标准坦克设计!$B$24:$U$30,MATCH("对"&amp;LEFT($C$5,2)&amp;"输出",标准坦克设计!$B$23:$U$23,0)))*(VLOOKUP($B84,INDIRECT($B$5&amp;"生成成长"),3))*(VLOOKUP($B$5,标准坦克设计!$B$14:$K$20,9)/30))</f>
        <v>10.428025617209942</v>
      </c>
      <c r="DN84" s="173">
        <f ca="1">(VLOOKUP(DN$72,INDIRECT($C$5&amp;"生成成长"),2))/((VLOOKUP($B84,INDIRECT($B$5&amp;"生成成长"),4))/(VLOOKUP(DN$72,INDIRECT($C$5&amp;"生成成长"),5))*(VLOOKUP($B$5,标准坦克设计!$B$24:$U$30,MATCH("对"&amp;LEFT($C$5,2)&amp;"输出",标准坦克设计!$B$23:$U$23,0)))*(VLOOKUP($B84,INDIRECT($B$5&amp;"生成成长"),3))*(VLOOKUP($B$5,标准坦克设计!$B$14:$K$20,9)/30))</f>
        <v>11.521796770048111</v>
      </c>
      <c r="DO84" s="173">
        <f ca="1">(VLOOKUP(DO$72,INDIRECT($C$5&amp;"生成成长"),2))/((VLOOKUP($B84,INDIRECT($B$5&amp;"生成成长"),4))/(VLOOKUP(DO$72,INDIRECT($C$5&amp;"生成成长"),5))*(VLOOKUP($B$5,标准坦克设计!$B$24:$U$30,MATCH("对"&amp;LEFT($C$5,2)&amp;"输出",标准坦克设计!$B$23:$U$23,0)))*(VLOOKUP($B84,INDIRECT($B$5&amp;"生成成长"),3))*(VLOOKUP($B$5,标准坦克设计!$B$14:$K$20,9)/30))</f>
        <v>12.670104988678766</v>
      </c>
      <c r="DP84" s="173">
        <f ca="1">(VLOOKUP(DP$72,INDIRECT($C$5&amp;"生成成长"),2))/((VLOOKUP($B84,INDIRECT($B$5&amp;"生成成长"),4))/(VLOOKUP(DP$72,INDIRECT($C$5&amp;"生成成长"),5))*(VLOOKUP($B$5,标准坦克设计!$B$24:$U$30,MATCH("对"&amp;LEFT($C$5,2)&amp;"输出",标准坦克设计!$B$23:$U$23,0)))*(VLOOKUP($B84,INDIRECT($B$5&amp;"生成成长"),3))*(VLOOKUP($B$5,标准坦克设计!$B$14:$K$20,9)/30))</f>
        <v>13.872950273101901</v>
      </c>
      <c r="DQ84" s="173">
        <f ca="1">(VLOOKUP(DQ$72,INDIRECT($C$5&amp;"生成成长"),2))/((VLOOKUP($B84,INDIRECT($B$5&amp;"生成成长"),4))/(VLOOKUP(DQ$72,INDIRECT($C$5&amp;"生成成长"),5))*(VLOOKUP($B$5,标准坦克设计!$B$24:$U$30,MATCH("对"&amp;LEFT($C$5,2)&amp;"输出",标准坦克设计!$B$23:$U$23,0)))*(VLOOKUP($B84,INDIRECT($B$5&amp;"生成成长"),3))*(VLOOKUP($B$5,标准坦克设计!$B$14:$K$20,9)/30))</f>
        <v>15.130332623317527</v>
      </c>
      <c r="DR84" s="173">
        <f ca="1">(VLOOKUP(DR$72,INDIRECT($C$5&amp;"生成成长"),2))/((VLOOKUP($B84,INDIRECT($B$5&amp;"生成成长"),4))/(VLOOKUP(DR$72,INDIRECT($C$5&amp;"生成成长"),5))*(VLOOKUP($B$5,标准坦克设计!$B$24:$U$30,MATCH("对"&amp;LEFT($C$5,2)&amp;"输出",标准坦克设计!$B$23:$U$23,0)))*(VLOOKUP($B84,INDIRECT($B$5&amp;"生成成长"),3))*(VLOOKUP($B$5,标准坦克设计!$B$14:$K$20,9)/30))</f>
        <v>16.442252039325634</v>
      </c>
      <c r="DS84" s="173">
        <f ca="1">(VLOOKUP(DS$72,INDIRECT($C$5&amp;"生成成长"),2))/((VLOOKUP($B84,INDIRECT($B$5&amp;"生成成长"),4))/(VLOOKUP(DS$72,INDIRECT($C$5&amp;"生成成长"),5))*(VLOOKUP($B$5,标准坦克设计!$B$24:$U$30,MATCH("对"&amp;LEFT($C$5,2)&amp;"输出",标准坦克设计!$B$23:$U$23,0)))*(VLOOKUP($B84,INDIRECT($B$5&amp;"生成成长"),3))*(VLOOKUP($B$5,标准坦克设计!$B$14:$K$20,9)/30))</f>
        <v>17.808708521126228</v>
      </c>
      <c r="DT84" s="173">
        <f ca="1">(VLOOKUP(DT$72,INDIRECT($C$5&amp;"生成成长"),2))/((VLOOKUP($B84,INDIRECT($B$5&amp;"生成成长"),4))/(VLOOKUP(DT$72,INDIRECT($C$5&amp;"生成成长"),5))*(VLOOKUP($B$5,标准坦克设计!$B$24:$U$30,MATCH("对"&amp;LEFT($C$5,2)&amp;"输出",标准坦克设计!$B$23:$U$23,0)))*(VLOOKUP($B84,INDIRECT($B$5&amp;"生成成长"),3))*(VLOOKUP($B$5,标准坦克设计!$B$14:$K$20,9)/30))</f>
        <v>19.552884680822917</v>
      </c>
      <c r="DU84" s="173">
        <f ca="1">(VLOOKUP(DU$72,INDIRECT($C$5&amp;"生成成长"),2))/((VLOOKUP($B84,INDIRECT($B$5&amp;"生成成长"),4))/(VLOOKUP(DU$72,INDIRECT($C$5&amp;"生成成长"),5))*(VLOOKUP($B$5,标准坦克设计!$B$24:$U$30,MATCH("对"&amp;LEFT($C$5,2)&amp;"输出",标准坦克设计!$B$23:$U$23,0)))*(VLOOKUP($B84,INDIRECT($B$5&amp;"生成成长"),3))*(VLOOKUP($B$5,标准坦克设计!$B$14:$K$20,9)/30))</f>
        <v>21.378529790654063</v>
      </c>
      <c r="DV84" s="173">
        <f ca="1">(VLOOKUP(DV$72,INDIRECT($C$5&amp;"生成成长"),2))/((VLOOKUP($B84,INDIRECT($B$5&amp;"生成成长"),4))/(VLOOKUP(DV$72,INDIRECT($C$5&amp;"生成成长"),5))*(VLOOKUP($B$5,标准坦克设计!$B$24:$U$30,MATCH("对"&amp;LEFT($C$5,2)&amp;"输出",标准坦克设计!$B$23:$U$23,0)))*(VLOOKUP($B84,INDIRECT($B$5&amp;"生成成长"),3))*(VLOOKUP($B$5,标准坦克设计!$B$14:$K$20,9)/30))</f>
        <v>23.28564385061966</v>
      </c>
      <c r="DW84" s="173">
        <f ca="1">(VLOOKUP(DW$72,INDIRECT($C$5&amp;"生成成长"),2))/((VLOOKUP($B84,INDIRECT($B$5&amp;"生成成长"),4))/(VLOOKUP(DW$72,INDIRECT($C$5&amp;"生成成长"),5))*(VLOOKUP($B$5,标准坦克设计!$B$24:$U$30,MATCH("对"&amp;LEFT($C$5,2)&amp;"输出",标准坦克设计!$B$23:$U$23,0)))*(VLOOKUP($B84,INDIRECT($B$5&amp;"生成成长"),3))*(VLOOKUP($B$5,标准坦克设计!$B$14:$K$20,9)/30))</f>
        <v>25.274226860719704</v>
      </c>
      <c r="DX84" s="173">
        <f ca="1">(VLOOKUP(DX$72,INDIRECT($C$5&amp;"生成成长"),2))/((VLOOKUP($B84,INDIRECT($B$5&amp;"生成成长"),4))/(VLOOKUP(DX$72,INDIRECT($C$5&amp;"生成成长"),5))*(VLOOKUP($B$5,标准坦克设计!$B$24:$U$30,MATCH("对"&amp;LEFT($C$5,2)&amp;"输出",标准坦克设计!$B$23:$U$23,0)))*(VLOOKUP($B84,INDIRECT($B$5&amp;"生成成长"),3))*(VLOOKUP($B$5,标准坦克设计!$B$14:$K$20,9)/30))</f>
        <v>27.344278820954212</v>
      </c>
      <c r="DY84" s="173">
        <f ca="1">(VLOOKUP(DY$72,INDIRECT($C$5&amp;"生成成长"),2))/((VLOOKUP($B84,INDIRECT($B$5&amp;"生成成长"),4))/(VLOOKUP(DY$72,INDIRECT($C$5&amp;"生成成长"),5))*(VLOOKUP($B$5,标准坦克设计!$B$24:$U$30,MATCH("对"&amp;LEFT($C$5,2)&amp;"输出",标准坦克设计!$B$23:$U$23,0)))*(VLOOKUP($B84,INDIRECT($B$5&amp;"生成成长"),3))*(VLOOKUP($B$5,标准坦克设计!$B$14:$K$20,9)/30))</f>
        <v>12.281275908491603</v>
      </c>
      <c r="DZ84" s="173">
        <f ca="1">(VLOOKUP(DZ$72,INDIRECT($C$5&amp;"生成成长"),2))/((VLOOKUP($B84,INDIRECT($B$5&amp;"生成成长"),4))/(VLOOKUP(DZ$72,INDIRECT($C$5&amp;"生成成长"),5))*(VLOOKUP($B$5,标准坦克设计!$B$24:$U$30,MATCH("对"&amp;LEFT($C$5,2)&amp;"输出",标准坦克设计!$B$23:$U$23,0)))*(VLOOKUP($B84,INDIRECT($B$5&amp;"生成成长"),3))*(VLOOKUP($B$5,标准坦克设计!$B$14:$K$20,9)/30))</f>
        <v>13.600938241248031</v>
      </c>
      <c r="EA84" s="173">
        <f ca="1">(VLOOKUP(EA$72,INDIRECT($C$5&amp;"生成成长"),2))/((VLOOKUP($B84,INDIRECT($B$5&amp;"生成成长"),4))/(VLOOKUP(EA$72,INDIRECT($C$5&amp;"生成成长"),5))*(VLOOKUP($B$5,标准坦克设计!$B$24:$U$30,MATCH("对"&amp;LEFT($C$5,2)&amp;"输出",标准坦克设计!$B$23:$U$23,0)))*(VLOOKUP($B84,INDIRECT($B$5&amp;"生成成长"),3))*(VLOOKUP($B$5,标准坦克设计!$B$14:$K$20,9)/30))</f>
        <v>14.98793028485937</v>
      </c>
      <c r="EB84" s="173">
        <f ca="1">(VLOOKUP(EB$72,INDIRECT($C$5&amp;"生成成长"),2))/((VLOOKUP($B84,INDIRECT($B$5&amp;"生成成长"),4))/(VLOOKUP(EB$72,INDIRECT($C$5&amp;"生成成长"),5))*(VLOOKUP($B$5,标准坦克设计!$B$24:$U$30,MATCH("对"&amp;LEFT($C$5,2)&amp;"输出",标准坦克设计!$B$23:$U$23,0)))*(VLOOKUP($B84,INDIRECT($B$5&amp;"生成成长"),3))*(VLOOKUP($B$5,标准坦克设计!$B$14:$K$20,9)/30))</f>
        <v>16.442252039325634</v>
      </c>
      <c r="EC84" s="173">
        <f ca="1">(VLOOKUP(EC$72,INDIRECT($C$5&amp;"生成成长"),2))/((VLOOKUP($B84,INDIRECT($B$5&amp;"生成成长"),4))/(VLOOKUP(EC$72,INDIRECT($C$5&amp;"生成成长"),5))*(VLOOKUP($B$5,标准坦克设计!$B$24:$U$30,MATCH("对"&amp;LEFT($C$5,2)&amp;"输出",标准坦克设计!$B$23:$U$23,0)))*(VLOOKUP($B84,INDIRECT($B$5&amp;"生成成长"),3))*(VLOOKUP($B$5,标准坦克设计!$B$14:$K$20,9)/30))</f>
        <v>17.963903504646815</v>
      </c>
      <c r="ED84" s="173">
        <f ca="1">(VLOOKUP(ED$72,INDIRECT($C$5&amp;"生成成长"),2))/((VLOOKUP($B84,INDIRECT($B$5&amp;"生成成长"),4))/(VLOOKUP(ED$72,INDIRECT($C$5&amp;"生成成长"),5))*(VLOOKUP($B$5,标准坦克设计!$B$24:$U$30,MATCH("对"&amp;LEFT($C$5,2)&amp;"输出",标准坦克设计!$B$23:$U$23,0)))*(VLOOKUP($B84,INDIRECT($B$5&amp;"生成成长"),3))*(VLOOKUP($B$5,标准坦克设计!$B$14:$K$20,9)/30))</f>
        <v>19.552884680822917</v>
      </c>
      <c r="EE84" s="173">
        <f ca="1">(VLOOKUP(EE$72,INDIRECT($C$5&amp;"生成成长"),2))/((VLOOKUP($B84,INDIRECT($B$5&amp;"生成成长"),4))/(VLOOKUP(EE$72,INDIRECT($C$5&amp;"生成成长"),5))*(VLOOKUP($B$5,标准坦克设计!$B$24:$U$30,MATCH("对"&amp;LEFT($C$5,2)&amp;"输出",标准坦克设计!$B$23:$U$23,0)))*(VLOOKUP($B84,INDIRECT($B$5&amp;"生成成长"),3))*(VLOOKUP($B$5,标准坦克设计!$B$14:$K$20,9)/30))</f>
        <v>21.209195567853939</v>
      </c>
      <c r="EF84" s="173">
        <f ca="1">(VLOOKUP(EF$72,INDIRECT($C$5&amp;"生成成长"),2))/((VLOOKUP($B84,INDIRECT($B$5&amp;"生成成长"),4))/(VLOOKUP(EF$72,INDIRECT($C$5&amp;"生成成长"),5))*(VLOOKUP($B$5,标准坦克设计!$B$24:$U$30,MATCH("对"&amp;LEFT($C$5,2)&amp;"输出",标准坦克设计!$B$23:$U$23,0)))*(VLOOKUP($B84,INDIRECT($B$5&amp;"生成成长"),3))*(VLOOKUP($B$5,标准坦克设计!$B$14:$K$20,9)/30))</f>
        <v>22.932836165739882</v>
      </c>
      <c r="EG84" s="173">
        <f ca="1">(VLOOKUP(EG$72,INDIRECT($C$5&amp;"生成成长"),2))/((VLOOKUP($B84,INDIRECT($B$5&amp;"生成成长"),4))/(VLOOKUP(EG$72,INDIRECT($C$5&amp;"生成成长"),5))*(VLOOKUP($B$5,标准坦克设计!$B$24:$U$30,MATCH("对"&amp;LEFT($C$5,2)&amp;"输出",标准坦克设计!$B$23:$U$23,0)))*(VLOOKUP($B84,INDIRECT($B$5&amp;"生成成长"),3))*(VLOOKUP($B$5,标准坦克设计!$B$14:$K$20,9)/30))</f>
        <v>24.723806474480739</v>
      </c>
      <c r="EH84" s="173">
        <f ca="1">(VLOOKUP(EH$72,INDIRECT($C$5&amp;"生成成长"),2))/((VLOOKUP($B84,INDIRECT($B$5&amp;"生成成长"),4))/(VLOOKUP(EH$72,INDIRECT($C$5&amp;"生成成长"),5))*(VLOOKUP($B$5,标准坦克设计!$B$24:$U$30,MATCH("对"&amp;LEFT($C$5,2)&amp;"输出",标准坦克设计!$B$23:$U$23,0)))*(VLOOKUP($B84,INDIRECT($B$5&amp;"生成成长"),3))*(VLOOKUP($B$5,标准坦克设计!$B$14:$K$20,9)/30))</f>
        <v>26.582106494076523</v>
      </c>
      <c r="EI84" s="173">
        <f ca="1">(VLOOKUP(EI$72,INDIRECT($C$5&amp;"生成成长"),2))/((VLOOKUP($B84,INDIRECT($B$5&amp;"生成成长"),4))/(VLOOKUP(EI$72,INDIRECT($C$5&amp;"生成成长"),5))*(VLOOKUP($B$5,标准坦克设计!$B$24:$U$30,MATCH("对"&amp;LEFT($C$5,2)&amp;"输出",标准坦克设计!$B$23:$U$23,0)))*(VLOOKUP($B84,INDIRECT($B$5&amp;"生成成长"),3))*(VLOOKUP($B$5,标准坦克设计!$B$14:$K$20,9)/30))</f>
        <v>28.507736224527221</v>
      </c>
      <c r="EJ84" s="173">
        <f ca="1">(VLOOKUP(EJ$72,INDIRECT($C$5&amp;"生成成长"),2))/((VLOOKUP($B84,INDIRECT($B$5&amp;"生成成长"),4))/(VLOOKUP(EJ$72,INDIRECT($C$5&amp;"生成成长"),5))*(VLOOKUP($B$5,标准坦克设计!$B$24:$U$30,MATCH("对"&amp;LEFT($C$5,2)&amp;"输出",标准坦克设计!$B$23:$U$23,0)))*(VLOOKUP($B84,INDIRECT($B$5&amp;"生成成长"),3))*(VLOOKUP($B$5,标准坦克设计!$B$14:$K$20,9)/30))</f>
        <v>30.500695665832836</v>
      </c>
      <c r="EK84" s="173">
        <f ca="1">(VLOOKUP(EK$72,INDIRECT($C$5&amp;"生成成长"),2))/((VLOOKUP($B84,INDIRECT($B$5&amp;"生成成长"),4))/(VLOOKUP(EK$72,INDIRECT($C$5&amp;"生成成长"),5))*(VLOOKUP($B$5,标准坦克设计!$B$24:$U$30,MATCH("对"&amp;LEFT($C$5,2)&amp;"输出",标准坦克设计!$B$23:$U$23,0)))*(VLOOKUP($B84,INDIRECT($B$5&amp;"生成成长"),3))*(VLOOKUP($B$5,标准坦克设计!$B$14:$K$20,9)/30))</f>
        <v>32.981122213728078</v>
      </c>
      <c r="EL84" s="173">
        <f ca="1">(VLOOKUP(EL$72,INDIRECT($C$5&amp;"生成成长"),2))/((VLOOKUP($B84,INDIRECT($B$5&amp;"生成成长"),4))/(VLOOKUP(EL$72,INDIRECT($C$5&amp;"生成成长"),5))*(VLOOKUP($B$5,标准坦克设计!$B$24:$U$30,MATCH("对"&amp;LEFT($C$5,2)&amp;"输出",标准坦克设计!$B$23:$U$23,0)))*(VLOOKUP($B84,INDIRECT($B$5&amp;"生成成长"),3))*(VLOOKUP($B$5,标准坦克设计!$B$14:$K$20,9)/30))</f>
        <v>35.558503545254403</v>
      </c>
      <c r="EM84" s="173">
        <f ca="1">(VLOOKUP(EM$72,INDIRECT($C$5&amp;"生成成长"),2))/((VLOOKUP($B84,INDIRECT($B$5&amp;"生成成长"),4))/(VLOOKUP(EM$72,INDIRECT($C$5&amp;"生成成长"),5))*(VLOOKUP($B$5,标准坦克设计!$B$24:$U$30,MATCH("对"&amp;LEFT($C$5,2)&amp;"输出",标准坦克设计!$B$23:$U$23,0)))*(VLOOKUP($B84,INDIRECT($B$5&amp;"生成成长"),3))*(VLOOKUP($B$5,标准坦克设计!$B$14:$K$20,9)/30))</f>
        <v>38.232839660411798</v>
      </c>
      <c r="EN84" s="173">
        <f ca="1">(VLOOKUP(EN$72,INDIRECT($C$5&amp;"生成成长"),2))/((VLOOKUP($B84,INDIRECT($B$5&amp;"生成成长"),4))/(VLOOKUP(EN$72,INDIRECT($C$5&amp;"生成成长"),5))*(VLOOKUP($B$5,标准坦克设计!$B$24:$U$30,MATCH("对"&amp;LEFT($C$5,2)&amp;"输出",标准坦克设计!$B$23:$U$23,0)))*(VLOOKUP($B84,INDIRECT($B$5&amp;"生成成长"),3))*(VLOOKUP($B$5,标准坦克设计!$B$14:$K$20,9)/30))</f>
        <v>41.004130559200291</v>
      </c>
      <c r="EO84" s="173">
        <f ca="1">(VLOOKUP(EO$72,INDIRECT($C$5&amp;"生成成长"),2))/((VLOOKUP($B84,INDIRECT($B$5&amp;"生成成长"),4))/(VLOOKUP(EO$72,INDIRECT($C$5&amp;"生成成长"),5))*(VLOOKUP($B$5,标准坦克设计!$B$24:$U$30,MATCH("对"&amp;LEFT($C$5,2)&amp;"输出",标准坦克设计!$B$23:$U$23,0)))*(VLOOKUP($B84,INDIRECT($B$5&amp;"生成成长"),3))*(VLOOKUP($B$5,标准坦克设计!$B$14:$K$20,9)/30))</f>
        <v>43.872376241619861</v>
      </c>
      <c r="EP84" s="173">
        <f ca="1">(VLOOKUP(EP$72,INDIRECT($C$5&amp;"生成成长"),2))/((VLOOKUP($B84,INDIRECT($B$5&amp;"生成成长"),4))/(VLOOKUP(EP$72,INDIRECT($C$5&amp;"生成成长"),5))*(VLOOKUP($B$5,标准坦克设计!$B$24:$U$30,MATCH("对"&amp;LEFT($C$5,2)&amp;"输出",标准坦克设计!$B$23:$U$23,0)))*(VLOOKUP($B84,INDIRECT($B$5&amp;"生成成长"),3))*(VLOOKUP($B$5,标准坦克设计!$B$14:$K$20,9)/30))</f>
        <v>46.837576707670522</v>
      </c>
      <c r="EQ84" s="173">
        <f ca="1">(VLOOKUP(EQ$72,INDIRECT($C$5&amp;"生成成长"),2))/((VLOOKUP($B84,INDIRECT($B$5&amp;"生成成长"),4))/(VLOOKUP(EQ$72,INDIRECT($C$5&amp;"生成成长"),5))*(VLOOKUP($B$5,标准坦克设计!$B$24:$U$30,MATCH("对"&amp;LEFT($C$5,2)&amp;"输出",标准坦克设计!$B$23:$U$23,0)))*(VLOOKUP($B84,INDIRECT($B$5&amp;"生成成长"),3))*(VLOOKUP($B$5,标准坦克设计!$B$14:$K$20,9)/30))</f>
        <v>20.705232682104867</v>
      </c>
      <c r="ER84" s="173">
        <f ca="1">(VLOOKUP(ER$72,INDIRECT($C$5&amp;"生成成长"),2))/((VLOOKUP($B84,INDIRECT($B$5&amp;"生成成长"),4))/(VLOOKUP(ER$72,INDIRECT($C$5&amp;"生成成长"),5))*(VLOOKUP($B$5,标准坦克设计!$B$24:$U$30,MATCH("对"&amp;LEFT($C$5,2)&amp;"输出",标准坦克设计!$B$23:$U$23,0)))*(VLOOKUP($B84,INDIRECT($B$5&amp;"生成成长"),3))*(VLOOKUP($B$5,标准坦克设计!$B$14:$K$20,9)/30))</f>
        <v>22.582721669294301</v>
      </c>
      <c r="ES84" s="173">
        <f ca="1">(VLOOKUP(ES$72,INDIRECT($C$5&amp;"生成成长"),2))/((VLOOKUP($B84,INDIRECT($B$5&amp;"生成成长"),4))/(VLOOKUP(ES$72,INDIRECT($C$5&amp;"生成成长"),5))*(VLOOKUP($B$5,标准坦克设计!$B$24:$U$30,MATCH("对"&amp;LEFT($C$5,2)&amp;"输出",标准坦克设计!$B$23:$U$23,0)))*(VLOOKUP($B84,INDIRECT($B$5&amp;"生成成长"),3))*(VLOOKUP($B$5,标准坦克设计!$B$14:$K$20,9)/30))</f>
        <v>24.541679606618182</v>
      </c>
      <c r="ET84" s="173">
        <f ca="1">(VLOOKUP(ET$72,INDIRECT($C$5&amp;"生成成长"),2))/((VLOOKUP($B84,INDIRECT($B$5&amp;"生成成长"),4))/(VLOOKUP(ET$72,INDIRECT($C$5&amp;"生成成长"),5))*(VLOOKUP($B$5,标准坦克设计!$B$24:$U$30,MATCH("对"&amp;LEFT($C$5,2)&amp;"输出",标准坦克设计!$B$23:$U$23,0)))*(VLOOKUP($B84,INDIRECT($B$5&amp;"生成成长"),3))*(VLOOKUP($B$5,标准坦克设计!$B$14:$K$20,9)/30))</f>
        <v>26.582106494076523</v>
      </c>
      <c r="EU84" s="173">
        <f ca="1">(VLOOKUP(EU$72,INDIRECT($C$5&amp;"生成成长"),2))/((VLOOKUP($B84,INDIRECT($B$5&amp;"生成成长"),4))/(VLOOKUP(EU$72,INDIRECT($C$5&amp;"生成成长"),5))*(VLOOKUP($B$5,标准坦克设计!$B$24:$U$30,MATCH("对"&amp;LEFT($C$5,2)&amp;"输出",标准坦克设计!$B$23:$U$23,0)))*(VLOOKUP($B84,INDIRECT($B$5&amp;"生成成长"),3))*(VLOOKUP($B$5,标准坦克设计!$B$14:$K$20,9)/30))</f>
        <v>28.704002331669312</v>
      </c>
      <c r="EV84" s="173">
        <f ca="1">(VLOOKUP(EV$72,INDIRECT($C$5&amp;"生成成长"),2))/((VLOOKUP($B84,INDIRECT($B$5&amp;"生成成长"),4))/(VLOOKUP(EV$72,INDIRECT($C$5&amp;"生成成长"),5))*(VLOOKUP($B$5,标准坦克设计!$B$24:$U$30,MATCH("对"&amp;LEFT($C$5,2)&amp;"输出",标准坦克设计!$B$23:$U$23,0)))*(VLOOKUP($B84,INDIRECT($B$5&amp;"生成成长"),3))*(VLOOKUP($B$5,标准坦克设计!$B$14:$K$20,9)/30))</f>
        <v>30.907367119396557</v>
      </c>
      <c r="EW84" s="173">
        <f ca="1">(VLOOKUP(EW$72,INDIRECT($C$5&amp;"生成成长"),2))/((VLOOKUP($B84,INDIRECT($B$5&amp;"生成成长"),4))/(VLOOKUP(EW$72,INDIRECT($C$5&amp;"生成成长"),5))*(VLOOKUP($B$5,标准坦克设计!$B$24:$U$30,MATCH("对"&amp;LEFT($C$5,2)&amp;"输出",标准坦克设计!$B$23:$U$23,0)))*(VLOOKUP($B84,INDIRECT($B$5&amp;"生成成长"),3))*(VLOOKUP($B$5,标准坦克设计!$B$14:$K$20,9)/30))</f>
        <v>33.19220085725825</v>
      </c>
      <c r="EX84" s="173">
        <f ca="1">(VLOOKUP(EX$72,INDIRECT($C$5&amp;"生成成长"),2))/((VLOOKUP($B84,INDIRECT($B$5&amp;"生成成长"),4))/(VLOOKUP(EX$72,INDIRECT($C$5&amp;"生成成长"),5))*(VLOOKUP($B$5,标准坦克设计!$B$24:$U$30,MATCH("对"&amp;LEFT($C$5,2)&amp;"输出",标准坦克设计!$B$23:$U$23,0)))*(VLOOKUP($B84,INDIRECT($B$5&amp;"生成成长"),3))*(VLOOKUP($B$5,标准坦克设计!$B$14:$K$20,9)/30))</f>
        <v>35.558503545254403</v>
      </c>
      <c r="EY84" s="173">
        <f ca="1">(VLOOKUP(EY$72,INDIRECT($C$5&amp;"生成成长"),2))/((VLOOKUP($B84,INDIRECT($B$5&amp;"生成成长"),4))/(VLOOKUP(EY$72,INDIRECT($C$5&amp;"生成成长"),5))*(VLOOKUP($B$5,标准坦克设计!$B$24:$U$30,MATCH("对"&amp;LEFT($C$5,2)&amp;"输出",标准坦克设计!$B$23:$U$23,0)))*(VLOOKUP($B84,INDIRECT($B$5&amp;"生成成长"),3))*(VLOOKUP($B$5,标准坦克设计!$B$14:$K$20,9)/30))</f>
        <v>38.006275183385</v>
      </c>
      <c r="EZ84" s="173">
        <f ca="1">(VLOOKUP(EZ$72,INDIRECT($C$5&amp;"生成成长"),2))/((VLOOKUP($B84,INDIRECT($B$5&amp;"生成成长"),4))/(VLOOKUP(EZ$72,INDIRECT($C$5&amp;"生成成长"),5))*(VLOOKUP($B$5,标准坦克设计!$B$24:$U$30,MATCH("对"&amp;LEFT($C$5,2)&amp;"输出",标准坦克设计!$B$23:$U$23,0)))*(VLOOKUP($B84,INDIRECT($B$5&amp;"生成成长"),3))*(VLOOKUP($B$5,标准坦克设计!$B$14:$K$20,9)/30))</f>
        <v>40.535515771650047</v>
      </c>
      <c r="FA84" s="173">
        <f ca="1">(VLOOKUP(FA$72,INDIRECT($C$5&amp;"生成成长"),2))/((VLOOKUP($B84,INDIRECT($B$5&amp;"生成成长"),4))/(VLOOKUP(FA$72,INDIRECT($C$5&amp;"生成成长"),5))*(VLOOKUP($B$5,标准坦克设计!$B$24:$U$30,MATCH("对"&amp;LEFT($C$5,2)&amp;"输出",标准坦克设计!$B$23:$U$23,0)))*(VLOOKUP($B84,INDIRECT($B$5&amp;"生成成长"),3))*(VLOOKUP($B$5,标准坦克设计!$B$14:$K$20,9)/30))</f>
        <v>43.146225310049552</v>
      </c>
      <c r="FB84" s="173">
        <f ca="1">(VLOOKUP(FB$72,INDIRECT($C$5&amp;"生成成长"),2))/((VLOOKUP($B84,INDIRECT($B$5&amp;"生成成长"),4))/(VLOOKUP(FB$72,INDIRECT($C$5&amp;"生成成长"),5))*(VLOOKUP($B$5,标准坦克设计!$B$24:$U$30,MATCH("对"&amp;LEFT($C$5,2)&amp;"输出",标准坦克设计!$B$23:$U$23,0)))*(VLOOKUP($B84,INDIRECT($B$5&amp;"生成成长"),3))*(VLOOKUP($B$5,标准坦克设计!$B$14:$K$20,9)/30))</f>
        <v>45.838403798583528</v>
      </c>
      <c r="FC84" s="173">
        <f ca="1">(VLOOKUP(FC$72,INDIRECT($C$5&amp;"生成成长"),2))/((VLOOKUP($B84,INDIRECT($B$5&amp;"生成成长"),4))/(VLOOKUP(FC$72,INDIRECT($C$5&amp;"生成成长"),5))*(VLOOKUP($B$5,标准坦克设计!$B$24:$U$30,MATCH("对"&amp;LEFT($C$5,2)&amp;"输出",标准坦克设计!$B$23:$U$23,0)))*(VLOOKUP($B84,INDIRECT($B$5&amp;"生成成长"),3))*(VLOOKUP($B$5,标准坦克设计!$B$14:$K$20,9)/30))</f>
        <v>48.612051237251926</v>
      </c>
      <c r="FD84" s="173">
        <f ca="1">(VLOOKUP(FD$72,INDIRECT($C$5&amp;"生成成长"),2))/((VLOOKUP($B84,INDIRECT($B$5&amp;"生成成长"),4))/(VLOOKUP(FD$72,INDIRECT($C$5&amp;"生成成长"),5))*(VLOOKUP($B$5,标准坦克设计!$B$24:$U$30,MATCH("对"&amp;LEFT($C$5,2)&amp;"输出",标准坦克设计!$B$23:$U$23,0)))*(VLOOKUP($B84,INDIRECT($B$5&amp;"生成成长"),3))*(VLOOKUP($B$5,标准坦克设计!$B$14:$K$20,9)/30))</f>
        <v>51.467167626054788</v>
      </c>
      <c r="FE84" s="173">
        <f ca="1">(VLOOKUP(FE$72,INDIRECT($C$5&amp;"生成成长"),2))/((VLOOKUP($B84,INDIRECT($B$5&amp;"生成成长"),4))/(VLOOKUP(FE$72,INDIRECT($C$5&amp;"生成成长"),5))*(VLOOKUP($B$5,标准坦克设计!$B$24:$U$30,MATCH("对"&amp;LEFT($C$5,2)&amp;"输出",标准坦克设计!$B$23:$U$23,0)))*(VLOOKUP($B84,INDIRECT($B$5&amp;"生成成长"),3))*(VLOOKUP($B$5,标准坦克设计!$B$14:$K$20,9)/30))</f>
        <v>54.946430434482757</v>
      </c>
      <c r="FF84" s="173">
        <f ca="1">(VLOOKUP(FF$72,INDIRECT($C$5&amp;"生成成长"),2))/((VLOOKUP($B84,INDIRECT($B$5&amp;"生成成长"),4))/(VLOOKUP(FF$72,INDIRECT($C$5&amp;"生成成长"),5))*(VLOOKUP($B$5,标准坦克设计!$B$24:$U$30,MATCH("对"&amp;LEFT($C$5,2)&amp;"输出",标准坦克设计!$B$23:$U$23,0)))*(VLOOKUP($B84,INDIRECT($B$5&amp;"生成成长"),3))*(VLOOKUP($B$5,标准坦克设计!$B$14:$K$20,9)/30))</f>
        <v>58.539480454255546</v>
      </c>
      <c r="FG84" s="173">
        <f ca="1">(VLOOKUP(FG$72,INDIRECT($C$5&amp;"生成成长"),2))/((VLOOKUP($B84,INDIRECT($B$5&amp;"生成成长"),4))/(VLOOKUP(FG$72,INDIRECT($C$5&amp;"生成成长"),5))*(VLOOKUP($B$5,标准坦克设计!$B$24:$U$30,MATCH("对"&amp;LEFT($C$5,2)&amp;"输出",标准坦克设计!$B$23:$U$23,0)))*(VLOOKUP($B84,INDIRECT($B$5&amp;"生成成长"),3))*(VLOOKUP($B$5,标准坦克设计!$B$14:$K$20,9)/30))</f>
        <v>62.246317685373135</v>
      </c>
      <c r="FH84" s="173">
        <f ca="1">(VLOOKUP(FH$72,INDIRECT($C$5&amp;"生成成长"),2))/((VLOOKUP($B84,INDIRECT($B$5&amp;"生成成长"),4))/(VLOOKUP(FH$72,INDIRECT($C$5&amp;"生成成长"),5))*(VLOOKUP($B$5,标准坦克设计!$B$24:$U$30,MATCH("对"&amp;LEFT($C$5,2)&amp;"输出",标准坦克设计!$B$23:$U$23,0)))*(VLOOKUP($B84,INDIRECT($B$5&amp;"生成成长"),3))*(VLOOKUP($B$5,标准坦克设计!$B$14:$K$20,9)/30))</f>
        <v>66.06694212783556</v>
      </c>
      <c r="FI84" s="173">
        <f ca="1">(VLOOKUP(FI$72,INDIRECT($C$5&amp;"生成成长"),2))/((VLOOKUP($B84,INDIRECT($B$5&amp;"生成成长"),4))/(VLOOKUP(FI$72,INDIRECT($C$5&amp;"生成成长"),5))*(VLOOKUP($B$5,标准坦克设计!$B$24:$U$30,MATCH("对"&amp;LEFT($C$5,2)&amp;"输出",标准坦克设计!$B$23:$U$23,0)))*(VLOOKUP($B84,INDIRECT($B$5&amp;"生成成长"),3))*(VLOOKUP($B$5,标准坦克设计!$B$14:$K$20,9)/30))</f>
        <v>70.001353781642777</v>
      </c>
      <c r="FJ84" s="173">
        <f ca="1">(VLOOKUP(FJ$72,INDIRECT($C$5&amp;"生成成长"),2))/((VLOOKUP($B84,INDIRECT($B$5&amp;"生成成长"),4))/(VLOOKUP(FJ$72,INDIRECT($C$5&amp;"生成成长"),5))*(VLOOKUP($B$5,标准坦克设计!$B$24:$U$30,MATCH("对"&amp;LEFT($C$5,2)&amp;"输出",标准坦克设计!$B$23:$U$23,0)))*(VLOOKUP($B84,INDIRECT($B$5&amp;"生成成长"),3))*(VLOOKUP($B$5,标准坦克设计!$B$14:$K$20,9)/30))</f>
        <v>74.049552646794808</v>
      </c>
      <c r="FK84" s="173">
        <f ca="1">(VLOOKUP(FK$72,INDIRECT($C$5&amp;"生成成长"),2))/((VLOOKUP($B84,INDIRECT($B$5&amp;"生成成长"),4))/(VLOOKUP(FK$72,INDIRECT($C$5&amp;"生成成长"),5))*(VLOOKUP($B$5,标准坦克设计!$B$24:$U$30,MATCH("对"&amp;LEFT($C$5,2)&amp;"输出",标准坦克设计!$B$23:$U$23,0)))*(VLOOKUP($B84,INDIRECT($B$5&amp;"生成成长"),3))*(VLOOKUP($B$5,标准坦克设计!$B$14:$K$20,9)/30))</f>
        <v>78.211538723291667</v>
      </c>
    </row>
    <row r="85" spans="1:167" x14ac:dyDescent="0.15">
      <c r="A85" s="171" t="str">
        <f t="shared" si="11"/>
        <v>T3低品质1级</v>
      </c>
      <c r="B85" s="172">
        <v>10301</v>
      </c>
      <c r="C85" s="173">
        <f ca="1">(VLOOKUP(C$72,INDIRECT($C$5&amp;"生成成长"),2))/((VLOOKUP($B85,INDIRECT($B$5&amp;"生成成长"),4))/(VLOOKUP(C$72,INDIRECT($C$5&amp;"生成成长"),5))*(VLOOKUP($B$5,标准坦克设计!$B$24:$U$30,MATCH("对"&amp;LEFT($C$5,2)&amp;"输出",标准坦克设计!$B$23:$U$23,0)))*(VLOOKUP($B85,INDIRECT($B$5&amp;"生成成长"),3))*(VLOOKUP($B$5,标准坦克设计!$B$14:$K$20,9)/30))</f>
        <v>4.4366074960345108</v>
      </c>
      <c r="D85" s="173">
        <f ca="1">(VLOOKUP(D$72,INDIRECT($C$5&amp;"生成成长"),2))/((VLOOKUP($B85,INDIRECT($B$5&amp;"生成成长"),4))/(VLOOKUP(D$72,INDIRECT($C$5&amp;"生成成长"),5))*(VLOOKUP($B$5,标准坦克设计!$B$24:$U$30,MATCH("对"&amp;LEFT($C$5,2)&amp;"输出",标准坦克设计!$B$23:$U$23,0)))*(VLOOKUP($B85,INDIRECT($B$5&amp;"生成成长"),3))*(VLOOKUP($B$5,标准坦克设计!$B$14:$K$20,9)/30))</f>
        <v>4.984972182544376</v>
      </c>
      <c r="E85" s="173">
        <f ca="1">(VLOOKUP(E$72,INDIRECT($C$5&amp;"生成成长"),2))/((VLOOKUP($B85,INDIRECT($B$5&amp;"生成成长"),4))/(VLOOKUP(E$72,INDIRECT($C$5&amp;"生成成长"),5))*(VLOOKUP($B$5,标准坦克设计!$B$24:$U$30,MATCH("对"&amp;LEFT($C$5,2)&amp;"输出",标准坦克设计!$B$23:$U$23,0)))*(VLOOKUP($B85,INDIRECT($B$5&amp;"生成成长"),3))*(VLOOKUP($B$5,标准坦克设计!$B$14:$K$20,9)/30))</f>
        <v>5.5652804430256912</v>
      </c>
      <c r="F85" s="173">
        <f ca="1">(VLOOKUP(F$72,INDIRECT($C$5&amp;"生成成长"),2))/((VLOOKUP($B85,INDIRECT($B$5&amp;"生成成长"),4))/(VLOOKUP(F$72,INDIRECT($C$5&amp;"生成成长"),5))*(VLOOKUP($B$5,标准坦克设计!$B$24:$U$30,MATCH("对"&amp;LEFT($C$5,2)&amp;"输出",标准坦克设计!$B$23:$U$23,0)))*(VLOOKUP($B85,INDIRECT($B$5&amp;"生成成长"),3))*(VLOOKUP($B$5,标准坦克设计!$B$14:$K$20,9)/30))</f>
        <v>6.1775322774784529</v>
      </c>
      <c r="G85" s="173">
        <f ca="1">(VLOOKUP(G$72,INDIRECT($C$5&amp;"生成成长"),2))/((VLOOKUP($B85,INDIRECT($B$5&amp;"生成成长"),4))/(VLOOKUP(G$72,INDIRECT($C$5&amp;"生成成长"),5))*(VLOOKUP($B$5,标准坦克设计!$B$24:$U$30,MATCH("对"&amp;LEFT($C$5,2)&amp;"输出",标准坦克设计!$B$23:$U$23,0)))*(VLOOKUP($B85,INDIRECT($B$5&amp;"生成成长"),3))*(VLOOKUP($B$5,标准坦克设计!$B$14:$K$20,9)/30))</f>
        <v>6.8217276859026637</v>
      </c>
      <c r="H85" s="173">
        <f ca="1">(VLOOKUP(H$72,INDIRECT($C$5&amp;"生成成长"),2))/((VLOOKUP($B85,INDIRECT($B$5&amp;"生成成长"),4))/(VLOOKUP(H$72,INDIRECT($C$5&amp;"生成成长"),5))*(VLOOKUP($B$5,标准坦克设计!$B$24:$U$30,MATCH("对"&amp;LEFT($C$5,2)&amp;"输出",标准坦克设计!$B$23:$U$23,0)))*(VLOOKUP($B85,INDIRECT($B$5&amp;"生成成长"),3))*(VLOOKUP($B$5,标准坦克设计!$B$14:$K$20,9)/30))</f>
        <v>5.9698990466640387</v>
      </c>
      <c r="I85" s="173">
        <f ca="1">(VLOOKUP(I$72,INDIRECT($C$5&amp;"生成成长"),2))/((VLOOKUP($B85,INDIRECT($B$5&amp;"生成成长"),4))/(VLOOKUP(I$72,INDIRECT($C$5&amp;"生成成长"),5))*(VLOOKUP($B$5,标准坦克设计!$B$24:$U$30,MATCH("对"&amp;LEFT($C$5,2)&amp;"输出",标准坦克设计!$B$23:$U$23,0)))*(VLOOKUP($B85,INDIRECT($B$5&amp;"生成成长"),3))*(VLOOKUP($B$5,标准坦克设计!$B$14:$K$20,9)/30))</f>
        <v>6.8217276859026637</v>
      </c>
      <c r="J85" s="173">
        <f ca="1">(VLOOKUP(J$72,INDIRECT($C$5&amp;"生成成长"),2))/((VLOOKUP($B85,INDIRECT($B$5&amp;"生成成长"),4))/(VLOOKUP(J$72,INDIRECT($C$5&amp;"生成成长"),5))*(VLOOKUP($B$5,标准坦克设计!$B$24:$U$30,MATCH("对"&amp;LEFT($C$5,2)&amp;"输出",标准坦克设计!$B$23:$U$23,0)))*(VLOOKUP($B85,INDIRECT($B$5&amp;"生成成长"),3))*(VLOOKUP($B$5,标准坦克设计!$B$14:$K$20,9)/30))</f>
        <v>7.7303449010905334</v>
      </c>
      <c r="K85" s="173">
        <f ca="1">(VLOOKUP(K$72,INDIRECT($C$5&amp;"生成成长"),2))/((VLOOKUP($B85,INDIRECT($B$5&amp;"生成成长"),4))/(VLOOKUP(K$72,INDIRECT($C$5&amp;"生成成长"),5))*(VLOOKUP($B$5,标准坦克设计!$B$24:$U$30,MATCH("对"&amp;LEFT($C$5,2)&amp;"输出",标准坦克设计!$B$23:$U$23,0)))*(VLOOKUP($B85,INDIRECT($B$5&amp;"生成成长"),3))*(VLOOKUP($B$5,标准坦克设计!$B$14:$K$20,9)/30))</f>
        <v>8.6957506922276426</v>
      </c>
      <c r="L85" s="173">
        <f ca="1">(VLOOKUP(L$72,INDIRECT($C$5&amp;"生成成长"),2))/((VLOOKUP($B85,INDIRECT($B$5&amp;"生成成长"),4))/(VLOOKUP(L$72,INDIRECT($C$5&amp;"生成成长"),5))*(VLOOKUP($B$5,标准坦克设计!$B$24:$U$30,MATCH("对"&amp;LEFT($C$5,2)&amp;"输出",标准坦克设计!$B$23:$U$23,0)))*(VLOOKUP($B85,INDIRECT($B$5&amp;"生成成长"),3))*(VLOOKUP($B$5,标准坦克设计!$B$14:$K$20,9)/30))</f>
        <v>9.7179450593139922</v>
      </c>
      <c r="M85" s="173">
        <f ca="1">(VLOOKUP(M$72,INDIRECT($C$5&amp;"生成成长"),2))/((VLOOKUP($B85,INDIRECT($B$5&amp;"生成成长"),4))/(VLOOKUP(M$72,INDIRECT($C$5&amp;"生成成长"),5))*(VLOOKUP($B$5,标准坦克设计!$B$24:$U$30,MATCH("对"&amp;LEFT($C$5,2)&amp;"输出",标准坦克设计!$B$23:$U$23,0)))*(VLOOKUP($B85,INDIRECT($B$5&amp;"生成成长"),3))*(VLOOKUP($B$5,标准坦克设计!$B$14:$K$20,9)/30))</f>
        <v>10.796928002349588</v>
      </c>
      <c r="N85" s="173">
        <f ca="1">(VLOOKUP(N$72,INDIRECT($C$5&amp;"生成成长"),2))/((VLOOKUP($B85,INDIRECT($B$5&amp;"生成成长"),4))/(VLOOKUP(N$72,INDIRECT($C$5&amp;"生成成长"),5))*(VLOOKUP($B$5,标准坦克设计!$B$24:$U$30,MATCH("对"&amp;LEFT($C$5,2)&amp;"输出",标准坦克设计!$B$23:$U$23,0)))*(VLOOKUP($B85,INDIRECT($B$5&amp;"生成成长"),3))*(VLOOKUP($B$5,标准坦克设计!$B$14:$K$20,9)/30))</f>
        <v>11.932699521334422</v>
      </c>
      <c r="O85" s="173">
        <f ca="1">(VLOOKUP(O$72,INDIRECT($C$5&amp;"生成成长"),2))/((VLOOKUP($B85,INDIRECT($B$5&amp;"生成成长"),4))/(VLOOKUP(O$72,INDIRECT($C$5&amp;"生成成长"),5))*(VLOOKUP($B$5,标准坦克设计!$B$24:$U$30,MATCH("对"&amp;LEFT($C$5,2)&amp;"输出",标准坦克设计!$B$23:$U$23,0)))*(VLOOKUP($B85,INDIRECT($B$5&amp;"生成成长"),3))*(VLOOKUP($B$5,标准坦克设计!$B$14:$K$20,9)/30))</f>
        <v>9.0724186686409709</v>
      </c>
      <c r="P85" s="173">
        <f ca="1">(VLOOKUP(P$72,INDIRECT($C$5&amp;"生成成长"),2))/((VLOOKUP($B85,INDIRECT($B$5&amp;"生成成长"),4))/(VLOOKUP(P$72,INDIRECT($C$5&amp;"生成成长"),5))*(VLOOKUP($B$5,标准坦克设计!$B$24:$U$30,MATCH("对"&amp;LEFT($C$5,2)&amp;"输出",标准坦克设计!$B$23:$U$23,0)))*(VLOOKUP($B85,INDIRECT($B$5&amp;"生成成长"),3))*(VLOOKUP($B$5,标准坦克设计!$B$14:$K$20,9)/30))</f>
        <v>10.250337958838134</v>
      </c>
      <c r="Q85" s="173">
        <f ca="1">(VLOOKUP(Q$72,INDIRECT($C$5&amp;"生成成长"),2))/((VLOOKUP($B85,INDIRECT($B$5&amp;"生成成长"),4))/(VLOOKUP(Q$72,INDIRECT($C$5&amp;"生成成长"),5))*(VLOOKUP($B$5,标准坦克设计!$B$24:$U$30,MATCH("对"&amp;LEFT($C$5,2)&amp;"输出",标准坦克设计!$B$23:$U$23,0)))*(VLOOKUP($B85,INDIRECT($B$5&amp;"生成成长"),3))*(VLOOKUP($B$5,标准坦克设计!$B$14:$K$20,9)/30))</f>
        <v>11.500130290471056</v>
      </c>
      <c r="R85" s="173">
        <f ca="1">(VLOOKUP(R$72,INDIRECT($C$5&amp;"生成成长"),2))/((VLOOKUP($B85,INDIRECT($B$5&amp;"生成成长"),4))/(VLOOKUP(R$72,INDIRECT($C$5&amp;"生成成长"),5))*(VLOOKUP($B$5,标准坦克设计!$B$24:$U$30,MATCH("对"&amp;LEFT($C$5,2)&amp;"输出",标准坦克设计!$B$23:$U$23,0)))*(VLOOKUP($B85,INDIRECT($B$5&amp;"生成成长"),3))*(VLOOKUP($B$5,标准坦克设计!$B$14:$K$20,9)/30))</f>
        <v>12.821795663539737</v>
      </c>
      <c r="S85" s="173">
        <f ca="1">(VLOOKUP(S$72,INDIRECT($C$5&amp;"生成成长"),2))/((VLOOKUP($B85,INDIRECT($B$5&amp;"生成成长"),4))/(VLOOKUP(S$72,INDIRECT($C$5&amp;"生成成长"),5))*(VLOOKUP($B$5,标准坦克设计!$B$24:$U$30,MATCH("对"&amp;LEFT($C$5,2)&amp;"输出",标准坦克设计!$B$23:$U$23,0)))*(VLOOKUP($B85,INDIRECT($B$5&amp;"生成成长"),3))*(VLOOKUP($B$5,标准坦克设计!$B$14:$K$20,9)/30))</f>
        <v>14.215334078044176</v>
      </c>
      <c r="T85" s="173">
        <f ca="1">(VLOOKUP(T$72,INDIRECT($C$5&amp;"生成成长"),2))/((VLOOKUP($B85,INDIRECT($B$5&amp;"生成成长"),4))/(VLOOKUP(T$72,INDIRECT($C$5&amp;"生成成长"),5))*(VLOOKUP($B$5,标准坦克设计!$B$24:$U$30,MATCH("对"&amp;LEFT($C$5,2)&amp;"输出",标准坦克设计!$B$23:$U$23,0)))*(VLOOKUP($B85,INDIRECT($B$5&amp;"生成成长"),3))*(VLOOKUP($B$5,标准坦克设计!$B$14:$K$20,9)/30))</f>
        <v>15.680745533984378</v>
      </c>
      <c r="U85" s="173">
        <f ca="1">(VLOOKUP(U$72,INDIRECT($C$5&amp;"生成成长"),2))/((VLOOKUP($B85,INDIRECT($B$5&amp;"生成成长"),4))/(VLOOKUP(U$72,INDIRECT($C$5&amp;"生成成长"),5))*(VLOOKUP($B$5,标准坦克设计!$B$24:$U$30,MATCH("对"&amp;LEFT($C$5,2)&amp;"输出",标准坦克设计!$B$23:$U$23,0)))*(VLOOKUP($B85,INDIRECT($B$5&amp;"生成成长"),3))*(VLOOKUP($B$5,标准坦克设计!$B$14:$K$20,9)/30))</f>
        <v>17.218030031360335</v>
      </c>
      <c r="V85" s="173">
        <f ca="1">(VLOOKUP(V$72,INDIRECT($C$5&amp;"生成成长"),2))/((VLOOKUP($B85,INDIRECT($B$5&amp;"生成成长"),4))/(VLOOKUP(V$72,INDIRECT($C$5&amp;"生成成长"),5))*(VLOOKUP($B$5,标准坦克设计!$B$24:$U$30,MATCH("对"&amp;LEFT($C$5,2)&amp;"输出",标准坦克设计!$B$23:$U$23,0)))*(VLOOKUP($B85,INDIRECT($B$5&amp;"生成成长"),3))*(VLOOKUP($B$5,标准坦克设计!$B$14:$K$20,9)/30))</f>
        <v>18.827187570172054</v>
      </c>
      <c r="W85" s="173">
        <f ca="1">(VLOOKUP(W$72,INDIRECT($C$5&amp;"生成成长"),2))/((VLOOKUP($B85,INDIRECT($B$5&amp;"生成成长"),4))/(VLOOKUP(W$72,INDIRECT($C$5&amp;"生成成长"),5))*(VLOOKUP($B$5,标准坦克设计!$B$24:$U$30,MATCH("对"&amp;LEFT($C$5,2)&amp;"输出",标准坦克设计!$B$23:$U$23,0)))*(VLOOKUP($B85,INDIRECT($B$5&amp;"生成成长"),3))*(VLOOKUP($B$5,标准坦克设计!$B$14:$K$20,9)/30))</f>
        <v>20.50821815041953</v>
      </c>
      <c r="X85" s="173">
        <f ca="1">(VLOOKUP(X$72,INDIRECT($C$5&amp;"生成成长"),2))/((VLOOKUP($B85,INDIRECT($B$5&amp;"生成成长"),4))/(VLOOKUP(X$72,INDIRECT($C$5&amp;"生成成长"),5))*(VLOOKUP($B$5,标准坦克设计!$B$24:$U$30,MATCH("对"&amp;LEFT($C$5,2)&amp;"输出",标准坦克设计!$B$23:$U$23,0)))*(VLOOKUP($B85,INDIRECT($B$5&amp;"生成成长"),3))*(VLOOKUP($B$5,标准坦克设计!$B$14:$K$20,9)/30))</f>
        <v>14.857754843469975</v>
      </c>
      <c r="Y85" s="173">
        <f ca="1">(VLOOKUP(Y$72,INDIRECT($C$5&amp;"生成成长"),2))/((VLOOKUP($B85,INDIRECT($B$5&amp;"生成成长"),4))/(VLOOKUP(Y$72,INDIRECT($C$5&amp;"生成成长"),5))*(VLOOKUP($B$5,标准坦克设计!$B$24:$U$30,MATCH("对"&amp;LEFT($C$5,2)&amp;"输出",标准坦克设计!$B$23:$U$23,0)))*(VLOOKUP($B85,INDIRECT($B$5&amp;"生成成长"),3))*(VLOOKUP($B$5,标准坦克设计!$B$14:$K$20,9)/30))</f>
        <v>16.525919261978952</v>
      </c>
      <c r="Z85" s="173">
        <f ca="1">(VLOOKUP(Z$72,INDIRECT($C$5&amp;"生成成长"),2))/((VLOOKUP($B85,INDIRECT($B$5&amp;"生成成长"),4))/(VLOOKUP(Z$72,INDIRECT($C$5&amp;"生成成长"),5))*(VLOOKUP($B$5,标准坦克设计!$B$24:$U$30,MATCH("对"&amp;LEFT($C$5,2)&amp;"输出",标准坦克设计!$B$23:$U$23,0)))*(VLOOKUP($B85,INDIRECT($B$5&amp;"生成成长"),3))*(VLOOKUP($B$5,标准坦克设计!$B$14:$K$20,9)/30))</f>
        <v>18.282815830408616</v>
      </c>
      <c r="AA85" s="173">
        <f ca="1">(VLOOKUP(AA$72,INDIRECT($C$5&amp;"生成成长"),2))/((VLOOKUP($B85,INDIRECT($B$5&amp;"生成成长"),4))/(VLOOKUP(AA$72,INDIRECT($C$5&amp;"生成成长"),5))*(VLOOKUP($B$5,标准坦克设计!$B$24:$U$30,MATCH("对"&amp;LEFT($C$5,2)&amp;"输出",标准坦克设计!$B$23:$U$23,0)))*(VLOOKUP($B85,INDIRECT($B$5&amp;"生成成长"),3))*(VLOOKUP($B$5,标准坦克设计!$B$14:$K$20,9)/30))</f>
        <v>20.128444548758974</v>
      </c>
      <c r="AB85" s="173">
        <f ca="1">(VLOOKUP(AB$72,INDIRECT($C$5&amp;"生成成长"),2))/((VLOOKUP($B85,INDIRECT($B$5&amp;"生成成长"),4))/(VLOOKUP(AB$72,INDIRECT($C$5&amp;"生成成长"),5))*(VLOOKUP($B$5,标准坦克设计!$B$24:$U$30,MATCH("对"&amp;LEFT($C$5,2)&amp;"输出",标准坦克设计!$B$23:$U$23,0)))*(VLOOKUP($B85,INDIRECT($B$5&amp;"生成成长"),3))*(VLOOKUP($B$5,标准坦克设计!$B$14:$K$20,9)/30))</f>
        <v>22.062805417030024</v>
      </c>
      <c r="AC85" s="173">
        <f ca="1">(VLOOKUP(AC$72,INDIRECT($C$5&amp;"生成成长"),2))/((VLOOKUP($B85,INDIRECT($B$5&amp;"生成成长"),4))/(VLOOKUP(AC$72,INDIRECT($C$5&amp;"生成成长"),5))*(VLOOKUP($B$5,标准坦克设计!$B$24:$U$30,MATCH("对"&amp;LEFT($C$5,2)&amp;"输出",标准坦克设计!$B$23:$U$23,0)))*(VLOOKUP($B85,INDIRECT($B$5&amp;"生成成长"),3))*(VLOOKUP($B$5,标准坦克设计!$B$14:$K$20,9)/30))</f>
        <v>24.085898435221765</v>
      </c>
      <c r="AD85" s="173">
        <f ca="1">(VLOOKUP(AD$72,INDIRECT($C$5&amp;"生成成长"),2))/((VLOOKUP($B85,INDIRECT($B$5&amp;"生成成长"),4))/(VLOOKUP(AD$72,INDIRECT($C$5&amp;"生成成长"),5))*(VLOOKUP($B$5,标准坦克设计!$B$24:$U$30,MATCH("对"&amp;LEFT($C$5,2)&amp;"输出",标准坦克设计!$B$23:$U$23,0)))*(VLOOKUP($B85,INDIRECT($B$5&amp;"生成成长"),3))*(VLOOKUP($B$5,标准坦克设计!$B$14:$K$20,9)/30))</f>
        <v>26.197723603334182</v>
      </c>
      <c r="AE85" s="173">
        <f ca="1">(VLOOKUP(AE$72,INDIRECT($C$5&amp;"生成成长"),2))/((VLOOKUP($B85,INDIRECT($B$5&amp;"生成成长"),4))/(VLOOKUP(AE$72,INDIRECT($C$5&amp;"生成成长"),5))*(VLOOKUP($B$5,标准坦克设计!$B$24:$U$30,MATCH("对"&amp;LEFT($C$5,2)&amp;"输出",标准坦克设计!$B$23:$U$23,0)))*(VLOOKUP($B85,INDIRECT($B$5&amp;"生成成长"),3))*(VLOOKUP($B$5,标准坦克设计!$B$14:$K$20,9)/30))</f>
        <v>28.398280921367306</v>
      </c>
      <c r="AF85" s="173">
        <f ca="1">(VLOOKUP(AF$72,INDIRECT($C$5&amp;"生成成长"),2))/((VLOOKUP($B85,INDIRECT($B$5&amp;"生成成长"),4))/(VLOOKUP(AF$72,INDIRECT($C$5&amp;"生成成长"),5))*(VLOOKUP($B$5,标准坦克设计!$B$24:$U$30,MATCH("对"&amp;LEFT($C$5,2)&amp;"输出",标准坦克设计!$B$23:$U$23,0)))*(VLOOKUP($B85,INDIRECT($B$5&amp;"生成成长"),3))*(VLOOKUP($B$5,标准坦克设计!$B$14:$K$20,9)/30))</f>
        <v>30.68757038932111</v>
      </c>
      <c r="AG85" s="173">
        <f ca="1">(VLOOKUP(AG$72,INDIRECT($C$5&amp;"生成成长"),2))/((VLOOKUP($B85,INDIRECT($B$5&amp;"生成成长"),4))/(VLOOKUP(AG$72,INDIRECT($C$5&amp;"生成成长"),5))*(VLOOKUP($B$5,标准坦克设计!$B$24:$U$30,MATCH("对"&amp;LEFT($C$5,2)&amp;"输出",标准坦克设计!$B$23:$U$23,0)))*(VLOOKUP($B85,INDIRECT($B$5&amp;"生成成长"),3))*(VLOOKUP($B$5,标准坦克设计!$B$14:$K$20,9)/30))</f>
        <v>33.065592007195612</v>
      </c>
      <c r="AH85" s="173">
        <f ca="1">(VLOOKUP(AH$72,INDIRECT($C$5&amp;"生成成长"),2))/((VLOOKUP($B85,INDIRECT($B$5&amp;"生成成长"),4))/(VLOOKUP(AH$72,INDIRECT($C$5&amp;"生成成长"),5))*(VLOOKUP($B$5,标准坦克设计!$B$24:$U$30,MATCH("对"&amp;LEFT($C$5,2)&amp;"输出",标准坦克设计!$B$23:$U$23,0)))*(VLOOKUP($B85,INDIRECT($B$5&amp;"生成成长"),3))*(VLOOKUP($B$5,标准坦克设计!$B$14:$K$20,9)/30))</f>
        <v>35.532345774990794</v>
      </c>
      <c r="AI85" s="173">
        <f ca="1">(VLOOKUP(AI$72,INDIRECT($C$5&amp;"生成成长"),2))/((VLOOKUP($B85,INDIRECT($B$5&amp;"生成成长"),4))/(VLOOKUP(AI$72,INDIRECT($C$5&amp;"生成成长"),5))*(VLOOKUP($B$5,标准坦克设计!$B$24:$U$30,MATCH("对"&amp;LEFT($C$5,2)&amp;"输出",标准坦克设计!$B$23:$U$23,0)))*(VLOOKUP($B85,INDIRECT($B$5&amp;"生成成长"),3))*(VLOOKUP($B$5,标准坦克设计!$B$14:$K$20,9)/30))</f>
        <v>25.130719500537882</v>
      </c>
      <c r="AJ85" s="173">
        <f ca="1">(VLOOKUP(AJ$72,INDIRECT($C$5&amp;"生成成长"),2))/((VLOOKUP($B85,INDIRECT($B$5&amp;"生成成长"),4))/(VLOOKUP(AJ$72,INDIRECT($C$5&amp;"生成成长"),5))*(VLOOKUP($B$5,标准坦克设计!$B$24:$U$30,MATCH("对"&amp;LEFT($C$5,2)&amp;"输出",标准坦克设计!$B$23:$U$23,0)))*(VLOOKUP($B85,INDIRECT($B$5&amp;"生成成长"),3))*(VLOOKUP($B$5,标准坦克设计!$B$14:$K$20,9)/30))</f>
        <v>27.507410136163575</v>
      </c>
      <c r="AK85" s="173">
        <f ca="1">(VLOOKUP(AK$72,INDIRECT($C$5&amp;"生成成长"),2))/((VLOOKUP($B85,INDIRECT($B$5&amp;"生成成长"),4))/(VLOOKUP(AK$72,INDIRECT($C$5&amp;"生成成长"),5))*(VLOOKUP($B$5,标准坦克设计!$B$24:$U$30,MATCH("对"&amp;LEFT($C$5,2)&amp;"输出",标准坦克设计!$B$23:$U$23,0)))*(VLOOKUP($B85,INDIRECT($B$5&amp;"生成成长"),3))*(VLOOKUP($B$5,标准坦克设计!$B$14:$K$20,9)/30))</f>
        <v>29.991466673193298</v>
      </c>
      <c r="AL85" s="173">
        <f ca="1">(VLOOKUP(AL$72,INDIRECT($C$5&amp;"生成成长"),2))/((VLOOKUP($B85,INDIRECT($B$5&amp;"生成成长"),4))/(VLOOKUP(AL$72,INDIRECT($C$5&amp;"生成成长"),5))*(VLOOKUP($B$5,标准坦克设计!$B$24:$U$30,MATCH("对"&amp;LEFT($C$5,2)&amp;"输出",标准坦克设计!$B$23:$U$23,0)))*(VLOOKUP($B85,INDIRECT($B$5&amp;"生成成长"),3))*(VLOOKUP($B$5,标准坦克设计!$B$14:$K$20,9)/30))</f>
        <v>32.582889111627054</v>
      </c>
      <c r="AM85" s="173">
        <f ca="1">(VLOOKUP(AM$72,INDIRECT($C$5&amp;"生成成长"),2))/((VLOOKUP($B85,INDIRECT($B$5&amp;"生成成长"),4))/(VLOOKUP(AM$72,INDIRECT($C$5&amp;"生成成长"),5))*(VLOOKUP($B$5,标准坦克设计!$B$24:$U$30,MATCH("对"&amp;LEFT($C$5,2)&amp;"输出",标准坦克设计!$B$23:$U$23,0)))*(VLOOKUP($B85,INDIRECT($B$5&amp;"生成成长"),3))*(VLOOKUP($B$5,标准坦克设计!$B$14:$K$20,9)/30))</f>
        <v>35.281677451464851</v>
      </c>
      <c r="AN85" s="173">
        <f ca="1">(VLOOKUP(AN$72,INDIRECT($C$5&amp;"生成成长"),2))/((VLOOKUP($B85,INDIRECT($B$5&amp;"生成成长"),4))/(VLOOKUP(AN$72,INDIRECT($C$5&amp;"生成成长"),5))*(VLOOKUP($B$5,标准坦克设计!$B$24:$U$30,MATCH("对"&amp;LEFT($C$5,2)&amp;"输出",标准坦克设计!$B$23:$U$23,0)))*(VLOOKUP($B85,INDIRECT($B$5&amp;"生成成长"),3))*(VLOOKUP($B$5,标准坦克设计!$B$14:$K$20,9)/30))</f>
        <v>38.087831692706672</v>
      </c>
      <c r="AO85" s="173">
        <f ca="1">(VLOOKUP(AO$72,INDIRECT($C$5&amp;"生成成长"),2))/((VLOOKUP($B85,INDIRECT($B$5&amp;"生成成长"),4))/(VLOOKUP(AO$72,INDIRECT($C$5&amp;"生成成长"),5))*(VLOOKUP($B$5,标准坦克设计!$B$24:$U$30,MATCH("对"&amp;LEFT($C$5,2)&amp;"输出",标准坦克设计!$B$23:$U$23,0)))*(VLOOKUP($B85,INDIRECT($B$5&amp;"生成成长"),3))*(VLOOKUP($B$5,标准坦克设计!$B$14:$K$20,9)/30))</f>
        <v>41.001351835352537</v>
      </c>
      <c r="AP85" s="173">
        <f ca="1">(VLOOKUP(AP$72,INDIRECT($C$5&amp;"生成成长"),2))/((VLOOKUP($B85,INDIRECT($B$5&amp;"生成成长"),4))/(VLOOKUP(AP$72,INDIRECT($C$5&amp;"生成成长"),5))*(VLOOKUP($B$5,标准坦克设计!$B$24:$U$30,MATCH("对"&amp;LEFT($C$5,2)&amp;"输出",标准坦克设计!$B$23:$U$23,0)))*(VLOOKUP($B85,INDIRECT($B$5&amp;"生成成长"),3))*(VLOOKUP($B$5,标准坦克设计!$B$14:$K$20,9)/30))</f>
        <v>44.022237879402446</v>
      </c>
      <c r="AQ85" s="173">
        <f ca="1">(VLOOKUP(AQ$72,INDIRECT($C$5&amp;"生成成长"),2))/((VLOOKUP($B85,INDIRECT($B$5&amp;"生成成长"),4))/(VLOOKUP(AQ$72,INDIRECT($C$5&amp;"生成成长"),5))*(VLOOKUP($B$5,标准坦克设计!$B$24:$U$30,MATCH("对"&amp;LEFT($C$5,2)&amp;"输出",标准坦克设计!$B$23:$U$23,0)))*(VLOOKUP($B85,INDIRECT($B$5&amp;"生成成长"),3))*(VLOOKUP($B$5,标准坦克设计!$B$14:$K$20,9)/30))</f>
        <v>47.150489824856365</v>
      </c>
      <c r="AR85" s="173">
        <f ca="1">(VLOOKUP(AR$72,INDIRECT($C$5&amp;"生成成长"),2))/((VLOOKUP($B85,INDIRECT($B$5&amp;"生成成长"),4))/(VLOOKUP(AR$72,INDIRECT($C$5&amp;"生成成长"),5))*(VLOOKUP($B$5,标准坦克设计!$B$24:$U$30,MATCH("对"&amp;LEFT($C$5,2)&amp;"输出",标准坦克设计!$B$23:$U$23,0)))*(VLOOKUP($B85,INDIRECT($B$5&amp;"生成成长"),3))*(VLOOKUP($B$5,标准坦克设计!$B$14:$K$20,9)/30))</f>
        <v>50.386107671714342</v>
      </c>
      <c r="AS85" s="173">
        <f ca="1">(VLOOKUP(AS$72,INDIRECT($C$5&amp;"生成成长"),2))/((VLOOKUP($B85,INDIRECT($B$5&amp;"生成成长"),4))/(VLOOKUP(AS$72,INDIRECT($C$5&amp;"生成成长"),5))*(VLOOKUP($B$5,标准坦克设计!$B$24:$U$30,MATCH("对"&amp;LEFT($C$5,2)&amp;"输出",标准坦克设计!$B$23:$U$23,0)))*(VLOOKUP($B85,INDIRECT($B$5&amp;"生成成长"),3))*(VLOOKUP($B$5,标准坦克设计!$B$14:$K$20,9)/30))</f>
        <v>53.729091419976342</v>
      </c>
      <c r="AT85" s="173">
        <f ca="1">(VLOOKUP(AT$72,INDIRECT($C$5&amp;"生成成长"),2))/((VLOOKUP($B85,INDIRECT($B$5&amp;"生成成长"),4))/(VLOOKUP(AT$72,INDIRECT($C$5&amp;"生成成长"),5))*(VLOOKUP($B$5,标准坦克设计!$B$24:$U$30,MATCH("对"&amp;LEFT($C$5,2)&amp;"输出",标准坦克设计!$B$23:$U$23,0)))*(VLOOKUP($B85,INDIRECT($B$5&amp;"生成成长"),3))*(VLOOKUP($B$5,标准坦克设计!$B$14:$K$20,9)/30))</f>
        <v>57.179441069642387</v>
      </c>
      <c r="AU85" s="173">
        <f ca="1">(VLOOKUP(AU$72,INDIRECT($C$5&amp;"生成成长"),2))/((VLOOKUP($B85,INDIRECT($B$5&amp;"生成成长"),4))/(VLOOKUP(AU$72,INDIRECT($C$5&amp;"生成成长"),5))*(VLOOKUP($B$5,标准坦克设计!$B$24:$U$30,MATCH("对"&amp;LEFT($C$5,2)&amp;"输出",标准坦克设计!$B$23:$U$23,0)))*(VLOOKUP($B85,INDIRECT($B$5&amp;"生成成长"),3))*(VLOOKUP($B$5,标准坦克设计!$B$14:$K$20,9)/30))</f>
        <v>60.737156620712454</v>
      </c>
      <c r="AV85" s="173">
        <f ca="1">(VLOOKUP(AV$72,INDIRECT($C$5&amp;"生成成长"),2))/((VLOOKUP($B85,INDIRECT($B$5&amp;"生成成长"),4))/(VLOOKUP(AV$72,INDIRECT($C$5&amp;"生成成长"),5))*(VLOOKUP($B$5,标准坦克设计!$B$24:$U$30,MATCH("对"&amp;LEFT($C$5,2)&amp;"输出",标准坦克设计!$B$23:$U$23,0)))*(VLOOKUP($B85,INDIRECT($B$5&amp;"生成成长"),3))*(VLOOKUP($B$5,标准坦克设计!$B$14:$K$20,9)/30))</f>
        <v>6.1775322774784529</v>
      </c>
      <c r="AW85" s="173">
        <f ca="1">(VLOOKUP(AW$72,INDIRECT($C$5&amp;"生成成长"),2))/((VLOOKUP($B85,INDIRECT($B$5&amp;"生成成长"),4))/(VLOOKUP(AW$72,INDIRECT($C$5&amp;"生成成长"),5))*(VLOOKUP($B$5,标准坦克设计!$B$24:$U$30,MATCH("对"&amp;LEFT($C$5,2)&amp;"输出",标准坦克设计!$B$23:$U$23,0)))*(VLOOKUP($B85,INDIRECT($B$5&amp;"生成成长"),3))*(VLOOKUP($B$5,标准坦克设计!$B$14:$K$20,9)/30))</f>
        <v>7.0435580607043891</v>
      </c>
      <c r="AX85" s="173">
        <f ca="1">(VLOOKUP(AX$72,INDIRECT($C$5&amp;"生成成长"),2))/((VLOOKUP($B85,INDIRECT($B$5&amp;"生成成长"),4))/(VLOOKUP(AX$72,INDIRECT($C$5&amp;"生成成长"),5))*(VLOOKUP($B$5,标准坦克设计!$B$24:$U$30,MATCH("对"&amp;LEFT($C$5,2)&amp;"输出",标准坦克设计!$B$23:$U$23,0)))*(VLOOKUP($B85,INDIRECT($B$5&amp;"生成成长"),3))*(VLOOKUP($B$5,标准坦克设计!$B$14:$K$20,9)/30))</f>
        <v>7.9663724198795673</v>
      </c>
      <c r="AY85" s="173">
        <f ca="1">(VLOOKUP(AY$72,INDIRECT($C$5&amp;"生成成长"),2))/((VLOOKUP($B85,INDIRECT($B$5&amp;"生成成长"),4))/(VLOOKUP(AY$72,INDIRECT($C$5&amp;"生成成长"),5))*(VLOOKUP($B$5,标准坦克设计!$B$24:$U$30,MATCH("对"&amp;LEFT($C$5,2)&amp;"输出",标准坦克设计!$B$23:$U$23,0)))*(VLOOKUP($B85,INDIRECT($B$5&amp;"生成成长"),3))*(VLOOKUP($B$5,标准坦克设计!$B$14:$K$20,9)/30))</f>
        <v>8.9459753550039878</v>
      </c>
      <c r="AZ85" s="173">
        <f ca="1">(VLOOKUP(AZ$72,INDIRECT($C$5&amp;"生成成长"),2))/((VLOOKUP($B85,INDIRECT($B$5&amp;"生成成长"),4))/(VLOOKUP(AZ$72,INDIRECT($C$5&amp;"生成成长"),5))*(VLOOKUP($B$5,标准坦克设计!$B$24:$U$30,MATCH("对"&amp;LEFT($C$5,2)&amp;"输出",标准坦克设计!$B$23:$U$23,0)))*(VLOOKUP($B85,INDIRECT($B$5&amp;"生成成长"),3))*(VLOOKUP($B$5,标准坦克设计!$B$14:$K$20,9)/30))</f>
        <v>9.9823668660776477</v>
      </c>
      <c r="BA85" s="173">
        <f ca="1">(VLOOKUP(BA$72,INDIRECT($C$5&amp;"生成成长"),2))/((VLOOKUP($B85,INDIRECT($B$5&amp;"生成成长"),4))/(VLOOKUP(BA$72,INDIRECT($C$5&amp;"生成成长"),5))*(VLOOKUP($B$5,标准坦克设计!$B$24:$U$30,MATCH("对"&amp;LEFT($C$5,2)&amp;"输出",标准坦克设计!$B$23:$U$23,0)))*(VLOOKUP($B85,INDIRECT($B$5&amp;"生成成长"),3))*(VLOOKUP($B$5,标准坦克设计!$B$14:$K$20,9)/30))</f>
        <v>11.075546953100552</v>
      </c>
      <c r="BB85" s="173">
        <f ca="1">(VLOOKUP(BB$72,INDIRECT($C$5&amp;"生成成长"),2))/((VLOOKUP($B85,INDIRECT($B$5&amp;"生成成长"),4))/(VLOOKUP(BB$72,INDIRECT($C$5&amp;"生成成长"),5))*(VLOOKUP($B$5,标准坦克设计!$B$24:$U$30,MATCH("对"&amp;LEFT($C$5,2)&amp;"输出",标准坦克设计!$B$23:$U$23,0)))*(VLOOKUP($B85,INDIRECT($B$5&amp;"生成成长"),3))*(VLOOKUP($B$5,标准坦克设计!$B$14:$K$20,9)/30))</f>
        <v>12.225515616072698</v>
      </c>
      <c r="BC85" s="173">
        <f ca="1">(VLOOKUP(BC$72,INDIRECT($C$5&amp;"生成成长"),2))/((VLOOKUP($B85,INDIRECT($B$5&amp;"生成成长"),4))/(VLOOKUP(BC$72,INDIRECT($C$5&amp;"生成成长"),5))*(VLOOKUP($B$5,标准坦克设计!$B$24:$U$30,MATCH("对"&amp;LEFT($C$5,2)&amp;"输出",标准坦克设计!$B$23:$U$23,0)))*(VLOOKUP($B85,INDIRECT($B$5&amp;"生成成长"),3))*(VLOOKUP($B$5,标准坦克设计!$B$14:$K$20,9)/30))</f>
        <v>13.432272854994086</v>
      </c>
      <c r="BD85" s="173">
        <f ca="1">(VLOOKUP(BD$72,INDIRECT($C$5&amp;"生成成长"),2))/((VLOOKUP($B85,INDIRECT($B$5&amp;"生成成长"),4))/(VLOOKUP(BD$72,INDIRECT($C$5&amp;"生成成长"),5))*(VLOOKUP($B$5,标准坦克设计!$B$24:$U$30,MATCH("对"&amp;LEFT($C$5,2)&amp;"输出",标准坦克设计!$B$23:$U$23,0)))*(VLOOKUP($B85,INDIRECT($B$5&amp;"生成成长"),3))*(VLOOKUP($B$5,标准坦克设计!$B$14:$K$20,9)/30))</f>
        <v>14.857754843469975</v>
      </c>
      <c r="BE85" s="173">
        <f ca="1">(VLOOKUP(BE$72,INDIRECT($C$5&amp;"生成成长"),2))/((VLOOKUP($B85,INDIRECT($B$5&amp;"生成成长"),4))/(VLOOKUP(BE$72,INDIRECT($C$5&amp;"生成成长"),5))*(VLOOKUP($B$5,标准坦克设计!$B$24:$U$30,MATCH("对"&amp;LEFT($C$5,2)&amp;"输出",标准坦克设计!$B$23:$U$23,0)))*(VLOOKUP($B85,INDIRECT($B$5&amp;"生成成长"),3))*(VLOOKUP($B$5,标准坦克设计!$B$14:$K$20,9)/30))</f>
        <v>16.355109873381622</v>
      </c>
      <c r="BF85" s="173">
        <f ca="1">(VLOOKUP(BF$72,INDIRECT($C$5&amp;"生成成长"),2))/((VLOOKUP($B85,INDIRECT($B$5&amp;"生成成长"),4))/(VLOOKUP(BF$72,INDIRECT($C$5&amp;"生成成长"),5))*(VLOOKUP($B$5,标准坦克设计!$B$24:$U$30,MATCH("对"&amp;LEFT($C$5,2)&amp;"输出",标准坦克设计!$B$23:$U$23,0)))*(VLOOKUP($B85,INDIRECT($B$5&amp;"生成成长"),3))*(VLOOKUP($B$5,标准坦克设计!$B$14:$K$20,9)/30))</f>
        <v>17.924337944729032</v>
      </c>
      <c r="BG85" s="173">
        <f ca="1">(VLOOKUP(BG$72,INDIRECT($C$5&amp;"生成成长"),2))/((VLOOKUP($B85,INDIRECT($B$5&amp;"生成成长"),4))/(VLOOKUP(BG$72,INDIRECT($C$5&amp;"生成成长"),5))*(VLOOKUP($B$5,标准坦克设计!$B$24:$U$30,MATCH("对"&amp;LEFT($C$5,2)&amp;"输出",标准坦克设计!$B$23:$U$23,0)))*(VLOOKUP($B85,INDIRECT($B$5&amp;"生成成长"),3))*(VLOOKUP($B$5,标准坦克设计!$B$14:$K$20,9)/30))</f>
        <v>19.565439057512194</v>
      </c>
      <c r="BH85" s="173">
        <f ca="1">(VLOOKUP(BH$72,INDIRECT($C$5&amp;"生成成长"),2))/((VLOOKUP($B85,INDIRECT($B$5&amp;"生成成长"),4))/(VLOOKUP(BH$72,INDIRECT($C$5&amp;"生成成长"),5))*(VLOOKUP($B$5,标准坦克设计!$B$24:$U$30,MATCH("对"&amp;LEFT($C$5,2)&amp;"输出",标准坦克设计!$B$23:$U$23,0)))*(VLOOKUP($B85,INDIRECT($B$5&amp;"生成成长"),3))*(VLOOKUP($B$5,标准坦克设计!$B$14:$K$20,9)/30))</f>
        <v>9.4570725385471643</v>
      </c>
      <c r="BI85" s="173">
        <f ca="1">(VLOOKUP(BI$72,INDIRECT($C$5&amp;"生成成长"),2))/((VLOOKUP($B85,INDIRECT($B$5&amp;"生成成长"),4))/(VLOOKUP(BI$72,INDIRECT($C$5&amp;"生成成长"),5))*(VLOOKUP($B$5,标准坦克设计!$B$24:$U$30,MATCH("对"&amp;LEFT($C$5,2)&amp;"输出",标准坦克设计!$B$23:$U$23,0)))*(VLOOKUP($B85,INDIRECT($B$5&amp;"生成成长"),3))*(VLOOKUP($B$5,标准坦克设计!$B$14:$K$20,9)/30))</f>
        <v>10.658949509222913</v>
      </c>
      <c r="BJ85" s="173">
        <f ca="1">(VLOOKUP(BJ$72,INDIRECT($C$5&amp;"生成成长"),2))/((VLOOKUP($B85,INDIRECT($B$5&amp;"生成成长"),4))/(VLOOKUP(BJ$72,INDIRECT($C$5&amp;"生成成长"),5))*(VLOOKUP($B$5,标准坦克设计!$B$24:$U$30,MATCH("对"&amp;LEFT($C$5,2)&amp;"输出",标准坦克设计!$B$23:$U$23,0)))*(VLOOKUP($B85,INDIRECT($B$5&amp;"生成成长"),3))*(VLOOKUP($B$5,标准坦克设计!$B$14:$K$20,9)/30))</f>
        <v>11.932699521334422</v>
      </c>
      <c r="BK85" s="173">
        <f ca="1">(VLOOKUP(BK$72,INDIRECT($C$5&amp;"生成成长"),2))/((VLOOKUP($B85,INDIRECT($B$5&amp;"生成成长"),4))/(VLOOKUP(BK$72,INDIRECT($C$5&amp;"生成成长"),5))*(VLOOKUP($B$5,标准坦克设计!$B$24:$U$30,MATCH("对"&amp;LEFT($C$5,2)&amp;"输出",标准坦克设计!$B$23:$U$23,0)))*(VLOOKUP($B85,INDIRECT($B$5&amp;"生成成长"),3))*(VLOOKUP($B$5,标准坦克设计!$B$14:$K$20,9)/30))</f>
        <v>13.27832257488169</v>
      </c>
      <c r="BL85" s="173">
        <f ca="1">(VLOOKUP(BL$72,INDIRECT($C$5&amp;"生成成长"),2))/((VLOOKUP($B85,INDIRECT($B$5&amp;"生成成长"),4))/(VLOOKUP(BL$72,INDIRECT($C$5&amp;"生成成长"),5))*(VLOOKUP($B$5,标准坦克设计!$B$24:$U$30,MATCH("对"&amp;LEFT($C$5,2)&amp;"输出",标准坦克设计!$B$23:$U$23,0)))*(VLOOKUP($B85,INDIRECT($B$5&amp;"生成成长"),3))*(VLOOKUP($B$5,标准坦克设计!$B$14:$K$20,9)/30))</f>
        <v>14.695818669864714</v>
      </c>
      <c r="BM85" s="173">
        <f ca="1">(VLOOKUP(BM$72,INDIRECT($C$5&amp;"生成成长"),2))/((VLOOKUP($B85,INDIRECT($B$5&amp;"生成成长"),4))/(VLOOKUP(BM$72,INDIRECT($C$5&amp;"生成成长"),5))*(VLOOKUP($B$5,标准坦克设计!$B$24:$U$30,MATCH("对"&amp;LEFT($C$5,2)&amp;"输出",标准坦克设计!$B$23:$U$23,0)))*(VLOOKUP($B85,INDIRECT($B$5&amp;"生成成长"),3))*(VLOOKUP($B$5,标准坦克设计!$B$14:$K$20,9)/30))</f>
        <v>16.185187806283501</v>
      </c>
      <c r="BN85" s="173">
        <f ca="1">(VLOOKUP(BN$72,INDIRECT($C$5&amp;"生成成长"),2))/((VLOOKUP($B85,INDIRECT($B$5&amp;"生成成长"),4))/(VLOOKUP(BN$72,INDIRECT($C$5&amp;"生成成长"),5))*(VLOOKUP($B$5,标准坦克设计!$B$24:$U$30,MATCH("对"&amp;LEFT($C$5,2)&amp;"输出",标准坦克设计!$B$23:$U$23,0)))*(VLOOKUP($B85,INDIRECT($B$5&amp;"生成成长"),3))*(VLOOKUP($B$5,标准坦克设计!$B$14:$K$20,9)/30))</f>
        <v>17.746429984138043</v>
      </c>
      <c r="BO85" s="173">
        <f ca="1">(VLOOKUP(BO$72,INDIRECT($C$5&amp;"生成成长"),2))/((VLOOKUP($B85,INDIRECT($B$5&amp;"生成成长"),4))/(VLOOKUP(BO$72,INDIRECT($C$5&amp;"生成成长"),5))*(VLOOKUP($B$5,标准坦克设计!$B$24:$U$30,MATCH("对"&amp;LEFT($C$5,2)&amp;"输出",标准坦克设计!$B$23:$U$23,0)))*(VLOOKUP($B85,INDIRECT($B$5&amp;"生成成长"),3))*(VLOOKUP($B$5,标准坦克设计!$B$14:$K$20,9)/30))</f>
        <v>19.37954520342835</v>
      </c>
      <c r="BP85" s="173">
        <f ca="1">(VLOOKUP(BP$72,INDIRECT($C$5&amp;"生成成长"),2))/((VLOOKUP($B85,INDIRECT($B$5&amp;"生成成长"),4))/(VLOOKUP(BP$72,INDIRECT($C$5&amp;"生成成长"),5))*(VLOOKUP($B$5,标准坦克设计!$B$24:$U$30,MATCH("对"&amp;LEFT($C$5,2)&amp;"输出",标准坦克设计!$B$23:$U$23,0)))*(VLOOKUP($B85,INDIRECT($B$5&amp;"生成成长"),3))*(VLOOKUP($B$5,标准坦克设计!$B$14:$K$20,9)/30))</f>
        <v>21.084533464154411</v>
      </c>
      <c r="BQ85" s="173">
        <f ca="1">(VLOOKUP(BQ$72,INDIRECT($C$5&amp;"生成成长"),2))/((VLOOKUP($B85,INDIRECT($B$5&amp;"生成成长"),4))/(VLOOKUP(BQ$72,INDIRECT($C$5&amp;"生成成长"),5))*(VLOOKUP($B$5,标准坦克设计!$B$24:$U$30,MATCH("对"&amp;LEFT($C$5,2)&amp;"输出",标准坦克设计!$B$23:$U$23,0)))*(VLOOKUP($B85,INDIRECT($B$5&amp;"生成成长"),3))*(VLOOKUP($B$5,标准坦克设计!$B$14:$K$20,9)/30))</f>
        <v>22.861394766316234</v>
      </c>
      <c r="BR85" s="173">
        <f ca="1">(VLOOKUP(BR$72,INDIRECT($C$5&amp;"生成成长"),2))/((VLOOKUP($B85,INDIRECT($B$5&amp;"生成成长"),4))/(VLOOKUP(BR$72,INDIRECT($C$5&amp;"生成成长"),5))*(VLOOKUP($B$5,标准坦克设计!$B$24:$U$30,MATCH("对"&amp;LEFT($C$5,2)&amp;"输出",标准坦克设计!$B$23:$U$23,0)))*(VLOOKUP($B85,INDIRECT($B$5&amp;"生成成长"),3))*(VLOOKUP($B$5,标准坦克设计!$B$14:$K$20,9)/30))</f>
        <v>24.919980644476247</v>
      </c>
      <c r="BS85" s="173">
        <f ca="1">(VLOOKUP(BS$72,INDIRECT($C$5&amp;"生成成长"),2))/((VLOOKUP($B85,INDIRECT($B$5&amp;"生成成长"),4))/(VLOOKUP(BS$72,INDIRECT($C$5&amp;"生成成长"),5))*(VLOOKUP($B$5,标准坦克设计!$B$24:$U$30,MATCH("对"&amp;LEFT($C$5,2)&amp;"输出",标准坦克设计!$B$23:$U$23,0)))*(VLOOKUP($B85,INDIRECT($B$5&amp;"生成成长"),3))*(VLOOKUP($B$5,标准坦克设计!$B$14:$K$20,9)/30))</f>
        <v>27.067298672556948</v>
      </c>
      <c r="BT85" s="173">
        <f ca="1">(VLOOKUP(BT$72,INDIRECT($C$5&amp;"生成成长"),2))/((VLOOKUP($B85,INDIRECT($B$5&amp;"生成成长"),4))/(VLOOKUP(BT$72,INDIRECT($C$5&amp;"生成成长"),5))*(VLOOKUP($B$5,标准坦克设计!$B$24:$U$30,MATCH("对"&amp;LEFT($C$5,2)&amp;"输出",标准坦克设计!$B$23:$U$23,0)))*(VLOOKUP($B85,INDIRECT($B$5&amp;"生成成长"),3))*(VLOOKUP($B$5,标准坦克设计!$B$14:$K$20,9)/30))</f>
        <v>29.303348850558343</v>
      </c>
      <c r="BU85" s="173">
        <f ca="1">(VLOOKUP(BU$72,INDIRECT($C$5&amp;"生成成长"),2))/((VLOOKUP($B85,INDIRECT($B$5&amp;"生成成长"),4))/(VLOOKUP(BU$72,INDIRECT($C$5&amp;"生成成长"),5))*(VLOOKUP($B$5,标准坦克设计!$B$24:$U$30,MATCH("对"&amp;LEFT($C$5,2)&amp;"输出",标准坦克设计!$B$23:$U$23,0)))*(VLOOKUP($B85,INDIRECT($B$5&amp;"生成成长"),3))*(VLOOKUP($B$5,标准坦克设计!$B$14:$K$20,9)/30))</f>
        <v>31.62813117848043</v>
      </c>
      <c r="BV85" s="173">
        <f ca="1">(VLOOKUP(BV$72,INDIRECT($C$5&amp;"生成成长"),2))/((VLOOKUP($B85,INDIRECT($B$5&amp;"生成成长"),4))/(VLOOKUP(BV$72,INDIRECT($C$5&amp;"生成成长"),5))*(VLOOKUP($B$5,标准坦克设计!$B$24:$U$30,MATCH("对"&amp;LEFT($C$5,2)&amp;"输出",标准坦克设计!$B$23:$U$23,0)))*(VLOOKUP($B85,INDIRECT($B$5&amp;"生成成长"),3))*(VLOOKUP($B$5,标准坦克设计!$B$14:$K$20,9)/30))</f>
        <v>34.041645656323197</v>
      </c>
      <c r="BW85" s="173">
        <f ca="1">(VLOOKUP(BW$72,INDIRECT($C$5&amp;"生成成长"),2))/((VLOOKUP($B85,INDIRECT($B$5&amp;"生成成长"),4))/(VLOOKUP(BW$72,INDIRECT($C$5&amp;"生成成长"),5))*(VLOOKUP($B$5,标准坦克设计!$B$24:$U$30,MATCH("对"&amp;LEFT($C$5,2)&amp;"输出",标准坦克设计!$B$23:$U$23,0)))*(VLOOKUP($B85,INDIRECT($B$5&amp;"生成成长"),3))*(VLOOKUP($B$5,标准坦克设计!$B$14:$K$20,9)/30))</f>
        <v>15.514372752883082</v>
      </c>
      <c r="BX85" s="173">
        <f ca="1">(VLOOKUP(BX$72,INDIRECT($C$5&amp;"生成成长"),2))/((VLOOKUP($B85,INDIRECT($B$5&amp;"生成成长"),4))/(VLOOKUP(BX$72,INDIRECT($C$5&amp;"生成成长"),5))*(VLOOKUP($B$5,标准坦克设计!$B$24:$U$30,MATCH("对"&amp;LEFT($C$5,2)&amp;"输出",标准坦克设计!$B$23:$U$23,0)))*(VLOOKUP($B85,INDIRECT($B$5&amp;"生成成长"),3))*(VLOOKUP($B$5,标准坦克设计!$B$14:$K$20,9)/30))</f>
        <v>17.218030031360335</v>
      </c>
      <c r="BY85" s="173">
        <f ca="1">(VLOOKUP(BY$72,INDIRECT($C$5&amp;"生成成长"),2))/((VLOOKUP($B85,INDIRECT($B$5&amp;"生成成长"),4))/(VLOOKUP(BY$72,INDIRECT($C$5&amp;"生成成长"),5))*(VLOOKUP($B$5,标准坦克设计!$B$24:$U$30,MATCH("对"&amp;LEFT($C$5,2)&amp;"输出",标准坦克设计!$B$23:$U$23,0)))*(VLOOKUP($B85,INDIRECT($B$5&amp;"生成成长"),3))*(VLOOKUP($B$5,标准坦克设计!$B$14:$K$20,9)/30))</f>
        <v>19.010419459758278</v>
      </c>
      <c r="BZ85" s="173">
        <f ca="1">(VLOOKUP(BZ$72,INDIRECT($C$5&amp;"生成成长"),2))/((VLOOKUP($B85,INDIRECT($B$5&amp;"生成成长"),4))/(VLOOKUP(BZ$72,INDIRECT($C$5&amp;"生成成长"),5))*(VLOOKUP($B$5,标准坦克设计!$B$24:$U$30,MATCH("对"&amp;LEFT($C$5,2)&amp;"输出",标准坦克设计!$B$23:$U$23,0)))*(VLOOKUP($B85,INDIRECT($B$5&amp;"生成成长"),3))*(VLOOKUP($B$5,标准坦克设计!$B$14:$K$20,9)/30))</f>
        <v>20.891541038076909</v>
      </c>
      <c r="CA85" s="173">
        <f ca="1">(VLOOKUP(CA$72,INDIRECT($C$5&amp;"生成成长"),2))/((VLOOKUP($B85,INDIRECT($B$5&amp;"生成成长"),4))/(VLOOKUP(CA$72,INDIRECT($C$5&amp;"生成成长"),5))*(VLOOKUP($B$5,标准坦克设计!$B$24:$U$30,MATCH("对"&amp;LEFT($C$5,2)&amp;"输出",标准坦克设计!$B$23:$U$23,0)))*(VLOOKUP($B85,INDIRECT($B$5&amp;"生成成长"),3))*(VLOOKUP($B$5,标准坦克设计!$B$14:$K$20,9)/30))</f>
        <v>22.861394766316234</v>
      </c>
      <c r="CB85" s="173">
        <f ca="1">(VLOOKUP(CB$72,INDIRECT($C$5&amp;"生成成长"),2))/((VLOOKUP($B85,INDIRECT($B$5&amp;"生成成长"),4))/(VLOOKUP(CB$72,INDIRECT($C$5&amp;"生成成长"),5))*(VLOOKUP($B$5,标准坦克设计!$B$24:$U$30,MATCH("对"&amp;LEFT($C$5,2)&amp;"输出",标准坦克设计!$B$23:$U$23,0)))*(VLOOKUP($B85,INDIRECT($B$5&amp;"生成成长"),3))*(VLOOKUP($B$5,标准坦克设计!$B$14:$K$20,9)/30))</f>
        <v>24.919980644476247</v>
      </c>
      <c r="CC85" s="173">
        <f ca="1">(VLOOKUP(CC$72,INDIRECT($C$5&amp;"生成成长"),2))/((VLOOKUP($B85,INDIRECT($B$5&amp;"生成成长"),4))/(VLOOKUP(CC$72,INDIRECT($C$5&amp;"生成成长"),5))*(VLOOKUP($B$5,标准坦克设计!$B$24:$U$30,MATCH("对"&amp;LEFT($C$5,2)&amp;"输出",标准坦克设计!$B$23:$U$23,0)))*(VLOOKUP($B85,INDIRECT($B$5&amp;"生成成长"),3))*(VLOOKUP($B$5,标准坦克设计!$B$14:$K$20,9)/30))</f>
        <v>27.067298672556948</v>
      </c>
      <c r="CD85" s="173">
        <f ca="1">(VLOOKUP(CD$72,INDIRECT($C$5&amp;"生成成长"),2))/((VLOOKUP($B85,INDIRECT($B$5&amp;"生成成长"),4))/(VLOOKUP(CD$72,INDIRECT($C$5&amp;"生成成长"),5))*(VLOOKUP($B$5,标准坦克设计!$B$24:$U$30,MATCH("对"&amp;LEFT($C$5,2)&amp;"输出",标准坦克设计!$B$23:$U$23,0)))*(VLOOKUP($B85,INDIRECT($B$5&amp;"生成成长"),3))*(VLOOKUP($B$5,标准坦克设计!$B$14:$K$20,9)/30))</f>
        <v>29.303348850558343</v>
      </c>
      <c r="CE85" s="173">
        <f ca="1">(VLOOKUP(CE$72,INDIRECT($C$5&amp;"生成成长"),2))/((VLOOKUP($B85,INDIRECT($B$5&amp;"生成成长"),4))/(VLOOKUP(CE$72,INDIRECT($C$5&amp;"生成成长"),5))*(VLOOKUP($B$5,标准坦克设计!$B$24:$U$30,MATCH("对"&amp;LEFT($C$5,2)&amp;"输出",标准坦克设计!$B$23:$U$23,0)))*(VLOOKUP($B85,INDIRECT($B$5&amp;"生成成长"),3))*(VLOOKUP($B$5,标准坦克设计!$B$14:$K$20,9)/30))</f>
        <v>31.62813117848043</v>
      </c>
      <c r="CF85" s="173">
        <f ca="1">(VLOOKUP(CF$72,INDIRECT($C$5&amp;"生成成长"),2))/((VLOOKUP($B85,INDIRECT($B$5&amp;"生成成长"),4))/(VLOOKUP(CF$72,INDIRECT($C$5&amp;"生成成长"),5))*(VLOOKUP($B$5,标准坦克设计!$B$24:$U$30,MATCH("对"&amp;LEFT($C$5,2)&amp;"输出",标准坦克设计!$B$23:$U$23,0)))*(VLOOKUP($B85,INDIRECT($B$5&amp;"生成成长"),3))*(VLOOKUP($B$5,标准坦克设计!$B$14:$K$20,9)/30))</f>
        <v>34.041645656323197</v>
      </c>
      <c r="CG85" s="173">
        <f ca="1">(VLOOKUP(CG$72,INDIRECT($C$5&amp;"生成成长"),2))/((VLOOKUP($B85,INDIRECT($B$5&amp;"生成成长"),4))/(VLOOKUP(CG$72,INDIRECT($C$5&amp;"生成成长"),5))*(VLOOKUP($B$5,标准坦克设计!$B$24:$U$30,MATCH("对"&amp;LEFT($C$5,2)&amp;"输出",标准坦克设计!$B$23:$U$23,0)))*(VLOOKUP($B85,INDIRECT($B$5&amp;"生成成长"),3))*(VLOOKUP($B$5,标准坦克设计!$B$14:$K$20,9)/30))</f>
        <v>36.543892284086667</v>
      </c>
      <c r="CH85" s="173">
        <f ca="1">(VLOOKUP(CH$72,INDIRECT($C$5&amp;"生成成长"),2))/((VLOOKUP($B85,INDIRECT($B$5&amp;"生成成长"),4))/(VLOOKUP(CH$72,INDIRECT($C$5&amp;"生成成长"),5))*(VLOOKUP($B$5,标准坦克设计!$B$24:$U$30,MATCH("对"&amp;LEFT($C$5,2)&amp;"输出",标准坦克设计!$B$23:$U$23,0)))*(VLOOKUP($B85,INDIRECT($B$5&amp;"生成成长"),3))*(VLOOKUP($B$5,标准坦克设计!$B$14:$K$20,9)/30))</f>
        <v>39.134871061770824</v>
      </c>
      <c r="CI85" s="173">
        <f ca="1">(VLOOKUP(CI$72,INDIRECT($C$5&amp;"生成成长"),2))/((VLOOKUP($B85,INDIRECT($B$5&amp;"生成成长"),4))/(VLOOKUP(CI$72,INDIRECT($C$5&amp;"生成成长"),5))*(VLOOKUP($B$5,标准坦克设计!$B$24:$U$30,MATCH("对"&amp;LEFT($C$5,2)&amp;"输出",标准坦克设计!$B$23:$U$23,0)))*(VLOOKUP($B85,INDIRECT($B$5&amp;"生成成长"),3))*(VLOOKUP($B$5,标准坦克设计!$B$14:$K$20,9)/30))</f>
        <v>42.087433350381787</v>
      </c>
      <c r="CJ85" s="173">
        <f ca="1">(VLOOKUP(CJ$72,INDIRECT($C$5&amp;"生成成长"),2))/((VLOOKUP($B85,INDIRECT($B$5&amp;"生成成长"),4))/(VLOOKUP(CJ$72,INDIRECT($C$5&amp;"生成成长"),5))*(VLOOKUP($B$5,标准坦克设计!$B$24:$U$30,MATCH("对"&amp;LEFT($C$5,2)&amp;"输出",标准坦克设计!$B$23:$U$23,0)))*(VLOOKUP($B85,INDIRECT($B$5&amp;"生成成长"),3))*(VLOOKUP($B$5,标准坦克设计!$B$14:$K$20,9)/30))</f>
        <v>45.147361540396794</v>
      </c>
      <c r="CK85" s="173">
        <f ca="1">(VLOOKUP(CK$72,INDIRECT($C$5&amp;"生成成长"),2))/((VLOOKUP($B85,INDIRECT($B$5&amp;"生成成长"),4))/(VLOOKUP(CK$72,INDIRECT($C$5&amp;"生成成长"),5))*(VLOOKUP($B$5,标准坦克设计!$B$24:$U$30,MATCH("对"&amp;LEFT($C$5,2)&amp;"输出",标准坦克设计!$B$23:$U$23,0)))*(VLOOKUP($B85,INDIRECT($B$5&amp;"生成成长"),3))*(VLOOKUP($B$5,标准坦克设计!$B$14:$K$20,9)/30))</f>
        <v>48.314655631815825</v>
      </c>
      <c r="CL85" s="173">
        <f ca="1">(VLOOKUP(CL$72,INDIRECT($C$5&amp;"生成成长"),2))/((VLOOKUP($B85,INDIRECT($B$5&amp;"生成成长"),4))/(VLOOKUP(CL$72,INDIRECT($C$5&amp;"生成成长"),5))*(VLOOKUP($B$5,标准坦克设计!$B$24:$U$30,MATCH("对"&amp;LEFT($C$5,2)&amp;"输出",标准坦克设计!$B$23:$U$23,0)))*(VLOOKUP($B85,INDIRECT($B$5&amp;"生成成长"),3))*(VLOOKUP($B$5,标准坦克设计!$B$14:$K$20,9)/30))</f>
        <v>51.5893156246389</v>
      </c>
      <c r="CM85" s="173">
        <f ca="1">(VLOOKUP(CM$72,INDIRECT($C$5&amp;"生成成长"),2))/((VLOOKUP($B85,INDIRECT($B$5&amp;"生成成长"),4))/(VLOOKUP(CM$72,INDIRECT($C$5&amp;"生成成长"),5))*(VLOOKUP($B$5,标准坦克设计!$B$24:$U$30,MATCH("对"&amp;LEFT($C$5,2)&amp;"输出",标准坦克设计!$B$23:$U$23,0)))*(VLOOKUP($B85,INDIRECT($B$5&amp;"生成成长"),3))*(VLOOKUP($B$5,标准坦克设计!$B$14:$K$20,9)/30))</f>
        <v>54.971341518866005</v>
      </c>
      <c r="CN85" s="173">
        <f ca="1">(VLOOKUP(CN$72,INDIRECT($C$5&amp;"生成成长"),2))/((VLOOKUP($B85,INDIRECT($B$5&amp;"生成成长"),4))/(VLOOKUP(CN$72,INDIRECT($C$5&amp;"生成成长"),5))*(VLOOKUP($B$5,标准坦克设计!$B$24:$U$30,MATCH("对"&amp;LEFT($C$5,2)&amp;"输出",标准坦克设计!$B$23:$U$23,0)))*(VLOOKUP($B85,INDIRECT($B$5&amp;"生成成长"),3))*(VLOOKUP($B$5,标准坦克设计!$B$14:$K$20,9)/30))</f>
        <v>58.460733314497148</v>
      </c>
      <c r="CO85" s="173">
        <f ca="1">(VLOOKUP(CO$72,INDIRECT($C$5&amp;"生成成长"),2))/((VLOOKUP($B85,INDIRECT($B$5&amp;"生成成长"),4))/(VLOOKUP(CO$72,INDIRECT($C$5&amp;"生成成长"),5))*(VLOOKUP($B$5,标准坦克设计!$B$24:$U$30,MATCH("对"&amp;LEFT($C$5,2)&amp;"输出",标准坦克设计!$B$23:$U$23,0)))*(VLOOKUP($B85,INDIRECT($B$5&amp;"生成成长"),3))*(VLOOKUP($B$5,标准坦克设计!$B$14:$K$20,9)/30))</f>
        <v>26.197723603334182</v>
      </c>
      <c r="CP85" s="173">
        <f ca="1">(VLOOKUP(CP$72,INDIRECT($C$5&amp;"生成成长"),2))/((VLOOKUP($B85,INDIRECT($B$5&amp;"生成成长"),4))/(VLOOKUP(CP$72,INDIRECT($C$5&amp;"生成成长"),5))*(VLOOKUP($B$5,标准坦克设计!$B$24:$U$30,MATCH("对"&amp;LEFT($C$5,2)&amp;"输出",标准坦克设计!$B$23:$U$23,0)))*(VLOOKUP($B85,INDIRECT($B$5&amp;"生成成长"),3))*(VLOOKUP($B$5,标准坦克设计!$B$14:$K$20,9)/30))</f>
        <v>28.623216921416248</v>
      </c>
      <c r="CQ85" s="173">
        <f ca="1">(VLOOKUP(CQ$72,INDIRECT($C$5&amp;"生成成长"),2))/((VLOOKUP($B85,INDIRECT($B$5&amp;"生成成长"),4))/(VLOOKUP(CQ$72,INDIRECT($C$5&amp;"生成成长"),5))*(VLOOKUP($B$5,标准坦克设计!$B$24:$U$30,MATCH("对"&amp;LEFT($C$5,2)&amp;"输出",标准坦克设计!$B$23:$U$23,0)))*(VLOOKUP($B85,INDIRECT($B$5&amp;"生成成长"),3))*(VLOOKUP($B$5,标准坦克设计!$B$14:$K$20,9)/30))</f>
        <v>31.156076140902353</v>
      </c>
      <c r="CR85" s="173">
        <f ca="1">(VLOOKUP(CR$72,INDIRECT($C$5&amp;"生成成长"),2))/((VLOOKUP($B85,INDIRECT($B$5&amp;"生成成长"),4))/(VLOOKUP(CR$72,INDIRECT($C$5&amp;"生成成长"),5))*(VLOOKUP($B$5,标准坦克设计!$B$24:$U$30,MATCH("对"&amp;LEFT($C$5,2)&amp;"输出",标准坦克设计!$B$23:$U$23,0)))*(VLOOKUP($B85,INDIRECT($B$5&amp;"生成成长"),3))*(VLOOKUP($B$5,标准坦克设计!$B$14:$K$20,9)/30))</f>
        <v>33.7963012617925</v>
      </c>
      <c r="CS85" s="173">
        <f ca="1">(VLOOKUP(CS$72,INDIRECT($C$5&amp;"生成成长"),2))/((VLOOKUP($B85,INDIRECT($B$5&amp;"生成成长"),4))/(VLOOKUP(CS$72,INDIRECT($C$5&amp;"生成成长"),5))*(VLOOKUP($B$5,标准坦克设计!$B$24:$U$30,MATCH("对"&amp;LEFT($C$5,2)&amp;"输出",标准坦克设计!$B$23:$U$23,0)))*(VLOOKUP($B85,INDIRECT($B$5&amp;"生成成长"),3))*(VLOOKUP($B$5,标准坦克设计!$B$14:$K$20,9)/30))</f>
        <v>36.543892284086667</v>
      </c>
      <c r="CT85" s="173">
        <f ca="1">(VLOOKUP(CT$72,INDIRECT($C$5&amp;"生成成长"),2))/((VLOOKUP($B85,INDIRECT($B$5&amp;"生成成长"),4))/(VLOOKUP(CT$72,INDIRECT($C$5&amp;"生成成长"),5))*(VLOOKUP($B$5,标准坦克设计!$B$24:$U$30,MATCH("对"&amp;LEFT($C$5,2)&amp;"输出",标准坦克设计!$B$23:$U$23,0)))*(VLOOKUP($B85,INDIRECT($B$5&amp;"生成成长"),3))*(VLOOKUP($B$5,标准坦克设计!$B$14:$K$20,9)/30))</f>
        <v>39.39884920778487</v>
      </c>
      <c r="CU85" s="173">
        <f ca="1">(VLOOKUP(CU$72,INDIRECT($C$5&amp;"生成成长"),2))/((VLOOKUP($B85,INDIRECT($B$5&amp;"生成成长"),4))/(VLOOKUP(CU$72,INDIRECT($C$5&amp;"生成成长"),5))*(VLOOKUP($B$5,标准坦克设计!$B$24:$U$30,MATCH("对"&amp;LEFT($C$5,2)&amp;"输出",标准坦克设计!$B$23:$U$23,0)))*(VLOOKUP($B85,INDIRECT($B$5&amp;"生成成长"),3))*(VLOOKUP($B$5,标准坦克设计!$B$14:$K$20,9)/30))</f>
        <v>42.361172032887119</v>
      </c>
      <c r="CV85" s="173">
        <f ca="1">(VLOOKUP(CV$72,INDIRECT($C$5&amp;"生成成长"),2))/((VLOOKUP($B85,INDIRECT($B$5&amp;"生成成长"),4))/(VLOOKUP(CV$72,INDIRECT($C$5&amp;"生成成长"),5))*(VLOOKUP($B$5,标准坦克设计!$B$24:$U$30,MATCH("对"&amp;LEFT($C$5,2)&amp;"输出",标准坦克设计!$B$23:$U$23,0)))*(VLOOKUP($B85,INDIRECT($B$5&amp;"生成成长"),3))*(VLOOKUP($B$5,标准坦克设计!$B$14:$K$20,9)/30))</f>
        <v>45.430860759393383</v>
      </c>
      <c r="CW85" s="173">
        <f ca="1">(VLOOKUP(CW$72,INDIRECT($C$5&amp;"生成成长"),2))/((VLOOKUP($B85,INDIRECT($B$5&amp;"生成成长"),4))/(VLOOKUP(CW$72,INDIRECT($C$5&amp;"生成成长"),5))*(VLOOKUP($B$5,标准坦克设计!$B$24:$U$30,MATCH("对"&amp;LEFT($C$5,2)&amp;"输出",标准坦克设计!$B$23:$U$23,0)))*(VLOOKUP($B85,INDIRECT($B$5&amp;"生成成长"),3))*(VLOOKUP($B$5,标准坦克设计!$B$14:$K$20,9)/30))</f>
        <v>48.607915387303706</v>
      </c>
      <c r="CX85" s="173">
        <f ca="1">(VLOOKUP(CX$72,INDIRECT($C$5&amp;"生成成长"),2))/((VLOOKUP($B85,INDIRECT($B$5&amp;"生成成长"),4))/(VLOOKUP(CX$72,INDIRECT($C$5&amp;"生成成长"),5))*(VLOOKUP($B$5,标准坦克设计!$B$24:$U$30,MATCH("对"&amp;LEFT($C$5,2)&amp;"输出",标准坦克设计!$B$23:$U$23,0)))*(VLOOKUP($B85,INDIRECT($B$5&amp;"生成成长"),3))*(VLOOKUP($B$5,标准坦克设计!$B$14:$K$20,9)/30))</f>
        <v>51.892335916618052</v>
      </c>
      <c r="CY85" s="173">
        <f ca="1">(VLOOKUP(CY$72,INDIRECT($C$5&amp;"生成成长"),2))/((VLOOKUP($B85,INDIRECT($B$5&amp;"生成成长"),4))/(VLOOKUP(CY$72,INDIRECT($C$5&amp;"生成成长"),5))*(VLOOKUP($B$5,标准坦克设计!$B$24:$U$30,MATCH("对"&amp;LEFT($C$5,2)&amp;"输出",标准坦克设计!$B$23:$U$23,0)))*(VLOOKUP($B85,INDIRECT($B$5&amp;"生成成长"),3))*(VLOOKUP($B$5,标准坦克设计!$B$14:$K$20,9)/30))</f>
        <v>55.284122347336442</v>
      </c>
      <c r="CZ85" s="173">
        <f ca="1">(VLOOKUP(CZ$72,INDIRECT($C$5&amp;"生成成长"),2))/((VLOOKUP($B85,INDIRECT($B$5&amp;"生成成长"),4))/(VLOOKUP(CZ$72,INDIRECT($C$5&amp;"生成成长"),5))*(VLOOKUP($B$5,标准坦克设计!$B$24:$U$30,MATCH("对"&amp;LEFT($C$5,2)&amp;"输出",标准坦克设计!$B$23:$U$23,0)))*(VLOOKUP($B85,INDIRECT($B$5&amp;"生成成长"),3))*(VLOOKUP($B$5,标准坦克设计!$B$14:$K$20,9)/30))</f>
        <v>58.783274679458856</v>
      </c>
      <c r="DA85" s="173">
        <f ca="1">(VLOOKUP(DA$72,INDIRECT($C$5&amp;"生成成长"),2))/((VLOOKUP($B85,INDIRECT($B$5&amp;"生成成长"),4))/(VLOOKUP(DA$72,INDIRECT($C$5&amp;"生成成长"),5))*(VLOOKUP($B$5,标准坦克设计!$B$24:$U$30,MATCH("对"&amp;LEFT($C$5,2)&amp;"输出",标准坦克设计!$B$23:$U$23,0)))*(VLOOKUP($B85,INDIRECT($B$5&amp;"生成成长"),3))*(VLOOKUP($B$5,标准坦克设计!$B$14:$K$20,9)/30))</f>
        <v>62.389792912985307</v>
      </c>
      <c r="DB85" s="173">
        <f ca="1">(VLOOKUP(DB$72,INDIRECT($C$5&amp;"生成成长"),2))/((VLOOKUP($B85,INDIRECT($B$5&amp;"生成成长"),4))/(VLOOKUP(DB$72,INDIRECT($C$5&amp;"生成成长"),5))*(VLOOKUP($B$5,标准坦克设计!$B$24:$U$30,MATCH("对"&amp;LEFT($C$5,2)&amp;"输出",标准坦克设计!$B$23:$U$23,0)))*(VLOOKUP($B85,INDIRECT($B$5&amp;"生成成长"),3))*(VLOOKUP($B$5,标准坦克设计!$B$14:$K$20,9)/30))</f>
        <v>66.103677047915809</v>
      </c>
      <c r="DC85" s="173">
        <f ca="1">(VLOOKUP(DC$72,INDIRECT($C$5&amp;"生成成长"),2))/((VLOOKUP($B85,INDIRECT($B$5&amp;"生成成长"),4))/(VLOOKUP(DC$72,INDIRECT($C$5&amp;"生成成长"),5))*(VLOOKUP($B$5,标准坦克设计!$B$24:$U$30,MATCH("对"&amp;LEFT($C$5,2)&amp;"输出",标准坦克设计!$B$23:$U$23,0)))*(VLOOKUP($B85,INDIRECT($B$5&amp;"生成成长"),3))*(VLOOKUP($B$5,标准坦克设计!$B$14:$K$20,9)/30))</f>
        <v>70.27763738018507</v>
      </c>
      <c r="DD85" s="173">
        <f ca="1">(VLOOKUP(DD$72,INDIRECT($C$5&amp;"生成成长"),2))/((VLOOKUP($B85,INDIRECT($B$5&amp;"生成成长"),4))/(VLOOKUP(DD$72,INDIRECT($C$5&amp;"生成成长"),5))*(VLOOKUP($B$5,标准坦克设计!$B$24:$U$30,MATCH("对"&amp;LEFT($C$5,2)&amp;"输出",标准坦克设计!$B$23:$U$23,0)))*(VLOOKUP($B85,INDIRECT($B$5&amp;"生成成长"),3))*(VLOOKUP($B$5,标准坦克设计!$B$14:$K$20,9)/30))</f>
        <v>74.57937200834013</v>
      </c>
      <c r="DE85" s="173">
        <f ca="1">(VLOOKUP(DE$72,INDIRECT($C$5&amp;"生成成长"),2))/((VLOOKUP($B85,INDIRECT($B$5&amp;"生成成长"),4))/(VLOOKUP(DE$72,INDIRECT($C$5&amp;"生成成长"),5))*(VLOOKUP($B$5,标准坦克设计!$B$24:$U$30,MATCH("对"&amp;LEFT($C$5,2)&amp;"输出",标准坦克设计!$B$23:$U$23,0)))*(VLOOKUP($B85,INDIRECT($B$5&amp;"生成成长"),3))*(VLOOKUP($B$5,标准坦克设计!$B$14:$K$20,9)/30))</f>
        <v>79.008880932380976</v>
      </c>
      <c r="DF85" s="173">
        <f ca="1">(VLOOKUP(DF$72,INDIRECT($C$5&amp;"生成成长"),2))/((VLOOKUP($B85,INDIRECT($B$5&amp;"生成成长"),4))/(VLOOKUP(DF$72,INDIRECT($C$5&amp;"生成成长"),5))*(VLOOKUP($B$5,标准坦克设计!$B$24:$U$30,MATCH("对"&amp;LEFT($C$5,2)&amp;"输出",标准坦克设计!$B$23:$U$23,0)))*(VLOOKUP($B85,INDIRECT($B$5&amp;"生成成长"),3))*(VLOOKUP($B$5,标准坦克设计!$B$14:$K$20,9)/30))</f>
        <v>83.566164152307636</v>
      </c>
      <c r="DG85" s="173">
        <f ca="1">(VLOOKUP(DG$72,INDIRECT($C$5&amp;"生成成长"),2))/((VLOOKUP($B85,INDIRECT($B$5&amp;"生成成长"),4))/(VLOOKUP(DG$72,INDIRECT($C$5&amp;"生成成长"),5))*(VLOOKUP($B$5,标准坦克设计!$B$24:$U$30,MATCH("对"&amp;LEFT($C$5,2)&amp;"输出",标准坦克设计!$B$23:$U$23,0)))*(VLOOKUP($B85,INDIRECT($B$5&amp;"生成成长"),3))*(VLOOKUP($B$5,标准坦克设计!$B$14:$K$20,9)/30))</f>
        <v>88.251221668120095</v>
      </c>
      <c r="DH85" s="173">
        <f ca="1">(VLOOKUP(DH$72,INDIRECT($C$5&amp;"生成成长"),2))/((VLOOKUP($B85,INDIRECT($B$5&amp;"生成成长"),4))/(VLOOKUP(DH$72,INDIRECT($C$5&amp;"生成成长"),5))*(VLOOKUP($B$5,标准坦克设计!$B$24:$U$30,MATCH("对"&amp;LEFT($C$5,2)&amp;"输出",标准坦克设计!$B$23:$U$23,0)))*(VLOOKUP($B85,INDIRECT($B$5&amp;"生成成长"),3))*(VLOOKUP($B$5,标准坦克设计!$B$14:$K$20,9)/30))</f>
        <v>93.064053479818313</v>
      </c>
      <c r="DI85" s="173">
        <f ca="1">(VLOOKUP(DI$72,INDIRECT($C$5&amp;"生成成长"),2))/((VLOOKUP($B85,INDIRECT($B$5&amp;"生成成长"),4))/(VLOOKUP(DI$72,INDIRECT($C$5&amp;"生成成长"),5))*(VLOOKUP($B$5,标准坦克设计!$B$24:$U$30,MATCH("对"&amp;LEFT($C$5,2)&amp;"输出",标准坦克设计!$B$23:$U$23,0)))*(VLOOKUP($B85,INDIRECT($B$5&amp;"生成成长"),3))*(VLOOKUP($B$5,标准坦克设计!$B$14:$K$20,9)/30))</f>
        <v>98.004659587402358</v>
      </c>
      <c r="DJ85" s="173">
        <f ca="1">(VLOOKUP(DJ$72,INDIRECT($C$5&amp;"生成成长"),2))/((VLOOKUP($B85,INDIRECT($B$5&amp;"生成成长"),4))/(VLOOKUP(DJ$72,INDIRECT($C$5&amp;"生成成长"),5))*(VLOOKUP($B$5,标准坦克设计!$B$24:$U$30,MATCH("对"&amp;LEFT($C$5,2)&amp;"输出",标准坦克设计!$B$23:$U$23,0)))*(VLOOKUP($B85,INDIRECT($B$5&amp;"生成成长"),3))*(VLOOKUP($B$5,标准坦克设计!$B$14:$K$20,9)/30))</f>
        <v>9.8497123019462176</v>
      </c>
      <c r="DK85" s="173">
        <f ca="1">(VLOOKUP(DK$72,INDIRECT($C$5&amp;"生成成长"),2))/((VLOOKUP($B85,INDIRECT($B$5&amp;"生成成长"),4))/(VLOOKUP(DK$72,INDIRECT($C$5&amp;"生成成长"),5))*(VLOOKUP($B$5,标准坦克设计!$B$24:$U$30,MATCH("对"&amp;LEFT($C$5,2)&amp;"输出",标准坦克设计!$B$23:$U$23,0)))*(VLOOKUP($B85,INDIRECT($B$5&amp;"生成成长"),3))*(VLOOKUP($B$5,标准坦克设计!$B$14:$K$20,9)/30))</f>
        <v>11.075546953100552</v>
      </c>
      <c r="DL85" s="173">
        <f ca="1">(VLOOKUP(DL$72,INDIRECT($C$5&amp;"生成成长"),2))/((VLOOKUP($B85,INDIRECT($B$5&amp;"生成成长"),4))/(VLOOKUP(DL$72,INDIRECT($C$5&amp;"生成成长"),5))*(VLOOKUP($B$5,标准坦克设计!$B$24:$U$30,MATCH("对"&amp;LEFT($C$5,2)&amp;"输出",标准坦克设计!$B$23:$U$23,0)))*(VLOOKUP($B85,INDIRECT($B$5&amp;"生成成长"),3))*(VLOOKUP($B$5,标准坦克设计!$B$14:$K$20,9)/30))</f>
        <v>12.373254645690647</v>
      </c>
      <c r="DM85" s="173">
        <f ca="1">(VLOOKUP(DM$72,INDIRECT($C$5&amp;"生成成长"),2))/((VLOOKUP($B85,INDIRECT($B$5&amp;"生成成长"),4))/(VLOOKUP(DM$72,INDIRECT($C$5&amp;"生成成长"),5))*(VLOOKUP($B$5,标准坦克设计!$B$24:$U$30,MATCH("对"&amp;LEFT($C$5,2)&amp;"输出",标准坦克设计!$B$23:$U$23,0)))*(VLOOKUP($B85,INDIRECT($B$5&amp;"生成成长"),3))*(VLOOKUP($B$5,标准坦克设计!$B$14:$K$20,9)/30))</f>
        <v>13.742835379716501</v>
      </c>
      <c r="DN85" s="173">
        <f ca="1">(VLOOKUP(DN$72,INDIRECT($C$5&amp;"生成成长"),2))/((VLOOKUP($B85,INDIRECT($B$5&amp;"生成成长"),4))/(VLOOKUP(DN$72,INDIRECT($C$5&amp;"生成成长"),5))*(VLOOKUP($B$5,标准坦克设计!$B$24:$U$30,MATCH("对"&amp;LEFT($C$5,2)&amp;"输出",标准坦克设计!$B$23:$U$23,0)))*(VLOOKUP($B85,INDIRECT($B$5&amp;"生成成长"),3))*(VLOOKUP($B$5,标准坦克设计!$B$14:$K$20,9)/30))</f>
        <v>15.184289155178114</v>
      </c>
      <c r="DO85" s="173">
        <f ca="1">(VLOOKUP(DO$72,INDIRECT($C$5&amp;"生成成长"),2))/((VLOOKUP($B85,INDIRECT($B$5&amp;"生成成长"),4))/(VLOOKUP(DO$72,INDIRECT($C$5&amp;"生成成长"),5))*(VLOOKUP($B$5,标准坦克设计!$B$24:$U$30,MATCH("对"&amp;LEFT($C$5,2)&amp;"输出",标准坦克设计!$B$23:$U$23,0)))*(VLOOKUP($B85,INDIRECT($B$5&amp;"生成成长"),3))*(VLOOKUP($B$5,标准坦克设计!$B$14:$K$20,9)/30))</f>
        <v>16.697615972075486</v>
      </c>
      <c r="DP85" s="173">
        <f ca="1">(VLOOKUP(DP$72,INDIRECT($C$5&amp;"生成成长"),2))/((VLOOKUP($B85,INDIRECT($B$5&amp;"生成成长"),4))/(VLOOKUP(DP$72,INDIRECT($C$5&amp;"生成成长"),5))*(VLOOKUP($B$5,标准坦克设计!$B$24:$U$30,MATCH("对"&amp;LEFT($C$5,2)&amp;"输出",标准坦克设计!$B$23:$U$23,0)))*(VLOOKUP($B85,INDIRECT($B$5&amp;"生成成长"),3))*(VLOOKUP($B$5,标准坦克设计!$B$14:$K$20,9)/30))</f>
        <v>18.282815830408616</v>
      </c>
      <c r="DQ85" s="173">
        <f ca="1">(VLOOKUP(DQ$72,INDIRECT($C$5&amp;"生成成长"),2))/((VLOOKUP($B85,INDIRECT($B$5&amp;"生成成长"),4))/(VLOOKUP(DQ$72,INDIRECT($C$5&amp;"生成成长"),5))*(VLOOKUP($B$5,标准坦克设计!$B$24:$U$30,MATCH("对"&amp;LEFT($C$5,2)&amp;"输出",标准坦克设计!$B$23:$U$23,0)))*(VLOOKUP($B85,INDIRECT($B$5&amp;"生成成长"),3))*(VLOOKUP($B$5,标准坦克设计!$B$14:$K$20,9)/30))</f>
        <v>19.939888730177504</v>
      </c>
      <c r="DR85" s="173">
        <f ca="1">(VLOOKUP(DR$72,INDIRECT($C$5&amp;"生成成长"),2))/((VLOOKUP($B85,INDIRECT($B$5&amp;"生成成长"),4))/(VLOOKUP(DR$72,INDIRECT($C$5&amp;"生成成长"),5))*(VLOOKUP($B$5,标准坦克设计!$B$24:$U$30,MATCH("对"&amp;LEFT($C$5,2)&amp;"输出",标准坦克设计!$B$23:$U$23,0)))*(VLOOKUP($B85,INDIRECT($B$5&amp;"生成成长"),3))*(VLOOKUP($B$5,标准坦克设计!$B$14:$K$20,9)/30))</f>
        <v>21.668834671382157</v>
      </c>
      <c r="DS85" s="173">
        <f ca="1">(VLOOKUP(DS$72,INDIRECT($C$5&amp;"生成成长"),2))/((VLOOKUP($B85,INDIRECT($B$5&amp;"生成成长"),4))/(VLOOKUP(DS$72,INDIRECT($C$5&amp;"生成成长"),5))*(VLOOKUP($B$5,标准坦克设计!$B$24:$U$30,MATCH("对"&amp;LEFT($C$5,2)&amp;"输出",标准坦克设计!$B$23:$U$23,0)))*(VLOOKUP($B85,INDIRECT($B$5&amp;"生成成长"),3))*(VLOOKUP($B$5,标准坦克设计!$B$14:$K$20,9)/30))</f>
        <v>23.469653654022565</v>
      </c>
      <c r="DT85" s="173">
        <f ca="1">(VLOOKUP(DT$72,INDIRECT($C$5&amp;"生成成长"),2))/((VLOOKUP($B85,INDIRECT($B$5&amp;"生成成长"),4))/(VLOOKUP(DT$72,INDIRECT($C$5&amp;"生成成长"),5))*(VLOOKUP($B$5,标准坦克设计!$B$24:$U$30,MATCH("对"&amp;LEFT($C$5,2)&amp;"输出",标准坦克设计!$B$23:$U$23,0)))*(VLOOKUP($B85,INDIRECT($B$5&amp;"生成成长"),3))*(VLOOKUP($B$5,标准坦克设计!$B$14:$K$20,9)/30))</f>
        <v>25.768259997718044</v>
      </c>
      <c r="DU85" s="173">
        <f ca="1">(VLOOKUP(DU$72,INDIRECT($C$5&amp;"生成成长"),2))/((VLOOKUP($B85,INDIRECT($B$5&amp;"生成成长"),4))/(VLOOKUP(DU$72,INDIRECT($C$5&amp;"生成成长"),5))*(VLOOKUP($B$5,标准坦克设计!$B$24:$U$30,MATCH("对"&amp;LEFT($C$5,2)&amp;"输出",标准坦克设计!$B$23:$U$23,0)))*(VLOOKUP($B85,INDIRECT($B$5&amp;"生成成长"),3))*(VLOOKUP($B$5,标准坦克设计!$B$14:$K$20,9)/30))</f>
        <v>28.174232242817556</v>
      </c>
      <c r="DV85" s="173">
        <f ca="1">(VLOOKUP(DV$72,INDIRECT($C$5&amp;"生成成长"),2))/((VLOOKUP($B85,INDIRECT($B$5&amp;"生成成长"),4))/(VLOOKUP(DV$72,INDIRECT($C$5&amp;"生成成长"),5))*(VLOOKUP($B$5,标准坦克设计!$B$24:$U$30,MATCH("对"&amp;LEFT($C$5,2)&amp;"输出",标准坦克设计!$B$23:$U$23,0)))*(VLOOKUP($B85,INDIRECT($B$5&amp;"生成成长"),3))*(VLOOKUP($B$5,标准坦克设计!$B$14:$K$20,9)/30))</f>
        <v>30.68757038932111</v>
      </c>
      <c r="DW85" s="173">
        <f ca="1">(VLOOKUP(DW$72,INDIRECT($C$5&amp;"生成成长"),2))/((VLOOKUP($B85,INDIRECT($B$5&amp;"生成成长"),4))/(VLOOKUP(DW$72,INDIRECT($C$5&amp;"生成成长"),5))*(VLOOKUP($B$5,标准坦克设计!$B$24:$U$30,MATCH("对"&amp;LEFT($C$5,2)&amp;"输出",标准坦克设计!$B$23:$U$23,0)))*(VLOOKUP($B85,INDIRECT($B$5&amp;"生成成长"),3))*(VLOOKUP($B$5,标准坦克设计!$B$14:$K$20,9)/30))</f>
        <v>33.308274437228697</v>
      </c>
      <c r="DX85" s="173">
        <f ca="1">(VLOOKUP(DX$72,INDIRECT($C$5&amp;"生成成长"),2))/((VLOOKUP($B85,INDIRECT($B$5&amp;"生成成长"),4))/(VLOOKUP(DX$72,INDIRECT($C$5&amp;"生成成长"),5))*(VLOOKUP($B$5,标准坦克设计!$B$24:$U$30,MATCH("对"&amp;LEFT($C$5,2)&amp;"输出",标准坦克设计!$B$23:$U$23,0)))*(VLOOKUP($B85,INDIRECT($B$5&amp;"生成成长"),3))*(VLOOKUP($B$5,标准坦克设计!$B$14:$K$20,9)/30))</f>
        <v>36.036344386540321</v>
      </c>
      <c r="DY85" s="173">
        <f ca="1">(VLOOKUP(DY$72,INDIRECT($C$5&amp;"生成成长"),2))/((VLOOKUP($B85,INDIRECT($B$5&amp;"生成成长"),4))/(VLOOKUP(DY$72,INDIRECT($C$5&amp;"生成成长"),5))*(VLOOKUP($B$5,标准坦克设计!$B$24:$U$30,MATCH("对"&amp;LEFT($C$5,2)&amp;"输出",标准坦克设计!$B$23:$U$23,0)))*(VLOOKUP($B85,INDIRECT($B$5&amp;"生成成长"),3))*(VLOOKUP($B$5,标准坦克设计!$B$14:$K$20,9)/30))</f>
        <v>16.185187806283501</v>
      </c>
      <c r="DZ85" s="173">
        <f ca="1">(VLOOKUP(DZ$72,INDIRECT($C$5&amp;"生成成长"),2))/((VLOOKUP($B85,INDIRECT($B$5&amp;"生成成长"),4))/(VLOOKUP(DZ$72,INDIRECT($C$5&amp;"生成成长"),5))*(VLOOKUP($B$5,标准坦克设计!$B$24:$U$30,MATCH("对"&amp;LEFT($C$5,2)&amp;"输出",标准坦克设计!$B$23:$U$23,0)))*(VLOOKUP($B85,INDIRECT($B$5&amp;"生成成长"),3))*(VLOOKUP($B$5,标准坦克设计!$B$14:$K$20,9)/30))</f>
        <v>17.924337944729032</v>
      </c>
      <c r="EA85" s="173">
        <f ca="1">(VLOOKUP(EA$72,INDIRECT($C$5&amp;"生成成长"),2))/((VLOOKUP($B85,INDIRECT($B$5&amp;"生成成长"),4))/(VLOOKUP(EA$72,INDIRECT($C$5&amp;"生成成长"),5))*(VLOOKUP($B$5,标准坦克设计!$B$24:$U$30,MATCH("对"&amp;LEFT($C$5,2)&amp;"输出",标准坦克设计!$B$23:$U$23,0)))*(VLOOKUP($B85,INDIRECT($B$5&amp;"生成成长"),3))*(VLOOKUP($B$5,标准坦克设计!$B$14:$K$20,9)/30))</f>
        <v>19.752220233095244</v>
      </c>
      <c r="EB85" s="173">
        <f ca="1">(VLOOKUP(EB$72,INDIRECT($C$5&amp;"生成成长"),2))/((VLOOKUP($B85,INDIRECT($B$5&amp;"生成成长"),4))/(VLOOKUP(EB$72,INDIRECT($C$5&amp;"生成成长"),5))*(VLOOKUP($B$5,标准坦克设计!$B$24:$U$30,MATCH("对"&amp;LEFT($C$5,2)&amp;"输出",标准坦克设计!$B$23:$U$23,0)))*(VLOOKUP($B85,INDIRECT($B$5&amp;"生成成长"),3))*(VLOOKUP($B$5,标准坦克设计!$B$14:$K$20,9)/30))</f>
        <v>21.668834671382157</v>
      </c>
      <c r="EC85" s="173">
        <f ca="1">(VLOOKUP(EC$72,INDIRECT($C$5&amp;"生成成长"),2))/((VLOOKUP($B85,INDIRECT($B$5&amp;"生成成长"),4))/(VLOOKUP(EC$72,INDIRECT($C$5&amp;"生成成长"),5))*(VLOOKUP($B$5,标准坦克设计!$B$24:$U$30,MATCH("对"&amp;LEFT($C$5,2)&amp;"输出",标准坦克设计!$B$23:$U$23,0)))*(VLOOKUP($B85,INDIRECT($B$5&amp;"生成成长"),3))*(VLOOKUP($B$5,标准坦克设计!$B$14:$K$20,9)/30))</f>
        <v>23.674181259589758</v>
      </c>
      <c r="ED85" s="173">
        <f ca="1">(VLOOKUP(ED$72,INDIRECT($C$5&amp;"生成成长"),2))/((VLOOKUP($B85,INDIRECT($B$5&amp;"生成成长"),4))/(VLOOKUP(ED$72,INDIRECT($C$5&amp;"生成成长"),5))*(VLOOKUP($B$5,标准坦克设计!$B$24:$U$30,MATCH("对"&amp;LEFT($C$5,2)&amp;"输出",标准坦克设计!$B$23:$U$23,0)))*(VLOOKUP($B85,INDIRECT($B$5&amp;"生成成长"),3))*(VLOOKUP($B$5,标准坦克设计!$B$14:$K$20,9)/30))</f>
        <v>25.768259997718044</v>
      </c>
      <c r="EE85" s="173">
        <f ca="1">(VLOOKUP(EE$72,INDIRECT($C$5&amp;"生成成长"),2))/((VLOOKUP($B85,INDIRECT($B$5&amp;"生成成长"),4))/(VLOOKUP(EE$72,INDIRECT($C$5&amp;"生成成长"),5))*(VLOOKUP($B$5,标准坦克设计!$B$24:$U$30,MATCH("对"&amp;LEFT($C$5,2)&amp;"输出",标准坦克设计!$B$23:$U$23,0)))*(VLOOKUP($B85,INDIRECT($B$5&amp;"生成成长"),3))*(VLOOKUP($B$5,标准坦克设计!$B$14:$K$20,9)/30))</f>
        <v>27.95107088576702</v>
      </c>
      <c r="EF85" s="173">
        <f ca="1">(VLOOKUP(EF$72,INDIRECT($C$5&amp;"生成成长"),2))/((VLOOKUP($B85,INDIRECT($B$5&amp;"生成成长"),4))/(VLOOKUP(EF$72,INDIRECT($C$5&amp;"生成成长"),5))*(VLOOKUP($B$5,标准坦克设计!$B$24:$U$30,MATCH("对"&amp;LEFT($C$5,2)&amp;"输出",标准坦克设计!$B$23:$U$23,0)))*(VLOOKUP($B85,INDIRECT($B$5&amp;"生成成长"),3))*(VLOOKUP($B$5,标准坦克设计!$B$14:$K$20,9)/30))</f>
        <v>30.222613923736695</v>
      </c>
      <c r="EG85" s="173">
        <f ca="1">(VLOOKUP(EG$72,INDIRECT($C$5&amp;"生成成长"),2))/((VLOOKUP($B85,INDIRECT($B$5&amp;"生成成长"),4))/(VLOOKUP(EG$72,INDIRECT($C$5&amp;"生成成长"),5))*(VLOOKUP($B$5,标准坦克设计!$B$24:$U$30,MATCH("对"&amp;LEFT($C$5,2)&amp;"输出",标准坦克设计!$B$23:$U$23,0)))*(VLOOKUP($B85,INDIRECT($B$5&amp;"生成成长"),3))*(VLOOKUP($B$5,标准坦克设计!$B$14:$K$20,9)/30))</f>
        <v>32.582889111627054</v>
      </c>
      <c r="EH85" s="173">
        <f ca="1">(VLOOKUP(EH$72,INDIRECT($C$5&amp;"生成成长"),2))/((VLOOKUP($B85,INDIRECT($B$5&amp;"生成成长"),4))/(VLOOKUP(EH$72,INDIRECT($C$5&amp;"生成成长"),5))*(VLOOKUP($B$5,标准坦克设计!$B$24:$U$30,MATCH("对"&amp;LEFT($C$5,2)&amp;"输出",标准坦克设计!$B$23:$U$23,0)))*(VLOOKUP($B85,INDIRECT($B$5&amp;"生成成长"),3))*(VLOOKUP($B$5,标准坦克设计!$B$14:$K$20,9)/30))</f>
        <v>35.031896449438108</v>
      </c>
      <c r="EI85" s="173">
        <f ca="1">(VLOOKUP(EI$72,INDIRECT($C$5&amp;"生成成长"),2))/((VLOOKUP($B85,INDIRECT($B$5&amp;"生成成长"),4))/(VLOOKUP(EI$72,INDIRECT($C$5&amp;"生成成长"),5))*(VLOOKUP($B$5,标准坦克设计!$B$24:$U$30,MATCH("对"&amp;LEFT($C$5,2)&amp;"输出",标准坦克设计!$B$23:$U$23,0)))*(VLOOKUP($B85,INDIRECT($B$5&amp;"生成成长"),3))*(VLOOKUP($B$5,标准坦克设计!$B$14:$K$20,9)/30))</f>
        <v>37.569635937169842</v>
      </c>
      <c r="EJ85" s="173">
        <f ca="1">(VLOOKUP(EJ$72,INDIRECT($C$5&amp;"生成成长"),2))/((VLOOKUP($B85,INDIRECT($B$5&amp;"生成成长"),4))/(VLOOKUP(EJ$72,INDIRECT($C$5&amp;"生成成长"),5))*(VLOOKUP($B$5,标准坦克设计!$B$24:$U$30,MATCH("对"&amp;LEFT($C$5,2)&amp;"输出",标准坦克设计!$B$23:$U$23,0)))*(VLOOKUP($B85,INDIRECT($B$5&amp;"生成成长"),3))*(VLOOKUP($B$5,标准坦克设计!$B$14:$K$20,9)/30))</f>
        <v>40.196107574822278</v>
      </c>
      <c r="EK85" s="173">
        <f ca="1">(VLOOKUP(EK$72,INDIRECT($C$5&amp;"生成成长"),2))/((VLOOKUP($B85,INDIRECT($B$5&amp;"生成成长"),4))/(VLOOKUP(EK$72,INDIRECT($C$5&amp;"生成成长"),5))*(VLOOKUP($B$5,标准坦克设计!$B$24:$U$30,MATCH("对"&amp;LEFT($C$5,2)&amp;"输出",标准坦克设计!$B$23:$U$23,0)))*(VLOOKUP($B85,INDIRECT($B$5&amp;"生成成长"),3))*(VLOOKUP($B$5,标准坦克设计!$B$14:$K$20,9)/30))</f>
        <v>43.464999977900504</v>
      </c>
      <c r="EL85" s="173">
        <f ca="1">(VLOOKUP(EL$72,INDIRECT($C$5&amp;"生成成长"),2))/((VLOOKUP($B85,INDIRECT($B$5&amp;"生成成长"),4))/(VLOOKUP(EL$72,INDIRECT($C$5&amp;"生成成长"),5))*(VLOOKUP($B$5,标准坦克设计!$B$24:$U$30,MATCH("对"&amp;LEFT($C$5,2)&amp;"输出",标准坦克设计!$B$23:$U$23,0)))*(VLOOKUP($B85,INDIRECT($B$5&amp;"生成成长"),3))*(VLOOKUP($B$5,标准坦克设计!$B$14:$K$20,9)/30))</f>
        <v>46.86166667686453</v>
      </c>
      <c r="EM85" s="173">
        <f ca="1">(VLOOKUP(EM$72,INDIRECT($C$5&amp;"生成成长"),2))/((VLOOKUP($B85,INDIRECT($B$5&amp;"生成成长"),4))/(VLOOKUP(EM$72,INDIRECT($C$5&amp;"生成成长"),5))*(VLOOKUP($B$5,标准坦克设计!$B$24:$U$30,MATCH("对"&amp;LEFT($C$5,2)&amp;"输出",标准坦克设计!$B$23:$U$23,0)))*(VLOOKUP($B85,INDIRECT($B$5&amp;"生成成长"),3))*(VLOOKUP($B$5,标准坦克设计!$B$14:$K$20,9)/30))</f>
        <v>50.386107671714342</v>
      </c>
      <c r="EN85" s="173">
        <f ca="1">(VLOOKUP(EN$72,INDIRECT($C$5&amp;"生成成长"),2))/((VLOOKUP($B85,INDIRECT($B$5&amp;"生成成长"),4))/(VLOOKUP(EN$72,INDIRECT($C$5&amp;"生成成长"),5))*(VLOOKUP($B$5,标准坦克设计!$B$24:$U$30,MATCH("对"&amp;LEFT($C$5,2)&amp;"输出",标准坦克设计!$B$23:$U$23,0)))*(VLOOKUP($B85,INDIRECT($B$5&amp;"生成成长"),3))*(VLOOKUP($B$5,标准坦克设计!$B$14:$K$20,9)/30))</f>
        <v>54.038322962449939</v>
      </c>
      <c r="EO85" s="173">
        <f ca="1">(VLOOKUP(EO$72,INDIRECT($C$5&amp;"生成成长"),2))/((VLOOKUP($B85,INDIRECT($B$5&amp;"生成成长"),4))/(VLOOKUP(EO$72,INDIRECT($C$5&amp;"生成成长"),5))*(VLOOKUP($B$5,标准坦克设计!$B$24:$U$30,MATCH("对"&amp;LEFT($C$5,2)&amp;"输出",标准坦克设计!$B$23:$U$23,0)))*(VLOOKUP($B85,INDIRECT($B$5&amp;"生成成长"),3))*(VLOOKUP($B$5,标准坦克设计!$B$14:$K$20,9)/30))</f>
        <v>57.818312549071351</v>
      </c>
      <c r="EP85" s="173">
        <f ca="1">(VLOOKUP(EP$72,INDIRECT($C$5&amp;"生成成长"),2))/((VLOOKUP($B85,INDIRECT($B$5&amp;"生成成长"),4))/(VLOOKUP(EP$72,INDIRECT($C$5&amp;"生成成长"),5))*(VLOOKUP($B$5,标准坦克设计!$B$24:$U$30,MATCH("对"&amp;LEFT($C$5,2)&amp;"输出",标准坦克设计!$B$23:$U$23,0)))*(VLOOKUP($B85,INDIRECT($B$5&amp;"生成成长"),3))*(VLOOKUP($B$5,标准坦克设计!$B$14:$K$20,9)/30))</f>
        <v>61.726076431578555</v>
      </c>
      <c r="EQ85" s="173">
        <f ca="1">(VLOOKUP(EQ$72,INDIRECT($C$5&amp;"生成成长"),2))/((VLOOKUP($B85,INDIRECT($B$5&amp;"生成成长"),4))/(VLOOKUP(EQ$72,INDIRECT($C$5&amp;"生成成长"),5))*(VLOOKUP($B$5,标准坦克设计!$B$24:$U$30,MATCH("对"&amp;LEFT($C$5,2)&amp;"输出",标准坦克设计!$B$23:$U$23,0)))*(VLOOKUP($B85,INDIRECT($B$5&amp;"生成成长"),3))*(VLOOKUP($B$5,标准坦克设计!$B$14:$K$20,9)/30))</f>
        <v>27.286910743610655</v>
      </c>
      <c r="ER85" s="173">
        <f ca="1">(VLOOKUP(ER$72,INDIRECT($C$5&amp;"生成成长"),2))/((VLOOKUP($B85,INDIRECT($B$5&amp;"生成成长"),4))/(VLOOKUP(ER$72,INDIRECT($C$5&amp;"生成成长"),5))*(VLOOKUP($B$5,标准坦克设计!$B$24:$U$30,MATCH("对"&amp;LEFT($C$5,2)&amp;"输出",标准坦克设计!$B$23:$U$23,0)))*(VLOOKUP($B85,INDIRECT($B$5&amp;"生成成长"),3))*(VLOOKUP($B$5,标准坦克设计!$B$14:$K$20,9)/30))</f>
        <v>29.761206744149103</v>
      </c>
      <c r="ES85" s="173">
        <f ca="1">(VLOOKUP(ES$72,INDIRECT($C$5&amp;"生成成长"),2))/((VLOOKUP($B85,INDIRECT($B$5&amp;"生成成长"),4))/(VLOOKUP(ES$72,INDIRECT($C$5&amp;"生成成长"),5))*(VLOOKUP($B$5,标准坦克设计!$B$24:$U$30,MATCH("对"&amp;LEFT($C$5,2)&amp;"输出",标准坦克设计!$B$23:$U$23,0)))*(VLOOKUP($B85,INDIRECT($B$5&amp;"生成成长"),3))*(VLOOKUP($B$5,标准坦克设计!$B$14:$K$20,9)/30))</f>
        <v>32.342868646091588</v>
      </c>
      <c r="ET85" s="173">
        <f ca="1">(VLOOKUP(ET$72,INDIRECT($C$5&amp;"生成成长"),2))/((VLOOKUP($B85,INDIRECT($B$5&amp;"生成成长"),4))/(VLOOKUP(ET$72,INDIRECT($C$5&amp;"生成成长"),5))*(VLOOKUP($B$5,标准坦克设计!$B$24:$U$30,MATCH("对"&amp;LEFT($C$5,2)&amp;"输出",标准坦克设计!$B$23:$U$23,0)))*(VLOOKUP($B85,INDIRECT($B$5&amp;"生成成长"),3))*(VLOOKUP($B$5,标准坦克设计!$B$14:$K$20,9)/30))</f>
        <v>35.031896449438108</v>
      </c>
      <c r="EU85" s="173">
        <f ca="1">(VLOOKUP(EU$72,INDIRECT($C$5&amp;"生成成长"),2))/((VLOOKUP($B85,INDIRECT($B$5&amp;"生成成长"),4))/(VLOOKUP(EU$72,INDIRECT($C$5&amp;"生成成长"),5))*(VLOOKUP($B$5,标准坦克设计!$B$24:$U$30,MATCH("对"&amp;LEFT($C$5,2)&amp;"输出",标准坦克设计!$B$23:$U$23,0)))*(VLOOKUP($B85,INDIRECT($B$5&amp;"生成成长"),3))*(VLOOKUP($B$5,标准坦克设计!$B$14:$K$20,9)/30))</f>
        <v>37.828290154188657</v>
      </c>
      <c r="EV85" s="173">
        <f ca="1">(VLOOKUP(EV$72,INDIRECT($C$5&amp;"生成成长"),2))/((VLOOKUP($B85,INDIRECT($B$5&amp;"生成成长"),4))/(VLOOKUP(EV$72,INDIRECT($C$5&amp;"生成成长"),5))*(VLOOKUP($B$5,标准坦克设计!$B$24:$U$30,MATCH("对"&amp;LEFT($C$5,2)&amp;"输出",标准坦克设计!$B$23:$U$23,0)))*(VLOOKUP($B85,INDIRECT($B$5&amp;"生成成长"),3))*(VLOOKUP($B$5,标准坦克设计!$B$14:$K$20,9)/30))</f>
        <v>40.732049760343251</v>
      </c>
      <c r="EW85" s="173">
        <f ca="1">(VLOOKUP(EW$72,INDIRECT($C$5&amp;"生成成长"),2))/((VLOOKUP($B85,INDIRECT($B$5&amp;"生成成长"),4))/(VLOOKUP(EW$72,INDIRECT($C$5&amp;"生成成长"),5))*(VLOOKUP($B$5,标准坦克设计!$B$24:$U$30,MATCH("对"&amp;LEFT($C$5,2)&amp;"输出",标准坦克设计!$B$23:$U$23,0)))*(VLOOKUP($B85,INDIRECT($B$5&amp;"生成成长"),3))*(VLOOKUP($B$5,标准坦克设计!$B$14:$K$20,9)/30))</f>
        <v>43.743175267901862</v>
      </c>
      <c r="EX85" s="173">
        <f ca="1">(VLOOKUP(EX$72,INDIRECT($C$5&amp;"生成成长"),2))/((VLOOKUP($B85,INDIRECT($B$5&amp;"生成成长"),4))/(VLOOKUP(EX$72,INDIRECT($C$5&amp;"生成成长"),5))*(VLOOKUP($B$5,标准坦克设计!$B$24:$U$30,MATCH("对"&amp;LEFT($C$5,2)&amp;"输出",标准坦克设计!$B$23:$U$23,0)))*(VLOOKUP($B85,INDIRECT($B$5&amp;"生成成长"),3))*(VLOOKUP($B$5,标准坦克设计!$B$14:$K$20,9)/30))</f>
        <v>46.86166667686453</v>
      </c>
      <c r="EY85" s="173">
        <f ca="1">(VLOOKUP(EY$72,INDIRECT($C$5&amp;"生成成长"),2))/((VLOOKUP($B85,INDIRECT($B$5&amp;"生成成长"),4))/(VLOOKUP(EY$72,INDIRECT($C$5&amp;"生成成长"),5))*(VLOOKUP($B$5,标准坦克设计!$B$24:$U$30,MATCH("对"&amp;LEFT($C$5,2)&amp;"输出",标准坦克设计!$B$23:$U$23,0)))*(VLOOKUP($B85,INDIRECT($B$5&amp;"生成成长"),3))*(VLOOKUP($B$5,标准坦克设计!$B$14:$K$20,9)/30))</f>
        <v>50.087523987231222</v>
      </c>
      <c r="EZ85" s="173">
        <f ca="1">(VLOOKUP(EZ$72,INDIRECT($C$5&amp;"生成成长"),2))/((VLOOKUP($B85,INDIRECT($B$5&amp;"生成成长"),4))/(VLOOKUP(EZ$72,INDIRECT($C$5&amp;"生成成长"),5))*(VLOOKUP($B$5,标准坦克设计!$B$24:$U$30,MATCH("对"&amp;LEFT($C$5,2)&amp;"输出",标准坦克设计!$B$23:$U$23,0)))*(VLOOKUP($B85,INDIRECT($B$5&amp;"生成成长"),3))*(VLOOKUP($B$5,标准坦克设计!$B$14:$K$20,9)/30))</f>
        <v>53.420747199001944</v>
      </c>
      <c r="FA85" s="173">
        <f ca="1">(VLOOKUP(FA$72,INDIRECT($C$5&amp;"生成成长"),2))/((VLOOKUP($B85,INDIRECT($B$5&amp;"生成成长"),4))/(VLOOKUP(FA$72,INDIRECT($C$5&amp;"生成成长"),5))*(VLOOKUP($B$5,标准坦克设计!$B$24:$U$30,MATCH("对"&amp;LEFT($C$5,2)&amp;"输出",标准坦克设计!$B$23:$U$23,0)))*(VLOOKUP($B85,INDIRECT($B$5&amp;"生成成长"),3))*(VLOOKUP($B$5,标准坦克设计!$B$14:$K$20,9)/30))</f>
        <v>56.861336312176704</v>
      </c>
      <c r="FB85" s="173">
        <f ca="1">(VLOOKUP(FB$72,INDIRECT($C$5&amp;"生成成长"),2))/((VLOOKUP($B85,INDIRECT($B$5&amp;"生成成长"),4))/(VLOOKUP(FB$72,INDIRECT($C$5&amp;"生成成长"),5))*(VLOOKUP($B$5,标准坦克设计!$B$24:$U$30,MATCH("对"&amp;LEFT($C$5,2)&amp;"输出",标准坦克设计!$B$23:$U$23,0)))*(VLOOKUP($B85,INDIRECT($B$5&amp;"生成成长"),3))*(VLOOKUP($B$5,标准坦克设计!$B$14:$K$20,9)/30))</f>
        <v>60.409291326755515</v>
      </c>
      <c r="FC85" s="173">
        <f ca="1">(VLOOKUP(FC$72,INDIRECT($C$5&amp;"生成成长"),2))/((VLOOKUP($B85,INDIRECT($B$5&amp;"生成成长"),4))/(VLOOKUP(FC$72,INDIRECT($C$5&amp;"生成成长"),5))*(VLOOKUP($B$5,标准坦克设计!$B$24:$U$30,MATCH("对"&amp;LEFT($C$5,2)&amp;"输出",标准坦克设计!$B$23:$U$23,0)))*(VLOOKUP($B85,INDIRECT($B$5&amp;"生成成长"),3))*(VLOOKUP($B$5,标准坦克设计!$B$14:$K$20,9)/30))</f>
        <v>64.064612242738335</v>
      </c>
      <c r="FD85" s="173">
        <f ca="1">(VLOOKUP(FD$72,INDIRECT($C$5&amp;"生成成长"),2))/((VLOOKUP($B85,INDIRECT($B$5&amp;"生成成长"),4))/(VLOOKUP(FD$72,INDIRECT($C$5&amp;"生成成长"),5))*(VLOOKUP($B$5,标准坦克设计!$B$24:$U$30,MATCH("对"&amp;LEFT($C$5,2)&amp;"输出",标准坦克设计!$B$23:$U$23,0)))*(VLOOKUP($B85,INDIRECT($B$5&amp;"生成成长"),3))*(VLOOKUP($B$5,标准坦克设计!$B$14:$K$20,9)/30))</f>
        <v>67.827299060125199</v>
      </c>
      <c r="FE85" s="173">
        <f ca="1">(VLOOKUP(FE$72,INDIRECT($C$5&amp;"生成成长"),2))/((VLOOKUP($B85,INDIRECT($B$5&amp;"生成成长"),4))/(VLOOKUP(FE$72,INDIRECT($C$5&amp;"生成成长"),5))*(VLOOKUP($B$5,标准坦克设计!$B$24:$U$30,MATCH("对"&amp;LEFT($C$5,2)&amp;"输出",标准坦克设计!$B$23:$U$23,0)))*(VLOOKUP($B85,INDIRECT($B$5&amp;"生成成长"),3))*(VLOOKUP($B$5,标准坦克设计!$B$14:$K$20,9)/30))</f>
        <v>72.412532907276884</v>
      </c>
      <c r="FF85" s="173">
        <f ca="1">(VLOOKUP(FF$72,INDIRECT($C$5&amp;"生成成长"),2))/((VLOOKUP($B85,INDIRECT($B$5&amp;"生成成长"),4))/(VLOOKUP(FF$72,INDIRECT($C$5&amp;"生成成长"),5))*(VLOOKUP($B$5,标准坦克设计!$B$24:$U$30,MATCH("对"&amp;LEFT($C$5,2)&amp;"输出",标准坦克设计!$B$23:$U$23,0)))*(VLOOKUP($B85,INDIRECT($B$5&amp;"生成成长"),3))*(VLOOKUP($B$5,标准坦克设计!$B$14:$K$20,9)/30))</f>
        <v>77.147724087794515</v>
      </c>
      <c r="FG85" s="173">
        <f ca="1">(VLOOKUP(FG$72,INDIRECT($C$5&amp;"生成成长"),2))/((VLOOKUP($B85,INDIRECT($B$5&amp;"生成成长"),4))/(VLOOKUP(FG$72,INDIRECT($C$5&amp;"生成成长"),5))*(VLOOKUP($B$5,标准坦克设计!$B$24:$U$30,MATCH("对"&amp;LEFT($C$5,2)&amp;"输出",标准坦克设计!$B$23:$U$23,0)))*(VLOOKUP($B85,INDIRECT($B$5&amp;"生成成长"),3))*(VLOOKUP($B$5,标准坦克设计!$B$14:$K$20,9)/30))</f>
        <v>82.032872601678122</v>
      </c>
      <c r="FH85" s="173">
        <f ca="1">(VLOOKUP(FH$72,INDIRECT($C$5&amp;"生成成长"),2))/((VLOOKUP($B85,INDIRECT($B$5&amp;"生成成长"),4))/(VLOOKUP(FH$72,INDIRECT($C$5&amp;"生成成长"),5))*(VLOOKUP($B$5,标准坦克设计!$B$24:$U$30,MATCH("对"&amp;LEFT($C$5,2)&amp;"输出",标准坦克设计!$B$23:$U$23,0)))*(VLOOKUP($B85,INDIRECT($B$5&amp;"生成成长"),3))*(VLOOKUP($B$5,标准坦克设计!$B$14:$K$20,9)/30))</f>
        <v>87.067978448927661</v>
      </c>
      <c r="FI85" s="173">
        <f ca="1">(VLOOKUP(FI$72,INDIRECT($C$5&amp;"生成成长"),2))/((VLOOKUP($B85,INDIRECT($B$5&amp;"生成成长"),4))/(VLOOKUP(FI$72,INDIRECT($C$5&amp;"生成成长"),5))*(VLOOKUP($B$5,标准坦克设计!$B$24:$U$30,MATCH("对"&amp;LEFT($C$5,2)&amp;"输出",标准坦克设计!$B$23:$U$23,0)))*(VLOOKUP($B85,INDIRECT($B$5&amp;"生成成长"),3))*(VLOOKUP($B$5,标准坦克设计!$B$14:$K$20,9)/30))</f>
        <v>92.253041629543219</v>
      </c>
      <c r="FJ85" s="173">
        <f ca="1">(VLOOKUP(FJ$72,INDIRECT($C$5&amp;"生成成长"),2))/((VLOOKUP($B85,INDIRECT($B$5&amp;"生成成长"),4))/(VLOOKUP(FJ$72,INDIRECT($C$5&amp;"生成成长"),5))*(VLOOKUP($B$5,标准坦克设计!$B$24:$U$30,MATCH("对"&amp;LEFT($C$5,2)&amp;"输出",标准坦克设计!$B$23:$U$23,0)))*(VLOOKUP($B85,INDIRECT($B$5&amp;"生成成长"),3))*(VLOOKUP($B$5,标准坦克设计!$B$14:$K$20,9)/30))</f>
        <v>97.588062143524709</v>
      </c>
      <c r="FK85" s="173">
        <f ca="1">(VLOOKUP(FK$72,INDIRECT($C$5&amp;"生成成长"),2))/((VLOOKUP($B85,INDIRECT($B$5&amp;"生成成长"),4))/(VLOOKUP(FK$72,INDIRECT($C$5&amp;"生成成长"),5))*(VLOOKUP($B$5,标准坦克设计!$B$24:$U$30,MATCH("对"&amp;LEFT($C$5,2)&amp;"输出",标准坦克设计!$B$23:$U$23,0)))*(VLOOKUP($B85,INDIRECT($B$5&amp;"生成成长"),3))*(VLOOKUP($B$5,标准坦克设计!$B$14:$K$20,9)/30))</f>
        <v>103.07303999087218</v>
      </c>
    </row>
    <row r="86" spans="1:167" x14ac:dyDescent="0.15">
      <c r="A86" s="171" t="str">
        <f t="shared" si="11"/>
        <v>T3低品质2级</v>
      </c>
      <c r="B86" s="172">
        <v>10302</v>
      </c>
      <c r="C86" s="173">
        <f ca="1">(VLOOKUP(C$72,INDIRECT($C$5&amp;"生成成长"),2))/((VLOOKUP($B86,INDIRECT($B$5&amp;"生成成长"),4))/(VLOOKUP(C$72,INDIRECT($C$5&amp;"生成成长"),5))*(VLOOKUP($B$5,标准坦克设计!$B$24:$U$30,MATCH("对"&amp;LEFT($C$5,2)&amp;"输出",标准坦克设计!$B$23:$U$23,0)))*(VLOOKUP($B86,INDIRECT($B$5&amp;"生成成长"),3))*(VLOOKUP($B$5,标准坦克设计!$B$14:$K$20,9)/30))</f>
        <v>3.9324475533033163</v>
      </c>
      <c r="D86" s="173">
        <f ca="1">(VLOOKUP(D$72,INDIRECT($C$5&amp;"生成成长"),2))/((VLOOKUP($B86,INDIRECT($B$5&amp;"生成成长"),4))/(VLOOKUP(D$72,INDIRECT($C$5&amp;"生成成长"),5))*(VLOOKUP($B$5,标准坦克设计!$B$24:$U$30,MATCH("对"&amp;LEFT($C$5,2)&amp;"输出",标准坦克设计!$B$23:$U$23,0)))*(VLOOKUP($B86,INDIRECT($B$5&amp;"生成成长"),3))*(VLOOKUP($B$5,标准坦克设计!$B$14:$K$20,9)/30))</f>
        <v>4.4184980708916068</v>
      </c>
      <c r="E86" s="173">
        <f ca="1">(VLOOKUP(E$72,INDIRECT($C$5&amp;"生成成长"),2))/((VLOOKUP($B86,INDIRECT($B$5&amp;"生成成长"),4))/(VLOOKUP(E$72,INDIRECT($C$5&amp;"生成成长"),5))*(VLOOKUP($B$5,标准坦克设计!$B$24:$U$30,MATCH("对"&amp;LEFT($C$5,2)&amp;"输出",标准坦克设计!$B$23:$U$23,0)))*(VLOOKUP($B86,INDIRECT($B$5&amp;"生成成长"),3))*(VLOOKUP($B$5,标准坦克设计!$B$14:$K$20,9)/30))</f>
        <v>4.9328622108636804</v>
      </c>
      <c r="F86" s="173">
        <f ca="1">(VLOOKUP(F$72,INDIRECT($C$5&amp;"生成成长"),2))/((VLOOKUP($B86,INDIRECT($B$5&amp;"生成成长"),4))/(VLOOKUP(F$72,INDIRECT($C$5&amp;"生成成长"),5))*(VLOOKUP($B$5,标准坦克设计!$B$24:$U$30,MATCH("对"&amp;LEFT($C$5,2)&amp;"输出",标准坦克设计!$B$23:$U$23,0)))*(VLOOKUP($B86,INDIRECT($B$5&amp;"生成成长"),3))*(VLOOKUP($B$5,标准坦克设计!$B$14:$K$20,9)/30))</f>
        <v>5.4755399732195391</v>
      </c>
      <c r="G86" s="173">
        <f ca="1">(VLOOKUP(G$72,INDIRECT($C$5&amp;"生成成长"),2))/((VLOOKUP($B86,INDIRECT($B$5&amp;"生成成长"),4))/(VLOOKUP(G$72,INDIRECT($C$5&amp;"生成成长"),5))*(VLOOKUP($B$5,标准坦克设计!$B$24:$U$30,MATCH("对"&amp;LEFT($C$5,2)&amp;"输出",标准坦克设计!$B$23:$U$23,0)))*(VLOOKUP($B86,INDIRECT($B$5&amp;"生成成长"),3))*(VLOOKUP($B$5,标准坦克设计!$B$14:$K$20,9)/30))</f>
        <v>6.0465313579591804</v>
      </c>
      <c r="H86" s="173">
        <f ca="1">(VLOOKUP(H$72,INDIRECT($C$5&amp;"生成成长"),2))/((VLOOKUP($B86,INDIRECT($B$5&amp;"生成成长"),4))/(VLOOKUP(H$72,INDIRECT($C$5&amp;"生成成长"),5))*(VLOOKUP($B$5,标准坦克设计!$B$24:$U$30,MATCH("对"&amp;LEFT($C$5,2)&amp;"输出",标准坦克设计!$B$23:$U$23,0)))*(VLOOKUP($B86,INDIRECT($B$5&amp;"生成成长"),3))*(VLOOKUP($B$5,标准坦克设计!$B$14:$K$20,9)/30))</f>
        <v>5.2915014277249428</v>
      </c>
      <c r="I86" s="173">
        <f ca="1">(VLOOKUP(I$72,INDIRECT($C$5&amp;"生成成长"),2))/((VLOOKUP($B86,INDIRECT($B$5&amp;"生成成长"),4))/(VLOOKUP(I$72,INDIRECT($C$5&amp;"生成成长"),5))*(VLOOKUP($B$5,标准坦克设计!$B$24:$U$30,MATCH("对"&amp;LEFT($C$5,2)&amp;"输出",标准坦克设计!$B$23:$U$23,0)))*(VLOOKUP($B86,INDIRECT($B$5&amp;"生成成长"),3))*(VLOOKUP($B$5,标准坦克设计!$B$14:$K$20,9)/30))</f>
        <v>6.0465313579591804</v>
      </c>
      <c r="J86" s="173">
        <f ca="1">(VLOOKUP(J$72,INDIRECT($C$5&amp;"生成成长"),2))/((VLOOKUP($B86,INDIRECT($B$5&amp;"生成成长"),4))/(VLOOKUP(J$72,INDIRECT($C$5&amp;"生成成长"),5))*(VLOOKUP($B$5,标准坦克设计!$B$24:$U$30,MATCH("对"&amp;LEFT($C$5,2)&amp;"输出",标准坦克设计!$B$23:$U$23,0)))*(VLOOKUP($B86,INDIRECT($B$5&amp;"生成成长"),3))*(VLOOKUP($B$5,标准坦克设计!$B$14:$K$20,9)/30))</f>
        <v>6.851896616875699</v>
      </c>
      <c r="K86" s="173">
        <f ca="1">(VLOOKUP(K$72,INDIRECT($C$5&amp;"生成成长"),2))/((VLOOKUP($B86,INDIRECT($B$5&amp;"生成成长"),4))/(VLOOKUP(K$72,INDIRECT($C$5&amp;"生成成长"),5))*(VLOOKUP($B$5,标准坦克设计!$B$24:$U$30,MATCH("对"&amp;LEFT($C$5,2)&amp;"输出",标准坦克设计!$B$23:$U$23,0)))*(VLOOKUP($B86,INDIRECT($B$5&amp;"生成成长"),3))*(VLOOKUP($B$5,标准坦克设计!$B$14:$K$20,9)/30))</f>
        <v>7.707597204474502</v>
      </c>
      <c r="L86" s="173">
        <f ca="1">(VLOOKUP(L$72,INDIRECT($C$5&amp;"生成成长"),2))/((VLOOKUP($B86,INDIRECT($B$5&amp;"生成成长"),4))/(VLOOKUP(L$72,INDIRECT($C$5&amp;"生成成长"),5))*(VLOOKUP($B$5,标准坦克设计!$B$24:$U$30,MATCH("对"&amp;LEFT($C$5,2)&amp;"输出",标准坦克设计!$B$23:$U$23,0)))*(VLOOKUP($B86,INDIRECT($B$5&amp;"生成成长"),3))*(VLOOKUP($B$5,标准坦克设计!$B$14:$K$20,9)/30))</f>
        <v>8.6136331207555852</v>
      </c>
      <c r="M86" s="173">
        <f ca="1">(VLOOKUP(M$72,INDIRECT($C$5&amp;"生成成长"),2))/((VLOOKUP($B86,INDIRECT($B$5&amp;"生成成长"),4))/(VLOOKUP(M$72,INDIRECT($C$5&amp;"生成成长"),5))*(VLOOKUP($B$5,标准坦克设计!$B$24:$U$30,MATCH("对"&amp;LEFT($C$5,2)&amp;"输出",标准坦克设计!$B$23:$U$23,0)))*(VLOOKUP($B86,INDIRECT($B$5&amp;"生成成长"),3))*(VLOOKUP($B$5,标准坦克设计!$B$14:$K$20,9)/30))</f>
        <v>9.5700043657189511</v>
      </c>
      <c r="N86" s="173">
        <f ca="1">(VLOOKUP(N$72,INDIRECT($C$5&amp;"生成成长"),2))/((VLOOKUP($B86,INDIRECT($B$5&amp;"生成成长"),4))/(VLOOKUP(N$72,INDIRECT($C$5&amp;"生成成长"),5))*(VLOOKUP($B$5,标准坦克设计!$B$24:$U$30,MATCH("对"&amp;LEFT($C$5,2)&amp;"输出",标准坦克设计!$B$23:$U$23,0)))*(VLOOKUP($B86,INDIRECT($B$5&amp;"生成成长"),3))*(VLOOKUP($B$5,标准坦克设计!$B$14:$K$20,9)/30))</f>
        <v>10.576710939364601</v>
      </c>
      <c r="O86" s="173">
        <f ca="1">(VLOOKUP(O$72,INDIRECT($C$5&amp;"生成成长"),2))/((VLOOKUP($B86,INDIRECT($B$5&amp;"生成成长"),4))/(VLOOKUP(O$72,INDIRECT($C$5&amp;"生成成长"),5))*(VLOOKUP($B$5,标准坦克设计!$B$24:$U$30,MATCH("对"&amp;LEFT($C$5,2)&amp;"输出",标准坦克设计!$B$23:$U$23,0)))*(VLOOKUP($B86,INDIRECT($B$5&amp;"生成成长"),3))*(VLOOKUP($B$5,标准坦克设计!$B$14:$K$20,9)/30))</f>
        <v>8.0414620017499523</v>
      </c>
      <c r="P86" s="173">
        <f ca="1">(VLOOKUP(P$72,INDIRECT($C$5&amp;"生成成长"),2))/((VLOOKUP($B86,INDIRECT($B$5&amp;"生成成长"),4))/(VLOOKUP(P$72,INDIRECT($C$5&amp;"生成成长"),5))*(VLOOKUP($B$5,标准坦克设计!$B$24:$U$30,MATCH("对"&amp;LEFT($C$5,2)&amp;"输出",标准坦克设计!$B$23:$U$23,0)))*(VLOOKUP($B86,INDIRECT($B$5&amp;"生成成长"),3))*(VLOOKUP($B$5,标准坦克设计!$B$14:$K$20,9)/30))</f>
        <v>9.0855268271519822</v>
      </c>
      <c r="Q86" s="173">
        <f ca="1">(VLOOKUP(Q$72,INDIRECT($C$5&amp;"生成成长"),2))/((VLOOKUP($B86,INDIRECT($B$5&amp;"生成成长"),4))/(VLOOKUP(Q$72,INDIRECT($C$5&amp;"生成成长"),5))*(VLOOKUP($B$5,标准坦克设计!$B$24:$U$30,MATCH("对"&amp;LEFT($C$5,2)&amp;"输出",标准坦克设计!$B$23:$U$23,0)))*(VLOOKUP($B86,INDIRECT($B$5&amp;"生成成长"),3))*(VLOOKUP($B$5,标准坦克设计!$B$14:$K$20,9)/30))</f>
        <v>10.193297302917527</v>
      </c>
      <c r="R86" s="173">
        <f ca="1">(VLOOKUP(R$72,INDIRECT($C$5&amp;"生成成长"),2))/((VLOOKUP($B86,INDIRECT($B$5&amp;"生成成长"),4))/(VLOOKUP(R$72,INDIRECT($C$5&amp;"生成成长"),5))*(VLOOKUP($B$5,标准坦克设计!$B$24:$U$30,MATCH("对"&amp;LEFT($C$5,2)&amp;"输出",标准坦克设计!$B$23:$U$23,0)))*(VLOOKUP($B86,INDIRECT($B$5&amp;"生成成长"),3))*(VLOOKUP($B$5,标准坦克设计!$B$14:$K$20,9)/30))</f>
        <v>11.364773429046586</v>
      </c>
      <c r="S86" s="173">
        <f ca="1">(VLOOKUP(S$72,INDIRECT($C$5&amp;"生成成长"),2))/((VLOOKUP($B86,INDIRECT($B$5&amp;"生成成长"),4))/(VLOOKUP(S$72,INDIRECT($C$5&amp;"生成成长"),5))*(VLOOKUP($B$5,标准坦克设计!$B$24:$U$30,MATCH("对"&amp;LEFT($C$5,2)&amp;"输出",标准坦克设计!$B$23:$U$23,0)))*(VLOOKUP($B86,INDIRECT($B$5&amp;"生成成长"),3))*(VLOOKUP($B$5,标准坦克设计!$B$14:$K$20,9)/30))</f>
        <v>12.599955205539159</v>
      </c>
      <c r="T86" s="173">
        <f ca="1">(VLOOKUP(T$72,INDIRECT($C$5&amp;"生成成长"),2))/((VLOOKUP($B86,INDIRECT($B$5&amp;"生成成长"),4))/(VLOOKUP(T$72,INDIRECT($C$5&amp;"生成成长"),5))*(VLOOKUP($B$5,标准坦克设计!$B$24:$U$30,MATCH("对"&amp;LEFT($C$5,2)&amp;"输出",标准坦克设计!$B$23:$U$23,0)))*(VLOOKUP($B86,INDIRECT($B$5&amp;"生成成长"),3))*(VLOOKUP($B$5,标准坦克设计!$B$14:$K$20,9)/30))</f>
        <v>13.898842632395246</v>
      </c>
      <c r="U86" s="173">
        <f ca="1">(VLOOKUP(U$72,INDIRECT($C$5&amp;"生成成长"),2))/((VLOOKUP($B86,INDIRECT($B$5&amp;"生成成长"),4))/(VLOOKUP(U$72,INDIRECT($C$5&amp;"生成成长"),5))*(VLOOKUP($B$5,标准坦克设计!$B$24:$U$30,MATCH("对"&amp;LEFT($C$5,2)&amp;"输出",标准坦克设计!$B$23:$U$23,0)))*(VLOOKUP($B86,INDIRECT($B$5&amp;"生成成长"),3))*(VLOOKUP($B$5,标准坦克设计!$B$14:$K$20,9)/30))</f>
        <v>15.26143570961484</v>
      </c>
      <c r="V86" s="173">
        <f ca="1">(VLOOKUP(V$72,INDIRECT($C$5&amp;"生成成长"),2))/((VLOOKUP($B86,INDIRECT($B$5&amp;"生成成长"),4))/(VLOOKUP(V$72,INDIRECT($C$5&amp;"生成成长"),5))*(VLOOKUP($B$5,标准坦克设计!$B$24:$U$30,MATCH("对"&amp;LEFT($C$5,2)&amp;"输出",标准坦克设计!$B$23:$U$23,0)))*(VLOOKUP($B86,INDIRECT($B$5&amp;"生成成长"),3))*(VLOOKUP($B$5,标准坦克设计!$B$14:$K$20,9)/30))</f>
        <v>16.687734437197953</v>
      </c>
      <c r="W86" s="173">
        <f ca="1">(VLOOKUP(W$72,INDIRECT($C$5&amp;"生成成长"),2))/((VLOOKUP($B86,INDIRECT($B$5&amp;"生成成长"),4))/(VLOOKUP(W$72,INDIRECT($C$5&amp;"生成成长"),5))*(VLOOKUP($B$5,标准坦克设计!$B$24:$U$30,MATCH("对"&amp;LEFT($C$5,2)&amp;"输出",标准坦克设计!$B$23:$U$23,0)))*(VLOOKUP($B86,INDIRECT($B$5&amp;"生成成长"),3))*(VLOOKUP($B$5,标准坦克设计!$B$14:$K$20,9)/30))</f>
        <v>18.177738815144583</v>
      </c>
      <c r="X86" s="173">
        <f ca="1">(VLOOKUP(X$72,INDIRECT($C$5&amp;"生成成长"),2))/((VLOOKUP($B86,INDIRECT($B$5&amp;"生成成长"),4))/(VLOOKUP(X$72,INDIRECT($C$5&amp;"生成成长"),5))*(VLOOKUP($B$5,标准坦克设计!$B$24:$U$30,MATCH("对"&amp;LEFT($C$5,2)&amp;"输出",标准坦克设计!$B$23:$U$23,0)))*(VLOOKUP($B86,INDIRECT($B$5&amp;"生成成长"),3))*(VLOOKUP($B$5,标准坦克设计!$B$14:$K$20,9)/30))</f>
        <v>13.169373611257479</v>
      </c>
      <c r="Y86" s="173">
        <f ca="1">(VLOOKUP(Y$72,INDIRECT($C$5&amp;"生成成长"),2))/((VLOOKUP($B86,INDIRECT($B$5&amp;"生成成长"),4))/(VLOOKUP(Y$72,INDIRECT($C$5&amp;"生成成长"),5))*(VLOOKUP($B$5,标准坦克设计!$B$24:$U$30,MATCH("对"&amp;LEFT($C$5,2)&amp;"输出",标准坦克设计!$B$23:$U$23,0)))*(VLOOKUP($B86,INDIRECT($B$5&amp;"生成成长"),3))*(VLOOKUP($B$5,标准坦克设计!$B$14:$K$20,9)/30))</f>
        <v>14.647973891299523</v>
      </c>
      <c r="Z86" s="173">
        <f ca="1">(VLOOKUP(Z$72,INDIRECT($C$5&amp;"生成成长"),2))/((VLOOKUP($B86,INDIRECT($B$5&amp;"生成成长"),4))/(VLOOKUP(Z$72,INDIRECT($C$5&amp;"生成成长"),5))*(VLOOKUP($B$5,标准坦克设计!$B$24:$U$30,MATCH("对"&amp;LEFT($C$5,2)&amp;"输出",标准坦克设计!$B$23:$U$23,0)))*(VLOOKUP($B86,INDIRECT($B$5&amp;"生成成长"),3))*(VLOOKUP($B$5,标准坦克设计!$B$14:$K$20,9)/30))</f>
        <v>16.205223122407638</v>
      </c>
      <c r="AA86" s="173">
        <f ca="1">(VLOOKUP(AA$72,INDIRECT($C$5&amp;"生成成长"),2))/((VLOOKUP($B86,INDIRECT($B$5&amp;"生成成长"),4))/(VLOOKUP(AA$72,INDIRECT($C$5&amp;"生成成长"),5))*(VLOOKUP($B$5,标准坦克设计!$B$24:$U$30,MATCH("对"&amp;LEFT($C$5,2)&amp;"输出",标准坦克设计!$B$23:$U$23,0)))*(VLOOKUP($B86,INDIRECT($B$5&amp;"生成成长"),3))*(VLOOKUP($B$5,标准坦克设计!$B$14:$K$20,9)/30))</f>
        <v>17.841121304581819</v>
      </c>
      <c r="AB86" s="173">
        <f ca="1">(VLOOKUP(AB$72,INDIRECT($C$5&amp;"生成成长"),2))/((VLOOKUP($B86,INDIRECT($B$5&amp;"生成成长"),4))/(VLOOKUP(AB$72,INDIRECT($C$5&amp;"生成成长"),5))*(VLOOKUP($B$5,标准坦克设计!$B$24:$U$30,MATCH("对"&amp;LEFT($C$5,2)&amp;"输出",标准坦克设计!$B$23:$U$23,0)))*(VLOOKUP($B86,INDIRECT($B$5&amp;"生成成长"),3))*(VLOOKUP($B$5,标准坦克设计!$B$14:$K$20,9)/30))</f>
        <v>19.555668437822067</v>
      </c>
      <c r="AC86" s="173">
        <f ca="1">(VLOOKUP(AC$72,INDIRECT($C$5&amp;"生成成长"),2))/((VLOOKUP($B86,INDIRECT($B$5&amp;"生成成长"),4))/(VLOOKUP(AC$72,INDIRECT($C$5&amp;"生成成长"),5))*(VLOOKUP($B$5,标准坦克设计!$B$24:$U$30,MATCH("对"&amp;LEFT($C$5,2)&amp;"输出",标准坦克设计!$B$23:$U$23,0)))*(VLOOKUP($B86,INDIRECT($B$5&amp;"生成成长"),3))*(VLOOKUP($B$5,标准坦克设计!$B$14:$K$20,9)/30))</f>
        <v>21.34886452212838</v>
      </c>
      <c r="AD86" s="173">
        <f ca="1">(VLOOKUP(AD$72,INDIRECT($C$5&amp;"生成成长"),2))/((VLOOKUP($B86,INDIRECT($B$5&amp;"生成成长"),4))/(VLOOKUP(AD$72,INDIRECT($C$5&amp;"生成成长"),5))*(VLOOKUP($B$5,标准坦克设计!$B$24:$U$30,MATCH("对"&amp;LEFT($C$5,2)&amp;"输出",标准坦克设计!$B$23:$U$23,0)))*(VLOOKUP($B86,INDIRECT($B$5&amp;"生成成长"),3))*(VLOOKUP($B$5,标准坦克设计!$B$14:$K$20,9)/30))</f>
        <v>23.220709557500754</v>
      </c>
      <c r="AE86" s="173">
        <f ca="1">(VLOOKUP(AE$72,INDIRECT($C$5&amp;"生成成长"),2))/((VLOOKUP($B86,INDIRECT($B$5&amp;"生成成长"),4))/(VLOOKUP(AE$72,INDIRECT($C$5&amp;"生成成长"),5))*(VLOOKUP($B$5,标准坦克设计!$B$24:$U$30,MATCH("对"&amp;LEFT($C$5,2)&amp;"输出",标准坦克设计!$B$23:$U$23,0)))*(VLOOKUP($B86,INDIRECT($B$5&amp;"生成成长"),3))*(VLOOKUP($B$5,标准坦克设计!$B$14:$K$20,9)/30))</f>
        <v>25.1712035439392</v>
      </c>
      <c r="AF86" s="173">
        <f ca="1">(VLOOKUP(AF$72,INDIRECT($C$5&amp;"生成成长"),2))/((VLOOKUP($B86,INDIRECT($B$5&amp;"生成成长"),4))/(VLOOKUP(AF$72,INDIRECT($C$5&amp;"生成成长"),5))*(VLOOKUP($B$5,标准坦克设计!$B$24:$U$30,MATCH("对"&amp;LEFT($C$5,2)&amp;"输出",标准坦克设计!$B$23:$U$23,0)))*(VLOOKUP($B86,INDIRECT($B$5&amp;"生成成长"),3))*(VLOOKUP($B$5,标准坦克设计!$B$14:$K$20,9)/30))</f>
        <v>27.200346481443709</v>
      </c>
      <c r="AG86" s="173">
        <f ca="1">(VLOOKUP(AG$72,INDIRECT($C$5&amp;"生成成长"),2))/((VLOOKUP($B86,INDIRECT($B$5&amp;"生成成长"),4))/(VLOOKUP(AG$72,INDIRECT($C$5&amp;"生成成长"),5))*(VLOOKUP($B$5,标准坦克设计!$B$24:$U$30,MATCH("对"&amp;LEFT($C$5,2)&amp;"输出",标准坦克设计!$B$23:$U$23,0)))*(VLOOKUP($B86,INDIRECT($B$5&amp;"生成成长"),3))*(VLOOKUP($B$5,标准坦克设计!$B$14:$K$20,9)/30))</f>
        <v>29.308138370014287</v>
      </c>
      <c r="AH86" s="173">
        <f ca="1">(VLOOKUP(AH$72,INDIRECT($C$5&amp;"生成成长"),2))/((VLOOKUP($B86,INDIRECT($B$5&amp;"生成成长"),4))/(VLOOKUP(AH$72,INDIRECT($C$5&amp;"生成成长"),5))*(VLOOKUP($B$5,标准坦克设计!$B$24:$U$30,MATCH("对"&amp;LEFT($C$5,2)&amp;"输出",标准坦克设计!$B$23:$U$23,0)))*(VLOOKUP($B86,INDIRECT($B$5&amp;"生成成长"),3))*(VLOOKUP($B$5,标准坦克设计!$B$14:$K$20,9)/30))</f>
        <v>31.494579209650933</v>
      </c>
      <c r="AI86" s="173">
        <f ca="1">(VLOOKUP(AI$72,INDIRECT($C$5&amp;"生成成长"),2))/((VLOOKUP($B86,INDIRECT($B$5&amp;"生成成长"),4))/(VLOOKUP(AI$72,INDIRECT($C$5&amp;"生成成长"),5))*(VLOOKUP($B$5,标准坦克设计!$B$24:$U$30,MATCH("对"&amp;LEFT($C$5,2)&amp;"输出",标准坦克设计!$B$23:$U$23,0)))*(VLOOKUP($B86,INDIRECT($B$5&amp;"生成成长"),3))*(VLOOKUP($B$5,标准坦克设计!$B$14:$K$20,9)/30))</f>
        <v>22.274955920931305</v>
      </c>
      <c r="AJ86" s="173">
        <f ca="1">(VLOOKUP(AJ$72,INDIRECT($C$5&amp;"生成成长"),2))/((VLOOKUP($B86,INDIRECT($B$5&amp;"生成成长"),4))/(VLOOKUP(AJ$72,INDIRECT($C$5&amp;"生成成长"),5))*(VLOOKUP($B$5,标准坦克设计!$B$24:$U$30,MATCH("对"&amp;LEFT($C$5,2)&amp;"输出",标准坦克设计!$B$23:$U$23,0)))*(VLOOKUP($B86,INDIRECT($B$5&amp;"生成成长"),3))*(VLOOKUP($B$5,标准坦克设计!$B$14:$K$20,9)/30))</f>
        <v>24.38156807523589</v>
      </c>
      <c r="AK86" s="173">
        <f ca="1">(VLOOKUP(AK$72,INDIRECT($C$5&amp;"生成成长"),2))/((VLOOKUP($B86,INDIRECT($B$5&amp;"生成成长"),4))/(VLOOKUP(AK$72,INDIRECT($C$5&amp;"生成成长"),5))*(VLOOKUP($B$5,标准坦克设计!$B$24:$U$30,MATCH("对"&amp;LEFT($C$5,2)&amp;"输出",标准坦克设计!$B$23:$U$23,0)))*(VLOOKUP($B86,INDIRECT($B$5&amp;"生成成长"),3))*(VLOOKUP($B$5,标准坦克设计!$B$14:$K$20,9)/30))</f>
        <v>26.583345460330417</v>
      </c>
      <c r="AL86" s="173">
        <f ca="1">(VLOOKUP(AL$72,INDIRECT($C$5&amp;"生成成长"),2))/((VLOOKUP($B86,INDIRECT($B$5&amp;"生成成长"),4))/(VLOOKUP(AL$72,INDIRECT($C$5&amp;"生成成长"),5))*(VLOOKUP($B$5,标准坦克设计!$B$24:$U$30,MATCH("对"&amp;LEFT($C$5,2)&amp;"输出",标准坦克设计!$B$23:$U$23,0)))*(VLOOKUP($B86,INDIRECT($B$5&amp;"生成成长"),3))*(VLOOKUP($B$5,标准坦克设计!$B$14:$K$20,9)/30))</f>
        <v>28.880288076214892</v>
      </c>
      <c r="AM86" s="173">
        <f ca="1">(VLOOKUP(AM$72,INDIRECT($C$5&amp;"生成成长"),2))/((VLOOKUP($B86,INDIRECT($B$5&amp;"生成成长"),4))/(VLOOKUP(AM$72,INDIRECT($C$5&amp;"生成成长"),5))*(VLOOKUP($B$5,标准坦克设计!$B$24:$U$30,MATCH("对"&amp;LEFT($C$5,2)&amp;"输出",标准坦克设计!$B$23:$U$23,0)))*(VLOOKUP($B86,INDIRECT($B$5&amp;"生成成长"),3))*(VLOOKUP($B$5,标准坦克设计!$B$14:$K$20,9)/30))</f>
        <v>31.272395922889295</v>
      </c>
      <c r="AN86" s="173">
        <f ca="1">(VLOOKUP(AN$72,INDIRECT($C$5&amp;"生成成长"),2))/((VLOOKUP($B86,INDIRECT($B$5&amp;"生成成长"),4))/(VLOOKUP(AN$72,INDIRECT($C$5&amp;"生成成长"),5))*(VLOOKUP($B$5,标准坦克设计!$B$24:$U$30,MATCH("对"&amp;LEFT($C$5,2)&amp;"输出",标准坦克设计!$B$23:$U$23,0)))*(VLOOKUP($B86,INDIRECT($B$5&amp;"生成成长"),3))*(VLOOKUP($B$5,标准坦克设计!$B$14:$K$20,9)/30))</f>
        <v>33.759669000353647</v>
      </c>
      <c r="AO86" s="173">
        <f ca="1">(VLOOKUP(AO$72,INDIRECT($C$5&amp;"生成成长"),2))/((VLOOKUP($B86,INDIRECT($B$5&amp;"生成成长"),4))/(VLOOKUP(AO$72,INDIRECT($C$5&amp;"生成成长"),5))*(VLOOKUP($B$5,标准坦克设计!$B$24:$U$30,MATCH("对"&amp;LEFT($C$5,2)&amp;"输出",标准坦克设计!$B$23:$U$23,0)))*(VLOOKUP($B86,INDIRECT($B$5&amp;"生成成长"),3))*(VLOOKUP($B$5,标准坦克设计!$B$14:$K$20,9)/30))</f>
        <v>36.342107308607929</v>
      </c>
      <c r="AP86" s="173">
        <f ca="1">(VLOOKUP(AP$72,INDIRECT($C$5&amp;"生成成长"),2))/((VLOOKUP($B86,INDIRECT($B$5&amp;"生成成长"),4))/(VLOOKUP(AP$72,INDIRECT($C$5&amp;"生成成长"),5))*(VLOOKUP($B$5,标准坦克设计!$B$24:$U$30,MATCH("对"&amp;LEFT($C$5,2)&amp;"输出",标准坦克设计!$B$23:$U$23,0)))*(VLOOKUP($B86,INDIRECT($B$5&amp;"生成成长"),3))*(VLOOKUP($B$5,标准坦克设计!$B$14:$K$20,9)/30))</f>
        <v>39.019710847652156</v>
      </c>
      <c r="AQ86" s="173">
        <f ca="1">(VLOOKUP(AQ$72,INDIRECT($C$5&amp;"生成成长"),2))/((VLOOKUP($B86,INDIRECT($B$5&amp;"生成成长"),4))/(VLOOKUP(AQ$72,INDIRECT($C$5&amp;"生成成长"),5))*(VLOOKUP($B$5,标准坦克设计!$B$24:$U$30,MATCH("对"&amp;LEFT($C$5,2)&amp;"输出",标准坦克设计!$B$23:$U$23,0)))*(VLOOKUP($B86,INDIRECT($B$5&amp;"生成成长"),3))*(VLOOKUP($B$5,标准坦克设计!$B$14:$K$20,9)/30))</f>
        <v>41.792479617486336</v>
      </c>
      <c r="AR86" s="173">
        <f ca="1">(VLOOKUP(AR$72,INDIRECT($C$5&amp;"生成成长"),2))/((VLOOKUP($B86,INDIRECT($B$5&amp;"生成成长"),4))/(VLOOKUP(AR$72,INDIRECT($C$5&amp;"生成成长"),5))*(VLOOKUP($B$5,标准坦克设计!$B$24:$U$30,MATCH("对"&amp;LEFT($C$5,2)&amp;"输出",标准坦克设计!$B$23:$U$23,0)))*(VLOOKUP($B86,INDIRECT($B$5&amp;"生成成长"),3))*(VLOOKUP($B$5,标准坦克设计!$B$14:$K$20,9)/30))</f>
        <v>44.660413618110447</v>
      </c>
      <c r="AS86" s="173">
        <f ca="1">(VLOOKUP(AS$72,INDIRECT($C$5&amp;"生成成长"),2))/((VLOOKUP($B86,INDIRECT($B$5&amp;"生成成长"),4))/(VLOOKUP(AS$72,INDIRECT($C$5&amp;"生成成长"),5))*(VLOOKUP($B$5,标准坦克设计!$B$24:$U$30,MATCH("对"&amp;LEFT($C$5,2)&amp;"输出",标准坦克设计!$B$23:$U$23,0)))*(VLOOKUP($B86,INDIRECT($B$5&amp;"生成成长"),3))*(VLOOKUP($B$5,标准坦克设计!$B$14:$K$20,9)/30))</f>
        <v>47.623512849524488</v>
      </c>
      <c r="AT86" s="173">
        <f ca="1">(VLOOKUP(AT$72,INDIRECT($C$5&amp;"生成成长"),2))/((VLOOKUP($B86,INDIRECT($B$5&amp;"生成成长"),4))/(VLOOKUP(AT$72,INDIRECT($C$5&amp;"生成成长"),5))*(VLOOKUP($B$5,标准坦克设计!$B$24:$U$30,MATCH("对"&amp;LEFT($C$5,2)&amp;"输出",标准坦克设计!$B$23:$U$23,0)))*(VLOOKUP($B86,INDIRECT($B$5&amp;"生成成长"),3))*(VLOOKUP($B$5,标准坦克设计!$B$14:$K$20,9)/30))</f>
        <v>50.681777311728474</v>
      </c>
      <c r="AU86" s="173">
        <f ca="1">(VLOOKUP(AU$72,INDIRECT($C$5&amp;"生成成长"),2))/((VLOOKUP($B86,INDIRECT($B$5&amp;"生成成长"),4))/(VLOOKUP(AU$72,INDIRECT($C$5&amp;"生成成长"),5))*(VLOOKUP($B$5,标准坦克设计!$B$24:$U$30,MATCH("对"&amp;LEFT($C$5,2)&amp;"输出",标准坦克设计!$B$23:$U$23,0)))*(VLOOKUP($B86,INDIRECT($B$5&amp;"生成成长"),3))*(VLOOKUP($B$5,标准坦克设计!$B$14:$K$20,9)/30))</f>
        <v>53.835207004722406</v>
      </c>
      <c r="AV86" s="173">
        <f ca="1">(VLOOKUP(AV$72,INDIRECT($C$5&amp;"生成成长"),2))/((VLOOKUP($B86,INDIRECT($B$5&amp;"生成成长"),4))/(VLOOKUP(AV$72,INDIRECT($C$5&amp;"生成成长"),5))*(VLOOKUP($B$5,标准坦克设计!$B$24:$U$30,MATCH("对"&amp;LEFT($C$5,2)&amp;"输出",标准坦克设计!$B$23:$U$23,0)))*(VLOOKUP($B86,INDIRECT($B$5&amp;"生成成长"),3))*(VLOOKUP($B$5,标准坦克设计!$B$14:$K$20,9)/30))</f>
        <v>5.4755399732195391</v>
      </c>
      <c r="AW86" s="173">
        <f ca="1">(VLOOKUP(AW$72,INDIRECT($C$5&amp;"生成成长"),2))/((VLOOKUP($B86,INDIRECT($B$5&amp;"生成成长"),4))/(VLOOKUP(AW$72,INDIRECT($C$5&amp;"生成成长"),5))*(VLOOKUP($B$5,标准坦克设计!$B$24:$U$30,MATCH("对"&amp;LEFT($C$5,2)&amp;"输出",标准坦克设计!$B$23:$U$23,0)))*(VLOOKUP($B86,INDIRECT($B$5&amp;"生成成长"),3))*(VLOOKUP($B$5,标准坦克设计!$B$14:$K$20,9)/30))</f>
        <v>6.2431537356243467</v>
      </c>
      <c r="AX86" s="173">
        <f ca="1">(VLOOKUP(AX$72,INDIRECT($C$5&amp;"生成成长"),2))/((VLOOKUP($B86,INDIRECT($B$5&amp;"生成成长"),4))/(VLOOKUP(AX$72,INDIRECT($C$5&amp;"生成成长"),5))*(VLOOKUP($B$5,标准坦克设计!$B$24:$U$30,MATCH("对"&amp;LEFT($C$5,2)&amp;"输出",标准坦克设计!$B$23:$U$23,0)))*(VLOOKUP($B86,INDIRECT($B$5&amp;"生成成长"),3))*(VLOOKUP($B$5,标准坦克设计!$B$14:$K$20,9)/30))</f>
        <v>7.0611028267114353</v>
      </c>
      <c r="AY86" s="173">
        <f ca="1">(VLOOKUP(AY$72,INDIRECT($C$5&amp;"生成成长"),2))/((VLOOKUP($B86,INDIRECT($B$5&amp;"生成成长"),4))/(VLOOKUP(AY$72,INDIRECT($C$5&amp;"生成成长"),5))*(VLOOKUP($B$5,标准坦克设计!$B$24:$U$30,MATCH("对"&amp;LEFT($C$5,2)&amp;"输出",标准坦克设计!$B$23:$U$23,0)))*(VLOOKUP($B86,INDIRECT($B$5&amp;"生成成长"),3))*(VLOOKUP($B$5,标准坦克设计!$B$14:$K$20,9)/30))</f>
        <v>7.9293872464808084</v>
      </c>
      <c r="AZ86" s="173">
        <f ca="1">(VLOOKUP(AZ$72,INDIRECT($C$5&amp;"生成成长"),2))/((VLOOKUP($B86,INDIRECT($B$5&amp;"生成成长"),4))/(VLOOKUP(AZ$72,INDIRECT($C$5&amp;"生成成长"),5))*(VLOOKUP($B$5,标准坦克设计!$B$24:$U$30,MATCH("对"&amp;LEFT($C$5,2)&amp;"输出",标准坦克设计!$B$23:$U$23,0)))*(VLOOKUP($B86,INDIRECT($B$5&amp;"生成成长"),3))*(VLOOKUP($B$5,标准坦克设计!$B$14:$K$20,9)/30))</f>
        <v>8.8480069949324633</v>
      </c>
      <c r="BA86" s="173">
        <f ca="1">(VLOOKUP(BA$72,INDIRECT($C$5&amp;"生成成长"),2))/((VLOOKUP($B86,INDIRECT($B$5&amp;"生成成长"),4))/(VLOOKUP(BA$72,INDIRECT($C$5&amp;"生成成长"),5))*(VLOOKUP($B$5,标准坦克设计!$B$24:$U$30,MATCH("对"&amp;LEFT($C$5,2)&amp;"输出",标准坦克设计!$B$23:$U$23,0)))*(VLOOKUP($B86,INDIRECT($B$5&amp;"生成成长"),3))*(VLOOKUP($B$5,标准坦克设计!$B$14:$K$20,9)/30))</f>
        <v>9.8169620720663975</v>
      </c>
      <c r="BB86" s="173">
        <f ca="1">(VLOOKUP(BB$72,INDIRECT($C$5&amp;"生成成长"),2))/((VLOOKUP($B86,INDIRECT($B$5&amp;"生成成长"),4))/(VLOOKUP(BB$72,INDIRECT($C$5&amp;"生成成长"),5))*(VLOOKUP($B$5,标准坦克设计!$B$24:$U$30,MATCH("对"&amp;LEFT($C$5,2)&amp;"输出",标准坦克设计!$B$23:$U$23,0)))*(VLOOKUP($B86,INDIRECT($B$5&amp;"生成成长"),3))*(VLOOKUP($B$5,标准坦克设计!$B$14:$K$20,9)/30))</f>
        <v>10.836252477882619</v>
      </c>
      <c r="BC86" s="173">
        <f ca="1">(VLOOKUP(BC$72,INDIRECT($C$5&amp;"生成成长"),2))/((VLOOKUP($B86,INDIRECT($B$5&amp;"生成成长"),4))/(VLOOKUP(BC$72,INDIRECT($C$5&amp;"生成成长"),5))*(VLOOKUP($B$5,标准坦克设计!$B$24:$U$30,MATCH("对"&amp;LEFT($C$5,2)&amp;"输出",标准坦克设计!$B$23:$U$23,0)))*(VLOOKUP($B86,INDIRECT($B$5&amp;"生成成长"),3))*(VLOOKUP($B$5,标准坦克设计!$B$14:$K$20,9)/30))</f>
        <v>11.905878212381122</v>
      </c>
      <c r="BD86" s="173">
        <f ca="1">(VLOOKUP(BD$72,INDIRECT($C$5&amp;"生成成长"),2))/((VLOOKUP($B86,INDIRECT($B$5&amp;"生成成长"),4))/(VLOOKUP(BD$72,INDIRECT($C$5&amp;"生成成长"),5))*(VLOOKUP($B$5,标准坦克设计!$B$24:$U$30,MATCH("对"&amp;LEFT($C$5,2)&amp;"输出",标准坦克设计!$B$23:$U$23,0)))*(VLOOKUP($B86,INDIRECT($B$5&amp;"生成成长"),3))*(VLOOKUP($B$5,标准坦克设计!$B$14:$K$20,9)/30))</f>
        <v>13.169373611257479</v>
      </c>
      <c r="BE86" s="173">
        <f ca="1">(VLOOKUP(BE$72,INDIRECT($C$5&amp;"生成成长"),2))/((VLOOKUP($B86,INDIRECT($B$5&amp;"生成成长"),4))/(VLOOKUP(BE$72,INDIRECT($C$5&amp;"生成成长"),5))*(VLOOKUP($B$5,标准坦克设计!$B$24:$U$30,MATCH("对"&amp;LEFT($C$5,2)&amp;"输出",标准坦克设计!$B$23:$U$23,0)))*(VLOOKUP($B86,INDIRECT($B$5&amp;"生成成长"),3))*(VLOOKUP($B$5,标准坦克设计!$B$14:$K$20,9)/30))</f>
        <v>14.496574660497348</v>
      </c>
      <c r="BF86" s="173">
        <f ca="1">(VLOOKUP(BF$72,INDIRECT($C$5&amp;"生成成长"),2))/((VLOOKUP($B86,INDIRECT($B$5&amp;"生成成长"),4))/(VLOOKUP(BF$72,INDIRECT($C$5&amp;"生成成长"),5))*(VLOOKUP($B$5,标准坦克设计!$B$24:$U$30,MATCH("对"&amp;LEFT($C$5,2)&amp;"输出",标准坦克设计!$B$23:$U$23,0)))*(VLOOKUP($B86,INDIRECT($B$5&amp;"生成成长"),3))*(VLOOKUP($B$5,标准坦克设计!$B$14:$K$20,9)/30))</f>
        <v>15.887481360100731</v>
      </c>
      <c r="BG86" s="173">
        <f ca="1">(VLOOKUP(BG$72,INDIRECT($C$5&amp;"生成成长"),2))/((VLOOKUP($B86,INDIRECT($B$5&amp;"生成成长"),4))/(VLOOKUP(BG$72,INDIRECT($C$5&amp;"生成成长"),5))*(VLOOKUP($B$5,标准坦克设计!$B$24:$U$30,MATCH("对"&amp;LEFT($C$5,2)&amp;"输出",标准坦克设计!$B$23:$U$23,0)))*(VLOOKUP($B86,INDIRECT($B$5&amp;"生成成长"),3))*(VLOOKUP($B$5,标准坦克设计!$B$14:$K$20,9)/30))</f>
        <v>17.342093710067626</v>
      </c>
      <c r="BH86" s="173">
        <f ca="1">(VLOOKUP(BH$72,INDIRECT($C$5&amp;"生成成长"),2))/((VLOOKUP($B86,INDIRECT($B$5&amp;"生成成长"),4))/(VLOOKUP(BH$72,INDIRECT($C$5&amp;"生成成长"),5))*(VLOOKUP($B$5,标准坦克设计!$B$24:$U$30,MATCH("对"&amp;LEFT($C$5,2)&amp;"输出",标准坦克设计!$B$23:$U$23,0)))*(VLOOKUP($B86,INDIRECT($B$5&amp;"生成成长"),3))*(VLOOKUP($B$5,标准坦克设计!$B$14:$K$20,9)/30))</f>
        <v>8.3824052046213477</v>
      </c>
      <c r="BI86" s="173">
        <f ca="1">(VLOOKUP(BI$72,INDIRECT($C$5&amp;"生成成长"),2))/((VLOOKUP($B86,INDIRECT($B$5&amp;"生成成长"),4))/(VLOOKUP(BI$72,INDIRECT($C$5&amp;"生成成长"),5))*(VLOOKUP($B$5,标准坦克设计!$B$24:$U$30,MATCH("对"&amp;LEFT($C$5,2)&amp;"输出",标准坦克设计!$B$23:$U$23,0)))*(VLOOKUP($B86,INDIRECT($B$5&amp;"生成成长"),3))*(VLOOKUP($B$5,标准坦克设计!$B$14:$K$20,9)/30))</f>
        <v>9.4477052468112195</v>
      </c>
      <c r="BJ86" s="173">
        <f ca="1">(VLOOKUP(BJ$72,INDIRECT($C$5&amp;"生成成长"),2))/((VLOOKUP($B86,INDIRECT($B$5&amp;"生成成长"),4))/(VLOOKUP(BJ$72,INDIRECT($C$5&amp;"生成成长"),5))*(VLOOKUP($B$5,标准坦克设计!$B$24:$U$30,MATCH("对"&amp;LEFT($C$5,2)&amp;"输出",标准坦克设计!$B$23:$U$23,0)))*(VLOOKUP($B86,INDIRECT($B$5&amp;"生成成长"),3))*(VLOOKUP($B$5,标准坦克设计!$B$14:$K$20,9)/30))</f>
        <v>10.576710939364601</v>
      </c>
      <c r="BK86" s="173">
        <f ca="1">(VLOOKUP(BK$72,INDIRECT($C$5&amp;"生成成长"),2))/((VLOOKUP($B86,INDIRECT($B$5&amp;"生成成长"),4))/(VLOOKUP(BK$72,INDIRECT($C$5&amp;"生成成长"),5))*(VLOOKUP($B$5,标准坦克设计!$B$24:$U$30,MATCH("对"&amp;LEFT($C$5,2)&amp;"输出",标准坦克设计!$B$23:$U$23,0)))*(VLOOKUP($B86,INDIRECT($B$5&amp;"生成成长"),3))*(VLOOKUP($B$5,标准坦克设计!$B$14:$K$20,9)/30))</f>
        <v>11.769422282281498</v>
      </c>
      <c r="BL86" s="173">
        <f ca="1">(VLOOKUP(BL$72,INDIRECT($C$5&amp;"生成成长"),2))/((VLOOKUP($B86,INDIRECT($B$5&amp;"生成成长"),4))/(VLOOKUP(BL$72,INDIRECT($C$5&amp;"生成成长"),5))*(VLOOKUP($B$5,标准坦克设计!$B$24:$U$30,MATCH("对"&amp;LEFT($C$5,2)&amp;"输出",标准坦克设计!$B$23:$U$23,0)))*(VLOOKUP($B86,INDIRECT($B$5&amp;"生成成长"),3))*(VLOOKUP($B$5,标准坦克设计!$B$14:$K$20,9)/30))</f>
        <v>13.025839275561903</v>
      </c>
      <c r="BM86" s="173">
        <f ca="1">(VLOOKUP(BM$72,INDIRECT($C$5&amp;"生成成长"),2))/((VLOOKUP($B86,INDIRECT($B$5&amp;"生成成长"),4))/(VLOOKUP(BM$72,INDIRECT($C$5&amp;"生成成长"),5))*(VLOOKUP($B$5,标准坦克设计!$B$24:$U$30,MATCH("对"&amp;LEFT($C$5,2)&amp;"输出",标准坦克设计!$B$23:$U$23,0)))*(VLOOKUP($B86,INDIRECT($B$5&amp;"生成成长"),3))*(VLOOKUP($B$5,标准坦克设计!$B$14:$K$20,9)/30))</f>
        <v>14.345961919205829</v>
      </c>
      <c r="BN86" s="173">
        <f ca="1">(VLOOKUP(BN$72,INDIRECT($C$5&amp;"生成成长"),2))/((VLOOKUP($B86,INDIRECT($B$5&amp;"生成成长"),4))/(VLOOKUP(BN$72,INDIRECT($C$5&amp;"生成成长"),5))*(VLOOKUP($B$5,标准坦克设计!$B$24:$U$30,MATCH("对"&amp;LEFT($C$5,2)&amp;"输出",标准坦克设计!$B$23:$U$23,0)))*(VLOOKUP($B86,INDIRECT($B$5&amp;"生成成长"),3))*(VLOOKUP($B$5,标准坦克设计!$B$14:$K$20,9)/30))</f>
        <v>15.729790213213265</v>
      </c>
      <c r="BO86" s="173">
        <f ca="1">(VLOOKUP(BO$72,INDIRECT($C$5&amp;"生成成长"),2))/((VLOOKUP($B86,INDIRECT($B$5&amp;"生成成长"),4))/(VLOOKUP(BO$72,INDIRECT($C$5&amp;"生成成长"),5))*(VLOOKUP($B$5,标准坦克设计!$B$24:$U$30,MATCH("对"&amp;LEFT($C$5,2)&amp;"输出",标准坦克设计!$B$23:$U$23,0)))*(VLOOKUP($B86,INDIRECT($B$5&amp;"生成成长"),3))*(VLOOKUP($B$5,标准坦克设计!$B$14:$K$20,9)/30))</f>
        <v>17.177324157584216</v>
      </c>
      <c r="BP86" s="173">
        <f ca="1">(VLOOKUP(BP$72,INDIRECT($C$5&amp;"生成成长"),2))/((VLOOKUP($B86,INDIRECT($B$5&amp;"生成成长"),4))/(VLOOKUP(BP$72,INDIRECT($C$5&amp;"生成成长"),5))*(VLOOKUP($B$5,标准坦克设计!$B$24:$U$30,MATCH("对"&amp;LEFT($C$5,2)&amp;"输出",标准坦克设计!$B$23:$U$23,0)))*(VLOOKUP($B86,INDIRECT($B$5&amp;"生成成长"),3))*(VLOOKUP($B$5,标准坦克设计!$B$14:$K$20,9)/30))</f>
        <v>18.688563752318682</v>
      </c>
      <c r="BQ86" s="173">
        <f ca="1">(VLOOKUP(BQ$72,INDIRECT($C$5&amp;"生成成长"),2))/((VLOOKUP($B86,INDIRECT($B$5&amp;"生成成长"),4))/(VLOOKUP(BQ$72,INDIRECT($C$5&amp;"生成成长"),5))*(VLOOKUP($B$5,标准坦克设计!$B$24:$U$30,MATCH("对"&amp;LEFT($C$5,2)&amp;"输出",标准坦克设计!$B$23:$U$23,0)))*(VLOOKUP($B86,INDIRECT($B$5&amp;"生成成长"),3))*(VLOOKUP($B$5,标准坦克设计!$B$14:$K$20,9)/30))</f>
        <v>20.263508997416665</v>
      </c>
      <c r="BR86" s="173">
        <f ca="1">(VLOOKUP(BR$72,INDIRECT($C$5&amp;"生成成长"),2))/((VLOOKUP($B86,INDIRECT($B$5&amp;"生成成长"),4))/(VLOOKUP(BR$72,INDIRECT($C$5&amp;"生成成长"),5))*(VLOOKUP($B$5,标准坦克设计!$B$24:$U$30,MATCH("对"&amp;LEFT($C$5,2)&amp;"输出",标准坦克设计!$B$23:$U$23,0)))*(VLOOKUP($B86,INDIRECT($B$5&amp;"生成成长"),3))*(VLOOKUP($B$5,标准坦克设计!$B$14:$K$20,9)/30))</f>
        <v>22.088164662149396</v>
      </c>
      <c r="BS86" s="173">
        <f ca="1">(VLOOKUP(BS$72,INDIRECT($C$5&amp;"生成成长"),2))/((VLOOKUP($B86,INDIRECT($B$5&amp;"生成成长"),4))/(VLOOKUP(BS$72,INDIRECT($C$5&amp;"生成成长"),5))*(VLOOKUP($B$5,标准坦克设计!$B$24:$U$30,MATCH("对"&amp;LEFT($C$5,2)&amp;"输出",标准坦克设计!$B$23:$U$23,0)))*(VLOOKUP($B86,INDIRECT($B$5&amp;"生成成长"),3))*(VLOOKUP($B$5,标准坦克设计!$B$14:$K$20,9)/30))</f>
        <v>23.991469277948205</v>
      </c>
      <c r="BT86" s="173">
        <f ca="1">(VLOOKUP(BT$72,INDIRECT($C$5&amp;"生成成长"),2))/((VLOOKUP($B86,INDIRECT($B$5&amp;"生成成长"),4))/(VLOOKUP(BT$72,INDIRECT($C$5&amp;"生成成长"),5))*(VLOOKUP($B$5,标准坦克设计!$B$24:$U$30,MATCH("对"&amp;LEFT($C$5,2)&amp;"输出",标准坦克设计!$B$23:$U$23,0)))*(VLOOKUP($B86,INDIRECT($B$5&amp;"生成成长"),3))*(VLOOKUP($B$5,标准坦克设计!$B$14:$K$20,9)/30))</f>
        <v>25.973422844813079</v>
      </c>
      <c r="BU86" s="173">
        <f ca="1">(VLOOKUP(BU$72,INDIRECT($C$5&amp;"生成成长"),2))/((VLOOKUP($B86,INDIRECT($B$5&amp;"生成成长"),4))/(VLOOKUP(BU$72,INDIRECT($C$5&amp;"生成成长"),5))*(VLOOKUP($B$5,标准坦克设计!$B$24:$U$30,MATCH("对"&amp;LEFT($C$5,2)&amp;"输出",标准坦克设计!$B$23:$U$23,0)))*(VLOOKUP($B86,INDIRECT($B$5&amp;"生成成长"),3))*(VLOOKUP($B$5,标准坦克设计!$B$14:$K$20,9)/30))</f>
        <v>28.034025362744018</v>
      </c>
      <c r="BV86" s="173">
        <f ca="1">(VLOOKUP(BV$72,INDIRECT($C$5&amp;"生成成长"),2))/((VLOOKUP($B86,INDIRECT($B$5&amp;"生成成长"),4))/(VLOOKUP(BV$72,INDIRECT($C$5&amp;"生成成长"),5))*(VLOOKUP($B$5,标准坦克设计!$B$24:$U$30,MATCH("对"&amp;LEFT($C$5,2)&amp;"输出",标准坦克设计!$B$23:$U$23,0)))*(VLOOKUP($B86,INDIRECT($B$5&amp;"生成成长"),3))*(VLOOKUP($B$5,标准坦克设计!$B$14:$K$20,9)/30))</f>
        <v>30.173276831741017</v>
      </c>
      <c r="BW86" s="173">
        <f ca="1">(VLOOKUP(BW$72,INDIRECT($C$5&amp;"生成成长"),2))/((VLOOKUP($B86,INDIRECT($B$5&amp;"生成成长"),4))/(VLOOKUP(BW$72,INDIRECT($C$5&amp;"生成成长"),5))*(VLOOKUP($B$5,标准坦克设计!$B$24:$U$30,MATCH("对"&amp;LEFT($C$5,2)&amp;"输出",标准坦克设计!$B$23:$U$23,0)))*(VLOOKUP($B86,INDIRECT($B$5&amp;"生成成长"),3))*(VLOOKUP($B$5,标准坦克设计!$B$14:$K$20,9)/30))</f>
        <v>13.751375849146367</v>
      </c>
      <c r="BX86" s="173">
        <f ca="1">(VLOOKUP(BX$72,INDIRECT($C$5&amp;"生成成长"),2))/((VLOOKUP($B86,INDIRECT($B$5&amp;"生成成长"),4))/(VLOOKUP(BX$72,INDIRECT($C$5&amp;"生成成长"),5))*(VLOOKUP($B$5,标准坦克设计!$B$24:$U$30,MATCH("对"&amp;LEFT($C$5,2)&amp;"输出",标准坦克设计!$B$23:$U$23,0)))*(VLOOKUP($B86,INDIRECT($B$5&amp;"生成成长"),3))*(VLOOKUP($B$5,标准坦克设计!$B$14:$K$20,9)/30))</f>
        <v>15.26143570961484</v>
      </c>
      <c r="BY86" s="173">
        <f ca="1">(VLOOKUP(BY$72,INDIRECT($C$5&amp;"生成成长"),2))/((VLOOKUP($B86,INDIRECT($B$5&amp;"生成成长"),4))/(VLOOKUP(BY$72,INDIRECT($C$5&amp;"生成成长"),5))*(VLOOKUP($B$5,标准坦克设计!$B$24:$U$30,MATCH("对"&amp;LEFT($C$5,2)&amp;"输出",标准坦克设计!$B$23:$U$23,0)))*(VLOOKUP($B86,INDIRECT($B$5&amp;"生成成长"),3))*(VLOOKUP($B$5,标准坦克设计!$B$14:$K$20,9)/30))</f>
        <v>16.850144521149382</v>
      </c>
      <c r="BZ86" s="173">
        <f ca="1">(VLOOKUP(BZ$72,INDIRECT($C$5&amp;"生成成长"),2))/((VLOOKUP($B86,INDIRECT($B$5&amp;"生成成长"),4))/(VLOOKUP(BZ$72,INDIRECT($C$5&amp;"生成成长"),5))*(VLOOKUP($B$5,标准坦克设计!$B$24:$U$30,MATCH("对"&amp;LEFT($C$5,2)&amp;"输出",标准坦克设计!$B$23:$U$23,0)))*(VLOOKUP($B86,INDIRECT($B$5&amp;"生成成长"),3))*(VLOOKUP($B$5,标准坦克设计!$B$14:$K$20,9)/30))</f>
        <v>18.517502283749987</v>
      </c>
      <c r="CA86" s="173">
        <f ca="1">(VLOOKUP(CA$72,INDIRECT($C$5&amp;"生成成长"),2))/((VLOOKUP($B86,INDIRECT($B$5&amp;"生成成长"),4))/(VLOOKUP(CA$72,INDIRECT($C$5&amp;"生成成长"),5))*(VLOOKUP($B$5,标准坦克设计!$B$24:$U$30,MATCH("对"&amp;LEFT($C$5,2)&amp;"输出",标准坦克设计!$B$23:$U$23,0)))*(VLOOKUP($B86,INDIRECT($B$5&amp;"生成成长"),3))*(VLOOKUP($B$5,标准坦克设计!$B$14:$K$20,9)/30))</f>
        <v>20.263508997416665</v>
      </c>
      <c r="CB86" s="173">
        <f ca="1">(VLOOKUP(CB$72,INDIRECT($C$5&amp;"生成成长"),2))/((VLOOKUP($B86,INDIRECT($B$5&amp;"生成成长"),4))/(VLOOKUP(CB$72,INDIRECT($C$5&amp;"生成成长"),5))*(VLOOKUP($B$5,标准坦克设计!$B$24:$U$30,MATCH("对"&amp;LEFT($C$5,2)&amp;"输出",标准坦克设计!$B$23:$U$23,0)))*(VLOOKUP($B86,INDIRECT($B$5&amp;"生成成长"),3))*(VLOOKUP($B$5,标准坦克设计!$B$14:$K$20,9)/30))</f>
        <v>22.088164662149396</v>
      </c>
      <c r="CC86" s="173">
        <f ca="1">(VLOOKUP(CC$72,INDIRECT($C$5&amp;"生成成长"),2))/((VLOOKUP($B86,INDIRECT($B$5&amp;"生成成长"),4))/(VLOOKUP(CC$72,INDIRECT($C$5&amp;"生成成长"),5))*(VLOOKUP($B$5,标准坦克设计!$B$24:$U$30,MATCH("对"&amp;LEFT($C$5,2)&amp;"输出",标准坦克设计!$B$23:$U$23,0)))*(VLOOKUP($B86,INDIRECT($B$5&amp;"生成成长"),3))*(VLOOKUP($B$5,标准坦克设计!$B$14:$K$20,9)/30))</f>
        <v>23.991469277948205</v>
      </c>
      <c r="CD86" s="173">
        <f ca="1">(VLOOKUP(CD$72,INDIRECT($C$5&amp;"生成成长"),2))/((VLOOKUP($B86,INDIRECT($B$5&amp;"生成成长"),4))/(VLOOKUP(CD$72,INDIRECT($C$5&amp;"生成成长"),5))*(VLOOKUP($B$5,标准坦克设计!$B$24:$U$30,MATCH("对"&amp;LEFT($C$5,2)&amp;"输出",标准坦克设计!$B$23:$U$23,0)))*(VLOOKUP($B86,INDIRECT($B$5&amp;"生成成长"),3))*(VLOOKUP($B$5,标准坦克设计!$B$14:$K$20,9)/30))</f>
        <v>25.973422844813079</v>
      </c>
      <c r="CE86" s="173">
        <f ca="1">(VLOOKUP(CE$72,INDIRECT($C$5&amp;"生成成长"),2))/((VLOOKUP($B86,INDIRECT($B$5&amp;"生成成长"),4))/(VLOOKUP(CE$72,INDIRECT($C$5&amp;"生成成长"),5))*(VLOOKUP($B$5,标准坦克设计!$B$24:$U$30,MATCH("对"&amp;LEFT($C$5,2)&amp;"输出",标准坦克设计!$B$23:$U$23,0)))*(VLOOKUP($B86,INDIRECT($B$5&amp;"生成成长"),3))*(VLOOKUP($B$5,标准坦克设计!$B$14:$K$20,9)/30))</f>
        <v>28.034025362744018</v>
      </c>
      <c r="CF86" s="173">
        <f ca="1">(VLOOKUP(CF$72,INDIRECT($C$5&amp;"生成成长"),2))/((VLOOKUP($B86,INDIRECT($B$5&amp;"生成成长"),4))/(VLOOKUP(CF$72,INDIRECT($C$5&amp;"生成成长"),5))*(VLOOKUP($B$5,标准坦克设计!$B$24:$U$30,MATCH("对"&amp;LEFT($C$5,2)&amp;"输出",标准坦克设计!$B$23:$U$23,0)))*(VLOOKUP($B86,INDIRECT($B$5&amp;"生成成长"),3))*(VLOOKUP($B$5,标准坦克设计!$B$14:$K$20,9)/30))</f>
        <v>30.173276831741017</v>
      </c>
      <c r="CG86" s="173">
        <f ca="1">(VLOOKUP(CG$72,INDIRECT($C$5&amp;"生成成长"),2))/((VLOOKUP($B86,INDIRECT($B$5&amp;"生成成长"),4))/(VLOOKUP(CG$72,INDIRECT($C$5&amp;"生成成长"),5))*(VLOOKUP($B$5,标准坦克设计!$B$24:$U$30,MATCH("对"&amp;LEFT($C$5,2)&amp;"输出",标准坦克设计!$B$23:$U$23,0)))*(VLOOKUP($B86,INDIRECT($B$5&amp;"生成成长"),3))*(VLOOKUP($B$5,标准坦克设计!$B$14:$K$20,9)/30))</f>
        <v>32.391177251804095</v>
      </c>
      <c r="CH86" s="173">
        <f ca="1">(VLOOKUP(CH$72,INDIRECT($C$5&amp;"生成成长"),2))/((VLOOKUP($B86,INDIRECT($B$5&amp;"生成成长"),4))/(VLOOKUP(CH$72,INDIRECT($C$5&amp;"生成成长"),5))*(VLOOKUP($B$5,标准坦克设计!$B$24:$U$30,MATCH("对"&amp;LEFT($C$5,2)&amp;"输出",标准坦克设计!$B$23:$U$23,0)))*(VLOOKUP($B86,INDIRECT($B$5&amp;"生成成长"),3))*(VLOOKUP($B$5,标准坦克设计!$B$14:$K$20,9)/30))</f>
        <v>34.687726622933226</v>
      </c>
      <c r="CI86" s="173">
        <f ca="1">(VLOOKUP(CI$72,INDIRECT($C$5&amp;"生成成长"),2))/((VLOOKUP($B86,INDIRECT($B$5&amp;"生成成长"),4))/(VLOOKUP(CI$72,INDIRECT($C$5&amp;"生成成长"),5))*(VLOOKUP($B$5,标准坦克设计!$B$24:$U$30,MATCH("对"&amp;LEFT($C$5,2)&amp;"输出",标准坦克设计!$B$23:$U$23,0)))*(VLOOKUP($B86,INDIRECT($B$5&amp;"生成成长"),3))*(VLOOKUP($B$5,标准坦克设计!$B$14:$K$20,9)/30))</f>
        <v>37.304770469656582</v>
      </c>
      <c r="CJ86" s="173">
        <f ca="1">(VLOOKUP(CJ$72,INDIRECT($C$5&amp;"生成成长"),2))/((VLOOKUP($B86,INDIRECT($B$5&amp;"生成成长"),4))/(VLOOKUP(CJ$72,INDIRECT($C$5&amp;"生成成长"),5))*(VLOOKUP($B$5,标准坦克设计!$B$24:$U$30,MATCH("对"&amp;LEFT($C$5,2)&amp;"输出",标准坦克设计!$B$23:$U$23,0)))*(VLOOKUP($B86,INDIRECT($B$5&amp;"生成成长"),3))*(VLOOKUP($B$5,标准坦克设计!$B$14:$K$20,9)/30))</f>
        <v>40.016979547169882</v>
      </c>
      <c r="CK86" s="173">
        <f ca="1">(VLOOKUP(CK$72,INDIRECT($C$5&amp;"生成成长"),2))/((VLOOKUP($B86,INDIRECT($B$5&amp;"生成成长"),4))/(VLOOKUP(CK$72,INDIRECT($C$5&amp;"生成成长"),5))*(VLOOKUP($B$5,标准坦克设计!$B$24:$U$30,MATCH("对"&amp;LEFT($C$5,2)&amp;"输出",标准坦克设计!$B$23:$U$23,0)))*(VLOOKUP($B86,INDIRECT($B$5&amp;"生成成长"),3))*(VLOOKUP($B$5,标准坦克设计!$B$14:$K$20,9)/30))</f>
        <v>42.82435385547312</v>
      </c>
      <c r="CL86" s="173">
        <f ca="1">(VLOOKUP(CL$72,INDIRECT($C$5&amp;"生成成长"),2))/((VLOOKUP($B86,INDIRECT($B$5&amp;"生成成长"),4))/(VLOOKUP(CL$72,INDIRECT($C$5&amp;"生成成长"),5))*(VLOOKUP($B$5,标准坦克设计!$B$24:$U$30,MATCH("对"&amp;LEFT($C$5,2)&amp;"输出",标准坦克设计!$B$23:$U$23,0)))*(VLOOKUP($B86,INDIRECT($B$5&amp;"生成成长"),3))*(VLOOKUP($B$5,标准坦克设计!$B$14:$K$20,9)/30))</f>
        <v>45.726893394566304</v>
      </c>
      <c r="CM86" s="173">
        <f ca="1">(VLOOKUP(CM$72,INDIRECT($C$5&amp;"生成成长"),2))/((VLOOKUP($B86,INDIRECT($B$5&amp;"生成成长"),4))/(VLOOKUP(CM$72,INDIRECT($C$5&amp;"生成成长"),5))*(VLOOKUP($B$5,标准坦克设计!$B$24:$U$30,MATCH("对"&amp;LEFT($C$5,2)&amp;"输出",标准坦克设计!$B$23:$U$23,0)))*(VLOOKUP($B86,INDIRECT($B$5&amp;"生成成长"),3))*(VLOOKUP($B$5,标准坦克设计!$B$14:$K$20,9)/30))</f>
        <v>48.724598164449411</v>
      </c>
      <c r="CN86" s="173">
        <f ca="1">(VLOOKUP(CN$72,INDIRECT($C$5&amp;"生成成长"),2))/((VLOOKUP($B86,INDIRECT($B$5&amp;"生成成长"),4))/(VLOOKUP(CN$72,INDIRECT($C$5&amp;"生成成长"),5))*(VLOOKUP($B$5,标准坦克设计!$B$24:$U$30,MATCH("对"&amp;LEFT($C$5,2)&amp;"输出",标准坦克设计!$B$23:$U$23,0)))*(VLOOKUP($B86,INDIRECT($B$5&amp;"生成成长"),3))*(VLOOKUP($B$5,标准坦克设计!$B$14:$K$20,9)/30))</f>
        <v>51.81746816512247</v>
      </c>
      <c r="CO86" s="173">
        <f ca="1">(VLOOKUP(CO$72,INDIRECT($C$5&amp;"生成成长"),2))/((VLOOKUP($B86,INDIRECT($B$5&amp;"生成成长"),4))/(VLOOKUP(CO$72,INDIRECT($C$5&amp;"生成成长"),5))*(VLOOKUP($B$5,标准坦克设计!$B$24:$U$30,MATCH("对"&amp;LEFT($C$5,2)&amp;"输出",标准坦克设计!$B$23:$U$23,0)))*(VLOOKUP($B86,INDIRECT($B$5&amp;"生成成长"),3))*(VLOOKUP($B$5,标准坦克设计!$B$14:$K$20,9)/30))</f>
        <v>23.220709557500754</v>
      </c>
      <c r="CP86" s="173">
        <f ca="1">(VLOOKUP(CP$72,INDIRECT($C$5&amp;"生成成长"),2))/((VLOOKUP($B86,INDIRECT($B$5&amp;"生成成长"),4))/(VLOOKUP(CP$72,INDIRECT($C$5&amp;"生成成长"),5))*(VLOOKUP($B$5,标准坦克设计!$B$24:$U$30,MATCH("对"&amp;LEFT($C$5,2)&amp;"输出",标准坦克设计!$B$23:$U$23,0)))*(VLOOKUP($B86,INDIRECT($B$5&amp;"生成成长"),3))*(VLOOKUP($B$5,标准坦克设计!$B$14:$K$20,9)/30))</f>
        <v>25.370578634891675</v>
      </c>
      <c r="CQ86" s="173">
        <f ca="1">(VLOOKUP(CQ$72,INDIRECT($C$5&amp;"生成成长"),2))/((VLOOKUP($B86,INDIRECT($B$5&amp;"生成成长"),4))/(VLOOKUP(CQ$72,INDIRECT($C$5&amp;"生成成长"),5))*(VLOOKUP($B$5,标准坦克设计!$B$24:$U$30,MATCH("对"&amp;LEFT($C$5,2)&amp;"输出",标准坦克设计!$B$23:$U$23,0)))*(VLOOKUP($B86,INDIRECT($B$5&amp;"生成成长"),3))*(VLOOKUP($B$5,标准坦克设计!$B$14:$K$20,9)/30))</f>
        <v>27.615612943072541</v>
      </c>
      <c r="CR86" s="173">
        <f ca="1">(VLOOKUP(CR$72,INDIRECT($C$5&amp;"生成成长"),2))/((VLOOKUP($B86,INDIRECT($B$5&amp;"生成成长"),4))/(VLOOKUP(CR$72,INDIRECT($C$5&amp;"生成成长"),5))*(VLOOKUP($B$5,标准坦克设计!$B$24:$U$30,MATCH("对"&amp;LEFT($C$5,2)&amp;"输出",标准坦克设计!$B$23:$U$23,0)))*(VLOOKUP($B86,INDIRECT($B$5&amp;"生成成长"),3))*(VLOOKUP($B$5,标准坦克设计!$B$14:$K$20,9)/30))</f>
        <v>29.955812482043346</v>
      </c>
      <c r="CS86" s="173">
        <f ca="1">(VLOOKUP(CS$72,INDIRECT($C$5&amp;"生成成长"),2))/((VLOOKUP($B86,INDIRECT($B$5&amp;"生成成长"),4))/(VLOOKUP(CS$72,INDIRECT($C$5&amp;"生成成长"),5))*(VLOOKUP($B$5,标准坦克设计!$B$24:$U$30,MATCH("对"&amp;LEFT($C$5,2)&amp;"输出",标准坦克设计!$B$23:$U$23,0)))*(VLOOKUP($B86,INDIRECT($B$5&amp;"生成成长"),3))*(VLOOKUP($B$5,标准坦克设计!$B$14:$K$20,9)/30))</f>
        <v>32.391177251804095</v>
      </c>
      <c r="CT86" s="173">
        <f ca="1">(VLOOKUP(CT$72,INDIRECT($C$5&amp;"生成成长"),2))/((VLOOKUP($B86,INDIRECT($B$5&amp;"生成成长"),4))/(VLOOKUP(CT$72,INDIRECT($C$5&amp;"生成成长"),5))*(VLOOKUP($B$5,标准坦克设计!$B$24:$U$30,MATCH("对"&amp;LEFT($C$5,2)&amp;"输出",标准坦克设计!$B$23:$U$23,0)))*(VLOOKUP($B86,INDIRECT($B$5&amp;"生成成长"),3))*(VLOOKUP($B$5,标准坦克设计!$B$14:$K$20,9)/30))</f>
        <v>34.921707252354771</v>
      </c>
      <c r="CU86" s="173">
        <f ca="1">(VLOOKUP(CU$72,INDIRECT($C$5&amp;"生成成长"),2))/((VLOOKUP($B86,INDIRECT($B$5&amp;"生成成长"),4))/(VLOOKUP(CU$72,INDIRECT($C$5&amp;"生成成长"),5))*(VLOOKUP($B$5,标准坦克设计!$B$24:$U$30,MATCH("对"&amp;LEFT($C$5,2)&amp;"输出",标准坦克设计!$B$23:$U$23,0)))*(VLOOKUP($B86,INDIRECT($B$5&amp;"生成成长"),3))*(VLOOKUP($B$5,标准坦克设计!$B$14:$K$20,9)/30))</f>
        <v>37.547402483695407</v>
      </c>
      <c r="CV86" s="173">
        <f ca="1">(VLOOKUP(CV$72,INDIRECT($C$5&amp;"生成成长"),2))/((VLOOKUP($B86,INDIRECT($B$5&amp;"生成成长"),4))/(VLOOKUP(CV$72,INDIRECT($C$5&amp;"生成成长"),5))*(VLOOKUP($B$5,标准坦克设计!$B$24:$U$30,MATCH("对"&amp;LEFT($C$5,2)&amp;"输出",标准坦克设计!$B$23:$U$23,0)))*(VLOOKUP($B86,INDIRECT($B$5&amp;"生成成长"),3))*(VLOOKUP($B$5,标准坦克设计!$B$14:$K$20,9)/30))</f>
        <v>40.268262945825967</v>
      </c>
      <c r="CW86" s="173">
        <f ca="1">(VLOOKUP(CW$72,INDIRECT($C$5&amp;"生成成长"),2))/((VLOOKUP($B86,INDIRECT($B$5&amp;"生成成长"),4))/(VLOOKUP(CW$72,INDIRECT($C$5&amp;"生成成长"),5))*(VLOOKUP($B$5,标准坦克设计!$B$24:$U$30,MATCH("对"&amp;LEFT($C$5,2)&amp;"输出",标准坦克设计!$B$23:$U$23,0)))*(VLOOKUP($B86,INDIRECT($B$5&amp;"生成成长"),3))*(VLOOKUP($B$5,标准坦克设计!$B$14:$K$20,9)/30))</f>
        <v>43.084288638746472</v>
      </c>
      <c r="CX86" s="173">
        <f ca="1">(VLOOKUP(CX$72,INDIRECT($C$5&amp;"生成成长"),2))/((VLOOKUP($B86,INDIRECT($B$5&amp;"生成成长"),4))/(VLOOKUP(CX$72,INDIRECT($C$5&amp;"生成成长"),5))*(VLOOKUP($B$5,标准坦克设计!$B$24:$U$30,MATCH("对"&amp;LEFT($C$5,2)&amp;"输出",标准坦克设计!$B$23:$U$23,0)))*(VLOOKUP($B86,INDIRECT($B$5&amp;"生成成长"),3))*(VLOOKUP($B$5,标准坦克设计!$B$14:$K$20,9)/30))</f>
        <v>45.995479562456914</v>
      </c>
      <c r="CY86" s="173">
        <f ca="1">(VLOOKUP(CY$72,INDIRECT($C$5&amp;"生成成长"),2))/((VLOOKUP($B86,INDIRECT($B$5&amp;"生成成长"),4))/(VLOOKUP(CY$72,INDIRECT($C$5&amp;"生成成长"),5))*(VLOOKUP($B$5,标准坦克设计!$B$24:$U$30,MATCH("对"&amp;LEFT($C$5,2)&amp;"输出",标准坦克设计!$B$23:$U$23,0)))*(VLOOKUP($B86,INDIRECT($B$5&amp;"生成成长"),3))*(VLOOKUP($B$5,标准坦克设计!$B$14:$K$20,9)/30))</f>
        <v>49.001835716957295</v>
      </c>
      <c r="CZ86" s="173">
        <f ca="1">(VLOOKUP(CZ$72,INDIRECT($C$5&amp;"生成成长"),2))/((VLOOKUP($B86,INDIRECT($B$5&amp;"生成成长"),4))/(VLOOKUP(CZ$72,INDIRECT($C$5&amp;"生成成长"),5))*(VLOOKUP($B$5,标准坦克设计!$B$24:$U$30,MATCH("对"&amp;LEFT($C$5,2)&amp;"输出",标准坦克设计!$B$23:$U$23,0)))*(VLOOKUP($B86,INDIRECT($B$5&amp;"生成成长"),3))*(VLOOKUP($B$5,标准坦克设计!$B$14:$K$20,9)/30))</f>
        <v>52.103357102247614</v>
      </c>
      <c r="DA86" s="173">
        <f ca="1">(VLOOKUP(DA$72,INDIRECT($C$5&amp;"生成成长"),2))/((VLOOKUP($B86,INDIRECT($B$5&amp;"生成成长"),4))/(VLOOKUP(DA$72,INDIRECT($C$5&amp;"生成成长"),5))*(VLOOKUP($B$5,标准坦克设计!$B$24:$U$30,MATCH("对"&amp;LEFT($C$5,2)&amp;"输出",标准坦克设计!$B$23:$U$23,0)))*(VLOOKUP($B86,INDIRECT($B$5&amp;"生成成长"),3))*(VLOOKUP($B$5,标准坦克设计!$B$14:$K$20,9)/30))</f>
        <v>55.300043718327892</v>
      </c>
      <c r="DB86" s="173">
        <f ca="1">(VLOOKUP(DB$72,INDIRECT($C$5&amp;"生成成长"),2))/((VLOOKUP($B86,INDIRECT($B$5&amp;"生成成长"),4))/(VLOOKUP(DB$72,INDIRECT($C$5&amp;"生成成长"),5))*(VLOOKUP($B$5,标准坦克设计!$B$24:$U$30,MATCH("对"&amp;LEFT($C$5,2)&amp;"输出",标准坦克设计!$B$23:$U$23,0)))*(VLOOKUP($B86,INDIRECT($B$5&amp;"生成成长"),3))*(VLOOKUP($B$5,标准坦克设计!$B$14:$K$20,9)/30))</f>
        <v>58.591895565198094</v>
      </c>
      <c r="DC86" s="173">
        <f ca="1">(VLOOKUP(DC$72,INDIRECT($C$5&amp;"生成成长"),2))/((VLOOKUP($B86,INDIRECT($B$5&amp;"生成成长"),4))/(VLOOKUP(DC$72,INDIRECT($C$5&amp;"生成成长"),5))*(VLOOKUP($B$5,标准坦克设计!$B$24:$U$30,MATCH("对"&amp;LEFT($C$5,2)&amp;"输出",标准坦克设计!$B$23:$U$23,0)))*(VLOOKUP($B86,INDIRECT($B$5&amp;"生成成长"),3))*(VLOOKUP($B$5,标准坦克设计!$B$14:$K$20,9)/30))</f>
        <v>62.291542223345864</v>
      </c>
      <c r="DD86" s="173">
        <f ca="1">(VLOOKUP(DD$72,INDIRECT($C$5&amp;"生成成长"),2))/((VLOOKUP($B86,INDIRECT($B$5&amp;"生成成长"),4))/(VLOOKUP(DD$72,INDIRECT($C$5&amp;"生成成长"),5))*(VLOOKUP($B$5,标准坦克设计!$B$24:$U$30,MATCH("对"&amp;LEFT($C$5,2)&amp;"输出",标准坦克设计!$B$23:$U$23,0)))*(VLOOKUP($B86,INDIRECT($B$5&amp;"生成成长"),3))*(VLOOKUP($B$5,标准坦克设计!$B$14:$K$20,9)/30))</f>
        <v>66.104443371028751</v>
      </c>
      <c r="DE86" s="173">
        <f ca="1">(VLOOKUP(DE$72,INDIRECT($C$5&amp;"生成成长"),2))/((VLOOKUP($B86,INDIRECT($B$5&amp;"生成成长"),4))/(VLOOKUP(DE$72,INDIRECT($C$5&amp;"生成成长"),5))*(VLOOKUP($B$5,标准坦克设计!$B$24:$U$30,MATCH("对"&amp;LEFT($C$5,2)&amp;"输出",标准坦克设计!$B$23:$U$23,0)))*(VLOOKUP($B86,INDIRECT($B$5&amp;"生成成长"),3))*(VLOOKUP($B$5,标准坦克设计!$B$14:$K$20,9)/30))</f>
        <v>70.030599008246782</v>
      </c>
      <c r="DF86" s="173">
        <f ca="1">(VLOOKUP(DF$72,INDIRECT($C$5&amp;"生成成长"),2))/((VLOOKUP($B86,INDIRECT($B$5&amp;"生成成长"),4))/(VLOOKUP(DF$72,INDIRECT($C$5&amp;"生成成长"),5))*(VLOOKUP($B$5,标准坦克设计!$B$24:$U$30,MATCH("对"&amp;LEFT($C$5,2)&amp;"输出",标准坦克设计!$B$23:$U$23,0)))*(VLOOKUP($B86,INDIRECT($B$5&amp;"生成成长"),3))*(VLOOKUP($B$5,标准坦克设计!$B$14:$K$20,9)/30))</f>
        <v>74.07000913499995</v>
      </c>
      <c r="DG86" s="173">
        <f ca="1">(VLOOKUP(DG$72,INDIRECT($C$5&amp;"生成成长"),2))/((VLOOKUP($B86,INDIRECT($B$5&amp;"生成成长"),4))/(VLOOKUP(DG$72,INDIRECT($C$5&amp;"生成成长"),5))*(VLOOKUP($B$5,标准坦克设计!$B$24:$U$30,MATCH("对"&amp;LEFT($C$5,2)&amp;"输出",标准坦克设计!$B$23:$U$23,0)))*(VLOOKUP($B86,INDIRECT($B$5&amp;"生成成长"),3))*(VLOOKUP($B$5,标准坦克设计!$B$14:$K$20,9)/30))</f>
        <v>78.222673751288269</v>
      </c>
      <c r="DH86" s="173">
        <f ca="1">(VLOOKUP(DH$72,INDIRECT($C$5&amp;"生成成长"),2))/((VLOOKUP($B86,INDIRECT($B$5&amp;"生成成长"),4))/(VLOOKUP(DH$72,INDIRECT($C$5&amp;"生成成长"),5))*(VLOOKUP($B$5,标准坦克设计!$B$24:$U$30,MATCH("对"&amp;LEFT($C$5,2)&amp;"输出",标准坦克设计!$B$23:$U$23,0)))*(VLOOKUP($B86,INDIRECT($B$5&amp;"生成成长"),3))*(VLOOKUP($B$5,标准坦克设计!$B$14:$K$20,9)/30))</f>
        <v>82.488592857111698</v>
      </c>
      <c r="DI86" s="173">
        <f ca="1">(VLOOKUP(DI$72,INDIRECT($C$5&amp;"生成成长"),2))/((VLOOKUP($B86,INDIRECT($B$5&amp;"生成成长"),4))/(VLOOKUP(DI$72,INDIRECT($C$5&amp;"生成成长"),5))*(VLOOKUP($B$5,标准坦克设计!$B$24:$U$30,MATCH("对"&amp;LEFT($C$5,2)&amp;"输出",标准坦克设计!$B$23:$U$23,0)))*(VLOOKUP($B86,INDIRECT($B$5&amp;"生成成长"),3))*(VLOOKUP($B$5,标准坦克设计!$B$14:$K$20,9)/30))</f>
        <v>86.867766452470264</v>
      </c>
      <c r="DJ86" s="173">
        <f ca="1">(VLOOKUP(DJ$72,INDIRECT($C$5&amp;"生成成长"),2))/((VLOOKUP($B86,INDIRECT($B$5&amp;"生成成长"),4))/(VLOOKUP(DJ$72,INDIRECT($C$5&amp;"生成成长"),5))*(VLOOKUP($B$5,标准坦克设计!$B$24:$U$30,MATCH("对"&amp;LEFT($C$5,2)&amp;"输出",标准坦克设计!$B$23:$U$23,0)))*(VLOOKUP($B86,INDIRECT($B$5&amp;"生成成长"),3))*(VLOOKUP($B$5,标准坦克设计!$B$14:$K$20,9)/30))</f>
        <v>8.7304268130886928</v>
      </c>
      <c r="DK86" s="173">
        <f ca="1">(VLOOKUP(DK$72,INDIRECT($C$5&amp;"生成成长"),2))/((VLOOKUP($B86,INDIRECT($B$5&amp;"生成成长"),4))/(VLOOKUP(DK$72,INDIRECT($C$5&amp;"生成成长"),5))*(VLOOKUP($B$5,标准坦克设计!$B$24:$U$30,MATCH("对"&amp;LEFT($C$5,2)&amp;"输出",标准坦克设计!$B$23:$U$23,0)))*(VLOOKUP($B86,INDIRECT($B$5&amp;"生成成长"),3))*(VLOOKUP($B$5,标准坦克设计!$B$14:$K$20,9)/30))</f>
        <v>9.8169620720663975</v>
      </c>
      <c r="DL86" s="173">
        <f ca="1">(VLOOKUP(DL$72,INDIRECT($C$5&amp;"生成成长"),2))/((VLOOKUP($B86,INDIRECT($B$5&amp;"生成成长"),4))/(VLOOKUP(DL$72,INDIRECT($C$5&amp;"生成成长"),5))*(VLOOKUP($B$5,标准坦克设计!$B$24:$U$30,MATCH("对"&amp;LEFT($C$5,2)&amp;"输出",标准坦克设计!$B$23:$U$23,0)))*(VLOOKUP($B86,INDIRECT($B$5&amp;"生成成长"),3))*(VLOOKUP($B$5,标准坦克设计!$B$14:$K$20,9)/30))</f>
        <v>10.96720298140762</v>
      </c>
      <c r="DM86" s="173">
        <f ca="1">(VLOOKUP(DM$72,INDIRECT($C$5&amp;"生成成长"),2))/((VLOOKUP($B86,INDIRECT($B$5&amp;"生成成长"),4))/(VLOOKUP(DM$72,INDIRECT($C$5&amp;"生成成长"),5))*(VLOOKUP($B$5,标准坦克设计!$B$24:$U$30,MATCH("对"&amp;LEFT($C$5,2)&amp;"输出",标准坦克设计!$B$23:$U$23,0)))*(VLOOKUP($B86,INDIRECT($B$5&amp;"生成成长"),3))*(VLOOKUP($B$5,标准坦克设计!$B$14:$K$20,9)/30))</f>
        <v>12.181149541112353</v>
      </c>
      <c r="DN86" s="173">
        <f ca="1">(VLOOKUP(DN$72,INDIRECT($C$5&amp;"生成成长"),2))/((VLOOKUP($B86,INDIRECT($B$5&amp;"生成成长"),4))/(VLOOKUP(DN$72,INDIRECT($C$5&amp;"生成成长"),5))*(VLOOKUP($B$5,标准坦克设计!$B$24:$U$30,MATCH("对"&amp;LEFT($C$5,2)&amp;"输出",标准坦克设计!$B$23:$U$23,0)))*(VLOOKUP($B86,INDIRECT($B$5&amp;"生成成长"),3))*(VLOOKUP($B$5,标准坦克设计!$B$14:$K$20,9)/30))</f>
        <v>13.458801751180602</v>
      </c>
      <c r="DO86" s="173">
        <f ca="1">(VLOOKUP(DO$72,INDIRECT($C$5&amp;"生成成长"),2))/((VLOOKUP($B86,INDIRECT($B$5&amp;"生成成长"),4))/(VLOOKUP(DO$72,INDIRECT($C$5&amp;"生成成长"),5))*(VLOOKUP($B$5,标准坦克设计!$B$24:$U$30,MATCH("对"&amp;LEFT($C$5,2)&amp;"输出",标准坦克设计!$B$23:$U$23,0)))*(VLOOKUP($B86,INDIRECT($B$5&amp;"生成成长"),3))*(VLOOKUP($B$5,标准坦克设计!$B$14:$K$20,9)/30))</f>
        <v>14.800159611612363</v>
      </c>
      <c r="DP86" s="173">
        <f ca="1">(VLOOKUP(DP$72,INDIRECT($C$5&amp;"生成成长"),2))/((VLOOKUP($B86,INDIRECT($B$5&amp;"生成成长"),4))/(VLOOKUP(DP$72,INDIRECT($C$5&amp;"生成成长"),5))*(VLOOKUP($B$5,标准坦克设计!$B$24:$U$30,MATCH("对"&amp;LEFT($C$5,2)&amp;"输出",标准坦克设计!$B$23:$U$23,0)))*(VLOOKUP($B86,INDIRECT($B$5&amp;"生成成长"),3))*(VLOOKUP($B$5,标准坦克设计!$B$14:$K$20,9)/30))</f>
        <v>16.205223122407638</v>
      </c>
      <c r="DQ86" s="173">
        <f ca="1">(VLOOKUP(DQ$72,INDIRECT($C$5&amp;"生成成长"),2))/((VLOOKUP($B86,INDIRECT($B$5&amp;"生成成长"),4))/(VLOOKUP(DQ$72,INDIRECT($C$5&amp;"生成成长"),5))*(VLOOKUP($B$5,标准坦克设计!$B$24:$U$30,MATCH("对"&amp;LEFT($C$5,2)&amp;"输出",标准坦克设计!$B$23:$U$23,0)))*(VLOOKUP($B86,INDIRECT($B$5&amp;"生成成长"),3))*(VLOOKUP($B$5,标准坦克设计!$B$14:$K$20,9)/30))</f>
        <v>17.673992283566427</v>
      </c>
      <c r="DR86" s="173">
        <f ca="1">(VLOOKUP(DR$72,INDIRECT($C$5&amp;"生成成长"),2))/((VLOOKUP($B86,INDIRECT($B$5&amp;"生成成长"),4))/(VLOOKUP(DR$72,INDIRECT($C$5&amp;"生成成长"),5))*(VLOOKUP($B$5,标准坦克设计!$B$24:$U$30,MATCH("对"&amp;LEFT($C$5,2)&amp;"输出",标准坦克设计!$B$23:$U$23,0)))*(VLOOKUP($B86,INDIRECT($B$5&amp;"生成成长"),3))*(VLOOKUP($B$5,标准坦克设计!$B$14:$K$20,9)/30))</f>
        <v>19.20646709508873</v>
      </c>
      <c r="DS86" s="173">
        <f ca="1">(VLOOKUP(DS$72,INDIRECT($C$5&amp;"生成成长"),2))/((VLOOKUP($B86,INDIRECT($B$5&amp;"生成成长"),4))/(VLOOKUP(DS$72,INDIRECT($C$5&amp;"生成成长"),5))*(VLOOKUP($B$5,标准坦克设计!$B$24:$U$30,MATCH("对"&amp;LEFT($C$5,2)&amp;"输出",标准坦克设计!$B$23:$U$23,0)))*(VLOOKUP($B86,INDIRECT($B$5&amp;"生成成长"),3))*(VLOOKUP($B$5,标准坦克设计!$B$14:$K$20,9)/30))</f>
        <v>20.802647556974549</v>
      </c>
      <c r="DT86" s="173">
        <f ca="1">(VLOOKUP(DT$72,INDIRECT($C$5&amp;"生成成长"),2))/((VLOOKUP($B86,INDIRECT($B$5&amp;"生成成长"),4))/(VLOOKUP(DT$72,INDIRECT($C$5&amp;"生成成长"),5))*(VLOOKUP($B$5,标准坦克设计!$B$24:$U$30,MATCH("对"&amp;LEFT($C$5,2)&amp;"输出",标准坦克设计!$B$23:$U$23,0)))*(VLOOKUP($B86,INDIRECT($B$5&amp;"生成成长"),3))*(VLOOKUP($B$5,标准坦克设计!$B$14:$K$20,9)/30))</f>
        <v>22.840048634340995</v>
      </c>
      <c r="DU86" s="173">
        <f ca="1">(VLOOKUP(DU$72,INDIRECT($C$5&amp;"生成成长"),2))/((VLOOKUP($B86,INDIRECT($B$5&amp;"生成成长"),4))/(VLOOKUP(DU$72,INDIRECT($C$5&amp;"生成成长"),5))*(VLOOKUP($B$5,标准坦克设计!$B$24:$U$30,MATCH("对"&amp;LEFT($C$5,2)&amp;"输出",标准坦克设计!$B$23:$U$23,0)))*(VLOOKUP($B86,INDIRECT($B$5&amp;"生成成长"),3))*(VLOOKUP($B$5,标准坦克设计!$B$14:$K$20,9)/30))</f>
        <v>24.972614942497387</v>
      </c>
      <c r="DV86" s="173">
        <f ca="1">(VLOOKUP(DV$72,INDIRECT($C$5&amp;"生成成长"),2))/((VLOOKUP($B86,INDIRECT($B$5&amp;"生成成长"),4))/(VLOOKUP(DV$72,INDIRECT($C$5&amp;"生成成长"),5))*(VLOOKUP($B$5,标准坦克设计!$B$24:$U$30,MATCH("对"&amp;LEFT($C$5,2)&amp;"输出",标准坦克设计!$B$23:$U$23,0)))*(VLOOKUP($B86,INDIRECT($B$5&amp;"生成成长"),3))*(VLOOKUP($B$5,标准坦克设计!$B$14:$K$20,9)/30))</f>
        <v>27.200346481443709</v>
      </c>
      <c r="DW86" s="173">
        <f ca="1">(VLOOKUP(DW$72,INDIRECT($C$5&amp;"生成成长"),2))/((VLOOKUP($B86,INDIRECT($B$5&amp;"生成成长"),4))/(VLOOKUP(DW$72,INDIRECT($C$5&amp;"生成成长"),5))*(VLOOKUP($B$5,标准坦克设计!$B$24:$U$30,MATCH("对"&amp;LEFT($C$5,2)&amp;"输出",标准坦克设计!$B$23:$U$23,0)))*(VLOOKUP($B86,INDIRECT($B$5&amp;"生成成长"),3))*(VLOOKUP($B$5,标准坦克设计!$B$14:$K$20,9)/30))</f>
        <v>29.523243251179977</v>
      </c>
      <c r="DX86" s="173">
        <f ca="1">(VLOOKUP(DX$72,INDIRECT($C$5&amp;"生成成长"),2))/((VLOOKUP($B86,INDIRECT($B$5&amp;"生成成长"),4))/(VLOOKUP(DX$72,INDIRECT($C$5&amp;"生成成长"),5))*(VLOOKUP($B$5,标准坦克设计!$B$24:$U$30,MATCH("对"&amp;LEFT($C$5,2)&amp;"输出",标准坦克设计!$B$23:$U$23,0)))*(VLOOKUP($B86,INDIRECT($B$5&amp;"生成成长"),3))*(VLOOKUP($B$5,标准坦克设计!$B$14:$K$20,9)/30))</f>
        <v>31.94130525170619</v>
      </c>
      <c r="DY86" s="173">
        <f ca="1">(VLOOKUP(DY$72,INDIRECT($C$5&amp;"生成成长"),2))/((VLOOKUP($B86,INDIRECT($B$5&amp;"生成成长"),4))/(VLOOKUP(DY$72,INDIRECT($C$5&amp;"生成成长"),5))*(VLOOKUP($B$5,标准坦克设计!$B$24:$U$30,MATCH("对"&amp;LEFT($C$5,2)&amp;"输出",标准坦克设计!$B$23:$U$23,0)))*(VLOOKUP($B86,INDIRECT($B$5&amp;"生成成长"),3))*(VLOOKUP($B$5,标准坦克设计!$B$14:$K$20,9)/30))</f>
        <v>14.345961919205829</v>
      </c>
      <c r="DZ86" s="173">
        <f ca="1">(VLOOKUP(DZ$72,INDIRECT($C$5&amp;"生成成长"),2))/((VLOOKUP($B86,INDIRECT($B$5&amp;"生成成长"),4))/(VLOOKUP(DZ$72,INDIRECT($C$5&amp;"生成成长"),5))*(VLOOKUP($B$5,标准坦克设计!$B$24:$U$30,MATCH("对"&amp;LEFT($C$5,2)&amp;"输出",标准坦克设计!$B$23:$U$23,0)))*(VLOOKUP($B86,INDIRECT($B$5&amp;"生成成长"),3))*(VLOOKUP($B$5,标准坦克设计!$B$14:$K$20,9)/30))</f>
        <v>15.887481360100731</v>
      </c>
      <c r="EA86" s="173">
        <f ca="1">(VLOOKUP(EA$72,INDIRECT($C$5&amp;"生成成长"),2))/((VLOOKUP($B86,INDIRECT($B$5&amp;"生成成长"),4))/(VLOOKUP(EA$72,INDIRECT($C$5&amp;"生成成长"),5))*(VLOOKUP($B$5,标准坦克设计!$B$24:$U$30,MATCH("对"&amp;LEFT($C$5,2)&amp;"输出",标准坦克设计!$B$23:$U$23,0)))*(VLOOKUP($B86,INDIRECT($B$5&amp;"生成成长"),3))*(VLOOKUP($B$5,标准坦克设计!$B$14:$K$20,9)/30))</f>
        <v>17.507649752061695</v>
      </c>
      <c r="EB86" s="173">
        <f ca="1">(VLOOKUP(EB$72,INDIRECT($C$5&amp;"生成成长"),2))/((VLOOKUP($B86,INDIRECT($B$5&amp;"生成成长"),4))/(VLOOKUP(EB$72,INDIRECT($C$5&amp;"生成成长"),5))*(VLOOKUP($B$5,标准坦克设计!$B$24:$U$30,MATCH("对"&amp;LEFT($C$5,2)&amp;"输出",标准坦克设计!$B$23:$U$23,0)))*(VLOOKUP($B86,INDIRECT($B$5&amp;"生成成长"),3))*(VLOOKUP($B$5,标准坦克设计!$B$14:$K$20,9)/30))</f>
        <v>19.20646709508873</v>
      </c>
      <c r="EC86" s="173">
        <f ca="1">(VLOOKUP(EC$72,INDIRECT($C$5&amp;"生成成长"),2))/((VLOOKUP($B86,INDIRECT($B$5&amp;"生成成长"),4))/(VLOOKUP(EC$72,INDIRECT($C$5&amp;"生成成长"),5))*(VLOOKUP($B$5,标准坦克设计!$B$24:$U$30,MATCH("对"&amp;LEFT($C$5,2)&amp;"输出",标准坦克设计!$B$23:$U$23,0)))*(VLOOKUP($B86,INDIRECT($B$5&amp;"生成成长"),3))*(VLOOKUP($B$5,标准坦克设计!$B$14:$K$20,9)/30))</f>
        <v>20.983933389181828</v>
      </c>
      <c r="ED86" s="173">
        <f ca="1">(VLOOKUP(ED$72,INDIRECT($C$5&amp;"生成成长"),2))/((VLOOKUP($B86,INDIRECT($B$5&amp;"生成成长"),4))/(VLOOKUP(ED$72,INDIRECT($C$5&amp;"生成成长"),5))*(VLOOKUP($B$5,标准坦克设计!$B$24:$U$30,MATCH("对"&amp;LEFT($C$5,2)&amp;"输出",标准坦克设计!$B$23:$U$23,0)))*(VLOOKUP($B86,INDIRECT($B$5&amp;"生成成长"),3))*(VLOOKUP($B$5,标准坦克设计!$B$14:$K$20,9)/30))</f>
        <v>22.840048634340995</v>
      </c>
      <c r="EE86" s="173">
        <f ca="1">(VLOOKUP(EE$72,INDIRECT($C$5&amp;"生成成长"),2))/((VLOOKUP($B86,INDIRECT($B$5&amp;"生成成长"),4))/(VLOOKUP(EE$72,INDIRECT($C$5&amp;"生成成长"),5))*(VLOOKUP($B$5,标准坦克设计!$B$24:$U$30,MATCH("对"&amp;LEFT($C$5,2)&amp;"输出",标准坦克设计!$B$23:$U$23,0)))*(VLOOKUP($B86,INDIRECT($B$5&amp;"生成成长"),3))*(VLOOKUP($B$5,标准坦克设计!$B$14:$K$20,9)/30))</f>
        <v>24.774812830566223</v>
      </c>
      <c r="EF86" s="173">
        <f ca="1">(VLOOKUP(EF$72,INDIRECT($C$5&amp;"生成成长"),2))/((VLOOKUP($B86,INDIRECT($B$5&amp;"生成成长"),4))/(VLOOKUP(EF$72,INDIRECT($C$5&amp;"生成成长"),5))*(VLOOKUP($B$5,标准坦克设计!$B$24:$U$30,MATCH("对"&amp;LEFT($C$5,2)&amp;"输出",标准坦克设计!$B$23:$U$23,0)))*(VLOOKUP($B86,INDIRECT($B$5&amp;"生成成长"),3))*(VLOOKUP($B$5,标准坦克设计!$B$14:$K$20,9)/30))</f>
        <v>26.788225977857529</v>
      </c>
      <c r="EG86" s="173">
        <f ca="1">(VLOOKUP(EG$72,INDIRECT($C$5&amp;"生成成长"),2))/((VLOOKUP($B86,INDIRECT($B$5&amp;"生成成长"),4))/(VLOOKUP(EG$72,INDIRECT($C$5&amp;"生成成长"),5))*(VLOOKUP($B$5,标准坦克设计!$B$24:$U$30,MATCH("对"&amp;LEFT($C$5,2)&amp;"输出",标准坦克设计!$B$23:$U$23,0)))*(VLOOKUP($B86,INDIRECT($B$5&amp;"生成成长"),3))*(VLOOKUP($B$5,标准坦克设计!$B$14:$K$20,9)/30))</f>
        <v>28.880288076214892</v>
      </c>
      <c r="EH86" s="173">
        <f ca="1">(VLOOKUP(EH$72,INDIRECT($C$5&amp;"生成成长"),2))/((VLOOKUP($B86,INDIRECT($B$5&amp;"生成成长"),4))/(VLOOKUP(EH$72,INDIRECT($C$5&amp;"生成成长"),5))*(VLOOKUP($B$5,标准坦克设计!$B$24:$U$30,MATCH("对"&amp;LEFT($C$5,2)&amp;"输出",标准坦克设计!$B$23:$U$23,0)))*(VLOOKUP($B86,INDIRECT($B$5&amp;"生成成长"),3))*(VLOOKUP($B$5,标准坦克设计!$B$14:$K$20,9)/30))</f>
        <v>31.050999125638317</v>
      </c>
      <c r="EI86" s="173">
        <f ca="1">(VLOOKUP(EI$72,INDIRECT($C$5&amp;"生成成长"),2))/((VLOOKUP($B86,INDIRECT($B$5&amp;"生成成长"),4))/(VLOOKUP(EI$72,INDIRECT($C$5&amp;"生成成长"),5))*(VLOOKUP($B$5,标准坦克设计!$B$24:$U$30,MATCH("对"&amp;LEFT($C$5,2)&amp;"输出",标准坦克设计!$B$23:$U$23,0)))*(VLOOKUP($B86,INDIRECT($B$5&amp;"生成成长"),3))*(VLOOKUP($B$5,标准坦克设计!$B$14:$K$20,9)/30))</f>
        <v>33.300359126127809</v>
      </c>
      <c r="EJ86" s="173">
        <f ca="1">(VLOOKUP(EJ$72,INDIRECT($C$5&amp;"生成成长"),2))/((VLOOKUP($B86,INDIRECT($B$5&amp;"生成成长"),4))/(VLOOKUP(EJ$72,INDIRECT($C$5&amp;"生成成长"),5))*(VLOOKUP($B$5,标准坦克设计!$B$24:$U$30,MATCH("对"&amp;LEFT($C$5,2)&amp;"输出",标准坦克设计!$B$23:$U$23,0)))*(VLOOKUP($B86,INDIRECT($B$5&amp;"生成成长"),3))*(VLOOKUP($B$5,标准坦克设计!$B$14:$K$20,9)/30))</f>
        <v>35.628368077683383</v>
      </c>
      <c r="EK86" s="173">
        <f ca="1">(VLOOKUP(EK$72,INDIRECT($C$5&amp;"生成成长"),2))/((VLOOKUP($B86,INDIRECT($B$5&amp;"生成成长"),4))/(VLOOKUP(EK$72,INDIRECT($C$5&amp;"生成成长"),5))*(VLOOKUP($B$5,标准坦克设计!$B$24:$U$30,MATCH("对"&amp;LEFT($C$5,2)&amp;"输出",标准坦克设计!$B$23:$U$23,0)))*(VLOOKUP($B86,INDIRECT($B$5&amp;"生成成长"),3))*(VLOOKUP($B$5,标准坦克设计!$B$14:$K$20,9)/30))</f>
        <v>38.525795434957267</v>
      </c>
      <c r="EL86" s="173">
        <f ca="1">(VLOOKUP(EL$72,INDIRECT($C$5&amp;"生成成长"),2))/((VLOOKUP($B86,INDIRECT($B$5&amp;"生成成长"),4))/(VLOOKUP(EL$72,INDIRECT($C$5&amp;"生成成长"),5))*(VLOOKUP($B$5,标准坦克设计!$B$24:$U$30,MATCH("对"&amp;LEFT($C$5,2)&amp;"输出",标准坦克设计!$B$23:$U$23,0)))*(VLOOKUP($B86,INDIRECT($B$5&amp;"生成成长"),3))*(VLOOKUP($B$5,标准坦克设计!$B$14:$K$20,9)/30))</f>
        <v>41.536477281766281</v>
      </c>
      <c r="EM86" s="173">
        <f ca="1">(VLOOKUP(EM$72,INDIRECT($C$5&amp;"生成成长"),2))/((VLOOKUP($B86,INDIRECT($B$5&amp;"生成成长"),4))/(VLOOKUP(EM$72,INDIRECT($C$5&amp;"生成成长"),5))*(VLOOKUP($B$5,标准坦克设计!$B$24:$U$30,MATCH("对"&amp;LEFT($C$5,2)&amp;"输出",标准坦克设计!$B$23:$U$23,0)))*(VLOOKUP($B86,INDIRECT($B$5&amp;"生成成长"),3))*(VLOOKUP($B$5,标准坦克设计!$B$14:$K$20,9)/30))</f>
        <v>44.660413618110447</v>
      </c>
      <c r="EN86" s="173">
        <f ca="1">(VLOOKUP(EN$72,INDIRECT($C$5&amp;"生成成长"),2))/((VLOOKUP($B86,INDIRECT($B$5&amp;"生成成长"),4))/(VLOOKUP(EN$72,INDIRECT($C$5&amp;"生成成长"),5))*(VLOOKUP($B$5,标准坦克设计!$B$24:$U$30,MATCH("对"&amp;LEFT($C$5,2)&amp;"输出",标准坦克设计!$B$23:$U$23,0)))*(VLOOKUP($B86,INDIRECT($B$5&amp;"生成成长"),3))*(VLOOKUP($B$5,标准坦克设计!$B$14:$K$20,9)/30))</f>
        <v>47.897604443989735</v>
      </c>
      <c r="EO86" s="173">
        <f ca="1">(VLOOKUP(EO$72,INDIRECT($C$5&amp;"生成成长"),2))/((VLOOKUP($B86,INDIRECT($B$5&amp;"生成成长"),4))/(VLOOKUP(EO$72,INDIRECT($C$5&amp;"生成成长"),5))*(VLOOKUP($B$5,标准坦克设计!$B$24:$U$30,MATCH("对"&amp;LEFT($C$5,2)&amp;"输出",标准坦克设计!$B$23:$U$23,0)))*(VLOOKUP($B86,INDIRECT($B$5&amp;"生成成长"),3))*(VLOOKUP($B$5,标准坦克设计!$B$14:$K$20,9)/30))</f>
        <v>51.248049759404161</v>
      </c>
      <c r="EP86" s="173">
        <f ca="1">(VLOOKUP(EP$72,INDIRECT($C$5&amp;"生成成长"),2))/((VLOOKUP($B86,INDIRECT($B$5&amp;"生成成长"),4))/(VLOOKUP(EP$72,INDIRECT($C$5&amp;"生成成长"),5))*(VLOOKUP($B$5,标准坦克设计!$B$24:$U$30,MATCH("对"&amp;LEFT($C$5,2)&amp;"输出",标准坦克设计!$B$23:$U$23,0)))*(VLOOKUP($B86,INDIRECT($B$5&amp;"生成成长"),3))*(VLOOKUP($B$5,标准坦克设计!$B$14:$K$20,9)/30))</f>
        <v>54.711749564353724</v>
      </c>
      <c r="EQ86" s="173">
        <f ca="1">(VLOOKUP(EQ$72,INDIRECT($C$5&amp;"生成成长"),2))/((VLOOKUP($B86,INDIRECT($B$5&amp;"生成成长"),4))/(VLOOKUP(EQ$72,INDIRECT($C$5&amp;"生成成长"),5))*(VLOOKUP($B$5,标准坦克设计!$B$24:$U$30,MATCH("对"&amp;LEFT($C$5,2)&amp;"输出",标准坦克设计!$B$23:$U$23,0)))*(VLOOKUP($B86,INDIRECT($B$5&amp;"生成成长"),3))*(VLOOKUP($B$5,标准坦克设计!$B$14:$K$20,9)/30))</f>
        <v>24.186125431836722</v>
      </c>
      <c r="ER86" s="173">
        <f ca="1">(VLOOKUP(ER$72,INDIRECT($C$5&amp;"生成成长"),2))/((VLOOKUP($B86,INDIRECT($B$5&amp;"生成成长"),4))/(VLOOKUP(ER$72,INDIRECT($C$5&amp;"生成成长"),5))*(VLOOKUP($B$5,标准坦克设计!$B$24:$U$30,MATCH("对"&amp;LEFT($C$5,2)&amp;"输出",标准坦克设计!$B$23:$U$23,0)))*(VLOOKUP($B86,INDIRECT($B$5&amp;"生成成长"),3))*(VLOOKUP($B$5,标准坦克设计!$B$14:$K$20,9)/30))</f>
        <v>26.379251432313975</v>
      </c>
      <c r="ES86" s="173">
        <f ca="1">(VLOOKUP(ES$72,INDIRECT($C$5&amp;"生成成长"),2))/((VLOOKUP($B86,INDIRECT($B$5&amp;"生成成长"),4))/(VLOOKUP(ES$72,INDIRECT($C$5&amp;"生成成长"),5))*(VLOOKUP($B$5,标准坦克设计!$B$24:$U$30,MATCH("对"&amp;LEFT($C$5,2)&amp;"输出",标准坦克设计!$B$23:$U$23,0)))*(VLOOKUP($B86,INDIRECT($B$5&amp;"生成成长"),3))*(VLOOKUP($B$5,标准坦克设计!$B$14:$K$20,9)/30))</f>
        <v>28.667542663581177</v>
      </c>
      <c r="ET86" s="173">
        <f ca="1">(VLOOKUP(ET$72,INDIRECT($C$5&amp;"生成成长"),2))/((VLOOKUP($B86,INDIRECT($B$5&amp;"生成成长"),4))/(VLOOKUP(ET$72,INDIRECT($C$5&amp;"生成成长"),5))*(VLOOKUP($B$5,标准坦克设计!$B$24:$U$30,MATCH("对"&amp;LEFT($C$5,2)&amp;"输出",标准坦克设计!$B$23:$U$23,0)))*(VLOOKUP($B86,INDIRECT($B$5&amp;"生成成长"),3))*(VLOOKUP($B$5,标准坦克设计!$B$14:$K$20,9)/30))</f>
        <v>31.050999125638317</v>
      </c>
      <c r="EU86" s="173">
        <f ca="1">(VLOOKUP(EU$72,INDIRECT($C$5&amp;"生成成长"),2))/((VLOOKUP($B86,INDIRECT($B$5&amp;"生成成长"),4))/(VLOOKUP(EU$72,INDIRECT($C$5&amp;"生成成长"),5))*(VLOOKUP($B$5,标准坦克设计!$B$24:$U$30,MATCH("对"&amp;LEFT($C$5,2)&amp;"输出",标准坦克设计!$B$23:$U$23,0)))*(VLOOKUP($B86,INDIRECT($B$5&amp;"生成成长"),3))*(VLOOKUP($B$5,标准坦克设计!$B$14:$K$20,9)/30))</f>
        <v>33.529620818485391</v>
      </c>
      <c r="EV86" s="173">
        <f ca="1">(VLOOKUP(EV$72,INDIRECT($C$5&amp;"生成成长"),2))/((VLOOKUP($B86,INDIRECT($B$5&amp;"生成成长"),4))/(VLOOKUP(EV$72,INDIRECT($C$5&amp;"生成成长"),5))*(VLOOKUP($B$5,标准坦克设计!$B$24:$U$30,MATCH("对"&amp;LEFT($C$5,2)&amp;"输出",标准坦克设计!$B$23:$U$23,0)))*(VLOOKUP($B86,INDIRECT($B$5&amp;"生成成长"),3))*(VLOOKUP($B$5,标准坦克设计!$B$14:$K$20,9)/30))</f>
        <v>36.103407742122428</v>
      </c>
      <c r="EW86" s="173">
        <f ca="1">(VLOOKUP(EW$72,INDIRECT($C$5&amp;"生成成长"),2))/((VLOOKUP($B86,INDIRECT($B$5&amp;"生成成长"),4))/(VLOOKUP(EW$72,INDIRECT($C$5&amp;"生成成长"),5))*(VLOOKUP($B$5,标准坦克设计!$B$24:$U$30,MATCH("对"&amp;LEFT($C$5,2)&amp;"输出",标准坦克设计!$B$23:$U$23,0)))*(VLOOKUP($B86,INDIRECT($B$5&amp;"生成成长"),3))*(VLOOKUP($B$5,标准坦克设计!$B$14:$K$20,9)/30))</f>
        <v>38.772359896549389</v>
      </c>
      <c r="EX86" s="173">
        <f ca="1">(VLOOKUP(EX$72,INDIRECT($C$5&amp;"生成成长"),2))/((VLOOKUP($B86,INDIRECT($B$5&amp;"生成成长"),4))/(VLOOKUP(EX$72,INDIRECT($C$5&amp;"生成成长"),5))*(VLOOKUP($B$5,标准坦克设计!$B$24:$U$30,MATCH("对"&amp;LEFT($C$5,2)&amp;"输出",标准坦克设计!$B$23:$U$23,0)))*(VLOOKUP($B86,INDIRECT($B$5&amp;"生成成长"),3))*(VLOOKUP($B$5,标准坦克设计!$B$14:$K$20,9)/30))</f>
        <v>41.536477281766281</v>
      </c>
      <c r="EY86" s="173">
        <f ca="1">(VLOOKUP(EY$72,INDIRECT($C$5&amp;"生成成长"),2))/((VLOOKUP($B86,INDIRECT($B$5&amp;"生成成长"),4))/(VLOOKUP(EY$72,INDIRECT($C$5&amp;"生成成长"),5))*(VLOOKUP($B$5,标准坦克设计!$B$24:$U$30,MATCH("对"&amp;LEFT($C$5,2)&amp;"输出",标准坦克设计!$B$23:$U$23,0)))*(VLOOKUP($B86,INDIRECT($B$5&amp;"生成成长"),3))*(VLOOKUP($B$5,标准坦克设计!$B$14:$K$20,9)/30))</f>
        <v>44.395759897773125</v>
      </c>
      <c r="EZ86" s="173">
        <f ca="1">(VLOOKUP(EZ$72,INDIRECT($C$5&amp;"生成成长"),2))/((VLOOKUP($B86,INDIRECT($B$5&amp;"生成成长"),4))/(VLOOKUP(EZ$72,INDIRECT($C$5&amp;"生成成长"),5))*(VLOOKUP($B$5,标准坦克设计!$B$24:$U$30,MATCH("对"&amp;LEFT($C$5,2)&amp;"输出",标准坦克设计!$B$23:$U$23,0)))*(VLOOKUP($B86,INDIRECT($B$5&amp;"生成成长"),3))*(VLOOKUP($B$5,标准坦克设计!$B$14:$K$20,9)/30))</f>
        <v>47.3502077445699</v>
      </c>
      <c r="FA86" s="173">
        <f ca="1">(VLOOKUP(FA$72,INDIRECT($C$5&amp;"生成成长"),2))/((VLOOKUP($B86,INDIRECT($B$5&amp;"生成成长"),4))/(VLOOKUP(FA$72,INDIRECT($C$5&amp;"生成成长"),5))*(VLOOKUP($B$5,标准坦克设计!$B$24:$U$30,MATCH("对"&amp;LEFT($C$5,2)&amp;"输出",标准坦克设计!$B$23:$U$23,0)))*(VLOOKUP($B86,INDIRECT($B$5&amp;"生成成长"),3))*(VLOOKUP($B$5,标准坦克设计!$B$14:$K$20,9)/30))</f>
        <v>50.399820822156634</v>
      </c>
      <c r="FB86" s="173">
        <f ca="1">(VLOOKUP(FB$72,INDIRECT($C$5&amp;"生成成长"),2))/((VLOOKUP($B86,INDIRECT($B$5&amp;"生成成长"),4))/(VLOOKUP(FB$72,INDIRECT($C$5&amp;"生成成长"),5))*(VLOOKUP($B$5,标准坦克设计!$B$24:$U$30,MATCH("对"&amp;LEFT($C$5,2)&amp;"输出",标准坦克设计!$B$23:$U$23,0)))*(VLOOKUP($B86,INDIRECT($B$5&amp;"生成成长"),3))*(VLOOKUP($B$5,标准坦克设计!$B$14:$K$20,9)/30))</f>
        <v>53.544599130533292</v>
      </c>
      <c r="FC86" s="173">
        <f ca="1">(VLOOKUP(FC$72,INDIRECT($C$5&amp;"生成成长"),2))/((VLOOKUP($B86,INDIRECT($B$5&amp;"生成成长"),4))/(VLOOKUP(FC$72,INDIRECT($C$5&amp;"生成成长"),5))*(VLOOKUP($B$5,标准坦克设计!$B$24:$U$30,MATCH("对"&amp;LEFT($C$5,2)&amp;"输出",标准坦克设计!$B$23:$U$23,0)))*(VLOOKUP($B86,INDIRECT($B$5&amp;"生成成长"),3))*(VLOOKUP($B$5,标准坦克设计!$B$14:$K$20,9)/30))</f>
        <v>56.784542669699896</v>
      </c>
      <c r="FD86" s="173">
        <f ca="1">(VLOOKUP(FD$72,INDIRECT($C$5&amp;"生成成长"),2))/((VLOOKUP($B86,INDIRECT($B$5&amp;"生成成长"),4))/(VLOOKUP(FD$72,INDIRECT($C$5&amp;"生成成长"),5))*(VLOOKUP($B$5,标准坦克设计!$B$24:$U$30,MATCH("对"&amp;LEFT($C$5,2)&amp;"输出",标准坦克设计!$B$23:$U$23,0)))*(VLOOKUP($B86,INDIRECT($B$5&amp;"生成成长"),3))*(VLOOKUP($B$5,标准坦克设计!$B$14:$K$20,9)/30))</f>
        <v>60.119651439656444</v>
      </c>
      <c r="FE86" s="173">
        <f ca="1">(VLOOKUP(FE$72,INDIRECT($C$5&amp;"生成成长"),2))/((VLOOKUP($B86,INDIRECT($B$5&amp;"生成成长"),4))/(VLOOKUP(FE$72,INDIRECT($C$5&amp;"生成成长"),5))*(VLOOKUP($B$5,标准坦克设计!$B$24:$U$30,MATCH("对"&amp;LEFT($C$5,2)&amp;"输出",标准坦克设计!$B$23:$U$23,0)))*(VLOOKUP($B86,INDIRECT($B$5&amp;"生成成长"),3))*(VLOOKUP($B$5,标准坦克设计!$B$14:$K$20,9)/30))</f>
        <v>64.183835985995401</v>
      </c>
      <c r="FF86" s="173">
        <f ca="1">(VLOOKUP(FF$72,INDIRECT($C$5&amp;"生成成长"),2))/((VLOOKUP($B86,INDIRECT($B$5&amp;"生成成长"),4))/(VLOOKUP(FF$72,INDIRECT($C$5&amp;"生成成长"),5))*(VLOOKUP($B$5,标准坦克设计!$B$24:$U$30,MATCH("对"&amp;LEFT($C$5,2)&amp;"输出",标准坦克设计!$B$23:$U$23,0)))*(VLOOKUP($B86,INDIRECT($B$5&amp;"生成成长"),3))*(VLOOKUP($B$5,标准坦克设计!$B$14:$K$20,9)/30))</f>
        <v>68.380937259636042</v>
      </c>
      <c r="FG86" s="173">
        <f ca="1">(VLOOKUP(FG$72,INDIRECT($C$5&amp;"生成成长"),2))/((VLOOKUP($B86,INDIRECT($B$5&amp;"生成成长"),4))/(VLOOKUP(FG$72,INDIRECT($C$5&amp;"生成成长"),5))*(VLOOKUP($B$5,标准坦克设计!$B$24:$U$30,MATCH("对"&amp;LEFT($C$5,2)&amp;"输出",标准坦克设计!$B$23:$U$23,0)))*(VLOOKUP($B86,INDIRECT($B$5&amp;"生成成长"),3))*(VLOOKUP($B$5,标准坦克设计!$B$14:$K$20,9)/30))</f>
        <v>72.710955260578331</v>
      </c>
      <c r="FH86" s="173">
        <f ca="1">(VLOOKUP(FH$72,INDIRECT($C$5&amp;"生成成长"),2))/((VLOOKUP($B86,INDIRECT($B$5&amp;"生成成长"),4))/(VLOOKUP(FH$72,INDIRECT($C$5&amp;"生成成长"),5))*(VLOOKUP($B$5,标准坦克设计!$B$24:$U$30,MATCH("对"&amp;LEFT($C$5,2)&amp;"输出",标准坦克设计!$B$23:$U$23,0)))*(VLOOKUP($B86,INDIRECT($B$5&amp;"生成成长"),3))*(VLOOKUP($B$5,标准坦克设计!$B$14:$K$20,9)/30))</f>
        <v>77.173889988822253</v>
      </c>
      <c r="FI86" s="173">
        <f ca="1">(VLOOKUP(FI$72,INDIRECT($C$5&amp;"生成成长"),2))/((VLOOKUP($B86,INDIRECT($B$5&amp;"生成成长"),4))/(VLOOKUP(FI$72,INDIRECT($C$5&amp;"生成成长"),5))*(VLOOKUP($B$5,标准坦克设计!$B$24:$U$30,MATCH("对"&amp;LEFT($C$5,2)&amp;"输出",标准坦克设计!$B$23:$U$23,0)))*(VLOOKUP($B86,INDIRECT($B$5&amp;"生成成长"),3))*(VLOOKUP($B$5,标准坦克设计!$B$14:$K$20,9)/30))</f>
        <v>81.769741444367853</v>
      </c>
      <c r="FJ86" s="173">
        <f ca="1">(VLOOKUP(FJ$72,INDIRECT($C$5&amp;"生成成长"),2))/((VLOOKUP($B86,INDIRECT($B$5&amp;"生成成长"),4))/(VLOOKUP(FJ$72,INDIRECT($C$5&amp;"生成成长"),5))*(VLOOKUP($B$5,标准坦克设计!$B$24:$U$30,MATCH("对"&amp;LEFT($C$5,2)&amp;"输出",标准坦克设计!$B$23:$U$23,0)))*(VLOOKUP($B86,INDIRECT($B$5&amp;"生成成长"),3))*(VLOOKUP($B$5,标准坦克设计!$B$14:$K$20,9)/30))</f>
        <v>86.498509627215086</v>
      </c>
      <c r="FK86" s="173">
        <f ca="1">(VLOOKUP(FK$72,INDIRECT($C$5&amp;"生成成长"),2))/((VLOOKUP($B86,INDIRECT($B$5&amp;"生成成长"),4))/(VLOOKUP(FK$72,INDIRECT($C$5&amp;"生成成长"),5))*(VLOOKUP($B$5,标准坦克设计!$B$24:$U$30,MATCH("对"&amp;LEFT($C$5,2)&amp;"输出",标准坦克设计!$B$23:$U$23,0)))*(VLOOKUP($B86,INDIRECT($B$5&amp;"生成成长"),3))*(VLOOKUP($B$5,标准坦克设计!$B$14:$K$20,9)/30))</f>
        <v>91.360194537363981</v>
      </c>
    </row>
    <row r="87" spans="1:167" x14ac:dyDescent="0.15">
      <c r="A87" s="171" t="str">
        <f t="shared" si="11"/>
        <v>T3低品质3级</v>
      </c>
      <c r="B87" s="172">
        <v>10303</v>
      </c>
      <c r="C87" s="173">
        <f ca="1">(VLOOKUP(C$72,INDIRECT($C$5&amp;"生成成长"),2))/((VLOOKUP($B87,INDIRECT($B$5&amp;"生成成长"),4))/(VLOOKUP(C$72,INDIRECT($C$5&amp;"生成成长"),5))*(VLOOKUP($B$5,标准坦克设计!$B$24:$U$30,MATCH("对"&amp;LEFT($C$5,2)&amp;"输出",标准坦克设计!$B$23:$U$23,0)))*(VLOOKUP($B87,INDIRECT($B$5&amp;"生成成长"),3))*(VLOOKUP($B$5,标准坦克设计!$B$14:$K$20,9)/30))</f>
        <v>3.5095873156227961</v>
      </c>
      <c r="D87" s="173">
        <f ca="1">(VLOOKUP(D$72,INDIRECT($C$5&amp;"生成成长"),2))/((VLOOKUP($B87,INDIRECT($B$5&amp;"生成成长"),4))/(VLOOKUP(D$72,INDIRECT($C$5&amp;"生成成长"),5))*(VLOOKUP($B$5,标准坦克设计!$B$24:$U$30,MATCH("对"&amp;LEFT($C$5,2)&amp;"输出",标准坦克设计!$B$23:$U$23,0)))*(VLOOKUP($B87,INDIRECT($B$5&amp;"生成成长"),3))*(VLOOKUP($B$5,标准坦克设计!$B$14:$K$20,9)/30))</f>
        <v>3.943372307833775</v>
      </c>
      <c r="E87" s="173">
        <f ca="1">(VLOOKUP(E$72,INDIRECT($C$5&amp;"生成成长"),2))/((VLOOKUP($B87,INDIRECT($B$5&amp;"生成成长"),4))/(VLOOKUP(E$72,INDIRECT($C$5&amp;"生成成长"),5))*(VLOOKUP($B$5,标准坦克设计!$B$24:$U$30,MATCH("对"&amp;LEFT($C$5,2)&amp;"输出",标准坦克设计!$B$23:$U$23,0)))*(VLOOKUP($B87,INDIRECT($B$5&amp;"生成成长"),3))*(VLOOKUP($B$5,标准坦克设计!$B$14:$K$20,9)/30))</f>
        <v>4.4024263287172367</v>
      </c>
      <c r="F87" s="173">
        <f ca="1">(VLOOKUP(F$72,INDIRECT($C$5&amp;"生成成长"),2))/((VLOOKUP($B87,INDIRECT($B$5&amp;"生成成长"),4))/(VLOOKUP(F$72,INDIRECT($C$5&amp;"生成成长"),5))*(VLOOKUP($B$5,标准坦克设计!$B$24:$U$30,MATCH("对"&amp;LEFT($C$5,2)&amp;"输出",标准坦克设计!$B$23:$U$23,0)))*(VLOOKUP($B87,INDIRECT($B$5&amp;"生成成长"),3))*(VLOOKUP($B$5,标准坦克设计!$B$14:$K$20,9)/30))</f>
        <v>4.8867493782731826</v>
      </c>
      <c r="G87" s="173">
        <f ca="1">(VLOOKUP(G$72,INDIRECT($C$5&amp;"生成成长"),2))/((VLOOKUP($B87,INDIRECT($B$5&amp;"生成成长"),4))/(VLOOKUP(G$72,INDIRECT($C$5&amp;"生成成长"),5))*(VLOOKUP($B$5,标准坦克设计!$B$24:$U$30,MATCH("对"&amp;LEFT($C$5,2)&amp;"输出",标准坦克设计!$B$23:$U$23,0)))*(VLOOKUP($B87,INDIRECT($B$5&amp;"生成成长"),3))*(VLOOKUP($B$5,标准坦克设计!$B$14:$K$20,9)/30))</f>
        <v>5.3963414565016121</v>
      </c>
      <c r="H87" s="173">
        <f ca="1">(VLOOKUP(H$72,INDIRECT($C$5&amp;"生成成长"),2))/((VLOOKUP($B87,INDIRECT($B$5&amp;"生成成长"),4))/(VLOOKUP(H$72,INDIRECT($C$5&amp;"生成成长"),5))*(VLOOKUP($B$5,标准坦克设计!$B$24:$U$30,MATCH("对"&amp;LEFT($C$5,2)&amp;"输出",标准坦克设计!$B$23:$U$23,0)))*(VLOOKUP($B87,INDIRECT($B$5&amp;"生成成长"),3))*(VLOOKUP($B$5,标准坦克设计!$B$14:$K$20,9)/30))</f>
        <v>4.7225006919020354</v>
      </c>
      <c r="I87" s="173">
        <f ca="1">(VLOOKUP(I$72,INDIRECT($C$5&amp;"生成成长"),2))/((VLOOKUP($B87,INDIRECT($B$5&amp;"生成成长"),4))/(VLOOKUP(I$72,INDIRECT($C$5&amp;"生成成长"),5))*(VLOOKUP($B$5,标准坦克设计!$B$24:$U$30,MATCH("对"&amp;LEFT($C$5,2)&amp;"输出",标准坦克设计!$B$23:$U$23,0)))*(VLOOKUP($B87,INDIRECT($B$5&amp;"生成成长"),3))*(VLOOKUP($B$5,标准坦克设计!$B$14:$K$20,9)/30))</f>
        <v>5.3963414565016121</v>
      </c>
      <c r="J87" s="173">
        <f ca="1">(VLOOKUP(J$72,INDIRECT($C$5&amp;"生成成长"),2))/((VLOOKUP($B87,INDIRECT($B$5&amp;"生成成长"),4))/(VLOOKUP(J$72,INDIRECT($C$5&amp;"生成成长"),5))*(VLOOKUP($B$5,标准坦克设计!$B$24:$U$30,MATCH("对"&amp;LEFT($C$5,2)&amp;"输出",标准坦克设计!$B$23:$U$23,0)))*(VLOOKUP($B87,INDIRECT($B$5&amp;"生成成长"),3))*(VLOOKUP($B$5,标准坦克设计!$B$14:$K$20,9)/30))</f>
        <v>6.1151049387411618</v>
      </c>
      <c r="K87" s="173">
        <f ca="1">(VLOOKUP(K$72,INDIRECT($C$5&amp;"生成成长"),2))/((VLOOKUP($B87,INDIRECT($B$5&amp;"生成成长"),4))/(VLOOKUP(K$72,INDIRECT($C$5&amp;"生成成长"),5))*(VLOOKUP($B$5,标准坦克设计!$B$24:$U$30,MATCH("对"&amp;LEFT($C$5,2)&amp;"输出",标准坦克设计!$B$23:$U$23,0)))*(VLOOKUP($B87,INDIRECT($B$5&amp;"生成成长"),3))*(VLOOKUP($B$5,标准坦克设计!$B$14:$K$20,9)/30))</f>
        <v>6.8787911386206826</v>
      </c>
      <c r="L87" s="173">
        <f ca="1">(VLOOKUP(L$72,INDIRECT($C$5&amp;"生成成长"),2))/((VLOOKUP($B87,INDIRECT($B$5&amp;"生成成长"),4))/(VLOOKUP(L$72,INDIRECT($C$5&amp;"生成成长"),5))*(VLOOKUP($B$5,标准坦克设计!$B$24:$U$30,MATCH("对"&amp;LEFT($C$5,2)&amp;"输出",标准坦克设计!$B$23:$U$23,0)))*(VLOOKUP($B87,INDIRECT($B$5&amp;"生成成长"),3))*(VLOOKUP($B$5,标准坦克设计!$B$14:$K$20,9)/30))</f>
        <v>7.6874000561401736</v>
      </c>
      <c r="M87" s="173">
        <f ca="1">(VLOOKUP(M$72,INDIRECT($C$5&amp;"生成成长"),2))/((VLOOKUP($B87,INDIRECT($B$5&amp;"生成成长"),4))/(VLOOKUP(M$72,INDIRECT($C$5&amp;"生成成长"),5))*(VLOOKUP($B$5,标准坦克设计!$B$24:$U$30,MATCH("对"&amp;LEFT($C$5,2)&amp;"输出",标准坦克设计!$B$23:$U$23,0)))*(VLOOKUP($B87,INDIRECT($B$5&amp;"生成成长"),3))*(VLOOKUP($B$5,标准坦克设计!$B$14:$K$20,9)/30))</f>
        <v>8.5409316912996385</v>
      </c>
      <c r="N87" s="173">
        <f ca="1">(VLOOKUP(N$72,INDIRECT($C$5&amp;"生成成长"),2))/((VLOOKUP($B87,INDIRECT($B$5&amp;"生成成长"),4))/(VLOOKUP(N$72,INDIRECT($C$5&amp;"生成成长"),5))*(VLOOKUP($B$5,标准坦克设计!$B$24:$U$30,MATCH("对"&amp;LEFT($C$5,2)&amp;"输出",标准坦克设计!$B$23:$U$23,0)))*(VLOOKUP($B87,INDIRECT($B$5&amp;"生成成长"),3))*(VLOOKUP($B$5,标准坦克设计!$B$14:$K$20,9)/30))</f>
        <v>9.4393860440990736</v>
      </c>
      <c r="O87" s="173">
        <f ca="1">(VLOOKUP(O$72,INDIRECT($C$5&amp;"生成成长"),2))/((VLOOKUP($B87,INDIRECT($B$5&amp;"生成成长"),4))/(VLOOKUP(O$72,INDIRECT($C$5&amp;"生成成长"),5))*(VLOOKUP($B$5,标准坦克设计!$B$24:$U$30,MATCH("对"&amp;LEFT($C$5,2)&amp;"输出",标准坦克设计!$B$23:$U$23,0)))*(VLOOKUP($B87,INDIRECT($B$5&amp;"生成成长"),3))*(VLOOKUP($B$5,标准坦克设计!$B$14:$K$20,9)/30))</f>
        <v>7.1767551017170588</v>
      </c>
      <c r="P87" s="173">
        <f ca="1">(VLOOKUP(P$72,INDIRECT($C$5&amp;"生成成长"),2))/((VLOOKUP($B87,INDIRECT($B$5&amp;"生成成长"),4))/(VLOOKUP(P$72,INDIRECT($C$5&amp;"生成成长"),5))*(VLOOKUP($B$5,标准坦克设计!$B$24:$U$30,MATCH("对"&amp;LEFT($C$5,2)&amp;"输出",标准坦克设计!$B$23:$U$23,0)))*(VLOOKUP($B87,INDIRECT($B$5&amp;"生成成长"),3))*(VLOOKUP($B$5,标准坦克设计!$B$14:$K$20,9)/30))</f>
        <v>8.1085505340149115</v>
      </c>
      <c r="Q87" s="173">
        <f ca="1">(VLOOKUP(Q$72,INDIRECT($C$5&amp;"生成成长"),2))/((VLOOKUP($B87,INDIRECT($B$5&amp;"生成成长"),4))/(VLOOKUP(Q$72,INDIRECT($C$5&amp;"生成成长"),5))*(VLOOKUP($B$5,标准坦克设计!$B$24:$U$30,MATCH("对"&amp;LEFT($C$5,2)&amp;"输出",标准坦克设计!$B$23:$U$23,0)))*(VLOOKUP($B87,INDIRECT($B$5&amp;"生成成长"),3))*(VLOOKUP($B$5,标准坦克设计!$B$14:$K$20,9)/30))</f>
        <v>9.0972012808258516</v>
      </c>
      <c r="R87" s="173">
        <f ca="1">(VLOOKUP(R$72,INDIRECT($C$5&amp;"生成成长"),2))/((VLOOKUP($B87,INDIRECT($B$5&amp;"生成成长"),4))/(VLOOKUP(R$72,INDIRECT($C$5&amp;"生成成长"),5))*(VLOOKUP($B$5,标准坦克设计!$B$24:$U$30,MATCH("对"&amp;LEFT($C$5,2)&amp;"输出",标准坦克设计!$B$23:$U$23,0)))*(VLOOKUP($B87,INDIRECT($B$5&amp;"生成成长"),3))*(VLOOKUP($B$5,标准坦克设计!$B$14:$K$20,9)/30))</f>
        <v>10.142707342149883</v>
      </c>
      <c r="S87" s="173">
        <f ca="1">(VLOOKUP(S$72,INDIRECT($C$5&amp;"生成成长"),2))/((VLOOKUP($B87,INDIRECT($B$5&amp;"生成成长"),4))/(VLOOKUP(S$72,INDIRECT($C$5&amp;"生成成长"),5))*(VLOOKUP($B$5,标准坦克设计!$B$24:$U$30,MATCH("对"&amp;LEFT($C$5,2)&amp;"输出",标准坦克设计!$B$23:$U$23,0)))*(VLOOKUP($B87,INDIRECT($B$5&amp;"生成成长"),3))*(VLOOKUP($B$5,标准坦克设计!$B$14:$K$20,9)/30))</f>
        <v>11.245068717987005</v>
      </c>
      <c r="T87" s="173">
        <f ca="1">(VLOOKUP(T$72,INDIRECT($C$5&amp;"生成成长"),2))/((VLOOKUP($B87,INDIRECT($B$5&amp;"生成成长"),4))/(VLOOKUP(T$72,INDIRECT($C$5&amp;"生成成长"),5))*(VLOOKUP($B$5,标准坦克设计!$B$24:$U$30,MATCH("对"&amp;LEFT($C$5,2)&amp;"输出",标准坦克设计!$B$23:$U$23,0)))*(VLOOKUP($B87,INDIRECT($B$5&amp;"生成成长"),3))*(VLOOKUP($B$5,标准坦克设计!$B$14:$K$20,9)/30))</f>
        <v>12.404285408337214</v>
      </c>
      <c r="U87" s="173">
        <f ca="1">(VLOOKUP(U$72,INDIRECT($C$5&amp;"生成成长"),2))/((VLOOKUP($B87,INDIRECT($B$5&amp;"生成成长"),4))/(VLOOKUP(U$72,INDIRECT($C$5&amp;"生成成长"),5))*(VLOOKUP($B$5,标准坦克设计!$B$24:$U$30,MATCH("对"&amp;LEFT($C$5,2)&amp;"输出",标准坦克设计!$B$23:$U$23,0)))*(VLOOKUP($B87,INDIRECT($B$5&amp;"生成成长"),3))*(VLOOKUP($B$5,标准坦克设计!$B$14:$K$20,9)/30))</f>
        <v>13.620357413200512</v>
      </c>
      <c r="V87" s="173">
        <f ca="1">(VLOOKUP(V$72,INDIRECT($C$5&amp;"生成成长"),2))/((VLOOKUP($B87,INDIRECT($B$5&amp;"生成成长"),4))/(VLOOKUP(V$72,INDIRECT($C$5&amp;"生成成长"),5))*(VLOOKUP($B$5,标准坦克设计!$B$24:$U$30,MATCH("对"&amp;LEFT($C$5,2)&amp;"输出",标准坦克设计!$B$23:$U$23,0)))*(VLOOKUP($B87,INDIRECT($B$5&amp;"生成成长"),3))*(VLOOKUP($B$5,标准坦克设计!$B$14:$K$20,9)/30))</f>
        <v>14.893284732576902</v>
      </c>
      <c r="W87" s="173">
        <f ca="1">(VLOOKUP(W$72,INDIRECT($C$5&amp;"生成成长"),2))/((VLOOKUP($B87,INDIRECT($B$5&amp;"生成成长"),4))/(VLOOKUP(W$72,INDIRECT($C$5&amp;"生成成长"),5))*(VLOOKUP($B$5,标准坦克设计!$B$24:$U$30,MATCH("对"&amp;LEFT($C$5,2)&amp;"输出",标准坦克设计!$B$23:$U$23,0)))*(VLOOKUP($B87,INDIRECT($B$5&amp;"生成成长"),3))*(VLOOKUP($B$5,标准坦克设计!$B$14:$K$20,9)/30))</f>
        <v>16.223067366466378</v>
      </c>
      <c r="X87" s="173">
        <f ca="1">(VLOOKUP(X$72,INDIRECT($C$5&amp;"生成成长"),2))/((VLOOKUP($B87,INDIRECT($B$5&amp;"生成成长"),4))/(VLOOKUP(X$72,INDIRECT($C$5&amp;"生成成长"),5))*(VLOOKUP($B$5,标准坦克设计!$B$24:$U$30,MATCH("对"&amp;LEFT($C$5,2)&amp;"输出",标准坦克设计!$B$23:$U$23,0)))*(VLOOKUP($B87,INDIRECT($B$5&amp;"生成成长"),3))*(VLOOKUP($B$5,标准坦克设计!$B$14:$K$20,9)/30))</f>
        <v>11.753256961289186</v>
      </c>
      <c r="Y87" s="173">
        <f ca="1">(VLOOKUP(Y$72,INDIRECT($C$5&amp;"生成成长"),2))/((VLOOKUP($B87,INDIRECT($B$5&amp;"生成成长"),4))/(VLOOKUP(Y$72,INDIRECT($C$5&amp;"生成成长"),5))*(VLOOKUP($B$5,标准坦克设计!$B$24:$U$30,MATCH("对"&amp;LEFT($C$5,2)&amp;"输出",标准坦克设计!$B$23:$U$23,0)))*(VLOOKUP($B87,INDIRECT($B$5&amp;"生成成长"),3))*(VLOOKUP($B$5,标准坦克设计!$B$14:$K$20,9)/30))</f>
        <v>13.072861791963357</v>
      </c>
      <c r="Z87" s="173">
        <f ca="1">(VLOOKUP(Z$72,INDIRECT($C$5&amp;"生成成长"),2))/((VLOOKUP($B87,INDIRECT($B$5&amp;"生成成长"),4))/(VLOOKUP(Z$72,INDIRECT($C$5&amp;"生成成长"),5))*(VLOOKUP($B$5,标准坦克设计!$B$24:$U$30,MATCH("对"&amp;LEFT($C$5,2)&amp;"输出",标准坦克设计!$B$23:$U$23,0)))*(VLOOKUP($B87,INDIRECT($B$5&amp;"生成成长"),3))*(VLOOKUP($B$5,标准坦克设计!$B$14:$K$20,9)/30))</f>
        <v>14.462658368949983</v>
      </c>
      <c r="AA87" s="173">
        <f ca="1">(VLOOKUP(AA$72,INDIRECT($C$5&amp;"生成成长"),2))/((VLOOKUP($B87,INDIRECT($B$5&amp;"生成成长"),4))/(VLOOKUP(AA$72,INDIRECT($C$5&amp;"生成成长"),5))*(VLOOKUP($B$5,标准坦克设计!$B$24:$U$30,MATCH("对"&amp;LEFT($C$5,2)&amp;"输出",标准坦克设计!$B$23:$U$23,0)))*(VLOOKUP($B87,INDIRECT($B$5&amp;"生成成长"),3))*(VLOOKUP($B$5,标准坦克设计!$B$14:$K$20,9)/30))</f>
        <v>15.922646692249067</v>
      </c>
      <c r="AB87" s="173">
        <f ca="1">(VLOOKUP(AB$72,INDIRECT($C$5&amp;"生成成长"),2))/((VLOOKUP($B87,INDIRECT($B$5&amp;"生成成长"),4))/(VLOOKUP(AB$72,INDIRECT($C$5&amp;"生成成长"),5))*(VLOOKUP($B$5,标准坦克设计!$B$24:$U$30,MATCH("对"&amp;LEFT($C$5,2)&amp;"输出",标准坦克设计!$B$23:$U$23,0)))*(VLOOKUP($B87,INDIRECT($B$5&amp;"生成成长"),3))*(VLOOKUP($B$5,标准坦克设计!$B$14:$K$20,9)/30))</f>
        <v>17.452826761860607</v>
      </c>
      <c r="AC87" s="173">
        <f ca="1">(VLOOKUP(AC$72,INDIRECT($C$5&amp;"生成成长"),2))/((VLOOKUP($B87,INDIRECT($B$5&amp;"生成成长"),4))/(VLOOKUP(AC$72,INDIRECT($C$5&amp;"生成成长"),5))*(VLOOKUP($B$5,标准坦克设计!$B$24:$U$30,MATCH("对"&amp;LEFT($C$5,2)&amp;"输出",标准坦克设计!$B$23:$U$23,0)))*(VLOOKUP($B87,INDIRECT($B$5&amp;"生成成长"),3))*(VLOOKUP($B$5,标准坦克设计!$B$14:$K$20,9)/30))</f>
        <v>19.053198577784602</v>
      </c>
      <c r="AD87" s="173">
        <f ca="1">(VLOOKUP(AD$72,INDIRECT($C$5&amp;"生成成长"),2))/((VLOOKUP($B87,INDIRECT($B$5&amp;"生成成长"),4))/(VLOOKUP(AD$72,INDIRECT($C$5&amp;"生成成长"),5))*(VLOOKUP($B$5,标准坦克设计!$B$24:$U$30,MATCH("对"&amp;LEFT($C$5,2)&amp;"输出",标准坦克设计!$B$23:$U$23,0)))*(VLOOKUP($B87,INDIRECT($B$5&amp;"生成成长"),3))*(VLOOKUP($B$5,标准坦克设计!$B$14:$K$20,9)/30))</f>
        <v>20.723762140021055</v>
      </c>
      <c r="AE87" s="173">
        <f ca="1">(VLOOKUP(AE$72,INDIRECT($C$5&amp;"生成成长"),2))/((VLOOKUP($B87,INDIRECT($B$5&amp;"生成成长"),4))/(VLOOKUP(AE$72,INDIRECT($C$5&amp;"生成成长"),5))*(VLOOKUP($B$5,标准坦克设计!$B$24:$U$30,MATCH("对"&amp;LEFT($C$5,2)&amp;"输出",标准坦克设计!$B$23:$U$23,0)))*(VLOOKUP($B87,INDIRECT($B$5&amp;"生成成长"),3))*(VLOOKUP($B$5,标准坦克设计!$B$14:$K$20,9)/30))</f>
        <v>22.464517448569961</v>
      </c>
      <c r="AF87" s="173">
        <f ca="1">(VLOOKUP(AF$72,INDIRECT($C$5&amp;"生成成长"),2))/((VLOOKUP($B87,INDIRECT($B$5&amp;"生成成长"),4))/(VLOOKUP(AF$72,INDIRECT($C$5&amp;"生成成长"),5))*(VLOOKUP($B$5,标准坦克设计!$B$24:$U$30,MATCH("对"&amp;LEFT($C$5,2)&amp;"输出",标准坦克设计!$B$23:$U$23,0)))*(VLOOKUP($B87,INDIRECT($B$5&amp;"生成成长"),3))*(VLOOKUP($B$5,标准坦克设计!$B$14:$K$20,9)/30))</f>
        <v>24.275464503431323</v>
      </c>
      <c r="AG87" s="173">
        <f ca="1">(VLOOKUP(AG$72,INDIRECT($C$5&amp;"生成成长"),2))/((VLOOKUP($B87,INDIRECT($B$5&amp;"生成成长"),4))/(VLOOKUP(AG$72,INDIRECT($C$5&amp;"生成成长"),5))*(VLOOKUP($B$5,标准坦克设计!$B$24:$U$30,MATCH("对"&amp;LEFT($C$5,2)&amp;"输出",标准坦克设计!$B$23:$U$23,0)))*(VLOOKUP($B87,INDIRECT($B$5&amp;"生成成长"),3))*(VLOOKUP($B$5,标准坦克设计!$B$14:$K$20,9)/30))</f>
        <v>26.156603304605145</v>
      </c>
      <c r="AH87" s="173">
        <f ca="1">(VLOOKUP(AH$72,INDIRECT($C$5&amp;"生成成长"),2))/((VLOOKUP($B87,INDIRECT($B$5&amp;"生成成长"),4))/(VLOOKUP(AH$72,INDIRECT($C$5&amp;"生成成长"),5))*(VLOOKUP($B$5,标准坦克设计!$B$24:$U$30,MATCH("对"&amp;LEFT($C$5,2)&amp;"输出",标准坦克设计!$B$23:$U$23,0)))*(VLOOKUP($B87,INDIRECT($B$5&amp;"生成成长"),3))*(VLOOKUP($B$5,标准坦克设计!$B$14:$K$20,9)/30))</f>
        <v>28.107933852091421</v>
      </c>
      <c r="AI87" s="173">
        <f ca="1">(VLOOKUP(AI$72,INDIRECT($C$5&amp;"生成成长"),2))/((VLOOKUP($B87,INDIRECT($B$5&amp;"生成成长"),4))/(VLOOKUP(AI$72,INDIRECT($C$5&amp;"生成成长"),5))*(VLOOKUP($B$5,标准坦克设计!$B$24:$U$30,MATCH("对"&amp;LEFT($C$5,2)&amp;"输出",标准坦克设计!$B$23:$U$23,0)))*(VLOOKUP($B87,INDIRECT($B$5&amp;"生成成长"),3))*(VLOOKUP($B$5,标准坦克设计!$B$14:$K$20,9)/30))</f>
        <v>19.879706390613773</v>
      </c>
      <c r="AJ87" s="173">
        <f ca="1">(VLOOKUP(AJ$72,INDIRECT($C$5&amp;"生成成长"),2))/((VLOOKUP($B87,INDIRECT($B$5&amp;"生成成长"),4))/(VLOOKUP(AJ$72,INDIRECT($C$5&amp;"生成成长"),5))*(VLOOKUP($B$5,标准坦克设计!$B$24:$U$30,MATCH("对"&amp;LEFT($C$5,2)&amp;"输出",标准坦克设计!$B$23:$U$23,0)))*(VLOOKUP($B87,INDIRECT($B$5&amp;"生成成长"),3))*(VLOOKUP($B$5,标准坦克设计!$B$14:$K$20,9)/30))</f>
        <v>21.759792315592904</v>
      </c>
      <c r="AK87" s="173">
        <f ca="1">(VLOOKUP(AK$72,INDIRECT($C$5&amp;"生成成长"),2))/((VLOOKUP($B87,INDIRECT($B$5&amp;"生成成长"),4))/(VLOOKUP(AK$72,INDIRECT($C$5&amp;"生成成长"),5))*(VLOOKUP($B$5,标准坦克设计!$B$24:$U$30,MATCH("对"&amp;LEFT($C$5,2)&amp;"输出",标准坦克设计!$B$23:$U$23,0)))*(VLOOKUP($B87,INDIRECT($B$5&amp;"生成成长"),3))*(VLOOKUP($B$5,标准坦克设计!$B$14:$K$20,9)/30))</f>
        <v>23.724810253610105</v>
      </c>
      <c r="AL87" s="173">
        <f ca="1">(VLOOKUP(AL$72,INDIRECT($C$5&amp;"生成成长"),2))/((VLOOKUP($B87,INDIRECT($B$5&amp;"生成成长"),4))/(VLOOKUP(AL$72,INDIRECT($C$5&amp;"生成成长"),5))*(VLOOKUP($B$5,标准坦克设计!$B$24:$U$30,MATCH("对"&amp;LEFT($C$5,2)&amp;"输出",标准坦克设计!$B$23:$U$23,0)))*(VLOOKUP($B87,INDIRECT($B$5&amp;"生成成长"),3))*(VLOOKUP($B$5,标准坦克设计!$B$14:$K$20,9)/30))</f>
        <v>25.774760204665387</v>
      </c>
      <c r="AM87" s="173">
        <f ca="1">(VLOOKUP(AM$72,INDIRECT($C$5&amp;"生成成长"),2))/((VLOOKUP($B87,INDIRECT($B$5&amp;"生成成长"),4))/(VLOOKUP(AM$72,INDIRECT($C$5&amp;"生成成长"),5))*(VLOOKUP($B$5,标准坦克设计!$B$24:$U$30,MATCH("对"&amp;LEFT($C$5,2)&amp;"输出",标准坦克设计!$B$23:$U$23,0)))*(VLOOKUP($B87,INDIRECT($B$5&amp;"生成成长"),3))*(VLOOKUP($B$5,标准坦克设计!$B$14:$K$20,9)/30))</f>
        <v>27.909642168758729</v>
      </c>
      <c r="AN87" s="173">
        <f ca="1">(VLOOKUP(AN$72,INDIRECT($C$5&amp;"生成成长"),2))/((VLOOKUP($B87,INDIRECT($B$5&amp;"生成成长"),4))/(VLOOKUP(AN$72,INDIRECT($C$5&amp;"生成成长"),5))*(VLOOKUP($B$5,标准坦克设计!$B$24:$U$30,MATCH("对"&amp;LEFT($C$5,2)&amp;"输出",标准坦克设计!$B$23:$U$23,0)))*(VLOOKUP($B87,INDIRECT($B$5&amp;"生成成长"),3))*(VLOOKUP($B$5,标准坦克设计!$B$14:$K$20,9)/30))</f>
        <v>30.129456145890149</v>
      </c>
      <c r="AO87" s="173">
        <f ca="1">(VLOOKUP(AO$72,INDIRECT($C$5&amp;"生成成长"),2))/((VLOOKUP($B87,INDIRECT($B$5&amp;"生成成长"),4))/(VLOOKUP(AO$72,INDIRECT($C$5&amp;"生成成长"),5))*(VLOOKUP($B$5,标准坦克设计!$B$24:$U$30,MATCH("对"&amp;LEFT($C$5,2)&amp;"输出",标准坦克设计!$B$23:$U$23,0)))*(VLOOKUP($B87,INDIRECT($B$5&amp;"生成成长"),3))*(VLOOKUP($B$5,标准坦克设计!$B$14:$K$20,9)/30))</f>
        <v>32.434202136059646</v>
      </c>
      <c r="AP87" s="173">
        <f ca="1">(VLOOKUP(AP$72,INDIRECT($C$5&amp;"生成成长"),2))/((VLOOKUP($B87,INDIRECT($B$5&amp;"生成成长"),4))/(VLOOKUP(AP$72,INDIRECT($C$5&amp;"生成成长"),5))*(VLOOKUP($B$5,标准坦克设计!$B$24:$U$30,MATCH("对"&amp;LEFT($C$5,2)&amp;"输出",标准坦克设计!$B$23:$U$23,0)))*(VLOOKUP($B87,INDIRECT($B$5&amp;"生成成长"),3))*(VLOOKUP($B$5,标准坦克设计!$B$14:$K$20,9)/30))</f>
        <v>34.823880139267203</v>
      </c>
      <c r="AQ87" s="173">
        <f ca="1">(VLOOKUP(AQ$72,INDIRECT($C$5&amp;"生成成长"),2))/((VLOOKUP($B87,INDIRECT($B$5&amp;"生成成长"),4))/(VLOOKUP(AQ$72,INDIRECT($C$5&amp;"生成成长"),5))*(VLOOKUP($B$5,标准坦克设计!$B$24:$U$30,MATCH("对"&amp;LEFT($C$5,2)&amp;"输出",标准坦克设计!$B$23:$U$23,0)))*(VLOOKUP($B87,INDIRECT($B$5&amp;"生成成长"),3))*(VLOOKUP($B$5,标准坦克设计!$B$14:$K$20,9)/30))</f>
        <v>37.298490155512837</v>
      </c>
      <c r="AR87" s="173">
        <f ca="1">(VLOOKUP(AR$72,INDIRECT($C$5&amp;"生成成长"),2))/((VLOOKUP($B87,INDIRECT($B$5&amp;"生成成长"),4))/(VLOOKUP(AR$72,INDIRECT($C$5&amp;"生成成长"),5))*(VLOOKUP($B$5,标准坦克设计!$B$24:$U$30,MATCH("对"&amp;LEFT($C$5,2)&amp;"输出",标准坦克设计!$B$23:$U$23,0)))*(VLOOKUP($B87,INDIRECT($B$5&amp;"生成成长"),3))*(VLOOKUP($B$5,标准坦克设计!$B$14:$K$20,9)/30))</f>
        <v>39.858032184796549</v>
      </c>
      <c r="AS87" s="173">
        <f ca="1">(VLOOKUP(AS$72,INDIRECT($C$5&amp;"生成成长"),2))/((VLOOKUP($B87,INDIRECT($B$5&amp;"生成成长"),4))/(VLOOKUP(AS$72,INDIRECT($C$5&amp;"生成成长"),5))*(VLOOKUP($B$5,标准坦克设计!$B$24:$U$30,MATCH("对"&amp;LEFT($C$5,2)&amp;"输出",标准坦克设计!$B$23:$U$23,0)))*(VLOOKUP($B87,INDIRECT($B$5&amp;"生成成长"),3))*(VLOOKUP($B$5,标准坦克设计!$B$14:$K$20,9)/30))</f>
        <v>42.502506227118317</v>
      </c>
      <c r="AT87" s="173">
        <f ca="1">(VLOOKUP(AT$72,INDIRECT($C$5&amp;"生成成长"),2))/((VLOOKUP($B87,INDIRECT($B$5&amp;"生成成长"),4))/(VLOOKUP(AT$72,INDIRECT($C$5&amp;"生成成长"),5))*(VLOOKUP($B$5,标准坦克设计!$B$24:$U$30,MATCH("对"&amp;LEFT($C$5,2)&amp;"输出",标准坦克设计!$B$23:$U$23,0)))*(VLOOKUP($B87,INDIRECT($B$5&amp;"生成成长"),3))*(VLOOKUP($B$5,标准坦克设计!$B$14:$K$20,9)/30))</f>
        <v>45.23191228247817</v>
      </c>
      <c r="AU87" s="173">
        <f ca="1">(VLOOKUP(AU$72,INDIRECT($C$5&amp;"生成成长"),2))/((VLOOKUP($B87,INDIRECT($B$5&amp;"生成成长"),4))/(VLOOKUP(AU$72,INDIRECT($C$5&amp;"生成成长"),5))*(VLOOKUP($B$5,标准坦克设计!$B$24:$U$30,MATCH("对"&amp;LEFT($C$5,2)&amp;"输出",标准坦克设计!$B$23:$U$23,0)))*(VLOOKUP($B87,INDIRECT($B$5&amp;"生成成长"),3))*(VLOOKUP($B$5,标准坦克设计!$B$14:$K$20,9)/30))</f>
        <v>48.046250350876093</v>
      </c>
      <c r="AV87" s="173">
        <f ca="1">(VLOOKUP(AV$72,INDIRECT($C$5&amp;"生成成长"),2))/((VLOOKUP($B87,INDIRECT($B$5&amp;"生成成长"),4))/(VLOOKUP(AV$72,INDIRECT($C$5&amp;"生成成长"),5))*(VLOOKUP($B$5,标准坦克设计!$B$24:$U$30,MATCH("对"&amp;LEFT($C$5,2)&amp;"输出",标准坦克设计!$B$23:$U$23,0)))*(VLOOKUP($B87,INDIRECT($B$5&amp;"生成成长"),3))*(VLOOKUP($B$5,标准坦克设计!$B$14:$K$20,9)/30))</f>
        <v>4.8867493782731826</v>
      </c>
      <c r="AW87" s="173">
        <f ca="1">(VLOOKUP(AW$72,INDIRECT($C$5&amp;"生成成长"),2))/((VLOOKUP($B87,INDIRECT($B$5&amp;"生成成长"),4))/(VLOOKUP(AW$72,INDIRECT($C$5&amp;"生成成长"),5))*(VLOOKUP($B$5,标准坦克设计!$B$24:$U$30,MATCH("对"&amp;LEFT($C$5,2)&amp;"输出",标准坦克设计!$B$23:$U$23,0)))*(VLOOKUP($B87,INDIRECT($B$5&amp;"生成成长"),3))*(VLOOKUP($B$5,标准坦克设计!$B$14:$K$20,9)/30))</f>
        <v>5.5718208222827528</v>
      </c>
      <c r="AX87" s="173">
        <f ca="1">(VLOOKUP(AX$72,INDIRECT($C$5&amp;"生成成长"),2))/((VLOOKUP($B87,INDIRECT($B$5&amp;"生成成长"),4))/(VLOOKUP(AX$72,INDIRECT($C$5&amp;"生成成长"),5))*(VLOOKUP($B$5,标准坦克设计!$B$24:$U$30,MATCH("对"&amp;LEFT($C$5,2)&amp;"输出",标准坦克设计!$B$23:$U$23,0)))*(VLOOKUP($B87,INDIRECT($B$5&amp;"生成成长"),3))*(VLOOKUP($B$5,标准坦克设计!$B$14:$K$20,9)/30))</f>
        <v>6.3018149839322941</v>
      </c>
      <c r="AY87" s="173">
        <f ca="1">(VLOOKUP(AY$72,INDIRECT($C$5&amp;"生成成长"),2))/((VLOOKUP($B87,INDIRECT($B$5&amp;"生成成长"),4))/(VLOOKUP(AY$72,INDIRECT($C$5&amp;"生成成长"),5))*(VLOOKUP($B$5,标准坦克设计!$B$24:$U$30,MATCH("对"&amp;LEFT($C$5,2)&amp;"输出",标准坦克设计!$B$23:$U$23,0)))*(VLOOKUP($B87,INDIRECT($B$5&amp;"生成成长"),3))*(VLOOKUP($B$5,标准坦克设计!$B$14:$K$20,9)/30))</f>
        <v>7.0767318632218075</v>
      </c>
      <c r="AZ87" s="173">
        <f ca="1">(VLOOKUP(AZ$72,INDIRECT($C$5&amp;"生成成长"),2))/((VLOOKUP($B87,INDIRECT($B$5&amp;"生成成长"),4))/(VLOOKUP(AZ$72,INDIRECT($C$5&amp;"生成成长"),5))*(VLOOKUP($B$5,标准坦克设计!$B$24:$U$30,MATCH("对"&amp;LEFT($C$5,2)&amp;"输出",标准坦克设计!$B$23:$U$23,0)))*(VLOOKUP($B87,INDIRECT($B$5&amp;"生成成长"),3))*(VLOOKUP($B$5,标准坦克设计!$B$14:$K$20,9)/30))</f>
        <v>7.8965714601512929</v>
      </c>
      <c r="BA87" s="173">
        <f ca="1">(VLOOKUP(BA$72,INDIRECT($C$5&amp;"生成成长"),2))/((VLOOKUP($B87,INDIRECT($B$5&amp;"生成成长"),4))/(VLOOKUP(BA$72,INDIRECT($C$5&amp;"生成成长"),5))*(VLOOKUP($B$5,标准坦克设计!$B$24:$U$30,MATCH("对"&amp;LEFT($C$5,2)&amp;"输出",标准坦克设计!$B$23:$U$23,0)))*(VLOOKUP($B87,INDIRECT($B$5&amp;"生成成长"),3))*(VLOOKUP($B$5,标准坦克设计!$B$14:$K$20,9)/30))</f>
        <v>8.7613337747207503</v>
      </c>
      <c r="BB87" s="173">
        <f ca="1">(VLOOKUP(BB$72,INDIRECT($C$5&amp;"生成成长"),2))/((VLOOKUP($B87,INDIRECT($B$5&amp;"生成成长"),4))/(VLOOKUP(BB$72,INDIRECT($C$5&amp;"生成成长"),5))*(VLOOKUP($B$5,标准坦克设计!$B$24:$U$30,MATCH("对"&amp;LEFT($C$5,2)&amp;"输出",标准坦克设计!$B$23:$U$23,0)))*(VLOOKUP($B87,INDIRECT($B$5&amp;"生成成长"),3))*(VLOOKUP($B$5,标准坦克设计!$B$14:$K$20,9)/30))</f>
        <v>9.6710188069301797</v>
      </c>
      <c r="BC87" s="173">
        <f ca="1">(VLOOKUP(BC$72,INDIRECT($C$5&amp;"生成成长"),2))/((VLOOKUP($B87,INDIRECT($B$5&amp;"生成成长"),4))/(VLOOKUP(BC$72,INDIRECT($C$5&amp;"生成成长"),5))*(VLOOKUP($B$5,标准坦克设计!$B$24:$U$30,MATCH("对"&amp;LEFT($C$5,2)&amp;"输出",标准坦克设计!$B$23:$U$23,0)))*(VLOOKUP($B87,INDIRECT($B$5&amp;"生成成长"),3))*(VLOOKUP($B$5,标准坦克设计!$B$14:$K$20,9)/30))</f>
        <v>10.625626556779579</v>
      </c>
      <c r="BD87" s="173">
        <f ca="1">(VLOOKUP(BD$72,INDIRECT($C$5&amp;"生成成长"),2))/((VLOOKUP($B87,INDIRECT($B$5&amp;"生成成长"),4))/(VLOOKUP(BD$72,INDIRECT($C$5&amp;"生成成长"),5))*(VLOOKUP($B$5,标准坦克设计!$B$24:$U$30,MATCH("对"&amp;LEFT($C$5,2)&amp;"输出",标准坦克设计!$B$23:$U$23,0)))*(VLOOKUP($B87,INDIRECT($B$5&amp;"生成成长"),3))*(VLOOKUP($B$5,标准坦克设计!$B$14:$K$20,9)/30))</f>
        <v>11.753256961289186</v>
      </c>
      <c r="BE87" s="173">
        <f ca="1">(VLOOKUP(BE$72,INDIRECT($C$5&amp;"生成成长"),2))/((VLOOKUP($B87,INDIRECT($B$5&amp;"生成成长"),4))/(VLOOKUP(BE$72,INDIRECT($C$5&amp;"生成成长"),5))*(VLOOKUP($B$5,标准坦克设计!$B$24:$U$30,MATCH("对"&amp;LEFT($C$5,2)&amp;"输出",标准坦克设计!$B$23:$U$23,0)))*(VLOOKUP($B87,INDIRECT($B$5&amp;"生成成长"),3))*(VLOOKUP($B$5,标准坦克设计!$B$14:$K$20,9)/30))</f>
        <v>12.93774268031188</v>
      </c>
      <c r="BF87" s="173">
        <f ca="1">(VLOOKUP(BF$72,INDIRECT($C$5&amp;"生成成长"),2))/((VLOOKUP($B87,INDIRECT($B$5&amp;"生成成长"),4))/(VLOOKUP(BF$72,INDIRECT($C$5&amp;"生成成长"),5))*(VLOOKUP($B$5,标准坦克设计!$B$24:$U$30,MATCH("对"&amp;LEFT($C$5,2)&amp;"输出",标准坦克设计!$B$23:$U$23,0)))*(VLOOKUP($B87,INDIRECT($B$5&amp;"生成成长"),3))*(VLOOKUP($B$5,标准坦克设计!$B$14:$K$20,9)/30))</f>
        <v>14.17908371384766</v>
      </c>
      <c r="BG87" s="173">
        <f ca="1">(VLOOKUP(BG$72,INDIRECT($C$5&amp;"生成成长"),2))/((VLOOKUP($B87,INDIRECT($B$5&amp;"生成成长"),4))/(VLOOKUP(BG$72,INDIRECT($C$5&amp;"生成成长"),5))*(VLOOKUP($B$5,标准坦克设计!$B$24:$U$30,MATCH("对"&amp;LEFT($C$5,2)&amp;"输出",标准坦克设计!$B$23:$U$23,0)))*(VLOOKUP($B87,INDIRECT($B$5&amp;"生成成长"),3))*(VLOOKUP($B$5,标准坦克设计!$B$14:$K$20,9)/30))</f>
        <v>15.477280061896533</v>
      </c>
      <c r="BH87" s="173">
        <f ca="1">(VLOOKUP(BH$72,INDIRECT($C$5&amp;"生成成长"),2))/((VLOOKUP($B87,INDIRECT($B$5&amp;"生成成长"),4))/(VLOOKUP(BH$72,INDIRECT($C$5&amp;"生成成长"),5))*(VLOOKUP($B$5,标准坦克设计!$B$24:$U$30,MATCH("对"&amp;LEFT($C$5,2)&amp;"输出",标准坦克设计!$B$23:$U$23,0)))*(VLOOKUP($B87,INDIRECT($B$5&amp;"生成成长"),3))*(VLOOKUP($B$5,标准坦克设计!$B$14:$K$20,9)/30))</f>
        <v>7.4810363219815539</v>
      </c>
      <c r="BI87" s="173">
        <f ca="1">(VLOOKUP(BI$72,INDIRECT($C$5&amp;"生成成长"),2))/((VLOOKUP($B87,INDIRECT($B$5&amp;"生成成长"),4))/(VLOOKUP(BI$72,INDIRECT($C$5&amp;"生成成长"),5))*(VLOOKUP($B$5,标准坦克设计!$B$24:$U$30,MATCH("对"&amp;LEFT($C$5,2)&amp;"输出",标准坦克设计!$B$23:$U$23,0)))*(VLOOKUP($B87,INDIRECT($B$5&amp;"生成成长"),3))*(VLOOKUP($B$5,标准坦克设计!$B$14:$K$20,9)/30))</f>
        <v>8.4317835257837697</v>
      </c>
      <c r="BJ87" s="173">
        <f ca="1">(VLOOKUP(BJ$72,INDIRECT($C$5&amp;"生成成长"),2))/((VLOOKUP($B87,INDIRECT($B$5&amp;"生成成长"),4))/(VLOOKUP(BJ$72,INDIRECT($C$5&amp;"生成成长"),5))*(VLOOKUP($B$5,标准坦克设计!$B$24:$U$30,MATCH("对"&amp;LEFT($C$5,2)&amp;"输出",标准坦克设计!$B$23:$U$23,0)))*(VLOOKUP($B87,INDIRECT($B$5&amp;"生成成长"),3))*(VLOOKUP($B$5,标准坦克设计!$B$14:$K$20,9)/30))</f>
        <v>9.4393860440990736</v>
      </c>
      <c r="BK87" s="173">
        <f ca="1">(VLOOKUP(BK$72,INDIRECT($C$5&amp;"生成成长"),2))/((VLOOKUP($B87,INDIRECT($B$5&amp;"生成成长"),4))/(VLOOKUP(BK$72,INDIRECT($C$5&amp;"生成成长"),5))*(VLOOKUP($B$5,标准坦克设计!$B$24:$U$30,MATCH("对"&amp;LEFT($C$5,2)&amp;"输出",标准坦克设计!$B$23:$U$23,0)))*(VLOOKUP($B87,INDIRECT($B$5&amp;"生成成长"),3))*(VLOOKUP($B$5,标准坦克设计!$B$14:$K$20,9)/30))</f>
        <v>10.503843876927471</v>
      </c>
      <c r="BL87" s="173">
        <f ca="1">(VLOOKUP(BL$72,INDIRECT($C$5&amp;"生成成长"),2))/((VLOOKUP($B87,INDIRECT($B$5&amp;"生成成长"),4))/(VLOOKUP(BL$72,INDIRECT($C$5&amp;"生成成长"),5))*(VLOOKUP($B$5,标准坦克设计!$B$24:$U$30,MATCH("对"&amp;LEFT($C$5,2)&amp;"输出",标准坦克设计!$B$23:$U$23,0)))*(VLOOKUP($B87,INDIRECT($B$5&amp;"生成成长"),3))*(VLOOKUP($B$5,标准坦克设计!$B$14:$K$20,9)/30))</f>
        <v>11.625157024268955</v>
      </c>
      <c r="BM87" s="173">
        <f ca="1">(VLOOKUP(BM$72,INDIRECT($C$5&amp;"生成成长"),2))/((VLOOKUP($B87,INDIRECT($B$5&amp;"生成成长"),4))/(VLOOKUP(BM$72,INDIRECT($C$5&amp;"生成成长"),5))*(VLOOKUP($B$5,标准坦克设计!$B$24:$U$30,MATCH("对"&amp;LEFT($C$5,2)&amp;"输出",标准坦克设计!$B$23:$U$23,0)))*(VLOOKUP($B87,INDIRECT($B$5&amp;"生成成长"),3))*(VLOOKUP($B$5,标准坦克设计!$B$14:$K$20,9)/30))</f>
        <v>12.803325486123526</v>
      </c>
      <c r="BN87" s="173">
        <f ca="1">(VLOOKUP(BN$72,INDIRECT($C$5&amp;"生成成长"),2))/((VLOOKUP($B87,INDIRECT($B$5&amp;"生成成长"),4))/(VLOOKUP(BN$72,INDIRECT($C$5&amp;"生成成长"),5))*(VLOOKUP($B$5,标准坦克设计!$B$24:$U$30,MATCH("对"&amp;LEFT($C$5,2)&amp;"输出",标准坦克设计!$B$23:$U$23,0)))*(VLOOKUP($B87,INDIRECT($B$5&amp;"生成成长"),3))*(VLOOKUP($B$5,标准坦克设计!$B$14:$K$20,9)/30))</f>
        <v>14.038349262491185</v>
      </c>
      <c r="BO87" s="173">
        <f ca="1">(VLOOKUP(BO$72,INDIRECT($C$5&amp;"生成成长"),2))/((VLOOKUP($B87,INDIRECT($B$5&amp;"生成成长"),4))/(VLOOKUP(BO$72,INDIRECT($C$5&amp;"生成成长"),5))*(VLOOKUP($B$5,标准坦克设计!$B$24:$U$30,MATCH("对"&amp;LEFT($C$5,2)&amp;"输出",标准坦克设计!$B$23:$U$23,0)))*(VLOOKUP($B87,INDIRECT($B$5&amp;"生成成长"),3))*(VLOOKUP($B$5,标准坦克设计!$B$14:$K$20,9)/30))</f>
        <v>15.330228353371938</v>
      </c>
      <c r="BP87" s="173">
        <f ca="1">(VLOOKUP(BP$72,INDIRECT($C$5&amp;"生成成长"),2))/((VLOOKUP($B87,INDIRECT($B$5&amp;"生成成长"),4))/(VLOOKUP(BP$72,INDIRECT($C$5&amp;"生成成长"),5))*(VLOOKUP($B$5,标准坦克设计!$B$24:$U$30,MATCH("对"&amp;LEFT($C$5,2)&amp;"输出",标准坦克设计!$B$23:$U$23,0)))*(VLOOKUP($B87,INDIRECT($B$5&amp;"生成成长"),3))*(VLOOKUP($B$5,标准坦克设计!$B$14:$K$20,9)/30))</f>
        <v>16.678962758765781</v>
      </c>
      <c r="BQ87" s="173">
        <f ca="1">(VLOOKUP(BQ$72,INDIRECT($C$5&amp;"生成成长"),2))/((VLOOKUP($B87,INDIRECT($B$5&amp;"生成成长"),4))/(VLOOKUP(BQ$72,INDIRECT($C$5&amp;"生成成长"),5))*(VLOOKUP($B$5,标准坦克设计!$B$24:$U$30,MATCH("对"&amp;LEFT($C$5,2)&amp;"输出",标准坦克设计!$B$23:$U$23,0)))*(VLOOKUP($B87,INDIRECT($B$5&amp;"生成成长"),3))*(VLOOKUP($B$5,标准坦克设计!$B$14:$K$20,9)/30))</f>
        <v>18.084552478672713</v>
      </c>
      <c r="BR87" s="173">
        <f ca="1">(VLOOKUP(BR$72,INDIRECT($C$5&amp;"生成成长"),2))/((VLOOKUP($B87,INDIRECT($B$5&amp;"生成成长"),4))/(VLOOKUP(BR$72,INDIRECT($C$5&amp;"生成成长"),5))*(VLOOKUP($B$5,标准坦克设计!$B$24:$U$30,MATCH("对"&amp;LEFT($C$5,2)&amp;"输出",标准坦克设计!$B$23:$U$23,0)))*(VLOOKUP($B87,INDIRECT($B$5&amp;"生成成长"),3))*(VLOOKUP($B$5,标准坦克设计!$B$14:$K$20,9)/30))</f>
        <v>19.713000993121685</v>
      </c>
      <c r="BS87" s="173">
        <f ca="1">(VLOOKUP(BS$72,INDIRECT($C$5&amp;"生成成长"),2))/((VLOOKUP($B87,INDIRECT($B$5&amp;"生成成长"),4))/(VLOOKUP(BS$72,INDIRECT($C$5&amp;"生成成长"),5))*(VLOOKUP($B$5,标准坦克设计!$B$24:$U$30,MATCH("对"&amp;LEFT($C$5,2)&amp;"输出",标准坦克设计!$B$23:$U$23,0)))*(VLOOKUP($B87,INDIRECT($B$5&amp;"生成成长"),3))*(VLOOKUP($B$5,标准坦克设计!$B$14:$K$20,9)/30))</f>
        <v>21.411641253883122</v>
      </c>
      <c r="BT87" s="173">
        <f ca="1">(VLOOKUP(BT$72,INDIRECT($C$5&amp;"生成成长"),2))/((VLOOKUP($B87,INDIRECT($B$5&amp;"生成成长"),4))/(VLOOKUP(BT$72,INDIRECT($C$5&amp;"生成成长"),5))*(VLOOKUP($B$5,标准坦克设计!$B$24:$U$30,MATCH("对"&amp;LEFT($C$5,2)&amp;"输出",标准坦克设计!$B$23:$U$23,0)))*(VLOOKUP($B87,INDIRECT($B$5&amp;"生成成长"),3))*(VLOOKUP($B$5,标准坦克设计!$B$14:$K$20,9)/30))</f>
        <v>23.180473260957012</v>
      </c>
      <c r="BU87" s="173">
        <f ca="1">(VLOOKUP(BU$72,INDIRECT($C$5&amp;"生成成长"),2))/((VLOOKUP($B87,INDIRECT($B$5&amp;"生成成长"),4))/(VLOOKUP(BU$72,INDIRECT($C$5&amp;"生成成长"),5))*(VLOOKUP($B$5,标准坦克设计!$B$24:$U$30,MATCH("对"&amp;LEFT($C$5,2)&amp;"输出",标准坦克设计!$B$23:$U$23,0)))*(VLOOKUP($B87,INDIRECT($B$5&amp;"生成成长"),3))*(VLOOKUP($B$5,标准坦克设计!$B$14:$K$20,9)/30))</f>
        <v>25.019497014343358</v>
      </c>
      <c r="BV87" s="173">
        <f ca="1">(VLOOKUP(BV$72,INDIRECT($C$5&amp;"生成成长"),2))/((VLOOKUP($B87,INDIRECT($B$5&amp;"生成成长"),4))/(VLOOKUP(BV$72,INDIRECT($C$5&amp;"生成成长"),5))*(VLOOKUP($B$5,标准坦克设计!$B$24:$U$30,MATCH("对"&amp;LEFT($C$5,2)&amp;"输出",标准坦克设计!$B$23:$U$23,0)))*(VLOOKUP($B87,INDIRECT($B$5&amp;"生成成长"),3))*(VLOOKUP($B$5,标准坦克设计!$B$14:$K$20,9)/30))</f>
        <v>26.928712514042157</v>
      </c>
      <c r="BW87" s="173">
        <f ca="1">(VLOOKUP(BW$72,INDIRECT($C$5&amp;"生成成长"),2))/((VLOOKUP($B87,INDIRECT($B$5&amp;"生成成长"),4))/(VLOOKUP(BW$72,INDIRECT($C$5&amp;"生成成长"),5))*(VLOOKUP($B$5,标准坦克设计!$B$24:$U$30,MATCH("对"&amp;LEFT($C$5,2)&amp;"输出",标准坦克设计!$B$23:$U$23,0)))*(VLOOKUP($B87,INDIRECT($B$5&amp;"生成成长"),3))*(VLOOKUP($B$5,标准坦克设计!$B$14:$K$20,9)/30))</f>
        <v>12.272675884001359</v>
      </c>
      <c r="BX87" s="173">
        <f ca="1">(VLOOKUP(BX$72,INDIRECT($C$5&amp;"生成成长"),2))/((VLOOKUP($B87,INDIRECT($B$5&amp;"生成成长"),4))/(VLOOKUP(BX$72,INDIRECT($C$5&amp;"生成成长"),5))*(VLOOKUP($B$5,标准坦克设计!$B$24:$U$30,MATCH("对"&amp;LEFT($C$5,2)&amp;"输出",标准坦克设计!$B$23:$U$23,0)))*(VLOOKUP($B87,INDIRECT($B$5&amp;"生成成长"),3))*(VLOOKUP($B$5,标准坦克设计!$B$14:$K$20,9)/30))</f>
        <v>13.620357413200512</v>
      </c>
      <c r="BY87" s="173">
        <f ca="1">(VLOOKUP(BY$72,INDIRECT($C$5&amp;"生成成长"),2))/((VLOOKUP($B87,INDIRECT($B$5&amp;"生成成长"),4))/(VLOOKUP(BY$72,INDIRECT($C$5&amp;"生成成长"),5))*(VLOOKUP($B$5,标准坦克设计!$B$24:$U$30,MATCH("对"&amp;LEFT($C$5,2)&amp;"输出",标准坦克设计!$B$23:$U$23,0)))*(VLOOKUP($B87,INDIRECT($B$5&amp;"生成成长"),3))*(VLOOKUP($B$5,标准坦克设计!$B$14:$K$20,9)/30))</f>
        <v>15.038230688712124</v>
      </c>
      <c r="BZ87" s="173">
        <f ca="1">(VLOOKUP(BZ$72,INDIRECT($C$5&amp;"生成成长"),2))/((VLOOKUP($B87,INDIRECT($B$5&amp;"生成成长"),4))/(VLOOKUP(BZ$72,INDIRECT($C$5&amp;"生成成长"),5))*(VLOOKUP($B$5,标准坦克设计!$B$24:$U$30,MATCH("对"&amp;LEFT($C$5,2)&amp;"输出",标准坦克设计!$B$23:$U$23,0)))*(VLOOKUP($B87,INDIRECT($B$5&amp;"生成成长"),3))*(VLOOKUP($B$5,标准坦克设计!$B$14:$K$20,9)/30))</f>
        <v>16.526295710536189</v>
      </c>
      <c r="CA87" s="173">
        <f ca="1">(VLOOKUP(CA$72,INDIRECT($C$5&amp;"生成成长"),2))/((VLOOKUP($B87,INDIRECT($B$5&amp;"生成成长"),4))/(VLOOKUP(CA$72,INDIRECT($C$5&amp;"生成成长"),5))*(VLOOKUP($B$5,标准坦克设计!$B$24:$U$30,MATCH("对"&amp;LEFT($C$5,2)&amp;"输出",标准坦克设计!$B$23:$U$23,0)))*(VLOOKUP($B87,INDIRECT($B$5&amp;"生成成长"),3))*(VLOOKUP($B$5,标准坦克设计!$B$14:$K$20,9)/30))</f>
        <v>18.084552478672713</v>
      </c>
      <c r="CB87" s="173">
        <f ca="1">(VLOOKUP(CB$72,INDIRECT($C$5&amp;"生成成长"),2))/((VLOOKUP($B87,INDIRECT($B$5&amp;"生成成长"),4))/(VLOOKUP(CB$72,INDIRECT($C$5&amp;"生成成长"),5))*(VLOOKUP($B$5,标准坦克设计!$B$24:$U$30,MATCH("对"&amp;LEFT($C$5,2)&amp;"输出",标准坦克设计!$B$23:$U$23,0)))*(VLOOKUP($B87,INDIRECT($B$5&amp;"生成成长"),3))*(VLOOKUP($B$5,标准坦克设计!$B$14:$K$20,9)/30))</f>
        <v>19.713000993121685</v>
      </c>
      <c r="CC87" s="173">
        <f ca="1">(VLOOKUP(CC$72,INDIRECT($C$5&amp;"生成成长"),2))/((VLOOKUP($B87,INDIRECT($B$5&amp;"生成成长"),4))/(VLOOKUP(CC$72,INDIRECT($C$5&amp;"生成成长"),5))*(VLOOKUP($B$5,标准坦克设计!$B$24:$U$30,MATCH("对"&amp;LEFT($C$5,2)&amp;"输出",标准坦克设计!$B$23:$U$23,0)))*(VLOOKUP($B87,INDIRECT($B$5&amp;"生成成长"),3))*(VLOOKUP($B$5,标准坦克设计!$B$14:$K$20,9)/30))</f>
        <v>21.411641253883122</v>
      </c>
      <c r="CD87" s="173">
        <f ca="1">(VLOOKUP(CD$72,INDIRECT($C$5&amp;"生成成长"),2))/((VLOOKUP($B87,INDIRECT($B$5&amp;"生成成长"),4))/(VLOOKUP(CD$72,INDIRECT($C$5&amp;"生成成长"),5))*(VLOOKUP($B$5,标准坦克设计!$B$24:$U$30,MATCH("对"&amp;LEFT($C$5,2)&amp;"输出",标准坦克设计!$B$23:$U$23,0)))*(VLOOKUP($B87,INDIRECT($B$5&amp;"生成成长"),3))*(VLOOKUP($B$5,标准坦克设计!$B$14:$K$20,9)/30))</f>
        <v>23.180473260957012</v>
      </c>
      <c r="CE87" s="173">
        <f ca="1">(VLOOKUP(CE$72,INDIRECT($C$5&amp;"生成成长"),2))/((VLOOKUP($B87,INDIRECT($B$5&amp;"生成成长"),4))/(VLOOKUP(CE$72,INDIRECT($C$5&amp;"生成成长"),5))*(VLOOKUP($B$5,标准坦克设计!$B$24:$U$30,MATCH("对"&amp;LEFT($C$5,2)&amp;"输出",标准坦克设计!$B$23:$U$23,0)))*(VLOOKUP($B87,INDIRECT($B$5&amp;"生成成长"),3))*(VLOOKUP($B$5,标准坦克设计!$B$14:$K$20,9)/30))</f>
        <v>25.019497014343358</v>
      </c>
      <c r="CF87" s="173">
        <f ca="1">(VLOOKUP(CF$72,INDIRECT($C$5&amp;"生成成长"),2))/((VLOOKUP($B87,INDIRECT($B$5&amp;"生成成长"),4))/(VLOOKUP(CF$72,INDIRECT($C$5&amp;"生成成长"),5))*(VLOOKUP($B$5,标准坦克设计!$B$24:$U$30,MATCH("对"&amp;LEFT($C$5,2)&amp;"输出",标准坦克设计!$B$23:$U$23,0)))*(VLOOKUP($B87,INDIRECT($B$5&amp;"生成成长"),3))*(VLOOKUP($B$5,标准坦克设计!$B$14:$K$20,9)/30))</f>
        <v>26.928712514042157</v>
      </c>
      <c r="CG87" s="173">
        <f ca="1">(VLOOKUP(CG$72,INDIRECT($C$5&amp;"生成成长"),2))/((VLOOKUP($B87,INDIRECT($B$5&amp;"生成成长"),4))/(VLOOKUP(CG$72,INDIRECT($C$5&amp;"生成成长"),5))*(VLOOKUP($B$5,标准坦克设计!$B$24:$U$30,MATCH("对"&amp;LEFT($C$5,2)&amp;"输出",标准坦克设计!$B$23:$U$23,0)))*(VLOOKUP($B87,INDIRECT($B$5&amp;"生成成长"),3))*(VLOOKUP($B$5,标准坦克设计!$B$14:$K$20,9)/30))</f>
        <v>28.908119760053413</v>
      </c>
      <c r="CH87" s="173">
        <f ca="1">(VLOOKUP(CH$72,INDIRECT($C$5&amp;"生成成长"),2))/((VLOOKUP($B87,INDIRECT($B$5&amp;"生成成长"),4))/(VLOOKUP(CH$72,INDIRECT($C$5&amp;"生成成长"),5))*(VLOOKUP($B$5,标准坦克设计!$B$24:$U$30,MATCH("对"&amp;LEFT($C$5,2)&amp;"输出",标准坦克设计!$B$23:$U$23,0)))*(VLOOKUP($B87,INDIRECT($B$5&amp;"生成成长"),3))*(VLOOKUP($B$5,标准坦克设计!$B$14:$K$20,9)/30))</f>
        <v>30.957718752377133</v>
      </c>
      <c r="CI87" s="173">
        <f ca="1">(VLOOKUP(CI$72,INDIRECT($C$5&amp;"生成成长"),2))/((VLOOKUP($B87,INDIRECT($B$5&amp;"生成成长"),4))/(VLOOKUP(CI$72,INDIRECT($C$5&amp;"生成成长"),5))*(VLOOKUP($B$5,标准坦克设计!$B$24:$U$30,MATCH("对"&amp;LEFT($C$5,2)&amp;"输出",标准坦克设计!$B$23:$U$23,0)))*(VLOOKUP($B87,INDIRECT($B$5&amp;"生成成长"),3))*(VLOOKUP($B$5,标准坦克设计!$B$14:$K$20,9)/30))</f>
        <v>33.293349110924098</v>
      </c>
      <c r="CJ87" s="173">
        <f ca="1">(VLOOKUP(CJ$72,INDIRECT($C$5&amp;"生成成长"),2))/((VLOOKUP($B87,INDIRECT($B$5&amp;"生成成长"),4))/(VLOOKUP(CJ$72,INDIRECT($C$5&amp;"生成成长"),5))*(VLOOKUP($B$5,标准坦克设计!$B$24:$U$30,MATCH("对"&amp;LEFT($C$5,2)&amp;"输出",标准坦克设计!$B$23:$U$23,0)))*(VLOOKUP($B87,INDIRECT($B$5&amp;"生成成长"),3))*(VLOOKUP($B$5,标准坦克设计!$B$14:$K$20,9)/30))</f>
        <v>35.713911482509147</v>
      </c>
      <c r="CK87" s="173">
        <f ca="1">(VLOOKUP(CK$72,INDIRECT($C$5&amp;"生成成长"),2))/((VLOOKUP($B87,INDIRECT($B$5&amp;"生成成长"),4))/(VLOOKUP(CK$72,INDIRECT($C$5&amp;"生成成长"),5))*(VLOOKUP($B$5,标准坦克设计!$B$24:$U$30,MATCH("对"&amp;LEFT($C$5,2)&amp;"输出",标准坦克设计!$B$23:$U$23,0)))*(VLOOKUP($B87,INDIRECT($B$5&amp;"生成成长"),3))*(VLOOKUP($B$5,标准坦克设计!$B$14:$K$20,9)/30))</f>
        <v>38.219405867132259</v>
      </c>
      <c r="CL87" s="173">
        <f ca="1">(VLOOKUP(CL$72,INDIRECT($C$5&amp;"生成成长"),2))/((VLOOKUP($B87,INDIRECT($B$5&amp;"生成成长"),4))/(VLOOKUP(CL$72,INDIRECT($C$5&amp;"生成成长"),5))*(VLOOKUP($B$5,标准坦克设计!$B$24:$U$30,MATCH("对"&amp;LEFT($C$5,2)&amp;"输出",标准坦克设计!$B$23:$U$23,0)))*(VLOOKUP($B87,INDIRECT($B$5&amp;"生成成长"),3))*(VLOOKUP($B$5,标准坦克设计!$B$14:$K$20,9)/30))</f>
        <v>40.809832264793442</v>
      </c>
      <c r="CM87" s="173">
        <f ca="1">(VLOOKUP(CM$72,INDIRECT($C$5&amp;"生成成长"),2))/((VLOOKUP($B87,INDIRECT($B$5&amp;"生成成长"),4))/(VLOOKUP(CM$72,INDIRECT($C$5&amp;"生成成长"),5))*(VLOOKUP($B$5,标准坦克设计!$B$24:$U$30,MATCH("对"&amp;LEFT($C$5,2)&amp;"输出",标准坦克设计!$B$23:$U$23,0)))*(VLOOKUP($B87,INDIRECT($B$5&amp;"生成成长"),3))*(VLOOKUP($B$5,标准坦克设计!$B$14:$K$20,9)/30))</f>
        <v>43.485190675492703</v>
      </c>
      <c r="CN87" s="173">
        <f ca="1">(VLOOKUP(CN$72,INDIRECT($C$5&amp;"生成成长"),2))/((VLOOKUP($B87,INDIRECT($B$5&amp;"生成成长"),4))/(VLOOKUP(CN$72,INDIRECT($C$5&amp;"生成成长"),5))*(VLOOKUP($B$5,标准坦克设计!$B$24:$U$30,MATCH("对"&amp;LEFT($C$5,2)&amp;"输出",标准坦克设计!$B$23:$U$23,0)))*(VLOOKUP($B87,INDIRECT($B$5&amp;"生成成长"),3))*(VLOOKUP($B$5,标准坦克设计!$B$14:$K$20,9)/30))</f>
        <v>46.245481099230041</v>
      </c>
      <c r="CO87" s="173">
        <f ca="1">(VLOOKUP(CO$72,INDIRECT($C$5&amp;"生成成长"),2))/((VLOOKUP($B87,INDIRECT($B$5&amp;"生成成长"),4))/(VLOOKUP(CO$72,INDIRECT($C$5&amp;"生成成长"),5))*(VLOOKUP($B$5,标准坦克设计!$B$24:$U$30,MATCH("对"&amp;LEFT($C$5,2)&amp;"输出",标准坦克设计!$B$23:$U$23,0)))*(VLOOKUP($B87,INDIRECT($B$5&amp;"生成成长"),3))*(VLOOKUP($B$5,标准坦克设计!$B$14:$K$20,9)/30))</f>
        <v>20.723762140021055</v>
      </c>
      <c r="CP87" s="173">
        <f ca="1">(VLOOKUP(CP$72,INDIRECT($C$5&amp;"生成成长"),2))/((VLOOKUP($B87,INDIRECT($B$5&amp;"生成成长"),4))/(VLOOKUP(CP$72,INDIRECT($C$5&amp;"生成成长"),5))*(VLOOKUP($B$5,标准坦克设计!$B$24:$U$30,MATCH("对"&amp;LEFT($C$5,2)&amp;"输出",标准坦克设计!$B$23:$U$23,0)))*(VLOOKUP($B87,INDIRECT($B$5&amp;"生成成长"),3))*(VLOOKUP($B$5,标准坦克设计!$B$14:$K$20,9)/30))</f>
        <v>22.642453525472035</v>
      </c>
      <c r="CQ87" s="173">
        <f ca="1">(VLOOKUP(CQ$72,INDIRECT($C$5&amp;"生成成长"),2))/((VLOOKUP($B87,INDIRECT($B$5&amp;"生成成长"),4))/(VLOOKUP(CQ$72,INDIRECT($C$5&amp;"生成成长"),5))*(VLOOKUP($B$5,标准坦克设计!$B$24:$U$30,MATCH("对"&amp;LEFT($C$5,2)&amp;"输出",标准坦克设计!$B$23:$U$23,0)))*(VLOOKUP($B87,INDIRECT($B$5&amp;"生成成长"),3))*(VLOOKUP($B$5,标准坦克设计!$B$14:$K$20,9)/30))</f>
        <v>24.646076923961093</v>
      </c>
      <c r="CR87" s="173">
        <f ca="1">(VLOOKUP(CR$72,INDIRECT($C$5&amp;"生成成长"),2))/((VLOOKUP($B87,INDIRECT($B$5&amp;"生成成长"),4))/(VLOOKUP(CR$72,INDIRECT($C$5&amp;"生成成长"),5))*(VLOOKUP($B$5,标准坦克设计!$B$24:$U$30,MATCH("对"&amp;LEFT($C$5,2)&amp;"输出",标准坦克设计!$B$23:$U$23,0)))*(VLOOKUP($B87,INDIRECT($B$5&amp;"生成成长"),3))*(VLOOKUP($B$5,标准坦克设计!$B$14:$K$20,9)/30))</f>
        <v>26.734632335488214</v>
      </c>
      <c r="CS87" s="173">
        <f ca="1">(VLOOKUP(CS$72,INDIRECT($C$5&amp;"生成成长"),2))/((VLOOKUP($B87,INDIRECT($B$5&amp;"生成成长"),4))/(VLOOKUP(CS$72,INDIRECT($C$5&amp;"生成成长"),5))*(VLOOKUP($B$5,标准坦克设计!$B$24:$U$30,MATCH("对"&amp;LEFT($C$5,2)&amp;"输出",标准坦克设计!$B$23:$U$23,0)))*(VLOOKUP($B87,INDIRECT($B$5&amp;"生成成长"),3))*(VLOOKUP($B$5,标准坦克设计!$B$14:$K$20,9)/30))</f>
        <v>28.908119760053413</v>
      </c>
      <c r="CT87" s="173">
        <f ca="1">(VLOOKUP(CT$72,INDIRECT($C$5&amp;"生成成长"),2))/((VLOOKUP($B87,INDIRECT($B$5&amp;"生成成长"),4))/(VLOOKUP(CT$72,INDIRECT($C$5&amp;"生成成长"),5))*(VLOOKUP($B$5,标准坦克设计!$B$24:$U$30,MATCH("对"&amp;LEFT($C$5,2)&amp;"输出",标准坦克设计!$B$23:$U$23,0)))*(VLOOKUP($B87,INDIRECT($B$5&amp;"生成成长"),3))*(VLOOKUP($B$5,标准坦克设计!$B$14:$K$20,9)/30))</f>
        <v>31.166539197656682</v>
      </c>
      <c r="CU87" s="173">
        <f ca="1">(VLOOKUP(CU$72,INDIRECT($C$5&amp;"生成成长"),2))/((VLOOKUP($B87,INDIRECT($B$5&amp;"生成成长"),4))/(VLOOKUP(CU$72,INDIRECT($C$5&amp;"生成成长"),5))*(VLOOKUP($B$5,标准坦克设计!$B$24:$U$30,MATCH("对"&amp;LEFT($C$5,2)&amp;"输出",标准坦克设计!$B$23:$U$23,0)))*(VLOOKUP($B87,INDIRECT($B$5&amp;"生成成长"),3))*(VLOOKUP($B$5,标准坦克设计!$B$14:$K$20,9)/30))</f>
        <v>33.509890648298025</v>
      </c>
      <c r="CV87" s="173">
        <f ca="1">(VLOOKUP(CV$72,INDIRECT($C$5&amp;"生成成长"),2))/((VLOOKUP($B87,INDIRECT($B$5&amp;"生成成长"),4))/(VLOOKUP(CV$72,INDIRECT($C$5&amp;"生成成长"),5))*(VLOOKUP($B$5,标准坦克设计!$B$24:$U$30,MATCH("对"&amp;LEFT($C$5,2)&amp;"输出",标准坦克设计!$B$23:$U$23,0)))*(VLOOKUP($B87,INDIRECT($B$5&amp;"生成成长"),3))*(VLOOKUP($B$5,标准坦克设计!$B$14:$K$20,9)/30))</f>
        <v>35.938174111977439</v>
      </c>
      <c r="CW87" s="173">
        <f ca="1">(VLOOKUP(CW$72,INDIRECT($C$5&amp;"生成成长"),2))/((VLOOKUP($B87,INDIRECT($B$5&amp;"生成成长"),4))/(VLOOKUP(CW$72,INDIRECT($C$5&amp;"生成成长"),5))*(VLOOKUP($B$5,标准坦克设计!$B$24:$U$30,MATCH("对"&amp;LEFT($C$5,2)&amp;"输出",标准坦克设计!$B$23:$U$23,0)))*(VLOOKUP($B87,INDIRECT($B$5&amp;"生成成长"),3))*(VLOOKUP($B$5,标准坦克设计!$B$14:$K$20,9)/30))</f>
        <v>38.45138958869493</v>
      </c>
      <c r="CX87" s="173">
        <f ca="1">(VLOOKUP(CX$72,INDIRECT($C$5&amp;"生成成长"),2))/((VLOOKUP($B87,INDIRECT($B$5&amp;"生成成长"),4))/(VLOOKUP(CX$72,INDIRECT($C$5&amp;"生成成长"),5))*(VLOOKUP($B$5,标准坦克设计!$B$24:$U$30,MATCH("对"&amp;LEFT($C$5,2)&amp;"输出",标准坦克设计!$B$23:$U$23,0)))*(VLOOKUP($B87,INDIRECT($B$5&amp;"生成成长"),3))*(VLOOKUP($B$5,标准坦克设计!$B$14:$K$20,9)/30))</f>
        <v>41.049537078450491</v>
      </c>
      <c r="CY87" s="173">
        <f ca="1">(VLOOKUP(CY$72,INDIRECT($C$5&amp;"生成成长"),2))/((VLOOKUP($B87,INDIRECT($B$5&amp;"生成成长"),4))/(VLOOKUP(CY$72,INDIRECT($C$5&amp;"生成成长"),5))*(VLOOKUP($B$5,标准坦克设计!$B$24:$U$30,MATCH("对"&amp;LEFT($C$5,2)&amp;"输出",标准坦克设计!$B$23:$U$23,0)))*(VLOOKUP($B87,INDIRECT($B$5&amp;"生成成长"),3))*(VLOOKUP($B$5,标准坦克设计!$B$14:$K$20,9)/30))</f>
        <v>43.732616581244109</v>
      </c>
      <c r="CZ87" s="173">
        <f ca="1">(VLOOKUP(CZ$72,INDIRECT($C$5&amp;"生成成长"),2))/((VLOOKUP($B87,INDIRECT($B$5&amp;"生成成长"),4))/(VLOOKUP(CZ$72,INDIRECT($C$5&amp;"生成成长"),5))*(VLOOKUP($B$5,标准坦克设计!$B$24:$U$30,MATCH("对"&amp;LEFT($C$5,2)&amp;"输出",标准坦克设计!$B$23:$U$23,0)))*(VLOOKUP($B87,INDIRECT($B$5&amp;"生成成长"),3))*(VLOOKUP($B$5,标准坦克设计!$B$14:$K$20,9)/30))</f>
        <v>46.500628097075818</v>
      </c>
      <c r="DA87" s="173">
        <f ca="1">(VLOOKUP(DA$72,INDIRECT($C$5&amp;"生成成长"),2))/((VLOOKUP($B87,INDIRECT($B$5&amp;"生成成长"),4))/(VLOOKUP(DA$72,INDIRECT($C$5&amp;"生成成长"),5))*(VLOOKUP($B$5,标准坦克设计!$B$24:$U$30,MATCH("对"&amp;LEFT($C$5,2)&amp;"输出",标准坦克设计!$B$23:$U$23,0)))*(VLOOKUP($B87,INDIRECT($B$5&amp;"生成成长"),3))*(VLOOKUP($B$5,标准坦克设计!$B$14:$K$20,9)/30))</f>
        <v>49.353571625945577</v>
      </c>
      <c r="DB87" s="173">
        <f ca="1">(VLOOKUP(DB$72,INDIRECT($C$5&amp;"生成成长"),2))/((VLOOKUP($B87,INDIRECT($B$5&amp;"生成成长"),4))/(VLOOKUP(DB$72,INDIRECT($C$5&amp;"生成成长"),5))*(VLOOKUP($B$5,标准坦克设计!$B$24:$U$30,MATCH("对"&amp;LEFT($C$5,2)&amp;"输出",标准坦克设计!$B$23:$U$23,0)))*(VLOOKUP($B87,INDIRECT($B$5&amp;"生成成长"),3))*(VLOOKUP($B$5,标准坦克设计!$B$14:$K$20,9)/30))</f>
        <v>52.291447167853427</v>
      </c>
      <c r="DC87" s="173">
        <f ca="1">(VLOOKUP(DC$72,INDIRECT($C$5&amp;"生成成长"),2))/((VLOOKUP($B87,INDIRECT($B$5&amp;"生成成长"),4))/(VLOOKUP(DC$72,INDIRECT($C$5&amp;"生成成长"),5))*(VLOOKUP($B$5,标准坦克设计!$B$24:$U$30,MATCH("对"&amp;LEFT($C$5,2)&amp;"输出",标准坦克设计!$B$23:$U$23,0)))*(VLOOKUP($B87,INDIRECT($B$5&amp;"生成成长"),3))*(VLOOKUP($B$5,标准坦克设计!$B$14:$K$20,9)/30))</f>
        <v>55.593266914391357</v>
      </c>
      <c r="DD87" s="173">
        <f ca="1">(VLOOKUP(DD$72,INDIRECT($C$5&amp;"生成成长"),2))/((VLOOKUP($B87,INDIRECT($B$5&amp;"生成成长"),4))/(VLOOKUP(DD$72,INDIRECT($C$5&amp;"生成成长"),5))*(VLOOKUP($B$5,标准坦克设计!$B$24:$U$30,MATCH("对"&amp;LEFT($C$5,2)&amp;"输出",标准坦克设计!$B$23:$U$23,0)))*(VLOOKUP($B87,INDIRECT($B$5&amp;"生成成长"),3))*(VLOOKUP($B$5,标准坦克设计!$B$14:$K$20,9)/30))</f>
        <v>58.996162775619212</v>
      </c>
      <c r="DE87" s="173">
        <f ca="1">(VLOOKUP(DE$72,INDIRECT($C$5&amp;"生成成长"),2))/((VLOOKUP($B87,INDIRECT($B$5&amp;"生成成长"),4))/(VLOOKUP(DE$72,INDIRECT($C$5&amp;"生成成长"),5))*(VLOOKUP($B$5,标准坦克设计!$B$24:$U$30,MATCH("对"&amp;LEFT($C$5,2)&amp;"输出",标准坦克设计!$B$23:$U$23,0)))*(VLOOKUP($B87,INDIRECT($B$5&amp;"生成成长"),3))*(VLOOKUP($B$5,标准坦克设计!$B$14:$K$20,9)/30))</f>
        <v>62.500134751537018</v>
      </c>
      <c r="DF87" s="173">
        <f ca="1">(VLOOKUP(DF$72,INDIRECT($C$5&amp;"生成成长"),2))/((VLOOKUP($B87,INDIRECT($B$5&amp;"生成成长"),4))/(VLOOKUP(DF$72,INDIRECT($C$5&amp;"生成成长"),5))*(VLOOKUP($B$5,标准坦克设计!$B$24:$U$30,MATCH("对"&amp;LEFT($C$5,2)&amp;"输出",标准坦克设计!$B$23:$U$23,0)))*(VLOOKUP($B87,INDIRECT($B$5&amp;"生成成长"),3))*(VLOOKUP($B$5,标准坦克设计!$B$14:$K$20,9)/30))</f>
        <v>66.105182842144757</v>
      </c>
      <c r="DG87" s="173">
        <f ca="1">(VLOOKUP(DG$72,INDIRECT($C$5&amp;"生成成长"),2))/((VLOOKUP($B87,INDIRECT($B$5&amp;"生成成长"),4))/(VLOOKUP(DG$72,INDIRECT($C$5&amp;"生成成长"),5))*(VLOOKUP($B$5,标准坦克设计!$B$24:$U$30,MATCH("对"&amp;LEFT($C$5,2)&amp;"输出",标准坦克设计!$B$23:$U$23,0)))*(VLOOKUP($B87,INDIRECT($B$5&amp;"生成成长"),3))*(VLOOKUP($B$5,标准坦克设计!$B$14:$K$20,9)/30))</f>
        <v>69.811307047442426</v>
      </c>
      <c r="DH87" s="173">
        <f ca="1">(VLOOKUP(DH$72,INDIRECT($C$5&amp;"生成成长"),2))/((VLOOKUP($B87,INDIRECT($B$5&amp;"生成成长"),4))/(VLOOKUP(DH$72,INDIRECT($C$5&amp;"生成成长"),5))*(VLOOKUP($B$5,标准坦克设计!$B$24:$U$30,MATCH("对"&amp;LEFT($C$5,2)&amp;"输出",标准坦克设计!$B$23:$U$23,0)))*(VLOOKUP($B87,INDIRECT($B$5&amp;"生成成长"),3))*(VLOOKUP($B$5,标准坦克设计!$B$14:$K$20,9)/30))</f>
        <v>73.618507367430055</v>
      </c>
      <c r="DI87" s="173">
        <f ca="1">(VLOOKUP(DI$72,INDIRECT($C$5&amp;"生成成长"),2))/((VLOOKUP($B87,INDIRECT($B$5&amp;"生成成长"),4))/(VLOOKUP(DI$72,INDIRECT($C$5&amp;"生成成长"),5))*(VLOOKUP($B$5,标准坦克设计!$B$24:$U$30,MATCH("对"&amp;LEFT($C$5,2)&amp;"输出",标准坦克设计!$B$23:$U$23,0)))*(VLOOKUP($B87,INDIRECT($B$5&amp;"生成成长"),3))*(VLOOKUP($B$5,标准坦克设计!$B$14:$K$20,9)/30))</f>
        <v>77.526783802107587</v>
      </c>
      <c r="DJ87" s="173">
        <f ca="1">(VLOOKUP(DJ$72,INDIRECT($C$5&amp;"生成成长"),2))/((VLOOKUP($B87,INDIRECT($B$5&amp;"生成成长"),4))/(VLOOKUP(DJ$72,INDIRECT($C$5&amp;"生成成长"),5))*(VLOOKUP($B$5,标准坦克设计!$B$24:$U$30,MATCH("对"&amp;LEFT($C$5,2)&amp;"输出",标准坦克设计!$B$23:$U$23,0)))*(VLOOKUP($B87,INDIRECT($B$5&amp;"生成成长"),3))*(VLOOKUP($B$5,标准坦克设计!$B$14:$K$20,9)/30))</f>
        <v>7.7916347994141706</v>
      </c>
      <c r="DK87" s="173">
        <f ca="1">(VLOOKUP(DK$72,INDIRECT($C$5&amp;"生成成长"),2))/((VLOOKUP($B87,INDIRECT($B$5&amp;"生成成长"),4))/(VLOOKUP(DK$72,INDIRECT($C$5&amp;"生成成长"),5))*(VLOOKUP($B$5,标准坦克设计!$B$24:$U$30,MATCH("对"&amp;LEFT($C$5,2)&amp;"输出",标准坦克设计!$B$23:$U$23,0)))*(VLOOKUP($B87,INDIRECT($B$5&amp;"生成成长"),3))*(VLOOKUP($B$5,标准坦克设计!$B$14:$K$20,9)/30))</f>
        <v>8.7613337747207503</v>
      </c>
      <c r="DL87" s="173">
        <f ca="1">(VLOOKUP(DL$72,INDIRECT($C$5&amp;"生成成长"),2))/((VLOOKUP($B87,INDIRECT($B$5&amp;"生成成长"),4))/(VLOOKUP(DL$72,INDIRECT($C$5&amp;"生成成长"),5))*(VLOOKUP($B$5,标准坦克设计!$B$24:$U$30,MATCH("对"&amp;LEFT($C$5,2)&amp;"输出",标准坦克设计!$B$23:$U$23,0)))*(VLOOKUP($B87,INDIRECT($B$5&amp;"生成成长"),3))*(VLOOKUP($B$5,标准坦克设计!$B$14:$K$20,9)/30))</f>
        <v>9.787888064540418</v>
      </c>
      <c r="DM87" s="173">
        <f ca="1">(VLOOKUP(DM$72,INDIRECT($C$5&amp;"生成成长"),2))/((VLOOKUP($B87,INDIRECT($B$5&amp;"生成成长"),4))/(VLOOKUP(DM$72,INDIRECT($C$5&amp;"生成成长"),5))*(VLOOKUP($B$5,标准坦克设计!$B$24:$U$30,MATCH("对"&amp;LEFT($C$5,2)&amp;"输出",标准坦克设计!$B$23:$U$23,0)))*(VLOOKUP($B87,INDIRECT($B$5&amp;"生成成长"),3))*(VLOOKUP($B$5,标准坦克设计!$B$14:$K$20,9)/30))</f>
        <v>10.871297668873176</v>
      </c>
      <c r="DN87" s="173">
        <f ca="1">(VLOOKUP(DN$72,INDIRECT($C$5&amp;"生成成长"),2))/((VLOOKUP($B87,INDIRECT($B$5&amp;"生成成长"),4))/(VLOOKUP(DN$72,INDIRECT($C$5&amp;"生成成长"),5))*(VLOOKUP($B$5,标准坦克设计!$B$24:$U$30,MATCH("对"&amp;LEFT($C$5,2)&amp;"输出",标准坦克设计!$B$23:$U$23,0)))*(VLOOKUP($B87,INDIRECT($B$5&amp;"生成成长"),3))*(VLOOKUP($B$5,标准坦克设计!$B$14:$K$20,9)/30))</f>
        <v>12.011562587719023</v>
      </c>
      <c r="DO87" s="173">
        <f ca="1">(VLOOKUP(DO$72,INDIRECT($C$5&amp;"生成成长"),2))/((VLOOKUP($B87,INDIRECT($B$5&amp;"生成成长"),4))/(VLOOKUP(DO$72,INDIRECT($C$5&amp;"生成成长"),5))*(VLOOKUP($B$5,标准坦克设计!$B$24:$U$30,MATCH("对"&amp;LEFT($C$5,2)&amp;"输出",标准坦克设计!$B$23:$U$23,0)))*(VLOOKUP($B87,INDIRECT($B$5&amp;"生成成长"),3))*(VLOOKUP($B$5,标准坦克设计!$B$14:$K$20,9)/30))</f>
        <v>13.208682821077957</v>
      </c>
      <c r="DP87" s="173">
        <f ca="1">(VLOOKUP(DP$72,INDIRECT($C$5&amp;"生成成长"),2))/((VLOOKUP($B87,INDIRECT($B$5&amp;"生成成长"),4))/(VLOOKUP(DP$72,INDIRECT($C$5&amp;"生成成长"),5))*(VLOOKUP($B$5,标准坦克设计!$B$24:$U$30,MATCH("对"&amp;LEFT($C$5,2)&amp;"输出",标准坦克设计!$B$23:$U$23,0)))*(VLOOKUP($B87,INDIRECT($B$5&amp;"生成成长"),3))*(VLOOKUP($B$5,标准坦克设计!$B$14:$K$20,9)/30))</f>
        <v>14.462658368949983</v>
      </c>
      <c r="DQ87" s="173">
        <f ca="1">(VLOOKUP(DQ$72,INDIRECT($C$5&amp;"生成成长"),2))/((VLOOKUP($B87,INDIRECT($B$5&amp;"生成成长"),4))/(VLOOKUP(DQ$72,INDIRECT($C$5&amp;"生成成长"),5))*(VLOOKUP($B$5,标准坦克设计!$B$24:$U$30,MATCH("对"&amp;LEFT($C$5,2)&amp;"输出",标准坦克设计!$B$23:$U$23,0)))*(VLOOKUP($B87,INDIRECT($B$5&amp;"生成成长"),3))*(VLOOKUP($B$5,标准坦克设计!$B$14:$K$20,9)/30))</f>
        <v>15.7734892313351</v>
      </c>
      <c r="DR87" s="173">
        <f ca="1">(VLOOKUP(DR$72,INDIRECT($C$5&amp;"生成成长"),2))/((VLOOKUP($B87,INDIRECT($B$5&amp;"生成成长"),4))/(VLOOKUP(DR$72,INDIRECT($C$5&amp;"生成成长"),5))*(VLOOKUP($B$5,标准坦克设计!$B$24:$U$30,MATCH("对"&amp;LEFT($C$5,2)&amp;"输出",标准坦克设计!$B$23:$U$23,0)))*(VLOOKUP($B87,INDIRECT($B$5&amp;"生成成长"),3))*(VLOOKUP($B$5,标准坦克设计!$B$14:$K$20,9)/30))</f>
        <v>17.141175408233305</v>
      </c>
      <c r="DS87" s="173">
        <f ca="1">(VLOOKUP(DS$72,INDIRECT($C$5&amp;"生成成长"),2))/((VLOOKUP($B87,INDIRECT($B$5&amp;"生成成长"),4))/(VLOOKUP(DS$72,INDIRECT($C$5&amp;"生成成长"),5))*(VLOOKUP($B$5,标准坦克设计!$B$24:$U$30,MATCH("对"&amp;LEFT($C$5,2)&amp;"输出",标准坦克设计!$B$23:$U$23,0)))*(VLOOKUP($B87,INDIRECT($B$5&amp;"生成成长"),3))*(VLOOKUP($B$5,标准坦克设计!$B$14:$K$20,9)/30))</f>
        <v>18.565716899644599</v>
      </c>
      <c r="DT87" s="173">
        <f ca="1">(VLOOKUP(DT$72,INDIRECT($C$5&amp;"生成成长"),2))/((VLOOKUP($B87,INDIRECT($B$5&amp;"生成成长"),4))/(VLOOKUP(DT$72,INDIRECT($C$5&amp;"生成成长"),5))*(VLOOKUP($B$5,标准坦克设计!$B$24:$U$30,MATCH("对"&amp;LEFT($C$5,2)&amp;"输出",标准坦克设计!$B$23:$U$23,0)))*(VLOOKUP($B87,INDIRECT($B$5&amp;"生成成长"),3))*(VLOOKUP($B$5,标准坦克设计!$B$14:$K$20,9)/30))</f>
        <v>20.38403408786877</v>
      </c>
      <c r="DU87" s="173">
        <f ca="1">(VLOOKUP(DU$72,INDIRECT($C$5&amp;"生成成长"),2))/((VLOOKUP($B87,INDIRECT($B$5&amp;"生成成长"),4))/(VLOOKUP(DU$72,INDIRECT($C$5&amp;"生成成长"),5))*(VLOOKUP($B$5,标准坦克设计!$B$24:$U$30,MATCH("对"&amp;LEFT($C$5,2)&amp;"输出",标准坦克设计!$B$23:$U$23,0)))*(VLOOKUP($B87,INDIRECT($B$5&amp;"生成成长"),3))*(VLOOKUP($B$5,标准坦克设计!$B$14:$K$20,9)/30))</f>
        <v>22.287283289131011</v>
      </c>
      <c r="DV87" s="173">
        <f ca="1">(VLOOKUP(DV$72,INDIRECT($C$5&amp;"生成成长"),2))/((VLOOKUP($B87,INDIRECT($B$5&amp;"生成成长"),4))/(VLOOKUP(DV$72,INDIRECT($C$5&amp;"生成成长"),5))*(VLOOKUP($B$5,标准坦克设计!$B$24:$U$30,MATCH("对"&amp;LEFT($C$5,2)&amp;"输出",标准坦克设计!$B$23:$U$23,0)))*(VLOOKUP($B87,INDIRECT($B$5&amp;"生成成长"),3))*(VLOOKUP($B$5,标准坦克设计!$B$14:$K$20,9)/30))</f>
        <v>24.275464503431323</v>
      </c>
      <c r="DW87" s="173">
        <f ca="1">(VLOOKUP(DW$72,INDIRECT($C$5&amp;"生成成长"),2))/((VLOOKUP($B87,INDIRECT($B$5&amp;"生成成长"),4))/(VLOOKUP(DW$72,INDIRECT($C$5&amp;"生成成长"),5))*(VLOOKUP($B$5,标准坦克设计!$B$24:$U$30,MATCH("对"&amp;LEFT($C$5,2)&amp;"输出",标准坦克设计!$B$23:$U$23,0)))*(VLOOKUP($B87,INDIRECT($B$5&amp;"生成成长"),3))*(VLOOKUP($B$5,标准坦克设计!$B$14:$K$20,9)/30))</f>
        <v>26.348577730769708</v>
      </c>
      <c r="DX87" s="173">
        <f ca="1">(VLOOKUP(DX$72,INDIRECT($C$5&amp;"生成成长"),2))/((VLOOKUP($B87,INDIRECT($B$5&amp;"生成成长"),4))/(VLOOKUP(DX$72,INDIRECT($C$5&amp;"生成成长"),5))*(VLOOKUP($B$5,标准坦克设计!$B$24:$U$30,MATCH("对"&amp;LEFT($C$5,2)&amp;"输出",标准坦克设计!$B$23:$U$23,0)))*(VLOOKUP($B87,INDIRECT($B$5&amp;"生成成长"),3))*(VLOOKUP($B$5,标准坦克设计!$B$14:$K$20,9)/30))</f>
        <v>28.506622971146172</v>
      </c>
      <c r="DY87" s="173">
        <f ca="1">(VLOOKUP(DY$72,INDIRECT($C$5&amp;"生成成长"),2))/((VLOOKUP($B87,INDIRECT($B$5&amp;"生成成长"),4))/(VLOOKUP(DY$72,INDIRECT($C$5&amp;"生成成长"),5))*(VLOOKUP($B$5,标准坦克设计!$B$24:$U$30,MATCH("对"&amp;LEFT($C$5,2)&amp;"输出",标准坦克设计!$B$23:$U$23,0)))*(VLOOKUP($B87,INDIRECT($B$5&amp;"生成成长"),3))*(VLOOKUP($B$5,标准坦克设计!$B$14:$K$20,9)/30))</f>
        <v>12.803325486123526</v>
      </c>
      <c r="DZ87" s="173">
        <f ca="1">(VLOOKUP(DZ$72,INDIRECT($C$5&amp;"生成成长"),2))/((VLOOKUP($B87,INDIRECT($B$5&amp;"生成成长"),4))/(VLOOKUP(DZ$72,INDIRECT($C$5&amp;"生成成长"),5))*(VLOOKUP($B$5,标准坦克设计!$B$24:$U$30,MATCH("对"&amp;LEFT($C$5,2)&amp;"输出",标准坦克设计!$B$23:$U$23,0)))*(VLOOKUP($B87,INDIRECT($B$5&amp;"生成成长"),3))*(VLOOKUP($B$5,标准坦克设计!$B$14:$K$20,9)/30))</f>
        <v>14.17908371384766</v>
      </c>
      <c r="EA87" s="173">
        <f ca="1">(VLOOKUP(EA$72,INDIRECT($C$5&amp;"生成成长"),2))/((VLOOKUP($B87,INDIRECT($B$5&amp;"生成成长"),4))/(VLOOKUP(EA$72,INDIRECT($C$5&amp;"生成成长"),5))*(VLOOKUP($B$5,标准坦克设计!$B$24:$U$30,MATCH("对"&amp;LEFT($C$5,2)&amp;"输出",标准坦克设计!$B$23:$U$23,0)))*(VLOOKUP($B87,INDIRECT($B$5&amp;"生成成长"),3))*(VLOOKUP($B$5,标准坦克设计!$B$14:$K$20,9)/30))</f>
        <v>15.625033687884255</v>
      </c>
      <c r="EB87" s="173">
        <f ca="1">(VLOOKUP(EB$72,INDIRECT($C$5&amp;"生成成长"),2))/((VLOOKUP($B87,INDIRECT($B$5&amp;"生成成长"),4))/(VLOOKUP(EB$72,INDIRECT($C$5&amp;"生成成长"),5))*(VLOOKUP($B$5,标准坦克设计!$B$24:$U$30,MATCH("对"&amp;LEFT($C$5,2)&amp;"输出",标准坦克设计!$B$23:$U$23,0)))*(VLOOKUP($B87,INDIRECT($B$5&amp;"生成成长"),3))*(VLOOKUP($B$5,标准坦克设计!$B$14:$K$20,9)/30))</f>
        <v>17.141175408233305</v>
      </c>
      <c r="EC87" s="173">
        <f ca="1">(VLOOKUP(EC$72,INDIRECT($C$5&amp;"生成成长"),2))/((VLOOKUP($B87,INDIRECT($B$5&amp;"生成成长"),4))/(VLOOKUP(EC$72,INDIRECT($C$5&amp;"生成成长"),5))*(VLOOKUP($B$5,标准坦克设计!$B$24:$U$30,MATCH("对"&amp;LEFT($C$5,2)&amp;"输出",标准坦克设计!$B$23:$U$23,0)))*(VLOOKUP($B87,INDIRECT($B$5&amp;"生成成长"),3))*(VLOOKUP($B$5,标准坦克设计!$B$14:$K$20,9)/30))</f>
        <v>18.727508874894809</v>
      </c>
      <c r="ED87" s="173">
        <f ca="1">(VLOOKUP(ED$72,INDIRECT($C$5&amp;"生成成长"),2))/((VLOOKUP($B87,INDIRECT($B$5&amp;"生成成长"),4))/(VLOOKUP(ED$72,INDIRECT($C$5&amp;"生成成长"),5))*(VLOOKUP($B$5,标准坦克设计!$B$24:$U$30,MATCH("对"&amp;LEFT($C$5,2)&amp;"输出",标准坦克设计!$B$23:$U$23,0)))*(VLOOKUP($B87,INDIRECT($B$5&amp;"生成成长"),3))*(VLOOKUP($B$5,标准坦克设计!$B$14:$K$20,9)/30))</f>
        <v>20.38403408786877</v>
      </c>
      <c r="EE87" s="173">
        <f ca="1">(VLOOKUP(EE$72,INDIRECT($C$5&amp;"生成成长"),2))/((VLOOKUP($B87,INDIRECT($B$5&amp;"生成成长"),4))/(VLOOKUP(EE$72,INDIRECT($C$5&amp;"生成成长"),5))*(VLOOKUP($B$5,标准坦克设计!$B$24:$U$30,MATCH("对"&amp;LEFT($C$5,2)&amp;"输出",标准坦克设计!$B$23:$U$23,0)))*(VLOOKUP($B87,INDIRECT($B$5&amp;"生成成长"),3))*(VLOOKUP($B$5,标准坦克设计!$B$14:$K$20,9)/30))</f>
        <v>22.110751047155183</v>
      </c>
      <c r="EF87" s="173">
        <f ca="1">(VLOOKUP(EF$72,INDIRECT($C$5&amp;"生成成长"),2))/((VLOOKUP($B87,INDIRECT($B$5&amp;"生成成长"),4))/(VLOOKUP(EF$72,INDIRECT($C$5&amp;"生成成长"),5))*(VLOOKUP($B$5,标准坦克设计!$B$24:$U$30,MATCH("对"&amp;LEFT($C$5,2)&amp;"输出",标准坦克设计!$B$23:$U$23,0)))*(VLOOKUP($B87,INDIRECT($B$5&amp;"生成成长"),3))*(VLOOKUP($B$5,标准坦克设计!$B$14:$K$20,9)/30))</f>
        <v>23.907659752754057</v>
      </c>
      <c r="EG87" s="173">
        <f ca="1">(VLOOKUP(EG$72,INDIRECT($C$5&amp;"生成成长"),2))/((VLOOKUP($B87,INDIRECT($B$5&amp;"生成成长"),4))/(VLOOKUP(EG$72,INDIRECT($C$5&amp;"生成成长"),5))*(VLOOKUP($B$5,标准坦克设计!$B$24:$U$30,MATCH("对"&amp;LEFT($C$5,2)&amp;"输出",标准坦克设计!$B$23:$U$23,0)))*(VLOOKUP($B87,INDIRECT($B$5&amp;"生成成长"),3))*(VLOOKUP($B$5,标准坦克设计!$B$14:$K$20,9)/30))</f>
        <v>25.774760204665387</v>
      </c>
      <c r="EH87" s="173">
        <f ca="1">(VLOOKUP(EH$72,INDIRECT($C$5&amp;"生成成长"),2))/((VLOOKUP($B87,INDIRECT($B$5&amp;"生成成长"),4))/(VLOOKUP(EH$72,INDIRECT($C$5&amp;"生成成长"),5))*(VLOOKUP($B$5,标准坦克设计!$B$24:$U$30,MATCH("对"&amp;LEFT($C$5,2)&amp;"输出",标准坦克设计!$B$23:$U$23,0)))*(VLOOKUP($B87,INDIRECT($B$5&amp;"生成成长"),3))*(VLOOKUP($B$5,标准坦克设计!$B$14:$K$20,9)/30))</f>
        <v>27.712052402889164</v>
      </c>
      <c r="EI87" s="173">
        <f ca="1">(VLOOKUP(EI$72,INDIRECT($C$5&amp;"生成成长"),2))/((VLOOKUP($B87,INDIRECT($B$5&amp;"生成成长"),4))/(VLOOKUP(EI$72,INDIRECT($C$5&amp;"生成成长"),5))*(VLOOKUP($B$5,标准坦克设计!$B$24:$U$30,MATCH("对"&amp;LEFT($C$5,2)&amp;"输出",标准坦克设计!$B$23:$U$23,0)))*(VLOOKUP($B87,INDIRECT($B$5&amp;"生成成长"),3))*(VLOOKUP($B$5,标准坦克设计!$B$14:$K$20,9)/30))</f>
        <v>29.719536347425407</v>
      </c>
      <c r="EJ87" s="173">
        <f ca="1">(VLOOKUP(EJ$72,INDIRECT($C$5&amp;"生成成长"),2))/((VLOOKUP($B87,INDIRECT($B$5&amp;"生成成长"),4))/(VLOOKUP(EJ$72,INDIRECT($C$5&amp;"生成成长"),5))*(VLOOKUP($B$5,标准坦克设计!$B$24:$U$30,MATCH("对"&amp;LEFT($C$5,2)&amp;"输出",标准坦克设计!$B$23:$U$23,0)))*(VLOOKUP($B87,INDIRECT($B$5&amp;"生成成长"),3))*(VLOOKUP($B$5,标准坦克设计!$B$14:$K$20,9)/30))</f>
        <v>31.797212038274104</v>
      </c>
      <c r="EK87" s="173">
        <f ca="1">(VLOOKUP(EK$72,INDIRECT($C$5&amp;"生成成长"),2))/((VLOOKUP($B87,INDIRECT($B$5&amp;"生成成长"),4))/(VLOOKUP(EK$72,INDIRECT($C$5&amp;"生成成长"),5))*(VLOOKUP($B$5,标准坦克设计!$B$24:$U$30,MATCH("对"&amp;LEFT($C$5,2)&amp;"输出",标准坦克设计!$B$23:$U$23,0)))*(VLOOKUP($B87,INDIRECT($B$5&amp;"生成成长"),3))*(VLOOKUP($B$5,标准坦克设计!$B$14:$K$20,9)/30))</f>
        <v>34.383075972424983</v>
      </c>
      <c r="EL87" s="173">
        <f ca="1">(VLOOKUP(EL$72,INDIRECT($C$5&amp;"生成成长"),2))/((VLOOKUP($B87,INDIRECT($B$5&amp;"生成成长"),4))/(VLOOKUP(EL$72,INDIRECT($C$5&amp;"生成成长"),5))*(VLOOKUP($B$5,标准坦克设计!$B$24:$U$30,MATCH("对"&amp;LEFT($C$5,2)&amp;"输出",标准坦克设计!$B$23:$U$23,0)))*(VLOOKUP($B87,INDIRECT($B$5&amp;"生成成长"),3))*(VLOOKUP($B$5,标准坦克设计!$B$14:$K$20,9)/30))</f>
        <v>37.070016021265801</v>
      </c>
      <c r="EM87" s="173">
        <f ca="1">(VLOOKUP(EM$72,INDIRECT($C$5&amp;"生成成长"),2))/((VLOOKUP($B87,INDIRECT($B$5&amp;"生成成长"),4))/(VLOOKUP(EM$72,INDIRECT($C$5&amp;"生成成长"),5))*(VLOOKUP($B$5,标准坦克设计!$B$24:$U$30,MATCH("对"&amp;LEFT($C$5,2)&amp;"输出",标准坦克设计!$B$23:$U$23,0)))*(VLOOKUP($B87,INDIRECT($B$5&amp;"生成成长"),3))*(VLOOKUP($B$5,标准坦克设计!$B$14:$K$20,9)/30))</f>
        <v>39.858032184796549</v>
      </c>
      <c r="EN87" s="173">
        <f ca="1">(VLOOKUP(EN$72,INDIRECT($C$5&amp;"生成成长"),2))/((VLOOKUP($B87,INDIRECT($B$5&amp;"生成成长"),4))/(VLOOKUP(EN$72,INDIRECT($C$5&amp;"生成成长"),5))*(VLOOKUP($B$5,标准坦克设计!$B$24:$U$30,MATCH("对"&amp;LEFT($C$5,2)&amp;"输出",标准坦克设计!$B$23:$U$23,0)))*(VLOOKUP($B87,INDIRECT($B$5&amp;"生成成长"),3))*(VLOOKUP($B$5,标准坦克设计!$B$14:$K$20,9)/30))</f>
        <v>42.747124463017222</v>
      </c>
      <c r="EO87" s="173">
        <f ca="1">(VLOOKUP(EO$72,INDIRECT($C$5&amp;"生成成长"),2))/((VLOOKUP($B87,INDIRECT($B$5&amp;"生成成长"),4))/(VLOOKUP(EO$72,INDIRECT($C$5&amp;"生成成长"),5))*(VLOOKUP($B$5,标准坦克设计!$B$24:$U$30,MATCH("对"&amp;LEFT($C$5,2)&amp;"输出",标准坦克设计!$B$23:$U$23,0)))*(VLOOKUP($B87,INDIRECT($B$5&amp;"生成成长"),3))*(VLOOKUP($B$5,标准坦克设计!$B$14:$K$20,9)/30))</f>
        <v>45.737292855927848</v>
      </c>
      <c r="EP87" s="173">
        <f ca="1">(VLOOKUP(EP$72,INDIRECT($C$5&amp;"生成成长"),2))/((VLOOKUP($B87,INDIRECT($B$5&amp;"生成成长"),4))/(VLOOKUP(EP$72,INDIRECT($C$5&amp;"生成成长"),5))*(VLOOKUP($B$5,标准坦克设计!$B$24:$U$30,MATCH("对"&amp;LEFT($C$5,2)&amp;"输出",标准坦克设计!$B$23:$U$23,0)))*(VLOOKUP($B87,INDIRECT($B$5&amp;"生成成长"),3))*(VLOOKUP($B$5,标准坦克设计!$B$14:$K$20,9)/30))</f>
        <v>48.828537363528412</v>
      </c>
      <c r="EQ87" s="173">
        <f ca="1">(VLOOKUP(EQ$72,INDIRECT($C$5&amp;"生成成长"),2))/((VLOOKUP($B87,INDIRECT($B$5&amp;"生成成长"),4))/(VLOOKUP(EQ$72,INDIRECT($C$5&amp;"生成成长"),5))*(VLOOKUP($B$5,标准坦克设计!$B$24:$U$30,MATCH("对"&amp;LEFT($C$5,2)&amp;"输出",标准坦克设计!$B$23:$U$23,0)))*(VLOOKUP($B87,INDIRECT($B$5&amp;"生成成长"),3))*(VLOOKUP($B$5,标准坦克设计!$B$14:$K$20,9)/30))</f>
        <v>21.585365826006448</v>
      </c>
      <c r="ER87" s="173">
        <f ca="1">(VLOOKUP(ER$72,INDIRECT($C$5&amp;"生成成长"),2))/((VLOOKUP($B87,INDIRECT($B$5&amp;"生成成长"),4))/(VLOOKUP(ER$72,INDIRECT($C$5&amp;"生成成长"),5))*(VLOOKUP($B$5,标准坦克设计!$B$24:$U$30,MATCH("对"&amp;LEFT($C$5,2)&amp;"输出",标准坦克设计!$B$23:$U$23,0)))*(VLOOKUP($B87,INDIRECT($B$5&amp;"生成成长"),3))*(VLOOKUP($B$5,标准坦克设计!$B$14:$K$20,9)/30))</f>
        <v>23.542662671929286</v>
      </c>
      <c r="ES87" s="173">
        <f ca="1">(VLOOKUP(ES$72,INDIRECT($C$5&amp;"生成成长"),2))/((VLOOKUP($B87,INDIRECT($B$5&amp;"生成成长"),4))/(VLOOKUP(ES$72,INDIRECT($C$5&amp;"生成成长"),5))*(VLOOKUP($B$5,标准坦克设计!$B$24:$U$30,MATCH("对"&amp;LEFT($C$5,2)&amp;"输出",标准坦克设计!$B$23:$U$23,0)))*(VLOOKUP($B87,INDIRECT($B$5&amp;"生成成长"),3))*(VLOOKUP($B$5,标准坦克设计!$B$14:$K$20,9)/30))</f>
        <v>25.584891530890193</v>
      </c>
      <c r="ET87" s="173">
        <f ca="1">(VLOOKUP(ET$72,INDIRECT($C$5&amp;"生成成长"),2))/((VLOOKUP($B87,INDIRECT($B$5&amp;"生成成长"),4))/(VLOOKUP(ET$72,INDIRECT($C$5&amp;"生成成长"),5))*(VLOOKUP($B$5,标准坦克设计!$B$24:$U$30,MATCH("对"&amp;LEFT($C$5,2)&amp;"输出",标准坦克设计!$B$23:$U$23,0)))*(VLOOKUP($B87,INDIRECT($B$5&amp;"生成成长"),3))*(VLOOKUP($B$5,标准坦克设计!$B$14:$K$20,9)/30))</f>
        <v>27.712052402889164</v>
      </c>
      <c r="EU87" s="173">
        <f ca="1">(VLOOKUP(EU$72,INDIRECT($C$5&amp;"生成成长"),2))/((VLOOKUP($B87,INDIRECT($B$5&amp;"生成成长"),4))/(VLOOKUP(EU$72,INDIRECT($C$5&amp;"生成成长"),5))*(VLOOKUP($B$5,标准坦克设计!$B$24:$U$30,MATCH("对"&amp;LEFT($C$5,2)&amp;"输出",标准坦克设计!$B$23:$U$23,0)))*(VLOOKUP($B87,INDIRECT($B$5&amp;"生成成长"),3))*(VLOOKUP($B$5,标准坦克设计!$B$14:$K$20,9)/30))</f>
        <v>29.924145287926216</v>
      </c>
      <c r="EV87" s="173">
        <f ca="1">(VLOOKUP(EV$72,INDIRECT($C$5&amp;"生成成长"),2))/((VLOOKUP($B87,INDIRECT($B$5&amp;"生成成长"),4))/(VLOOKUP(EV$72,INDIRECT($C$5&amp;"生成成长"),5))*(VLOOKUP($B$5,标准坦克设计!$B$24:$U$30,MATCH("对"&amp;LEFT($C$5,2)&amp;"输出",标准坦克设计!$B$23:$U$23,0)))*(VLOOKUP($B87,INDIRECT($B$5&amp;"生成成长"),3))*(VLOOKUP($B$5,标准坦克设计!$B$14:$K$20,9)/30))</f>
        <v>32.221170186001338</v>
      </c>
      <c r="EW87" s="173">
        <f ca="1">(VLOOKUP(EW$72,INDIRECT($C$5&amp;"生成成长"),2))/((VLOOKUP($B87,INDIRECT($B$5&amp;"生成成长"),4))/(VLOOKUP(EW$72,INDIRECT($C$5&amp;"生成成长"),5))*(VLOOKUP($B$5,标准坦克设计!$B$24:$U$30,MATCH("对"&amp;LEFT($C$5,2)&amp;"输出",标准坦克设计!$B$23:$U$23,0)))*(VLOOKUP($B87,INDIRECT($B$5&amp;"生成成长"),3))*(VLOOKUP($B$5,标准坦克设计!$B$14:$K$20,9)/30))</f>
        <v>34.603127097114523</v>
      </c>
      <c r="EX87" s="173">
        <f ca="1">(VLOOKUP(EX$72,INDIRECT($C$5&amp;"生成成长"),2))/((VLOOKUP($B87,INDIRECT($B$5&amp;"生成成长"),4))/(VLOOKUP(EX$72,INDIRECT($C$5&amp;"生成成长"),5))*(VLOOKUP($B$5,标准坦克设计!$B$24:$U$30,MATCH("对"&amp;LEFT($C$5,2)&amp;"输出",标准坦克设计!$B$23:$U$23,0)))*(VLOOKUP($B87,INDIRECT($B$5&amp;"生成成长"),3))*(VLOOKUP($B$5,标准坦克设计!$B$14:$K$20,9)/30))</f>
        <v>37.070016021265801</v>
      </c>
      <c r="EY87" s="173">
        <f ca="1">(VLOOKUP(EY$72,INDIRECT($C$5&amp;"生成成长"),2))/((VLOOKUP($B87,INDIRECT($B$5&amp;"生成成长"),4))/(VLOOKUP(EY$72,INDIRECT($C$5&amp;"生成成长"),5))*(VLOOKUP($B$5,标准坦克设计!$B$24:$U$30,MATCH("对"&amp;LEFT($C$5,2)&amp;"输出",标准坦克设计!$B$23:$U$23,0)))*(VLOOKUP($B87,INDIRECT($B$5&amp;"生成成长"),3))*(VLOOKUP($B$5,标准坦克设计!$B$14:$K$20,9)/30))</f>
        <v>39.621836958455127</v>
      </c>
      <c r="EZ87" s="173">
        <f ca="1">(VLOOKUP(EZ$72,INDIRECT($C$5&amp;"生成成长"),2))/((VLOOKUP($B87,INDIRECT($B$5&amp;"生成成长"),4))/(VLOOKUP(EZ$72,INDIRECT($C$5&amp;"生成成长"),5))*(VLOOKUP($B$5,标准坦克设计!$B$24:$U$30,MATCH("对"&amp;LEFT($C$5,2)&amp;"输出",标准坦克设计!$B$23:$U$23,0)))*(VLOOKUP($B87,INDIRECT($B$5&amp;"生成成长"),3))*(VLOOKUP($B$5,标准坦克设计!$B$14:$K$20,9)/30))</f>
        <v>42.258589908682538</v>
      </c>
      <c r="FA87" s="173">
        <f ca="1">(VLOOKUP(FA$72,INDIRECT($C$5&amp;"生成成长"),2))/((VLOOKUP($B87,INDIRECT($B$5&amp;"生成成长"),4))/(VLOOKUP(FA$72,INDIRECT($C$5&amp;"生成成长"),5))*(VLOOKUP($B$5,标准坦克设计!$B$24:$U$30,MATCH("对"&amp;LEFT($C$5,2)&amp;"输出",标准坦克设计!$B$23:$U$23,0)))*(VLOOKUP($B87,INDIRECT($B$5&amp;"生成成长"),3))*(VLOOKUP($B$5,标准坦克设计!$B$14:$K$20,9)/30))</f>
        <v>44.980274871948019</v>
      </c>
      <c r="FB87" s="173">
        <f ca="1">(VLOOKUP(FB$72,INDIRECT($C$5&amp;"生成成长"),2))/((VLOOKUP($B87,INDIRECT($B$5&amp;"生成成长"),4))/(VLOOKUP(FB$72,INDIRECT($C$5&amp;"生成成长"),5))*(VLOOKUP($B$5,标准坦克设计!$B$24:$U$30,MATCH("对"&amp;LEFT($C$5,2)&amp;"输出",标准坦克设计!$B$23:$U$23,0)))*(VLOOKUP($B87,INDIRECT($B$5&amp;"生成成长"),3))*(VLOOKUP($B$5,标准坦克设计!$B$14:$K$20,9)/30))</f>
        <v>47.786891848251564</v>
      </c>
      <c r="FC87" s="173">
        <f ca="1">(VLOOKUP(FC$72,INDIRECT($C$5&amp;"生成成长"),2))/((VLOOKUP($B87,INDIRECT($B$5&amp;"生成成长"),4))/(VLOOKUP(FC$72,INDIRECT($C$5&amp;"生成成长"),5))*(VLOOKUP($B$5,标准坦克设计!$B$24:$U$30,MATCH("对"&amp;LEFT($C$5,2)&amp;"输出",标准坦克设计!$B$23:$U$23,0)))*(VLOOKUP($B87,INDIRECT($B$5&amp;"生成成长"),3))*(VLOOKUP($B$5,标准坦克设计!$B$14:$K$20,9)/30))</f>
        <v>50.678440837593193</v>
      </c>
      <c r="FD87" s="173">
        <f ca="1">(VLOOKUP(FD$72,INDIRECT($C$5&amp;"生成成长"),2))/((VLOOKUP($B87,INDIRECT($B$5&amp;"生成成长"),4))/(VLOOKUP(FD$72,INDIRECT($C$5&amp;"生成成长"),5))*(VLOOKUP($B$5,标准坦克设计!$B$24:$U$30,MATCH("对"&amp;LEFT($C$5,2)&amp;"输出",标准坦克设计!$B$23:$U$23,0)))*(VLOOKUP($B87,INDIRECT($B$5&amp;"生成成长"),3))*(VLOOKUP($B$5,标准坦克设计!$B$14:$K$20,9)/30))</f>
        <v>53.654921839972886</v>
      </c>
      <c r="FE87" s="173">
        <f ca="1">(VLOOKUP(FE$72,INDIRECT($C$5&amp;"生成成长"),2))/((VLOOKUP($B87,INDIRECT($B$5&amp;"生成成长"),4))/(VLOOKUP(FE$72,INDIRECT($C$5&amp;"生成成长"),5))*(VLOOKUP($B$5,标准坦克设计!$B$24:$U$30,MATCH("对"&amp;LEFT($C$5,2)&amp;"输出",标准坦克设计!$B$23:$U$23,0)))*(VLOOKUP($B87,INDIRECT($B$5&amp;"生成成长"),3))*(VLOOKUP($B$5,标准坦克设计!$B$14:$K$20,9)/30))</f>
        <v>57.282080330669046</v>
      </c>
      <c r="FF87" s="173">
        <f ca="1">(VLOOKUP(FF$72,INDIRECT($C$5&amp;"生成成长"),2))/((VLOOKUP($B87,INDIRECT($B$5&amp;"生成成长"),4))/(VLOOKUP(FF$72,INDIRECT($C$5&amp;"生成成长"),5))*(VLOOKUP($B$5,标准坦克设计!$B$24:$U$30,MATCH("对"&amp;LEFT($C$5,2)&amp;"输出",标准坦克设计!$B$23:$U$23,0)))*(VLOOKUP($B87,INDIRECT($B$5&amp;"生成成长"),3))*(VLOOKUP($B$5,标准坦克设计!$B$14:$K$20,9)/30))</f>
        <v>61.027862872633257</v>
      </c>
      <c r="FG87" s="173">
        <f ca="1">(VLOOKUP(FG$72,INDIRECT($C$5&amp;"生成成长"),2))/((VLOOKUP($B87,INDIRECT($B$5&amp;"生成成长"),4))/(VLOOKUP(FG$72,INDIRECT($C$5&amp;"生成成长"),5))*(VLOOKUP($B$5,标准坦克设计!$B$24:$U$30,MATCH("对"&amp;LEFT($C$5,2)&amp;"输出",标准坦克设计!$B$23:$U$23,0)))*(VLOOKUP($B87,INDIRECT($B$5&amp;"生成成长"),3))*(VLOOKUP($B$5,标准坦克设计!$B$14:$K$20,9)/30))</f>
        <v>64.89226946586551</v>
      </c>
      <c r="FH87" s="173">
        <f ca="1">(VLOOKUP(FH$72,INDIRECT($C$5&amp;"生成成长"),2))/((VLOOKUP($B87,INDIRECT($B$5&amp;"生成成长"),4))/(VLOOKUP(FH$72,INDIRECT($C$5&amp;"生成成长"),5))*(VLOOKUP($B$5,标准坦克设计!$B$24:$U$30,MATCH("对"&amp;LEFT($C$5,2)&amp;"输出",标准坦克设计!$B$23:$U$23,0)))*(VLOOKUP($B87,INDIRECT($B$5&amp;"生成成长"),3))*(VLOOKUP($B$5,标准坦克设计!$B$14:$K$20,9)/30))</f>
        <v>68.875300110365842</v>
      </c>
      <c r="FI87" s="173">
        <f ca="1">(VLOOKUP(FI$72,INDIRECT($C$5&amp;"生成成长"),2))/((VLOOKUP($B87,INDIRECT($B$5&amp;"生成成长"),4))/(VLOOKUP(FI$72,INDIRECT($C$5&amp;"生成成长"),5))*(VLOOKUP($B$5,标准坦克设计!$B$24:$U$30,MATCH("对"&amp;LEFT($C$5,2)&amp;"输出",标准坦克设计!$B$23:$U$23,0)))*(VLOOKUP($B87,INDIRECT($B$5&amp;"生成成长"),3))*(VLOOKUP($B$5,标准坦克设计!$B$14:$K$20,9)/30))</f>
        <v>72.976954806134188</v>
      </c>
      <c r="FJ87" s="173">
        <f ca="1">(VLOOKUP(FJ$72,INDIRECT($C$5&amp;"生成成长"),2))/((VLOOKUP($B87,INDIRECT($B$5&amp;"生成成长"),4))/(VLOOKUP(FJ$72,INDIRECT($C$5&amp;"生成成长"),5))*(VLOOKUP($B$5,标准坦克设计!$B$24:$U$30,MATCH("对"&amp;LEFT($C$5,2)&amp;"输出",标准坦克设计!$B$23:$U$23,0)))*(VLOOKUP($B87,INDIRECT($B$5&amp;"生成成长"),3))*(VLOOKUP($B$5,标准坦克设计!$B$14:$K$20,9)/30))</f>
        <v>77.197233553170605</v>
      </c>
      <c r="FK87" s="173">
        <f ca="1">(VLOOKUP(FK$72,INDIRECT($C$5&amp;"生成成长"),2))/((VLOOKUP($B87,INDIRECT($B$5&amp;"生成成长"),4))/(VLOOKUP(FK$72,INDIRECT($C$5&amp;"生成成长"),5))*(VLOOKUP($B$5,标准坦克设计!$B$24:$U$30,MATCH("对"&amp;LEFT($C$5,2)&amp;"输出",标准坦克设计!$B$23:$U$23,0)))*(VLOOKUP($B87,INDIRECT($B$5&amp;"生成成长"),3))*(VLOOKUP($B$5,标准坦克设计!$B$14:$K$20,9)/30))</f>
        <v>81.536136351475079</v>
      </c>
    </row>
    <row r="88" spans="1:167" x14ac:dyDescent="0.15">
      <c r="A88" s="171" t="str">
        <f t="shared" si="11"/>
        <v>T3低品质4级</v>
      </c>
      <c r="B88" s="172">
        <v>10304</v>
      </c>
      <c r="C88" s="173">
        <f ca="1">(VLOOKUP(C$72,INDIRECT($C$5&amp;"生成成长"),2))/((VLOOKUP($B88,INDIRECT($B$5&amp;"生成成长"),4))/(VLOOKUP(C$72,INDIRECT($C$5&amp;"生成成长"),5))*(VLOOKUP($B$5,标准坦克设计!$B$24:$U$30,MATCH("对"&amp;LEFT($C$5,2)&amp;"输出",标准坦克设计!$B$23:$U$23,0)))*(VLOOKUP($B88,INDIRECT($B$5&amp;"生成成长"),3))*(VLOOKUP($B$5,标准坦克设计!$B$14:$K$20,9)/30))</f>
        <v>3.1282688321952676</v>
      </c>
      <c r="D88" s="173">
        <f ca="1">(VLOOKUP(D$72,INDIRECT($C$5&amp;"生成成长"),2))/((VLOOKUP($B88,INDIRECT($B$5&amp;"生成成长"),4))/(VLOOKUP(D$72,INDIRECT($C$5&amp;"生成成长"),5))*(VLOOKUP($B$5,标准坦克设计!$B$24:$U$30,MATCH("对"&amp;LEFT($C$5,2)&amp;"输出",标准坦克设计!$B$23:$U$23,0)))*(VLOOKUP($B88,INDIRECT($B$5&amp;"生成成长"),3))*(VLOOKUP($B$5,标准坦克设计!$B$14:$K$20,9)/30))</f>
        <v>3.5149228598546034</v>
      </c>
      <c r="E88" s="173">
        <f ca="1">(VLOOKUP(E$72,INDIRECT($C$5&amp;"生成成长"),2))/((VLOOKUP($B88,INDIRECT($B$5&amp;"生成成长"),4))/(VLOOKUP(E$72,INDIRECT($C$5&amp;"生成成长"),5))*(VLOOKUP($B$5,标准坦克设计!$B$24:$U$30,MATCH("对"&amp;LEFT($C$5,2)&amp;"输出",标准坦克设计!$B$23:$U$23,0)))*(VLOOKUP($B88,INDIRECT($B$5&amp;"生成成长"),3))*(VLOOKUP($B$5,标准坦克设计!$B$14:$K$20,9)/30))</f>
        <v>3.9241004231057448</v>
      </c>
      <c r="F88" s="173">
        <f ca="1">(VLOOKUP(F$72,INDIRECT($C$5&amp;"生成成长"),2))/((VLOOKUP($B88,INDIRECT($B$5&amp;"生成成长"),4))/(VLOOKUP(F$72,INDIRECT($C$5&amp;"生成成长"),5))*(VLOOKUP($B$5,标准坦克设计!$B$24:$U$30,MATCH("对"&amp;LEFT($C$5,2)&amp;"输出",标准坦克设计!$B$23:$U$23,0)))*(VLOOKUP($B88,INDIRECT($B$5&amp;"生成成长"),3))*(VLOOKUP($B$5,标准坦克设计!$B$14:$K$20,9)/30))</f>
        <v>4.3558015219486919</v>
      </c>
      <c r="G88" s="173">
        <f ca="1">(VLOOKUP(G$72,INDIRECT($C$5&amp;"生成成长"),2))/((VLOOKUP($B88,INDIRECT($B$5&amp;"生成成长"),4))/(VLOOKUP(G$72,INDIRECT($C$5&amp;"生成成长"),5))*(VLOOKUP($B$5,标准坦克设计!$B$24:$U$30,MATCH("对"&amp;LEFT($C$5,2)&amp;"输出",标准坦克设计!$B$23:$U$23,0)))*(VLOOKUP($B88,INDIRECT($B$5&amp;"生成成长"),3))*(VLOOKUP($B$5,标准坦克设计!$B$14:$K$20,9)/30))</f>
        <v>4.8100261563834446</v>
      </c>
      <c r="H88" s="173">
        <f ca="1">(VLOOKUP(H$72,INDIRECT($C$5&amp;"生成成长"),2))/((VLOOKUP($B88,INDIRECT($B$5&amp;"生成成长"),4))/(VLOOKUP(H$72,INDIRECT($C$5&amp;"生成成长"),5))*(VLOOKUP($B$5,标准坦克设计!$B$24:$U$30,MATCH("对"&amp;LEFT($C$5,2)&amp;"输出",标准坦克设计!$B$23:$U$23,0)))*(VLOOKUP($B88,INDIRECT($B$5&amp;"生成成长"),3))*(VLOOKUP($B$5,标准坦克设计!$B$14:$K$20,9)/30))</f>
        <v>4.2093985406019527</v>
      </c>
      <c r="I88" s="173">
        <f ca="1">(VLOOKUP(I$72,INDIRECT($C$5&amp;"生成成长"),2))/((VLOOKUP($B88,INDIRECT($B$5&amp;"生成成长"),4))/(VLOOKUP(I$72,INDIRECT($C$5&amp;"生成成长"),5))*(VLOOKUP($B$5,标准坦克设计!$B$24:$U$30,MATCH("对"&amp;LEFT($C$5,2)&amp;"输出",标准坦克设计!$B$23:$U$23,0)))*(VLOOKUP($B88,INDIRECT($B$5&amp;"生成成长"),3))*(VLOOKUP($B$5,标准坦克设计!$B$14:$K$20,9)/30))</f>
        <v>4.8100261563834446</v>
      </c>
      <c r="J88" s="173">
        <f ca="1">(VLOOKUP(J$72,INDIRECT($C$5&amp;"生成成长"),2))/((VLOOKUP($B88,INDIRECT($B$5&amp;"生成成长"),4))/(VLOOKUP(J$72,INDIRECT($C$5&amp;"生成成长"),5))*(VLOOKUP($B$5,标准坦克设计!$B$24:$U$30,MATCH("对"&amp;LEFT($C$5,2)&amp;"输出",标准坦克设计!$B$23:$U$23,0)))*(VLOOKUP($B88,INDIRECT($B$5&amp;"生成成长"),3))*(VLOOKUP($B$5,标准坦克设计!$B$14:$K$20,9)/30))</f>
        <v>5.4506956132170359</v>
      </c>
      <c r="K88" s="173">
        <f ca="1">(VLOOKUP(K$72,INDIRECT($C$5&amp;"生成成长"),2))/((VLOOKUP($B88,INDIRECT($B$5&amp;"生成成长"),4))/(VLOOKUP(K$72,INDIRECT($C$5&amp;"生成成长"),5))*(VLOOKUP($B$5,标准坦克设计!$B$24:$U$30,MATCH("对"&amp;LEFT($C$5,2)&amp;"输出",标准坦克设计!$B$23:$U$23,0)))*(VLOOKUP($B88,INDIRECT($B$5&amp;"生成成长"),3))*(VLOOKUP($B$5,标准坦克设计!$B$14:$K$20,9)/30))</f>
        <v>6.1314069111027258</v>
      </c>
      <c r="L88" s="173">
        <f ca="1">(VLOOKUP(L$72,INDIRECT($C$5&amp;"生成成长"),2))/((VLOOKUP($B88,INDIRECT($B$5&amp;"生成成长"),4))/(VLOOKUP(L$72,INDIRECT($C$5&amp;"生成成长"),5))*(VLOOKUP($B$5,标准坦克设计!$B$24:$U$30,MATCH("对"&amp;LEFT($C$5,2)&amp;"输出",标准坦克设计!$B$23:$U$23,0)))*(VLOOKUP($B88,INDIRECT($B$5&amp;"生成成长"),3))*(VLOOKUP($B$5,标准坦克设计!$B$14:$K$20,9)/30))</f>
        <v>6.8521600500405153</v>
      </c>
      <c r="M88" s="173">
        <f ca="1">(VLOOKUP(M$72,INDIRECT($C$5&amp;"生成成长"),2))/((VLOOKUP($B88,INDIRECT($B$5&amp;"生成成长"),4))/(VLOOKUP(M$72,INDIRECT($C$5&amp;"生成成长"),5))*(VLOOKUP($B$5,标准坦克设计!$B$24:$U$30,MATCH("对"&amp;LEFT($C$5,2)&amp;"输出",标准坦克设计!$B$23:$U$23,0)))*(VLOOKUP($B88,INDIRECT($B$5&amp;"生成成长"),3))*(VLOOKUP($B$5,标准坦克设计!$B$14:$K$20,9)/30))</f>
        <v>7.6129550300304052</v>
      </c>
      <c r="N88" s="173">
        <f ca="1">(VLOOKUP(N$72,INDIRECT($C$5&amp;"生成成长"),2))/((VLOOKUP($B88,INDIRECT($B$5&amp;"生成成长"),4))/(VLOOKUP(N$72,INDIRECT($C$5&amp;"生成成长"),5))*(VLOOKUP($B$5,标准坦克设计!$B$24:$U$30,MATCH("对"&amp;LEFT($C$5,2)&amp;"输出",标准坦克设计!$B$23:$U$23,0)))*(VLOOKUP($B88,INDIRECT($B$5&amp;"生成成长"),3))*(VLOOKUP($B$5,标准坦克设计!$B$14:$K$20,9)/30))</f>
        <v>8.4137918510723928</v>
      </c>
      <c r="O88" s="173">
        <f ca="1">(VLOOKUP(O$72,INDIRECT($C$5&amp;"生成成长"),2))/((VLOOKUP($B88,INDIRECT($B$5&amp;"生成成长"),4))/(VLOOKUP(O$72,INDIRECT($C$5&amp;"生成成长"),5))*(VLOOKUP($B$5,标准坦克设计!$B$24:$U$30,MATCH("对"&amp;LEFT($C$5,2)&amp;"输出",标准坦克设计!$B$23:$U$23,0)))*(VLOOKUP($B88,INDIRECT($B$5&amp;"生成成长"),3))*(VLOOKUP($B$5,标准坦克设计!$B$14:$K$20,9)/30))</f>
        <v>6.3969969349561042</v>
      </c>
      <c r="P88" s="173">
        <f ca="1">(VLOOKUP(P$72,INDIRECT($C$5&amp;"生成成长"),2))/((VLOOKUP($B88,INDIRECT($B$5&amp;"生成成长"),4))/(VLOOKUP(P$72,INDIRECT($C$5&amp;"生成成长"),5))*(VLOOKUP($B$5,标准坦克设计!$B$24:$U$30,MATCH("对"&amp;LEFT($C$5,2)&amp;"输出",标准坦克设计!$B$23:$U$23,0)))*(VLOOKUP($B88,INDIRECT($B$5&amp;"生成成长"),3))*(VLOOKUP($B$5,标准坦克设计!$B$14:$K$20,9)/30))</f>
        <v>7.2275523099039471</v>
      </c>
      <c r="Q88" s="173">
        <f ca="1">(VLOOKUP(Q$72,INDIRECT($C$5&amp;"生成成长"),2))/((VLOOKUP($B88,INDIRECT($B$5&amp;"生成成长"),4))/(VLOOKUP(Q$72,INDIRECT($C$5&amp;"生成成长"),5))*(VLOOKUP($B$5,标准坦克设计!$B$24:$U$30,MATCH("对"&amp;LEFT($C$5,2)&amp;"输出",标准坦克设计!$B$23:$U$23,0)))*(VLOOKUP($B88,INDIRECT($B$5&amp;"生成成长"),3))*(VLOOKUP($B$5,标准坦克设计!$B$14:$K$20,9)/30))</f>
        <v>8.1087856399333553</v>
      </c>
      <c r="R88" s="173">
        <f ca="1">(VLOOKUP(R$72,INDIRECT($C$5&amp;"生成成长"),2))/((VLOOKUP($B88,INDIRECT($B$5&amp;"生成成长"),4))/(VLOOKUP(R$72,INDIRECT($C$5&amp;"生成成长"),5))*(VLOOKUP($B$5,标准坦克设计!$B$24:$U$30,MATCH("对"&amp;LEFT($C$5,2)&amp;"输出",标准坦克设计!$B$23:$U$23,0)))*(VLOOKUP($B88,INDIRECT($B$5&amp;"生成成长"),3))*(VLOOKUP($B$5,标准坦克设计!$B$14:$K$20,9)/30))</f>
        <v>9.0406969250443261</v>
      </c>
      <c r="S88" s="173">
        <f ca="1">(VLOOKUP(S$72,INDIRECT($C$5&amp;"生成成长"),2))/((VLOOKUP($B88,INDIRECT($B$5&amp;"生成成长"),4))/(VLOOKUP(S$72,INDIRECT($C$5&amp;"生成成长"),5))*(VLOOKUP($B$5,标准坦克设计!$B$24:$U$30,MATCH("对"&amp;LEFT($C$5,2)&amp;"输出",标准坦克设计!$B$23:$U$23,0)))*(VLOOKUP($B88,INDIRECT($B$5&amp;"生成成长"),3))*(VLOOKUP($B$5,标准坦克设计!$B$14:$K$20,9)/30))</f>
        <v>10.023286165236859</v>
      </c>
      <c r="T88" s="173">
        <f ca="1">(VLOOKUP(T$72,INDIRECT($C$5&amp;"生成成长"),2))/((VLOOKUP($B88,INDIRECT($B$5&amp;"生成成长"),4))/(VLOOKUP(T$72,INDIRECT($C$5&amp;"生成成长"),5))*(VLOOKUP($B$5,标准坦克设计!$B$24:$U$30,MATCH("对"&amp;LEFT($C$5,2)&amp;"输出",标准坦克设计!$B$23:$U$23,0)))*(VLOOKUP($B88,INDIRECT($B$5&amp;"生成成长"),3))*(VLOOKUP($B$5,标准坦克设计!$B$14:$K$20,9)/30))</f>
        <v>11.056553360510954</v>
      </c>
      <c r="U88" s="173">
        <f ca="1">(VLOOKUP(U$72,INDIRECT($C$5&amp;"生成成长"),2))/((VLOOKUP($B88,INDIRECT($B$5&amp;"生成成长"),4))/(VLOOKUP(U$72,INDIRECT($C$5&amp;"生成成长"),5))*(VLOOKUP($B$5,标准坦克设计!$B$24:$U$30,MATCH("对"&amp;LEFT($C$5,2)&amp;"输出",标准坦克设计!$B$23:$U$23,0)))*(VLOOKUP($B88,INDIRECT($B$5&amp;"生成成长"),3))*(VLOOKUP($B$5,标准坦克设计!$B$14:$K$20,9)/30))</f>
        <v>12.140498510866616</v>
      </c>
      <c r="V88" s="173">
        <f ca="1">(VLOOKUP(V$72,INDIRECT($C$5&amp;"生成成长"),2))/((VLOOKUP($B88,INDIRECT($B$5&amp;"生成成长"),4))/(VLOOKUP(V$72,INDIRECT($C$5&amp;"生成成长"),5))*(VLOOKUP($B$5,标准坦克设计!$B$24:$U$30,MATCH("对"&amp;LEFT($C$5,2)&amp;"输出",标准坦克设计!$B$23:$U$23,0)))*(VLOOKUP($B88,INDIRECT($B$5&amp;"生成成长"),3))*(VLOOKUP($B$5,标准坦克设计!$B$14:$K$20,9)/30))</f>
        <v>13.275121616303844</v>
      </c>
      <c r="W88" s="173">
        <f ca="1">(VLOOKUP(W$72,INDIRECT($C$5&amp;"生成成长"),2))/((VLOOKUP($B88,INDIRECT($B$5&amp;"生成成长"),4))/(VLOOKUP(W$72,INDIRECT($C$5&amp;"生成成长"),5))*(VLOOKUP($B$5,标准坦克设计!$B$24:$U$30,MATCH("对"&amp;LEFT($C$5,2)&amp;"输出",标准坦克设计!$B$23:$U$23,0)))*(VLOOKUP($B88,INDIRECT($B$5&amp;"生成成长"),3))*(VLOOKUP($B$5,标准坦克设计!$B$14:$K$20,9)/30))</f>
        <v>14.460422676822628</v>
      </c>
      <c r="X88" s="173">
        <f ca="1">(VLOOKUP(X$72,INDIRECT($C$5&amp;"生成成长"),2))/((VLOOKUP($B88,INDIRECT($B$5&amp;"生成成长"),4))/(VLOOKUP(X$72,INDIRECT($C$5&amp;"生成成长"),5))*(VLOOKUP($B$5,标准坦克设计!$B$24:$U$30,MATCH("对"&amp;LEFT($C$5,2)&amp;"输出",标准坦克设计!$B$23:$U$23,0)))*(VLOOKUP($B88,INDIRECT($B$5&amp;"生成成长"),3))*(VLOOKUP($B$5,标准坦克设计!$B$14:$K$20,9)/30))</f>
        <v>10.476259492138734</v>
      </c>
      <c r="Y88" s="173">
        <f ca="1">(VLOOKUP(Y$72,INDIRECT($C$5&amp;"生成成长"),2))/((VLOOKUP($B88,INDIRECT($B$5&amp;"生成成长"),4))/(VLOOKUP(Y$72,INDIRECT($C$5&amp;"生成成长"),5))*(VLOOKUP($B$5,标准坦克设计!$B$24:$U$30,MATCH("对"&amp;LEFT($C$5,2)&amp;"输出",标准坦克设计!$B$23:$U$23,0)))*(VLOOKUP($B88,INDIRECT($B$5&amp;"生成成长"),3))*(VLOOKUP($B$5,标准坦克设计!$B$14:$K$20,9)/30))</f>
        <v>11.652488573044154</v>
      </c>
      <c r="Z88" s="173">
        <f ca="1">(VLOOKUP(Z$72,INDIRECT($C$5&amp;"生成成长"),2))/((VLOOKUP($B88,INDIRECT($B$5&amp;"生成成长"),4))/(VLOOKUP(Z$72,INDIRECT($C$5&amp;"生成成长"),5))*(VLOOKUP($B$5,标准坦克设计!$B$24:$U$30,MATCH("对"&amp;LEFT($C$5,2)&amp;"输出",标准坦克设计!$B$23:$U$23,0)))*(VLOOKUP($B88,INDIRECT($B$5&amp;"生成成长"),3))*(VLOOKUP($B$5,标准坦克设计!$B$14:$K$20,9)/30))</f>
        <v>12.891283030593481</v>
      </c>
      <c r="AA88" s="173">
        <f ca="1">(VLOOKUP(AA$72,INDIRECT($C$5&amp;"生成成长"),2))/((VLOOKUP($B88,INDIRECT($B$5&amp;"生成成长"),4))/(VLOOKUP(AA$72,INDIRECT($C$5&amp;"生成成长"),5))*(VLOOKUP($B$5,标准坦克设计!$B$24:$U$30,MATCH("对"&amp;LEFT($C$5,2)&amp;"输出",标准坦克设计!$B$23:$U$23,0)))*(VLOOKUP($B88,INDIRECT($B$5&amp;"生成成长"),3))*(VLOOKUP($B$5,标准坦克设计!$B$14:$K$20,9)/30))</f>
        <v>14.192642864786714</v>
      </c>
      <c r="AB88" s="173">
        <f ca="1">(VLOOKUP(AB$72,INDIRECT($C$5&amp;"生成成长"),2))/((VLOOKUP($B88,INDIRECT($B$5&amp;"生成成长"),4))/(VLOOKUP(AB$72,INDIRECT($C$5&amp;"生成成长"),5))*(VLOOKUP($B$5,标准坦克设计!$B$24:$U$30,MATCH("对"&amp;LEFT($C$5,2)&amp;"输出",标准坦克设计!$B$23:$U$23,0)))*(VLOOKUP($B88,INDIRECT($B$5&amp;"生成成长"),3))*(VLOOKUP($B$5,标准坦克设计!$B$14:$K$20,9)/30))</f>
        <v>15.556568075623849</v>
      </c>
      <c r="AC88" s="173">
        <f ca="1">(VLOOKUP(AC$72,INDIRECT($C$5&amp;"生成成长"),2))/((VLOOKUP($B88,INDIRECT($B$5&amp;"生成成长"),4))/(VLOOKUP(AC$72,INDIRECT($C$5&amp;"生成成长"),5))*(VLOOKUP($B$5,标准坦克设计!$B$24:$U$30,MATCH("对"&amp;LEFT($C$5,2)&amp;"输出",标准坦克设计!$B$23:$U$23,0)))*(VLOOKUP($B88,INDIRECT($B$5&amp;"生成成长"),3))*(VLOOKUP($B$5,标准坦克设计!$B$14:$K$20,9)/30))</f>
        <v>16.983058663104892</v>
      </c>
      <c r="AD88" s="173">
        <f ca="1">(VLOOKUP(AD$72,INDIRECT($C$5&amp;"生成成长"),2))/((VLOOKUP($B88,INDIRECT($B$5&amp;"生成成长"),4))/(VLOOKUP(AD$72,INDIRECT($C$5&amp;"生成成长"),5))*(VLOOKUP($B$5,标准坦克设计!$B$24:$U$30,MATCH("对"&amp;LEFT($C$5,2)&amp;"输出",标准坦克设计!$B$23:$U$23,0)))*(VLOOKUP($B88,INDIRECT($B$5&amp;"生成成长"),3))*(VLOOKUP($B$5,标准坦克设计!$B$14:$K$20,9)/30))</f>
        <v>18.472114627229836</v>
      </c>
      <c r="AE88" s="173">
        <f ca="1">(VLOOKUP(AE$72,INDIRECT($C$5&amp;"生成成长"),2))/((VLOOKUP($B88,INDIRECT($B$5&amp;"生成成长"),4))/(VLOOKUP(AE$72,INDIRECT($C$5&amp;"生成成长"),5))*(VLOOKUP($B$5,标准坦克设计!$B$24:$U$30,MATCH("对"&amp;LEFT($C$5,2)&amp;"输出",标准坦克设计!$B$23:$U$23,0)))*(VLOOKUP($B88,INDIRECT($B$5&amp;"生成成长"),3))*(VLOOKUP($B$5,标准坦克设计!$B$14:$K$20,9)/30))</f>
        <v>20.023735967998693</v>
      </c>
      <c r="AF88" s="173">
        <f ca="1">(VLOOKUP(AF$72,INDIRECT($C$5&amp;"生成成长"),2))/((VLOOKUP($B88,INDIRECT($B$5&amp;"生成成长"),4))/(VLOOKUP(AF$72,INDIRECT($C$5&amp;"生成成长"),5))*(VLOOKUP($B$5,标准坦克设计!$B$24:$U$30,MATCH("对"&amp;LEFT($C$5,2)&amp;"输出",标准坦克设计!$B$23:$U$23,0)))*(VLOOKUP($B88,INDIRECT($B$5&amp;"生成成长"),3))*(VLOOKUP($B$5,标准坦克设计!$B$14:$K$20,9)/30))</f>
        <v>21.63792268541145</v>
      </c>
      <c r="AG88" s="173">
        <f ca="1">(VLOOKUP(AG$72,INDIRECT($C$5&amp;"生成成长"),2))/((VLOOKUP($B88,INDIRECT($B$5&amp;"生成成长"),4))/(VLOOKUP(AG$72,INDIRECT($C$5&amp;"生成成长"),5))*(VLOOKUP($B$5,标准坦克设计!$B$24:$U$30,MATCH("对"&amp;LEFT($C$5,2)&amp;"输出",标准坦克设计!$B$23:$U$23,0)))*(VLOOKUP($B88,INDIRECT($B$5&amp;"生成成长"),3))*(VLOOKUP($B$5,标准坦克设计!$B$14:$K$20,9)/30))</f>
        <v>23.314674779468113</v>
      </c>
      <c r="AH88" s="173">
        <f ca="1">(VLOOKUP(AH$72,INDIRECT($C$5&amp;"生成成长"),2))/((VLOOKUP($B88,INDIRECT($B$5&amp;"生成成长"),4))/(VLOOKUP(AH$72,INDIRECT($C$5&amp;"生成成长"),5))*(VLOOKUP($B$5,标准坦克设计!$B$24:$U$30,MATCH("对"&amp;LEFT($C$5,2)&amp;"输出",标准坦克设计!$B$23:$U$23,0)))*(VLOOKUP($B88,INDIRECT($B$5&amp;"生成成长"),3))*(VLOOKUP($B$5,标准坦克设计!$B$14:$K$20,9)/30))</f>
        <v>25.05399225016868</v>
      </c>
      <c r="AI88" s="173">
        <f ca="1">(VLOOKUP(AI$72,INDIRECT($C$5&amp;"生成成长"),2))/((VLOOKUP($B88,INDIRECT($B$5&amp;"生成成长"),4))/(VLOOKUP(AI$72,INDIRECT($C$5&amp;"生成成长"),5))*(VLOOKUP($B$5,标准坦克设计!$B$24:$U$30,MATCH("对"&amp;LEFT($C$5,2)&amp;"输出",标准坦克设计!$B$23:$U$23,0)))*(VLOOKUP($B88,INDIRECT($B$5&amp;"生成成长"),3))*(VLOOKUP($B$5,标准坦克设计!$B$14:$K$20,9)/30))</f>
        <v>17.719765973086876</v>
      </c>
      <c r="AJ88" s="173">
        <f ca="1">(VLOOKUP(AJ$72,INDIRECT($C$5&amp;"生成成长"),2))/((VLOOKUP($B88,INDIRECT($B$5&amp;"生成成长"),4))/(VLOOKUP(AJ$72,INDIRECT($C$5&amp;"生成成长"),5))*(VLOOKUP($B$5,标准坦克设计!$B$24:$U$30,MATCH("对"&amp;LEFT($C$5,2)&amp;"输出",标准坦克设计!$B$23:$U$23,0)))*(VLOOKUP($B88,INDIRECT($B$5&amp;"生成成长"),3))*(VLOOKUP($B$5,标准坦克设计!$B$14:$K$20,9)/30))</f>
        <v>19.395579586493877</v>
      </c>
      <c r="AK88" s="173">
        <f ca="1">(VLOOKUP(AK$72,INDIRECT($C$5&amp;"生成成长"),2))/((VLOOKUP($B88,INDIRECT($B$5&amp;"生成成长"),4))/(VLOOKUP(AK$72,INDIRECT($C$5&amp;"生成成长"),5))*(VLOOKUP($B$5,标准坦克设计!$B$24:$U$30,MATCH("对"&amp;LEFT($C$5,2)&amp;"输出",标准坦克设计!$B$23:$U$23,0)))*(VLOOKUP($B88,INDIRECT($B$5&amp;"生成成长"),3))*(VLOOKUP($B$5,标准坦克设计!$B$14:$K$20,9)/30))</f>
        <v>21.147097305640013</v>
      </c>
      <c r="AL88" s="173">
        <f ca="1">(VLOOKUP(AL$72,INDIRECT($C$5&amp;"生成成长"),2))/((VLOOKUP($B88,INDIRECT($B$5&amp;"生成成长"),4))/(VLOOKUP(AL$72,INDIRECT($C$5&amp;"生成成长"),5))*(VLOOKUP($B$5,标准坦克设计!$B$24:$U$30,MATCH("对"&amp;LEFT($C$5,2)&amp;"输出",标准坦克设计!$B$23:$U$23,0)))*(VLOOKUP($B88,INDIRECT($B$5&amp;"生成成长"),3))*(VLOOKUP($B$5,标准坦克设计!$B$14:$K$20,9)/30))</f>
        <v>22.974319130525267</v>
      </c>
      <c r="AM88" s="173">
        <f ca="1">(VLOOKUP(AM$72,INDIRECT($C$5&amp;"生成成长"),2))/((VLOOKUP($B88,INDIRECT($B$5&amp;"生成成长"),4))/(VLOOKUP(AM$72,INDIRECT($C$5&amp;"生成成长"),5))*(VLOOKUP($B$5,标准坦克设计!$B$24:$U$30,MATCH("对"&amp;LEFT($C$5,2)&amp;"输出",标准坦克设计!$B$23:$U$23,0)))*(VLOOKUP($B88,INDIRECT($B$5&amp;"生成成长"),3))*(VLOOKUP($B$5,标准坦克设计!$B$14:$K$20,9)/30))</f>
        <v>24.877245061149651</v>
      </c>
      <c r="AN88" s="173">
        <f ca="1">(VLOOKUP(AN$72,INDIRECT($C$5&amp;"生成成长"),2))/((VLOOKUP($B88,INDIRECT($B$5&amp;"生成成长"),4))/(VLOOKUP(AN$72,INDIRECT($C$5&amp;"生成成长"),5))*(VLOOKUP($B$5,标准坦克设计!$B$24:$U$30,MATCH("对"&amp;LEFT($C$5,2)&amp;"输出",标准坦克设计!$B$23:$U$23,0)))*(VLOOKUP($B88,INDIRECT($B$5&amp;"生成成长"),3))*(VLOOKUP($B$5,标准坦克设计!$B$14:$K$20,9)/30))</f>
        <v>26.855875097513159</v>
      </c>
      <c r="AO88" s="173">
        <f ca="1">(VLOOKUP(AO$72,INDIRECT($C$5&amp;"生成成长"),2))/((VLOOKUP($B88,INDIRECT($B$5&amp;"生成成长"),4))/(VLOOKUP(AO$72,INDIRECT($C$5&amp;"生成成长"),5))*(VLOOKUP($B$5,标准坦克设计!$B$24:$U$30,MATCH("对"&amp;LEFT($C$5,2)&amp;"输出",标准坦克设计!$B$23:$U$23,0)))*(VLOOKUP($B88,INDIRECT($B$5&amp;"生成成长"),3))*(VLOOKUP($B$5,标准坦克设计!$B$14:$K$20,9)/30))</f>
        <v>28.910209239615789</v>
      </c>
      <c r="AP88" s="173">
        <f ca="1">(VLOOKUP(AP$72,INDIRECT($C$5&amp;"生成成长"),2))/((VLOOKUP($B88,INDIRECT($B$5&amp;"生成成长"),4))/(VLOOKUP(AP$72,INDIRECT($C$5&amp;"生成成长"),5))*(VLOOKUP($B$5,标准坦克设计!$B$24:$U$30,MATCH("对"&amp;LEFT($C$5,2)&amp;"输出",标准坦克设计!$B$23:$U$23,0)))*(VLOOKUP($B88,INDIRECT($B$5&amp;"生成成长"),3))*(VLOOKUP($B$5,标准坦克设计!$B$14:$K$20,9)/30))</f>
        <v>31.040247487457549</v>
      </c>
      <c r="AQ88" s="173">
        <f ca="1">(VLOOKUP(AQ$72,INDIRECT($C$5&amp;"生成成长"),2))/((VLOOKUP($B88,INDIRECT($B$5&amp;"生成成长"),4))/(VLOOKUP(AQ$72,INDIRECT($C$5&amp;"生成成长"),5))*(VLOOKUP($B$5,标准坦克设计!$B$24:$U$30,MATCH("对"&amp;LEFT($C$5,2)&amp;"输出",标准坦克设计!$B$23:$U$23,0)))*(VLOOKUP($B88,INDIRECT($B$5&amp;"生成成长"),3))*(VLOOKUP($B$5,标准坦克设计!$B$14:$K$20,9)/30))</f>
        <v>33.24598984103843</v>
      </c>
      <c r="AR88" s="173">
        <f ca="1">(VLOOKUP(AR$72,INDIRECT($C$5&amp;"生成成长"),2))/((VLOOKUP($B88,INDIRECT($B$5&amp;"生成成长"),4))/(VLOOKUP(AR$72,INDIRECT($C$5&amp;"生成成长"),5))*(VLOOKUP($B$5,标准坦克设计!$B$24:$U$30,MATCH("对"&amp;LEFT($C$5,2)&amp;"输出",标准坦克设计!$B$23:$U$23,0)))*(VLOOKUP($B88,INDIRECT($B$5&amp;"生成成长"),3))*(VLOOKUP($B$5,标准坦克设计!$B$14:$K$20,9)/30))</f>
        <v>35.527436300358445</v>
      </c>
      <c r="AS88" s="173">
        <f ca="1">(VLOOKUP(AS$72,INDIRECT($C$5&amp;"生成成长"),2))/((VLOOKUP($B88,INDIRECT($B$5&amp;"生成成长"),4))/(VLOOKUP(AS$72,INDIRECT($C$5&amp;"生成成长"),5))*(VLOOKUP($B$5,标准坦克设计!$B$24:$U$30,MATCH("对"&amp;LEFT($C$5,2)&amp;"输出",标准坦克设计!$B$23:$U$23,0)))*(VLOOKUP($B88,INDIRECT($B$5&amp;"生成成长"),3))*(VLOOKUP($B$5,标准坦克设计!$B$14:$K$20,9)/30))</f>
        <v>37.884586865417575</v>
      </c>
      <c r="AT88" s="173">
        <f ca="1">(VLOOKUP(AT$72,INDIRECT($C$5&amp;"生成成长"),2))/((VLOOKUP($B88,INDIRECT($B$5&amp;"生成成长"),4))/(VLOOKUP(AT$72,INDIRECT($C$5&amp;"生成成长"),5))*(VLOOKUP($B$5,标准坦克设计!$B$24:$U$30,MATCH("对"&amp;LEFT($C$5,2)&amp;"输出",标准坦克设计!$B$23:$U$23,0)))*(VLOOKUP($B88,INDIRECT($B$5&amp;"生成成长"),3))*(VLOOKUP($B$5,标准坦克设计!$B$14:$K$20,9)/30))</f>
        <v>40.317441536215838</v>
      </c>
      <c r="AU88" s="173">
        <f ca="1">(VLOOKUP(AU$72,INDIRECT($C$5&amp;"生成成长"),2))/((VLOOKUP($B88,INDIRECT($B$5&amp;"生成成长"),4))/(VLOOKUP(AU$72,INDIRECT($C$5&amp;"生成成长"),5))*(VLOOKUP($B$5,标准坦克设计!$B$24:$U$30,MATCH("对"&amp;LEFT($C$5,2)&amp;"输出",标准坦克设计!$B$23:$U$23,0)))*(VLOOKUP($B88,INDIRECT($B$5&amp;"生成成长"),3))*(VLOOKUP($B$5,标准坦克设计!$B$14:$K$20,9)/30))</f>
        <v>42.826000312753223</v>
      </c>
      <c r="AV88" s="173">
        <f ca="1">(VLOOKUP(AV$72,INDIRECT($C$5&amp;"生成成长"),2))/((VLOOKUP($B88,INDIRECT($B$5&amp;"生成成长"),4))/(VLOOKUP(AV$72,INDIRECT($C$5&amp;"生成成长"),5))*(VLOOKUP($B$5,标准坦克设计!$B$24:$U$30,MATCH("对"&amp;LEFT($C$5,2)&amp;"输出",标准坦克设计!$B$23:$U$23,0)))*(VLOOKUP($B88,INDIRECT($B$5&amp;"生成成长"),3))*(VLOOKUP($B$5,标准坦克设计!$B$14:$K$20,9)/30))</f>
        <v>4.3558015219486919</v>
      </c>
      <c r="AW88" s="173">
        <f ca="1">(VLOOKUP(AW$72,INDIRECT($C$5&amp;"生成成长"),2))/((VLOOKUP($B88,INDIRECT($B$5&amp;"生成成长"),4))/(VLOOKUP(AW$72,INDIRECT($C$5&amp;"生成成长"),5))*(VLOOKUP($B$5,标准坦克设计!$B$24:$U$30,MATCH("对"&amp;LEFT($C$5,2)&amp;"输出",标准坦克设计!$B$23:$U$23,0)))*(VLOOKUP($B88,INDIRECT($B$5&amp;"生成成长"),3))*(VLOOKUP($B$5,标准坦克设计!$B$14:$K$20,9)/30))</f>
        <v>4.9664395979932081</v>
      </c>
      <c r="AX88" s="173">
        <f ca="1">(VLOOKUP(AX$72,INDIRECT($C$5&amp;"生成成长"),2))/((VLOOKUP($B88,INDIRECT($B$5&amp;"生成成长"),4))/(VLOOKUP(AX$72,INDIRECT($C$5&amp;"生成成长"),5))*(VLOOKUP($B$5,标准坦克设计!$B$24:$U$30,MATCH("对"&amp;LEFT($C$5,2)&amp;"输出",标准坦克设计!$B$23:$U$23,0)))*(VLOOKUP($B88,INDIRECT($B$5&amp;"生成成长"),3))*(VLOOKUP($B$5,标准坦克设计!$B$14:$K$20,9)/30))</f>
        <v>5.617119515089823</v>
      </c>
      <c r="AY88" s="173">
        <f ca="1">(VLOOKUP(AY$72,INDIRECT($C$5&amp;"生成成长"),2))/((VLOOKUP($B88,INDIRECT($B$5&amp;"生成成长"),4))/(VLOOKUP(AY$72,INDIRECT($C$5&amp;"生成成长"),5))*(VLOOKUP($B$5,标准坦克设计!$B$24:$U$30,MATCH("对"&amp;LEFT($C$5,2)&amp;"输出",标准坦克设计!$B$23:$U$23,0)))*(VLOOKUP($B88,INDIRECT($B$5&amp;"生成成长"),3))*(VLOOKUP($B$5,标准坦克设计!$B$14:$K$20,9)/30))</f>
        <v>6.3078412732385392</v>
      </c>
      <c r="AZ88" s="173">
        <f ca="1">(VLOOKUP(AZ$72,INDIRECT($C$5&amp;"生成成长"),2))/((VLOOKUP($B88,INDIRECT($B$5&amp;"生成成长"),4))/(VLOOKUP(AZ$72,INDIRECT($C$5&amp;"生成成长"),5))*(VLOOKUP($B$5,标准坦克设计!$B$24:$U$30,MATCH("对"&amp;LEFT($C$5,2)&amp;"输出",标准坦克设计!$B$23:$U$23,0)))*(VLOOKUP($B88,INDIRECT($B$5&amp;"生成成长"),3))*(VLOOKUP($B$5,标准坦克设计!$B$14:$K$20,9)/30))</f>
        <v>7.0386048724393531</v>
      </c>
      <c r="BA88" s="173">
        <f ca="1">(VLOOKUP(BA$72,INDIRECT($C$5&amp;"生成成长"),2))/((VLOOKUP($B88,INDIRECT($B$5&amp;"生成成长"),4))/(VLOOKUP(BA$72,INDIRECT($C$5&amp;"生成成长"),5))*(VLOOKUP($B$5,标准坦克设计!$B$24:$U$30,MATCH("对"&amp;LEFT($C$5,2)&amp;"输出",标准坦克设计!$B$23:$U$23,0)))*(VLOOKUP($B88,INDIRECT($B$5&amp;"生成成长"),3))*(VLOOKUP($B$5,标准坦克设计!$B$14:$K$20,9)/30))</f>
        <v>7.8094103126922683</v>
      </c>
      <c r="BB88" s="173">
        <f ca="1">(VLOOKUP(BB$72,INDIRECT($C$5&amp;"生成成长"),2))/((VLOOKUP($B88,INDIRECT($B$5&amp;"生成成长"),4))/(VLOOKUP(BB$72,INDIRECT($C$5&amp;"生成成长"),5))*(VLOOKUP($B$5,标准坦克设计!$B$24:$U$30,MATCH("对"&amp;LEFT($C$5,2)&amp;"输出",标准坦克设计!$B$23:$U$23,0)))*(VLOOKUP($B88,INDIRECT($B$5&amp;"生成成长"),3))*(VLOOKUP($B$5,标准坦克设计!$B$14:$K$20,9)/30))</f>
        <v>8.6202575939972803</v>
      </c>
      <c r="BC88" s="173">
        <f ca="1">(VLOOKUP(BC$72,INDIRECT($C$5&amp;"生成成长"),2))/((VLOOKUP($B88,INDIRECT($B$5&amp;"生成成长"),4))/(VLOOKUP(BC$72,INDIRECT($C$5&amp;"生成成长"),5))*(VLOOKUP($B$5,标准坦克设计!$B$24:$U$30,MATCH("对"&amp;LEFT($C$5,2)&amp;"输出",标准坦克设计!$B$23:$U$23,0)))*(VLOOKUP($B88,INDIRECT($B$5&amp;"生成成长"),3))*(VLOOKUP($B$5,标准坦克设计!$B$14:$K$20,9)/30))</f>
        <v>9.4711467163543936</v>
      </c>
      <c r="BD88" s="173">
        <f ca="1">(VLOOKUP(BD$72,INDIRECT($C$5&amp;"生成成长"),2))/((VLOOKUP($B88,INDIRECT($B$5&amp;"生成成长"),4))/(VLOOKUP(BD$72,INDIRECT($C$5&amp;"生成成长"),5))*(VLOOKUP($B$5,标准坦克设计!$B$24:$U$30,MATCH("对"&amp;LEFT($C$5,2)&amp;"输出",标准坦克设计!$B$23:$U$23,0)))*(VLOOKUP($B88,INDIRECT($B$5&amp;"生成成长"),3))*(VLOOKUP($B$5,标准坦克设计!$B$14:$K$20,9)/30))</f>
        <v>10.476259492138734</v>
      </c>
      <c r="BE88" s="173">
        <f ca="1">(VLOOKUP(BE$72,INDIRECT($C$5&amp;"生成成长"),2))/((VLOOKUP($B88,INDIRECT($B$5&amp;"生成成长"),4))/(VLOOKUP(BE$72,INDIRECT($C$5&amp;"生成成长"),5))*(VLOOKUP($B$5,标准坦克设计!$B$24:$U$30,MATCH("对"&amp;LEFT($C$5,2)&amp;"输出",标准坦克设计!$B$23:$U$23,0)))*(VLOOKUP($B88,INDIRECT($B$5&amp;"生成成长"),3))*(VLOOKUP($B$5,标准坦克设计!$B$14:$K$20,9)/30))</f>
        <v>11.532050223004639</v>
      </c>
      <c r="BF88" s="173">
        <f ca="1">(VLOOKUP(BF$72,INDIRECT($C$5&amp;"生成成长"),2))/((VLOOKUP($B88,INDIRECT($B$5&amp;"生成成长"),4))/(VLOOKUP(BF$72,INDIRECT($C$5&amp;"生成成长"),5))*(VLOOKUP($B$5,标准坦克设计!$B$24:$U$30,MATCH("对"&amp;LEFT($C$5,2)&amp;"输出",标准坦克设计!$B$23:$U$23,0)))*(VLOOKUP($B88,INDIRECT($B$5&amp;"生成成长"),3))*(VLOOKUP($B$5,标准坦克设计!$B$14:$K$20,9)/30))</f>
        <v>12.638518908952104</v>
      </c>
      <c r="BG88" s="173">
        <f ca="1">(VLOOKUP(BG$72,INDIRECT($C$5&amp;"生成成长"),2))/((VLOOKUP($B88,INDIRECT($B$5&amp;"生成成长"),4))/(VLOOKUP(BG$72,INDIRECT($C$5&amp;"生成成长"),5))*(VLOOKUP($B$5,标准坦克设计!$B$24:$U$30,MATCH("对"&amp;LEFT($C$5,2)&amp;"输出",标准坦克设计!$B$23:$U$23,0)))*(VLOOKUP($B88,INDIRECT($B$5&amp;"生成成长"),3))*(VLOOKUP($B$5,标准坦克设计!$B$14:$K$20,9)/30))</f>
        <v>13.795665549981132</v>
      </c>
      <c r="BH88" s="173">
        <f ca="1">(VLOOKUP(BH$72,INDIRECT($C$5&amp;"生成成长"),2))/((VLOOKUP($B88,INDIRECT($B$5&amp;"生成成长"),4))/(VLOOKUP(BH$72,INDIRECT($C$5&amp;"生成成长"),5))*(VLOOKUP($B$5,标准坦克设计!$B$24:$U$30,MATCH("对"&amp;LEFT($C$5,2)&amp;"输出",标准坦克设计!$B$23:$U$23,0)))*(VLOOKUP($B88,INDIRECT($B$5&amp;"生成成长"),3))*(VLOOKUP($B$5,标准坦克设计!$B$14:$K$20,9)/30))</f>
        <v>6.6682178427074339</v>
      </c>
      <c r="BI88" s="173">
        <f ca="1">(VLOOKUP(BI$72,INDIRECT($C$5&amp;"生成成长"),2))/((VLOOKUP($B88,INDIRECT($B$5&amp;"生成成长"),4))/(VLOOKUP(BI$72,INDIRECT($C$5&amp;"生成成长"),5))*(VLOOKUP($B$5,标准坦克设计!$B$24:$U$30,MATCH("对"&amp;LEFT($C$5,2)&amp;"输出",标准坦克设计!$B$23:$U$23,0)))*(VLOOKUP($B88,INDIRECT($B$5&amp;"生成成长"),3))*(VLOOKUP($B$5,标准坦克设计!$B$14:$K$20,9)/30))</f>
        <v>7.5156658693491316</v>
      </c>
      <c r="BJ88" s="173">
        <f ca="1">(VLOOKUP(BJ$72,INDIRECT($C$5&amp;"生成成长"),2))/((VLOOKUP($B88,INDIRECT($B$5&amp;"生成成长"),4))/(VLOOKUP(BJ$72,INDIRECT($C$5&amp;"生成成长"),5))*(VLOOKUP($B$5,标准坦克设计!$B$24:$U$30,MATCH("对"&amp;LEFT($C$5,2)&amp;"输出",标准坦克设计!$B$23:$U$23,0)))*(VLOOKUP($B88,INDIRECT($B$5&amp;"生成成长"),3))*(VLOOKUP($B$5,标准坦克设计!$B$14:$K$20,9)/30))</f>
        <v>8.4137918510723928</v>
      </c>
      <c r="BK88" s="173">
        <f ca="1">(VLOOKUP(BK$72,INDIRECT($C$5&amp;"生成成长"),2))/((VLOOKUP($B88,INDIRECT($B$5&amp;"生成成长"),4))/(VLOOKUP(BK$72,INDIRECT($C$5&amp;"生成成长"),5))*(VLOOKUP($B$5,标准坦克设计!$B$24:$U$30,MATCH("对"&amp;LEFT($C$5,2)&amp;"输出",标准坦克设计!$B$23:$U$23,0)))*(VLOOKUP($B88,INDIRECT($B$5&amp;"生成成长"),3))*(VLOOKUP($B$5,标准坦克设计!$B$14:$K$20,9)/30))</f>
        <v>9.3625957878772184</v>
      </c>
      <c r="BL88" s="173">
        <f ca="1">(VLOOKUP(BL$72,INDIRECT($C$5&amp;"生成成长"),2))/((VLOOKUP($B88,INDIRECT($B$5&amp;"生成成长"),4))/(VLOOKUP(BL$72,INDIRECT($C$5&amp;"生成成长"),5))*(VLOOKUP($B$5,标准坦克设计!$B$24:$U$30,MATCH("对"&amp;LEFT($C$5,2)&amp;"输出",标准坦克设计!$B$23:$U$23,0)))*(VLOOKUP($B88,INDIRECT($B$5&amp;"生成成长"),3))*(VLOOKUP($B$5,标准坦克设计!$B$14:$K$20,9)/30))</f>
        <v>10.362077679763606</v>
      </c>
      <c r="BM88" s="173">
        <f ca="1">(VLOOKUP(BM$72,INDIRECT($C$5&amp;"生成成长"),2))/((VLOOKUP($B88,INDIRECT($B$5&amp;"生成成长"),4))/(VLOOKUP(BM$72,INDIRECT($C$5&amp;"生成成长"),5))*(VLOOKUP($B$5,标准坦克设计!$B$24:$U$30,MATCH("对"&amp;LEFT($C$5,2)&amp;"输出",标准坦克设计!$B$23:$U$23,0)))*(VLOOKUP($B88,INDIRECT($B$5&amp;"生成成长"),3))*(VLOOKUP($B$5,标准坦克设计!$B$14:$K$20,9)/30))</f>
        <v>11.412237526731557</v>
      </c>
      <c r="BN88" s="173">
        <f ca="1">(VLOOKUP(BN$72,INDIRECT($C$5&amp;"生成成长"),2))/((VLOOKUP($B88,INDIRECT($B$5&amp;"生成成长"),4))/(VLOOKUP(BN$72,INDIRECT($C$5&amp;"生成成长"),5))*(VLOOKUP($B$5,标准坦克设计!$B$24:$U$30,MATCH("对"&amp;LEFT($C$5,2)&amp;"输出",标准坦克设计!$B$23:$U$23,0)))*(VLOOKUP($B88,INDIRECT($B$5&amp;"生成成长"),3))*(VLOOKUP($B$5,标准坦克设计!$B$14:$K$20,9)/30))</f>
        <v>12.513075328781071</v>
      </c>
      <c r="BO88" s="173">
        <f ca="1">(VLOOKUP(BO$72,INDIRECT($C$5&amp;"生成成长"),2))/((VLOOKUP($B88,INDIRECT($B$5&amp;"生成成长"),4))/(VLOOKUP(BO$72,INDIRECT($C$5&amp;"生成成长"),5))*(VLOOKUP($B$5,标准坦克设计!$B$24:$U$30,MATCH("对"&amp;LEFT($C$5,2)&amp;"输出",标准坦克设计!$B$23:$U$23,0)))*(VLOOKUP($B88,INDIRECT($B$5&amp;"生成成长"),3))*(VLOOKUP($B$5,标准坦克设计!$B$14:$K$20,9)/30))</f>
        <v>13.664591085912152</v>
      </c>
      <c r="BP88" s="173">
        <f ca="1">(VLOOKUP(BP$72,INDIRECT($C$5&amp;"生成成长"),2))/((VLOOKUP($B88,INDIRECT($B$5&amp;"生成成长"),4))/(VLOOKUP(BP$72,INDIRECT($C$5&amp;"生成成长"),5))*(VLOOKUP($B$5,标准坦克设计!$B$24:$U$30,MATCH("对"&amp;LEFT($C$5,2)&amp;"输出",标准坦克设计!$B$23:$U$23,0)))*(VLOOKUP($B88,INDIRECT($B$5&amp;"生成成长"),3))*(VLOOKUP($B$5,标准坦克设计!$B$14:$K$20,9)/30))</f>
        <v>14.86678479812479</v>
      </c>
      <c r="BQ88" s="173">
        <f ca="1">(VLOOKUP(BQ$72,INDIRECT($C$5&amp;"生成成长"),2))/((VLOOKUP($B88,INDIRECT($B$5&amp;"生成成长"),4))/(VLOOKUP(BQ$72,INDIRECT($C$5&amp;"生成成长"),5))*(VLOOKUP($B$5,标准坦克设计!$B$24:$U$30,MATCH("对"&amp;LEFT($C$5,2)&amp;"输出",标准坦克设计!$B$23:$U$23,0)))*(VLOOKUP($B88,INDIRECT($B$5&amp;"生成成长"),3))*(VLOOKUP($B$5,标准坦克设计!$B$14:$K$20,9)/30))</f>
        <v>16.119656465418998</v>
      </c>
      <c r="BR88" s="173">
        <f ca="1">(VLOOKUP(BR$72,INDIRECT($C$5&amp;"生成成长"),2))/((VLOOKUP($B88,INDIRECT($B$5&amp;"生成成长"),4))/(VLOOKUP(BR$72,INDIRECT($C$5&amp;"生成成长"),5))*(VLOOKUP($B$5,标准坦克设计!$B$24:$U$30,MATCH("对"&amp;LEFT($C$5,2)&amp;"输出",标准坦克设计!$B$23:$U$23,0)))*(VLOOKUP($B88,INDIRECT($B$5&amp;"生成成长"),3))*(VLOOKUP($B$5,标准坦克设计!$B$14:$K$20,9)/30))</f>
        <v>17.571173203557603</v>
      </c>
      <c r="BS88" s="173">
        <f ca="1">(VLOOKUP(BS$72,INDIRECT($C$5&amp;"生成成长"),2))/((VLOOKUP($B88,INDIRECT($B$5&amp;"生成成长"),4))/(VLOOKUP(BS$72,INDIRECT($C$5&amp;"生成成长"),5))*(VLOOKUP($B$5,标准坦克设计!$B$24:$U$30,MATCH("对"&amp;LEFT($C$5,2)&amp;"输出",标准坦克设计!$B$23:$U$23,0)))*(VLOOKUP($B88,INDIRECT($B$5&amp;"生成成长"),3))*(VLOOKUP($B$5,标准坦克设计!$B$14:$K$20,9)/30))</f>
        <v>19.085255318340113</v>
      </c>
      <c r="BT88" s="173">
        <f ca="1">(VLOOKUP(BT$72,INDIRECT($C$5&amp;"生成成长"),2))/((VLOOKUP($B88,INDIRECT($B$5&amp;"生成成长"),4))/(VLOOKUP(BT$72,INDIRECT($C$5&amp;"生成成长"),5))*(VLOOKUP($B$5,标准坦克设计!$B$24:$U$30,MATCH("对"&amp;LEFT($C$5,2)&amp;"输出",标准坦克设计!$B$23:$U$23,0)))*(VLOOKUP($B88,INDIRECT($B$5&amp;"生成成长"),3))*(VLOOKUP($B$5,标准坦克设计!$B$14:$K$20,9)/30))</f>
        <v>20.661902809766527</v>
      </c>
      <c r="BU88" s="173">
        <f ca="1">(VLOOKUP(BU$72,INDIRECT($C$5&amp;"生成成长"),2))/((VLOOKUP($B88,INDIRECT($B$5&amp;"生成成长"),4))/(VLOOKUP(BU$72,INDIRECT($C$5&amp;"生成成长"),5))*(VLOOKUP($B$5,标准坦克设计!$B$24:$U$30,MATCH("对"&amp;LEFT($C$5,2)&amp;"输出",标准坦克设计!$B$23:$U$23,0)))*(VLOOKUP($B88,INDIRECT($B$5&amp;"生成成长"),3))*(VLOOKUP($B$5,标准坦克设计!$B$14:$K$20,9)/30))</f>
        <v>22.301115677836847</v>
      </c>
      <c r="BV88" s="173">
        <f ca="1">(VLOOKUP(BV$72,INDIRECT($C$5&amp;"生成成长"),2))/((VLOOKUP($B88,INDIRECT($B$5&amp;"生成成长"),4))/(VLOOKUP(BV$72,INDIRECT($C$5&amp;"生成成长"),5))*(VLOOKUP($B$5,标准坦克设计!$B$24:$U$30,MATCH("对"&amp;LEFT($C$5,2)&amp;"输出",标准坦克设计!$B$23:$U$23,0)))*(VLOOKUP($B88,INDIRECT($B$5&amp;"生成成长"),3))*(VLOOKUP($B$5,标准坦克设计!$B$14:$K$20,9)/30))</f>
        <v>24.002893922551074</v>
      </c>
      <c r="BW88" s="173">
        <f ca="1">(VLOOKUP(BW$72,INDIRECT($C$5&amp;"生成成长"),2))/((VLOOKUP($B88,INDIRECT($B$5&amp;"生成成长"),4))/(VLOOKUP(BW$72,INDIRECT($C$5&amp;"生成成长"),5))*(VLOOKUP($B$5,标准坦克设计!$B$24:$U$30,MATCH("对"&amp;LEFT($C$5,2)&amp;"输出",标准坦克设计!$B$23:$U$23,0)))*(VLOOKUP($B88,INDIRECT($B$5&amp;"生成成长"),3))*(VLOOKUP($B$5,标准坦克设计!$B$14:$K$20,9)/30))</f>
        <v>10.939243279303634</v>
      </c>
      <c r="BX88" s="173">
        <f ca="1">(VLOOKUP(BX$72,INDIRECT($C$5&amp;"生成成长"),2))/((VLOOKUP($B88,INDIRECT($B$5&amp;"生成成长"),4))/(VLOOKUP(BX$72,INDIRECT($C$5&amp;"生成成长"),5))*(VLOOKUP($B$5,标准坦克设计!$B$24:$U$30,MATCH("对"&amp;LEFT($C$5,2)&amp;"输出",标准坦克设计!$B$23:$U$23,0)))*(VLOOKUP($B88,INDIRECT($B$5&amp;"生成成长"),3))*(VLOOKUP($B$5,标准坦克设计!$B$14:$K$20,9)/30))</f>
        <v>12.140498510866616</v>
      </c>
      <c r="BY88" s="173">
        <f ca="1">(VLOOKUP(BY$72,INDIRECT($C$5&amp;"生成成长"),2))/((VLOOKUP($B88,INDIRECT($B$5&amp;"生成成长"),4))/(VLOOKUP(BY$72,INDIRECT($C$5&amp;"生成成长"),5))*(VLOOKUP($B$5,标准坦克设计!$B$24:$U$30,MATCH("对"&amp;LEFT($C$5,2)&amp;"输出",标准坦克设计!$B$23:$U$23,0)))*(VLOOKUP($B88,INDIRECT($B$5&amp;"生成成长"),3))*(VLOOKUP($B$5,标准坦克设计!$B$14:$K$20,9)/30))</f>
        <v>13.404319119073508</v>
      </c>
      <c r="BZ88" s="173">
        <f ca="1">(VLOOKUP(BZ$72,INDIRECT($C$5&amp;"生成成长"),2))/((VLOOKUP($B88,INDIRECT($B$5&amp;"生成成长"),4))/(VLOOKUP(BZ$72,INDIRECT($C$5&amp;"生成成长"),5))*(VLOOKUP($B$5,标准坦克设计!$B$24:$U$30,MATCH("对"&amp;LEFT($C$5,2)&amp;"输出",标准坦克设计!$B$23:$U$23,0)))*(VLOOKUP($B88,INDIRECT($B$5&amp;"生成成长"),3))*(VLOOKUP($B$5,标准坦克设计!$B$14:$K$20,9)/30))</f>
        <v>14.730705103924295</v>
      </c>
      <c r="CA88" s="173">
        <f ca="1">(VLOOKUP(CA$72,INDIRECT($C$5&amp;"生成成长"),2))/((VLOOKUP($B88,INDIRECT($B$5&amp;"生成成长"),4))/(VLOOKUP(CA$72,INDIRECT($C$5&amp;"生成成长"),5))*(VLOOKUP($B$5,标准坦克设计!$B$24:$U$30,MATCH("对"&amp;LEFT($C$5,2)&amp;"输出",标准坦克设计!$B$23:$U$23,0)))*(VLOOKUP($B88,INDIRECT($B$5&amp;"生成成长"),3))*(VLOOKUP($B$5,标准坦克设计!$B$14:$K$20,9)/30))</f>
        <v>16.119656465418998</v>
      </c>
      <c r="CB88" s="173">
        <f ca="1">(VLOOKUP(CB$72,INDIRECT($C$5&amp;"生成成长"),2))/((VLOOKUP($B88,INDIRECT($B$5&amp;"生成成长"),4))/(VLOOKUP(CB$72,INDIRECT($C$5&amp;"生成成长"),5))*(VLOOKUP($B$5,标准坦克设计!$B$24:$U$30,MATCH("对"&amp;LEFT($C$5,2)&amp;"输出",标准坦克设计!$B$23:$U$23,0)))*(VLOOKUP($B88,INDIRECT($B$5&amp;"生成成长"),3))*(VLOOKUP($B$5,标准坦克设计!$B$14:$K$20,9)/30))</f>
        <v>17.571173203557603</v>
      </c>
      <c r="CC88" s="173">
        <f ca="1">(VLOOKUP(CC$72,INDIRECT($C$5&amp;"生成成长"),2))/((VLOOKUP($B88,INDIRECT($B$5&amp;"生成成长"),4))/(VLOOKUP(CC$72,INDIRECT($C$5&amp;"生成成长"),5))*(VLOOKUP($B$5,标准坦克设计!$B$24:$U$30,MATCH("对"&amp;LEFT($C$5,2)&amp;"输出",标准坦克设计!$B$23:$U$23,0)))*(VLOOKUP($B88,INDIRECT($B$5&amp;"生成成长"),3))*(VLOOKUP($B$5,标准坦克设计!$B$14:$K$20,9)/30))</f>
        <v>19.085255318340113</v>
      </c>
      <c r="CD88" s="173">
        <f ca="1">(VLOOKUP(CD$72,INDIRECT($C$5&amp;"生成成长"),2))/((VLOOKUP($B88,INDIRECT($B$5&amp;"生成成长"),4))/(VLOOKUP(CD$72,INDIRECT($C$5&amp;"生成成长"),5))*(VLOOKUP($B$5,标准坦克设计!$B$24:$U$30,MATCH("对"&amp;LEFT($C$5,2)&amp;"输出",标准坦克设计!$B$23:$U$23,0)))*(VLOOKUP($B88,INDIRECT($B$5&amp;"生成成长"),3))*(VLOOKUP($B$5,标准坦克设计!$B$14:$K$20,9)/30))</f>
        <v>20.661902809766527</v>
      </c>
      <c r="CE88" s="173">
        <f ca="1">(VLOOKUP(CE$72,INDIRECT($C$5&amp;"生成成长"),2))/((VLOOKUP($B88,INDIRECT($B$5&amp;"生成成长"),4))/(VLOOKUP(CE$72,INDIRECT($C$5&amp;"生成成长"),5))*(VLOOKUP($B$5,标准坦克设计!$B$24:$U$30,MATCH("对"&amp;LEFT($C$5,2)&amp;"输出",标准坦克设计!$B$23:$U$23,0)))*(VLOOKUP($B88,INDIRECT($B$5&amp;"生成成长"),3))*(VLOOKUP($B$5,标准坦克设计!$B$14:$K$20,9)/30))</f>
        <v>22.301115677836847</v>
      </c>
      <c r="CF88" s="173">
        <f ca="1">(VLOOKUP(CF$72,INDIRECT($C$5&amp;"生成成长"),2))/((VLOOKUP($B88,INDIRECT($B$5&amp;"生成成长"),4))/(VLOOKUP(CF$72,INDIRECT($C$5&amp;"生成成长"),5))*(VLOOKUP($B$5,标准坦克设计!$B$24:$U$30,MATCH("对"&amp;LEFT($C$5,2)&amp;"输出",标准坦克设计!$B$23:$U$23,0)))*(VLOOKUP($B88,INDIRECT($B$5&amp;"生成成长"),3))*(VLOOKUP($B$5,标准坦克设计!$B$14:$K$20,9)/30))</f>
        <v>24.002893922551074</v>
      </c>
      <c r="CG88" s="173">
        <f ca="1">(VLOOKUP(CG$72,INDIRECT($C$5&amp;"生成成长"),2))/((VLOOKUP($B88,INDIRECT($B$5&amp;"生成成长"),4))/(VLOOKUP(CG$72,INDIRECT($C$5&amp;"生成成长"),5))*(VLOOKUP($B$5,标准坦克设计!$B$24:$U$30,MATCH("对"&amp;LEFT($C$5,2)&amp;"输出",标准坦克设计!$B$23:$U$23,0)))*(VLOOKUP($B88,INDIRECT($B$5&amp;"生成成长"),3))*(VLOOKUP($B$5,标准坦克设计!$B$14:$K$20,9)/30))</f>
        <v>25.767237543909204</v>
      </c>
      <c r="CH88" s="173">
        <f ca="1">(VLOOKUP(CH$72,INDIRECT($C$5&amp;"生成成长"),2))/((VLOOKUP($B88,INDIRECT($B$5&amp;"生成成长"),4))/(VLOOKUP(CH$72,INDIRECT($C$5&amp;"生成成长"),5))*(VLOOKUP($B$5,标准坦克设计!$B$24:$U$30,MATCH("对"&amp;LEFT($C$5,2)&amp;"输出",标准坦克设计!$B$23:$U$23,0)))*(VLOOKUP($B88,INDIRECT($B$5&amp;"生成成长"),3))*(VLOOKUP($B$5,标准坦克设计!$B$14:$K$20,9)/30))</f>
        <v>27.594146541911243</v>
      </c>
      <c r="CI88" s="173">
        <f ca="1">(VLOOKUP(CI$72,INDIRECT($C$5&amp;"生成成长"),2))/((VLOOKUP($B88,INDIRECT($B$5&amp;"生成成长"),4))/(VLOOKUP(CI$72,INDIRECT($C$5&amp;"生成成长"),5))*(VLOOKUP($B$5,标准坦克设计!$B$24:$U$30,MATCH("对"&amp;LEFT($C$5,2)&amp;"输出",标准坦克设计!$B$23:$U$23,0)))*(VLOOKUP($B88,INDIRECT($B$5&amp;"生成成长"),3))*(VLOOKUP($B$5,标准坦克设计!$B$14:$K$20,9)/30))</f>
        <v>29.67600944973719</v>
      </c>
      <c r="CJ88" s="173">
        <f ca="1">(VLOOKUP(CJ$72,INDIRECT($C$5&amp;"生成成长"),2))/((VLOOKUP($B88,INDIRECT($B$5&amp;"生成成长"),4))/(VLOOKUP(CJ$72,INDIRECT($C$5&amp;"生成成长"),5))*(VLOOKUP($B$5,标准坦克设计!$B$24:$U$30,MATCH("对"&amp;LEFT($C$5,2)&amp;"输出",标准坦克设计!$B$23:$U$23,0)))*(VLOOKUP($B88,INDIRECT($B$5&amp;"生成成长"),3))*(VLOOKUP($B$5,标准坦克设计!$B$14:$K$20,9)/30))</f>
        <v>31.833576463302268</v>
      </c>
      <c r="CK88" s="173">
        <f ca="1">(VLOOKUP(CK$72,INDIRECT($C$5&amp;"生成成长"),2))/((VLOOKUP($B88,INDIRECT($B$5&amp;"生成成长"),4))/(VLOOKUP(CK$72,INDIRECT($C$5&amp;"生成成长"),5))*(VLOOKUP($B$5,标准坦克设计!$B$24:$U$30,MATCH("对"&amp;LEFT($C$5,2)&amp;"输出",标准坦克设计!$B$23:$U$23,0)))*(VLOOKUP($B88,INDIRECT($B$5&amp;"生成成长"),3))*(VLOOKUP($B$5,标准坦克设计!$B$14:$K$20,9)/30))</f>
        <v>34.066847582606471</v>
      </c>
      <c r="CL88" s="173">
        <f ca="1">(VLOOKUP(CL$72,INDIRECT($C$5&amp;"生成成长"),2))/((VLOOKUP($B88,INDIRECT($B$5&amp;"生成成长"),4))/(VLOOKUP(CL$72,INDIRECT($C$5&amp;"生成成长"),5))*(VLOOKUP($B$5,标准坦克设计!$B$24:$U$30,MATCH("对"&amp;LEFT($C$5,2)&amp;"输出",标准坦克设计!$B$23:$U$23,0)))*(VLOOKUP($B88,INDIRECT($B$5&amp;"生成成长"),3))*(VLOOKUP($B$5,标准坦克设计!$B$14:$K$20,9)/30))</f>
        <v>36.37582280764979</v>
      </c>
      <c r="CM88" s="173">
        <f ca="1">(VLOOKUP(CM$72,INDIRECT($C$5&amp;"生成成长"),2))/((VLOOKUP($B88,INDIRECT($B$5&amp;"生成成长"),4))/(VLOOKUP(CM$72,INDIRECT($C$5&amp;"生成成长"),5))*(VLOOKUP($B$5,标准坦克设计!$B$24:$U$30,MATCH("对"&amp;LEFT($C$5,2)&amp;"输出",标准坦克设计!$B$23:$U$23,0)))*(VLOOKUP($B88,INDIRECT($B$5&amp;"生成成长"),3))*(VLOOKUP($B$5,标准坦克设计!$B$14:$K$20,9)/30))</f>
        <v>38.760502138432251</v>
      </c>
      <c r="CN88" s="173">
        <f ca="1">(VLOOKUP(CN$72,INDIRECT($C$5&amp;"生成成长"),2))/((VLOOKUP($B88,INDIRECT($B$5&amp;"生成成长"),4))/(VLOOKUP(CN$72,INDIRECT($C$5&amp;"生成成长"),5))*(VLOOKUP($B$5,标准坦克设计!$B$24:$U$30,MATCH("对"&amp;LEFT($C$5,2)&amp;"输出",标准坦克设计!$B$23:$U$23,0)))*(VLOOKUP($B88,INDIRECT($B$5&amp;"生成成长"),3))*(VLOOKUP($B$5,标准坦克设计!$B$14:$K$20,9)/30))</f>
        <v>41.220885574953833</v>
      </c>
      <c r="CO88" s="173">
        <f ca="1">(VLOOKUP(CO$72,INDIRECT($C$5&amp;"生成成长"),2))/((VLOOKUP($B88,INDIRECT($B$5&amp;"生成成长"),4))/(VLOOKUP(CO$72,INDIRECT($C$5&amp;"生成成长"),5))*(VLOOKUP($B$5,标准坦克设计!$B$24:$U$30,MATCH("对"&amp;LEFT($C$5,2)&amp;"输出",标准坦克设计!$B$23:$U$23,0)))*(VLOOKUP($B88,INDIRECT($B$5&amp;"生成成长"),3))*(VLOOKUP($B$5,标准坦克设计!$B$14:$K$20,9)/30))</f>
        <v>18.472114627229836</v>
      </c>
      <c r="CP88" s="173">
        <f ca="1">(VLOOKUP(CP$72,INDIRECT($C$5&amp;"生成成长"),2))/((VLOOKUP($B88,INDIRECT($B$5&amp;"生成成长"),4))/(VLOOKUP(CP$72,INDIRECT($C$5&amp;"生成成长"),5))*(VLOOKUP($B$5,标准坦克设计!$B$24:$U$30,MATCH("对"&amp;LEFT($C$5,2)&amp;"输出",标准坦克设计!$B$23:$U$23,0)))*(VLOOKUP($B88,INDIRECT($B$5&amp;"生成成长"),3))*(VLOOKUP($B$5,标准坦克设计!$B$14:$K$20,9)/30))</f>
        <v>20.182339197790991</v>
      </c>
      <c r="CQ88" s="173">
        <f ca="1">(VLOOKUP(CQ$72,INDIRECT($C$5&amp;"生成成长"),2))/((VLOOKUP($B88,INDIRECT($B$5&amp;"生成成长"),4))/(VLOOKUP(CQ$72,INDIRECT($C$5&amp;"生成成长"),5))*(VLOOKUP($B$5,标准坦克设计!$B$24:$U$30,MATCH("对"&amp;LEFT($C$5,2)&amp;"输出",标准坦克设计!$B$23:$U$23,0)))*(VLOOKUP($B88,INDIRECT($B$5&amp;"生成成长"),3))*(VLOOKUP($B$5,标准坦克设计!$B$14:$K$20,9)/30))</f>
        <v>21.968267874091271</v>
      </c>
      <c r="CR88" s="173">
        <f ca="1">(VLOOKUP(CR$72,INDIRECT($C$5&amp;"生成成长"),2))/((VLOOKUP($B88,INDIRECT($B$5&amp;"生成成长"),4))/(VLOOKUP(CR$72,INDIRECT($C$5&amp;"生成成长"),5))*(VLOOKUP($B$5,标准坦克设计!$B$24:$U$30,MATCH("对"&amp;LEFT($C$5,2)&amp;"输出",标准坦克设计!$B$23:$U$23,0)))*(VLOOKUP($B88,INDIRECT($B$5&amp;"生成成长"),3))*(VLOOKUP($B$5,标准坦克设计!$B$14:$K$20,9)/30))</f>
        <v>23.829900656130679</v>
      </c>
      <c r="CS88" s="173">
        <f ca="1">(VLOOKUP(CS$72,INDIRECT($C$5&amp;"生成成长"),2))/((VLOOKUP($B88,INDIRECT($B$5&amp;"生成成长"),4))/(VLOOKUP(CS$72,INDIRECT($C$5&amp;"生成成长"),5))*(VLOOKUP($B$5,标准坦克设计!$B$24:$U$30,MATCH("对"&amp;LEFT($C$5,2)&amp;"输出",标准坦克设计!$B$23:$U$23,0)))*(VLOOKUP($B88,INDIRECT($B$5&amp;"生成成长"),3))*(VLOOKUP($B$5,标准坦克设计!$B$14:$K$20,9)/30))</f>
        <v>25.767237543909204</v>
      </c>
      <c r="CT88" s="173">
        <f ca="1">(VLOOKUP(CT$72,INDIRECT($C$5&amp;"生成成长"),2))/((VLOOKUP($B88,INDIRECT($B$5&amp;"生成成长"),4))/(VLOOKUP(CT$72,INDIRECT($C$5&amp;"生成成长"),5))*(VLOOKUP($B$5,标准坦克设计!$B$24:$U$30,MATCH("对"&amp;LEFT($C$5,2)&amp;"输出",标准坦克设计!$B$23:$U$23,0)))*(VLOOKUP($B88,INDIRECT($B$5&amp;"生成成长"),3))*(VLOOKUP($B$5,标准坦克设计!$B$14:$K$20,9)/30))</f>
        <v>27.780278537426859</v>
      </c>
      <c r="CU88" s="173">
        <f ca="1">(VLOOKUP(CU$72,INDIRECT($C$5&amp;"生成成长"),2))/((VLOOKUP($B88,INDIRECT($B$5&amp;"生成成长"),4))/(VLOOKUP(CU$72,INDIRECT($C$5&amp;"生成成长"),5))*(VLOOKUP($B$5,标准坦克设计!$B$24:$U$30,MATCH("对"&amp;LEFT($C$5,2)&amp;"输出",标准坦克设计!$B$23:$U$23,0)))*(VLOOKUP($B88,INDIRECT($B$5&amp;"生成成长"),3))*(VLOOKUP($B$5,标准坦克设计!$B$14:$K$20,9)/30))</f>
        <v>29.869023636683643</v>
      </c>
      <c r="CV88" s="173">
        <f ca="1">(VLOOKUP(CV$72,INDIRECT($C$5&amp;"生成成长"),2))/((VLOOKUP($B88,INDIRECT($B$5&amp;"生成成长"),4))/(VLOOKUP(CV$72,INDIRECT($C$5&amp;"生成成长"),5))*(VLOOKUP($B$5,标准坦克设计!$B$24:$U$30,MATCH("对"&amp;LEFT($C$5,2)&amp;"输出",标准坦克设计!$B$23:$U$23,0)))*(VLOOKUP($B88,INDIRECT($B$5&amp;"生成成长"),3))*(VLOOKUP($B$5,标准坦克设计!$B$14:$K$20,9)/30))</f>
        <v>32.033472841679547</v>
      </c>
      <c r="CW88" s="173">
        <f ca="1">(VLOOKUP(CW$72,INDIRECT($C$5&amp;"生成成长"),2))/((VLOOKUP($B88,INDIRECT($B$5&amp;"生成成长"),4))/(VLOOKUP(CW$72,INDIRECT($C$5&amp;"生成成长"),5))*(VLOOKUP($B$5,标准坦克设计!$B$24:$U$30,MATCH("对"&amp;LEFT($C$5,2)&amp;"输出",标准坦克设计!$B$23:$U$23,0)))*(VLOOKUP($B88,INDIRECT($B$5&amp;"生成成长"),3))*(VLOOKUP($B$5,标准坦克设计!$B$14:$K$20,9)/30))</f>
        <v>34.273626152414572</v>
      </c>
      <c r="CX88" s="173">
        <f ca="1">(VLOOKUP(CX$72,INDIRECT($C$5&amp;"生成成长"),2))/((VLOOKUP($B88,INDIRECT($B$5&amp;"生成成长"),4))/(VLOOKUP(CX$72,INDIRECT($C$5&amp;"生成成长"),5))*(VLOOKUP($B$5,标准坦克设计!$B$24:$U$30,MATCH("对"&amp;LEFT($C$5,2)&amp;"输出",标准坦克设计!$B$23:$U$23,0)))*(VLOOKUP($B88,INDIRECT($B$5&amp;"生成成长"),3))*(VLOOKUP($B$5,标准坦克设计!$B$14:$K$20,9)/30))</f>
        <v>36.589483568888738</v>
      </c>
      <c r="CY88" s="173">
        <f ca="1">(VLOOKUP(CY$72,INDIRECT($C$5&amp;"生成成长"),2))/((VLOOKUP($B88,INDIRECT($B$5&amp;"生成成长"),4))/(VLOOKUP(CY$72,INDIRECT($C$5&amp;"生成成长"),5))*(VLOOKUP($B$5,标准坦克设计!$B$24:$U$30,MATCH("对"&amp;LEFT($C$5,2)&amp;"输出",标准坦克设计!$B$23:$U$23,0)))*(VLOOKUP($B88,INDIRECT($B$5&amp;"生成成长"),3))*(VLOOKUP($B$5,标准坦克设计!$B$14:$K$20,9)/30))</f>
        <v>38.981045091102018</v>
      </c>
      <c r="CZ88" s="173">
        <f ca="1">(VLOOKUP(CZ$72,INDIRECT($C$5&amp;"生成成长"),2))/((VLOOKUP($B88,INDIRECT($B$5&amp;"生成成长"),4))/(VLOOKUP(CZ$72,INDIRECT($C$5&amp;"生成成长"),5))*(VLOOKUP($B$5,标准坦克设计!$B$24:$U$30,MATCH("对"&amp;LEFT($C$5,2)&amp;"输出",标准坦克设计!$B$23:$U$23,0)))*(VLOOKUP($B88,INDIRECT($B$5&amp;"生成成长"),3))*(VLOOKUP($B$5,标准坦克设计!$B$14:$K$20,9)/30))</f>
        <v>41.448310719054426</v>
      </c>
      <c r="DA88" s="173">
        <f ca="1">(VLOOKUP(DA$72,INDIRECT($C$5&amp;"生成成长"),2))/((VLOOKUP($B88,INDIRECT($B$5&amp;"生成成长"),4))/(VLOOKUP(DA$72,INDIRECT($C$5&amp;"生成成长"),5))*(VLOOKUP($B$5,标准坦克设计!$B$24:$U$30,MATCH("对"&amp;LEFT($C$5,2)&amp;"输出",标准坦克设计!$B$23:$U$23,0)))*(VLOOKUP($B88,INDIRECT($B$5&amp;"生成成长"),3))*(VLOOKUP($B$5,标准坦克设计!$B$14:$K$20,9)/30))</f>
        <v>43.991280452745961</v>
      </c>
      <c r="DB88" s="173">
        <f ca="1">(VLOOKUP(DB$72,INDIRECT($C$5&amp;"生成成长"),2))/((VLOOKUP($B88,INDIRECT($B$5&amp;"生成成长"),4))/(VLOOKUP(DB$72,INDIRECT($C$5&amp;"生成成长"),5))*(VLOOKUP($B$5,标准坦克设计!$B$24:$U$30,MATCH("对"&amp;LEFT($C$5,2)&amp;"输出",标准坦克设计!$B$23:$U$23,0)))*(VLOOKUP($B88,INDIRECT($B$5&amp;"生成成长"),3))*(VLOOKUP($B$5,标准坦克设计!$B$14:$K$20,9)/30))</f>
        <v>46.609954292176617</v>
      </c>
      <c r="DC88" s="173">
        <f ca="1">(VLOOKUP(DC$72,INDIRECT($C$5&amp;"生成成长"),2))/((VLOOKUP($B88,INDIRECT($B$5&amp;"生成成长"),4))/(VLOOKUP(DC$72,INDIRECT($C$5&amp;"生成成长"),5))*(VLOOKUP($B$5,标准坦克设计!$B$24:$U$30,MATCH("对"&amp;LEFT($C$5,2)&amp;"输出",标准坦克设计!$B$23:$U$23,0)))*(VLOOKUP($B88,INDIRECT($B$5&amp;"生成成长"),3))*(VLOOKUP($B$5,标准坦克设计!$B$14:$K$20,9)/30))</f>
        <v>49.553029609505927</v>
      </c>
      <c r="DD88" s="173">
        <f ca="1">(VLOOKUP(DD$72,INDIRECT($C$5&amp;"生成成长"),2))/((VLOOKUP($B88,INDIRECT($B$5&amp;"生成成长"),4))/(VLOOKUP(DD$72,INDIRECT($C$5&amp;"生成成长"),5))*(VLOOKUP($B$5,标准坦克设计!$B$24:$U$30,MATCH("对"&amp;LEFT($C$5,2)&amp;"输出",标准坦克设计!$B$23:$U$23,0)))*(VLOOKUP($B88,INDIRECT($B$5&amp;"生成成长"),3))*(VLOOKUP($B$5,标准坦克设计!$B$14:$K$20,9)/30))</f>
        <v>52.586199069202458</v>
      </c>
      <c r="DE88" s="173">
        <f ca="1">(VLOOKUP(DE$72,INDIRECT($C$5&amp;"生成成长"),2))/((VLOOKUP($B88,INDIRECT($B$5&amp;"生成成长"),4))/(VLOOKUP(DE$72,INDIRECT($C$5&amp;"生成成长"),5))*(VLOOKUP($B$5,标准坦克设计!$B$24:$U$30,MATCH("对"&amp;LEFT($C$5,2)&amp;"输出",标准坦克设计!$B$23:$U$23,0)))*(VLOOKUP($B88,INDIRECT($B$5&amp;"生成成长"),3))*(VLOOKUP($B$5,标准坦克设计!$B$14:$K$20,9)/30))</f>
        <v>55.709462671266216</v>
      </c>
      <c r="DF88" s="173">
        <f ca="1">(VLOOKUP(DF$72,INDIRECT($C$5&amp;"生成成长"),2))/((VLOOKUP($B88,INDIRECT($B$5&amp;"生成成长"),4))/(VLOOKUP(DF$72,INDIRECT($C$5&amp;"生成成长"),5))*(VLOOKUP($B$5,标准坦克设计!$B$24:$U$30,MATCH("对"&amp;LEFT($C$5,2)&amp;"输出",标准坦克设计!$B$23:$U$23,0)))*(VLOOKUP($B88,INDIRECT($B$5&amp;"生成成长"),3))*(VLOOKUP($B$5,标准坦克设计!$B$14:$K$20,9)/30))</f>
        <v>58.922820415697181</v>
      </c>
      <c r="DG88" s="173">
        <f ca="1">(VLOOKUP(DG$72,INDIRECT($C$5&amp;"生成成长"),2))/((VLOOKUP($B88,INDIRECT($B$5&amp;"生成成长"),4))/(VLOOKUP(DG$72,INDIRECT($C$5&amp;"生成成长"),5))*(VLOOKUP($B$5,标准坦克设计!$B$24:$U$30,MATCH("对"&amp;LEFT($C$5,2)&amp;"输出",标准坦克设计!$B$23:$U$23,0)))*(VLOOKUP($B88,INDIRECT($B$5&amp;"生成成长"),3))*(VLOOKUP($B$5,标准坦克设计!$B$14:$K$20,9)/30))</f>
        <v>62.226272302495396</v>
      </c>
      <c r="DH88" s="173">
        <f ca="1">(VLOOKUP(DH$72,INDIRECT($C$5&amp;"生成成长"),2))/((VLOOKUP($B88,INDIRECT($B$5&amp;"生成成长"),4))/(VLOOKUP(DH$72,INDIRECT($C$5&amp;"生成成长"),5))*(VLOOKUP($B$5,标准坦克设计!$B$24:$U$30,MATCH("对"&amp;LEFT($C$5,2)&amp;"输出",标准坦克设计!$B$23:$U$23,0)))*(VLOOKUP($B88,INDIRECT($B$5&amp;"生成成长"),3))*(VLOOKUP($B$5,标准坦克设计!$B$14:$K$20,9)/30))</f>
        <v>65.619818331660838</v>
      </c>
      <c r="DI88" s="173">
        <f ca="1">(VLOOKUP(DI$72,INDIRECT($C$5&amp;"生成成长"),2))/((VLOOKUP($B88,INDIRECT($B$5&amp;"生成成长"),4))/(VLOOKUP(DI$72,INDIRECT($C$5&amp;"生成成长"),5))*(VLOOKUP($B$5,标准坦克设计!$B$24:$U$30,MATCH("对"&amp;LEFT($C$5,2)&amp;"输出",标准坦克设计!$B$23:$U$23,0)))*(VLOOKUP($B88,INDIRECT($B$5&amp;"生成成长"),3))*(VLOOKUP($B$5,标准坦克设计!$B$14:$K$20,9)/30))</f>
        <v>69.103458503193465</v>
      </c>
      <c r="DJ88" s="173">
        <f ca="1">(VLOOKUP(DJ$72,INDIRECT($C$5&amp;"生成成长"),2))/((VLOOKUP($B88,INDIRECT($B$5&amp;"生成成长"),4))/(VLOOKUP(DJ$72,INDIRECT($C$5&amp;"生成成长"),5))*(VLOOKUP($B$5,标准坦克设计!$B$24:$U$30,MATCH("对"&amp;LEFT($C$5,2)&amp;"输出",标准坦克设计!$B$23:$U$23,0)))*(VLOOKUP($B88,INDIRECT($B$5&amp;"生成成长"),3))*(VLOOKUP($B$5,标准坦克设计!$B$14:$K$20,9)/30))</f>
        <v>6.9450696343567149</v>
      </c>
      <c r="DK88" s="173">
        <f ca="1">(VLOOKUP(DK$72,INDIRECT($C$5&amp;"生成成长"),2))/((VLOOKUP($B88,INDIRECT($B$5&amp;"生成成长"),4))/(VLOOKUP(DK$72,INDIRECT($C$5&amp;"生成成长"),5))*(VLOOKUP($B$5,标准坦克设计!$B$24:$U$30,MATCH("对"&amp;LEFT($C$5,2)&amp;"输出",标准坦克设计!$B$23:$U$23,0)))*(VLOOKUP($B88,INDIRECT($B$5&amp;"生成成长"),3))*(VLOOKUP($B$5,标准坦克设计!$B$14:$K$20,9)/30))</f>
        <v>7.8094103126922683</v>
      </c>
      <c r="DL88" s="173">
        <f ca="1">(VLOOKUP(DL$72,INDIRECT($C$5&amp;"生成成长"),2))/((VLOOKUP($B88,INDIRECT($B$5&amp;"生成成长"),4))/(VLOOKUP(DL$72,INDIRECT($C$5&amp;"生成成长"),5))*(VLOOKUP($B$5,标准坦克设计!$B$24:$U$30,MATCH("对"&amp;LEFT($C$5,2)&amp;"输出",标准坦克设计!$B$23:$U$23,0)))*(VLOOKUP($B88,INDIRECT($B$5&amp;"生成成长"),3))*(VLOOKUP($B$5,标准坦克设计!$B$14:$K$20,9)/30))</f>
        <v>8.7244289461093825</v>
      </c>
      <c r="DM88" s="173">
        <f ca="1">(VLOOKUP(DM$72,INDIRECT($C$5&amp;"生成成长"),2))/((VLOOKUP($B88,INDIRECT($B$5&amp;"生成成长"),4))/(VLOOKUP(DM$72,INDIRECT($C$5&amp;"生成成长"),5))*(VLOOKUP($B$5,标准坦克设计!$B$24:$U$30,MATCH("对"&amp;LEFT($C$5,2)&amp;"输出",标准坦克设计!$B$23:$U$23,0)))*(VLOOKUP($B88,INDIRECT($B$5&amp;"生成成长"),3))*(VLOOKUP($B$5,标准坦克设计!$B$14:$K$20,9)/30))</f>
        <v>9.6901255346080628</v>
      </c>
      <c r="DN88" s="173">
        <f ca="1">(VLOOKUP(DN$72,INDIRECT($C$5&amp;"生成成长"),2))/((VLOOKUP($B88,INDIRECT($B$5&amp;"生成成长"),4))/(VLOOKUP(DN$72,INDIRECT($C$5&amp;"生成成长"),5))*(VLOOKUP($B$5,标准坦克设计!$B$24:$U$30,MATCH("对"&amp;LEFT($C$5,2)&amp;"输出",标准坦克设计!$B$23:$U$23,0)))*(VLOOKUP($B88,INDIRECT($B$5&amp;"生成成长"),3))*(VLOOKUP($B$5,标准坦克设计!$B$14:$K$20,9)/30))</f>
        <v>10.706500078188306</v>
      </c>
      <c r="DO88" s="173">
        <f ca="1">(VLOOKUP(DO$72,INDIRECT($C$5&amp;"生成成长"),2))/((VLOOKUP($B88,INDIRECT($B$5&amp;"生成成长"),4))/(VLOOKUP(DO$72,INDIRECT($C$5&amp;"生成成长"),5))*(VLOOKUP($B$5,标准坦克设计!$B$24:$U$30,MATCH("对"&amp;LEFT($C$5,2)&amp;"输出",标准坦克设计!$B$23:$U$23,0)))*(VLOOKUP($B88,INDIRECT($B$5&amp;"生成成长"),3))*(VLOOKUP($B$5,标准坦克设计!$B$14:$K$20,9)/30))</f>
        <v>11.773552576850111</v>
      </c>
      <c r="DP88" s="173">
        <f ca="1">(VLOOKUP(DP$72,INDIRECT($C$5&amp;"生成成长"),2))/((VLOOKUP($B88,INDIRECT($B$5&amp;"生成成长"),4))/(VLOOKUP(DP$72,INDIRECT($C$5&amp;"生成成长"),5))*(VLOOKUP($B$5,标准坦克设计!$B$24:$U$30,MATCH("对"&amp;LEFT($C$5,2)&amp;"输出",标准坦克设计!$B$23:$U$23,0)))*(VLOOKUP($B88,INDIRECT($B$5&amp;"生成成长"),3))*(VLOOKUP($B$5,标准坦克设计!$B$14:$K$20,9)/30))</f>
        <v>12.891283030593481</v>
      </c>
      <c r="DQ88" s="173">
        <f ca="1">(VLOOKUP(DQ$72,INDIRECT($C$5&amp;"生成成长"),2))/((VLOOKUP($B88,INDIRECT($B$5&amp;"生成成长"),4))/(VLOOKUP(DQ$72,INDIRECT($C$5&amp;"生成成长"),5))*(VLOOKUP($B$5,标准坦克设计!$B$24:$U$30,MATCH("对"&amp;LEFT($C$5,2)&amp;"输出",标准坦克设计!$B$23:$U$23,0)))*(VLOOKUP($B88,INDIRECT($B$5&amp;"生成成长"),3))*(VLOOKUP($B$5,标准坦克设计!$B$14:$K$20,9)/30))</f>
        <v>14.059691439418414</v>
      </c>
      <c r="DR88" s="173">
        <f ca="1">(VLOOKUP(DR$72,INDIRECT($C$5&amp;"生成成长"),2))/((VLOOKUP($B88,INDIRECT($B$5&amp;"生成成长"),4))/(VLOOKUP(DR$72,INDIRECT($C$5&amp;"生成成长"),5))*(VLOOKUP($B$5,标准坦克设计!$B$24:$U$30,MATCH("对"&amp;LEFT($C$5,2)&amp;"输出",标准坦克设计!$B$23:$U$23,0)))*(VLOOKUP($B88,INDIRECT($B$5&amp;"生成成长"),3))*(VLOOKUP($B$5,标准坦克设计!$B$14:$K$20,9)/30))</f>
        <v>15.278777803324909</v>
      </c>
      <c r="DS88" s="173">
        <f ca="1">(VLOOKUP(DS$72,INDIRECT($C$5&amp;"生成成长"),2))/((VLOOKUP($B88,INDIRECT($B$5&amp;"生成成长"),4))/(VLOOKUP(DS$72,INDIRECT($C$5&amp;"生成成长"),5))*(VLOOKUP($B$5,标准坦克设计!$B$24:$U$30,MATCH("对"&amp;LEFT($C$5,2)&amp;"输出",标准坦克设计!$B$23:$U$23,0)))*(VLOOKUP($B88,INDIRECT($B$5&amp;"生成成长"),3))*(VLOOKUP($B$5,标准坦克设计!$B$14:$K$20,9)/30))</f>
        <v>16.54854212231297</v>
      </c>
      <c r="DT88" s="173">
        <f ca="1">(VLOOKUP(DT$72,INDIRECT($C$5&amp;"生成成长"),2))/((VLOOKUP($B88,INDIRECT($B$5&amp;"生成成长"),4))/(VLOOKUP(DT$72,INDIRECT($C$5&amp;"生成成长"),5))*(VLOOKUP($B$5,标准坦克设计!$B$24:$U$30,MATCH("对"&amp;LEFT($C$5,2)&amp;"输出",标准坦克设计!$B$23:$U$23,0)))*(VLOOKUP($B88,INDIRECT($B$5&amp;"生成成长"),3))*(VLOOKUP($B$5,标准坦克设计!$B$14:$K$20,9)/30))</f>
        <v>18.169298204273336</v>
      </c>
      <c r="DU88" s="173">
        <f ca="1">(VLOOKUP(DU$72,INDIRECT($C$5&amp;"生成成长"),2))/((VLOOKUP($B88,INDIRECT($B$5&amp;"生成成长"),4))/(VLOOKUP(DU$72,INDIRECT($C$5&amp;"生成成长"),5))*(VLOOKUP($B$5,标准坦克设计!$B$24:$U$30,MATCH("对"&amp;LEFT($C$5,2)&amp;"输出",标准坦克设计!$B$23:$U$23,0)))*(VLOOKUP($B88,INDIRECT($B$5&amp;"生成成长"),3))*(VLOOKUP($B$5,标准坦克设计!$B$14:$K$20,9)/30))</f>
        <v>19.865758391972832</v>
      </c>
      <c r="DV88" s="173">
        <f ca="1">(VLOOKUP(DV$72,INDIRECT($C$5&amp;"生成成长"),2))/((VLOOKUP($B88,INDIRECT($B$5&amp;"生成成长"),4))/(VLOOKUP(DV$72,INDIRECT($C$5&amp;"生成成长"),5))*(VLOOKUP($B$5,标准坦克设计!$B$24:$U$30,MATCH("对"&amp;LEFT($C$5,2)&amp;"输出",标准坦克设计!$B$23:$U$23,0)))*(VLOOKUP($B88,INDIRECT($B$5&amp;"生成成长"),3))*(VLOOKUP($B$5,标准坦克设计!$B$14:$K$20,9)/30))</f>
        <v>21.63792268541145</v>
      </c>
      <c r="DW88" s="173">
        <f ca="1">(VLOOKUP(DW$72,INDIRECT($C$5&amp;"生成成长"),2))/((VLOOKUP($B88,INDIRECT($B$5&amp;"生成成长"),4))/(VLOOKUP(DW$72,INDIRECT($C$5&amp;"生成成长"),5))*(VLOOKUP($B$5,标准坦克设计!$B$24:$U$30,MATCH("对"&amp;LEFT($C$5,2)&amp;"输出",标准坦克设计!$B$23:$U$23,0)))*(VLOOKUP($B88,INDIRECT($B$5&amp;"生成成长"),3))*(VLOOKUP($B$5,标准坦克设计!$B$14:$K$20,9)/30))</f>
        <v>23.485791084589199</v>
      </c>
      <c r="DX88" s="173">
        <f ca="1">(VLOOKUP(DX$72,INDIRECT($C$5&amp;"生成成长"),2))/((VLOOKUP($B88,INDIRECT($B$5&amp;"生成成长"),4))/(VLOOKUP(DX$72,INDIRECT($C$5&amp;"生成成长"),5))*(VLOOKUP($B$5,标准坦克设计!$B$24:$U$30,MATCH("对"&amp;LEFT($C$5,2)&amp;"输出",标准坦克设计!$B$23:$U$23,0)))*(VLOOKUP($B88,INDIRECT($B$5&amp;"生成成长"),3))*(VLOOKUP($B$5,标准坦克设计!$B$14:$K$20,9)/30))</f>
        <v>25.409363589506068</v>
      </c>
      <c r="DY88" s="173">
        <f ca="1">(VLOOKUP(DY$72,INDIRECT($C$5&amp;"生成成长"),2))/((VLOOKUP($B88,INDIRECT($B$5&amp;"生成成长"),4))/(VLOOKUP(DY$72,INDIRECT($C$5&amp;"生成成长"),5))*(VLOOKUP($B$5,标准坦克设计!$B$24:$U$30,MATCH("对"&amp;LEFT($C$5,2)&amp;"输出",标准坦克设计!$B$23:$U$23,0)))*(VLOOKUP($B88,INDIRECT($B$5&amp;"生成成长"),3))*(VLOOKUP($B$5,标准坦克设计!$B$14:$K$20,9)/30))</f>
        <v>11.412237526731557</v>
      </c>
      <c r="DZ88" s="173">
        <f ca="1">(VLOOKUP(DZ$72,INDIRECT($C$5&amp;"生成成长"),2))/((VLOOKUP($B88,INDIRECT($B$5&amp;"生成成长"),4))/(VLOOKUP(DZ$72,INDIRECT($C$5&amp;"生成成长"),5))*(VLOOKUP($B$5,标准坦克设计!$B$24:$U$30,MATCH("对"&amp;LEFT($C$5,2)&amp;"输出",标准坦克设计!$B$23:$U$23,0)))*(VLOOKUP($B88,INDIRECT($B$5&amp;"生成成长"),3))*(VLOOKUP($B$5,标准坦克设计!$B$14:$K$20,9)/30))</f>
        <v>12.638518908952104</v>
      </c>
      <c r="EA88" s="173">
        <f ca="1">(VLOOKUP(EA$72,INDIRECT($C$5&amp;"生成成长"),2))/((VLOOKUP($B88,INDIRECT($B$5&amp;"生成成长"),4))/(VLOOKUP(EA$72,INDIRECT($C$5&amp;"生成成长"),5))*(VLOOKUP($B$5,标准坦克设计!$B$24:$U$30,MATCH("对"&amp;LEFT($C$5,2)&amp;"输出",标准坦克设计!$B$23:$U$23,0)))*(VLOOKUP($B88,INDIRECT($B$5&amp;"生成成长"),3))*(VLOOKUP($B$5,标准坦克设计!$B$14:$K$20,9)/30))</f>
        <v>13.927365667816554</v>
      </c>
      <c r="EB88" s="173">
        <f ca="1">(VLOOKUP(EB$72,INDIRECT($C$5&amp;"生成成长"),2))/((VLOOKUP($B88,INDIRECT($B$5&amp;"生成成长"),4))/(VLOOKUP(EB$72,INDIRECT($C$5&amp;"生成成长"),5))*(VLOOKUP($B$5,标准坦克设计!$B$24:$U$30,MATCH("对"&amp;LEFT($C$5,2)&amp;"输出",标准坦克设计!$B$23:$U$23,0)))*(VLOOKUP($B88,INDIRECT($B$5&amp;"生成成长"),3))*(VLOOKUP($B$5,标准坦克设计!$B$14:$K$20,9)/30))</f>
        <v>15.278777803324909</v>
      </c>
      <c r="EC88" s="173">
        <f ca="1">(VLOOKUP(EC$72,INDIRECT($C$5&amp;"生成成长"),2))/((VLOOKUP($B88,INDIRECT($B$5&amp;"生成成长"),4))/(VLOOKUP(EC$72,INDIRECT($C$5&amp;"生成成长"),5))*(VLOOKUP($B$5,标准坦克设计!$B$24:$U$30,MATCH("对"&amp;LEFT($C$5,2)&amp;"输出",标准坦克设计!$B$23:$U$23,0)))*(VLOOKUP($B88,INDIRECT($B$5&amp;"生成成长"),3))*(VLOOKUP($B$5,标准坦克设计!$B$14:$K$20,9)/30))</f>
        <v>16.692755315477172</v>
      </c>
      <c r="ED88" s="173">
        <f ca="1">(VLOOKUP(ED$72,INDIRECT($C$5&amp;"生成成长"),2))/((VLOOKUP($B88,INDIRECT($B$5&amp;"生成成长"),4))/(VLOOKUP(ED$72,INDIRECT($C$5&amp;"生成成长"),5))*(VLOOKUP($B$5,标准坦克设计!$B$24:$U$30,MATCH("对"&amp;LEFT($C$5,2)&amp;"输出",标准坦克设计!$B$23:$U$23,0)))*(VLOOKUP($B88,INDIRECT($B$5&amp;"生成成长"),3))*(VLOOKUP($B$5,标准坦克设计!$B$14:$K$20,9)/30))</f>
        <v>18.169298204273336</v>
      </c>
      <c r="EE88" s="173">
        <f ca="1">(VLOOKUP(EE$72,INDIRECT($C$5&amp;"生成成长"),2))/((VLOOKUP($B88,INDIRECT($B$5&amp;"生成成长"),4))/(VLOOKUP(EE$72,INDIRECT($C$5&amp;"生成成长"),5))*(VLOOKUP($B$5,标准坦克设计!$B$24:$U$30,MATCH("对"&amp;LEFT($C$5,2)&amp;"输出",标准坦克设计!$B$23:$U$23,0)))*(VLOOKUP($B88,INDIRECT($B$5&amp;"生成成长"),3))*(VLOOKUP($B$5,标准坦克设计!$B$14:$K$20,9)/30))</f>
        <v>19.70840646971341</v>
      </c>
      <c r="EF88" s="173">
        <f ca="1">(VLOOKUP(EF$72,INDIRECT($C$5&amp;"生成成长"),2))/((VLOOKUP($B88,INDIRECT($B$5&amp;"生成成长"),4))/(VLOOKUP(EF$72,INDIRECT($C$5&amp;"生成成长"),5))*(VLOOKUP($B$5,标准坦克设计!$B$24:$U$30,MATCH("对"&amp;LEFT($C$5,2)&amp;"输出",标准坦克设计!$B$23:$U$23,0)))*(VLOOKUP($B88,INDIRECT($B$5&amp;"生成成长"),3))*(VLOOKUP($B$5,标准坦克设计!$B$14:$K$20,9)/30))</f>
        <v>21.31008011179739</v>
      </c>
      <c r="EG88" s="173">
        <f ca="1">(VLOOKUP(EG$72,INDIRECT($C$5&amp;"生成成长"),2))/((VLOOKUP($B88,INDIRECT($B$5&amp;"生成成长"),4))/(VLOOKUP(EG$72,INDIRECT($C$5&amp;"生成成长"),5))*(VLOOKUP($B$5,标准坦克设计!$B$24:$U$30,MATCH("对"&amp;LEFT($C$5,2)&amp;"输出",标准坦克设计!$B$23:$U$23,0)))*(VLOOKUP($B88,INDIRECT($B$5&amp;"生成成长"),3))*(VLOOKUP($B$5,标准坦克设计!$B$14:$K$20,9)/30))</f>
        <v>22.974319130525267</v>
      </c>
      <c r="EH88" s="173">
        <f ca="1">(VLOOKUP(EH$72,INDIRECT($C$5&amp;"生成成长"),2))/((VLOOKUP($B88,INDIRECT($B$5&amp;"生成成长"),4))/(VLOOKUP(EH$72,INDIRECT($C$5&amp;"生成成长"),5))*(VLOOKUP($B$5,标准坦克设计!$B$24:$U$30,MATCH("对"&amp;LEFT($C$5,2)&amp;"输出",标准坦克设计!$B$23:$U$23,0)))*(VLOOKUP($B88,INDIRECT($B$5&amp;"生成成长"),3))*(VLOOKUP($B$5,标准坦克设计!$B$14:$K$20,9)/30))</f>
        <v>24.701123525897053</v>
      </c>
      <c r="EI88" s="173">
        <f ca="1">(VLOOKUP(EI$72,INDIRECT($C$5&amp;"生成成长"),2))/((VLOOKUP($B88,INDIRECT($B$5&amp;"生成成长"),4))/(VLOOKUP(EI$72,INDIRECT($C$5&amp;"生成成长"),5))*(VLOOKUP($B$5,标准坦克设计!$B$24:$U$30,MATCH("对"&amp;LEFT($C$5,2)&amp;"输出",标准坦克设计!$B$23:$U$23,0)))*(VLOOKUP($B88,INDIRECT($B$5&amp;"生成成长"),3))*(VLOOKUP($B$5,标准坦克设计!$B$14:$K$20,9)/30))</f>
        <v>26.490493297912749</v>
      </c>
      <c r="EJ88" s="173">
        <f ca="1">(VLOOKUP(EJ$72,INDIRECT($C$5&amp;"生成成长"),2))/((VLOOKUP($B88,INDIRECT($B$5&amp;"生成成长"),4))/(VLOOKUP(EJ$72,INDIRECT($C$5&amp;"生成成长"),5))*(VLOOKUP($B$5,标准坦克设计!$B$24:$U$30,MATCH("对"&amp;LEFT($C$5,2)&amp;"输出",标准坦克设计!$B$23:$U$23,0)))*(VLOOKUP($B88,INDIRECT($B$5&amp;"生成成长"),3))*(VLOOKUP($B$5,标准坦克设计!$B$14:$K$20,9)/30))</f>
        <v>28.342428446572349</v>
      </c>
      <c r="EK88" s="173">
        <f ca="1">(VLOOKUP(EK$72,INDIRECT($C$5&amp;"生成成长"),2))/((VLOOKUP($B88,INDIRECT($B$5&amp;"生成成长"),4))/(VLOOKUP(EK$72,INDIRECT($C$5&amp;"生成成长"),5))*(VLOOKUP($B$5,标准坦克设计!$B$24:$U$30,MATCH("对"&amp;LEFT($C$5,2)&amp;"输出",标准坦克设计!$B$23:$U$23,0)))*(VLOOKUP($B88,INDIRECT($B$5&amp;"生成成长"),3))*(VLOOKUP($B$5,标准坦克设计!$B$14:$K$20,9)/30))</f>
        <v>30.647336922133825</v>
      </c>
      <c r="EL88" s="173">
        <f ca="1">(VLOOKUP(EL$72,INDIRECT($C$5&amp;"生成成长"),2))/((VLOOKUP($B88,INDIRECT($B$5&amp;"生成成长"),4))/(VLOOKUP(EL$72,INDIRECT($C$5&amp;"生成成长"),5))*(VLOOKUP($B$5,标准坦克设计!$B$24:$U$30,MATCH("对"&amp;LEFT($C$5,2)&amp;"输出",标准坦克设计!$B$23:$U$23,0)))*(VLOOKUP($B88,INDIRECT($B$5&amp;"生成成长"),3))*(VLOOKUP($B$5,标准坦克设计!$B$14:$K$20,9)/30))</f>
        <v>33.042339540062521</v>
      </c>
      <c r="EM88" s="173">
        <f ca="1">(VLOOKUP(EM$72,INDIRECT($C$5&amp;"生成成长"),2))/((VLOOKUP($B88,INDIRECT($B$5&amp;"生成成长"),4))/(VLOOKUP(EM$72,INDIRECT($C$5&amp;"生成成长"),5))*(VLOOKUP($B$5,标准坦克设计!$B$24:$U$30,MATCH("对"&amp;LEFT($C$5,2)&amp;"输出",标准坦克设计!$B$23:$U$23,0)))*(VLOOKUP($B88,INDIRECT($B$5&amp;"生成成长"),3))*(VLOOKUP($B$5,标准坦克设计!$B$14:$K$20,9)/30))</f>
        <v>35.527436300358445</v>
      </c>
      <c r="EN88" s="173">
        <f ca="1">(VLOOKUP(EN$72,INDIRECT($C$5&amp;"生成成长"),2))/((VLOOKUP($B88,INDIRECT($B$5&amp;"生成成长"),4))/(VLOOKUP(EN$72,INDIRECT($C$5&amp;"生成成长"),5))*(VLOOKUP($B$5,标准坦克设计!$B$24:$U$30,MATCH("对"&amp;LEFT($C$5,2)&amp;"输出",标准坦克设计!$B$23:$U$23,0)))*(VLOOKUP($B88,INDIRECT($B$5&amp;"生成成长"),3))*(VLOOKUP($B$5,标准坦克设计!$B$14:$K$20,9)/30))</f>
        <v>38.102627203021584</v>
      </c>
      <c r="EO88" s="173">
        <f ca="1">(VLOOKUP(EO$72,INDIRECT($C$5&amp;"生成成长"),2))/((VLOOKUP($B88,INDIRECT($B$5&amp;"生成成长"),4))/(VLOOKUP(EO$72,INDIRECT($C$5&amp;"生成成长"),5))*(VLOOKUP($B$5,标准坦克设计!$B$24:$U$30,MATCH("对"&amp;LEFT($C$5,2)&amp;"输出",标准坦克设计!$B$23:$U$23,0)))*(VLOOKUP($B88,INDIRECT($B$5&amp;"生成成长"),3))*(VLOOKUP($B$5,标准坦克设计!$B$14:$K$20,9)/30))</f>
        <v>40.767912248051957</v>
      </c>
      <c r="EP88" s="173">
        <f ca="1">(VLOOKUP(EP$72,INDIRECT($C$5&amp;"生成成长"),2))/((VLOOKUP($B88,INDIRECT($B$5&amp;"生成成长"),4))/(VLOOKUP(EP$72,INDIRECT($C$5&amp;"生成成长"),5))*(VLOOKUP($B$5,标准坦克设计!$B$24:$U$30,MATCH("对"&amp;LEFT($C$5,2)&amp;"输出",标准坦克设计!$B$23:$U$23,0)))*(VLOOKUP($B88,INDIRECT($B$5&amp;"生成成长"),3))*(VLOOKUP($B$5,标准坦克设计!$B$14:$K$20,9)/30))</f>
        <v>43.523291435449543</v>
      </c>
      <c r="EQ88" s="173">
        <f ca="1">(VLOOKUP(EQ$72,INDIRECT($C$5&amp;"生成成长"),2))/((VLOOKUP($B88,INDIRECT($B$5&amp;"生成成长"),4))/(VLOOKUP(EQ$72,INDIRECT($C$5&amp;"生成成长"),5))*(VLOOKUP($B$5,标准坦克设计!$B$24:$U$30,MATCH("对"&amp;LEFT($C$5,2)&amp;"输出",标准坦克设计!$B$23:$U$23,0)))*(VLOOKUP($B88,INDIRECT($B$5&amp;"生成成长"),3))*(VLOOKUP($B$5,标准坦克设计!$B$14:$K$20,9)/30))</f>
        <v>19.240104625533778</v>
      </c>
      <c r="ER88" s="173">
        <f ca="1">(VLOOKUP(ER$72,INDIRECT($C$5&amp;"生成成长"),2))/((VLOOKUP($B88,INDIRECT($B$5&amp;"生成成长"),4))/(VLOOKUP(ER$72,INDIRECT($C$5&amp;"生成成长"),5))*(VLOOKUP($B$5,标准坦克设计!$B$24:$U$30,MATCH("对"&amp;LEFT($C$5,2)&amp;"输出",标准坦克设计!$B$23:$U$23,0)))*(VLOOKUP($B88,INDIRECT($B$5&amp;"生成成长"),3))*(VLOOKUP($B$5,标准坦克设计!$B$14:$K$20,9)/30))</f>
        <v>20.984740153249078</v>
      </c>
      <c r="ES88" s="173">
        <f ca="1">(VLOOKUP(ES$72,INDIRECT($C$5&amp;"生成成长"),2))/((VLOOKUP($B88,INDIRECT($B$5&amp;"生成成长"),4))/(VLOOKUP(ES$72,INDIRECT($C$5&amp;"生成成长"),5))*(VLOOKUP($B$5,标准坦克设计!$B$24:$U$30,MATCH("对"&amp;LEFT($C$5,2)&amp;"输出",标准坦克设计!$B$23:$U$23,0)))*(VLOOKUP($B88,INDIRECT($B$5&amp;"生成成长"),3))*(VLOOKUP($B$5,标准坦克设计!$B$14:$K$20,9)/30))</f>
        <v>22.805079786703505</v>
      </c>
      <c r="ET88" s="173">
        <f ca="1">(VLOOKUP(ET$72,INDIRECT($C$5&amp;"生成成长"),2))/((VLOOKUP($B88,INDIRECT($B$5&amp;"生成成长"),4))/(VLOOKUP(ET$72,INDIRECT($C$5&amp;"生成成长"),5))*(VLOOKUP($B$5,标准坦克设计!$B$24:$U$30,MATCH("对"&amp;LEFT($C$5,2)&amp;"输出",标准坦克设计!$B$23:$U$23,0)))*(VLOOKUP($B88,INDIRECT($B$5&amp;"生成成长"),3))*(VLOOKUP($B$5,标准坦克设计!$B$14:$K$20,9)/30))</f>
        <v>24.701123525897053</v>
      </c>
      <c r="EU88" s="173">
        <f ca="1">(VLOOKUP(EU$72,INDIRECT($C$5&amp;"生成成长"),2))/((VLOOKUP($B88,INDIRECT($B$5&amp;"生成成长"),4))/(VLOOKUP(EU$72,INDIRECT($C$5&amp;"生成成长"),5))*(VLOOKUP($B$5,标准坦克设计!$B$24:$U$30,MATCH("对"&amp;LEFT($C$5,2)&amp;"输出",标准坦克设计!$B$23:$U$23,0)))*(VLOOKUP($B88,INDIRECT($B$5&amp;"生成成长"),3))*(VLOOKUP($B$5,标准坦克设计!$B$14:$K$20,9)/30))</f>
        <v>26.672871370829736</v>
      </c>
      <c r="EV88" s="173">
        <f ca="1">(VLOOKUP(EV$72,INDIRECT($C$5&amp;"生成成长"),2))/((VLOOKUP($B88,INDIRECT($B$5&amp;"生成成长"),4))/(VLOOKUP(EV$72,INDIRECT($C$5&amp;"生成成长"),5))*(VLOOKUP($B$5,标准坦克设计!$B$24:$U$30,MATCH("对"&amp;LEFT($C$5,2)&amp;"输出",标准坦克设计!$B$23:$U$23,0)))*(VLOOKUP($B88,INDIRECT($B$5&amp;"生成成长"),3))*(VLOOKUP($B$5,标准坦克设计!$B$14:$K$20,9)/30))</f>
        <v>28.720323321501539</v>
      </c>
      <c r="EW88" s="173">
        <f ca="1">(VLOOKUP(EW$72,INDIRECT($C$5&amp;"生成成长"),2))/((VLOOKUP($B88,INDIRECT($B$5&amp;"生成成长"),4))/(VLOOKUP(EW$72,INDIRECT($C$5&amp;"生成成长"),5))*(VLOOKUP($B$5,标准坦克设计!$B$24:$U$30,MATCH("对"&amp;LEFT($C$5,2)&amp;"输出",标准坦克设计!$B$23:$U$23,0)))*(VLOOKUP($B88,INDIRECT($B$5&amp;"生成成长"),3))*(VLOOKUP($B$5,标准坦克设计!$B$14:$K$20,9)/30))</f>
        <v>30.84347937791247</v>
      </c>
      <c r="EX88" s="173">
        <f ca="1">(VLOOKUP(EX$72,INDIRECT($C$5&amp;"生成成长"),2))/((VLOOKUP($B88,INDIRECT($B$5&amp;"生成成长"),4))/(VLOOKUP(EX$72,INDIRECT($C$5&amp;"生成成长"),5))*(VLOOKUP($B$5,标准坦克设计!$B$24:$U$30,MATCH("对"&amp;LEFT($C$5,2)&amp;"输出",标准坦克设计!$B$23:$U$23,0)))*(VLOOKUP($B88,INDIRECT($B$5&amp;"生成成长"),3))*(VLOOKUP($B$5,标准坦克设计!$B$14:$K$20,9)/30))</f>
        <v>33.042339540062521</v>
      </c>
      <c r="EY88" s="173">
        <f ca="1">(VLOOKUP(EY$72,INDIRECT($C$5&amp;"生成成长"),2))/((VLOOKUP($B88,INDIRECT($B$5&amp;"生成成长"),4))/(VLOOKUP(EY$72,INDIRECT($C$5&amp;"生成成长"),5))*(VLOOKUP($B$5,标准坦克设计!$B$24:$U$30,MATCH("对"&amp;LEFT($C$5,2)&amp;"输出",标准坦克设计!$B$23:$U$23,0)))*(VLOOKUP($B88,INDIRECT($B$5&amp;"生成成长"),3))*(VLOOKUP($B$5,标准坦克设计!$B$14:$K$20,9)/30))</f>
        <v>35.316903807951697</v>
      </c>
      <c r="EZ88" s="173">
        <f ca="1">(VLOOKUP(EZ$72,INDIRECT($C$5&amp;"生成成长"),2))/((VLOOKUP($B88,INDIRECT($B$5&amp;"生成成长"),4))/(VLOOKUP(EZ$72,INDIRECT($C$5&amp;"生成成长"),5))*(VLOOKUP($B$5,标准坦克设计!$B$24:$U$30,MATCH("对"&amp;LEFT($C$5,2)&amp;"输出",标准坦克设计!$B$23:$U$23,0)))*(VLOOKUP($B88,INDIRECT($B$5&amp;"生成成长"),3))*(VLOOKUP($B$5,标准坦克设计!$B$14:$K$20,9)/30))</f>
        <v>37.66717218158</v>
      </c>
      <c r="FA88" s="173">
        <f ca="1">(VLOOKUP(FA$72,INDIRECT($C$5&amp;"生成成长"),2))/((VLOOKUP($B88,INDIRECT($B$5&amp;"生成成长"),4))/(VLOOKUP(FA$72,INDIRECT($C$5&amp;"生成成长"),5))*(VLOOKUP($B$5,标准坦克设计!$B$24:$U$30,MATCH("对"&amp;LEFT($C$5,2)&amp;"输出",标准坦克设计!$B$23:$U$23,0)))*(VLOOKUP($B88,INDIRECT($B$5&amp;"生成成长"),3))*(VLOOKUP($B$5,标准坦克设计!$B$14:$K$20,9)/30))</f>
        <v>40.093144660947438</v>
      </c>
      <c r="FB88" s="173">
        <f ca="1">(VLOOKUP(FB$72,INDIRECT($C$5&amp;"生成成长"),2))/((VLOOKUP($B88,INDIRECT($B$5&amp;"生成成长"),4))/(VLOOKUP(FB$72,INDIRECT($C$5&amp;"生成成长"),5))*(VLOOKUP($B$5,标准坦克设计!$B$24:$U$30,MATCH("对"&amp;LEFT($C$5,2)&amp;"输出",标准坦克设计!$B$23:$U$23,0)))*(VLOOKUP($B88,INDIRECT($B$5&amp;"生成成长"),3))*(VLOOKUP($B$5,标准坦克设计!$B$14:$K$20,9)/30))</f>
        <v>42.594821246053996</v>
      </c>
      <c r="FC88" s="173">
        <f ca="1">(VLOOKUP(FC$72,INDIRECT($C$5&amp;"生成成长"),2))/((VLOOKUP($B88,INDIRECT($B$5&amp;"生成成长"),4))/(VLOOKUP(FC$72,INDIRECT($C$5&amp;"生成成长"),5))*(VLOOKUP($B$5,标准坦克设计!$B$24:$U$30,MATCH("对"&amp;LEFT($C$5,2)&amp;"输出",标准坦克设计!$B$23:$U$23,0)))*(VLOOKUP($B88,INDIRECT($B$5&amp;"生成成长"),3))*(VLOOKUP($B$5,标准坦克设计!$B$14:$K$20,9)/30))</f>
        <v>45.172201936899675</v>
      </c>
      <c r="FD88" s="173">
        <f ca="1">(VLOOKUP(FD$72,INDIRECT($C$5&amp;"生成成长"),2))/((VLOOKUP($B88,INDIRECT($B$5&amp;"生成成长"),4))/(VLOOKUP(FD$72,INDIRECT($C$5&amp;"生成成长"),5))*(VLOOKUP($B$5,标准坦克设计!$B$24:$U$30,MATCH("对"&amp;LEFT($C$5,2)&amp;"输出",标准坦克设计!$B$23:$U$23,0)))*(VLOOKUP($B88,INDIRECT($B$5&amp;"生成成长"),3))*(VLOOKUP($B$5,标准坦克设计!$B$14:$K$20,9)/30))</f>
        <v>47.825286733484489</v>
      </c>
      <c r="FE88" s="173">
        <f ca="1">(VLOOKUP(FE$72,INDIRECT($C$5&amp;"生成成长"),2))/((VLOOKUP($B88,INDIRECT($B$5&amp;"生成成长"),4))/(VLOOKUP(FE$72,INDIRECT($C$5&amp;"生成成长"),5))*(VLOOKUP($B$5,标准坦克设计!$B$24:$U$30,MATCH("对"&amp;LEFT($C$5,2)&amp;"输出",标准坦克设计!$B$23:$U$23,0)))*(VLOOKUP($B88,INDIRECT($B$5&amp;"生成成长"),3))*(VLOOKUP($B$5,标准坦克设计!$B$14:$K$20,9)/30))</f>
        <v>51.058352571558295</v>
      </c>
      <c r="FF88" s="173">
        <f ca="1">(VLOOKUP(FF$72,INDIRECT($C$5&amp;"生成成长"),2))/((VLOOKUP($B88,INDIRECT($B$5&amp;"生成成长"),4))/(VLOOKUP(FF$72,INDIRECT($C$5&amp;"生成成长"),5))*(VLOOKUP($B$5,标准坦克设计!$B$24:$U$30,MATCH("对"&amp;LEFT($C$5,2)&amp;"输出",标准坦克设计!$B$23:$U$23,0)))*(VLOOKUP($B88,INDIRECT($B$5&amp;"生成成长"),3))*(VLOOKUP($B$5,标准坦克设计!$B$14:$K$20,9)/30))</f>
        <v>54.39715389616029</v>
      </c>
      <c r="FG88" s="173">
        <f ca="1">(VLOOKUP(FG$72,INDIRECT($C$5&amp;"生成成长"),2))/((VLOOKUP($B88,INDIRECT($B$5&amp;"生成成长"),4))/(VLOOKUP(FG$72,INDIRECT($C$5&amp;"生成成长"),5))*(VLOOKUP($B$5,标准坦克设计!$B$24:$U$30,MATCH("对"&amp;LEFT($C$5,2)&amp;"输出",标准坦克设计!$B$23:$U$23,0)))*(VLOOKUP($B88,INDIRECT($B$5&amp;"生成成长"),3))*(VLOOKUP($B$5,标准坦克设计!$B$14:$K$20,9)/30))</f>
        <v>57.84169070729051</v>
      </c>
      <c r="FH88" s="173">
        <f ca="1">(VLOOKUP(FH$72,INDIRECT($C$5&amp;"生成成长"),2))/((VLOOKUP($B88,INDIRECT($B$5&amp;"生成成长"),4))/(VLOOKUP(FH$72,INDIRECT($C$5&amp;"生成成长"),5))*(VLOOKUP($B$5,标准坦克设计!$B$24:$U$30,MATCH("对"&amp;LEFT($C$5,2)&amp;"输出",标准坦克设计!$B$23:$U$23,0)))*(VLOOKUP($B88,INDIRECT($B$5&amp;"生成成长"),3))*(VLOOKUP($B$5,标准坦克设计!$B$14:$K$20,9)/30))</f>
        <v>61.391963004948927</v>
      </c>
      <c r="FI88" s="173">
        <f ca="1">(VLOOKUP(FI$72,INDIRECT($C$5&amp;"生成成长"),2))/((VLOOKUP($B88,INDIRECT($B$5&amp;"生成成长"),4))/(VLOOKUP(FI$72,INDIRECT($C$5&amp;"生成成长"),5))*(VLOOKUP($B$5,标准坦克设计!$B$24:$U$30,MATCH("对"&amp;LEFT($C$5,2)&amp;"输出",标准坦克设计!$B$23:$U$23,0)))*(VLOOKUP($B88,INDIRECT($B$5&amp;"生成成长"),3))*(VLOOKUP($B$5,标准坦克设计!$B$14:$K$20,9)/30))</f>
        <v>65.047970789135533</v>
      </c>
      <c r="FJ88" s="173">
        <f ca="1">(VLOOKUP(FJ$72,INDIRECT($C$5&amp;"生成成长"),2))/((VLOOKUP($B88,INDIRECT($B$5&amp;"生成成长"),4))/(VLOOKUP(FJ$72,INDIRECT($C$5&amp;"生成成长"),5))*(VLOOKUP($B$5,标准坦克设计!$B$24:$U$30,MATCH("对"&amp;LEFT($C$5,2)&amp;"输出",标准坦克设计!$B$23:$U$23,0)))*(VLOOKUP($B88,INDIRECT($B$5&amp;"生成成长"),3))*(VLOOKUP($B$5,标准坦克设计!$B$14:$K$20,9)/30))</f>
        <v>68.80971405985035</v>
      </c>
      <c r="FK88" s="173">
        <f ca="1">(VLOOKUP(FK$72,INDIRECT($C$5&amp;"生成成长"),2))/((VLOOKUP($B88,INDIRECT($B$5&amp;"生成成长"),4))/(VLOOKUP(FK$72,INDIRECT($C$5&amp;"生成成长"),5))*(VLOOKUP($B$5,标准坦克设计!$B$24:$U$30,MATCH("对"&amp;LEFT($C$5,2)&amp;"输出",标准坦克设计!$B$23:$U$23,0)))*(VLOOKUP($B88,INDIRECT($B$5&amp;"生成成长"),3))*(VLOOKUP($B$5,标准坦克设计!$B$14:$K$20,9)/30))</f>
        <v>72.677192817093342</v>
      </c>
    </row>
    <row r="89" spans="1:167" x14ac:dyDescent="0.15">
      <c r="A89" s="171" t="str">
        <f t="shared" si="11"/>
        <v>T3低品质5级</v>
      </c>
      <c r="B89" s="172">
        <v>10305</v>
      </c>
      <c r="C89" s="173">
        <f ca="1">(VLOOKUP(C$72,INDIRECT($C$5&amp;"生成成长"),2))/((VLOOKUP($B89,INDIRECT($B$5&amp;"生成成长"),4))/(VLOOKUP(C$72,INDIRECT($C$5&amp;"生成成长"),5))*(VLOOKUP($B$5,标准坦克设计!$B$24:$U$30,MATCH("对"&amp;LEFT($C$5,2)&amp;"输出",标准坦克设计!$B$23:$U$23,0)))*(VLOOKUP($B89,INDIRECT($B$5&amp;"生成成长"),3))*(VLOOKUP($B$5,标准坦克设计!$B$14:$K$20,9)/30))</f>
        <v>2.8255489080890186</v>
      </c>
      <c r="D89" s="173">
        <f ca="1">(VLOOKUP(D$72,INDIRECT($C$5&amp;"生成成长"),2))/((VLOOKUP($B89,INDIRECT($B$5&amp;"生成成长"),4))/(VLOOKUP(D$72,INDIRECT($C$5&amp;"生成成长"),5))*(VLOOKUP($B$5,标准坦克设计!$B$24:$U$30,MATCH("对"&amp;LEFT($C$5,2)&amp;"输出",标准坦克设计!$B$23:$U$23,0)))*(VLOOKUP($B89,INDIRECT($B$5&amp;"生成成长"),3))*(VLOOKUP($B$5,标准坦克设计!$B$14:$K$20,9)/30))</f>
        <v>3.1747867531288207</v>
      </c>
      <c r="E89" s="173">
        <f ca="1">(VLOOKUP(E$72,INDIRECT($C$5&amp;"生成成长"),2))/((VLOOKUP($B89,INDIRECT($B$5&amp;"生成成长"),4))/(VLOOKUP(E$72,INDIRECT($C$5&amp;"生成成长"),5))*(VLOOKUP($B$5,标准坦克设计!$B$24:$U$30,MATCH("对"&amp;LEFT($C$5,2)&amp;"输出",标准坦克设计!$B$23:$U$23,0)))*(VLOOKUP($B89,INDIRECT($B$5&amp;"生成成长"),3))*(VLOOKUP($B$5,标准坦克设计!$B$14:$K$20,9)/30))</f>
        <v>3.5443685503068645</v>
      </c>
      <c r="F89" s="173">
        <f ca="1">(VLOOKUP(F$72,INDIRECT($C$5&amp;"生成成长"),2))/((VLOOKUP($B89,INDIRECT($B$5&amp;"生成成长"),4))/(VLOOKUP(F$72,INDIRECT($C$5&amp;"生成成长"),5))*(VLOOKUP($B$5,标准坦克设计!$B$24:$U$30,MATCH("对"&amp;LEFT($C$5,2)&amp;"输出",标准坦克设计!$B$23:$U$23,0)))*(VLOOKUP($B89,INDIRECT($B$5&amp;"生成成长"),3))*(VLOOKUP($B$5,标准坦克设计!$B$14:$K$20,9)/30))</f>
        <v>3.9342942996231489</v>
      </c>
      <c r="G89" s="173">
        <f ca="1">(VLOOKUP(G$72,INDIRECT($C$5&amp;"生成成长"),2))/((VLOOKUP($B89,INDIRECT($B$5&amp;"生成成长"),4))/(VLOOKUP(G$72,INDIRECT($C$5&amp;"生成成长"),5))*(VLOOKUP($B$5,标准坦克设计!$B$24:$U$30,MATCH("对"&amp;LEFT($C$5,2)&amp;"输出",标准坦克设计!$B$23:$U$23,0)))*(VLOOKUP($B89,INDIRECT($B$5&amp;"生成成长"),3))*(VLOOKUP($B$5,标准坦克设计!$B$14:$K$20,9)/30))</f>
        <v>4.3445640010776749</v>
      </c>
      <c r="H89" s="173">
        <f ca="1">(VLOOKUP(H$72,INDIRECT($C$5&amp;"生成成长"),2))/((VLOOKUP($B89,INDIRECT($B$5&amp;"生成成长"),4))/(VLOOKUP(H$72,INDIRECT($C$5&amp;"生成成长"),5))*(VLOOKUP($B$5,标准坦克设计!$B$24:$U$30,MATCH("对"&amp;LEFT($C$5,2)&amp;"输出",标准坦克设计!$B$23:$U$23,0)))*(VLOOKUP($B89,INDIRECT($B$5&amp;"生成成长"),3))*(VLOOKUP($B$5,标准坦克设计!$B$14:$K$20,9)/30))</f>
        <v>3.8020586107245831</v>
      </c>
      <c r="I89" s="173">
        <f ca="1">(VLOOKUP(I$72,INDIRECT($C$5&amp;"生成成长"),2))/((VLOOKUP($B89,INDIRECT($B$5&amp;"生成成长"),4))/(VLOOKUP(I$72,INDIRECT($C$5&amp;"生成成长"),5))*(VLOOKUP($B$5,标准坦克设计!$B$24:$U$30,MATCH("对"&amp;LEFT($C$5,2)&amp;"输出",标准坦克设计!$B$23:$U$23,0)))*(VLOOKUP($B89,INDIRECT($B$5&amp;"生成成长"),3))*(VLOOKUP($B$5,标准坦克设计!$B$14:$K$20,9)/30))</f>
        <v>4.3445640010776749</v>
      </c>
      <c r="J89" s="173">
        <f ca="1">(VLOOKUP(J$72,INDIRECT($C$5&amp;"生成成长"),2))/((VLOOKUP($B89,INDIRECT($B$5&amp;"生成成长"),4))/(VLOOKUP(J$72,INDIRECT($C$5&amp;"生成成长"),5))*(VLOOKUP($B$5,标准坦克设计!$B$24:$U$30,MATCH("对"&amp;LEFT($C$5,2)&amp;"输出",标准坦克设计!$B$23:$U$23,0)))*(VLOOKUP($B89,INDIRECT($B$5&amp;"生成成长"),3))*(VLOOKUP($B$5,标准坦克设计!$B$14:$K$20,9)/30))</f>
        <v>4.923236417454306</v>
      </c>
      <c r="K89" s="173">
        <f ca="1">(VLOOKUP(K$72,INDIRECT($C$5&amp;"生成成长"),2))/((VLOOKUP($B89,INDIRECT($B$5&amp;"生成成长"),4))/(VLOOKUP(K$72,INDIRECT($C$5&amp;"生成成长"),5))*(VLOOKUP($B$5,标准坦克设计!$B$24:$U$30,MATCH("对"&amp;LEFT($C$5,2)&amp;"输出",标准坦克设计!$B$23:$U$23,0)))*(VLOOKUP($B89,INDIRECT($B$5&amp;"生成成长"),3))*(VLOOKUP($B$5,标准坦克设计!$B$14:$K$20,9)/30))</f>
        <v>5.5380758598544766</v>
      </c>
      <c r="L89" s="173">
        <f ca="1">(VLOOKUP(L$72,INDIRECT($C$5&amp;"生成成长"),2))/((VLOOKUP($B89,INDIRECT($B$5&amp;"生成成长"),4))/(VLOOKUP(L$72,INDIRECT($C$5&amp;"生成成长"),5))*(VLOOKUP($B$5,标准坦克设计!$B$24:$U$30,MATCH("对"&amp;LEFT($C$5,2)&amp;"输出",标准坦克设计!$B$23:$U$23,0)))*(VLOOKUP($B89,INDIRECT($B$5&amp;"生成成长"),3))*(VLOOKUP($B$5,标准坦克设计!$B$14:$K$20,9)/30))</f>
        <v>6.1890823282781859</v>
      </c>
      <c r="M89" s="173">
        <f ca="1">(VLOOKUP(M$72,INDIRECT($C$5&amp;"生成成长"),2))/((VLOOKUP($B89,INDIRECT($B$5&amp;"生成成长"),4))/(VLOOKUP(M$72,INDIRECT($C$5&amp;"生成成长"),5))*(VLOOKUP($B$5,标准坦克设计!$B$24:$U$30,MATCH("对"&amp;LEFT($C$5,2)&amp;"输出",标准坦克设计!$B$23:$U$23,0)))*(VLOOKUP($B89,INDIRECT($B$5&amp;"生成成长"),3))*(VLOOKUP($B$5,标准坦克设计!$B$14:$K$20,9)/30))</f>
        <v>6.8762558227254349</v>
      </c>
      <c r="N89" s="173">
        <f ca="1">(VLOOKUP(N$72,INDIRECT($C$5&amp;"生成成长"),2))/((VLOOKUP($B89,INDIRECT($B$5&amp;"生成成长"),4))/(VLOOKUP(N$72,INDIRECT($C$5&amp;"生成成长"),5))*(VLOOKUP($B$5,标准坦克设计!$B$24:$U$30,MATCH("对"&amp;LEFT($C$5,2)&amp;"输出",标准坦克设计!$B$23:$U$23,0)))*(VLOOKUP($B89,INDIRECT($B$5&amp;"生成成长"),3))*(VLOOKUP($B$5,标准坦克设计!$B$14:$K$20,9)/30))</f>
        <v>7.5995963431962217</v>
      </c>
      <c r="O89" s="173">
        <f ca="1">(VLOOKUP(O$72,INDIRECT($C$5&amp;"生成成长"),2))/((VLOOKUP($B89,INDIRECT($B$5&amp;"生成成长"),4))/(VLOOKUP(O$72,INDIRECT($C$5&amp;"生成成长"),5))*(VLOOKUP($B$5,标准坦克设计!$B$24:$U$30,MATCH("对"&amp;LEFT($C$5,2)&amp;"输出",标准坦克设计!$B$23:$U$23,0)))*(VLOOKUP($B89,INDIRECT($B$5&amp;"生成成长"),3))*(VLOOKUP($B$5,标准坦克设计!$B$14:$K$20,9)/30))</f>
        <v>5.7779649621512341</v>
      </c>
      <c r="P89" s="173">
        <f ca="1">(VLOOKUP(P$72,INDIRECT($C$5&amp;"生成成长"),2))/((VLOOKUP($B89,INDIRECT($B$5&amp;"生成成长"),4))/(VLOOKUP(P$72,INDIRECT($C$5&amp;"生成成长"),5))*(VLOOKUP($B$5,标准坦克设计!$B$24:$U$30,MATCH("对"&amp;LEFT($C$5,2)&amp;"输出",标准坦克设计!$B$23:$U$23,0)))*(VLOOKUP($B89,INDIRECT($B$5&amp;"生成成长"),3))*(VLOOKUP($B$5,标准坦克设计!$B$14:$K$20,9)/30))</f>
        <v>6.5281481972488686</v>
      </c>
      <c r="Q89" s="173">
        <f ca="1">(VLOOKUP(Q$72,INDIRECT($C$5&amp;"生成成长"),2))/((VLOOKUP($B89,INDIRECT($B$5&amp;"生成成长"),4))/(VLOOKUP(Q$72,INDIRECT($C$5&amp;"生成成长"),5))*(VLOOKUP($B$5,标准坦克设计!$B$24:$U$30,MATCH("对"&amp;LEFT($C$5,2)&amp;"输出",标准坦克设计!$B$23:$U$23,0)))*(VLOOKUP($B89,INDIRECT($B$5&amp;"生成成长"),3))*(VLOOKUP($B$5,标准坦克设计!$B$14:$K$20,9)/30))</f>
        <v>7.3241053246575447</v>
      </c>
      <c r="R89" s="173">
        <f ca="1">(VLOOKUP(R$72,INDIRECT($C$5&amp;"生成成长"),2))/((VLOOKUP($B89,INDIRECT($B$5&amp;"生成成长"),4))/(VLOOKUP(R$72,INDIRECT($C$5&amp;"生成成长"),5))*(VLOOKUP($B$5,标准坦克设计!$B$24:$U$30,MATCH("对"&amp;LEFT($C$5,2)&amp;"输出",标准坦克设计!$B$23:$U$23,0)))*(VLOOKUP($B89,INDIRECT($B$5&amp;"生成成长"),3))*(VLOOKUP($B$5,标准坦克设计!$B$14:$K$20,9)/30))</f>
        <v>8.1658363443772632</v>
      </c>
      <c r="S89" s="173">
        <f ca="1">(VLOOKUP(S$72,INDIRECT($C$5&amp;"生成成长"),2))/((VLOOKUP($B89,INDIRECT($B$5&amp;"生成成长"),4))/(VLOOKUP(S$72,INDIRECT($C$5&amp;"生成成长"),5))*(VLOOKUP($B$5,标准坦克设计!$B$24:$U$30,MATCH("对"&amp;LEFT($C$5,2)&amp;"输出",标准坦克设计!$B$23:$U$23,0)))*(VLOOKUP($B89,INDIRECT($B$5&amp;"生成成长"),3))*(VLOOKUP($B$5,标准坦克设计!$B$14:$K$20,9)/30))</f>
        <v>9.0533412564080233</v>
      </c>
      <c r="T89" s="173">
        <f ca="1">(VLOOKUP(T$72,INDIRECT($C$5&amp;"生成成长"),2))/((VLOOKUP($B89,INDIRECT($B$5&amp;"生成成长"),4))/(VLOOKUP(T$72,INDIRECT($C$5&amp;"生成成长"),5))*(VLOOKUP($B$5,标准坦克设计!$B$24:$U$30,MATCH("对"&amp;LEFT($C$5,2)&amp;"输出",标准坦克设计!$B$23:$U$23,0)))*(VLOOKUP($B89,INDIRECT($B$5&amp;"生成成长"),3))*(VLOOKUP($B$5,标准坦克设计!$B$14:$K$20,9)/30))</f>
        <v>9.9866200607498268</v>
      </c>
      <c r="U89" s="173">
        <f ca="1">(VLOOKUP(U$72,INDIRECT($C$5&amp;"生成成长"),2))/((VLOOKUP($B89,INDIRECT($B$5&amp;"生成成长"),4))/(VLOOKUP(U$72,INDIRECT($C$5&amp;"生成成长"),5))*(VLOOKUP($B$5,标准坦克设计!$B$24:$U$30,MATCH("对"&amp;LEFT($C$5,2)&amp;"输出",标准坦克设计!$B$23:$U$23,0)))*(VLOOKUP($B89,INDIRECT($B$5&amp;"生成成长"),3))*(VLOOKUP($B$5,标准坦克设计!$B$14:$K$20,9)/30))</f>
        <v>10.965672757402672</v>
      </c>
      <c r="V89" s="173">
        <f ca="1">(VLOOKUP(V$72,INDIRECT($C$5&amp;"生成成长"),2))/((VLOOKUP($B89,INDIRECT($B$5&amp;"生成成长"),4))/(VLOOKUP(V$72,INDIRECT($C$5&amp;"生成成长"),5))*(VLOOKUP($B$5,标准坦克设计!$B$24:$U$30,MATCH("对"&amp;LEFT($C$5,2)&amp;"输出",标准坦克设计!$B$23:$U$23,0)))*(VLOOKUP($B89,INDIRECT($B$5&amp;"生成成长"),3))*(VLOOKUP($B$5,标准坦克设计!$B$14:$K$20,9)/30))</f>
        <v>11.99049934636656</v>
      </c>
      <c r="W89" s="173">
        <f ca="1">(VLOOKUP(W$72,INDIRECT($C$5&amp;"生成成长"),2))/((VLOOKUP($B89,INDIRECT($B$5&amp;"生成成长"),4))/(VLOOKUP(W$72,INDIRECT($C$5&amp;"生成成长"),5))*(VLOOKUP($B$5,标准坦克设计!$B$24:$U$30,MATCH("对"&amp;LEFT($C$5,2)&amp;"输出",标准坦克设计!$B$23:$U$23,0)))*(VLOOKUP($B89,INDIRECT($B$5&amp;"生成成长"),3))*(VLOOKUP($B$5,标准坦克设计!$B$14:$K$20,9)/30))</f>
        <v>13.061099827641488</v>
      </c>
      <c r="X89" s="173">
        <f ca="1">(VLOOKUP(X$72,INDIRECT($C$5&amp;"生成成长"),2))/((VLOOKUP($B89,INDIRECT($B$5&amp;"生成成长"),4))/(VLOOKUP(X$72,INDIRECT($C$5&amp;"生成成长"),5))*(VLOOKUP($B$5,标准坦克设计!$B$24:$U$30,MATCH("对"&amp;LEFT($C$5,2)&amp;"输出",标准坦克设计!$B$23:$U$23,0)))*(VLOOKUP($B89,INDIRECT($B$5&amp;"生成成长"),3))*(VLOOKUP($B$5,标准坦克设计!$B$14:$K$20,9)/30))</f>
        <v>9.4624807382993126</v>
      </c>
      <c r="Y89" s="173">
        <f ca="1">(VLOOKUP(Y$72,INDIRECT($C$5&amp;"生成成长"),2))/((VLOOKUP($B89,INDIRECT($B$5&amp;"生成成长"),4))/(VLOOKUP(Y$72,INDIRECT($C$5&amp;"生成成长"),5))*(VLOOKUP($B$5,标准坦克设计!$B$24:$U$30,MATCH("对"&amp;LEFT($C$5,2)&amp;"输出",标准坦克设计!$B$23:$U$23,0)))*(VLOOKUP($B89,INDIRECT($B$5&amp;"生成成长"),3))*(VLOOKUP($B$5,标准坦克设计!$B$14:$K$20,9)/30))</f>
        <v>10.524887127740783</v>
      </c>
      <c r="Z89" s="173">
        <f ca="1">(VLOOKUP(Z$72,INDIRECT($C$5&amp;"生成成长"),2))/((VLOOKUP($B89,INDIRECT($B$5&amp;"生成成长"),4))/(VLOOKUP(Z$72,INDIRECT($C$5&amp;"生成成长"),5))*(VLOOKUP($B$5,标准坦克设计!$B$24:$U$30,MATCH("对"&amp;LEFT($C$5,2)&amp;"输出",标准坦克设计!$B$23:$U$23,0)))*(VLOOKUP($B89,INDIRECT($B$5&amp;"生成成长"),3))*(VLOOKUP($B$5,标准坦克设计!$B$14:$K$20,9)/30))</f>
        <v>11.643804495344035</v>
      </c>
      <c r="AA89" s="173">
        <f ca="1">(VLOOKUP(AA$72,INDIRECT($C$5&amp;"生成成长"),2))/((VLOOKUP($B89,INDIRECT($B$5&amp;"生成成长"),4))/(VLOOKUP(AA$72,INDIRECT($C$5&amp;"生成成长"),5))*(VLOOKUP($B$5,标准坦克设计!$B$24:$U$30,MATCH("对"&amp;LEFT($C$5,2)&amp;"输出",标准坦克设计!$B$23:$U$23,0)))*(VLOOKUP($B89,INDIRECT($B$5&amp;"生成成长"),3))*(VLOOKUP($B$5,标准坦克设计!$B$14:$K$20,9)/30))</f>
        <v>12.819232841109066</v>
      </c>
      <c r="AB89" s="173">
        <f ca="1">(VLOOKUP(AB$72,INDIRECT($C$5&amp;"生成成长"),2))/((VLOOKUP($B89,INDIRECT($B$5&amp;"生成成长"),4))/(VLOOKUP(AB$72,INDIRECT($C$5&amp;"生成成长"),5))*(VLOOKUP($B$5,标准坦克设计!$B$24:$U$30,MATCH("对"&amp;LEFT($C$5,2)&amp;"输出",标准坦克设计!$B$23:$U$23,0)))*(VLOOKUP($B89,INDIRECT($B$5&amp;"生成成长"),3))*(VLOOKUP($B$5,标准坦克设计!$B$14:$K$20,9)/30))</f>
        <v>14.051172165035881</v>
      </c>
      <c r="AC89" s="173">
        <f ca="1">(VLOOKUP(AC$72,INDIRECT($C$5&amp;"生成成长"),2))/((VLOOKUP($B89,INDIRECT($B$5&amp;"生成成长"),4))/(VLOOKUP(AC$72,INDIRECT($C$5&amp;"生成成长"),5))*(VLOOKUP($B$5,标准坦克设计!$B$24:$U$30,MATCH("对"&amp;LEFT($C$5,2)&amp;"输出",标准坦克设计!$B$23:$U$23,0)))*(VLOOKUP($B89,INDIRECT($B$5&amp;"生成成长"),3))*(VLOOKUP($B$5,标准坦克设计!$B$14:$K$20,9)/30))</f>
        <v>15.339622467124471</v>
      </c>
      <c r="AD89" s="173">
        <f ca="1">(VLOOKUP(AD$72,INDIRECT($C$5&amp;"生成成长"),2))/((VLOOKUP($B89,INDIRECT($B$5&amp;"生成成长"),4))/(VLOOKUP(AD$72,INDIRECT($C$5&amp;"生成成长"),5))*(VLOOKUP($B$5,标准坦克设计!$B$24:$U$30,MATCH("对"&amp;LEFT($C$5,2)&amp;"输出",标准坦克设计!$B$23:$U$23,0)))*(VLOOKUP($B89,INDIRECT($B$5&amp;"生成成长"),3))*(VLOOKUP($B$5,标准坦克设计!$B$14:$K$20,9)/30))</f>
        <v>16.684583747374845</v>
      </c>
      <c r="AE89" s="173">
        <f ca="1">(VLOOKUP(AE$72,INDIRECT($C$5&amp;"生成成长"),2))/((VLOOKUP($B89,INDIRECT($B$5&amp;"生成成长"),4))/(VLOOKUP(AE$72,INDIRECT($C$5&amp;"生成成长"),5))*(VLOOKUP($B$5,标准坦克设计!$B$24:$U$30,MATCH("对"&amp;LEFT($C$5,2)&amp;"输出",标准坦克设计!$B$23:$U$23,0)))*(VLOOKUP($B89,INDIRECT($B$5&amp;"生成成长"),3))*(VLOOKUP($B$5,标准坦克设计!$B$14:$K$20,9)/30))</f>
        <v>18.086056005787</v>
      </c>
      <c r="AF89" s="173">
        <f ca="1">(VLOOKUP(AF$72,INDIRECT($C$5&amp;"生成成长"),2))/((VLOOKUP($B89,INDIRECT($B$5&amp;"生成成长"),4))/(VLOOKUP(AF$72,INDIRECT($C$5&amp;"生成成长"),5))*(VLOOKUP($B$5,标准坦克设计!$B$24:$U$30,MATCH("对"&amp;LEFT($C$5,2)&amp;"输出",标准坦克设计!$B$23:$U$23,0)))*(VLOOKUP($B89,INDIRECT($B$5&amp;"生成成长"),3))*(VLOOKUP($B$5,标准坦克设计!$B$14:$K$20,9)/30))</f>
        <v>19.544039242360931</v>
      </c>
      <c r="AG89" s="173">
        <f ca="1">(VLOOKUP(AG$72,INDIRECT($C$5&amp;"生成成长"),2))/((VLOOKUP($B89,INDIRECT($B$5&amp;"生成成长"),4))/(VLOOKUP(AG$72,INDIRECT($C$5&amp;"生成成长"),5))*(VLOOKUP($B$5,标准坦克设计!$B$24:$U$30,MATCH("对"&amp;LEFT($C$5,2)&amp;"输出",标准坦克设计!$B$23:$U$23,0)))*(VLOOKUP($B89,INDIRECT($B$5&amp;"生成成长"),3))*(VLOOKUP($B$5,标准坦克设计!$B$14:$K$20,9)/30))</f>
        <v>21.058533457096647</v>
      </c>
      <c r="AH89" s="173">
        <f ca="1">(VLOOKUP(AH$72,INDIRECT($C$5&amp;"生成成长"),2))/((VLOOKUP($B89,INDIRECT($B$5&amp;"生成成长"),4))/(VLOOKUP(AH$72,INDIRECT($C$5&amp;"生成成长"),5))*(VLOOKUP($B$5,标准坦克设计!$B$24:$U$30,MATCH("对"&amp;LEFT($C$5,2)&amp;"输出",标准坦克设计!$B$23:$U$23,0)))*(VLOOKUP($B89,INDIRECT($B$5&amp;"生成成长"),3))*(VLOOKUP($B$5,标准坦克设计!$B$14:$K$20,9)/30))</f>
        <v>22.629538649994135</v>
      </c>
      <c r="AI89" s="173">
        <f ca="1">(VLOOKUP(AI$72,INDIRECT($C$5&amp;"生成成长"),2))/((VLOOKUP($B89,INDIRECT($B$5&amp;"生成成长"),4))/(VLOOKUP(AI$72,INDIRECT($C$5&amp;"生成成长"),5))*(VLOOKUP($B$5,标准坦克设计!$B$24:$U$30,MATCH("对"&amp;LEFT($C$5,2)&amp;"输出",标准坦克设计!$B$23:$U$23,0)))*(VLOOKUP($B89,INDIRECT($B$5&amp;"生成成长"),3))*(VLOOKUP($B$5,标准坦克设计!$B$14:$K$20,9)/30))</f>
        <v>16.005039234979435</v>
      </c>
      <c r="AJ89" s="173">
        <f ca="1">(VLOOKUP(AJ$72,INDIRECT($C$5&amp;"生成成长"),2))/((VLOOKUP($B89,INDIRECT($B$5&amp;"生成成长"),4))/(VLOOKUP(AJ$72,INDIRECT($C$5&amp;"生成成长"),5))*(VLOOKUP($B$5,标准坦克设计!$B$24:$U$30,MATCH("对"&amp;LEFT($C$5,2)&amp;"输出",标准坦克设计!$B$23:$U$23,0)))*(VLOOKUP($B89,INDIRECT($B$5&amp;"生成成长"),3))*(VLOOKUP($B$5,标准坦克设计!$B$14:$K$20,9)/30))</f>
        <v>17.518685785042724</v>
      </c>
      <c r="AK89" s="173">
        <f ca="1">(VLOOKUP(AK$72,INDIRECT($C$5&amp;"生成成长"),2))/((VLOOKUP($B89,INDIRECT($B$5&amp;"生成成长"),4))/(VLOOKUP(AK$72,INDIRECT($C$5&amp;"生成成长"),5))*(VLOOKUP($B$5,标准坦克设计!$B$24:$U$30,MATCH("对"&amp;LEFT($C$5,2)&amp;"输出",标准坦克设计!$B$23:$U$23,0)))*(VLOOKUP($B89,INDIRECT($B$5&amp;"生成成长"),3))*(VLOOKUP($B$5,标准坦克设计!$B$14:$K$20,9)/30))</f>
        <v>19.100710618681763</v>
      </c>
      <c r="AL89" s="173">
        <f ca="1">(VLOOKUP(AL$72,INDIRECT($C$5&amp;"生成成长"),2))/((VLOOKUP($B89,INDIRECT($B$5&amp;"生成成长"),4))/(VLOOKUP(AL$72,INDIRECT($C$5&amp;"生成成长"),5))*(VLOOKUP($B$5,标准坦克设计!$B$24:$U$30,MATCH("对"&amp;LEFT($C$5,2)&amp;"输出",标准坦克设计!$B$23:$U$23,0)))*(VLOOKUP($B89,INDIRECT($B$5&amp;"生成成长"),3))*(VLOOKUP($B$5,标准坦克设计!$B$14:$K$20,9)/30))</f>
        <v>20.75111373589656</v>
      </c>
      <c r="AM89" s="173">
        <f ca="1">(VLOOKUP(AM$72,INDIRECT($C$5&amp;"生成成长"),2))/((VLOOKUP($B89,INDIRECT($B$5&amp;"生成成长"),4))/(VLOOKUP(AM$72,INDIRECT($C$5&amp;"生成成长"),5))*(VLOOKUP($B$5,标准坦克设计!$B$24:$U$30,MATCH("对"&amp;LEFT($C$5,2)&amp;"输出",标准坦克设计!$B$23:$U$23,0)))*(VLOOKUP($B89,INDIRECT($B$5&amp;"生成成长"),3))*(VLOOKUP($B$5,标准坦克设计!$B$14:$K$20,9)/30))</f>
        <v>22.469895136687111</v>
      </c>
      <c r="AN89" s="173">
        <f ca="1">(VLOOKUP(AN$72,INDIRECT($C$5&amp;"生成成长"),2))/((VLOOKUP($B89,INDIRECT($B$5&amp;"生成成长"),4))/(VLOOKUP(AN$72,INDIRECT($C$5&amp;"生成成长"),5))*(VLOOKUP($B$5,标准坦克设计!$B$24:$U$30,MATCH("对"&amp;LEFT($C$5,2)&amp;"输出",标准坦克设计!$B$23:$U$23,0)))*(VLOOKUP($B89,INDIRECT($B$5&amp;"生成成长"),3))*(VLOOKUP($B$5,标准坦克设计!$B$14:$K$20,9)/30))</f>
        <v>24.257054821053412</v>
      </c>
      <c r="AO89" s="173">
        <f ca="1">(VLOOKUP(AO$72,INDIRECT($C$5&amp;"生成成长"),2))/((VLOOKUP($B89,INDIRECT($B$5&amp;"生成成长"),4))/(VLOOKUP(AO$72,INDIRECT($C$5&amp;"生成成长"),5))*(VLOOKUP($B$5,标准坦克设计!$B$24:$U$30,MATCH("对"&amp;LEFT($C$5,2)&amp;"输出",标准坦克设计!$B$23:$U$23,0)))*(VLOOKUP($B89,INDIRECT($B$5&amp;"生成成长"),3))*(VLOOKUP($B$5,标准坦克设计!$B$14:$K$20,9)/30))</f>
        <v>26.112592788995475</v>
      </c>
      <c r="AP89" s="173">
        <f ca="1">(VLOOKUP(AP$72,INDIRECT($C$5&amp;"生成成长"),2))/((VLOOKUP($B89,INDIRECT($B$5&amp;"生成成长"),4))/(VLOOKUP(AP$72,INDIRECT($C$5&amp;"生成成长"),5))*(VLOOKUP($B$5,标准坦克设计!$B$24:$U$30,MATCH("对"&amp;LEFT($C$5,2)&amp;"输出",标准坦克设计!$B$23:$U$23,0)))*(VLOOKUP($B89,INDIRECT($B$5&amp;"生成成长"),3))*(VLOOKUP($B$5,标准坦克设计!$B$14:$K$20,9)/30))</f>
        <v>28.03650904051328</v>
      </c>
      <c r="AQ89" s="173">
        <f ca="1">(VLOOKUP(AQ$72,INDIRECT($C$5&amp;"生成成长"),2))/((VLOOKUP($B89,INDIRECT($B$5&amp;"生成成长"),4))/(VLOOKUP(AQ$72,INDIRECT($C$5&amp;"生成成长"),5))*(VLOOKUP($B$5,标准坦克设计!$B$24:$U$30,MATCH("对"&amp;LEFT($C$5,2)&amp;"输出",标准坦克设计!$B$23:$U$23,0)))*(VLOOKUP($B89,INDIRECT($B$5&amp;"生成成长"),3))*(VLOOKUP($B$5,标准坦克设计!$B$14:$K$20,9)/30))</f>
        <v>30.028803575606847</v>
      </c>
      <c r="AR89" s="173">
        <f ca="1">(VLOOKUP(AR$72,INDIRECT($C$5&amp;"生成成长"),2))/((VLOOKUP($B89,INDIRECT($B$5&amp;"生成成长"),4))/(VLOOKUP(AR$72,INDIRECT($C$5&amp;"生成成长"),5))*(VLOOKUP($B$5,标准坦克设计!$B$24:$U$30,MATCH("对"&amp;LEFT($C$5,2)&amp;"输出",标准坦克设计!$B$23:$U$23,0)))*(VLOOKUP($B89,INDIRECT($B$5&amp;"生成成长"),3))*(VLOOKUP($B$5,标准坦克设计!$B$14:$K$20,9)/30))</f>
        <v>32.089476394276176</v>
      </c>
      <c r="AS89" s="173">
        <f ca="1">(VLOOKUP(AS$72,INDIRECT($C$5&amp;"生成成长"),2))/((VLOOKUP($B89,INDIRECT($B$5&amp;"生成成长"),4))/(VLOOKUP(AS$72,INDIRECT($C$5&amp;"生成成长"),5))*(VLOOKUP($B$5,标准坦克设计!$B$24:$U$30,MATCH("对"&amp;LEFT($C$5,2)&amp;"输出",标准坦克设计!$B$23:$U$23,0)))*(VLOOKUP($B89,INDIRECT($B$5&amp;"生成成长"),3))*(VLOOKUP($B$5,标准坦克设计!$B$14:$K$20,9)/30))</f>
        <v>34.218527496521247</v>
      </c>
      <c r="AT89" s="173">
        <f ca="1">(VLOOKUP(AT$72,INDIRECT($C$5&amp;"生成成长"),2))/((VLOOKUP($B89,INDIRECT($B$5&amp;"生成成长"),4))/(VLOOKUP(AT$72,INDIRECT($C$5&amp;"生成成长"),5))*(VLOOKUP($B$5,标准坦克设计!$B$24:$U$30,MATCH("对"&amp;LEFT($C$5,2)&amp;"输出",标准坦克设计!$B$23:$U$23,0)))*(VLOOKUP($B89,INDIRECT($B$5&amp;"生成成长"),3))*(VLOOKUP($B$5,标准坦克设计!$B$14:$K$20,9)/30))</f>
        <v>36.41595688234208</v>
      </c>
      <c r="AU89" s="173">
        <f ca="1">(VLOOKUP(AU$72,INDIRECT($C$5&amp;"生成成长"),2))/((VLOOKUP($B89,INDIRECT($B$5&amp;"生成成长"),4))/(VLOOKUP(AU$72,INDIRECT($C$5&amp;"生成成长"),5))*(VLOOKUP($B$5,标准坦克设计!$B$24:$U$30,MATCH("对"&amp;LEFT($C$5,2)&amp;"输出",标准坦克设计!$B$23:$U$23,0)))*(VLOOKUP($B89,INDIRECT($B$5&amp;"生成成长"),3))*(VLOOKUP($B$5,标准坦克设计!$B$14:$K$20,9)/30))</f>
        <v>38.681764551738659</v>
      </c>
      <c r="AV89" s="173">
        <f ca="1">(VLOOKUP(AV$72,INDIRECT($C$5&amp;"生成成长"),2))/((VLOOKUP($B89,INDIRECT($B$5&amp;"生成成长"),4))/(VLOOKUP(AV$72,INDIRECT($C$5&amp;"生成成长"),5))*(VLOOKUP($B$5,标准坦克设计!$B$24:$U$30,MATCH("对"&amp;LEFT($C$5,2)&amp;"输出",标准坦克设计!$B$23:$U$23,0)))*(VLOOKUP($B89,INDIRECT($B$5&amp;"生成成长"),3))*(VLOOKUP($B$5,标准坦克设计!$B$14:$K$20,9)/30))</f>
        <v>3.9342942996231489</v>
      </c>
      <c r="AW89" s="173">
        <f ca="1">(VLOOKUP(AW$72,INDIRECT($C$5&amp;"生成成长"),2))/((VLOOKUP($B89,INDIRECT($B$5&amp;"生成成长"),4))/(VLOOKUP(AW$72,INDIRECT($C$5&amp;"生成成长"),5))*(VLOOKUP($B$5,标准坦克设计!$B$24:$U$30,MATCH("对"&amp;LEFT($C$5,2)&amp;"输出",标准坦克设计!$B$23:$U$23,0)))*(VLOOKUP($B89,INDIRECT($B$5&amp;"生成成长"),3))*(VLOOKUP($B$5,标准坦克设计!$B$14:$K$20,9)/30))</f>
        <v>4.4858414464821248</v>
      </c>
      <c r="AX89" s="173">
        <f ca="1">(VLOOKUP(AX$72,INDIRECT($C$5&amp;"生成成长"),2))/((VLOOKUP($B89,INDIRECT($B$5&amp;"生成成长"),4))/(VLOOKUP(AX$72,INDIRECT($C$5&amp;"生成成长"),5))*(VLOOKUP($B$5,标准坦克设计!$B$24:$U$30,MATCH("对"&amp;LEFT($C$5,2)&amp;"输出",标准坦克设计!$B$23:$U$23,0)))*(VLOOKUP($B89,INDIRECT($B$5&amp;"生成成长"),3))*(VLOOKUP($B$5,标准坦克设计!$B$14:$K$20,9)/30))</f>
        <v>5.0735556193646412</v>
      </c>
      <c r="AY89" s="173">
        <f ca="1">(VLOOKUP(AY$72,INDIRECT($C$5&amp;"生成成长"),2))/((VLOOKUP($B89,INDIRECT($B$5&amp;"生成成长"),4))/(VLOOKUP(AY$72,INDIRECT($C$5&amp;"生成成长"),5))*(VLOOKUP($B$5,标准坦克设计!$B$24:$U$30,MATCH("对"&amp;LEFT($C$5,2)&amp;"输出",标准坦克设计!$B$23:$U$23,0)))*(VLOOKUP($B89,INDIRECT($B$5&amp;"生成成长"),3))*(VLOOKUP($B$5,标准坦克设计!$B$14:$K$20,9)/30))</f>
        <v>5.6974368182706963</v>
      </c>
      <c r="AZ89" s="173">
        <f ca="1">(VLOOKUP(AZ$72,INDIRECT($C$5&amp;"生成成长"),2))/((VLOOKUP($B89,INDIRECT($B$5&amp;"生成成长"),4))/(VLOOKUP(AZ$72,INDIRECT($C$5&amp;"生成成长"),5))*(VLOOKUP($B$5,标准坦克设计!$B$24:$U$30,MATCH("对"&amp;LEFT($C$5,2)&amp;"输出",标准坦克设计!$B$23:$U$23,0)))*(VLOOKUP($B89,INDIRECT($B$5&amp;"生成成长"),3))*(VLOOKUP($B$5,标准坦克设计!$B$14:$K$20,9)/30))</f>
        <v>6.357485043200291</v>
      </c>
      <c r="BA89" s="173">
        <f ca="1">(VLOOKUP(BA$72,INDIRECT($C$5&amp;"生成成长"),2))/((VLOOKUP($B89,INDIRECT($B$5&amp;"生成成长"),4))/(VLOOKUP(BA$72,INDIRECT($C$5&amp;"生成成长"),5))*(VLOOKUP($B$5,标准坦克设计!$B$24:$U$30,MATCH("对"&amp;LEFT($C$5,2)&amp;"输出",标准坦克设计!$B$23:$U$23,0)))*(VLOOKUP($B89,INDIRECT($B$5&amp;"生成成长"),3))*(VLOOKUP($B$5,标准坦克设计!$B$14:$K$20,9)/30))</f>
        <v>7.0537002941534253</v>
      </c>
      <c r="BB89" s="173">
        <f ca="1">(VLOOKUP(BB$72,INDIRECT($C$5&amp;"生成成长"),2))/((VLOOKUP($B89,INDIRECT($B$5&amp;"生成成长"),4))/(VLOOKUP(BB$72,INDIRECT($C$5&amp;"生成成长"),5))*(VLOOKUP($B$5,标准坦克设计!$B$24:$U$30,MATCH("对"&amp;LEFT($C$5,2)&amp;"输出",标准坦克设计!$B$23:$U$23,0)))*(VLOOKUP($B89,INDIRECT($B$5&amp;"生成成长"),3))*(VLOOKUP($B$5,标准坦克设计!$B$14:$K$20,9)/30))</f>
        <v>7.7860825711300983</v>
      </c>
      <c r="BC89" s="173">
        <f ca="1">(VLOOKUP(BC$72,INDIRECT($C$5&amp;"生成成长"),2))/((VLOOKUP($B89,INDIRECT($B$5&amp;"生成成长"),4))/(VLOOKUP(BC$72,INDIRECT($C$5&amp;"生成成长"),5))*(VLOOKUP($B$5,标准坦克设计!$B$24:$U$30,MATCH("对"&amp;LEFT($C$5,2)&amp;"输出",标准坦克设计!$B$23:$U$23,0)))*(VLOOKUP($B89,INDIRECT($B$5&amp;"生成成长"),3))*(VLOOKUP($B$5,标准坦克设计!$B$14:$K$20,9)/30))</f>
        <v>8.5546318741303118</v>
      </c>
      <c r="BD89" s="173">
        <f ca="1">(VLOOKUP(BD$72,INDIRECT($C$5&amp;"生成成长"),2))/((VLOOKUP($B89,INDIRECT($B$5&amp;"生成成长"),4))/(VLOOKUP(BD$72,INDIRECT($C$5&amp;"生成成长"),5))*(VLOOKUP($B$5,标准坦克设计!$B$24:$U$30,MATCH("对"&amp;LEFT($C$5,2)&amp;"输出",标准坦克设计!$B$23:$U$23,0)))*(VLOOKUP($B89,INDIRECT($B$5&amp;"生成成长"),3))*(VLOOKUP($B$5,标准坦克设计!$B$14:$K$20,9)/30))</f>
        <v>9.4624807382993126</v>
      </c>
      <c r="BE89" s="173">
        <f ca="1">(VLOOKUP(BE$72,INDIRECT($C$5&amp;"生成成长"),2))/((VLOOKUP($B89,INDIRECT($B$5&amp;"生成成长"),4))/(VLOOKUP(BE$72,INDIRECT($C$5&amp;"生成成长"),5))*(VLOOKUP($B$5,标准坦克设计!$B$24:$U$30,MATCH("对"&amp;LEFT($C$5,2)&amp;"输出",标准坦克设计!$B$23:$U$23,0)))*(VLOOKUP($B89,INDIRECT($B$5&amp;"生成成长"),3))*(VLOOKUP($B$5,标准坦克设计!$B$14:$K$20,9)/30))</f>
        <v>10.416103494779358</v>
      </c>
      <c r="BF89" s="173">
        <f ca="1">(VLOOKUP(BF$72,INDIRECT($C$5&amp;"生成成长"),2))/((VLOOKUP($B89,INDIRECT($B$5&amp;"生成成长"),4))/(VLOOKUP(BF$72,INDIRECT($C$5&amp;"生成成长"),5))*(VLOOKUP($B$5,标准坦克设计!$B$24:$U$30,MATCH("对"&amp;LEFT($C$5,2)&amp;"输出",标准坦克设计!$B$23:$U$23,0)))*(VLOOKUP($B89,INDIRECT($B$5&amp;"生成成长"),3))*(VLOOKUP($B$5,标准坦克设计!$B$14:$K$20,9)/30))</f>
        <v>11.415500143570442</v>
      </c>
      <c r="BG89" s="173">
        <f ca="1">(VLOOKUP(BG$72,INDIRECT($C$5&amp;"生成成长"),2))/((VLOOKUP($B89,INDIRECT($B$5&amp;"生成成长"),4))/(VLOOKUP(BG$72,INDIRECT($C$5&amp;"生成成长"),5))*(VLOOKUP($B$5,标准坦克设计!$B$24:$U$30,MATCH("对"&amp;LEFT($C$5,2)&amp;"输出",标准坦克设计!$B$23:$U$23,0)))*(VLOOKUP($B89,INDIRECT($B$5&amp;"生成成长"),3))*(VLOOKUP($B$5,标准坦克设计!$B$14:$K$20,9)/30))</f>
        <v>12.46067068467257</v>
      </c>
      <c r="BH89" s="173">
        <f ca="1">(VLOOKUP(BH$72,INDIRECT($C$5&amp;"生成成长"),2))/((VLOOKUP($B89,INDIRECT($B$5&amp;"生成成长"),4))/(VLOOKUP(BH$72,INDIRECT($C$5&amp;"生成成长"),5))*(VLOOKUP($B$5,标准坦克设计!$B$24:$U$30,MATCH("对"&amp;LEFT($C$5,2)&amp;"输出",标准坦克设计!$B$23:$U$23,0)))*(VLOOKUP($B89,INDIRECT($B$5&amp;"生成成长"),3))*(VLOOKUP($B$5,标准坦克设计!$B$14:$K$20,9)/30))</f>
        <v>6.0229400524825509</v>
      </c>
      <c r="BI89" s="173">
        <f ca="1">(VLOOKUP(BI$72,INDIRECT($C$5&amp;"生成成长"),2))/((VLOOKUP($B89,INDIRECT($B$5&amp;"生成成长"),4))/(VLOOKUP(BI$72,INDIRECT($C$5&amp;"生成成长"),5))*(VLOOKUP($B$5,标准坦克设计!$B$24:$U$30,MATCH("对"&amp;LEFT($C$5,2)&amp;"输出",标准坦克设计!$B$23:$U$23,0)))*(VLOOKUP($B89,INDIRECT($B$5&amp;"生成成长"),3))*(VLOOKUP($B$5,标准坦克设计!$B$14:$K$20,9)/30))</f>
        <v>6.7883812516838669</v>
      </c>
      <c r="BJ89" s="173">
        <f ca="1">(VLOOKUP(BJ$72,INDIRECT($C$5&amp;"生成成长"),2))/((VLOOKUP($B89,INDIRECT($B$5&amp;"生成成长"),4))/(VLOOKUP(BJ$72,INDIRECT($C$5&amp;"生成成长"),5))*(VLOOKUP($B$5,标准坦克设计!$B$24:$U$30,MATCH("对"&amp;LEFT($C$5,2)&amp;"输出",标准坦克设计!$B$23:$U$23,0)))*(VLOOKUP($B89,INDIRECT($B$5&amp;"生成成长"),3))*(VLOOKUP($B$5,标准坦克设计!$B$14:$K$20,9)/30))</f>
        <v>7.5995963431962217</v>
      </c>
      <c r="BK89" s="173">
        <f ca="1">(VLOOKUP(BK$72,INDIRECT($C$5&amp;"生成成长"),2))/((VLOOKUP($B89,INDIRECT($B$5&amp;"生成成长"),4))/(VLOOKUP(BK$72,INDIRECT($C$5&amp;"生成成长"),5))*(VLOOKUP($B$5,标准坦克设计!$B$24:$U$30,MATCH("对"&amp;LEFT($C$5,2)&amp;"输出",标准坦克设计!$B$23:$U$23,0)))*(VLOOKUP($B89,INDIRECT($B$5&amp;"生成成长"),3))*(VLOOKUP($B$5,标准坦克设计!$B$14:$K$20,9)/30))</f>
        <v>8.4565853270196225</v>
      </c>
      <c r="BL89" s="173">
        <f ca="1">(VLOOKUP(BL$72,INDIRECT($C$5&amp;"生成成长"),2))/((VLOOKUP($B89,INDIRECT($B$5&amp;"生成成长"),4))/(VLOOKUP(BL$72,INDIRECT($C$5&amp;"生成成长"),5))*(VLOOKUP($B$5,标准坦克设计!$B$24:$U$30,MATCH("对"&amp;LEFT($C$5,2)&amp;"输出",标准坦克设计!$B$23:$U$23,0)))*(VLOOKUP($B89,INDIRECT($B$5&amp;"生成成长"),3))*(VLOOKUP($B$5,标准坦克设计!$B$14:$K$20,9)/30))</f>
        <v>9.3593482031540649</v>
      </c>
      <c r="BM89" s="173">
        <f ca="1">(VLOOKUP(BM$72,INDIRECT($C$5&amp;"生成成长"),2))/((VLOOKUP($B89,INDIRECT($B$5&amp;"生成成长"),4))/(VLOOKUP(BM$72,INDIRECT($C$5&amp;"生成成长"),5))*(VLOOKUP($B$5,标准坦克设计!$B$24:$U$30,MATCH("对"&amp;LEFT($C$5,2)&amp;"输出",标准坦克设计!$B$23:$U$23,0)))*(VLOOKUP($B89,INDIRECT($B$5&amp;"生成成长"),3))*(VLOOKUP($B$5,标准坦克设计!$B$14:$K$20,9)/30))</f>
        <v>10.307884971599545</v>
      </c>
      <c r="BN89" s="173">
        <f ca="1">(VLOOKUP(BN$72,INDIRECT($C$5&amp;"生成成长"),2))/((VLOOKUP($B89,INDIRECT($B$5&amp;"生成成长"),4))/(VLOOKUP(BN$72,INDIRECT($C$5&amp;"生成成长"),5))*(VLOOKUP($B$5,标准坦克设计!$B$24:$U$30,MATCH("对"&amp;LEFT($C$5,2)&amp;"输出",标准坦克设计!$B$23:$U$23,0)))*(VLOOKUP($B89,INDIRECT($B$5&amp;"生成成长"),3))*(VLOOKUP($B$5,标准坦克设计!$B$14:$K$20,9)/30))</f>
        <v>11.302195632356074</v>
      </c>
      <c r="BO89" s="173">
        <f ca="1">(VLOOKUP(BO$72,INDIRECT($C$5&amp;"生成成长"),2))/((VLOOKUP($B89,INDIRECT($B$5&amp;"生成成长"),4))/(VLOOKUP(BO$72,INDIRECT($C$5&amp;"生成成长"),5))*(VLOOKUP($B$5,标准坦克设计!$B$24:$U$30,MATCH("对"&amp;LEFT($C$5,2)&amp;"输出",标准坦克设计!$B$23:$U$23,0)))*(VLOOKUP($B89,INDIRECT($B$5&amp;"生成成长"),3))*(VLOOKUP($B$5,标准坦克设计!$B$14:$K$20,9)/30))</f>
        <v>12.342280185423641</v>
      </c>
      <c r="BP89" s="173">
        <f ca="1">(VLOOKUP(BP$72,INDIRECT($C$5&amp;"生成成长"),2))/((VLOOKUP($B89,INDIRECT($B$5&amp;"生成成长"),4))/(VLOOKUP(BP$72,INDIRECT($C$5&amp;"生成成长"),5))*(VLOOKUP($B$5,标准坦克设计!$B$24:$U$30,MATCH("对"&amp;LEFT($C$5,2)&amp;"输出",标准坦克设计!$B$23:$U$23,0)))*(VLOOKUP($B89,INDIRECT($B$5&amp;"生成成长"),3))*(VLOOKUP($B$5,标准坦克设计!$B$14:$K$20,9)/30))</f>
        <v>13.428138630802252</v>
      </c>
      <c r="BQ89" s="173">
        <f ca="1">(VLOOKUP(BQ$72,INDIRECT($C$5&amp;"生成成长"),2))/((VLOOKUP($B89,INDIRECT($B$5&amp;"生成成长"),4))/(VLOOKUP(BQ$72,INDIRECT($C$5&amp;"生成成长"),5))*(VLOOKUP($B$5,标准坦克设计!$B$24:$U$30,MATCH("对"&amp;LEFT($C$5,2)&amp;"输出",标准坦克设计!$B$23:$U$23,0)))*(VLOOKUP($B89,INDIRECT($B$5&amp;"生成成长"),3))*(VLOOKUP($B$5,标准坦克设计!$B$14:$K$20,9)/30))</f>
        <v>14.5597709684919</v>
      </c>
      <c r="BR89" s="173">
        <f ca="1">(VLOOKUP(BR$72,INDIRECT($C$5&amp;"生成成长"),2))/((VLOOKUP($B89,INDIRECT($B$5&amp;"生成成长"),4))/(VLOOKUP(BR$72,INDIRECT($C$5&amp;"生成成长"),5))*(VLOOKUP($B$5,标准坦克设计!$B$24:$U$30,MATCH("对"&amp;LEFT($C$5,2)&amp;"输出",标准坦克设计!$B$23:$U$23,0)))*(VLOOKUP($B89,INDIRECT($B$5&amp;"生成成长"),3))*(VLOOKUP($B$5,标准坦克设计!$B$14:$K$20,9)/30))</f>
        <v>15.870825661845206</v>
      </c>
      <c r="BS89" s="173">
        <f ca="1">(VLOOKUP(BS$72,INDIRECT($C$5&amp;"生成成长"),2))/((VLOOKUP($B89,INDIRECT($B$5&amp;"生成成长"),4))/(VLOOKUP(BS$72,INDIRECT($C$5&amp;"生成成长"),5))*(VLOOKUP($B$5,标准坦克设计!$B$24:$U$30,MATCH("对"&amp;LEFT($C$5,2)&amp;"输出",标准坦克设计!$B$23:$U$23,0)))*(VLOOKUP($B89,INDIRECT($B$5&amp;"生成成长"),3))*(VLOOKUP($B$5,标准坦克设计!$B$14:$K$20,9)/30))</f>
        <v>17.238391333360291</v>
      </c>
      <c r="BT89" s="173">
        <f ca="1">(VLOOKUP(BT$72,INDIRECT($C$5&amp;"生成成长"),2))/((VLOOKUP($B89,INDIRECT($B$5&amp;"生成成长"),4))/(VLOOKUP(BT$72,INDIRECT($C$5&amp;"生成成长"),5))*(VLOOKUP($B$5,标准坦克设计!$B$24:$U$30,MATCH("对"&amp;LEFT($C$5,2)&amp;"输出",标准坦克设计!$B$23:$U$23,0)))*(VLOOKUP($B89,INDIRECT($B$5&amp;"生成成长"),3))*(VLOOKUP($B$5,标准坦克设计!$B$14:$K$20,9)/30))</f>
        <v>18.662467983037157</v>
      </c>
      <c r="BU89" s="173">
        <f ca="1">(VLOOKUP(BU$72,INDIRECT($C$5&amp;"生成成长"),2))/((VLOOKUP($B89,INDIRECT($B$5&amp;"生成成长"),4))/(VLOOKUP(BU$72,INDIRECT($C$5&amp;"生成成长"),5))*(VLOOKUP($B$5,标准坦克设计!$B$24:$U$30,MATCH("对"&amp;LEFT($C$5,2)&amp;"输出",标准坦克设计!$B$23:$U$23,0)))*(VLOOKUP($B89,INDIRECT($B$5&amp;"生成成长"),3))*(VLOOKUP($B$5,标准坦克设计!$B$14:$K$20,9)/30))</f>
        <v>20.143055610875802</v>
      </c>
      <c r="BV89" s="173">
        <f ca="1">(VLOOKUP(BV$72,INDIRECT($C$5&amp;"生成成长"),2))/((VLOOKUP($B89,INDIRECT($B$5&amp;"生成成长"),4))/(VLOOKUP(BV$72,INDIRECT($C$5&amp;"生成成长"),5))*(VLOOKUP($B$5,标准坦克设计!$B$24:$U$30,MATCH("对"&amp;LEFT($C$5,2)&amp;"输出",标准坦克设计!$B$23:$U$23,0)))*(VLOOKUP($B89,INDIRECT($B$5&amp;"生成成长"),3))*(VLOOKUP($B$5,标准坦克设计!$B$14:$K$20,9)/30))</f>
        <v>21.680154216876229</v>
      </c>
      <c r="BW89" s="173">
        <f ca="1">(VLOOKUP(BW$72,INDIRECT($C$5&amp;"生成成长"),2))/((VLOOKUP($B89,INDIRECT($B$5&amp;"生成成长"),4))/(VLOOKUP(BW$72,INDIRECT($C$5&amp;"生成成长"),5))*(VLOOKUP($B$5,标准坦克设计!$B$24:$U$30,MATCH("对"&amp;LEFT($C$5,2)&amp;"输出",标准坦克设计!$B$23:$U$23,0)))*(VLOOKUP($B89,INDIRECT($B$5&amp;"生成成长"),3))*(VLOOKUP($B$5,标准坦克设计!$B$14:$K$20,9)/30))</f>
        <v>9.8806619766964872</v>
      </c>
      <c r="BX89" s="173">
        <f ca="1">(VLOOKUP(BX$72,INDIRECT($C$5&amp;"生成成长"),2))/((VLOOKUP($B89,INDIRECT($B$5&amp;"生成成长"),4))/(VLOOKUP(BX$72,INDIRECT($C$5&amp;"生成成长"),5))*(VLOOKUP($B$5,标准坦克设计!$B$24:$U$30,MATCH("对"&amp;LEFT($C$5,2)&amp;"输出",标准坦克设计!$B$23:$U$23,0)))*(VLOOKUP($B89,INDIRECT($B$5&amp;"生成成长"),3))*(VLOOKUP($B$5,标准坦克设计!$B$14:$K$20,9)/30))</f>
        <v>10.965672757402672</v>
      </c>
      <c r="BY89" s="173">
        <f ca="1">(VLOOKUP(BY$72,INDIRECT($C$5&amp;"生成成长"),2))/((VLOOKUP($B89,INDIRECT($B$5&amp;"生成成长"),4))/(VLOOKUP(BY$72,INDIRECT($C$5&amp;"生成成长"),5))*(VLOOKUP($B$5,标准坦克设计!$B$24:$U$30,MATCH("对"&amp;LEFT($C$5,2)&amp;"输出",标准坦克设计!$B$23:$U$23,0)))*(VLOOKUP($B89,INDIRECT($B$5&amp;"生成成长"),3))*(VLOOKUP($B$5,标准坦克设计!$B$14:$K$20,9)/30))</f>
        <v>12.107194516270635</v>
      </c>
      <c r="BZ89" s="173">
        <f ca="1">(VLOOKUP(BZ$72,INDIRECT($C$5&amp;"生成成长"),2))/((VLOOKUP($B89,INDIRECT($B$5&amp;"生成成长"),4))/(VLOOKUP(BZ$72,INDIRECT($C$5&amp;"生成成长"),5))*(VLOOKUP($B$5,标准坦克设计!$B$24:$U$30,MATCH("对"&amp;LEFT($C$5,2)&amp;"输出",标准坦克设计!$B$23:$U$23,0)))*(VLOOKUP($B89,INDIRECT($B$5&amp;"生成成长"),3))*(VLOOKUP($B$5,标准坦克设计!$B$14:$K$20,9)/30))</f>
        <v>13.305227253300378</v>
      </c>
      <c r="CA89" s="173">
        <f ca="1">(VLOOKUP(CA$72,INDIRECT($C$5&amp;"生成成长"),2))/((VLOOKUP($B89,INDIRECT($B$5&amp;"生成成长"),4))/(VLOOKUP(CA$72,INDIRECT($C$5&amp;"生成成长"),5))*(VLOOKUP($B$5,标准坦克设计!$B$24:$U$30,MATCH("对"&amp;LEFT($C$5,2)&amp;"输出",标准坦克设计!$B$23:$U$23,0)))*(VLOOKUP($B89,INDIRECT($B$5&amp;"生成成长"),3))*(VLOOKUP($B$5,标准坦克设计!$B$14:$K$20,9)/30))</f>
        <v>14.5597709684919</v>
      </c>
      <c r="CB89" s="173">
        <f ca="1">(VLOOKUP(CB$72,INDIRECT($C$5&amp;"生成成长"),2))/((VLOOKUP($B89,INDIRECT($B$5&amp;"生成成长"),4))/(VLOOKUP(CB$72,INDIRECT($C$5&amp;"生成成长"),5))*(VLOOKUP($B$5,标准坦克设计!$B$24:$U$30,MATCH("对"&amp;LEFT($C$5,2)&amp;"输出",标准坦克设计!$B$23:$U$23,0)))*(VLOOKUP($B89,INDIRECT($B$5&amp;"生成成长"),3))*(VLOOKUP($B$5,标准坦克设计!$B$14:$K$20,9)/30))</f>
        <v>15.870825661845206</v>
      </c>
      <c r="CC89" s="173">
        <f ca="1">(VLOOKUP(CC$72,INDIRECT($C$5&amp;"生成成长"),2))/((VLOOKUP($B89,INDIRECT($B$5&amp;"生成成长"),4))/(VLOOKUP(CC$72,INDIRECT($C$5&amp;"生成成长"),5))*(VLOOKUP($B$5,标准坦克设计!$B$24:$U$30,MATCH("对"&amp;LEFT($C$5,2)&amp;"输出",标准坦克设计!$B$23:$U$23,0)))*(VLOOKUP($B89,INDIRECT($B$5&amp;"生成成长"),3))*(VLOOKUP($B$5,标准坦克设计!$B$14:$K$20,9)/30))</f>
        <v>17.238391333360291</v>
      </c>
      <c r="CD89" s="173">
        <f ca="1">(VLOOKUP(CD$72,INDIRECT($C$5&amp;"生成成长"),2))/((VLOOKUP($B89,INDIRECT($B$5&amp;"生成成长"),4))/(VLOOKUP(CD$72,INDIRECT($C$5&amp;"生成成长"),5))*(VLOOKUP($B$5,标准坦克设计!$B$24:$U$30,MATCH("对"&amp;LEFT($C$5,2)&amp;"输出",标准坦克设计!$B$23:$U$23,0)))*(VLOOKUP($B89,INDIRECT($B$5&amp;"生成成长"),3))*(VLOOKUP($B$5,标准坦克设计!$B$14:$K$20,9)/30))</f>
        <v>18.662467983037157</v>
      </c>
      <c r="CE89" s="173">
        <f ca="1">(VLOOKUP(CE$72,INDIRECT($C$5&amp;"生成成长"),2))/((VLOOKUP($B89,INDIRECT($B$5&amp;"生成成长"),4))/(VLOOKUP(CE$72,INDIRECT($C$5&amp;"生成成长"),5))*(VLOOKUP($B$5,标准坦克设计!$B$24:$U$30,MATCH("对"&amp;LEFT($C$5,2)&amp;"输出",标准坦克设计!$B$23:$U$23,0)))*(VLOOKUP($B89,INDIRECT($B$5&amp;"生成成长"),3))*(VLOOKUP($B$5,标准坦克设计!$B$14:$K$20,9)/30))</f>
        <v>20.143055610875802</v>
      </c>
      <c r="CF89" s="173">
        <f ca="1">(VLOOKUP(CF$72,INDIRECT($C$5&amp;"生成成长"),2))/((VLOOKUP($B89,INDIRECT($B$5&amp;"生成成长"),4))/(VLOOKUP(CF$72,INDIRECT($C$5&amp;"生成成长"),5))*(VLOOKUP($B$5,标准坦克设计!$B$24:$U$30,MATCH("对"&amp;LEFT($C$5,2)&amp;"输出",标准坦克设计!$B$23:$U$23,0)))*(VLOOKUP($B89,INDIRECT($B$5&amp;"生成成长"),3))*(VLOOKUP($B$5,标准坦克设计!$B$14:$K$20,9)/30))</f>
        <v>21.680154216876229</v>
      </c>
      <c r="CG89" s="173">
        <f ca="1">(VLOOKUP(CG$72,INDIRECT($C$5&amp;"生成成长"),2))/((VLOOKUP($B89,INDIRECT($B$5&amp;"生成成长"),4))/(VLOOKUP(CG$72,INDIRECT($C$5&amp;"生成成长"),5))*(VLOOKUP($B$5,标准坦克设计!$B$24:$U$30,MATCH("对"&amp;LEFT($C$5,2)&amp;"输出",标准坦克设计!$B$23:$U$23,0)))*(VLOOKUP($B89,INDIRECT($B$5&amp;"生成成长"),3))*(VLOOKUP($B$5,标准坦克设计!$B$14:$K$20,9)/30))</f>
        <v>23.273763801038438</v>
      </c>
      <c r="CH89" s="173">
        <f ca="1">(VLOOKUP(CH$72,INDIRECT($C$5&amp;"生成成长"),2))/((VLOOKUP($B89,INDIRECT($B$5&amp;"生成成长"),4))/(VLOOKUP(CH$72,INDIRECT($C$5&amp;"生成成长"),5))*(VLOOKUP($B$5,标准坦克设计!$B$24:$U$30,MATCH("对"&amp;LEFT($C$5,2)&amp;"输出",标准坦克设计!$B$23:$U$23,0)))*(VLOOKUP($B89,INDIRECT($B$5&amp;"生成成长"),3))*(VLOOKUP($B$5,标准坦克设计!$B$14:$K$20,9)/30))</f>
        <v>24.923884363362419</v>
      </c>
      <c r="CI89" s="173">
        <f ca="1">(VLOOKUP(CI$72,INDIRECT($C$5&amp;"生成成长"),2))/((VLOOKUP($B89,INDIRECT($B$5&amp;"生成成长"),4))/(VLOOKUP(CI$72,INDIRECT($C$5&amp;"生成成长"),5))*(VLOOKUP($B$5,标准坦克设计!$B$24:$U$30,MATCH("对"&amp;LEFT($C$5,2)&amp;"输出",标准坦克设计!$B$23:$U$23,0)))*(VLOOKUP($B89,INDIRECT($B$5&amp;"生成成长"),3))*(VLOOKUP($B$5,标准坦克设计!$B$14:$K$20,9)/30))</f>
        <v>26.804287161695658</v>
      </c>
      <c r="CJ89" s="173">
        <f ca="1">(VLOOKUP(CJ$72,INDIRECT($C$5&amp;"生成成长"),2))/((VLOOKUP($B89,INDIRECT($B$5&amp;"生成成长"),4))/(VLOOKUP(CJ$72,INDIRECT($C$5&amp;"生成成长"),5))*(VLOOKUP($B$5,标准坦克设计!$B$24:$U$30,MATCH("对"&amp;LEFT($C$5,2)&amp;"输出",标准坦克设计!$B$23:$U$23,0)))*(VLOOKUP($B89,INDIRECT($B$5&amp;"生成成长"),3))*(VLOOKUP($B$5,标准坦克设计!$B$14:$K$20,9)/30))</f>
        <v>28.753068243604655</v>
      </c>
      <c r="CK89" s="173">
        <f ca="1">(VLOOKUP(CK$72,INDIRECT($C$5&amp;"生成成长"),2))/((VLOOKUP($B89,INDIRECT($B$5&amp;"生成成长"),4))/(VLOOKUP(CK$72,INDIRECT($C$5&amp;"生成成长"),5))*(VLOOKUP($B$5,标准坦克设计!$B$24:$U$30,MATCH("对"&amp;LEFT($C$5,2)&amp;"输出",标准坦克设计!$B$23:$U$23,0)))*(VLOOKUP($B89,INDIRECT($B$5&amp;"生成成长"),3))*(VLOOKUP($B$5,标准坦克设计!$B$14:$K$20,9)/30))</f>
        <v>30.770227609089403</v>
      </c>
      <c r="CL89" s="173">
        <f ca="1">(VLOOKUP(CL$72,INDIRECT($C$5&amp;"生成成长"),2))/((VLOOKUP($B89,INDIRECT($B$5&amp;"生成成长"),4))/(VLOOKUP(CL$72,INDIRECT($C$5&amp;"生成成长"),5))*(VLOOKUP($B$5,标准坦克设计!$B$24:$U$30,MATCH("对"&amp;LEFT($C$5,2)&amp;"输出",标准坦克设计!$B$23:$U$23,0)))*(VLOOKUP($B89,INDIRECT($B$5&amp;"生成成长"),3))*(VLOOKUP($B$5,标准坦克设计!$B$14:$K$20,9)/30))</f>
        <v>32.855765258149916</v>
      </c>
      <c r="CM89" s="173">
        <f ca="1">(VLOOKUP(CM$72,INDIRECT($C$5&amp;"生成成长"),2))/((VLOOKUP($B89,INDIRECT($B$5&amp;"生成成长"),4))/(VLOOKUP(CM$72,INDIRECT($C$5&amp;"生成成长"),5))*(VLOOKUP($B$5,标准坦克设计!$B$24:$U$30,MATCH("对"&amp;LEFT($C$5,2)&amp;"输出",标准坦克设计!$B$23:$U$23,0)))*(VLOOKUP($B89,INDIRECT($B$5&amp;"生成成长"),3))*(VLOOKUP($B$5,标准坦克设计!$B$14:$K$20,9)/30))</f>
        <v>35.009681190786168</v>
      </c>
      <c r="CN89" s="173">
        <f ca="1">(VLOOKUP(CN$72,INDIRECT($C$5&amp;"生成成长"),2))/((VLOOKUP($B89,INDIRECT($B$5&amp;"生成成长"),4))/(VLOOKUP(CN$72,INDIRECT($C$5&amp;"生成成长"),5))*(VLOOKUP($B$5,标准坦克设计!$B$24:$U$30,MATCH("对"&amp;LEFT($C$5,2)&amp;"输出",标准坦克设计!$B$23:$U$23,0)))*(VLOOKUP($B89,INDIRECT($B$5&amp;"生成成长"),3))*(VLOOKUP($B$5,标准坦克设计!$B$14:$K$20,9)/30))</f>
        <v>37.231975406998181</v>
      </c>
      <c r="CO89" s="173">
        <f ca="1">(VLOOKUP(CO$72,INDIRECT($C$5&amp;"生成成长"),2))/((VLOOKUP($B89,INDIRECT($B$5&amp;"生成成长"),4))/(VLOOKUP(CO$72,INDIRECT($C$5&amp;"生成成长"),5))*(VLOOKUP($B$5,标准坦克设计!$B$24:$U$30,MATCH("对"&amp;LEFT($C$5,2)&amp;"输出",标准坦克设计!$B$23:$U$23,0)))*(VLOOKUP($B89,INDIRECT($B$5&amp;"生成成长"),3))*(VLOOKUP($B$5,标准坦克设计!$B$14:$K$20,9)/30))</f>
        <v>16.684583747374845</v>
      </c>
      <c r="CP89" s="173">
        <f ca="1">(VLOOKUP(CP$72,INDIRECT($C$5&amp;"生成成长"),2))/((VLOOKUP($B89,INDIRECT($B$5&amp;"生成成长"),4))/(VLOOKUP(CP$72,INDIRECT($C$5&amp;"生成成长"),5))*(VLOOKUP($B$5,标准坦克设计!$B$24:$U$30,MATCH("对"&amp;LEFT($C$5,2)&amp;"输出",标准坦克设计!$B$23:$U$23,0)))*(VLOOKUP($B89,INDIRECT($B$5&amp;"生成成长"),3))*(VLOOKUP($B$5,标准坦克设计!$B$14:$K$20,9)/30))</f>
        <v>18.229311335427113</v>
      </c>
      <c r="CQ89" s="173">
        <f ca="1">(VLOOKUP(CQ$72,INDIRECT($C$5&amp;"生成成长"),2))/((VLOOKUP($B89,INDIRECT($B$5&amp;"生成成长"),4))/(VLOOKUP(CQ$72,INDIRECT($C$5&amp;"生成成长"),5))*(VLOOKUP($B$5,标准坦克设计!$B$24:$U$30,MATCH("对"&amp;LEFT($C$5,2)&amp;"输出",标准坦克设计!$B$23:$U$23,0)))*(VLOOKUP($B89,INDIRECT($B$5&amp;"生成成长"),3))*(VLOOKUP($B$5,标准坦克设计!$B$14:$K$20,9)/30))</f>
        <v>19.842417207055131</v>
      </c>
      <c r="CR89" s="173">
        <f ca="1">(VLOOKUP(CR$72,INDIRECT($C$5&amp;"生成成长"),2))/((VLOOKUP($B89,INDIRECT($B$5&amp;"生成成长"),4))/(VLOOKUP(CR$72,INDIRECT($C$5&amp;"生成成长"),5))*(VLOOKUP($B$5,标准坦克设计!$B$24:$U$30,MATCH("对"&amp;LEFT($C$5,2)&amp;"输出",标准坦克设计!$B$23:$U$23,0)))*(VLOOKUP($B89,INDIRECT($B$5&amp;"生成成长"),3))*(VLOOKUP($B$5,标准坦克设计!$B$14:$K$20,9)/30))</f>
        <v>21.523901362258904</v>
      </c>
      <c r="CS89" s="173">
        <f ca="1">(VLOOKUP(CS$72,INDIRECT($C$5&amp;"生成成长"),2))/((VLOOKUP($B89,INDIRECT($B$5&amp;"生成成长"),4))/(VLOOKUP(CS$72,INDIRECT($C$5&amp;"生成成长"),5))*(VLOOKUP($B$5,标准坦克设计!$B$24:$U$30,MATCH("对"&amp;LEFT($C$5,2)&amp;"输出",标准坦克设计!$B$23:$U$23,0)))*(VLOOKUP($B89,INDIRECT($B$5&amp;"生成成长"),3))*(VLOOKUP($B$5,标准坦克设计!$B$14:$K$20,9)/30))</f>
        <v>23.273763801038438</v>
      </c>
      <c r="CT89" s="173">
        <f ca="1">(VLOOKUP(CT$72,INDIRECT($C$5&amp;"生成成长"),2))/((VLOOKUP($B89,INDIRECT($B$5&amp;"生成成长"),4))/(VLOOKUP(CT$72,INDIRECT($C$5&amp;"生成成长"),5))*(VLOOKUP($B$5,标准坦克设计!$B$24:$U$30,MATCH("对"&amp;LEFT($C$5,2)&amp;"输出",标准坦克设计!$B$23:$U$23,0)))*(VLOOKUP($B89,INDIRECT($B$5&amp;"生成成长"),3))*(VLOOKUP($B$5,标准坦克设计!$B$14:$K$20,9)/30))</f>
        <v>25.092004523393719</v>
      </c>
      <c r="CU89" s="173">
        <f ca="1">(VLOOKUP(CU$72,INDIRECT($C$5&amp;"生成成长"),2))/((VLOOKUP($B89,INDIRECT($B$5&amp;"生成成长"),4))/(VLOOKUP(CU$72,INDIRECT($C$5&amp;"生成成长"),5))*(VLOOKUP($B$5,标准坦克设计!$B$24:$U$30,MATCH("对"&amp;LEFT($C$5,2)&amp;"输出",标准坦克设计!$B$23:$U$23,0)))*(VLOOKUP($B89,INDIRECT($B$5&amp;"生成成长"),3))*(VLOOKUP($B$5,标准坦克设计!$B$14:$K$20,9)/30))</f>
        <v>26.978623529324754</v>
      </c>
      <c r="CV89" s="173">
        <f ca="1">(VLOOKUP(CV$72,INDIRECT($C$5&amp;"生成成长"),2))/((VLOOKUP($B89,INDIRECT($B$5&amp;"生成成长"),4))/(VLOOKUP(CV$72,INDIRECT($C$5&amp;"生成成长"),5))*(VLOOKUP($B$5,标准坦克设计!$B$24:$U$30,MATCH("对"&amp;LEFT($C$5,2)&amp;"输出",标准坦克设计!$B$23:$U$23,0)))*(VLOOKUP($B89,INDIRECT($B$5&amp;"生成成长"),3))*(VLOOKUP($B$5,标准坦克设计!$B$14:$K$20,9)/30))</f>
        <v>28.933620818831546</v>
      </c>
      <c r="CW89" s="173">
        <f ca="1">(VLOOKUP(CW$72,INDIRECT($C$5&amp;"生成成长"),2))/((VLOOKUP($B89,INDIRECT($B$5&amp;"生成成长"),4))/(VLOOKUP(CW$72,INDIRECT($C$5&amp;"生成成长"),5))*(VLOOKUP($B$5,标准坦克设计!$B$24:$U$30,MATCH("对"&amp;LEFT($C$5,2)&amp;"输出",标准坦克设计!$B$23:$U$23,0)))*(VLOOKUP($B89,INDIRECT($B$5&amp;"生成成长"),3))*(VLOOKUP($B$5,标准坦克设计!$B$14:$K$20,9)/30))</f>
        <v>30.956996391914096</v>
      </c>
      <c r="CX89" s="173">
        <f ca="1">(VLOOKUP(CX$72,INDIRECT($C$5&amp;"生成成长"),2))/((VLOOKUP($B89,INDIRECT($B$5&amp;"生成成长"),4))/(VLOOKUP(CX$72,INDIRECT($C$5&amp;"生成成长"),5))*(VLOOKUP($B$5,标准坦克设计!$B$24:$U$30,MATCH("对"&amp;LEFT($C$5,2)&amp;"输出",标准坦克设计!$B$23:$U$23,0)))*(VLOOKUP($B89,INDIRECT($B$5&amp;"生成成长"),3))*(VLOOKUP($B$5,标准坦克设计!$B$14:$K$20,9)/30))</f>
        <v>33.048750248572397</v>
      </c>
      <c r="CY89" s="173">
        <f ca="1">(VLOOKUP(CY$72,INDIRECT($C$5&amp;"生成成长"),2))/((VLOOKUP($B89,INDIRECT($B$5&amp;"生成成长"),4))/(VLOOKUP(CY$72,INDIRECT($C$5&amp;"生成成长"),5))*(VLOOKUP($B$5,标准坦克设计!$B$24:$U$30,MATCH("对"&amp;LEFT($C$5,2)&amp;"输出",标准坦克设计!$B$23:$U$23,0)))*(VLOOKUP($B89,INDIRECT($B$5&amp;"生成成长"),3))*(VLOOKUP($B$5,标准坦克设计!$B$14:$K$20,9)/30))</f>
        <v>35.208882388806451</v>
      </c>
      <c r="CZ89" s="173">
        <f ca="1">(VLOOKUP(CZ$72,INDIRECT($C$5&amp;"生成成长"),2))/((VLOOKUP($B89,INDIRECT($B$5&amp;"生成成长"),4))/(VLOOKUP(CZ$72,INDIRECT($C$5&amp;"生成成长"),5))*(VLOOKUP($B$5,标准坦克设计!$B$24:$U$30,MATCH("对"&amp;LEFT($C$5,2)&amp;"输出",标准坦克设计!$B$23:$U$23,0)))*(VLOOKUP($B89,INDIRECT($B$5&amp;"生成成长"),3))*(VLOOKUP($B$5,标准坦克设计!$B$14:$K$20,9)/30))</f>
        <v>37.43739281261626</v>
      </c>
      <c r="DA89" s="173">
        <f ca="1">(VLOOKUP(DA$72,INDIRECT($C$5&amp;"生成成长"),2))/((VLOOKUP($B89,INDIRECT($B$5&amp;"生成成长"),4))/(VLOOKUP(DA$72,INDIRECT($C$5&amp;"生成成长"),5))*(VLOOKUP($B$5,标准坦克设计!$B$24:$U$30,MATCH("对"&amp;LEFT($C$5,2)&amp;"输出",标准坦克设计!$B$23:$U$23,0)))*(VLOOKUP($B89,INDIRECT($B$5&amp;"生成成长"),3))*(VLOOKUP($B$5,标准坦克设计!$B$14:$K$20,9)/30))</f>
        <v>39.734281520001829</v>
      </c>
      <c r="DB89" s="173">
        <f ca="1">(VLOOKUP(DB$72,INDIRECT($C$5&amp;"生成成长"),2))/((VLOOKUP($B89,INDIRECT($B$5&amp;"生成成长"),4))/(VLOOKUP(DB$72,INDIRECT($C$5&amp;"生成成长"),5))*(VLOOKUP($B$5,标准坦克设计!$B$24:$U$30,MATCH("对"&amp;LEFT($C$5,2)&amp;"输出",标准坦克设计!$B$23:$U$23,0)))*(VLOOKUP($B89,INDIRECT($B$5&amp;"生成成长"),3))*(VLOOKUP($B$5,标准坦克设计!$B$14:$K$20,9)/30))</f>
        <v>42.099548510963132</v>
      </c>
      <c r="DC89" s="173">
        <f ca="1">(VLOOKUP(DC$72,INDIRECT($C$5&amp;"生成成长"),2))/((VLOOKUP($B89,INDIRECT($B$5&amp;"生成成长"),4))/(VLOOKUP(DC$72,INDIRECT($C$5&amp;"生成成长"),5))*(VLOOKUP($B$5,标准坦克设计!$B$24:$U$30,MATCH("对"&amp;LEFT($C$5,2)&amp;"输出",标准坦克设计!$B$23:$U$23,0)))*(VLOOKUP($B89,INDIRECT($B$5&amp;"生成成长"),3))*(VLOOKUP($B$5,标准坦克设计!$B$14:$K$20,9)/30))</f>
        <v>44.757824923693285</v>
      </c>
      <c r="DD89" s="173">
        <f ca="1">(VLOOKUP(DD$72,INDIRECT($C$5&amp;"生成成长"),2))/((VLOOKUP($B89,INDIRECT($B$5&amp;"生成成长"),4))/(VLOOKUP(DD$72,INDIRECT($C$5&amp;"生成成长"),5))*(VLOOKUP($B$5,标准坦克设计!$B$24:$U$30,MATCH("对"&amp;LEFT($C$5,2)&amp;"输出",标准坦克设计!$B$23:$U$23,0)))*(VLOOKUP($B89,INDIRECT($B$5&amp;"生成成长"),3))*(VLOOKUP($B$5,标准坦克设计!$B$14:$K$20,9)/30))</f>
        <v>47.497477144976408</v>
      </c>
      <c r="DE89" s="173">
        <f ca="1">(VLOOKUP(DE$72,INDIRECT($C$5&amp;"生成成长"),2))/((VLOOKUP($B89,INDIRECT($B$5&amp;"生成成长"),4))/(VLOOKUP(DE$72,INDIRECT($C$5&amp;"生成成长"),5))*(VLOOKUP($B$5,标准坦克设计!$B$24:$U$30,MATCH("对"&amp;LEFT($C$5,2)&amp;"输出",标准坦克设计!$B$23:$U$23,0)))*(VLOOKUP($B89,INDIRECT($B$5&amp;"生成成长"),3))*(VLOOKUP($B$5,标准坦克设计!$B$14:$K$20,9)/30))</f>
        <v>50.318505174812486</v>
      </c>
      <c r="DF89" s="173">
        <f ca="1">(VLOOKUP(DF$72,INDIRECT($C$5&amp;"生成成长"),2))/((VLOOKUP($B89,INDIRECT($B$5&amp;"生成成长"),4))/(VLOOKUP(DF$72,INDIRECT($C$5&amp;"生成成长"),5))*(VLOOKUP($B$5,标准坦克设计!$B$24:$U$30,MATCH("对"&amp;LEFT($C$5,2)&amp;"输出",标准坦克设计!$B$23:$U$23,0)))*(VLOOKUP($B89,INDIRECT($B$5&amp;"生成成长"),3))*(VLOOKUP($B$5,标准坦克设计!$B$14:$K$20,9)/30))</f>
        <v>53.220909013201513</v>
      </c>
      <c r="DG89" s="173">
        <f ca="1">(VLOOKUP(DG$72,INDIRECT($C$5&amp;"生成成长"),2))/((VLOOKUP($B89,INDIRECT($B$5&amp;"生成成长"),4))/(VLOOKUP(DG$72,INDIRECT($C$5&amp;"生成成长"),5))*(VLOOKUP($B$5,标准坦克设计!$B$24:$U$30,MATCH("对"&amp;LEFT($C$5,2)&amp;"输出",标准坦克设计!$B$23:$U$23,0)))*(VLOOKUP($B89,INDIRECT($B$5&amp;"生成成长"),3))*(VLOOKUP($B$5,标准坦克设计!$B$14:$K$20,9)/30))</f>
        <v>56.204688660143525</v>
      </c>
      <c r="DH89" s="173">
        <f ca="1">(VLOOKUP(DH$72,INDIRECT($C$5&amp;"生成成长"),2))/((VLOOKUP($B89,INDIRECT($B$5&amp;"生成成长"),4))/(VLOOKUP(DH$72,INDIRECT($C$5&amp;"生成成长"),5))*(VLOOKUP($B$5,标准坦克设计!$B$24:$U$30,MATCH("对"&amp;LEFT($C$5,2)&amp;"输出",标准坦克设计!$B$23:$U$23,0)))*(VLOOKUP($B89,INDIRECT($B$5&amp;"生成成长"),3))*(VLOOKUP($B$5,标准坦克设计!$B$14:$K$20,9)/30))</f>
        <v>59.269844115638477</v>
      </c>
      <c r="DI89" s="173">
        <f ca="1">(VLOOKUP(DI$72,INDIRECT($C$5&amp;"生成成长"),2))/((VLOOKUP($B89,INDIRECT($B$5&amp;"生成成长"),4))/(VLOOKUP(DI$72,INDIRECT($C$5&amp;"生成成长"),5))*(VLOOKUP($B$5,标准坦克设计!$B$24:$U$30,MATCH("对"&amp;LEFT($C$5,2)&amp;"输出",标准坦克设计!$B$23:$U$23,0)))*(VLOOKUP($B89,INDIRECT($B$5&amp;"生成成长"),3))*(VLOOKUP($B$5,标准坦克设计!$B$14:$K$20,9)/30))</f>
        <v>62.416375379686414</v>
      </c>
      <c r="DJ89" s="173">
        <f ca="1">(VLOOKUP(DJ$72,INDIRECT($C$5&amp;"生成成长"),2))/((VLOOKUP($B89,INDIRECT($B$5&amp;"生成成长"),4))/(VLOOKUP(DJ$72,INDIRECT($C$5&amp;"生成成长"),5))*(VLOOKUP($B$5,标准坦克设计!$B$24:$U$30,MATCH("对"&amp;LEFT($C$5,2)&amp;"输出",标准坦克设计!$B$23:$U$23,0)))*(VLOOKUP($B89,INDIRECT($B$5&amp;"生成成长"),3))*(VLOOKUP($B$5,标准坦克设计!$B$14:$K$20,9)/30))</f>
        <v>6.2730011308484297</v>
      </c>
      <c r="DK89" s="173">
        <f ca="1">(VLOOKUP(DK$72,INDIRECT($C$5&amp;"生成成长"),2))/((VLOOKUP($B89,INDIRECT($B$5&amp;"生成成长"),4))/(VLOOKUP(DK$72,INDIRECT($C$5&amp;"生成成长"),5))*(VLOOKUP($B$5,标准坦克设计!$B$24:$U$30,MATCH("对"&amp;LEFT($C$5,2)&amp;"输出",标准坦克设计!$B$23:$U$23,0)))*(VLOOKUP($B89,INDIRECT($B$5&amp;"生成成长"),3))*(VLOOKUP($B$5,标准坦克设计!$B$14:$K$20,9)/30))</f>
        <v>7.0537002941534253</v>
      </c>
      <c r="DL89" s="173">
        <f ca="1">(VLOOKUP(DL$72,INDIRECT($C$5&amp;"生成成长"),2))/((VLOOKUP($B89,INDIRECT($B$5&amp;"生成成长"),4))/(VLOOKUP(DL$72,INDIRECT($C$5&amp;"生成成长"),5))*(VLOOKUP($B$5,标准坦克设计!$B$24:$U$30,MATCH("对"&amp;LEFT($C$5,2)&amp;"输出",标准坦克设计!$B$23:$U$23,0)))*(VLOOKUP($B89,INDIRECT($B$5&amp;"生成成长"),3))*(VLOOKUP($B$5,标准坦克设计!$B$14:$K$20,9)/30))</f>
        <v>7.8801733497694633</v>
      </c>
      <c r="DM89" s="173">
        <f ca="1">(VLOOKUP(DM$72,INDIRECT($C$5&amp;"生成成长"),2))/((VLOOKUP($B89,INDIRECT($B$5&amp;"生成成长"),4))/(VLOOKUP(DM$72,INDIRECT($C$5&amp;"生成成长"),5))*(VLOOKUP($B$5,标准坦克设计!$B$24:$U$30,MATCH("对"&amp;LEFT($C$5,2)&amp;"输出",标准坦克设计!$B$23:$U$23,0)))*(VLOOKUP($B89,INDIRECT($B$5&amp;"生成成长"),3))*(VLOOKUP($B$5,标准坦克设计!$B$14:$K$20,9)/30))</f>
        <v>8.752420297696542</v>
      </c>
      <c r="DN89" s="173">
        <f ca="1">(VLOOKUP(DN$72,INDIRECT($C$5&amp;"生成成长"),2))/((VLOOKUP($B89,INDIRECT($B$5&amp;"生成成长"),4))/(VLOOKUP(DN$72,INDIRECT($C$5&amp;"生成成长"),5))*(VLOOKUP($B$5,标准坦克设计!$B$24:$U$30,MATCH("对"&amp;LEFT($C$5,2)&amp;"输出",标准坦克设计!$B$23:$U$23,0)))*(VLOOKUP($B89,INDIRECT($B$5&amp;"生成成长"),3))*(VLOOKUP($B$5,标准坦克设计!$B$14:$K$20,9)/30))</f>
        <v>9.6704411379346649</v>
      </c>
      <c r="DO89" s="173">
        <f ca="1">(VLOOKUP(DO$72,INDIRECT($C$5&amp;"生成成长"),2))/((VLOOKUP($B89,INDIRECT($B$5&amp;"生成成长"),4))/(VLOOKUP(DO$72,INDIRECT($C$5&amp;"生成成长"),5))*(VLOOKUP($B$5,标准坦克设计!$B$24:$U$30,MATCH("对"&amp;LEFT($C$5,2)&amp;"输出",标准坦克设计!$B$23:$U$23,0)))*(VLOOKUP($B89,INDIRECT($B$5&amp;"生成成长"),3))*(VLOOKUP($B$5,标准坦克设计!$B$14:$K$20,9)/30))</f>
        <v>10.634235870483828</v>
      </c>
      <c r="DP89" s="173">
        <f ca="1">(VLOOKUP(DP$72,INDIRECT($C$5&amp;"生成成长"),2))/((VLOOKUP($B89,INDIRECT($B$5&amp;"生成成长"),4))/(VLOOKUP(DP$72,INDIRECT($C$5&amp;"生成成长"),5))*(VLOOKUP($B$5,标准坦克设计!$B$24:$U$30,MATCH("对"&amp;LEFT($C$5,2)&amp;"输出",标准坦克设计!$B$23:$U$23,0)))*(VLOOKUP($B89,INDIRECT($B$5&amp;"生成成长"),3))*(VLOOKUP($B$5,标准坦克设计!$B$14:$K$20,9)/30))</f>
        <v>11.643804495344035</v>
      </c>
      <c r="DQ89" s="173">
        <f ca="1">(VLOOKUP(DQ$72,INDIRECT($C$5&amp;"生成成长"),2))/((VLOOKUP($B89,INDIRECT($B$5&amp;"生成成长"),4))/(VLOOKUP(DQ$72,INDIRECT($C$5&amp;"生成成长"),5))*(VLOOKUP($B$5,标准坦克设计!$B$24:$U$30,MATCH("对"&amp;LEFT($C$5,2)&amp;"输出",标准坦克设计!$B$23:$U$23,0)))*(VLOOKUP($B89,INDIRECT($B$5&amp;"生成成长"),3))*(VLOOKUP($B$5,标准坦克设计!$B$14:$K$20,9)/30))</f>
        <v>12.699147012515283</v>
      </c>
      <c r="DR89" s="173">
        <f ca="1">(VLOOKUP(DR$72,INDIRECT($C$5&amp;"生成成长"),2))/((VLOOKUP($B89,INDIRECT($B$5&amp;"生成成长"),4))/(VLOOKUP(DR$72,INDIRECT($C$5&amp;"生成成长"),5))*(VLOOKUP($B$5,标准坦克设计!$B$24:$U$30,MATCH("对"&amp;LEFT($C$5,2)&amp;"输出",标准坦克设计!$B$23:$U$23,0)))*(VLOOKUP($B89,INDIRECT($B$5&amp;"生成成长"),3))*(VLOOKUP($B$5,标准坦克设计!$B$14:$K$20,9)/30))</f>
        <v>13.800263421997574</v>
      </c>
      <c r="DS89" s="173">
        <f ca="1">(VLOOKUP(DS$72,INDIRECT($C$5&amp;"生成成长"),2))/((VLOOKUP($B89,INDIRECT($B$5&amp;"生成成长"),4))/(VLOOKUP(DS$72,INDIRECT($C$5&amp;"生成成长"),5))*(VLOOKUP($B$5,标准坦克设计!$B$24:$U$30,MATCH("对"&amp;LEFT($C$5,2)&amp;"输出",标准坦克设计!$B$23:$U$23,0)))*(VLOOKUP($B89,INDIRECT($B$5&amp;"生成成长"),3))*(VLOOKUP($B$5,标准坦克设计!$B$14:$K$20,9)/30))</f>
        <v>14.947153723790908</v>
      </c>
      <c r="DT89" s="173">
        <f ca="1">(VLOOKUP(DT$72,INDIRECT($C$5&amp;"生成成长"),2))/((VLOOKUP($B89,INDIRECT($B$5&amp;"生成成长"),4))/(VLOOKUP(DT$72,INDIRECT($C$5&amp;"生成成长"),5))*(VLOOKUP($B$5,标准坦克设计!$B$24:$U$30,MATCH("对"&amp;LEFT($C$5,2)&amp;"输出",标准坦克设计!$B$23:$U$23,0)))*(VLOOKUP($B89,INDIRECT($B$5&amp;"生成成长"),3))*(VLOOKUP($B$5,标准坦克设计!$B$14:$K$20,9)/30))</f>
        <v>16.411070613071828</v>
      </c>
      <c r="DU89" s="173">
        <f ca="1">(VLOOKUP(DU$72,INDIRECT($C$5&amp;"生成成长"),2))/((VLOOKUP($B89,INDIRECT($B$5&amp;"生成成长"),4))/(VLOOKUP(DU$72,INDIRECT($C$5&amp;"生成成长"),5))*(VLOOKUP($B$5,标准坦克设计!$B$24:$U$30,MATCH("对"&amp;LEFT($C$5,2)&amp;"输出",标准坦克设计!$B$23:$U$23,0)))*(VLOOKUP($B89,INDIRECT($B$5&amp;"生成成长"),3))*(VLOOKUP($B$5,标准坦克设计!$B$14:$K$20,9)/30))</f>
        <v>17.943365785928499</v>
      </c>
      <c r="DV89" s="173">
        <f ca="1">(VLOOKUP(DV$72,INDIRECT($C$5&amp;"生成成长"),2))/((VLOOKUP($B89,INDIRECT($B$5&amp;"生成成长"),4))/(VLOOKUP(DV$72,INDIRECT($C$5&amp;"生成成长"),5))*(VLOOKUP($B$5,标准坦克设计!$B$24:$U$30,MATCH("对"&amp;LEFT($C$5,2)&amp;"输出",标准坦克设计!$B$23:$U$23,0)))*(VLOOKUP($B89,INDIRECT($B$5&amp;"生成成长"),3))*(VLOOKUP($B$5,标准坦克设计!$B$14:$K$20,9)/30))</f>
        <v>19.544039242360931</v>
      </c>
      <c r="DW89" s="173">
        <f ca="1">(VLOOKUP(DW$72,INDIRECT($C$5&amp;"生成成长"),2))/((VLOOKUP($B89,INDIRECT($B$5&amp;"生成成长"),4))/(VLOOKUP(DW$72,INDIRECT($C$5&amp;"生成成长"),5))*(VLOOKUP($B$5,标准坦克设计!$B$24:$U$30,MATCH("对"&amp;LEFT($C$5,2)&amp;"输出",标准坦克设计!$B$23:$U$23,0)))*(VLOOKUP($B89,INDIRECT($B$5&amp;"生成成长"),3))*(VLOOKUP($B$5,标准坦克设计!$B$14:$K$20,9)/30))</f>
        <v>21.213090982369117</v>
      </c>
      <c r="DX89" s="173">
        <f ca="1">(VLOOKUP(DX$72,INDIRECT($C$5&amp;"生成成长"),2))/((VLOOKUP($B89,INDIRECT($B$5&amp;"生成成长"),4))/(VLOOKUP(DX$72,INDIRECT($C$5&amp;"生成成长"),5))*(VLOOKUP($B$5,标准坦克设计!$B$24:$U$30,MATCH("对"&amp;LEFT($C$5,2)&amp;"输出",标准坦克设计!$B$23:$U$23,0)))*(VLOOKUP($B89,INDIRECT($B$5&amp;"生成成长"),3))*(VLOOKUP($B$5,标准坦克设计!$B$14:$K$20,9)/30))</f>
        <v>22.95052100595305</v>
      </c>
      <c r="DY89" s="173">
        <f ca="1">(VLOOKUP(DY$72,INDIRECT($C$5&amp;"生成成长"),2))/((VLOOKUP($B89,INDIRECT($B$5&amp;"生成成长"),4))/(VLOOKUP(DY$72,INDIRECT($C$5&amp;"生成成长"),5))*(VLOOKUP($B$5,标准坦克设计!$B$24:$U$30,MATCH("对"&amp;LEFT($C$5,2)&amp;"输出",标准坦克设计!$B$23:$U$23,0)))*(VLOOKUP($B89,INDIRECT($B$5&amp;"生成成长"),3))*(VLOOKUP($B$5,标准坦克设计!$B$14:$K$20,9)/30))</f>
        <v>10.307884971599545</v>
      </c>
      <c r="DZ89" s="173">
        <f ca="1">(VLOOKUP(DZ$72,INDIRECT($C$5&amp;"生成成长"),2))/((VLOOKUP($B89,INDIRECT($B$5&amp;"生成成长"),4))/(VLOOKUP(DZ$72,INDIRECT($C$5&amp;"生成成长"),5))*(VLOOKUP($B$5,标准坦克设计!$B$24:$U$30,MATCH("对"&amp;LEFT($C$5,2)&amp;"输出",标准坦克设计!$B$23:$U$23,0)))*(VLOOKUP($B89,INDIRECT($B$5&amp;"生成成长"),3))*(VLOOKUP($B$5,标准坦克设计!$B$14:$K$20,9)/30))</f>
        <v>11.415500143570442</v>
      </c>
      <c r="EA89" s="173">
        <f ca="1">(VLOOKUP(EA$72,INDIRECT($C$5&amp;"生成成长"),2))/((VLOOKUP($B89,INDIRECT($B$5&amp;"生成成长"),4))/(VLOOKUP(EA$72,INDIRECT($C$5&amp;"生成成长"),5))*(VLOOKUP($B$5,标准坦克设计!$B$24:$U$30,MATCH("对"&amp;LEFT($C$5,2)&amp;"输出",标准坦克设计!$B$23:$U$23,0)))*(VLOOKUP($B89,INDIRECT($B$5&amp;"生成成长"),3))*(VLOOKUP($B$5,标准坦克设计!$B$14:$K$20,9)/30))</f>
        <v>12.579626293703122</v>
      </c>
      <c r="EB89" s="173">
        <f ca="1">(VLOOKUP(EB$72,INDIRECT($C$5&amp;"生成成长"),2))/((VLOOKUP($B89,INDIRECT($B$5&amp;"生成成长"),4))/(VLOOKUP(EB$72,INDIRECT($C$5&amp;"生成成长"),5))*(VLOOKUP($B$5,标准坦克设计!$B$24:$U$30,MATCH("对"&amp;LEFT($C$5,2)&amp;"输出",标准坦克设计!$B$23:$U$23,0)))*(VLOOKUP($B89,INDIRECT($B$5&amp;"生成成长"),3))*(VLOOKUP($B$5,标准坦克设计!$B$14:$K$20,9)/30))</f>
        <v>13.800263421997574</v>
      </c>
      <c r="EC89" s="173">
        <f ca="1">(VLOOKUP(EC$72,INDIRECT($C$5&amp;"生成成长"),2))/((VLOOKUP($B89,INDIRECT($B$5&amp;"生成成长"),4))/(VLOOKUP(EC$72,INDIRECT($C$5&amp;"生成成长"),5))*(VLOOKUP($B$5,标准坦克设计!$B$24:$U$30,MATCH("对"&amp;LEFT($C$5,2)&amp;"输出",标准坦克设计!$B$23:$U$23,0)))*(VLOOKUP($B89,INDIRECT($B$5&amp;"生成成长"),3))*(VLOOKUP($B$5,标准坦克设计!$B$14:$K$20,9)/30))</f>
        <v>15.07741152845381</v>
      </c>
      <c r="ED89" s="173">
        <f ca="1">(VLOOKUP(ED$72,INDIRECT($C$5&amp;"生成成长"),2))/((VLOOKUP($B89,INDIRECT($B$5&amp;"生成成长"),4))/(VLOOKUP(ED$72,INDIRECT($C$5&amp;"生成成长"),5))*(VLOOKUP($B$5,标准坦克设计!$B$24:$U$30,MATCH("对"&amp;LEFT($C$5,2)&amp;"输出",标准坦克设计!$B$23:$U$23,0)))*(VLOOKUP($B89,INDIRECT($B$5&amp;"生成成长"),3))*(VLOOKUP($B$5,标准坦克设计!$B$14:$K$20,9)/30))</f>
        <v>16.411070613071828</v>
      </c>
      <c r="EE89" s="173">
        <f ca="1">(VLOOKUP(EE$72,INDIRECT($C$5&amp;"生成成长"),2))/((VLOOKUP($B89,INDIRECT($B$5&amp;"生成成长"),4))/(VLOOKUP(EE$72,INDIRECT($C$5&amp;"生成成长"),5))*(VLOOKUP($B$5,标准坦克设计!$B$24:$U$30,MATCH("对"&amp;LEFT($C$5,2)&amp;"输出",标准坦克设计!$B$23:$U$23,0)))*(VLOOKUP($B89,INDIRECT($B$5&amp;"生成成长"),3))*(VLOOKUP($B$5,标准坦克设计!$B$14:$K$20,9)/30))</f>
        <v>17.801240675851624</v>
      </c>
      <c r="EF89" s="173">
        <f ca="1">(VLOOKUP(EF$72,INDIRECT($C$5&amp;"生成成长"),2))/((VLOOKUP($B89,INDIRECT($B$5&amp;"生成成长"),4))/(VLOOKUP(EF$72,INDIRECT($C$5&amp;"生成成长"),5))*(VLOOKUP($B$5,标准坦克设计!$B$24:$U$30,MATCH("对"&amp;LEFT($C$5,2)&amp;"输出",标准坦克设计!$B$23:$U$23,0)))*(VLOOKUP($B89,INDIRECT($B$5&amp;"生成成长"),3))*(VLOOKUP($B$5,标准坦克设计!$B$14:$K$20,9)/30))</f>
        <v>19.247921716793201</v>
      </c>
      <c r="EG89" s="173">
        <f ca="1">(VLOOKUP(EG$72,INDIRECT($C$5&amp;"生成成长"),2))/((VLOOKUP($B89,INDIRECT($B$5&amp;"生成成长"),4))/(VLOOKUP(EG$72,INDIRECT($C$5&amp;"生成成长"),5))*(VLOOKUP($B$5,标准坦克设计!$B$24:$U$30,MATCH("对"&amp;LEFT($C$5,2)&amp;"输出",标准坦克设计!$B$23:$U$23,0)))*(VLOOKUP($B89,INDIRECT($B$5&amp;"生成成长"),3))*(VLOOKUP($B$5,标准坦克设计!$B$14:$K$20,9)/30))</f>
        <v>20.75111373589656</v>
      </c>
      <c r="EH89" s="173">
        <f ca="1">(VLOOKUP(EH$72,INDIRECT($C$5&amp;"生成成长"),2))/((VLOOKUP($B89,INDIRECT($B$5&amp;"生成成长"),4))/(VLOOKUP(EH$72,INDIRECT($C$5&amp;"生成成长"),5))*(VLOOKUP($B$5,标准坦克设计!$B$24:$U$30,MATCH("对"&amp;LEFT($C$5,2)&amp;"输出",标准坦克设计!$B$23:$U$23,0)))*(VLOOKUP($B89,INDIRECT($B$5&amp;"生成成长"),3))*(VLOOKUP($B$5,标准坦克设计!$B$14:$K$20,9)/30))</f>
        <v>22.310816733161698</v>
      </c>
      <c r="EI89" s="173">
        <f ca="1">(VLOOKUP(EI$72,INDIRECT($C$5&amp;"生成成长"),2))/((VLOOKUP($B89,INDIRECT($B$5&amp;"生成成长"),4))/(VLOOKUP(EI$72,INDIRECT($C$5&amp;"生成成长"),5))*(VLOOKUP($B$5,标准坦克设计!$B$24:$U$30,MATCH("对"&amp;LEFT($C$5,2)&amp;"输出",标准坦克设计!$B$23:$U$23,0)))*(VLOOKUP($B89,INDIRECT($B$5&amp;"生成成长"),3))*(VLOOKUP($B$5,标准坦克设计!$B$14:$K$20,9)/30))</f>
        <v>23.927030708588614</v>
      </c>
      <c r="EJ89" s="173">
        <f ca="1">(VLOOKUP(EJ$72,INDIRECT($C$5&amp;"生成成长"),2))/((VLOOKUP($B89,INDIRECT($B$5&amp;"生成成长"),4))/(VLOOKUP(EJ$72,INDIRECT($C$5&amp;"生成成长"),5))*(VLOOKUP($B$5,标准坦克设计!$B$24:$U$30,MATCH("对"&amp;LEFT($C$5,2)&amp;"输出",标准坦克设计!$B$23:$U$23,0)))*(VLOOKUP($B89,INDIRECT($B$5&amp;"生成成长"),3))*(VLOOKUP($B$5,标准坦克设计!$B$14:$K$20,9)/30))</f>
        <v>25.599755662177312</v>
      </c>
      <c r="EK89" s="173">
        <f ca="1">(VLOOKUP(EK$72,INDIRECT($C$5&amp;"生成成长"),2))/((VLOOKUP($B89,INDIRECT($B$5&amp;"生成成长"),4))/(VLOOKUP(EK$72,INDIRECT($C$5&amp;"生成成长"),5))*(VLOOKUP($B$5,标准坦克设计!$B$24:$U$30,MATCH("对"&amp;LEFT($C$5,2)&amp;"输出",标准坦克设计!$B$23:$U$23,0)))*(VLOOKUP($B89,INDIRECT($B$5&amp;"生成成长"),3))*(VLOOKUP($B$5,标准坦克设计!$B$14:$K$20,9)/30))</f>
        <v>27.681620097657305</v>
      </c>
      <c r="EL89" s="173">
        <f ca="1">(VLOOKUP(EL$72,INDIRECT($C$5&amp;"生成成长"),2))/((VLOOKUP($B89,INDIRECT($B$5&amp;"生成成长"),4))/(VLOOKUP(EL$72,INDIRECT($C$5&amp;"生成成长"),5))*(VLOOKUP($B$5,标准坦克设计!$B$24:$U$30,MATCH("对"&amp;LEFT($C$5,2)&amp;"输出",标准坦克设计!$B$23:$U$23,0)))*(VLOOKUP($B89,INDIRECT($B$5&amp;"生成成长"),3))*(VLOOKUP($B$5,标准坦克设计!$B$14:$K$20,9)/30))</f>
        <v>29.844860341690254</v>
      </c>
      <c r="EM89" s="173">
        <f ca="1">(VLOOKUP(EM$72,INDIRECT($C$5&amp;"生成成长"),2))/((VLOOKUP($B89,INDIRECT($B$5&amp;"生成成长"),4))/(VLOOKUP(EM$72,INDIRECT($C$5&amp;"生成成长"),5))*(VLOOKUP($B$5,标准坦克设计!$B$24:$U$30,MATCH("对"&amp;LEFT($C$5,2)&amp;"输出",标准坦克设计!$B$23:$U$23,0)))*(VLOOKUP($B89,INDIRECT($B$5&amp;"生成成长"),3))*(VLOOKUP($B$5,标准坦克设计!$B$14:$K$20,9)/30))</f>
        <v>32.089476394276176</v>
      </c>
      <c r="EN89" s="173">
        <f ca="1">(VLOOKUP(EN$72,INDIRECT($C$5&amp;"生成成长"),2))/((VLOOKUP($B89,INDIRECT($B$5&amp;"生成成长"),4))/(VLOOKUP(EN$72,INDIRECT($C$5&amp;"生成成长"),5))*(VLOOKUP($B$5,标准坦克设计!$B$24:$U$30,MATCH("对"&amp;LEFT($C$5,2)&amp;"输出",标准坦克设计!$B$23:$U$23,0)))*(VLOOKUP($B89,INDIRECT($B$5&amp;"生成成长"),3))*(VLOOKUP($B$5,标准坦克设计!$B$14:$K$20,9)/30))</f>
        <v>34.415468255415057</v>
      </c>
      <c r="EO89" s="173">
        <f ca="1">(VLOOKUP(EO$72,INDIRECT($C$5&amp;"生成成长"),2))/((VLOOKUP($B89,INDIRECT($B$5&amp;"生成成长"),4))/(VLOOKUP(EO$72,INDIRECT($C$5&amp;"生成成长"),5))*(VLOOKUP($B$5,标准坦克设计!$B$24:$U$30,MATCH("对"&amp;LEFT($C$5,2)&amp;"输出",标准坦克设计!$B$23:$U$23,0)))*(VLOOKUP($B89,INDIRECT($B$5&amp;"生成成长"),3))*(VLOOKUP($B$5,标准坦克设计!$B$14:$K$20,9)/30))</f>
        <v>36.822835925106901</v>
      </c>
      <c r="EP89" s="173">
        <f ca="1">(VLOOKUP(EP$72,INDIRECT($C$5&amp;"生成成长"),2))/((VLOOKUP($B89,INDIRECT($B$5&amp;"生成成长"),4))/(VLOOKUP(EP$72,INDIRECT($C$5&amp;"生成成长"),5))*(VLOOKUP($B$5,标准坦克设计!$B$24:$U$30,MATCH("对"&amp;LEFT($C$5,2)&amp;"输出",标准坦克设计!$B$23:$U$23,0)))*(VLOOKUP($B89,INDIRECT($B$5&amp;"生成成长"),3))*(VLOOKUP($B$5,标准坦克设计!$B$14:$K$20,9)/30))</f>
        <v>39.311579403351701</v>
      </c>
      <c r="EQ89" s="173">
        <f ca="1">(VLOOKUP(EQ$72,INDIRECT($C$5&amp;"生成成长"),2))/((VLOOKUP($B89,INDIRECT($B$5&amp;"生成成长"),4))/(VLOOKUP(EQ$72,INDIRECT($C$5&amp;"生成成长"),5))*(VLOOKUP($B$5,标准坦克设计!$B$24:$U$30,MATCH("对"&amp;LEFT($C$5,2)&amp;"输出",标准坦克设计!$B$23:$U$23,0)))*(VLOOKUP($B89,INDIRECT($B$5&amp;"生成成长"),3))*(VLOOKUP($B$5,标准坦克设计!$B$14:$K$20,9)/30))</f>
        <v>17.3782560043107</v>
      </c>
      <c r="ER89" s="173">
        <f ca="1">(VLOOKUP(ER$72,INDIRECT($C$5&amp;"生成成长"),2))/((VLOOKUP($B89,INDIRECT($B$5&amp;"生成成长"),4))/(VLOOKUP(ER$72,INDIRECT($C$5&amp;"生成成长"),5))*(VLOOKUP($B$5,标准坦克设计!$B$24:$U$30,MATCH("对"&amp;LEFT($C$5,2)&amp;"输出",标准坦克设计!$B$23:$U$23,0)))*(VLOOKUP($B89,INDIRECT($B$5&amp;"生成成长"),3))*(VLOOKUP($B$5,标准坦克设计!$B$14:$K$20,9)/30))</f>
        <v>18.954064630351944</v>
      </c>
      <c r="ES89" s="173">
        <f ca="1">(VLOOKUP(ES$72,INDIRECT($C$5&amp;"生成成长"),2))/((VLOOKUP($B89,INDIRECT($B$5&amp;"生成成长"),4))/(VLOOKUP(ES$72,INDIRECT($C$5&amp;"生成成长"),5))*(VLOOKUP($B$5,标准坦克设计!$B$24:$U$30,MATCH("对"&amp;LEFT($C$5,2)&amp;"输出",标准坦克设计!$B$23:$U$23,0)))*(VLOOKUP($B89,INDIRECT($B$5&amp;"生成成长"),3))*(VLOOKUP($B$5,标准坦克设计!$B$14:$K$20,9)/30))</f>
        <v>20.598251539968942</v>
      </c>
      <c r="ET89" s="173">
        <f ca="1">(VLOOKUP(ET$72,INDIRECT($C$5&amp;"生成成长"),2))/((VLOOKUP($B89,INDIRECT($B$5&amp;"生成成长"),4))/(VLOOKUP(ET$72,INDIRECT($C$5&amp;"生成成长"),5))*(VLOOKUP($B$5,标准坦克设计!$B$24:$U$30,MATCH("对"&amp;LEFT($C$5,2)&amp;"输出",标准坦克设计!$B$23:$U$23,0)))*(VLOOKUP($B89,INDIRECT($B$5&amp;"生成成长"),3))*(VLOOKUP($B$5,标准坦克设计!$B$14:$K$20,9)/30))</f>
        <v>22.310816733161698</v>
      </c>
      <c r="EU89" s="173">
        <f ca="1">(VLOOKUP(EU$72,INDIRECT($C$5&amp;"生成成长"),2))/((VLOOKUP($B89,INDIRECT($B$5&amp;"生成成长"),4))/(VLOOKUP(EU$72,INDIRECT($C$5&amp;"生成成长"),5))*(VLOOKUP($B$5,标准坦克设计!$B$24:$U$30,MATCH("对"&amp;LEFT($C$5,2)&amp;"输出",标准坦克设计!$B$23:$U$23,0)))*(VLOOKUP($B89,INDIRECT($B$5&amp;"生成成长"),3))*(VLOOKUP($B$5,标准坦克设计!$B$14:$K$20,9)/30))</f>
        <v>24.091760209930204</v>
      </c>
      <c r="EV89" s="173">
        <f ca="1">(VLOOKUP(EV$72,INDIRECT($C$5&amp;"生成成长"),2))/((VLOOKUP($B89,INDIRECT($B$5&amp;"生成成长"),4))/(VLOOKUP(EV$72,INDIRECT($C$5&amp;"生成成长"),5))*(VLOOKUP($B$5,标准坦克设计!$B$24:$U$30,MATCH("对"&amp;LEFT($C$5,2)&amp;"输出",标准坦克设计!$B$23:$U$23,0)))*(VLOOKUP($B89,INDIRECT($B$5&amp;"生成成长"),3))*(VLOOKUP($B$5,标准坦克设计!$B$14:$K$20,9)/30))</f>
        <v>25.941081970274464</v>
      </c>
      <c r="EW89" s="173">
        <f ca="1">(VLOOKUP(EW$72,INDIRECT($C$5&amp;"生成成长"),2))/((VLOOKUP($B89,INDIRECT($B$5&amp;"生成成长"),4))/(VLOOKUP(EW$72,INDIRECT($C$5&amp;"生成成长"),5))*(VLOOKUP($B$5,标准坦克设计!$B$24:$U$30,MATCH("对"&amp;LEFT($C$5,2)&amp;"输出",标准坦克设计!$B$23:$U$23,0)))*(VLOOKUP($B89,INDIRECT($B$5&amp;"生成成长"),3))*(VLOOKUP($B$5,标准坦克设计!$B$14:$K$20,9)/30))</f>
        <v>27.858782014194489</v>
      </c>
      <c r="EX89" s="173">
        <f ca="1">(VLOOKUP(EX$72,INDIRECT($C$5&amp;"生成成长"),2))/((VLOOKUP($B89,INDIRECT($B$5&amp;"生成成长"),4))/(VLOOKUP(EX$72,INDIRECT($C$5&amp;"生成成长"),5))*(VLOOKUP($B$5,标准坦克设计!$B$24:$U$30,MATCH("对"&amp;LEFT($C$5,2)&amp;"输出",标准坦克设计!$B$23:$U$23,0)))*(VLOOKUP($B89,INDIRECT($B$5&amp;"生成成长"),3))*(VLOOKUP($B$5,标准坦克设计!$B$14:$K$20,9)/30))</f>
        <v>29.844860341690254</v>
      </c>
      <c r="EY89" s="173">
        <f ca="1">(VLOOKUP(EY$72,INDIRECT($C$5&amp;"生成成长"),2))/((VLOOKUP($B89,INDIRECT($B$5&amp;"生成成长"),4))/(VLOOKUP(EY$72,INDIRECT($C$5&amp;"生成成长"),5))*(VLOOKUP($B$5,标准坦克设计!$B$24:$U$30,MATCH("对"&amp;LEFT($C$5,2)&amp;"输出",标准坦克设计!$B$23:$U$23,0)))*(VLOOKUP($B89,INDIRECT($B$5&amp;"生成成长"),3))*(VLOOKUP($B$5,标准坦克设计!$B$14:$K$20,9)/30))</f>
        <v>31.899316952761779</v>
      </c>
      <c r="EZ89" s="173">
        <f ca="1">(VLOOKUP(EZ$72,INDIRECT($C$5&amp;"生成成长"),2))/((VLOOKUP($B89,INDIRECT($B$5&amp;"生成成长"),4))/(VLOOKUP(EZ$72,INDIRECT($C$5&amp;"生成成长"),5))*(VLOOKUP($B$5,标准坦克设计!$B$24:$U$30,MATCH("对"&amp;LEFT($C$5,2)&amp;"输出",标准坦克设计!$B$23:$U$23,0)))*(VLOOKUP($B89,INDIRECT($B$5&amp;"生成成长"),3))*(VLOOKUP($B$5,标准坦克设计!$B$14:$K$20,9)/30))</f>
        <v>34.022151847409063</v>
      </c>
      <c r="FA89" s="173">
        <f ca="1">(VLOOKUP(FA$72,INDIRECT($C$5&amp;"生成成长"),2))/((VLOOKUP($B89,INDIRECT($B$5&amp;"生成成长"),4))/(VLOOKUP(FA$72,INDIRECT($C$5&amp;"生成成长"),5))*(VLOOKUP($B$5,标准坦克设计!$B$24:$U$30,MATCH("对"&amp;LEFT($C$5,2)&amp;"输出",标准坦克设计!$B$23:$U$23,0)))*(VLOOKUP($B89,INDIRECT($B$5&amp;"生成成长"),3))*(VLOOKUP($B$5,标准坦克设计!$B$14:$K$20,9)/30))</f>
        <v>36.213365025632093</v>
      </c>
      <c r="FB89" s="173">
        <f ca="1">(VLOOKUP(FB$72,INDIRECT($C$5&amp;"生成成长"),2))/((VLOOKUP($B89,INDIRECT($B$5&amp;"生成成长"),4))/(VLOOKUP(FB$72,INDIRECT($C$5&amp;"生成成长"),5))*(VLOOKUP($B$5,标准坦克设计!$B$24:$U$30,MATCH("对"&amp;LEFT($C$5,2)&amp;"输出",标准坦克设计!$B$23:$U$23,0)))*(VLOOKUP($B89,INDIRECT($B$5&amp;"生成成长"),3))*(VLOOKUP($B$5,标准坦克设计!$B$14:$K$20,9)/30))</f>
        <v>38.472956487430885</v>
      </c>
      <c r="FC89" s="173">
        <f ca="1">(VLOOKUP(FC$72,INDIRECT($C$5&amp;"生成成长"),2))/((VLOOKUP($B89,INDIRECT($B$5&amp;"生成成长"),4))/(VLOOKUP(FC$72,INDIRECT($C$5&amp;"生成成长"),5))*(VLOOKUP($B$5,标准坦克设计!$B$24:$U$30,MATCH("对"&amp;LEFT($C$5,2)&amp;"输出",标准坦克设计!$B$23:$U$23,0)))*(VLOOKUP($B89,INDIRECT($B$5&amp;"生成成长"),3))*(VLOOKUP($B$5,标准坦克设计!$B$14:$K$20,9)/30))</f>
        <v>40.800926232805423</v>
      </c>
      <c r="FD89" s="173">
        <f ca="1">(VLOOKUP(FD$72,INDIRECT($C$5&amp;"生成成长"),2))/((VLOOKUP($B89,INDIRECT($B$5&amp;"生成成长"),4))/(VLOOKUP(FD$72,INDIRECT($C$5&amp;"生成成长"),5))*(VLOOKUP($B$5,标准坦克设计!$B$24:$U$30,MATCH("对"&amp;LEFT($C$5,2)&amp;"输出",标准坦克设计!$B$23:$U$23,0)))*(VLOOKUP($B89,INDIRECT($B$5&amp;"生成成长"),3))*(VLOOKUP($B$5,标准坦克设计!$B$14:$K$20,9)/30))</f>
        <v>43.197274261755716</v>
      </c>
      <c r="FE89" s="173">
        <f ca="1">(VLOOKUP(FE$72,INDIRECT($C$5&amp;"生成成长"),2))/((VLOOKUP($B89,INDIRECT($B$5&amp;"生成成长"),4))/(VLOOKUP(FE$72,INDIRECT($C$5&amp;"生成成长"),5))*(VLOOKUP($B$5,标准坦克设计!$B$24:$U$30,MATCH("对"&amp;LEFT($C$5,2)&amp;"输出",标准坦克设计!$B$23:$U$23,0)))*(VLOOKUP($B89,INDIRECT($B$5&amp;"生成成长"),3))*(VLOOKUP($B$5,标准坦克设计!$B$14:$K$20,9)/30))</f>
        <v>46.117479058265722</v>
      </c>
      <c r="FF89" s="173">
        <f ca="1">(VLOOKUP(FF$72,INDIRECT($C$5&amp;"生成成长"),2))/((VLOOKUP($B89,INDIRECT($B$5&amp;"生成成长"),4))/(VLOOKUP(FF$72,INDIRECT($C$5&amp;"生成成长"),5))*(VLOOKUP($B$5,标准坦克设计!$B$24:$U$30,MATCH("对"&amp;LEFT($C$5,2)&amp;"输出",标准坦克设计!$B$23:$U$23,0)))*(VLOOKUP($B89,INDIRECT($B$5&amp;"生成成长"),3))*(VLOOKUP($B$5,标准坦克设计!$B$14:$K$20,9)/30))</f>
        <v>49.13318740786913</v>
      </c>
      <c r="FG89" s="173">
        <f ca="1">(VLOOKUP(FG$72,INDIRECT($C$5&amp;"生成成长"),2))/((VLOOKUP($B89,INDIRECT($B$5&amp;"生成成长"),4))/(VLOOKUP(FG$72,INDIRECT($C$5&amp;"生成成长"),5))*(VLOOKUP($B$5,标准坦克设计!$B$24:$U$30,MATCH("对"&amp;LEFT($C$5,2)&amp;"输出",标准坦克设计!$B$23:$U$23,0)))*(VLOOKUP($B89,INDIRECT($B$5&amp;"生成成长"),3))*(VLOOKUP($B$5,标准坦克设计!$B$14:$K$20,9)/30))</f>
        <v>52.244399310565953</v>
      </c>
      <c r="FH89" s="173">
        <f ca="1">(VLOOKUP(FH$72,INDIRECT($C$5&amp;"生成成长"),2))/((VLOOKUP($B89,INDIRECT($B$5&amp;"生成成长"),4))/(VLOOKUP(FH$72,INDIRECT($C$5&amp;"生成成长"),5))*(VLOOKUP($B$5,标准坦克设计!$B$24:$U$30,MATCH("对"&amp;LEFT($C$5,2)&amp;"输出",标准坦克设计!$B$23:$U$23,0)))*(VLOOKUP($B89,INDIRECT($B$5&amp;"生成成长"),3))*(VLOOKUP($B$5,标准坦克设计!$B$14:$K$20,9)/30))</f>
        <v>55.45111476635617</v>
      </c>
      <c r="FI89" s="173">
        <f ca="1">(VLOOKUP(FI$72,INDIRECT($C$5&amp;"生成成长"),2))/((VLOOKUP($B89,INDIRECT($B$5&amp;"生成成长"),4))/(VLOOKUP(FI$72,INDIRECT($C$5&amp;"生成成长"),5))*(VLOOKUP($B$5,标准坦克设计!$B$24:$U$30,MATCH("对"&amp;LEFT($C$5,2)&amp;"输出",标准坦克设计!$B$23:$U$23,0)))*(VLOOKUP($B89,INDIRECT($B$5&amp;"生成成长"),3))*(VLOOKUP($B$5,标准坦克设计!$B$14:$K$20,9)/30))</f>
        <v>58.753333775239817</v>
      </c>
      <c r="FJ89" s="173">
        <f ca="1">(VLOOKUP(FJ$72,INDIRECT($C$5&amp;"生成成长"),2))/((VLOOKUP($B89,INDIRECT($B$5&amp;"生成成长"),4))/(VLOOKUP(FJ$72,INDIRECT($C$5&amp;"生成成长"),5))*(VLOOKUP($B$5,标准坦克设计!$B$24:$U$30,MATCH("对"&amp;LEFT($C$5,2)&amp;"输出",标准坦克设计!$B$23:$U$23,0)))*(VLOOKUP($B89,INDIRECT($B$5&amp;"生成成长"),3))*(VLOOKUP($B$5,标准坦克设计!$B$14:$K$20,9)/30))</f>
        <v>62.151056337216858</v>
      </c>
      <c r="FK89" s="173">
        <f ca="1">(VLOOKUP(FK$72,INDIRECT($C$5&amp;"生成成长"),2))/((VLOOKUP($B89,INDIRECT($B$5&amp;"生成成长"),4))/(VLOOKUP(FK$72,INDIRECT($C$5&amp;"生成成长"),5))*(VLOOKUP($B$5,标准坦克设计!$B$24:$U$30,MATCH("对"&amp;LEFT($C$5,2)&amp;"输出",标准坦克设计!$B$23:$U$23,0)))*(VLOOKUP($B89,INDIRECT($B$5&amp;"生成成长"),3))*(VLOOKUP($B$5,标准坦克设计!$B$14:$K$20,9)/30))</f>
        <v>65.644282452287314</v>
      </c>
    </row>
    <row r="90" spans="1:167" x14ac:dyDescent="0.15">
      <c r="A90" s="171" t="str">
        <f t="shared" si="11"/>
        <v>T3低品质6级</v>
      </c>
      <c r="B90" s="172">
        <v>10306</v>
      </c>
      <c r="C90" s="173">
        <f ca="1">(VLOOKUP(C$72,INDIRECT($C$5&amp;"生成成长"),2))/((VLOOKUP($B90,INDIRECT($B$5&amp;"生成成长"),4))/(VLOOKUP(C$72,INDIRECT($C$5&amp;"生成成长"),5))*(VLOOKUP($B$5,标准坦克设计!$B$24:$U$30,MATCH("对"&amp;LEFT($C$5,2)&amp;"输出",标准坦克设计!$B$23:$U$23,0)))*(VLOOKUP($B90,INDIRECT($B$5&amp;"生成成长"),3))*(VLOOKUP($B$5,标准坦克设计!$B$14:$K$20,9)/30))</f>
        <v>2.5647367163246315</v>
      </c>
      <c r="D90" s="173">
        <f ca="1">(VLOOKUP(D$72,INDIRECT($C$5&amp;"生成成长"),2))/((VLOOKUP($B90,INDIRECT($B$5&amp;"生成成长"),4))/(VLOOKUP(D$72,INDIRECT($C$5&amp;"生成成长"),5))*(VLOOKUP($B$5,标准坦克设计!$B$24:$U$30,MATCH("对"&amp;LEFT($C$5,2)&amp;"输出",标准坦克设计!$B$23:$U$23,0)))*(VLOOKUP($B90,INDIRECT($B$5&amp;"生成成长"),3))*(VLOOKUP($B$5,标准坦克设计!$B$14:$K$20,9)/30))</f>
        <v>2.8817381744623556</v>
      </c>
      <c r="E90" s="173">
        <f ca="1">(VLOOKUP(E$72,INDIRECT($C$5&amp;"生成成长"),2))/((VLOOKUP($B90,INDIRECT($B$5&amp;"生成成长"),4))/(VLOOKUP(E$72,INDIRECT($C$5&amp;"生成成长"),5))*(VLOOKUP($B$5,标准坦克设计!$B$24:$U$30,MATCH("对"&amp;LEFT($C$5,2)&amp;"输出",标准坦克设计!$B$23:$U$23,0)))*(VLOOKUP($B90,INDIRECT($B$5&amp;"生成成长"),3))*(VLOOKUP($B$5,标准坦克设计!$B$14:$K$20,9)/30))</f>
        <v>3.217205736957617</v>
      </c>
      <c r="F90" s="173">
        <f ca="1">(VLOOKUP(F$72,INDIRECT($C$5&amp;"生成成长"),2))/((VLOOKUP($B90,INDIRECT($B$5&amp;"生成成长"),4))/(VLOOKUP(F$72,INDIRECT($C$5&amp;"生成成长"),5))*(VLOOKUP($B$5,标准坦克设计!$B$24:$U$30,MATCH("对"&amp;LEFT($C$5,2)&amp;"输出",标准坦克设计!$B$23:$U$23,0)))*(VLOOKUP($B90,INDIRECT($B$5&amp;"生成成长"),3))*(VLOOKUP($B$5,标准坦克设计!$B$14:$K$20,9)/30))</f>
        <v>3.5711394038104167</v>
      </c>
      <c r="G90" s="173">
        <f ca="1">(VLOOKUP(G$72,INDIRECT($C$5&amp;"生成成长"),2))/((VLOOKUP($B90,INDIRECT($B$5&amp;"生成成长"),4))/(VLOOKUP(G$72,INDIRECT($C$5&amp;"生成成长"),5))*(VLOOKUP($B$5,标准坦克设计!$B$24:$U$30,MATCH("对"&amp;LEFT($C$5,2)&amp;"输出",标准坦克设计!$B$23:$U$23,0)))*(VLOOKUP($B90,INDIRECT($B$5&amp;"生成成长"),3))*(VLOOKUP($B$5,标准坦克设计!$B$14:$K$20,9)/30))</f>
        <v>3.9435391750207534</v>
      </c>
      <c r="H90" s="173">
        <f ca="1">(VLOOKUP(H$72,INDIRECT($C$5&amp;"生成成长"),2))/((VLOOKUP($B90,INDIRECT($B$5&amp;"生成成长"),4))/(VLOOKUP(H$72,INDIRECT($C$5&amp;"生成成长"),5))*(VLOOKUP($B$5,标准坦克设计!$B$24:$U$30,MATCH("对"&amp;LEFT($C$5,2)&amp;"输出",标准坦克设计!$B$23:$U$23,0)))*(VLOOKUP($B90,INDIRECT($B$5&amp;"生成成长"),3))*(VLOOKUP($B$5,标准坦克设计!$B$14:$K$20,9)/30))</f>
        <v>3.451109725486424</v>
      </c>
      <c r="I90" s="173">
        <f ca="1">(VLOOKUP(I$72,INDIRECT($C$5&amp;"生成成长"),2))/((VLOOKUP($B90,INDIRECT($B$5&amp;"生成成长"),4))/(VLOOKUP(I$72,INDIRECT($C$5&amp;"生成成长"),5))*(VLOOKUP($B$5,标准坦克设计!$B$24:$U$30,MATCH("对"&amp;LEFT($C$5,2)&amp;"输出",标准坦克设计!$B$23:$U$23,0)))*(VLOOKUP($B90,INDIRECT($B$5&amp;"生成成长"),3))*(VLOOKUP($B$5,标准坦克设计!$B$14:$K$20,9)/30))</f>
        <v>3.9435391750207534</v>
      </c>
      <c r="J90" s="173">
        <f ca="1">(VLOOKUP(J$72,INDIRECT($C$5&amp;"生成成长"),2))/((VLOOKUP($B90,INDIRECT($B$5&amp;"生成成长"),4))/(VLOOKUP(J$72,INDIRECT($C$5&amp;"生成成长"),5))*(VLOOKUP($B$5,标准坦克设计!$B$24:$U$30,MATCH("对"&amp;LEFT($C$5,2)&amp;"输出",标准坦克设计!$B$23:$U$23,0)))*(VLOOKUP($B90,INDIRECT($B$5&amp;"生成成长"),3))*(VLOOKUP($B$5,标准坦克设计!$B$14:$K$20,9)/30))</f>
        <v>4.4687972545240378</v>
      </c>
      <c r="K90" s="173">
        <f ca="1">(VLOOKUP(K$72,INDIRECT($C$5&amp;"生成成长"),2))/((VLOOKUP($B90,INDIRECT($B$5&amp;"生成成长"),4))/(VLOOKUP(K$72,INDIRECT($C$5&amp;"生成成长"),5))*(VLOOKUP($B$5,标准坦克设计!$B$24:$U$30,MATCH("对"&amp;LEFT($C$5,2)&amp;"输出",标准坦克设计!$B$23:$U$23,0)))*(VLOOKUP($B90,INDIRECT($B$5&amp;"生成成长"),3))*(VLOOKUP($B$5,标准坦克设计!$B$14:$K$20,9)/30))</f>
        <v>5.0268839639962781</v>
      </c>
      <c r="L90" s="173">
        <f ca="1">(VLOOKUP(L$72,INDIRECT($C$5&amp;"生成成长"),2))/((VLOOKUP($B90,INDIRECT($B$5&amp;"生成成长"),4))/(VLOOKUP(L$72,INDIRECT($C$5&amp;"生成成长"),5))*(VLOOKUP($B$5,标准坦克设计!$B$24:$U$30,MATCH("对"&amp;LEFT($C$5,2)&amp;"输出",标准坦克设计!$B$23:$U$23,0)))*(VLOOKUP($B90,INDIRECT($B$5&amp;"生成成长"),3))*(VLOOKUP($B$5,标准坦克设计!$B$14:$K$20,9)/30))</f>
        <v>5.6177993034374722</v>
      </c>
      <c r="M90" s="173">
        <f ca="1">(VLOOKUP(M$72,INDIRECT($C$5&amp;"生成成长"),2))/((VLOOKUP($B90,INDIRECT($B$5&amp;"生成成长"),4))/(VLOOKUP(M$72,INDIRECT($C$5&amp;"生成成长"),5))*(VLOOKUP($B$5,标准坦克设计!$B$24:$U$30,MATCH("对"&amp;LEFT($C$5,2)&amp;"输出",标准坦克设计!$B$23:$U$23,0)))*(VLOOKUP($B90,INDIRECT($B$5&amp;"生成成长"),3))*(VLOOKUP($B$5,标准坦克设计!$B$14:$K$20,9)/30))</f>
        <v>6.2415432728476228</v>
      </c>
      <c r="N90" s="173">
        <f ca="1">(VLOOKUP(N$72,INDIRECT($C$5&amp;"生成成长"),2))/((VLOOKUP($B90,INDIRECT($B$5&amp;"生成成长"),4))/(VLOOKUP(N$72,INDIRECT($C$5&amp;"生成成长"),5))*(VLOOKUP($B$5,标准坦克设计!$B$24:$U$30,MATCH("对"&amp;LEFT($C$5,2)&amp;"输出",标准坦克设计!$B$23:$U$23,0)))*(VLOOKUP($B90,INDIRECT($B$5&amp;"生成成长"),3))*(VLOOKUP($B$5,标准坦克设计!$B$14:$K$20,9)/30))</f>
        <v>6.8981158722267288</v>
      </c>
      <c r="O90" s="173">
        <f ca="1">(VLOOKUP(O$72,INDIRECT($C$5&amp;"生成成长"),2))/((VLOOKUP($B90,INDIRECT($B$5&amp;"生成成长"),4))/(VLOOKUP(O$72,INDIRECT($C$5&amp;"生成成长"),5))*(VLOOKUP($B$5,标准坦克设计!$B$24:$U$30,MATCH("对"&amp;LEFT($C$5,2)&amp;"输出",标准坦克设计!$B$23:$U$23,0)))*(VLOOKUP($B90,INDIRECT($B$5&amp;"生成成长"),3))*(VLOOKUP($B$5,标准坦克设计!$B$14:$K$20,9)/30))</f>
        <v>5.2446301112122393</v>
      </c>
      <c r="P90" s="173">
        <f ca="1">(VLOOKUP(P$72,INDIRECT($C$5&amp;"生成成长"),2))/((VLOOKUP($B90,INDIRECT($B$5&amp;"生成成长"),4))/(VLOOKUP(P$72,INDIRECT($C$5&amp;"生成成长"),5))*(VLOOKUP($B$5,标准坦克设计!$B$24:$U$30,MATCH("对"&amp;LEFT($C$5,2)&amp;"输出",标准坦克设计!$B$23:$U$23,0)))*(VLOOKUP($B90,INDIRECT($B$5&amp;"生成成长"),3))*(VLOOKUP($B$5,标准坦克设计!$B$14:$K$20,9)/30))</f>
        <v>5.9255677093964279</v>
      </c>
      <c r="Q90" s="173">
        <f ca="1">(VLOOKUP(Q$72,INDIRECT($C$5&amp;"生成成长"),2))/((VLOOKUP($B90,INDIRECT($B$5&amp;"生成成长"),4))/(VLOOKUP(Q$72,INDIRECT($C$5&amp;"生成成长"),5))*(VLOOKUP($B$5,标准坦克设计!$B$24:$U$30,MATCH("对"&amp;LEFT($C$5,2)&amp;"输出",标准坦克设计!$B$23:$U$23,0)))*(VLOOKUP($B90,INDIRECT($B$5&amp;"生成成长"),3))*(VLOOKUP($B$5,标准坦克设计!$B$14:$K$20,9)/30))</f>
        <v>6.6480540423850769</v>
      </c>
      <c r="R90" s="173">
        <f ca="1">(VLOOKUP(R$72,INDIRECT($C$5&amp;"生成成长"),2))/((VLOOKUP($B90,INDIRECT($B$5&amp;"生成成长"),4))/(VLOOKUP(R$72,INDIRECT($C$5&amp;"生成成长"),5))*(VLOOKUP($B$5,标准坦克设计!$B$24:$U$30,MATCH("对"&amp;LEFT($C$5,2)&amp;"输出",标准坦克设计!$B$23:$U$23,0)))*(VLOOKUP($B90,INDIRECT($B$5&amp;"生成成长"),3))*(VLOOKUP($B$5,标准坦克设计!$B$14:$K$20,9)/30))</f>
        <v>7.4120891101781847</v>
      </c>
      <c r="S90" s="173">
        <f ca="1">(VLOOKUP(S$72,INDIRECT($C$5&amp;"生成成长"),2))/((VLOOKUP($B90,INDIRECT($B$5&amp;"生成成长"),4))/(VLOOKUP(S$72,INDIRECT($C$5&amp;"生成成长"),5))*(VLOOKUP($B$5,标准坦克设计!$B$24:$U$30,MATCH("对"&amp;LEFT($C$5,2)&amp;"输出",标准坦克设计!$B$23:$U$23,0)))*(VLOOKUP($B90,INDIRECT($B$5&amp;"生成成长"),3))*(VLOOKUP($B$5,标准坦克设计!$B$14:$K$20,9)/30))</f>
        <v>8.2176729127757504</v>
      </c>
      <c r="T90" s="173">
        <f ca="1">(VLOOKUP(T$72,INDIRECT($C$5&amp;"生成成长"),2))/((VLOOKUP($B90,INDIRECT($B$5&amp;"生成成长"),4))/(VLOOKUP(T$72,INDIRECT($C$5&amp;"生成成长"),5))*(VLOOKUP($B$5,标准坦克设计!$B$24:$U$30,MATCH("对"&amp;LEFT($C$5,2)&amp;"输出",标准坦克设计!$B$23:$U$23,0)))*(VLOOKUP($B90,INDIRECT($B$5&amp;"生成成长"),3))*(VLOOKUP($B$5,标准坦克设计!$B$14:$K$20,9)/30))</f>
        <v>9.0648054501777757</v>
      </c>
      <c r="U90" s="173">
        <f ca="1">(VLOOKUP(U$72,INDIRECT($C$5&amp;"生成成长"),2))/((VLOOKUP($B90,INDIRECT($B$5&amp;"生成成长"),4))/(VLOOKUP(U$72,INDIRECT($C$5&amp;"生成成长"),5))*(VLOOKUP($B$5,标准坦克设计!$B$24:$U$30,MATCH("对"&amp;LEFT($C$5,2)&amp;"输出",标准坦克设计!$B$23:$U$23,0)))*(VLOOKUP($B90,INDIRECT($B$5&amp;"生成成长"),3))*(VLOOKUP($B$5,标准坦克设计!$B$14:$K$20,9)/30))</f>
        <v>9.9534867223842625</v>
      </c>
      <c r="V90" s="173">
        <f ca="1">(VLOOKUP(V$72,INDIRECT($C$5&amp;"生成成长"),2))/((VLOOKUP($B90,INDIRECT($B$5&amp;"生成成长"),4))/(VLOOKUP(V$72,INDIRECT($C$5&amp;"生成成长"),5))*(VLOOKUP($B$5,标准坦克设计!$B$24:$U$30,MATCH("对"&amp;LEFT($C$5,2)&amp;"输出",标准坦克设计!$B$23:$U$23,0)))*(VLOOKUP($B90,INDIRECT($B$5&amp;"生成成长"),3))*(VLOOKUP($B$5,标准坦克设计!$B$14:$K$20,9)/30))</f>
        <v>10.883716729395207</v>
      </c>
      <c r="W90" s="173">
        <f ca="1">(VLOOKUP(W$72,INDIRECT($C$5&amp;"生成成长"),2))/((VLOOKUP($B90,INDIRECT($B$5&amp;"生成成长"),4))/(VLOOKUP(W$72,INDIRECT($C$5&amp;"生成成长"),5))*(VLOOKUP($B$5,标准坦克设计!$B$24:$U$30,MATCH("对"&amp;LEFT($C$5,2)&amp;"输出",标准坦克设计!$B$23:$U$23,0)))*(VLOOKUP($B90,INDIRECT($B$5&amp;"生成成长"),3))*(VLOOKUP($B$5,标准坦克设计!$B$14:$K$20,9)/30))</f>
        <v>11.855495471210608</v>
      </c>
      <c r="X90" s="173">
        <f ca="1">(VLOOKUP(X$72,INDIRECT($C$5&amp;"生成成长"),2))/((VLOOKUP($B90,INDIRECT($B$5&amp;"生成成长"),4))/(VLOOKUP(X$72,INDIRECT($C$5&amp;"生成成长"),5))*(VLOOKUP($B$5,标准坦克设计!$B$24:$U$30,MATCH("对"&amp;LEFT($C$5,2)&amp;"输出",标准坦克设计!$B$23:$U$23,0)))*(VLOOKUP($B90,INDIRECT($B$5&amp;"生成成长"),3))*(VLOOKUP($B$5,标准坦克设计!$B$14:$K$20,9)/30))</f>
        <v>8.589046789299557</v>
      </c>
      <c r="Y90" s="173">
        <f ca="1">(VLOOKUP(Y$72,INDIRECT($C$5&amp;"生成成长"),2))/((VLOOKUP($B90,INDIRECT($B$5&amp;"生成成长"),4))/(VLOOKUP(Y$72,INDIRECT($C$5&amp;"生成成长"),5))*(VLOOKUP($B$5,标准坦克设计!$B$24:$U$30,MATCH("对"&amp;LEFT($C$5,2)&amp;"输出",标准坦克设计!$B$23:$U$23,0)))*(VLOOKUP($B90,INDIRECT($B$5&amp;"生成成长"),3))*(VLOOKUP($B$5,标准坦克设计!$B$14:$K$20,9)/30))</f>
        <v>9.5533877946376187</v>
      </c>
      <c r="Z90" s="173">
        <f ca="1">(VLOOKUP(Z$72,INDIRECT($C$5&amp;"生成成长"),2))/((VLOOKUP($B90,INDIRECT($B$5&amp;"生成成长"),4))/(VLOOKUP(Z$72,INDIRECT($C$5&amp;"生成成长"),5))*(VLOOKUP($B$5,标准坦克设计!$B$24:$U$30,MATCH("对"&amp;LEFT($C$5,2)&amp;"输出",标准坦克设计!$B$23:$U$23,0)))*(VLOOKUP($B90,INDIRECT($B$5&amp;"生成成长"),3))*(VLOOKUP($B$5,标准坦克设计!$B$14:$K$20,9)/30))</f>
        <v>10.569023534302174</v>
      </c>
      <c r="AA90" s="173">
        <f ca="1">(VLOOKUP(AA$72,INDIRECT($C$5&amp;"生成成长"),2))/((VLOOKUP($B90,INDIRECT($B$5&amp;"生成成长"),4))/(VLOOKUP(AA$72,INDIRECT($C$5&amp;"生成成长"),5))*(VLOOKUP($B$5,标准坦克设计!$B$24:$U$30,MATCH("对"&amp;LEFT($C$5,2)&amp;"输出",标准坦克设计!$B$23:$U$23,0)))*(VLOOKUP($B90,INDIRECT($B$5&amp;"生成成长"),3))*(VLOOKUP($B$5,标准坦克设计!$B$14:$K$20,9)/30))</f>
        <v>11.63595400829322</v>
      </c>
      <c r="AB90" s="173">
        <f ca="1">(VLOOKUP(AB$72,INDIRECT($C$5&amp;"生成成长"),2))/((VLOOKUP($B90,INDIRECT($B$5&amp;"生成成长"),4))/(VLOOKUP(AB$72,INDIRECT($C$5&amp;"生成成长"),5))*(VLOOKUP($B$5,标准坦克设计!$B$24:$U$30,MATCH("对"&amp;LEFT($C$5,2)&amp;"输出",标准坦克设计!$B$23:$U$23,0)))*(VLOOKUP($B90,INDIRECT($B$5&amp;"生成成长"),3))*(VLOOKUP($B$5,标准坦克设计!$B$14:$K$20,9)/30))</f>
        <v>12.754179216610762</v>
      </c>
      <c r="AC90" s="173">
        <f ca="1">(VLOOKUP(AC$72,INDIRECT($C$5&amp;"生成成长"),2))/((VLOOKUP($B90,INDIRECT($B$5&amp;"生成成长"),4))/(VLOOKUP(AC$72,INDIRECT($C$5&amp;"生成成长"),5))*(VLOOKUP($B$5,标准坦克设计!$B$24:$U$30,MATCH("对"&amp;LEFT($C$5,2)&amp;"输出",标准坦克设计!$B$23:$U$23,0)))*(VLOOKUP($B90,INDIRECT($B$5&amp;"生成成长"),3))*(VLOOKUP($B$5,标准坦克设计!$B$14:$K$20,9)/30))</f>
        <v>13.923699159254792</v>
      </c>
      <c r="AD90" s="173">
        <f ca="1">(VLOOKUP(AD$72,INDIRECT($C$5&amp;"生成成长"),2))/((VLOOKUP($B90,INDIRECT($B$5&amp;"生成成长"),4))/(VLOOKUP(AD$72,INDIRECT($C$5&amp;"生成成长"),5))*(VLOOKUP($B$5,标准坦克设计!$B$24:$U$30,MATCH("对"&amp;LEFT($C$5,2)&amp;"输出",标准坦克设计!$B$23:$U$23,0)))*(VLOOKUP($B90,INDIRECT($B$5&amp;"生成成长"),3))*(VLOOKUP($B$5,标准坦克设计!$B$14:$K$20,9)/30))</f>
        <v>15.144513836225315</v>
      </c>
      <c r="AE90" s="173">
        <f ca="1">(VLOOKUP(AE$72,INDIRECT($C$5&amp;"生成成长"),2))/((VLOOKUP($B90,INDIRECT($B$5&amp;"生成成长"),4))/(VLOOKUP(AE$72,INDIRECT($C$5&amp;"生成成长"),5))*(VLOOKUP($B$5,标准坦克设计!$B$24:$U$30,MATCH("对"&amp;LEFT($C$5,2)&amp;"输出",标准坦克设计!$B$23:$U$23,0)))*(VLOOKUP($B90,INDIRECT($B$5&amp;"生成成长"),3))*(VLOOKUP($B$5,标准坦克设计!$B$14:$K$20,9)/30))</f>
        <v>16.416623247522335</v>
      </c>
      <c r="AF90" s="173">
        <f ca="1">(VLOOKUP(AF$72,INDIRECT($C$5&amp;"生成成长"),2))/((VLOOKUP($B90,INDIRECT($B$5&amp;"生成成长"),4))/(VLOOKUP(AF$72,INDIRECT($C$5&amp;"生成成长"),5))*(VLOOKUP($B$5,标准坦克设计!$B$24:$U$30,MATCH("对"&amp;LEFT($C$5,2)&amp;"输出",标准坦克设计!$B$23:$U$23,0)))*(VLOOKUP($B90,INDIRECT($B$5&amp;"生成成长"),3))*(VLOOKUP($B$5,标准坦克设计!$B$14:$K$20,9)/30))</f>
        <v>17.740027393145841</v>
      </c>
      <c r="AG90" s="173">
        <f ca="1">(VLOOKUP(AG$72,INDIRECT($C$5&amp;"生成成长"),2))/((VLOOKUP($B90,INDIRECT($B$5&amp;"生成成长"),4))/(VLOOKUP(AG$72,INDIRECT($C$5&amp;"生成成长"),5))*(VLOOKUP($B$5,标准坦克设计!$B$24:$U$30,MATCH("对"&amp;LEFT($C$5,2)&amp;"输出",标准坦克设计!$B$23:$U$23,0)))*(VLOOKUP($B90,INDIRECT($B$5&amp;"生成成长"),3))*(VLOOKUP($B$5,标准坦克设计!$B$14:$K$20,9)/30))</f>
        <v>19.114726273095844</v>
      </c>
      <c r="AH90" s="173">
        <f ca="1">(VLOOKUP(AH$72,INDIRECT($C$5&amp;"生成成长"),2))/((VLOOKUP($B90,INDIRECT($B$5&amp;"生成成长"),4))/(VLOOKUP(AH$72,INDIRECT($C$5&amp;"生成成长"),5))*(VLOOKUP($B$5,标准坦克设计!$B$24:$U$30,MATCH("对"&amp;LEFT($C$5,2)&amp;"输出",标准坦克设计!$B$23:$U$23,0)))*(VLOOKUP($B90,INDIRECT($B$5&amp;"生成成长"),3))*(VLOOKUP($B$5,标准坦克设计!$B$14:$K$20,9)/30))</f>
        <v>20.540719887372344</v>
      </c>
      <c r="AI90" s="173">
        <f ca="1">(VLOOKUP(AI$72,INDIRECT($C$5&amp;"生成成长"),2))/((VLOOKUP($B90,INDIRECT($B$5&amp;"生成成长"),4))/(VLOOKUP(AI$72,INDIRECT($C$5&amp;"生成成长"),5))*(VLOOKUP($B$5,标准坦克设计!$B$24:$U$30,MATCH("对"&amp;LEFT($C$5,2)&amp;"输出",标准坦克设计!$B$23:$U$23,0)))*(VLOOKUP($B90,INDIRECT($B$5&amp;"生成成长"),3))*(VLOOKUP($B$5,标准坦克设计!$B$14:$K$20,9)/30))</f>
        <v>14.52769465594924</v>
      </c>
      <c r="AJ90" s="173">
        <f ca="1">(VLOOKUP(AJ$72,INDIRECT($C$5&amp;"生成成长"),2))/((VLOOKUP($B90,INDIRECT($B$5&amp;"生成成长"),4))/(VLOOKUP(AJ$72,INDIRECT($C$5&amp;"生成成长"),5))*(VLOOKUP($B$5,标准坦克设计!$B$24:$U$30,MATCH("对"&amp;LEFT($C$5,2)&amp;"输出",标准坦克设计!$B$23:$U$23,0)))*(VLOOKUP($B90,INDIRECT($B$5&amp;"生成成长"),3))*(VLOOKUP($B$5,标准坦克设计!$B$14:$K$20,9)/30))</f>
        <v>15.901624114884347</v>
      </c>
      <c r="AK90" s="173">
        <f ca="1">(VLOOKUP(AK$72,INDIRECT($C$5&amp;"生成成长"),2))/((VLOOKUP($B90,INDIRECT($B$5&amp;"生成成长"),4))/(VLOOKUP(AK$72,INDIRECT($C$5&amp;"生成成长"),5))*(VLOOKUP($B$5,标准坦克设计!$B$24:$U$30,MATCH("对"&amp;LEFT($C$5,2)&amp;"输出",标准坦克设计!$B$23:$U$23,0)))*(VLOOKUP($B90,INDIRECT($B$5&amp;"生成成长"),3))*(VLOOKUP($B$5,标准坦克设计!$B$14:$K$20,9)/30))</f>
        <v>17.337620202354508</v>
      </c>
      <c r="AL90" s="173">
        <f ca="1">(VLOOKUP(AL$72,INDIRECT($C$5&amp;"生成成长"),2))/((VLOOKUP($B90,INDIRECT($B$5&amp;"生成成长"),4))/(VLOOKUP(AL$72,INDIRECT($C$5&amp;"生成成长"),5))*(VLOOKUP($B$5,标准坦克设计!$B$24:$U$30,MATCH("对"&amp;LEFT($C$5,2)&amp;"输出",标准坦克设计!$B$23:$U$23,0)))*(VLOOKUP($B90,INDIRECT($B$5&amp;"生成成长"),3))*(VLOOKUP($B$5,标准坦克设计!$B$14:$K$20,9)/30))</f>
        <v>18.835682918359726</v>
      </c>
      <c r="AM90" s="173">
        <f ca="1">(VLOOKUP(AM$72,INDIRECT($C$5&amp;"生成成长"),2))/((VLOOKUP($B90,INDIRECT($B$5&amp;"生成成长"),4))/(VLOOKUP(AM$72,INDIRECT($C$5&amp;"生成成长"),5))*(VLOOKUP($B$5,标准坦克设计!$B$24:$U$30,MATCH("对"&amp;LEFT($C$5,2)&amp;"输出",标准坦克设计!$B$23:$U$23,0)))*(VLOOKUP($B90,INDIRECT($B$5&amp;"生成成长"),3))*(VLOOKUP($B$5,标准坦克设计!$B$14:$K$20,9)/30))</f>
        <v>20.395812262899998</v>
      </c>
      <c r="AN90" s="173">
        <f ca="1">(VLOOKUP(AN$72,INDIRECT($C$5&amp;"生成成长"),2))/((VLOOKUP($B90,INDIRECT($B$5&amp;"生成成长"),4))/(VLOOKUP(AN$72,INDIRECT($C$5&amp;"生成成长"),5))*(VLOOKUP($B$5,标准坦克设计!$B$24:$U$30,MATCH("对"&amp;LEFT($C$5,2)&amp;"输出",标准坦克设计!$B$23:$U$23,0)))*(VLOOKUP($B90,INDIRECT($B$5&amp;"生成成长"),3))*(VLOOKUP($B$5,标准坦克设计!$B$14:$K$20,9)/30))</f>
        <v>22.01800823597533</v>
      </c>
      <c r="AO90" s="173">
        <f ca="1">(VLOOKUP(AO$72,INDIRECT($C$5&amp;"生成成长"),2))/((VLOOKUP($B90,INDIRECT($B$5&amp;"生成成长"),4))/(VLOOKUP(AO$72,INDIRECT($C$5&amp;"生成成长"),5))*(VLOOKUP($B$5,标准坦克设计!$B$24:$U$30,MATCH("对"&amp;LEFT($C$5,2)&amp;"输出",标准坦克设计!$B$23:$U$23,0)))*(VLOOKUP($B90,INDIRECT($B$5&amp;"生成成长"),3))*(VLOOKUP($B$5,标准坦克设计!$B$14:$K$20,9)/30))</f>
        <v>23.702270837585711</v>
      </c>
      <c r="AP90" s="173">
        <f ca="1">(VLOOKUP(AP$72,INDIRECT($C$5&amp;"生成成长"),2))/((VLOOKUP($B90,INDIRECT($B$5&amp;"生成成长"),4))/(VLOOKUP(AP$72,INDIRECT($C$5&amp;"生成成长"),5))*(VLOOKUP($B$5,标准坦克设计!$B$24:$U$30,MATCH("对"&amp;LEFT($C$5,2)&amp;"输出",标准坦克设计!$B$23:$U$23,0)))*(VLOOKUP($B90,INDIRECT($B$5&amp;"生成成长"),3))*(VLOOKUP($B$5,标准坦克设计!$B$14:$K$20,9)/30))</f>
        <v>25.448600067731153</v>
      </c>
      <c r="AQ90" s="173">
        <f ca="1">(VLOOKUP(AQ$72,INDIRECT($C$5&amp;"生成成长"),2))/((VLOOKUP($B90,INDIRECT($B$5&amp;"生成成长"),4))/(VLOOKUP(AQ$72,INDIRECT($C$5&amp;"生成成长"),5))*(VLOOKUP($B$5,标准坦克设计!$B$24:$U$30,MATCH("对"&amp;LEFT($C$5,2)&amp;"输出",标准坦克设计!$B$23:$U$23,0)))*(VLOOKUP($B90,INDIRECT($B$5&amp;"生成成长"),3))*(VLOOKUP($B$5,标准坦克设计!$B$14:$K$20,9)/30))</f>
        <v>27.256995926411648</v>
      </c>
      <c r="AR90" s="173">
        <f ca="1">(VLOOKUP(AR$72,INDIRECT($C$5&amp;"生成成长"),2))/((VLOOKUP($B90,INDIRECT($B$5&amp;"生成成长"),4))/(VLOOKUP(AR$72,INDIRECT($C$5&amp;"生成成长"),5))*(VLOOKUP($B$5,标准坦克设计!$B$24:$U$30,MATCH("对"&amp;LEFT($C$5,2)&amp;"输出",标准坦克设计!$B$23:$U$23,0)))*(VLOOKUP($B90,INDIRECT($B$5&amp;"生成成长"),3))*(VLOOKUP($B$5,标准坦克设计!$B$14:$K$20,9)/30))</f>
        <v>29.127458413627203</v>
      </c>
      <c r="AS90" s="173">
        <f ca="1">(VLOOKUP(AS$72,INDIRECT($C$5&amp;"生成成长"),2))/((VLOOKUP($B90,INDIRECT($B$5&amp;"生成成长"),4))/(VLOOKUP(AS$72,INDIRECT($C$5&amp;"生成成长"),5))*(VLOOKUP($B$5,标准坦克设计!$B$24:$U$30,MATCH("对"&amp;LEFT($C$5,2)&amp;"输出",标准坦克设计!$B$23:$U$23,0)))*(VLOOKUP($B90,INDIRECT($B$5&amp;"生成成长"),3))*(VLOOKUP($B$5,标准坦克设计!$B$14:$K$20,9)/30))</f>
        <v>31.059987529377814</v>
      </c>
      <c r="AT90" s="173">
        <f ca="1">(VLOOKUP(AT$72,INDIRECT($C$5&amp;"生成成长"),2))/((VLOOKUP($B90,INDIRECT($B$5&amp;"生成成长"),4))/(VLOOKUP(AT$72,INDIRECT($C$5&amp;"生成成长"),5))*(VLOOKUP($B$5,标准坦克设计!$B$24:$U$30,MATCH("对"&amp;LEFT($C$5,2)&amp;"输出",标准坦克设计!$B$23:$U$23,0)))*(VLOOKUP($B90,INDIRECT($B$5&amp;"生成成长"),3))*(VLOOKUP($B$5,标准坦克设计!$B$14:$K$20,9)/30))</f>
        <v>33.054583273663489</v>
      </c>
      <c r="AU90" s="173">
        <f ca="1">(VLOOKUP(AU$72,INDIRECT($C$5&amp;"生成成长"),2))/((VLOOKUP($B90,INDIRECT($B$5&amp;"生成成长"),4))/(VLOOKUP(AU$72,INDIRECT($C$5&amp;"生成成长"),5))*(VLOOKUP($B$5,标准坦克设计!$B$24:$U$30,MATCH("对"&amp;LEFT($C$5,2)&amp;"输出",标准坦克设计!$B$23:$U$23,0)))*(VLOOKUP($B90,INDIRECT($B$5&amp;"生成成长"),3))*(VLOOKUP($B$5,标准坦克设计!$B$14:$K$20,9)/30))</f>
        <v>35.1112456464842</v>
      </c>
      <c r="AV90" s="173">
        <f ca="1">(VLOOKUP(AV$72,INDIRECT($C$5&amp;"生成成长"),2))/((VLOOKUP($B90,INDIRECT($B$5&amp;"生成成长"),4))/(VLOOKUP(AV$72,INDIRECT($C$5&amp;"生成成长"),5))*(VLOOKUP($B$5,标准坦克设计!$B$24:$U$30,MATCH("对"&amp;LEFT($C$5,2)&amp;"输出",标准坦克设计!$B$23:$U$23,0)))*(VLOOKUP($B90,INDIRECT($B$5&amp;"生成成长"),3))*(VLOOKUP($B$5,标准坦克设计!$B$14:$K$20,9)/30))</f>
        <v>3.5711394038104167</v>
      </c>
      <c r="AW90" s="173">
        <f ca="1">(VLOOKUP(AW$72,INDIRECT($C$5&amp;"生成成长"),2))/((VLOOKUP($B90,INDIRECT($B$5&amp;"生成成长"),4))/(VLOOKUP(AW$72,INDIRECT($C$5&amp;"生成成长"),5))*(VLOOKUP($B$5,标准坦克设计!$B$24:$U$30,MATCH("对"&amp;LEFT($C$5,2)&amp;"输出",标准坦克设计!$B$23:$U$23,0)))*(VLOOKUP($B90,INDIRECT($B$5&amp;"生成成长"),3))*(VLOOKUP($B$5,标准坦克设计!$B$14:$K$20,9)/30))</f>
        <v>4.0717760108369845</v>
      </c>
      <c r="AX90" s="173">
        <f ca="1">(VLOOKUP(AX$72,INDIRECT($C$5&amp;"生成成长"),2))/((VLOOKUP($B90,INDIRECT($B$5&amp;"生成成长"),4))/(VLOOKUP(AX$72,INDIRECT($C$5&amp;"生成成长"),5))*(VLOOKUP($B$5,标准坦克设计!$B$24:$U$30,MATCH("对"&amp;LEFT($C$5,2)&amp;"输出",标准坦克设计!$B$23:$U$23,0)))*(VLOOKUP($B90,INDIRECT($B$5&amp;"生成成长"),3))*(VLOOKUP($B$5,标准坦克设计!$B$14:$K$20,9)/30))</f>
        <v>4.6052412478325078</v>
      </c>
      <c r="AY90" s="173">
        <f ca="1">(VLOOKUP(AY$72,INDIRECT($C$5&amp;"生成成长"),2))/((VLOOKUP($B90,INDIRECT($B$5&amp;"生成成长"),4))/(VLOOKUP(AY$72,INDIRECT($C$5&amp;"生成成长"),5))*(VLOOKUP($B$5,标准坦克设计!$B$24:$U$30,MATCH("对"&amp;LEFT($C$5,2)&amp;"输出",标准坦克设计!$B$23:$U$23,0)))*(VLOOKUP($B90,INDIRECT($B$5&amp;"生成成长"),3))*(VLOOKUP($B$5,标准坦克设计!$B$14:$K$20,9)/30))</f>
        <v>5.1715351147969866</v>
      </c>
      <c r="AZ90" s="173">
        <f ca="1">(VLOOKUP(AZ$72,INDIRECT($C$5&amp;"生成成长"),2))/((VLOOKUP($B90,INDIRECT($B$5&amp;"生成成长"),4))/(VLOOKUP(AZ$72,INDIRECT($C$5&amp;"生成成长"),5))*(VLOOKUP($B$5,标准坦克设计!$B$24:$U$30,MATCH("对"&amp;LEFT($C$5,2)&amp;"输出",标准坦克设计!$B$23:$U$23,0)))*(VLOOKUP($B90,INDIRECT($B$5&amp;"生成成长"),3))*(VLOOKUP($B$5,标准坦克设计!$B$14:$K$20,9)/30))</f>
        <v>5.77065761173042</v>
      </c>
      <c r="BA90" s="173">
        <f ca="1">(VLOOKUP(BA$72,INDIRECT($C$5&amp;"生成成长"),2))/((VLOOKUP($B90,INDIRECT($B$5&amp;"生成成长"),4))/(VLOOKUP(BA$72,INDIRECT($C$5&amp;"生成成长"),5))*(VLOOKUP($B$5,标准坦克设计!$B$24:$U$30,MATCH("对"&amp;LEFT($C$5,2)&amp;"输出",标准坦克设计!$B$23:$U$23,0)))*(VLOOKUP($B90,INDIRECT($B$5&amp;"生成成长"),3))*(VLOOKUP($B$5,标准坦克设计!$B$14:$K$20,9)/30))</f>
        <v>6.4026087386328099</v>
      </c>
      <c r="BB90" s="173">
        <f ca="1">(VLOOKUP(BB$72,INDIRECT($C$5&amp;"生成成长"),2))/((VLOOKUP($B90,INDIRECT($B$5&amp;"生成成长"),4))/(VLOOKUP(BB$72,INDIRECT($C$5&amp;"生成成长"),5))*(VLOOKUP($B$5,标准坦克设计!$B$24:$U$30,MATCH("对"&amp;LEFT($C$5,2)&amp;"输出",标准坦克设计!$B$23:$U$23,0)))*(VLOOKUP($B90,INDIRECT($B$5&amp;"生成成长"),3))*(VLOOKUP($B$5,标准坦克设计!$B$14:$K$20,9)/30))</f>
        <v>7.0673884955041526</v>
      </c>
      <c r="BC90" s="173">
        <f ca="1">(VLOOKUP(BC$72,INDIRECT($C$5&amp;"生成成长"),2))/((VLOOKUP($B90,INDIRECT($B$5&amp;"生成成长"),4))/(VLOOKUP(BC$72,INDIRECT($C$5&amp;"生成成长"),5))*(VLOOKUP($B$5,标准坦克设计!$B$24:$U$30,MATCH("对"&amp;LEFT($C$5,2)&amp;"输出",标准坦克设计!$B$23:$U$23,0)))*(VLOOKUP($B90,INDIRECT($B$5&amp;"生成成长"),3))*(VLOOKUP($B$5,标准坦克设计!$B$14:$K$20,9)/30))</f>
        <v>7.7649968823444535</v>
      </c>
      <c r="BD90" s="173">
        <f ca="1">(VLOOKUP(BD$72,INDIRECT($C$5&amp;"生成成长"),2))/((VLOOKUP($B90,INDIRECT($B$5&amp;"生成成长"),4))/(VLOOKUP(BD$72,INDIRECT($C$5&amp;"生成成长"),5))*(VLOOKUP($B$5,标准坦克设计!$B$24:$U$30,MATCH("对"&amp;LEFT($C$5,2)&amp;"输出",标准坦克设计!$B$23:$U$23,0)))*(VLOOKUP($B90,INDIRECT($B$5&amp;"生成成长"),3))*(VLOOKUP($B$5,标准坦克设计!$B$14:$K$20,9)/30))</f>
        <v>8.589046789299557</v>
      </c>
      <c r="BE90" s="173">
        <f ca="1">(VLOOKUP(BE$72,INDIRECT($C$5&amp;"生成成长"),2))/((VLOOKUP($B90,INDIRECT($B$5&amp;"生成成长"),4))/(VLOOKUP(BE$72,INDIRECT($C$5&amp;"生成成长"),5))*(VLOOKUP($B$5,标准坦克设计!$B$24:$U$30,MATCH("对"&amp;LEFT($C$5,2)&amp;"输出",标准坦克设计!$B$23:$U$23,0)))*(VLOOKUP($B90,INDIRECT($B$5&amp;"生成成长"),3))*(VLOOKUP($B$5,标准坦克设计!$B$14:$K$20,9)/30))</f>
        <v>9.4546454310591201</v>
      </c>
      <c r="BF90" s="173">
        <f ca="1">(VLOOKUP(BF$72,INDIRECT($C$5&amp;"生成成长"),2))/((VLOOKUP($B90,INDIRECT($B$5&amp;"生成成长"),4))/(VLOOKUP(BF$72,INDIRECT($C$5&amp;"生成成长"),5))*(VLOOKUP($B$5,标准坦克设计!$B$24:$U$30,MATCH("对"&amp;LEFT($C$5,2)&amp;"输出",标准坦克设计!$B$23:$U$23,0)))*(VLOOKUP($B90,INDIRECT($B$5&amp;"生成成长"),3))*(VLOOKUP($B$5,标准坦克设计!$B$14:$K$20,9)/30))</f>
        <v>10.361792807623143</v>
      </c>
      <c r="BG90" s="173">
        <f ca="1">(VLOOKUP(BG$72,INDIRECT($C$5&amp;"生成成长"),2))/((VLOOKUP($B90,INDIRECT($B$5&amp;"生成成长"),4))/(VLOOKUP(BG$72,INDIRECT($C$5&amp;"生成成长"),5))*(VLOOKUP($B$5,标准坦克设计!$B$24:$U$30,MATCH("对"&amp;LEFT($C$5,2)&amp;"输出",标准坦克设计!$B$23:$U$23,0)))*(VLOOKUP($B90,INDIRECT($B$5&amp;"生成成长"),3))*(VLOOKUP($B$5,标准坦克设计!$B$14:$K$20,9)/30))</f>
        <v>11.310488918991622</v>
      </c>
      <c r="BH90" s="173">
        <f ca="1">(VLOOKUP(BH$72,INDIRECT($C$5&amp;"生成成长"),2))/((VLOOKUP($B90,INDIRECT($B$5&amp;"生成成长"),4))/(VLOOKUP(BH$72,INDIRECT($C$5&amp;"生成成长"),5))*(VLOOKUP($B$5,标准坦克设计!$B$24:$U$30,MATCH("对"&amp;LEFT($C$5,2)&amp;"输出",标准坦克设计!$B$23:$U$23,0)))*(VLOOKUP($B90,INDIRECT($B$5&amp;"生成成长"),3))*(VLOOKUP($B$5,标准坦克设计!$B$14:$K$20,9)/30))</f>
        <v>5.4669927845175836</v>
      </c>
      <c r="BI90" s="173">
        <f ca="1">(VLOOKUP(BI$72,INDIRECT($C$5&amp;"生成成长"),2))/((VLOOKUP($B90,INDIRECT($B$5&amp;"生成成长"),4))/(VLOOKUP(BI$72,INDIRECT($C$5&amp;"生成成长"),5))*(VLOOKUP($B$5,标准坦克设计!$B$24:$U$30,MATCH("对"&amp;LEFT($C$5,2)&amp;"输出",标准坦克设计!$B$23:$U$23,0)))*(VLOOKUP($B90,INDIRECT($B$5&amp;"生成成长"),3))*(VLOOKUP($B$5,标准坦克设计!$B$14:$K$20,9)/30))</f>
        <v>6.1617799609699269</v>
      </c>
      <c r="BJ90" s="173">
        <f ca="1">(VLOOKUP(BJ$72,INDIRECT($C$5&amp;"生成成长"),2))/((VLOOKUP($B90,INDIRECT($B$5&amp;"生成成长"),4))/(VLOOKUP(BJ$72,INDIRECT($C$5&amp;"生成成长"),5))*(VLOOKUP($B$5,标准坦克设计!$B$24:$U$30,MATCH("对"&amp;LEFT($C$5,2)&amp;"输出",标准坦克设计!$B$23:$U$23,0)))*(VLOOKUP($B90,INDIRECT($B$5&amp;"生成成长"),3))*(VLOOKUP($B$5,标准坦克设计!$B$14:$K$20,9)/30))</f>
        <v>6.8981158722267288</v>
      </c>
      <c r="BK90" s="173">
        <f ca="1">(VLOOKUP(BK$72,INDIRECT($C$5&amp;"生成成长"),2))/((VLOOKUP($B90,INDIRECT($B$5&amp;"生成成长"),4))/(VLOOKUP(BK$72,INDIRECT($C$5&amp;"生成成长"),5))*(VLOOKUP($B$5,标准坦克设计!$B$24:$U$30,MATCH("对"&amp;LEFT($C$5,2)&amp;"输出",标准坦克设计!$B$23:$U$23,0)))*(VLOOKUP($B90,INDIRECT($B$5&amp;"生成成长"),3))*(VLOOKUP($B$5,标准坦克设计!$B$14:$K$20,9)/30))</f>
        <v>7.6760005182879896</v>
      </c>
      <c r="BL90" s="173">
        <f ca="1">(VLOOKUP(BL$72,INDIRECT($C$5&amp;"生成成长"),2))/((VLOOKUP($B90,INDIRECT($B$5&amp;"生成成长"),4))/(VLOOKUP(BL$72,INDIRECT($C$5&amp;"生成成长"),5))*(VLOOKUP($B$5,标准坦克设计!$B$24:$U$30,MATCH("对"&amp;LEFT($C$5,2)&amp;"输出",标准坦克设计!$B$23:$U$23,0)))*(VLOOKUP($B90,INDIRECT($B$5&amp;"生成成长"),3))*(VLOOKUP($B$5,标准坦克设计!$B$14:$K$20,9)/30))</f>
        <v>8.4954338991537082</v>
      </c>
      <c r="BM90" s="173">
        <f ca="1">(VLOOKUP(BM$72,INDIRECT($C$5&amp;"生成成长"),2))/((VLOOKUP($B90,INDIRECT($B$5&amp;"生成成长"),4))/(VLOOKUP(BM$72,INDIRECT($C$5&amp;"生成成长"),5))*(VLOOKUP($B$5,标准坦克设计!$B$24:$U$30,MATCH("对"&amp;LEFT($C$5,2)&amp;"输出",标准坦克设计!$B$23:$U$23,0)))*(VLOOKUP($B90,INDIRECT($B$5&amp;"生成成长"),3))*(VLOOKUP($B$5,标准坦克设计!$B$14:$K$20,9)/30))</f>
        <v>9.3564160148238855</v>
      </c>
      <c r="BN90" s="173">
        <f ca="1">(VLOOKUP(BN$72,INDIRECT($C$5&amp;"生成成长"),2))/((VLOOKUP($B90,INDIRECT($B$5&amp;"生成成长"),4))/(VLOOKUP(BN$72,INDIRECT($C$5&amp;"生成成长"),5))*(VLOOKUP($B$5,标准坦克设计!$B$24:$U$30,MATCH("对"&amp;LEFT($C$5,2)&amp;"输出",标准坦克设计!$B$23:$U$23,0)))*(VLOOKUP($B90,INDIRECT($B$5&amp;"生成成长"),3))*(VLOOKUP($B$5,标准坦克设计!$B$14:$K$20,9)/30))</f>
        <v>10.258946865298526</v>
      </c>
      <c r="BO90" s="173">
        <f ca="1">(VLOOKUP(BO$72,INDIRECT($C$5&amp;"生成成长"),2))/((VLOOKUP($B90,INDIRECT($B$5&amp;"生成成长"),4))/(VLOOKUP(BO$72,INDIRECT($C$5&amp;"生成成长"),5))*(VLOOKUP($B$5,标准坦克设计!$B$24:$U$30,MATCH("对"&amp;LEFT($C$5,2)&amp;"输出",标准坦克设计!$B$23:$U$23,0)))*(VLOOKUP($B90,INDIRECT($B$5&amp;"生成成长"),3))*(VLOOKUP($B$5,标准坦克设计!$B$14:$K$20,9)/30))</f>
        <v>11.203026450577619</v>
      </c>
      <c r="BP90" s="173">
        <f ca="1">(VLOOKUP(BP$72,INDIRECT($C$5&amp;"生成成长"),2))/((VLOOKUP($B90,INDIRECT($B$5&amp;"生成成长"),4))/(VLOOKUP(BP$72,INDIRECT($C$5&amp;"生成成长"),5))*(VLOOKUP($B$5,标准坦克设计!$B$24:$U$30,MATCH("对"&amp;LEFT($C$5,2)&amp;"输出",标准坦克设计!$B$23:$U$23,0)))*(VLOOKUP($B90,INDIRECT($B$5&amp;"生成成长"),3))*(VLOOKUP($B$5,标准坦克设计!$B$14:$K$20,9)/30))</f>
        <v>12.188654770661177</v>
      </c>
      <c r="BQ90" s="173">
        <f ca="1">(VLOOKUP(BQ$72,INDIRECT($C$5&amp;"生成成长"),2))/((VLOOKUP($B90,INDIRECT($B$5&amp;"生成成长"),4))/(VLOOKUP(BQ$72,INDIRECT($C$5&amp;"生成成长"),5))*(VLOOKUP($B$5,标准坦克设计!$B$24:$U$30,MATCH("对"&amp;LEFT($C$5,2)&amp;"输出",标准坦克设计!$B$23:$U$23,0)))*(VLOOKUP($B90,INDIRECT($B$5&amp;"生成成长"),3))*(VLOOKUP($B$5,标准坦克设计!$B$14:$K$20,9)/30))</f>
        <v>13.21583182554919</v>
      </c>
      <c r="BR90" s="173">
        <f ca="1">(VLOOKUP(BR$72,INDIRECT($C$5&amp;"生成成长"),2))/((VLOOKUP($B90,INDIRECT($B$5&amp;"生成成长"),4))/(VLOOKUP(BR$72,INDIRECT($C$5&amp;"生成成长"),5))*(VLOOKUP($B$5,标准坦克设计!$B$24:$U$30,MATCH("对"&amp;LEFT($C$5,2)&amp;"输出",标准坦克设计!$B$23:$U$23,0)))*(VLOOKUP($B90,INDIRECT($B$5&amp;"生成成长"),3))*(VLOOKUP($B$5,标准坦克设计!$B$14:$K$20,9)/30))</f>
        <v>14.405869661923825</v>
      </c>
      <c r="BS90" s="173">
        <f ca="1">(VLOOKUP(BS$72,INDIRECT($C$5&amp;"生成成长"),2))/((VLOOKUP($B90,INDIRECT($B$5&amp;"生成成长"),4))/(VLOOKUP(BS$72,INDIRECT($C$5&amp;"生成成长"),5))*(VLOOKUP($B$5,标准坦克设计!$B$24:$U$30,MATCH("对"&amp;LEFT($C$5,2)&amp;"输出",标准坦克设计!$B$23:$U$23,0)))*(VLOOKUP($B90,INDIRECT($B$5&amp;"生成成长"),3))*(VLOOKUP($B$5,标准坦克设计!$B$14:$K$20,9)/30))</f>
        <v>15.647202232624943</v>
      </c>
      <c r="BT90" s="173">
        <f ca="1">(VLOOKUP(BT$72,INDIRECT($C$5&amp;"生成成长"),2))/((VLOOKUP($B90,INDIRECT($B$5&amp;"生成成长"),4))/(VLOOKUP(BT$72,INDIRECT($C$5&amp;"生成成长"),5))*(VLOOKUP($B$5,标准坦克设计!$B$24:$U$30,MATCH("对"&amp;LEFT($C$5,2)&amp;"输出",标准坦克设计!$B$23:$U$23,0)))*(VLOOKUP($B90,INDIRECT($B$5&amp;"生成成长"),3))*(VLOOKUP($B$5,标准坦克设计!$B$14:$K$20,9)/30))</f>
        <v>16.939829537652557</v>
      </c>
      <c r="BU90" s="173">
        <f ca="1">(VLOOKUP(BU$72,INDIRECT($C$5&amp;"生成成长"),2))/((VLOOKUP($B90,INDIRECT($B$5&amp;"生成成长"),4))/(VLOOKUP(BU$72,INDIRECT($C$5&amp;"生成成长"),5))*(VLOOKUP($B$5,标准坦克设计!$B$24:$U$30,MATCH("对"&amp;LEFT($C$5,2)&amp;"输出",标准坦克设计!$B$23:$U$23,0)))*(VLOOKUP($B90,INDIRECT($B$5&amp;"生成成长"),3))*(VLOOKUP($B$5,标准坦克设计!$B$14:$K$20,9)/30))</f>
        <v>18.283751577006665</v>
      </c>
      <c r="BV90" s="173">
        <f ca="1">(VLOOKUP(BV$72,INDIRECT($C$5&amp;"生成成长"),2))/((VLOOKUP($B90,INDIRECT($B$5&amp;"生成成长"),4))/(VLOOKUP(BV$72,INDIRECT($C$5&amp;"生成成长"),5))*(VLOOKUP($B$5,标准坦克设计!$B$24:$U$30,MATCH("对"&amp;LEFT($C$5,2)&amp;"输出",标准坦克设计!$B$23:$U$23,0)))*(VLOOKUP($B90,INDIRECT($B$5&amp;"生成成长"),3))*(VLOOKUP($B$5,标准坦克设计!$B$14:$K$20,9)/30))</f>
        <v>19.678968350687263</v>
      </c>
      <c r="BW90" s="173">
        <f ca="1">(VLOOKUP(BW$72,INDIRECT($C$5&amp;"生成成长"),2))/((VLOOKUP($B90,INDIRECT($B$5&amp;"生成成长"),4))/(VLOOKUP(BW$72,INDIRECT($C$5&amp;"生成成长"),5))*(VLOOKUP($B$5,标准坦克设计!$B$24:$U$30,MATCH("对"&amp;LEFT($C$5,2)&amp;"输出",标准坦克设计!$B$23:$U$23,0)))*(VLOOKUP($B90,INDIRECT($B$5&amp;"生成成长"),3))*(VLOOKUP($B$5,标准坦克设计!$B$14:$K$20,9)/30))</f>
        <v>8.968627823315602</v>
      </c>
      <c r="BX90" s="173">
        <f ca="1">(VLOOKUP(BX$72,INDIRECT($C$5&amp;"生成成长"),2))/((VLOOKUP($B90,INDIRECT($B$5&amp;"生成成长"),4))/(VLOOKUP(BX$72,INDIRECT($C$5&amp;"生成成长"),5))*(VLOOKUP($B$5,标准坦克设计!$B$24:$U$30,MATCH("对"&amp;LEFT($C$5,2)&amp;"输出",标准坦克设计!$B$23:$U$23,0)))*(VLOOKUP($B90,INDIRECT($B$5&amp;"生成成长"),3))*(VLOOKUP($B$5,标准坦克设计!$B$14:$K$20,9)/30))</f>
        <v>9.9534867223842625</v>
      </c>
      <c r="BY90" s="173">
        <f ca="1">(VLOOKUP(BY$72,INDIRECT($C$5&amp;"生成成长"),2))/((VLOOKUP($B90,INDIRECT($B$5&amp;"生成成长"),4))/(VLOOKUP(BY$72,INDIRECT($C$5&amp;"生成成长"),5))*(VLOOKUP($B$5,标准坦克设计!$B$24:$U$30,MATCH("对"&amp;LEFT($C$5,2)&amp;"输出",标准坦克设计!$B$23:$U$23,0)))*(VLOOKUP($B90,INDIRECT($B$5&amp;"生成成长"),3))*(VLOOKUP($B$5,标准坦克设计!$B$14:$K$20,9)/30))</f>
        <v>10.989640355779411</v>
      </c>
      <c r="BZ90" s="173">
        <f ca="1">(VLOOKUP(BZ$72,INDIRECT($C$5&amp;"生成成长"),2))/((VLOOKUP($B90,INDIRECT($B$5&amp;"生成成长"),4))/(VLOOKUP(BZ$72,INDIRECT($C$5&amp;"生成成长"),5))*(VLOOKUP($B$5,标准坦克设计!$B$24:$U$30,MATCH("对"&amp;LEFT($C$5,2)&amp;"输出",标准坦克设计!$B$23:$U$23,0)))*(VLOOKUP($B90,INDIRECT($B$5&amp;"生成成长"),3))*(VLOOKUP($B$5,标准坦克设计!$B$14:$K$20,9)/30))</f>
        <v>12.077088723501054</v>
      </c>
      <c r="CA90" s="173">
        <f ca="1">(VLOOKUP(CA$72,INDIRECT($C$5&amp;"生成成长"),2))/((VLOOKUP($B90,INDIRECT($B$5&amp;"生成成长"),4))/(VLOOKUP(CA$72,INDIRECT($C$5&amp;"生成成长"),5))*(VLOOKUP($B$5,标准坦克设计!$B$24:$U$30,MATCH("对"&amp;LEFT($C$5,2)&amp;"输出",标准坦克设计!$B$23:$U$23,0)))*(VLOOKUP($B90,INDIRECT($B$5&amp;"生成成长"),3))*(VLOOKUP($B$5,标准坦克设计!$B$14:$K$20,9)/30))</f>
        <v>13.21583182554919</v>
      </c>
      <c r="CB90" s="173">
        <f ca="1">(VLOOKUP(CB$72,INDIRECT($C$5&amp;"生成成长"),2))/((VLOOKUP($B90,INDIRECT($B$5&amp;"生成成长"),4))/(VLOOKUP(CB$72,INDIRECT($C$5&amp;"生成成长"),5))*(VLOOKUP($B$5,标准坦克设计!$B$24:$U$30,MATCH("对"&amp;LEFT($C$5,2)&amp;"输出",标准坦克设计!$B$23:$U$23,0)))*(VLOOKUP($B90,INDIRECT($B$5&amp;"生成成长"),3))*(VLOOKUP($B$5,标准坦克设计!$B$14:$K$20,9)/30))</f>
        <v>14.405869661923825</v>
      </c>
      <c r="CC90" s="173">
        <f ca="1">(VLOOKUP(CC$72,INDIRECT($C$5&amp;"生成成长"),2))/((VLOOKUP($B90,INDIRECT($B$5&amp;"生成成长"),4))/(VLOOKUP(CC$72,INDIRECT($C$5&amp;"生成成长"),5))*(VLOOKUP($B$5,标准坦克设计!$B$24:$U$30,MATCH("对"&amp;LEFT($C$5,2)&amp;"输出",标准坦克设计!$B$23:$U$23,0)))*(VLOOKUP($B90,INDIRECT($B$5&amp;"生成成长"),3))*(VLOOKUP($B$5,标准坦克设计!$B$14:$K$20,9)/30))</f>
        <v>15.647202232624943</v>
      </c>
      <c r="CD90" s="173">
        <f ca="1">(VLOOKUP(CD$72,INDIRECT($C$5&amp;"生成成长"),2))/((VLOOKUP($B90,INDIRECT($B$5&amp;"生成成长"),4))/(VLOOKUP(CD$72,INDIRECT($C$5&amp;"生成成长"),5))*(VLOOKUP($B$5,标准坦克设计!$B$24:$U$30,MATCH("对"&amp;LEFT($C$5,2)&amp;"输出",标准坦克设计!$B$23:$U$23,0)))*(VLOOKUP($B90,INDIRECT($B$5&amp;"生成成长"),3))*(VLOOKUP($B$5,标准坦克设计!$B$14:$K$20,9)/30))</f>
        <v>16.939829537652557</v>
      </c>
      <c r="CE90" s="173">
        <f ca="1">(VLOOKUP(CE$72,INDIRECT($C$5&amp;"生成成长"),2))/((VLOOKUP($B90,INDIRECT($B$5&amp;"生成成长"),4))/(VLOOKUP(CE$72,INDIRECT($C$5&amp;"生成成长"),5))*(VLOOKUP($B$5,标准坦克设计!$B$24:$U$30,MATCH("对"&amp;LEFT($C$5,2)&amp;"输出",标准坦克设计!$B$23:$U$23,0)))*(VLOOKUP($B90,INDIRECT($B$5&amp;"生成成长"),3))*(VLOOKUP($B$5,标准坦克设计!$B$14:$K$20,9)/30))</f>
        <v>18.283751577006665</v>
      </c>
      <c r="CF90" s="173">
        <f ca="1">(VLOOKUP(CF$72,INDIRECT($C$5&amp;"生成成长"),2))/((VLOOKUP($B90,INDIRECT($B$5&amp;"生成成长"),4))/(VLOOKUP(CF$72,INDIRECT($C$5&amp;"生成成长"),5))*(VLOOKUP($B$5,标准坦克设计!$B$24:$U$30,MATCH("对"&amp;LEFT($C$5,2)&amp;"输出",标准坦克设计!$B$23:$U$23,0)))*(VLOOKUP($B90,INDIRECT($B$5&amp;"生成成长"),3))*(VLOOKUP($B$5,标准坦克设计!$B$14:$K$20,9)/30))</f>
        <v>19.678968350687263</v>
      </c>
      <c r="CG90" s="173">
        <f ca="1">(VLOOKUP(CG$72,INDIRECT($C$5&amp;"生成成长"),2))/((VLOOKUP($B90,INDIRECT($B$5&amp;"生成成长"),4))/(VLOOKUP(CG$72,INDIRECT($C$5&amp;"生成成长"),5))*(VLOOKUP($B$5,标准坦克设计!$B$24:$U$30,MATCH("对"&amp;LEFT($C$5,2)&amp;"输出",标准坦克设计!$B$23:$U$23,0)))*(VLOOKUP($B90,INDIRECT($B$5&amp;"生成成长"),3))*(VLOOKUP($B$5,标准坦克设计!$B$14:$K$20,9)/30))</f>
        <v>21.125479858694359</v>
      </c>
      <c r="CH90" s="173">
        <f ca="1">(VLOOKUP(CH$72,INDIRECT($C$5&amp;"生成成长"),2))/((VLOOKUP($B90,INDIRECT($B$5&amp;"生成成长"),4))/(VLOOKUP(CH$72,INDIRECT($C$5&amp;"生成成长"),5))*(VLOOKUP($B$5,标准坦克设计!$B$24:$U$30,MATCH("对"&amp;LEFT($C$5,2)&amp;"输出",标准坦克设计!$B$23:$U$23,0)))*(VLOOKUP($B90,INDIRECT($B$5&amp;"生成成长"),3))*(VLOOKUP($B$5,标准坦克设计!$B$14:$K$20,9)/30))</f>
        <v>22.62328610102794</v>
      </c>
      <c r="CI90" s="173">
        <f ca="1">(VLOOKUP(CI$72,INDIRECT($C$5&amp;"生成成长"),2))/((VLOOKUP($B90,INDIRECT($B$5&amp;"生成成长"),4))/(VLOOKUP(CI$72,INDIRECT($C$5&amp;"生成成长"),5))*(VLOOKUP($B$5,标准坦克设计!$B$24:$U$30,MATCH("对"&amp;LEFT($C$5,2)&amp;"输出",标准坦克设计!$B$23:$U$23,0)))*(VLOOKUP($B90,INDIRECT($B$5&amp;"生成成长"),3))*(VLOOKUP($B$5,标准坦克设计!$B$14:$K$20,9)/30))</f>
        <v>24.330118385741986</v>
      </c>
      <c r="CJ90" s="173">
        <f ca="1">(VLOOKUP(CJ$72,INDIRECT($C$5&amp;"生成成长"),2))/((VLOOKUP($B90,INDIRECT($B$5&amp;"生成成长"),4))/(VLOOKUP(CJ$72,INDIRECT($C$5&amp;"生成成长"),5))*(VLOOKUP($B$5,标准坦克设计!$B$24:$U$30,MATCH("对"&amp;LEFT($C$5,2)&amp;"输出",标准坦克设计!$B$23:$U$23,0)))*(VLOOKUP($B90,INDIRECT($B$5&amp;"生成成长"),3))*(VLOOKUP($B$5,标准坦克设计!$B$14:$K$20,9)/30))</f>
        <v>26.099017298991079</v>
      </c>
      <c r="CK90" s="173">
        <f ca="1">(VLOOKUP(CK$72,INDIRECT($C$5&amp;"生成成长"),2))/((VLOOKUP($B90,INDIRECT($B$5&amp;"生成成长"),4))/(VLOOKUP(CK$72,INDIRECT($C$5&amp;"生成成长"),5))*(VLOOKUP($B$5,标准坦克设计!$B$24:$U$30,MATCH("对"&amp;LEFT($C$5,2)&amp;"输出",标准坦克设计!$B$23:$U$23,0)))*(VLOOKUP($B90,INDIRECT($B$5&amp;"生成成长"),3))*(VLOOKUP($B$5,标准坦克设计!$B$14:$K$20,9)/30))</f>
        <v>27.929982840775235</v>
      </c>
      <c r="CL90" s="173">
        <f ca="1">(VLOOKUP(CL$72,INDIRECT($C$5&amp;"生成成长"),2))/((VLOOKUP($B90,INDIRECT($B$5&amp;"生成成长"),4))/(VLOOKUP(CL$72,INDIRECT($C$5&amp;"生成成长"),5))*(VLOOKUP($B$5,标准坦克设计!$B$24:$U$30,MATCH("对"&amp;LEFT($C$5,2)&amp;"输出",标准坦克设计!$B$23:$U$23,0)))*(VLOOKUP($B90,INDIRECT($B$5&amp;"生成成长"),3))*(VLOOKUP($B$5,标准坦克设计!$B$14:$K$20,9)/30))</f>
        <v>29.823015011094448</v>
      </c>
      <c r="CM90" s="173">
        <f ca="1">(VLOOKUP(CM$72,INDIRECT($C$5&amp;"生成成长"),2))/((VLOOKUP($B90,INDIRECT($B$5&amp;"生成成长"),4))/(VLOOKUP(CM$72,INDIRECT($C$5&amp;"生成成长"),5))*(VLOOKUP($B$5,标准坦克设计!$B$24:$U$30,MATCH("对"&amp;LEFT($C$5,2)&amp;"输出",标准坦克设计!$B$23:$U$23,0)))*(VLOOKUP($B90,INDIRECT($B$5&amp;"生成成长"),3))*(VLOOKUP($B$5,标准坦克设计!$B$14:$K$20,9)/30))</f>
        <v>31.778113809948714</v>
      </c>
      <c r="CN90" s="173">
        <f ca="1">(VLOOKUP(CN$72,INDIRECT($C$5&amp;"生成成长"),2))/((VLOOKUP($B90,INDIRECT($B$5&amp;"生成成长"),4))/(VLOOKUP(CN$72,INDIRECT($C$5&amp;"生成成长"),5))*(VLOOKUP($B$5,标准坦克设计!$B$24:$U$30,MATCH("对"&amp;LEFT($C$5,2)&amp;"输出",标准坦克设计!$B$23:$U$23,0)))*(VLOOKUP($B90,INDIRECT($B$5&amp;"生成成长"),3))*(VLOOKUP($B$5,标准坦克设计!$B$14:$K$20,9)/30))</f>
        <v>33.795279237338029</v>
      </c>
      <c r="CO90" s="173">
        <f ca="1">(VLOOKUP(CO$72,INDIRECT($C$5&amp;"生成成长"),2))/((VLOOKUP($B90,INDIRECT($B$5&amp;"生成成长"),4))/(VLOOKUP(CO$72,INDIRECT($C$5&amp;"生成成长"),5))*(VLOOKUP($B$5,标准坦克设计!$B$24:$U$30,MATCH("对"&amp;LEFT($C$5,2)&amp;"输出",标准坦克设计!$B$23:$U$23,0)))*(VLOOKUP($B90,INDIRECT($B$5&amp;"生成成长"),3))*(VLOOKUP($B$5,标准坦克设计!$B$14:$K$20,9)/30))</f>
        <v>15.144513836225315</v>
      </c>
      <c r="CP90" s="173">
        <f ca="1">(VLOOKUP(CP$72,INDIRECT($C$5&amp;"生成成长"),2))/((VLOOKUP($B90,INDIRECT($B$5&amp;"生成成长"),4))/(VLOOKUP(CP$72,INDIRECT($C$5&amp;"生成成长"),5))*(VLOOKUP($B$5,标准坦克设计!$B$24:$U$30,MATCH("对"&amp;LEFT($C$5,2)&amp;"输出",标准坦克设计!$B$23:$U$23,0)))*(VLOOKUP($B90,INDIRECT($B$5&amp;"生成成长"),3))*(VLOOKUP($B$5,标准坦克设计!$B$14:$K$20,9)/30))</f>
        <v>16.546655399039992</v>
      </c>
      <c r="CQ90" s="173">
        <f ca="1">(VLOOKUP(CQ$72,INDIRECT($C$5&amp;"生成成长"),2))/((VLOOKUP($B90,INDIRECT($B$5&amp;"生成成长"),4))/(VLOOKUP(CQ$72,INDIRECT($C$5&amp;"生成成长"),5))*(VLOOKUP($B$5,标准坦克设计!$B$24:$U$30,MATCH("对"&amp;LEFT($C$5,2)&amp;"输出",标准坦克设计!$B$23:$U$23,0)))*(VLOOKUP($B90,INDIRECT($B$5&amp;"生成成长"),3))*(VLOOKUP($B$5,标准坦克设计!$B$14:$K$20,9)/30))</f>
        <v>18.010863590389722</v>
      </c>
      <c r="CR90" s="173">
        <f ca="1">(VLOOKUP(CR$72,INDIRECT($C$5&amp;"生成成长"),2))/((VLOOKUP($B90,INDIRECT($B$5&amp;"生成成长"),4))/(VLOOKUP(CR$72,INDIRECT($C$5&amp;"生成成长"),5))*(VLOOKUP($B$5,标准坦克设计!$B$24:$U$30,MATCH("对"&amp;LEFT($C$5,2)&amp;"输出",标准坦克设计!$B$23:$U$23,0)))*(VLOOKUP($B90,INDIRECT($B$5&amp;"生成成长"),3))*(VLOOKUP($B$5,标准坦克设计!$B$14:$K$20,9)/30))</f>
        <v>19.537138410274508</v>
      </c>
      <c r="CS90" s="173">
        <f ca="1">(VLOOKUP(CS$72,INDIRECT($C$5&amp;"生成成长"),2))/((VLOOKUP($B90,INDIRECT($B$5&amp;"生成成长"),4))/(VLOOKUP(CS$72,INDIRECT($C$5&amp;"生成成长"),5))*(VLOOKUP($B$5,标准坦克设计!$B$24:$U$30,MATCH("对"&amp;LEFT($C$5,2)&amp;"输出",标准坦克设计!$B$23:$U$23,0)))*(VLOOKUP($B90,INDIRECT($B$5&amp;"生成成长"),3))*(VLOOKUP($B$5,标准坦克设计!$B$14:$K$20,9)/30))</f>
        <v>21.125479858694359</v>
      </c>
      <c r="CT90" s="173">
        <f ca="1">(VLOOKUP(CT$72,INDIRECT($C$5&amp;"生成成长"),2))/((VLOOKUP($B90,INDIRECT($B$5&amp;"生成成长"),4))/(VLOOKUP(CT$72,INDIRECT($C$5&amp;"生成成长"),5))*(VLOOKUP($B$5,标准坦克设计!$B$24:$U$30,MATCH("对"&amp;LEFT($C$5,2)&amp;"输出",标准坦克设计!$B$23:$U$23,0)))*(VLOOKUP($B90,INDIRECT($B$5&amp;"生成成长"),3))*(VLOOKUP($B$5,标准坦克设计!$B$14:$K$20,9)/30))</f>
        <v>22.775887935649259</v>
      </c>
      <c r="CU90" s="173">
        <f ca="1">(VLOOKUP(CU$72,INDIRECT($C$5&amp;"生成成长"),2))/((VLOOKUP($B90,INDIRECT($B$5&amp;"生成成长"),4))/(VLOOKUP(CU$72,INDIRECT($C$5&amp;"生成成长"),5))*(VLOOKUP($B$5,标准坦克设计!$B$24:$U$30,MATCH("对"&amp;LEFT($C$5,2)&amp;"输出",标准坦克设计!$B$23:$U$23,0)))*(VLOOKUP($B90,INDIRECT($B$5&amp;"生成成长"),3))*(VLOOKUP($B$5,标准坦克设计!$B$14:$K$20,9)/30))</f>
        <v>24.488362641139215</v>
      </c>
      <c r="CV90" s="173">
        <f ca="1">(VLOOKUP(CV$72,INDIRECT($C$5&amp;"生成成长"),2))/((VLOOKUP($B90,INDIRECT($B$5&amp;"生成成长"),4))/(VLOOKUP(CV$72,INDIRECT($C$5&amp;"生成成长"),5))*(VLOOKUP($B$5,标准坦克设计!$B$24:$U$30,MATCH("对"&amp;LEFT($C$5,2)&amp;"输出",标准坦克设计!$B$23:$U$23,0)))*(VLOOKUP($B90,INDIRECT($B$5&amp;"生成成长"),3))*(VLOOKUP($B$5,标准坦克设计!$B$14:$K$20,9)/30))</f>
        <v>26.262903975164225</v>
      </c>
      <c r="CW90" s="173">
        <f ca="1">(VLOOKUP(CW$72,INDIRECT($C$5&amp;"生成成长"),2))/((VLOOKUP($B90,INDIRECT($B$5&amp;"生成成长"),4))/(VLOOKUP(CW$72,INDIRECT($C$5&amp;"生成成长"),5))*(VLOOKUP($B$5,标准坦克设计!$B$24:$U$30,MATCH("对"&amp;LEFT($C$5,2)&amp;"输出",标准坦克设计!$B$23:$U$23,0)))*(VLOOKUP($B90,INDIRECT($B$5&amp;"生成成长"),3))*(VLOOKUP($B$5,标准坦克设计!$B$14:$K$20,9)/30))</f>
        <v>28.099511937724291</v>
      </c>
      <c r="CX90" s="173">
        <f ca="1">(VLOOKUP(CX$72,INDIRECT($C$5&amp;"生成成长"),2))/((VLOOKUP($B90,INDIRECT($B$5&amp;"生成成长"),4))/(VLOOKUP(CX$72,INDIRECT($C$5&amp;"生成成长"),5))*(VLOOKUP($B$5,标准坦克设计!$B$24:$U$30,MATCH("对"&amp;LEFT($C$5,2)&amp;"输出",标准坦克设计!$B$23:$U$23,0)))*(VLOOKUP($B90,INDIRECT($B$5&amp;"生成成长"),3))*(VLOOKUP($B$5,标准坦克设计!$B$14:$K$20,9)/30))</f>
        <v>29.998186528819417</v>
      </c>
      <c r="CY90" s="173">
        <f ca="1">(VLOOKUP(CY$72,INDIRECT($C$5&amp;"生成成长"),2))/((VLOOKUP($B90,INDIRECT($B$5&amp;"生成成长"),4))/(VLOOKUP(CY$72,INDIRECT($C$5&amp;"生成成长"),5))*(VLOOKUP($B$5,标准坦克设计!$B$24:$U$30,MATCH("对"&amp;LEFT($C$5,2)&amp;"输出",标准坦克设计!$B$23:$U$23,0)))*(VLOOKUP($B90,INDIRECT($B$5&amp;"生成成长"),3))*(VLOOKUP($B$5,标准坦克设计!$B$14:$K$20,9)/30))</f>
        <v>31.9589277484496</v>
      </c>
      <c r="CZ90" s="173">
        <f ca="1">(VLOOKUP(CZ$72,INDIRECT($C$5&amp;"生成成长"),2))/((VLOOKUP($B90,INDIRECT($B$5&amp;"生成成长"),4))/(VLOOKUP(CZ$72,INDIRECT($C$5&amp;"生成成长"),5))*(VLOOKUP($B$5,标准坦克设计!$B$24:$U$30,MATCH("对"&amp;LEFT($C$5,2)&amp;"输出",标准坦克设计!$B$23:$U$23,0)))*(VLOOKUP($B90,INDIRECT($B$5&amp;"生成成长"),3))*(VLOOKUP($B$5,标准坦克设计!$B$14:$K$20,9)/30))</f>
        <v>33.981735596614833</v>
      </c>
      <c r="DA90" s="173">
        <f ca="1">(VLOOKUP(DA$72,INDIRECT($C$5&amp;"生成成长"),2))/((VLOOKUP($B90,INDIRECT($B$5&amp;"生成成长"),4))/(VLOOKUP(DA$72,INDIRECT($C$5&amp;"生成成长"),5))*(VLOOKUP($B$5,标准坦克设计!$B$24:$U$30,MATCH("对"&amp;LEFT($C$5,2)&amp;"输出",标准坦克设计!$B$23:$U$23,0)))*(VLOOKUP($B90,INDIRECT($B$5&amp;"生成成长"),3))*(VLOOKUP($B$5,标准坦克设计!$B$14:$K$20,9)/30))</f>
        <v>36.066610073315125</v>
      </c>
      <c r="DB90" s="173">
        <f ca="1">(VLOOKUP(DB$72,INDIRECT($C$5&amp;"生成成长"),2))/((VLOOKUP($B90,INDIRECT($B$5&amp;"生成成长"),4))/(VLOOKUP(DB$72,INDIRECT($C$5&amp;"生成成长"),5))*(VLOOKUP($B$5,标准坦克设计!$B$24:$U$30,MATCH("对"&amp;LEFT($C$5,2)&amp;"输出",标准坦克设计!$B$23:$U$23,0)))*(VLOOKUP($B90,INDIRECT($B$5&amp;"生成成长"),3))*(VLOOKUP($B$5,标准坦克设计!$B$14:$K$20,9)/30))</f>
        <v>38.213551178550475</v>
      </c>
      <c r="DC90" s="173">
        <f ca="1">(VLOOKUP(DC$72,INDIRECT($C$5&amp;"生成成长"),2))/((VLOOKUP($B90,INDIRECT($B$5&amp;"生成成长"),4))/(VLOOKUP(DC$72,INDIRECT($C$5&amp;"生成成长"),5))*(VLOOKUP($B$5,标准坦克设计!$B$24:$U$30,MATCH("对"&amp;LEFT($C$5,2)&amp;"输出",标准坦克设计!$B$23:$U$23,0)))*(VLOOKUP($B90,INDIRECT($B$5&amp;"生成成长"),3))*(VLOOKUP($B$5,标准坦克设计!$B$14:$K$20,9)/30))</f>
        <v>40.626455481268685</v>
      </c>
      <c r="DD90" s="173">
        <f ca="1">(VLOOKUP(DD$72,INDIRECT($C$5&amp;"生成成长"),2))/((VLOOKUP($B90,INDIRECT($B$5&amp;"生成成长"),4))/(VLOOKUP(DD$72,INDIRECT($C$5&amp;"生成成长"),5))*(VLOOKUP($B$5,标准坦克设计!$B$24:$U$30,MATCH("对"&amp;LEFT($C$5,2)&amp;"输出",标准坦克设计!$B$23:$U$23,0)))*(VLOOKUP($B90,INDIRECT($B$5&amp;"生成成长"),3))*(VLOOKUP($B$5,标准坦克设计!$B$14:$K$20,9)/30))</f>
        <v>43.113224201417054</v>
      </c>
      <c r="DE90" s="173">
        <f ca="1">(VLOOKUP(DE$72,INDIRECT($C$5&amp;"生成成长"),2))/((VLOOKUP($B90,INDIRECT($B$5&amp;"生成成长"),4))/(VLOOKUP(DE$72,INDIRECT($C$5&amp;"生成成长"),5))*(VLOOKUP($B$5,标准坦克设计!$B$24:$U$30,MATCH("对"&amp;LEFT($C$5,2)&amp;"输出",标准坦克设计!$B$23:$U$23,0)))*(VLOOKUP($B90,INDIRECT($B$5&amp;"生成成长"),3))*(VLOOKUP($B$5,标准坦克设计!$B$14:$K$20,9)/30))</f>
        <v>45.67385733899556</v>
      </c>
      <c r="DF90" s="173">
        <f ca="1">(VLOOKUP(DF$72,INDIRECT($C$5&amp;"生成成长"),2))/((VLOOKUP($B90,INDIRECT($B$5&amp;"生成成长"),4))/(VLOOKUP(DF$72,INDIRECT($C$5&amp;"生成成长"),5))*(VLOOKUP($B$5,标准坦克设计!$B$24:$U$30,MATCH("对"&amp;LEFT($C$5,2)&amp;"输出",标准坦克设计!$B$23:$U$23,0)))*(VLOOKUP($B90,INDIRECT($B$5&amp;"生成成长"),3))*(VLOOKUP($B$5,标准坦克设计!$B$14:$K$20,9)/30))</f>
        <v>48.308354894004218</v>
      </c>
      <c r="DG90" s="173">
        <f ca="1">(VLOOKUP(DG$72,INDIRECT($C$5&amp;"生成成长"),2))/((VLOOKUP($B90,INDIRECT($B$5&amp;"生成成长"),4))/(VLOOKUP(DG$72,INDIRECT($C$5&amp;"生成成长"),5))*(VLOOKUP($B$5,标准坦克设计!$B$24:$U$30,MATCH("对"&amp;LEFT($C$5,2)&amp;"输出",标准坦克设计!$B$23:$U$23,0)))*(VLOOKUP($B90,INDIRECT($B$5&amp;"生成成长"),3))*(VLOOKUP($B$5,标准坦克设计!$B$14:$K$20,9)/30))</f>
        <v>51.016716866443048</v>
      </c>
      <c r="DH90" s="173">
        <f ca="1">(VLOOKUP(DH$72,INDIRECT($C$5&amp;"生成成长"),2))/((VLOOKUP($B90,INDIRECT($B$5&amp;"生成成长"),4))/(VLOOKUP(DH$72,INDIRECT($C$5&amp;"生成成长"),5))*(VLOOKUP($B$5,标准坦克设计!$B$24:$U$30,MATCH("对"&amp;LEFT($C$5,2)&amp;"输出",标准坦克设计!$B$23:$U$23,0)))*(VLOOKUP($B90,INDIRECT($B$5&amp;"生成成长"),3))*(VLOOKUP($B$5,标准坦克设计!$B$14:$K$20,9)/30))</f>
        <v>53.798943256312</v>
      </c>
      <c r="DI90" s="173">
        <f ca="1">(VLOOKUP(DI$72,INDIRECT($C$5&amp;"生成成长"),2))/((VLOOKUP($B90,INDIRECT($B$5&amp;"生成成长"),4))/(VLOOKUP(DI$72,INDIRECT($C$5&amp;"生成成长"),5))*(VLOOKUP($B$5,标准坦克设计!$B$24:$U$30,MATCH("对"&amp;LEFT($C$5,2)&amp;"输出",标准坦克设计!$B$23:$U$23,0)))*(VLOOKUP($B90,INDIRECT($B$5&amp;"生成成长"),3))*(VLOOKUP($B$5,标准坦克设计!$B$14:$K$20,9)/30))</f>
        <v>56.655034063611105</v>
      </c>
      <c r="DJ90" s="173">
        <f ca="1">(VLOOKUP(DJ$72,INDIRECT($C$5&amp;"生成成长"),2))/((VLOOKUP($B90,INDIRECT($B$5&amp;"生成成长"),4))/(VLOOKUP(DJ$72,INDIRECT($C$5&amp;"生成成长"),5))*(VLOOKUP($B$5,标准坦克设计!$B$24:$U$30,MATCH("对"&amp;LEFT($C$5,2)&amp;"输出",标准坦克设计!$B$23:$U$23,0)))*(VLOOKUP($B90,INDIRECT($B$5&amp;"生成成长"),3))*(VLOOKUP($B$5,标准坦克设计!$B$14:$K$20,9)/30))</f>
        <v>5.6939719839123146</v>
      </c>
      <c r="DK90" s="173">
        <f ca="1">(VLOOKUP(DK$72,INDIRECT($C$5&amp;"生成成长"),2))/((VLOOKUP($B90,INDIRECT($B$5&amp;"生成成长"),4))/(VLOOKUP(DK$72,INDIRECT($C$5&amp;"生成成长"),5))*(VLOOKUP($B$5,标准坦克设计!$B$24:$U$30,MATCH("对"&amp;LEFT($C$5,2)&amp;"输出",标准坦克设计!$B$23:$U$23,0)))*(VLOOKUP($B90,INDIRECT($B$5&amp;"生成成长"),3))*(VLOOKUP($B$5,标准坦克设计!$B$14:$K$20,9)/30))</f>
        <v>6.4026087386328099</v>
      </c>
      <c r="DL90" s="173">
        <f ca="1">(VLOOKUP(DL$72,INDIRECT($C$5&amp;"生成成长"),2))/((VLOOKUP($B90,INDIRECT($B$5&amp;"生成成长"),4))/(VLOOKUP(DL$72,INDIRECT($C$5&amp;"生成成长"),5))*(VLOOKUP($B$5,标准坦克设计!$B$24:$U$30,MATCH("对"&amp;LEFT($C$5,2)&amp;"输出",标准坦克设计!$B$23:$U$23,0)))*(VLOOKUP($B90,INDIRECT($B$5&amp;"生成成长"),3))*(VLOOKUP($B$5,标准坦克设计!$B$14:$K$20,9)/30))</f>
        <v>7.1527942281577639</v>
      </c>
      <c r="DM90" s="173">
        <f ca="1">(VLOOKUP(DM$72,INDIRECT($C$5&amp;"生成成长"),2))/((VLOOKUP($B90,INDIRECT($B$5&amp;"生成成长"),4))/(VLOOKUP(DM$72,INDIRECT($C$5&amp;"生成成长"),5))*(VLOOKUP($B$5,标准坦克设计!$B$24:$U$30,MATCH("对"&amp;LEFT($C$5,2)&amp;"输出",标准坦克设计!$B$23:$U$23,0)))*(VLOOKUP($B90,INDIRECT($B$5&amp;"生成成长"),3))*(VLOOKUP($B$5,标准坦克设计!$B$14:$K$20,9)/30))</f>
        <v>7.9445284524871784</v>
      </c>
      <c r="DN90" s="173">
        <f ca="1">(VLOOKUP(DN$72,INDIRECT($C$5&amp;"生成成长"),2))/((VLOOKUP($B90,INDIRECT($B$5&amp;"生成成长"),4))/(VLOOKUP(DN$72,INDIRECT($C$5&amp;"生成成长"),5))*(VLOOKUP($B$5,标准坦克设计!$B$24:$U$30,MATCH("对"&amp;LEFT($C$5,2)&amp;"输出",标准坦克设计!$B$23:$U$23,0)))*(VLOOKUP($B90,INDIRECT($B$5&amp;"生成成长"),3))*(VLOOKUP($B$5,标准坦克设计!$B$14:$K$20,9)/30))</f>
        <v>8.7778114116210499</v>
      </c>
      <c r="DO90" s="173">
        <f ca="1">(VLOOKUP(DO$72,INDIRECT($C$5&amp;"生成成长"),2))/((VLOOKUP($B90,INDIRECT($B$5&amp;"生成成长"),4))/(VLOOKUP(DO$72,INDIRECT($C$5&amp;"生成成长"),5))*(VLOOKUP($B$5,标准坦克设计!$B$24:$U$30,MATCH("对"&amp;LEFT($C$5,2)&amp;"输出",标准坦克设计!$B$23:$U$23,0)))*(VLOOKUP($B90,INDIRECT($B$5&amp;"生成成长"),3))*(VLOOKUP($B$5,标准坦克设计!$B$14:$K$20,9)/30))</f>
        <v>9.6526431055593829</v>
      </c>
      <c r="DP90" s="173">
        <f ca="1">(VLOOKUP(DP$72,INDIRECT($C$5&amp;"生成成长"),2))/((VLOOKUP($B90,INDIRECT($B$5&amp;"生成成长"),4))/(VLOOKUP(DP$72,INDIRECT($C$5&amp;"生成成长"),5))*(VLOOKUP($B$5,标准坦克设计!$B$24:$U$30,MATCH("对"&amp;LEFT($C$5,2)&amp;"输出",标准坦克设计!$B$23:$U$23,0)))*(VLOOKUP($B90,INDIRECT($B$5&amp;"生成成长"),3))*(VLOOKUP($B$5,标准坦克设计!$B$14:$K$20,9)/30))</f>
        <v>10.569023534302174</v>
      </c>
      <c r="DQ90" s="173">
        <f ca="1">(VLOOKUP(DQ$72,INDIRECT($C$5&amp;"生成成长"),2))/((VLOOKUP($B90,INDIRECT($B$5&amp;"生成成长"),4))/(VLOOKUP(DQ$72,INDIRECT($C$5&amp;"生成成长"),5))*(VLOOKUP($B$5,标准坦克设计!$B$24:$U$30,MATCH("对"&amp;LEFT($C$5,2)&amp;"输出",标准坦克设计!$B$23:$U$23,0)))*(VLOOKUP($B90,INDIRECT($B$5&amp;"生成成长"),3))*(VLOOKUP($B$5,标准坦克设计!$B$14:$K$20,9)/30))</f>
        <v>11.526952697849422</v>
      </c>
      <c r="DR90" s="173">
        <f ca="1">(VLOOKUP(DR$72,INDIRECT($C$5&amp;"生成成长"),2))/((VLOOKUP($B90,INDIRECT($B$5&amp;"生成成长"),4))/(VLOOKUP(DR$72,INDIRECT($C$5&amp;"生成成长"),5))*(VLOOKUP($B$5,标准坦克设计!$B$24:$U$30,MATCH("对"&amp;LEFT($C$5,2)&amp;"输出",标准坦克设计!$B$23:$U$23,0)))*(VLOOKUP($B90,INDIRECT($B$5&amp;"生成成长"),3))*(VLOOKUP($B$5,标准坦克设计!$B$14:$K$20,9)/30))</f>
        <v>12.526430596201131</v>
      </c>
      <c r="DS90" s="173">
        <f ca="1">(VLOOKUP(DS$72,INDIRECT($C$5&amp;"生成成长"),2))/((VLOOKUP($B90,INDIRECT($B$5&amp;"生成成长"),4))/(VLOOKUP(DS$72,INDIRECT($C$5&amp;"生成成长"),5))*(VLOOKUP($B$5,标准坦克设计!$B$24:$U$30,MATCH("对"&amp;LEFT($C$5,2)&amp;"输出",标准坦克设计!$B$23:$U$23,0)))*(VLOOKUP($B90,INDIRECT($B$5&amp;"生成成长"),3))*(VLOOKUP($B$5,标准坦克设计!$B$14:$K$20,9)/30))</f>
        <v>13.567457229357299</v>
      </c>
      <c r="DT90" s="173">
        <f ca="1">(VLOOKUP(DT$72,INDIRECT($C$5&amp;"生成成长"),2))/((VLOOKUP($B90,INDIRECT($B$5&amp;"生成成长"),4))/(VLOOKUP(DT$72,INDIRECT($C$5&amp;"生成成长"),5))*(VLOOKUP($B$5,标准坦克设计!$B$24:$U$30,MATCH("对"&amp;LEFT($C$5,2)&amp;"输出",标准坦克设计!$B$23:$U$23,0)))*(VLOOKUP($B90,INDIRECT($B$5&amp;"生成成长"),3))*(VLOOKUP($B$5,标准坦克设计!$B$14:$K$20,9)/30))</f>
        <v>14.896247322085088</v>
      </c>
      <c r="DU90" s="173">
        <f ca="1">(VLOOKUP(DU$72,INDIRECT($C$5&amp;"生成成长"),2))/((VLOOKUP($B90,INDIRECT($B$5&amp;"生成成长"),4))/(VLOOKUP(DU$72,INDIRECT($C$5&amp;"生成成长"),5))*(VLOOKUP($B$5,标准坦克设计!$B$24:$U$30,MATCH("对"&amp;LEFT($C$5,2)&amp;"输出",标准坦克设计!$B$23:$U$23,0)))*(VLOOKUP($B90,INDIRECT($B$5&amp;"生成成长"),3))*(VLOOKUP($B$5,标准坦克设计!$B$14:$K$20,9)/30))</f>
        <v>16.287104043347938</v>
      </c>
      <c r="DV90" s="173">
        <f ca="1">(VLOOKUP(DV$72,INDIRECT($C$5&amp;"生成成长"),2))/((VLOOKUP($B90,INDIRECT($B$5&amp;"生成成长"),4))/(VLOOKUP(DV$72,INDIRECT($C$5&amp;"生成成长"),5))*(VLOOKUP($B$5,标准坦克设计!$B$24:$U$30,MATCH("对"&amp;LEFT($C$5,2)&amp;"输出",标准坦克设计!$B$23:$U$23,0)))*(VLOOKUP($B90,INDIRECT($B$5&amp;"生成成长"),3))*(VLOOKUP($B$5,标准坦克设计!$B$14:$K$20,9)/30))</f>
        <v>17.740027393145841</v>
      </c>
      <c r="DW90" s="173">
        <f ca="1">(VLOOKUP(DW$72,INDIRECT($C$5&amp;"生成成长"),2))/((VLOOKUP($B90,INDIRECT($B$5&amp;"生成成长"),4))/(VLOOKUP(DW$72,INDIRECT($C$5&amp;"生成成长"),5))*(VLOOKUP($B$5,标准坦克设计!$B$24:$U$30,MATCH("对"&amp;LEFT($C$5,2)&amp;"输出",标准坦克设计!$B$23:$U$23,0)))*(VLOOKUP($B90,INDIRECT($B$5&amp;"生成成长"),3))*(VLOOKUP($B$5,标准坦克设计!$B$14:$K$20,9)/30))</f>
        <v>19.255017371478797</v>
      </c>
      <c r="DX90" s="173">
        <f ca="1">(VLOOKUP(DX$72,INDIRECT($C$5&amp;"生成成长"),2))/((VLOOKUP($B90,INDIRECT($B$5&amp;"生成成长"),4))/(VLOOKUP(DX$72,INDIRECT($C$5&amp;"生成成长"),5))*(VLOOKUP($B$5,标准坦克设计!$B$24:$U$30,MATCH("对"&amp;LEFT($C$5,2)&amp;"输出",标准坦克设计!$B$23:$U$23,0)))*(VLOOKUP($B90,INDIRECT($B$5&amp;"生成成长"),3))*(VLOOKUP($B$5,标准坦克设计!$B$14:$K$20,9)/30))</f>
        <v>20.832073978346816</v>
      </c>
      <c r="DY90" s="173">
        <f ca="1">(VLOOKUP(DY$72,INDIRECT($C$5&amp;"生成成长"),2))/((VLOOKUP($B90,INDIRECT($B$5&amp;"生成成长"),4))/(VLOOKUP(DY$72,INDIRECT($C$5&amp;"生成成长"),5))*(VLOOKUP($B$5,标准坦克设计!$B$24:$U$30,MATCH("对"&amp;LEFT($C$5,2)&amp;"输出",标准坦克设计!$B$23:$U$23,0)))*(VLOOKUP($B90,INDIRECT($B$5&amp;"生成成长"),3))*(VLOOKUP($B$5,标准坦克设计!$B$14:$K$20,9)/30))</f>
        <v>9.3564160148238855</v>
      </c>
      <c r="DZ90" s="173">
        <f ca="1">(VLOOKUP(DZ$72,INDIRECT($C$5&amp;"生成成长"),2))/((VLOOKUP($B90,INDIRECT($B$5&amp;"生成成长"),4))/(VLOOKUP(DZ$72,INDIRECT($C$5&amp;"生成成长"),5))*(VLOOKUP($B$5,标准坦克设计!$B$24:$U$30,MATCH("对"&amp;LEFT($C$5,2)&amp;"输出",标准坦克设计!$B$23:$U$23,0)))*(VLOOKUP($B90,INDIRECT($B$5&amp;"生成成长"),3))*(VLOOKUP($B$5,标准坦克设计!$B$14:$K$20,9)/30))</f>
        <v>10.361792807623143</v>
      </c>
      <c r="EA90" s="173">
        <f ca="1">(VLOOKUP(EA$72,INDIRECT($C$5&amp;"生成成长"),2))/((VLOOKUP($B90,INDIRECT($B$5&amp;"生成成长"),4))/(VLOOKUP(EA$72,INDIRECT($C$5&amp;"生成成长"),5))*(VLOOKUP($B$5,标准坦克设计!$B$24:$U$30,MATCH("对"&amp;LEFT($C$5,2)&amp;"输出",标准坦克设计!$B$23:$U$23,0)))*(VLOOKUP($B90,INDIRECT($B$5&amp;"生成成长"),3))*(VLOOKUP($B$5,标准坦克设计!$B$14:$K$20,9)/30))</f>
        <v>11.41846433474889</v>
      </c>
      <c r="EB90" s="173">
        <f ca="1">(VLOOKUP(EB$72,INDIRECT($C$5&amp;"生成成长"),2))/((VLOOKUP($B90,INDIRECT($B$5&amp;"生成成长"),4))/(VLOOKUP(EB$72,INDIRECT($C$5&amp;"生成成长"),5))*(VLOOKUP($B$5,标准坦克设计!$B$24:$U$30,MATCH("对"&amp;LEFT($C$5,2)&amp;"输出",标准坦克设计!$B$23:$U$23,0)))*(VLOOKUP($B90,INDIRECT($B$5&amp;"生成成长"),3))*(VLOOKUP($B$5,标准坦克设计!$B$14:$K$20,9)/30))</f>
        <v>12.526430596201131</v>
      </c>
      <c r="EC90" s="173">
        <f ca="1">(VLOOKUP(EC$72,INDIRECT($C$5&amp;"生成成长"),2))/((VLOOKUP($B90,INDIRECT($B$5&amp;"生成成长"),4))/(VLOOKUP(EC$72,INDIRECT($C$5&amp;"生成成长"),5))*(VLOOKUP($B$5,标准坦克设计!$B$24:$U$30,MATCH("对"&amp;LEFT($C$5,2)&amp;"输出",标准坦克设计!$B$23:$U$23,0)))*(VLOOKUP($B90,INDIRECT($B$5&amp;"生成成长"),3))*(VLOOKUP($B$5,标准坦克设计!$B$14:$K$20,9)/30))</f>
        <v>13.685691591979866</v>
      </c>
      <c r="ED90" s="173">
        <f ca="1">(VLOOKUP(ED$72,INDIRECT($C$5&amp;"生成成长"),2))/((VLOOKUP($B90,INDIRECT($B$5&amp;"生成成长"),4))/(VLOOKUP(ED$72,INDIRECT($C$5&amp;"生成成长"),5))*(VLOOKUP($B$5,标准坦克设计!$B$24:$U$30,MATCH("对"&amp;LEFT($C$5,2)&amp;"输出",标准坦克设计!$B$23:$U$23,0)))*(VLOOKUP($B90,INDIRECT($B$5&amp;"生成成长"),3))*(VLOOKUP($B$5,标准坦克设计!$B$14:$K$20,9)/30))</f>
        <v>14.896247322085088</v>
      </c>
      <c r="EE90" s="173">
        <f ca="1">(VLOOKUP(EE$72,INDIRECT($C$5&amp;"生成成长"),2))/((VLOOKUP($B90,INDIRECT($B$5&amp;"生成成长"),4))/(VLOOKUP(EE$72,INDIRECT($C$5&amp;"生成成长"),5))*(VLOOKUP($B$5,标准坦克设计!$B$24:$U$30,MATCH("对"&amp;LEFT($C$5,2)&amp;"输出",标准坦克设计!$B$23:$U$23,0)))*(VLOOKUP($B90,INDIRECT($B$5&amp;"生成成长"),3))*(VLOOKUP($B$5,标准坦克设计!$B$14:$K$20,9)/30))</f>
        <v>16.158097786516812</v>
      </c>
      <c r="EF90" s="173">
        <f ca="1">(VLOOKUP(EF$72,INDIRECT($C$5&amp;"生成成长"),2))/((VLOOKUP($B90,INDIRECT($B$5&amp;"生成成长"),4))/(VLOOKUP(EF$72,INDIRECT($C$5&amp;"生成成长"),5))*(VLOOKUP($B$5,标准坦克设计!$B$24:$U$30,MATCH("对"&amp;LEFT($C$5,2)&amp;"输出",标准坦克设计!$B$23:$U$23,0)))*(VLOOKUP($B90,INDIRECT($B$5&amp;"生成成长"),3))*(VLOOKUP($B$5,标准坦克设计!$B$14:$K$20,9)/30))</f>
        <v>17.471242985275019</v>
      </c>
      <c r="EG90" s="173">
        <f ca="1">(VLOOKUP(EG$72,INDIRECT($C$5&amp;"生成成长"),2))/((VLOOKUP($B90,INDIRECT($B$5&amp;"生成成长"),4))/(VLOOKUP(EG$72,INDIRECT($C$5&amp;"生成成长"),5))*(VLOOKUP($B$5,标准坦克设计!$B$24:$U$30,MATCH("对"&amp;LEFT($C$5,2)&amp;"输出",标准坦克设计!$B$23:$U$23,0)))*(VLOOKUP($B90,INDIRECT($B$5&amp;"生成成长"),3))*(VLOOKUP($B$5,标准坦克设计!$B$14:$K$20,9)/30))</f>
        <v>18.835682918359726</v>
      </c>
      <c r="EH90" s="173">
        <f ca="1">(VLOOKUP(EH$72,INDIRECT($C$5&amp;"生成成长"),2))/((VLOOKUP($B90,INDIRECT($B$5&amp;"生成成长"),4))/(VLOOKUP(EH$72,INDIRECT($C$5&amp;"生成成长"),5))*(VLOOKUP($B$5,标准坦克设计!$B$24:$U$30,MATCH("对"&amp;LEFT($C$5,2)&amp;"输出",标准坦克设计!$B$23:$U$23,0)))*(VLOOKUP($B90,INDIRECT($B$5&amp;"生成成长"),3))*(VLOOKUP($B$5,标准坦克设计!$B$14:$K$20,9)/30))</f>
        <v>20.251417585770923</v>
      </c>
      <c r="EI90" s="173">
        <f ca="1">(VLOOKUP(EI$72,INDIRECT($C$5&amp;"生成成长"),2))/((VLOOKUP($B90,INDIRECT($B$5&amp;"生成成长"),4))/(VLOOKUP(EI$72,INDIRECT($C$5&amp;"生成成长"),5))*(VLOOKUP($B$5,标准坦克设计!$B$24:$U$30,MATCH("对"&amp;LEFT($C$5,2)&amp;"输出",标准坦克设计!$B$23:$U$23,0)))*(VLOOKUP($B90,INDIRECT($B$5&amp;"生成成长"),3))*(VLOOKUP($B$5,标准坦克设计!$B$14:$K$20,9)/30))</f>
        <v>21.71844698750861</v>
      </c>
      <c r="EJ90" s="173">
        <f ca="1">(VLOOKUP(EJ$72,INDIRECT($C$5&amp;"生成成长"),2))/((VLOOKUP($B90,INDIRECT($B$5&amp;"生成成长"),4))/(VLOOKUP(EJ$72,INDIRECT($C$5&amp;"生成成长"),5))*(VLOOKUP($B$5,标准坦克设计!$B$24:$U$30,MATCH("对"&amp;LEFT($C$5,2)&amp;"输出",标准坦克设计!$B$23:$U$23,0)))*(VLOOKUP($B90,INDIRECT($B$5&amp;"生成成长"),3))*(VLOOKUP($B$5,标准坦克设计!$B$14:$K$20,9)/30))</f>
        <v>23.236771123572794</v>
      </c>
      <c r="EK90" s="173">
        <f ca="1">(VLOOKUP(EK$72,INDIRECT($C$5&amp;"生成成长"),2))/((VLOOKUP($B90,INDIRECT($B$5&amp;"生成成长"),4))/(VLOOKUP(EK$72,INDIRECT($C$5&amp;"生成成长"),5))*(VLOOKUP($B$5,标准坦克设计!$B$24:$U$30,MATCH("对"&amp;LEFT($C$5,2)&amp;"输出",标准坦克设计!$B$23:$U$23,0)))*(VLOOKUP($B90,INDIRECT($B$5&amp;"生成成长"),3))*(VLOOKUP($B$5,标准坦克设计!$B$14:$K$20,9)/30))</f>
        <v>25.126469136160775</v>
      </c>
      <c r="EL90" s="173">
        <f ca="1">(VLOOKUP(EL$72,INDIRECT($C$5&amp;"生成成长"),2))/((VLOOKUP($B90,INDIRECT($B$5&amp;"生成成长"),4))/(VLOOKUP(EL$72,INDIRECT($C$5&amp;"生成成长"),5))*(VLOOKUP($B$5,标准坦克设计!$B$24:$U$30,MATCH("对"&amp;LEFT($C$5,2)&amp;"输出",标准坦克设计!$B$23:$U$23,0)))*(VLOOKUP($B90,INDIRECT($B$5&amp;"生成成长"),3))*(VLOOKUP($B$5,标准坦克设计!$B$14:$K$20,9)/30))</f>
        <v>27.090031566178919</v>
      </c>
      <c r="EM90" s="173">
        <f ca="1">(VLOOKUP(EM$72,INDIRECT($C$5&amp;"生成成长"),2))/((VLOOKUP($B90,INDIRECT($B$5&amp;"生成成长"),4))/(VLOOKUP(EM$72,INDIRECT($C$5&amp;"生成成长"),5))*(VLOOKUP($B$5,标准坦克设计!$B$24:$U$30,MATCH("对"&amp;LEFT($C$5,2)&amp;"输出",标准坦克设计!$B$23:$U$23,0)))*(VLOOKUP($B90,INDIRECT($B$5&amp;"生成成长"),3))*(VLOOKUP($B$5,标准坦克设计!$B$14:$K$20,9)/30))</f>
        <v>29.127458413627203</v>
      </c>
      <c r="EN90" s="173">
        <f ca="1">(VLOOKUP(EN$72,INDIRECT($C$5&amp;"生成成长"),2))/((VLOOKUP($B90,INDIRECT($B$5&amp;"生成成长"),4))/(VLOOKUP(EN$72,INDIRECT($C$5&amp;"生成成长"),5))*(VLOOKUP($B$5,标准坦克设计!$B$24:$U$30,MATCH("对"&amp;LEFT($C$5,2)&amp;"输出",标准坦克设计!$B$23:$U$23,0)))*(VLOOKUP($B90,INDIRECT($B$5&amp;"生成成长"),3))*(VLOOKUP($B$5,标准坦克设计!$B$14:$K$20,9)/30))</f>
        <v>31.238749678505638</v>
      </c>
      <c r="EO90" s="173">
        <f ca="1">(VLOOKUP(EO$72,INDIRECT($C$5&amp;"生成成长"),2))/((VLOOKUP($B90,INDIRECT($B$5&amp;"生成成长"),4))/(VLOOKUP(EO$72,INDIRECT($C$5&amp;"生成成长"),5))*(VLOOKUP($B$5,标准坦克设计!$B$24:$U$30,MATCH("对"&amp;LEFT($C$5,2)&amp;"输出",标准坦克设计!$B$23:$U$23,0)))*(VLOOKUP($B90,INDIRECT($B$5&amp;"生成成长"),3))*(VLOOKUP($B$5,标准坦克设计!$B$14:$K$20,9)/30))</f>
        <v>33.423905360814224</v>
      </c>
      <c r="EP90" s="173">
        <f ca="1">(VLOOKUP(EP$72,INDIRECT($C$5&amp;"生成成长"),2))/((VLOOKUP($B90,INDIRECT($B$5&amp;"生成成长"),4))/(VLOOKUP(EP$72,INDIRECT($C$5&amp;"生成成长"),5))*(VLOOKUP($B$5,标准坦克设计!$B$24:$U$30,MATCH("对"&amp;LEFT($C$5,2)&amp;"输出",标准坦克设计!$B$23:$U$23,0)))*(VLOOKUP($B90,INDIRECT($B$5&amp;"生成成长"),3))*(VLOOKUP($B$5,标准坦克设计!$B$14:$K$20,9)/30))</f>
        <v>35.682925460552966</v>
      </c>
      <c r="EQ90" s="173">
        <f ca="1">(VLOOKUP(EQ$72,INDIRECT($C$5&amp;"生成成长"),2))/((VLOOKUP($B90,INDIRECT($B$5&amp;"生成成长"),4))/(VLOOKUP(EQ$72,INDIRECT($C$5&amp;"生成成长"),5))*(VLOOKUP($B$5,标准坦克设计!$B$24:$U$30,MATCH("对"&amp;LEFT($C$5,2)&amp;"输出",标准坦克设计!$B$23:$U$23,0)))*(VLOOKUP($B90,INDIRECT($B$5&amp;"生成成长"),3))*(VLOOKUP($B$5,标准坦克设计!$B$14:$K$20,9)/30))</f>
        <v>15.774156700083013</v>
      </c>
      <c r="ER90" s="173">
        <f ca="1">(VLOOKUP(ER$72,INDIRECT($C$5&amp;"生成成长"),2))/((VLOOKUP($B90,INDIRECT($B$5&amp;"生成成长"),4))/(VLOOKUP(ER$72,INDIRECT($C$5&amp;"生成成长"),5))*(VLOOKUP($B$5,标准坦克设计!$B$24:$U$30,MATCH("对"&amp;LEFT($C$5,2)&amp;"输出",标准坦克设计!$B$23:$U$23,0)))*(VLOOKUP($B90,INDIRECT($B$5&amp;"生成成长"),3))*(VLOOKUP($B$5,标准坦克设计!$B$14:$K$20,9)/30))</f>
        <v>17.20451036677726</v>
      </c>
      <c r="ES90" s="173">
        <f ca="1">(VLOOKUP(ES$72,INDIRECT($C$5&amp;"生成成长"),2))/((VLOOKUP($B90,INDIRECT($B$5&amp;"生成成长"),4))/(VLOOKUP(ES$72,INDIRECT($C$5&amp;"生成成长"),5))*(VLOOKUP($B$5,标准坦克设计!$B$24:$U$30,MATCH("对"&amp;LEFT($C$5,2)&amp;"输出",标准坦克设计!$B$23:$U$23,0)))*(VLOOKUP($B90,INDIRECT($B$5&amp;"生成成长"),3))*(VLOOKUP($B$5,标准坦克设计!$B$14:$K$20,9)/30))</f>
        <v>18.696930662006562</v>
      </c>
      <c r="ET90" s="173">
        <f ca="1">(VLOOKUP(ET$72,INDIRECT($C$5&amp;"生成成长"),2))/((VLOOKUP($B90,INDIRECT($B$5&amp;"生成成长"),4))/(VLOOKUP(ET$72,INDIRECT($C$5&amp;"生成成长"),5))*(VLOOKUP($B$5,标准坦克设计!$B$24:$U$30,MATCH("对"&amp;LEFT($C$5,2)&amp;"输出",标准坦克设计!$B$23:$U$23,0)))*(VLOOKUP($B90,INDIRECT($B$5&amp;"生成成长"),3))*(VLOOKUP($B$5,标准坦克设计!$B$14:$K$20,9)/30))</f>
        <v>20.251417585770923</v>
      </c>
      <c r="EU90" s="173">
        <f ca="1">(VLOOKUP(EU$72,INDIRECT($C$5&amp;"生成成长"),2))/((VLOOKUP($B90,INDIRECT($B$5&amp;"生成成长"),4))/(VLOOKUP(EU$72,INDIRECT($C$5&amp;"生成成长"),5))*(VLOOKUP($B$5,标准坦克设计!$B$24:$U$30,MATCH("对"&amp;LEFT($C$5,2)&amp;"输出",标准坦克设计!$B$23:$U$23,0)))*(VLOOKUP($B90,INDIRECT($B$5&amp;"生成成长"),3))*(VLOOKUP($B$5,标准坦克设计!$B$14:$K$20,9)/30))</f>
        <v>21.867971138070335</v>
      </c>
      <c r="EV90" s="173">
        <f ca="1">(VLOOKUP(EV$72,INDIRECT($C$5&amp;"生成成长"),2))/((VLOOKUP($B90,INDIRECT($B$5&amp;"生成成长"),4))/(VLOOKUP(EV$72,INDIRECT($C$5&amp;"生成成长"),5))*(VLOOKUP($B$5,标准坦克设计!$B$24:$U$30,MATCH("对"&amp;LEFT($C$5,2)&amp;"输出",标准坦克设计!$B$23:$U$23,0)))*(VLOOKUP($B90,INDIRECT($B$5&amp;"生成成长"),3))*(VLOOKUP($B$5,标准坦克设计!$B$14:$K$20,9)/30))</f>
        <v>23.546591318904809</v>
      </c>
      <c r="EW90" s="173">
        <f ca="1">(VLOOKUP(EW$72,INDIRECT($C$5&amp;"生成成长"),2))/((VLOOKUP($B90,INDIRECT($B$5&amp;"生成成长"),4))/(VLOOKUP(EW$72,INDIRECT($C$5&amp;"生成成长"),5))*(VLOOKUP($B$5,标准坦克设计!$B$24:$U$30,MATCH("对"&amp;LEFT($C$5,2)&amp;"输出",标准坦克设计!$B$23:$U$23,0)))*(VLOOKUP($B90,INDIRECT($B$5&amp;"生成成长"),3))*(VLOOKUP($B$5,标准坦克设计!$B$14:$K$20,9)/30))</f>
        <v>25.287278128274334</v>
      </c>
      <c r="EX90" s="173">
        <f ca="1">(VLOOKUP(EX$72,INDIRECT($C$5&amp;"生成成长"),2))/((VLOOKUP($B90,INDIRECT($B$5&amp;"生成成长"),4))/(VLOOKUP(EX$72,INDIRECT($C$5&amp;"生成成长"),5))*(VLOOKUP($B$5,标准坦克设计!$B$24:$U$30,MATCH("对"&amp;LEFT($C$5,2)&amp;"输出",标准坦克设计!$B$23:$U$23,0)))*(VLOOKUP($B90,INDIRECT($B$5&amp;"生成成长"),3))*(VLOOKUP($B$5,标准坦克设计!$B$14:$K$20,9)/30))</f>
        <v>27.090031566178919</v>
      </c>
      <c r="EY90" s="173">
        <f ca="1">(VLOOKUP(EY$72,INDIRECT($C$5&amp;"生成成长"),2))/((VLOOKUP($B90,INDIRECT($B$5&amp;"生成成长"),4))/(VLOOKUP(EY$72,INDIRECT($C$5&amp;"生成成长"),5))*(VLOOKUP($B$5,标准坦克设计!$B$24:$U$30,MATCH("对"&amp;LEFT($C$5,2)&amp;"输出",标准坦克设计!$B$23:$U$23,0)))*(VLOOKUP($B90,INDIRECT($B$5&amp;"生成成长"),3))*(VLOOKUP($B$5,标准坦克设计!$B$14:$K$20,9)/30))</f>
        <v>28.954851632618556</v>
      </c>
      <c r="EZ90" s="173">
        <f ca="1">(VLOOKUP(EZ$72,INDIRECT($C$5&amp;"生成成长"),2))/((VLOOKUP($B90,INDIRECT($B$5&amp;"生成成长"),4))/(VLOOKUP(EZ$72,INDIRECT($C$5&amp;"生成成长"),5))*(VLOOKUP($B$5,标准坦克设计!$B$24:$U$30,MATCH("对"&amp;LEFT($C$5,2)&amp;"输出",标准坦克设计!$B$23:$U$23,0)))*(VLOOKUP($B90,INDIRECT($B$5&amp;"生成成长"),3))*(VLOOKUP($B$5,标准坦克设计!$B$14:$K$20,9)/30))</f>
        <v>30.881738327593261</v>
      </c>
      <c r="FA90" s="173">
        <f ca="1">(VLOOKUP(FA$72,INDIRECT($C$5&amp;"生成成长"),2))/((VLOOKUP($B90,INDIRECT($B$5&amp;"生成成长"),4))/(VLOOKUP(FA$72,INDIRECT($C$5&amp;"生成成长"),5))*(VLOOKUP($B$5,标准坦克设计!$B$24:$U$30,MATCH("对"&amp;LEFT($C$5,2)&amp;"输出",标准坦克设计!$B$23:$U$23,0)))*(VLOOKUP($B90,INDIRECT($B$5&amp;"生成成长"),3))*(VLOOKUP($B$5,标准坦克设计!$B$14:$K$20,9)/30))</f>
        <v>32.870691651103002</v>
      </c>
      <c r="FB90" s="173">
        <f ca="1">(VLOOKUP(FB$72,INDIRECT($C$5&amp;"生成成长"),2))/((VLOOKUP($B90,INDIRECT($B$5&amp;"生成成长"),4))/(VLOOKUP(FB$72,INDIRECT($C$5&amp;"生成成长"),5))*(VLOOKUP($B$5,标准坦克设计!$B$24:$U$30,MATCH("对"&amp;LEFT($C$5,2)&amp;"输出",标准坦克设计!$B$23:$U$23,0)))*(VLOOKUP($B90,INDIRECT($B$5&amp;"生成成长"),3))*(VLOOKUP($B$5,标准坦克设计!$B$14:$K$20,9)/30))</f>
        <v>34.921711603147813</v>
      </c>
      <c r="FC90" s="173">
        <f ca="1">(VLOOKUP(FC$72,INDIRECT($C$5&amp;"生成成长"),2))/((VLOOKUP($B90,INDIRECT($B$5&amp;"生成成长"),4))/(VLOOKUP(FC$72,INDIRECT($C$5&amp;"生成成长"),5))*(VLOOKUP($B$5,标准坦克设计!$B$24:$U$30,MATCH("对"&amp;LEFT($C$5,2)&amp;"输出",标准坦克设计!$B$23:$U$23,0)))*(VLOOKUP($B90,INDIRECT($B$5&amp;"生成成长"),3))*(VLOOKUP($B$5,标准坦克设计!$B$14:$K$20,9)/30))</f>
        <v>37.034798183727673</v>
      </c>
      <c r="FD90" s="173">
        <f ca="1">(VLOOKUP(FD$72,INDIRECT($C$5&amp;"生成成长"),2))/((VLOOKUP($B90,INDIRECT($B$5&amp;"生成成长"),4))/(VLOOKUP(FD$72,INDIRECT($C$5&amp;"生成成长"),5))*(VLOOKUP($B$5,标准坦克设计!$B$24:$U$30,MATCH("对"&amp;LEFT($C$5,2)&amp;"输出",标准坦克设计!$B$23:$U$23,0)))*(VLOOKUP($B90,INDIRECT($B$5&amp;"生成成长"),3))*(VLOOKUP($B$5,标准坦克设计!$B$14:$K$20,9)/30))</f>
        <v>39.209951392842598</v>
      </c>
      <c r="FE90" s="173">
        <f ca="1">(VLOOKUP(FE$72,INDIRECT($C$5&amp;"生成成长"),2))/((VLOOKUP($B90,INDIRECT($B$5&amp;"生成成长"),4))/(VLOOKUP(FE$72,INDIRECT($C$5&amp;"生成成长"),5))*(VLOOKUP($B$5,标准坦克设计!$B$24:$U$30,MATCH("对"&amp;LEFT($C$5,2)&amp;"输出",标准坦克设计!$B$23:$U$23,0)))*(VLOOKUP($B90,INDIRECT($B$5&amp;"生成成长"),3))*(VLOOKUP($B$5,标准坦克设计!$B$14:$K$20,9)/30))</f>
        <v>41.860606789164102</v>
      </c>
      <c r="FF90" s="173">
        <f ca="1">(VLOOKUP(FF$72,INDIRECT($C$5&amp;"生成成长"),2))/((VLOOKUP($B90,INDIRECT($B$5&amp;"生成成长"),4))/(VLOOKUP(FF$72,INDIRECT($C$5&amp;"生成成长"),5))*(VLOOKUP($B$5,标准坦克设计!$B$24:$U$30,MATCH("对"&amp;LEFT($C$5,2)&amp;"输出",标准坦克设计!$B$23:$U$23,0)))*(VLOOKUP($B90,INDIRECT($B$5&amp;"生成成长"),3))*(VLOOKUP($B$5,标准坦克设计!$B$14:$K$20,9)/30))</f>
        <v>44.597950286497387</v>
      </c>
      <c r="FG90" s="173">
        <f ca="1">(VLOOKUP(FG$72,INDIRECT($C$5&amp;"生成成长"),2))/((VLOOKUP($B90,INDIRECT($B$5&amp;"生成成长"),4))/(VLOOKUP(FG$72,INDIRECT($C$5&amp;"生成成长"),5))*(VLOOKUP($B$5,标准坦克设计!$B$24:$U$30,MATCH("对"&amp;LEFT($C$5,2)&amp;"输出",标准坦克设计!$B$23:$U$23,0)))*(VLOOKUP($B90,INDIRECT($B$5&amp;"生成成长"),3))*(VLOOKUP($B$5,标准坦克设计!$B$14:$K$20,9)/30))</f>
        <v>47.421981884842431</v>
      </c>
      <c r="FH90" s="173">
        <f ca="1">(VLOOKUP(FH$72,INDIRECT($C$5&amp;"生成成长"),2))/((VLOOKUP($B90,INDIRECT($B$5&amp;"生成成长"),4))/(VLOOKUP(FH$72,INDIRECT($C$5&amp;"生成成长"),5))*(VLOOKUP($B$5,标准坦克设计!$B$24:$U$30,MATCH("对"&amp;LEFT($C$5,2)&amp;"输出",标准坦克设计!$B$23:$U$23,0)))*(VLOOKUP($B90,INDIRECT($B$5&amp;"生成成长"),3))*(VLOOKUP($B$5,标准坦克设计!$B$14:$K$20,9)/30))</f>
        <v>50.332701584199256</v>
      </c>
      <c r="FI90" s="173">
        <f ca="1">(VLOOKUP(FI$72,INDIRECT($C$5&amp;"生成成长"),2))/((VLOOKUP($B90,INDIRECT($B$5&amp;"生成成长"),4))/(VLOOKUP(FI$72,INDIRECT($C$5&amp;"生成成长"),5))*(VLOOKUP($B$5,标准坦克设计!$B$24:$U$30,MATCH("对"&amp;LEFT($C$5,2)&amp;"输出",标准坦克设计!$B$23:$U$23,0)))*(VLOOKUP($B90,INDIRECT($B$5&amp;"生成成长"),3))*(VLOOKUP($B$5,标准坦克设计!$B$14:$K$20,9)/30))</f>
        <v>53.330109384567855</v>
      </c>
      <c r="FJ90" s="173">
        <f ca="1">(VLOOKUP(FJ$72,INDIRECT($C$5&amp;"生成成长"),2))/((VLOOKUP($B90,INDIRECT($B$5&amp;"生成成长"),4))/(VLOOKUP(FJ$72,INDIRECT($C$5&amp;"生成成长"),5))*(VLOOKUP($B$5,标准坦克设计!$B$24:$U$30,MATCH("对"&amp;LEFT($C$5,2)&amp;"输出",标准坦克设计!$B$23:$U$23,0)))*(VLOOKUP($B90,INDIRECT($B$5&amp;"生成成长"),3))*(VLOOKUP($B$5,标准坦克设计!$B$14:$K$20,9)/30))</f>
        <v>56.414205285948228</v>
      </c>
      <c r="FK90" s="173">
        <f ca="1">(VLOOKUP(FK$72,INDIRECT($C$5&amp;"生成成长"),2))/((VLOOKUP($B90,INDIRECT($B$5&amp;"生成成长"),4))/(VLOOKUP(FK$72,INDIRECT($C$5&amp;"生成成长"),5))*(VLOOKUP($B$5,标准坦克设计!$B$24:$U$30,MATCH("对"&amp;LEFT($C$5,2)&amp;"输出",标准坦克设计!$B$23:$U$23,0)))*(VLOOKUP($B90,INDIRECT($B$5&amp;"生成成长"),3))*(VLOOKUP($B$5,标准坦克设计!$B$14:$K$20,9)/30))</f>
        <v>59.584989288340353</v>
      </c>
    </row>
    <row r="91" spans="1:167" x14ac:dyDescent="0.15">
      <c r="A91" s="171" t="str">
        <f t="shared" si="11"/>
        <v>T3低品质7级</v>
      </c>
      <c r="B91" s="172">
        <v>10307</v>
      </c>
      <c r="C91" s="173">
        <f ca="1">(VLOOKUP(C$72,INDIRECT($C$5&amp;"生成成长"),2))/((VLOOKUP($B91,INDIRECT($B$5&amp;"生成成长"),4))/(VLOOKUP(C$72,INDIRECT($C$5&amp;"生成成长"),5))*(VLOOKUP($B$5,标准坦克设计!$B$24:$U$30,MATCH("对"&amp;LEFT($C$5,2)&amp;"输出",标准坦克设计!$B$23:$U$23,0)))*(VLOOKUP($B91,INDIRECT($B$5&amp;"生成成长"),3))*(VLOOKUP($B$5,标准坦克设计!$B$14:$K$20,9)/30))</f>
        <v>2.3384388567478611</v>
      </c>
      <c r="D91" s="173">
        <f ca="1">(VLOOKUP(D$72,INDIRECT($C$5&amp;"生成成长"),2))/((VLOOKUP($B91,INDIRECT($B$5&amp;"生成成长"),4))/(VLOOKUP(D$72,INDIRECT($C$5&amp;"生成成长"),5))*(VLOOKUP($B$5,标准坦克设计!$B$24:$U$30,MATCH("对"&amp;LEFT($C$5,2)&amp;"输出",标准坦克设计!$B$23:$U$23,0)))*(VLOOKUP($B91,INDIRECT($B$5&amp;"生成成长"),3))*(VLOOKUP($B$5,标准坦克设计!$B$14:$K$20,9)/30))</f>
        <v>2.6274698994418975</v>
      </c>
      <c r="E91" s="173">
        <f ca="1">(VLOOKUP(E$72,INDIRECT($C$5&amp;"生成成长"),2))/((VLOOKUP($B91,INDIRECT($B$5&amp;"生成成长"),4))/(VLOOKUP(E$72,INDIRECT($C$5&amp;"生成成长"),5))*(VLOOKUP($B$5,标准坦克设计!$B$24:$U$30,MATCH("对"&amp;LEFT($C$5,2)&amp;"输出",标准坦克设计!$B$23:$U$23,0)))*(VLOOKUP($B91,INDIRECT($B$5&amp;"生成成长"),3))*(VLOOKUP($B$5,标准坦克设计!$B$14:$K$20,9)/30))</f>
        <v>2.9333377019045175</v>
      </c>
      <c r="F91" s="173">
        <f ca="1">(VLOOKUP(F$72,INDIRECT($C$5&amp;"生成成长"),2))/((VLOOKUP($B91,INDIRECT($B$5&amp;"生成成长"),4))/(VLOOKUP(F$72,INDIRECT($C$5&amp;"生成成长"),5))*(VLOOKUP($B$5,标准坦克设计!$B$24:$U$30,MATCH("对"&amp;LEFT($C$5,2)&amp;"输出",标准坦克设计!$B$23:$U$23,0)))*(VLOOKUP($B91,INDIRECT($B$5&amp;"生成成长"),3))*(VLOOKUP($B$5,标准坦克设计!$B$14:$K$20,9)/30))</f>
        <v>3.2560422641357225</v>
      </c>
      <c r="G91" s="173">
        <f ca="1">(VLOOKUP(G$72,INDIRECT($C$5&amp;"生成成长"),2))/((VLOOKUP($B91,INDIRECT($B$5&amp;"生成成长"),4))/(VLOOKUP(G$72,INDIRECT($C$5&amp;"生成成长"),5))*(VLOOKUP($B$5,标准坦克设计!$B$24:$U$30,MATCH("对"&amp;LEFT($C$5,2)&amp;"输出",标准坦克设计!$B$23:$U$23,0)))*(VLOOKUP($B91,INDIRECT($B$5&amp;"生成成长"),3))*(VLOOKUP($B$5,标准坦克设计!$B$14:$K$20,9)/30))</f>
        <v>3.5955835861355121</v>
      </c>
      <c r="H91" s="173">
        <f ca="1">(VLOOKUP(H$72,INDIRECT($C$5&amp;"生成成长"),2))/((VLOOKUP($B91,INDIRECT($B$5&amp;"生成成长"),4))/(VLOOKUP(H$72,INDIRECT($C$5&amp;"生成成长"),5))*(VLOOKUP($B$5,标准坦克设计!$B$24:$U$30,MATCH("对"&amp;LEFT($C$5,2)&amp;"输出",标准坦克设计!$B$23:$U$23,0)))*(VLOOKUP($B91,INDIRECT($B$5&amp;"生成成长"),3))*(VLOOKUP($B$5,标准坦克设计!$B$14:$K$20,9)/30))</f>
        <v>3.1466033256399224</v>
      </c>
      <c r="I91" s="173">
        <f ca="1">(VLOOKUP(I$72,INDIRECT($C$5&amp;"生成成长"),2))/((VLOOKUP($B91,INDIRECT($B$5&amp;"生成成长"),4))/(VLOOKUP(I$72,INDIRECT($C$5&amp;"生成成长"),5))*(VLOOKUP($B$5,标准坦克设计!$B$24:$U$30,MATCH("对"&amp;LEFT($C$5,2)&amp;"输出",标准坦克设计!$B$23:$U$23,0)))*(VLOOKUP($B91,INDIRECT($B$5&amp;"生成成长"),3))*(VLOOKUP($B$5,标准坦克设计!$B$14:$K$20,9)/30))</f>
        <v>3.5955835861355121</v>
      </c>
      <c r="J91" s="173">
        <f ca="1">(VLOOKUP(J$72,INDIRECT($C$5&amp;"生成成长"),2))/((VLOOKUP($B91,INDIRECT($B$5&amp;"生成成长"),4))/(VLOOKUP(J$72,INDIRECT($C$5&amp;"生成成长"),5))*(VLOOKUP($B$5,标准坦克设计!$B$24:$U$30,MATCH("对"&amp;LEFT($C$5,2)&amp;"输出",标准坦克设计!$B$23:$U$23,0)))*(VLOOKUP($B91,INDIRECT($B$5&amp;"生成成长"),3))*(VLOOKUP($B$5,标准坦克设计!$B$14:$K$20,9)/30))</f>
        <v>4.0744958639974733</v>
      </c>
      <c r="K91" s="173">
        <f ca="1">(VLOOKUP(K$72,INDIRECT($C$5&amp;"生成成长"),2))/((VLOOKUP($B91,INDIRECT($B$5&amp;"生成成长"),4))/(VLOOKUP(K$72,INDIRECT($C$5&amp;"生成成长"),5))*(VLOOKUP($B$5,标准坦克设计!$B$24:$U$30,MATCH("对"&amp;LEFT($C$5,2)&amp;"输出",标准坦克设计!$B$23:$U$23,0)))*(VLOOKUP($B91,INDIRECT($B$5&amp;"生成成长"),3))*(VLOOKUP($B$5,标准坦克设计!$B$14:$K$20,9)/30))</f>
        <v>4.5833401592258083</v>
      </c>
      <c r="L91" s="173">
        <f ca="1">(VLOOKUP(L$72,INDIRECT($C$5&amp;"生成成长"),2))/((VLOOKUP($B91,INDIRECT($B$5&amp;"生成成长"),4))/(VLOOKUP(L$72,INDIRECT($C$5&amp;"生成成长"),5))*(VLOOKUP($B$5,标准坦克设计!$B$24:$U$30,MATCH("对"&amp;LEFT($C$5,2)&amp;"输出",标准坦克设计!$B$23:$U$23,0)))*(VLOOKUP($B91,INDIRECT($B$5&amp;"生成成长"),3))*(VLOOKUP($B$5,标准坦克设计!$B$14:$K$20,9)/30))</f>
        <v>5.1221164718205152</v>
      </c>
      <c r="M91" s="173">
        <f ca="1">(VLOOKUP(M$72,INDIRECT($C$5&amp;"生成成长"),2))/((VLOOKUP($B91,INDIRECT($B$5&amp;"生成成长"),4))/(VLOOKUP(M$72,INDIRECT($C$5&amp;"生成成长"),5))*(VLOOKUP($B$5,标准坦克设计!$B$24:$U$30,MATCH("对"&amp;LEFT($C$5,2)&amp;"输出",标准坦克设计!$B$23:$U$23,0)))*(VLOOKUP($B91,INDIRECT($B$5&amp;"生成成长"),3))*(VLOOKUP($B$5,标准坦克设计!$B$14:$K$20,9)/30))</f>
        <v>5.690824801781595</v>
      </c>
      <c r="N91" s="173">
        <f ca="1">(VLOOKUP(N$72,INDIRECT($C$5&amp;"生成成长"),2))/((VLOOKUP($B91,INDIRECT($B$5&amp;"生成成长"),4))/(VLOOKUP(N$72,INDIRECT($C$5&amp;"生成成长"),5))*(VLOOKUP($B$5,标准坦克设计!$B$24:$U$30,MATCH("对"&amp;LEFT($C$5,2)&amp;"输出",标准坦克设计!$B$23:$U$23,0)))*(VLOOKUP($B91,INDIRECT($B$5&amp;"生成成长"),3))*(VLOOKUP($B$5,标准坦克设计!$B$14:$K$20,9)/30))</f>
        <v>6.2894651491090476</v>
      </c>
      <c r="O91" s="173">
        <f ca="1">(VLOOKUP(O$72,INDIRECT($C$5&amp;"生成成长"),2))/((VLOOKUP($B91,INDIRECT($B$5&amp;"生成成长"),4))/(VLOOKUP(O$72,INDIRECT($C$5&amp;"生成成长"),5))*(VLOOKUP($B$5,标准坦克设计!$B$24:$U$30,MATCH("对"&amp;LEFT($C$5,2)&amp;"输出",标准坦克设计!$B$23:$U$23,0)))*(VLOOKUP($B91,INDIRECT($B$5&amp;"生成成长"),3))*(VLOOKUP($B$5,标准坦克设计!$B$14:$K$20,9)/30))</f>
        <v>4.7818736181637016</v>
      </c>
      <c r="P91" s="173">
        <f ca="1">(VLOOKUP(P$72,INDIRECT($C$5&amp;"生成成长"),2))/((VLOOKUP($B91,INDIRECT($B$5&amp;"生成成长"),4))/(VLOOKUP(P$72,INDIRECT($C$5&amp;"生成成长"),5))*(VLOOKUP($B$5,标准坦克设计!$B$24:$U$30,MATCH("对"&amp;LEFT($C$5,2)&amp;"输出",标准坦克设计!$B$23:$U$23,0)))*(VLOOKUP($B91,INDIRECT($B$5&amp;"生成成长"),3))*(VLOOKUP($B$5,标准坦克设计!$B$14:$K$20,9)/30))</f>
        <v>5.4027291346302588</v>
      </c>
      <c r="Q91" s="173">
        <f ca="1">(VLOOKUP(Q$72,INDIRECT($C$5&amp;"生成成长"),2))/((VLOOKUP($B91,INDIRECT($B$5&amp;"生成成长"),4))/(VLOOKUP(Q$72,INDIRECT($C$5&amp;"生成成长"),5))*(VLOOKUP($B$5,标准坦克设计!$B$24:$U$30,MATCH("对"&amp;LEFT($C$5,2)&amp;"输出",标准坦克设计!$B$23:$U$23,0)))*(VLOOKUP($B91,INDIRECT($B$5&amp;"生成成长"),3))*(VLOOKUP($B$5,标准坦克设计!$B$14:$K$20,9)/30))</f>
        <v>6.0614673605761302</v>
      </c>
      <c r="R91" s="173">
        <f ca="1">(VLOOKUP(R$72,INDIRECT($C$5&amp;"生成成长"),2))/((VLOOKUP($B91,INDIRECT($B$5&amp;"生成成长"),4))/(VLOOKUP(R$72,INDIRECT($C$5&amp;"生成成长"),5))*(VLOOKUP($B$5,标准坦克设计!$B$24:$U$30,MATCH("对"&amp;LEFT($C$5,2)&amp;"输出",标准坦克设计!$B$23:$U$23,0)))*(VLOOKUP($B91,INDIRECT($B$5&amp;"生成成长"),3))*(VLOOKUP($B$5,标准坦克设计!$B$14:$K$20,9)/30))</f>
        <v>6.7580882960013184</v>
      </c>
      <c r="S91" s="173">
        <f ca="1">(VLOOKUP(S$72,INDIRECT($C$5&amp;"生成成长"),2))/((VLOOKUP($B91,INDIRECT($B$5&amp;"生成成长"),4))/(VLOOKUP(S$72,INDIRECT($C$5&amp;"生成成长"),5))*(VLOOKUP($B$5,标准坦克设计!$B$24:$U$30,MATCH("对"&amp;LEFT($C$5,2)&amp;"输出",标准坦克设计!$B$23:$U$23,0)))*(VLOOKUP($B91,INDIRECT($B$5&amp;"生成成长"),3))*(VLOOKUP($B$5,标准坦克设计!$B$14:$K$20,9)/30))</f>
        <v>7.4925919409058226</v>
      </c>
      <c r="T91" s="173">
        <f ca="1">(VLOOKUP(T$72,INDIRECT($C$5&amp;"生成成长"),2))/((VLOOKUP($B91,INDIRECT($B$5&amp;"生成成长"),4))/(VLOOKUP(T$72,INDIRECT($C$5&amp;"生成成长"),5))*(VLOOKUP($B$5,标准坦克设计!$B$24:$U$30,MATCH("对"&amp;LEFT($C$5,2)&amp;"输出",标准坦克设计!$B$23:$U$23,0)))*(VLOOKUP($B91,INDIRECT($B$5&amp;"生成成长"),3))*(VLOOKUP($B$5,标准坦克设计!$B$14:$K$20,9)/30))</f>
        <v>8.2649782952896409</v>
      </c>
      <c r="U91" s="173">
        <f ca="1">(VLOOKUP(U$72,INDIRECT($C$5&amp;"生成成长"),2))/((VLOOKUP($B91,INDIRECT($B$5&amp;"生成成长"),4))/(VLOOKUP(U$72,INDIRECT($C$5&amp;"生成成长"),5))*(VLOOKUP($B$5,标准坦克设计!$B$24:$U$30,MATCH("对"&amp;LEFT($C$5,2)&amp;"输出",标准坦克设计!$B$23:$U$23,0)))*(VLOOKUP($B91,INDIRECT($B$5&amp;"生成成长"),3))*(VLOOKUP($B$5,标准坦克设计!$B$14:$K$20,9)/30))</f>
        <v>9.0752473591527743</v>
      </c>
      <c r="V91" s="173">
        <f ca="1">(VLOOKUP(V$72,INDIRECT($C$5&amp;"生成成长"),2))/((VLOOKUP($B91,INDIRECT($B$5&amp;"生成成长"),4))/(VLOOKUP(V$72,INDIRECT($C$5&amp;"生成成长"),5))*(VLOOKUP($B$5,标准坦克设计!$B$24:$U$30,MATCH("对"&amp;LEFT($C$5,2)&amp;"输出",标准坦克设计!$B$23:$U$23,0)))*(VLOOKUP($B91,INDIRECT($B$5&amp;"生成成长"),3))*(VLOOKUP($B$5,标准坦克设计!$B$14:$K$20,9)/30))</f>
        <v>9.9233991324952253</v>
      </c>
      <c r="W91" s="173">
        <f ca="1">(VLOOKUP(W$72,INDIRECT($C$5&amp;"生成成长"),2))/((VLOOKUP($B91,INDIRECT($B$5&amp;"生成成长"),4))/(VLOOKUP(W$72,INDIRECT($C$5&amp;"生成成长"),5))*(VLOOKUP($B$5,标准坦克设计!$B$24:$U$30,MATCH("对"&amp;LEFT($C$5,2)&amp;"输出",标准坦克设计!$B$23:$U$23,0)))*(VLOOKUP($B91,INDIRECT($B$5&amp;"生成成长"),3))*(VLOOKUP($B$5,标准坦克设计!$B$14:$K$20,9)/30))</f>
        <v>10.809433615316987</v>
      </c>
      <c r="X91" s="173">
        <f ca="1">(VLOOKUP(X$72,INDIRECT($C$5&amp;"生成成长"),2))/((VLOOKUP($B91,INDIRECT($B$5&amp;"生成成长"),4))/(VLOOKUP(X$72,INDIRECT($C$5&amp;"生成成长"),5))*(VLOOKUP($B$5,标准坦克设计!$B$24:$U$30,MATCH("对"&amp;LEFT($C$5,2)&amp;"输出",标准坦克设计!$B$23:$U$23,0)))*(VLOOKUP($B91,INDIRECT($B$5&amp;"生成成长"),3))*(VLOOKUP($B$5,标准坦克设计!$B$14:$K$20,9)/30))</f>
        <v>7.8311978873629116</v>
      </c>
      <c r="Y91" s="173">
        <f ca="1">(VLOOKUP(Y$72,INDIRECT($C$5&amp;"生成成长"),2))/((VLOOKUP($B91,INDIRECT($B$5&amp;"生成成长"),4))/(VLOOKUP(Y$72,INDIRECT($C$5&amp;"生成成长"),5))*(VLOOKUP($B$5,标准坦克设计!$B$24:$U$30,MATCH("对"&amp;LEFT($C$5,2)&amp;"输出",标准坦克设计!$B$23:$U$23,0)))*(VLOOKUP($B91,INDIRECT($B$5&amp;"生成成长"),3))*(VLOOKUP($B$5,标准坦克设计!$B$14:$K$20,9)/30))</f>
        <v>8.7104508975001096</v>
      </c>
      <c r="Z91" s="173">
        <f ca="1">(VLOOKUP(Z$72,INDIRECT($C$5&amp;"生成成长"),2))/((VLOOKUP($B91,INDIRECT($B$5&amp;"生成成长"),4))/(VLOOKUP(Z$72,INDIRECT($C$5&amp;"生成成长"),5))*(VLOOKUP($B$5,标准坦克设计!$B$24:$U$30,MATCH("对"&amp;LEFT($C$5,2)&amp;"输出",标准坦克设计!$B$23:$U$23,0)))*(VLOOKUP($B91,INDIRECT($B$5&amp;"生成成长"),3))*(VLOOKUP($B$5,标准坦克设计!$B$14:$K$20,9)/30))</f>
        <v>9.6364726847722597</v>
      </c>
      <c r="AA91" s="173">
        <f ca="1">(VLOOKUP(AA$72,INDIRECT($C$5&amp;"生成成长"),2))/((VLOOKUP($B91,INDIRECT($B$5&amp;"生成成长"),4))/(VLOOKUP(AA$72,INDIRECT($C$5&amp;"生成成长"),5))*(VLOOKUP($B$5,标准坦克设计!$B$24:$U$30,MATCH("对"&amp;LEFT($C$5,2)&amp;"输出",标准坦克设计!$B$23:$U$23,0)))*(VLOOKUP($B91,INDIRECT($B$5&amp;"生成成长"),3))*(VLOOKUP($B$5,标准坦克设计!$B$14:$K$20,9)/30))</f>
        <v>10.609263249179371</v>
      </c>
      <c r="AB91" s="173">
        <f ca="1">(VLOOKUP(AB$72,INDIRECT($C$5&amp;"生成成长"),2))/((VLOOKUP($B91,INDIRECT($B$5&amp;"生成成长"),4))/(VLOOKUP(AB$72,INDIRECT($C$5&amp;"生成成长"),5))*(VLOOKUP($B$5,标准坦克设计!$B$24:$U$30,MATCH("对"&amp;LEFT($C$5,2)&amp;"输出",标准坦克设计!$B$23:$U$23,0)))*(VLOOKUP($B91,INDIRECT($B$5&amp;"生成成长"),3))*(VLOOKUP($B$5,标准坦克设计!$B$14:$K$20,9)/30))</f>
        <v>11.628822590721439</v>
      </c>
      <c r="AC91" s="173">
        <f ca="1">(VLOOKUP(AC$72,INDIRECT($C$5&amp;"生成成长"),2))/((VLOOKUP($B91,INDIRECT($B$5&amp;"生成成长"),4))/(VLOOKUP(AC$72,INDIRECT($C$5&amp;"生成成长"),5))*(VLOOKUP($B$5,标准坦克设计!$B$24:$U$30,MATCH("对"&amp;LEFT($C$5,2)&amp;"输出",标准坦克设计!$B$23:$U$23,0)))*(VLOOKUP($B91,INDIRECT($B$5&amp;"生成成长"),3))*(VLOOKUP($B$5,标准坦克设计!$B$14:$K$20,9)/30))</f>
        <v>12.695150709398463</v>
      </c>
      <c r="AD91" s="173">
        <f ca="1">(VLOOKUP(AD$72,INDIRECT($C$5&amp;"生成成长"),2))/((VLOOKUP($B91,INDIRECT($B$5&amp;"生成成长"),4))/(VLOOKUP(AD$72,INDIRECT($C$5&amp;"生成成长"),5))*(VLOOKUP($B$5,标准坦克设计!$B$24:$U$30,MATCH("对"&amp;LEFT($C$5,2)&amp;"输出",标准坦克设计!$B$23:$U$23,0)))*(VLOOKUP($B91,INDIRECT($B$5&amp;"生成成长"),3))*(VLOOKUP($B$5,标准坦克设计!$B$14:$K$20,9)/30))</f>
        <v>13.808247605210445</v>
      </c>
      <c r="AE91" s="173">
        <f ca="1">(VLOOKUP(AE$72,INDIRECT($C$5&amp;"生成成长"),2))/((VLOOKUP($B91,INDIRECT($B$5&amp;"生成成长"),4))/(VLOOKUP(AE$72,INDIRECT($C$5&amp;"生成成长"),5))*(VLOOKUP($B$5,标准坦克设计!$B$24:$U$30,MATCH("对"&amp;LEFT($C$5,2)&amp;"输出",标准坦克设计!$B$23:$U$23,0)))*(VLOOKUP($B91,INDIRECT($B$5&amp;"生成成长"),3))*(VLOOKUP($B$5,标准坦克设计!$B$14:$K$20,9)/30))</f>
        <v>14.968113278157386</v>
      </c>
      <c r="AF91" s="173">
        <f ca="1">(VLOOKUP(AF$72,INDIRECT($C$5&amp;"生成成长"),2))/((VLOOKUP($B91,INDIRECT($B$5&amp;"生成成长"),4))/(VLOOKUP(AF$72,INDIRECT($C$5&amp;"生成成长"),5))*(VLOOKUP($B$5,标准坦克设计!$B$24:$U$30,MATCH("对"&amp;LEFT($C$5,2)&amp;"输出",标准坦克设计!$B$23:$U$23,0)))*(VLOOKUP($B91,INDIRECT($B$5&amp;"生成成长"),3))*(VLOOKUP($B$5,标准坦克设计!$B$14:$K$20,9)/30))</f>
        <v>16.174747728239282</v>
      </c>
      <c r="AG91" s="173">
        <f ca="1">(VLOOKUP(AG$72,INDIRECT($C$5&amp;"生成成长"),2))/((VLOOKUP($B91,INDIRECT($B$5&amp;"生成成长"),4))/(VLOOKUP(AG$72,INDIRECT($C$5&amp;"生成成长"),5))*(VLOOKUP($B$5,标准坦克设计!$B$24:$U$30,MATCH("对"&amp;LEFT($C$5,2)&amp;"输出",标准坦克设计!$B$23:$U$23,0)))*(VLOOKUP($B91,INDIRECT($B$5&amp;"生成成长"),3))*(VLOOKUP($B$5,标准坦克设计!$B$14:$K$20,9)/30))</f>
        <v>17.428150955456136</v>
      </c>
      <c r="AH91" s="173">
        <f ca="1">(VLOOKUP(AH$72,INDIRECT($C$5&amp;"生成成长"),2))/((VLOOKUP($B91,INDIRECT($B$5&amp;"生成成长"),4))/(VLOOKUP(AH$72,INDIRECT($C$5&amp;"生成成长"),5))*(VLOOKUP($B$5,标准坦克设计!$B$24:$U$30,MATCH("对"&amp;LEFT($C$5,2)&amp;"输出",标准坦克设计!$B$23:$U$23,0)))*(VLOOKUP($B91,INDIRECT($B$5&amp;"生成成长"),3))*(VLOOKUP($B$5,标准坦克设计!$B$14:$K$20,9)/30))</f>
        <v>18.728322959807947</v>
      </c>
      <c r="AI91" s="173">
        <f ca="1">(VLOOKUP(AI$72,INDIRECT($C$5&amp;"生成成长"),2))/((VLOOKUP($B91,INDIRECT($B$5&amp;"生成成长"),4))/(VLOOKUP(AI$72,INDIRECT($C$5&amp;"生成成长"),5))*(VLOOKUP($B$5,标准坦克设计!$B$24:$U$30,MATCH("对"&amp;LEFT($C$5,2)&amp;"输出",标准坦克设计!$B$23:$U$23,0)))*(VLOOKUP($B91,INDIRECT($B$5&amp;"生成成长"),3))*(VLOOKUP($B$5,标准坦克设计!$B$14:$K$20,9)/30))</f>
        <v>13.245853060162585</v>
      </c>
      <c r="AJ91" s="173">
        <f ca="1">(VLOOKUP(AJ$72,INDIRECT($C$5&amp;"生成成长"),2))/((VLOOKUP($B91,INDIRECT($B$5&amp;"生成成长"),4))/(VLOOKUP(AJ$72,INDIRECT($C$5&amp;"生成成长"),5))*(VLOOKUP($B$5,标准坦克设计!$B$24:$U$30,MATCH("对"&amp;LEFT($C$5,2)&amp;"输出",标准坦克设计!$B$23:$U$23,0)))*(VLOOKUP($B91,INDIRECT($B$5&amp;"生成成长"),3))*(VLOOKUP($B$5,标准坦克设计!$B$14:$K$20,9)/30))</f>
        <v>14.498554755722413</v>
      </c>
      <c r="AK91" s="173">
        <f ca="1">(VLOOKUP(AK$72,INDIRECT($C$5&amp;"生成成长"),2))/((VLOOKUP($B91,INDIRECT($B$5&amp;"生成成长"),4))/(VLOOKUP(AK$72,INDIRECT($C$5&amp;"生成成长"),5))*(VLOOKUP($B$5,标准坦克设计!$B$24:$U$30,MATCH("对"&amp;LEFT($C$5,2)&amp;"输出",标准坦克设计!$B$23:$U$23,0)))*(VLOOKUP($B91,INDIRECT($B$5&amp;"生成成长"),3))*(VLOOKUP($B$5,标准坦克设计!$B$14:$K$20,9)/30))</f>
        <v>15.807846671615545</v>
      </c>
      <c r="AL91" s="173">
        <f ca="1">(VLOOKUP(AL$72,INDIRECT($C$5&amp;"生成成长"),2))/((VLOOKUP($B91,INDIRECT($B$5&amp;"生成成长"),4))/(VLOOKUP(AL$72,INDIRECT($C$5&amp;"生成成长"),5))*(VLOOKUP($B$5,标准坦克设计!$B$24:$U$30,MATCH("对"&amp;LEFT($C$5,2)&amp;"输出",标准坦克设计!$B$23:$U$23,0)))*(VLOOKUP($B91,INDIRECT($B$5&amp;"生成成长"),3))*(VLOOKUP($B$5,标准坦克设计!$B$14:$K$20,9)/30))</f>
        <v>17.173728807841968</v>
      </c>
      <c r="AM91" s="173">
        <f ca="1">(VLOOKUP(AM$72,INDIRECT($C$5&amp;"生成成长"),2))/((VLOOKUP($B91,INDIRECT($B$5&amp;"生成成长"),4))/(VLOOKUP(AM$72,INDIRECT($C$5&amp;"生成成长"),5))*(VLOOKUP($B$5,标准坦克设计!$B$24:$U$30,MATCH("对"&amp;LEFT($C$5,2)&amp;"输出",标准坦克设计!$B$23:$U$23,0)))*(VLOOKUP($B91,INDIRECT($B$5&amp;"生成成长"),3))*(VLOOKUP($B$5,标准坦克设计!$B$14:$K$20,9)/30))</f>
        <v>18.596201164401695</v>
      </c>
      <c r="AN91" s="173">
        <f ca="1">(VLOOKUP(AN$72,INDIRECT($C$5&amp;"生成成长"),2))/((VLOOKUP($B91,INDIRECT($B$5&amp;"生成成长"),4))/(VLOOKUP(AN$72,INDIRECT($C$5&amp;"生成成长"),5))*(VLOOKUP($B$5,标准坦克设计!$B$24:$U$30,MATCH("对"&amp;LEFT($C$5,2)&amp;"输出",标准坦克设计!$B$23:$U$23,0)))*(VLOOKUP($B91,INDIRECT($B$5&amp;"生成成长"),3))*(VLOOKUP($B$5,标准坦克设计!$B$14:$K$20,9)/30))</f>
        <v>20.075263741294712</v>
      </c>
      <c r="AO91" s="173">
        <f ca="1">(VLOOKUP(AO$72,INDIRECT($C$5&amp;"生成成长"),2))/((VLOOKUP($B91,INDIRECT($B$5&amp;"生成成长"),4))/(VLOOKUP(AO$72,INDIRECT($C$5&amp;"生成成长"),5))*(VLOOKUP($B$5,标准坦克设计!$B$24:$U$30,MATCH("对"&amp;LEFT($C$5,2)&amp;"输出",标准坦克设计!$B$23:$U$23,0)))*(VLOOKUP($B91,INDIRECT($B$5&amp;"生成成长"),3))*(VLOOKUP($B$5,标准坦克设计!$B$14:$K$20,9)/30))</f>
        <v>21.610916538521035</v>
      </c>
      <c r="AP91" s="173">
        <f ca="1">(VLOOKUP(AP$72,INDIRECT($C$5&amp;"生成成长"),2))/((VLOOKUP($B91,INDIRECT($B$5&amp;"生成成长"),4))/(VLOOKUP(AP$72,INDIRECT($C$5&amp;"生成成长"),5))*(VLOOKUP($B$5,标准坦克设计!$B$24:$U$30,MATCH("对"&amp;LEFT($C$5,2)&amp;"输出",标准坦克设计!$B$23:$U$23,0)))*(VLOOKUP($B91,INDIRECT($B$5&amp;"生成成长"),3))*(VLOOKUP($B$5,标准坦克设计!$B$14:$K$20,9)/30))</f>
        <v>23.203159556080653</v>
      </c>
      <c r="AQ91" s="173">
        <f ca="1">(VLOOKUP(AQ$72,INDIRECT($C$5&amp;"生成成长"),2))/((VLOOKUP($B91,INDIRECT($B$5&amp;"生成成长"),4))/(VLOOKUP(AQ$72,INDIRECT($C$5&amp;"生成成长"),5))*(VLOOKUP($B$5,标准坦克设计!$B$24:$U$30,MATCH("对"&amp;LEFT($C$5,2)&amp;"输出",标准坦克设计!$B$23:$U$23,0)))*(VLOOKUP($B91,INDIRECT($B$5&amp;"生成成长"),3))*(VLOOKUP($B$5,标准坦克设计!$B$14:$K$20,9)/30))</f>
        <v>24.851992793973572</v>
      </c>
      <c r="AR91" s="173">
        <f ca="1">(VLOOKUP(AR$72,INDIRECT($C$5&amp;"生成成长"),2))/((VLOOKUP($B91,INDIRECT($B$5&amp;"生成成长"),4))/(VLOOKUP(AR$72,INDIRECT($C$5&amp;"生成成长"),5))*(VLOOKUP($B$5,标准坦克设计!$B$24:$U$30,MATCH("对"&amp;LEFT($C$5,2)&amp;"输出",标准坦克设计!$B$23:$U$23,0)))*(VLOOKUP($B91,INDIRECT($B$5&amp;"生成成长"),3))*(VLOOKUP($B$5,标准坦克设计!$B$14:$K$20,9)/30))</f>
        <v>26.557416252199786</v>
      </c>
      <c r="AS91" s="173">
        <f ca="1">(VLOOKUP(AS$72,INDIRECT($C$5&amp;"生成成长"),2))/((VLOOKUP($B91,INDIRECT($B$5&amp;"生成成长"),4))/(VLOOKUP(AS$72,INDIRECT($C$5&amp;"生成成长"),5))*(VLOOKUP($B$5,标准坦克设计!$B$24:$U$30,MATCH("对"&amp;LEFT($C$5,2)&amp;"输出",标准坦克设计!$B$23:$U$23,0)))*(VLOOKUP($B91,INDIRECT($B$5&amp;"生成成长"),3))*(VLOOKUP($B$5,标准坦克设计!$B$14:$K$20,9)/30))</f>
        <v>28.319429930759298</v>
      </c>
      <c r="AT91" s="173">
        <f ca="1">(VLOOKUP(AT$72,INDIRECT($C$5&amp;"生成成长"),2))/((VLOOKUP($B91,INDIRECT($B$5&amp;"生成成长"),4))/(VLOOKUP(AT$72,INDIRECT($C$5&amp;"生成成长"),5))*(VLOOKUP($B$5,标准坦克设计!$B$24:$U$30,MATCH("对"&amp;LEFT($C$5,2)&amp;"输出",标准坦克设计!$B$23:$U$23,0)))*(VLOOKUP($B91,INDIRECT($B$5&amp;"生成成长"),3))*(VLOOKUP($B$5,标准坦克设计!$B$14:$K$20,9)/30))</f>
        <v>30.138033829652112</v>
      </c>
      <c r="AU91" s="173">
        <f ca="1">(VLOOKUP(AU$72,INDIRECT($C$5&amp;"生成成长"),2))/((VLOOKUP($B91,INDIRECT($B$5&amp;"生成成长"),4))/(VLOOKUP(AU$72,INDIRECT($C$5&amp;"生成成长"),5))*(VLOOKUP($B$5,标准坦克设计!$B$24:$U$30,MATCH("对"&amp;LEFT($C$5,2)&amp;"输出",标准坦克设计!$B$23:$U$23,0)))*(VLOOKUP($B91,INDIRECT($B$5&amp;"生成成长"),3))*(VLOOKUP($B$5,标准坦克设计!$B$14:$K$20,9)/30))</f>
        <v>32.013227948878225</v>
      </c>
      <c r="AV91" s="173">
        <f ca="1">(VLOOKUP(AV$72,INDIRECT($C$5&amp;"生成成长"),2))/((VLOOKUP($B91,INDIRECT($B$5&amp;"生成成长"),4))/(VLOOKUP(AV$72,INDIRECT($C$5&amp;"生成成长"),5))*(VLOOKUP($B$5,标准坦克设计!$B$24:$U$30,MATCH("对"&amp;LEFT($C$5,2)&amp;"输出",标准坦克设计!$B$23:$U$23,0)))*(VLOOKUP($B91,INDIRECT($B$5&amp;"生成成长"),3))*(VLOOKUP($B$5,标准坦克设计!$B$14:$K$20,9)/30))</f>
        <v>3.2560422641357225</v>
      </c>
      <c r="AW91" s="173">
        <f ca="1">(VLOOKUP(AW$72,INDIRECT($C$5&amp;"生成成长"),2))/((VLOOKUP($B91,INDIRECT($B$5&amp;"生成成长"),4))/(VLOOKUP(AW$72,INDIRECT($C$5&amp;"生成成长"),5))*(VLOOKUP($B$5,标准坦克设计!$B$24:$U$30,MATCH("对"&amp;LEFT($C$5,2)&amp;"输出",标准坦克设计!$B$23:$U$23,0)))*(VLOOKUP($B91,INDIRECT($B$5&amp;"生成成长"),3))*(VLOOKUP($B$5,标准坦克设计!$B$14:$K$20,9)/30))</f>
        <v>3.7125055289729048</v>
      </c>
      <c r="AX91" s="173">
        <f ca="1">(VLOOKUP(AX$72,INDIRECT($C$5&amp;"生成成长"),2))/((VLOOKUP($B91,INDIRECT($B$5&amp;"生成成长"),4))/(VLOOKUP(AX$72,INDIRECT($C$5&amp;"生成成长"),5))*(VLOOKUP($B$5,标准坦克设计!$B$24:$U$30,MATCH("对"&amp;LEFT($C$5,2)&amp;"输出",标准坦克设计!$B$23:$U$23,0)))*(VLOOKUP($B91,INDIRECT($B$5&amp;"生成成长"),3))*(VLOOKUP($B$5,标准坦克设计!$B$14:$K$20,9)/30))</f>
        <v>4.1989008111764603</v>
      </c>
      <c r="AY91" s="173">
        <f ca="1">(VLOOKUP(AY$72,INDIRECT($C$5&amp;"生成成长"),2))/((VLOOKUP($B91,INDIRECT($B$5&amp;"生成成长"),4))/(VLOOKUP(AY$72,INDIRECT($C$5&amp;"生成成长"),5))*(VLOOKUP($B$5,标准坦克设计!$B$24:$U$30,MATCH("对"&amp;LEFT($C$5,2)&amp;"输出",标准坦克设计!$B$23:$U$23,0)))*(VLOOKUP($B91,INDIRECT($B$5&amp;"生成成长"),3))*(VLOOKUP($B$5,标准坦克设计!$B$14:$K$20,9)/30))</f>
        <v>4.7152281107463878</v>
      </c>
      <c r="AZ91" s="173">
        <f ca="1">(VLOOKUP(AZ$72,INDIRECT($C$5&amp;"生成成长"),2))/((VLOOKUP($B91,INDIRECT($B$5&amp;"生成成长"),4))/(VLOOKUP(AZ$72,INDIRECT($C$5&amp;"生成成长"),5))*(VLOOKUP($B$5,标准坦克设计!$B$24:$U$30,MATCH("对"&amp;LEFT($C$5,2)&amp;"输出",标准坦克设计!$B$23:$U$23,0)))*(VLOOKUP($B91,INDIRECT($B$5&amp;"生成成长"),3))*(VLOOKUP($B$5,标准坦克设计!$B$14:$K$20,9)/30))</f>
        <v>5.2614874276826873</v>
      </c>
      <c r="BA91" s="173">
        <f ca="1">(VLOOKUP(BA$72,INDIRECT($C$5&amp;"生成成长"),2))/((VLOOKUP($B91,INDIRECT($B$5&amp;"生成成长"),4))/(VLOOKUP(BA$72,INDIRECT($C$5&amp;"生成成长"),5))*(VLOOKUP($B$5,标准坦克设计!$B$24:$U$30,MATCH("对"&amp;LEFT($C$5,2)&amp;"输出",标准坦克设计!$B$23:$U$23,0)))*(VLOOKUP($B91,INDIRECT($B$5&amp;"生成成长"),3))*(VLOOKUP($B$5,标准坦克设计!$B$14:$K$20,9)/30))</f>
        <v>5.8376787619853614</v>
      </c>
      <c r="BB91" s="173">
        <f ca="1">(VLOOKUP(BB$72,INDIRECT($C$5&amp;"生成成长"),2))/((VLOOKUP($B91,INDIRECT($B$5&amp;"生成成长"),4))/(VLOOKUP(BB$72,INDIRECT($C$5&amp;"生成成长"),5))*(VLOOKUP($B$5,标准坦克设计!$B$24:$U$30,MATCH("对"&amp;LEFT($C$5,2)&amp;"输出",标准坦克设计!$B$23:$U$23,0)))*(VLOOKUP($B91,INDIRECT($B$5&amp;"生成成长"),3))*(VLOOKUP($B$5,标准坦克设计!$B$14:$K$20,9)/30))</f>
        <v>6.4438021136544057</v>
      </c>
      <c r="BC91" s="173">
        <f ca="1">(VLOOKUP(BC$72,INDIRECT($C$5&amp;"生成成长"),2))/((VLOOKUP($B91,INDIRECT($B$5&amp;"生成成长"),4))/(VLOOKUP(BC$72,INDIRECT($C$5&amp;"生成成长"),5))*(VLOOKUP($B$5,标准坦克设计!$B$24:$U$30,MATCH("对"&amp;LEFT($C$5,2)&amp;"输出",标准坦克设计!$B$23:$U$23,0)))*(VLOOKUP($B91,INDIRECT($B$5&amp;"生成成长"),3))*(VLOOKUP($B$5,标准坦克设计!$B$14:$K$20,9)/30))</f>
        <v>7.0798574826898246</v>
      </c>
      <c r="BD91" s="173">
        <f ca="1">(VLOOKUP(BD$72,INDIRECT($C$5&amp;"生成成长"),2))/((VLOOKUP($B91,INDIRECT($B$5&amp;"生成成长"),4))/(VLOOKUP(BD$72,INDIRECT($C$5&amp;"生成成长"),5))*(VLOOKUP($B$5,标准坦克设计!$B$24:$U$30,MATCH("对"&amp;LEFT($C$5,2)&amp;"输出",标准坦克设计!$B$23:$U$23,0)))*(VLOOKUP($B91,INDIRECT($B$5&amp;"生成成长"),3))*(VLOOKUP($B$5,标准坦克设计!$B$14:$K$20,9)/30))</f>
        <v>7.8311978873629116</v>
      </c>
      <c r="BE91" s="173">
        <f ca="1">(VLOOKUP(BE$72,INDIRECT($C$5&amp;"生成成长"),2))/((VLOOKUP($B91,INDIRECT($B$5&amp;"生成成长"),4))/(VLOOKUP(BE$72,INDIRECT($C$5&amp;"生成成长"),5))*(VLOOKUP($B$5,标准坦克设计!$B$24:$U$30,MATCH("对"&amp;LEFT($C$5,2)&amp;"输出",标准坦克设计!$B$23:$U$23,0)))*(VLOOKUP($B91,INDIRECT($B$5&amp;"生成成长"),3))*(VLOOKUP($B$5,标准坦克设计!$B$14:$K$20,9)/30))</f>
        <v>8.6204210015153162</v>
      </c>
      <c r="BF91" s="173">
        <f ca="1">(VLOOKUP(BF$72,INDIRECT($C$5&amp;"生成成长"),2))/((VLOOKUP($B91,INDIRECT($B$5&amp;"生成成长"),4))/(VLOOKUP(BF$72,INDIRECT($C$5&amp;"生成成长"),5))*(VLOOKUP($B$5,标准坦克设计!$B$24:$U$30,MATCH("对"&amp;LEFT($C$5,2)&amp;"输出",标准坦克设计!$B$23:$U$23,0)))*(VLOOKUP($B91,INDIRECT($B$5&amp;"生成成长"),3))*(VLOOKUP($B$5,标准坦克设计!$B$14:$K$20,9)/30))</f>
        <v>9.447526825147035</v>
      </c>
      <c r="BG91" s="173">
        <f ca="1">(VLOOKUP(BG$72,INDIRECT($C$5&amp;"生成成长"),2))/((VLOOKUP($B91,INDIRECT($B$5&amp;"生成成长"),4))/(VLOOKUP(BG$72,INDIRECT($C$5&amp;"生成成长"),5))*(VLOOKUP($B$5,标准坦克设计!$B$24:$U$30,MATCH("对"&amp;LEFT($C$5,2)&amp;"输出",标准坦克设计!$B$23:$U$23,0)))*(VLOOKUP($B91,INDIRECT($B$5&amp;"生成成长"),3))*(VLOOKUP($B$5,标准坦克设计!$B$14:$K$20,9)/30))</f>
        <v>10.31251535825807</v>
      </c>
      <c r="BH91" s="173">
        <f ca="1">(VLOOKUP(BH$72,INDIRECT($C$5&amp;"生成成长"),2))/((VLOOKUP($B91,INDIRECT($B$5&amp;"生成成长"),4))/(VLOOKUP(BH$72,INDIRECT($C$5&amp;"生成成长"),5))*(VLOOKUP($B$5,标准坦克设计!$B$24:$U$30,MATCH("对"&amp;LEFT($C$5,2)&amp;"输出",标准坦克设计!$B$23:$U$23,0)))*(VLOOKUP($B91,INDIRECT($B$5&amp;"生成成长"),3))*(VLOOKUP($B$5,标准坦克设计!$B$14:$K$20,9)/30))</f>
        <v>4.9846162670437408</v>
      </c>
      <c r="BI91" s="173">
        <f ca="1">(VLOOKUP(BI$72,INDIRECT($C$5&amp;"生成成长"),2))/((VLOOKUP($B91,INDIRECT($B$5&amp;"生成成长"),4))/(VLOOKUP(BI$72,INDIRECT($C$5&amp;"生成成长"),5))*(VLOOKUP($B$5,标准坦克设计!$B$24:$U$30,MATCH("对"&amp;LEFT($C$5,2)&amp;"输出",标准坦克设计!$B$23:$U$23,0)))*(VLOOKUP($B91,INDIRECT($B$5&amp;"生成成长"),3))*(VLOOKUP($B$5,标准坦克设计!$B$14:$K$20,9)/30))</f>
        <v>5.6180993533367367</v>
      </c>
      <c r="BJ91" s="173">
        <f ca="1">(VLOOKUP(BJ$72,INDIRECT($C$5&amp;"生成成长"),2))/((VLOOKUP($B91,INDIRECT($B$5&amp;"生成成长"),4))/(VLOOKUP(BJ$72,INDIRECT($C$5&amp;"生成成长"),5))*(VLOOKUP($B$5,标准坦克设计!$B$24:$U$30,MATCH("对"&amp;LEFT($C$5,2)&amp;"输出",标准坦克设计!$B$23:$U$23,0)))*(VLOOKUP($B91,INDIRECT($B$5&amp;"生成成长"),3))*(VLOOKUP($B$5,标准坦克设计!$B$14:$K$20,9)/30))</f>
        <v>6.2894651491090476</v>
      </c>
      <c r="BK91" s="173">
        <f ca="1">(VLOOKUP(BK$72,INDIRECT($C$5&amp;"生成成长"),2))/((VLOOKUP($B91,INDIRECT($B$5&amp;"生成成长"),4))/(VLOOKUP(BK$72,INDIRECT($C$5&amp;"生成成长"),5))*(VLOOKUP($B$5,标准坦克设计!$B$24:$U$30,MATCH("对"&amp;LEFT($C$5,2)&amp;"输出",标准坦克设计!$B$23:$U$23,0)))*(VLOOKUP($B91,INDIRECT($B$5&amp;"生成成长"),3))*(VLOOKUP($B$5,标准坦克设计!$B$14:$K$20,9)/30))</f>
        <v>6.9987136543606736</v>
      </c>
      <c r="BL91" s="173">
        <f ca="1">(VLOOKUP(BL$72,INDIRECT($C$5&amp;"生成成长"),2))/((VLOOKUP($B91,INDIRECT($B$5&amp;"生成成长"),4))/(VLOOKUP(BL$72,INDIRECT($C$5&amp;"生成成长"),5))*(VLOOKUP($B$5,标准坦克设计!$B$24:$U$30,MATCH("对"&amp;LEFT($C$5,2)&amp;"输出",标准坦克设计!$B$23:$U$23,0)))*(VLOOKUP($B91,INDIRECT($B$5&amp;"生成成长"),3))*(VLOOKUP($B$5,标准坦克设计!$B$14:$K$20,9)/30))</f>
        <v>7.7458448690916164</v>
      </c>
      <c r="BM91" s="173">
        <f ca="1">(VLOOKUP(BM$72,INDIRECT($C$5&amp;"生成成长"),2))/((VLOOKUP($B91,INDIRECT($B$5&amp;"生成成长"),4))/(VLOOKUP(BM$72,INDIRECT($C$5&amp;"生成成长"),5))*(VLOOKUP($B$5,标准坦克设计!$B$24:$U$30,MATCH("对"&amp;LEFT($C$5,2)&amp;"输出",标准坦克设计!$B$23:$U$23,0)))*(VLOOKUP($B91,INDIRECT($B$5&amp;"生成成长"),3))*(VLOOKUP($B$5,标准坦克设计!$B$14:$K$20,9)/30))</f>
        <v>8.5308587933018742</v>
      </c>
      <c r="BN91" s="173">
        <f ca="1">(VLOOKUP(BN$72,INDIRECT($C$5&amp;"生成成长"),2))/((VLOOKUP($B91,INDIRECT($B$5&amp;"生成成长"),4))/(VLOOKUP(BN$72,INDIRECT($C$5&amp;"生成成长"),5))*(VLOOKUP($B$5,标准坦克设计!$B$24:$U$30,MATCH("对"&amp;LEFT($C$5,2)&amp;"输出",标准坦克设计!$B$23:$U$23,0)))*(VLOOKUP($B91,INDIRECT($B$5&amp;"生成成长"),3))*(VLOOKUP($B$5,标准坦克设计!$B$14:$K$20,9)/30))</f>
        <v>9.3537554269914445</v>
      </c>
      <c r="BO91" s="173">
        <f ca="1">(VLOOKUP(BO$72,INDIRECT($C$5&amp;"生成成长"),2))/((VLOOKUP($B91,INDIRECT($B$5&amp;"生成成长"),4))/(VLOOKUP(BO$72,INDIRECT($C$5&amp;"生成成长"),5))*(VLOOKUP($B$5,标准坦克设计!$B$24:$U$30,MATCH("对"&amp;LEFT($C$5,2)&amp;"输出",标准坦克设计!$B$23:$U$23,0)))*(VLOOKUP($B91,INDIRECT($B$5&amp;"生成成长"),3))*(VLOOKUP($B$5,标准坦克设计!$B$14:$K$20,9)/30))</f>
        <v>10.214534770160332</v>
      </c>
      <c r="BP91" s="173">
        <f ca="1">(VLOOKUP(BP$72,INDIRECT($C$5&amp;"生成成长"),2))/((VLOOKUP($B91,INDIRECT($B$5&amp;"生成成长"),4))/(VLOOKUP(BP$72,INDIRECT($C$5&amp;"生成成长"),5))*(VLOOKUP($B$5,标准坦克设计!$B$24:$U$30,MATCH("对"&amp;LEFT($C$5,2)&amp;"输出",标准坦克设计!$B$23:$U$23,0)))*(VLOOKUP($B91,INDIRECT($B$5&amp;"生成成长"),3))*(VLOOKUP($B$5,标准坦克设计!$B$14:$K$20,9)/30))</f>
        <v>11.113196822808534</v>
      </c>
      <c r="BQ91" s="173">
        <f ca="1">(VLOOKUP(BQ$72,INDIRECT($C$5&amp;"生成成长"),2))/((VLOOKUP($B91,INDIRECT($B$5&amp;"生成成长"),4))/(VLOOKUP(BQ$72,INDIRECT($C$5&amp;"生成成长"),5))*(VLOOKUP($B$5,标准坦克设计!$B$24:$U$30,MATCH("对"&amp;LEFT($C$5,2)&amp;"输出",标准坦克设计!$B$23:$U$23,0)))*(VLOOKUP($B91,INDIRECT($B$5&amp;"生成成长"),3))*(VLOOKUP($B$5,标准坦克设计!$B$14:$K$20,9)/30))</f>
        <v>12.049741584936056</v>
      </c>
      <c r="BR91" s="173">
        <f ca="1">(VLOOKUP(BR$72,INDIRECT($C$5&amp;"生成成长"),2))/((VLOOKUP($B91,INDIRECT($B$5&amp;"生成成长"),4))/(VLOOKUP(BR$72,INDIRECT($C$5&amp;"生成成长"),5))*(VLOOKUP($B$5,标准坦克设计!$B$24:$U$30,MATCH("对"&amp;LEFT($C$5,2)&amp;"输出",标准坦克设计!$B$23:$U$23,0)))*(VLOOKUP($B91,INDIRECT($B$5&amp;"生成成长"),3))*(VLOOKUP($B$5,标准坦克设计!$B$14:$K$20,9)/30))</f>
        <v>13.134777214467062</v>
      </c>
      <c r="BS91" s="173">
        <f ca="1">(VLOOKUP(BS$72,INDIRECT($C$5&amp;"生成成长"),2))/((VLOOKUP($B91,INDIRECT($B$5&amp;"生成成长"),4))/(VLOOKUP(BS$72,INDIRECT($C$5&amp;"生成成长"),5))*(VLOOKUP($B$5,标准坦克设计!$B$24:$U$30,MATCH("对"&amp;LEFT($C$5,2)&amp;"输出",标准坦克设计!$B$23:$U$23,0)))*(VLOOKUP($B91,INDIRECT($B$5&amp;"生成成长"),3))*(VLOOKUP($B$5,标准坦克设计!$B$14:$K$20,9)/30))</f>
        <v>14.266581621133025</v>
      </c>
      <c r="BT91" s="173">
        <f ca="1">(VLOOKUP(BT$72,INDIRECT($C$5&amp;"生成成长"),2))/((VLOOKUP($B91,INDIRECT($B$5&amp;"生成成长"),4))/(VLOOKUP(BT$72,INDIRECT($C$5&amp;"生成成长"),5))*(VLOOKUP($B$5,标准坦克设计!$B$24:$U$30,MATCH("对"&amp;LEFT($C$5,2)&amp;"输出",标准坦克设计!$B$23:$U$23,0)))*(VLOOKUP($B91,INDIRECT($B$5&amp;"生成成长"),3))*(VLOOKUP($B$5,标准坦克设计!$B$14:$K$20,9)/30))</f>
        <v>15.445154804933948</v>
      </c>
      <c r="BU91" s="173">
        <f ca="1">(VLOOKUP(BU$72,INDIRECT($C$5&amp;"生成成长"),2))/((VLOOKUP($B91,INDIRECT($B$5&amp;"生成成长"),4))/(VLOOKUP(BU$72,INDIRECT($C$5&amp;"生成成长"),5))*(VLOOKUP($B$5,标准坦克设计!$B$24:$U$30,MATCH("对"&amp;LEFT($C$5,2)&amp;"输出",标准坦克设计!$B$23:$U$23,0)))*(VLOOKUP($B91,INDIRECT($B$5&amp;"生成成长"),3))*(VLOOKUP($B$5,标准坦克设计!$B$14:$K$20,9)/30))</f>
        <v>16.670496765869832</v>
      </c>
      <c r="BV91" s="173">
        <f ca="1">(VLOOKUP(BV$72,INDIRECT($C$5&amp;"生成成长"),2))/((VLOOKUP($B91,INDIRECT($B$5&amp;"生成成长"),4))/(VLOOKUP(BV$72,INDIRECT($C$5&amp;"生成成长"),5))*(VLOOKUP($B$5,标准坦克设计!$B$24:$U$30,MATCH("对"&amp;LEFT($C$5,2)&amp;"输出",标准坦克设计!$B$23:$U$23,0)))*(VLOOKUP($B91,INDIRECT($B$5&amp;"生成成长"),3))*(VLOOKUP($B$5,标准坦克设计!$B$14:$K$20,9)/30))</f>
        <v>17.942607503940668</v>
      </c>
      <c r="BW91" s="173">
        <f ca="1">(VLOOKUP(BW$72,INDIRECT($C$5&amp;"生成成长"),2))/((VLOOKUP($B91,INDIRECT($B$5&amp;"生成成长"),4))/(VLOOKUP(BW$72,INDIRECT($C$5&amp;"生成成长"),5))*(VLOOKUP($B$5,标准坦克设计!$B$24:$U$30,MATCH("对"&amp;LEFT($C$5,2)&amp;"输出",标准坦克设计!$B$23:$U$23,0)))*(VLOOKUP($B91,INDIRECT($B$5&amp;"生成成长"),3))*(VLOOKUP($B$5,标准坦克设计!$B$14:$K$20,9)/30))</f>
        <v>8.1772868381615957</v>
      </c>
      <c r="BX91" s="173">
        <f ca="1">(VLOOKUP(BX$72,INDIRECT($C$5&amp;"生成成长"),2))/((VLOOKUP($B91,INDIRECT($B$5&amp;"生成成长"),4))/(VLOOKUP(BX$72,INDIRECT($C$5&amp;"生成成长"),5))*(VLOOKUP($B$5,标准坦克设计!$B$24:$U$30,MATCH("对"&amp;LEFT($C$5,2)&amp;"输出",标准坦克设计!$B$23:$U$23,0)))*(VLOOKUP($B91,INDIRECT($B$5&amp;"生成成长"),3))*(VLOOKUP($B$5,标准坦克设计!$B$14:$K$20,9)/30))</f>
        <v>9.0752473591527743</v>
      </c>
      <c r="BY91" s="173">
        <f ca="1">(VLOOKUP(BY$72,INDIRECT($C$5&amp;"生成成长"),2))/((VLOOKUP($B91,INDIRECT($B$5&amp;"生成成长"),4))/(VLOOKUP(BY$72,INDIRECT($C$5&amp;"生成成长"),5))*(VLOOKUP($B$5,标准坦克设计!$B$24:$U$30,MATCH("对"&amp;LEFT($C$5,2)&amp;"输出",标准坦克设计!$B$23:$U$23,0)))*(VLOOKUP($B91,INDIRECT($B$5&amp;"生成成长"),3))*(VLOOKUP($B$5,标准坦克设计!$B$14:$K$20,9)/30))</f>
        <v>10.01997665727891</v>
      </c>
      <c r="BZ91" s="173">
        <f ca="1">(VLOOKUP(BZ$72,INDIRECT($C$5&amp;"生成成长"),2))/((VLOOKUP($B91,INDIRECT($B$5&amp;"生成成长"),4))/(VLOOKUP(BZ$72,INDIRECT($C$5&amp;"生成成长"),5))*(VLOOKUP($B$5,标准坦克设计!$B$24:$U$30,MATCH("对"&amp;LEFT($C$5,2)&amp;"输出",标准坦克设计!$B$23:$U$23,0)))*(VLOOKUP($B91,INDIRECT($B$5&amp;"生成成长"),3))*(VLOOKUP($B$5,标准坦克设计!$B$14:$K$20,9)/30))</f>
        <v>11.011474732540004</v>
      </c>
      <c r="CA91" s="173">
        <f ca="1">(VLOOKUP(CA$72,INDIRECT($C$5&amp;"生成成长"),2))/((VLOOKUP($B91,INDIRECT($B$5&amp;"生成成长"),4))/(VLOOKUP(CA$72,INDIRECT($C$5&amp;"生成成长"),5))*(VLOOKUP($B$5,标准坦克设计!$B$24:$U$30,MATCH("对"&amp;LEFT($C$5,2)&amp;"输出",标准坦克设计!$B$23:$U$23,0)))*(VLOOKUP($B91,INDIRECT($B$5&amp;"生成成长"),3))*(VLOOKUP($B$5,标准坦克设计!$B$14:$K$20,9)/30))</f>
        <v>12.049741584936056</v>
      </c>
      <c r="CB91" s="173">
        <f ca="1">(VLOOKUP(CB$72,INDIRECT($C$5&amp;"生成成长"),2))/((VLOOKUP($B91,INDIRECT($B$5&amp;"生成成长"),4))/(VLOOKUP(CB$72,INDIRECT($C$5&amp;"生成成长"),5))*(VLOOKUP($B$5,标准坦克设计!$B$24:$U$30,MATCH("对"&amp;LEFT($C$5,2)&amp;"输出",标准坦克设计!$B$23:$U$23,0)))*(VLOOKUP($B91,INDIRECT($B$5&amp;"生成成长"),3))*(VLOOKUP($B$5,标准坦克设计!$B$14:$K$20,9)/30))</f>
        <v>13.134777214467062</v>
      </c>
      <c r="CC91" s="173">
        <f ca="1">(VLOOKUP(CC$72,INDIRECT($C$5&amp;"生成成长"),2))/((VLOOKUP($B91,INDIRECT($B$5&amp;"生成成长"),4))/(VLOOKUP(CC$72,INDIRECT($C$5&amp;"生成成长"),5))*(VLOOKUP($B$5,标准坦克设计!$B$24:$U$30,MATCH("对"&amp;LEFT($C$5,2)&amp;"输出",标准坦克设计!$B$23:$U$23,0)))*(VLOOKUP($B91,INDIRECT($B$5&amp;"生成成长"),3))*(VLOOKUP($B$5,标准坦克设计!$B$14:$K$20,9)/30))</f>
        <v>14.266581621133025</v>
      </c>
      <c r="CD91" s="173">
        <f ca="1">(VLOOKUP(CD$72,INDIRECT($C$5&amp;"生成成长"),2))/((VLOOKUP($B91,INDIRECT($B$5&amp;"生成成长"),4))/(VLOOKUP(CD$72,INDIRECT($C$5&amp;"生成成长"),5))*(VLOOKUP($B$5,标准坦克设计!$B$24:$U$30,MATCH("对"&amp;LEFT($C$5,2)&amp;"输出",标准坦克设计!$B$23:$U$23,0)))*(VLOOKUP($B91,INDIRECT($B$5&amp;"生成成长"),3))*(VLOOKUP($B$5,标准坦克设计!$B$14:$K$20,9)/30))</f>
        <v>15.445154804933948</v>
      </c>
      <c r="CE91" s="173">
        <f ca="1">(VLOOKUP(CE$72,INDIRECT($C$5&amp;"生成成长"),2))/((VLOOKUP($B91,INDIRECT($B$5&amp;"生成成长"),4))/(VLOOKUP(CE$72,INDIRECT($C$5&amp;"生成成长"),5))*(VLOOKUP($B$5,标准坦克设计!$B$24:$U$30,MATCH("对"&amp;LEFT($C$5,2)&amp;"输出",标准坦克设计!$B$23:$U$23,0)))*(VLOOKUP($B91,INDIRECT($B$5&amp;"生成成长"),3))*(VLOOKUP($B$5,标准坦克设计!$B$14:$K$20,9)/30))</f>
        <v>16.670496765869832</v>
      </c>
      <c r="CF91" s="173">
        <f ca="1">(VLOOKUP(CF$72,INDIRECT($C$5&amp;"生成成长"),2))/((VLOOKUP($B91,INDIRECT($B$5&amp;"生成成长"),4))/(VLOOKUP(CF$72,INDIRECT($C$5&amp;"生成成长"),5))*(VLOOKUP($B$5,标准坦克设计!$B$24:$U$30,MATCH("对"&amp;LEFT($C$5,2)&amp;"输出",标准坦克设计!$B$23:$U$23,0)))*(VLOOKUP($B91,INDIRECT($B$5&amp;"生成成长"),3))*(VLOOKUP($B$5,标准坦克设计!$B$14:$K$20,9)/30))</f>
        <v>17.942607503940668</v>
      </c>
      <c r="CG91" s="173">
        <f ca="1">(VLOOKUP(CG$72,INDIRECT($C$5&amp;"生成成长"),2))/((VLOOKUP($B91,INDIRECT($B$5&amp;"生成成长"),4))/(VLOOKUP(CG$72,INDIRECT($C$5&amp;"生成成长"),5))*(VLOOKUP($B$5,标准坦克设计!$B$24:$U$30,MATCH("对"&amp;LEFT($C$5,2)&amp;"输出",标准坦克设计!$B$23:$U$23,0)))*(VLOOKUP($B91,INDIRECT($B$5&amp;"生成成长"),3))*(VLOOKUP($B$5,标准坦克设计!$B$14:$K$20,9)/30))</f>
        <v>19.261487019146458</v>
      </c>
      <c r="CH91" s="173">
        <f ca="1">(VLOOKUP(CH$72,INDIRECT($C$5&amp;"生成成长"),2))/((VLOOKUP($B91,INDIRECT($B$5&amp;"生成成长"),4))/(VLOOKUP(CH$72,INDIRECT($C$5&amp;"生成成长"),5))*(VLOOKUP($B$5,标准坦克设计!$B$24:$U$30,MATCH("对"&amp;LEFT($C$5,2)&amp;"输出",标准坦克设计!$B$23:$U$23,0)))*(VLOOKUP($B91,INDIRECT($B$5&amp;"生成成长"),3))*(VLOOKUP($B$5,标准坦克设计!$B$14:$K$20,9)/30))</f>
        <v>20.627135311487208</v>
      </c>
      <c r="CI91" s="173">
        <f ca="1">(VLOOKUP(CI$72,INDIRECT($C$5&amp;"生成成长"),2))/((VLOOKUP($B91,INDIRECT($B$5&amp;"生成成长"),4))/(VLOOKUP(CI$72,INDIRECT($C$5&amp;"生成成长"),5))*(VLOOKUP($B$5,标准坦克设计!$B$24:$U$30,MATCH("对"&amp;LEFT($C$5,2)&amp;"输出",标准坦克设计!$B$23:$U$23,0)))*(VLOOKUP($B91,INDIRECT($B$5&amp;"生成成长"),3))*(VLOOKUP($B$5,标准坦克设计!$B$14:$K$20,9)/30))</f>
        <v>22.183366370652909</v>
      </c>
      <c r="CJ91" s="173">
        <f ca="1">(VLOOKUP(CJ$72,INDIRECT($C$5&amp;"生成成长"),2))/((VLOOKUP($B91,INDIRECT($B$5&amp;"生成成长"),4))/(VLOOKUP(CJ$72,INDIRECT($C$5&amp;"生成成长"),5))*(VLOOKUP($B$5,标准坦克设计!$B$24:$U$30,MATCH("对"&amp;LEFT($C$5,2)&amp;"输出",标准坦克设计!$B$23:$U$23,0)))*(VLOOKUP($B91,INDIRECT($B$5&amp;"生成成长"),3))*(VLOOKUP($B$5,标准坦克设计!$B$14:$K$20,9)/30))</f>
        <v>23.796187650151911</v>
      </c>
      <c r="CK91" s="173">
        <f ca="1">(VLOOKUP(CK$72,INDIRECT($C$5&amp;"生成成长"),2))/((VLOOKUP($B91,INDIRECT($B$5&amp;"生成成长"),4))/(VLOOKUP(CK$72,INDIRECT($C$5&amp;"生成成长"),5))*(VLOOKUP($B$5,标准坦克设计!$B$24:$U$30,MATCH("对"&amp;LEFT($C$5,2)&amp;"输出",标准坦克设计!$B$23:$U$23,0)))*(VLOOKUP($B91,INDIRECT($B$5&amp;"生成成长"),3))*(VLOOKUP($B$5,标准坦克设计!$B$14:$K$20,9)/30))</f>
        <v>25.465599149984214</v>
      </c>
      <c r="CL91" s="173">
        <f ca="1">(VLOOKUP(CL$72,INDIRECT($C$5&amp;"生成成长"),2))/((VLOOKUP($B91,INDIRECT($B$5&amp;"生成成长"),4))/(VLOOKUP(CL$72,INDIRECT($C$5&amp;"生成成长"),5))*(VLOOKUP($B$5,标准坦克设计!$B$24:$U$30,MATCH("对"&amp;LEFT($C$5,2)&amp;"输出",标准坦克设计!$B$23:$U$23,0)))*(VLOOKUP($B91,INDIRECT($B$5&amp;"生成成长"),3))*(VLOOKUP($B$5,标准坦克设计!$B$14:$K$20,9)/30))</f>
        <v>27.191600870149802</v>
      </c>
      <c r="CM91" s="173">
        <f ca="1">(VLOOKUP(CM$72,INDIRECT($C$5&amp;"生成成长"),2))/((VLOOKUP($B91,INDIRECT($B$5&amp;"生成成长"),4))/(VLOOKUP(CM$72,INDIRECT($C$5&amp;"生成成长"),5))*(VLOOKUP($B$5,标准坦克设计!$B$24:$U$30,MATCH("对"&amp;LEFT($C$5,2)&amp;"输出",标准坦克设计!$B$23:$U$23,0)))*(VLOOKUP($B91,INDIRECT($B$5&amp;"生成成长"),3))*(VLOOKUP($B$5,标准坦克设计!$B$14:$K$20,9)/30))</f>
        <v>28.974192810648702</v>
      </c>
      <c r="CN91" s="173">
        <f ca="1">(VLOOKUP(CN$72,INDIRECT($C$5&amp;"生成成长"),2))/((VLOOKUP($B91,INDIRECT($B$5&amp;"生成成长"),4))/(VLOOKUP(CN$72,INDIRECT($C$5&amp;"生成成长"),5))*(VLOOKUP($B$5,标准坦克设计!$B$24:$U$30,MATCH("对"&amp;LEFT($C$5,2)&amp;"输出",标准坦克设计!$B$23:$U$23,0)))*(VLOOKUP($B91,INDIRECT($B$5&amp;"生成成长"),3))*(VLOOKUP($B$5,标准坦克设计!$B$14:$K$20,9)/30))</f>
        <v>30.813374971480894</v>
      </c>
      <c r="CO91" s="173">
        <f ca="1">(VLOOKUP(CO$72,INDIRECT($C$5&amp;"生成成长"),2))/((VLOOKUP($B91,INDIRECT($B$5&amp;"生成成长"),4))/(VLOOKUP(CO$72,INDIRECT($C$5&amp;"生成成长"),5))*(VLOOKUP($B$5,标准坦克设计!$B$24:$U$30,MATCH("对"&amp;LEFT($C$5,2)&amp;"输出",标准坦克设计!$B$23:$U$23,0)))*(VLOOKUP($B91,INDIRECT($B$5&amp;"生成成长"),3))*(VLOOKUP($B$5,标准坦克设计!$B$14:$K$20,9)/30))</f>
        <v>13.808247605210445</v>
      </c>
      <c r="CP91" s="173">
        <f ca="1">(VLOOKUP(CP$72,INDIRECT($C$5&amp;"生成成长"),2))/((VLOOKUP($B91,INDIRECT($B$5&amp;"生成成长"),4))/(VLOOKUP(CP$72,INDIRECT($C$5&amp;"生成成长"),5))*(VLOOKUP($B$5,标准坦克设计!$B$24:$U$30,MATCH("对"&amp;LEFT($C$5,2)&amp;"输出",标准坦克设计!$B$23:$U$23,0)))*(VLOOKUP($B91,INDIRECT($B$5&amp;"生成成长"),3))*(VLOOKUP($B$5,标准坦克设计!$B$14:$K$20,9)/30))</f>
        <v>15.086672128194504</v>
      </c>
      <c r="CQ91" s="173">
        <f ca="1">(VLOOKUP(CQ$72,INDIRECT($C$5&amp;"生成成长"),2))/((VLOOKUP($B91,INDIRECT($B$5&amp;"生成成长"),4))/(VLOOKUP(CQ$72,INDIRECT($C$5&amp;"生成成长"),5))*(VLOOKUP($B$5,标准坦克设计!$B$24:$U$30,MATCH("对"&amp;LEFT($C$5,2)&amp;"输出",标准坦克设计!$B$23:$U$23,0)))*(VLOOKUP($B91,INDIRECT($B$5&amp;"生成成长"),3))*(VLOOKUP($B$5,标准坦克设计!$B$14:$K$20,9)/30))</f>
        <v>16.421686871511856</v>
      </c>
      <c r="CR91" s="173">
        <f ca="1">(VLOOKUP(CR$72,INDIRECT($C$5&amp;"生成成长"),2))/((VLOOKUP($B91,INDIRECT($B$5&amp;"生成成长"),4))/(VLOOKUP(CR$72,INDIRECT($C$5&amp;"生成成长"),5))*(VLOOKUP($B$5,标准坦克设计!$B$24:$U$30,MATCH("对"&amp;LEFT($C$5,2)&amp;"输出",标准坦克设计!$B$23:$U$23,0)))*(VLOOKUP($B91,INDIRECT($B$5&amp;"生成成长"),3))*(VLOOKUP($B$5,标准坦克设计!$B$14:$K$20,9)/30))</f>
        <v>17.813291835162509</v>
      </c>
      <c r="CS91" s="173">
        <f ca="1">(VLOOKUP(CS$72,INDIRECT($C$5&amp;"生成成长"),2))/((VLOOKUP($B91,INDIRECT($B$5&amp;"生成成长"),4))/(VLOOKUP(CS$72,INDIRECT($C$5&amp;"生成成长"),5))*(VLOOKUP($B$5,标准坦克设计!$B$24:$U$30,MATCH("对"&amp;LEFT($C$5,2)&amp;"输出",标准坦克设计!$B$23:$U$23,0)))*(VLOOKUP($B91,INDIRECT($B$5&amp;"生成成长"),3))*(VLOOKUP($B$5,标准坦克设计!$B$14:$K$20,9)/30))</f>
        <v>19.261487019146458</v>
      </c>
      <c r="CT91" s="173">
        <f ca="1">(VLOOKUP(CT$72,INDIRECT($C$5&amp;"生成成长"),2))/((VLOOKUP($B91,INDIRECT($B$5&amp;"生成成长"),4))/(VLOOKUP(CT$72,INDIRECT($C$5&amp;"生成成长"),5))*(VLOOKUP($B$5,标准坦克设计!$B$24:$U$30,MATCH("对"&amp;LEFT($C$5,2)&amp;"输出",标准坦克设计!$B$23:$U$23,0)))*(VLOOKUP($B91,INDIRECT($B$5&amp;"生成成长"),3))*(VLOOKUP($B$5,标准坦克设计!$B$14:$K$20,9)/30))</f>
        <v>20.766272423463704</v>
      </c>
      <c r="CU91" s="173">
        <f ca="1">(VLOOKUP(CU$72,INDIRECT($C$5&amp;"生成成长"),2))/((VLOOKUP($B91,INDIRECT($B$5&amp;"生成成长"),4))/(VLOOKUP(CU$72,INDIRECT($C$5&amp;"生成成长"),5))*(VLOOKUP($B$5,标准坦克设计!$B$24:$U$30,MATCH("对"&amp;LEFT($C$5,2)&amp;"输出",标准坦克设计!$B$23:$U$23,0)))*(VLOOKUP($B91,INDIRECT($B$5&amp;"生成成长"),3))*(VLOOKUP($B$5,标准坦克设计!$B$14:$K$20,9)/30))</f>
        <v>22.327648048114252</v>
      </c>
      <c r="CV91" s="173">
        <f ca="1">(VLOOKUP(CV$72,INDIRECT($C$5&amp;"生成成长"),2))/((VLOOKUP($B91,INDIRECT($B$5&amp;"生成成长"),4))/(VLOOKUP(CV$72,INDIRECT($C$5&amp;"生成成长"),5))*(VLOOKUP($B$5,标准坦克设计!$B$24:$U$30,MATCH("对"&amp;LEFT($C$5,2)&amp;"输出",标准坦克设计!$B$23:$U$23,0)))*(VLOOKUP($B91,INDIRECT($B$5&amp;"生成成长"),3))*(VLOOKUP($B$5,标准坦克设计!$B$14:$K$20,9)/30))</f>
        <v>23.945613893098098</v>
      </c>
      <c r="CW91" s="173">
        <f ca="1">(VLOOKUP(CW$72,INDIRECT($C$5&amp;"生成成长"),2))/((VLOOKUP($B91,INDIRECT($B$5&amp;"生成成长"),4))/(VLOOKUP(CW$72,INDIRECT($C$5&amp;"生成成长"),5))*(VLOOKUP($B$5,标准坦克设计!$B$24:$U$30,MATCH("对"&amp;LEFT($C$5,2)&amp;"输出",标准坦克设计!$B$23:$U$23,0)))*(VLOOKUP($B91,INDIRECT($B$5&amp;"生成成长"),3))*(VLOOKUP($B$5,标准坦克设计!$B$14:$K$20,9)/30))</f>
        <v>25.620169958415239</v>
      </c>
      <c r="CX91" s="173">
        <f ca="1">(VLOOKUP(CX$72,INDIRECT($C$5&amp;"生成成长"),2))/((VLOOKUP($B91,INDIRECT($B$5&amp;"生成成长"),4))/(VLOOKUP(CX$72,INDIRECT($C$5&amp;"生成成长"),5))*(VLOOKUP($B$5,标准坦克设计!$B$24:$U$30,MATCH("对"&amp;LEFT($C$5,2)&amp;"输出",标准坦克设计!$B$23:$U$23,0)))*(VLOOKUP($B91,INDIRECT($B$5&amp;"生成成长"),3))*(VLOOKUP($B$5,标准坦克设计!$B$14:$K$20,9)/30))</f>
        <v>27.351316244065682</v>
      </c>
      <c r="CY91" s="173">
        <f ca="1">(VLOOKUP(CY$72,INDIRECT($C$5&amp;"生成成长"),2))/((VLOOKUP($B91,INDIRECT($B$5&amp;"生成成长"),4))/(VLOOKUP(CY$72,INDIRECT($C$5&amp;"生成成长"),5))*(VLOOKUP($B$5,标准坦克设计!$B$24:$U$30,MATCH("对"&amp;LEFT($C$5,2)&amp;"输出",标准坦克设计!$B$23:$U$23,0)))*(VLOOKUP($B91,INDIRECT($B$5&amp;"生成成长"),3))*(VLOOKUP($B$5,标准坦克设计!$B$14:$K$20,9)/30))</f>
        <v>29.139052750049427</v>
      </c>
      <c r="CZ91" s="173">
        <f ca="1">(VLOOKUP(CZ$72,INDIRECT($C$5&amp;"生成成长"),2))/((VLOOKUP($B91,INDIRECT($B$5&amp;"生成成长"),4))/(VLOOKUP(CZ$72,INDIRECT($C$5&amp;"生成成长"),5))*(VLOOKUP($B$5,标准坦克设计!$B$24:$U$30,MATCH("对"&amp;LEFT($C$5,2)&amp;"输出",标准坦克设计!$B$23:$U$23,0)))*(VLOOKUP($B91,INDIRECT($B$5&amp;"生成成长"),3))*(VLOOKUP($B$5,标准坦克设计!$B$14:$K$20,9)/30))</f>
        <v>30.983379476366466</v>
      </c>
      <c r="DA91" s="173">
        <f ca="1">(VLOOKUP(DA$72,INDIRECT($C$5&amp;"生成成长"),2))/((VLOOKUP($B91,INDIRECT($B$5&amp;"生成成长"),4))/(VLOOKUP(DA$72,INDIRECT($C$5&amp;"生成成长"),5))*(VLOOKUP($B$5,标准坦克设计!$B$24:$U$30,MATCH("对"&amp;LEFT($C$5,2)&amp;"输出",标准坦克设计!$B$23:$U$23,0)))*(VLOOKUP($B91,INDIRECT($B$5&amp;"生成成长"),3))*(VLOOKUP($B$5,标准坦克设计!$B$14:$K$20,9)/30))</f>
        <v>32.884296423016799</v>
      </c>
      <c r="DB91" s="173">
        <f ca="1">(VLOOKUP(DB$72,INDIRECT($C$5&amp;"生成成长"),2))/((VLOOKUP($B91,INDIRECT($B$5&amp;"生成成长"),4))/(VLOOKUP(DB$72,INDIRECT($C$5&amp;"生成成长"),5))*(VLOOKUP($B$5,标准坦克设计!$B$24:$U$30,MATCH("对"&amp;LEFT($C$5,2)&amp;"输出",标准坦克设计!$B$23:$U$23,0)))*(VLOOKUP($B91,INDIRECT($B$5&amp;"生成成长"),3))*(VLOOKUP($B$5,标准坦克设计!$B$14:$K$20,9)/30))</f>
        <v>34.841803590000438</v>
      </c>
      <c r="DC91" s="173">
        <f ca="1">(VLOOKUP(DC$72,INDIRECT($C$5&amp;"生成成长"),2))/((VLOOKUP($B91,INDIRECT($B$5&amp;"生成成长"),4))/(VLOOKUP(DC$72,INDIRECT($C$5&amp;"生成成长"),5))*(VLOOKUP($B$5,标准坦克设计!$B$24:$U$30,MATCH("对"&amp;LEFT($C$5,2)&amp;"输出",标准坦克设计!$B$23:$U$23,0)))*(VLOOKUP($B91,INDIRECT($B$5&amp;"生成成长"),3))*(VLOOKUP($B$5,标准坦克设计!$B$14:$K$20,9)/30))</f>
        <v>37.041806866428828</v>
      </c>
      <c r="DD91" s="173">
        <f ca="1">(VLOOKUP(DD$72,INDIRECT($C$5&amp;"生成成长"),2))/((VLOOKUP($B91,INDIRECT($B$5&amp;"生成成长"),4))/(VLOOKUP(DD$72,INDIRECT($C$5&amp;"生成成长"),5))*(VLOOKUP($B$5,标准坦克设计!$B$24:$U$30,MATCH("对"&amp;LEFT($C$5,2)&amp;"输出",标准坦克设计!$B$23:$U$23,0)))*(VLOOKUP($B91,INDIRECT($B$5&amp;"生成成长"),3))*(VLOOKUP($B$5,标准坦克设计!$B$14:$K$20,9)/30))</f>
        <v>39.309157181931546</v>
      </c>
      <c r="DE91" s="173">
        <f ca="1">(VLOOKUP(DE$72,INDIRECT($C$5&amp;"生成成长"),2))/((VLOOKUP($B91,INDIRECT($B$5&amp;"生成成长"),4))/(VLOOKUP(DE$72,INDIRECT($C$5&amp;"生成成长"),5))*(VLOOKUP($B$5,标准坦克设计!$B$24:$U$30,MATCH("对"&amp;LEFT($C$5,2)&amp;"输出",标准坦克设计!$B$23:$U$23,0)))*(VLOOKUP($B91,INDIRECT($B$5&amp;"生成成长"),3))*(VLOOKUP($B$5,标准坦克设计!$B$14:$K$20,9)/30))</f>
        <v>41.643854536508613</v>
      </c>
      <c r="DF91" s="173">
        <f ca="1">(VLOOKUP(DF$72,INDIRECT($C$5&amp;"生成成长"),2))/((VLOOKUP($B91,INDIRECT($B$5&amp;"生成成长"),4))/(VLOOKUP(DF$72,INDIRECT($C$5&amp;"生成成长"),5))*(VLOOKUP($B$5,标准坦克设计!$B$24:$U$30,MATCH("对"&amp;LEFT($C$5,2)&amp;"输出",标准坦克设计!$B$23:$U$23,0)))*(VLOOKUP($B91,INDIRECT($B$5&amp;"生成成长"),3))*(VLOOKUP($B$5,标准坦克设计!$B$14:$K$20,9)/30))</f>
        <v>44.045898930160014</v>
      </c>
      <c r="DG91" s="173">
        <f ca="1">(VLOOKUP(DG$72,INDIRECT($C$5&amp;"生成成长"),2))/((VLOOKUP($B91,INDIRECT($B$5&amp;"生成成长"),4))/(VLOOKUP(DG$72,INDIRECT($C$5&amp;"生成成长"),5))*(VLOOKUP($B$5,标准坦克设计!$B$24:$U$30,MATCH("对"&amp;LEFT($C$5,2)&amp;"输出",标准坦克设计!$B$23:$U$23,0)))*(VLOOKUP($B91,INDIRECT($B$5&amp;"生成成长"),3))*(VLOOKUP($B$5,标准坦克设计!$B$14:$K$20,9)/30))</f>
        <v>46.515290362885757</v>
      </c>
      <c r="DH91" s="173">
        <f ca="1">(VLOOKUP(DH$72,INDIRECT($C$5&amp;"生成成长"),2))/((VLOOKUP($B91,INDIRECT($B$5&amp;"生成成长"),4))/(VLOOKUP(DH$72,INDIRECT($C$5&amp;"生成成长"),5))*(VLOOKUP($B$5,标准坦克设计!$B$24:$U$30,MATCH("对"&amp;LEFT($C$5,2)&amp;"输出",标准坦克设计!$B$23:$U$23,0)))*(VLOOKUP($B91,INDIRECT($B$5&amp;"生成成长"),3))*(VLOOKUP($B$5,标准坦克设计!$B$14:$K$20,9)/30))</f>
        <v>49.052028834685849</v>
      </c>
      <c r="DI91" s="173">
        <f ca="1">(VLOOKUP(DI$72,INDIRECT($C$5&amp;"生成成长"),2))/((VLOOKUP($B91,INDIRECT($B$5&amp;"生成成长"),4))/(VLOOKUP(DI$72,INDIRECT($C$5&amp;"生成成长"),5))*(VLOOKUP($B$5,标准坦克设计!$B$24:$U$30,MATCH("对"&amp;LEFT($C$5,2)&amp;"输出",标准坦克设计!$B$23:$U$23,0)))*(VLOOKUP($B91,INDIRECT($B$5&amp;"生成成长"),3))*(VLOOKUP($B$5,标准坦克设计!$B$14:$K$20,9)/30))</f>
        <v>51.656114345560255</v>
      </c>
      <c r="DJ91" s="173">
        <f ca="1">(VLOOKUP(DJ$72,INDIRECT($C$5&amp;"生成成长"),2))/((VLOOKUP($B91,INDIRECT($B$5&amp;"生成成长"),4))/(VLOOKUP(DJ$72,INDIRECT($C$5&amp;"生成成长"),5))*(VLOOKUP($B$5,标准坦克设计!$B$24:$U$30,MATCH("对"&amp;LEFT($C$5,2)&amp;"输出",标准坦克设计!$B$23:$U$23,0)))*(VLOOKUP($B91,INDIRECT($B$5&amp;"生成成长"),3))*(VLOOKUP($B$5,标准坦克设计!$B$14:$K$20,9)/30))</f>
        <v>5.191568105865926</v>
      </c>
      <c r="DK91" s="173">
        <f ca="1">(VLOOKUP(DK$72,INDIRECT($C$5&amp;"生成成长"),2))/((VLOOKUP($B91,INDIRECT($B$5&amp;"生成成长"),4))/(VLOOKUP(DK$72,INDIRECT($C$5&amp;"生成成长"),5))*(VLOOKUP($B$5,标准坦克设计!$B$24:$U$30,MATCH("对"&amp;LEFT($C$5,2)&amp;"输出",标准坦克设计!$B$23:$U$23,0)))*(VLOOKUP($B91,INDIRECT($B$5&amp;"生成成长"),3))*(VLOOKUP($B$5,标准坦克设计!$B$14:$K$20,9)/30))</f>
        <v>5.8376787619853614</v>
      </c>
      <c r="DL91" s="173">
        <f ca="1">(VLOOKUP(DL$72,INDIRECT($C$5&amp;"生成成长"),2))/((VLOOKUP($B91,INDIRECT($B$5&amp;"生成成长"),4))/(VLOOKUP(DL$72,INDIRECT($C$5&amp;"生成成长"),5))*(VLOOKUP($B$5,标准坦克设计!$B$24:$U$30,MATCH("对"&amp;LEFT($C$5,2)&amp;"输出",标准坦克设计!$B$23:$U$23,0)))*(VLOOKUP($B91,INDIRECT($B$5&amp;"生成成长"),3))*(VLOOKUP($B$5,标准坦克设计!$B$14:$K$20,9)/30))</f>
        <v>6.5216721275841101</v>
      </c>
      <c r="DM91" s="173">
        <f ca="1">(VLOOKUP(DM$72,INDIRECT($C$5&amp;"生成成长"),2))/((VLOOKUP($B91,INDIRECT($B$5&amp;"生成成长"),4))/(VLOOKUP(DM$72,INDIRECT($C$5&amp;"生成成长"),5))*(VLOOKUP($B$5,标准坦克设计!$B$24:$U$30,MATCH("对"&amp;LEFT($C$5,2)&amp;"输出",标准坦克设计!$B$23:$U$23,0)))*(VLOOKUP($B91,INDIRECT($B$5&amp;"生成成长"),3))*(VLOOKUP($B$5,标准坦克设计!$B$14:$K$20,9)/30))</f>
        <v>7.2435482026621756</v>
      </c>
      <c r="DN91" s="173">
        <f ca="1">(VLOOKUP(DN$72,INDIRECT($C$5&amp;"生成成长"),2))/((VLOOKUP($B91,INDIRECT($B$5&amp;"生成成长"),4))/(VLOOKUP(DN$72,INDIRECT($C$5&amp;"生成成长"),5))*(VLOOKUP($B$5,标准坦克设计!$B$24:$U$30,MATCH("对"&amp;LEFT($C$5,2)&amp;"输出",标准坦克设计!$B$23:$U$23,0)))*(VLOOKUP($B91,INDIRECT($B$5&amp;"生成成长"),3))*(VLOOKUP($B$5,标准坦克设计!$B$14:$K$20,9)/30))</f>
        <v>8.0033069872195561</v>
      </c>
      <c r="DO91" s="173">
        <f ca="1">(VLOOKUP(DO$72,INDIRECT($C$5&amp;"生成成长"),2))/((VLOOKUP($B91,INDIRECT($B$5&amp;"生成成长"),4))/(VLOOKUP(DO$72,INDIRECT($C$5&amp;"生成成长"),5))*(VLOOKUP($B$5,标准坦克设计!$B$24:$U$30,MATCH("对"&amp;LEFT($C$5,2)&amp;"输出",标准坦克设计!$B$23:$U$23,0)))*(VLOOKUP($B91,INDIRECT($B$5&amp;"生成成长"),3))*(VLOOKUP($B$5,标准坦克设计!$B$14:$K$20,9)/30))</f>
        <v>8.8009484812562508</v>
      </c>
      <c r="DP91" s="173">
        <f ca="1">(VLOOKUP(DP$72,INDIRECT($C$5&amp;"生成成长"),2))/((VLOOKUP($B91,INDIRECT($B$5&amp;"生成成长"),4))/(VLOOKUP(DP$72,INDIRECT($C$5&amp;"生成成长"),5))*(VLOOKUP($B$5,标准坦克设计!$B$24:$U$30,MATCH("对"&amp;LEFT($C$5,2)&amp;"输出",标准坦克设计!$B$23:$U$23,0)))*(VLOOKUP($B91,INDIRECT($B$5&amp;"生成成长"),3))*(VLOOKUP($B$5,标准坦克设计!$B$14:$K$20,9)/30))</f>
        <v>9.6364726847722597</v>
      </c>
      <c r="DQ91" s="173">
        <f ca="1">(VLOOKUP(DQ$72,INDIRECT($C$5&amp;"生成成长"),2))/((VLOOKUP($B91,INDIRECT($B$5&amp;"生成成长"),4))/(VLOOKUP(DQ$72,INDIRECT($C$5&amp;"生成成长"),5))*(VLOOKUP($B$5,标准坦克设计!$B$24:$U$30,MATCH("对"&amp;LEFT($C$5,2)&amp;"输出",标准坦克设计!$B$23:$U$23,0)))*(VLOOKUP($B91,INDIRECT($B$5&amp;"生成成长"),3))*(VLOOKUP($B$5,标准坦克设计!$B$14:$K$20,9)/30))</f>
        <v>10.50987959776759</v>
      </c>
      <c r="DR91" s="173">
        <f ca="1">(VLOOKUP(DR$72,INDIRECT($C$5&amp;"生成成长"),2))/((VLOOKUP($B91,INDIRECT($B$5&amp;"生成成长"),4))/(VLOOKUP(DR$72,INDIRECT($C$5&amp;"生成成长"),5))*(VLOOKUP($B$5,标准坦克设计!$B$24:$U$30,MATCH("对"&amp;LEFT($C$5,2)&amp;"输出",标准坦克设计!$B$23:$U$23,0)))*(VLOOKUP($B91,INDIRECT($B$5&amp;"生成成长"),3))*(VLOOKUP($B$5,标准坦克设计!$B$14:$K$20,9)/30))</f>
        <v>11.421169220242227</v>
      </c>
      <c r="DS91" s="173">
        <f ca="1">(VLOOKUP(DS$72,INDIRECT($C$5&amp;"生成成长"),2))/((VLOOKUP($B91,INDIRECT($B$5&amp;"生成成长"),4))/(VLOOKUP(DS$72,INDIRECT($C$5&amp;"生成成长"),5))*(VLOOKUP($B$5,标准坦克设计!$B$24:$U$30,MATCH("对"&amp;LEFT($C$5,2)&amp;"输出",标准坦克设计!$B$23:$U$23,0)))*(VLOOKUP($B91,INDIRECT($B$5&amp;"生成成长"),3))*(VLOOKUP($B$5,标准坦克设计!$B$14:$K$20,9)/30))</f>
        <v>12.370341552196184</v>
      </c>
      <c r="DT91" s="173">
        <f ca="1">(VLOOKUP(DT$72,INDIRECT($C$5&amp;"生成成长"),2))/((VLOOKUP($B91,INDIRECT($B$5&amp;"生成成长"),4))/(VLOOKUP(DT$72,INDIRECT($C$5&amp;"生成成长"),5))*(VLOOKUP($B$5,标准坦克设计!$B$24:$U$30,MATCH("对"&amp;LEFT($C$5,2)&amp;"输出",标准坦克设计!$B$23:$U$23,0)))*(VLOOKUP($B91,INDIRECT($B$5&amp;"生成成长"),3))*(VLOOKUP($B$5,标准坦克设计!$B$14:$K$20,9)/30))</f>
        <v>13.581886723877256</v>
      </c>
      <c r="DU91" s="173">
        <f ca="1">(VLOOKUP(DU$72,INDIRECT($C$5&amp;"生成成长"),2))/((VLOOKUP($B91,INDIRECT($B$5&amp;"生成成长"),4))/(VLOOKUP(DU$72,INDIRECT($C$5&amp;"生成成长"),5))*(VLOOKUP($B$5,标准坦克设计!$B$24:$U$30,MATCH("对"&amp;LEFT($C$5,2)&amp;"输出",标准坦克设计!$B$23:$U$23,0)))*(VLOOKUP($B91,INDIRECT($B$5&amp;"生成成长"),3))*(VLOOKUP($B$5,标准坦克设计!$B$14:$K$20,9)/30))</f>
        <v>14.850022115891619</v>
      </c>
      <c r="DV91" s="173">
        <f ca="1">(VLOOKUP(DV$72,INDIRECT($C$5&amp;"生成成长"),2))/((VLOOKUP($B91,INDIRECT($B$5&amp;"生成成长"),4))/(VLOOKUP(DV$72,INDIRECT($C$5&amp;"生成成长"),5))*(VLOOKUP($B$5,标准坦克设计!$B$24:$U$30,MATCH("对"&amp;LEFT($C$5,2)&amp;"输出",标准坦克设计!$B$23:$U$23,0)))*(VLOOKUP($B91,INDIRECT($B$5&amp;"生成成长"),3))*(VLOOKUP($B$5,标准坦克设计!$B$14:$K$20,9)/30))</f>
        <v>16.174747728239282</v>
      </c>
      <c r="DW91" s="173">
        <f ca="1">(VLOOKUP(DW$72,INDIRECT($C$5&amp;"生成成长"),2))/((VLOOKUP($B91,INDIRECT($B$5&amp;"生成成长"),4))/(VLOOKUP(DW$72,INDIRECT($C$5&amp;"生成成长"),5))*(VLOOKUP($B$5,标准坦克设计!$B$24:$U$30,MATCH("对"&amp;LEFT($C$5,2)&amp;"输出",标准坦克设计!$B$23:$U$23,0)))*(VLOOKUP($B91,INDIRECT($B$5&amp;"生成成长"),3))*(VLOOKUP($B$5,标准坦克设计!$B$14:$K$20,9)/30))</f>
        <v>17.556063560920244</v>
      </c>
      <c r="DX91" s="173">
        <f ca="1">(VLOOKUP(DX$72,INDIRECT($C$5&amp;"生成成长"),2))/((VLOOKUP($B91,INDIRECT($B$5&amp;"生成成长"),4))/(VLOOKUP(DX$72,INDIRECT($C$5&amp;"生成成长"),5))*(VLOOKUP($B$5,标准坦克设计!$B$24:$U$30,MATCH("对"&amp;LEFT($C$5,2)&amp;"输出",标准坦克设计!$B$23:$U$23,0)))*(VLOOKUP($B91,INDIRECT($B$5&amp;"生成成长"),3))*(VLOOKUP($B$5,标准坦克设计!$B$14:$K$20,9)/30))</f>
        <v>18.993969613934503</v>
      </c>
      <c r="DY91" s="173">
        <f ca="1">(VLOOKUP(DY$72,INDIRECT($C$5&amp;"生成成长"),2))/((VLOOKUP($B91,INDIRECT($B$5&amp;"生成成长"),4))/(VLOOKUP(DY$72,INDIRECT($C$5&amp;"生成成长"),5))*(VLOOKUP($B$5,标准坦克设计!$B$24:$U$30,MATCH("对"&amp;LEFT($C$5,2)&amp;"输出",标准坦克设计!$B$23:$U$23,0)))*(VLOOKUP($B91,INDIRECT($B$5&amp;"生成成长"),3))*(VLOOKUP($B$5,标准坦克设计!$B$14:$K$20,9)/30))</f>
        <v>8.5308587933018742</v>
      </c>
      <c r="DZ91" s="173">
        <f ca="1">(VLOOKUP(DZ$72,INDIRECT($C$5&amp;"生成成长"),2))/((VLOOKUP($B91,INDIRECT($B$5&amp;"生成成长"),4))/(VLOOKUP(DZ$72,INDIRECT($C$5&amp;"生成成长"),5))*(VLOOKUP($B$5,标准坦克设计!$B$24:$U$30,MATCH("对"&amp;LEFT($C$5,2)&amp;"输出",标准坦克设计!$B$23:$U$23,0)))*(VLOOKUP($B91,INDIRECT($B$5&amp;"生成成长"),3))*(VLOOKUP($B$5,标准坦克设计!$B$14:$K$20,9)/30))</f>
        <v>9.447526825147035</v>
      </c>
      <c r="EA91" s="173">
        <f ca="1">(VLOOKUP(EA$72,INDIRECT($C$5&amp;"生成成长"),2))/((VLOOKUP($B91,INDIRECT($B$5&amp;"生成成长"),4))/(VLOOKUP(EA$72,INDIRECT($C$5&amp;"生成成长"),5))*(VLOOKUP($B$5,标准坦克设计!$B$24:$U$30,MATCH("对"&amp;LEFT($C$5,2)&amp;"输出",标准坦克设计!$B$23:$U$23,0)))*(VLOOKUP($B91,INDIRECT($B$5&amp;"生成成长"),3))*(VLOOKUP($B$5,标准坦克设计!$B$14:$K$20,9)/30))</f>
        <v>10.410963634127153</v>
      </c>
      <c r="EB91" s="173">
        <f ca="1">(VLOOKUP(EB$72,INDIRECT($C$5&amp;"生成成长"),2))/((VLOOKUP($B91,INDIRECT($B$5&amp;"生成成长"),4))/(VLOOKUP(EB$72,INDIRECT($C$5&amp;"生成成长"),5))*(VLOOKUP($B$5,标准坦克设计!$B$24:$U$30,MATCH("对"&amp;LEFT($C$5,2)&amp;"输出",标准坦克设计!$B$23:$U$23,0)))*(VLOOKUP($B91,INDIRECT($B$5&amp;"生成成长"),3))*(VLOOKUP($B$5,标准坦克设计!$B$14:$K$20,9)/30))</f>
        <v>11.421169220242227</v>
      </c>
      <c r="EC91" s="173">
        <f ca="1">(VLOOKUP(EC$72,INDIRECT($C$5&amp;"生成成长"),2))/((VLOOKUP($B91,INDIRECT($B$5&amp;"生成成长"),4))/(VLOOKUP(EC$72,INDIRECT($C$5&amp;"生成成长"),5))*(VLOOKUP($B$5,标准坦克设计!$B$24:$U$30,MATCH("对"&amp;LEFT($C$5,2)&amp;"输出",标准坦克设计!$B$23:$U$23,0)))*(VLOOKUP($B91,INDIRECT($B$5&amp;"生成成长"),3))*(VLOOKUP($B$5,标准坦克设计!$B$14:$K$20,9)/30))</f>
        <v>12.478143583492264</v>
      </c>
      <c r="ED91" s="173">
        <f ca="1">(VLOOKUP(ED$72,INDIRECT($C$5&amp;"生成成长"),2))/((VLOOKUP($B91,INDIRECT($B$5&amp;"生成成长"),4))/(VLOOKUP(ED$72,INDIRECT($C$5&amp;"生成成长"),5))*(VLOOKUP($B$5,标准坦克设计!$B$24:$U$30,MATCH("对"&amp;LEFT($C$5,2)&amp;"输出",标准坦克设计!$B$23:$U$23,0)))*(VLOOKUP($B91,INDIRECT($B$5&amp;"生成成长"),3))*(VLOOKUP($B$5,标准坦克设计!$B$14:$K$20,9)/30))</f>
        <v>13.581886723877256</v>
      </c>
      <c r="EE91" s="173">
        <f ca="1">(VLOOKUP(EE$72,INDIRECT($C$5&amp;"生成成长"),2))/((VLOOKUP($B91,INDIRECT($B$5&amp;"生成成长"),4))/(VLOOKUP(EE$72,INDIRECT($C$5&amp;"生成成长"),5))*(VLOOKUP($B$5,标准坦克设计!$B$24:$U$30,MATCH("对"&amp;LEFT($C$5,2)&amp;"输出",标准坦克设计!$B$23:$U$23,0)))*(VLOOKUP($B91,INDIRECT($B$5&amp;"生成成长"),3))*(VLOOKUP($B$5,标准坦克设计!$B$14:$K$20,9)/30))</f>
        <v>14.7323986413972</v>
      </c>
      <c r="EF91" s="173">
        <f ca="1">(VLOOKUP(EF$72,INDIRECT($C$5&amp;"生成成长"),2))/((VLOOKUP($B91,INDIRECT($B$5&amp;"生成成长"),4))/(VLOOKUP(EF$72,INDIRECT($C$5&amp;"生成成长"),5))*(VLOOKUP($B$5,标准坦克设计!$B$24:$U$30,MATCH("对"&amp;LEFT($C$5,2)&amp;"输出",标准坦克设计!$B$23:$U$23,0)))*(VLOOKUP($B91,INDIRECT($B$5&amp;"生成成长"),3))*(VLOOKUP($B$5,标准坦克设计!$B$14:$K$20,9)/30))</f>
        <v>15.929679336052104</v>
      </c>
      <c r="EG91" s="173">
        <f ca="1">(VLOOKUP(EG$72,INDIRECT($C$5&amp;"生成成长"),2))/((VLOOKUP($B91,INDIRECT($B$5&amp;"生成成长"),4))/(VLOOKUP(EG$72,INDIRECT($C$5&amp;"生成成长"),5))*(VLOOKUP($B$5,标准坦克设计!$B$24:$U$30,MATCH("对"&amp;LEFT($C$5,2)&amp;"输出",标准坦克设计!$B$23:$U$23,0)))*(VLOOKUP($B91,INDIRECT($B$5&amp;"生成成长"),3))*(VLOOKUP($B$5,标准坦克设计!$B$14:$K$20,9)/30))</f>
        <v>17.173728807841968</v>
      </c>
      <c r="EH91" s="173">
        <f ca="1">(VLOOKUP(EH$72,INDIRECT($C$5&amp;"生成成长"),2))/((VLOOKUP($B91,INDIRECT($B$5&amp;"生成成长"),4))/(VLOOKUP(EH$72,INDIRECT($C$5&amp;"生成成长"),5))*(VLOOKUP($B$5,标准坦克设计!$B$24:$U$30,MATCH("对"&amp;LEFT($C$5,2)&amp;"输出",标准坦克设计!$B$23:$U$23,0)))*(VLOOKUP($B91,INDIRECT($B$5&amp;"生成成长"),3))*(VLOOKUP($B$5,标准坦克设计!$B$14:$K$20,9)/30))</f>
        <v>18.46454705676679</v>
      </c>
      <c r="EI91" s="173">
        <f ca="1">(VLOOKUP(EI$72,INDIRECT($C$5&amp;"生成成长"),2))/((VLOOKUP($B91,INDIRECT($B$5&amp;"生成成长"),4))/(VLOOKUP(EI$72,INDIRECT($C$5&amp;"生成成长"),5))*(VLOOKUP($B$5,标准坦克设计!$B$24:$U$30,MATCH("对"&amp;LEFT($C$5,2)&amp;"输出",标准坦克设计!$B$23:$U$23,0)))*(VLOOKUP($B91,INDIRECT($B$5&amp;"生成成长"),3))*(VLOOKUP($B$5,标准坦克设计!$B$14:$K$20,9)/30))</f>
        <v>19.802134082826562</v>
      </c>
      <c r="EJ91" s="173">
        <f ca="1">(VLOOKUP(EJ$72,INDIRECT($C$5&amp;"生成成长"),2))/((VLOOKUP($B91,INDIRECT($B$5&amp;"生成成长"),4))/(VLOOKUP(EJ$72,INDIRECT($C$5&amp;"生成成长"),5))*(VLOOKUP($B$5,标准坦克设计!$B$24:$U$30,MATCH("对"&amp;LEFT($C$5,2)&amp;"输出",标准坦克设计!$B$23:$U$23,0)))*(VLOOKUP($B91,INDIRECT($B$5&amp;"生成成长"),3))*(VLOOKUP($B$5,标准坦克设计!$B$14:$K$20,9)/30))</f>
        <v>21.186489886021299</v>
      </c>
      <c r="EK91" s="173">
        <f ca="1">(VLOOKUP(EK$72,INDIRECT($C$5&amp;"生成成长"),2))/((VLOOKUP($B91,INDIRECT($B$5&amp;"生成成长"),4))/(VLOOKUP(EK$72,INDIRECT($C$5&amp;"生成成长"),5))*(VLOOKUP($B$5,标准坦克设计!$B$24:$U$30,MATCH("对"&amp;LEFT($C$5,2)&amp;"输出",标准坦克设计!$B$23:$U$23,0)))*(VLOOKUP($B91,INDIRECT($B$5&amp;"生成成长"),3))*(VLOOKUP($B$5,标准坦克设计!$B$14:$K$20,9)/30))</f>
        <v>22.909451635673125</v>
      </c>
      <c r="EL91" s="173">
        <f ca="1">(VLOOKUP(EL$72,INDIRECT($C$5&amp;"生成成长"),2))/((VLOOKUP($B91,INDIRECT($B$5&amp;"生成成长"),4))/(VLOOKUP(EL$72,INDIRECT($C$5&amp;"生成成长"),5))*(VLOOKUP($B$5,标准坦克设计!$B$24:$U$30,MATCH("对"&amp;LEFT($C$5,2)&amp;"输出",标准坦克设计!$B$23:$U$23,0)))*(VLOOKUP($B91,INDIRECT($B$5&amp;"生成成长"),3))*(VLOOKUP($B$5,标准坦克设计!$B$14:$K$20,9)/30))</f>
        <v>24.699760424399287</v>
      </c>
      <c r="EM91" s="173">
        <f ca="1">(VLOOKUP(EM$72,INDIRECT($C$5&amp;"生成成长"),2))/((VLOOKUP($B91,INDIRECT($B$5&amp;"生成成长"),4))/(VLOOKUP(EM$72,INDIRECT($C$5&amp;"生成成长"),5))*(VLOOKUP($B$5,标准坦克设计!$B$24:$U$30,MATCH("对"&amp;LEFT($C$5,2)&amp;"输出",标准坦克设计!$B$23:$U$23,0)))*(VLOOKUP($B91,INDIRECT($B$5&amp;"生成成长"),3))*(VLOOKUP($B$5,标准坦克设计!$B$14:$K$20,9)/30))</f>
        <v>26.557416252199786</v>
      </c>
      <c r="EN91" s="173">
        <f ca="1">(VLOOKUP(EN$72,INDIRECT($C$5&amp;"生成成长"),2))/((VLOOKUP($B91,INDIRECT($B$5&amp;"生成成长"),4))/(VLOOKUP(EN$72,INDIRECT($C$5&amp;"生成成长"),5))*(VLOOKUP($B$5,标准坦克设计!$B$24:$U$30,MATCH("对"&amp;LEFT($C$5,2)&amp;"输出",标准坦克设计!$B$23:$U$23,0)))*(VLOOKUP($B91,INDIRECT($B$5&amp;"生成成长"),3))*(VLOOKUP($B$5,标准坦克设计!$B$14:$K$20,9)/30))</f>
        <v>28.482419119074624</v>
      </c>
      <c r="EO91" s="173">
        <f ca="1">(VLOOKUP(EO$72,INDIRECT($C$5&amp;"生成成长"),2))/((VLOOKUP($B91,INDIRECT($B$5&amp;"生成成长"),4))/(VLOOKUP(EO$72,INDIRECT($C$5&amp;"生成成长"),5))*(VLOOKUP($B$5,标准坦克设计!$B$24:$U$30,MATCH("对"&amp;LEFT($C$5,2)&amp;"输出",标准坦克设计!$B$23:$U$23,0)))*(VLOOKUP($B91,INDIRECT($B$5&amp;"生成成长"),3))*(VLOOKUP($B$5,标准坦克设计!$B$14:$K$20,9)/30))</f>
        <v>30.474769025023807</v>
      </c>
      <c r="EP91" s="173">
        <f ca="1">(VLOOKUP(EP$72,INDIRECT($C$5&amp;"生成成长"),2))/((VLOOKUP($B91,INDIRECT($B$5&amp;"生成成长"),4))/(VLOOKUP(EP$72,INDIRECT($C$5&amp;"生成成长"),5))*(VLOOKUP($B$5,标准坦克设计!$B$24:$U$30,MATCH("对"&amp;LEFT($C$5,2)&amp;"输出",标准坦克设计!$B$23:$U$23,0)))*(VLOOKUP($B91,INDIRECT($B$5&amp;"生成成长"),3))*(VLOOKUP($B$5,标准坦克设计!$B$14:$K$20,9)/30))</f>
        <v>32.534465970047322</v>
      </c>
      <c r="EQ91" s="173">
        <f ca="1">(VLOOKUP(EQ$72,INDIRECT($C$5&amp;"生成成长"),2))/((VLOOKUP($B91,INDIRECT($B$5&amp;"生成成长"),4))/(VLOOKUP(EQ$72,INDIRECT($C$5&amp;"生成成长"),5))*(VLOOKUP($B$5,标准坦克设计!$B$24:$U$30,MATCH("对"&amp;LEFT($C$5,2)&amp;"输出",标准坦克设计!$B$23:$U$23,0)))*(VLOOKUP($B91,INDIRECT($B$5&amp;"生成成长"),3))*(VLOOKUP($B$5,标准坦克设计!$B$14:$K$20,9)/30))</f>
        <v>14.382334344542048</v>
      </c>
      <c r="ER91" s="173">
        <f ca="1">(VLOOKUP(ER$72,INDIRECT($C$5&amp;"生成成长"),2))/((VLOOKUP($B91,INDIRECT($B$5&amp;"生成成长"),4))/(VLOOKUP(ER$72,INDIRECT($C$5&amp;"生成成长"),5))*(VLOOKUP($B$5,标准坦克设计!$B$24:$U$30,MATCH("对"&amp;LEFT($C$5,2)&amp;"输出",标准坦克设计!$B$23:$U$23,0)))*(VLOOKUP($B91,INDIRECT($B$5&amp;"生成成长"),3))*(VLOOKUP($B$5,标准坦克设计!$B$14:$K$20,9)/30))</f>
        <v>15.686481694950327</v>
      </c>
      <c r="ES91" s="173">
        <f ca="1">(VLOOKUP(ES$72,INDIRECT($C$5&amp;"生成成长"),2))/((VLOOKUP($B91,INDIRECT($B$5&amp;"生成成长"),4))/(VLOOKUP(ES$72,INDIRECT($C$5&amp;"生成成长"),5))*(VLOOKUP($B$5,标准坦克设计!$B$24:$U$30,MATCH("对"&amp;LEFT($C$5,2)&amp;"输出",标准坦克设计!$B$23:$U$23,0)))*(VLOOKUP($B91,INDIRECT($B$5&amp;"生成成长"),3))*(VLOOKUP($B$5,标准坦克设计!$B$14:$K$20,9)/30))</f>
        <v>17.047219265691908</v>
      </c>
      <c r="ET91" s="173">
        <f ca="1">(VLOOKUP(ET$72,INDIRECT($C$5&amp;"生成成长"),2))/((VLOOKUP($B91,INDIRECT($B$5&amp;"生成成长"),4))/(VLOOKUP(ET$72,INDIRECT($C$5&amp;"生成成长"),5))*(VLOOKUP($B$5,标准坦克设计!$B$24:$U$30,MATCH("对"&amp;LEFT($C$5,2)&amp;"输出",标准坦克设计!$B$23:$U$23,0)))*(VLOOKUP($B91,INDIRECT($B$5&amp;"生成成长"),3))*(VLOOKUP($B$5,标准坦克设计!$B$14:$K$20,9)/30))</f>
        <v>18.46454705676679</v>
      </c>
      <c r="EU91" s="173">
        <f ca="1">(VLOOKUP(EU$72,INDIRECT($C$5&amp;"生成成长"),2))/((VLOOKUP($B91,INDIRECT($B$5&amp;"生成成长"),4))/(VLOOKUP(EU$72,INDIRECT($C$5&amp;"生成成长"),5))*(VLOOKUP($B$5,标准坦克设计!$B$24:$U$30,MATCH("对"&amp;LEFT($C$5,2)&amp;"输出",标准坦克设计!$B$23:$U$23,0)))*(VLOOKUP($B91,INDIRECT($B$5&amp;"生成成长"),3))*(VLOOKUP($B$5,标准坦克设计!$B$14:$K$20,9)/30))</f>
        <v>19.938465068174963</v>
      </c>
      <c r="EV91" s="173">
        <f ca="1">(VLOOKUP(EV$72,INDIRECT($C$5&amp;"生成成长"),2))/((VLOOKUP($B91,INDIRECT($B$5&amp;"生成成长"),4))/(VLOOKUP(EV$72,INDIRECT($C$5&amp;"生成成长"),5))*(VLOOKUP($B$5,标准坦克设计!$B$24:$U$30,MATCH("对"&amp;LEFT($C$5,2)&amp;"输出",标准坦克设计!$B$23:$U$23,0)))*(VLOOKUP($B91,INDIRECT($B$5&amp;"生成成长"),3))*(VLOOKUP($B$5,标准坦克设计!$B$14:$K$20,9)/30))</f>
        <v>21.468973299916442</v>
      </c>
      <c r="EW91" s="173">
        <f ca="1">(VLOOKUP(EW$72,INDIRECT($C$5&amp;"生成成长"),2))/((VLOOKUP($B91,INDIRECT($B$5&amp;"生成成长"),4))/(VLOOKUP(EW$72,INDIRECT($C$5&amp;"生成成长"),5))*(VLOOKUP($B$5,标准坦克设计!$B$24:$U$30,MATCH("对"&amp;LEFT($C$5,2)&amp;"输出",标准坦克设计!$B$23:$U$23,0)))*(VLOOKUP($B91,INDIRECT($B$5&amp;"生成成长"),3))*(VLOOKUP($B$5,标准坦克设计!$B$14:$K$20,9)/30))</f>
        <v>23.056071751991215</v>
      </c>
      <c r="EX91" s="173">
        <f ca="1">(VLOOKUP(EX$72,INDIRECT($C$5&amp;"生成成长"),2))/((VLOOKUP($B91,INDIRECT($B$5&amp;"生成成长"),4))/(VLOOKUP(EX$72,INDIRECT($C$5&amp;"生成成长"),5))*(VLOOKUP($B$5,标准坦克设计!$B$24:$U$30,MATCH("对"&amp;LEFT($C$5,2)&amp;"输出",标准坦克设计!$B$23:$U$23,0)))*(VLOOKUP($B91,INDIRECT($B$5&amp;"生成成长"),3))*(VLOOKUP($B$5,标准坦克设计!$B$14:$K$20,9)/30))</f>
        <v>24.699760424399287</v>
      </c>
      <c r="EY91" s="173">
        <f ca="1">(VLOOKUP(EY$72,INDIRECT($C$5&amp;"生成成长"),2))/((VLOOKUP($B91,INDIRECT($B$5&amp;"生成成长"),4))/(VLOOKUP(EY$72,INDIRECT($C$5&amp;"生成成长"),5))*(VLOOKUP($B$5,标准坦克设计!$B$24:$U$30,MATCH("对"&amp;LEFT($C$5,2)&amp;"输出",标准坦克设计!$B$23:$U$23,0)))*(VLOOKUP($B91,INDIRECT($B$5&amp;"生成成长"),3))*(VLOOKUP($B$5,标准坦克设计!$B$14:$K$20,9)/30))</f>
        <v>26.400039317140656</v>
      </c>
      <c r="EZ91" s="173">
        <f ca="1">(VLOOKUP(EZ$72,INDIRECT($C$5&amp;"生成成长"),2))/((VLOOKUP($B91,INDIRECT($B$5&amp;"生成成长"),4))/(VLOOKUP(EZ$72,INDIRECT($C$5&amp;"生成成长"),5))*(VLOOKUP($B$5,标准坦克设计!$B$24:$U$30,MATCH("对"&amp;LEFT($C$5,2)&amp;"输出",标准坦克设计!$B$23:$U$23,0)))*(VLOOKUP($B91,INDIRECT($B$5&amp;"生成成长"),3))*(VLOOKUP($B$5,标准坦克设计!$B$14:$K$20,9)/30))</f>
        <v>28.156908430215321</v>
      </c>
      <c r="FA91" s="173">
        <f ca="1">(VLOOKUP(FA$72,INDIRECT($C$5&amp;"生成成长"),2))/((VLOOKUP($B91,INDIRECT($B$5&amp;"生成成长"),4))/(VLOOKUP(FA$72,INDIRECT($C$5&amp;"生成成长"),5))*(VLOOKUP($B$5,标准坦克设计!$B$24:$U$30,MATCH("对"&amp;LEFT($C$5,2)&amp;"输出",标准坦克设计!$B$23:$U$23,0)))*(VLOOKUP($B91,INDIRECT($B$5&amp;"生成成长"),3))*(VLOOKUP($B$5,标准坦克设计!$B$14:$K$20,9)/30))</f>
        <v>29.97036776362329</v>
      </c>
      <c r="FB91" s="173">
        <f ca="1">(VLOOKUP(FB$72,INDIRECT($C$5&amp;"生成成长"),2))/((VLOOKUP($B91,INDIRECT($B$5&amp;"生成成长"),4))/(VLOOKUP(FB$72,INDIRECT($C$5&amp;"生成成长"),5))*(VLOOKUP($B$5,标准坦克设计!$B$24:$U$30,MATCH("对"&amp;LEFT($C$5,2)&amp;"输出",标准坦克设计!$B$23:$U$23,0)))*(VLOOKUP($B91,INDIRECT($B$5&amp;"生成成长"),3))*(VLOOKUP($B$5,标准坦克设计!$B$14:$K$20,9)/30))</f>
        <v>31.840417317364548</v>
      </c>
      <c r="FC91" s="173">
        <f ca="1">(VLOOKUP(FC$72,INDIRECT($C$5&amp;"生成成长"),2))/((VLOOKUP($B91,INDIRECT($B$5&amp;"生成成长"),4))/(VLOOKUP(FC$72,INDIRECT($C$5&amp;"生成成长"),5))*(VLOOKUP($B$5,标准坦克设计!$B$24:$U$30,MATCH("对"&amp;LEFT($C$5,2)&amp;"输出",标准坦克设计!$B$23:$U$23,0)))*(VLOOKUP($B91,INDIRECT($B$5&amp;"生成成长"),3))*(VLOOKUP($B$5,标准坦克设计!$B$14:$K$20,9)/30))</f>
        <v>33.767057091439121</v>
      </c>
      <c r="FD91" s="173">
        <f ca="1">(VLOOKUP(FD$72,INDIRECT($C$5&amp;"生成成长"),2))/((VLOOKUP($B91,INDIRECT($B$5&amp;"生成成长"),4))/(VLOOKUP(FD$72,INDIRECT($C$5&amp;"生成成长"),5))*(VLOOKUP($B$5,标准坦克设计!$B$24:$U$30,MATCH("对"&amp;LEFT($C$5,2)&amp;"输出",标准坦克设计!$B$23:$U$23,0)))*(VLOOKUP($B91,INDIRECT($B$5&amp;"生成成长"),3))*(VLOOKUP($B$5,标准坦克设计!$B$14:$K$20,9)/30))</f>
        <v>35.750287085846985</v>
      </c>
      <c r="FE91" s="173">
        <f ca="1">(VLOOKUP(FE$72,INDIRECT($C$5&amp;"生成成长"),2))/((VLOOKUP($B91,INDIRECT($B$5&amp;"生成成长"),4))/(VLOOKUP(FE$72,INDIRECT($C$5&amp;"生成成长"),5))*(VLOOKUP($B$5,标准坦克设计!$B$24:$U$30,MATCH("对"&amp;LEFT($C$5,2)&amp;"输出",标准坦克设计!$B$23:$U$23,0)))*(VLOOKUP($B91,INDIRECT($B$5&amp;"生成成长"),3))*(VLOOKUP($B$5,标准坦克设计!$B$14:$K$20,9)/30))</f>
        <v>38.167063644295894</v>
      </c>
      <c r="FF91" s="173">
        <f ca="1">(VLOOKUP(FF$72,INDIRECT($C$5&amp;"生成成长"),2))/((VLOOKUP($B91,INDIRECT($B$5&amp;"生成成长"),4))/(VLOOKUP(FF$72,INDIRECT($C$5&amp;"生成成长"),5))*(VLOOKUP($B$5,标准坦克设计!$B$24:$U$30,MATCH("对"&amp;LEFT($C$5,2)&amp;"输出",标准坦克设计!$B$23:$U$23,0)))*(VLOOKUP($B91,INDIRECT($B$5&amp;"生成成长"),3))*(VLOOKUP($B$5,标准坦克设计!$B$14:$K$20,9)/30))</f>
        <v>40.662879436102891</v>
      </c>
      <c r="FG91" s="173">
        <f ca="1">(VLOOKUP(FG$72,INDIRECT($C$5&amp;"生成成长"),2))/((VLOOKUP($B91,INDIRECT($B$5&amp;"生成成长"),4))/(VLOOKUP(FG$72,INDIRECT($C$5&amp;"生成成长"),5))*(VLOOKUP($B$5,标准坦克设计!$B$24:$U$30,MATCH("对"&amp;LEFT($C$5,2)&amp;"输出",标准坦克设计!$B$23:$U$23,0)))*(VLOOKUP($B91,INDIRECT($B$5&amp;"生成成长"),3))*(VLOOKUP($B$5,标准坦克设计!$B$14:$K$20,9)/30))</f>
        <v>43.237734461267948</v>
      </c>
      <c r="FH91" s="173">
        <f ca="1">(VLOOKUP(FH$72,INDIRECT($C$5&amp;"生成成长"),2))/((VLOOKUP($B91,INDIRECT($B$5&amp;"生成成长"),4))/(VLOOKUP(FH$72,INDIRECT($C$5&amp;"生成成长"),5))*(VLOOKUP($B$5,标准坦克设计!$B$24:$U$30,MATCH("对"&amp;LEFT($C$5,2)&amp;"输出",标准坦克设计!$B$23:$U$23,0)))*(VLOOKUP($B91,INDIRECT($B$5&amp;"生成成长"),3))*(VLOOKUP($B$5,标准坦克设计!$B$14:$K$20,9)/30))</f>
        <v>45.891628719791107</v>
      </c>
      <c r="FI91" s="173">
        <f ca="1">(VLOOKUP(FI$72,INDIRECT($C$5&amp;"生成成长"),2))/((VLOOKUP($B91,INDIRECT($B$5&amp;"生成成长"),4))/(VLOOKUP(FI$72,INDIRECT($C$5&amp;"生成成长"),5))*(VLOOKUP($B$5,标准坦克设计!$B$24:$U$30,MATCH("对"&amp;LEFT($C$5,2)&amp;"输出",标准坦克设计!$B$23:$U$23,0)))*(VLOOKUP($B91,INDIRECT($B$5&amp;"生成成长"),3))*(VLOOKUP($B$5,标准坦克设计!$B$14:$K$20,9)/30))</f>
        <v>48.624562211672327</v>
      </c>
      <c r="FJ91" s="173">
        <f ca="1">(VLOOKUP(FJ$72,INDIRECT($C$5&amp;"生成成长"),2))/((VLOOKUP($B91,INDIRECT($B$5&amp;"生成成长"),4))/(VLOOKUP(FJ$72,INDIRECT($C$5&amp;"生成成长"),5))*(VLOOKUP($B$5,标准坦克设计!$B$24:$U$30,MATCH("对"&amp;LEFT($C$5,2)&amp;"输出",标准坦克设计!$B$23:$U$23,0)))*(VLOOKUP($B91,INDIRECT($B$5&amp;"生成成长"),3))*(VLOOKUP($B$5,标准坦克设计!$B$14:$K$20,9)/30))</f>
        <v>51.436534936911634</v>
      </c>
      <c r="FK91" s="173">
        <f ca="1">(VLOOKUP(FK$72,INDIRECT($C$5&amp;"生成成长"),2))/((VLOOKUP($B91,INDIRECT($B$5&amp;"生成成长"),4))/(VLOOKUP(FK$72,INDIRECT($C$5&amp;"生成成长"),5))*(VLOOKUP($B$5,标准坦克设计!$B$24:$U$30,MATCH("对"&amp;LEFT($C$5,2)&amp;"输出",标准坦克设计!$B$23:$U$23,0)))*(VLOOKUP($B91,INDIRECT($B$5&amp;"生成成长"),3))*(VLOOKUP($B$5,标准坦克设计!$B$14:$K$20,9)/30))</f>
        <v>54.327546895509023</v>
      </c>
    </row>
    <row r="92" spans="1:167" x14ac:dyDescent="0.15">
      <c r="A92" s="171" t="str">
        <f t="shared" si="11"/>
        <v>T3低品质8级</v>
      </c>
      <c r="B92" s="172">
        <v>10308</v>
      </c>
      <c r="C92" s="173">
        <f ca="1">(VLOOKUP(C$72,INDIRECT($C$5&amp;"生成成长"),2))/((VLOOKUP($B92,INDIRECT($B$5&amp;"生成成长"),4))/(VLOOKUP(C$72,INDIRECT($C$5&amp;"生成成长"),5))*(VLOOKUP($B$5,标准坦克设计!$B$24:$U$30,MATCH("对"&amp;LEFT($C$5,2)&amp;"输出",标准坦克设计!$B$23:$U$23,0)))*(VLOOKUP($B92,INDIRECT($B$5&amp;"生成成长"),3))*(VLOOKUP($B$5,标准坦克设计!$B$14:$K$20,9)/30))</f>
        <v>2.1408233305811804</v>
      </c>
      <c r="D92" s="173">
        <f ca="1">(VLOOKUP(D$72,INDIRECT($C$5&amp;"生成成长"),2))/((VLOOKUP($B92,INDIRECT($B$5&amp;"生成成长"),4))/(VLOOKUP(D$72,INDIRECT($C$5&amp;"生成成长"),5))*(VLOOKUP($B$5,标准坦克设计!$B$24:$U$30,MATCH("对"&amp;LEFT($C$5,2)&amp;"输出",标准坦克设计!$B$23:$U$23,0)))*(VLOOKUP($B92,INDIRECT($B$5&amp;"生成成长"),3))*(VLOOKUP($B$5,标准坦克设计!$B$14:$K$20,9)/30))</f>
        <v>2.4054290942410148</v>
      </c>
      <c r="E92" s="173">
        <f ca="1">(VLOOKUP(E$72,INDIRECT($C$5&amp;"生成成长"),2))/((VLOOKUP($B92,INDIRECT($B$5&amp;"生成成长"),4))/(VLOOKUP(E$72,INDIRECT($C$5&amp;"生成成长"),5))*(VLOOKUP($B$5,标准坦克设计!$B$24:$U$30,MATCH("对"&amp;LEFT($C$5,2)&amp;"输出",标准坦克设计!$B$23:$U$23,0)))*(VLOOKUP($B92,INDIRECT($B$5&amp;"生成成长"),3))*(VLOOKUP($B$5,标准坦克设计!$B$14:$K$20,9)/30))</f>
        <v>2.6854487858810328</v>
      </c>
      <c r="F92" s="173">
        <f ca="1">(VLOOKUP(F$72,INDIRECT($C$5&amp;"生成成长"),2))/((VLOOKUP($B92,INDIRECT($B$5&amp;"生成成长"),4))/(VLOOKUP(F$72,INDIRECT($C$5&amp;"生成成长"),5))*(VLOOKUP($B$5,标准坦克设计!$B$24:$U$30,MATCH("对"&amp;LEFT($C$5,2)&amp;"输出",标准坦克设计!$B$23:$U$23,0)))*(VLOOKUP($B92,INDIRECT($B$5&amp;"生成成长"),3))*(VLOOKUP($B$5,标准坦克设计!$B$14:$K$20,9)/30))</f>
        <v>2.9808824055012355</v>
      </c>
      <c r="G92" s="173">
        <f ca="1">(VLOOKUP(G$72,INDIRECT($C$5&amp;"生成成长"),2))/((VLOOKUP($B92,INDIRECT($B$5&amp;"生成成长"),4))/(VLOOKUP(G$72,INDIRECT($C$5&amp;"生成成长"),5))*(VLOOKUP($B$5,标准坦克设计!$B$24:$U$30,MATCH("对"&amp;LEFT($C$5,2)&amp;"输出",标准坦克设计!$B$23:$U$23,0)))*(VLOOKUP($B92,INDIRECT($B$5&amp;"生成成长"),3))*(VLOOKUP($B$5,标准坦克设计!$B$14:$K$20,9)/30))</f>
        <v>3.2917299531016235</v>
      </c>
      <c r="H92" s="173">
        <f ca="1">(VLOOKUP(H$72,INDIRECT($C$5&amp;"生成成长"),2))/((VLOOKUP($B92,INDIRECT($B$5&amp;"生成成长"),4))/(VLOOKUP(H$72,INDIRECT($C$5&amp;"生成成长"),5))*(VLOOKUP($B$5,标准坦克设计!$B$24:$U$30,MATCH("对"&amp;LEFT($C$5,2)&amp;"输出",标准坦克设计!$B$23:$U$23,0)))*(VLOOKUP($B92,INDIRECT($B$5&amp;"生成成长"),3))*(VLOOKUP($B$5,标准坦克设计!$B$14:$K$20,9)/30))</f>
        <v>2.8806918736300364</v>
      </c>
      <c r="I92" s="173">
        <f ca="1">(VLOOKUP(I$72,INDIRECT($C$5&amp;"生成成长"),2))/((VLOOKUP($B92,INDIRECT($B$5&amp;"生成成长"),4))/(VLOOKUP(I$72,INDIRECT($C$5&amp;"生成成长"),5))*(VLOOKUP($B$5,标准坦克设计!$B$24:$U$30,MATCH("对"&amp;LEFT($C$5,2)&amp;"输出",标准坦克设计!$B$23:$U$23,0)))*(VLOOKUP($B92,INDIRECT($B$5&amp;"生成成长"),3))*(VLOOKUP($B$5,标准坦克设计!$B$14:$K$20,9)/30))</f>
        <v>3.2917299531016235</v>
      </c>
      <c r="J92" s="173">
        <f ca="1">(VLOOKUP(J$72,INDIRECT($C$5&amp;"生成成长"),2))/((VLOOKUP($B92,INDIRECT($B$5&amp;"生成成长"),4))/(VLOOKUP(J$72,INDIRECT($C$5&amp;"生成成长"),5))*(VLOOKUP($B$5,标准坦克设计!$B$24:$U$30,MATCH("对"&amp;LEFT($C$5,2)&amp;"输出",标准坦克设计!$B$23:$U$23,0)))*(VLOOKUP($B92,INDIRECT($B$5&amp;"生成成长"),3))*(VLOOKUP($B$5,标准坦克设计!$B$14:$K$20,9)/30))</f>
        <v>3.7301705712046491</v>
      </c>
      <c r="K92" s="173">
        <f ca="1">(VLOOKUP(K$72,INDIRECT($C$5&amp;"生成成长"),2))/((VLOOKUP($B92,INDIRECT($B$5&amp;"生成成长"),4))/(VLOOKUP(K$72,INDIRECT($C$5&amp;"生成成长"),5))*(VLOOKUP($B$5,标准坦克设计!$B$24:$U$30,MATCH("对"&amp;LEFT($C$5,2)&amp;"输出",标准坦克设计!$B$23:$U$23,0)))*(VLOOKUP($B92,INDIRECT($B$5&amp;"生成成长"),3))*(VLOOKUP($B$5,标准坦克设计!$B$14:$K$20,9)/30))</f>
        <v>4.1960137279391141</v>
      </c>
      <c r="L92" s="173">
        <f ca="1">(VLOOKUP(L$72,INDIRECT($C$5&amp;"生成成长"),2))/((VLOOKUP($B92,INDIRECT($B$5&amp;"生成成长"),4))/(VLOOKUP(L$72,INDIRECT($C$5&amp;"生成成长"),5))*(VLOOKUP($B$5,标准坦克设计!$B$24:$U$30,MATCH("对"&amp;LEFT($C$5,2)&amp;"输出",标准坦克设计!$B$23:$U$23,0)))*(VLOOKUP($B92,INDIRECT($B$5&amp;"生成成长"),3))*(VLOOKUP($B$5,标准坦克设计!$B$14:$K$20,9)/30))</f>
        <v>4.6892594233050184</v>
      </c>
      <c r="M92" s="173">
        <f ca="1">(VLOOKUP(M$72,INDIRECT($C$5&amp;"生成成长"),2))/((VLOOKUP($B92,INDIRECT($B$5&amp;"生成成长"),4))/(VLOOKUP(M$72,INDIRECT($C$5&amp;"生成成长"),5))*(VLOOKUP($B$5,标准坦克设计!$B$24:$U$30,MATCH("对"&amp;LEFT($C$5,2)&amp;"输出",标准坦克设计!$B$23:$U$23,0)))*(VLOOKUP($B92,INDIRECT($B$5&amp;"生成成长"),3))*(VLOOKUP($B$5,标准坦克设计!$B$14:$K$20,9)/30))</f>
        <v>5.2099076573023613</v>
      </c>
      <c r="N92" s="173">
        <f ca="1">(VLOOKUP(N$72,INDIRECT($C$5&amp;"生成成长"),2))/((VLOOKUP($B92,INDIRECT($B$5&amp;"生成成长"),4))/(VLOOKUP(N$72,INDIRECT($C$5&amp;"生成成长"),5))*(VLOOKUP($B$5,标准坦克设计!$B$24:$U$30,MATCH("对"&amp;LEFT($C$5,2)&amp;"输出",标准坦克设计!$B$23:$U$23,0)))*(VLOOKUP($B92,INDIRECT($B$5&amp;"生成成长"),3))*(VLOOKUP($B$5,标准坦克设计!$B$14:$K$20,9)/30))</f>
        <v>5.7579584299311435</v>
      </c>
      <c r="O92" s="173">
        <f ca="1">(VLOOKUP(O$72,INDIRECT($C$5&amp;"生成成长"),2))/((VLOOKUP($B92,INDIRECT($B$5&amp;"生成成长"),4))/(VLOOKUP(O$72,INDIRECT($C$5&amp;"生成成长"),5))*(VLOOKUP($B$5,标准坦克设计!$B$24:$U$30,MATCH("对"&amp;LEFT($C$5,2)&amp;"输出",标准坦克设计!$B$23:$U$23,0)))*(VLOOKUP($B92,INDIRECT($B$5&amp;"生成成长"),3))*(VLOOKUP($B$5,标准坦克设计!$B$14:$K$20,9)/30))</f>
        <v>4.3777696287054555</v>
      </c>
      <c r="P92" s="173">
        <f ca="1">(VLOOKUP(P$72,INDIRECT($C$5&amp;"生成成长"),2))/((VLOOKUP($B92,INDIRECT($B$5&amp;"生成成长"),4))/(VLOOKUP(P$72,INDIRECT($C$5&amp;"生成成长"),5))*(VLOOKUP($B$5,标准坦克设计!$B$24:$U$30,MATCH("对"&amp;LEFT($C$5,2)&amp;"输出",标准坦克设计!$B$23:$U$23,0)))*(VLOOKUP($B92,INDIRECT($B$5&amp;"生成成长"),3))*(VLOOKUP($B$5,标准坦克设计!$B$14:$K$20,9)/30))</f>
        <v>4.9461582229747592</v>
      </c>
      <c r="Q92" s="173">
        <f ca="1">(VLOOKUP(Q$72,INDIRECT($C$5&amp;"生成成长"),2))/((VLOOKUP($B92,INDIRECT($B$5&amp;"生成成长"),4))/(VLOOKUP(Q$72,INDIRECT($C$5&amp;"生成成长"),5))*(VLOOKUP($B$5,标准坦克设计!$B$24:$U$30,MATCH("对"&amp;LEFT($C$5,2)&amp;"输出",标准坦克设计!$B$23:$U$23,0)))*(VLOOKUP($B92,INDIRECT($B$5&amp;"生成成长"),3))*(VLOOKUP($B$5,标准坦克设计!$B$14:$K$20,9)/30))</f>
        <v>5.5492281551994775</v>
      </c>
      <c r="R92" s="173">
        <f ca="1">(VLOOKUP(R$72,INDIRECT($C$5&amp;"生成成长"),2))/((VLOOKUP($B92,INDIRECT($B$5&amp;"生成成长"),4))/(VLOOKUP(R$72,INDIRECT($C$5&amp;"生成成长"),5))*(VLOOKUP($B$5,标准坦克设计!$B$24:$U$30,MATCH("对"&amp;LEFT($C$5,2)&amp;"输出",标准坦克设计!$B$23:$U$23,0)))*(VLOOKUP($B92,INDIRECT($B$5&amp;"生成成长"),3))*(VLOOKUP($B$5,标准坦克设计!$B$14:$K$20,9)/30))</f>
        <v>6.1869794253796124</v>
      </c>
      <c r="S92" s="173">
        <f ca="1">(VLOOKUP(S$72,INDIRECT($C$5&amp;"生成成长"),2))/((VLOOKUP($B92,INDIRECT($B$5&amp;"生成成长"),4))/(VLOOKUP(S$72,INDIRECT($C$5&amp;"生成成长"),5))*(VLOOKUP($B$5,标准坦克设计!$B$24:$U$30,MATCH("对"&amp;LEFT($C$5,2)&amp;"输出",标准坦克设计!$B$23:$U$23,0)))*(VLOOKUP($B92,INDIRECT($B$5&amp;"生成成长"),3))*(VLOOKUP($B$5,标准坦克设计!$B$14:$K$20,9)/30))</f>
        <v>6.8594120335151603</v>
      </c>
      <c r="T92" s="173">
        <f ca="1">(VLOOKUP(T$72,INDIRECT($C$5&amp;"生成成长"),2))/((VLOOKUP($B92,INDIRECT($B$5&amp;"生成成长"),4))/(VLOOKUP(T$72,INDIRECT($C$5&amp;"生成成长"),5))*(VLOOKUP($B$5,标准坦克设计!$B$24:$U$30,MATCH("对"&amp;LEFT($C$5,2)&amp;"输出",标准坦克设计!$B$23:$U$23,0)))*(VLOOKUP($B92,INDIRECT($B$5&amp;"生成成长"),3))*(VLOOKUP($B$5,标准坦克设计!$B$14:$K$20,9)/30))</f>
        <v>7.5665259796061246</v>
      </c>
      <c r="U92" s="173">
        <f ca="1">(VLOOKUP(U$72,INDIRECT($C$5&amp;"生成成长"),2))/((VLOOKUP($B92,INDIRECT($B$5&amp;"生成成长"),4))/(VLOOKUP(U$72,INDIRECT($C$5&amp;"生成成长"),5))*(VLOOKUP($B$5,标准坦克设计!$B$24:$U$30,MATCH("对"&amp;LEFT($C$5,2)&amp;"输出",标准坦克设计!$B$23:$U$23,0)))*(VLOOKUP($B92,INDIRECT($B$5&amp;"生成成长"),3))*(VLOOKUP($B$5,标准坦克设计!$B$14:$K$20,9)/30))</f>
        <v>8.3083212636525037</v>
      </c>
      <c r="V92" s="173">
        <f ca="1">(VLOOKUP(V$72,INDIRECT($C$5&amp;"生成成长"),2))/((VLOOKUP($B92,INDIRECT($B$5&amp;"生成成长"),4))/(VLOOKUP(V$72,INDIRECT($C$5&amp;"生成成长"),5))*(VLOOKUP($B$5,标准坦克设计!$B$24:$U$30,MATCH("对"&amp;LEFT($C$5,2)&amp;"输出",标准坦克设计!$B$23:$U$23,0)))*(VLOOKUP($B92,INDIRECT($B$5&amp;"生成成长"),3))*(VLOOKUP($B$5,标准坦克设计!$B$14:$K$20,9)/30))</f>
        <v>9.0847978856542966</v>
      </c>
      <c r="W92" s="173">
        <f ca="1">(VLOOKUP(W$72,INDIRECT($C$5&amp;"生成成长"),2))/((VLOOKUP($B92,INDIRECT($B$5&amp;"生成成长"),4))/(VLOOKUP(W$72,INDIRECT($C$5&amp;"生成成长"),5))*(VLOOKUP($B$5,标准坦克设计!$B$24:$U$30,MATCH("对"&amp;LEFT($C$5,2)&amp;"输出",标准坦克设计!$B$23:$U$23,0)))*(VLOOKUP($B92,INDIRECT($B$5&amp;"生成成长"),3))*(VLOOKUP($B$5,标准坦克设计!$B$14:$K$20,9)/30))</f>
        <v>9.8959558456115086</v>
      </c>
      <c r="X92" s="173">
        <f ca="1">(VLOOKUP(X$72,INDIRECT($C$5&amp;"生成成长"),2))/((VLOOKUP($B92,INDIRECT($B$5&amp;"生成成长"),4))/(VLOOKUP(X$72,INDIRECT($C$5&amp;"生成成长"),5))*(VLOOKUP($B$5,标准坦克设计!$B$24:$U$30,MATCH("对"&amp;LEFT($C$5,2)&amp;"输出",标准坦克设计!$B$23:$U$23,0)))*(VLOOKUP($B92,INDIRECT($B$5&amp;"生成成长"),3))*(VLOOKUP($B$5,标准坦克设计!$B$14:$K$20,9)/30))</f>
        <v>7.1694032517833159</v>
      </c>
      <c r="Y92" s="173">
        <f ca="1">(VLOOKUP(Y$72,INDIRECT($C$5&amp;"生成成长"),2))/((VLOOKUP($B92,INDIRECT($B$5&amp;"生成成长"),4))/(VLOOKUP(Y$72,INDIRECT($C$5&amp;"生成成长"),5))*(VLOOKUP($B$5,标准坦克设计!$B$24:$U$30,MATCH("对"&amp;LEFT($C$5,2)&amp;"输出",标准坦克设计!$B$23:$U$23,0)))*(VLOOKUP($B92,INDIRECT($B$5&amp;"生成成长"),3))*(VLOOKUP($B$5,标准坦克设计!$B$14:$K$20,9)/30))</f>
        <v>7.9743528240818398</v>
      </c>
      <c r="Z92" s="173">
        <f ca="1">(VLOOKUP(Z$72,INDIRECT($C$5&amp;"生成成长"),2))/((VLOOKUP($B92,INDIRECT($B$5&amp;"生成成长"),4))/(VLOOKUP(Z$72,INDIRECT($C$5&amp;"生成成长"),5))*(VLOOKUP($B$5,标准坦克设计!$B$24:$U$30,MATCH("对"&amp;LEFT($C$5,2)&amp;"输出",标准坦克设计!$B$23:$U$23,0)))*(VLOOKUP($B92,INDIRECT($B$5&amp;"生成成长"),3))*(VLOOKUP($B$5,标准坦克设计!$B$14:$K$20,9)/30))</f>
        <v>8.8221188629919851</v>
      </c>
      <c r="AA92" s="173">
        <f ca="1">(VLOOKUP(AA$72,INDIRECT($C$5&amp;"生成成长"),2))/((VLOOKUP($B92,INDIRECT($B$5&amp;"生成成长"),4))/(VLOOKUP(AA$72,INDIRECT($C$5&amp;"生成成长"),5))*(VLOOKUP($B$5,标准坦克设计!$B$24:$U$30,MATCH("对"&amp;LEFT($C$5,2)&amp;"输出",标准坦克设计!$B$23:$U$23,0)))*(VLOOKUP($B92,INDIRECT($B$5&amp;"生成成长"),3))*(VLOOKUP($B$5,标准坦克设计!$B$14:$K$20,9)/30))</f>
        <v>9.7127013685137573</v>
      </c>
      <c r="AB92" s="173">
        <f ca="1">(VLOOKUP(AB$72,INDIRECT($C$5&amp;"生成成长"),2))/((VLOOKUP($B92,INDIRECT($B$5&amp;"生成成长"),4))/(VLOOKUP(AB$72,INDIRECT($C$5&amp;"生成成长"),5))*(VLOOKUP($B$5,标准坦克设计!$B$24:$U$30,MATCH("对"&amp;LEFT($C$5,2)&amp;"输出",标准坦克设计!$B$23:$U$23,0)))*(VLOOKUP($B92,INDIRECT($B$5&amp;"生成成长"),3))*(VLOOKUP($B$5,标准坦克设计!$B$14:$K$20,9)/30))</f>
        <v>10.646100340647152</v>
      </c>
      <c r="AC92" s="173">
        <f ca="1">(VLOOKUP(AC$72,INDIRECT($C$5&amp;"生成成长"),2))/((VLOOKUP($B92,INDIRECT($B$5&amp;"生成成长"),4))/(VLOOKUP(AC$72,INDIRECT($C$5&amp;"生成成长"),5))*(VLOOKUP($B$5,标准坦克设计!$B$24:$U$30,MATCH("对"&amp;LEFT($C$5,2)&amp;"输出",标准坦克设计!$B$23:$U$23,0)))*(VLOOKUP($B92,INDIRECT($B$5&amp;"生成成长"),3))*(VLOOKUP($B$5,标准坦克设计!$B$14:$K$20,9)/30))</f>
        <v>11.622315779392171</v>
      </c>
      <c r="AD92" s="173">
        <f ca="1">(VLOOKUP(AD$72,INDIRECT($C$5&amp;"生成成长"),2))/((VLOOKUP($B92,INDIRECT($B$5&amp;"生成成长"),4))/(VLOOKUP(AD$72,INDIRECT($C$5&amp;"生成成长"),5))*(VLOOKUP($B$5,标准坦克设计!$B$24:$U$30,MATCH("对"&amp;LEFT($C$5,2)&amp;"输出",标准坦克设计!$B$23:$U$23,0)))*(VLOOKUP($B92,INDIRECT($B$5&amp;"生成成长"),3))*(VLOOKUP($B$5,标准坦克设计!$B$14:$K$20,9)/30))</f>
        <v>12.64134768474881</v>
      </c>
      <c r="AE92" s="173">
        <f ca="1">(VLOOKUP(AE$72,INDIRECT($C$5&amp;"生成成长"),2))/((VLOOKUP($B92,INDIRECT($B$5&amp;"生成成长"),4))/(VLOOKUP(AE$72,INDIRECT($C$5&amp;"生成成长"),5))*(VLOOKUP($B$5,标准坦克设计!$B$24:$U$30,MATCH("对"&amp;LEFT($C$5,2)&amp;"输出",标准坦克设计!$B$23:$U$23,0)))*(VLOOKUP($B92,INDIRECT($B$5&amp;"生成成长"),3))*(VLOOKUP($B$5,标准坦克设计!$B$14:$K$20,9)/30))</f>
        <v>13.703196056717081</v>
      </c>
      <c r="AF92" s="173">
        <f ca="1">(VLOOKUP(AF$72,INDIRECT($C$5&amp;"生成成长"),2))/((VLOOKUP($B92,INDIRECT($B$5&amp;"生成成长"),4))/(VLOOKUP(AF$72,INDIRECT($C$5&amp;"生成成长"),5))*(VLOOKUP($B$5,标准坦克设计!$B$24:$U$30,MATCH("对"&amp;LEFT($C$5,2)&amp;"输出",标准坦克设计!$B$23:$U$23,0)))*(VLOOKUP($B92,INDIRECT($B$5&amp;"生成成长"),3))*(VLOOKUP($B$5,标准坦克设计!$B$14:$K$20,9)/30))</f>
        <v>14.807860895296963</v>
      </c>
      <c r="AG92" s="173">
        <f ca="1">(VLOOKUP(AG$72,INDIRECT($C$5&amp;"生成成长"),2))/((VLOOKUP($B92,INDIRECT($B$5&amp;"生成成长"),4))/(VLOOKUP(AG$72,INDIRECT($C$5&amp;"生成成长"),5))*(VLOOKUP($B$5,标准坦克设计!$B$24:$U$30,MATCH("对"&amp;LEFT($C$5,2)&amp;"输出",标准坦克设计!$B$23:$U$23,0)))*(VLOOKUP($B92,INDIRECT($B$5&amp;"生成成长"),3))*(VLOOKUP($B$5,标准坦克设计!$B$14:$K$20,9)/30))</f>
        <v>15.955342200488481</v>
      </c>
      <c r="AH92" s="173">
        <f ca="1">(VLOOKUP(AH$72,INDIRECT($C$5&amp;"生成成长"),2))/((VLOOKUP($B92,INDIRECT($B$5&amp;"生成成长"),4))/(VLOOKUP(AH$72,INDIRECT($C$5&amp;"生成成长"),5))*(VLOOKUP($B$5,标准坦克设计!$B$24:$U$30,MATCH("对"&amp;LEFT($C$5,2)&amp;"输出",标准坦克设计!$B$23:$U$23,0)))*(VLOOKUP($B92,INDIRECT($B$5&amp;"生成成长"),3))*(VLOOKUP($B$5,标准坦克设计!$B$14:$K$20,9)/30))</f>
        <v>17.145639972291615</v>
      </c>
      <c r="AI92" s="173">
        <f ca="1">(VLOOKUP(AI$72,INDIRECT($C$5&amp;"生成成长"),2))/((VLOOKUP($B92,INDIRECT($B$5&amp;"生成成长"),4))/(VLOOKUP(AI$72,INDIRECT($C$5&amp;"生成成长"),5))*(VLOOKUP($B$5,标准坦克设计!$B$24:$U$30,MATCH("对"&amp;LEFT($C$5,2)&amp;"输出",标准坦克设计!$B$23:$U$23,0)))*(VLOOKUP($B92,INDIRECT($B$5&amp;"生成成长"),3))*(VLOOKUP($B$5,标准坦克设计!$B$14:$K$20,9)/30))</f>
        <v>12.12647967374404</v>
      </c>
      <c r="AJ92" s="173">
        <f ca="1">(VLOOKUP(AJ$72,INDIRECT($C$5&amp;"生成成长"),2))/((VLOOKUP($B92,INDIRECT($B$5&amp;"生成成长"),4))/(VLOOKUP(AJ$72,INDIRECT($C$5&amp;"生成成长"),5))*(VLOOKUP($B$5,标准坦克设计!$B$24:$U$30,MATCH("对"&amp;LEFT($C$5,2)&amp;"输出",标准坦克设计!$B$23:$U$23,0)))*(VLOOKUP($B92,INDIRECT($B$5&amp;"生成成长"),3))*(VLOOKUP($B$5,标准坦克设计!$B$14:$K$20,9)/30))</f>
        <v>13.27331873193638</v>
      </c>
      <c r="AK92" s="173">
        <f ca="1">(VLOOKUP(AK$72,INDIRECT($C$5&amp;"生成成长"),2))/((VLOOKUP($B92,INDIRECT($B$5&amp;"生成成长"),4))/(VLOOKUP(AK$72,INDIRECT($C$5&amp;"生成成长"),5))*(VLOOKUP($B$5,标准坦克设计!$B$24:$U$30,MATCH("对"&amp;LEFT($C$5,2)&amp;"输出",标准坦克设计!$B$23:$U$23,0)))*(VLOOKUP($B92,INDIRECT($B$5&amp;"生成成长"),3))*(VLOOKUP($B$5,标准坦克设计!$B$14:$K$20,9)/30))</f>
        <v>14.47196571472878</v>
      </c>
      <c r="AL92" s="173">
        <f ca="1">(VLOOKUP(AL$72,INDIRECT($C$5&amp;"生成成长"),2))/((VLOOKUP($B92,INDIRECT($B$5&amp;"生成成长"),4))/(VLOOKUP(AL$72,INDIRECT($C$5&amp;"生成成长"),5))*(VLOOKUP($B$5,标准坦克设计!$B$24:$U$30,MATCH("对"&amp;LEFT($C$5,2)&amp;"输出",标准坦克设计!$B$23:$U$23,0)))*(VLOOKUP($B92,INDIRECT($B$5&amp;"生成成长"),3))*(VLOOKUP($B$5,标准坦克设计!$B$14:$K$20,9)/30))</f>
        <v>15.722420622121248</v>
      </c>
      <c r="AM92" s="173">
        <f ca="1">(VLOOKUP(AM$72,INDIRECT($C$5&amp;"生成成长"),2))/((VLOOKUP($B92,INDIRECT($B$5&amp;"生成成长"),4))/(VLOOKUP(AM$72,INDIRECT($C$5&amp;"生成成长"),5))*(VLOOKUP($B$5,标准坦克设计!$B$24:$U$30,MATCH("对"&amp;LEFT($C$5,2)&amp;"输出",标准坦克设计!$B$23:$U$23,0)))*(VLOOKUP($B92,INDIRECT($B$5&amp;"生成成长"),3))*(VLOOKUP($B$5,标准坦克设计!$B$14:$K$20,9)/30))</f>
        <v>17.024683454113781</v>
      </c>
      <c r="AN92" s="173">
        <f ca="1">(VLOOKUP(AN$72,INDIRECT($C$5&amp;"生成成长"),2))/((VLOOKUP($B92,INDIRECT($B$5&amp;"生成成长"),4))/(VLOOKUP(AN$72,INDIRECT($C$5&amp;"生成成长"),5))*(VLOOKUP($B$5,标准坦克设计!$B$24:$U$30,MATCH("对"&amp;LEFT($C$5,2)&amp;"输出",标准坦克设计!$B$23:$U$23,0)))*(VLOOKUP($B92,INDIRECT($B$5&amp;"生成成长"),3))*(VLOOKUP($B$5,标准坦克设计!$B$14:$K$20,9)/30))</f>
        <v>18.378754210706376</v>
      </c>
      <c r="AO92" s="173">
        <f ca="1">(VLOOKUP(AO$72,INDIRECT($C$5&amp;"生成成长"),2))/((VLOOKUP($B92,INDIRECT($B$5&amp;"生成成长"),4))/(VLOOKUP(AO$72,INDIRECT($C$5&amp;"生成成长"),5))*(VLOOKUP($B$5,标准坦克设计!$B$24:$U$30,MATCH("对"&amp;LEFT($C$5,2)&amp;"输出",标准坦克设计!$B$23:$U$23,0)))*(VLOOKUP($B92,INDIRECT($B$5&amp;"生成成长"),3))*(VLOOKUP($B$5,标准坦克设计!$B$14:$K$20,9)/30))</f>
        <v>19.784632891899037</v>
      </c>
      <c r="AP92" s="173">
        <f ca="1">(VLOOKUP(AP$72,INDIRECT($C$5&amp;"生成成长"),2))/((VLOOKUP($B92,INDIRECT($B$5&amp;"生成成长"),4))/(VLOOKUP(AP$72,INDIRECT($C$5&amp;"生成成长"),5))*(VLOOKUP($B$5,标准坦克设计!$B$24:$U$30,MATCH("对"&amp;LEFT($C$5,2)&amp;"输出",标准坦克设计!$B$23:$U$23,0)))*(VLOOKUP($B92,INDIRECT($B$5&amp;"生成成长"),3))*(VLOOKUP($B$5,标准坦克设计!$B$14:$K$20,9)/30))</f>
        <v>21.242319497691764</v>
      </c>
      <c r="AQ92" s="173">
        <f ca="1">(VLOOKUP(AQ$72,INDIRECT($C$5&amp;"生成成长"),2))/((VLOOKUP($B92,INDIRECT($B$5&amp;"生成成长"),4))/(VLOOKUP(AQ$72,INDIRECT($C$5&amp;"生成成长"),5))*(VLOOKUP($B$5,标准坦克设计!$B$24:$U$30,MATCH("对"&amp;LEFT($C$5,2)&amp;"输出",标准坦克设计!$B$23:$U$23,0)))*(VLOOKUP($B92,INDIRECT($B$5&amp;"生成成长"),3))*(VLOOKUP($B$5,标准坦克设计!$B$14:$K$20,9)/30))</f>
        <v>22.751814028084556</v>
      </c>
      <c r="AR92" s="173">
        <f ca="1">(VLOOKUP(AR$72,INDIRECT($C$5&amp;"生成成长"),2))/((VLOOKUP($B92,INDIRECT($B$5&amp;"生成成长"),4))/(VLOOKUP(AR$72,INDIRECT($C$5&amp;"生成成长"),5))*(VLOOKUP($B$5,标准坦克设计!$B$24:$U$30,MATCH("对"&amp;LEFT($C$5,2)&amp;"输出",标准坦克设计!$B$23:$U$23,0)))*(VLOOKUP($B92,INDIRECT($B$5&amp;"生成成长"),3))*(VLOOKUP($B$5,标准坦克设计!$B$14:$K$20,9)/30))</f>
        <v>24.313116483077408</v>
      </c>
      <c r="AS92" s="173">
        <f ca="1">(VLOOKUP(AS$72,INDIRECT($C$5&amp;"生成成长"),2))/((VLOOKUP($B92,INDIRECT($B$5&amp;"生成成长"),4))/(VLOOKUP(AS$72,INDIRECT($C$5&amp;"生成成长"),5))*(VLOOKUP($B$5,标准坦克设计!$B$24:$U$30,MATCH("对"&amp;LEFT($C$5,2)&amp;"输出",标准坦克设计!$B$23:$U$23,0)))*(VLOOKUP($B92,INDIRECT($B$5&amp;"生成成长"),3))*(VLOOKUP($B$5,标准坦克设计!$B$14:$K$20,9)/30))</f>
        <v>25.92622686267033</v>
      </c>
      <c r="AT92" s="173">
        <f ca="1">(VLOOKUP(AT$72,INDIRECT($C$5&amp;"生成成长"),2))/((VLOOKUP($B92,INDIRECT($B$5&amp;"生成成长"),4))/(VLOOKUP(AT$72,INDIRECT($C$5&amp;"生成成长"),5))*(VLOOKUP($B$5,标准坦克设计!$B$24:$U$30,MATCH("对"&amp;LEFT($C$5,2)&amp;"输出",标准坦克设计!$B$23:$U$23,0)))*(VLOOKUP($B92,INDIRECT($B$5&amp;"生成成长"),3))*(VLOOKUP($B$5,标准坦克设计!$B$14:$K$20,9)/30))</f>
        <v>27.591145166863317</v>
      </c>
      <c r="AU92" s="173">
        <f ca="1">(VLOOKUP(AU$72,INDIRECT($C$5&amp;"生成成长"),2))/((VLOOKUP($B92,INDIRECT($B$5&amp;"生成成长"),4))/(VLOOKUP(AU$72,INDIRECT($C$5&amp;"生成成长"),5))*(VLOOKUP($B$5,标准坦克设计!$B$24:$U$30,MATCH("对"&amp;LEFT($C$5,2)&amp;"输出",标准坦克设计!$B$23:$U$23,0)))*(VLOOKUP($B92,INDIRECT($B$5&amp;"生成成长"),3))*(VLOOKUP($B$5,标准坦克设计!$B$14:$K$20,9)/30))</f>
        <v>29.30787139565636</v>
      </c>
      <c r="AV92" s="173">
        <f ca="1">(VLOOKUP(AV$72,INDIRECT($C$5&amp;"生成成长"),2))/((VLOOKUP($B92,INDIRECT($B$5&amp;"生成成长"),4))/(VLOOKUP(AV$72,INDIRECT($C$5&amp;"生成成长"),5))*(VLOOKUP($B$5,标准坦克设计!$B$24:$U$30,MATCH("对"&amp;LEFT($C$5,2)&amp;"输出",标准坦克设计!$B$23:$U$23,0)))*(VLOOKUP($B92,INDIRECT($B$5&amp;"生成成长"),3))*(VLOOKUP($B$5,标准坦克设计!$B$14:$K$20,9)/30))</f>
        <v>2.9808824055012355</v>
      </c>
      <c r="AW92" s="173">
        <f ca="1">(VLOOKUP(AW$72,INDIRECT($C$5&amp;"生成成长"),2))/((VLOOKUP($B92,INDIRECT($B$5&amp;"生成成长"),4))/(VLOOKUP(AW$72,INDIRECT($C$5&amp;"生成成长"),5))*(VLOOKUP($B$5,标准坦克设计!$B$24:$U$30,MATCH("对"&amp;LEFT($C$5,2)&amp;"输出",标准坦克设计!$B$23:$U$23,0)))*(VLOOKUP($B92,INDIRECT($B$5&amp;"生成成长"),3))*(VLOOKUP($B$5,标准坦克设计!$B$14:$K$20,9)/30))</f>
        <v>3.3987711196306818</v>
      </c>
      <c r="AX92" s="173">
        <f ca="1">(VLOOKUP(AX$72,INDIRECT($C$5&amp;"生成成长"),2))/((VLOOKUP($B92,INDIRECT($B$5&amp;"生成成长"),4))/(VLOOKUP(AX$72,INDIRECT($C$5&amp;"生成成长"),5))*(VLOOKUP($B$5,标准坦克设计!$B$24:$U$30,MATCH("对"&amp;LEFT($C$5,2)&amp;"输出",标准坦克设计!$B$23:$U$23,0)))*(VLOOKUP($B92,INDIRECT($B$5&amp;"生成成长"),3))*(VLOOKUP($B$5,标准坦克设计!$B$14:$K$20,9)/30))</f>
        <v>3.8440623723915675</v>
      </c>
      <c r="AY92" s="173">
        <f ca="1">(VLOOKUP(AY$72,INDIRECT($C$5&amp;"生成成长"),2))/((VLOOKUP($B92,INDIRECT($B$5&amp;"生成成长"),4))/(VLOOKUP(AY$72,INDIRECT($C$5&amp;"生成成长"),5))*(VLOOKUP($B$5,标准坦克设计!$B$24:$U$30,MATCH("对"&amp;LEFT($C$5,2)&amp;"输出",标准坦克设计!$B$23:$U$23,0)))*(VLOOKUP($B92,INDIRECT($B$5&amp;"生成成长"),3))*(VLOOKUP($B$5,标准坦克设计!$B$14:$K$20,9)/30))</f>
        <v>4.316756163783892</v>
      </c>
      <c r="AZ92" s="173">
        <f ca="1">(VLOOKUP(AZ$72,INDIRECT($C$5&amp;"生成成长"),2))/((VLOOKUP($B92,INDIRECT($B$5&amp;"生成成长"),4))/(VLOOKUP(AZ$72,INDIRECT($C$5&amp;"生成成长"),5))*(VLOOKUP($B$5,标准坦克设计!$B$24:$U$30,MATCH("对"&amp;LEFT($C$5,2)&amp;"输出",标准坦克设计!$B$23:$U$23,0)))*(VLOOKUP($B92,INDIRECT($B$5&amp;"生成成长"),3))*(VLOOKUP($B$5,标准坦克设计!$B$14:$K$20,9)/30))</f>
        <v>4.816852493807656</v>
      </c>
      <c r="BA92" s="173">
        <f ca="1">(VLOOKUP(BA$72,INDIRECT($C$5&amp;"生成成长"),2))/((VLOOKUP($B92,INDIRECT($B$5&amp;"生成成长"),4))/(VLOOKUP(BA$72,INDIRECT($C$5&amp;"生成成长"),5))*(VLOOKUP($B$5,标准坦克设计!$B$24:$U$30,MATCH("对"&amp;LEFT($C$5,2)&amp;"输出",标准坦克设计!$B$23:$U$23,0)))*(VLOOKUP($B92,INDIRECT($B$5&amp;"生成成长"),3))*(VLOOKUP($B$5,标准坦克设计!$B$14:$K$20,9)/30))</f>
        <v>5.3443513624628585</v>
      </c>
      <c r="BB92" s="173">
        <f ca="1">(VLOOKUP(BB$72,INDIRECT($C$5&amp;"生成成长"),2))/((VLOOKUP($B92,INDIRECT($B$5&amp;"生成成长"),4))/(VLOOKUP(BB$72,INDIRECT($C$5&amp;"生成成长"),5))*(VLOOKUP($B$5,标准坦克设计!$B$24:$U$30,MATCH("对"&amp;LEFT($C$5,2)&amp;"输出",标准坦克设计!$B$23:$U$23,0)))*(VLOOKUP($B92,INDIRECT($B$5&amp;"生成成长"),3))*(VLOOKUP($B$5,标准坦克设计!$B$14:$K$20,9)/30))</f>
        <v>5.8992527697494994</v>
      </c>
      <c r="BC92" s="173">
        <f ca="1">(VLOOKUP(BC$72,INDIRECT($C$5&amp;"生成成长"),2))/((VLOOKUP($B92,INDIRECT($B$5&amp;"生成成长"),4))/(VLOOKUP(BC$72,INDIRECT($C$5&amp;"生成成长"),5))*(VLOOKUP($B$5,标准坦克设计!$B$24:$U$30,MATCH("对"&amp;LEFT($C$5,2)&amp;"输出",标准坦克设计!$B$23:$U$23,0)))*(VLOOKUP($B92,INDIRECT($B$5&amp;"生成成长"),3))*(VLOOKUP($B$5,标准坦克设计!$B$14:$K$20,9)/30))</f>
        <v>6.4815567156675824</v>
      </c>
      <c r="BD92" s="173">
        <f ca="1">(VLOOKUP(BD$72,INDIRECT($C$5&amp;"生成成长"),2))/((VLOOKUP($B92,INDIRECT($B$5&amp;"生成成长"),4))/(VLOOKUP(BD$72,INDIRECT($C$5&amp;"生成成长"),5))*(VLOOKUP($B$5,标准坦克设计!$B$24:$U$30,MATCH("对"&amp;LEFT($C$5,2)&amp;"输出",标准坦克设计!$B$23:$U$23,0)))*(VLOOKUP($B92,INDIRECT($B$5&amp;"生成成长"),3))*(VLOOKUP($B$5,标准坦克设计!$B$14:$K$20,9)/30))</f>
        <v>7.1694032517833159</v>
      </c>
      <c r="BE92" s="173">
        <f ca="1">(VLOOKUP(BE$72,INDIRECT($C$5&amp;"生成成长"),2))/((VLOOKUP($B92,INDIRECT($B$5&amp;"生成成长"),4))/(VLOOKUP(BE$72,INDIRECT($C$5&amp;"生成成长"),5))*(VLOOKUP($B$5,标准坦克设计!$B$24:$U$30,MATCH("对"&amp;LEFT($C$5,2)&amp;"输出",标准坦克设计!$B$23:$U$23,0)))*(VLOOKUP($B92,INDIRECT($B$5&amp;"生成成长"),3))*(VLOOKUP($B$5,标准坦克设计!$B$14:$K$20,9)/30))</f>
        <v>7.8919311258544642</v>
      </c>
      <c r="BF92" s="173">
        <f ca="1">(VLOOKUP(BF$72,INDIRECT($C$5&amp;"生成成长"),2))/((VLOOKUP($B92,INDIRECT($B$5&amp;"生成成长"),4))/(VLOOKUP(BF$72,INDIRECT($C$5&amp;"生成成长"),5))*(VLOOKUP($B$5,标准坦克设计!$B$24:$U$30,MATCH("对"&amp;LEFT($C$5,2)&amp;"输出",标准坦克设计!$B$23:$U$23,0)))*(VLOOKUP($B92,INDIRECT($B$5&amp;"生成成长"),3))*(VLOOKUP($B$5,标准坦克设计!$B$14:$K$20,9)/30))</f>
        <v>8.6491403378810272</v>
      </c>
      <c r="BG92" s="173">
        <f ca="1">(VLOOKUP(BG$72,INDIRECT($C$5&amp;"生成成长"),2))/((VLOOKUP($B92,INDIRECT($B$5&amp;"生成成长"),4))/(VLOOKUP(BG$72,INDIRECT($C$5&amp;"生成成长"),5))*(VLOOKUP($B$5,标准坦克设计!$B$24:$U$30,MATCH("对"&amp;LEFT($C$5,2)&amp;"输出",标准坦克设计!$B$23:$U$23,0)))*(VLOOKUP($B92,INDIRECT($B$5&amp;"生成成长"),3))*(VLOOKUP($B$5,标准坦克设计!$B$14:$K$20,9)/30))</f>
        <v>9.4410308878630058</v>
      </c>
      <c r="BH92" s="173">
        <f ca="1">(VLOOKUP(BH$72,INDIRECT($C$5&amp;"生成成长"),2))/((VLOOKUP($B92,INDIRECT($B$5&amp;"生成成长"),4))/(VLOOKUP(BH$72,INDIRECT($C$5&amp;"生成成长"),5))*(VLOOKUP($B$5,标准坦克设计!$B$24:$U$30,MATCH("对"&amp;LEFT($C$5,2)&amp;"输出",标准坦克设计!$B$23:$U$23,0)))*(VLOOKUP($B92,INDIRECT($B$5&amp;"生成成长"),3))*(VLOOKUP($B$5,标准坦克设计!$B$14:$K$20,9)/30))</f>
        <v>4.5633790114668438</v>
      </c>
      <c r="BI92" s="173">
        <f ca="1">(VLOOKUP(BI$72,INDIRECT($C$5&amp;"生成成长"),2))/((VLOOKUP($B92,INDIRECT($B$5&amp;"生成成长"),4))/(VLOOKUP(BI$72,INDIRECT($C$5&amp;"生成成长"),5))*(VLOOKUP($B$5,标准坦克设计!$B$24:$U$30,MATCH("对"&amp;LEFT($C$5,2)&amp;"输出",标准坦克设计!$B$23:$U$23,0)))*(VLOOKUP($B92,INDIRECT($B$5&amp;"生成成长"),3))*(VLOOKUP($B$5,标准坦克设计!$B$14:$K$20,9)/30))</f>
        <v>5.1433280517212854</v>
      </c>
      <c r="BJ92" s="173">
        <f ca="1">(VLOOKUP(BJ$72,INDIRECT($C$5&amp;"生成成长"),2))/((VLOOKUP($B92,INDIRECT($B$5&amp;"生成成长"),4))/(VLOOKUP(BJ$72,INDIRECT($C$5&amp;"生成成长"),5))*(VLOOKUP($B$5,标准坦克设计!$B$24:$U$30,MATCH("对"&amp;LEFT($C$5,2)&amp;"输出",标准坦克设计!$B$23:$U$23,0)))*(VLOOKUP($B92,INDIRECT($B$5&amp;"生成成长"),3))*(VLOOKUP($B$5,标准坦克设计!$B$14:$K$20,9)/30))</f>
        <v>5.7579584299311435</v>
      </c>
      <c r="BK92" s="173">
        <f ca="1">(VLOOKUP(BK$72,INDIRECT($C$5&amp;"生成成长"),2))/((VLOOKUP($B92,INDIRECT($B$5&amp;"生成成长"),4))/(VLOOKUP(BK$72,INDIRECT($C$5&amp;"生成成长"),5))*(VLOOKUP($B$5,标准坦克设计!$B$24:$U$30,MATCH("对"&amp;LEFT($C$5,2)&amp;"输出",标准坦克设计!$B$23:$U$23,0)))*(VLOOKUP($B92,INDIRECT($B$5&amp;"生成成长"),3))*(VLOOKUP($B$5,标准坦克设计!$B$14:$K$20,9)/30))</f>
        <v>6.4072701460964154</v>
      </c>
      <c r="BL92" s="173">
        <f ca="1">(VLOOKUP(BL$72,INDIRECT($C$5&amp;"生成成长"),2))/((VLOOKUP($B92,INDIRECT($B$5&amp;"生成成长"),4))/(VLOOKUP(BL$72,INDIRECT($C$5&amp;"生成成长"),5))*(VLOOKUP($B$5,标准坦克设计!$B$24:$U$30,MATCH("对"&amp;LEFT($C$5,2)&amp;"输出",标准坦克设计!$B$23:$U$23,0)))*(VLOOKUP($B92,INDIRECT($B$5&amp;"生成成长"),3))*(VLOOKUP($B$5,标准坦克设计!$B$14:$K$20,9)/30))</f>
        <v>7.0912632002171021</v>
      </c>
      <c r="BM92" s="173">
        <f ca="1">(VLOOKUP(BM$72,INDIRECT($C$5&amp;"生成成长"),2))/((VLOOKUP($B92,INDIRECT($B$5&amp;"生成成长"),4))/(VLOOKUP(BM$72,INDIRECT($C$5&amp;"生成成长"),5))*(VLOOKUP($B$5,标准坦克设计!$B$24:$U$30,MATCH("对"&amp;LEFT($C$5,2)&amp;"输出",标准坦克设计!$B$23:$U$23,0)))*(VLOOKUP($B92,INDIRECT($B$5&amp;"生成成长"),3))*(VLOOKUP($B$5,标准坦克设计!$B$14:$K$20,9)/30))</f>
        <v>7.8099375922932035</v>
      </c>
      <c r="BN92" s="173">
        <f ca="1">(VLOOKUP(BN$72,INDIRECT($C$5&amp;"生成成长"),2))/((VLOOKUP($B92,INDIRECT($B$5&amp;"生成成长"),4))/(VLOOKUP(BN$72,INDIRECT($C$5&amp;"生成成长"),5))*(VLOOKUP($B$5,标准坦克设计!$B$24:$U$30,MATCH("对"&amp;LEFT($C$5,2)&amp;"输出",标准坦克设计!$B$23:$U$23,0)))*(VLOOKUP($B92,INDIRECT($B$5&amp;"生成成长"),3))*(VLOOKUP($B$5,标准坦克设计!$B$14:$K$20,9)/30))</f>
        <v>8.5632933223247214</v>
      </c>
      <c r="BO92" s="173">
        <f ca="1">(VLOOKUP(BO$72,INDIRECT($C$5&amp;"生成成长"),2))/((VLOOKUP($B92,INDIRECT($B$5&amp;"生成成长"),4))/(VLOOKUP(BO$72,INDIRECT($C$5&amp;"生成成长"),5))*(VLOOKUP($B$5,标准坦克设计!$B$24:$U$30,MATCH("对"&amp;LEFT($C$5,2)&amp;"输出",标准坦克设计!$B$23:$U$23,0)))*(VLOOKUP($B92,INDIRECT($B$5&amp;"生成成长"),3))*(VLOOKUP($B$5,标准坦克设计!$B$14:$K$20,9)/30))</f>
        <v>9.351330390311654</v>
      </c>
      <c r="BP92" s="173">
        <f ca="1">(VLOOKUP(BP$72,INDIRECT($C$5&amp;"生成成长"),2))/((VLOOKUP($B92,INDIRECT($B$5&amp;"生成成长"),4))/(VLOOKUP(BP$72,INDIRECT($C$5&amp;"生成成长"),5))*(VLOOKUP($B$5,标准坦克设计!$B$24:$U$30,MATCH("对"&amp;LEFT($C$5,2)&amp;"输出",标准坦克设计!$B$23:$U$23,0)))*(VLOOKUP($B92,INDIRECT($B$5&amp;"生成成长"),3))*(VLOOKUP($B$5,标准坦克设计!$B$14:$K$20,9)/30))</f>
        <v>10.174048796254</v>
      </c>
      <c r="BQ92" s="173">
        <f ca="1">(VLOOKUP(BQ$72,INDIRECT($C$5&amp;"生成成长"),2))/((VLOOKUP($B92,INDIRECT($B$5&amp;"生成成长"),4))/(VLOOKUP(BQ$72,INDIRECT($C$5&amp;"生成成长"),5))*(VLOOKUP($B$5,标准坦克设计!$B$24:$U$30,MATCH("对"&amp;LEFT($C$5,2)&amp;"输出",标准坦克设计!$B$23:$U$23,0)))*(VLOOKUP($B92,INDIRECT($B$5&amp;"生成成长"),3))*(VLOOKUP($B$5,标准坦克设计!$B$14:$K$20,9)/30))</f>
        <v>11.031448540151766</v>
      </c>
      <c r="BR92" s="173">
        <f ca="1">(VLOOKUP(BR$72,INDIRECT($C$5&amp;"生成成长"),2))/((VLOOKUP($B92,INDIRECT($B$5&amp;"生成成长"),4))/(VLOOKUP(BR$72,INDIRECT($C$5&amp;"生成成长"),5))*(VLOOKUP($B$5,标准坦克设计!$B$24:$U$30,MATCH("对"&amp;LEFT($C$5,2)&amp;"输出",标准坦克设计!$B$23:$U$23,0)))*(VLOOKUP($B92,INDIRECT($B$5&amp;"生成成长"),3))*(VLOOKUP($B$5,标准坦克设计!$B$14:$K$20,9)/30))</f>
        <v>12.024790565541432</v>
      </c>
      <c r="BS92" s="173">
        <f ca="1">(VLOOKUP(BS$72,INDIRECT($C$5&amp;"生成成长"),2))/((VLOOKUP($B92,INDIRECT($B$5&amp;"生成成长"),4))/(VLOOKUP(BS$72,INDIRECT($C$5&amp;"生成成长"),5))*(VLOOKUP($B$5,标准坦克设计!$B$24:$U$30,MATCH("对"&amp;LEFT($C$5,2)&amp;"输出",标准坦克设计!$B$23:$U$23,0)))*(VLOOKUP($B92,INDIRECT($B$5&amp;"生成成长"),3))*(VLOOKUP($B$5,标准坦克设计!$B$14:$K$20,9)/30))</f>
        <v>13.060949057542725</v>
      </c>
      <c r="BT92" s="173">
        <f ca="1">(VLOOKUP(BT$72,INDIRECT($C$5&amp;"生成成长"),2))/((VLOOKUP($B92,INDIRECT($B$5&amp;"生成成长"),4))/(VLOOKUP(BT$72,INDIRECT($C$5&amp;"生成成长"),5))*(VLOOKUP($B$5,标准坦克设计!$B$24:$U$30,MATCH("对"&amp;LEFT($C$5,2)&amp;"输出",标准坦克设计!$B$23:$U$23,0)))*(VLOOKUP($B92,INDIRECT($B$5&amp;"生成成长"),3))*(VLOOKUP($B$5,标准坦克设计!$B$14:$K$20,9)/30))</f>
        <v>14.139924016155639</v>
      </c>
      <c r="BU92" s="173">
        <f ca="1">(VLOOKUP(BU$72,INDIRECT($C$5&amp;"生成成长"),2))/((VLOOKUP($B92,INDIRECT($B$5&amp;"生成成长"),4))/(VLOOKUP(BU$72,INDIRECT($C$5&amp;"生成成长"),5))*(VLOOKUP($B$5,标准坦克设计!$B$24:$U$30,MATCH("对"&amp;LEFT($C$5,2)&amp;"输出",标准坦克设计!$B$23:$U$23,0)))*(VLOOKUP($B92,INDIRECT($B$5&amp;"生成成长"),3))*(VLOOKUP($B$5,标准坦克设计!$B$14:$K$20,9)/30))</f>
        <v>15.261715441380181</v>
      </c>
      <c r="BV92" s="173">
        <f ca="1">(VLOOKUP(BV$72,INDIRECT($C$5&amp;"生成成长"),2))/((VLOOKUP($B92,INDIRECT($B$5&amp;"生成成长"),4))/(VLOOKUP(BV$72,INDIRECT($C$5&amp;"生成成长"),5))*(VLOOKUP($B$5,标准坦克设计!$B$24:$U$30,MATCH("对"&amp;LEFT($C$5,2)&amp;"输出",标准坦克设计!$B$23:$U$23,0)))*(VLOOKUP($B92,INDIRECT($B$5&amp;"生成成长"),3))*(VLOOKUP($B$5,标准坦克设计!$B$14:$K$20,9)/30))</f>
        <v>16.426323333216342</v>
      </c>
      <c r="BW92" s="173">
        <f ca="1">(VLOOKUP(BW$72,INDIRECT($C$5&amp;"生成成长"),2))/((VLOOKUP($B92,INDIRECT($B$5&amp;"生成成长"),4))/(VLOOKUP(BW$72,INDIRECT($C$5&amp;"生成成长"),5))*(VLOOKUP($B$5,标准坦克设计!$B$24:$U$30,MATCH("对"&amp;LEFT($C$5,2)&amp;"输出",标准坦克设计!$B$23:$U$23,0)))*(VLOOKUP($B92,INDIRECT($B$5&amp;"生成成长"),3))*(VLOOKUP($B$5,标准坦克设计!$B$14:$K$20,9)/30))</f>
        <v>7.4862451047093304</v>
      </c>
      <c r="BX92" s="173">
        <f ca="1">(VLOOKUP(BX$72,INDIRECT($C$5&amp;"生成成长"),2))/((VLOOKUP($B92,INDIRECT($B$5&amp;"生成成长"),4))/(VLOOKUP(BX$72,INDIRECT($C$5&amp;"生成成长"),5))*(VLOOKUP($B$5,标准坦克设计!$B$24:$U$30,MATCH("对"&amp;LEFT($C$5,2)&amp;"输出",标准坦克设计!$B$23:$U$23,0)))*(VLOOKUP($B92,INDIRECT($B$5&amp;"生成成长"),3))*(VLOOKUP($B$5,标准坦克设计!$B$14:$K$20,9)/30))</f>
        <v>8.3083212636525037</v>
      </c>
      <c r="BY92" s="173">
        <f ca="1">(VLOOKUP(BY$72,INDIRECT($C$5&amp;"生成成长"),2))/((VLOOKUP($B92,INDIRECT($B$5&amp;"生成成长"),4))/(VLOOKUP(BY$72,INDIRECT($C$5&amp;"生成成长"),5))*(VLOOKUP($B$5,标准坦克设计!$B$24:$U$30,MATCH("对"&amp;LEFT($C$5,2)&amp;"输出",标准坦克设计!$B$23:$U$23,0)))*(VLOOKUP($B92,INDIRECT($B$5&amp;"生成成长"),3))*(VLOOKUP($B$5,标准坦克设计!$B$14:$K$20,9)/30))</f>
        <v>9.1732138892073003</v>
      </c>
      <c r="BZ92" s="173">
        <f ca="1">(VLOOKUP(BZ$72,INDIRECT($C$5&amp;"生成成长"),2))/((VLOOKUP($B92,INDIRECT($B$5&amp;"生成成长"),4))/(VLOOKUP(BZ$72,INDIRECT($C$5&amp;"生成成长"),5))*(VLOOKUP($B$5,标准坦克设计!$B$24:$U$30,MATCH("对"&amp;LEFT($C$5,2)&amp;"输出",标准坦克设计!$B$23:$U$23,0)))*(VLOOKUP($B92,INDIRECT($B$5&amp;"生成成长"),3))*(VLOOKUP($B$5,标准坦克设计!$B$14:$K$20,9)/30))</f>
        <v>10.080922981373721</v>
      </c>
      <c r="CA92" s="173">
        <f ca="1">(VLOOKUP(CA$72,INDIRECT($C$5&amp;"生成成长"),2))/((VLOOKUP($B92,INDIRECT($B$5&amp;"生成成长"),4))/(VLOOKUP(CA$72,INDIRECT($C$5&amp;"生成成长"),5))*(VLOOKUP($B$5,标准坦克设计!$B$24:$U$30,MATCH("对"&amp;LEFT($C$5,2)&amp;"输出",标准坦克设计!$B$23:$U$23,0)))*(VLOOKUP($B92,INDIRECT($B$5&amp;"生成成长"),3))*(VLOOKUP($B$5,标准坦克设计!$B$14:$K$20,9)/30))</f>
        <v>11.031448540151766</v>
      </c>
      <c r="CB92" s="173">
        <f ca="1">(VLOOKUP(CB$72,INDIRECT($C$5&amp;"生成成长"),2))/((VLOOKUP($B92,INDIRECT($B$5&amp;"生成成长"),4))/(VLOOKUP(CB$72,INDIRECT($C$5&amp;"生成成长"),5))*(VLOOKUP($B$5,标准坦克设计!$B$24:$U$30,MATCH("对"&amp;LEFT($C$5,2)&amp;"输出",标准坦克设计!$B$23:$U$23,0)))*(VLOOKUP($B92,INDIRECT($B$5&amp;"生成成长"),3))*(VLOOKUP($B$5,标准坦克设计!$B$14:$K$20,9)/30))</f>
        <v>12.024790565541432</v>
      </c>
      <c r="CC92" s="173">
        <f ca="1">(VLOOKUP(CC$72,INDIRECT($C$5&amp;"生成成长"),2))/((VLOOKUP($B92,INDIRECT($B$5&amp;"生成成长"),4))/(VLOOKUP(CC$72,INDIRECT($C$5&amp;"生成成长"),5))*(VLOOKUP($B$5,标准坦克设计!$B$24:$U$30,MATCH("对"&amp;LEFT($C$5,2)&amp;"输出",标准坦克设计!$B$23:$U$23,0)))*(VLOOKUP($B92,INDIRECT($B$5&amp;"生成成长"),3))*(VLOOKUP($B$5,标准坦克设计!$B$14:$K$20,9)/30))</f>
        <v>13.060949057542725</v>
      </c>
      <c r="CD92" s="173">
        <f ca="1">(VLOOKUP(CD$72,INDIRECT($C$5&amp;"生成成长"),2))/((VLOOKUP($B92,INDIRECT($B$5&amp;"生成成长"),4))/(VLOOKUP(CD$72,INDIRECT($C$5&amp;"生成成长"),5))*(VLOOKUP($B$5,标准坦克设计!$B$24:$U$30,MATCH("对"&amp;LEFT($C$5,2)&amp;"输出",标准坦克设计!$B$23:$U$23,0)))*(VLOOKUP($B92,INDIRECT($B$5&amp;"生成成长"),3))*(VLOOKUP($B$5,标准坦克设计!$B$14:$K$20,9)/30))</f>
        <v>14.139924016155639</v>
      </c>
      <c r="CE92" s="173">
        <f ca="1">(VLOOKUP(CE$72,INDIRECT($C$5&amp;"生成成长"),2))/((VLOOKUP($B92,INDIRECT($B$5&amp;"生成成长"),4))/(VLOOKUP(CE$72,INDIRECT($C$5&amp;"生成成长"),5))*(VLOOKUP($B$5,标准坦克设计!$B$24:$U$30,MATCH("对"&amp;LEFT($C$5,2)&amp;"输出",标准坦克设计!$B$23:$U$23,0)))*(VLOOKUP($B92,INDIRECT($B$5&amp;"生成成长"),3))*(VLOOKUP($B$5,标准坦克设计!$B$14:$K$20,9)/30))</f>
        <v>15.261715441380181</v>
      </c>
      <c r="CF92" s="173">
        <f ca="1">(VLOOKUP(CF$72,INDIRECT($C$5&amp;"生成成长"),2))/((VLOOKUP($B92,INDIRECT($B$5&amp;"生成成长"),4))/(VLOOKUP(CF$72,INDIRECT($C$5&amp;"生成成长"),5))*(VLOOKUP($B$5,标准坦克设计!$B$24:$U$30,MATCH("对"&amp;LEFT($C$5,2)&amp;"输出",标准坦克设计!$B$23:$U$23,0)))*(VLOOKUP($B92,INDIRECT($B$5&amp;"生成成长"),3))*(VLOOKUP($B$5,标准坦克设计!$B$14:$K$20,9)/30))</f>
        <v>16.426323333216342</v>
      </c>
      <c r="CG92" s="173">
        <f ca="1">(VLOOKUP(CG$72,INDIRECT($C$5&amp;"生成成长"),2))/((VLOOKUP($B92,INDIRECT($B$5&amp;"生成成长"),4))/(VLOOKUP(CG$72,INDIRECT($C$5&amp;"生成成长"),5))*(VLOOKUP($B$5,标准坦克设计!$B$24:$U$30,MATCH("对"&amp;LEFT($C$5,2)&amp;"输出",标准坦克设计!$B$23:$U$23,0)))*(VLOOKUP($B92,INDIRECT($B$5&amp;"生成成长"),3))*(VLOOKUP($B$5,标准坦克设计!$B$14:$K$20,9)/30))</f>
        <v>17.633747691664123</v>
      </c>
      <c r="CH92" s="173">
        <f ca="1">(VLOOKUP(CH$72,INDIRECT($C$5&amp;"生成成长"),2))/((VLOOKUP($B92,INDIRECT($B$5&amp;"生成成长"),4))/(VLOOKUP(CH$72,INDIRECT($C$5&amp;"生成成长"),5))*(VLOOKUP($B$5,标准坦克设计!$B$24:$U$30,MATCH("对"&amp;LEFT($C$5,2)&amp;"输出",标准坦克设计!$B$23:$U$23,0)))*(VLOOKUP($B92,INDIRECT($B$5&amp;"生成成长"),3))*(VLOOKUP($B$5,标准坦克设计!$B$14:$K$20,9)/30))</f>
        <v>18.883988516723537</v>
      </c>
      <c r="CI92" s="173">
        <f ca="1">(VLOOKUP(CI$72,INDIRECT($C$5&amp;"生成成长"),2))/((VLOOKUP($B92,INDIRECT($B$5&amp;"生成成长"),4))/(VLOOKUP(CI$72,INDIRECT($C$5&amp;"生成成长"),5))*(VLOOKUP($B$5,标准坦克设计!$B$24:$U$30,MATCH("对"&amp;LEFT($C$5,2)&amp;"输出",标准坦克设计!$B$23:$U$23,0)))*(VLOOKUP($B92,INDIRECT($B$5&amp;"生成成长"),3))*(VLOOKUP($B$5,标准坦克设计!$B$14:$K$20,9)/30))</f>
        <v>20.308706443225311</v>
      </c>
      <c r="CJ92" s="173">
        <f ca="1">(VLOOKUP(CJ$72,INDIRECT($C$5&amp;"生成成长"),2))/((VLOOKUP($B92,INDIRECT($B$5&amp;"生成成长"),4))/(VLOOKUP(CJ$72,INDIRECT($C$5&amp;"生成成长"),5))*(VLOOKUP($B$5,标准坦克设计!$B$24:$U$30,MATCH("对"&amp;LEFT($C$5,2)&amp;"输出",标准坦克设计!$B$23:$U$23,0)))*(VLOOKUP($B92,INDIRECT($B$5&amp;"生成成长"),3))*(VLOOKUP($B$5,标准坦克设计!$B$14:$K$20,9)/30))</f>
        <v>21.785232294327148</v>
      </c>
      <c r="CK92" s="173">
        <f ca="1">(VLOOKUP(CK$72,INDIRECT($C$5&amp;"生成成长"),2))/((VLOOKUP($B92,INDIRECT($B$5&amp;"生成成长"),4))/(VLOOKUP(CK$72,INDIRECT($C$5&amp;"生成成长"),5))*(VLOOKUP($B$5,标准坦克设计!$B$24:$U$30,MATCH("对"&amp;LEFT($C$5,2)&amp;"输出",标准坦克设计!$B$23:$U$23,0)))*(VLOOKUP($B92,INDIRECT($B$5&amp;"生成成长"),3))*(VLOOKUP($B$5,标准坦克设计!$B$14:$K$20,9)/30))</f>
        <v>23.313566070029058</v>
      </c>
      <c r="CL92" s="173">
        <f ca="1">(VLOOKUP(CL$72,INDIRECT($C$5&amp;"生成成长"),2))/((VLOOKUP($B92,INDIRECT($B$5&amp;"生成成长"),4))/(VLOOKUP(CL$72,INDIRECT($C$5&amp;"生成成长"),5))*(VLOOKUP($B$5,标准坦克设计!$B$24:$U$30,MATCH("对"&amp;LEFT($C$5,2)&amp;"输出",标准坦克设计!$B$23:$U$23,0)))*(VLOOKUP($B92,INDIRECT($B$5&amp;"生成成长"),3))*(VLOOKUP($B$5,标准坦克设计!$B$14:$K$20,9)/30))</f>
        <v>24.893707770331023</v>
      </c>
      <c r="CM92" s="173">
        <f ca="1">(VLOOKUP(CM$72,INDIRECT($C$5&amp;"生成成长"),2))/((VLOOKUP($B92,INDIRECT($B$5&amp;"生成成长"),4))/(VLOOKUP(CM$72,INDIRECT($C$5&amp;"生成成长"),5))*(VLOOKUP($B$5,标准坦克设计!$B$24:$U$30,MATCH("对"&amp;LEFT($C$5,2)&amp;"输出",标准坦克设计!$B$23:$U$23,0)))*(VLOOKUP($B92,INDIRECT($B$5&amp;"生成成长"),3))*(VLOOKUP($B$5,标准坦克设计!$B$14:$K$20,9)/30))</f>
        <v>26.525657395233058</v>
      </c>
      <c r="CN92" s="173">
        <f ca="1">(VLOOKUP(CN$72,INDIRECT($C$5&amp;"生成成长"),2))/((VLOOKUP($B92,INDIRECT($B$5&amp;"生成成长"),4))/(VLOOKUP(CN$72,INDIRECT($C$5&amp;"生成成长"),5))*(VLOOKUP($B$5,标准坦克设计!$B$24:$U$30,MATCH("对"&amp;LEFT($C$5,2)&amp;"输出",标准坦克设计!$B$23:$U$23,0)))*(VLOOKUP($B92,INDIRECT($B$5&amp;"生成成长"),3))*(VLOOKUP($B$5,标准坦克设计!$B$14:$K$20,9)/30))</f>
        <v>28.209414944735155</v>
      </c>
      <c r="CO92" s="173">
        <f ca="1">(VLOOKUP(CO$72,INDIRECT($C$5&amp;"生成成长"),2))/((VLOOKUP($B92,INDIRECT($B$5&amp;"生成成长"),4))/(VLOOKUP(CO$72,INDIRECT($C$5&amp;"生成成长"),5))*(VLOOKUP($B$5,标准坦克设计!$B$24:$U$30,MATCH("对"&amp;LEFT($C$5,2)&amp;"输出",标准坦克设计!$B$23:$U$23,0)))*(VLOOKUP($B92,INDIRECT($B$5&amp;"生成成长"),3))*(VLOOKUP($B$5,标准坦克设计!$B$14:$K$20,9)/30))</f>
        <v>12.64134768474881</v>
      </c>
      <c r="CP92" s="173">
        <f ca="1">(VLOOKUP(CP$72,INDIRECT($C$5&amp;"生成成长"),2))/((VLOOKUP($B92,INDIRECT($B$5&amp;"生成成长"),4))/(VLOOKUP(CP$72,INDIRECT($C$5&amp;"生成成长"),5))*(VLOOKUP($B$5,标准坦克设计!$B$24:$U$30,MATCH("对"&amp;LEFT($C$5,2)&amp;"输出",标准坦克设计!$B$23:$U$23,0)))*(VLOOKUP($B92,INDIRECT($B$5&amp;"生成成长"),3))*(VLOOKUP($B$5,标准坦克设计!$B$14:$K$20,9)/30))</f>
        <v>13.811735799577542</v>
      </c>
      <c r="CQ92" s="173">
        <f ca="1">(VLOOKUP(CQ$72,INDIRECT($C$5&amp;"生成成长"),2))/((VLOOKUP($B92,INDIRECT($B$5&amp;"生成成长"),4))/(VLOOKUP(CQ$72,INDIRECT($C$5&amp;"生成成长"),5))*(VLOOKUP($B$5,标准坦克设计!$B$24:$U$30,MATCH("对"&amp;LEFT($C$5,2)&amp;"输出",标准坦克设计!$B$23:$U$23,0)))*(VLOOKUP($B92,INDIRECT($B$5&amp;"生成成长"),3))*(VLOOKUP($B$5,标准坦克设计!$B$14:$K$20,9)/30))</f>
        <v>15.033931839006339</v>
      </c>
      <c r="CR92" s="173">
        <f ca="1">(VLOOKUP(CR$72,INDIRECT($C$5&amp;"生成成长"),2))/((VLOOKUP($B92,INDIRECT($B$5&amp;"生成成长"),4))/(VLOOKUP(CR$72,INDIRECT($C$5&amp;"生成成长"),5))*(VLOOKUP($B$5,标准坦克设计!$B$24:$U$30,MATCH("对"&amp;LEFT($C$5,2)&amp;"输出",标准坦克设计!$B$23:$U$23,0)))*(VLOOKUP($B92,INDIRECT($B$5&amp;"生成成长"),3))*(VLOOKUP($B$5,标准坦克设计!$B$14:$K$20,9)/30))</f>
        <v>16.3079358030352</v>
      </c>
      <c r="CS92" s="173">
        <f ca="1">(VLOOKUP(CS$72,INDIRECT($C$5&amp;"生成成长"),2))/((VLOOKUP($B92,INDIRECT($B$5&amp;"生成成长"),4))/(VLOOKUP(CS$72,INDIRECT($C$5&amp;"生成成长"),5))*(VLOOKUP($B$5,标准坦克设计!$B$24:$U$30,MATCH("对"&amp;LEFT($C$5,2)&amp;"输出",标准坦克设计!$B$23:$U$23,0)))*(VLOOKUP($B92,INDIRECT($B$5&amp;"生成成长"),3))*(VLOOKUP($B$5,标准坦克设计!$B$14:$K$20,9)/30))</f>
        <v>17.633747691664123</v>
      </c>
      <c r="CT92" s="173">
        <f ca="1">(VLOOKUP(CT$72,INDIRECT($C$5&amp;"生成成长"),2))/((VLOOKUP($B92,INDIRECT($B$5&amp;"生成成长"),4))/(VLOOKUP(CT$72,INDIRECT($C$5&amp;"生成成长"),5))*(VLOOKUP($B$5,标准坦克设计!$B$24:$U$30,MATCH("对"&amp;LEFT($C$5,2)&amp;"输出",标准坦克设计!$B$23:$U$23,0)))*(VLOOKUP($B92,INDIRECT($B$5&amp;"生成成长"),3))*(VLOOKUP($B$5,标准坦克设计!$B$14:$K$20,9)/30))</f>
        <v>19.011367504893116</v>
      </c>
      <c r="CU92" s="173">
        <f ca="1">(VLOOKUP(CU$72,INDIRECT($C$5&amp;"生成成长"),2))/((VLOOKUP($B92,INDIRECT($B$5&amp;"生成成长"),4))/(VLOOKUP(CU$72,INDIRECT($C$5&amp;"生成成长"),5))*(VLOOKUP($B$5,标准坦克设计!$B$24:$U$30,MATCH("对"&amp;LEFT($C$5,2)&amp;"输出",标准坦克设计!$B$23:$U$23,0)))*(VLOOKUP($B92,INDIRECT($B$5&amp;"生成成长"),3))*(VLOOKUP($B$5,标准坦克设计!$B$14:$K$20,9)/30))</f>
        <v>20.440795242722171</v>
      </c>
      <c r="CV92" s="173">
        <f ca="1">(VLOOKUP(CV$72,INDIRECT($C$5&amp;"生成成长"),2))/((VLOOKUP($B92,INDIRECT($B$5&amp;"生成成长"),4))/(VLOOKUP(CV$72,INDIRECT($C$5&amp;"生成成长"),5))*(VLOOKUP($B$5,标准坦克设计!$B$24:$U$30,MATCH("对"&amp;LEFT($C$5,2)&amp;"输出",标准坦克设计!$B$23:$U$23,0)))*(VLOOKUP($B92,INDIRECT($B$5&amp;"生成成长"),3))*(VLOOKUP($B$5,标准坦克设计!$B$14:$K$20,9)/30))</f>
        <v>21.922030905151288</v>
      </c>
      <c r="CW92" s="173">
        <f ca="1">(VLOOKUP(CW$72,INDIRECT($C$5&amp;"生成成长"),2))/((VLOOKUP($B92,INDIRECT($B$5&amp;"生成成长"),4))/(VLOOKUP(CW$72,INDIRECT($C$5&amp;"生成成长"),5))*(VLOOKUP($B$5,标准坦克设计!$B$24:$U$30,MATCH("对"&amp;LEFT($C$5,2)&amp;"输出",标准坦克设计!$B$23:$U$23,0)))*(VLOOKUP($B92,INDIRECT($B$5&amp;"生成成长"),3))*(VLOOKUP($B$5,标准坦克设计!$B$14:$K$20,9)/30))</f>
        <v>23.455074492180472</v>
      </c>
      <c r="CX92" s="173">
        <f ca="1">(VLOOKUP(CX$72,INDIRECT($C$5&amp;"生成成长"),2))/((VLOOKUP($B92,INDIRECT($B$5&amp;"生成成长"),4))/(VLOOKUP(CX$72,INDIRECT($C$5&amp;"生成成长"),5))*(VLOOKUP($B$5,标准坦克设计!$B$24:$U$30,MATCH("对"&amp;LEFT($C$5,2)&amp;"输出",标准坦克设计!$B$23:$U$23,0)))*(VLOOKUP($B92,INDIRECT($B$5&amp;"生成成长"),3))*(VLOOKUP($B$5,标准坦克设计!$B$14:$K$20,9)/30))</f>
        <v>25.039926003809718</v>
      </c>
      <c r="CY92" s="173">
        <f ca="1">(VLOOKUP(CY$72,INDIRECT($C$5&amp;"生成成长"),2))/((VLOOKUP($B92,INDIRECT($B$5&amp;"生成成长"),4))/(VLOOKUP(CY$72,INDIRECT($C$5&amp;"生成成长"),5))*(VLOOKUP($B$5,标准坦克设计!$B$24:$U$30,MATCH("对"&amp;LEFT($C$5,2)&amp;"输出",标准坦克设计!$B$23:$U$23,0)))*(VLOOKUP($B92,INDIRECT($B$5&amp;"生成成长"),3))*(VLOOKUP($B$5,标准坦克设计!$B$14:$K$20,9)/30))</f>
        <v>26.67658544003903</v>
      </c>
      <c r="CZ92" s="173">
        <f ca="1">(VLOOKUP(CZ$72,INDIRECT($C$5&amp;"生成成长"),2))/((VLOOKUP($B92,INDIRECT($B$5&amp;"生成成长"),4))/(VLOOKUP(CZ$72,INDIRECT($C$5&amp;"生成成长"),5))*(VLOOKUP($B$5,标准坦克设计!$B$24:$U$30,MATCH("对"&amp;LEFT($C$5,2)&amp;"输出",标准坦克设计!$B$23:$U$23,0)))*(VLOOKUP($B92,INDIRECT($B$5&amp;"生成成长"),3))*(VLOOKUP($B$5,标准坦克设计!$B$14:$K$20,9)/30))</f>
        <v>28.365052800868408</v>
      </c>
      <c r="DA92" s="173">
        <f ca="1">(VLOOKUP(DA$72,INDIRECT($C$5&amp;"生成成长"),2))/((VLOOKUP($B92,INDIRECT($B$5&amp;"生成成长"),4))/(VLOOKUP(DA$72,INDIRECT($C$5&amp;"生成成长"),5))*(VLOOKUP($B$5,标准坦克设计!$B$24:$U$30,MATCH("对"&amp;LEFT($C$5,2)&amp;"输出",标准坦克设计!$B$23:$U$23,0)))*(VLOOKUP($B92,INDIRECT($B$5&amp;"生成成长"),3))*(VLOOKUP($B$5,标准坦克设计!$B$14:$K$20,9)/30))</f>
        <v>30.105328086297849</v>
      </c>
      <c r="DB92" s="173">
        <f ca="1">(VLOOKUP(DB$72,INDIRECT($C$5&amp;"生成成长"),2))/((VLOOKUP($B92,INDIRECT($B$5&amp;"生成成长"),4))/(VLOOKUP(DB$72,INDIRECT($C$5&amp;"生成成长"),5))*(VLOOKUP($B$5,标准坦克设计!$B$24:$U$30,MATCH("对"&amp;LEFT($C$5,2)&amp;"输出",标准坦克设计!$B$23:$U$23,0)))*(VLOOKUP($B92,INDIRECT($B$5&amp;"生成成长"),3))*(VLOOKUP($B$5,标准坦克设计!$B$14:$K$20,9)/30))</f>
        <v>31.897411296327359</v>
      </c>
      <c r="DC92" s="173">
        <f ca="1">(VLOOKUP(DC$72,INDIRECT($C$5&amp;"生成成长"),2))/((VLOOKUP($B92,INDIRECT($B$5&amp;"生成成长"),4))/(VLOOKUP(DC$72,INDIRECT($C$5&amp;"生成成长"),5))*(VLOOKUP($B$5,标准坦克设计!$B$24:$U$30,MATCH("对"&amp;LEFT($C$5,2)&amp;"输出",标准坦克设计!$B$23:$U$23,0)))*(VLOOKUP($B92,INDIRECT($B$5&amp;"生成成长"),3))*(VLOOKUP($B$5,标准坦克设计!$B$14:$K$20,9)/30))</f>
        <v>33.911497885738129</v>
      </c>
      <c r="DD92" s="173">
        <f ca="1">(VLOOKUP(DD$72,INDIRECT($C$5&amp;"生成成长"),2))/((VLOOKUP($B92,INDIRECT($B$5&amp;"生成成长"),4))/(VLOOKUP(DD$72,INDIRECT($C$5&amp;"生成成长"),5))*(VLOOKUP($B$5,标准坦克设计!$B$24:$U$30,MATCH("对"&amp;LEFT($C$5,2)&amp;"输出",标准坦克设计!$B$23:$U$23,0)))*(VLOOKUP($B92,INDIRECT($B$5&amp;"生成成长"),3))*(VLOOKUP($B$5,标准坦克设计!$B$14:$K$20,9)/30))</f>
        <v>35.987240187069645</v>
      </c>
      <c r="DE92" s="173">
        <f ca="1">(VLOOKUP(DE$72,INDIRECT($C$5&amp;"生成成长"),2))/((VLOOKUP($B92,INDIRECT($B$5&amp;"生成成长"),4))/(VLOOKUP(DE$72,INDIRECT($C$5&amp;"生成成长"),5))*(VLOOKUP($B$5,标准坦克设计!$B$24:$U$30,MATCH("对"&amp;LEFT($C$5,2)&amp;"输出",标准坦克设计!$B$23:$U$23,0)))*(VLOOKUP($B92,INDIRECT($B$5&amp;"生成成长"),3))*(VLOOKUP($B$5,标准坦克设计!$B$14:$K$20,9)/30))</f>
        <v>38.12463820032189</v>
      </c>
      <c r="DF92" s="173">
        <f ca="1">(VLOOKUP(DF$72,INDIRECT($C$5&amp;"生成成长"),2))/((VLOOKUP($B92,INDIRECT($B$5&amp;"生成成长"),4))/(VLOOKUP(DF$72,INDIRECT($C$5&amp;"生成成长"),5))*(VLOOKUP($B$5,标准坦克设计!$B$24:$U$30,MATCH("对"&amp;LEFT($C$5,2)&amp;"输出",标准坦克设计!$B$23:$U$23,0)))*(VLOOKUP($B92,INDIRECT($B$5&amp;"生成成长"),3))*(VLOOKUP($B$5,标准坦克设计!$B$14:$K$20,9)/30))</f>
        <v>40.323691925494884</v>
      </c>
      <c r="DG92" s="173">
        <f ca="1">(VLOOKUP(DG$72,INDIRECT($C$5&amp;"生成成长"),2))/((VLOOKUP($B92,INDIRECT($B$5&amp;"生成成长"),4))/(VLOOKUP(DG$72,INDIRECT($C$5&amp;"生成成长"),5))*(VLOOKUP($B$5,标准坦克设计!$B$24:$U$30,MATCH("对"&amp;LEFT($C$5,2)&amp;"输出",标准坦克设计!$B$23:$U$23,0)))*(VLOOKUP($B92,INDIRECT($B$5&amp;"生成成长"),3))*(VLOOKUP($B$5,标准坦克设计!$B$14:$K$20,9)/30))</f>
        <v>42.584401362588608</v>
      </c>
      <c r="DH92" s="173">
        <f ca="1">(VLOOKUP(DH$72,INDIRECT($C$5&amp;"生成成长"),2))/((VLOOKUP($B92,INDIRECT($B$5&amp;"生成成长"),4))/(VLOOKUP(DH$72,INDIRECT($C$5&amp;"生成成长"),5))*(VLOOKUP($B$5,标准坦克设计!$B$24:$U$30,MATCH("对"&amp;LEFT($C$5,2)&amp;"输出",标准坦克设计!$B$23:$U$23,0)))*(VLOOKUP($B92,INDIRECT($B$5&amp;"生成成长"),3))*(VLOOKUP($B$5,标准坦克设计!$B$14:$K$20,9)/30))</f>
        <v>44.906766511603067</v>
      </c>
      <c r="DI92" s="173">
        <f ca="1">(VLOOKUP(DI$72,INDIRECT($C$5&amp;"生成成长"),2))/((VLOOKUP($B92,INDIRECT($B$5&amp;"生成成长"),4))/(VLOOKUP(DI$72,INDIRECT($C$5&amp;"生成成长"),5))*(VLOOKUP($B$5,标准坦克设计!$B$24:$U$30,MATCH("对"&amp;LEFT($C$5,2)&amp;"输出",标准坦克设计!$B$23:$U$23,0)))*(VLOOKUP($B92,INDIRECT($B$5&amp;"生成成长"),3))*(VLOOKUP($B$5,标准坦克设计!$B$14:$K$20,9)/30))</f>
        <v>47.290787372538276</v>
      </c>
      <c r="DJ92" s="173">
        <f ca="1">(VLOOKUP(DJ$72,INDIRECT($C$5&amp;"生成成长"),2))/((VLOOKUP($B92,INDIRECT($B$5&amp;"生成成长"),4))/(VLOOKUP(DJ$72,INDIRECT($C$5&amp;"生成成长"),5))*(VLOOKUP($B$5,标准坦克设计!$B$24:$U$30,MATCH("对"&amp;LEFT($C$5,2)&amp;"输出",标准坦克设计!$B$23:$U$23,0)))*(VLOOKUP($B92,INDIRECT($B$5&amp;"生成成长"),3))*(VLOOKUP($B$5,标准坦克设计!$B$14:$K$20,9)/30))</f>
        <v>4.7528418762232789</v>
      </c>
      <c r="DK92" s="173">
        <f ca="1">(VLOOKUP(DK$72,INDIRECT($C$5&amp;"生成成长"),2))/((VLOOKUP($B92,INDIRECT($B$5&amp;"生成成长"),4))/(VLOOKUP(DK$72,INDIRECT($C$5&amp;"生成成长"),5))*(VLOOKUP($B$5,标准坦克设计!$B$24:$U$30,MATCH("对"&amp;LEFT($C$5,2)&amp;"输出",标准坦克设计!$B$23:$U$23,0)))*(VLOOKUP($B92,INDIRECT($B$5&amp;"生成成长"),3))*(VLOOKUP($B$5,标准坦克设计!$B$14:$K$20,9)/30))</f>
        <v>5.3443513624628585</v>
      </c>
      <c r="DL92" s="173">
        <f ca="1">(VLOOKUP(DL$72,INDIRECT($C$5&amp;"生成成长"),2))/((VLOOKUP($B92,INDIRECT($B$5&amp;"生成成长"),4))/(VLOOKUP(DL$72,INDIRECT($C$5&amp;"生成成长"),5))*(VLOOKUP($B$5,标准坦克设计!$B$24:$U$30,MATCH("对"&amp;LEFT($C$5,2)&amp;"输出",标准坦克设计!$B$23:$U$23,0)))*(VLOOKUP($B92,INDIRECT($B$5&amp;"生成成长"),3))*(VLOOKUP($B$5,标准坦克设计!$B$14:$K$20,9)/30))</f>
        <v>5.9705421866578545</v>
      </c>
      <c r="DM92" s="173">
        <f ca="1">(VLOOKUP(DM$72,INDIRECT($C$5&amp;"生成成长"),2))/((VLOOKUP($B92,INDIRECT($B$5&amp;"生成成长"),4))/(VLOOKUP(DM$72,INDIRECT($C$5&amp;"生成成长"),5))*(VLOOKUP($B$5,标准坦克设计!$B$24:$U$30,MATCH("对"&amp;LEFT($C$5,2)&amp;"输出",标准坦克设计!$B$23:$U$23,0)))*(VLOOKUP($B92,INDIRECT($B$5&amp;"生成成长"),3))*(VLOOKUP($B$5,标准坦克设计!$B$14:$K$20,9)/30))</f>
        <v>6.6314143488082644</v>
      </c>
      <c r="DN92" s="173">
        <f ca="1">(VLOOKUP(DN$72,INDIRECT($C$5&amp;"生成成长"),2))/((VLOOKUP($B92,INDIRECT($B$5&amp;"生成成长"),4))/(VLOOKUP(DN$72,INDIRECT($C$5&amp;"生成成长"),5))*(VLOOKUP($B$5,标准坦克设计!$B$24:$U$30,MATCH("对"&amp;LEFT($C$5,2)&amp;"输出",标准坦克设计!$B$23:$U$23,0)))*(VLOOKUP($B92,INDIRECT($B$5&amp;"生成成长"),3))*(VLOOKUP($B$5,标准坦克设计!$B$14:$K$20,9)/30))</f>
        <v>7.3269678489140899</v>
      </c>
      <c r="DO92" s="173">
        <f ca="1">(VLOOKUP(DO$72,INDIRECT($C$5&amp;"生成成长"),2))/((VLOOKUP($B92,INDIRECT($B$5&amp;"生成成长"),4))/(VLOOKUP(DO$72,INDIRECT($C$5&amp;"生成成长"),5))*(VLOOKUP($B$5,标准坦克设计!$B$24:$U$30,MATCH("对"&amp;LEFT($C$5,2)&amp;"输出",标准坦克设计!$B$23:$U$23,0)))*(VLOOKUP($B92,INDIRECT($B$5&amp;"生成成长"),3))*(VLOOKUP($B$5,标准坦克设计!$B$14:$K$20,9)/30))</f>
        <v>8.0572026869753302</v>
      </c>
      <c r="DP92" s="173">
        <f ca="1">(VLOOKUP(DP$72,INDIRECT($C$5&amp;"生成成长"),2))/((VLOOKUP($B92,INDIRECT($B$5&amp;"生成成长"),4))/(VLOOKUP(DP$72,INDIRECT($C$5&amp;"生成成长"),5))*(VLOOKUP($B$5,标准坦克设计!$B$24:$U$30,MATCH("对"&amp;LEFT($C$5,2)&amp;"输出",标准坦克设计!$B$23:$U$23,0)))*(VLOOKUP($B92,INDIRECT($B$5&amp;"生成成长"),3))*(VLOOKUP($B$5,标准坦克设计!$B$14:$K$20,9)/30))</f>
        <v>8.8221188629919851</v>
      </c>
      <c r="DQ92" s="173">
        <f ca="1">(VLOOKUP(DQ$72,INDIRECT($C$5&amp;"生成成长"),2))/((VLOOKUP($B92,INDIRECT($B$5&amp;"生成成长"),4))/(VLOOKUP(DQ$72,INDIRECT($C$5&amp;"生成成长"),5))*(VLOOKUP($B$5,标准坦克设计!$B$24:$U$30,MATCH("对"&amp;LEFT($C$5,2)&amp;"输出",标准坦克设计!$B$23:$U$23,0)))*(VLOOKUP($B92,INDIRECT($B$5&amp;"生成成长"),3))*(VLOOKUP($B$5,标准坦克设计!$B$14:$K$20,9)/30))</f>
        <v>9.6217163769640592</v>
      </c>
      <c r="DR92" s="173">
        <f ca="1">(VLOOKUP(DR$72,INDIRECT($C$5&amp;"生成成长"),2))/((VLOOKUP($B92,INDIRECT($B$5&amp;"生成成长"),4))/(VLOOKUP(DR$72,INDIRECT($C$5&amp;"生成成长"),5))*(VLOOKUP($B$5,标准坦克设计!$B$24:$U$30,MATCH("对"&amp;LEFT($C$5,2)&amp;"输出",标准坦克设计!$B$23:$U$23,0)))*(VLOOKUP($B92,INDIRECT($B$5&amp;"生成成长"),3))*(VLOOKUP($B$5,标准坦克设计!$B$14:$K$20,9)/30))</f>
        <v>10.455995228891542</v>
      </c>
      <c r="DS92" s="173">
        <f ca="1">(VLOOKUP(DS$72,INDIRECT($C$5&amp;"生成成长"),2))/((VLOOKUP($B92,INDIRECT($B$5&amp;"生成成长"),4))/(VLOOKUP(DS$72,INDIRECT($C$5&amp;"生成成长"),5))*(VLOOKUP($B$5,标准坦克设计!$B$24:$U$30,MATCH("对"&amp;LEFT($C$5,2)&amp;"输出",标准坦克设计!$B$23:$U$23,0)))*(VLOOKUP($B92,INDIRECT($B$5&amp;"生成成长"),3))*(VLOOKUP($B$5,标准坦克设计!$B$14:$K$20,9)/30))</f>
        <v>11.324955418774444</v>
      </c>
      <c r="DT92" s="173">
        <f ca="1">(VLOOKUP(DT$72,INDIRECT($C$5&amp;"生成成长"),2))/((VLOOKUP($B92,INDIRECT($B$5&amp;"生成成长"),4))/(VLOOKUP(DT$72,INDIRECT($C$5&amp;"生成成长"),5))*(VLOOKUP($B$5,标准坦克设计!$B$24:$U$30,MATCH("对"&amp;LEFT($C$5,2)&amp;"输出",标准坦克设计!$B$23:$U$23,0)))*(VLOOKUP($B92,INDIRECT($B$5&amp;"生成成长"),3))*(VLOOKUP($B$5,标准坦克设计!$B$14:$K$20,9)/30))</f>
        <v>12.434115986348555</v>
      </c>
      <c r="DU92" s="173">
        <f ca="1">(VLOOKUP(DU$72,INDIRECT($C$5&amp;"生成成长"),2))/((VLOOKUP($B92,INDIRECT($B$5&amp;"生成成长"),4))/(VLOOKUP(DU$72,INDIRECT($C$5&amp;"生成成长"),5))*(VLOOKUP($B$5,标准坦克设计!$B$24:$U$30,MATCH("对"&amp;LEFT($C$5,2)&amp;"输出",标准坦克设计!$B$23:$U$23,0)))*(VLOOKUP($B92,INDIRECT($B$5&amp;"生成成长"),3))*(VLOOKUP($B$5,标准坦克设计!$B$14:$K$20,9)/30))</f>
        <v>13.595084478522727</v>
      </c>
      <c r="DV92" s="173">
        <f ca="1">(VLOOKUP(DV$72,INDIRECT($C$5&amp;"生成成长"),2))/((VLOOKUP($B92,INDIRECT($B$5&amp;"生成成长"),4))/(VLOOKUP(DV$72,INDIRECT($C$5&amp;"生成成长"),5))*(VLOOKUP($B$5,标准坦克设计!$B$24:$U$30,MATCH("对"&amp;LEFT($C$5,2)&amp;"输出",标准坦克设计!$B$23:$U$23,0)))*(VLOOKUP($B92,INDIRECT($B$5&amp;"生成成长"),3))*(VLOOKUP($B$5,标准坦克设计!$B$14:$K$20,9)/30))</f>
        <v>14.807860895296963</v>
      </c>
      <c r="DW92" s="173">
        <f ca="1">(VLOOKUP(DW$72,INDIRECT($C$5&amp;"生成成长"),2))/((VLOOKUP($B92,INDIRECT($B$5&amp;"生成成长"),4))/(VLOOKUP(DW$72,INDIRECT($C$5&amp;"生成成长"),5))*(VLOOKUP($B$5,标准坦克设计!$B$24:$U$30,MATCH("对"&amp;LEFT($C$5,2)&amp;"输出",标准坦克设计!$B$23:$U$23,0)))*(VLOOKUP($B92,INDIRECT($B$5&amp;"生成成长"),3))*(VLOOKUP($B$5,标准坦克设计!$B$14:$K$20,9)/30))</f>
        <v>16.072445236671271</v>
      </c>
      <c r="DX92" s="173">
        <f ca="1">(VLOOKUP(DX$72,INDIRECT($C$5&amp;"生成成长"),2))/((VLOOKUP($B92,INDIRECT($B$5&amp;"生成成长"),4))/(VLOOKUP(DX$72,INDIRECT($C$5&amp;"生成成长"),5))*(VLOOKUP($B$5,标准坦克设计!$B$24:$U$30,MATCH("对"&amp;LEFT($C$5,2)&amp;"输出",标准坦克设计!$B$23:$U$23,0)))*(VLOOKUP($B92,INDIRECT($B$5&amp;"生成成长"),3))*(VLOOKUP($B$5,标准坦克设计!$B$14:$K$20,9)/30))</f>
        <v>17.388837502645639</v>
      </c>
      <c r="DY92" s="173">
        <f ca="1">(VLOOKUP(DY$72,INDIRECT($C$5&amp;"生成成长"),2))/((VLOOKUP($B92,INDIRECT($B$5&amp;"生成成长"),4))/(VLOOKUP(DY$72,INDIRECT($C$5&amp;"生成成长"),5))*(VLOOKUP($B$5,标准坦克设计!$B$24:$U$30,MATCH("对"&amp;LEFT($C$5,2)&amp;"输出",标准坦克设计!$B$23:$U$23,0)))*(VLOOKUP($B92,INDIRECT($B$5&amp;"生成成长"),3))*(VLOOKUP($B$5,标准坦克设计!$B$14:$K$20,9)/30))</f>
        <v>7.8099375922932035</v>
      </c>
      <c r="DZ92" s="173">
        <f ca="1">(VLOOKUP(DZ$72,INDIRECT($C$5&amp;"生成成长"),2))/((VLOOKUP($B92,INDIRECT($B$5&amp;"生成成长"),4))/(VLOOKUP(DZ$72,INDIRECT($C$5&amp;"生成成长"),5))*(VLOOKUP($B$5,标准坦克设计!$B$24:$U$30,MATCH("对"&amp;LEFT($C$5,2)&amp;"输出",标准坦克设计!$B$23:$U$23,0)))*(VLOOKUP($B92,INDIRECT($B$5&amp;"生成成长"),3))*(VLOOKUP($B$5,标准坦克设计!$B$14:$K$20,9)/30))</f>
        <v>8.6491403378810272</v>
      </c>
      <c r="EA92" s="173">
        <f ca="1">(VLOOKUP(EA$72,INDIRECT($C$5&amp;"生成成长"),2))/((VLOOKUP($B92,INDIRECT($B$5&amp;"生成成长"),4))/(VLOOKUP(EA$72,INDIRECT($C$5&amp;"生成成长"),5))*(VLOOKUP($B$5,标准坦克设计!$B$24:$U$30,MATCH("对"&amp;LEFT($C$5,2)&amp;"输出",标准坦克设计!$B$23:$U$23,0)))*(VLOOKUP($B92,INDIRECT($B$5&amp;"生成成长"),3))*(VLOOKUP($B$5,标准坦克设计!$B$14:$K$20,9)/30))</f>
        <v>9.5311595500804724</v>
      </c>
      <c r="EB92" s="173">
        <f ca="1">(VLOOKUP(EB$72,INDIRECT($C$5&amp;"生成成长"),2))/((VLOOKUP($B92,INDIRECT($B$5&amp;"生成成长"),4))/(VLOOKUP(EB$72,INDIRECT($C$5&amp;"生成成长"),5))*(VLOOKUP($B$5,标准坦克设计!$B$24:$U$30,MATCH("对"&amp;LEFT($C$5,2)&amp;"输出",标准坦克设计!$B$23:$U$23,0)))*(VLOOKUP($B92,INDIRECT($B$5&amp;"生成成长"),3))*(VLOOKUP($B$5,标准坦克设计!$B$14:$K$20,9)/30))</f>
        <v>10.455995228891542</v>
      </c>
      <c r="EC92" s="173">
        <f ca="1">(VLOOKUP(EC$72,INDIRECT($C$5&amp;"生成成长"),2))/((VLOOKUP($B92,INDIRECT($B$5&amp;"生成成长"),4))/(VLOOKUP(EC$72,INDIRECT($C$5&amp;"生成成长"),5))*(VLOOKUP($B$5,标准坦克设计!$B$24:$U$30,MATCH("对"&amp;LEFT($C$5,2)&amp;"输出",标准坦克设计!$B$23:$U$23,0)))*(VLOOKUP($B92,INDIRECT($B$5&amp;"生成成长"),3))*(VLOOKUP($B$5,标准坦克设计!$B$14:$K$20,9)/30))</f>
        <v>11.423647374314237</v>
      </c>
      <c r="ED92" s="173">
        <f ca="1">(VLOOKUP(ED$72,INDIRECT($C$5&amp;"生成成长"),2))/((VLOOKUP($B92,INDIRECT($B$5&amp;"生成成长"),4))/(VLOOKUP(ED$72,INDIRECT($C$5&amp;"生成成长"),5))*(VLOOKUP($B$5,标准坦克设计!$B$24:$U$30,MATCH("对"&amp;LEFT($C$5,2)&amp;"输出",标准坦克设计!$B$23:$U$23,0)))*(VLOOKUP($B92,INDIRECT($B$5&amp;"生成成长"),3))*(VLOOKUP($B$5,标准坦克设计!$B$14:$K$20,9)/30))</f>
        <v>12.434115986348555</v>
      </c>
      <c r="EE92" s="173">
        <f ca="1">(VLOOKUP(EE$72,INDIRECT($C$5&amp;"生成成长"),2))/((VLOOKUP($B92,INDIRECT($B$5&amp;"生成成长"),4))/(VLOOKUP(EE$72,INDIRECT($C$5&amp;"生成成长"),5))*(VLOOKUP($B$5,标准坦克设计!$B$24:$U$30,MATCH("对"&amp;LEFT($C$5,2)&amp;"输出",标准坦克设计!$B$23:$U$23,0)))*(VLOOKUP($B92,INDIRECT($B$5&amp;"生成成长"),3))*(VLOOKUP($B$5,标准坦克设计!$B$14:$K$20,9)/30))</f>
        <v>13.487401064994495</v>
      </c>
      <c r="EF92" s="173">
        <f ca="1">(VLOOKUP(EF$72,INDIRECT($C$5&amp;"生成成长"),2))/((VLOOKUP($B92,INDIRECT($B$5&amp;"生成成长"),4))/(VLOOKUP(EF$72,INDIRECT($C$5&amp;"生成成长"),5))*(VLOOKUP($B$5,标准坦克设计!$B$24:$U$30,MATCH("对"&amp;LEFT($C$5,2)&amp;"输出",标准坦克设计!$B$23:$U$23,0)))*(VLOOKUP($B92,INDIRECT($B$5&amp;"生成成长"),3))*(VLOOKUP($B$5,标准坦克设计!$B$14:$K$20,9)/30))</f>
        <v>14.583502610252058</v>
      </c>
      <c r="EG92" s="173">
        <f ca="1">(VLOOKUP(EG$72,INDIRECT($C$5&amp;"生成成长"),2))/((VLOOKUP($B92,INDIRECT($B$5&amp;"生成成长"),4))/(VLOOKUP(EG$72,INDIRECT($C$5&amp;"生成成长"),5))*(VLOOKUP($B$5,标准坦克设计!$B$24:$U$30,MATCH("对"&amp;LEFT($C$5,2)&amp;"输出",标准坦克设计!$B$23:$U$23,0)))*(VLOOKUP($B92,INDIRECT($B$5&amp;"生成成长"),3))*(VLOOKUP($B$5,标准坦克设计!$B$14:$K$20,9)/30))</f>
        <v>15.722420622121248</v>
      </c>
      <c r="EH92" s="173">
        <f ca="1">(VLOOKUP(EH$72,INDIRECT($C$5&amp;"生成成长"),2))/((VLOOKUP($B92,INDIRECT($B$5&amp;"生成成长"),4))/(VLOOKUP(EH$72,INDIRECT($C$5&amp;"生成成长"),5))*(VLOOKUP($B$5,标准坦克设计!$B$24:$U$30,MATCH("对"&amp;LEFT($C$5,2)&amp;"输出",标准坦克设计!$B$23:$U$23,0)))*(VLOOKUP($B92,INDIRECT($B$5&amp;"生成成长"),3))*(VLOOKUP($B$5,标准坦克设计!$B$14:$K$20,9)/30))</f>
        <v>16.904155100602061</v>
      </c>
      <c r="EI92" s="173">
        <f ca="1">(VLOOKUP(EI$72,INDIRECT($C$5&amp;"生成成长"),2))/((VLOOKUP($B92,INDIRECT($B$5&amp;"生成成长"),4))/(VLOOKUP(EI$72,INDIRECT($C$5&amp;"生成成长"),5))*(VLOOKUP($B$5,标准坦克设计!$B$24:$U$30,MATCH("对"&amp;LEFT($C$5,2)&amp;"输出",标准坦克设计!$B$23:$U$23,0)))*(VLOOKUP($B92,INDIRECT($B$5&amp;"生成成长"),3))*(VLOOKUP($B$5,标准坦克设计!$B$14:$K$20,9)/30))</f>
        <v>18.128706045694493</v>
      </c>
      <c r="EJ92" s="173">
        <f ca="1">(VLOOKUP(EJ$72,INDIRECT($C$5&amp;"生成成长"),2))/((VLOOKUP($B92,INDIRECT($B$5&amp;"生成成长"),4))/(VLOOKUP(EJ$72,INDIRECT($C$5&amp;"生成成长"),5))*(VLOOKUP($B$5,标准坦克设计!$B$24:$U$30,MATCH("对"&amp;LEFT($C$5,2)&amp;"输出",标准坦克设计!$B$23:$U$23,0)))*(VLOOKUP($B92,INDIRECT($B$5&amp;"生成成长"),3))*(VLOOKUP($B$5,标准坦克设计!$B$14:$K$20,9)/30))</f>
        <v>19.396073457398554</v>
      </c>
      <c r="EK92" s="173">
        <f ca="1">(VLOOKUP(EK$72,INDIRECT($C$5&amp;"生成成长"),2))/((VLOOKUP($B92,INDIRECT($B$5&amp;"生成成长"),4))/(VLOOKUP(EK$72,INDIRECT($C$5&amp;"生成成长"),5))*(VLOOKUP($B$5,标准坦克设计!$B$24:$U$30,MATCH("对"&amp;LEFT($C$5,2)&amp;"输出",标准坦克设计!$B$23:$U$23,0)))*(VLOOKUP($B92,INDIRECT($B$5&amp;"生成成长"),3))*(VLOOKUP($B$5,标准坦克设计!$B$14:$K$20,9)/30))</f>
        <v>20.973432087370767</v>
      </c>
      <c r="EL92" s="173">
        <f ca="1">(VLOOKUP(EL$72,INDIRECT($C$5&amp;"生成成长"),2))/((VLOOKUP($B92,INDIRECT($B$5&amp;"生成成长"),4))/(VLOOKUP(EL$72,INDIRECT($C$5&amp;"生成成长"),5))*(VLOOKUP($B$5,标准坦克设计!$B$24:$U$30,MATCH("对"&amp;LEFT($C$5,2)&amp;"输出",标准坦克设计!$B$23:$U$23,0)))*(VLOOKUP($B92,INDIRECT($B$5&amp;"生成成长"),3))*(VLOOKUP($B$5,标准坦克设计!$B$14:$K$20,9)/30))</f>
        <v>22.61244642926372</v>
      </c>
      <c r="EM92" s="173">
        <f ca="1">(VLOOKUP(EM$72,INDIRECT($C$5&amp;"生成成长"),2))/((VLOOKUP($B92,INDIRECT($B$5&amp;"生成成长"),4))/(VLOOKUP(EM$72,INDIRECT($C$5&amp;"生成成长"),5))*(VLOOKUP($B$5,标准坦克设计!$B$24:$U$30,MATCH("对"&amp;LEFT($C$5,2)&amp;"输出",标准坦克设计!$B$23:$U$23,0)))*(VLOOKUP($B92,INDIRECT($B$5&amp;"生成成长"),3))*(VLOOKUP($B$5,标准坦克设计!$B$14:$K$20,9)/30))</f>
        <v>24.313116483077408</v>
      </c>
      <c r="EN92" s="173">
        <f ca="1">(VLOOKUP(EN$72,INDIRECT($C$5&amp;"生成成长"),2))/((VLOOKUP($B92,INDIRECT($B$5&amp;"生成成长"),4))/(VLOOKUP(EN$72,INDIRECT($C$5&amp;"生成成长"),5))*(VLOOKUP($B$5,标准坦克设计!$B$24:$U$30,MATCH("对"&amp;LEFT($C$5,2)&amp;"输出",标准坦克设计!$B$23:$U$23,0)))*(VLOOKUP($B92,INDIRECT($B$5&amp;"生成成长"),3))*(VLOOKUP($B$5,标准坦克设计!$B$14:$K$20,9)/30))</f>
        <v>26.075442248811836</v>
      </c>
      <c r="EO92" s="173">
        <f ca="1">(VLOOKUP(EO$72,INDIRECT($C$5&amp;"生成成长"),2))/((VLOOKUP($B92,INDIRECT($B$5&amp;"生成成长"),4))/(VLOOKUP(EO$72,INDIRECT($C$5&amp;"生成成长"),5))*(VLOOKUP($B$5,标准坦克设计!$B$24:$U$30,MATCH("对"&amp;LEFT($C$5,2)&amp;"输出",标准坦克设计!$B$23:$U$23,0)))*(VLOOKUP($B92,INDIRECT($B$5&amp;"生成成长"),3))*(VLOOKUP($B$5,标准坦克设计!$B$14:$K$20,9)/30))</f>
        <v>27.899423726467003</v>
      </c>
      <c r="EP92" s="173">
        <f ca="1">(VLOOKUP(EP$72,INDIRECT($C$5&amp;"生成成长"),2))/((VLOOKUP($B92,INDIRECT($B$5&amp;"生成成长"),4))/(VLOOKUP(EP$72,INDIRECT($C$5&amp;"生成成长"),5))*(VLOOKUP($B$5,标准坦克设计!$B$24:$U$30,MATCH("对"&amp;LEFT($C$5,2)&amp;"输出",标准坦克设计!$B$23:$U$23,0)))*(VLOOKUP($B92,INDIRECT($B$5&amp;"生成成长"),3))*(VLOOKUP($B$5,标准坦克设计!$B$14:$K$20,9)/30))</f>
        <v>29.785060916042905</v>
      </c>
      <c r="EQ92" s="173">
        <f ca="1">(VLOOKUP(EQ$72,INDIRECT($C$5&amp;"生成成长"),2))/((VLOOKUP($B92,INDIRECT($B$5&amp;"生成成长"),4))/(VLOOKUP(EQ$72,INDIRECT($C$5&amp;"生成成长"),5))*(VLOOKUP($B$5,标准坦克设计!$B$24:$U$30,MATCH("对"&amp;LEFT($C$5,2)&amp;"输出",标准坦克设计!$B$23:$U$23,0)))*(VLOOKUP($B92,INDIRECT($B$5&amp;"生成成长"),3))*(VLOOKUP($B$5,标准坦克设计!$B$14:$K$20,9)/30))</f>
        <v>13.166919812406494</v>
      </c>
      <c r="ER92" s="173">
        <f ca="1">(VLOOKUP(ER$72,INDIRECT($C$5&amp;"生成成长"),2))/((VLOOKUP($B92,INDIRECT($B$5&amp;"生成成长"),4))/(VLOOKUP(ER$72,INDIRECT($C$5&amp;"生成成长"),5))*(VLOOKUP($B$5,标准坦克设计!$B$24:$U$30,MATCH("对"&amp;LEFT($C$5,2)&amp;"输出",标准坦克设计!$B$23:$U$23,0)))*(VLOOKUP($B92,INDIRECT($B$5&amp;"生成成长"),3))*(VLOOKUP($B$5,标准坦克设计!$B$14:$K$20,9)/30))</f>
        <v>14.360856983871617</v>
      </c>
      <c r="ES92" s="173">
        <f ca="1">(VLOOKUP(ES$72,INDIRECT($C$5&amp;"生成成长"),2))/((VLOOKUP($B92,INDIRECT($B$5&amp;"生成成长"),4))/(VLOOKUP(ES$72,INDIRECT($C$5&amp;"生成成长"),5))*(VLOOKUP($B$5,标准坦克设计!$B$24:$U$30,MATCH("对"&amp;LEFT($C$5,2)&amp;"输出",标准坦克设计!$B$23:$U$23,0)))*(VLOOKUP($B92,INDIRECT($B$5&amp;"生成成长"),3))*(VLOOKUP($B$5,标准坦克设计!$B$14:$K$20,9)/30))</f>
        <v>15.606602079936808</v>
      </c>
      <c r="ET92" s="173">
        <f ca="1">(VLOOKUP(ET$72,INDIRECT($C$5&amp;"生成成长"),2))/((VLOOKUP($B92,INDIRECT($B$5&amp;"生成成长"),4))/(VLOOKUP(ET$72,INDIRECT($C$5&amp;"生成成长"),5))*(VLOOKUP($B$5,标准坦克设计!$B$24:$U$30,MATCH("对"&amp;LEFT($C$5,2)&amp;"输出",标准坦克设计!$B$23:$U$23,0)))*(VLOOKUP($B92,INDIRECT($B$5&amp;"生成成长"),3))*(VLOOKUP($B$5,标准坦克设计!$B$14:$K$20,9)/30))</f>
        <v>16.904155100602061</v>
      </c>
      <c r="EU92" s="173">
        <f ca="1">(VLOOKUP(EU$72,INDIRECT($C$5&amp;"生成成长"),2))/((VLOOKUP($B92,INDIRECT($B$5&amp;"生成成长"),4))/(VLOOKUP(EU$72,INDIRECT($C$5&amp;"生成成长"),5))*(VLOOKUP($B$5,标准坦克设计!$B$24:$U$30,MATCH("对"&amp;LEFT($C$5,2)&amp;"输出",标准坦克设计!$B$23:$U$23,0)))*(VLOOKUP($B92,INDIRECT($B$5&amp;"生成成长"),3))*(VLOOKUP($B$5,标准坦克设计!$B$14:$K$20,9)/30))</f>
        <v>18.253516045867375</v>
      </c>
      <c r="EV92" s="173">
        <f ca="1">(VLOOKUP(EV$72,INDIRECT($C$5&amp;"生成成长"),2))/((VLOOKUP($B92,INDIRECT($B$5&amp;"生成成长"),4))/(VLOOKUP(EV$72,INDIRECT($C$5&amp;"生成成长"),5))*(VLOOKUP($B$5,标准坦克设计!$B$24:$U$30,MATCH("对"&amp;LEFT($C$5,2)&amp;"输出",标准坦克设计!$B$23:$U$23,0)))*(VLOOKUP($B92,INDIRECT($B$5&amp;"生成成长"),3))*(VLOOKUP($B$5,标准坦克设计!$B$14:$K$20,9)/30))</f>
        <v>19.654684915732762</v>
      </c>
      <c r="EW92" s="173">
        <f ca="1">(VLOOKUP(EW$72,INDIRECT($C$5&amp;"生成成长"),2))/((VLOOKUP($B92,INDIRECT($B$5&amp;"生成成长"),4))/(VLOOKUP(EW$72,INDIRECT($C$5&amp;"生成成长"),5))*(VLOOKUP($B$5,标准坦克设计!$B$24:$U$30,MATCH("对"&amp;LEFT($C$5,2)&amp;"输出",标准坦克设计!$B$23:$U$23,0)))*(VLOOKUP($B92,INDIRECT($B$5&amp;"生成成长"),3))*(VLOOKUP($B$5,标准坦克设计!$B$14:$K$20,9)/30))</f>
        <v>21.107661710198208</v>
      </c>
      <c r="EX92" s="173">
        <f ca="1">(VLOOKUP(EX$72,INDIRECT($C$5&amp;"生成成长"),2))/((VLOOKUP($B92,INDIRECT($B$5&amp;"生成成长"),4))/(VLOOKUP(EX$72,INDIRECT($C$5&amp;"生成成长"),5))*(VLOOKUP($B$5,标准坦克设计!$B$24:$U$30,MATCH("对"&amp;LEFT($C$5,2)&amp;"输出",标准坦克设计!$B$23:$U$23,0)))*(VLOOKUP($B92,INDIRECT($B$5&amp;"生成成长"),3))*(VLOOKUP($B$5,标准坦克设计!$B$14:$K$20,9)/30))</f>
        <v>22.61244642926372</v>
      </c>
      <c r="EY92" s="173">
        <f ca="1">(VLOOKUP(EY$72,INDIRECT($C$5&amp;"生成成长"),2))/((VLOOKUP($B92,INDIRECT($B$5&amp;"生成成长"),4))/(VLOOKUP(EY$72,INDIRECT($C$5&amp;"生成成长"),5))*(VLOOKUP($B$5,标准坦克设计!$B$24:$U$30,MATCH("对"&amp;LEFT($C$5,2)&amp;"输出",标准坦克设计!$B$23:$U$23,0)))*(VLOOKUP($B92,INDIRECT($B$5&amp;"生成成长"),3))*(VLOOKUP($B$5,标准坦克设计!$B$14:$K$20,9)/30))</f>
        <v>24.169039072929291</v>
      </c>
      <c r="EZ92" s="173">
        <f ca="1">(VLOOKUP(EZ$72,INDIRECT($C$5&amp;"生成成长"),2))/((VLOOKUP($B92,INDIRECT($B$5&amp;"生成成长"),4))/(VLOOKUP(EZ$72,INDIRECT($C$5&amp;"生成成长"),5))*(VLOOKUP($B$5,标准坦克设计!$B$24:$U$30,MATCH("对"&amp;LEFT($C$5,2)&amp;"输出",标准坦克设计!$B$23:$U$23,0)))*(VLOOKUP($B92,INDIRECT($B$5&amp;"生成成长"),3))*(VLOOKUP($B$5,标准坦克设计!$B$14:$K$20,9)/30))</f>
        <v>25.777439641194935</v>
      </c>
      <c r="FA92" s="173">
        <f ca="1">(VLOOKUP(FA$72,INDIRECT($C$5&amp;"生成成长"),2))/((VLOOKUP($B92,INDIRECT($B$5&amp;"生成成长"),4))/(VLOOKUP(FA$72,INDIRECT($C$5&amp;"生成成长"),5))*(VLOOKUP($B$5,标准坦克设计!$B$24:$U$30,MATCH("对"&amp;LEFT($C$5,2)&amp;"输出",标准坦克设计!$B$23:$U$23,0)))*(VLOOKUP($B92,INDIRECT($B$5&amp;"生成成长"),3))*(VLOOKUP($B$5,标准坦克设计!$B$14:$K$20,9)/30))</f>
        <v>27.437648134060641</v>
      </c>
      <c r="FB92" s="173">
        <f ca="1">(VLOOKUP(FB$72,INDIRECT($C$5&amp;"生成成长"),2))/((VLOOKUP($B92,INDIRECT($B$5&amp;"生成成长"),4))/(VLOOKUP(FB$72,INDIRECT($C$5&amp;"生成成长"),5))*(VLOOKUP($B$5,标准坦克设计!$B$24:$U$30,MATCH("对"&amp;LEFT($C$5,2)&amp;"输出",标准坦克设计!$B$23:$U$23,0)))*(VLOOKUP($B92,INDIRECT($B$5&amp;"生成成长"),3))*(VLOOKUP($B$5,标准坦克设计!$B$14:$K$20,9)/30))</f>
        <v>29.14966455152641</v>
      </c>
      <c r="FC92" s="173">
        <f ca="1">(VLOOKUP(FC$72,INDIRECT($C$5&amp;"生成成长"),2))/((VLOOKUP($B92,INDIRECT($B$5&amp;"生成成长"),4))/(VLOOKUP(FC$72,INDIRECT($C$5&amp;"生成成长"),5))*(VLOOKUP($B$5,标准坦克设计!$B$24:$U$30,MATCH("对"&amp;LEFT($C$5,2)&amp;"输出",标准坦克设计!$B$23:$U$23,0)))*(VLOOKUP($B92,INDIRECT($B$5&amp;"生成成长"),3))*(VLOOKUP($B$5,标准坦克设计!$B$14:$K$20,9)/30))</f>
        <v>30.913488893592245</v>
      </c>
      <c r="FD92" s="173">
        <f ca="1">(VLOOKUP(FD$72,INDIRECT($C$5&amp;"生成成长"),2))/((VLOOKUP($B92,INDIRECT($B$5&amp;"生成成长"),4))/(VLOOKUP(FD$72,INDIRECT($C$5&amp;"生成成长"),5))*(VLOOKUP($B$5,标准坦克设计!$B$24:$U$30,MATCH("对"&amp;LEFT($C$5,2)&amp;"输出",标准坦克设计!$B$23:$U$23,0)))*(VLOOKUP($B92,INDIRECT($B$5&amp;"生成成长"),3))*(VLOOKUP($B$5,标准坦克设计!$B$14:$K$20,9)/30))</f>
        <v>32.729121160258146</v>
      </c>
      <c r="FE92" s="173">
        <f ca="1">(VLOOKUP(FE$72,INDIRECT($C$5&amp;"生成成长"),2))/((VLOOKUP($B92,INDIRECT($B$5&amp;"生成成长"),4))/(VLOOKUP(FE$72,INDIRECT($C$5&amp;"生成成长"),5))*(VLOOKUP($B$5,标准坦克设计!$B$24:$U$30,MATCH("对"&amp;LEFT($C$5,2)&amp;"输出",标准坦克设计!$B$23:$U$23,0)))*(VLOOKUP($B92,INDIRECT($B$5&amp;"生成成长"),3))*(VLOOKUP($B$5,标准坦克设计!$B$14:$K$20,9)/30))</f>
        <v>34.941662072413799</v>
      </c>
      <c r="FF92" s="173">
        <f ca="1">(VLOOKUP(FF$72,INDIRECT($C$5&amp;"生成成长"),2))/((VLOOKUP($B92,INDIRECT($B$5&amp;"生成成长"),4))/(VLOOKUP(FF$72,INDIRECT($C$5&amp;"生成成长"),5))*(VLOOKUP($B$5,标准坦克设计!$B$24:$U$30,MATCH("对"&amp;LEFT($C$5,2)&amp;"输出",标准坦克设计!$B$23:$U$23,0)))*(VLOOKUP($B92,INDIRECT($B$5&amp;"生成成长"),3))*(VLOOKUP($B$5,标准坦克设计!$B$14:$K$20,9)/30))</f>
        <v>37.226562813143083</v>
      </c>
      <c r="FG92" s="173">
        <f ca="1">(VLOOKUP(FG$72,INDIRECT($C$5&amp;"生成成长"),2))/((VLOOKUP($B92,INDIRECT($B$5&amp;"生成成长"),4))/(VLOOKUP(FG$72,INDIRECT($C$5&amp;"生成成长"),5))*(VLOOKUP($B$5,标准坦克设计!$B$24:$U$30,MATCH("对"&amp;LEFT($C$5,2)&amp;"输出",标准坦克设计!$B$23:$U$23,0)))*(VLOOKUP($B92,INDIRECT($B$5&amp;"生成成长"),3))*(VLOOKUP($B$5,标准坦克设计!$B$14:$K$20,9)/30))</f>
        <v>39.583823382446035</v>
      </c>
      <c r="FH92" s="173">
        <f ca="1">(VLOOKUP(FH$72,INDIRECT($C$5&amp;"生成成长"),2))/((VLOOKUP($B92,INDIRECT($B$5&amp;"生成成长"),4))/(VLOOKUP(FH$72,INDIRECT($C$5&amp;"生成成长"),5))*(VLOOKUP($B$5,标准坦克设计!$B$24:$U$30,MATCH("对"&amp;LEFT($C$5,2)&amp;"输出",标准坦克设计!$B$23:$U$23,0)))*(VLOOKUP($B92,INDIRECT($B$5&amp;"生成成长"),3))*(VLOOKUP($B$5,标准坦克设计!$B$14:$K$20,9)/30))</f>
        <v>42.013443780322604</v>
      </c>
      <c r="FI92" s="173">
        <f ca="1">(VLOOKUP(FI$72,INDIRECT($C$5&amp;"生成成长"),2))/((VLOOKUP($B92,INDIRECT($B$5&amp;"生成成长"),4))/(VLOOKUP(FI$72,INDIRECT($C$5&amp;"生成成长"),5))*(VLOOKUP($B$5,标准坦克设计!$B$24:$U$30,MATCH("对"&amp;LEFT($C$5,2)&amp;"输出",标准坦克设计!$B$23:$U$23,0)))*(VLOOKUP($B92,INDIRECT($B$5&amp;"生成成长"),3))*(VLOOKUP($B$5,标准坦克设计!$B$14:$K$20,9)/30))</f>
        <v>44.515424006772832</v>
      </c>
      <c r="FJ92" s="173">
        <f ca="1">(VLOOKUP(FJ$72,INDIRECT($C$5&amp;"生成成长"),2))/((VLOOKUP($B92,INDIRECT($B$5&amp;"生成成长"),4))/(VLOOKUP(FJ$72,INDIRECT($C$5&amp;"生成成长"),5))*(VLOOKUP($B$5,标准坦克设计!$B$24:$U$30,MATCH("对"&amp;LEFT($C$5,2)&amp;"输出",标准坦克设计!$B$23:$U$23,0)))*(VLOOKUP($B92,INDIRECT($B$5&amp;"生成成长"),3))*(VLOOKUP($B$5,标准坦克设计!$B$14:$K$20,9)/30))</f>
        <v>47.0897640617967</v>
      </c>
      <c r="FK92" s="173">
        <f ca="1">(VLOOKUP(FK$72,INDIRECT($C$5&amp;"生成成长"),2))/((VLOOKUP($B92,INDIRECT($B$5&amp;"生成成长"),4))/(VLOOKUP(FK$72,INDIRECT($C$5&amp;"生成成长"),5))*(VLOOKUP($B$5,标准坦克设计!$B$24:$U$30,MATCH("对"&amp;LEFT($C$5,2)&amp;"输出",标准坦克设计!$B$23:$U$23,0)))*(VLOOKUP($B92,INDIRECT($B$5&amp;"生成成长"),3))*(VLOOKUP($B$5,标准坦克设计!$B$14:$K$20,9)/30))</f>
        <v>49.73646394539422</v>
      </c>
    </row>
    <row r="93" spans="1:167" x14ac:dyDescent="0.15">
      <c r="A93" s="171" t="str">
        <f t="shared" si="11"/>
        <v>T3低品质9级</v>
      </c>
      <c r="B93" s="172">
        <v>10309</v>
      </c>
      <c r="C93" s="173">
        <f ca="1">(VLOOKUP(C$72,INDIRECT($C$5&amp;"生成成长"),2))/((VLOOKUP($B93,INDIRECT($B$5&amp;"生成成长"),4))/(VLOOKUP(C$72,INDIRECT($C$5&amp;"生成成长"),5))*(VLOOKUP($B$5,标准坦克设计!$B$24:$U$30,MATCH("对"&amp;LEFT($C$5,2)&amp;"输出",标准坦克设计!$B$23:$U$23,0)))*(VLOOKUP($B93,INDIRECT($B$5&amp;"生成成长"),3))*(VLOOKUP($B$5,标准坦克设计!$B$14:$K$20,9)/30))</f>
        <v>1.9672399129703413</v>
      </c>
      <c r="D93" s="173">
        <f ca="1">(VLOOKUP(D$72,INDIRECT($C$5&amp;"生成成长"),2))/((VLOOKUP($B93,INDIRECT($B$5&amp;"生成成长"),4))/(VLOOKUP(D$72,INDIRECT($C$5&amp;"生成成长"),5))*(VLOOKUP($B$5,标准坦克设计!$B$24:$U$30,MATCH("对"&amp;LEFT($C$5,2)&amp;"输出",标准坦克设计!$B$23:$U$23,0)))*(VLOOKUP($B93,INDIRECT($B$5&amp;"生成成长"),3))*(VLOOKUP($B$5,标准坦克设计!$B$14:$K$20,9)/30))</f>
        <v>2.2103907662134756</v>
      </c>
      <c r="E93" s="173">
        <f ca="1">(VLOOKUP(E$72,INDIRECT($C$5&amp;"生成成长"),2))/((VLOOKUP($B93,INDIRECT($B$5&amp;"生成成长"),4))/(VLOOKUP(E$72,INDIRECT($C$5&amp;"生成成长"),5))*(VLOOKUP($B$5,标准坦克设计!$B$24:$U$30,MATCH("对"&amp;LEFT($C$5,2)&amp;"输出",标准坦克设计!$B$23:$U$23,0)))*(VLOOKUP($B93,INDIRECT($B$5&amp;"生成成长"),3))*(VLOOKUP($B$5,标准坦克设计!$B$14:$K$20,9)/30))</f>
        <v>2.4677057468299961</v>
      </c>
      <c r="F93" s="173">
        <f ca="1">(VLOOKUP(F$72,INDIRECT($C$5&amp;"生成成长"),2))/((VLOOKUP($B93,INDIRECT($B$5&amp;"生成成长"),4))/(VLOOKUP(F$72,INDIRECT($C$5&amp;"生成成长"),5))*(VLOOKUP($B$5,标准坦克设计!$B$24:$U$30,MATCH("对"&amp;LEFT($C$5,2)&amp;"输出",标准坦克设计!$B$23:$U$23,0)))*(VLOOKUP($B93,INDIRECT($B$5&amp;"生成成长"),3))*(VLOOKUP($B$5,标准坦克设计!$B$14:$K$20,9)/30))</f>
        <v>2.7391848548199036</v>
      </c>
      <c r="G93" s="173">
        <f ca="1">(VLOOKUP(G$72,INDIRECT($C$5&amp;"生成成长"),2))/((VLOOKUP($B93,INDIRECT($B$5&amp;"生成成长"),4))/(VLOOKUP(G$72,INDIRECT($C$5&amp;"生成成长"),5))*(VLOOKUP($B$5,标准坦克设计!$B$24:$U$30,MATCH("对"&amp;LEFT($C$5,2)&amp;"输出",标准坦克设计!$B$23:$U$23,0)))*(VLOOKUP($B93,INDIRECT($B$5&amp;"生成成长"),3))*(VLOOKUP($B$5,标准坦克设计!$B$14:$K$20,9)/30))</f>
        <v>3.0248280901831972</v>
      </c>
      <c r="H93" s="173">
        <f ca="1">(VLOOKUP(H$72,INDIRECT($C$5&amp;"生成成长"),2))/((VLOOKUP($B93,INDIRECT($B$5&amp;"生成成长"),4))/(VLOOKUP(H$72,INDIRECT($C$5&amp;"生成成长"),5))*(VLOOKUP($B$5,标准坦克设计!$B$24:$U$30,MATCH("对"&amp;LEFT($C$5,2)&amp;"输出",标准坦克设计!$B$23:$U$23,0)))*(VLOOKUP($B93,INDIRECT($B$5&amp;"生成成长"),3))*(VLOOKUP($B$5,标准坦克设计!$B$14:$K$20,9)/30))</f>
        <v>2.6471180268928918</v>
      </c>
      <c r="I93" s="173">
        <f ca="1">(VLOOKUP(I$72,INDIRECT($C$5&amp;"生成成长"),2))/((VLOOKUP($B93,INDIRECT($B$5&amp;"生成成长"),4))/(VLOOKUP(I$72,INDIRECT($C$5&amp;"生成成长"),5))*(VLOOKUP($B$5,标准坦克设计!$B$24:$U$30,MATCH("对"&amp;LEFT($C$5,2)&amp;"输出",标准坦克设计!$B$23:$U$23,0)))*(VLOOKUP($B93,INDIRECT($B$5&amp;"生成成长"),3))*(VLOOKUP($B$5,标准坦克设计!$B$14:$K$20,9)/30))</f>
        <v>3.0248280901831972</v>
      </c>
      <c r="J93" s="173">
        <f ca="1">(VLOOKUP(J$72,INDIRECT($C$5&amp;"生成成长"),2))/((VLOOKUP($B93,INDIRECT($B$5&amp;"生成成长"),4))/(VLOOKUP(J$72,INDIRECT($C$5&amp;"生成成长"),5))*(VLOOKUP($B$5,标准坦克设计!$B$24:$U$30,MATCH("对"&amp;LEFT($C$5,2)&amp;"输出",标准坦克设计!$B$23:$U$23,0)))*(VLOOKUP($B93,INDIRECT($B$5&amp;"生成成长"),3))*(VLOOKUP($B$5,标准坦克设计!$B$14:$K$20,9)/30))</f>
        <v>3.4277188243595229</v>
      </c>
      <c r="K93" s="173">
        <f ca="1">(VLOOKUP(K$72,INDIRECT($C$5&amp;"生成成长"),2))/((VLOOKUP($B93,INDIRECT($B$5&amp;"生成成长"),4))/(VLOOKUP(K$72,INDIRECT($C$5&amp;"生成成长"),5))*(VLOOKUP($B$5,标准坦克设计!$B$24:$U$30,MATCH("对"&amp;LEFT($C$5,2)&amp;"输出",标准坦克设计!$B$23:$U$23,0)))*(VLOOKUP($B93,INDIRECT($B$5&amp;"生成成长"),3))*(VLOOKUP($B$5,标准坦克设计!$B$14:$K$20,9)/30))</f>
        <v>3.8557902294218689</v>
      </c>
      <c r="L93" s="173">
        <f ca="1">(VLOOKUP(L$72,INDIRECT($C$5&amp;"生成成长"),2))/((VLOOKUP($B93,INDIRECT($B$5&amp;"生成成长"),4))/(VLOOKUP(L$72,INDIRECT($C$5&amp;"生成成长"),5))*(VLOOKUP($B$5,标准坦克设计!$B$24:$U$30,MATCH("对"&amp;LEFT($C$5,2)&amp;"输出",标准坦克设计!$B$23:$U$23,0)))*(VLOOKUP($B93,INDIRECT($B$5&amp;"生成成长"),3))*(VLOOKUP($B$5,标准坦克设计!$B$14:$K$20,9)/30))</f>
        <v>4.3090423053702365</v>
      </c>
      <c r="M93" s="173">
        <f ca="1">(VLOOKUP(M$72,INDIRECT($C$5&amp;"生成成长"),2))/((VLOOKUP($B93,INDIRECT($B$5&amp;"生成成长"),4))/(VLOOKUP(M$72,INDIRECT($C$5&amp;"生成成长"),5))*(VLOOKUP($B$5,标准坦克设计!$B$24:$U$30,MATCH("对"&amp;LEFT($C$5,2)&amp;"输出",标准坦克设计!$B$23:$U$23,0)))*(VLOOKUP($B93,INDIRECT($B$5&amp;"生成成长"),3))*(VLOOKUP($B$5,标准坦克设计!$B$14:$K$20,9)/30))</f>
        <v>4.7874750522046225</v>
      </c>
      <c r="N93" s="173">
        <f ca="1">(VLOOKUP(N$72,INDIRECT($C$5&amp;"生成成长"),2))/((VLOOKUP($B93,INDIRECT($B$5&amp;"生成成长"),4))/(VLOOKUP(N$72,INDIRECT($C$5&amp;"生成成长"),5))*(VLOOKUP($B$5,标准坦克设计!$B$24:$U$30,MATCH("对"&amp;LEFT($C$5,2)&amp;"输出",标准坦克设计!$B$23:$U$23,0)))*(VLOOKUP($B93,INDIRECT($B$5&amp;"生成成长"),3))*(VLOOKUP($B$5,标准坦克设计!$B$14:$K$20,9)/30))</f>
        <v>5.2910884699250298</v>
      </c>
      <c r="O93" s="173">
        <f ca="1">(VLOOKUP(O$72,INDIRECT($C$5&amp;"生成成长"),2))/((VLOOKUP($B93,INDIRECT($B$5&amp;"生成成长"),4))/(VLOOKUP(O$72,INDIRECT($C$5&amp;"生成成长"),5))*(VLOOKUP($B$5,标准坦克设计!$B$24:$U$30,MATCH("对"&amp;LEFT($C$5,2)&amp;"输出",标准坦克设计!$B$23:$U$23,0)))*(VLOOKUP($B93,INDIRECT($B$5&amp;"生成成长"),3))*(VLOOKUP($B$5,标准坦克设计!$B$14:$K$20,9)/30))</f>
        <v>4.022808898033051</v>
      </c>
      <c r="P93" s="173">
        <f ca="1">(VLOOKUP(P$72,INDIRECT($C$5&amp;"生成成长"),2))/((VLOOKUP($B93,INDIRECT($B$5&amp;"生成成长"),4))/(VLOOKUP(P$72,INDIRECT($C$5&amp;"生成成长"),5))*(VLOOKUP($B$5,标准坦克设计!$B$24:$U$30,MATCH("对"&amp;LEFT($C$5,2)&amp;"输出",标准坦克设计!$B$23:$U$23,0)))*(VLOOKUP($B93,INDIRECT($B$5&amp;"生成成长"),3))*(VLOOKUP($B$5,标准坦克设计!$B$14:$K$20,9)/30))</f>
        <v>4.5451110949266758</v>
      </c>
      <c r="Q93" s="173">
        <f ca="1">(VLOOKUP(Q$72,INDIRECT($C$5&amp;"生成成长"),2))/((VLOOKUP($B93,INDIRECT($B$5&amp;"生成成长"),4))/(VLOOKUP(Q$72,INDIRECT($C$5&amp;"生成成长"),5))*(VLOOKUP($B$5,标准坦克设计!$B$24:$U$30,MATCH("对"&amp;LEFT($C$5,2)&amp;"输出",标准坦克设计!$B$23:$U$23,0)))*(VLOOKUP($B93,INDIRECT($B$5&amp;"生成成长"),3))*(VLOOKUP($B$5,标准坦克设计!$B$14:$K$20,9)/30))</f>
        <v>5.0992825784104223</v>
      </c>
      <c r="R93" s="173">
        <f ca="1">(VLOOKUP(R$72,INDIRECT($C$5&amp;"生成成长"),2))/((VLOOKUP($B93,INDIRECT($B$5&amp;"生成成长"),4))/(VLOOKUP(R$72,INDIRECT($C$5&amp;"生成成长"),5))*(VLOOKUP($B$5,标准坦克设计!$B$24:$U$30,MATCH("对"&amp;LEFT($C$5,2)&amp;"输出",标准坦克设计!$B$23:$U$23,0)))*(VLOOKUP($B93,INDIRECT($B$5&amp;"生成成长"),3))*(VLOOKUP($B$5,标准坦克设计!$B$14:$K$20,9)/30))</f>
        <v>5.6853233484842862</v>
      </c>
      <c r="S93" s="173">
        <f ca="1">(VLOOKUP(S$72,INDIRECT($C$5&amp;"生成成长"),2))/((VLOOKUP($B93,INDIRECT($B$5&amp;"生成成长"),4))/(VLOOKUP(S$72,INDIRECT($C$5&amp;"生成成长"),5))*(VLOOKUP($B$5,标准坦克设计!$B$24:$U$30,MATCH("对"&amp;LEFT($C$5,2)&amp;"输出",标准坦克设计!$B$23:$U$23,0)))*(VLOOKUP($B93,INDIRECT($B$5&amp;"生成成长"),3))*(VLOOKUP($B$5,标准坦克设计!$B$14:$K$20,9)/30))</f>
        <v>6.303233405148271</v>
      </c>
      <c r="T93" s="173">
        <f ca="1">(VLOOKUP(T$72,INDIRECT($C$5&amp;"生成成长"),2))/((VLOOKUP($B93,INDIRECT($B$5&amp;"生成成长"),4))/(VLOOKUP(T$72,INDIRECT($C$5&amp;"生成成长"),5))*(VLOOKUP($B$5,标准坦克设计!$B$24:$U$30,MATCH("对"&amp;LEFT($C$5,2)&amp;"输出",标准坦克设计!$B$23:$U$23,0)))*(VLOOKUP($B93,INDIRECT($B$5&amp;"生成成长"),3))*(VLOOKUP($B$5,标准坦克设计!$B$14:$K$20,9)/30))</f>
        <v>6.9530127484023749</v>
      </c>
      <c r="U93" s="173">
        <f ca="1">(VLOOKUP(U$72,INDIRECT($C$5&amp;"生成成长"),2))/((VLOOKUP($B93,INDIRECT($B$5&amp;"生成成长"),4))/(VLOOKUP(U$72,INDIRECT($C$5&amp;"生成成长"),5))*(VLOOKUP($B$5,标准坦克设计!$B$24:$U$30,MATCH("对"&amp;LEFT($C$5,2)&amp;"输出",标准坦克设计!$B$23:$U$23,0)))*(VLOOKUP($B93,INDIRECT($B$5&amp;"生成成长"),3))*(VLOOKUP($B$5,标准坦克设计!$B$14:$K$20,9)/30))</f>
        <v>7.6346613782465971</v>
      </c>
      <c r="V93" s="173">
        <f ca="1">(VLOOKUP(V$72,INDIRECT($C$5&amp;"生成成长"),2))/((VLOOKUP($B93,INDIRECT($B$5&amp;"生成成长"),4))/(VLOOKUP(V$72,INDIRECT($C$5&amp;"生成成长"),5))*(VLOOKUP($B$5,标准坦克设计!$B$24:$U$30,MATCH("对"&amp;LEFT($C$5,2)&amp;"输出",标准坦克设计!$B$23:$U$23,0)))*(VLOOKUP($B93,INDIRECT($B$5&amp;"生成成长"),3))*(VLOOKUP($B$5,标准坦克设计!$B$14:$K$20,9)/30))</f>
        <v>8.3481792946809392</v>
      </c>
      <c r="W93" s="173">
        <f ca="1">(VLOOKUP(W$72,INDIRECT($C$5&amp;"生成成长"),2))/((VLOOKUP($B93,INDIRECT($B$5&amp;"生成成长"),4))/(VLOOKUP(W$72,INDIRECT($C$5&amp;"生成成长"),5))*(VLOOKUP($B$5,标准坦克设计!$B$24:$U$30,MATCH("对"&amp;LEFT($C$5,2)&amp;"输出",标准坦克设计!$B$23:$U$23,0)))*(VLOOKUP($B93,INDIRECT($B$5&amp;"生成成长"),3))*(VLOOKUP($B$5,标准坦克设计!$B$14:$K$20,9)/30))</f>
        <v>9.0935664977054032</v>
      </c>
      <c r="X93" s="173">
        <f ca="1">(VLOOKUP(X$72,INDIRECT($C$5&amp;"生成成长"),2))/((VLOOKUP($B93,INDIRECT($B$5&amp;"生成成长"),4))/(VLOOKUP(X$72,INDIRECT($C$5&amp;"生成成长"),5))*(VLOOKUP($B$5,标准坦克设计!$B$24:$U$30,MATCH("对"&amp;LEFT($C$5,2)&amp;"输出",标准坦克设计!$B$23:$U$23,0)))*(VLOOKUP($B93,INDIRECT($B$5&amp;"生成成长"),3))*(VLOOKUP($B$5,标准坦克设计!$B$14:$K$20,9)/30))</f>
        <v>6.5880897445463749</v>
      </c>
      <c r="Y93" s="173">
        <f ca="1">(VLOOKUP(Y$72,INDIRECT($C$5&amp;"生成成长"),2))/((VLOOKUP($B93,INDIRECT($B$5&amp;"生成成长"),4))/(VLOOKUP(Y$72,INDIRECT($C$5&amp;"生成成长"),5))*(VLOOKUP($B$5,标准坦克设计!$B$24:$U$30,MATCH("对"&amp;LEFT($C$5,2)&amp;"输出",标准坦克设计!$B$23:$U$23,0)))*(VLOOKUP($B93,INDIRECT($B$5&amp;"生成成长"),3))*(VLOOKUP($B$5,标准坦克设计!$B$14:$K$20,9)/30))</f>
        <v>7.3277719518232249</v>
      </c>
      <c r="Z93" s="173">
        <f ca="1">(VLOOKUP(Z$72,INDIRECT($C$5&amp;"生成成长"),2))/((VLOOKUP($B93,INDIRECT($B$5&amp;"生成成长"),4))/(VLOOKUP(Z$72,INDIRECT($C$5&amp;"生成成长"),5))*(VLOOKUP($B$5,标准坦克设计!$B$24:$U$30,MATCH("对"&amp;LEFT($C$5,2)&amp;"输出",标准坦克设计!$B$23:$U$23,0)))*(VLOOKUP($B93,INDIRECT($B$5&amp;"生成成长"),3))*(VLOOKUP($B$5,标准坦克设计!$B$14:$K$20,9)/30))</f>
        <v>8.1067989573594801</v>
      </c>
      <c r="AA93" s="173">
        <f ca="1">(VLOOKUP(AA$72,INDIRECT($C$5&amp;"生成成长"),2))/((VLOOKUP($B93,INDIRECT($B$5&amp;"生成成长"),4))/(VLOOKUP(AA$72,INDIRECT($C$5&amp;"生成成长"),5))*(VLOOKUP($B$5,标准坦克设计!$B$24:$U$30,MATCH("对"&amp;LEFT($C$5,2)&amp;"输出",标准坦克设计!$B$23:$U$23,0)))*(VLOOKUP($B93,INDIRECT($B$5&amp;"生成成长"),3))*(VLOOKUP($B$5,标准坦克设计!$B$14:$K$20,9)/30))</f>
        <v>8.9251707611551439</v>
      </c>
      <c r="AB93" s="173">
        <f ca="1">(VLOOKUP(AB$72,INDIRECT($C$5&amp;"生成成长"),2))/((VLOOKUP($B93,INDIRECT($B$5&amp;"生成成长"),4))/(VLOOKUP(AB$72,INDIRECT($C$5&amp;"生成成长"),5))*(VLOOKUP($B$5,标准坦克设计!$B$24:$U$30,MATCH("对"&amp;LEFT($C$5,2)&amp;"输出",标准坦克设计!$B$23:$U$23,0)))*(VLOOKUP($B93,INDIRECT($B$5&amp;"生成成长"),3))*(VLOOKUP($B$5,标准坦克设计!$B$14:$K$20,9)/30))</f>
        <v>9.7828873632102109</v>
      </c>
      <c r="AC93" s="173">
        <f ca="1">(VLOOKUP(AC$72,INDIRECT($C$5&amp;"生成成长"),2))/((VLOOKUP($B93,INDIRECT($B$5&amp;"生成成长"),4))/(VLOOKUP(AC$72,INDIRECT($C$5&amp;"生成成长"),5))*(VLOOKUP($B$5,标准坦克设计!$B$24:$U$30,MATCH("对"&amp;LEFT($C$5,2)&amp;"输出",标准坦克设计!$B$23:$U$23,0)))*(VLOOKUP($B93,INDIRECT($B$5&amp;"生成成长"),3))*(VLOOKUP($B$5,标准坦克设计!$B$14:$K$20,9)/30))</f>
        <v>10.679948763524687</v>
      </c>
      <c r="AD93" s="173">
        <f ca="1">(VLOOKUP(AD$72,INDIRECT($C$5&amp;"生成成长"),2))/((VLOOKUP($B93,INDIRECT($B$5&amp;"生成成长"),4))/(VLOOKUP(AD$72,INDIRECT($C$5&amp;"生成成长"),5))*(VLOOKUP($B$5,标准坦克设计!$B$24:$U$30,MATCH("对"&amp;LEFT($C$5,2)&amp;"输出",标准坦克设计!$B$23:$U$23,0)))*(VLOOKUP($B93,INDIRECT($B$5&amp;"生成成长"),3))*(VLOOKUP($B$5,标准坦克设计!$B$14:$K$20,9)/30))</f>
        <v>11.616354962098573</v>
      </c>
      <c r="AE93" s="173">
        <f ca="1">(VLOOKUP(AE$72,INDIRECT($C$5&amp;"生成成长"),2))/((VLOOKUP($B93,INDIRECT($B$5&amp;"生成成长"),4))/(VLOOKUP(AE$72,INDIRECT($C$5&amp;"生成成长"),5))*(VLOOKUP($B$5,标准坦克设计!$B$24:$U$30,MATCH("对"&amp;LEFT($C$5,2)&amp;"输出",标准坦克设计!$B$23:$U$23,0)))*(VLOOKUP($B93,INDIRECT($B$5&amp;"生成成长"),3))*(VLOOKUP($B$5,标准坦克设计!$B$14:$K$20,9)/30))</f>
        <v>12.592105958931858</v>
      </c>
      <c r="AF93" s="173">
        <f ca="1">(VLOOKUP(AF$72,INDIRECT($C$5&amp;"生成成长"),2))/((VLOOKUP($B93,INDIRECT($B$5&amp;"生成成长"),4))/(VLOOKUP(AF$72,INDIRECT($C$5&amp;"生成成长"),5))*(VLOOKUP($B$5,标准坦克设计!$B$24:$U$30,MATCH("对"&amp;LEFT($C$5,2)&amp;"输出",标准坦克设计!$B$23:$U$23,0)))*(VLOOKUP($B93,INDIRECT($B$5&amp;"生成成长"),3))*(VLOOKUP($B$5,标准坦克设计!$B$14:$K$20,9)/30))</f>
        <v>13.607201754024553</v>
      </c>
      <c r="AG93" s="173">
        <f ca="1">(VLOOKUP(AG$72,INDIRECT($C$5&amp;"生成成长"),2))/((VLOOKUP($B93,INDIRECT($B$5&amp;"生成成长"),4))/(VLOOKUP(AG$72,INDIRECT($C$5&amp;"生成成长"),5))*(VLOOKUP($B$5,标准坦克设计!$B$24:$U$30,MATCH("对"&amp;LEFT($C$5,2)&amp;"输出",标准坦克设计!$B$23:$U$23,0)))*(VLOOKUP($B93,INDIRECT($B$5&amp;"生成成长"),3))*(VLOOKUP($B$5,标准坦克设计!$B$14:$K$20,9)/30))</f>
        <v>14.661642347376656</v>
      </c>
      <c r="AH93" s="173">
        <f ca="1">(VLOOKUP(AH$72,INDIRECT($C$5&amp;"生成成长"),2))/((VLOOKUP($B93,INDIRECT($B$5&amp;"生成成长"),4))/(VLOOKUP(AH$72,INDIRECT($C$5&amp;"生成成长"),5))*(VLOOKUP($B$5,标准坦克设计!$B$24:$U$30,MATCH("对"&amp;LEFT($C$5,2)&amp;"输出",标准坦克设计!$B$23:$U$23,0)))*(VLOOKUP($B93,INDIRECT($B$5&amp;"生成成长"),3))*(VLOOKUP($B$5,标准坦克设计!$B$14:$K$20,9)/30))</f>
        <v>15.755427738988166</v>
      </c>
      <c r="AI93" s="173">
        <f ca="1">(VLOOKUP(AI$72,INDIRECT($C$5&amp;"生成成长"),2))/((VLOOKUP($B93,INDIRECT($B$5&amp;"生成成长"),4))/(VLOOKUP(AI$72,INDIRECT($C$5&amp;"生成成长"),5))*(VLOOKUP($B$5,标准坦克设计!$B$24:$U$30,MATCH("对"&amp;LEFT($C$5,2)&amp;"输出",标准坦克设计!$B$23:$U$23,0)))*(VLOOKUP($B93,INDIRECT($B$5&amp;"生成成长"),3))*(VLOOKUP($B$5,标准坦克设计!$B$14:$K$20,9)/30))</f>
        <v>11.143233763029203</v>
      </c>
      <c r="AJ93" s="173">
        <f ca="1">(VLOOKUP(AJ$72,INDIRECT($C$5&amp;"生成成长"),2))/((VLOOKUP($B93,INDIRECT($B$5&amp;"生成成长"),4))/(VLOOKUP(AJ$72,INDIRECT($C$5&amp;"生成成长"),5))*(VLOOKUP($B$5,标准坦克设计!$B$24:$U$30,MATCH("对"&amp;LEFT($C$5,2)&amp;"输出",标准坦克设计!$B$23:$U$23,0)))*(VLOOKUP($B93,INDIRECT($B$5&amp;"生成成长"),3))*(VLOOKUP($B$5,标准坦克设计!$B$14:$K$20,9)/30))</f>
        <v>12.197084184407414</v>
      </c>
      <c r="AK93" s="173">
        <f ca="1">(VLOOKUP(AK$72,INDIRECT($C$5&amp;"生成成长"),2))/((VLOOKUP($B93,INDIRECT($B$5&amp;"生成成长"),4))/(VLOOKUP(AK$72,INDIRECT($C$5&amp;"生成成长"),5))*(VLOOKUP($B$5,标准坦克设计!$B$24:$U$30,MATCH("对"&amp;LEFT($C$5,2)&amp;"输出",标准坦克设计!$B$23:$U$23,0)))*(VLOOKUP($B93,INDIRECT($B$5&amp;"生成成长"),3))*(VLOOKUP($B$5,标准坦克设计!$B$14:$K$20,9)/30))</f>
        <v>13.298541811679511</v>
      </c>
      <c r="AL93" s="173">
        <f ca="1">(VLOOKUP(AL$72,INDIRECT($C$5&amp;"生成成长"),2))/((VLOOKUP($B93,INDIRECT($B$5&amp;"生成成长"),4))/(VLOOKUP(AL$72,INDIRECT($C$5&amp;"生成成长"),5))*(VLOOKUP($B$5,标准坦克设计!$B$24:$U$30,MATCH("对"&amp;LEFT($C$5,2)&amp;"输出",标准坦克设计!$B$23:$U$23,0)))*(VLOOKUP($B93,INDIRECT($B$5&amp;"生成成长"),3))*(VLOOKUP($B$5,标准坦克设计!$B$14:$K$20,9)/30))</f>
        <v>14.447606644845482</v>
      </c>
      <c r="AM93" s="173">
        <f ca="1">(VLOOKUP(AM$72,INDIRECT($C$5&amp;"生成成长"),2))/((VLOOKUP($B93,INDIRECT($B$5&amp;"生成成长"),4))/(VLOOKUP(AM$72,INDIRECT($C$5&amp;"生成成长"),5))*(VLOOKUP($B$5,标准坦克设计!$B$24:$U$30,MATCH("对"&amp;LEFT($C$5,2)&amp;"输出",标准坦克设计!$B$23:$U$23,0)))*(VLOOKUP($B93,INDIRECT($B$5&amp;"生成成长"),3))*(VLOOKUP($B$5,标准坦克设计!$B$14:$K$20,9)/30))</f>
        <v>15.644278683905341</v>
      </c>
      <c r="AN93" s="173">
        <f ca="1">(VLOOKUP(AN$72,INDIRECT($C$5&amp;"生成成长"),2))/((VLOOKUP($B93,INDIRECT($B$5&amp;"生成成长"),4))/(VLOOKUP(AN$72,INDIRECT($C$5&amp;"生成成长"),5))*(VLOOKUP($B$5,标准坦克设计!$B$24:$U$30,MATCH("对"&amp;LEFT($C$5,2)&amp;"输出",标准坦克设计!$B$23:$U$23,0)))*(VLOOKUP($B93,INDIRECT($B$5&amp;"生成成长"),3))*(VLOOKUP($B$5,标准坦克设计!$B$14:$K$20,9)/30))</f>
        <v>16.888557928859083</v>
      </c>
      <c r="AO93" s="173">
        <f ca="1">(VLOOKUP(AO$72,INDIRECT($C$5&amp;"生成成长"),2))/((VLOOKUP($B93,INDIRECT($B$5&amp;"生成成长"),4))/(VLOOKUP(AO$72,INDIRECT($C$5&amp;"生成成长"),5))*(VLOOKUP($B$5,标准坦克设计!$B$24:$U$30,MATCH("对"&amp;LEFT($C$5,2)&amp;"输出",标准坦克设计!$B$23:$U$23,0)))*(VLOOKUP($B93,INDIRECT($B$5&amp;"生成成长"),3))*(VLOOKUP($B$5,标准坦克设计!$B$14:$K$20,9)/30))</f>
        <v>18.180444379706703</v>
      </c>
      <c r="AP93" s="173">
        <f ca="1">(VLOOKUP(AP$72,INDIRECT($C$5&amp;"生成成长"),2))/((VLOOKUP($B93,INDIRECT($B$5&amp;"生成成长"),4))/(VLOOKUP(AP$72,INDIRECT($C$5&amp;"生成成长"),5))*(VLOOKUP($B$5,标准坦克设计!$B$24:$U$30,MATCH("对"&amp;LEFT($C$5,2)&amp;"输出",标准坦克设计!$B$23:$U$23,0)))*(VLOOKUP($B93,INDIRECT($B$5&amp;"生成成长"),3))*(VLOOKUP($B$5,标准坦克设计!$B$14:$K$20,9)/30))</f>
        <v>19.51993803644821</v>
      </c>
      <c r="AQ93" s="173">
        <f ca="1">(VLOOKUP(AQ$72,INDIRECT($C$5&amp;"生成成长"),2))/((VLOOKUP($B93,INDIRECT($B$5&amp;"生成成长"),4))/(VLOOKUP(AQ$72,INDIRECT($C$5&amp;"生成成长"),5))*(VLOOKUP($B$5,标准坦克设计!$B$24:$U$30,MATCH("对"&amp;LEFT($C$5,2)&amp;"输出",标准坦克设计!$B$23:$U$23,0)))*(VLOOKUP($B93,INDIRECT($B$5&amp;"生成成长"),3))*(VLOOKUP($B$5,标准坦克设计!$B$14:$K$20,9)/30))</f>
        <v>20.907038899083602</v>
      </c>
      <c r="AR93" s="173">
        <f ca="1">(VLOOKUP(AR$72,INDIRECT($C$5&amp;"生成成长"),2))/((VLOOKUP($B93,INDIRECT($B$5&amp;"生成成长"),4))/(VLOOKUP(AR$72,INDIRECT($C$5&amp;"生成成长"),5))*(VLOOKUP($B$5,标准坦克设计!$B$24:$U$30,MATCH("对"&amp;LEFT($C$5,2)&amp;"输出",标准坦克设计!$B$23:$U$23,0)))*(VLOOKUP($B93,INDIRECT($B$5&amp;"生成成长"),3))*(VLOOKUP($B$5,标准坦克设计!$B$14:$K$20,9)/30))</f>
        <v>22.341746967612867</v>
      </c>
      <c r="AS93" s="173">
        <f ca="1">(VLOOKUP(AS$72,INDIRECT($C$5&amp;"生成成长"),2))/((VLOOKUP($B93,INDIRECT($B$5&amp;"生成成长"),4))/(VLOOKUP(AS$72,INDIRECT($C$5&amp;"生成成长"),5))*(VLOOKUP($B$5,标准坦克设计!$B$24:$U$30,MATCH("对"&amp;LEFT($C$5,2)&amp;"输出",标准坦克设计!$B$23:$U$23,0)))*(VLOOKUP($B93,INDIRECT($B$5&amp;"生成成长"),3))*(VLOOKUP($B$5,标准坦克设计!$B$14:$K$20,9)/30))</f>
        <v>23.824062242036028</v>
      </c>
      <c r="AT93" s="173">
        <f ca="1">(VLOOKUP(AT$72,INDIRECT($C$5&amp;"生成成长"),2))/((VLOOKUP($B93,INDIRECT($B$5&amp;"生成成长"),4))/(VLOOKUP(AT$72,INDIRECT($C$5&amp;"生成成长"),5))*(VLOOKUP($B$5,标准坦克设计!$B$24:$U$30,MATCH("对"&amp;LEFT($C$5,2)&amp;"输出",标准坦克设计!$B$23:$U$23,0)))*(VLOOKUP($B93,INDIRECT($B$5&amp;"生成成长"),3))*(VLOOKUP($B$5,标准坦克设计!$B$14:$K$20,9)/30))</f>
        <v>25.353984722353061</v>
      </c>
      <c r="AU93" s="173">
        <f ca="1">(VLOOKUP(AU$72,INDIRECT($C$5&amp;"生成成长"),2))/((VLOOKUP($B93,INDIRECT($B$5&amp;"生成成长"),4))/(VLOOKUP(AU$72,INDIRECT($C$5&amp;"生成成长"),5))*(VLOOKUP($B$5,标准坦克设计!$B$24:$U$30,MATCH("对"&amp;LEFT($C$5,2)&amp;"输出",标准坦克设计!$B$23:$U$23,0)))*(VLOOKUP($B93,INDIRECT($B$5&amp;"生成成长"),3))*(VLOOKUP($B$5,标准坦克设计!$B$14:$K$20,9)/30))</f>
        <v>26.931514408563977</v>
      </c>
      <c r="AV93" s="173">
        <f ca="1">(VLOOKUP(AV$72,INDIRECT($C$5&amp;"生成成长"),2))/((VLOOKUP($B93,INDIRECT($B$5&amp;"生成成长"),4))/(VLOOKUP(AV$72,INDIRECT($C$5&amp;"生成成长"),5))*(VLOOKUP($B$5,标准坦克设计!$B$24:$U$30,MATCH("对"&amp;LEFT($C$5,2)&amp;"输出",标准坦克设计!$B$23:$U$23,0)))*(VLOOKUP($B93,INDIRECT($B$5&amp;"生成成长"),3))*(VLOOKUP($B$5,标准坦克设计!$B$14:$K$20,9)/30))</f>
        <v>2.7391848548199036</v>
      </c>
      <c r="AW93" s="173">
        <f ca="1">(VLOOKUP(AW$72,INDIRECT($C$5&amp;"生成成长"),2))/((VLOOKUP($B93,INDIRECT($B$5&amp;"生成成长"),4))/(VLOOKUP(AW$72,INDIRECT($C$5&amp;"生成成长"),5))*(VLOOKUP($B$5,标准坦克设计!$B$24:$U$30,MATCH("对"&amp;LEFT($C$5,2)&amp;"输出",标准坦克设计!$B$23:$U$23,0)))*(VLOOKUP($B93,INDIRECT($B$5&amp;"生成成长"),3))*(VLOOKUP($B$5,标准坦克设计!$B$14:$K$20,9)/30))</f>
        <v>3.1231900858317143</v>
      </c>
      <c r="AX93" s="173">
        <f ca="1">(VLOOKUP(AX$72,INDIRECT($C$5&amp;"生成成长"),2))/((VLOOKUP($B93,INDIRECT($B$5&amp;"生成成长"),4))/(VLOOKUP(AX$72,INDIRECT($C$5&amp;"生成成长"),5))*(VLOOKUP($B$5,标准坦克设计!$B$24:$U$30,MATCH("对"&amp;LEFT($C$5,2)&amp;"输出",标准坦克设计!$B$23:$U$23,0)))*(VLOOKUP($B93,INDIRECT($B$5&amp;"生成成长"),3))*(VLOOKUP($B$5,标准坦克设计!$B$14:$K$20,9)/30))</f>
        <v>3.5323759877295449</v>
      </c>
      <c r="AY93" s="173">
        <f ca="1">(VLOOKUP(AY$72,INDIRECT($C$5&amp;"生成成长"),2))/((VLOOKUP($B93,INDIRECT($B$5&amp;"生成成长"),4))/(VLOOKUP(AY$72,INDIRECT($C$5&amp;"生成成长"),5))*(VLOOKUP($B$5,标准坦克设计!$B$24:$U$30,MATCH("对"&amp;LEFT($C$5,2)&amp;"输出",标准坦克设计!$B$23:$U$23,0)))*(VLOOKUP($B93,INDIRECT($B$5&amp;"生成成长"),3))*(VLOOKUP($B$5,标准坦克设计!$B$14:$K$20,9)/30))</f>
        <v>3.9667425605133961</v>
      </c>
      <c r="AZ93" s="173">
        <f ca="1">(VLOOKUP(AZ$72,INDIRECT($C$5&amp;"生成成长"),2))/((VLOOKUP($B93,INDIRECT($B$5&amp;"生成成长"),4))/(VLOOKUP(AZ$72,INDIRECT($C$5&amp;"生成成长"),5))*(VLOOKUP($B$5,标准坦克设计!$B$24:$U$30,MATCH("对"&amp;LEFT($C$5,2)&amp;"输出",标准坦克设计!$B$23:$U$23,0)))*(VLOOKUP($B93,INDIRECT($B$5&amp;"生成成长"),3))*(VLOOKUP($B$5,标准坦克设计!$B$14:$K$20,9)/30))</f>
        <v>4.4262898041832681</v>
      </c>
      <c r="BA93" s="173">
        <f ca="1">(VLOOKUP(BA$72,INDIRECT($C$5&amp;"生成成长"),2))/((VLOOKUP($B93,INDIRECT($B$5&amp;"生成成长"),4))/(VLOOKUP(BA$72,INDIRECT($C$5&amp;"生成成长"),5))*(VLOOKUP($B$5,标准坦克设计!$B$24:$U$30,MATCH("对"&amp;LEFT($C$5,2)&amp;"输出",标准坦克设计!$B$23:$U$23,0)))*(VLOOKUP($B93,INDIRECT($B$5&amp;"生成成长"),3))*(VLOOKUP($B$5,标准坦克设计!$B$14:$K$20,9)/30))</f>
        <v>4.9110177187391599</v>
      </c>
      <c r="BB93" s="173">
        <f ca="1">(VLOOKUP(BB$72,INDIRECT($C$5&amp;"生成成长"),2))/((VLOOKUP($B93,INDIRECT($B$5&amp;"生成成长"),4))/(VLOOKUP(BB$72,INDIRECT($C$5&amp;"生成成长"),5))*(VLOOKUP($B$5,标准坦克设计!$B$24:$U$30,MATCH("对"&amp;LEFT($C$5,2)&amp;"输出",标准坦克设计!$B$23:$U$23,0)))*(VLOOKUP($B93,INDIRECT($B$5&amp;"生成成长"),3))*(VLOOKUP($B$5,标准坦克设计!$B$14:$K$20,9)/30))</f>
        <v>5.4209263041810729</v>
      </c>
      <c r="BC93" s="173">
        <f ca="1">(VLOOKUP(BC$72,INDIRECT($C$5&amp;"生成成长"),2))/((VLOOKUP($B93,INDIRECT($B$5&amp;"生成成长"),4))/(VLOOKUP(BC$72,INDIRECT($C$5&amp;"生成成长"),5))*(VLOOKUP($B$5,标准坦克设计!$B$24:$U$30,MATCH("对"&amp;LEFT($C$5,2)&amp;"输出",标准坦克设计!$B$23:$U$23,0)))*(VLOOKUP($B93,INDIRECT($B$5&amp;"生成成长"),3))*(VLOOKUP($B$5,标准坦克设计!$B$14:$K$20,9)/30))</f>
        <v>5.956015560509007</v>
      </c>
      <c r="BD93" s="173">
        <f ca="1">(VLOOKUP(BD$72,INDIRECT($C$5&amp;"生成成长"),2))/((VLOOKUP($B93,INDIRECT($B$5&amp;"生成成长"),4))/(VLOOKUP(BD$72,INDIRECT($C$5&amp;"生成成长"),5))*(VLOOKUP($B$5,标准坦克设计!$B$24:$U$30,MATCH("对"&amp;LEFT($C$5,2)&amp;"输出",标准坦克设计!$B$23:$U$23,0)))*(VLOOKUP($B93,INDIRECT($B$5&amp;"生成成长"),3))*(VLOOKUP($B$5,标准坦克设计!$B$14:$K$20,9)/30))</f>
        <v>6.5880897445463749</v>
      </c>
      <c r="BE93" s="173">
        <f ca="1">(VLOOKUP(BE$72,INDIRECT($C$5&amp;"生成成长"),2))/((VLOOKUP($B93,INDIRECT($B$5&amp;"生成成长"),4))/(VLOOKUP(BE$72,INDIRECT($C$5&amp;"生成成长"),5))*(VLOOKUP($B$5,标准坦克设计!$B$24:$U$30,MATCH("对"&amp;LEFT($C$5,2)&amp;"输出",标准坦克设计!$B$23:$U$23,0)))*(VLOOKUP($B93,INDIRECT($B$5&amp;"生成成长"),3))*(VLOOKUP($B$5,标准坦克设计!$B$14:$K$20,9)/30))</f>
        <v>7.2520332151738653</v>
      </c>
      <c r="BF93" s="173">
        <f ca="1">(VLOOKUP(BF$72,INDIRECT($C$5&amp;"生成成长"),2))/((VLOOKUP($B93,INDIRECT($B$5&amp;"生成成长"),4))/(VLOOKUP(BF$72,INDIRECT($C$5&amp;"生成成长"),5))*(VLOOKUP($B$5,标准坦克设计!$B$24:$U$30,MATCH("对"&amp;LEFT($C$5,2)&amp;"输出",标准坦克设计!$B$23:$U$23,0)))*(VLOOKUP($B93,INDIRECT($B$5&amp;"生成成长"),3))*(VLOOKUP($B$5,标准坦克设计!$B$14:$K$20,9)/30))</f>
        <v>7.9478459723914767</v>
      </c>
      <c r="BG93" s="173">
        <f ca="1">(VLOOKUP(BG$72,INDIRECT($C$5&amp;"生成成长"),2))/((VLOOKUP($B93,INDIRECT($B$5&amp;"生成成长"),4))/(VLOOKUP(BG$72,INDIRECT($C$5&amp;"生成成长"),5))*(VLOOKUP($B$5,标准坦克设计!$B$24:$U$30,MATCH("对"&amp;LEFT($C$5,2)&amp;"输出",标准坦克设计!$B$23:$U$23,0)))*(VLOOKUP($B93,INDIRECT($B$5&amp;"生成成长"),3))*(VLOOKUP($B$5,标准坦克设计!$B$14:$K$20,9)/30))</f>
        <v>8.6755280161992054</v>
      </c>
      <c r="BH93" s="173">
        <f ca="1">(VLOOKUP(BH$72,INDIRECT($C$5&amp;"生成成长"),2))/((VLOOKUP($B93,INDIRECT($B$5&amp;"生成成长"),4))/(VLOOKUP(BH$72,INDIRECT($C$5&amp;"生成成长"),5))*(VLOOKUP($B$5,标准坦克设计!$B$24:$U$30,MATCH("对"&amp;LEFT($C$5,2)&amp;"输出",标准坦克设计!$B$23:$U$23,0)))*(VLOOKUP($B93,INDIRECT($B$5&amp;"生成成长"),3))*(VLOOKUP($B$5,标准坦克设计!$B$14:$K$20,9)/30))</f>
        <v>4.1933685984875799</v>
      </c>
      <c r="BI93" s="173">
        <f ca="1">(VLOOKUP(BI$72,INDIRECT($C$5&amp;"生成成长"),2))/((VLOOKUP($B93,INDIRECT($B$5&amp;"生成成长"),4))/(VLOOKUP(BI$72,INDIRECT($C$5&amp;"生成成长"),5))*(VLOOKUP($B$5,标准坦克设计!$B$24:$U$30,MATCH("对"&amp;LEFT($C$5,2)&amp;"输出",标准坦克设计!$B$23:$U$23,0)))*(VLOOKUP($B93,INDIRECT($B$5&amp;"生成成长"),3))*(VLOOKUP($B$5,标准坦克设计!$B$14:$K$20,9)/30))</f>
        <v>4.7262938909112444</v>
      </c>
      <c r="BJ93" s="173">
        <f ca="1">(VLOOKUP(BJ$72,INDIRECT($C$5&amp;"生成成长"),2))/((VLOOKUP($B93,INDIRECT($B$5&amp;"生成成长"),4))/(VLOOKUP(BJ$72,INDIRECT($C$5&amp;"生成成长"),5))*(VLOOKUP($B$5,标准坦克设计!$B$24:$U$30,MATCH("对"&amp;LEFT($C$5,2)&amp;"输出",标准坦克设计!$B$23:$U$23,0)))*(VLOOKUP($B93,INDIRECT($B$5&amp;"生成成长"),3))*(VLOOKUP($B$5,标准坦克设计!$B$14:$K$20,9)/30))</f>
        <v>5.2910884699250298</v>
      </c>
      <c r="BK93" s="173">
        <f ca="1">(VLOOKUP(BK$72,INDIRECT($C$5&amp;"生成成长"),2))/((VLOOKUP($B93,INDIRECT($B$5&amp;"生成成长"),4))/(VLOOKUP(BK$72,INDIRECT($C$5&amp;"生成成长"),5))*(VLOOKUP($B$5,标准坦克设计!$B$24:$U$30,MATCH("对"&amp;LEFT($C$5,2)&amp;"输出",标准坦克设计!$B$23:$U$23,0)))*(VLOOKUP($B93,INDIRECT($B$5&amp;"生成成长"),3))*(VLOOKUP($B$5,标准坦克设计!$B$14:$K$20,9)/30))</f>
        <v>5.8877523355289343</v>
      </c>
      <c r="BL93" s="173">
        <f ca="1">(VLOOKUP(BL$72,INDIRECT($C$5&amp;"生成成长"),2))/((VLOOKUP($B93,INDIRECT($B$5&amp;"生成成长"),4))/(VLOOKUP(BL$72,INDIRECT($C$5&amp;"生成成长"),5))*(VLOOKUP($B$5,标准坦克设计!$B$24:$U$30,MATCH("对"&amp;LEFT($C$5,2)&amp;"输出",标准坦克设计!$B$23:$U$23,0)))*(VLOOKUP($B93,INDIRECT($B$5&amp;"生成成长"),3))*(VLOOKUP($B$5,标准坦克设计!$B$14:$K$20,9)/30))</f>
        <v>6.5162854877229597</v>
      </c>
      <c r="BM93" s="173">
        <f ca="1">(VLOOKUP(BM$72,INDIRECT($C$5&amp;"生成成长"),2))/((VLOOKUP($B93,INDIRECT($B$5&amp;"生成成长"),4))/(VLOOKUP(BM$72,INDIRECT($C$5&amp;"生成成长"),5))*(VLOOKUP($B$5,标准坦克设计!$B$24:$U$30,MATCH("对"&amp;LEFT($C$5,2)&amp;"输出",标准坦克设计!$B$23:$U$23,0)))*(VLOOKUP($B93,INDIRECT($B$5&amp;"生成成长"),3))*(VLOOKUP($B$5,标准坦克设计!$B$14:$K$20,9)/30))</f>
        <v>7.1766879265071024</v>
      </c>
      <c r="BN93" s="173">
        <f ca="1">(VLOOKUP(BN$72,INDIRECT($C$5&amp;"生成成长"),2))/((VLOOKUP($B93,INDIRECT($B$5&amp;"生成成长"),4))/(VLOOKUP(BN$72,INDIRECT($C$5&amp;"生成成长"),5))*(VLOOKUP($B$5,标准坦克设计!$B$24:$U$30,MATCH("对"&amp;LEFT($C$5,2)&amp;"输出",标准坦克设计!$B$23:$U$23,0)))*(VLOOKUP($B93,INDIRECT($B$5&amp;"生成成长"),3))*(VLOOKUP($B$5,标准坦克设计!$B$14:$K$20,9)/30))</f>
        <v>7.8689596518813651</v>
      </c>
      <c r="BO93" s="173">
        <f ca="1">(VLOOKUP(BO$72,INDIRECT($C$5&amp;"生成成长"),2))/((VLOOKUP($B93,INDIRECT($B$5&amp;"生成成长"),4))/(VLOOKUP(BO$72,INDIRECT($C$5&amp;"生成成长"),5))*(VLOOKUP($B$5,标准坦克设计!$B$24:$U$30,MATCH("对"&amp;LEFT($C$5,2)&amp;"输出",标准坦克设计!$B$23:$U$23,0)))*(VLOOKUP($B93,INDIRECT($B$5&amp;"生成成长"),3))*(VLOOKUP($B$5,标准坦克设计!$B$14:$K$20,9)/30))</f>
        <v>8.5931006638457479</v>
      </c>
      <c r="BP93" s="173">
        <f ca="1">(VLOOKUP(BP$72,INDIRECT($C$5&amp;"生成成长"),2))/((VLOOKUP($B93,INDIRECT($B$5&amp;"生成成长"),4))/(VLOOKUP(BP$72,INDIRECT($C$5&amp;"生成成长"),5))*(VLOOKUP($B$5,标准坦克设计!$B$24:$U$30,MATCH("对"&amp;LEFT($C$5,2)&amp;"输出",标准坦克设计!$B$23:$U$23,0)))*(VLOOKUP($B93,INDIRECT($B$5&amp;"生成成长"),3))*(VLOOKUP($B$5,标准坦克设计!$B$14:$K$20,9)/30))</f>
        <v>9.3491109624002497</v>
      </c>
      <c r="BQ93" s="173">
        <f ca="1">(VLOOKUP(BQ$72,INDIRECT($C$5&amp;"生成成长"),2))/((VLOOKUP($B93,INDIRECT($B$5&amp;"生成成长"),4))/(VLOOKUP(BQ$72,INDIRECT($C$5&amp;"生成成长"),5))*(VLOOKUP($B$5,标准坦克设计!$B$24:$U$30,MATCH("对"&amp;LEFT($C$5,2)&amp;"输出",标准坦克设计!$B$23:$U$23,0)))*(VLOOKUP($B93,INDIRECT($B$5&amp;"生成成长"),3))*(VLOOKUP($B$5,标准坦克设计!$B$14:$K$20,9)/30))</f>
        <v>10.136990547544871</v>
      </c>
      <c r="BR93" s="173">
        <f ca="1">(VLOOKUP(BR$72,INDIRECT($C$5&amp;"生成成长"),2))/((VLOOKUP($B93,INDIRECT($B$5&amp;"生成成长"),4))/(VLOOKUP(BR$72,INDIRECT($C$5&amp;"生成成长"),5))*(VLOOKUP($B$5,标准坦克设计!$B$24:$U$30,MATCH("对"&amp;LEFT($C$5,2)&amp;"输出",标准坦克设计!$B$23:$U$23,0)))*(VLOOKUP($B93,INDIRECT($B$5&amp;"生成成长"),3))*(VLOOKUP($B$5,标准坦克设计!$B$14:$K$20,9)/30))</f>
        <v>11.04978986716311</v>
      </c>
      <c r="BS93" s="173">
        <f ca="1">(VLOOKUP(BS$72,INDIRECT($C$5&amp;"生成成长"),2))/((VLOOKUP($B93,INDIRECT($B$5&amp;"生成成长"),4))/(VLOOKUP(BS$72,INDIRECT($C$5&amp;"生成成长"),5))*(VLOOKUP($B$5,标准坦克设计!$B$24:$U$30,MATCH("对"&amp;LEFT($C$5,2)&amp;"输出",标准坦克设计!$B$23:$U$23,0)))*(VLOOKUP($B93,INDIRECT($B$5&amp;"生成成长"),3))*(VLOOKUP($B$5,标准坦克设计!$B$14:$K$20,9)/30))</f>
        <v>12.001933985040754</v>
      </c>
      <c r="BT93" s="173">
        <f ca="1">(VLOOKUP(BT$72,INDIRECT($C$5&amp;"生成成长"),2))/((VLOOKUP($B93,INDIRECT($B$5&amp;"生成成长"),4))/(VLOOKUP(BT$72,INDIRECT($C$5&amp;"生成成长"),5))*(VLOOKUP($B$5,标准坦克设计!$B$24:$U$30,MATCH("对"&amp;LEFT($C$5,2)&amp;"输出",标准坦克设计!$B$23:$U$23,0)))*(VLOOKUP($B93,INDIRECT($B$5&amp;"生成成长"),3))*(VLOOKUP($B$5,标准坦克设计!$B$14:$K$20,9)/30))</f>
        <v>12.993422901177805</v>
      </c>
      <c r="BU93" s="173">
        <f ca="1">(VLOOKUP(BU$72,INDIRECT($C$5&amp;"生成成长"),2))/((VLOOKUP($B93,INDIRECT($B$5&amp;"生成成长"),4))/(VLOOKUP(BU$72,INDIRECT($C$5&amp;"生成成长"),5))*(VLOOKUP($B$5,标准坦克设计!$B$24:$U$30,MATCH("对"&amp;LEFT($C$5,2)&amp;"输出",标准坦克设计!$B$23:$U$23,0)))*(VLOOKUP($B93,INDIRECT($B$5&amp;"生成成长"),3))*(VLOOKUP($B$5,标准坦克设计!$B$14:$K$20,9)/30))</f>
        <v>14.02425661557427</v>
      </c>
      <c r="BV93" s="173">
        <f ca="1">(VLOOKUP(BV$72,INDIRECT($C$5&amp;"生成成长"),2))/((VLOOKUP($B93,INDIRECT($B$5&amp;"生成成长"),4))/(VLOOKUP(BV$72,INDIRECT($C$5&amp;"生成成长"),5))*(VLOOKUP($B$5,标准坦克设计!$B$24:$U$30,MATCH("对"&amp;LEFT($C$5,2)&amp;"输出",标准坦克设计!$B$23:$U$23,0)))*(VLOOKUP($B93,INDIRECT($B$5&amp;"生成成长"),3))*(VLOOKUP($B$5,标准坦克设计!$B$14:$K$20,9)/30))</f>
        <v>15.094435128230131</v>
      </c>
      <c r="BW93" s="173">
        <f ca="1">(VLOOKUP(BW$72,INDIRECT($C$5&amp;"生成成长"),2))/((VLOOKUP($B93,INDIRECT($B$5&amp;"生成成长"),4))/(VLOOKUP(BW$72,INDIRECT($C$5&amp;"生成成长"),5))*(VLOOKUP($B$5,标准坦克设计!$B$24:$U$30,MATCH("对"&amp;LEFT($C$5,2)&amp;"输出",标准坦克设计!$B$23:$U$23,0)))*(VLOOKUP($B93,INDIRECT($B$5&amp;"生成成长"),3))*(VLOOKUP($B$5,标准坦克设计!$B$14:$K$20,9)/30))</f>
        <v>6.879241251665988</v>
      </c>
      <c r="BX93" s="173">
        <f ca="1">(VLOOKUP(BX$72,INDIRECT($C$5&amp;"生成成长"),2))/((VLOOKUP($B93,INDIRECT($B$5&amp;"生成成长"),4))/(VLOOKUP(BX$72,INDIRECT($C$5&amp;"生成成长"),5))*(VLOOKUP($B$5,标准坦克设计!$B$24:$U$30,MATCH("对"&amp;LEFT($C$5,2)&amp;"输出",标准坦克设计!$B$23:$U$23,0)))*(VLOOKUP($B93,INDIRECT($B$5&amp;"生成成长"),3))*(VLOOKUP($B$5,标准坦克设计!$B$14:$K$20,9)/30))</f>
        <v>7.6346613782465971</v>
      </c>
      <c r="BY93" s="173">
        <f ca="1">(VLOOKUP(BY$72,INDIRECT($C$5&amp;"生成成长"),2))/((VLOOKUP($B93,INDIRECT($B$5&amp;"生成成长"),4))/(VLOOKUP(BY$72,INDIRECT($C$5&amp;"生成成长"),5))*(VLOOKUP($B$5,标准坦克设计!$B$24:$U$30,MATCH("对"&amp;LEFT($C$5,2)&amp;"输出",标准坦克设计!$B$23:$U$23,0)))*(VLOOKUP($B93,INDIRECT($B$5&amp;"生成成长"),3))*(VLOOKUP($B$5,标准坦克设计!$B$14:$K$20,9)/30))</f>
        <v>8.4294263030866166</v>
      </c>
      <c r="BZ93" s="173">
        <f ca="1">(VLOOKUP(BZ$72,INDIRECT($C$5&amp;"生成成长"),2))/((VLOOKUP($B93,INDIRECT($B$5&amp;"生成成长"),4))/(VLOOKUP(BZ$72,INDIRECT($C$5&amp;"生成成长"),5))*(VLOOKUP($B$5,标准坦克设计!$B$24:$U$30,MATCH("对"&amp;LEFT($C$5,2)&amp;"输出",标准坦克设计!$B$23:$U$23,0)))*(VLOOKUP($B93,INDIRECT($B$5&amp;"生成成长"),3))*(VLOOKUP($B$5,标准坦克设计!$B$14:$K$20,9)/30))</f>
        <v>9.2635360261860402</v>
      </c>
      <c r="CA93" s="173">
        <f ca="1">(VLOOKUP(CA$72,INDIRECT($C$5&amp;"生成成长"),2))/((VLOOKUP($B93,INDIRECT($B$5&amp;"生成成长"),4))/(VLOOKUP(CA$72,INDIRECT($C$5&amp;"生成成长"),5))*(VLOOKUP($B$5,标准坦克设计!$B$24:$U$30,MATCH("对"&amp;LEFT($C$5,2)&amp;"输出",标准坦克设计!$B$23:$U$23,0)))*(VLOOKUP($B93,INDIRECT($B$5&amp;"生成成长"),3))*(VLOOKUP($B$5,标准坦克设计!$B$14:$K$20,9)/30))</f>
        <v>10.136990547544871</v>
      </c>
      <c r="CB93" s="173">
        <f ca="1">(VLOOKUP(CB$72,INDIRECT($C$5&amp;"生成成长"),2))/((VLOOKUP($B93,INDIRECT($B$5&amp;"生成成长"),4))/(VLOOKUP(CB$72,INDIRECT($C$5&amp;"生成成长"),5))*(VLOOKUP($B$5,标准坦克设计!$B$24:$U$30,MATCH("对"&amp;LEFT($C$5,2)&amp;"输出",标准坦克设计!$B$23:$U$23,0)))*(VLOOKUP($B93,INDIRECT($B$5&amp;"生成成长"),3))*(VLOOKUP($B$5,标准坦克设计!$B$14:$K$20,9)/30))</f>
        <v>11.04978986716311</v>
      </c>
      <c r="CC93" s="173">
        <f ca="1">(VLOOKUP(CC$72,INDIRECT($C$5&amp;"生成成长"),2))/((VLOOKUP($B93,INDIRECT($B$5&amp;"生成成长"),4))/(VLOOKUP(CC$72,INDIRECT($C$5&amp;"生成成长"),5))*(VLOOKUP($B$5,标准坦克设计!$B$24:$U$30,MATCH("对"&amp;LEFT($C$5,2)&amp;"输出",标准坦克设计!$B$23:$U$23,0)))*(VLOOKUP($B93,INDIRECT($B$5&amp;"生成成长"),3))*(VLOOKUP($B$5,标准坦克设计!$B$14:$K$20,9)/30))</f>
        <v>12.001933985040754</v>
      </c>
      <c r="CD93" s="173">
        <f ca="1">(VLOOKUP(CD$72,INDIRECT($C$5&amp;"生成成长"),2))/((VLOOKUP($B93,INDIRECT($B$5&amp;"生成成长"),4))/(VLOOKUP(CD$72,INDIRECT($C$5&amp;"生成成长"),5))*(VLOOKUP($B$5,标准坦克设计!$B$24:$U$30,MATCH("对"&amp;LEFT($C$5,2)&amp;"输出",标准坦克设计!$B$23:$U$23,0)))*(VLOOKUP($B93,INDIRECT($B$5&amp;"生成成长"),3))*(VLOOKUP($B$5,标准坦克设计!$B$14:$K$20,9)/30))</f>
        <v>12.993422901177805</v>
      </c>
      <c r="CE93" s="173">
        <f ca="1">(VLOOKUP(CE$72,INDIRECT($C$5&amp;"生成成长"),2))/((VLOOKUP($B93,INDIRECT($B$5&amp;"生成成长"),4))/(VLOOKUP(CE$72,INDIRECT($C$5&amp;"生成成长"),5))*(VLOOKUP($B$5,标准坦克设计!$B$24:$U$30,MATCH("对"&amp;LEFT($C$5,2)&amp;"输出",标准坦克设计!$B$23:$U$23,0)))*(VLOOKUP($B93,INDIRECT($B$5&amp;"生成成长"),3))*(VLOOKUP($B$5,标准坦克设计!$B$14:$K$20,9)/30))</f>
        <v>14.02425661557427</v>
      </c>
      <c r="CF93" s="173">
        <f ca="1">(VLOOKUP(CF$72,INDIRECT($C$5&amp;"生成成长"),2))/((VLOOKUP($B93,INDIRECT($B$5&amp;"生成成长"),4))/(VLOOKUP(CF$72,INDIRECT($C$5&amp;"生成成长"),5))*(VLOOKUP($B$5,标准坦克设计!$B$24:$U$30,MATCH("对"&amp;LEFT($C$5,2)&amp;"输出",标准坦克设计!$B$23:$U$23,0)))*(VLOOKUP($B93,INDIRECT($B$5&amp;"生成成长"),3))*(VLOOKUP($B$5,标准坦克设计!$B$14:$K$20,9)/30))</f>
        <v>15.094435128230131</v>
      </c>
      <c r="CG93" s="173">
        <f ca="1">(VLOOKUP(CG$72,INDIRECT($C$5&amp;"生成成长"),2))/((VLOOKUP($B93,INDIRECT($B$5&amp;"生成成长"),4))/(VLOOKUP(CG$72,INDIRECT($C$5&amp;"生成成长"),5))*(VLOOKUP($B$5,标准坦克设计!$B$24:$U$30,MATCH("对"&amp;LEFT($C$5,2)&amp;"输出",标准坦克设计!$B$23:$U$23,0)))*(VLOOKUP($B93,INDIRECT($B$5&amp;"生成成长"),3))*(VLOOKUP($B$5,标准坦克设计!$B$14:$K$20,9)/30))</f>
        <v>16.203958439145406</v>
      </c>
      <c r="CH93" s="173">
        <f ca="1">(VLOOKUP(CH$72,INDIRECT($C$5&amp;"生成成长"),2))/((VLOOKUP($B93,INDIRECT($B$5&amp;"生成成长"),4))/(VLOOKUP(CH$72,INDIRECT($C$5&amp;"生成成长"),5))*(VLOOKUP($B$5,标准坦克设计!$B$24:$U$30,MATCH("对"&amp;LEFT($C$5,2)&amp;"输出",标准坦克设计!$B$23:$U$23,0)))*(VLOOKUP($B93,INDIRECT($B$5&amp;"生成成长"),3))*(VLOOKUP($B$5,标准坦克设计!$B$14:$K$20,9)/30))</f>
        <v>17.352826548320081</v>
      </c>
      <c r="CI93" s="173">
        <f ca="1">(VLOOKUP(CI$72,INDIRECT($C$5&amp;"生成成长"),2))/((VLOOKUP($B93,INDIRECT($B$5&amp;"生成成长"),4))/(VLOOKUP(CI$72,INDIRECT($C$5&amp;"生成成长"),5))*(VLOOKUP($B$5,标准坦克设计!$B$24:$U$30,MATCH("对"&amp;LEFT($C$5,2)&amp;"输出",标准坦克设计!$B$23:$U$23,0)))*(VLOOKUP($B93,INDIRECT($B$5&amp;"生成成长"),3))*(VLOOKUP($B$5,标准坦克设计!$B$14:$K$20,9)/30))</f>
        <v>18.662024710401848</v>
      </c>
      <c r="CJ93" s="173">
        <f ca="1">(VLOOKUP(CJ$72,INDIRECT($C$5&amp;"生成成长"),2))/((VLOOKUP($B93,INDIRECT($B$5&amp;"生成成长"),4))/(VLOOKUP(CJ$72,INDIRECT($C$5&amp;"生成成长"),5))*(VLOOKUP($B$5,标准坦克设计!$B$24:$U$30,MATCH("对"&amp;LEFT($C$5,2)&amp;"输出",标准坦克设计!$B$23:$U$23,0)))*(VLOOKUP($B93,INDIRECT($B$5&amp;"生成成长"),3))*(VLOOKUP($B$5,标准坦克设计!$B$14:$K$20,9)/30))</f>
        <v>20.018830078377491</v>
      </c>
      <c r="CK93" s="173">
        <f ca="1">(VLOOKUP(CK$72,INDIRECT($C$5&amp;"生成成长"),2))/((VLOOKUP($B93,INDIRECT($B$5&amp;"生成成长"),4))/(VLOOKUP(CK$72,INDIRECT($C$5&amp;"生成成长"),5))*(VLOOKUP($B$5,标准坦克设计!$B$24:$U$30,MATCH("对"&amp;LEFT($C$5,2)&amp;"输出",标准坦克设计!$B$23:$U$23,0)))*(VLOOKUP($B93,INDIRECT($B$5&amp;"生成成长"),3))*(VLOOKUP($B$5,标准坦克设计!$B$14:$K$20,9)/30))</f>
        <v>21.423242652247019</v>
      </c>
      <c r="CL93" s="173">
        <f ca="1">(VLOOKUP(CL$72,INDIRECT($C$5&amp;"生成成长"),2))/((VLOOKUP($B93,INDIRECT($B$5&amp;"生成成长"),4))/(VLOOKUP(CL$72,INDIRECT($C$5&amp;"生成成长"),5))*(VLOOKUP($B$5,标准坦克设计!$B$24:$U$30,MATCH("对"&amp;LEFT($C$5,2)&amp;"输出",标准坦克设计!$B$23:$U$23,0)))*(VLOOKUP($B93,INDIRECT($B$5&amp;"生成成长"),3))*(VLOOKUP($B$5,标准坦克设计!$B$14:$K$20,9)/30))</f>
        <v>22.87526243201043</v>
      </c>
      <c r="CM93" s="173">
        <f ca="1">(VLOOKUP(CM$72,INDIRECT($C$5&amp;"生成成长"),2))/((VLOOKUP($B93,INDIRECT($B$5&amp;"生成成长"),4))/(VLOOKUP(CM$72,INDIRECT($C$5&amp;"生成成长"),5))*(VLOOKUP($B$5,标准坦克设计!$B$24:$U$30,MATCH("对"&amp;LEFT($C$5,2)&amp;"输出",标准坦克设计!$B$23:$U$23,0)))*(VLOOKUP($B93,INDIRECT($B$5&amp;"生成成长"),3))*(VLOOKUP($B$5,标准坦克设计!$B$14:$K$20,9)/30))</f>
        <v>24.374889417667717</v>
      </c>
      <c r="CN93" s="173">
        <f ca="1">(VLOOKUP(CN$72,INDIRECT($C$5&amp;"生成成长"),2))/((VLOOKUP($B93,INDIRECT($B$5&amp;"生成成长"),4))/(VLOOKUP(CN$72,INDIRECT($C$5&amp;"生成成长"),5))*(VLOOKUP($B$5,标准坦克设计!$B$24:$U$30,MATCH("对"&amp;LEFT($C$5,2)&amp;"输出",标准坦克设计!$B$23:$U$23,0)))*(VLOOKUP($B93,INDIRECT($B$5&amp;"生成成长"),3))*(VLOOKUP($B$5,标准坦克设计!$B$14:$K$20,9)/30))</f>
        <v>25.92212360921889</v>
      </c>
      <c r="CO93" s="173">
        <f ca="1">(VLOOKUP(CO$72,INDIRECT($C$5&amp;"生成成长"),2))/((VLOOKUP($B93,INDIRECT($B$5&amp;"生成成长"),4))/(VLOOKUP(CO$72,INDIRECT($C$5&amp;"生成成长"),5))*(VLOOKUP($B$5,标准坦克设计!$B$24:$U$30,MATCH("对"&amp;LEFT($C$5,2)&amp;"输出",标准坦克设计!$B$23:$U$23,0)))*(VLOOKUP($B93,INDIRECT($B$5&amp;"生成成长"),3))*(VLOOKUP($B$5,标准坦克设计!$B$14:$K$20,9)/30))</f>
        <v>11.616354962098573</v>
      </c>
      <c r="CP93" s="173">
        <f ca="1">(VLOOKUP(CP$72,INDIRECT($C$5&amp;"生成成长"),2))/((VLOOKUP($B93,INDIRECT($B$5&amp;"生成成长"),4))/(VLOOKUP(CP$72,INDIRECT($C$5&amp;"生成成长"),5))*(VLOOKUP($B$5,标准坦克设计!$B$24:$U$30,MATCH("对"&amp;LEFT($C$5,2)&amp;"输出",标准坦克设计!$B$23:$U$23,0)))*(VLOOKUP($B93,INDIRECT($B$5&amp;"生成成长"),3))*(VLOOKUP($B$5,标准坦克设计!$B$14:$K$20,9)/30))</f>
        <v>12.691845022519454</v>
      </c>
      <c r="CQ93" s="173">
        <f ca="1">(VLOOKUP(CQ$72,INDIRECT($C$5&amp;"生成成长"),2))/((VLOOKUP($B93,INDIRECT($B$5&amp;"生成成长"),4))/(VLOOKUP(CQ$72,INDIRECT($C$5&amp;"生成成长"),5))*(VLOOKUP($B$5,标准坦克设计!$B$24:$U$30,MATCH("对"&amp;LEFT($C$5,2)&amp;"输出",标准坦克设计!$B$23:$U$23,0)))*(VLOOKUP($B93,INDIRECT($B$5&amp;"生成成长"),3))*(VLOOKUP($B$5,标准坦克设计!$B$14:$K$20,9)/30))</f>
        <v>13.814942288834223</v>
      </c>
      <c r="CR93" s="173">
        <f ca="1">(VLOOKUP(CR$72,INDIRECT($C$5&amp;"生成成长"),2))/((VLOOKUP($B93,INDIRECT($B$5&amp;"生成成长"),4))/(VLOOKUP(CR$72,INDIRECT($C$5&amp;"生成成长"),5))*(VLOOKUP($B$5,标准坦克设计!$B$24:$U$30,MATCH("对"&amp;LEFT($C$5,2)&amp;"输出",标准坦克设计!$B$23:$U$23,0)))*(VLOOKUP($B93,INDIRECT($B$5&amp;"生成成长"),3))*(VLOOKUP($B$5,标准坦克设计!$B$14:$K$20,9)/30))</f>
        <v>14.985646761042872</v>
      </c>
      <c r="CS93" s="173">
        <f ca="1">(VLOOKUP(CS$72,INDIRECT($C$5&amp;"生成成长"),2))/((VLOOKUP($B93,INDIRECT($B$5&amp;"生成成长"),4))/(VLOOKUP(CS$72,INDIRECT($C$5&amp;"生成成长"),5))*(VLOOKUP($B$5,标准坦克设计!$B$24:$U$30,MATCH("对"&amp;LEFT($C$5,2)&amp;"输出",标准坦克设计!$B$23:$U$23,0)))*(VLOOKUP($B93,INDIRECT($B$5&amp;"生成成长"),3))*(VLOOKUP($B$5,标准坦克设计!$B$14:$K$20,9)/30))</f>
        <v>16.203958439145406</v>
      </c>
      <c r="CT93" s="173">
        <f ca="1">(VLOOKUP(CT$72,INDIRECT($C$5&amp;"生成成长"),2))/((VLOOKUP($B93,INDIRECT($B$5&amp;"生成成长"),4))/(VLOOKUP(CT$72,INDIRECT($C$5&amp;"生成成长"),5))*(VLOOKUP($B$5,标准坦克设计!$B$24:$U$30,MATCH("对"&amp;LEFT($C$5,2)&amp;"输出",标准坦克设计!$B$23:$U$23,0)))*(VLOOKUP($B93,INDIRECT($B$5&amp;"生成成长"),3))*(VLOOKUP($B$5,标准坦克设计!$B$14:$K$20,9)/30))</f>
        <v>17.469877323141819</v>
      </c>
      <c r="CU93" s="173">
        <f ca="1">(VLOOKUP(CU$72,INDIRECT($C$5&amp;"生成成长"),2))/((VLOOKUP($B93,INDIRECT($B$5&amp;"生成成长"),4))/(VLOOKUP(CU$72,INDIRECT($C$5&amp;"生成成长"),5))*(VLOOKUP($B$5,标准坦克设计!$B$24:$U$30,MATCH("对"&amp;LEFT($C$5,2)&amp;"输出",标准坦克设计!$B$23:$U$23,0)))*(VLOOKUP($B93,INDIRECT($B$5&amp;"生成成长"),3))*(VLOOKUP($B$5,标准坦克设计!$B$14:$K$20,9)/30))</f>
        <v>18.783403413032122</v>
      </c>
      <c r="CV93" s="173">
        <f ca="1">(VLOOKUP(CV$72,INDIRECT($C$5&amp;"生成成长"),2))/((VLOOKUP($B93,INDIRECT($B$5&amp;"生成成长"),4))/(VLOOKUP(CV$72,INDIRECT($C$5&amp;"生成成长"),5))*(VLOOKUP($B$5,标准坦克设计!$B$24:$U$30,MATCH("对"&amp;LEFT($C$5,2)&amp;"输出",标准坦克设计!$B$23:$U$23,0)))*(VLOOKUP($B93,INDIRECT($B$5&amp;"生成成长"),3))*(VLOOKUP($B$5,标准坦克设计!$B$14:$K$20,9)/30))</f>
        <v>20.144536708816293</v>
      </c>
      <c r="CW93" s="173">
        <f ca="1">(VLOOKUP(CW$72,INDIRECT($C$5&amp;"生成成长"),2))/((VLOOKUP($B93,INDIRECT($B$5&amp;"生成成长"),4))/(VLOOKUP(CW$72,INDIRECT($C$5&amp;"生成成长"),5))*(VLOOKUP($B$5,标准坦克设计!$B$24:$U$30,MATCH("对"&amp;LEFT($C$5,2)&amp;"输出",标准坦克设计!$B$23:$U$23,0)))*(VLOOKUP($B93,INDIRECT($B$5&amp;"生成成长"),3))*(VLOOKUP($B$5,标准坦克设计!$B$14:$K$20,9)/30))</f>
        <v>21.553277210494358</v>
      </c>
      <c r="CX93" s="173">
        <f ca="1">(VLOOKUP(CX$72,INDIRECT($C$5&amp;"生成成长"),2))/((VLOOKUP($B93,INDIRECT($B$5&amp;"生成成长"),4))/(VLOOKUP(CX$72,INDIRECT($C$5&amp;"生成成长"),5))*(VLOOKUP($B$5,标准坦克设计!$B$24:$U$30,MATCH("对"&amp;LEFT($C$5,2)&amp;"输出",标准坦克设计!$B$23:$U$23,0)))*(VLOOKUP($B93,INDIRECT($B$5&amp;"生成成长"),3))*(VLOOKUP($B$5,标准坦克设计!$B$14:$K$20,9)/30))</f>
        <v>23.009624918066301</v>
      </c>
      <c r="CY93" s="173">
        <f ca="1">(VLOOKUP(CY$72,INDIRECT($C$5&amp;"生成成长"),2))/((VLOOKUP($B93,INDIRECT($B$5&amp;"生成成长"),4))/(VLOOKUP(CY$72,INDIRECT($C$5&amp;"生成成长"),5))*(VLOOKUP($B$5,标准坦克设计!$B$24:$U$30,MATCH("对"&amp;LEFT($C$5,2)&amp;"输出",标准坦克设计!$B$23:$U$23,0)))*(VLOOKUP($B93,INDIRECT($B$5&amp;"生成成长"),3))*(VLOOKUP($B$5,标准坦克设计!$B$14:$K$20,9)/30))</f>
        <v>24.51357983153213</v>
      </c>
      <c r="CZ93" s="173">
        <f ca="1">(VLOOKUP(CZ$72,INDIRECT($C$5&amp;"生成成长"),2))/((VLOOKUP($B93,INDIRECT($B$5&amp;"生成成长"),4))/(VLOOKUP(CZ$72,INDIRECT($C$5&amp;"生成成长"),5))*(VLOOKUP($B$5,标准坦克设计!$B$24:$U$30,MATCH("对"&amp;LEFT($C$5,2)&amp;"输出",标准坦克设计!$B$23:$U$23,0)))*(VLOOKUP($B93,INDIRECT($B$5&amp;"生成成长"),3))*(VLOOKUP($B$5,标准坦克设计!$B$14:$K$20,9)/30))</f>
        <v>26.065141950891839</v>
      </c>
      <c r="DA93" s="173">
        <f ca="1">(VLOOKUP(DA$72,INDIRECT($C$5&amp;"生成成长"),2))/((VLOOKUP($B93,INDIRECT($B$5&amp;"生成成长"),4))/(VLOOKUP(DA$72,INDIRECT($C$5&amp;"生成成长"),5))*(VLOOKUP($B$5,标准坦克设计!$B$24:$U$30,MATCH("对"&amp;LEFT($C$5,2)&amp;"输出",标准坦克设计!$B$23:$U$23,0)))*(VLOOKUP($B93,INDIRECT($B$5&amp;"生成成长"),3))*(VLOOKUP($B$5,标准坦克设计!$B$14:$K$20,9)/30))</f>
        <v>27.664311276145426</v>
      </c>
      <c r="DB93" s="173">
        <f ca="1">(VLOOKUP(DB$72,INDIRECT($C$5&amp;"生成成长"),2))/((VLOOKUP($B93,INDIRECT($B$5&amp;"生成成长"),4))/(VLOOKUP(DB$72,INDIRECT($C$5&amp;"生成成长"),5))*(VLOOKUP($B$5,标准坦克设计!$B$24:$U$30,MATCH("对"&amp;LEFT($C$5,2)&amp;"输出",标准坦克设计!$B$23:$U$23,0)))*(VLOOKUP($B93,INDIRECT($B$5&amp;"生成成长"),3))*(VLOOKUP($B$5,标准坦克设计!$B$14:$K$20,9)/30))</f>
        <v>29.3110878072929</v>
      </c>
      <c r="DC93" s="173">
        <f ca="1">(VLOOKUP(DC$72,INDIRECT($C$5&amp;"生成成长"),2))/((VLOOKUP($B93,INDIRECT($B$5&amp;"生成成长"),4))/(VLOOKUP(DC$72,INDIRECT($C$5&amp;"生成成长"),5))*(VLOOKUP($B$5,标准坦克设计!$B$24:$U$30,MATCH("对"&amp;LEFT($C$5,2)&amp;"输出",标准坦克设计!$B$23:$U$23,0)))*(VLOOKUP($B93,INDIRECT($B$5&amp;"生成成长"),3))*(VLOOKUP($B$5,标准坦克设计!$B$14:$K$20,9)/30))</f>
        <v>31.161867117415397</v>
      </c>
      <c r="DD93" s="173">
        <f ca="1">(VLOOKUP(DD$72,INDIRECT($C$5&amp;"生成成长"),2))/((VLOOKUP($B93,INDIRECT($B$5&amp;"生成成长"),4))/(VLOOKUP(DD$72,INDIRECT($C$5&amp;"生成成长"),5))*(VLOOKUP($B$5,标准坦克设计!$B$24:$U$30,MATCH("对"&amp;LEFT($C$5,2)&amp;"输出",标准坦克设计!$B$23:$U$23,0)))*(VLOOKUP($B93,INDIRECT($B$5&amp;"生成成长"),3))*(VLOOKUP($B$5,标准坦克设计!$B$14:$K$20,9)/30))</f>
        <v>33.069302937031438</v>
      </c>
      <c r="DE93" s="173">
        <f ca="1">(VLOOKUP(DE$72,INDIRECT($C$5&amp;"生成成长"),2))/((VLOOKUP($B93,INDIRECT($B$5&amp;"生成成长"),4))/(VLOOKUP(DE$72,INDIRECT($C$5&amp;"生成成长"),5))*(VLOOKUP($B$5,标准坦克设计!$B$24:$U$30,MATCH("对"&amp;LEFT($C$5,2)&amp;"输出",标准坦克设计!$B$23:$U$23,0)))*(VLOOKUP($B93,INDIRECT($B$5&amp;"生成成长"),3))*(VLOOKUP($B$5,标准坦克设计!$B$14:$K$20,9)/30))</f>
        <v>35.033395266141028</v>
      </c>
      <c r="DF93" s="173">
        <f ca="1">(VLOOKUP(DF$72,INDIRECT($C$5&amp;"生成成长"),2))/((VLOOKUP($B93,INDIRECT($B$5&amp;"生成成长"),4))/(VLOOKUP(DF$72,INDIRECT($C$5&amp;"生成成长"),5))*(VLOOKUP($B$5,标准坦克设计!$B$24:$U$30,MATCH("对"&amp;LEFT($C$5,2)&amp;"输出",标准坦克设计!$B$23:$U$23,0)))*(VLOOKUP($B93,INDIRECT($B$5&amp;"生成成长"),3))*(VLOOKUP($B$5,标准坦克设计!$B$14:$K$20,9)/30))</f>
        <v>37.054144104744161</v>
      </c>
      <c r="DG93" s="173">
        <f ca="1">(VLOOKUP(DG$72,INDIRECT($C$5&amp;"生成成长"),2))/((VLOOKUP($B93,INDIRECT($B$5&amp;"生成成长"),4))/(VLOOKUP(DG$72,INDIRECT($C$5&amp;"生成成长"),5))*(VLOOKUP($B$5,标准坦克设计!$B$24:$U$30,MATCH("对"&amp;LEFT($C$5,2)&amp;"输出",标准坦克设计!$B$23:$U$23,0)))*(VLOOKUP($B93,INDIRECT($B$5&amp;"生成成长"),3))*(VLOOKUP($B$5,标准坦克设计!$B$14:$K$20,9)/30))</f>
        <v>39.131549452840844</v>
      </c>
      <c r="DH93" s="173">
        <f ca="1">(VLOOKUP(DH$72,INDIRECT($C$5&amp;"生成成长"),2))/((VLOOKUP($B93,INDIRECT($B$5&amp;"生成成长"),4))/(VLOOKUP(DH$72,INDIRECT($C$5&amp;"生成成长"),5))*(VLOOKUP($B$5,标准坦克设计!$B$24:$U$30,MATCH("对"&amp;LEFT($C$5,2)&amp;"输出",标准坦克设计!$B$23:$U$23,0)))*(VLOOKUP($B93,INDIRECT($B$5&amp;"生成成长"),3))*(VLOOKUP($B$5,标准坦克设计!$B$14:$K$20,9)/30))</f>
        <v>41.265611310431069</v>
      </c>
      <c r="DI93" s="173">
        <f ca="1">(VLOOKUP(DI$72,INDIRECT($C$5&amp;"生成成长"),2))/((VLOOKUP($B93,INDIRECT($B$5&amp;"生成成长"),4))/(VLOOKUP(DI$72,INDIRECT($C$5&amp;"生成成长"),5))*(VLOOKUP($B$5,标准坦克设计!$B$24:$U$30,MATCH("对"&amp;LEFT($C$5,2)&amp;"输出",标准坦克设计!$B$23:$U$23,0)))*(VLOOKUP($B93,INDIRECT($B$5&amp;"生成成长"),3))*(VLOOKUP($B$5,标准坦克设计!$B$14:$K$20,9)/30))</f>
        <v>43.456329677514844</v>
      </c>
      <c r="DJ93" s="173">
        <f ca="1">(VLOOKUP(DJ$72,INDIRECT($C$5&amp;"生成成长"),2))/((VLOOKUP($B93,INDIRECT($B$5&amp;"生成成长"),4))/(VLOOKUP(DJ$72,INDIRECT($C$5&amp;"生成成长"),5))*(VLOOKUP($B$5,标准坦克设计!$B$24:$U$30,MATCH("对"&amp;LEFT($C$5,2)&amp;"输出",标准坦克设计!$B$23:$U$23,0)))*(VLOOKUP($B93,INDIRECT($B$5&amp;"生成成长"),3))*(VLOOKUP($B$5,标准坦克设计!$B$14:$K$20,9)/30))</f>
        <v>4.3674693307854549</v>
      </c>
      <c r="DK93" s="173">
        <f ca="1">(VLOOKUP(DK$72,INDIRECT($C$5&amp;"生成成长"),2))/((VLOOKUP($B93,INDIRECT($B$5&amp;"生成成长"),4))/(VLOOKUP(DK$72,INDIRECT($C$5&amp;"生成成长"),5))*(VLOOKUP($B$5,标准坦克设计!$B$24:$U$30,MATCH("对"&amp;LEFT($C$5,2)&amp;"输出",标准坦克设计!$B$23:$U$23,0)))*(VLOOKUP($B93,INDIRECT($B$5&amp;"生成成长"),3))*(VLOOKUP($B$5,标准坦克设计!$B$14:$K$20,9)/30))</f>
        <v>4.9110177187391599</v>
      </c>
      <c r="DL93" s="173">
        <f ca="1">(VLOOKUP(DL$72,INDIRECT($C$5&amp;"生成成长"),2))/((VLOOKUP($B93,INDIRECT($B$5&amp;"生成成长"),4))/(VLOOKUP(DL$72,INDIRECT($C$5&amp;"生成成长"),5))*(VLOOKUP($B$5,标准坦克设计!$B$24:$U$30,MATCH("对"&amp;LEFT($C$5,2)&amp;"输出",标准坦克设计!$B$23:$U$23,0)))*(VLOOKUP($B93,INDIRECT($B$5&amp;"生成成长"),3))*(VLOOKUP($B$5,标准坦克设计!$B$14:$K$20,9)/30))</f>
        <v>5.486435393282985</v>
      </c>
      <c r="DM93" s="173">
        <f ca="1">(VLOOKUP(DM$72,INDIRECT($C$5&amp;"生成成长"),2))/((VLOOKUP($B93,INDIRECT($B$5&amp;"生成成长"),4))/(VLOOKUP(DM$72,INDIRECT($C$5&amp;"生成成长"),5))*(VLOOKUP($B$5,标准坦克设计!$B$24:$U$30,MATCH("对"&amp;LEFT($C$5,2)&amp;"输出",标准坦克设计!$B$23:$U$23,0)))*(VLOOKUP($B93,INDIRECT($B$5&amp;"生成成长"),3))*(VLOOKUP($B$5,标准坦克设计!$B$14:$K$20,9)/30))</f>
        <v>6.0937223544169292</v>
      </c>
      <c r="DN93" s="173">
        <f ca="1">(VLOOKUP(DN$72,INDIRECT($C$5&amp;"生成成长"),2))/((VLOOKUP($B93,INDIRECT($B$5&amp;"生成成长"),4))/(VLOOKUP(DN$72,INDIRECT($C$5&amp;"生成成长"),5))*(VLOOKUP($B$5,标准坦克设计!$B$24:$U$30,MATCH("对"&amp;LEFT($C$5,2)&amp;"输出",标准坦克设计!$B$23:$U$23,0)))*(VLOOKUP($B93,INDIRECT($B$5&amp;"生成成长"),3))*(VLOOKUP($B$5,标准坦克设计!$B$14:$K$20,9)/30))</f>
        <v>6.7328786021409943</v>
      </c>
      <c r="DO93" s="173">
        <f ca="1">(VLOOKUP(DO$72,INDIRECT($C$5&amp;"生成成长"),2))/((VLOOKUP($B93,INDIRECT($B$5&amp;"生成成长"),4))/(VLOOKUP(DO$72,INDIRECT($C$5&amp;"生成成长"),5))*(VLOOKUP($B$5,标准坦克设计!$B$24:$U$30,MATCH("对"&amp;LEFT($C$5,2)&amp;"输出",标准坦克设计!$B$23:$U$23,0)))*(VLOOKUP($B93,INDIRECT($B$5&amp;"生成成长"),3))*(VLOOKUP($B$5,标准坦克设计!$B$14:$K$20,9)/30))</f>
        <v>7.4039041364551759</v>
      </c>
      <c r="DP93" s="173">
        <f ca="1">(VLOOKUP(DP$72,INDIRECT($C$5&amp;"生成成长"),2))/((VLOOKUP($B93,INDIRECT($B$5&amp;"生成成长"),4))/(VLOOKUP(DP$72,INDIRECT($C$5&amp;"生成成长"),5))*(VLOOKUP($B$5,标准坦克设计!$B$24:$U$30,MATCH("对"&amp;LEFT($C$5,2)&amp;"输出",标准坦克设计!$B$23:$U$23,0)))*(VLOOKUP($B93,INDIRECT($B$5&amp;"生成成长"),3))*(VLOOKUP($B$5,标准坦克设计!$B$14:$K$20,9)/30))</f>
        <v>8.1067989573594801</v>
      </c>
      <c r="DQ93" s="173">
        <f ca="1">(VLOOKUP(DQ$72,INDIRECT($C$5&amp;"生成成长"),2))/((VLOOKUP($B93,INDIRECT($B$5&amp;"生成成长"),4))/(VLOOKUP(DQ$72,INDIRECT($C$5&amp;"生成成长"),5))*(VLOOKUP($B$5,标准坦克设计!$B$24:$U$30,MATCH("对"&amp;LEFT($C$5,2)&amp;"输出",标准坦克设计!$B$23:$U$23,0)))*(VLOOKUP($B93,INDIRECT($B$5&amp;"生成成长"),3))*(VLOOKUP($B$5,标准坦克设计!$B$14:$K$20,9)/30))</f>
        <v>8.8415630648539025</v>
      </c>
      <c r="DR93" s="173">
        <f ca="1">(VLOOKUP(DR$72,INDIRECT($C$5&amp;"生成成长"),2))/((VLOOKUP($B93,INDIRECT($B$5&amp;"生成成长"),4))/(VLOOKUP(DR$72,INDIRECT($C$5&amp;"生成成长"),5))*(VLOOKUP($B$5,标准坦克设计!$B$24:$U$30,MATCH("对"&amp;LEFT($C$5,2)&amp;"输出",标准坦克设计!$B$23:$U$23,0)))*(VLOOKUP($B93,INDIRECT($B$5&amp;"生成成长"),3))*(VLOOKUP($B$5,标准坦克设计!$B$14:$K$20,9)/30))</f>
        <v>9.6081964589384459</v>
      </c>
      <c r="DS93" s="173">
        <f ca="1">(VLOOKUP(DS$72,INDIRECT($C$5&amp;"生成成长"),2))/((VLOOKUP($B93,INDIRECT($B$5&amp;"生成成长"),4))/(VLOOKUP(DS$72,INDIRECT($C$5&amp;"生成成长"),5))*(VLOOKUP($B$5,标准坦克设计!$B$24:$U$30,MATCH("对"&amp;LEFT($C$5,2)&amp;"输出",标准坦克设计!$B$23:$U$23,0)))*(VLOOKUP($B93,INDIRECT($B$5&amp;"生成成长"),3))*(VLOOKUP($B$5,标准坦克设计!$B$14:$K$20,9)/30))</f>
        <v>10.406699139613107</v>
      </c>
      <c r="DT93" s="173">
        <f ca="1">(VLOOKUP(DT$72,INDIRECT($C$5&amp;"生成成长"),2))/((VLOOKUP($B93,INDIRECT($B$5&amp;"生成成长"),4))/(VLOOKUP(DT$72,INDIRECT($C$5&amp;"生成成长"),5))*(VLOOKUP($B$5,标准坦克设计!$B$24:$U$30,MATCH("对"&amp;LEFT($C$5,2)&amp;"输出",标准坦克设计!$B$23:$U$23,0)))*(VLOOKUP($B93,INDIRECT($B$5&amp;"生成成长"),3))*(VLOOKUP($B$5,标准坦克设计!$B$14:$K$20,9)/30))</f>
        <v>11.425926138523039</v>
      </c>
      <c r="DU93" s="173">
        <f ca="1">(VLOOKUP(DU$72,INDIRECT($C$5&amp;"生成成长"),2))/((VLOOKUP($B93,INDIRECT($B$5&amp;"生成成长"),4))/(VLOOKUP(DU$72,INDIRECT($C$5&amp;"生成成长"),5))*(VLOOKUP($B$5,标准坦克设计!$B$24:$U$30,MATCH("对"&amp;LEFT($C$5,2)&amp;"输出",标准坦克设计!$B$23:$U$23,0)))*(VLOOKUP($B93,INDIRECT($B$5&amp;"生成成长"),3))*(VLOOKUP($B$5,标准坦克设计!$B$14:$K$20,9)/30))</f>
        <v>12.492760343326857</v>
      </c>
      <c r="DV93" s="173">
        <f ca="1">(VLOOKUP(DV$72,INDIRECT($C$5&amp;"生成成长"),2))/((VLOOKUP($B93,INDIRECT($B$5&amp;"生成成长"),4))/(VLOOKUP(DV$72,INDIRECT($C$5&amp;"生成成长"),5))*(VLOOKUP($B$5,标准坦克设计!$B$24:$U$30,MATCH("对"&amp;LEFT($C$5,2)&amp;"输出",标准坦克设计!$B$23:$U$23,0)))*(VLOOKUP($B93,INDIRECT($B$5&amp;"生成成长"),3))*(VLOOKUP($B$5,标准坦克设计!$B$14:$K$20,9)/30))</f>
        <v>13.607201754024553</v>
      </c>
      <c r="DW93" s="173">
        <f ca="1">(VLOOKUP(DW$72,INDIRECT($C$5&amp;"生成成长"),2))/((VLOOKUP($B93,INDIRECT($B$5&amp;"生成成长"),4))/(VLOOKUP(DW$72,INDIRECT($C$5&amp;"生成成长"),5))*(VLOOKUP($B$5,标准坦克设计!$B$24:$U$30,MATCH("对"&amp;LEFT($C$5,2)&amp;"输出",标准坦克设计!$B$23:$U$23,0)))*(VLOOKUP($B93,INDIRECT($B$5&amp;"生成成长"),3))*(VLOOKUP($B$5,标准坦克设计!$B$14:$K$20,9)/30))</f>
        <v>14.769250370616136</v>
      </c>
      <c r="DX93" s="173">
        <f ca="1">(VLOOKUP(DX$72,INDIRECT($C$5&amp;"生成成长"),2))/((VLOOKUP($B93,INDIRECT($B$5&amp;"生成成长"),4))/(VLOOKUP(DX$72,INDIRECT($C$5&amp;"生成成长"),5))*(VLOOKUP($B$5,标准坦克设计!$B$24:$U$30,MATCH("对"&amp;LEFT($C$5,2)&amp;"输出",标准坦克设计!$B$23:$U$23,0)))*(VLOOKUP($B93,INDIRECT($B$5&amp;"生成成长"),3))*(VLOOKUP($B$5,标准坦克设计!$B$14:$K$20,9)/30))</f>
        <v>15.978906193101597</v>
      </c>
      <c r="DY93" s="173">
        <f ca="1">(VLOOKUP(DY$72,INDIRECT($C$5&amp;"生成成长"),2))/((VLOOKUP($B93,INDIRECT($B$5&amp;"生成成长"),4))/(VLOOKUP(DY$72,INDIRECT($C$5&amp;"生成成长"),5))*(VLOOKUP($B$5,标准坦克设计!$B$24:$U$30,MATCH("对"&amp;LEFT($C$5,2)&amp;"输出",标准坦克设计!$B$23:$U$23,0)))*(VLOOKUP($B93,INDIRECT($B$5&amp;"生成成长"),3))*(VLOOKUP($B$5,标准坦克设计!$B$14:$K$20,9)/30))</f>
        <v>7.1766879265071024</v>
      </c>
      <c r="DZ93" s="173">
        <f ca="1">(VLOOKUP(DZ$72,INDIRECT($C$5&amp;"生成成长"),2))/((VLOOKUP($B93,INDIRECT($B$5&amp;"生成成长"),4))/(VLOOKUP(DZ$72,INDIRECT($C$5&amp;"生成成长"),5))*(VLOOKUP($B$5,标准坦克设计!$B$24:$U$30,MATCH("对"&amp;LEFT($C$5,2)&amp;"输出",标准坦克设计!$B$23:$U$23,0)))*(VLOOKUP($B93,INDIRECT($B$5&amp;"生成成长"),3))*(VLOOKUP($B$5,标准坦克设计!$B$14:$K$20,9)/30))</f>
        <v>7.9478459723914767</v>
      </c>
      <c r="EA93" s="173">
        <f ca="1">(VLOOKUP(EA$72,INDIRECT($C$5&amp;"生成成长"),2))/((VLOOKUP($B93,INDIRECT($B$5&amp;"生成成长"),4))/(VLOOKUP(EA$72,INDIRECT($C$5&amp;"生成成长"),5))*(VLOOKUP($B$5,标准坦克设计!$B$24:$U$30,MATCH("对"&amp;LEFT($C$5,2)&amp;"输出",标准坦克设计!$B$23:$U$23,0)))*(VLOOKUP($B93,INDIRECT($B$5&amp;"生成成长"),3))*(VLOOKUP($B$5,标准坦克设计!$B$14:$K$20,9)/30))</f>
        <v>8.758348816535257</v>
      </c>
      <c r="EB93" s="173">
        <f ca="1">(VLOOKUP(EB$72,INDIRECT($C$5&amp;"生成成长"),2))/((VLOOKUP($B93,INDIRECT($B$5&amp;"生成成长"),4))/(VLOOKUP(EB$72,INDIRECT($C$5&amp;"生成成长"),5))*(VLOOKUP($B$5,标准坦克设计!$B$24:$U$30,MATCH("对"&amp;LEFT($C$5,2)&amp;"输出",标准坦克设计!$B$23:$U$23,0)))*(VLOOKUP($B93,INDIRECT($B$5&amp;"生成成长"),3))*(VLOOKUP($B$5,标准坦克设计!$B$14:$K$20,9)/30))</f>
        <v>9.6081964589384459</v>
      </c>
      <c r="EC93" s="173">
        <f ca="1">(VLOOKUP(EC$72,INDIRECT($C$5&amp;"生成成长"),2))/((VLOOKUP($B93,INDIRECT($B$5&amp;"生成成长"),4))/(VLOOKUP(EC$72,INDIRECT($C$5&amp;"生成成长"),5))*(VLOOKUP($B$5,标准坦克设计!$B$24:$U$30,MATCH("对"&amp;LEFT($C$5,2)&amp;"输出",标准坦克设计!$B$23:$U$23,0)))*(VLOOKUP($B93,INDIRECT($B$5&amp;"生成成长"),3))*(VLOOKUP($B$5,标准坦克设计!$B$14:$K$20,9)/30))</f>
        <v>10.49738889960104</v>
      </c>
      <c r="ED93" s="173">
        <f ca="1">(VLOOKUP(ED$72,INDIRECT($C$5&amp;"生成成长"),2))/((VLOOKUP($B93,INDIRECT($B$5&amp;"生成成长"),4))/(VLOOKUP(ED$72,INDIRECT($C$5&amp;"生成成长"),5))*(VLOOKUP($B$5,标准坦克设计!$B$24:$U$30,MATCH("对"&amp;LEFT($C$5,2)&amp;"输出",标准坦克设计!$B$23:$U$23,0)))*(VLOOKUP($B93,INDIRECT($B$5&amp;"生成成长"),3))*(VLOOKUP($B$5,标准坦克设计!$B$14:$K$20,9)/30))</f>
        <v>11.425926138523039</v>
      </c>
      <c r="EE93" s="173">
        <f ca="1">(VLOOKUP(EE$72,INDIRECT($C$5&amp;"生成成长"),2))/((VLOOKUP($B93,INDIRECT($B$5&amp;"生成成长"),4))/(VLOOKUP(EE$72,INDIRECT($C$5&amp;"生成成长"),5))*(VLOOKUP($B$5,标准坦克设计!$B$24:$U$30,MATCH("对"&amp;LEFT($C$5,2)&amp;"输出",标准坦克设计!$B$23:$U$23,0)))*(VLOOKUP($B93,INDIRECT($B$5&amp;"生成成长"),3))*(VLOOKUP($B$5,标准坦克设计!$B$14:$K$20,9)/30))</f>
        <v>12.393808175704448</v>
      </c>
      <c r="EF93" s="173">
        <f ca="1">(VLOOKUP(EF$72,INDIRECT($C$5&amp;"生成成长"),2))/((VLOOKUP($B93,INDIRECT($B$5&amp;"生成成长"),4))/(VLOOKUP(EF$72,INDIRECT($C$5&amp;"生成成长"),5))*(VLOOKUP($B$5,标准坦克设计!$B$24:$U$30,MATCH("对"&amp;LEFT($C$5,2)&amp;"输出",标准坦克设计!$B$23:$U$23,0)))*(VLOOKUP($B93,INDIRECT($B$5&amp;"生成成长"),3))*(VLOOKUP($B$5,标准坦克设计!$B$14:$K$20,9)/30))</f>
        <v>13.401035011145263</v>
      </c>
      <c r="EG93" s="173">
        <f ca="1">(VLOOKUP(EG$72,INDIRECT($C$5&amp;"生成成长"),2))/((VLOOKUP($B93,INDIRECT($B$5&amp;"生成成长"),4))/(VLOOKUP(EG$72,INDIRECT($C$5&amp;"生成成长"),5))*(VLOOKUP($B$5,标准坦克设计!$B$24:$U$30,MATCH("对"&amp;LEFT($C$5,2)&amp;"输出",标准坦克设计!$B$23:$U$23,0)))*(VLOOKUP($B93,INDIRECT($B$5&amp;"生成成长"),3))*(VLOOKUP($B$5,标准坦克设计!$B$14:$K$20,9)/30))</f>
        <v>14.447606644845482</v>
      </c>
      <c r="EH93" s="173">
        <f ca="1">(VLOOKUP(EH$72,INDIRECT($C$5&amp;"生成成长"),2))/((VLOOKUP($B93,INDIRECT($B$5&amp;"生成成长"),4))/(VLOOKUP(EH$72,INDIRECT($C$5&amp;"生成成长"),5))*(VLOOKUP($B$5,标准坦克设计!$B$24:$U$30,MATCH("对"&amp;LEFT($C$5,2)&amp;"输出",标准坦克设计!$B$23:$U$23,0)))*(VLOOKUP($B93,INDIRECT($B$5&amp;"生成成长"),3))*(VLOOKUP($B$5,标准坦克设计!$B$14:$K$20,9)/30))</f>
        <v>15.533523076805114</v>
      </c>
      <c r="EI93" s="173">
        <f ca="1">(VLOOKUP(EI$72,INDIRECT($C$5&amp;"生成成长"),2))/((VLOOKUP($B93,INDIRECT($B$5&amp;"生成成长"),4))/(VLOOKUP(EI$72,INDIRECT($C$5&amp;"生成成长"),5))*(VLOOKUP($B$5,标准坦克设计!$B$24:$U$30,MATCH("对"&amp;LEFT($C$5,2)&amp;"输出",标准坦克设计!$B$23:$U$23,0)))*(VLOOKUP($B93,INDIRECT($B$5&amp;"生成成长"),3))*(VLOOKUP($B$5,标准坦克设计!$B$14:$K$20,9)/30))</f>
        <v>16.658784307024149</v>
      </c>
      <c r="EJ93" s="173">
        <f ca="1">(VLOOKUP(EJ$72,INDIRECT($C$5&amp;"生成成长"),2))/((VLOOKUP($B93,INDIRECT($B$5&amp;"生成成长"),4))/(VLOOKUP(EJ$72,INDIRECT($C$5&amp;"生成成长"),5))*(VLOOKUP($B$5,标准坦克设计!$B$24:$U$30,MATCH("对"&amp;LEFT($C$5,2)&amp;"输出",标准坦克设计!$B$23:$U$23,0)))*(VLOOKUP($B93,INDIRECT($B$5&amp;"生成成长"),3))*(VLOOKUP($B$5,标准坦克设计!$B$14:$K$20,9)/30))</f>
        <v>17.823390335502591</v>
      </c>
      <c r="EK93" s="173">
        <f ca="1">(VLOOKUP(EK$72,INDIRECT($C$5&amp;"生成成长"),2))/((VLOOKUP($B93,INDIRECT($B$5&amp;"生成成长"),4))/(VLOOKUP(EK$72,INDIRECT($C$5&amp;"生成成长"),5))*(VLOOKUP($B$5,标准坦克设计!$B$24:$U$30,MATCH("对"&amp;LEFT($C$5,2)&amp;"输出",标准坦克设计!$B$23:$U$23,0)))*(VLOOKUP($B93,INDIRECT($B$5&amp;"生成成长"),3))*(VLOOKUP($B$5,标准坦克设计!$B$14:$K$20,9)/30))</f>
        <v>19.272852703379137</v>
      </c>
      <c r="EL93" s="173">
        <f ca="1">(VLOOKUP(EL$72,INDIRECT($C$5&amp;"生成成长"),2))/((VLOOKUP($B93,INDIRECT($B$5&amp;"生成成长"),4))/(VLOOKUP(EL$72,INDIRECT($C$5&amp;"生成成长"),5))*(VLOOKUP($B$5,标准坦克设计!$B$24:$U$30,MATCH("对"&amp;LEFT($C$5,2)&amp;"输出",标准坦克设计!$B$23:$U$23,0)))*(VLOOKUP($B93,INDIRECT($B$5&amp;"生成成长"),3))*(VLOOKUP($B$5,标准坦克设计!$B$14:$K$20,9)/30))</f>
        <v>20.778971580749232</v>
      </c>
      <c r="EM93" s="173">
        <f ca="1">(VLOOKUP(EM$72,INDIRECT($C$5&amp;"生成成长"),2))/((VLOOKUP($B93,INDIRECT($B$5&amp;"生成成长"),4))/(VLOOKUP(EM$72,INDIRECT($C$5&amp;"生成成长"),5))*(VLOOKUP($B$5,标准坦克设计!$B$24:$U$30,MATCH("对"&amp;LEFT($C$5,2)&amp;"输出",标准坦克设计!$B$23:$U$23,0)))*(VLOOKUP($B93,INDIRECT($B$5&amp;"生成成长"),3))*(VLOOKUP($B$5,标准坦克设计!$B$14:$K$20,9)/30))</f>
        <v>22.341746967612867</v>
      </c>
      <c r="EN93" s="173">
        <f ca="1">(VLOOKUP(EN$72,INDIRECT($C$5&amp;"生成成长"),2))/((VLOOKUP($B93,INDIRECT($B$5&amp;"生成成长"),4))/(VLOOKUP(EN$72,INDIRECT($C$5&amp;"生成成长"),5))*(VLOOKUP($B$5,标准坦克设计!$B$24:$U$30,MATCH("对"&amp;LEFT($C$5,2)&amp;"输出",标准坦克设计!$B$23:$U$23,0)))*(VLOOKUP($B93,INDIRECT($B$5&amp;"生成成长"),3))*(VLOOKUP($B$5,标准坦克设计!$B$14:$K$20,9)/30))</f>
        <v>23.961178863970055</v>
      </c>
      <c r="EO93" s="173">
        <f ca="1">(VLOOKUP(EO$72,INDIRECT($C$5&amp;"生成成长"),2))/((VLOOKUP($B93,INDIRECT($B$5&amp;"生成成长"),4))/(VLOOKUP(EO$72,INDIRECT($C$5&amp;"生成成长"),5))*(VLOOKUP($B$5,标准坦克设计!$B$24:$U$30,MATCH("对"&amp;LEFT($C$5,2)&amp;"输出",标准坦克设计!$B$23:$U$23,0)))*(VLOOKUP($B93,INDIRECT($B$5&amp;"生成成长"),3))*(VLOOKUP($B$5,标准坦克设计!$B$14:$K$20,9)/30))</f>
        <v>25.637267269820786</v>
      </c>
      <c r="EP93" s="173">
        <f ca="1">(VLOOKUP(EP$72,INDIRECT($C$5&amp;"生成成长"),2))/((VLOOKUP($B93,INDIRECT($B$5&amp;"生成成长"),4))/(VLOOKUP(EP$72,INDIRECT($C$5&amp;"生成成长"),5))*(VLOOKUP($B$5,标准坦克设计!$B$24:$U$30,MATCH("对"&amp;LEFT($C$5,2)&amp;"输出",标准坦克设计!$B$23:$U$23,0)))*(VLOOKUP($B93,INDIRECT($B$5&amp;"生成成长"),3))*(VLOOKUP($B$5,标准坦克设计!$B$14:$K$20,9)/30))</f>
        <v>27.370012185165063</v>
      </c>
      <c r="EQ93" s="173">
        <f ca="1">(VLOOKUP(EQ$72,INDIRECT($C$5&amp;"生成成长"),2))/((VLOOKUP($B93,INDIRECT($B$5&amp;"生成成长"),4))/(VLOOKUP(EQ$72,INDIRECT($C$5&amp;"生成成长"),5))*(VLOOKUP($B$5,标准坦克设计!$B$24:$U$30,MATCH("对"&amp;LEFT($C$5,2)&amp;"输出",标准坦克设计!$B$23:$U$23,0)))*(VLOOKUP($B93,INDIRECT($B$5&amp;"生成成长"),3))*(VLOOKUP($B$5,标准坦克设计!$B$14:$K$20,9)/30))</f>
        <v>12.099312360732789</v>
      </c>
      <c r="ER93" s="173">
        <f ca="1">(VLOOKUP(ER$72,INDIRECT($C$5&amp;"生成成长"),2))/((VLOOKUP($B93,INDIRECT($B$5&amp;"生成成长"),4))/(VLOOKUP(ER$72,INDIRECT($C$5&amp;"生成成长"),5))*(VLOOKUP($B$5,标准坦克设计!$B$24:$U$30,MATCH("对"&amp;LEFT($C$5,2)&amp;"输出",标准坦克设计!$B$23:$U$23,0)))*(VLOOKUP($B93,INDIRECT($B$5&amp;"生成成长"),3))*(VLOOKUP($B$5,标准坦克设计!$B$14:$K$20,9)/30))</f>
        <v>13.196442060196347</v>
      </c>
      <c r="ES93" s="173">
        <f ca="1">(VLOOKUP(ES$72,INDIRECT($C$5&amp;"生成成长"),2))/((VLOOKUP($B93,INDIRECT($B$5&amp;"生成成长"),4))/(VLOOKUP(ES$72,INDIRECT($C$5&amp;"生成成长"),5))*(VLOOKUP($B$5,标准坦克设计!$B$24:$U$30,MATCH("对"&amp;LEFT($C$5,2)&amp;"输出",标准坦克设计!$B$23:$U$23,0)))*(VLOOKUP($B93,INDIRECT($B$5&amp;"生成成长"),3))*(VLOOKUP($B$5,标准坦克设计!$B$14:$K$20,9)/30))</f>
        <v>14.341178965553787</v>
      </c>
      <c r="ET93" s="173">
        <f ca="1">(VLOOKUP(ET$72,INDIRECT($C$5&amp;"生成成长"),2))/((VLOOKUP($B93,INDIRECT($B$5&amp;"生成成长"),4))/(VLOOKUP(ET$72,INDIRECT($C$5&amp;"生成成长"),5))*(VLOOKUP($B$5,标准坦克设计!$B$24:$U$30,MATCH("对"&amp;LEFT($C$5,2)&amp;"输出",标准坦克设计!$B$23:$U$23,0)))*(VLOOKUP($B93,INDIRECT($B$5&amp;"生成成长"),3))*(VLOOKUP($B$5,标准坦克设计!$B$14:$K$20,9)/30))</f>
        <v>15.533523076805114</v>
      </c>
      <c r="EU93" s="173">
        <f ca="1">(VLOOKUP(EU$72,INDIRECT($C$5&amp;"生成成长"),2))/((VLOOKUP($B93,INDIRECT($B$5&amp;"生成成长"),4))/(VLOOKUP(EU$72,INDIRECT($C$5&amp;"生成成长"),5))*(VLOOKUP($B$5,标准坦克设计!$B$24:$U$30,MATCH("对"&amp;LEFT($C$5,2)&amp;"输出",标准坦克设计!$B$23:$U$23,0)))*(VLOOKUP($B93,INDIRECT($B$5&amp;"生成成长"),3))*(VLOOKUP($B$5,标准坦克设计!$B$14:$K$20,9)/30))</f>
        <v>16.77347439395032</v>
      </c>
      <c r="EV93" s="173">
        <f ca="1">(VLOOKUP(EV$72,INDIRECT($C$5&amp;"生成成长"),2))/((VLOOKUP($B93,INDIRECT($B$5&amp;"生成成长"),4))/(VLOOKUP(EV$72,INDIRECT($C$5&amp;"生成成长"),5))*(VLOOKUP($B$5,标准坦克设计!$B$24:$U$30,MATCH("对"&amp;LEFT($C$5,2)&amp;"输出",标准坦克设计!$B$23:$U$23,0)))*(VLOOKUP($B93,INDIRECT($B$5&amp;"生成成长"),3))*(VLOOKUP($B$5,标准坦克设计!$B$14:$K$20,9)/30))</f>
        <v>18.061032916989408</v>
      </c>
      <c r="EW93" s="173">
        <f ca="1">(VLOOKUP(EW$72,INDIRECT($C$5&amp;"生成成长"),2))/((VLOOKUP($B93,INDIRECT($B$5&amp;"生成成长"),4))/(VLOOKUP(EW$72,INDIRECT($C$5&amp;"生成成长"),5))*(VLOOKUP($B$5,标准坦克设计!$B$24:$U$30,MATCH("对"&amp;LEFT($C$5,2)&amp;"输出",标准坦克设计!$B$23:$U$23,0)))*(VLOOKUP($B93,INDIRECT($B$5&amp;"生成成长"),3))*(VLOOKUP($B$5,标准坦克设计!$B$14:$K$20,9)/30))</f>
        <v>19.396198645922379</v>
      </c>
      <c r="EX93" s="173">
        <f ca="1">(VLOOKUP(EX$72,INDIRECT($C$5&amp;"生成成长"),2))/((VLOOKUP($B93,INDIRECT($B$5&amp;"生成成长"),4))/(VLOOKUP(EX$72,INDIRECT($C$5&amp;"生成成长"),5))*(VLOOKUP($B$5,标准坦克设计!$B$24:$U$30,MATCH("对"&amp;LEFT($C$5,2)&amp;"输出",标准坦克设计!$B$23:$U$23,0)))*(VLOOKUP($B93,INDIRECT($B$5&amp;"生成成长"),3))*(VLOOKUP($B$5,标准坦克设计!$B$14:$K$20,9)/30))</f>
        <v>20.778971580749232</v>
      </c>
      <c r="EY93" s="173">
        <f ca="1">(VLOOKUP(EY$72,INDIRECT($C$5&amp;"生成成长"),2))/((VLOOKUP($B93,INDIRECT($B$5&amp;"生成成长"),4))/(VLOOKUP(EY$72,INDIRECT($C$5&amp;"生成成长"),5))*(VLOOKUP($B$5,标准坦克设计!$B$24:$U$30,MATCH("对"&amp;LEFT($C$5,2)&amp;"输出",标准坦克设计!$B$23:$U$23,0)))*(VLOOKUP($B93,INDIRECT($B$5&amp;"生成成长"),3))*(VLOOKUP($B$5,标准坦克设计!$B$14:$K$20,9)/30))</f>
        <v>22.209351721469968</v>
      </c>
      <c r="EZ93" s="173">
        <f ca="1">(VLOOKUP(EZ$72,INDIRECT($C$5&amp;"生成成长"),2))/((VLOOKUP($B93,INDIRECT($B$5&amp;"生成成长"),4))/(VLOOKUP(EZ$72,INDIRECT($C$5&amp;"生成成长"),5))*(VLOOKUP($B$5,标准坦克设计!$B$24:$U$30,MATCH("对"&amp;LEFT($C$5,2)&amp;"输出",标准坦克设计!$B$23:$U$23,0)))*(VLOOKUP($B93,INDIRECT($B$5&amp;"生成成长"),3))*(VLOOKUP($B$5,标准坦克设计!$B$14:$K$20,9)/30))</f>
        <v>23.687339068084583</v>
      </c>
      <c r="FA93" s="173">
        <f ca="1">(VLOOKUP(FA$72,INDIRECT($C$5&amp;"生成成长"),2))/((VLOOKUP($B93,INDIRECT($B$5&amp;"生成成长"),4))/(VLOOKUP(FA$72,INDIRECT($C$5&amp;"生成成长"),5))*(VLOOKUP($B$5,标准坦克设计!$B$24:$U$30,MATCH("对"&amp;LEFT($C$5,2)&amp;"输出",标准坦克设计!$B$23:$U$23,0)))*(VLOOKUP($B93,INDIRECT($B$5&amp;"生成成长"),3))*(VLOOKUP($B$5,标准坦克设计!$B$14:$K$20,9)/30))</f>
        <v>25.212933620593084</v>
      </c>
      <c r="FB93" s="173">
        <f ca="1">(VLOOKUP(FB$72,INDIRECT($C$5&amp;"生成成长"),2))/((VLOOKUP($B93,INDIRECT($B$5&amp;"生成成长"),4))/(VLOOKUP(FB$72,INDIRECT($C$5&amp;"生成成长"),5))*(VLOOKUP($B$5,标准坦克设计!$B$24:$U$30,MATCH("对"&amp;LEFT($C$5,2)&amp;"输出",标准坦克设计!$B$23:$U$23,0)))*(VLOOKUP($B93,INDIRECT($B$5&amp;"生成成长"),3))*(VLOOKUP($B$5,标准坦克设计!$B$14:$K$20,9)/30))</f>
        <v>26.786135378995464</v>
      </c>
      <c r="FC93" s="173">
        <f ca="1">(VLOOKUP(FC$72,INDIRECT($C$5&amp;"生成成长"),2))/((VLOOKUP($B93,INDIRECT($B$5&amp;"生成成长"),4))/(VLOOKUP(FC$72,INDIRECT($C$5&amp;"生成成长"),5))*(VLOOKUP($B$5,标准坦克设计!$B$24:$U$30,MATCH("对"&amp;LEFT($C$5,2)&amp;"输出",标准坦克设计!$B$23:$U$23,0)))*(VLOOKUP($B93,INDIRECT($B$5&amp;"生成成长"),3))*(VLOOKUP($B$5,标准坦克设计!$B$14:$K$20,9)/30))</f>
        <v>28.40694434329173</v>
      </c>
      <c r="FD93" s="173">
        <f ca="1">(VLOOKUP(FD$72,INDIRECT($C$5&amp;"生成成长"),2))/((VLOOKUP($B93,INDIRECT($B$5&amp;"生成成长"),4))/(VLOOKUP(FD$72,INDIRECT($C$5&amp;"生成成长"),5))*(VLOOKUP($B$5,标准坦克设计!$B$24:$U$30,MATCH("对"&amp;LEFT($C$5,2)&amp;"输出",标准坦克设计!$B$23:$U$23,0)))*(VLOOKUP($B93,INDIRECT($B$5&amp;"生成成长"),3))*(VLOOKUP($B$5,标准坦克设计!$B$14:$K$20,9)/30))</f>
        <v>30.075360513481876</v>
      </c>
      <c r="FE93" s="173">
        <f ca="1">(VLOOKUP(FE$72,INDIRECT($C$5&amp;"生成成长"),2))/((VLOOKUP($B93,INDIRECT($B$5&amp;"生成成长"),4))/(VLOOKUP(FE$72,INDIRECT($C$5&amp;"生成成长"),5))*(VLOOKUP($B$5,标准坦克设计!$B$24:$U$30,MATCH("对"&amp;LEFT($C$5,2)&amp;"输出",标准坦克设计!$B$23:$U$23,0)))*(VLOOKUP($B93,INDIRECT($B$5&amp;"生成成长"),3))*(VLOOKUP($B$5,标准坦克设计!$B$14:$K$20,9)/30))</f>
        <v>32.108502963536722</v>
      </c>
      <c r="FF93" s="173">
        <f ca="1">(VLOOKUP(FF$72,INDIRECT($C$5&amp;"生成成长"),2))/((VLOOKUP($B93,INDIRECT($B$5&amp;"生成成长"),4))/(VLOOKUP(FF$72,INDIRECT($C$5&amp;"生成成长"),5))*(VLOOKUP($B$5,标准坦克设计!$B$24:$U$30,MATCH("对"&amp;LEFT($C$5,2)&amp;"输出",标准坦克设计!$B$23:$U$23,0)))*(VLOOKUP($B93,INDIRECT($B$5&amp;"生成成长"),3))*(VLOOKUP($B$5,标准坦克设计!$B$14:$K$20,9)/30))</f>
        <v>34.20813812264997</v>
      </c>
      <c r="FG93" s="173">
        <f ca="1">(VLOOKUP(FG$72,INDIRECT($C$5&amp;"生成成长"),2))/((VLOOKUP($B93,INDIRECT($B$5&amp;"生成成长"),4))/(VLOOKUP(FG$72,INDIRECT($C$5&amp;"生成成长"),5))*(VLOOKUP($B$5,标准坦克设计!$B$24:$U$30,MATCH("对"&amp;LEFT($C$5,2)&amp;"输出",标准坦克设计!$B$23:$U$23,0)))*(VLOOKUP($B93,INDIRECT($B$5&amp;"生成成长"),3))*(VLOOKUP($B$5,标准坦克设计!$B$14:$K$20,9)/30))</f>
        <v>36.374265990821613</v>
      </c>
      <c r="FH93" s="173">
        <f ca="1">(VLOOKUP(FH$72,INDIRECT($C$5&amp;"生成成长"),2))/((VLOOKUP($B93,INDIRECT($B$5&amp;"生成成长"),4))/(VLOOKUP(FH$72,INDIRECT($C$5&amp;"生成成长"),5))*(VLOOKUP($B$5,标准坦克设计!$B$24:$U$30,MATCH("对"&amp;LEFT($C$5,2)&amp;"输出",标准坦克设计!$B$23:$U$23,0)))*(VLOOKUP($B93,INDIRECT($B$5&amp;"生成成长"),3))*(VLOOKUP($B$5,标准坦克设计!$B$14:$K$20,9)/30))</f>
        <v>38.60688656805165</v>
      </c>
      <c r="FI93" s="173">
        <f ca="1">(VLOOKUP(FI$72,INDIRECT($C$5&amp;"生成成长"),2))/((VLOOKUP($B93,INDIRECT($B$5&amp;"生成成长"),4))/(VLOOKUP(FI$72,INDIRECT($C$5&amp;"生成成长"),5))*(VLOOKUP($B$5,标准坦克设计!$B$24:$U$30,MATCH("对"&amp;LEFT($C$5,2)&amp;"输出",标准坦克设计!$B$23:$U$23,0)))*(VLOOKUP($B93,INDIRECT($B$5&amp;"生成成长"),3))*(VLOOKUP($B$5,标准坦克设计!$B$14:$K$20,9)/30))</f>
        <v>40.905999854340088</v>
      </c>
      <c r="FJ93" s="173">
        <f ca="1">(VLOOKUP(FJ$72,INDIRECT($C$5&amp;"生成成长"),2))/((VLOOKUP($B93,INDIRECT($B$5&amp;"生成成长"),4))/(VLOOKUP(FJ$72,INDIRECT($C$5&amp;"生成成长"),5))*(VLOOKUP($B$5,标准坦克设计!$B$24:$U$30,MATCH("对"&amp;LEFT($C$5,2)&amp;"输出",标准坦克设计!$B$23:$U$23,0)))*(VLOOKUP($B93,INDIRECT($B$5&amp;"生成成长"),3))*(VLOOKUP($B$5,标准坦克设计!$B$14:$K$20,9)/30))</f>
        <v>43.271605849686928</v>
      </c>
      <c r="FK93" s="173">
        <f ca="1">(VLOOKUP(FK$72,INDIRECT($C$5&amp;"生成成长"),2))/((VLOOKUP($B93,INDIRECT($B$5&amp;"生成成长"),4))/(VLOOKUP(FK$72,INDIRECT($C$5&amp;"生成成长"),5))*(VLOOKUP($B$5,标准坦克设计!$B$24:$U$30,MATCH("对"&amp;LEFT($C$5,2)&amp;"输出",标准坦克设计!$B$23:$U$23,0)))*(VLOOKUP($B93,INDIRECT($B$5&amp;"生成成长"),3))*(VLOOKUP($B$5,标准坦克设计!$B$14:$K$20,9)/30))</f>
        <v>45.703704554092155</v>
      </c>
    </row>
    <row r="94" spans="1:167" x14ac:dyDescent="0.15">
      <c r="A94" s="171" t="str">
        <f t="shared" si="11"/>
        <v>T4低品质1级</v>
      </c>
      <c r="B94" s="172">
        <v>10401</v>
      </c>
      <c r="C94" s="173">
        <f ca="1">(VLOOKUP(C$72,INDIRECT($C$5&amp;"生成成长"),2))/((VLOOKUP($B94,INDIRECT($B$5&amp;"生成成长"),4))/(VLOOKUP(C$72,INDIRECT($C$5&amp;"生成成长"),5))*(VLOOKUP($B$5,标准坦克设计!$B$24:$U$30,MATCH("对"&amp;LEFT($C$5,2)&amp;"输出",标准坦克设计!$B$23:$U$23,0)))*(VLOOKUP($B94,INDIRECT($B$5&amp;"生成成长"),3))*(VLOOKUP($B$5,标准坦克设计!$B$14:$K$20,9)/30))</f>
        <v>2.7069981061589412</v>
      </c>
      <c r="D94" s="173">
        <f ca="1">(VLOOKUP(D$72,INDIRECT($C$5&amp;"生成成长"),2))/((VLOOKUP($B94,INDIRECT($B$5&amp;"生成成长"),4))/(VLOOKUP(D$72,INDIRECT($C$5&amp;"生成成长"),5))*(VLOOKUP($B$5,标准坦克设计!$B$24:$U$30,MATCH("对"&amp;LEFT($C$5,2)&amp;"输出",标准坦克设计!$B$23:$U$23,0)))*(VLOOKUP($B94,INDIRECT($B$5&amp;"生成成长"),3))*(VLOOKUP($B$5,标准坦克设计!$B$14:$K$20,9)/30))</f>
        <v>3.0415830720801869</v>
      </c>
      <c r="E94" s="173">
        <f ca="1">(VLOOKUP(E$72,INDIRECT($C$5&amp;"生成成长"),2))/((VLOOKUP($B94,INDIRECT($B$5&amp;"生成成长"),4))/(VLOOKUP(E$72,INDIRECT($C$5&amp;"生成成长"),5))*(VLOOKUP($B$5,标准坦克设计!$B$24:$U$30,MATCH("对"&amp;LEFT($C$5,2)&amp;"输出",标准坦克设计!$B$23:$U$23,0)))*(VLOOKUP($B94,INDIRECT($B$5&amp;"生成成长"),3))*(VLOOKUP($B$5,标准坦克设计!$B$14:$K$20,9)/30))</f>
        <v>3.3956584243657759</v>
      </c>
      <c r="F94" s="173">
        <f ca="1">(VLOOKUP(F$72,INDIRECT($C$5&amp;"生成成长"),2))/((VLOOKUP($B94,INDIRECT($B$5&amp;"生成成长"),4))/(VLOOKUP(F$72,INDIRECT($C$5&amp;"生成成长"),5))*(VLOOKUP($B$5,标准坦克设计!$B$24:$U$30,MATCH("对"&amp;LEFT($C$5,2)&amp;"输出",标准坦克设计!$B$23:$U$23,0)))*(VLOOKUP($B94,INDIRECT($B$5&amp;"生成成长"),3))*(VLOOKUP($B$5,标准坦克设计!$B$14:$K$20,9)/30))</f>
        <v>3.7692241630157102</v>
      </c>
      <c r="G94" s="173">
        <f ca="1">(VLOOKUP(G$72,INDIRECT($C$5&amp;"生成成长"),2))/((VLOOKUP($B94,INDIRECT($B$5&amp;"生成成长"),4))/(VLOOKUP(G$72,INDIRECT($C$5&amp;"生成成长"),5))*(VLOOKUP($B$5,标准坦克设计!$B$24:$U$30,MATCH("对"&amp;LEFT($C$5,2)&amp;"输出",标准坦克设计!$B$23:$U$23,0)))*(VLOOKUP($B94,INDIRECT($B$5&amp;"生成成长"),3))*(VLOOKUP($B$5,标准坦克设计!$B$14:$K$20,9)/30))</f>
        <v>4.1622802880299883</v>
      </c>
      <c r="H94" s="173">
        <f ca="1">(VLOOKUP(H$72,INDIRECT($C$5&amp;"生成成长"),2))/((VLOOKUP($B94,INDIRECT($B$5&amp;"生成成长"),4))/(VLOOKUP(H$72,INDIRECT($C$5&amp;"生成成长"),5))*(VLOOKUP($B$5,标准坦克设计!$B$24:$U$30,MATCH("对"&amp;LEFT($C$5,2)&amp;"输出",标准坦克设计!$B$23:$U$23,0)))*(VLOOKUP($B94,INDIRECT($B$5&amp;"生成成长"),3))*(VLOOKUP($B$5,标准坦克设计!$B$14:$K$20,9)/30))</f>
        <v>3.6425366516474713</v>
      </c>
      <c r="I94" s="173">
        <f ca="1">(VLOOKUP(I$72,INDIRECT($C$5&amp;"生成成长"),2))/((VLOOKUP($B94,INDIRECT($B$5&amp;"生成成长"),4))/(VLOOKUP(I$72,INDIRECT($C$5&amp;"生成成长"),5))*(VLOOKUP($B$5,标准坦克设计!$B$24:$U$30,MATCH("对"&amp;LEFT($C$5,2)&amp;"输出",标准坦克设计!$B$23:$U$23,0)))*(VLOOKUP($B94,INDIRECT($B$5&amp;"生成成长"),3))*(VLOOKUP($B$5,标准坦克设计!$B$14:$K$20,9)/30))</f>
        <v>4.1622802880299883</v>
      </c>
      <c r="J94" s="173">
        <f ca="1">(VLOOKUP(J$72,INDIRECT($C$5&amp;"生成成长"),2))/((VLOOKUP($B94,INDIRECT($B$5&amp;"生成成长"),4))/(VLOOKUP(J$72,INDIRECT($C$5&amp;"生成成长"),5))*(VLOOKUP($B$5,标准坦克设计!$B$24:$U$30,MATCH("对"&amp;LEFT($C$5,2)&amp;"输出",标准坦克设计!$B$23:$U$23,0)))*(VLOOKUP($B94,INDIRECT($B$5&amp;"生成成长"),3))*(VLOOKUP($B$5,标准坦克设计!$B$14:$K$20,9)/30))</f>
        <v>4.71667350017134</v>
      </c>
      <c r="K94" s="173">
        <f ca="1">(VLOOKUP(K$72,INDIRECT($C$5&amp;"生成成长"),2))/((VLOOKUP($B94,INDIRECT($B$5&amp;"生成成长"),4))/(VLOOKUP(K$72,INDIRECT($C$5&amp;"生成成长"),5))*(VLOOKUP($B$5,标准坦克设计!$B$24:$U$30,MATCH("对"&amp;LEFT($C$5,2)&amp;"输出",标准坦克设计!$B$23:$U$23,0)))*(VLOOKUP($B94,INDIRECT($B$5&amp;"生成成长"),3))*(VLOOKUP($B$5,标准坦克设计!$B$14:$K$20,9)/30))</f>
        <v>5.3057162880715261</v>
      </c>
      <c r="L94" s="173">
        <f ca="1">(VLOOKUP(L$72,INDIRECT($C$5&amp;"生成成长"),2))/((VLOOKUP($B94,INDIRECT($B$5&amp;"生成成长"),4))/(VLOOKUP(L$72,INDIRECT($C$5&amp;"生成成长"),5))*(VLOOKUP($B$5,标准坦克设计!$B$24:$U$30,MATCH("对"&amp;LEFT($C$5,2)&amp;"输出",标准坦克设计!$B$23:$U$23,0)))*(VLOOKUP($B94,INDIRECT($B$5&amp;"生成成长"),3))*(VLOOKUP($B$5,标准坦克设计!$B$14:$K$20,9)/30))</f>
        <v>5.9294086517305464</v>
      </c>
      <c r="M94" s="173">
        <f ca="1">(VLOOKUP(M$72,INDIRECT($C$5&amp;"生成成长"),2))/((VLOOKUP($B94,INDIRECT($B$5&amp;"生成成长"),4))/(VLOOKUP(M$72,INDIRECT($C$5&amp;"生成成长"),5))*(VLOOKUP($B$5,标准坦克设计!$B$24:$U$30,MATCH("对"&amp;LEFT($C$5,2)&amp;"输出",标准坦克设计!$B$23:$U$23,0)))*(VLOOKUP($B94,INDIRECT($B$5&amp;"生成成长"),3))*(VLOOKUP($B$5,标准坦克设计!$B$14:$K$20,9)/30))</f>
        <v>6.5877505911483993</v>
      </c>
      <c r="N94" s="173">
        <f ca="1">(VLOOKUP(N$72,INDIRECT($C$5&amp;"生成成长"),2))/((VLOOKUP($B94,INDIRECT($B$5&amp;"生成成长"),4))/(VLOOKUP(N$72,INDIRECT($C$5&amp;"生成成长"),5))*(VLOOKUP($B$5,标准坦克设计!$B$24:$U$30,MATCH("对"&amp;LEFT($C$5,2)&amp;"输出",标准坦克设计!$B$23:$U$23,0)))*(VLOOKUP($B94,INDIRECT($B$5&amp;"生成成长"),3))*(VLOOKUP($B$5,标准坦克设计!$B$14:$K$20,9)/30))</f>
        <v>7.2807421063250892</v>
      </c>
      <c r="O94" s="173">
        <f ca="1">(VLOOKUP(O$72,INDIRECT($C$5&amp;"生成成长"),2))/((VLOOKUP($B94,INDIRECT($B$5&amp;"生成成长"),4))/(VLOOKUP(O$72,INDIRECT($C$5&amp;"生成成长"),5))*(VLOOKUP($B$5,标准坦克设计!$B$24:$U$30,MATCH("对"&amp;LEFT($C$5,2)&amp;"输出",标准坦克设计!$B$23:$U$23,0)))*(VLOOKUP($B94,INDIRECT($B$5&amp;"生成成长"),3))*(VLOOKUP($B$5,标准坦克设计!$B$14:$K$20,9)/30))</f>
        <v>5.5355404272844195</v>
      </c>
      <c r="P94" s="173">
        <f ca="1">(VLOOKUP(P$72,INDIRECT($C$5&amp;"生成成长"),2))/((VLOOKUP($B94,INDIRECT($B$5&amp;"生成成长"),4))/(VLOOKUP(P$72,INDIRECT($C$5&amp;"生成成长"),5))*(VLOOKUP($B$5,标准坦克设计!$B$24:$U$30,MATCH("对"&amp;LEFT($C$5,2)&amp;"输出",标准坦克设计!$B$23:$U$23,0)))*(VLOOKUP($B94,INDIRECT($B$5&amp;"生成成长"),3))*(VLOOKUP($B$5,标准坦克设计!$B$14:$K$20,9)/30))</f>
        <v>6.2542484244696182</v>
      </c>
      <c r="Q94" s="173">
        <f ca="1">(VLOOKUP(Q$72,INDIRECT($C$5&amp;"生成成长"),2))/((VLOOKUP($B94,INDIRECT($B$5&amp;"生成成长"),4))/(VLOOKUP(Q$72,INDIRECT($C$5&amp;"生成成长"),5))*(VLOOKUP($B$5,标准坦克设计!$B$24:$U$30,MATCH("对"&amp;LEFT($C$5,2)&amp;"输出",标准坦克设计!$B$23:$U$23,0)))*(VLOOKUP($B94,INDIRECT($B$5&amp;"生成成长"),3))*(VLOOKUP($B$5,标准坦克设计!$B$14:$K$20,9)/30))</f>
        <v>7.016809790974591</v>
      </c>
      <c r="R94" s="173">
        <f ca="1">(VLOOKUP(R$72,INDIRECT($C$5&amp;"生成成长"),2))/((VLOOKUP($B94,INDIRECT($B$5&amp;"生成成长"),4))/(VLOOKUP(R$72,INDIRECT($C$5&amp;"生成成长"),5))*(VLOOKUP($B$5,标准坦克设计!$B$24:$U$30,MATCH("对"&amp;LEFT($C$5,2)&amp;"输出",标准坦克设计!$B$23:$U$23,0)))*(VLOOKUP($B94,INDIRECT($B$5&amp;"生成成长"),3))*(VLOOKUP($B$5,标准坦克设计!$B$14:$K$20,9)/30))</f>
        <v>7.8232245267993408</v>
      </c>
      <c r="S94" s="173">
        <f ca="1">(VLOOKUP(S$72,INDIRECT($C$5&amp;"生成成长"),2))/((VLOOKUP($B94,INDIRECT($B$5&amp;"生成成长"),4))/(VLOOKUP(S$72,INDIRECT($C$5&amp;"生成成长"),5))*(VLOOKUP($B$5,标准坦克设计!$B$24:$U$30,MATCH("对"&amp;LEFT($C$5,2)&amp;"输出",标准坦克设计!$B$23:$U$23,0)))*(VLOOKUP($B94,INDIRECT($B$5&amp;"生成成长"),3))*(VLOOKUP($B$5,标准坦克设计!$B$14:$K$20,9)/30))</f>
        <v>8.6734926319438657</v>
      </c>
      <c r="T94" s="173">
        <f ca="1">(VLOOKUP(T$72,INDIRECT($C$5&amp;"生成成长"),2))/((VLOOKUP($B94,INDIRECT($B$5&amp;"生成成长"),4))/(VLOOKUP(T$72,INDIRECT($C$5&amp;"生成成长"),5))*(VLOOKUP($B$5,标准坦克设计!$B$24:$U$30,MATCH("对"&amp;LEFT($C$5,2)&amp;"输出",标准坦克设计!$B$23:$U$23,0)))*(VLOOKUP($B94,INDIRECT($B$5&amp;"生成成长"),3))*(VLOOKUP($B$5,标准坦克设计!$B$14:$K$20,9)/30))</f>
        <v>9.567614106408163</v>
      </c>
      <c r="U94" s="173">
        <f ca="1">(VLOOKUP(U$72,INDIRECT($C$5&amp;"生成成长"),2))/((VLOOKUP($B94,INDIRECT($B$5&amp;"生成成长"),4))/(VLOOKUP(U$72,INDIRECT($C$5&amp;"生成成长"),5))*(VLOOKUP($B$5,标准坦克设计!$B$24:$U$30,MATCH("对"&amp;LEFT($C$5,2)&amp;"输出",标准坦克设计!$B$23:$U$23,0)))*(VLOOKUP($B94,INDIRECT($B$5&amp;"生成成长"),3))*(VLOOKUP($B$5,标准坦克设计!$B$14:$K$20,9)/30))</f>
        <v>10.505588950192235</v>
      </c>
      <c r="V94" s="173">
        <f ca="1">(VLOOKUP(V$72,INDIRECT($C$5&amp;"生成成长"),2))/((VLOOKUP($B94,INDIRECT($B$5&amp;"生成成长"),4))/(VLOOKUP(V$72,INDIRECT($C$5&amp;"生成成长"),5))*(VLOOKUP($B$5,标准坦克设计!$B$24:$U$30,MATCH("对"&amp;LEFT($C$5,2)&amp;"输出",标准坦克设计!$B$23:$U$23,0)))*(VLOOKUP($B94,INDIRECT($B$5&amp;"生成成长"),3))*(VLOOKUP($B$5,标准坦克设计!$B$14:$K$20,9)/30))</f>
        <v>11.487417163296085</v>
      </c>
      <c r="W94" s="173">
        <f ca="1">(VLOOKUP(W$72,INDIRECT($C$5&amp;"生成成长"),2))/((VLOOKUP($B94,INDIRECT($B$5&amp;"生成成长"),4))/(VLOOKUP(W$72,INDIRECT($C$5&amp;"生成成长"),5))*(VLOOKUP($B$5,标准坦克设计!$B$24:$U$30,MATCH("对"&amp;LEFT($C$5,2)&amp;"输出",标准坦克设计!$B$23:$U$23,0)))*(VLOOKUP($B94,INDIRECT($B$5&amp;"生成成长"),3))*(VLOOKUP($B$5,标准坦克设计!$B$14:$K$20,9)/30))</f>
        <v>12.513098745719709</v>
      </c>
      <c r="X94" s="173">
        <f ca="1">(VLOOKUP(X$72,INDIRECT($C$5&amp;"生成成长"),2))/((VLOOKUP($B94,INDIRECT($B$5&amp;"生成成长"),4))/(VLOOKUP(X$72,INDIRECT($C$5&amp;"生成成长"),5))*(VLOOKUP($B$5,标准坦克设计!$B$24:$U$30,MATCH("对"&amp;LEFT($C$5,2)&amp;"输出",标准坦克设计!$B$23:$U$23,0)))*(VLOOKUP($B94,INDIRECT($B$5&amp;"生成成长"),3))*(VLOOKUP($B$5,标准坦克设计!$B$14:$K$20,9)/30))</f>
        <v>9.0654659577156806</v>
      </c>
      <c r="Y94" s="173">
        <f ca="1">(VLOOKUP(Y$72,INDIRECT($C$5&amp;"生成成长"),2))/((VLOOKUP($B94,INDIRECT($B$5&amp;"生成成长"),4))/(VLOOKUP(Y$72,INDIRECT($C$5&amp;"生成成长"),5))*(VLOOKUP($B$5,标准坦克设计!$B$24:$U$30,MATCH("对"&amp;LEFT($C$5,2)&amp;"输出",标准坦克设计!$B$23:$U$23,0)))*(VLOOKUP($B94,INDIRECT($B$5&amp;"生成成长"),3))*(VLOOKUP($B$5,标准坦克设计!$B$14:$K$20,9)/30))</f>
        <v>10.08329724563144</v>
      </c>
      <c r="Z94" s="173">
        <f ca="1">(VLOOKUP(Z$72,INDIRECT($C$5&amp;"生成成长"),2))/((VLOOKUP($B94,INDIRECT($B$5&amp;"生成成长"),4))/(VLOOKUP(Z$72,INDIRECT($C$5&amp;"生成成长"),5))*(VLOOKUP($B$5,标准坦克设计!$B$24:$U$30,MATCH("对"&amp;LEFT($C$5,2)&amp;"输出",标准坦克设计!$B$23:$U$23,0)))*(VLOOKUP($B94,INDIRECT($B$5&amp;"生成成长"),3))*(VLOOKUP($B$5,标准坦克设计!$B$14:$K$20,9)/30))</f>
        <v>11.155268495670381</v>
      </c>
      <c r="AA94" s="173">
        <f ca="1">(VLOOKUP(AA$72,INDIRECT($C$5&amp;"生成成长"),2))/((VLOOKUP($B94,INDIRECT($B$5&amp;"生成成长"),4))/(VLOOKUP(AA$72,INDIRECT($C$5&amp;"生成成长"),5))*(VLOOKUP($B$5,标准坦克设计!$B$24:$U$30,MATCH("对"&amp;LEFT($C$5,2)&amp;"输出",标准坦克设计!$B$23:$U$23,0)))*(VLOOKUP($B94,INDIRECT($B$5&amp;"生成成长"),3))*(VLOOKUP($B$5,标准坦克设计!$B$14:$K$20,9)/30))</f>
        <v>12.281379707832505</v>
      </c>
      <c r="AB94" s="173">
        <f ca="1">(VLOOKUP(AB$72,INDIRECT($C$5&amp;"生成成长"),2))/((VLOOKUP($B94,INDIRECT($B$5&amp;"生成成长"),4))/(VLOOKUP(AB$72,INDIRECT($C$5&amp;"生成成长"),5))*(VLOOKUP($B$5,标准坦克设计!$B$24:$U$30,MATCH("对"&amp;LEFT($C$5,2)&amp;"输出",标准坦克设计!$B$23:$U$23,0)))*(VLOOKUP($B94,INDIRECT($B$5&amp;"生成成长"),3))*(VLOOKUP($B$5,标准坦克设计!$B$14:$K$20,9)/30))</f>
        <v>13.461630882117799</v>
      </c>
      <c r="AC94" s="173">
        <f ca="1">(VLOOKUP(AC$72,INDIRECT($C$5&amp;"生成成长"),2))/((VLOOKUP($B94,INDIRECT($B$5&amp;"生成成长"),4))/(VLOOKUP(AC$72,INDIRECT($C$5&amp;"生成成长"),5))*(VLOOKUP($B$5,标准坦克设计!$B$24:$U$30,MATCH("对"&amp;LEFT($C$5,2)&amp;"输出",标准坦克设计!$B$23:$U$23,0)))*(VLOOKUP($B94,INDIRECT($B$5&amp;"生成成长"),3))*(VLOOKUP($B$5,标准坦克设计!$B$14:$K$20,9)/30))</f>
        <v>14.696022018526278</v>
      </c>
      <c r="AD94" s="173">
        <f ca="1">(VLOOKUP(AD$72,INDIRECT($C$5&amp;"生成成长"),2))/((VLOOKUP($B94,INDIRECT($B$5&amp;"生成成长"),4))/(VLOOKUP(AD$72,INDIRECT($C$5&amp;"生成成长"),5))*(VLOOKUP($B$5,标准坦克设计!$B$24:$U$30,MATCH("对"&amp;LEFT($C$5,2)&amp;"输出",标准坦克设计!$B$23:$U$23,0)))*(VLOOKUP($B94,INDIRECT($B$5&amp;"生成成长"),3))*(VLOOKUP($B$5,标准坦克设计!$B$14:$K$20,9)/30))</f>
        <v>15.984553117057935</v>
      </c>
      <c r="AE94" s="173">
        <f ca="1">(VLOOKUP(AE$72,INDIRECT($C$5&amp;"生成成长"),2))/((VLOOKUP($B94,INDIRECT($B$5&amp;"生成成长"),4))/(VLOOKUP(AE$72,INDIRECT($C$5&amp;"生成成长"),5))*(VLOOKUP($B$5,标准坦克设计!$B$24:$U$30,MATCH("对"&amp;LEFT($C$5,2)&amp;"输出",标准坦克设计!$B$23:$U$23,0)))*(VLOOKUP($B94,INDIRECT($B$5&amp;"生成成长"),3))*(VLOOKUP($B$5,标准坦克设计!$B$14:$K$20,9)/30))</f>
        <v>17.327224177712768</v>
      </c>
      <c r="AF94" s="173">
        <f ca="1">(VLOOKUP(AF$72,INDIRECT($C$5&amp;"生成成长"),2))/((VLOOKUP($B94,INDIRECT($B$5&amp;"生成成长"),4))/(VLOOKUP(AF$72,INDIRECT($C$5&amp;"生成成长"),5))*(VLOOKUP($B$5,标准坦克设计!$B$24:$U$30,MATCH("对"&amp;LEFT($C$5,2)&amp;"输出",标准坦克设计!$B$23:$U$23,0)))*(VLOOKUP($B94,INDIRECT($B$5&amp;"生成成长"),3))*(VLOOKUP($B$5,标准坦克设计!$B$14:$K$20,9)/30))</f>
        <v>18.724035200490786</v>
      </c>
      <c r="AG94" s="173">
        <f ca="1">(VLOOKUP(AG$72,INDIRECT($C$5&amp;"生成成长"),2))/((VLOOKUP($B94,INDIRECT($B$5&amp;"生成成长"),4))/(VLOOKUP(AG$72,INDIRECT($C$5&amp;"生成成长"),5))*(VLOOKUP($B$5,标准坦克设计!$B$24:$U$30,MATCH("对"&amp;LEFT($C$5,2)&amp;"输出",标准坦克设计!$B$23:$U$23,0)))*(VLOOKUP($B94,INDIRECT($B$5&amp;"生成成长"),3))*(VLOOKUP($B$5,标准坦克设计!$B$14:$K$20,9)/30))</f>
        <v>20.174986185391976</v>
      </c>
      <c r="AH94" s="173">
        <f ca="1">(VLOOKUP(AH$72,INDIRECT($C$5&amp;"生成成长"),2))/((VLOOKUP($B94,INDIRECT($B$5&amp;"生成成长"),4))/(VLOOKUP(AH$72,INDIRECT($C$5&amp;"生成成长"),5))*(VLOOKUP($B$5,标准坦克设计!$B$24:$U$30,MATCH("对"&amp;LEFT($C$5,2)&amp;"输出",标准坦克设计!$B$23:$U$23,0)))*(VLOOKUP($B94,INDIRECT($B$5&amp;"生成成长"),3))*(VLOOKUP($B$5,标准坦克设计!$B$14:$K$20,9)/30))</f>
        <v>21.680077132416343</v>
      </c>
      <c r="AI94" s="173">
        <f ca="1">(VLOOKUP(AI$72,INDIRECT($C$5&amp;"生成成长"),2))/((VLOOKUP($B94,INDIRECT($B$5&amp;"生成成长"),4))/(VLOOKUP(AI$72,INDIRECT($C$5&amp;"生成成长"),5))*(VLOOKUP($B$5,标准坦克设计!$B$24:$U$30,MATCH("对"&amp;LEFT($C$5,2)&amp;"输出",标准坦克设计!$B$23:$U$23,0)))*(VLOOKUP($B94,INDIRECT($B$5&amp;"生成成长"),3))*(VLOOKUP($B$5,标准坦克设计!$B$14:$K$20,9)/30))</f>
        <v>15.333520072526706</v>
      </c>
      <c r="AJ94" s="173">
        <f ca="1">(VLOOKUP(AJ$72,INDIRECT($C$5&amp;"生成成长"),2))/((VLOOKUP($B94,INDIRECT($B$5&amp;"生成成长"),4))/(VLOOKUP(AJ$72,INDIRECT($C$5&amp;"生成成长"),5))*(VLOOKUP($B$5,标准坦克设计!$B$24:$U$30,MATCH("对"&amp;LEFT($C$5,2)&amp;"输出",标准坦克设计!$B$23:$U$23,0)))*(VLOOKUP($B94,INDIRECT($B$5&amp;"生成成长"),3))*(VLOOKUP($B$5,标准坦克设计!$B$14:$K$20,9)/30))</f>
        <v>16.783658957996053</v>
      </c>
      <c r="AK94" s="173">
        <f ca="1">(VLOOKUP(AK$72,INDIRECT($C$5&amp;"生成成长"),2))/((VLOOKUP($B94,INDIRECT($B$5&amp;"生成成长"),4))/(VLOOKUP(AK$72,INDIRECT($C$5&amp;"生成成长"),5))*(VLOOKUP($B$5,标准坦克设计!$B$24:$U$30,MATCH("对"&amp;LEFT($C$5,2)&amp;"输出",标准坦克设计!$B$23:$U$23,0)))*(VLOOKUP($B94,INDIRECT($B$5&amp;"生成成长"),3))*(VLOOKUP($B$5,标准坦克设计!$B$14:$K$20,9)/30))</f>
        <v>18.299307197634445</v>
      </c>
      <c r="AL94" s="173">
        <f ca="1">(VLOOKUP(AL$72,INDIRECT($C$5&amp;"生成成长"),2))/((VLOOKUP($B94,INDIRECT($B$5&amp;"生成成长"),4))/(VLOOKUP(AL$72,INDIRECT($C$5&amp;"生成成长"),5))*(VLOOKUP($B$5,标准坦克设计!$B$24:$U$30,MATCH("对"&amp;LEFT($C$5,2)&amp;"输出",标准坦克设计!$B$23:$U$23,0)))*(VLOOKUP($B94,INDIRECT($B$5&amp;"生成成长"),3))*(VLOOKUP($B$5,标准坦克设计!$B$14:$K$20,9)/30))</f>
        <v>19.880464791441884</v>
      </c>
      <c r="AM94" s="173">
        <f ca="1">(VLOOKUP(AM$72,INDIRECT($C$5&amp;"生成成长"),2))/((VLOOKUP($B94,INDIRECT($B$5&amp;"生成成长"),4))/(VLOOKUP(AM$72,INDIRECT($C$5&amp;"生成成长"),5))*(VLOOKUP($B$5,标准坦克设计!$B$24:$U$30,MATCH("对"&amp;LEFT($C$5,2)&amp;"输出",标准坦克设计!$B$23:$U$23,0)))*(VLOOKUP($B94,INDIRECT($B$5&amp;"生成成长"),3))*(VLOOKUP($B$5,标准坦克设计!$B$14:$K$20,9)/30))</f>
        <v>21.527131739418369</v>
      </c>
      <c r="AN94" s="173">
        <f ca="1">(VLOOKUP(AN$72,INDIRECT($C$5&amp;"生成成长"),2))/((VLOOKUP($B94,INDIRECT($B$5&amp;"生成成长"),4))/(VLOOKUP(AN$72,INDIRECT($C$5&amp;"生成成长"),5))*(VLOOKUP($B$5,标准坦克设计!$B$24:$U$30,MATCH("对"&amp;LEFT($C$5,2)&amp;"输出",标准坦克设计!$B$23:$U$23,0)))*(VLOOKUP($B94,INDIRECT($B$5&amp;"生成成长"),3))*(VLOOKUP($B$5,标准坦克设计!$B$14:$K$20,9)/30))</f>
        <v>23.239308041563898</v>
      </c>
      <c r="AO94" s="173">
        <f ca="1">(VLOOKUP(AO$72,INDIRECT($C$5&amp;"生成成长"),2))/((VLOOKUP($B94,INDIRECT($B$5&amp;"生成成长"),4))/(VLOOKUP(AO$72,INDIRECT($C$5&amp;"生成成长"),5))*(VLOOKUP($B$5,标准坦克设计!$B$24:$U$30,MATCH("对"&amp;LEFT($C$5,2)&amp;"输出",标准坦克设计!$B$23:$U$23,0)))*(VLOOKUP($B94,INDIRECT($B$5&amp;"生成成长"),3))*(VLOOKUP($B$5,标准坦克设计!$B$14:$K$20,9)/30))</f>
        <v>25.016993697878473</v>
      </c>
      <c r="AP94" s="173">
        <f ca="1">(VLOOKUP(AP$72,INDIRECT($C$5&amp;"生成成长"),2))/((VLOOKUP($B94,INDIRECT($B$5&amp;"生成成长"),4))/(VLOOKUP(AP$72,INDIRECT($C$5&amp;"生成成长"),5))*(VLOOKUP($B$5,标准坦克设计!$B$24:$U$30,MATCH("对"&amp;LEFT($C$5,2)&amp;"输出",标准坦克设计!$B$23:$U$23,0)))*(VLOOKUP($B94,INDIRECT($B$5&amp;"生成成长"),3))*(VLOOKUP($B$5,标准坦克设计!$B$14:$K$20,9)/30))</f>
        <v>26.860188708362095</v>
      </c>
      <c r="AQ94" s="173">
        <f ca="1">(VLOOKUP(AQ$72,INDIRECT($C$5&amp;"生成成长"),2))/((VLOOKUP($B94,INDIRECT($B$5&amp;"生成成长"),4))/(VLOOKUP(AQ$72,INDIRECT($C$5&amp;"生成成长"),5))*(VLOOKUP($B$5,标准坦克设计!$B$24:$U$30,MATCH("对"&amp;LEFT($C$5,2)&amp;"输出",标准坦克设计!$B$23:$U$23,0)))*(VLOOKUP($B94,INDIRECT($B$5&amp;"生成成长"),3))*(VLOOKUP($B$5,标准坦克设计!$B$14:$K$20,9)/30))</f>
        <v>28.768893073014773</v>
      </c>
      <c r="AR94" s="173">
        <f ca="1">(VLOOKUP(AR$72,INDIRECT($C$5&amp;"生成成长"),2))/((VLOOKUP($B94,INDIRECT($B$5&amp;"生成成长"),4))/(VLOOKUP(AR$72,INDIRECT($C$5&amp;"生成成长"),5))*(VLOOKUP($B$5,标准坦克设计!$B$24:$U$30,MATCH("对"&amp;LEFT($C$5,2)&amp;"输出",标准坦克设计!$B$23:$U$23,0)))*(VLOOKUP($B94,INDIRECT($B$5&amp;"生成成长"),3))*(VLOOKUP($B$5,标准坦克设计!$B$14:$K$20,9)/30))</f>
        <v>30.743106791836482</v>
      </c>
      <c r="AS94" s="173">
        <f ca="1">(VLOOKUP(AS$72,INDIRECT($C$5&amp;"生成成长"),2))/((VLOOKUP($B94,INDIRECT($B$5&amp;"生成成长"),4))/(VLOOKUP(AS$72,INDIRECT($C$5&amp;"生成成长"),5))*(VLOOKUP($B$5,标准坦克设计!$B$24:$U$30,MATCH("对"&amp;LEFT($C$5,2)&amp;"输出",标准坦克设计!$B$23:$U$23,0)))*(VLOOKUP($B94,INDIRECT($B$5&amp;"生成成长"),3))*(VLOOKUP($B$5,标准坦克设计!$B$14:$K$20,9)/30))</f>
        <v>32.782829864827249</v>
      </c>
      <c r="AT94" s="173">
        <f ca="1">(VLOOKUP(AT$72,INDIRECT($C$5&amp;"生成成长"),2))/((VLOOKUP($B94,INDIRECT($B$5&amp;"生成成长"),4))/(VLOOKUP(AT$72,INDIRECT($C$5&amp;"生成成长"),5))*(VLOOKUP($B$5,标准坦克设计!$B$24:$U$30,MATCH("对"&amp;LEFT($C$5,2)&amp;"输出",标准坦克设计!$B$23:$U$23,0)))*(VLOOKUP($B94,INDIRECT($B$5&amp;"生成成长"),3))*(VLOOKUP($B$5,标准坦克设计!$B$14:$K$20,9)/30))</f>
        <v>34.888062291987062</v>
      </c>
      <c r="AU94" s="173">
        <f ca="1">(VLOOKUP(AU$72,INDIRECT($C$5&amp;"生成成长"),2))/((VLOOKUP($B94,INDIRECT($B$5&amp;"生成成长"),4))/(VLOOKUP(AU$72,INDIRECT($C$5&amp;"生成成长"),5))*(VLOOKUP($B$5,标准坦克设计!$B$24:$U$30,MATCH("对"&amp;LEFT($C$5,2)&amp;"输出",标准坦克设计!$B$23:$U$23,0)))*(VLOOKUP($B94,INDIRECT($B$5&amp;"生成成长"),3))*(VLOOKUP($B$5,标准坦克设计!$B$14:$K$20,9)/30))</f>
        <v>37.058804073315912</v>
      </c>
      <c r="AV94" s="173">
        <f ca="1">(VLOOKUP(AV$72,INDIRECT($C$5&amp;"生成成长"),2))/((VLOOKUP($B94,INDIRECT($B$5&amp;"生成成长"),4))/(VLOOKUP(AV$72,INDIRECT($C$5&amp;"生成成长"),5))*(VLOOKUP($B$5,标准坦克设计!$B$24:$U$30,MATCH("对"&amp;LEFT($C$5,2)&amp;"输出",标准坦克设计!$B$23:$U$23,0)))*(VLOOKUP($B94,INDIRECT($B$5&amp;"生成成长"),3))*(VLOOKUP($B$5,标准坦克设计!$B$14:$K$20,9)/30))</f>
        <v>3.7692241630157102</v>
      </c>
      <c r="AW94" s="173">
        <f ca="1">(VLOOKUP(AW$72,INDIRECT($C$5&amp;"生成成长"),2))/((VLOOKUP($B94,INDIRECT($B$5&amp;"生成成长"),4))/(VLOOKUP(AW$72,INDIRECT($C$5&amp;"生成成长"),5))*(VLOOKUP($B$5,标准坦克设计!$B$24:$U$30,MATCH("对"&amp;LEFT($C$5,2)&amp;"输出",标准坦克设计!$B$23:$U$23,0)))*(VLOOKUP($B94,INDIRECT($B$5&amp;"生成成长"),3))*(VLOOKUP($B$5,标准坦克设计!$B$14:$K$20,9)/30))</f>
        <v>4.2976301933379357</v>
      </c>
      <c r="AX94" s="173">
        <f ca="1">(VLOOKUP(AX$72,INDIRECT($C$5&amp;"生成成长"),2))/((VLOOKUP($B94,INDIRECT($B$5&amp;"生成成长"),4))/(VLOOKUP(AX$72,INDIRECT($C$5&amp;"生成成长"),5))*(VLOOKUP($B$5,标准坦克设计!$B$24:$U$30,MATCH("对"&amp;LEFT($C$5,2)&amp;"输出",标准坦克设计!$B$23:$U$23,0)))*(VLOOKUP($B94,INDIRECT($B$5&amp;"生成成长"),3))*(VLOOKUP($B$5,标准坦克设计!$B$14:$K$20,9)/30))</f>
        <v>4.8606857994189951</v>
      </c>
      <c r="AY94" s="173">
        <f ca="1">(VLOOKUP(AY$72,INDIRECT($C$5&amp;"生成成长"),2))/((VLOOKUP($B94,INDIRECT($B$5&amp;"生成成长"),4))/(VLOOKUP(AY$72,INDIRECT($C$5&amp;"生成成长"),5))*(VLOOKUP($B$5,标准坦克设计!$B$24:$U$30,MATCH("对"&amp;LEFT($C$5,2)&amp;"输出",标准坦克设计!$B$23:$U$23,0)))*(VLOOKUP($B94,INDIRECT($B$5&amp;"生成成长"),3))*(VLOOKUP($B$5,标准坦克设计!$B$14:$K$20,9)/30))</f>
        <v>5.4583909812588898</v>
      </c>
      <c r="AZ94" s="173">
        <f ca="1">(VLOOKUP(AZ$72,INDIRECT($C$5&amp;"生成成长"),2))/((VLOOKUP($B94,INDIRECT($B$5&amp;"生成成长"),4))/(VLOOKUP(AZ$72,INDIRECT($C$5&amp;"生成成长"),5))*(VLOOKUP($B$5,标准坦克设计!$B$24:$U$30,MATCH("对"&amp;LEFT($C$5,2)&amp;"输出",标准坦克设计!$B$23:$U$23,0)))*(VLOOKUP($B94,INDIRECT($B$5&amp;"生成成长"),3))*(VLOOKUP($B$5,标准坦克设计!$B$14:$K$20,9)/30))</f>
        <v>6.0907457388576187</v>
      </c>
      <c r="BA94" s="173">
        <f ca="1">(VLOOKUP(BA$72,INDIRECT($C$5&amp;"生成成长"),2))/((VLOOKUP($B94,INDIRECT($B$5&amp;"生成成长"),4))/(VLOOKUP(BA$72,INDIRECT($C$5&amp;"生成成长"),5))*(VLOOKUP($B$5,标准坦克设计!$B$24:$U$30,MATCH("对"&amp;LEFT($C$5,2)&amp;"输出",标准坦克设计!$B$23:$U$23,0)))*(VLOOKUP($B94,INDIRECT($B$5&amp;"生成成长"),3))*(VLOOKUP($B$5,标准坦克设计!$B$14:$K$20,9)/30))</f>
        <v>6.757750072215182</v>
      </c>
      <c r="BB94" s="173">
        <f ca="1">(VLOOKUP(BB$72,INDIRECT($C$5&amp;"生成成长"),2))/((VLOOKUP($B94,INDIRECT($B$5&amp;"生成成长"),4))/(VLOOKUP(BB$72,INDIRECT($C$5&amp;"生成成长"),5))*(VLOOKUP($B$5,标准坦克设计!$B$24:$U$30,MATCH("对"&amp;LEFT($C$5,2)&amp;"输出",标准坦克设计!$B$23:$U$23,0)))*(VLOOKUP($B94,INDIRECT($B$5&amp;"生成成长"),3))*(VLOOKUP($B$5,标准坦克设计!$B$14:$K$20,9)/30))</f>
        <v>7.4594039813315796</v>
      </c>
      <c r="BC94" s="173">
        <f ca="1">(VLOOKUP(BC$72,INDIRECT($C$5&amp;"生成成长"),2))/((VLOOKUP($B94,INDIRECT($B$5&amp;"生成成长"),4))/(VLOOKUP(BC$72,INDIRECT($C$5&amp;"生成成长"),5))*(VLOOKUP($B$5,标准坦克设计!$B$24:$U$30,MATCH("对"&amp;LEFT($C$5,2)&amp;"输出",标准坦克设计!$B$23:$U$23,0)))*(VLOOKUP($B94,INDIRECT($B$5&amp;"生成成长"),3))*(VLOOKUP($B$5,标准坦克设计!$B$14:$K$20,9)/30))</f>
        <v>8.1957074662068123</v>
      </c>
      <c r="BD94" s="173">
        <f ca="1">(VLOOKUP(BD$72,INDIRECT($C$5&amp;"生成成长"),2))/((VLOOKUP($B94,INDIRECT($B$5&amp;"生成成长"),4))/(VLOOKUP(BD$72,INDIRECT($C$5&amp;"生成成长"),5))*(VLOOKUP($B$5,标准坦克设计!$B$24:$U$30,MATCH("对"&amp;LEFT($C$5,2)&amp;"输出",标准坦克设计!$B$23:$U$23,0)))*(VLOOKUP($B94,INDIRECT($B$5&amp;"生成成长"),3))*(VLOOKUP($B$5,标准坦克设计!$B$14:$K$20,9)/30))</f>
        <v>9.0654659577156806</v>
      </c>
      <c r="BE94" s="173">
        <f ca="1">(VLOOKUP(BE$72,INDIRECT($C$5&amp;"生成成长"),2))/((VLOOKUP($B94,INDIRECT($B$5&amp;"生成成长"),4))/(VLOOKUP(BE$72,INDIRECT($C$5&amp;"生成成长"),5))*(VLOOKUP($B$5,标准坦克设计!$B$24:$U$30,MATCH("对"&amp;LEFT($C$5,2)&amp;"输出",标准坦克设计!$B$23:$U$23,0)))*(VLOOKUP($B94,INDIRECT($B$5&amp;"生成成长"),3))*(VLOOKUP($B$5,标准坦克设计!$B$14:$K$20,9)/30))</f>
        <v>9.9790778185443241</v>
      </c>
      <c r="BF94" s="173">
        <f ca="1">(VLOOKUP(BF$72,INDIRECT($C$5&amp;"生成成长"),2))/((VLOOKUP($B94,INDIRECT($B$5&amp;"生成成长"),4))/(VLOOKUP(BF$72,INDIRECT($C$5&amp;"生成成长"),5))*(VLOOKUP($B$5,标准坦克设计!$B$24:$U$30,MATCH("对"&amp;LEFT($C$5,2)&amp;"输出",标准坦克设计!$B$23:$U$23,0)))*(VLOOKUP($B94,INDIRECT($B$5&amp;"生成成长"),3))*(VLOOKUP($B$5,标准坦克设计!$B$14:$K$20,9)/30))</f>
        <v>10.936543048692741</v>
      </c>
      <c r="BG94" s="173">
        <f ca="1">(VLOOKUP(BG$72,INDIRECT($C$5&amp;"生成成长"),2))/((VLOOKUP($B94,INDIRECT($B$5&amp;"生成成长"),4))/(VLOOKUP(BG$72,INDIRECT($C$5&amp;"生成成长"),5))*(VLOOKUP($B$5,标准坦克设计!$B$24:$U$30,MATCH("对"&amp;LEFT($C$5,2)&amp;"输出",标准坦克设计!$B$23:$U$23,0)))*(VLOOKUP($B94,INDIRECT($B$5&amp;"生成成长"),3))*(VLOOKUP($B$5,标准坦克设计!$B$14:$K$20,9)/30))</f>
        <v>11.937861648160931</v>
      </c>
      <c r="BH94" s="173">
        <f ca="1">(VLOOKUP(BH$72,INDIRECT($C$5&amp;"生成成长"),2))/((VLOOKUP($B94,INDIRECT($B$5&amp;"生成成长"),4))/(VLOOKUP(BH$72,INDIRECT($C$5&amp;"生成成长"),5))*(VLOOKUP($B$5,标准坦克设计!$B$24:$U$30,MATCH("对"&amp;LEFT($C$5,2)&amp;"输出",标准坦克设计!$B$23:$U$23,0)))*(VLOOKUP($B94,INDIRECT($B$5&amp;"生成成长"),3))*(VLOOKUP($B$5,标准坦克设计!$B$14:$K$20,9)/30))</f>
        <v>5.7702371630884004</v>
      </c>
      <c r="BI94" s="173">
        <f ca="1">(VLOOKUP(BI$72,INDIRECT($C$5&amp;"生成成长"),2))/((VLOOKUP($B94,INDIRECT($B$5&amp;"生成成长"),4))/(VLOOKUP(BI$72,INDIRECT($C$5&amp;"生成成长"),5))*(VLOOKUP($B$5,标准坦克设计!$B$24:$U$30,MATCH("对"&amp;LEFT($C$5,2)&amp;"输出",标准坦克设计!$B$23:$U$23,0)))*(VLOOKUP($B94,INDIRECT($B$5&amp;"生成成长"),3))*(VLOOKUP($B$5,标准坦克设计!$B$14:$K$20,9)/30))</f>
        <v>6.5035629500468568</v>
      </c>
      <c r="BJ94" s="173">
        <f ca="1">(VLOOKUP(BJ$72,INDIRECT($C$5&amp;"生成成长"),2))/((VLOOKUP($B94,INDIRECT($B$5&amp;"生成成长"),4))/(VLOOKUP(BJ$72,INDIRECT($C$5&amp;"生成成长"),5))*(VLOOKUP($B$5,标准坦克设计!$B$24:$U$30,MATCH("对"&amp;LEFT($C$5,2)&amp;"输出",标准坦克设计!$B$23:$U$23,0)))*(VLOOKUP($B94,INDIRECT($B$5&amp;"生成成长"),3))*(VLOOKUP($B$5,标准坦克设计!$B$14:$K$20,9)/30))</f>
        <v>7.2807421063250892</v>
      </c>
      <c r="BK94" s="173">
        <f ca="1">(VLOOKUP(BK$72,INDIRECT($C$5&amp;"生成成长"),2))/((VLOOKUP($B94,INDIRECT($B$5&amp;"生成成长"),4))/(VLOOKUP(BK$72,INDIRECT($C$5&amp;"生成成长"),5))*(VLOOKUP($B$5,标准坦克设计!$B$24:$U$30,MATCH("对"&amp;LEFT($C$5,2)&amp;"输出",标准坦克设计!$B$23:$U$23,0)))*(VLOOKUP($B94,INDIRECT($B$5&amp;"生成成长"),3))*(VLOOKUP($B$5,标准坦克设计!$B$14:$K$20,9)/30))</f>
        <v>8.1017746319230977</v>
      </c>
      <c r="BL94" s="173">
        <f ca="1">(VLOOKUP(BL$72,INDIRECT($C$5&amp;"生成成长"),2))/((VLOOKUP($B94,INDIRECT($B$5&amp;"生成成长"),4))/(VLOOKUP(BL$72,INDIRECT($C$5&amp;"生成成长"),5))*(VLOOKUP($B$5,标准坦克设计!$B$24:$U$30,MATCH("对"&amp;LEFT($C$5,2)&amp;"输出",标准坦克设计!$B$23:$U$23,0)))*(VLOOKUP($B94,INDIRECT($B$5&amp;"生成成长"),3))*(VLOOKUP($B$5,标准坦克设计!$B$14:$K$20,9)/30))</f>
        <v>8.9666605268408777</v>
      </c>
      <c r="BM94" s="173">
        <f ca="1">(VLOOKUP(BM$72,INDIRECT($C$5&amp;"生成成长"),2))/((VLOOKUP($B94,INDIRECT($B$5&amp;"生成成长"),4))/(VLOOKUP(BM$72,INDIRECT($C$5&amp;"生成成长"),5))*(VLOOKUP($B$5,标准坦克设计!$B$24:$U$30,MATCH("对"&amp;LEFT($C$5,2)&amp;"输出",标准坦克设计!$B$23:$U$23,0)))*(VLOOKUP($B94,INDIRECT($B$5&amp;"生成成长"),3))*(VLOOKUP($B$5,标准坦克设计!$B$14:$K$20,9)/30))</f>
        <v>9.8753997910784346</v>
      </c>
      <c r="BN94" s="173">
        <f ca="1">(VLOOKUP(BN$72,INDIRECT($C$5&amp;"生成成长"),2))/((VLOOKUP($B94,INDIRECT($B$5&amp;"生成成长"),4))/(VLOOKUP(BN$72,INDIRECT($C$5&amp;"生成成长"),5))*(VLOOKUP($B$5,标准坦克设计!$B$24:$U$30,MATCH("对"&amp;LEFT($C$5,2)&amp;"输出",标准坦克设计!$B$23:$U$23,0)))*(VLOOKUP($B94,INDIRECT($B$5&amp;"生成成长"),3))*(VLOOKUP($B$5,标准坦克设计!$B$14:$K$20,9)/30))</f>
        <v>10.827992424635765</v>
      </c>
      <c r="BO94" s="173">
        <f ca="1">(VLOOKUP(BO$72,INDIRECT($C$5&amp;"生成成长"),2))/((VLOOKUP($B94,INDIRECT($B$5&amp;"生成成长"),4))/(VLOOKUP(BO$72,INDIRECT($C$5&amp;"生成成长"),5))*(VLOOKUP($B$5,标准坦克设计!$B$24:$U$30,MATCH("对"&amp;LEFT($C$5,2)&amp;"输出",标准坦克设计!$B$23:$U$23,0)))*(VLOOKUP($B94,INDIRECT($B$5&amp;"生成成长"),3))*(VLOOKUP($B$5,标准坦克设计!$B$14:$K$20,9)/30))</f>
        <v>11.824438427512872</v>
      </c>
      <c r="BP94" s="173">
        <f ca="1">(VLOOKUP(BP$72,INDIRECT($C$5&amp;"生成成长"),2))/((VLOOKUP($B94,INDIRECT($B$5&amp;"生成成长"),4))/(VLOOKUP(BP$72,INDIRECT($C$5&amp;"生成成长"),5))*(VLOOKUP($B$5,标准坦克设计!$B$24:$U$30,MATCH("对"&amp;LEFT($C$5,2)&amp;"输出",标准坦克设计!$B$23:$U$23,0)))*(VLOOKUP($B94,INDIRECT($B$5&amp;"生成成长"),3))*(VLOOKUP($B$5,标准坦克设计!$B$14:$K$20,9)/30))</f>
        <v>12.864737799709754</v>
      </c>
      <c r="BQ94" s="173">
        <f ca="1">(VLOOKUP(BQ$72,INDIRECT($C$5&amp;"生成成长"),2))/((VLOOKUP($B94,INDIRECT($B$5&amp;"生成成长"),4))/(VLOOKUP(BQ$72,INDIRECT($C$5&amp;"生成成长"),5))*(VLOOKUP($B$5,标准坦克设计!$B$24:$U$30,MATCH("对"&amp;LEFT($C$5,2)&amp;"输出",标准坦克设计!$B$23:$U$23,0)))*(VLOOKUP($B94,INDIRECT($B$5&amp;"生成成长"),3))*(VLOOKUP($B$5,标准坦克设计!$B$14:$K$20,9)/30))</f>
        <v>13.94889054122641</v>
      </c>
      <c r="BR94" s="173">
        <f ca="1">(VLOOKUP(BR$72,INDIRECT($C$5&amp;"生成成长"),2))/((VLOOKUP($B94,INDIRECT($B$5&amp;"生成成长"),4))/(VLOOKUP(BR$72,INDIRECT($C$5&amp;"生成成长"),5))*(VLOOKUP($B$5,标准坦克设计!$B$24:$U$30,MATCH("对"&amp;LEFT($C$5,2)&amp;"输出",标准坦克设计!$B$23:$U$23,0)))*(VLOOKUP($B94,INDIRECT($B$5&amp;"生成成长"),3))*(VLOOKUP($B$5,标准坦克设计!$B$14:$K$20,9)/30))</f>
        <v>15.204937662484157</v>
      </c>
      <c r="BS94" s="173">
        <f ca="1">(VLOOKUP(BS$72,INDIRECT($C$5&amp;"生成成长"),2))/((VLOOKUP($B94,INDIRECT($B$5&amp;"生成成长"),4))/(VLOOKUP(BS$72,INDIRECT($C$5&amp;"生成成长"),5))*(VLOOKUP($B$5,标准坦克设计!$B$24:$U$30,MATCH("对"&amp;LEFT($C$5,2)&amp;"输出",标准坦克设计!$B$23:$U$23,0)))*(VLOOKUP($B94,INDIRECT($B$5&amp;"生成成长"),3))*(VLOOKUP($B$5,标准坦克设计!$B$14:$K$20,9)/30))</f>
        <v>16.515124745865087</v>
      </c>
      <c r="BT94" s="173">
        <f ca="1">(VLOOKUP(BT$72,INDIRECT($C$5&amp;"生成成长"),2))/((VLOOKUP($B94,INDIRECT($B$5&amp;"生成成长"),4))/(VLOOKUP(BT$72,INDIRECT($C$5&amp;"生成成长"),5))*(VLOOKUP($B$5,标准坦克设计!$B$24:$U$30,MATCH("对"&amp;LEFT($C$5,2)&amp;"输出",标准坦克设计!$B$23:$U$23,0)))*(VLOOKUP($B94,INDIRECT($B$5&amp;"生成成长"),3))*(VLOOKUP($B$5,标准坦克设计!$B$14:$K$20,9)/30))</f>
        <v>17.879451791369195</v>
      </c>
      <c r="BU94" s="173">
        <f ca="1">(VLOOKUP(BU$72,INDIRECT($C$5&amp;"生成成长"),2))/((VLOOKUP($B94,INDIRECT($B$5&amp;"生成成长"),4))/(VLOOKUP(BU$72,INDIRECT($C$5&amp;"生成成长"),5))*(VLOOKUP($B$5,标准坦克设计!$B$24:$U$30,MATCH("对"&amp;LEFT($C$5,2)&amp;"输出",标准坦克设计!$B$23:$U$23,0)))*(VLOOKUP($B94,INDIRECT($B$5&amp;"生成成长"),3))*(VLOOKUP($B$5,标准坦克设计!$B$14:$K$20,9)/30))</f>
        <v>19.297918798996477</v>
      </c>
      <c r="BV94" s="173">
        <f ca="1">(VLOOKUP(BV$72,INDIRECT($C$5&amp;"生成成长"),2))/((VLOOKUP($B94,INDIRECT($B$5&amp;"生成成长"),4))/(VLOOKUP(BV$72,INDIRECT($C$5&amp;"生成成长"),5))*(VLOOKUP($B$5,标准坦克设计!$B$24:$U$30,MATCH("对"&amp;LEFT($C$5,2)&amp;"输出",标准坦克设计!$B$23:$U$23,0)))*(VLOOKUP($B94,INDIRECT($B$5&amp;"生成成长"),3))*(VLOOKUP($B$5,标准坦克设计!$B$14:$K$20,9)/30))</f>
        <v>20.770525768746946</v>
      </c>
      <c r="BW94" s="173">
        <f ca="1">(VLOOKUP(BW$72,INDIRECT($C$5&amp;"生成成长"),2))/((VLOOKUP($B94,INDIRECT($B$5&amp;"生成成长"),4))/(VLOOKUP(BW$72,INDIRECT($C$5&amp;"生成成长"),5))*(VLOOKUP($B$5,标准坦克设计!$B$24:$U$30,MATCH("对"&amp;LEFT($C$5,2)&amp;"输出",标准坦克设计!$B$23:$U$23,0)))*(VLOOKUP($B94,INDIRECT($B$5&amp;"生成成长"),3))*(VLOOKUP($B$5,标准坦克设计!$B$14:$K$20,9)/30))</f>
        <v>9.4661016774272024</v>
      </c>
      <c r="BX94" s="173">
        <f ca="1">(VLOOKUP(BX$72,INDIRECT($C$5&amp;"生成成长"),2))/((VLOOKUP($B94,INDIRECT($B$5&amp;"生成成长"),4))/(VLOOKUP(BX$72,INDIRECT($C$5&amp;"生成成长"),5))*(VLOOKUP($B$5,标准坦克设计!$B$24:$U$30,MATCH("对"&amp;LEFT($C$5,2)&amp;"输出",标准坦克设计!$B$23:$U$23,0)))*(VLOOKUP($B94,INDIRECT($B$5&amp;"生成成长"),3))*(VLOOKUP($B$5,标准坦克设计!$B$14:$K$20,9)/30))</f>
        <v>10.505588950192235</v>
      </c>
      <c r="BY94" s="173">
        <f ca="1">(VLOOKUP(BY$72,INDIRECT($C$5&amp;"生成成长"),2))/((VLOOKUP($B94,INDIRECT($B$5&amp;"生成成长"),4))/(VLOOKUP(BY$72,INDIRECT($C$5&amp;"生成成长"),5))*(VLOOKUP($B$5,标准坦克设计!$B$24:$U$30,MATCH("对"&amp;LEFT($C$5,2)&amp;"输出",标准坦克设计!$B$23:$U$23,0)))*(VLOOKUP($B94,INDIRECT($B$5&amp;"生成成长"),3))*(VLOOKUP($B$5,标准坦克设计!$B$14:$K$20,9)/30))</f>
        <v>11.599216185080447</v>
      </c>
      <c r="BZ94" s="173">
        <f ca="1">(VLOOKUP(BZ$72,INDIRECT($C$5&amp;"生成成长"),2))/((VLOOKUP($B94,INDIRECT($B$5&amp;"生成成长"),4))/(VLOOKUP(BZ$72,INDIRECT($C$5&amp;"生成成长"),5))*(VLOOKUP($B$5,标准坦克设计!$B$24:$U$30,MATCH("对"&amp;LEFT($C$5,2)&amp;"输出",标准坦克设计!$B$23:$U$23,0)))*(VLOOKUP($B94,INDIRECT($B$5&amp;"生成成长"),3))*(VLOOKUP($B$5,标准坦克设计!$B$14:$K$20,9)/30))</f>
        <v>12.746983382091843</v>
      </c>
      <c r="CA94" s="173">
        <f ca="1">(VLOOKUP(CA$72,INDIRECT($C$5&amp;"生成成长"),2))/((VLOOKUP($B94,INDIRECT($B$5&amp;"生成成长"),4))/(VLOOKUP(CA$72,INDIRECT($C$5&amp;"生成成长"),5))*(VLOOKUP($B$5,标准坦克设计!$B$24:$U$30,MATCH("对"&amp;LEFT($C$5,2)&amp;"输出",标准坦克设计!$B$23:$U$23,0)))*(VLOOKUP($B94,INDIRECT($B$5&amp;"生成成长"),3))*(VLOOKUP($B$5,标准坦克设计!$B$14:$K$20,9)/30))</f>
        <v>13.94889054122641</v>
      </c>
      <c r="CB94" s="173">
        <f ca="1">(VLOOKUP(CB$72,INDIRECT($C$5&amp;"生成成长"),2))/((VLOOKUP($B94,INDIRECT($B$5&amp;"生成成长"),4))/(VLOOKUP(CB$72,INDIRECT($C$5&amp;"生成成长"),5))*(VLOOKUP($B$5,标准坦克设计!$B$24:$U$30,MATCH("对"&amp;LEFT($C$5,2)&amp;"输出",标准坦克设计!$B$23:$U$23,0)))*(VLOOKUP($B94,INDIRECT($B$5&amp;"生成成长"),3))*(VLOOKUP($B$5,标准坦克设计!$B$14:$K$20,9)/30))</f>
        <v>15.204937662484157</v>
      </c>
      <c r="CC94" s="173">
        <f ca="1">(VLOOKUP(CC$72,INDIRECT($C$5&amp;"生成成长"),2))/((VLOOKUP($B94,INDIRECT($B$5&amp;"生成成长"),4))/(VLOOKUP(CC$72,INDIRECT($C$5&amp;"生成成长"),5))*(VLOOKUP($B$5,标准坦克设计!$B$24:$U$30,MATCH("对"&amp;LEFT($C$5,2)&amp;"输出",标准坦克设计!$B$23:$U$23,0)))*(VLOOKUP($B94,INDIRECT($B$5&amp;"生成成长"),3))*(VLOOKUP($B$5,标准坦克设计!$B$14:$K$20,9)/30))</f>
        <v>16.515124745865087</v>
      </c>
      <c r="CD94" s="173">
        <f ca="1">(VLOOKUP(CD$72,INDIRECT($C$5&amp;"生成成长"),2))/((VLOOKUP($B94,INDIRECT($B$5&amp;"生成成长"),4))/(VLOOKUP(CD$72,INDIRECT($C$5&amp;"生成成长"),5))*(VLOOKUP($B$5,标准坦克设计!$B$24:$U$30,MATCH("对"&amp;LEFT($C$5,2)&amp;"输出",标准坦克设计!$B$23:$U$23,0)))*(VLOOKUP($B94,INDIRECT($B$5&amp;"生成成长"),3))*(VLOOKUP($B$5,标准坦克设计!$B$14:$K$20,9)/30))</f>
        <v>17.879451791369195</v>
      </c>
      <c r="CE94" s="173">
        <f ca="1">(VLOOKUP(CE$72,INDIRECT($C$5&amp;"生成成长"),2))/((VLOOKUP($B94,INDIRECT($B$5&amp;"生成成长"),4))/(VLOOKUP(CE$72,INDIRECT($C$5&amp;"生成成长"),5))*(VLOOKUP($B$5,标准坦克设计!$B$24:$U$30,MATCH("对"&amp;LEFT($C$5,2)&amp;"输出",标准坦克设计!$B$23:$U$23,0)))*(VLOOKUP($B94,INDIRECT($B$5&amp;"生成成长"),3))*(VLOOKUP($B$5,标准坦克设计!$B$14:$K$20,9)/30))</f>
        <v>19.297918798996477</v>
      </c>
      <c r="CF94" s="173">
        <f ca="1">(VLOOKUP(CF$72,INDIRECT($C$5&amp;"生成成长"),2))/((VLOOKUP($B94,INDIRECT($B$5&amp;"生成成长"),4))/(VLOOKUP(CF$72,INDIRECT($C$5&amp;"生成成长"),5))*(VLOOKUP($B$5,标准坦克设计!$B$24:$U$30,MATCH("对"&amp;LEFT($C$5,2)&amp;"输出",标准坦克设计!$B$23:$U$23,0)))*(VLOOKUP($B94,INDIRECT($B$5&amp;"生成成长"),3))*(VLOOKUP($B$5,标准坦克设计!$B$14:$K$20,9)/30))</f>
        <v>20.770525768746946</v>
      </c>
      <c r="CG94" s="173">
        <f ca="1">(VLOOKUP(CG$72,INDIRECT($C$5&amp;"生成成长"),2))/((VLOOKUP($B94,INDIRECT($B$5&amp;"生成成长"),4))/(VLOOKUP(CG$72,INDIRECT($C$5&amp;"生成成长"),5))*(VLOOKUP($B$5,标准坦克设计!$B$24:$U$30,MATCH("对"&amp;LEFT($C$5,2)&amp;"输出",标准坦克设计!$B$23:$U$23,0)))*(VLOOKUP($B94,INDIRECT($B$5&amp;"生成成长"),3))*(VLOOKUP($B$5,标准坦克设计!$B$14:$K$20,9)/30))</f>
        <v>22.297272700620585</v>
      </c>
      <c r="CH94" s="173">
        <f ca="1">(VLOOKUP(CH$72,INDIRECT($C$5&amp;"生成成长"),2))/((VLOOKUP($B94,INDIRECT($B$5&amp;"生成成长"),4))/(VLOOKUP(CH$72,INDIRECT($C$5&amp;"生成成长"),5))*(VLOOKUP($B$5,标准坦克设计!$B$24:$U$30,MATCH("对"&amp;LEFT($C$5,2)&amp;"输出",标准坦克设计!$B$23:$U$23,0)))*(VLOOKUP($B94,INDIRECT($B$5&amp;"生成成长"),3))*(VLOOKUP($B$5,标准坦克设计!$B$14:$K$20,9)/30))</f>
        <v>23.878159594617411</v>
      </c>
      <c r="CI94" s="173">
        <f ca="1">(VLOOKUP(CI$72,INDIRECT($C$5&amp;"生成成长"),2))/((VLOOKUP($B94,INDIRECT($B$5&amp;"生成成长"),4))/(VLOOKUP(CI$72,INDIRECT($C$5&amp;"生成成长"),5))*(VLOOKUP($B$5,标准坦克设计!$B$24:$U$30,MATCH("对"&amp;LEFT($C$5,2)&amp;"输出",标准坦克设计!$B$23:$U$23,0)))*(VLOOKUP($B94,INDIRECT($B$5&amp;"生成成长"),3))*(VLOOKUP($B$5,标准坦克设计!$B$14:$K$20,9)/30))</f>
        <v>25.679666834266186</v>
      </c>
      <c r="CJ94" s="173">
        <f ca="1">(VLOOKUP(CJ$72,INDIRECT($C$5&amp;"生成成长"),2))/((VLOOKUP($B94,INDIRECT($B$5&amp;"生成成长"),4))/(VLOOKUP(CJ$72,INDIRECT($C$5&amp;"生成成长"),5))*(VLOOKUP($B$5,标准坦克设计!$B$24:$U$30,MATCH("对"&amp;LEFT($C$5,2)&amp;"输出",标准坦克设计!$B$23:$U$23,0)))*(VLOOKUP($B94,INDIRECT($B$5&amp;"生成成长"),3))*(VLOOKUP($B$5,标准坦克设计!$B$14:$K$20,9)/30))</f>
        <v>27.546683428084005</v>
      </c>
      <c r="CK94" s="173">
        <f ca="1">(VLOOKUP(CK$72,INDIRECT($C$5&amp;"生成成长"),2))/((VLOOKUP($B94,INDIRECT($B$5&amp;"生成成长"),4))/(VLOOKUP(CK$72,INDIRECT($C$5&amp;"生成成长"),5))*(VLOOKUP($B$5,标准坦克设计!$B$24:$U$30,MATCH("对"&amp;LEFT($C$5,2)&amp;"输出",标准坦克设计!$B$23:$U$23,0)))*(VLOOKUP($B94,INDIRECT($B$5&amp;"生成成长"),3))*(VLOOKUP($B$5,标准坦克设计!$B$14:$K$20,9)/30))</f>
        <v>29.47920937607087</v>
      </c>
      <c r="CL94" s="173">
        <f ca="1">(VLOOKUP(CL$72,INDIRECT($C$5&amp;"生成成长"),2))/((VLOOKUP($B94,INDIRECT($B$5&amp;"生成成长"),4))/(VLOOKUP(CL$72,INDIRECT($C$5&amp;"生成成长"),5))*(VLOOKUP($B$5,标准坦克设计!$B$24:$U$30,MATCH("对"&amp;LEFT($C$5,2)&amp;"输出",标准坦克设计!$B$23:$U$23,0)))*(VLOOKUP($B94,INDIRECT($B$5&amp;"生成成长"),3))*(VLOOKUP($B$5,标准坦克设计!$B$14:$K$20,9)/30))</f>
        <v>31.477244678226789</v>
      </c>
      <c r="CM94" s="173">
        <f ca="1">(VLOOKUP(CM$72,INDIRECT($C$5&amp;"生成成长"),2))/((VLOOKUP($B94,INDIRECT($B$5&amp;"生成成长"),4))/(VLOOKUP(CM$72,INDIRECT($C$5&amp;"生成成长"),5))*(VLOOKUP($B$5,标准坦克设计!$B$24:$U$30,MATCH("对"&amp;LEFT($C$5,2)&amp;"输出",标准坦克设计!$B$23:$U$23,0)))*(VLOOKUP($B94,INDIRECT($B$5&amp;"生成成长"),3))*(VLOOKUP($B$5,标准坦克设计!$B$14:$K$20,9)/30))</f>
        <v>33.540789334551754</v>
      </c>
      <c r="CN94" s="173">
        <f ca="1">(VLOOKUP(CN$72,INDIRECT($C$5&amp;"生成成长"),2))/((VLOOKUP($B94,INDIRECT($B$5&amp;"生成成长"),4))/(VLOOKUP(CN$72,INDIRECT($C$5&amp;"生成成长"),5))*(VLOOKUP($B$5,标准坦克设计!$B$24:$U$30,MATCH("对"&amp;LEFT($C$5,2)&amp;"输出",标准坦克设计!$B$23:$U$23,0)))*(VLOOKUP($B94,INDIRECT($B$5&amp;"生成成长"),3))*(VLOOKUP($B$5,标准坦克设计!$B$14:$K$20,9)/30))</f>
        <v>35.669843345045763</v>
      </c>
      <c r="CO94" s="173">
        <f ca="1">(VLOOKUP(CO$72,INDIRECT($C$5&amp;"生成成长"),2))/((VLOOKUP($B94,INDIRECT($B$5&amp;"生成成长"),4))/(VLOOKUP(CO$72,INDIRECT($C$5&amp;"生成成长"),5))*(VLOOKUP($B$5,标准坦克设计!$B$24:$U$30,MATCH("对"&amp;LEFT($C$5,2)&amp;"输出",标准坦克设计!$B$23:$U$23,0)))*(VLOOKUP($B94,INDIRECT($B$5&amp;"生成成长"),3))*(VLOOKUP($B$5,标准坦克设计!$B$14:$K$20,9)/30))</f>
        <v>15.984553117057935</v>
      </c>
      <c r="CP94" s="173">
        <f ca="1">(VLOOKUP(CP$72,INDIRECT($C$5&amp;"生成成长"),2))/((VLOOKUP($B94,INDIRECT($B$5&amp;"生成成长"),4))/(VLOOKUP(CP$72,INDIRECT($C$5&amp;"生成成长"),5))*(VLOOKUP($B$5,标准坦克设计!$B$24:$U$30,MATCH("对"&amp;LEFT($C$5,2)&amp;"输出",标准坦克设计!$B$23:$U$23,0)))*(VLOOKUP($B94,INDIRECT($B$5&amp;"生成成长"),3))*(VLOOKUP($B$5,标准坦克设计!$B$14:$K$20,9)/30))</f>
        <v>17.464468981695028</v>
      </c>
      <c r="CQ94" s="173">
        <f ca="1">(VLOOKUP(CQ$72,INDIRECT($C$5&amp;"生成成长"),2))/((VLOOKUP($B94,INDIRECT($B$5&amp;"生成成长"),4))/(VLOOKUP(CQ$72,INDIRECT($C$5&amp;"生成成长"),5))*(VLOOKUP($B$5,标准坦克设计!$B$24:$U$30,MATCH("对"&amp;LEFT($C$5,2)&amp;"输出",标准坦克设计!$B$23:$U$23,0)))*(VLOOKUP($B94,INDIRECT($B$5&amp;"生成成长"),3))*(VLOOKUP($B$5,标准坦克设计!$B$14:$K$20,9)/30))</f>
        <v>19.009894200501169</v>
      </c>
      <c r="CR94" s="173">
        <f ca="1">(VLOOKUP(CR$72,INDIRECT($C$5&amp;"生成成长"),2))/((VLOOKUP($B94,INDIRECT($B$5&amp;"生成成长"),4))/(VLOOKUP(CR$72,INDIRECT($C$5&amp;"生成成长"),5))*(VLOOKUP($B$5,标准坦克设计!$B$24:$U$30,MATCH("对"&amp;LEFT($C$5,2)&amp;"输出",标准坦克设计!$B$23:$U$23,0)))*(VLOOKUP($B94,INDIRECT($B$5&amp;"生成成长"),3))*(VLOOKUP($B$5,标准坦克设计!$B$14:$K$20,9)/30))</f>
        <v>20.620828773476358</v>
      </c>
      <c r="CS94" s="173">
        <f ca="1">(VLOOKUP(CS$72,INDIRECT($C$5&amp;"生成成长"),2))/((VLOOKUP($B94,INDIRECT($B$5&amp;"生成成长"),4))/(VLOOKUP(CS$72,INDIRECT($C$5&amp;"生成成长"),5))*(VLOOKUP($B$5,标准坦克设计!$B$24:$U$30,MATCH("对"&amp;LEFT($C$5,2)&amp;"输出",标准坦克设计!$B$23:$U$23,0)))*(VLOOKUP($B94,INDIRECT($B$5&amp;"生成成长"),3))*(VLOOKUP($B$5,标准坦克设计!$B$14:$K$20,9)/30))</f>
        <v>22.297272700620585</v>
      </c>
      <c r="CT94" s="173">
        <f ca="1">(VLOOKUP(CT$72,INDIRECT($C$5&amp;"生成成长"),2))/((VLOOKUP($B94,INDIRECT($B$5&amp;"生成成长"),4))/(VLOOKUP(CT$72,INDIRECT($C$5&amp;"生成成长"),5))*(VLOOKUP($B$5,标准坦克设计!$B$24:$U$30,MATCH("对"&amp;LEFT($C$5,2)&amp;"输出",标准坦克设计!$B$23:$U$23,0)))*(VLOOKUP($B94,INDIRECT($B$5&amp;"生成成长"),3))*(VLOOKUP($B$5,标准坦克设计!$B$14:$K$20,9)/30))</f>
        <v>24.039225981933864</v>
      </c>
      <c r="CU94" s="173">
        <f ca="1">(VLOOKUP(CU$72,INDIRECT($C$5&amp;"生成成长"),2))/((VLOOKUP($B94,INDIRECT($B$5&amp;"生成成长"),4))/(VLOOKUP(CU$72,INDIRECT($C$5&amp;"生成成长"),5))*(VLOOKUP($B$5,标准坦克设计!$B$24:$U$30,MATCH("对"&amp;LEFT($C$5,2)&amp;"输出",标准坦克设计!$B$23:$U$23,0)))*(VLOOKUP($B94,INDIRECT($B$5&amp;"生成成长"),3))*(VLOOKUP($B$5,标准坦克设计!$B$14:$K$20,9)/30))</f>
        <v>25.846688617416191</v>
      </c>
      <c r="CV94" s="173">
        <f ca="1">(VLOOKUP(CV$72,INDIRECT($C$5&amp;"生成成长"),2))/((VLOOKUP($B94,INDIRECT($B$5&amp;"生成成长"),4))/(VLOOKUP(CV$72,INDIRECT($C$5&amp;"生成成长"),5))*(VLOOKUP($B$5,标准坦克设计!$B$24:$U$30,MATCH("对"&amp;LEFT($C$5,2)&amp;"输出",标准坦克设计!$B$23:$U$23,0)))*(VLOOKUP($B94,INDIRECT($B$5&amp;"生成成长"),3))*(VLOOKUP($B$5,标准坦克设计!$B$14:$K$20,9)/30))</f>
        <v>27.719660607067556</v>
      </c>
      <c r="CW94" s="173">
        <f ca="1">(VLOOKUP(CW$72,INDIRECT($C$5&amp;"生成成长"),2))/((VLOOKUP($B94,INDIRECT($B$5&amp;"生成成长"),4))/(VLOOKUP(CW$72,INDIRECT($C$5&amp;"生成成长"),5))*(VLOOKUP($B$5,标准坦克设计!$B$24:$U$30,MATCH("对"&amp;LEFT($C$5,2)&amp;"输出",标准坦克设计!$B$23:$U$23,0)))*(VLOOKUP($B94,INDIRECT($B$5&amp;"生成成长"),3))*(VLOOKUP($B$5,标准坦克设计!$B$14:$K$20,9)/30))</f>
        <v>29.658141950887984</v>
      </c>
      <c r="CX94" s="173">
        <f ca="1">(VLOOKUP(CX$72,INDIRECT($C$5&amp;"生成成长"),2))/((VLOOKUP($B94,INDIRECT($B$5&amp;"生成成长"),4))/(VLOOKUP(CX$72,INDIRECT($C$5&amp;"生成成长"),5))*(VLOOKUP($B$5,标准坦克设计!$B$24:$U$30,MATCH("对"&amp;LEFT($C$5,2)&amp;"输出",标准坦克设计!$B$23:$U$23,0)))*(VLOOKUP($B94,INDIRECT($B$5&amp;"生成成长"),3))*(VLOOKUP($B$5,标准坦克设计!$B$14:$K$20,9)/30))</f>
        <v>31.662132648877446</v>
      </c>
      <c r="CY94" s="173">
        <f ca="1">(VLOOKUP(CY$72,INDIRECT($C$5&amp;"生成成长"),2))/((VLOOKUP($B94,INDIRECT($B$5&amp;"生成成长"),4))/(VLOOKUP(CY$72,INDIRECT($C$5&amp;"生成成长"),5))*(VLOOKUP($B$5,标准坦克设计!$B$24:$U$30,MATCH("对"&amp;LEFT($C$5,2)&amp;"输出",标准坦克设计!$B$23:$U$23,0)))*(VLOOKUP($B94,INDIRECT($B$5&amp;"生成成长"),3))*(VLOOKUP($B$5,标准坦克设计!$B$14:$K$20,9)/30))</f>
        <v>33.731632701035949</v>
      </c>
      <c r="CZ94" s="173">
        <f ca="1">(VLOOKUP(CZ$72,INDIRECT($C$5&amp;"生成成长"),2))/((VLOOKUP($B94,INDIRECT($B$5&amp;"生成成长"),4))/(VLOOKUP(CZ$72,INDIRECT($C$5&amp;"生成成长"),5))*(VLOOKUP($B$5,标准坦克设计!$B$24:$U$30,MATCH("对"&amp;LEFT($C$5,2)&amp;"输出",标准坦克设计!$B$23:$U$23,0)))*(VLOOKUP($B94,INDIRECT($B$5&amp;"生成成长"),3))*(VLOOKUP($B$5,标准坦克设计!$B$14:$K$20,9)/30))</f>
        <v>35.866642107363511</v>
      </c>
      <c r="DA94" s="173">
        <f ca="1">(VLOOKUP(DA$72,INDIRECT($C$5&amp;"生成成长"),2))/((VLOOKUP($B94,INDIRECT($B$5&amp;"生成成长"),4))/(VLOOKUP(DA$72,INDIRECT($C$5&amp;"生成成长"),5))*(VLOOKUP($B$5,标准坦克设计!$B$24:$U$30,MATCH("对"&amp;LEFT($C$5,2)&amp;"输出",标准坦克设计!$B$23:$U$23,0)))*(VLOOKUP($B94,INDIRECT($B$5&amp;"生成成长"),3))*(VLOOKUP($B$5,标准坦克设计!$B$14:$K$20,9)/30))</f>
        <v>38.067160867860117</v>
      </c>
      <c r="DB94" s="173">
        <f ca="1">(VLOOKUP(DB$72,INDIRECT($C$5&amp;"生成成长"),2))/((VLOOKUP($B94,INDIRECT($B$5&amp;"生成成长"),4))/(VLOOKUP(DB$72,INDIRECT($C$5&amp;"生成成长"),5))*(VLOOKUP($B$5,标准坦克设计!$B$24:$U$30,MATCH("对"&amp;LEFT($C$5,2)&amp;"输出",标准坦克设计!$B$23:$U$23,0)))*(VLOOKUP($B94,INDIRECT($B$5&amp;"生成成长"),3))*(VLOOKUP($B$5,标准坦克设计!$B$14:$K$20,9)/30))</f>
        <v>40.333188982525762</v>
      </c>
      <c r="DC94" s="173">
        <f ca="1">(VLOOKUP(DC$72,INDIRECT($C$5&amp;"生成成长"),2))/((VLOOKUP($B94,INDIRECT($B$5&amp;"生成成长"),4))/(VLOOKUP(DC$72,INDIRECT($C$5&amp;"生成成长"),5))*(VLOOKUP($B$5,标准坦克设计!$B$24:$U$30,MATCH("对"&amp;LEFT($C$5,2)&amp;"输出",标准坦克设计!$B$23:$U$23,0)))*(VLOOKUP($B94,INDIRECT($B$5&amp;"生成成长"),3))*(VLOOKUP($B$5,标准坦克设计!$B$14:$K$20,9)/30))</f>
        <v>42.879932800800098</v>
      </c>
      <c r="DD94" s="173">
        <f ca="1">(VLOOKUP(DD$72,INDIRECT($C$5&amp;"生成成长"),2))/((VLOOKUP($B94,INDIRECT($B$5&amp;"生成成长"),4))/(VLOOKUP(DD$72,INDIRECT($C$5&amp;"生成成长"),5))*(VLOOKUP($B$5,标准坦克设计!$B$24:$U$30,MATCH("对"&amp;LEFT($C$5,2)&amp;"输出",标准坦克设计!$B$23:$U$23,0)))*(VLOOKUP($B94,INDIRECT($B$5&amp;"生成成长"),3))*(VLOOKUP($B$5,标准坦克设计!$B$14:$K$20,9)/30))</f>
        <v>45.504638164531812</v>
      </c>
      <c r="DE94" s="173">
        <f ca="1">(VLOOKUP(DE$72,INDIRECT($C$5&amp;"生成成长"),2))/((VLOOKUP($B94,INDIRECT($B$5&amp;"生成成长"),4))/(VLOOKUP(DE$72,INDIRECT($C$5&amp;"生成成长"),5))*(VLOOKUP($B$5,标准坦克设计!$B$24:$U$30,MATCH("对"&amp;LEFT($C$5,2)&amp;"输出",标准坦克设计!$B$23:$U$23,0)))*(VLOOKUP($B94,INDIRECT($B$5&amp;"生成成长"),3))*(VLOOKUP($B$5,标准坦克设计!$B$14:$K$20,9)/30))</f>
        <v>48.207305073720903</v>
      </c>
      <c r="DF94" s="173">
        <f ca="1">(VLOOKUP(DF$72,INDIRECT($C$5&amp;"生成成长"),2))/((VLOOKUP($B94,INDIRECT($B$5&amp;"生成成长"),4))/(VLOOKUP(DF$72,INDIRECT($C$5&amp;"生成成长"),5))*(VLOOKUP($B$5,标准坦克设计!$B$24:$U$30,MATCH("对"&amp;LEFT($C$5,2)&amp;"输出",标准坦克设计!$B$23:$U$23,0)))*(VLOOKUP($B94,INDIRECT($B$5&amp;"生成成长"),3))*(VLOOKUP($B$5,标准坦克设计!$B$14:$K$20,9)/30))</f>
        <v>50.987933528367371</v>
      </c>
      <c r="DG94" s="173">
        <f ca="1">(VLOOKUP(DG$72,INDIRECT($C$5&amp;"生成成长"),2))/((VLOOKUP($B94,INDIRECT($B$5&amp;"生成成长"),4))/(VLOOKUP(DG$72,INDIRECT($C$5&amp;"生成成长"),5))*(VLOOKUP($B$5,标准坦克设计!$B$24:$U$30,MATCH("对"&amp;LEFT($C$5,2)&amp;"输出",标准坦克设计!$B$23:$U$23,0)))*(VLOOKUP($B94,INDIRECT($B$5&amp;"生成成长"),3))*(VLOOKUP($B$5,标准坦克设计!$B$14:$K$20,9)/30))</f>
        <v>53.846523528471195</v>
      </c>
      <c r="DH94" s="173">
        <f ca="1">(VLOOKUP(DH$72,INDIRECT($C$5&amp;"生成成长"),2))/((VLOOKUP($B94,INDIRECT($B$5&amp;"生成成长"),4))/(VLOOKUP(DH$72,INDIRECT($C$5&amp;"生成成长"),5))*(VLOOKUP($B$5,标准坦克设计!$B$24:$U$30,MATCH("对"&amp;LEFT($C$5,2)&amp;"输出",标准坦克设计!$B$23:$U$23,0)))*(VLOOKUP($B94,INDIRECT($B$5&amp;"生成成长"),3))*(VLOOKUP($B$5,标准坦克设计!$B$14:$K$20,9)/30))</f>
        <v>56.783075074032432</v>
      </c>
      <c r="DI94" s="173">
        <f ca="1">(VLOOKUP(DI$72,INDIRECT($C$5&amp;"生成成长"),2))/((VLOOKUP($B94,INDIRECT($B$5&amp;"生成成长"),4))/(VLOOKUP(DI$72,INDIRECT($C$5&amp;"生成成长"),5))*(VLOOKUP($B$5,标准坦克设计!$B$24:$U$30,MATCH("对"&amp;LEFT($C$5,2)&amp;"输出",标准坦克设计!$B$23:$U$23,0)))*(VLOOKUP($B94,INDIRECT($B$5&amp;"生成成长"),3))*(VLOOKUP($B$5,标准坦克设计!$B$14:$K$20,9)/30))</f>
        <v>59.797588165051025</v>
      </c>
      <c r="DJ94" s="173">
        <f ca="1">(VLOOKUP(DJ$72,INDIRECT($C$5&amp;"生成成长"),2))/((VLOOKUP($B94,INDIRECT($B$5&amp;"生成成长"),4))/(VLOOKUP(DJ$72,INDIRECT($C$5&amp;"生成成长"),5))*(VLOOKUP($B$5,标准坦克设计!$B$24:$U$30,MATCH("对"&amp;LEFT($C$5,2)&amp;"输出",标准坦克设计!$B$23:$U$23,0)))*(VLOOKUP($B94,INDIRECT($B$5&amp;"生成成长"),3))*(VLOOKUP($B$5,标准坦克设计!$B$14:$K$20,9)/30))</f>
        <v>6.009806495483466</v>
      </c>
      <c r="DK94" s="173">
        <f ca="1">(VLOOKUP(DK$72,INDIRECT($C$5&amp;"生成成长"),2))/((VLOOKUP($B94,INDIRECT($B$5&amp;"生成成长"),4))/(VLOOKUP(DK$72,INDIRECT($C$5&amp;"生成成长"),5))*(VLOOKUP($B$5,标准坦克设计!$B$24:$U$30,MATCH("对"&amp;LEFT($C$5,2)&amp;"输出",标准坦克设计!$B$23:$U$23,0)))*(VLOOKUP($B94,INDIRECT($B$5&amp;"生成成长"),3))*(VLOOKUP($B$5,标准坦克设计!$B$14:$K$20,9)/30))</f>
        <v>6.757750072215182</v>
      </c>
      <c r="DL94" s="173">
        <f ca="1">(VLOOKUP(DL$72,INDIRECT($C$5&amp;"生成成长"),2))/((VLOOKUP($B94,INDIRECT($B$5&amp;"生成成长"),4))/(VLOOKUP(DL$72,INDIRECT($C$5&amp;"生成成长"),5))*(VLOOKUP($B$5,标准坦克设计!$B$24:$U$30,MATCH("对"&amp;LEFT($C$5,2)&amp;"输出",标准坦克设计!$B$23:$U$23,0)))*(VLOOKUP($B94,INDIRECT($B$5&amp;"生成成长"),3))*(VLOOKUP($B$5,标准坦克设计!$B$14:$K$20,9)/30))</f>
        <v>7.5495470182666713</v>
      </c>
      <c r="DM94" s="173">
        <f ca="1">(VLOOKUP(DM$72,INDIRECT($C$5&amp;"生成成长"),2))/((VLOOKUP($B94,INDIRECT($B$5&amp;"生成成长"),4))/(VLOOKUP(DM$72,INDIRECT($C$5&amp;"生成成长"),5))*(VLOOKUP($B$5,标准坦克设计!$B$24:$U$30,MATCH("对"&amp;LEFT($C$5,2)&amp;"输出",标准坦克设计!$B$23:$U$23,0)))*(VLOOKUP($B94,INDIRECT($B$5&amp;"生成成长"),3))*(VLOOKUP($B$5,标准坦克设计!$B$14:$K$20,9)/30))</f>
        <v>8.3851973336379384</v>
      </c>
      <c r="DN94" s="173">
        <f ca="1">(VLOOKUP(DN$72,INDIRECT($C$5&amp;"生成成长"),2))/((VLOOKUP($B94,INDIRECT($B$5&amp;"生成成长"),4))/(VLOOKUP(DN$72,INDIRECT($C$5&amp;"生成成长"),5))*(VLOOKUP($B$5,标准坦克设计!$B$24:$U$30,MATCH("对"&amp;LEFT($C$5,2)&amp;"输出",标准坦克设计!$B$23:$U$23,0)))*(VLOOKUP($B94,INDIRECT($B$5&amp;"生成成长"),3))*(VLOOKUP($B$5,标准坦克设计!$B$14:$K$20,9)/30))</f>
        <v>9.264701018328978</v>
      </c>
      <c r="DO94" s="173">
        <f ca="1">(VLOOKUP(DO$72,INDIRECT($C$5&amp;"生成成长"),2))/((VLOOKUP($B94,INDIRECT($B$5&amp;"生成成长"),4))/(VLOOKUP(DO$72,INDIRECT($C$5&amp;"生成成长"),5))*(VLOOKUP($B$5,标准坦克设计!$B$24:$U$30,MATCH("对"&amp;LEFT($C$5,2)&amp;"输出",标准坦克设计!$B$23:$U$23,0)))*(VLOOKUP($B94,INDIRECT($B$5&amp;"生成成长"),3))*(VLOOKUP($B$5,标准坦克设计!$B$14:$K$20,9)/30))</f>
        <v>10.188058072339794</v>
      </c>
      <c r="DP94" s="173">
        <f ca="1">(VLOOKUP(DP$72,INDIRECT($C$5&amp;"生成成长"),2))/((VLOOKUP($B94,INDIRECT($B$5&amp;"生成成长"),4))/(VLOOKUP(DP$72,INDIRECT($C$5&amp;"生成成长"),5))*(VLOOKUP($B$5,标准坦克设计!$B$24:$U$30,MATCH("对"&amp;LEFT($C$5,2)&amp;"输出",标准坦克设计!$B$23:$U$23,0)))*(VLOOKUP($B94,INDIRECT($B$5&amp;"生成成长"),3))*(VLOOKUP($B$5,标准坦克设计!$B$14:$K$20,9)/30))</f>
        <v>11.155268495670381</v>
      </c>
      <c r="DQ94" s="173">
        <f ca="1">(VLOOKUP(DQ$72,INDIRECT($C$5&amp;"生成成长"),2))/((VLOOKUP($B94,INDIRECT($B$5&amp;"生成成长"),4))/(VLOOKUP(DQ$72,INDIRECT($C$5&amp;"生成成长"),5))*(VLOOKUP($B$5,标准坦克设计!$B$24:$U$30,MATCH("对"&amp;LEFT($C$5,2)&amp;"输出",标准坦克设计!$B$23:$U$23,0)))*(VLOOKUP($B94,INDIRECT($B$5&amp;"生成成长"),3))*(VLOOKUP($B$5,标准坦克设计!$B$14:$K$20,9)/30))</f>
        <v>12.166332288320747</v>
      </c>
      <c r="DR94" s="173">
        <f ca="1">(VLOOKUP(DR$72,INDIRECT($C$5&amp;"生成成长"),2))/((VLOOKUP($B94,INDIRECT($B$5&amp;"生成成长"),4))/(VLOOKUP(DR$72,INDIRECT($C$5&amp;"生成成长"),5))*(VLOOKUP($B$5,标准坦克设计!$B$24:$U$30,MATCH("对"&amp;LEFT($C$5,2)&amp;"输出",标准坦克设计!$B$23:$U$23,0)))*(VLOOKUP($B94,INDIRECT($B$5&amp;"生成成长"),3))*(VLOOKUP($B$5,标准坦克设计!$B$14:$K$20,9)/30))</f>
        <v>13.221249450290887</v>
      </c>
      <c r="DS94" s="173">
        <f ca="1">(VLOOKUP(DS$72,INDIRECT($C$5&amp;"生成成长"),2))/((VLOOKUP($B94,INDIRECT($B$5&amp;"生成成长"),4))/(VLOOKUP(DS$72,INDIRECT($C$5&amp;"生成成长"),5))*(VLOOKUP($B$5,标准坦克设计!$B$24:$U$30,MATCH("对"&amp;LEFT($C$5,2)&amp;"输出",标准坦克设计!$B$23:$U$23,0)))*(VLOOKUP($B94,INDIRECT($B$5&amp;"生成成长"),3))*(VLOOKUP($B$5,标准坦克设计!$B$14:$K$20,9)/30))</f>
        <v>14.320019981580801</v>
      </c>
      <c r="DT94" s="173">
        <f ca="1">(VLOOKUP(DT$72,INDIRECT($C$5&amp;"生成成长"),2))/((VLOOKUP($B94,INDIRECT($B$5&amp;"生成成长"),4))/(VLOOKUP(DT$72,INDIRECT($C$5&amp;"生成成长"),5))*(VLOOKUP($B$5,标准坦克设计!$B$24:$U$30,MATCH("对"&amp;LEFT($C$5,2)&amp;"输出",标准坦克设计!$B$23:$U$23,0)))*(VLOOKUP($B94,INDIRECT($B$5&amp;"生成成长"),3))*(VLOOKUP($B$5,标准坦克设计!$B$14:$K$20,9)/30))</f>
        <v>15.722515700381747</v>
      </c>
      <c r="DU94" s="173">
        <f ca="1">(VLOOKUP(DU$72,INDIRECT($C$5&amp;"生成成长"),2))/((VLOOKUP($B94,INDIRECT($B$5&amp;"生成成长"),4))/(VLOOKUP(DU$72,INDIRECT($C$5&amp;"生成成长"),5))*(VLOOKUP($B$5,标准坦克设计!$B$24:$U$30,MATCH("对"&amp;LEFT($C$5,2)&amp;"输出",标准坦克设计!$B$23:$U$23,0)))*(VLOOKUP($B94,INDIRECT($B$5&amp;"生成成长"),3))*(VLOOKUP($B$5,标准坦克设计!$B$14:$K$20,9)/30))</f>
        <v>17.190520773351743</v>
      </c>
      <c r="DV94" s="173">
        <f ca="1">(VLOOKUP(DV$72,INDIRECT($C$5&amp;"生成成长"),2))/((VLOOKUP($B94,INDIRECT($B$5&amp;"生成成长"),4))/(VLOOKUP(DV$72,INDIRECT($C$5&amp;"生成成长"),5))*(VLOOKUP($B$5,标准坦克设计!$B$24:$U$30,MATCH("对"&amp;LEFT($C$5,2)&amp;"输出",标准坦克设计!$B$23:$U$23,0)))*(VLOOKUP($B94,INDIRECT($B$5&amp;"生成成长"),3))*(VLOOKUP($B$5,标准坦克设计!$B$14:$K$20,9)/30))</f>
        <v>18.724035200490786</v>
      </c>
      <c r="DW94" s="173">
        <f ca="1">(VLOOKUP(DW$72,INDIRECT($C$5&amp;"生成成长"),2))/((VLOOKUP($B94,INDIRECT($B$5&amp;"生成成长"),4))/(VLOOKUP(DW$72,INDIRECT($C$5&amp;"生成成长"),5))*(VLOOKUP($B$5,标准坦克设计!$B$24:$U$30,MATCH("对"&amp;LEFT($C$5,2)&amp;"输出",标准坦克设计!$B$23:$U$23,0)))*(VLOOKUP($B94,INDIRECT($B$5&amp;"生成成长"),3))*(VLOOKUP($B$5,标准坦克设计!$B$14:$K$20,9)/30))</f>
        <v>20.323058981798869</v>
      </c>
      <c r="DX94" s="173">
        <f ca="1">(VLOOKUP(DX$72,INDIRECT($C$5&amp;"生成成长"),2))/((VLOOKUP($B94,INDIRECT($B$5&amp;"生成成长"),4))/(VLOOKUP(DX$72,INDIRECT($C$5&amp;"生成成长"),5))*(VLOOKUP($B$5,标准坦克设计!$B$24:$U$30,MATCH("对"&amp;LEFT($C$5,2)&amp;"输出",标准坦克设计!$B$23:$U$23,0)))*(VLOOKUP($B94,INDIRECT($B$5&amp;"生成成长"),3))*(VLOOKUP($B$5,标准坦克设计!$B$14:$K$20,9)/30))</f>
        <v>21.987592117276002</v>
      </c>
      <c r="DY94" s="173">
        <f ca="1">(VLOOKUP(DY$72,INDIRECT($C$5&amp;"生成成长"),2))/((VLOOKUP($B94,INDIRECT($B$5&amp;"生成成长"),4))/(VLOOKUP(DY$72,INDIRECT($C$5&amp;"生成成长"),5))*(VLOOKUP($B$5,标准坦克设计!$B$24:$U$30,MATCH("对"&amp;LEFT($C$5,2)&amp;"输出",标准坦克设计!$B$23:$U$23,0)))*(VLOOKUP($B94,INDIRECT($B$5&amp;"生成成长"),3))*(VLOOKUP($B$5,标准坦克设计!$B$14:$K$20,9)/30))</f>
        <v>9.8753997910784346</v>
      </c>
      <c r="DZ94" s="173">
        <f ca="1">(VLOOKUP(DZ$72,INDIRECT($C$5&amp;"生成成长"),2))/((VLOOKUP($B94,INDIRECT($B$5&amp;"生成成长"),4))/(VLOOKUP(DZ$72,INDIRECT($C$5&amp;"生成成长"),5))*(VLOOKUP($B$5,标准坦克设计!$B$24:$U$30,MATCH("对"&amp;LEFT($C$5,2)&amp;"输出",标准坦克设计!$B$23:$U$23,0)))*(VLOOKUP($B94,INDIRECT($B$5&amp;"生成成长"),3))*(VLOOKUP($B$5,标准坦克设计!$B$14:$K$20,9)/30))</f>
        <v>10.936543048692741</v>
      </c>
      <c r="EA94" s="173">
        <f ca="1">(VLOOKUP(EA$72,INDIRECT($C$5&amp;"生成成长"),2))/((VLOOKUP($B94,INDIRECT($B$5&amp;"生成成长"),4))/(VLOOKUP(EA$72,INDIRECT($C$5&amp;"生成成长"),5))*(VLOOKUP($B$5,标准坦克设计!$B$24:$U$30,MATCH("对"&amp;LEFT($C$5,2)&amp;"输出",标准坦克设计!$B$23:$U$23,0)))*(VLOOKUP($B94,INDIRECT($B$5&amp;"生成成长"),3))*(VLOOKUP($B$5,标准坦克设计!$B$14:$K$20,9)/30))</f>
        <v>12.051826268430226</v>
      </c>
      <c r="EB94" s="173">
        <f ca="1">(VLOOKUP(EB$72,INDIRECT($C$5&amp;"生成成长"),2))/((VLOOKUP($B94,INDIRECT($B$5&amp;"生成成长"),4))/(VLOOKUP(EB$72,INDIRECT($C$5&amp;"生成成长"),5))*(VLOOKUP($B$5,标准坦克设计!$B$24:$U$30,MATCH("对"&amp;LEFT($C$5,2)&amp;"输出",标准坦克设计!$B$23:$U$23,0)))*(VLOOKUP($B94,INDIRECT($B$5&amp;"生成成长"),3))*(VLOOKUP($B$5,标准坦克设计!$B$14:$K$20,9)/30))</f>
        <v>13.221249450290887</v>
      </c>
      <c r="EC94" s="173">
        <f ca="1">(VLOOKUP(EC$72,INDIRECT($C$5&amp;"生成成长"),2))/((VLOOKUP($B94,INDIRECT($B$5&amp;"生成成长"),4))/(VLOOKUP(EC$72,INDIRECT($C$5&amp;"生成成长"),5))*(VLOOKUP($B$5,标准坦克设计!$B$24:$U$30,MATCH("对"&amp;LEFT($C$5,2)&amp;"输出",标准坦克设计!$B$23:$U$23,0)))*(VLOOKUP($B94,INDIRECT($B$5&amp;"生成成长"),3))*(VLOOKUP($B$5,标准坦克设计!$B$14:$K$20,9)/30))</f>
        <v>14.444812594274728</v>
      </c>
      <c r="ED94" s="173">
        <f ca="1">(VLOOKUP(ED$72,INDIRECT($C$5&amp;"生成成长"),2))/((VLOOKUP($B94,INDIRECT($B$5&amp;"生成成长"),4))/(VLOOKUP(ED$72,INDIRECT($C$5&amp;"生成成长"),5))*(VLOOKUP($B$5,标准坦克设计!$B$24:$U$30,MATCH("对"&amp;LEFT($C$5,2)&amp;"输出",标准坦克设计!$B$23:$U$23,0)))*(VLOOKUP($B94,INDIRECT($B$5&amp;"生成成长"),3))*(VLOOKUP($B$5,标准坦克设计!$B$14:$K$20,9)/30))</f>
        <v>15.722515700381747</v>
      </c>
      <c r="EE94" s="173">
        <f ca="1">(VLOOKUP(EE$72,INDIRECT($C$5&amp;"生成成长"),2))/((VLOOKUP($B94,INDIRECT($B$5&amp;"生成成长"),4))/(VLOOKUP(EE$72,INDIRECT($C$5&amp;"生成成长"),5))*(VLOOKUP($B$5,标准坦克设计!$B$24:$U$30,MATCH("对"&amp;LEFT($C$5,2)&amp;"输出",标准坦克设计!$B$23:$U$23,0)))*(VLOOKUP($B94,INDIRECT($B$5&amp;"生成成长"),3))*(VLOOKUP($B$5,标准坦克设计!$B$14:$K$20,9)/30))</f>
        <v>17.054358768611948</v>
      </c>
      <c r="EF94" s="173">
        <f ca="1">(VLOOKUP(EF$72,INDIRECT($C$5&amp;"生成成长"),2))/((VLOOKUP($B94,INDIRECT($B$5&amp;"生成成长"),4))/(VLOOKUP(EF$72,INDIRECT($C$5&amp;"生成成长"),5))*(VLOOKUP($B$5,标准坦克设计!$B$24:$U$30,MATCH("对"&amp;LEFT($C$5,2)&amp;"输出",标准坦克设计!$B$23:$U$23,0)))*(VLOOKUP($B94,INDIRECT($B$5&amp;"生成成长"),3))*(VLOOKUP($B$5,标准坦克设计!$B$14:$K$20,9)/30))</f>
        <v>18.440341798965324</v>
      </c>
      <c r="EG94" s="173">
        <f ca="1">(VLOOKUP(EG$72,INDIRECT($C$5&amp;"生成成长"),2))/((VLOOKUP($B94,INDIRECT($B$5&amp;"生成成长"),4))/(VLOOKUP(EG$72,INDIRECT($C$5&amp;"生成成长"),5))*(VLOOKUP($B$5,标准坦克设计!$B$24:$U$30,MATCH("对"&amp;LEFT($C$5,2)&amp;"输出",标准坦克设计!$B$23:$U$23,0)))*(VLOOKUP($B94,INDIRECT($B$5&amp;"生成成长"),3))*(VLOOKUP($B$5,标准坦克设计!$B$14:$K$20,9)/30))</f>
        <v>19.880464791441884</v>
      </c>
      <c r="EH94" s="173">
        <f ca="1">(VLOOKUP(EH$72,INDIRECT($C$5&amp;"生成成长"),2))/((VLOOKUP($B94,INDIRECT($B$5&amp;"生成成长"),4))/(VLOOKUP(EH$72,INDIRECT($C$5&amp;"生成成长"),5))*(VLOOKUP($B$5,标准坦克设计!$B$24:$U$30,MATCH("对"&amp;LEFT($C$5,2)&amp;"输出",标准坦克设计!$B$23:$U$23,0)))*(VLOOKUP($B94,INDIRECT($B$5&amp;"生成成长"),3))*(VLOOKUP($B$5,标准坦克设计!$B$14:$K$20,9)/30))</f>
        <v>21.374727746041621</v>
      </c>
      <c r="EI94" s="173">
        <f ca="1">(VLOOKUP(EI$72,INDIRECT($C$5&amp;"生成成长"),2))/((VLOOKUP($B94,INDIRECT($B$5&amp;"生成成长"),4))/(VLOOKUP(EI$72,INDIRECT($C$5&amp;"生成成长"),5))*(VLOOKUP($B$5,标准坦克设计!$B$24:$U$30,MATCH("对"&amp;LEFT($C$5,2)&amp;"输出",标准坦克设计!$B$23:$U$23,0)))*(VLOOKUP($B94,INDIRECT($B$5&amp;"生成成长"),3))*(VLOOKUP($B$5,标准坦克设计!$B$14:$K$20,9)/30))</f>
        <v>22.923130662764535</v>
      </c>
      <c r="EJ94" s="173">
        <f ca="1">(VLOOKUP(EJ$72,INDIRECT($C$5&amp;"生成成长"),2))/((VLOOKUP($B94,INDIRECT($B$5&amp;"生成成长"),4))/(VLOOKUP(EJ$72,INDIRECT($C$5&amp;"生成成长"),5))*(VLOOKUP($B$5,标准坦克设计!$B$24:$U$30,MATCH("对"&amp;LEFT($C$5,2)&amp;"输出",标准坦克设计!$B$23:$U$23,0)))*(VLOOKUP($B94,INDIRECT($B$5&amp;"生成成长"),3))*(VLOOKUP($B$5,标准坦克设计!$B$14:$K$20,9)/30))</f>
        <v>24.525673541610626</v>
      </c>
      <c r="EK94" s="173">
        <f ca="1">(VLOOKUP(EK$72,INDIRECT($C$5&amp;"生成成长"),2))/((VLOOKUP($B94,INDIRECT($B$5&amp;"生成成长"),4))/(VLOOKUP(EK$72,INDIRECT($C$5&amp;"生成成长"),5))*(VLOOKUP($B$5,标准坦克设计!$B$24:$U$30,MATCH("对"&amp;LEFT($C$5,2)&amp;"输出",标准坦克设计!$B$23:$U$23,0)))*(VLOOKUP($B94,INDIRECT($B$5&amp;"生成成长"),3))*(VLOOKUP($B$5,标准坦克设计!$B$14:$K$20,9)/30))</f>
        <v>26.520189746228532</v>
      </c>
      <c r="EL94" s="173">
        <f ca="1">(VLOOKUP(EL$72,INDIRECT($C$5&amp;"生成成长"),2))/((VLOOKUP($B94,INDIRECT($B$5&amp;"生成成长"),4))/(VLOOKUP(EL$72,INDIRECT($C$5&amp;"生成成长"),5))*(VLOOKUP($B$5,标准坦克设计!$B$24:$U$30,MATCH("对"&amp;LEFT($C$5,2)&amp;"输出",标准坦克设计!$B$23:$U$23,0)))*(VLOOKUP($B94,INDIRECT($B$5&amp;"生成成长"),3))*(VLOOKUP($B$5,标准坦克设计!$B$14:$K$20,9)/30))</f>
        <v>28.592667496303822</v>
      </c>
      <c r="EM94" s="173">
        <f ca="1">(VLOOKUP(EM$72,INDIRECT($C$5&amp;"生成成长"),2))/((VLOOKUP($B94,INDIRECT($B$5&amp;"生成成长"),4))/(VLOOKUP(EM$72,INDIRECT($C$5&amp;"生成成长"),5))*(VLOOKUP($B$5,标准坦克设计!$B$24:$U$30,MATCH("对"&amp;LEFT($C$5,2)&amp;"输出",标准坦克设计!$B$23:$U$23,0)))*(VLOOKUP($B94,INDIRECT($B$5&amp;"生成成长"),3))*(VLOOKUP($B$5,标准坦克设计!$B$14:$K$20,9)/30))</f>
        <v>30.743106791836482</v>
      </c>
      <c r="EN94" s="173">
        <f ca="1">(VLOOKUP(EN$72,INDIRECT($C$5&amp;"生成成长"),2))/((VLOOKUP($B94,INDIRECT($B$5&amp;"生成成长"),4))/(VLOOKUP(EN$72,INDIRECT($C$5&amp;"生成成长"),5))*(VLOOKUP($B$5,标准坦克设计!$B$24:$U$30,MATCH("对"&amp;LEFT($C$5,2)&amp;"输出",标准坦克设计!$B$23:$U$23,0)))*(VLOOKUP($B94,INDIRECT($B$5&amp;"生成成长"),3))*(VLOOKUP($B$5,标准坦克设计!$B$14:$K$20,9)/30))</f>
        <v>32.971507632826523</v>
      </c>
      <c r="EO94" s="173">
        <f ca="1">(VLOOKUP(EO$72,INDIRECT($C$5&amp;"生成成长"),2))/((VLOOKUP($B94,INDIRECT($B$5&amp;"生成成长"),4))/(VLOOKUP(EO$72,INDIRECT($C$5&amp;"生成成长"),5))*(VLOOKUP($B$5,标准坦克设计!$B$24:$U$30,MATCH("对"&amp;LEFT($C$5,2)&amp;"输出",标准坦克设计!$B$23:$U$23,0)))*(VLOOKUP($B94,INDIRECT($B$5&amp;"生成成长"),3))*(VLOOKUP($B$5,标准坦克设计!$B$14:$K$20,9)/30))</f>
        <v>35.277870019273941</v>
      </c>
      <c r="EP94" s="173">
        <f ca="1">(VLOOKUP(EP$72,INDIRECT($C$5&amp;"生成成长"),2))/((VLOOKUP($B94,INDIRECT($B$5&amp;"生成成长"),4))/(VLOOKUP(EP$72,INDIRECT($C$5&amp;"生成成长"),5))*(VLOOKUP($B$5,标准坦克设计!$B$24:$U$30,MATCH("对"&amp;LEFT($C$5,2)&amp;"输出",标准坦克设计!$B$23:$U$23,0)))*(VLOOKUP($B94,INDIRECT($B$5&amp;"生成成长"),3))*(VLOOKUP($B$5,标准坦克设计!$B$14:$K$20,9)/30))</f>
        <v>37.662193951178743</v>
      </c>
      <c r="EQ94" s="173">
        <f ca="1">(VLOOKUP(EQ$72,INDIRECT($C$5&amp;"生成成长"),2))/((VLOOKUP($B94,INDIRECT($B$5&amp;"生成成长"),4))/(VLOOKUP(EQ$72,INDIRECT($C$5&amp;"生成成长"),5))*(VLOOKUP($B$5,标准坦克设计!$B$24:$U$30,MATCH("对"&amp;LEFT($C$5,2)&amp;"输出",标准坦克设计!$B$23:$U$23,0)))*(VLOOKUP($B94,INDIRECT($B$5&amp;"生成成长"),3))*(VLOOKUP($B$5,标准坦克设计!$B$14:$K$20,9)/30))</f>
        <v>16.649121152119953</v>
      </c>
      <c r="ER94" s="173">
        <f ca="1">(VLOOKUP(ER$72,INDIRECT($C$5&amp;"生成成长"),2))/((VLOOKUP($B94,INDIRECT($B$5&amp;"生成成长"),4))/(VLOOKUP(ER$72,INDIRECT($C$5&amp;"生成成长"),5))*(VLOOKUP($B$5,标准坦克设计!$B$24:$U$30,MATCH("对"&amp;LEFT($C$5,2)&amp;"输出",标准坦克设计!$B$23:$U$23,0)))*(VLOOKUP($B94,INDIRECT($B$5&amp;"生成成长"),3))*(VLOOKUP($B$5,标准坦克设计!$B$14:$K$20,9)/30))</f>
        <v>18.158813995924792</v>
      </c>
      <c r="ES94" s="173">
        <f ca="1">(VLOOKUP(ES$72,INDIRECT($C$5&amp;"生成成长"),2))/((VLOOKUP($B94,INDIRECT($B$5&amp;"生成成长"),4))/(VLOOKUP(ES$72,INDIRECT($C$5&amp;"生成成长"),5))*(VLOOKUP($B$5,标准坦克设计!$B$24:$U$30,MATCH("对"&amp;LEFT($C$5,2)&amp;"输出",标准坦克设计!$B$23:$U$23,0)))*(VLOOKUP($B94,INDIRECT($B$5&amp;"生成成长"),3))*(VLOOKUP($B$5,标准坦克设计!$B$14:$K$20,9)/30))</f>
        <v>19.734016193898682</v>
      </c>
      <c r="ET94" s="173">
        <f ca="1">(VLOOKUP(ET$72,INDIRECT($C$5&amp;"生成成长"),2))/((VLOOKUP($B94,INDIRECT($B$5&amp;"生成成长"),4))/(VLOOKUP(ET$72,INDIRECT($C$5&amp;"生成成长"),5))*(VLOOKUP($B$5,标准坦克设计!$B$24:$U$30,MATCH("对"&amp;LEFT($C$5,2)&amp;"输出",标准坦克设计!$B$23:$U$23,0)))*(VLOOKUP($B94,INDIRECT($B$5&amp;"生成成长"),3))*(VLOOKUP($B$5,标准坦克设计!$B$14:$K$20,9)/30))</f>
        <v>21.374727746041621</v>
      </c>
      <c r="EU94" s="173">
        <f ca="1">(VLOOKUP(EU$72,INDIRECT($C$5&amp;"生成成长"),2))/((VLOOKUP($B94,INDIRECT($B$5&amp;"生成成长"),4))/(VLOOKUP(EU$72,INDIRECT($C$5&amp;"生成成长"),5))*(VLOOKUP($B$5,标准坦克设计!$B$24:$U$30,MATCH("对"&amp;LEFT($C$5,2)&amp;"输出",标准坦克设计!$B$23:$U$23,0)))*(VLOOKUP($B94,INDIRECT($B$5&amp;"生成成长"),3))*(VLOOKUP($B$5,标准坦克设计!$B$14:$K$20,9)/30))</f>
        <v>23.080948652353602</v>
      </c>
      <c r="EV94" s="173">
        <f ca="1">(VLOOKUP(EV$72,INDIRECT($C$5&amp;"生成成长"),2))/((VLOOKUP($B94,INDIRECT($B$5&amp;"生成成长"),4))/(VLOOKUP(EV$72,INDIRECT($C$5&amp;"生成成长"),5))*(VLOOKUP($B$5,标准坦克设计!$B$24:$U$30,MATCH("对"&amp;LEFT($C$5,2)&amp;"输出",标准坦克设计!$B$23:$U$23,0)))*(VLOOKUP($B94,INDIRECT($B$5&amp;"生成成长"),3))*(VLOOKUP($B$5,标准坦克设计!$B$14:$K$20,9)/30))</f>
        <v>24.852678912834627</v>
      </c>
      <c r="EW94" s="173">
        <f ca="1">(VLOOKUP(EW$72,INDIRECT($C$5&amp;"生成成长"),2))/((VLOOKUP($B94,INDIRECT($B$5&amp;"生成成长"),4))/(VLOOKUP(EW$72,INDIRECT($C$5&amp;"生成成长"),5))*(VLOOKUP($B$5,标准坦克设计!$B$24:$U$30,MATCH("对"&amp;LEFT($C$5,2)&amp;"输出",标准坦克设计!$B$23:$U$23,0)))*(VLOOKUP($B94,INDIRECT($B$5&amp;"生成成长"),3))*(VLOOKUP($B$5,标准坦克设计!$B$14:$K$20,9)/30))</f>
        <v>26.6899185274847</v>
      </c>
      <c r="EX94" s="173">
        <f ca="1">(VLOOKUP(EX$72,INDIRECT($C$5&amp;"生成成长"),2))/((VLOOKUP($B94,INDIRECT($B$5&amp;"生成成长"),4))/(VLOOKUP(EX$72,INDIRECT($C$5&amp;"生成成长"),5))*(VLOOKUP($B$5,标准坦克设计!$B$24:$U$30,MATCH("对"&amp;LEFT($C$5,2)&amp;"输出",标准坦克设计!$B$23:$U$23,0)))*(VLOOKUP($B94,INDIRECT($B$5&amp;"生成成长"),3))*(VLOOKUP($B$5,标准坦克设计!$B$14:$K$20,9)/30))</f>
        <v>28.592667496303822</v>
      </c>
      <c r="EY94" s="173">
        <f ca="1">(VLOOKUP(EY$72,INDIRECT($C$5&amp;"生成成长"),2))/((VLOOKUP($B94,INDIRECT($B$5&amp;"生成成长"),4))/(VLOOKUP(EY$72,INDIRECT($C$5&amp;"生成成长"),5))*(VLOOKUP($B$5,标准坦克设计!$B$24:$U$30,MATCH("对"&amp;LEFT($C$5,2)&amp;"输出",标准坦克设计!$B$23:$U$23,0)))*(VLOOKUP($B94,INDIRECT($B$5&amp;"生成成长"),3))*(VLOOKUP($B$5,标准坦克设计!$B$14:$K$20,9)/30))</f>
        <v>30.560925819291988</v>
      </c>
      <c r="EZ94" s="173">
        <f ca="1">(VLOOKUP(EZ$72,INDIRECT($C$5&amp;"生成成长"),2))/((VLOOKUP($B94,INDIRECT($B$5&amp;"生成成长"),4))/(VLOOKUP(EZ$72,INDIRECT($C$5&amp;"生成成长"),5))*(VLOOKUP($B$5,标准坦克设计!$B$24:$U$30,MATCH("对"&amp;LEFT($C$5,2)&amp;"输出",标准坦克设计!$B$23:$U$23,0)))*(VLOOKUP($B94,INDIRECT($B$5&amp;"生成成长"),3))*(VLOOKUP($B$5,标准坦克设计!$B$14:$K$20,9)/30))</f>
        <v>32.594693496449203</v>
      </c>
      <c r="FA94" s="173">
        <f ca="1">(VLOOKUP(FA$72,INDIRECT($C$5&amp;"生成成长"),2))/((VLOOKUP($B94,INDIRECT($B$5&amp;"生成成长"),4))/(VLOOKUP(FA$72,INDIRECT($C$5&amp;"生成成长"),5))*(VLOOKUP($B$5,标准坦克设计!$B$24:$U$30,MATCH("对"&amp;LEFT($C$5,2)&amp;"输出",标准坦克设计!$B$23:$U$23,0)))*(VLOOKUP($B94,INDIRECT($B$5&amp;"生成成长"),3))*(VLOOKUP($B$5,标准坦克设计!$B$14:$K$20,9)/30))</f>
        <v>34.693970527775463</v>
      </c>
      <c r="FB94" s="173">
        <f ca="1">(VLOOKUP(FB$72,INDIRECT($C$5&amp;"生成成长"),2))/((VLOOKUP($B94,INDIRECT($B$5&amp;"生成成长"),4))/(VLOOKUP(FB$72,INDIRECT($C$5&amp;"生成成长"),5))*(VLOOKUP($B$5,标准坦克设计!$B$24:$U$30,MATCH("对"&amp;LEFT($C$5,2)&amp;"输出",标准坦克设计!$B$23:$U$23,0)))*(VLOOKUP($B94,INDIRECT($B$5&amp;"生成成长"),3))*(VLOOKUP($B$5,标准坦克设计!$B$14:$K$20,9)/30))</f>
        <v>36.85875691327076</v>
      </c>
      <c r="FC94" s="173">
        <f ca="1">(VLOOKUP(FC$72,INDIRECT($C$5&amp;"生成成长"),2))/((VLOOKUP($B94,INDIRECT($B$5&amp;"生成成长"),4))/(VLOOKUP(FC$72,INDIRECT($C$5&amp;"生成成长"),5))*(VLOOKUP($B$5,标准坦克设计!$B$24:$U$30,MATCH("对"&amp;LEFT($C$5,2)&amp;"输出",标准坦克设计!$B$23:$U$23,0)))*(VLOOKUP($B94,INDIRECT($B$5&amp;"生成成长"),3))*(VLOOKUP($B$5,标准坦克设计!$B$14:$K$20,9)/30))</f>
        <v>39.089052652935116</v>
      </c>
      <c r="FD94" s="173">
        <f ca="1">(VLOOKUP(FD$72,INDIRECT($C$5&amp;"生成成长"),2))/((VLOOKUP($B94,INDIRECT($B$5&amp;"生成成长"),4))/(VLOOKUP(FD$72,INDIRECT($C$5&amp;"生成成长"),5))*(VLOOKUP($B$5,标准坦克设计!$B$24:$U$30,MATCH("对"&amp;LEFT($C$5,2)&amp;"输出",标准坦克设计!$B$23:$U$23,0)))*(VLOOKUP($B94,INDIRECT($B$5&amp;"生成成长"),3))*(VLOOKUP($B$5,标准坦克设计!$B$14:$K$20,9)/30))</f>
        <v>41.384857746768517</v>
      </c>
      <c r="FE94" s="173">
        <f ca="1">(VLOOKUP(FE$72,INDIRECT($C$5&amp;"生成成长"),2))/((VLOOKUP($B94,INDIRECT($B$5&amp;"生成成长"),4))/(VLOOKUP(FE$72,INDIRECT($C$5&amp;"生成成长"),5))*(VLOOKUP($B$5,标准坦克设计!$B$24:$U$30,MATCH("对"&amp;LEFT($C$5,2)&amp;"输出",标准坦克设计!$B$23:$U$23,0)))*(VLOOKUP($B94,INDIRECT($B$5&amp;"生成成长"),3))*(VLOOKUP($B$5,标准坦克设计!$B$14:$K$20,9)/30))</f>
        <v>44.182540289483775</v>
      </c>
      <c r="FF94" s="173">
        <f ca="1">(VLOOKUP(FF$72,INDIRECT($C$5&amp;"生成成长"),2))/((VLOOKUP($B94,INDIRECT($B$5&amp;"生成成长"),4))/(VLOOKUP(FF$72,INDIRECT($C$5&amp;"生成成长"),5))*(VLOOKUP($B$5,标准坦克设计!$B$24:$U$30,MATCH("对"&amp;LEFT($C$5,2)&amp;"输出",标准坦克设计!$B$23:$U$23,0)))*(VLOOKUP($B94,INDIRECT($B$5&amp;"生成成长"),3))*(VLOOKUP($B$5,标准坦克设计!$B$14:$K$20,9)/30))</f>
        <v>47.071719368187217</v>
      </c>
      <c r="FG94" s="173">
        <f ca="1">(VLOOKUP(FG$72,INDIRECT($C$5&amp;"生成成长"),2))/((VLOOKUP($B94,INDIRECT($B$5&amp;"生成成长"),4))/(VLOOKUP(FG$72,INDIRECT($C$5&amp;"生成成长"),5))*(VLOOKUP($B$5,标准坦克设计!$B$24:$U$30,MATCH("对"&amp;LEFT($C$5,2)&amp;"输出",标准坦克设计!$B$23:$U$23,0)))*(VLOOKUP($B94,INDIRECT($B$5&amp;"生成成长"),3))*(VLOOKUP($B$5,标准坦克设计!$B$14:$K$20,9)/30))</f>
        <v>50.052394982878837</v>
      </c>
      <c r="FH94" s="173">
        <f ca="1">(VLOOKUP(FH$72,INDIRECT($C$5&amp;"生成成长"),2))/((VLOOKUP($B94,INDIRECT($B$5&amp;"生成成长"),4))/(VLOOKUP(FH$72,INDIRECT($C$5&amp;"生成成长"),5))*(VLOOKUP($B$5,标准坦克设计!$B$24:$U$30,MATCH("对"&amp;LEFT($C$5,2)&amp;"输出",标准坦克设计!$B$23:$U$23,0)))*(VLOOKUP($B94,INDIRECT($B$5&amp;"生成成长"),3))*(VLOOKUP($B$5,标准坦克设计!$B$14:$K$20,9)/30))</f>
        <v>53.124567133558614</v>
      </c>
      <c r="FI94" s="173">
        <f ca="1">(VLOOKUP(FI$72,INDIRECT($C$5&amp;"生成成长"),2))/((VLOOKUP($B94,INDIRECT($B$5&amp;"生成成长"),4))/(VLOOKUP(FI$72,INDIRECT($C$5&amp;"生成成长"),5))*(VLOOKUP($B$5,标准坦克设计!$B$24:$U$30,MATCH("对"&amp;LEFT($C$5,2)&amp;"输出",标准坦克设计!$B$23:$U$23,0)))*(VLOOKUP($B94,INDIRECT($B$5&amp;"生成成长"),3))*(VLOOKUP($B$5,标准坦克设计!$B$14:$K$20,9)/30))</f>
        <v>56.288235820226561</v>
      </c>
      <c r="FJ94" s="173">
        <f ca="1">(VLOOKUP(FJ$72,INDIRECT($C$5&amp;"生成成长"),2))/((VLOOKUP($B94,INDIRECT($B$5&amp;"生成成长"),4))/(VLOOKUP(FJ$72,INDIRECT($C$5&amp;"生成成长"),5))*(VLOOKUP($B$5,标准坦克设计!$B$24:$U$30,MATCH("对"&amp;LEFT($C$5,2)&amp;"输出",标准坦克设计!$B$23:$U$23,0)))*(VLOOKUP($B94,INDIRECT($B$5&amp;"生成成长"),3))*(VLOOKUP($B$5,标准坦克设计!$B$14:$K$20,9)/30))</f>
        <v>59.543401042882699</v>
      </c>
      <c r="FK94" s="173">
        <f ca="1">(VLOOKUP(FK$72,INDIRECT($C$5&amp;"生成成长"),2))/((VLOOKUP($B94,INDIRECT($B$5&amp;"生成成长"),4))/(VLOOKUP(FK$72,INDIRECT($C$5&amp;"生成成长"),5))*(VLOOKUP($B$5,标准坦克设计!$B$24:$U$30,MATCH("对"&amp;LEFT($C$5,2)&amp;"输出",标准坦克设计!$B$23:$U$23,0)))*(VLOOKUP($B94,INDIRECT($B$5&amp;"生成成长"),3))*(VLOOKUP($B$5,标准坦克设计!$B$14:$K$20,9)/30))</f>
        <v>62.890062801526987</v>
      </c>
    </row>
    <row r="95" spans="1:167" x14ac:dyDescent="0.15">
      <c r="A95" s="171" t="str">
        <f t="shared" si="11"/>
        <v>T4低品质2级</v>
      </c>
      <c r="B95" s="172">
        <v>10402</v>
      </c>
      <c r="C95" s="173">
        <f ca="1">(VLOOKUP(C$72,INDIRECT($C$5&amp;"生成成长"),2))/((VLOOKUP($B95,INDIRECT($B$5&amp;"生成成长"),4))/(VLOOKUP(C$72,INDIRECT($C$5&amp;"生成成长"),5))*(VLOOKUP($B$5,标准坦克设计!$B$24:$U$30,MATCH("对"&amp;LEFT($C$5,2)&amp;"输出",标准坦克设计!$B$23:$U$23,0)))*(VLOOKUP($B95,INDIRECT($B$5&amp;"生成成长"),3))*(VLOOKUP($B$5,标准坦克设计!$B$14:$K$20,9)/30))</f>
        <v>2.4334020389056796</v>
      </c>
      <c r="D95" s="173">
        <f ca="1">(VLOOKUP(D$72,INDIRECT($C$5&amp;"生成成长"),2))/((VLOOKUP($B95,INDIRECT($B$5&amp;"生成成长"),4))/(VLOOKUP(D$72,INDIRECT($C$5&amp;"生成成长"),5))*(VLOOKUP($B$5,标准坦克设计!$B$24:$U$30,MATCH("对"&amp;LEFT($C$5,2)&amp;"输出",标准坦克设计!$B$23:$U$23,0)))*(VLOOKUP($B95,INDIRECT($B$5&amp;"生成成长"),3))*(VLOOKUP($B$5,标准坦克设计!$B$14:$K$20,9)/30))</f>
        <v>2.7341705309144215</v>
      </c>
      <c r="E95" s="173">
        <f ca="1">(VLOOKUP(E$72,INDIRECT($C$5&amp;"生成成长"),2))/((VLOOKUP($B95,INDIRECT($B$5&amp;"生成成长"),4))/(VLOOKUP(E$72,INDIRECT($C$5&amp;"生成成长"),5))*(VLOOKUP($B$5,标准坦克设计!$B$24:$U$30,MATCH("对"&amp;LEFT($C$5,2)&amp;"输出",标准坦克设计!$B$23:$U$23,0)))*(VLOOKUP($B95,INDIRECT($B$5&amp;"生成成长"),3))*(VLOOKUP($B$5,标准坦克设计!$B$14:$K$20,9)/30))</f>
        <v>3.0524595176032836</v>
      </c>
      <c r="F95" s="173">
        <f ca="1">(VLOOKUP(F$72,INDIRECT($C$5&amp;"生成成长"),2))/((VLOOKUP($B95,INDIRECT($B$5&amp;"生成成长"),4))/(VLOOKUP(F$72,INDIRECT($C$5&amp;"生成成长"),5))*(VLOOKUP($B$5,标准坦克设计!$B$24:$U$30,MATCH("对"&amp;LEFT($C$5,2)&amp;"输出",标准坦克设计!$B$23:$U$23,0)))*(VLOOKUP($B95,INDIRECT($B$5&amp;"生成成长"),3))*(VLOOKUP($B$5,标准坦克设计!$B$14:$K$20,9)/30))</f>
        <v>3.3882689989722681</v>
      </c>
      <c r="G95" s="173">
        <f ca="1">(VLOOKUP(G$72,INDIRECT($C$5&amp;"生成成长"),2))/((VLOOKUP($B95,INDIRECT($B$5&amp;"生成成长"),4))/(VLOOKUP(G$72,INDIRECT($C$5&amp;"生成成长"),5))*(VLOOKUP($B$5,标准坦克设计!$B$24:$U$30,MATCH("对"&amp;LEFT($C$5,2)&amp;"输出",标准坦克设计!$B$23:$U$23,0)))*(VLOOKUP($B95,INDIRECT($B$5&amp;"生成成长"),3))*(VLOOKUP($B$5,标准坦克设计!$B$14:$K$20,9)/30))</f>
        <v>3.7415989750213723</v>
      </c>
      <c r="H95" s="173">
        <f ca="1">(VLOOKUP(H$72,INDIRECT($C$5&amp;"生成成长"),2))/((VLOOKUP($B95,INDIRECT($B$5&amp;"生成成长"),4))/(VLOOKUP(H$72,INDIRECT($C$5&amp;"生成成长"),5))*(VLOOKUP($B$5,标准坦克设计!$B$24:$U$30,MATCH("对"&amp;LEFT($C$5,2)&amp;"输出",标准坦克设计!$B$23:$U$23,0)))*(VLOOKUP($B95,INDIRECT($B$5&amp;"生成成长"),3))*(VLOOKUP($B$5,标准坦克设计!$B$14:$K$20,9)/30))</f>
        <v>3.274385783551482</v>
      </c>
      <c r="I95" s="173">
        <f ca="1">(VLOOKUP(I$72,INDIRECT($C$5&amp;"生成成长"),2))/((VLOOKUP($B95,INDIRECT($B$5&amp;"生成成长"),4))/(VLOOKUP(I$72,INDIRECT($C$5&amp;"生成成长"),5))*(VLOOKUP($B$5,标准坦克设计!$B$24:$U$30,MATCH("对"&amp;LEFT($C$5,2)&amp;"输出",标准坦克设计!$B$23:$U$23,0)))*(VLOOKUP($B95,INDIRECT($B$5&amp;"生成成长"),3))*(VLOOKUP($B$5,标准坦克设计!$B$14:$K$20,9)/30))</f>
        <v>3.7415989750213723</v>
      </c>
      <c r="J95" s="173">
        <f ca="1">(VLOOKUP(J$72,INDIRECT($C$5&amp;"生成成长"),2))/((VLOOKUP($B95,INDIRECT($B$5&amp;"生成成长"),4))/(VLOOKUP(J$72,INDIRECT($C$5&amp;"生成成长"),5))*(VLOOKUP($B$5,标准坦克设计!$B$24:$U$30,MATCH("对"&amp;LEFT($C$5,2)&amp;"输出",标准坦克设计!$B$23:$U$23,0)))*(VLOOKUP($B95,INDIRECT($B$5&amp;"生成成长"),3))*(VLOOKUP($B$5,标准坦克设计!$B$14:$K$20,9)/30))</f>
        <v>4.2399597125892559</v>
      </c>
      <c r="K95" s="173">
        <f ca="1">(VLOOKUP(K$72,INDIRECT($C$5&amp;"生成成长"),2))/((VLOOKUP($B95,INDIRECT($B$5&amp;"生成成长"),4))/(VLOOKUP(K$72,INDIRECT($C$5&amp;"生成成长"),5))*(VLOOKUP($B$5,标准坦克设计!$B$24:$U$30,MATCH("对"&amp;LEFT($C$5,2)&amp;"输出",标准坦克设计!$B$23:$U$23,0)))*(VLOOKUP($B95,INDIRECT($B$5&amp;"生成成长"),3))*(VLOOKUP($B$5,标准坦克设计!$B$14:$K$20,9)/30))</f>
        <v>4.7694679962551314</v>
      </c>
      <c r="L95" s="173">
        <f ca="1">(VLOOKUP(L$72,INDIRECT($C$5&amp;"生成成长"),2))/((VLOOKUP($B95,INDIRECT($B$5&amp;"生成成长"),4))/(VLOOKUP(L$72,INDIRECT($C$5&amp;"生成成长"),5))*(VLOOKUP($B$5,标准坦克设计!$B$24:$U$30,MATCH("对"&amp;LEFT($C$5,2)&amp;"输出",标准坦克设计!$B$23:$U$23,0)))*(VLOOKUP($B95,INDIRECT($B$5&amp;"生成成长"),3))*(VLOOKUP($B$5,标准坦克设计!$B$14:$K$20,9)/30))</f>
        <v>5.3301238260190011</v>
      </c>
      <c r="M95" s="173">
        <f ca="1">(VLOOKUP(M$72,INDIRECT($C$5&amp;"生成成长"),2))/((VLOOKUP($B95,INDIRECT($B$5&amp;"生成成长"),4))/(VLOOKUP(M$72,INDIRECT($C$5&amp;"生成成长"),5))*(VLOOKUP($B$5,标准坦克设计!$B$24:$U$30,MATCH("对"&amp;LEFT($C$5,2)&amp;"输出",标准坦克设计!$B$23:$U$23,0)))*(VLOOKUP($B95,INDIRECT($B$5&amp;"生成成长"),3))*(VLOOKUP($B$5,标准坦克设计!$B$14:$K$20,9)/30))</f>
        <v>5.9219272018808606</v>
      </c>
      <c r="N95" s="173">
        <f ca="1">(VLOOKUP(N$72,INDIRECT($C$5&amp;"生成成长"),2))/((VLOOKUP($B95,INDIRECT($B$5&amp;"生成成长"),4))/(VLOOKUP(N$72,INDIRECT($C$5&amp;"生成成长"),5))*(VLOOKUP($B$5,标准坦克设计!$B$24:$U$30,MATCH("对"&amp;LEFT($C$5,2)&amp;"输出",标准坦克设计!$B$23:$U$23,0)))*(VLOOKUP($B95,INDIRECT($B$5&amp;"生成成长"),3))*(VLOOKUP($B$5,标准坦克设计!$B$14:$K$20,9)/30))</f>
        <v>6.5448781238407152</v>
      </c>
      <c r="O95" s="173">
        <f ca="1">(VLOOKUP(O$72,INDIRECT($C$5&amp;"生成成长"),2))/((VLOOKUP($B95,INDIRECT($B$5&amp;"生成成长"),4))/(VLOOKUP(O$72,INDIRECT($C$5&amp;"生成成长"),5))*(VLOOKUP($B$5,标准坦克设计!$B$24:$U$30,MATCH("对"&amp;LEFT($C$5,2)&amp;"输出",标准坦克设计!$B$23:$U$23,0)))*(VLOOKUP($B95,INDIRECT($B$5&amp;"生成成长"),3))*(VLOOKUP($B$5,标准坦克设计!$B$14:$K$20,9)/30))</f>
        <v>4.9760638293582238</v>
      </c>
      <c r="P95" s="173">
        <f ca="1">(VLOOKUP(P$72,INDIRECT($C$5&amp;"生成成长"),2))/((VLOOKUP($B95,INDIRECT($B$5&amp;"生成成长"),4))/(VLOOKUP(P$72,INDIRECT($C$5&amp;"生成成长"),5))*(VLOOKUP($B$5,标准坦克设计!$B$24:$U$30,MATCH("对"&amp;LEFT($C$5,2)&amp;"输出",标准坦克设计!$B$23:$U$23,0)))*(VLOOKUP($B95,INDIRECT($B$5&amp;"生成成长"),3))*(VLOOKUP($B$5,标准坦克设计!$B$14:$K$20,9)/30))</f>
        <v>5.6221320706876821</v>
      </c>
      <c r="Q95" s="173">
        <f ca="1">(VLOOKUP(Q$72,INDIRECT($C$5&amp;"生成成长"),2))/((VLOOKUP($B95,INDIRECT($B$5&amp;"生成成长"),4))/(VLOOKUP(Q$72,INDIRECT($C$5&amp;"生成成长"),5))*(VLOOKUP($B$5,标准坦克设计!$B$24:$U$30,MATCH("对"&amp;LEFT($C$5,2)&amp;"输出",标准坦克设计!$B$23:$U$23,0)))*(VLOOKUP($B95,INDIRECT($B$5&amp;"生成成长"),3))*(VLOOKUP($B$5,标准坦克设计!$B$14:$K$20,9)/30))</f>
        <v>6.3076214250474125</v>
      </c>
      <c r="R95" s="173">
        <f ca="1">(VLOOKUP(R$72,INDIRECT($C$5&amp;"生成成长"),2))/((VLOOKUP($B95,INDIRECT($B$5&amp;"生成成长"),4))/(VLOOKUP(R$72,INDIRECT($C$5&amp;"生成成长"),5))*(VLOOKUP($B$5,标准坦克设计!$B$24:$U$30,MATCH("对"&amp;LEFT($C$5,2)&amp;"输出",标准坦克设计!$B$23:$U$23,0)))*(VLOOKUP($B95,INDIRECT($B$5&amp;"生成成长"),3))*(VLOOKUP($B$5,标准坦克设计!$B$14:$K$20,9)/30))</f>
        <v>7.0325318924374125</v>
      </c>
      <c r="S95" s="173">
        <f ca="1">(VLOOKUP(S$72,INDIRECT($C$5&amp;"生成成长"),2))/((VLOOKUP($B95,INDIRECT($B$5&amp;"生成成长"),4))/(VLOOKUP(S$72,INDIRECT($C$5&amp;"生成成长"),5))*(VLOOKUP($B$5,标准坦克设计!$B$24:$U$30,MATCH("对"&amp;LEFT($C$5,2)&amp;"输出",标准坦克设计!$B$23:$U$23,0)))*(VLOOKUP($B95,INDIRECT($B$5&amp;"生成成长"),3))*(VLOOKUP($B$5,标准坦克设计!$B$14:$K$20,9)/30))</f>
        <v>7.7968634728576873</v>
      </c>
      <c r="T95" s="173">
        <f ca="1">(VLOOKUP(T$72,INDIRECT($C$5&amp;"生成成长"),2))/((VLOOKUP($B95,INDIRECT($B$5&amp;"生成成长"),4))/(VLOOKUP(T$72,INDIRECT($C$5&amp;"生成成长"),5))*(VLOOKUP($B$5,标准坦克设计!$B$24:$U$30,MATCH("对"&amp;LEFT($C$5,2)&amp;"输出",标准坦克设计!$B$23:$U$23,0)))*(VLOOKUP($B95,INDIRECT($B$5&amp;"生成成长"),3))*(VLOOKUP($B$5,标准坦克设计!$B$14:$K$20,9)/30))</f>
        <v>8.6006161663082317</v>
      </c>
      <c r="U95" s="173">
        <f ca="1">(VLOOKUP(U$72,INDIRECT($C$5&amp;"生成成长"),2))/((VLOOKUP($B95,INDIRECT($B$5&amp;"生成成长"),4))/(VLOOKUP(U$72,INDIRECT($C$5&amp;"生成成长"),5))*(VLOOKUP($B$5,标准坦克设计!$B$24:$U$30,MATCH("对"&amp;LEFT($C$5,2)&amp;"输出",标准坦克设计!$B$23:$U$23,0)))*(VLOOKUP($B95,INDIRECT($B$5&amp;"生成成长"),3))*(VLOOKUP($B$5,标准坦克设计!$B$14:$K$20,9)/30))</f>
        <v>9.44378997278905</v>
      </c>
      <c r="V95" s="173">
        <f ca="1">(VLOOKUP(V$72,INDIRECT($C$5&amp;"生成成长"),2))/((VLOOKUP($B95,INDIRECT($B$5&amp;"生成成长"),4))/(VLOOKUP(V$72,INDIRECT($C$5&amp;"生成成长"),5))*(VLOOKUP($B$5,标准坦克设计!$B$24:$U$30,MATCH("对"&amp;LEFT($C$5,2)&amp;"输出",标准坦克设计!$B$23:$U$23,0)))*(VLOOKUP($B95,INDIRECT($B$5&amp;"生成成长"),3))*(VLOOKUP($B$5,标准坦克设计!$B$14:$K$20,9)/30))</f>
        <v>10.32638489230014</v>
      </c>
      <c r="W95" s="173">
        <f ca="1">(VLOOKUP(W$72,INDIRECT($C$5&amp;"生成成长"),2))/((VLOOKUP($B95,INDIRECT($B$5&amp;"生成成长"),4))/(VLOOKUP(W$72,INDIRECT($C$5&amp;"生成成长"),5))*(VLOOKUP($B$5,标准坦克设计!$B$24:$U$30,MATCH("对"&amp;LEFT($C$5,2)&amp;"输出",标准坦克设计!$B$23:$U$23,0)))*(VLOOKUP($B95,INDIRECT($B$5&amp;"生成成长"),3))*(VLOOKUP($B$5,标准坦克设计!$B$14:$K$20,9)/30))</f>
        <v>11.248400924841503</v>
      </c>
      <c r="X95" s="173">
        <f ca="1">(VLOOKUP(X$72,INDIRECT($C$5&amp;"生成成长"),2))/((VLOOKUP($B95,INDIRECT($B$5&amp;"生成成长"),4))/(VLOOKUP(X$72,INDIRECT($C$5&amp;"生成成长"),5))*(VLOOKUP($B$5,标准坦克设计!$B$24:$U$30,MATCH("对"&amp;LEFT($C$5,2)&amp;"输出",标准坦克设计!$B$23:$U$23,0)))*(VLOOKUP($B95,INDIRECT($B$5&amp;"生成成长"),3))*(VLOOKUP($B$5,标准坦克设计!$B$14:$K$20,9)/30))</f>
        <v>8.14922008809123</v>
      </c>
      <c r="Y95" s="173">
        <f ca="1">(VLOOKUP(Y$72,INDIRECT($C$5&amp;"生成成长"),2))/((VLOOKUP($B95,INDIRECT($B$5&amp;"生成成长"),4))/(VLOOKUP(Y$72,INDIRECT($C$5&amp;"生成成长"),5))*(VLOOKUP($B$5,标准坦克设计!$B$24:$U$30,MATCH("对"&amp;LEFT($C$5,2)&amp;"输出",标准坦克设计!$B$23:$U$23,0)))*(VLOOKUP($B95,INDIRECT($B$5&amp;"生成成长"),3))*(VLOOKUP($B$5,标准坦克设计!$B$14:$K$20,9)/30))</f>
        <v>9.0641792547197646</v>
      </c>
      <c r="Z95" s="173">
        <f ca="1">(VLOOKUP(Z$72,INDIRECT($C$5&amp;"生成成长"),2))/((VLOOKUP($B95,INDIRECT($B$5&amp;"生成成长"),4))/(VLOOKUP(Z$72,INDIRECT($C$5&amp;"生成成长"),5))*(VLOOKUP($B$5,标准坦克设计!$B$24:$U$30,MATCH("对"&amp;LEFT($C$5,2)&amp;"输出",标准坦克设计!$B$23:$U$23,0)))*(VLOOKUP($B95,INDIRECT($B$5&amp;"生成成长"),3))*(VLOOKUP($B$5,标准坦克设计!$B$14:$K$20,9)/30))</f>
        <v>10.027806462126415</v>
      </c>
      <c r="AA95" s="173">
        <f ca="1">(VLOOKUP(AA$72,INDIRECT($C$5&amp;"生成成长"),2))/((VLOOKUP($B95,INDIRECT($B$5&amp;"生成成长"),4))/(VLOOKUP(AA$72,INDIRECT($C$5&amp;"生成成长"),5))*(VLOOKUP($B$5,标准坦克设计!$B$24:$U$30,MATCH("对"&amp;LEFT($C$5,2)&amp;"输出",标准坦克设计!$B$23:$U$23,0)))*(VLOOKUP($B95,INDIRECT($B$5&amp;"生成成长"),3))*(VLOOKUP($B$5,标准坦克设计!$B$14:$K$20,9)/30))</f>
        <v>11.040101710311179</v>
      </c>
      <c r="AB95" s="173">
        <f ca="1">(VLOOKUP(AB$72,INDIRECT($C$5&amp;"生成成长"),2))/((VLOOKUP($B95,INDIRECT($B$5&amp;"生成成长"),4))/(VLOOKUP(AB$72,INDIRECT($C$5&amp;"生成成长"),5))*(VLOOKUP($B$5,标准坦克设计!$B$24:$U$30,MATCH("对"&amp;LEFT($C$5,2)&amp;"输出",标准坦克设计!$B$23:$U$23,0)))*(VLOOKUP($B95,INDIRECT($B$5&amp;"生成成长"),3))*(VLOOKUP($B$5,标准坦克设计!$B$14:$K$20,9)/30))</f>
        <v>12.101064999274055</v>
      </c>
      <c r="AC95" s="173">
        <f ca="1">(VLOOKUP(AC$72,INDIRECT($C$5&amp;"生成成长"),2))/((VLOOKUP($B95,INDIRECT($B$5&amp;"生成成长"),4))/(VLOOKUP(AC$72,INDIRECT($C$5&amp;"生成成长"),5))*(VLOOKUP($B$5,标准坦克设计!$B$24:$U$30,MATCH("对"&amp;LEFT($C$5,2)&amp;"输出",标准坦克设计!$B$23:$U$23,0)))*(VLOOKUP($B95,INDIRECT($B$5&amp;"生成成长"),3))*(VLOOKUP($B$5,标准坦克设计!$B$14:$K$20,9)/30))</f>
        <v>13.210696329015041</v>
      </c>
      <c r="AD95" s="173">
        <f ca="1">(VLOOKUP(AD$72,INDIRECT($C$5&amp;"生成成长"),2))/((VLOOKUP($B95,INDIRECT($B$5&amp;"生成成长"),4))/(VLOOKUP(AD$72,INDIRECT($C$5&amp;"生成成长"),5))*(VLOOKUP($B$5,标准坦克设计!$B$24:$U$30,MATCH("对"&amp;LEFT($C$5,2)&amp;"输出",标准坦克设计!$B$23:$U$23,0)))*(VLOOKUP($B95,INDIRECT($B$5&amp;"生成成长"),3))*(VLOOKUP($B$5,标准坦克设计!$B$14:$K$20,9)/30))</f>
        <v>14.368995699534146</v>
      </c>
      <c r="AE95" s="173">
        <f ca="1">(VLOOKUP(AE$72,INDIRECT($C$5&amp;"生成成长"),2))/((VLOOKUP($B95,INDIRECT($B$5&amp;"生成成长"),4))/(VLOOKUP(AE$72,INDIRECT($C$5&amp;"生成成长"),5))*(VLOOKUP($B$5,标准坦克设计!$B$24:$U$30,MATCH("对"&amp;LEFT($C$5,2)&amp;"输出",标准坦克设计!$B$23:$U$23,0)))*(VLOOKUP($B95,INDIRECT($B$5&amp;"生成成长"),3))*(VLOOKUP($B$5,标准坦克设计!$B$14:$K$20,9)/30))</f>
        <v>15.575963110831363</v>
      </c>
      <c r="AF95" s="173">
        <f ca="1">(VLOOKUP(AF$72,INDIRECT($C$5&amp;"生成成长"),2))/((VLOOKUP($B95,INDIRECT($B$5&amp;"生成成长"),4))/(VLOOKUP(AF$72,INDIRECT($C$5&amp;"生成成长"),5))*(VLOOKUP($B$5,标准坦克设计!$B$24:$U$30,MATCH("对"&amp;LEFT($C$5,2)&amp;"输出",标准坦克设计!$B$23:$U$23,0)))*(VLOOKUP($B95,INDIRECT($B$5&amp;"生成成长"),3))*(VLOOKUP($B$5,标准坦克设计!$B$14:$K$20,9)/30))</f>
        <v>16.831598562906695</v>
      </c>
      <c r="AG95" s="173">
        <f ca="1">(VLOOKUP(AG$72,INDIRECT($C$5&amp;"生成成长"),2))/((VLOOKUP($B95,INDIRECT($B$5&amp;"生成成长"),4))/(VLOOKUP(AG$72,INDIRECT($C$5&amp;"生成成长"),5))*(VLOOKUP($B$5,标准坦克设计!$B$24:$U$30,MATCH("对"&amp;LEFT($C$5,2)&amp;"输出",标准坦克设计!$B$23:$U$23,0)))*(VLOOKUP($B95,INDIRECT($B$5&amp;"生成成长"),3))*(VLOOKUP($B$5,标准坦克设计!$B$14:$K$20,9)/30))</f>
        <v>18.135902055760138</v>
      </c>
      <c r="AH95" s="173">
        <f ca="1">(VLOOKUP(AH$72,INDIRECT($C$5&amp;"生成成长"),2))/((VLOOKUP($B95,INDIRECT($B$5&amp;"生成成长"),4))/(VLOOKUP(AH$72,INDIRECT($C$5&amp;"生成成长"),5))*(VLOOKUP($B$5,标准坦克设计!$B$24:$U$30,MATCH("对"&amp;LEFT($C$5,2)&amp;"输出",标准坦克设计!$B$23:$U$23,0)))*(VLOOKUP($B95,INDIRECT($B$5&amp;"生成成长"),3))*(VLOOKUP($B$5,标准坦克设计!$B$14:$K$20,9)/30))</f>
        <v>19.488873589391698</v>
      </c>
      <c r="AI95" s="173">
        <f ca="1">(VLOOKUP(AI$72,INDIRECT($C$5&amp;"生成成长"),2))/((VLOOKUP($B95,INDIRECT($B$5&amp;"生成成长"),4))/(VLOOKUP(AI$72,INDIRECT($C$5&amp;"生成成长"),5))*(VLOOKUP($B$5,标准坦克设计!$B$24:$U$30,MATCH("对"&amp;LEFT($C$5,2)&amp;"输出",标准坦克设计!$B$23:$U$23,0)))*(VLOOKUP($B95,INDIRECT($B$5&amp;"生成成长"),3))*(VLOOKUP($B$5,标准坦克设计!$B$14:$K$20,9)/30))</f>
        <v>13.783762509177329</v>
      </c>
      <c r="AJ95" s="173">
        <f ca="1">(VLOOKUP(AJ$72,INDIRECT($C$5&amp;"生成成长"),2))/((VLOOKUP($B95,INDIRECT($B$5&amp;"生成成长"),4))/(VLOOKUP(AJ$72,INDIRECT($C$5&amp;"生成成长"),5))*(VLOOKUP($B$5,标准坦克设计!$B$24:$U$30,MATCH("对"&amp;LEFT($C$5,2)&amp;"输出",标准坦克设计!$B$23:$U$23,0)))*(VLOOKUP($B95,INDIRECT($B$5&amp;"生成成长"),3))*(VLOOKUP($B$5,标准坦克设计!$B$14:$K$20,9)/30))</f>
        <v>15.0873359814191</v>
      </c>
      <c r="AK95" s="173">
        <f ca="1">(VLOOKUP(AK$72,INDIRECT($C$5&amp;"生成成长"),2))/((VLOOKUP($B95,INDIRECT($B$5&amp;"生成成长"),4))/(VLOOKUP(AK$72,INDIRECT($C$5&amp;"生成成长"),5))*(VLOOKUP($B$5,标准坦克设计!$B$24:$U$30,MATCH("对"&amp;LEFT($C$5,2)&amp;"输出",标准坦克设计!$B$23:$U$23,0)))*(VLOOKUP($B95,INDIRECT($B$5&amp;"生成成长"),3))*(VLOOKUP($B$5,标准坦克设计!$B$14:$K$20,9)/30))</f>
        <v>16.449797783002388</v>
      </c>
      <c r="AL95" s="173">
        <f ca="1">(VLOOKUP(AL$72,INDIRECT($C$5&amp;"生成成长"),2))/((VLOOKUP($B95,INDIRECT($B$5&amp;"生成成长"),4))/(VLOOKUP(AL$72,INDIRECT($C$5&amp;"生成成长"),5))*(VLOOKUP($B$5,标准坦克设计!$B$24:$U$30,MATCH("对"&amp;LEFT($C$5,2)&amp;"输出",标准坦克设计!$B$23:$U$23,0)))*(VLOOKUP($B95,INDIRECT($B$5&amp;"生成成长"),3))*(VLOOKUP($B$5,标准坦克设计!$B$14:$K$20,9)/30))</f>
        <v>17.871147913927196</v>
      </c>
      <c r="AM95" s="173">
        <f ca="1">(VLOOKUP(AM$72,INDIRECT($C$5&amp;"生成成长"),2))/((VLOOKUP($B95,INDIRECT($B$5&amp;"生成成长"),4))/(VLOOKUP(AM$72,INDIRECT($C$5&amp;"生成成长"),5))*(VLOOKUP($B$5,标准坦克设计!$B$24:$U$30,MATCH("对"&amp;LEFT($C$5,2)&amp;"输出",标准坦克设计!$B$23:$U$23,0)))*(VLOOKUP($B95,INDIRECT($B$5&amp;"生成成长"),3))*(VLOOKUP($B$5,标准坦克设计!$B$14:$K$20,9)/30))</f>
        <v>19.351386374193524</v>
      </c>
      <c r="AN95" s="173">
        <f ca="1">(VLOOKUP(AN$72,INDIRECT($C$5&amp;"生成成长"),2))/((VLOOKUP($B95,INDIRECT($B$5&amp;"生成成长"),4))/(VLOOKUP(AN$72,INDIRECT($C$5&amp;"生成成长"),5))*(VLOOKUP($B$5,标准坦克设计!$B$24:$U$30,MATCH("对"&amp;LEFT($C$5,2)&amp;"输出",标准坦克设计!$B$23:$U$23,0)))*(VLOOKUP($B95,INDIRECT($B$5&amp;"生成成长"),3))*(VLOOKUP($B$5,标准坦克设计!$B$14:$K$20,9)/30))</f>
        <v>20.890513163801366</v>
      </c>
      <c r="AO95" s="173">
        <f ca="1">(VLOOKUP(AO$72,INDIRECT($C$5&amp;"生成成长"),2))/((VLOOKUP($B95,INDIRECT($B$5&amp;"生成成长"),4))/(VLOOKUP(AO$72,INDIRECT($C$5&amp;"生成成长"),5))*(VLOOKUP($B$5,标准坦克设计!$B$24:$U$30,MATCH("对"&amp;LEFT($C$5,2)&amp;"输出",标准坦克设计!$B$23:$U$23,0)))*(VLOOKUP($B95,INDIRECT($B$5&amp;"生成成长"),3))*(VLOOKUP($B$5,标准坦克设计!$B$14:$K$20,9)/30))</f>
        <v>22.488528282750728</v>
      </c>
      <c r="AP95" s="173">
        <f ca="1">(VLOOKUP(AP$72,INDIRECT($C$5&amp;"生成成长"),2))/((VLOOKUP($B95,INDIRECT($B$5&amp;"生成成长"),4))/(VLOOKUP(AP$72,INDIRECT($C$5&amp;"生成成长"),5))*(VLOOKUP($B$5,标准坦克设计!$B$24:$U$30,MATCH("对"&amp;LEFT($C$5,2)&amp;"输出",标准坦克设计!$B$23:$U$23,0)))*(VLOOKUP($B95,INDIRECT($B$5&amp;"生成成长"),3))*(VLOOKUP($B$5,标准坦克设计!$B$14:$K$20,9)/30))</f>
        <v>24.145431731041601</v>
      </c>
      <c r="AQ95" s="173">
        <f ca="1">(VLOOKUP(AQ$72,INDIRECT($C$5&amp;"生成成长"),2))/((VLOOKUP($B95,INDIRECT($B$5&amp;"生成成长"),4))/(VLOOKUP(AQ$72,INDIRECT($C$5&amp;"生成成长"),5))*(VLOOKUP($B$5,标准坦克设计!$B$24:$U$30,MATCH("对"&amp;LEFT($C$5,2)&amp;"输出",标准坦克设计!$B$23:$U$23,0)))*(VLOOKUP($B95,INDIRECT($B$5&amp;"生成成长"),3))*(VLOOKUP($B$5,标准坦克设计!$B$14:$K$20,9)/30))</f>
        <v>25.861223508673998</v>
      </c>
      <c r="AR95" s="173">
        <f ca="1">(VLOOKUP(AR$72,INDIRECT($C$5&amp;"生成成长"),2))/((VLOOKUP($B95,INDIRECT($B$5&amp;"生成成长"),4))/(VLOOKUP(AR$72,INDIRECT($C$5&amp;"生成成长"),5))*(VLOOKUP($B$5,标准坦克设计!$B$24:$U$30,MATCH("对"&amp;LEFT($C$5,2)&amp;"输出",标准坦克设计!$B$23:$U$23,0)))*(VLOOKUP($B95,INDIRECT($B$5&amp;"生成成长"),3))*(VLOOKUP($B$5,标准坦克设计!$B$14:$K$20,9)/30))</f>
        <v>27.635903615647909</v>
      </c>
      <c r="AS95" s="173">
        <f ca="1">(VLOOKUP(AS$72,INDIRECT($C$5&amp;"生成成长"),2))/((VLOOKUP($B95,INDIRECT($B$5&amp;"生成成长"),4))/(VLOOKUP(AS$72,INDIRECT($C$5&amp;"生成成长"),5))*(VLOOKUP($B$5,标准坦克设计!$B$24:$U$30,MATCH("对"&amp;LEFT($C$5,2)&amp;"输出",标准坦克设计!$B$23:$U$23,0)))*(VLOOKUP($B95,INDIRECT($B$5&amp;"生成成长"),3))*(VLOOKUP($B$5,标准坦克设计!$B$14:$K$20,9)/30))</f>
        <v>29.46947205196334</v>
      </c>
      <c r="AT95" s="173">
        <f ca="1">(VLOOKUP(AT$72,INDIRECT($C$5&amp;"生成成长"),2))/((VLOOKUP($B95,INDIRECT($B$5&amp;"生成成长"),4))/(VLOOKUP(AT$72,INDIRECT($C$5&amp;"生成成长"),5))*(VLOOKUP($B$5,标准坦克设计!$B$24:$U$30,MATCH("对"&amp;LEFT($C$5,2)&amp;"输出",标准坦克设计!$B$23:$U$23,0)))*(VLOOKUP($B95,INDIRECT($B$5&amp;"生成成长"),3))*(VLOOKUP($B$5,标准坦克设计!$B$14:$K$20,9)/30))</f>
        <v>31.361928817620285</v>
      </c>
      <c r="AU95" s="173">
        <f ca="1">(VLOOKUP(AU$72,INDIRECT($C$5&amp;"生成成长"),2))/((VLOOKUP($B95,INDIRECT($B$5&amp;"生成成长"),4))/(VLOOKUP(AU$72,INDIRECT($C$5&amp;"生成成长"),5))*(VLOOKUP($B$5,标准坦克设计!$B$24:$U$30,MATCH("对"&amp;LEFT($C$5,2)&amp;"输出",标准坦克设计!$B$23:$U$23,0)))*(VLOOKUP($B95,INDIRECT($B$5&amp;"生成成长"),3))*(VLOOKUP($B$5,标准坦克设计!$B$14:$K$20,9)/30))</f>
        <v>33.313273912618747</v>
      </c>
      <c r="AV95" s="173">
        <f ca="1">(VLOOKUP(AV$72,INDIRECT($C$5&amp;"生成成长"),2))/((VLOOKUP($B95,INDIRECT($B$5&amp;"生成成长"),4))/(VLOOKUP(AV$72,INDIRECT($C$5&amp;"生成成长"),5))*(VLOOKUP($B$5,标准坦克设计!$B$24:$U$30,MATCH("对"&amp;LEFT($C$5,2)&amp;"输出",标准坦克设计!$B$23:$U$23,0)))*(VLOOKUP($B95,INDIRECT($B$5&amp;"生成成长"),3))*(VLOOKUP($B$5,标准坦克设计!$B$14:$K$20,9)/30))</f>
        <v>3.3882689989722681</v>
      </c>
      <c r="AW95" s="173">
        <f ca="1">(VLOOKUP(AW$72,INDIRECT($C$5&amp;"生成成长"),2))/((VLOOKUP($B95,INDIRECT($B$5&amp;"生成成长"),4))/(VLOOKUP(AW$72,INDIRECT($C$5&amp;"生成成长"),5))*(VLOOKUP($B$5,标准坦克设计!$B$24:$U$30,MATCH("对"&amp;LEFT($C$5,2)&amp;"输出",标准坦克设计!$B$23:$U$23,0)))*(VLOOKUP($B95,INDIRECT($B$5&amp;"生成成长"),3))*(VLOOKUP($B$5,标准坦克设计!$B$14:$K$20,9)/30))</f>
        <v>3.8632690769666564</v>
      </c>
      <c r="AX95" s="173">
        <f ca="1">(VLOOKUP(AX$72,INDIRECT($C$5&amp;"生成成长"),2))/((VLOOKUP($B95,INDIRECT($B$5&amp;"生成成长"),4))/(VLOOKUP(AX$72,INDIRECT($C$5&amp;"生成成长"),5))*(VLOOKUP($B$5,标准坦克设计!$B$24:$U$30,MATCH("对"&amp;LEFT($C$5,2)&amp;"输出",标准坦克设计!$B$23:$U$23,0)))*(VLOOKUP($B95,INDIRECT($B$5&amp;"生成成长"),3))*(VLOOKUP($B$5,标准坦克设计!$B$14:$K$20,9)/30))</f>
        <v>4.3694167010590377</v>
      </c>
      <c r="AY95" s="173">
        <f ca="1">(VLOOKUP(AY$72,INDIRECT($C$5&amp;"生成成长"),2))/((VLOOKUP($B95,INDIRECT($B$5&amp;"生成成长"),4))/(VLOOKUP(AY$72,INDIRECT($C$5&amp;"生成成长"),5))*(VLOOKUP($B$5,标准坦克设计!$B$24:$U$30,MATCH("对"&amp;LEFT($C$5,2)&amp;"输出",标准坦克设计!$B$23:$U$23,0)))*(VLOOKUP($B95,INDIRECT($B$5&amp;"生成成长"),3))*(VLOOKUP($B$5,标准坦克设计!$B$14:$K$20,9)/30))</f>
        <v>4.9067118712494118</v>
      </c>
      <c r="AZ95" s="173">
        <f ca="1">(VLOOKUP(AZ$72,INDIRECT($C$5&amp;"生成成长"),2))/((VLOOKUP($B95,INDIRECT($B$5&amp;"生成成长"),4))/(VLOOKUP(AZ$72,INDIRECT($C$5&amp;"生成成长"),5))*(VLOOKUP($B$5,标准坦克设计!$B$24:$U$30,MATCH("对"&amp;LEFT($C$5,2)&amp;"输出",标准坦克设计!$B$23:$U$23,0)))*(VLOOKUP($B95,INDIRECT($B$5&amp;"生成成长"),3))*(VLOOKUP($B$5,标准坦克设计!$B$14:$K$20,9)/30))</f>
        <v>5.4751545875377783</v>
      </c>
      <c r="BA95" s="173">
        <f ca="1">(VLOOKUP(BA$72,INDIRECT($C$5&amp;"生成成长"),2))/((VLOOKUP($B95,INDIRECT($B$5&amp;"生成成长"),4))/(VLOOKUP(BA$72,INDIRECT($C$5&amp;"生成成长"),5))*(VLOOKUP($B$5,标准坦克设计!$B$24:$U$30,MATCH("对"&amp;LEFT($C$5,2)&amp;"输出",标准坦克设计!$B$23:$U$23,0)))*(VLOOKUP($B95,INDIRECT($B$5&amp;"生成成长"),3))*(VLOOKUP($B$5,标准坦克设计!$B$14:$K$20,9)/30))</f>
        <v>6.0747448499241372</v>
      </c>
      <c r="BB95" s="173">
        <f ca="1">(VLOOKUP(BB$72,INDIRECT($C$5&amp;"生成成长"),2))/((VLOOKUP($B95,INDIRECT($B$5&amp;"生成成长"),4))/(VLOOKUP(BB$72,INDIRECT($C$5&amp;"生成成长"),5))*(VLOOKUP($B$5,标准坦克设计!$B$24:$U$30,MATCH("对"&amp;LEFT($C$5,2)&amp;"输出",标准坦克设计!$B$23:$U$23,0)))*(VLOOKUP($B95,INDIRECT($B$5&amp;"生成成长"),3))*(VLOOKUP($B$5,标准坦克设计!$B$14:$K$20,9)/30))</f>
        <v>6.7054826584084903</v>
      </c>
      <c r="BC95" s="173">
        <f ca="1">(VLOOKUP(BC$72,INDIRECT($C$5&amp;"生成成长"),2))/((VLOOKUP($B95,INDIRECT($B$5&amp;"生成成长"),4))/(VLOOKUP(BC$72,INDIRECT($C$5&amp;"生成成长"),5))*(VLOOKUP($B$5,标准坦克设计!$B$24:$U$30,MATCH("对"&amp;LEFT($C$5,2)&amp;"输出",标准坦克设计!$B$23:$U$23,0)))*(VLOOKUP($B95,INDIRECT($B$5&amp;"生成成长"),3))*(VLOOKUP($B$5,标准坦克设计!$B$14:$K$20,9)/30))</f>
        <v>7.367368012990835</v>
      </c>
      <c r="BD95" s="173">
        <f ca="1">(VLOOKUP(BD$72,INDIRECT($C$5&amp;"生成成长"),2))/((VLOOKUP($B95,INDIRECT($B$5&amp;"生成成长"),4))/(VLOOKUP(BD$72,INDIRECT($C$5&amp;"生成成长"),5))*(VLOOKUP($B$5,标准坦克设计!$B$24:$U$30,MATCH("对"&amp;LEFT($C$5,2)&amp;"输出",标准坦克设计!$B$23:$U$23,0)))*(VLOOKUP($B95,INDIRECT($B$5&amp;"生成成长"),3))*(VLOOKUP($B$5,标准坦克设计!$B$14:$K$20,9)/30))</f>
        <v>8.14922008809123</v>
      </c>
      <c r="BE95" s="173">
        <f ca="1">(VLOOKUP(BE$72,INDIRECT($C$5&amp;"生成成长"),2))/((VLOOKUP($B95,INDIRECT($B$5&amp;"生成成长"),4))/(VLOOKUP(BE$72,INDIRECT($C$5&amp;"生成成长"),5))*(VLOOKUP($B$5,标准坦克设计!$B$24:$U$30,MATCH("对"&amp;LEFT($C$5,2)&amp;"输出",标准坦克设计!$B$23:$U$23,0)))*(VLOOKUP($B95,INDIRECT($B$5&amp;"生成成长"),3))*(VLOOKUP($B$5,标准坦克设计!$B$14:$K$20,9)/30))</f>
        <v>8.9704932762218963</v>
      </c>
      <c r="BF95" s="173">
        <f ca="1">(VLOOKUP(BF$72,INDIRECT($C$5&amp;"生成成长"),2))/((VLOOKUP($B95,INDIRECT($B$5&amp;"生成成长"),4))/(VLOOKUP(BF$72,INDIRECT($C$5&amp;"生成成长"),5))*(VLOOKUP($B$5,标准坦克设计!$B$24:$U$30,MATCH("对"&amp;LEFT($C$5,2)&amp;"输出",标准坦克设计!$B$23:$U$23,0)))*(VLOOKUP($B95,INDIRECT($B$5&amp;"生成成长"),3))*(VLOOKUP($B$5,标准坦克设计!$B$14:$K$20,9)/30))</f>
        <v>9.8311875773828348</v>
      </c>
      <c r="BG95" s="173">
        <f ca="1">(VLOOKUP(BG$72,INDIRECT($C$5&amp;"生成成长"),2))/((VLOOKUP($B95,INDIRECT($B$5&amp;"生成成长"),4))/(VLOOKUP(BG$72,INDIRECT($C$5&amp;"生成成长"),5))*(VLOOKUP($B$5,标准坦克设计!$B$24:$U$30,MATCH("对"&amp;LEFT($C$5,2)&amp;"输出",标准坦克设计!$B$23:$U$23,0)))*(VLOOKUP($B95,INDIRECT($B$5&amp;"生成成长"),3))*(VLOOKUP($B$5,标准坦克设计!$B$14:$K$20,9)/30))</f>
        <v>10.731302991574047</v>
      </c>
      <c r="BH95" s="173">
        <f ca="1">(VLOOKUP(BH$72,INDIRECT($C$5&amp;"生成成长"),2))/((VLOOKUP($B95,INDIRECT($B$5&amp;"生成成长"),4))/(VLOOKUP(BH$72,INDIRECT($C$5&amp;"生成成长"),5))*(VLOOKUP($B$5,标准坦克设计!$B$24:$U$30,MATCH("对"&amp;LEFT($C$5,2)&amp;"输出",标准坦克设计!$B$23:$U$23,0)))*(VLOOKUP($B95,INDIRECT($B$5&amp;"生成成长"),3))*(VLOOKUP($B$5,标准坦克设计!$B$14:$K$20,9)/30))</f>
        <v>5.1870397861313471</v>
      </c>
      <c r="BI95" s="173">
        <f ca="1">(VLOOKUP(BI$72,INDIRECT($C$5&amp;"生成成长"),2))/((VLOOKUP($B95,INDIRECT($B$5&amp;"生成成长"),4))/(VLOOKUP(BI$72,INDIRECT($C$5&amp;"生成成长"),5))*(VLOOKUP($B$5,标准坦克设计!$B$24:$U$30,MATCH("对"&amp;LEFT($C$5,2)&amp;"输出",标准坦克设计!$B$23:$U$23,0)))*(VLOOKUP($B95,INDIRECT($B$5&amp;"生成成长"),3))*(VLOOKUP($B$5,标准坦克设计!$B$14:$K$20,9)/30))</f>
        <v>5.8462483984708946</v>
      </c>
      <c r="BJ95" s="173">
        <f ca="1">(VLOOKUP(BJ$72,INDIRECT($C$5&amp;"生成成长"),2))/((VLOOKUP($B95,INDIRECT($B$5&amp;"生成成长"),4))/(VLOOKUP(BJ$72,INDIRECT($C$5&amp;"生成成长"),5))*(VLOOKUP($B$5,标准坦克设计!$B$24:$U$30,MATCH("对"&amp;LEFT($C$5,2)&amp;"输出",标准坦克设计!$B$23:$U$23,0)))*(VLOOKUP($B95,INDIRECT($B$5&amp;"生成成长"),3))*(VLOOKUP($B$5,标准坦克设计!$B$14:$K$20,9)/30))</f>
        <v>6.5448781238407152</v>
      </c>
      <c r="BK95" s="173">
        <f ca="1">(VLOOKUP(BK$72,INDIRECT($C$5&amp;"生成成长"),2))/((VLOOKUP($B95,INDIRECT($B$5&amp;"生成成长"),4))/(VLOOKUP(BK$72,INDIRECT($C$5&amp;"生成成长"),5))*(VLOOKUP($B$5,标准坦克设计!$B$24:$U$30,MATCH("对"&amp;LEFT($C$5,2)&amp;"输出",标准坦克设计!$B$23:$U$23,0)))*(VLOOKUP($B95,INDIRECT($B$5&amp;"生成成长"),3))*(VLOOKUP($B$5,标准坦克设计!$B$14:$K$20,9)/30))</f>
        <v>7.282928962240808</v>
      </c>
      <c r="BL95" s="173">
        <f ca="1">(VLOOKUP(BL$72,INDIRECT($C$5&amp;"生成成长"),2))/((VLOOKUP($B95,INDIRECT($B$5&amp;"生成成长"),4))/(VLOOKUP(BL$72,INDIRECT($C$5&amp;"生成成长"),5))*(VLOOKUP($B$5,标准坦克设计!$B$24:$U$30,MATCH("对"&amp;LEFT($C$5,2)&amp;"输出",标准坦克设计!$B$23:$U$23,0)))*(VLOOKUP($B95,INDIRECT($B$5&amp;"生成成长"),3))*(VLOOKUP($B$5,标准坦克设计!$B$14:$K$20,9)/30))</f>
        <v>8.0604009136711721</v>
      </c>
      <c r="BM95" s="173">
        <f ca="1">(VLOOKUP(BM$72,INDIRECT($C$5&amp;"生成成长"),2))/((VLOOKUP($B95,INDIRECT($B$5&amp;"生成成长"),4))/(VLOOKUP(BM$72,INDIRECT($C$5&amp;"生成成长"),5))*(VLOOKUP($B$5,标准坦克设计!$B$24:$U$30,MATCH("对"&amp;LEFT($C$5,2)&amp;"输出",标准坦克设计!$B$23:$U$23,0)))*(VLOOKUP($B95,INDIRECT($B$5&amp;"生成成长"),3))*(VLOOKUP($B$5,标准坦克设计!$B$14:$K$20,9)/30))</f>
        <v>8.8772939781318119</v>
      </c>
      <c r="BN95" s="173">
        <f ca="1">(VLOOKUP(BN$72,INDIRECT($C$5&amp;"生成成长"),2))/((VLOOKUP($B95,INDIRECT($B$5&amp;"生成成长"),4))/(VLOOKUP(BN$72,INDIRECT($C$5&amp;"生成成长"),5))*(VLOOKUP($B$5,标准坦克设计!$B$24:$U$30,MATCH("对"&amp;LEFT($C$5,2)&amp;"输出",标准坦克设计!$B$23:$U$23,0)))*(VLOOKUP($B95,INDIRECT($B$5&amp;"生成成长"),3))*(VLOOKUP($B$5,标准坦克设计!$B$14:$K$20,9)/30))</f>
        <v>9.7336081556227185</v>
      </c>
      <c r="BO95" s="173">
        <f ca="1">(VLOOKUP(BO$72,INDIRECT($C$5&amp;"生成成长"),2))/((VLOOKUP($B95,INDIRECT($B$5&amp;"生成成长"),4))/(VLOOKUP(BO$72,INDIRECT($C$5&amp;"生成成长"),5))*(VLOOKUP($B$5,标准坦克设计!$B$24:$U$30,MATCH("对"&amp;LEFT($C$5,2)&amp;"输出",标准坦克设计!$B$23:$U$23,0)))*(VLOOKUP($B95,INDIRECT($B$5&amp;"生成成长"),3))*(VLOOKUP($B$5,标准坦克设计!$B$14:$K$20,9)/30))</f>
        <v>10.629343446143897</v>
      </c>
      <c r="BP95" s="173">
        <f ca="1">(VLOOKUP(BP$72,INDIRECT($C$5&amp;"生成成长"),2))/((VLOOKUP($B95,INDIRECT($B$5&amp;"生成成长"),4))/(VLOOKUP(BP$72,INDIRECT($C$5&amp;"生成成长"),5))*(VLOOKUP($B$5,标准坦克设计!$B$24:$U$30,MATCH("对"&amp;LEFT($C$5,2)&amp;"输出",标准坦克设计!$B$23:$U$23,0)))*(VLOOKUP($B95,INDIRECT($B$5&amp;"生成成长"),3))*(VLOOKUP($B$5,标准坦克设计!$B$14:$K$20,9)/30))</f>
        <v>11.564499849695348</v>
      </c>
      <c r="BQ95" s="173">
        <f ca="1">(VLOOKUP(BQ$72,INDIRECT($C$5&amp;"生成成长"),2))/((VLOOKUP($B95,INDIRECT($B$5&amp;"生成成长"),4))/(VLOOKUP(BQ$72,INDIRECT($C$5&amp;"生成成长"),5))*(VLOOKUP($B$5,标准坦克设计!$B$24:$U$30,MATCH("对"&amp;LEFT($C$5,2)&amp;"输出",标准坦克设计!$B$23:$U$23,0)))*(VLOOKUP($B95,INDIRECT($B$5&amp;"生成成长"),3))*(VLOOKUP($B$5,标准坦克设计!$B$14:$K$20,9)/30))</f>
        <v>12.539077366277075</v>
      </c>
      <c r="BR95" s="173">
        <f ca="1">(VLOOKUP(BR$72,INDIRECT($C$5&amp;"生成成长"),2))/((VLOOKUP($B95,INDIRECT($B$5&amp;"生成成长"),4))/(VLOOKUP(BR$72,INDIRECT($C$5&amp;"生成成长"),5))*(VLOOKUP($B$5,标准坦克设计!$B$24:$U$30,MATCH("对"&amp;LEFT($C$5,2)&amp;"输出",标准坦克设计!$B$23:$U$23,0)))*(VLOOKUP($B95,INDIRECT($B$5&amp;"生成成长"),3))*(VLOOKUP($B$5,标准坦克设计!$B$14:$K$20,9)/30))</f>
        <v>13.668175912329309</v>
      </c>
      <c r="BS95" s="173">
        <f ca="1">(VLOOKUP(BS$72,INDIRECT($C$5&amp;"生成成长"),2))/((VLOOKUP($B95,INDIRECT($B$5&amp;"生成成长"),4))/(VLOOKUP(BS$72,INDIRECT($C$5&amp;"生成成长"),5))*(VLOOKUP($B$5,标准坦克设计!$B$24:$U$30,MATCH("对"&amp;LEFT($C$5,2)&amp;"输出",标准坦克设计!$B$23:$U$23,0)))*(VLOOKUP($B95,INDIRECT($B$5&amp;"生成成长"),3))*(VLOOKUP($B$5,标准坦克设计!$B$14:$K$20,9)/30))</f>
        <v>14.845942499159658</v>
      </c>
      <c r="BT95" s="173">
        <f ca="1">(VLOOKUP(BT$72,INDIRECT($C$5&amp;"生成成长"),2))/((VLOOKUP($B95,INDIRECT($B$5&amp;"生成成长"),4))/(VLOOKUP(BT$72,INDIRECT($C$5&amp;"生成成长"),5))*(VLOOKUP($B$5,标准坦克设计!$B$24:$U$30,MATCH("对"&amp;LEFT($C$5,2)&amp;"输出",标准坦克设计!$B$23:$U$23,0)))*(VLOOKUP($B95,INDIRECT($B$5&amp;"生成成长"),3))*(VLOOKUP($B$5,标准坦克设计!$B$14:$K$20,9)/30))</f>
        <v>16.072377126768121</v>
      </c>
      <c r="BU95" s="173">
        <f ca="1">(VLOOKUP(BU$72,INDIRECT($C$5&amp;"生成成长"),2))/((VLOOKUP($B95,INDIRECT($B$5&amp;"生成成长"),4))/(VLOOKUP(BU$72,INDIRECT($C$5&amp;"生成成长"),5))*(VLOOKUP($B$5,标准坦克设计!$B$24:$U$30,MATCH("对"&amp;LEFT($C$5,2)&amp;"输出",标准坦克设计!$B$23:$U$23,0)))*(VLOOKUP($B95,INDIRECT($B$5&amp;"生成成长"),3))*(VLOOKUP($B$5,标准坦克设计!$B$14:$K$20,9)/30))</f>
        <v>17.347479795154698</v>
      </c>
      <c r="BV95" s="173">
        <f ca="1">(VLOOKUP(BV$72,INDIRECT($C$5&amp;"生成成长"),2))/((VLOOKUP($B95,INDIRECT($B$5&amp;"生成成长"),4))/(VLOOKUP(BV$72,INDIRECT($C$5&amp;"生成成长"),5))*(VLOOKUP($B$5,标准坦克设计!$B$24:$U$30,MATCH("对"&amp;LEFT($C$5,2)&amp;"输出",标准坦克设计!$B$23:$U$23,0)))*(VLOOKUP($B95,INDIRECT($B$5&amp;"生成成长"),3))*(VLOOKUP($B$5,标准坦克设计!$B$14:$K$20,9)/30))</f>
        <v>18.671250504319389</v>
      </c>
      <c r="BW95" s="173">
        <f ca="1">(VLOOKUP(BW$72,INDIRECT($C$5&amp;"生成成长"),2))/((VLOOKUP($B95,INDIRECT($B$5&amp;"生成成长"),4))/(VLOOKUP(BW$72,INDIRECT($C$5&amp;"生成成长"),5))*(VLOOKUP($B$5,标准坦克设计!$B$24:$U$30,MATCH("对"&amp;LEFT($C$5,2)&amp;"输出",标准坦克设计!$B$23:$U$23,0)))*(VLOOKUP($B95,INDIRECT($B$5&amp;"生成成长"),3))*(VLOOKUP($B$5,标准坦克设计!$B$14:$K$20,9)/30))</f>
        <v>8.5093635898492703</v>
      </c>
      <c r="BX95" s="173">
        <f ca="1">(VLOOKUP(BX$72,INDIRECT($C$5&amp;"生成成长"),2))/((VLOOKUP($B95,INDIRECT($B$5&amp;"生成成长"),4))/(VLOOKUP(BX$72,INDIRECT($C$5&amp;"生成成长"),5))*(VLOOKUP($B$5,标准坦克设计!$B$24:$U$30,MATCH("对"&amp;LEFT($C$5,2)&amp;"输出",标准坦克设计!$B$23:$U$23,0)))*(VLOOKUP($B95,INDIRECT($B$5&amp;"生成成长"),3))*(VLOOKUP($B$5,标准坦克设计!$B$14:$K$20,9)/30))</f>
        <v>9.44378997278905</v>
      </c>
      <c r="BY95" s="173">
        <f ca="1">(VLOOKUP(BY$72,INDIRECT($C$5&amp;"生成成长"),2))/((VLOOKUP($B95,INDIRECT($B$5&amp;"生成成长"),4))/(VLOOKUP(BY$72,INDIRECT($C$5&amp;"生成成长"),5))*(VLOOKUP($B$5,标准坦克设计!$B$24:$U$30,MATCH("对"&amp;LEFT($C$5,2)&amp;"输出",标准坦克设计!$B$23:$U$23,0)))*(VLOOKUP($B95,INDIRECT($B$5&amp;"生成成长"),3))*(VLOOKUP($B$5,标准坦克设计!$B$14:$K$20,9)/30))</f>
        <v>10.426884396506946</v>
      </c>
      <c r="BZ95" s="173">
        <f ca="1">(VLOOKUP(BZ$72,INDIRECT($C$5&amp;"生成成长"),2))/((VLOOKUP($B95,INDIRECT($B$5&amp;"生成成长"),4))/(VLOOKUP(BZ$72,INDIRECT($C$5&amp;"生成成长"),5))*(VLOOKUP($B$5,标准坦克设计!$B$24:$U$30,MATCH("对"&amp;LEFT($C$5,2)&amp;"输出",标准坦克设计!$B$23:$U$23,0)))*(VLOOKUP($B95,INDIRECT($B$5&amp;"生成成长"),3))*(VLOOKUP($B$5,标准坦克设计!$B$14:$K$20,9)/30))</f>
        <v>11.458646861002954</v>
      </c>
      <c r="CA95" s="173">
        <f ca="1">(VLOOKUP(CA$72,INDIRECT($C$5&amp;"生成成长"),2))/((VLOOKUP($B95,INDIRECT($B$5&amp;"生成成长"),4))/(VLOOKUP(CA$72,INDIRECT($C$5&amp;"生成成长"),5))*(VLOOKUP($B$5,标准坦克设计!$B$24:$U$30,MATCH("对"&amp;LEFT($C$5,2)&amp;"输出",标准坦克设计!$B$23:$U$23,0)))*(VLOOKUP($B95,INDIRECT($B$5&amp;"生成成长"),3))*(VLOOKUP($B$5,标准坦克设计!$B$14:$K$20,9)/30))</f>
        <v>12.539077366277075</v>
      </c>
      <c r="CB95" s="173">
        <f ca="1">(VLOOKUP(CB$72,INDIRECT($C$5&amp;"生成成长"),2))/((VLOOKUP($B95,INDIRECT($B$5&amp;"生成成长"),4))/(VLOOKUP(CB$72,INDIRECT($C$5&amp;"生成成长"),5))*(VLOOKUP($B$5,标准坦克设计!$B$24:$U$30,MATCH("对"&amp;LEFT($C$5,2)&amp;"输出",标准坦克设计!$B$23:$U$23,0)))*(VLOOKUP($B95,INDIRECT($B$5&amp;"生成成长"),3))*(VLOOKUP($B$5,标准坦克设计!$B$14:$K$20,9)/30))</f>
        <v>13.668175912329309</v>
      </c>
      <c r="CC95" s="173">
        <f ca="1">(VLOOKUP(CC$72,INDIRECT($C$5&amp;"生成成长"),2))/((VLOOKUP($B95,INDIRECT($B$5&amp;"生成成长"),4))/(VLOOKUP(CC$72,INDIRECT($C$5&amp;"生成成长"),5))*(VLOOKUP($B$5,标准坦克设计!$B$24:$U$30,MATCH("对"&amp;LEFT($C$5,2)&amp;"输出",标准坦克设计!$B$23:$U$23,0)))*(VLOOKUP($B95,INDIRECT($B$5&amp;"生成成长"),3))*(VLOOKUP($B$5,标准坦克设计!$B$14:$K$20,9)/30))</f>
        <v>14.845942499159658</v>
      </c>
      <c r="CD95" s="173">
        <f ca="1">(VLOOKUP(CD$72,INDIRECT($C$5&amp;"生成成长"),2))/((VLOOKUP($B95,INDIRECT($B$5&amp;"生成成长"),4))/(VLOOKUP(CD$72,INDIRECT($C$5&amp;"生成成长"),5))*(VLOOKUP($B$5,标准坦克设计!$B$24:$U$30,MATCH("对"&amp;LEFT($C$5,2)&amp;"输出",标准坦克设计!$B$23:$U$23,0)))*(VLOOKUP($B95,INDIRECT($B$5&amp;"生成成长"),3))*(VLOOKUP($B$5,标准坦克设计!$B$14:$K$20,9)/30))</f>
        <v>16.072377126768121</v>
      </c>
      <c r="CE95" s="173">
        <f ca="1">(VLOOKUP(CE$72,INDIRECT($C$5&amp;"生成成长"),2))/((VLOOKUP($B95,INDIRECT($B$5&amp;"生成成长"),4))/(VLOOKUP(CE$72,INDIRECT($C$5&amp;"生成成长"),5))*(VLOOKUP($B$5,标准坦克设计!$B$24:$U$30,MATCH("对"&amp;LEFT($C$5,2)&amp;"输出",标准坦克设计!$B$23:$U$23,0)))*(VLOOKUP($B95,INDIRECT($B$5&amp;"生成成长"),3))*(VLOOKUP($B$5,标准坦克设计!$B$14:$K$20,9)/30))</f>
        <v>17.347479795154698</v>
      </c>
      <c r="CF95" s="173">
        <f ca="1">(VLOOKUP(CF$72,INDIRECT($C$5&amp;"生成成长"),2))/((VLOOKUP($B95,INDIRECT($B$5&amp;"生成成长"),4))/(VLOOKUP(CF$72,INDIRECT($C$5&amp;"生成成长"),5))*(VLOOKUP($B$5,标准坦克设计!$B$24:$U$30,MATCH("对"&amp;LEFT($C$5,2)&amp;"输出",标准坦克设计!$B$23:$U$23,0)))*(VLOOKUP($B95,INDIRECT($B$5&amp;"生成成长"),3))*(VLOOKUP($B$5,标准坦克设计!$B$14:$K$20,9)/30))</f>
        <v>18.671250504319389</v>
      </c>
      <c r="CG95" s="173">
        <f ca="1">(VLOOKUP(CG$72,INDIRECT($C$5&amp;"生成成长"),2))/((VLOOKUP($B95,INDIRECT($B$5&amp;"生成成长"),4))/(VLOOKUP(CG$72,INDIRECT($C$5&amp;"生成成长"),5))*(VLOOKUP($B$5,标准坦克设计!$B$24:$U$30,MATCH("对"&amp;LEFT($C$5,2)&amp;"输出",标准坦克设计!$B$23:$U$23,0)))*(VLOOKUP($B95,INDIRECT($B$5&amp;"生成成长"),3))*(VLOOKUP($B$5,标准坦克设计!$B$14:$K$20,9)/30))</f>
        <v>20.043689254262191</v>
      </c>
      <c r="CH95" s="173">
        <f ca="1">(VLOOKUP(CH$72,INDIRECT($C$5&amp;"生成成长"),2))/((VLOOKUP($B95,INDIRECT($B$5&amp;"生成成长"),4))/(VLOOKUP(CH$72,INDIRECT($C$5&amp;"生成成长"),5))*(VLOOKUP($B$5,标准坦克设计!$B$24:$U$30,MATCH("对"&amp;LEFT($C$5,2)&amp;"输出",标准坦克设计!$B$23:$U$23,0)))*(VLOOKUP($B95,INDIRECT($B$5&amp;"生成成长"),3))*(VLOOKUP($B$5,标准坦克设计!$B$14:$K$20,9)/30))</f>
        <v>21.464796044983103</v>
      </c>
      <c r="CI95" s="173">
        <f ca="1">(VLOOKUP(CI$72,INDIRECT($C$5&amp;"生成成长"),2))/((VLOOKUP($B95,INDIRECT($B$5&amp;"生成成长"),4))/(VLOOKUP(CI$72,INDIRECT($C$5&amp;"生成成长"),5))*(VLOOKUP($B$5,标准坦克设计!$B$24:$U$30,MATCH("对"&amp;LEFT($C$5,2)&amp;"输出",标准坦克设计!$B$23:$U$23,0)))*(VLOOKUP($B95,INDIRECT($B$5&amp;"生成成长"),3))*(VLOOKUP($B$5,标准坦克设计!$B$14:$K$20,9)/30))</f>
        <v>23.084225101874839</v>
      </c>
      <c r="CJ95" s="173">
        <f ca="1">(VLOOKUP(CJ$72,INDIRECT($C$5&amp;"生成成长"),2))/((VLOOKUP($B95,INDIRECT($B$5&amp;"生成成长"),4))/(VLOOKUP(CJ$72,INDIRECT($C$5&amp;"生成成长"),5))*(VLOOKUP($B$5,标准坦克设计!$B$24:$U$30,MATCH("对"&amp;LEFT($C$5,2)&amp;"输出",标准坦克设计!$B$23:$U$23,0)))*(VLOOKUP($B95,INDIRECT($B$5&amp;"生成成长"),3))*(VLOOKUP($B$5,标准坦克设计!$B$14:$K$20,9)/30))</f>
        <v>24.762542488108085</v>
      </c>
      <c r="CK95" s="173">
        <f ca="1">(VLOOKUP(CK$72,INDIRECT($C$5&amp;"生成成长"),2))/((VLOOKUP($B95,INDIRECT($B$5&amp;"生成成长"),4))/(VLOOKUP(CK$72,INDIRECT($C$5&amp;"生成成长"),5))*(VLOOKUP($B$5,标准坦克设计!$B$24:$U$30,MATCH("对"&amp;LEFT($C$5,2)&amp;"输出",标准坦克设计!$B$23:$U$23,0)))*(VLOOKUP($B95,INDIRECT($B$5&amp;"生成成长"),3))*(VLOOKUP($B$5,标准坦克设计!$B$14:$K$20,9)/30))</f>
        <v>26.499748203682849</v>
      </c>
      <c r="CL95" s="173">
        <f ca="1">(VLOOKUP(CL$72,INDIRECT($C$5&amp;"生成成长"),2))/((VLOOKUP($B95,INDIRECT($B$5&amp;"生成成长"),4))/(VLOOKUP(CL$72,INDIRECT($C$5&amp;"生成成长"),5))*(VLOOKUP($B$5,标准坦克设计!$B$24:$U$30,MATCH("对"&amp;LEFT($C$5,2)&amp;"输出",标准坦克设计!$B$23:$U$23,0)))*(VLOOKUP($B95,INDIRECT($B$5&amp;"生成成长"),3))*(VLOOKUP($B$5,标准坦克设计!$B$14:$K$20,9)/30))</f>
        <v>28.295842248599129</v>
      </c>
      <c r="CM95" s="173">
        <f ca="1">(VLOOKUP(CM$72,INDIRECT($C$5&amp;"生成成长"),2))/((VLOOKUP($B95,INDIRECT($B$5&amp;"生成成长"),4))/(VLOOKUP(CM$72,INDIRECT($C$5&amp;"生成成长"),5))*(VLOOKUP($B$5,标准坦克设计!$B$24:$U$30,MATCH("对"&amp;LEFT($C$5,2)&amp;"输出",标准坦克设计!$B$23:$U$23,0)))*(VLOOKUP($B95,INDIRECT($B$5&amp;"生成成长"),3))*(VLOOKUP($B$5,标准坦克设计!$B$14:$K$20,9)/30))</f>
        <v>30.150824622856923</v>
      </c>
      <c r="CN95" s="173">
        <f ca="1">(VLOOKUP(CN$72,INDIRECT($C$5&amp;"生成成长"),2))/((VLOOKUP($B95,INDIRECT($B$5&amp;"生成成长"),4))/(VLOOKUP(CN$72,INDIRECT($C$5&amp;"生成成长"),5))*(VLOOKUP($B$5,标准坦克设计!$B$24:$U$30,MATCH("对"&amp;LEFT($C$5,2)&amp;"输出",标准坦克设计!$B$23:$U$23,0)))*(VLOOKUP($B95,INDIRECT($B$5&amp;"生成成长"),3))*(VLOOKUP($B$5,标准坦克设计!$B$14:$K$20,9)/30))</f>
        <v>32.064695326456246</v>
      </c>
      <c r="CO95" s="173">
        <f ca="1">(VLOOKUP(CO$72,INDIRECT($C$5&amp;"生成成长"),2))/((VLOOKUP($B95,INDIRECT($B$5&amp;"生成成长"),4))/(VLOOKUP(CO$72,INDIRECT($C$5&amp;"生成成长"),5))*(VLOOKUP($B$5,标准坦克设计!$B$24:$U$30,MATCH("对"&amp;LEFT($C$5,2)&amp;"输出",标准坦克设计!$B$23:$U$23,0)))*(VLOOKUP($B95,INDIRECT($B$5&amp;"生成成长"),3))*(VLOOKUP($B$5,标准坦克设计!$B$14:$K$20,9)/30))</f>
        <v>14.368995699534146</v>
      </c>
      <c r="CP95" s="173">
        <f ca="1">(VLOOKUP(CP$72,INDIRECT($C$5&amp;"生成成长"),2))/((VLOOKUP($B95,INDIRECT($B$5&amp;"生成成长"),4))/(VLOOKUP(CP$72,INDIRECT($C$5&amp;"生成成长"),5))*(VLOOKUP($B$5,标准坦克设计!$B$24:$U$30,MATCH("对"&amp;LEFT($C$5,2)&amp;"输出",标准坦克设计!$B$23:$U$23,0)))*(VLOOKUP($B95,INDIRECT($B$5&amp;"生成成长"),3))*(VLOOKUP($B$5,标准坦克设计!$B$14:$K$20,9)/30))</f>
        <v>15.69933659420388</v>
      </c>
      <c r="CQ95" s="173">
        <f ca="1">(VLOOKUP(CQ$72,INDIRECT($C$5&amp;"生成成长"),2))/((VLOOKUP($B95,INDIRECT($B$5&amp;"生成成长"),4))/(VLOOKUP(CQ$72,INDIRECT($C$5&amp;"生成成长"),5))*(VLOOKUP($B$5,标准坦克设计!$B$24:$U$30,MATCH("对"&amp;LEFT($C$5,2)&amp;"输出",标准坦克设计!$B$23:$U$23,0)))*(VLOOKUP($B95,INDIRECT($B$5&amp;"生成成长"),3))*(VLOOKUP($B$5,标准坦克设计!$B$14:$K$20,9)/30))</f>
        <v>17.088565818215134</v>
      </c>
      <c r="CR95" s="173">
        <f ca="1">(VLOOKUP(CR$72,INDIRECT($C$5&amp;"生成成长"),2))/((VLOOKUP($B95,INDIRECT($B$5&amp;"生成成长"),4))/(VLOOKUP(CR$72,INDIRECT($C$5&amp;"生成成长"),5))*(VLOOKUP($B$5,标准坦克设计!$B$24:$U$30,MATCH("对"&amp;LEFT($C$5,2)&amp;"输出",标准坦克设计!$B$23:$U$23,0)))*(VLOOKUP($B95,INDIRECT($B$5&amp;"生成成长"),3))*(VLOOKUP($B$5,标准坦克设计!$B$14:$K$20,9)/30))</f>
        <v>18.536683371567904</v>
      </c>
      <c r="CS95" s="173">
        <f ca="1">(VLOOKUP(CS$72,INDIRECT($C$5&amp;"生成成长"),2))/((VLOOKUP($B95,INDIRECT($B$5&amp;"生成成长"),4))/(VLOOKUP(CS$72,INDIRECT($C$5&amp;"生成成长"),5))*(VLOOKUP($B$5,标准坦克设计!$B$24:$U$30,MATCH("对"&amp;LEFT($C$5,2)&amp;"输出",标准坦克设计!$B$23:$U$23,0)))*(VLOOKUP($B95,INDIRECT($B$5&amp;"生成成长"),3))*(VLOOKUP($B$5,标准坦克设计!$B$14:$K$20,9)/30))</f>
        <v>20.043689254262191</v>
      </c>
      <c r="CT95" s="173">
        <f ca="1">(VLOOKUP(CT$72,INDIRECT($C$5&amp;"生成成长"),2))/((VLOOKUP($B95,INDIRECT($B$5&amp;"生成成长"),4))/(VLOOKUP(CT$72,INDIRECT($C$5&amp;"生成成长"),5))*(VLOOKUP($B$5,标准坦克设计!$B$24:$U$30,MATCH("对"&amp;LEFT($C$5,2)&amp;"输出",标准坦克设计!$B$23:$U$23,0)))*(VLOOKUP($B95,INDIRECT($B$5&amp;"生成成长"),3))*(VLOOKUP($B$5,标准坦克设计!$B$14:$K$20,9)/30))</f>
        <v>21.609583466297995</v>
      </c>
      <c r="CU95" s="173">
        <f ca="1">(VLOOKUP(CU$72,INDIRECT($C$5&amp;"生成成长"),2))/((VLOOKUP($B95,INDIRECT($B$5&amp;"生成成长"),4))/(VLOOKUP(CU$72,INDIRECT($C$5&amp;"生成成长"),5))*(VLOOKUP($B$5,标准坦克设计!$B$24:$U$30,MATCH("对"&amp;LEFT($C$5,2)&amp;"输出",标准坦克设计!$B$23:$U$23,0)))*(VLOOKUP($B95,INDIRECT($B$5&amp;"生成成长"),3))*(VLOOKUP($B$5,标准坦克设计!$B$14:$K$20,9)/30))</f>
        <v>23.234366007675316</v>
      </c>
      <c r="CV95" s="173">
        <f ca="1">(VLOOKUP(CV$72,INDIRECT($C$5&amp;"生成成长"),2))/((VLOOKUP($B95,INDIRECT($B$5&amp;"生成成长"),4))/(VLOOKUP(CV$72,INDIRECT($C$5&amp;"生成成长"),5))*(VLOOKUP($B$5,标准坦克设计!$B$24:$U$30,MATCH("对"&amp;LEFT($C$5,2)&amp;"输出",标准坦克设计!$B$23:$U$23,0)))*(VLOOKUP($B95,INDIRECT($B$5&amp;"生成成长"),3))*(VLOOKUP($B$5,标准坦克设计!$B$14:$K$20,9)/30))</f>
        <v>24.918036878394158</v>
      </c>
      <c r="CW95" s="173">
        <f ca="1">(VLOOKUP(CW$72,INDIRECT($C$5&amp;"生成成长"),2))/((VLOOKUP($B95,INDIRECT($B$5&amp;"生成成长"),4))/(VLOOKUP(CW$72,INDIRECT($C$5&amp;"生成成长"),5))*(VLOOKUP($B$5,标准坦克设计!$B$24:$U$30,MATCH("对"&amp;LEFT($C$5,2)&amp;"输出",标准坦克设计!$B$23:$U$23,0)))*(VLOOKUP($B95,INDIRECT($B$5&amp;"生成成长"),3))*(VLOOKUP($B$5,标准坦克设计!$B$14:$K$20,9)/30))</f>
        <v>26.660596078454514</v>
      </c>
      <c r="CX95" s="173">
        <f ca="1">(VLOOKUP(CX$72,INDIRECT($C$5&amp;"生成成长"),2))/((VLOOKUP($B95,INDIRECT($B$5&amp;"生成成长"),4))/(VLOOKUP(CX$72,INDIRECT($C$5&amp;"生成成长"),5))*(VLOOKUP($B$5,标准坦克设计!$B$24:$U$30,MATCH("对"&amp;LEFT($C$5,2)&amp;"输出",标准坦克设计!$B$23:$U$23,0)))*(VLOOKUP($B95,INDIRECT($B$5&amp;"生成成长"),3))*(VLOOKUP($B$5,标准坦克设计!$B$14:$K$20,9)/30))</f>
        <v>28.462043607856387</v>
      </c>
      <c r="CY95" s="173">
        <f ca="1">(VLOOKUP(CY$72,INDIRECT($C$5&amp;"生成成长"),2))/((VLOOKUP($B95,INDIRECT($B$5&amp;"生成成长"),4))/(VLOOKUP(CY$72,INDIRECT($C$5&amp;"生成成长"),5))*(VLOOKUP($B$5,标准坦克设计!$B$24:$U$30,MATCH("对"&amp;LEFT($C$5,2)&amp;"输出",标准坦克设计!$B$23:$U$23,0)))*(VLOOKUP($B95,INDIRECT($B$5&amp;"生成成长"),3))*(VLOOKUP($B$5,标准坦克设计!$B$14:$K$20,9)/30))</f>
        <v>30.322379466599784</v>
      </c>
      <c r="CZ95" s="173">
        <f ca="1">(VLOOKUP(CZ$72,INDIRECT($C$5&amp;"生成成长"),2))/((VLOOKUP($B95,INDIRECT($B$5&amp;"生成成长"),4))/(VLOOKUP(CZ$72,INDIRECT($C$5&amp;"生成成长"),5))*(VLOOKUP($B$5,标准坦克设计!$B$24:$U$30,MATCH("对"&amp;LEFT($C$5,2)&amp;"输出",标准坦克设计!$B$23:$U$23,0)))*(VLOOKUP($B95,INDIRECT($B$5&amp;"生成成长"),3))*(VLOOKUP($B$5,标准坦克设计!$B$14:$K$20,9)/30))</f>
        <v>32.241603654684688</v>
      </c>
      <c r="DA95" s="173">
        <f ca="1">(VLOOKUP(DA$72,INDIRECT($C$5&amp;"生成成长"),2))/((VLOOKUP($B95,INDIRECT($B$5&amp;"生成成长"),4))/(VLOOKUP(DA$72,INDIRECT($C$5&amp;"生成成长"),5))*(VLOOKUP($B$5,标准坦克设计!$B$24:$U$30,MATCH("对"&amp;LEFT($C$5,2)&amp;"输出",标准坦克设计!$B$23:$U$23,0)))*(VLOOKUP($B95,INDIRECT($B$5&amp;"生成成长"),3))*(VLOOKUP($B$5,标准坦克设计!$B$14:$K$20,9)/30))</f>
        <v>34.219716172111113</v>
      </c>
      <c r="DB95" s="173">
        <f ca="1">(VLOOKUP(DB$72,INDIRECT($C$5&amp;"生成成长"),2))/((VLOOKUP($B95,INDIRECT($B$5&amp;"生成成长"),4))/(VLOOKUP(DB$72,INDIRECT($C$5&amp;"生成成长"),5))*(VLOOKUP($B$5,标准坦克设计!$B$24:$U$30,MATCH("对"&amp;LEFT($C$5,2)&amp;"输出",标准坦克设计!$B$23:$U$23,0)))*(VLOOKUP($B95,INDIRECT($B$5&amp;"生成成长"),3))*(VLOOKUP($B$5,标准坦克设计!$B$14:$K$20,9)/30))</f>
        <v>36.256717018879058</v>
      </c>
      <c r="DC95" s="173">
        <f ca="1">(VLOOKUP(DC$72,INDIRECT($C$5&amp;"生成成长"),2))/((VLOOKUP($B95,INDIRECT($B$5&amp;"生成成长"),4))/(VLOOKUP(DC$72,INDIRECT($C$5&amp;"生成成长"),5))*(VLOOKUP($B$5,标准坦克设计!$B$24:$U$30,MATCH("对"&amp;LEFT($C$5,2)&amp;"输出",标准坦克设计!$B$23:$U$23,0)))*(VLOOKUP($B95,INDIRECT($B$5&amp;"生成成长"),3))*(VLOOKUP($B$5,标准坦克设计!$B$14:$K$20,9)/30))</f>
        <v>38.546061657081523</v>
      </c>
      <c r="DD95" s="173">
        <f ca="1">(VLOOKUP(DD$72,INDIRECT($C$5&amp;"生成成长"),2))/((VLOOKUP($B95,INDIRECT($B$5&amp;"生成成长"),4))/(VLOOKUP(DD$72,INDIRECT($C$5&amp;"生成成长"),5))*(VLOOKUP($B$5,标准坦克设计!$B$24:$U$30,MATCH("对"&amp;LEFT($C$5,2)&amp;"输出",标准坦克设计!$B$23:$U$23,0)))*(VLOOKUP($B95,INDIRECT($B$5&amp;"生成成长"),3))*(VLOOKUP($B$5,标准坦克设计!$B$14:$K$20,9)/30))</f>
        <v>40.905488274004469</v>
      </c>
      <c r="DE95" s="173">
        <f ca="1">(VLOOKUP(DE$72,INDIRECT($C$5&amp;"生成成长"),2))/((VLOOKUP($B95,INDIRECT($B$5&amp;"生成成长"),4))/(VLOOKUP(DE$72,INDIRECT($C$5&amp;"生成成长"),5))*(VLOOKUP($B$5,标准坦克设计!$B$24:$U$30,MATCH("对"&amp;LEFT($C$5,2)&amp;"输出",标准坦克设计!$B$23:$U$23,0)))*(VLOOKUP($B95,INDIRECT($B$5&amp;"生成成长"),3))*(VLOOKUP($B$5,标准坦克设计!$B$14:$K$20,9)/30))</f>
        <v>43.334996869647895</v>
      </c>
      <c r="DF95" s="173">
        <f ca="1">(VLOOKUP(DF$72,INDIRECT($C$5&amp;"生成成长"),2))/((VLOOKUP($B95,INDIRECT($B$5&amp;"生成成长"),4))/(VLOOKUP(DF$72,INDIRECT($C$5&amp;"生成成长"),5))*(VLOOKUP($B$5,标准坦克设计!$B$24:$U$30,MATCH("对"&amp;LEFT($C$5,2)&amp;"输出",标准坦克设计!$B$23:$U$23,0)))*(VLOOKUP($B95,INDIRECT($B$5&amp;"生成成长"),3))*(VLOOKUP($B$5,标准坦克设计!$B$14:$K$20,9)/30))</f>
        <v>45.834587444011817</v>
      </c>
      <c r="DG95" s="173">
        <f ca="1">(VLOOKUP(DG$72,INDIRECT($C$5&amp;"生成成长"),2))/((VLOOKUP($B95,INDIRECT($B$5&amp;"生成成长"),4))/(VLOOKUP(DG$72,INDIRECT($C$5&amp;"生成成长"),5))*(VLOOKUP($B$5,标准坦克设计!$B$24:$U$30,MATCH("对"&amp;LEFT($C$5,2)&amp;"输出",标准坦克设计!$B$23:$U$23,0)))*(VLOOKUP($B95,INDIRECT($B$5&amp;"生成成长"),3))*(VLOOKUP($B$5,标准坦克设计!$B$14:$K$20,9)/30))</f>
        <v>48.404259997096219</v>
      </c>
      <c r="DH95" s="173">
        <f ca="1">(VLOOKUP(DH$72,INDIRECT($C$5&amp;"生成成长"),2))/((VLOOKUP($B95,INDIRECT($B$5&amp;"生成成长"),4))/(VLOOKUP(DH$72,INDIRECT($C$5&amp;"生成成长"),5))*(VLOOKUP($B$5,标准坦克设计!$B$24:$U$30,MATCH("对"&amp;LEFT($C$5,2)&amp;"输出",标准坦克设计!$B$23:$U$23,0)))*(VLOOKUP($B95,INDIRECT($B$5&amp;"生成成长"),3))*(VLOOKUP($B$5,标准坦克设计!$B$14:$K$20,9)/30))</f>
        <v>51.044014528901101</v>
      </c>
      <c r="DI95" s="173">
        <f ca="1">(VLOOKUP(DI$72,INDIRECT($C$5&amp;"生成成长"),2))/((VLOOKUP($B95,INDIRECT($B$5&amp;"生成成长"),4))/(VLOOKUP(DI$72,INDIRECT($C$5&amp;"生成成长"),5))*(VLOOKUP($B$5,标准坦克设计!$B$24:$U$30,MATCH("对"&amp;LEFT($C$5,2)&amp;"输出",标准坦克设计!$B$23:$U$23,0)))*(VLOOKUP($B95,INDIRECT($B$5&amp;"生成成长"),3))*(VLOOKUP($B$5,标准坦克设计!$B$14:$K$20,9)/30))</f>
        <v>53.753851039426458</v>
      </c>
      <c r="DJ95" s="173">
        <f ca="1">(VLOOKUP(DJ$72,INDIRECT($C$5&amp;"生成成长"),2))/((VLOOKUP($B95,INDIRECT($B$5&amp;"生成成长"),4))/(VLOOKUP(DJ$72,INDIRECT($C$5&amp;"生成成长"),5))*(VLOOKUP($B$5,标准坦克设计!$B$24:$U$30,MATCH("对"&amp;LEFT($C$5,2)&amp;"输出",标准坦克设计!$B$23:$U$23,0)))*(VLOOKUP($B95,INDIRECT($B$5&amp;"生成成长"),3))*(VLOOKUP($B$5,标准坦克设计!$B$14:$K$20,9)/30))</f>
        <v>5.4023958665744987</v>
      </c>
      <c r="DK95" s="173">
        <f ca="1">(VLOOKUP(DK$72,INDIRECT($C$5&amp;"生成成长"),2))/((VLOOKUP($B95,INDIRECT($B$5&amp;"生成成长"),4))/(VLOOKUP(DK$72,INDIRECT($C$5&amp;"生成成长"),5))*(VLOOKUP($B$5,标准坦克设计!$B$24:$U$30,MATCH("对"&amp;LEFT($C$5,2)&amp;"输出",标准坦克设计!$B$23:$U$23,0)))*(VLOOKUP($B95,INDIRECT($B$5&amp;"生成成长"),3))*(VLOOKUP($B$5,标准坦克设计!$B$14:$K$20,9)/30))</f>
        <v>6.0747448499241372</v>
      </c>
      <c r="DL95" s="173">
        <f ca="1">(VLOOKUP(DL$72,INDIRECT($C$5&amp;"生成成长"),2))/((VLOOKUP($B95,INDIRECT($B$5&amp;"生成成长"),4))/(VLOOKUP(DL$72,INDIRECT($C$5&amp;"生成成长"),5))*(VLOOKUP($B$5,标准坦克设计!$B$24:$U$30,MATCH("对"&amp;LEFT($C$5,2)&amp;"输出",标准坦克设计!$B$23:$U$23,0)))*(VLOOKUP($B95,INDIRECT($B$5&amp;"生成成长"),3))*(VLOOKUP($B$5,标准坦克设计!$B$14:$K$20,9)/30))</f>
        <v>6.7865149463040497</v>
      </c>
      <c r="DM95" s="173">
        <f ca="1">(VLOOKUP(DM$72,INDIRECT($C$5&amp;"生成成长"),2))/((VLOOKUP($B95,INDIRECT($B$5&amp;"生成成长"),4))/(VLOOKUP(DM$72,INDIRECT($C$5&amp;"生成成长"),5))*(VLOOKUP($B$5,标准坦克设计!$B$24:$U$30,MATCH("对"&amp;LEFT($C$5,2)&amp;"输出",标准坦克设计!$B$23:$U$23,0)))*(VLOOKUP($B95,INDIRECT($B$5&amp;"生成成长"),3))*(VLOOKUP($B$5,标准坦克设计!$B$14:$K$20,9)/30))</f>
        <v>7.5377061557142309</v>
      </c>
      <c r="DN95" s="173">
        <f ca="1">(VLOOKUP(DN$72,INDIRECT($C$5&amp;"生成成长"),2))/((VLOOKUP($B95,INDIRECT($B$5&amp;"生成成长"),4))/(VLOOKUP(DN$72,INDIRECT($C$5&amp;"生成成长"),5))*(VLOOKUP($B$5,标准坦克设计!$B$24:$U$30,MATCH("对"&amp;LEFT($C$5,2)&amp;"输出",标准坦克设计!$B$23:$U$23,0)))*(VLOOKUP($B95,INDIRECT($B$5&amp;"生成成长"),3))*(VLOOKUP($B$5,标准坦克设计!$B$14:$K$20,9)/30))</f>
        <v>8.3283184781546868</v>
      </c>
      <c r="DO95" s="173">
        <f ca="1">(VLOOKUP(DO$72,INDIRECT($C$5&amp;"生成成长"),2))/((VLOOKUP($B95,INDIRECT($B$5&amp;"生成成长"),4))/(VLOOKUP(DO$72,INDIRECT($C$5&amp;"生成成长"),5))*(VLOOKUP($B$5,标准坦克设计!$B$24:$U$30,MATCH("对"&amp;LEFT($C$5,2)&amp;"输出",标准坦克设计!$B$23:$U$23,0)))*(VLOOKUP($B95,INDIRECT($B$5&amp;"生成成长"),3))*(VLOOKUP($B$5,标准坦克设计!$B$14:$K$20,9)/30))</f>
        <v>9.1583519136254132</v>
      </c>
      <c r="DP95" s="173">
        <f ca="1">(VLOOKUP(DP$72,INDIRECT($C$5&amp;"生成成长"),2))/((VLOOKUP($B95,INDIRECT($B$5&amp;"生成成长"),4))/(VLOOKUP(DP$72,INDIRECT($C$5&amp;"生成成长"),5))*(VLOOKUP($B$5,标准坦克设计!$B$24:$U$30,MATCH("对"&amp;LEFT($C$5,2)&amp;"输出",标准坦克设计!$B$23:$U$23,0)))*(VLOOKUP($B95,INDIRECT($B$5&amp;"生成成长"),3))*(VLOOKUP($B$5,标准坦克设计!$B$14:$K$20,9)/30))</f>
        <v>10.027806462126415</v>
      </c>
      <c r="DQ95" s="173">
        <f ca="1">(VLOOKUP(DQ$72,INDIRECT($C$5&amp;"生成成长"),2))/((VLOOKUP($B95,INDIRECT($B$5&amp;"生成成长"),4))/(VLOOKUP(DQ$72,INDIRECT($C$5&amp;"生成成长"),5))*(VLOOKUP($B$5,标准坦克设计!$B$24:$U$30,MATCH("对"&amp;LEFT($C$5,2)&amp;"输出",标准坦克设计!$B$23:$U$23,0)))*(VLOOKUP($B95,INDIRECT($B$5&amp;"生成成长"),3))*(VLOOKUP($B$5,标准坦克设计!$B$14:$K$20,9)/30))</f>
        <v>10.936682123657686</v>
      </c>
      <c r="DR95" s="173">
        <f ca="1">(VLOOKUP(DR$72,INDIRECT($C$5&amp;"生成成长"),2))/((VLOOKUP($B95,INDIRECT($B$5&amp;"生成成长"),4))/(VLOOKUP(DR$72,INDIRECT($C$5&amp;"生成成长"),5))*(VLOOKUP($B$5,标准坦克设计!$B$24:$U$30,MATCH("对"&amp;LEFT($C$5,2)&amp;"输出",标准坦克设计!$B$23:$U$23,0)))*(VLOOKUP($B95,INDIRECT($B$5&amp;"生成成长"),3))*(VLOOKUP($B$5,标准坦克设计!$B$14:$K$20,9)/30))</f>
        <v>11.884978898219229</v>
      </c>
      <c r="DS95" s="173">
        <f ca="1">(VLOOKUP(DS$72,INDIRECT($C$5&amp;"生成成长"),2))/((VLOOKUP($B95,INDIRECT($B$5&amp;"生成成长"),4))/(VLOOKUP(DS$72,INDIRECT($C$5&amp;"生成成长"),5))*(VLOOKUP($B$5,标准坦克设计!$B$24:$U$30,MATCH("对"&amp;LEFT($C$5,2)&amp;"输出",标准坦克设计!$B$23:$U$23,0)))*(VLOOKUP($B95,INDIRECT($B$5&amp;"生成成长"),3))*(VLOOKUP($B$5,标准坦克设计!$B$14:$K$20,9)/30))</f>
        <v>12.872696785811044</v>
      </c>
      <c r="DT95" s="173">
        <f ca="1">(VLOOKUP(DT$72,INDIRECT($C$5&amp;"生成成长"),2))/((VLOOKUP($B95,INDIRECT($B$5&amp;"生成成长"),4))/(VLOOKUP(DT$72,INDIRECT($C$5&amp;"生成成长"),5))*(VLOOKUP($B$5,标准坦克设计!$B$24:$U$30,MATCH("对"&amp;LEFT($C$5,2)&amp;"输出",标准坦克设计!$B$23:$U$23,0)))*(VLOOKUP($B95,INDIRECT($B$5&amp;"生成成长"),3))*(VLOOKUP($B$5,标准坦克设计!$B$14:$K$20,9)/30))</f>
        <v>14.133442382168074</v>
      </c>
      <c r="DU95" s="173">
        <f ca="1">(VLOOKUP(DU$72,INDIRECT($C$5&amp;"生成成长"),2))/((VLOOKUP($B95,INDIRECT($B$5&amp;"生成成长"),4))/(VLOOKUP(DU$72,INDIRECT($C$5&amp;"生成成长"),5))*(VLOOKUP($B$5,标准坦克设计!$B$24:$U$30,MATCH("对"&amp;LEFT($C$5,2)&amp;"输出",标准坦克设计!$B$23:$U$23,0)))*(VLOOKUP($B95,INDIRECT($B$5&amp;"生成成长"),3))*(VLOOKUP($B$5,标准坦克设计!$B$14:$K$20,9)/30))</f>
        <v>15.453076307866626</v>
      </c>
      <c r="DV95" s="173">
        <f ca="1">(VLOOKUP(DV$72,INDIRECT($C$5&amp;"生成成长"),2))/((VLOOKUP($B95,INDIRECT($B$5&amp;"生成成长"),4))/(VLOOKUP(DV$72,INDIRECT($C$5&amp;"生成成长"),5))*(VLOOKUP($B$5,标准坦克设计!$B$24:$U$30,MATCH("对"&amp;LEFT($C$5,2)&amp;"输出",标准坦克设计!$B$23:$U$23,0)))*(VLOOKUP($B95,INDIRECT($B$5&amp;"生成成长"),3))*(VLOOKUP($B$5,标准坦克设计!$B$14:$K$20,9)/30))</f>
        <v>16.831598562906695</v>
      </c>
      <c r="DW95" s="173">
        <f ca="1">(VLOOKUP(DW$72,INDIRECT($C$5&amp;"生成成长"),2))/((VLOOKUP($B95,INDIRECT($B$5&amp;"生成成长"),4))/(VLOOKUP(DW$72,INDIRECT($C$5&amp;"生成成长"),5))*(VLOOKUP($B$5,标准坦克设计!$B$24:$U$30,MATCH("对"&amp;LEFT($C$5,2)&amp;"输出",标准坦克设计!$B$23:$U$23,0)))*(VLOOKUP($B95,INDIRECT($B$5&amp;"生成成长"),3))*(VLOOKUP($B$5,标准坦克设计!$B$14:$K$20,9)/30))</f>
        <v>18.26900914728828</v>
      </c>
      <c r="DX95" s="173">
        <f ca="1">(VLOOKUP(DX$72,INDIRECT($C$5&amp;"生成成长"),2))/((VLOOKUP($B95,INDIRECT($B$5&amp;"生成成长"),4))/(VLOOKUP(DX$72,INDIRECT($C$5&amp;"生成成长"),5))*(VLOOKUP($B$5,标准坦克设计!$B$24:$U$30,MATCH("对"&amp;LEFT($C$5,2)&amp;"输出",标准坦克设计!$B$23:$U$23,0)))*(VLOOKUP($B95,INDIRECT($B$5&amp;"生成成长"),3))*(VLOOKUP($B$5,标准坦克设计!$B$14:$K$20,9)/30))</f>
        <v>19.765308061011382</v>
      </c>
      <c r="DY95" s="173">
        <f ca="1">(VLOOKUP(DY$72,INDIRECT($C$5&amp;"生成成长"),2))/((VLOOKUP($B95,INDIRECT($B$5&amp;"生成成长"),4))/(VLOOKUP(DY$72,INDIRECT($C$5&amp;"生成成长"),5))*(VLOOKUP($B$5,标准坦克设计!$B$24:$U$30,MATCH("对"&amp;LEFT($C$5,2)&amp;"输出",标准坦克设计!$B$23:$U$23,0)))*(VLOOKUP($B95,INDIRECT($B$5&amp;"生成成长"),3))*(VLOOKUP($B$5,标准坦克设计!$B$14:$K$20,9)/30))</f>
        <v>8.8772939781318119</v>
      </c>
      <c r="DZ95" s="173">
        <f ca="1">(VLOOKUP(DZ$72,INDIRECT($C$5&amp;"生成成长"),2))/((VLOOKUP($B95,INDIRECT($B$5&amp;"生成成长"),4))/(VLOOKUP(DZ$72,INDIRECT($C$5&amp;"生成成长"),5))*(VLOOKUP($B$5,标准坦克设计!$B$24:$U$30,MATCH("对"&amp;LEFT($C$5,2)&amp;"输出",标准坦克设计!$B$23:$U$23,0)))*(VLOOKUP($B95,INDIRECT($B$5&amp;"生成成长"),3))*(VLOOKUP($B$5,标准坦克设计!$B$14:$K$20,9)/30))</f>
        <v>9.8311875773828348</v>
      </c>
      <c r="EA95" s="173">
        <f ca="1">(VLOOKUP(EA$72,INDIRECT($C$5&amp;"生成成长"),2))/((VLOOKUP($B95,INDIRECT($B$5&amp;"生成成长"),4))/(VLOOKUP(EA$72,INDIRECT($C$5&amp;"生成成长"),5))*(VLOOKUP($B$5,标准坦克设计!$B$24:$U$30,MATCH("对"&amp;LEFT($C$5,2)&amp;"输出",标准坦克设计!$B$23:$U$23,0)))*(VLOOKUP($B95,INDIRECT($B$5&amp;"生成成长"),3))*(VLOOKUP($B$5,标准坦克设计!$B$14:$K$20,9)/30))</f>
        <v>10.833749217411974</v>
      </c>
      <c r="EB95" s="173">
        <f ca="1">(VLOOKUP(EB$72,INDIRECT($C$5&amp;"生成成长"),2))/((VLOOKUP($B95,INDIRECT($B$5&amp;"生成成长"),4))/(VLOOKUP(EB$72,INDIRECT($C$5&amp;"生成成长"),5))*(VLOOKUP($B$5,标准坦克设计!$B$24:$U$30,MATCH("对"&amp;LEFT($C$5,2)&amp;"输出",标准坦克设计!$B$23:$U$23,0)))*(VLOOKUP($B95,INDIRECT($B$5&amp;"生成成长"),3))*(VLOOKUP($B$5,标准坦克设计!$B$14:$K$20,9)/30))</f>
        <v>11.884978898219229</v>
      </c>
      <c r="EC95" s="173">
        <f ca="1">(VLOOKUP(EC$72,INDIRECT($C$5&amp;"生成成长"),2))/((VLOOKUP($B95,INDIRECT($B$5&amp;"生成成长"),4))/(VLOOKUP(EC$72,INDIRECT($C$5&amp;"生成成长"),5))*(VLOOKUP($B$5,标准坦克设计!$B$24:$U$30,MATCH("对"&amp;LEFT($C$5,2)&amp;"输出",标准坦克设计!$B$23:$U$23,0)))*(VLOOKUP($B95,INDIRECT($B$5&amp;"生成成长"),3))*(VLOOKUP($B$5,标准坦克设计!$B$14:$K$20,9)/30))</f>
        <v>12.984876619804595</v>
      </c>
      <c r="ED95" s="173">
        <f ca="1">(VLOOKUP(ED$72,INDIRECT($C$5&amp;"生成成长"),2))/((VLOOKUP($B95,INDIRECT($B$5&amp;"生成成长"),4))/(VLOOKUP(ED$72,INDIRECT($C$5&amp;"生成成长"),5))*(VLOOKUP($B$5,标准坦克设计!$B$24:$U$30,MATCH("对"&amp;LEFT($C$5,2)&amp;"输出",标准坦克设计!$B$23:$U$23,0)))*(VLOOKUP($B95,INDIRECT($B$5&amp;"生成成长"),3))*(VLOOKUP($B$5,标准坦克设计!$B$14:$K$20,9)/30))</f>
        <v>14.133442382168074</v>
      </c>
      <c r="EE95" s="173">
        <f ca="1">(VLOOKUP(EE$72,INDIRECT($C$5&amp;"生成成长"),2))/((VLOOKUP($B95,INDIRECT($B$5&amp;"生成成长"),4))/(VLOOKUP(EE$72,INDIRECT($C$5&amp;"生成成长"),5))*(VLOOKUP($B$5,标准坦克设计!$B$24:$U$30,MATCH("对"&amp;LEFT($C$5,2)&amp;"输出",标准坦克设计!$B$23:$U$23,0)))*(VLOOKUP($B95,INDIRECT($B$5&amp;"生成成长"),3))*(VLOOKUP($B$5,标准坦克设计!$B$14:$K$20,9)/30))</f>
        <v>15.330676185309668</v>
      </c>
      <c r="EF95" s="173">
        <f ca="1">(VLOOKUP(EF$72,INDIRECT($C$5&amp;"生成成长"),2))/((VLOOKUP($B95,INDIRECT($B$5&amp;"生成成长"),4))/(VLOOKUP(EF$72,INDIRECT($C$5&amp;"生成成长"),5))*(VLOOKUP($B$5,标准坦克设计!$B$24:$U$30,MATCH("对"&amp;LEFT($C$5,2)&amp;"输出",标准坦克设计!$B$23:$U$23,0)))*(VLOOKUP($B95,INDIRECT($B$5&amp;"生成成长"),3))*(VLOOKUP($B$5,标准坦克设计!$B$14:$K$20,9)/30))</f>
        <v>16.576578029229378</v>
      </c>
      <c r="EG95" s="173">
        <f ca="1">(VLOOKUP(EG$72,INDIRECT($C$5&amp;"生成成长"),2))/((VLOOKUP($B95,INDIRECT($B$5&amp;"生成成长"),4))/(VLOOKUP(EG$72,INDIRECT($C$5&amp;"生成成长"),5))*(VLOOKUP($B$5,标准坦克设计!$B$24:$U$30,MATCH("对"&amp;LEFT($C$5,2)&amp;"输出",标准坦克设计!$B$23:$U$23,0)))*(VLOOKUP($B95,INDIRECT($B$5&amp;"生成成长"),3))*(VLOOKUP($B$5,标准坦克设计!$B$14:$K$20,9)/30))</f>
        <v>17.871147913927196</v>
      </c>
      <c r="EH95" s="173">
        <f ca="1">(VLOOKUP(EH$72,INDIRECT($C$5&amp;"生成成长"),2))/((VLOOKUP($B95,INDIRECT($B$5&amp;"生成成长"),4))/(VLOOKUP(EH$72,INDIRECT($C$5&amp;"生成成长"),5))*(VLOOKUP($B$5,标准坦克设计!$B$24:$U$30,MATCH("对"&amp;LEFT($C$5,2)&amp;"输出",标准坦克设计!$B$23:$U$23,0)))*(VLOOKUP($B95,INDIRECT($B$5&amp;"生成成长"),3))*(VLOOKUP($B$5,标准坦克设计!$B$14:$K$20,9)/30))</f>
        <v>19.214385839403135</v>
      </c>
      <c r="EI95" s="173">
        <f ca="1">(VLOOKUP(EI$72,INDIRECT($C$5&amp;"生成成长"),2))/((VLOOKUP($B95,INDIRECT($B$5&amp;"生成成长"),4))/(VLOOKUP(EI$72,INDIRECT($C$5&amp;"生成成长"),5))*(VLOOKUP($B$5,标准坦克设计!$B$24:$U$30,MATCH("对"&amp;LEFT($C$5,2)&amp;"输出",标准坦克设计!$B$23:$U$23,0)))*(VLOOKUP($B95,INDIRECT($B$5&amp;"生成成长"),3))*(VLOOKUP($B$5,标准坦克设计!$B$14:$K$20,9)/30))</f>
        <v>20.606291805657182</v>
      </c>
      <c r="EJ95" s="173">
        <f ca="1">(VLOOKUP(EJ$72,INDIRECT($C$5&amp;"生成成长"),2))/((VLOOKUP($B95,INDIRECT($B$5&amp;"生成成长"),4))/(VLOOKUP(EJ$72,INDIRECT($C$5&amp;"生成成长"),5))*(VLOOKUP($B$5,标准坦克设计!$B$24:$U$30,MATCH("对"&amp;LEFT($C$5,2)&amp;"输出",标准坦克设计!$B$23:$U$23,0)))*(VLOOKUP($B95,INDIRECT($B$5&amp;"生成成长"),3))*(VLOOKUP($B$5,标准坦克设计!$B$14:$K$20,9)/30))</f>
        <v>22.046865812689347</v>
      </c>
      <c r="EK95" s="173">
        <f ca="1">(VLOOKUP(EK$72,INDIRECT($C$5&amp;"生成成长"),2))/((VLOOKUP($B95,INDIRECT($B$5&amp;"生成成长"),4))/(VLOOKUP(EK$72,INDIRECT($C$5&amp;"生成成长"),5))*(VLOOKUP($B$5,标准坦克设计!$B$24:$U$30,MATCH("对"&amp;LEFT($C$5,2)&amp;"输出",标准坦克设计!$B$23:$U$23,0)))*(VLOOKUP($B95,INDIRECT($B$5&amp;"生成成长"),3))*(VLOOKUP($B$5,标准坦克设计!$B$14:$K$20,9)/30))</f>
        <v>23.839796434955048</v>
      </c>
      <c r="EL95" s="173">
        <f ca="1">(VLOOKUP(EL$72,INDIRECT($C$5&amp;"生成成长"),2))/((VLOOKUP($B95,INDIRECT($B$5&amp;"生成成长"),4))/(VLOOKUP(EL$72,INDIRECT($C$5&amp;"生成成长"),5))*(VLOOKUP($B$5,标准坦克设计!$B$24:$U$30,MATCH("对"&amp;LEFT($C$5,2)&amp;"输出",标准坦克设计!$B$23:$U$23,0)))*(VLOOKUP($B95,INDIRECT($B$5&amp;"生成成长"),3))*(VLOOKUP($B$5,标准坦克设计!$B$14:$K$20,9)/30))</f>
        <v>25.70280903594124</v>
      </c>
      <c r="EM95" s="173">
        <f ca="1">(VLOOKUP(EM$72,INDIRECT($C$5&amp;"生成成长"),2))/((VLOOKUP($B95,INDIRECT($B$5&amp;"生成成长"),4))/(VLOOKUP(EM$72,INDIRECT($C$5&amp;"生成成长"),5))*(VLOOKUP($B$5,标准坦克设计!$B$24:$U$30,MATCH("对"&amp;LEFT($C$5,2)&amp;"输出",标准坦克设计!$B$23:$U$23,0)))*(VLOOKUP($B95,INDIRECT($B$5&amp;"生成成长"),3))*(VLOOKUP($B$5,标准坦克设计!$B$14:$K$20,9)/30))</f>
        <v>27.635903615647909</v>
      </c>
      <c r="EN95" s="173">
        <f ca="1">(VLOOKUP(EN$72,INDIRECT($C$5&amp;"生成成长"),2))/((VLOOKUP($B95,INDIRECT($B$5&amp;"生成成长"),4))/(VLOOKUP(EN$72,INDIRECT($C$5&amp;"生成成长"),5))*(VLOOKUP($B$5,标准坦克设计!$B$24:$U$30,MATCH("对"&amp;LEFT($C$5,2)&amp;"输出",标准坦克设计!$B$23:$U$23,0)))*(VLOOKUP($B95,INDIRECT($B$5&amp;"生成成长"),3))*(VLOOKUP($B$5,标准坦克设计!$B$14:$K$20,9)/30))</f>
        <v>29.639080174075062</v>
      </c>
      <c r="EO95" s="173">
        <f ca="1">(VLOOKUP(EO$72,INDIRECT($C$5&amp;"生成成长"),2))/((VLOOKUP($B95,INDIRECT($B$5&amp;"生成成长"),4))/(VLOOKUP(EO$72,INDIRECT($C$5&amp;"生成成长"),5))*(VLOOKUP($B$5,标准坦克设计!$B$24:$U$30,MATCH("对"&amp;LEFT($C$5,2)&amp;"输出",标准坦克设计!$B$23:$U$23,0)))*(VLOOKUP($B95,INDIRECT($B$5&amp;"生成成长"),3))*(VLOOKUP($B$5,标准坦克设计!$B$14:$K$20,9)/30))</f>
        <v>31.712338711222703</v>
      </c>
      <c r="EP95" s="173">
        <f ca="1">(VLOOKUP(EP$72,INDIRECT($C$5&amp;"生成成长"),2))/((VLOOKUP($B95,INDIRECT($B$5&amp;"生成成长"),4))/(VLOOKUP(EP$72,INDIRECT($C$5&amp;"生成成长"),5))*(VLOOKUP($B$5,标准坦克设计!$B$24:$U$30,MATCH("对"&amp;LEFT($C$5,2)&amp;"输出",标准坦克设计!$B$23:$U$23,0)))*(VLOOKUP($B95,INDIRECT($B$5&amp;"生成成长"),3))*(VLOOKUP($B$5,标准坦克设计!$B$14:$K$20,9)/30))</f>
        <v>33.855679227090825</v>
      </c>
      <c r="EQ95" s="173">
        <f ca="1">(VLOOKUP(EQ$72,INDIRECT($C$5&amp;"生成成长"),2))/((VLOOKUP($B95,INDIRECT($B$5&amp;"生成成长"),4))/(VLOOKUP(EQ$72,INDIRECT($C$5&amp;"生成成长"),5))*(VLOOKUP($B$5,标准坦克设计!$B$24:$U$30,MATCH("对"&amp;LEFT($C$5,2)&amp;"输出",标准坦克设计!$B$23:$U$23,0)))*(VLOOKUP($B95,INDIRECT($B$5&amp;"生成成长"),3))*(VLOOKUP($B$5,标准坦克设计!$B$14:$K$20,9)/30))</f>
        <v>14.966395900085489</v>
      </c>
      <c r="ER95" s="173">
        <f ca="1">(VLOOKUP(ER$72,INDIRECT($C$5&amp;"生成成长"),2))/((VLOOKUP($B95,INDIRECT($B$5&amp;"生成成长"),4))/(VLOOKUP(ER$72,INDIRECT($C$5&amp;"生成成长"),5))*(VLOOKUP($B$5,标准坦克设计!$B$24:$U$30,MATCH("对"&amp;LEFT($C$5,2)&amp;"输出",标准坦克设计!$B$23:$U$23,0)))*(VLOOKUP($B95,INDIRECT($B$5&amp;"生成成长"),3))*(VLOOKUP($B$5,标准坦克设计!$B$14:$K$20,9)/30))</f>
        <v>16.323504217183189</v>
      </c>
      <c r="ES95" s="173">
        <f ca="1">(VLOOKUP(ES$72,INDIRECT($C$5&amp;"生成成长"),2))/((VLOOKUP($B95,INDIRECT($B$5&amp;"生成成长"),4))/(VLOOKUP(ES$72,INDIRECT($C$5&amp;"生成成长"),5))*(VLOOKUP($B$5,标准坦克设计!$B$24:$U$30,MATCH("对"&amp;LEFT($C$5,2)&amp;"输出",标准坦克设计!$B$23:$U$23,0)))*(VLOOKUP($B95,INDIRECT($B$5&amp;"生成成长"),3))*(VLOOKUP($B$5,标准坦克设计!$B$14:$K$20,9)/30))</f>
        <v>17.7395008636224</v>
      </c>
      <c r="ET95" s="173">
        <f ca="1">(VLOOKUP(ET$72,INDIRECT($C$5&amp;"生成成长"),2))/((VLOOKUP($B95,INDIRECT($B$5&amp;"生成成长"),4))/(VLOOKUP(ET$72,INDIRECT($C$5&amp;"生成成长"),5))*(VLOOKUP($B$5,标准坦克设计!$B$24:$U$30,MATCH("对"&amp;LEFT($C$5,2)&amp;"输出",标准坦克设计!$B$23:$U$23,0)))*(VLOOKUP($B95,INDIRECT($B$5&amp;"生成成长"),3))*(VLOOKUP($B$5,标准坦克设计!$B$14:$K$20,9)/30))</f>
        <v>19.214385839403135</v>
      </c>
      <c r="EU95" s="173">
        <f ca="1">(VLOOKUP(EU$72,INDIRECT($C$5&amp;"生成成长"),2))/((VLOOKUP($B95,INDIRECT($B$5&amp;"生成成长"),4))/(VLOOKUP(EU$72,INDIRECT($C$5&amp;"生成成长"),5))*(VLOOKUP($B$5,标准坦克设计!$B$24:$U$30,MATCH("对"&amp;LEFT($C$5,2)&amp;"输出",标准坦克设计!$B$23:$U$23,0)))*(VLOOKUP($B95,INDIRECT($B$5&amp;"生成成长"),3))*(VLOOKUP($B$5,标准坦克设计!$B$14:$K$20,9)/30))</f>
        <v>20.748159144525388</v>
      </c>
      <c r="EV95" s="173">
        <f ca="1">(VLOOKUP(EV$72,INDIRECT($C$5&amp;"生成成长"),2))/((VLOOKUP($B95,INDIRECT($B$5&amp;"生成成长"),4))/(VLOOKUP(EV$72,INDIRECT($C$5&amp;"生成成长"),5))*(VLOOKUP($B$5,标准坦克设计!$B$24:$U$30,MATCH("对"&amp;LEFT($C$5,2)&amp;"输出",标准坦克设计!$B$23:$U$23,0)))*(VLOOKUP($B95,INDIRECT($B$5&amp;"生成成长"),3))*(VLOOKUP($B$5,标准坦克设计!$B$14:$K$20,9)/30))</f>
        <v>22.340820778989148</v>
      </c>
      <c r="EW95" s="173">
        <f ca="1">(VLOOKUP(EW$72,INDIRECT($C$5&amp;"生成成长"),2))/((VLOOKUP($B95,INDIRECT($B$5&amp;"生成成长"),4))/(VLOOKUP(EW$72,INDIRECT($C$5&amp;"生成成长"),5))*(VLOOKUP($B$5,标准坦克设计!$B$24:$U$30,MATCH("对"&amp;LEFT($C$5,2)&amp;"输出",标准坦克设计!$B$23:$U$23,0)))*(VLOOKUP($B95,INDIRECT($B$5&amp;"生成成长"),3))*(VLOOKUP($B$5,标准坦克设计!$B$14:$K$20,9)/30))</f>
        <v>23.992370742794435</v>
      </c>
      <c r="EX95" s="173">
        <f ca="1">(VLOOKUP(EX$72,INDIRECT($C$5&amp;"生成成长"),2))/((VLOOKUP($B95,INDIRECT($B$5&amp;"生成成长"),4))/(VLOOKUP(EX$72,INDIRECT($C$5&amp;"生成成长"),5))*(VLOOKUP($B$5,标准坦克设计!$B$24:$U$30,MATCH("对"&amp;LEFT($C$5,2)&amp;"输出",标准坦克设计!$B$23:$U$23,0)))*(VLOOKUP($B95,INDIRECT($B$5&amp;"生成成长"),3))*(VLOOKUP($B$5,标准坦克设计!$B$14:$K$20,9)/30))</f>
        <v>25.70280903594124</v>
      </c>
      <c r="EY95" s="173">
        <f ca="1">(VLOOKUP(EY$72,INDIRECT($C$5&amp;"生成成长"),2))/((VLOOKUP($B95,INDIRECT($B$5&amp;"生成成长"),4))/(VLOOKUP(EY$72,INDIRECT($C$5&amp;"生成成长"),5))*(VLOOKUP($B$5,标准坦克设计!$B$24:$U$30,MATCH("对"&amp;LEFT($C$5,2)&amp;"输出",标准坦克设计!$B$23:$U$23,0)))*(VLOOKUP($B95,INDIRECT($B$5&amp;"生成成长"),3))*(VLOOKUP($B$5,标准坦克设计!$B$14:$K$20,9)/30))</f>
        <v>27.472135658429558</v>
      </c>
      <c r="EZ95" s="173">
        <f ca="1">(VLOOKUP(EZ$72,INDIRECT($C$5&amp;"生成成长"),2))/((VLOOKUP($B95,INDIRECT($B$5&amp;"生成成长"),4))/(VLOOKUP(EZ$72,INDIRECT($C$5&amp;"生成成长"),5))*(VLOOKUP($B$5,标准坦克设计!$B$24:$U$30,MATCH("对"&amp;LEFT($C$5,2)&amp;"输出",标准坦克设计!$B$23:$U$23,0)))*(VLOOKUP($B95,INDIRECT($B$5&amp;"生成成长"),3))*(VLOOKUP($B$5,标准坦克设计!$B$14:$K$20,9)/30))</f>
        <v>29.300350610259397</v>
      </c>
      <c r="FA95" s="173">
        <f ca="1">(VLOOKUP(FA$72,INDIRECT($C$5&amp;"生成成长"),2))/((VLOOKUP($B95,INDIRECT($B$5&amp;"生成成长"),4))/(VLOOKUP(FA$72,INDIRECT($C$5&amp;"生成成长"),5))*(VLOOKUP($B$5,标准坦克设计!$B$24:$U$30,MATCH("对"&amp;LEFT($C$5,2)&amp;"输出",标准坦克设计!$B$23:$U$23,0)))*(VLOOKUP($B95,INDIRECT($B$5&amp;"生成成长"),3))*(VLOOKUP($B$5,标准坦克设计!$B$14:$K$20,9)/30))</f>
        <v>31.187453891430749</v>
      </c>
      <c r="FB95" s="173">
        <f ca="1">(VLOOKUP(FB$72,INDIRECT($C$5&amp;"生成成长"),2))/((VLOOKUP($B95,INDIRECT($B$5&amp;"生成成长"),4))/(VLOOKUP(FB$72,INDIRECT($C$5&amp;"生成成长"),5))*(VLOOKUP($B$5,标准坦克设计!$B$24:$U$30,MATCH("对"&amp;LEFT($C$5,2)&amp;"输出",标准坦克设计!$B$23:$U$23,0)))*(VLOOKUP($B95,INDIRECT($B$5&amp;"生成成长"),3))*(VLOOKUP($B$5,标准坦克设计!$B$14:$K$20,9)/30))</f>
        <v>33.133445501943626</v>
      </c>
      <c r="FC95" s="173">
        <f ca="1">(VLOOKUP(FC$72,INDIRECT($C$5&amp;"生成成长"),2))/((VLOOKUP($B95,INDIRECT($B$5&amp;"生成成长"),4))/(VLOOKUP(FC$72,INDIRECT($C$5&amp;"生成成长"),5))*(VLOOKUP($B$5,标准坦克设计!$B$24:$U$30,MATCH("对"&amp;LEFT($C$5,2)&amp;"输出",标准坦克设计!$B$23:$U$23,0)))*(VLOOKUP($B95,INDIRECT($B$5&amp;"生成成长"),3))*(VLOOKUP($B$5,标准坦克设计!$B$14:$K$20,9)/30))</f>
        <v>35.13832544179801</v>
      </c>
      <c r="FD95" s="173">
        <f ca="1">(VLOOKUP(FD$72,INDIRECT($C$5&amp;"生成成长"),2))/((VLOOKUP($B95,INDIRECT($B$5&amp;"生成成长"),4))/(VLOOKUP(FD$72,INDIRECT($C$5&amp;"生成成长"),5))*(VLOOKUP($B$5,标准坦克设计!$B$24:$U$30,MATCH("对"&amp;LEFT($C$5,2)&amp;"输出",标准坦克设计!$B$23:$U$23,0)))*(VLOOKUP($B95,INDIRECT($B$5&amp;"生成成长"),3))*(VLOOKUP($B$5,标准坦克设计!$B$14:$K$20,9)/30))</f>
        <v>37.202093710993907</v>
      </c>
      <c r="FE95" s="173">
        <f ca="1">(VLOOKUP(FE$72,INDIRECT($C$5&amp;"生成成长"),2))/((VLOOKUP($B95,INDIRECT($B$5&amp;"生成成长"),4))/(VLOOKUP(FE$72,INDIRECT($C$5&amp;"生成成长"),5))*(VLOOKUP($B$5,标准坦克设计!$B$24:$U$30,MATCH("对"&amp;LEFT($C$5,2)&amp;"输出",标准坦克设计!$B$23:$U$23,0)))*(VLOOKUP($B95,INDIRECT($B$5&amp;"生成成长"),3))*(VLOOKUP($B$5,标准坦克设计!$B$14:$K$20,9)/30))</f>
        <v>39.717014718202932</v>
      </c>
      <c r="FF95" s="173">
        <f ca="1">(VLOOKUP(FF$72,INDIRECT($C$5&amp;"生成成长"),2))/((VLOOKUP($B95,INDIRECT($B$5&amp;"生成成长"),4))/(VLOOKUP(FF$72,INDIRECT($C$5&amp;"生成成长"),5))*(VLOOKUP($B$5,标准坦克设计!$B$24:$U$30,MATCH("对"&amp;LEFT($C$5,2)&amp;"输出",标准坦克设计!$B$23:$U$23,0)))*(VLOOKUP($B95,INDIRECT($B$5&amp;"生成成长"),3))*(VLOOKUP($B$5,标准坦克设计!$B$14:$K$20,9)/30))</f>
        <v>42.314184714326963</v>
      </c>
      <c r="FG95" s="173">
        <f ca="1">(VLOOKUP(FG$72,INDIRECT($C$5&amp;"生成成长"),2))/((VLOOKUP($B95,INDIRECT($B$5&amp;"生成成长"),4))/(VLOOKUP(FG$72,INDIRECT($C$5&amp;"生成成长"),5))*(VLOOKUP($B$5,标准坦克设计!$B$24:$U$30,MATCH("对"&amp;LEFT($C$5,2)&amp;"输出",标准坦克设计!$B$23:$U$23,0)))*(VLOOKUP($B95,INDIRECT($B$5&amp;"生成成长"),3))*(VLOOKUP($B$5,标准坦克设计!$B$14:$K$20,9)/30))</f>
        <v>44.993603699366012</v>
      </c>
      <c r="FH95" s="173">
        <f ca="1">(VLOOKUP(FH$72,INDIRECT($C$5&amp;"生成成长"),2))/((VLOOKUP($B95,INDIRECT($B$5&amp;"生成成长"),4))/(VLOOKUP(FH$72,INDIRECT($C$5&amp;"生成成长"),5))*(VLOOKUP($B$5,标准坦克设计!$B$24:$U$30,MATCH("对"&amp;LEFT($C$5,2)&amp;"输出",标准坦克设计!$B$23:$U$23,0)))*(VLOOKUP($B95,INDIRECT($B$5&amp;"生成成长"),3))*(VLOOKUP($B$5,标准坦克设计!$B$14:$K$20,9)/30))</f>
        <v>47.755271673320067</v>
      </c>
      <c r="FI95" s="173">
        <f ca="1">(VLOOKUP(FI$72,INDIRECT($C$5&amp;"生成成长"),2))/((VLOOKUP($B95,INDIRECT($B$5&amp;"生成成长"),4))/(VLOOKUP(FI$72,INDIRECT($C$5&amp;"生成成长"),5))*(VLOOKUP($B$5,标准坦克设计!$B$24:$U$30,MATCH("对"&amp;LEFT($C$5,2)&amp;"输出",标准坦克设计!$B$23:$U$23,0)))*(VLOOKUP($B95,INDIRECT($B$5&amp;"生成成长"),3))*(VLOOKUP($B$5,标准坦克设计!$B$14:$K$20,9)/30))</f>
        <v>50.599188636189133</v>
      </c>
      <c r="FJ95" s="173">
        <f ca="1">(VLOOKUP(FJ$72,INDIRECT($C$5&amp;"生成成长"),2))/((VLOOKUP($B95,INDIRECT($B$5&amp;"生成成长"),4))/(VLOOKUP(FJ$72,INDIRECT($C$5&amp;"生成成长"),5))*(VLOOKUP($B$5,标准坦克设计!$B$24:$U$30,MATCH("对"&amp;LEFT($C$5,2)&amp;"输出",标准坦克设计!$B$23:$U$23,0)))*(VLOOKUP($B95,INDIRECT($B$5&amp;"生成成长"),3))*(VLOOKUP($B$5,标准坦克设计!$B$14:$K$20,9)/30))</f>
        <v>53.525354587973212</v>
      </c>
      <c r="FK95" s="173">
        <f ca="1">(VLOOKUP(FK$72,INDIRECT($C$5&amp;"生成成长"),2))/((VLOOKUP($B95,INDIRECT($B$5&amp;"生成成长"),4))/(VLOOKUP(FK$72,INDIRECT($C$5&amp;"生成成长"),5))*(VLOOKUP($B$5,标准坦克设计!$B$24:$U$30,MATCH("对"&amp;LEFT($C$5,2)&amp;"输出",标准坦克设计!$B$23:$U$23,0)))*(VLOOKUP($B95,INDIRECT($B$5&amp;"生成成长"),3))*(VLOOKUP($B$5,标准坦克设计!$B$14:$K$20,9)/30))</f>
        <v>56.533769528672295</v>
      </c>
    </row>
    <row r="96" spans="1:167" x14ac:dyDescent="0.15">
      <c r="A96" s="171" t="str">
        <f t="shared" si="11"/>
        <v>T4低品质3级</v>
      </c>
      <c r="B96" s="172">
        <v>10403</v>
      </c>
      <c r="C96" s="173">
        <f ca="1">(VLOOKUP(C$72,INDIRECT($C$5&amp;"生成成长"),2))/((VLOOKUP($B96,INDIRECT($B$5&amp;"生成成长"),4))/(VLOOKUP(C$72,INDIRECT($C$5&amp;"生成成长"),5))*(VLOOKUP($B$5,标准坦克设计!$B$24:$U$30,MATCH("对"&amp;LEFT($C$5,2)&amp;"输出",标准坦克设计!$B$23:$U$23,0)))*(VLOOKUP($B96,INDIRECT($B$5&amp;"生成成长"),3))*(VLOOKUP($B$5,标准坦克设计!$B$14:$K$20,9)/30))</f>
        <v>2.199281621369416</v>
      </c>
      <c r="D96" s="173">
        <f ca="1">(VLOOKUP(D$72,INDIRECT($C$5&amp;"生成成长"),2))/((VLOOKUP($B96,INDIRECT($B$5&amp;"生成成长"),4))/(VLOOKUP(D$72,INDIRECT($C$5&amp;"生成成长"),5))*(VLOOKUP($B$5,标准坦克设计!$B$24:$U$30,MATCH("对"&amp;LEFT($C$5,2)&amp;"输出",标准坦克设计!$B$23:$U$23,0)))*(VLOOKUP($B96,INDIRECT($B$5&amp;"生成成长"),3))*(VLOOKUP($B$5,标准坦克设计!$B$14:$K$20,9)/30))</f>
        <v>2.4711128297706755</v>
      </c>
      <c r="E96" s="173">
        <f ca="1">(VLOOKUP(E$72,INDIRECT($C$5&amp;"生成成长"),2))/((VLOOKUP($B96,INDIRECT($B$5&amp;"生成成长"),4))/(VLOOKUP(E$72,INDIRECT($C$5&amp;"生成成长"),5))*(VLOOKUP($B$5,标准坦克设计!$B$24:$U$30,MATCH("对"&amp;LEFT($C$5,2)&amp;"输出",标准坦克设计!$B$23:$U$23,0)))*(VLOOKUP($B96,INDIRECT($B$5&amp;"生成成长"),3))*(VLOOKUP($B$5,标准坦克设计!$B$14:$K$20,9)/30))</f>
        <v>2.758778865845795</v>
      </c>
      <c r="F96" s="173">
        <f ca="1">(VLOOKUP(F$72,INDIRECT($C$5&amp;"生成成长"),2))/((VLOOKUP($B96,INDIRECT($B$5&amp;"生成成长"),4))/(VLOOKUP(F$72,INDIRECT($C$5&amp;"生成成长"),5))*(VLOOKUP($B$5,标准坦克设计!$B$24:$U$30,MATCH("对"&amp;LEFT($C$5,2)&amp;"输出",标准坦克设计!$B$23:$U$23,0)))*(VLOOKUP($B96,INDIRECT($B$5&amp;"生成成长"),3))*(VLOOKUP($B$5,标准坦克设计!$B$14:$K$20,9)/30))</f>
        <v>3.0622797295947741</v>
      </c>
      <c r="G96" s="173">
        <f ca="1">(VLOOKUP(G$72,INDIRECT($C$5&amp;"生成成长"),2))/((VLOOKUP($B96,INDIRECT($B$5&amp;"生成成长"),4))/(VLOOKUP(G$72,INDIRECT($C$5&amp;"生成成长"),5))*(VLOOKUP($B$5,标准坦克设计!$B$24:$U$30,MATCH("对"&amp;LEFT($C$5,2)&amp;"输出",标准坦克设计!$B$23:$U$23,0)))*(VLOOKUP($B96,INDIRECT($B$5&amp;"生成成长"),3))*(VLOOKUP($B$5,标准坦克设计!$B$14:$K$20,9)/30))</f>
        <v>3.3816154210176133</v>
      </c>
      <c r="H96" s="173">
        <f ca="1">(VLOOKUP(H$72,INDIRECT($C$5&amp;"生成成长"),2))/((VLOOKUP($B96,INDIRECT($B$5&amp;"生成成长"),4))/(VLOOKUP(H$72,INDIRECT($C$5&amp;"生成成长"),5))*(VLOOKUP($B$5,标准坦克设计!$B$24:$U$30,MATCH("对"&amp;LEFT($C$5,2)&amp;"输出",标准坦克设计!$B$23:$U$23,0)))*(VLOOKUP($B96,INDIRECT($B$5&amp;"生成成长"),3))*(VLOOKUP($B$5,标准坦克设计!$B$14:$K$20,9)/30))</f>
        <v>2.9593533497146853</v>
      </c>
      <c r="I96" s="173">
        <f ca="1">(VLOOKUP(I$72,INDIRECT($C$5&amp;"生成成长"),2))/((VLOOKUP($B96,INDIRECT($B$5&amp;"生成成长"),4))/(VLOOKUP(I$72,INDIRECT($C$5&amp;"生成成长"),5))*(VLOOKUP($B$5,标准坦克设计!$B$24:$U$30,MATCH("对"&amp;LEFT($C$5,2)&amp;"输出",标准坦克设计!$B$23:$U$23,0)))*(VLOOKUP($B96,INDIRECT($B$5&amp;"生成成长"),3))*(VLOOKUP($B$5,标准坦克设计!$B$14:$K$20,9)/30))</f>
        <v>3.3816154210176133</v>
      </c>
      <c r="J96" s="173">
        <f ca="1">(VLOOKUP(J$72,INDIRECT($C$5&amp;"生成成长"),2))/((VLOOKUP($B96,INDIRECT($B$5&amp;"生成成长"),4))/(VLOOKUP(J$72,INDIRECT($C$5&amp;"生成成长"),5))*(VLOOKUP($B$5,标准坦克设计!$B$24:$U$30,MATCH("对"&amp;LEFT($C$5,2)&amp;"输出",标准坦克设计!$B$23:$U$23,0)))*(VLOOKUP($B96,INDIRECT($B$5&amp;"生成成长"),3))*(VLOOKUP($B$5,标准坦克设计!$B$14:$K$20,9)/30))</f>
        <v>3.8320282970740696</v>
      </c>
      <c r="K96" s="173">
        <f ca="1">(VLOOKUP(K$72,INDIRECT($C$5&amp;"生成成长"),2))/((VLOOKUP($B96,INDIRECT($B$5&amp;"生成成长"),4))/(VLOOKUP(K$72,INDIRECT($C$5&amp;"生成成长"),5))*(VLOOKUP($B$5,标准坦克设计!$B$24:$U$30,MATCH("对"&amp;LEFT($C$5,2)&amp;"输出",标准坦克设计!$B$23:$U$23,0)))*(VLOOKUP($B96,INDIRECT($B$5&amp;"生成成长"),3))*(VLOOKUP($B$5,标准坦克设计!$B$14:$K$20,9)/30))</f>
        <v>4.3105919778840542</v>
      </c>
      <c r="L96" s="173">
        <f ca="1">(VLOOKUP(L$72,INDIRECT($C$5&amp;"生成成长"),2))/((VLOOKUP($B96,INDIRECT($B$5&amp;"生成成长"),4))/(VLOOKUP(L$72,INDIRECT($C$5&amp;"生成成长"),5))*(VLOOKUP($B$5,标准坦克设计!$B$24:$U$30,MATCH("对"&amp;LEFT($C$5,2)&amp;"输出",标准坦克设计!$B$23:$U$23,0)))*(VLOOKUP($B96,INDIRECT($B$5&amp;"生成成长"),3))*(VLOOKUP($B$5,标准坦克设计!$B$14:$K$20,9)/30))</f>
        <v>4.8173064634475677</v>
      </c>
      <c r="M96" s="173">
        <f ca="1">(VLOOKUP(M$72,INDIRECT($C$5&amp;"生成成长"),2))/((VLOOKUP($B96,INDIRECT($B$5&amp;"生成成长"),4))/(VLOOKUP(M$72,INDIRECT($C$5&amp;"生成成长"),5))*(VLOOKUP($B$5,标准坦克设计!$B$24:$U$30,MATCH("对"&amp;LEFT($C$5,2)&amp;"输出",标准坦克设计!$B$23:$U$23,0)))*(VLOOKUP($B96,INDIRECT($B$5&amp;"生成成长"),3))*(VLOOKUP($B$5,标准坦克设计!$B$14:$K$20,9)/30))</f>
        <v>5.3521717537646092</v>
      </c>
      <c r="N96" s="173">
        <f ca="1">(VLOOKUP(N$72,INDIRECT($C$5&amp;"生成成长"),2))/((VLOOKUP($B96,INDIRECT($B$5&amp;"生成成长"),4))/(VLOOKUP(N$72,INDIRECT($C$5&amp;"生成成长"),5))*(VLOOKUP($B$5,标准坦克设计!$B$24:$U$30,MATCH("对"&amp;LEFT($C$5,2)&amp;"输出",标准坦克设计!$B$23:$U$23,0)))*(VLOOKUP($B96,INDIRECT($B$5&amp;"生成成长"),3))*(VLOOKUP($B$5,标准坦克设计!$B$14:$K$20,9)/30))</f>
        <v>5.9151878488351803</v>
      </c>
      <c r="O96" s="173">
        <f ca="1">(VLOOKUP(O$72,INDIRECT($C$5&amp;"生成成长"),2))/((VLOOKUP($B96,INDIRECT($B$5&amp;"生成成长"),4))/(VLOOKUP(O$72,INDIRECT($C$5&amp;"生成成长"),5))*(VLOOKUP($B$5,标准坦克设计!$B$24:$U$30,MATCH("对"&amp;LEFT($C$5,2)&amp;"输出",标准坦克设计!$B$23:$U$23,0)))*(VLOOKUP($B96,INDIRECT($B$5&amp;"生成成长"),3))*(VLOOKUP($B$5,标准坦克设计!$B$14:$K$20,9)/30))</f>
        <v>4.4973109875383184</v>
      </c>
      <c r="P96" s="173">
        <f ca="1">(VLOOKUP(P$72,INDIRECT($C$5&amp;"生成成长"),2))/((VLOOKUP($B96,INDIRECT($B$5&amp;"生成成长"),4))/(VLOOKUP(P$72,INDIRECT($C$5&amp;"生成成长"),5))*(VLOOKUP($B$5,标准坦克设计!$B$24:$U$30,MATCH("对"&amp;LEFT($C$5,2)&amp;"输出",标准坦克设计!$B$23:$U$23,0)))*(VLOOKUP($B96,INDIRECT($B$5&amp;"生成成长"),3))*(VLOOKUP($B$5,标准坦克设计!$B$14:$K$20,9)/30))</f>
        <v>5.0812202580118981</v>
      </c>
      <c r="Q96" s="173">
        <f ca="1">(VLOOKUP(Q$72,INDIRECT($C$5&amp;"生成成长"),2))/((VLOOKUP($B96,INDIRECT($B$5&amp;"生成成长"),4))/(VLOOKUP(Q$72,INDIRECT($C$5&amp;"生成成长"),5))*(VLOOKUP($B$5,标准坦克设计!$B$24:$U$30,MATCH("对"&amp;LEFT($C$5,2)&amp;"输出",标准坦克设计!$B$23:$U$23,0)))*(VLOOKUP($B96,INDIRECT($B$5&amp;"生成成长"),3))*(VLOOKUP($B$5,标准坦克设计!$B$14:$K$20,9)/30))</f>
        <v>5.7007578907516621</v>
      </c>
      <c r="R96" s="173">
        <f ca="1">(VLOOKUP(R$72,INDIRECT($C$5&amp;"生成成长"),2))/((VLOOKUP($B96,INDIRECT($B$5&amp;"生成成长"),4))/(VLOOKUP(R$72,INDIRECT($C$5&amp;"生成成长"),5))*(VLOOKUP($B$5,标准坦克设计!$B$24:$U$30,MATCH("对"&amp;LEFT($C$5,2)&amp;"输出",标准坦克设计!$B$23:$U$23,0)))*(VLOOKUP($B96,INDIRECT($B$5&amp;"生成成长"),3))*(VLOOKUP($B$5,标准坦克设计!$B$14:$K$20,9)/30))</f>
        <v>6.3559238857576119</v>
      </c>
      <c r="S96" s="173">
        <f ca="1">(VLOOKUP(S$72,INDIRECT($C$5&amp;"生成成长"),2))/((VLOOKUP($B96,INDIRECT($B$5&amp;"生成成长"),4))/(VLOOKUP(S$72,INDIRECT($C$5&amp;"生成成长"),5))*(VLOOKUP($B$5,标准坦克设计!$B$24:$U$30,MATCH("对"&amp;LEFT($C$5,2)&amp;"输出",标准坦克设计!$B$23:$U$23,0)))*(VLOOKUP($B96,INDIRECT($B$5&amp;"生成成长"),3))*(VLOOKUP($B$5,标准坦克设计!$B$14:$K$20,9)/30))</f>
        <v>7.0467182430297441</v>
      </c>
      <c r="T96" s="173">
        <f ca="1">(VLOOKUP(T$72,INDIRECT($C$5&amp;"生成成长"),2))/((VLOOKUP($B96,INDIRECT($B$5&amp;"生成成长"),4))/(VLOOKUP(T$72,INDIRECT($C$5&amp;"生成成长"),5))*(VLOOKUP($B$5,标准坦克设计!$B$24:$U$30,MATCH("对"&amp;LEFT($C$5,2)&amp;"输出",标准坦克设计!$B$23:$U$23,0)))*(VLOOKUP($B96,INDIRECT($B$5&amp;"生成成长"),3))*(VLOOKUP($B$5,标准坦克设计!$B$14:$K$20,9)/30))</f>
        <v>7.7731409625680623</v>
      </c>
      <c r="U96" s="173">
        <f ca="1">(VLOOKUP(U$72,INDIRECT($C$5&amp;"生成成长"),2))/((VLOOKUP($B96,INDIRECT($B$5&amp;"生成成长"),4))/(VLOOKUP(U$72,INDIRECT($C$5&amp;"生成成长"),5))*(VLOOKUP($B$5,标准坦克设计!$B$24:$U$30,MATCH("对"&amp;LEFT($C$5,2)&amp;"输出",标准坦克设计!$B$23:$U$23,0)))*(VLOOKUP($B96,INDIRECT($B$5&amp;"生成成长"),3))*(VLOOKUP($B$5,标准坦克设计!$B$14:$K$20,9)/30))</f>
        <v>8.5351920443725646</v>
      </c>
      <c r="V96" s="173">
        <f ca="1">(VLOOKUP(V$72,INDIRECT($C$5&amp;"生成成长"),2))/((VLOOKUP($B96,INDIRECT($B$5&amp;"生成成长"),4))/(VLOOKUP(V$72,INDIRECT($C$5&amp;"生成成长"),5))*(VLOOKUP($B$5,标准坦克设计!$B$24:$U$30,MATCH("对"&amp;LEFT($C$5,2)&amp;"输出",标准坦克设计!$B$23:$U$23,0)))*(VLOOKUP($B96,INDIRECT($B$5&amp;"生成成长"),3))*(VLOOKUP($B$5,标准坦克设计!$B$14:$K$20,9)/30))</f>
        <v>9.3328714884432529</v>
      </c>
      <c r="W96" s="173">
        <f ca="1">(VLOOKUP(W$72,INDIRECT($C$5&amp;"生成成长"),2))/((VLOOKUP($B96,INDIRECT($B$5&amp;"生成成长"),4))/(VLOOKUP(W$72,INDIRECT($C$5&amp;"生成成长"),5))*(VLOOKUP($B$5,标准坦克设计!$B$24:$U$30,MATCH("对"&amp;LEFT($C$5,2)&amp;"输出",标准坦克设计!$B$23:$U$23,0)))*(VLOOKUP($B96,INDIRECT($B$5&amp;"生成成长"),3))*(VLOOKUP($B$5,标准坦克设计!$B$14:$K$20,9)/30))</f>
        <v>10.166179294780125</v>
      </c>
      <c r="X96" s="173">
        <f ca="1">(VLOOKUP(X$72,INDIRECT($C$5&amp;"生成成长"),2))/((VLOOKUP($B96,INDIRECT($B$5&amp;"生成成长"),4))/(VLOOKUP(X$72,INDIRECT($C$5&amp;"生成成长"),5))*(VLOOKUP($B$5,标准坦克设计!$B$24:$U$30,MATCH("对"&amp;LEFT($C$5,2)&amp;"输出",标准坦克设计!$B$23:$U$23,0)))*(VLOOKUP($B96,INDIRECT($B$5&amp;"生成成长"),3))*(VLOOKUP($B$5,标准坦克设计!$B$14:$K$20,9)/30))</f>
        <v>7.365174221804037</v>
      </c>
      <c r="Y96" s="173">
        <f ca="1">(VLOOKUP(Y$72,INDIRECT($C$5&amp;"生成成长"),2))/((VLOOKUP($B96,INDIRECT($B$5&amp;"生成成长"),4))/(VLOOKUP(Y$72,INDIRECT($C$5&amp;"生成成长"),5))*(VLOOKUP($B$5,标准坦克设计!$B$24:$U$30,MATCH("对"&amp;LEFT($C$5,2)&amp;"输出",标准坦克设计!$B$23:$U$23,0)))*(VLOOKUP($B96,INDIRECT($B$5&amp;"生成成长"),3))*(VLOOKUP($B$5,标准坦克设计!$B$14:$K$20,9)/30))</f>
        <v>8.1921041114389368</v>
      </c>
      <c r="Z96" s="173">
        <f ca="1">(VLOOKUP(Z$72,INDIRECT($C$5&amp;"生成成长"),2))/((VLOOKUP($B96,INDIRECT($B$5&amp;"生成成长"),4))/(VLOOKUP(Z$72,INDIRECT($C$5&amp;"生成成长"),5))*(VLOOKUP($B$5,标准坦克设计!$B$24:$U$30,MATCH("对"&amp;LEFT($C$5,2)&amp;"输出",标准坦克设计!$B$23:$U$23,0)))*(VLOOKUP($B96,INDIRECT($B$5&amp;"生成成长"),3))*(VLOOKUP($B$5,标准坦克设计!$B$14:$K$20,9)/30))</f>
        <v>9.0630196335012254</v>
      </c>
      <c r="AA96" s="173">
        <f ca="1">(VLOOKUP(AA$72,INDIRECT($C$5&amp;"生成成长"),2))/((VLOOKUP($B96,INDIRECT($B$5&amp;"生成成长"),4))/(VLOOKUP(AA$72,INDIRECT($C$5&amp;"生成成长"),5))*(VLOOKUP($B$5,标准坦克设计!$B$24:$U$30,MATCH("对"&amp;LEFT($C$5,2)&amp;"输出",标准坦克设计!$B$23:$U$23,0)))*(VLOOKUP($B96,INDIRECT($B$5&amp;"生成成长"),3))*(VLOOKUP($B$5,标准坦克设计!$B$14:$K$20,9)/30))</f>
        <v>9.977920787990902</v>
      </c>
      <c r="AB96" s="173">
        <f ca="1">(VLOOKUP(AB$72,INDIRECT($C$5&amp;"生成成长"),2))/((VLOOKUP($B96,INDIRECT($B$5&amp;"生成成长"),4))/(VLOOKUP(AB$72,INDIRECT($C$5&amp;"生成成长"),5))*(VLOOKUP($B$5,标准坦克设计!$B$24:$U$30,MATCH("对"&amp;LEFT($C$5,2)&amp;"输出",标准坦克设计!$B$23:$U$23,0)))*(VLOOKUP($B96,INDIRECT($B$5&amp;"生成成长"),3))*(VLOOKUP($B$5,标准坦克设计!$B$14:$K$20,9)/30))</f>
        <v>10.936807574907965</v>
      </c>
      <c r="AC96" s="173">
        <f ca="1">(VLOOKUP(AC$72,INDIRECT($C$5&amp;"生成成长"),2))/((VLOOKUP($B96,INDIRECT($B$5&amp;"生成成长"),4))/(VLOOKUP(AC$72,INDIRECT($C$5&amp;"生成成长"),5))*(VLOOKUP($B$5,标准坦克设计!$B$24:$U$30,MATCH("对"&amp;LEFT($C$5,2)&amp;"输出",标准坦克设计!$B$23:$U$23,0)))*(VLOOKUP($B96,INDIRECT($B$5&amp;"生成成长"),3))*(VLOOKUP($B$5,标准坦克设计!$B$14:$K$20,9)/30))</f>
        <v>11.939679994252423</v>
      </c>
      <c r="AD96" s="173">
        <f ca="1">(VLOOKUP(AD$72,INDIRECT($C$5&amp;"生成成长"),2))/((VLOOKUP($B96,INDIRECT($B$5&amp;"生成成长"),4))/(VLOOKUP(AD$72,INDIRECT($C$5&amp;"生成成长"),5))*(VLOOKUP($B$5,标准坦克设计!$B$24:$U$30,MATCH("对"&amp;LEFT($C$5,2)&amp;"输出",标准坦克设计!$B$23:$U$23,0)))*(VLOOKUP($B96,INDIRECT($B$5&amp;"生成成长"),3))*(VLOOKUP($B$5,标准坦克设计!$B$14:$K$20,9)/30))</f>
        <v>12.986538046024263</v>
      </c>
      <c r="AE96" s="173">
        <f ca="1">(VLOOKUP(AE$72,INDIRECT($C$5&amp;"生成成长"),2))/((VLOOKUP($B96,INDIRECT($B$5&amp;"生成成长"),4))/(VLOOKUP(AE$72,INDIRECT($C$5&amp;"生成成长"),5))*(VLOOKUP($B$5,标准坦克设计!$B$24:$U$30,MATCH("对"&amp;LEFT($C$5,2)&amp;"输出",标准坦克设计!$B$23:$U$23,0)))*(VLOOKUP($B96,INDIRECT($B$5&amp;"生成成长"),3))*(VLOOKUP($B$5,标准坦克设计!$B$14:$K$20,9)/30))</f>
        <v>14.07738173022349</v>
      </c>
      <c r="AF96" s="173">
        <f ca="1">(VLOOKUP(AF$72,INDIRECT($C$5&amp;"生成成长"),2))/((VLOOKUP($B96,INDIRECT($B$5&amp;"生成成长"),4))/(VLOOKUP(AF$72,INDIRECT($C$5&amp;"生成成长"),5))*(VLOOKUP($B$5,标准坦克设计!$B$24:$U$30,MATCH("对"&amp;LEFT($C$5,2)&amp;"输出",标准坦克设计!$B$23:$U$23,0)))*(VLOOKUP($B96,INDIRECT($B$5&amp;"生成成长"),3))*(VLOOKUP($B$5,标准坦克设计!$B$14:$K$20,9)/30))</f>
        <v>15.212211046850111</v>
      </c>
      <c r="AG96" s="173">
        <f ca="1">(VLOOKUP(AG$72,INDIRECT($C$5&amp;"生成成长"),2))/((VLOOKUP($B96,INDIRECT($B$5&amp;"生成成长"),4))/(VLOOKUP(AG$72,INDIRECT($C$5&amp;"生成成长"),5))*(VLOOKUP($B$5,标准坦克设计!$B$24:$U$30,MATCH("对"&amp;LEFT($C$5,2)&amp;"输出",标准坦克设计!$B$23:$U$23,0)))*(VLOOKUP($B96,INDIRECT($B$5&amp;"生成成长"),3))*(VLOOKUP($B$5,标准坦克设计!$B$14:$K$20,9)/30))</f>
        <v>16.391025995904116</v>
      </c>
      <c r="AH96" s="173">
        <f ca="1">(VLOOKUP(AH$72,INDIRECT($C$5&amp;"生成成长"),2))/((VLOOKUP($B96,INDIRECT($B$5&amp;"生成成长"),4))/(VLOOKUP(AH$72,INDIRECT($C$5&amp;"生成成长"),5))*(VLOOKUP($B$5,标准坦克设计!$B$24:$U$30,MATCH("对"&amp;LEFT($C$5,2)&amp;"输出",标准坦克设计!$B$23:$U$23,0)))*(VLOOKUP($B96,INDIRECT($B$5&amp;"生成成长"),3))*(VLOOKUP($B$5,标准坦克设计!$B$14:$K$20,9)/30))</f>
        <v>17.613826577385517</v>
      </c>
      <c r="AI96" s="173">
        <f ca="1">(VLOOKUP(AI$72,INDIRECT($C$5&amp;"生成成长"),2))/((VLOOKUP($B96,INDIRECT($B$5&amp;"生成成长"),4))/(VLOOKUP(AI$72,INDIRECT($C$5&amp;"生成成长"),5))*(VLOOKUP($B$5,标准坦克设计!$B$24:$U$30,MATCH("对"&amp;LEFT($C$5,2)&amp;"输出",标准坦克设计!$B$23:$U$23,0)))*(VLOOKUP($B96,INDIRECT($B$5&amp;"生成成长"),3))*(VLOOKUP($B$5,标准坦克设计!$B$14:$K$20,9)/30))</f>
        <v>12.457610816084918</v>
      </c>
      <c r="AJ96" s="173">
        <f ca="1">(VLOOKUP(AJ$72,INDIRECT($C$5&amp;"生成成长"),2))/((VLOOKUP($B96,INDIRECT($B$5&amp;"生成成长"),4))/(VLOOKUP(AJ$72,INDIRECT($C$5&amp;"生成成长"),5))*(VLOOKUP($B$5,标准坦克设计!$B$24:$U$30,MATCH("对"&amp;LEFT($C$5,2)&amp;"输出",标准坦克设计!$B$23:$U$23,0)))*(VLOOKUP($B96,INDIRECT($B$5&amp;"生成成长"),3))*(VLOOKUP($B$5,标准坦克设计!$B$14:$K$20,9)/30))</f>
        <v>13.635765980652511</v>
      </c>
      <c r="AK96" s="173">
        <f ca="1">(VLOOKUP(AK$72,INDIRECT($C$5&amp;"生成成长"),2))/((VLOOKUP($B96,INDIRECT($B$5&amp;"生成成长"),4))/(VLOOKUP(AK$72,INDIRECT($C$5&amp;"生成成长"),5))*(VLOOKUP($B$5,标准坦克设计!$B$24:$U$30,MATCH("对"&amp;LEFT($C$5,2)&amp;"输出",标准坦克设计!$B$23:$U$23,0)))*(VLOOKUP($B96,INDIRECT($B$5&amp;"生成成长"),3))*(VLOOKUP($B$5,标准坦克设计!$B$14:$K$20,9)/30))</f>
        <v>14.86714376045725</v>
      </c>
      <c r="AL96" s="173">
        <f ca="1">(VLOOKUP(AL$72,INDIRECT($C$5&amp;"生成成长"),2))/((VLOOKUP($B96,INDIRECT($B$5&amp;"生成成长"),4))/(VLOOKUP(AL$72,INDIRECT($C$5&amp;"生成成长"),5))*(VLOOKUP($B$5,标准坦克设计!$B$24:$U$30,MATCH("对"&amp;LEFT($C$5,2)&amp;"输出",标准坦克设计!$B$23:$U$23,0)))*(VLOOKUP($B96,INDIRECT($B$5&amp;"生成成长"),3))*(VLOOKUP($B$5,标准坦克设计!$B$14:$K$20,9)/30))</f>
        <v>16.151744155499127</v>
      </c>
      <c r="AM96" s="173">
        <f ca="1">(VLOOKUP(AM$72,INDIRECT($C$5&amp;"生成成长"),2))/((VLOOKUP($B96,INDIRECT($B$5&amp;"生成成长"),4))/(VLOOKUP(AM$72,INDIRECT($C$5&amp;"生成成长"),5))*(VLOOKUP($B$5,标准坦克设计!$B$24:$U$30,MATCH("对"&amp;LEFT($C$5,2)&amp;"输出",标准坦克设计!$B$23:$U$23,0)))*(VLOOKUP($B96,INDIRECT($B$5&amp;"生成成长"),3))*(VLOOKUP($B$5,标准坦克设计!$B$14:$K$20,9)/30))</f>
        <v>17.489567165778141</v>
      </c>
      <c r="AN96" s="173">
        <f ca="1">(VLOOKUP(AN$72,INDIRECT($C$5&amp;"生成成长"),2))/((VLOOKUP($B96,INDIRECT($B$5&amp;"生成成长"),4))/(VLOOKUP(AN$72,INDIRECT($C$5&amp;"生成成长"),5))*(VLOOKUP($B$5,标准坦克设计!$B$24:$U$30,MATCH("对"&amp;LEFT($C$5,2)&amp;"输出",标准坦克设计!$B$23:$U$23,0)))*(VLOOKUP($B96,INDIRECT($B$5&amp;"生成成长"),3))*(VLOOKUP($B$5,标准坦克设计!$B$14:$K$20,9)/30))</f>
        <v>18.880612791294293</v>
      </c>
      <c r="AO96" s="173">
        <f ca="1">(VLOOKUP(AO$72,INDIRECT($C$5&amp;"生成成长"),2))/((VLOOKUP($B96,INDIRECT($B$5&amp;"生成成长"),4))/(VLOOKUP(AO$72,INDIRECT($C$5&amp;"生成成长"),5))*(VLOOKUP($B$5,标准坦克设计!$B$24:$U$30,MATCH("对"&amp;LEFT($C$5,2)&amp;"输出",标准坦克设计!$B$23:$U$23,0)))*(VLOOKUP($B96,INDIRECT($B$5&amp;"生成成长"),3))*(VLOOKUP($B$5,标准坦克设计!$B$14:$K$20,9)/30))</f>
        <v>20.324881032047593</v>
      </c>
      <c r="AP96" s="173">
        <f ca="1">(VLOOKUP(AP$72,INDIRECT($C$5&amp;"生成成长"),2))/((VLOOKUP($B96,INDIRECT($B$5&amp;"生成成长"),4))/(VLOOKUP(AP$72,INDIRECT($C$5&amp;"生成成长"),5))*(VLOOKUP($B$5,标准坦克设计!$B$24:$U$30,MATCH("对"&amp;LEFT($C$5,2)&amp;"输出",标准坦克设计!$B$23:$U$23,0)))*(VLOOKUP($B96,INDIRECT($B$5&amp;"生成成长"),3))*(VLOOKUP($B$5,标准坦克设计!$B$14:$K$20,9)/30))</f>
        <v>21.822371888038024</v>
      </c>
      <c r="AQ96" s="173">
        <f ca="1">(VLOOKUP(AQ$72,INDIRECT($C$5&amp;"生成成长"),2))/((VLOOKUP($B96,INDIRECT($B$5&amp;"生成成长"),4))/(VLOOKUP(AQ$72,INDIRECT($C$5&amp;"生成成长"),5))*(VLOOKUP($B$5,标准坦克设计!$B$24:$U$30,MATCH("对"&amp;LEFT($C$5,2)&amp;"输出",标准坦克设计!$B$23:$U$23,0)))*(VLOOKUP($B96,INDIRECT($B$5&amp;"生成成长"),3))*(VLOOKUP($B$5,标准坦克设计!$B$14:$K$20,9)/30))</f>
        <v>23.373085359265605</v>
      </c>
      <c r="AR96" s="173">
        <f ca="1">(VLOOKUP(AR$72,INDIRECT($C$5&amp;"生成成长"),2))/((VLOOKUP($B96,INDIRECT($B$5&amp;"生成成长"),4))/(VLOOKUP(AR$72,INDIRECT($C$5&amp;"生成成长"),5))*(VLOOKUP($B$5,标准坦克设计!$B$24:$U$30,MATCH("对"&amp;LEFT($C$5,2)&amp;"输出",标准坦克设计!$B$23:$U$23,0)))*(VLOOKUP($B96,INDIRECT($B$5&amp;"生成成长"),3))*(VLOOKUP($B$5,标准坦克设计!$B$14:$K$20,9)/30))</f>
        <v>24.977021445730315</v>
      </c>
      <c r="AS96" s="173">
        <f ca="1">(VLOOKUP(AS$72,INDIRECT($C$5&amp;"生成成长"),2))/((VLOOKUP($B96,INDIRECT($B$5&amp;"生成成长"),4))/(VLOOKUP(AS$72,INDIRECT($C$5&amp;"生成成长"),5))*(VLOOKUP($B$5,标准坦克设计!$B$24:$U$30,MATCH("对"&amp;LEFT($C$5,2)&amp;"输出",标准坦克设计!$B$23:$U$23,0)))*(VLOOKUP($B96,INDIRECT($B$5&amp;"生成成长"),3))*(VLOOKUP($B$5,标准坦克设计!$B$14:$K$20,9)/30))</f>
        <v>26.634180147432165</v>
      </c>
      <c r="AT96" s="173">
        <f ca="1">(VLOOKUP(AT$72,INDIRECT($C$5&amp;"生成成长"),2))/((VLOOKUP($B96,INDIRECT($B$5&amp;"生成成长"),4))/(VLOOKUP(AT$72,INDIRECT($C$5&amp;"生成成长"),5))*(VLOOKUP($B$5,标准坦克设计!$B$24:$U$30,MATCH("对"&amp;LEFT($C$5,2)&amp;"输出",标准坦克设计!$B$23:$U$23,0)))*(VLOOKUP($B96,INDIRECT($B$5&amp;"生成成长"),3))*(VLOOKUP($B$5,标准坦克设计!$B$14:$K$20,9)/30))</f>
        <v>28.344561464371164</v>
      </c>
      <c r="AU96" s="173">
        <f ca="1">(VLOOKUP(AU$72,INDIRECT($C$5&amp;"生成成长"),2))/((VLOOKUP($B96,INDIRECT($B$5&amp;"生成成长"),4))/(VLOOKUP(AU$72,INDIRECT($C$5&amp;"生成成长"),5))*(VLOOKUP($B$5,标准坦克设计!$B$24:$U$30,MATCH("对"&amp;LEFT($C$5,2)&amp;"输出",标准坦克设计!$B$23:$U$23,0)))*(VLOOKUP($B96,INDIRECT($B$5&amp;"生成成长"),3))*(VLOOKUP($B$5,标准坦克设计!$B$14:$K$20,9)/30))</f>
        <v>30.1081653965473</v>
      </c>
      <c r="AV96" s="173">
        <f ca="1">(VLOOKUP(AV$72,INDIRECT($C$5&amp;"生成成长"),2))/((VLOOKUP($B96,INDIRECT($B$5&amp;"生成成长"),4))/(VLOOKUP(AV$72,INDIRECT($C$5&amp;"生成成长"),5))*(VLOOKUP($B$5,标准坦克设计!$B$24:$U$30,MATCH("对"&amp;LEFT($C$5,2)&amp;"输出",标准坦克设计!$B$23:$U$23,0)))*(VLOOKUP($B96,INDIRECT($B$5&amp;"生成成长"),3))*(VLOOKUP($B$5,标准坦克设计!$B$14:$K$20,9)/30))</f>
        <v>3.0622797295947741</v>
      </c>
      <c r="AW96" s="173">
        <f ca="1">(VLOOKUP(AW$72,INDIRECT($C$5&amp;"生成成长"),2))/((VLOOKUP($B96,INDIRECT($B$5&amp;"生成成长"),4))/(VLOOKUP(AW$72,INDIRECT($C$5&amp;"生成成长"),5))*(VLOOKUP($B$5,标准坦克设计!$B$24:$U$30,MATCH("对"&amp;LEFT($C$5,2)&amp;"输出",标准坦克设计!$B$23:$U$23,0)))*(VLOOKUP($B96,INDIRECT($B$5&amp;"生成成长"),3))*(VLOOKUP($B$5,标准坦克设计!$B$14:$K$20,9)/30))</f>
        <v>3.491579502086084</v>
      </c>
      <c r="AX96" s="173">
        <f ca="1">(VLOOKUP(AX$72,INDIRECT($C$5&amp;"生成成长"),2))/((VLOOKUP($B96,INDIRECT($B$5&amp;"生成成长"),4))/(VLOOKUP(AX$72,INDIRECT($C$5&amp;"生成成长"),5))*(VLOOKUP($B$5,标准坦克设计!$B$24:$U$30,MATCH("对"&amp;LEFT($C$5,2)&amp;"输出",标准坦克设计!$B$23:$U$23,0)))*(VLOOKUP($B96,INDIRECT($B$5&amp;"生成成长"),3))*(VLOOKUP($B$5,标准坦克设计!$B$14:$K$20,9)/30))</f>
        <v>3.9490300793309228</v>
      </c>
      <c r="AY96" s="173">
        <f ca="1">(VLOOKUP(AY$72,INDIRECT($C$5&amp;"生成成长"),2))/((VLOOKUP($B96,INDIRECT($B$5&amp;"生成成长"),4))/(VLOOKUP(AY$72,INDIRECT($C$5&amp;"生成成长"),5))*(VLOOKUP($B$5,标准坦克设计!$B$24:$U$30,MATCH("对"&amp;LEFT($C$5,2)&amp;"输出",标准坦克设计!$B$23:$U$23,0)))*(VLOOKUP($B96,INDIRECT($B$5&amp;"生成成长"),3))*(VLOOKUP($B$5,标准坦克设计!$B$14:$K$20,9)/30))</f>
        <v>4.4346314613292899</v>
      </c>
      <c r="AZ96" s="173">
        <f ca="1">(VLOOKUP(AZ$72,INDIRECT($C$5&amp;"生成成长"),2))/((VLOOKUP($B96,INDIRECT($B$5&amp;"生成成长"),4))/(VLOOKUP(AZ$72,INDIRECT($C$5&amp;"生成成长"),5))*(VLOOKUP($B$5,标准坦克设计!$B$24:$U$30,MATCH("对"&amp;LEFT($C$5,2)&amp;"输出",标准坦克设计!$B$23:$U$23,0)))*(VLOOKUP($B96,INDIRECT($B$5&amp;"生成成长"),3))*(VLOOKUP($B$5,标准坦克设计!$B$14:$K$20,9)/30))</f>
        <v>4.9483836480811849</v>
      </c>
      <c r="BA96" s="173">
        <f ca="1">(VLOOKUP(BA$72,INDIRECT($C$5&amp;"生成成长"),2))/((VLOOKUP($B96,INDIRECT($B$5&amp;"生成成长"),4))/(VLOOKUP(BA$72,INDIRECT($C$5&amp;"生成成长"),5))*(VLOOKUP($B$5,标准坦克设计!$B$24:$U$30,MATCH("对"&amp;LEFT($C$5,2)&amp;"输出",标准坦克设计!$B$23:$U$23,0)))*(VLOOKUP($B96,INDIRECT($B$5&amp;"生成成长"),3))*(VLOOKUP($B$5,标准坦克设计!$B$14:$K$20,9)/30))</f>
        <v>5.4902866395866097</v>
      </c>
      <c r="BB96" s="173">
        <f ca="1">(VLOOKUP(BB$72,INDIRECT($C$5&amp;"生成成长"),2))/((VLOOKUP($B96,INDIRECT($B$5&amp;"生成成长"),4))/(VLOOKUP(BB$72,INDIRECT($C$5&amp;"生成成长"),5))*(VLOOKUP($B$5,标准坦克设计!$B$24:$U$30,MATCH("对"&amp;LEFT($C$5,2)&amp;"输出",标准坦克设计!$B$23:$U$23,0)))*(VLOOKUP($B96,INDIRECT($B$5&amp;"生成成长"),3))*(VLOOKUP($B$5,标准坦克设计!$B$14:$K$20,9)/30))</f>
        <v>6.0603404358455615</v>
      </c>
      <c r="BC96" s="173">
        <f ca="1">(VLOOKUP(BC$72,INDIRECT($C$5&amp;"生成成长"),2))/((VLOOKUP($B96,INDIRECT($B$5&amp;"生成成长"),4))/(VLOOKUP(BC$72,INDIRECT($C$5&amp;"生成成长"),5))*(VLOOKUP($B$5,标准坦克设计!$B$24:$U$30,MATCH("对"&amp;LEFT($C$5,2)&amp;"输出",标准坦克设计!$B$23:$U$23,0)))*(VLOOKUP($B96,INDIRECT($B$5&amp;"生成成长"),3))*(VLOOKUP($B$5,标准坦克设计!$B$14:$K$20,9)/30))</f>
        <v>6.6585450368580412</v>
      </c>
      <c r="BD96" s="173">
        <f ca="1">(VLOOKUP(BD$72,INDIRECT($C$5&amp;"生成成长"),2))/((VLOOKUP($B96,INDIRECT($B$5&amp;"生成成长"),4))/(VLOOKUP(BD$72,INDIRECT($C$5&amp;"生成成长"),5))*(VLOOKUP($B$5,标准坦克设计!$B$24:$U$30,MATCH("对"&amp;LEFT($C$5,2)&amp;"输出",标准坦克设计!$B$23:$U$23,0)))*(VLOOKUP($B96,INDIRECT($B$5&amp;"生成成长"),3))*(VLOOKUP($B$5,标准坦克设计!$B$14:$K$20,9)/30))</f>
        <v>7.365174221804037</v>
      </c>
      <c r="BE96" s="173">
        <f ca="1">(VLOOKUP(BE$72,INDIRECT($C$5&amp;"生成成长"),2))/((VLOOKUP($B96,INDIRECT($B$5&amp;"生成成长"),4))/(VLOOKUP(BE$72,INDIRECT($C$5&amp;"生成成长"),5))*(VLOOKUP($B$5,标准坦克设计!$B$24:$U$30,MATCH("对"&amp;LEFT($C$5,2)&amp;"输出",标准坦克设计!$B$23:$U$23,0)))*(VLOOKUP($B96,INDIRECT($B$5&amp;"生成成长"),3))*(VLOOKUP($B$5,标准坦克设计!$B$14:$K$20,9)/30))</f>
        <v>8.1074317690162125</v>
      </c>
      <c r="BF96" s="173">
        <f ca="1">(VLOOKUP(BF$72,INDIRECT($C$5&amp;"生成成长"),2))/((VLOOKUP($B96,INDIRECT($B$5&amp;"生成成长"),4))/(VLOOKUP(BF$72,INDIRECT($C$5&amp;"生成成长"),5))*(VLOOKUP($B$5,标准坦克设计!$B$24:$U$30,MATCH("对"&amp;LEFT($C$5,2)&amp;"输出",标准坦克设计!$B$23:$U$23,0)))*(VLOOKUP($B96,INDIRECT($B$5&amp;"生成成长"),3))*(VLOOKUP($B$5,标准坦克设计!$B$14:$K$20,9)/30))</f>
        <v>8.8853176784945749</v>
      </c>
      <c r="BG96" s="173">
        <f ca="1">(VLOOKUP(BG$72,INDIRECT($C$5&amp;"生成成长"),2))/((VLOOKUP($B96,INDIRECT($B$5&amp;"生成成长"),4))/(VLOOKUP(BG$72,INDIRECT($C$5&amp;"生成成长"),5))*(VLOOKUP($B$5,标准坦克设计!$B$24:$U$30,MATCH("对"&amp;LEFT($C$5,2)&amp;"输出",标准坦克设计!$B$23:$U$23,0)))*(VLOOKUP($B96,INDIRECT($B$5&amp;"生成成长"),3))*(VLOOKUP($B$5,标准坦克设计!$B$14:$K$20,9)/30))</f>
        <v>9.6988319502391231</v>
      </c>
      <c r="BH96" s="173">
        <f ca="1">(VLOOKUP(BH$72,INDIRECT($C$5&amp;"生成成长"),2))/((VLOOKUP($B96,INDIRECT($B$5&amp;"生成成长"),4))/(VLOOKUP(BH$72,INDIRECT($C$5&amp;"生成成长"),5))*(VLOOKUP($B$5,标准坦克设计!$B$24:$U$30,MATCH("对"&amp;LEFT($C$5,2)&amp;"输出",标准坦克设计!$B$23:$U$23,0)))*(VLOOKUP($B96,INDIRECT($B$5&amp;"生成成长"),3))*(VLOOKUP($B$5,标准坦克设计!$B$14:$K$20,9)/30))</f>
        <v>4.6879887041110466</v>
      </c>
      <c r="BI96" s="173">
        <f ca="1">(VLOOKUP(BI$72,INDIRECT($C$5&amp;"生成成长"),2))/((VLOOKUP($B96,INDIRECT($B$5&amp;"生成成长"),4))/(VLOOKUP(BI$72,INDIRECT($C$5&amp;"生成成长"),5))*(VLOOKUP($B$5,标准坦克设计!$B$24:$U$30,MATCH("对"&amp;LEFT($C$5,2)&amp;"输出",标准坦克设计!$B$23:$U$23,0)))*(VLOOKUP($B96,INDIRECT($B$5&amp;"生成成长"),3))*(VLOOKUP($B$5,标准坦克设计!$B$14:$K$20,9)/30))</f>
        <v>5.2837740953400214</v>
      </c>
      <c r="BJ96" s="173">
        <f ca="1">(VLOOKUP(BJ$72,INDIRECT($C$5&amp;"生成成长"),2))/((VLOOKUP($B96,INDIRECT($B$5&amp;"生成成长"),4))/(VLOOKUP(BJ$72,INDIRECT($C$5&amp;"生成成长"),5))*(VLOOKUP($B$5,标准坦克设计!$B$24:$U$30,MATCH("对"&amp;LEFT($C$5,2)&amp;"输出",标准坦克设计!$B$23:$U$23,0)))*(VLOOKUP($B96,INDIRECT($B$5&amp;"生成成长"),3))*(VLOOKUP($B$5,标准坦克设计!$B$14:$K$20,9)/30))</f>
        <v>5.9151878488351803</v>
      </c>
      <c r="BK96" s="173">
        <f ca="1">(VLOOKUP(BK$72,INDIRECT($C$5&amp;"生成成长"),2))/((VLOOKUP($B96,INDIRECT($B$5&amp;"生成成长"),4))/(VLOOKUP(BK$72,INDIRECT($C$5&amp;"生成成长"),5))*(VLOOKUP($B$5,标准坦克设计!$B$24:$U$30,MATCH("对"&amp;LEFT($C$5,2)&amp;"输出",标准坦克设计!$B$23:$U$23,0)))*(VLOOKUP($B96,INDIRECT($B$5&amp;"生成成长"),3))*(VLOOKUP($B$5,标准坦克设计!$B$14:$K$20,9)/30))</f>
        <v>6.5822299645965243</v>
      </c>
      <c r="BL96" s="173">
        <f ca="1">(VLOOKUP(BL$72,INDIRECT($C$5&amp;"生成成长"),2))/((VLOOKUP($B96,INDIRECT($B$5&amp;"生成成长"),4))/(VLOOKUP(BL$72,INDIRECT($C$5&amp;"生成成长"),5))*(VLOOKUP($B$5,标准坦克设计!$B$24:$U$30,MATCH("对"&amp;LEFT($C$5,2)&amp;"输出",标准坦克设计!$B$23:$U$23,0)))*(VLOOKUP($B96,INDIRECT($B$5&amp;"生成成长"),3))*(VLOOKUP($B$5,标准坦克设计!$B$14:$K$20,9)/30))</f>
        <v>7.2849004426240525</v>
      </c>
      <c r="BM96" s="173">
        <f ca="1">(VLOOKUP(BM$72,INDIRECT($C$5&amp;"生成成长"),2))/((VLOOKUP($B96,INDIRECT($B$5&amp;"生成成长"),4))/(VLOOKUP(BM$72,INDIRECT($C$5&amp;"生成成长"),5))*(VLOOKUP($B$5,标准坦克设计!$B$24:$U$30,MATCH("对"&amp;LEFT($C$5,2)&amp;"输出",标准坦克设计!$B$23:$U$23,0)))*(VLOOKUP($B96,INDIRECT($B$5&amp;"生成成长"),3))*(VLOOKUP($B$5,标准坦克设计!$B$14:$K$20,9)/30))</f>
        <v>8.0231992829177639</v>
      </c>
      <c r="BN96" s="173">
        <f ca="1">(VLOOKUP(BN$72,INDIRECT($C$5&amp;"生成成长"),2))/((VLOOKUP($B96,INDIRECT($B$5&amp;"生成成长"),4))/(VLOOKUP(BN$72,INDIRECT($C$5&amp;"生成成长"),5))*(VLOOKUP($B$5,标准坦克设计!$B$24:$U$30,MATCH("对"&amp;LEFT($C$5,2)&amp;"输出",标准坦克设计!$B$23:$U$23,0)))*(VLOOKUP($B96,INDIRECT($B$5&amp;"生成成长"),3))*(VLOOKUP($B$5,标准坦克设计!$B$14:$K$20,9)/30))</f>
        <v>8.7971264854776638</v>
      </c>
      <c r="BO96" s="173">
        <f ca="1">(VLOOKUP(BO$72,INDIRECT($C$5&amp;"生成成长"),2))/((VLOOKUP($B96,INDIRECT($B$5&amp;"生成成长"),4))/(VLOOKUP(BO$72,INDIRECT($C$5&amp;"生成成长"),5))*(VLOOKUP($B$5,标准坦克设计!$B$24:$U$30,MATCH("对"&amp;LEFT($C$5,2)&amp;"输出",标准坦克设计!$B$23:$U$23,0)))*(VLOOKUP($B96,INDIRECT($B$5&amp;"生成成长"),3))*(VLOOKUP($B$5,标准坦克设计!$B$14:$K$20,9)/30))</f>
        <v>9.6066820503037444</v>
      </c>
      <c r="BP96" s="173">
        <f ca="1">(VLOOKUP(BP$72,INDIRECT($C$5&amp;"生成成长"),2))/((VLOOKUP($B96,INDIRECT($B$5&amp;"生成成长"),4))/(VLOOKUP(BP$72,INDIRECT($C$5&amp;"生成成长"),5))*(VLOOKUP($B$5,标准坦克设计!$B$24:$U$30,MATCH("对"&amp;LEFT($C$5,2)&amp;"输出",标准坦克设计!$B$23:$U$23,0)))*(VLOOKUP($B96,INDIRECT($B$5&amp;"生成成长"),3))*(VLOOKUP($B$5,标准坦克设计!$B$14:$K$20,9)/30))</f>
        <v>10.451865977396011</v>
      </c>
      <c r="BQ96" s="173">
        <f ca="1">(VLOOKUP(BQ$72,INDIRECT($C$5&amp;"生成成长"),2))/((VLOOKUP($B96,INDIRECT($B$5&amp;"生成成长"),4))/(VLOOKUP(BQ$72,INDIRECT($C$5&amp;"生成成长"),5))*(VLOOKUP($B$5,标准坦克设计!$B$24:$U$30,MATCH("对"&amp;LEFT($C$5,2)&amp;"输出",标准坦克设计!$B$23:$U$23,0)))*(VLOOKUP($B96,INDIRECT($B$5&amp;"生成成长"),3))*(VLOOKUP($B$5,标准坦克设计!$B$14:$K$20,9)/30))</f>
        <v>11.332678266754462</v>
      </c>
      <c r="BR96" s="173">
        <f ca="1">(VLOOKUP(BR$72,INDIRECT($C$5&amp;"生成成长"),2))/((VLOOKUP($B96,INDIRECT($B$5&amp;"生成成长"),4))/(VLOOKUP(BR$72,INDIRECT($C$5&amp;"生成成长"),5))*(VLOOKUP($B$5,标准坦克设计!$B$24:$U$30,MATCH("对"&amp;LEFT($C$5,2)&amp;"输出",标准坦克设计!$B$23:$U$23,0)))*(VLOOKUP($B96,INDIRECT($B$5&amp;"生成成长"),3))*(VLOOKUP($B$5,标准坦克设计!$B$14:$K$20,9)/30))</f>
        <v>12.353144939069871</v>
      </c>
      <c r="BS96" s="173">
        <f ca="1">(VLOOKUP(BS$72,INDIRECT($C$5&amp;"生成成长"),2))/((VLOOKUP($B96,INDIRECT($B$5&amp;"生成成长"),4))/(VLOOKUP(BS$72,INDIRECT($C$5&amp;"生成成长"),5))*(VLOOKUP($B$5,标准坦克设计!$B$24:$U$30,MATCH("对"&amp;LEFT($C$5,2)&amp;"输出",标准坦克设计!$B$23:$U$23,0)))*(VLOOKUP($B96,INDIRECT($B$5&amp;"生成成长"),3))*(VLOOKUP($B$5,标准坦克设计!$B$14:$K$20,9)/30))</f>
        <v>13.41759724381267</v>
      </c>
      <c r="BT96" s="173">
        <f ca="1">(VLOOKUP(BT$72,INDIRECT($C$5&amp;"生成成长"),2))/((VLOOKUP($B96,INDIRECT($B$5&amp;"生成成长"),4))/(VLOOKUP(BT$72,INDIRECT($C$5&amp;"生成成长"),5))*(VLOOKUP($B$5,标准坦克设计!$B$24:$U$30,MATCH("对"&amp;LEFT($C$5,2)&amp;"输出",标准坦克设计!$B$23:$U$23,0)))*(VLOOKUP($B96,INDIRECT($B$5&amp;"生成成长"),3))*(VLOOKUP($B$5,标准坦克设计!$B$14:$K$20,9)/30))</f>
        <v>14.526035180982854</v>
      </c>
      <c r="BU96" s="173">
        <f ca="1">(VLOOKUP(BU$72,INDIRECT($C$5&amp;"生成成长"),2))/((VLOOKUP($B96,INDIRECT($B$5&amp;"生成成长"),4))/(VLOOKUP(BU$72,INDIRECT($C$5&amp;"生成成长"),5))*(VLOOKUP($B$5,标准坦克设计!$B$24:$U$30,MATCH("对"&amp;LEFT($C$5,2)&amp;"输出",标准坦克设计!$B$23:$U$23,0)))*(VLOOKUP($B96,INDIRECT($B$5&amp;"生成成长"),3))*(VLOOKUP($B$5,标准坦克设计!$B$14:$K$20,9)/30))</f>
        <v>15.678458750580427</v>
      </c>
      <c r="BV96" s="173">
        <f ca="1">(VLOOKUP(BV$72,INDIRECT($C$5&amp;"生成成长"),2))/((VLOOKUP($B96,INDIRECT($B$5&amp;"生成成长"),4))/(VLOOKUP(BV$72,INDIRECT($C$5&amp;"生成成长"),5))*(VLOOKUP($B$5,标准坦克设计!$B$24:$U$30,MATCH("对"&amp;LEFT($C$5,2)&amp;"输出",标准坦克设计!$B$23:$U$23,0)))*(VLOOKUP($B96,INDIRECT($B$5&amp;"生成成长"),3))*(VLOOKUP($B$5,标准坦克设计!$B$14:$K$20,9)/30))</f>
        <v>16.874867952605388</v>
      </c>
      <c r="BW96" s="173">
        <f ca="1">(VLOOKUP(BW$72,INDIRECT($C$5&amp;"生成成长"),2))/((VLOOKUP($B96,INDIRECT($B$5&amp;"生成成长"),4))/(VLOOKUP(BW$72,INDIRECT($C$5&amp;"生成成长"),5))*(VLOOKUP($B$5,标准坦克设计!$B$24:$U$30,MATCH("对"&amp;LEFT($C$5,2)&amp;"输出",标准坦克设计!$B$23:$U$23,0)))*(VLOOKUP($B96,INDIRECT($B$5&amp;"生成成长"),3))*(VLOOKUP($B$5,标准坦克设计!$B$14:$K$20,9)/30))</f>
        <v>7.6906679017667097</v>
      </c>
      <c r="BX96" s="173">
        <f ca="1">(VLOOKUP(BX$72,INDIRECT($C$5&amp;"生成成长"),2))/((VLOOKUP($B96,INDIRECT($B$5&amp;"生成成长"),4))/(VLOOKUP(BX$72,INDIRECT($C$5&amp;"生成成长"),5))*(VLOOKUP($B$5,标准坦克设计!$B$24:$U$30,MATCH("对"&amp;LEFT($C$5,2)&amp;"输出",标准坦克设计!$B$23:$U$23,0)))*(VLOOKUP($B96,INDIRECT($B$5&amp;"生成成长"),3))*(VLOOKUP($B$5,标准坦克设计!$B$14:$K$20,9)/30))</f>
        <v>8.5351920443725646</v>
      </c>
      <c r="BY96" s="173">
        <f ca="1">(VLOOKUP(BY$72,INDIRECT($C$5&amp;"生成成长"),2))/((VLOOKUP($B96,INDIRECT($B$5&amp;"生成成长"),4))/(VLOOKUP(BY$72,INDIRECT($C$5&amp;"生成成长"),5))*(VLOOKUP($B$5,标准坦克设计!$B$24:$U$30,MATCH("对"&amp;LEFT($C$5,2)&amp;"输出",标准坦克设计!$B$23:$U$23,0)))*(VLOOKUP($B96,INDIRECT($B$5&amp;"生成成长"),3))*(VLOOKUP($B$5,标准坦克设计!$B$14:$K$20,9)/30))</f>
        <v>9.4237018194058084</v>
      </c>
      <c r="BZ96" s="173">
        <f ca="1">(VLOOKUP(BZ$72,INDIRECT($C$5&amp;"生成成长"),2))/((VLOOKUP($B96,INDIRECT($B$5&amp;"生成成长"),4))/(VLOOKUP(BZ$72,INDIRECT($C$5&amp;"生成成长"),5))*(VLOOKUP($B$5,标准坦克设计!$B$24:$U$30,MATCH("对"&amp;LEFT($C$5,2)&amp;"输出",标准坦克设计!$B$23:$U$23,0)))*(VLOOKUP($B96,INDIRECT($B$5&amp;"生成成长"),3))*(VLOOKUP($B$5,标准坦克设计!$B$14:$K$20,9)/30))</f>
        <v>10.35619722686644</v>
      </c>
      <c r="CA96" s="173">
        <f ca="1">(VLOOKUP(CA$72,INDIRECT($C$5&amp;"生成成长"),2))/((VLOOKUP($B96,INDIRECT($B$5&amp;"生成成长"),4))/(VLOOKUP(CA$72,INDIRECT($C$5&amp;"生成成长"),5))*(VLOOKUP($B$5,标准坦克设计!$B$24:$U$30,MATCH("对"&amp;LEFT($C$5,2)&amp;"输出",标准坦克设计!$B$23:$U$23,0)))*(VLOOKUP($B96,INDIRECT($B$5&amp;"生成成长"),3))*(VLOOKUP($B$5,标准坦克设计!$B$14:$K$20,9)/30))</f>
        <v>11.332678266754462</v>
      </c>
      <c r="CB96" s="173">
        <f ca="1">(VLOOKUP(CB$72,INDIRECT($C$5&amp;"生成成长"),2))/((VLOOKUP($B96,INDIRECT($B$5&amp;"生成成长"),4))/(VLOOKUP(CB$72,INDIRECT($C$5&amp;"生成成长"),5))*(VLOOKUP($B$5,标准坦克设计!$B$24:$U$30,MATCH("对"&amp;LEFT($C$5,2)&amp;"输出",标准坦克设计!$B$23:$U$23,0)))*(VLOOKUP($B96,INDIRECT($B$5&amp;"生成成长"),3))*(VLOOKUP($B$5,标准坦克设计!$B$14:$K$20,9)/30))</f>
        <v>12.353144939069871</v>
      </c>
      <c r="CC96" s="173">
        <f ca="1">(VLOOKUP(CC$72,INDIRECT($C$5&amp;"生成成长"),2))/((VLOOKUP($B96,INDIRECT($B$5&amp;"生成成长"),4))/(VLOOKUP(CC$72,INDIRECT($C$5&amp;"生成成长"),5))*(VLOOKUP($B$5,标准坦克设计!$B$24:$U$30,MATCH("对"&amp;LEFT($C$5,2)&amp;"输出",标准坦克设计!$B$23:$U$23,0)))*(VLOOKUP($B96,INDIRECT($B$5&amp;"生成成长"),3))*(VLOOKUP($B$5,标准坦克设计!$B$14:$K$20,9)/30))</f>
        <v>13.41759724381267</v>
      </c>
      <c r="CD96" s="173">
        <f ca="1">(VLOOKUP(CD$72,INDIRECT($C$5&amp;"生成成长"),2))/((VLOOKUP($B96,INDIRECT($B$5&amp;"生成成长"),4))/(VLOOKUP(CD$72,INDIRECT($C$5&amp;"生成成长"),5))*(VLOOKUP($B$5,标准坦克设计!$B$24:$U$30,MATCH("对"&amp;LEFT($C$5,2)&amp;"输出",标准坦克设计!$B$23:$U$23,0)))*(VLOOKUP($B96,INDIRECT($B$5&amp;"生成成长"),3))*(VLOOKUP($B$5,标准坦克设计!$B$14:$K$20,9)/30))</f>
        <v>14.526035180982854</v>
      </c>
      <c r="CE96" s="173">
        <f ca="1">(VLOOKUP(CE$72,INDIRECT($C$5&amp;"生成成长"),2))/((VLOOKUP($B96,INDIRECT($B$5&amp;"生成成长"),4))/(VLOOKUP(CE$72,INDIRECT($C$5&amp;"生成成长"),5))*(VLOOKUP($B$5,标准坦克设计!$B$24:$U$30,MATCH("对"&amp;LEFT($C$5,2)&amp;"输出",标准坦克设计!$B$23:$U$23,0)))*(VLOOKUP($B96,INDIRECT($B$5&amp;"生成成长"),3))*(VLOOKUP($B$5,标准坦克设计!$B$14:$K$20,9)/30))</f>
        <v>15.678458750580427</v>
      </c>
      <c r="CF96" s="173">
        <f ca="1">(VLOOKUP(CF$72,INDIRECT($C$5&amp;"生成成长"),2))/((VLOOKUP($B96,INDIRECT($B$5&amp;"生成成长"),4))/(VLOOKUP(CF$72,INDIRECT($C$5&amp;"生成成长"),5))*(VLOOKUP($B$5,标准坦克设计!$B$24:$U$30,MATCH("对"&amp;LEFT($C$5,2)&amp;"输出",标准坦克设计!$B$23:$U$23,0)))*(VLOOKUP($B96,INDIRECT($B$5&amp;"生成成长"),3))*(VLOOKUP($B$5,标准坦克设计!$B$14:$K$20,9)/30))</f>
        <v>16.874867952605388</v>
      </c>
      <c r="CG96" s="173">
        <f ca="1">(VLOOKUP(CG$72,INDIRECT($C$5&amp;"生成成长"),2))/((VLOOKUP($B96,INDIRECT($B$5&amp;"生成成长"),4))/(VLOOKUP(CG$72,INDIRECT($C$5&amp;"生成成长"),5))*(VLOOKUP($B$5,标准坦克设计!$B$24:$U$30,MATCH("对"&amp;LEFT($C$5,2)&amp;"输出",标准坦克设计!$B$23:$U$23,0)))*(VLOOKUP($B96,INDIRECT($B$5&amp;"生成成长"),3))*(VLOOKUP($B$5,标准坦克设计!$B$14:$K$20,9)/30))</f>
        <v>18.115262787057741</v>
      </c>
      <c r="CH96" s="173">
        <f ca="1">(VLOOKUP(CH$72,INDIRECT($C$5&amp;"生成成长"),2))/((VLOOKUP($B96,INDIRECT($B$5&amp;"生成成长"),4))/(VLOOKUP(CH$72,INDIRECT($C$5&amp;"生成成长"),5))*(VLOOKUP($B$5,标准坦克设计!$B$24:$U$30,MATCH("对"&amp;LEFT($C$5,2)&amp;"输出",标准坦克设计!$B$23:$U$23,0)))*(VLOOKUP($B96,INDIRECT($B$5&amp;"生成成长"),3))*(VLOOKUP($B$5,标准坦克设计!$B$14:$K$20,9)/30))</f>
        <v>19.399643253937477</v>
      </c>
      <c r="CI96" s="173">
        <f ca="1">(VLOOKUP(CI$72,INDIRECT($C$5&amp;"生成成长"),2))/((VLOOKUP($B96,INDIRECT($B$5&amp;"生成成长"),4))/(VLOOKUP(CI$72,INDIRECT($C$5&amp;"生成成长"),5))*(VLOOKUP($B$5,标准坦克设计!$B$24:$U$30,MATCH("对"&amp;LEFT($C$5,2)&amp;"输出",标准坦克设计!$B$23:$U$23,0)))*(VLOOKUP($B96,INDIRECT($B$5&amp;"生成成长"),3))*(VLOOKUP($B$5,标准坦克设计!$B$14:$K$20,9)/30))</f>
        <v>20.863265172958823</v>
      </c>
      <c r="CJ96" s="173">
        <f ca="1">(VLOOKUP(CJ$72,INDIRECT($C$5&amp;"生成成长"),2))/((VLOOKUP($B96,INDIRECT($B$5&amp;"生成成长"),4))/(VLOOKUP(CJ$72,INDIRECT($C$5&amp;"生成成长"),5))*(VLOOKUP($B$5,标准坦克设计!$B$24:$U$30,MATCH("对"&amp;LEFT($C$5,2)&amp;"输出",标准坦克设计!$B$23:$U$23,0)))*(VLOOKUP($B96,INDIRECT($B$5&amp;"生成成长"),3))*(VLOOKUP($B$5,标准坦克设计!$B$14:$K$20,9)/30))</f>
        <v>22.380109707217311</v>
      </c>
      <c r="CK96" s="173">
        <f ca="1">(VLOOKUP(CK$72,INDIRECT($C$5&amp;"生成成长"),2))/((VLOOKUP($B96,INDIRECT($B$5&amp;"生成成长"),4))/(VLOOKUP(CK$72,INDIRECT($C$5&amp;"生成成长"),5))*(VLOOKUP($B$5,标准坦克设计!$B$24:$U$30,MATCH("对"&amp;LEFT($C$5,2)&amp;"输出",标准坦克设计!$B$23:$U$23,0)))*(VLOOKUP($B96,INDIRECT($B$5&amp;"生成成长"),3))*(VLOOKUP($B$5,标准坦克设计!$B$14:$K$20,9)/30))</f>
        <v>23.950176856712936</v>
      </c>
      <c r="CL96" s="173">
        <f ca="1">(VLOOKUP(CL$72,INDIRECT($C$5&amp;"生成成长"),2))/((VLOOKUP($B96,INDIRECT($B$5&amp;"生成成长"),4))/(VLOOKUP(CL$72,INDIRECT($C$5&amp;"生成成长"),5))*(VLOOKUP($B$5,标准坦克设计!$B$24:$U$30,MATCH("对"&amp;LEFT($C$5,2)&amp;"输出",标准坦克设计!$B$23:$U$23,0)))*(VLOOKUP($B96,INDIRECT($B$5&amp;"生成成长"),3))*(VLOOKUP($B$5,标准坦克设计!$B$14:$K$20,9)/30))</f>
        <v>25.5734666214457</v>
      </c>
      <c r="CM96" s="173">
        <f ca="1">(VLOOKUP(CM$72,INDIRECT($C$5&amp;"生成成长"),2))/((VLOOKUP($B96,INDIRECT($B$5&amp;"生成成长"),4))/(VLOOKUP(CM$72,INDIRECT($C$5&amp;"生成成长"),5))*(VLOOKUP($B$5,标准坦克设计!$B$24:$U$30,MATCH("对"&amp;LEFT($C$5,2)&amp;"输出",标准坦克设计!$B$23:$U$23,0)))*(VLOOKUP($B96,INDIRECT($B$5&amp;"生成成长"),3))*(VLOOKUP($B$5,标准坦克设计!$B$14:$K$20,9)/30))</f>
        <v>27.24997900141561</v>
      </c>
      <c r="CN96" s="173">
        <f ca="1">(VLOOKUP(CN$72,INDIRECT($C$5&amp;"生成成长"),2))/((VLOOKUP($B96,INDIRECT($B$5&amp;"生成成长"),4))/(VLOOKUP(CN$72,INDIRECT($C$5&amp;"生成成长"),5))*(VLOOKUP($B$5,标准坦克设计!$B$24:$U$30,MATCH("对"&amp;LEFT($C$5,2)&amp;"输出",标准坦克设计!$B$23:$U$23,0)))*(VLOOKUP($B96,INDIRECT($B$5&amp;"生成成长"),3))*(VLOOKUP($B$5,标准坦克设计!$B$14:$K$20,9)/30))</f>
        <v>28.979713996622653</v>
      </c>
      <c r="CO96" s="173">
        <f ca="1">(VLOOKUP(CO$72,INDIRECT($C$5&amp;"生成成长"),2))/((VLOOKUP($B96,INDIRECT($B$5&amp;"生成成长"),4))/(VLOOKUP(CO$72,INDIRECT($C$5&amp;"生成成长"),5))*(VLOOKUP($B$5,标准坦克设计!$B$24:$U$30,MATCH("对"&amp;LEFT($C$5,2)&amp;"输出",标准坦克设计!$B$23:$U$23,0)))*(VLOOKUP($B96,INDIRECT($B$5&amp;"生成成长"),3))*(VLOOKUP($B$5,标准坦克设计!$B$14:$K$20,9)/30))</f>
        <v>12.986538046024263</v>
      </c>
      <c r="CP96" s="173">
        <f ca="1">(VLOOKUP(CP$72,INDIRECT($C$5&amp;"生成成长"),2))/((VLOOKUP($B96,INDIRECT($B$5&amp;"生成成长"),4))/(VLOOKUP(CP$72,INDIRECT($C$5&amp;"生成成长"),5))*(VLOOKUP($B$5,标准坦克设计!$B$24:$U$30,MATCH("对"&amp;LEFT($C$5,2)&amp;"输出",标准坦克设计!$B$23:$U$23,0)))*(VLOOKUP($B96,INDIRECT($B$5&amp;"生成成长"),3))*(VLOOKUP($B$5,标准坦克设计!$B$14:$K$20,9)/30))</f>
        <v>14.18888530842692</v>
      </c>
      <c r="CQ96" s="173">
        <f ca="1">(VLOOKUP(CQ$72,INDIRECT($C$5&amp;"生成成长"),2))/((VLOOKUP($B96,INDIRECT($B$5&amp;"生成成长"),4))/(VLOOKUP(CQ$72,INDIRECT($C$5&amp;"生成成长"),5))*(VLOOKUP($B$5,标准坦克设计!$B$24:$U$30,MATCH("对"&amp;LEFT($C$5,2)&amp;"输出",标准坦克设计!$B$23:$U$23,0)))*(VLOOKUP($B96,INDIRECT($B$5&amp;"生成成长"),3))*(VLOOKUP($B$5,标准坦克设计!$B$14:$K$20,9)/30))</f>
        <v>15.444455186066721</v>
      </c>
      <c r="CR96" s="173">
        <f ca="1">(VLOOKUP(CR$72,INDIRECT($C$5&amp;"生成成长"),2))/((VLOOKUP($B96,INDIRECT($B$5&amp;"生成成长"),4))/(VLOOKUP(CR$72,INDIRECT($C$5&amp;"生成成长"),5))*(VLOOKUP($B$5,标准坦克设计!$B$24:$U$30,MATCH("对"&amp;LEFT($C$5,2)&amp;"输出",标准坦克设计!$B$23:$U$23,0)))*(VLOOKUP($B96,INDIRECT($B$5&amp;"生成成长"),3))*(VLOOKUP($B$5,标准坦克设计!$B$14:$K$20,9)/30))</f>
        <v>16.753247678943662</v>
      </c>
      <c r="CS96" s="173">
        <f ca="1">(VLOOKUP(CS$72,INDIRECT($C$5&amp;"生成成长"),2))/((VLOOKUP($B96,INDIRECT($B$5&amp;"生成成长"),4))/(VLOOKUP(CS$72,INDIRECT($C$5&amp;"生成成长"),5))*(VLOOKUP($B$5,标准坦克设计!$B$24:$U$30,MATCH("对"&amp;LEFT($C$5,2)&amp;"输出",标准坦克设计!$B$23:$U$23,0)))*(VLOOKUP($B96,INDIRECT($B$5&amp;"生成成长"),3))*(VLOOKUP($B$5,标准坦克设计!$B$14:$K$20,9)/30))</f>
        <v>18.115262787057741</v>
      </c>
      <c r="CT96" s="173">
        <f ca="1">(VLOOKUP(CT$72,INDIRECT($C$5&amp;"生成成长"),2))/((VLOOKUP($B96,INDIRECT($B$5&amp;"生成成长"),4))/(VLOOKUP(CT$72,INDIRECT($C$5&amp;"生成成长"),5))*(VLOOKUP($B$5,标准坦克设计!$B$24:$U$30,MATCH("对"&amp;LEFT($C$5,2)&amp;"输出",标准坦克设计!$B$23:$U$23,0)))*(VLOOKUP($B96,INDIRECT($B$5&amp;"生成成长"),3))*(VLOOKUP($B$5,标准坦克设计!$B$14:$K$20,9)/30))</f>
        <v>19.53050051040896</v>
      </c>
      <c r="CU96" s="173">
        <f ca="1">(VLOOKUP(CU$72,INDIRECT($C$5&amp;"生成成长"),2))/((VLOOKUP($B96,INDIRECT($B$5&amp;"生成成长"),4))/(VLOOKUP(CU$72,INDIRECT($C$5&amp;"生成成长"),5))*(VLOOKUP($B$5,标准坦克设计!$B$24:$U$30,MATCH("对"&amp;LEFT($C$5,2)&amp;"输出",标准坦克设计!$B$23:$U$23,0)))*(VLOOKUP($B96,INDIRECT($B$5&amp;"生成成长"),3))*(VLOOKUP($B$5,标准坦克设计!$B$14:$K$20,9)/30))</f>
        <v>20.998960848997321</v>
      </c>
      <c r="CV96" s="173">
        <f ca="1">(VLOOKUP(CV$72,INDIRECT($C$5&amp;"生成成长"),2))/((VLOOKUP($B96,INDIRECT($B$5&amp;"生成成长"),4))/(VLOOKUP(CV$72,INDIRECT($C$5&amp;"生成成长"),5))*(VLOOKUP($B$5,标准坦克设计!$B$24:$U$30,MATCH("对"&amp;LEFT($C$5,2)&amp;"输出",标准坦克设计!$B$23:$U$23,0)))*(VLOOKUP($B96,INDIRECT($B$5&amp;"生成成长"),3))*(VLOOKUP($B$5,标准坦克设计!$B$14:$K$20,9)/30))</f>
        <v>22.520643802822814</v>
      </c>
      <c r="CW96" s="173">
        <f ca="1">(VLOOKUP(CW$72,INDIRECT($C$5&amp;"生成成长"),2))/((VLOOKUP($B96,INDIRECT($B$5&amp;"生成成长"),4))/(VLOOKUP(CW$72,INDIRECT($C$5&amp;"生成成长"),5))*(VLOOKUP($B$5,标准坦克设计!$B$24:$U$30,MATCH("对"&amp;LEFT($C$5,2)&amp;"输出",标准坦克设计!$B$23:$U$23,0)))*(VLOOKUP($B96,INDIRECT($B$5&amp;"生成成长"),3))*(VLOOKUP($B$5,标准坦克设计!$B$14:$K$20,9)/30))</f>
        <v>24.095549371885451</v>
      </c>
      <c r="CX96" s="173">
        <f ca="1">(VLOOKUP(CX$72,INDIRECT($C$5&amp;"生成成长"),2))/((VLOOKUP($B96,INDIRECT($B$5&amp;"生成成长"),4))/(VLOOKUP(CX$72,INDIRECT($C$5&amp;"生成成长"),5))*(VLOOKUP($B$5,标准坦克设计!$B$24:$U$30,MATCH("对"&amp;LEFT($C$5,2)&amp;"输出",标准坦克设计!$B$23:$U$23,0)))*(VLOOKUP($B96,INDIRECT($B$5&amp;"生成成长"),3))*(VLOOKUP($B$5,标准坦克设计!$B$14:$K$20,9)/30))</f>
        <v>25.723677556185233</v>
      </c>
      <c r="CY96" s="173">
        <f ca="1">(VLOOKUP(CY$72,INDIRECT($C$5&amp;"生成成长"),2))/((VLOOKUP($B96,INDIRECT($B$5&amp;"生成成长"),4))/(VLOOKUP(CY$72,INDIRECT($C$5&amp;"生成成长"),5))*(VLOOKUP($B$5,标准坦克设计!$B$24:$U$30,MATCH("对"&amp;LEFT($C$5,2)&amp;"输出",标准坦克设计!$B$23:$U$23,0)))*(VLOOKUP($B96,INDIRECT($B$5&amp;"生成成长"),3))*(VLOOKUP($B$5,标准坦克设计!$B$14:$K$20,9)/30))</f>
        <v>27.405028355722148</v>
      </c>
      <c r="CZ96" s="173">
        <f ca="1">(VLOOKUP(CZ$72,INDIRECT($C$5&amp;"生成成长"),2))/((VLOOKUP($B96,INDIRECT($B$5&amp;"生成成长"),4))/(VLOOKUP(CZ$72,INDIRECT($C$5&amp;"生成成长"),5))*(VLOOKUP($B$5,标准坦克设计!$B$24:$U$30,MATCH("对"&amp;LEFT($C$5,2)&amp;"输出",标准坦克设计!$B$23:$U$23,0)))*(VLOOKUP($B96,INDIRECT($B$5&amp;"生成成长"),3))*(VLOOKUP($B$5,标准坦克设计!$B$14:$K$20,9)/30))</f>
        <v>29.13960177049621</v>
      </c>
      <c r="DA96" s="173">
        <f ca="1">(VLOOKUP(DA$72,INDIRECT($C$5&amp;"生成成长"),2))/((VLOOKUP($B96,INDIRECT($B$5&amp;"生成成长"),4))/(VLOOKUP(DA$72,INDIRECT($C$5&amp;"生成成长"),5))*(VLOOKUP($B$5,标准坦克设计!$B$24:$U$30,MATCH("对"&amp;LEFT($C$5,2)&amp;"输出",标准坦克设计!$B$23:$U$23,0)))*(VLOOKUP($B96,INDIRECT($B$5&amp;"生成成长"),3))*(VLOOKUP($B$5,标准坦克设计!$B$14:$K$20,9)/30))</f>
        <v>30.927397800507404</v>
      </c>
      <c r="DB96" s="173">
        <f ca="1">(VLOOKUP(DB$72,INDIRECT($C$5&amp;"生成成长"),2))/((VLOOKUP($B96,INDIRECT($B$5&amp;"生成成长"),4))/(VLOOKUP(DB$72,INDIRECT($C$5&amp;"生成成长"),5))*(VLOOKUP($B$5,标准坦克设计!$B$24:$U$30,MATCH("对"&amp;LEFT($C$5,2)&amp;"输出",标准坦克设计!$B$23:$U$23,0)))*(VLOOKUP($B96,INDIRECT($B$5&amp;"生成成长"),3))*(VLOOKUP($B$5,标准坦克设计!$B$14:$K$20,9)/30))</f>
        <v>32.768416445755747</v>
      </c>
      <c r="DC96" s="173">
        <f ca="1">(VLOOKUP(DC$72,INDIRECT($C$5&amp;"生成成长"),2))/((VLOOKUP($B96,INDIRECT($B$5&amp;"生成成长"),4))/(VLOOKUP(DC$72,INDIRECT($C$5&amp;"生成成长"),5))*(VLOOKUP($B$5,标准坦克设计!$B$24:$U$30,MATCH("对"&amp;LEFT($C$5,2)&amp;"输出",标准坦克设计!$B$23:$U$23,0)))*(VLOOKUP($B96,INDIRECT($B$5&amp;"生成成长"),3))*(VLOOKUP($B$5,标准坦克设计!$B$14:$K$20,9)/30))</f>
        <v>34.837500595140092</v>
      </c>
      <c r="DD96" s="173">
        <f ca="1">(VLOOKUP(DD$72,INDIRECT($C$5&amp;"生成成长"),2))/((VLOOKUP($B96,INDIRECT($B$5&amp;"生成成长"),4))/(VLOOKUP(DD$72,INDIRECT($C$5&amp;"生成成长"),5))*(VLOOKUP($B$5,标准坦克设计!$B$24:$U$30,MATCH("对"&amp;LEFT($C$5,2)&amp;"输出",标准坦克设计!$B$23:$U$23,0)))*(VLOOKUP($B96,INDIRECT($B$5&amp;"生成成长"),3))*(VLOOKUP($B$5,标准坦克设计!$B$14:$K$20,9)/30))</f>
        <v>36.969924055219877</v>
      </c>
      <c r="DE96" s="173">
        <f ca="1">(VLOOKUP(DE$72,INDIRECT($C$5&amp;"生成成长"),2))/((VLOOKUP($B96,INDIRECT($B$5&amp;"生成成长"),4))/(VLOOKUP(DE$72,INDIRECT($C$5&amp;"生成成长"),5))*(VLOOKUP($B$5,标准坦克设计!$B$24:$U$30,MATCH("对"&amp;LEFT($C$5,2)&amp;"输出",标准坦克设计!$B$23:$U$23,0)))*(VLOOKUP($B96,INDIRECT($B$5&amp;"生成成长"),3))*(VLOOKUP($B$5,标准坦克设计!$B$14:$K$20,9)/30))</f>
        <v>39.165686825995095</v>
      </c>
      <c r="DF96" s="173">
        <f ca="1">(VLOOKUP(DF$72,INDIRECT($C$5&amp;"生成成长"),2))/((VLOOKUP($B96,INDIRECT($B$5&amp;"生成成长"),4))/(VLOOKUP(DF$72,INDIRECT($C$5&amp;"生成成长"),5))*(VLOOKUP($B$5,标准坦克设计!$B$24:$U$30,MATCH("对"&amp;LEFT($C$5,2)&amp;"输出",标准坦克设计!$B$23:$U$23,0)))*(VLOOKUP($B96,INDIRECT($B$5&amp;"生成成长"),3))*(VLOOKUP($B$5,标准坦克设计!$B$14:$K$20,9)/30))</f>
        <v>41.424788907465761</v>
      </c>
      <c r="DG96" s="173">
        <f ca="1">(VLOOKUP(DG$72,INDIRECT($C$5&amp;"生成成长"),2))/((VLOOKUP($B96,INDIRECT($B$5&amp;"生成成长"),4))/(VLOOKUP(DG$72,INDIRECT($C$5&amp;"生成成长"),5))*(VLOOKUP($B$5,标准坦克设计!$B$24:$U$30,MATCH("对"&amp;LEFT($C$5,2)&amp;"输出",标准坦克设计!$B$23:$U$23,0)))*(VLOOKUP($B96,INDIRECT($B$5&amp;"生成成长"),3))*(VLOOKUP($B$5,标准坦克设计!$B$14:$K$20,9)/30))</f>
        <v>43.747230299631859</v>
      </c>
      <c r="DH96" s="173">
        <f ca="1">(VLOOKUP(DH$72,INDIRECT($C$5&amp;"生成成长"),2))/((VLOOKUP($B96,INDIRECT($B$5&amp;"生成成长"),4))/(VLOOKUP(DH$72,INDIRECT($C$5&amp;"生成成长"),5))*(VLOOKUP($B$5,标准坦克设计!$B$24:$U$30,MATCH("对"&amp;LEFT($C$5,2)&amp;"输出",标准坦克设计!$B$23:$U$23,0)))*(VLOOKUP($B96,INDIRECT($B$5&amp;"生成成长"),3))*(VLOOKUP($B$5,标准坦克设计!$B$14:$K$20,9)/30))</f>
        <v>46.133011002493419</v>
      </c>
      <c r="DI96" s="173">
        <f ca="1">(VLOOKUP(DI$72,INDIRECT($C$5&amp;"生成成长"),2))/((VLOOKUP($B96,INDIRECT($B$5&amp;"生成成长"),4))/(VLOOKUP(DI$72,INDIRECT($C$5&amp;"生成成长"),5))*(VLOOKUP($B$5,标准坦克设计!$B$24:$U$30,MATCH("对"&amp;LEFT($C$5,2)&amp;"输出",标准坦克设计!$B$23:$U$23,0)))*(VLOOKUP($B96,INDIRECT($B$5&amp;"生成成长"),3))*(VLOOKUP($B$5,标准坦克设计!$B$14:$K$20,9)/30))</f>
        <v>48.58213101605039</v>
      </c>
      <c r="DJ96" s="173">
        <f ca="1">(VLOOKUP(DJ$72,INDIRECT($C$5&amp;"生成成长"),2))/((VLOOKUP($B96,INDIRECT($B$5&amp;"生成成长"),4))/(VLOOKUP(DJ$72,INDIRECT($C$5&amp;"生成成长"),5))*(VLOOKUP($B$5,标准坦克设计!$B$24:$U$30,MATCH("对"&amp;LEFT($C$5,2)&amp;"输出",标准坦克设计!$B$23:$U$23,0)))*(VLOOKUP($B96,INDIRECT($B$5&amp;"生成成长"),3))*(VLOOKUP($B$5,标准坦克设计!$B$14:$K$20,9)/30))</f>
        <v>4.8826251276022399</v>
      </c>
      <c r="DK96" s="173">
        <f ca="1">(VLOOKUP(DK$72,INDIRECT($C$5&amp;"生成成长"),2))/((VLOOKUP($B96,INDIRECT($B$5&amp;"生成成长"),4))/(VLOOKUP(DK$72,INDIRECT($C$5&amp;"生成成长"),5))*(VLOOKUP($B$5,标准坦克设计!$B$24:$U$30,MATCH("对"&amp;LEFT($C$5,2)&amp;"输出",标准坦克设计!$B$23:$U$23,0)))*(VLOOKUP($B96,INDIRECT($B$5&amp;"生成成长"),3))*(VLOOKUP($B$5,标准坦克设计!$B$14:$K$20,9)/30))</f>
        <v>5.4902866395866097</v>
      </c>
      <c r="DL96" s="173">
        <f ca="1">(VLOOKUP(DL$72,INDIRECT($C$5&amp;"生成成长"),2))/((VLOOKUP($B96,INDIRECT($B$5&amp;"生成成长"),4))/(VLOOKUP(DL$72,INDIRECT($C$5&amp;"生成成长"),5))*(VLOOKUP($B$5,标准坦克设计!$B$24:$U$30,MATCH("对"&amp;LEFT($C$5,2)&amp;"输出",标准坦克设计!$B$23:$U$23,0)))*(VLOOKUP($B96,INDIRECT($B$5&amp;"生成成长"),3))*(VLOOKUP($B$5,标准坦克设计!$B$14:$K$20,9)/30))</f>
        <v>6.1335765138371645</v>
      </c>
      <c r="DM96" s="173">
        <f ca="1">(VLOOKUP(DM$72,INDIRECT($C$5&amp;"生成成长"),2))/((VLOOKUP($B96,INDIRECT($B$5&amp;"生成成长"),4))/(VLOOKUP(DM$72,INDIRECT($C$5&amp;"生成成长"),5))*(VLOOKUP($B$5,标准坦克设计!$B$24:$U$30,MATCH("对"&amp;LEFT($C$5,2)&amp;"输出",标准坦克设计!$B$23:$U$23,0)))*(VLOOKUP($B96,INDIRECT($B$5&amp;"生成成长"),3))*(VLOOKUP($B$5,标准坦克设计!$B$14:$K$20,9)/30))</f>
        <v>6.8124947503539026</v>
      </c>
      <c r="DN96" s="173">
        <f ca="1">(VLOOKUP(DN$72,INDIRECT($C$5&amp;"生成成长"),2))/((VLOOKUP($B96,INDIRECT($B$5&amp;"生成成长"),4))/(VLOOKUP(DN$72,INDIRECT($C$5&amp;"生成成长"),5))*(VLOOKUP($B$5,标准坦克设计!$B$24:$U$30,MATCH("对"&amp;LEFT($C$5,2)&amp;"输出",标准坦克设计!$B$23:$U$23,0)))*(VLOOKUP($B96,INDIRECT($B$5&amp;"生成成长"),3))*(VLOOKUP($B$5,标准坦克设计!$B$14:$K$20,9)/30))</f>
        <v>7.5270413491368249</v>
      </c>
      <c r="DO96" s="173">
        <f ca="1">(VLOOKUP(DO$72,INDIRECT($C$5&amp;"生成成长"),2))/((VLOOKUP($B96,INDIRECT($B$5&amp;"生成成长"),4))/(VLOOKUP(DO$72,INDIRECT($C$5&amp;"生成成长"),5))*(VLOOKUP($B$5,标准坦克设计!$B$24:$U$30,MATCH("对"&amp;LEFT($C$5,2)&amp;"输出",标准坦克设计!$B$23:$U$23,0)))*(VLOOKUP($B96,INDIRECT($B$5&amp;"生成成长"),3))*(VLOOKUP($B$5,标准坦克设计!$B$14:$K$20,9)/30))</f>
        <v>8.2772163101859313</v>
      </c>
      <c r="DP96" s="173">
        <f ca="1">(VLOOKUP(DP$72,INDIRECT($C$5&amp;"生成成长"),2))/((VLOOKUP($B96,INDIRECT($B$5&amp;"生成成长"),4))/(VLOOKUP(DP$72,INDIRECT($C$5&amp;"生成成长"),5))*(VLOOKUP($B$5,标准坦克设计!$B$24:$U$30,MATCH("对"&amp;LEFT($C$5,2)&amp;"输出",标准坦克设计!$B$23:$U$23,0)))*(VLOOKUP($B96,INDIRECT($B$5&amp;"生成成长"),3))*(VLOOKUP($B$5,标准坦克设计!$B$14:$K$20,9)/30))</f>
        <v>9.0630196335012254</v>
      </c>
      <c r="DQ96" s="173">
        <f ca="1">(VLOOKUP(DQ$72,INDIRECT($C$5&amp;"生成成长"),2))/((VLOOKUP($B96,INDIRECT($B$5&amp;"生成成长"),4))/(VLOOKUP(DQ$72,INDIRECT($C$5&amp;"生成成长"),5))*(VLOOKUP($B$5,标准坦克设计!$B$24:$U$30,MATCH("对"&amp;LEFT($C$5,2)&amp;"输出",标准坦克设计!$B$23:$U$23,0)))*(VLOOKUP($B96,INDIRECT($B$5&amp;"生成成长"),3))*(VLOOKUP($B$5,标准坦克设计!$B$14:$K$20,9)/30))</f>
        <v>9.8844513190827019</v>
      </c>
      <c r="DR96" s="173">
        <f ca="1">(VLOOKUP(DR$72,INDIRECT($C$5&amp;"生成成长"),2))/((VLOOKUP($B96,INDIRECT($B$5&amp;"生成成长"),4))/(VLOOKUP(DR$72,INDIRECT($C$5&amp;"生成成长"),5))*(VLOOKUP($B$5,标准坦克设计!$B$24:$U$30,MATCH("对"&amp;LEFT($C$5,2)&amp;"输出",标准坦克设计!$B$23:$U$23,0)))*(VLOOKUP($B96,INDIRECT($B$5&amp;"生成成长"),3))*(VLOOKUP($B$5,标准坦克设计!$B$14:$K$20,9)/30))</f>
        <v>10.741511366930364</v>
      </c>
      <c r="DS96" s="173">
        <f ca="1">(VLOOKUP(DS$72,INDIRECT($C$5&amp;"生成成长"),2))/((VLOOKUP($B96,INDIRECT($B$5&amp;"生成成长"),4))/(VLOOKUP(DS$72,INDIRECT($C$5&amp;"生成成长"),5))*(VLOOKUP($B$5,标准坦克设计!$B$24:$U$30,MATCH("对"&amp;LEFT($C$5,2)&amp;"输出",标准坦克设计!$B$23:$U$23,0)))*(VLOOKUP($B96,INDIRECT($B$5&amp;"生成成长"),3))*(VLOOKUP($B$5,标准坦克设计!$B$14:$K$20,9)/30))</f>
        <v>11.634199777044207</v>
      </c>
      <c r="DT96" s="173">
        <f ca="1">(VLOOKUP(DT$72,INDIRECT($C$5&amp;"生成成长"),2))/((VLOOKUP($B96,INDIRECT($B$5&amp;"生成成长"),4))/(VLOOKUP(DT$72,INDIRECT($C$5&amp;"生成成长"),5))*(VLOOKUP($B$5,标准坦克设计!$B$24:$U$30,MATCH("对"&amp;LEFT($C$5,2)&amp;"输出",标准坦克设计!$B$23:$U$23,0)))*(VLOOKUP($B96,INDIRECT($B$5&amp;"生成成长"),3))*(VLOOKUP($B$5,标准坦克设计!$B$14:$K$20,9)/30))</f>
        <v>12.773647585075702</v>
      </c>
      <c r="DU96" s="173">
        <f ca="1">(VLOOKUP(DU$72,INDIRECT($C$5&amp;"生成成长"),2))/((VLOOKUP($B96,INDIRECT($B$5&amp;"生成成长"),4))/(VLOOKUP(DU$72,INDIRECT($C$5&amp;"生成成长"),5))*(VLOOKUP($B$5,标准坦克设计!$B$24:$U$30,MATCH("对"&amp;LEFT($C$5,2)&amp;"输出",标准坦克设计!$B$23:$U$23,0)))*(VLOOKUP($B96,INDIRECT($B$5&amp;"生成成长"),3))*(VLOOKUP($B$5,标准坦克设计!$B$14:$K$20,9)/30))</f>
        <v>13.966318008344336</v>
      </c>
      <c r="DV96" s="173">
        <f ca="1">(VLOOKUP(DV$72,INDIRECT($C$5&amp;"生成成长"),2))/((VLOOKUP($B96,INDIRECT($B$5&amp;"生成成长"),4))/(VLOOKUP(DV$72,INDIRECT($C$5&amp;"生成成长"),5))*(VLOOKUP($B$5,标准坦克设计!$B$24:$U$30,MATCH("对"&amp;LEFT($C$5,2)&amp;"输出",标准坦克设计!$B$23:$U$23,0)))*(VLOOKUP($B96,INDIRECT($B$5&amp;"生成成长"),3))*(VLOOKUP($B$5,标准坦克设计!$B$14:$K$20,9)/30))</f>
        <v>15.212211046850111</v>
      </c>
      <c r="DW96" s="173">
        <f ca="1">(VLOOKUP(DW$72,INDIRECT($C$5&amp;"生成成长"),2))/((VLOOKUP($B96,INDIRECT($B$5&amp;"生成成长"),4))/(VLOOKUP(DW$72,INDIRECT($C$5&amp;"生成成长"),5))*(VLOOKUP($B$5,标准坦克设计!$B$24:$U$30,MATCH("对"&amp;LEFT($C$5,2)&amp;"输出",标准坦克设计!$B$23:$U$23,0)))*(VLOOKUP($B96,INDIRECT($B$5&amp;"生成成长"),3))*(VLOOKUP($B$5,标准坦克设计!$B$14:$K$20,9)/30))</f>
        <v>16.511326700593024</v>
      </c>
      <c r="DX96" s="173">
        <f ca="1">(VLOOKUP(DX$72,INDIRECT($C$5&amp;"生成成长"),2))/((VLOOKUP($B96,INDIRECT($B$5&amp;"生成成长"),4))/(VLOOKUP(DX$72,INDIRECT($C$5&amp;"生成成长"),5))*(VLOOKUP($B$5,标准坦克设计!$B$24:$U$30,MATCH("对"&amp;LEFT($C$5,2)&amp;"输出",标准坦克设计!$B$23:$U$23,0)))*(VLOOKUP($B96,INDIRECT($B$5&amp;"生成成长"),3))*(VLOOKUP($B$5,标准坦克设计!$B$14:$K$20,9)/30))</f>
        <v>17.863664969573076</v>
      </c>
      <c r="DY96" s="173">
        <f ca="1">(VLOOKUP(DY$72,INDIRECT($C$5&amp;"生成成长"),2))/((VLOOKUP($B96,INDIRECT($B$5&amp;"生成成长"),4))/(VLOOKUP(DY$72,INDIRECT($C$5&amp;"生成成长"),5))*(VLOOKUP($B$5,标准坦克设计!$B$24:$U$30,MATCH("对"&amp;LEFT($C$5,2)&amp;"输出",标准坦克设计!$B$23:$U$23,0)))*(VLOOKUP($B96,INDIRECT($B$5&amp;"生成成长"),3))*(VLOOKUP($B$5,标准坦克设计!$B$14:$K$20,9)/30))</f>
        <v>8.0231992829177639</v>
      </c>
      <c r="DZ96" s="173">
        <f ca="1">(VLOOKUP(DZ$72,INDIRECT($C$5&amp;"生成成长"),2))/((VLOOKUP($B96,INDIRECT($B$5&amp;"生成成长"),4))/(VLOOKUP(DZ$72,INDIRECT($C$5&amp;"生成成长"),5))*(VLOOKUP($B$5,标准坦克设计!$B$24:$U$30,MATCH("对"&amp;LEFT($C$5,2)&amp;"输出",标准坦克设计!$B$23:$U$23,0)))*(VLOOKUP($B96,INDIRECT($B$5&amp;"生成成长"),3))*(VLOOKUP($B$5,标准坦克设计!$B$14:$K$20,9)/30))</f>
        <v>8.8853176784945749</v>
      </c>
      <c r="EA96" s="173">
        <f ca="1">(VLOOKUP(EA$72,INDIRECT($C$5&amp;"生成成长"),2))/((VLOOKUP($B96,INDIRECT($B$5&amp;"生成成长"),4))/(VLOOKUP(EA$72,INDIRECT($C$5&amp;"生成成长"),5))*(VLOOKUP($B$5,标准坦克设计!$B$24:$U$30,MATCH("对"&amp;LEFT($C$5,2)&amp;"输出",标准坦克设计!$B$23:$U$23,0)))*(VLOOKUP($B96,INDIRECT($B$5&amp;"生成成长"),3))*(VLOOKUP($B$5,标准坦克设计!$B$14:$K$20,9)/30))</f>
        <v>9.7914217064987739</v>
      </c>
      <c r="EB96" s="173">
        <f ca="1">(VLOOKUP(EB$72,INDIRECT($C$5&amp;"生成成长"),2))/((VLOOKUP($B96,INDIRECT($B$5&amp;"生成成长"),4))/(VLOOKUP(EB$72,INDIRECT($C$5&amp;"生成成长"),5))*(VLOOKUP($B$5,标准坦克设计!$B$24:$U$30,MATCH("对"&amp;LEFT($C$5,2)&amp;"输出",标准坦克设计!$B$23:$U$23,0)))*(VLOOKUP($B96,INDIRECT($B$5&amp;"生成成长"),3))*(VLOOKUP($B$5,标准坦克设计!$B$14:$K$20,9)/30))</f>
        <v>10.741511366930364</v>
      </c>
      <c r="EC96" s="173">
        <f ca="1">(VLOOKUP(EC$72,INDIRECT($C$5&amp;"生成成长"),2))/((VLOOKUP($B96,INDIRECT($B$5&amp;"生成成长"),4))/(VLOOKUP(EC$72,INDIRECT($C$5&amp;"生成成长"),5))*(VLOOKUP($B$5,标准坦克设计!$B$24:$U$30,MATCH("对"&amp;LEFT($C$5,2)&amp;"输出",标准坦克设计!$B$23:$U$23,0)))*(VLOOKUP($B96,INDIRECT($B$5&amp;"生成成长"),3))*(VLOOKUP($B$5,标准坦克设计!$B$14:$K$20,9)/30))</f>
        <v>11.735586659789337</v>
      </c>
      <c r="ED96" s="173">
        <f ca="1">(VLOOKUP(ED$72,INDIRECT($C$5&amp;"生成成长"),2))/((VLOOKUP($B96,INDIRECT($B$5&amp;"生成成长"),4))/(VLOOKUP(ED$72,INDIRECT($C$5&amp;"生成成长"),5))*(VLOOKUP($B$5,标准坦克设计!$B$24:$U$30,MATCH("对"&amp;LEFT($C$5,2)&amp;"输出",标准坦克设计!$B$23:$U$23,0)))*(VLOOKUP($B96,INDIRECT($B$5&amp;"生成成长"),3))*(VLOOKUP($B$5,标准坦克设计!$B$14:$K$20,9)/30))</f>
        <v>12.773647585075702</v>
      </c>
      <c r="EE96" s="173">
        <f ca="1">(VLOOKUP(EE$72,INDIRECT($C$5&amp;"生成成长"),2))/((VLOOKUP($B96,INDIRECT($B$5&amp;"生成成长"),4))/(VLOOKUP(EE$72,INDIRECT($C$5&amp;"生成成长"),5))*(VLOOKUP($B$5,标准坦克设计!$B$24:$U$30,MATCH("对"&amp;LEFT($C$5,2)&amp;"输出",标准坦克设计!$B$23:$U$23,0)))*(VLOOKUP($B96,INDIRECT($B$5&amp;"生成成长"),3))*(VLOOKUP($B$5,标准坦克设计!$B$14:$K$20,9)/30))</f>
        <v>13.855694142789455</v>
      </c>
      <c r="EF96" s="173">
        <f ca="1">(VLOOKUP(EF$72,INDIRECT($C$5&amp;"生成成长"),2))/((VLOOKUP($B96,INDIRECT($B$5&amp;"生成成长"),4))/(VLOOKUP(EF$72,INDIRECT($C$5&amp;"生成成长"),5))*(VLOOKUP($B$5,标准坦克设计!$B$24:$U$30,MATCH("对"&amp;LEFT($C$5,2)&amp;"输出",标准坦克设计!$B$23:$U$23,0)))*(VLOOKUP($B96,INDIRECT($B$5&amp;"生成成长"),3))*(VLOOKUP($B$5,标准坦克设计!$B$14:$K$20,9)/30))</f>
        <v>14.981726332930595</v>
      </c>
      <c r="EG96" s="173">
        <f ca="1">(VLOOKUP(EG$72,INDIRECT($C$5&amp;"生成成长"),2))/((VLOOKUP($B96,INDIRECT($B$5&amp;"生成成长"),4))/(VLOOKUP(EG$72,INDIRECT($C$5&amp;"生成成长"),5))*(VLOOKUP($B$5,标准坦克设计!$B$24:$U$30,MATCH("对"&amp;LEFT($C$5,2)&amp;"输出",标准坦克设计!$B$23:$U$23,0)))*(VLOOKUP($B96,INDIRECT($B$5&amp;"生成成长"),3))*(VLOOKUP($B$5,标准坦克设计!$B$14:$K$20,9)/30))</f>
        <v>16.151744155499127</v>
      </c>
      <c r="EH96" s="173">
        <f ca="1">(VLOOKUP(EH$72,INDIRECT($C$5&amp;"生成成长"),2))/((VLOOKUP($B96,INDIRECT($B$5&amp;"生成成长"),4))/(VLOOKUP(EH$72,INDIRECT($C$5&amp;"生成成长"),5))*(VLOOKUP($B$5,标准坦克设计!$B$24:$U$30,MATCH("对"&amp;LEFT($C$5,2)&amp;"输出",标准坦克设计!$B$23:$U$23,0)))*(VLOOKUP($B96,INDIRECT($B$5&amp;"生成成长"),3))*(VLOOKUP($B$5,标准坦克设计!$B$14:$K$20,9)/30))</f>
        <v>17.365747610495042</v>
      </c>
      <c r="EI96" s="173">
        <f ca="1">(VLOOKUP(EI$72,INDIRECT($C$5&amp;"生成成长"),2))/((VLOOKUP($B96,INDIRECT($B$5&amp;"生成成长"),4))/(VLOOKUP(EI$72,INDIRECT($C$5&amp;"生成成长"),5))*(VLOOKUP($B$5,标准坦克设计!$B$24:$U$30,MATCH("对"&amp;LEFT($C$5,2)&amp;"输出",标准坦克设计!$B$23:$U$23,0)))*(VLOOKUP($B96,INDIRECT($B$5&amp;"生成成长"),3))*(VLOOKUP($B$5,标准坦克设计!$B$14:$K$20,9)/30))</f>
        <v>18.62373669791835</v>
      </c>
      <c r="EJ96" s="173">
        <f ca="1">(VLOOKUP(EJ$72,INDIRECT($C$5&amp;"生成成长"),2))/((VLOOKUP($B96,INDIRECT($B$5&amp;"生成成长"),4))/(VLOOKUP(EJ$72,INDIRECT($C$5&amp;"生成成长"),5))*(VLOOKUP($B$5,标准坦克设计!$B$24:$U$30,MATCH("对"&amp;LEFT($C$5,2)&amp;"输出",标准坦克设计!$B$23:$U$23,0)))*(VLOOKUP($B96,INDIRECT($B$5&amp;"生成成长"),3))*(VLOOKUP($B$5,标准坦克设计!$B$14:$K$20,9)/30))</f>
        <v>19.92571141776904</v>
      </c>
      <c r="EK96" s="173">
        <f ca="1">(VLOOKUP(EK$72,INDIRECT($C$5&amp;"生成成长"),2))/((VLOOKUP($B96,INDIRECT($B$5&amp;"生成成长"),4))/(VLOOKUP(EK$72,INDIRECT($C$5&amp;"生成成长"),5))*(VLOOKUP($B$5,标准坦克设计!$B$24:$U$30,MATCH("对"&amp;LEFT($C$5,2)&amp;"输出",标准坦克设计!$B$23:$U$23,0)))*(VLOOKUP($B96,INDIRECT($B$5&amp;"生成成长"),3))*(VLOOKUP($B$5,标准坦克设计!$B$14:$K$20,9)/30))</f>
        <v>21.54614211639403</v>
      </c>
      <c r="EL96" s="173">
        <f ca="1">(VLOOKUP(EL$72,INDIRECT($C$5&amp;"生成成长"),2))/((VLOOKUP($B96,INDIRECT($B$5&amp;"生成成长"),4))/(VLOOKUP(EL$72,INDIRECT($C$5&amp;"生成成长"),5))*(VLOOKUP($B$5,标准坦克设计!$B$24:$U$30,MATCH("对"&amp;LEFT($C$5,2)&amp;"输出",标准坦克设计!$B$23:$U$23,0)))*(VLOOKUP($B96,INDIRECT($B$5&amp;"生成成长"),3))*(VLOOKUP($B$5,标准坦克设计!$B$14:$K$20,9)/30))</f>
        <v>23.229912125714453</v>
      </c>
      <c r="EM96" s="173">
        <f ca="1">(VLOOKUP(EM$72,INDIRECT($C$5&amp;"生成成长"),2))/((VLOOKUP($B96,INDIRECT($B$5&amp;"生成成长"),4))/(VLOOKUP(EM$72,INDIRECT($C$5&amp;"生成成长"),5))*(VLOOKUP($B$5,标准坦克设计!$B$24:$U$30,MATCH("对"&amp;LEFT($C$5,2)&amp;"输出",标准坦克设计!$B$23:$U$23,0)))*(VLOOKUP($B96,INDIRECT($B$5&amp;"生成成长"),3))*(VLOOKUP($B$5,标准坦克设计!$B$14:$K$20,9)/30))</f>
        <v>24.977021445730315</v>
      </c>
      <c r="EN96" s="173">
        <f ca="1">(VLOOKUP(EN$72,INDIRECT($C$5&amp;"生成成长"),2))/((VLOOKUP($B96,INDIRECT($B$5&amp;"生成成长"),4))/(VLOOKUP(EN$72,INDIRECT($C$5&amp;"生成成长"),5))*(VLOOKUP($B$5,标准坦克设计!$B$24:$U$30,MATCH("对"&amp;LEFT($C$5,2)&amp;"输出",标准坦克设计!$B$23:$U$23,0)))*(VLOOKUP($B96,INDIRECT($B$5&amp;"生成成长"),3))*(VLOOKUP($B$5,标准坦克设计!$B$14:$K$20,9)/30))</f>
        <v>26.787470076441622</v>
      </c>
      <c r="EO96" s="173">
        <f ca="1">(VLOOKUP(EO$72,INDIRECT($C$5&amp;"生成成长"),2))/((VLOOKUP($B96,INDIRECT($B$5&amp;"生成成长"),4))/(VLOOKUP(EO$72,INDIRECT($C$5&amp;"生成成长"),5))*(VLOOKUP($B$5,标准坦克设计!$B$24:$U$30,MATCH("对"&amp;LEFT($C$5,2)&amp;"输出",标准坦克设计!$B$23:$U$23,0)))*(VLOOKUP($B96,INDIRECT($B$5&amp;"生成成长"),3))*(VLOOKUP($B$5,标准坦克设计!$B$14:$K$20,9)/30))</f>
        <v>28.661258017848365</v>
      </c>
      <c r="EP96" s="173">
        <f ca="1">(VLOOKUP(EP$72,INDIRECT($C$5&amp;"生成成长"),2))/((VLOOKUP($B96,INDIRECT($B$5&amp;"生成成长"),4))/(VLOOKUP(EP$72,INDIRECT($C$5&amp;"生成成长"),5))*(VLOOKUP($B$5,标准坦克设计!$B$24:$U$30,MATCH("对"&amp;LEFT($C$5,2)&amp;"输出",标准坦克设计!$B$23:$U$23,0)))*(VLOOKUP($B96,INDIRECT($B$5&amp;"生成成长"),3))*(VLOOKUP($B$5,标准坦克设计!$B$14:$K$20,9)/30))</f>
        <v>30.598385269950537</v>
      </c>
      <c r="EQ96" s="173">
        <f ca="1">(VLOOKUP(EQ$72,INDIRECT($C$5&amp;"生成成长"),2))/((VLOOKUP($B96,INDIRECT($B$5&amp;"生成成长"),4))/(VLOOKUP(EQ$72,INDIRECT($C$5&amp;"生成成长"),5))*(VLOOKUP($B$5,标准坦克设计!$B$24:$U$30,MATCH("对"&amp;LEFT($C$5,2)&amp;"输出",标准坦克设计!$B$23:$U$23,0)))*(VLOOKUP($B96,INDIRECT($B$5&amp;"生成成长"),3))*(VLOOKUP($B$5,标准坦克设计!$B$14:$K$20,9)/30))</f>
        <v>13.526461684070453</v>
      </c>
      <c r="ER96" s="173">
        <f ca="1">(VLOOKUP(ER$72,INDIRECT($C$5&amp;"生成成长"),2))/((VLOOKUP($B96,INDIRECT($B$5&amp;"生成成长"),4))/(VLOOKUP(ER$72,INDIRECT($C$5&amp;"生成成长"),5))*(VLOOKUP($B$5,标准坦克设计!$B$24:$U$30,MATCH("对"&amp;LEFT($C$5,2)&amp;"输出",标准坦克设计!$B$23:$U$23,0)))*(VLOOKUP($B96,INDIRECT($B$5&amp;"生成成长"),3))*(VLOOKUP($B$5,标准坦克设计!$B$14:$K$20,9)/30))</f>
        <v>14.753001044308178</v>
      </c>
      <c r="ES96" s="173">
        <f ca="1">(VLOOKUP(ES$72,INDIRECT($C$5&amp;"生成成长"),2))/((VLOOKUP($B96,INDIRECT($B$5&amp;"生成成长"),4))/(VLOOKUP(ES$72,INDIRECT($C$5&amp;"生成成长"),5))*(VLOOKUP($B$5,标准坦克设计!$B$24:$U$30,MATCH("对"&amp;LEFT($C$5,2)&amp;"输出",标准坦克设计!$B$23:$U$23,0)))*(VLOOKUP($B96,INDIRECT($B$5&amp;"生成成长"),3))*(VLOOKUP($B$5,标准坦克设计!$B$14:$K$20,9)/30))</f>
        <v>16.03276301978304</v>
      </c>
      <c r="ET96" s="173">
        <f ca="1">(VLOOKUP(ET$72,INDIRECT($C$5&amp;"生成成长"),2))/((VLOOKUP($B96,INDIRECT($B$5&amp;"生成成长"),4))/(VLOOKUP(ET$72,INDIRECT($C$5&amp;"生成成长"),5))*(VLOOKUP($B$5,标准坦克设计!$B$24:$U$30,MATCH("对"&amp;LEFT($C$5,2)&amp;"输出",标准坦克设计!$B$23:$U$23,0)))*(VLOOKUP($B96,INDIRECT($B$5&amp;"生成成长"),3))*(VLOOKUP($B$5,标准坦克设计!$B$14:$K$20,9)/30))</f>
        <v>17.365747610495042</v>
      </c>
      <c r="EU96" s="173">
        <f ca="1">(VLOOKUP(EU$72,INDIRECT($C$5&amp;"生成成长"),2))/((VLOOKUP($B96,INDIRECT($B$5&amp;"生成成长"),4))/(VLOOKUP(EU$72,INDIRECT($C$5&amp;"生成成长"),5))*(VLOOKUP($B$5,标准坦克设计!$B$24:$U$30,MATCH("对"&amp;LEFT($C$5,2)&amp;"输出",标准坦克设计!$B$23:$U$23,0)))*(VLOOKUP($B96,INDIRECT($B$5&amp;"生成成长"),3))*(VLOOKUP($B$5,标准坦克设计!$B$14:$K$20,9)/30))</f>
        <v>18.751954816444186</v>
      </c>
      <c r="EV96" s="173">
        <f ca="1">(VLOOKUP(EV$72,INDIRECT($C$5&amp;"生成成长"),2))/((VLOOKUP($B96,INDIRECT($B$5&amp;"生成成长"),4))/(VLOOKUP(EV$72,INDIRECT($C$5&amp;"生成成长"),5))*(VLOOKUP($B$5,标准坦克设计!$B$24:$U$30,MATCH("对"&amp;LEFT($C$5,2)&amp;"输出",标准坦克设计!$B$23:$U$23,0)))*(VLOOKUP($B96,INDIRECT($B$5&amp;"生成成长"),3))*(VLOOKUP($B$5,标准坦克设计!$B$14:$K$20,9)/30))</f>
        <v>20.191384637630467</v>
      </c>
      <c r="EW96" s="173">
        <f ca="1">(VLOOKUP(EW$72,INDIRECT($C$5&amp;"生成成长"),2))/((VLOOKUP($B96,INDIRECT($B$5&amp;"生成成长"),4))/(VLOOKUP(EW$72,INDIRECT($C$5&amp;"生成成长"),5))*(VLOOKUP($B$5,标准坦克设计!$B$24:$U$30,MATCH("对"&amp;LEFT($C$5,2)&amp;"输出",标准坦克设计!$B$23:$U$23,0)))*(VLOOKUP($B96,INDIRECT($B$5&amp;"生成成长"),3))*(VLOOKUP($B$5,标准坦克设计!$B$14:$K$20,9)/30))</f>
        <v>21.684037074053894</v>
      </c>
      <c r="EX96" s="173">
        <f ca="1">(VLOOKUP(EX$72,INDIRECT($C$5&amp;"生成成长"),2))/((VLOOKUP($B96,INDIRECT($B$5&amp;"生成成长"),4))/(VLOOKUP(EX$72,INDIRECT($C$5&amp;"生成成长"),5))*(VLOOKUP($B$5,标准坦克设计!$B$24:$U$30,MATCH("对"&amp;LEFT($C$5,2)&amp;"输出",标准坦克设计!$B$23:$U$23,0)))*(VLOOKUP($B96,INDIRECT($B$5&amp;"生成成长"),3))*(VLOOKUP($B$5,标准坦克设计!$B$14:$K$20,9)/30))</f>
        <v>23.229912125714453</v>
      </c>
      <c r="EY96" s="173">
        <f ca="1">(VLOOKUP(EY$72,INDIRECT($C$5&amp;"生成成长"),2))/((VLOOKUP($B96,INDIRECT($B$5&amp;"生成成长"),4))/(VLOOKUP(EY$72,INDIRECT($C$5&amp;"生成成长"),5))*(VLOOKUP($B$5,标准坦克设计!$B$24:$U$30,MATCH("对"&amp;LEFT($C$5,2)&amp;"输出",标准坦克设计!$B$23:$U$23,0)))*(VLOOKUP($B96,INDIRECT($B$5&amp;"生成成长"),3))*(VLOOKUP($B$5,标准坦克设计!$B$14:$K$20,9)/30))</f>
        <v>24.829009792612158</v>
      </c>
      <c r="EZ96" s="173">
        <f ca="1">(VLOOKUP(EZ$72,INDIRECT($C$5&amp;"生成成长"),2))/((VLOOKUP($B96,INDIRECT($B$5&amp;"生成成长"),4))/(VLOOKUP(EZ$72,INDIRECT($C$5&amp;"生成成长"),5))*(VLOOKUP($B$5,标准坦克设计!$B$24:$U$30,MATCH("对"&amp;LEFT($C$5,2)&amp;"输出",标准坦克设计!$B$23:$U$23,0)))*(VLOOKUP($B96,INDIRECT($B$5&amp;"生成成长"),3))*(VLOOKUP($B$5,标准坦克设计!$B$14:$K$20,9)/30))</f>
        <v>26.481330074746996</v>
      </c>
      <c r="FA96" s="173">
        <f ca="1">(VLOOKUP(FA$72,INDIRECT($C$5&amp;"生成成长"),2))/((VLOOKUP($B96,INDIRECT($B$5&amp;"生成成长"),4))/(VLOOKUP(FA$72,INDIRECT($C$5&amp;"生成成长"),5))*(VLOOKUP($B$5,标准坦克设计!$B$24:$U$30,MATCH("对"&amp;LEFT($C$5,2)&amp;"输出",标准坦克设计!$B$23:$U$23,0)))*(VLOOKUP($B96,INDIRECT($B$5&amp;"生成成长"),3))*(VLOOKUP($B$5,标准坦克设计!$B$14:$K$20,9)/30))</f>
        <v>28.186872972118977</v>
      </c>
      <c r="FB96" s="173">
        <f ca="1">(VLOOKUP(FB$72,INDIRECT($C$5&amp;"生成成长"),2))/((VLOOKUP($B96,INDIRECT($B$5&amp;"生成成长"),4))/(VLOOKUP(FB$72,INDIRECT($C$5&amp;"生成成长"),5))*(VLOOKUP($B$5,标准坦克设计!$B$24:$U$30,MATCH("对"&amp;LEFT($C$5,2)&amp;"输出",标准坦克设计!$B$23:$U$23,0)))*(VLOOKUP($B96,INDIRECT($B$5&amp;"生成成长"),3))*(VLOOKUP($B$5,标准坦克设计!$B$14:$K$20,9)/30))</f>
        <v>29.945638484728097</v>
      </c>
      <c r="FC96" s="173">
        <f ca="1">(VLOOKUP(FC$72,INDIRECT($C$5&amp;"生成成长"),2))/((VLOOKUP($B96,INDIRECT($B$5&amp;"生成成长"),4))/(VLOOKUP(FC$72,INDIRECT($C$5&amp;"生成成长"),5))*(VLOOKUP($B$5,标准坦克设计!$B$24:$U$30,MATCH("对"&amp;LEFT($C$5,2)&amp;"输出",标准坦克设计!$B$23:$U$23,0)))*(VLOOKUP($B96,INDIRECT($B$5&amp;"生成成长"),3))*(VLOOKUP($B$5,标准坦克设计!$B$14:$K$20,9)/30))</f>
        <v>31.757626612574359</v>
      </c>
      <c r="FD96" s="173">
        <f ca="1">(VLOOKUP(FD$72,INDIRECT($C$5&amp;"生成成长"),2))/((VLOOKUP($B96,INDIRECT($B$5&amp;"生成成长"),4))/(VLOOKUP(FD$72,INDIRECT($C$5&amp;"生成成长"),5))*(VLOOKUP($B$5,标准坦克设计!$B$24:$U$30,MATCH("对"&amp;LEFT($C$5,2)&amp;"输出",标准坦克设计!$B$23:$U$23,0)))*(VLOOKUP($B96,INDIRECT($B$5&amp;"生成成长"),3))*(VLOOKUP($B$5,标准坦克设计!$B$14:$K$20,9)/30))</f>
        <v>33.622837355657758</v>
      </c>
      <c r="FE96" s="173">
        <f ca="1">(VLOOKUP(FE$72,INDIRECT($C$5&amp;"生成成长"),2))/((VLOOKUP($B96,INDIRECT($B$5&amp;"生成成长"),4))/(VLOOKUP(FE$72,INDIRECT($C$5&amp;"生成成长"),5))*(VLOOKUP($B$5,标准坦克设计!$B$24:$U$30,MATCH("对"&amp;LEFT($C$5,2)&amp;"输出",标准坦克设计!$B$23:$U$23,0)))*(VLOOKUP($B96,INDIRECT($B$5&amp;"生成成长"),3))*(VLOOKUP($B$5,标准坦克设计!$B$14:$K$20,9)/30))</f>
        <v>35.895794911343053</v>
      </c>
      <c r="FF96" s="173">
        <f ca="1">(VLOOKUP(FF$72,INDIRECT($C$5&amp;"生成成长"),2))/((VLOOKUP($B96,INDIRECT($B$5&amp;"生成成长"),4))/(VLOOKUP(FF$72,INDIRECT($C$5&amp;"生成成长"),5))*(VLOOKUP($B$5,标准坦克设计!$B$24:$U$30,MATCH("对"&amp;LEFT($C$5,2)&amp;"输出",标准坦克设计!$B$23:$U$23,0)))*(VLOOKUP($B96,INDIRECT($B$5&amp;"生成成长"),3))*(VLOOKUP($B$5,标准坦克设计!$B$14:$K$20,9)/30))</f>
        <v>38.243088185830629</v>
      </c>
      <c r="FG96" s="173">
        <f ca="1">(VLOOKUP(FG$72,INDIRECT($C$5&amp;"生成成长"),2))/((VLOOKUP($B96,INDIRECT($B$5&amp;"生成成长"),4))/(VLOOKUP(FG$72,INDIRECT($C$5&amp;"生成成长"),5))*(VLOOKUP($B$5,标准坦克设计!$B$24:$U$30,MATCH("对"&amp;LEFT($C$5,2)&amp;"输出",标准坦克设计!$B$23:$U$23,0)))*(VLOOKUP($B96,INDIRECT($B$5&amp;"生成成长"),3))*(VLOOKUP($B$5,标准坦克设计!$B$14:$K$20,9)/30))</f>
        <v>40.664717179120501</v>
      </c>
      <c r="FH96" s="173">
        <f ca="1">(VLOOKUP(FH$72,INDIRECT($C$5&amp;"生成成长"),2))/((VLOOKUP($B96,INDIRECT($B$5&amp;"生成成长"),4))/(VLOOKUP(FH$72,INDIRECT($C$5&amp;"生成成长"),5))*(VLOOKUP($B$5,标准坦克设计!$B$24:$U$30,MATCH("对"&amp;LEFT($C$5,2)&amp;"输出",标准坦克设计!$B$23:$U$23,0)))*(VLOOKUP($B96,INDIRECT($B$5&amp;"生成成长"),3))*(VLOOKUP($B$5,标准坦克设计!$B$14:$K$20,9)/30))</f>
        <v>43.16068189121264</v>
      </c>
      <c r="FI96" s="173">
        <f ca="1">(VLOOKUP(FI$72,INDIRECT($C$5&amp;"生成成长"),2))/((VLOOKUP($B96,INDIRECT($B$5&amp;"生成成长"),4))/(VLOOKUP(FI$72,INDIRECT($C$5&amp;"生成成长"),5))*(VLOOKUP($B$5,标准坦克设计!$B$24:$U$30,MATCH("对"&amp;LEFT($C$5,2)&amp;"输出",标准坦克设计!$B$23:$U$23,0)))*(VLOOKUP($B96,INDIRECT($B$5&amp;"生成成长"),3))*(VLOOKUP($B$5,标准坦克设计!$B$14:$K$20,9)/30))</f>
        <v>45.730982322107074</v>
      </c>
      <c r="FJ96" s="173">
        <f ca="1">(VLOOKUP(FJ$72,INDIRECT($C$5&amp;"生成成长"),2))/((VLOOKUP($B96,INDIRECT($B$5&amp;"生成成长"),4))/(VLOOKUP(FJ$72,INDIRECT($C$5&amp;"生成成长"),5))*(VLOOKUP($B$5,标准坦克设计!$B$24:$U$30,MATCH("对"&amp;LEFT($C$5,2)&amp;"输出",标准坦克设计!$B$23:$U$23,0)))*(VLOOKUP($B96,INDIRECT($B$5&amp;"生成成长"),3))*(VLOOKUP($B$5,标准坦克设计!$B$14:$K$20,9)/30))</f>
        <v>48.375618471803804</v>
      </c>
      <c r="FK96" s="173">
        <f ca="1">(VLOOKUP(FK$72,INDIRECT($C$5&amp;"生成成长"),2))/((VLOOKUP($B96,INDIRECT($B$5&amp;"生成成长"),4))/(VLOOKUP(FK$72,INDIRECT($C$5&amp;"生成成长"),5))*(VLOOKUP($B$5,标准坦克设计!$B$24:$U$30,MATCH("对"&amp;LEFT($C$5,2)&amp;"输出",标准坦克设计!$B$23:$U$23,0)))*(VLOOKUP($B96,INDIRECT($B$5&amp;"生成成长"),3))*(VLOOKUP($B$5,标准坦克设计!$B$14:$K$20,9)/30))</f>
        <v>51.094590340302808</v>
      </c>
    </row>
    <row r="97" spans="1:167" x14ac:dyDescent="0.15">
      <c r="A97" s="171" t="str">
        <f t="shared" si="11"/>
        <v>T4低品质4级</v>
      </c>
      <c r="B97" s="172">
        <v>10404</v>
      </c>
      <c r="C97" s="173">
        <f ca="1">(VLOOKUP(C$72,INDIRECT($C$5&amp;"生成成长"),2))/((VLOOKUP($B97,INDIRECT($B$5&amp;"生成成长"),4))/(VLOOKUP(C$72,INDIRECT($C$5&amp;"生成成长"),5))*(VLOOKUP($B$5,标准坦克设计!$B$24:$U$30,MATCH("对"&amp;LEFT($C$5,2)&amp;"输出",标准坦克设计!$B$23:$U$23,0)))*(VLOOKUP($B97,INDIRECT($B$5&amp;"生成成长"),3))*(VLOOKUP($B$5,标准坦克设计!$B$14:$K$20,9)/30))</f>
        <v>1.9973923060026126</v>
      </c>
      <c r="D97" s="173">
        <f ca="1">(VLOOKUP(D$72,INDIRECT($C$5&amp;"生成成长"),2))/((VLOOKUP($B97,INDIRECT($B$5&amp;"生成成长"),4))/(VLOOKUP(D$72,INDIRECT($C$5&amp;"生成成长"),5))*(VLOOKUP($B$5,标准坦克设计!$B$24:$U$30,MATCH("对"&amp;LEFT($C$5,2)&amp;"输出",标准坦克设计!$B$23:$U$23,0)))*(VLOOKUP($B97,INDIRECT($B$5&amp;"生成成长"),3))*(VLOOKUP($B$5,标准坦克设计!$B$14:$K$20,9)/30))</f>
        <v>2.2442699950245357</v>
      </c>
      <c r="E97" s="173">
        <f ca="1">(VLOOKUP(E$72,INDIRECT($C$5&amp;"生成成长"),2))/((VLOOKUP($B97,INDIRECT($B$5&amp;"生成成长"),4))/(VLOOKUP(E$72,INDIRECT($C$5&amp;"生成成长"),5))*(VLOOKUP($B$5,标准坦克设计!$B$24:$U$30,MATCH("对"&amp;LEFT($C$5,2)&amp;"输出",标准坦克设计!$B$23:$U$23,0)))*(VLOOKUP($B97,INDIRECT($B$5&amp;"生成成长"),3))*(VLOOKUP($B$5,标准坦克设计!$B$14:$K$20,9)/30))</f>
        <v>2.5055289086496773</v>
      </c>
      <c r="F97" s="173">
        <f ca="1">(VLOOKUP(F$72,INDIRECT($C$5&amp;"生成成长"),2))/((VLOOKUP($B97,INDIRECT($B$5&amp;"生成成长"),4))/(VLOOKUP(F$72,INDIRECT($C$5&amp;"生成成长"),5))*(VLOOKUP($B$5,标准坦克设计!$B$24:$U$30,MATCH("对"&amp;LEFT($C$5,2)&amp;"输出",标准坦克设计!$B$23:$U$23,0)))*(VLOOKUP($B97,INDIRECT($B$5&amp;"生成成长"),3))*(VLOOKUP($B$5,标准坦克设计!$B$14:$K$20,9)/30))</f>
        <v>2.7811690468780372</v>
      </c>
      <c r="G97" s="173">
        <f ca="1">(VLOOKUP(G$72,INDIRECT($C$5&amp;"生成成长"),2))/((VLOOKUP($B97,INDIRECT($B$5&amp;"生成成长"),4))/(VLOOKUP(G$72,INDIRECT($C$5&amp;"生成成长"),5))*(VLOOKUP($B$5,标准坦克设计!$B$24:$U$30,MATCH("对"&amp;LEFT($C$5,2)&amp;"输出",标准坦克设计!$B$23:$U$23,0)))*(VLOOKUP($B97,INDIRECT($B$5&amp;"生成成长"),3))*(VLOOKUP($B$5,标准坦克设计!$B$14:$K$20,9)/30))</f>
        <v>3.071190409709617</v>
      </c>
      <c r="H97" s="173">
        <f ca="1">(VLOOKUP(H$72,INDIRECT($C$5&amp;"生成成长"),2))/((VLOOKUP($B97,INDIRECT($B$5&amp;"生成成长"),4))/(VLOOKUP(H$72,INDIRECT($C$5&amp;"生成成长"),5))*(VLOOKUP($B$5,标准坦克设计!$B$24:$U$30,MATCH("对"&amp;LEFT($C$5,2)&amp;"输出",标准坦克设计!$B$23:$U$23,0)))*(VLOOKUP($B97,INDIRECT($B$5&amp;"生成成长"),3))*(VLOOKUP($B$5,标准坦克设计!$B$14:$K$20,9)/30))</f>
        <v>2.6876910869571153</v>
      </c>
      <c r="I97" s="173">
        <f ca="1">(VLOOKUP(I$72,INDIRECT($C$5&amp;"生成成长"),2))/((VLOOKUP($B97,INDIRECT($B$5&amp;"生成成长"),4))/(VLOOKUP(I$72,INDIRECT($C$5&amp;"生成成长"),5))*(VLOOKUP($B$5,标准坦克设计!$B$24:$U$30,MATCH("对"&amp;LEFT($C$5,2)&amp;"输出",标准坦克设计!$B$23:$U$23,0)))*(VLOOKUP($B97,INDIRECT($B$5&amp;"生成成长"),3))*(VLOOKUP($B$5,标准坦克设计!$B$14:$K$20,9)/30))</f>
        <v>3.071190409709617</v>
      </c>
      <c r="J97" s="173">
        <f ca="1">(VLOOKUP(J$72,INDIRECT($C$5&amp;"生成成长"),2))/((VLOOKUP($B97,INDIRECT($B$5&amp;"生成成长"),4))/(VLOOKUP(J$72,INDIRECT($C$5&amp;"生成成长"),5))*(VLOOKUP($B$5,标准坦克设计!$B$24:$U$30,MATCH("对"&amp;LEFT($C$5,2)&amp;"输出",标准坦克设计!$B$23:$U$23,0)))*(VLOOKUP($B97,INDIRECT($B$5&amp;"生成成长"),3))*(VLOOKUP($B$5,标准坦克设计!$B$14:$K$20,9)/30))</f>
        <v>3.4802563539789522</v>
      </c>
      <c r="K97" s="173">
        <f ca="1">(VLOOKUP(K$72,INDIRECT($C$5&amp;"生成成长"),2))/((VLOOKUP($B97,INDIRECT($B$5&amp;"生成成长"),4))/(VLOOKUP(K$72,INDIRECT($C$5&amp;"生成成长"),5))*(VLOOKUP($B$5,标准坦克设计!$B$24:$U$30,MATCH("对"&amp;LEFT($C$5,2)&amp;"输出",标准坦克设计!$B$23:$U$23,0)))*(VLOOKUP($B97,INDIRECT($B$5&amp;"生成成长"),3))*(VLOOKUP($B$5,标准坦克设计!$B$14:$K$20,9)/30))</f>
        <v>3.9148889197651209</v>
      </c>
      <c r="L97" s="173">
        <f ca="1">(VLOOKUP(L$72,INDIRECT($C$5&amp;"生成成长"),2))/((VLOOKUP($B97,INDIRECT($B$5&amp;"生成成长"),4))/(VLOOKUP(L$72,INDIRECT($C$5&amp;"生成成长"),5))*(VLOOKUP($B$5,标准坦克设计!$B$24:$U$30,MATCH("对"&amp;LEFT($C$5,2)&amp;"输出",标准坦克设计!$B$23:$U$23,0)))*(VLOOKUP($B97,INDIRECT($B$5&amp;"生成成长"),3))*(VLOOKUP($B$5,标准坦克设计!$B$14:$K$20,9)/30))</f>
        <v>4.3750881070681231</v>
      </c>
      <c r="M97" s="173">
        <f ca="1">(VLOOKUP(M$72,INDIRECT($C$5&amp;"生成成长"),2))/((VLOOKUP($B97,INDIRECT($B$5&amp;"生成成长"),4))/(VLOOKUP(M$72,INDIRECT($C$5&amp;"生成成长"),5))*(VLOOKUP($B$5,标准坦克设计!$B$24:$U$30,MATCH("对"&amp;LEFT($C$5,2)&amp;"输出",标准坦克设计!$B$23:$U$23,0)))*(VLOOKUP($B97,INDIRECT($B$5&amp;"生成成长"),3))*(VLOOKUP($B$5,标准坦克设计!$B$14:$K$20,9)/30))</f>
        <v>4.8608539158879571</v>
      </c>
      <c r="N97" s="173">
        <f ca="1">(VLOOKUP(N$72,INDIRECT($C$5&amp;"生成成长"),2))/((VLOOKUP($B97,INDIRECT($B$5&amp;"生成成长"),4))/(VLOOKUP(N$72,INDIRECT($C$5&amp;"生成成长"),5))*(VLOOKUP($B$5,标准坦克设计!$B$24:$U$30,MATCH("对"&amp;LEFT($C$5,2)&amp;"输出",标准坦克设计!$B$23:$U$23,0)))*(VLOOKUP($B97,INDIRECT($B$5&amp;"生成成长"),3))*(VLOOKUP($B$5,标准坦克设计!$B$14:$K$20,9)/30))</f>
        <v>5.3721863462246269</v>
      </c>
      <c r="O97" s="173">
        <f ca="1">(VLOOKUP(O$72,INDIRECT($C$5&amp;"生成成长"),2))/((VLOOKUP($B97,INDIRECT($B$5&amp;"生成成长"),4))/(VLOOKUP(O$72,INDIRECT($C$5&amp;"生成成长"),5))*(VLOOKUP($B$5,标准坦克设计!$B$24:$U$30,MATCH("对"&amp;LEFT($C$5,2)&amp;"输出",标准坦克设计!$B$23:$U$23,0)))*(VLOOKUP($B97,INDIRECT($B$5&amp;"生成成长"),3))*(VLOOKUP($B$5,标准坦克设计!$B$14:$K$20,9)/30))</f>
        <v>4.084467526544743</v>
      </c>
      <c r="P97" s="173">
        <f ca="1">(VLOOKUP(P$72,INDIRECT($C$5&amp;"生成成长"),2))/((VLOOKUP($B97,INDIRECT($B$5&amp;"生成成长"),4))/(VLOOKUP(P$72,INDIRECT($C$5&amp;"生成成长"),5))*(VLOOKUP($B$5,标准坦克设计!$B$24:$U$30,MATCH("对"&amp;LEFT($C$5,2)&amp;"输出",标准坦克设计!$B$23:$U$23,0)))*(VLOOKUP($B97,INDIRECT($B$5&amp;"生成成长"),3))*(VLOOKUP($B$5,标准坦克设计!$B$14:$K$20,9)/30))</f>
        <v>4.6147751837884359</v>
      </c>
      <c r="Q97" s="173">
        <f ca="1">(VLOOKUP(Q$72,INDIRECT($C$5&amp;"生成成长"),2))/((VLOOKUP($B97,INDIRECT($B$5&amp;"生成成长"),4))/(VLOOKUP(Q$72,INDIRECT($C$5&amp;"生成成长"),5))*(VLOOKUP($B$5,标准坦克设计!$B$24:$U$30,MATCH("对"&amp;LEFT($C$5,2)&amp;"输出",标准坦克设计!$B$23:$U$23,0)))*(VLOOKUP($B97,INDIRECT($B$5&amp;"生成成长"),3))*(VLOOKUP($B$5,标准坦克设计!$B$14:$K$20,9)/30))</f>
        <v>5.1774405963893724</v>
      </c>
      <c r="R97" s="173">
        <f ca="1">(VLOOKUP(R$72,INDIRECT($C$5&amp;"生成成长"),2))/((VLOOKUP($B97,INDIRECT($B$5&amp;"生成成长"),4))/(VLOOKUP(R$72,INDIRECT($C$5&amp;"生成成长"),5))*(VLOOKUP($B$5,标准坦克设计!$B$24:$U$30,MATCH("对"&amp;LEFT($C$5,2)&amp;"输出",标准坦克设计!$B$23:$U$23,0)))*(VLOOKUP($B97,INDIRECT($B$5&amp;"生成成长"),3))*(VLOOKUP($B$5,标准坦克设计!$B$14:$K$20,9)/30))</f>
        <v>5.7724637643475507</v>
      </c>
      <c r="S97" s="173">
        <f ca="1">(VLOOKUP(S$72,INDIRECT($C$5&amp;"生成成长"),2))/((VLOOKUP($B97,INDIRECT($B$5&amp;"生成成长"),4))/(VLOOKUP(S$72,INDIRECT($C$5&amp;"生成成长"),5))*(VLOOKUP($B$5,标准坦克设计!$B$24:$U$30,MATCH("对"&amp;LEFT($C$5,2)&amp;"输出",标准坦克设计!$B$23:$U$23,0)))*(VLOOKUP($B97,INDIRECT($B$5&amp;"生成成长"),3))*(VLOOKUP($B$5,标准坦克设计!$B$14:$K$20,9)/30))</f>
        <v>6.3998446876629709</v>
      </c>
      <c r="T97" s="173">
        <f ca="1">(VLOOKUP(T$72,INDIRECT($C$5&amp;"生成成长"),2))/((VLOOKUP($B97,INDIRECT($B$5&amp;"生成成长"),4))/(VLOOKUP(T$72,INDIRECT($C$5&amp;"生成成长"),5))*(VLOOKUP($B$5,标准坦克设计!$B$24:$U$30,MATCH("对"&amp;LEFT($C$5,2)&amp;"输出",标准坦克设计!$B$23:$U$23,0)))*(VLOOKUP($B97,INDIRECT($B$5&amp;"生成成长"),3))*(VLOOKUP($B$5,标准坦克设计!$B$14:$K$20,9)/30))</f>
        <v>7.059583366335632</v>
      </c>
      <c r="U97" s="173">
        <f ca="1">(VLOOKUP(U$72,INDIRECT($C$5&amp;"生成成长"),2))/((VLOOKUP($B97,INDIRECT($B$5&amp;"生成成长"),4))/(VLOOKUP(U$72,INDIRECT($C$5&amp;"生成成长"),5))*(VLOOKUP($B$5,标准坦克设计!$B$24:$U$30,MATCH("对"&amp;LEFT($C$5,2)&amp;"输出",标准坦克设计!$B$23:$U$23,0)))*(VLOOKUP($B97,INDIRECT($B$5&amp;"生成成长"),3))*(VLOOKUP($B$5,标准坦克设计!$B$14:$K$20,9)/30))</f>
        <v>7.7516798003655385</v>
      </c>
      <c r="V97" s="173">
        <f ca="1">(VLOOKUP(V$72,INDIRECT($C$5&amp;"生成成长"),2))/((VLOOKUP($B97,INDIRECT($B$5&amp;"生成成长"),4))/(VLOOKUP(V$72,INDIRECT($C$5&amp;"生成成长"),5))*(VLOOKUP($B$5,标准坦克设计!$B$24:$U$30,MATCH("对"&amp;LEFT($C$5,2)&amp;"输出",标准坦克设计!$B$23:$U$23,0)))*(VLOOKUP($B97,INDIRECT($B$5&amp;"生成成长"),3))*(VLOOKUP($B$5,标准坦克设计!$B$14:$K$20,9)/30))</f>
        <v>8.4761339897526877</v>
      </c>
      <c r="W97" s="173">
        <f ca="1">(VLOOKUP(W$72,INDIRECT($C$5&amp;"生成成长"),2))/((VLOOKUP($B97,INDIRECT($B$5&amp;"生成成长"),4))/(VLOOKUP(W$72,INDIRECT($C$5&amp;"生成成长"),5))*(VLOOKUP($B$5,标准坦克设计!$B$24:$U$30,MATCH("对"&amp;LEFT($C$5,2)&amp;"输出",标准坦克设计!$B$23:$U$23,0)))*(VLOOKUP($B97,INDIRECT($B$5&amp;"生成成长"),3))*(VLOOKUP($B$5,标准坦克设计!$B$14:$K$20,9)/30))</f>
        <v>9.2329459344970761</v>
      </c>
      <c r="X97" s="173">
        <f ca="1">(VLOOKUP(X$72,INDIRECT($C$5&amp;"生成成长"),2))/((VLOOKUP($B97,INDIRECT($B$5&amp;"生成成长"),4))/(VLOOKUP(X$72,INDIRECT($C$5&amp;"生成成长"),5))*(VLOOKUP($B$5,标准坦克设计!$B$24:$U$30,MATCH("对"&amp;LEFT($C$5,2)&amp;"输出",标准坦克设计!$B$23:$U$23,0)))*(VLOOKUP($B97,INDIRECT($B$5&amp;"生成成长"),3))*(VLOOKUP($B$5,标准坦克设计!$B$14:$K$20,9)/30))</f>
        <v>6.6890670935721506</v>
      </c>
      <c r="Y97" s="173">
        <f ca="1">(VLOOKUP(Y$72,INDIRECT($C$5&amp;"生成成长"),2))/((VLOOKUP($B97,INDIRECT($B$5&amp;"生成成长"),4))/(VLOOKUP(Y$72,INDIRECT($C$5&amp;"生成成长"),5))*(VLOOKUP($B$5,标准坦克设计!$B$24:$U$30,MATCH("对"&amp;LEFT($C$5,2)&amp;"输出",标准坦克设计!$B$23:$U$23,0)))*(VLOOKUP($B97,INDIRECT($B$5&amp;"生成成长"),3))*(VLOOKUP($B$5,标准坦克设计!$B$14:$K$20,9)/30))</f>
        <v>7.4400866006291313</v>
      </c>
      <c r="Z97" s="173">
        <f ca="1">(VLOOKUP(Z$72,INDIRECT($C$5&amp;"生成成长"),2))/((VLOOKUP($B97,INDIRECT($B$5&amp;"生成成长"),4))/(VLOOKUP(Z$72,INDIRECT($C$5&amp;"生成成长"),5))*(VLOOKUP($B$5,标准坦克设计!$B$24:$U$30,MATCH("对"&amp;LEFT($C$5,2)&amp;"输出",标准坦克设计!$B$23:$U$23,0)))*(VLOOKUP($B97,INDIRECT($B$5&amp;"生成成长"),3))*(VLOOKUP($B$5,标准坦克设计!$B$14:$K$20,9)/30))</f>
        <v>8.2310539538061676</v>
      </c>
      <c r="AA97" s="173">
        <f ca="1">(VLOOKUP(AA$72,INDIRECT($C$5&amp;"生成成长"),2))/((VLOOKUP($B97,INDIRECT($B$5&amp;"生成成长"),4))/(VLOOKUP(AA$72,INDIRECT($C$5&amp;"生成成长"),5))*(VLOOKUP($B$5,标准坦克设计!$B$24:$U$30,MATCH("对"&amp;LEFT($C$5,2)&amp;"输出",标准坦克设计!$B$23:$U$23,0)))*(VLOOKUP($B97,INDIRECT($B$5&amp;"生成成长"),3))*(VLOOKUP($B$5,标准坦克设计!$B$14:$K$20,9)/30))</f>
        <v>9.0619691531032522</v>
      </c>
      <c r="AB97" s="173">
        <f ca="1">(VLOOKUP(AB$72,INDIRECT($C$5&amp;"生成成长"),2))/((VLOOKUP($B97,INDIRECT($B$5&amp;"生成成长"),4))/(VLOOKUP(AB$72,INDIRECT($C$5&amp;"生成成长"),5))*(VLOOKUP($B$5,标准坦克设计!$B$24:$U$30,MATCH("对"&amp;LEFT($C$5,2)&amp;"输出",标准坦克设计!$B$23:$U$23,0)))*(VLOOKUP($B97,INDIRECT($B$5&amp;"生成成长"),3))*(VLOOKUP($B$5,标准坦克设计!$B$14:$K$20,9)/30))</f>
        <v>9.9328321985203907</v>
      </c>
      <c r="AC97" s="173">
        <f ca="1">(VLOOKUP(AC$72,INDIRECT($C$5&amp;"生成成长"),2))/((VLOOKUP($B97,INDIRECT($B$5&amp;"生成成长"),4))/(VLOOKUP(AC$72,INDIRECT($C$5&amp;"生成成长"),5))*(VLOOKUP($B$5,标准坦克设计!$B$24:$U$30,MATCH("对"&amp;LEFT($C$5,2)&amp;"输出",标准坦克设计!$B$23:$U$23,0)))*(VLOOKUP($B97,INDIRECT($B$5&amp;"生成成长"),3))*(VLOOKUP($B$5,标准坦克设计!$B$14:$K$20,9)/30))</f>
        <v>10.843643090057581</v>
      </c>
      <c r="AD97" s="173">
        <f ca="1">(VLOOKUP(AD$72,INDIRECT($C$5&amp;"生成成长"),2))/((VLOOKUP($B97,INDIRECT($B$5&amp;"生成成长"),4))/(VLOOKUP(AD$72,INDIRECT($C$5&amp;"生成成长"),5))*(VLOOKUP($B$5,标准坦克设计!$B$24:$U$30,MATCH("对"&amp;LEFT($C$5,2)&amp;"输出",标准坦克设计!$B$23:$U$23,0)))*(VLOOKUP($B97,INDIRECT($B$5&amp;"生成成长"),3))*(VLOOKUP($B$5,标准坦克设计!$B$14:$K$20,9)/30))</f>
        <v>11.794401827714825</v>
      </c>
      <c r="AE97" s="173">
        <f ca="1">(VLOOKUP(AE$72,INDIRECT($C$5&amp;"生成成长"),2))/((VLOOKUP($B97,INDIRECT($B$5&amp;"生成成长"),4))/(VLOOKUP(AE$72,INDIRECT($C$5&amp;"生成成长"),5))*(VLOOKUP($B$5,标准坦克设计!$B$24:$U$30,MATCH("对"&amp;LEFT($C$5,2)&amp;"输出",标准坦克设计!$B$23:$U$23,0)))*(VLOOKUP($B97,INDIRECT($B$5&amp;"生成成长"),3))*(VLOOKUP($B$5,标准坦克设计!$B$14:$K$20,9)/30))</f>
        <v>12.785108411492121</v>
      </c>
      <c r="AF97" s="173">
        <f ca="1">(VLOOKUP(AF$72,INDIRECT($C$5&amp;"生成成长"),2))/((VLOOKUP($B97,INDIRECT($B$5&amp;"生成成长"),4))/(VLOOKUP(AF$72,INDIRECT($C$5&amp;"生成成长"),5))*(VLOOKUP($B$5,标准坦克设计!$B$24:$U$30,MATCH("对"&amp;LEFT($C$5,2)&amp;"输出",标准坦克设计!$B$23:$U$23,0)))*(VLOOKUP($B97,INDIRECT($B$5&amp;"生成成长"),3))*(VLOOKUP($B$5,标准坦克设计!$B$14:$K$20,9)/30))</f>
        <v>13.815762841389471</v>
      </c>
      <c r="AG97" s="173">
        <f ca="1">(VLOOKUP(AG$72,INDIRECT($C$5&amp;"生成成长"),2))/((VLOOKUP($B97,INDIRECT($B$5&amp;"生成成长"),4))/(VLOOKUP(AG$72,INDIRECT($C$5&amp;"生成成长"),5))*(VLOOKUP($B$5,标准坦克设计!$B$24:$U$30,MATCH("对"&amp;LEFT($C$5,2)&amp;"输出",标准坦克设计!$B$23:$U$23,0)))*(VLOOKUP($B97,INDIRECT($B$5&amp;"生成成长"),3))*(VLOOKUP($B$5,标准坦克设计!$B$14:$K$20,9)/30))</f>
        <v>14.886365117406873</v>
      </c>
      <c r="AH97" s="173">
        <f ca="1">(VLOOKUP(AH$72,INDIRECT($C$5&amp;"生成成长"),2))/((VLOOKUP($B97,INDIRECT($B$5&amp;"生成成长"),4))/(VLOOKUP(AH$72,INDIRECT($C$5&amp;"生成成长"),5))*(VLOOKUP($B$5,标准坦克设计!$B$24:$U$30,MATCH("对"&amp;LEFT($C$5,2)&amp;"输出",标准坦克设计!$B$23:$U$23,0)))*(VLOOKUP($B97,INDIRECT($B$5&amp;"生成成长"),3))*(VLOOKUP($B$5,标准坦克设计!$B$14:$K$20,9)/30))</f>
        <v>15.996915239544323</v>
      </c>
      <c r="AI97" s="173">
        <f ca="1">(VLOOKUP(AI$72,INDIRECT($C$5&amp;"生成成长"),2))/((VLOOKUP($B97,INDIRECT($B$5&amp;"生成成长"),4))/(VLOOKUP(AI$72,INDIRECT($C$5&amp;"生成成长"),5))*(VLOOKUP($B$5,标准坦克设计!$B$24:$U$30,MATCH("对"&amp;LEFT($C$5,2)&amp;"输出",标准坦克设计!$B$23:$U$23,0)))*(VLOOKUP($B97,INDIRECT($B$5&amp;"生成成长"),3))*(VLOOKUP($B$5,标准坦克设计!$B$14:$K$20,9)/30))</f>
        <v>11.314028978121199</v>
      </c>
      <c r="AJ97" s="173">
        <f ca="1">(VLOOKUP(AJ$72,INDIRECT($C$5&amp;"生成成长"),2))/((VLOOKUP($B97,INDIRECT($B$5&amp;"生成成长"),4))/(VLOOKUP(AJ$72,INDIRECT($C$5&amp;"生成成长"),5))*(VLOOKUP($B$5,标准坦克设计!$B$24:$U$30,MATCH("对"&amp;LEFT($C$5,2)&amp;"输出",标准坦克设计!$B$23:$U$23,0)))*(VLOOKUP($B97,INDIRECT($B$5&amp;"生成成长"),3))*(VLOOKUP($B$5,标准坦克设计!$B$14:$K$20,9)/30))</f>
        <v>12.384032036446799</v>
      </c>
      <c r="AK97" s="173">
        <f ca="1">(VLOOKUP(AK$72,INDIRECT($C$5&amp;"生成成长"),2))/((VLOOKUP($B97,INDIRECT($B$5&amp;"生成成长"),4))/(VLOOKUP(AK$72,INDIRECT($C$5&amp;"生成成长"),5))*(VLOOKUP($B$5,标准坦克设计!$B$24:$U$30,MATCH("对"&amp;LEFT($C$5,2)&amp;"输出",标准坦克设计!$B$23:$U$23,0)))*(VLOOKUP($B97,INDIRECT($B$5&amp;"生成成长"),3))*(VLOOKUP($B$5,标准坦克设计!$B$14:$K$20,9)/30))</f>
        <v>13.502371988577659</v>
      </c>
      <c r="AL97" s="173">
        <f ca="1">(VLOOKUP(AL$72,INDIRECT($C$5&amp;"生成成长"),2))/((VLOOKUP($B97,INDIRECT($B$5&amp;"生成成长"),4))/(VLOOKUP(AL$72,INDIRECT($C$5&amp;"生成成长"),5))*(VLOOKUP($B$5,标准坦克设计!$B$24:$U$30,MATCH("对"&amp;LEFT($C$5,2)&amp;"输出",标准坦克设计!$B$23:$U$23,0)))*(VLOOKUP($B97,INDIRECT($B$5&amp;"生成成长"),3))*(VLOOKUP($B$5,标准坦克设计!$B$14:$K$20,9)/30))</f>
        <v>14.669048834513788</v>
      </c>
      <c r="AM97" s="173">
        <f ca="1">(VLOOKUP(AM$72,INDIRECT($C$5&amp;"生成成长"),2))/((VLOOKUP($B97,INDIRECT($B$5&amp;"生成成长"),4))/(VLOOKUP(AM$72,INDIRECT($C$5&amp;"生成成长"),5))*(VLOOKUP($B$5,标准坦克设计!$B$24:$U$30,MATCH("对"&amp;LEFT($C$5,2)&amp;"输出",标准坦克设计!$B$23:$U$23,0)))*(VLOOKUP($B97,INDIRECT($B$5&amp;"生成成长"),3))*(VLOOKUP($B$5,标准坦克设计!$B$14:$K$20,9)/30))</f>
        <v>15.884062574255173</v>
      </c>
      <c r="AN97" s="173">
        <f ca="1">(VLOOKUP(AN$72,INDIRECT($C$5&amp;"生成成长"),2))/((VLOOKUP($B97,INDIRECT($B$5&amp;"生成成长"),4))/(VLOOKUP(AN$72,INDIRECT($C$5&amp;"生成成长"),5))*(VLOOKUP($B$5,标准坦克设计!$B$24:$U$30,MATCH("对"&amp;LEFT($C$5,2)&amp;"输出",标准坦克设计!$B$23:$U$23,0)))*(VLOOKUP($B97,INDIRECT($B$5&amp;"生成成长"),3))*(VLOOKUP($B$5,标准坦克设计!$B$14:$K$20,9)/30))</f>
        <v>17.147413207801829</v>
      </c>
      <c r="AO97" s="173">
        <f ca="1">(VLOOKUP(AO$72,INDIRECT($C$5&amp;"生成成长"),2))/((VLOOKUP($B97,INDIRECT($B$5&amp;"生成成长"),4))/(VLOOKUP(AO$72,INDIRECT($C$5&amp;"生成成长"),5))*(VLOOKUP($B$5,标准坦克设计!$B$24:$U$30,MATCH("对"&amp;LEFT($C$5,2)&amp;"输出",标准坦克设计!$B$23:$U$23,0)))*(VLOOKUP($B97,INDIRECT($B$5&amp;"生成成长"),3))*(VLOOKUP($B$5,标准坦克设计!$B$14:$K$20,9)/30))</f>
        <v>18.459100735153743</v>
      </c>
      <c r="AP97" s="173">
        <f ca="1">(VLOOKUP(AP$72,INDIRECT($C$5&amp;"生成成长"),2))/((VLOOKUP($B97,INDIRECT($B$5&amp;"生成成长"),4))/(VLOOKUP(AP$72,INDIRECT($C$5&amp;"生成成长"),5))*(VLOOKUP($B$5,标准坦克设计!$B$24:$U$30,MATCH("对"&amp;LEFT($C$5,2)&amp;"输出",标准坦克设计!$B$23:$U$23,0)))*(VLOOKUP($B97,INDIRECT($B$5&amp;"生成成长"),3))*(VLOOKUP($B$5,标准坦克设计!$B$14:$K$20,9)/30))</f>
        <v>19.819125156310925</v>
      </c>
      <c r="AQ97" s="173">
        <f ca="1">(VLOOKUP(AQ$72,INDIRECT($C$5&amp;"生成成长"),2))/((VLOOKUP($B97,INDIRECT($B$5&amp;"生成成长"),4))/(VLOOKUP(AQ$72,INDIRECT($C$5&amp;"生成成长"),5))*(VLOOKUP($B$5,标准坦克设计!$B$24:$U$30,MATCH("对"&amp;LEFT($C$5,2)&amp;"输出",标准坦克设计!$B$23:$U$23,0)))*(VLOOKUP($B97,INDIRECT($B$5&amp;"生成成长"),3))*(VLOOKUP($B$5,标准坦克设计!$B$14:$K$20,9)/30))</f>
        <v>21.227486471273362</v>
      </c>
      <c r="AR97" s="173">
        <f ca="1">(VLOOKUP(AR$72,INDIRECT($C$5&amp;"生成成长"),2))/((VLOOKUP($B97,INDIRECT($B$5&amp;"生成成长"),4))/(VLOOKUP(AR$72,INDIRECT($C$5&amp;"生成成长"),5))*(VLOOKUP($B$5,标准坦克设计!$B$24:$U$30,MATCH("对"&amp;LEFT($C$5,2)&amp;"输出",标准坦克设计!$B$23:$U$23,0)))*(VLOOKUP($B97,INDIRECT($B$5&amp;"生成成长"),3))*(VLOOKUP($B$5,标准坦克设计!$B$14:$K$20,9)/30))</f>
        <v>22.684184680041071</v>
      </c>
      <c r="AS97" s="173">
        <f ca="1">(VLOOKUP(AS$72,INDIRECT($C$5&amp;"生成成长"),2))/((VLOOKUP($B97,INDIRECT($B$5&amp;"生成成长"),4))/(VLOOKUP(AS$72,INDIRECT($C$5&amp;"生成成长"),5))*(VLOOKUP($B$5,标准坦克设计!$B$24:$U$30,MATCH("对"&amp;LEFT($C$5,2)&amp;"输出",标准坦克设计!$B$23:$U$23,0)))*(VLOOKUP($B97,INDIRECT($B$5&amp;"生成成长"),3))*(VLOOKUP($B$5,标准坦克设计!$B$14:$K$20,9)/30))</f>
        <v>24.189219782614046</v>
      </c>
      <c r="AT97" s="173">
        <f ca="1">(VLOOKUP(AT$72,INDIRECT($C$5&amp;"生成成长"),2))/((VLOOKUP($B97,INDIRECT($B$5&amp;"生成成长"),4))/(VLOOKUP(AT$72,INDIRECT($C$5&amp;"生成成长"),5))*(VLOOKUP($B$5,标准坦克设计!$B$24:$U$30,MATCH("对"&amp;LEFT($C$5,2)&amp;"输出",标准坦克设计!$B$23:$U$23,0)))*(VLOOKUP($B97,INDIRECT($B$5&amp;"生成成长"),3))*(VLOOKUP($B$5,标准坦克设计!$B$14:$K$20,9)/30))</f>
        <v>25.742591778992271</v>
      </c>
      <c r="AU97" s="173">
        <f ca="1">(VLOOKUP(AU$72,INDIRECT($C$5&amp;"生成成长"),2))/((VLOOKUP($B97,INDIRECT($B$5&amp;"生成成长"),4))/(VLOOKUP(AU$72,INDIRECT($C$5&amp;"生成成长"),5))*(VLOOKUP($B$5,标准坦克设计!$B$24:$U$30,MATCH("对"&amp;LEFT($C$5,2)&amp;"输出",标准坦克设计!$B$23:$U$23,0)))*(VLOOKUP($B97,INDIRECT($B$5&amp;"生成成长"),3))*(VLOOKUP($B$5,标准坦克设计!$B$14:$K$20,9)/30))</f>
        <v>27.34430066917577</v>
      </c>
      <c r="AV97" s="173">
        <f ca="1">(VLOOKUP(AV$72,INDIRECT($C$5&amp;"生成成长"),2))/((VLOOKUP($B97,INDIRECT($B$5&amp;"生成成长"),4))/(VLOOKUP(AV$72,INDIRECT($C$5&amp;"生成成长"),5))*(VLOOKUP($B$5,标准坦克设计!$B$24:$U$30,MATCH("对"&amp;LEFT($C$5,2)&amp;"输出",标准坦克设计!$B$23:$U$23,0)))*(VLOOKUP($B97,INDIRECT($B$5&amp;"生成成长"),3))*(VLOOKUP($B$5,标准坦克设计!$B$14:$K$20,9)/30))</f>
        <v>2.7811690468780372</v>
      </c>
      <c r="AW97" s="173">
        <f ca="1">(VLOOKUP(AW$72,INDIRECT($C$5&amp;"生成成长"),2))/((VLOOKUP($B97,INDIRECT($B$5&amp;"生成成长"),4))/(VLOOKUP(AW$72,INDIRECT($C$5&amp;"生成成长"),5))*(VLOOKUP($B$5,标准坦克设计!$B$24:$U$30,MATCH("对"&amp;LEFT($C$5,2)&amp;"输出",标准坦克设计!$B$23:$U$23,0)))*(VLOOKUP($B97,INDIRECT($B$5&amp;"生成成长"),3))*(VLOOKUP($B$5,标准坦克设计!$B$14:$K$20,9)/30))</f>
        <v>3.1710600250097474</v>
      </c>
      <c r="AX97" s="173">
        <f ca="1">(VLOOKUP(AX$72,INDIRECT($C$5&amp;"生成成长"),2))/((VLOOKUP($B97,INDIRECT($B$5&amp;"生成成长"),4))/(VLOOKUP(AX$72,INDIRECT($C$5&amp;"生成成长"),5))*(VLOOKUP($B$5,标准坦克设计!$B$24:$U$30,MATCH("对"&amp;LEFT($C$5,2)&amp;"输出",标准坦克设计!$B$23:$U$23,0)))*(VLOOKUP($B97,INDIRECT($B$5&amp;"生成成长"),3))*(VLOOKUP($B$5,标准坦克设计!$B$14:$K$20,9)/30))</f>
        <v>3.5865176246582915</v>
      </c>
      <c r="AY97" s="173">
        <f ca="1">(VLOOKUP(AY$72,INDIRECT($C$5&amp;"生成成长"),2))/((VLOOKUP($B97,INDIRECT($B$5&amp;"生成成长"),4))/(VLOOKUP(AY$72,INDIRECT($C$5&amp;"生成成长"),5))*(VLOOKUP($B$5,标准坦克设计!$B$24:$U$30,MATCH("对"&amp;LEFT($C$5,2)&amp;"输出",标准坦克设计!$B$23:$U$23,0)))*(VLOOKUP($B97,INDIRECT($B$5&amp;"生成成长"),3))*(VLOOKUP($B$5,标准坦克设计!$B$14:$K$20,9)/30))</f>
        <v>4.0275418458236683</v>
      </c>
      <c r="AZ97" s="173">
        <f ca="1">(VLOOKUP(AZ$72,INDIRECT($C$5&amp;"生成成长"),2))/((VLOOKUP($B97,INDIRECT($B$5&amp;"生成成长"),4))/(VLOOKUP(AZ$72,INDIRECT($C$5&amp;"生成成长"),5))*(VLOOKUP($B$5,标准坦克设计!$B$24:$U$30,MATCH("对"&amp;LEFT($C$5,2)&amp;"输出",标准坦克设计!$B$23:$U$23,0)))*(VLOOKUP($B97,INDIRECT($B$5&amp;"生成成长"),3))*(VLOOKUP($B$5,标准坦克设计!$B$14:$K$20,9)/30))</f>
        <v>4.4941326885058785</v>
      </c>
      <c r="BA97" s="173">
        <f ca="1">(VLOOKUP(BA$72,INDIRECT($C$5&amp;"生成成长"),2))/((VLOOKUP($B97,INDIRECT($B$5&amp;"生成成长"),4))/(VLOOKUP(BA$72,INDIRECT($C$5&amp;"生成成长"),5))*(VLOOKUP($B$5,标准坦克设计!$B$24:$U$30,MATCH("对"&amp;LEFT($C$5,2)&amp;"输出",标准坦克设计!$B$23:$U$23,0)))*(VLOOKUP($B97,INDIRECT($B$5&amp;"生成成长"),3))*(VLOOKUP($B$5,标准坦克设计!$B$14:$K$20,9)/30))</f>
        <v>4.986290152704921</v>
      </c>
      <c r="BB97" s="173">
        <f ca="1">(VLOOKUP(BB$72,INDIRECT($C$5&amp;"生成成长"),2))/((VLOOKUP($B97,INDIRECT($B$5&amp;"生成成长"),4))/(VLOOKUP(BB$72,INDIRECT($C$5&amp;"生成成长"),5))*(VLOOKUP($B$5,标准坦克设计!$B$24:$U$30,MATCH("对"&amp;LEFT($C$5,2)&amp;"输出",标准坦克设计!$B$23:$U$23,0)))*(VLOOKUP($B97,INDIRECT($B$5&amp;"生成成长"),3))*(VLOOKUP($B$5,标准坦克设计!$B$14:$K$20,9)/30))</f>
        <v>5.5040142384207993</v>
      </c>
      <c r="BC97" s="173">
        <f ca="1">(VLOOKUP(BC$72,INDIRECT($C$5&amp;"生成成长"),2))/((VLOOKUP($B97,INDIRECT($B$5&amp;"生成成长"),4))/(VLOOKUP(BC$72,INDIRECT($C$5&amp;"生成成长"),5))*(VLOOKUP($B$5,标准坦克设计!$B$24:$U$30,MATCH("对"&amp;LEFT($C$5,2)&amp;"输出",标准坦克设计!$B$23:$U$23,0)))*(VLOOKUP($B97,INDIRECT($B$5&amp;"生成成长"),3))*(VLOOKUP($B$5,标准坦克设计!$B$14:$K$20,9)/30))</f>
        <v>6.0473049456535115</v>
      </c>
      <c r="BD97" s="173">
        <f ca="1">(VLOOKUP(BD$72,INDIRECT($C$5&amp;"生成成长"),2))/((VLOOKUP($B97,INDIRECT($B$5&amp;"生成成长"),4))/(VLOOKUP(BD$72,INDIRECT($C$5&amp;"生成成长"),5))*(VLOOKUP($B$5,标准坦克设计!$B$24:$U$30,MATCH("对"&amp;LEFT($C$5,2)&amp;"输出",标准坦克设计!$B$23:$U$23,0)))*(VLOOKUP($B97,INDIRECT($B$5&amp;"生成成长"),3))*(VLOOKUP($B$5,标准坦克设计!$B$14:$K$20,9)/30))</f>
        <v>6.6890670935721506</v>
      </c>
      <c r="BE97" s="173">
        <f ca="1">(VLOOKUP(BE$72,INDIRECT($C$5&amp;"生成成长"),2))/((VLOOKUP($B97,INDIRECT($B$5&amp;"生成成长"),4))/(VLOOKUP(BE$72,INDIRECT($C$5&amp;"生成成长"),5))*(VLOOKUP($B$5,标准坦克设计!$B$24:$U$30,MATCH("对"&amp;LEFT($C$5,2)&amp;"输出",标准坦克设计!$B$23:$U$23,0)))*(VLOOKUP($B97,INDIRECT($B$5&amp;"生成成长"),3))*(VLOOKUP($B$5,标准坦克设计!$B$14:$K$20,9)/30))</f>
        <v>7.3631869968480315</v>
      </c>
      <c r="BF97" s="173">
        <f ca="1">(VLOOKUP(BF$72,INDIRECT($C$5&amp;"生成成长"),2))/((VLOOKUP($B97,INDIRECT($B$5&amp;"生成成长"),4))/(VLOOKUP(BF$72,INDIRECT($C$5&amp;"生成成长"),5))*(VLOOKUP($B$5,标准坦克设计!$B$24:$U$30,MATCH("对"&amp;LEFT($C$5,2)&amp;"输出",标准坦克设计!$B$23:$U$23,0)))*(VLOOKUP($B97,INDIRECT($B$5&amp;"生成成长"),3))*(VLOOKUP($B$5,标准坦克设计!$B$14:$K$20,9)/30))</f>
        <v>8.0696646554811569</v>
      </c>
      <c r="BG97" s="173">
        <f ca="1">(VLOOKUP(BG$72,INDIRECT($C$5&amp;"生成成长"),2))/((VLOOKUP($B97,INDIRECT($B$5&amp;"生成成长"),4))/(VLOOKUP(BG$72,INDIRECT($C$5&amp;"生成成长"),5))*(VLOOKUP($B$5,标准坦克设计!$B$24:$U$30,MATCH("对"&amp;LEFT($C$5,2)&amp;"输出",标准坦克设计!$B$23:$U$23,0)))*(VLOOKUP($B97,INDIRECT($B$5&amp;"生成成长"),3))*(VLOOKUP($B$5,标准坦克设计!$B$14:$K$20,9)/30))</f>
        <v>8.8085000694715223</v>
      </c>
      <c r="BH97" s="173">
        <f ca="1">(VLOOKUP(BH$72,INDIRECT($C$5&amp;"生成成长"),2))/((VLOOKUP($B97,INDIRECT($B$5&amp;"生成成长"),4))/(VLOOKUP(BH$72,INDIRECT($C$5&amp;"生成成长"),5))*(VLOOKUP($B$5,标准坦克设计!$B$24:$U$30,MATCH("对"&amp;LEFT($C$5,2)&amp;"输出",标准坦克设计!$B$23:$U$23,0)))*(VLOOKUP($B97,INDIRECT($B$5&amp;"生成成长"),3))*(VLOOKUP($B$5,标准坦克设计!$B$14:$K$20,9)/30))</f>
        <v>4.2576414394751687</v>
      </c>
      <c r="BI97" s="173">
        <f ca="1">(VLOOKUP(BI$72,INDIRECT($C$5&amp;"生成成长"),2))/((VLOOKUP($B97,INDIRECT($B$5&amp;"生成成长"),4))/(VLOOKUP(BI$72,INDIRECT($C$5&amp;"生成成长"),5))*(VLOOKUP($B$5,标准坦克设计!$B$24:$U$30,MATCH("对"&amp;LEFT($C$5,2)&amp;"输出",标准坦克设计!$B$23:$U$23,0)))*(VLOOKUP($B97,INDIRECT($B$5&amp;"生成成长"),3))*(VLOOKUP($B$5,标准坦克设计!$B$14:$K$20,9)/30))</f>
        <v>4.7987350151712764</v>
      </c>
      <c r="BJ97" s="173">
        <f ca="1">(VLOOKUP(BJ$72,INDIRECT($C$5&amp;"生成成长"),2))/((VLOOKUP($B97,INDIRECT($B$5&amp;"生成成长"),4))/(VLOOKUP(BJ$72,INDIRECT($C$5&amp;"生成成长"),5))*(VLOOKUP($B$5,标准坦克设计!$B$24:$U$30,MATCH("对"&amp;LEFT($C$5,2)&amp;"输出",标准坦克设计!$B$23:$U$23,0)))*(VLOOKUP($B97,INDIRECT($B$5&amp;"生成成长"),3))*(VLOOKUP($B$5,标准坦克设计!$B$14:$K$20,9)/30))</f>
        <v>5.3721863462246269</v>
      </c>
      <c r="BK97" s="173">
        <f ca="1">(VLOOKUP(BK$72,INDIRECT($C$5&amp;"生成成长"),2))/((VLOOKUP($B97,INDIRECT($B$5&amp;"生成成长"),4))/(VLOOKUP(BK$72,INDIRECT($C$5&amp;"生成成长"),5))*(VLOOKUP($B$5,标准坦克设计!$B$24:$U$30,MATCH("对"&amp;LEFT($C$5,2)&amp;"输出",标准坦克设计!$B$23:$U$23,0)))*(VLOOKUP($B97,INDIRECT($B$5&amp;"生成成长"),3))*(VLOOKUP($B$5,标准坦克设计!$B$14:$K$20,9)/30))</f>
        <v>5.9779954326352192</v>
      </c>
      <c r="BL97" s="173">
        <f ca="1">(VLOOKUP(BL$72,INDIRECT($C$5&amp;"生成成长"),2))/((VLOOKUP($B97,INDIRECT($B$5&amp;"生成成长"),4))/(VLOOKUP(BL$72,INDIRECT($C$5&amp;"生成成长"),5))*(VLOOKUP($B$5,标准坦克设计!$B$24:$U$30,MATCH("对"&amp;LEFT($C$5,2)&amp;"输出",标准坦克设计!$B$23:$U$23,0)))*(VLOOKUP($B97,INDIRECT($B$5&amp;"生成成长"),3))*(VLOOKUP($B$5,标准坦克设计!$B$14:$K$20,9)/30))</f>
        <v>6.6161622744030533</v>
      </c>
      <c r="BM97" s="173">
        <f ca="1">(VLOOKUP(BM$72,INDIRECT($C$5&amp;"生成成长"),2))/((VLOOKUP($B97,INDIRECT($B$5&amp;"生成成长"),4))/(VLOOKUP(BM$72,INDIRECT($C$5&amp;"生成成长"),5))*(VLOOKUP($B$5,标准坦克设计!$B$24:$U$30,MATCH("对"&amp;LEFT($C$5,2)&amp;"输出",标准坦克设计!$B$23:$U$23,0)))*(VLOOKUP($B97,INDIRECT($B$5&amp;"生成成长"),3))*(VLOOKUP($B$5,标准坦克设计!$B$14:$K$20,9)/30))</f>
        <v>7.286686871528131</v>
      </c>
      <c r="BN97" s="173">
        <f ca="1">(VLOOKUP(BN$72,INDIRECT($C$5&amp;"生成成长"),2))/((VLOOKUP($B97,INDIRECT($B$5&amp;"生成成长"),4))/(VLOOKUP(BN$72,INDIRECT($C$5&amp;"生成成长"),5))*(VLOOKUP($B$5,标准坦克设计!$B$24:$U$30,MATCH("对"&amp;LEFT($C$5,2)&amp;"输出",标准坦克设计!$B$23:$U$23,0)))*(VLOOKUP($B97,INDIRECT($B$5&amp;"生成成长"),3))*(VLOOKUP($B$5,标准坦克设计!$B$14:$K$20,9)/30))</f>
        <v>7.9895692240104506</v>
      </c>
      <c r="BO97" s="173">
        <f ca="1">(VLOOKUP(BO$72,INDIRECT($C$5&amp;"生成成长"),2))/((VLOOKUP($B97,INDIRECT($B$5&amp;"生成成长"),4))/(VLOOKUP(BO$72,INDIRECT($C$5&amp;"生成成长"),5))*(VLOOKUP($B$5,标准坦克设计!$B$24:$U$30,MATCH("对"&amp;LEFT($C$5,2)&amp;"输出",标准坦克设计!$B$23:$U$23,0)))*(VLOOKUP($B97,INDIRECT($B$5&amp;"生成成长"),3))*(VLOOKUP($B$5,标准坦克设计!$B$14:$K$20,9)/30))</f>
        <v>8.7248093318500111</v>
      </c>
      <c r="BP97" s="173">
        <f ca="1">(VLOOKUP(BP$72,INDIRECT($C$5&amp;"生成成长"),2))/((VLOOKUP($B97,INDIRECT($B$5&amp;"生成成长"),4))/(VLOOKUP(BP$72,INDIRECT($C$5&amp;"生成成长"),5))*(VLOOKUP($B$5,标准坦克设计!$B$24:$U$30,MATCH("对"&amp;LEFT($C$5,2)&amp;"输出",标准坦克设计!$B$23:$U$23,0)))*(VLOOKUP($B97,INDIRECT($B$5&amp;"生成成长"),3))*(VLOOKUP($B$5,标准坦克设计!$B$14:$K$20,9)/30))</f>
        <v>9.4924071950468161</v>
      </c>
      <c r="BQ97" s="173">
        <f ca="1">(VLOOKUP(BQ$72,INDIRECT($C$5&amp;"生成成长"),2))/((VLOOKUP($B97,INDIRECT($B$5&amp;"生成成长"),4))/(VLOOKUP(BQ$72,INDIRECT($C$5&amp;"生成成长"),5))*(VLOOKUP($B$5,标准坦克设计!$B$24:$U$30,MATCH("对"&amp;LEFT($C$5,2)&amp;"输出",标准坦克设计!$B$23:$U$23,0)))*(VLOOKUP($B97,INDIRECT($B$5&amp;"生成成长"),3))*(VLOOKUP($B$5,标准坦克设计!$B$14:$K$20,9)/30))</f>
        <v>10.292362813600864</v>
      </c>
      <c r="BR97" s="173">
        <f ca="1">(VLOOKUP(BR$72,INDIRECT($C$5&amp;"生成成长"),2))/((VLOOKUP($B97,INDIRECT($B$5&amp;"生成成长"),4))/(VLOOKUP(BR$72,INDIRECT($C$5&amp;"生成成长"),5))*(VLOOKUP($B$5,标准坦克设计!$B$24:$U$30,MATCH("对"&amp;LEFT($C$5,2)&amp;"输出",标准坦克设计!$B$23:$U$23,0)))*(VLOOKUP($B97,INDIRECT($B$5&amp;"生成成长"),3))*(VLOOKUP($B$5,标准坦克设计!$B$14:$K$20,9)/30))</f>
        <v>11.219152843586075</v>
      </c>
      <c r="BS97" s="173">
        <f ca="1">(VLOOKUP(BS$72,INDIRECT($C$5&amp;"生成成长"),2))/((VLOOKUP($B97,INDIRECT($B$5&amp;"生成成长"),4))/(VLOOKUP(BS$72,INDIRECT($C$5&amp;"生成成长"),5))*(VLOOKUP($B$5,标准坦克设计!$B$24:$U$30,MATCH("对"&amp;LEFT($C$5,2)&amp;"输出",标准坦克设计!$B$23:$U$23,0)))*(VLOOKUP($B97,INDIRECT($B$5&amp;"生成成长"),3))*(VLOOKUP($B$5,标准坦克设计!$B$14:$K$20,9)/30))</f>
        <v>12.185890719691336</v>
      </c>
      <c r="BT97" s="173">
        <f ca="1">(VLOOKUP(BT$72,INDIRECT($C$5&amp;"生成成长"),2))/((VLOOKUP($B97,INDIRECT($B$5&amp;"生成成长"),4))/(VLOOKUP(BT$72,INDIRECT($C$5&amp;"生成成长"),5))*(VLOOKUP($B$5,标准坦克设计!$B$24:$U$30,MATCH("对"&amp;LEFT($C$5,2)&amp;"输出",标准坦克设计!$B$23:$U$23,0)))*(VLOOKUP($B97,INDIRECT($B$5&amp;"生成成长"),3))*(VLOOKUP($B$5,标准坦克设计!$B$14:$K$20,9)/30))</f>
        <v>13.192576441916653</v>
      </c>
      <c r="BU97" s="173">
        <f ca="1">(VLOOKUP(BU$72,INDIRECT($C$5&amp;"生成成长"),2))/((VLOOKUP($B97,INDIRECT($B$5&amp;"生成成长"),4))/(VLOOKUP(BU$72,INDIRECT($C$5&amp;"生成成长"),5))*(VLOOKUP($B$5,标准坦克设计!$B$24:$U$30,MATCH("对"&amp;LEFT($C$5,2)&amp;"输出",标准坦克设计!$B$23:$U$23,0)))*(VLOOKUP($B97,INDIRECT($B$5&amp;"生成成长"),3))*(VLOOKUP($B$5,标准坦克设计!$B$14:$K$20,9)/30))</f>
        <v>14.239210010262028</v>
      </c>
      <c r="BV97" s="173">
        <f ca="1">(VLOOKUP(BV$72,INDIRECT($C$5&amp;"生成成长"),2))/((VLOOKUP($B97,INDIRECT($B$5&amp;"生成成长"),4))/(VLOOKUP(BV$72,INDIRECT($C$5&amp;"生成成长"),5))*(VLOOKUP($B$5,标准坦克设计!$B$24:$U$30,MATCH("对"&amp;LEFT($C$5,2)&amp;"输出",标准坦克设计!$B$23:$U$23,0)))*(VLOOKUP($B97,INDIRECT($B$5&amp;"生成成长"),3))*(VLOOKUP($B$5,标准坦克设计!$B$14:$K$20,9)/30))</f>
        <v>15.325791424727445</v>
      </c>
      <c r="BW97" s="173">
        <f ca="1">(VLOOKUP(BW$72,INDIRECT($C$5&amp;"生成成长"),2))/((VLOOKUP($B97,INDIRECT($B$5&amp;"生成成长"),4))/(VLOOKUP(BW$72,INDIRECT($C$5&amp;"生成成长"),5))*(VLOOKUP($B$5,标准坦克设计!$B$24:$U$30,MATCH("对"&amp;LEFT($C$5,2)&amp;"输出",标准坦克设计!$B$23:$U$23,0)))*(VLOOKUP($B97,INDIRECT($B$5&amp;"生成成长"),3))*(VLOOKUP($B$5,标准坦克设计!$B$14:$K$20,9)/30))</f>
        <v>6.984681154860537</v>
      </c>
      <c r="BX97" s="173">
        <f ca="1">(VLOOKUP(BX$72,INDIRECT($C$5&amp;"生成成长"),2))/((VLOOKUP($B97,INDIRECT($B$5&amp;"生成成长"),4))/(VLOOKUP(BX$72,INDIRECT($C$5&amp;"生成成长"),5))*(VLOOKUP($B$5,标准坦克设计!$B$24:$U$30,MATCH("对"&amp;LEFT($C$5,2)&amp;"输出",标准坦克设计!$B$23:$U$23,0)))*(VLOOKUP($B97,INDIRECT($B$5&amp;"生成成长"),3))*(VLOOKUP($B$5,标准坦克设计!$B$14:$K$20,9)/30))</f>
        <v>7.7516798003655385</v>
      </c>
      <c r="BY97" s="173">
        <f ca="1">(VLOOKUP(BY$72,INDIRECT($C$5&amp;"生成成长"),2))/((VLOOKUP($B97,INDIRECT($B$5&amp;"生成成长"),4))/(VLOOKUP(BY$72,INDIRECT($C$5&amp;"生成成长"),5))*(VLOOKUP($B$5,标准坦克设计!$B$24:$U$30,MATCH("对"&amp;LEFT($C$5,2)&amp;"输出",标准坦克设计!$B$23:$U$23,0)))*(VLOOKUP($B97,INDIRECT($B$5&amp;"生成成长"),3))*(VLOOKUP($B$5,标准坦克设计!$B$14:$K$20,9)/30))</f>
        <v>8.5586262919905955</v>
      </c>
      <c r="BZ97" s="173">
        <f ca="1">(VLOOKUP(BZ$72,INDIRECT($C$5&amp;"生成成长"),2))/((VLOOKUP($B97,INDIRECT($B$5&amp;"生成成长"),4))/(VLOOKUP(BZ$72,INDIRECT($C$5&amp;"生成成长"),5))*(VLOOKUP($B$5,标准坦克设计!$B$24:$U$30,MATCH("对"&amp;LEFT($C$5,2)&amp;"输出",标准坦克设计!$B$23:$U$23,0)))*(VLOOKUP($B97,INDIRECT($B$5&amp;"生成成长"),3))*(VLOOKUP($B$5,标准坦克设计!$B$14:$K$20,9)/30))</f>
        <v>9.4055206297357046</v>
      </c>
      <c r="CA97" s="173">
        <f ca="1">(VLOOKUP(CA$72,INDIRECT($C$5&amp;"生成成长"),2))/((VLOOKUP($B97,INDIRECT($B$5&amp;"生成成长"),4))/(VLOOKUP(CA$72,INDIRECT($C$5&amp;"生成成长"),5))*(VLOOKUP($B$5,标准坦克设计!$B$24:$U$30,MATCH("对"&amp;LEFT($C$5,2)&amp;"输出",标准坦克设计!$B$23:$U$23,0)))*(VLOOKUP($B97,INDIRECT($B$5&amp;"生成成长"),3))*(VLOOKUP($B$5,标准坦克设计!$B$14:$K$20,9)/30))</f>
        <v>10.292362813600864</v>
      </c>
      <c r="CB97" s="173">
        <f ca="1">(VLOOKUP(CB$72,INDIRECT($C$5&amp;"生成成长"),2))/((VLOOKUP($B97,INDIRECT($B$5&amp;"生成成长"),4))/(VLOOKUP(CB$72,INDIRECT($C$5&amp;"生成成长"),5))*(VLOOKUP($B$5,标准坦克设计!$B$24:$U$30,MATCH("对"&amp;LEFT($C$5,2)&amp;"输出",标准坦克设计!$B$23:$U$23,0)))*(VLOOKUP($B97,INDIRECT($B$5&amp;"生成成长"),3))*(VLOOKUP($B$5,标准坦克设计!$B$14:$K$20,9)/30))</f>
        <v>11.219152843586075</v>
      </c>
      <c r="CC97" s="173">
        <f ca="1">(VLOOKUP(CC$72,INDIRECT($C$5&amp;"生成成长"),2))/((VLOOKUP($B97,INDIRECT($B$5&amp;"生成成长"),4))/(VLOOKUP(CC$72,INDIRECT($C$5&amp;"生成成长"),5))*(VLOOKUP($B$5,标准坦克设计!$B$24:$U$30,MATCH("对"&amp;LEFT($C$5,2)&amp;"输出",标准坦克设计!$B$23:$U$23,0)))*(VLOOKUP($B97,INDIRECT($B$5&amp;"生成成长"),3))*(VLOOKUP($B$5,标准坦克设计!$B$14:$K$20,9)/30))</f>
        <v>12.185890719691336</v>
      </c>
      <c r="CD97" s="173">
        <f ca="1">(VLOOKUP(CD$72,INDIRECT($C$5&amp;"生成成长"),2))/((VLOOKUP($B97,INDIRECT($B$5&amp;"生成成长"),4))/(VLOOKUP(CD$72,INDIRECT($C$5&amp;"生成成长"),5))*(VLOOKUP($B$5,标准坦克设计!$B$24:$U$30,MATCH("对"&amp;LEFT($C$5,2)&amp;"输出",标准坦克设计!$B$23:$U$23,0)))*(VLOOKUP($B97,INDIRECT($B$5&amp;"生成成长"),3))*(VLOOKUP($B$5,标准坦克设计!$B$14:$K$20,9)/30))</f>
        <v>13.192576441916653</v>
      </c>
      <c r="CE97" s="173">
        <f ca="1">(VLOOKUP(CE$72,INDIRECT($C$5&amp;"生成成长"),2))/((VLOOKUP($B97,INDIRECT($B$5&amp;"生成成长"),4))/(VLOOKUP(CE$72,INDIRECT($C$5&amp;"生成成长"),5))*(VLOOKUP($B$5,标准坦克设计!$B$24:$U$30,MATCH("对"&amp;LEFT($C$5,2)&amp;"输出",标准坦克设计!$B$23:$U$23,0)))*(VLOOKUP($B97,INDIRECT($B$5&amp;"生成成长"),3))*(VLOOKUP($B$5,标准坦克设计!$B$14:$K$20,9)/30))</f>
        <v>14.239210010262028</v>
      </c>
      <c r="CF97" s="173">
        <f ca="1">(VLOOKUP(CF$72,INDIRECT($C$5&amp;"生成成长"),2))/((VLOOKUP($B97,INDIRECT($B$5&amp;"生成成长"),4))/(VLOOKUP(CF$72,INDIRECT($C$5&amp;"生成成长"),5))*(VLOOKUP($B$5,标准坦克设计!$B$24:$U$30,MATCH("对"&amp;LEFT($C$5,2)&amp;"输出",标准坦克设计!$B$23:$U$23,0)))*(VLOOKUP($B97,INDIRECT($B$5&amp;"生成成长"),3))*(VLOOKUP($B$5,标准坦克设计!$B$14:$K$20,9)/30))</f>
        <v>15.325791424727445</v>
      </c>
      <c r="CG97" s="173">
        <f ca="1">(VLOOKUP(CG$72,INDIRECT($C$5&amp;"生成成长"),2))/((VLOOKUP($B97,INDIRECT($B$5&amp;"生成成长"),4))/(VLOOKUP(CG$72,INDIRECT($C$5&amp;"生成成长"),5))*(VLOOKUP($B$5,标准坦克设计!$B$24:$U$30,MATCH("对"&amp;LEFT($C$5,2)&amp;"输出",标准坦克设计!$B$23:$U$23,0)))*(VLOOKUP($B97,INDIRECT($B$5&amp;"生成成长"),3))*(VLOOKUP($B$5,标准坦克设计!$B$14:$K$20,9)/30))</f>
        <v>16.452320685312916</v>
      </c>
      <c r="CH97" s="173">
        <f ca="1">(VLOOKUP(CH$72,INDIRECT($C$5&amp;"生成成长"),2))/((VLOOKUP($B97,INDIRECT($B$5&amp;"生成成长"),4))/(VLOOKUP(CH$72,INDIRECT($C$5&amp;"生成成长"),5))*(VLOOKUP($B$5,标准坦克设计!$B$24:$U$30,MATCH("对"&amp;LEFT($C$5,2)&amp;"输出",标准坦克设计!$B$23:$U$23,0)))*(VLOOKUP($B97,INDIRECT($B$5&amp;"生成成长"),3))*(VLOOKUP($B$5,标准坦克设计!$B$14:$K$20,9)/30))</f>
        <v>17.618797792018444</v>
      </c>
      <c r="CI97" s="173">
        <f ca="1">(VLOOKUP(CI$72,INDIRECT($C$5&amp;"生成成长"),2))/((VLOOKUP($B97,INDIRECT($B$5&amp;"生成成长"),4))/(VLOOKUP(CI$72,INDIRECT($C$5&amp;"生成成长"),5))*(VLOOKUP($B$5,标准坦克设计!$B$24:$U$30,MATCH("对"&amp;LEFT($C$5,2)&amp;"输出",标准坦克设计!$B$23:$U$23,0)))*(VLOOKUP($B97,INDIRECT($B$5&amp;"生成成长"),3))*(VLOOKUP($B$5,标准坦克设计!$B$14:$K$20,9)/30))</f>
        <v>18.94806237166318</v>
      </c>
      <c r="CJ97" s="173">
        <f ca="1">(VLOOKUP(CJ$72,INDIRECT($C$5&amp;"生成成长"),2))/((VLOOKUP($B97,INDIRECT($B$5&amp;"生成成长"),4))/(VLOOKUP(CJ$72,INDIRECT($C$5&amp;"生成成长"),5))*(VLOOKUP($B$5,标准坦克设计!$B$24:$U$30,MATCH("对"&amp;LEFT($C$5,2)&amp;"输出",标准坦克设计!$B$23:$U$23,0)))*(VLOOKUP($B97,INDIRECT($B$5&amp;"生成成长"),3))*(VLOOKUP($B$5,标准坦克设计!$B$14:$K$20,9)/30))</f>
        <v>20.325663845113187</v>
      </c>
      <c r="CK97" s="173">
        <f ca="1">(VLOOKUP(CK$72,INDIRECT($C$5&amp;"生成成长"),2))/((VLOOKUP($B97,INDIRECT($B$5&amp;"生成成长"),4))/(VLOOKUP(CK$72,INDIRECT($C$5&amp;"生成成长"),5))*(VLOOKUP($B$5,标准坦克设计!$B$24:$U$30,MATCH("对"&amp;LEFT($C$5,2)&amp;"输出",标准坦克设计!$B$23:$U$23,0)))*(VLOOKUP($B97,INDIRECT($B$5&amp;"生成成长"),3))*(VLOOKUP($B$5,标准坦克设计!$B$14:$K$20,9)/30))</f>
        <v>21.75160221236845</v>
      </c>
      <c r="CL97" s="173">
        <f ca="1">(VLOOKUP(CL$72,INDIRECT($C$5&amp;"生成成长"),2))/((VLOOKUP($B97,INDIRECT($B$5&amp;"生成成长"),4))/(VLOOKUP(CL$72,INDIRECT($C$5&amp;"生成成长"),5))*(VLOOKUP($B$5,标准坦克设计!$B$24:$U$30,MATCH("对"&amp;LEFT($C$5,2)&amp;"输出",标准坦克设计!$B$23:$U$23,0)))*(VLOOKUP($B97,INDIRECT($B$5&amp;"生成成长"),3))*(VLOOKUP($B$5,标准坦克设计!$B$14:$K$20,9)/30))</f>
        <v>23.225877473428977</v>
      </c>
      <c r="CM97" s="173">
        <f ca="1">(VLOOKUP(CM$72,INDIRECT($C$5&amp;"生成成长"),2))/((VLOOKUP($B97,INDIRECT($B$5&amp;"生成成长"),4))/(VLOOKUP(CM$72,INDIRECT($C$5&amp;"生成成长"),5))*(VLOOKUP($B$5,标准坦克设计!$B$24:$U$30,MATCH("对"&amp;LEFT($C$5,2)&amp;"输出",标准坦克设计!$B$23:$U$23,0)))*(VLOOKUP($B97,INDIRECT($B$5&amp;"生成成长"),3))*(VLOOKUP($B$5,标准坦克设计!$B$14:$K$20,9)/30))</f>
        <v>24.748489628294777</v>
      </c>
      <c r="CN97" s="173">
        <f ca="1">(VLOOKUP(CN$72,INDIRECT($C$5&amp;"生成成长"),2))/((VLOOKUP($B97,INDIRECT($B$5&amp;"生成成长"),4))/(VLOOKUP(CN$72,INDIRECT($C$5&amp;"生成成长"),5))*(VLOOKUP($B$5,标准坦克设计!$B$24:$U$30,MATCH("对"&amp;LEFT($C$5,2)&amp;"输出",标准坦克设计!$B$23:$U$23,0)))*(VLOOKUP($B97,INDIRECT($B$5&amp;"生成成长"),3))*(VLOOKUP($B$5,标准坦克设计!$B$14:$K$20,9)/30))</f>
        <v>26.31943867696582</v>
      </c>
      <c r="CO97" s="173">
        <f ca="1">(VLOOKUP(CO$72,INDIRECT($C$5&amp;"生成成长"),2))/((VLOOKUP($B97,INDIRECT($B$5&amp;"生成成长"),4))/(VLOOKUP(CO$72,INDIRECT($C$5&amp;"生成成长"),5))*(VLOOKUP($B$5,标准坦克设计!$B$24:$U$30,MATCH("对"&amp;LEFT($C$5,2)&amp;"输出",标准坦克设计!$B$23:$U$23,0)))*(VLOOKUP($B97,INDIRECT($B$5&amp;"生成成长"),3))*(VLOOKUP($B$5,标准坦克设计!$B$14:$K$20,9)/30))</f>
        <v>11.794401827714825</v>
      </c>
      <c r="CP97" s="173">
        <f ca="1">(VLOOKUP(CP$72,INDIRECT($C$5&amp;"生成成长"),2))/((VLOOKUP($B97,INDIRECT($B$5&amp;"生成成长"),4))/(VLOOKUP(CP$72,INDIRECT($C$5&amp;"生成成长"),5))*(VLOOKUP($B$5,标准坦克设计!$B$24:$U$30,MATCH("对"&amp;LEFT($C$5,2)&amp;"输出",标准坦克设计!$B$23:$U$23,0)))*(VLOOKUP($B97,INDIRECT($B$5&amp;"生成成长"),3))*(VLOOKUP($B$5,标准坦克设计!$B$14:$K$20,9)/30))</f>
        <v>12.886376201406456</v>
      </c>
      <c r="CQ97" s="173">
        <f ca="1">(VLOOKUP(CQ$72,INDIRECT($C$5&amp;"生成成长"),2))/((VLOOKUP($B97,INDIRECT($B$5&amp;"生成成长"),4))/(VLOOKUP(CQ$72,INDIRECT($C$5&amp;"生成成长"),5))*(VLOOKUP($B$5,标准坦克设计!$B$24:$U$30,MATCH("对"&amp;LEFT($C$5,2)&amp;"输出",标准坦克设计!$B$23:$U$23,0)))*(VLOOKUP($B97,INDIRECT($B$5&amp;"生成成长"),3))*(VLOOKUP($B$5,标准坦克设计!$B$14:$K$20,9)/30))</f>
        <v>14.026687468903347</v>
      </c>
      <c r="CR97" s="173">
        <f ca="1">(VLOOKUP(CR$72,INDIRECT($C$5&amp;"生成成长"),2))/((VLOOKUP($B97,INDIRECT($B$5&amp;"生成成长"),4))/(VLOOKUP(CR$72,INDIRECT($C$5&amp;"生成成长"),5))*(VLOOKUP($B$5,标准坦克设计!$B$24:$U$30,MATCH("对"&amp;LEFT($C$5,2)&amp;"输出",标准坦克设计!$B$23:$U$23,0)))*(VLOOKUP($B97,INDIRECT($B$5&amp;"生成成长"),3))*(VLOOKUP($B$5,标准坦克设计!$B$14:$K$20,9)/30))</f>
        <v>15.2153356302055</v>
      </c>
      <c r="CS97" s="173">
        <f ca="1">(VLOOKUP(CS$72,INDIRECT($C$5&amp;"生成成长"),2))/((VLOOKUP($B97,INDIRECT($B$5&amp;"生成成长"),4))/(VLOOKUP(CS$72,INDIRECT($C$5&amp;"生成成长"),5))*(VLOOKUP($B$5,标准坦克设计!$B$24:$U$30,MATCH("对"&amp;LEFT($C$5,2)&amp;"输出",标准坦克设计!$B$23:$U$23,0)))*(VLOOKUP($B97,INDIRECT($B$5&amp;"生成成长"),3))*(VLOOKUP($B$5,标准坦克设计!$B$14:$K$20,9)/30))</f>
        <v>16.452320685312916</v>
      </c>
      <c r="CT97" s="173">
        <f ca="1">(VLOOKUP(CT$72,INDIRECT($C$5&amp;"生成成长"),2))/((VLOOKUP($B97,INDIRECT($B$5&amp;"生成成长"),4))/(VLOOKUP(CT$72,INDIRECT($C$5&amp;"生成成长"),5))*(VLOOKUP($B$5,标准坦克设计!$B$24:$U$30,MATCH("对"&amp;LEFT($C$5,2)&amp;"输出",标准坦克设计!$B$23:$U$23,0)))*(VLOOKUP($B97,INDIRECT($B$5&amp;"生成成长"),3))*(VLOOKUP($B$5,标准坦克设计!$B$14:$K$20,9)/30))</f>
        <v>17.737642634225598</v>
      </c>
      <c r="CU97" s="173">
        <f ca="1">(VLOOKUP(CU$72,INDIRECT($C$5&amp;"生成成长"),2))/((VLOOKUP($B97,INDIRECT($B$5&amp;"生成成长"),4))/(VLOOKUP(CU$72,INDIRECT($C$5&amp;"生成成长"),5))*(VLOOKUP($B$5,标准坦克设计!$B$24:$U$30,MATCH("对"&amp;LEFT($C$5,2)&amp;"输出",标准坦克设计!$B$23:$U$23,0)))*(VLOOKUP($B97,INDIRECT($B$5&amp;"生成成长"),3))*(VLOOKUP($B$5,标准坦克设计!$B$14:$K$20,9)/30))</f>
        <v>19.071301476943542</v>
      </c>
      <c r="CV97" s="173">
        <f ca="1">(VLOOKUP(CV$72,INDIRECT($C$5&amp;"生成成长"),2))/((VLOOKUP($B97,INDIRECT($B$5&amp;"生成成长"),4))/(VLOOKUP(CV$72,INDIRECT($C$5&amp;"生成成长"),5))*(VLOOKUP($B$5,标准坦克设计!$B$24:$U$30,MATCH("对"&amp;LEFT($C$5,2)&amp;"输出",标准坦克设计!$B$23:$U$23,0)))*(VLOOKUP($B97,INDIRECT($B$5&amp;"生成成长"),3))*(VLOOKUP($B$5,标准坦克设计!$B$14:$K$20,9)/30))</f>
        <v>20.453297213466751</v>
      </c>
      <c r="CW97" s="173">
        <f ca="1">(VLOOKUP(CW$72,INDIRECT($C$5&amp;"生成成长"),2))/((VLOOKUP($B97,INDIRECT($B$5&amp;"生成成长"),4))/(VLOOKUP(CW$72,INDIRECT($C$5&amp;"生成成长"),5))*(VLOOKUP($B$5,标准坦克设计!$B$24:$U$30,MATCH("对"&amp;LEFT($C$5,2)&amp;"输出",标准坦克设计!$B$23:$U$23,0)))*(VLOOKUP($B97,INDIRECT($B$5&amp;"生成成长"),3))*(VLOOKUP($B$5,标准坦克设计!$B$14:$K$20,9)/30))</f>
        <v>21.883629843795223</v>
      </c>
      <c r="CX97" s="173">
        <f ca="1">(VLOOKUP(CX$72,INDIRECT($C$5&amp;"生成成长"),2))/((VLOOKUP($B97,INDIRECT($B$5&amp;"生成成长"),4))/(VLOOKUP(CX$72,INDIRECT($C$5&amp;"生成成长"),5))*(VLOOKUP($B$5,标准坦克设计!$B$24:$U$30,MATCH("对"&amp;LEFT($C$5,2)&amp;"输出",标准坦克设计!$B$23:$U$23,0)))*(VLOOKUP($B97,INDIRECT($B$5&amp;"生成成长"),3))*(VLOOKUP($B$5,标准坦克设计!$B$14:$K$20,9)/30))</f>
        <v>23.362299367928959</v>
      </c>
      <c r="CY97" s="173">
        <f ca="1">(VLOOKUP(CY$72,INDIRECT($C$5&amp;"生成成长"),2))/((VLOOKUP($B97,INDIRECT($B$5&amp;"生成成长"),4))/(VLOOKUP(CY$72,INDIRECT($C$5&amp;"生成成长"),5))*(VLOOKUP($B$5,标准坦克设计!$B$24:$U$30,MATCH("对"&amp;LEFT($C$5,2)&amp;"输出",标准坦克设计!$B$23:$U$23,0)))*(VLOOKUP($B97,INDIRECT($B$5&amp;"生成成长"),3))*(VLOOKUP($B$5,标准坦克设计!$B$14:$K$20,9)/30))</f>
        <v>24.889305785867954</v>
      </c>
      <c r="CZ97" s="173">
        <f ca="1">(VLOOKUP(CZ$72,INDIRECT($C$5&amp;"生成成长"),2))/((VLOOKUP($B97,INDIRECT($B$5&amp;"生成成长"),4))/(VLOOKUP(CZ$72,INDIRECT($C$5&amp;"生成成长"),5))*(VLOOKUP($B$5,标准坦克设计!$B$24:$U$30,MATCH("对"&amp;LEFT($C$5,2)&amp;"输出",标准坦克设计!$B$23:$U$23,0)))*(VLOOKUP($B97,INDIRECT($B$5&amp;"生成成长"),3))*(VLOOKUP($B$5,标准坦克设计!$B$14:$K$20,9)/30))</f>
        <v>26.464649097612213</v>
      </c>
      <c r="DA97" s="173">
        <f ca="1">(VLOOKUP(DA$72,INDIRECT($C$5&amp;"生成成长"),2))/((VLOOKUP($B97,INDIRECT($B$5&amp;"生成成长"),4))/(VLOOKUP(DA$72,INDIRECT($C$5&amp;"生成成长"),5))*(VLOOKUP($B$5,标准坦克设计!$B$24:$U$30,MATCH("对"&amp;LEFT($C$5,2)&amp;"输出",标准坦克设计!$B$23:$U$23,0)))*(VLOOKUP($B97,INDIRECT($B$5&amp;"生成成长"),3))*(VLOOKUP($B$5,标准坦克设计!$B$14:$K$20,9)/30))</f>
        <v>28.088329303161739</v>
      </c>
      <c r="DB97" s="173">
        <f ca="1">(VLOOKUP(DB$72,INDIRECT($C$5&amp;"生成成长"),2))/((VLOOKUP($B97,INDIRECT($B$5&amp;"生成成长"),4))/(VLOOKUP(DB$72,INDIRECT($C$5&amp;"生成成长"),5))*(VLOOKUP($B$5,标准坦克设计!$B$24:$U$30,MATCH("对"&amp;LEFT($C$5,2)&amp;"输出",标准坦克设计!$B$23:$U$23,0)))*(VLOOKUP($B97,INDIRECT($B$5&amp;"生成成长"),3))*(VLOOKUP($B$5,标准坦克设计!$B$14:$K$20,9)/30))</f>
        <v>29.760346402516525</v>
      </c>
      <c r="DC97" s="173">
        <f ca="1">(VLOOKUP(DC$72,INDIRECT($C$5&amp;"生成成长"),2))/((VLOOKUP($B97,INDIRECT($B$5&amp;"生成成长"),4))/(VLOOKUP(DC$72,INDIRECT($C$5&amp;"生成成长"),5))*(VLOOKUP($B$5,标准坦克设计!$B$24:$U$30,MATCH("对"&amp;LEFT($C$5,2)&amp;"输出",标准坦克设计!$B$23:$U$23,0)))*(VLOOKUP($B97,INDIRECT($B$5&amp;"生成成长"),3))*(VLOOKUP($B$5,标准坦克设计!$B$14:$K$20,9)/30))</f>
        <v>31.639493084003782</v>
      </c>
      <c r="DD97" s="173">
        <f ca="1">(VLOOKUP(DD$72,INDIRECT($C$5&amp;"生成成长"),2))/((VLOOKUP($B97,INDIRECT($B$5&amp;"生成成长"),4))/(VLOOKUP(DD$72,INDIRECT($C$5&amp;"生成成长"),5))*(VLOOKUP($B$5,标准坦克设计!$B$24:$U$30,MATCH("对"&amp;LEFT($C$5,2)&amp;"输出",标准坦克设计!$B$23:$U$23,0)))*(VLOOKUP($B97,INDIRECT($B$5&amp;"生成成长"),3))*(VLOOKUP($B$5,标准坦克设计!$B$14:$K$20,9)/30))</f>
        <v>33.576164663903917</v>
      </c>
      <c r="DE97" s="173">
        <f ca="1">(VLOOKUP(DE$72,INDIRECT($C$5&amp;"生成成长"),2))/((VLOOKUP($B97,INDIRECT($B$5&amp;"生成成长"),4))/(VLOOKUP(DE$72,INDIRECT($C$5&amp;"生成成长"),5))*(VLOOKUP($B$5,标准坦克设计!$B$24:$U$30,MATCH("对"&amp;LEFT($C$5,2)&amp;"输出",标准坦克设计!$B$23:$U$23,0)))*(VLOOKUP($B97,INDIRECT($B$5&amp;"生成成长"),3))*(VLOOKUP($B$5,标准坦克设计!$B$14:$K$20,9)/30))</f>
        <v>35.570361142216917</v>
      </c>
      <c r="DF97" s="173">
        <f ca="1">(VLOOKUP(DF$72,INDIRECT($C$5&amp;"生成成长"),2))/((VLOOKUP($B97,INDIRECT($B$5&amp;"生成成长"),4))/(VLOOKUP(DF$72,INDIRECT($C$5&amp;"生成成长"),5))*(VLOOKUP($B$5,标准坦克设计!$B$24:$U$30,MATCH("对"&amp;LEFT($C$5,2)&amp;"输出",标准坦克设计!$B$23:$U$23,0)))*(VLOOKUP($B97,INDIRECT($B$5&amp;"生成成长"),3))*(VLOOKUP($B$5,标准坦克设计!$B$14:$K$20,9)/30))</f>
        <v>37.622082518942818</v>
      </c>
      <c r="DG97" s="173">
        <f ca="1">(VLOOKUP(DG$72,INDIRECT($C$5&amp;"生成成长"),2))/((VLOOKUP($B97,INDIRECT($B$5&amp;"生成成长"),4))/(VLOOKUP(DG$72,INDIRECT($C$5&amp;"生成成长"),5))*(VLOOKUP($B$5,标准坦克设计!$B$24:$U$30,MATCH("对"&amp;LEFT($C$5,2)&amp;"输出",标准坦克设计!$B$23:$U$23,0)))*(VLOOKUP($B97,INDIRECT($B$5&amp;"生成成长"),3))*(VLOOKUP($B$5,标准坦克设计!$B$14:$K$20,9)/30))</f>
        <v>39.731328794081563</v>
      </c>
      <c r="DH97" s="173">
        <f ca="1">(VLOOKUP(DH$72,INDIRECT($C$5&amp;"生成成长"),2))/((VLOOKUP($B97,INDIRECT($B$5&amp;"生成成长"),4))/(VLOOKUP(DH$72,INDIRECT($C$5&amp;"生成成长"),5))*(VLOOKUP($B$5,标准坦克设计!$B$24:$U$30,MATCH("对"&amp;LEFT($C$5,2)&amp;"输出",标准坦克设计!$B$23:$U$23,0)))*(VLOOKUP($B97,INDIRECT($B$5&amp;"生成成长"),3))*(VLOOKUP($B$5,标准坦克设计!$B$14:$K$20,9)/30))</f>
        <v>41.898099967633208</v>
      </c>
      <c r="DI97" s="173">
        <f ca="1">(VLOOKUP(DI$72,INDIRECT($C$5&amp;"生成成长"),2))/((VLOOKUP($B97,INDIRECT($B$5&amp;"生成成长"),4))/(VLOOKUP(DI$72,INDIRECT($C$5&amp;"生成成长"),5))*(VLOOKUP($B$5,标准坦克设计!$B$24:$U$30,MATCH("对"&amp;LEFT($C$5,2)&amp;"输出",标准坦克设计!$B$23:$U$23,0)))*(VLOOKUP($B97,INDIRECT($B$5&amp;"生成成长"),3))*(VLOOKUP($B$5,标准坦克设计!$B$14:$K$20,9)/30))</f>
        <v>44.12239603959771</v>
      </c>
      <c r="DJ97" s="173">
        <f ca="1">(VLOOKUP(DJ$72,INDIRECT($C$5&amp;"生成成长"),2))/((VLOOKUP($B97,INDIRECT($B$5&amp;"生成成长"),4))/(VLOOKUP(DJ$72,INDIRECT($C$5&amp;"生成成长"),5))*(VLOOKUP($B$5,标准坦克设计!$B$24:$U$30,MATCH("对"&amp;LEFT($C$5,2)&amp;"输出",标准坦克设计!$B$23:$U$23,0)))*(VLOOKUP($B97,INDIRECT($B$5&amp;"生成成长"),3))*(VLOOKUP($B$5,标准坦克设计!$B$14:$K$20,9)/30))</f>
        <v>4.4344106585563994</v>
      </c>
      <c r="DK97" s="173">
        <f ca="1">(VLOOKUP(DK$72,INDIRECT($C$5&amp;"生成成长"),2))/((VLOOKUP($B97,INDIRECT($B$5&amp;"生成成长"),4))/(VLOOKUP(DK$72,INDIRECT($C$5&amp;"生成成长"),5))*(VLOOKUP($B$5,标准坦克设计!$B$24:$U$30,MATCH("对"&amp;LEFT($C$5,2)&amp;"输出",标准坦克设计!$B$23:$U$23,0)))*(VLOOKUP($B97,INDIRECT($B$5&amp;"生成成长"),3))*(VLOOKUP($B$5,标准坦克设计!$B$14:$K$20,9)/30))</f>
        <v>4.986290152704921</v>
      </c>
      <c r="DL97" s="173">
        <f ca="1">(VLOOKUP(DL$72,INDIRECT($C$5&amp;"生成成长"),2))/((VLOOKUP($B97,INDIRECT($B$5&amp;"生成成长"),4))/(VLOOKUP(DL$72,INDIRECT($C$5&amp;"生成成长"),5))*(VLOOKUP($B$5,标准坦克设计!$B$24:$U$30,MATCH("对"&amp;LEFT($C$5,2)&amp;"输出",标准坦克设计!$B$23:$U$23,0)))*(VLOOKUP($B97,INDIRECT($B$5&amp;"生成成长"),3))*(VLOOKUP($B$5,标准坦克设计!$B$14:$K$20,9)/30))</f>
        <v>5.5705274022106872</v>
      </c>
      <c r="DM97" s="173">
        <f ca="1">(VLOOKUP(DM$72,INDIRECT($C$5&amp;"生成成长"),2))/((VLOOKUP($B97,INDIRECT($B$5&amp;"生成成长"),4))/(VLOOKUP(DM$72,INDIRECT($C$5&amp;"生成成长"),5))*(VLOOKUP($B$5,标准坦克设计!$B$24:$U$30,MATCH("对"&amp;LEFT($C$5,2)&amp;"输出",标准坦克设计!$B$23:$U$23,0)))*(VLOOKUP($B97,INDIRECT($B$5&amp;"生成成长"),3))*(VLOOKUP($B$5,标准坦克设计!$B$14:$K$20,9)/30))</f>
        <v>6.1871224070736943</v>
      </c>
      <c r="DN97" s="173">
        <f ca="1">(VLOOKUP(DN$72,INDIRECT($C$5&amp;"生成成长"),2))/((VLOOKUP($B97,INDIRECT($B$5&amp;"生成成长"),4))/(VLOOKUP(DN$72,INDIRECT($C$5&amp;"生成成长"),5))*(VLOOKUP($B$5,标准坦克设计!$B$24:$U$30,MATCH("对"&amp;LEFT($C$5,2)&amp;"输出",标准坦克设计!$B$23:$U$23,0)))*(VLOOKUP($B97,INDIRECT($B$5&amp;"生成成长"),3))*(VLOOKUP($B$5,标准坦克设计!$B$14:$K$20,9)/30))</f>
        <v>6.8360751672939424</v>
      </c>
      <c r="DO97" s="173">
        <f ca="1">(VLOOKUP(DO$72,INDIRECT($C$5&amp;"生成成长"),2))/((VLOOKUP($B97,INDIRECT($B$5&amp;"生成成长"),4))/(VLOOKUP(DO$72,INDIRECT($C$5&amp;"生成成长"),5))*(VLOOKUP($B$5,标准坦克设计!$B$24:$U$30,MATCH("对"&amp;LEFT($C$5,2)&amp;"输出",标准坦克设计!$B$23:$U$23,0)))*(VLOOKUP($B97,INDIRECT($B$5&amp;"生成成长"),3))*(VLOOKUP($B$5,标准坦克设计!$B$14:$K$20,9)/30))</f>
        <v>7.5173856828714314</v>
      </c>
      <c r="DP97" s="173">
        <f ca="1">(VLOOKUP(DP$72,INDIRECT($C$5&amp;"生成成长"),2))/((VLOOKUP($B97,INDIRECT($B$5&amp;"生成成长"),4))/(VLOOKUP(DP$72,INDIRECT($C$5&amp;"生成成长"),5))*(VLOOKUP($B$5,标准坦克设计!$B$24:$U$30,MATCH("对"&amp;LEFT($C$5,2)&amp;"输出",标准坦克设计!$B$23:$U$23,0)))*(VLOOKUP($B97,INDIRECT($B$5&amp;"生成成长"),3))*(VLOOKUP($B$5,标准坦克设计!$B$14:$K$20,9)/30))</f>
        <v>8.2310539538061676</v>
      </c>
      <c r="DQ97" s="173">
        <f ca="1">(VLOOKUP(DQ$72,INDIRECT($C$5&amp;"生成成长"),2))/((VLOOKUP($B97,INDIRECT($B$5&amp;"生成成长"),4))/(VLOOKUP(DQ$72,INDIRECT($C$5&amp;"生成成长"),5))*(VLOOKUP($B$5,标准坦克设计!$B$24:$U$30,MATCH("对"&amp;LEFT($C$5,2)&amp;"输出",标准坦克设计!$B$23:$U$23,0)))*(VLOOKUP($B97,INDIRECT($B$5&amp;"生成成长"),3))*(VLOOKUP($B$5,标准坦克设计!$B$14:$K$20,9)/30))</f>
        <v>8.9770799800981429</v>
      </c>
      <c r="DR97" s="173">
        <f ca="1">(VLOOKUP(DR$72,INDIRECT($C$5&amp;"生成成长"),2))/((VLOOKUP($B97,INDIRECT($B$5&amp;"生成成长"),4))/(VLOOKUP(DR$72,INDIRECT($C$5&amp;"生成成长"),5))*(VLOOKUP($B$5,标准坦克设计!$B$24:$U$30,MATCH("对"&amp;LEFT($C$5,2)&amp;"输出",标准坦克设计!$B$23:$U$23,0)))*(VLOOKUP($B97,INDIRECT($B$5&amp;"生成成长"),3))*(VLOOKUP($B$5,标准坦克设计!$B$14:$K$20,9)/30))</f>
        <v>9.755463761747361</v>
      </c>
      <c r="DS97" s="173">
        <f ca="1">(VLOOKUP(DS$72,INDIRECT($C$5&amp;"生成成长"),2))/((VLOOKUP($B97,INDIRECT($B$5&amp;"生成成长"),4))/(VLOOKUP(DS$72,INDIRECT($C$5&amp;"生成成长"),5))*(VLOOKUP($B$5,标准坦克设计!$B$24:$U$30,MATCH("对"&amp;LEFT($C$5,2)&amp;"输出",标准坦克设计!$B$23:$U$23,0)))*(VLOOKUP($B97,INDIRECT($B$5&amp;"生成成长"),3))*(VLOOKUP($B$5,标准坦克设计!$B$14:$K$20,9)/30))</f>
        <v>10.56620529875382</v>
      </c>
      <c r="DT97" s="173">
        <f ca="1">(VLOOKUP(DT$72,INDIRECT($C$5&amp;"生成成长"),2))/((VLOOKUP($B97,INDIRECT($B$5&amp;"生成成长"),4))/(VLOOKUP(DT$72,INDIRECT($C$5&amp;"生成成长"),5))*(VLOOKUP($B$5,标准坦克设计!$B$24:$U$30,MATCH("对"&amp;LEFT($C$5,2)&amp;"输出",标准坦克设计!$B$23:$U$23,0)))*(VLOOKUP($B97,INDIRECT($B$5&amp;"生成成长"),3))*(VLOOKUP($B$5,标准坦克设计!$B$14:$K$20,9)/30))</f>
        <v>11.601054252493773</v>
      </c>
      <c r="DU97" s="173">
        <f ca="1">(VLOOKUP(DU$72,INDIRECT($C$5&amp;"生成成长"),2))/((VLOOKUP($B97,INDIRECT($B$5&amp;"生成成长"),4))/(VLOOKUP(DU$72,INDIRECT($C$5&amp;"生成成长"),5))*(VLOOKUP($B$5,标准坦克设计!$B$24:$U$30,MATCH("对"&amp;LEFT($C$5,2)&amp;"输出",标准坦克设计!$B$23:$U$23,0)))*(VLOOKUP($B97,INDIRECT($B$5&amp;"生成成长"),3))*(VLOOKUP($B$5,标准坦克设计!$B$14:$K$20,9)/30))</f>
        <v>12.684240100038989</v>
      </c>
      <c r="DV97" s="173">
        <f ca="1">(VLOOKUP(DV$72,INDIRECT($C$5&amp;"生成成长"),2))/((VLOOKUP($B97,INDIRECT($B$5&amp;"生成成长"),4))/(VLOOKUP(DV$72,INDIRECT($C$5&amp;"生成成长"),5))*(VLOOKUP($B$5,标准坦克设计!$B$24:$U$30,MATCH("对"&amp;LEFT($C$5,2)&amp;"输出",标准坦克设计!$B$23:$U$23,0)))*(VLOOKUP($B97,INDIRECT($B$5&amp;"生成成长"),3))*(VLOOKUP($B$5,标准坦克设计!$B$14:$K$20,9)/30))</f>
        <v>13.815762841389471</v>
      </c>
      <c r="DW97" s="173">
        <f ca="1">(VLOOKUP(DW$72,INDIRECT($C$5&amp;"生成成长"),2))/((VLOOKUP($B97,INDIRECT($B$5&amp;"生成成长"),4))/(VLOOKUP(DW$72,INDIRECT($C$5&amp;"生成成长"),5))*(VLOOKUP($B$5,标准坦克设计!$B$24:$U$30,MATCH("对"&amp;LEFT($C$5,2)&amp;"输出",标准坦克设计!$B$23:$U$23,0)))*(VLOOKUP($B97,INDIRECT($B$5&amp;"生成成长"),3))*(VLOOKUP($B$5,标准坦克设计!$B$14:$K$20,9)/30))</f>
        <v>14.995622476545215</v>
      </c>
      <c r="DX97" s="173">
        <f ca="1">(VLOOKUP(DX$72,INDIRECT($C$5&amp;"生成成长"),2))/((VLOOKUP($B97,INDIRECT($B$5&amp;"生成成长"),4))/(VLOOKUP(DX$72,INDIRECT($C$5&amp;"生成成长"),5))*(VLOOKUP($B$5,标准坦克设计!$B$24:$U$30,MATCH("对"&amp;LEFT($C$5,2)&amp;"输出",标准坦克设计!$B$23:$U$23,0)))*(VLOOKUP($B97,INDIRECT($B$5&amp;"生成成长"),3))*(VLOOKUP($B$5,标准坦克设计!$B$14:$K$20,9)/30))</f>
        <v>16.223819005506222</v>
      </c>
      <c r="DY97" s="173">
        <f ca="1">(VLOOKUP(DY$72,INDIRECT($C$5&amp;"生成成长"),2))/((VLOOKUP($B97,INDIRECT($B$5&amp;"生成成长"),4))/(VLOOKUP(DY$72,INDIRECT($C$5&amp;"生成成长"),5))*(VLOOKUP($B$5,标准坦克设计!$B$24:$U$30,MATCH("对"&amp;LEFT($C$5,2)&amp;"输出",标准坦克设计!$B$23:$U$23,0)))*(VLOOKUP($B97,INDIRECT($B$5&amp;"生成成长"),3))*(VLOOKUP($B$5,标准坦克设计!$B$14:$K$20,9)/30))</f>
        <v>7.286686871528131</v>
      </c>
      <c r="DZ97" s="173">
        <f ca="1">(VLOOKUP(DZ$72,INDIRECT($C$5&amp;"生成成长"),2))/((VLOOKUP($B97,INDIRECT($B$5&amp;"生成成长"),4))/(VLOOKUP(DZ$72,INDIRECT($C$5&amp;"生成成长"),5))*(VLOOKUP($B$5,标准坦克设计!$B$24:$U$30,MATCH("对"&amp;LEFT($C$5,2)&amp;"输出",标准坦克设计!$B$23:$U$23,0)))*(VLOOKUP($B97,INDIRECT($B$5&amp;"生成成长"),3))*(VLOOKUP($B$5,标准坦克设计!$B$14:$K$20,9)/30))</f>
        <v>8.0696646554811569</v>
      </c>
      <c r="EA97" s="173">
        <f ca="1">(VLOOKUP(EA$72,INDIRECT($C$5&amp;"生成成长"),2))/((VLOOKUP($B97,INDIRECT($B$5&amp;"生成成长"),4))/(VLOOKUP(EA$72,INDIRECT($C$5&amp;"生成成长"),5))*(VLOOKUP($B$5,标准坦克设计!$B$24:$U$30,MATCH("对"&amp;LEFT($C$5,2)&amp;"输出",标准坦克设计!$B$23:$U$23,0)))*(VLOOKUP($B97,INDIRECT($B$5&amp;"生成成长"),3))*(VLOOKUP($B$5,标准坦克设计!$B$14:$K$20,9)/30))</f>
        <v>8.8925902855542294</v>
      </c>
      <c r="EB97" s="173">
        <f ca="1">(VLOOKUP(EB$72,INDIRECT($C$5&amp;"生成成长"),2))/((VLOOKUP($B97,INDIRECT($B$5&amp;"生成成长"),4))/(VLOOKUP(EB$72,INDIRECT($C$5&amp;"生成成长"),5))*(VLOOKUP($B$5,标准坦克设计!$B$24:$U$30,MATCH("对"&amp;LEFT($C$5,2)&amp;"输出",标准坦克设计!$B$23:$U$23,0)))*(VLOOKUP($B97,INDIRECT($B$5&amp;"生成成长"),3))*(VLOOKUP($B$5,标准坦克设计!$B$14:$K$20,9)/30))</f>
        <v>9.755463761747361</v>
      </c>
      <c r="EC97" s="173">
        <f ca="1">(VLOOKUP(EC$72,INDIRECT($C$5&amp;"生成成长"),2))/((VLOOKUP($B97,INDIRECT($B$5&amp;"生成成长"),4))/(VLOOKUP(EC$72,INDIRECT($C$5&amp;"生成成长"),5))*(VLOOKUP($B$5,标准坦克设计!$B$24:$U$30,MATCH("对"&amp;LEFT($C$5,2)&amp;"输出",标准坦克设计!$B$23:$U$23,0)))*(VLOOKUP($B97,INDIRECT($B$5&amp;"生成成长"),3))*(VLOOKUP($B$5,标准坦克设计!$B$14:$K$20,9)/30))</f>
        <v>10.658285084060541</v>
      </c>
      <c r="ED97" s="173">
        <f ca="1">(VLOOKUP(ED$72,INDIRECT($C$5&amp;"生成成长"),2))/((VLOOKUP($B97,INDIRECT($B$5&amp;"生成成长"),4))/(VLOOKUP(ED$72,INDIRECT($C$5&amp;"生成成长"),5))*(VLOOKUP($B$5,标准坦克设计!$B$24:$U$30,MATCH("对"&amp;LEFT($C$5,2)&amp;"输出",标准坦克设计!$B$23:$U$23,0)))*(VLOOKUP($B97,INDIRECT($B$5&amp;"生成成长"),3))*(VLOOKUP($B$5,标准坦克设计!$B$14:$K$20,9)/30))</f>
        <v>11.601054252493773</v>
      </c>
      <c r="EE97" s="173">
        <f ca="1">(VLOOKUP(EE$72,INDIRECT($C$5&amp;"生成成长"),2))/((VLOOKUP($B97,INDIRECT($B$5&amp;"生成成长"),4))/(VLOOKUP(EE$72,INDIRECT($C$5&amp;"生成成长"),5))*(VLOOKUP($B$5,标准坦克设计!$B$24:$U$30,MATCH("对"&amp;LEFT($C$5,2)&amp;"输出",标准坦克设计!$B$23:$U$23,0)))*(VLOOKUP($B97,INDIRECT($B$5&amp;"生成成长"),3))*(VLOOKUP($B$5,标准坦克设计!$B$14:$K$20,9)/30))</f>
        <v>12.583771267047061</v>
      </c>
      <c r="EF97" s="173">
        <f ca="1">(VLOOKUP(EF$72,INDIRECT($C$5&amp;"生成成长"),2))/((VLOOKUP($B97,INDIRECT($B$5&amp;"生成成长"),4))/(VLOOKUP(EF$72,INDIRECT($C$5&amp;"生成成长"),5))*(VLOOKUP($B$5,标准坦克设计!$B$24:$U$30,MATCH("对"&amp;LEFT($C$5,2)&amp;"输出",标准坦克设计!$B$23:$U$23,0)))*(VLOOKUP($B97,INDIRECT($B$5&amp;"生成成长"),3))*(VLOOKUP($B$5,标准坦克设计!$B$14:$K$20,9)/30))</f>
        <v>13.606436127720396</v>
      </c>
      <c r="EG97" s="173">
        <f ca="1">(VLOOKUP(EG$72,INDIRECT($C$5&amp;"生成成长"),2))/((VLOOKUP($B97,INDIRECT($B$5&amp;"生成成长"),4))/(VLOOKUP(EG$72,INDIRECT($C$5&amp;"生成成长"),5))*(VLOOKUP($B$5,标准坦克设计!$B$24:$U$30,MATCH("对"&amp;LEFT($C$5,2)&amp;"输出",标准坦克设计!$B$23:$U$23,0)))*(VLOOKUP($B97,INDIRECT($B$5&amp;"生成成长"),3))*(VLOOKUP($B$5,标准坦克设计!$B$14:$K$20,9)/30))</f>
        <v>14.669048834513788</v>
      </c>
      <c r="EH97" s="173">
        <f ca="1">(VLOOKUP(EH$72,INDIRECT($C$5&amp;"生成成长"),2))/((VLOOKUP($B97,INDIRECT($B$5&amp;"生成成长"),4))/(VLOOKUP(EH$72,INDIRECT($C$5&amp;"生成成长"),5))*(VLOOKUP($B$5,标准坦克设计!$B$24:$U$30,MATCH("对"&amp;LEFT($C$5,2)&amp;"输出",标准坦克设计!$B$23:$U$23,0)))*(VLOOKUP($B97,INDIRECT($B$5&amp;"生成成长"),3))*(VLOOKUP($B$5,标准坦克设计!$B$14:$K$20,9)/30))</f>
        <v>15.77160938742723</v>
      </c>
      <c r="EI97" s="173">
        <f ca="1">(VLOOKUP(EI$72,INDIRECT($C$5&amp;"生成成长"),2))/((VLOOKUP($B97,INDIRECT($B$5&amp;"生成成长"),4))/(VLOOKUP(EI$72,INDIRECT($C$5&amp;"生成成长"),5))*(VLOOKUP($B$5,标准坦克设计!$B$24:$U$30,MATCH("对"&amp;LEFT($C$5,2)&amp;"输出",标准坦克设计!$B$23:$U$23,0)))*(VLOOKUP($B97,INDIRECT($B$5&amp;"生成成长"),3))*(VLOOKUP($B$5,标准坦克设计!$B$14:$K$20,9)/30))</f>
        <v>16.914117786460725</v>
      </c>
      <c r="EJ97" s="173">
        <f ca="1">(VLOOKUP(EJ$72,INDIRECT($C$5&amp;"生成成长"),2))/((VLOOKUP($B97,INDIRECT($B$5&amp;"生成成长"),4))/(VLOOKUP(EJ$72,INDIRECT($C$5&amp;"生成成长"),5))*(VLOOKUP($B$5,标准坦克设计!$B$24:$U$30,MATCH("对"&amp;LEFT($C$5,2)&amp;"输出",标准坦克设计!$B$23:$U$23,0)))*(VLOOKUP($B97,INDIRECT($B$5&amp;"生成成长"),3))*(VLOOKUP($B$5,标准坦克设计!$B$14:$K$20,9)/30))</f>
        <v>18.096574031614271</v>
      </c>
      <c r="EK97" s="173">
        <f ca="1">(VLOOKUP(EK$72,INDIRECT($C$5&amp;"生成成长"),2))/((VLOOKUP($B97,INDIRECT($B$5&amp;"生成成长"),4))/(VLOOKUP(EK$72,INDIRECT($C$5&amp;"生成成长"),5))*(VLOOKUP($B$5,标准坦克设计!$B$24:$U$30,MATCH("对"&amp;LEFT($C$5,2)&amp;"输出",标准坦克设计!$B$23:$U$23,0)))*(VLOOKUP($B97,INDIRECT($B$5&amp;"生成成长"),3))*(VLOOKUP($B$5,标准坦克设计!$B$14:$K$20,9)/30))</f>
        <v>19.568252682676995</v>
      </c>
      <c r="EL97" s="173">
        <f ca="1">(VLOOKUP(EL$72,INDIRECT($C$5&amp;"生成成长"),2))/((VLOOKUP($B97,INDIRECT($B$5&amp;"生成成长"),4))/(VLOOKUP(EL$72,INDIRECT($C$5&amp;"生成成长"),5))*(VLOOKUP($B$5,标准坦克设计!$B$24:$U$30,MATCH("对"&amp;LEFT($C$5,2)&amp;"输出",标准坦克设计!$B$23:$U$23,0)))*(VLOOKUP($B97,INDIRECT($B$5&amp;"生成成长"),3))*(VLOOKUP($B$5,标准坦克设计!$B$14:$K$20,9)/30))</f>
        <v>21.097456232152599</v>
      </c>
      <c r="EM97" s="173">
        <f ca="1">(VLOOKUP(EM$72,INDIRECT($C$5&amp;"生成成长"),2))/((VLOOKUP($B97,INDIRECT($B$5&amp;"生成成长"),4))/(VLOOKUP(EM$72,INDIRECT($C$5&amp;"生成成长"),5))*(VLOOKUP($B$5,标准坦克设计!$B$24:$U$30,MATCH("对"&amp;LEFT($C$5,2)&amp;"输出",标准坦克设计!$B$23:$U$23,0)))*(VLOOKUP($B97,INDIRECT($B$5&amp;"生成成长"),3))*(VLOOKUP($B$5,标准坦克设计!$B$14:$K$20,9)/30))</f>
        <v>22.684184680041071</v>
      </c>
      <c r="EN97" s="173">
        <f ca="1">(VLOOKUP(EN$72,INDIRECT($C$5&amp;"生成成长"),2))/((VLOOKUP($B97,INDIRECT($B$5&amp;"生成成长"),4))/(VLOOKUP(EN$72,INDIRECT($C$5&amp;"生成成长"),5))*(VLOOKUP($B$5,标准坦克设计!$B$24:$U$30,MATCH("对"&amp;LEFT($C$5,2)&amp;"输出",标准坦克设计!$B$23:$U$23,0)))*(VLOOKUP($B97,INDIRECT($B$5&amp;"生成成长"),3))*(VLOOKUP($B$5,标准坦克设计!$B$14:$K$20,9)/30))</f>
        <v>24.328438026342418</v>
      </c>
      <c r="EO97" s="173">
        <f ca="1">(VLOOKUP(EO$72,INDIRECT($C$5&amp;"生成成长"),2))/((VLOOKUP($B97,INDIRECT($B$5&amp;"生成成长"),4))/(VLOOKUP(EO$72,INDIRECT($C$5&amp;"生成成长"),5))*(VLOOKUP($B$5,标准坦克设计!$B$24:$U$30,MATCH("对"&amp;LEFT($C$5,2)&amp;"输出",标准坦克设计!$B$23:$U$23,0)))*(VLOOKUP($B97,INDIRECT($B$5&amp;"生成成长"),3))*(VLOOKUP($B$5,标准坦克设计!$B$14:$K$20,9)/30))</f>
        <v>26.030216271056645</v>
      </c>
      <c r="EP97" s="173">
        <f ca="1">(VLOOKUP(EP$72,INDIRECT($C$5&amp;"生成成长"),2))/((VLOOKUP($B97,INDIRECT($B$5&amp;"生成成长"),4))/(VLOOKUP(EP$72,INDIRECT($C$5&amp;"生成成长"),5))*(VLOOKUP($B$5,标准坦克设计!$B$24:$U$30,MATCH("对"&amp;LEFT($C$5,2)&amp;"输出",标准坦克设计!$B$23:$U$23,0)))*(VLOOKUP($B97,INDIRECT($B$5&amp;"生成成长"),3))*(VLOOKUP($B$5,标准坦克设计!$B$14:$K$20,9)/30))</f>
        <v>27.789519414183747</v>
      </c>
      <c r="EQ97" s="173">
        <f ca="1">(VLOOKUP(EQ$72,INDIRECT($C$5&amp;"生成成长"),2))/((VLOOKUP($B97,INDIRECT($B$5&amp;"生成成长"),4))/(VLOOKUP(EQ$72,INDIRECT($C$5&amp;"生成成长"),5))*(VLOOKUP($B$5,标准坦克设计!$B$24:$U$30,MATCH("对"&amp;LEFT($C$5,2)&amp;"输出",标准坦克设计!$B$23:$U$23,0)))*(VLOOKUP($B97,INDIRECT($B$5&amp;"生成成长"),3))*(VLOOKUP($B$5,标准坦克设计!$B$14:$K$20,9)/30))</f>
        <v>12.284761638838468</v>
      </c>
      <c r="ER97" s="173">
        <f ca="1">(VLOOKUP(ER$72,INDIRECT($C$5&amp;"生成成长"),2))/((VLOOKUP($B97,INDIRECT($B$5&amp;"生成成长"),4))/(VLOOKUP(ER$72,INDIRECT($C$5&amp;"生成成长"),5))*(VLOOKUP($B$5,标准坦克设计!$B$24:$U$30,MATCH("对"&amp;LEFT($C$5,2)&amp;"输出",标准坦克设计!$B$23:$U$23,0)))*(VLOOKUP($B97,INDIRECT($B$5&amp;"生成成长"),3))*(VLOOKUP($B$5,标准坦克设计!$B$14:$K$20,9)/30))</f>
        <v>13.398707327896126</v>
      </c>
      <c r="ES97" s="173">
        <f ca="1">(VLOOKUP(ES$72,INDIRECT($C$5&amp;"生成成长"),2))/((VLOOKUP($B97,INDIRECT($B$5&amp;"生成成长"),4))/(VLOOKUP(ES$72,INDIRECT($C$5&amp;"生成成长"),5))*(VLOOKUP($B$5,标准坦克设计!$B$24:$U$30,MATCH("对"&amp;LEFT($C$5,2)&amp;"输出",标准坦克设计!$B$23:$U$23,0)))*(VLOOKUP($B97,INDIRECT($B$5&amp;"生成成长"),3))*(VLOOKUP($B$5,标准坦克设计!$B$14:$K$20,9)/30))</f>
        <v>14.560989910759048</v>
      </c>
      <c r="ET97" s="173">
        <f ca="1">(VLOOKUP(ET$72,INDIRECT($C$5&amp;"生成成长"),2))/((VLOOKUP($B97,INDIRECT($B$5&amp;"生成成长"),4))/(VLOOKUP(ET$72,INDIRECT($C$5&amp;"生成成长"),5))*(VLOOKUP($B$5,标准坦克设计!$B$24:$U$30,MATCH("对"&amp;LEFT($C$5,2)&amp;"输出",标准坦克设计!$B$23:$U$23,0)))*(VLOOKUP($B97,INDIRECT($B$5&amp;"生成成长"),3))*(VLOOKUP($B$5,标准坦克设计!$B$14:$K$20,9)/30))</f>
        <v>15.77160938742723</v>
      </c>
      <c r="EU97" s="173">
        <f ca="1">(VLOOKUP(EU$72,INDIRECT($C$5&amp;"生成成长"),2))/((VLOOKUP($B97,INDIRECT($B$5&amp;"生成成长"),4))/(VLOOKUP(EU$72,INDIRECT($C$5&amp;"生成成长"),5))*(VLOOKUP($B$5,标准坦克设计!$B$24:$U$30,MATCH("对"&amp;LEFT($C$5,2)&amp;"输出",标准坦克设计!$B$23:$U$23,0)))*(VLOOKUP($B97,INDIRECT($B$5&amp;"生成成长"),3))*(VLOOKUP($B$5,标准坦克设计!$B$14:$K$20,9)/30))</f>
        <v>17.030565757900675</v>
      </c>
      <c r="EV97" s="173">
        <f ca="1">(VLOOKUP(EV$72,INDIRECT($C$5&amp;"生成成长"),2))/((VLOOKUP($B97,INDIRECT($B$5&amp;"生成成长"),4))/(VLOOKUP(EV$72,INDIRECT($C$5&amp;"生成成长"),5))*(VLOOKUP($B$5,标准坦克设计!$B$24:$U$30,MATCH("对"&amp;LEFT($C$5,2)&amp;"输出",标准坦克设计!$B$23:$U$23,0)))*(VLOOKUP($B97,INDIRECT($B$5&amp;"生成成长"),3))*(VLOOKUP($B$5,标准坦克设计!$B$14:$K$20,9)/30))</f>
        <v>18.337859022179391</v>
      </c>
      <c r="EW97" s="173">
        <f ca="1">(VLOOKUP(EW$72,INDIRECT($C$5&amp;"生成成长"),2))/((VLOOKUP($B97,INDIRECT($B$5&amp;"生成成长"),4))/(VLOOKUP(EW$72,INDIRECT($C$5&amp;"生成成长"),5))*(VLOOKUP($B$5,标准坦克设计!$B$24:$U$30,MATCH("对"&amp;LEFT($C$5,2)&amp;"输出",标准坦克设计!$B$23:$U$23,0)))*(VLOOKUP($B97,INDIRECT($B$5&amp;"生成成长"),3))*(VLOOKUP($B$5,标准坦克设计!$B$14:$K$20,9)/30))</f>
        <v>19.693489180263359</v>
      </c>
      <c r="EX97" s="173">
        <f ca="1">(VLOOKUP(EX$72,INDIRECT($C$5&amp;"生成成长"),2))/((VLOOKUP($B97,INDIRECT($B$5&amp;"生成成长"),4))/(VLOOKUP(EX$72,INDIRECT($C$5&amp;"生成成长"),5))*(VLOOKUP($B$5,标准坦克设计!$B$24:$U$30,MATCH("对"&amp;LEFT($C$5,2)&amp;"输出",标准坦克设计!$B$23:$U$23,0)))*(VLOOKUP($B97,INDIRECT($B$5&amp;"生成成长"),3))*(VLOOKUP($B$5,标准坦克设计!$B$14:$K$20,9)/30))</f>
        <v>21.097456232152599</v>
      </c>
      <c r="EY97" s="173">
        <f ca="1">(VLOOKUP(EY$72,INDIRECT($C$5&amp;"生成成长"),2))/((VLOOKUP($B97,INDIRECT($B$5&amp;"生成成长"),4))/(VLOOKUP(EY$72,INDIRECT($C$5&amp;"生成成长"),5))*(VLOOKUP($B$5,标准坦克设计!$B$24:$U$30,MATCH("对"&amp;LEFT($C$5,2)&amp;"输出",标准坦克设计!$B$23:$U$23,0)))*(VLOOKUP($B97,INDIRECT($B$5&amp;"生成成长"),3))*(VLOOKUP($B$5,标准坦克设计!$B$14:$K$20,9)/30))</f>
        <v>22.549760177847098</v>
      </c>
      <c r="EZ97" s="173">
        <f ca="1">(VLOOKUP(EZ$72,INDIRECT($C$5&amp;"生成成长"),2))/((VLOOKUP($B97,INDIRECT($B$5&amp;"生成成长"),4))/(VLOOKUP(EZ$72,INDIRECT($C$5&amp;"生成成长"),5))*(VLOOKUP($B$5,标准坦克设计!$B$24:$U$30,MATCH("对"&amp;LEFT($C$5,2)&amp;"输出",标准坦克设计!$B$23:$U$23,0)))*(VLOOKUP($B97,INDIRECT($B$5&amp;"生成成长"),3))*(VLOOKUP($B$5,标准坦克设计!$B$14:$K$20,9)/30))</f>
        <v>24.050401017346854</v>
      </c>
      <c r="FA97" s="173">
        <f ca="1">(VLOOKUP(FA$72,INDIRECT($C$5&amp;"生成成长"),2))/((VLOOKUP($B97,INDIRECT($B$5&amp;"生成成长"),4))/(VLOOKUP(FA$72,INDIRECT($C$5&amp;"生成成长"),5))*(VLOOKUP($B$5,标准坦克设计!$B$24:$U$30,MATCH("对"&amp;LEFT($C$5,2)&amp;"输出",标准坦克设计!$B$23:$U$23,0)))*(VLOOKUP($B97,INDIRECT($B$5&amp;"生成成长"),3))*(VLOOKUP($B$5,标准坦克设计!$B$14:$K$20,9)/30))</f>
        <v>25.599378750651884</v>
      </c>
      <c r="FB97" s="173">
        <f ca="1">(VLOOKUP(FB$72,INDIRECT($C$5&amp;"生成成长"),2))/((VLOOKUP($B97,INDIRECT($B$5&amp;"生成成长"),4))/(VLOOKUP(FB$72,INDIRECT($C$5&amp;"生成成长"),5))*(VLOOKUP($B$5,标准坦克设计!$B$24:$U$30,MATCH("对"&amp;LEFT($C$5,2)&amp;"输出",标准坦克设计!$B$23:$U$23,0)))*(VLOOKUP($B97,INDIRECT($B$5&amp;"生成成长"),3))*(VLOOKUP($B$5,标准坦克设计!$B$14:$K$20,9)/30))</f>
        <v>27.19669337776217</v>
      </c>
      <c r="FC97" s="173">
        <f ca="1">(VLOOKUP(FC$72,INDIRECT($C$5&amp;"生成成长"),2))/((VLOOKUP($B97,INDIRECT($B$5&amp;"生成成长"),4))/(VLOOKUP(FC$72,INDIRECT($C$5&amp;"生成成长"),5))*(VLOOKUP($B$5,标准坦克设计!$B$24:$U$30,MATCH("对"&amp;LEFT($C$5,2)&amp;"输出",标准坦克设计!$B$23:$U$23,0)))*(VLOOKUP($B97,INDIRECT($B$5&amp;"生成成长"),3))*(VLOOKUP($B$5,标准坦克设计!$B$14:$K$20,9)/30))</f>
        <v>28.842344898677727</v>
      </c>
      <c r="FD97" s="173">
        <f ca="1">(VLOOKUP(FD$72,INDIRECT($C$5&amp;"生成成长"),2))/((VLOOKUP($B97,INDIRECT($B$5&amp;"生成成长"),4))/(VLOOKUP(FD$72,INDIRECT($C$5&amp;"生成成长"),5))*(VLOOKUP($B$5,标准坦克设计!$B$24:$U$30,MATCH("对"&amp;LEFT($C$5,2)&amp;"输出",标准坦克设计!$B$23:$U$23,0)))*(VLOOKUP($B97,INDIRECT($B$5&amp;"生成成长"),3))*(VLOOKUP($B$5,标准坦克设计!$B$14:$K$20,9)/30))</f>
        <v>30.53633331339854</v>
      </c>
      <c r="FE97" s="173">
        <f ca="1">(VLOOKUP(FE$72,INDIRECT($C$5&amp;"生成成长"),2))/((VLOOKUP($B97,INDIRECT($B$5&amp;"生成成长"),4))/(VLOOKUP(FE$72,INDIRECT($C$5&amp;"生成成长"),5))*(VLOOKUP($B$5,标准坦克设计!$B$24:$U$30,MATCH("对"&amp;LEFT($C$5,2)&amp;"输出",标准坦克设计!$B$23:$U$23,0)))*(VLOOKUP($B97,INDIRECT($B$5&amp;"生成成长"),3))*(VLOOKUP($B$5,标准坦克设计!$B$14:$K$20,9)/30))</f>
        <v>32.600638261652243</v>
      </c>
      <c r="FF97" s="173">
        <f ca="1">(VLOOKUP(FF$72,INDIRECT($C$5&amp;"生成成长"),2))/((VLOOKUP($B97,INDIRECT($B$5&amp;"生成成长"),4))/(VLOOKUP(FF$72,INDIRECT($C$5&amp;"生成成长"),5))*(VLOOKUP($B$5,标准坦克设计!$B$24:$U$30,MATCH("对"&amp;LEFT($C$5,2)&amp;"输出",标准坦克设计!$B$23:$U$23,0)))*(VLOOKUP($B97,INDIRECT($B$5&amp;"生成成长"),3))*(VLOOKUP($B$5,标准坦克设计!$B$14:$K$20,9)/30))</f>
        <v>34.732455069848832</v>
      </c>
      <c r="FG97" s="173">
        <f ca="1">(VLOOKUP(FG$72,INDIRECT($C$5&amp;"生成成长"),2))/((VLOOKUP($B97,INDIRECT($B$5&amp;"生成成长"),4))/(VLOOKUP(FG$72,INDIRECT($C$5&amp;"生成成长"),5))*(VLOOKUP($B$5,标准坦克设计!$B$24:$U$30,MATCH("对"&amp;LEFT($C$5,2)&amp;"输出",标准坦克设计!$B$23:$U$23,0)))*(VLOOKUP($B97,INDIRECT($B$5&amp;"生成成长"),3))*(VLOOKUP($B$5,标准坦克设计!$B$14:$K$20,9)/30))</f>
        <v>36.931783737988304</v>
      </c>
      <c r="FH97" s="173">
        <f ca="1">(VLOOKUP(FH$72,INDIRECT($C$5&amp;"生成成长"),2))/((VLOOKUP($B97,INDIRECT($B$5&amp;"生成成长"),4))/(VLOOKUP(FH$72,INDIRECT($C$5&amp;"生成成长"),5))*(VLOOKUP($B$5,标准坦克设计!$B$24:$U$30,MATCH("对"&amp;LEFT($C$5,2)&amp;"输出",标准坦克设计!$B$23:$U$23,0)))*(VLOOKUP($B97,INDIRECT($B$5&amp;"生成成长"),3))*(VLOOKUP($B$5,标准坦克设计!$B$14:$K$20,9)/30))</f>
        <v>39.198624266070674</v>
      </c>
      <c r="FI97" s="173">
        <f ca="1">(VLOOKUP(FI$72,INDIRECT($C$5&amp;"生成成长"),2))/((VLOOKUP($B97,INDIRECT($B$5&amp;"生成成长"),4))/(VLOOKUP(FI$72,INDIRECT($C$5&amp;"生成成长"),5))*(VLOOKUP($B$5,标准坦克设计!$B$24:$U$30,MATCH("对"&amp;LEFT($C$5,2)&amp;"输出",标准坦克设计!$B$23:$U$23,0)))*(VLOOKUP($B97,INDIRECT($B$5&amp;"生成成长"),3))*(VLOOKUP($B$5,标准坦克设计!$B$14:$K$20,9)/30))</f>
        <v>41.532976654095926</v>
      </c>
      <c r="FJ97" s="173">
        <f ca="1">(VLOOKUP(FJ$72,INDIRECT($C$5&amp;"生成成长"),2))/((VLOOKUP($B97,INDIRECT($B$5&amp;"生成成长"),4))/(VLOOKUP(FJ$72,INDIRECT($C$5&amp;"生成成长"),5))*(VLOOKUP($B$5,标准坦克设计!$B$24:$U$30,MATCH("对"&amp;LEFT($C$5,2)&amp;"输出",标准坦克设计!$B$23:$U$23,0)))*(VLOOKUP($B97,INDIRECT($B$5&amp;"生成成长"),3))*(VLOOKUP($B$5,标准坦克设计!$B$14:$K$20,9)/30))</f>
        <v>43.934840902064074</v>
      </c>
      <c r="FK97" s="173">
        <f ca="1">(VLOOKUP(FK$72,INDIRECT($C$5&amp;"生成成长"),2))/((VLOOKUP($B97,INDIRECT($B$5&amp;"生成成长"),4))/(VLOOKUP(FK$72,INDIRECT($C$5&amp;"生成成长"),5))*(VLOOKUP($B$5,标准坦克设计!$B$24:$U$30,MATCH("对"&amp;LEFT($C$5,2)&amp;"输出",标准坦克设计!$B$23:$U$23,0)))*(VLOOKUP($B97,INDIRECT($B$5&amp;"生成成长"),3))*(VLOOKUP($B$5,标准坦克设计!$B$14:$K$20,9)/30))</f>
        <v>46.404217009975092</v>
      </c>
    </row>
    <row r="98" spans="1:167" x14ac:dyDescent="0.15">
      <c r="A98" s="171" t="str">
        <f t="shared" si="11"/>
        <v>T4低品质5级</v>
      </c>
      <c r="B98" s="172">
        <v>10405</v>
      </c>
      <c r="C98" s="173">
        <f ca="1">(VLOOKUP(C$72,INDIRECT($C$5&amp;"生成成长"),2))/((VLOOKUP($B98,INDIRECT($B$5&amp;"生成成长"),4))/(VLOOKUP(C$72,INDIRECT($C$5&amp;"生成成长"),5))*(VLOOKUP($B$5,标准坦克设计!$B$24:$U$30,MATCH("对"&amp;LEFT($C$5,2)&amp;"输出",标准坦克设计!$B$23:$U$23,0)))*(VLOOKUP($B98,INDIRECT($B$5&amp;"生成成长"),3))*(VLOOKUP($B$5,标准坦克设计!$B$14:$K$20,9)/30))</f>
        <v>1.8220782838805512</v>
      </c>
      <c r="D98" s="173">
        <f ca="1">(VLOOKUP(D$72,INDIRECT($C$5&amp;"生成成长"),2))/((VLOOKUP($B98,INDIRECT($B$5&amp;"生成成长"),4))/(VLOOKUP(D$72,INDIRECT($C$5&amp;"生成成长"),5))*(VLOOKUP($B$5,标准坦克设计!$B$24:$U$30,MATCH("对"&amp;LEFT($C$5,2)&amp;"输出",标准坦克设计!$B$23:$U$23,0)))*(VLOOKUP($B98,INDIRECT($B$5&amp;"生成成长"),3))*(VLOOKUP($B$5,标准坦克设计!$B$14:$K$20,9)/30))</f>
        <v>2.0472871597681874</v>
      </c>
      <c r="E98" s="173">
        <f ca="1">(VLOOKUP(E$72,INDIRECT($C$5&amp;"生成成长"),2))/((VLOOKUP($B98,INDIRECT($B$5&amp;"生成成长"),4))/(VLOOKUP(E$72,INDIRECT($C$5&amp;"生成成长"),5))*(VLOOKUP($B$5,标准坦克设计!$B$24:$U$30,MATCH("对"&amp;LEFT($C$5,2)&amp;"输出",标准坦克设计!$B$23:$U$23,0)))*(VLOOKUP($B98,INDIRECT($B$5&amp;"生成成长"),3))*(VLOOKUP($B$5,标准坦克设计!$B$14:$K$20,9)/30))</f>
        <v>2.2856149992997636</v>
      </c>
      <c r="F98" s="173">
        <f ca="1">(VLOOKUP(F$72,INDIRECT($C$5&amp;"生成成长"),2))/((VLOOKUP($B98,INDIRECT($B$5&amp;"生成成长"),4))/(VLOOKUP(F$72,INDIRECT($C$5&amp;"生成成长"),5))*(VLOOKUP($B$5,标准坦克设计!$B$24:$U$30,MATCH("对"&amp;LEFT($C$5,2)&amp;"输出",标准坦克设计!$B$23:$U$23,0)))*(VLOOKUP($B98,INDIRECT($B$5&amp;"生成成长"),3))*(VLOOKUP($B$5,标准坦克设计!$B$14:$K$20,9)/30))</f>
        <v>2.5370618024752796</v>
      </c>
      <c r="G98" s="173">
        <f ca="1">(VLOOKUP(G$72,INDIRECT($C$5&amp;"生成成长"),2))/((VLOOKUP($B98,INDIRECT($B$5&amp;"生成成长"),4))/(VLOOKUP(G$72,INDIRECT($C$5&amp;"生成成长"),5))*(VLOOKUP($B$5,标准坦克设计!$B$24:$U$30,MATCH("对"&amp;LEFT($C$5,2)&amp;"输出",标准坦克设计!$B$23:$U$23,0)))*(VLOOKUP($B98,INDIRECT($B$5&amp;"生成成长"),3))*(VLOOKUP($B$5,标准坦克设计!$B$14:$K$20,9)/30))</f>
        <v>2.8016275692947352</v>
      </c>
      <c r="H98" s="173">
        <f ca="1">(VLOOKUP(H$72,INDIRECT($C$5&amp;"生成成长"),2))/((VLOOKUP($B98,INDIRECT($B$5&amp;"生成成长"),4))/(VLOOKUP(H$72,INDIRECT($C$5&amp;"生成成长"),5))*(VLOOKUP($B$5,标准坦克设计!$B$24:$U$30,MATCH("对"&amp;LEFT($C$5,2)&amp;"输出",标准坦克设计!$B$23:$U$23,0)))*(VLOOKUP($B98,INDIRECT($B$5&amp;"生成成长"),3))*(VLOOKUP($B$5,标准坦克设计!$B$14:$K$20,9)/30))</f>
        <v>2.4517885387896698</v>
      </c>
      <c r="I98" s="173">
        <f ca="1">(VLOOKUP(I$72,INDIRECT($C$5&amp;"生成成长"),2))/((VLOOKUP($B98,INDIRECT($B$5&amp;"生成成长"),4))/(VLOOKUP(I$72,INDIRECT($C$5&amp;"生成成长"),5))*(VLOOKUP($B$5,标准坦克设计!$B$24:$U$30,MATCH("对"&amp;LEFT($C$5,2)&amp;"输出",标准坦克设计!$B$23:$U$23,0)))*(VLOOKUP($B98,INDIRECT($B$5&amp;"生成成长"),3))*(VLOOKUP($B$5,标准坦克设计!$B$14:$K$20,9)/30))</f>
        <v>2.8016275692947352</v>
      </c>
      <c r="J98" s="173">
        <f ca="1">(VLOOKUP(J$72,INDIRECT($C$5&amp;"生成成长"),2))/((VLOOKUP($B98,INDIRECT($B$5&amp;"生成成长"),4))/(VLOOKUP(J$72,INDIRECT($C$5&amp;"生成成长"),5))*(VLOOKUP($B$5,标准坦克设计!$B$24:$U$30,MATCH("对"&amp;LEFT($C$5,2)&amp;"输出",标准坦克设计!$B$23:$U$23,0)))*(VLOOKUP($B98,INDIRECT($B$5&amp;"生成成长"),3))*(VLOOKUP($B$5,标准坦克设计!$B$14:$K$20,9)/30))</f>
        <v>3.1747892018334722</v>
      </c>
      <c r="K98" s="173">
        <f ca="1">(VLOOKUP(K$72,INDIRECT($C$5&amp;"生成成长"),2))/((VLOOKUP($B98,INDIRECT($B$5&amp;"生成成长"),4))/(VLOOKUP(K$72,INDIRECT($C$5&amp;"生成成长"),5))*(VLOOKUP($B$5,标准坦克设计!$B$24:$U$30,MATCH("对"&amp;LEFT($C$5,2)&amp;"输出",标准坦克设计!$B$23:$U$23,0)))*(VLOOKUP($B98,INDIRECT($B$5&amp;"生成成长"),3))*(VLOOKUP($B$5,标准坦克设计!$B$14:$K$20,9)/30))</f>
        <v>3.5712734364058809</v>
      </c>
      <c r="L98" s="173">
        <f ca="1">(VLOOKUP(L$72,INDIRECT($C$5&amp;"生成成长"),2))/((VLOOKUP($B98,INDIRECT($B$5&amp;"生成成长"),4))/(VLOOKUP(L$72,INDIRECT($C$5&amp;"生成成长"),5))*(VLOOKUP($B$5,标准坦克设计!$B$24:$U$30,MATCH("对"&amp;LEFT($C$5,2)&amp;"输出",标准坦克设计!$B$23:$U$23,0)))*(VLOOKUP($B98,INDIRECT($B$5&amp;"生成成长"),3))*(VLOOKUP($B$5,标准坦克设计!$B$14:$K$20,9)/30))</f>
        <v>3.9910802730119594</v>
      </c>
      <c r="M98" s="173">
        <f ca="1">(VLOOKUP(M$72,INDIRECT($C$5&amp;"生成成长"),2))/((VLOOKUP($B98,INDIRECT($B$5&amp;"生成成长"),4))/(VLOOKUP(M$72,INDIRECT($C$5&amp;"生成成长"),5))*(VLOOKUP($B$5,标准坦克设计!$B$24:$U$30,MATCH("对"&amp;LEFT($C$5,2)&amp;"输出",标准坦克设计!$B$23:$U$23,0)))*(VLOOKUP($B98,INDIRECT($B$5&amp;"生成成长"),3))*(VLOOKUP($B$5,标准坦克设计!$B$14:$K$20,9)/30))</f>
        <v>4.4342097116517101</v>
      </c>
      <c r="N98" s="173">
        <f ca="1">(VLOOKUP(N$72,INDIRECT($C$5&amp;"生成成长"),2))/((VLOOKUP($B98,INDIRECT($B$5&amp;"生成成长"),4))/(VLOOKUP(N$72,INDIRECT($C$5&amp;"生成成长"),5))*(VLOOKUP($B$5,标准坦克设计!$B$24:$U$30,MATCH("对"&amp;LEFT($C$5,2)&amp;"输出",标准坦克设计!$B$23:$U$23,0)))*(VLOOKUP($B98,INDIRECT($B$5&amp;"生成成长"),3))*(VLOOKUP($B$5,标准坦克设计!$B$14:$K$20,9)/30))</f>
        <v>4.9006617523251306</v>
      </c>
      <c r="O98" s="173">
        <f ca="1">(VLOOKUP(O$72,INDIRECT($C$5&amp;"生成成长"),2))/((VLOOKUP($B98,INDIRECT($B$5&amp;"生成成长"),4))/(VLOOKUP(O$72,INDIRECT($C$5&amp;"生成成长"),5))*(VLOOKUP($B$5,标准坦克设计!$B$24:$U$30,MATCH("对"&amp;LEFT($C$5,2)&amp;"输出",标准坦克设计!$B$23:$U$23,0)))*(VLOOKUP($B98,INDIRECT($B$5&amp;"生成成长"),3))*(VLOOKUP($B$5,标准坦克设计!$B$14:$K$20,9)/30))</f>
        <v>3.7259678827073395</v>
      </c>
      <c r="P98" s="173">
        <f ca="1">(VLOOKUP(P$72,INDIRECT($C$5&amp;"生成成长"),2))/((VLOOKUP($B98,INDIRECT($B$5&amp;"生成成长"),4))/(VLOOKUP(P$72,INDIRECT($C$5&amp;"生成成长"),5))*(VLOOKUP($B$5,标准坦克设计!$B$24:$U$30,MATCH("对"&amp;LEFT($C$5,2)&amp;"输出",标准坦克设计!$B$23:$U$23,0)))*(VLOOKUP($B98,INDIRECT($B$5&amp;"生成成长"),3))*(VLOOKUP($B$5,标准坦克设计!$B$14:$K$20,9)/30))</f>
        <v>4.2097296670776263</v>
      </c>
      <c r="Q98" s="173">
        <f ca="1">(VLOOKUP(Q$72,INDIRECT($C$5&amp;"生成成长"),2))/((VLOOKUP($B98,INDIRECT($B$5&amp;"生成成长"),4))/(VLOOKUP(Q$72,INDIRECT($C$5&amp;"生成成长"),5))*(VLOOKUP($B$5,标准坦克设计!$B$24:$U$30,MATCH("对"&amp;LEFT($C$5,2)&amp;"输出",标准坦克设计!$B$23:$U$23,0)))*(VLOOKUP($B98,INDIRECT($B$5&amp;"生成成长"),3))*(VLOOKUP($B$5,标准坦克设计!$B$14:$K$20,9)/30))</f>
        <v>4.7230091196467763</v>
      </c>
      <c r="R98" s="173">
        <f ca="1">(VLOOKUP(R$72,INDIRECT($C$5&amp;"生成成长"),2))/((VLOOKUP($B98,INDIRECT($B$5&amp;"生成成长"),4))/(VLOOKUP(R$72,INDIRECT($C$5&amp;"生成成长"),5))*(VLOOKUP($B$5,标准坦克设计!$B$24:$U$30,MATCH("对"&amp;LEFT($C$5,2)&amp;"输出",标准坦克设计!$B$23:$U$23,0)))*(VLOOKUP($B98,INDIRECT($B$5&amp;"生成成长"),3))*(VLOOKUP($B$5,标准坦克设计!$B$14:$K$20,9)/30))</f>
        <v>5.2658062404147925</v>
      </c>
      <c r="S98" s="173">
        <f ca="1">(VLOOKUP(S$72,INDIRECT($C$5&amp;"生成成长"),2))/((VLOOKUP($B98,INDIRECT($B$5&amp;"生成成长"),4))/(VLOOKUP(S$72,INDIRECT($C$5&amp;"生成成长"),5))*(VLOOKUP($B$5,标准坦克设计!$B$24:$U$30,MATCH("对"&amp;LEFT($C$5,2)&amp;"输出",标准坦克设计!$B$23:$U$23,0)))*(VLOOKUP($B98,INDIRECT($B$5&amp;"生成成长"),3))*(VLOOKUP($B$5,标准坦克设计!$B$14:$K$20,9)/30))</f>
        <v>5.8381210293816741</v>
      </c>
      <c r="T98" s="173">
        <f ca="1">(VLOOKUP(T$72,INDIRECT($C$5&amp;"生成成长"),2))/((VLOOKUP($B98,INDIRECT($B$5&amp;"生成成长"),4))/(VLOOKUP(T$72,INDIRECT($C$5&amp;"生成成长"),5))*(VLOOKUP($B$5,标准坦克设计!$B$24:$U$30,MATCH("对"&amp;LEFT($C$5,2)&amp;"输出",标准坦克设计!$B$23:$U$23,0)))*(VLOOKUP($B98,INDIRECT($B$5&amp;"生成成长"),3))*(VLOOKUP($B$5,标准坦克设计!$B$14:$K$20,9)/30))</f>
        <v>6.4399534865474193</v>
      </c>
      <c r="U98" s="173">
        <f ca="1">(VLOOKUP(U$72,INDIRECT($C$5&amp;"生成成长"),2))/((VLOOKUP($B98,INDIRECT($B$5&amp;"生成成长"),4))/(VLOOKUP(U$72,INDIRECT($C$5&amp;"生成成长"),5))*(VLOOKUP($B$5,标准坦克设计!$B$24:$U$30,MATCH("对"&amp;LEFT($C$5,2)&amp;"输出",标准坦克设计!$B$23:$U$23,0)))*(VLOOKUP($B98,INDIRECT($B$5&amp;"生成成长"),3))*(VLOOKUP($B$5,标准坦克设计!$B$14:$K$20,9)/30))</f>
        <v>7.0713036119120316</v>
      </c>
      <c r="V98" s="173">
        <f ca="1">(VLOOKUP(V$72,INDIRECT($C$5&amp;"生成成长"),2))/((VLOOKUP($B98,INDIRECT($B$5&amp;"生成成长"),4))/(VLOOKUP(V$72,INDIRECT($C$5&amp;"生成成长"),5))*(VLOOKUP($B$5,标准坦克设计!$B$24:$U$30,MATCH("对"&amp;LEFT($C$5,2)&amp;"输出",标准坦克设计!$B$23:$U$23,0)))*(VLOOKUP($B98,INDIRECT($B$5&amp;"生成成长"),3))*(VLOOKUP($B$5,标准坦克设计!$B$14:$K$20,9)/30))</f>
        <v>7.7321714054755075</v>
      </c>
      <c r="W98" s="173">
        <f ca="1">(VLOOKUP(W$72,INDIRECT($C$5&amp;"生成成长"),2))/((VLOOKUP($B98,INDIRECT($B$5&amp;"生成成长"),4))/(VLOOKUP(W$72,INDIRECT($C$5&amp;"生成成长"),5))*(VLOOKUP($B$5,标准坦克设计!$B$24:$U$30,MATCH("对"&amp;LEFT($C$5,2)&amp;"输出",标准坦克设计!$B$23:$U$23,0)))*(VLOOKUP($B98,INDIRECT($B$5&amp;"生成成长"),3))*(VLOOKUP($B$5,标准坦克设计!$B$14:$K$20,9)/30))</f>
        <v>8.4225568672378479</v>
      </c>
      <c r="X98" s="173">
        <f ca="1">(VLOOKUP(X$72,INDIRECT($C$5&amp;"生成成长"),2))/((VLOOKUP($B98,INDIRECT($B$5&amp;"生成成长"),4))/(VLOOKUP(X$72,INDIRECT($C$5&amp;"生成成长"),5))*(VLOOKUP($B$5,标准坦克设计!$B$24:$U$30,MATCH("对"&amp;LEFT($C$5,2)&amp;"输出",标准坦克设计!$B$23:$U$23,0)))*(VLOOKUP($B98,INDIRECT($B$5&amp;"生成成长"),3))*(VLOOKUP($B$5,标准坦克设计!$B$14:$K$20,9)/30))</f>
        <v>6.1019579648875784</v>
      </c>
      <c r="Y98" s="173">
        <f ca="1">(VLOOKUP(Y$72,INDIRECT($C$5&amp;"生成成长"),2))/((VLOOKUP($B98,INDIRECT($B$5&amp;"生成成长"),4))/(VLOOKUP(Y$72,INDIRECT($C$5&amp;"生成成长"),5))*(VLOOKUP($B$5,标准坦克设计!$B$24:$U$30,MATCH("对"&amp;LEFT($C$5,2)&amp;"输出",标准坦克设计!$B$23:$U$23,0)))*(VLOOKUP($B98,INDIRECT($B$5&amp;"生成成长"),3))*(VLOOKUP($B$5,标准坦克设计!$B$14:$K$20,9)/30))</f>
        <v>6.7870593996266653</v>
      </c>
      <c r="Z98" s="173">
        <f ca="1">(VLOOKUP(Z$72,INDIRECT($C$5&amp;"生成成长"),2))/((VLOOKUP($B98,INDIRECT($B$5&amp;"生成成长"),4))/(VLOOKUP(Z$72,INDIRECT($C$5&amp;"生成成长"),5))*(VLOOKUP($B$5,标准坦克设计!$B$24:$U$30,MATCH("对"&amp;LEFT($C$5,2)&amp;"输出",标准坦克设计!$B$23:$U$23,0)))*(VLOOKUP($B98,INDIRECT($B$5&amp;"生成成长"),3))*(VLOOKUP($B$5,标准坦克设计!$B$14:$K$20,9)/30))</f>
        <v>7.5086024000433627</v>
      </c>
      <c r="AA98" s="173">
        <f ca="1">(VLOOKUP(AA$72,INDIRECT($C$5&amp;"生成成长"),2))/((VLOOKUP($B98,INDIRECT($B$5&amp;"生成成长"),4))/(VLOOKUP(AA$72,INDIRECT($C$5&amp;"生成成长"),5))*(VLOOKUP($B$5,标准坦克设计!$B$24:$U$30,MATCH("对"&amp;LEFT($C$5,2)&amp;"输出",标准坦克设计!$B$23:$U$23,0)))*(VLOOKUP($B98,INDIRECT($B$5&amp;"生成成长"),3))*(VLOOKUP($B$5,标准坦克设计!$B$14:$K$20,9)/30))</f>
        <v>8.2665869661376714</v>
      </c>
      <c r="AB98" s="173">
        <f ca="1">(VLOOKUP(AB$72,INDIRECT($C$5&amp;"生成成长"),2))/((VLOOKUP($B98,INDIRECT($B$5&amp;"生成成长"),4))/(VLOOKUP(AB$72,INDIRECT($C$5&amp;"生成成长"),5))*(VLOOKUP($B$5,标准坦克设计!$B$24:$U$30,MATCH("对"&amp;LEFT($C$5,2)&amp;"输出",标准坦克设计!$B$23:$U$23,0)))*(VLOOKUP($B98,INDIRECT($B$5&amp;"生成成长"),3))*(VLOOKUP($B$5,标准坦克设计!$B$14:$K$20,9)/30))</f>
        <v>9.0610130979095924</v>
      </c>
      <c r="AC98" s="173">
        <f ca="1">(VLOOKUP(AC$72,INDIRECT($C$5&amp;"生成成长"),2))/((VLOOKUP($B98,INDIRECT($B$5&amp;"生成成长"),4))/(VLOOKUP(AC$72,INDIRECT($C$5&amp;"生成成长"),5))*(VLOOKUP($B$5,标准坦克设计!$B$24:$U$30,MATCH("对"&amp;LEFT($C$5,2)&amp;"输出",标准坦克设计!$B$23:$U$23,0)))*(VLOOKUP($B98,INDIRECT($B$5&amp;"生成成长"),3))*(VLOOKUP($B$5,标准坦克设计!$B$14:$K$20,9)/30))</f>
        <v>9.8918807953591248</v>
      </c>
      <c r="AD98" s="173">
        <f ca="1">(VLOOKUP(AD$72,INDIRECT($C$5&amp;"生成成长"),2))/((VLOOKUP($B98,INDIRECT($B$5&amp;"生成成长"),4))/(VLOOKUP(AD$72,INDIRECT($C$5&amp;"生成成长"),5))*(VLOOKUP($B$5,标准坦克设计!$B$24:$U$30,MATCH("对"&amp;LEFT($C$5,2)&amp;"输出",标准坦克设计!$B$23:$U$23,0)))*(VLOOKUP($B98,INDIRECT($B$5&amp;"生成成长"),3))*(VLOOKUP($B$5,标准坦克设计!$B$14:$K$20,9)/30))</f>
        <v>10.759190058486267</v>
      </c>
      <c r="AE98" s="173">
        <f ca="1">(VLOOKUP(AE$72,INDIRECT($C$5&amp;"生成成长"),2))/((VLOOKUP($B98,INDIRECT($B$5&amp;"生成成长"),4))/(VLOOKUP(AE$72,INDIRECT($C$5&amp;"生成成长"),5))*(VLOOKUP($B$5,标准坦克设计!$B$24:$U$30,MATCH("对"&amp;LEFT($C$5,2)&amp;"输出",标准坦克设计!$B$23:$U$23,0)))*(VLOOKUP($B98,INDIRECT($B$5&amp;"生成成长"),3))*(VLOOKUP($B$5,标准坦克设计!$B$14:$K$20,9)/30))</f>
        <v>11.66294088729102</v>
      </c>
      <c r="AF98" s="173">
        <f ca="1">(VLOOKUP(AF$72,INDIRECT($C$5&amp;"生成成长"),2))/((VLOOKUP($B98,INDIRECT($B$5&amp;"生成成长"),4))/(VLOOKUP(AF$72,INDIRECT($C$5&amp;"生成成长"),5))*(VLOOKUP($B$5,标准坦克设计!$B$24:$U$30,MATCH("对"&amp;LEFT($C$5,2)&amp;"输出",标准坦克设计!$B$23:$U$23,0)))*(VLOOKUP($B98,INDIRECT($B$5&amp;"生成成长"),3))*(VLOOKUP($B$5,标准坦克设计!$B$14:$K$20,9)/30))</f>
        <v>12.603133281773383</v>
      </c>
      <c r="AG98" s="173">
        <f ca="1">(VLOOKUP(AG$72,INDIRECT($C$5&amp;"生成成长"),2))/((VLOOKUP($B98,INDIRECT($B$5&amp;"生成成长"),4))/(VLOOKUP(AG$72,INDIRECT($C$5&amp;"生成成长"),5))*(VLOOKUP($B$5,标准坦克设计!$B$24:$U$30,MATCH("对"&amp;LEFT($C$5,2)&amp;"输出",标准坦克设计!$B$23:$U$23,0)))*(VLOOKUP($B98,INDIRECT($B$5&amp;"生成成长"),3))*(VLOOKUP($B$5,标准坦克设计!$B$14:$K$20,9)/30))</f>
        <v>13.579767241933363</v>
      </c>
      <c r="AH98" s="173">
        <f ca="1">(VLOOKUP(AH$72,INDIRECT($C$5&amp;"生成成长"),2))/((VLOOKUP($B98,INDIRECT($B$5&amp;"生成成长"),4))/(VLOOKUP(AH$72,INDIRECT($C$5&amp;"生成成长"),5))*(VLOOKUP($B$5,标准坦克设计!$B$24:$U$30,MATCH("对"&amp;LEFT($C$5,2)&amp;"输出",标准坦克设计!$B$23:$U$23,0)))*(VLOOKUP($B98,INDIRECT($B$5&amp;"生成成长"),3))*(VLOOKUP($B$5,标准坦克设计!$B$14:$K$20,9)/30))</f>
        <v>14.592842767770946</v>
      </c>
      <c r="AI98" s="173">
        <f ca="1">(VLOOKUP(AI$72,INDIRECT($C$5&amp;"生成成长"),2))/((VLOOKUP($B98,INDIRECT($B$5&amp;"生成成长"),4))/(VLOOKUP(AI$72,INDIRECT($C$5&amp;"生成成长"),5))*(VLOOKUP($B$5,标准坦克设计!$B$24:$U$30,MATCH("对"&amp;LEFT($C$5,2)&amp;"输出",标准坦克设计!$B$23:$U$23,0)))*(VLOOKUP($B98,INDIRECT($B$5&amp;"生成成长"),3))*(VLOOKUP($B$5,标准坦克设计!$B$14:$K$20,9)/30))</f>
        <v>10.320980231212994</v>
      </c>
      <c r="AJ98" s="173">
        <f ca="1">(VLOOKUP(AJ$72,INDIRECT($C$5&amp;"生成成长"),2))/((VLOOKUP($B98,INDIRECT($B$5&amp;"生成成长"),4))/(VLOOKUP(AJ$72,INDIRECT($C$5&amp;"生成成长"),5))*(VLOOKUP($B$5,标准坦克设计!$B$24:$U$30,MATCH("对"&amp;LEFT($C$5,2)&amp;"输出",标准坦克设计!$B$23:$U$23,0)))*(VLOOKUP($B98,INDIRECT($B$5&amp;"生成成长"),3))*(VLOOKUP($B$5,标准坦克设计!$B$14:$K$20,9)/30))</f>
        <v>11.297067567887805</v>
      </c>
      <c r="AK98" s="173">
        <f ca="1">(VLOOKUP(AK$72,INDIRECT($C$5&amp;"生成成长"),2))/((VLOOKUP($B98,INDIRECT($B$5&amp;"生成成长"),4))/(VLOOKUP(AK$72,INDIRECT($C$5&amp;"生成成长"),5))*(VLOOKUP($B$5,标准坦克设计!$B$24:$U$30,MATCH("对"&amp;LEFT($C$5,2)&amp;"输出",标准坦克设计!$B$23:$U$23,0)))*(VLOOKUP($B98,INDIRECT($B$5&amp;"生成成长"),3))*(VLOOKUP($B$5,标准坦克设计!$B$14:$K$20,9)/30))</f>
        <v>12.317249199032528</v>
      </c>
      <c r="AL98" s="173">
        <f ca="1">(VLOOKUP(AL$72,INDIRECT($C$5&amp;"生成成长"),2))/((VLOOKUP($B98,INDIRECT($B$5&amp;"生成成长"),4))/(VLOOKUP(AL$72,INDIRECT($C$5&amp;"生成成长"),5))*(VLOOKUP($B$5,标准坦克设计!$B$24:$U$30,MATCH("对"&amp;LEFT($C$5,2)&amp;"输出",标准坦克设计!$B$23:$U$23,0)))*(VLOOKUP($B98,INDIRECT($B$5&amp;"生成成长"),3))*(VLOOKUP($B$5,标准坦克设计!$B$14:$K$20,9)/30))</f>
        <v>13.381525124647155</v>
      </c>
      <c r="AM98" s="173">
        <f ca="1">(VLOOKUP(AM$72,INDIRECT($C$5&amp;"生成成长"),2))/((VLOOKUP($B98,INDIRECT($B$5&amp;"生成成长"),4))/(VLOOKUP(AM$72,INDIRECT($C$5&amp;"生成成长"),5))*(VLOOKUP($B$5,标准坦克设计!$B$24:$U$30,MATCH("对"&amp;LEFT($C$5,2)&amp;"输出",标准坦克设计!$B$23:$U$23,0)))*(VLOOKUP($B98,INDIRECT($B$5&amp;"生成成长"),3))*(VLOOKUP($B$5,标准坦克设计!$B$14:$K$20,9)/30))</f>
        <v>14.489895344731696</v>
      </c>
      <c r="AN98" s="173">
        <f ca="1">(VLOOKUP(AN$72,INDIRECT($C$5&amp;"生成成长"),2))/((VLOOKUP($B98,INDIRECT($B$5&amp;"生成成长"),4))/(VLOOKUP(AN$72,INDIRECT($C$5&amp;"生成成长"),5))*(VLOOKUP($B$5,标准坦克设计!$B$24:$U$30,MATCH("对"&amp;LEFT($C$5,2)&amp;"输出",标准坦克设计!$B$23:$U$23,0)))*(VLOOKUP($B98,INDIRECT($B$5&amp;"生成成长"),3))*(VLOOKUP($B$5,标准坦克设计!$B$14:$K$20,9)/30))</f>
        <v>15.642359859286143</v>
      </c>
      <c r="AO98" s="173">
        <f ca="1">(VLOOKUP(AO$72,INDIRECT($C$5&amp;"生成成长"),2))/((VLOOKUP($B98,INDIRECT($B$5&amp;"生成成长"),4))/(VLOOKUP(AO$72,INDIRECT($C$5&amp;"生成成长"),5))*(VLOOKUP($B$5,标准坦克设计!$B$24:$U$30,MATCH("对"&amp;LEFT($C$5,2)&amp;"输出",标准坦克设计!$B$23:$U$23,0)))*(VLOOKUP($B98,INDIRECT($B$5&amp;"生成成长"),3))*(VLOOKUP($B$5,标准坦克设计!$B$14:$K$20,9)/30))</f>
        <v>16.838918668310505</v>
      </c>
      <c r="AP98" s="173">
        <f ca="1">(VLOOKUP(AP$72,INDIRECT($C$5&amp;"生成成长"),2))/((VLOOKUP($B98,INDIRECT($B$5&amp;"生成成长"),4))/(VLOOKUP(AP$72,INDIRECT($C$5&amp;"生成成长"),5))*(VLOOKUP($B$5,标准坦克设计!$B$24:$U$30,MATCH("对"&amp;LEFT($C$5,2)&amp;"输出",标准坦克设计!$B$23:$U$23,0)))*(VLOOKUP($B98,INDIRECT($B$5&amp;"生成成长"),3))*(VLOOKUP($B$5,标准坦克设计!$B$14:$K$20,9)/30))</f>
        <v>18.079571771804769</v>
      </c>
      <c r="AQ98" s="173">
        <f ca="1">(VLOOKUP(AQ$72,INDIRECT($C$5&amp;"生成成长"),2))/((VLOOKUP($B98,INDIRECT($B$5&amp;"生成成长"),4))/(VLOOKUP(AQ$72,INDIRECT($C$5&amp;"生成成长"),5))*(VLOOKUP($B$5,标准坦克设计!$B$24:$U$30,MATCH("对"&amp;LEFT($C$5,2)&amp;"输出",标准坦克设计!$B$23:$U$23,0)))*(VLOOKUP($B98,INDIRECT($B$5&amp;"生成成长"),3))*(VLOOKUP($B$5,标准坦克设计!$B$14:$K$20,9)/30))</f>
        <v>19.364319169768944</v>
      </c>
      <c r="AR98" s="173">
        <f ca="1">(VLOOKUP(AR$72,INDIRECT($C$5&amp;"生成成长"),2))/((VLOOKUP($B98,INDIRECT($B$5&amp;"生成成长"),4))/(VLOOKUP(AR$72,INDIRECT($C$5&amp;"生成成长"),5))*(VLOOKUP($B$5,标准坦克设计!$B$24:$U$30,MATCH("对"&amp;LEFT($C$5,2)&amp;"输出",标准坦克设计!$B$23:$U$23,0)))*(VLOOKUP($B98,INDIRECT($B$5&amp;"生成成长"),3))*(VLOOKUP($B$5,标准坦克设计!$B$14:$K$20,9)/30))</f>
        <v>20.69316086220303</v>
      </c>
      <c r="AS98" s="173">
        <f ca="1">(VLOOKUP(AS$72,INDIRECT($C$5&amp;"生成成长"),2))/((VLOOKUP($B98,INDIRECT($B$5&amp;"生成成长"),4))/(VLOOKUP(AS$72,INDIRECT($C$5&amp;"生成成长"),5))*(VLOOKUP($B$5,标准坦克设计!$B$24:$U$30,MATCH("对"&amp;LEFT($C$5,2)&amp;"输出",标准坦克设计!$B$23:$U$23,0)))*(VLOOKUP($B98,INDIRECT($B$5&amp;"生成成长"),3))*(VLOOKUP($B$5,标准坦克设计!$B$14:$K$20,9)/30))</f>
        <v>22.066096849107026</v>
      </c>
      <c r="AT98" s="173">
        <f ca="1">(VLOOKUP(AT$72,INDIRECT($C$5&amp;"生成成长"),2))/((VLOOKUP($B98,INDIRECT($B$5&amp;"生成成长"),4))/(VLOOKUP(AT$72,INDIRECT($C$5&amp;"生成成长"),5))*(VLOOKUP($B$5,标准坦克设计!$B$24:$U$30,MATCH("对"&amp;LEFT($C$5,2)&amp;"输出",标准坦克设计!$B$23:$U$23,0)))*(VLOOKUP($B98,INDIRECT($B$5&amp;"生成成长"),3))*(VLOOKUP($B$5,标准坦克设计!$B$14:$K$20,9)/30))</f>
        <v>23.483127130480934</v>
      </c>
      <c r="AU98" s="173">
        <f ca="1">(VLOOKUP(AU$72,INDIRECT($C$5&amp;"生成成长"),2))/((VLOOKUP($B98,INDIRECT($B$5&amp;"生成成长"),4))/(VLOOKUP(AU$72,INDIRECT($C$5&amp;"生成成长"),5))*(VLOOKUP($B$5,标准坦克设计!$B$24:$U$30,MATCH("对"&amp;LEFT($C$5,2)&amp;"输出",标准坦克设计!$B$23:$U$23,0)))*(VLOOKUP($B98,INDIRECT($B$5&amp;"生成成长"),3))*(VLOOKUP($B$5,标准坦克设计!$B$14:$K$20,9)/30))</f>
        <v>24.944251706324746</v>
      </c>
      <c r="AV98" s="173">
        <f ca="1">(VLOOKUP(AV$72,INDIRECT($C$5&amp;"生成成长"),2))/((VLOOKUP($B98,INDIRECT($B$5&amp;"生成成长"),4))/(VLOOKUP(AV$72,INDIRECT($C$5&amp;"生成成长"),5))*(VLOOKUP($B$5,标准坦克设计!$B$24:$U$30,MATCH("对"&amp;LEFT($C$5,2)&amp;"输出",标准坦克设计!$B$23:$U$23,0)))*(VLOOKUP($B98,INDIRECT($B$5&amp;"生成成长"),3))*(VLOOKUP($B$5,标准坦克设计!$B$14:$K$20,9)/30))</f>
        <v>2.5370618024752796</v>
      </c>
      <c r="AW98" s="173">
        <f ca="1">(VLOOKUP(AW$72,INDIRECT($C$5&amp;"生成成长"),2))/((VLOOKUP($B98,INDIRECT($B$5&amp;"生成成长"),4))/(VLOOKUP(AW$72,INDIRECT($C$5&amp;"生成成长"),5))*(VLOOKUP($B$5,标准坦克设计!$B$24:$U$30,MATCH("对"&amp;LEFT($C$5,2)&amp;"输出",标准坦克设计!$B$23:$U$23,0)))*(VLOOKUP($B98,INDIRECT($B$5&amp;"生成成长"),3))*(VLOOKUP($B$5,标准坦克设计!$B$14:$K$20,9)/30))</f>
        <v>2.8927314834887632</v>
      </c>
      <c r="AX98" s="173">
        <f ca="1">(VLOOKUP(AX$72,INDIRECT($C$5&amp;"生成成长"),2))/((VLOOKUP($B98,INDIRECT($B$5&amp;"生成成长"),4))/(VLOOKUP(AX$72,INDIRECT($C$5&amp;"生成成长"),5))*(VLOOKUP($B$5,标准坦克设计!$B$24:$U$30,MATCH("对"&amp;LEFT($C$5,2)&amp;"输出",标准坦克设计!$B$23:$U$23,0)))*(VLOOKUP($B98,INDIRECT($B$5&amp;"生成成长"),3))*(VLOOKUP($B$5,标准坦克设计!$B$14:$K$20,9)/30))</f>
        <v>3.271723766535918</v>
      </c>
      <c r="AY98" s="173">
        <f ca="1">(VLOOKUP(AY$72,INDIRECT($C$5&amp;"生成成长"),2))/((VLOOKUP($B98,INDIRECT($B$5&amp;"生成成长"),4))/(VLOOKUP(AY$72,INDIRECT($C$5&amp;"生成成长"),5))*(VLOOKUP($B$5,标准坦克设计!$B$24:$U$30,MATCH("对"&amp;LEFT($C$5,2)&amp;"输出",标准坦克设计!$B$23:$U$23,0)))*(VLOOKUP($B98,INDIRECT($B$5&amp;"生成成长"),3))*(VLOOKUP($B$5,标准坦克设计!$B$14:$K$20,9)/30))</f>
        <v>3.674038651616744</v>
      </c>
      <c r="AZ98" s="173">
        <f ca="1">(VLOOKUP(AZ$72,INDIRECT($C$5&amp;"生成成长"),2))/((VLOOKUP($B98,INDIRECT($B$5&amp;"生成成长"),4))/(VLOOKUP(AZ$72,INDIRECT($C$5&amp;"生成成长"),5))*(VLOOKUP($B$5,标准坦克设计!$B$24:$U$30,MATCH("对"&amp;LEFT($C$5,2)&amp;"输出",标准坦克设计!$B$23:$U$23,0)))*(VLOOKUP($B98,INDIRECT($B$5&amp;"生成成长"),3))*(VLOOKUP($B$5,标准坦克设计!$B$14:$K$20,9)/30))</f>
        <v>4.0996761387312404</v>
      </c>
      <c r="BA98" s="173">
        <f ca="1">(VLOOKUP(BA$72,INDIRECT($C$5&amp;"生成成长"),2))/((VLOOKUP($B98,INDIRECT($B$5&amp;"生成成长"),4))/(VLOOKUP(BA$72,INDIRECT($C$5&amp;"生成成长"),5))*(VLOOKUP($B$5,标准坦克设计!$B$24:$U$30,MATCH("对"&amp;LEFT($C$5,2)&amp;"输出",标准坦克设计!$B$23:$U$23,0)))*(VLOOKUP($B98,INDIRECT($B$5&amp;"生成成长"),3))*(VLOOKUP($B$5,标准坦克设计!$B$14:$K$20,9)/30))</f>
        <v>4.5486362278794088</v>
      </c>
      <c r="BB98" s="173">
        <f ca="1">(VLOOKUP(BB$72,INDIRECT($C$5&amp;"生成成长"),2))/((VLOOKUP($B98,INDIRECT($B$5&amp;"生成成长"),4))/(VLOOKUP(BB$72,INDIRECT($C$5&amp;"生成成长"),5))*(VLOOKUP($B$5,标准坦克设计!$B$24:$U$30,MATCH("对"&amp;LEFT($C$5,2)&amp;"输出",标准坦克设计!$B$23:$U$23,0)))*(VLOOKUP($B98,INDIRECT($B$5&amp;"生成成长"),3))*(VLOOKUP($B$5,标准坦克设计!$B$14:$K$20,9)/30))</f>
        <v>5.0209189190612475</v>
      </c>
      <c r="BC98" s="173">
        <f ca="1">(VLOOKUP(BC$72,INDIRECT($C$5&amp;"生成成长"),2))/((VLOOKUP($B98,INDIRECT($B$5&amp;"生成成长"),4))/(VLOOKUP(BC$72,INDIRECT($C$5&amp;"生成成长"),5))*(VLOOKUP($B$5,标准坦克设计!$B$24:$U$30,MATCH("对"&amp;LEFT($C$5,2)&amp;"输出",标准坦克设计!$B$23:$U$23,0)))*(VLOOKUP($B98,INDIRECT($B$5&amp;"生成成长"),3))*(VLOOKUP($B$5,标准坦克设计!$B$14:$K$20,9)/30))</f>
        <v>5.5165242122767566</v>
      </c>
      <c r="BD98" s="173">
        <f ca="1">(VLOOKUP(BD$72,INDIRECT($C$5&amp;"生成成长"),2))/((VLOOKUP($B98,INDIRECT($B$5&amp;"生成成长"),4))/(VLOOKUP(BD$72,INDIRECT($C$5&amp;"生成成长"),5))*(VLOOKUP($B$5,标准坦克设计!$B$24:$U$30,MATCH("对"&amp;LEFT($C$5,2)&amp;"输出",标准坦克设计!$B$23:$U$23,0)))*(VLOOKUP($B98,INDIRECT($B$5&amp;"生成成长"),3))*(VLOOKUP($B$5,标准坦克设计!$B$14:$K$20,9)/30))</f>
        <v>6.1019579648875784</v>
      </c>
      <c r="BE98" s="173">
        <f ca="1">(VLOOKUP(BE$72,INDIRECT($C$5&amp;"生成成长"),2))/((VLOOKUP($B98,INDIRECT($B$5&amp;"生成成长"),4))/(VLOOKUP(BE$72,INDIRECT($C$5&amp;"生成成长"),5))*(VLOOKUP($B$5,标准坦克设计!$B$24:$U$30,MATCH("对"&amp;LEFT($C$5,2)&amp;"输出",标准坦克设计!$B$23:$U$23,0)))*(VLOOKUP($B98,INDIRECT($B$5&amp;"生成成长"),3))*(VLOOKUP($B$5,标准坦克设计!$B$14:$K$20,9)/30))</f>
        <v>6.7169093856972655</v>
      </c>
      <c r="BF98" s="173">
        <f ca="1">(VLOOKUP(BF$72,INDIRECT($C$5&amp;"生成成长"),2))/((VLOOKUP($B98,INDIRECT($B$5&amp;"生成成长"),4))/(VLOOKUP(BF$72,INDIRECT($C$5&amp;"生成成长"),5))*(VLOOKUP($B$5,标准坦克设计!$B$24:$U$30,MATCH("对"&amp;LEFT($C$5,2)&amp;"输出",标准坦克设计!$B$23:$U$23,0)))*(VLOOKUP($B98,INDIRECT($B$5&amp;"生成成长"),3))*(VLOOKUP($B$5,标准坦克设计!$B$14:$K$20,9)/30))</f>
        <v>7.3613784747058144</v>
      </c>
      <c r="BG98" s="173">
        <f ca="1">(VLOOKUP(BG$72,INDIRECT($C$5&amp;"生成成长"),2))/((VLOOKUP($B98,INDIRECT($B$5&amp;"生成成长"),4))/(VLOOKUP(BG$72,INDIRECT($C$5&amp;"生成成长"),5))*(VLOOKUP($B$5,标准坦克设计!$B$24:$U$30,MATCH("对"&amp;LEFT($C$5,2)&amp;"输出",标准坦克设计!$B$23:$U$23,0)))*(VLOOKUP($B98,INDIRECT($B$5&amp;"生成成长"),3))*(VLOOKUP($B$5,标准坦克设计!$B$14:$K$20,9)/30))</f>
        <v>8.0353652319132305</v>
      </c>
      <c r="BH98" s="173">
        <f ca="1">(VLOOKUP(BH$72,INDIRECT($C$5&amp;"生成成长"),2))/((VLOOKUP($B98,INDIRECT($B$5&amp;"生成成长"),4))/(VLOOKUP(BH$72,INDIRECT($C$5&amp;"生成成长"),5))*(VLOOKUP($B$5,标准坦克设计!$B$24:$U$30,MATCH("对"&amp;LEFT($C$5,2)&amp;"输出",标准坦克设计!$B$23:$U$23,0)))*(VLOOKUP($B98,INDIRECT($B$5&amp;"生成成长"),3))*(VLOOKUP($B$5,标准坦克设计!$B$14:$K$20,9)/30))</f>
        <v>3.8839420699197822</v>
      </c>
      <c r="BI98" s="173">
        <f ca="1">(VLOOKUP(BI$72,INDIRECT($C$5&amp;"生成成长"),2))/((VLOOKUP($B98,INDIRECT($B$5&amp;"生成成长"),4))/(VLOOKUP(BI$72,INDIRECT($C$5&amp;"生成成长"),5))*(VLOOKUP($B$5,标准坦克设计!$B$24:$U$30,MATCH("对"&amp;LEFT($C$5,2)&amp;"输出",标准坦克设计!$B$23:$U$23,0)))*(VLOOKUP($B98,INDIRECT($B$5&amp;"生成成长"),3))*(VLOOKUP($B$5,标准坦克设计!$B$14:$K$20,9)/30))</f>
        <v>4.3775430770230246</v>
      </c>
      <c r="BJ98" s="173">
        <f ca="1">(VLOOKUP(BJ$72,INDIRECT($C$5&amp;"生成成长"),2))/((VLOOKUP($B98,INDIRECT($B$5&amp;"生成成长"),4))/(VLOOKUP(BJ$72,INDIRECT($C$5&amp;"生成成长"),5))*(VLOOKUP($B$5,标准坦克设计!$B$24:$U$30,MATCH("对"&amp;LEFT($C$5,2)&amp;"输出",标准坦克设计!$B$23:$U$23,0)))*(VLOOKUP($B98,INDIRECT($B$5&amp;"生成成长"),3))*(VLOOKUP($B$5,标准坦克设计!$B$14:$K$20,9)/30))</f>
        <v>4.9006617523251306</v>
      </c>
      <c r="BK98" s="173">
        <f ca="1">(VLOOKUP(BK$72,INDIRECT($C$5&amp;"生成成长"),2))/((VLOOKUP($B98,INDIRECT($B$5&amp;"生成成长"),4))/(VLOOKUP(BK$72,INDIRECT($C$5&amp;"生成成长"),5))*(VLOOKUP($B$5,标准坦克设计!$B$24:$U$30,MATCH("对"&amp;LEFT($C$5,2)&amp;"输出",标准坦克设计!$B$23:$U$23,0)))*(VLOOKUP($B98,INDIRECT($B$5&amp;"生成成长"),3))*(VLOOKUP($B$5,标准坦克设计!$B$14:$K$20,9)/30))</f>
        <v>5.4532980958261019</v>
      </c>
      <c r="BL98" s="173">
        <f ca="1">(VLOOKUP(BL$72,INDIRECT($C$5&amp;"生成成长"),2))/((VLOOKUP($B98,INDIRECT($B$5&amp;"生成成长"),4))/(VLOOKUP(BL$72,INDIRECT($C$5&amp;"生成成长"),5))*(VLOOKUP($B$5,标准坦克设计!$B$24:$U$30,MATCH("对"&amp;LEFT($C$5,2)&amp;"输出",标准坦克设计!$B$23:$U$23,0)))*(VLOOKUP($B98,INDIRECT($B$5&amp;"生成成长"),3))*(VLOOKUP($B$5,标准坦克设计!$B$14:$K$20,9)/30))</f>
        <v>6.0354521075259386</v>
      </c>
      <c r="BM98" s="173">
        <f ca="1">(VLOOKUP(BM$72,INDIRECT($C$5&amp;"生成成长"),2))/((VLOOKUP($B98,INDIRECT($B$5&amp;"生成成长"),4))/(VLOOKUP(BM$72,INDIRECT($C$5&amp;"生成成长"),5))*(VLOOKUP($B$5,标准坦克设计!$B$24:$U$30,MATCH("对"&amp;LEFT($C$5,2)&amp;"输出",标准坦克设计!$B$23:$U$23,0)))*(VLOOKUP($B98,INDIRECT($B$5&amp;"生成成长"),3))*(VLOOKUP($B$5,标准坦克设计!$B$14:$K$20,9)/30))</f>
        <v>6.6471237874246389</v>
      </c>
      <c r="BN98" s="173">
        <f ca="1">(VLOOKUP(BN$72,INDIRECT($C$5&amp;"生成成长"),2))/((VLOOKUP($B98,INDIRECT($B$5&amp;"生成成长"),4))/(VLOOKUP(BN$72,INDIRECT($C$5&amp;"生成成长"),5))*(VLOOKUP($B$5,标准坦克设计!$B$24:$U$30,MATCH("对"&amp;LEFT($C$5,2)&amp;"输出",标准坦克设计!$B$23:$U$23,0)))*(VLOOKUP($B98,INDIRECT($B$5&amp;"生成成长"),3))*(VLOOKUP($B$5,标准坦克设计!$B$14:$K$20,9)/30))</f>
        <v>7.2883131355222046</v>
      </c>
      <c r="BO98" s="173">
        <f ca="1">(VLOOKUP(BO$72,INDIRECT($C$5&amp;"生成成长"),2))/((VLOOKUP($B98,INDIRECT($B$5&amp;"生成成长"),4))/(VLOOKUP(BO$72,INDIRECT($C$5&amp;"生成成长"),5))*(VLOOKUP($B$5,标准坦克设计!$B$24:$U$30,MATCH("对"&amp;LEFT($C$5,2)&amp;"输出",标准坦克设计!$B$23:$U$23,0)))*(VLOOKUP($B98,INDIRECT($B$5&amp;"生成成长"),3))*(VLOOKUP($B$5,标准坦克设计!$B$14:$K$20,9)/30))</f>
        <v>7.9590201518186365</v>
      </c>
      <c r="BP98" s="173">
        <f ca="1">(VLOOKUP(BP$72,INDIRECT($C$5&amp;"生成成长"),2))/((VLOOKUP($B98,INDIRECT($B$5&amp;"生成成长"),4))/(VLOOKUP(BP$72,INDIRECT($C$5&amp;"生成成长"),5))*(VLOOKUP($B$5,标准坦克设计!$B$24:$U$30,MATCH("对"&amp;LEFT($C$5,2)&amp;"输出",标准坦克设计!$B$23:$U$23,0)))*(VLOOKUP($B98,INDIRECT($B$5&amp;"生成成长"),3))*(VLOOKUP($B$5,标准坦克设计!$B$14:$K$20,9)/30))</f>
        <v>8.6592448363139329</v>
      </c>
      <c r="BQ98" s="173">
        <f ca="1">(VLOOKUP(BQ$72,INDIRECT($C$5&amp;"生成成长"),2))/((VLOOKUP($B98,INDIRECT($B$5&amp;"生成成长"),4))/(VLOOKUP(BQ$72,INDIRECT($C$5&amp;"生成成长"),5))*(VLOOKUP($B$5,标准坦克设计!$B$24:$U$30,MATCH("对"&amp;LEFT($C$5,2)&amp;"输出",标准坦克设计!$B$23:$U$23,0)))*(VLOOKUP($B98,INDIRECT($B$5&amp;"生成成长"),3))*(VLOOKUP($B$5,标准坦克设计!$B$14:$K$20,9)/30))</f>
        <v>9.3889871890080929</v>
      </c>
      <c r="BR98" s="173">
        <f ca="1">(VLOOKUP(BR$72,INDIRECT($C$5&amp;"生成成长"),2))/((VLOOKUP($B98,INDIRECT($B$5&amp;"生成成长"),4))/(VLOOKUP(BR$72,INDIRECT($C$5&amp;"生成成长"),5))*(VLOOKUP($B$5,标准坦克设计!$B$24:$U$30,MATCH("对"&amp;LEFT($C$5,2)&amp;"输出",标准坦克设计!$B$23:$U$23,0)))*(VLOOKUP($B98,INDIRECT($B$5&amp;"生成成长"),3))*(VLOOKUP($B$5,标准坦克设计!$B$14:$K$20,9)/30))</f>
        <v>10.234431512728666</v>
      </c>
      <c r="BS98" s="173">
        <f ca="1">(VLOOKUP(BS$72,INDIRECT($C$5&amp;"生成成长"),2))/((VLOOKUP($B98,INDIRECT($B$5&amp;"生成成长"),4))/(VLOOKUP(BS$72,INDIRECT($C$5&amp;"生成成长"),5))*(VLOOKUP($B$5,标准坦克设计!$B$24:$U$30,MATCH("对"&amp;LEFT($C$5,2)&amp;"输出",标准坦克设计!$B$23:$U$23,0)))*(VLOOKUP($B98,INDIRECT($B$5&amp;"生成成长"),3))*(VLOOKUP($B$5,标准坦克设计!$B$14:$K$20,9)/30))</f>
        <v>11.116317402126855</v>
      </c>
      <c r="BT98" s="173">
        <f ca="1">(VLOOKUP(BT$72,INDIRECT($C$5&amp;"生成成长"),2))/((VLOOKUP($B98,INDIRECT($B$5&amp;"生成成长"),4))/(VLOOKUP(BT$72,INDIRECT($C$5&amp;"生成成长"),5))*(VLOOKUP($B$5,标准坦克设计!$B$24:$U$30,MATCH("对"&amp;LEFT($C$5,2)&amp;"输出",标准坦克设计!$B$23:$U$23,0)))*(VLOOKUP($B98,INDIRECT($B$5&amp;"生成成长"),3))*(VLOOKUP($B$5,标准坦克设计!$B$14:$K$20,9)/30))</f>
        <v>12.034644857202654</v>
      </c>
      <c r="BU98" s="173">
        <f ca="1">(VLOOKUP(BU$72,INDIRECT($C$5&amp;"生成成长"),2))/((VLOOKUP($B98,INDIRECT($B$5&amp;"生成成长"),4))/(VLOOKUP(BU$72,INDIRECT($C$5&amp;"生成成长"),5))*(VLOOKUP($B$5,标准坦克设计!$B$24:$U$30,MATCH("对"&amp;LEFT($C$5,2)&amp;"输出",标准坦克设计!$B$23:$U$23,0)))*(VLOOKUP($B98,INDIRECT($B$5&amp;"生成成长"),3))*(VLOOKUP($B$5,标准坦克设计!$B$14:$K$20,9)/30))</f>
        <v>12.989413877956061</v>
      </c>
      <c r="BV98" s="173">
        <f ca="1">(VLOOKUP(BV$72,INDIRECT($C$5&amp;"生成成长"),2))/((VLOOKUP($B98,INDIRECT($B$5&amp;"生成成长"),4))/(VLOOKUP(BV$72,INDIRECT($C$5&amp;"生成成长"),5))*(VLOOKUP($B$5,标准坦克设计!$B$24:$U$30,MATCH("对"&amp;LEFT($C$5,2)&amp;"输出",标准坦克设计!$B$23:$U$23,0)))*(VLOOKUP($B98,INDIRECT($B$5&amp;"生成成长"),3))*(VLOOKUP($B$5,标准坦克设计!$B$14:$K$20,9)/30))</f>
        <v>13.980624464387081</v>
      </c>
      <c r="BW98" s="173">
        <f ca="1">(VLOOKUP(BW$72,INDIRECT($C$5&amp;"生成成长"),2))/((VLOOKUP($B98,INDIRECT($B$5&amp;"生成成长"),4))/(VLOOKUP(BW$72,INDIRECT($C$5&amp;"生成成长"),5))*(VLOOKUP($B$5,标准坦克设计!$B$24:$U$30,MATCH("对"&amp;LEFT($C$5,2)&amp;"输出",标准坦克设计!$B$23:$U$23,0)))*(VLOOKUP($B98,INDIRECT($B$5&amp;"生成成长"),3))*(VLOOKUP($B$5,标准坦克设计!$B$14:$K$20,9)/30))</f>
        <v>6.3716255509018991</v>
      </c>
      <c r="BX98" s="173">
        <f ca="1">(VLOOKUP(BX$72,INDIRECT($C$5&amp;"生成成长"),2))/((VLOOKUP($B98,INDIRECT($B$5&amp;"生成成长"),4))/(VLOOKUP(BX$72,INDIRECT($C$5&amp;"生成成长"),5))*(VLOOKUP($B$5,标准坦克设计!$B$24:$U$30,MATCH("对"&amp;LEFT($C$5,2)&amp;"输出",标准坦克设计!$B$23:$U$23,0)))*(VLOOKUP($B98,INDIRECT($B$5&amp;"生成成长"),3))*(VLOOKUP($B$5,标准坦克设计!$B$14:$K$20,9)/30))</f>
        <v>7.0713036119120316</v>
      </c>
      <c r="BY98" s="173">
        <f ca="1">(VLOOKUP(BY$72,INDIRECT($C$5&amp;"生成成长"),2))/((VLOOKUP($B98,INDIRECT($B$5&amp;"生成成长"),4))/(VLOOKUP(BY$72,INDIRECT($C$5&amp;"生成成长"),5))*(VLOOKUP($B$5,标准坦克设计!$B$24:$U$30,MATCH("对"&amp;LEFT($C$5,2)&amp;"输出",标准坦克设计!$B$23:$U$23,0)))*(VLOOKUP($B98,INDIRECT($B$5&amp;"生成成长"),3))*(VLOOKUP($B$5,标准坦克设计!$B$14:$K$20,9)/30))</f>
        <v>7.8074232385997746</v>
      </c>
      <c r="BZ98" s="173">
        <f ca="1">(VLOOKUP(BZ$72,INDIRECT($C$5&amp;"生成成长"),2))/((VLOOKUP($B98,INDIRECT($B$5&amp;"生成成长"),4))/(VLOOKUP(BZ$72,INDIRECT($C$5&amp;"生成成长"),5))*(VLOOKUP($B$5,标准坦克设计!$B$24:$U$30,MATCH("对"&amp;LEFT($C$5,2)&amp;"输出",标准坦克设计!$B$23:$U$23,0)))*(VLOOKUP($B98,INDIRECT($B$5&amp;"生成成长"),3))*(VLOOKUP($B$5,标准坦克设计!$B$14:$K$20,9)/30))</f>
        <v>8.5799844309651263</v>
      </c>
      <c r="CA98" s="173">
        <f ca="1">(VLOOKUP(CA$72,INDIRECT($C$5&amp;"生成成长"),2))/((VLOOKUP($B98,INDIRECT($B$5&amp;"生成成长"),4))/(VLOOKUP(CA$72,INDIRECT($C$5&amp;"生成成长"),5))*(VLOOKUP($B$5,标准坦克设计!$B$24:$U$30,MATCH("对"&amp;LEFT($C$5,2)&amp;"输出",标准坦克设计!$B$23:$U$23,0)))*(VLOOKUP($B98,INDIRECT($B$5&amp;"生成成长"),3))*(VLOOKUP($B$5,标准坦克设计!$B$14:$K$20,9)/30))</f>
        <v>9.3889871890080929</v>
      </c>
      <c r="CB98" s="173">
        <f ca="1">(VLOOKUP(CB$72,INDIRECT($C$5&amp;"生成成长"),2))/((VLOOKUP($B98,INDIRECT($B$5&amp;"生成成长"),4))/(VLOOKUP(CB$72,INDIRECT($C$5&amp;"生成成长"),5))*(VLOOKUP($B$5,标准坦克设计!$B$24:$U$30,MATCH("对"&amp;LEFT($C$5,2)&amp;"输出",标准坦克设计!$B$23:$U$23,0)))*(VLOOKUP($B98,INDIRECT($B$5&amp;"生成成长"),3))*(VLOOKUP($B$5,标准坦克设计!$B$14:$K$20,9)/30))</f>
        <v>10.234431512728666</v>
      </c>
      <c r="CC98" s="173">
        <f ca="1">(VLOOKUP(CC$72,INDIRECT($C$5&amp;"生成成长"),2))/((VLOOKUP($B98,INDIRECT($B$5&amp;"生成成长"),4))/(VLOOKUP(CC$72,INDIRECT($C$5&amp;"生成成长"),5))*(VLOOKUP($B$5,标准坦克设计!$B$24:$U$30,MATCH("对"&amp;LEFT($C$5,2)&amp;"输出",标准坦克设计!$B$23:$U$23,0)))*(VLOOKUP($B98,INDIRECT($B$5&amp;"生成成长"),3))*(VLOOKUP($B$5,标准坦克设计!$B$14:$K$20,9)/30))</f>
        <v>11.116317402126855</v>
      </c>
      <c r="CD98" s="173">
        <f ca="1">(VLOOKUP(CD$72,INDIRECT($C$5&amp;"生成成长"),2))/((VLOOKUP($B98,INDIRECT($B$5&amp;"生成成长"),4))/(VLOOKUP(CD$72,INDIRECT($C$5&amp;"生成成长"),5))*(VLOOKUP($B$5,标准坦克设计!$B$24:$U$30,MATCH("对"&amp;LEFT($C$5,2)&amp;"输出",标准坦克设计!$B$23:$U$23,0)))*(VLOOKUP($B98,INDIRECT($B$5&amp;"生成成长"),3))*(VLOOKUP($B$5,标准坦克设计!$B$14:$K$20,9)/30))</f>
        <v>12.034644857202654</v>
      </c>
      <c r="CE98" s="173">
        <f ca="1">(VLOOKUP(CE$72,INDIRECT($C$5&amp;"生成成长"),2))/((VLOOKUP($B98,INDIRECT($B$5&amp;"生成成长"),4))/(VLOOKUP(CE$72,INDIRECT($C$5&amp;"生成成长"),5))*(VLOOKUP($B$5,标准坦克设计!$B$24:$U$30,MATCH("对"&amp;LEFT($C$5,2)&amp;"输出",标准坦克设计!$B$23:$U$23,0)))*(VLOOKUP($B98,INDIRECT($B$5&amp;"生成成长"),3))*(VLOOKUP($B$5,标准坦克设计!$B$14:$K$20,9)/30))</f>
        <v>12.989413877956061</v>
      </c>
      <c r="CF98" s="173">
        <f ca="1">(VLOOKUP(CF$72,INDIRECT($C$5&amp;"生成成长"),2))/((VLOOKUP($B98,INDIRECT($B$5&amp;"生成成长"),4))/(VLOOKUP(CF$72,INDIRECT($C$5&amp;"生成成长"),5))*(VLOOKUP($B$5,标准坦克设计!$B$24:$U$30,MATCH("对"&amp;LEFT($C$5,2)&amp;"输出",标准坦克设计!$B$23:$U$23,0)))*(VLOOKUP($B98,INDIRECT($B$5&amp;"生成成长"),3))*(VLOOKUP($B$5,标准坦克设计!$B$14:$K$20,9)/30))</f>
        <v>13.980624464387081</v>
      </c>
      <c r="CG98" s="173">
        <f ca="1">(VLOOKUP(CG$72,INDIRECT($C$5&amp;"生成成长"),2))/((VLOOKUP($B98,INDIRECT($B$5&amp;"生成成长"),4))/(VLOOKUP(CG$72,INDIRECT($C$5&amp;"生成成长"),5))*(VLOOKUP($B$5,标准坦克设计!$B$24:$U$30,MATCH("对"&amp;LEFT($C$5,2)&amp;"输出",标准坦克设计!$B$23:$U$23,0)))*(VLOOKUP($B98,INDIRECT($B$5&amp;"生成成长"),3))*(VLOOKUP($B$5,标准坦克设计!$B$14:$K$20,9)/30))</f>
        <v>15.008276616495714</v>
      </c>
      <c r="CH98" s="173">
        <f ca="1">(VLOOKUP(CH$72,INDIRECT($C$5&amp;"生成成长"),2))/((VLOOKUP($B98,INDIRECT($B$5&amp;"生成成长"),4))/(VLOOKUP(CH$72,INDIRECT($C$5&amp;"生成成长"),5))*(VLOOKUP($B$5,标准坦克设计!$B$24:$U$30,MATCH("对"&amp;LEFT($C$5,2)&amp;"输出",标准坦克设计!$B$23:$U$23,0)))*(VLOOKUP($B98,INDIRECT($B$5&amp;"生成成长"),3))*(VLOOKUP($B$5,标准坦克设计!$B$14:$K$20,9)/30))</f>
        <v>16.072370334281956</v>
      </c>
      <c r="CI98" s="173">
        <f ca="1">(VLOOKUP(CI$72,INDIRECT($C$5&amp;"生成成长"),2))/((VLOOKUP($B98,INDIRECT($B$5&amp;"生成成长"),4))/(VLOOKUP(CI$72,INDIRECT($C$5&amp;"生成成长"),5))*(VLOOKUP($B$5,标准坦克设计!$B$24:$U$30,MATCH("对"&amp;LEFT($C$5,2)&amp;"输出",标准坦克设计!$B$23:$U$23,0)))*(VLOOKUP($B98,INDIRECT($B$5&amp;"生成成长"),3))*(VLOOKUP($B$5,标准坦克设计!$B$14:$K$20,9)/30))</f>
        <v>17.28496343220446</v>
      </c>
      <c r="CJ98" s="173">
        <f ca="1">(VLOOKUP(CJ$72,INDIRECT($C$5&amp;"生成成长"),2))/((VLOOKUP($B98,INDIRECT($B$5&amp;"生成成长"),4))/(VLOOKUP(CJ$72,INDIRECT($C$5&amp;"生成成长"),5))*(VLOOKUP($B$5,标准坦克设计!$B$24:$U$30,MATCH("对"&amp;LEFT($C$5,2)&amp;"输出",标准坦克设计!$B$23:$U$23,0)))*(VLOOKUP($B98,INDIRECT($B$5&amp;"生成成长"),3))*(VLOOKUP($B$5,标准坦克设计!$B$14:$K$20,9)/30))</f>
        <v>18.541650824596879</v>
      </c>
      <c r="CK98" s="173">
        <f ca="1">(VLOOKUP(CK$72,INDIRECT($C$5&amp;"生成成长"),2))/((VLOOKUP($B98,INDIRECT($B$5&amp;"生成成长"),4))/(VLOOKUP(CK$72,INDIRECT($C$5&amp;"生成成长"),5))*(VLOOKUP($B$5,标准坦克设计!$B$24:$U$30,MATCH("对"&amp;LEFT($C$5,2)&amp;"输出",标准坦克设计!$B$23:$U$23,0)))*(VLOOKUP($B98,INDIRECT($B$5&amp;"生成成长"),3))*(VLOOKUP($B$5,标准坦克设计!$B$14:$K$20,9)/30))</f>
        <v>19.842432511459204</v>
      </c>
      <c r="CL98" s="173">
        <f ca="1">(VLOOKUP(CL$72,INDIRECT($C$5&amp;"生成成长"),2))/((VLOOKUP($B98,INDIRECT($B$5&amp;"生成成长"),4))/(VLOOKUP(CL$72,INDIRECT($C$5&amp;"生成成长"),5))*(VLOOKUP($B$5,标准坦克设计!$B$24:$U$30,MATCH("对"&amp;LEFT($C$5,2)&amp;"输出",标准坦克设计!$B$23:$U$23,0)))*(VLOOKUP($B98,INDIRECT($B$5&amp;"生成成长"),3))*(VLOOKUP($B$5,标准坦克设计!$B$14:$K$20,9)/30))</f>
        <v>21.187308492791441</v>
      </c>
      <c r="CM98" s="173">
        <f ca="1">(VLOOKUP(CM$72,INDIRECT($C$5&amp;"生成成长"),2))/((VLOOKUP($B98,INDIRECT($B$5&amp;"生成成长"),4))/(VLOOKUP(CM$72,INDIRECT($C$5&amp;"生成成长"),5))*(VLOOKUP($B$5,标准坦克设计!$B$24:$U$30,MATCH("对"&amp;LEFT($C$5,2)&amp;"输出",标准坦克设计!$B$23:$U$23,0)))*(VLOOKUP($B98,INDIRECT($B$5&amp;"生成成长"),3))*(VLOOKUP($B$5,标准坦克设计!$B$14:$K$20,9)/30))</f>
        <v>22.576278768593582</v>
      </c>
      <c r="CN98" s="173">
        <f ca="1">(VLOOKUP(CN$72,INDIRECT($C$5&amp;"生成成长"),2))/((VLOOKUP($B98,INDIRECT($B$5&amp;"生成成长"),4))/(VLOOKUP(CN$72,INDIRECT($C$5&amp;"生成成长"),5))*(VLOOKUP($B$5,标准坦克设计!$B$24:$U$30,MATCH("对"&amp;LEFT($C$5,2)&amp;"输出",标准坦克设计!$B$23:$U$23,0)))*(VLOOKUP($B98,INDIRECT($B$5&amp;"生成成长"),3))*(VLOOKUP($B$5,标准坦克设计!$B$14:$K$20,9)/30))</f>
        <v>24.009343338865637</v>
      </c>
      <c r="CO98" s="173">
        <f ca="1">(VLOOKUP(CO$72,INDIRECT($C$5&amp;"生成成长"),2))/((VLOOKUP($B98,INDIRECT($B$5&amp;"生成成长"),4))/(VLOOKUP(CO$72,INDIRECT($C$5&amp;"生成成长"),5))*(VLOOKUP($B$5,标准坦克设计!$B$24:$U$30,MATCH("对"&amp;LEFT($C$5,2)&amp;"输出",标准坦克设计!$B$23:$U$23,0)))*(VLOOKUP($B98,INDIRECT($B$5&amp;"生成成长"),3))*(VLOOKUP($B$5,标准坦克设计!$B$14:$K$20,9)/30))</f>
        <v>10.759190058486267</v>
      </c>
      <c r="CP98" s="173">
        <f ca="1">(VLOOKUP(CP$72,INDIRECT($C$5&amp;"生成成长"),2))/((VLOOKUP($B98,INDIRECT($B$5&amp;"生成成长"),4))/(VLOOKUP(CP$72,INDIRECT($C$5&amp;"生成成长"),5))*(VLOOKUP($B$5,标准坦克设计!$B$24:$U$30,MATCH("对"&amp;LEFT($C$5,2)&amp;"输出",标准坦克设计!$B$23:$U$23,0)))*(VLOOKUP($B98,INDIRECT($B$5&amp;"生成成长"),3))*(VLOOKUP($B$5,标准坦克设计!$B$14:$K$20,9)/30))</f>
        <v>11.755320256283763</v>
      </c>
      <c r="CQ98" s="173">
        <f ca="1">(VLOOKUP(CQ$72,INDIRECT($C$5&amp;"生成成长"),2))/((VLOOKUP($B98,INDIRECT($B$5&amp;"生成成长"),4))/(VLOOKUP(CQ$72,INDIRECT($C$5&amp;"生成成长"),5))*(VLOOKUP($B$5,标准坦克设计!$B$24:$U$30,MATCH("对"&amp;LEFT($C$5,2)&amp;"输出",标准坦克设计!$B$23:$U$23,0)))*(VLOOKUP($B98,INDIRECT($B$5&amp;"生成成长"),3))*(VLOOKUP($B$5,标准坦克设计!$B$14:$K$20,9)/30))</f>
        <v>12.795544748551169</v>
      </c>
      <c r="CR98" s="173">
        <f ca="1">(VLOOKUP(CR$72,INDIRECT($C$5&amp;"生成成长"),2))/((VLOOKUP($B98,INDIRECT($B$5&amp;"生成成长"),4))/(VLOOKUP(CR$72,INDIRECT($C$5&amp;"生成成长"),5))*(VLOOKUP($B$5,标准坦克设计!$B$24:$U$30,MATCH("对"&amp;LEFT($C$5,2)&amp;"输出",标准坦克设计!$B$23:$U$23,0)))*(VLOOKUP($B98,INDIRECT($B$5&amp;"生成成长"),3))*(VLOOKUP($B$5,标准坦克设计!$B$14:$K$20,9)/30))</f>
        <v>13.879863535288486</v>
      </c>
      <c r="CS98" s="173">
        <f ca="1">(VLOOKUP(CS$72,INDIRECT($C$5&amp;"生成成长"),2))/((VLOOKUP($B98,INDIRECT($B$5&amp;"生成成长"),4))/(VLOOKUP(CS$72,INDIRECT($C$5&amp;"生成成长"),5))*(VLOOKUP($B$5,标准坦克设计!$B$24:$U$30,MATCH("对"&amp;LEFT($C$5,2)&amp;"输出",标准坦克设计!$B$23:$U$23,0)))*(VLOOKUP($B98,INDIRECT($B$5&amp;"生成成长"),3))*(VLOOKUP($B$5,标准坦克设计!$B$14:$K$20,9)/30))</f>
        <v>15.008276616495714</v>
      </c>
      <c r="CT98" s="173">
        <f ca="1">(VLOOKUP(CT$72,INDIRECT($C$5&amp;"生成成长"),2))/((VLOOKUP($B98,INDIRECT($B$5&amp;"生成成长"),4))/(VLOOKUP(CT$72,INDIRECT($C$5&amp;"生成成长"),5))*(VLOOKUP($B$5,标准坦克设计!$B$24:$U$30,MATCH("对"&amp;LEFT($C$5,2)&amp;"输出",标准坦克设计!$B$23:$U$23,0)))*(VLOOKUP($B98,INDIRECT($B$5&amp;"生成成长"),3))*(VLOOKUP($B$5,标准坦克设计!$B$14:$K$20,9)/30))</f>
        <v>16.180783992172849</v>
      </c>
      <c r="CU98" s="173">
        <f ca="1">(VLOOKUP(CU$72,INDIRECT($C$5&amp;"生成成长"),2))/((VLOOKUP($B98,INDIRECT($B$5&amp;"生成成长"),4))/(VLOOKUP(CU$72,INDIRECT($C$5&amp;"生成成长"),5))*(VLOOKUP($B$5,标准坦克设计!$B$24:$U$30,MATCH("对"&amp;LEFT($C$5,2)&amp;"输出",标准坦克设计!$B$23:$U$23,0)))*(VLOOKUP($B98,INDIRECT($B$5&amp;"生成成长"),3))*(VLOOKUP($B$5,标准坦克设计!$B$14:$K$20,9)/30))</f>
        <v>17.397385662319891</v>
      </c>
      <c r="CV98" s="173">
        <f ca="1">(VLOOKUP(CV$72,INDIRECT($C$5&amp;"生成成长"),2))/((VLOOKUP($B98,INDIRECT($B$5&amp;"生成成长"),4))/(VLOOKUP(CV$72,INDIRECT($C$5&amp;"生成成长"),5))*(VLOOKUP($B$5,标准坦克设计!$B$24:$U$30,MATCH("对"&amp;LEFT($C$5,2)&amp;"输出",标准坦克设计!$B$23:$U$23,0)))*(VLOOKUP($B98,INDIRECT($B$5&amp;"生成成长"),3))*(VLOOKUP($B$5,标准坦克设计!$B$14:$K$20,9)/30))</f>
        <v>18.658081626936845</v>
      </c>
      <c r="CW98" s="173">
        <f ca="1">(VLOOKUP(CW$72,INDIRECT($C$5&amp;"生成成长"),2))/((VLOOKUP($B98,INDIRECT($B$5&amp;"生成成长"),4))/(VLOOKUP(CW$72,INDIRECT($C$5&amp;"生成成长"),5))*(VLOOKUP($B$5,标准坦克设计!$B$24:$U$30,MATCH("对"&amp;LEFT($C$5,2)&amp;"输出",标准坦克设计!$B$23:$U$23,0)))*(VLOOKUP($B98,INDIRECT($B$5&amp;"生成成长"),3))*(VLOOKUP($B$5,标准坦克设计!$B$14:$K$20,9)/30))</f>
        <v>19.962871886023706</v>
      </c>
      <c r="CX98" s="173">
        <f ca="1">(VLOOKUP(CX$72,INDIRECT($C$5&amp;"生成成长"),2))/((VLOOKUP($B98,INDIRECT($B$5&amp;"生成成长"),4))/(VLOOKUP(CX$72,INDIRECT($C$5&amp;"生成成长"),5))*(VLOOKUP($B$5,标准坦克设计!$B$24:$U$30,MATCH("对"&amp;LEFT($C$5,2)&amp;"输出",标准坦克设计!$B$23:$U$23,0)))*(VLOOKUP($B98,INDIRECT($B$5&amp;"生成成长"),3))*(VLOOKUP($B$5,标准坦克设计!$B$14:$K$20,9)/30))</f>
        <v>21.311756439580478</v>
      </c>
      <c r="CY98" s="173">
        <f ca="1">(VLOOKUP(CY$72,INDIRECT($C$5&amp;"生成成长"),2))/((VLOOKUP($B98,INDIRECT($B$5&amp;"生成成长"),4))/(VLOOKUP(CY$72,INDIRECT($C$5&amp;"生成成长"),5))*(VLOOKUP($B$5,标准坦克设计!$B$24:$U$30,MATCH("对"&amp;LEFT($C$5,2)&amp;"输出",标准坦克设计!$B$23:$U$23,0)))*(VLOOKUP($B98,INDIRECT($B$5&amp;"生成成长"),3))*(VLOOKUP($B$5,标准坦克设计!$B$14:$K$20,9)/30))</f>
        <v>22.704735287607157</v>
      </c>
      <c r="CZ98" s="173">
        <f ca="1">(VLOOKUP(CZ$72,INDIRECT($C$5&amp;"生成成长"),2))/((VLOOKUP($B98,INDIRECT($B$5&amp;"生成成长"),4))/(VLOOKUP(CZ$72,INDIRECT($C$5&amp;"生成成长"),5))*(VLOOKUP($B$5,标准坦克设计!$B$24:$U$30,MATCH("对"&amp;LEFT($C$5,2)&amp;"输出",标准坦克设计!$B$23:$U$23,0)))*(VLOOKUP($B98,INDIRECT($B$5&amp;"生成成长"),3))*(VLOOKUP($B$5,标准坦克设计!$B$14:$K$20,9)/30))</f>
        <v>24.141808430103755</v>
      </c>
      <c r="DA98" s="173">
        <f ca="1">(VLOOKUP(DA$72,INDIRECT($C$5&amp;"生成成长"),2))/((VLOOKUP($B98,INDIRECT($B$5&amp;"生成成长"),4))/(VLOOKUP(DA$72,INDIRECT($C$5&amp;"生成成长"),5))*(VLOOKUP($B$5,标准坦克设计!$B$24:$U$30,MATCH("对"&amp;LEFT($C$5,2)&amp;"输出",标准坦克设计!$B$23:$U$23,0)))*(VLOOKUP($B98,INDIRECT($B$5&amp;"生成成长"),3))*(VLOOKUP($B$5,标准坦克设计!$B$14:$K$20,9)/30))</f>
        <v>25.622975867070249</v>
      </c>
      <c r="DB98" s="173">
        <f ca="1">(VLOOKUP(DB$72,INDIRECT($C$5&amp;"生成成长"),2))/((VLOOKUP($B98,INDIRECT($B$5&amp;"生成成长"),4))/(VLOOKUP(DB$72,INDIRECT($C$5&amp;"生成成长"),5))*(VLOOKUP($B$5,标准坦克设计!$B$24:$U$30,MATCH("对"&amp;LEFT($C$5,2)&amp;"输出",标准坦克设计!$B$23:$U$23,0)))*(VLOOKUP($B98,INDIRECT($B$5&amp;"生成成长"),3))*(VLOOKUP($B$5,标准坦克设计!$B$14:$K$20,9)/30))</f>
        <v>27.148237598506661</v>
      </c>
      <c r="DC98" s="173">
        <f ca="1">(VLOOKUP(DC$72,INDIRECT($C$5&amp;"生成成长"),2))/((VLOOKUP($B98,INDIRECT($B$5&amp;"生成成长"),4))/(VLOOKUP(DC$72,INDIRECT($C$5&amp;"生成成长"),5))*(VLOOKUP($B$5,标准坦克设计!$B$24:$U$30,MATCH("对"&amp;LEFT($C$5,2)&amp;"输出",标准坦克设计!$B$23:$U$23,0)))*(VLOOKUP($B98,INDIRECT($B$5&amp;"生成成长"),3))*(VLOOKUP($B$5,标准坦克设计!$B$14:$K$20,9)/30))</f>
        <v>28.862448847981479</v>
      </c>
      <c r="DD98" s="173">
        <f ca="1">(VLOOKUP(DD$72,INDIRECT($C$5&amp;"生成成长"),2))/((VLOOKUP($B98,INDIRECT($B$5&amp;"生成成长"),4))/(VLOOKUP(DD$72,INDIRECT($C$5&amp;"生成成长"),5))*(VLOOKUP($B$5,标准坦克设计!$B$24:$U$30,MATCH("对"&amp;LEFT($C$5,2)&amp;"输出",标准坦克设计!$B$23:$U$23,0)))*(VLOOKUP($B98,INDIRECT($B$5&amp;"生成成长"),3))*(VLOOKUP($B$5,标准坦克设计!$B$14:$K$20,9)/30))</f>
        <v>30.629135952032069</v>
      </c>
      <c r="DE98" s="173">
        <f ca="1">(VLOOKUP(DE$72,INDIRECT($C$5&amp;"生成成长"),2))/((VLOOKUP($B98,INDIRECT($B$5&amp;"生成成长"),4))/(VLOOKUP(DE$72,INDIRECT($C$5&amp;"生成成长"),5))*(VLOOKUP($B$5,标准坦克设计!$B$24:$U$30,MATCH("对"&amp;LEFT($C$5,2)&amp;"输出",标准坦克设计!$B$23:$U$23,0)))*(VLOOKUP($B98,INDIRECT($B$5&amp;"生成成长"),3))*(VLOOKUP($B$5,标准坦克设计!$B$14:$K$20,9)/30))</f>
        <v>32.448298910658409</v>
      </c>
      <c r="DF98" s="173">
        <f ca="1">(VLOOKUP(DF$72,INDIRECT($C$5&amp;"生成成长"),2))/((VLOOKUP($B98,INDIRECT($B$5&amp;"生成成长"),4))/(VLOOKUP(DF$72,INDIRECT($C$5&amp;"生成成长"),5))*(VLOOKUP($B$5,标准坦克设计!$B$24:$U$30,MATCH("对"&amp;LEFT($C$5,2)&amp;"输出",标准坦克设计!$B$23:$U$23,0)))*(VLOOKUP($B98,INDIRECT($B$5&amp;"生成成长"),3))*(VLOOKUP($B$5,标准坦克设计!$B$14:$K$20,9)/30))</f>
        <v>34.319937723860505</v>
      </c>
      <c r="DG98" s="173">
        <f ca="1">(VLOOKUP(DG$72,INDIRECT($C$5&amp;"生成成长"),2))/((VLOOKUP($B98,INDIRECT($B$5&amp;"生成成长"),4))/(VLOOKUP(DG$72,INDIRECT($C$5&amp;"生成成长"),5))*(VLOOKUP($B$5,标准坦克设计!$B$24:$U$30,MATCH("对"&amp;LEFT($C$5,2)&amp;"输出",标准坦克设计!$B$23:$U$23,0)))*(VLOOKUP($B98,INDIRECT($B$5&amp;"生成成长"),3))*(VLOOKUP($B$5,标准坦克设计!$B$14:$K$20,9)/30))</f>
        <v>36.24405239163837</v>
      </c>
      <c r="DH98" s="173">
        <f ca="1">(VLOOKUP(DH$72,INDIRECT($C$5&amp;"生成成长"),2))/((VLOOKUP($B98,INDIRECT($B$5&amp;"生成成长"),4))/(VLOOKUP(DH$72,INDIRECT($C$5&amp;"生成成长"),5))*(VLOOKUP($B$5,标准坦克设计!$B$24:$U$30,MATCH("对"&amp;LEFT($C$5,2)&amp;"输出",标准坦克设计!$B$23:$U$23,0)))*(VLOOKUP($B98,INDIRECT($B$5&amp;"生成成长"),3))*(VLOOKUP($B$5,标准坦克设计!$B$14:$K$20,9)/30))</f>
        <v>38.220642913991995</v>
      </c>
      <c r="DI98" s="173">
        <f ca="1">(VLOOKUP(DI$72,INDIRECT($C$5&amp;"生成成长"),2))/((VLOOKUP($B98,INDIRECT($B$5&amp;"生成成长"),4))/(VLOOKUP(DI$72,INDIRECT($C$5&amp;"生成成长"),5))*(VLOOKUP($B$5,标准坦克设计!$B$24:$U$30,MATCH("对"&amp;LEFT($C$5,2)&amp;"输出",标准坦克设计!$B$23:$U$23,0)))*(VLOOKUP($B98,INDIRECT($B$5&amp;"生成成长"),3))*(VLOOKUP($B$5,标准坦克设计!$B$14:$K$20,9)/30))</f>
        <v>40.249709290921373</v>
      </c>
      <c r="DJ98" s="173">
        <f ca="1">(VLOOKUP(DJ$72,INDIRECT($C$5&amp;"生成成长"),2))/((VLOOKUP($B98,INDIRECT($B$5&amp;"生成成长"),4))/(VLOOKUP(DJ$72,INDIRECT($C$5&amp;"生成成长"),5))*(VLOOKUP($B$5,标准坦克设计!$B$24:$U$30,MATCH("对"&amp;LEFT($C$5,2)&amp;"输出",标准坦克设计!$B$23:$U$23,0)))*(VLOOKUP($B98,INDIRECT($B$5&amp;"生成成长"),3))*(VLOOKUP($B$5,标准坦克设计!$B$14:$K$20,9)/30))</f>
        <v>4.0451959980432122</v>
      </c>
      <c r="DK98" s="173">
        <f ca="1">(VLOOKUP(DK$72,INDIRECT($C$5&amp;"生成成长"),2))/((VLOOKUP($B98,INDIRECT($B$5&amp;"生成成长"),4))/(VLOOKUP(DK$72,INDIRECT($C$5&amp;"生成成长"),5))*(VLOOKUP($B$5,标准坦克设计!$B$24:$U$30,MATCH("对"&amp;LEFT($C$5,2)&amp;"输出",标准坦克设计!$B$23:$U$23,0)))*(VLOOKUP($B98,INDIRECT($B$5&amp;"生成成长"),3))*(VLOOKUP($B$5,标准坦克设计!$B$14:$K$20,9)/30))</f>
        <v>4.5486362278794088</v>
      </c>
      <c r="DL98" s="173">
        <f ca="1">(VLOOKUP(DL$72,INDIRECT($C$5&amp;"生成成长"),2))/((VLOOKUP($B98,INDIRECT($B$5&amp;"生成成长"),4))/(VLOOKUP(DL$72,INDIRECT($C$5&amp;"生成成长"),5))*(VLOOKUP($B$5,标准坦克设计!$B$24:$U$30,MATCH("对"&amp;LEFT($C$5,2)&amp;"输出",标准坦克设计!$B$23:$U$23,0)))*(VLOOKUP($B98,INDIRECT($B$5&amp;"生成成长"),3))*(VLOOKUP($B$5,标准坦克设计!$B$14:$K$20,9)/30))</f>
        <v>5.081594125914469</v>
      </c>
      <c r="DM98" s="173">
        <f ca="1">(VLOOKUP(DM$72,INDIRECT($C$5&amp;"生成成长"),2))/((VLOOKUP($B98,INDIRECT($B$5&amp;"生成成长"),4))/(VLOOKUP(DM$72,INDIRECT($C$5&amp;"生成成长"),5))*(VLOOKUP($B$5,标准坦克设计!$B$24:$U$30,MATCH("对"&amp;LEFT($C$5,2)&amp;"输出",标准坦克设计!$B$23:$U$23,0)))*(VLOOKUP($B98,INDIRECT($B$5&amp;"生成成长"),3))*(VLOOKUP($B$5,标准坦克设计!$B$14:$K$20,9)/30))</f>
        <v>5.6440696921483955</v>
      </c>
      <c r="DN98" s="173">
        <f ca="1">(VLOOKUP(DN$72,INDIRECT($C$5&amp;"生成成长"),2))/((VLOOKUP($B98,INDIRECT($B$5&amp;"生成成长"),4))/(VLOOKUP(DN$72,INDIRECT($C$5&amp;"生成成长"),5))*(VLOOKUP($B$5,标准坦克设计!$B$24:$U$30,MATCH("对"&amp;LEFT($C$5,2)&amp;"输出",标准坦克设计!$B$23:$U$23,0)))*(VLOOKUP($B98,INDIRECT($B$5&amp;"生成成长"),3))*(VLOOKUP($B$5,标准坦克设计!$B$14:$K$20,9)/30))</f>
        <v>6.2360629265811864</v>
      </c>
      <c r="DO98" s="173">
        <f ca="1">(VLOOKUP(DO$72,INDIRECT($C$5&amp;"生成成长"),2))/((VLOOKUP($B98,INDIRECT($B$5&amp;"生成成长"),4))/(VLOOKUP(DO$72,INDIRECT($C$5&amp;"生成成长"),5))*(VLOOKUP($B$5,标准坦克设计!$B$24:$U$30,MATCH("对"&amp;LEFT($C$5,2)&amp;"输出",标准坦克设计!$B$23:$U$23,0)))*(VLOOKUP($B98,INDIRECT($B$5&amp;"生成成长"),3))*(VLOOKUP($B$5,标准坦克设计!$B$14:$K$20,9)/30))</f>
        <v>6.8575738292128428</v>
      </c>
      <c r="DP98" s="173">
        <f ca="1">(VLOOKUP(DP$72,INDIRECT($C$5&amp;"生成成长"),2))/((VLOOKUP($B98,INDIRECT($B$5&amp;"生成成长"),4))/(VLOOKUP(DP$72,INDIRECT($C$5&amp;"生成成长"),5))*(VLOOKUP($B$5,标准坦克设计!$B$24:$U$30,MATCH("对"&amp;LEFT($C$5,2)&amp;"输出",标准坦克设计!$B$23:$U$23,0)))*(VLOOKUP($B98,INDIRECT($B$5&amp;"生成成长"),3))*(VLOOKUP($B$5,标准坦克设计!$B$14:$K$20,9)/30))</f>
        <v>7.5086024000433627</v>
      </c>
      <c r="DQ98" s="173">
        <f ca="1">(VLOOKUP(DQ$72,INDIRECT($C$5&amp;"生成成长"),2))/((VLOOKUP($B98,INDIRECT($B$5&amp;"生成成长"),4))/(VLOOKUP(DQ$72,INDIRECT($C$5&amp;"生成成长"),5))*(VLOOKUP($B$5,标准坦克设计!$B$24:$U$30,MATCH("对"&amp;LEFT($C$5,2)&amp;"输出",标准坦克设计!$B$23:$U$23,0)))*(VLOOKUP($B98,INDIRECT($B$5&amp;"生成成长"),3))*(VLOOKUP($B$5,标准坦克设计!$B$14:$K$20,9)/30))</f>
        <v>8.1891486390727497</v>
      </c>
      <c r="DR98" s="173">
        <f ca="1">(VLOOKUP(DR$72,INDIRECT($C$5&amp;"生成成长"),2))/((VLOOKUP($B98,INDIRECT($B$5&amp;"生成成长"),4))/(VLOOKUP(DR$72,INDIRECT($C$5&amp;"生成成长"),5))*(VLOOKUP($B$5,标准坦克设计!$B$24:$U$30,MATCH("对"&amp;LEFT($C$5,2)&amp;"输出",标准坦克设计!$B$23:$U$23,0)))*(VLOOKUP($B98,INDIRECT($B$5&amp;"生成成长"),3))*(VLOOKUP($B$5,标准坦克设计!$B$14:$K$20,9)/30))</f>
        <v>8.8992125463010012</v>
      </c>
      <c r="DS98" s="173">
        <f ca="1">(VLOOKUP(DS$72,INDIRECT($C$5&amp;"生成成长"),2))/((VLOOKUP($B98,INDIRECT($B$5&amp;"生成成长"),4))/(VLOOKUP(DS$72,INDIRECT($C$5&amp;"生成成长"),5))*(VLOOKUP($B$5,标准坦克设计!$B$24:$U$30,MATCH("对"&amp;LEFT($C$5,2)&amp;"输出",标准坦克设计!$B$23:$U$23,0)))*(VLOOKUP($B98,INDIRECT($B$5&amp;"生成成长"),3))*(VLOOKUP($B$5,标准坦克设计!$B$14:$K$20,9)/30))</f>
        <v>9.6387941217281163</v>
      </c>
      <c r="DT98" s="173">
        <f ca="1">(VLOOKUP(DT$72,INDIRECT($C$5&amp;"生成成长"),2))/((VLOOKUP($B98,INDIRECT($B$5&amp;"生成成长"),4))/(VLOOKUP(DT$72,INDIRECT($C$5&amp;"生成成长"),5))*(VLOOKUP($B$5,标准坦克设计!$B$24:$U$30,MATCH("对"&amp;LEFT($C$5,2)&amp;"输出",标准坦克设计!$B$23:$U$23,0)))*(VLOOKUP($B98,INDIRECT($B$5&amp;"生成成长"),3))*(VLOOKUP($B$5,标准坦克设计!$B$14:$K$20,9)/30))</f>
        <v>10.582812880606628</v>
      </c>
      <c r="DU98" s="173">
        <f ca="1">(VLOOKUP(DU$72,INDIRECT($C$5&amp;"生成成长"),2))/((VLOOKUP($B98,INDIRECT($B$5&amp;"生成成长"),4))/(VLOOKUP(DU$72,INDIRECT($C$5&amp;"生成成长"),5))*(VLOOKUP($B$5,标准坦克设计!$B$24:$U$30,MATCH("对"&amp;LEFT($C$5,2)&amp;"输出",标准坦克设计!$B$23:$U$23,0)))*(VLOOKUP($B98,INDIRECT($B$5&amp;"生成成长"),3))*(VLOOKUP($B$5,标准坦克设计!$B$14:$K$20,9)/30))</f>
        <v>11.570925933955053</v>
      </c>
      <c r="DV98" s="173">
        <f ca="1">(VLOOKUP(DV$72,INDIRECT($C$5&amp;"生成成长"),2))/((VLOOKUP($B98,INDIRECT($B$5&amp;"生成成长"),4))/(VLOOKUP(DV$72,INDIRECT($C$5&amp;"生成成长"),5))*(VLOOKUP($B$5,标准坦克设计!$B$24:$U$30,MATCH("对"&amp;LEFT($C$5,2)&amp;"输出",标准坦克设计!$B$23:$U$23,0)))*(VLOOKUP($B98,INDIRECT($B$5&amp;"生成成长"),3))*(VLOOKUP($B$5,标准坦克设计!$B$14:$K$20,9)/30))</f>
        <v>12.603133281773383</v>
      </c>
      <c r="DW98" s="173">
        <f ca="1">(VLOOKUP(DW$72,INDIRECT($C$5&amp;"生成成长"),2))/((VLOOKUP($B98,INDIRECT($B$5&amp;"生成成长"),4))/(VLOOKUP(DW$72,INDIRECT($C$5&amp;"生成成长"),5))*(VLOOKUP($B$5,标准坦克设计!$B$24:$U$30,MATCH("对"&amp;LEFT($C$5,2)&amp;"输出",标准坦克设计!$B$23:$U$23,0)))*(VLOOKUP($B98,INDIRECT($B$5&amp;"生成成长"),3))*(VLOOKUP($B$5,标准坦克设计!$B$14:$K$20,9)/30))</f>
        <v>13.679434924061626</v>
      </c>
      <c r="DX98" s="173">
        <f ca="1">(VLOOKUP(DX$72,INDIRECT($C$5&amp;"生成成长"),2))/((VLOOKUP($B98,INDIRECT($B$5&amp;"生成成长"),4))/(VLOOKUP(DX$72,INDIRECT($C$5&amp;"生成成长"),5))*(VLOOKUP($B$5,标准坦克设计!$B$24:$U$30,MATCH("对"&amp;LEFT($C$5,2)&amp;"输出",标准坦克设计!$B$23:$U$23,0)))*(VLOOKUP($B98,INDIRECT($B$5&amp;"生成成长"),3))*(VLOOKUP($B$5,标准坦克设计!$B$14:$K$20,9)/30))</f>
        <v>14.799830860819778</v>
      </c>
      <c r="DY98" s="173">
        <f ca="1">(VLOOKUP(DY$72,INDIRECT($C$5&amp;"生成成长"),2))/((VLOOKUP($B98,INDIRECT($B$5&amp;"生成成长"),4))/(VLOOKUP(DY$72,INDIRECT($C$5&amp;"生成成长"),5))*(VLOOKUP($B$5,标准坦克设计!$B$24:$U$30,MATCH("对"&amp;LEFT($C$5,2)&amp;"输出",标准坦克设计!$B$23:$U$23,0)))*(VLOOKUP($B98,INDIRECT($B$5&amp;"生成成长"),3))*(VLOOKUP($B$5,标准坦克设计!$B$14:$K$20,9)/30))</f>
        <v>6.6471237874246389</v>
      </c>
      <c r="DZ98" s="173">
        <f ca="1">(VLOOKUP(DZ$72,INDIRECT($C$5&amp;"生成成长"),2))/((VLOOKUP($B98,INDIRECT($B$5&amp;"生成成长"),4))/(VLOOKUP(DZ$72,INDIRECT($C$5&amp;"生成成长"),5))*(VLOOKUP($B$5,标准坦克设计!$B$24:$U$30,MATCH("对"&amp;LEFT($C$5,2)&amp;"输出",标准坦克设计!$B$23:$U$23,0)))*(VLOOKUP($B98,INDIRECT($B$5&amp;"生成成长"),3))*(VLOOKUP($B$5,标准坦克设计!$B$14:$K$20,9)/30))</f>
        <v>7.3613784747058144</v>
      </c>
      <c r="EA98" s="173">
        <f ca="1">(VLOOKUP(EA$72,INDIRECT($C$5&amp;"生成成长"),2))/((VLOOKUP($B98,INDIRECT($B$5&amp;"生成成长"),4))/(VLOOKUP(EA$72,INDIRECT($C$5&amp;"生成成长"),5))*(VLOOKUP($B$5,标准坦克设计!$B$24:$U$30,MATCH("对"&amp;LEFT($C$5,2)&amp;"输出",标准坦克设计!$B$23:$U$23,0)))*(VLOOKUP($B98,INDIRECT($B$5&amp;"生成成长"),3))*(VLOOKUP($B$5,标准坦克设计!$B$14:$K$20,9)/30))</f>
        <v>8.1120747276646021</v>
      </c>
      <c r="EB98" s="173">
        <f ca="1">(VLOOKUP(EB$72,INDIRECT($C$5&amp;"生成成长"),2))/((VLOOKUP($B98,INDIRECT($B$5&amp;"生成成长"),4))/(VLOOKUP(EB$72,INDIRECT($C$5&amp;"生成成长"),5))*(VLOOKUP($B$5,标准坦克设计!$B$24:$U$30,MATCH("对"&amp;LEFT($C$5,2)&amp;"输出",标准坦克设计!$B$23:$U$23,0)))*(VLOOKUP($B98,INDIRECT($B$5&amp;"生成成长"),3))*(VLOOKUP($B$5,标准坦克设计!$B$14:$K$20,9)/30))</f>
        <v>8.8992125463010012</v>
      </c>
      <c r="EC98" s="173">
        <f ca="1">(VLOOKUP(EC$72,INDIRECT($C$5&amp;"生成成长"),2))/((VLOOKUP($B98,INDIRECT($B$5&amp;"生成成长"),4))/(VLOOKUP(EC$72,INDIRECT($C$5&amp;"生成成长"),5))*(VLOOKUP($B$5,标准坦克设计!$B$24:$U$30,MATCH("对"&amp;LEFT($C$5,2)&amp;"输出",标准坦克设计!$B$23:$U$23,0)))*(VLOOKUP($B98,INDIRECT($B$5&amp;"生成成长"),3))*(VLOOKUP($B$5,标准坦克设计!$B$14:$K$20,9)/30))</f>
        <v>9.7227919306150099</v>
      </c>
      <c r="ED98" s="173">
        <f ca="1">(VLOOKUP(ED$72,INDIRECT($C$5&amp;"生成成长"),2))/((VLOOKUP($B98,INDIRECT($B$5&amp;"生成成长"),4))/(VLOOKUP(ED$72,INDIRECT($C$5&amp;"生成成长"),5))*(VLOOKUP($B$5,标准坦克设计!$B$24:$U$30,MATCH("对"&amp;LEFT($C$5,2)&amp;"输出",标准坦克设计!$B$23:$U$23,0)))*(VLOOKUP($B98,INDIRECT($B$5&amp;"生成成长"),3))*(VLOOKUP($B$5,标准坦克设计!$B$14:$K$20,9)/30))</f>
        <v>10.582812880606628</v>
      </c>
      <c r="EE98" s="173">
        <f ca="1">(VLOOKUP(EE$72,INDIRECT($C$5&amp;"生成成长"),2))/((VLOOKUP($B98,INDIRECT($B$5&amp;"生成成长"),4))/(VLOOKUP(EE$72,INDIRECT($C$5&amp;"生成成长"),5))*(VLOOKUP($B$5,标准坦克设计!$B$24:$U$30,MATCH("对"&amp;LEFT($C$5,2)&amp;"输出",标准坦克设计!$B$23:$U$23,0)))*(VLOOKUP($B98,INDIRECT($B$5&amp;"生成成长"),3))*(VLOOKUP($B$5,标准坦克设计!$B$14:$K$20,9)/30))</f>
        <v>11.479275396275861</v>
      </c>
      <c r="EF98" s="173">
        <f ca="1">(VLOOKUP(EF$72,INDIRECT($C$5&amp;"生成成长"),2))/((VLOOKUP($B98,INDIRECT($B$5&amp;"生成成长"),4))/(VLOOKUP(EF$72,INDIRECT($C$5&amp;"生成成长"),5))*(VLOOKUP($B$5,标准坦克设计!$B$24:$U$30,MATCH("对"&amp;LEFT($C$5,2)&amp;"输出",标准坦克设计!$B$23:$U$23,0)))*(VLOOKUP($B98,INDIRECT($B$5&amp;"生成成长"),3))*(VLOOKUP($B$5,标准坦克设计!$B$14:$K$20,9)/30))</f>
        <v>12.412179477622704</v>
      </c>
      <c r="EG98" s="173">
        <f ca="1">(VLOOKUP(EG$72,INDIRECT($C$5&amp;"生成成长"),2))/((VLOOKUP($B98,INDIRECT($B$5&amp;"生成成长"),4))/(VLOOKUP(EG$72,INDIRECT($C$5&amp;"生成成长"),5))*(VLOOKUP($B$5,标准坦克设计!$B$24:$U$30,MATCH("对"&amp;LEFT($C$5,2)&amp;"输出",标准坦克设计!$B$23:$U$23,0)))*(VLOOKUP($B98,INDIRECT($B$5&amp;"生成成长"),3))*(VLOOKUP($B$5,标准坦克设计!$B$14:$K$20,9)/30))</f>
        <v>13.381525124647155</v>
      </c>
      <c r="EH98" s="173">
        <f ca="1">(VLOOKUP(EH$72,INDIRECT($C$5&amp;"生成成长"),2))/((VLOOKUP($B98,INDIRECT($B$5&amp;"生成成长"),4))/(VLOOKUP(EH$72,INDIRECT($C$5&amp;"生成成长"),5))*(VLOOKUP($B$5,标准坦克设计!$B$24:$U$30,MATCH("对"&amp;LEFT($C$5,2)&amp;"输出",标准坦克设计!$B$23:$U$23,0)))*(VLOOKUP($B98,INDIRECT($B$5&amp;"生成成长"),3))*(VLOOKUP($B$5,标准坦克设计!$B$14:$K$20,9)/30))</f>
        <v>14.387312337349222</v>
      </c>
      <c r="EI98" s="173">
        <f ca="1">(VLOOKUP(EI$72,INDIRECT($C$5&amp;"生成成长"),2))/((VLOOKUP($B98,INDIRECT($B$5&amp;"生成成长"),4))/(VLOOKUP(EI$72,INDIRECT($C$5&amp;"生成成长"),5))*(VLOOKUP($B$5,标准坦克设计!$B$24:$U$30,MATCH("对"&amp;LEFT($C$5,2)&amp;"输出",标准坦克设计!$B$23:$U$23,0)))*(VLOOKUP($B98,INDIRECT($B$5&amp;"生成成长"),3))*(VLOOKUP($B$5,标准坦克设计!$B$14:$K$20,9)/30))</f>
        <v>15.429541115728892</v>
      </c>
      <c r="EJ98" s="173">
        <f ca="1">(VLOOKUP(EJ$72,INDIRECT($C$5&amp;"生成成长"),2))/((VLOOKUP($B98,INDIRECT($B$5&amp;"生成成长"),4))/(VLOOKUP(EJ$72,INDIRECT($C$5&amp;"生成成长"),5))*(VLOOKUP($B$5,标准坦克设计!$B$24:$U$30,MATCH("对"&amp;LEFT($C$5,2)&amp;"输出",标准坦克设计!$B$23:$U$23,0)))*(VLOOKUP($B98,INDIRECT($B$5&amp;"生成成长"),3))*(VLOOKUP($B$5,标准坦克设计!$B$14:$K$20,9)/30))</f>
        <v>16.508211459786185</v>
      </c>
      <c r="EK98" s="173">
        <f ca="1">(VLOOKUP(EK$72,INDIRECT($C$5&amp;"生成成长"),2))/((VLOOKUP($B98,INDIRECT($B$5&amp;"生成成长"),4))/(VLOOKUP(EK$72,INDIRECT($C$5&amp;"生成成长"),5))*(VLOOKUP($B$5,标准坦克设计!$B$24:$U$30,MATCH("对"&amp;LEFT($C$5,2)&amp;"输出",标准坦克设计!$B$23:$U$23,0)))*(VLOOKUP($B98,INDIRECT($B$5&amp;"生成成长"),3))*(VLOOKUP($B$5,标准坦克设计!$B$14:$K$20,9)/30))</f>
        <v>17.850718739349372</v>
      </c>
      <c r="EL98" s="173">
        <f ca="1">(VLOOKUP(EL$72,INDIRECT($C$5&amp;"生成成长"),2))/((VLOOKUP($B98,INDIRECT($B$5&amp;"生成成长"),4))/(VLOOKUP(EL$72,INDIRECT($C$5&amp;"生成成长"),5))*(VLOOKUP($B$5,标准坦克设计!$B$24:$U$30,MATCH("对"&amp;LEFT($C$5,2)&amp;"输出",标准坦克设计!$B$23:$U$23,0)))*(VLOOKUP($B98,INDIRECT($B$5&amp;"生成成长"),3))*(VLOOKUP($B$5,标准坦克设计!$B$14:$K$20,9)/30))</f>
        <v>19.245701873488322</v>
      </c>
      <c r="EM98" s="173">
        <f ca="1">(VLOOKUP(EM$72,INDIRECT($C$5&amp;"生成成长"),2))/((VLOOKUP($B98,INDIRECT($B$5&amp;"生成成长"),4))/(VLOOKUP(EM$72,INDIRECT($C$5&amp;"生成成长"),5))*(VLOOKUP($B$5,标准坦克设计!$B$24:$U$30,MATCH("对"&amp;LEFT($C$5,2)&amp;"输出",标准坦克设计!$B$23:$U$23,0)))*(VLOOKUP($B98,INDIRECT($B$5&amp;"生成成长"),3))*(VLOOKUP($B$5,标准坦克设计!$B$14:$K$20,9)/30))</f>
        <v>20.69316086220303</v>
      </c>
      <c r="EN98" s="173">
        <f ca="1">(VLOOKUP(EN$72,INDIRECT($C$5&amp;"生成成长"),2))/((VLOOKUP($B98,INDIRECT($B$5&amp;"生成成长"),4))/(VLOOKUP(EN$72,INDIRECT($C$5&amp;"生成成长"),5))*(VLOOKUP($B$5,标准坦克设计!$B$24:$U$30,MATCH("对"&amp;LEFT($C$5,2)&amp;"输出",标准坦克设计!$B$23:$U$23,0)))*(VLOOKUP($B98,INDIRECT($B$5&amp;"生成成长"),3))*(VLOOKUP($B$5,标准坦克设计!$B$14:$K$20,9)/30))</f>
        <v>22.193095705493498</v>
      </c>
      <c r="EO98" s="173">
        <f ca="1">(VLOOKUP(EO$72,INDIRECT($C$5&amp;"生成成长"),2))/((VLOOKUP($B98,INDIRECT($B$5&amp;"生成成长"),4))/(VLOOKUP(EO$72,INDIRECT($C$5&amp;"生成成长"),5))*(VLOOKUP($B$5,标准坦克设计!$B$24:$U$30,MATCH("对"&amp;LEFT($C$5,2)&amp;"输出",标准坦克设计!$B$23:$U$23,0)))*(VLOOKUP($B98,INDIRECT($B$5&amp;"生成成长"),3))*(VLOOKUP($B$5,标准坦克设计!$B$14:$K$20,9)/30))</f>
        <v>23.745506403359734</v>
      </c>
      <c r="EP98" s="173">
        <f ca="1">(VLOOKUP(EP$72,INDIRECT($C$5&amp;"生成成长"),2))/((VLOOKUP($B98,INDIRECT($B$5&amp;"生成成长"),4))/(VLOOKUP(EP$72,INDIRECT($C$5&amp;"生成成长"),5))*(VLOOKUP($B$5,标准坦克设计!$B$24:$U$30,MATCH("对"&amp;LEFT($C$5,2)&amp;"输出",标准坦克设计!$B$23:$U$23,0)))*(VLOOKUP($B98,INDIRECT($B$5&amp;"生成成长"),3))*(VLOOKUP($B$5,标准坦克设计!$B$14:$K$20,9)/30))</f>
        <v>25.350392955801723</v>
      </c>
      <c r="EQ98" s="173">
        <f ca="1">(VLOOKUP(EQ$72,INDIRECT($C$5&amp;"生成成长"),2))/((VLOOKUP($B98,INDIRECT($B$5&amp;"生成成长"),4))/(VLOOKUP(EQ$72,INDIRECT($C$5&amp;"生成成长"),5))*(VLOOKUP($B$5,标准坦克设计!$B$24:$U$30,MATCH("对"&amp;LEFT($C$5,2)&amp;"输出",标准坦克设计!$B$23:$U$23,0)))*(VLOOKUP($B98,INDIRECT($B$5&amp;"生成成长"),3))*(VLOOKUP($B$5,标准坦克设计!$B$14:$K$20,9)/30))</f>
        <v>11.206510277178941</v>
      </c>
      <c r="ER98" s="173">
        <f ca="1">(VLOOKUP(ER$72,INDIRECT($C$5&amp;"生成成长"),2))/((VLOOKUP($B98,INDIRECT($B$5&amp;"生成成长"),4))/(VLOOKUP(ER$72,INDIRECT($C$5&amp;"生成成长"),5))*(VLOOKUP($B$5,标准坦克设计!$B$24:$U$30,MATCH("对"&amp;LEFT($C$5,2)&amp;"输出",标准坦克设计!$B$23:$U$23,0)))*(VLOOKUP($B98,INDIRECT($B$5&amp;"生成成长"),3))*(VLOOKUP($B$5,标准坦克设计!$B$14:$K$20,9)/30))</f>
        <v>12.222683336099129</v>
      </c>
      <c r="ES98" s="173">
        <f ca="1">(VLOOKUP(ES$72,INDIRECT($C$5&amp;"生成成长"),2))/((VLOOKUP($B98,INDIRECT($B$5&amp;"生成成长"),4))/(VLOOKUP(ES$72,INDIRECT($C$5&amp;"生成成长"),5))*(VLOOKUP($B$5,标准坦克设计!$B$24:$U$30,MATCH("对"&amp;LEFT($C$5,2)&amp;"输出",标准坦克设计!$B$23:$U$23,0)))*(VLOOKUP($B98,INDIRECT($B$5&amp;"生成成长"),3))*(VLOOKUP($B$5,标准坦克设计!$B$14:$K$20,9)/30))</f>
        <v>13.282950689489219</v>
      </c>
      <c r="ET98" s="173">
        <f ca="1">(VLOOKUP(ET$72,INDIRECT($C$5&amp;"生成成长"),2))/((VLOOKUP($B98,INDIRECT($B$5&amp;"生成成长"),4))/(VLOOKUP(ET$72,INDIRECT($C$5&amp;"生成成长"),5))*(VLOOKUP($B$5,标准坦克设计!$B$24:$U$30,MATCH("对"&amp;LEFT($C$5,2)&amp;"输出",标准坦克设计!$B$23:$U$23,0)))*(VLOOKUP($B98,INDIRECT($B$5&amp;"生成成长"),3))*(VLOOKUP($B$5,标准坦克设计!$B$14:$K$20,9)/30))</f>
        <v>14.387312337349222</v>
      </c>
      <c r="EU98" s="173">
        <f ca="1">(VLOOKUP(EU$72,INDIRECT($C$5&amp;"生成成长"),2))/((VLOOKUP($B98,INDIRECT($B$5&amp;"生成成长"),4))/(VLOOKUP(EU$72,INDIRECT($C$5&amp;"生成成长"),5))*(VLOOKUP($B$5,标准坦克设计!$B$24:$U$30,MATCH("对"&amp;LEFT($C$5,2)&amp;"输出",标准坦克设计!$B$23:$U$23,0)))*(VLOOKUP($B98,INDIRECT($B$5&amp;"生成成长"),3))*(VLOOKUP($B$5,标准坦克设计!$B$14:$K$20,9)/30))</f>
        <v>15.535768279679129</v>
      </c>
      <c r="EV98" s="173">
        <f ca="1">(VLOOKUP(EV$72,INDIRECT($C$5&amp;"生成成长"),2))/((VLOOKUP($B98,INDIRECT($B$5&amp;"生成成长"),4))/(VLOOKUP(EV$72,INDIRECT($C$5&amp;"生成成长"),5))*(VLOOKUP($B$5,标准坦克设计!$B$24:$U$30,MATCH("对"&amp;LEFT($C$5,2)&amp;"输出",标准坦克设计!$B$23:$U$23,0)))*(VLOOKUP($B98,INDIRECT($B$5&amp;"生成成长"),3))*(VLOOKUP($B$5,标准坦克设计!$B$14:$K$20,9)/30))</f>
        <v>16.728318516478954</v>
      </c>
      <c r="EW98" s="173">
        <f ca="1">(VLOOKUP(EW$72,INDIRECT($C$5&amp;"生成成长"),2))/((VLOOKUP($B98,INDIRECT($B$5&amp;"生成成长"),4))/(VLOOKUP(EW$72,INDIRECT($C$5&amp;"生成成长"),5))*(VLOOKUP($B$5,标准坦克设计!$B$24:$U$30,MATCH("对"&amp;LEFT($C$5,2)&amp;"输出",标准坦克设计!$B$23:$U$23,0)))*(VLOOKUP($B98,INDIRECT($B$5&amp;"生成成长"),3))*(VLOOKUP($B$5,标准坦克设计!$B$14:$K$20,9)/30))</f>
        <v>17.964963047748682</v>
      </c>
      <c r="EX98" s="173">
        <f ca="1">(VLOOKUP(EX$72,INDIRECT($C$5&amp;"生成成长"),2))/((VLOOKUP($B98,INDIRECT($B$5&amp;"生成成长"),4))/(VLOOKUP(EX$72,INDIRECT($C$5&amp;"生成成长"),5))*(VLOOKUP($B$5,标准坦克设计!$B$24:$U$30,MATCH("对"&amp;LEFT($C$5,2)&amp;"输出",标准坦克设计!$B$23:$U$23,0)))*(VLOOKUP($B98,INDIRECT($B$5&amp;"生成成长"),3))*(VLOOKUP($B$5,标准坦克设计!$B$14:$K$20,9)/30))</f>
        <v>19.245701873488322</v>
      </c>
      <c r="EY98" s="173">
        <f ca="1">(VLOOKUP(EY$72,INDIRECT($C$5&amp;"生成成长"),2))/((VLOOKUP($B98,INDIRECT($B$5&amp;"生成成长"),4))/(VLOOKUP(EY$72,INDIRECT($C$5&amp;"生成成长"),5))*(VLOOKUP($B$5,标准坦克设计!$B$24:$U$30,MATCH("对"&amp;LEFT($C$5,2)&amp;"输出",标准坦克设计!$B$23:$U$23,0)))*(VLOOKUP($B98,INDIRECT($B$5&amp;"生成成长"),3))*(VLOOKUP($B$5,标准坦克设计!$B$14:$K$20,9)/30))</f>
        <v>20.570534993697873</v>
      </c>
      <c r="EZ98" s="173">
        <f ca="1">(VLOOKUP(EZ$72,INDIRECT($C$5&amp;"生成成长"),2))/((VLOOKUP($B98,INDIRECT($B$5&amp;"生成成长"),4))/(VLOOKUP(EZ$72,INDIRECT($C$5&amp;"生成成长"),5))*(VLOOKUP($B$5,标准坦克设计!$B$24:$U$30,MATCH("对"&amp;LEFT($C$5,2)&amp;"输出",标准坦克设计!$B$23:$U$23,0)))*(VLOOKUP($B98,INDIRECT($B$5&amp;"生成成长"),3))*(VLOOKUP($B$5,标准坦克设计!$B$14:$K$20,9)/30))</f>
        <v>21.939462408377331</v>
      </c>
      <c r="FA98" s="173">
        <f ca="1">(VLOOKUP(FA$72,INDIRECT($C$5&amp;"生成成长"),2))/((VLOOKUP($B98,INDIRECT($B$5&amp;"生成成长"),4))/(VLOOKUP(FA$72,INDIRECT($C$5&amp;"生成成长"),5))*(VLOOKUP($B$5,标准坦克设计!$B$24:$U$30,MATCH("对"&amp;LEFT($C$5,2)&amp;"输出",标准坦克设计!$B$23:$U$23,0)))*(VLOOKUP($B98,INDIRECT($B$5&amp;"生成成长"),3))*(VLOOKUP($B$5,标准坦克设计!$B$14:$K$20,9)/30))</f>
        <v>23.352484117526696</v>
      </c>
      <c r="FB98" s="173">
        <f ca="1">(VLOOKUP(FB$72,INDIRECT($C$5&amp;"生成成长"),2))/((VLOOKUP($B98,INDIRECT($B$5&amp;"生成成长"),4))/(VLOOKUP(FB$72,INDIRECT($C$5&amp;"生成成长"),5))*(VLOOKUP($B$5,标准坦克设计!$B$24:$U$30,MATCH("对"&amp;LEFT($C$5,2)&amp;"输出",标准坦克设计!$B$23:$U$23,0)))*(VLOOKUP($B98,INDIRECT($B$5&amp;"生成成长"),3))*(VLOOKUP($B$5,标准坦克设计!$B$14:$K$20,9)/30))</f>
        <v>24.809600121145973</v>
      </c>
      <c r="FC98" s="173">
        <f ca="1">(VLOOKUP(FC$72,INDIRECT($C$5&amp;"生成成长"),2))/((VLOOKUP($B98,INDIRECT($B$5&amp;"生成成长"),4))/(VLOOKUP(FC$72,INDIRECT($C$5&amp;"生成成长"),5))*(VLOOKUP($B$5,标准坦克设计!$B$24:$U$30,MATCH("对"&amp;LEFT($C$5,2)&amp;"输出",标准坦克设计!$B$23:$U$23,0)))*(VLOOKUP($B98,INDIRECT($B$5&amp;"生成成长"),3))*(VLOOKUP($B$5,标准坦克设计!$B$14:$K$20,9)/30))</f>
        <v>26.310810419235157</v>
      </c>
      <c r="FD98" s="173">
        <f ca="1">(VLOOKUP(FD$72,INDIRECT($C$5&amp;"生成成长"),2))/((VLOOKUP($B98,INDIRECT($B$5&amp;"生成成长"),4))/(VLOOKUP(FD$72,INDIRECT($C$5&amp;"生成成长"),5))*(VLOOKUP($B$5,标准坦克设计!$B$24:$U$30,MATCH("对"&amp;LEFT($C$5,2)&amp;"输出",标准坦克设计!$B$23:$U$23,0)))*(VLOOKUP($B98,INDIRECT($B$5&amp;"生成成长"),3))*(VLOOKUP($B$5,标准坦克设计!$B$14:$K$20,9)/30))</f>
        <v>27.856115011794255</v>
      </c>
      <c r="FE98" s="173">
        <f ca="1">(VLOOKUP(FE$72,INDIRECT($C$5&amp;"生成成长"),2))/((VLOOKUP($B98,INDIRECT($B$5&amp;"生成成长"),4))/(VLOOKUP(FE$72,INDIRECT($C$5&amp;"生成成长"),5))*(VLOOKUP($B$5,标准坦克设计!$B$24:$U$30,MATCH("对"&amp;LEFT($C$5,2)&amp;"输出",标准坦克设计!$B$23:$U$23,0)))*(VLOOKUP($B98,INDIRECT($B$5&amp;"生成成长"),3))*(VLOOKUP($B$5,标准坦克设计!$B$14:$K$20,9)/30))</f>
        <v>29.739232918184804</v>
      </c>
      <c r="FF98" s="173">
        <f ca="1">(VLOOKUP(FF$72,INDIRECT($C$5&amp;"生成成长"),2))/((VLOOKUP($B98,INDIRECT($B$5&amp;"生成成长"),4))/(VLOOKUP(FF$72,INDIRECT($C$5&amp;"生成成长"),5))*(VLOOKUP($B$5,标准坦克设计!$B$24:$U$30,MATCH("对"&amp;LEFT($C$5,2)&amp;"输出",标准坦克设计!$B$23:$U$23,0)))*(VLOOKUP($B98,INDIRECT($B$5&amp;"生成成长"),3))*(VLOOKUP($B$5,标准坦克设计!$B$14:$K$20,9)/30))</f>
        <v>31.683937070570522</v>
      </c>
      <c r="FG98" s="173">
        <f ca="1">(VLOOKUP(FG$72,INDIRECT($C$5&amp;"生成成长"),2))/((VLOOKUP($B98,INDIRECT($B$5&amp;"生成成长"),4))/(VLOOKUP(FG$72,INDIRECT($C$5&amp;"生成成长"),5))*(VLOOKUP($B$5,标准坦克设计!$B$24:$U$30,MATCH("对"&amp;LEFT($C$5,2)&amp;"输出",标准坦克设计!$B$23:$U$23,0)))*(VLOOKUP($B98,INDIRECT($B$5&amp;"生成成长"),3))*(VLOOKUP($B$5,标准坦克设计!$B$14:$K$20,9)/30))</f>
        <v>33.690227468951392</v>
      </c>
      <c r="FH98" s="173">
        <f ca="1">(VLOOKUP(FH$72,INDIRECT($C$5&amp;"生成成长"),2))/((VLOOKUP($B98,INDIRECT($B$5&amp;"生成成长"),4))/(VLOOKUP(FH$72,INDIRECT($C$5&amp;"生成成长"),5))*(VLOOKUP($B$5,标准坦克设计!$B$24:$U$30,MATCH("对"&amp;LEFT($C$5,2)&amp;"输出",标准坦克设计!$B$23:$U$23,0)))*(VLOOKUP($B98,INDIRECT($B$5&amp;"生成成长"),3))*(VLOOKUP($B$5,标准坦克设计!$B$14:$K$20,9)/30))</f>
        <v>35.758104113327441</v>
      </c>
      <c r="FI98" s="173">
        <f ca="1">(VLOOKUP(FI$72,INDIRECT($C$5&amp;"生成成长"),2))/((VLOOKUP($B98,INDIRECT($B$5&amp;"生成成长"),4))/(VLOOKUP(FI$72,INDIRECT($C$5&amp;"生成成长"),5))*(VLOOKUP($B$5,标准坦克设计!$B$24:$U$30,MATCH("对"&amp;LEFT($C$5,2)&amp;"输出",标准坦克设计!$B$23:$U$23,0)))*(VLOOKUP($B98,INDIRECT($B$5&amp;"生成成长"),3))*(VLOOKUP($B$5,标准坦克设计!$B$14:$K$20,9)/30))</f>
        <v>37.887567003698628</v>
      </c>
      <c r="FJ98" s="173">
        <f ca="1">(VLOOKUP(FJ$72,INDIRECT($C$5&amp;"生成成长"),2))/((VLOOKUP($B98,INDIRECT($B$5&amp;"生成成长"),4))/(VLOOKUP(FJ$72,INDIRECT($C$5&amp;"生成成长"),5))*(VLOOKUP($B$5,标准坦克设计!$B$24:$U$30,MATCH("对"&amp;LEFT($C$5,2)&amp;"输出",标准坦克设计!$B$23:$U$23,0)))*(VLOOKUP($B98,INDIRECT($B$5&amp;"生成成长"),3))*(VLOOKUP($B$5,标准坦克设计!$B$14:$K$20,9)/30))</f>
        <v>40.078616140064995</v>
      </c>
      <c r="FK98" s="173">
        <f ca="1">(VLOOKUP(FK$72,INDIRECT($C$5&amp;"生成成长"),2))/((VLOOKUP($B98,INDIRECT($B$5&amp;"生成成长"),4))/(VLOOKUP(FK$72,INDIRECT($C$5&amp;"生成成长"),5))*(VLOOKUP($B$5,标准坦克设计!$B$24:$U$30,MATCH("对"&amp;LEFT($C$5,2)&amp;"输出",标准坦克设计!$B$23:$U$23,0)))*(VLOOKUP($B98,INDIRECT($B$5&amp;"生成成长"),3))*(VLOOKUP($B$5,标准坦克设计!$B$14:$K$20,9)/30))</f>
        <v>42.331251522426513</v>
      </c>
    </row>
    <row r="99" spans="1:167" x14ac:dyDescent="0.15">
      <c r="A99" s="171" t="str">
        <f t="shared" si="11"/>
        <v>T4低品质6级</v>
      </c>
      <c r="B99" s="172">
        <v>10406</v>
      </c>
      <c r="C99" s="173">
        <f ca="1">(VLOOKUP(C$72,INDIRECT($C$5&amp;"生成成长"),2))/((VLOOKUP($B99,INDIRECT($B$5&amp;"生成成长"),4))/(VLOOKUP(C$72,INDIRECT($C$5&amp;"生成成长"),5))*(VLOOKUP($B$5,标准坦克设计!$B$24:$U$30,MATCH("对"&amp;LEFT($C$5,2)&amp;"输出",标准坦克设计!$B$23:$U$23,0)))*(VLOOKUP($B99,INDIRECT($B$5&amp;"生成成长"),3))*(VLOOKUP($B$5,标准坦克设计!$B$14:$K$20,9)/30))</f>
        <v>1.6688720153296093</v>
      </c>
      <c r="D99" s="173">
        <f ca="1">(VLOOKUP(D$72,INDIRECT($C$5&amp;"生成成长"),2))/((VLOOKUP($B99,INDIRECT($B$5&amp;"生成成长"),4))/(VLOOKUP(D$72,INDIRECT($C$5&amp;"生成成长"),5))*(VLOOKUP($B$5,标准坦克设计!$B$24:$U$30,MATCH("对"&amp;LEFT($C$5,2)&amp;"输出",标准坦克设计!$B$23:$U$23,0)))*(VLOOKUP($B99,INDIRECT($B$5&amp;"生成成长"),3))*(VLOOKUP($B$5,标准坦克设计!$B$14:$K$20,9)/30))</f>
        <v>1.8751445964243487</v>
      </c>
      <c r="E99" s="173">
        <f ca="1">(VLOOKUP(E$72,INDIRECT($C$5&amp;"生成成长"),2))/((VLOOKUP($B99,INDIRECT($B$5&amp;"生成成长"),4))/(VLOOKUP(E$72,INDIRECT($C$5&amp;"生成成长"),5))*(VLOOKUP($B$5,标准坦克设计!$B$24:$U$30,MATCH("对"&amp;LEFT($C$5,2)&amp;"输出",标准坦克设计!$B$23:$U$23,0)))*(VLOOKUP($B99,INDIRECT($B$5&amp;"生成成长"),3))*(VLOOKUP($B$5,标准坦克设计!$B$14:$K$20,9)/30))</f>
        <v>2.0934330560294616</v>
      </c>
      <c r="F99" s="173">
        <f ca="1">(VLOOKUP(F$72,INDIRECT($C$5&amp;"生成成长"),2))/((VLOOKUP($B99,INDIRECT($B$5&amp;"生成成长"),4))/(VLOOKUP(F$72,INDIRECT($C$5&amp;"生成成长"),5))*(VLOOKUP($B$5,标准坦克设计!$B$24:$U$30,MATCH("对"&amp;LEFT($C$5,2)&amp;"输出",标准坦克设计!$B$23:$U$23,0)))*(VLOOKUP($B99,INDIRECT($B$5&amp;"生成成长"),3))*(VLOOKUP($B$5,标准坦克设计!$B$14:$K$20,9)/30))</f>
        <v>2.3237373941449477</v>
      </c>
      <c r="G99" s="173">
        <f ca="1">(VLOOKUP(G$72,INDIRECT($C$5&amp;"生成成长"),2))/((VLOOKUP($B99,INDIRECT($B$5&amp;"生成成长"),4))/(VLOOKUP(G$72,INDIRECT($C$5&amp;"生成成长"),5))*(VLOOKUP($B$5,标准坦克设计!$B$24:$U$30,MATCH("对"&amp;LEFT($C$5,2)&amp;"输出",标准坦克设计!$B$23:$U$23,0)))*(VLOOKUP($B99,INDIRECT($B$5&amp;"生成成长"),3))*(VLOOKUP($B$5,标准坦克设计!$B$14:$K$20,9)/30))</f>
        <v>2.5660576107708071</v>
      </c>
      <c r="H99" s="173">
        <f ca="1">(VLOOKUP(H$72,INDIRECT($C$5&amp;"生成成长"),2))/((VLOOKUP($B99,INDIRECT($B$5&amp;"生成成长"),4))/(VLOOKUP(H$72,INDIRECT($C$5&amp;"生成成长"),5))*(VLOOKUP($B$5,标准坦克设计!$B$24:$U$30,MATCH("对"&amp;LEFT($C$5,2)&amp;"输出",标准坦克设计!$B$23:$U$23,0)))*(VLOOKUP($B99,INDIRECT($B$5&amp;"生成成长"),3))*(VLOOKUP($B$5,标准坦克设计!$B$14:$K$20,9)/30))</f>
        <v>2.245634183827522</v>
      </c>
      <c r="I99" s="173">
        <f ca="1">(VLOOKUP(I$72,INDIRECT($C$5&amp;"生成成长"),2))/((VLOOKUP($B99,INDIRECT($B$5&amp;"生成成长"),4))/(VLOOKUP(I$72,INDIRECT($C$5&amp;"生成成长"),5))*(VLOOKUP($B$5,标准坦克设计!$B$24:$U$30,MATCH("对"&amp;LEFT($C$5,2)&amp;"输出",标准坦克设计!$B$23:$U$23,0)))*(VLOOKUP($B99,INDIRECT($B$5&amp;"生成成长"),3))*(VLOOKUP($B$5,标准坦克设计!$B$14:$K$20,9)/30))</f>
        <v>2.5660576107708071</v>
      </c>
      <c r="J99" s="173">
        <f ca="1">(VLOOKUP(J$72,INDIRECT($C$5&amp;"生成成长"),2))/((VLOOKUP($B99,INDIRECT($B$5&amp;"生成成长"),4))/(VLOOKUP(J$72,INDIRECT($C$5&amp;"生成成长"),5))*(VLOOKUP($B$5,标准坦克设计!$B$24:$U$30,MATCH("对"&amp;LEFT($C$5,2)&amp;"输出",标准坦克设计!$B$23:$U$23,0)))*(VLOOKUP($B99,INDIRECT($B$5&amp;"生成成长"),3))*(VLOOKUP($B$5,标准坦克设计!$B$14:$K$20,9)/30))</f>
        <v>2.9078425995103108</v>
      </c>
      <c r="K99" s="173">
        <f ca="1">(VLOOKUP(K$72,INDIRECT($C$5&amp;"生成成长"),2))/((VLOOKUP($B99,INDIRECT($B$5&amp;"生成成长"),4))/(VLOOKUP(K$72,INDIRECT($C$5&amp;"生成成长"),5))*(VLOOKUP($B$5,标准坦克设计!$B$24:$U$30,MATCH("对"&amp;LEFT($C$5,2)&amp;"输出",标准坦克设计!$B$23:$U$23,0)))*(VLOOKUP($B99,INDIRECT($B$5&amp;"生成成长"),3))*(VLOOKUP($B$5,标准坦克设计!$B$14:$K$20,9)/30))</f>
        <v>3.270989150046034</v>
      </c>
      <c r="L99" s="173">
        <f ca="1">(VLOOKUP(L$72,INDIRECT($C$5&amp;"生成成长"),2))/((VLOOKUP($B99,INDIRECT($B$5&amp;"生成成长"),4))/(VLOOKUP(L$72,INDIRECT($C$5&amp;"生成成长"),5))*(VLOOKUP($B$5,标准坦克设计!$B$24:$U$30,MATCH("对"&amp;LEFT($C$5,2)&amp;"输出",标准坦克设计!$B$23:$U$23,0)))*(VLOOKUP($B99,INDIRECT($B$5&amp;"生成成长"),3))*(VLOOKUP($B$5,标准坦克设计!$B$14:$K$20,9)/30))</f>
        <v>3.6554972623779758</v>
      </c>
      <c r="M99" s="173">
        <f ca="1">(VLOOKUP(M$72,INDIRECT($C$5&amp;"生成成长"),2))/((VLOOKUP($B99,INDIRECT($B$5&amp;"生成成长"),4))/(VLOOKUP(M$72,INDIRECT($C$5&amp;"生成成长"),5))*(VLOOKUP($B$5,标准坦克设计!$B$24:$U$30,MATCH("对"&amp;LEFT($C$5,2)&amp;"输出",标准坦克设计!$B$23:$U$23,0)))*(VLOOKUP($B99,INDIRECT($B$5&amp;"生成成长"),3))*(VLOOKUP($B$5,标准坦克设计!$B$14:$K$20,9)/30))</f>
        <v>4.0613669365061371</v>
      </c>
      <c r="N99" s="173">
        <f ca="1">(VLOOKUP(N$72,INDIRECT($C$5&amp;"生成成长"),2))/((VLOOKUP($B99,INDIRECT($B$5&amp;"生成成长"),4))/(VLOOKUP(N$72,INDIRECT($C$5&amp;"生成成长"),5))*(VLOOKUP($B$5,标准坦克设计!$B$24:$U$30,MATCH("对"&amp;LEFT($C$5,2)&amp;"输出",标准坦克设计!$B$23:$U$23,0)))*(VLOOKUP($B99,INDIRECT($B$5&amp;"生成成长"),3))*(VLOOKUP($B$5,标准坦克设计!$B$14:$K$20,9)/30))</f>
        <v>4.4885981724305175</v>
      </c>
      <c r="O99" s="173">
        <f ca="1">(VLOOKUP(O$72,INDIRECT($C$5&amp;"生成成长"),2))/((VLOOKUP($B99,INDIRECT($B$5&amp;"生成成长"),4))/(VLOOKUP(O$72,INDIRECT($C$5&amp;"生成成长"),5))*(VLOOKUP($B$5,标准坦克设计!$B$24:$U$30,MATCH("对"&amp;LEFT($C$5,2)&amp;"输出",标准坦克设计!$B$23:$U$23,0)))*(VLOOKUP($B99,INDIRECT($B$5&amp;"生成成长"),3))*(VLOOKUP($B$5,标准坦克设计!$B$14:$K$20,9)/30))</f>
        <v>3.4126763841475176</v>
      </c>
      <c r="P99" s="173">
        <f ca="1">(VLOOKUP(P$72,INDIRECT($C$5&amp;"生成成长"),2))/((VLOOKUP($B99,INDIRECT($B$5&amp;"生成成长"),4))/(VLOOKUP(P$72,INDIRECT($C$5&amp;"生成成长"),5))*(VLOOKUP($B$5,标准坦克设计!$B$24:$U$30,MATCH("对"&amp;LEFT($C$5,2)&amp;"输出",标准坦克设计!$B$23:$U$23,0)))*(VLOOKUP($B99,INDIRECT($B$5&amp;"生成成长"),3))*(VLOOKUP($B$5,标准坦克设计!$B$14:$K$20,9)/30))</f>
        <v>3.8557619042175286</v>
      </c>
      <c r="Q99" s="173">
        <f ca="1">(VLOOKUP(Q$72,INDIRECT($C$5&amp;"生成成长"),2))/((VLOOKUP($B99,INDIRECT($B$5&amp;"生成成长"),4))/(VLOOKUP(Q$72,INDIRECT($C$5&amp;"生成成长"),5))*(VLOOKUP($B$5,标准坦克设计!$B$24:$U$30,MATCH("对"&amp;LEFT($C$5,2)&amp;"输出",标准坦克设计!$B$23:$U$23,0)))*(VLOOKUP($B99,INDIRECT($B$5&amp;"生成成长"),3))*(VLOOKUP($B$5,标准坦克设计!$B$14:$K$20,9)/30))</f>
        <v>4.3258831509358791</v>
      </c>
      <c r="R99" s="173">
        <f ca="1">(VLOOKUP(R$72,INDIRECT($C$5&amp;"生成成长"),2))/((VLOOKUP($B99,INDIRECT($B$5&amp;"生成成长"),4))/(VLOOKUP(R$72,INDIRECT($C$5&amp;"生成成长"),5))*(VLOOKUP($B$5,标准坦克设计!$B$24:$U$30,MATCH("对"&amp;LEFT($C$5,2)&amp;"输出",标准坦克设计!$B$23:$U$23,0)))*(VLOOKUP($B99,INDIRECT($B$5&amp;"生成成长"),3))*(VLOOKUP($B$5,标准坦克设计!$B$14:$K$20,9)/30))</f>
        <v>4.8230401243025707</v>
      </c>
      <c r="S99" s="173">
        <f ca="1">(VLOOKUP(S$72,INDIRECT($C$5&amp;"生成成长"),2))/((VLOOKUP($B99,INDIRECT($B$5&amp;"生成成长"),4))/(VLOOKUP(S$72,INDIRECT($C$5&amp;"生成成长"),5))*(VLOOKUP($B$5,标准坦克设计!$B$24:$U$30,MATCH("对"&amp;LEFT($C$5,2)&amp;"输出",标准坦克设计!$B$23:$U$23,0)))*(VLOOKUP($B99,INDIRECT($B$5&amp;"生成成长"),3))*(VLOOKUP($B$5,标准坦克设计!$B$14:$K$20,9)/30))</f>
        <v>5.3472328243176008</v>
      </c>
      <c r="T99" s="173">
        <f ca="1">(VLOOKUP(T$72,INDIRECT($C$5&amp;"生成成长"),2))/((VLOOKUP($B99,INDIRECT($B$5&amp;"生成成长"),4))/(VLOOKUP(T$72,INDIRECT($C$5&amp;"生成成长"),5))*(VLOOKUP($B$5,标准坦克设计!$B$24:$U$30,MATCH("对"&amp;LEFT($C$5,2)&amp;"输出",标准坦克设计!$B$23:$U$23,0)))*(VLOOKUP($B99,INDIRECT($B$5&amp;"生成成长"),3))*(VLOOKUP($B$5,标准坦克设计!$B$14:$K$20,9)/30))</f>
        <v>5.8984612509809713</v>
      </c>
      <c r="U99" s="173">
        <f ca="1">(VLOOKUP(U$72,INDIRECT($C$5&amp;"生成成长"),2))/((VLOOKUP($B99,INDIRECT($B$5&amp;"生成成长"),4))/(VLOOKUP(U$72,INDIRECT($C$5&amp;"生成成长"),5))*(VLOOKUP($B$5,标准坦克设计!$B$24:$U$30,MATCH("对"&amp;LEFT($C$5,2)&amp;"输出",标准坦克设计!$B$23:$U$23,0)))*(VLOOKUP($B99,INDIRECT($B$5&amp;"生成成长"),3))*(VLOOKUP($B$5,标准坦克设计!$B$14:$K$20,9)/30))</f>
        <v>6.4767254042926794</v>
      </c>
      <c r="V99" s="173">
        <f ca="1">(VLOOKUP(V$72,INDIRECT($C$5&amp;"生成成长"),2))/((VLOOKUP($B99,INDIRECT($B$5&amp;"生成成长"),4))/(VLOOKUP(V$72,INDIRECT($C$5&amp;"生成成长"),5))*(VLOOKUP($B$5,标准坦克设计!$B$24:$U$30,MATCH("对"&amp;LEFT($C$5,2)&amp;"输出",标准坦克设计!$B$23:$U$23,0)))*(VLOOKUP($B99,INDIRECT($B$5&amp;"生成成长"),3))*(VLOOKUP($B$5,标准坦克设计!$B$14:$K$20,9)/30))</f>
        <v>7.0820252842527296</v>
      </c>
      <c r="W99" s="173">
        <f ca="1">(VLOOKUP(W$72,INDIRECT($C$5&amp;"生成成长"),2))/((VLOOKUP($B99,INDIRECT($B$5&amp;"生成成长"),4))/(VLOOKUP(W$72,INDIRECT($C$5&amp;"生成成长"),5))*(VLOOKUP($B$5,标准坦克设计!$B$24:$U$30,MATCH("对"&amp;LEFT($C$5,2)&amp;"输出",标准坦克设计!$B$23:$U$23,0)))*(VLOOKUP($B99,INDIRECT($B$5&amp;"生成成长"),3))*(VLOOKUP($B$5,标准坦克设计!$B$14:$K$20,9)/30))</f>
        <v>7.7143608908611192</v>
      </c>
      <c r="X99" s="173">
        <f ca="1">(VLOOKUP(X$72,INDIRECT($C$5&amp;"生成成长"),2))/((VLOOKUP($B99,INDIRECT($B$5&amp;"生成成长"),4))/(VLOOKUP(X$72,INDIRECT($C$5&amp;"生成成长"),5))*(VLOOKUP($B$5,标准坦克设计!$B$24:$U$30,MATCH("对"&amp;LEFT($C$5,2)&amp;"输出",标准坦克设计!$B$23:$U$23,0)))*(VLOOKUP($B99,INDIRECT($B$5&amp;"生成成长"),3))*(VLOOKUP($B$5,标准坦克设计!$B$14:$K$20,9)/30))</f>
        <v>5.5888854921373285</v>
      </c>
      <c r="Y99" s="173">
        <f ca="1">(VLOOKUP(Y$72,INDIRECT($C$5&amp;"生成成长"),2))/((VLOOKUP($B99,INDIRECT($B$5&amp;"生成成长"),4))/(VLOOKUP(Y$72,INDIRECT($C$5&amp;"生成成长"),5))*(VLOOKUP($B$5,标准坦克设计!$B$24:$U$30,MATCH("对"&amp;LEFT($C$5,2)&amp;"输出",标准坦克设计!$B$23:$U$23,0)))*(VLOOKUP($B99,INDIRECT($B$5&amp;"生成成长"),3))*(VLOOKUP($B$5,标准坦克设计!$B$14:$K$20,9)/30))</f>
        <v>6.21638136990126</v>
      </c>
      <c r="Z99" s="173">
        <f ca="1">(VLOOKUP(Z$72,INDIRECT($C$5&amp;"生成成长"),2))/((VLOOKUP($B99,INDIRECT($B$5&amp;"生成成长"),4))/(VLOOKUP(Z$72,INDIRECT($C$5&amp;"生成成长"),5))*(VLOOKUP($B$5,标准坦克设计!$B$24:$U$30,MATCH("对"&amp;LEFT($C$5,2)&amp;"输出",标准坦克设计!$B$23:$U$23,0)))*(VLOOKUP($B99,INDIRECT($B$5&amp;"生成成长"),3))*(VLOOKUP($B$5,标准坦克设计!$B$14:$K$20,9)/30))</f>
        <v>6.8772546879717869</v>
      </c>
      <c r="AA99" s="173">
        <f ca="1">(VLOOKUP(AA$72,INDIRECT($C$5&amp;"生成成长"),2))/((VLOOKUP($B99,INDIRECT($B$5&amp;"生成成长"),4))/(VLOOKUP(AA$72,INDIRECT($C$5&amp;"生成成长"),5))*(VLOOKUP($B$5,标准坦克设计!$B$24:$U$30,MATCH("对"&amp;LEFT($C$5,2)&amp;"输出",标准坦克设计!$B$23:$U$23,0)))*(VLOOKUP($B99,INDIRECT($B$5&amp;"生成成长"),3))*(VLOOKUP($B$5,标准坦克设计!$B$14:$K$20,9)/30))</f>
        <v>7.5715054463489029</v>
      </c>
      <c r="AB99" s="173">
        <f ca="1">(VLOOKUP(AB$72,INDIRECT($C$5&amp;"生成成长"),2))/((VLOOKUP($B99,INDIRECT($B$5&amp;"生成成长"),4))/(VLOOKUP(AB$72,INDIRECT($C$5&amp;"生成成长"),5))*(VLOOKUP($B$5,标准坦克设计!$B$24:$U$30,MATCH("对"&amp;LEFT($C$5,2)&amp;"输出",标准坦克设计!$B$23:$U$23,0)))*(VLOOKUP($B99,INDIRECT($B$5&amp;"生成成长"),3))*(VLOOKUP($B$5,标准坦克设计!$B$14:$K$20,9)/30))</f>
        <v>8.2991336450326134</v>
      </c>
      <c r="AC99" s="173">
        <f ca="1">(VLOOKUP(AC$72,INDIRECT($C$5&amp;"生成成长"),2))/((VLOOKUP($B99,INDIRECT($B$5&amp;"生成成长"),4))/(VLOOKUP(AC$72,INDIRECT($C$5&amp;"生成成长"),5))*(VLOOKUP($B$5,标准坦克设计!$B$24:$U$30,MATCH("对"&amp;LEFT($C$5,2)&amp;"输出",标准坦克设计!$B$23:$U$23,0)))*(VLOOKUP($B99,INDIRECT($B$5&amp;"生成成长"),3))*(VLOOKUP($B$5,标准坦克设计!$B$14:$K$20,9)/30))</f>
        <v>9.0601392840229149</v>
      </c>
      <c r="AD99" s="173">
        <f ca="1">(VLOOKUP(AD$72,INDIRECT($C$5&amp;"生成成长"),2))/((VLOOKUP($B99,INDIRECT($B$5&amp;"生成成长"),4))/(VLOOKUP(AD$72,INDIRECT($C$5&amp;"生成成长"),5))*(VLOOKUP($B$5,标准坦克设计!$B$24:$U$30,MATCH("对"&amp;LEFT($C$5,2)&amp;"输出",标准坦克设计!$B$23:$U$23,0)))*(VLOOKUP($B99,INDIRECT($B$5&amp;"生成成长"),3))*(VLOOKUP($B$5,标准坦克设计!$B$14:$K$20,9)/30))</f>
        <v>9.8545223633198091</v>
      </c>
      <c r="AE99" s="173">
        <f ca="1">(VLOOKUP(AE$72,INDIRECT($C$5&amp;"生成成长"),2))/((VLOOKUP($B99,INDIRECT($B$5&amp;"生成成长"),4))/(VLOOKUP(AE$72,INDIRECT($C$5&amp;"生成成长"),5))*(VLOOKUP($B$5,标准坦克设计!$B$24:$U$30,MATCH("对"&amp;LEFT($C$5,2)&amp;"输出",标准坦克设计!$B$23:$U$23,0)))*(VLOOKUP($B99,INDIRECT($B$5&amp;"生成成长"),3))*(VLOOKUP($B$5,标准坦克设计!$B$14:$K$20,9)/30))</f>
        <v>10.682282882923296</v>
      </c>
      <c r="AF99" s="173">
        <f ca="1">(VLOOKUP(AF$72,INDIRECT($C$5&amp;"生成成长"),2))/((VLOOKUP($B99,INDIRECT($B$5&amp;"生成成长"),4))/(VLOOKUP(AF$72,INDIRECT($C$5&amp;"生成成长"),5))*(VLOOKUP($B$5,标准坦克设计!$B$24:$U$30,MATCH("对"&amp;LEFT($C$5,2)&amp;"输出",标准坦克设计!$B$23:$U$23,0)))*(VLOOKUP($B99,INDIRECT($B$5&amp;"生成成长"),3))*(VLOOKUP($B$5,标准坦克设计!$B$14:$K$20,9)/30))</f>
        <v>11.543420842833372</v>
      </c>
      <c r="AG99" s="173">
        <f ca="1">(VLOOKUP(AG$72,INDIRECT($C$5&amp;"生成成长"),2))/((VLOOKUP($B99,INDIRECT($B$5&amp;"生成成长"),4))/(VLOOKUP(AG$72,INDIRECT($C$5&amp;"生成成长"),5))*(VLOOKUP($B$5,标准坦克设计!$B$24:$U$30,MATCH("对"&amp;LEFT($C$5,2)&amp;"输出",标准坦克设计!$B$23:$U$23,0)))*(VLOOKUP($B99,INDIRECT($B$5&amp;"生成成长"),3))*(VLOOKUP($B$5,标准坦克设计!$B$14:$K$20,9)/30))</f>
        <v>12.437936243050046</v>
      </c>
      <c r="AH99" s="173">
        <f ca="1">(VLOOKUP(AH$72,INDIRECT($C$5&amp;"生成成长"),2))/((VLOOKUP($B99,INDIRECT($B$5&amp;"生成成长"),4))/(VLOOKUP(AH$72,INDIRECT($C$5&amp;"生成成长"),5))*(VLOOKUP($B$5,标准坦克设计!$B$24:$U$30,MATCH("对"&amp;LEFT($C$5,2)&amp;"输出",标准坦克设计!$B$23:$U$23,0)))*(VLOOKUP($B99,INDIRECT($B$5&amp;"生成成长"),3))*(VLOOKUP($B$5,标准坦克设计!$B$14:$K$20,9)/30))</f>
        <v>13.365829083573306</v>
      </c>
      <c r="AI99" s="173">
        <f ca="1">(VLOOKUP(AI$72,INDIRECT($C$5&amp;"生成成长"),2))/((VLOOKUP($B99,INDIRECT($B$5&amp;"生成成长"),4))/(VLOOKUP(AI$72,INDIRECT($C$5&amp;"生成成长"),5))*(VLOOKUP($B$5,标准坦克设计!$B$24:$U$30,MATCH("对"&amp;LEFT($C$5,2)&amp;"输出",标准坦克设计!$B$23:$U$23,0)))*(VLOOKUP($B99,INDIRECT($B$5&amp;"生成成长"),3))*(VLOOKUP($B$5,标准坦克设计!$B$14:$K$20,9)/30))</f>
        <v>9.4531586436330368</v>
      </c>
      <c r="AJ99" s="173">
        <f ca="1">(VLOOKUP(AJ$72,INDIRECT($C$5&amp;"生成成长"),2))/((VLOOKUP($B99,INDIRECT($B$5&amp;"生成成长"),4))/(VLOOKUP(AJ$72,INDIRECT($C$5&amp;"生成成长"),5))*(VLOOKUP($B$5,标准坦克设计!$B$24:$U$30,MATCH("对"&amp;LEFT($C$5,2)&amp;"输出",标准坦克设计!$B$23:$U$23,0)))*(VLOOKUP($B99,INDIRECT($B$5&amp;"生成成长"),3))*(VLOOKUP($B$5,标准坦克设计!$B$14:$K$20,9)/30))</f>
        <v>10.347173382245112</v>
      </c>
      <c r="AK99" s="173">
        <f ca="1">(VLOOKUP(AK$72,INDIRECT($C$5&amp;"生成成长"),2))/((VLOOKUP($B99,INDIRECT($B$5&amp;"生成成长"),4))/(VLOOKUP(AK$72,INDIRECT($C$5&amp;"生成成长"),5))*(VLOOKUP($B$5,标准坦克设计!$B$24:$U$30,MATCH("对"&amp;LEFT($C$5,2)&amp;"输出",标准坦克设计!$B$23:$U$23,0)))*(VLOOKUP($B99,INDIRECT($B$5&amp;"生成成长"),3))*(VLOOKUP($B$5,标准坦克设计!$B$14:$K$20,9)/30))</f>
        <v>11.281574823628157</v>
      </c>
      <c r="AL99" s="173">
        <f ca="1">(VLOOKUP(AL$72,INDIRECT($C$5&amp;"生成成长"),2))/((VLOOKUP($B99,INDIRECT($B$5&amp;"生成成长"),4))/(VLOOKUP(AL$72,INDIRECT($C$5&amp;"生成成长"),5))*(VLOOKUP($B$5,标准坦克设计!$B$24:$U$30,MATCH("对"&amp;LEFT($C$5,2)&amp;"输出",标准坦克设计!$B$23:$U$23,0)))*(VLOOKUP($B99,INDIRECT($B$5&amp;"生成成长"),3))*(VLOOKUP($B$5,标准坦克设计!$B$14:$K$20,9)/30))</f>
        <v>12.256362967782183</v>
      </c>
      <c r="AM99" s="173">
        <f ca="1">(VLOOKUP(AM$72,INDIRECT($C$5&amp;"生成成长"),2))/((VLOOKUP($B99,INDIRECT($B$5&amp;"生成成长"),4))/(VLOOKUP(AM$72,INDIRECT($C$5&amp;"生成成长"),5))*(VLOOKUP($B$5,标准坦克设计!$B$24:$U$30,MATCH("对"&amp;LEFT($C$5,2)&amp;"输出",标准坦克设计!$B$23:$U$23,0)))*(VLOOKUP($B99,INDIRECT($B$5&amp;"生成成长"),3))*(VLOOKUP($B$5,标准坦克设计!$B$14:$K$20,9)/30))</f>
        <v>13.271537814707184</v>
      </c>
      <c r="AN99" s="173">
        <f ca="1">(VLOOKUP(AN$72,INDIRECT($C$5&amp;"生成成长"),2))/((VLOOKUP($B99,INDIRECT($B$5&amp;"生成成长"),4))/(VLOOKUP(AN$72,INDIRECT($C$5&amp;"生成成长"),5))*(VLOOKUP($B$5,标准坦克设计!$B$24:$U$30,MATCH("对"&amp;LEFT($C$5,2)&amp;"输出",标准坦克设计!$B$23:$U$23,0)))*(VLOOKUP($B99,INDIRECT($B$5&amp;"生成成长"),3))*(VLOOKUP($B$5,标准坦克设计!$B$14:$K$20,9)/30))</f>
        <v>14.327099364403162</v>
      </c>
      <c r="AO99" s="173">
        <f ca="1">(VLOOKUP(AO$72,INDIRECT($C$5&amp;"生成成长"),2))/((VLOOKUP($B99,INDIRECT($B$5&amp;"生成成长"),4))/(VLOOKUP(AO$72,INDIRECT($C$5&amp;"生成成长"),5))*(VLOOKUP($B$5,标准坦克设计!$B$24:$U$30,MATCH("对"&amp;LEFT($C$5,2)&amp;"输出",标准坦克设计!$B$23:$U$23,0)))*(VLOOKUP($B99,INDIRECT($B$5&amp;"生成成长"),3))*(VLOOKUP($B$5,标准坦克设计!$B$14:$K$20,9)/30))</f>
        <v>15.423047616870114</v>
      </c>
      <c r="AP99" s="173">
        <f ca="1">(VLOOKUP(AP$72,INDIRECT($C$5&amp;"生成成长"),2))/((VLOOKUP($B99,INDIRECT($B$5&amp;"生成成长"),4))/(VLOOKUP(AP$72,INDIRECT($C$5&amp;"生成成长"),5))*(VLOOKUP($B$5,标准坦克设计!$B$24:$U$30,MATCH("对"&amp;LEFT($C$5,2)&amp;"输出",标准坦克设计!$B$23:$U$23,0)))*(VLOOKUP($B99,INDIRECT($B$5&amp;"生成成长"),3))*(VLOOKUP($B$5,标准坦克设计!$B$14:$K$20,9)/30))</f>
        <v>16.559382572108046</v>
      </c>
      <c r="AQ99" s="173">
        <f ca="1">(VLOOKUP(AQ$72,INDIRECT($C$5&amp;"生成成长"),2))/((VLOOKUP($B99,INDIRECT($B$5&amp;"生成成长"),4))/(VLOOKUP(AQ$72,INDIRECT($C$5&amp;"生成成长"),5))*(VLOOKUP($B$5,标准坦克设计!$B$24:$U$30,MATCH("对"&amp;LEFT($C$5,2)&amp;"输出",标准坦克设计!$B$23:$U$23,0)))*(VLOOKUP($B99,INDIRECT($B$5&amp;"生成成长"),3))*(VLOOKUP($B$5,标准坦克设计!$B$14:$K$20,9)/30))</f>
        <v>17.736104230116954</v>
      </c>
      <c r="AR99" s="173">
        <f ca="1">(VLOOKUP(AR$72,INDIRECT($C$5&amp;"生成成长"),2))/((VLOOKUP($B99,INDIRECT($B$5&amp;"生成成长"),4))/(VLOOKUP(AR$72,INDIRECT($C$5&amp;"生成成长"),5))*(VLOOKUP($B$5,标准坦克设计!$B$24:$U$30,MATCH("对"&amp;LEFT($C$5,2)&amp;"输出",标准坦克设计!$B$23:$U$23,0)))*(VLOOKUP($B99,INDIRECT($B$5&amp;"生成成长"),3))*(VLOOKUP($B$5,标准坦克设计!$B$14:$K$20,9)/30))</f>
        <v>18.953212590896836</v>
      </c>
      <c r="AS99" s="173">
        <f ca="1">(VLOOKUP(AS$72,INDIRECT($C$5&amp;"生成成长"),2))/((VLOOKUP($B99,INDIRECT($B$5&amp;"生成成长"),4))/(VLOOKUP(AS$72,INDIRECT($C$5&amp;"生成成长"),5))*(VLOOKUP($B$5,标准坦克设计!$B$24:$U$30,MATCH("对"&amp;LEFT($C$5,2)&amp;"输出",标准坦克设计!$B$23:$U$23,0)))*(VLOOKUP($B99,INDIRECT($B$5&amp;"生成成长"),3))*(VLOOKUP($B$5,标准坦克设计!$B$14:$K$20,9)/30))</f>
        <v>20.210707654447695</v>
      </c>
      <c r="AT99" s="173">
        <f ca="1">(VLOOKUP(AT$72,INDIRECT($C$5&amp;"生成成长"),2))/((VLOOKUP($B99,INDIRECT($B$5&amp;"生成成长"),4))/(VLOOKUP(AT$72,INDIRECT($C$5&amp;"生成成长"),5))*(VLOOKUP($B$5,标准坦克设计!$B$24:$U$30,MATCH("对"&amp;LEFT($C$5,2)&amp;"输出",标准坦克设计!$B$23:$U$23,0)))*(VLOOKUP($B99,INDIRECT($B$5&amp;"生成成长"),3))*(VLOOKUP($B$5,标准坦克设计!$B$14:$K$20,9)/30))</f>
        <v>21.508589420769535</v>
      </c>
      <c r="AU99" s="173">
        <f ca="1">(VLOOKUP(AU$72,INDIRECT($C$5&amp;"生成成长"),2))/((VLOOKUP($B99,INDIRECT($B$5&amp;"生成成长"),4))/(VLOOKUP(AU$72,INDIRECT($C$5&amp;"生成成长"),5))*(VLOOKUP($B$5,标准坦克设计!$B$24:$U$30,MATCH("对"&amp;LEFT($C$5,2)&amp;"输出",标准坦克设计!$B$23:$U$23,0)))*(VLOOKUP($B99,INDIRECT($B$5&amp;"生成成长"),3))*(VLOOKUP($B$5,标准坦克设计!$B$14:$K$20,9)/30))</f>
        <v>22.846857889862346</v>
      </c>
      <c r="AV99" s="173">
        <f ca="1">(VLOOKUP(AV$72,INDIRECT($C$5&amp;"生成成长"),2))/((VLOOKUP($B99,INDIRECT($B$5&amp;"生成成长"),4))/(VLOOKUP(AV$72,INDIRECT($C$5&amp;"生成成长"),5))*(VLOOKUP($B$5,标准坦克设计!$B$24:$U$30,MATCH("对"&amp;LEFT($C$5,2)&amp;"输出",标准坦克设计!$B$23:$U$23,0)))*(VLOOKUP($B99,INDIRECT($B$5&amp;"生成成长"),3))*(VLOOKUP($B$5,标准坦克设计!$B$14:$K$20,9)/30))</f>
        <v>2.3237373941449477</v>
      </c>
      <c r="AW99" s="173">
        <f ca="1">(VLOOKUP(AW$72,INDIRECT($C$5&amp;"生成成长"),2))/((VLOOKUP($B99,INDIRECT($B$5&amp;"生成成长"),4))/(VLOOKUP(AW$72,INDIRECT($C$5&amp;"生成成长"),5))*(VLOOKUP($B$5,标准坦克设计!$B$24:$U$30,MATCH("对"&amp;LEFT($C$5,2)&amp;"输出",标准坦克设计!$B$23:$U$23,0)))*(VLOOKUP($B99,INDIRECT($B$5&amp;"生成成长"),3))*(VLOOKUP($B$5,标准坦克设计!$B$14:$K$20,9)/30))</f>
        <v>2.6495012115372876</v>
      </c>
      <c r="AX99" s="173">
        <f ca="1">(VLOOKUP(AX$72,INDIRECT($C$5&amp;"生成成长"),2))/((VLOOKUP($B99,INDIRECT($B$5&amp;"生成成长"),4))/(VLOOKUP(AX$72,INDIRECT($C$5&amp;"生成成长"),5))*(VLOOKUP($B$5,标准坦克设计!$B$24:$U$30,MATCH("对"&amp;LEFT($C$5,2)&amp;"输出",标准坦克设计!$B$23:$U$23,0)))*(VLOOKUP($B99,INDIRECT($B$5&amp;"生成成长"),3))*(VLOOKUP($B$5,标准坦克设计!$B$14:$K$20,9)/30))</f>
        <v>2.996626590725846</v>
      </c>
      <c r="AY99" s="173">
        <f ca="1">(VLOOKUP(AY$72,INDIRECT($C$5&amp;"生成成长"),2))/((VLOOKUP($B99,INDIRECT($B$5&amp;"生成成长"),4))/(VLOOKUP(AY$72,INDIRECT($C$5&amp;"生成成长"),5))*(VLOOKUP($B$5,标准坦克设计!$B$24:$U$30,MATCH("对"&amp;LEFT($C$5,2)&amp;"输出",标准坦克设计!$B$23:$U$23,0)))*(VLOOKUP($B99,INDIRECT($B$5&amp;"生成成长"),3))*(VLOOKUP($B$5,标准坦克设计!$B$14:$K$20,9)/30))</f>
        <v>3.365113531710624</v>
      </c>
      <c r="AZ99" s="173">
        <f ca="1">(VLOOKUP(AZ$72,INDIRECT($C$5&amp;"生成成长"),2))/((VLOOKUP($B99,INDIRECT($B$5&amp;"生成成长"),4))/(VLOOKUP(AZ$72,INDIRECT($C$5&amp;"生成成长"),5))*(VLOOKUP($B$5,标准坦克设计!$B$24:$U$30,MATCH("对"&amp;LEFT($C$5,2)&amp;"输出",标准坦克设计!$B$23:$U$23,0)))*(VLOOKUP($B99,INDIRECT($B$5&amp;"生成成长"),3))*(VLOOKUP($B$5,标准坦克设计!$B$14:$K$20,9)/30))</f>
        <v>3.7549620344916206</v>
      </c>
      <c r="BA99" s="173">
        <f ca="1">(VLOOKUP(BA$72,INDIRECT($C$5&amp;"生成成长"),2))/((VLOOKUP($B99,INDIRECT($B$5&amp;"生成成长"),4))/(VLOOKUP(BA$72,INDIRECT($C$5&amp;"生成成长"),5))*(VLOOKUP($B$5,标准坦克设计!$B$24:$U$30,MATCH("对"&amp;LEFT($C$5,2)&amp;"输出",标准坦克设计!$B$23:$U$23,0)))*(VLOOKUP($B99,INDIRECT($B$5&amp;"生成成长"),3))*(VLOOKUP($B$5,标准坦克设计!$B$14:$K$20,9)/30))</f>
        <v>4.1661720990688362</v>
      </c>
      <c r="BB99" s="173">
        <f ca="1">(VLOOKUP(BB$72,INDIRECT($C$5&amp;"生成成长"),2))/((VLOOKUP($B99,INDIRECT($B$5&amp;"生成成长"),4))/(VLOOKUP(BB$72,INDIRECT($C$5&amp;"生成成长"),5))*(VLOOKUP($B$5,标准坦克设计!$B$24:$U$30,MATCH("对"&amp;LEFT($C$5,2)&amp;"输出",标准坦克设计!$B$23:$U$23,0)))*(VLOOKUP($B99,INDIRECT($B$5&amp;"生成成长"),3))*(VLOOKUP($B$5,标准坦克设计!$B$14:$K$20,9)/30))</f>
        <v>4.5987437254422705</v>
      </c>
      <c r="BC99" s="173">
        <f ca="1">(VLOOKUP(BC$72,INDIRECT($C$5&amp;"生成成长"),2))/((VLOOKUP($B99,INDIRECT($B$5&amp;"生成成长"),4))/(VLOOKUP(BC$72,INDIRECT($C$5&amp;"生成成长"),5))*(VLOOKUP($B$5,标准坦克设计!$B$24:$U$30,MATCH("对"&amp;LEFT($C$5,2)&amp;"输出",标准坦克设计!$B$23:$U$23,0)))*(VLOOKUP($B99,INDIRECT($B$5&amp;"生成成长"),3))*(VLOOKUP($B$5,标准坦克设计!$B$14:$K$20,9)/30))</f>
        <v>5.0526769136119238</v>
      </c>
      <c r="BD99" s="173">
        <f ca="1">(VLOOKUP(BD$72,INDIRECT($C$5&amp;"生成成长"),2))/((VLOOKUP($B99,INDIRECT($B$5&amp;"生成成长"),4))/(VLOOKUP(BD$72,INDIRECT($C$5&amp;"生成成长"),5))*(VLOOKUP($B$5,标准坦克设计!$B$24:$U$30,MATCH("对"&amp;LEFT($C$5,2)&amp;"输出",标准坦克设计!$B$23:$U$23,0)))*(VLOOKUP($B99,INDIRECT($B$5&amp;"生成成长"),3))*(VLOOKUP($B$5,标准坦克设计!$B$14:$K$20,9)/30))</f>
        <v>5.5888854921373285</v>
      </c>
      <c r="BE99" s="173">
        <f ca="1">(VLOOKUP(BE$72,INDIRECT($C$5&amp;"生成成长"),2))/((VLOOKUP($B99,INDIRECT($B$5&amp;"生成成长"),4))/(VLOOKUP(BE$72,INDIRECT($C$5&amp;"生成成长"),5))*(VLOOKUP($B$5,标准坦克设计!$B$24:$U$30,MATCH("对"&amp;LEFT($C$5,2)&amp;"输出",标准坦克设计!$B$23:$U$23,0)))*(VLOOKUP($B99,INDIRECT($B$5&amp;"生成成长"),3))*(VLOOKUP($B$5,标准坦克设计!$B$14:$K$20,9)/30))</f>
        <v>6.1521297973110709</v>
      </c>
      <c r="BF99" s="173">
        <f ca="1">(VLOOKUP(BF$72,INDIRECT($C$5&amp;"生成成长"),2))/((VLOOKUP($B99,INDIRECT($B$5&amp;"生成成长"),4))/(VLOOKUP(BF$72,INDIRECT($C$5&amp;"生成成长"),5))*(VLOOKUP($B$5,标准坦克设计!$B$24:$U$30,MATCH("对"&amp;LEFT($C$5,2)&amp;"输出",标准坦克设计!$B$23:$U$23,0)))*(VLOOKUP($B99,INDIRECT($B$5&amp;"生成成长"),3))*(VLOOKUP($B$5,标准坦克设计!$B$14:$K$20,9)/30))</f>
        <v>6.7424098291331545</v>
      </c>
      <c r="BG99" s="173">
        <f ca="1">(VLOOKUP(BG$72,INDIRECT($C$5&amp;"生成成长"),2))/((VLOOKUP($B99,INDIRECT($B$5&amp;"生成成长"),4))/(VLOOKUP(BG$72,INDIRECT($C$5&amp;"生成成长"),5))*(VLOOKUP($B$5,标准坦克设计!$B$24:$U$30,MATCH("对"&amp;LEFT($C$5,2)&amp;"输出",标准坦克设计!$B$23:$U$23,0)))*(VLOOKUP($B99,INDIRECT($B$5&amp;"生成成长"),3))*(VLOOKUP($B$5,标准坦克设计!$B$14:$K$20,9)/30))</f>
        <v>7.3597255876035774</v>
      </c>
      <c r="BH99" s="173">
        <f ca="1">(VLOOKUP(BH$72,INDIRECT($C$5&amp;"生成成长"),2))/((VLOOKUP($B99,INDIRECT($B$5&amp;"生成成长"),4))/(VLOOKUP(BH$72,INDIRECT($C$5&amp;"生成成长"),5))*(VLOOKUP($B$5,标准坦克设计!$B$24:$U$30,MATCH("对"&amp;LEFT($C$5,2)&amp;"输出",标准坦克设计!$B$23:$U$23,0)))*(VLOOKUP($B99,INDIRECT($B$5&amp;"生成成长"),3))*(VLOOKUP($B$5,标准坦克设计!$B$14:$K$20,9)/30))</f>
        <v>3.5573675878765951</v>
      </c>
      <c r="BI99" s="173">
        <f ca="1">(VLOOKUP(BI$72,INDIRECT($C$5&amp;"生成成长"),2))/((VLOOKUP($B99,INDIRECT($B$5&amp;"生成成长"),4))/(VLOOKUP(BI$72,INDIRECT($C$5&amp;"生成成长"),5))*(VLOOKUP($B$5,标准坦克设计!$B$24:$U$30,MATCH("对"&amp;LEFT($C$5,2)&amp;"输出",标准坦克设计!$B$23:$U$23,0)))*(VLOOKUP($B99,INDIRECT($B$5&amp;"生成成长"),3))*(VLOOKUP($B$5,标准坦克设计!$B$14:$K$20,9)/30))</f>
        <v>4.0094650168293864</v>
      </c>
      <c r="BJ99" s="173">
        <f ca="1">(VLOOKUP(BJ$72,INDIRECT($C$5&amp;"生成成长"),2))/((VLOOKUP($B99,INDIRECT($B$5&amp;"生成成长"),4))/(VLOOKUP(BJ$72,INDIRECT($C$5&amp;"生成成长"),5))*(VLOOKUP($B$5,标准坦克设计!$B$24:$U$30,MATCH("对"&amp;LEFT($C$5,2)&amp;"输出",标准坦克设计!$B$23:$U$23,0)))*(VLOOKUP($B99,INDIRECT($B$5&amp;"生成成长"),3))*(VLOOKUP($B$5,标准坦克设计!$B$14:$K$20,9)/30))</f>
        <v>4.4885981724305175</v>
      </c>
      <c r="BK99" s="173">
        <f ca="1">(VLOOKUP(BK$72,INDIRECT($C$5&amp;"生成成长"),2))/((VLOOKUP($B99,INDIRECT($B$5&amp;"生成成长"),4))/(VLOOKUP(BK$72,INDIRECT($C$5&amp;"生成成长"),5))*(VLOOKUP($B$5,标准坦克设计!$B$24:$U$30,MATCH("对"&amp;LEFT($C$5,2)&amp;"输出",标准坦克设计!$B$23:$U$23,0)))*(VLOOKUP($B99,INDIRECT($B$5&amp;"生成成长"),3))*(VLOOKUP($B$5,标准坦克设计!$B$14:$K$20,9)/30))</f>
        <v>4.9947670546799872</v>
      </c>
      <c r="BL99" s="173">
        <f ca="1">(VLOOKUP(BL$72,INDIRECT($C$5&amp;"生成成长"),2))/((VLOOKUP($B99,INDIRECT($B$5&amp;"生成成长"),4))/(VLOOKUP(BL$72,INDIRECT($C$5&amp;"生成成长"),5))*(VLOOKUP($B$5,标准坦克设计!$B$24:$U$30,MATCH("对"&amp;LEFT($C$5,2)&amp;"输出",标准坦克设计!$B$23:$U$23,0)))*(VLOOKUP($B99,INDIRECT($B$5&amp;"生成成长"),3))*(VLOOKUP($B$5,标准坦克设计!$B$14:$K$20,9)/30))</f>
        <v>5.5279716635777962</v>
      </c>
      <c r="BM99" s="173">
        <f ca="1">(VLOOKUP(BM$72,INDIRECT($C$5&amp;"生成成长"),2))/((VLOOKUP($B99,INDIRECT($B$5&amp;"生成成长"),4))/(VLOOKUP(BM$72,INDIRECT($C$5&amp;"生成成长"),5))*(VLOOKUP($B$5,标准坦克设计!$B$24:$U$30,MATCH("对"&amp;LEFT($C$5,2)&amp;"输出",标准坦克设计!$B$23:$U$23,0)))*(VLOOKUP($B99,INDIRECT($B$5&amp;"生成成长"),3))*(VLOOKUP($B$5,标准坦克设计!$B$14:$K$20,9)/30))</f>
        <v>6.0882119991239474</v>
      </c>
      <c r="BN99" s="173">
        <f ca="1">(VLOOKUP(BN$72,INDIRECT($C$5&amp;"生成成长"),2))/((VLOOKUP($B99,INDIRECT($B$5&amp;"生成成长"),4))/(VLOOKUP(BN$72,INDIRECT($C$5&amp;"生成成长"),5))*(VLOOKUP($B$5,标准坦克设计!$B$24:$U$30,MATCH("对"&amp;LEFT($C$5,2)&amp;"输出",标准坦克设计!$B$23:$U$23,0)))*(VLOOKUP($B99,INDIRECT($B$5&amp;"生成成长"),3))*(VLOOKUP($B$5,标准坦克设计!$B$14:$K$20,9)/30))</f>
        <v>6.6754880613184371</v>
      </c>
      <c r="BO99" s="173">
        <f ca="1">(VLOOKUP(BO$72,INDIRECT($C$5&amp;"生成成长"),2))/((VLOOKUP($B99,INDIRECT($B$5&amp;"生成成长"),4))/(VLOOKUP(BO$72,INDIRECT($C$5&amp;"生成成长"),5))*(VLOOKUP($B$5,标准坦克设计!$B$24:$U$30,MATCH("对"&amp;LEFT($C$5,2)&amp;"输出",标准坦克设计!$B$23:$U$23,0)))*(VLOOKUP($B99,INDIRECT($B$5&amp;"生成成长"),3))*(VLOOKUP($B$5,标准坦克设计!$B$14:$K$20,9)/30))</f>
        <v>7.2897998501612653</v>
      </c>
      <c r="BP99" s="173">
        <f ca="1">(VLOOKUP(BP$72,INDIRECT($C$5&amp;"生成成长"),2))/((VLOOKUP($B99,INDIRECT($B$5&amp;"生成成长"),4))/(VLOOKUP(BP$72,INDIRECT($C$5&amp;"生成成长"),5))*(VLOOKUP($B$5,标准坦克设计!$B$24:$U$30,MATCH("对"&amp;LEFT($C$5,2)&amp;"输出",标准坦克设计!$B$23:$U$23,0)))*(VLOOKUP($B99,INDIRECT($B$5&amp;"生成成长"),3))*(VLOOKUP($B$5,标准坦克设计!$B$14:$K$20,9)/30))</f>
        <v>7.9311473656524356</v>
      </c>
      <c r="BQ99" s="173">
        <f ca="1">(VLOOKUP(BQ$72,INDIRECT($C$5&amp;"生成成长"),2))/((VLOOKUP($B99,INDIRECT($B$5&amp;"生成成长"),4))/(VLOOKUP(BQ$72,INDIRECT($C$5&amp;"生成成长"),5))*(VLOOKUP($B$5,标准坦克设计!$B$24:$U$30,MATCH("对"&amp;LEFT($C$5,2)&amp;"输出",标准坦克设计!$B$23:$U$23,0)))*(VLOOKUP($B99,INDIRECT($B$5&amp;"生成成长"),3))*(VLOOKUP($B$5,标准坦克设计!$B$14:$K$20,9)/30))</f>
        <v>8.5995306077919427</v>
      </c>
      <c r="BR99" s="173">
        <f ca="1">(VLOOKUP(BR$72,INDIRECT($C$5&amp;"生成成长"),2))/((VLOOKUP($B99,INDIRECT($B$5&amp;"生成成长"),4))/(VLOOKUP(BR$72,INDIRECT($C$5&amp;"生成成长"),5))*(VLOOKUP($B$5,标准坦克设计!$B$24:$U$30,MATCH("对"&amp;LEFT($C$5,2)&amp;"输出",标准坦克设计!$B$23:$U$23,0)))*(VLOOKUP($B99,INDIRECT($B$5&amp;"生成成长"),3))*(VLOOKUP($B$5,标准坦克设计!$B$14:$K$20,9)/30))</f>
        <v>9.373887222904882</v>
      </c>
      <c r="BS99" s="173">
        <f ca="1">(VLOOKUP(BS$72,INDIRECT($C$5&amp;"生成成长"),2))/((VLOOKUP($B99,INDIRECT($B$5&amp;"生成成长"),4))/(VLOOKUP(BS$72,INDIRECT($C$5&amp;"生成成长"),5))*(VLOOKUP($B$5,标准坦克设计!$B$24:$U$30,MATCH("对"&amp;LEFT($C$5,2)&amp;"输出",标准坦克设计!$B$23:$U$23,0)))*(VLOOKUP($B99,INDIRECT($B$5&amp;"生成成长"),3))*(VLOOKUP($B$5,标准坦克设计!$B$14:$K$20,9)/30))</f>
        <v>10.181621278324412</v>
      </c>
      <c r="BT99" s="173">
        <f ca="1">(VLOOKUP(BT$72,INDIRECT($C$5&amp;"生成成长"),2))/((VLOOKUP($B99,INDIRECT($B$5&amp;"生成成长"),4))/(VLOOKUP(BT$72,INDIRECT($C$5&amp;"生成成长"),5))*(VLOOKUP($B$5,标准坦克设计!$B$24:$U$30,MATCH("对"&amp;LEFT($C$5,2)&amp;"输出",标准坦克设计!$B$23:$U$23,0)))*(VLOOKUP($B99,INDIRECT($B$5&amp;"生成成长"),3))*(VLOOKUP($B$5,标准坦克设计!$B$14:$K$20,9)/30))</f>
        <v>11.022732774050535</v>
      </c>
      <c r="BU99" s="173">
        <f ca="1">(VLOOKUP(BU$72,INDIRECT($C$5&amp;"生成成长"),2))/((VLOOKUP($B99,INDIRECT($B$5&amp;"生成成长"),4))/(VLOOKUP(BU$72,INDIRECT($C$5&amp;"生成成长"),5))*(VLOOKUP($B$5,标准坦克设计!$B$24:$U$30,MATCH("对"&amp;LEFT($C$5,2)&amp;"输出",标准坦克设计!$B$23:$U$23,0)))*(VLOOKUP($B99,INDIRECT($B$5&amp;"生成成长"),3))*(VLOOKUP($B$5,标准坦克设计!$B$14:$K$20,9)/30))</f>
        <v>11.897221710083251</v>
      </c>
      <c r="BV99" s="173">
        <f ca="1">(VLOOKUP(BV$72,INDIRECT($C$5&amp;"生成成长"),2))/((VLOOKUP($B99,INDIRECT($B$5&amp;"生成成长"),4))/(VLOOKUP(BV$72,INDIRECT($C$5&amp;"生成成长"),5))*(VLOOKUP($B$5,标准坦克设计!$B$24:$U$30,MATCH("对"&amp;LEFT($C$5,2)&amp;"输出",标准坦克设计!$B$23:$U$23,0)))*(VLOOKUP($B99,INDIRECT($B$5&amp;"生成成长"),3))*(VLOOKUP($B$5,标准坦克设计!$B$14:$K$20,9)/30))</f>
        <v>12.805088086422559</v>
      </c>
      <c r="BW99" s="173">
        <f ca="1">(VLOOKUP(BW$72,INDIRECT($C$5&amp;"生成成长"),2))/((VLOOKUP($B99,INDIRECT($B$5&amp;"生成成长"),4))/(VLOOKUP(BW$72,INDIRECT($C$5&amp;"生成成长"),5))*(VLOOKUP($B$5,标准坦克设计!$B$24:$U$30,MATCH("对"&amp;LEFT($C$5,2)&amp;"输出",标准坦克设计!$B$23:$U$23,0)))*(VLOOKUP($B99,INDIRECT($B$5&amp;"生成成长"),3))*(VLOOKUP($B$5,标准坦克设计!$B$14:$K$20,9)/30))</f>
        <v>5.8358785504061101</v>
      </c>
      <c r="BX99" s="173">
        <f ca="1">(VLOOKUP(BX$72,INDIRECT($C$5&amp;"生成成长"),2))/((VLOOKUP($B99,INDIRECT($B$5&amp;"生成成长"),4))/(VLOOKUP(BX$72,INDIRECT($C$5&amp;"生成成长"),5))*(VLOOKUP($B$5,标准坦克设计!$B$24:$U$30,MATCH("对"&amp;LEFT($C$5,2)&amp;"输出",标准坦克设计!$B$23:$U$23,0)))*(VLOOKUP($B99,INDIRECT($B$5&amp;"生成成长"),3))*(VLOOKUP($B$5,标准坦克设计!$B$14:$K$20,9)/30))</f>
        <v>6.4767254042926794</v>
      </c>
      <c r="BY99" s="173">
        <f ca="1">(VLOOKUP(BY$72,INDIRECT($C$5&amp;"生成成长"),2))/((VLOOKUP($B99,INDIRECT($B$5&amp;"生成成长"),4))/(VLOOKUP(BY$72,INDIRECT($C$5&amp;"生成成长"),5))*(VLOOKUP($B$5,标准坦克设计!$B$24:$U$30,MATCH("对"&amp;LEFT($C$5,2)&amp;"输出",标准坦克设计!$B$23:$U$23,0)))*(VLOOKUP($B99,INDIRECT($B$5&amp;"生成成长"),3))*(VLOOKUP($B$5,标准坦克设计!$B$14:$K$20,9)/30))</f>
        <v>7.1509496984858432</v>
      </c>
      <c r="BZ99" s="173">
        <f ca="1">(VLOOKUP(BZ$72,INDIRECT($C$5&amp;"生成成长"),2))/((VLOOKUP($B99,INDIRECT($B$5&amp;"生成成长"),4))/(VLOOKUP(BZ$72,INDIRECT($C$5&amp;"生成成长"),5))*(VLOOKUP($B$5,标准坦克设计!$B$24:$U$30,MATCH("对"&amp;LEFT($C$5,2)&amp;"输出",标准坦克设计!$B$23:$U$23,0)))*(VLOOKUP($B99,INDIRECT($B$5&amp;"生成成长"),3))*(VLOOKUP($B$5,标准坦克设计!$B$14:$K$20,9)/30))</f>
        <v>7.858551432985597</v>
      </c>
      <c r="CA99" s="173">
        <f ca="1">(VLOOKUP(CA$72,INDIRECT($C$5&amp;"生成成长"),2))/((VLOOKUP($B99,INDIRECT($B$5&amp;"生成成长"),4))/(VLOOKUP(CA$72,INDIRECT($C$5&amp;"生成成长"),5))*(VLOOKUP($B$5,标准坦克设计!$B$24:$U$30,MATCH("对"&amp;LEFT($C$5,2)&amp;"输出",标准坦克设计!$B$23:$U$23,0)))*(VLOOKUP($B99,INDIRECT($B$5&amp;"生成成长"),3))*(VLOOKUP($B$5,标准坦克设计!$B$14:$K$20,9)/30))</f>
        <v>8.5995306077919427</v>
      </c>
      <c r="CB99" s="173">
        <f ca="1">(VLOOKUP(CB$72,INDIRECT($C$5&amp;"生成成长"),2))/((VLOOKUP($B99,INDIRECT($B$5&amp;"生成成长"),4))/(VLOOKUP(CB$72,INDIRECT($C$5&amp;"生成成长"),5))*(VLOOKUP($B$5,标准坦克设计!$B$24:$U$30,MATCH("对"&amp;LEFT($C$5,2)&amp;"输出",标准坦克设计!$B$23:$U$23,0)))*(VLOOKUP($B99,INDIRECT($B$5&amp;"生成成长"),3))*(VLOOKUP($B$5,标准坦克设计!$B$14:$K$20,9)/30))</f>
        <v>9.373887222904882</v>
      </c>
      <c r="CC99" s="173">
        <f ca="1">(VLOOKUP(CC$72,INDIRECT($C$5&amp;"生成成长"),2))/((VLOOKUP($B99,INDIRECT($B$5&amp;"生成成长"),4))/(VLOOKUP(CC$72,INDIRECT($C$5&amp;"生成成长"),5))*(VLOOKUP($B$5,标准坦克设计!$B$24:$U$30,MATCH("对"&amp;LEFT($C$5,2)&amp;"输出",标准坦克设计!$B$23:$U$23,0)))*(VLOOKUP($B99,INDIRECT($B$5&amp;"生成成长"),3))*(VLOOKUP($B$5,标准坦克设计!$B$14:$K$20,9)/30))</f>
        <v>10.181621278324412</v>
      </c>
      <c r="CD99" s="173">
        <f ca="1">(VLOOKUP(CD$72,INDIRECT($C$5&amp;"生成成长"),2))/((VLOOKUP($B99,INDIRECT($B$5&amp;"生成成长"),4))/(VLOOKUP(CD$72,INDIRECT($C$5&amp;"生成成长"),5))*(VLOOKUP($B$5,标准坦克设计!$B$24:$U$30,MATCH("对"&amp;LEFT($C$5,2)&amp;"输出",标准坦克设计!$B$23:$U$23,0)))*(VLOOKUP($B99,INDIRECT($B$5&amp;"生成成长"),3))*(VLOOKUP($B$5,标准坦克设计!$B$14:$K$20,9)/30))</f>
        <v>11.022732774050535</v>
      </c>
      <c r="CE99" s="173">
        <f ca="1">(VLOOKUP(CE$72,INDIRECT($C$5&amp;"生成成长"),2))/((VLOOKUP($B99,INDIRECT($B$5&amp;"生成成长"),4))/(VLOOKUP(CE$72,INDIRECT($C$5&amp;"生成成长"),5))*(VLOOKUP($B$5,标准坦克设计!$B$24:$U$30,MATCH("对"&amp;LEFT($C$5,2)&amp;"输出",标准坦克设计!$B$23:$U$23,0)))*(VLOOKUP($B99,INDIRECT($B$5&amp;"生成成长"),3))*(VLOOKUP($B$5,标准坦克设计!$B$14:$K$20,9)/30))</f>
        <v>11.897221710083251</v>
      </c>
      <c r="CF99" s="173">
        <f ca="1">(VLOOKUP(CF$72,INDIRECT($C$5&amp;"生成成长"),2))/((VLOOKUP($B99,INDIRECT($B$5&amp;"生成成长"),4))/(VLOOKUP(CF$72,INDIRECT($C$5&amp;"生成成长"),5))*(VLOOKUP($B$5,标准坦克设计!$B$24:$U$30,MATCH("对"&amp;LEFT($C$5,2)&amp;"输出",标准坦克设计!$B$23:$U$23,0)))*(VLOOKUP($B99,INDIRECT($B$5&amp;"生成成长"),3))*(VLOOKUP($B$5,标准坦克设计!$B$14:$K$20,9)/30))</f>
        <v>12.805088086422559</v>
      </c>
      <c r="CG99" s="173">
        <f ca="1">(VLOOKUP(CG$72,INDIRECT($C$5&amp;"生成成长"),2))/((VLOOKUP($B99,INDIRECT($B$5&amp;"生成成长"),4))/(VLOOKUP(CG$72,INDIRECT($C$5&amp;"生成成长"),5))*(VLOOKUP($B$5,标准坦克设计!$B$24:$U$30,MATCH("对"&amp;LEFT($C$5,2)&amp;"输出",标准坦克设计!$B$23:$U$23,0)))*(VLOOKUP($B99,INDIRECT($B$5&amp;"生成成长"),3))*(VLOOKUP($B$5,标准坦克设计!$B$14:$K$20,9)/30))</f>
        <v>13.746331903068457</v>
      </c>
      <c r="CH99" s="173">
        <f ca="1">(VLOOKUP(CH$72,INDIRECT($C$5&amp;"生成成长"),2))/((VLOOKUP($B99,INDIRECT($B$5&amp;"生成成长"),4))/(VLOOKUP(CH$72,INDIRECT($C$5&amp;"生成成长"),5))*(VLOOKUP($B$5,标准坦克设计!$B$24:$U$30,MATCH("对"&amp;LEFT($C$5,2)&amp;"输出",标准坦克设计!$B$23:$U$23,0)))*(VLOOKUP($B99,INDIRECT($B$5&amp;"生成成长"),3))*(VLOOKUP($B$5,标准坦克设计!$B$14:$K$20,9)/30))</f>
        <v>14.720953160020951</v>
      </c>
      <c r="CI99" s="173">
        <f ca="1">(VLOOKUP(CI$72,INDIRECT($C$5&amp;"生成成长"),2))/((VLOOKUP($B99,INDIRECT($B$5&amp;"生成成长"),4))/(VLOOKUP(CI$72,INDIRECT($C$5&amp;"生成成长"),5))*(VLOOKUP($B$5,标准坦克设计!$B$24:$U$30,MATCH("对"&amp;LEFT($C$5,2)&amp;"输出",标准坦克设计!$B$23:$U$23,0)))*(VLOOKUP($B99,INDIRECT($B$5&amp;"生成成长"),3))*(VLOOKUP($B$5,标准坦克设计!$B$14:$K$20,9)/30))</f>
        <v>15.831587486222805</v>
      </c>
      <c r="CJ99" s="173">
        <f ca="1">(VLOOKUP(CJ$72,INDIRECT($C$5&amp;"生成成长"),2))/((VLOOKUP($B99,INDIRECT($B$5&amp;"生成成长"),4))/(VLOOKUP(CJ$72,INDIRECT($C$5&amp;"生成成长"),5))*(VLOOKUP($B$5,标准坦克设计!$B$24:$U$30,MATCH("对"&amp;LEFT($C$5,2)&amp;"输出",标准坦克设计!$B$23:$U$23,0)))*(VLOOKUP($B99,INDIRECT($B$5&amp;"生成成长"),3))*(VLOOKUP($B$5,标准坦克设计!$B$14:$K$20,9)/30))</f>
        <v>16.982608515195636</v>
      </c>
      <c r="CK99" s="173">
        <f ca="1">(VLOOKUP(CK$72,INDIRECT($C$5&amp;"生成成长"),2))/((VLOOKUP($B99,INDIRECT($B$5&amp;"生成成长"),4))/(VLOOKUP(CK$72,INDIRECT($C$5&amp;"生成成长"),5))*(VLOOKUP($B$5,标准坦克设计!$B$24:$U$30,MATCH("对"&amp;LEFT($C$5,2)&amp;"输出",标准坦克设计!$B$23:$U$23,0)))*(VLOOKUP($B99,INDIRECT($B$5&amp;"生成成长"),3))*(VLOOKUP($B$5,标准坦克设计!$B$14:$K$20,9)/30))</f>
        <v>18.174016246939441</v>
      </c>
      <c r="CL99" s="173">
        <f ca="1">(VLOOKUP(CL$72,INDIRECT($C$5&amp;"生成成长"),2))/((VLOOKUP($B99,INDIRECT($B$5&amp;"生成成长"),4))/(VLOOKUP(CL$72,INDIRECT($C$5&amp;"生成成长"),5))*(VLOOKUP($B$5,标准坦克设计!$B$24:$U$30,MATCH("对"&amp;LEFT($C$5,2)&amp;"输出",标准坦克设计!$B$23:$U$23,0)))*(VLOOKUP($B99,INDIRECT($B$5&amp;"生成成长"),3))*(VLOOKUP($B$5,标准坦克设计!$B$14:$K$20,9)/30))</f>
        <v>19.405810681454231</v>
      </c>
      <c r="CM99" s="173">
        <f ca="1">(VLOOKUP(CM$72,INDIRECT($C$5&amp;"生成成长"),2))/((VLOOKUP($B99,INDIRECT($B$5&amp;"生成成长"),4))/(VLOOKUP(CM$72,INDIRECT($C$5&amp;"生成成长"),5))*(VLOOKUP($B$5,标准坦克设计!$B$24:$U$30,MATCH("对"&amp;LEFT($C$5,2)&amp;"输出",标准坦克设计!$B$23:$U$23,0)))*(VLOOKUP($B99,INDIRECT($B$5&amp;"生成成长"),3))*(VLOOKUP($B$5,标准坦克设计!$B$14:$K$20,9)/30))</f>
        <v>20.67799181873999</v>
      </c>
      <c r="CN99" s="173">
        <f ca="1">(VLOOKUP(CN$72,INDIRECT($C$5&amp;"生成成长"),2))/((VLOOKUP($B99,INDIRECT($B$5&amp;"生成成长"),4))/(VLOOKUP(CN$72,INDIRECT($C$5&amp;"生成成长"),5))*(VLOOKUP($B$5,标准坦克设计!$B$24:$U$30,MATCH("对"&amp;LEFT($C$5,2)&amp;"输出",标准坦克设计!$B$23:$U$23,0)))*(VLOOKUP($B99,INDIRECT($B$5&amp;"生成成长"),3))*(VLOOKUP($B$5,标准坦克设计!$B$14:$K$20,9)/30))</f>
        <v>21.990559658796723</v>
      </c>
      <c r="CO99" s="173">
        <f ca="1">(VLOOKUP(CO$72,INDIRECT($C$5&amp;"生成成长"),2))/((VLOOKUP($B99,INDIRECT($B$5&amp;"生成成长"),4))/(VLOOKUP(CO$72,INDIRECT($C$5&amp;"生成成长"),5))*(VLOOKUP($B$5,标准坦克设计!$B$24:$U$30,MATCH("对"&amp;LEFT($C$5,2)&amp;"输出",标准坦克设计!$B$23:$U$23,0)))*(VLOOKUP($B99,INDIRECT($B$5&amp;"生成成长"),3))*(VLOOKUP($B$5,标准坦克设计!$B$14:$K$20,9)/30))</f>
        <v>9.8545223633198091</v>
      </c>
      <c r="CP99" s="173">
        <f ca="1">(VLOOKUP(CP$72,INDIRECT($C$5&amp;"生成成长"),2))/((VLOOKUP($B99,INDIRECT($B$5&amp;"生成成长"),4))/(VLOOKUP(CP$72,INDIRECT($C$5&amp;"生成成长"),5))*(VLOOKUP($B$5,标准坦克设计!$B$24:$U$30,MATCH("对"&amp;LEFT($C$5,2)&amp;"输出",标准坦克设计!$B$23:$U$23,0)))*(VLOOKUP($B99,INDIRECT($B$5&amp;"生成成长"),3))*(VLOOKUP($B$5,标准坦克设计!$B$14:$K$20,9)/30))</f>
        <v>10.766894694100506</v>
      </c>
      <c r="CQ99" s="173">
        <f ca="1">(VLOOKUP(CQ$72,INDIRECT($C$5&amp;"生成成长"),2))/((VLOOKUP($B99,INDIRECT($B$5&amp;"生成成长"),4))/(VLOOKUP(CQ$72,INDIRECT($C$5&amp;"生成成长"),5))*(VLOOKUP($B$5,标准坦克设计!$B$24:$U$30,MATCH("对"&amp;LEFT($C$5,2)&amp;"输出",标准坦克设计!$B$23:$U$23,0)))*(VLOOKUP($B99,INDIRECT($B$5&amp;"生成成长"),3))*(VLOOKUP($B$5,标准坦克设计!$B$14:$K$20,9)/30))</f>
        <v>11.719653727652179</v>
      </c>
      <c r="CR99" s="173">
        <f ca="1">(VLOOKUP(CR$72,INDIRECT($C$5&amp;"生成成长"),2))/((VLOOKUP($B99,INDIRECT($B$5&amp;"生成成长"),4))/(VLOOKUP(CR$72,INDIRECT($C$5&amp;"生成成长"),5))*(VLOOKUP($B$5,标准坦克设计!$B$24:$U$30,MATCH("对"&amp;LEFT($C$5,2)&amp;"输出",标准坦克设计!$B$23:$U$23,0)))*(VLOOKUP($B99,INDIRECT($B$5&amp;"生成成长"),3))*(VLOOKUP($B$5,标准坦克设计!$B$14:$K$20,9)/30))</f>
        <v>12.712799463974831</v>
      </c>
      <c r="CS99" s="173">
        <f ca="1">(VLOOKUP(CS$72,INDIRECT($C$5&amp;"生成成长"),2))/((VLOOKUP($B99,INDIRECT($B$5&amp;"生成成长"),4))/(VLOOKUP(CS$72,INDIRECT($C$5&amp;"生成成长"),5))*(VLOOKUP($B$5,标准坦克设计!$B$24:$U$30,MATCH("对"&amp;LEFT($C$5,2)&amp;"输出",标准坦克设计!$B$23:$U$23,0)))*(VLOOKUP($B99,INDIRECT($B$5&amp;"生成成长"),3))*(VLOOKUP($B$5,标准坦克设计!$B$14:$K$20,9)/30))</f>
        <v>13.746331903068457</v>
      </c>
      <c r="CT99" s="173">
        <f ca="1">(VLOOKUP(CT$72,INDIRECT($C$5&amp;"生成成长"),2))/((VLOOKUP($B99,INDIRECT($B$5&amp;"生成成长"),4))/(VLOOKUP(CT$72,INDIRECT($C$5&amp;"生成成长"),5))*(VLOOKUP($B$5,标准坦克设计!$B$24:$U$30,MATCH("对"&amp;LEFT($C$5,2)&amp;"输出",标准坦克设计!$B$23:$U$23,0)))*(VLOOKUP($B99,INDIRECT($B$5&amp;"生成成长"),3))*(VLOOKUP($B$5,标准坦克设计!$B$14:$K$20,9)/30))</f>
        <v>14.820251044933061</v>
      </c>
      <c r="CU99" s="173">
        <f ca="1">(VLOOKUP(CU$72,INDIRECT($C$5&amp;"生成成长"),2))/((VLOOKUP($B99,INDIRECT($B$5&amp;"生成成长"),4))/(VLOOKUP(CU$72,INDIRECT($C$5&amp;"生成成长"),5))*(VLOOKUP($B$5,标准坦克设计!$B$24:$U$30,MATCH("对"&amp;LEFT($C$5,2)&amp;"输出",标准坦克设计!$B$23:$U$23,0)))*(VLOOKUP($B99,INDIRECT($B$5&amp;"生成成长"),3))*(VLOOKUP($B$5,标准坦克设计!$B$14:$K$20,9)/30))</f>
        <v>15.934556889568642</v>
      </c>
      <c r="CV99" s="173">
        <f ca="1">(VLOOKUP(CV$72,INDIRECT($C$5&amp;"生成成长"),2))/((VLOOKUP($B99,INDIRECT($B$5&amp;"生成成长"),4))/(VLOOKUP(CV$72,INDIRECT($C$5&amp;"生成成长"),5))*(VLOOKUP($B$5,标准坦克设计!$B$24:$U$30,MATCH("对"&amp;LEFT($C$5,2)&amp;"输出",标准坦克设计!$B$23:$U$23,0)))*(VLOOKUP($B99,INDIRECT($B$5&amp;"生成成长"),3))*(VLOOKUP($B$5,标准坦克设计!$B$14:$K$20,9)/30))</f>
        <v>17.089249436975198</v>
      </c>
      <c r="CW99" s="173">
        <f ca="1">(VLOOKUP(CW$72,INDIRECT($C$5&amp;"生成成长"),2))/((VLOOKUP($B99,INDIRECT($B$5&amp;"生成成长"),4))/(VLOOKUP(CW$72,INDIRECT($C$5&amp;"生成成长"),5))*(VLOOKUP($B$5,标准坦克设计!$B$24:$U$30,MATCH("对"&amp;LEFT($C$5,2)&amp;"输出",标准坦克设计!$B$23:$U$23,0)))*(VLOOKUP($B99,INDIRECT($B$5&amp;"生成成长"),3))*(VLOOKUP($B$5,标准坦克设计!$B$14:$K$20,9)/30))</f>
        <v>18.28432868715273</v>
      </c>
      <c r="CX99" s="173">
        <f ca="1">(VLOOKUP(CX$72,INDIRECT($C$5&amp;"生成成长"),2))/((VLOOKUP($B99,INDIRECT($B$5&amp;"生成成长"),4))/(VLOOKUP(CX$72,INDIRECT($C$5&amp;"生成成长"),5))*(VLOOKUP($B$5,标准坦克设计!$B$24:$U$30,MATCH("对"&amp;LEFT($C$5,2)&amp;"输出",标准坦克设计!$B$23:$U$23,0)))*(VLOOKUP($B99,INDIRECT($B$5&amp;"生成成长"),3))*(VLOOKUP($B$5,标准坦克设计!$B$14:$K$20,9)/30))</f>
        <v>19.519794640101239</v>
      </c>
      <c r="CY99" s="173">
        <f ca="1">(VLOOKUP(CY$72,INDIRECT($C$5&amp;"生成成长"),2))/((VLOOKUP($B99,INDIRECT($B$5&amp;"生成成长"),4))/(VLOOKUP(CY$72,INDIRECT($C$5&amp;"生成成长"),5))*(VLOOKUP($B$5,标准坦克设计!$B$24:$U$30,MATCH("对"&amp;LEFT($C$5,2)&amp;"输出",标准坦克设计!$B$23:$U$23,0)))*(VLOOKUP($B99,INDIRECT($B$5&amp;"生成成长"),3))*(VLOOKUP($B$5,标准坦克设计!$B$14:$K$20,9)/30))</f>
        <v>20.795647295820729</v>
      </c>
      <c r="CZ99" s="173">
        <f ca="1">(VLOOKUP(CZ$72,INDIRECT($C$5&amp;"生成成长"),2))/((VLOOKUP($B99,INDIRECT($B$5&amp;"生成成长"),4))/(VLOOKUP(CZ$72,INDIRECT($C$5&amp;"生成成长"),5))*(VLOOKUP($B$5,标准坦克设计!$B$24:$U$30,MATCH("对"&amp;LEFT($C$5,2)&amp;"输出",标准坦克设计!$B$23:$U$23,0)))*(VLOOKUP($B99,INDIRECT($B$5&amp;"生成成长"),3))*(VLOOKUP($B$5,标准坦克设计!$B$14:$K$20,9)/30))</f>
        <v>22.111886654311185</v>
      </c>
      <c r="DA99" s="173">
        <f ca="1">(VLOOKUP(DA$72,INDIRECT($C$5&amp;"生成成长"),2))/((VLOOKUP($B99,INDIRECT($B$5&amp;"生成成长"),4))/(VLOOKUP(DA$72,INDIRECT($C$5&amp;"生成成长"),5))*(VLOOKUP($B$5,标准坦克设计!$B$24:$U$30,MATCH("对"&amp;LEFT($C$5,2)&amp;"输出",标准坦克设计!$B$23:$U$23,0)))*(VLOOKUP($B99,INDIRECT($B$5&amp;"生成成长"),3))*(VLOOKUP($B$5,标准坦克设计!$B$14:$K$20,9)/30))</f>
        <v>23.468512715572629</v>
      </c>
      <c r="DB99" s="173">
        <f ca="1">(VLOOKUP(DB$72,INDIRECT($C$5&amp;"生成成长"),2))/((VLOOKUP($B99,INDIRECT($B$5&amp;"生成成长"),4))/(VLOOKUP(DB$72,INDIRECT($C$5&amp;"生成成长"),5))*(VLOOKUP($B$5,标准坦克设计!$B$24:$U$30,MATCH("对"&amp;LEFT($C$5,2)&amp;"输出",标准坦克设计!$B$23:$U$23,0)))*(VLOOKUP($B99,INDIRECT($B$5&amp;"生成成长"),3))*(VLOOKUP($B$5,标准坦克设计!$B$14:$K$20,9)/30))</f>
        <v>24.86552547960504</v>
      </c>
      <c r="DC99" s="173">
        <f ca="1">(VLOOKUP(DC$72,INDIRECT($C$5&amp;"生成成长"),2))/((VLOOKUP($B99,INDIRECT($B$5&amp;"生成成长"),4))/(VLOOKUP(DC$72,INDIRECT($C$5&amp;"生成成长"),5))*(VLOOKUP($B$5,标准坦克设计!$B$24:$U$30,MATCH("对"&amp;LEFT($C$5,2)&amp;"输出",标准坦克设计!$B$23:$U$23,0)))*(VLOOKUP($B99,INDIRECT($B$5&amp;"生成成长"),3))*(VLOOKUP($B$5,标准坦克设计!$B$14:$K$20,9)/30))</f>
        <v>26.435600271627138</v>
      </c>
      <c r="DD99" s="173">
        <f ca="1">(VLOOKUP(DD$72,INDIRECT($C$5&amp;"生成成长"),2))/((VLOOKUP($B99,INDIRECT($B$5&amp;"生成成长"),4))/(VLOOKUP(DD$72,INDIRECT($C$5&amp;"生成成长"),5))*(VLOOKUP($B$5,标准坦克设计!$B$24:$U$30,MATCH("对"&amp;LEFT($C$5,2)&amp;"输出",标准坦克设计!$B$23:$U$23,0)))*(VLOOKUP($B99,INDIRECT($B$5&amp;"生成成长"),3))*(VLOOKUP($B$5,标准坦克设计!$B$14:$K$20,9)/30))</f>
        <v>28.053738577690734</v>
      </c>
      <c r="DE99" s="173">
        <f ca="1">(VLOOKUP(DE$72,INDIRECT($C$5&amp;"生成成长"),2))/((VLOOKUP($B99,INDIRECT($B$5&amp;"生成成长"),4))/(VLOOKUP(DE$72,INDIRECT($C$5&amp;"生成成长"),5))*(VLOOKUP($B$5,标准坦克设计!$B$24:$U$30,MATCH("对"&amp;LEFT($C$5,2)&amp;"输出",标准坦克设计!$B$23:$U$23,0)))*(VLOOKUP($B99,INDIRECT($B$5&amp;"生成成长"),3))*(VLOOKUP($B$5,标准坦克设计!$B$14:$K$20,9)/30))</f>
        <v>29.719940397795813</v>
      </c>
      <c r="DF99" s="173">
        <f ca="1">(VLOOKUP(DF$72,INDIRECT($C$5&amp;"生成成长"),2))/((VLOOKUP($B99,INDIRECT($B$5&amp;"生成成长"),4))/(VLOOKUP(DF$72,INDIRECT($C$5&amp;"生成成长"),5))*(VLOOKUP($B$5,标准坦克设计!$B$24:$U$30,MATCH("对"&amp;LEFT($C$5,2)&amp;"输出",标准坦克设计!$B$23:$U$23,0)))*(VLOOKUP($B99,INDIRECT($B$5&amp;"生成成长"),3))*(VLOOKUP($B$5,标准坦克设计!$B$14:$K$20,9)/30))</f>
        <v>31.434205731942388</v>
      </c>
      <c r="DG99" s="173">
        <f ca="1">(VLOOKUP(DG$72,INDIRECT($C$5&amp;"生成成长"),2))/((VLOOKUP($B99,INDIRECT($B$5&amp;"生成成长"),4))/(VLOOKUP(DG$72,INDIRECT($C$5&amp;"生成成长"),5))*(VLOOKUP($B$5,标准坦克设计!$B$24:$U$30,MATCH("对"&amp;LEFT($C$5,2)&amp;"输出",标准坦克设计!$B$23:$U$23,0)))*(VLOOKUP($B99,INDIRECT($B$5&amp;"生成成长"),3))*(VLOOKUP($B$5,标准坦克设计!$B$14:$K$20,9)/30))</f>
        <v>33.196534580130454</v>
      </c>
      <c r="DH99" s="173">
        <f ca="1">(VLOOKUP(DH$72,INDIRECT($C$5&amp;"生成成长"),2))/((VLOOKUP($B99,INDIRECT($B$5&amp;"生成成长"),4))/(VLOOKUP(DH$72,INDIRECT($C$5&amp;"生成成长"),5))*(VLOOKUP($B$5,标准坦克设计!$B$24:$U$30,MATCH("对"&amp;LEFT($C$5,2)&amp;"输出",标准坦克设计!$B$23:$U$23,0)))*(VLOOKUP($B99,INDIRECT($B$5&amp;"生成成长"),3))*(VLOOKUP($B$5,标准坦克设计!$B$14:$K$20,9)/30))</f>
        <v>35.00692694236001</v>
      </c>
      <c r="DI99" s="173">
        <f ca="1">(VLOOKUP(DI$72,INDIRECT($C$5&amp;"生成成长"),2))/((VLOOKUP($B99,INDIRECT($B$5&amp;"生成成长"),4))/(VLOOKUP(DI$72,INDIRECT($C$5&amp;"生成成长"),5))*(VLOOKUP($B$5,标准坦克设计!$B$24:$U$30,MATCH("对"&amp;LEFT($C$5,2)&amp;"输出",标准坦克设计!$B$23:$U$23,0)))*(VLOOKUP($B99,INDIRECT($B$5&amp;"生成成长"),3))*(VLOOKUP($B$5,标准坦克设计!$B$14:$K$20,9)/30))</f>
        <v>36.865382818631069</v>
      </c>
      <c r="DJ99" s="173">
        <f ca="1">(VLOOKUP(DJ$72,INDIRECT($C$5&amp;"生成成长"),2))/((VLOOKUP($B99,INDIRECT($B$5&amp;"生成成长"),4))/(VLOOKUP(DJ$72,INDIRECT($C$5&amp;"生成成长"),5))*(VLOOKUP($B$5,标准坦克设计!$B$24:$U$30,MATCH("对"&amp;LEFT($C$5,2)&amp;"输出",标准坦克设计!$B$23:$U$23,0)))*(VLOOKUP($B99,INDIRECT($B$5&amp;"生成成长"),3))*(VLOOKUP($B$5,标准坦克设计!$B$14:$K$20,9)/30))</f>
        <v>3.7050627612332652</v>
      </c>
      <c r="DK99" s="173">
        <f ca="1">(VLOOKUP(DK$72,INDIRECT($C$5&amp;"生成成长"),2))/((VLOOKUP($B99,INDIRECT($B$5&amp;"生成成长"),4))/(VLOOKUP(DK$72,INDIRECT($C$5&amp;"生成成长"),5))*(VLOOKUP($B$5,标准坦克设计!$B$24:$U$30,MATCH("对"&amp;LEFT($C$5,2)&amp;"输出",标准坦克设计!$B$23:$U$23,0)))*(VLOOKUP($B99,INDIRECT($B$5&amp;"生成成长"),3))*(VLOOKUP($B$5,标准坦克设计!$B$14:$K$20,9)/30))</f>
        <v>4.1661720990688362</v>
      </c>
      <c r="DL99" s="173">
        <f ca="1">(VLOOKUP(DL$72,INDIRECT($C$5&amp;"生成成长"),2))/((VLOOKUP($B99,INDIRECT($B$5&amp;"生成成长"),4))/(VLOOKUP(DL$72,INDIRECT($C$5&amp;"生成成长"),5))*(VLOOKUP($B$5,标准坦克设计!$B$24:$U$30,MATCH("对"&amp;LEFT($C$5,2)&amp;"输出",标准坦克设计!$B$23:$U$23,0)))*(VLOOKUP($B99,INDIRECT($B$5&amp;"生成成长"),3))*(VLOOKUP($B$5,标准坦克设计!$B$14:$K$20,9)/30))</f>
        <v>4.6543171635527472</v>
      </c>
      <c r="DM99" s="173">
        <f ca="1">(VLOOKUP(DM$72,INDIRECT($C$5&amp;"生成成长"),2))/((VLOOKUP($B99,INDIRECT($B$5&amp;"生成成长"),4))/(VLOOKUP(DM$72,INDIRECT($C$5&amp;"生成成长"),5))*(VLOOKUP($B$5,标准坦克设计!$B$24:$U$30,MATCH("对"&amp;LEFT($C$5,2)&amp;"输出",标准坦克设计!$B$23:$U$23,0)))*(VLOOKUP($B99,INDIRECT($B$5&amp;"生成成长"),3))*(VLOOKUP($B$5,标准坦克设计!$B$14:$K$20,9)/30))</f>
        <v>5.1694979546849975</v>
      </c>
      <c r="DN99" s="173">
        <f ca="1">(VLOOKUP(DN$72,INDIRECT($C$5&amp;"生成成长"),2))/((VLOOKUP($B99,INDIRECT($B$5&amp;"生成成长"),4))/(VLOOKUP(DN$72,INDIRECT($C$5&amp;"生成成长"),5))*(VLOOKUP($B$5,标准坦克设计!$B$24:$U$30,MATCH("对"&amp;LEFT($C$5,2)&amp;"输出",标准坦克设计!$B$23:$U$23,0)))*(VLOOKUP($B99,INDIRECT($B$5&amp;"生成成长"),3))*(VLOOKUP($B$5,标准坦克设计!$B$14:$K$20,9)/30))</f>
        <v>5.7117144724655864</v>
      </c>
      <c r="DO99" s="173">
        <f ca="1">(VLOOKUP(DO$72,INDIRECT($C$5&amp;"生成成长"),2))/((VLOOKUP($B99,INDIRECT($B$5&amp;"生成成长"),4))/(VLOOKUP(DO$72,INDIRECT($C$5&amp;"生成成长"),5))*(VLOOKUP($B$5,标准坦克设计!$B$24:$U$30,MATCH("对"&amp;LEFT($C$5,2)&amp;"输出",标准坦克设计!$B$23:$U$23,0)))*(VLOOKUP($B99,INDIRECT($B$5&amp;"生成成长"),3))*(VLOOKUP($B$5,标准坦克设计!$B$14:$K$20,9)/30))</f>
        <v>6.2809667168945165</v>
      </c>
      <c r="DP99" s="173">
        <f ca="1">(VLOOKUP(DP$72,INDIRECT($C$5&amp;"生成成长"),2))/((VLOOKUP($B99,INDIRECT($B$5&amp;"生成成长"),4))/(VLOOKUP(DP$72,INDIRECT($C$5&amp;"生成成长"),5))*(VLOOKUP($B$5,标准坦克设计!$B$24:$U$30,MATCH("对"&amp;LEFT($C$5,2)&amp;"输出",标准坦克设计!$B$23:$U$23,0)))*(VLOOKUP($B99,INDIRECT($B$5&amp;"生成成长"),3))*(VLOOKUP($B$5,标准坦克设计!$B$14:$K$20,9)/30))</f>
        <v>6.8772546879717869</v>
      </c>
      <c r="DQ99" s="173">
        <f ca="1">(VLOOKUP(DQ$72,INDIRECT($C$5&amp;"生成成长"),2))/((VLOOKUP($B99,INDIRECT($B$5&amp;"生成成长"),4))/(VLOOKUP(DQ$72,INDIRECT($C$5&amp;"生成成长"),5))*(VLOOKUP($B$5,标准坦克设计!$B$24:$U$30,MATCH("对"&amp;LEFT($C$5,2)&amp;"输出",标准坦克设计!$B$23:$U$23,0)))*(VLOOKUP($B99,INDIRECT($B$5&amp;"生成成长"),3))*(VLOOKUP($B$5,标准坦克设计!$B$14:$K$20,9)/30))</f>
        <v>7.5005783856973949</v>
      </c>
      <c r="DR99" s="173">
        <f ca="1">(VLOOKUP(DR$72,INDIRECT($C$5&amp;"生成成长"),2))/((VLOOKUP($B99,INDIRECT($B$5&amp;"生成成长"),4))/(VLOOKUP(DR$72,INDIRECT($C$5&amp;"生成成长"),5))*(VLOOKUP($B$5,标准坦克设计!$B$24:$U$30,MATCH("对"&amp;LEFT($C$5,2)&amp;"输出",标准坦克设计!$B$23:$U$23,0)))*(VLOOKUP($B99,INDIRECT($B$5&amp;"生成成长"),3))*(VLOOKUP($B$5,标准坦克设计!$B$14:$K$20,9)/30))</f>
        <v>8.1509378100713441</v>
      </c>
      <c r="DS99" s="173">
        <f ca="1">(VLOOKUP(DS$72,INDIRECT($C$5&amp;"生成成长"),2))/((VLOOKUP($B99,INDIRECT($B$5&amp;"生成成长"),4))/(VLOOKUP(DS$72,INDIRECT($C$5&amp;"生成成长"),5))*(VLOOKUP($B$5,标准坦克设计!$B$24:$U$30,MATCH("对"&amp;LEFT($C$5,2)&amp;"输出",标准坦克设计!$B$23:$U$23,0)))*(VLOOKUP($B99,INDIRECT($B$5&amp;"生成成长"),3))*(VLOOKUP($B$5,标准坦克设计!$B$14:$K$20,9)/30))</f>
        <v>8.8283329610936327</v>
      </c>
      <c r="DT99" s="173">
        <f ca="1">(VLOOKUP(DT$72,INDIRECT($C$5&amp;"生成成长"),2))/((VLOOKUP($B99,INDIRECT($B$5&amp;"生成成长"),4))/(VLOOKUP(DT$72,INDIRECT($C$5&amp;"生成成长"),5))*(VLOOKUP($B$5,标准坦克设计!$B$24:$U$30,MATCH("对"&amp;LEFT($C$5,2)&amp;"输出",标准坦克设计!$B$23:$U$23,0)))*(VLOOKUP($B99,INDIRECT($B$5&amp;"生成成长"),3))*(VLOOKUP($B$5,标准坦克设计!$B$14:$K$20,9)/30))</f>
        <v>9.692975552235902</v>
      </c>
      <c r="DU99" s="173">
        <f ca="1">(VLOOKUP(DU$72,INDIRECT($C$5&amp;"生成成长"),2))/((VLOOKUP($B99,INDIRECT($B$5&amp;"生成成长"),4))/(VLOOKUP(DU$72,INDIRECT($C$5&amp;"生成成长"),5))*(VLOOKUP($B$5,标准坦克设计!$B$24:$U$30,MATCH("对"&amp;LEFT($C$5,2)&amp;"输出",标准坦克设计!$B$23:$U$23,0)))*(VLOOKUP($B99,INDIRECT($B$5&amp;"生成成长"),3))*(VLOOKUP($B$5,标准坦克设计!$B$14:$K$20,9)/30))</f>
        <v>10.59800484614915</v>
      </c>
      <c r="DV99" s="173">
        <f ca="1">(VLOOKUP(DV$72,INDIRECT($C$5&amp;"生成成长"),2))/((VLOOKUP($B99,INDIRECT($B$5&amp;"生成成长"),4))/(VLOOKUP(DV$72,INDIRECT($C$5&amp;"生成成长"),5))*(VLOOKUP($B$5,标准坦克设计!$B$24:$U$30,MATCH("对"&amp;LEFT($C$5,2)&amp;"输出",标准坦克设计!$B$23:$U$23,0)))*(VLOOKUP($B99,INDIRECT($B$5&amp;"生成成长"),3))*(VLOOKUP($B$5,标准坦克设计!$B$14:$K$20,9)/30))</f>
        <v>11.543420842833372</v>
      </c>
      <c r="DW99" s="173">
        <f ca="1">(VLOOKUP(DW$72,INDIRECT($C$5&amp;"生成成长"),2))/((VLOOKUP($B99,INDIRECT($B$5&amp;"生成成长"),4))/(VLOOKUP(DW$72,INDIRECT($C$5&amp;"生成成长"),5))*(VLOOKUP($B$5,标准坦克设计!$B$24:$U$30,MATCH("对"&amp;LEFT($C$5,2)&amp;"输出",标准坦克设计!$B$23:$U$23,0)))*(VLOOKUP($B99,INDIRECT($B$5&amp;"生成成长"),3))*(VLOOKUP($B$5,标准坦克设计!$B$14:$K$20,9)/30))</f>
        <v>12.529223542288575</v>
      </c>
      <c r="DX99" s="173">
        <f ca="1">(VLOOKUP(DX$72,INDIRECT($C$5&amp;"生成成长"),2))/((VLOOKUP($B99,INDIRECT($B$5&amp;"生成成长"),4))/(VLOOKUP(DX$72,INDIRECT($C$5&amp;"生成成长"),5))*(VLOOKUP($B$5,标准坦克设计!$B$24:$U$30,MATCH("对"&amp;LEFT($C$5,2)&amp;"输出",标准坦克设计!$B$23:$U$23,0)))*(VLOOKUP($B99,INDIRECT($B$5&amp;"生成成长"),3))*(VLOOKUP($B$5,标准坦克设计!$B$14:$K$20,9)/30))</f>
        <v>13.555412944514751</v>
      </c>
      <c r="DY99" s="173">
        <f ca="1">(VLOOKUP(DY$72,INDIRECT($C$5&amp;"生成成长"),2))/((VLOOKUP($B99,INDIRECT($B$5&amp;"生成成长"),4))/(VLOOKUP(DY$72,INDIRECT($C$5&amp;"生成成长"),5))*(VLOOKUP($B$5,标准坦克设计!$B$24:$U$30,MATCH("对"&amp;LEFT($C$5,2)&amp;"输出",标准坦克设计!$B$23:$U$23,0)))*(VLOOKUP($B99,INDIRECT($B$5&amp;"生成成长"),3))*(VLOOKUP($B$5,标准坦克设计!$B$14:$K$20,9)/30))</f>
        <v>6.0882119991239474</v>
      </c>
      <c r="DZ99" s="173">
        <f ca="1">(VLOOKUP(DZ$72,INDIRECT($C$5&amp;"生成成长"),2))/((VLOOKUP($B99,INDIRECT($B$5&amp;"生成成长"),4))/(VLOOKUP(DZ$72,INDIRECT($C$5&amp;"生成成长"),5))*(VLOOKUP($B$5,标准坦克设计!$B$24:$U$30,MATCH("对"&amp;LEFT($C$5,2)&amp;"输出",标准坦克设计!$B$23:$U$23,0)))*(VLOOKUP($B99,INDIRECT($B$5&amp;"生成成长"),3))*(VLOOKUP($B$5,标准坦克设计!$B$14:$K$20,9)/30))</f>
        <v>6.7424098291331545</v>
      </c>
      <c r="EA99" s="173">
        <f ca="1">(VLOOKUP(EA$72,INDIRECT($C$5&amp;"生成成长"),2))/((VLOOKUP($B99,INDIRECT($B$5&amp;"生成成长"),4))/(VLOOKUP(EA$72,INDIRECT($C$5&amp;"生成成长"),5))*(VLOOKUP($B$5,标准坦克设计!$B$24:$U$30,MATCH("对"&amp;LEFT($C$5,2)&amp;"输出",标准坦克设计!$B$23:$U$23,0)))*(VLOOKUP($B99,INDIRECT($B$5&amp;"生成成长"),3))*(VLOOKUP($B$5,标准坦克设计!$B$14:$K$20,9)/30))</f>
        <v>7.4299850994489534</v>
      </c>
      <c r="EB99" s="173">
        <f ca="1">(VLOOKUP(EB$72,INDIRECT($C$5&amp;"生成成长"),2))/((VLOOKUP($B99,INDIRECT($B$5&amp;"生成成长"),4))/(VLOOKUP(EB$72,INDIRECT($C$5&amp;"生成成长"),5))*(VLOOKUP($B$5,标准坦克设计!$B$24:$U$30,MATCH("对"&amp;LEFT($C$5,2)&amp;"输出",标准坦克设计!$B$23:$U$23,0)))*(VLOOKUP($B99,INDIRECT($B$5&amp;"生成成长"),3))*(VLOOKUP($B$5,标准坦克设计!$B$14:$K$20,9)/30))</f>
        <v>8.1509378100713441</v>
      </c>
      <c r="EC99" s="173">
        <f ca="1">(VLOOKUP(EC$72,INDIRECT($C$5&amp;"生成成长"),2))/((VLOOKUP($B99,INDIRECT($B$5&amp;"生成成长"),4))/(VLOOKUP(EC$72,INDIRECT($C$5&amp;"生成成长"),5))*(VLOOKUP($B$5,标准坦克设计!$B$24:$U$30,MATCH("对"&amp;LEFT($C$5,2)&amp;"输出",标准坦克设计!$B$23:$U$23,0)))*(VLOOKUP($B99,INDIRECT($B$5&amp;"生成成长"),3))*(VLOOKUP($B$5,标准坦克设计!$B$14:$K$20,9)/30))</f>
        <v>8.9052679610003285</v>
      </c>
      <c r="ED99" s="173">
        <f ca="1">(VLOOKUP(ED$72,INDIRECT($C$5&amp;"生成成长"),2))/((VLOOKUP($B99,INDIRECT($B$5&amp;"生成成长"),4))/(VLOOKUP(ED$72,INDIRECT($C$5&amp;"生成成长"),5))*(VLOOKUP($B$5,标准坦克设计!$B$24:$U$30,MATCH("对"&amp;LEFT($C$5,2)&amp;"输出",标准坦克设计!$B$23:$U$23,0)))*(VLOOKUP($B99,INDIRECT($B$5&amp;"生成成长"),3))*(VLOOKUP($B$5,标准坦克设计!$B$14:$K$20,9)/30))</f>
        <v>9.692975552235902</v>
      </c>
      <c r="EE99" s="173">
        <f ca="1">(VLOOKUP(EE$72,INDIRECT($C$5&amp;"生成成长"),2))/((VLOOKUP($B99,INDIRECT($B$5&amp;"生成成长"),4))/(VLOOKUP(EE$72,INDIRECT($C$5&amp;"生成成长"),5))*(VLOOKUP($B$5,标准坦克设计!$B$24:$U$30,MATCH("对"&amp;LEFT($C$5,2)&amp;"输出",标准坦克设计!$B$23:$U$23,0)))*(VLOOKUP($B99,INDIRECT($B$5&amp;"生成成长"),3))*(VLOOKUP($B$5,标准坦克设计!$B$14:$K$20,9)/30))</f>
        <v>10.514060583778072</v>
      </c>
      <c r="EF99" s="173">
        <f ca="1">(VLOOKUP(EF$72,INDIRECT($C$5&amp;"生成成长"),2))/((VLOOKUP($B99,INDIRECT($B$5&amp;"生成成长"),4))/(VLOOKUP(EF$72,INDIRECT($C$5&amp;"生成成长"),5))*(VLOOKUP($B$5,标准坦克设计!$B$24:$U$30,MATCH("对"&amp;LEFT($C$5,2)&amp;"输出",标准坦克设计!$B$23:$U$23,0)))*(VLOOKUP($B99,INDIRECT($B$5&amp;"生成成长"),3))*(VLOOKUP($B$5,标准坦克设计!$B$14:$K$20,9)/30))</f>
        <v>11.368523055626829</v>
      </c>
      <c r="EG99" s="173">
        <f ca="1">(VLOOKUP(EG$72,INDIRECT($C$5&amp;"生成成长"),2))/((VLOOKUP($B99,INDIRECT($B$5&amp;"生成成长"),4))/(VLOOKUP(EG$72,INDIRECT($C$5&amp;"生成成长"),5))*(VLOOKUP($B$5,标准坦克设计!$B$24:$U$30,MATCH("对"&amp;LEFT($C$5,2)&amp;"输出",标准坦克设计!$B$23:$U$23,0)))*(VLOOKUP($B99,INDIRECT($B$5&amp;"生成成长"),3))*(VLOOKUP($B$5,标准坦克设计!$B$14:$K$20,9)/30))</f>
        <v>12.256362967782183</v>
      </c>
      <c r="EH99" s="173">
        <f ca="1">(VLOOKUP(EH$72,INDIRECT($C$5&amp;"生成成长"),2))/((VLOOKUP($B99,INDIRECT($B$5&amp;"生成成长"),4))/(VLOOKUP(EH$72,INDIRECT($C$5&amp;"生成成长"),5))*(VLOOKUP($B$5,标准坦克设计!$B$24:$U$30,MATCH("对"&amp;LEFT($C$5,2)&amp;"输出",标准坦克设计!$B$23:$U$23,0)))*(VLOOKUP($B99,INDIRECT($B$5&amp;"生成成长"),3))*(VLOOKUP($B$5,标准坦克设计!$B$14:$K$20,9)/30))</f>
        <v>13.177580320244125</v>
      </c>
      <c r="EI99" s="173">
        <f ca="1">(VLOOKUP(EI$72,INDIRECT($C$5&amp;"生成成长"),2))/((VLOOKUP($B99,INDIRECT($B$5&amp;"生成成长"),4))/(VLOOKUP(EI$72,INDIRECT($C$5&amp;"生成成长"),5))*(VLOOKUP($B$5,标准坦克设计!$B$24:$U$30,MATCH("对"&amp;LEFT($C$5,2)&amp;"输出",标准坦克设计!$B$23:$U$23,0)))*(VLOOKUP($B99,INDIRECT($B$5&amp;"生成成长"),3))*(VLOOKUP($B$5,标准坦克设计!$B$14:$K$20,9)/30))</f>
        <v>14.132175113012664</v>
      </c>
      <c r="EJ99" s="173">
        <f ca="1">(VLOOKUP(EJ$72,INDIRECT($C$5&amp;"生成成长"),2))/((VLOOKUP($B99,INDIRECT($B$5&amp;"生成成长"),4))/(VLOOKUP(EJ$72,INDIRECT($C$5&amp;"生成成长"),5))*(VLOOKUP($B$5,标准坦克设计!$B$24:$U$30,MATCH("对"&amp;LEFT($C$5,2)&amp;"输出",标准坦克设计!$B$23:$U$23,0)))*(VLOOKUP($B99,INDIRECT($B$5&amp;"生成成长"),3))*(VLOOKUP($B$5,标准坦克设计!$B$14:$K$20,9)/30))</f>
        <v>15.120147346087792</v>
      </c>
      <c r="EK99" s="173">
        <f ca="1">(VLOOKUP(EK$72,INDIRECT($C$5&amp;"生成成长"),2))/((VLOOKUP($B99,INDIRECT($B$5&amp;"生成成长"),4))/(VLOOKUP(EK$72,INDIRECT($C$5&amp;"生成成长"),5))*(VLOOKUP($B$5,标准坦克设计!$B$24:$U$30,MATCH("对"&amp;LEFT($C$5,2)&amp;"输出",标准坦克设计!$B$23:$U$23,0)))*(VLOOKUP($B99,INDIRECT($B$5&amp;"生成成长"),3))*(VLOOKUP($B$5,标准坦克设计!$B$14:$K$20,9)/30))</f>
        <v>16.349772246982646</v>
      </c>
      <c r="EL99" s="173">
        <f ca="1">(VLOOKUP(EL$72,INDIRECT($C$5&amp;"生成成长"),2))/((VLOOKUP($B99,INDIRECT($B$5&amp;"生成成长"),4))/(VLOOKUP(EL$72,INDIRECT($C$5&amp;"生成成长"),5))*(VLOOKUP($B$5,标准坦克设计!$B$24:$U$30,MATCH("对"&amp;LEFT($C$5,2)&amp;"输出",标准坦克设计!$B$23:$U$23,0)))*(VLOOKUP($B99,INDIRECT($B$5&amp;"生成成长"),3))*(VLOOKUP($B$5,标准坦克设计!$B$14:$K$20,9)/30))</f>
        <v>17.627460661918999</v>
      </c>
      <c r="EM99" s="173">
        <f ca="1">(VLOOKUP(EM$72,INDIRECT($C$5&amp;"生成成长"),2))/((VLOOKUP($B99,INDIRECT($B$5&amp;"生成成长"),4))/(VLOOKUP(EM$72,INDIRECT($C$5&amp;"生成成长"),5))*(VLOOKUP($B$5,标准坦克设计!$B$24:$U$30,MATCH("对"&amp;LEFT($C$5,2)&amp;"输出",标准坦克设计!$B$23:$U$23,0)))*(VLOOKUP($B99,INDIRECT($B$5&amp;"生成成长"),3))*(VLOOKUP($B$5,标准坦克设计!$B$14:$K$20,9)/30))</f>
        <v>18.953212590896836</v>
      </c>
      <c r="EN99" s="173">
        <f ca="1">(VLOOKUP(EN$72,INDIRECT($C$5&amp;"生成成长"),2))/((VLOOKUP($B99,INDIRECT($B$5&amp;"生成成长"),4))/(VLOOKUP(EN$72,INDIRECT($C$5&amp;"生成成长"),5))*(VLOOKUP($B$5,标准坦克设计!$B$24:$U$30,MATCH("对"&amp;LEFT($C$5,2)&amp;"输出",标准坦克设计!$B$23:$U$23,0)))*(VLOOKUP($B99,INDIRECT($B$5&amp;"生成成长"),3))*(VLOOKUP($B$5,标准坦克设计!$B$14:$K$20,9)/30))</f>
        <v>20.327028033916175</v>
      </c>
      <c r="EO99" s="173">
        <f ca="1">(VLOOKUP(EO$72,INDIRECT($C$5&amp;"生成成长"),2))/((VLOOKUP($B99,INDIRECT($B$5&amp;"生成成长"),4))/(VLOOKUP(EO$72,INDIRECT($C$5&amp;"生成成长"),5))*(VLOOKUP($B$5,标准坦克设计!$B$24:$U$30,MATCH("对"&amp;LEFT($C$5,2)&amp;"输出",标准坦克设计!$B$23:$U$23,0)))*(VLOOKUP($B99,INDIRECT($B$5&amp;"生成成长"),3))*(VLOOKUP($B$5,标准坦克设计!$B$14:$K$20,9)/30))</f>
        <v>21.748906990977002</v>
      </c>
      <c r="EP99" s="173">
        <f ca="1">(VLOOKUP(EP$72,INDIRECT($C$5&amp;"生成成长"),2))/((VLOOKUP($B99,INDIRECT($B$5&amp;"生成成长"),4))/(VLOOKUP(EP$72,INDIRECT($C$5&amp;"生成成长"),5))*(VLOOKUP($B$5,标准坦克设计!$B$24:$U$30,MATCH("对"&amp;LEFT($C$5,2)&amp;"输出",标准坦克设计!$B$23:$U$23,0)))*(VLOOKUP($B99,INDIRECT($B$5&amp;"生成成长"),3))*(VLOOKUP($B$5,标准坦克设计!$B$14:$K$20,9)/30))</f>
        <v>23.218849462079319</v>
      </c>
      <c r="EQ99" s="173">
        <f ca="1">(VLOOKUP(EQ$72,INDIRECT($C$5&amp;"生成成长"),2))/((VLOOKUP($B99,INDIRECT($B$5&amp;"生成成长"),4))/(VLOOKUP(EQ$72,INDIRECT($C$5&amp;"生成成长"),5))*(VLOOKUP($B$5,标准坦克设计!$B$24:$U$30,MATCH("对"&amp;LEFT($C$5,2)&amp;"输出",标准坦克设计!$B$23:$U$23,0)))*(VLOOKUP($B99,INDIRECT($B$5&amp;"生成成长"),3))*(VLOOKUP($B$5,标准坦克设计!$B$14:$K$20,9)/30))</f>
        <v>10.264230443083228</v>
      </c>
      <c r="ER99" s="173">
        <f ca="1">(VLOOKUP(ER$72,INDIRECT($C$5&amp;"生成成长"),2))/((VLOOKUP($B99,INDIRECT($B$5&amp;"生成成长"),4))/(VLOOKUP(ER$72,INDIRECT($C$5&amp;"生成成长"),5))*(VLOOKUP($B$5,标准坦克设计!$B$24:$U$30,MATCH("对"&amp;LEFT($C$5,2)&amp;"输出",标准坦克设计!$B$23:$U$23,0)))*(VLOOKUP($B99,INDIRECT($B$5&amp;"生成成长"),3))*(VLOOKUP($B$5,标准坦克设计!$B$14:$K$20,9)/30))</f>
        <v>11.194960366032552</v>
      </c>
      <c r="ES99" s="173">
        <f ca="1">(VLOOKUP(ES$72,INDIRECT($C$5&amp;"生成成长"),2))/((VLOOKUP($B99,INDIRECT($B$5&amp;"生成成长"),4))/(VLOOKUP(ES$72,INDIRECT($C$5&amp;"生成成长"),5))*(VLOOKUP($B$5,标准坦克设计!$B$24:$U$30,MATCH("对"&amp;LEFT($C$5,2)&amp;"输出",标准坦克设计!$B$23:$U$23,0)))*(VLOOKUP($B99,INDIRECT($B$5&amp;"生成成长"),3))*(VLOOKUP($B$5,标准坦克设计!$B$14:$K$20,9)/30))</f>
        <v>12.166076991752849</v>
      </c>
      <c r="ET99" s="173">
        <f ca="1">(VLOOKUP(ET$72,INDIRECT($C$5&amp;"生成成长"),2))/((VLOOKUP($B99,INDIRECT($B$5&amp;"生成成长"),4))/(VLOOKUP(ET$72,INDIRECT($C$5&amp;"生成成长"),5))*(VLOOKUP($B$5,标准坦克设计!$B$24:$U$30,MATCH("对"&amp;LEFT($C$5,2)&amp;"输出",标准坦克设计!$B$23:$U$23,0)))*(VLOOKUP($B99,INDIRECT($B$5&amp;"生成成长"),3))*(VLOOKUP($B$5,标准坦克设计!$B$14:$K$20,9)/30))</f>
        <v>13.177580320244125</v>
      </c>
      <c r="EU99" s="173">
        <f ca="1">(VLOOKUP(EU$72,INDIRECT($C$5&amp;"生成成长"),2))/((VLOOKUP($B99,INDIRECT($B$5&amp;"生成成长"),4))/(VLOOKUP(EU$72,INDIRECT($C$5&amp;"生成成长"),5))*(VLOOKUP($B$5,标准坦克设计!$B$24:$U$30,MATCH("对"&amp;LEFT($C$5,2)&amp;"输出",标准坦克设计!$B$23:$U$23,0)))*(VLOOKUP($B99,INDIRECT($B$5&amp;"生成成长"),3))*(VLOOKUP($B$5,标准坦克设计!$B$14:$K$20,9)/30))</f>
        <v>14.229470351506381</v>
      </c>
      <c r="EV99" s="173">
        <f ca="1">(VLOOKUP(EV$72,INDIRECT($C$5&amp;"生成成长"),2))/((VLOOKUP($B99,INDIRECT($B$5&amp;"生成成长"),4))/(VLOOKUP(EV$72,INDIRECT($C$5&amp;"生成成长"),5))*(VLOOKUP($B$5,标准坦克设计!$B$24:$U$30,MATCH("对"&amp;LEFT($C$5,2)&amp;"输出",标准坦克设计!$B$23:$U$23,0)))*(VLOOKUP($B99,INDIRECT($B$5&amp;"生成成长"),3))*(VLOOKUP($B$5,标准坦克设计!$B$14:$K$20,9)/30))</f>
        <v>15.321747085539608</v>
      </c>
      <c r="EW99" s="173">
        <f ca="1">(VLOOKUP(EW$72,INDIRECT($C$5&amp;"生成成长"),2))/((VLOOKUP($B99,INDIRECT($B$5&amp;"生成成长"),4))/(VLOOKUP(EW$72,INDIRECT($C$5&amp;"生成成长"),5))*(VLOOKUP($B$5,标准坦克设计!$B$24:$U$30,MATCH("对"&amp;LEFT($C$5,2)&amp;"输出",标准坦克设计!$B$23:$U$23,0)))*(VLOOKUP($B99,INDIRECT($B$5&amp;"生成成长"),3))*(VLOOKUP($B$5,标准坦克设计!$B$14:$K$20,9)/30))</f>
        <v>16.454410522343817</v>
      </c>
      <c r="EX99" s="173">
        <f ca="1">(VLOOKUP(EX$72,INDIRECT($C$5&amp;"生成成长"),2))/((VLOOKUP($B99,INDIRECT($B$5&amp;"生成成长"),4))/(VLOOKUP(EX$72,INDIRECT($C$5&amp;"生成成长"),5))*(VLOOKUP($B$5,标准坦克设计!$B$24:$U$30,MATCH("对"&amp;LEFT($C$5,2)&amp;"输出",标准坦克设计!$B$23:$U$23,0)))*(VLOOKUP($B99,INDIRECT($B$5&amp;"生成成长"),3))*(VLOOKUP($B$5,标准坦克设计!$B$14:$K$20,9)/30))</f>
        <v>17.627460661918999</v>
      </c>
      <c r="EY99" s="173">
        <f ca="1">(VLOOKUP(EY$72,INDIRECT($C$5&amp;"生成成长"),2))/((VLOOKUP($B99,INDIRECT($B$5&amp;"生成成长"),4))/(VLOOKUP(EY$72,INDIRECT($C$5&amp;"生成成长"),5))*(VLOOKUP($B$5,标准坦克设计!$B$24:$U$30,MATCH("对"&amp;LEFT($C$5,2)&amp;"输出",标准坦克设计!$B$23:$U$23,0)))*(VLOOKUP($B99,INDIRECT($B$5&amp;"生成成长"),3))*(VLOOKUP($B$5,标准坦克设计!$B$14:$K$20,9)/30))</f>
        <v>18.840897504265158</v>
      </c>
      <c r="EZ99" s="173">
        <f ca="1">(VLOOKUP(EZ$72,INDIRECT($C$5&amp;"生成成长"),2))/((VLOOKUP($B99,INDIRECT($B$5&amp;"生成成长"),4))/(VLOOKUP(EZ$72,INDIRECT($C$5&amp;"生成成长"),5))*(VLOOKUP($B$5,标准坦克设计!$B$24:$U$30,MATCH("对"&amp;LEFT($C$5,2)&amp;"输出",标准坦克设计!$B$23:$U$23,0)))*(VLOOKUP($B99,INDIRECT($B$5&amp;"生成成长"),3))*(VLOOKUP($B$5,标准坦克设计!$B$14:$K$20,9)/30))</f>
        <v>20.09472104938229</v>
      </c>
      <c r="FA99" s="173">
        <f ca="1">(VLOOKUP(FA$72,INDIRECT($C$5&amp;"生成成长"),2))/((VLOOKUP($B99,INDIRECT($B$5&amp;"生成成长"),4))/(VLOOKUP(FA$72,INDIRECT($C$5&amp;"生成成长"),5))*(VLOOKUP($B$5,标准坦克设计!$B$24:$U$30,MATCH("对"&amp;LEFT($C$5,2)&amp;"输出",标准坦克设计!$B$23:$U$23,0)))*(VLOOKUP($B99,INDIRECT($B$5&amp;"生成成长"),3))*(VLOOKUP($B$5,标准坦克设计!$B$14:$K$20,9)/30))</f>
        <v>21.388931297270403</v>
      </c>
      <c r="FB99" s="173">
        <f ca="1">(VLOOKUP(FB$72,INDIRECT($C$5&amp;"生成成长"),2))/((VLOOKUP($B99,INDIRECT($B$5&amp;"生成成长"),4))/(VLOOKUP(FB$72,INDIRECT($C$5&amp;"生成成长"),5))*(VLOOKUP($B$5,标准坦克设计!$B$24:$U$30,MATCH("对"&amp;LEFT($C$5,2)&amp;"输出",标准坦克设计!$B$23:$U$23,0)))*(VLOOKUP($B99,INDIRECT($B$5&amp;"生成成长"),3))*(VLOOKUP($B$5,标准坦克设计!$B$14:$K$20,9)/30))</f>
        <v>22.723528247929494</v>
      </c>
      <c r="FC99" s="173">
        <f ca="1">(VLOOKUP(FC$72,INDIRECT($C$5&amp;"生成成长"),2))/((VLOOKUP($B99,INDIRECT($B$5&amp;"生成成长"),4))/(VLOOKUP(FC$72,INDIRECT($C$5&amp;"生成成长"),5))*(VLOOKUP($B$5,标准坦克设计!$B$24:$U$30,MATCH("对"&amp;LEFT($C$5,2)&amp;"输出",标准坦克设计!$B$23:$U$23,0)))*(VLOOKUP($B99,INDIRECT($B$5&amp;"生成成长"),3))*(VLOOKUP($B$5,标准坦克设计!$B$14:$K$20,9)/30))</f>
        <v>24.098511901359554</v>
      </c>
      <c r="FD99" s="173">
        <f ca="1">(VLOOKUP(FD$72,INDIRECT($C$5&amp;"生成成长"),2))/((VLOOKUP($B99,INDIRECT($B$5&amp;"生成成长"),4))/(VLOOKUP(FD$72,INDIRECT($C$5&amp;"生成成长"),5))*(VLOOKUP($B$5,标准坦克设计!$B$24:$U$30,MATCH("对"&amp;LEFT($C$5,2)&amp;"输出",标准坦克设计!$B$23:$U$23,0)))*(VLOOKUP($B99,INDIRECT($B$5&amp;"生成成长"),3))*(VLOOKUP($B$5,标准坦克设计!$B$14:$K$20,9)/30))</f>
        <v>25.513882257560592</v>
      </c>
      <c r="FE99" s="173">
        <f ca="1">(VLOOKUP(FE$72,INDIRECT($C$5&amp;"生成成长"),2))/((VLOOKUP($B99,INDIRECT($B$5&amp;"生成成长"),4))/(VLOOKUP(FE$72,INDIRECT($C$5&amp;"生成成长"),5))*(VLOOKUP($B$5,标准坦克设计!$B$24:$U$30,MATCH("对"&amp;LEFT($C$5,2)&amp;"输出",标准坦克设计!$B$23:$U$23,0)))*(VLOOKUP($B99,INDIRECT($B$5&amp;"生成成长"),3))*(VLOOKUP($B$5,标准坦克设计!$B$14:$K$20,9)/30))</f>
        <v>27.23866148540375</v>
      </c>
      <c r="FF99" s="173">
        <f ca="1">(VLOOKUP(FF$72,INDIRECT($C$5&amp;"生成成长"),2))/((VLOOKUP($B99,INDIRECT($B$5&amp;"生成成长"),4))/(VLOOKUP(FF$72,INDIRECT($C$5&amp;"生成成长"),5))*(VLOOKUP($B$5,标准坦克设计!$B$24:$U$30,MATCH("对"&amp;LEFT($C$5,2)&amp;"输出",标准坦克设计!$B$23:$U$23,0)))*(VLOOKUP($B99,INDIRECT($B$5&amp;"生成成长"),3))*(VLOOKUP($B$5,标准坦克设计!$B$14:$K$20,9)/30))</f>
        <v>29.019848587365047</v>
      </c>
      <c r="FG99" s="173">
        <f ca="1">(VLOOKUP(FG$72,INDIRECT($C$5&amp;"生成成长"),2))/((VLOOKUP($B99,INDIRECT($B$5&amp;"生成成长"),4))/(VLOOKUP(FG$72,INDIRECT($C$5&amp;"生成成长"),5))*(VLOOKUP($B$5,标准坦克设计!$B$24:$U$30,MATCH("对"&amp;LEFT($C$5,2)&amp;"输出",标准坦克设计!$B$23:$U$23,0)))*(VLOOKUP($B99,INDIRECT($B$5&amp;"生成成长"),3))*(VLOOKUP($B$5,标准坦克设计!$B$14:$K$20,9)/30))</f>
        <v>30.857443563444477</v>
      </c>
      <c r="FH99" s="173">
        <f ca="1">(VLOOKUP(FH$72,INDIRECT($C$5&amp;"生成成长"),2))/((VLOOKUP($B99,INDIRECT($B$5&amp;"生成成长"),4))/(VLOOKUP(FH$72,INDIRECT($C$5&amp;"生成成长"),5))*(VLOOKUP($B$5,标准坦克设计!$B$24:$U$30,MATCH("对"&amp;LEFT($C$5,2)&amp;"输出",标准坦克设计!$B$23:$U$23,0)))*(VLOOKUP($B99,INDIRECT($B$5&amp;"生成成长"),3))*(VLOOKUP($B$5,标准坦克设计!$B$14:$K$20,9)/30))</f>
        <v>32.75144641364205</v>
      </c>
      <c r="FI99" s="173">
        <f ca="1">(VLOOKUP(FI$72,INDIRECT($C$5&amp;"生成成长"),2))/((VLOOKUP($B99,INDIRECT($B$5&amp;"生成成长"),4))/(VLOOKUP(FI$72,INDIRECT($C$5&amp;"生成成长"),5))*(VLOOKUP($B$5,标准坦克设计!$B$24:$U$30,MATCH("对"&amp;LEFT($C$5,2)&amp;"输出",标准坦克设计!$B$23:$U$23,0)))*(VLOOKUP($B99,INDIRECT($B$5&amp;"生成成长"),3))*(VLOOKUP($B$5,标准坦克设计!$B$14:$K$20,9)/30))</f>
        <v>34.701857137957759</v>
      </c>
      <c r="FJ99" s="173">
        <f ca="1">(VLOOKUP(FJ$72,INDIRECT($C$5&amp;"生成成长"),2))/((VLOOKUP($B99,INDIRECT($B$5&amp;"生成成长"),4))/(VLOOKUP(FJ$72,INDIRECT($C$5&amp;"生成成长"),5))*(VLOOKUP($B$5,标准坦克设计!$B$24:$U$30,MATCH("对"&amp;LEFT($C$5,2)&amp;"输出",标准坦克设计!$B$23:$U$23,0)))*(VLOOKUP($B99,INDIRECT($B$5&amp;"生成成长"),3))*(VLOOKUP($B$5,标准坦克设计!$B$14:$K$20,9)/30))</f>
        <v>36.708675736391619</v>
      </c>
      <c r="FK99" s="173">
        <f ca="1">(VLOOKUP(FK$72,INDIRECT($C$5&amp;"生成成长"),2))/((VLOOKUP($B99,INDIRECT($B$5&amp;"生成成长"),4))/(VLOOKUP(FK$72,INDIRECT($C$5&amp;"生成成长"),5))*(VLOOKUP($B$5,标准坦克设计!$B$24:$U$30,MATCH("对"&amp;LEFT($C$5,2)&amp;"输出",标准坦克设计!$B$23:$U$23,0)))*(VLOOKUP($B99,INDIRECT($B$5&amp;"生成成长"),3))*(VLOOKUP($B$5,标准坦克设计!$B$14:$K$20,9)/30))</f>
        <v>38.771902208943608</v>
      </c>
    </row>
    <row r="100" spans="1:167" x14ac:dyDescent="0.15">
      <c r="A100" s="171" t="str">
        <f t="shared" si="11"/>
        <v>T4低品质7级</v>
      </c>
      <c r="B100" s="172">
        <v>10407</v>
      </c>
      <c r="C100" s="173">
        <f ca="1">(VLOOKUP(C$72,INDIRECT($C$5&amp;"生成成长"),2))/((VLOOKUP($B100,INDIRECT($B$5&amp;"生成成长"),4))/(VLOOKUP(C$72,INDIRECT($C$5&amp;"生成成长"),5))*(VLOOKUP($B$5,标准坦克设计!$B$24:$U$30,MATCH("对"&amp;LEFT($C$5,2)&amp;"输出",标准坦克设计!$B$23:$U$23,0)))*(VLOOKUP($B100,INDIRECT($B$5&amp;"生成成长"),3))*(VLOOKUP($B$5,标准坦克设计!$B$14:$K$20,9)/30))</f>
        <v>1.5342067667972212</v>
      </c>
      <c r="D100" s="173">
        <f ca="1">(VLOOKUP(D$72,INDIRECT($C$5&amp;"生成成长"),2))/((VLOOKUP($B100,INDIRECT($B$5&amp;"生成成长"),4))/(VLOOKUP(D$72,INDIRECT($C$5&amp;"生成成长"),5))*(VLOOKUP($B$5,标准坦克设计!$B$24:$U$30,MATCH("对"&amp;LEFT($C$5,2)&amp;"输出",标准坦克设计!$B$23:$U$23,0)))*(VLOOKUP($B100,INDIRECT($B$5&amp;"生成成长"),3))*(VLOOKUP($B$5,标准坦克设计!$B$14:$K$20,9)/30))</f>
        <v>1.7238347231733577</v>
      </c>
      <c r="E100" s="173">
        <f ca="1">(VLOOKUP(E$72,INDIRECT($C$5&amp;"生成成长"),2))/((VLOOKUP($B100,INDIRECT($B$5&amp;"生成成长"),4))/(VLOOKUP(E$72,INDIRECT($C$5&amp;"生成成长"),5))*(VLOOKUP($B$5,标准坦克设计!$B$24:$U$30,MATCH("对"&amp;LEFT($C$5,2)&amp;"输出",标准坦克设计!$B$23:$U$23,0)))*(VLOOKUP($B100,INDIRECT($B$5&amp;"生成成长"),3))*(VLOOKUP($B$5,标准坦克设计!$B$14:$K$20,9)/30))</f>
        <v>1.9245089682704344</v>
      </c>
      <c r="F100" s="173">
        <f ca="1">(VLOOKUP(F$72,INDIRECT($C$5&amp;"生成成长"),2))/((VLOOKUP($B100,INDIRECT($B$5&amp;"生成成长"),4))/(VLOOKUP(F$72,INDIRECT($C$5&amp;"生成成长"),5))*(VLOOKUP($B$5,标准坦克设计!$B$24:$U$30,MATCH("对"&amp;LEFT($C$5,2)&amp;"输出",标准坦克设计!$B$23:$U$23,0)))*(VLOOKUP($B100,INDIRECT($B$5&amp;"生成成长"),3))*(VLOOKUP($B$5,标准坦克设计!$B$14:$K$20,9)/30))</f>
        <v>2.1362295020884514</v>
      </c>
      <c r="G100" s="173">
        <f ca="1">(VLOOKUP(G$72,INDIRECT($C$5&amp;"生成成长"),2))/((VLOOKUP($B100,INDIRECT($B$5&amp;"生成成长"),4))/(VLOOKUP(G$72,INDIRECT($C$5&amp;"生成成长"),5))*(VLOOKUP($B$5,标准坦克设计!$B$24:$U$30,MATCH("对"&amp;LEFT($C$5,2)&amp;"输出",标准坦克设计!$B$23:$U$23,0)))*(VLOOKUP($B100,INDIRECT($B$5&amp;"生成成长"),3))*(VLOOKUP($B$5,标准坦克设计!$B$14:$K$20,9)/30))</f>
        <v>2.358996324627407</v>
      </c>
      <c r="H100" s="173">
        <f ca="1">(VLOOKUP(H$72,INDIRECT($C$5&amp;"生成成长"),2))/((VLOOKUP($B100,INDIRECT($B$5&amp;"生成成长"),4))/(VLOOKUP(H$72,INDIRECT($C$5&amp;"生成成长"),5))*(VLOOKUP($B$5,标准坦克设计!$B$24:$U$30,MATCH("对"&amp;LEFT($C$5,2)&amp;"输出",标准坦克设计!$B$23:$U$23,0)))*(VLOOKUP($B100,INDIRECT($B$5&amp;"生成成长"),3))*(VLOOKUP($B$5,标准坦克设计!$B$14:$K$20,9)/30))</f>
        <v>2.064428625402341</v>
      </c>
      <c r="I100" s="173">
        <f ca="1">(VLOOKUP(I$72,INDIRECT($C$5&amp;"生成成长"),2))/((VLOOKUP($B100,INDIRECT($B$5&amp;"生成成长"),4))/(VLOOKUP(I$72,INDIRECT($C$5&amp;"生成成长"),5))*(VLOOKUP($B$5,标准坦克设计!$B$24:$U$30,MATCH("对"&amp;LEFT($C$5,2)&amp;"输出",标准坦克设计!$B$23:$U$23,0)))*(VLOOKUP($B100,INDIRECT($B$5&amp;"生成成长"),3))*(VLOOKUP($B$5,标准坦克设计!$B$14:$K$20,9)/30))</f>
        <v>2.358996324627407</v>
      </c>
      <c r="J100" s="173">
        <f ca="1">(VLOOKUP(J$72,INDIRECT($C$5&amp;"生成成长"),2))/((VLOOKUP($B100,INDIRECT($B$5&amp;"生成成长"),4))/(VLOOKUP(J$72,INDIRECT($C$5&amp;"生成成长"),5))*(VLOOKUP($B$5,标准坦克设计!$B$24:$U$30,MATCH("对"&amp;LEFT($C$5,2)&amp;"输出",标准坦克设计!$B$23:$U$23,0)))*(VLOOKUP($B100,INDIRECT($B$5&amp;"生成成长"),3))*(VLOOKUP($B$5,标准坦克设计!$B$14:$K$20,9)/30))</f>
        <v>2.6732018704674787</v>
      </c>
      <c r="K100" s="173">
        <f ca="1">(VLOOKUP(K$72,INDIRECT($C$5&amp;"生成成长"),2))/((VLOOKUP($B100,INDIRECT($B$5&amp;"生成成长"),4))/(VLOOKUP(K$72,INDIRECT($C$5&amp;"生成成长"),5))*(VLOOKUP($B$5,标准坦克设计!$B$24:$U$30,MATCH("对"&amp;LEFT($C$5,2)&amp;"输出",标准坦克设计!$B$23:$U$23,0)))*(VLOOKUP($B100,INDIRECT($B$5&amp;"生成成长"),3))*(VLOOKUP($B$5,标准坦克设计!$B$14:$K$20,9)/30))</f>
        <v>3.0070452629225533</v>
      </c>
      <c r="L100" s="173">
        <f ca="1">(VLOOKUP(L$72,INDIRECT($C$5&amp;"生成成长"),2))/((VLOOKUP($B100,INDIRECT($B$5&amp;"生成成长"),4))/(VLOOKUP(L$72,INDIRECT($C$5&amp;"生成成长"),5))*(VLOOKUP($B$5,标准坦克设计!$B$24:$U$30,MATCH("对"&amp;LEFT($C$5,2)&amp;"输出",标准坦克设计!$B$23:$U$23,0)))*(VLOOKUP($B100,INDIRECT($B$5&amp;"生成成长"),3))*(VLOOKUP($B$5,标准坦克设计!$B$14:$K$20,9)/30))</f>
        <v>3.3605265019926329</v>
      </c>
      <c r="M100" s="173">
        <f ca="1">(VLOOKUP(M$72,INDIRECT($C$5&amp;"生成成长"),2))/((VLOOKUP($B100,INDIRECT($B$5&amp;"生成成长"),4))/(VLOOKUP(M$72,INDIRECT($C$5&amp;"生成成长"),5))*(VLOOKUP($B$5,标准坦克设计!$B$24:$U$30,MATCH("对"&amp;LEFT($C$5,2)&amp;"输出",标准坦克设计!$B$23:$U$23,0)))*(VLOOKUP($B100,INDIRECT($B$5&amp;"生成成长"),3))*(VLOOKUP($B$5,标准坦克设计!$B$14:$K$20,9)/30))</f>
        <v>3.7336455876777173</v>
      </c>
      <c r="N100" s="173">
        <f ca="1">(VLOOKUP(N$72,INDIRECT($C$5&amp;"生成成长"),2))/((VLOOKUP($B100,INDIRECT($B$5&amp;"生成成长"),4))/(VLOOKUP(N$72,INDIRECT($C$5&amp;"生成成长"),5))*(VLOOKUP($B$5,标准坦克设计!$B$24:$U$30,MATCH("对"&amp;LEFT($C$5,2)&amp;"输出",标准坦克设计!$B$23:$U$23,0)))*(VLOOKUP($B100,INDIRECT($B$5&amp;"生成成长"),3))*(VLOOKUP($B$5,标准坦克设计!$B$14:$K$20,9)/30))</f>
        <v>4.1264025199778063</v>
      </c>
      <c r="O100" s="173">
        <f ca="1">(VLOOKUP(O$72,INDIRECT($C$5&amp;"生成成长"),2))/((VLOOKUP($B100,INDIRECT($B$5&amp;"生成成长"),4))/(VLOOKUP(O$72,INDIRECT($C$5&amp;"生成成长"),5))*(VLOOKUP($B$5,标准坦克设计!$B$24:$U$30,MATCH("对"&amp;LEFT($C$5,2)&amp;"输出",标准坦克设计!$B$23:$U$23,0)))*(VLOOKUP($B100,INDIRECT($B$5&amp;"生成成长"),3))*(VLOOKUP($B$5,标准坦克设计!$B$14:$K$20,9)/30))</f>
        <v>3.1372994174236379</v>
      </c>
      <c r="P100" s="173">
        <f ca="1">(VLOOKUP(P$72,INDIRECT($C$5&amp;"生成成长"),2))/((VLOOKUP($B100,INDIRECT($B$5&amp;"生成成长"),4))/(VLOOKUP(P$72,INDIRECT($C$5&amp;"生成成长"),5))*(VLOOKUP($B$5,标准坦克设计!$B$24:$U$30,MATCH("对"&amp;LEFT($C$5,2)&amp;"输出",标准坦克设计!$B$23:$U$23,0)))*(VLOOKUP($B100,INDIRECT($B$5&amp;"生成成长"),3))*(VLOOKUP($B$5,标准坦克设计!$B$14:$K$20,9)/30))</f>
        <v>3.5446313140082997</v>
      </c>
      <c r="Q100" s="173">
        <f ca="1">(VLOOKUP(Q$72,INDIRECT($C$5&amp;"生成成长"),2))/((VLOOKUP($B100,INDIRECT($B$5&amp;"生成成长"),4))/(VLOOKUP(Q$72,INDIRECT($C$5&amp;"生成成长"),5))*(VLOOKUP($B$5,标准坦克设计!$B$24:$U$30,MATCH("对"&amp;LEFT($C$5,2)&amp;"输出",标准坦克设计!$B$23:$U$23,0)))*(VLOOKUP($B100,INDIRECT($B$5&amp;"生成成长"),3))*(VLOOKUP($B$5,标准坦克设计!$B$14:$K$20,9)/30))</f>
        <v>3.9768173602150774</v>
      </c>
      <c r="R100" s="173">
        <f ca="1">(VLOOKUP(R$72,INDIRECT($C$5&amp;"生成成长"),2))/((VLOOKUP($B100,INDIRECT($B$5&amp;"生成成长"),4))/(VLOOKUP(R$72,INDIRECT($C$5&amp;"生成成长"),5))*(VLOOKUP($B$5,标准坦克设计!$B$24:$U$30,MATCH("对"&amp;LEFT($C$5,2)&amp;"输出",标准坦克设计!$B$23:$U$23,0)))*(VLOOKUP($B100,INDIRECT($B$5&amp;"生成成长"),3))*(VLOOKUP($B$5,标准坦克设计!$B$14:$K$20,9)/30))</f>
        <v>4.4338575560439688</v>
      </c>
      <c r="S100" s="173">
        <f ca="1">(VLOOKUP(S$72,INDIRECT($C$5&amp;"生成成长"),2))/((VLOOKUP($B100,INDIRECT($B$5&amp;"生成成长"),4))/(VLOOKUP(S$72,INDIRECT($C$5&amp;"生成成长"),5))*(VLOOKUP($B$5,标准坦克设计!$B$24:$U$30,MATCH("对"&amp;LEFT($C$5,2)&amp;"输出",标准坦克设计!$B$23:$U$23,0)))*(VLOOKUP($B100,INDIRECT($B$5&amp;"生成成长"),3))*(VLOOKUP($B$5,标准坦克设计!$B$14:$K$20,9)/30))</f>
        <v>4.9157519014949758</v>
      </c>
      <c r="T100" s="173">
        <f ca="1">(VLOOKUP(T$72,INDIRECT($C$5&amp;"生成成长"),2))/((VLOOKUP($B100,INDIRECT($B$5&amp;"生成成长"),4))/(VLOOKUP(T$72,INDIRECT($C$5&amp;"生成成长"),5))*(VLOOKUP($B$5,标准坦克设计!$B$24:$U$30,MATCH("对"&amp;LEFT($C$5,2)&amp;"输出",标准坦克设计!$B$23:$U$23,0)))*(VLOOKUP($B100,INDIRECT($B$5&amp;"生成成长"),3))*(VLOOKUP($B$5,标准坦克设计!$B$14:$K$20,9)/30))</f>
        <v>5.4225003965680987</v>
      </c>
      <c r="U100" s="173">
        <f ca="1">(VLOOKUP(U$72,INDIRECT($C$5&amp;"生成成长"),2))/((VLOOKUP($B100,INDIRECT($B$5&amp;"生成成长"),4))/(VLOOKUP(U$72,INDIRECT($C$5&amp;"生成成长"),5))*(VLOOKUP($B$5,标准坦克设计!$B$24:$U$30,MATCH("对"&amp;LEFT($C$5,2)&amp;"输出",标准坦克设计!$B$23:$U$23,0)))*(VLOOKUP($B100,INDIRECT($B$5&amp;"生成成长"),3))*(VLOOKUP($B$5,标准坦克设计!$B$14:$K$20,9)/30))</f>
        <v>5.9541030412633367</v>
      </c>
      <c r="V100" s="173">
        <f ca="1">(VLOOKUP(V$72,INDIRECT($C$5&amp;"生成成长"),2))/((VLOOKUP($B100,INDIRECT($B$5&amp;"生成成长"),4))/(VLOOKUP(V$72,INDIRECT($C$5&amp;"生成成长"),5))*(VLOOKUP($B$5,标准坦克设计!$B$24:$U$30,MATCH("对"&amp;LEFT($C$5,2)&amp;"输出",标准坦克设计!$B$23:$U$23,0)))*(VLOOKUP($B100,INDIRECT($B$5&amp;"生成成长"),3))*(VLOOKUP($B$5,标准坦克设计!$B$14:$K$20,9)/30))</f>
        <v>6.510559835580688</v>
      </c>
      <c r="W100" s="173">
        <f ca="1">(VLOOKUP(W$72,INDIRECT($C$5&amp;"生成成长"),2))/((VLOOKUP($B100,INDIRECT($B$5&amp;"生成成长"),4))/(VLOOKUP(W$72,INDIRECT($C$5&amp;"生成成长"),5))*(VLOOKUP($B$5,标准坦克设计!$B$24:$U$30,MATCH("对"&amp;LEFT($C$5,2)&amp;"输出",标准坦克设计!$B$23:$U$23,0)))*(VLOOKUP($B100,INDIRECT($B$5&amp;"生成成长"),3))*(VLOOKUP($B$5,标准坦克设计!$B$14:$K$20,9)/30))</f>
        <v>7.0918707795201534</v>
      </c>
      <c r="X100" s="173">
        <f ca="1">(VLOOKUP(X$72,INDIRECT($C$5&amp;"生成成长"),2))/((VLOOKUP($B100,INDIRECT($B$5&amp;"生成成长"),4))/(VLOOKUP(X$72,INDIRECT($C$5&amp;"生成成长"),5))*(VLOOKUP($B$5,标准坦克设计!$B$24:$U$30,MATCH("对"&amp;LEFT($C$5,2)&amp;"输出",标准坦克设计!$B$23:$U$23,0)))*(VLOOKUP($B100,INDIRECT($B$5&amp;"生成成长"),3))*(VLOOKUP($B$5,标准坦克设计!$B$14:$K$20,9)/30))</f>
        <v>5.1379050413272136</v>
      </c>
      <c r="Y100" s="173">
        <f ca="1">(VLOOKUP(Y$72,INDIRECT($C$5&amp;"生成成长"),2))/((VLOOKUP($B100,INDIRECT($B$5&amp;"生成成长"),4))/(VLOOKUP(Y$72,INDIRECT($C$5&amp;"生成成长"),5))*(VLOOKUP($B$5,标准坦克设计!$B$24:$U$30,MATCH("对"&amp;LEFT($C$5,2)&amp;"输出",标准坦克设计!$B$23:$U$23,0)))*(VLOOKUP($B100,INDIRECT($B$5&amp;"生成成长"),3))*(VLOOKUP($B$5,标准坦克设计!$B$14:$K$20,9)/30))</f>
        <v>5.7147667856429685</v>
      </c>
      <c r="Z100" s="173">
        <f ca="1">(VLOOKUP(Z$72,INDIRECT($C$5&amp;"生成成长"),2))/((VLOOKUP($B100,INDIRECT($B$5&amp;"生成成长"),4))/(VLOOKUP(Z$72,INDIRECT($C$5&amp;"生成成长"),5))*(VLOOKUP($B$5,标准坦克设计!$B$24:$U$30,MATCH("对"&amp;LEFT($C$5,2)&amp;"输出",标准坦克设计!$B$23:$U$23,0)))*(VLOOKUP($B100,INDIRECT($B$5&amp;"生成成长"),3))*(VLOOKUP($B$5,标准坦克设计!$B$14:$K$20,9)/30))</f>
        <v>6.3223126652946693</v>
      </c>
      <c r="AA100" s="173">
        <f ca="1">(VLOOKUP(AA$72,INDIRECT($C$5&amp;"生成成长"),2))/((VLOOKUP($B100,INDIRECT($B$5&amp;"生成成长"),4))/(VLOOKUP(AA$72,INDIRECT($C$5&amp;"生成成长"),5))*(VLOOKUP($B$5,标准坦克设计!$B$24:$U$30,MATCH("对"&amp;LEFT($C$5,2)&amp;"输出",标准坦克设计!$B$23:$U$23,0)))*(VLOOKUP($B100,INDIRECT($B$5&amp;"生成成长"),3))*(VLOOKUP($B$5,标准坦克设计!$B$14:$K$20,9)/30))</f>
        <v>6.9605426802823125</v>
      </c>
      <c r="AB100" s="173">
        <f ca="1">(VLOOKUP(AB$72,INDIRECT($C$5&amp;"生成成长"),2))/((VLOOKUP($B100,INDIRECT($B$5&amp;"生成成长"),4))/(VLOOKUP(AB$72,INDIRECT($C$5&amp;"生成成长"),5))*(VLOOKUP($B$5,标准坦克设计!$B$24:$U$30,MATCH("对"&amp;LEFT($C$5,2)&amp;"输出",标准坦克设计!$B$23:$U$23,0)))*(VLOOKUP($B100,INDIRECT($B$5&amp;"生成成长"),3))*(VLOOKUP($B$5,标准坦克设计!$B$14:$K$20,9)/30))</f>
        <v>7.6294568306059016</v>
      </c>
      <c r="AC100" s="173">
        <f ca="1">(VLOOKUP(AC$72,INDIRECT($C$5&amp;"生成成长"),2))/((VLOOKUP($B100,INDIRECT($B$5&amp;"生成成长"),4))/(VLOOKUP(AC$72,INDIRECT($C$5&amp;"生成成长"),5))*(VLOOKUP($B$5,标准坦克设计!$B$24:$U$30,MATCH("对"&amp;LEFT($C$5,2)&amp;"输出",标准坦克设计!$B$23:$U$23,0)))*(VLOOKUP($B100,INDIRECT($B$5&amp;"生成成长"),3))*(VLOOKUP($B$5,标准坦克设计!$B$14:$K$20,9)/30))</f>
        <v>8.3290551162654332</v>
      </c>
      <c r="AD100" s="173">
        <f ca="1">(VLOOKUP(AD$72,INDIRECT($C$5&amp;"生成成长"),2))/((VLOOKUP($B100,INDIRECT($B$5&amp;"生成成长"),4))/(VLOOKUP(AD$72,INDIRECT($C$5&amp;"生成成长"),5))*(VLOOKUP($B$5,标准坦克设计!$B$24:$U$30,MATCH("对"&amp;LEFT($C$5,2)&amp;"输出",标准坦克设计!$B$23:$U$23,0)))*(VLOOKUP($B100,INDIRECT($B$5&amp;"生成成长"),3))*(VLOOKUP($B$5,标准坦克设计!$B$14:$K$20,9)/30))</f>
        <v>9.0593375372609106</v>
      </c>
      <c r="AE100" s="173">
        <f ca="1">(VLOOKUP(AE$72,INDIRECT($C$5&amp;"生成成长"),2))/((VLOOKUP($B100,INDIRECT($B$5&amp;"生成成长"),4))/(VLOOKUP(AE$72,INDIRECT($C$5&amp;"生成成长"),5))*(VLOOKUP($B$5,标准坦克设计!$B$24:$U$30,MATCH("对"&amp;LEFT($C$5,2)&amp;"输出",标准坦克设计!$B$23:$U$23,0)))*(VLOOKUP($B100,INDIRECT($B$5&amp;"生成成长"),3))*(VLOOKUP($B$5,标准坦克设计!$B$14:$K$20,9)/30))</f>
        <v>9.8203040935923323</v>
      </c>
      <c r="AF100" s="173">
        <f ca="1">(VLOOKUP(AF$72,INDIRECT($C$5&amp;"生成成长"),2))/((VLOOKUP($B100,INDIRECT($B$5&amp;"生成成长"),4))/(VLOOKUP(AF$72,INDIRECT($C$5&amp;"生成成长"),5))*(VLOOKUP($B$5,标准坦克设计!$B$24:$U$30,MATCH("对"&amp;LEFT($C$5,2)&amp;"输出",标准坦克设计!$B$23:$U$23,0)))*(VLOOKUP($B100,INDIRECT($B$5&amp;"生成成长"),3))*(VLOOKUP($B$5,标准坦克设计!$B$14:$K$20,9)/30))</f>
        <v>10.6119547852597</v>
      </c>
      <c r="AG100" s="173">
        <f ca="1">(VLOOKUP(AG$72,INDIRECT($C$5&amp;"生成成长"),2))/((VLOOKUP($B100,INDIRECT($B$5&amp;"生成成长"),4))/(VLOOKUP(AG$72,INDIRECT($C$5&amp;"生成成长"),5))*(VLOOKUP($B$5,标准坦克设计!$B$24:$U$30,MATCH("对"&amp;LEFT($C$5,2)&amp;"输出",标准坦克设计!$B$23:$U$23,0)))*(VLOOKUP($B100,INDIRECT($B$5&amp;"生成成长"),3))*(VLOOKUP($B$5,标准坦克设计!$B$14:$K$20,9)/30))</f>
        <v>11.43428961226301</v>
      </c>
      <c r="AH100" s="173">
        <f ca="1">(VLOOKUP(AH$72,INDIRECT($C$5&amp;"生成成长"),2))/((VLOOKUP($B100,INDIRECT($B$5&amp;"生成成长"),4))/(VLOOKUP(AH$72,INDIRECT($C$5&amp;"生成成长"),5))*(VLOOKUP($B$5,标准坦克设计!$B$24:$U$30,MATCH("对"&amp;LEFT($C$5,2)&amp;"输出",标准坦克设计!$B$23:$U$23,0)))*(VLOOKUP($B100,INDIRECT($B$5&amp;"生成成长"),3))*(VLOOKUP($B$5,标准坦克设计!$B$14:$K$20,9)/30))</f>
        <v>12.287308574602266</v>
      </c>
      <c r="AI100" s="173">
        <f ca="1">(VLOOKUP(AI$72,INDIRECT($C$5&amp;"生成成长"),2))/((VLOOKUP($B100,INDIRECT($B$5&amp;"生成成长"),4))/(VLOOKUP(AI$72,INDIRECT($C$5&amp;"生成成长"),5))*(VLOOKUP($B$5,标准坦克设计!$B$24:$U$30,MATCH("对"&amp;LEFT($C$5,2)&amp;"输出",标准坦克设计!$B$23:$U$23,0)))*(VLOOKUP($B100,INDIRECT($B$5&amp;"生成成长"),3))*(VLOOKUP($B$5,标准坦克设计!$B$14:$K$20,9)/30))</f>
        <v>8.6903608098461795</v>
      </c>
      <c r="AJ100" s="173">
        <f ca="1">(VLOOKUP(AJ$72,INDIRECT($C$5&amp;"生成成长"),2))/((VLOOKUP($B100,INDIRECT($B$5&amp;"生成成长"),4))/(VLOOKUP(AJ$72,INDIRECT($C$5&amp;"生成成长"),5))*(VLOOKUP($B$5,标准坦克设计!$B$24:$U$30,MATCH("对"&amp;LEFT($C$5,2)&amp;"输出",标准坦克设计!$B$23:$U$23,0)))*(VLOOKUP($B100,INDIRECT($B$5&amp;"生成成长"),3))*(VLOOKUP($B$5,标准坦克设计!$B$14:$K$20,9)/30))</f>
        <v>9.5122353748194506</v>
      </c>
      <c r="AK100" s="173">
        <f ca="1">(VLOOKUP(AK$72,INDIRECT($C$5&amp;"生成成长"),2))/((VLOOKUP($B100,INDIRECT($B$5&amp;"生成成长"),4))/(VLOOKUP(AK$72,INDIRECT($C$5&amp;"生成成长"),5))*(VLOOKUP($B$5,标准坦克设计!$B$24:$U$30,MATCH("对"&amp;LEFT($C$5,2)&amp;"输出",标准坦克设计!$B$23:$U$23,0)))*(VLOOKUP($B100,INDIRECT($B$5&amp;"生成成长"),3))*(VLOOKUP($B$5,标准坦克设计!$B$14:$K$20,9)/30))</f>
        <v>10.371237743549214</v>
      </c>
      <c r="AL100" s="173">
        <f ca="1">(VLOOKUP(AL$72,INDIRECT($C$5&amp;"生成成长"),2))/((VLOOKUP($B100,INDIRECT($B$5&amp;"生成成长"),4))/(VLOOKUP(AL$72,INDIRECT($C$5&amp;"生成成长"),5))*(VLOOKUP($B$5,标准坦克设计!$B$24:$U$30,MATCH("对"&amp;LEFT($C$5,2)&amp;"输出",标准坦克设计!$B$23:$U$23,0)))*(VLOOKUP($B100,INDIRECT($B$5&amp;"生成成长"),3))*(VLOOKUP($B$5,标准坦克设计!$B$14:$K$20,9)/30))</f>
        <v>11.267367916035473</v>
      </c>
      <c r="AM100" s="173">
        <f ca="1">(VLOOKUP(AM$72,INDIRECT($C$5&amp;"生成成长"),2))/((VLOOKUP($B100,INDIRECT($B$5&amp;"生成成长"),4))/(VLOOKUP(AM$72,INDIRECT($C$5&amp;"生成成长"),5))*(VLOOKUP($B$5,标准坦克设计!$B$24:$U$30,MATCH("对"&amp;LEFT($C$5,2)&amp;"输出",标准坦克设计!$B$23:$U$23,0)))*(VLOOKUP($B100,INDIRECT($B$5&amp;"生成成长"),3))*(VLOOKUP($B$5,标准坦克设计!$B$14:$K$20,9)/30))</f>
        <v>12.200625892278222</v>
      </c>
      <c r="AN100" s="173">
        <f ca="1">(VLOOKUP(AN$72,INDIRECT($C$5&amp;"生成成长"),2))/((VLOOKUP($B100,INDIRECT($B$5&amp;"生成成长"),4))/(VLOOKUP(AN$72,INDIRECT($C$5&amp;"生成成长"),5))*(VLOOKUP($B$5,标准坦克设计!$B$24:$U$30,MATCH("对"&amp;LEFT($C$5,2)&amp;"输出",标准坦克设计!$B$23:$U$23,0)))*(VLOOKUP($B100,INDIRECT($B$5&amp;"生成成长"),3))*(VLOOKUP($B$5,标准坦克设计!$B$14:$K$20,9)/30))</f>
        <v>13.171011672277466</v>
      </c>
      <c r="AO100" s="173">
        <f ca="1">(VLOOKUP(AO$72,INDIRECT($C$5&amp;"生成成长"),2))/((VLOOKUP($B100,INDIRECT($B$5&amp;"生成成长"),4))/(VLOOKUP(AO$72,INDIRECT($C$5&amp;"生成成长"),5))*(VLOOKUP($B$5,标准坦克设计!$B$24:$U$30,MATCH("对"&amp;LEFT($C$5,2)&amp;"输出",标准坦克设计!$B$23:$U$23,0)))*(VLOOKUP($B100,INDIRECT($B$5&amp;"生成成长"),3))*(VLOOKUP($B$5,标准坦克设计!$B$14:$K$20,9)/30))</f>
        <v>14.178525256033199</v>
      </c>
      <c r="AP100" s="173">
        <f ca="1">(VLOOKUP(AP$72,INDIRECT($C$5&amp;"生成成长"),2))/((VLOOKUP($B100,INDIRECT($B$5&amp;"生成成长"),4))/(VLOOKUP(AP$72,INDIRECT($C$5&amp;"生成成长"),5))*(VLOOKUP($B$5,标准坦克设计!$B$24:$U$30,MATCH("对"&amp;LEFT($C$5,2)&amp;"输出",标准坦克设计!$B$23:$U$23,0)))*(VLOOKUP($B100,INDIRECT($B$5&amp;"生成成长"),3))*(VLOOKUP($B$5,标准坦克设计!$B$14:$K$20,9)/30))</f>
        <v>15.223166643545424</v>
      </c>
      <c r="AQ100" s="173">
        <f ca="1">(VLOOKUP(AQ$72,INDIRECT($C$5&amp;"生成成长"),2))/((VLOOKUP($B100,INDIRECT($B$5&amp;"生成成长"),4))/(VLOOKUP(AQ$72,INDIRECT($C$5&amp;"生成成长"),5))*(VLOOKUP($B$5,标准坦克设计!$B$24:$U$30,MATCH("对"&amp;LEFT($C$5,2)&amp;"输出",标准坦克设计!$B$23:$U$23,0)))*(VLOOKUP($B100,INDIRECT($B$5&amp;"生成成长"),3))*(VLOOKUP($B$5,标准坦克设计!$B$14:$K$20,9)/30))</f>
        <v>16.304935834814149</v>
      </c>
      <c r="AR100" s="173">
        <f ca="1">(VLOOKUP(AR$72,INDIRECT($C$5&amp;"生成成长"),2))/((VLOOKUP($B100,INDIRECT($B$5&amp;"生成成长"),4))/(VLOOKUP(AR$72,INDIRECT($C$5&amp;"生成成长"),5))*(VLOOKUP($B$5,标准坦克设计!$B$24:$U$30,MATCH("对"&amp;LEFT($C$5,2)&amp;"输出",标准坦克设计!$B$23:$U$23,0)))*(VLOOKUP($B100,INDIRECT($B$5&amp;"生成成长"),3))*(VLOOKUP($B$5,标准坦克设计!$B$14:$K$20,9)/30))</f>
        <v>17.423832829839366</v>
      </c>
      <c r="AS100" s="173">
        <f ca="1">(VLOOKUP(AS$72,INDIRECT($C$5&amp;"生成成长"),2))/((VLOOKUP($B100,INDIRECT($B$5&amp;"生成成长"),4))/(VLOOKUP(AS$72,INDIRECT($C$5&amp;"生成成长"),5))*(VLOOKUP($B$5,标准坦克设计!$B$24:$U$30,MATCH("对"&amp;LEFT($C$5,2)&amp;"输出",标准坦克设计!$B$23:$U$23,0)))*(VLOOKUP($B100,INDIRECT($B$5&amp;"生成成长"),3))*(VLOOKUP($B$5,标准坦克设计!$B$14:$K$20,9)/30))</f>
        <v>18.579857628621067</v>
      </c>
      <c r="AT100" s="173">
        <f ca="1">(VLOOKUP(AT$72,INDIRECT($C$5&amp;"生成成长"),2))/((VLOOKUP($B100,INDIRECT($B$5&amp;"生成成长"),4))/(VLOOKUP(AT$72,INDIRECT($C$5&amp;"生成成长"),5))*(VLOOKUP($B$5,标准坦克设计!$B$24:$U$30,MATCH("对"&amp;LEFT($C$5,2)&amp;"输出",标准坦克设计!$B$23:$U$23,0)))*(VLOOKUP($B100,INDIRECT($B$5&amp;"生成成长"),3))*(VLOOKUP($B$5,标准坦克设计!$B$14:$K$20,9)/30))</f>
        <v>19.773010231159265</v>
      </c>
      <c r="AU100" s="173">
        <f ca="1">(VLOOKUP(AU$72,INDIRECT($C$5&amp;"生成成长"),2))/((VLOOKUP($B100,INDIRECT($B$5&amp;"生成成长"),4))/(VLOOKUP(AU$72,INDIRECT($C$5&amp;"生成成长"),5))*(VLOOKUP($B$5,标准坦克设计!$B$24:$U$30,MATCH("对"&amp;LEFT($C$5,2)&amp;"输出",标准坦克设计!$B$23:$U$23,0)))*(VLOOKUP($B100,INDIRECT($B$5&amp;"生成成长"),3))*(VLOOKUP($B$5,标准坦克设计!$B$14:$K$20,9)/30))</f>
        <v>21.003290637453961</v>
      </c>
      <c r="AV100" s="173">
        <f ca="1">(VLOOKUP(AV$72,INDIRECT($C$5&amp;"生成成长"),2))/((VLOOKUP($B100,INDIRECT($B$5&amp;"生成成长"),4))/(VLOOKUP(AV$72,INDIRECT($C$5&amp;"生成成长"),5))*(VLOOKUP($B$5,标准坦克设计!$B$24:$U$30,MATCH("对"&amp;LEFT($C$5,2)&amp;"输出",标准坦克设计!$B$23:$U$23,0)))*(VLOOKUP($B100,INDIRECT($B$5&amp;"生成成长"),3))*(VLOOKUP($B$5,标准坦克设计!$B$14:$K$20,9)/30))</f>
        <v>2.1362295020884514</v>
      </c>
      <c r="AW100" s="173">
        <f ca="1">(VLOOKUP(AW$72,INDIRECT($C$5&amp;"生成成长"),2))/((VLOOKUP($B100,INDIRECT($B$5&amp;"生成成长"),4))/(VLOOKUP(AW$72,INDIRECT($C$5&amp;"生成成长"),5))*(VLOOKUP($B$5,标准坦克设计!$B$24:$U$30,MATCH("对"&amp;LEFT($C$5,2)&amp;"输出",标准坦克设计!$B$23:$U$23,0)))*(VLOOKUP($B100,INDIRECT($B$5&amp;"生成成长"),3))*(VLOOKUP($B$5,标准坦克设计!$B$14:$K$20,9)/30))</f>
        <v>2.4357066629672679</v>
      </c>
      <c r="AX100" s="173">
        <f ca="1">(VLOOKUP(AX$72,INDIRECT($C$5&amp;"生成成长"),2))/((VLOOKUP($B100,INDIRECT($B$5&amp;"生成成长"),4))/(VLOOKUP(AX$72,INDIRECT($C$5&amp;"生成成长"),5))*(VLOOKUP($B$5,标准坦克设计!$B$24:$U$30,MATCH("对"&amp;LEFT($C$5,2)&amp;"输出",标准坦克设计!$B$23:$U$23,0)))*(VLOOKUP($B100,INDIRECT($B$5&amp;"生成成长"),3))*(VLOOKUP($B$5,标准坦克设计!$B$14:$K$20,9)/30))</f>
        <v>2.7548216704610899</v>
      </c>
      <c r="AY100" s="173">
        <f ca="1">(VLOOKUP(AY$72,INDIRECT($C$5&amp;"生成成长"),2))/((VLOOKUP($B100,INDIRECT($B$5&amp;"生成成长"),4))/(VLOOKUP(AY$72,INDIRECT($C$5&amp;"生成成长"),5))*(VLOOKUP($B$5,标准坦克设计!$B$24:$U$30,MATCH("对"&amp;LEFT($C$5,2)&amp;"输出",标准坦克设计!$B$23:$U$23,0)))*(VLOOKUP($B100,INDIRECT($B$5&amp;"生成成长"),3))*(VLOOKUP($B$5,标准坦克设计!$B$14:$K$20,9)/30))</f>
        <v>3.0935745245699171</v>
      </c>
      <c r="AZ100" s="173">
        <f ca="1">(VLOOKUP(AZ$72,INDIRECT($C$5&amp;"生成成长"),2))/((VLOOKUP($B100,INDIRECT($B$5&amp;"生成成长"),4))/(VLOOKUP(AZ$72,INDIRECT($C$5&amp;"生成成长"),5))*(VLOOKUP($B$5,标准坦克设计!$B$24:$U$30,MATCH("对"&amp;LEFT($C$5,2)&amp;"输出",标准坦克设计!$B$23:$U$23,0)))*(VLOOKUP($B100,INDIRECT($B$5&amp;"生成成长"),3))*(VLOOKUP($B$5,标准坦克设计!$B$14:$K$20,9)/30))</f>
        <v>3.4519652252937472</v>
      </c>
      <c r="BA100" s="173">
        <f ca="1">(VLOOKUP(BA$72,INDIRECT($C$5&amp;"生成成长"),2))/((VLOOKUP($B100,INDIRECT($B$5&amp;"生成成长"),4))/(VLOOKUP(BA$72,INDIRECT($C$5&amp;"生成成长"),5))*(VLOOKUP($B$5,标准坦克设计!$B$24:$U$30,MATCH("对"&amp;LEFT($C$5,2)&amp;"输出",标准坦克设计!$B$23:$U$23,0)))*(VLOOKUP($B100,INDIRECT($B$5&amp;"生成成长"),3))*(VLOOKUP($B$5,标准坦克设计!$B$14:$K$20,9)/30))</f>
        <v>3.8299937726325828</v>
      </c>
      <c r="BB100" s="173">
        <f ca="1">(VLOOKUP(BB$72,INDIRECT($C$5&amp;"生成成长"),2))/((VLOOKUP($B100,INDIRECT($B$5&amp;"生成成长"),4))/(VLOOKUP(BB$72,INDIRECT($C$5&amp;"生成成长"),5))*(VLOOKUP($B$5,标准坦克设计!$B$24:$U$30,MATCH("对"&amp;LEFT($C$5,2)&amp;"输出",标准坦克设计!$B$23:$U$23,0)))*(VLOOKUP($B100,INDIRECT($B$5&amp;"生成成长"),3))*(VLOOKUP($B$5,标准坦克设计!$B$14:$K$20,9)/30))</f>
        <v>4.2276601665864222</v>
      </c>
      <c r="BC100" s="173">
        <f ca="1">(VLOOKUP(BC$72,INDIRECT($C$5&amp;"生成成长"),2))/((VLOOKUP($B100,INDIRECT($B$5&amp;"生成成长"),4))/(VLOOKUP(BC$72,INDIRECT($C$5&amp;"生成成长"),5))*(VLOOKUP($B$5,标准坦克设计!$B$24:$U$30,MATCH("对"&amp;LEFT($C$5,2)&amp;"输出",标准坦克设计!$B$23:$U$23,0)))*(VLOOKUP($B100,INDIRECT($B$5&amp;"生成成长"),3))*(VLOOKUP($B$5,标准坦克设计!$B$14:$K$20,9)/30))</f>
        <v>4.6449644071552667</v>
      </c>
      <c r="BD100" s="173">
        <f ca="1">(VLOOKUP(BD$72,INDIRECT($C$5&amp;"生成成长"),2))/((VLOOKUP($B100,INDIRECT($B$5&amp;"生成成长"),4))/(VLOOKUP(BD$72,INDIRECT($C$5&amp;"生成成长"),5))*(VLOOKUP($B$5,标准坦克设计!$B$24:$U$30,MATCH("对"&amp;LEFT($C$5,2)&amp;"输出",标准坦克设计!$B$23:$U$23,0)))*(VLOOKUP($B100,INDIRECT($B$5&amp;"生成成长"),3))*(VLOOKUP($B$5,标准坦克设计!$B$14:$K$20,9)/30))</f>
        <v>5.1379050413272136</v>
      </c>
      <c r="BE100" s="173">
        <f ca="1">(VLOOKUP(BE$72,INDIRECT($C$5&amp;"生成成长"),2))/((VLOOKUP($B100,INDIRECT($B$5&amp;"生成成长"),4))/(VLOOKUP(BE$72,INDIRECT($C$5&amp;"生成成长"),5))*(VLOOKUP($B$5,标准坦克设计!$B$24:$U$30,MATCH("对"&amp;LEFT($C$5,2)&amp;"输出",标准坦克设计!$B$23:$U$23,0)))*(VLOOKUP($B100,INDIRECT($B$5&amp;"生成成长"),3))*(VLOOKUP($B$5,标准坦克设计!$B$14:$K$20,9)/30))</f>
        <v>5.6556998251212773</v>
      </c>
      <c r="BF100" s="173">
        <f ca="1">(VLOOKUP(BF$72,INDIRECT($C$5&amp;"生成成长"),2))/((VLOOKUP($B100,INDIRECT($B$5&amp;"生成成长"),4))/(VLOOKUP(BF$72,INDIRECT($C$5&amp;"生成成长"),5))*(VLOOKUP($B$5,标准坦克设计!$B$24:$U$30,MATCH("对"&amp;LEFT($C$5,2)&amp;"输出",标准坦克设计!$B$23:$U$23,0)))*(VLOOKUP($B100,INDIRECT($B$5&amp;"生成成长"),3))*(VLOOKUP($B$5,标准坦克设计!$B$14:$K$20,9)/30))</f>
        <v>6.1983487585374526</v>
      </c>
      <c r="BG100" s="173">
        <f ca="1">(VLOOKUP(BG$72,INDIRECT($C$5&amp;"生成成长"),2))/((VLOOKUP($B100,INDIRECT($B$5&amp;"生成成长"),4))/(VLOOKUP(BG$72,INDIRECT($C$5&amp;"生成成长"),5))*(VLOOKUP($B$5,标准坦克设计!$B$24:$U$30,MATCH("对"&amp;LEFT($C$5,2)&amp;"输出",标准坦克设计!$B$23:$U$23,0)))*(VLOOKUP($B100,INDIRECT($B$5&amp;"生成成长"),3))*(VLOOKUP($B$5,标准坦克设计!$B$14:$K$20,9)/30))</f>
        <v>6.7658518415757447</v>
      </c>
      <c r="BH100" s="173">
        <f ca="1">(VLOOKUP(BH$72,INDIRECT($C$5&amp;"生成成长"),2))/((VLOOKUP($B100,INDIRECT($B$5&amp;"生成成长"),4))/(VLOOKUP(BH$72,INDIRECT($C$5&amp;"生成成长"),5))*(VLOOKUP($B$5,标准坦克设计!$B$24:$U$30,MATCH("对"&amp;LEFT($C$5,2)&amp;"输出",标准坦克设计!$B$23:$U$23,0)))*(VLOOKUP($B100,INDIRECT($B$5&amp;"生成成长"),3))*(VLOOKUP($B$5,标准坦克设计!$B$14:$K$20,9)/30))</f>
        <v>3.2703151441049569</v>
      </c>
      <c r="BI100" s="173">
        <f ca="1">(VLOOKUP(BI$72,INDIRECT($C$5&amp;"生成成长"),2))/((VLOOKUP($B100,INDIRECT($B$5&amp;"生成成长"),4))/(VLOOKUP(BI$72,INDIRECT($C$5&amp;"生成成长"),5))*(VLOOKUP($B$5,标准坦克设计!$B$24:$U$30,MATCH("对"&amp;LEFT($C$5,2)&amp;"输出",标准坦克设计!$B$23:$U$23,0)))*(VLOOKUP($B100,INDIRECT($B$5&amp;"生成成长"),3))*(VLOOKUP($B$5,标准坦克设计!$B$14:$K$20,9)/30))</f>
        <v>3.6859317572303243</v>
      </c>
      <c r="BJ100" s="173">
        <f ca="1">(VLOOKUP(BJ$72,INDIRECT($C$5&amp;"生成成长"),2))/((VLOOKUP($B100,INDIRECT($B$5&amp;"生成成长"),4))/(VLOOKUP(BJ$72,INDIRECT($C$5&amp;"生成成长"),5))*(VLOOKUP($B$5,标准坦克设计!$B$24:$U$30,MATCH("对"&amp;LEFT($C$5,2)&amp;"输出",标准坦克设计!$B$23:$U$23,0)))*(VLOOKUP($B100,INDIRECT($B$5&amp;"生成成长"),3))*(VLOOKUP($B$5,标准坦克设计!$B$14:$K$20,9)/30))</f>
        <v>4.1264025199778063</v>
      </c>
      <c r="BK100" s="173">
        <f ca="1">(VLOOKUP(BK$72,INDIRECT($C$5&amp;"生成成长"),2))/((VLOOKUP($B100,INDIRECT($B$5&amp;"生成成长"),4))/(VLOOKUP(BK$72,INDIRECT($C$5&amp;"生成成长"),5))*(VLOOKUP($B$5,标准坦克设计!$B$24:$U$30,MATCH("对"&amp;LEFT($C$5,2)&amp;"输出",标准坦克设计!$B$23:$U$23,0)))*(VLOOKUP($B100,INDIRECT($B$5&amp;"生成成长"),3))*(VLOOKUP($B$5,标准坦克设计!$B$14:$K$20,9)/30))</f>
        <v>4.5917274323474029</v>
      </c>
      <c r="BL100" s="173">
        <f ca="1">(VLOOKUP(BL$72,INDIRECT($C$5&amp;"生成成长"),2))/((VLOOKUP($B100,INDIRECT($B$5&amp;"生成成长"),4))/(VLOOKUP(BL$72,INDIRECT($C$5&amp;"生成成长"),5))*(VLOOKUP($B$5,标准坦克设计!$B$24:$U$30,MATCH("对"&amp;LEFT($C$5,2)&amp;"输出",标准坦克设计!$B$23:$U$23,0)))*(VLOOKUP($B100,INDIRECT($B$5&amp;"生成成长"),3))*(VLOOKUP($B$5,标准坦克设计!$B$14:$K$20,9)/30))</f>
        <v>5.0819064943391163</v>
      </c>
      <c r="BM100" s="173">
        <f ca="1">(VLOOKUP(BM$72,INDIRECT($C$5&amp;"生成成长"),2))/((VLOOKUP($B100,INDIRECT($B$5&amp;"生成成长"),4))/(VLOOKUP(BM$72,INDIRECT($C$5&amp;"生成成长"),5))*(VLOOKUP($B$5,标准坦克设计!$B$24:$U$30,MATCH("对"&amp;LEFT($C$5,2)&amp;"输出",标准坦克设计!$B$23:$U$23,0)))*(VLOOKUP($B100,INDIRECT($B$5&amp;"生成成长"),3))*(VLOOKUP($B$5,标准坦克设计!$B$14:$K$20,9)/30))</f>
        <v>5.5969397059529422</v>
      </c>
      <c r="BN100" s="173">
        <f ca="1">(VLOOKUP(BN$72,INDIRECT($C$5&amp;"生成成长"),2))/((VLOOKUP($B100,INDIRECT($B$5&amp;"生成成长"),4))/(VLOOKUP(BN$72,INDIRECT($C$5&amp;"生成成长"),5))*(VLOOKUP($B$5,标准坦克设计!$B$24:$U$30,MATCH("对"&amp;LEFT($C$5,2)&amp;"输出",标准坦克设计!$B$23:$U$23,0)))*(VLOOKUP($B100,INDIRECT($B$5&amp;"生成成长"),3))*(VLOOKUP($B$5,标准坦克设计!$B$14:$K$20,9)/30))</f>
        <v>6.1368270671888849</v>
      </c>
      <c r="BO100" s="173">
        <f ca="1">(VLOOKUP(BO$72,INDIRECT($C$5&amp;"生成成长"),2))/((VLOOKUP($B100,INDIRECT($B$5&amp;"生成成长"),4))/(VLOOKUP(BO$72,INDIRECT($C$5&amp;"生成成长"),5))*(VLOOKUP($B$5,标准坦克设计!$B$24:$U$30,MATCH("对"&amp;LEFT($C$5,2)&amp;"输出",标准坦克设计!$B$23:$U$23,0)))*(VLOOKUP($B100,INDIRECT($B$5&amp;"生成成长"),3))*(VLOOKUP($B$5,标准坦克设计!$B$14:$K$20,9)/30))</f>
        <v>6.7015685780469418</v>
      </c>
      <c r="BP100" s="173">
        <f ca="1">(VLOOKUP(BP$72,INDIRECT($C$5&amp;"生成成长"),2))/((VLOOKUP($B100,INDIRECT($B$5&amp;"生成成长"),4))/(VLOOKUP(BP$72,INDIRECT($C$5&amp;"生成成长"),5))*(VLOOKUP($B$5,标准坦克设计!$B$24:$U$30,MATCH("对"&amp;LEFT($C$5,2)&amp;"输出",标准坦克设计!$B$23:$U$23,0)))*(VLOOKUP($B100,INDIRECT($B$5&amp;"生成成长"),3))*(VLOOKUP($B$5,标准坦克设计!$B$14:$K$20,9)/30))</f>
        <v>7.2911642385271138</v>
      </c>
      <c r="BQ100" s="173">
        <f ca="1">(VLOOKUP(BQ$72,INDIRECT($C$5&amp;"生成成长"),2))/((VLOOKUP($B100,INDIRECT($B$5&amp;"生成成长"),4))/(VLOOKUP(BQ$72,INDIRECT($C$5&amp;"生成成长"),5))*(VLOOKUP($B$5,标准坦克设计!$B$24:$U$30,MATCH("对"&amp;LEFT($C$5,2)&amp;"输出",标准坦克设计!$B$23:$U$23,0)))*(VLOOKUP($B100,INDIRECT($B$5&amp;"生成成长"),3))*(VLOOKUP($B$5,标准坦克设计!$B$14:$K$20,9)/30))</f>
        <v>7.9056140486294018</v>
      </c>
      <c r="BR100" s="173">
        <f ca="1">(VLOOKUP(BR$72,INDIRECT($C$5&amp;"生成成长"),2))/((VLOOKUP($B100,INDIRECT($B$5&amp;"生成成长"),4))/(VLOOKUP(BR$72,INDIRECT($C$5&amp;"生成成长"),5))*(VLOOKUP($B$5,标准坦克设计!$B$24:$U$30,MATCH("对"&amp;LEFT($C$5,2)&amp;"输出",标准坦克设计!$B$23:$U$23,0)))*(VLOOKUP($B100,INDIRECT($B$5&amp;"生成成长"),3))*(VLOOKUP($B$5,标准坦克设计!$B$14:$K$20,9)/30))</f>
        <v>8.6174859884233133</v>
      </c>
      <c r="BS100" s="173">
        <f ca="1">(VLOOKUP(BS$72,INDIRECT($C$5&amp;"生成成长"),2))/((VLOOKUP($B100,INDIRECT($B$5&amp;"生成成长"),4))/(VLOOKUP(BS$72,INDIRECT($C$5&amp;"生成成长"),5))*(VLOOKUP($B$5,标准坦克设计!$B$24:$U$30,MATCH("对"&amp;LEFT($C$5,2)&amp;"输出",标准坦克设计!$B$23:$U$23,0)))*(VLOOKUP($B100,INDIRECT($B$5&amp;"生成成长"),3))*(VLOOKUP($B$5,标准坦克设计!$B$14:$K$20,9)/30))</f>
        <v>9.360042063553168</v>
      </c>
      <c r="BT100" s="173">
        <f ca="1">(VLOOKUP(BT$72,INDIRECT($C$5&amp;"生成成长"),2))/((VLOOKUP($B100,INDIRECT($B$5&amp;"生成成长"),4))/(VLOOKUP(BT$72,INDIRECT($C$5&amp;"生成成长"),5))*(VLOOKUP($B$5,标准坦克设计!$B$24:$U$30,MATCH("对"&amp;LEFT($C$5,2)&amp;"输出",标准坦克设计!$B$23:$U$23,0)))*(VLOOKUP($B100,INDIRECT($B$5&amp;"生成成长"),3))*(VLOOKUP($B$5,标准坦克设计!$B$14:$K$20,9)/30))</f>
        <v>10.133282274018967</v>
      </c>
      <c r="BU100" s="173">
        <f ca="1">(VLOOKUP(BU$72,INDIRECT($C$5&amp;"生成成长"),2))/((VLOOKUP($B100,INDIRECT($B$5&amp;"生成成长"),4))/(VLOOKUP(BU$72,INDIRECT($C$5&amp;"生成成长"),5))*(VLOOKUP($B$5,标准坦克设计!$B$24:$U$30,MATCH("对"&amp;LEFT($C$5,2)&amp;"输出",标准坦克设计!$B$23:$U$23,0)))*(VLOOKUP($B100,INDIRECT($B$5&amp;"生成成长"),3))*(VLOOKUP($B$5,标准坦克设计!$B$14:$K$20,9)/30))</f>
        <v>10.937206619820712</v>
      </c>
      <c r="BV100" s="173">
        <f ca="1">(VLOOKUP(BV$72,INDIRECT($C$5&amp;"生成成长"),2))/((VLOOKUP($B100,INDIRECT($B$5&amp;"生成成长"),4))/(VLOOKUP(BV$72,INDIRECT($C$5&amp;"生成成长"),5))*(VLOOKUP($B$5,标准坦克设计!$B$24:$U$30,MATCH("对"&amp;LEFT($C$5,2)&amp;"输出",标准坦克设计!$B$23:$U$23,0)))*(VLOOKUP($B100,INDIRECT($B$5&amp;"生成成长"),3))*(VLOOKUP($B$5,标准坦克设计!$B$14:$K$20,9)/30))</f>
        <v>11.771815100958399</v>
      </c>
      <c r="BW100" s="173">
        <f ca="1">(VLOOKUP(BW$72,INDIRECT($C$5&amp;"生成成长"),2))/((VLOOKUP($B100,INDIRECT($B$5&amp;"生成成长"),4))/(VLOOKUP(BW$72,INDIRECT($C$5&amp;"生成成长"),5))*(VLOOKUP($B$5,标准坦克设计!$B$24:$U$30,MATCH("对"&amp;LEFT($C$5,2)&amp;"输出",标准坦克设计!$B$23:$U$23,0)))*(VLOOKUP($B100,INDIRECT($B$5&amp;"生成成长"),3))*(VLOOKUP($B$5,标准坦克设计!$B$14:$K$20,9)/30))</f>
        <v>5.3649676428132027</v>
      </c>
      <c r="BX100" s="173">
        <f ca="1">(VLOOKUP(BX$72,INDIRECT($C$5&amp;"生成成长"),2))/((VLOOKUP($B100,INDIRECT($B$5&amp;"生成成长"),4))/(VLOOKUP(BX$72,INDIRECT($C$5&amp;"生成成长"),5))*(VLOOKUP($B$5,标准坦克设计!$B$24:$U$30,MATCH("对"&amp;LEFT($C$5,2)&amp;"输出",标准坦克设计!$B$23:$U$23,0)))*(VLOOKUP($B100,INDIRECT($B$5&amp;"生成成长"),3))*(VLOOKUP($B$5,标准坦克设计!$B$14:$K$20,9)/30))</f>
        <v>5.9541030412633367</v>
      </c>
      <c r="BY100" s="173">
        <f ca="1">(VLOOKUP(BY$72,INDIRECT($C$5&amp;"生成成长"),2))/((VLOOKUP($B100,INDIRECT($B$5&amp;"生成成长"),4))/(VLOOKUP(BY$72,INDIRECT($C$5&amp;"生成成长"),5))*(VLOOKUP($B$5,标准坦克设计!$B$24:$U$30,MATCH("对"&amp;LEFT($C$5,2)&amp;"输出",标准坦克设计!$B$23:$U$23,0)))*(VLOOKUP($B100,INDIRECT($B$5&amp;"生成成长"),3))*(VLOOKUP($B$5,标准坦克设计!$B$14:$K$20,9)/30))</f>
        <v>6.573922575049413</v>
      </c>
      <c r="BZ100" s="173">
        <f ca="1">(VLOOKUP(BZ$72,INDIRECT($C$5&amp;"生成成长"),2))/((VLOOKUP($B100,INDIRECT($B$5&amp;"生成成长"),4))/(VLOOKUP(BZ$72,INDIRECT($C$5&amp;"生成成长"),5))*(VLOOKUP($B$5,标准坦克设计!$B$24:$U$30,MATCH("对"&amp;LEFT($C$5,2)&amp;"输出",标准坦克设计!$B$23:$U$23,0)))*(VLOOKUP($B100,INDIRECT($B$5&amp;"生成成长"),3))*(VLOOKUP($B$5,标准坦克设计!$B$14:$K$20,9)/30))</f>
        <v>7.2244262441714353</v>
      </c>
      <c r="CA100" s="173">
        <f ca="1">(VLOOKUP(CA$72,INDIRECT($C$5&amp;"生成成长"),2))/((VLOOKUP($B100,INDIRECT($B$5&amp;"生成成长"),4))/(VLOOKUP(CA$72,INDIRECT($C$5&amp;"生成成长"),5))*(VLOOKUP($B$5,标准坦克设计!$B$24:$U$30,MATCH("对"&amp;LEFT($C$5,2)&amp;"输出",标准坦克设计!$B$23:$U$23,0)))*(VLOOKUP($B100,INDIRECT($B$5&amp;"生成成长"),3))*(VLOOKUP($B$5,标准坦克设计!$B$14:$K$20,9)/30))</f>
        <v>7.9056140486294018</v>
      </c>
      <c r="CB100" s="173">
        <f ca="1">(VLOOKUP(CB$72,INDIRECT($C$5&amp;"生成成长"),2))/((VLOOKUP($B100,INDIRECT($B$5&amp;"生成成长"),4))/(VLOOKUP(CB$72,INDIRECT($C$5&amp;"生成成长"),5))*(VLOOKUP($B$5,标准坦克设计!$B$24:$U$30,MATCH("对"&amp;LEFT($C$5,2)&amp;"输出",标准坦克设计!$B$23:$U$23,0)))*(VLOOKUP($B100,INDIRECT($B$5&amp;"生成成长"),3))*(VLOOKUP($B$5,标准坦克设计!$B$14:$K$20,9)/30))</f>
        <v>8.6174859884233133</v>
      </c>
      <c r="CC100" s="173">
        <f ca="1">(VLOOKUP(CC$72,INDIRECT($C$5&amp;"生成成长"),2))/((VLOOKUP($B100,INDIRECT($B$5&amp;"生成成长"),4))/(VLOOKUP(CC$72,INDIRECT($C$5&amp;"生成成长"),5))*(VLOOKUP($B$5,标准坦克设计!$B$24:$U$30,MATCH("对"&amp;LEFT($C$5,2)&amp;"输出",标准坦克设计!$B$23:$U$23,0)))*(VLOOKUP($B100,INDIRECT($B$5&amp;"生成成长"),3))*(VLOOKUP($B$5,标准坦克设计!$B$14:$K$20,9)/30))</f>
        <v>9.360042063553168</v>
      </c>
      <c r="CD100" s="173">
        <f ca="1">(VLOOKUP(CD$72,INDIRECT($C$5&amp;"生成成长"),2))/((VLOOKUP($B100,INDIRECT($B$5&amp;"生成成长"),4))/(VLOOKUP(CD$72,INDIRECT($C$5&amp;"生成成长"),5))*(VLOOKUP($B$5,标准坦克设计!$B$24:$U$30,MATCH("对"&amp;LEFT($C$5,2)&amp;"输出",标准坦克设计!$B$23:$U$23,0)))*(VLOOKUP($B100,INDIRECT($B$5&amp;"生成成长"),3))*(VLOOKUP($B$5,标准坦克设计!$B$14:$K$20,9)/30))</f>
        <v>10.133282274018967</v>
      </c>
      <c r="CE100" s="173">
        <f ca="1">(VLOOKUP(CE$72,INDIRECT($C$5&amp;"生成成长"),2))/((VLOOKUP($B100,INDIRECT($B$5&amp;"生成成长"),4))/(VLOOKUP(CE$72,INDIRECT($C$5&amp;"生成成长"),5))*(VLOOKUP($B$5,标准坦克设计!$B$24:$U$30,MATCH("对"&amp;LEFT($C$5,2)&amp;"输出",标准坦克设计!$B$23:$U$23,0)))*(VLOOKUP($B100,INDIRECT($B$5&amp;"生成成长"),3))*(VLOOKUP($B$5,标准坦克设计!$B$14:$K$20,9)/30))</f>
        <v>10.937206619820712</v>
      </c>
      <c r="CF100" s="173">
        <f ca="1">(VLOOKUP(CF$72,INDIRECT($C$5&amp;"生成成长"),2))/((VLOOKUP($B100,INDIRECT($B$5&amp;"生成成长"),4))/(VLOOKUP(CF$72,INDIRECT($C$5&amp;"生成成长"),5))*(VLOOKUP($B$5,标准坦克设计!$B$24:$U$30,MATCH("对"&amp;LEFT($C$5,2)&amp;"输出",标准坦克设计!$B$23:$U$23,0)))*(VLOOKUP($B100,INDIRECT($B$5&amp;"生成成长"),3))*(VLOOKUP($B$5,标准坦克设计!$B$14:$K$20,9)/30))</f>
        <v>11.771815100958399</v>
      </c>
      <c r="CG100" s="173">
        <f ca="1">(VLOOKUP(CG$72,INDIRECT($C$5&amp;"生成成长"),2))/((VLOOKUP($B100,INDIRECT($B$5&amp;"生成成长"),4))/(VLOOKUP(CG$72,INDIRECT($C$5&amp;"生成成长"),5))*(VLOOKUP($B$5,标准坦克设计!$B$24:$U$30,MATCH("对"&amp;LEFT($C$5,2)&amp;"输出",标准坦克设计!$B$23:$U$23,0)))*(VLOOKUP($B100,INDIRECT($B$5&amp;"生成成长"),3))*(VLOOKUP($B$5,标准坦克设计!$B$14:$K$20,9)/30))</f>
        <v>12.637107717432032</v>
      </c>
      <c r="CH100" s="173">
        <f ca="1">(VLOOKUP(CH$72,INDIRECT($C$5&amp;"生成成长"),2))/((VLOOKUP($B100,INDIRECT($B$5&amp;"生成成长"),4))/(VLOOKUP(CH$72,INDIRECT($C$5&amp;"生成成长"),5))*(VLOOKUP($B$5,标准坦克设计!$B$24:$U$30,MATCH("对"&amp;LEFT($C$5,2)&amp;"输出",标准坦克设计!$B$23:$U$23,0)))*(VLOOKUP($B100,INDIRECT($B$5&amp;"生成成长"),3))*(VLOOKUP($B$5,标准坦克设计!$B$14:$K$20,9)/30))</f>
        <v>13.533084469241606</v>
      </c>
      <c r="CI100" s="173">
        <f ca="1">(VLOOKUP(CI$72,INDIRECT($C$5&amp;"生成成长"),2))/((VLOOKUP($B100,INDIRECT($B$5&amp;"生成成长"),4))/(VLOOKUP(CI$72,INDIRECT($C$5&amp;"生成成长"),5))*(VLOOKUP($B$5,标准坦克设计!$B$24:$U$30,MATCH("对"&amp;LEFT($C$5,2)&amp;"输出",标准坦克设计!$B$23:$U$23,0)))*(VLOOKUP($B100,INDIRECT($B$5&amp;"生成成长"),3))*(VLOOKUP($B$5,标准坦克设计!$B$14:$K$20,9)/30))</f>
        <v>14.554099072545158</v>
      </c>
      <c r="CJ100" s="173">
        <f ca="1">(VLOOKUP(CJ$72,INDIRECT($C$5&amp;"生成成长"),2))/((VLOOKUP($B100,INDIRECT($B$5&amp;"生成成长"),4))/(VLOOKUP(CJ$72,INDIRECT($C$5&amp;"生成成长"),5))*(VLOOKUP($B$5,标准坦克设计!$B$24:$U$30,MATCH("对"&amp;LEFT($C$5,2)&amp;"输出",标准坦克设计!$B$23:$U$23,0)))*(VLOOKUP($B100,INDIRECT($B$5&amp;"生成成长"),3))*(VLOOKUP($B$5,标准坦克设计!$B$14:$K$20,9)/30))</f>
        <v>15.612241479605203</v>
      </c>
      <c r="CK100" s="173">
        <f ca="1">(VLOOKUP(CK$72,INDIRECT($C$5&amp;"生成成长"),2))/((VLOOKUP($B100,INDIRECT($B$5&amp;"生成成长"),4))/(VLOOKUP(CK$72,INDIRECT($C$5&amp;"生成成长"),5))*(VLOOKUP($B$5,标准坦克设计!$B$24:$U$30,MATCH("对"&amp;LEFT($C$5,2)&amp;"输出",标准坦克设计!$B$23:$U$23,0)))*(VLOOKUP($B100,INDIRECT($B$5&amp;"生成成长"),3))*(VLOOKUP($B$5,标准坦克设计!$B$14:$K$20,9)/30))</f>
        <v>16.70751169042174</v>
      </c>
      <c r="CL100" s="173">
        <f ca="1">(VLOOKUP(CL$72,INDIRECT($C$5&amp;"生成成长"),2))/((VLOOKUP($B100,INDIRECT($B$5&amp;"生成成长"),4))/(VLOOKUP(CL$72,INDIRECT($C$5&amp;"生成成长"),5))*(VLOOKUP($B$5,标准坦克设计!$B$24:$U$30,MATCH("对"&amp;LEFT($C$5,2)&amp;"输出",标准坦克设计!$B$23:$U$23,0)))*(VLOOKUP($B100,INDIRECT($B$5&amp;"生成成长"),3))*(VLOOKUP($B$5,标准坦克设计!$B$14:$K$20,9)/30))</f>
        <v>17.839909704994767</v>
      </c>
      <c r="CM100" s="173">
        <f ca="1">(VLOOKUP(CM$72,INDIRECT($C$5&amp;"生成成长"),2))/((VLOOKUP($B100,INDIRECT($B$5&amp;"生成成长"),4))/(VLOOKUP(CM$72,INDIRECT($C$5&amp;"生成成长"),5))*(VLOOKUP($B$5,标准坦克设计!$B$24:$U$30,MATCH("对"&amp;LEFT($C$5,2)&amp;"输出",标准坦克设计!$B$23:$U$23,0)))*(VLOOKUP($B100,INDIRECT($B$5&amp;"生成成长"),3))*(VLOOKUP($B$5,标准坦克设计!$B$14:$K$20,9)/30))</f>
        <v>19.009435523324292</v>
      </c>
      <c r="CN100" s="173">
        <f ca="1">(VLOOKUP(CN$72,INDIRECT($C$5&amp;"生成成长"),2))/((VLOOKUP($B100,INDIRECT($B$5&amp;"生成成长"),4))/(VLOOKUP(CN$72,INDIRECT($C$5&amp;"生成成长"),5))*(VLOOKUP($B$5,标准坦克设计!$B$24:$U$30,MATCH("对"&amp;LEFT($C$5,2)&amp;"输出",标准坦克设计!$B$23:$U$23,0)))*(VLOOKUP($B100,INDIRECT($B$5&amp;"生成成长"),3))*(VLOOKUP($B$5,标准坦克设计!$B$14:$K$20,9)/30))</f>
        <v>20.216089145410304</v>
      </c>
      <c r="CO100" s="173">
        <f ca="1">(VLOOKUP(CO$72,INDIRECT($C$5&amp;"生成成长"),2))/((VLOOKUP($B100,INDIRECT($B$5&amp;"生成成长"),4))/(VLOOKUP(CO$72,INDIRECT($C$5&amp;"生成成长"),5))*(VLOOKUP($B$5,标准坦克设计!$B$24:$U$30,MATCH("对"&amp;LEFT($C$5,2)&amp;"输出",标准坦克设计!$B$23:$U$23,0)))*(VLOOKUP($B100,INDIRECT($B$5&amp;"生成成长"),3))*(VLOOKUP($B$5,标准坦克设计!$B$14:$K$20,9)/30))</f>
        <v>9.0593375372609106</v>
      </c>
      <c r="CP100" s="173">
        <f ca="1">(VLOOKUP(CP$72,INDIRECT($C$5&amp;"生成成长"),2))/((VLOOKUP($B100,INDIRECT($B$5&amp;"生成成长"),4))/(VLOOKUP(CP$72,INDIRECT($C$5&amp;"生成成长"),5))*(VLOOKUP($B$5,标准坦克设计!$B$24:$U$30,MATCH("对"&amp;LEFT($C$5,2)&amp;"输出",标准坦克设计!$B$23:$U$23,0)))*(VLOOKUP($B100,INDIRECT($B$5&amp;"生成成长"),3))*(VLOOKUP($B$5,标准坦克设计!$B$14:$K$20,9)/30))</f>
        <v>9.8980883766689534</v>
      </c>
      <c r="CQ100" s="173">
        <f ca="1">(VLOOKUP(CQ$72,INDIRECT($C$5&amp;"生成成长"),2))/((VLOOKUP($B100,INDIRECT($B$5&amp;"生成成长"),4))/(VLOOKUP(CQ$72,INDIRECT($C$5&amp;"生成成长"),5))*(VLOOKUP($B$5,标准坦克设计!$B$24:$U$30,MATCH("对"&amp;LEFT($C$5,2)&amp;"输出",标准坦克设计!$B$23:$U$23,0)))*(VLOOKUP($B100,INDIRECT($B$5&amp;"生成成长"),3))*(VLOOKUP($B$5,标准坦克设计!$B$14:$K$20,9)/30))</f>
        <v>10.773967019833487</v>
      </c>
      <c r="CR100" s="173">
        <f ca="1">(VLOOKUP(CR$72,INDIRECT($C$5&amp;"生成成长"),2))/((VLOOKUP($B100,INDIRECT($B$5&amp;"生成成长"),4))/(VLOOKUP(CR$72,INDIRECT($C$5&amp;"生成成长"),5))*(VLOOKUP($B$5,标准坦克设计!$B$24:$U$30,MATCH("对"&amp;LEFT($C$5,2)&amp;"输出",标准坦克设计!$B$23:$U$23,0)))*(VLOOKUP($B100,INDIRECT($B$5&amp;"生成成长"),3))*(VLOOKUP($B$5,标准坦克设计!$B$14:$K$20,9)/30))</f>
        <v>11.686973466754512</v>
      </c>
      <c r="CS100" s="173">
        <f ca="1">(VLOOKUP(CS$72,INDIRECT($C$5&amp;"生成成长"),2))/((VLOOKUP($B100,INDIRECT($B$5&amp;"生成成长"),4))/(VLOOKUP(CS$72,INDIRECT($C$5&amp;"生成成长"),5))*(VLOOKUP($B$5,标准坦克设计!$B$24:$U$30,MATCH("对"&amp;LEFT($C$5,2)&amp;"输出",标准坦克设计!$B$23:$U$23,0)))*(VLOOKUP($B100,INDIRECT($B$5&amp;"生成成长"),3))*(VLOOKUP($B$5,标准坦克设计!$B$14:$K$20,9)/30))</f>
        <v>12.637107717432032</v>
      </c>
      <c r="CT100" s="173">
        <f ca="1">(VLOOKUP(CT$72,INDIRECT($C$5&amp;"生成成长"),2))/((VLOOKUP($B100,INDIRECT($B$5&amp;"生成成长"),4))/(VLOOKUP(CT$72,INDIRECT($C$5&amp;"生成成长"),5))*(VLOOKUP($B$5,标准坦克设计!$B$24:$U$30,MATCH("对"&amp;LEFT($C$5,2)&amp;"输出",标准坦克设计!$B$23:$U$23,0)))*(VLOOKUP($B100,INDIRECT($B$5&amp;"生成成长"),3))*(VLOOKUP($B$5,标准坦克设计!$B$14:$K$20,9)/30))</f>
        <v>13.624369771866045</v>
      </c>
      <c r="CU100" s="173">
        <f ca="1">(VLOOKUP(CU$72,INDIRECT($C$5&amp;"生成成长"),2))/((VLOOKUP($B100,INDIRECT($B$5&amp;"生成成长"),4))/(VLOOKUP(CU$72,INDIRECT($C$5&amp;"生成成长"),5))*(VLOOKUP($B$5,标准坦克设计!$B$24:$U$30,MATCH("对"&amp;LEFT($C$5,2)&amp;"输出",标准坦克设计!$B$23:$U$23,0)))*(VLOOKUP($B100,INDIRECT($B$5&amp;"生成成长"),3))*(VLOOKUP($B$5,标准坦克设计!$B$14:$K$20,9)/30))</f>
        <v>14.648759630056547</v>
      </c>
      <c r="CV100" s="173">
        <f ca="1">(VLOOKUP(CV$72,INDIRECT($C$5&amp;"生成成长"),2))/((VLOOKUP($B100,INDIRECT($B$5&amp;"生成成长"),4))/(VLOOKUP(CV$72,INDIRECT($C$5&amp;"生成成长"),5))*(VLOOKUP($B$5,标准坦克设计!$B$24:$U$30,MATCH("对"&amp;LEFT($C$5,2)&amp;"输出",标准坦克设计!$B$23:$U$23,0)))*(VLOOKUP($B100,INDIRECT($B$5&amp;"生成成长"),3))*(VLOOKUP($B$5,标准坦克设计!$B$14:$K$20,9)/30))</f>
        <v>15.710277292003546</v>
      </c>
      <c r="CW100" s="173">
        <f ca="1">(VLOOKUP(CW$72,INDIRECT($C$5&amp;"生成成长"),2))/((VLOOKUP($B100,INDIRECT($B$5&amp;"生成成长"),4))/(VLOOKUP(CW$72,INDIRECT($C$5&amp;"生成成长"),5))*(VLOOKUP($B$5,标准坦克设计!$B$24:$U$30,MATCH("对"&amp;LEFT($C$5,2)&amp;"输出",标准坦克设计!$B$23:$U$23,0)))*(VLOOKUP($B100,INDIRECT($B$5&amp;"生成成长"),3))*(VLOOKUP($B$5,标准坦克设计!$B$14:$K$20,9)/30))</f>
        <v>16.808922757707037</v>
      </c>
      <c r="CX100" s="173">
        <f ca="1">(VLOOKUP(CX$72,INDIRECT($C$5&amp;"生成成长"),2))/((VLOOKUP($B100,INDIRECT($B$5&amp;"生成成长"),4))/(VLOOKUP(CX$72,INDIRECT($C$5&amp;"生成成长"),5))*(VLOOKUP($B$5,标准坦克设计!$B$24:$U$30,MATCH("对"&amp;LEFT($C$5,2)&amp;"输出",标准坦克设计!$B$23:$U$23,0)))*(VLOOKUP($B100,INDIRECT($B$5&amp;"生成成长"),3))*(VLOOKUP($B$5,标准坦克设计!$B$14:$K$20,9)/30))</f>
        <v>17.944696027167019</v>
      </c>
      <c r="CY100" s="173">
        <f ca="1">(VLOOKUP(CY$72,INDIRECT($C$5&amp;"生成成长"),2))/((VLOOKUP($B100,INDIRECT($B$5&amp;"生成成长"),4))/(VLOOKUP(CY$72,INDIRECT($C$5&amp;"生成成长"),5))*(VLOOKUP($B$5,标准坦克设计!$B$24:$U$30,MATCH("对"&amp;LEFT($C$5,2)&amp;"输出",标准坦克设计!$B$23:$U$23,0)))*(VLOOKUP($B100,INDIRECT($B$5&amp;"生成成长"),3))*(VLOOKUP($B$5,标准坦克设计!$B$14:$K$20,9)/30))</f>
        <v>19.117597100383492</v>
      </c>
      <c r="CZ100" s="173">
        <f ca="1">(VLOOKUP(CZ$72,INDIRECT($C$5&amp;"生成成长"),2))/((VLOOKUP($B100,INDIRECT($B$5&amp;"生成成长"),4))/(VLOOKUP(CZ$72,INDIRECT($C$5&amp;"生成成长"),5))*(VLOOKUP($B$5,标准坦克设计!$B$24:$U$30,MATCH("对"&amp;LEFT($C$5,2)&amp;"输出",标准坦克设计!$B$23:$U$23,0)))*(VLOOKUP($B100,INDIRECT($B$5&amp;"生成成长"),3))*(VLOOKUP($B$5,标准坦克设计!$B$14:$K$20,9)/30))</f>
        <v>20.327625977356465</v>
      </c>
      <c r="DA100" s="173">
        <f ca="1">(VLOOKUP(DA$72,INDIRECT($C$5&amp;"生成成长"),2))/((VLOOKUP($B100,INDIRECT($B$5&amp;"生成成长"),4))/(VLOOKUP(DA$72,INDIRECT($C$5&amp;"生成成长"),5))*(VLOOKUP($B$5,标准坦克设计!$B$24:$U$30,MATCH("对"&amp;LEFT($C$5,2)&amp;"输出",标准坦克设计!$B$23:$U$23,0)))*(VLOOKUP($B100,INDIRECT($B$5&amp;"生成成长"),3))*(VLOOKUP($B$5,标准坦克设计!$B$14:$K$20,9)/30))</f>
        <v>21.574782658085919</v>
      </c>
      <c r="DB100" s="173">
        <f ca="1">(VLOOKUP(DB$72,INDIRECT($C$5&amp;"生成成长"),2))/((VLOOKUP($B100,INDIRECT($B$5&amp;"生成成长"),4))/(VLOOKUP(DB$72,INDIRECT($C$5&amp;"生成成长"),5))*(VLOOKUP($B$5,标准坦克设计!$B$24:$U$30,MATCH("对"&amp;LEFT($C$5,2)&amp;"输出",标准坦克设计!$B$23:$U$23,0)))*(VLOOKUP($B100,INDIRECT($B$5&amp;"生成成长"),3))*(VLOOKUP($B$5,标准坦克设计!$B$14:$K$20,9)/30))</f>
        <v>22.859067142571874</v>
      </c>
      <c r="DC100" s="173">
        <f ca="1">(VLOOKUP(DC$72,INDIRECT($C$5&amp;"生成成长"),2))/((VLOOKUP($B100,INDIRECT($B$5&amp;"生成成长"),4))/(VLOOKUP(DC$72,INDIRECT($C$5&amp;"生成成长"),5))*(VLOOKUP($B$5,标准坦克设计!$B$24:$U$30,MATCH("对"&amp;LEFT($C$5,2)&amp;"输出",标准坦克设计!$B$23:$U$23,0)))*(VLOOKUP($B100,INDIRECT($B$5&amp;"生成成长"),3))*(VLOOKUP($B$5,标准坦克设计!$B$14:$K$20,9)/30))</f>
        <v>24.302448868774704</v>
      </c>
      <c r="DD100" s="173">
        <f ca="1">(VLOOKUP(DD$72,INDIRECT($C$5&amp;"生成成长"),2))/((VLOOKUP($B100,INDIRECT($B$5&amp;"生成成长"),4))/(VLOOKUP(DD$72,INDIRECT($C$5&amp;"生成成长"),5))*(VLOOKUP($B$5,标准坦克设计!$B$24:$U$30,MATCH("对"&amp;LEFT($C$5,2)&amp;"输出",标准坦克设计!$B$23:$U$23,0)))*(VLOOKUP($B100,INDIRECT($B$5&amp;"生成成长"),3))*(VLOOKUP($B$5,标准坦克设计!$B$14:$K$20,9)/30))</f>
        <v>25.79001574986129</v>
      </c>
      <c r="DE100" s="173">
        <f ca="1">(VLOOKUP(DE$72,INDIRECT($C$5&amp;"生成成长"),2))/((VLOOKUP($B100,INDIRECT($B$5&amp;"生成成长"),4))/(VLOOKUP(DE$72,INDIRECT($C$5&amp;"生成成长"),5))*(VLOOKUP($B$5,标准坦克设计!$B$24:$U$30,MATCH("对"&amp;LEFT($C$5,2)&amp;"输出",标准坦克设计!$B$23:$U$23,0)))*(VLOOKUP($B100,INDIRECT($B$5&amp;"生成成长"),3))*(VLOOKUP($B$5,标准坦克设计!$B$14:$K$20,9)/30))</f>
        <v>27.321767785831632</v>
      </c>
      <c r="DF100" s="173">
        <f ca="1">(VLOOKUP(DF$72,INDIRECT($C$5&amp;"生成成长"),2))/((VLOOKUP($B100,INDIRECT($B$5&amp;"生成成长"),4))/(VLOOKUP(DF$72,INDIRECT($C$5&amp;"生成成长"),5))*(VLOOKUP($B$5,标准坦克设计!$B$24:$U$30,MATCH("对"&amp;LEFT($C$5,2)&amp;"输出",标准坦克设计!$B$23:$U$23,0)))*(VLOOKUP($B100,INDIRECT($B$5&amp;"生成成长"),3))*(VLOOKUP($B$5,标准坦克设计!$B$14:$K$20,9)/30))</f>
        <v>28.897704976685741</v>
      </c>
      <c r="DG100" s="173">
        <f ca="1">(VLOOKUP(DG$72,INDIRECT($C$5&amp;"生成成长"),2))/((VLOOKUP($B100,INDIRECT($B$5&amp;"生成成长"),4))/(VLOOKUP(DG$72,INDIRECT($C$5&amp;"生成成长"),5))*(VLOOKUP($B$5,标准坦克设计!$B$24:$U$30,MATCH("对"&amp;LEFT($C$5,2)&amp;"输出",标准坦克设计!$B$23:$U$23,0)))*(VLOOKUP($B100,INDIRECT($B$5&amp;"生成成长"),3))*(VLOOKUP($B$5,标准坦克设计!$B$14:$K$20,9)/30))</f>
        <v>30.517827322423607</v>
      </c>
      <c r="DH100" s="173">
        <f ca="1">(VLOOKUP(DH$72,INDIRECT($C$5&amp;"生成成长"),2))/((VLOOKUP($B100,INDIRECT($B$5&amp;"生成成长"),4))/(VLOOKUP(DH$72,INDIRECT($C$5&amp;"生成成长"),5))*(VLOOKUP($B$5,标准坦克设计!$B$24:$U$30,MATCH("对"&amp;LEFT($C$5,2)&amp;"输出",标准坦克设计!$B$23:$U$23,0)))*(VLOOKUP($B100,INDIRECT($B$5&amp;"生成成长"),3))*(VLOOKUP($B$5,标准坦克设计!$B$14:$K$20,9)/30))</f>
        <v>32.182134823045239</v>
      </c>
      <c r="DI100" s="173">
        <f ca="1">(VLOOKUP(DI$72,INDIRECT($C$5&amp;"生成成长"),2))/((VLOOKUP($B100,INDIRECT($B$5&amp;"生成成长"),4))/(VLOOKUP(DI$72,INDIRECT($C$5&amp;"生成成长"),5))*(VLOOKUP($B$5,标准坦克设计!$B$24:$U$30,MATCH("对"&amp;LEFT($C$5,2)&amp;"输出",标准坦克设计!$B$23:$U$23,0)))*(VLOOKUP($B100,INDIRECT($B$5&amp;"生成成长"),3))*(VLOOKUP($B$5,标准坦克设计!$B$14:$K$20,9)/30))</f>
        <v>33.89062747855062</v>
      </c>
      <c r="DJ100" s="173">
        <f ca="1">(VLOOKUP(DJ$72,INDIRECT($C$5&amp;"生成成长"),2))/((VLOOKUP($B100,INDIRECT($B$5&amp;"生成成长"),4))/(VLOOKUP(DJ$72,INDIRECT($C$5&amp;"生成成长"),5))*(VLOOKUP($B$5,标准坦克设计!$B$24:$U$30,MATCH("对"&amp;LEFT($C$5,2)&amp;"输出",标准坦克设计!$B$23:$U$23,0)))*(VLOOKUP($B100,INDIRECT($B$5&amp;"生成成长"),3))*(VLOOKUP($B$5,标准坦克设计!$B$14:$K$20,9)/30))</f>
        <v>3.4060924429665111</v>
      </c>
      <c r="DK100" s="173">
        <f ca="1">(VLOOKUP(DK$72,INDIRECT($C$5&amp;"生成成长"),2))/((VLOOKUP($B100,INDIRECT($B$5&amp;"生成成长"),4))/(VLOOKUP(DK$72,INDIRECT($C$5&amp;"生成成长"),5))*(VLOOKUP($B$5,标准坦克设计!$B$24:$U$30,MATCH("对"&amp;LEFT($C$5,2)&amp;"输出",标准坦克设计!$B$23:$U$23,0)))*(VLOOKUP($B100,INDIRECT($B$5&amp;"生成成长"),3))*(VLOOKUP($B$5,标准坦克设计!$B$14:$K$20,9)/30))</f>
        <v>3.8299937726325828</v>
      </c>
      <c r="DL100" s="173">
        <f ca="1">(VLOOKUP(DL$72,INDIRECT($C$5&amp;"生成成长"),2))/((VLOOKUP($B100,INDIRECT($B$5&amp;"生成成长"),4))/(VLOOKUP(DL$72,INDIRECT($C$5&amp;"生成成长"),5))*(VLOOKUP($B$5,标准坦克设计!$B$24:$U$30,MATCH("对"&amp;LEFT($C$5,2)&amp;"输出",标准坦克设计!$B$23:$U$23,0)))*(VLOOKUP($B100,INDIRECT($B$5&amp;"生成成长"),3))*(VLOOKUP($B$5,标准坦克设计!$B$14:$K$20,9)/30))</f>
        <v>4.2787492519207708</v>
      </c>
      <c r="DM100" s="173">
        <f ca="1">(VLOOKUP(DM$72,INDIRECT($C$5&amp;"生成成长"),2))/((VLOOKUP($B100,INDIRECT($B$5&amp;"生成成长"),4))/(VLOOKUP(DM$72,INDIRECT($C$5&amp;"生成成长"),5))*(VLOOKUP($B$5,标准坦克设计!$B$24:$U$30,MATCH("对"&amp;LEFT($C$5,2)&amp;"输出",标准坦克设计!$B$23:$U$23,0)))*(VLOOKUP($B100,INDIRECT($B$5&amp;"生成成长"),3))*(VLOOKUP($B$5,标准坦克设计!$B$14:$K$20,9)/30))</f>
        <v>4.7523588808310731</v>
      </c>
      <c r="DN100" s="173">
        <f ca="1">(VLOOKUP(DN$72,INDIRECT($C$5&amp;"生成成长"),2))/((VLOOKUP($B100,INDIRECT($B$5&amp;"生成成长"),4))/(VLOOKUP(DN$72,INDIRECT($C$5&amp;"生成成长"),5))*(VLOOKUP($B$5,标准坦克设计!$B$24:$U$30,MATCH("对"&amp;LEFT($C$5,2)&amp;"输出",标准坦克设计!$B$23:$U$23,0)))*(VLOOKUP($B100,INDIRECT($B$5&amp;"生成成长"),3))*(VLOOKUP($B$5,标准坦克设计!$B$14:$K$20,9)/30))</f>
        <v>5.2508226593634904</v>
      </c>
      <c r="DO100" s="173">
        <f ca="1">(VLOOKUP(DO$72,INDIRECT($C$5&amp;"生成成长"),2))/((VLOOKUP($B100,INDIRECT($B$5&amp;"生成成长"),4))/(VLOOKUP(DO$72,INDIRECT($C$5&amp;"生成成长"),5))*(VLOOKUP($B$5,标准坦克设计!$B$24:$U$30,MATCH("对"&amp;LEFT($C$5,2)&amp;"输出",标准坦克设计!$B$23:$U$23,0)))*(VLOOKUP($B100,INDIRECT($B$5&amp;"生成成长"),3))*(VLOOKUP($B$5,标准坦克设计!$B$14:$K$20,9)/30))</f>
        <v>5.7741405875180218</v>
      </c>
      <c r="DP100" s="173">
        <f ca="1">(VLOOKUP(DP$72,INDIRECT($C$5&amp;"生成成长"),2))/((VLOOKUP($B100,INDIRECT($B$5&amp;"生成成长"),4))/(VLOOKUP(DP$72,INDIRECT($C$5&amp;"生成成长"),5))*(VLOOKUP($B$5,标准坦克设计!$B$24:$U$30,MATCH("对"&amp;LEFT($C$5,2)&amp;"输出",标准坦克设计!$B$23:$U$23,0)))*(VLOOKUP($B100,INDIRECT($B$5&amp;"生成成长"),3))*(VLOOKUP($B$5,标准坦克设计!$B$14:$K$20,9)/30))</f>
        <v>6.3223126652946693</v>
      </c>
      <c r="DQ100" s="173">
        <f ca="1">(VLOOKUP(DQ$72,INDIRECT($C$5&amp;"生成成长"),2))/((VLOOKUP($B100,INDIRECT($B$5&amp;"生成成长"),4))/(VLOOKUP(DQ$72,INDIRECT($C$5&amp;"生成成长"),5))*(VLOOKUP($B$5,标准坦克设计!$B$24:$U$30,MATCH("对"&amp;LEFT($C$5,2)&amp;"输出",标准坦克设计!$B$23:$U$23,0)))*(VLOOKUP($B100,INDIRECT($B$5&amp;"生成成长"),3))*(VLOOKUP($B$5,标准坦克设计!$B$14:$K$20,9)/30))</f>
        <v>6.8953388926934309</v>
      </c>
      <c r="DR100" s="173">
        <f ca="1">(VLOOKUP(DR$72,INDIRECT($C$5&amp;"生成成长"),2))/((VLOOKUP($B100,INDIRECT($B$5&amp;"生成成长"),4))/(VLOOKUP(DR$72,INDIRECT($C$5&amp;"生成成长"),5))*(VLOOKUP($B$5,标准坦克设计!$B$24:$U$30,MATCH("对"&amp;LEFT($C$5,2)&amp;"输出",标准坦克设计!$B$23:$U$23,0)))*(VLOOKUP($B100,INDIRECT($B$5&amp;"生成成长"),3))*(VLOOKUP($B$5,标准坦克设计!$B$14:$K$20,9)/30))</f>
        <v>7.4932192697143076</v>
      </c>
      <c r="DS100" s="173">
        <f ca="1">(VLOOKUP(DS$72,INDIRECT($C$5&amp;"生成成长"),2))/((VLOOKUP($B100,INDIRECT($B$5&amp;"生成成长"),4))/(VLOOKUP(DS$72,INDIRECT($C$5&amp;"生成成长"),5))*(VLOOKUP($B$5,标准坦克设计!$B$24:$U$30,MATCH("对"&amp;LEFT($C$5,2)&amp;"输出",标准坦克设计!$B$23:$U$23,0)))*(VLOOKUP($B100,INDIRECT($B$5&amp;"生成成长"),3))*(VLOOKUP($B$5,标准坦克设计!$B$14:$K$20,9)/30))</f>
        <v>8.1159537963573012</v>
      </c>
      <c r="DT100" s="173">
        <f ca="1">(VLOOKUP(DT$72,INDIRECT($C$5&amp;"生成成长"),2))/((VLOOKUP($B100,INDIRECT($B$5&amp;"生成成长"),4))/(VLOOKUP(DT$72,INDIRECT($C$5&amp;"生成成长"),5))*(VLOOKUP($B$5,标准坦克设计!$B$24:$U$30,MATCH("对"&amp;LEFT($C$5,2)&amp;"输出",标准坦克设计!$B$23:$U$23,0)))*(VLOOKUP($B100,INDIRECT($B$5&amp;"生成成长"),3))*(VLOOKUP($B$5,标准坦克设计!$B$14:$K$20,9)/30))</f>
        <v>8.9108263222349411</v>
      </c>
      <c r="DU100" s="173">
        <f ca="1">(VLOOKUP(DU$72,INDIRECT($C$5&amp;"生成成长"),2))/((VLOOKUP($B100,INDIRECT($B$5&amp;"生成成长"),4))/(VLOOKUP(DU$72,INDIRECT($C$5&amp;"生成成长"),5))*(VLOOKUP($B$5,标准坦克设计!$B$24:$U$30,MATCH("对"&amp;LEFT($C$5,2)&amp;"输出",标准坦克设计!$B$23:$U$23,0)))*(VLOOKUP($B100,INDIRECT($B$5&amp;"生成成长"),3))*(VLOOKUP($B$5,标准坦克设计!$B$14:$K$20,9)/30))</f>
        <v>9.7428266518690716</v>
      </c>
      <c r="DV100" s="173">
        <f ca="1">(VLOOKUP(DV$72,INDIRECT($C$5&amp;"生成成长"),2))/((VLOOKUP($B100,INDIRECT($B$5&amp;"生成成长"),4))/(VLOOKUP(DV$72,INDIRECT($C$5&amp;"生成成长"),5))*(VLOOKUP($B$5,标准坦克设计!$B$24:$U$30,MATCH("对"&amp;LEFT($C$5,2)&amp;"输出",标准坦克设计!$B$23:$U$23,0)))*(VLOOKUP($B100,INDIRECT($B$5&amp;"生成成长"),3))*(VLOOKUP($B$5,标准坦克设计!$B$14:$K$20,9)/30))</f>
        <v>10.6119547852597</v>
      </c>
      <c r="DW100" s="173">
        <f ca="1">(VLOOKUP(DW$72,INDIRECT($C$5&amp;"生成成长"),2))/((VLOOKUP($B100,INDIRECT($B$5&amp;"生成成长"),4))/(VLOOKUP(DW$72,INDIRECT($C$5&amp;"生成成长"),5))*(VLOOKUP($B$5,标准坦克设计!$B$24:$U$30,MATCH("对"&amp;LEFT($C$5,2)&amp;"输出",标准坦克设计!$B$23:$U$23,0)))*(VLOOKUP($B100,INDIRECT($B$5&amp;"生成成长"),3))*(VLOOKUP($B$5,标准坦克设计!$B$14:$K$20,9)/30))</f>
        <v>11.51821072240682</v>
      </c>
      <c r="DX100" s="173">
        <f ca="1">(VLOOKUP(DX$72,INDIRECT($C$5&amp;"生成成长"),2))/((VLOOKUP($B100,INDIRECT($B$5&amp;"生成成长"),4))/(VLOOKUP(DX$72,INDIRECT($C$5&amp;"生成成长"),5))*(VLOOKUP($B$5,标准坦克设计!$B$24:$U$30,MATCH("对"&amp;LEFT($C$5,2)&amp;"输出",标准坦克设计!$B$23:$U$23,0)))*(VLOOKUP($B100,INDIRECT($B$5&amp;"生成成长"),3))*(VLOOKUP($B$5,标准坦克设计!$B$14:$K$20,9)/30))</f>
        <v>12.46159446331043</v>
      </c>
      <c r="DY100" s="173">
        <f ca="1">(VLOOKUP(DY$72,INDIRECT($C$5&amp;"生成成长"),2))/((VLOOKUP($B100,INDIRECT($B$5&amp;"生成成长"),4))/(VLOOKUP(DY$72,INDIRECT($C$5&amp;"生成成长"),5))*(VLOOKUP($B$5,标准坦克设计!$B$24:$U$30,MATCH("对"&amp;LEFT($C$5,2)&amp;"输出",标准坦克设计!$B$23:$U$23,0)))*(VLOOKUP($B100,INDIRECT($B$5&amp;"生成成长"),3))*(VLOOKUP($B$5,标准坦克设计!$B$14:$K$20,9)/30))</f>
        <v>5.5969397059529422</v>
      </c>
      <c r="DZ100" s="173">
        <f ca="1">(VLOOKUP(DZ$72,INDIRECT($C$5&amp;"生成成长"),2))/((VLOOKUP($B100,INDIRECT($B$5&amp;"生成成长"),4))/(VLOOKUP(DZ$72,INDIRECT($C$5&amp;"生成成长"),5))*(VLOOKUP($B$5,标准坦克设计!$B$24:$U$30,MATCH("对"&amp;LEFT($C$5,2)&amp;"输出",标准坦克设计!$B$23:$U$23,0)))*(VLOOKUP($B100,INDIRECT($B$5&amp;"生成成长"),3))*(VLOOKUP($B$5,标准坦克设计!$B$14:$K$20,9)/30))</f>
        <v>6.1983487585374526</v>
      </c>
      <c r="EA100" s="173">
        <f ca="1">(VLOOKUP(EA$72,INDIRECT($C$5&amp;"生成成长"),2))/((VLOOKUP($B100,INDIRECT($B$5&amp;"生成成长"),4))/(VLOOKUP(EA$72,INDIRECT($C$5&amp;"生成成长"),5))*(VLOOKUP($B$5,标准坦克设计!$B$24:$U$30,MATCH("对"&amp;LEFT($C$5,2)&amp;"输出",标准坦克设计!$B$23:$U$23,0)))*(VLOOKUP($B100,INDIRECT($B$5&amp;"生成成长"),3))*(VLOOKUP($B$5,标准坦克设计!$B$14:$K$20,9)/30))</f>
        <v>6.830441946457908</v>
      </c>
      <c r="EB100" s="173">
        <f ca="1">(VLOOKUP(EB$72,INDIRECT($C$5&amp;"生成成长"),2))/((VLOOKUP($B100,INDIRECT($B$5&amp;"生成成长"),4))/(VLOOKUP(EB$72,INDIRECT($C$5&amp;"生成成长"),5))*(VLOOKUP($B$5,标准坦克设计!$B$24:$U$30,MATCH("对"&amp;LEFT($C$5,2)&amp;"输出",标准坦克设计!$B$23:$U$23,0)))*(VLOOKUP($B100,INDIRECT($B$5&amp;"生成成长"),3))*(VLOOKUP($B$5,标准坦克设计!$B$14:$K$20,9)/30))</f>
        <v>7.4932192697143076</v>
      </c>
      <c r="EC100" s="173">
        <f ca="1">(VLOOKUP(EC$72,INDIRECT($C$5&amp;"生成成长"),2))/((VLOOKUP($B100,INDIRECT($B$5&amp;"生成成长"),4))/(VLOOKUP(EC$72,INDIRECT($C$5&amp;"生成成长"),5))*(VLOOKUP($B$5,标准坦克设计!$B$24:$U$30,MATCH("对"&amp;LEFT($C$5,2)&amp;"输出",标准坦克设计!$B$23:$U$23,0)))*(VLOOKUP($B100,INDIRECT($B$5&amp;"生成成长"),3))*(VLOOKUP($B$5,标准坦克设计!$B$14:$K$20,9)/30))</f>
        <v>8.1866807283066532</v>
      </c>
      <c r="ED100" s="173">
        <f ca="1">(VLOOKUP(ED$72,INDIRECT($C$5&amp;"生成成长"),2))/((VLOOKUP($B100,INDIRECT($B$5&amp;"生成成长"),4))/(VLOOKUP(ED$72,INDIRECT($C$5&amp;"生成成长"),5))*(VLOOKUP($B$5,标准坦克设计!$B$24:$U$30,MATCH("对"&amp;LEFT($C$5,2)&amp;"输出",标准坦克设计!$B$23:$U$23,0)))*(VLOOKUP($B100,INDIRECT($B$5&amp;"生成成长"),3))*(VLOOKUP($B$5,标准坦克设计!$B$14:$K$20,9)/30))</f>
        <v>8.9108263222349411</v>
      </c>
      <c r="EE100" s="173">
        <f ca="1">(VLOOKUP(EE$72,INDIRECT($C$5&amp;"生成成长"),2))/((VLOOKUP($B100,INDIRECT($B$5&amp;"生成成长"),4))/(VLOOKUP(EE$72,INDIRECT($C$5&amp;"生成成长"),5))*(VLOOKUP($B$5,标准坦克设计!$B$24:$U$30,MATCH("对"&amp;LEFT($C$5,2)&amp;"输出",标准坦克设计!$B$23:$U$23,0)))*(VLOOKUP($B100,INDIRECT($B$5&amp;"生成成长"),3))*(VLOOKUP($B$5,标准坦克设计!$B$14:$K$20,9)/30))</f>
        <v>9.6656560514991732</v>
      </c>
      <c r="EF100" s="173">
        <f ca="1">(VLOOKUP(EF$72,INDIRECT($C$5&amp;"生成成长"),2))/((VLOOKUP($B100,INDIRECT($B$5&amp;"生成成长"),4))/(VLOOKUP(EF$72,INDIRECT($C$5&amp;"生成成长"),5))*(VLOOKUP($B$5,标准坦克设计!$B$24:$U$30,MATCH("对"&amp;LEFT($C$5,2)&amp;"输出",标准坦克设计!$B$23:$U$23,0)))*(VLOOKUP($B100,INDIRECT($B$5&amp;"生成成长"),3))*(VLOOKUP($B$5,标准坦克设计!$B$14:$K$20,9)/30))</f>
        <v>10.451169916099349</v>
      </c>
      <c r="EG100" s="173">
        <f ca="1">(VLOOKUP(EG$72,INDIRECT($C$5&amp;"生成成长"),2))/((VLOOKUP($B100,INDIRECT($B$5&amp;"生成成长"),4))/(VLOOKUP(EG$72,INDIRECT($C$5&amp;"生成成长"),5))*(VLOOKUP($B$5,标准坦克设计!$B$24:$U$30,MATCH("对"&amp;LEFT($C$5,2)&amp;"输出",标准坦克设计!$B$23:$U$23,0)))*(VLOOKUP($B100,INDIRECT($B$5&amp;"生成成长"),3))*(VLOOKUP($B$5,标准坦克设计!$B$14:$K$20,9)/30))</f>
        <v>11.267367916035473</v>
      </c>
      <c r="EH100" s="173">
        <f ca="1">(VLOOKUP(EH$72,INDIRECT($C$5&amp;"生成成长"),2))/((VLOOKUP($B100,INDIRECT($B$5&amp;"生成成长"),4))/(VLOOKUP(EH$72,INDIRECT($C$5&amp;"生成成长"),5))*(VLOOKUP($B$5,标准坦克设计!$B$24:$U$30,MATCH("对"&amp;LEFT($C$5,2)&amp;"输出",标准坦克设计!$B$23:$U$23,0)))*(VLOOKUP($B100,INDIRECT($B$5&amp;"生成成长"),3))*(VLOOKUP($B$5,标准坦克设计!$B$14:$K$20,9)/30))</f>
        <v>12.114250051307538</v>
      </c>
      <c r="EI100" s="173">
        <f ca="1">(VLOOKUP(EI$72,INDIRECT($C$5&amp;"生成成长"),2))/((VLOOKUP($B100,INDIRECT($B$5&amp;"生成成长"),4))/(VLOOKUP(EI$72,INDIRECT($C$5&amp;"生成成长"),5))*(VLOOKUP($B$5,标准坦克设计!$B$24:$U$30,MATCH("对"&amp;LEFT($C$5,2)&amp;"输出",标准坦克设计!$B$23:$U$23,0)))*(VLOOKUP($B100,INDIRECT($B$5&amp;"生成成长"),3))*(VLOOKUP($B$5,标准坦克设计!$B$14:$K$20,9)/30))</f>
        <v>12.99181632191555</v>
      </c>
      <c r="EJ100" s="173">
        <f ca="1">(VLOOKUP(EJ$72,INDIRECT($C$5&amp;"生成成长"),2))/((VLOOKUP($B100,INDIRECT($B$5&amp;"生成成长"),4))/(VLOOKUP(EJ$72,INDIRECT($C$5&amp;"生成成长"),5))*(VLOOKUP($B$5,标准坦克设计!$B$24:$U$30,MATCH("对"&amp;LEFT($C$5,2)&amp;"输出",标准坦克设计!$B$23:$U$23,0)))*(VLOOKUP($B100,INDIRECT($B$5&amp;"生成成长"),3))*(VLOOKUP($B$5,标准坦克设计!$B$14:$K$20,9)/30))</f>
        <v>13.900066727859505</v>
      </c>
      <c r="EK100" s="173">
        <f ca="1">(VLOOKUP(EK$72,INDIRECT($C$5&amp;"生成成长"),2))/((VLOOKUP($B100,INDIRECT($B$5&amp;"生成成长"),4))/(VLOOKUP(EK$72,INDIRECT($C$5&amp;"生成成长"),5))*(VLOOKUP($B$5,标准坦克设计!$B$24:$U$30,MATCH("对"&amp;LEFT($C$5,2)&amp;"输出",标准坦克设计!$B$23:$U$23,0)))*(VLOOKUP($B100,INDIRECT($B$5&amp;"生成成长"),3))*(VLOOKUP($B$5,标准坦克设计!$B$14:$K$20,9)/30))</f>
        <v>15.030470273635698</v>
      </c>
      <c r="EL100" s="173">
        <f ca="1">(VLOOKUP(EL$72,INDIRECT($C$5&amp;"生成成长"),2))/((VLOOKUP($B100,INDIRECT($B$5&amp;"生成成长"),4))/(VLOOKUP(EL$72,INDIRECT($C$5&amp;"生成成长"),5))*(VLOOKUP($B$5,标准坦克设计!$B$24:$U$30,MATCH("对"&amp;LEFT($C$5,2)&amp;"输出",标准坦克设计!$B$23:$U$23,0)))*(VLOOKUP($B100,INDIRECT($B$5&amp;"生成成长"),3))*(VLOOKUP($B$5,标准坦克设计!$B$14:$K$20,9)/30))</f>
        <v>16.20505897429565</v>
      </c>
      <c r="EM100" s="173">
        <f ca="1">(VLOOKUP(EM$72,INDIRECT($C$5&amp;"生成成长"),2))/((VLOOKUP($B100,INDIRECT($B$5&amp;"生成成长"),4))/(VLOOKUP(EM$72,INDIRECT($C$5&amp;"生成成长"),5))*(VLOOKUP($B$5,标准坦克设计!$B$24:$U$30,MATCH("对"&amp;LEFT($C$5,2)&amp;"输出",标准坦克设计!$B$23:$U$23,0)))*(VLOOKUP($B100,INDIRECT($B$5&amp;"生成成长"),3))*(VLOOKUP($B$5,标准坦克设计!$B$14:$K$20,9)/30))</f>
        <v>17.423832829839366</v>
      </c>
      <c r="EN100" s="173">
        <f ca="1">(VLOOKUP(EN$72,INDIRECT($C$5&amp;"生成成长"),2))/((VLOOKUP($B100,INDIRECT($B$5&amp;"生成成长"),4))/(VLOOKUP(EN$72,INDIRECT($C$5&amp;"生成成长"),5))*(VLOOKUP($B$5,标准坦克设计!$B$24:$U$30,MATCH("对"&amp;LEFT($C$5,2)&amp;"输出",标准坦克设计!$B$23:$U$23,0)))*(VLOOKUP($B100,INDIRECT($B$5&amp;"生成成长"),3))*(VLOOKUP($B$5,标准坦克设计!$B$14:$K$20,9)/30))</f>
        <v>18.686791840266832</v>
      </c>
      <c r="EO100" s="173">
        <f ca="1">(VLOOKUP(EO$72,INDIRECT($C$5&amp;"生成成长"),2))/((VLOOKUP($B100,INDIRECT($B$5&amp;"生成成长"),4))/(VLOOKUP(EO$72,INDIRECT($C$5&amp;"生成成长"),5))*(VLOOKUP($B$5,标准坦克设计!$B$24:$U$30,MATCH("对"&amp;LEFT($C$5,2)&amp;"输出",标准坦克设计!$B$23:$U$23,0)))*(VLOOKUP($B100,INDIRECT($B$5&amp;"生成成长"),3))*(VLOOKUP($B$5,标准坦克设计!$B$14:$K$20,9)/30))</f>
        <v>19.993936005578067</v>
      </c>
      <c r="EP100" s="173">
        <f ca="1">(VLOOKUP(EP$72,INDIRECT($C$5&amp;"生成成长"),2))/((VLOOKUP($B100,INDIRECT($B$5&amp;"生成成长"),4))/(VLOOKUP(EP$72,INDIRECT($C$5&amp;"生成成长"),5))*(VLOOKUP($B$5,标准坦克设计!$B$24:$U$30,MATCH("对"&amp;LEFT($C$5,2)&amp;"输出",标准坦克设计!$B$23:$U$23,0)))*(VLOOKUP($B100,INDIRECT($B$5&amp;"生成成长"),3))*(VLOOKUP($B$5,标准坦克设计!$B$14:$K$20,9)/30))</f>
        <v>21.34526532577306</v>
      </c>
      <c r="EQ100" s="173">
        <f ca="1">(VLOOKUP(EQ$72,INDIRECT($C$5&amp;"生成成长"),2))/((VLOOKUP($B100,INDIRECT($B$5&amp;"生成成长"),4))/(VLOOKUP(EQ$72,INDIRECT($C$5&amp;"生成成长"),5))*(VLOOKUP($B$5,标准坦克设计!$B$24:$U$30,MATCH("对"&amp;LEFT($C$5,2)&amp;"输出",标准坦克设计!$B$23:$U$23,0)))*(VLOOKUP($B100,INDIRECT($B$5&amp;"生成成长"),3))*(VLOOKUP($B$5,标准坦克设计!$B$14:$K$20,9)/30))</f>
        <v>9.4359852985096282</v>
      </c>
      <c r="ER100" s="173">
        <f ca="1">(VLOOKUP(ER$72,INDIRECT($C$5&amp;"生成成长"),2))/((VLOOKUP($B100,INDIRECT($B$5&amp;"生成成长"),4))/(VLOOKUP(ER$72,INDIRECT($C$5&amp;"生成成长"),5))*(VLOOKUP($B$5,标准坦克设计!$B$24:$U$30,MATCH("对"&amp;LEFT($C$5,2)&amp;"输出",标准坦克设计!$B$23:$U$23,0)))*(VLOOKUP($B100,INDIRECT($B$5&amp;"生成成长"),3))*(VLOOKUP($B$5,标准坦克设计!$B$14:$K$20,9)/30))</f>
        <v>10.291612412352439</v>
      </c>
      <c r="ES100" s="173">
        <f ca="1">(VLOOKUP(ES$72,INDIRECT($C$5&amp;"生成成长"),2))/((VLOOKUP($B100,INDIRECT($B$5&amp;"生成成长"),4))/(VLOOKUP(ES$72,INDIRECT($C$5&amp;"生成成长"),5))*(VLOOKUP($B$5,标准坦克设计!$B$24:$U$30,MATCH("对"&amp;LEFT($C$5,2)&amp;"输出",标准坦克设计!$B$23:$U$23,0)))*(VLOOKUP($B100,INDIRECT($B$5&amp;"生成成长"),3))*(VLOOKUP($B$5,标准坦克设计!$B$14:$K$20,9)/30))</f>
        <v>11.184367329951742</v>
      </c>
      <c r="ET100" s="173">
        <f ca="1">(VLOOKUP(ET$72,INDIRECT($C$5&amp;"生成成长"),2))/((VLOOKUP($B100,INDIRECT($B$5&amp;"生成成长"),4))/(VLOOKUP(ET$72,INDIRECT($C$5&amp;"生成成长"),5))*(VLOOKUP($B$5,标准坦克设计!$B$24:$U$30,MATCH("对"&amp;LEFT($C$5,2)&amp;"输出",标准坦克设计!$B$23:$U$23,0)))*(VLOOKUP($B100,INDIRECT($B$5&amp;"生成成长"),3))*(VLOOKUP($B$5,标准坦克设计!$B$14:$K$20,9)/30))</f>
        <v>12.114250051307538</v>
      </c>
      <c r="EU100" s="173">
        <f ca="1">(VLOOKUP(EU$72,INDIRECT($C$5&amp;"生成成长"),2))/((VLOOKUP($B100,INDIRECT($B$5&amp;"生成成长"),4))/(VLOOKUP(EU$72,INDIRECT($C$5&amp;"生成成长"),5))*(VLOOKUP($B$5,标准坦克设计!$B$24:$U$30,MATCH("对"&amp;LEFT($C$5,2)&amp;"输出",标准坦克设计!$B$23:$U$23,0)))*(VLOOKUP($B100,INDIRECT($B$5&amp;"生成成长"),3))*(VLOOKUP($B$5,标准坦克设计!$B$14:$K$20,9)/30))</f>
        <v>13.081260576419828</v>
      </c>
      <c r="EV100" s="173">
        <f ca="1">(VLOOKUP(EV$72,INDIRECT($C$5&amp;"生成成长"),2))/((VLOOKUP($B100,INDIRECT($B$5&amp;"生成成长"),4))/(VLOOKUP(EV$72,INDIRECT($C$5&amp;"生成成长"),5))*(VLOOKUP($B$5,标准坦克设计!$B$24:$U$30,MATCH("对"&amp;LEFT($C$5,2)&amp;"输出",标准坦克设计!$B$23:$U$23,0)))*(VLOOKUP($B100,INDIRECT($B$5&amp;"生成成长"),3))*(VLOOKUP($B$5,标准坦克设计!$B$14:$K$20,9)/30))</f>
        <v>14.085398905288608</v>
      </c>
      <c r="EW100" s="173">
        <f ca="1">(VLOOKUP(EW$72,INDIRECT($C$5&amp;"生成成长"),2))/((VLOOKUP($B100,INDIRECT($B$5&amp;"生成成长"),4))/(VLOOKUP(EW$72,INDIRECT($C$5&amp;"生成成长"),5))*(VLOOKUP($B$5,标准坦克设计!$B$24:$U$30,MATCH("对"&amp;LEFT($C$5,2)&amp;"输出",标准坦克设计!$B$23:$U$23,0)))*(VLOOKUP($B100,INDIRECT($B$5&amp;"生成成长"),3))*(VLOOKUP($B$5,标准坦克设计!$B$14:$K$20,9)/30))</f>
        <v>15.126665037913883</v>
      </c>
      <c r="EX100" s="173">
        <f ca="1">(VLOOKUP(EX$72,INDIRECT($C$5&amp;"生成成长"),2))/((VLOOKUP($B100,INDIRECT($B$5&amp;"生成成长"),4))/(VLOOKUP(EX$72,INDIRECT($C$5&amp;"生成成长"),5))*(VLOOKUP($B$5,标准坦克设计!$B$24:$U$30,MATCH("对"&amp;LEFT($C$5,2)&amp;"输出",标准坦克设计!$B$23:$U$23,0)))*(VLOOKUP($B100,INDIRECT($B$5&amp;"生成成长"),3))*(VLOOKUP($B$5,标准坦克设计!$B$14:$K$20,9)/30))</f>
        <v>16.20505897429565</v>
      </c>
      <c r="EY100" s="173">
        <f ca="1">(VLOOKUP(EY$72,INDIRECT($C$5&amp;"生成成长"),2))/((VLOOKUP($B100,INDIRECT($B$5&amp;"生成成长"),4))/(VLOOKUP(EY$72,INDIRECT($C$5&amp;"生成成长"),5))*(VLOOKUP($B$5,标准坦克设计!$B$24:$U$30,MATCH("对"&amp;LEFT($C$5,2)&amp;"输出",标准坦克设计!$B$23:$U$23,0)))*(VLOOKUP($B100,INDIRECT($B$5&amp;"生成成长"),3))*(VLOOKUP($B$5,标准坦克设计!$B$14:$K$20,9)/30))</f>
        <v>17.320580714433909</v>
      </c>
      <c r="EZ100" s="173">
        <f ca="1">(VLOOKUP(EZ$72,INDIRECT($C$5&amp;"生成成长"),2))/((VLOOKUP($B100,INDIRECT($B$5&amp;"生成成长"),4))/(VLOOKUP(EZ$72,INDIRECT($C$5&amp;"生成成长"),5))*(VLOOKUP($B$5,标准坦克设计!$B$24:$U$30,MATCH("对"&amp;LEFT($C$5,2)&amp;"输出",标准坦克设计!$B$23:$U$23,0)))*(VLOOKUP($B100,INDIRECT($B$5&amp;"生成成长"),3))*(VLOOKUP($B$5,标准坦克设计!$B$14:$K$20,9)/30))</f>
        <v>18.473230258328659</v>
      </c>
      <c r="FA100" s="173">
        <f ca="1">(VLOOKUP(FA$72,INDIRECT($C$5&amp;"生成成长"),2))/((VLOOKUP($B100,INDIRECT($B$5&amp;"生成成长"),4))/(VLOOKUP(FA$72,INDIRECT($C$5&amp;"生成成长"),5))*(VLOOKUP($B$5,标准坦克设计!$B$24:$U$30,MATCH("对"&amp;LEFT($C$5,2)&amp;"输出",标准坦克设计!$B$23:$U$23,0)))*(VLOOKUP($B100,INDIRECT($B$5&amp;"生成成长"),3))*(VLOOKUP($B$5,标准坦克设计!$B$14:$K$20,9)/30))</f>
        <v>19.663007605979903</v>
      </c>
      <c r="FB100" s="173">
        <f ca="1">(VLOOKUP(FB$72,INDIRECT($C$5&amp;"生成成长"),2))/((VLOOKUP($B100,INDIRECT($B$5&amp;"生成成长"),4))/(VLOOKUP(FB$72,INDIRECT($C$5&amp;"生成成长"),5))*(VLOOKUP($B$5,标准坦克设计!$B$24:$U$30,MATCH("对"&amp;LEFT($C$5,2)&amp;"输出",标准坦克设计!$B$23:$U$23,0)))*(VLOOKUP($B100,INDIRECT($B$5&amp;"生成成长"),3))*(VLOOKUP($B$5,标准坦克设计!$B$14:$K$20,9)/30))</f>
        <v>20.889912757387641</v>
      </c>
      <c r="FC100" s="173">
        <f ca="1">(VLOOKUP(FC$72,INDIRECT($C$5&amp;"生成成长"),2))/((VLOOKUP($B100,INDIRECT($B$5&amp;"生成成长"),4))/(VLOOKUP(FC$72,INDIRECT($C$5&amp;"生成成长"),5))*(VLOOKUP($B$5,标准坦克设计!$B$24:$U$30,MATCH("对"&amp;LEFT($C$5,2)&amp;"输出",标准坦克设计!$B$23:$U$23,0)))*(VLOOKUP($B100,INDIRECT($B$5&amp;"生成成长"),3))*(VLOOKUP($B$5,标准坦克设计!$B$14:$K$20,9)/30))</f>
        <v>22.153945712551877</v>
      </c>
      <c r="FD100" s="173">
        <f ca="1">(VLOOKUP(FD$72,INDIRECT($C$5&amp;"生成成长"),2))/((VLOOKUP($B100,INDIRECT($B$5&amp;"生成成长"),4))/(VLOOKUP(FD$72,INDIRECT($C$5&amp;"生成成长"),5))*(VLOOKUP($B$5,标准坦克设计!$B$24:$U$30,MATCH("对"&amp;LEFT($C$5,2)&amp;"输出",标准坦克设计!$B$23:$U$23,0)))*(VLOOKUP($B100,INDIRECT($B$5&amp;"生成成长"),3))*(VLOOKUP($B$5,标准坦克设计!$B$14:$K$20,9)/30))</f>
        <v>23.455106471472593</v>
      </c>
      <c r="FE100" s="173">
        <f ca="1">(VLOOKUP(FE$72,INDIRECT($C$5&amp;"生成成长"),2))/((VLOOKUP($B100,INDIRECT($B$5&amp;"生成成长"),4))/(VLOOKUP(FE$72,INDIRECT($C$5&amp;"生成成长"),5))*(VLOOKUP($B$5,标准坦克设计!$B$24:$U$30,MATCH("对"&amp;LEFT($C$5,2)&amp;"输出",标准坦克设计!$B$23:$U$23,0)))*(VLOOKUP($B100,INDIRECT($B$5&amp;"生成成长"),3))*(VLOOKUP($B$5,标准坦克设计!$B$14:$K$20,9)/30))</f>
        <v>25.040709164957523</v>
      </c>
      <c r="FF100" s="173">
        <f ca="1">(VLOOKUP(FF$72,INDIRECT($C$5&amp;"生成成长"),2))/((VLOOKUP($B100,INDIRECT($B$5&amp;"生成成长"),4))/(VLOOKUP(FF$72,INDIRECT($C$5&amp;"生成成长"),5))*(VLOOKUP($B$5,标准坦克设计!$B$24:$U$30,MATCH("对"&amp;LEFT($C$5,2)&amp;"输出",标准坦克设计!$B$23:$U$23,0)))*(VLOOKUP($B100,INDIRECT($B$5&amp;"生成成长"),3))*(VLOOKUP($B$5,标准坦克设计!$B$14:$K$20,9)/30))</f>
        <v>26.678168047160195</v>
      </c>
      <c r="FG100" s="173">
        <f ca="1">(VLOOKUP(FG$72,INDIRECT($C$5&amp;"生成成长"),2))/((VLOOKUP($B100,INDIRECT($B$5&amp;"生成成长"),4))/(VLOOKUP(FG$72,INDIRECT($C$5&amp;"生成成长"),5))*(VLOOKUP($B$5,标准坦克设计!$B$24:$U$30,MATCH("对"&amp;LEFT($C$5,2)&amp;"输出",标准坦克设计!$B$23:$U$23,0)))*(VLOOKUP($B100,INDIRECT($B$5&amp;"生成成长"),3))*(VLOOKUP($B$5,标准坦克设计!$B$14:$K$20,9)/30))</f>
        <v>28.367483118080614</v>
      </c>
      <c r="FH100" s="173">
        <f ca="1">(VLOOKUP(FH$72,INDIRECT($C$5&amp;"生成成长"),2))/((VLOOKUP($B100,INDIRECT($B$5&amp;"生成成长"),4))/(VLOOKUP(FH$72,INDIRECT($C$5&amp;"生成成长"),5))*(VLOOKUP($B$5,标准坦克设计!$B$24:$U$30,MATCH("对"&amp;LEFT($C$5,2)&amp;"输出",标准坦克设计!$B$23:$U$23,0)))*(VLOOKUP($B100,INDIRECT($B$5&amp;"生成成长"),3))*(VLOOKUP($B$5,标准坦克设计!$B$14:$K$20,9)/30))</f>
        <v>30.108654377718782</v>
      </c>
      <c r="FI100" s="173">
        <f ca="1">(VLOOKUP(FI$72,INDIRECT($C$5&amp;"生成成长"),2))/((VLOOKUP($B100,INDIRECT($B$5&amp;"生成成长"),4))/(VLOOKUP(FI$72,INDIRECT($C$5&amp;"生成成长"),5))*(VLOOKUP($B$5,标准坦克设计!$B$24:$U$30,MATCH("对"&amp;LEFT($C$5,2)&amp;"输出",标准坦克设计!$B$23:$U$23,0)))*(VLOOKUP($B100,INDIRECT($B$5&amp;"生成成长"),3))*(VLOOKUP($B$5,标准坦克设计!$B$14:$K$20,9)/30))</f>
        <v>31.9016818260747</v>
      </c>
      <c r="FJ100" s="173">
        <f ca="1">(VLOOKUP(FJ$72,INDIRECT($C$5&amp;"生成成长"),2))/((VLOOKUP($B100,INDIRECT($B$5&amp;"生成成长"),4))/(VLOOKUP(FJ$72,INDIRECT($C$5&amp;"生成成长"),5))*(VLOOKUP($B$5,标准坦克设计!$B$24:$U$30,MATCH("对"&amp;LEFT($C$5,2)&amp;"输出",标准坦克设计!$B$23:$U$23,0)))*(VLOOKUP($B100,INDIRECT($B$5&amp;"生成成长"),3))*(VLOOKUP($B$5,标准坦克设计!$B$14:$K$20,9)/30))</f>
        <v>33.746565463148357</v>
      </c>
      <c r="FK100" s="173">
        <f ca="1">(VLOOKUP(FK$72,INDIRECT($C$5&amp;"生成成长"),2))/((VLOOKUP($B100,INDIRECT($B$5&amp;"生成成长"),4))/(VLOOKUP(FK$72,INDIRECT($C$5&amp;"生成成长"),5))*(VLOOKUP($B$5,标准坦克设计!$B$24:$U$30,MATCH("对"&amp;LEFT($C$5,2)&amp;"输出",标准坦克设计!$B$23:$U$23,0)))*(VLOOKUP($B100,INDIRECT($B$5&amp;"生成成长"),3))*(VLOOKUP($B$5,标准坦克设计!$B$14:$K$20,9)/30))</f>
        <v>35.643305288939764</v>
      </c>
    </row>
    <row r="101" spans="1:167" x14ac:dyDescent="0.15">
      <c r="A101" s="171" t="str">
        <f t="shared" si="11"/>
        <v>T4低品质8级</v>
      </c>
      <c r="B101" s="172">
        <v>10408</v>
      </c>
      <c r="C101" s="173">
        <f ca="1">(VLOOKUP(C$72,INDIRECT($C$5&amp;"生成成长"),2))/((VLOOKUP($B101,INDIRECT($B$5&amp;"生成成长"),4))/(VLOOKUP(C$72,INDIRECT($C$5&amp;"生成成长"),5))*(VLOOKUP($B$5,标准坦克设计!$B$24:$U$30,MATCH("对"&amp;LEFT($C$5,2)&amp;"输出",标准坦克设计!$B$23:$U$23,0)))*(VLOOKUP($B101,INDIRECT($B$5&amp;"生成成长"),3))*(VLOOKUP($B$5,标准坦克设计!$B$14:$K$20,9)/30))</f>
        <v>1.4152071263717489</v>
      </c>
      <c r="D101" s="173">
        <f ca="1">(VLOOKUP(D$72,INDIRECT($C$5&amp;"生成成长"),2))/((VLOOKUP($B101,INDIRECT($B$5&amp;"生成成长"),4))/(VLOOKUP(D$72,INDIRECT($C$5&amp;"生成成长"),5))*(VLOOKUP($B$5,标准坦克设计!$B$24:$U$30,MATCH("对"&amp;LEFT($C$5,2)&amp;"输出",标准坦克设计!$B$23:$U$23,0)))*(VLOOKUP($B101,INDIRECT($B$5&amp;"生成成长"),3))*(VLOOKUP($B$5,标准坦克设计!$B$14:$K$20,9)/30))</f>
        <v>1.5901267271912971</v>
      </c>
      <c r="E101" s="173">
        <f ca="1">(VLOOKUP(E$72,INDIRECT($C$5&amp;"生成成长"),2))/((VLOOKUP($B101,INDIRECT($B$5&amp;"生成成长"),4))/(VLOOKUP(E$72,INDIRECT($C$5&amp;"生成成长"),5))*(VLOOKUP($B$5,标准坦克设计!$B$24:$U$30,MATCH("对"&amp;LEFT($C$5,2)&amp;"输出",标准坦克设计!$B$23:$U$23,0)))*(VLOOKUP($B101,INDIRECT($B$5&amp;"生成成长"),3))*(VLOOKUP($B$5,标准坦克设计!$B$14:$K$20,9)/30))</f>
        <v>1.7752358193207214</v>
      </c>
      <c r="F101" s="173">
        <f ca="1">(VLOOKUP(F$72,INDIRECT($C$5&amp;"生成成长"),2))/((VLOOKUP($B101,INDIRECT($B$5&amp;"生成成长"),4))/(VLOOKUP(F$72,INDIRECT($C$5&amp;"生成成长"),5))*(VLOOKUP($B$5,标准坦克设计!$B$24:$U$30,MATCH("对"&amp;LEFT($C$5,2)&amp;"输出",标准坦克设计!$B$23:$U$23,0)))*(VLOOKUP($B101,INDIRECT($B$5&amp;"生成成长"),3))*(VLOOKUP($B$5,标准坦克设计!$B$14:$K$20,9)/30))</f>
        <v>1.9705344027600231</v>
      </c>
      <c r="G101" s="173">
        <f ca="1">(VLOOKUP(G$72,INDIRECT($C$5&amp;"生成成长"),2))/((VLOOKUP($B101,INDIRECT($B$5&amp;"生成成长"),4))/(VLOOKUP(G$72,INDIRECT($C$5&amp;"生成成长"),5))*(VLOOKUP($B$5,标准坦克设计!$B$24:$U$30,MATCH("对"&amp;LEFT($C$5,2)&amp;"输出",标准坦克设计!$B$23:$U$23,0)))*(VLOOKUP($B101,INDIRECT($B$5&amp;"生成成长"),3))*(VLOOKUP($B$5,标准坦克设计!$B$14:$K$20,9)/30))</f>
        <v>2.1760224775092007</v>
      </c>
      <c r="H101" s="173">
        <f ca="1">(VLOOKUP(H$72,INDIRECT($C$5&amp;"生成成长"),2))/((VLOOKUP($B101,INDIRECT($B$5&amp;"生成成长"),4))/(VLOOKUP(H$72,INDIRECT($C$5&amp;"生成成长"),5))*(VLOOKUP($B$5,标准坦克设计!$B$24:$U$30,MATCH("对"&amp;LEFT($C$5,2)&amp;"输出",标准坦克设计!$B$23:$U$23,0)))*(VLOOKUP($B101,INDIRECT($B$5&amp;"生成成长"),3))*(VLOOKUP($B$5,标准坦克设计!$B$14:$K$20,9)/30))</f>
        <v>1.9043027092458253</v>
      </c>
      <c r="I101" s="173">
        <f ca="1">(VLOOKUP(I$72,INDIRECT($C$5&amp;"生成成长"),2))/((VLOOKUP($B101,INDIRECT($B$5&amp;"生成成长"),4))/(VLOOKUP(I$72,INDIRECT($C$5&amp;"生成成长"),5))*(VLOOKUP($B$5,标准坦克设计!$B$24:$U$30,MATCH("对"&amp;LEFT($C$5,2)&amp;"输出",标准坦克设计!$B$23:$U$23,0)))*(VLOOKUP($B101,INDIRECT($B$5&amp;"生成成长"),3))*(VLOOKUP($B$5,标准坦克设计!$B$14:$K$20,9)/30))</f>
        <v>2.1760224775092007</v>
      </c>
      <c r="J101" s="173">
        <f ca="1">(VLOOKUP(J$72,INDIRECT($C$5&amp;"生成成长"),2))/((VLOOKUP($B101,INDIRECT($B$5&amp;"生成成长"),4))/(VLOOKUP(J$72,INDIRECT($C$5&amp;"生成成长"),5))*(VLOOKUP($B$5,标准坦克设计!$B$24:$U$30,MATCH("对"&amp;LEFT($C$5,2)&amp;"输出",标准坦克设计!$B$23:$U$23,0)))*(VLOOKUP($B101,INDIRECT($B$5&amp;"生成成长"),3))*(VLOOKUP($B$5,标准坦克设计!$B$14:$K$20,9)/30))</f>
        <v>2.4658568969901355</v>
      </c>
      <c r="K101" s="173">
        <f ca="1">(VLOOKUP(K$72,INDIRECT($C$5&amp;"生成成长"),2))/((VLOOKUP($B101,INDIRECT($B$5&amp;"生成成长"),4))/(VLOOKUP(K$72,INDIRECT($C$5&amp;"生成成长"),5))*(VLOOKUP($B$5,标准坦克设计!$B$24:$U$30,MATCH("对"&amp;LEFT($C$5,2)&amp;"输出",标准坦克设计!$B$23:$U$23,0)))*(VLOOKUP($B101,INDIRECT($B$5&amp;"生成成长"),3))*(VLOOKUP($B$5,标准坦克设计!$B$14:$K$20,9)/30))</f>
        <v>2.7738059676886282</v>
      </c>
      <c r="L101" s="173">
        <f ca="1">(VLOOKUP(L$72,INDIRECT($C$5&amp;"生成成长"),2))/((VLOOKUP($B101,INDIRECT($B$5&amp;"生成成长"),4))/(VLOOKUP(L$72,INDIRECT($C$5&amp;"生成成长"),5))*(VLOOKUP($B$5,标准坦克设计!$B$24:$U$30,MATCH("对"&amp;LEFT($C$5,2)&amp;"输出",标准坦克设计!$B$23:$U$23,0)))*(VLOOKUP($B101,INDIRECT($B$5&amp;"生成成长"),3))*(VLOOKUP($B$5,标准坦克设计!$B$14:$K$20,9)/30))</f>
        <v>3.0998696896046791</v>
      </c>
      <c r="M101" s="173">
        <f ca="1">(VLOOKUP(M$72,INDIRECT($C$5&amp;"生成成长"),2))/((VLOOKUP($B101,INDIRECT($B$5&amp;"生成成长"),4))/(VLOOKUP(M$72,INDIRECT($C$5&amp;"生成成长"),5))*(VLOOKUP($B$5,标准坦克设计!$B$24:$U$30,MATCH("对"&amp;LEFT($C$5,2)&amp;"输出",标准坦克设计!$B$23:$U$23,0)))*(VLOOKUP($B101,INDIRECT($B$5&amp;"生成成长"),3))*(VLOOKUP($B$5,标准坦克设计!$B$14:$K$20,9)/30))</f>
        <v>3.4440480627382879</v>
      </c>
      <c r="N101" s="173">
        <f ca="1">(VLOOKUP(N$72,INDIRECT($C$5&amp;"生成成长"),2))/((VLOOKUP($B101,INDIRECT($B$5&amp;"生成成长"),4))/(VLOOKUP(N$72,INDIRECT($C$5&amp;"生成成长"),5))*(VLOOKUP($B$5,标准坦克设计!$B$24:$U$30,MATCH("对"&amp;LEFT($C$5,2)&amp;"输出",标准坦克设计!$B$23:$U$23,0)))*(VLOOKUP($B101,INDIRECT($B$5&amp;"生成成长"),3))*(VLOOKUP($B$5,标准坦克设计!$B$14:$K$20,9)/30))</f>
        <v>3.8063410870894554</v>
      </c>
      <c r="O101" s="173">
        <f ca="1">(VLOOKUP(O$72,INDIRECT($C$5&amp;"生成成长"),2))/((VLOOKUP($B101,INDIRECT($B$5&amp;"生成成长"),4))/(VLOOKUP(O$72,INDIRECT($C$5&amp;"生成成长"),5))*(VLOOKUP($B$5,标准坦克设计!$B$24:$U$30,MATCH("对"&amp;LEFT($C$5,2)&amp;"输出",标准坦克设计!$B$23:$U$23,0)))*(VLOOKUP($B101,INDIRECT($B$5&amp;"生成成长"),3))*(VLOOKUP($B$5,标准坦克设计!$B$14:$K$20,9)/30))</f>
        <v>2.8939570527175893</v>
      </c>
      <c r="P101" s="173">
        <f ca="1">(VLOOKUP(P$72,INDIRECT($C$5&amp;"生成成长"),2))/((VLOOKUP($B101,INDIRECT($B$5&amp;"生成成长"),4))/(VLOOKUP(P$72,INDIRECT($C$5&amp;"生成成长"),5))*(VLOOKUP($B$5,标准坦克设计!$B$24:$U$30,MATCH("对"&amp;LEFT($C$5,2)&amp;"输出",标准坦克设计!$B$23:$U$23,0)))*(VLOOKUP($B101,INDIRECT($B$5&amp;"生成成长"),3))*(VLOOKUP($B$5,标准坦克设计!$B$14:$K$20,9)/30))</f>
        <v>3.2696945447692882</v>
      </c>
      <c r="Q101" s="173">
        <f ca="1">(VLOOKUP(Q$72,INDIRECT($C$5&amp;"生成成长"),2))/((VLOOKUP($B101,INDIRECT($B$5&amp;"生成成长"),4))/(VLOOKUP(Q$72,INDIRECT($C$5&amp;"生成成长"),5))*(VLOOKUP($B$5,标准坦克设计!$B$24:$U$30,MATCH("对"&amp;LEFT($C$5,2)&amp;"输出",标准坦克设计!$B$23:$U$23,0)))*(VLOOKUP($B101,INDIRECT($B$5&amp;"生成成长"),3))*(VLOOKUP($B$5,标准坦克设计!$B$14:$K$20,9)/30))</f>
        <v>3.6683583922682104</v>
      </c>
      <c r="R101" s="173">
        <f ca="1">(VLOOKUP(R$72,INDIRECT($C$5&amp;"生成成长"),2))/((VLOOKUP($B101,INDIRECT($B$5&amp;"生成成长"),4))/(VLOOKUP(R$72,INDIRECT($C$5&amp;"生成成长"),5))*(VLOOKUP($B$5,标准坦克设计!$B$24:$U$30,MATCH("对"&amp;LEFT($C$5,2)&amp;"输出",标准坦克设计!$B$23:$U$23,0)))*(VLOOKUP($B101,INDIRECT($B$5&amp;"生成成长"),3))*(VLOOKUP($B$5,标准坦克设计!$B$14:$K$20,9)/30))</f>
        <v>4.0899485952143539</v>
      </c>
      <c r="S101" s="173">
        <f ca="1">(VLOOKUP(S$72,INDIRECT($C$5&amp;"生成成长"),2))/((VLOOKUP($B101,INDIRECT($B$5&amp;"生成成长"),4))/(VLOOKUP(S$72,INDIRECT($C$5&amp;"生成成长"),5))*(VLOOKUP($B$5,标准坦克设计!$B$24:$U$30,MATCH("对"&amp;LEFT($C$5,2)&amp;"输出",标准坦克设计!$B$23:$U$23,0)))*(VLOOKUP($B101,INDIRECT($B$5&amp;"生成成长"),3))*(VLOOKUP($B$5,标准坦克设计!$B$14:$K$20,9)/30))</f>
        <v>4.5344651536077212</v>
      </c>
      <c r="T101" s="173">
        <f ca="1">(VLOOKUP(T$72,INDIRECT($C$5&amp;"生成成长"),2))/((VLOOKUP($B101,INDIRECT($B$5&amp;"生成成长"),4))/(VLOOKUP(T$72,INDIRECT($C$5&amp;"生成成长"),5))*(VLOOKUP($B$5,标准坦克设计!$B$24:$U$30,MATCH("对"&amp;LEFT($C$5,2)&amp;"输出",标准坦克设计!$B$23:$U$23,0)))*(VLOOKUP($B101,INDIRECT($B$5&amp;"生成成长"),3))*(VLOOKUP($B$5,标准坦克设计!$B$14:$K$20,9)/30))</f>
        <v>5.0019080674483103</v>
      </c>
      <c r="U101" s="173">
        <f ca="1">(VLOOKUP(U$72,INDIRECT($C$5&amp;"生成成长"),2))/((VLOOKUP($B101,INDIRECT($B$5&amp;"生成成长"),4))/(VLOOKUP(U$72,INDIRECT($C$5&amp;"生成成长"),5))*(VLOOKUP($B$5,标准坦克设计!$B$24:$U$30,MATCH("对"&amp;LEFT($C$5,2)&amp;"输出",标准坦克设计!$B$23:$U$23,0)))*(VLOOKUP($B101,INDIRECT($B$5&amp;"生成成长"),3))*(VLOOKUP($B$5,标准坦克设计!$B$14:$K$20,9)/30))</f>
        <v>5.4922773367361204</v>
      </c>
      <c r="V101" s="173">
        <f ca="1">(VLOOKUP(V$72,INDIRECT($C$5&amp;"生成成长"),2))/((VLOOKUP($B101,INDIRECT($B$5&amp;"生成成长"),4))/(VLOOKUP(V$72,INDIRECT($C$5&amp;"生成成长"),5))*(VLOOKUP($B$5,标准坦克设计!$B$24:$U$30,MATCH("对"&amp;LEFT($C$5,2)&amp;"输出",标准坦克设计!$B$23:$U$23,0)))*(VLOOKUP($B101,INDIRECT($B$5&amp;"生成成长"),3))*(VLOOKUP($B$5,标准坦克设计!$B$14:$K$20,9)/30))</f>
        <v>6.005572961471155</v>
      </c>
      <c r="W101" s="173">
        <f ca="1">(VLOOKUP(W$72,INDIRECT($C$5&amp;"生成成长"),2))/((VLOOKUP($B101,INDIRECT($B$5&amp;"生成成长"),4))/(VLOOKUP(W$72,INDIRECT($C$5&amp;"生成成长"),5))*(VLOOKUP($B$5,标准坦克设计!$B$24:$U$30,MATCH("对"&amp;LEFT($C$5,2)&amp;"输出",标准坦克设计!$B$23:$U$23,0)))*(VLOOKUP($B101,INDIRECT($B$5&amp;"生成成长"),3))*(VLOOKUP($B$5,标准坦克设计!$B$14:$K$20,9)/30))</f>
        <v>6.5417949416534098</v>
      </c>
      <c r="X101" s="173">
        <f ca="1">(VLOOKUP(X$72,INDIRECT($C$5&amp;"生成成长"),2))/((VLOOKUP($B101,INDIRECT($B$5&amp;"生成成长"),4))/(VLOOKUP(X$72,INDIRECT($C$5&amp;"生成成长"),5))*(VLOOKUP($B$5,标准坦克设计!$B$24:$U$30,MATCH("对"&amp;LEFT($C$5,2)&amp;"输出",标准坦克设计!$B$23:$U$23,0)))*(VLOOKUP($B101,INDIRECT($B$5&amp;"生成成长"),3))*(VLOOKUP($B$5,标准坦克设计!$B$14:$K$20,9)/30))</f>
        <v>4.7393871455063508</v>
      </c>
      <c r="Y101" s="173">
        <f ca="1">(VLOOKUP(Y$72,INDIRECT($C$5&amp;"生成成长"),2))/((VLOOKUP($B101,INDIRECT($B$5&amp;"生成成长"),4))/(VLOOKUP(Y$72,INDIRECT($C$5&amp;"生成成长"),5))*(VLOOKUP($B$5,标准坦克设计!$B$24:$U$30,MATCH("对"&amp;LEFT($C$5,2)&amp;"输出",标准坦克设计!$B$23:$U$23,0)))*(VLOOKUP($B101,INDIRECT($B$5&amp;"生成成长"),3))*(VLOOKUP($B$5,标准坦克设计!$B$14:$K$20,9)/30))</f>
        <v>5.2715050250221278</v>
      </c>
      <c r="Z101" s="173">
        <f ca="1">(VLOOKUP(Z$72,INDIRECT($C$5&amp;"生成成长"),2))/((VLOOKUP($B101,INDIRECT($B$5&amp;"生成成长"),4))/(VLOOKUP(Z$72,INDIRECT($C$5&amp;"生成成长"),5))*(VLOOKUP($B$5,标准坦克设计!$B$24:$U$30,MATCH("对"&amp;LEFT($C$5,2)&amp;"输出",标准坦克设计!$B$23:$U$23,0)))*(VLOOKUP($B101,INDIRECT($B$5&amp;"生成成长"),3))*(VLOOKUP($B$5,标准坦克设计!$B$14:$K$20,9)/30))</f>
        <v>5.8319270470653404</v>
      </c>
      <c r="AA101" s="173">
        <f ca="1">(VLOOKUP(AA$72,INDIRECT($C$5&amp;"生成成长"),2))/((VLOOKUP($B101,INDIRECT($B$5&amp;"生成成长"),4))/(VLOOKUP(AA$72,INDIRECT($C$5&amp;"生成成长"),5))*(VLOOKUP($B$5,标准坦克设计!$B$24:$U$30,MATCH("对"&amp;LEFT($C$5,2)&amp;"输出",标准坦克设计!$B$23:$U$23,0)))*(VLOOKUP($B101,INDIRECT($B$5&amp;"生成成长"),3))*(VLOOKUP($B$5,标准坦克设计!$B$14:$K$20,9)/30))</f>
        <v>6.4206532116359867</v>
      </c>
      <c r="AB101" s="173">
        <f ca="1">(VLOOKUP(AB$72,INDIRECT($C$5&amp;"生成成长"),2))/((VLOOKUP($B101,INDIRECT($B$5&amp;"生成成长"),4))/(VLOOKUP(AB$72,INDIRECT($C$5&amp;"生成成长"),5))*(VLOOKUP($B$5,标准坦克设计!$B$24:$U$30,MATCH("对"&amp;LEFT($C$5,2)&amp;"输出",标准坦克设计!$B$23:$U$23,0)))*(VLOOKUP($B101,INDIRECT($B$5&amp;"生成成长"),3))*(VLOOKUP($B$5,标准坦克设计!$B$14:$K$20,9)/30))</f>
        <v>7.0376835187340703</v>
      </c>
      <c r="AC101" s="173">
        <f ca="1">(VLOOKUP(AC$72,INDIRECT($C$5&amp;"生成成长"),2))/((VLOOKUP($B101,INDIRECT($B$5&amp;"生成成长"),4))/(VLOOKUP(AC$72,INDIRECT($C$5&amp;"生成成长"),5))*(VLOOKUP($B$5,标准坦克设计!$B$24:$U$30,MATCH("对"&amp;LEFT($C$5,2)&amp;"输出",标准坦克设计!$B$23:$U$23,0)))*(VLOOKUP($B101,INDIRECT($B$5&amp;"生成成长"),3))*(VLOOKUP($B$5,标准坦克设计!$B$14:$K$20,9)/30))</f>
        <v>7.6830179683595876</v>
      </c>
      <c r="AD101" s="173">
        <f ca="1">(VLOOKUP(AD$72,INDIRECT($C$5&amp;"生成成长"),2))/((VLOOKUP($B101,INDIRECT($B$5&amp;"生成成长"),4))/(VLOOKUP(AD$72,INDIRECT($C$5&amp;"生成成长"),5))*(VLOOKUP($B$5,标准坦克设计!$B$24:$U$30,MATCH("对"&amp;LEFT($C$5,2)&amp;"输出",标准坦克设计!$B$23:$U$23,0)))*(VLOOKUP($B101,INDIRECT($B$5&amp;"生成成长"),3))*(VLOOKUP($B$5,标准坦克设计!$B$14:$K$20,9)/30))</f>
        <v>8.3566565605125387</v>
      </c>
      <c r="AE101" s="173">
        <f ca="1">(VLOOKUP(AE$72,INDIRECT($C$5&amp;"生成成长"),2))/((VLOOKUP($B101,INDIRECT($B$5&amp;"生成成长"),4))/(VLOOKUP(AE$72,INDIRECT($C$5&amp;"生成成长"),5))*(VLOOKUP($B$5,标准坦克设计!$B$24:$U$30,MATCH("对"&amp;LEFT($C$5,2)&amp;"输出",标准坦克设计!$B$23:$U$23,0)))*(VLOOKUP($B101,INDIRECT($B$5&amp;"生成成长"),3))*(VLOOKUP($B$5,标准坦克设计!$B$14:$K$20,9)/30))</f>
        <v>9.0585992951929271</v>
      </c>
      <c r="AF101" s="173">
        <f ca="1">(VLOOKUP(AF$72,INDIRECT($C$5&amp;"生成成长"),2))/((VLOOKUP($B101,INDIRECT($B$5&amp;"生成成长"),4))/(VLOOKUP(AF$72,INDIRECT($C$5&amp;"生成成长"),5))*(VLOOKUP($B$5,标准坦克设计!$B$24:$U$30,MATCH("对"&amp;LEFT($C$5,2)&amp;"输出",标准坦克设计!$B$23:$U$23,0)))*(VLOOKUP($B101,INDIRECT($B$5&amp;"生成成长"),3))*(VLOOKUP($B$5,标准坦克设计!$B$14:$K$20,9)/30))</f>
        <v>9.7888461724007509</v>
      </c>
      <c r="AG101" s="173">
        <f ca="1">(VLOOKUP(AG$72,INDIRECT($C$5&amp;"生成成长"),2))/((VLOOKUP($B101,INDIRECT($B$5&amp;"生成成长"),4))/(VLOOKUP(AG$72,INDIRECT($C$5&amp;"生成成长"),5))*(VLOOKUP($B$5,标准坦克设计!$B$24:$U$30,MATCH("对"&amp;LEFT($C$5,2)&amp;"输出",标准坦克设计!$B$23:$U$23,0)))*(VLOOKUP($B101,INDIRECT($B$5&amp;"生成成长"),3))*(VLOOKUP($B$5,标准坦克设计!$B$14:$K$20,9)/30))</f>
        <v>10.547397192136007</v>
      </c>
      <c r="AH101" s="173">
        <f ca="1">(VLOOKUP(AH$72,INDIRECT($C$5&amp;"生成成长"),2))/((VLOOKUP($B101,INDIRECT($B$5&amp;"生成成长"),4))/(VLOOKUP(AH$72,INDIRECT($C$5&amp;"生成成长"),5))*(VLOOKUP($B$5,标准坦克设计!$B$24:$U$30,MATCH("对"&amp;LEFT($C$5,2)&amp;"输出",标准坦克设计!$B$23:$U$23,0)))*(VLOOKUP($B101,INDIRECT($B$5&amp;"生成成长"),3))*(VLOOKUP($B$5,标准坦克设计!$B$14:$K$20,9)/30))</f>
        <v>11.334252354398702</v>
      </c>
      <c r="AI101" s="173">
        <f ca="1">(VLOOKUP(AI$72,INDIRECT($C$5&amp;"生成成长"),2))/((VLOOKUP($B101,INDIRECT($B$5&amp;"生成成长"),4))/(VLOOKUP(AI$72,INDIRECT($C$5&amp;"生成成长"),5))*(VLOOKUP($B$5,标准坦克设计!$B$24:$U$30,MATCH("对"&amp;LEFT($C$5,2)&amp;"输出",标准坦克设计!$B$23:$U$23,0)))*(VLOOKUP($B101,INDIRECT($B$5&amp;"生成成长"),3))*(VLOOKUP($B$5,标准坦克设计!$B$14:$K$20,9)/30))</f>
        <v>8.0162992466201342</v>
      </c>
      <c r="AJ101" s="173">
        <f ca="1">(VLOOKUP(AJ$72,INDIRECT($C$5&amp;"生成成长"),2))/((VLOOKUP($B101,INDIRECT($B$5&amp;"生成成长"),4))/(VLOOKUP(AJ$72,INDIRECT($C$5&amp;"生成成长"),5))*(VLOOKUP($B$5,标准坦克设计!$B$24:$U$30,MATCH("对"&amp;LEFT($C$5,2)&amp;"输出",标准坦克设计!$B$23:$U$23,0)))*(VLOOKUP($B101,INDIRECT($B$5&amp;"生成成长"),3))*(VLOOKUP($B$5,标准坦克设计!$B$14:$K$20,9)/30))</f>
        <v>8.7744257042174834</v>
      </c>
      <c r="AK101" s="173">
        <f ca="1">(VLOOKUP(AK$72,INDIRECT($C$5&amp;"生成成长"),2))/((VLOOKUP($B101,INDIRECT($B$5&amp;"生成成长"),4))/(VLOOKUP(AK$72,INDIRECT($C$5&amp;"生成成长"),5))*(VLOOKUP($B$5,标准坦克设计!$B$24:$U$30,MATCH("对"&amp;LEFT($C$5,2)&amp;"输出",标准坦克设计!$B$23:$U$23,0)))*(VLOOKUP($B101,INDIRECT($B$5&amp;"生成成长"),3))*(VLOOKUP($B$5,标准坦克设计!$B$14:$K$20,9)/30))</f>
        <v>9.5668001742730233</v>
      </c>
      <c r="AL101" s="173">
        <f ca="1">(VLOOKUP(AL$72,INDIRECT($C$5&amp;"生成成长"),2))/((VLOOKUP($B101,INDIRECT($B$5&amp;"生成成长"),4))/(VLOOKUP(AL$72,INDIRECT($C$5&amp;"生成成长"),5))*(VLOOKUP($B$5,标准坦克设计!$B$24:$U$30,MATCH("对"&amp;LEFT($C$5,2)&amp;"输出",标准坦克设计!$B$23:$U$23,0)))*(VLOOKUP($B101,INDIRECT($B$5&amp;"生成成长"),3))*(VLOOKUP($B$5,标准坦克设计!$B$14:$K$20,9)/30))</f>
        <v>10.393422656786763</v>
      </c>
      <c r="AM101" s="173">
        <f ca="1">(VLOOKUP(AM$72,INDIRECT($C$5&amp;"生成成长"),2))/((VLOOKUP($B101,INDIRECT($B$5&amp;"生成成长"),4))/(VLOOKUP(AM$72,INDIRECT($C$5&amp;"生成成长"),5))*(VLOOKUP($B$5,标准坦克设计!$B$24:$U$30,MATCH("对"&amp;LEFT($C$5,2)&amp;"输出",标准坦克设计!$B$23:$U$23,0)))*(VLOOKUP($B101,INDIRECT($B$5&amp;"生成成长"),3))*(VLOOKUP($B$5,标准坦克设计!$B$14:$K$20,9)/30))</f>
        <v>11.254293151758695</v>
      </c>
      <c r="AN101" s="173">
        <f ca="1">(VLOOKUP(AN$72,INDIRECT($C$5&amp;"生成成长"),2))/((VLOOKUP($B101,INDIRECT($B$5&amp;"生成成长"),4))/(VLOOKUP(AN$72,INDIRECT($C$5&amp;"生成成长"),5))*(VLOOKUP($B$5,标准坦克设计!$B$24:$U$30,MATCH("对"&amp;LEFT($C$5,2)&amp;"输出",标准坦克设计!$B$23:$U$23,0)))*(VLOOKUP($B101,INDIRECT($B$5&amp;"生成成长"),3))*(VLOOKUP($B$5,标准坦克设计!$B$14:$K$20,9)/30))</f>
        <v>12.149411659188827</v>
      </c>
      <c r="AO101" s="173">
        <f ca="1">(VLOOKUP(AO$72,INDIRECT($C$5&amp;"生成成长"),2))/((VLOOKUP($B101,INDIRECT($B$5&amp;"生成成长"),4))/(VLOOKUP(AO$72,INDIRECT($C$5&amp;"生成成长"),5))*(VLOOKUP($B$5,标准坦克设计!$B$24:$U$30,MATCH("对"&amp;LEFT($C$5,2)&amp;"输出",标准坦克设计!$B$23:$U$23,0)))*(VLOOKUP($B101,INDIRECT($B$5&amp;"生成成长"),3))*(VLOOKUP($B$5,标准坦克设计!$B$14:$K$20,9)/30))</f>
        <v>13.078778179077153</v>
      </c>
      <c r="AP101" s="173">
        <f ca="1">(VLOOKUP(AP$72,INDIRECT($C$5&amp;"生成成长"),2))/((VLOOKUP($B101,INDIRECT($B$5&amp;"生成成长"),4))/(VLOOKUP(AP$72,INDIRECT($C$5&amp;"生成成长"),5))*(VLOOKUP($B$5,标准坦克设计!$B$24:$U$30,MATCH("对"&amp;LEFT($C$5,2)&amp;"输出",标准坦克设计!$B$23:$U$23,0)))*(VLOOKUP($B101,INDIRECT($B$5&amp;"生成成长"),3))*(VLOOKUP($B$5,标准坦克设计!$B$14:$K$20,9)/30))</f>
        <v>14.042392711423677</v>
      </c>
      <c r="AQ101" s="173">
        <f ca="1">(VLOOKUP(AQ$72,INDIRECT($C$5&amp;"生成成长"),2))/((VLOOKUP($B101,INDIRECT($B$5&amp;"生成成长"),4))/(VLOOKUP(AQ$72,INDIRECT($C$5&amp;"生成成长"),5))*(VLOOKUP($B$5,标准坦克设计!$B$24:$U$30,MATCH("对"&amp;LEFT($C$5,2)&amp;"输出",标准坦克设计!$B$23:$U$23,0)))*(VLOOKUP($B101,INDIRECT($B$5&amp;"生成成长"),3))*(VLOOKUP($B$5,标准坦克设计!$B$14:$K$20,9)/30))</f>
        <v>15.0402552562284</v>
      </c>
      <c r="AR101" s="173">
        <f ca="1">(VLOOKUP(AR$72,INDIRECT($C$5&amp;"生成成长"),2))/((VLOOKUP($B101,INDIRECT($B$5&amp;"生成成长"),4))/(VLOOKUP(AR$72,INDIRECT($C$5&amp;"生成成长"),5))*(VLOOKUP($B$5,标准坦克设计!$B$24:$U$30,MATCH("对"&amp;LEFT($C$5,2)&amp;"输出",标准坦克设计!$B$23:$U$23,0)))*(VLOOKUP($B101,INDIRECT($B$5&amp;"生成成长"),3))*(VLOOKUP($B$5,标准坦克设计!$B$14:$K$20,9)/30))</f>
        <v>16.072365813491313</v>
      </c>
      <c r="AS101" s="173">
        <f ca="1">(VLOOKUP(AS$72,INDIRECT($C$5&amp;"生成成长"),2))/((VLOOKUP($B101,INDIRECT($B$5&amp;"生成成长"),4))/(VLOOKUP(AS$72,INDIRECT($C$5&amp;"生成成长"),5))*(VLOOKUP($B$5,标准坦克设计!$B$24:$U$30,MATCH("对"&amp;LEFT($C$5,2)&amp;"输出",标准坦克设计!$B$23:$U$23,0)))*(VLOOKUP($B101,INDIRECT($B$5&amp;"生成成长"),3))*(VLOOKUP($B$5,标准坦克设计!$B$14:$K$20,9)/30))</f>
        <v>17.138724383212427</v>
      </c>
      <c r="AT101" s="173">
        <f ca="1">(VLOOKUP(AT$72,INDIRECT($C$5&amp;"生成成长"),2))/((VLOOKUP($B101,INDIRECT($B$5&amp;"生成成长"),4))/(VLOOKUP(AT$72,INDIRECT($C$5&amp;"生成成长"),5))*(VLOOKUP($B$5,标准坦克设计!$B$24:$U$30,MATCH("对"&amp;LEFT($C$5,2)&amp;"输出",标准坦克设计!$B$23:$U$23,0)))*(VLOOKUP($B101,INDIRECT($B$5&amp;"生成成长"),3))*(VLOOKUP($B$5,标准坦克设计!$B$14:$K$20,9)/30))</f>
        <v>18.239330965391737</v>
      </c>
      <c r="AU101" s="173">
        <f ca="1">(VLOOKUP(AU$72,INDIRECT($C$5&amp;"生成成长"),2))/((VLOOKUP($B101,INDIRECT($B$5&amp;"生成成长"),4))/(VLOOKUP(AU$72,INDIRECT($C$5&amp;"生成成长"),5))*(VLOOKUP($B$5,标准坦克设计!$B$24:$U$30,MATCH("对"&amp;LEFT($C$5,2)&amp;"输出",标准坦克设计!$B$23:$U$23,0)))*(VLOOKUP($B101,INDIRECT($B$5&amp;"生成成长"),3))*(VLOOKUP($B$5,标准坦克设计!$B$14:$K$20,9)/30))</f>
        <v>19.374185560029243</v>
      </c>
      <c r="AV101" s="173">
        <f ca="1">(VLOOKUP(AV$72,INDIRECT($C$5&amp;"生成成长"),2))/((VLOOKUP($B101,INDIRECT($B$5&amp;"生成成长"),4))/(VLOOKUP(AV$72,INDIRECT($C$5&amp;"生成成长"),5))*(VLOOKUP($B$5,标准坦克设计!$B$24:$U$30,MATCH("对"&amp;LEFT($C$5,2)&amp;"输出",标准坦克设计!$B$23:$U$23,0)))*(VLOOKUP($B101,INDIRECT($B$5&amp;"生成成长"),3))*(VLOOKUP($B$5,标准坦克设计!$B$14:$K$20,9)/30))</f>
        <v>1.9705344027600231</v>
      </c>
      <c r="AW101" s="173">
        <f ca="1">(VLOOKUP(AW$72,INDIRECT($C$5&amp;"生成成长"),2))/((VLOOKUP($B101,INDIRECT($B$5&amp;"生成成长"),4))/(VLOOKUP(AW$72,INDIRECT($C$5&amp;"生成成长"),5))*(VLOOKUP($B$5,标准坦克设计!$B$24:$U$30,MATCH("对"&amp;LEFT($C$5,2)&amp;"输出",标准坦克设计!$B$23:$U$23,0)))*(VLOOKUP($B101,INDIRECT($B$5&amp;"生成成长"),3))*(VLOOKUP($B$5,标准坦克设计!$B$14:$K$20,9)/30))</f>
        <v>2.2467828338277887</v>
      </c>
      <c r="AX101" s="173">
        <f ca="1">(VLOOKUP(AX$72,INDIRECT($C$5&amp;"生成成长"),2))/((VLOOKUP($B101,INDIRECT($B$5&amp;"生成成长"),4))/(VLOOKUP(AX$72,INDIRECT($C$5&amp;"生成成长"),5))*(VLOOKUP($B$5,标准坦克设计!$B$24:$U$30,MATCH("对"&amp;LEFT($C$5,2)&amp;"输出",标准坦克设计!$B$23:$U$23,0)))*(VLOOKUP($B101,INDIRECT($B$5&amp;"生成成长"),3))*(VLOOKUP($B$5,标准坦克设计!$B$14:$K$20,9)/30))</f>
        <v>2.5411459161131122</v>
      </c>
      <c r="AY101" s="173">
        <f ca="1">(VLOOKUP(AY$72,INDIRECT($C$5&amp;"生成成长"),2))/((VLOOKUP($B101,INDIRECT($B$5&amp;"生成成长"),4))/(VLOOKUP(AY$72,INDIRECT($C$5&amp;"生成成长"),5))*(VLOOKUP($B$5,标准坦克设计!$B$24:$U$30,MATCH("对"&amp;LEFT($C$5,2)&amp;"输出",标准坦克设计!$B$23:$U$23,0)))*(VLOOKUP($B101,INDIRECT($B$5&amp;"生成成长"),3))*(VLOOKUP($B$5,标准坦克设计!$B$14:$K$20,9)/30))</f>
        <v>2.8536236496159941</v>
      </c>
      <c r="AZ101" s="173">
        <f ca="1">(VLOOKUP(AZ$72,INDIRECT($C$5&amp;"生成成长"),2))/((VLOOKUP($B101,INDIRECT($B$5&amp;"生成成长"),4))/(VLOOKUP(AZ$72,INDIRECT($C$5&amp;"生成成长"),5))*(VLOOKUP($B$5,标准坦克设计!$B$24:$U$30,MATCH("对"&amp;LEFT($C$5,2)&amp;"输出",标准坦克设计!$B$23:$U$23,0)))*(VLOOKUP($B101,INDIRECT($B$5&amp;"生成成长"),3))*(VLOOKUP($B$5,标准坦克设计!$B$14:$K$20,9)/30))</f>
        <v>3.1842160343364347</v>
      </c>
      <c r="BA101" s="173">
        <f ca="1">(VLOOKUP(BA$72,INDIRECT($C$5&amp;"生成成长"),2))/((VLOOKUP($B101,INDIRECT($B$5&amp;"生成成长"),4))/(VLOOKUP(BA$72,INDIRECT($C$5&amp;"生成成长"),5))*(VLOOKUP($B$5,标准坦克设计!$B$24:$U$30,MATCH("对"&amp;LEFT($C$5,2)&amp;"输出",标准坦克设计!$B$23:$U$23,0)))*(VLOOKUP($B101,INDIRECT($B$5&amp;"生成成长"),3))*(VLOOKUP($B$5,标准坦克设计!$B$14:$K$20,9)/30))</f>
        <v>3.5329230702744341</v>
      </c>
      <c r="BB101" s="173">
        <f ca="1">(VLOOKUP(BB$72,INDIRECT($C$5&amp;"生成成长"),2))/((VLOOKUP($B101,INDIRECT($B$5&amp;"生成成长"),4))/(VLOOKUP(BB$72,INDIRECT($C$5&amp;"生成成长"),5))*(VLOOKUP($B$5,标准坦克设计!$B$24:$U$30,MATCH("对"&amp;LEFT($C$5,2)&amp;"输出",标准坦克设计!$B$23:$U$23,0)))*(VLOOKUP($B101,INDIRECT($B$5&amp;"生成成长"),3))*(VLOOKUP($B$5,标准坦克设计!$B$14:$K$20,9)/30))</f>
        <v>3.8997447574299908</v>
      </c>
      <c r="BC101" s="173">
        <f ca="1">(VLOOKUP(BC$72,INDIRECT($C$5&amp;"生成成长"),2))/((VLOOKUP($B101,INDIRECT($B$5&amp;"生成成长"),4))/(VLOOKUP(BC$72,INDIRECT($C$5&amp;"生成成长"),5))*(VLOOKUP($B$5,标准坦克设计!$B$24:$U$30,MATCH("对"&amp;LEFT($C$5,2)&amp;"输出",标准坦克设计!$B$23:$U$23,0)))*(VLOOKUP($B101,INDIRECT($B$5&amp;"生成成长"),3))*(VLOOKUP($B$5,标准坦克设计!$B$14:$K$20,9)/30))</f>
        <v>4.2846810958031067</v>
      </c>
      <c r="BD101" s="173">
        <f ca="1">(VLOOKUP(BD$72,INDIRECT($C$5&amp;"生成成长"),2))/((VLOOKUP($B101,INDIRECT($B$5&amp;"生成成长"),4))/(VLOOKUP(BD$72,INDIRECT($C$5&amp;"生成成长"),5))*(VLOOKUP($B$5,标准坦克设计!$B$24:$U$30,MATCH("对"&amp;LEFT($C$5,2)&amp;"输出",标准坦克设计!$B$23:$U$23,0)))*(VLOOKUP($B101,INDIRECT($B$5&amp;"生成成长"),3))*(VLOOKUP($B$5,标准坦克设计!$B$14:$K$20,9)/30))</f>
        <v>4.7393871455063508</v>
      </c>
      <c r="BE101" s="173">
        <f ca="1">(VLOOKUP(BE$72,INDIRECT($C$5&amp;"生成成长"),2))/((VLOOKUP($B101,INDIRECT($B$5&amp;"生成成长"),4))/(VLOOKUP(BE$72,INDIRECT($C$5&amp;"生成成长"),5))*(VLOOKUP($B$5,标准坦克设计!$B$24:$U$30,MATCH("对"&amp;LEFT($C$5,2)&amp;"输出",标准坦克设计!$B$23:$U$23,0)))*(VLOOKUP($B101,INDIRECT($B$5&amp;"生成成长"),3))*(VLOOKUP($B$5,标准坦克设计!$B$14:$K$20,9)/30))</f>
        <v>5.2170195506568158</v>
      </c>
      <c r="BF101" s="173">
        <f ca="1">(VLOOKUP(BF$72,INDIRECT($C$5&amp;"生成成长"),2))/((VLOOKUP($B101,INDIRECT($B$5&amp;"生成成长"),4))/(VLOOKUP(BF$72,INDIRECT($C$5&amp;"生成成长"),5))*(VLOOKUP($B$5,标准坦克设计!$B$24:$U$30,MATCH("对"&amp;LEFT($C$5,2)&amp;"输出",标准坦克设计!$B$23:$U$23,0)))*(VLOOKUP($B101,INDIRECT($B$5&amp;"生成成长"),3))*(VLOOKUP($B$5,标准坦克设计!$B$14:$K$20,9)/30))</f>
        <v>5.7175783112545027</v>
      </c>
      <c r="BG101" s="173">
        <f ca="1">(VLOOKUP(BG$72,INDIRECT($C$5&amp;"生成成长"),2))/((VLOOKUP($B101,INDIRECT($B$5&amp;"生成成长"),4))/(VLOOKUP(BG$72,INDIRECT($C$5&amp;"生成成长"),5))*(VLOOKUP($B$5,标准坦克设计!$B$24:$U$30,MATCH("对"&amp;LEFT($C$5,2)&amp;"输出",标准坦克设计!$B$23:$U$23,0)))*(VLOOKUP($B101,INDIRECT($B$5&amp;"生成成长"),3))*(VLOOKUP($B$5,标准坦克设计!$B$14:$K$20,9)/30))</f>
        <v>6.2410634272994132</v>
      </c>
      <c r="BH101" s="173">
        <f ca="1">(VLOOKUP(BH$72,INDIRECT($C$5&amp;"生成成长"),2))/((VLOOKUP($B101,INDIRECT($B$5&amp;"生成成长"),4))/(VLOOKUP(BH$72,INDIRECT($C$5&amp;"生成成长"),5))*(VLOOKUP($B$5,标准坦克设计!$B$24:$U$30,MATCH("对"&amp;LEFT($C$5,2)&amp;"输出",标准坦克设计!$B$23:$U$23,0)))*(VLOOKUP($B101,INDIRECT($B$5&amp;"生成成长"),3))*(VLOOKUP($B$5,标准坦克设计!$B$14:$K$20,9)/30))</f>
        <v>3.01665551057402</v>
      </c>
      <c r="BI101" s="173">
        <f ca="1">(VLOOKUP(BI$72,INDIRECT($C$5&amp;"生成成长"),2))/((VLOOKUP($B101,INDIRECT($B$5&amp;"生成成长"),4))/(VLOOKUP(BI$72,INDIRECT($C$5&amp;"生成成长"),5))*(VLOOKUP($B$5,标准坦克设计!$B$24:$U$30,MATCH("对"&amp;LEFT($C$5,2)&amp;"输出",标准坦克设计!$B$23:$U$23,0)))*(VLOOKUP($B101,INDIRECT($B$5&amp;"生成成长"),3))*(VLOOKUP($B$5,标准坦克设计!$B$14:$K$20,9)/30))</f>
        <v>3.400035121108127</v>
      </c>
      <c r="BJ101" s="173">
        <f ca="1">(VLOOKUP(BJ$72,INDIRECT($C$5&amp;"生成成长"),2))/((VLOOKUP($B101,INDIRECT($B$5&amp;"生成成长"),4))/(VLOOKUP(BJ$72,INDIRECT($C$5&amp;"生成成长"),5))*(VLOOKUP($B$5,标准坦克设计!$B$24:$U$30,MATCH("对"&amp;LEFT($C$5,2)&amp;"输出",标准坦克设计!$B$23:$U$23,0)))*(VLOOKUP($B101,INDIRECT($B$5&amp;"生成成长"),3))*(VLOOKUP($B$5,标准坦克设计!$B$14:$K$20,9)/30))</f>
        <v>3.8063410870894554</v>
      </c>
      <c r="BK101" s="173">
        <f ca="1">(VLOOKUP(BK$72,INDIRECT($C$5&amp;"生成成长"),2))/((VLOOKUP($B101,INDIRECT($B$5&amp;"生成成长"),4))/(VLOOKUP(BK$72,INDIRECT($C$5&amp;"生成成长"),5))*(VLOOKUP($B$5,标准坦克设计!$B$24:$U$30,MATCH("对"&amp;LEFT($C$5,2)&amp;"输出",标准坦克设计!$B$23:$U$23,0)))*(VLOOKUP($B101,INDIRECT($B$5&amp;"生成成长"),3))*(VLOOKUP($B$5,标准坦克设计!$B$14:$K$20,9)/30))</f>
        <v>4.2355734085180075</v>
      </c>
      <c r="BL101" s="173">
        <f ca="1">(VLOOKUP(BL$72,INDIRECT($C$5&amp;"生成成长"),2))/((VLOOKUP($B101,INDIRECT($B$5&amp;"生成成长"),4))/(VLOOKUP(BL$72,INDIRECT($C$5&amp;"生成成长"),5))*(VLOOKUP($B$5,标准坦克设计!$B$24:$U$30,MATCH("对"&amp;LEFT($C$5,2)&amp;"输出",标准坦克设计!$B$23:$U$23,0)))*(VLOOKUP($B101,INDIRECT($B$5&amp;"生成成长"),3))*(VLOOKUP($B$5,标准坦克设计!$B$14:$K$20,9)/30))</f>
        <v>4.6877320853937814</v>
      </c>
      <c r="BM101" s="173">
        <f ca="1">(VLOOKUP(BM$72,INDIRECT($C$5&amp;"生成成长"),2))/((VLOOKUP($B101,INDIRECT($B$5&amp;"生成成长"),4))/(VLOOKUP(BM$72,INDIRECT($C$5&amp;"生成成长"),5))*(VLOOKUP($B$5,标准坦克设计!$B$24:$U$30,MATCH("对"&amp;LEFT($C$5,2)&amp;"输出",标准坦克设计!$B$23:$U$23,0)))*(VLOOKUP($B101,INDIRECT($B$5&amp;"生成成长"),3))*(VLOOKUP($B$5,标准坦克设计!$B$14:$K$20,9)/30))</f>
        <v>5.1628171177167772</v>
      </c>
      <c r="BN101" s="173">
        <f ca="1">(VLOOKUP(BN$72,INDIRECT($C$5&amp;"生成成长"),2))/((VLOOKUP($B101,INDIRECT($B$5&amp;"生成成长"),4))/(VLOOKUP(BN$72,INDIRECT($C$5&amp;"生成成长"),5))*(VLOOKUP($B$5,标准坦克设计!$B$24:$U$30,MATCH("对"&amp;LEFT($C$5,2)&amp;"输出",标准坦克设计!$B$23:$U$23,0)))*(VLOOKUP($B101,INDIRECT($B$5&amp;"生成成长"),3))*(VLOOKUP($B$5,标准坦克设计!$B$14:$K$20,9)/30))</f>
        <v>5.6608285054869958</v>
      </c>
      <c r="BO101" s="173">
        <f ca="1">(VLOOKUP(BO$72,INDIRECT($C$5&amp;"生成成长"),2))/((VLOOKUP($B101,INDIRECT($B$5&amp;"生成成长"),4))/(VLOOKUP(BO$72,INDIRECT($C$5&amp;"生成成长"),5))*(VLOOKUP($B$5,标准坦克设计!$B$24:$U$30,MATCH("对"&amp;LEFT($C$5,2)&amp;"输出",标准坦克设计!$B$23:$U$23,0)))*(VLOOKUP($B101,INDIRECT($B$5&amp;"生成成长"),3))*(VLOOKUP($B$5,标准坦克设计!$B$14:$K$20,9)/30))</f>
        <v>6.1817662487044354</v>
      </c>
      <c r="BP101" s="173">
        <f ca="1">(VLOOKUP(BP$72,INDIRECT($C$5&amp;"生成成长"),2))/((VLOOKUP($B101,INDIRECT($B$5&amp;"生成成长"),4))/(VLOOKUP(BP$72,INDIRECT($C$5&amp;"生成成长"),5))*(VLOOKUP($B$5,标准坦克设计!$B$24:$U$30,MATCH("对"&amp;LEFT($C$5,2)&amp;"输出",标准坦克设计!$B$23:$U$23,0)))*(VLOOKUP($B101,INDIRECT($B$5&amp;"生成成长"),3))*(VLOOKUP($B$5,标准坦克设计!$B$14:$K$20,9)/30))</f>
        <v>6.7256303473690995</v>
      </c>
      <c r="BQ101" s="173">
        <f ca="1">(VLOOKUP(BQ$72,INDIRECT($C$5&amp;"生成成长"),2))/((VLOOKUP($B101,INDIRECT($B$5&amp;"生成成长"),4))/(VLOOKUP(BQ$72,INDIRECT($C$5&amp;"生成成长"),5))*(VLOOKUP($B$5,标准坦克设计!$B$24:$U$30,MATCH("对"&amp;LEFT($C$5,2)&amp;"输出",标准坦克设计!$B$23:$U$23,0)))*(VLOOKUP($B101,INDIRECT($B$5&amp;"生成成长"),3))*(VLOOKUP($B$5,标准坦克设计!$B$14:$K$20,9)/30))</f>
        <v>7.2924208014809855</v>
      </c>
      <c r="BR101" s="173">
        <f ca="1">(VLOOKUP(BR$72,INDIRECT($C$5&amp;"生成成长"),2))/((VLOOKUP($B101,INDIRECT($B$5&amp;"生成成长"),4))/(VLOOKUP(BR$72,INDIRECT($C$5&amp;"生成成长"),5))*(VLOOKUP($B$5,标准坦克设计!$B$24:$U$30,MATCH("对"&amp;LEFT($C$5,2)&amp;"输出",标准坦克设计!$B$23:$U$23,0)))*(VLOOKUP($B101,INDIRECT($B$5&amp;"生成成长"),3))*(VLOOKUP($B$5,标准坦克设计!$B$14:$K$20,9)/30))</f>
        <v>7.9490769081174761</v>
      </c>
      <c r="BS101" s="173">
        <f ca="1">(VLOOKUP(BS$72,INDIRECT($C$5&amp;"生成成长"),2))/((VLOOKUP($B101,INDIRECT($B$5&amp;"生成成长"),4))/(VLOOKUP(BS$72,INDIRECT($C$5&amp;"生成成长"),5))*(VLOOKUP($B$5,标准坦克设计!$B$24:$U$30,MATCH("对"&amp;LEFT($C$5,2)&amp;"输出",标准坦克设计!$B$23:$U$23,0)))*(VLOOKUP($B101,INDIRECT($B$5&amp;"生成成长"),3))*(VLOOKUP($B$5,标准坦克设计!$B$14:$K$20,9)/30))</f>
        <v>8.6340371572814032</v>
      </c>
      <c r="BT101" s="173">
        <f ca="1">(VLOOKUP(BT$72,INDIRECT($C$5&amp;"生成成长"),2))/((VLOOKUP($B101,INDIRECT($B$5&amp;"生成成长"),4))/(VLOOKUP(BT$72,INDIRECT($C$5&amp;"生成成长"),5))*(VLOOKUP($B$5,标准坦克设计!$B$24:$U$30,MATCH("对"&amp;LEFT($C$5,2)&amp;"输出",标准坦克设计!$B$23:$U$23,0)))*(VLOOKUP($B101,INDIRECT($B$5&amp;"生成成长"),3))*(VLOOKUP($B$5,标准坦克设计!$B$14:$K$20,9)/30))</f>
        <v>9.347301548972764</v>
      </c>
      <c r="BU101" s="173">
        <f ca="1">(VLOOKUP(BU$72,INDIRECT($C$5&amp;"生成成长"),2))/((VLOOKUP($B101,INDIRECT($B$5&amp;"生成成长"),4))/(VLOOKUP(BU$72,INDIRECT($C$5&amp;"生成成长"),5))*(VLOOKUP($B$5,标准坦克设计!$B$24:$U$30,MATCH("对"&amp;LEFT($C$5,2)&amp;"输出",标准坦克设计!$B$23:$U$23,0)))*(VLOOKUP($B101,INDIRECT($B$5&amp;"生成成长"),3))*(VLOOKUP($B$5,标准坦克设计!$B$14:$K$20,9)/30))</f>
        <v>10.088870083191562</v>
      </c>
      <c r="BV101" s="173">
        <f ca="1">(VLOOKUP(BV$72,INDIRECT($C$5&amp;"生成成长"),2))/((VLOOKUP($B101,INDIRECT($B$5&amp;"生成成长"),4))/(VLOOKUP(BV$72,INDIRECT($C$5&amp;"生成成长"),5))*(VLOOKUP($B$5,标准坦克设计!$B$24:$U$30,MATCH("对"&amp;LEFT($C$5,2)&amp;"输出",标准坦克设计!$B$23:$U$23,0)))*(VLOOKUP($B101,INDIRECT($B$5&amp;"生成成长"),3))*(VLOOKUP($B$5,标准坦克设计!$B$14:$K$20,9)/30))</f>
        <v>10.858742759937792</v>
      </c>
      <c r="BW101" s="173">
        <f ca="1">(VLOOKUP(BW$72,INDIRECT($C$5&amp;"生成成长"),2))/((VLOOKUP($B101,INDIRECT($B$5&amp;"生成成长"),4))/(VLOOKUP(BW$72,INDIRECT($C$5&amp;"生成成长"),5))*(VLOOKUP($B$5,标准坦克设计!$B$24:$U$30,MATCH("对"&amp;LEFT($C$5,2)&amp;"输出",标准坦克设计!$B$23:$U$23,0)))*(VLOOKUP($B101,INDIRECT($B$5&amp;"生成成长"),3))*(VLOOKUP($B$5,标准坦克设计!$B$14:$K$20,9)/30))</f>
        <v>4.9488378002093691</v>
      </c>
      <c r="BX101" s="173">
        <f ca="1">(VLOOKUP(BX$72,INDIRECT($C$5&amp;"生成成长"),2))/((VLOOKUP($B101,INDIRECT($B$5&amp;"生成成长"),4))/(VLOOKUP(BX$72,INDIRECT($C$5&amp;"生成成长"),5))*(VLOOKUP($B$5,标准坦克设计!$B$24:$U$30,MATCH("对"&amp;LEFT($C$5,2)&amp;"输出",标准坦克设计!$B$23:$U$23,0)))*(VLOOKUP($B101,INDIRECT($B$5&amp;"生成成长"),3))*(VLOOKUP($B$5,标准坦克设计!$B$14:$K$20,9)/30))</f>
        <v>5.4922773367361204</v>
      </c>
      <c r="BY101" s="173">
        <f ca="1">(VLOOKUP(BY$72,INDIRECT($C$5&amp;"生成成长"),2))/((VLOOKUP($B101,INDIRECT($B$5&amp;"生成成长"),4))/(VLOOKUP(BY$72,INDIRECT($C$5&amp;"生成成长"),5))*(VLOOKUP($B$5,标准坦克设计!$B$24:$U$30,MATCH("对"&amp;LEFT($C$5,2)&amp;"输出",标准坦克设计!$B$23:$U$23,0)))*(VLOOKUP($B101,INDIRECT($B$5&amp;"生成成长"),3))*(VLOOKUP($B$5,标准坦克设计!$B$14:$K$20,9)/30))</f>
        <v>6.0640210157903072</v>
      </c>
      <c r="BZ101" s="173">
        <f ca="1">(VLOOKUP(BZ$72,INDIRECT($C$5&amp;"生成成长"),2))/((VLOOKUP($B101,INDIRECT($B$5&amp;"生成成长"),4))/(VLOOKUP(BZ$72,INDIRECT($C$5&amp;"生成成长"),5))*(VLOOKUP($B$5,标准坦克设计!$B$24:$U$30,MATCH("对"&amp;LEFT($C$5,2)&amp;"输出",标准坦克设计!$B$23:$U$23,0)))*(VLOOKUP($B101,INDIRECT($B$5&amp;"生成成长"),3))*(VLOOKUP($B$5,标准坦克设计!$B$14:$K$20,9)/30))</f>
        <v>6.6640688373719286</v>
      </c>
      <c r="CA101" s="173">
        <f ca="1">(VLOOKUP(CA$72,INDIRECT($C$5&amp;"生成成长"),2))/((VLOOKUP($B101,INDIRECT($B$5&amp;"生成成长"),4))/(VLOOKUP(CA$72,INDIRECT($C$5&amp;"生成成长"),5))*(VLOOKUP($B$5,标准坦克设计!$B$24:$U$30,MATCH("对"&amp;LEFT($C$5,2)&amp;"输出",标准坦克设计!$B$23:$U$23,0)))*(VLOOKUP($B101,INDIRECT($B$5&amp;"生成成长"),3))*(VLOOKUP($B$5,标准坦克设计!$B$14:$K$20,9)/30))</f>
        <v>7.2924208014809855</v>
      </c>
      <c r="CB101" s="173">
        <f ca="1">(VLOOKUP(CB$72,INDIRECT($C$5&amp;"生成成长"),2))/((VLOOKUP($B101,INDIRECT($B$5&amp;"生成成长"),4))/(VLOOKUP(CB$72,INDIRECT($C$5&amp;"生成成长"),5))*(VLOOKUP($B$5,标准坦克设计!$B$24:$U$30,MATCH("对"&amp;LEFT($C$5,2)&amp;"输出",标准坦克设计!$B$23:$U$23,0)))*(VLOOKUP($B101,INDIRECT($B$5&amp;"生成成长"),3))*(VLOOKUP($B$5,标准坦克设计!$B$14:$K$20,9)/30))</f>
        <v>7.9490769081174761</v>
      </c>
      <c r="CC101" s="173">
        <f ca="1">(VLOOKUP(CC$72,INDIRECT($C$5&amp;"生成成长"),2))/((VLOOKUP($B101,INDIRECT($B$5&amp;"生成成长"),4))/(VLOOKUP(CC$72,INDIRECT($C$5&amp;"生成成长"),5))*(VLOOKUP($B$5,标准坦克设计!$B$24:$U$30,MATCH("对"&amp;LEFT($C$5,2)&amp;"输出",标准坦克设计!$B$23:$U$23,0)))*(VLOOKUP($B101,INDIRECT($B$5&amp;"生成成长"),3))*(VLOOKUP($B$5,标准坦克设计!$B$14:$K$20,9)/30))</f>
        <v>8.6340371572814032</v>
      </c>
      <c r="CD101" s="173">
        <f ca="1">(VLOOKUP(CD$72,INDIRECT($C$5&amp;"生成成长"),2))/((VLOOKUP($B101,INDIRECT($B$5&amp;"生成成长"),4))/(VLOOKUP(CD$72,INDIRECT($C$5&amp;"生成成长"),5))*(VLOOKUP($B$5,标准坦克设计!$B$24:$U$30,MATCH("对"&amp;LEFT($C$5,2)&amp;"输出",标准坦克设计!$B$23:$U$23,0)))*(VLOOKUP($B101,INDIRECT($B$5&amp;"生成成长"),3))*(VLOOKUP($B$5,标准坦克设计!$B$14:$K$20,9)/30))</f>
        <v>9.347301548972764</v>
      </c>
      <c r="CE101" s="173">
        <f ca="1">(VLOOKUP(CE$72,INDIRECT($C$5&amp;"生成成长"),2))/((VLOOKUP($B101,INDIRECT($B$5&amp;"生成成长"),4))/(VLOOKUP(CE$72,INDIRECT($C$5&amp;"生成成长"),5))*(VLOOKUP($B$5,标准坦克设计!$B$24:$U$30,MATCH("对"&amp;LEFT($C$5,2)&amp;"输出",标准坦克设计!$B$23:$U$23,0)))*(VLOOKUP($B101,INDIRECT($B$5&amp;"生成成长"),3))*(VLOOKUP($B$5,标准坦克设计!$B$14:$K$20,9)/30))</f>
        <v>10.088870083191562</v>
      </c>
      <c r="CF101" s="173">
        <f ca="1">(VLOOKUP(CF$72,INDIRECT($C$5&amp;"生成成长"),2))/((VLOOKUP($B101,INDIRECT($B$5&amp;"生成成长"),4))/(VLOOKUP(CF$72,INDIRECT($C$5&amp;"生成成长"),5))*(VLOOKUP($B$5,标准坦克设计!$B$24:$U$30,MATCH("对"&amp;LEFT($C$5,2)&amp;"输出",标准坦克设计!$B$23:$U$23,0)))*(VLOOKUP($B101,INDIRECT($B$5&amp;"生成成长"),3))*(VLOOKUP($B$5,标准坦克设计!$B$14:$K$20,9)/30))</f>
        <v>10.858742759937792</v>
      </c>
      <c r="CG101" s="173">
        <f ca="1">(VLOOKUP(CG$72,INDIRECT($C$5&amp;"生成成长"),2))/((VLOOKUP($B101,INDIRECT($B$5&amp;"生成成长"),4))/(VLOOKUP(CG$72,INDIRECT($C$5&amp;"生成成长"),5))*(VLOOKUP($B$5,标准坦克设计!$B$24:$U$30,MATCH("对"&amp;LEFT($C$5,2)&amp;"输出",标准坦克设计!$B$23:$U$23,0)))*(VLOOKUP($B101,INDIRECT($B$5&amp;"生成成长"),3))*(VLOOKUP($B$5,标准坦克设计!$B$14:$K$20,9)/30))</f>
        <v>11.656919579211459</v>
      </c>
      <c r="CH101" s="173">
        <f ca="1">(VLOOKUP(CH$72,INDIRECT($C$5&amp;"生成成长"),2))/((VLOOKUP($B101,INDIRECT($B$5&amp;"生成成长"),4))/(VLOOKUP(CH$72,INDIRECT($C$5&amp;"生成成长"),5))*(VLOOKUP($B$5,标准坦克设计!$B$24:$U$30,MATCH("对"&amp;LEFT($C$5,2)&amp;"输出",标准坦克设计!$B$23:$U$23,0)))*(VLOOKUP($B101,INDIRECT($B$5&amp;"生成成长"),3))*(VLOOKUP($B$5,标准坦克设计!$B$14:$K$20,9)/30))</f>
        <v>12.483400541012561</v>
      </c>
      <c r="CI101" s="173">
        <f ca="1">(VLOOKUP(CI$72,INDIRECT($C$5&amp;"生成成长"),2))/((VLOOKUP($B101,INDIRECT($B$5&amp;"生成成长"),4))/(VLOOKUP(CI$72,INDIRECT($C$5&amp;"生成成长"),5))*(VLOOKUP($B$5,标准坦克设计!$B$24:$U$30,MATCH("对"&amp;LEFT($C$5,2)&amp;"输出",标准坦克设计!$B$23:$U$23,0)))*(VLOOKUP($B101,INDIRECT($B$5&amp;"生成成长"),3))*(VLOOKUP($B$5,标准坦克设计!$B$14:$K$20,9)/30))</f>
        <v>13.42522088361296</v>
      </c>
      <c r="CJ101" s="173">
        <f ca="1">(VLOOKUP(CJ$72,INDIRECT($C$5&amp;"生成成长"),2))/((VLOOKUP($B101,INDIRECT($B$5&amp;"生成成长"),4))/(VLOOKUP(CJ$72,INDIRECT($C$5&amp;"生成成长"),5))*(VLOOKUP($B$5,标准坦克设计!$B$24:$U$30,MATCH("对"&amp;LEFT($C$5,2)&amp;"输出",标准坦克设计!$B$23:$U$23,0)))*(VLOOKUP($B101,INDIRECT($B$5&amp;"生成成长"),3))*(VLOOKUP($B$5,标准坦克设计!$B$14:$K$20,9)/30))</f>
        <v>14.401289238671556</v>
      </c>
      <c r="CK101" s="173">
        <f ca="1">(VLOOKUP(CK$72,INDIRECT($C$5&amp;"生成成长"),2))/((VLOOKUP($B101,INDIRECT($B$5&amp;"生成成长"),4))/(VLOOKUP(CK$72,INDIRECT($C$5&amp;"生成成长"),5))*(VLOOKUP($B$5,标准坦克设计!$B$24:$U$30,MATCH("对"&amp;LEFT($C$5,2)&amp;"输出",标准坦克设计!$B$23:$U$23,0)))*(VLOOKUP($B101,INDIRECT($B$5&amp;"生成成长"),3))*(VLOOKUP($B$5,标准坦克设计!$B$14:$K$20,9)/30))</f>
        <v>15.411605606188346</v>
      </c>
      <c r="CL101" s="173">
        <f ca="1">(VLOOKUP(CL$72,INDIRECT($C$5&amp;"生成成长"),2))/((VLOOKUP($B101,INDIRECT($B$5&amp;"生成成长"),4))/(VLOOKUP(CL$72,INDIRECT($C$5&amp;"生成成长"),5))*(VLOOKUP($B$5,标准坦克设计!$B$24:$U$30,MATCH("对"&amp;LEFT($C$5,2)&amp;"输出",标准坦克设计!$B$23:$U$23,0)))*(VLOOKUP($B101,INDIRECT($B$5&amp;"生成成长"),3))*(VLOOKUP($B$5,标准坦克设计!$B$14:$K$20,9)/30))</f>
        <v>16.456169986163331</v>
      </c>
      <c r="CM101" s="173">
        <f ca="1">(VLOOKUP(CM$72,INDIRECT($C$5&amp;"生成成长"),2))/((VLOOKUP($B101,INDIRECT($B$5&amp;"生成成长"),4))/(VLOOKUP(CM$72,INDIRECT($C$5&amp;"生成成长"),5))*(VLOOKUP($B$5,标准坦克设计!$B$24:$U$30,MATCH("对"&amp;LEFT($C$5,2)&amp;"输出",标准坦克设计!$B$23:$U$23,0)))*(VLOOKUP($B101,INDIRECT($B$5&amp;"生成成长"),3))*(VLOOKUP($B$5,标准坦克设计!$B$14:$K$20,9)/30))</f>
        <v>17.534982378596521</v>
      </c>
      <c r="CN101" s="173">
        <f ca="1">(VLOOKUP(CN$72,INDIRECT($C$5&amp;"生成成长"),2))/((VLOOKUP($B101,INDIRECT($B$5&amp;"生成成长"),4))/(VLOOKUP(CN$72,INDIRECT($C$5&amp;"生成成长"),5))*(VLOOKUP($B$5,标准坦克设计!$B$24:$U$30,MATCH("对"&amp;LEFT($C$5,2)&amp;"输出",标准坦克设计!$B$23:$U$23,0)))*(VLOOKUP($B101,INDIRECT($B$5&amp;"生成成长"),3))*(VLOOKUP($B$5,标准坦克设计!$B$14:$K$20,9)/30))</f>
        <v>18.648042783487899</v>
      </c>
      <c r="CO101" s="173">
        <f ca="1">(VLOOKUP(CO$72,INDIRECT($C$5&amp;"生成成长"),2))/((VLOOKUP($B101,INDIRECT($B$5&amp;"生成成长"),4))/(VLOOKUP(CO$72,INDIRECT($C$5&amp;"生成成长"),5))*(VLOOKUP($B$5,标准坦克设计!$B$24:$U$30,MATCH("对"&amp;LEFT($C$5,2)&amp;"输出",标准坦克设计!$B$23:$U$23,0)))*(VLOOKUP($B101,INDIRECT($B$5&amp;"生成成长"),3))*(VLOOKUP($B$5,标准坦克设计!$B$14:$K$20,9)/30))</f>
        <v>8.3566565605125387</v>
      </c>
      <c r="CP101" s="173">
        <f ca="1">(VLOOKUP(CP$72,INDIRECT($C$5&amp;"生成成长"),2))/((VLOOKUP($B101,INDIRECT($B$5&amp;"生成成长"),4))/(VLOOKUP(CP$72,INDIRECT($C$5&amp;"生成成长"),5))*(VLOOKUP($B$5,标准坦克设计!$B$24:$U$30,MATCH("对"&amp;LEFT($C$5,2)&amp;"输出",标准坦克设计!$B$23:$U$23,0)))*(VLOOKUP($B101,INDIRECT($B$5&amp;"生成成长"),3))*(VLOOKUP($B$5,标准坦克设计!$B$14:$K$20,9)/30))</f>
        <v>9.1303502964999765</v>
      </c>
      <c r="CQ101" s="173">
        <f ca="1">(VLOOKUP(CQ$72,INDIRECT($C$5&amp;"生成成长"),2))/((VLOOKUP($B101,INDIRECT($B$5&amp;"生成成长"),4))/(VLOOKUP(CQ$72,INDIRECT($C$5&amp;"生成成长"),5))*(VLOOKUP($B$5,标准坦克设计!$B$24:$U$30,MATCH("对"&amp;LEFT($C$5,2)&amp;"输出",标准坦克设计!$B$23:$U$23,0)))*(VLOOKUP($B101,INDIRECT($B$5&amp;"生成成长"),3))*(VLOOKUP($B$5,标准坦克设计!$B$14:$K$20,9)/30))</f>
        <v>9.9382920449456087</v>
      </c>
      <c r="CR101" s="173">
        <f ca="1">(VLOOKUP(CR$72,INDIRECT($C$5&amp;"生成成长"),2))/((VLOOKUP($B101,INDIRECT($B$5&amp;"生成成长"),4))/(VLOOKUP(CR$72,INDIRECT($C$5&amp;"生成成长"),5))*(VLOOKUP($B$5,标准坦克设计!$B$24:$U$30,MATCH("对"&amp;LEFT($C$5,2)&amp;"输出",标准坦克设计!$B$23:$U$23,0)))*(VLOOKUP($B101,INDIRECT($B$5&amp;"生成成长"),3))*(VLOOKUP($B$5,标准坦克设计!$B$14:$K$20,9)/30))</f>
        <v>10.780481805849435</v>
      </c>
      <c r="CS101" s="173">
        <f ca="1">(VLOOKUP(CS$72,INDIRECT($C$5&amp;"生成成长"),2))/((VLOOKUP($B101,INDIRECT($B$5&amp;"生成成长"),4))/(VLOOKUP(CS$72,INDIRECT($C$5&amp;"生成成长"),5))*(VLOOKUP($B$5,标准坦克设计!$B$24:$U$30,MATCH("对"&amp;LEFT($C$5,2)&amp;"输出",标准坦克设计!$B$23:$U$23,0)))*(VLOOKUP($B101,INDIRECT($B$5&amp;"生成成长"),3))*(VLOOKUP($B$5,标准坦克设计!$B$14:$K$20,9)/30))</f>
        <v>11.656919579211459</v>
      </c>
      <c r="CT101" s="173">
        <f ca="1">(VLOOKUP(CT$72,INDIRECT($C$5&amp;"生成成长"),2))/((VLOOKUP($B101,INDIRECT($B$5&amp;"生成成长"),4))/(VLOOKUP(CT$72,INDIRECT($C$5&amp;"生成成长"),5))*(VLOOKUP($B$5,标准坦克设计!$B$24:$U$30,MATCH("对"&amp;LEFT($C$5,2)&amp;"输出",标准坦克设计!$B$23:$U$23,0)))*(VLOOKUP($B101,INDIRECT($B$5&amp;"生成成长"),3))*(VLOOKUP($B$5,标准坦克设计!$B$14:$K$20,9)/30))</f>
        <v>12.56760536503168</v>
      </c>
      <c r="CU101" s="173">
        <f ca="1">(VLOOKUP(CU$72,INDIRECT($C$5&amp;"生成成长"),2))/((VLOOKUP($B101,INDIRECT($B$5&amp;"生成成长"),4))/(VLOOKUP(CU$72,INDIRECT($C$5&amp;"生成成长"),5))*(VLOOKUP($B$5,标准坦克设计!$B$24:$U$30,MATCH("对"&amp;LEFT($C$5,2)&amp;"输出",标准坦克设计!$B$23:$U$23,0)))*(VLOOKUP($B101,INDIRECT($B$5&amp;"生成成长"),3))*(VLOOKUP($B$5,标准坦克设计!$B$14:$K$20,9)/30))</f>
        <v>13.512539163310098</v>
      </c>
      <c r="CV101" s="173">
        <f ca="1">(VLOOKUP(CV$72,INDIRECT($C$5&amp;"生成成长"),2))/((VLOOKUP($B101,INDIRECT($B$5&amp;"生成成长"),4))/(VLOOKUP(CV$72,INDIRECT($C$5&amp;"生成成长"),5))*(VLOOKUP($B$5,标准坦克设计!$B$24:$U$30,MATCH("对"&amp;LEFT($C$5,2)&amp;"输出",标准坦克设计!$B$23:$U$23,0)))*(VLOOKUP($B101,INDIRECT($B$5&amp;"生成成长"),3))*(VLOOKUP($B$5,标准坦克设计!$B$14:$K$20,9)/30))</f>
        <v>14.491720974046711</v>
      </c>
      <c r="CW101" s="173">
        <f ca="1">(VLOOKUP(CW$72,INDIRECT($C$5&amp;"生成成长"),2))/((VLOOKUP($B101,INDIRECT($B$5&amp;"生成成长"),4))/(VLOOKUP(CW$72,INDIRECT($C$5&amp;"生成成长"),5))*(VLOOKUP($B$5,标准坦克设计!$B$24:$U$30,MATCH("对"&amp;LEFT($C$5,2)&amp;"输出",标准坦克设计!$B$23:$U$23,0)))*(VLOOKUP($B101,INDIRECT($B$5&amp;"生成成长"),3))*(VLOOKUP($B$5,标准坦克设计!$B$14:$K$20,9)/30))</f>
        <v>15.505150797241521</v>
      </c>
      <c r="CX101" s="173">
        <f ca="1">(VLOOKUP(CX$72,INDIRECT($C$5&amp;"生成成长"),2))/((VLOOKUP($B101,INDIRECT($B$5&amp;"生成成长"),4))/(VLOOKUP(CX$72,INDIRECT($C$5&amp;"生成成长"),5))*(VLOOKUP($B$5,标准坦克设计!$B$24:$U$30,MATCH("对"&amp;LEFT($C$5,2)&amp;"输出",标准坦克设计!$B$23:$U$23,0)))*(VLOOKUP($B101,INDIRECT($B$5&amp;"生成成长"),3))*(VLOOKUP($B$5,标准坦克设计!$B$14:$K$20,9)/30))</f>
        <v>16.552828632894524</v>
      </c>
      <c r="CY101" s="173">
        <f ca="1">(VLOOKUP(CY$72,INDIRECT($C$5&amp;"生成成长"),2))/((VLOOKUP($B101,INDIRECT($B$5&amp;"生成成长"),4))/(VLOOKUP(CY$72,INDIRECT($C$5&amp;"生成成长"),5))*(VLOOKUP($B$5,标准坦克设计!$B$24:$U$30,MATCH("对"&amp;LEFT($C$5,2)&amp;"输出",标准坦克设计!$B$23:$U$23,0)))*(VLOOKUP($B101,INDIRECT($B$5&amp;"生成成长"),3))*(VLOOKUP($B$5,标准坦克设计!$B$14:$K$20,9)/30))</f>
        <v>17.634754481005725</v>
      </c>
      <c r="CZ101" s="173">
        <f ca="1">(VLOOKUP(CZ$72,INDIRECT($C$5&amp;"生成成长"),2))/((VLOOKUP($B101,INDIRECT($B$5&amp;"生成成长"),4))/(VLOOKUP(CZ$72,INDIRECT($C$5&amp;"生成成长"),5))*(VLOOKUP($B$5,标准坦克设计!$B$24:$U$30,MATCH("对"&amp;LEFT($C$5,2)&amp;"输出",标准坦克设计!$B$23:$U$23,0)))*(VLOOKUP($B101,INDIRECT($B$5&amp;"生成成长"),3))*(VLOOKUP($B$5,标准坦克设计!$B$14:$K$20,9)/30))</f>
        <v>18.750928341575126</v>
      </c>
      <c r="DA101" s="173">
        <f ca="1">(VLOOKUP(DA$72,INDIRECT($C$5&amp;"生成成长"),2))/((VLOOKUP($B101,INDIRECT($B$5&amp;"生成成长"),4))/(VLOOKUP(DA$72,INDIRECT($C$5&amp;"生成成长"),5))*(VLOOKUP($B$5,标准坦克设计!$B$24:$U$30,MATCH("对"&amp;LEFT($C$5,2)&amp;"输出",标准坦克设计!$B$23:$U$23,0)))*(VLOOKUP($B101,INDIRECT($B$5&amp;"生成成长"),3))*(VLOOKUP($B$5,标准坦克设计!$B$14:$K$20,9)/30))</f>
        <v>19.901350214602722</v>
      </c>
      <c r="DB101" s="173">
        <f ca="1">(VLOOKUP(DB$72,INDIRECT($C$5&amp;"生成成长"),2))/((VLOOKUP($B101,INDIRECT($B$5&amp;"生成成长"),4))/(VLOOKUP(DB$72,INDIRECT($C$5&amp;"生成成长"),5))*(VLOOKUP($B$5,标准坦克设计!$B$24:$U$30,MATCH("对"&amp;LEFT($C$5,2)&amp;"输出",标准坦克设计!$B$23:$U$23,0)))*(VLOOKUP($B101,INDIRECT($B$5&amp;"生成成长"),3))*(VLOOKUP($B$5,标准坦克设计!$B$14:$K$20,9)/30))</f>
        <v>21.086020100088511</v>
      </c>
      <c r="DC101" s="173">
        <f ca="1">(VLOOKUP(DC$72,INDIRECT($C$5&amp;"生成成长"),2))/((VLOOKUP($B101,INDIRECT($B$5&amp;"生成成长"),4))/(VLOOKUP(DC$72,INDIRECT($C$5&amp;"生成成长"),5))*(VLOOKUP($B$5,标准坦克设计!$B$24:$U$30,MATCH("对"&amp;LEFT($C$5,2)&amp;"输出",标准坦克设计!$B$23:$U$23,0)))*(VLOOKUP($B101,INDIRECT($B$5&amp;"生成成长"),3))*(VLOOKUP($B$5,标准坦克设计!$B$14:$K$20,9)/30))</f>
        <v>22.41744696457905</v>
      </c>
      <c r="DD101" s="173">
        <f ca="1">(VLOOKUP(DD$72,INDIRECT($C$5&amp;"生成成长"),2))/((VLOOKUP($B101,INDIRECT($B$5&amp;"生成成长"),4))/(VLOOKUP(DD$72,INDIRECT($C$5&amp;"生成成长"),5))*(VLOOKUP($B$5,标准坦克设计!$B$24:$U$30,MATCH("对"&amp;LEFT($C$5,2)&amp;"输出",标准坦克设计!$B$23:$U$23,0)))*(VLOOKUP($B101,INDIRECT($B$5&amp;"生成成长"),3))*(VLOOKUP($B$5,标准坦克设计!$B$14:$K$20,9)/30))</f>
        <v>23.789631794309102</v>
      </c>
      <c r="DE101" s="173">
        <f ca="1">(VLOOKUP(DE$72,INDIRECT($C$5&amp;"生成成长"),2))/((VLOOKUP($B101,INDIRECT($B$5&amp;"生成成长"),4))/(VLOOKUP(DE$72,INDIRECT($C$5&amp;"生成成长"),5))*(VLOOKUP($B$5,标准坦克设计!$B$24:$U$30,MATCH("对"&amp;LEFT($C$5,2)&amp;"输出",标准坦克设计!$B$23:$U$23,0)))*(VLOOKUP($B101,INDIRECT($B$5&amp;"生成成长"),3))*(VLOOKUP($B$5,标准坦克设计!$B$14:$K$20,9)/30))</f>
        <v>25.202574589278651</v>
      </c>
      <c r="DF101" s="173">
        <f ca="1">(VLOOKUP(DF$72,INDIRECT($C$5&amp;"生成成长"),2))/((VLOOKUP($B101,INDIRECT($B$5&amp;"生成成长"),4))/(VLOOKUP(DF$72,INDIRECT($C$5&amp;"生成成长"),5))*(VLOOKUP($B$5,标准坦克设计!$B$24:$U$30,MATCH("对"&amp;LEFT($C$5,2)&amp;"输出",标准坦克设计!$B$23:$U$23,0)))*(VLOOKUP($B101,INDIRECT($B$5&amp;"生成成长"),3))*(VLOOKUP($B$5,标准坦克设计!$B$14:$K$20,9)/30))</f>
        <v>26.656275349487714</v>
      </c>
      <c r="DG101" s="173">
        <f ca="1">(VLOOKUP(DG$72,INDIRECT($C$5&amp;"生成成长"),2))/((VLOOKUP($B101,INDIRECT($B$5&amp;"生成成长"),4))/(VLOOKUP(DG$72,INDIRECT($C$5&amp;"生成成长"),5))*(VLOOKUP($B$5,标准坦克设计!$B$24:$U$30,MATCH("对"&amp;LEFT($C$5,2)&amp;"输出",标准坦克设计!$B$23:$U$23,0)))*(VLOOKUP($B101,INDIRECT($B$5&amp;"生成成长"),3))*(VLOOKUP($B$5,标准坦克设计!$B$14:$K$20,9)/30))</f>
        <v>28.150734074936281</v>
      </c>
      <c r="DH101" s="173">
        <f ca="1">(VLOOKUP(DH$72,INDIRECT($C$5&amp;"生成成长"),2))/((VLOOKUP($B101,INDIRECT($B$5&amp;"生成成长"),4))/(VLOOKUP(DH$72,INDIRECT($C$5&amp;"生成成长"),5))*(VLOOKUP($B$5,标准坦克设计!$B$24:$U$30,MATCH("对"&amp;LEFT($C$5,2)&amp;"输出",标准坦克设计!$B$23:$U$23,0)))*(VLOOKUP($B101,INDIRECT($B$5&amp;"生成成长"),3))*(VLOOKUP($B$5,标准坦克设计!$B$14:$K$20,9)/30))</f>
        <v>29.685950765624355</v>
      </c>
      <c r="DI101" s="173">
        <f ca="1">(VLOOKUP(DI$72,INDIRECT($C$5&amp;"生成成长"),2))/((VLOOKUP($B101,INDIRECT($B$5&amp;"生成成长"),4))/(VLOOKUP(DI$72,INDIRECT($C$5&amp;"生成成长"),5))*(VLOOKUP($B$5,标准坦克设计!$B$24:$U$30,MATCH("对"&amp;LEFT($C$5,2)&amp;"输出",标准坦克设计!$B$23:$U$23,0)))*(VLOOKUP($B101,INDIRECT($B$5&amp;"生成成长"),3))*(VLOOKUP($B$5,标准坦克设计!$B$14:$K$20,9)/30))</f>
        <v>31.261925421551926</v>
      </c>
      <c r="DJ101" s="173">
        <f ca="1">(VLOOKUP(DJ$72,INDIRECT($C$5&amp;"生成成长"),2))/((VLOOKUP($B101,INDIRECT($B$5&amp;"生成成长"),4))/(VLOOKUP(DJ$72,INDIRECT($C$5&amp;"生成成长"),5))*(VLOOKUP($B$5,标准坦克设计!$B$24:$U$30,MATCH("对"&amp;LEFT($C$5,2)&amp;"输出",标准坦克设计!$B$23:$U$23,0)))*(VLOOKUP($B101,INDIRECT($B$5&amp;"生成成长"),3))*(VLOOKUP($B$5,标准坦克设计!$B$14:$K$20,9)/30))</f>
        <v>3.14190134125792</v>
      </c>
      <c r="DK101" s="173">
        <f ca="1">(VLOOKUP(DK$72,INDIRECT($C$5&amp;"生成成长"),2))/((VLOOKUP($B101,INDIRECT($B$5&amp;"生成成长"),4))/(VLOOKUP(DK$72,INDIRECT($C$5&amp;"生成成长"),5))*(VLOOKUP($B$5,标准坦克设计!$B$24:$U$30,MATCH("对"&amp;LEFT($C$5,2)&amp;"输出",标准坦克设计!$B$23:$U$23,0)))*(VLOOKUP($B101,INDIRECT($B$5&amp;"生成成长"),3))*(VLOOKUP($B$5,标准坦克设计!$B$14:$K$20,9)/30))</f>
        <v>3.5329230702744341</v>
      </c>
      <c r="DL101" s="173">
        <f ca="1">(VLOOKUP(DL$72,INDIRECT($C$5&amp;"生成成长"),2))/((VLOOKUP($B101,INDIRECT($B$5&amp;"生成成长"),4))/(VLOOKUP(DL$72,INDIRECT($C$5&amp;"生成成长"),5))*(VLOOKUP($B$5,标准坦克设计!$B$24:$U$30,MATCH("对"&amp;LEFT($C$5,2)&amp;"输出",标准坦克设计!$B$23:$U$23,0)))*(VLOOKUP($B101,INDIRECT($B$5&amp;"生成成长"),3))*(VLOOKUP($B$5,标准坦克设计!$B$14:$K$20,9)/30))</f>
        <v>3.946871154738171</v>
      </c>
      <c r="DM101" s="173">
        <f ca="1">(VLOOKUP(DM$72,INDIRECT($C$5&amp;"生成成长"),2))/((VLOOKUP($B101,INDIRECT($B$5&amp;"生成成长"),4))/(VLOOKUP(DM$72,INDIRECT($C$5&amp;"生成成长"),5))*(VLOOKUP($B$5,标准坦克设计!$B$24:$U$30,MATCH("对"&amp;LEFT($C$5,2)&amp;"输出",标准坦克设计!$B$23:$U$23,0)))*(VLOOKUP($B101,INDIRECT($B$5&amp;"生成成长"),3))*(VLOOKUP($B$5,标准坦克设计!$B$14:$K$20,9)/30))</f>
        <v>4.3837455946491302</v>
      </c>
      <c r="DN101" s="173">
        <f ca="1">(VLOOKUP(DN$72,INDIRECT($C$5&amp;"生成成长"),2))/((VLOOKUP($B101,INDIRECT($B$5&amp;"生成成长"),4))/(VLOOKUP(DN$72,INDIRECT($C$5&amp;"生成成长"),5))*(VLOOKUP($B$5,标准坦克设计!$B$24:$U$30,MATCH("对"&amp;LEFT($C$5,2)&amp;"输出",标准坦克设计!$B$23:$U$23,0)))*(VLOOKUP($B101,INDIRECT($B$5&amp;"生成成长"),3))*(VLOOKUP($B$5,标准坦克设计!$B$14:$K$20,9)/30))</f>
        <v>4.8435463900073108</v>
      </c>
      <c r="DO101" s="173">
        <f ca="1">(VLOOKUP(DO$72,INDIRECT($C$5&amp;"生成成长"),2))/((VLOOKUP($B101,INDIRECT($B$5&amp;"生成成长"),4))/(VLOOKUP(DO$72,INDIRECT($C$5&amp;"生成成长"),5))*(VLOOKUP($B$5,标准坦克设计!$B$24:$U$30,MATCH("对"&amp;LEFT($C$5,2)&amp;"输出",标准坦克设计!$B$23:$U$23,0)))*(VLOOKUP($B101,INDIRECT($B$5&amp;"生成成长"),3))*(VLOOKUP($B$5,标准坦克设计!$B$14:$K$20,9)/30))</f>
        <v>5.3262735408127142</v>
      </c>
      <c r="DP101" s="173">
        <f ca="1">(VLOOKUP(DP$72,INDIRECT($C$5&amp;"生成成长"),2))/((VLOOKUP($B101,INDIRECT($B$5&amp;"生成成长"),4))/(VLOOKUP(DP$72,INDIRECT($C$5&amp;"生成成长"),5))*(VLOOKUP($B$5,标准坦克设计!$B$24:$U$30,MATCH("对"&amp;LEFT($C$5,2)&amp;"输出",标准坦克设计!$B$23:$U$23,0)))*(VLOOKUP($B101,INDIRECT($B$5&amp;"生成成长"),3))*(VLOOKUP($B$5,标准坦克设计!$B$14:$K$20,9)/30))</f>
        <v>5.8319270470653404</v>
      </c>
      <c r="DQ101" s="173">
        <f ca="1">(VLOOKUP(DQ$72,INDIRECT($C$5&amp;"生成成长"),2))/((VLOOKUP($B101,INDIRECT($B$5&amp;"生成成长"),4))/(VLOOKUP(DQ$72,INDIRECT($C$5&amp;"生成成长"),5))*(VLOOKUP($B$5,标准坦克设计!$B$24:$U$30,MATCH("对"&amp;LEFT($C$5,2)&amp;"输出",标准坦克设计!$B$23:$U$23,0)))*(VLOOKUP($B101,INDIRECT($B$5&amp;"生成成长"),3))*(VLOOKUP($B$5,标准坦克设计!$B$14:$K$20,9)/30))</f>
        <v>6.3605069087651884</v>
      </c>
      <c r="DR101" s="173">
        <f ca="1">(VLOOKUP(DR$72,INDIRECT($C$5&amp;"生成成长"),2))/((VLOOKUP($B101,INDIRECT($B$5&amp;"生成成长"),4))/(VLOOKUP(DR$72,INDIRECT($C$5&amp;"生成成长"),5))*(VLOOKUP($B$5,标准坦克设计!$B$24:$U$30,MATCH("对"&amp;LEFT($C$5,2)&amp;"输出",标准坦克设计!$B$23:$U$23,0)))*(VLOOKUP($B101,INDIRECT($B$5&amp;"生成成长"),3))*(VLOOKUP($B$5,标准坦克设计!$B$14:$K$20,9)/30))</f>
        <v>6.9120131259122592</v>
      </c>
      <c r="DS101" s="173">
        <f ca="1">(VLOOKUP(DS$72,INDIRECT($C$5&amp;"生成成长"),2))/((VLOOKUP($B101,INDIRECT($B$5&amp;"生成成长"),4))/(VLOOKUP(DS$72,INDIRECT($C$5&amp;"生成成长"),5))*(VLOOKUP($B$5,标准坦克设计!$B$24:$U$30,MATCH("对"&amp;LEFT($C$5,2)&amp;"输出",标准坦克设计!$B$23:$U$23,0)))*(VLOOKUP($B101,INDIRECT($B$5&amp;"生成成长"),3))*(VLOOKUP($B$5,标准坦克设计!$B$14:$K$20,9)/30))</f>
        <v>7.4864456985065519</v>
      </c>
      <c r="DT101" s="173">
        <f ca="1">(VLOOKUP(DT$72,INDIRECT($C$5&amp;"生成成长"),2))/((VLOOKUP($B101,INDIRECT($B$5&amp;"生成成长"),4))/(VLOOKUP(DT$72,INDIRECT($C$5&amp;"生成成长"),5))*(VLOOKUP($B$5,标准坦克设计!$B$24:$U$30,MATCH("对"&amp;LEFT($C$5,2)&amp;"输出",标准坦克设计!$B$23:$U$23,0)))*(VLOOKUP($B101,INDIRECT($B$5&amp;"生成成长"),3))*(VLOOKUP($B$5,标准坦克设计!$B$14:$K$20,9)/30))</f>
        <v>8.2196645106797561</v>
      </c>
      <c r="DU101" s="173">
        <f ca="1">(VLOOKUP(DU$72,INDIRECT($C$5&amp;"生成成长"),2))/((VLOOKUP($B101,INDIRECT($B$5&amp;"生成成长"),4))/(VLOOKUP(DU$72,INDIRECT($C$5&amp;"生成成长"),5))*(VLOOKUP($B$5,标准坦克设计!$B$24:$U$30,MATCH("对"&amp;LEFT($C$5,2)&amp;"输出",标准坦克设计!$B$23:$U$23,0)))*(VLOOKUP($B101,INDIRECT($B$5&amp;"生成成长"),3))*(VLOOKUP($B$5,标准坦克设计!$B$14:$K$20,9)/30))</f>
        <v>8.9871313353111546</v>
      </c>
      <c r="DV101" s="173">
        <f ca="1">(VLOOKUP(DV$72,INDIRECT($C$5&amp;"生成成长"),2))/((VLOOKUP($B101,INDIRECT($B$5&amp;"生成成长"),4))/(VLOOKUP(DV$72,INDIRECT($C$5&amp;"生成成长"),5))*(VLOOKUP($B$5,标准坦克设计!$B$24:$U$30,MATCH("对"&amp;LEFT($C$5,2)&amp;"输出",标准坦克设计!$B$23:$U$23,0)))*(VLOOKUP($B101,INDIRECT($B$5&amp;"生成成长"),3))*(VLOOKUP($B$5,标准坦克设计!$B$14:$K$20,9)/30))</f>
        <v>9.7888461724007509</v>
      </c>
      <c r="DW101" s="173">
        <f ca="1">(VLOOKUP(DW$72,INDIRECT($C$5&amp;"生成成长"),2))/((VLOOKUP($B101,INDIRECT($B$5&amp;"生成成长"),4))/(VLOOKUP(DW$72,INDIRECT($C$5&amp;"生成成长"),5))*(VLOOKUP($B$5,标准坦克设计!$B$24:$U$30,MATCH("对"&amp;LEFT($C$5,2)&amp;"输出",标准坦克设计!$B$23:$U$23,0)))*(VLOOKUP($B101,INDIRECT($B$5&amp;"生成成长"),3))*(VLOOKUP($B$5,标准坦克设计!$B$14:$K$20,9)/30))</f>
        <v>10.624809021948542</v>
      </c>
      <c r="DX101" s="173">
        <f ca="1">(VLOOKUP(DX$72,INDIRECT($C$5&amp;"生成成长"),2))/((VLOOKUP($B101,INDIRECT($B$5&amp;"生成成长"),4))/(VLOOKUP(DX$72,INDIRECT($C$5&amp;"生成成长"),5))*(VLOOKUP($B$5,标准坦克设计!$B$24:$U$30,MATCH("对"&amp;LEFT($C$5,2)&amp;"输出",标准坦克设计!$B$23:$U$23,0)))*(VLOOKUP($B101,INDIRECT($B$5&amp;"生成成长"),3))*(VLOOKUP($B$5,标准坦克设计!$B$14:$K$20,9)/30))</f>
        <v>11.49501988395453</v>
      </c>
      <c r="DY101" s="173">
        <f ca="1">(VLOOKUP(DY$72,INDIRECT($C$5&amp;"生成成长"),2))/((VLOOKUP($B101,INDIRECT($B$5&amp;"生成成长"),4))/(VLOOKUP(DY$72,INDIRECT($C$5&amp;"生成成长"),5))*(VLOOKUP($B$5,标准坦克设计!$B$24:$U$30,MATCH("对"&amp;LEFT($C$5,2)&amp;"输出",标准坦克设计!$B$23:$U$23,0)))*(VLOOKUP($B101,INDIRECT($B$5&amp;"生成成长"),3))*(VLOOKUP($B$5,标准坦克设计!$B$14:$K$20,9)/30))</f>
        <v>5.1628171177167772</v>
      </c>
      <c r="DZ101" s="173">
        <f ca="1">(VLOOKUP(DZ$72,INDIRECT($C$5&amp;"生成成长"),2))/((VLOOKUP($B101,INDIRECT($B$5&amp;"生成成长"),4))/(VLOOKUP(DZ$72,INDIRECT($C$5&amp;"生成成长"),5))*(VLOOKUP($B$5,标准坦克设计!$B$24:$U$30,MATCH("对"&amp;LEFT($C$5,2)&amp;"输出",标准坦克设计!$B$23:$U$23,0)))*(VLOOKUP($B101,INDIRECT($B$5&amp;"生成成长"),3))*(VLOOKUP($B$5,标准坦克设计!$B$14:$K$20,9)/30))</f>
        <v>5.7175783112545027</v>
      </c>
      <c r="EA101" s="173">
        <f ca="1">(VLOOKUP(EA$72,INDIRECT($C$5&amp;"生成成长"),2))/((VLOOKUP($B101,INDIRECT($B$5&amp;"生成成长"),4))/(VLOOKUP(EA$72,INDIRECT($C$5&amp;"生成成长"),5))*(VLOOKUP($B$5,标准坦克设计!$B$24:$U$30,MATCH("对"&amp;LEFT($C$5,2)&amp;"输出",标准坦克设计!$B$23:$U$23,0)))*(VLOOKUP($B101,INDIRECT($B$5&amp;"生成成长"),3))*(VLOOKUP($B$5,标准坦克设计!$B$14:$K$20,9)/30))</f>
        <v>6.3006436473196628</v>
      </c>
      <c r="EB101" s="173">
        <f ca="1">(VLOOKUP(EB$72,INDIRECT($C$5&amp;"生成成长"),2))/((VLOOKUP($B101,INDIRECT($B$5&amp;"生成成长"),4))/(VLOOKUP(EB$72,INDIRECT($C$5&amp;"生成成长"),5))*(VLOOKUP($B$5,标准坦克设计!$B$24:$U$30,MATCH("对"&amp;LEFT($C$5,2)&amp;"输出",标准坦克设计!$B$23:$U$23,0)))*(VLOOKUP($B101,INDIRECT($B$5&amp;"生成成长"),3))*(VLOOKUP($B$5,标准坦克设计!$B$14:$K$20,9)/30))</f>
        <v>6.9120131259122592</v>
      </c>
      <c r="EC101" s="173">
        <f ca="1">(VLOOKUP(EC$72,INDIRECT($C$5&amp;"生成成长"),2))/((VLOOKUP($B101,INDIRECT($B$5&amp;"生成成长"),4))/(VLOOKUP(EC$72,INDIRECT($C$5&amp;"生成成长"),5))*(VLOOKUP($B$5,标准坦克设计!$B$24:$U$30,MATCH("对"&amp;LEFT($C$5,2)&amp;"输出",标准坦克设计!$B$23:$U$23,0)))*(VLOOKUP($B101,INDIRECT($B$5&amp;"生成成长"),3))*(VLOOKUP($B$5,标准坦克设计!$B$14:$K$20,9)/30))</f>
        <v>7.5516867470322886</v>
      </c>
      <c r="ED101" s="173">
        <f ca="1">(VLOOKUP(ED$72,INDIRECT($C$5&amp;"生成成长"),2))/((VLOOKUP($B101,INDIRECT($B$5&amp;"生成成长"),4))/(VLOOKUP(ED$72,INDIRECT($C$5&amp;"生成成长"),5))*(VLOOKUP($B$5,标准坦克设计!$B$24:$U$30,MATCH("对"&amp;LEFT($C$5,2)&amp;"输出",标准坦克设计!$B$23:$U$23,0)))*(VLOOKUP($B101,INDIRECT($B$5&amp;"生成成长"),3))*(VLOOKUP($B$5,标准坦克设计!$B$14:$K$20,9)/30))</f>
        <v>8.2196645106797561</v>
      </c>
      <c r="EE101" s="173">
        <f ca="1">(VLOOKUP(EE$72,INDIRECT($C$5&amp;"生成成长"),2))/((VLOOKUP($B101,INDIRECT($B$5&amp;"生成成长"),4))/(VLOOKUP(EE$72,INDIRECT($C$5&amp;"生成成长"),5))*(VLOOKUP($B$5,标准坦克设计!$B$24:$U$30,MATCH("对"&amp;LEFT($C$5,2)&amp;"输出",标准坦克设计!$B$23:$U$23,0)))*(VLOOKUP($B101,INDIRECT($B$5&amp;"生成成长"),3))*(VLOOKUP($B$5,标准坦克设计!$B$14:$K$20,9)/30))</f>
        <v>8.9159464168546556</v>
      </c>
      <c r="EF101" s="173">
        <f ca="1">(VLOOKUP(EF$72,INDIRECT($C$5&amp;"生成成长"),2))/((VLOOKUP($B101,INDIRECT($B$5&amp;"生成成长"),4))/(VLOOKUP(EF$72,INDIRECT($C$5&amp;"生成成长"),5))*(VLOOKUP($B$5,标准坦克设计!$B$24:$U$30,MATCH("对"&amp;LEFT($C$5,2)&amp;"输出",标准坦克设计!$B$23:$U$23,0)))*(VLOOKUP($B101,INDIRECT($B$5&amp;"生成成长"),3))*(VLOOKUP($B$5,标准坦克设计!$B$14:$K$20,9)/30))</f>
        <v>9.6405324655569906</v>
      </c>
      <c r="EG101" s="173">
        <f ca="1">(VLOOKUP(EG$72,INDIRECT($C$5&amp;"生成成长"),2))/((VLOOKUP($B101,INDIRECT($B$5&amp;"生成成长"),4))/(VLOOKUP(EG$72,INDIRECT($C$5&amp;"生成成长"),5))*(VLOOKUP($B$5,标准坦克设计!$B$24:$U$30,MATCH("对"&amp;LEFT($C$5,2)&amp;"输出",标准坦克设计!$B$23:$U$23,0)))*(VLOOKUP($B101,INDIRECT($B$5&amp;"生成成长"),3))*(VLOOKUP($B$5,标准坦克设计!$B$14:$K$20,9)/30))</f>
        <v>10.393422656786763</v>
      </c>
      <c r="EH101" s="173">
        <f ca="1">(VLOOKUP(EH$72,INDIRECT($C$5&amp;"生成成长"),2))/((VLOOKUP($B101,INDIRECT($B$5&amp;"生成成长"),4))/(VLOOKUP(EH$72,INDIRECT($C$5&amp;"生成成长"),5))*(VLOOKUP($B$5,标准坦克设计!$B$24:$U$30,MATCH("对"&amp;LEFT($C$5,2)&amp;"输出",标准坦克设计!$B$23:$U$23,0)))*(VLOOKUP($B101,INDIRECT($B$5&amp;"生成成长"),3))*(VLOOKUP($B$5,标准坦克设计!$B$14:$K$20,9)/30))</f>
        <v>11.174616990543967</v>
      </c>
      <c r="EI101" s="173">
        <f ca="1">(VLOOKUP(EI$72,INDIRECT($C$5&amp;"生成成长"),2))/((VLOOKUP($B101,INDIRECT($B$5&amp;"生成成长"),4))/(VLOOKUP(EI$72,INDIRECT($C$5&amp;"生成成长"),5))*(VLOOKUP($B$5,标准坦克设计!$B$24:$U$30,MATCH("对"&amp;LEFT($C$5,2)&amp;"输出",标准坦克设计!$B$23:$U$23,0)))*(VLOOKUP($B101,INDIRECT($B$5&amp;"生成成长"),3))*(VLOOKUP($B$5,标准坦克设计!$B$14:$K$20,9)/30))</f>
        <v>11.984115466828607</v>
      </c>
      <c r="EJ101" s="173">
        <f ca="1">(VLOOKUP(EJ$72,INDIRECT($C$5&amp;"生成成长"),2))/((VLOOKUP($B101,INDIRECT($B$5&amp;"生成成长"),4))/(VLOOKUP(EJ$72,INDIRECT($C$5&amp;"生成成长"),5))*(VLOOKUP($B$5,标准坦克设计!$B$24:$U$30,MATCH("对"&amp;LEFT($C$5,2)&amp;"输出",标准坦克设计!$B$23:$U$23,0)))*(VLOOKUP($B101,INDIRECT($B$5&amp;"生成成长"),3))*(VLOOKUP($B$5,标准坦克设计!$B$14:$K$20,9)/30))</f>
        <v>12.821918085640684</v>
      </c>
      <c r="EK101" s="173">
        <f ca="1">(VLOOKUP(EK$72,INDIRECT($C$5&amp;"生成成长"),2))/((VLOOKUP($B101,INDIRECT($B$5&amp;"生成成长"),4))/(VLOOKUP(EK$72,INDIRECT($C$5&amp;"生成成长"),5))*(VLOOKUP($B$5,标准坦克设计!$B$24:$U$30,MATCH("对"&amp;LEFT($C$5,2)&amp;"输出",标准坦克设计!$B$23:$U$23,0)))*(VLOOKUP($B101,INDIRECT($B$5&amp;"生成成长"),3))*(VLOOKUP($B$5,标准坦克设计!$B$14:$K$20,9)/30))</f>
        <v>13.864642696351389</v>
      </c>
      <c r="EL101" s="173">
        <f ca="1">(VLOOKUP(EL$72,INDIRECT($C$5&amp;"生成成长"),2))/((VLOOKUP($B101,INDIRECT($B$5&amp;"生成成长"),4))/(VLOOKUP(EL$72,INDIRECT($C$5&amp;"生成成长"),5))*(VLOOKUP($B$5,标准坦克设计!$B$24:$U$30,MATCH("对"&amp;LEFT($C$5,2)&amp;"输出",标准坦克设计!$B$23:$U$23,0)))*(VLOOKUP($B101,INDIRECT($B$5&amp;"生成成长"),3))*(VLOOKUP($B$5,标准坦克设计!$B$14:$K$20,9)/30))</f>
        <v>14.948125272301597</v>
      </c>
      <c r="EM101" s="173">
        <f ca="1">(VLOOKUP(EM$72,INDIRECT($C$5&amp;"生成成长"),2))/((VLOOKUP($B101,INDIRECT($B$5&amp;"生成成长"),4))/(VLOOKUP(EM$72,INDIRECT($C$5&amp;"生成成长"),5))*(VLOOKUP($B$5,标准坦克设计!$B$24:$U$30,MATCH("对"&amp;LEFT($C$5,2)&amp;"输出",标准坦克设计!$B$23:$U$23,0)))*(VLOOKUP($B101,INDIRECT($B$5&amp;"生成成长"),3))*(VLOOKUP($B$5,标准坦克设计!$B$14:$K$20,9)/30))</f>
        <v>16.072365813491313</v>
      </c>
      <c r="EN101" s="173">
        <f ca="1">(VLOOKUP(EN$72,INDIRECT($C$5&amp;"生成成长"),2))/((VLOOKUP($B101,INDIRECT($B$5&amp;"生成成长"),4))/(VLOOKUP(EN$72,INDIRECT($C$5&amp;"生成成长"),5))*(VLOOKUP($B$5,标准坦克设计!$B$24:$U$30,MATCH("对"&amp;LEFT($C$5,2)&amp;"输出",标准坦克设计!$B$23:$U$23,0)))*(VLOOKUP($B101,INDIRECT($B$5&amp;"生成成长"),3))*(VLOOKUP($B$5,标准坦克设计!$B$14:$K$20,9)/30))</f>
        <v>17.237364319920541</v>
      </c>
      <c r="EO101" s="173">
        <f ca="1">(VLOOKUP(EO$72,INDIRECT($C$5&amp;"生成成长"),2))/((VLOOKUP($B101,INDIRECT($B$5&amp;"生成成长"),4))/(VLOOKUP(EO$72,INDIRECT($C$5&amp;"生成成长"),5))*(VLOOKUP($B$5,标准坦克设计!$B$24:$U$30,MATCH("对"&amp;LEFT($C$5,2)&amp;"输出",标准坦克设计!$B$23:$U$23,0)))*(VLOOKUP($B101,INDIRECT($B$5&amp;"生成成长"),3))*(VLOOKUP($B$5,标准坦克设计!$B$14:$K$20,9)/30))</f>
        <v>18.443120791589269</v>
      </c>
      <c r="EP101" s="173">
        <f ca="1">(VLOOKUP(EP$72,INDIRECT($C$5&amp;"生成成长"),2))/((VLOOKUP($B101,INDIRECT($B$5&amp;"生成成长"),4))/(VLOOKUP(EP$72,INDIRECT($C$5&amp;"生成成长"),5))*(VLOOKUP($B$5,标准坦克设计!$B$24:$U$30,MATCH("对"&amp;LEFT($C$5,2)&amp;"输出",标准坦克设计!$B$23:$U$23,0)))*(VLOOKUP($B101,INDIRECT($B$5&amp;"生成成长"),3))*(VLOOKUP($B$5,标准坦克设计!$B$14:$K$20,9)/30))</f>
        <v>19.689635228497504</v>
      </c>
      <c r="EQ101" s="173">
        <f ca="1">(VLOOKUP(EQ$72,INDIRECT($C$5&amp;"生成成长"),2))/((VLOOKUP($B101,INDIRECT($B$5&amp;"生成成长"),4))/(VLOOKUP(EQ$72,INDIRECT($C$5&amp;"生成成长"),5))*(VLOOKUP($B$5,标准坦克设计!$B$24:$U$30,MATCH("对"&amp;LEFT($C$5,2)&amp;"输出",标准坦克设计!$B$23:$U$23,0)))*(VLOOKUP($B101,INDIRECT($B$5&amp;"生成成长"),3))*(VLOOKUP($B$5,标准坦克设计!$B$14:$K$20,9)/30))</f>
        <v>8.704089910036803</v>
      </c>
      <c r="ER101" s="173">
        <f ca="1">(VLOOKUP(ER$72,INDIRECT($C$5&amp;"生成成长"),2))/((VLOOKUP($B101,INDIRECT($B$5&amp;"生成成长"),4))/(VLOOKUP(ER$72,INDIRECT($C$5&amp;"生成成长"),5))*(VLOOKUP($B$5,标准坦克设计!$B$24:$U$30,MATCH("对"&amp;LEFT($C$5,2)&amp;"输出",标准坦克设计!$B$23:$U$23,0)))*(VLOOKUP($B101,INDIRECT($B$5&amp;"生成成长"),3))*(VLOOKUP($B$5,标准坦克设计!$B$14:$K$20,9)/30))</f>
        <v>9.4933509244143295</v>
      </c>
      <c r="ES101" s="173">
        <f ca="1">(VLOOKUP(ES$72,INDIRECT($C$5&amp;"生成成长"),2))/((VLOOKUP($B101,INDIRECT($B$5&amp;"生成成长"),4))/(VLOOKUP(ES$72,INDIRECT($C$5&amp;"生成成长"),5))*(VLOOKUP($B$5,标准坦克设计!$B$24:$U$30,MATCH("对"&amp;LEFT($C$5,2)&amp;"输出",标准坦克设计!$B$23:$U$23,0)))*(VLOOKUP($B101,INDIRECT($B$5&amp;"生成成长"),3))*(VLOOKUP($B$5,标准坦克设计!$B$14:$K$20,9)/30))</f>
        <v>10.31685995125005</v>
      </c>
      <c r="ET101" s="173">
        <f ca="1">(VLOOKUP(ET$72,INDIRECT($C$5&amp;"生成成长"),2))/((VLOOKUP($B101,INDIRECT($B$5&amp;"生成成长"),4))/(VLOOKUP(ET$72,INDIRECT($C$5&amp;"生成成长"),5))*(VLOOKUP($B$5,标准坦克设计!$B$24:$U$30,MATCH("对"&amp;LEFT($C$5,2)&amp;"输出",标准坦克设计!$B$23:$U$23,0)))*(VLOOKUP($B101,INDIRECT($B$5&amp;"生成成长"),3))*(VLOOKUP($B$5,标准坦克设计!$B$14:$K$20,9)/30))</f>
        <v>11.174616990543967</v>
      </c>
      <c r="EU101" s="173">
        <f ca="1">(VLOOKUP(EU$72,INDIRECT($C$5&amp;"生成成长"),2))/((VLOOKUP($B101,INDIRECT($B$5&amp;"生成成长"),4))/(VLOOKUP(EU$72,INDIRECT($C$5&amp;"生成成长"),5))*(VLOOKUP($B$5,标准坦克设计!$B$24:$U$30,MATCH("对"&amp;LEFT($C$5,2)&amp;"输出",标准坦克设计!$B$23:$U$23,0)))*(VLOOKUP($B101,INDIRECT($B$5&amp;"生成成长"),3))*(VLOOKUP($B$5,标准坦克设计!$B$14:$K$20,9)/30))</f>
        <v>12.06662204229608</v>
      </c>
      <c r="EV101" s="173">
        <f ca="1">(VLOOKUP(EV$72,INDIRECT($C$5&amp;"生成成长"),2))/((VLOOKUP($B101,INDIRECT($B$5&amp;"生成成长"),4))/(VLOOKUP(EV$72,INDIRECT($C$5&amp;"生成成长"),5))*(VLOOKUP($B$5,标准坦克设计!$B$24:$U$30,MATCH("对"&amp;LEFT($C$5,2)&amp;"输出",标准坦克设计!$B$23:$U$23,0)))*(VLOOKUP($B101,INDIRECT($B$5&amp;"生成成长"),3))*(VLOOKUP($B$5,标准坦克设计!$B$14:$K$20,9)/30))</f>
        <v>12.992875106506387</v>
      </c>
      <c r="EW101" s="173">
        <f ca="1">(VLOOKUP(EW$72,INDIRECT($C$5&amp;"生成成长"),2))/((VLOOKUP($B101,INDIRECT($B$5&amp;"生成成长"),4))/(VLOOKUP(EW$72,INDIRECT($C$5&amp;"生成成长"),5))*(VLOOKUP($B$5,标准坦克设计!$B$24:$U$30,MATCH("对"&amp;LEFT($C$5,2)&amp;"输出",标准坦克设计!$B$23:$U$23,0)))*(VLOOKUP($B101,INDIRECT($B$5&amp;"生成成长"),3))*(VLOOKUP($B$5,标准坦克设计!$B$14:$K$20,9)/30))</f>
        <v>13.953376183174893</v>
      </c>
      <c r="EX101" s="173">
        <f ca="1">(VLOOKUP(EX$72,INDIRECT($C$5&amp;"生成成长"),2))/((VLOOKUP($B101,INDIRECT($B$5&amp;"生成成长"),4))/(VLOOKUP(EX$72,INDIRECT($C$5&amp;"生成成长"),5))*(VLOOKUP($B$5,标准坦克设计!$B$24:$U$30,MATCH("对"&amp;LEFT($C$5,2)&amp;"输出",标准坦克设计!$B$23:$U$23,0)))*(VLOOKUP($B101,INDIRECT($B$5&amp;"生成成长"),3))*(VLOOKUP($B$5,标准坦克设计!$B$14:$K$20,9)/30))</f>
        <v>14.948125272301597</v>
      </c>
      <c r="EY101" s="173">
        <f ca="1">(VLOOKUP(EY$72,INDIRECT($C$5&amp;"生成成长"),2))/((VLOOKUP($B101,INDIRECT($B$5&amp;"生成成长"),4))/(VLOOKUP(EY$72,INDIRECT($C$5&amp;"生成成长"),5))*(VLOOKUP($B$5,标准坦克设计!$B$24:$U$30,MATCH("对"&amp;LEFT($C$5,2)&amp;"输出",标准坦克设计!$B$23:$U$23,0)))*(VLOOKUP($B101,INDIRECT($B$5&amp;"生成成长"),3))*(VLOOKUP($B$5,标准坦克设计!$B$14:$K$20,9)/30))</f>
        <v>15.977122373886498</v>
      </c>
      <c r="EZ101" s="173">
        <f ca="1">(VLOOKUP(EZ$72,INDIRECT($C$5&amp;"生成成长"),2))/((VLOOKUP($B101,INDIRECT($B$5&amp;"生成成长"),4))/(VLOOKUP(EZ$72,INDIRECT($C$5&amp;"生成成长"),5))*(VLOOKUP($B$5,标准坦克设计!$B$24:$U$30,MATCH("对"&amp;LEFT($C$5,2)&amp;"输出",标准坦克设计!$B$23:$U$23,0)))*(VLOOKUP($B101,INDIRECT($B$5&amp;"生成成长"),3))*(VLOOKUP($B$5,标准坦克设计!$B$14:$K$20,9)/30))</f>
        <v>17.04036748792959</v>
      </c>
      <c r="FA101" s="173">
        <f ca="1">(VLOOKUP(FA$72,INDIRECT($C$5&amp;"生成成长"),2))/((VLOOKUP($B101,INDIRECT($B$5&amp;"生成成长"),4))/(VLOOKUP(FA$72,INDIRECT($C$5&amp;"生成成长"),5))*(VLOOKUP($B$5,标准坦克设计!$B$24:$U$30,MATCH("对"&amp;LEFT($C$5,2)&amp;"输出",标准坦克设计!$B$23:$U$23,0)))*(VLOOKUP($B101,INDIRECT($B$5&amp;"生成成长"),3))*(VLOOKUP($B$5,标准坦克设计!$B$14:$K$20,9)/30))</f>
        <v>18.137860614430885</v>
      </c>
      <c r="FB101" s="173">
        <f ca="1">(VLOOKUP(FB$72,INDIRECT($C$5&amp;"生成成长"),2))/((VLOOKUP($B101,INDIRECT($B$5&amp;"生成成长"),4))/(VLOOKUP(FB$72,INDIRECT($C$5&amp;"生成成长"),5))*(VLOOKUP($B$5,标准坦克设计!$B$24:$U$30,MATCH("对"&amp;LEFT($C$5,2)&amp;"输出",标准坦克设计!$B$23:$U$23,0)))*(VLOOKUP($B101,INDIRECT($B$5&amp;"生成成长"),3))*(VLOOKUP($B$5,标准坦克设计!$B$14:$K$20,9)/30))</f>
        <v>19.269601753390369</v>
      </c>
      <c r="FC101" s="173">
        <f ca="1">(VLOOKUP(FC$72,INDIRECT($C$5&amp;"生成成长"),2))/((VLOOKUP($B101,INDIRECT($B$5&amp;"生成成长"),4))/(VLOOKUP(FC$72,INDIRECT($C$5&amp;"生成成长"),5))*(VLOOKUP($B$5,标准坦克设计!$B$24:$U$30,MATCH("对"&amp;LEFT($C$5,2)&amp;"输出",标准坦克设计!$B$23:$U$23,0)))*(VLOOKUP($B101,INDIRECT($B$5&amp;"生成成长"),3))*(VLOOKUP($B$5,标准坦克设计!$B$14:$K$20,9)/30))</f>
        <v>20.435590904808052</v>
      </c>
      <c r="FD101" s="173">
        <f ca="1">(VLOOKUP(FD$72,INDIRECT($C$5&amp;"生成成长"),2))/((VLOOKUP($B101,INDIRECT($B$5&amp;"生成成长"),4))/(VLOOKUP(FD$72,INDIRECT($C$5&amp;"生成成长"),5))*(VLOOKUP($B$5,标准坦克设计!$B$24:$U$30,MATCH("对"&amp;LEFT($C$5,2)&amp;"输出",标准坦克设计!$B$23:$U$23,0)))*(VLOOKUP($B101,INDIRECT($B$5&amp;"生成成长"),3))*(VLOOKUP($B$5,标准坦克设计!$B$14:$K$20,9)/30))</f>
        <v>21.635828068683931</v>
      </c>
      <c r="FE101" s="173">
        <f ca="1">(VLOOKUP(FE$72,INDIRECT($C$5&amp;"生成成长"),2))/((VLOOKUP($B101,INDIRECT($B$5&amp;"生成成长"),4))/(VLOOKUP(FE$72,INDIRECT($C$5&amp;"生成成长"),5))*(VLOOKUP($B$5,标准坦克设计!$B$24:$U$30,MATCH("对"&amp;LEFT($C$5,2)&amp;"输出",标准坦克设计!$B$23:$U$23,0)))*(VLOOKUP($B101,INDIRECT($B$5&amp;"生成成长"),3))*(VLOOKUP($B$5,标准坦克设计!$B$14:$K$20,9)/30))</f>
        <v>23.098444633789136</v>
      </c>
      <c r="FF101" s="173">
        <f ca="1">(VLOOKUP(FF$72,INDIRECT($C$5&amp;"生成成长"),2))/((VLOOKUP($B101,INDIRECT($B$5&amp;"生成成长"),4))/(VLOOKUP(FF$72,INDIRECT($C$5&amp;"生成成长"),5))*(VLOOKUP($B$5,标准坦克设计!$B$24:$U$30,MATCH("对"&amp;LEFT($C$5,2)&amp;"输出",标准坦克设计!$B$23:$U$23,0)))*(VLOOKUP($B101,INDIRECT($B$5&amp;"生成成长"),3))*(VLOOKUP($B$5,标准坦克设计!$B$14:$K$20,9)/30))</f>
        <v>24.608895199765705</v>
      </c>
      <c r="FG101" s="173">
        <f ca="1">(VLOOKUP(FG$72,INDIRECT($C$5&amp;"生成成长"),2))/((VLOOKUP($B101,INDIRECT($B$5&amp;"生成成长"),4))/(VLOOKUP(FG$72,INDIRECT($C$5&amp;"生成成长"),5))*(VLOOKUP($B$5,标准坦克设计!$B$24:$U$30,MATCH("对"&amp;LEFT($C$5,2)&amp;"输出",标准坦克设计!$B$23:$U$23,0)))*(VLOOKUP($B101,INDIRECT($B$5&amp;"生成成长"),3))*(VLOOKUP($B$5,标准坦克设计!$B$14:$K$20,9)/30))</f>
        <v>26.167179766613639</v>
      </c>
      <c r="FH101" s="173">
        <f ca="1">(VLOOKUP(FH$72,INDIRECT($C$5&amp;"生成成长"),2))/((VLOOKUP($B101,INDIRECT($B$5&amp;"生成成长"),4))/(VLOOKUP(FH$72,INDIRECT($C$5&amp;"生成成长"),5))*(VLOOKUP($B$5,标准坦克设计!$B$24:$U$30,MATCH("对"&amp;LEFT($C$5,2)&amp;"输出",标准坦克设计!$B$23:$U$23,0)))*(VLOOKUP($B101,INDIRECT($B$5&amp;"生成成长"),3))*(VLOOKUP($B$5,标准坦克设计!$B$14:$K$20,9)/30))</f>
        <v>27.773298334332935</v>
      </c>
      <c r="FI101" s="173">
        <f ca="1">(VLOOKUP(FI$72,INDIRECT($C$5&amp;"生成成长"),2))/((VLOOKUP($B101,INDIRECT($B$5&amp;"生成成长"),4))/(VLOOKUP(FI$72,INDIRECT($C$5&amp;"生成成长"),5))*(VLOOKUP($B$5,标准坦克设计!$B$24:$U$30,MATCH("对"&amp;LEFT($C$5,2)&amp;"输出",标准坦克设计!$B$23:$U$23,0)))*(VLOOKUP($B101,INDIRECT($B$5&amp;"生成成长"),3))*(VLOOKUP($B$5,标准坦克设计!$B$14:$K$20,9)/30))</f>
        <v>29.4272509029236</v>
      </c>
      <c r="FJ101" s="173">
        <f ca="1">(VLOOKUP(FJ$72,INDIRECT($C$5&amp;"生成成长"),2))/((VLOOKUP($B101,INDIRECT($B$5&amp;"生成成长"),4))/(VLOOKUP(FJ$72,INDIRECT($C$5&amp;"生成成长"),5))*(VLOOKUP($B$5,标准坦克设计!$B$24:$U$30,MATCH("对"&amp;LEFT($C$5,2)&amp;"输出",标准坦克设计!$B$23:$U$23,0)))*(VLOOKUP($B101,INDIRECT($B$5&amp;"生成成长"),3))*(VLOOKUP($B$5,标准坦克设计!$B$14:$K$20,9)/30))</f>
        <v>31.129037472385622</v>
      </c>
      <c r="FK101" s="173">
        <f ca="1">(VLOOKUP(FK$72,INDIRECT($C$5&amp;"生成成长"),2))/((VLOOKUP($B101,INDIRECT($B$5&amp;"生成成长"),4))/(VLOOKUP(FK$72,INDIRECT($C$5&amp;"生成成长"),5))*(VLOOKUP($B$5,标准坦克设计!$B$24:$U$30,MATCH("对"&amp;LEFT($C$5,2)&amp;"输出",标准坦克设计!$B$23:$U$23,0)))*(VLOOKUP($B101,INDIRECT($B$5&amp;"生成成长"),3))*(VLOOKUP($B$5,标准坦克设计!$B$14:$K$20,9)/30))</f>
        <v>32.878658042719024</v>
      </c>
    </row>
    <row r="102" spans="1:167" x14ac:dyDescent="0.15">
      <c r="A102" s="171" t="str">
        <f t="shared" si="11"/>
        <v>T4低品质9级</v>
      </c>
      <c r="B102" s="172">
        <v>10409</v>
      </c>
      <c r="C102" s="173">
        <f ca="1">(VLOOKUP(C$72,INDIRECT($C$5&amp;"生成成长"),2))/((VLOOKUP($B102,INDIRECT($B$5&amp;"生成成长"),4))/(VLOOKUP(C$72,INDIRECT($C$5&amp;"生成成长"),5))*(VLOOKUP($B$5,标准坦克设计!$B$24:$U$30,MATCH("对"&amp;LEFT($C$5,2)&amp;"输出",标准坦克设计!$B$23:$U$23,0)))*(VLOOKUP($B102,INDIRECT($B$5&amp;"生成成长"),3))*(VLOOKUP($B$5,标准坦克设计!$B$14:$K$20,9)/30))</f>
        <v>1.3095342277811806</v>
      </c>
      <c r="D102" s="173">
        <f ca="1">(VLOOKUP(D$72,INDIRECT($C$5&amp;"生成成长"),2))/((VLOOKUP($B102,INDIRECT($B$5&amp;"生成成长"),4))/(VLOOKUP(D$72,INDIRECT($C$5&amp;"生成成长"),5))*(VLOOKUP($B$5,标准坦克设计!$B$24:$U$30,MATCH("对"&amp;LEFT($C$5,2)&amp;"输出",标准坦克设计!$B$23:$U$23,0)))*(VLOOKUP($B102,INDIRECT($B$5&amp;"生成成长"),3))*(VLOOKUP($B$5,标准坦克设计!$B$14:$K$20,9)/30))</f>
        <v>1.4713926583349344</v>
      </c>
      <c r="E102" s="173">
        <f ca="1">(VLOOKUP(E$72,INDIRECT($C$5&amp;"生成成长"),2))/((VLOOKUP($B102,INDIRECT($B$5&amp;"生成成长"),4))/(VLOOKUP(E$72,INDIRECT($C$5&amp;"生成成长"),5))*(VLOOKUP($B$5,标准坦克设计!$B$24:$U$30,MATCH("对"&amp;LEFT($C$5,2)&amp;"输出",标准坦克设计!$B$23:$U$23,0)))*(VLOOKUP($B102,INDIRECT($B$5&amp;"生成成长"),3))*(VLOOKUP($B$5,标准坦克设计!$B$14:$K$20,9)/30))</f>
        <v>1.642679735328713</v>
      </c>
      <c r="F102" s="173">
        <f ca="1">(VLOOKUP(F$72,INDIRECT($C$5&amp;"生成成长"),2))/((VLOOKUP($B102,INDIRECT($B$5&amp;"生成成长"),4))/(VLOOKUP(F$72,INDIRECT($C$5&amp;"生成成长"),5))*(VLOOKUP($B$5,标准坦克设计!$B$24:$U$30,MATCH("对"&amp;LEFT($C$5,2)&amp;"输出",标准坦克设计!$B$23:$U$23,0)))*(VLOOKUP($B102,INDIRECT($B$5&amp;"生成成长"),3))*(VLOOKUP($B$5,标准坦克设计!$B$14:$K$20,9)/30))</f>
        <v>1.8233954587625161</v>
      </c>
      <c r="G102" s="173">
        <f ca="1">(VLOOKUP(G$72,INDIRECT($C$5&amp;"生成成长"),2))/((VLOOKUP($B102,INDIRECT($B$5&amp;"生成成长"),4))/(VLOOKUP(G$72,INDIRECT($C$5&amp;"生成成长"),5))*(VLOOKUP($B$5,标准坦克设计!$B$24:$U$30,MATCH("对"&amp;LEFT($C$5,2)&amp;"输出",标准坦克设计!$B$23:$U$23,0)))*(VLOOKUP($B102,INDIRECT($B$5&amp;"生成成长"),3))*(VLOOKUP($B$5,标准坦克设计!$B$14:$K$20,9)/30))</f>
        <v>2.0135398286363428</v>
      </c>
      <c r="H102" s="173">
        <f ca="1">(VLOOKUP(H$72,INDIRECT($C$5&amp;"生成成长"),2))/((VLOOKUP($B102,INDIRECT($B$5&amp;"生成成长"),4))/(VLOOKUP(H$72,INDIRECT($C$5&amp;"生成成长"),5))*(VLOOKUP($B$5,标准坦克设计!$B$24:$U$30,MATCH("对"&amp;LEFT($C$5,2)&amp;"输出",标准坦克设计!$B$23:$U$23,0)))*(VLOOKUP($B102,INDIRECT($B$5&amp;"生成成长"),3))*(VLOOKUP($B$5,标准坦克设计!$B$14:$K$20,9)/30))</f>
        <v>1.7621092569023564</v>
      </c>
      <c r="I102" s="173">
        <f ca="1">(VLOOKUP(I$72,INDIRECT($C$5&amp;"生成成长"),2))/((VLOOKUP($B102,INDIRECT($B$5&amp;"生成成长"),4))/(VLOOKUP(I$72,INDIRECT($C$5&amp;"生成成长"),5))*(VLOOKUP($B$5,标准坦克设计!$B$24:$U$30,MATCH("对"&amp;LEFT($C$5,2)&amp;"输出",标准坦克设计!$B$23:$U$23,0)))*(VLOOKUP($B102,INDIRECT($B$5&amp;"生成成长"),3))*(VLOOKUP($B$5,标准坦克设计!$B$14:$K$20,9)/30))</f>
        <v>2.0135398286363428</v>
      </c>
      <c r="J102" s="173">
        <f ca="1">(VLOOKUP(J$72,INDIRECT($C$5&amp;"生成成长"),2))/((VLOOKUP($B102,INDIRECT($B$5&amp;"生成成长"),4))/(VLOOKUP(J$72,INDIRECT($C$5&amp;"生成成长"),5))*(VLOOKUP($B$5,标准坦克设计!$B$24:$U$30,MATCH("对"&amp;LEFT($C$5,2)&amp;"输出",标准坦克设计!$B$23:$U$23,0)))*(VLOOKUP($B102,INDIRECT($B$5&amp;"生成成长"),3))*(VLOOKUP($B$5,标准坦克设计!$B$14:$K$20,9)/30))</f>
        <v>2.2817324384859288</v>
      </c>
      <c r="K102" s="173">
        <f ca="1">(VLOOKUP(K$72,INDIRECT($C$5&amp;"生成成长"),2))/((VLOOKUP($B102,INDIRECT($B$5&amp;"生成成长"),4))/(VLOOKUP(K$72,INDIRECT($C$5&amp;"生成成长"),5))*(VLOOKUP($B$5,标准坦克设计!$B$24:$U$30,MATCH("对"&amp;LEFT($C$5,2)&amp;"输出",标准坦克设计!$B$23:$U$23,0)))*(VLOOKUP($B102,INDIRECT($B$5&amp;"生成成长"),3))*(VLOOKUP($B$5,标准坦克设计!$B$14:$K$20,9)/30))</f>
        <v>2.5666870864511138</v>
      </c>
      <c r="L102" s="173">
        <f ca="1">(VLOOKUP(L$72,INDIRECT($C$5&amp;"生成成长"),2))/((VLOOKUP($B102,INDIRECT($B$5&amp;"生成成长"),4))/(VLOOKUP(L$72,INDIRECT($C$5&amp;"生成成长"),5))*(VLOOKUP($B$5,标准坦克设计!$B$24:$U$30,MATCH("对"&amp;LEFT($C$5,2)&amp;"输出",标准坦克设计!$B$23:$U$23,0)))*(VLOOKUP($B102,INDIRECT($B$5&amp;"生成成长"),3))*(VLOOKUP($B$5,标准坦克设计!$B$14:$K$20,9)/30))</f>
        <v>2.8684037725318983</v>
      </c>
      <c r="M102" s="173">
        <f ca="1">(VLOOKUP(M$72,INDIRECT($C$5&amp;"生成成长"),2))/((VLOOKUP($B102,INDIRECT($B$5&amp;"生成成长"),4))/(VLOOKUP(M$72,INDIRECT($C$5&amp;"生成成长"),5))*(VLOOKUP($B$5,标准坦克设计!$B$24:$U$30,MATCH("对"&amp;LEFT($C$5,2)&amp;"输出",标准坦克设计!$B$23:$U$23,0)))*(VLOOKUP($B102,INDIRECT($B$5&amp;"生成成长"),3))*(VLOOKUP($B$5,标准坦克设计!$B$14:$K$20,9)/30))</f>
        <v>3.1868824967282809</v>
      </c>
      <c r="N102" s="173">
        <f ca="1">(VLOOKUP(N$72,INDIRECT($C$5&amp;"生成成长"),2))/((VLOOKUP($B102,INDIRECT($B$5&amp;"生成成长"),4))/(VLOOKUP(N$72,INDIRECT($C$5&amp;"生成成长"),5))*(VLOOKUP($B$5,标准坦克设计!$B$24:$U$30,MATCH("对"&amp;LEFT($C$5,2)&amp;"输出",标准坦克设计!$B$23:$U$23,0)))*(VLOOKUP($B102,INDIRECT($B$5&amp;"生成成长"),3))*(VLOOKUP($B$5,标准坦克设计!$B$14:$K$20,9)/30))</f>
        <v>3.5221232590402627</v>
      </c>
      <c r="O102" s="173">
        <f ca="1">(VLOOKUP(O$72,INDIRECT($C$5&amp;"生成成长"),2))/((VLOOKUP($B102,INDIRECT($B$5&amp;"生成成长"),4))/(VLOOKUP(O$72,INDIRECT($C$5&amp;"生成成长"),5))*(VLOOKUP($B$5,标准坦克设计!$B$24:$U$30,MATCH("对"&amp;LEFT($C$5,2)&amp;"输出",标准坦克设计!$B$23:$U$23,0)))*(VLOOKUP($B102,INDIRECT($B$5&amp;"生成成长"),3))*(VLOOKUP($B$5,标准坦克设计!$B$14:$K$20,9)/30))</f>
        <v>2.6778665423897361</v>
      </c>
      <c r="P102" s="173">
        <f ca="1">(VLOOKUP(P$72,INDIRECT($C$5&amp;"生成成长"),2))/((VLOOKUP($B102,INDIRECT($B$5&amp;"生成成长"),4))/(VLOOKUP(P$72,INDIRECT($C$5&amp;"生成成长"),5))*(VLOOKUP($B$5,标准坦克设计!$B$24:$U$30,MATCH("对"&amp;LEFT($C$5,2)&amp;"输出",标准坦克设计!$B$23:$U$23,0)))*(VLOOKUP($B102,INDIRECT($B$5&amp;"生成成长"),3))*(VLOOKUP($B$5,标准坦克设计!$B$14:$K$20,9)/30))</f>
        <v>3.0255478798656394</v>
      </c>
      <c r="Q102" s="173">
        <f ca="1">(VLOOKUP(Q$72,INDIRECT($C$5&amp;"生成成长"),2))/((VLOOKUP($B102,INDIRECT($B$5&amp;"生成成长"),4))/(VLOOKUP(Q$72,INDIRECT($C$5&amp;"生成成长"),5))*(VLOOKUP($B$5,标准坦克设计!$B$24:$U$30,MATCH("对"&amp;LEFT($C$5,2)&amp;"输出",标准坦克设计!$B$23:$U$23,0)))*(VLOOKUP($B102,INDIRECT($B$5&amp;"生成成长"),3))*(VLOOKUP($B$5,标准坦克设计!$B$14:$K$20,9)/30))</f>
        <v>3.3944436718315982</v>
      </c>
      <c r="R102" s="173">
        <f ca="1">(VLOOKUP(R$72,INDIRECT($C$5&amp;"生成成长"),2))/((VLOOKUP($B102,INDIRECT($B$5&amp;"生成成长"),4))/(VLOOKUP(R$72,INDIRECT($C$5&amp;"生成成长"),5))*(VLOOKUP($B$5,标准坦克设计!$B$24:$U$30,MATCH("对"&amp;LEFT($C$5,2)&amp;"输出",标准坦克设计!$B$23:$U$23,0)))*(VLOOKUP($B102,INDIRECT($B$5&amp;"生成成长"),3))*(VLOOKUP($B$5,标准坦克设计!$B$14:$K$20,9)/30))</f>
        <v>3.7845539182876116</v>
      </c>
      <c r="S102" s="173">
        <f ca="1">(VLOOKUP(S$72,INDIRECT($C$5&amp;"生成成长"),2))/((VLOOKUP($B102,INDIRECT($B$5&amp;"生成成长"),4))/(VLOOKUP(S$72,INDIRECT($C$5&amp;"生成成长"),5))*(VLOOKUP($B$5,标准坦克设计!$B$24:$U$30,MATCH("对"&amp;LEFT($C$5,2)&amp;"输出",标准坦克设计!$B$23:$U$23,0)))*(VLOOKUP($B102,INDIRECT($B$5&amp;"生成成长"),3))*(VLOOKUP($B$5,标准坦克设计!$B$14:$K$20,9)/30))</f>
        <v>4.1958786192336808</v>
      </c>
      <c r="T102" s="173">
        <f ca="1">(VLOOKUP(T$72,INDIRECT($C$5&amp;"生成成长"),2))/((VLOOKUP($B102,INDIRECT($B$5&amp;"生成成长"),4))/(VLOOKUP(T$72,INDIRECT($C$5&amp;"生成成长"),5))*(VLOOKUP($B$5,标准坦克设计!$B$24:$U$30,MATCH("对"&amp;LEFT($C$5,2)&amp;"输出",标准坦克设计!$B$23:$U$23,0)))*(VLOOKUP($B102,INDIRECT($B$5&amp;"生成成长"),3))*(VLOOKUP($B$5,标准坦克设计!$B$14:$K$20,9)/30))</f>
        <v>4.6284177746698045</v>
      </c>
      <c r="U102" s="173">
        <f ca="1">(VLOOKUP(U$72,INDIRECT($C$5&amp;"生成成长"),2))/((VLOOKUP($B102,INDIRECT($B$5&amp;"生成成长"),4))/(VLOOKUP(U$72,INDIRECT($C$5&amp;"生成成长"),5))*(VLOOKUP($B$5,标准坦克设计!$B$24:$U$30,MATCH("对"&amp;LEFT($C$5,2)&amp;"输出",标准坦克设计!$B$23:$U$23,0)))*(VLOOKUP($B102,INDIRECT($B$5&amp;"生成成长"),3))*(VLOOKUP($B$5,标准坦克设计!$B$14:$K$20,9)/30))</f>
        <v>5.0821713845959842</v>
      </c>
      <c r="V102" s="173">
        <f ca="1">(VLOOKUP(V$72,INDIRECT($C$5&amp;"生成成长"),2))/((VLOOKUP($B102,INDIRECT($B$5&amp;"生成成长"),4))/(VLOOKUP(V$72,INDIRECT($C$5&amp;"生成成长"),5))*(VLOOKUP($B$5,标准坦克设计!$B$24:$U$30,MATCH("对"&amp;LEFT($C$5,2)&amp;"输出",标准坦克设计!$B$23:$U$23,0)))*(VLOOKUP($B102,INDIRECT($B$5&amp;"生成成长"),3))*(VLOOKUP($B$5,标准坦克设计!$B$14:$K$20,9)/30))</f>
        <v>5.5571394490122179</v>
      </c>
      <c r="W102" s="173">
        <f ca="1">(VLOOKUP(W$72,INDIRECT($C$5&amp;"生成成长"),2))/((VLOOKUP($B102,INDIRECT($B$5&amp;"生成成长"),4))/(VLOOKUP(W$72,INDIRECT($C$5&amp;"生成成长"),5))*(VLOOKUP($B$5,标准坦克设计!$B$24:$U$30,MATCH("对"&amp;LEFT($C$5,2)&amp;"输出",标准坦克设计!$B$23:$U$23,0)))*(VLOOKUP($B102,INDIRECT($B$5&amp;"生成成长"),3))*(VLOOKUP($B$5,标准坦克设计!$B$14:$K$20,9)/30))</f>
        <v>6.0533219679185066</v>
      </c>
      <c r="X102" s="173">
        <f ca="1">(VLOOKUP(X$72,INDIRECT($C$5&amp;"生成成长"),2))/((VLOOKUP($B102,INDIRECT($B$5&amp;"生成成长"),4))/(VLOOKUP(X$72,INDIRECT($C$5&amp;"生成成长"),5))*(VLOOKUP($B$5,标准坦克设计!$B$24:$U$30,MATCH("对"&amp;LEFT($C$5,2)&amp;"输出",标准坦克设计!$B$23:$U$23,0)))*(VLOOKUP($B102,INDIRECT($B$5&amp;"生成成长"),3))*(VLOOKUP($B$5,标准坦克设计!$B$14:$K$20,9)/30))</f>
        <v>4.3854991754163963</v>
      </c>
      <c r="Y102" s="173">
        <f ca="1">(VLOOKUP(Y$72,INDIRECT($C$5&amp;"生成成长"),2))/((VLOOKUP($B102,INDIRECT($B$5&amp;"生成成长"),4))/(VLOOKUP(Y$72,INDIRECT($C$5&amp;"生成成长"),5))*(VLOOKUP($B$5,标准坦克设计!$B$24:$U$30,MATCH("对"&amp;LEFT($C$5,2)&amp;"输出",标准坦克设计!$B$23:$U$23,0)))*(VLOOKUP($B102,INDIRECT($B$5&amp;"生成成长"),3))*(VLOOKUP($B$5,标准坦克设计!$B$14:$K$20,9)/30))</f>
        <v>4.8778840450621193</v>
      </c>
      <c r="Z102" s="173">
        <f ca="1">(VLOOKUP(Z$72,INDIRECT($C$5&amp;"生成成长"),2))/((VLOOKUP($B102,INDIRECT($B$5&amp;"生成成长"),4))/(VLOOKUP(Z$72,INDIRECT($C$5&amp;"生成成长"),5))*(VLOOKUP($B$5,标准坦克设计!$B$24:$U$30,MATCH("对"&amp;LEFT($C$5,2)&amp;"输出",标准坦克设计!$B$23:$U$23,0)))*(VLOOKUP($B102,INDIRECT($B$5&amp;"生成成长"),3))*(VLOOKUP($B$5,标准坦克设计!$B$14:$K$20,9)/30))</f>
        <v>5.3964595992634665</v>
      </c>
      <c r="AA102" s="173">
        <f ca="1">(VLOOKUP(AA$72,INDIRECT($C$5&amp;"生成成长"),2))/((VLOOKUP($B102,INDIRECT($B$5&amp;"生成成长"),4))/(VLOOKUP(AA$72,INDIRECT($C$5&amp;"生成成长"),5))*(VLOOKUP($B$5,标准坦克设计!$B$24:$U$30,MATCH("对"&amp;LEFT($C$5,2)&amp;"输出",标准坦克设计!$B$23:$U$23,0)))*(VLOOKUP($B102,INDIRECT($B$5&amp;"生成成长"),3))*(VLOOKUP($B$5,标准坦克设计!$B$14:$K$20,9)/30))</f>
        <v>5.9412258380204381</v>
      </c>
      <c r="AB102" s="173">
        <f ca="1">(VLOOKUP(AB$72,INDIRECT($C$5&amp;"生成成长"),2))/((VLOOKUP($B102,INDIRECT($B$5&amp;"生成成长"),4))/(VLOOKUP(AB$72,INDIRECT($C$5&amp;"生成成长"),5))*(VLOOKUP($B$5,标准坦克设计!$B$24:$U$30,MATCH("对"&amp;LEFT($C$5,2)&amp;"输出",标准坦克设计!$B$23:$U$23,0)))*(VLOOKUP($B102,INDIRECT($B$5&amp;"生成成长"),3))*(VLOOKUP($B$5,标准坦克设计!$B$14:$K$20,9)/30))</f>
        <v>6.5121827613330323</v>
      </c>
      <c r="AC102" s="173">
        <f ca="1">(VLOOKUP(AC$72,INDIRECT($C$5&amp;"生成成长"),2))/((VLOOKUP($B102,INDIRECT($B$5&amp;"生成成长"),4))/(VLOOKUP(AC$72,INDIRECT($C$5&amp;"生成成长"),5))*(VLOOKUP($B$5,标准坦克设计!$B$24:$U$30,MATCH("对"&amp;LEFT($C$5,2)&amp;"输出",标准坦克设计!$B$23:$U$23,0)))*(VLOOKUP($B102,INDIRECT($B$5&amp;"生成成长"),3))*(VLOOKUP($B$5,标准坦克设计!$B$14:$K$20,9)/30))</f>
        <v>7.1093303692012517</v>
      </c>
      <c r="AD102" s="173">
        <f ca="1">(VLOOKUP(AD$72,INDIRECT($C$5&amp;"生成成长"),2))/((VLOOKUP($B102,INDIRECT($B$5&amp;"生成成长"),4))/(VLOOKUP(AD$72,INDIRECT($C$5&amp;"生成成长"),5))*(VLOOKUP($B$5,标准坦克设计!$B$24:$U$30,MATCH("对"&amp;LEFT($C$5,2)&amp;"输出",标准坦克设计!$B$23:$U$23,0)))*(VLOOKUP($B102,INDIRECT($B$5&amp;"生成成长"),3))*(VLOOKUP($B$5,标准坦克设计!$B$14:$K$20,9)/30))</f>
        <v>7.7326686616250919</v>
      </c>
      <c r="AE102" s="173">
        <f ca="1">(VLOOKUP(AE$72,INDIRECT($C$5&amp;"生成成长"),2))/((VLOOKUP($B102,INDIRECT($B$5&amp;"生成成长"),4))/(VLOOKUP(AE$72,INDIRECT($C$5&amp;"生成成长"),5))*(VLOOKUP($B$5,标准坦克设计!$B$24:$U$30,MATCH("对"&amp;LEFT($C$5,2)&amp;"输出",标准坦克设计!$B$23:$U$23,0)))*(VLOOKUP($B102,INDIRECT($B$5&amp;"生成成长"),3))*(VLOOKUP($B$5,标准坦克设计!$B$14:$K$20,9)/30))</f>
        <v>8.3821976386045591</v>
      </c>
      <c r="AF102" s="173">
        <f ca="1">(VLOOKUP(AF$72,INDIRECT($C$5&amp;"生成成长"),2))/((VLOOKUP($B102,INDIRECT($B$5&amp;"生成成长"),4))/(VLOOKUP(AF$72,INDIRECT($C$5&amp;"生成成长"),5))*(VLOOKUP($B$5,标准坦克设计!$B$24:$U$30,MATCH("对"&amp;LEFT($C$5,2)&amp;"输出",标准坦克设计!$B$23:$U$23,0)))*(VLOOKUP($B102,INDIRECT($B$5&amp;"生成成长"),3))*(VLOOKUP($B$5,标准坦克设计!$B$14:$K$20,9)/30))</f>
        <v>9.057917300139648</v>
      </c>
      <c r="AG102" s="173">
        <f ca="1">(VLOOKUP(AG$72,INDIRECT($C$5&amp;"生成成长"),2))/((VLOOKUP($B102,INDIRECT($B$5&amp;"生成成长"),4))/(VLOOKUP(AG$72,INDIRECT($C$5&amp;"生成成长"),5))*(VLOOKUP($B$5,标准坦克设计!$B$24:$U$30,MATCH("对"&amp;LEFT($C$5,2)&amp;"输出",标准坦克设计!$B$23:$U$23,0)))*(VLOOKUP($B102,INDIRECT($B$5&amp;"生成成长"),3))*(VLOOKUP($B$5,标准坦克设计!$B$14:$K$20,9)/30))</f>
        <v>9.7598276462303613</v>
      </c>
      <c r="AH102" s="173">
        <f ca="1">(VLOOKUP(AH$72,INDIRECT($C$5&amp;"生成成长"),2))/((VLOOKUP($B102,INDIRECT($B$5&amp;"生成成长"),4))/(VLOOKUP(AH$72,INDIRECT($C$5&amp;"生成成长"),5))*(VLOOKUP($B$5,标准坦克设计!$B$24:$U$30,MATCH("对"&amp;LEFT($C$5,2)&amp;"输出",标准坦克设计!$B$23:$U$23,0)))*(VLOOKUP($B102,INDIRECT($B$5&amp;"生成成长"),3))*(VLOOKUP($B$5,标准坦克设计!$B$14:$K$20,9)/30))</f>
        <v>10.487928676876697</v>
      </c>
      <c r="AI102" s="173">
        <f ca="1">(VLOOKUP(AI$72,INDIRECT($C$5&amp;"生成成长"),2))/((VLOOKUP($B102,INDIRECT($B$5&amp;"生成成长"),4))/(VLOOKUP(AI$72,INDIRECT($C$5&amp;"生成成长"),5))*(VLOOKUP($B$5,标准坦克设计!$B$24:$U$30,MATCH("对"&amp;LEFT($C$5,2)&amp;"输出",标准坦克设计!$B$23:$U$23,0)))*(VLOOKUP($B102,INDIRECT($B$5&amp;"生成成长"),3))*(VLOOKUP($B$5,标准坦克设计!$B$14:$K$20,9)/30))</f>
        <v>7.4177256798437181</v>
      </c>
      <c r="AJ102" s="173">
        <f ca="1">(VLOOKUP(AJ$72,INDIRECT($C$5&amp;"生成成长"),2))/((VLOOKUP($B102,INDIRECT($B$5&amp;"生成成长"),4))/(VLOOKUP(AJ$72,INDIRECT($C$5&amp;"生成成长"),5))*(VLOOKUP($B$5,标准坦克设计!$B$24:$U$30,MATCH("对"&amp;LEFT($C$5,2)&amp;"输出",标准坦克设计!$B$23:$U$23,0)))*(VLOOKUP($B102,INDIRECT($B$5&amp;"生成成长"),3))*(VLOOKUP($B$5,标准坦克设计!$B$14:$K$20,9)/30))</f>
        <v>8.1192431656660968</v>
      </c>
      <c r="AK102" s="173">
        <f ca="1">(VLOOKUP(AK$72,INDIRECT($C$5&amp;"生成成长"),2))/((VLOOKUP($B102,INDIRECT($B$5&amp;"生成成长"),4))/(VLOOKUP(AK$72,INDIRECT($C$5&amp;"生成成长"),5))*(VLOOKUP($B$5,标准坦克设计!$B$24:$U$30,MATCH("对"&amp;LEFT($C$5,2)&amp;"输出",标准坦克设计!$B$23:$U$23,0)))*(VLOOKUP($B102,INDIRECT($B$5&amp;"生成成长"),3))*(VLOOKUP($B$5,标准坦克设计!$B$14:$K$20,9)/30))</f>
        <v>8.8524513798007813</v>
      </c>
      <c r="AL102" s="173">
        <f ca="1">(VLOOKUP(AL$72,INDIRECT($C$5&amp;"生成成长"),2))/((VLOOKUP($B102,INDIRECT($B$5&amp;"生成成长"),4))/(VLOOKUP(AL$72,INDIRECT($C$5&amp;"生成成长"),5))*(VLOOKUP($B$5,标准坦克设计!$B$24:$U$30,MATCH("对"&amp;LEFT($C$5,2)&amp;"输出",标准坦克设计!$B$23:$U$23,0)))*(VLOOKUP($B102,INDIRECT($B$5&amp;"生成成长"),3))*(VLOOKUP($B$5,标准坦克设计!$B$14:$K$20,9)/30))</f>
        <v>9.6173503222477681</v>
      </c>
      <c r="AM102" s="173">
        <f ca="1">(VLOOKUP(AM$72,INDIRECT($C$5&amp;"生成成长"),2))/((VLOOKUP($B102,INDIRECT($B$5&amp;"生成成长"),4))/(VLOOKUP(AM$72,INDIRECT($C$5&amp;"生成成长"),5))*(VLOOKUP($B$5,标准坦克设计!$B$24:$U$30,MATCH("对"&amp;LEFT($C$5,2)&amp;"输出",标准坦克设计!$B$23:$U$23,0)))*(VLOOKUP($B102,INDIRECT($B$5&amp;"生成成长"),3))*(VLOOKUP($B$5,标准坦克设计!$B$14:$K$20,9)/30))</f>
        <v>10.413939993007061</v>
      </c>
      <c r="AN102" s="173">
        <f ca="1">(VLOOKUP(AN$72,INDIRECT($C$5&amp;"生成成长"),2))/((VLOOKUP($B102,INDIRECT($B$5&amp;"生成成长"),4))/(VLOOKUP(AN$72,INDIRECT($C$5&amp;"生成成长"),5))*(VLOOKUP($B$5,标准坦克设计!$B$24:$U$30,MATCH("对"&amp;LEFT($C$5,2)&amp;"输出",标准坦克设计!$B$23:$U$23,0)))*(VLOOKUP($B102,INDIRECT($B$5&amp;"生成成长"),3))*(VLOOKUP($B$5,标准坦克设计!$B$14:$K$20,9)/30))</f>
        <v>11.242220392078657</v>
      </c>
      <c r="AO102" s="173">
        <f ca="1">(VLOOKUP(AO$72,INDIRECT($C$5&amp;"生成成长"),2))/((VLOOKUP($B102,INDIRECT($B$5&amp;"生成成长"),4))/(VLOOKUP(AO$72,INDIRECT($C$5&amp;"生成成长"),5))*(VLOOKUP($B$5,标准坦克设计!$B$24:$U$30,MATCH("对"&amp;LEFT($C$5,2)&amp;"输出",标准坦克设计!$B$23:$U$23,0)))*(VLOOKUP($B102,INDIRECT($B$5&amp;"生成成长"),3))*(VLOOKUP($B$5,标准坦克设计!$B$14:$K$20,9)/30))</f>
        <v>12.102191519462558</v>
      </c>
      <c r="AP102" s="173">
        <f ca="1">(VLOOKUP(AP$72,INDIRECT($C$5&amp;"生成成长"),2))/((VLOOKUP($B102,INDIRECT($B$5&amp;"生成成长"),4))/(VLOOKUP(AP$72,INDIRECT($C$5&amp;"生成成长"),5))*(VLOOKUP($B$5,标准坦克设计!$B$24:$U$30,MATCH("对"&amp;LEFT($C$5,2)&amp;"输出",标准坦克设计!$B$23:$U$23,0)))*(VLOOKUP($B102,INDIRECT($B$5&amp;"生成成长"),3))*(VLOOKUP($B$5,标准坦克设计!$B$14:$K$20,9)/30))</f>
        <v>12.993853375158762</v>
      </c>
      <c r="AQ102" s="173">
        <f ca="1">(VLOOKUP(AQ$72,INDIRECT($C$5&amp;"生成成长"),2))/((VLOOKUP($B102,INDIRECT($B$5&amp;"生成成长"),4))/(VLOOKUP(AQ$72,INDIRECT($C$5&amp;"生成成长"),5))*(VLOOKUP($B$5,标准坦克设计!$B$24:$U$30,MATCH("对"&amp;LEFT($C$5,2)&amp;"输出",标准坦克设计!$B$23:$U$23,0)))*(VLOOKUP($B102,INDIRECT($B$5&amp;"生成成长"),3))*(VLOOKUP($B$5,标准坦克设计!$B$14:$K$20,9)/30))</f>
        <v>13.917205959167275</v>
      </c>
      <c r="AR102" s="173">
        <f ca="1">(VLOOKUP(AR$72,INDIRECT($C$5&amp;"生成成长"),2))/((VLOOKUP($B102,INDIRECT($B$5&amp;"生成成长"),4))/(VLOOKUP(AR$72,INDIRECT($C$5&amp;"生成成长"),5))*(VLOOKUP($B$5,标准坦克设计!$B$24:$U$30,MATCH("对"&amp;LEFT($C$5,2)&amp;"输出",标准坦克设计!$B$23:$U$23,0)))*(VLOOKUP($B102,INDIRECT($B$5&amp;"生成成长"),3))*(VLOOKUP($B$5,标准坦克设计!$B$14:$K$20,9)/30))</f>
        <v>14.872249271488091</v>
      </c>
      <c r="AS102" s="173">
        <f ca="1">(VLOOKUP(AS$72,INDIRECT($C$5&amp;"生成成长"),2))/((VLOOKUP($B102,INDIRECT($B$5&amp;"生成成长"),4))/(VLOOKUP(AS$72,INDIRECT($C$5&amp;"生成成长"),5))*(VLOOKUP($B$5,标准坦克设计!$B$24:$U$30,MATCH("对"&amp;LEFT($C$5,2)&amp;"输出",标准坦克设计!$B$23:$U$23,0)))*(VLOOKUP($B102,INDIRECT($B$5&amp;"生成成长"),3))*(VLOOKUP($B$5,标准坦克设计!$B$14:$K$20,9)/30))</f>
        <v>15.858983312121207</v>
      </c>
      <c r="AT102" s="173">
        <f ca="1">(VLOOKUP(AT$72,INDIRECT($C$5&amp;"生成成长"),2))/((VLOOKUP($B102,INDIRECT($B$5&amp;"生成成长"),4))/(VLOOKUP(AT$72,INDIRECT($C$5&amp;"生成成长"),5))*(VLOOKUP($B$5,标准坦克设计!$B$24:$U$30,MATCH("对"&amp;LEFT($C$5,2)&amp;"输出",标准坦克设计!$B$23:$U$23,0)))*(VLOOKUP($B102,INDIRECT($B$5&amp;"生成成长"),3))*(VLOOKUP($B$5,标准坦克设计!$B$14:$K$20,9)/30))</f>
        <v>16.87740808106663</v>
      </c>
      <c r="AU102" s="173">
        <f ca="1">(VLOOKUP(AU$72,INDIRECT($C$5&amp;"生成成长"),2))/((VLOOKUP($B102,INDIRECT($B$5&amp;"生成成长"),4))/(VLOOKUP(AU$72,INDIRECT($C$5&amp;"生成成长"),5))*(VLOOKUP($B$5,标准坦克设计!$B$24:$U$30,MATCH("对"&amp;LEFT($C$5,2)&amp;"输出",标准坦克设计!$B$23:$U$23,0)))*(VLOOKUP($B102,INDIRECT($B$5&amp;"生成成长"),3))*(VLOOKUP($B$5,标准坦克设计!$B$14:$K$20,9)/30))</f>
        <v>17.927523578324362</v>
      </c>
      <c r="AV102" s="173">
        <f ca="1">(VLOOKUP(AV$72,INDIRECT($C$5&amp;"生成成长"),2))/((VLOOKUP($B102,INDIRECT($B$5&amp;"生成成长"),4))/(VLOOKUP(AV$72,INDIRECT($C$5&amp;"生成成长"),5))*(VLOOKUP($B$5,标准坦克设计!$B$24:$U$30,MATCH("对"&amp;LEFT($C$5,2)&amp;"输出",标准坦克设计!$B$23:$U$23,0)))*(VLOOKUP($B102,INDIRECT($B$5&amp;"生成成长"),3))*(VLOOKUP($B$5,标准坦克设计!$B$14:$K$20,9)/30))</f>
        <v>1.8233954587625161</v>
      </c>
      <c r="AW102" s="173">
        <f ca="1">(VLOOKUP(AW$72,INDIRECT($C$5&amp;"生成成长"),2))/((VLOOKUP($B102,INDIRECT($B$5&amp;"生成成长"),4))/(VLOOKUP(AW$72,INDIRECT($C$5&amp;"生成成长"),5))*(VLOOKUP($B$5,标准坦克设计!$B$24:$U$30,MATCH("对"&amp;LEFT($C$5,2)&amp;"输出",标准坦克设计!$B$23:$U$23,0)))*(VLOOKUP($B102,INDIRECT($B$5&amp;"生成成长"),3))*(VLOOKUP($B$5,标准坦克设计!$B$14:$K$20,9)/30))</f>
        <v>2.0790165400254024</v>
      </c>
      <c r="AX102" s="173">
        <f ca="1">(VLOOKUP(AX$72,INDIRECT($C$5&amp;"生成成长"),2))/((VLOOKUP($B102,INDIRECT($B$5&amp;"生成成长"),4))/(VLOOKUP(AX$72,INDIRECT($C$5&amp;"生成成长"),5))*(VLOOKUP($B$5,标准坦克设计!$B$24:$U$30,MATCH("对"&amp;LEFT($C$5,2)&amp;"输出",标准坦克设计!$B$23:$U$23,0)))*(VLOOKUP($B102,INDIRECT($B$5&amp;"生成成长"),3))*(VLOOKUP($B$5,标准坦克设计!$B$14:$K$20,9)/30))</f>
        <v>2.3513996594038873</v>
      </c>
      <c r="AY102" s="173">
        <f ca="1">(VLOOKUP(AY$72,INDIRECT($C$5&amp;"生成成长"),2))/((VLOOKUP($B102,INDIRECT($B$5&amp;"生成成长"),4))/(VLOOKUP(AY$72,INDIRECT($C$5&amp;"生成成长"),5))*(VLOOKUP($B$5,标准坦克设计!$B$24:$U$30,MATCH("对"&amp;LEFT($C$5,2)&amp;"输出",标准坦克设计!$B$23:$U$23,0)))*(VLOOKUP($B102,INDIRECT($B$5&amp;"生成成长"),3))*(VLOOKUP($B$5,标准坦克设计!$B$14:$K$20,9)/30))</f>
        <v>2.6405448168979722</v>
      </c>
      <c r="AZ102" s="173">
        <f ca="1">(VLOOKUP(AZ$72,INDIRECT($C$5&amp;"生成成长"),2))/((VLOOKUP($B102,INDIRECT($B$5&amp;"生成成长"),4))/(VLOOKUP(AZ$72,INDIRECT($C$5&amp;"生成成长"),5))*(VLOOKUP($B$5,标准坦克设计!$B$24:$U$30,MATCH("对"&amp;LEFT($C$5,2)&amp;"输出",标准坦克设计!$B$23:$U$23,0)))*(VLOOKUP($B102,INDIRECT($B$5&amp;"生成成长"),3))*(VLOOKUP($B$5,标准坦克设计!$B$14:$K$20,9)/30))</f>
        <v>2.9464520125076565</v>
      </c>
      <c r="BA102" s="173">
        <f ca="1">(VLOOKUP(BA$72,INDIRECT($C$5&amp;"生成成长"),2))/((VLOOKUP($B102,INDIRECT($B$5&amp;"生成成长"),4))/(VLOOKUP(BA$72,INDIRECT($C$5&amp;"生成成长"),5))*(VLOOKUP($B$5,标准坦克设计!$B$24:$U$30,MATCH("对"&amp;LEFT($C$5,2)&amp;"输出",标准坦克设计!$B$23:$U$23,0)))*(VLOOKUP($B102,INDIRECT($B$5&amp;"生成成长"),3))*(VLOOKUP($B$5,标准坦克设计!$B$14:$K$20,9)/30))</f>
        <v>3.2691212462329391</v>
      </c>
      <c r="BB102" s="173">
        <f ca="1">(VLOOKUP(BB$72,INDIRECT($C$5&amp;"生成成长"),2))/((VLOOKUP($B102,INDIRECT($B$5&amp;"生成成长"),4))/(VLOOKUP(BB$72,INDIRECT($C$5&amp;"生成成长"),5))*(VLOOKUP($B$5,标准坦克设计!$B$24:$U$30,MATCH("对"&amp;LEFT($C$5,2)&amp;"输出",标准坦克设计!$B$23:$U$23,0)))*(VLOOKUP($B102,INDIRECT($B$5&amp;"生成成长"),3))*(VLOOKUP($B$5,标准坦克设计!$B$14:$K$20,9)/30))</f>
        <v>3.6085525180738212</v>
      </c>
      <c r="BC102" s="173">
        <f ca="1">(VLOOKUP(BC$72,INDIRECT($C$5&amp;"生成成长"),2))/((VLOOKUP($B102,INDIRECT($B$5&amp;"生成成长"),4))/(VLOOKUP(BC$72,INDIRECT($C$5&amp;"生成成长"),5))*(VLOOKUP($B$5,标准坦克设计!$B$24:$U$30,MATCH("对"&amp;LEFT($C$5,2)&amp;"输出",标准坦克设计!$B$23:$U$23,0)))*(VLOOKUP($B102,INDIRECT($B$5&amp;"生成成长"),3))*(VLOOKUP($B$5,标准坦克设计!$B$14:$K$20,9)/30))</f>
        <v>3.9647458280303018</v>
      </c>
      <c r="BD102" s="173">
        <f ca="1">(VLOOKUP(BD$72,INDIRECT($C$5&amp;"生成成长"),2))/((VLOOKUP($B102,INDIRECT($B$5&amp;"生成成长"),4))/(VLOOKUP(BD$72,INDIRECT($C$5&amp;"生成成长"),5))*(VLOOKUP($B$5,标准坦克设计!$B$24:$U$30,MATCH("对"&amp;LEFT($C$5,2)&amp;"输出",标准坦克设计!$B$23:$U$23,0)))*(VLOOKUP($B102,INDIRECT($B$5&amp;"生成成长"),3))*(VLOOKUP($B$5,标准坦克设计!$B$14:$K$20,9)/30))</f>
        <v>4.3854991754163963</v>
      </c>
      <c r="BE102" s="173">
        <f ca="1">(VLOOKUP(BE$72,INDIRECT($C$5&amp;"生成成长"),2))/((VLOOKUP($B102,INDIRECT($B$5&amp;"生成成长"),4))/(VLOOKUP(BE$72,INDIRECT($C$5&amp;"生成成长"),5))*(VLOOKUP($B$5,标准坦克设计!$B$24:$U$30,MATCH("对"&amp;LEFT($C$5,2)&amp;"输出",标准坦克设计!$B$23:$U$23,0)))*(VLOOKUP($B102,INDIRECT($B$5&amp;"生成成长"),3))*(VLOOKUP($B$5,标准坦克设计!$B$14:$K$20,9)/30))</f>
        <v>4.8274669772925431</v>
      </c>
      <c r="BF102" s="173">
        <f ca="1">(VLOOKUP(BF$72,INDIRECT($C$5&amp;"生成成长"),2))/((VLOOKUP($B102,INDIRECT($B$5&amp;"生成成长"),4))/(VLOOKUP(BF$72,INDIRECT($C$5&amp;"生成成长"),5))*(VLOOKUP($B$5,标准坦克设计!$B$24:$U$30,MATCH("对"&amp;LEFT($C$5,2)&amp;"输出",标准坦克设计!$B$23:$U$23,0)))*(VLOOKUP($B102,INDIRECT($B$5&amp;"生成成长"),3))*(VLOOKUP($B$5,标准坦克设计!$B$14:$K$20,9)/30))</f>
        <v>5.2906492336587476</v>
      </c>
      <c r="BG102" s="173">
        <f ca="1">(VLOOKUP(BG$72,INDIRECT($C$5&amp;"生成成长"),2))/((VLOOKUP($B102,INDIRECT($B$5&amp;"生成成长"),4))/(VLOOKUP(BG$72,INDIRECT($C$5&amp;"生成成长"),5))*(VLOOKUP($B$5,标准坦克设计!$B$24:$U$30,MATCH("对"&amp;LEFT($C$5,2)&amp;"输出",标准坦克设计!$B$23:$U$23,0)))*(VLOOKUP($B102,INDIRECT($B$5&amp;"生成成长"),3))*(VLOOKUP($B$5,标准坦克设计!$B$14:$K$20,9)/30))</f>
        <v>5.7750459445150062</v>
      </c>
      <c r="BH102" s="173">
        <f ca="1">(VLOOKUP(BH$72,INDIRECT($C$5&amp;"生成成长"),2))/((VLOOKUP($B102,INDIRECT($B$5&amp;"生成成长"),4))/(VLOOKUP(BH$72,INDIRECT($C$5&amp;"生成成长"),5))*(VLOOKUP($B$5,标准坦克设计!$B$24:$U$30,MATCH("对"&amp;LEFT($C$5,2)&amp;"输出",标准坦克设计!$B$23:$U$23,0)))*(VLOOKUP($B102,INDIRECT($B$5&amp;"生成成长"),3))*(VLOOKUP($B$5,标准坦克设计!$B$14:$K$20,9)/30))</f>
        <v>2.7914031599383642</v>
      </c>
      <c r="BI102" s="173">
        <f ca="1">(VLOOKUP(BI$72,INDIRECT($C$5&amp;"生成成长"),2))/((VLOOKUP($B102,INDIRECT($B$5&amp;"生成成长"),4))/(VLOOKUP(BI$72,INDIRECT($C$5&amp;"生成成长"),5))*(VLOOKUP($B$5,标准坦克设计!$B$24:$U$30,MATCH("对"&amp;LEFT($C$5,2)&amp;"输出",标准坦克设计!$B$23:$U$23,0)))*(VLOOKUP($B102,INDIRECT($B$5&amp;"生成成长"),3))*(VLOOKUP($B$5,标准坦克设计!$B$14:$K$20,9)/30))</f>
        <v>3.1461559822442862</v>
      </c>
      <c r="BJ102" s="173">
        <f ca="1">(VLOOKUP(BJ$72,INDIRECT($C$5&amp;"生成成长"),2))/((VLOOKUP($B102,INDIRECT($B$5&amp;"生成成长"),4))/(VLOOKUP(BJ$72,INDIRECT($C$5&amp;"生成成长"),5))*(VLOOKUP($B$5,标准坦克设计!$B$24:$U$30,MATCH("对"&amp;LEFT($C$5,2)&amp;"输出",标准坦克设计!$B$23:$U$23,0)))*(VLOOKUP($B102,INDIRECT($B$5&amp;"生成成长"),3))*(VLOOKUP($B$5,标准坦克设计!$B$14:$K$20,9)/30))</f>
        <v>3.5221232590402627</v>
      </c>
      <c r="BK102" s="173">
        <f ca="1">(VLOOKUP(BK$72,INDIRECT($C$5&amp;"生成成长"),2))/((VLOOKUP($B102,INDIRECT($B$5&amp;"生成成长"),4))/(VLOOKUP(BK$72,INDIRECT($C$5&amp;"生成成长"),5))*(VLOOKUP($B$5,标准坦克设计!$B$24:$U$30,MATCH("对"&amp;LEFT($C$5,2)&amp;"输出",标准坦克设计!$B$23:$U$23,0)))*(VLOOKUP($B102,INDIRECT($B$5&amp;"生成成长"),3))*(VLOOKUP($B$5,标准坦克设计!$B$14:$K$20,9)/30))</f>
        <v>3.9193049903262955</v>
      </c>
      <c r="BL102" s="173">
        <f ca="1">(VLOOKUP(BL$72,INDIRECT($C$5&amp;"生成成长"),2))/((VLOOKUP($B102,INDIRECT($B$5&amp;"生成成长"),4))/(VLOOKUP(BL$72,INDIRECT($C$5&amp;"生成成长"),5))*(VLOOKUP($B$5,标准坦克设计!$B$24:$U$30,MATCH("对"&amp;LEFT($C$5,2)&amp;"输出",标准坦克设计!$B$23:$U$23,0)))*(VLOOKUP($B102,INDIRECT($B$5&amp;"生成成长"),3))*(VLOOKUP($B$5,标准坦克设计!$B$14:$K$20,9)/30))</f>
        <v>4.3377011761023825</v>
      </c>
      <c r="BM102" s="173">
        <f ca="1">(VLOOKUP(BM$72,INDIRECT($C$5&amp;"生成成长"),2))/((VLOOKUP($B102,INDIRECT($B$5&amp;"生成成长"),4))/(VLOOKUP(BM$72,INDIRECT($C$5&amp;"生成成长"),5))*(VLOOKUP($B$5,标准坦克设计!$B$24:$U$30,MATCH("对"&amp;LEFT($C$5,2)&amp;"输出",标准坦克设计!$B$23:$U$23,0)))*(VLOOKUP($B102,INDIRECT($B$5&amp;"生成成长"),3))*(VLOOKUP($B$5,标准坦克设计!$B$14:$K$20,9)/30))</f>
        <v>4.7773118163685249</v>
      </c>
      <c r="BN102" s="173">
        <f ca="1">(VLOOKUP(BN$72,INDIRECT($C$5&amp;"生成成长"),2))/((VLOOKUP($B102,INDIRECT($B$5&amp;"生成成长"),4))/(VLOOKUP(BN$72,INDIRECT($C$5&amp;"生成成长"),5))*(VLOOKUP($B$5,标准坦克设计!$B$24:$U$30,MATCH("对"&amp;LEFT($C$5,2)&amp;"输出",标准坦克设计!$B$23:$U$23,0)))*(VLOOKUP($B102,INDIRECT($B$5&amp;"生成成长"),3))*(VLOOKUP($B$5,标准坦克设计!$B$14:$K$20,9)/30))</f>
        <v>5.2381369111247222</v>
      </c>
      <c r="BO102" s="173">
        <f ca="1">(VLOOKUP(BO$72,INDIRECT($C$5&amp;"生成成长"),2))/((VLOOKUP($B102,INDIRECT($B$5&amp;"生成成长"),4))/(VLOOKUP(BO$72,INDIRECT($C$5&amp;"生成成长"),5))*(VLOOKUP($B$5,标准坦克设计!$B$24:$U$30,MATCH("对"&amp;LEFT($C$5,2)&amp;"输出",标准坦克设计!$B$23:$U$23,0)))*(VLOOKUP($B102,INDIRECT($B$5&amp;"生成成长"),3))*(VLOOKUP($B$5,标准坦克设计!$B$14:$K$20,9)/30))</f>
        <v>5.7201764603709746</v>
      </c>
      <c r="BP102" s="173">
        <f ca="1">(VLOOKUP(BP$72,INDIRECT($C$5&amp;"生成成长"),2))/((VLOOKUP($B102,INDIRECT($B$5&amp;"生成成长"),4))/(VLOOKUP(BP$72,INDIRECT($C$5&amp;"生成成长"),5))*(VLOOKUP($B$5,标准坦克设计!$B$24:$U$30,MATCH("对"&amp;LEFT($C$5,2)&amp;"输出",标准坦克设计!$B$23:$U$23,0)))*(VLOOKUP($B102,INDIRECT($B$5&amp;"生成成长"),3))*(VLOOKUP($B$5,标准坦克设计!$B$14:$K$20,9)/30))</f>
        <v>6.223430464107282</v>
      </c>
      <c r="BQ102" s="173">
        <f ca="1">(VLOOKUP(BQ$72,INDIRECT($C$5&amp;"生成成长"),2))/((VLOOKUP($B102,INDIRECT($B$5&amp;"生成成长"),4))/(VLOOKUP(BQ$72,INDIRECT($C$5&amp;"生成成长"),5))*(VLOOKUP($B$5,标准坦克设计!$B$24:$U$30,MATCH("对"&amp;LEFT($C$5,2)&amp;"输出",标准坦克设计!$B$23:$U$23,0)))*(VLOOKUP($B102,INDIRECT($B$5&amp;"生成成长"),3))*(VLOOKUP($B$5,标准坦克设计!$B$14:$K$20,9)/30))</f>
        <v>6.7478989223336461</v>
      </c>
      <c r="BR102" s="173">
        <f ca="1">(VLOOKUP(BR$72,INDIRECT($C$5&amp;"生成成长"),2))/((VLOOKUP($B102,INDIRECT($B$5&amp;"生成成长"),4))/(VLOOKUP(BR$72,INDIRECT($C$5&amp;"生成成长"),5))*(VLOOKUP($B$5,标准坦克设计!$B$24:$U$30,MATCH("对"&amp;LEFT($C$5,2)&amp;"输出",标准坦克设计!$B$23:$U$23,0)))*(VLOOKUP($B102,INDIRECT($B$5&amp;"生成成长"),3))*(VLOOKUP($B$5,标准坦克设计!$B$14:$K$20,9)/30))</f>
        <v>7.3555228040241136</v>
      </c>
      <c r="BS102" s="173">
        <f ca="1">(VLOOKUP(BS$72,INDIRECT($C$5&amp;"生成成长"),2))/((VLOOKUP($B102,INDIRECT($B$5&amp;"生成成长"),4))/(VLOOKUP(BS$72,INDIRECT($C$5&amp;"生成成长"),5))*(VLOOKUP($B$5,标准坦克设计!$B$24:$U$30,MATCH("对"&amp;LEFT($C$5,2)&amp;"输出",标准坦克设计!$B$23:$U$23,0)))*(VLOOKUP($B102,INDIRECT($B$5&amp;"生成成长"),3))*(VLOOKUP($B$5,标准坦克设计!$B$14:$K$20,9)/30))</f>
        <v>7.9893373702702064</v>
      </c>
      <c r="BT102" s="173">
        <f ca="1">(VLOOKUP(BT$72,INDIRECT($C$5&amp;"生成成长"),2))/((VLOOKUP($B102,INDIRECT($B$5&amp;"生成成长"),4))/(VLOOKUP(BT$72,INDIRECT($C$5&amp;"生成成长"),5))*(VLOOKUP($B$5,标准坦克设计!$B$24:$U$30,MATCH("对"&amp;LEFT($C$5,2)&amp;"输出",标准坦克设计!$B$23:$U$23,0)))*(VLOOKUP($B102,INDIRECT($B$5&amp;"生成成长"),3))*(VLOOKUP($B$5,标准坦克设计!$B$14:$K$20,9)/30))</f>
        <v>8.64934262107192</v>
      </c>
      <c r="BU102" s="173">
        <f ca="1">(VLOOKUP(BU$72,INDIRECT($C$5&amp;"生成成长"),2))/((VLOOKUP($B102,INDIRECT($B$5&amp;"生成成长"),4))/(VLOOKUP(BU$72,INDIRECT($C$5&amp;"生成成长"),5))*(VLOOKUP($B$5,标准坦克设计!$B$24:$U$30,MATCH("对"&amp;LEFT($C$5,2)&amp;"输出",标准坦克设计!$B$23:$U$23,0)))*(VLOOKUP($B102,INDIRECT($B$5&amp;"生成成长"),3))*(VLOOKUP($B$5,标准坦克设计!$B$14:$K$20,9)/30))</f>
        <v>9.3355385564292579</v>
      </c>
      <c r="BV102" s="173">
        <f ca="1">(VLOOKUP(BV$72,INDIRECT($C$5&amp;"生成成长"),2))/((VLOOKUP($B102,INDIRECT($B$5&amp;"生成成长"),4))/(VLOOKUP(BV$72,INDIRECT($C$5&amp;"生成成长"),5))*(VLOOKUP($B$5,标准坦克设计!$B$24:$U$30,MATCH("对"&amp;LEFT($C$5,2)&amp;"输出",标准坦克设计!$B$23:$U$23,0)))*(VLOOKUP($B102,INDIRECT($B$5&amp;"生成成长"),3))*(VLOOKUP($B$5,标准坦克设计!$B$14:$K$20,9)/30))</f>
        <v>10.047925176342222</v>
      </c>
      <c r="BW102" s="173">
        <f ca="1">(VLOOKUP(BW$72,INDIRECT($C$5&amp;"生成成长"),2))/((VLOOKUP($B102,INDIRECT($B$5&amp;"生成成长"),4))/(VLOOKUP(BW$72,INDIRECT($C$5&amp;"生成成长"),5))*(VLOOKUP($B$5,标准坦克设计!$B$24:$U$30,MATCH("对"&amp;LEFT($C$5,2)&amp;"输出",标准坦克设计!$B$23:$U$23,0)))*(VLOOKUP($B102,INDIRECT($B$5&amp;"生成成长"),3))*(VLOOKUP($B$5,标准坦克设计!$B$14:$K$20,9)/30))</f>
        <v>4.5793102411280096</v>
      </c>
      <c r="BX102" s="173">
        <f ca="1">(VLOOKUP(BX$72,INDIRECT($C$5&amp;"生成成长"),2))/((VLOOKUP($B102,INDIRECT($B$5&amp;"生成成长"),4))/(VLOOKUP(BX$72,INDIRECT($C$5&amp;"生成成长"),5))*(VLOOKUP($B$5,标准坦克设计!$B$24:$U$30,MATCH("对"&amp;LEFT($C$5,2)&amp;"输出",标准坦克设计!$B$23:$U$23,0)))*(VLOOKUP($B102,INDIRECT($B$5&amp;"生成成长"),3))*(VLOOKUP($B$5,标准坦克设计!$B$14:$K$20,9)/30))</f>
        <v>5.0821713845959842</v>
      </c>
      <c r="BY102" s="173">
        <f ca="1">(VLOOKUP(BY$72,INDIRECT($C$5&amp;"生成成长"),2))/((VLOOKUP($B102,INDIRECT($B$5&amp;"生成成长"),4))/(VLOOKUP(BY$72,INDIRECT($C$5&amp;"生成成长"),5))*(VLOOKUP($B$5,标准坦克设计!$B$24:$U$30,MATCH("对"&amp;LEFT($C$5,2)&amp;"输出",标准坦克设计!$B$23:$U$23,0)))*(VLOOKUP($B102,INDIRECT($B$5&amp;"生成成长"),3))*(VLOOKUP($B$5,标准坦克设计!$B$14:$K$20,9)/30))</f>
        <v>5.6112232126195796</v>
      </c>
      <c r="BZ102" s="173">
        <f ca="1">(VLOOKUP(BZ$72,INDIRECT($C$5&amp;"生成成长"),2))/((VLOOKUP($B102,INDIRECT($B$5&amp;"生成成长"),4))/(VLOOKUP(BZ$72,INDIRECT($C$5&amp;"生成成长"),5))*(VLOOKUP($B$5,标准坦克设计!$B$24:$U$30,MATCH("对"&amp;LEFT($C$5,2)&amp;"输出",标准坦克设计!$B$23:$U$23,0)))*(VLOOKUP($B102,INDIRECT($B$5&amp;"生成成长"),3))*(VLOOKUP($B$5,标准坦克设计!$B$14:$K$20,9)/30))</f>
        <v>6.1664657251988002</v>
      </c>
      <c r="CA102" s="173">
        <f ca="1">(VLOOKUP(CA$72,INDIRECT($C$5&amp;"生成成长"),2))/((VLOOKUP($B102,INDIRECT($B$5&amp;"生成成长"),4))/(VLOOKUP(CA$72,INDIRECT($C$5&amp;"生成成长"),5))*(VLOOKUP($B$5,标准坦克设计!$B$24:$U$30,MATCH("对"&amp;LEFT($C$5,2)&amp;"输出",标准坦克设计!$B$23:$U$23,0)))*(VLOOKUP($B102,INDIRECT($B$5&amp;"生成成长"),3))*(VLOOKUP($B$5,标准坦克设计!$B$14:$K$20,9)/30))</f>
        <v>6.7478989223336461</v>
      </c>
      <c r="CB102" s="173">
        <f ca="1">(VLOOKUP(CB$72,INDIRECT($C$5&amp;"生成成长"),2))/((VLOOKUP($B102,INDIRECT($B$5&amp;"生成成长"),4))/(VLOOKUP(CB$72,INDIRECT($C$5&amp;"生成成长"),5))*(VLOOKUP($B$5,标准坦克设计!$B$24:$U$30,MATCH("对"&amp;LEFT($C$5,2)&amp;"输出",标准坦克设计!$B$23:$U$23,0)))*(VLOOKUP($B102,INDIRECT($B$5&amp;"生成成长"),3))*(VLOOKUP($B$5,标准坦克设计!$B$14:$K$20,9)/30))</f>
        <v>7.3555228040241136</v>
      </c>
      <c r="CC102" s="173">
        <f ca="1">(VLOOKUP(CC$72,INDIRECT($C$5&amp;"生成成长"),2))/((VLOOKUP($B102,INDIRECT($B$5&amp;"生成成长"),4))/(VLOOKUP(CC$72,INDIRECT($C$5&amp;"生成成长"),5))*(VLOOKUP($B$5,标准坦克设计!$B$24:$U$30,MATCH("对"&amp;LEFT($C$5,2)&amp;"输出",标准坦克设计!$B$23:$U$23,0)))*(VLOOKUP($B102,INDIRECT($B$5&amp;"生成成长"),3))*(VLOOKUP($B$5,标准坦克设计!$B$14:$K$20,9)/30))</f>
        <v>7.9893373702702064</v>
      </c>
      <c r="CD102" s="173">
        <f ca="1">(VLOOKUP(CD$72,INDIRECT($C$5&amp;"生成成长"),2))/((VLOOKUP($B102,INDIRECT($B$5&amp;"生成成长"),4))/(VLOOKUP(CD$72,INDIRECT($C$5&amp;"生成成长"),5))*(VLOOKUP($B$5,标准坦克设计!$B$24:$U$30,MATCH("对"&amp;LEFT($C$5,2)&amp;"输出",标准坦克设计!$B$23:$U$23,0)))*(VLOOKUP($B102,INDIRECT($B$5&amp;"生成成长"),3))*(VLOOKUP($B$5,标准坦克设计!$B$14:$K$20,9)/30))</f>
        <v>8.64934262107192</v>
      </c>
      <c r="CE102" s="173">
        <f ca="1">(VLOOKUP(CE$72,INDIRECT($C$5&amp;"生成成长"),2))/((VLOOKUP($B102,INDIRECT($B$5&amp;"生成成长"),4))/(VLOOKUP(CE$72,INDIRECT($C$5&amp;"生成成长"),5))*(VLOOKUP($B$5,标准坦克设计!$B$24:$U$30,MATCH("对"&amp;LEFT($C$5,2)&amp;"输出",标准坦克设计!$B$23:$U$23,0)))*(VLOOKUP($B102,INDIRECT($B$5&amp;"生成成长"),3))*(VLOOKUP($B$5,标准坦克设计!$B$14:$K$20,9)/30))</f>
        <v>9.3355385564292579</v>
      </c>
      <c r="CF102" s="173">
        <f ca="1">(VLOOKUP(CF$72,INDIRECT($C$5&amp;"生成成长"),2))/((VLOOKUP($B102,INDIRECT($B$5&amp;"生成成长"),4))/(VLOOKUP(CF$72,INDIRECT($C$5&amp;"生成成长"),5))*(VLOOKUP($B$5,标准坦克设计!$B$24:$U$30,MATCH("对"&amp;LEFT($C$5,2)&amp;"输出",标准坦克设计!$B$23:$U$23,0)))*(VLOOKUP($B102,INDIRECT($B$5&amp;"生成成长"),3))*(VLOOKUP($B$5,标准坦克设计!$B$14:$K$20,9)/30))</f>
        <v>10.047925176342222</v>
      </c>
      <c r="CG102" s="173">
        <f ca="1">(VLOOKUP(CG$72,INDIRECT($C$5&amp;"生成成长"),2))/((VLOOKUP($B102,INDIRECT($B$5&amp;"生成成长"),4))/(VLOOKUP(CG$72,INDIRECT($C$5&amp;"生成成长"),5))*(VLOOKUP($B$5,标准坦克设计!$B$24:$U$30,MATCH("对"&amp;LEFT($C$5,2)&amp;"输出",标准坦克设计!$B$23:$U$23,0)))*(VLOOKUP($B102,INDIRECT($B$5&amp;"生成成长"),3))*(VLOOKUP($B$5,标准坦克设计!$B$14:$K$20,9)/30))</f>
        <v>10.786502480810805</v>
      </c>
      <c r="CH102" s="173">
        <f ca="1">(VLOOKUP(CH$72,INDIRECT($C$5&amp;"生成成长"),2))/((VLOOKUP($B102,INDIRECT($B$5&amp;"生成成长"),4))/(VLOOKUP(CH$72,INDIRECT($C$5&amp;"生成成长"),5))*(VLOOKUP($B$5,标准坦克设计!$B$24:$U$30,MATCH("对"&amp;LEFT($C$5,2)&amp;"输出",标准坦克设计!$B$23:$U$23,0)))*(VLOOKUP($B102,INDIRECT($B$5&amp;"生成成长"),3))*(VLOOKUP($B$5,标准坦克设计!$B$14:$K$20,9)/30))</f>
        <v>11.551270469835016</v>
      </c>
      <c r="CI102" s="173">
        <f ca="1">(VLOOKUP(CI$72,INDIRECT($C$5&amp;"生成成长"),2))/((VLOOKUP($B102,INDIRECT($B$5&amp;"生成成长"),4))/(VLOOKUP(CI$72,INDIRECT($C$5&amp;"生成成长"),5))*(VLOOKUP($B$5,标准坦克设计!$B$24:$U$30,MATCH("对"&amp;LEFT($C$5,2)&amp;"输出",标准坦克设计!$B$23:$U$23,0)))*(VLOOKUP($B102,INDIRECT($B$5&amp;"生成成长"),3))*(VLOOKUP($B$5,标准坦克设计!$B$14:$K$20,9)/30))</f>
        <v>12.422765498423392</v>
      </c>
      <c r="CJ102" s="173">
        <f ca="1">(VLOOKUP(CJ$72,INDIRECT($C$5&amp;"生成成长"),2))/((VLOOKUP($B102,INDIRECT($B$5&amp;"生成成长"),4))/(VLOOKUP(CJ$72,INDIRECT($C$5&amp;"生成成长"),5))*(VLOOKUP($B$5,标准坦克设计!$B$24:$U$30,MATCH("对"&amp;LEFT($C$5,2)&amp;"输出",标准坦克设计!$B$23:$U$23,0)))*(VLOOKUP($B102,INDIRECT($B$5&amp;"生成成长"),3))*(VLOOKUP($B$5,标准坦克设计!$B$14:$K$20,9)/30))</f>
        <v>13.325951255324073</v>
      </c>
      <c r="CK102" s="173">
        <f ca="1">(VLOOKUP(CK$72,INDIRECT($C$5&amp;"生成成长"),2))/((VLOOKUP($B102,INDIRECT($B$5&amp;"生成成长"),4))/(VLOOKUP(CK$72,INDIRECT($C$5&amp;"生成成长"),5))*(VLOOKUP($B$5,标准坦克设计!$B$24:$U$30,MATCH("对"&amp;LEFT($C$5,2)&amp;"输出",标准坦克设计!$B$23:$U$23,0)))*(VLOOKUP($B102,INDIRECT($B$5&amp;"生成成长"),3))*(VLOOKUP($B$5,标准坦克设计!$B$14:$K$20,9)/30))</f>
        <v>14.260827740537056</v>
      </c>
      <c r="CL102" s="173">
        <f ca="1">(VLOOKUP(CL$72,INDIRECT($C$5&amp;"生成成长"),2))/((VLOOKUP($B102,INDIRECT($B$5&amp;"生成成长"),4))/(VLOOKUP(CL$72,INDIRECT($C$5&amp;"生成成长"),5))*(VLOOKUP($B$5,标准坦克设计!$B$24:$U$30,MATCH("对"&amp;LEFT($C$5,2)&amp;"输出",标准坦克设计!$B$23:$U$23,0)))*(VLOOKUP($B102,INDIRECT($B$5&amp;"生成成长"),3))*(VLOOKUP($B$5,标准坦克设计!$B$14:$K$20,9)/30))</f>
        <v>15.227394954062348</v>
      </c>
      <c r="CM102" s="173">
        <f ca="1">(VLOOKUP(CM$72,INDIRECT($C$5&amp;"生成成长"),2))/((VLOOKUP($B102,INDIRECT($B$5&amp;"生成成长"),4))/(VLOOKUP(CM$72,INDIRECT($C$5&amp;"生成成长"),5))*(VLOOKUP($B$5,标准坦克设计!$B$24:$U$30,MATCH("对"&amp;LEFT($C$5,2)&amp;"输出",标准坦克设计!$B$23:$U$23,0)))*(VLOOKUP($B102,INDIRECT($B$5&amp;"生成成长"),3))*(VLOOKUP($B$5,标准坦克设计!$B$14:$K$20,9)/30))</f>
        <v>16.225652895899941</v>
      </c>
      <c r="CN102" s="173">
        <f ca="1">(VLOOKUP(CN$72,INDIRECT($C$5&amp;"生成成长"),2))/((VLOOKUP($B102,INDIRECT($B$5&amp;"生成成长"),4))/(VLOOKUP(CN$72,INDIRECT($C$5&amp;"生成成长"),5))*(VLOOKUP($B$5,标准坦克设计!$B$24:$U$30,MATCH("对"&amp;LEFT($C$5,2)&amp;"输出",标准坦克设计!$B$23:$U$23,0)))*(VLOOKUP($B102,INDIRECT($B$5&amp;"生成成长"),3))*(VLOOKUP($B$5,标准坦克设计!$B$14:$K$20,9)/30))</f>
        <v>17.255601566049837</v>
      </c>
      <c r="CO102" s="173">
        <f ca="1">(VLOOKUP(CO$72,INDIRECT($C$5&amp;"生成成长"),2))/((VLOOKUP($B102,INDIRECT($B$5&amp;"生成成长"),4))/(VLOOKUP(CO$72,INDIRECT($C$5&amp;"生成成长"),5))*(VLOOKUP($B$5,标准坦克设计!$B$24:$U$30,MATCH("对"&amp;LEFT($C$5,2)&amp;"输出",标准坦克设计!$B$23:$U$23,0)))*(VLOOKUP($B102,INDIRECT($B$5&amp;"生成成长"),3))*(VLOOKUP($B$5,标准坦克设计!$B$14:$K$20,9)/30))</f>
        <v>7.7326686616250919</v>
      </c>
      <c r="CP102" s="173">
        <f ca="1">(VLOOKUP(CP$72,INDIRECT($C$5&amp;"生成成长"),2))/((VLOOKUP($B102,INDIRECT($B$5&amp;"生成成长"),4))/(VLOOKUP(CP$72,INDIRECT($C$5&amp;"生成成长"),5))*(VLOOKUP($B$5,标准坦克设计!$B$24:$U$30,MATCH("对"&amp;LEFT($C$5,2)&amp;"输出",标准坦克设计!$B$23:$U$23,0)))*(VLOOKUP($B102,INDIRECT($B$5&amp;"生成成长"),3))*(VLOOKUP($B$5,标准坦克设计!$B$14:$K$20,9)/30))</f>
        <v>8.4485910239530657</v>
      </c>
      <c r="CQ102" s="173">
        <f ca="1">(VLOOKUP(CQ$72,INDIRECT($C$5&amp;"生成成长"),2))/((VLOOKUP($B102,INDIRECT($B$5&amp;"生成成长"),4))/(VLOOKUP(CQ$72,INDIRECT($C$5&amp;"生成成长"),5))*(VLOOKUP($B$5,标准坦克设计!$B$24:$U$30,MATCH("对"&amp;LEFT($C$5,2)&amp;"输出",标准坦克设计!$B$23:$U$23,0)))*(VLOOKUP($B102,INDIRECT($B$5&amp;"生成成长"),3))*(VLOOKUP($B$5,标准坦克设计!$B$14:$K$20,9)/30))</f>
        <v>9.1962041145933391</v>
      </c>
      <c r="CR102" s="173">
        <f ca="1">(VLOOKUP(CR$72,INDIRECT($C$5&amp;"生成成长"),2))/((VLOOKUP($B102,INDIRECT($B$5&amp;"生成成长"),4))/(VLOOKUP(CR$72,INDIRECT($C$5&amp;"生成成长"),5))*(VLOOKUP($B$5,标准坦克设计!$B$24:$U$30,MATCH("对"&amp;LEFT($C$5,2)&amp;"输出",标准坦克设计!$B$23:$U$23,0)))*(VLOOKUP($B102,INDIRECT($B$5&amp;"生成成长"),3))*(VLOOKUP($B$5,标准坦克设计!$B$14:$K$20,9)/30))</f>
        <v>9.9755079335459218</v>
      </c>
      <c r="CS102" s="173">
        <f ca="1">(VLOOKUP(CS$72,INDIRECT($C$5&amp;"生成成长"),2))/((VLOOKUP($B102,INDIRECT($B$5&amp;"生成成长"),4))/(VLOOKUP(CS$72,INDIRECT($C$5&amp;"生成成长"),5))*(VLOOKUP($B$5,标准坦克设计!$B$24:$U$30,MATCH("对"&amp;LEFT($C$5,2)&amp;"输出",标准坦克设计!$B$23:$U$23,0)))*(VLOOKUP($B102,INDIRECT($B$5&amp;"生成成长"),3))*(VLOOKUP($B$5,标准坦克设计!$B$14:$K$20,9)/30))</f>
        <v>10.786502480810805</v>
      </c>
      <c r="CT102" s="173">
        <f ca="1">(VLOOKUP(CT$72,INDIRECT($C$5&amp;"生成成长"),2))/((VLOOKUP($B102,INDIRECT($B$5&amp;"生成成长"),4))/(VLOOKUP(CT$72,INDIRECT($C$5&amp;"生成成长"),5))*(VLOOKUP($B$5,标准坦克设计!$B$24:$U$30,MATCH("对"&amp;LEFT($C$5,2)&amp;"输出",标准坦克设计!$B$23:$U$23,0)))*(VLOOKUP($B102,INDIRECT($B$5&amp;"生成成长"),3))*(VLOOKUP($B$5,标准坦克设计!$B$14:$K$20,9)/30))</f>
        <v>11.629187756387996</v>
      </c>
      <c r="CU102" s="173">
        <f ca="1">(VLOOKUP(CU$72,INDIRECT($C$5&amp;"生成成长"),2))/((VLOOKUP($B102,INDIRECT($B$5&amp;"生成成长"),4))/(VLOOKUP(CU$72,INDIRECT($C$5&amp;"生成成长"),5))*(VLOOKUP($B$5,标准坦克设计!$B$24:$U$30,MATCH("对"&amp;LEFT($C$5,2)&amp;"输出",标准坦克设计!$B$23:$U$23,0)))*(VLOOKUP($B102,INDIRECT($B$5&amp;"生成成长"),3))*(VLOOKUP($B$5,标准坦克设计!$B$14:$K$20,9)/30))</f>
        <v>12.503563760277487</v>
      </c>
      <c r="CV102" s="173">
        <f ca="1">(VLOOKUP(CV$72,INDIRECT($C$5&amp;"生成成长"),2))/((VLOOKUP($B102,INDIRECT($B$5&amp;"生成成长"),4))/(VLOOKUP(CV$72,INDIRECT($C$5&amp;"生成成长"),5))*(VLOOKUP($B$5,标准坦克设计!$B$24:$U$30,MATCH("对"&amp;LEFT($C$5,2)&amp;"输出",标准坦克设计!$B$23:$U$23,0)))*(VLOOKUP($B102,INDIRECT($B$5&amp;"生成成长"),3))*(VLOOKUP($B$5,标准坦克设计!$B$14:$K$20,9)/30))</f>
        <v>13.409630492479289</v>
      </c>
      <c r="CW102" s="173">
        <f ca="1">(VLOOKUP(CW$72,INDIRECT($C$5&amp;"生成成长"),2))/((VLOOKUP($B102,INDIRECT($B$5&amp;"生成成长"),4))/(VLOOKUP(CW$72,INDIRECT($C$5&amp;"生成成长"),5))*(VLOOKUP($B$5,标准坦克设计!$B$24:$U$30,MATCH("对"&amp;LEFT($C$5,2)&amp;"输出",标准坦克设计!$B$23:$U$23,0)))*(VLOOKUP($B102,INDIRECT($B$5&amp;"生成成长"),3))*(VLOOKUP($B$5,标准坦克设计!$B$14:$K$20,9)/30))</f>
        <v>14.347387952993394</v>
      </c>
      <c r="CX102" s="173">
        <f ca="1">(VLOOKUP(CX$72,INDIRECT($C$5&amp;"生成成长"),2))/((VLOOKUP($B102,INDIRECT($B$5&amp;"生成成长"),4))/(VLOOKUP(CX$72,INDIRECT($C$5&amp;"生成成长"),5))*(VLOOKUP($B$5,标准坦克设计!$B$24:$U$30,MATCH("对"&amp;LEFT($C$5,2)&amp;"输出",标准坦克设计!$B$23:$U$23,0)))*(VLOOKUP($B102,INDIRECT($B$5&amp;"生成成长"),3))*(VLOOKUP($B$5,标准坦克设计!$B$14:$K$20,9)/30))</f>
        <v>15.316836141819799</v>
      </c>
      <c r="CY102" s="173">
        <f ca="1">(VLOOKUP(CY$72,INDIRECT($C$5&amp;"生成成长"),2))/((VLOOKUP($B102,INDIRECT($B$5&amp;"生成成长"),4))/(VLOOKUP(CY$72,INDIRECT($C$5&amp;"生成成长"),5))*(VLOOKUP($B$5,标准坦克设计!$B$24:$U$30,MATCH("对"&amp;LEFT($C$5,2)&amp;"输出",标准坦克设计!$B$23:$U$23,0)))*(VLOOKUP($B102,INDIRECT($B$5&amp;"生成成长"),3))*(VLOOKUP($B$5,标准坦克设计!$B$14:$K$20,9)/30))</f>
        <v>16.317975058958513</v>
      </c>
      <c r="CZ102" s="173">
        <f ca="1">(VLOOKUP(CZ$72,INDIRECT($C$5&amp;"生成成长"),2))/((VLOOKUP($B102,INDIRECT($B$5&amp;"生成成长"),4))/(VLOOKUP(CZ$72,INDIRECT($C$5&amp;"生成成长"),5))*(VLOOKUP($B$5,标准坦克设计!$B$24:$U$30,MATCH("对"&amp;LEFT($C$5,2)&amp;"输出",标准坦克设计!$B$23:$U$23,0)))*(VLOOKUP($B102,INDIRECT($B$5&amp;"生成成长"),3))*(VLOOKUP($B$5,标准坦克设计!$B$14:$K$20,9)/30))</f>
        <v>17.35080470440953</v>
      </c>
      <c r="DA102" s="173">
        <f ca="1">(VLOOKUP(DA$72,INDIRECT($C$5&amp;"生成成长"),2))/((VLOOKUP($B102,INDIRECT($B$5&amp;"生成成长"),4))/(VLOOKUP(DA$72,INDIRECT($C$5&amp;"生成成长"),5))*(VLOOKUP($B$5,标准坦克设计!$B$24:$U$30,MATCH("对"&amp;LEFT($C$5,2)&amp;"输出",标准坦克设计!$B$23:$U$23,0)))*(VLOOKUP($B102,INDIRECT($B$5&amp;"生成成长"),3))*(VLOOKUP($B$5,标准坦克设计!$B$14:$K$20,9)/30))</f>
        <v>18.415325078172849</v>
      </c>
      <c r="DB102" s="173">
        <f ca="1">(VLOOKUP(DB$72,INDIRECT($C$5&amp;"生成成长"),2))/((VLOOKUP($B102,INDIRECT($B$5&amp;"生成成长"),4))/(VLOOKUP(DB$72,INDIRECT($C$5&amp;"生成成长"),5))*(VLOOKUP($B$5,标准坦克设计!$B$24:$U$30,MATCH("对"&amp;LEFT($C$5,2)&amp;"输出",标准坦克设计!$B$23:$U$23,0)))*(VLOOKUP($B102,INDIRECT($B$5&amp;"生成成长"),3))*(VLOOKUP($B$5,标准坦克设计!$B$14:$K$20,9)/30))</f>
        <v>19.511536180248477</v>
      </c>
      <c r="DC102" s="173">
        <f ca="1">(VLOOKUP(DC$72,INDIRECT($C$5&amp;"生成成长"),2))/((VLOOKUP($B102,INDIRECT($B$5&amp;"生成成长"),4))/(VLOOKUP(DC$72,INDIRECT($C$5&amp;"生成成长"),5))*(VLOOKUP($B$5,标准坦克设计!$B$24:$U$30,MATCH("对"&amp;LEFT($C$5,2)&amp;"输出",标准坦克设计!$B$23:$U$23,0)))*(VLOOKUP($B102,INDIRECT($B$5&amp;"生成成长"),3))*(VLOOKUP($B$5,标准坦克设计!$B$14:$K$20,9)/30))</f>
        <v>20.743545981745012</v>
      </c>
      <c r="DD102" s="173">
        <f ca="1">(VLOOKUP(DD$72,INDIRECT($C$5&amp;"生成成长"),2))/((VLOOKUP($B102,INDIRECT($B$5&amp;"生成成长"),4))/(VLOOKUP(DD$72,INDIRECT($C$5&amp;"生成成长"),5))*(VLOOKUP($B$5,标准坦克设计!$B$24:$U$30,MATCH("对"&amp;LEFT($C$5,2)&amp;"输出",标准坦克设计!$B$23:$U$23,0)))*(VLOOKUP($B102,INDIRECT($B$5&amp;"生成成长"),3))*(VLOOKUP($B$5,标准坦克设计!$B$14:$K$20,9)/30))</f>
        <v>22.013270369001642</v>
      </c>
      <c r="DE102" s="173">
        <f ca="1">(VLOOKUP(DE$72,INDIRECT($C$5&amp;"生成成长"),2))/((VLOOKUP($B102,INDIRECT($B$5&amp;"生成成长"),4))/(VLOOKUP(DE$72,INDIRECT($C$5&amp;"生成成长"),5))*(VLOOKUP($B$5,标准坦克设计!$B$24:$U$30,MATCH("对"&amp;LEFT($C$5,2)&amp;"输出",标准坦克设计!$B$23:$U$23,0)))*(VLOOKUP($B102,INDIRECT($B$5&amp;"生成成长"),3))*(VLOOKUP($B$5,标准坦克设计!$B$14:$K$20,9)/30))</f>
        <v>23.320709342018372</v>
      </c>
      <c r="DF102" s="173">
        <f ca="1">(VLOOKUP(DF$72,INDIRECT($C$5&amp;"生成成长"),2))/((VLOOKUP($B102,INDIRECT($B$5&amp;"生成成长"),4))/(VLOOKUP(DF$72,INDIRECT($C$5&amp;"生成成长"),5))*(VLOOKUP($B$5,标准坦克设计!$B$24:$U$30,MATCH("对"&amp;LEFT($C$5,2)&amp;"输出",标准坦克设计!$B$23:$U$23,0)))*(VLOOKUP($B102,INDIRECT($B$5&amp;"生成成长"),3))*(VLOOKUP($B$5,标准坦克设计!$B$14:$K$20,9)/30))</f>
        <v>24.665862900795201</v>
      </c>
      <c r="DG102" s="173">
        <f ca="1">(VLOOKUP(DG$72,INDIRECT($C$5&amp;"生成成长"),2))/((VLOOKUP($B102,INDIRECT($B$5&amp;"生成成长"),4))/(VLOOKUP(DG$72,INDIRECT($C$5&amp;"生成成长"),5))*(VLOOKUP($B$5,标准坦克设计!$B$24:$U$30,MATCH("对"&amp;LEFT($C$5,2)&amp;"输出",标准坦克设计!$B$23:$U$23,0)))*(VLOOKUP($B102,INDIRECT($B$5&amp;"生成成长"),3))*(VLOOKUP($B$5,标准坦克设计!$B$14:$K$20,9)/30))</f>
        <v>26.048731045332129</v>
      </c>
      <c r="DH102" s="173">
        <f ca="1">(VLOOKUP(DH$72,INDIRECT($C$5&amp;"生成成长"),2))/((VLOOKUP($B102,INDIRECT($B$5&amp;"生成成长"),4))/(VLOOKUP(DH$72,INDIRECT($C$5&amp;"生成成长"),5))*(VLOOKUP($B$5,标准坦克设计!$B$24:$U$30,MATCH("对"&amp;LEFT($C$5,2)&amp;"输出",标准坦克设计!$B$23:$U$23,0)))*(VLOOKUP($B102,INDIRECT($B$5&amp;"生成成长"),3))*(VLOOKUP($B$5,标准坦克设计!$B$14:$K$20,9)/30))</f>
        <v>27.469313775629161</v>
      </c>
      <c r="DI102" s="173">
        <f ca="1">(VLOOKUP(DI$72,INDIRECT($C$5&amp;"生成成长"),2))/((VLOOKUP($B102,INDIRECT($B$5&amp;"生成成长"),4))/(VLOOKUP(DI$72,INDIRECT($C$5&amp;"生成成长"),5))*(VLOOKUP($B$5,标准坦克设计!$B$24:$U$30,MATCH("对"&amp;LEFT($C$5,2)&amp;"输出",标准坦克设计!$B$23:$U$23,0)))*(VLOOKUP($B102,INDIRECT($B$5&amp;"生成成长"),3))*(VLOOKUP($B$5,标准坦克设计!$B$14:$K$20,9)/30))</f>
        <v>28.927611091686284</v>
      </c>
      <c r="DJ102" s="173">
        <f ca="1">(VLOOKUP(DJ$72,INDIRECT($C$5&amp;"生成成长"),2))/((VLOOKUP($B102,INDIRECT($B$5&amp;"生成成长"),4))/(VLOOKUP(DJ$72,INDIRECT($C$5&amp;"生成成长"),5))*(VLOOKUP($B$5,标准坦克设计!$B$24:$U$30,MATCH("对"&amp;LEFT($C$5,2)&amp;"输出",标准坦克设计!$B$23:$U$23,0)))*(VLOOKUP($B102,INDIRECT($B$5&amp;"生成成长"),3))*(VLOOKUP($B$5,标准坦克设计!$B$14:$K$20,9)/30))</f>
        <v>2.9072969390969989</v>
      </c>
      <c r="DK102" s="173">
        <f ca="1">(VLOOKUP(DK$72,INDIRECT($C$5&amp;"生成成长"),2))/((VLOOKUP($B102,INDIRECT($B$5&amp;"生成成长"),4))/(VLOOKUP(DK$72,INDIRECT($C$5&amp;"生成成长"),5))*(VLOOKUP($B$5,标准坦克设计!$B$24:$U$30,MATCH("对"&amp;LEFT($C$5,2)&amp;"输出",标准坦克设计!$B$23:$U$23,0)))*(VLOOKUP($B102,INDIRECT($B$5&amp;"生成成长"),3))*(VLOOKUP($B$5,标准坦克设计!$B$14:$K$20,9)/30))</f>
        <v>3.2691212462329391</v>
      </c>
      <c r="DL102" s="173">
        <f ca="1">(VLOOKUP(DL$72,INDIRECT($C$5&amp;"生成成长"),2))/((VLOOKUP($B102,INDIRECT($B$5&amp;"生成成长"),4))/(VLOOKUP(DL$72,INDIRECT($C$5&amp;"生成成长"),5))*(VLOOKUP($B$5,标准坦克设计!$B$24:$U$30,MATCH("对"&amp;LEFT($C$5,2)&amp;"输出",标准坦克设计!$B$23:$U$23,0)))*(VLOOKUP($B102,INDIRECT($B$5&amp;"生成成长"),3))*(VLOOKUP($B$5,标准坦克设计!$B$14:$K$20,9)/30))</f>
        <v>3.6521600078589342</v>
      </c>
      <c r="DM102" s="173">
        <f ca="1">(VLOOKUP(DM$72,INDIRECT($C$5&amp;"生成成长"),2))/((VLOOKUP($B102,INDIRECT($B$5&amp;"生成成长"),4))/(VLOOKUP(DM$72,INDIRECT($C$5&amp;"生成成长"),5))*(VLOOKUP($B$5,标准坦克设计!$B$24:$U$30,MATCH("对"&amp;LEFT($C$5,2)&amp;"输出",标准坦克设计!$B$23:$U$23,0)))*(VLOOKUP($B102,INDIRECT($B$5&amp;"生成成长"),3))*(VLOOKUP($B$5,标准坦克设计!$B$14:$K$20,9)/30))</f>
        <v>4.0564132239749853</v>
      </c>
      <c r="DN102" s="173">
        <f ca="1">(VLOOKUP(DN$72,INDIRECT($C$5&amp;"生成成长"),2))/((VLOOKUP($B102,INDIRECT($B$5&amp;"生成成长"),4))/(VLOOKUP(DN$72,INDIRECT($C$5&amp;"生成成长"),5))*(VLOOKUP($B$5,标准坦克设计!$B$24:$U$30,MATCH("对"&amp;LEFT($C$5,2)&amp;"输出",标准坦克设计!$B$23:$U$23,0)))*(VLOOKUP($B102,INDIRECT($B$5&amp;"生成成长"),3))*(VLOOKUP($B$5,标准坦克设计!$B$14:$K$20,9)/30))</f>
        <v>4.4818808945810904</v>
      </c>
      <c r="DO102" s="173">
        <f ca="1">(VLOOKUP(DO$72,INDIRECT($C$5&amp;"生成成长"),2))/((VLOOKUP($B102,INDIRECT($B$5&amp;"生成成长"),4))/(VLOOKUP(DO$72,INDIRECT($C$5&amp;"生成成长"),5))*(VLOOKUP($B$5,标准坦克设计!$B$24:$U$30,MATCH("对"&amp;LEFT($C$5,2)&amp;"输出",标准坦克设计!$B$23:$U$23,0)))*(VLOOKUP($B102,INDIRECT($B$5&amp;"生成成长"),3))*(VLOOKUP($B$5,标准坦克设计!$B$14:$K$20,9)/30))</f>
        <v>4.9285630196772514</v>
      </c>
      <c r="DP102" s="173">
        <f ca="1">(VLOOKUP(DP$72,INDIRECT($C$5&amp;"生成成长"),2))/((VLOOKUP($B102,INDIRECT($B$5&amp;"生成成长"),4))/(VLOOKUP(DP$72,INDIRECT($C$5&amp;"生成成长"),5))*(VLOOKUP($B$5,标准坦克设计!$B$24:$U$30,MATCH("对"&amp;LEFT($C$5,2)&amp;"输出",标准坦克设计!$B$23:$U$23,0)))*(VLOOKUP($B102,INDIRECT($B$5&amp;"生成成长"),3))*(VLOOKUP($B$5,标准坦克设计!$B$14:$K$20,9)/30))</f>
        <v>5.3964595992634665</v>
      </c>
      <c r="DQ102" s="173">
        <f ca="1">(VLOOKUP(DQ$72,INDIRECT($C$5&amp;"生成成长"),2))/((VLOOKUP($B102,INDIRECT($B$5&amp;"生成成长"),4))/(VLOOKUP(DQ$72,INDIRECT($C$5&amp;"生成成长"),5))*(VLOOKUP($B$5,标准坦克设计!$B$24:$U$30,MATCH("对"&amp;LEFT($C$5,2)&amp;"输出",标准坦克设计!$B$23:$U$23,0)))*(VLOOKUP($B102,INDIRECT($B$5&amp;"生成成长"),3))*(VLOOKUP($B$5,标准坦克设计!$B$14:$K$20,9)/30))</f>
        <v>5.8855706333397375</v>
      </c>
      <c r="DR102" s="173">
        <f ca="1">(VLOOKUP(DR$72,INDIRECT($C$5&amp;"生成成长"),2))/((VLOOKUP($B102,INDIRECT($B$5&amp;"生成成长"),4))/(VLOOKUP(DR$72,INDIRECT($C$5&amp;"生成成长"),5))*(VLOOKUP($B$5,标准坦克设计!$B$24:$U$30,MATCH("对"&amp;LEFT($C$5,2)&amp;"输出",标准坦克设计!$B$23:$U$23,0)))*(VLOOKUP($B102,INDIRECT($B$5&amp;"生成成长"),3))*(VLOOKUP($B$5,标准坦克设计!$B$14:$K$20,9)/30))</f>
        <v>6.3958961219060644</v>
      </c>
      <c r="DS102" s="173">
        <f ca="1">(VLOOKUP(DS$72,INDIRECT($C$5&amp;"生成成长"),2))/((VLOOKUP($B102,INDIRECT($B$5&amp;"生成成长"),4))/(VLOOKUP(DS$72,INDIRECT($C$5&amp;"生成成长"),5))*(VLOOKUP($B$5,标准坦克设计!$B$24:$U$30,MATCH("对"&amp;LEFT($C$5,2)&amp;"输出",标准坦克设计!$B$23:$U$23,0)))*(VLOOKUP($B102,INDIRECT($B$5&amp;"生成成长"),3))*(VLOOKUP($B$5,标准坦克设计!$B$14:$K$20,9)/30))</f>
        <v>6.9274360649624454</v>
      </c>
      <c r="DT102" s="173">
        <f ca="1">(VLOOKUP(DT$72,INDIRECT($C$5&amp;"生成成长"),2))/((VLOOKUP($B102,INDIRECT($B$5&amp;"生成成长"),4))/(VLOOKUP(DT$72,INDIRECT($C$5&amp;"生成成长"),5))*(VLOOKUP($B$5,标准坦克设计!$B$24:$U$30,MATCH("对"&amp;LEFT($C$5,2)&amp;"输出",标准坦克设计!$B$23:$U$23,0)))*(VLOOKUP($B102,INDIRECT($B$5&amp;"生成成长"),3))*(VLOOKUP($B$5,标准坦克设计!$B$14:$K$20,9)/30))</f>
        <v>7.6059057483758767</v>
      </c>
      <c r="DU102" s="173">
        <f ca="1">(VLOOKUP(DU$72,INDIRECT($C$5&amp;"生成成长"),2))/((VLOOKUP($B102,INDIRECT($B$5&amp;"生成成长"),4))/(VLOOKUP(DU$72,INDIRECT($C$5&amp;"生成成长"),5))*(VLOOKUP($B$5,标准坦克设计!$B$24:$U$30,MATCH("对"&amp;LEFT($C$5,2)&amp;"输出",标准坦克设计!$B$23:$U$23,0)))*(VLOOKUP($B102,INDIRECT($B$5&amp;"生成成长"),3))*(VLOOKUP($B$5,标准坦克设计!$B$14:$K$20,9)/30))</f>
        <v>8.3160661601016095</v>
      </c>
      <c r="DV102" s="173">
        <f ca="1">(VLOOKUP(DV$72,INDIRECT($C$5&amp;"生成成长"),2))/((VLOOKUP($B102,INDIRECT($B$5&amp;"生成成长"),4))/(VLOOKUP(DV$72,INDIRECT($C$5&amp;"生成成长"),5))*(VLOOKUP($B$5,标准坦克设计!$B$24:$U$30,MATCH("对"&amp;LEFT($C$5,2)&amp;"输出",标准坦克设计!$B$23:$U$23,0)))*(VLOOKUP($B102,INDIRECT($B$5&amp;"生成成长"),3))*(VLOOKUP($B$5,标准坦克设计!$B$14:$K$20,9)/30))</f>
        <v>9.057917300139648</v>
      </c>
      <c r="DW102" s="173">
        <f ca="1">(VLOOKUP(DW$72,INDIRECT($C$5&amp;"生成成长"),2))/((VLOOKUP($B102,INDIRECT($B$5&amp;"生成成长"),4))/(VLOOKUP(DW$72,INDIRECT($C$5&amp;"生成成长"),5))*(VLOOKUP($B$5,标准坦克设计!$B$24:$U$30,MATCH("对"&amp;LEFT($C$5,2)&amp;"输出",标准坦克设计!$B$23:$U$23,0)))*(VLOOKUP($B102,INDIRECT($B$5&amp;"生成成长"),3))*(VLOOKUP($B$5,标准坦克设计!$B$14:$K$20,9)/30))</f>
        <v>9.8314591684899924</v>
      </c>
      <c r="DX102" s="173">
        <f ca="1">(VLOOKUP(DX$72,INDIRECT($C$5&amp;"生成成长"),2))/((VLOOKUP($B102,INDIRECT($B$5&amp;"生成成长"),4))/(VLOOKUP(DX$72,INDIRECT($C$5&amp;"生成成长"),5))*(VLOOKUP($B$5,标准坦克设计!$B$24:$U$30,MATCH("对"&amp;LEFT($C$5,2)&amp;"输出",标准坦克设计!$B$23:$U$23,0)))*(VLOOKUP($B102,INDIRECT($B$5&amp;"生成成长"),3))*(VLOOKUP($B$5,标准坦克设计!$B$14:$K$20,9)/30))</f>
        <v>10.636691765152637</v>
      </c>
      <c r="DY102" s="173">
        <f ca="1">(VLOOKUP(DY$72,INDIRECT($C$5&amp;"生成成长"),2))/((VLOOKUP($B102,INDIRECT($B$5&amp;"生成成长"),4))/(VLOOKUP(DY$72,INDIRECT($C$5&amp;"生成成长"),5))*(VLOOKUP($B$5,标准坦克设计!$B$24:$U$30,MATCH("对"&amp;LEFT($C$5,2)&amp;"输出",标准坦克设计!$B$23:$U$23,0)))*(VLOOKUP($B102,INDIRECT($B$5&amp;"生成成长"),3))*(VLOOKUP($B$5,标准坦克设计!$B$14:$K$20,9)/30))</f>
        <v>4.7773118163685249</v>
      </c>
      <c r="DZ102" s="173">
        <f ca="1">(VLOOKUP(DZ$72,INDIRECT($C$5&amp;"生成成长"),2))/((VLOOKUP($B102,INDIRECT($B$5&amp;"生成成长"),4))/(VLOOKUP(DZ$72,INDIRECT($C$5&amp;"生成成长"),5))*(VLOOKUP($B$5,标准坦克设计!$B$24:$U$30,MATCH("对"&amp;LEFT($C$5,2)&amp;"输出",标准坦克设计!$B$23:$U$23,0)))*(VLOOKUP($B102,INDIRECT($B$5&amp;"生成成长"),3))*(VLOOKUP($B$5,标准坦克设计!$B$14:$K$20,9)/30))</f>
        <v>5.2906492336587476</v>
      </c>
      <c r="EA102" s="173">
        <f ca="1">(VLOOKUP(EA$72,INDIRECT($C$5&amp;"生成成长"),2))/((VLOOKUP($B102,INDIRECT($B$5&amp;"生成成长"),4))/(VLOOKUP(EA$72,INDIRECT($C$5&amp;"生成成长"),5))*(VLOOKUP($B$5,标准坦克设计!$B$24:$U$30,MATCH("对"&amp;LEFT($C$5,2)&amp;"输出",标准坦克设计!$B$23:$U$23,0)))*(VLOOKUP($B102,INDIRECT($B$5&amp;"生成成长"),3))*(VLOOKUP($B$5,标准坦克设计!$B$14:$K$20,9)/30))</f>
        <v>5.8301773355045929</v>
      </c>
      <c r="EB102" s="173">
        <f ca="1">(VLOOKUP(EB$72,INDIRECT($C$5&amp;"生成成长"),2))/((VLOOKUP($B102,INDIRECT($B$5&amp;"生成成长"),4))/(VLOOKUP(EB$72,INDIRECT($C$5&amp;"生成成长"),5))*(VLOOKUP($B$5,标准坦克设计!$B$24:$U$30,MATCH("对"&amp;LEFT($C$5,2)&amp;"输出",标准坦克设计!$B$23:$U$23,0)))*(VLOOKUP($B102,INDIRECT($B$5&amp;"生成成长"),3))*(VLOOKUP($B$5,标准坦克设计!$B$14:$K$20,9)/30))</f>
        <v>6.3958961219060644</v>
      </c>
      <c r="EC102" s="173">
        <f ca="1">(VLOOKUP(EC$72,INDIRECT($C$5&amp;"生成成长"),2))/((VLOOKUP($B102,INDIRECT($B$5&amp;"生成成长"),4))/(VLOOKUP(EC$72,INDIRECT($C$5&amp;"生成成长"),5))*(VLOOKUP($B$5,标准坦克设计!$B$24:$U$30,MATCH("对"&amp;LEFT($C$5,2)&amp;"输出",标准坦克设计!$B$23:$U$23,0)))*(VLOOKUP($B102,INDIRECT($B$5&amp;"生成成长"),3))*(VLOOKUP($B$5,标准坦克设计!$B$14:$K$20,9)/30))</f>
        <v>6.9878055928631575</v>
      </c>
      <c r="ED102" s="173">
        <f ca="1">(VLOOKUP(ED$72,INDIRECT($C$5&amp;"生成成长"),2))/((VLOOKUP($B102,INDIRECT($B$5&amp;"生成成长"),4))/(VLOOKUP(ED$72,INDIRECT($C$5&amp;"生成成长"),5))*(VLOOKUP($B$5,标准坦克设计!$B$24:$U$30,MATCH("对"&amp;LEFT($C$5,2)&amp;"输出",标准坦克设计!$B$23:$U$23,0)))*(VLOOKUP($B102,INDIRECT($B$5&amp;"生成成长"),3))*(VLOOKUP($B$5,标准坦克设计!$B$14:$K$20,9)/30))</f>
        <v>7.6059057483758767</v>
      </c>
      <c r="EE102" s="173">
        <f ca="1">(VLOOKUP(EE$72,INDIRECT($C$5&amp;"生成成长"),2))/((VLOOKUP($B102,INDIRECT($B$5&amp;"生成成长"),4))/(VLOOKUP(EE$72,INDIRECT($C$5&amp;"生成成长"),5))*(VLOOKUP($B$5,标准坦克设计!$B$24:$U$30,MATCH("对"&amp;LEFT($C$5,2)&amp;"输出",标准坦克设计!$B$23:$U$23,0)))*(VLOOKUP($B102,INDIRECT($B$5&amp;"生成成长"),3))*(VLOOKUP($B$5,标准坦克设计!$B$14:$K$20,9)/30))</f>
        <v>8.250196588444215</v>
      </c>
      <c r="EF102" s="173">
        <f ca="1">(VLOOKUP(EF$72,INDIRECT($C$5&amp;"生成成长"),2))/((VLOOKUP($B102,INDIRECT($B$5&amp;"生成成长"),4))/(VLOOKUP(EF$72,INDIRECT($C$5&amp;"生成成长"),5))*(VLOOKUP($B$5,标准坦克设计!$B$24:$U$30,MATCH("对"&amp;LEFT($C$5,2)&amp;"输出",标准坦克设计!$B$23:$U$23,0)))*(VLOOKUP($B102,INDIRECT($B$5&amp;"生成成长"),3))*(VLOOKUP($B$5,标准坦克设计!$B$14:$K$20,9)/30))</f>
        <v>8.9206781130681794</v>
      </c>
      <c r="EG102" s="173">
        <f ca="1">(VLOOKUP(EG$72,INDIRECT($C$5&amp;"生成成长"),2))/((VLOOKUP($B102,INDIRECT($B$5&amp;"生成成长"),4))/(VLOOKUP(EG$72,INDIRECT($C$5&amp;"生成成长"),5))*(VLOOKUP($B$5,标准坦克设计!$B$24:$U$30,MATCH("对"&amp;LEFT($C$5,2)&amp;"输出",标准坦克设计!$B$23:$U$23,0)))*(VLOOKUP($B102,INDIRECT($B$5&amp;"生成成长"),3))*(VLOOKUP($B$5,标准坦克设计!$B$14:$K$20,9)/30))</f>
        <v>9.6173503222477681</v>
      </c>
      <c r="EH102" s="173">
        <f ca="1">(VLOOKUP(EH$72,INDIRECT($C$5&amp;"生成成长"),2))/((VLOOKUP($B102,INDIRECT($B$5&amp;"生成成长"),4))/(VLOOKUP(EH$72,INDIRECT($C$5&amp;"生成成长"),5))*(VLOOKUP($B$5,标准坦克设计!$B$24:$U$30,MATCH("对"&amp;LEFT($C$5,2)&amp;"输出",标准坦克设计!$B$23:$U$23,0)))*(VLOOKUP($B102,INDIRECT($B$5&amp;"生成成长"),3))*(VLOOKUP($B$5,标准坦克设计!$B$14:$K$20,9)/30))</f>
        <v>10.340213215982979</v>
      </c>
      <c r="EI102" s="173">
        <f ca="1">(VLOOKUP(EI$72,INDIRECT($C$5&amp;"生成成长"),2))/((VLOOKUP($B102,INDIRECT($B$5&amp;"生成成长"),4))/(VLOOKUP(EI$72,INDIRECT($C$5&amp;"生成成长"),5))*(VLOOKUP($B$5,标准坦克设计!$B$24:$U$30,MATCH("对"&amp;LEFT($C$5,2)&amp;"输出",标准坦克设计!$B$23:$U$23,0)))*(VLOOKUP($B102,INDIRECT($B$5&amp;"生成成长"),3))*(VLOOKUP($B$5,标准坦克设计!$B$14:$K$20,9)/30))</f>
        <v>11.089266794273813</v>
      </c>
      <c r="EJ102" s="173">
        <f ca="1">(VLOOKUP(EJ$72,INDIRECT($C$5&amp;"生成成长"),2))/((VLOOKUP($B102,INDIRECT($B$5&amp;"生成成长"),4))/(VLOOKUP(EJ$72,INDIRECT($C$5&amp;"生成成长"),5))*(VLOOKUP($B$5,标准坦克设计!$B$24:$U$30,MATCH("对"&amp;LEFT($C$5,2)&amp;"输出",标准坦克设计!$B$23:$U$23,0)))*(VLOOKUP($B102,INDIRECT($B$5&amp;"生成成长"),3))*(VLOOKUP($B$5,标准坦克设计!$B$14:$K$20,9)/30))</f>
        <v>11.864511057120275</v>
      </c>
      <c r="EK102" s="173">
        <f ca="1">(VLOOKUP(EK$72,INDIRECT($C$5&amp;"生成成长"),2))/((VLOOKUP($B102,INDIRECT($B$5&amp;"生成成长"),4))/(VLOOKUP(EK$72,INDIRECT($C$5&amp;"生成成长"),5))*(VLOOKUP($B$5,标准坦克设计!$B$24:$U$30,MATCH("对"&amp;LEFT($C$5,2)&amp;"输出",标准坦克设计!$B$23:$U$23,0)))*(VLOOKUP($B102,INDIRECT($B$5&amp;"生成成长"),3))*(VLOOKUP($B$5,标准坦克设计!$B$14:$K$20,9)/30))</f>
        <v>12.829375876149447</v>
      </c>
      <c r="EL102" s="173">
        <f ca="1">(VLOOKUP(EL$72,INDIRECT($C$5&amp;"生成成长"),2))/((VLOOKUP($B102,INDIRECT($B$5&amp;"生成成长"),4))/(VLOOKUP(EL$72,INDIRECT($C$5&amp;"生成成长"),5))*(VLOOKUP($B$5,标准坦克设计!$B$24:$U$30,MATCH("对"&amp;LEFT($C$5,2)&amp;"输出",标准坦克设计!$B$23:$U$23,0)))*(VLOOKUP($B102,INDIRECT($B$5&amp;"生成成长"),3))*(VLOOKUP($B$5,标准坦克设计!$B$14:$K$20,9)/30))</f>
        <v>13.831955280938722</v>
      </c>
      <c r="EM102" s="173">
        <f ca="1">(VLOOKUP(EM$72,INDIRECT($C$5&amp;"生成成长"),2))/((VLOOKUP($B102,INDIRECT($B$5&amp;"生成成长"),4))/(VLOOKUP(EM$72,INDIRECT($C$5&amp;"生成成长"),5))*(VLOOKUP($B$5,标准坦克设计!$B$24:$U$30,MATCH("对"&amp;LEFT($C$5,2)&amp;"输出",标准坦克设计!$B$23:$U$23,0)))*(VLOOKUP($B102,INDIRECT($B$5&amp;"生成成长"),3))*(VLOOKUP($B$5,标准坦克设计!$B$14:$K$20,9)/30))</f>
        <v>14.872249271488091</v>
      </c>
      <c r="EN102" s="173">
        <f ca="1">(VLOOKUP(EN$72,INDIRECT($C$5&amp;"生成成长"),2))/((VLOOKUP($B102,INDIRECT($B$5&amp;"生成成长"),4))/(VLOOKUP(EN$72,INDIRECT($C$5&amp;"生成成长"),5))*(VLOOKUP($B$5,标准坦克设计!$B$24:$U$30,MATCH("对"&amp;LEFT($C$5,2)&amp;"输出",标准坦克设计!$B$23:$U$23,0)))*(VLOOKUP($B102,INDIRECT($B$5&amp;"生成成长"),3))*(VLOOKUP($B$5,标准坦克设计!$B$14:$K$20,9)/30))</f>
        <v>15.950257847797559</v>
      </c>
      <c r="EO102" s="173">
        <f ca="1">(VLOOKUP(EO$72,INDIRECT($C$5&amp;"生成成长"),2))/((VLOOKUP($B102,INDIRECT($B$5&amp;"生成成长"),4))/(VLOOKUP(EO$72,INDIRECT($C$5&amp;"生成成长"),5))*(VLOOKUP($B$5,标准坦克设计!$B$24:$U$30,MATCH("对"&amp;LEFT($C$5,2)&amp;"输出",标准坦克设计!$B$23:$U$23,0)))*(VLOOKUP($B102,INDIRECT($B$5&amp;"生成成长"),3))*(VLOOKUP($B$5,标准坦克设计!$B$14:$K$20,9)/30))</f>
        <v>17.065981009867123</v>
      </c>
      <c r="EP102" s="173">
        <f ca="1">(VLOOKUP(EP$72,INDIRECT($C$5&amp;"生成成长"),2))/((VLOOKUP($B102,INDIRECT($B$5&amp;"生成成长"),4))/(VLOOKUP(EP$72,INDIRECT($C$5&amp;"生成成长"),5))*(VLOOKUP($B$5,标准坦克设计!$B$24:$U$30,MATCH("对"&amp;LEFT($C$5,2)&amp;"输出",标准坦克设计!$B$23:$U$23,0)))*(VLOOKUP($B102,INDIRECT($B$5&amp;"生成成长"),3))*(VLOOKUP($B$5,标准坦克设计!$B$14:$K$20,9)/30))</f>
        <v>18.219418757696783</v>
      </c>
      <c r="EQ102" s="173">
        <f ca="1">(VLOOKUP(EQ$72,INDIRECT($C$5&amp;"生成成长"),2))/((VLOOKUP($B102,INDIRECT($B$5&amp;"生成成长"),4))/(VLOOKUP(EQ$72,INDIRECT($C$5&amp;"生成成长"),5))*(VLOOKUP($B$5,标准坦克设计!$B$24:$U$30,MATCH("对"&amp;LEFT($C$5,2)&amp;"输出",标准坦克设计!$B$23:$U$23,0)))*(VLOOKUP($B102,INDIRECT($B$5&amp;"生成成长"),3))*(VLOOKUP($B$5,标准坦克设计!$B$14:$K$20,9)/30))</f>
        <v>8.0541593145453714</v>
      </c>
      <c r="ER102" s="173">
        <f ca="1">(VLOOKUP(ER$72,INDIRECT($C$5&amp;"生成成长"),2))/((VLOOKUP($B102,INDIRECT($B$5&amp;"生成成长"),4))/(VLOOKUP(ER$72,INDIRECT($C$5&amp;"生成成长"),5))*(VLOOKUP($B$5,标准坦克设计!$B$24:$U$30,MATCH("对"&amp;LEFT($C$5,2)&amp;"输出",标准坦克设计!$B$23:$U$23,0)))*(VLOOKUP($B102,INDIRECT($B$5&amp;"生成成长"),3))*(VLOOKUP($B$5,标准坦克设计!$B$14:$K$20,9)/30))</f>
        <v>8.7844865533789367</v>
      </c>
      <c r="ES102" s="173">
        <f ca="1">(VLOOKUP(ES$72,INDIRECT($C$5&amp;"生成成长"),2))/((VLOOKUP($B102,INDIRECT($B$5&amp;"生成成长"),4))/(VLOOKUP(ES$72,INDIRECT($C$5&amp;"生成成长"),5))*(VLOOKUP($B$5,标准坦克设计!$B$24:$U$30,MATCH("对"&amp;LEFT($C$5,2)&amp;"输出",标准坦克设计!$B$23:$U$23,0)))*(VLOOKUP($B102,INDIRECT($B$5&amp;"生成成长"),3))*(VLOOKUP($B$5,标准坦克设计!$B$14:$K$20,9)/30))</f>
        <v>9.546504520524806</v>
      </c>
      <c r="ET102" s="173">
        <f ca="1">(VLOOKUP(ET$72,INDIRECT($C$5&amp;"生成成长"),2))/((VLOOKUP($B102,INDIRECT($B$5&amp;"生成成长"),4))/(VLOOKUP(ET$72,INDIRECT($C$5&amp;"生成成长"),5))*(VLOOKUP($B$5,标准坦克设计!$B$24:$U$30,MATCH("对"&amp;LEFT($C$5,2)&amp;"输出",标准坦克设计!$B$23:$U$23,0)))*(VLOOKUP($B102,INDIRECT($B$5&amp;"生成成长"),3))*(VLOOKUP($B$5,标准坦克设计!$B$14:$K$20,9)/30))</f>
        <v>10.340213215982979</v>
      </c>
      <c r="EU102" s="173">
        <f ca="1">(VLOOKUP(EU$72,INDIRECT($C$5&amp;"生成成长"),2))/((VLOOKUP($B102,INDIRECT($B$5&amp;"生成成长"),4))/(VLOOKUP(EU$72,INDIRECT($C$5&amp;"生成成长"),5))*(VLOOKUP($B$5,标准坦克设计!$B$24:$U$30,MATCH("对"&amp;LEFT($C$5,2)&amp;"输出",标准坦克设计!$B$23:$U$23,0)))*(VLOOKUP($B102,INDIRECT($B$5&amp;"生成成长"),3))*(VLOOKUP($B$5,标准坦克设计!$B$14:$K$20,9)/30))</f>
        <v>11.165612639753457</v>
      </c>
      <c r="EV102" s="173">
        <f ca="1">(VLOOKUP(EV$72,INDIRECT($C$5&amp;"生成成长"),2))/((VLOOKUP($B102,INDIRECT($B$5&amp;"生成成长"),4))/(VLOOKUP(EV$72,INDIRECT($C$5&amp;"生成成长"),5))*(VLOOKUP($B$5,标准坦克设计!$B$24:$U$30,MATCH("对"&amp;LEFT($C$5,2)&amp;"输出",标准坦克设计!$B$23:$U$23,0)))*(VLOOKUP($B102,INDIRECT($B$5&amp;"生成成长"),3))*(VLOOKUP($B$5,标准坦克设计!$B$14:$K$20,9)/30))</f>
        <v>12.02270279183624</v>
      </c>
      <c r="EW102" s="173">
        <f ca="1">(VLOOKUP(EW$72,INDIRECT($C$5&amp;"生成成长"),2))/((VLOOKUP($B102,INDIRECT($B$5&amp;"生成成长"),4))/(VLOOKUP(EW$72,INDIRECT($C$5&amp;"生成成长"),5))*(VLOOKUP($B$5,标准坦克设计!$B$24:$U$30,MATCH("对"&amp;LEFT($C$5,2)&amp;"输出",标准坦克设计!$B$23:$U$23,0)))*(VLOOKUP($B102,INDIRECT($B$5&amp;"生成成长"),3))*(VLOOKUP($B$5,标准坦克设计!$B$14:$K$20,9)/30))</f>
        <v>12.911483672231327</v>
      </c>
      <c r="EX102" s="173">
        <f ca="1">(VLOOKUP(EX$72,INDIRECT($C$5&amp;"生成成长"),2))/((VLOOKUP($B102,INDIRECT($B$5&amp;"生成成长"),4))/(VLOOKUP(EX$72,INDIRECT($C$5&amp;"生成成长"),5))*(VLOOKUP($B$5,标准坦克设计!$B$24:$U$30,MATCH("对"&amp;LEFT($C$5,2)&amp;"输出",标准坦克设计!$B$23:$U$23,0)))*(VLOOKUP($B102,INDIRECT($B$5&amp;"生成成长"),3))*(VLOOKUP($B$5,标准坦克设计!$B$14:$K$20,9)/30))</f>
        <v>13.831955280938722</v>
      </c>
      <c r="EY102" s="173">
        <f ca="1">(VLOOKUP(EY$72,INDIRECT($C$5&amp;"生成成长"),2))/((VLOOKUP($B102,INDIRECT($B$5&amp;"生成成长"),4))/(VLOOKUP(EY$72,INDIRECT($C$5&amp;"生成成长"),5))*(VLOOKUP($B$5,标准坦克设计!$B$24:$U$30,MATCH("对"&amp;LEFT($C$5,2)&amp;"输出",标准坦克设计!$B$23:$U$23,0)))*(VLOOKUP($B102,INDIRECT($B$5&amp;"生成成长"),3))*(VLOOKUP($B$5,标准坦克设计!$B$14:$K$20,9)/30))</f>
        <v>14.784117617958417</v>
      </c>
      <c r="EZ102" s="173">
        <f ca="1">(VLOOKUP(EZ$72,INDIRECT($C$5&amp;"生成成长"),2))/((VLOOKUP($B102,INDIRECT($B$5&amp;"生成成长"),4))/(VLOOKUP(EZ$72,INDIRECT($C$5&amp;"生成成长"),5))*(VLOOKUP($B$5,标准坦克设计!$B$24:$U$30,MATCH("对"&amp;LEFT($C$5,2)&amp;"输出",标准坦克设计!$B$23:$U$23,0)))*(VLOOKUP($B102,INDIRECT($B$5&amp;"生成成长"),3))*(VLOOKUP($B$5,标准坦克设计!$B$14:$K$20,9)/30))</f>
        <v>15.76797068329042</v>
      </c>
      <c r="FA102" s="173">
        <f ca="1">(VLOOKUP(FA$72,INDIRECT($C$5&amp;"生成成长"),2))/((VLOOKUP($B102,INDIRECT($B$5&amp;"生成成长"),4))/(VLOOKUP(FA$72,INDIRECT($C$5&amp;"生成成长"),5))*(VLOOKUP($B$5,标准坦克设计!$B$24:$U$30,MATCH("对"&amp;LEFT($C$5,2)&amp;"输出",标准坦克设计!$B$23:$U$23,0)))*(VLOOKUP($B102,INDIRECT($B$5&amp;"生成成长"),3))*(VLOOKUP($B$5,标准坦克设计!$B$14:$K$20,9)/30))</f>
        <v>16.783514476934723</v>
      </c>
      <c r="FB102" s="173">
        <f ca="1">(VLOOKUP(FB$72,INDIRECT($C$5&amp;"生成成长"),2))/((VLOOKUP($B102,INDIRECT($B$5&amp;"生成成长"),4))/(VLOOKUP(FB$72,INDIRECT($C$5&amp;"生成成长"),5))*(VLOOKUP($B$5,标准坦克设计!$B$24:$U$30,MATCH("对"&amp;LEFT($C$5,2)&amp;"输出",标准坦克设计!$B$23:$U$23,0)))*(VLOOKUP($B102,INDIRECT($B$5&amp;"生成成长"),3))*(VLOOKUP($B$5,标准坦克设计!$B$14:$K$20,9)/30))</f>
        <v>17.830748998891334</v>
      </c>
      <c r="FC102" s="173">
        <f ca="1">(VLOOKUP(FC$72,INDIRECT($C$5&amp;"生成成长"),2))/((VLOOKUP($B102,INDIRECT($B$5&amp;"生成成长"),4))/(VLOOKUP(FC$72,INDIRECT($C$5&amp;"生成成长"),5))*(VLOOKUP($B$5,标准坦克设计!$B$24:$U$30,MATCH("对"&amp;LEFT($C$5,2)&amp;"输出",标准坦克设计!$B$23:$U$23,0)))*(VLOOKUP($B102,INDIRECT($B$5&amp;"生成成长"),3))*(VLOOKUP($B$5,标准坦克设计!$B$14:$K$20,9)/30))</f>
        <v>18.909674249160243</v>
      </c>
      <c r="FD102" s="173">
        <f ca="1">(VLOOKUP(FD$72,INDIRECT($C$5&amp;"生成成长"),2))/((VLOOKUP($B102,INDIRECT($B$5&amp;"生成成长"),4))/(VLOOKUP(FD$72,INDIRECT($C$5&amp;"生成成长"),5))*(VLOOKUP($B$5,标准坦克设计!$B$24:$U$30,MATCH("对"&amp;LEFT($C$5,2)&amp;"输出",标准坦克设计!$B$23:$U$23,0)))*(VLOOKUP($B102,INDIRECT($B$5&amp;"生成成长"),3))*(VLOOKUP($B$5,标准坦克设计!$B$14:$K$20,9)/30))</f>
        <v>20.020290227741462</v>
      </c>
      <c r="FE102" s="173">
        <f ca="1">(VLOOKUP(FE$72,INDIRECT($C$5&amp;"生成成长"),2))/((VLOOKUP($B102,INDIRECT($B$5&amp;"生成成长"),4))/(VLOOKUP(FE$72,INDIRECT($C$5&amp;"生成成长"),5))*(VLOOKUP($B$5,标准坦克设计!$B$24:$U$30,MATCH("对"&amp;LEFT($C$5,2)&amp;"输出",标准坦克设计!$B$23:$U$23,0)))*(VLOOKUP($B102,INDIRECT($B$5&amp;"生成成长"),3))*(VLOOKUP($B$5,标准坦克设计!$B$14:$K$20,9)/30))</f>
        <v>21.373693852153316</v>
      </c>
      <c r="FF102" s="173">
        <f ca="1">(VLOOKUP(FF$72,INDIRECT($C$5&amp;"生成成长"),2))/((VLOOKUP($B102,INDIRECT($B$5&amp;"生成成长"),4))/(VLOOKUP(FF$72,INDIRECT($C$5&amp;"生成成长"),5))*(VLOOKUP($B$5,标准坦克设计!$B$24:$U$30,MATCH("对"&amp;LEFT($C$5,2)&amp;"输出",标准坦克设计!$B$23:$U$23,0)))*(VLOOKUP($B102,INDIRECT($B$5&amp;"生成成长"),3))*(VLOOKUP($B$5,标准坦克设计!$B$14:$K$20,9)/30))</f>
        <v>22.771359733464173</v>
      </c>
      <c r="FG102" s="173">
        <f ca="1">(VLOOKUP(FG$72,INDIRECT($C$5&amp;"生成成长"),2))/((VLOOKUP($B102,INDIRECT($B$5&amp;"生成成长"),4))/(VLOOKUP(FG$72,INDIRECT($C$5&amp;"生成成长"),5))*(VLOOKUP($B$5,标准坦克设计!$B$24:$U$30,MATCH("对"&amp;LEFT($C$5,2)&amp;"输出",标准坦克设计!$B$23:$U$23,0)))*(VLOOKUP($B102,INDIRECT($B$5&amp;"生成成长"),3))*(VLOOKUP($B$5,标准坦克设计!$B$14:$K$20,9)/30))</f>
        <v>24.213287871674027</v>
      </c>
      <c r="FH102" s="173">
        <f ca="1">(VLOOKUP(FH$72,INDIRECT($C$5&amp;"生成成长"),2))/((VLOOKUP($B102,INDIRECT($B$5&amp;"生成成长"),4))/(VLOOKUP(FH$72,INDIRECT($C$5&amp;"生成成长"),5))*(VLOOKUP($B$5,标准坦克设计!$B$24:$U$30,MATCH("对"&amp;LEFT($C$5,2)&amp;"输出",标准坦克设计!$B$23:$U$23,0)))*(VLOOKUP($B102,INDIRECT($B$5&amp;"生成成长"),3))*(VLOOKUP($B$5,标准坦克设计!$B$14:$K$20,9)/30))</f>
        <v>25.699478266782886</v>
      </c>
      <c r="FI102" s="173">
        <f ca="1">(VLOOKUP(FI$72,INDIRECT($C$5&amp;"生成成长"),2))/((VLOOKUP($B102,INDIRECT($B$5&amp;"生成成长"),4))/(VLOOKUP(FI$72,INDIRECT($C$5&amp;"生成成长"),5))*(VLOOKUP($B$5,标准坦克设计!$B$24:$U$30,MATCH("对"&amp;LEFT($C$5,2)&amp;"输出",标准坦克设计!$B$23:$U$23,0)))*(VLOOKUP($B102,INDIRECT($B$5&amp;"生成成长"),3))*(VLOOKUP($B$5,标准坦克设计!$B$14:$K$20,9)/30))</f>
        <v>27.229930918790757</v>
      </c>
      <c r="FJ102" s="173">
        <f ca="1">(VLOOKUP(FJ$72,INDIRECT($C$5&amp;"生成成长"),2))/((VLOOKUP($B102,INDIRECT($B$5&amp;"生成成长"),4))/(VLOOKUP(FJ$72,INDIRECT($C$5&amp;"生成成长"),5))*(VLOOKUP($B$5,标准坦克设计!$B$24:$U$30,MATCH("对"&amp;LEFT($C$5,2)&amp;"输出",标准坦克设计!$B$23:$U$23,0)))*(VLOOKUP($B102,INDIRECT($B$5&amp;"生成成长"),3))*(VLOOKUP($B$5,标准坦克设计!$B$14:$K$20,9)/30))</f>
        <v>28.804645827697623</v>
      </c>
      <c r="FK102" s="173">
        <f ca="1">(VLOOKUP(FK$72,INDIRECT($C$5&amp;"生成成长"),2))/((VLOOKUP($B102,INDIRECT($B$5&amp;"生成成长"),4))/(VLOOKUP(FK$72,INDIRECT($C$5&amp;"生成成长"),5))*(VLOOKUP($B$5,标准坦克设计!$B$24:$U$30,MATCH("对"&amp;LEFT($C$5,2)&amp;"输出",标准坦克设计!$B$23:$U$23,0)))*(VLOOKUP($B102,INDIRECT($B$5&amp;"生成成长"),3))*(VLOOKUP($B$5,标准坦克设计!$B$14:$K$20,9)/30))</f>
        <v>30.423622993503507</v>
      </c>
    </row>
    <row r="103" spans="1:167" x14ac:dyDescent="0.15">
      <c r="A103" s="171" t="str">
        <f t="shared" si="11"/>
        <v>T4低品质10级</v>
      </c>
      <c r="B103" s="172">
        <v>10410</v>
      </c>
      <c r="C103" s="173">
        <f ca="1">(VLOOKUP(C$72,INDIRECT($C$5&amp;"生成成长"),2))/((VLOOKUP($B103,INDIRECT($B$5&amp;"生成成长"),4))/(VLOOKUP(C$72,INDIRECT($C$5&amp;"生成成长"),5))*(VLOOKUP($B$5,标准坦克设计!$B$24:$U$30,MATCH("对"&amp;LEFT($C$5,2)&amp;"输出",标准坦克设计!$B$23:$U$23,0)))*(VLOOKUP($B103,INDIRECT($B$5&amp;"生成成长"),3))*(VLOOKUP($B$5,标准坦克设计!$B$14:$K$20,9)/30))</f>
        <v>1.2152699432125988</v>
      </c>
      <c r="D103" s="173">
        <f ca="1">(VLOOKUP(D$72,INDIRECT($C$5&amp;"生成成长"),2))/((VLOOKUP($B103,INDIRECT($B$5&amp;"生成成长"),4))/(VLOOKUP(D$72,INDIRECT($C$5&amp;"生成成长"),5))*(VLOOKUP($B$5,标准坦克设计!$B$24:$U$30,MATCH("对"&amp;LEFT($C$5,2)&amp;"输出",标准坦克设计!$B$23:$U$23,0)))*(VLOOKUP($B103,INDIRECT($B$5&amp;"生成成长"),3))*(VLOOKUP($B$5,标准坦克设计!$B$14:$K$20,9)/30))</f>
        <v>1.365477308193676</v>
      </c>
      <c r="E103" s="173">
        <f ca="1">(VLOOKUP(E$72,INDIRECT($C$5&amp;"生成成长"),2))/((VLOOKUP($B103,INDIRECT($B$5&amp;"生成成长"),4))/(VLOOKUP(E$72,INDIRECT($C$5&amp;"生成成长"),5))*(VLOOKUP($B$5,标准坦克设计!$B$24:$U$30,MATCH("对"&amp;LEFT($C$5,2)&amp;"输出",标准坦克设计!$B$23:$U$23,0)))*(VLOOKUP($B103,INDIRECT($B$5&amp;"生成成长"),3))*(VLOOKUP($B$5,标准坦克设计!$B$14:$K$20,9)/30))</f>
        <v>1.5244346167658835</v>
      </c>
      <c r="F103" s="173">
        <f ca="1">(VLOOKUP(F$72,INDIRECT($C$5&amp;"生成成长"),2))/((VLOOKUP($B103,INDIRECT($B$5&amp;"生成成长"),4))/(VLOOKUP(F$72,INDIRECT($C$5&amp;"生成成长"),5))*(VLOOKUP($B$5,标准坦克设计!$B$24:$U$30,MATCH("对"&amp;LEFT($C$5,2)&amp;"输出",标准坦克设计!$B$23:$U$23,0)))*(VLOOKUP($B103,INDIRECT($B$5&amp;"生成成长"),3))*(VLOOKUP($B$5,标准坦克设计!$B$14:$K$20,9)/30))</f>
        <v>1.6921418689292225</v>
      </c>
      <c r="G103" s="173">
        <f ca="1">(VLOOKUP(G$72,INDIRECT($C$5&amp;"生成成长"),2))/((VLOOKUP($B103,INDIRECT($B$5&amp;"生成成长"),4))/(VLOOKUP(G$72,INDIRECT($C$5&amp;"生成成长"),5))*(VLOOKUP($B$5,标准坦克设计!$B$24:$U$30,MATCH("对"&amp;LEFT($C$5,2)&amp;"输出",标准坦克设计!$B$23:$U$23,0)))*(VLOOKUP($B103,INDIRECT($B$5&amp;"生成成长"),3))*(VLOOKUP($B$5,标准坦克设计!$B$14:$K$20,9)/30))</f>
        <v>1.8685990646836919</v>
      </c>
      <c r="H103" s="173">
        <f ca="1">(VLOOKUP(H$72,INDIRECT($C$5&amp;"生成成长"),2))/((VLOOKUP($B103,INDIRECT($B$5&amp;"生成成长"),4))/(VLOOKUP(H$72,INDIRECT($C$5&amp;"生成成长"),5))*(VLOOKUP($B$5,标准坦克设计!$B$24:$U$30,MATCH("对"&amp;LEFT($C$5,2)&amp;"输出",标准坦克设计!$B$23:$U$23,0)))*(VLOOKUP($B103,INDIRECT($B$5&amp;"生成成长"),3))*(VLOOKUP($B$5,标准坦克设计!$B$14:$K$20,9)/30))</f>
        <v>1.6352672355868731</v>
      </c>
      <c r="I103" s="173">
        <f ca="1">(VLOOKUP(I$72,INDIRECT($C$5&amp;"生成成长"),2))/((VLOOKUP($B103,INDIRECT($B$5&amp;"生成成长"),4))/(VLOOKUP(I$72,INDIRECT($C$5&amp;"生成成长"),5))*(VLOOKUP($B$5,标准坦克设计!$B$24:$U$30,MATCH("对"&amp;LEFT($C$5,2)&amp;"输出",标准坦克设计!$B$23:$U$23,0)))*(VLOOKUP($B103,INDIRECT($B$5&amp;"生成成长"),3))*(VLOOKUP($B$5,标准坦克设计!$B$14:$K$20,9)/30))</f>
        <v>1.8685990646836919</v>
      </c>
      <c r="J103" s="173">
        <f ca="1">(VLOOKUP(J$72,INDIRECT($C$5&amp;"生成成长"),2))/((VLOOKUP($B103,INDIRECT($B$5&amp;"生成成长"),4))/(VLOOKUP(J$72,INDIRECT($C$5&amp;"生成成长"),5))*(VLOOKUP($B$5,标准坦克设计!$B$24:$U$30,MATCH("对"&amp;LEFT($C$5,2)&amp;"输出",标准坦克设计!$B$23:$U$23,0)))*(VLOOKUP($B103,INDIRECT($B$5&amp;"生成成长"),3))*(VLOOKUP($B$5,标准坦克设计!$B$14:$K$20,9)/30))</f>
        <v>2.1174863490536322</v>
      </c>
      <c r="K103" s="173">
        <f ca="1">(VLOOKUP(K$72,INDIRECT($C$5&amp;"生成成长"),2))/((VLOOKUP($B103,INDIRECT($B$5&amp;"生成成长"),4))/(VLOOKUP(K$72,INDIRECT($C$5&amp;"生成成长"),5))*(VLOOKUP($B$5,标准坦克设计!$B$24:$U$30,MATCH("对"&amp;LEFT($C$5,2)&amp;"输出",标准坦克设计!$B$23:$U$23,0)))*(VLOOKUP($B103,INDIRECT($B$5&amp;"生成成长"),3))*(VLOOKUP($B$5,标准坦克设计!$B$14:$K$20,9)/30))</f>
        <v>2.381929088696694</v>
      </c>
      <c r="L103" s="173">
        <f ca="1">(VLOOKUP(L$72,INDIRECT($C$5&amp;"生成成长"),2))/((VLOOKUP($B103,INDIRECT($B$5&amp;"生成成长"),4))/(VLOOKUP(L$72,INDIRECT($C$5&amp;"生成成长"),5))*(VLOOKUP($B$5,标准坦克设计!$B$24:$U$30,MATCH("对"&amp;LEFT($C$5,2)&amp;"输出",标准坦克设计!$B$23:$U$23,0)))*(VLOOKUP($B103,INDIRECT($B$5&amp;"生成成长"),3))*(VLOOKUP($B$5,标准坦克设计!$B$14:$K$20,9)/30))</f>
        <v>2.6619272836128767</v>
      </c>
      <c r="M103" s="173">
        <f ca="1">(VLOOKUP(M$72,INDIRECT($C$5&amp;"生成成长"),2))/((VLOOKUP($B103,INDIRECT($B$5&amp;"生成成长"),4))/(VLOOKUP(M$72,INDIRECT($C$5&amp;"生成成长"),5))*(VLOOKUP($B$5,标准坦克设计!$B$24:$U$30,MATCH("对"&amp;LEFT($C$5,2)&amp;"输出",标准坦克设计!$B$23:$U$23,0)))*(VLOOKUP($B103,INDIRECT($B$5&amp;"生成成长"),3))*(VLOOKUP($B$5,标准坦克设计!$B$14:$K$20,9)/30))</f>
        <v>2.9574809338021804</v>
      </c>
      <c r="N103" s="173">
        <f ca="1">(VLOOKUP(N$72,INDIRECT($C$5&amp;"生成成长"),2))/((VLOOKUP($B103,INDIRECT($B$5&amp;"生成成长"),4))/(VLOOKUP(N$72,INDIRECT($C$5&amp;"生成成长"),5))*(VLOOKUP($B$5,标准坦克设计!$B$24:$U$30,MATCH("对"&amp;LEFT($C$5,2)&amp;"输出",标准坦克设计!$B$23:$U$23,0)))*(VLOOKUP($B103,INDIRECT($B$5&amp;"生成成长"),3))*(VLOOKUP($B$5,标准坦克设计!$B$14:$K$20,9)/30))</f>
        <v>3.2685900392646059</v>
      </c>
      <c r="O103" s="173">
        <f ca="1">(VLOOKUP(O$72,INDIRECT($C$5&amp;"生成成长"),2))/((VLOOKUP($B103,INDIRECT($B$5&amp;"生成成长"),4))/(VLOOKUP(O$72,INDIRECT($C$5&amp;"生成成长"),5))*(VLOOKUP($B$5,标准坦克设计!$B$24:$U$30,MATCH("对"&amp;LEFT($C$5,2)&amp;"输出",标准坦克设计!$B$23:$U$23,0)))*(VLOOKUP($B103,INDIRECT($B$5&amp;"生成成长"),3))*(VLOOKUP($B$5,标准坦克设计!$B$14:$K$20,9)/30))</f>
        <v>2.4851055068754433</v>
      </c>
      <c r="P103" s="173">
        <f ca="1">(VLOOKUP(P$72,INDIRECT($C$5&amp;"生成成长"),2))/((VLOOKUP($B103,INDIRECT($B$5&amp;"生成成长"),4))/(VLOOKUP(P$72,INDIRECT($C$5&amp;"生成成长"),5))*(VLOOKUP($B$5,标准坦克设计!$B$24:$U$30,MATCH("对"&amp;LEFT($C$5,2)&amp;"输出",标准坦克设计!$B$23:$U$23,0)))*(VLOOKUP($B103,INDIRECT($B$5&amp;"生成成长"),3))*(VLOOKUP($B$5,标准坦克设计!$B$14:$K$20,9)/30))</f>
        <v>2.8077596767983883</v>
      </c>
      <c r="Q103" s="173">
        <f ca="1">(VLOOKUP(Q$72,INDIRECT($C$5&amp;"生成成长"),2))/((VLOOKUP($B103,INDIRECT($B$5&amp;"生成成长"),4))/(VLOOKUP(Q$72,INDIRECT($C$5&amp;"生成成长"),5))*(VLOOKUP($B$5,标准坦克设计!$B$24:$U$30,MATCH("对"&amp;LEFT($C$5,2)&amp;"输出",标准坦克设计!$B$23:$U$23,0)))*(VLOOKUP($B103,INDIRECT($B$5&amp;"生成成长"),3))*(VLOOKUP($B$5,标准坦克设计!$B$14:$K$20,9)/30))</f>
        <v>3.1501012198013769</v>
      </c>
      <c r="R103" s="173">
        <f ca="1">(VLOOKUP(R$72,INDIRECT($C$5&amp;"生成成长"),2))/((VLOOKUP($B103,INDIRECT($B$5&amp;"生成成长"),4))/(VLOOKUP(R$72,INDIRECT($C$5&amp;"生成成长"),5))*(VLOOKUP($B$5,标准坦克设计!$B$24:$U$30,MATCH("对"&amp;LEFT($C$5,2)&amp;"输出",标准坦克设计!$B$23:$U$23,0)))*(VLOOKUP($B103,INDIRECT($B$5&amp;"生成成长"),3))*(VLOOKUP($B$5,标准坦克设计!$B$14:$K$20,9)/30))</f>
        <v>3.5121301358844113</v>
      </c>
      <c r="S103" s="173">
        <f ca="1">(VLOOKUP(S$72,INDIRECT($C$5&amp;"生成成长"),2))/((VLOOKUP($B103,INDIRECT($B$5&amp;"生成成长"),4))/(VLOOKUP(S$72,INDIRECT($C$5&amp;"生成成长"),5))*(VLOOKUP($B$5,标准坦克设计!$B$24:$U$30,MATCH("对"&amp;LEFT($C$5,2)&amp;"输出",标准坦克设计!$B$23:$U$23,0)))*(VLOOKUP($B103,INDIRECT($B$5&amp;"生成成长"),3))*(VLOOKUP($B$5,标准坦克设计!$B$14:$K$20,9)/30))</f>
        <v>3.8938464250474873</v>
      </c>
      <c r="T103" s="173">
        <f ca="1">(VLOOKUP(T$72,INDIRECT($C$5&amp;"生成成长"),2))/((VLOOKUP($B103,INDIRECT($B$5&amp;"生成成长"),4))/(VLOOKUP(T$72,INDIRECT($C$5&amp;"生成成长"),5))*(VLOOKUP($B$5,标准坦克设计!$B$24:$U$30,MATCH("对"&amp;LEFT($C$5,2)&amp;"输出",标准坦克设计!$B$23:$U$23,0)))*(VLOOKUP($B103,INDIRECT($B$5&amp;"生成成长"),3))*(VLOOKUP($B$5,标准坦克设计!$B$14:$K$20,9)/30))</f>
        <v>4.2952500872906096</v>
      </c>
      <c r="U103" s="173">
        <f ca="1">(VLOOKUP(U$72,INDIRECT($C$5&amp;"生成成长"),2))/((VLOOKUP($B103,INDIRECT($B$5&amp;"生成成长"),4))/(VLOOKUP(U$72,INDIRECT($C$5&amp;"生成成长"),5))*(VLOOKUP($B$5,标准坦克设计!$B$24:$U$30,MATCH("对"&amp;LEFT($C$5,2)&amp;"输出",标准坦克设计!$B$23:$U$23,0)))*(VLOOKUP($B103,INDIRECT($B$5&amp;"生成成长"),3))*(VLOOKUP($B$5,标准坦克设计!$B$14:$K$20,9)/30))</f>
        <v>4.7163411226137741</v>
      </c>
      <c r="V103" s="173">
        <f ca="1">(VLOOKUP(V$72,INDIRECT($C$5&amp;"生成成长"),2))/((VLOOKUP($B103,INDIRECT($B$5&amp;"生成成长"),4))/(VLOOKUP(V$72,INDIRECT($C$5&amp;"生成成长"),5))*(VLOOKUP($B$5,标准坦克设计!$B$24:$U$30,MATCH("对"&amp;LEFT($C$5,2)&amp;"输出",标准坦克设计!$B$23:$U$23,0)))*(VLOOKUP($B103,INDIRECT($B$5&amp;"生成成长"),3))*(VLOOKUP($B$5,标准坦克设计!$B$14:$K$20,9)/30))</f>
        <v>5.1571195310169839</v>
      </c>
      <c r="W103" s="173">
        <f ca="1">(VLOOKUP(W$72,INDIRECT($C$5&amp;"生成成长"),2))/((VLOOKUP($B103,INDIRECT($B$5&amp;"生成成长"),4))/(VLOOKUP(W$72,INDIRECT($C$5&amp;"生成成长"),5))*(VLOOKUP($B$5,标准坦克设计!$B$24:$U$30,MATCH("对"&amp;LEFT($C$5,2)&amp;"输出",标准坦克设计!$B$23:$U$23,0)))*(VLOOKUP($B103,INDIRECT($B$5&amp;"生成成长"),3))*(VLOOKUP($B$5,标准坦克设计!$B$14:$K$20,9)/30))</f>
        <v>5.6175853125002382</v>
      </c>
      <c r="X103" s="173">
        <f ca="1">(VLOOKUP(X$72,INDIRECT($C$5&amp;"生成成长"),2))/((VLOOKUP($B103,INDIRECT($B$5&amp;"生成成长"),4))/(VLOOKUP(X$72,INDIRECT($C$5&amp;"生成成长"),5))*(VLOOKUP($B$5,标准坦克设计!$B$24:$U$30,MATCH("对"&amp;LEFT($C$5,2)&amp;"输出",标准坦克设计!$B$23:$U$23,0)))*(VLOOKUP($B103,INDIRECT($B$5&amp;"生成成长"),3))*(VLOOKUP($B$5,标准坦克设计!$B$14:$K$20,9)/30))</f>
        <v>4.0698175128246712</v>
      </c>
      <c r="Y103" s="173">
        <f ca="1">(VLOOKUP(Y$72,INDIRECT($C$5&amp;"生成成长"),2))/((VLOOKUP($B103,INDIRECT($B$5&amp;"生成成长"),4))/(VLOOKUP(Y$72,INDIRECT($C$5&amp;"生成成长"),5))*(VLOOKUP($B$5,标准坦克设计!$B$24:$U$30,MATCH("对"&amp;LEFT($C$5,2)&amp;"输出",标准坦克设计!$B$23:$U$23,0)))*(VLOOKUP($B103,INDIRECT($B$5&amp;"生成成长"),3))*(VLOOKUP($B$5,标准坦克设计!$B$14:$K$20,9)/30))</f>
        <v>4.5267590114726088</v>
      </c>
      <c r="Z103" s="173">
        <f ca="1">(VLOOKUP(Z$72,INDIRECT($C$5&amp;"生成成长"),2))/((VLOOKUP($B103,INDIRECT($B$5&amp;"生成成长"),4))/(VLOOKUP(Z$72,INDIRECT($C$5&amp;"生成成长"),5))*(VLOOKUP($B$5,标准坦克设计!$B$24:$U$30,MATCH("对"&amp;LEFT($C$5,2)&amp;"输出",标准坦克设计!$B$23:$U$23,0)))*(VLOOKUP($B103,INDIRECT($B$5&amp;"生成成长"),3))*(VLOOKUP($B$5,标准坦克设计!$B$14:$K$20,9)/30))</f>
        <v>5.0080059089847975</v>
      </c>
      <c r="AA103" s="173">
        <f ca="1">(VLOOKUP(AA$72,INDIRECT($C$5&amp;"生成成长"),2))/((VLOOKUP($B103,INDIRECT($B$5&amp;"生成成长"),4))/(VLOOKUP(AA$72,INDIRECT($C$5&amp;"生成成长"),5))*(VLOOKUP($B$5,标准坦克设计!$B$24:$U$30,MATCH("对"&amp;LEFT($C$5,2)&amp;"输出",标准坦克设计!$B$23:$U$23,0)))*(VLOOKUP($B103,INDIRECT($B$5&amp;"生成成长"),3))*(VLOOKUP($B$5,标准坦克设计!$B$14:$K$20,9)/30))</f>
        <v>5.5135582053612389</v>
      </c>
      <c r="AB103" s="173">
        <f ca="1">(VLOOKUP(AB$72,INDIRECT($C$5&amp;"生成成长"),2))/((VLOOKUP($B103,INDIRECT($B$5&amp;"生成成长"),4))/(VLOOKUP(AB$72,INDIRECT($C$5&amp;"生成成长"),5))*(VLOOKUP($B$5,标准坦克设计!$B$24:$U$30,MATCH("对"&amp;LEFT($C$5,2)&amp;"输出",标准坦克设计!$B$23:$U$23,0)))*(VLOOKUP($B103,INDIRECT($B$5&amp;"生成成长"),3))*(VLOOKUP($B$5,标准坦克设计!$B$14:$K$20,9)/30))</f>
        <v>6.0434159006019321</v>
      </c>
      <c r="AC103" s="173">
        <f ca="1">(VLOOKUP(AC$72,INDIRECT($C$5&amp;"生成成长"),2))/((VLOOKUP($B103,INDIRECT($B$5&amp;"生成成长"),4))/(VLOOKUP(AC$72,INDIRECT($C$5&amp;"生成成长"),5))*(VLOOKUP($B$5,标准坦克设计!$B$24:$U$30,MATCH("对"&amp;LEFT($C$5,2)&amp;"输出",标准坦克设计!$B$23:$U$23,0)))*(VLOOKUP($B103,INDIRECT($B$5&amp;"生成成长"),3))*(VLOOKUP($B$5,标准坦克设计!$B$14:$K$20,9)/30))</f>
        <v>6.5975789947068764</v>
      </c>
      <c r="AD103" s="173">
        <f ca="1">(VLOOKUP(AD$72,INDIRECT($C$5&amp;"生成成长"),2))/((VLOOKUP($B103,INDIRECT($B$5&amp;"生成成长"),4))/(VLOOKUP(AD$72,INDIRECT($C$5&amp;"生成成长"),5))*(VLOOKUP($B$5,标准坦克设计!$B$24:$U$30,MATCH("对"&amp;LEFT($C$5,2)&amp;"输出",标准坦克设计!$B$23:$U$23,0)))*(VLOOKUP($B103,INDIRECT($B$5&amp;"生成成长"),3))*(VLOOKUP($B$5,标准坦克设计!$B$14:$K$20,9)/30))</f>
        <v>7.1760474876760734</v>
      </c>
      <c r="AE103" s="173">
        <f ca="1">(VLOOKUP(AE$72,INDIRECT($C$5&amp;"生成成长"),2))/((VLOOKUP($B103,INDIRECT($B$5&amp;"生成成长"),4))/(VLOOKUP(AE$72,INDIRECT($C$5&amp;"生成成长"),5))*(VLOOKUP($B$5,标准坦克设计!$B$24:$U$30,MATCH("对"&amp;LEFT($C$5,2)&amp;"输出",标准坦克设计!$B$23:$U$23,0)))*(VLOOKUP($B103,INDIRECT($B$5&amp;"生成成长"),3))*(VLOOKUP($B$5,标准坦克设计!$B$14:$K$20,9)/30))</f>
        <v>7.778821379509524</v>
      </c>
      <c r="AF103" s="173">
        <f ca="1">(VLOOKUP(AF$72,INDIRECT($C$5&amp;"生成成长"),2))/((VLOOKUP($B103,INDIRECT($B$5&amp;"生成成长"),4))/(VLOOKUP(AF$72,INDIRECT($C$5&amp;"生成成长"),5))*(VLOOKUP($B$5,标准坦克设计!$B$24:$U$30,MATCH("对"&amp;LEFT($C$5,2)&amp;"输出",标准坦克设计!$B$23:$U$23,0)))*(VLOOKUP($B103,INDIRECT($B$5&amp;"生成成长"),3))*(VLOOKUP($B$5,标准坦克设计!$B$14:$K$20,9)/30))</f>
        <v>8.4059006702072221</v>
      </c>
      <c r="AG103" s="173">
        <f ca="1">(VLOOKUP(AG$72,INDIRECT($C$5&amp;"生成成长"),2))/((VLOOKUP($B103,INDIRECT($B$5&amp;"生成成长"),4))/(VLOOKUP(AG$72,INDIRECT($C$5&amp;"生成成长"),5))*(VLOOKUP($B$5,标准坦克设计!$B$24:$U$30,MATCH("对"&amp;LEFT($C$5,2)&amp;"输出",标准坦克设计!$B$23:$U$23,0)))*(VLOOKUP($B103,INDIRECT($B$5&amp;"生成成长"),3))*(VLOOKUP($B$5,标准坦克设计!$B$14:$K$20,9)/30))</f>
        <v>9.0572853597691783</v>
      </c>
      <c r="AH103" s="173">
        <f ca="1">(VLOOKUP(AH$72,INDIRECT($C$5&amp;"生成成长"),2))/((VLOOKUP($B103,INDIRECT($B$5&amp;"生成成长"),4))/(VLOOKUP(AH$72,INDIRECT($C$5&amp;"生成成长"),5))*(VLOOKUP($B$5,标准坦克设计!$B$24:$U$30,MATCH("对"&amp;LEFT($C$5,2)&amp;"输出",标准坦克设计!$B$23:$U$23,0)))*(VLOOKUP($B103,INDIRECT($B$5&amp;"生成成长"),3))*(VLOOKUP($B$5,标准坦克设计!$B$14:$K$20,9)/30))</f>
        <v>9.732975448195381</v>
      </c>
      <c r="AI103" s="173">
        <f ca="1">(VLOOKUP(AI$72,INDIRECT($C$5&amp;"生成成长"),2))/((VLOOKUP($B103,INDIRECT($B$5&amp;"生成成长"),4))/(VLOOKUP(AI$72,INDIRECT($C$5&amp;"生成成长"),5))*(VLOOKUP($B$5,标准坦克设计!$B$24:$U$30,MATCH("对"&amp;LEFT($C$5,2)&amp;"输出",标准坦克设计!$B$23:$U$23,0)))*(VLOOKUP($B103,INDIRECT($B$5&amp;"生成成长"),3))*(VLOOKUP($B$5,标准坦克设计!$B$14:$K$20,9)/30))</f>
        <v>6.8837750663334445</v>
      </c>
      <c r="AJ103" s="173">
        <f ca="1">(VLOOKUP(AJ$72,INDIRECT($C$5&amp;"生成成长"),2))/((VLOOKUP($B103,INDIRECT($B$5&amp;"生成成长"),4))/(VLOOKUP(AJ$72,INDIRECT($C$5&amp;"生成成长"),5))*(VLOOKUP($B$5,标准坦克设计!$B$24:$U$30,MATCH("对"&amp;LEFT($C$5,2)&amp;"输出",标准坦克设计!$B$23:$U$23,0)))*(VLOOKUP($B103,INDIRECT($B$5&amp;"生成成长"),3))*(VLOOKUP($B$5,标准坦克设计!$B$14:$K$20,9)/30))</f>
        <v>7.534795174912432</v>
      </c>
      <c r="AK103" s="173">
        <f ca="1">(VLOOKUP(AK$72,INDIRECT($C$5&amp;"生成成长"),2))/((VLOOKUP($B103,INDIRECT($B$5&amp;"生成成长"),4))/(VLOOKUP(AK$72,INDIRECT($C$5&amp;"生成成长"),5))*(VLOOKUP($B$5,标准坦克设计!$B$24:$U$30,MATCH("对"&amp;LEFT($C$5,2)&amp;"输出",标准坦克设计!$B$23:$U$23,0)))*(VLOOKUP($B103,INDIRECT($B$5&amp;"生成成长"),3))*(VLOOKUP($B$5,标准坦克设计!$B$14:$K$20,9)/30))</f>
        <v>8.2152248161171677</v>
      </c>
      <c r="AL103" s="173">
        <f ca="1">(VLOOKUP(AL$72,INDIRECT($C$5&amp;"生成成长"),2))/((VLOOKUP($B103,INDIRECT($B$5&amp;"生成成长"),4))/(VLOOKUP(AL$72,INDIRECT($C$5&amp;"生成成长"),5))*(VLOOKUP($B$5,标准坦克设计!$B$24:$U$30,MATCH("对"&amp;LEFT($C$5,2)&amp;"输出",标准坦克设计!$B$23:$U$23,0)))*(VLOOKUP($B103,INDIRECT($B$5&amp;"生成成长"),3))*(VLOOKUP($B$5,标准坦克设计!$B$14:$K$20,9)/30))</f>
        <v>8.9250639899476454</v>
      </c>
      <c r="AM103" s="173">
        <f ca="1">(VLOOKUP(AM$72,INDIRECT($C$5&amp;"生成成长"),2))/((VLOOKUP($B103,INDIRECT($B$5&amp;"生成成长"),4))/(VLOOKUP(AM$72,INDIRECT($C$5&amp;"生成成长"),5))*(VLOOKUP($B$5,标准坦克设计!$B$24:$U$30,MATCH("对"&amp;LEFT($C$5,2)&amp;"输出",标准坦克设计!$B$23:$U$23,0)))*(VLOOKUP($B103,INDIRECT($B$5&amp;"生成成长"),3))*(VLOOKUP($B$5,标准坦克设计!$B$14:$K$20,9)/30))</f>
        <v>9.6643126964038704</v>
      </c>
      <c r="AN103" s="173">
        <f ca="1">(VLOOKUP(AN$72,INDIRECT($C$5&amp;"生成成长"),2))/((VLOOKUP($B103,INDIRECT($B$5&amp;"生成成长"),4))/(VLOOKUP(AN$72,INDIRECT($C$5&amp;"生成成长"),5))*(VLOOKUP($B$5,标准坦克设计!$B$24:$U$30,MATCH("对"&amp;LEFT($C$5,2)&amp;"输出",标准坦克设计!$B$23:$U$23,0)))*(VLOOKUP($B103,INDIRECT($B$5&amp;"生成成长"),3))*(VLOOKUP($B$5,标准坦克设计!$B$14:$K$20,9)/30))</f>
        <v>10.432970935485841</v>
      </c>
      <c r="AO103" s="173">
        <f ca="1">(VLOOKUP(AO$72,INDIRECT($C$5&amp;"生成成长"),2))/((VLOOKUP($B103,INDIRECT($B$5&amp;"生成成长"),4))/(VLOOKUP(AO$72,INDIRECT($C$5&amp;"生成成长"),5))*(VLOOKUP($B$5,标准坦克设计!$B$24:$U$30,MATCH("对"&amp;LEFT($C$5,2)&amp;"输出",标准坦克设计!$B$23:$U$23,0)))*(VLOOKUP($B103,INDIRECT($B$5&amp;"生成成长"),3))*(VLOOKUP($B$5,标准坦克设计!$B$14:$K$20,9)/30))</f>
        <v>11.231038707193553</v>
      </c>
      <c r="AP103" s="173">
        <f ca="1">(VLOOKUP(AP$72,INDIRECT($C$5&amp;"生成成长"),2))/((VLOOKUP($B103,INDIRECT($B$5&amp;"生成成长"),4))/(VLOOKUP(AP$72,INDIRECT($C$5&amp;"生成成长"),5))*(VLOOKUP($B$5,标准坦克设计!$B$24:$U$30,MATCH("对"&amp;LEFT($C$5,2)&amp;"输出",标准坦克设计!$B$23:$U$23,0)))*(VLOOKUP($B103,INDIRECT($B$5&amp;"生成成长"),3))*(VLOOKUP($B$5,标准坦克设计!$B$14:$K$20,9)/30))</f>
        <v>12.058516011527011</v>
      </c>
      <c r="AQ103" s="173">
        <f ca="1">(VLOOKUP(AQ$72,INDIRECT($C$5&amp;"生成成长"),2))/((VLOOKUP($B103,INDIRECT($B$5&amp;"生成成长"),4))/(VLOOKUP(AQ$72,INDIRECT($C$5&amp;"生成成长"),5))*(VLOOKUP($B$5,标准坦克设计!$B$24:$U$30,MATCH("对"&amp;LEFT($C$5,2)&amp;"输出",标准坦克设计!$B$23:$U$23,0)))*(VLOOKUP($B103,INDIRECT($B$5&amp;"生成成长"),3))*(VLOOKUP($B$5,标准坦克设计!$B$14:$K$20,9)/30))</f>
        <v>12.915402848486213</v>
      </c>
      <c r="AR103" s="173">
        <f ca="1">(VLOOKUP(AR$72,INDIRECT($C$5&amp;"生成成长"),2))/((VLOOKUP($B103,INDIRECT($B$5&amp;"生成成长"),4))/(VLOOKUP(AR$72,INDIRECT($C$5&amp;"生成成长"),5))*(VLOOKUP($B$5,标准坦克设计!$B$24:$U$30,MATCH("对"&amp;LEFT($C$5,2)&amp;"输出",标准坦克设计!$B$23:$U$23,0)))*(VLOOKUP($B103,INDIRECT($B$5&amp;"生成成长"),3))*(VLOOKUP($B$5,标准坦克设计!$B$14:$K$20,9)/30))</f>
        <v>13.801699218071162</v>
      </c>
      <c r="AS103" s="173">
        <f ca="1">(VLOOKUP(AS$72,INDIRECT($C$5&amp;"生成成长"),2))/((VLOOKUP($B103,INDIRECT($B$5&amp;"生成成长"),4))/(VLOOKUP(AS$72,INDIRECT($C$5&amp;"生成成长"),5))*(VLOOKUP($B$5,标准坦克设计!$B$24:$U$30,MATCH("对"&amp;LEFT($C$5,2)&amp;"输出",标准坦克设计!$B$23:$U$23,0)))*(VLOOKUP($B103,INDIRECT($B$5&amp;"生成成长"),3))*(VLOOKUP($B$5,标准坦克设计!$B$14:$K$20,9)/30))</f>
        <v>14.717405120281855</v>
      </c>
      <c r="AT103" s="173">
        <f ca="1">(VLOOKUP(AT$72,INDIRECT($C$5&amp;"生成成长"),2))/((VLOOKUP($B103,INDIRECT($B$5&amp;"生成成长"),4))/(VLOOKUP(AT$72,INDIRECT($C$5&amp;"生成成长"),5))*(VLOOKUP($B$5,标准坦克设计!$B$24:$U$30,MATCH("对"&amp;LEFT($C$5,2)&amp;"输出",标准坦克设计!$B$23:$U$23,0)))*(VLOOKUP($B103,INDIRECT($B$5&amp;"生成成长"),3))*(VLOOKUP($B$5,标准坦克设计!$B$14:$K$20,9)/30))</f>
        <v>15.662520555118295</v>
      </c>
      <c r="AU103" s="173">
        <f ca="1">(VLOOKUP(AU$72,INDIRECT($C$5&amp;"生成成长"),2))/((VLOOKUP($B103,INDIRECT($B$5&amp;"生成成长"),4))/(VLOOKUP(AU$72,INDIRECT($C$5&amp;"生成成长"),5))*(VLOOKUP($B$5,标准坦克设计!$B$24:$U$30,MATCH("对"&amp;LEFT($C$5,2)&amp;"输出",标准坦克设计!$B$23:$U$23,0)))*(VLOOKUP($B103,INDIRECT($B$5&amp;"生成成长"),3))*(VLOOKUP($B$5,标准坦克设计!$B$14:$K$20,9)/30))</f>
        <v>16.637045522580475</v>
      </c>
      <c r="AV103" s="173">
        <f ca="1">(VLOOKUP(AV$72,INDIRECT($C$5&amp;"生成成长"),2))/((VLOOKUP($B103,INDIRECT($B$5&amp;"生成成长"),4))/(VLOOKUP(AV$72,INDIRECT($C$5&amp;"生成成长"),5))*(VLOOKUP($B$5,标准坦克设计!$B$24:$U$30,MATCH("对"&amp;LEFT($C$5,2)&amp;"输出",标准坦克设计!$B$23:$U$23,0)))*(VLOOKUP($B103,INDIRECT($B$5&amp;"生成成长"),3))*(VLOOKUP($B$5,标准坦克设计!$B$14:$K$20,9)/30))</f>
        <v>1.6921418689292225</v>
      </c>
      <c r="AW103" s="173">
        <f ca="1">(VLOOKUP(AW$72,INDIRECT($C$5&amp;"生成成长"),2))/((VLOOKUP($B103,INDIRECT($B$5&amp;"生成成长"),4))/(VLOOKUP(AW$72,INDIRECT($C$5&amp;"生成成长"),5))*(VLOOKUP($B$5,标准坦克设计!$B$24:$U$30,MATCH("对"&amp;LEFT($C$5,2)&amp;"输出",标准坦克设计!$B$23:$U$23,0)))*(VLOOKUP($B103,INDIRECT($B$5&amp;"生成成长"),3))*(VLOOKUP($B$5,标准坦克设计!$B$14:$K$20,9)/30))</f>
        <v>1.9293625618443218</v>
      </c>
      <c r="AX103" s="173">
        <f ca="1">(VLOOKUP(AX$72,INDIRECT($C$5&amp;"生成成长"),2))/((VLOOKUP($B103,INDIRECT($B$5&amp;"生成成长"),4))/(VLOOKUP(AX$72,INDIRECT($C$5&amp;"生成成长"),5))*(VLOOKUP($B$5,标准坦克设计!$B$24:$U$30,MATCH("对"&amp;LEFT($C$5,2)&amp;"输出",标准坦克设计!$B$23:$U$23,0)))*(VLOOKUP($B103,INDIRECT($B$5&amp;"生成成长"),3))*(VLOOKUP($B$5,标准坦克设计!$B$14:$K$20,9)/30))</f>
        <v>2.1821387100325422</v>
      </c>
      <c r="AY103" s="173">
        <f ca="1">(VLOOKUP(AY$72,INDIRECT($C$5&amp;"生成成长"),2))/((VLOOKUP($B103,INDIRECT($B$5&amp;"生成成长"),4))/(VLOOKUP(AY$72,INDIRECT($C$5&amp;"生成成长"),5))*(VLOOKUP($B$5,标准坦克设计!$B$24:$U$30,MATCH("对"&amp;LEFT($C$5,2)&amp;"输出",标准坦克设计!$B$23:$U$23,0)))*(VLOOKUP($B103,INDIRECT($B$5&amp;"生成成长"),3))*(VLOOKUP($B$5,标准坦克设计!$B$14:$K$20,9)/30))</f>
        <v>2.4504703134938839</v>
      </c>
      <c r="AZ103" s="173">
        <f ca="1">(VLOOKUP(AZ$72,INDIRECT($C$5&amp;"生成成长"),2))/((VLOOKUP($B103,INDIRECT($B$5&amp;"生成成长"),4))/(VLOOKUP(AZ$72,INDIRECT($C$5&amp;"生成成长"),5))*(VLOOKUP($B$5,标准坦克设计!$B$24:$U$30,MATCH("对"&amp;LEFT($C$5,2)&amp;"输出",标准坦克设计!$B$23:$U$23,0)))*(VLOOKUP($B103,INDIRECT($B$5&amp;"生成成长"),3))*(VLOOKUP($B$5,标准坦克设计!$B$14:$K$20,9)/30))</f>
        <v>2.7343573722283474</v>
      </c>
      <c r="BA103" s="173">
        <f ca="1">(VLOOKUP(BA$72,INDIRECT($C$5&amp;"生成成长"),2))/((VLOOKUP($B103,INDIRECT($B$5&amp;"生成成长"),4))/(VLOOKUP(BA$72,INDIRECT($C$5&amp;"生成成长"),5))*(VLOOKUP($B$5,标准坦克设计!$B$24:$U$30,MATCH("对"&amp;LEFT($C$5,2)&amp;"输出",标准坦克设计!$B$23:$U$23,0)))*(VLOOKUP($B103,INDIRECT($B$5&amp;"生成成长"),3))*(VLOOKUP($B$5,标准坦克设计!$B$14:$K$20,9)/30))</f>
        <v>3.0337998862359314</v>
      </c>
      <c r="BB103" s="173">
        <f ca="1">(VLOOKUP(BB$72,INDIRECT($C$5&amp;"生成成长"),2))/((VLOOKUP($B103,INDIRECT($B$5&amp;"生成成长"),4))/(VLOOKUP(BB$72,INDIRECT($C$5&amp;"生成成长"),5))*(VLOOKUP($B$5,标准坦克设计!$B$24:$U$30,MATCH("对"&amp;LEFT($C$5,2)&amp;"输出",标准坦克设计!$B$23:$U$23,0)))*(VLOOKUP($B103,INDIRECT($B$5&amp;"生成成长"),3))*(VLOOKUP($B$5,标准坦克设计!$B$14:$K$20,9)/30))</f>
        <v>3.3487978555166373</v>
      </c>
      <c r="BC103" s="173">
        <f ca="1">(VLOOKUP(BC$72,INDIRECT($C$5&amp;"生成成长"),2))/((VLOOKUP($B103,INDIRECT($B$5&amp;"生成成长"),4))/(VLOOKUP(BC$72,INDIRECT($C$5&amp;"生成成长"),5))*(VLOOKUP($B$5,标准坦克设计!$B$24:$U$30,MATCH("对"&amp;LEFT($C$5,2)&amp;"输出",标准坦克设计!$B$23:$U$23,0)))*(VLOOKUP($B103,INDIRECT($B$5&amp;"生成成长"),3))*(VLOOKUP($B$5,标准坦克设计!$B$14:$K$20,9)/30))</f>
        <v>3.6793512800704637</v>
      </c>
      <c r="BD103" s="173">
        <f ca="1">(VLOOKUP(BD$72,INDIRECT($C$5&amp;"生成成长"),2))/((VLOOKUP($B103,INDIRECT($B$5&amp;"生成成长"),4))/(VLOOKUP(BD$72,INDIRECT($C$5&amp;"生成成长"),5))*(VLOOKUP($B$5,标准坦克设计!$B$24:$U$30,MATCH("对"&amp;LEFT($C$5,2)&amp;"输出",标准坦克设计!$B$23:$U$23,0)))*(VLOOKUP($B103,INDIRECT($B$5&amp;"生成成长"),3))*(VLOOKUP($B$5,标准坦克设计!$B$14:$K$20,9)/30))</f>
        <v>4.0698175128246712</v>
      </c>
      <c r="BE103" s="173">
        <f ca="1">(VLOOKUP(BE$72,INDIRECT($C$5&amp;"生成成长"),2))/((VLOOKUP($B103,INDIRECT($B$5&amp;"生成成长"),4))/(VLOOKUP(BE$72,INDIRECT($C$5&amp;"生成成长"),5))*(VLOOKUP($B$5,标准坦克设计!$B$24:$U$30,MATCH("对"&amp;LEFT($C$5,2)&amp;"输出",标准坦克设计!$B$23:$U$23,0)))*(VLOOKUP($B103,INDIRECT($B$5&amp;"生成成长"),3))*(VLOOKUP($B$5,标准坦克设计!$B$14:$K$20,9)/30))</f>
        <v>4.4799711186589244</v>
      </c>
      <c r="BF103" s="173">
        <f ca="1">(VLOOKUP(BF$72,INDIRECT($C$5&amp;"生成成长"),2))/((VLOOKUP($B103,INDIRECT($B$5&amp;"生成成长"),4))/(VLOOKUP(BF$72,INDIRECT($C$5&amp;"生成成长"),5))*(VLOOKUP($B$5,标准坦克设计!$B$24:$U$30,MATCH("对"&amp;LEFT($C$5,2)&amp;"输出",标准坦克设计!$B$23:$U$23,0)))*(VLOOKUP($B103,INDIRECT($B$5&amp;"生成成长"),3))*(VLOOKUP($B$5,标准坦克设计!$B$14:$K$20,9)/30))</f>
        <v>4.9098120975732202</v>
      </c>
      <c r="BG103" s="173">
        <f ca="1">(VLOOKUP(BG$72,INDIRECT($C$5&amp;"生成成长"),2))/((VLOOKUP($B103,INDIRECT($B$5&amp;"生成成长"),4))/(VLOOKUP(BG$72,INDIRECT($C$5&amp;"生成成长"),5))*(VLOOKUP($B$5,标准坦克设计!$B$24:$U$30,MATCH("对"&amp;LEFT($C$5,2)&amp;"输出",标准坦克设计!$B$23:$U$23,0)))*(VLOOKUP($B103,INDIRECT($B$5&amp;"生成成长"),3))*(VLOOKUP($B$5,标准坦克设计!$B$14:$K$20,9)/30))</f>
        <v>5.3593404495675605</v>
      </c>
      <c r="BH103" s="173">
        <f ca="1">(VLOOKUP(BH$72,INDIRECT($C$5&amp;"生成成长"),2))/((VLOOKUP($B103,INDIRECT($B$5&amp;"生成成长"),4))/(VLOOKUP(BH$72,INDIRECT($C$5&amp;"生成成长"),5))*(VLOOKUP($B$5,标准坦克设计!$B$24:$U$30,MATCH("对"&amp;LEFT($C$5,2)&amp;"输出",标准坦克设计!$B$23:$U$23,0)))*(VLOOKUP($B103,INDIRECT($B$5&amp;"生成成长"),3))*(VLOOKUP($B$5,标准坦克设计!$B$14:$K$20,9)/30))</f>
        <v>2.5904694109519757</v>
      </c>
      <c r="BI103" s="173">
        <f ca="1">(VLOOKUP(BI$72,INDIRECT($C$5&amp;"生成成长"),2))/((VLOOKUP($B103,INDIRECT($B$5&amp;"生成成长"),4))/(VLOOKUP(BI$72,INDIRECT($C$5&amp;"生成成长"),5))*(VLOOKUP($B$5,标准坦克设计!$B$24:$U$30,MATCH("对"&amp;LEFT($C$5,2)&amp;"输出",标准坦克设计!$B$23:$U$23,0)))*(VLOOKUP($B103,INDIRECT($B$5&amp;"生成成长"),3))*(VLOOKUP($B$5,标准坦克设计!$B$14:$K$20,9)/30))</f>
        <v>2.9196860385682686</v>
      </c>
      <c r="BJ103" s="173">
        <f ca="1">(VLOOKUP(BJ$72,INDIRECT($C$5&amp;"生成成长"),2))/((VLOOKUP($B103,INDIRECT($B$5&amp;"生成成长"),4))/(VLOOKUP(BJ$72,INDIRECT($C$5&amp;"生成成长"),5))*(VLOOKUP($B$5,标准坦克设计!$B$24:$U$30,MATCH("对"&amp;LEFT($C$5,2)&amp;"输出",标准坦克设计!$B$23:$U$23,0)))*(VLOOKUP($B103,INDIRECT($B$5&amp;"生成成长"),3))*(VLOOKUP($B$5,标准坦克设计!$B$14:$K$20,9)/30))</f>
        <v>3.2685900392646059</v>
      </c>
      <c r="BK103" s="173">
        <f ca="1">(VLOOKUP(BK$72,INDIRECT($C$5&amp;"生成成长"),2))/((VLOOKUP($B103,INDIRECT($B$5&amp;"生成成长"),4))/(VLOOKUP(BK$72,INDIRECT($C$5&amp;"生成成长"),5))*(VLOOKUP($B$5,标准坦克设计!$B$24:$U$30,MATCH("对"&amp;LEFT($C$5,2)&amp;"输出",标准坦克设计!$B$23:$U$23,0)))*(VLOOKUP($B103,INDIRECT($B$5&amp;"生成成长"),3))*(VLOOKUP($B$5,标准坦克设计!$B$14:$K$20,9)/30))</f>
        <v>3.6371814130409867</v>
      </c>
      <c r="BL103" s="173">
        <f ca="1">(VLOOKUP(BL$72,INDIRECT($C$5&amp;"生成成长"),2))/((VLOOKUP($B103,INDIRECT($B$5&amp;"生成成长"),4))/(VLOOKUP(BL$72,INDIRECT($C$5&amp;"生成成长"),5))*(VLOOKUP($B$5,标准坦克设计!$B$24:$U$30,MATCH("对"&amp;LEFT($C$5,2)&amp;"输出",标准坦克设计!$B$23:$U$23,0)))*(VLOOKUP($B103,INDIRECT($B$5&amp;"生成成长"),3))*(VLOOKUP($B$5,标准坦克设计!$B$14:$K$20,9)/30))</f>
        <v>4.0254601598974125</v>
      </c>
      <c r="BM103" s="173">
        <f ca="1">(VLOOKUP(BM$72,INDIRECT($C$5&amp;"生成成长"),2))/((VLOOKUP($B103,INDIRECT($B$5&amp;"生成成长"),4))/(VLOOKUP(BM$72,INDIRECT($C$5&amp;"生成成长"),5))*(VLOOKUP($B$5,标准坦克设计!$B$24:$U$30,MATCH("对"&amp;LEFT($C$5,2)&amp;"输出",标准坦克设计!$B$23:$U$23,0)))*(VLOOKUP($B103,INDIRECT($B$5&amp;"生成成长"),3))*(VLOOKUP($B$5,标准坦克设计!$B$14:$K$20,9)/30))</f>
        <v>4.4334262798338813</v>
      </c>
      <c r="BN103" s="173">
        <f ca="1">(VLOOKUP(BN$72,INDIRECT($C$5&amp;"生成成长"),2))/((VLOOKUP($B103,INDIRECT($B$5&amp;"生成成长"),4))/(VLOOKUP(BN$72,INDIRECT($C$5&amp;"生成成长"),5))*(VLOOKUP($B$5,标准坦克设计!$B$24:$U$30,MATCH("对"&amp;LEFT($C$5,2)&amp;"输出",标准坦克设计!$B$23:$U$23,0)))*(VLOOKUP($B103,INDIRECT($B$5&amp;"生成成长"),3))*(VLOOKUP($B$5,标准坦克设计!$B$14:$K$20,9)/30))</f>
        <v>4.8610797728503954</v>
      </c>
      <c r="BO103" s="173">
        <f ca="1">(VLOOKUP(BO$72,INDIRECT($C$5&amp;"生成成长"),2))/((VLOOKUP($B103,INDIRECT($B$5&amp;"生成成长"),4))/(VLOOKUP(BO$72,INDIRECT($C$5&amp;"生成成长"),5))*(VLOOKUP($B$5,标准坦克设计!$B$24:$U$30,MATCH("对"&amp;LEFT($C$5,2)&amp;"输出",标准坦克设计!$B$23:$U$23,0)))*(VLOOKUP($B103,INDIRECT($B$5&amp;"生成成长"),3))*(VLOOKUP($B$5,标准坦克设计!$B$14:$K$20,9)/30))</f>
        <v>5.3084206389469522</v>
      </c>
      <c r="BP103" s="173">
        <f ca="1">(VLOOKUP(BP$72,INDIRECT($C$5&amp;"生成成长"),2))/((VLOOKUP($B103,INDIRECT($B$5&amp;"生成成长"),4))/(VLOOKUP(BP$72,INDIRECT($C$5&amp;"生成成长"),5))*(VLOOKUP($B$5,标准坦克设计!$B$24:$U$30,MATCH("对"&amp;LEFT($C$5,2)&amp;"输出",标准坦克设计!$B$23:$U$23,0)))*(VLOOKUP($B103,INDIRECT($B$5&amp;"生成成长"),3))*(VLOOKUP($B$5,标准坦克设计!$B$14:$K$20,9)/30))</f>
        <v>5.7754488781235551</v>
      </c>
      <c r="BQ103" s="173">
        <f ca="1">(VLOOKUP(BQ$72,INDIRECT($C$5&amp;"生成成长"),2))/((VLOOKUP($B103,INDIRECT($B$5&amp;"生成成长"),4))/(VLOOKUP(BQ$72,INDIRECT($C$5&amp;"生成成长"),5))*(VLOOKUP($B$5,标准坦克设计!$B$24:$U$30,MATCH("对"&amp;LEFT($C$5,2)&amp;"输出",标准坦克设计!$B$23:$U$23,0)))*(VLOOKUP($B103,INDIRECT($B$5&amp;"生成成长"),3))*(VLOOKUP($B$5,标准坦克设计!$B$14:$K$20,9)/30))</f>
        <v>6.2621644903801998</v>
      </c>
      <c r="BR103" s="173">
        <f ca="1">(VLOOKUP(BR$72,INDIRECT($C$5&amp;"生成成长"),2))/((VLOOKUP($B103,INDIRECT($B$5&amp;"生成成长"),4))/(VLOOKUP(BR$72,INDIRECT($C$5&amp;"生成成长"),5))*(VLOOKUP($B$5,标准坦克设计!$B$24:$U$30,MATCH("对"&amp;LEFT($C$5,2)&amp;"输出",标准坦克设计!$B$23:$U$23,0)))*(VLOOKUP($B103,INDIRECT($B$5&amp;"生成成长"),3))*(VLOOKUP($B$5,标准坦克设计!$B$14:$K$20,9)/30))</f>
        <v>6.826049744030847</v>
      </c>
      <c r="BS103" s="173">
        <f ca="1">(VLOOKUP(BS$72,INDIRECT($C$5&amp;"生成成长"),2))/((VLOOKUP($B103,INDIRECT($B$5&amp;"生成成长"),4))/(VLOOKUP(BS$72,INDIRECT($C$5&amp;"生成成长"),5))*(VLOOKUP($B$5,标准坦克设计!$B$24:$U$30,MATCH("对"&amp;LEFT($C$5,2)&amp;"输出",标准坦克设计!$B$23:$U$23,0)))*(VLOOKUP($B103,INDIRECT($B$5&amp;"生成成长"),3))*(VLOOKUP($B$5,标准坦克设计!$B$14:$K$20,9)/30))</f>
        <v>7.4142403965457433</v>
      </c>
      <c r="BT103" s="173">
        <f ca="1">(VLOOKUP(BT$72,INDIRECT($C$5&amp;"生成成长"),2))/((VLOOKUP($B103,INDIRECT($B$5&amp;"生成成长"),4))/(VLOOKUP(BT$72,INDIRECT($C$5&amp;"生成成长"),5))*(VLOOKUP($B$5,标准坦克设计!$B$24:$U$30,MATCH("对"&amp;LEFT($C$5,2)&amp;"输出",标准坦克设计!$B$23:$U$23,0)))*(VLOOKUP($B103,INDIRECT($B$5&amp;"生成成长"),3))*(VLOOKUP($B$5,标准坦克设计!$B$14:$K$20,9)/30))</f>
        <v>8.026736447924895</v>
      </c>
      <c r="BU103" s="173">
        <f ca="1">(VLOOKUP(BU$72,INDIRECT($C$5&amp;"生成成长"),2))/((VLOOKUP($B103,INDIRECT($B$5&amp;"生成成长"),4))/(VLOOKUP(BU$72,INDIRECT($C$5&amp;"生成成长"),5))*(VLOOKUP($B$5,标准坦克设计!$B$24:$U$30,MATCH("对"&amp;LEFT($C$5,2)&amp;"输出",标准坦克设计!$B$23:$U$23,0)))*(VLOOKUP($B103,INDIRECT($B$5&amp;"生成成长"),3))*(VLOOKUP($B$5,标准坦克设计!$B$14:$K$20,9)/30))</f>
        <v>8.6635378981682933</v>
      </c>
      <c r="BV103" s="173">
        <f ca="1">(VLOOKUP(BV$72,INDIRECT($C$5&amp;"生成成长"),2))/((VLOOKUP($B103,INDIRECT($B$5&amp;"生成成长"),4))/(VLOOKUP(BV$72,INDIRECT($C$5&amp;"生成成长"),5))*(VLOOKUP($B$5,标准坦克设计!$B$24:$U$30,MATCH("对"&amp;LEFT($C$5,2)&amp;"输出",标准坦克设计!$B$23:$U$23,0)))*(VLOOKUP($B103,INDIRECT($B$5&amp;"生成成长"),3))*(VLOOKUP($B$5,标准坦克设计!$B$14:$K$20,9)/30))</f>
        <v>9.3246447472759488</v>
      </c>
      <c r="BW103" s="173">
        <f ca="1">(VLOOKUP(BW$72,INDIRECT($C$5&amp;"生成成长"),2))/((VLOOKUP($B103,INDIRECT($B$5&amp;"生成成长"),4))/(VLOOKUP(BW$72,INDIRECT($C$5&amp;"生成成长"),5))*(VLOOKUP($B$5,标准坦克设计!$B$24:$U$30,MATCH("对"&amp;LEFT($C$5,2)&amp;"输出",标准坦克设计!$B$23:$U$23,0)))*(VLOOKUP($B103,INDIRECT($B$5&amp;"生成成长"),3))*(VLOOKUP($B$5,标准坦克设计!$B$14:$K$20,9)/30))</f>
        <v>4.2496774644201372</v>
      </c>
      <c r="BX103" s="173">
        <f ca="1">(VLOOKUP(BX$72,INDIRECT($C$5&amp;"生成成长"),2))/((VLOOKUP($B103,INDIRECT($B$5&amp;"生成成长"),4))/(VLOOKUP(BX$72,INDIRECT($C$5&amp;"生成成长"),5))*(VLOOKUP($B$5,标准坦克设计!$B$24:$U$30,MATCH("对"&amp;LEFT($C$5,2)&amp;"输出",标准坦克设计!$B$23:$U$23,0)))*(VLOOKUP($B103,INDIRECT($B$5&amp;"生成成长"),3))*(VLOOKUP($B$5,标准坦克设计!$B$14:$K$20,9)/30))</f>
        <v>4.7163411226137741</v>
      </c>
      <c r="BY103" s="173">
        <f ca="1">(VLOOKUP(BY$72,INDIRECT($C$5&amp;"生成成长"),2))/((VLOOKUP($B103,INDIRECT($B$5&amp;"生成成长"),4))/(VLOOKUP(BY$72,INDIRECT($C$5&amp;"生成成长"),5))*(VLOOKUP($B$5,标准坦克设计!$B$24:$U$30,MATCH("对"&amp;LEFT($C$5,2)&amp;"输出",标准坦克设计!$B$23:$U$23,0)))*(VLOOKUP($B103,INDIRECT($B$5&amp;"生成成长"),3))*(VLOOKUP($B$5,标准坦克设计!$B$14:$K$20,9)/30))</f>
        <v>5.2073101796716639</v>
      </c>
      <c r="BZ103" s="173">
        <f ca="1">(VLOOKUP(BZ$72,INDIRECT($C$5&amp;"生成成长"),2))/((VLOOKUP($B103,INDIRECT($B$5&amp;"生成成长"),4))/(VLOOKUP(BZ$72,INDIRECT($C$5&amp;"生成成长"),5))*(VLOOKUP($B$5,标准坦克设计!$B$24:$U$30,MATCH("对"&amp;LEFT($C$5,2)&amp;"输出",标准坦克设计!$B$23:$U$23,0)))*(VLOOKUP($B103,INDIRECT($B$5&amp;"生成成长"),3))*(VLOOKUP($B$5,标准坦克设计!$B$14:$K$20,9)/30))</f>
        <v>5.7225846355938064</v>
      </c>
      <c r="CA103" s="173">
        <f ca="1">(VLOOKUP(CA$72,INDIRECT($C$5&amp;"生成成长"),2))/((VLOOKUP($B103,INDIRECT($B$5&amp;"生成成长"),4))/(VLOOKUP(CA$72,INDIRECT($C$5&amp;"生成成长"),5))*(VLOOKUP($B$5,标准坦克设计!$B$24:$U$30,MATCH("对"&amp;LEFT($C$5,2)&amp;"输出",标准坦克设计!$B$23:$U$23,0)))*(VLOOKUP($B103,INDIRECT($B$5&amp;"生成成长"),3))*(VLOOKUP($B$5,标准坦克设计!$B$14:$K$20,9)/30))</f>
        <v>6.2621644903801998</v>
      </c>
      <c r="CB103" s="173">
        <f ca="1">(VLOOKUP(CB$72,INDIRECT($C$5&amp;"生成成长"),2))/((VLOOKUP($B103,INDIRECT($B$5&amp;"生成成长"),4))/(VLOOKUP(CB$72,INDIRECT($C$5&amp;"生成成长"),5))*(VLOOKUP($B$5,标准坦克设计!$B$24:$U$30,MATCH("对"&amp;LEFT($C$5,2)&amp;"输出",标准坦克设计!$B$23:$U$23,0)))*(VLOOKUP($B103,INDIRECT($B$5&amp;"生成成长"),3))*(VLOOKUP($B$5,标准坦克设计!$B$14:$K$20,9)/30))</f>
        <v>6.826049744030847</v>
      </c>
      <c r="CC103" s="173">
        <f ca="1">(VLOOKUP(CC$72,INDIRECT($C$5&amp;"生成成长"),2))/((VLOOKUP($B103,INDIRECT($B$5&amp;"生成成长"),4))/(VLOOKUP(CC$72,INDIRECT($C$5&amp;"生成成长"),5))*(VLOOKUP($B$5,标准坦克设计!$B$24:$U$30,MATCH("对"&amp;LEFT($C$5,2)&amp;"输出",标准坦克设计!$B$23:$U$23,0)))*(VLOOKUP($B103,INDIRECT($B$5&amp;"生成成长"),3))*(VLOOKUP($B$5,标准坦克设计!$B$14:$K$20,9)/30))</f>
        <v>7.4142403965457433</v>
      </c>
      <c r="CD103" s="173">
        <f ca="1">(VLOOKUP(CD$72,INDIRECT($C$5&amp;"生成成长"),2))/((VLOOKUP($B103,INDIRECT($B$5&amp;"生成成长"),4))/(VLOOKUP(CD$72,INDIRECT($C$5&amp;"生成成长"),5))*(VLOOKUP($B$5,标准坦克设计!$B$24:$U$30,MATCH("对"&amp;LEFT($C$5,2)&amp;"输出",标准坦克设计!$B$23:$U$23,0)))*(VLOOKUP($B103,INDIRECT($B$5&amp;"生成成长"),3))*(VLOOKUP($B$5,标准坦克设计!$B$14:$K$20,9)/30))</f>
        <v>8.026736447924895</v>
      </c>
      <c r="CE103" s="173">
        <f ca="1">(VLOOKUP(CE$72,INDIRECT($C$5&amp;"生成成长"),2))/((VLOOKUP($B103,INDIRECT($B$5&amp;"生成成长"),4))/(VLOOKUP(CE$72,INDIRECT($C$5&amp;"生成成长"),5))*(VLOOKUP($B$5,标准坦克设计!$B$24:$U$30,MATCH("对"&amp;LEFT($C$5,2)&amp;"输出",标准坦克设计!$B$23:$U$23,0)))*(VLOOKUP($B103,INDIRECT($B$5&amp;"生成成长"),3))*(VLOOKUP($B$5,标准坦克设计!$B$14:$K$20,9)/30))</f>
        <v>8.6635378981682933</v>
      </c>
      <c r="CF103" s="173">
        <f ca="1">(VLOOKUP(CF$72,INDIRECT($C$5&amp;"生成成长"),2))/((VLOOKUP($B103,INDIRECT($B$5&amp;"生成成长"),4))/(VLOOKUP(CF$72,INDIRECT($C$5&amp;"生成成长"),5))*(VLOOKUP($B$5,标准坦克设计!$B$24:$U$30,MATCH("对"&amp;LEFT($C$5,2)&amp;"输出",标准坦克设计!$B$23:$U$23,0)))*(VLOOKUP($B103,INDIRECT($B$5&amp;"生成成长"),3))*(VLOOKUP($B$5,标准坦克设计!$B$14:$K$20,9)/30))</f>
        <v>9.3246447472759488</v>
      </c>
      <c r="CG103" s="173">
        <f ca="1">(VLOOKUP(CG$72,INDIRECT($C$5&amp;"生成成长"),2))/((VLOOKUP($B103,INDIRECT($B$5&amp;"生成成长"),4))/(VLOOKUP(CG$72,INDIRECT($C$5&amp;"生成成长"),5))*(VLOOKUP($B$5,标准坦克设计!$B$24:$U$30,MATCH("对"&amp;LEFT($C$5,2)&amp;"输出",标准坦克设计!$B$23:$U$23,0)))*(VLOOKUP($B103,INDIRECT($B$5&amp;"生成成长"),3))*(VLOOKUP($B$5,标准坦克设计!$B$14:$K$20,9)/30))</f>
        <v>10.010056995247854</v>
      </c>
      <c r="CH103" s="173">
        <f ca="1">(VLOOKUP(CH$72,INDIRECT($C$5&amp;"生成成长"),2))/((VLOOKUP($B103,INDIRECT($B$5&amp;"生成成长"),4))/(VLOOKUP(CH$72,INDIRECT($C$5&amp;"生成成长"),5))*(VLOOKUP($B$5,标准坦克设计!$B$24:$U$30,MATCH("对"&amp;LEFT($C$5,2)&amp;"输出",标准坦克设计!$B$23:$U$23,0)))*(VLOOKUP($B103,INDIRECT($B$5&amp;"生成成长"),3))*(VLOOKUP($B$5,标准坦克设计!$B$14:$K$20,9)/30))</f>
        <v>10.719774642084012</v>
      </c>
      <c r="CI103" s="173">
        <f ca="1">(VLOOKUP(CI$72,INDIRECT($C$5&amp;"生成成长"),2))/((VLOOKUP($B103,INDIRECT($B$5&amp;"生成成长"),4))/(VLOOKUP(CI$72,INDIRECT($C$5&amp;"生成成长"),5))*(VLOOKUP($B$5,标准坦克设计!$B$24:$U$30,MATCH("对"&amp;LEFT($C$5,2)&amp;"输出",标准坦克设计!$B$23:$U$23,0)))*(VLOOKUP($B103,INDIRECT($B$5&amp;"生成成长"),3))*(VLOOKUP($B$5,标准坦克设计!$B$14:$K$20,9)/30))</f>
        <v>11.528536789291996</v>
      </c>
      <c r="CJ103" s="173">
        <f ca="1">(VLOOKUP(CJ$72,INDIRECT($C$5&amp;"生成成长"),2))/((VLOOKUP($B103,INDIRECT($B$5&amp;"生成成长"),4))/(VLOOKUP(CJ$72,INDIRECT($C$5&amp;"生成成长"),5))*(VLOOKUP($B$5,标准坦克设计!$B$24:$U$30,MATCH("对"&amp;LEFT($C$5,2)&amp;"输出",标准坦克设计!$B$23:$U$23,0)))*(VLOOKUP($B103,INDIRECT($B$5&amp;"生成成长"),3))*(VLOOKUP($B$5,标准坦克设计!$B$14:$K$20,9)/30))</f>
        <v>12.366708469125724</v>
      </c>
      <c r="CK103" s="173">
        <f ca="1">(VLOOKUP(CK$72,INDIRECT($C$5&amp;"生成成长"),2))/((VLOOKUP($B103,INDIRECT($B$5&amp;"生成成长"),4))/(VLOOKUP(CK$72,INDIRECT($C$5&amp;"生成成长"),5))*(VLOOKUP($B$5,标准坦克设计!$B$24:$U$30,MATCH("对"&amp;LEFT($C$5,2)&amp;"输出",标准坦克设计!$B$23:$U$23,0)))*(VLOOKUP($B103,INDIRECT($B$5&amp;"生成成长"),3))*(VLOOKUP($B$5,标准坦克设计!$B$14:$K$20,9)/30))</f>
        <v>13.234289681585199</v>
      </c>
      <c r="CL103" s="173">
        <f ca="1">(VLOOKUP(CL$72,INDIRECT($C$5&amp;"生成成长"),2))/((VLOOKUP($B103,INDIRECT($B$5&amp;"生成成长"),4))/(VLOOKUP(CL$72,INDIRECT($C$5&amp;"生成成长"),5))*(VLOOKUP($B$5,标准坦克设计!$B$24:$U$30,MATCH("对"&amp;LEFT($C$5,2)&amp;"输出",标准坦克设计!$B$23:$U$23,0)))*(VLOOKUP($B103,INDIRECT($B$5&amp;"生成成长"),3))*(VLOOKUP($B$5,标准坦克设计!$B$14:$K$20,9)/30))</f>
        <v>14.13128042667042</v>
      </c>
      <c r="CM103" s="173">
        <f ca="1">(VLOOKUP(CM$72,INDIRECT($C$5&amp;"生成成长"),2))/((VLOOKUP($B103,INDIRECT($B$5&amp;"生成成长"),4))/(VLOOKUP(CM$72,INDIRECT($C$5&amp;"生成成长"),5))*(VLOOKUP($B$5,标准坦克设计!$B$24:$U$30,MATCH("对"&amp;LEFT($C$5,2)&amp;"输出",标准坦克设计!$B$23:$U$23,0)))*(VLOOKUP($B103,INDIRECT($B$5&amp;"生成成长"),3))*(VLOOKUP($B$5,标准坦克设计!$B$14:$K$20,9)/30))</f>
        <v>15.057680704381385</v>
      </c>
      <c r="CN103" s="173">
        <f ca="1">(VLOOKUP(CN$72,INDIRECT($C$5&amp;"生成成长"),2))/((VLOOKUP($B103,INDIRECT($B$5&amp;"生成成长"),4))/(VLOOKUP(CN$72,INDIRECT($C$5&amp;"生成成长"),5))*(VLOOKUP($B$5,标准坦克设计!$B$24:$U$30,MATCH("对"&amp;LEFT($C$5,2)&amp;"输出",标准坦克设计!$B$23:$U$23,0)))*(VLOOKUP($B103,INDIRECT($B$5&amp;"生成成长"),3))*(VLOOKUP($B$5,标准坦克设计!$B$14:$K$20,9)/30))</f>
        <v>16.013490514718093</v>
      </c>
      <c r="CO103" s="173">
        <f ca="1">(VLOOKUP(CO$72,INDIRECT($C$5&amp;"生成成长"),2))/((VLOOKUP($B103,INDIRECT($B$5&amp;"生成成长"),4))/(VLOOKUP(CO$72,INDIRECT($C$5&amp;"生成成长"),5))*(VLOOKUP($B$5,标准坦克设计!$B$24:$U$30,MATCH("对"&amp;LEFT($C$5,2)&amp;"输出",标准坦克设计!$B$23:$U$23,0)))*(VLOOKUP($B103,INDIRECT($B$5&amp;"生成成长"),3))*(VLOOKUP($B$5,标准坦克设计!$B$14:$K$20,9)/30))</f>
        <v>7.1760474876760734</v>
      </c>
      <c r="CP103" s="173">
        <f ca="1">(VLOOKUP(CP$72,INDIRECT($C$5&amp;"生成成长"),2))/((VLOOKUP($B103,INDIRECT($B$5&amp;"生成成长"),4))/(VLOOKUP(CP$72,INDIRECT($C$5&amp;"生成成长"),5))*(VLOOKUP($B$5,标准坦克设计!$B$24:$U$30,MATCH("对"&amp;LEFT($C$5,2)&amp;"输出",标准坦克设计!$B$23:$U$23,0)))*(VLOOKUP($B103,INDIRECT($B$5&amp;"生成成长"),3))*(VLOOKUP($B$5,标准坦克设计!$B$14:$K$20,9)/30))</f>
        <v>7.8404355656303997</v>
      </c>
      <c r="CQ103" s="173">
        <f ca="1">(VLOOKUP(CQ$72,INDIRECT($C$5&amp;"生成成长"),2))/((VLOOKUP($B103,INDIRECT($B$5&amp;"生成成长"),4))/(VLOOKUP(CQ$72,INDIRECT($C$5&amp;"生成成长"),5))*(VLOOKUP($B$5,标准坦克设计!$B$24:$U$30,MATCH("对"&amp;LEFT($C$5,2)&amp;"输出",标准坦克设计!$B$23:$U$23,0)))*(VLOOKUP($B103,INDIRECT($B$5&amp;"生成成长"),3))*(VLOOKUP($B$5,标准坦克设计!$B$14:$K$20,9)/30))</f>
        <v>8.5342331762104742</v>
      </c>
      <c r="CR103" s="173">
        <f ca="1">(VLOOKUP(CR$72,INDIRECT($C$5&amp;"生成成长"),2))/((VLOOKUP($B103,INDIRECT($B$5&amp;"生成成长"),4))/(VLOOKUP(CR$72,INDIRECT($C$5&amp;"生成成长"),5))*(VLOOKUP($B$5,标准坦克设计!$B$24:$U$30,MATCH("对"&amp;LEFT($C$5,2)&amp;"输出",标准坦克设计!$B$23:$U$23,0)))*(VLOOKUP($B103,INDIRECT($B$5&amp;"生成成长"),3))*(VLOOKUP($B$5,标准坦克设计!$B$14:$K$20,9)/30))</f>
        <v>9.2574403194162933</v>
      </c>
      <c r="CS103" s="173">
        <f ca="1">(VLOOKUP(CS$72,INDIRECT($C$5&amp;"生成成长"),2))/((VLOOKUP($B103,INDIRECT($B$5&amp;"生成成长"),4))/(VLOOKUP(CS$72,INDIRECT($C$5&amp;"生成成长"),5))*(VLOOKUP($B$5,标准坦克设计!$B$24:$U$30,MATCH("对"&amp;LEFT($C$5,2)&amp;"输出",标准坦克设计!$B$23:$U$23,0)))*(VLOOKUP($B103,INDIRECT($B$5&amp;"生成成长"),3))*(VLOOKUP($B$5,标准坦克设计!$B$14:$K$20,9)/30))</f>
        <v>10.010056995247854</v>
      </c>
      <c r="CT103" s="173">
        <f ca="1">(VLOOKUP(CT$72,INDIRECT($C$5&amp;"生成成长"),2))/((VLOOKUP($B103,INDIRECT($B$5&amp;"生成成长"),4))/(VLOOKUP(CT$72,INDIRECT($C$5&amp;"生成成长"),5))*(VLOOKUP($B$5,标准坦克设计!$B$24:$U$30,MATCH("对"&amp;LEFT($C$5,2)&amp;"输出",标准坦克设计!$B$23:$U$23,0)))*(VLOOKUP($B103,INDIRECT($B$5&amp;"生成成长"),3))*(VLOOKUP($B$5,标准坦克设计!$B$14:$K$20,9)/30))</f>
        <v>10.792083203705161</v>
      </c>
      <c r="CU103" s="173">
        <f ca="1">(VLOOKUP(CU$72,INDIRECT($C$5&amp;"生成成长"),2))/((VLOOKUP($B103,INDIRECT($B$5&amp;"生成成长"),4))/(VLOOKUP(CU$72,INDIRECT($C$5&amp;"生成成长"),5))*(VLOOKUP($B$5,标准坦克设计!$B$24:$U$30,MATCH("对"&amp;LEFT($C$5,2)&amp;"输出",标准坦克设计!$B$23:$U$23,0)))*(VLOOKUP($B103,INDIRECT($B$5&amp;"生成成长"),3))*(VLOOKUP($B$5,标准坦克设计!$B$14:$K$20,9)/30))</f>
        <v>11.603518944788215</v>
      </c>
      <c r="CV103" s="173">
        <f ca="1">(VLOOKUP(CV$72,INDIRECT($C$5&amp;"生成成长"),2))/((VLOOKUP($B103,INDIRECT($B$5&amp;"生成成长"),4))/(VLOOKUP(CV$72,INDIRECT($C$5&amp;"生成成长"),5))*(VLOOKUP($B$5,标准坦克设计!$B$24:$U$30,MATCH("对"&amp;LEFT($C$5,2)&amp;"输出",标准坦克设计!$B$23:$U$23,0)))*(VLOOKUP($B103,INDIRECT($B$5&amp;"生成成长"),3))*(VLOOKUP($B$5,标准坦克设计!$B$14:$K$20,9)/30))</f>
        <v>12.444364218497011</v>
      </c>
      <c r="CW103" s="173">
        <f ca="1">(VLOOKUP(CW$72,INDIRECT($C$5&amp;"生成成长"),2))/((VLOOKUP($B103,INDIRECT($B$5&amp;"生成成长"),4))/(VLOOKUP(CW$72,INDIRECT($C$5&amp;"生成成长"),5))*(VLOOKUP($B$5,标准坦克设计!$B$24:$U$30,MATCH("对"&amp;LEFT($C$5,2)&amp;"输出",标准坦克设计!$B$23:$U$23,0)))*(VLOOKUP($B103,INDIRECT($B$5&amp;"生成成长"),3))*(VLOOKUP($B$5,标准坦克设计!$B$14:$K$20,9)/30))</f>
        <v>13.314619024831552</v>
      </c>
      <c r="CX103" s="173">
        <f ca="1">(VLOOKUP(CX$72,INDIRECT($C$5&amp;"生成成长"),2))/((VLOOKUP($B103,INDIRECT($B$5&amp;"生成成长"),4))/(VLOOKUP(CX$72,INDIRECT($C$5&amp;"生成成长"),5))*(VLOOKUP($B$5,标准坦克设计!$B$24:$U$30,MATCH("对"&amp;LEFT($C$5,2)&amp;"输出",标准坦克设计!$B$23:$U$23,0)))*(VLOOKUP($B103,INDIRECT($B$5&amp;"生成成长"),3))*(VLOOKUP($B$5,标准坦克设计!$B$14:$K$20,9)/30))</f>
        <v>14.214283363791839</v>
      </c>
      <c r="CY103" s="173">
        <f ca="1">(VLOOKUP(CY$72,INDIRECT($C$5&amp;"生成成长"),2))/((VLOOKUP($B103,INDIRECT($B$5&amp;"生成成长"),4))/(VLOOKUP(CY$72,INDIRECT($C$5&amp;"生成成长"),5))*(VLOOKUP($B$5,标准坦克设计!$B$24:$U$30,MATCH("对"&amp;LEFT($C$5,2)&amp;"输出",标准坦克设计!$B$23:$U$23,0)))*(VLOOKUP($B103,INDIRECT($B$5&amp;"生成成长"),3))*(VLOOKUP($B$5,标准坦克设计!$B$14:$K$20,9)/30))</f>
        <v>15.143357235377872</v>
      </c>
      <c r="CZ103" s="173">
        <f ca="1">(VLOOKUP(CZ$72,INDIRECT($C$5&amp;"生成成长"),2))/((VLOOKUP($B103,INDIRECT($B$5&amp;"生成成长"),4))/(VLOOKUP(CZ$72,INDIRECT($C$5&amp;"生成成长"),5))*(VLOOKUP($B$5,标准坦克设计!$B$24:$U$30,MATCH("对"&amp;LEFT($C$5,2)&amp;"输出",标准坦克设计!$B$23:$U$23,0)))*(VLOOKUP($B103,INDIRECT($B$5&amp;"生成成长"),3))*(VLOOKUP($B$5,标准坦克设计!$B$14:$K$20,9)/30))</f>
        <v>16.10184063958965</v>
      </c>
      <c r="DA103" s="173">
        <f ca="1">(VLOOKUP(DA$72,INDIRECT($C$5&amp;"生成成长"),2))/((VLOOKUP($B103,INDIRECT($B$5&amp;"生成成长"),4))/(VLOOKUP(DA$72,INDIRECT($C$5&amp;"生成成长"),5))*(VLOOKUP($B$5,标准坦克设计!$B$24:$U$30,MATCH("对"&amp;LEFT($C$5,2)&amp;"输出",标准坦克设计!$B$23:$U$23,0)))*(VLOOKUP($B103,INDIRECT($B$5&amp;"生成成长"),3))*(VLOOKUP($B$5,标准坦克设计!$B$14:$K$20,9)/30))</f>
        <v>17.089733576427172</v>
      </c>
      <c r="DB103" s="173">
        <f ca="1">(VLOOKUP(DB$72,INDIRECT($C$5&amp;"生成成长"),2))/((VLOOKUP($B103,INDIRECT($B$5&amp;"生成成长"),4))/(VLOOKUP(DB$72,INDIRECT($C$5&amp;"生成成长"),5))*(VLOOKUP($B$5,标准坦克设计!$B$24:$U$30,MATCH("对"&amp;LEFT($C$5,2)&amp;"输出",标准坦克设计!$B$23:$U$23,0)))*(VLOOKUP($B103,INDIRECT($B$5&amp;"生成成长"),3))*(VLOOKUP($B$5,标准坦克设计!$B$14:$K$20,9)/30))</f>
        <v>18.107036045890435</v>
      </c>
      <c r="DC103" s="173">
        <f ca="1">(VLOOKUP(DC$72,INDIRECT($C$5&amp;"生成成长"),2))/((VLOOKUP($B103,INDIRECT($B$5&amp;"生成成长"),4))/(VLOOKUP(DC$72,INDIRECT($C$5&amp;"生成成长"),5))*(VLOOKUP($B$5,标准坦克设计!$B$24:$U$30,MATCH("对"&amp;LEFT($C$5,2)&amp;"输出",标准坦克设计!$B$23:$U$23,0)))*(VLOOKUP($B103,INDIRECT($B$5&amp;"生成成长"),3))*(VLOOKUP($B$5,标准坦克设计!$B$14:$K$20,9)/30))</f>
        <v>19.250362008464847</v>
      </c>
      <c r="DD103" s="173">
        <f ca="1">(VLOOKUP(DD$72,INDIRECT($C$5&amp;"生成成长"),2))/((VLOOKUP($B103,INDIRECT($B$5&amp;"生成成长"),4))/(VLOOKUP(DD$72,INDIRECT($C$5&amp;"生成成长"),5))*(VLOOKUP($B$5,标准坦克设计!$B$24:$U$30,MATCH("对"&amp;LEFT($C$5,2)&amp;"输出",标准坦克设计!$B$23:$U$23,0)))*(VLOOKUP($B103,INDIRECT($B$5&amp;"生成成长"),3))*(VLOOKUP($B$5,标准坦克设计!$B$14:$K$20,9)/30))</f>
        <v>20.428687745403781</v>
      </c>
      <c r="DE103" s="173">
        <f ca="1">(VLOOKUP(DE$72,INDIRECT($C$5&amp;"生成成长"),2))/((VLOOKUP($B103,INDIRECT($B$5&amp;"生成成长"),4))/(VLOOKUP(DE$72,INDIRECT($C$5&amp;"生成成长"),5))*(VLOOKUP($B$5,标准坦克设计!$B$24:$U$30,MATCH("对"&amp;LEFT($C$5,2)&amp;"输出",标准坦克设计!$B$23:$U$23,0)))*(VLOOKUP($B103,INDIRECT($B$5&amp;"生成成长"),3))*(VLOOKUP($B$5,标准坦克设计!$B$14:$K$20,9)/30))</f>
        <v>21.642013256707248</v>
      </c>
      <c r="DF103" s="173">
        <f ca="1">(VLOOKUP(DF$72,INDIRECT($C$5&amp;"生成成长"),2))/((VLOOKUP($B103,INDIRECT($B$5&amp;"生成成长"),4))/(VLOOKUP(DF$72,INDIRECT($C$5&amp;"生成成长"),5))*(VLOOKUP($B$5,标准坦克设计!$B$24:$U$30,MATCH("对"&amp;LEFT($C$5,2)&amp;"输出",标准坦克设计!$B$23:$U$23,0)))*(VLOOKUP($B103,INDIRECT($B$5&amp;"生成成长"),3))*(VLOOKUP($B$5,标准坦克设计!$B$14:$K$20,9)/30))</f>
        <v>22.890338542375225</v>
      </c>
      <c r="DG103" s="173">
        <f ca="1">(VLOOKUP(DG$72,INDIRECT($C$5&amp;"生成成长"),2))/((VLOOKUP($B103,INDIRECT($B$5&amp;"生成成长"),4))/(VLOOKUP(DG$72,INDIRECT($C$5&amp;"生成成长"),5))*(VLOOKUP($B$5,标准坦克设计!$B$24:$U$30,MATCH("对"&amp;LEFT($C$5,2)&amp;"输出",标准坦克设计!$B$23:$U$23,0)))*(VLOOKUP($B103,INDIRECT($B$5&amp;"生成成长"),3))*(VLOOKUP($B$5,标准坦克设计!$B$14:$K$20,9)/30))</f>
        <v>24.173663602407728</v>
      </c>
      <c r="DH103" s="173">
        <f ca="1">(VLOOKUP(DH$72,INDIRECT($C$5&amp;"生成成长"),2))/((VLOOKUP($B103,INDIRECT($B$5&amp;"生成成长"),4))/(VLOOKUP(DH$72,INDIRECT($C$5&amp;"生成成长"),5))*(VLOOKUP($B$5,标准坦克设计!$B$24:$U$30,MATCH("对"&amp;LEFT($C$5,2)&amp;"输出",标准坦克设计!$B$23:$U$23,0)))*(VLOOKUP($B103,INDIRECT($B$5&amp;"生成成长"),3))*(VLOOKUP($B$5,标准坦克设计!$B$14:$K$20,9)/30))</f>
        <v>25.491988436804753</v>
      </c>
      <c r="DI103" s="173">
        <f ca="1">(VLOOKUP(DI$72,INDIRECT($C$5&amp;"生成成长"),2))/((VLOOKUP($B103,INDIRECT($B$5&amp;"生成成长"),4))/(VLOOKUP(DI$72,INDIRECT($C$5&amp;"生成成长"),5))*(VLOOKUP($B$5,标准坦克设计!$B$24:$U$30,MATCH("对"&amp;LEFT($C$5,2)&amp;"输出",标准坦克设计!$B$23:$U$23,0)))*(VLOOKUP($B103,INDIRECT($B$5&amp;"生成成长"),3))*(VLOOKUP($B$5,标准坦克设计!$B$14:$K$20,9)/30))</f>
        <v>26.8453130455663</v>
      </c>
      <c r="DJ103" s="173">
        <f ca="1">(VLOOKUP(DJ$72,INDIRECT($C$5&amp;"生成成长"),2))/((VLOOKUP($B103,INDIRECT($B$5&amp;"生成成长"),4))/(VLOOKUP(DJ$72,INDIRECT($C$5&amp;"生成成长"),5))*(VLOOKUP($B$5,标准坦克设计!$B$24:$U$30,MATCH("对"&amp;LEFT($C$5,2)&amp;"输出",标准坦克设计!$B$23:$U$23,0)))*(VLOOKUP($B103,INDIRECT($B$5&amp;"生成成长"),3))*(VLOOKUP($B$5,标准坦克设计!$B$14:$K$20,9)/30))</f>
        <v>2.6980208009262903</v>
      </c>
      <c r="DK103" s="173">
        <f ca="1">(VLOOKUP(DK$72,INDIRECT($C$5&amp;"生成成长"),2))/((VLOOKUP($B103,INDIRECT($B$5&amp;"生成成长"),4))/(VLOOKUP(DK$72,INDIRECT($C$5&amp;"生成成长"),5))*(VLOOKUP($B$5,标准坦克设计!$B$24:$U$30,MATCH("对"&amp;LEFT($C$5,2)&amp;"输出",标准坦克设计!$B$23:$U$23,0)))*(VLOOKUP($B103,INDIRECT($B$5&amp;"生成成长"),3))*(VLOOKUP($B$5,标准坦克设计!$B$14:$K$20,9)/30))</f>
        <v>3.0337998862359314</v>
      </c>
      <c r="DL103" s="173">
        <f ca="1">(VLOOKUP(DL$72,INDIRECT($C$5&amp;"生成成长"),2))/((VLOOKUP($B103,INDIRECT($B$5&amp;"生成成长"),4))/(VLOOKUP(DL$72,INDIRECT($C$5&amp;"生成成长"),5))*(VLOOKUP($B$5,标准坦克设计!$B$24:$U$30,MATCH("对"&amp;LEFT($C$5,2)&amp;"输出",标准坦克设计!$B$23:$U$23,0)))*(VLOOKUP($B103,INDIRECT($B$5&amp;"生成成长"),3))*(VLOOKUP($B$5,标准坦克设计!$B$14:$K$20,9)/30))</f>
        <v>3.3892663446256166</v>
      </c>
      <c r="DM103" s="173">
        <f ca="1">(VLOOKUP(DM$72,INDIRECT($C$5&amp;"生成成长"),2))/((VLOOKUP($B103,INDIRECT($B$5&amp;"生成成长"),4))/(VLOOKUP(DM$72,INDIRECT($C$5&amp;"生成成长"),5))*(VLOOKUP($B$5,标准坦克设计!$B$24:$U$30,MATCH("对"&amp;LEFT($C$5,2)&amp;"输出",标准坦克设计!$B$23:$U$23,0)))*(VLOOKUP($B103,INDIRECT($B$5&amp;"生成成长"),3))*(VLOOKUP($B$5,标准坦克设计!$B$14:$K$20,9)/30))</f>
        <v>3.7644201760953462</v>
      </c>
      <c r="DN103" s="173">
        <f ca="1">(VLOOKUP(DN$72,INDIRECT($C$5&amp;"生成成长"),2))/((VLOOKUP($B103,INDIRECT($B$5&amp;"生成成长"),4))/(VLOOKUP(DN$72,INDIRECT($C$5&amp;"生成成长"),5))*(VLOOKUP($B$5,标准坦克设计!$B$24:$U$30,MATCH("对"&amp;LEFT($C$5,2)&amp;"输出",标准坦克设计!$B$23:$U$23,0)))*(VLOOKUP($B103,INDIRECT($B$5&amp;"生成成长"),3))*(VLOOKUP($B$5,标准坦克设计!$B$14:$K$20,9)/30))</f>
        <v>4.1592613806451189</v>
      </c>
      <c r="DO103" s="173">
        <f ca="1">(VLOOKUP(DO$72,INDIRECT($C$5&amp;"生成成长"),2))/((VLOOKUP($B103,INDIRECT($B$5&amp;"生成成长"),4))/(VLOOKUP(DO$72,INDIRECT($C$5&amp;"生成成长"),5))*(VLOOKUP($B$5,标准坦克设计!$B$24:$U$30,MATCH("对"&amp;LEFT($C$5,2)&amp;"输出",标准坦克设计!$B$23:$U$23,0)))*(VLOOKUP($B103,INDIRECT($B$5&amp;"生成成长"),3))*(VLOOKUP($B$5,标准坦克设计!$B$14:$K$20,9)/30))</f>
        <v>4.5737899582749373</v>
      </c>
      <c r="DP103" s="173">
        <f ca="1">(VLOOKUP(DP$72,INDIRECT($C$5&amp;"生成成长"),2))/((VLOOKUP($B103,INDIRECT($B$5&amp;"生成成长"),4))/(VLOOKUP(DP$72,INDIRECT($C$5&amp;"生成成长"),5))*(VLOOKUP($B$5,标准坦克设计!$B$24:$U$30,MATCH("对"&amp;LEFT($C$5,2)&amp;"输出",标准坦克设计!$B$23:$U$23,0)))*(VLOOKUP($B103,INDIRECT($B$5&amp;"生成成长"),3))*(VLOOKUP($B$5,标准坦克设计!$B$14:$K$20,9)/30))</f>
        <v>5.0080059089847975</v>
      </c>
      <c r="DQ103" s="173">
        <f ca="1">(VLOOKUP(DQ$72,INDIRECT($C$5&amp;"生成成长"),2))/((VLOOKUP($B103,INDIRECT($B$5&amp;"生成成长"),4))/(VLOOKUP(DQ$72,INDIRECT($C$5&amp;"生成成长"),5))*(VLOOKUP($B$5,标准坦克设计!$B$24:$U$30,MATCH("对"&amp;LEFT($C$5,2)&amp;"输出",标准坦克设计!$B$23:$U$23,0)))*(VLOOKUP($B103,INDIRECT($B$5&amp;"生成成长"),3))*(VLOOKUP($B$5,标准坦克设计!$B$14:$K$20,9)/30))</f>
        <v>5.4619092327747039</v>
      </c>
      <c r="DR103" s="173">
        <f ca="1">(VLOOKUP(DR$72,INDIRECT($C$5&amp;"生成成长"),2))/((VLOOKUP($B103,INDIRECT($B$5&amp;"生成成长"),4))/(VLOOKUP(DR$72,INDIRECT($C$5&amp;"生成成长"),5))*(VLOOKUP($B$5,标准坦克设计!$B$24:$U$30,MATCH("对"&amp;LEFT($C$5,2)&amp;"输出",标准坦克设计!$B$23:$U$23,0)))*(VLOOKUP($B103,INDIRECT($B$5&amp;"生成成长"),3))*(VLOOKUP($B$5,标准坦克设计!$B$14:$K$20,9)/30))</f>
        <v>5.9354999296446529</v>
      </c>
      <c r="DS103" s="173">
        <f ca="1">(VLOOKUP(DS$72,INDIRECT($C$5&amp;"生成成长"),2))/((VLOOKUP($B103,INDIRECT($B$5&amp;"生成成长"),4))/(VLOOKUP(DS$72,INDIRECT($C$5&amp;"生成成长"),5))*(VLOOKUP($B$5,标准坦克设计!$B$24:$U$30,MATCH("对"&amp;LEFT($C$5,2)&amp;"输出",标准坦克设计!$B$23:$U$23,0)))*(VLOOKUP($B103,INDIRECT($B$5&amp;"生成成长"),3))*(VLOOKUP($B$5,标准坦克设计!$B$14:$K$20,9)/30))</f>
        <v>6.4287779995946472</v>
      </c>
      <c r="DT103" s="173">
        <f ca="1">(VLOOKUP(DT$72,INDIRECT($C$5&amp;"生成成长"),2))/((VLOOKUP($B103,INDIRECT($B$5&amp;"生成成长"),4))/(VLOOKUP(DT$72,INDIRECT($C$5&amp;"生成成长"),5))*(VLOOKUP($B$5,标准坦克设计!$B$24:$U$30,MATCH("对"&amp;LEFT($C$5,2)&amp;"输出",标准坦克设计!$B$23:$U$23,0)))*(VLOOKUP($B103,INDIRECT($B$5&amp;"生成成长"),3))*(VLOOKUP($B$5,标准坦克设计!$B$14:$K$20,9)/30))</f>
        <v>7.0584093571730948</v>
      </c>
      <c r="DU103" s="173">
        <f ca="1">(VLOOKUP(DU$72,INDIRECT($C$5&amp;"生成成长"),2))/((VLOOKUP($B103,INDIRECT($B$5&amp;"生成成长"),4))/(VLOOKUP(DU$72,INDIRECT($C$5&amp;"生成成长"),5))*(VLOOKUP($B$5,标准坦克设计!$B$24:$U$30,MATCH("对"&amp;LEFT($C$5,2)&amp;"输出",标准坦克设计!$B$23:$U$23,0)))*(VLOOKUP($B103,INDIRECT($B$5&amp;"生成成长"),3))*(VLOOKUP($B$5,标准坦克设计!$B$14:$K$20,9)/30))</f>
        <v>7.717450247377287</v>
      </c>
      <c r="DV103" s="173">
        <f ca="1">(VLOOKUP(DV$72,INDIRECT($C$5&amp;"生成成长"),2))/((VLOOKUP($B103,INDIRECT($B$5&amp;"生成成长"),4))/(VLOOKUP(DV$72,INDIRECT($C$5&amp;"生成成长"),5))*(VLOOKUP($B$5,标准坦克设计!$B$24:$U$30,MATCH("对"&amp;LEFT($C$5,2)&amp;"输出",标准坦克设计!$B$23:$U$23,0)))*(VLOOKUP($B103,INDIRECT($B$5&amp;"生成成长"),3))*(VLOOKUP($B$5,标准坦克设计!$B$14:$K$20,9)/30))</f>
        <v>8.4059006702072221</v>
      </c>
      <c r="DW103" s="173">
        <f ca="1">(VLOOKUP(DW$72,INDIRECT($C$5&amp;"生成成长"),2))/((VLOOKUP($B103,INDIRECT($B$5&amp;"生成成长"),4))/(VLOOKUP(DW$72,INDIRECT($C$5&amp;"生成成长"),5))*(VLOOKUP($B$5,标准坦克设计!$B$24:$U$30,MATCH("对"&amp;LEFT($C$5,2)&amp;"输出",标准坦克设计!$B$23:$U$23,0)))*(VLOOKUP($B103,INDIRECT($B$5&amp;"生成成长"),3))*(VLOOKUP($B$5,标准坦克设计!$B$14:$K$20,9)/30))</f>
        <v>9.1237606256629089</v>
      </c>
      <c r="DX103" s="173">
        <f ca="1">(VLOOKUP(DX$72,INDIRECT($C$5&amp;"生成成长"),2))/((VLOOKUP($B103,INDIRECT($B$5&amp;"生成成长"),4))/(VLOOKUP(DX$72,INDIRECT($C$5&amp;"生成成长"),5))*(VLOOKUP($B$5,标准坦克设计!$B$24:$U$30,MATCH("对"&amp;LEFT($C$5,2)&amp;"输出",标准坦克设计!$B$23:$U$23,0)))*(VLOOKUP($B103,INDIRECT($B$5&amp;"生成成长"),3))*(VLOOKUP($B$5,标准坦克设计!$B$14:$K$20,9)/30))</f>
        <v>9.8710301137443324</v>
      </c>
      <c r="DY103" s="173">
        <f ca="1">(VLOOKUP(DY$72,INDIRECT($C$5&amp;"生成成长"),2))/((VLOOKUP($B103,INDIRECT($B$5&amp;"生成成长"),4))/(VLOOKUP(DY$72,INDIRECT($C$5&amp;"生成成长"),5))*(VLOOKUP($B$5,标准坦克设计!$B$24:$U$30,MATCH("对"&amp;LEFT($C$5,2)&amp;"输出",标准坦克设计!$B$23:$U$23,0)))*(VLOOKUP($B103,INDIRECT($B$5&amp;"生成成长"),3))*(VLOOKUP($B$5,标准坦克设计!$B$14:$K$20,9)/30))</f>
        <v>4.4334262798338813</v>
      </c>
      <c r="DZ103" s="173">
        <f ca="1">(VLOOKUP(DZ$72,INDIRECT($C$5&amp;"生成成长"),2))/((VLOOKUP($B103,INDIRECT($B$5&amp;"生成成长"),4))/(VLOOKUP(DZ$72,INDIRECT($C$5&amp;"生成成长"),5))*(VLOOKUP($B$5,标准坦克设计!$B$24:$U$30,MATCH("对"&amp;LEFT($C$5,2)&amp;"输出",标准坦克设计!$B$23:$U$23,0)))*(VLOOKUP($B103,INDIRECT($B$5&amp;"生成成长"),3))*(VLOOKUP($B$5,标准坦克设计!$B$14:$K$20,9)/30))</f>
        <v>4.9098120975732202</v>
      </c>
      <c r="EA103" s="173">
        <f ca="1">(VLOOKUP(EA$72,INDIRECT($C$5&amp;"生成成长"),2))/((VLOOKUP($B103,INDIRECT($B$5&amp;"生成成长"),4))/(VLOOKUP(EA$72,INDIRECT($C$5&amp;"生成成长"),5))*(VLOOKUP($B$5,标准坦克设计!$B$24:$U$30,MATCH("对"&amp;LEFT($C$5,2)&amp;"输出",标准坦克设计!$B$23:$U$23,0)))*(VLOOKUP($B103,INDIRECT($B$5&amp;"生成成长"),3))*(VLOOKUP($B$5,标准坦克设计!$B$14:$K$20,9)/30))</f>
        <v>5.410503314176812</v>
      </c>
      <c r="EB103" s="173">
        <f ca="1">(VLOOKUP(EB$72,INDIRECT($C$5&amp;"生成成长"),2))/((VLOOKUP($B103,INDIRECT($B$5&amp;"生成成长"),4))/(VLOOKUP(EB$72,INDIRECT($C$5&amp;"生成成长"),5))*(VLOOKUP($B$5,标准坦克设计!$B$24:$U$30,MATCH("对"&amp;LEFT($C$5,2)&amp;"输出",标准坦克设计!$B$23:$U$23,0)))*(VLOOKUP($B103,INDIRECT($B$5&amp;"生成成长"),3))*(VLOOKUP($B$5,标准坦克设计!$B$14:$K$20,9)/30))</f>
        <v>5.9354999296446529</v>
      </c>
      <c r="EC103" s="173">
        <f ca="1">(VLOOKUP(EC$72,INDIRECT($C$5&amp;"生成成长"),2))/((VLOOKUP($B103,INDIRECT($B$5&amp;"生成成长"),4))/(VLOOKUP(EC$72,INDIRECT($C$5&amp;"生成成长"),5))*(VLOOKUP($B$5,标准坦克设计!$B$24:$U$30,MATCH("对"&amp;LEFT($C$5,2)&amp;"输出",标准坦克设计!$B$23:$U$23,0)))*(VLOOKUP($B103,INDIRECT($B$5&amp;"生成成长"),3))*(VLOOKUP($B$5,标准坦克设计!$B$14:$K$20,9)/30))</f>
        <v>6.4848019439767484</v>
      </c>
      <c r="ED103" s="173">
        <f ca="1">(VLOOKUP(ED$72,INDIRECT($C$5&amp;"生成成长"),2))/((VLOOKUP($B103,INDIRECT($B$5&amp;"生成成长"),4))/(VLOOKUP(ED$72,INDIRECT($C$5&amp;"生成成长"),5))*(VLOOKUP($B$5,标准坦克设计!$B$24:$U$30,MATCH("对"&amp;LEFT($C$5,2)&amp;"输出",标准坦克设计!$B$23:$U$23,0)))*(VLOOKUP($B103,INDIRECT($B$5&amp;"生成成长"),3))*(VLOOKUP($B$5,标准坦克设计!$B$14:$K$20,9)/30))</f>
        <v>7.0584093571730948</v>
      </c>
      <c r="EE103" s="173">
        <f ca="1">(VLOOKUP(EE$72,INDIRECT($C$5&amp;"生成成长"),2))/((VLOOKUP($B103,INDIRECT($B$5&amp;"生成成长"),4))/(VLOOKUP(EE$72,INDIRECT($C$5&amp;"生成成长"),5))*(VLOOKUP($B$5,标准坦克设计!$B$24:$U$30,MATCH("对"&amp;LEFT($C$5,2)&amp;"输出",标准坦克设计!$B$23:$U$23,0)))*(VLOOKUP($B103,INDIRECT($B$5&amp;"生成成长"),3))*(VLOOKUP($B$5,标准坦克设计!$B$14:$K$20,9)/30))</f>
        <v>7.6563221692336931</v>
      </c>
      <c r="EF103" s="173">
        <f ca="1">(VLOOKUP(EF$72,INDIRECT($C$5&amp;"生成成长"),2))/((VLOOKUP($B103,INDIRECT($B$5&amp;"生成成长"),4))/(VLOOKUP(EF$72,INDIRECT($C$5&amp;"生成成长"),5))*(VLOOKUP($B$5,标准坦克设计!$B$24:$U$30,MATCH("对"&amp;LEFT($C$5,2)&amp;"输出",标准坦克设计!$B$23:$U$23,0)))*(VLOOKUP($B103,INDIRECT($B$5&amp;"生成成长"),3))*(VLOOKUP($B$5,标准坦克设计!$B$14:$K$20,9)/30))</f>
        <v>8.2785403801585442</v>
      </c>
      <c r="EG103" s="173">
        <f ca="1">(VLOOKUP(EG$72,INDIRECT($C$5&amp;"生成成长"),2))/((VLOOKUP($B103,INDIRECT($B$5&amp;"生成成长"),4))/(VLOOKUP(EG$72,INDIRECT($C$5&amp;"生成成长"),5))*(VLOOKUP($B$5,标准坦克设计!$B$24:$U$30,MATCH("对"&amp;LEFT($C$5,2)&amp;"输出",标准坦克设计!$B$23:$U$23,0)))*(VLOOKUP($B103,INDIRECT($B$5&amp;"生成成长"),3))*(VLOOKUP($B$5,标准坦克设计!$B$14:$K$20,9)/30))</f>
        <v>8.9250639899476454</v>
      </c>
      <c r="EH103" s="173">
        <f ca="1">(VLOOKUP(EH$72,INDIRECT($C$5&amp;"生成成长"),2))/((VLOOKUP($B103,INDIRECT($B$5&amp;"生成成长"),4))/(VLOOKUP(EH$72,INDIRECT($C$5&amp;"生成成长"),5))*(VLOOKUP($B$5,标准坦克设计!$B$24:$U$30,MATCH("对"&amp;LEFT($C$5,2)&amp;"输出",标准坦克设计!$B$23:$U$23,0)))*(VLOOKUP($B103,INDIRECT($B$5&amp;"生成成长"),3))*(VLOOKUP($B$5,标准坦克设计!$B$14:$K$20,9)/30))</f>
        <v>9.5958929986010002</v>
      </c>
      <c r="EI103" s="173">
        <f ca="1">(VLOOKUP(EI$72,INDIRECT($C$5&amp;"生成成长"),2))/((VLOOKUP($B103,INDIRECT($B$5&amp;"生成成长"),4))/(VLOOKUP(EI$72,INDIRECT($C$5&amp;"生成成长"),5))*(VLOOKUP($B$5,标准坦克设计!$B$24:$U$30,MATCH("对"&amp;LEFT($C$5,2)&amp;"输出",标准坦克设计!$B$23:$U$23,0)))*(VLOOKUP($B103,INDIRECT($B$5&amp;"生成成长"),3))*(VLOOKUP($B$5,标准坦克设计!$B$14:$K$20,9)/30))</f>
        <v>10.291027406118607</v>
      </c>
      <c r="EJ103" s="173">
        <f ca="1">(VLOOKUP(EJ$72,INDIRECT($C$5&amp;"生成成长"),2))/((VLOOKUP($B103,INDIRECT($B$5&amp;"生成成长"),4))/(VLOOKUP(EJ$72,INDIRECT($C$5&amp;"生成成长"),5))*(VLOOKUP($B$5,标准坦克设计!$B$24:$U$30,MATCH("对"&amp;LEFT($C$5,2)&amp;"输出",标准坦克设计!$B$23:$U$23,0)))*(VLOOKUP($B103,INDIRECT($B$5&amp;"生成成长"),3))*(VLOOKUP($B$5,标准坦克设计!$B$14:$K$20,9)/30))</f>
        <v>11.010467212500467</v>
      </c>
      <c r="EK103" s="173">
        <f ca="1">(VLOOKUP(EK$72,INDIRECT($C$5&amp;"生成成长"),2))/((VLOOKUP($B103,INDIRECT($B$5&amp;"生成成长"),4))/(VLOOKUP(EK$72,INDIRECT($C$5&amp;"生成成长"),5))*(VLOOKUP($B$5,标准坦克设计!$B$24:$U$30,MATCH("对"&amp;LEFT($C$5,2)&amp;"输出",标准坦克设计!$B$23:$U$23,0)))*(VLOOKUP($B103,INDIRECT($B$5&amp;"生成成长"),3))*(VLOOKUP($B$5,标准坦克设计!$B$14:$K$20,9)/30))</f>
        <v>11.905878106659509</v>
      </c>
      <c r="EL103" s="173">
        <f ca="1">(VLOOKUP(EL$72,INDIRECT($C$5&amp;"生成成长"),2))/((VLOOKUP($B103,INDIRECT($B$5&amp;"生成成长"),4))/(VLOOKUP(EL$72,INDIRECT($C$5&amp;"生成成长"),5))*(VLOOKUP($B$5,标准坦克设计!$B$24:$U$30,MATCH("对"&amp;LEFT($C$5,2)&amp;"输出",标准坦克设计!$B$23:$U$23,0)))*(VLOOKUP($B103,INDIRECT($B$5&amp;"生成成长"),3))*(VLOOKUP($B$5,标准坦克设计!$B$14:$K$20,9)/30))</f>
        <v>12.836288775183075</v>
      </c>
      <c r="EM103" s="173">
        <f ca="1">(VLOOKUP(EM$72,INDIRECT($C$5&amp;"生成成长"),2))/((VLOOKUP($B103,INDIRECT($B$5&amp;"生成成长"),4))/(VLOOKUP(EM$72,INDIRECT($C$5&amp;"生成成长"),5))*(VLOOKUP($B$5,标准坦克设计!$B$24:$U$30,MATCH("对"&amp;LEFT($C$5,2)&amp;"输出",标准坦克设计!$B$23:$U$23,0)))*(VLOOKUP($B103,INDIRECT($B$5&amp;"生成成长"),3))*(VLOOKUP($B$5,标准坦克设计!$B$14:$K$20,9)/30))</f>
        <v>13.801699218071162</v>
      </c>
      <c r="EN103" s="173">
        <f ca="1">(VLOOKUP(EN$72,INDIRECT($C$5&amp;"生成成长"),2))/((VLOOKUP($B103,INDIRECT($B$5&amp;"生成成长"),4))/(VLOOKUP(EN$72,INDIRECT($C$5&amp;"生成成长"),5))*(VLOOKUP($B$5,标准坦克设计!$B$24:$U$30,MATCH("对"&amp;LEFT($C$5,2)&amp;"输出",标准坦克设计!$B$23:$U$23,0)))*(VLOOKUP($B103,INDIRECT($B$5&amp;"生成成长"),3))*(VLOOKUP($B$5,标准坦克设计!$B$14:$K$20,9)/30))</f>
        <v>14.802109435323775</v>
      </c>
      <c r="EO103" s="173">
        <f ca="1">(VLOOKUP(EO$72,INDIRECT($C$5&amp;"生成成长"),2))/((VLOOKUP($B103,INDIRECT($B$5&amp;"生成成长"),4))/(VLOOKUP(EO$72,INDIRECT($C$5&amp;"生成成长"),5))*(VLOOKUP($B$5,标准坦克设计!$B$24:$U$30,MATCH("对"&amp;LEFT($C$5,2)&amp;"输出",标准坦克设计!$B$23:$U$23,0)))*(VLOOKUP($B103,INDIRECT($B$5&amp;"生成成长"),3))*(VLOOKUP($B$5,标准坦克设计!$B$14:$K$20,9)/30))</f>
        <v>15.83751942694091</v>
      </c>
      <c r="EP103" s="173">
        <f ca="1">(VLOOKUP(EP$72,INDIRECT($C$5&amp;"生成成长"),2))/((VLOOKUP($B103,INDIRECT($B$5&amp;"生成成长"),4))/(VLOOKUP(EP$72,INDIRECT($C$5&amp;"生成成长"),5))*(VLOOKUP($B$5,标准坦克设计!$B$24:$U$30,MATCH("对"&amp;LEFT($C$5,2)&amp;"输出",标准坦克设计!$B$23:$U$23,0)))*(VLOOKUP($B103,INDIRECT($B$5&amp;"生成成长"),3))*(VLOOKUP($B$5,标准坦克设计!$B$14:$K$20,9)/30))</f>
        <v>16.907929192922566</v>
      </c>
      <c r="EQ103" s="173">
        <f ca="1">(VLOOKUP(EQ$72,INDIRECT($C$5&amp;"生成成长"),2))/((VLOOKUP($B103,INDIRECT($B$5&amp;"生成成长"),4))/(VLOOKUP(EQ$72,INDIRECT($C$5&amp;"生成成长"),5))*(VLOOKUP($B$5,标准坦克设计!$B$24:$U$30,MATCH("对"&amp;LEFT($C$5,2)&amp;"输出",标准坦克设计!$B$23:$U$23,0)))*(VLOOKUP($B103,INDIRECT($B$5&amp;"生成成长"),3))*(VLOOKUP($B$5,标准坦克设计!$B$14:$K$20,9)/30))</f>
        <v>7.4743962587347674</v>
      </c>
      <c r="ER103" s="173">
        <f ca="1">(VLOOKUP(ER$72,INDIRECT($C$5&amp;"生成成长"),2))/((VLOOKUP($B103,INDIRECT($B$5&amp;"生成成长"),4))/(VLOOKUP(ER$72,INDIRECT($C$5&amp;"生成成长"),5))*(VLOOKUP($B$5,标准坦克设计!$B$24:$U$30,MATCH("对"&amp;LEFT($C$5,2)&amp;"输出",标准坦克设计!$B$23:$U$23,0)))*(VLOOKUP($B103,INDIRECT($B$5&amp;"生成成长"),3))*(VLOOKUP($B$5,标准坦克设计!$B$14:$K$20,9)/30))</f>
        <v>8.1521523060644334</v>
      </c>
      <c r="ES103" s="173">
        <f ca="1">(VLOOKUP(ES$72,INDIRECT($C$5&amp;"生成成长"),2))/((VLOOKUP($B103,INDIRECT($B$5&amp;"生成成长"),4))/(VLOOKUP(ES$72,INDIRECT($C$5&amp;"生成成长"),5))*(VLOOKUP($B$5,标准坦克设计!$B$24:$U$30,MATCH("对"&amp;LEFT($C$5,2)&amp;"输出",标准坦克设计!$B$23:$U$23,0)))*(VLOOKUP($B103,INDIRECT($B$5&amp;"生成成长"),3))*(VLOOKUP($B$5,标准坦克设计!$B$14:$K$20,9)/30))</f>
        <v>8.8593178860198449</v>
      </c>
      <c r="ET103" s="173">
        <f ca="1">(VLOOKUP(ET$72,INDIRECT($C$5&amp;"生成成长"),2))/((VLOOKUP($B103,INDIRECT($B$5&amp;"生成成长"),4))/(VLOOKUP(ET$72,INDIRECT($C$5&amp;"生成成长"),5))*(VLOOKUP($B$5,标准坦克设计!$B$24:$U$30,MATCH("对"&amp;LEFT($C$5,2)&amp;"输出",标准坦克设计!$B$23:$U$23,0)))*(VLOOKUP($B103,INDIRECT($B$5&amp;"生成成长"),3))*(VLOOKUP($B$5,标准坦克设计!$B$14:$K$20,9)/30))</f>
        <v>9.5958929986010002</v>
      </c>
      <c r="EU103" s="173">
        <f ca="1">(VLOOKUP(EU$72,INDIRECT($C$5&amp;"生成成长"),2))/((VLOOKUP($B103,INDIRECT($B$5&amp;"生成成长"),4))/(VLOOKUP(EU$72,INDIRECT($C$5&amp;"生成成长"),5))*(VLOOKUP($B$5,标准坦克设计!$B$24:$U$30,MATCH("对"&amp;LEFT($C$5,2)&amp;"输出",标准坦克设计!$B$23:$U$23,0)))*(VLOOKUP($B103,INDIRECT($B$5&amp;"生成成长"),3))*(VLOOKUP($B$5,标准坦克设计!$B$14:$K$20,9)/30))</f>
        <v>10.361877643807903</v>
      </c>
      <c r="EV103" s="173">
        <f ca="1">(VLOOKUP(EV$72,INDIRECT($C$5&amp;"生成成长"),2))/((VLOOKUP($B103,INDIRECT($B$5&amp;"生成成长"),4))/(VLOOKUP(EV$72,INDIRECT($C$5&amp;"生成成长"),5))*(VLOOKUP($B$5,标准坦克设计!$B$24:$U$30,MATCH("对"&amp;LEFT($C$5,2)&amp;"输出",标准坦克设计!$B$23:$U$23,0)))*(VLOOKUP($B103,INDIRECT($B$5&amp;"生成成长"),3))*(VLOOKUP($B$5,标准坦克设计!$B$14:$K$20,9)/30))</f>
        <v>11.157271821640549</v>
      </c>
      <c r="EW103" s="173">
        <f ca="1">(VLOOKUP(EW$72,INDIRECT($C$5&amp;"生成成长"),2))/((VLOOKUP($B103,INDIRECT($B$5&amp;"生成成长"),4))/(VLOOKUP(EW$72,INDIRECT($C$5&amp;"生成成长"),5))*(VLOOKUP($B$5,标准坦克设计!$B$24:$U$30,MATCH("对"&amp;LEFT($C$5,2)&amp;"输出",标准坦克设计!$B$23:$U$23,0)))*(VLOOKUP($B103,INDIRECT($B$5&amp;"生成成长"),3))*(VLOOKUP($B$5,标准坦克设计!$B$14:$K$20,9)/30))</f>
        <v>11.982075532098937</v>
      </c>
      <c r="EX103" s="173">
        <f ca="1">(VLOOKUP(EX$72,INDIRECT($C$5&amp;"生成成长"),2))/((VLOOKUP($B103,INDIRECT($B$5&amp;"生成成长"),4))/(VLOOKUP(EX$72,INDIRECT($C$5&amp;"生成成长"),5))*(VLOOKUP($B$5,标准坦克设计!$B$24:$U$30,MATCH("对"&amp;LEFT($C$5,2)&amp;"输出",标准坦克设计!$B$23:$U$23,0)))*(VLOOKUP($B103,INDIRECT($B$5&amp;"生成成长"),3))*(VLOOKUP($B$5,标准坦克设计!$B$14:$K$20,9)/30))</f>
        <v>12.836288775183075</v>
      </c>
      <c r="EY103" s="173">
        <f ca="1">(VLOOKUP(EY$72,INDIRECT($C$5&amp;"生成成长"),2))/((VLOOKUP($B103,INDIRECT($B$5&amp;"生成成长"),4))/(VLOOKUP(EY$72,INDIRECT($C$5&amp;"生成成长"),5))*(VLOOKUP($B$5,标准坦克设计!$B$24:$U$30,MATCH("对"&amp;LEFT($C$5,2)&amp;"输出",标准坦克设计!$B$23:$U$23,0)))*(VLOOKUP($B103,INDIRECT($B$5&amp;"生成成长"),3))*(VLOOKUP($B$5,标准坦克设计!$B$14:$K$20,9)/30))</f>
        <v>13.719911550892954</v>
      </c>
      <c r="EZ103" s="173">
        <f ca="1">(VLOOKUP(EZ$72,INDIRECT($C$5&amp;"生成成长"),2))/((VLOOKUP($B103,INDIRECT($B$5&amp;"生成成长"),4))/(VLOOKUP(EZ$72,INDIRECT($C$5&amp;"生成成长"),5))*(VLOOKUP($B$5,标准坦克设计!$B$24:$U$30,MATCH("对"&amp;LEFT($C$5,2)&amp;"输出",标准坦克设计!$B$23:$U$23,0)))*(VLOOKUP($B103,INDIRECT($B$5&amp;"生成成长"),3))*(VLOOKUP($B$5,标准坦克设计!$B$14:$K$20,9)/30))</f>
        <v>14.632943859228579</v>
      </c>
      <c r="FA103" s="173">
        <f ca="1">(VLOOKUP(FA$72,INDIRECT($C$5&amp;"生成成长"),2))/((VLOOKUP($B103,INDIRECT($B$5&amp;"生成成长"),4))/(VLOOKUP(FA$72,INDIRECT($C$5&amp;"生成成长"),5))*(VLOOKUP($B$5,标准坦克设计!$B$24:$U$30,MATCH("对"&amp;LEFT($C$5,2)&amp;"输出",标准坦克设计!$B$23:$U$23,0)))*(VLOOKUP($B103,INDIRECT($B$5&amp;"生成成长"),3))*(VLOOKUP($B$5,标准坦克设计!$B$14:$K$20,9)/30))</f>
        <v>15.575385700189949</v>
      </c>
      <c r="FB103" s="173">
        <f ca="1">(VLOOKUP(FB$72,INDIRECT($C$5&amp;"生成成长"),2))/((VLOOKUP($B103,INDIRECT($B$5&amp;"生成成长"),4))/(VLOOKUP(FB$72,INDIRECT($C$5&amp;"生成成长"),5))*(VLOOKUP($B$5,标准坦克设计!$B$24:$U$30,MATCH("对"&amp;LEFT($C$5,2)&amp;"输出",标准坦克设计!$B$23:$U$23,0)))*(VLOOKUP($B103,INDIRECT($B$5&amp;"生成成长"),3))*(VLOOKUP($B$5,标准坦克设计!$B$14:$K$20,9)/30))</f>
        <v>16.547237073777065</v>
      </c>
      <c r="FC103" s="173">
        <f ca="1">(VLOOKUP(FC$72,INDIRECT($C$5&amp;"生成成长"),2))/((VLOOKUP($B103,INDIRECT($B$5&amp;"生成成长"),4))/(VLOOKUP(FC$72,INDIRECT($C$5&amp;"生成成长"),5))*(VLOOKUP($B$5,标准坦克设计!$B$24:$U$30,MATCH("对"&amp;LEFT($C$5,2)&amp;"输出",标准坦克设计!$B$23:$U$23,0)))*(VLOOKUP($B103,INDIRECT($B$5&amp;"生成成长"),3))*(VLOOKUP($B$5,标准坦克设计!$B$14:$K$20,9)/30))</f>
        <v>17.548497979989925</v>
      </c>
      <c r="FD103" s="173">
        <f ca="1">(VLOOKUP(FD$72,INDIRECT($C$5&amp;"生成成长"),2))/((VLOOKUP($B103,INDIRECT($B$5&amp;"生成成长"),4))/(VLOOKUP(FD$72,INDIRECT($C$5&amp;"生成成长"),5))*(VLOOKUP($B$5,标准坦克设计!$B$24:$U$30,MATCH("对"&amp;LEFT($C$5,2)&amp;"输出",标准坦克设计!$B$23:$U$23,0)))*(VLOOKUP($B103,INDIRECT($B$5&amp;"生成成长"),3))*(VLOOKUP($B$5,标准坦克设计!$B$14:$K$20,9)/30))</f>
        <v>18.57916841882853</v>
      </c>
      <c r="FE103" s="173">
        <f ca="1">(VLOOKUP(FE$72,INDIRECT($C$5&amp;"生成成长"),2))/((VLOOKUP($B103,INDIRECT($B$5&amp;"生成成长"),4))/(VLOOKUP(FE$72,INDIRECT($C$5&amp;"生成成长"),5))*(VLOOKUP($B$5,标准坦克设计!$B$24:$U$30,MATCH("对"&amp;LEFT($C$5,2)&amp;"输出",标准坦克设计!$B$23:$U$23,0)))*(VLOOKUP($B103,INDIRECT($B$5&amp;"生成成长"),3))*(VLOOKUP($B$5,标准坦克设计!$B$14:$K$20,9)/30))</f>
        <v>19.835149905138749</v>
      </c>
      <c r="FF103" s="173">
        <f ca="1">(VLOOKUP(FF$72,INDIRECT($C$5&amp;"生成成长"),2))/((VLOOKUP($B103,INDIRECT($B$5&amp;"生成成长"),4))/(VLOOKUP(FF$72,INDIRECT($C$5&amp;"生成成长"),5))*(VLOOKUP($B$5,标准坦克设计!$B$24:$U$30,MATCH("对"&amp;LEFT($C$5,2)&amp;"输出",标准坦克设计!$B$23:$U$23,0)))*(VLOOKUP($B103,INDIRECT($B$5&amp;"生成成长"),3))*(VLOOKUP($B$5,标准坦克设计!$B$14:$K$20,9)/30))</f>
        <v>21.132207515529558</v>
      </c>
      <c r="FG103" s="173">
        <f ca="1">(VLOOKUP(FG$72,INDIRECT($C$5&amp;"生成成长"),2))/((VLOOKUP($B103,INDIRECT($B$5&amp;"生成成长"),4))/(VLOOKUP(FG$72,INDIRECT($C$5&amp;"生成成长"),5))*(VLOOKUP($B$5,标准坦克设计!$B$24:$U$30,MATCH("对"&amp;LEFT($C$5,2)&amp;"输出",标准坦克设计!$B$23:$U$23,0)))*(VLOOKUP($B103,INDIRECT($B$5&amp;"生成成长"),3))*(VLOOKUP($B$5,标准坦克设计!$B$14:$K$20,9)/30))</f>
        <v>22.470341250000953</v>
      </c>
      <c r="FH103" s="173">
        <f ca="1">(VLOOKUP(FH$72,INDIRECT($C$5&amp;"生成成长"),2))/((VLOOKUP($B103,INDIRECT($B$5&amp;"生成成长"),4))/(VLOOKUP(FH$72,INDIRECT($C$5&amp;"生成成长"),5))*(VLOOKUP($B$5,标准坦克设计!$B$24:$U$30,MATCH("对"&amp;LEFT($C$5,2)&amp;"输出",标准坦克设计!$B$23:$U$23,0)))*(VLOOKUP($B103,INDIRECT($B$5&amp;"生成成长"),3))*(VLOOKUP($B$5,标准坦克设计!$B$14:$K$20,9)/30))</f>
        <v>23.849551108552927</v>
      </c>
      <c r="FI103" s="173">
        <f ca="1">(VLOOKUP(FI$72,INDIRECT($C$5&amp;"生成成长"),2))/((VLOOKUP($B103,INDIRECT($B$5&amp;"生成成长"),4))/(VLOOKUP(FI$72,INDIRECT($C$5&amp;"生成成长"),5))*(VLOOKUP($B$5,标准坦克设计!$B$24:$U$30,MATCH("对"&amp;LEFT($C$5,2)&amp;"输出",标准坦克设计!$B$23:$U$23,0)))*(VLOOKUP($B103,INDIRECT($B$5&amp;"生成成长"),3))*(VLOOKUP($B$5,标准坦克设计!$B$14:$K$20,9)/30))</f>
        <v>25.269837091185494</v>
      </c>
      <c r="FJ103" s="173">
        <f ca="1">(VLOOKUP(FJ$72,INDIRECT($C$5&amp;"生成成长"),2))/((VLOOKUP($B103,INDIRECT($B$5&amp;"生成成长"),4))/(VLOOKUP(FJ$72,INDIRECT($C$5&amp;"生成成长"),5))*(VLOOKUP($B$5,标准坦克设计!$B$24:$U$30,MATCH("对"&amp;LEFT($C$5,2)&amp;"输出",标准坦克设计!$B$23:$U$23,0)))*(VLOOKUP($B103,INDIRECT($B$5&amp;"生成成长"),3))*(VLOOKUP($B$5,标准坦克设计!$B$14:$K$20,9)/30))</f>
        <v>26.731199197898643</v>
      </c>
      <c r="FK103" s="173">
        <f ca="1">(VLOOKUP(FK$72,INDIRECT($C$5&amp;"生成成长"),2))/((VLOOKUP($B103,INDIRECT($B$5&amp;"生成成长"),4))/(VLOOKUP(FK$72,INDIRECT($C$5&amp;"生成成长"),5))*(VLOOKUP($B$5,标准坦克设计!$B$24:$U$30,MATCH("对"&amp;LEFT($C$5,2)&amp;"输出",标准坦克设计!$B$23:$U$23,0)))*(VLOOKUP($B103,INDIRECT($B$5&amp;"生成成长"),3))*(VLOOKUP($B$5,标准坦克设计!$B$14:$K$20,9)/30))</f>
        <v>28.233637428692379</v>
      </c>
    </row>
    <row r="104" spans="1:167" x14ac:dyDescent="0.15">
      <c r="A104" s="171" t="str">
        <f t="shared" si="11"/>
        <v>T4低品质11级</v>
      </c>
      <c r="B104" s="172">
        <v>10411</v>
      </c>
      <c r="C104" s="173">
        <f ca="1">(VLOOKUP(C$72,INDIRECT($C$5&amp;"生成成长"),2))/((VLOOKUP($B104,INDIRECT($B$5&amp;"生成成长"),4))/(VLOOKUP(C$72,INDIRECT($C$5&amp;"生成成长"),5))*(VLOOKUP($B$5,标准坦克设计!$B$24:$U$30,MATCH("对"&amp;LEFT($C$5,2)&amp;"输出",标准坦克设计!$B$23:$U$23,0)))*(VLOOKUP($B104,INDIRECT($B$5&amp;"生成成长"),3))*(VLOOKUP($B$5,标准坦克设计!$B$14:$K$20,9)/30))</f>
        <v>1.1308292223076799</v>
      </c>
      <c r="D104" s="173">
        <f ca="1">(VLOOKUP(D$72,INDIRECT($C$5&amp;"生成成长"),2))/((VLOOKUP($B104,INDIRECT($B$5&amp;"生成成长"),4))/(VLOOKUP(D$72,INDIRECT($C$5&amp;"生成成长"),5))*(VLOOKUP($B$5,标准坦克设计!$B$24:$U$30,MATCH("对"&amp;LEFT($C$5,2)&amp;"输出",标准坦克设计!$B$23:$U$23,0)))*(VLOOKUP($B104,INDIRECT($B$5&amp;"生成成长"),3))*(VLOOKUP($B$5,标准坦克设计!$B$14:$K$20,9)/30))</f>
        <v>1.2705997141849092</v>
      </c>
      <c r="E104" s="173">
        <f ca="1">(VLOOKUP(E$72,INDIRECT($C$5&amp;"生成成长"),2))/((VLOOKUP($B104,INDIRECT($B$5&amp;"生成成长"),4))/(VLOOKUP(E$72,INDIRECT($C$5&amp;"生成成长"),5))*(VLOOKUP($B$5,标准坦克设计!$B$24:$U$30,MATCH("对"&amp;LEFT($C$5,2)&amp;"输出",标准坦克设计!$B$23:$U$23,0)))*(VLOOKUP($B104,INDIRECT($B$5&amp;"生成成长"),3))*(VLOOKUP($B$5,标准坦克设计!$B$14:$K$20,9)/30))</f>
        <v>1.418512176462754</v>
      </c>
      <c r="F104" s="173">
        <f ca="1">(VLOOKUP(F$72,INDIRECT($C$5&amp;"生成成长"),2))/((VLOOKUP($B104,INDIRECT($B$5&amp;"生成成长"),4))/(VLOOKUP(F$72,INDIRECT($C$5&amp;"生成成长"),5))*(VLOOKUP($B$5,标准坦克设计!$B$24:$U$30,MATCH("对"&amp;LEFT($C$5,2)&amp;"输出",标准坦克设计!$B$23:$U$23,0)))*(VLOOKUP($B104,INDIRECT($B$5&amp;"生成成长"),3))*(VLOOKUP($B$5,标准坦克设计!$B$14:$K$20,9)/30))</f>
        <v>1.574566609141214</v>
      </c>
      <c r="G104" s="173">
        <f ca="1">(VLOOKUP(G$72,INDIRECT($C$5&amp;"生成成长"),2))/((VLOOKUP($B104,INDIRECT($B$5&amp;"生成成长"),4))/(VLOOKUP(G$72,INDIRECT($C$5&amp;"生成成长"),5))*(VLOOKUP($B$5,标准坦克设计!$B$24:$U$30,MATCH("对"&amp;LEFT($C$5,2)&amp;"输出",标准坦克设计!$B$23:$U$23,0)))*(VLOOKUP($B104,INDIRECT($B$5&amp;"生成成长"),3))*(VLOOKUP($B$5,标准坦克设计!$B$14:$K$20,9)/30))</f>
        <v>1.7387630122202886</v>
      </c>
      <c r="H104" s="173">
        <f ca="1">(VLOOKUP(H$72,INDIRECT($C$5&amp;"生成成长"),2))/((VLOOKUP($B104,INDIRECT($B$5&amp;"生成成长"),4))/(VLOOKUP(H$72,INDIRECT($C$5&amp;"生成成长"),5))*(VLOOKUP($B$5,标准坦克设计!$B$24:$U$30,MATCH("对"&amp;LEFT($C$5,2)&amp;"输出",标准坦克设计!$B$23:$U$23,0)))*(VLOOKUP($B104,INDIRECT($B$5&amp;"生成成长"),3))*(VLOOKUP($B$5,标准坦克设计!$B$14:$K$20,9)/30))</f>
        <v>1.5216438015372142</v>
      </c>
      <c r="I104" s="173">
        <f ca="1">(VLOOKUP(I$72,INDIRECT($C$5&amp;"生成成长"),2))/((VLOOKUP($B104,INDIRECT($B$5&amp;"生成成长"),4))/(VLOOKUP(I$72,INDIRECT($C$5&amp;"生成成长"),5))*(VLOOKUP($B$5,标准坦克设计!$B$24:$U$30,MATCH("对"&amp;LEFT($C$5,2)&amp;"输出",标准坦克设计!$B$23:$U$23,0)))*(VLOOKUP($B104,INDIRECT($B$5&amp;"生成成长"),3))*(VLOOKUP($B$5,标准坦克设计!$B$14:$K$20,9)/30))</f>
        <v>1.7387630122202886</v>
      </c>
      <c r="J104" s="173">
        <f ca="1">(VLOOKUP(J$72,INDIRECT($C$5&amp;"生成成长"),2))/((VLOOKUP($B104,INDIRECT($B$5&amp;"生成成长"),4))/(VLOOKUP(J$72,INDIRECT($C$5&amp;"生成成长"),5))*(VLOOKUP($B$5,标准坦克设计!$B$24:$U$30,MATCH("对"&amp;LEFT($C$5,2)&amp;"输出",标准坦克设计!$B$23:$U$23,0)))*(VLOOKUP($B104,INDIRECT($B$5&amp;"生成成长"),3))*(VLOOKUP($B$5,标准坦克设计!$B$14:$K$20,9)/30))</f>
        <v>1.9703568369489015</v>
      </c>
      <c r="K104" s="173">
        <f ca="1">(VLOOKUP(K$72,INDIRECT($C$5&amp;"生成成长"),2))/((VLOOKUP($B104,INDIRECT($B$5&amp;"生成成长"),4))/(VLOOKUP(K$72,INDIRECT($C$5&amp;"生成成长"),5))*(VLOOKUP($B$5,标准坦克设计!$B$24:$U$30,MATCH("对"&amp;LEFT($C$5,2)&amp;"输出",标准坦克设计!$B$23:$U$23,0)))*(VLOOKUP($B104,INDIRECT($B$5&amp;"生成成长"),3))*(VLOOKUP($B$5,标准坦克设计!$B$14:$K$20,9)/30))</f>
        <v>2.2164252757230529</v>
      </c>
      <c r="L104" s="173">
        <f ca="1">(VLOOKUP(L$72,INDIRECT($C$5&amp;"生成成长"),2))/((VLOOKUP($B104,INDIRECT($B$5&amp;"生成成长"),4))/(VLOOKUP(L$72,INDIRECT($C$5&amp;"生成成长"),5))*(VLOOKUP($B$5,标准坦克设计!$B$24:$U$30,MATCH("对"&amp;LEFT($C$5,2)&amp;"输出",标准坦克设计!$B$23:$U$23,0)))*(VLOOKUP($B104,INDIRECT($B$5&amp;"生成成长"),3))*(VLOOKUP($B$5,标准坦克设计!$B$14:$K$20,9)/30))</f>
        <v>2.4769683285427422</v>
      </c>
      <c r="M104" s="173">
        <f ca="1">(VLOOKUP(M$72,INDIRECT($C$5&amp;"生成成长"),2))/((VLOOKUP($B104,INDIRECT($B$5&amp;"生成成长"),4))/(VLOOKUP(M$72,INDIRECT($C$5&amp;"生成成长"),5))*(VLOOKUP($B$5,标准坦克设计!$B$24:$U$30,MATCH("对"&amp;LEFT($C$5,2)&amp;"输出",标准坦克设计!$B$23:$U$23,0)))*(VLOOKUP($B104,INDIRECT($B$5&amp;"生成成长"),3))*(VLOOKUP($B$5,标准坦克设计!$B$14:$K$20,9)/30))</f>
        <v>2.7519859954079702</v>
      </c>
      <c r="N104" s="173">
        <f ca="1">(VLOOKUP(N$72,INDIRECT($C$5&amp;"生成成长"),2))/((VLOOKUP($B104,INDIRECT($B$5&amp;"生成成长"),4))/(VLOOKUP(N$72,INDIRECT($C$5&amp;"生成成长"),5))*(VLOOKUP($B$5,标准坦克设计!$B$24:$U$30,MATCH("对"&amp;LEFT($C$5,2)&amp;"输出",标准坦克设计!$B$23:$U$23,0)))*(VLOOKUP($B104,INDIRECT($B$5&amp;"生成成长"),3))*(VLOOKUP($B$5,标准坦克设计!$B$14:$K$20,9)/30))</f>
        <v>3.0414782763187365</v>
      </c>
      <c r="O104" s="173">
        <f ca="1">(VLOOKUP(O$72,INDIRECT($C$5&amp;"生成成长"),2))/((VLOOKUP($B104,INDIRECT($B$5&amp;"生成成长"),4))/(VLOOKUP(O$72,INDIRECT($C$5&amp;"生成成长"),5))*(VLOOKUP($B$5,标准坦克设计!$B$24:$U$30,MATCH("对"&amp;LEFT($C$5,2)&amp;"输出",标准坦克设计!$B$23:$U$23,0)))*(VLOOKUP($B104,INDIRECT($B$5&amp;"生成成长"),3))*(VLOOKUP($B$5,标准坦克设计!$B$14:$K$20,9)/30))</f>
        <v>2.3124326766969752</v>
      </c>
      <c r="P104" s="173">
        <f ca="1">(VLOOKUP(P$72,INDIRECT($C$5&amp;"生成成长"),2))/((VLOOKUP($B104,INDIRECT($B$5&amp;"生成成长"),4))/(VLOOKUP(P$72,INDIRECT($C$5&amp;"生成成长"),5))*(VLOOKUP($B$5,标准坦克设计!$B$24:$U$30,MATCH("对"&amp;LEFT($C$5,2)&amp;"输出",标准坦克设计!$B$23:$U$23,0)))*(VLOOKUP($B104,INDIRECT($B$5&amp;"生成成长"),3))*(VLOOKUP($B$5,标准坦克设计!$B$14:$K$20,9)/30))</f>
        <v>2.6126678352196642</v>
      </c>
      <c r="Q104" s="173">
        <f ca="1">(VLOOKUP(Q$72,INDIRECT($C$5&amp;"生成成长"),2))/((VLOOKUP($B104,INDIRECT($B$5&amp;"生成成长"),4))/(VLOOKUP(Q$72,INDIRECT($C$5&amp;"生成成长"),5))*(VLOOKUP($B$5,标准坦克设计!$B$24:$U$30,MATCH("对"&amp;LEFT($C$5,2)&amp;"输出",标准坦克设计!$B$23:$U$23,0)))*(VLOOKUP($B104,INDIRECT($B$5&amp;"生成成长"),3))*(VLOOKUP($B$5,标准坦克设计!$B$14:$K$20,9)/30))</f>
        <v>2.9312224271437377</v>
      </c>
      <c r="R104" s="173">
        <f ca="1">(VLOOKUP(R$72,INDIRECT($C$5&amp;"生成成长"),2))/((VLOOKUP($B104,INDIRECT($B$5&amp;"生成成长"),4))/(VLOOKUP(R$72,INDIRECT($C$5&amp;"生成成长"),5))*(VLOOKUP($B$5,标准坦克设计!$B$24:$U$30,MATCH("对"&amp;LEFT($C$5,2)&amp;"输出",标准坦克设计!$B$23:$U$23,0)))*(VLOOKUP($B104,INDIRECT($B$5&amp;"生成成长"),3))*(VLOOKUP($B$5,标准坦克设计!$B$14:$K$20,9)/30))</f>
        <v>3.2680964524691949</v>
      </c>
      <c r="S104" s="173">
        <f ca="1">(VLOOKUP(S$72,INDIRECT($C$5&amp;"生成成长"),2))/((VLOOKUP($B104,INDIRECT($B$5&amp;"生成成长"),4))/(VLOOKUP(S$72,INDIRECT($C$5&amp;"生成成长"),5))*(VLOOKUP($B$5,标准坦克设计!$B$24:$U$30,MATCH("对"&amp;LEFT($C$5,2)&amp;"输出",标准坦克设计!$B$23:$U$23,0)))*(VLOOKUP($B104,INDIRECT($B$5&amp;"生成成长"),3))*(VLOOKUP($B$5,标准坦克设计!$B$14:$K$20,9)/30))</f>
        <v>3.6232899111960375</v>
      </c>
      <c r="T104" s="173">
        <f ca="1">(VLOOKUP(T$72,INDIRECT($C$5&amp;"生成成长"),2))/((VLOOKUP($B104,INDIRECT($B$5&amp;"生成成长"),4))/(VLOOKUP(T$72,INDIRECT($C$5&amp;"生成成长"),5))*(VLOOKUP($B$5,标准坦克设计!$B$24:$U$30,MATCH("对"&amp;LEFT($C$5,2)&amp;"输出",标准坦克设计!$B$23:$U$23,0)))*(VLOOKUP($B104,INDIRECT($B$5&amp;"生成成长"),3))*(VLOOKUP($B$5,标准坦克设计!$B$14:$K$20,9)/30))</f>
        <v>3.9968028033242642</v>
      </c>
      <c r="U104" s="173">
        <f ca="1">(VLOOKUP(U$72,INDIRECT($C$5&amp;"生成成长"),2))/((VLOOKUP($B104,INDIRECT($B$5&amp;"生成成长"),4))/(VLOOKUP(U$72,INDIRECT($C$5&amp;"生成成长"),5))*(VLOOKUP($B$5,标准坦克设计!$B$24:$U$30,MATCH("对"&amp;LEFT($C$5,2)&amp;"输出",标准坦克设计!$B$23:$U$23,0)))*(VLOOKUP($B104,INDIRECT($B$5&amp;"生成成长"),3))*(VLOOKUP($B$5,标准坦克设计!$B$14:$K$20,9)/30))</f>
        <v>4.3886351288538759</v>
      </c>
      <c r="V104" s="173">
        <f ca="1">(VLOOKUP(V$72,INDIRECT($C$5&amp;"生成成长"),2))/((VLOOKUP($B104,INDIRECT($B$5&amp;"生成成长"),4))/(VLOOKUP(V$72,INDIRECT($C$5&amp;"生成成长"),5))*(VLOOKUP($B$5,标准坦克设计!$B$24:$U$30,MATCH("对"&amp;LEFT($C$5,2)&amp;"输出",标准坦克设计!$B$23:$U$23,0)))*(VLOOKUP($B104,INDIRECT($B$5&amp;"生成成长"),3))*(VLOOKUP($B$5,标准坦克设计!$B$14:$K$20,9)/30))</f>
        <v>4.7987868877848712</v>
      </c>
      <c r="W104" s="173">
        <f ca="1">(VLOOKUP(W$72,INDIRECT($C$5&amp;"生成成长"),2))/((VLOOKUP($B104,INDIRECT($B$5&amp;"生成成长"),4))/(VLOOKUP(W$72,INDIRECT($C$5&amp;"生成成长"),5))*(VLOOKUP($B$5,标准坦克设计!$B$24:$U$30,MATCH("对"&amp;LEFT($C$5,2)&amp;"输出",标准坦克设计!$B$23:$U$23,0)))*(VLOOKUP($B104,INDIRECT($B$5&amp;"生成成长"),3))*(VLOOKUP($B$5,标准坦克设计!$B$14:$K$20,9)/30))</f>
        <v>5.2272580801172515</v>
      </c>
      <c r="X104" s="173">
        <f ca="1">(VLOOKUP(X$72,INDIRECT($C$5&amp;"生成成长"),2))/((VLOOKUP($B104,INDIRECT($B$5&amp;"生成成长"),4))/(VLOOKUP(X$72,INDIRECT($C$5&amp;"生成成长"),5))*(VLOOKUP($B$5,标准坦克设计!$B$24:$U$30,MATCH("对"&amp;LEFT($C$5,2)&amp;"输出",标准坦克设计!$B$23:$U$23,0)))*(VLOOKUP($B104,INDIRECT($B$5&amp;"生成成长"),3))*(VLOOKUP($B$5,标准坦克设计!$B$14:$K$20,9)/30))</f>
        <v>3.7870339825861903</v>
      </c>
      <c r="Y104" s="173">
        <f ca="1">(VLOOKUP(Y$72,INDIRECT($C$5&amp;"生成成长"),2))/((VLOOKUP($B104,INDIRECT($B$5&amp;"生成成长"),4))/(VLOOKUP(Y$72,INDIRECT($C$5&amp;"生成成长"),5))*(VLOOKUP($B$5,标准坦克设计!$B$24:$U$30,MATCH("对"&amp;LEFT($C$5,2)&amp;"输出",标准坦克设计!$B$23:$U$23,0)))*(VLOOKUP($B104,INDIRECT($B$5&amp;"生成成长"),3))*(VLOOKUP($B$5,标准坦克设计!$B$14:$K$20,9)/30))</f>
        <v>4.2122257701738768</v>
      </c>
      <c r="Z104" s="173">
        <f ca="1">(VLOOKUP(Z$72,INDIRECT($C$5&amp;"生成成长"),2))/((VLOOKUP($B104,INDIRECT($B$5&amp;"生成成长"),4))/(VLOOKUP(Z$72,INDIRECT($C$5&amp;"生成成长"),5))*(VLOOKUP($B$5,标准坦克设计!$B$24:$U$30,MATCH("对"&amp;LEFT($C$5,2)&amp;"输出",标准坦克设计!$B$23:$U$23,0)))*(VLOOKUP($B104,INDIRECT($B$5&amp;"生成成长"),3))*(VLOOKUP($B$5,标准坦克设计!$B$14:$K$20,9)/30))</f>
        <v>4.6600341422077189</v>
      </c>
      <c r="AA104" s="173">
        <f ca="1">(VLOOKUP(AA$72,INDIRECT($C$5&amp;"生成成长"),2))/((VLOOKUP($B104,INDIRECT($B$5&amp;"生成成长"),4))/(VLOOKUP(AA$72,INDIRECT($C$5&amp;"生成成长"),5))*(VLOOKUP($B$5,标准坦克设计!$B$24:$U$30,MATCH("对"&amp;LEFT($C$5,2)&amp;"输出",标准坦克设计!$B$23:$U$23,0)))*(VLOOKUP($B104,INDIRECT($B$5&amp;"生成成长"),3))*(VLOOKUP($B$5,标准坦克设计!$B$14:$K$20,9)/30))</f>
        <v>5.1304590986877132</v>
      </c>
      <c r="AB104" s="173">
        <f ca="1">(VLOOKUP(AB$72,INDIRECT($C$5&amp;"生成成长"),2))/((VLOOKUP($B104,INDIRECT($B$5&amp;"生成成长"),4))/(VLOOKUP(AB$72,INDIRECT($C$5&amp;"生成成长"),5))*(VLOOKUP($B$5,标准坦克设计!$B$24:$U$30,MATCH("对"&amp;LEFT($C$5,2)&amp;"输出",标准坦克设计!$B$23:$U$23,0)))*(VLOOKUP($B104,INDIRECT($B$5&amp;"生成成长"),3))*(VLOOKUP($B$5,标准坦克设计!$B$14:$K$20,9)/30))</f>
        <v>5.6235006396138623</v>
      </c>
      <c r="AC104" s="173">
        <f ca="1">(VLOOKUP(AC$72,INDIRECT($C$5&amp;"生成成长"),2))/((VLOOKUP($B104,INDIRECT($B$5&amp;"生成成长"),4))/(VLOOKUP(AC$72,INDIRECT($C$5&amp;"生成成长"),5))*(VLOOKUP($B$5,标准坦克设计!$B$24:$U$30,MATCH("对"&amp;LEFT($C$5,2)&amp;"输出",标准坦克设计!$B$23:$U$23,0)))*(VLOOKUP($B104,INDIRECT($B$5&amp;"生成成长"),3))*(VLOOKUP($B$5,标准坦克设计!$B$14:$K$20,9)/30))</f>
        <v>6.1391587649861652</v>
      </c>
      <c r="AD104" s="173">
        <f ca="1">(VLOOKUP(AD$72,INDIRECT($C$5&amp;"生成成长"),2))/((VLOOKUP($B104,INDIRECT($B$5&amp;"生成成长"),4))/(VLOOKUP(AD$72,INDIRECT($C$5&amp;"生成成长"),5))*(VLOOKUP($B$5,标准坦克设计!$B$24:$U$30,MATCH("对"&amp;LEFT($C$5,2)&amp;"输出",标准坦克设计!$B$23:$U$23,0)))*(VLOOKUP($B104,INDIRECT($B$5&amp;"生成成长"),3))*(VLOOKUP($B$5,标准坦克设计!$B$14:$K$20,9)/30))</f>
        <v>6.6774334748046194</v>
      </c>
      <c r="AE104" s="173">
        <f ca="1">(VLOOKUP(AE$72,INDIRECT($C$5&amp;"生成成长"),2))/((VLOOKUP($B104,INDIRECT($B$5&amp;"生成成长"),4))/(VLOOKUP(AE$72,INDIRECT($C$5&amp;"生成成长"),5))*(VLOOKUP($B$5,标准坦克设计!$B$24:$U$30,MATCH("对"&amp;LEFT($C$5,2)&amp;"输出",标准坦克设计!$B$23:$U$23,0)))*(VLOOKUP($B104,INDIRECT($B$5&amp;"生成成长"),3))*(VLOOKUP($B$5,标准坦克设计!$B$14:$K$20,9)/30))</f>
        <v>7.2383247690692283</v>
      </c>
      <c r="AF104" s="173">
        <f ca="1">(VLOOKUP(AF$72,INDIRECT($C$5&amp;"生成成长"),2))/((VLOOKUP($B104,INDIRECT($B$5&amp;"生成成长"),4))/(VLOOKUP(AF$72,INDIRECT($C$5&amp;"生成成长"),5))*(VLOOKUP($B$5,标准坦克设计!$B$24:$U$30,MATCH("对"&amp;LEFT($C$5,2)&amp;"输出",标准坦克设计!$B$23:$U$23,0)))*(VLOOKUP($B104,INDIRECT($B$5&amp;"生成成长"),3))*(VLOOKUP($B$5,标准坦克设计!$B$14:$K$20,9)/30))</f>
        <v>7.821832647779992</v>
      </c>
      <c r="AG104" s="173">
        <f ca="1">(VLOOKUP(AG$72,INDIRECT($C$5&amp;"生成成长"),2))/((VLOOKUP($B104,INDIRECT($B$5&amp;"生成成长"),4))/(VLOOKUP(AG$72,INDIRECT($C$5&amp;"生成成长"),5))*(VLOOKUP($B$5,标准坦克设计!$B$24:$U$30,MATCH("对"&amp;LEFT($C$5,2)&amp;"输出",标准坦克设计!$B$23:$U$23,0)))*(VLOOKUP($B104,INDIRECT($B$5&amp;"生成成长"),3))*(VLOOKUP($B$5,标准坦克设计!$B$14:$K$20,9)/30))</f>
        <v>8.4279571109369087</v>
      </c>
      <c r="AH104" s="173">
        <f ca="1">(VLOOKUP(AH$72,INDIRECT($C$5&amp;"生成成长"),2))/((VLOOKUP($B104,INDIRECT($B$5&amp;"生成成长"),4))/(VLOOKUP(AH$72,INDIRECT($C$5&amp;"生成成长"),5))*(VLOOKUP($B$5,标准坦克设计!$B$24:$U$30,MATCH("对"&amp;LEFT($C$5,2)&amp;"输出",标准坦克设计!$B$23:$U$23,0)))*(VLOOKUP($B104,INDIRECT($B$5&amp;"生成成长"),3))*(VLOOKUP($B$5,标准坦克设计!$B$14:$K$20,9)/30))</f>
        <v>9.0566981585399802</v>
      </c>
      <c r="AI104" s="173">
        <f ca="1">(VLOOKUP(AI$72,INDIRECT($C$5&amp;"生成成长"),2))/((VLOOKUP($B104,INDIRECT($B$5&amp;"生成成长"),4))/(VLOOKUP(AI$72,INDIRECT($C$5&amp;"生成成长"),5))*(VLOOKUP($B$5,标准坦克设计!$B$24:$U$30,MATCH("对"&amp;LEFT($C$5,2)&amp;"输出",标准坦克设计!$B$23:$U$23,0)))*(VLOOKUP($B104,INDIRECT($B$5&amp;"生成成长"),3))*(VLOOKUP($B$5,标准坦克设计!$B$14:$K$20,9)/30))</f>
        <v>6.405469046839622</v>
      </c>
      <c r="AJ104" s="173">
        <f ca="1">(VLOOKUP(AJ$72,INDIRECT($C$5&amp;"生成成长"),2))/((VLOOKUP($B104,INDIRECT($B$5&amp;"生成成长"),4))/(VLOOKUP(AJ$72,INDIRECT($C$5&amp;"生成成长"),5))*(VLOOKUP($B$5,标准坦克设计!$B$24:$U$30,MATCH("对"&amp;LEFT($C$5,2)&amp;"输出",标准坦克设计!$B$23:$U$23,0)))*(VLOOKUP($B104,INDIRECT($B$5&amp;"生成成长"),3))*(VLOOKUP($B$5,标准坦克设计!$B$14:$K$20,9)/30))</f>
        <v>7.0112542612298476</v>
      </c>
      <c r="AK104" s="173">
        <f ca="1">(VLOOKUP(AK$72,INDIRECT($C$5&amp;"生成成长"),2))/((VLOOKUP($B104,INDIRECT($B$5&amp;"生成成长"),4))/(VLOOKUP(AK$72,INDIRECT($C$5&amp;"生成成长"),5))*(VLOOKUP($B$5,标准坦克设计!$B$24:$U$30,MATCH("对"&amp;LEFT($C$5,2)&amp;"输出",标准坦克设计!$B$23:$U$23,0)))*(VLOOKUP($B104,INDIRECT($B$5&amp;"生成成长"),3))*(VLOOKUP($B$5,标准坦克设计!$B$14:$K$20,9)/30))</f>
        <v>7.6444055427999187</v>
      </c>
      <c r="AL104" s="173">
        <f ca="1">(VLOOKUP(AL$72,INDIRECT($C$5&amp;"生成成长"),2))/((VLOOKUP($B104,INDIRECT($B$5&amp;"生成成长"),4))/(VLOOKUP(AL$72,INDIRECT($C$5&amp;"生成成长"),5))*(VLOOKUP($B$5,标准坦克设计!$B$24:$U$30,MATCH("对"&amp;LEFT($C$5,2)&amp;"输出",标准坦克设计!$B$23:$U$23,0)))*(VLOOKUP($B104,INDIRECT($B$5&amp;"生成成长"),3))*(VLOOKUP($B$5,标准坦克设计!$B$14:$K$20,9)/30))</f>
        <v>8.3049228915498325</v>
      </c>
      <c r="AM104" s="173">
        <f ca="1">(VLOOKUP(AM$72,INDIRECT($C$5&amp;"生成成长"),2))/((VLOOKUP($B104,INDIRECT($B$5&amp;"生成成长"),4))/(VLOOKUP(AM$72,INDIRECT($C$5&amp;"生成成长"),5))*(VLOOKUP($B$5,标准坦克设计!$B$24:$U$30,MATCH("对"&amp;LEFT($C$5,2)&amp;"输出",标准坦克设计!$B$23:$U$23,0)))*(VLOOKUP($B104,INDIRECT($B$5&amp;"生成成长"),3))*(VLOOKUP($B$5,标准坦克设计!$B$14:$K$20,9)/30))</f>
        <v>8.9928063074795936</v>
      </c>
      <c r="AN104" s="173">
        <f ca="1">(VLOOKUP(AN$72,INDIRECT($C$5&amp;"生成成长"),2))/((VLOOKUP($B104,INDIRECT($B$5&amp;"生成成长"),4))/(VLOOKUP(AN$72,INDIRECT($C$5&amp;"生成成长"),5))*(VLOOKUP($B$5,标准坦克设计!$B$24:$U$30,MATCH("对"&amp;LEFT($C$5,2)&amp;"输出",标准坦克设计!$B$23:$U$23,0)))*(VLOOKUP($B104,INDIRECT($B$5&amp;"生成成长"),3))*(VLOOKUP($B$5,标准坦克设计!$B$14:$K$20,9)/30))</f>
        <v>9.7080557905892011</v>
      </c>
      <c r="AO104" s="173">
        <f ca="1">(VLOOKUP(AO$72,INDIRECT($C$5&amp;"生成成长"),2))/((VLOOKUP($B104,INDIRECT($B$5&amp;"生成成长"),4))/(VLOOKUP(AO$72,INDIRECT($C$5&amp;"生成成长"),5))*(VLOOKUP($B$5,标准坦克设计!$B$24:$U$30,MATCH("对"&amp;LEFT($C$5,2)&amp;"输出",标准坦克设计!$B$23:$U$23,0)))*(VLOOKUP($B104,INDIRECT($B$5&amp;"生成成长"),3))*(VLOOKUP($B$5,标准坦克设计!$B$14:$K$20,9)/30))</f>
        <v>10.450671340878657</v>
      </c>
      <c r="AP104" s="173">
        <f ca="1">(VLOOKUP(AP$72,INDIRECT($C$5&amp;"生成成长"),2))/((VLOOKUP($B104,INDIRECT($B$5&amp;"生成成长"),4))/(VLOOKUP(AP$72,INDIRECT($C$5&amp;"生成成长"),5))*(VLOOKUP($B$5,标准坦克设计!$B$24:$U$30,MATCH("对"&amp;LEFT($C$5,2)&amp;"输出",标准坦克设计!$B$23:$U$23,0)))*(VLOOKUP($B104,INDIRECT($B$5&amp;"生成成长"),3))*(VLOOKUP($B$5,标准坦克设计!$B$14:$K$20,9)/30))</f>
        <v>11.220652958347955</v>
      </c>
      <c r="AQ104" s="173">
        <f ca="1">(VLOOKUP(AQ$72,INDIRECT($C$5&amp;"生成成长"),2))/((VLOOKUP($B104,INDIRECT($B$5&amp;"生成成长"),4))/(VLOOKUP(AQ$72,INDIRECT($C$5&amp;"生成成长"),5))*(VLOOKUP($B$5,标准坦克设计!$B$24:$U$30,MATCH("对"&amp;LEFT($C$5,2)&amp;"输出",标准坦克设计!$B$23:$U$23,0)))*(VLOOKUP($B104,INDIRECT($B$5&amp;"生成成长"),3))*(VLOOKUP($B$5,标准坦克设计!$B$14:$K$20,9)/30))</f>
        <v>12.0180006429971</v>
      </c>
      <c r="AR104" s="173">
        <f ca="1">(VLOOKUP(AR$72,INDIRECT($C$5&amp;"生成成长"),2))/((VLOOKUP($B104,INDIRECT($B$5&amp;"生成成长"),4))/(VLOOKUP(AR$72,INDIRECT($C$5&amp;"生成成长"),5))*(VLOOKUP($B$5,标准坦克设计!$B$24:$U$30,MATCH("对"&amp;LEFT($C$5,2)&amp;"输出",标准坦克设计!$B$23:$U$23,0)))*(VLOOKUP($B104,INDIRECT($B$5&amp;"生成成长"),3))*(VLOOKUP($B$5,标准坦克设计!$B$14:$K$20,9)/30))</f>
        <v>12.842714394826091</v>
      </c>
      <c r="AS104" s="173">
        <f ca="1">(VLOOKUP(AS$72,INDIRECT($C$5&amp;"生成成长"),2))/((VLOOKUP($B104,INDIRECT($B$5&amp;"生成成长"),4))/(VLOOKUP(AS$72,INDIRECT($C$5&amp;"生成成长"),5))*(VLOOKUP($B$5,标准坦克设计!$B$24:$U$30,MATCH("对"&amp;LEFT($C$5,2)&amp;"输出",标准坦克设计!$B$23:$U$23,0)))*(VLOOKUP($B104,INDIRECT($B$5&amp;"生成成长"),3))*(VLOOKUP($B$5,标准坦克设计!$B$14:$K$20,9)/30))</f>
        <v>13.694794213834928</v>
      </c>
      <c r="AT104" s="173">
        <f ca="1">(VLOOKUP(AT$72,INDIRECT($C$5&amp;"生成成长"),2))/((VLOOKUP($B104,INDIRECT($B$5&amp;"生成成长"),4))/(VLOOKUP(AT$72,INDIRECT($C$5&amp;"生成成长"),5))*(VLOOKUP($B$5,标准坦克设计!$B$24:$U$30,MATCH("对"&amp;LEFT($C$5,2)&amp;"输出",标准坦克设计!$B$23:$U$23,0)))*(VLOOKUP($B104,INDIRECT($B$5&amp;"生成成长"),3))*(VLOOKUP($B$5,标准坦克设计!$B$14:$K$20,9)/30))</f>
        <v>14.574240100023614</v>
      </c>
      <c r="AU104" s="173">
        <f ca="1">(VLOOKUP(AU$72,INDIRECT($C$5&amp;"生成成长"),2))/((VLOOKUP($B104,INDIRECT($B$5&amp;"生成成长"),4))/(VLOOKUP(AU$72,INDIRECT($C$5&amp;"生成成长"),5))*(VLOOKUP($B$5,标准坦克设计!$B$24:$U$30,MATCH("对"&amp;LEFT($C$5,2)&amp;"输出",标准坦克设计!$B$23:$U$23,0)))*(VLOOKUP($B104,INDIRECT($B$5&amp;"生成成长"),3))*(VLOOKUP($B$5,标准坦克设计!$B$14:$K$20,9)/30))</f>
        <v>15.481052053392139</v>
      </c>
      <c r="AV104" s="173">
        <f ca="1">(VLOOKUP(AV$72,INDIRECT($C$5&amp;"生成成长"),2))/((VLOOKUP($B104,INDIRECT($B$5&amp;"生成成长"),4))/(VLOOKUP(AV$72,INDIRECT($C$5&amp;"生成成长"),5))*(VLOOKUP($B$5,标准坦克设计!$B$24:$U$30,MATCH("对"&amp;LEFT($C$5,2)&amp;"输出",标准坦克设计!$B$23:$U$23,0)))*(VLOOKUP($B104,INDIRECT($B$5&amp;"生成成长"),3))*(VLOOKUP($B$5,标准坦克设计!$B$14:$K$20,9)/30))</f>
        <v>1.574566609141214</v>
      </c>
      <c r="AW104" s="173">
        <f ca="1">(VLOOKUP(AW$72,INDIRECT($C$5&amp;"生成成长"),2))/((VLOOKUP($B104,INDIRECT($B$5&amp;"生成成长"),4))/(VLOOKUP(AW$72,INDIRECT($C$5&amp;"生成成长"),5))*(VLOOKUP($B$5,标准坦克设计!$B$24:$U$30,MATCH("对"&amp;LEFT($C$5,2)&amp;"输出",标准坦克设计!$B$23:$U$23,0)))*(VLOOKUP($B104,INDIRECT($B$5&amp;"生成成长"),3))*(VLOOKUP($B$5,标准坦克设计!$B$14:$K$20,9)/30))</f>
        <v>1.7953044733356729</v>
      </c>
      <c r="AX104" s="173">
        <f ca="1">(VLOOKUP(AX$72,INDIRECT($C$5&amp;"生成成长"),2))/((VLOOKUP($B104,INDIRECT($B$5&amp;"生成成长"),4))/(VLOOKUP(AX$72,INDIRECT($C$5&amp;"生成成长"),5))*(VLOOKUP($B$5,标准坦克设计!$B$24:$U$30,MATCH("对"&amp;LEFT($C$5,2)&amp;"输出",标准坦克设计!$B$23:$U$23,0)))*(VLOOKUP($B104,INDIRECT($B$5&amp;"生成成长"),3))*(VLOOKUP($B$5,标准坦克设计!$B$14:$K$20,9)/30))</f>
        <v>2.0305169515756702</v>
      </c>
      <c r="AY104" s="173">
        <f ca="1">(VLOOKUP(AY$72,INDIRECT($C$5&amp;"生成成长"),2))/((VLOOKUP($B104,INDIRECT($B$5&amp;"生成成长"),4))/(VLOOKUP(AY$72,INDIRECT($C$5&amp;"生成成长"),5))*(VLOOKUP($B$5,标准坦克设计!$B$24:$U$30,MATCH("对"&amp;LEFT($C$5,2)&amp;"输出",标准坦克设计!$B$23:$U$23,0)))*(VLOOKUP($B104,INDIRECT($B$5&amp;"生成成长"),3))*(VLOOKUP($B$5,标准坦克设计!$B$14:$K$20,9)/30))</f>
        <v>2.2802040438612057</v>
      </c>
      <c r="AZ104" s="173">
        <f ca="1">(VLOOKUP(AZ$72,INDIRECT($C$5&amp;"生成成长"),2))/((VLOOKUP($B104,INDIRECT($B$5&amp;"生成成长"),4))/(VLOOKUP(AZ$72,INDIRECT($C$5&amp;"生成成长"),5))*(VLOOKUP($B$5,标准坦克设计!$B$24:$U$30,MATCH("对"&amp;LEFT($C$5,2)&amp;"输出",标准坦克设计!$B$23:$U$23,0)))*(VLOOKUP($B104,INDIRECT($B$5&amp;"生成成长"),3))*(VLOOKUP($B$5,标准坦克设计!$B$14:$K$20,9)/30))</f>
        <v>2.5443657501922798</v>
      </c>
      <c r="BA104" s="173">
        <f ca="1">(VLOOKUP(BA$72,INDIRECT($C$5&amp;"生成成长"),2))/((VLOOKUP($B104,INDIRECT($B$5&amp;"生成成长"),4))/(VLOOKUP(BA$72,INDIRECT($C$5&amp;"生成成长"),5))*(VLOOKUP($B$5,标准坦克设计!$B$24:$U$30,MATCH("对"&amp;LEFT($C$5,2)&amp;"输出",标准坦克设计!$B$23:$U$23,0)))*(VLOOKUP($B104,INDIRECT($B$5&amp;"生成成长"),3))*(VLOOKUP($B$5,标准坦克设计!$B$14:$K$20,9)/30))</f>
        <v>2.8230020705688927</v>
      </c>
      <c r="BB104" s="173">
        <f ca="1">(VLOOKUP(BB$72,INDIRECT($C$5&amp;"生成成长"),2))/((VLOOKUP($B104,INDIRECT($B$5&amp;"生成成长"),4))/(VLOOKUP(BB$72,INDIRECT($C$5&amp;"生成成长"),5))*(VLOOKUP($B$5,标准坦克设计!$B$24:$U$30,MATCH("对"&amp;LEFT($C$5,2)&amp;"输出",标准坦克设计!$B$23:$U$23,0)))*(VLOOKUP($B104,INDIRECT($B$5&amp;"生成成长"),3))*(VLOOKUP($B$5,标准坦克设计!$B$14:$K$20,9)/30))</f>
        <v>3.116113004991043</v>
      </c>
      <c r="BC104" s="173">
        <f ca="1">(VLOOKUP(BC$72,INDIRECT($C$5&amp;"生成成长"),2))/((VLOOKUP($B104,INDIRECT($B$5&amp;"生成成长"),4))/(VLOOKUP(BC$72,INDIRECT($C$5&amp;"生成成长"),5))*(VLOOKUP($B$5,标准坦克设计!$B$24:$U$30,MATCH("对"&amp;LEFT($C$5,2)&amp;"输出",标准坦克设计!$B$23:$U$23,0)))*(VLOOKUP($B104,INDIRECT($B$5&amp;"生成成长"),3))*(VLOOKUP($B$5,标准坦克设计!$B$14:$K$20,9)/30))</f>
        <v>3.4236985534587321</v>
      </c>
      <c r="BD104" s="173">
        <f ca="1">(VLOOKUP(BD$72,INDIRECT($C$5&amp;"生成成长"),2))/((VLOOKUP($B104,INDIRECT($B$5&amp;"生成成长"),4))/(VLOOKUP(BD$72,INDIRECT($C$5&amp;"生成成长"),5))*(VLOOKUP($B$5,标准坦克设计!$B$24:$U$30,MATCH("对"&amp;LEFT($C$5,2)&amp;"输出",标准坦克设计!$B$23:$U$23,0)))*(VLOOKUP($B104,INDIRECT($B$5&amp;"生成成长"),3))*(VLOOKUP($B$5,标准坦克设计!$B$14:$K$20,9)/30))</f>
        <v>3.7870339825861903</v>
      </c>
      <c r="BE104" s="173">
        <f ca="1">(VLOOKUP(BE$72,INDIRECT($C$5&amp;"生成成长"),2))/((VLOOKUP($B104,INDIRECT($B$5&amp;"生成成长"),4))/(VLOOKUP(BE$72,INDIRECT($C$5&amp;"生成成长"),5))*(VLOOKUP($B$5,标准坦克设计!$B$24:$U$30,MATCH("对"&amp;LEFT($C$5,2)&amp;"输出",标准坦克设计!$B$23:$U$23,0)))*(VLOOKUP($B104,INDIRECT($B$5&amp;"生成成长"),3))*(VLOOKUP($B$5,标准坦克设计!$B$14:$K$20,9)/30))</f>
        <v>4.1686888451150317</v>
      </c>
      <c r="BF104" s="173">
        <f ca="1">(VLOOKUP(BF$72,INDIRECT($C$5&amp;"生成成长"),2))/((VLOOKUP($B104,INDIRECT($B$5&amp;"生成成长"),4))/(VLOOKUP(BF$72,INDIRECT($C$5&amp;"生成成长"),5))*(VLOOKUP($B$5,标准坦克设计!$B$24:$U$30,MATCH("对"&amp;LEFT($C$5,2)&amp;"输出",标准坦克设计!$B$23:$U$23,0)))*(VLOOKUP($B104,INDIRECT($B$5&amp;"生成成长"),3))*(VLOOKUP($B$5,标准坦克设计!$B$14:$K$20,9)/30))</f>
        <v>4.5686631410452589</v>
      </c>
      <c r="BG104" s="173">
        <f ca="1">(VLOOKUP(BG$72,INDIRECT($C$5&amp;"生成成长"),2))/((VLOOKUP($B104,INDIRECT($B$5&amp;"生成成长"),4))/(VLOOKUP(BG$72,INDIRECT($C$5&amp;"生成成长"),5))*(VLOOKUP($B$5,标准坦克设计!$B$24:$U$30,MATCH("对"&amp;LEFT($C$5,2)&amp;"输出",标准坦克设计!$B$23:$U$23,0)))*(VLOOKUP($B104,INDIRECT($B$5&amp;"生成成长"),3))*(VLOOKUP($B$5,标准坦克设计!$B$14:$K$20,9)/30))</f>
        <v>4.9869568703768685</v>
      </c>
      <c r="BH104" s="173">
        <f ca="1">(VLOOKUP(BH$72,INDIRECT($C$5&amp;"生成成长"),2))/((VLOOKUP($B104,INDIRECT($B$5&amp;"生成成长"),4))/(VLOOKUP(BH$72,INDIRECT($C$5&amp;"生成成长"),5))*(VLOOKUP($B$5,标准坦克设计!$B$24:$U$30,MATCH("对"&amp;LEFT($C$5,2)&amp;"输出",标准坦克设计!$B$23:$U$23,0)))*(VLOOKUP($B104,INDIRECT($B$5&amp;"生成成长"),3))*(VLOOKUP($B$5,标准坦克设计!$B$14:$K$20,9)/30))</f>
        <v>2.4104755702710512</v>
      </c>
      <c r="BI104" s="173">
        <f ca="1">(VLOOKUP(BI$72,INDIRECT($C$5&amp;"生成成长"),2))/((VLOOKUP($B104,INDIRECT($B$5&amp;"生成成长"),4))/(VLOOKUP(BI$72,INDIRECT($C$5&amp;"生成成长"),5))*(VLOOKUP($B$5,标准坦克设计!$B$24:$U$30,MATCH("对"&amp;LEFT($C$5,2)&amp;"输出",标准坦克设计!$B$23:$U$23,0)))*(VLOOKUP($B104,INDIRECT($B$5&amp;"生成成长"),3))*(VLOOKUP($B$5,标准坦克设计!$B$14:$K$20,9)/30))</f>
        <v>2.7168172065942011</v>
      </c>
      <c r="BJ104" s="173">
        <f ca="1">(VLOOKUP(BJ$72,INDIRECT($C$5&amp;"生成成长"),2))/((VLOOKUP($B104,INDIRECT($B$5&amp;"生成成长"),4))/(VLOOKUP(BJ$72,INDIRECT($C$5&amp;"生成成长"),5))*(VLOOKUP($B$5,标准坦克设计!$B$24:$U$30,MATCH("对"&amp;LEFT($C$5,2)&amp;"输出",标准坦克设计!$B$23:$U$23,0)))*(VLOOKUP($B104,INDIRECT($B$5&amp;"生成成长"),3))*(VLOOKUP($B$5,标准坦克设计!$B$14:$K$20,9)/30))</f>
        <v>3.0414782763187365</v>
      </c>
      <c r="BK104" s="173">
        <f ca="1">(VLOOKUP(BK$72,INDIRECT($C$5&amp;"生成成长"),2))/((VLOOKUP($B104,INDIRECT($B$5&amp;"生成成长"),4))/(VLOOKUP(BK$72,INDIRECT($C$5&amp;"生成成长"),5))*(VLOOKUP($B$5,标准坦克设计!$B$24:$U$30,MATCH("对"&amp;LEFT($C$5,2)&amp;"输出",标准坦克设计!$B$23:$U$23,0)))*(VLOOKUP($B104,INDIRECT($B$5&amp;"生成成长"),3))*(VLOOKUP($B$5,标准坦克设计!$B$14:$K$20,9)/30))</f>
        <v>3.3844587794446559</v>
      </c>
      <c r="BL104" s="173">
        <f ca="1">(VLOOKUP(BL$72,INDIRECT($C$5&amp;"生成成长"),2))/((VLOOKUP($B104,INDIRECT($B$5&amp;"生成成长"),4))/(VLOOKUP(BL$72,INDIRECT($C$5&amp;"生成成长"),5))*(VLOOKUP($B$5,标准坦克设计!$B$24:$U$30,MATCH("对"&amp;LEFT($C$5,2)&amp;"输出",标准坦克设计!$B$23:$U$23,0)))*(VLOOKUP($B104,INDIRECT($B$5&amp;"生成成长"),3))*(VLOOKUP($B$5,标准坦克设计!$B$14:$K$20,9)/30))</f>
        <v>3.7457587159719594</v>
      </c>
      <c r="BM104" s="173">
        <f ca="1">(VLOOKUP(BM$72,INDIRECT($C$5&amp;"生成成长"),2))/((VLOOKUP($B104,INDIRECT($B$5&amp;"生成成长"),4))/(VLOOKUP(BM$72,INDIRECT($C$5&amp;"生成成长"),5))*(VLOOKUP($B$5,标准坦克设计!$B$24:$U$30,MATCH("对"&amp;LEFT($C$5,2)&amp;"输出",标准坦克设计!$B$23:$U$23,0)))*(VLOOKUP($B104,INDIRECT($B$5&amp;"生成成长"),3))*(VLOOKUP($B$5,标准坦克设计!$B$14:$K$20,9)/30))</f>
        <v>4.1253780859006479</v>
      </c>
      <c r="BN104" s="173">
        <f ca="1">(VLOOKUP(BN$72,INDIRECT($C$5&amp;"生成成长"),2))/((VLOOKUP($B104,INDIRECT($B$5&amp;"生成成长"),4))/(VLOOKUP(BN$72,INDIRECT($C$5&amp;"生成成长"),5))*(VLOOKUP($B$5,标准坦克设计!$B$24:$U$30,MATCH("对"&amp;LEFT($C$5,2)&amp;"输出",标准坦克设计!$B$23:$U$23,0)))*(VLOOKUP($B104,INDIRECT($B$5&amp;"生成成长"),3))*(VLOOKUP($B$5,标准坦克设计!$B$14:$K$20,9)/30))</f>
        <v>4.5233168892307196</v>
      </c>
      <c r="BO104" s="173">
        <f ca="1">(VLOOKUP(BO$72,INDIRECT($C$5&amp;"生成成长"),2))/((VLOOKUP($B104,INDIRECT($B$5&amp;"生成成长"),4))/(VLOOKUP(BO$72,INDIRECT($C$5&amp;"生成成长"),5))*(VLOOKUP($B$5,标准坦克设计!$B$24:$U$30,MATCH("对"&amp;LEFT($C$5,2)&amp;"输出",标准坦克设计!$B$23:$U$23,0)))*(VLOOKUP($B104,INDIRECT($B$5&amp;"生成成长"),3))*(VLOOKUP($B$5,标准坦克设计!$B$14:$K$20,9)/30))</f>
        <v>4.9395751259621772</v>
      </c>
      <c r="BP104" s="173">
        <f ca="1">(VLOOKUP(BP$72,INDIRECT($C$5&amp;"生成成长"),2))/((VLOOKUP($B104,INDIRECT($B$5&amp;"生成成长"),4))/(VLOOKUP(BP$72,INDIRECT($C$5&amp;"生成成长"),5))*(VLOOKUP($B$5,标准坦克设计!$B$24:$U$30,MATCH("对"&amp;LEFT($C$5,2)&amp;"输出",标准坦克设计!$B$23:$U$23,0)))*(VLOOKUP($B104,INDIRECT($B$5&amp;"生成成长"),3))*(VLOOKUP($B$5,标准坦克设计!$B$14:$K$20,9)/30))</f>
        <v>5.3741527960950179</v>
      </c>
      <c r="BQ104" s="173">
        <f ca="1">(VLOOKUP(BQ$72,INDIRECT($C$5&amp;"生成成长"),2))/((VLOOKUP($B104,INDIRECT($B$5&amp;"生成成长"),4))/(VLOOKUP(BQ$72,INDIRECT($C$5&amp;"生成成长"),5))*(VLOOKUP($B$5,标准坦克设计!$B$24:$U$30,MATCH("对"&amp;LEFT($C$5,2)&amp;"输出",标准坦克设计!$B$23:$U$23,0)))*(VLOOKUP($B104,INDIRECT($B$5&amp;"生成成长"),3))*(VLOOKUP($B$5,标准坦克设计!$B$14:$K$20,9)/30))</f>
        <v>5.8270498996292446</v>
      </c>
      <c r="BR104" s="173">
        <f ca="1">(VLOOKUP(BR$72,INDIRECT($C$5&amp;"生成成长"),2))/((VLOOKUP($B104,INDIRECT($B$5&amp;"生成成长"),4))/(VLOOKUP(BR$72,INDIRECT($C$5&amp;"生成成长"),5))*(VLOOKUP($B$5,标准坦克设计!$B$24:$U$30,MATCH("对"&amp;LEFT($C$5,2)&amp;"输出",标准坦克设计!$B$23:$U$23,0)))*(VLOOKUP($B104,INDIRECT($B$5&amp;"生成成长"),3))*(VLOOKUP($B$5,标准坦克设计!$B$14:$K$20,9)/30))</f>
        <v>6.351754658780008</v>
      </c>
      <c r="BS104" s="173">
        <f ca="1">(VLOOKUP(BS$72,INDIRECT($C$5&amp;"生成成长"),2))/((VLOOKUP($B104,INDIRECT($B$5&amp;"生成成长"),4))/(VLOOKUP(BS$72,INDIRECT($C$5&amp;"生成成长"),5))*(VLOOKUP($B$5,标准坦克设计!$B$24:$U$30,MATCH("对"&amp;LEFT($C$5,2)&amp;"输出",标准坦克设计!$B$23:$U$23,0)))*(VLOOKUP($B104,INDIRECT($B$5&amp;"生成成长"),3))*(VLOOKUP($B$5,标准坦克设计!$B$14:$K$20,9)/30))</f>
        <v>6.8990760023769244</v>
      </c>
      <c r="BT104" s="173">
        <f ca="1">(VLOOKUP(BT$72,INDIRECT($C$5&amp;"生成成长"),2))/((VLOOKUP($B104,INDIRECT($B$5&amp;"生成成长"),4))/(VLOOKUP(BT$72,INDIRECT($C$5&amp;"生成成长"),5))*(VLOOKUP($B$5,标准坦克设计!$B$24:$U$30,MATCH("对"&amp;LEFT($C$5,2)&amp;"输出",标准坦克设计!$B$23:$U$23,0)))*(VLOOKUP($B104,INDIRECT($B$5&amp;"生成成长"),3))*(VLOOKUP($B$5,标准坦克设计!$B$14:$K$20,9)/30))</f>
        <v>7.4690139304199965</v>
      </c>
      <c r="BU104" s="173">
        <f ca="1">(VLOOKUP(BU$72,INDIRECT($C$5&amp;"生成成长"),2))/((VLOOKUP($B104,INDIRECT($B$5&amp;"生成成长"),4))/(VLOOKUP(BU$72,INDIRECT($C$5&amp;"生成成长"),5))*(VLOOKUP($B$5,标准坦克设计!$B$24:$U$30,MATCH("对"&amp;LEFT($C$5,2)&amp;"输出",标准坦克设计!$B$23:$U$23,0)))*(VLOOKUP($B104,INDIRECT($B$5&amp;"生成成长"),3))*(VLOOKUP($B$5,标准坦克设计!$B$14:$K$20,9)/30))</f>
        <v>8.0615684429092216</v>
      </c>
      <c r="BV104" s="173">
        <f ca="1">(VLOOKUP(BV$72,INDIRECT($C$5&amp;"生成成长"),2))/((VLOOKUP($B104,INDIRECT($B$5&amp;"生成成长"),4))/(VLOOKUP(BV$72,INDIRECT($C$5&amp;"生成成长"),5))*(VLOOKUP($B$5,标准坦克设计!$B$24:$U$30,MATCH("对"&amp;LEFT($C$5,2)&amp;"输出",标准坦克设计!$B$23:$U$23,0)))*(VLOOKUP($B104,INDIRECT($B$5&amp;"生成成长"),3))*(VLOOKUP($B$5,标准坦克设计!$B$14:$K$20,9)/30))</f>
        <v>8.676739539844597</v>
      </c>
      <c r="BW104" s="173">
        <f ca="1">(VLOOKUP(BW$72,INDIRECT($C$5&amp;"生成成长"),2))/((VLOOKUP($B104,INDIRECT($B$5&amp;"生成成长"),4))/(VLOOKUP(BW$72,INDIRECT($C$5&amp;"生成成长"),5))*(VLOOKUP($B$5,标准坦克设计!$B$24:$U$30,MATCH("对"&amp;LEFT($C$5,2)&amp;"输出",标准坦克设计!$B$23:$U$23,0)))*(VLOOKUP($B104,INDIRECT($B$5&amp;"生成成长"),3))*(VLOOKUP($B$5,标准坦克设计!$B$14:$K$20,9)/30))</f>
        <v>3.9543967074877262</v>
      </c>
      <c r="BX104" s="173">
        <f ca="1">(VLOOKUP(BX$72,INDIRECT($C$5&amp;"生成成长"),2))/((VLOOKUP($B104,INDIRECT($B$5&amp;"生成成长"),4))/(VLOOKUP(BX$72,INDIRECT($C$5&amp;"生成成长"),5))*(VLOOKUP($B$5,标准坦克设计!$B$24:$U$30,MATCH("对"&amp;LEFT($C$5,2)&amp;"输出",标准坦克设计!$B$23:$U$23,0)))*(VLOOKUP($B104,INDIRECT($B$5&amp;"生成成长"),3))*(VLOOKUP($B$5,标准坦克设计!$B$14:$K$20,9)/30))</f>
        <v>4.3886351288538759</v>
      </c>
      <c r="BY104" s="173">
        <f ca="1">(VLOOKUP(BY$72,INDIRECT($C$5&amp;"生成成长"),2))/((VLOOKUP($B104,INDIRECT($B$5&amp;"生成成长"),4))/(VLOOKUP(BY$72,INDIRECT($C$5&amp;"生成成长"),5))*(VLOOKUP($B$5,标准坦克设计!$B$24:$U$30,MATCH("对"&amp;LEFT($C$5,2)&amp;"输出",标准坦克设计!$B$23:$U$23,0)))*(VLOOKUP($B104,INDIRECT($B$5&amp;"生成成长"),3))*(VLOOKUP($B$5,标准坦克设计!$B$14:$K$20,9)/30))</f>
        <v>4.8454901346661785</v>
      </c>
      <c r="BZ104" s="173">
        <f ca="1">(VLOOKUP(BZ$72,INDIRECT($C$5&amp;"生成成长"),2))/((VLOOKUP($B104,INDIRECT($B$5&amp;"生成成长"),4))/(VLOOKUP(BZ$72,INDIRECT($C$5&amp;"生成成长"),5))*(VLOOKUP($B$5,标准坦克设计!$B$24:$U$30,MATCH("对"&amp;LEFT($C$5,2)&amp;"输出",标准坦克设计!$B$23:$U$23,0)))*(VLOOKUP($B104,INDIRECT($B$5&amp;"生成成长"),3))*(VLOOKUP($B$5,标准坦克设计!$B$14:$K$20,9)/30))</f>
        <v>5.3249617249246342</v>
      </c>
      <c r="CA104" s="173">
        <f ca="1">(VLOOKUP(CA$72,INDIRECT($C$5&amp;"生成成长"),2))/((VLOOKUP($B104,INDIRECT($B$5&amp;"生成成长"),4))/(VLOOKUP(CA$72,INDIRECT($C$5&amp;"生成成长"),5))*(VLOOKUP($B$5,标准坦克设计!$B$24:$U$30,MATCH("对"&amp;LEFT($C$5,2)&amp;"输出",标准坦克设计!$B$23:$U$23,0)))*(VLOOKUP($B104,INDIRECT($B$5&amp;"生成成长"),3))*(VLOOKUP($B$5,标准坦克设计!$B$14:$K$20,9)/30))</f>
        <v>5.8270498996292446</v>
      </c>
      <c r="CB104" s="173">
        <f ca="1">(VLOOKUP(CB$72,INDIRECT($C$5&amp;"生成成长"),2))/((VLOOKUP($B104,INDIRECT($B$5&amp;"生成成长"),4))/(VLOOKUP(CB$72,INDIRECT($C$5&amp;"生成成长"),5))*(VLOOKUP($B$5,标准坦克设计!$B$24:$U$30,MATCH("对"&amp;LEFT($C$5,2)&amp;"输出",标准坦克设计!$B$23:$U$23,0)))*(VLOOKUP($B104,INDIRECT($B$5&amp;"生成成长"),3))*(VLOOKUP($B$5,标准坦克设计!$B$14:$K$20,9)/30))</f>
        <v>6.351754658780008</v>
      </c>
      <c r="CC104" s="173">
        <f ca="1">(VLOOKUP(CC$72,INDIRECT($C$5&amp;"生成成长"),2))/((VLOOKUP($B104,INDIRECT($B$5&amp;"生成成长"),4))/(VLOOKUP(CC$72,INDIRECT($C$5&amp;"生成成长"),5))*(VLOOKUP($B$5,标准坦克设计!$B$24:$U$30,MATCH("对"&amp;LEFT($C$5,2)&amp;"输出",标准坦克设计!$B$23:$U$23,0)))*(VLOOKUP($B104,INDIRECT($B$5&amp;"生成成长"),3))*(VLOOKUP($B$5,标准坦克设计!$B$14:$K$20,9)/30))</f>
        <v>6.8990760023769244</v>
      </c>
      <c r="CD104" s="173">
        <f ca="1">(VLOOKUP(CD$72,INDIRECT($C$5&amp;"生成成长"),2))/((VLOOKUP($B104,INDIRECT($B$5&amp;"生成成长"),4))/(VLOOKUP(CD$72,INDIRECT($C$5&amp;"生成成长"),5))*(VLOOKUP($B$5,标准坦克设计!$B$24:$U$30,MATCH("对"&amp;LEFT($C$5,2)&amp;"输出",标准坦克设计!$B$23:$U$23,0)))*(VLOOKUP($B104,INDIRECT($B$5&amp;"生成成长"),3))*(VLOOKUP($B$5,标准坦克设计!$B$14:$K$20,9)/30))</f>
        <v>7.4690139304199965</v>
      </c>
      <c r="CE104" s="173">
        <f ca="1">(VLOOKUP(CE$72,INDIRECT($C$5&amp;"生成成长"),2))/((VLOOKUP($B104,INDIRECT($B$5&amp;"生成成长"),4))/(VLOOKUP(CE$72,INDIRECT($C$5&amp;"生成成长"),5))*(VLOOKUP($B$5,标准坦克设计!$B$24:$U$30,MATCH("对"&amp;LEFT($C$5,2)&amp;"输出",标准坦克设计!$B$23:$U$23,0)))*(VLOOKUP($B104,INDIRECT($B$5&amp;"生成成长"),3))*(VLOOKUP($B$5,标准坦克设计!$B$14:$K$20,9)/30))</f>
        <v>8.0615684429092216</v>
      </c>
      <c r="CF104" s="173">
        <f ca="1">(VLOOKUP(CF$72,INDIRECT($C$5&amp;"生成成长"),2))/((VLOOKUP($B104,INDIRECT($B$5&amp;"生成成长"),4))/(VLOOKUP(CF$72,INDIRECT($C$5&amp;"生成成长"),5))*(VLOOKUP($B$5,标准坦克设计!$B$24:$U$30,MATCH("对"&amp;LEFT($C$5,2)&amp;"输出",标准坦克设计!$B$23:$U$23,0)))*(VLOOKUP($B104,INDIRECT($B$5&amp;"生成成长"),3))*(VLOOKUP($B$5,标准坦克设计!$B$14:$K$20,9)/30))</f>
        <v>8.676739539844597</v>
      </c>
      <c r="CG104" s="173">
        <f ca="1">(VLOOKUP(CG$72,INDIRECT($C$5&amp;"生成成长"),2))/((VLOOKUP($B104,INDIRECT($B$5&amp;"生成成长"),4))/(VLOOKUP(CG$72,INDIRECT($C$5&amp;"生成成长"),5))*(VLOOKUP($B$5,标准坦克设计!$B$24:$U$30,MATCH("对"&amp;LEFT($C$5,2)&amp;"输出",标准坦克设计!$B$23:$U$23,0)))*(VLOOKUP($B104,INDIRECT($B$5&amp;"生成成长"),3))*(VLOOKUP($B$5,标准坦克设计!$B$14:$K$20,9)/30))</f>
        <v>9.314527221226129</v>
      </c>
      <c r="CH104" s="173">
        <f ca="1">(VLOOKUP(CH$72,INDIRECT($C$5&amp;"生成成长"),2))/((VLOOKUP($B104,INDIRECT($B$5&amp;"生成成长"),4))/(VLOOKUP(CH$72,INDIRECT($C$5&amp;"生成成长"),5))*(VLOOKUP($B$5,标准坦克设计!$B$24:$U$30,MATCH("对"&amp;LEFT($C$5,2)&amp;"输出",标准坦克设计!$B$23:$U$23,0)))*(VLOOKUP($B104,INDIRECT($B$5&amp;"生成成长"),3))*(VLOOKUP($B$5,标准坦克设计!$B$14:$K$20,9)/30))</f>
        <v>9.9749314870538157</v>
      </c>
      <c r="CI104" s="173">
        <f ca="1">(VLOOKUP(CI$72,INDIRECT($C$5&amp;"生成成长"),2))/((VLOOKUP($B104,INDIRECT($B$5&amp;"生成成长"),4))/(VLOOKUP(CI$72,INDIRECT($C$5&amp;"生成成长"),5))*(VLOOKUP($B$5,标准坦克设计!$B$24:$U$30,MATCH("对"&amp;LEFT($C$5,2)&amp;"输出",标准坦克设计!$B$23:$U$23,0)))*(VLOOKUP($B104,INDIRECT($B$5&amp;"生成成长"),3))*(VLOOKUP($B$5,标准坦克设计!$B$14:$K$20,9)/30))</f>
        <v>10.727498334499579</v>
      </c>
      <c r="CJ104" s="173">
        <f ca="1">(VLOOKUP(CJ$72,INDIRECT($C$5&amp;"生成成长"),2))/((VLOOKUP($B104,INDIRECT($B$5&amp;"生成成长"),4))/(VLOOKUP(CJ$72,INDIRECT($C$5&amp;"生成成长"),5))*(VLOOKUP($B$5,标准坦克设计!$B$24:$U$30,MATCH("对"&amp;LEFT($C$5,2)&amp;"输出",标准坦克设计!$B$23:$U$23,0)))*(VLOOKUP($B104,INDIRECT($B$5&amp;"生成成长"),3))*(VLOOKUP($B$5,标准坦克设计!$B$14:$K$20,9)/30))</f>
        <v>11.507431249125185</v>
      </c>
      <c r="CK104" s="173">
        <f ca="1">(VLOOKUP(CK$72,INDIRECT($C$5&amp;"生成成长"),2))/((VLOOKUP($B104,INDIRECT($B$5&amp;"生成成长"),4))/(VLOOKUP(CK$72,INDIRECT($C$5&amp;"生成成长"),5))*(VLOOKUP($B$5,标准坦克设计!$B$24:$U$30,MATCH("对"&amp;LEFT($C$5,2)&amp;"输出",标准坦克设计!$B$23:$U$23,0)))*(VLOOKUP($B104,INDIRECT($B$5&amp;"生成成长"),3))*(VLOOKUP($B$5,标准坦克设计!$B$14:$K$20,9)/30))</f>
        <v>12.314730230930635</v>
      </c>
      <c r="CL104" s="173">
        <f ca="1">(VLOOKUP(CL$72,INDIRECT($C$5&amp;"生成成长"),2))/((VLOOKUP($B104,INDIRECT($B$5&amp;"生成成长"),4))/(VLOOKUP(CL$72,INDIRECT($C$5&amp;"生成成长"),5))*(VLOOKUP($B$5,标准坦克设计!$B$24:$U$30,MATCH("对"&amp;LEFT($C$5,2)&amp;"输出",标准坦克设计!$B$23:$U$23,0)))*(VLOOKUP($B104,INDIRECT($B$5&amp;"生成成长"),3))*(VLOOKUP($B$5,标准坦克设计!$B$14:$K$20,9)/30))</f>
        <v>13.149395279915932</v>
      </c>
      <c r="CM104" s="173">
        <f ca="1">(VLOOKUP(CM$72,INDIRECT($C$5&amp;"生成成长"),2))/((VLOOKUP($B104,INDIRECT($B$5&amp;"生成成长"),4))/(VLOOKUP(CM$72,INDIRECT($C$5&amp;"生成成长"),5))*(VLOOKUP($B$5,标准坦克设计!$B$24:$U$30,MATCH("对"&amp;LEFT($C$5,2)&amp;"输出",标准坦克设计!$B$23:$U$23,0)))*(VLOOKUP($B104,INDIRECT($B$5&amp;"生成成长"),3))*(VLOOKUP($B$5,标准坦克设计!$B$14:$K$20,9)/30))</f>
        <v>14.011426396081081</v>
      </c>
      <c r="CN104" s="173">
        <f ca="1">(VLOOKUP(CN$72,INDIRECT($C$5&amp;"生成成长"),2))/((VLOOKUP($B104,INDIRECT($B$5&amp;"生成成长"),4))/(VLOOKUP(CN$72,INDIRECT($C$5&amp;"生成成长"),5))*(VLOOKUP($B$5,标准坦克设计!$B$24:$U$30,MATCH("对"&amp;LEFT($C$5,2)&amp;"输出",标准坦克设计!$B$23:$U$23,0)))*(VLOOKUP($B104,INDIRECT($B$5&amp;"生成成长"),3))*(VLOOKUP($B$5,标准坦克设计!$B$14:$K$20,9)/30))</f>
        <v>14.900823579426069</v>
      </c>
      <c r="CO104" s="173">
        <f ca="1">(VLOOKUP(CO$72,INDIRECT($C$5&amp;"生成成长"),2))/((VLOOKUP($B104,INDIRECT($B$5&amp;"生成成长"),4))/(VLOOKUP(CO$72,INDIRECT($C$5&amp;"生成成长"),5))*(VLOOKUP($B$5,标准坦克设计!$B$24:$U$30,MATCH("对"&amp;LEFT($C$5,2)&amp;"输出",标准坦克设计!$B$23:$U$23,0)))*(VLOOKUP($B104,INDIRECT($B$5&amp;"生成成长"),3))*(VLOOKUP($B$5,标准坦克设计!$B$14:$K$20,9)/30))</f>
        <v>6.6774334748046194</v>
      </c>
      <c r="CP104" s="173">
        <f ca="1">(VLOOKUP(CP$72,INDIRECT($C$5&amp;"生成成长"),2))/((VLOOKUP($B104,INDIRECT($B$5&amp;"生成成长"),4))/(VLOOKUP(CP$72,INDIRECT($C$5&amp;"生成成长"),5))*(VLOOKUP($B$5,标准坦克设计!$B$24:$U$30,MATCH("对"&amp;LEFT($C$5,2)&amp;"输出",标准坦克设计!$B$23:$U$23,0)))*(VLOOKUP($B104,INDIRECT($B$5&amp;"生成成长"),3))*(VLOOKUP($B$5,标准坦克设计!$B$14:$K$20,9)/30))</f>
        <v>7.295657810640229</v>
      </c>
      <c r="CQ104" s="173">
        <f ca="1">(VLOOKUP(CQ$72,INDIRECT($C$5&amp;"生成成长"),2))/((VLOOKUP($B104,INDIRECT($B$5&amp;"生成成长"),4))/(VLOOKUP(CQ$72,INDIRECT($C$5&amp;"生成成长"),5))*(VLOOKUP($B$5,标准坦克设计!$B$24:$U$30,MATCH("对"&amp;LEFT($C$5,2)&amp;"输出",标准坦克设计!$B$23:$U$23,0)))*(VLOOKUP($B104,INDIRECT($B$5&amp;"生成成长"),3))*(VLOOKUP($B$5,标准坦克设计!$B$14:$K$20,9)/30))</f>
        <v>7.9412482136556832</v>
      </c>
      <c r="CR104" s="173">
        <f ca="1">(VLOOKUP(CR$72,INDIRECT($C$5&amp;"生成成长"),2))/((VLOOKUP($B104,INDIRECT($B$5&amp;"生成成长"),4))/(VLOOKUP(CR$72,INDIRECT($C$5&amp;"生成成长"),5))*(VLOOKUP($B$5,标准坦克设计!$B$24:$U$30,MATCH("对"&amp;LEFT($C$5,2)&amp;"输出",标准坦克设计!$B$23:$U$23,0)))*(VLOOKUP($B104,INDIRECT($B$5&amp;"生成成长"),3))*(VLOOKUP($B$5,标准坦克设计!$B$14:$K$20,9)/30))</f>
        <v>8.6142046838509856</v>
      </c>
      <c r="CS104" s="173">
        <f ca="1">(VLOOKUP(CS$72,INDIRECT($C$5&amp;"生成成长"),2))/((VLOOKUP($B104,INDIRECT($B$5&amp;"生成成长"),4))/(VLOOKUP(CS$72,INDIRECT($C$5&amp;"生成成长"),5))*(VLOOKUP($B$5,标准坦克设计!$B$24:$U$30,MATCH("对"&amp;LEFT($C$5,2)&amp;"输出",标准坦克设计!$B$23:$U$23,0)))*(VLOOKUP($B104,INDIRECT($B$5&amp;"生成成长"),3))*(VLOOKUP($B$5,标准坦克设计!$B$14:$K$20,9)/30))</f>
        <v>9.314527221226129</v>
      </c>
      <c r="CT104" s="173">
        <f ca="1">(VLOOKUP(CT$72,INDIRECT($C$5&amp;"生成成长"),2))/((VLOOKUP($B104,INDIRECT($B$5&amp;"生成成长"),4))/(VLOOKUP(CT$72,INDIRECT($C$5&amp;"生成成长"),5))*(VLOOKUP($B$5,标准坦克设计!$B$24:$U$30,MATCH("对"&amp;LEFT($C$5,2)&amp;"输出",标准坦克设计!$B$23:$U$23,0)))*(VLOOKUP($B104,INDIRECT($B$5&amp;"生成成长"),3))*(VLOOKUP($B$5,标准坦克设计!$B$14:$K$20,9)/30))</f>
        <v>10.042215825781122</v>
      </c>
      <c r="CU104" s="173">
        <f ca="1">(VLOOKUP(CU$72,INDIRECT($C$5&amp;"生成成长"),2))/((VLOOKUP($B104,INDIRECT($B$5&amp;"生成成长"),4))/(VLOOKUP(CU$72,INDIRECT($C$5&amp;"生成成长"),5))*(VLOOKUP($B$5,标准坦克设计!$B$24:$U$30,MATCH("对"&amp;LEFT($C$5,2)&amp;"输出",标准坦克设计!$B$23:$U$23,0)))*(VLOOKUP($B104,INDIRECT($B$5&amp;"生成成长"),3))*(VLOOKUP($B$5,标准坦克设计!$B$14:$K$20,9)/30))</f>
        <v>10.797270497515962</v>
      </c>
      <c r="CV104" s="173">
        <f ca="1">(VLOOKUP(CV$72,INDIRECT($C$5&amp;"生成成长"),2))/((VLOOKUP($B104,INDIRECT($B$5&amp;"生成成长"),4))/(VLOOKUP(CV$72,INDIRECT($C$5&amp;"生成成长"),5))*(VLOOKUP($B$5,标准坦克设计!$B$24:$U$30,MATCH("对"&amp;LEFT($C$5,2)&amp;"输出",标准坦克设计!$B$23:$U$23,0)))*(VLOOKUP($B104,INDIRECT($B$5&amp;"生成成长"),3))*(VLOOKUP($B$5,标准坦克设计!$B$14:$K$20,9)/30))</f>
        <v>11.579691236430644</v>
      </c>
      <c r="CW104" s="173">
        <f ca="1">(VLOOKUP(CW$72,INDIRECT($C$5&amp;"生成成长"),2))/((VLOOKUP($B104,INDIRECT($B$5&amp;"生成成长"),4))/(VLOOKUP(CW$72,INDIRECT($C$5&amp;"生成成长"),5))*(VLOOKUP($B$5,标准坦克设计!$B$24:$U$30,MATCH("对"&amp;LEFT($C$5,2)&amp;"输出",标准坦克设计!$B$23:$U$23,0)))*(VLOOKUP($B104,INDIRECT($B$5&amp;"生成成长"),3))*(VLOOKUP($B$5,标准坦克设计!$B$14:$K$20,9)/30))</f>
        <v>12.389478042525173</v>
      </c>
      <c r="CX104" s="173">
        <f ca="1">(VLOOKUP(CX$72,INDIRECT($C$5&amp;"生成成长"),2))/((VLOOKUP($B104,INDIRECT($B$5&amp;"生成成长"),4))/(VLOOKUP(CX$72,INDIRECT($C$5&amp;"生成成长"),5))*(VLOOKUP($B$5,标准坦克设计!$B$24:$U$30,MATCH("对"&amp;LEFT($C$5,2)&amp;"输出",标准坦克设计!$B$23:$U$23,0)))*(VLOOKUP($B104,INDIRECT($B$5&amp;"生成成长"),3))*(VLOOKUP($B$5,标准坦克设计!$B$14:$K$20,9)/30))</f>
        <v>13.22663091579955</v>
      </c>
      <c r="CY104" s="173">
        <f ca="1">(VLOOKUP(CY$72,INDIRECT($C$5&amp;"生成成长"),2))/((VLOOKUP($B104,INDIRECT($B$5&amp;"生成成长"),4))/(VLOOKUP(CY$72,INDIRECT($C$5&amp;"生成成长"),5))*(VLOOKUP($B$5,标准坦克设计!$B$24:$U$30,MATCH("对"&amp;LEFT($C$5,2)&amp;"输出",标准坦克设计!$B$23:$U$23,0)))*(VLOOKUP($B104,INDIRECT($B$5&amp;"生成成长"),3))*(VLOOKUP($B$5,标准坦克设计!$B$14:$K$20,9)/30))</f>
        <v>14.091149856253768</v>
      </c>
      <c r="CZ104" s="173">
        <f ca="1">(VLOOKUP(CZ$72,INDIRECT($C$5&amp;"生成成长"),2))/((VLOOKUP($B104,INDIRECT($B$5&amp;"生成成长"),4))/(VLOOKUP(CZ$72,INDIRECT($C$5&amp;"生成成长"),5))*(VLOOKUP($B$5,标准坦克设计!$B$24:$U$30,MATCH("对"&amp;LEFT($C$5,2)&amp;"输出",标准坦克设计!$B$23:$U$23,0)))*(VLOOKUP($B104,INDIRECT($B$5&amp;"生成成长"),3))*(VLOOKUP($B$5,标准坦克设计!$B$14:$K$20,9)/30))</f>
        <v>14.983034863887838</v>
      </c>
      <c r="DA104" s="173">
        <f ca="1">(VLOOKUP(DA$72,INDIRECT($C$5&amp;"生成成长"),2))/((VLOOKUP($B104,INDIRECT($B$5&amp;"生成成长"),4))/(VLOOKUP(DA$72,INDIRECT($C$5&amp;"生成成长"),5))*(VLOOKUP($B$5,标准坦克设计!$B$24:$U$30,MATCH("对"&amp;LEFT($C$5,2)&amp;"输出",标准坦克设计!$B$23:$U$23,0)))*(VLOOKUP($B104,INDIRECT($B$5&amp;"生成成长"),3))*(VLOOKUP($B$5,标准坦克设计!$B$14:$K$20,9)/30))</f>
        <v>15.90228593870175</v>
      </c>
      <c r="DB104" s="173">
        <f ca="1">(VLOOKUP(DB$72,INDIRECT($C$5&amp;"生成成长"),2))/((VLOOKUP($B104,INDIRECT($B$5&amp;"生成成长"),4))/(VLOOKUP(DB$72,INDIRECT($C$5&amp;"生成成长"),5))*(VLOOKUP($B$5,标准坦克设计!$B$24:$U$30,MATCH("对"&amp;LEFT($C$5,2)&amp;"输出",标准坦克设计!$B$23:$U$23,0)))*(VLOOKUP($B104,INDIRECT($B$5&amp;"生成成长"),3))*(VLOOKUP($B$5,标准坦克设计!$B$14:$K$20,9)/30))</f>
        <v>16.848903080695507</v>
      </c>
      <c r="DC104" s="173">
        <f ca="1">(VLOOKUP(DC$72,INDIRECT($C$5&amp;"生成成长"),2))/((VLOOKUP($B104,INDIRECT($B$5&amp;"生成成长"),4))/(VLOOKUP(DC$72,INDIRECT($C$5&amp;"生成成长"),5))*(VLOOKUP($B$5,标准坦克设计!$B$24:$U$30,MATCH("对"&amp;LEFT($C$5,2)&amp;"输出",标准坦克设计!$B$23:$U$23,0)))*(VLOOKUP($B104,INDIRECT($B$5&amp;"生成成长"),3))*(VLOOKUP($B$5,标准坦克设计!$B$14:$K$20,9)/30))</f>
        <v>17.912787213042574</v>
      </c>
      <c r="DD104" s="173">
        <f ca="1">(VLOOKUP(DD$72,INDIRECT($C$5&amp;"生成成长"),2))/((VLOOKUP($B104,INDIRECT($B$5&amp;"生成成长"),4))/(VLOOKUP(DD$72,INDIRECT($C$5&amp;"生成成长"),5))*(VLOOKUP($B$5,标准坦克设计!$B$24:$U$30,MATCH("对"&amp;LEFT($C$5,2)&amp;"输出",标准坦克设计!$B$23:$U$23,0)))*(VLOOKUP($B104,INDIRECT($B$5&amp;"生成成长"),3))*(VLOOKUP($B$5,标准坦克设计!$B$14:$K$20,9)/30))</f>
        <v>19.009239226992104</v>
      </c>
      <c r="DE104" s="173">
        <f ca="1">(VLOOKUP(DE$72,INDIRECT($C$5&amp;"生成成长"),2))/((VLOOKUP($B104,INDIRECT($B$5&amp;"生成成长"),4))/(VLOOKUP(DE$72,INDIRECT($C$5&amp;"生成成长"),5))*(VLOOKUP($B$5,标准坦克设计!$B$24:$U$30,MATCH("对"&amp;LEFT($C$5,2)&amp;"输出",标准坦克设计!$B$23:$U$23,0)))*(VLOOKUP($B104,INDIRECT($B$5&amp;"生成成长"),3))*(VLOOKUP($B$5,标准坦克设计!$B$14:$K$20,9)/30))</f>
        <v>20.138259122544088</v>
      </c>
      <c r="DF104" s="173">
        <f ca="1">(VLOOKUP(DF$72,INDIRECT($C$5&amp;"生成成长"),2))/((VLOOKUP($B104,INDIRECT($B$5&amp;"生成成长"),4))/(VLOOKUP(DF$72,INDIRECT($C$5&amp;"生成成长"),5))*(VLOOKUP($B$5,标准坦克设计!$B$24:$U$30,MATCH("对"&amp;LEFT($C$5,2)&amp;"输出",标准坦克设计!$B$23:$U$23,0)))*(VLOOKUP($B104,INDIRECT($B$5&amp;"生成成长"),3))*(VLOOKUP($B$5,标准坦克设计!$B$14:$K$20,9)/30))</f>
        <v>21.299846899698537</v>
      </c>
      <c r="DG104" s="173">
        <f ca="1">(VLOOKUP(DG$72,INDIRECT($C$5&amp;"生成成长"),2))/((VLOOKUP($B104,INDIRECT($B$5&amp;"生成成长"),4))/(VLOOKUP(DG$72,INDIRECT($C$5&amp;"生成成长"),5))*(VLOOKUP($B$5,标准坦克设计!$B$24:$U$30,MATCH("对"&amp;LEFT($C$5,2)&amp;"输出",标准坦克设计!$B$23:$U$23,0)))*(VLOOKUP($B104,INDIRECT($B$5&amp;"生成成长"),3))*(VLOOKUP($B$5,标准坦克设计!$B$14:$K$20,9)/30))</f>
        <v>22.494002558455449</v>
      </c>
      <c r="DH104" s="173">
        <f ca="1">(VLOOKUP(DH$72,INDIRECT($C$5&amp;"生成成长"),2))/((VLOOKUP($B104,INDIRECT($B$5&amp;"生成成长"),4))/(VLOOKUP(DH$72,INDIRECT($C$5&amp;"生成成长"),5))*(VLOOKUP($B$5,标准坦克设计!$B$24:$U$30,MATCH("对"&amp;LEFT($C$5,2)&amp;"输出",标准坦克设计!$B$23:$U$23,0)))*(VLOOKUP($B104,INDIRECT($B$5&amp;"生成成长"),3))*(VLOOKUP($B$5,标准坦克设计!$B$14:$K$20,9)/30))</f>
        <v>23.720726098814819</v>
      </c>
      <c r="DI104" s="173">
        <f ca="1">(VLOOKUP(DI$72,INDIRECT($C$5&amp;"生成成长"),2))/((VLOOKUP($B104,INDIRECT($B$5&amp;"生成成长"),4))/(VLOOKUP(DI$72,INDIRECT($C$5&amp;"生成成长"),5))*(VLOOKUP($B$5,标准坦克设计!$B$24:$U$30,MATCH("对"&amp;LEFT($C$5,2)&amp;"输出",标准坦克设计!$B$23:$U$23,0)))*(VLOOKUP($B104,INDIRECT($B$5&amp;"生成成长"),3))*(VLOOKUP($B$5,标准坦克设计!$B$14:$K$20,9)/30))</f>
        <v>24.980017520776645</v>
      </c>
      <c r="DJ104" s="173">
        <f ca="1">(VLOOKUP(DJ$72,INDIRECT($C$5&amp;"生成成长"),2))/((VLOOKUP($B104,INDIRECT($B$5&amp;"生成成长"),4))/(VLOOKUP(DJ$72,INDIRECT($C$5&amp;"生成成长"),5))*(VLOOKUP($B$5,标准坦克设计!$B$24:$U$30,MATCH("对"&amp;LEFT($C$5,2)&amp;"输出",标准坦克设计!$B$23:$U$23,0)))*(VLOOKUP($B104,INDIRECT($B$5&amp;"生成成长"),3))*(VLOOKUP($B$5,标准坦克设计!$B$14:$K$20,9)/30))</f>
        <v>2.5105539564452806</v>
      </c>
      <c r="DK104" s="173">
        <f ca="1">(VLOOKUP(DK$72,INDIRECT($C$5&amp;"生成成长"),2))/((VLOOKUP($B104,INDIRECT($B$5&amp;"生成成长"),4))/(VLOOKUP(DK$72,INDIRECT($C$5&amp;"生成成长"),5))*(VLOOKUP($B$5,标准坦克设计!$B$24:$U$30,MATCH("对"&amp;LEFT($C$5,2)&amp;"输出",标准坦克设计!$B$23:$U$23,0)))*(VLOOKUP($B104,INDIRECT($B$5&amp;"生成成长"),3))*(VLOOKUP($B$5,标准坦克设计!$B$14:$K$20,9)/30))</f>
        <v>2.8230020705688927</v>
      </c>
      <c r="DL104" s="173">
        <f ca="1">(VLOOKUP(DL$72,INDIRECT($C$5&amp;"生成成长"),2))/((VLOOKUP($B104,INDIRECT($B$5&amp;"生成成长"),4))/(VLOOKUP(DL$72,INDIRECT($C$5&amp;"生成成长"),5))*(VLOOKUP($B$5,标准坦克设计!$B$24:$U$30,MATCH("对"&amp;LEFT($C$5,2)&amp;"输出",标准坦克设计!$B$23:$U$23,0)))*(VLOOKUP($B104,INDIRECT($B$5&amp;"生成成长"),3))*(VLOOKUP($B$5,标准坦克设计!$B$14:$K$20,9)/30))</f>
        <v>3.153769618093889</v>
      </c>
      <c r="DM104" s="173">
        <f ca="1">(VLOOKUP(DM$72,INDIRECT($C$5&amp;"生成成长"),2))/((VLOOKUP($B104,INDIRECT($B$5&amp;"生成成长"),4))/(VLOOKUP(DM$72,INDIRECT($C$5&amp;"生成成长"),5))*(VLOOKUP($B$5,标准坦克设计!$B$24:$U$30,MATCH("对"&amp;LEFT($C$5,2)&amp;"输出",标准坦克设计!$B$23:$U$23,0)))*(VLOOKUP($B104,INDIRECT($B$5&amp;"生成成长"),3))*(VLOOKUP($B$5,标准坦克设计!$B$14:$K$20,9)/30))</f>
        <v>3.5028565990202702</v>
      </c>
      <c r="DN104" s="173">
        <f ca="1">(VLOOKUP(DN$72,INDIRECT($C$5&amp;"生成成长"),2))/((VLOOKUP($B104,INDIRECT($B$5&amp;"生成成长"),4))/(VLOOKUP(DN$72,INDIRECT($C$5&amp;"生成成长"),5))*(VLOOKUP($B$5,标准坦克设计!$B$24:$U$30,MATCH("对"&amp;LEFT($C$5,2)&amp;"输出",标准坦克设计!$B$23:$U$23,0)))*(VLOOKUP($B104,INDIRECT($B$5&amp;"生成成长"),3))*(VLOOKUP($B$5,标准坦克设计!$B$14:$K$20,9)/30))</f>
        <v>3.8702630133480347</v>
      </c>
      <c r="DO104" s="173">
        <f ca="1">(VLOOKUP(DO$72,INDIRECT($C$5&amp;"生成成长"),2))/((VLOOKUP($B104,INDIRECT($B$5&amp;"生成成长"),4))/(VLOOKUP(DO$72,INDIRECT($C$5&amp;"生成成长"),5))*(VLOOKUP($B$5,标准坦克设计!$B$24:$U$30,MATCH("对"&amp;LEFT($C$5,2)&amp;"输出",标准坦克设计!$B$23:$U$23,0)))*(VLOOKUP($B104,INDIRECT($B$5&amp;"生成成长"),3))*(VLOOKUP($B$5,标准坦克设计!$B$14:$K$20,9)/30))</f>
        <v>4.255988861077185</v>
      </c>
      <c r="DP104" s="173">
        <f ca="1">(VLOOKUP(DP$72,INDIRECT($C$5&amp;"生成成长"),2))/((VLOOKUP($B104,INDIRECT($B$5&amp;"生成成长"),4))/(VLOOKUP(DP$72,INDIRECT($C$5&amp;"生成成长"),5))*(VLOOKUP($B$5,标准坦克设计!$B$24:$U$30,MATCH("对"&amp;LEFT($C$5,2)&amp;"输出",标准坦克设计!$B$23:$U$23,0)))*(VLOOKUP($B104,INDIRECT($B$5&amp;"生成成长"),3))*(VLOOKUP($B$5,标准坦克设计!$B$14:$K$20,9)/30))</f>
        <v>4.6600341422077189</v>
      </c>
      <c r="DQ104" s="173">
        <f ca="1">(VLOOKUP(DQ$72,INDIRECT($C$5&amp;"生成成长"),2))/((VLOOKUP($B104,INDIRECT($B$5&amp;"生成成长"),4))/(VLOOKUP(DQ$72,INDIRECT($C$5&amp;"生成成长"),5))*(VLOOKUP($B$5,标准坦克设计!$B$24:$U$30,MATCH("对"&amp;LEFT($C$5,2)&amp;"输出",标准坦克设计!$B$23:$U$23,0)))*(VLOOKUP($B104,INDIRECT($B$5&amp;"生成成长"),3))*(VLOOKUP($B$5,标准坦克设计!$B$14:$K$20,9)/30))</f>
        <v>5.082398856739637</v>
      </c>
      <c r="DR104" s="173">
        <f ca="1">(VLOOKUP(DR$72,INDIRECT($C$5&amp;"生成成长"),2))/((VLOOKUP($B104,INDIRECT($B$5&amp;"生成成长"),4))/(VLOOKUP(DR$72,INDIRECT($C$5&amp;"生成成长"),5))*(VLOOKUP($B$5,标准坦克设计!$B$24:$U$30,MATCH("对"&amp;LEFT($C$5,2)&amp;"输出",标准坦克设计!$B$23:$U$23,0)))*(VLOOKUP($B104,INDIRECT($B$5&amp;"生成成长"),3))*(VLOOKUP($B$5,标准坦克设计!$B$14:$K$20,9)/30))</f>
        <v>5.5230830046729409</v>
      </c>
      <c r="DS104" s="173">
        <f ca="1">(VLOOKUP(DS$72,INDIRECT($C$5&amp;"生成成长"),2))/((VLOOKUP($B104,INDIRECT($B$5&amp;"生成成长"),4))/(VLOOKUP(DS$72,INDIRECT($C$5&amp;"生成成长"),5))*(VLOOKUP($B$5,标准坦克设计!$B$24:$U$30,MATCH("对"&amp;LEFT($C$5,2)&amp;"输出",标准坦克设计!$B$23:$U$23,0)))*(VLOOKUP($B104,INDIRECT($B$5&amp;"生成成长"),3))*(VLOOKUP($B$5,标准坦克设计!$B$14:$K$20,9)/30))</f>
        <v>5.982086586007628</v>
      </c>
      <c r="DT104" s="173">
        <f ca="1">(VLOOKUP(DT$72,INDIRECT($C$5&amp;"生成成长"),2))/((VLOOKUP($B104,INDIRECT($B$5&amp;"生成成长"),4))/(VLOOKUP(DT$72,INDIRECT($C$5&amp;"生成成长"),5))*(VLOOKUP($B$5,标准坦克设计!$B$24:$U$30,MATCH("对"&amp;LEFT($C$5,2)&amp;"输出",标准坦克设计!$B$23:$U$23,0)))*(VLOOKUP($B104,INDIRECT($B$5&amp;"生成成长"),3))*(VLOOKUP($B$5,标准坦克设计!$B$14:$K$20,9)/30))</f>
        <v>6.5679692060852366</v>
      </c>
      <c r="DU104" s="173">
        <f ca="1">(VLOOKUP(DU$72,INDIRECT($C$5&amp;"生成成长"),2))/((VLOOKUP($B104,INDIRECT($B$5&amp;"生成成长"),4))/(VLOOKUP(DU$72,INDIRECT($C$5&amp;"生成成长"),5))*(VLOOKUP($B$5,标准坦克设计!$B$24:$U$30,MATCH("对"&amp;LEFT($C$5,2)&amp;"输出",标准坦克设计!$B$23:$U$23,0)))*(VLOOKUP($B104,INDIRECT($B$5&amp;"生成成长"),3))*(VLOOKUP($B$5,标准坦克设计!$B$14:$K$20,9)/30))</f>
        <v>7.1812178933426916</v>
      </c>
      <c r="DV104" s="173">
        <f ca="1">(VLOOKUP(DV$72,INDIRECT($C$5&amp;"生成成长"),2))/((VLOOKUP($B104,INDIRECT($B$5&amp;"生成成长"),4))/(VLOOKUP(DV$72,INDIRECT($C$5&amp;"生成成长"),5))*(VLOOKUP($B$5,标准坦克设计!$B$24:$U$30,MATCH("对"&amp;LEFT($C$5,2)&amp;"输出",标准坦克设计!$B$23:$U$23,0)))*(VLOOKUP($B104,INDIRECT($B$5&amp;"生成成长"),3))*(VLOOKUP($B$5,标准坦克设计!$B$14:$K$20,9)/30))</f>
        <v>7.821832647779992</v>
      </c>
      <c r="DW104" s="173">
        <f ca="1">(VLOOKUP(DW$72,INDIRECT($C$5&amp;"生成成长"),2))/((VLOOKUP($B104,INDIRECT($B$5&amp;"生成成长"),4))/(VLOOKUP(DW$72,INDIRECT($C$5&amp;"生成成长"),5))*(VLOOKUP($B$5,标准坦克设计!$B$24:$U$30,MATCH("对"&amp;LEFT($C$5,2)&amp;"输出",标准坦克设计!$B$23:$U$23,0)))*(VLOOKUP($B104,INDIRECT($B$5&amp;"生成成长"),3))*(VLOOKUP($B$5,标准坦克设计!$B$14:$K$20,9)/30))</f>
        <v>8.4898134693971397</v>
      </c>
      <c r="DX104" s="173">
        <f ca="1">(VLOOKUP(DX$72,INDIRECT($C$5&amp;"生成成长"),2))/((VLOOKUP($B104,INDIRECT($B$5&amp;"生成成长"),4))/(VLOOKUP(DX$72,INDIRECT($C$5&amp;"生成成长"),5))*(VLOOKUP($B$5,标准坦克设计!$B$24:$U$30,MATCH("对"&amp;LEFT($C$5,2)&amp;"输出",标准坦克设计!$B$23:$U$23,0)))*(VLOOKUP($B104,INDIRECT($B$5&amp;"生成成长"),3))*(VLOOKUP($B$5,标准坦克设计!$B$14:$K$20,9)/30))</f>
        <v>9.1851603581941319</v>
      </c>
      <c r="DY104" s="173">
        <f ca="1">(VLOOKUP(DY$72,INDIRECT($C$5&amp;"生成成长"),2))/((VLOOKUP($B104,INDIRECT($B$5&amp;"生成成长"),4))/(VLOOKUP(DY$72,INDIRECT($C$5&amp;"生成成长"),5))*(VLOOKUP($B$5,标准坦克设计!$B$24:$U$30,MATCH("对"&amp;LEFT($C$5,2)&amp;"输出",标准坦克设计!$B$23:$U$23,0)))*(VLOOKUP($B104,INDIRECT($B$5&amp;"生成成长"),3))*(VLOOKUP($B$5,标准坦克设计!$B$14:$K$20,9)/30))</f>
        <v>4.1253780859006479</v>
      </c>
      <c r="DZ104" s="173">
        <f ca="1">(VLOOKUP(DZ$72,INDIRECT($C$5&amp;"生成成长"),2))/((VLOOKUP($B104,INDIRECT($B$5&amp;"生成成长"),4))/(VLOOKUP(DZ$72,INDIRECT($C$5&amp;"生成成长"),5))*(VLOOKUP($B$5,标准坦克设计!$B$24:$U$30,MATCH("对"&amp;LEFT($C$5,2)&amp;"输出",标准坦克设计!$B$23:$U$23,0)))*(VLOOKUP($B104,INDIRECT($B$5&amp;"生成成长"),3))*(VLOOKUP($B$5,标准坦克设计!$B$14:$K$20,9)/30))</f>
        <v>4.5686631410452589</v>
      </c>
      <c r="EA104" s="173">
        <f ca="1">(VLOOKUP(EA$72,INDIRECT($C$5&amp;"生成成长"),2))/((VLOOKUP($B104,INDIRECT($B$5&amp;"生成成长"),4))/(VLOOKUP(EA$72,INDIRECT($C$5&amp;"生成成长"),5))*(VLOOKUP($B$5,标准坦克设计!$B$24:$U$30,MATCH("对"&amp;LEFT($C$5,2)&amp;"输出",标准坦克设计!$B$23:$U$23,0)))*(VLOOKUP($B104,INDIRECT($B$5&amp;"生成成长"),3))*(VLOOKUP($B$5,标准坦克设计!$B$14:$K$20,9)/30))</f>
        <v>5.0345647806360221</v>
      </c>
      <c r="EB104" s="173">
        <f ca="1">(VLOOKUP(EB$72,INDIRECT($C$5&amp;"生成成长"),2))/((VLOOKUP($B104,INDIRECT($B$5&amp;"生成成长"),4))/(VLOOKUP(EB$72,INDIRECT($C$5&amp;"生成成长"),5))*(VLOOKUP($B$5,标准坦克设计!$B$24:$U$30,MATCH("对"&amp;LEFT($C$5,2)&amp;"输出",标准坦克设计!$B$23:$U$23,0)))*(VLOOKUP($B104,INDIRECT($B$5&amp;"生成成长"),3))*(VLOOKUP($B$5,标准坦克设计!$B$14:$K$20,9)/30))</f>
        <v>5.5230830046729409</v>
      </c>
      <c r="EC104" s="173">
        <f ca="1">(VLOOKUP(EC$72,INDIRECT($C$5&amp;"生成成长"),2))/((VLOOKUP($B104,INDIRECT($B$5&amp;"生成成长"),4))/(VLOOKUP(EC$72,INDIRECT($C$5&amp;"生成成长"),5))*(VLOOKUP($B$5,标准坦克设计!$B$24:$U$30,MATCH("对"&amp;LEFT($C$5,2)&amp;"输出",标准坦克设计!$B$23:$U$23,0)))*(VLOOKUP($B104,INDIRECT($B$5&amp;"生成成长"),3))*(VLOOKUP($B$5,标准坦克设计!$B$14:$K$20,9)/30))</f>
        <v>6.0342178131560118</v>
      </c>
      <c r="ED104" s="173">
        <f ca="1">(VLOOKUP(ED$72,INDIRECT($C$5&amp;"生成成长"),2))/((VLOOKUP($B104,INDIRECT($B$5&amp;"生成成长"),4))/(VLOOKUP(ED$72,INDIRECT($C$5&amp;"生成成长"),5))*(VLOOKUP($B$5,标准坦克设计!$B$24:$U$30,MATCH("对"&amp;LEFT($C$5,2)&amp;"输出",标准坦克设计!$B$23:$U$23,0)))*(VLOOKUP($B104,INDIRECT($B$5&amp;"生成成长"),3))*(VLOOKUP($B$5,标准坦克设计!$B$14:$K$20,9)/30))</f>
        <v>6.5679692060852366</v>
      </c>
      <c r="EE104" s="173">
        <f ca="1">(VLOOKUP(EE$72,INDIRECT($C$5&amp;"生成成长"),2))/((VLOOKUP($B104,INDIRECT($B$5&amp;"生成成长"),4))/(VLOOKUP(EE$72,INDIRECT($C$5&amp;"生成成长"),5))*(VLOOKUP($B$5,标准坦克设计!$B$24:$U$30,MATCH("对"&amp;LEFT($C$5,2)&amp;"输出",标准坦克设计!$B$23:$U$23,0)))*(VLOOKUP($B104,INDIRECT($B$5&amp;"生成成长"),3))*(VLOOKUP($B$5,标准坦克设计!$B$14:$K$20,9)/30))</f>
        <v>7.1243371834606144</v>
      </c>
      <c r="EF104" s="173">
        <f ca="1">(VLOOKUP(EF$72,INDIRECT($C$5&amp;"生成成长"),2))/((VLOOKUP($B104,INDIRECT($B$5&amp;"生成成长"),4))/(VLOOKUP(EF$72,INDIRECT($C$5&amp;"生成成长"),5))*(VLOOKUP($B$5,标准坦克设计!$B$24:$U$30,MATCH("对"&amp;LEFT($C$5,2)&amp;"输出",标准坦克设计!$B$23:$U$23,0)))*(VLOOKUP($B104,INDIRECT($B$5&amp;"生成成长"),3))*(VLOOKUP($B$5,标准坦克设计!$B$14:$K$20,9)/30))</f>
        <v>7.7033217452821479</v>
      </c>
      <c r="EG104" s="173">
        <f ca="1">(VLOOKUP(EG$72,INDIRECT($C$5&amp;"生成成长"),2))/((VLOOKUP($B104,INDIRECT($B$5&amp;"生成成长"),4))/(VLOOKUP(EG$72,INDIRECT($C$5&amp;"生成成长"),5))*(VLOOKUP($B$5,标准坦克设计!$B$24:$U$30,MATCH("对"&amp;LEFT($C$5,2)&amp;"输出",标准坦克设计!$B$23:$U$23,0)))*(VLOOKUP($B104,INDIRECT($B$5&amp;"生成成长"),3))*(VLOOKUP($B$5,标准坦克设计!$B$14:$K$20,9)/30))</f>
        <v>8.3049228915498325</v>
      </c>
      <c r="EH104" s="173">
        <f ca="1">(VLOOKUP(EH$72,INDIRECT($C$5&amp;"生成成长"),2))/((VLOOKUP($B104,INDIRECT($B$5&amp;"生成成长"),4))/(VLOOKUP(EH$72,INDIRECT($C$5&amp;"生成成长"),5))*(VLOOKUP($B$5,标准坦克设计!$B$24:$U$30,MATCH("对"&amp;LEFT($C$5,2)&amp;"输出",标准坦克设计!$B$23:$U$23,0)))*(VLOOKUP($B104,INDIRECT($B$5&amp;"生成成长"),3))*(VLOOKUP($B$5,标准坦克设计!$B$14:$K$20,9)/30))</f>
        <v>8.929140622263672</v>
      </c>
      <c r="EI104" s="173">
        <f ca="1">(VLOOKUP(EI$72,INDIRECT($C$5&amp;"生成成长"),2))/((VLOOKUP($B104,INDIRECT($B$5&amp;"生成成长"),4))/(VLOOKUP(EI$72,INDIRECT($C$5&amp;"生成成长"),5))*(VLOOKUP($B$5,标准坦克设计!$B$24:$U$30,MATCH("对"&amp;LEFT($C$5,2)&amp;"输出",标准坦克设计!$B$23:$U$23,0)))*(VLOOKUP($B104,INDIRECT($B$5&amp;"生成成长"),3))*(VLOOKUP($B$5,标准坦克设计!$B$14:$K$20,9)/30))</f>
        <v>9.5759749374236662</v>
      </c>
      <c r="EJ104" s="173">
        <f ca="1">(VLOOKUP(EJ$72,INDIRECT($C$5&amp;"生成成长"),2))/((VLOOKUP($B104,INDIRECT($B$5&amp;"生成成长"),4))/(VLOOKUP(EJ$72,INDIRECT($C$5&amp;"生成成长"),5))*(VLOOKUP($B$5,标准坦克设计!$B$24:$U$30,MATCH("对"&amp;LEFT($C$5,2)&amp;"输出",标准坦克设计!$B$23:$U$23,0)))*(VLOOKUP($B104,INDIRECT($B$5&amp;"生成成长"),3))*(VLOOKUP($B$5,标准坦克设计!$B$14:$K$20,9)/30))</f>
        <v>10.245425837029813</v>
      </c>
      <c r="EK104" s="173">
        <f ca="1">(VLOOKUP(EK$72,INDIRECT($C$5&amp;"生成成长"),2))/((VLOOKUP($B104,INDIRECT($B$5&amp;"生成成长"),4))/(VLOOKUP(EK$72,INDIRECT($C$5&amp;"生成成长"),5))*(VLOOKUP($B$5,标准坦克设计!$B$24:$U$30,MATCH("对"&amp;LEFT($C$5,2)&amp;"输出",标准坦克设计!$B$23:$U$23,0)))*(VLOOKUP($B104,INDIRECT($B$5&amp;"生成成长"),3))*(VLOOKUP($B$5,标准坦克设计!$B$14:$K$20,9)/30))</f>
        <v>11.078620808026109</v>
      </c>
      <c r="EL104" s="173">
        <f ca="1">(VLOOKUP(EL$72,INDIRECT($C$5&amp;"生成成长"),2))/((VLOOKUP($B104,INDIRECT($B$5&amp;"生成成长"),4))/(VLOOKUP(EL$72,INDIRECT($C$5&amp;"生成成长"),5))*(VLOOKUP($B$5,标准坦克设计!$B$24:$U$30,MATCH("对"&amp;LEFT($C$5,2)&amp;"输出",标准坦克设计!$B$23:$U$23,0)))*(VLOOKUP($B104,INDIRECT($B$5&amp;"生成成长"),3))*(VLOOKUP($B$5,标准坦克设计!$B$14:$K$20,9)/30))</f>
        <v>11.944383660624871</v>
      </c>
      <c r="EM104" s="173">
        <f ca="1">(VLOOKUP(EM$72,INDIRECT($C$5&amp;"生成成长"),2))/((VLOOKUP($B104,INDIRECT($B$5&amp;"生成成长"),4))/(VLOOKUP(EM$72,INDIRECT($C$5&amp;"生成成长"),5))*(VLOOKUP($B$5,标准坦克设计!$B$24:$U$30,MATCH("对"&amp;LEFT($C$5,2)&amp;"输出",标准坦克设计!$B$23:$U$23,0)))*(VLOOKUP($B104,INDIRECT($B$5&amp;"生成成长"),3))*(VLOOKUP($B$5,标准坦克设计!$B$14:$K$20,9)/30))</f>
        <v>12.842714394826091</v>
      </c>
      <c r="EN104" s="173">
        <f ca="1">(VLOOKUP(EN$72,INDIRECT($C$5&amp;"生成成长"),2))/((VLOOKUP($B104,INDIRECT($B$5&amp;"生成成长"),4))/(VLOOKUP(EN$72,INDIRECT($C$5&amp;"生成成长"),5))*(VLOOKUP($B$5,标准坦克设计!$B$24:$U$30,MATCH("对"&amp;LEFT($C$5,2)&amp;"输出",标准坦克设计!$B$23:$U$23,0)))*(VLOOKUP($B104,INDIRECT($B$5&amp;"生成成长"),3))*(VLOOKUP($B$5,标准坦克设计!$B$14:$K$20,9)/30))</f>
        <v>13.773613010629774</v>
      </c>
      <c r="EO104" s="173">
        <f ca="1">(VLOOKUP(EO$72,INDIRECT($C$5&amp;"生成成长"),2))/((VLOOKUP($B104,INDIRECT($B$5&amp;"生成成长"),4))/(VLOOKUP(EO$72,INDIRECT($C$5&amp;"生成成长"),5))*(VLOOKUP($B$5,标准坦克设计!$B$24:$U$30,MATCH("对"&amp;LEFT($C$5,2)&amp;"输出",标准坦克设计!$B$23:$U$23,0)))*(VLOOKUP($B104,INDIRECT($B$5&amp;"生成成长"),3))*(VLOOKUP($B$5,标准坦克设计!$B$14:$K$20,9)/30))</f>
        <v>14.737079508035917</v>
      </c>
      <c r="EP104" s="173">
        <f ca="1">(VLOOKUP(EP$72,INDIRECT($C$5&amp;"生成成长"),2))/((VLOOKUP($B104,INDIRECT($B$5&amp;"生成成长"),4))/(VLOOKUP(EP$72,INDIRECT($C$5&amp;"生成成长"),5))*(VLOOKUP($B$5,标准坦克设计!$B$24:$U$30,MATCH("对"&amp;LEFT($C$5,2)&amp;"输出",标准坦克设计!$B$23:$U$23,0)))*(VLOOKUP($B104,INDIRECT($B$5&amp;"生成成长"),3))*(VLOOKUP($B$5,标准坦克设计!$B$14:$K$20,9)/30))</f>
        <v>15.733113887044526</v>
      </c>
      <c r="EQ104" s="173">
        <f ca="1">(VLOOKUP(EQ$72,INDIRECT($C$5&amp;"生成成长"),2))/((VLOOKUP($B104,INDIRECT($B$5&amp;"生成成长"),4))/(VLOOKUP(EQ$72,INDIRECT($C$5&amp;"生成成长"),5))*(VLOOKUP($B$5,标准坦克设计!$B$24:$U$30,MATCH("对"&amp;LEFT($C$5,2)&amp;"输出",标准坦克设计!$B$23:$U$23,0)))*(VLOOKUP($B104,INDIRECT($B$5&amp;"生成成长"),3))*(VLOOKUP($B$5,标准坦克设计!$B$14:$K$20,9)/30))</f>
        <v>6.9550520488811545</v>
      </c>
      <c r="ER104" s="173">
        <f ca="1">(VLOOKUP(ER$72,INDIRECT($C$5&amp;"生成成长"),2))/((VLOOKUP($B104,INDIRECT($B$5&amp;"生成成长"),4))/(VLOOKUP(ER$72,INDIRECT($C$5&amp;"生成成长"),5))*(VLOOKUP($B$5,标准坦克设计!$B$24:$U$30,MATCH("对"&amp;LEFT($C$5,2)&amp;"输出",标准坦克设计!$B$23:$U$23,0)))*(VLOOKUP($B104,INDIRECT($B$5&amp;"生成成长"),3))*(VLOOKUP($B$5,标准坦克设计!$B$14:$K$20,9)/30))</f>
        <v>7.5857155061621491</v>
      </c>
      <c r="ES104" s="173">
        <f ca="1">(VLOOKUP(ES$72,INDIRECT($C$5&amp;"生成成长"),2))/((VLOOKUP($B104,INDIRECT($B$5&amp;"生成成长"),4))/(VLOOKUP(ES$72,INDIRECT($C$5&amp;"生成成长"),5))*(VLOOKUP($B$5,标准坦克设计!$B$24:$U$30,MATCH("对"&amp;LEFT($C$5,2)&amp;"输出",标准坦克设计!$B$23:$U$23,0)))*(VLOOKUP($B104,INDIRECT($B$5&amp;"生成成长"),3))*(VLOOKUP($B$5,标准坦克设计!$B$14:$K$20,9)/30))</f>
        <v>8.2437450306229891</v>
      </c>
      <c r="ET104" s="173">
        <f ca="1">(VLOOKUP(ET$72,INDIRECT($C$5&amp;"生成成长"),2))/((VLOOKUP($B104,INDIRECT($B$5&amp;"生成成长"),4))/(VLOOKUP(ET$72,INDIRECT($C$5&amp;"生成成长"),5))*(VLOOKUP($B$5,标准坦克设计!$B$24:$U$30,MATCH("对"&amp;LEFT($C$5,2)&amp;"输出",标准坦克设计!$B$23:$U$23,0)))*(VLOOKUP($B104,INDIRECT($B$5&amp;"生成成长"),3))*(VLOOKUP($B$5,标准坦克设计!$B$14:$K$20,9)/30))</f>
        <v>8.929140622263672</v>
      </c>
      <c r="EU104" s="173">
        <f ca="1">(VLOOKUP(EU$72,INDIRECT($C$5&amp;"生成成长"),2))/((VLOOKUP($B104,INDIRECT($B$5&amp;"生成成长"),4))/(VLOOKUP(EU$72,INDIRECT($C$5&amp;"生成成长"),5))*(VLOOKUP($B$5,标准坦克设计!$B$24:$U$30,MATCH("对"&amp;LEFT($C$5,2)&amp;"输出",标准坦克设计!$B$23:$U$23,0)))*(VLOOKUP($B104,INDIRECT($B$5&amp;"生成成长"),3))*(VLOOKUP($B$5,标准坦克设计!$B$14:$K$20,9)/30))</f>
        <v>9.6419022810842048</v>
      </c>
      <c r="EV104" s="173">
        <f ca="1">(VLOOKUP(EV$72,INDIRECT($C$5&amp;"生成成长"),2))/((VLOOKUP($B104,INDIRECT($B$5&amp;"生成成长"),4))/(VLOOKUP(EV$72,INDIRECT($C$5&amp;"生成成长"),5))*(VLOOKUP($B$5,标准坦克设计!$B$24:$U$30,MATCH("对"&amp;LEFT($C$5,2)&amp;"输出",标准坦克设计!$B$23:$U$23,0)))*(VLOOKUP($B104,INDIRECT($B$5&amp;"生成成长"),3))*(VLOOKUP($B$5,标准坦克设计!$B$14:$K$20,9)/30))</f>
        <v>10.38203000708458</v>
      </c>
      <c r="EW104" s="173">
        <f ca="1">(VLOOKUP(EW$72,INDIRECT($C$5&amp;"生成成长"),2))/((VLOOKUP($B104,INDIRECT($B$5&amp;"生成成长"),4))/(VLOOKUP(EW$72,INDIRECT($C$5&amp;"生成成长"),5))*(VLOOKUP($B$5,标准坦克设计!$B$24:$U$30,MATCH("对"&amp;LEFT($C$5,2)&amp;"输出",标准坦克设计!$B$23:$U$23,0)))*(VLOOKUP($B104,INDIRECT($B$5&amp;"生成成长"),3))*(VLOOKUP($B$5,标准坦克设计!$B$14:$K$20,9)/30))</f>
        <v>11.1495238002648</v>
      </c>
      <c r="EX104" s="173">
        <f ca="1">(VLOOKUP(EX$72,INDIRECT($C$5&amp;"生成成长"),2))/((VLOOKUP($B104,INDIRECT($B$5&amp;"生成成长"),4))/(VLOOKUP(EX$72,INDIRECT($C$5&amp;"生成成长"),5))*(VLOOKUP($B$5,标准坦克设计!$B$24:$U$30,MATCH("对"&amp;LEFT($C$5,2)&amp;"输出",标准坦克设计!$B$23:$U$23,0)))*(VLOOKUP($B104,INDIRECT($B$5&amp;"生成成长"),3))*(VLOOKUP($B$5,标准坦克设计!$B$14:$K$20,9)/30))</f>
        <v>11.944383660624871</v>
      </c>
      <c r="EY104" s="173">
        <f ca="1">(VLOOKUP(EY$72,INDIRECT($C$5&amp;"生成成长"),2))/((VLOOKUP($B104,INDIRECT($B$5&amp;"生成成长"),4))/(VLOOKUP(EY$72,INDIRECT($C$5&amp;"生成成长"),5))*(VLOOKUP($B$5,标准坦克设计!$B$24:$U$30,MATCH("对"&amp;LEFT($C$5,2)&amp;"输出",标准坦克设计!$B$23:$U$23,0)))*(VLOOKUP($B104,INDIRECT($B$5&amp;"生成成长"),3))*(VLOOKUP($B$5,标准坦克设计!$B$14:$K$20,9)/30))</f>
        <v>12.766609588164783</v>
      </c>
      <c r="EZ104" s="173">
        <f ca="1">(VLOOKUP(EZ$72,INDIRECT($C$5&amp;"生成成长"),2))/((VLOOKUP($B104,INDIRECT($B$5&amp;"生成成长"),4))/(VLOOKUP(EZ$72,INDIRECT($C$5&amp;"生成成长"),5))*(VLOOKUP($B$5,标准坦克设计!$B$24:$U$30,MATCH("对"&amp;LEFT($C$5,2)&amp;"输出",标准坦克设计!$B$23:$U$23,0)))*(VLOOKUP($B104,INDIRECT($B$5&amp;"生成成长"),3))*(VLOOKUP($B$5,标准坦克设计!$B$14:$K$20,9)/30))</f>
        <v>13.616201582884544</v>
      </c>
      <c r="FA104" s="173">
        <f ca="1">(VLOOKUP(FA$72,INDIRECT($C$5&amp;"生成成长"),2))/((VLOOKUP($B104,INDIRECT($B$5&amp;"生成成长"),4))/(VLOOKUP(FA$72,INDIRECT($C$5&amp;"生成成长"),5))*(VLOOKUP($B$5,标准坦克设计!$B$24:$U$30,MATCH("对"&amp;LEFT($C$5,2)&amp;"输出",标准坦克设计!$B$23:$U$23,0)))*(VLOOKUP($B104,INDIRECT($B$5&amp;"生成成长"),3))*(VLOOKUP($B$5,标准坦克设计!$B$14:$K$20,9)/30))</f>
        <v>14.49315964478415</v>
      </c>
      <c r="FB104" s="173">
        <f ca="1">(VLOOKUP(FB$72,INDIRECT($C$5&amp;"生成成长"),2))/((VLOOKUP($B104,INDIRECT($B$5&amp;"生成成长"),4))/(VLOOKUP(FB$72,INDIRECT($C$5&amp;"生成成长"),5))*(VLOOKUP($B$5,标准坦克设计!$B$24:$U$30,MATCH("对"&amp;LEFT($C$5,2)&amp;"输出",标准坦克设计!$B$23:$U$23,0)))*(VLOOKUP($B104,INDIRECT($B$5&amp;"生成成长"),3))*(VLOOKUP($B$5,标准坦克设计!$B$14:$K$20,9)/30))</f>
        <v>15.397483773863604</v>
      </c>
      <c r="FC104" s="173">
        <f ca="1">(VLOOKUP(FC$72,INDIRECT($C$5&amp;"生成成长"),2))/((VLOOKUP($B104,INDIRECT($B$5&amp;"生成成长"),4))/(VLOOKUP(FC$72,INDIRECT($C$5&amp;"生成成长"),5))*(VLOOKUP($B$5,标准坦克设计!$B$24:$U$30,MATCH("对"&amp;LEFT($C$5,2)&amp;"输出",标准坦克设计!$B$23:$U$23,0)))*(VLOOKUP($B104,INDIRECT($B$5&amp;"生成成长"),3))*(VLOOKUP($B$5,标准坦克设计!$B$14:$K$20,9)/30))</f>
        <v>16.329173970122898</v>
      </c>
      <c r="FD104" s="173">
        <f ca="1">(VLOOKUP(FD$72,INDIRECT($C$5&amp;"生成成长"),2))/((VLOOKUP($B104,INDIRECT($B$5&amp;"生成成长"),4))/(VLOOKUP(FD$72,INDIRECT($C$5&amp;"生成成长"),5))*(VLOOKUP($B$5,标准坦克设计!$B$24:$U$30,MATCH("对"&amp;LEFT($C$5,2)&amp;"输出",标准坦克设计!$B$23:$U$23,0)))*(VLOOKUP($B104,INDIRECT($B$5&amp;"生成成长"),3))*(VLOOKUP($B$5,标准坦克设计!$B$14:$K$20,9)/30))</f>
        <v>17.288230233562043</v>
      </c>
      <c r="FE104" s="173">
        <f ca="1">(VLOOKUP(FE$72,INDIRECT($C$5&amp;"生成成长"),2))/((VLOOKUP($B104,INDIRECT($B$5&amp;"生成成长"),4))/(VLOOKUP(FE$72,INDIRECT($C$5&amp;"生成成长"),5))*(VLOOKUP($B$5,标准坦克设计!$B$24:$U$30,MATCH("对"&amp;LEFT($C$5,2)&amp;"输出",标准坦克设计!$B$23:$U$23,0)))*(VLOOKUP($B104,INDIRECT($B$5&amp;"生成成长"),3))*(VLOOKUP($B$5,标准坦克设计!$B$14:$K$20,9)/30))</f>
        <v>18.456942234817031</v>
      </c>
      <c r="FF104" s="173">
        <f ca="1">(VLOOKUP(FF$72,INDIRECT($C$5&amp;"生成成长"),2))/((VLOOKUP($B104,INDIRECT($B$5&amp;"生成成长"),4))/(VLOOKUP(FF$72,INDIRECT($C$5&amp;"生成成长"),5))*(VLOOKUP($B$5,标准坦克设计!$B$24:$U$30,MATCH("对"&amp;LEFT($C$5,2)&amp;"输出",标准坦克设计!$B$23:$U$23,0)))*(VLOOKUP($B104,INDIRECT($B$5&amp;"生成成长"),3))*(VLOOKUP($B$5,标准坦克设计!$B$14:$K$20,9)/30))</f>
        <v>19.663876263786015</v>
      </c>
      <c r="FG104" s="173">
        <f ca="1">(VLOOKUP(FG$72,INDIRECT($C$5&amp;"生成成长"),2))/((VLOOKUP($B104,INDIRECT($B$5&amp;"生成成长"),4))/(VLOOKUP(FG$72,INDIRECT($C$5&amp;"生成成长"),5))*(VLOOKUP($B$5,标准坦克设计!$B$24:$U$30,MATCH("对"&amp;LEFT($C$5,2)&amp;"输出",标准坦克设计!$B$23:$U$23,0)))*(VLOOKUP($B104,INDIRECT($B$5&amp;"生成成长"),3))*(VLOOKUP($B$5,标准坦克设计!$B$14:$K$20,9)/30))</f>
        <v>20.909032320469006</v>
      </c>
      <c r="FH104" s="173">
        <f ca="1">(VLOOKUP(FH$72,INDIRECT($C$5&amp;"生成成长"),2))/((VLOOKUP($B104,INDIRECT($B$5&amp;"生成成长"),4))/(VLOOKUP(FH$72,INDIRECT($C$5&amp;"生成成长"),5))*(VLOOKUP($B$5,标准坦克设计!$B$24:$U$30,MATCH("对"&amp;LEFT($C$5,2)&amp;"输出",标准坦克设计!$B$23:$U$23,0)))*(VLOOKUP($B104,INDIRECT($B$5&amp;"生成成长"),3))*(VLOOKUP($B$5,标准坦克设计!$B$14:$K$20,9)/30))</f>
        <v>22.192410404865988</v>
      </c>
      <c r="FI104" s="173">
        <f ca="1">(VLOOKUP(FI$72,INDIRECT($C$5&amp;"生成成长"),2))/((VLOOKUP($B104,INDIRECT($B$5&amp;"生成成长"),4))/(VLOOKUP(FI$72,INDIRECT($C$5&amp;"生成成长"),5))*(VLOOKUP($B$5,标准坦克设计!$B$24:$U$30,MATCH("对"&amp;LEFT($C$5,2)&amp;"输出",标准坦克设计!$B$23:$U$23,0)))*(VLOOKUP($B104,INDIRECT($B$5&amp;"生成成长"),3))*(VLOOKUP($B$5,标准坦克设计!$B$14:$K$20,9)/30))</f>
        <v>23.514010516976974</v>
      </c>
      <c r="FJ104" s="173">
        <f ca="1">(VLOOKUP(FJ$72,INDIRECT($C$5&amp;"生成成长"),2))/((VLOOKUP($B104,INDIRECT($B$5&amp;"生成成长"),4))/(VLOOKUP(FJ$72,INDIRECT($C$5&amp;"生成成长"),5))*(VLOOKUP($B$5,标准坦克设计!$B$24:$U$30,MATCH("对"&amp;LEFT($C$5,2)&amp;"输出",标准坦克设计!$B$23:$U$23,0)))*(VLOOKUP($B104,INDIRECT($B$5&amp;"生成成长"),3))*(VLOOKUP($B$5,标准坦克设计!$B$14:$K$20,9)/30))</f>
        <v>24.873832656801962</v>
      </c>
      <c r="FK104" s="173">
        <f ca="1">(VLOOKUP(FK$72,INDIRECT($C$5&amp;"生成成长"),2))/((VLOOKUP($B104,INDIRECT($B$5&amp;"生成成长"),4))/(VLOOKUP(FK$72,INDIRECT($C$5&amp;"生成成长"),5))*(VLOOKUP($B$5,标准坦克设计!$B$24:$U$30,MATCH("对"&amp;LEFT($C$5,2)&amp;"输出",标准坦克设计!$B$23:$U$23,0)))*(VLOOKUP($B104,INDIRECT($B$5&amp;"生成成长"),3))*(VLOOKUP($B$5,标准坦克设计!$B$14:$K$20,9)/30))</f>
        <v>26.271876824340946</v>
      </c>
    </row>
    <row r="105" spans="1:167" x14ac:dyDescent="0.15">
      <c r="A105" s="171" t="str">
        <f t="shared" si="11"/>
        <v>T5低品质1级</v>
      </c>
      <c r="B105" s="172">
        <v>10501</v>
      </c>
      <c r="C105" s="173">
        <f ca="1">(VLOOKUP(C$72,INDIRECT($C$5&amp;"生成成长"),2))/((VLOOKUP($B105,INDIRECT($B$5&amp;"生成成长"),4))/(VLOOKUP(C$72,INDIRECT($C$5&amp;"生成成长"),5))*(VLOOKUP($B$5,标准坦克设计!$B$24:$U$30,MATCH("对"&amp;LEFT($C$5,2)&amp;"输出",标准坦克设计!$B$23:$U$23,0)))*(VLOOKUP($B105,INDIRECT($B$5&amp;"生成成长"),3))*(VLOOKUP($B$5,标准坦克设计!$B$14:$K$20,9)/30))</f>
        <v>1.5994156435284079</v>
      </c>
      <c r="D105" s="173">
        <f ca="1">(VLOOKUP(D$72,INDIRECT($C$5&amp;"生成成长"),2))/((VLOOKUP($B105,INDIRECT($B$5&amp;"生成成长"),4))/(VLOOKUP(D$72,INDIRECT($C$5&amp;"生成成长"),5))*(VLOOKUP($B$5,标准坦克设计!$B$24:$U$30,MATCH("对"&amp;LEFT($C$5,2)&amp;"输出",标准坦克设计!$B$23:$U$23,0)))*(VLOOKUP($B105,INDIRECT($B$5&amp;"生成成长"),3))*(VLOOKUP($B$5,标准坦克设计!$B$14:$K$20,9)/30))</f>
        <v>1.7971034170685189</v>
      </c>
      <c r="E105" s="173">
        <f ca="1">(VLOOKUP(E$72,INDIRECT($C$5&amp;"生成成长"),2))/((VLOOKUP($B105,INDIRECT($B$5&amp;"生成成长"),4))/(VLOOKUP(E$72,INDIRECT($C$5&amp;"生成成长"),5))*(VLOOKUP($B$5,标准坦克设计!$B$24:$U$30,MATCH("对"&amp;LEFT($C$5,2)&amp;"输出",标准坦克设计!$B$23:$U$23,0)))*(VLOOKUP($B105,INDIRECT($B$5&amp;"生成成长"),3))*(VLOOKUP($B$5,标准坦克设计!$B$14:$K$20,9)/30))</f>
        <v>2.0063069832420348</v>
      </c>
      <c r="F105" s="173">
        <f ca="1">(VLOOKUP(F$72,INDIRECT($C$5&amp;"生成成长"),2))/((VLOOKUP($B105,INDIRECT($B$5&amp;"生成成长"),4))/(VLOOKUP(F$72,INDIRECT($C$5&amp;"生成成长"),5))*(VLOOKUP($B$5,标准坦克设计!$B$24:$U$30,MATCH("对"&amp;LEFT($C$5,2)&amp;"输出",标准坦克设计!$B$23:$U$23,0)))*(VLOOKUP($B105,INDIRECT($B$5&amp;"生成成长"),3))*(VLOOKUP($B$5,标准坦克设计!$B$14:$K$20,9)/30))</f>
        <v>2.2270263420489549</v>
      </c>
      <c r="G105" s="173">
        <f ca="1">(VLOOKUP(G$72,INDIRECT($C$5&amp;"生成成长"),2))/((VLOOKUP($B105,INDIRECT($B$5&amp;"生成成长"),4))/(VLOOKUP(G$72,INDIRECT($C$5&amp;"生成成长"),5))*(VLOOKUP($B$5,标准坦克设计!$B$24:$U$30,MATCH("对"&amp;LEFT($C$5,2)&amp;"输出",标准坦克设计!$B$23:$U$23,0)))*(VLOOKUP($B105,INDIRECT($B$5&amp;"生成成长"),3))*(VLOOKUP($B$5,标准坦克设计!$B$14:$K$20,9)/30))</f>
        <v>2.4592614934892798</v>
      </c>
      <c r="H105" s="173">
        <f ca="1">(VLOOKUP(H$72,INDIRECT($C$5&amp;"生成成长"),2))/((VLOOKUP($B105,INDIRECT($B$5&amp;"生成成长"),4))/(VLOOKUP(H$72,INDIRECT($C$5&amp;"生成成长"),5))*(VLOOKUP($B$5,标准坦克设计!$B$24:$U$30,MATCH("对"&amp;LEFT($C$5,2)&amp;"输出",标准坦克设计!$B$23:$U$23,0)))*(VLOOKUP($B105,INDIRECT($B$5&amp;"生成成长"),3))*(VLOOKUP($B$5,标准坦克设计!$B$14:$K$20,9)/30))</f>
        <v>2.1521736899318253</v>
      </c>
      <c r="I105" s="173">
        <f ca="1">(VLOOKUP(I$72,INDIRECT($C$5&amp;"生成成长"),2))/((VLOOKUP($B105,INDIRECT($B$5&amp;"生成成长"),4))/(VLOOKUP(I$72,INDIRECT($C$5&amp;"生成成长"),5))*(VLOOKUP($B$5,标准坦克设计!$B$24:$U$30,MATCH("对"&amp;LEFT($C$5,2)&amp;"输出",标准坦克设计!$B$23:$U$23,0)))*(VLOOKUP($B105,INDIRECT($B$5&amp;"生成成长"),3))*(VLOOKUP($B$5,标准坦克设计!$B$14:$K$20,9)/30))</f>
        <v>2.4592614934892798</v>
      </c>
      <c r="J105" s="173">
        <f ca="1">(VLOOKUP(J$72,INDIRECT($C$5&amp;"生成成长"),2))/((VLOOKUP($B105,INDIRECT($B$5&amp;"生成成长"),4))/(VLOOKUP(J$72,INDIRECT($C$5&amp;"生成成长"),5))*(VLOOKUP($B$5,标准坦克设计!$B$24:$U$30,MATCH("对"&amp;LEFT($C$5,2)&amp;"输出",标准坦克设计!$B$23:$U$23,0)))*(VLOOKUP($B105,INDIRECT($B$5&amp;"生成成长"),3))*(VLOOKUP($B$5,标准坦克设计!$B$14:$K$20,9)/30))</f>
        <v>2.7868218172838977</v>
      </c>
      <c r="K105" s="173">
        <f ca="1">(VLOOKUP(K$72,INDIRECT($C$5&amp;"生成成长"),2))/((VLOOKUP($B105,INDIRECT($B$5&amp;"生成成长"),4))/(VLOOKUP(K$72,INDIRECT($C$5&amp;"生成成长"),5))*(VLOOKUP($B$5,标准坦克设计!$B$24:$U$30,MATCH("对"&amp;LEFT($C$5,2)&amp;"输出",标准坦克设计!$B$23:$U$23,0)))*(VLOOKUP($B105,INDIRECT($B$5&amp;"生成成长"),3))*(VLOOKUP($B$5,标准坦克设计!$B$14:$K$20,9)/30))</f>
        <v>3.1348546613156794</v>
      </c>
      <c r="L105" s="173">
        <f ca="1">(VLOOKUP(L$72,INDIRECT($C$5&amp;"生成成长"),2))/((VLOOKUP($B105,INDIRECT($B$5&amp;"生成成长"),4))/(VLOOKUP(L$72,INDIRECT($C$5&amp;"生成成长"),5))*(VLOOKUP($B$5,标准坦克设计!$B$24:$U$30,MATCH("对"&amp;LEFT($C$5,2)&amp;"输出",标准坦克设计!$B$23:$U$23,0)))*(VLOOKUP($B105,INDIRECT($B$5&amp;"生成成长"),3))*(VLOOKUP($B$5,标准坦克设计!$B$14:$K$20,9)/30))</f>
        <v>3.5033600255846249</v>
      </c>
      <c r="M105" s="173">
        <f ca="1">(VLOOKUP(M$72,INDIRECT($C$5&amp;"生成成长"),2))/((VLOOKUP($B105,INDIRECT($B$5&amp;"生成成长"),4))/(VLOOKUP(M$72,INDIRECT($C$5&amp;"生成成长"),5))*(VLOOKUP($B$5,标准坦克设计!$B$24:$U$30,MATCH("对"&amp;LEFT($C$5,2)&amp;"输出",标准坦克设计!$B$23:$U$23,0)))*(VLOOKUP($B105,INDIRECT($B$5&amp;"生成成长"),3))*(VLOOKUP($B$5,标准坦克设计!$B$14:$K$20,9)/30))</f>
        <v>3.8923379100907338</v>
      </c>
      <c r="N105" s="173">
        <f ca="1">(VLOOKUP(N$72,INDIRECT($C$5&amp;"生成成长"),2))/((VLOOKUP($B105,INDIRECT($B$5&amp;"生成成长"),4))/(VLOOKUP(N$72,INDIRECT($C$5&amp;"生成成长"),5))*(VLOOKUP($B$5,标准坦克设计!$B$24:$U$30,MATCH("对"&amp;LEFT($C$5,2)&amp;"输出",标准坦克设计!$B$23:$U$23,0)))*(VLOOKUP($B105,INDIRECT($B$5&amp;"生成成长"),3))*(VLOOKUP($B$5,标准坦克设计!$B$14:$K$20,9)/30))</f>
        <v>4.3017883148340061</v>
      </c>
      <c r="O105" s="173">
        <f ca="1">(VLOOKUP(O$72,INDIRECT($C$5&amp;"生成成长"),2))/((VLOOKUP($B105,INDIRECT($B$5&amp;"生成成长"),4))/(VLOOKUP(O$72,INDIRECT($C$5&amp;"生成成长"),5))*(VLOOKUP($B$5,标准坦克设计!$B$24:$U$30,MATCH("对"&amp;LEFT($C$5,2)&amp;"输出",标准坦克设计!$B$23:$U$23,0)))*(VLOOKUP($B105,INDIRECT($B$5&amp;"生成成长"),3))*(VLOOKUP($B$5,标准坦克设计!$B$14:$K$20,9)/30))</f>
        <v>3.2706450494512409</v>
      </c>
      <c r="P105" s="173">
        <f ca="1">(VLOOKUP(P$72,INDIRECT($C$5&amp;"生成成长"),2))/((VLOOKUP($B105,INDIRECT($B$5&amp;"生成成长"),4))/(VLOOKUP(P$72,INDIRECT($C$5&amp;"生成成长"),5))*(VLOOKUP($B$5,标准坦克设计!$B$24:$U$30,MATCH("对"&amp;LEFT($C$5,2)&amp;"输出",标准坦克设计!$B$23:$U$23,0)))*(VLOOKUP($B105,INDIRECT($B$5&amp;"生成成长"),3))*(VLOOKUP($B$5,标准坦克设计!$B$14:$K$20,9)/30))</f>
        <v>3.6952899028080335</v>
      </c>
      <c r="Q105" s="173">
        <f ca="1">(VLOOKUP(Q$72,INDIRECT($C$5&amp;"生成成长"),2))/((VLOOKUP($B105,INDIRECT($B$5&amp;"生成成长"),4))/(VLOOKUP(Q$72,INDIRECT($C$5&amp;"生成成长"),5))*(VLOOKUP($B$5,标准坦克设计!$B$24:$U$30,MATCH("对"&amp;LEFT($C$5,2)&amp;"输出",标准坦克设计!$B$23:$U$23,0)))*(VLOOKUP($B105,INDIRECT($B$5&amp;"生成成长"),3))*(VLOOKUP($B$5,标准坦克设计!$B$14:$K$20,9)/30))</f>
        <v>4.1458452895899862</v>
      </c>
      <c r="R105" s="173">
        <f ca="1">(VLOOKUP(R$72,INDIRECT($C$5&amp;"生成成长"),2))/((VLOOKUP($B105,INDIRECT($B$5&amp;"生成成长"),4))/(VLOOKUP(R$72,INDIRECT($C$5&amp;"生成成长"),5))*(VLOOKUP($B$5,标准坦克设计!$B$24:$U$30,MATCH("对"&amp;LEFT($C$5,2)&amp;"输出",标准坦克设计!$B$23:$U$23,0)))*(VLOOKUP($B105,INDIRECT($B$5&amp;"生成成长"),3))*(VLOOKUP($B$5,标准坦克设计!$B$14:$K$20,9)/30))</f>
        <v>4.6223112097970995</v>
      </c>
      <c r="S105" s="173">
        <f ca="1">(VLOOKUP(S$72,INDIRECT($C$5&amp;"生成成长"),2))/((VLOOKUP($B105,INDIRECT($B$5&amp;"生成成长"),4))/(VLOOKUP(S$72,INDIRECT($C$5&amp;"生成成长"),5))*(VLOOKUP($B$5,标准坦克设计!$B$24:$U$30,MATCH("对"&amp;LEFT($C$5,2)&amp;"输出",标准坦克设计!$B$23:$U$23,0)))*(VLOOKUP($B105,INDIRECT($B$5&amp;"生成成长"),3))*(VLOOKUP($B$5,标准坦克设计!$B$14:$K$20,9)/30))</f>
        <v>5.1246876634293717</v>
      </c>
      <c r="T105" s="173">
        <f ca="1">(VLOOKUP(T$72,INDIRECT($C$5&amp;"生成成长"),2))/((VLOOKUP($B105,INDIRECT($B$5&amp;"生成成长"),4))/(VLOOKUP(T$72,INDIRECT($C$5&amp;"生成成长"),5))*(VLOOKUP($B$5,标准坦克设计!$B$24:$U$30,MATCH("对"&amp;LEFT($C$5,2)&amp;"输出",标准坦克设计!$B$23:$U$23,0)))*(VLOOKUP($B105,INDIRECT($B$5&amp;"生成成长"),3))*(VLOOKUP($B$5,标准坦克设计!$B$14:$K$20,9)/30))</f>
        <v>5.6529746504868044</v>
      </c>
      <c r="U105" s="173">
        <f ca="1">(VLOOKUP(U$72,INDIRECT($C$5&amp;"生成成长"),2))/((VLOOKUP($B105,INDIRECT($B$5&amp;"生成成长"),4))/(VLOOKUP(U$72,INDIRECT($C$5&amp;"生成成长"),5))*(VLOOKUP($B$5,标准坦克设计!$B$24:$U$30,MATCH("对"&amp;LEFT($C$5,2)&amp;"输出",标准坦克设计!$B$23:$U$23,0)))*(VLOOKUP($B105,INDIRECT($B$5&amp;"生成成长"),3))*(VLOOKUP($B$5,标准坦克设计!$B$14:$K$20,9)/30))</f>
        <v>6.2071721709693977</v>
      </c>
      <c r="V105" s="173">
        <f ca="1">(VLOOKUP(V$72,INDIRECT($C$5&amp;"生成成长"),2))/((VLOOKUP($B105,INDIRECT($B$5&amp;"生成成长"),4))/(VLOOKUP(V$72,INDIRECT($C$5&amp;"生成成长"),5))*(VLOOKUP($B$5,标准坦克设计!$B$24:$U$30,MATCH("对"&amp;LEFT($C$5,2)&amp;"输出",标准坦克设计!$B$23:$U$23,0)))*(VLOOKUP($B105,INDIRECT($B$5&amp;"生成成长"),3))*(VLOOKUP($B$5,标准坦克设计!$B$14:$K$20,9)/30))</f>
        <v>6.7872802248771515</v>
      </c>
      <c r="W105" s="173">
        <f ca="1">(VLOOKUP(W$72,INDIRECT($C$5&amp;"生成成长"),2))/((VLOOKUP($B105,INDIRECT($B$5&amp;"生成成长"),4))/(VLOOKUP(W$72,INDIRECT($C$5&amp;"生成成长"),5))*(VLOOKUP($B$5,标准坦克设计!$B$24:$U$30,MATCH("对"&amp;LEFT($C$5,2)&amp;"输出",标准坦克设计!$B$23:$U$23,0)))*(VLOOKUP($B105,INDIRECT($B$5&amp;"生成成长"),3))*(VLOOKUP($B$5,标准坦克设计!$B$14:$K$20,9)/30))</f>
        <v>7.3932988122100642</v>
      </c>
      <c r="X105" s="173">
        <f ca="1">(VLOOKUP(X$72,INDIRECT($C$5&amp;"生成成长"),2))/((VLOOKUP($B105,INDIRECT($B$5&amp;"生成成长"),4))/(VLOOKUP(X$72,INDIRECT($C$5&amp;"生成成长"),5))*(VLOOKUP($B$5,标准坦克设计!$B$24:$U$30,MATCH("对"&amp;LEFT($C$5,2)&amp;"输出",标准坦克设计!$B$23:$U$23,0)))*(VLOOKUP($B105,INDIRECT($B$5&amp;"生成成长"),3))*(VLOOKUP($B$5,标准坦克设计!$B$14:$K$20,9)/30))</f>
        <v>5.3562830486122852</v>
      </c>
      <c r="Y105" s="173">
        <f ca="1">(VLOOKUP(Y$72,INDIRECT($C$5&amp;"生成成长"),2))/((VLOOKUP($B105,INDIRECT($B$5&amp;"生成成长"),4))/(VLOOKUP(Y$72,INDIRECT($C$5&amp;"生成成长"),5))*(VLOOKUP($B$5,标准坦克设计!$B$24:$U$30,MATCH("对"&amp;LEFT($C$5,2)&amp;"输出",标准坦克设计!$B$23:$U$23,0)))*(VLOOKUP($B105,INDIRECT($B$5&amp;"生成成长"),3))*(VLOOKUP($B$5,标准坦克设计!$B$14:$K$20,9)/30))</f>
        <v>5.957663330578967</v>
      </c>
      <c r="Z105" s="173">
        <f ca="1">(VLOOKUP(Z$72,INDIRECT($C$5&amp;"生成成长"),2))/((VLOOKUP($B105,INDIRECT($B$5&amp;"生成成长"),4))/(VLOOKUP(Z$72,INDIRECT($C$5&amp;"生成成长"),5))*(VLOOKUP($B$5,标准坦克设计!$B$24:$U$30,MATCH("对"&amp;LEFT($C$5,2)&amp;"输出",标准坦克设计!$B$23:$U$23,0)))*(VLOOKUP($B105,INDIRECT($B$5&amp;"生成成长"),3))*(VLOOKUP($B$5,标准坦克设计!$B$14:$K$20,9)/30))</f>
        <v>6.5910319254162166</v>
      </c>
      <c r="AA105" s="173">
        <f ca="1">(VLOOKUP(AA$72,INDIRECT($C$5&amp;"生成成长"),2))/((VLOOKUP($B105,INDIRECT($B$5&amp;"生成成长"),4))/(VLOOKUP(AA$72,INDIRECT($C$5&amp;"生成成长"),5))*(VLOOKUP($B$5,标准坦克设计!$B$24:$U$30,MATCH("对"&amp;LEFT($C$5,2)&amp;"输出",标准坦克设计!$B$23:$U$23,0)))*(VLOOKUP($B105,INDIRECT($B$5&amp;"生成成长"),3))*(VLOOKUP($B$5,标准坦克设计!$B$14:$K$20,9)/30))</f>
        <v>7.256388833124034</v>
      </c>
      <c r="AB105" s="173">
        <f ca="1">(VLOOKUP(AB$72,INDIRECT($C$5&amp;"生成成长"),2))/((VLOOKUP($B105,INDIRECT($B$5&amp;"生成成长"),4))/(VLOOKUP(AB$72,INDIRECT($C$5&amp;"生成成长"),5))*(VLOOKUP($B$5,标准坦克设计!$B$24:$U$30,MATCH("对"&amp;LEFT($C$5,2)&amp;"输出",标准坦克设计!$B$23:$U$23,0)))*(VLOOKUP($B105,INDIRECT($B$5&amp;"生成成长"),3))*(VLOOKUP($B$5,标准坦克设计!$B$14:$K$20,9)/30))</f>
        <v>7.9537340537024193</v>
      </c>
      <c r="AC105" s="173">
        <f ca="1">(VLOOKUP(AC$72,INDIRECT($C$5&amp;"生成成长"),2))/((VLOOKUP($B105,INDIRECT($B$5&amp;"生成成长"),4))/(VLOOKUP(AC$72,INDIRECT($C$5&amp;"生成成长"),5))*(VLOOKUP($B$5,标准坦克设计!$B$24:$U$30,MATCH("对"&amp;LEFT($C$5,2)&amp;"输出",标准坦克设计!$B$23:$U$23,0)))*(VLOOKUP($B105,INDIRECT($B$5&amp;"生成成长"),3))*(VLOOKUP($B$5,标准坦克设计!$B$14:$K$20,9)/30))</f>
        <v>8.6830675871513741</v>
      </c>
      <c r="AD105" s="173">
        <f ca="1">(VLOOKUP(AD$72,INDIRECT($C$5&amp;"生成成长"),2))/((VLOOKUP($B105,INDIRECT($B$5&amp;"生成成长"),4))/(VLOOKUP(AD$72,INDIRECT($C$5&amp;"生成成长"),5))*(VLOOKUP($B$5,标准坦克设计!$B$24:$U$30,MATCH("对"&amp;LEFT($C$5,2)&amp;"输出",标准坦克设计!$B$23:$U$23,0)))*(VLOOKUP($B105,INDIRECT($B$5&amp;"生成成长"),3))*(VLOOKUP($B$5,标准坦克设计!$B$14:$K$20,9)/30))</f>
        <v>9.4443894334708958</v>
      </c>
      <c r="AE105" s="173">
        <f ca="1">(VLOOKUP(AE$72,INDIRECT($C$5&amp;"生成成长"),2))/((VLOOKUP($B105,INDIRECT($B$5&amp;"生成成长"),4))/(VLOOKUP(AE$72,INDIRECT($C$5&amp;"生成成长"),5))*(VLOOKUP($B$5,标准坦克设计!$B$24:$U$30,MATCH("对"&amp;LEFT($C$5,2)&amp;"输出",标准坦克设计!$B$23:$U$23,0)))*(VLOOKUP($B105,INDIRECT($B$5&amp;"生成成长"),3))*(VLOOKUP($B$5,标准坦克设计!$B$14:$K$20,9)/30))</f>
        <v>10.237699592660984</v>
      </c>
      <c r="AF105" s="173">
        <f ca="1">(VLOOKUP(AF$72,INDIRECT($C$5&amp;"生成成长"),2))/((VLOOKUP($B105,INDIRECT($B$5&amp;"生成成长"),4))/(VLOOKUP(AF$72,INDIRECT($C$5&amp;"生成成长"),5))*(VLOOKUP($B$5,标准坦克设计!$B$24:$U$30,MATCH("对"&amp;LEFT($C$5,2)&amp;"输出",标准坦克设计!$B$23:$U$23,0)))*(VLOOKUP($B105,INDIRECT($B$5&amp;"生成成长"),3))*(VLOOKUP($B$5,标准坦克设计!$B$14:$K$20,9)/30))</f>
        <v>11.062998064721643</v>
      </c>
      <c r="AG105" s="173">
        <f ca="1">(VLOOKUP(AG$72,INDIRECT($C$5&amp;"生成成长"),2))/((VLOOKUP($B105,INDIRECT($B$5&amp;"生成成长"),4))/(VLOOKUP(AG$72,INDIRECT($C$5&amp;"生成成长"),5))*(VLOOKUP($B$5,标准坦克设计!$B$24:$U$30,MATCH("对"&amp;LEFT($C$5,2)&amp;"输出",标准坦克设计!$B$23:$U$23,0)))*(VLOOKUP($B105,INDIRECT($B$5&amp;"生成成长"),3))*(VLOOKUP($B$5,标准坦克设计!$B$14:$K$20,9)/30))</f>
        <v>11.920284849652869</v>
      </c>
      <c r="AH105" s="173">
        <f ca="1">(VLOOKUP(AH$72,INDIRECT($C$5&amp;"生成成长"),2))/((VLOOKUP($B105,INDIRECT($B$5&amp;"生成成长"),4))/(VLOOKUP(AH$72,INDIRECT($C$5&amp;"生成成长"),5))*(VLOOKUP($B$5,标准坦克设计!$B$24:$U$30,MATCH("对"&amp;LEFT($C$5,2)&amp;"输出",标准坦克设计!$B$23:$U$23,0)))*(VLOOKUP($B105,INDIRECT($B$5&amp;"生成成长"),3))*(VLOOKUP($B$5,标准坦克设计!$B$14:$K$20,9)/30))</f>
        <v>12.809559947454664</v>
      </c>
      <c r="AI105" s="173">
        <f ca="1">(VLOOKUP(AI$72,INDIRECT($C$5&amp;"生成成长"),2))/((VLOOKUP($B105,INDIRECT($B$5&amp;"生成成长"),4))/(VLOOKUP(AI$72,INDIRECT($C$5&amp;"生成成长"),5))*(VLOOKUP($B$5,标准坦克设计!$B$24:$U$30,MATCH("对"&amp;LEFT($C$5,2)&amp;"输出",标准坦克设计!$B$23:$U$23,0)))*(VLOOKUP($B105,INDIRECT($B$5&amp;"生成成长"),3))*(VLOOKUP($B$5,标准坦克设计!$B$14:$K$20,9)/30))</f>
        <v>9.0597299712023123</v>
      </c>
      <c r="AJ105" s="173">
        <f ca="1">(VLOOKUP(AJ$72,INDIRECT($C$5&amp;"生成成长"),2))/((VLOOKUP($B105,INDIRECT($B$5&amp;"生成成长"),4))/(VLOOKUP(AJ$72,INDIRECT($C$5&amp;"生成成长"),5))*(VLOOKUP($B$5,标准坦克设计!$B$24:$U$30,MATCH("对"&amp;LEFT($C$5,2)&amp;"输出",标准坦克设计!$B$23:$U$23,0)))*(VLOOKUP($B105,INDIRECT($B$5&amp;"生成成长"),3))*(VLOOKUP($B$5,标准坦克设计!$B$14:$K$20,9)/30))</f>
        <v>9.916536931440481</v>
      </c>
      <c r="AK105" s="173">
        <f ca="1">(VLOOKUP(AK$72,INDIRECT($C$5&amp;"生成成长"),2))/((VLOOKUP($B105,INDIRECT($B$5&amp;"生成成长"),4))/(VLOOKUP(AK$72,INDIRECT($C$5&amp;"生成成长"),5))*(VLOOKUP($B$5,标准坦克设计!$B$24:$U$30,MATCH("对"&amp;LEFT($C$5,2)&amp;"输出",标准坦克设计!$B$23:$U$23,0)))*(VLOOKUP($B105,INDIRECT($B$5&amp;"生成成长"),3))*(VLOOKUP($B$5,标准坦克设计!$B$14:$K$20,9)/30))</f>
        <v>10.812049750252037</v>
      </c>
      <c r="AL105" s="173">
        <f ca="1">(VLOOKUP(AL$72,INDIRECT($C$5&amp;"生成成长"),2))/((VLOOKUP($B105,INDIRECT($B$5&amp;"生成成长"),4))/(VLOOKUP(AL$72,INDIRECT($C$5&amp;"生成成长"),5))*(VLOOKUP($B$5,标准坦克设计!$B$24:$U$30,MATCH("对"&amp;LEFT($C$5,2)&amp;"输出",标准坦克设计!$B$23:$U$23,0)))*(VLOOKUP($B105,INDIRECT($B$5&amp;"生成成长"),3))*(VLOOKUP($B$5,标准坦克设计!$B$14:$K$20,9)/30))</f>
        <v>11.746268427636979</v>
      </c>
      <c r="AM105" s="173">
        <f ca="1">(VLOOKUP(AM$72,INDIRECT($C$5&amp;"生成成长"),2))/((VLOOKUP($B105,INDIRECT($B$5&amp;"生成成长"),4))/(VLOOKUP(AM$72,INDIRECT($C$5&amp;"生成成长"),5))*(VLOOKUP($B$5,标准坦克设计!$B$24:$U$30,MATCH("对"&amp;LEFT($C$5,2)&amp;"输出",标准坦克设计!$B$23:$U$23,0)))*(VLOOKUP($B105,INDIRECT($B$5&amp;"生成成长"),3))*(VLOOKUP($B$5,标准坦克设计!$B$14:$K$20,9)/30))</f>
        <v>12.71919296359531</v>
      </c>
      <c r="AN105" s="173">
        <f ca="1">(VLOOKUP(AN$72,INDIRECT($C$5&amp;"生成成长"),2))/((VLOOKUP($B105,INDIRECT($B$5&amp;"生成成长"),4))/(VLOOKUP(AN$72,INDIRECT($C$5&amp;"生成成长"),5))*(VLOOKUP($B$5,标准坦克设计!$B$24:$U$30,MATCH("对"&amp;LEFT($C$5,2)&amp;"输出",标准坦克设计!$B$23:$U$23,0)))*(VLOOKUP($B105,INDIRECT($B$5&amp;"生成成长"),3))*(VLOOKUP($B$5,标准坦克设计!$B$14:$K$20,9)/30))</f>
        <v>13.730823358127028</v>
      </c>
      <c r="AO105" s="173">
        <f ca="1">(VLOOKUP(AO$72,INDIRECT($C$5&amp;"生成成长"),2))/((VLOOKUP($B105,INDIRECT($B$5&amp;"生成成长"),4))/(VLOOKUP(AO$72,INDIRECT($C$5&amp;"生成成长"),5))*(VLOOKUP($B$5,标准坦克设计!$B$24:$U$30,MATCH("对"&amp;LEFT($C$5,2)&amp;"输出",标准坦克设计!$B$23:$U$23,0)))*(VLOOKUP($B105,INDIRECT($B$5&amp;"生成成长"),3))*(VLOOKUP($B$5,标准坦克设计!$B$14:$K$20,9)/30))</f>
        <v>14.781159611232134</v>
      </c>
      <c r="AP105" s="173">
        <f ca="1">(VLOOKUP(AP$72,INDIRECT($C$5&amp;"生成成长"),2))/((VLOOKUP($B105,INDIRECT($B$5&amp;"生成成长"),4))/(VLOOKUP(AP$72,INDIRECT($C$5&amp;"生成成长"),5))*(VLOOKUP($B$5,标准坦克设计!$B$24:$U$30,MATCH("对"&amp;LEFT($C$5,2)&amp;"输出",标准坦克设计!$B$23:$U$23,0)))*(VLOOKUP($B105,INDIRECT($B$5&amp;"生成成长"),3))*(VLOOKUP($B$5,标准坦克设计!$B$14:$K$20,9)/30))</f>
        <v>15.870201722910629</v>
      </c>
      <c r="AQ105" s="173">
        <f ca="1">(VLOOKUP(AQ$72,INDIRECT($C$5&amp;"生成成长"),2))/((VLOOKUP($B105,INDIRECT($B$5&amp;"生成成长"),4))/(VLOOKUP(AQ$72,INDIRECT($C$5&amp;"生成成长"),5))*(VLOOKUP($B$5,标准坦克设计!$B$24:$U$30,MATCH("对"&amp;LEFT($C$5,2)&amp;"输出",标准坦克设计!$B$23:$U$23,0)))*(VLOOKUP($B105,INDIRECT($B$5&amp;"生成成长"),3))*(VLOOKUP($B$5,标准坦克设计!$B$14:$K$20,9)/30))</f>
        <v>16.997949693162507</v>
      </c>
      <c r="AR105" s="173">
        <f ca="1">(VLOOKUP(AR$72,INDIRECT($C$5&amp;"生成成长"),2))/((VLOOKUP($B105,INDIRECT($B$5&amp;"生成成长"),4))/(VLOOKUP(AR$72,INDIRECT($C$5&amp;"生成成长"),5))*(VLOOKUP($B$5,标准坦克设计!$B$24:$U$30,MATCH("对"&amp;LEFT($C$5,2)&amp;"输出",标准坦克设计!$B$23:$U$23,0)))*(VLOOKUP($B105,INDIRECT($B$5&amp;"生成成长"),3))*(VLOOKUP($B$5,标准坦克设计!$B$14:$K$20,9)/30))</f>
        <v>18.164403521987776</v>
      </c>
      <c r="AS105" s="173">
        <f ca="1">(VLOOKUP(AS$72,INDIRECT($C$5&amp;"生成成长"),2))/((VLOOKUP($B105,INDIRECT($B$5&amp;"生成成长"),4))/(VLOOKUP(AS$72,INDIRECT($C$5&amp;"生成成长"),5))*(VLOOKUP($B$5,标准坦克设计!$B$24:$U$30,MATCH("对"&amp;LEFT($C$5,2)&amp;"输出",标准坦克设计!$B$23:$U$23,0)))*(VLOOKUP($B105,INDIRECT($B$5&amp;"生成成长"),3))*(VLOOKUP($B$5,标准坦克设计!$B$14:$K$20,9)/30))</f>
        <v>19.369563209386431</v>
      </c>
      <c r="AT105" s="173">
        <f ca="1">(VLOOKUP(AT$72,INDIRECT($C$5&amp;"生成成长"),2))/((VLOOKUP($B105,INDIRECT($B$5&amp;"生成成长"),4))/(VLOOKUP(AT$72,INDIRECT($C$5&amp;"生成成长"),5))*(VLOOKUP($B$5,标准坦克设计!$B$24:$U$30,MATCH("对"&amp;LEFT($C$5,2)&amp;"输出",标准坦克设计!$B$23:$U$23,0)))*(VLOOKUP($B105,INDIRECT($B$5&amp;"生成成长"),3))*(VLOOKUP($B$5,标准坦克设计!$B$14:$K$20,9)/30))</f>
        <v>20.613428755358473</v>
      </c>
      <c r="AU105" s="173">
        <f ca="1">(VLOOKUP(AU$72,INDIRECT($C$5&amp;"生成成长"),2))/((VLOOKUP($B105,INDIRECT($B$5&amp;"生成成长"),4))/(VLOOKUP(AU$72,INDIRECT($C$5&amp;"生成成长"),5))*(VLOOKUP($B$5,标准坦克设计!$B$24:$U$30,MATCH("对"&amp;LEFT($C$5,2)&amp;"输出",标准坦克设计!$B$23:$U$23,0)))*(VLOOKUP($B105,INDIRECT($B$5&amp;"生成成长"),3))*(VLOOKUP($B$5,标准坦克设计!$B$14:$K$20,9)/30))</f>
        <v>21.896000159903902</v>
      </c>
      <c r="AV105" s="173">
        <f ca="1">(VLOOKUP(AV$72,INDIRECT($C$5&amp;"生成成长"),2))/((VLOOKUP($B105,INDIRECT($B$5&amp;"生成成长"),4))/(VLOOKUP(AV$72,INDIRECT($C$5&amp;"生成成长"),5))*(VLOOKUP($B$5,标准坦克设计!$B$24:$U$30,MATCH("对"&amp;LEFT($C$5,2)&amp;"输出",标准坦克设计!$B$23:$U$23,0)))*(VLOOKUP($B105,INDIRECT($B$5&amp;"生成成长"),3))*(VLOOKUP($B$5,标准坦克设计!$B$14:$K$20,9)/30))</f>
        <v>2.2270263420489549</v>
      </c>
      <c r="AW105" s="173">
        <f ca="1">(VLOOKUP(AW$72,INDIRECT($C$5&amp;"生成成长"),2))/((VLOOKUP($B105,INDIRECT($B$5&amp;"生成成长"),4))/(VLOOKUP(AW$72,INDIRECT($C$5&amp;"生成成长"),5))*(VLOOKUP($B$5,标准坦克设计!$B$24:$U$30,MATCH("对"&amp;LEFT($C$5,2)&amp;"输出",标准坦克设计!$B$23:$U$23,0)))*(VLOOKUP($B105,INDIRECT($B$5&amp;"生成成长"),3))*(VLOOKUP($B$5,标准坦克设计!$B$14:$K$20,9)/30))</f>
        <v>2.5392322756657006</v>
      </c>
      <c r="AX105" s="173">
        <f ca="1">(VLOOKUP(AX$72,INDIRECT($C$5&amp;"生成成长"),2))/((VLOOKUP($B105,INDIRECT($B$5&amp;"生成成长"),4))/(VLOOKUP(AX$72,INDIRECT($C$5&amp;"生成成长"),5))*(VLOOKUP($B$5,标准坦克设计!$B$24:$U$30,MATCH("对"&amp;LEFT($C$5,2)&amp;"输出",标准坦克设计!$B$23:$U$23,0)))*(VLOOKUP($B105,INDIRECT($B$5&amp;"生成成长"),3))*(VLOOKUP($B$5,标准坦克设计!$B$14:$K$20,9)/30))</f>
        <v>2.8719107295196089</v>
      </c>
      <c r="AY105" s="173">
        <f ca="1">(VLOOKUP(AY$72,INDIRECT($C$5&amp;"生成成长"),2))/((VLOOKUP($B105,INDIRECT($B$5&amp;"生成成长"),4))/(VLOOKUP(AY$72,INDIRECT($C$5&amp;"生成成长"),5))*(VLOOKUP($B$5,标准坦克设计!$B$24:$U$30,MATCH("对"&amp;LEFT($C$5,2)&amp;"输出",标准坦克设计!$B$23:$U$23,0)))*(VLOOKUP($B105,INDIRECT($B$5&amp;"生成成长"),3))*(VLOOKUP($B$5,标准坦克设计!$B$14:$K$20,9)/30))</f>
        <v>3.2250617036106815</v>
      </c>
      <c r="AZ105" s="173">
        <f ca="1">(VLOOKUP(AZ$72,INDIRECT($C$5&amp;"生成成长"),2))/((VLOOKUP($B105,INDIRECT($B$5&amp;"生成成长"),4))/(VLOOKUP(AZ$72,INDIRECT($C$5&amp;"生成成长"),5))*(VLOOKUP($B$5,标准坦克设计!$B$24:$U$30,MATCH("对"&amp;LEFT($C$5,2)&amp;"输出",标准坦克设计!$B$23:$U$23,0)))*(VLOOKUP($B105,INDIRECT($B$5&amp;"生成成长"),3))*(VLOOKUP($B$5,标准坦克设计!$B$14:$K$20,9)/30))</f>
        <v>3.5986851979389174</v>
      </c>
      <c r="BA105" s="173">
        <f ca="1">(VLOOKUP(BA$72,INDIRECT($C$5&amp;"生成成长"),2))/((VLOOKUP($B105,INDIRECT($B$5&amp;"生成成长"),4))/(VLOOKUP(BA$72,INDIRECT($C$5&amp;"生成成长"),5))*(VLOOKUP($B$5,标准坦克设计!$B$24:$U$30,MATCH("对"&amp;LEFT($C$5,2)&amp;"输出",标准坦克设计!$B$23:$U$23,0)))*(VLOOKUP($B105,INDIRECT($B$5&amp;"生成成长"),3))*(VLOOKUP($B$5,标准坦克设计!$B$14:$K$20,9)/30))</f>
        <v>3.9927812125043176</v>
      </c>
      <c r="BB105" s="173">
        <f ca="1">(VLOOKUP(BB$72,INDIRECT($C$5&amp;"生成成长"),2))/((VLOOKUP($B105,INDIRECT($B$5&amp;"生成成长"),4))/(VLOOKUP(BB$72,INDIRECT($C$5&amp;"生成成长"),5))*(VLOOKUP($B$5,标准坦克设计!$B$24:$U$30,MATCH("对"&amp;LEFT($C$5,2)&amp;"输出",标准坦克设计!$B$23:$U$23,0)))*(VLOOKUP($B105,INDIRECT($B$5&amp;"生成成长"),3))*(VLOOKUP($B$5,标准坦克设计!$B$14:$K$20,9)/30))</f>
        <v>4.4073497473068803</v>
      </c>
      <c r="BC105" s="173">
        <f ca="1">(VLOOKUP(BC$72,INDIRECT($C$5&amp;"生成成长"),2))/((VLOOKUP($B105,INDIRECT($B$5&amp;"生成成长"),4))/(VLOOKUP(BC$72,INDIRECT($C$5&amp;"生成成长"),5))*(VLOOKUP($B$5,标准坦克设计!$B$24:$U$30,MATCH("对"&amp;LEFT($C$5,2)&amp;"输出",标准坦克设计!$B$23:$U$23,0)))*(VLOOKUP($B105,INDIRECT($B$5&amp;"生成成长"),3))*(VLOOKUP($B$5,标准坦克设计!$B$14:$K$20,9)/30))</f>
        <v>4.8423908023466078</v>
      </c>
      <c r="BD105" s="173">
        <f ca="1">(VLOOKUP(BD$72,INDIRECT($C$5&amp;"生成成长"),2))/((VLOOKUP($B105,INDIRECT($B$5&amp;"生成成长"),4))/(VLOOKUP(BD$72,INDIRECT($C$5&amp;"生成成长"),5))*(VLOOKUP($B$5,标准坦克设计!$B$24:$U$30,MATCH("对"&amp;LEFT($C$5,2)&amp;"输出",标准坦克设计!$B$23:$U$23,0)))*(VLOOKUP($B105,INDIRECT($B$5&amp;"生成成长"),3))*(VLOOKUP($B$5,标准坦克设计!$B$14:$K$20,9)/30))</f>
        <v>5.3562830486122852</v>
      </c>
      <c r="BE105" s="173">
        <f ca="1">(VLOOKUP(BE$72,INDIRECT($C$5&amp;"生成成长"),2))/((VLOOKUP($B105,INDIRECT($B$5&amp;"生成成长"),4))/(VLOOKUP(BE$72,INDIRECT($C$5&amp;"生成成长"),5))*(VLOOKUP($B$5,标准坦克设计!$B$24:$U$30,MATCH("对"&amp;LEFT($C$5,2)&amp;"输出",标准坦克设计!$B$23:$U$23,0)))*(VLOOKUP($B105,INDIRECT($B$5&amp;"生成成长"),3))*(VLOOKUP($B$5,标准坦克设计!$B$14:$K$20,9)/30))</f>
        <v>5.8960858283031223</v>
      </c>
      <c r="BF105" s="173">
        <f ca="1">(VLOOKUP(BF$72,INDIRECT($C$5&amp;"生成成长"),2))/((VLOOKUP($B105,INDIRECT($B$5&amp;"生成成长"),4))/(VLOOKUP(BF$72,INDIRECT($C$5&amp;"生成成长"),5))*(VLOOKUP($B$5,标准坦克设计!$B$24:$U$30,MATCH("对"&amp;LEFT($C$5,2)&amp;"输出",标准坦克设计!$B$23:$U$23,0)))*(VLOOKUP($B105,INDIRECT($B$5&amp;"生成成长"),3))*(VLOOKUP($B$5,标准坦克设计!$B$14:$K$20,9)/30))</f>
        <v>6.4617991414191209</v>
      </c>
      <c r="BG105" s="173">
        <f ca="1">(VLOOKUP(BG$72,INDIRECT($C$5&amp;"生成成长"),2))/((VLOOKUP($B105,INDIRECT($B$5&amp;"生成成长"),4))/(VLOOKUP(BG$72,INDIRECT($C$5&amp;"生成成长"),5))*(VLOOKUP($B$5,标准坦克设计!$B$24:$U$30,MATCH("对"&amp;LEFT($C$5,2)&amp;"输出",标准坦克设计!$B$23:$U$23,0)))*(VLOOKUP($B105,INDIRECT($B$5&amp;"生成成长"),3))*(VLOOKUP($B$5,标准坦克设计!$B$14:$K$20,9)/30))</f>
        <v>7.0534229879602783</v>
      </c>
      <c r="BH105" s="173">
        <f ca="1">(VLOOKUP(BH$72,INDIRECT($C$5&amp;"生成成长"),2))/((VLOOKUP($B105,INDIRECT($B$5&amp;"生成成长"),4))/(VLOOKUP(BH$72,INDIRECT($C$5&amp;"生成成长"),5))*(VLOOKUP($B$5,标准坦克设计!$B$24:$U$30,MATCH("对"&amp;LEFT($C$5,2)&amp;"输出",标准坦克设计!$B$23:$U$23,0)))*(VLOOKUP($B105,INDIRECT($B$5&amp;"生成成长"),3))*(VLOOKUP($B$5,标准坦克设计!$B$14:$K$20,9)/30))</f>
        <v>3.4093143857451533</v>
      </c>
      <c r="BI105" s="173">
        <f ca="1">(VLOOKUP(BI$72,INDIRECT($C$5&amp;"生成成长"),2))/((VLOOKUP($B105,INDIRECT($B$5&amp;"生成成长"),4))/(VLOOKUP(BI$72,INDIRECT($C$5&amp;"生成成长"),5))*(VLOOKUP($B$5,标准坦克设计!$B$24:$U$30,MATCH("对"&amp;LEFT($C$5,2)&amp;"输出",标准坦克设计!$B$23:$U$23,0)))*(VLOOKUP($B105,INDIRECT($B$5&amp;"生成成长"),3))*(VLOOKUP($B$5,标准坦克设计!$B$14:$K$20,9)/30))</f>
        <v>3.8425960835769999</v>
      </c>
      <c r="BJ105" s="173">
        <f ca="1">(VLOOKUP(BJ$72,INDIRECT($C$5&amp;"生成成长"),2))/((VLOOKUP($B105,INDIRECT($B$5&amp;"生成成长"),4))/(VLOOKUP(BJ$72,INDIRECT($C$5&amp;"生成成长"),5))*(VLOOKUP($B$5,标准坦克设计!$B$24:$U$30,MATCH("对"&amp;LEFT($C$5,2)&amp;"输出",标准坦克设计!$B$23:$U$23,0)))*(VLOOKUP($B105,INDIRECT($B$5&amp;"生成成长"),3))*(VLOOKUP($B$5,标准坦克设计!$B$14:$K$20,9)/30))</f>
        <v>4.3017883148340061</v>
      </c>
      <c r="BK105" s="173">
        <f ca="1">(VLOOKUP(BK$72,INDIRECT($C$5&amp;"生成成长"),2))/((VLOOKUP($B105,INDIRECT($B$5&amp;"生成成长"),4))/(VLOOKUP(BK$72,INDIRECT($C$5&amp;"生成成长"),5))*(VLOOKUP($B$5,标准坦克设计!$B$24:$U$30,MATCH("对"&amp;LEFT($C$5,2)&amp;"输出",标准坦克设计!$B$23:$U$23,0)))*(VLOOKUP($B105,INDIRECT($B$5&amp;"生成成长"),3))*(VLOOKUP($B$5,标准坦克设计!$B$14:$K$20,9)/30))</f>
        <v>4.7868910795161712</v>
      </c>
      <c r="BL105" s="173">
        <f ca="1">(VLOOKUP(BL$72,INDIRECT($C$5&amp;"生成成长"),2))/((VLOOKUP($B105,INDIRECT($B$5&amp;"生成成长"),4))/(VLOOKUP(BL$72,INDIRECT($C$5&amp;"生成成长"),5))*(VLOOKUP($B$5,标准坦克设计!$B$24:$U$30,MATCH("对"&amp;LEFT($C$5,2)&amp;"输出",标准坦克设计!$B$23:$U$23,0)))*(VLOOKUP($B105,INDIRECT($B$5&amp;"生成成长"),3))*(VLOOKUP($B$5,标准坦克设计!$B$14:$K$20,9)/30))</f>
        <v>5.2979043776234986</v>
      </c>
      <c r="BM105" s="173">
        <f ca="1">(VLOOKUP(BM$72,INDIRECT($C$5&amp;"生成成长"),2))/((VLOOKUP($B105,INDIRECT($B$5&amp;"生成成长"),4))/(VLOOKUP(BM$72,INDIRECT($C$5&amp;"生成成长"),5))*(VLOOKUP($B$5,标准坦克设计!$B$24:$U$30,MATCH("对"&amp;LEFT($C$5,2)&amp;"输出",标准坦克设计!$B$23:$U$23,0)))*(VLOOKUP($B105,INDIRECT($B$5&amp;"生成成长"),3))*(VLOOKUP($B$5,标准坦克设计!$B$14:$K$20,9)/30))</f>
        <v>5.8348282091559849</v>
      </c>
      <c r="BN105" s="173">
        <f ca="1">(VLOOKUP(BN$72,INDIRECT($C$5&amp;"生成成长"),2))/((VLOOKUP($B105,INDIRECT($B$5&amp;"生成成长"),4))/(VLOOKUP(BN$72,INDIRECT($C$5&amp;"生成成长"),5))*(VLOOKUP($B$5,标准坦克设计!$B$24:$U$30,MATCH("对"&amp;LEFT($C$5,2)&amp;"输出",标准坦克设计!$B$23:$U$23,0)))*(VLOOKUP($B105,INDIRECT($B$5&amp;"生成成长"),3))*(VLOOKUP($B$5,标准坦克设计!$B$14:$K$20,9)/30))</f>
        <v>6.3976625741136317</v>
      </c>
      <c r="BO105" s="173">
        <f ca="1">(VLOOKUP(BO$72,INDIRECT($C$5&amp;"生成成长"),2))/((VLOOKUP($B105,INDIRECT($B$5&amp;"生成成长"),4))/(VLOOKUP(BO$72,INDIRECT($C$5&amp;"生成成长"),5))*(VLOOKUP($B$5,标准坦克设计!$B$24:$U$30,MATCH("对"&amp;LEFT($C$5,2)&amp;"输出",标准坦克设计!$B$23:$U$23,0)))*(VLOOKUP($B105,INDIRECT($B$5&amp;"生成成长"),3))*(VLOOKUP($B$5,标准坦克设计!$B$14:$K$20,9)/30))</f>
        <v>6.9864074724964382</v>
      </c>
      <c r="BP105" s="173">
        <f ca="1">(VLOOKUP(BP$72,INDIRECT($C$5&amp;"生成成长"),2))/((VLOOKUP($B105,INDIRECT($B$5&amp;"生成成长"),4))/(VLOOKUP(BP$72,INDIRECT($C$5&amp;"生成成长"),5))*(VLOOKUP($B$5,标准坦克设计!$B$24:$U$30,MATCH("对"&amp;LEFT($C$5,2)&amp;"输出",标准坦克设计!$B$23:$U$23,0)))*(VLOOKUP($B105,INDIRECT($B$5&amp;"生成成长"),3))*(VLOOKUP($B$5,标准坦克设计!$B$14:$K$20,9)/30))</f>
        <v>7.6010629043044053</v>
      </c>
      <c r="BQ105" s="173">
        <f ca="1">(VLOOKUP(BQ$72,INDIRECT($C$5&amp;"生成成长"),2))/((VLOOKUP($B105,INDIRECT($B$5&amp;"生成成长"),4))/(VLOOKUP(BQ$72,INDIRECT($C$5&amp;"生成成长"),5))*(VLOOKUP($B$5,标准坦克设计!$B$24:$U$30,MATCH("对"&amp;LEFT($C$5,2)&amp;"输出",标准坦克设计!$B$23:$U$23,0)))*(VLOOKUP($B105,INDIRECT($B$5&amp;"生成成长"),3))*(VLOOKUP($B$5,标准坦克设计!$B$14:$K$20,9)/30))</f>
        <v>8.2416288695375339</v>
      </c>
      <c r="BR105" s="173">
        <f ca="1">(VLOOKUP(BR$72,INDIRECT($C$5&amp;"生成成长"),2))/((VLOOKUP($B105,INDIRECT($B$5&amp;"生成成长"),4))/(VLOOKUP(BR$72,INDIRECT($C$5&amp;"生成成长"),5))*(VLOOKUP($B$5,标准坦克设计!$B$24:$U$30,MATCH("对"&amp;LEFT($C$5,2)&amp;"输出",标准坦克设计!$B$23:$U$23,0)))*(VLOOKUP($B105,INDIRECT($B$5&amp;"生成成长"),3))*(VLOOKUP($B$5,标准坦克设计!$B$14:$K$20,9)/30))</f>
        <v>8.9837577281347141</v>
      </c>
      <c r="BS105" s="173">
        <f ca="1">(VLOOKUP(BS$72,INDIRECT($C$5&amp;"生成成长"),2))/((VLOOKUP($B105,INDIRECT($B$5&amp;"生成成长"),4))/(VLOOKUP(BS$72,INDIRECT($C$5&amp;"生成成长"),5))*(VLOOKUP($B$5,标准坦克设计!$B$24:$U$30,MATCH("对"&amp;LEFT($C$5,2)&amp;"输出",标准坦克设计!$B$23:$U$23,0)))*(VLOOKUP($B105,INDIRECT($B$5&amp;"生成成长"),3))*(VLOOKUP($B$5,标准坦克设计!$B$14:$K$20,9)/30))</f>
        <v>9.7578748996024647</v>
      </c>
      <c r="BT105" s="173">
        <f ca="1">(VLOOKUP(BT$72,INDIRECT($C$5&amp;"生成成长"),2))/((VLOOKUP($B105,INDIRECT($B$5&amp;"生成成长"),4))/(VLOOKUP(BT$72,INDIRECT($C$5&amp;"生成成长"),5))*(VLOOKUP($B$5,标准坦克设计!$B$24:$U$30,MATCH("对"&amp;LEFT($C$5,2)&amp;"输出",标准坦克设计!$B$23:$U$23,0)))*(VLOOKUP($B105,INDIRECT($B$5&amp;"生成成长"),3))*(VLOOKUP($B$5,标准坦克设计!$B$14:$K$20,9)/30))</f>
        <v>10.56398038394078</v>
      </c>
      <c r="BU105" s="173">
        <f ca="1">(VLOOKUP(BU$72,INDIRECT($C$5&amp;"生成成长"),2))/((VLOOKUP($B105,INDIRECT($B$5&amp;"生成成长"),4))/(VLOOKUP(BU$72,INDIRECT($C$5&amp;"生成成长"),5))*(VLOOKUP($B$5,标准坦克设计!$B$24:$U$30,MATCH("对"&amp;LEFT($C$5,2)&amp;"输出",标准坦克设计!$B$23:$U$23,0)))*(VLOOKUP($B105,INDIRECT($B$5&amp;"生成成长"),3))*(VLOOKUP($B$5,标准坦克设计!$B$14:$K$20,9)/30))</f>
        <v>11.402074181149668</v>
      </c>
      <c r="BV105" s="173">
        <f ca="1">(VLOOKUP(BV$72,INDIRECT($C$5&amp;"生成成长"),2))/((VLOOKUP($B105,INDIRECT($B$5&amp;"生成成长"),4))/(VLOOKUP(BV$72,INDIRECT($C$5&amp;"生成成长"),5))*(VLOOKUP($B$5,标准坦克设计!$B$24:$U$30,MATCH("对"&amp;LEFT($C$5,2)&amp;"输出",标准坦克设计!$B$23:$U$23,0)))*(VLOOKUP($B105,INDIRECT($B$5&amp;"生成成长"),3))*(VLOOKUP($B$5,标准坦克设计!$B$14:$K$20,9)/30))</f>
        <v>12.27215629122912</v>
      </c>
      <c r="BW105" s="173">
        <f ca="1">(VLOOKUP(BW$72,INDIRECT($C$5&amp;"生成成长"),2))/((VLOOKUP($B105,INDIRECT($B$5&amp;"生成成长"),4))/(VLOOKUP(BW$72,INDIRECT($C$5&amp;"生成成长"),5))*(VLOOKUP($B$5,标准坦克设计!$B$24:$U$30,MATCH("对"&amp;LEFT($C$5,2)&amp;"输出",标准坦克设计!$B$23:$U$23,0)))*(VLOOKUP($B105,INDIRECT($B$5&amp;"生成成长"),3))*(VLOOKUP($B$5,标准坦克设计!$B$14:$K$20,9)/30))</f>
        <v>5.5929965638544887</v>
      </c>
      <c r="BX105" s="173">
        <f ca="1">(VLOOKUP(BX$72,INDIRECT($C$5&amp;"生成成长"),2))/((VLOOKUP($B105,INDIRECT($B$5&amp;"生成成长"),4))/(VLOOKUP(BX$72,INDIRECT($C$5&amp;"生成成长"),5))*(VLOOKUP($B$5,标准坦克设计!$B$24:$U$30,MATCH("对"&amp;LEFT($C$5,2)&amp;"输出",标准坦克设计!$B$23:$U$23,0)))*(VLOOKUP($B105,INDIRECT($B$5&amp;"生成成长"),3))*(VLOOKUP($B$5,标准坦克设计!$B$14:$K$20,9)/30))</f>
        <v>6.2071721709693977</v>
      </c>
      <c r="BY105" s="173">
        <f ca="1">(VLOOKUP(BY$72,INDIRECT($C$5&amp;"生成成长"),2))/((VLOOKUP($B105,INDIRECT($B$5&amp;"生成成长"),4))/(VLOOKUP(BY$72,INDIRECT($C$5&amp;"生成成长"),5))*(VLOOKUP($B$5,标准坦克设计!$B$24:$U$30,MATCH("对"&amp;LEFT($C$5,2)&amp;"输出",标准坦克设计!$B$23:$U$23,0)))*(VLOOKUP($B105,INDIRECT($B$5&amp;"生成成长"),3))*(VLOOKUP($B$5,标准坦克设计!$B$14:$K$20,9)/30))</f>
        <v>6.8533360909548735</v>
      </c>
      <c r="BZ105" s="173">
        <f ca="1">(VLOOKUP(BZ$72,INDIRECT($C$5&amp;"生成成长"),2))/((VLOOKUP($B105,INDIRECT($B$5&amp;"生成成长"),4))/(VLOOKUP(BZ$72,INDIRECT($C$5&amp;"生成成长"),5))*(VLOOKUP($B$5,标准坦克设计!$B$24:$U$30,MATCH("对"&amp;LEFT($C$5,2)&amp;"输出",标准坦克设计!$B$23:$U$23,0)))*(VLOOKUP($B105,INDIRECT($B$5&amp;"生成成长"),3))*(VLOOKUP($B$5,标准坦克设计!$B$14:$K$20,9)/30))</f>
        <v>7.5314883238109198</v>
      </c>
      <c r="CA105" s="173">
        <f ca="1">(VLOOKUP(CA$72,INDIRECT($C$5&amp;"生成成长"),2))/((VLOOKUP($B105,INDIRECT($B$5&amp;"生成成长"),4))/(VLOOKUP(CA$72,INDIRECT($C$5&amp;"生成成长"),5))*(VLOOKUP($B$5,标准坦克设计!$B$24:$U$30,MATCH("对"&amp;LEFT($C$5,2)&amp;"输出",标准坦克设计!$B$23:$U$23,0)))*(VLOOKUP($B105,INDIRECT($B$5&amp;"生成成长"),3))*(VLOOKUP($B$5,标准坦克设计!$B$14:$K$20,9)/30))</f>
        <v>8.2416288695375339</v>
      </c>
      <c r="CB105" s="173">
        <f ca="1">(VLOOKUP(CB$72,INDIRECT($C$5&amp;"生成成长"),2))/((VLOOKUP($B105,INDIRECT($B$5&amp;"生成成长"),4))/(VLOOKUP(CB$72,INDIRECT($C$5&amp;"生成成长"),5))*(VLOOKUP($B$5,标准坦克设计!$B$24:$U$30,MATCH("对"&amp;LEFT($C$5,2)&amp;"输出",标准坦克设计!$B$23:$U$23,0)))*(VLOOKUP($B105,INDIRECT($B$5&amp;"生成成长"),3))*(VLOOKUP($B$5,标准坦克设计!$B$14:$K$20,9)/30))</f>
        <v>8.9837577281347141</v>
      </c>
      <c r="CC105" s="173">
        <f ca="1">(VLOOKUP(CC$72,INDIRECT($C$5&amp;"生成成长"),2))/((VLOOKUP($B105,INDIRECT($B$5&amp;"生成成长"),4))/(VLOOKUP(CC$72,INDIRECT($C$5&amp;"生成成长"),5))*(VLOOKUP($B$5,标准坦克设计!$B$24:$U$30,MATCH("对"&amp;LEFT($C$5,2)&amp;"输出",标准坦克设计!$B$23:$U$23,0)))*(VLOOKUP($B105,INDIRECT($B$5&amp;"生成成长"),3))*(VLOOKUP($B$5,标准坦克设计!$B$14:$K$20,9)/30))</f>
        <v>9.7578748996024647</v>
      </c>
      <c r="CD105" s="173">
        <f ca="1">(VLOOKUP(CD$72,INDIRECT($C$5&amp;"生成成长"),2))/((VLOOKUP($B105,INDIRECT($B$5&amp;"生成成长"),4))/(VLOOKUP(CD$72,INDIRECT($C$5&amp;"生成成长"),5))*(VLOOKUP($B$5,标准坦克设计!$B$24:$U$30,MATCH("对"&amp;LEFT($C$5,2)&amp;"输出",标准坦克设计!$B$23:$U$23,0)))*(VLOOKUP($B105,INDIRECT($B$5&amp;"生成成长"),3))*(VLOOKUP($B$5,标准坦克设计!$B$14:$K$20,9)/30))</f>
        <v>10.56398038394078</v>
      </c>
      <c r="CE105" s="173">
        <f ca="1">(VLOOKUP(CE$72,INDIRECT($C$5&amp;"生成成长"),2))/((VLOOKUP($B105,INDIRECT($B$5&amp;"生成成长"),4))/(VLOOKUP(CE$72,INDIRECT($C$5&amp;"生成成长"),5))*(VLOOKUP($B$5,标准坦克设计!$B$24:$U$30,MATCH("对"&amp;LEFT($C$5,2)&amp;"输出",标准坦克设计!$B$23:$U$23,0)))*(VLOOKUP($B105,INDIRECT($B$5&amp;"生成成长"),3))*(VLOOKUP($B$5,标准坦克设计!$B$14:$K$20,9)/30))</f>
        <v>11.402074181149668</v>
      </c>
      <c r="CF105" s="173">
        <f ca="1">(VLOOKUP(CF$72,INDIRECT($C$5&amp;"生成成长"),2))/((VLOOKUP($B105,INDIRECT($B$5&amp;"生成成长"),4))/(VLOOKUP(CF$72,INDIRECT($C$5&amp;"生成成长"),5))*(VLOOKUP($B$5,标准坦克设计!$B$24:$U$30,MATCH("对"&amp;LEFT($C$5,2)&amp;"输出",标准坦克设计!$B$23:$U$23,0)))*(VLOOKUP($B105,INDIRECT($B$5&amp;"生成成长"),3))*(VLOOKUP($B$5,标准坦克设计!$B$14:$K$20,9)/30))</f>
        <v>12.27215629122912</v>
      </c>
      <c r="CG105" s="173">
        <f ca="1">(VLOOKUP(CG$72,INDIRECT($C$5&amp;"生成成长"),2))/((VLOOKUP($B105,INDIRECT($B$5&amp;"生成成长"),4))/(VLOOKUP(CG$72,INDIRECT($C$5&amp;"生成成长"),5))*(VLOOKUP($B$5,标准坦克设计!$B$24:$U$30,MATCH("对"&amp;LEFT($C$5,2)&amp;"输出",标准坦克设计!$B$23:$U$23,0)))*(VLOOKUP($B105,INDIRECT($B$5&amp;"生成成长"),3))*(VLOOKUP($B$5,标准坦克设计!$B$14:$K$20,9)/30))</f>
        <v>13.174226714179143</v>
      </c>
      <c r="CH105" s="173">
        <f ca="1">(VLOOKUP(CH$72,INDIRECT($C$5&amp;"生成成长"),2))/((VLOOKUP($B105,INDIRECT($B$5&amp;"生成成长"),4))/(VLOOKUP(CH$72,INDIRECT($C$5&amp;"生成成长"),5))*(VLOOKUP($B$5,标准坦克设计!$B$24:$U$30,MATCH("对"&amp;LEFT($C$5,2)&amp;"输出",标准坦克设计!$B$23:$U$23,0)))*(VLOOKUP($B105,INDIRECT($B$5&amp;"生成成长"),3))*(VLOOKUP($B$5,标准坦克设计!$B$14:$K$20,9)/30))</f>
        <v>14.108285449999732</v>
      </c>
      <c r="CI105" s="173">
        <f ca="1">(VLOOKUP(CI$72,INDIRECT($C$5&amp;"生成成长"),2))/((VLOOKUP($B105,INDIRECT($B$5&amp;"生成成长"),4))/(VLOOKUP(CI$72,INDIRECT($C$5&amp;"生成成长"),5))*(VLOOKUP($B$5,标准坦克设计!$B$24:$U$30,MATCH("对"&amp;LEFT($C$5,2)&amp;"输出",标准坦克设计!$B$23:$U$23,0)))*(VLOOKUP($B105,INDIRECT($B$5&amp;"生成成长"),3))*(VLOOKUP($B$5,标准坦克设计!$B$14:$K$20,9)/30))</f>
        <v>15.172696560767887</v>
      </c>
      <c r="CJ105" s="173">
        <f ca="1">(VLOOKUP(CJ$72,INDIRECT($C$5&amp;"生成成长"),2))/((VLOOKUP($B105,INDIRECT($B$5&amp;"生成成长"),4))/(VLOOKUP(CJ$72,INDIRECT($C$5&amp;"生成成长"),5))*(VLOOKUP($B$5,标准坦克设计!$B$24:$U$30,MATCH("对"&amp;LEFT($C$5,2)&amp;"输出",标准坦克设计!$B$23:$U$23,0)))*(VLOOKUP($B105,INDIRECT($B$5&amp;"生成成长"),3))*(VLOOKUP($B$5,标准坦克设计!$B$14:$K$20,9)/30))</f>
        <v>16.275813530109431</v>
      </c>
      <c r="CK105" s="173">
        <f ca="1">(VLOOKUP(CK$72,INDIRECT($C$5&amp;"生成成长"),2))/((VLOOKUP($B105,INDIRECT($B$5&amp;"生成成长"),4))/(VLOOKUP(CK$72,INDIRECT($C$5&amp;"生成成长"),5))*(VLOOKUP($B$5,标准坦克设计!$B$24:$U$30,MATCH("对"&amp;LEFT($C$5,2)&amp;"输出",标准坦克设计!$B$23:$U$23,0)))*(VLOOKUP($B105,INDIRECT($B$5&amp;"生成成长"),3))*(VLOOKUP($B$5,标准坦克设计!$B$14:$K$20,9)/30))</f>
        <v>17.417636358024364</v>
      </c>
      <c r="CL105" s="173">
        <f ca="1">(VLOOKUP(CL$72,INDIRECT($C$5&amp;"生成成长"),2))/((VLOOKUP($B105,INDIRECT($B$5&amp;"生成成长"),4))/(VLOOKUP(CL$72,INDIRECT($C$5&amp;"生成成长"),5))*(VLOOKUP($B$5,标准坦克设计!$B$24:$U$30,MATCH("对"&amp;LEFT($C$5,2)&amp;"输出",标准坦克设计!$B$23:$U$23,0)))*(VLOOKUP($B105,INDIRECT($B$5&amp;"生成成长"),3))*(VLOOKUP($B$5,标准坦克设计!$B$14:$K$20,9)/30))</f>
        <v>18.598165044512676</v>
      </c>
      <c r="CM105" s="173">
        <f ca="1">(VLOOKUP(CM$72,INDIRECT($C$5&amp;"生成成长"),2))/((VLOOKUP($B105,INDIRECT($B$5&amp;"生成成长"),4))/(VLOOKUP(CM$72,INDIRECT($C$5&amp;"生成成长"),5))*(VLOOKUP($B$5,标准坦克设计!$B$24:$U$30,MATCH("对"&amp;LEFT($C$5,2)&amp;"输出",标准坦克设计!$B$23:$U$23,0)))*(VLOOKUP($B105,INDIRECT($B$5&amp;"生成成长"),3))*(VLOOKUP($B$5,标准坦克设计!$B$14:$K$20,9)/30))</f>
        <v>19.817399589574382</v>
      </c>
      <c r="CN105" s="173">
        <f ca="1">(VLOOKUP(CN$72,INDIRECT($C$5&amp;"生成成长"),2))/((VLOOKUP($B105,INDIRECT($B$5&amp;"生成成长"),4))/(VLOOKUP(CN$72,INDIRECT($C$5&amp;"生成成长"),5))*(VLOOKUP($B$5,标准坦克设计!$B$24:$U$30,MATCH("对"&amp;LEFT($C$5,2)&amp;"输出",标准坦克设计!$B$23:$U$23,0)))*(VLOOKUP($B105,INDIRECT($B$5&amp;"生成成长"),3))*(VLOOKUP($B$5,标准坦克设计!$B$14:$K$20,9)/30))</f>
        <v>21.075339993209479</v>
      </c>
      <c r="CO105" s="173">
        <f ca="1">(VLOOKUP(CO$72,INDIRECT($C$5&amp;"生成成长"),2))/((VLOOKUP($B105,INDIRECT($B$5&amp;"生成成长"),4))/(VLOOKUP(CO$72,INDIRECT($C$5&amp;"生成成长"),5))*(VLOOKUP($B$5,标准坦克设计!$B$24:$U$30,MATCH("对"&amp;LEFT($C$5,2)&amp;"输出",标准坦克设计!$B$23:$U$23,0)))*(VLOOKUP($B105,INDIRECT($B$5&amp;"生成成长"),3))*(VLOOKUP($B$5,标准坦克设计!$B$14:$K$20,9)/30))</f>
        <v>9.4443894334708958</v>
      </c>
      <c r="CP105" s="173">
        <f ca="1">(VLOOKUP(CP$72,INDIRECT($C$5&amp;"生成成长"),2))/((VLOOKUP($B105,INDIRECT($B$5&amp;"生成成长"),4))/(VLOOKUP(CP$72,INDIRECT($C$5&amp;"生成成长"),5))*(VLOOKUP($B$5,标准坦克设计!$B$24:$U$30,MATCH("对"&amp;LEFT($C$5,2)&amp;"输出",标准坦克设计!$B$23:$U$23,0)))*(VLOOKUP($B105,INDIRECT($B$5&amp;"生成成长"),3))*(VLOOKUP($B$5,标准坦克设计!$B$14:$K$20,9)/30))</f>
        <v>10.318789965787873</v>
      </c>
      <c r="CQ105" s="173">
        <f ca="1">(VLOOKUP(CQ$72,INDIRECT($C$5&amp;"生成成长"),2))/((VLOOKUP($B105,INDIRECT($B$5&amp;"生成成长"),4))/(VLOOKUP(CQ$72,INDIRECT($C$5&amp;"生成成长"),5))*(VLOOKUP($B$5,标准坦克设计!$B$24:$U$30,MATCH("对"&amp;LEFT($C$5,2)&amp;"输出",标准坦克设计!$B$23:$U$23,0)))*(VLOOKUP($B105,INDIRECT($B$5&amp;"生成成长"),3))*(VLOOKUP($B$5,标准坦克设计!$B$14:$K$20,9)/30))</f>
        <v>11.231896356678243</v>
      </c>
      <c r="CR105" s="173">
        <f ca="1">(VLOOKUP(CR$72,INDIRECT($C$5&amp;"生成成长"),2))/((VLOOKUP($B105,INDIRECT($B$5&amp;"生成成长"),4))/(VLOOKUP(CR$72,INDIRECT($C$5&amp;"生成成长"),5))*(VLOOKUP($B$5,标准坦克设计!$B$24:$U$30,MATCH("对"&amp;LEFT($C$5,2)&amp;"输出",标准坦克设计!$B$23:$U$23,0)))*(VLOOKUP($B105,INDIRECT($B$5&amp;"生成成长"),3))*(VLOOKUP($B$5,标准坦克设计!$B$14:$K$20,9)/30))</f>
        <v>12.183708606141998</v>
      </c>
      <c r="CS105" s="173">
        <f ca="1">(VLOOKUP(CS$72,INDIRECT($C$5&amp;"生成成长"),2))/((VLOOKUP($B105,INDIRECT($B$5&amp;"生成成长"),4))/(VLOOKUP(CS$72,INDIRECT($C$5&amp;"生成成长"),5))*(VLOOKUP($B$5,标准坦克设计!$B$24:$U$30,MATCH("对"&amp;LEFT($C$5,2)&amp;"输出",标准坦克设计!$B$23:$U$23,0)))*(VLOOKUP($B105,INDIRECT($B$5&amp;"生成成长"),3))*(VLOOKUP($B$5,标准坦克设计!$B$14:$K$20,9)/30))</f>
        <v>13.174226714179143</v>
      </c>
      <c r="CT105" s="173">
        <f ca="1">(VLOOKUP(CT$72,INDIRECT($C$5&amp;"生成成长"),2))/((VLOOKUP($B105,INDIRECT($B$5&amp;"生成成长"),4))/(VLOOKUP(CT$72,INDIRECT($C$5&amp;"生成成长"),5))*(VLOOKUP($B$5,标准坦克设计!$B$24:$U$30,MATCH("对"&amp;LEFT($C$5,2)&amp;"输出",标准坦克设计!$B$23:$U$23,0)))*(VLOOKUP($B105,INDIRECT($B$5&amp;"生成成长"),3))*(VLOOKUP($B$5,标准坦克设计!$B$14:$K$20,9)/30))</f>
        <v>14.203450680789674</v>
      </c>
      <c r="CU105" s="173">
        <f ca="1">(VLOOKUP(CU$72,INDIRECT($C$5&amp;"生成成长"),2))/((VLOOKUP($B105,INDIRECT($B$5&amp;"生成成长"),4))/(VLOOKUP(CU$72,INDIRECT($C$5&amp;"生成成长"),5))*(VLOOKUP($B$5,标准坦克设计!$B$24:$U$30,MATCH("对"&amp;LEFT($C$5,2)&amp;"输出",标准坦克设计!$B$23:$U$23,0)))*(VLOOKUP($B105,INDIRECT($B$5&amp;"生成成长"),3))*(VLOOKUP($B$5,标准坦克设计!$B$14:$K$20,9)/30))</f>
        <v>15.271380505973593</v>
      </c>
      <c r="CV105" s="173">
        <f ca="1">(VLOOKUP(CV$72,INDIRECT($C$5&amp;"生成成长"),2))/((VLOOKUP($B105,INDIRECT($B$5&amp;"生成成长"),4))/(VLOOKUP(CV$72,INDIRECT($C$5&amp;"生成成长"),5))*(VLOOKUP($B$5,标准坦克设计!$B$24:$U$30,MATCH("对"&amp;LEFT($C$5,2)&amp;"输出",标准坦克设计!$B$23:$U$23,0)))*(VLOOKUP($B105,INDIRECT($B$5&amp;"生成成长"),3))*(VLOOKUP($B$5,标准坦克设计!$B$14:$K$20,9)/30))</f>
        <v>16.378016189730896</v>
      </c>
      <c r="CW105" s="173">
        <f ca="1">(VLOOKUP(CW$72,INDIRECT($C$5&amp;"生成成长"),2))/((VLOOKUP($B105,INDIRECT($B$5&amp;"生成成长"),4))/(VLOOKUP(CW$72,INDIRECT($C$5&amp;"生成成长"),5))*(VLOOKUP($B$5,标准坦克设计!$B$24:$U$30,MATCH("对"&amp;LEFT($C$5,2)&amp;"输出",标准坦克设计!$B$23:$U$23,0)))*(VLOOKUP($B105,INDIRECT($B$5&amp;"生成成长"),3))*(VLOOKUP($B$5,标准坦克设计!$B$14:$K$20,9)/30))</f>
        <v>17.523357732061587</v>
      </c>
      <c r="CX105" s="173">
        <f ca="1">(VLOOKUP(CX$72,INDIRECT($C$5&amp;"生成成长"),2))/((VLOOKUP($B105,INDIRECT($B$5&amp;"生成成长"),4))/(VLOOKUP(CX$72,INDIRECT($C$5&amp;"生成成长"),5))*(VLOOKUP($B$5,标准坦克设计!$B$24:$U$30,MATCH("对"&amp;LEFT($C$5,2)&amp;"输出",标准坦克设计!$B$23:$U$23,0)))*(VLOOKUP($B105,INDIRECT($B$5&amp;"生成成长"),3))*(VLOOKUP($B$5,标准坦克设计!$B$14:$K$20,9)/30))</f>
        <v>18.707405132965672</v>
      </c>
      <c r="CY105" s="173">
        <f ca="1">(VLOOKUP(CY$72,INDIRECT($C$5&amp;"生成成长"),2))/((VLOOKUP($B105,INDIRECT($B$5&amp;"生成成长"),4))/(VLOOKUP(CY$72,INDIRECT($C$5&amp;"生成成长"),5))*(VLOOKUP($B$5,标准坦克设计!$B$24:$U$30,MATCH("对"&amp;LEFT($C$5,2)&amp;"输出",标准坦克设计!$B$23:$U$23,0)))*(VLOOKUP($B105,INDIRECT($B$5&amp;"生成成长"),3))*(VLOOKUP($B$5,标准坦克设计!$B$14:$K$20,9)/30))</f>
        <v>19.930158392443136</v>
      </c>
      <c r="CZ105" s="173">
        <f ca="1">(VLOOKUP(CZ$72,INDIRECT($C$5&amp;"生成成长"),2))/((VLOOKUP($B105,INDIRECT($B$5&amp;"生成成长"),4))/(VLOOKUP(CZ$72,INDIRECT($C$5&amp;"生成成长"),5))*(VLOOKUP($B$5,标准坦克设计!$B$24:$U$30,MATCH("对"&amp;LEFT($C$5,2)&amp;"输出",标准坦克设计!$B$23:$U$23,0)))*(VLOOKUP($B105,INDIRECT($B$5&amp;"生成成长"),3))*(VLOOKUP($B$5,标准坦克设计!$B$14:$K$20,9)/30))</f>
        <v>21.191617510493995</v>
      </c>
      <c r="DA105" s="173">
        <f ca="1">(VLOOKUP(DA$72,INDIRECT($C$5&amp;"生成成长"),2))/((VLOOKUP($B105,INDIRECT($B$5&amp;"生成成长"),4))/(VLOOKUP(DA$72,INDIRECT($C$5&amp;"生成成长"),5))*(VLOOKUP($B$5,标准坦克设计!$B$24:$U$30,MATCH("对"&amp;LEFT($C$5,2)&amp;"输出",标准坦克设计!$B$23:$U$23,0)))*(VLOOKUP($B105,INDIRECT($B$5&amp;"生成成长"),3))*(VLOOKUP($B$5,标准坦克设计!$B$14:$K$20,9)/30))</f>
        <v>22.491782487118233</v>
      </c>
      <c r="DB105" s="173">
        <f ca="1">(VLOOKUP(DB$72,INDIRECT($C$5&amp;"生成成长"),2))/((VLOOKUP($B105,INDIRECT($B$5&amp;"生成成长"),4))/(VLOOKUP(DB$72,INDIRECT($C$5&amp;"生成成长"),5))*(VLOOKUP($B$5,标准坦克设计!$B$24:$U$30,MATCH("对"&amp;LEFT($C$5,2)&amp;"输出",标准坦克设计!$B$23:$U$23,0)))*(VLOOKUP($B105,INDIRECT($B$5&amp;"生成成长"),3))*(VLOOKUP($B$5,标准坦克设计!$B$14:$K$20,9)/30))</f>
        <v>23.830653322315868</v>
      </c>
      <c r="DC105" s="173">
        <f ca="1">(VLOOKUP(DC$72,INDIRECT($C$5&amp;"生成成长"),2))/((VLOOKUP($B105,INDIRECT($B$5&amp;"生成成长"),4))/(VLOOKUP(DC$72,INDIRECT($C$5&amp;"生成成长"),5))*(VLOOKUP($B$5,标准坦克设计!$B$24:$U$30,MATCH("对"&amp;LEFT($C$5,2)&amp;"输出",标准坦克设计!$B$23:$U$23,0)))*(VLOOKUP($B105,INDIRECT($B$5&amp;"生成成长"),3))*(VLOOKUP($B$5,标准坦克设计!$B$14:$K$20,9)/30))</f>
        <v>25.335383559747392</v>
      </c>
      <c r="DD105" s="173">
        <f ca="1">(VLOOKUP(DD$72,INDIRECT($C$5&amp;"生成成长"),2))/((VLOOKUP($B105,INDIRECT($B$5&amp;"生成成长"),4))/(VLOOKUP(DD$72,INDIRECT($C$5&amp;"生成成长"),5))*(VLOOKUP($B$5,标准坦克设计!$B$24:$U$30,MATCH("对"&amp;LEFT($C$5,2)&amp;"输出",标准坦克设计!$B$23:$U$23,0)))*(VLOOKUP($B105,INDIRECT($B$5&amp;"生成成长"),3))*(VLOOKUP($B$5,标准坦克设计!$B$14:$K$20,9)/30))</f>
        <v>26.886176967712533</v>
      </c>
      <c r="DE105" s="173">
        <f ca="1">(VLOOKUP(DE$72,INDIRECT($C$5&amp;"生成成长"),2))/((VLOOKUP($B105,INDIRECT($B$5&amp;"生成成长"),4))/(VLOOKUP(DE$72,INDIRECT($C$5&amp;"生成成长"),5))*(VLOOKUP($B$5,标准坦克设计!$B$24:$U$30,MATCH("对"&amp;LEFT($C$5,2)&amp;"输出",标准坦克设计!$B$23:$U$23,0)))*(VLOOKUP($B105,INDIRECT($B$5&amp;"生成成长"),3))*(VLOOKUP($B$5,标准坦克设计!$B$14:$K$20,9)/30))</f>
        <v>28.483033546211292</v>
      </c>
      <c r="DF105" s="173">
        <f ca="1">(VLOOKUP(DF$72,INDIRECT($C$5&amp;"生成成长"),2))/((VLOOKUP($B105,INDIRECT($B$5&amp;"生成成长"),4))/(VLOOKUP(DF$72,INDIRECT($C$5&amp;"生成成长"),5))*(VLOOKUP($B$5,标准坦克设计!$B$24:$U$30,MATCH("对"&amp;LEFT($C$5,2)&amp;"输出",标准坦克设计!$B$23:$U$23,0)))*(VLOOKUP($B105,INDIRECT($B$5&amp;"生成成长"),3))*(VLOOKUP($B$5,标准坦克设计!$B$14:$K$20,9)/30))</f>
        <v>30.125953295243679</v>
      </c>
      <c r="DG105" s="173">
        <f ca="1">(VLOOKUP(DG$72,INDIRECT($C$5&amp;"生成成长"),2))/((VLOOKUP($B105,INDIRECT($B$5&amp;"生成成长"),4))/(VLOOKUP(DG$72,INDIRECT($C$5&amp;"生成成长"),5))*(VLOOKUP($B$5,标准坦克设计!$B$24:$U$30,MATCH("对"&amp;LEFT($C$5,2)&amp;"输出",标准坦克设计!$B$23:$U$23,0)))*(VLOOKUP($B105,INDIRECT($B$5&amp;"生成成长"),3))*(VLOOKUP($B$5,标准坦克设计!$B$14:$K$20,9)/30))</f>
        <v>31.814936214809677</v>
      </c>
      <c r="DH105" s="173">
        <f ca="1">(VLOOKUP(DH$72,INDIRECT($C$5&amp;"生成成长"),2))/((VLOOKUP($B105,INDIRECT($B$5&amp;"生成成长"),4))/(VLOOKUP(DH$72,INDIRECT($C$5&amp;"生成成长"),5))*(VLOOKUP($B$5,标准坦克设计!$B$24:$U$30,MATCH("对"&amp;LEFT($C$5,2)&amp;"输出",标准坦克设计!$B$23:$U$23,0)))*(VLOOKUP($B105,INDIRECT($B$5&amp;"生成成长"),3))*(VLOOKUP($B$5,标准坦克设计!$B$14:$K$20,9)/30))</f>
        <v>33.549982304909292</v>
      </c>
      <c r="DI105" s="173">
        <f ca="1">(VLOOKUP(DI$72,INDIRECT($C$5&amp;"生成成长"),2))/((VLOOKUP($B105,INDIRECT($B$5&amp;"生成成长"),4))/(VLOOKUP(DI$72,INDIRECT($C$5&amp;"生成成长"),5))*(VLOOKUP($B$5,标准坦克设计!$B$24:$U$30,MATCH("对"&amp;LEFT($C$5,2)&amp;"输出",标准坦克设计!$B$23:$U$23,0)))*(VLOOKUP($B105,INDIRECT($B$5&amp;"生成成长"),3))*(VLOOKUP($B$5,标准坦克设计!$B$14:$K$20,9)/30))</f>
        <v>35.331091565542529</v>
      </c>
      <c r="DJ105" s="173">
        <f ca="1">(VLOOKUP(DJ$72,INDIRECT($C$5&amp;"生成成长"),2))/((VLOOKUP($B105,INDIRECT($B$5&amp;"生成成长"),4))/(VLOOKUP(DJ$72,INDIRECT($C$5&amp;"生成成长"),5))*(VLOOKUP($B$5,标准坦克设计!$B$24:$U$30,MATCH("对"&amp;LEFT($C$5,2)&amp;"输出",标准坦克设计!$B$23:$U$23,0)))*(VLOOKUP($B105,INDIRECT($B$5&amp;"生成成长"),3))*(VLOOKUP($B$5,标准坦克设计!$B$14:$K$20,9)/30))</f>
        <v>3.5508626701974184</v>
      </c>
      <c r="DK105" s="173">
        <f ca="1">(VLOOKUP(DK$72,INDIRECT($C$5&amp;"生成成长"),2))/((VLOOKUP($B105,INDIRECT($B$5&amp;"生成成长"),4))/(VLOOKUP(DK$72,INDIRECT($C$5&amp;"生成成长"),5))*(VLOOKUP($B$5,标准坦克设计!$B$24:$U$30,MATCH("对"&amp;LEFT($C$5,2)&amp;"输出",标准坦克设计!$B$23:$U$23,0)))*(VLOOKUP($B105,INDIRECT($B$5&amp;"生成成长"),3))*(VLOOKUP($B$5,标准坦克设计!$B$14:$K$20,9)/30))</f>
        <v>3.9927812125043176</v>
      </c>
      <c r="DL105" s="173">
        <f ca="1">(VLOOKUP(DL$72,INDIRECT($C$5&amp;"生成成长"),2))/((VLOOKUP($B105,INDIRECT($B$5&amp;"生成成长"),4))/(VLOOKUP(DL$72,INDIRECT($C$5&amp;"生成成长"),5))*(VLOOKUP($B$5,标准坦克设计!$B$24:$U$30,MATCH("对"&amp;LEFT($C$5,2)&amp;"输出",标准坦克设计!$B$23:$U$23,0)))*(VLOOKUP($B105,INDIRECT($B$5&amp;"生成成长"),3))*(VLOOKUP($B$5,标准坦克设计!$B$14:$K$20,9)/30))</f>
        <v>4.460610288236377</v>
      </c>
      <c r="DM105" s="173">
        <f ca="1">(VLOOKUP(DM$72,INDIRECT($C$5&amp;"生成成长"),2))/((VLOOKUP($B105,INDIRECT($B$5&amp;"生成成长"),4))/(VLOOKUP(DM$72,INDIRECT($C$5&amp;"生成成长"),5))*(VLOOKUP($B$5,标准坦克设计!$B$24:$U$30,MATCH("对"&amp;LEFT($C$5,2)&amp;"输出",标准坦克设计!$B$23:$U$23,0)))*(VLOOKUP($B105,INDIRECT($B$5&amp;"生成成长"),3))*(VLOOKUP($B$5,标准坦克设计!$B$14:$K$20,9)/30))</f>
        <v>4.9543498973935955</v>
      </c>
      <c r="DN105" s="173">
        <f ca="1">(VLOOKUP(DN$72,INDIRECT($C$5&amp;"生成成长"),2))/((VLOOKUP($B105,INDIRECT($B$5&amp;"生成成长"),4))/(VLOOKUP(DN$72,INDIRECT($C$5&amp;"生成成长"),5))*(VLOOKUP($B$5,标准坦克设计!$B$24:$U$30,MATCH("对"&amp;LEFT($C$5,2)&amp;"输出",标准坦克设计!$B$23:$U$23,0)))*(VLOOKUP($B105,INDIRECT($B$5&amp;"生成成长"),3))*(VLOOKUP($B$5,标准坦克设计!$B$14:$K$20,9)/30))</f>
        <v>5.4740000399759756</v>
      </c>
      <c r="DO105" s="173">
        <f ca="1">(VLOOKUP(DO$72,INDIRECT($C$5&amp;"生成成长"),2))/((VLOOKUP($B105,INDIRECT($B$5&amp;"生成成长"),4))/(VLOOKUP(DO$72,INDIRECT($C$5&amp;"生成成长"),5))*(VLOOKUP($B$5,标准坦克设计!$B$24:$U$30,MATCH("对"&amp;LEFT($C$5,2)&amp;"输出",标准坦克设计!$B$23:$U$23,0)))*(VLOOKUP($B105,INDIRECT($B$5&amp;"生成成长"),3))*(VLOOKUP($B$5,标准坦克设计!$B$14:$K$20,9)/30))</f>
        <v>6.0195607159835154</v>
      </c>
      <c r="DP105" s="173">
        <f ca="1">(VLOOKUP(DP$72,INDIRECT($C$5&amp;"生成成长"),2))/((VLOOKUP($B105,INDIRECT($B$5&amp;"生成成长"),4))/(VLOOKUP(DP$72,INDIRECT($C$5&amp;"生成成长"),5))*(VLOOKUP($B$5,标准坦克设计!$B$24:$U$30,MATCH("对"&amp;LEFT($C$5,2)&amp;"输出",标准坦克设计!$B$23:$U$23,0)))*(VLOOKUP($B105,INDIRECT($B$5&amp;"生成成长"),3))*(VLOOKUP($B$5,标准坦克设计!$B$14:$K$20,9)/30))</f>
        <v>6.5910319254162166</v>
      </c>
      <c r="DQ105" s="173">
        <f ca="1">(VLOOKUP(DQ$72,INDIRECT($C$5&amp;"生成成长"),2))/((VLOOKUP($B105,INDIRECT($B$5&amp;"生成成长"),4))/(VLOOKUP(DQ$72,INDIRECT($C$5&amp;"生成成长"),5))*(VLOOKUP($B$5,标准坦克设计!$B$24:$U$30,MATCH("对"&amp;LEFT($C$5,2)&amp;"输出",标准坦克设计!$B$23:$U$23,0)))*(VLOOKUP($B105,INDIRECT($B$5&amp;"生成成长"),3))*(VLOOKUP($B$5,标准坦克设计!$B$14:$K$20,9)/30))</f>
        <v>7.1884136682740758</v>
      </c>
      <c r="DR105" s="173">
        <f ca="1">(VLOOKUP(DR$72,INDIRECT($C$5&amp;"生成成长"),2))/((VLOOKUP($B105,INDIRECT($B$5&amp;"生成成长"),4))/(VLOOKUP(DR$72,INDIRECT($C$5&amp;"生成成长"),5))*(VLOOKUP($B$5,标准坦克设计!$B$24:$U$30,MATCH("对"&amp;LEFT($C$5,2)&amp;"输出",标准坦克设计!$B$23:$U$23,0)))*(VLOOKUP($B105,INDIRECT($B$5&amp;"生成成长"),3))*(VLOOKUP($B$5,标准坦克设计!$B$14:$K$20,9)/30))</f>
        <v>7.8117059445570964</v>
      </c>
      <c r="DS105" s="173">
        <f ca="1">(VLOOKUP(DS$72,INDIRECT($C$5&amp;"生成成长"),2))/((VLOOKUP($B105,INDIRECT($B$5&amp;"生成成长"),4))/(VLOOKUP(DS$72,INDIRECT($C$5&amp;"生成成长"),5))*(VLOOKUP($B$5,标准坦克设计!$B$24:$U$30,MATCH("对"&amp;LEFT($C$5,2)&amp;"输出",标准坦克设计!$B$23:$U$23,0)))*(VLOOKUP($B105,INDIRECT($B$5&amp;"生成成长"),3))*(VLOOKUP($B$5,标准坦克设计!$B$14:$K$20,9)/30))</f>
        <v>8.4609087542652777</v>
      </c>
      <c r="DT105" s="173">
        <f ca="1">(VLOOKUP(DT$72,INDIRECT($C$5&amp;"生成成长"),2))/((VLOOKUP($B105,INDIRECT($B$5&amp;"生成成长"),4))/(VLOOKUP(DT$72,INDIRECT($C$5&amp;"生成成长"),5))*(VLOOKUP($B$5,标准坦克设计!$B$24:$U$30,MATCH("对"&amp;LEFT($C$5,2)&amp;"输出",标准坦克设计!$B$23:$U$23,0)))*(VLOOKUP($B105,INDIRECT($B$5&amp;"生成成长"),3))*(VLOOKUP($B$5,标准坦克设计!$B$14:$K$20,9)/30))</f>
        <v>9.2895659991773449</v>
      </c>
      <c r="DU105" s="173">
        <f ca="1">(VLOOKUP(DU$72,INDIRECT($C$5&amp;"生成成长"),2))/((VLOOKUP($B105,INDIRECT($B$5&amp;"生成成长"),4))/(VLOOKUP(DU$72,INDIRECT($C$5&amp;"生成成长"),5))*(VLOOKUP($B$5,标准坦克设计!$B$24:$U$30,MATCH("对"&amp;LEFT($C$5,2)&amp;"输出",标准坦克设计!$B$23:$U$23,0)))*(VLOOKUP($B105,INDIRECT($B$5&amp;"生成成长"),3))*(VLOOKUP($B$5,标准坦克设计!$B$14:$K$20,9)/30))</f>
        <v>10.156929102662803</v>
      </c>
      <c r="DV105" s="173">
        <f ca="1">(VLOOKUP(DV$72,INDIRECT($C$5&amp;"生成成长"),2))/((VLOOKUP($B105,INDIRECT($B$5&amp;"生成成长"),4))/(VLOOKUP(DV$72,INDIRECT($C$5&amp;"生成成长"),5))*(VLOOKUP($B$5,标准坦克设计!$B$24:$U$30,MATCH("对"&amp;LEFT($C$5,2)&amp;"输出",标准坦克设计!$B$23:$U$23,0)))*(VLOOKUP($B105,INDIRECT($B$5&amp;"生成成长"),3))*(VLOOKUP($B$5,标准坦克设计!$B$14:$K$20,9)/30))</f>
        <v>11.062998064721643</v>
      </c>
      <c r="DW105" s="173">
        <f ca="1">(VLOOKUP(DW$72,INDIRECT($C$5&amp;"生成成长"),2))/((VLOOKUP($B105,INDIRECT($B$5&amp;"生成成长"),4))/(VLOOKUP(DW$72,INDIRECT($C$5&amp;"生成成长"),5))*(VLOOKUP($B$5,标准坦克设计!$B$24:$U$30,MATCH("对"&amp;LEFT($C$5,2)&amp;"输出",标准坦克设计!$B$23:$U$23,0)))*(VLOOKUP($B105,INDIRECT($B$5&amp;"生成成长"),3))*(VLOOKUP($B$5,标准坦克设计!$B$14:$K$20,9)/30))</f>
        <v>12.007772885353875</v>
      </c>
      <c r="DX105" s="173">
        <f ca="1">(VLOOKUP(DX$72,INDIRECT($C$5&amp;"生成成长"),2))/((VLOOKUP($B105,INDIRECT($B$5&amp;"生成成长"),4))/(VLOOKUP(DX$72,INDIRECT($C$5&amp;"生成成长"),5))*(VLOOKUP($B$5,标准坦克设计!$B$24:$U$30,MATCH("对"&amp;LEFT($C$5,2)&amp;"输出",标准坦克设计!$B$23:$U$23,0)))*(VLOOKUP($B105,INDIRECT($B$5&amp;"生成成长"),3))*(VLOOKUP($B$5,标准坦克设计!$B$14:$K$20,9)/30))</f>
        <v>12.991253564559491</v>
      </c>
      <c r="DY105" s="173">
        <f ca="1">(VLOOKUP(DY$72,INDIRECT($C$5&amp;"生成成长"),2))/((VLOOKUP($B105,INDIRECT($B$5&amp;"生成成长"),4))/(VLOOKUP(DY$72,INDIRECT($C$5&amp;"生成成长"),5))*(VLOOKUP($B$5,标准坦克设计!$B$24:$U$30,MATCH("对"&amp;LEFT($C$5,2)&amp;"输出",标准坦克设计!$B$23:$U$23,0)))*(VLOOKUP($B105,INDIRECT($B$5&amp;"生成成长"),3))*(VLOOKUP($B$5,标准坦克设计!$B$14:$K$20,9)/30))</f>
        <v>5.8348282091559849</v>
      </c>
      <c r="DZ105" s="173">
        <f ca="1">(VLOOKUP(DZ$72,INDIRECT($C$5&amp;"生成成长"),2))/((VLOOKUP($B105,INDIRECT($B$5&amp;"生成成长"),4))/(VLOOKUP(DZ$72,INDIRECT($C$5&amp;"生成成长"),5))*(VLOOKUP($B$5,标准坦克设计!$B$24:$U$30,MATCH("对"&amp;LEFT($C$5,2)&amp;"输出",标准坦克设计!$B$23:$U$23,0)))*(VLOOKUP($B105,INDIRECT($B$5&amp;"生成成长"),3))*(VLOOKUP($B$5,标准坦克设计!$B$14:$K$20,9)/30))</f>
        <v>6.4617991414191209</v>
      </c>
      <c r="EA105" s="173">
        <f ca="1">(VLOOKUP(EA$72,INDIRECT($C$5&amp;"生成成长"),2))/((VLOOKUP($B105,INDIRECT($B$5&amp;"生成成长"),4))/(VLOOKUP(EA$72,INDIRECT($C$5&amp;"生成成长"),5))*(VLOOKUP($B$5,标准坦克设计!$B$24:$U$30,MATCH("对"&amp;LEFT($C$5,2)&amp;"输出",标准坦克设计!$B$23:$U$23,0)))*(VLOOKUP($B105,INDIRECT($B$5&amp;"生成成长"),3))*(VLOOKUP($B$5,标准坦克设计!$B$14:$K$20,9)/30))</f>
        <v>7.120758386552823</v>
      </c>
      <c r="EB105" s="173">
        <f ca="1">(VLOOKUP(EB$72,INDIRECT($C$5&amp;"生成成长"),2))/((VLOOKUP($B105,INDIRECT($B$5&amp;"生成成长"),4))/(VLOOKUP(EB$72,INDIRECT($C$5&amp;"生成成长"),5))*(VLOOKUP($B$5,标准坦克设计!$B$24:$U$30,MATCH("对"&amp;LEFT($C$5,2)&amp;"输出",标准坦克设计!$B$23:$U$23,0)))*(VLOOKUP($B105,INDIRECT($B$5&amp;"生成成长"),3))*(VLOOKUP($B$5,标准坦克设计!$B$14:$K$20,9)/30))</f>
        <v>7.8117059445570964</v>
      </c>
      <c r="EC105" s="173">
        <f ca="1">(VLOOKUP(EC$72,INDIRECT($C$5&amp;"生成成长"),2))/((VLOOKUP($B105,INDIRECT($B$5&amp;"生成成长"),4))/(VLOOKUP(EC$72,INDIRECT($C$5&amp;"生成成长"),5))*(VLOOKUP($B$5,标准坦克设计!$B$24:$U$30,MATCH("对"&amp;LEFT($C$5,2)&amp;"输出",标准坦克设计!$B$23:$U$23,0)))*(VLOOKUP($B105,INDIRECT($B$5&amp;"生成成长"),3))*(VLOOKUP($B$5,标准坦克设计!$B$14:$K$20,9)/30))</f>
        <v>8.5346418154319359</v>
      </c>
      <c r="ED105" s="173">
        <f ca="1">(VLOOKUP(ED$72,INDIRECT($C$5&amp;"生成成长"),2))/((VLOOKUP($B105,INDIRECT($B$5&amp;"生成成长"),4))/(VLOOKUP(ED$72,INDIRECT($C$5&amp;"生成成长"),5))*(VLOOKUP($B$5,标准坦克设计!$B$24:$U$30,MATCH("对"&amp;LEFT($C$5,2)&amp;"输出",标准坦克设计!$B$23:$U$23,0)))*(VLOOKUP($B105,INDIRECT($B$5&amp;"生成成长"),3))*(VLOOKUP($B$5,标准坦克设计!$B$14:$K$20,9)/30))</f>
        <v>9.2895659991773449</v>
      </c>
      <c r="EE105" s="173">
        <f ca="1">(VLOOKUP(EE$72,INDIRECT($C$5&amp;"生成成长"),2))/((VLOOKUP($B105,INDIRECT($B$5&amp;"生成成长"),4))/(VLOOKUP(EE$72,INDIRECT($C$5&amp;"生成成长"),5))*(VLOOKUP($B$5,标准坦克设计!$B$24:$U$30,MATCH("对"&amp;LEFT($C$5,2)&amp;"输出",标准坦克设计!$B$23:$U$23,0)))*(VLOOKUP($B105,INDIRECT($B$5&amp;"生成成长"),3))*(VLOOKUP($B$5,标准坦克设计!$B$14:$K$20,9)/30))</f>
        <v>10.076478495793321</v>
      </c>
      <c r="EF105" s="173">
        <f ca="1">(VLOOKUP(EF$72,INDIRECT($C$5&amp;"生成成长"),2))/((VLOOKUP($B105,INDIRECT($B$5&amp;"生成成长"),4))/(VLOOKUP(EF$72,INDIRECT($C$5&amp;"生成成长"),5))*(VLOOKUP($B$5,标准坦克设计!$B$24:$U$30,MATCH("对"&amp;LEFT($C$5,2)&amp;"输出",标准坦克设计!$B$23:$U$23,0)))*(VLOOKUP($B105,INDIRECT($B$5&amp;"生成成长"),3))*(VLOOKUP($B$5,标准坦克设计!$B$14:$K$20,9)/30))</f>
        <v>10.895379305279866</v>
      </c>
      <c r="EG105" s="173">
        <f ca="1">(VLOOKUP(EG$72,INDIRECT($C$5&amp;"生成成长"),2))/((VLOOKUP($B105,INDIRECT($B$5&amp;"生成成长"),4))/(VLOOKUP(EG$72,INDIRECT($C$5&amp;"生成成长"),5))*(VLOOKUP($B$5,标准坦克设计!$B$24:$U$30,MATCH("对"&amp;LEFT($C$5,2)&amp;"输出",标准坦克设计!$B$23:$U$23,0)))*(VLOOKUP($B105,INDIRECT($B$5&amp;"生成成长"),3))*(VLOOKUP($B$5,标准坦克设计!$B$14:$K$20,9)/30))</f>
        <v>11.746268427636979</v>
      </c>
      <c r="EH105" s="173">
        <f ca="1">(VLOOKUP(EH$72,INDIRECT($C$5&amp;"生成成长"),2))/((VLOOKUP($B105,INDIRECT($B$5&amp;"生成成长"),4))/(VLOOKUP(EH$72,INDIRECT($C$5&amp;"生成成长"),5))*(VLOOKUP($B$5,标准坦克设计!$B$24:$U$30,MATCH("对"&amp;LEFT($C$5,2)&amp;"输出",标准坦克设计!$B$23:$U$23,0)))*(VLOOKUP($B105,INDIRECT($B$5&amp;"生成成长"),3))*(VLOOKUP($B$5,标准坦克设计!$B$14:$K$20,9)/30))</f>
        <v>12.629145862864661</v>
      </c>
      <c r="EI105" s="173">
        <f ca="1">(VLOOKUP(EI$72,INDIRECT($C$5&amp;"生成成长"),2))/((VLOOKUP($B105,INDIRECT($B$5&amp;"生成成长"),4))/(VLOOKUP(EI$72,INDIRECT($C$5&amp;"生成成长"),5))*(VLOOKUP($B$5,标准坦克设计!$B$24:$U$30,MATCH("对"&amp;LEFT($C$5,2)&amp;"输出",标准坦克设计!$B$23:$U$23,0)))*(VLOOKUP($B105,INDIRECT($B$5&amp;"生成成长"),3))*(VLOOKUP($B$5,标准坦克设计!$B$14:$K$20,9)/30))</f>
        <v>13.544011610962912</v>
      </c>
      <c r="EJ105" s="173">
        <f ca="1">(VLOOKUP(EJ$72,INDIRECT($C$5&amp;"生成成长"),2))/((VLOOKUP($B105,INDIRECT($B$5&amp;"生成成长"),4))/(VLOOKUP(EJ$72,INDIRECT($C$5&amp;"生成成长"),5))*(VLOOKUP($B$5,标准坦克设计!$B$24:$U$30,MATCH("对"&amp;LEFT($C$5,2)&amp;"输出",标准坦克设计!$B$23:$U$23,0)))*(VLOOKUP($B105,INDIRECT($B$5&amp;"生成成长"),3))*(VLOOKUP($B$5,标准坦克设计!$B$14:$K$20,9)/30))</f>
        <v>14.490865671931729</v>
      </c>
      <c r="EK105" s="173">
        <f ca="1">(VLOOKUP(EK$72,INDIRECT($C$5&amp;"生成成长"),2))/((VLOOKUP($B105,INDIRECT($B$5&amp;"生成成长"),4))/(VLOOKUP(EK$72,INDIRECT($C$5&amp;"生成成长"),5))*(VLOOKUP($B$5,标准坦克设计!$B$24:$U$30,MATCH("对"&amp;LEFT($C$5,2)&amp;"输出",标准坦克设计!$B$23:$U$23,0)))*(VLOOKUP($B105,INDIRECT($B$5&amp;"生成成长"),3))*(VLOOKUP($B$5,标准坦克设计!$B$14:$K$20,9)/30))</f>
        <v>15.669315118083457</v>
      </c>
      <c r="EL105" s="173">
        <f ca="1">(VLOOKUP(EL$72,INDIRECT($C$5&amp;"生成成长"),2))/((VLOOKUP($B105,INDIRECT($B$5&amp;"生成成长"),4))/(VLOOKUP(EL$72,INDIRECT($C$5&amp;"生成成长"),5))*(VLOOKUP($B$5,标准坦克设计!$B$24:$U$30,MATCH("对"&amp;LEFT($C$5,2)&amp;"输出",标准坦克设计!$B$23:$U$23,0)))*(VLOOKUP($B105,INDIRECT($B$5&amp;"生成成长"),3))*(VLOOKUP($B$5,标准坦克设计!$B$14:$K$20,9)/30))</f>
        <v>16.893827734768809</v>
      </c>
      <c r="EM105" s="173">
        <f ca="1">(VLOOKUP(EM$72,INDIRECT($C$5&amp;"生成成长"),2))/((VLOOKUP($B105,INDIRECT($B$5&amp;"生成成长"),4))/(VLOOKUP(EM$72,INDIRECT($C$5&amp;"生成成长"),5))*(VLOOKUP($B$5,标准坦克设计!$B$24:$U$30,MATCH("对"&amp;LEFT($C$5,2)&amp;"输出",标准坦克设计!$B$23:$U$23,0)))*(VLOOKUP($B105,INDIRECT($B$5&amp;"生成成长"),3))*(VLOOKUP($B$5,标准坦克设计!$B$14:$K$20,9)/30))</f>
        <v>18.164403521987776</v>
      </c>
      <c r="EN105" s="173">
        <f ca="1">(VLOOKUP(EN$72,INDIRECT($C$5&amp;"生成成长"),2))/((VLOOKUP($B105,INDIRECT($B$5&amp;"生成成长"),4))/(VLOOKUP(EN$72,INDIRECT($C$5&amp;"生成成长"),5))*(VLOOKUP($B$5,标准坦克设计!$B$24:$U$30,MATCH("对"&amp;LEFT($C$5,2)&amp;"输出",标准坦克设计!$B$23:$U$23,0)))*(VLOOKUP($B105,INDIRECT($B$5&amp;"生成成长"),3))*(VLOOKUP($B$5,标准坦克设计!$B$14:$K$20,9)/30))</f>
        <v>19.48104247974036</v>
      </c>
      <c r="EO105" s="173">
        <f ca="1">(VLOOKUP(EO$72,INDIRECT($C$5&amp;"生成成长"),2))/((VLOOKUP($B105,INDIRECT($B$5&amp;"生成成长"),4))/(VLOOKUP(EO$72,INDIRECT($C$5&amp;"生成成长"),5))*(VLOOKUP($B$5,标准坦克设计!$B$24:$U$30,MATCH("对"&amp;LEFT($C$5,2)&amp;"输出",标准坦克设计!$B$23:$U$23,0)))*(VLOOKUP($B105,INDIRECT($B$5&amp;"生成成长"),3))*(VLOOKUP($B$5,标准坦克设计!$B$14:$K$20,9)/30))</f>
        <v>20.843744608026565</v>
      </c>
      <c r="EP105" s="173">
        <f ca="1">(VLOOKUP(EP$72,INDIRECT($C$5&amp;"生成成长"),2))/((VLOOKUP($B105,INDIRECT($B$5&amp;"生成成长"),4))/(VLOOKUP(EP$72,INDIRECT($C$5&amp;"生成成长"),5))*(VLOOKUP($B$5,标准坦克设计!$B$24:$U$30,MATCH("对"&amp;LEFT($C$5,2)&amp;"输出",标准坦克设计!$B$23:$U$23,0)))*(VLOOKUP($B105,INDIRECT($B$5&amp;"生成成长"),3))*(VLOOKUP($B$5,标准坦克设计!$B$14:$K$20,9)/30))</f>
        <v>22.252509906846385</v>
      </c>
      <c r="EQ105" s="173">
        <f ca="1">(VLOOKUP(EQ$72,INDIRECT($C$5&amp;"生成成长"),2))/((VLOOKUP($B105,INDIRECT($B$5&amp;"生成成长"),4))/(VLOOKUP(EQ$72,INDIRECT($C$5&amp;"生成成长"),5))*(VLOOKUP($B$5,标准坦克设计!$B$24:$U$30,MATCH("对"&amp;LEFT($C$5,2)&amp;"输出",标准坦克设计!$B$23:$U$23,0)))*(VLOOKUP($B105,INDIRECT($B$5&amp;"生成成长"),3))*(VLOOKUP($B$5,标准坦克设计!$B$14:$K$20,9)/30))</f>
        <v>9.8370459739571192</v>
      </c>
      <c r="ER105" s="173">
        <f ca="1">(VLOOKUP(ER$72,INDIRECT($C$5&amp;"生成成长"),2))/((VLOOKUP($B105,INDIRECT($B$5&amp;"生成成长"),4))/(VLOOKUP(ER$72,INDIRECT($C$5&amp;"生成成长"),5))*(VLOOKUP($B$5,标准坦克设计!$B$24:$U$30,MATCH("对"&amp;LEFT($C$5,2)&amp;"输出",标准坦克设计!$B$23:$U$23,0)))*(VLOOKUP($B105,INDIRECT($B$5&amp;"生成成长"),3))*(VLOOKUP($B$5,标准坦克设计!$B$14:$K$20,9)/30))</f>
        <v>10.729040078352911</v>
      </c>
      <c r="ES105" s="173">
        <f ca="1">(VLOOKUP(ES$72,INDIRECT($C$5&amp;"生成成长"),2))/((VLOOKUP($B105,INDIRECT($B$5&amp;"生成成长"),4))/(VLOOKUP(ES$72,INDIRECT($C$5&amp;"生成成长"),5))*(VLOOKUP($B$5,标准坦克设计!$B$24:$U$30,MATCH("对"&amp;LEFT($C$5,2)&amp;"输出",标准坦克设计!$B$23:$U$23,0)))*(VLOOKUP($B105,INDIRECT($B$5&amp;"生成成长"),3))*(VLOOKUP($B$5,标准坦克设计!$B$14:$K$20,9)/30))</f>
        <v>11.659740041322092</v>
      </c>
      <c r="ET105" s="173">
        <f ca="1">(VLOOKUP(ET$72,INDIRECT($C$5&amp;"生成成长"),2))/((VLOOKUP($B105,INDIRECT($B$5&amp;"生成成长"),4))/(VLOOKUP(ET$72,INDIRECT($C$5&amp;"生成成长"),5))*(VLOOKUP($B$5,标准坦克设计!$B$24:$U$30,MATCH("对"&amp;LEFT($C$5,2)&amp;"输出",标准坦克设计!$B$23:$U$23,0)))*(VLOOKUP($B105,INDIRECT($B$5&amp;"生成成长"),3))*(VLOOKUP($B$5,标准坦克设计!$B$14:$K$20,9)/30))</f>
        <v>12.629145862864661</v>
      </c>
      <c r="EU105" s="173">
        <f ca="1">(VLOOKUP(EU$72,INDIRECT($C$5&amp;"生成成长"),2))/((VLOOKUP($B105,INDIRECT($B$5&amp;"生成成长"),4))/(VLOOKUP(EU$72,INDIRECT($C$5&amp;"生成成长"),5))*(VLOOKUP($B$5,标准坦克设计!$B$24:$U$30,MATCH("对"&amp;LEFT($C$5,2)&amp;"输出",标准坦克设计!$B$23:$U$23,0)))*(VLOOKUP($B105,INDIRECT($B$5&amp;"生成成长"),3))*(VLOOKUP($B$5,标准坦克设计!$B$14:$K$20,9)/30))</f>
        <v>13.637257542980613</v>
      </c>
      <c r="EV105" s="173">
        <f ca="1">(VLOOKUP(EV$72,INDIRECT($C$5&amp;"生成成长"),2))/((VLOOKUP($B105,INDIRECT($B$5&amp;"生成成长"),4))/(VLOOKUP(EV$72,INDIRECT($C$5&amp;"生成成长"),5))*(VLOOKUP($B$5,标准坦克设计!$B$24:$U$30,MATCH("对"&amp;LEFT($C$5,2)&amp;"输出",标准坦克设计!$B$23:$U$23,0)))*(VLOOKUP($B105,INDIRECT($B$5&amp;"生成成长"),3))*(VLOOKUP($B$5,标准坦克设计!$B$14:$K$20,9)/30))</f>
        <v>14.684075081669961</v>
      </c>
      <c r="EW105" s="173">
        <f ca="1">(VLOOKUP(EW$72,INDIRECT($C$5&amp;"生成成长"),2))/((VLOOKUP($B105,INDIRECT($B$5&amp;"生成成长"),4))/(VLOOKUP(EW$72,INDIRECT($C$5&amp;"生成成长"),5))*(VLOOKUP($B$5,标准坦克设计!$B$24:$U$30,MATCH("对"&amp;LEFT($C$5,2)&amp;"输出",标准坦克设计!$B$23:$U$23,0)))*(VLOOKUP($B105,INDIRECT($B$5&amp;"生成成长"),3))*(VLOOKUP($B$5,标准坦克设计!$B$14:$K$20,9)/30))</f>
        <v>15.769598478932689</v>
      </c>
      <c r="EX105" s="173">
        <f ca="1">(VLOOKUP(EX$72,INDIRECT($C$5&amp;"生成成长"),2))/((VLOOKUP($B105,INDIRECT($B$5&amp;"生成成长"),4))/(VLOOKUP(EX$72,INDIRECT($C$5&amp;"生成成长"),5))*(VLOOKUP($B$5,标准坦克设计!$B$24:$U$30,MATCH("对"&amp;LEFT($C$5,2)&amp;"输出",标准坦克设计!$B$23:$U$23,0)))*(VLOOKUP($B105,INDIRECT($B$5&amp;"生成成长"),3))*(VLOOKUP($B$5,标准坦克设计!$B$14:$K$20,9)/30))</f>
        <v>16.893827734768809</v>
      </c>
      <c r="EY105" s="173">
        <f ca="1">(VLOOKUP(EY$72,INDIRECT($C$5&amp;"生成成长"),2))/((VLOOKUP($B105,INDIRECT($B$5&amp;"生成成长"),4))/(VLOOKUP(EY$72,INDIRECT($C$5&amp;"生成成长"),5))*(VLOOKUP($B$5,标准坦克设计!$B$24:$U$30,MATCH("对"&amp;LEFT($C$5,2)&amp;"输出",标准坦克设计!$B$23:$U$23,0)))*(VLOOKUP($B105,INDIRECT($B$5&amp;"生成成长"),3))*(VLOOKUP($B$5,标准坦克设计!$B$14:$K$20,9)/30))</f>
        <v>18.056762849178313</v>
      </c>
      <c r="EZ105" s="173">
        <f ca="1">(VLOOKUP(EZ$72,INDIRECT($C$5&amp;"生成成长"),2))/((VLOOKUP($B105,INDIRECT($B$5&amp;"生成成长"),4))/(VLOOKUP(EZ$72,INDIRECT($C$5&amp;"生成成长"),5))*(VLOOKUP($B$5,标准坦克设计!$B$24:$U$30,MATCH("对"&amp;LEFT($C$5,2)&amp;"输出",标准坦克设计!$B$23:$U$23,0)))*(VLOOKUP($B105,INDIRECT($B$5&amp;"生成成长"),3))*(VLOOKUP($B$5,标准坦克设计!$B$14:$K$20,9)/30))</f>
        <v>19.258403822161203</v>
      </c>
      <c r="FA105" s="173">
        <f ca="1">(VLOOKUP(FA$72,INDIRECT($C$5&amp;"生成成长"),2))/((VLOOKUP($B105,INDIRECT($B$5&amp;"生成成长"),4))/(VLOOKUP(FA$72,INDIRECT($C$5&amp;"生成成长"),5))*(VLOOKUP($B$5,标准坦克设计!$B$24:$U$30,MATCH("对"&amp;LEFT($C$5,2)&amp;"输出",标准坦克设计!$B$23:$U$23,0)))*(VLOOKUP($B105,INDIRECT($B$5&amp;"生成成长"),3))*(VLOOKUP($B$5,标准坦克设计!$B$14:$K$20,9)/30))</f>
        <v>20.498750653717487</v>
      </c>
      <c r="FB105" s="173">
        <f ca="1">(VLOOKUP(FB$72,INDIRECT($C$5&amp;"生成成长"),2))/((VLOOKUP($B105,INDIRECT($B$5&amp;"生成成长"),4))/(VLOOKUP(FB$72,INDIRECT($C$5&amp;"生成成长"),5))*(VLOOKUP($B$5,标准坦克设计!$B$24:$U$30,MATCH("对"&amp;LEFT($C$5,2)&amp;"输出",标准坦克设计!$B$23:$U$23,0)))*(VLOOKUP($B105,INDIRECT($B$5&amp;"生成成长"),3))*(VLOOKUP($B$5,标准坦克设计!$B$14:$K$20,9)/30))</f>
        <v>21.777803343847157</v>
      </c>
      <c r="FC105" s="173">
        <f ca="1">(VLOOKUP(FC$72,INDIRECT($C$5&amp;"生成成长"),2))/((VLOOKUP($B105,INDIRECT($B$5&amp;"生成成长"),4))/(VLOOKUP(FC$72,INDIRECT($C$5&amp;"生成成长"),5))*(VLOOKUP($B$5,标准坦克设计!$B$24:$U$30,MATCH("对"&amp;LEFT($C$5,2)&amp;"输出",标准坦克设计!$B$23:$U$23,0)))*(VLOOKUP($B105,INDIRECT($B$5&amp;"生成成长"),3))*(VLOOKUP($B$5,标准坦克设计!$B$14:$K$20,9)/30))</f>
        <v>23.095561892550208</v>
      </c>
      <c r="FD105" s="173">
        <f ca="1">(VLOOKUP(FD$72,INDIRECT($C$5&amp;"生成成长"),2))/((VLOOKUP($B105,INDIRECT($B$5&amp;"生成成长"),4))/(VLOOKUP(FD$72,INDIRECT($C$5&amp;"生成成长"),5))*(VLOOKUP($B$5,标准坦克设计!$B$24:$U$30,MATCH("对"&amp;LEFT($C$5,2)&amp;"输出",标准坦克设计!$B$23:$U$23,0)))*(VLOOKUP($B105,INDIRECT($B$5&amp;"生成成长"),3))*(VLOOKUP($B$5,标准坦克设计!$B$14:$K$20,9)/30))</f>
        <v>24.452026299826652</v>
      </c>
      <c r="FE105" s="173">
        <f ca="1">(VLOOKUP(FE$72,INDIRECT($C$5&amp;"生成成长"),2))/((VLOOKUP($B105,INDIRECT($B$5&amp;"生成成长"),4))/(VLOOKUP(FE$72,INDIRECT($C$5&amp;"生成成长"),5))*(VLOOKUP($B$5,标准坦克设计!$B$24:$U$30,MATCH("对"&amp;LEFT($C$5,2)&amp;"输出",标准坦克设计!$B$23:$U$23,0)))*(VLOOKUP($B105,INDIRECT($B$5&amp;"生成成长"),3))*(VLOOKUP($B$5,标准坦克设计!$B$14:$K$20,9)/30))</f>
        <v>26.105022367413262</v>
      </c>
      <c r="FF105" s="173">
        <f ca="1">(VLOOKUP(FF$72,INDIRECT($C$5&amp;"生成成长"),2))/((VLOOKUP($B105,INDIRECT($B$5&amp;"生成成长"),4))/(VLOOKUP(FF$72,INDIRECT($C$5&amp;"生成成长"),5))*(VLOOKUP($B$5,标准坦克设计!$B$24:$U$30,MATCH("对"&amp;LEFT($C$5,2)&amp;"输出",标准坦克设计!$B$23:$U$23,0)))*(VLOOKUP($B105,INDIRECT($B$5&amp;"生成成长"),3))*(VLOOKUP($B$5,标准坦克设计!$B$14:$K$20,9)/30))</f>
        <v>27.812078683751132</v>
      </c>
      <c r="FG105" s="173">
        <f ca="1">(VLOOKUP(FG$72,INDIRECT($C$5&amp;"生成成长"),2))/((VLOOKUP($B105,INDIRECT($B$5&amp;"生成成长"),4))/(VLOOKUP(FG$72,INDIRECT($C$5&amp;"生成成长"),5))*(VLOOKUP($B$5,标准坦克设计!$B$24:$U$30,MATCH("对"&amp;LEFT($C$5,2)&amp;"输出",标准坦克设计!$B$23:$U$23,0)))*(VLOOKUP($B105,INDIRECT($B$5&amp;"生成成长"),3))*(VLOOKUP($B$5,标准坦克设计!$B$14:$K$20,9)/30))</f>
        <v>29.573195248840257</v>
      </c>
      <c r="FH105" s="173">
        <f ca="1">(VLOOKUP(FH$72,INDIRECT($C$5&amp;"生成成长"),2))/((VLOOKUP($B105,INDIRECT($B$5&amp;"生成成长"),4))/(VLOOKUP(FH$72,INDIRECT($C$5&amp;"生成成长"),5))*(VLOOKUP($B$5,标准坦克设计!$B$24:$U$30,MATCH("对"&amp;LEFT($C$5,2)&amp;"输出",标准坦克设计!$B$23:$U$23,0)))*(VLOOKUP($B105,INDIRECT($B$5&amp;"生成成长"),3))*(VLOOKUP($B$5,标准坦克设计!$B$14:$K$20,9)/30))</f>
        <v>31.388372062680652</v>
      </c>
      <c r="FI105" s="173">
        <f ca="1">(VLOOKUP(FI$72,INDIRECT($C$5&amp;"生成成长"),2))/((VLOOKUP($B105,INDIRECT($B$5&amp;"生成成长"),4))/(VLOOKUP(FI$72,INDIRECT($C$5&amp;"生成成长"),5))*(VLOOKUP($B$5,标准坦克设计!$B$24:$U$30,MATCH("对"&amp;LEFT($C$5,2)&amp;"输出",标准坦克设计!$B$23:$U$23,0)))*(VLOOKUP($B105,INDIRECT($B$5&amp;"生成成长"),3))*(VLOOKUP($B$5,标准坦克设计!$B$14:$K$20,9)/30))</f>
        <v>33.257609125272303</v>
      </c>
      <c r="FJ105" s="173">
        <f ca="1">(VLOOKUP(FJ$72,INDIRECT($C$5&amp;"生成成长"),2))/((VLOOKUP($B105,INDIRECT($B$5&amp;"生成成长"),4))/(VLOOKUP(FJ$72,INDIRECT($C$5&amp;"生成成长"),5))*(VLOOKUP($B$5,标准坦克设计!$B$24:$U$30,MATCH("对"&amp;LEFT($C$5,2)&amp;"输出",标准坦克设计!$B$23:$U$23,0)))*(VLOOKUP($B105,INDIRECT($B$5&amp;"生成成长"),3))*(VLOOKUP($B$5,标准坦克设计!$B$14:$K$20,9)/30))</f>
        <v>35.18090643661521</v>
      </c>
      <c r="FK105" s="173">
        <f ca="1">(VLOOKUP(FK$72,INDIRECT($C$5&amp;"生成成长"),2))/((VLOOKUP($B105,INDIRECT($B$5&amp;"生成成长"),4))/(VLOOKUP(FK$72,INDIRECT($C$5&amp;"生成成长"),5))*(VLOOKUP($B$5,标准坦克设计!$B$24:$U$30,MATCH("对"&amp;LEFT($C$5,2)&amp;"输出",标准坦克设计!$B$23:$U$23,0)))*(VLOOKUP($B105,INDIRECT($B$5&amp;"生成成长"),3))*(VLOOKUP($B$5,标准坦克设计!$B$14:$K$20,9)/30))</f>
        <v>37.15826399670938</v>
      </c>
    </row>
    <row r="106" spans="1:167" x14ac:dyDescent="0.15">
      <c r="A106" s="171" t="str">
        <f t="shared" si="11"/>
        <v>T5低品质2级</v>
      </c>
      <c r="B106" s="172">
        <v>10502</v>
      </c>
      <c r="C106" s="173">
        <f ca="1">(VLOOKUP(C$72,INDIRECT($C$5&amp;"生成成长"),2))/((VLOOKUP($B106,INDIRECT($B$5&amp;"生成成长"),4))/(VLOOKUP(C$72,INDIRECT($C$5&amp;"生成成长"),5))*(VLOOKUP($B$5,标准坦克设计!$B$24:$U$30,MATCH("对"&amp;LEFT($C$5,2)&amp;"输出",标准坦克设计!$B$23:$U$23,0)))*(VLOOKUP($B106,INDIRECT($B$5&amp;"生成成长"),3))*(VLOOKUP($B$5,标准坦克设计!$B$14:$K$20,9)/30))</f>
        <v>1.4596188855997778</v>
      </c>
      <c r="D106" s="173">
        <f ca="1">(VLOOKUP(D$72,INDIRECT($C$5&amp;"生成成长"),2))/((VLOOKUP($B106,INDIRECT($B$5&amp;"生成成长"),4))/(VLOOKUP(D$72,INDIRECT($C$5&amp;"生成成长"),5))*(VLOOKUP($B$5,标准坦克设计!$B$24:$U$30,MATCH("对"&amp;LEFT($C$5,2)&amp;"输出",标准坦克设计!$B$23:$U$23,0)))*(VLOOKUP($B106,INDIRECT($B$5&amp;"生成成长"),3))*(VLOOKUP($B$5,标准坦克设计!$B$14:$K$20,9)/30))</f>
        <v>1.6400277798599108</v>
      </c>
      <c r="E106" s="173">
        <f ca="1">(VLOOKUP(E$72,INDIRECT($C$5&amp;"生成成长"),2))/((VLOOKUP($B106,INDIRECT($B$5&amp;"生成成长"),4))/(VLOOKUP(E$72,INDIRECT($C$5&amp;"生成成长"),5))*(VLOOKUP($B$5,标准坦克设计!$B$24:$U$30,MATCH("对"&amp;LEFT($C$5,2)&amp;"输出",标准坦克设计!$B$23:$U$23,0)))*(VLOOKUP($B106,INDIRECT($B$5&amp;"生成成长"),3))*(VLOOKUP($B$5,标准坦克设计!$B$14:$K$20,9)/30))</f>
        <v>1.8309459300963618</v>
      </c>
      <c r="F106" s="173">
        <f ca="1">(VLOOKUP(F$72,INDIRECT($C$5&amp;"生成成长"),2))/((VLOOKUP($B106,INDIRECT($B$5&amp;"生成成长"),4))/(VLOOKUP(F$72,INDIRECT($C$5&amp;"生成成长"),5))*(VLOOKUP($B$5,标准坦克设计!$B$24:$U$30,MATCH("对"&amp;LEFT($C$5,2)&amp;"输出",标准坦克设计!$B$23:$U$23,0)))*(VLOOKUP($B106,INDIRECT($B$5&amp;"生成成长"),3))*(VLOOKUP($B$5,标准坦克设计!$B$14:$K$20,9)/30))</f>
        <v>2.0323733363091305</v>
      </c>
      <c r="G106" s="173">
        <f ca="1">(VLOOKUP(G$72,INDIRECT($C$5&amp;"生成成长"),2))/((VLOOKUP($B106,INDIRECT($B$5&amp;"生成成长"),4))/(VLOOKUP(G$72,INDIRECT($C$5&amp;"生成成长"),5))*(VLOOKUP($B$5,标准坦克设计!$B$24:$U$30,MATCH("对"&amp;LEFT($C$5,2)&amp;"输出",标准坦克设计!$B$23:$U$23,0)))*(VLOOKUP($B106,INDIRECT($B$5&amp;"生成成长"),3))*(VLOOKUP($B$5,标准坦克设计!$B$14:$K$20,9)/30))</f>
        <v>2.2443099984982187</v>
      </c>
      <c r="H106" s="173">
        <f ca="1">(VLOOKUP(H$72,INDIRECT($C$5&amp;"生成成长"),2))/((VLOOKUP($B106,INDIRECT($B$5&amp;"生成成长"),4))/(VLOOKUP(H$72,INDIRECT($C$5&amp;"生成成长"),5))*(VLOOKUP($B$5,标准坦克设计!$B$24:$U$30,MATCH("对"&amp;LEFT($C$5,2)&amp;"输出",标准坦克设计!$B$23:$U$23,0)))*(VLOOKUP($B106,INDIRECT($B$5&amp;"生成成长"),3))*(VLOOKUP($B$5,标准坦克设计!$B$14:$K$20,9)/30))</f>
        <v>1.9640631724630613</v>
      </c>
      <c r="I106" s="173">
        <f ca="1">(VLOOKUP(I$72,INDIRECT($C$5&amp;"生成成长"),2))/((VLOOKUP($B106,INDIRECT($B$5&amp;"生成成长"),4))/(VLOOKUP(I$72,INDIRECT($C$5&amp;"生成成长"),5))*(VLOOKUP($B$5,标准坦克设计!$B$24:$U$30,MATCH("对"&amp;LEFT($C$5,2)&amp;"输出",标准坦克设计!$B$23:$U$23,0)))*(VLOOKUP($B106,INDIRECT($B$5&amp;"生成成长"),3))*(VLOOKUP($B$5,标准坦克设计!$B$14:$K$20,9)/30))</f>
        <v>2.2443099984982187</v>
      </c>
      <c r="J106" s="173">
        <f ca="1">(VLOOKUP(J$72,INDIRECT($C$5&amp;"生成成长"),2))/((VLOOKUP($B106,INDIRECT($B$5&amp;"生成成长"),4))/(VLOOKUP(J$72,INDIRECT($C$5&amp;"生成成长"),5))*(VLOOKUP($B$5,标准坦克设计!$B$24:$U$30,MATCH("对"&amp;LEFT($C$5,2)&amp;"输出",标准坦克设计!$B$23:$U$23,0)))*(VLOOKUP($B106,INDIRECT($B$5&amp;"生成成长"),3))*(VLOOKUP($B$5,标准坦克设计!$B$14:$K$20,9)/30))</f>
        <v>2.5432399462690527</v>
      </c>
      <c r="K106" s="173">
        <f ca="1">(VLOOKUP(K$72,INDIRECT($C$5&amp;"生成成长"),2))/((VLOOKUP($B106,INDIRECT($B$5&amp;"生成成长"),4))/(VLOOKUP(K$72,INDIRECT($C$5&amp;"生成成长"),5))*(VLOOKUP($B$5,标准坦克设计!$B$24:$U$30,MATCH("对"&amp;LEFT($C$5,2)&amp;"输出",标准坦克设计!$B$23:$U$23,0)))*(VLOOKUP($B106,INDIRECT($B$5&amp;"生成成长"),3))*(VLOOKUP($B$5,标准坦克设计!$B$14:$K$20,9)/30))</f>
        <v>2.8608530157755654</v>
      </c>
      <c r="L106" s="173">
        <f ca="1">(VLOOKUP(L$72,INDIRECT($C$5&amp;"生成成长"),2))/((VLOOKUP($B106,INDIRECT($B$5&amp;"生成成长"),4))/(VLOOKUP(L$72,INDIRECT($C$5&amp;"生成成长"),5))*(VLOOKUP($B$5,标准坦克设计!$B$24:$U$30,MATCH("对"&amp;LEFT($C$5,2)&amp;"输出",标准坦克设计!$B$23:$U$23,0)))*(VLOOKUP($B106,INDIRECT($B$5&amp;"生成成长"),3))*(VLOOKUP($B$5,标准坦克设计!$B$14:$K$20,9)/30))</f>
        <v>3.1971492070177536</v>
      </c>
      <c r="M106" s="173">
        <f ca="1">(VLOOKUP(M$72,INDIRECT($C$5&amp;"生成成长"),2))/((VLOOKUP($B106,INDIRECT($B$5&amp;"生成成长"),4))/(VLOOKUP(M$72,INDIRECT($C$5&amp;"生成成长"),5))*(VLOOKUP($B$5,标准坦克设计!$B$24:$U$30,MATCH("对"&amp;LEFT($C$5,2)&amp;"输出",标准坦克设计!$B$23:$U$23,0)))*(VLOOKUP($B106,INDIRECT($B$5&amp;"生成成长"),3))*(VLOOKUP($B$5,标准坦克设计!$B$14:$K$20,9)/30))</f>
        <v>3.5521285199956192</v>
      </c>
      <c r="N106" s="173">
        <f ca="1">(VLOOKUP(N$72,INDIRECT($C$5&amp;"生成成长"),2))/((VLOOKUP($B106,INDIRECT($B$5&amp;"生成成长"),4))/(VLOOKUP(N$72,INDIRECT($C$5&amp;"生成成长"),5))*(VLOOKUP($B$5,标准坦克设计!$B$24:$U$30,MATCH("对"&amp;LEFT($C$5,2)&amp;"输出",标准坦克设计!$B$23:$U$23,0)))*(VLOOKUP($B106,INDIRECT($B$5&amp;"生成成长"),3))*(VLOOKUP($B$5,标准坦克设计!$B$14:$K$20,9)/30))</f>
        <v>3.9257909547091625</v>
      </c>
      <c r="O106" s="173">
        <f ca="1">(VLOOKUP(O$72,INDIRECT($C$5&amp;"生成成长"),2))/((VLOOKUP($B106,INDIRECT($B$5&amp;"生成成长"),4))/(VLOOKUP(O$72,INDIRECT($C$5&amp;"生成成长"),5))*(VLOOKUP($B$5,标准坦克设计!$B$24:$U$30,MATCH("对"&amp;LEFT($C$5,2)&amp;"输出",标准坦克设计!$B$23:$U$23,0)))*(VLOOKUP($B106,INDIRECT($B$5&amp;"生成成长"),3))*(VLOOKUP($B$5,标准坦克设计!$B$14:$K$20,9)/30))</f>
        <v>2.9847746591629862</v>
      </c>
      <c r="P106" s="173">
        <f ca="1">(VLOOKUP(P$72,INDIRECT($C$5&amp;"生成成长"),2))/((VLOOKUP($B106,INDIRECT($B$5&amp;"生成成长"),4))/(VLOOKUP(P$72,INDIRECT($C$5&amp;"生成成长"),5))*(VLOOKUP($B$5,标准坦克设计!$B$24:$U$30,MATCH("对"&amp;LEFT($C$5,2)&amp;"输出",标准坦克设计!$B$23:$U$23,0)))*(VLOOKUP($B106,INDIRECT($B$5&amp;"生成成长"),3))*(VLOOKUP($B$5,标准坦克设计!$B$14:$K$20,9)/30))</f>
        <v>3.372303473289727</v>
      </c>
      <c r="Q106" s="173">
        <f ca="1">(VLOOKUP(Q$72,INDIRECT($C$5&amp;"生成成长"),2))/((VLOOKUP($B106,INDIRECT($B$5&amp;"生成成长"),4))/(VLOOKUP(Q$72,INDIRECT($C$5&amp;"生成成长"),5))*(VLOOKUP($B$5,标准坦克设计!$B$24:$U$30,MATCH("对"&amp;LEFT($C$5,2)&amp;"输出",标准坦克设计!$B$23:$U$23,0)))*(VLOOKUP($B106,INDIRECT($B$5&amp;"生成成长"),3))*(VLOOKUP($B$5,标准坦克设计!$B$14:$K$20,9)/30))</f>
        <v>3.7834781133631847</v>
      </c>
      <c r="R106" s="173">
        <f ca="1">(VLOOKUP(R$72,INDIRECT($C$5&amp;"生成成长"),2))/((VLOOKUP($B106,INDIRECT($B$5&amp;"生成成长"),4))/(VLOOKUP(R$72,INDIRECT($C$5&amp;"生成成长"),5))*(VLOOKUP($B$5,标准坦克设计!$B$24:$U$30,MATCH("对"&amp;LEFT($C$5,2)&amp;"输出",标准坦克设计!$B$23:$U$23,0)))*(VLOOKUP($B106,INDIRECT($B$5&amp;"生成成长"),3))*(VLOOKUP($B$5,标准坦克设计!$B$14:$K$20,9)/30))</f>
        <v>4.2182985793833581</v>
      </c>
      <c r="S106" s="173">
        <f ca="1">(VLOOKUP(S$72,INDIRECT($C$5&amp;"生成成长"),2))/((VLOOKUP($B106,INDIRECT($B$5&amp;"生成成长"),4))/(VLOOKUP(S$72,INDIRECT($C$5&amp;"生成成长"),5))*(VLOOKUP($B$5,标准坦克设计!$B$24:$U$30,MATCH("对"&amp;LEFT($C$5,2)&amp;"输出",标准坦克设计!$B$23:$U$23,0)))*(VLOOKUP($B106,INDIRECT($B$5&amp;"生成成长"),3))*(VLOOKUP($B$5,标准坦克设计!$B$14:$K$20,9)/30))</f>
        <v>4.6767648713502483</v>
      </c>
      <c r="T106" s="173">
        <f ca="1">(VLOOKUP(T$72,INDIRECT($C$5&amp;"生成成长"),2))/((VLOOKUP($B106,INDIRECT($B$5&amp;"生成成长"),4))/(VLOOKUP(T$72,INDIRECT($C$5&amp;"生成成长"),5))*(VLOOKUP($B$5,标准坦克设计!$B$24:$U$30,MATCH("对"&amp;LEFT($C$5,2)&amp;"输出",标准坦克设计!$B$23:$U$23,0)))*(VLOOKUP($B106,INDIRECT($B$5&amp;"生成成长"),3))*(VLOOKUP($B$5,标准坦克设计!$B$14:$K$20,9)/30))</f>
        <v>5.1588769892638551</v>
      </c>
      <c r="U106" s="173">
        <f ca="1">(VLOOKUP(U$72,INDIRECT($C$5&amp;"生成成长"),2))/((VLOOKUP($B106,INDIRECT($B$5&amp;"生成成长"),4))/(VLOOKUP(U$72,INDIRECT($C$5&amp;"生成成长"),5))*(VLOOKUP($B$5,标准坦克设计!$B$24:$U$30,MATCH("对"&amp;LEFT($C$5,2)&amp;"输出",标准坦克设计!$B$23:$U$23,0)))*(VLOOKUP($B106,INDIRECT($B$5&amp;"生成成长"),3))*(VLOOKUP($B$5,标准坦克设计!$B$14:$K$20,9)/30))</f>
        <v>5.6646349331241783</v>
      </c>
      <c r="V106" s="173">
        <f ca="1">(VLOOKUP(V$72,INDIRECT($C$5&amp;"生成成长"),2))/((VLOOKUP($B106,INDIRECT($B$5&amp;"生成成长"),4))/(VLOOKUP(V$72,INDIRECT($C$5&amp;"生成成长"),5))*(VLOOKUP($B$5,标准坦克设计!$B$24:$U$30,MATCH("对"&amp;LEFT($C$5,2)&amp;"输出",标准坦克设计!$B$23:$U$23,0)))*(VLOOKUP($B106,INDIRECT($B$5&amp;"生成成长"),3))*(VLOOKUP($B$5,标准坦克设计!$B$14:$K$20,9)/30))</f>
        <v>6.1940387029312189</v>
      </c>
      <c r="W106" s="173">
        <f ca="1">(VLOOKUP(W$72,INDIRECT($C$5&amp;"生成成长"),2))/((VLOOKUP($B106,INDIRECT($B$5&amp;"生成成长"),4))/(VLOOKUP(W$72,INDIRECT($C$5&amp;"生成成长"),5))*(VLOOKUP($B$5,标准坦克设计!$B$24:$U$30,MATCH("对"&amp;LEFT($C$5,2)&amp;"输出",标准坦克设计!$B$23:$U$23,0)))*(VLOOKUP($B106,INDIRECT($B$5&amp;"生成成长"),3))*(VLOOKUP($B$5,标准坦克设计!$B$14:$K$20,9)/30))</f>
        <v>6.7470882986849734</v>
      </c>
      <c r="X106" s="173">
        <f ca="1">(VLOOKUP(X$72,INDIRECT($C$5&amp;"生成成长"),2))/((VLOOKUP($B106,INDIRECT($B$5&amp;"生成成长"),4))/(VLOOKUP(X$72,INDIRECT($C$5&amp;"生成成长"),5))*(VLOOKUP($B$5,标准坦克设计!$B$24:$U$30,MATCH("对"&amp;LEFT($C$5,2)&amp;"输出",标准坦克设计!$B$23:$U$23,0)))*(VLOOKUP($B106,INDIRECT($B$5&amp;"生成成长"),3))*(VLOOKUP($B$5,标准坦克设计!$B$14:$K$20,9)/30))</f>
        <v>4.8881176859850974</v>
      </c>
      <c r="Y106" s="173">
        <f ca="1">(VLOOKUP(Y$72,INDIRECT($C$5&amp;"生成成长"),2))/((VLOOKUP($B106,INDIRECT($B$5&amp;"生成成长"),4))/(VLOOKUP(Y$72,INDIRECT($C$5&amp;"生成成长"),5))*(VLOOKUP($B$5,标准坦克设计!$B$24:$U$30,MATCH("对"&amp;LEFT($C$5,2)&amp;"输出",标准坦克设计!$B$23:$U$23,0)))*(VLOOKUP($B106,INDIRECT($B$5&amp;"生成成长"),3))*(VLOOKUP($B$5,标准坦克设计!$B$14:$K$20,9)/30))</f>
        <v>5.4369343869706137</v>
      </c>
      <c r="Z106" s="173">
        <f ca="1">(VLOOKUP(Z$72,INDIRECT($C$5&amp;"生成成长"),2))/((VLOOKUP($B106,INDIRECT($B$5&amp;"生成成长"),4))/(VLOOKUP(Z$72,INDIRECT($C$5&amp;"生成成长"),5))*(VLOOKUP($B$5,标准坦克设计!$B$24:$U$30,MATCH("对"&amp;LEFT($C$5,2)&amp;"输出",标准坦克设计!$B$23:$U$23,0)))*(VLOOKUP($B106,INDIRECT($B$5&amp;"生成成长"),3))*(VLOOKUP($B$5,标准坦克设计!$B$14:$K$20,9)/30))</f>
        <v>6.014943465668126</v>
      </c>
      <c r="AA106" s="173">
        <f ca="1">(VLOOKUP(AA$72,INDIRECT($C$5&amp;"生成成长"),2))/((VLOOKUP($B106,INDIRECT($B$5&amp;"生成成长"),4))/(VLOOKUP(AA$72,INDIRECT($C$5&amp;"生成成长"),5))*(VLOOKUP($B$5,标准坦克设计!$B$24:$U$30,MATCH("对"&amp;LEFT($C$5,2)&amp;"输出",标准坦克设计!$B$23:$U$23,0)))*(VLOOKUP($B106,INDIRECT($B$5&amp;"生成成长"),3))*(VLOOKUP($B$5,标准坦克设计!$B$14:$K$20,9)/30))</f>
        <v>6.6221449220776316</v>
      </c>
      <c r="AB106" s="173">
        <f ca="1">(VLOOKUP(AB$72,INDIRECT($C$5&amp;"生成成长"),2))/((VLOOKUP($B106,INDIRECT($B$5&amp;"生成成长"),4))/(VLOOKUP(AB$72,INDIRECT($C$5&amp;"生成成长"),5))*(VLOOKUP($B$5,标准坦克设计!$B$24:$U$30,MATCH("对"&amp;LEFT($C$5,2)&amp;"输出",标准坦克设计!$B$23:$U$23,0)))*(VLOOKUP($B106,INDIRECT($B$5&amp;"生成成长"),3))*(VLOOKUP($B$5,标准坦克设计!$B$14:$K$20,9)/30))</f>
        <v>7.2585387561991359</v>
      </c>
      <c r="AC106" s="173">
        <f ca="1">(VLOOKUP(AC$72,INDIRECT($C$5&amp;"生成成长"),2))/((VLOOKUP($B106,INDIRECT($B$5&amp;"生成成长"),4))/(VLOOKUP(AC$72,INDIRECT($C$5&amp;"生成成长"),5))*(VLOOKUP($B$5,标准坦克设计!$B$24:$U$30,MATCH("对"&amp;LEFT($C$5,2)&amp;"输出",标准坦克设计!$B$23:$U$23,0)))*(VLOOKUP($B106,INDIRECT($B$5&amp;"生成成长"),3))*(VLOOKUP($B$5,标准坦克设计!$B$14:$K$20,9)/30))</f>
        <v>7.9241249680326336</v>
      </c>
      <c r="AD106" s="173">
        <f ca="1">(VLOOKUP(AD$72,INDIRECT($C$5&amp;"生成成长"),2))/((VLOOKUP($B106,INDIRECT($B$5&amp;"生成成长"),4))/(VLOOKUP(AD$72,INDIRECT($C$5&amp;"生成成长"),5))*(VLOOKUP($B$5,标准坦克设计!$B$24:$U$30,MATCH("对"&amp;LEFT($C$5,2)&amp;"输出",标准坦克设计!$B$23:$U$23,0)))*(VLOOKUP($B106,INDIRECT($B$5&amp;"生成成长"),3))*(VLOOKUP($B$5,标准坦克设计!$B$14:$K$20,9)/30))</f>
        <v>8.6189035575781272</v>
      </c>
      <c r="AE106" s="173">
        <f ca="1">(VLOOKUP(AE$72,INDIRECT($C$5&amp;"生成成长"),2))/((VLOOKUP($B106,INDIRECT($B$5&amp;"生成成长"),4))/(VLOOKUP(AE$72,INDIRECT($C$5&amp;"生成成长"),5))*(VLOOKUP($B$5,标准坦克设计!$B$24:$U$30,MATCH("对"&amp;LEFT($C$5,2)&amp;"输出",标准坦克设计!$B$23:$U$23,0)))*(VLOOKUP($B106,INDIRECT($B$5&amp;"生成成长"),3))*(VLOOKUP($B$5,标准坦克设计!$B$14:$K$20,9)/30))</f>
        <v>9.3428745248356204</v>
      </c>
      <c r="AF106" s="173">
        <f ca="1">(VLOOKUP(AF$72,INDIRECT($C$5&amp;"生成成长"),2))/((VLOOKUP($B106,INDIRECT($B$5&amp;"生成成长"),4))/(VLOOKUP(AF$72,INDIRECT($C$5&amp;"生成成长"),5))*(VLOOKUP($B$5,标准坦克设计!$B$24:$U$30,MATCH("对"&amp;LEFT($C$5,2)&amp;"输出",标准坦克设计!$B$23:$U$23,0)))*(VLOOKUP($B106,INDIRECT($B$5&amp;"生成成长"),3))*(VLOOKUP($B$5,标准坦克设计!$B$14:$K$20,9)/30))</f>
        <v>10.096037869805103</v>
      </c>
      <c r="AG106" s="173">
        <f ca="1">(VLOOKUP(AG$72,INDIRECT($C$5&amp;"生成成长"),2))/((VLOOKUP($B106,INDIRECT($B$5&amp;"生成成长"),4))/(VLOOKUP(AG$72,INDIRECT($C$5&amp;"生成成长"),5))*(VLOOKUP($B$5,标准坦克设计!$B$24:$U$30,MATCH("对"&amp;LEFT($C$5,2)&amp;"输出",标准坦克设计!$B$23:$U$23,0)))*(VLOOKUP($B106,INDIRECT($B$5&amp;"生成成长"),3))*(VLOOKUP($B$5,标准坦克设计!$B$14:$K$20,9)/30))</f>
        <v>10.878393592486585</v>
      </c>
      <c r="AH106" s="173">
        <f ca="1">(VLOOKUP(AH$72,INDIRECT($C$5&amp;"生成成长"),2))/((VLOOKUP($B106,INDIRECT($B$5&amp;"生成成长"),4))/(VLOOKUP(AH$72,INDIRECT($C$5&amp;"生成成长"),5))*(VLOOKUP($B$5,标准坦克设计!$B$24:$U$30,MATCH("对"&amp;LEFT($C$5,2)&amp;"输出",标准坦克设计!$B$23:$U$23,0)))*(VLOOKUP($B106,INDIRECT($B$5&amp;"生成成长"),3))*(VLOOKUP($B$5,标准坦克设计!$B$14:$K$20,9)/30))</f>
        <v>11.689941692880062</v>
      </c>
      <c r="AI106" s="173">
        <f ca="1">(VLOOKUP(AI$72,INDIRECT($C$5&amp;"生成成长"),2))/((VLOOKUP($B106,INDIRECT($B$5&amp;"生成成长"),4))/(VLOOKUP(AI$72,INDIRECT($C$5&amp;"生成成长"),5))*(VLOOKUP($B$5,标准坦克设计!$B$24:$U$30,MATCH("对"&amp;LEFT($C$5,2)&amp;"输出",标准坦克设计!$B$23:$U$23,0)))*(VLOOKUP($B106,INDIRECT($B$5&amp;"生成成长"),3))*(VLOOKUP($B$5,标准坦克设计!$B$14:$K$20,9)/30))</f>
        <v>8.2678652155913817</v>
      </c>
      <c r="AJ106" s="173">
        <f ca="1">(VLOOKUP(AJ$72,INDIRECT($C$5&amp;"生成成长"),2))/((VLOOKUP($B106,INDIRECT($B$5&amp;"生成成长"),4))/(VLOOKUP(AJ$72,INDIRECT($C$5&amp;"生成成长"),5))*(VLOOKUP($B$5,标准坦克设计!$B$24:$U$30,MATCH("对"&amp;LEFT($C$5,2)&amp;"输出",标准坦克设计!$B$23:$U$23,0)))*(VLOOKUP($B106,INDIRECT($B$5&amp;"生成成长"),3))*(VLOOKUP($B$5,标准坦克设计!$B$14:$K$20,9)/30))</f>
        <v>9.0497830526071841</v>
      </c>
      <c r="AK106" s="173">
        <f ca="1">(VLOOKUP(AK$72,INDIRECT($C$5&amp;"生成成长"),2))/((VLOOKUP($B106,INDIRECT($B$5&amp;"生成成长"),4))/(VLOOKUP(AK$72,INDIRECT($C$5&amp;"生成成长"),5))*(VLOOKUP($B$5,标准坦克设计!$B$24:$U$30,MATCH("对"&amp;LEFT($C$5,2)&amp;"输出",标准坦克设计!$B$23:$U$23,0)))*(VLOOKUP($B106,INDIRECT($B$5&amp;"生成成长"),3))*(VLOOKUP($B$5,标准坦克设计!$B$14:$K$20,9)/30))</f>
        <v>9.8670236666545001</v>
      </c>
      <c r="AL106" s="173">
        <f ca="1">(VLOOKUP(AL$72,INDIRECT($C$5&amp;"生成成长"),2))/((VLOOKUP($B106,INDIRECT($B$5&amp;"生成成长"),4))/(VLOOKUP(AL$72,INDIRECT($C$5&amp;"生成成长"),5))*(VLOOKUP($B$5,标准坦克设计!$B$24:$U$30,MATCH("对"&amp;LEFT($C$5,2)&amp;"输出",标准坦克设计!$B$23:$U$23,0)))*(VLOOKUP($B106,INDIRECT($B$5&amp;"生成成长"),3))*(VLOOKUP($B$5,标准坦克设计!$B$14:$K$20,9)/30))</f>
        <v>10.719587057733332</v>
      </c>
      <c r="AM106" s="173">
        <f ca="1">(VLOOKUP(AM$72,INDIRECT($C$5&amp;"生成成长"),2))/((VLOOKUP($B106,INDIRECT($B$5&amp;"生成成长"),4))/(VLOOKUP(AM$72,INDIRECT($C$5&amp;"生成成长"),5))*(VLOOKUP($B$5,标准坦克设计!$B$24:$U$30,MATCH("对"&amp;LEFT($C$5,2)&amp;"输出",标准坦克设计!$B$23:$U$23,0)))*(VLOOKUP($B106,INDIRECT($B$5&amp;"生成成长"),3))*(VLOOKUP($B$5,标准坦克设计!$B$14:$K$20,9)/30))</f>
        <v>11.607473225843677</v>
      </c>
      <c r="AN106" s="173">
        <f ca="1">(VLOOKUP(AN$72,INDIRECT($C$5&amp;"生成成长"),2))/((VLOOKUP($B106,INDIRECT($B$5&amp;"生成成长"),4))/(VLOOKUP(AN$72,INDIRECT($C$5&amp;"生成成长"),5))*(VLOOKUP($B$5,标准坦克设计!$B$24:$U$30,MATCH("对"&amp;LEFT($C$5,2)&amp;"输出",标准坦克设计!$B$23:$U$23,0)))*(VLOOKUP($B106,INDIRECT($B$5&amp;"生成成长"),3))*(VLOOKUP($B$5,标准坦克设计!$B$14:$K$20,9)/30))</f>
        <v>12.530682170985536</v>
      </c>
      <c r="AO106" s="173">
        <f ca="1">(VLOOKUP(AO$72,INDIRECT($C$5&amp;"生成成长"),2))/((VLOOKUP($B106,INDIRECT($B$5&amp;"生成成长"),4))/(VLOOKUP(AO$72,INDIRECT($C$5&amp;"生成成长"),5))*(VLOOKUP($B$5,标准坦克设计!$B$24:$U$30,MATCH("对"&amp;LEFT($C$5,2)&amp;"输出",标准坦克设计!$B$23:$U$23,0)))*(VLOOKUP($B106,INDIRECT($B$5&amp;"生成成长"),3))*(VLOOKUP($B$5,标准坦克设计!$B$14:$K$20,9)/30))</f>
        <v>13.489213893158908</v>
      </c>
      <c r="AP106" s="173">
        <f ca="1">(VLOOKUP(AP$72,INDIRECT($C$5&amp;"生成成长"),2))/((VLOOKUP($B106,INDIRECT($B$5&amp;"生成成长"),4))/(VLOOKUP(AP$72,INDIRECT($C$5&amp;"生成成长"),5))*(VLOOKUP($B$5,标准坦克设计!$B$24:$U$30,MATCH("对"&amp;LEFT($C$5,2)&amp;"输出",标准坦克设计!$B$23:$U$23,0)))*(VLOOKUP($B106,INDIRECT($B$5&amp;"生成成长"),3))*(VLOOKUP($B$5,标准坦克设计!$B$14:$K$20,9)/30))</f>
        <v>14.483068392363798</v>
      </c>
      <c r="AQ106" s="173">
        <f ca="1">(VLOOKUP(AQ$72,INDIRECT($C$5&amp;"生成成长"),2))/((VLOOKUP($B106,INDIRECT($B$5&amp;"生成成长"),4))/(VLOOKUP(AQ$72,INDIRECT($C$5&amp;"生成成长"),5))*(VLOOKUP($B$5,标准坦克设计!$B$24:$U$30,MATCH("对"&amp;LEFT($C$5,2)&amp;"输出",标准坦克设计!$B$23:$U$23,0)))*(VLOOKUP($B106,INDIRECT($B$5&amp;"生成成长"),3))*(VLOOKUP($B$5,标准坦克设计!$B$14:$K$20,9)/30))</f>
        <v>15.512245668600203</v>
      </c>
      <c r="AR106" s="173">
        <f ca="1">(VLOOKUP(AR$72,INDIRECT($C$5&amp;"生成成长"),2))/((VLOOKUP($B106,INDIRECT($B$5&amp;"生成成长"),4))/(VLOOKUP(AR$72,INDIRECT($C$5&amp;"生成成长"),5))*(VLOOKUP($B$5,标准坦克设计!$B$24:$U$30,MATCH("对"&amp;LEFT($C$5,2)&amp;"输出",标准坦克设计!$B$23:$U$23,0)))*(VLOOKUP($B106,INDIRECT($B$5&amp;"生成成长"),3))*(VLOOKUP($B$5,标准坦克设计!$B$14:$K$20,9)/30))</f>
        <v>16.576745721868118</v>
      </c>
      <c r="AS106" s="173">
        <f ca="1">(VLOOKUP(AS$72,INDIRECT($C$5&amp;"生成成长"),2))/((VLOOKUP($B106,INDIRECT($B$5&amp;"生成成长"),4))/(VLOOKUP(AS$72,INDIRECT($C$5&amp;"生成成长"),5))*(VLOOKUP($B$5,标准坦克设计!$B$24:$U$30,MATCH("对"&amp;LEFT($C$5,2)&amp;"输出",标准坦克设计!$B$23:$U$23,0)))*(VLOOKUP($B106,INDIRECT($B$5&amp;"生成成长"),3))*(VLOOKUP($B$5,标准坦克设计!$B$14:$K$20,9)/30))</f>
        <v>17.676568552167552</v>
      </c>
      <c r="AT106" s="173">
        <f ca="1">(VLOOKUP(AT$72,INDIRECT($C$5&amp;"生成成长"),2))/((VLOOKUP($B106,INDIRECT($B$5&amp;"生成成长"),4))/(VLOOKUP(AT$72,INDIRECT($C$5&amp;"生成成长"),5))*(VLOOKUP($B$5,标准坦克设计!$B$24:$U$30,MATCH("对"&amp;LEFT($C$5,2)&amp;"输出",标准坦克设计!$B$23:$U$23,0)))*(VLOOKUP($B106,INDIRECT($B$5&amp;"生成成长"),3))*(VLOOKUP($B$5,标准坦克设计!$B$14:$K$20,9)/30))</f>
        <v>18.8117141594985</v>
      </c>
      <c r="AU106" s="173">
        <f ca="1">(VLOOKUP(AU$72,INDIRECT($C$5&amp;"生成成长"),2))/((VLOOKUP($B106,INDIRECT($B$5&amp;"生成成长"),4))/(VLOOKUP(AU$72,INDIRECT($C$5&amp;"生成成长"),5))*(VLOOKUP($B$5,标准坦克设计!$B$24:$U$30,MATCH("对"&amp;LEFT($C$5,2)&amp;"输出",标准坦克设计!$B$23:$U$23,0)))*(VLOOKUP($B106,INDIRECT($B$5&amp;"生成成长"),3))*(VLOOKUP($B$5,标准坦克设计!$B$14:$K$20,9)/30))</f>
        <v>19.982182543860961</v>
      </c>
      <c r="AV106" s="173">
        <f ca="1">(VLOOKUP(AV$72,INDIRECT($C$5&amp;"生成成长"),2))/((VLOOKUP($B106,INDIRECT($B$5&amp;"生成成长"),4))/(VLOOKUP(AV$72,INDIRECT($C$5&amp;"生成成长"),5))*(VLOOKUP($B$5,标准坦克设计!$B$24:$U$30,MATCH("对"&amp;LEFT($C$5,2)&amp;"输出",标准坦克设计!$B$23:$U$23,0)))*(VLOOKUP($B106,INDIRECT($B$5&amp;"生成成长"),3))*(VLOOKUP($B$5,标准坦克设计!$B$14:$K$20,9)/30))</f>
        <v>2.0323733363091305</v>
      </c>
      <c r="AW106" s="173">
        <f ca="1">(VLOOKUP(AW$72,INDIRECT($C$5&amp;"生成成长"),2))/((VLOOKUP($B106,INDIRECT($B$5&amp;"生成成长"),4))/(VLOOKUP(AW$72,INDIRECT($C$5&amp;"生成成长"),5))*(VLOOKUP($B$5,标准坦克设计!$B$24:$U$30,MATCH("对"&amp;LEFT($C$5,2)&amp;"输出",标准坦克设计!$B$23:$U$23,0)))*(VLOOKUP($B106,INDIRECT($B$5&amp;"生成成长"),3))*(VLOOKUP($B$5,标准坦克设计!$B$14:$K$20,9)/30))</f>
        <v>2.3172909427782078</v>
      </c>
      <c r="AX106" s="173">
        <f ca="1">(VLOOKUP(AX$72,INDIRECT($C$5&amp;"生成成长"),2))/((VLOOKUP($B106,INDIRECT($B$5&amp;"生成成长"),4))/(VLOOKUP(AX$72,INDIRECT($C$5&amp;"生成成长"),5))*(VLOOKUP($B$5,标准坦克设计!$B$24:$U$30,MATCH("对"&amp;LEFT($C$5,2)&amp;"输出",标准坦克设计!$B$23:$U$23,0)))*(VLOOKUP($B106,INDIRECT($B$5&amp;"生成成长"),3))*(VLOOKUP($B$5,标准坦克设计!$B$14:$K$20,9)/30))</f>
        <v>2.6208916709829615</v>
      </c>
      <c r="AY106" s="173">
        <f ca="1">(VLOOKUP(AY$72,INDIRECT($C$5&amp;"生成成长"),2))/((VLOOKUP($B106,INDIRECT($B$5&amp;"生成成长"),4))/(VLOOKUP(AY$72,INDIRECT($C$5&amp;"生成成长"),5))*(VLOOKUP($B$5,标准坦克设计!$B$24:$U$30,MATCH("对"&amp;LEFT($C$5,2)&amp;"输出",标准坦克设计!$B$23:$U$23,0)))*(VLOOKUP($B106,INDIRECT($B$5&amp;"生成成长"),3))*(VLOOKUP($B$5,标准坦克设计!$B$14:$K$20,9)/30))</f>
        <v>2.9431755209233925</v>
      </c>
      <c r="AZ106" s="173">
        <f ca="1">(VLOOKUP(AZ$72,INDIRECT($C$5&amp;"生成成长"),2))/((VLOOKUP($B106,INDIRECT($B$5&amp;"生成成长"),4))/(VLOOKUP(AZ$72,INDIRECT($C$5&amp;"生成成长"),5))*(VLOOKUP($B$5,标准坦克设计!$B$24:$U$30,MATCH("对"&amp;LEFT($C$5,2)&amp;"输出",标准坦克设计!$B$23:$U$23,0)))*(VLOOKUP($B106,INDIRECT($B$5&amp;"生成成长"),3))*(VLOOKUP($B$5,标准坦克设计!$B$14:$K$20,9)/30))</f>
        <v>3.2841424925995009</v>
      </c>
      <c r="BA106" s="173">
        <f ca="1">(VLOOKUP(BA$72,INDIRECT($C$5&amp;"生成成长"),2))/((VLOOKUP($B106,INDIRECT($B$5&amp;"生成成长"),4))/(VLOOKUP(BA$72,INDIRECT($C$5&amp;"生成成长"),5))*(VLOOKUP($B$5,标准坦克设计!$B$24:$U$30,MATCH("对"&amp;LEFT($C$5,2)&amp;"输出",标准坦克设计!$B$23:$U$23,0)))*(VLOOKUP($B106,INDIRECT($B$5&amp;"生成成长"),3))*(VLOOKUP($B$5,标准坦克设计!$B$14:$K$20,9)/30))</f>
        <v>3.6437925860112856</v>
      </c>
      <c r="BB106" s="173">
        <f ca="1">(VLOOKUP(BB$72,INDIRECT($C$5&amp;"生成成长"),2))/((VLOOKUP($B106,INDIRECT($B$5&amp;"生成成长"),4))/(VLOOKUP(BB$72,INDIRECT($C$5&amp;"生成成长"),5))*(VLOOKUP($B$5,标准坦克设计!$B$24:$U$30,MATCH("对"&amp;LEFT($C$5,2)&amp;"输出",标准坦克设计!$B$23:$U$23,0)))*(VLOOKUP($B106,INDIRECT($B$5&amp;"生成成长"),3))*(VLOOKUP($B$5,标准坦克设计!$B$14:$K$20,9)/30))</f>
        <v>4.0221258011587491</v>
      </c>
      <c r="BC106" s="173">
        <f ca="1">(VLOOKUP(BC$72,INDIRECT($C$5&amp;"生成成长"),2))/((VLOOKUP($B106,INDIRECT($B$5&amp;"生成成长"),4))/(VLOOKUP(BC$72,INDIRECT($C$5&amp;"生成成长"),5))*(VLOOKUP($B$5,标准坦克设计!$B$24:$U$30,MATCH("对"&amp;LEFT($C$5,2)&amp;"输出",标准坦克设计!$B$23:$U$23,0)))*(VLOOKUP($B106,INDIRECT($B$5&amp;"生成成长"),3))*(VLOOKUP($B$5,标准坦克设计!$B$14:$K$20,9)/30))</f>
        <v>4.419142138041888</v>
      </c>
      <c r="BD106" s="173">
        <f ca="1">(VLOOKUP(BD$72,INDIRECT($C$5&amp;"生成成长"),2))/((VLOOKUP($B106,INDIRECT($B$5&amp;"生成成长"),4))/(VLOOKUP(BD$72,INDIRECT($C$5&amp;"生成成长"),5))*(VLOOKUP($B$5,标准坦克设计!$B$24:$U$30,MATCH("对"&amp;LEFT($C$5,2)&amp;"输出",标准坦克设计!$B$23:$U$23,0)))*(VLOOKUP($B106,INDIRECT($B$5&amp;"生成成长"),3))*(VLOOKUP($B$5,标准坦克设计!$B$14:$K$20,9)/30))</f>
        <v>4.8881176859850974</v>
      </c>
      <c r="BE106" s="173">
        <f ca="1">(VLOOKUP(BE$72,INDIRECT($C$5&amp;"生成成长"),2))/((VLOOKUP($B106,INDIRECT($B$5&amp;"生成成长"),4))/(VLOOKUP(BE$72,INDIRECT($C$5&amp;"生成成长"),5))*(VLOOKUP($B$5,标准坦克设计!$B$24:$U$30,MATCH("对"&amp;LEFT($C$5,2)&amp;"输出",标准坦克设计!$B$23:$U$23,0)))*(VLOOKUP($B106,INDIRECT($B$5&amp;"生成成长"),3))*(VLOOKUP($B$5,标准坦克设计!$B$14:$K$20,9)/30))</f>
        <v>5.3807390598750224</v>
      </c>
      <c r="BF106" s="173">
        <f ca="1">(VLOOKUP(BF$72,INDIRECT($C$5&amp;"生成成长"),2))/((VLOOKUP($B106,INDIRECT($B$5&amp;"生成成长"),4))/(VLOOKUP(BF$72,INDIRECT($C$5&amp;"生成成长"),5))*(VLOOKUP($B$5,标准坦克设计!$B$24:$U$30,MATCH("对"&amp;LEFT($C$5,2)&amp;"输出",标准坦克设计!$B$23:$U$23,0)))*(VLOOKUP($B106,INDIRECT($B$5&amp;"生成成长"),3))*(VLOOKUP($B$5,标准坦克设计!$B$14:$K$20,9)/30))</f>
        <v>5.8970062597116639</v>
      </c>
      <c r="BG106" s="173">
        <f ca="1">(VLOOKUP(BG$72,INDIRECT($C$5&amp;"生成成长"),2))/((VLOOKUP($B106,INDIRECT($B$5&amp;"生成成长"),4))/(VLOOKUP(BG$72,INDIRECT($C$5&amp;"生成成长"),5))*(VLOOKUP($B$5,标准坦克设计!$B$24:$U$30,MATCH("对"&amp;LEFT($C$5,2)&amp;"输出",标准坦克设计!$B$23:$U$23,0)))*(VLOOKUP($B106,INDIRECT($B$5&amp;"生成成长"),3))*(VLOOKUP($B$5,标准坦克设计!$B$14:$K$20,9)/30))</f>
        <v>6.4369192854950201</v>
      </c>
      <c r="BH106" s="173">
        <f ca="1">(VLOOKUP(BH$72,INDIRECT($C$5&amp;"生成成长"),2))/((VLOOKUP($B106,INDIRECT($B$5&amp;"生成成长"),4))/(VLOOKUP(BH$72,INDIRECT($C$5&amp;"生成成长"),5))*(VLOOKUP($B$5,标准坦克设计!$B$24:$U$30,MATCH("对"&amp;LEFT($C$5,2)&amp;"输出",标准坦克设计!$B$23:$U$23,0)))*(VLOOKUP($B106,INDIRECT($B$5&amp;"生成成长"),3))*(VLOOKUP($B$5,标准坦克设计!$B$14:$K$20,9)/30))</f>
        <v>3.1113236165444871</v>
      </c>
      <c r="BI106" s="173">
        <f ca="1">(VLOOKUP(BI$72,INDIRECT($C$5&amp;"生成成长"),2))/((VLOOKUP($B106,INDIRECT($B$5&amp;"生成成长"),4))/(VLOOKUP(BI$72,INDIRECT($C$5&amp;"生成成长"),5))*(VLOOKUP($B$5,标准坦克设计!$B$24:$U$30,MATCH("对"&amp;LEFT($C$5,2)&amp;"输出",标准坦克设计!$B$23:$U$23,0)))*(VLOOKUP($B106,INDIRECT($B$5&amp;"生成成长"),3))*(VLOOKUP($B$5,标准坦克设计!$B$14:$K$20,9)/30))</f>
        <v>3.5067343726534661</v>
      </c>
      <c r="BJ106" s="173">
        <f ca="1">(VLOOKUP(BJ$72,INDIRECT($C$5&amp;"生成成长"),2))/((VLOOKUP($B106,INDIRECT($B$5&amp;"生成成长"),4))/(VLOOKUP(BJ$72,INDIRECT($C$5&amp;"生成成长"),5))*(VLOOKUP($B$5,标准坦克设计!$B$24:$U$30,MATCH("对"&amp;LEFT($C$5,2)&amp;"输出",标准坦克设计!$B$23:$U$23,0)))*(VLOOKUP($B106,INDIRECT($B$5&amp;"生成成长"),3))*(VLOOKUP($B$5,标准坦克设计!$B$14:$K$20,9)/30))</f>
        <v>3.9257909547091625</v>
      </c>
      <c r="BK106" s="173">
        <f ca="1">(VLOOKUP(BK$72,INDIRECT($C$5&amp;"生成成长"),2))/((VLOOKUP($B106,INDIRECT($B$5&amp;"生成成长"),4))/(VLOOKUP(BK$72,INDIRECT($C$5&amp;"生成成长"),5))*(VLOOKUP($B$5,标准坦克设计!$B$24:$U$30,MATCH("对"&amp;LEFT($C$5,2)&amp;"输出",标准坦克设计!$B$23:$U$23,0)))*(VLOOKUP($B106,INDIRECT($B$5&amp;"生成成长"),3))*(VLOOKUP($B$5,标准坦克设计!$B$14:$K$20,9)/30))</f>
        <v>4.3684933627115763</v>
      </c>
      <c r="BL106" s="173">
        <f ca="1">(VLOOKUP(BL$72,INDIRECT($C$5&amp;"生成成长"),2))/((VLOOKUP($B106,INDIRECT($B$5&amp;"生成成长"),4))/(VLOOKUP(BL$72,INDIRECT($C$5&amp;"生成成长"),5))*(VLOOKUP($B$5,标准坦克设计!$B$24:$U$30,MATCH("对"&amp;LEFT($C$5,2)&amp;"输出",标准坦克设计!$B$23:$U$23,0)))*(VLOOKUP($B106,INDIRECT($B$5&amp;"生成成长"),3))*(VLOOKUP($B$5,标准坦克设计!$B$14:$K$20,9)/30))</f>
        <v>4.8348415966607048</v>
      </c>
      <c r="BM106" s="173">
        <f ca="1">(VLOOKUP(BM$72,INDIRECT($C$5&amp;"生成成长"),2))/((VLOOKUP($B106,INDIRECT($B$5&amp;"生成成长"),4))/(VLOOKUP(BM$72,INDIRECT($C$5&amp;"生成成长"),5))*(VLOOKUP($B$5,标准坦克设计!$B$24:$U$30,MATCH("对"&amp;LEFT($C$5,2)&amp;"输出",标准坦克设计!$B$23:$U$23,0)))*(VLOOKUP($B106,INDIRECT($B$5&amp;"生成成长"),3))*(VLOOKUP($B$5,标准坦克设计!$B$14:$K$20,9)/30))</f>
        <v>5.3248356565565498</v>
      </c>
      <c r="BN106" s="173">
        <f ca="1">(VLOOKUP(BN$72,INDIRECT($C$5&amp;"生成成长"),2))/((VLOOKUP($B106,INDIRECT($B$5&amp;"生成成长"),4))/(VLOOKUP(BN$72,INDIRECT($C$5&amp;"生成成长"),5))*(VLOOKUP($B$5,标准坦克设计!$B$24:$U$30,MATCH("对"&amp;LEFT($C$5,2)&amp;"输出",标准坦克设计!$B$23:$U$23,0)))*(VLOOKUP($B106,INDIRECT($B$5&amp;"生成成长"),3))*(VLOOKUP($B$5,标准坦克设计!$B$14:$K$20,9)/30))</f>
        <v>5.8384755423991113</v>
      </c>
      <c r="BO106" s="173">
        <f ca="1">(VLOOKUP(BO$72,INDIRECT($C$5&amp;"生成成长"),2))/((VLOOKUP($B106,INDIRECT($B$5&amp;"生成成长"),4))/(VLOOKUP(BO$72,INDIRECT($C$5&amp;"生成成长"),5))*(VLOOKUP($B$5,标准坦克设计!$B$24:$U$30,MATCH("对"&amp;LEFT($C$5,2)&amp;"输出",标准坦克设计!$B$23:$U$23,0)))*(VLOOKUP($B106,INDIRECT($B$5&amp;"生成成长"),3))*(VLOOKUP($B$5,标准坦克设计!$B$14:$K$20,9)/30))</f>
        <v>6.3757612541883892</v>
      </c>
      <c r="BP106" s="173">
        <f ca="1">(VLOOKUP(BP$72,INDIRECT($C$5&amp;"生成成长"),2))/((VLOOKUP($B106,INDIRECT($B$5&amp;"生成成长"),4))/(VLOOKUP(BP$72,INDIRECT($C$5&amp;"生成成长"),5))*(VLOOKUP($B$5,标准坦克设计!$B$24:$U$30,MATCH("对"&amp;LEFT($C$5,2)&amp;"输出",标准坦克设计!$B$23:$U$23,0)))*(VLOOKUP($B106,INDIRECT($B$5&amp;"生成成长"),3))*(VLOOKUP($B$5,标准坦克设计!$B$14:$K$20,9)/30))</f>
        <v>6.9366927919243864</v>
      </c>
      <c r="BQ106" s="173">
        <f ca="1">(VLOOKUP(BQ$72,INDIRECT($C$5&amp;"生成成长"),2))/((VLOOKUP($B106,INDIRECT($B$5&amp;"生成成长"),4))/(VLOOKUP(BQ$72,INDIRECT($C$5&amp;"生成成长"),5))*(VLOOKUP($B$5,标准坦克设计!$B$24:$U$30,MATCH("对"&amp;LEFT($C$5,2)&amp;"输出",标准坦克设计!$B$23:$U$23,0)))*(VLOOKUP($B106,INDIRECT($B$5&amp;"生成成长"),3))*(VLOOKUP($B$5,标准坦克设计!$B$14:$K$20,9)/30))</f>
        <v>7.5212701556070964</v>
      </c>
      <c r="BR106" s="173">
        <f ca="1">(VLOOKUP(BR$72,INDIRECT($C$5&amp;"生成成长"),2))/((VLOOKUP($B106,INDIRECT($B$5&amp;"生成成长"),4))/(VLOOKUP(BR$72,INDIRECT($C$5&amp;"生成成长"),5))*(VLOOKUP($B$5,标准坦克设计!$B$24:$U$30,MATCH("对"&amp;LEFT($C$5,2)&amp;"输出",标准坦克设计!$B$23:$U$23,0)))*(VLOOKUP($B106,INDIRECT($B$5&amp;"生成成长"),3))*(VLOOKUP($B$5,标准坦克设计!$B$14:$K$20,9)/30))</f>
        <v>8.1985333185253939</v>
      </c>
      <c r="BS106" s="173">
        <f ca="1">(VLOOKUP(BS$72,INDIRECT($C$5&amp;"生成成长"),2))/((VLOOKUP($B106,INDIRECT($B$5&amp;"生成成长"),4))/(VLOOKUP(BS$72,INDIRECT($C$5&amp;"生成成长"),5))*(VLOOKUP($B$5,标准坦克设计!$B$24:$U$30,MATCH("对"&amp;LEFT($C$5,2)&amp;"输出",标准坦克设计!$B$23:$U$23,0)))*(VLOOKUP($B106,INDIRECT($B$5&amp;"生成成长"),3))*(VLOOKUP($B$5,标准坦克设计!$B$14:$K$20,9)/30))</f>
        <v>8.9049888591556847</v>
      </c>
      <c r="BT106" s="173">
        <f ca="1">(VLOOKUP(BT$72,INDIRECT($C$5&amp;"生成成长"),2))/((VLOOKUP($B106,INDIRECT($B$5&amp;"生成成长"),4))/(VLOOKUP(BT$72,INDIRECT($C$5&amp;"生成成长"),5))*(VLOOKUP($B$5,标准坦克设计!$B$24:$U$30,MATCH("对"&amp;LEFT($C$5,2)&amp;"输出",标准坦克设计!$B$23:$U$23,0)))*(VLOOKUP($B106,INDIRECT($B$5&amp;"生成成长"),3))*(VLOOKUP($B$5,标准坦克设计!$B$14:$K$20,9)/30))</f>
        <v>9.6406367774979742</v>
      </c>
      <c r="BU106" s="173">
        <f ca="1">(VLOOKUP(BU$72,INDIRECT($C$5&amp;"生成成长"),2))/((VLOOKUP($B106,INDIRECT($B$5&amp;"生成成长"),4))/(VLOOKUP(BU$72,INDIRECT($C$5&amp;"生成成长"),5))*(VLOOKUP($B$5,标准坦克设计!$B$24:$U$30,MATCH("对"&amp;LEFT($C$5,2)&amp;"输出",标准坦克设计!$B$23:$U$23,0)))*(VLOOKUP($B106,INDIRECT($B$5&amp;"生成成长"),3))*(VLOOKUP($B$5,标准坦克设计!$B$14:$K$20,9)/30))</f>
        <v>10.405477073552259</v>
      </c>
      <c r="BV106" s="173">
        <f ca="1">(VLOOKUP(BV$72,INDIRECT($C$5&amp;"生成成长"),2))/((VLOOKUP($B106,INDIRECT($B$5&amp;"生成成长"),4))/(VLOOKUP(BV$72,INDIRECT($C$5&amp;"生成成长"),5))*(VLOOKUP($B$5,标准坦克设计!$B$24:$U$30,MATCH("对"&amp;LEFT($C$5,2)&amp;"输出",标准坦克设计!$B$23:$U$23,0)))*(VLOOKUP($B106,INDIRECT($B$5&amp;"生成成长"),3))*(VLOOKUP($B$5,标准坦克设计!$B$14:$K$20,9)/30))</f>
        <v>11.199509747318537</v>
      </c>
      <c r="BW106" s="173">
        <f ca="1">(VLOOKUP(BW$72,INDIRECT($C$5&amp;"生成成长"),2))/((VLOOKUP($B106,INDIRECT($B$5&amp;"生成成长"),4))/(VLOOKUP(BW$72,INDIRECT($C$5&amp;"生成成长"),5))*(VLOOKUP($B$5,标准坦克设计!$B$24:$U$30,MATCH("对"&amp;LEFT($C$5,2)&amp;"输出",标准坦克设计!$B$23:$U$23,0)))*(VLOOKUP($B106,INDIRECT($B$5&amp;"生成成长"),3))*(VLOOKUP($B$5,标准坦克设计!$B$14:$K$20,9)/30))</f>
        <v>5.104141281053864</v>
      </c>
      <c r="BX106" s="173">
        <f ca="1">(VLOOKUP(BX$72,INDIRECT($C$5&amp;"生成成长"),2))/((VLOOKUP($B106,INDIRECT($B$5&amp;"生成成长"),4))/(VLOOKUP(BX$72,INDIRECT($C$5&amp;"生成成长"),5))*(VLOOKUP($B$5,标准坦克设计!$B$24:$U$30,MATCH("对"&amp;LEFT($C$5,2)&amp;"输出",标准坦克设计!$B$23:$U$23,0)))*(VLOOKUP($B106,INDIRECT($B$5&amp;"生成成长"),3))*(VLOOKUP($B$5,标准坦克设计!$B$14:$K$20,9)/30))</f>
        <v>5.6646349331241783</v>
      </c>
      <c r="BY106" s="173">
        <f ca="1">(VLOOKUP(BY$72,INDIRECT($C$5&amp;"生成成长"),2))/((VLOOKUP($B106,INDIRECT($B$5&amp;"生成成长"),4))/(VLOOKUP(BY$72,INDIRECT($C$5&amp;"生成成长"),5))*(VLOOKUP($B$5,标准坦克设计!$B$24:$U$30,MATCH("对"&amp;LEFT($C$5,2)&amp;"输出",标准坦克设计!$B$23:$U$23,0)))*(VLOOKUP($B106,INDIRECT($B$5&amp;"生成成长"),3))*(VLOOKUP($B$5,标准坦克设计!$B$14:$K$20,9)/30))</f>
        <v>6.2543209629064886</v>
      </c>
      <c r="BZ106" s="173">
        <f ca="1">(VLOOKUP(BZ$72,INDIRECT($C$5&amp;"生成成长"),2))/((VLOOKUP($B106,INDIRECT($B$5&amp;"生成成长"),4))/(VLOOKUP(BZ$72,INDIRECT($C$5&amp;"生成成长"),5))*(VLOOKUP($B$5,标准坦克设计!$B$24:$U$30,MATCH("对"&amp;LEFT($C$5,2)&amp;"输出",标准坦克设计!$B$23:$U$23,0)))*(VLOOKUP($B106,INDIRECT($B$5&amp;"生成成长"),3))*(VLOOKUP($B$5,标准坦克设计!$B$14:$K$20,9)/30))</f>
        <v>6.8731993704007941</v>
      </c>
      <c r="CA106" s="173">
        <f ca="1">(VLOOKUP(CA$72,INDIRECT($C$5&amp;"生成成长"),2))/((VLOOKUP($B106,INDIRECT($B$5&amp;"生成成长"),4))/(VLOOKUP(CA$72,INDIRECT($C$5&amp;"生成成长"),5))*(VLOOKUP($B$5,标准坦克设计!$B$24:$U$30,MATCH("对"&amp;LEFT($C$5,2)&amp;"输出",标准坦克设计!$B$23:$U$23,0)))*(VLOOKUP($B106,INDIRECT($B$5&amp;"生成成长"),3))*(VLOOKUP($B$5,标准坦克设计!$B$14:$K$20,9)/30))</f>
        <v>7.5212701556070964</v>
      </c>
      <c r="CB106" s="173">
        <f ca="1">(VLOOKUP(CB$72,INDIRECT($C$5&amp;"生成成长"),2))/((VLOOKUP($B106,INDIRECT($B$5&amp;"生成成长"),4))/(VLOOKUP(CB$72,INDIRECT($C$5&amp;"生成成长"),5))*(VLOOKUP($B$5,标准坦克设计!$B$24:$U$30,MATCH("对"&amp;LEFT($C$5,2)&amp;"输出",标准坦克设计!$B$23:$U$23,0)))*(VLOOKUP($B106,INDIRECT($B$5&amp;"生成成长"),3))*(VLOOKUP($B$5,标准坦克设计!$B$14:$K$20,9)/30))</f>
        <v>8.1985333185253939</v>
      </c>
      <c r="CC106" s="173">
        <f ca="1">(VLOOKUP(CC$72,INDIRECT($C$5&amp;"生成成长"),2))/((VLOOKUP($B106,INDIRECT($B$5&amp;"生成成长"),4))/(VLOOKUP(CC$72,INDIRECT($C$5&amp;"生成成长"),5))*(VLOOKUP($B$5,标准坦克设计!$B$24:$U$30,MATCH("对"&amp;LEFT($C$5,2)&amp;"输出",标准坦克设计!$B$23:$U$23,0)))*(VLOOKUP($B106,INDIRECT($B$5&amp;"生成成长"),3))*(VLOOKUP($B$5,标准坦克设计!$B$14:$K$20,9)/30))</f>
        <v>8.9049888591556847</v>
      </c>
      <c r="CD106" s="173">
        <f ca="1">(VLOOKUP(CD$72,INDIRECT($C$5&amp;"生成成长"),2))/((VLOOKUP($B106,INDIRECT($B$5&amp;"生成成长"),4))/(VLOOKUP(CD$72,INDIRECT($C$5&amp;"生成成长"),5))*(VLOOKUP($B$5,标准坦克设计!$B$24:$U$30,MATCH("对"&amp;LEFT($C$5,2)&amp;"输出",标准坦克设计!$B$23:$U$23,0)))*(VLOOKUP($B106,INDIRECT($B$5&amp;"生成成长"),3))*(VLOOKUP($B$5,标准坦克设计!$B$14:$K$20,9)/30))</f>
        <v>9.6406367774979742</v>
      </c>
      <c r="CE106" s="173">
        <f ca="1">(VLOOKUP(CE$72,INDIRECT($C$5&amp;"生成成长"),2))/((VLOOKUP($B106,INDIRECT($B$5&amp;"生成成长"),4))/(VLOOKUP(CE$72,INDIRECT($C$5&amp;"生成成长"),5))*(VLOOKUP($B$5,标准坦克设计!$B$24:$U$30,MATCH("对"&amp;LEFT($C$5,2)&amp;"输出",标准坦克设计!$B$23:$U$23,0)))*(VLOOKUP($B106,INDIRECT($B$5&amp;"生成成长"),3))*(VLOOKUP($B$5,标准坦克设计!$B$14:$K$20,9)/30))</f>
        <v>10.405477073552259</v>
      </c>
      <c r="CF106" s="173">
        <f ca="1">(VLOOKUP(CF$72,INDIRECT($C$5&amp;"生成成长"),2))/((VLOOKUP($B106,INDIRECT($B$5&amp;"生成成长"),4))/(VLOOKUP(CF$72,INDIRECT($C$5&amp;"生成成长"),5))*(VLOOKUP($B$5,标准坦克设计!$B$24:$U$30,MATCH("对"&amp;LEFT($C$5,2)&amp;"输出",标准坦克设计!$B$23:$U$23,0)))*(VLOOKUP($B106,INDIRECT($B$5&amp;"生成成长"),3))*(VLOOKUP($B$5,标准坦克设计!$B$14:$K$20,9)/30))</f>
        <v>11.199509747318537</v>
      </c>
      <c r="CG106" s="173">
        <f ca="1">(VLOOKUP(CG$72,INDIRECT($C$5&amp;"生成成长"),2))/((VLOOKUP($B106,INDIRECT($B$5&amp;"生成成长"),4))/(VLOOKUP(CG$72,INDIRECT($C$5&amp;"生成成长"),5))*(VLOOKUP($B$5,标准坦克设计!$B$24:$U$30,MATCH("对"&amp;LEFT($C$5,2)&amp;"输出",标准坦克设计!$B$23:$U$23,0)))*(VLOOKUP($B106,INDIRECT($B$5&amp;"生成成长"),3))*(VLOOKUP($B$5,标准坦克设计!$B$14:$K$20,9)/30))</f>
        <v>12.022734798796813</v>
      </c>
      <c r="CH106" s="173">
        <f ca="1">(VLOOKUP(CH$72,INDIRECT($C$5&amp;"生成成长"),2))/((VLOOKUP($B106,INDIRECT($B$5&amp;"生成成长"),4))/(VLOOKUP(CH$72,INDIRECT($C$5&amp;"生成成长"),5))*(VLOOKUP($B$5,标准坦克设计!$B$24:$U$30,MATCH("对"&amp;LEFT($C$5,2)&amp;"输出",标准坦克设计!$B$23:$U$23,0)))*(VLOOKUP($B106,INDIRECT($B$5&amp;"生成成长"),3))*(VLOOKUP($B$5,标准坦克设计!$B$14:$K$20,9)/30))</f>
        <v>12.875152227987083</v>
      </c>
      <c r="CI106" s="173">
        <f ca="1">(VLOOKUP(CI$72,INDIRECT($C$5&amp;"生成成长"),2))/((VLOOKUP($B106,INDIRECT($B$5&amp;"生成成长"),4))/(VLOOKUP(CI$72,INDIRECT($C$5&amp;"生成成长"),5))*(VLOOKUP($B$5,标准坦克设计!$B$24:$U$30,MATCH("对"&amp;LEFT($C$5,2)&amp;"输出",标准坦克设计!$B$23:$U$23,0)))*(VLOOKUP($B106,INDIRECT($B$5&amp;"生成成长"),3))*(VLOOKUP($B$5,标准坦克设计!$B$14:$K$20,9)/30))</f>
        <v>13.846528596353732</v>
      </c>
      <c r="CJ106" s="173">
        <f ca="1">(VLOOKUP(CJ$72,INDIRECT($C$5&amp;"生成成长"),2))/((VLOOKUP($B106,INDIRECT($B$5&amp;"生成成长"),4))/(VLOOKUP(CJ$72,INDIRECT($C$5&amp;"生成成长"),5))*(VLOOKUP($B$5,标准坦克设计!$B$24:$U$30,MATCH("对"&amp;LEFT($C$5,2)&amp;"输出",标准坦克设计!$B$23:$U$23,0)))*(VLOOKUP($B106,INDIRECT($B$5&amp;"生成成长"),3))*(VLOOKUP($B$5,标准坦克设计!$B$14:$K$20,9)/30))</f>
        <v>14.853227741751903</v>
      </c>
      <c r="CK106" s="173">
        <f ca="1">(VLOOKUP(CK$72,INDIRECT($C$5&amp;"生成成长"),2))/((VLOOKUP($B106,INDIRECT($B$5&amp;"生成成长"),4))/(VLOOKUP(CK$72,INDIRECT($C$5&amp;"生成成长"),5))*(VLOOKUP($B$5,标准坦克设计!$B$24:$U$30,MATCH("对"&amp;LEFT($C$5,2)&amp;"输出",标准坦克设计!$B$23:$U$23,0)))*(VLOOKUP($B106,INDIRECT($B$5&amp;"生成成长"),3))*(VLOOKUP($B$5,标准坦克设计!$B$14:$K$20,9)/30))</f>
        <v>15.895249664181582</v>
      </c>
      <c r="CL106" s="173">
        <f ca="1">(VLOOKUP(CL$72,INDIRECT($C$5&amp;"生成成长"),2))/((VLOOKUP($B106,INDIRECT($B$5&amp;"生成成长"),4))/(VLOOKUP(CL$72,INDIRECT($C$5&amp;"生成成长"),5))*(VLOOKUP($B$5,标准坦克设计!$B$24:$U$30,MATCH("对"&amp;LEFT($C$5,2)&amp;"输出",标准坦克设计!$B$23:$U$23,0)))*(VLOOKUP($B106,INDIRECT($B$5&amp;"生成成长"),3))*(VLOOKUP($B$5,标准坦克设计!$B$14:$K$20,9)/30))</f>
        <v>16.972594363642781</v>
      </c>
      <c r="CM106" s="173">
        <f ca="1">(VLOOKUP(CM$72,INDIRECT($C$5&amp;"生成成长"),2))/((VLOOKUP($B106,INDIRECT($B$5&amp;"生成成长"),4))/(VLOOKUP(CM$72,INDIRECT($C$5&amp;"生成成长"),5))*(VLOOKUP($B$5,标准坦克设计!$B$24:$U$30,MATCH("对"&amp;LEFT($C$5,2)&amp;"输出",标准坦克设计!$B$23:$U$23,0)))*(VLOOKUP($B106,INDIRECT($B$5&amp;"生成成长"),3))*(VLOOKUP($B$5,标准坦克设计!$B$14:$K$20,9)/30))</f>
        <v>18.085261840135491</v>
      </c>
      <c r="CN106" s="173">
        <f ca="1">(VLOOKUP(CN$72,INDIRECT($C$5&amp;"生成成长"),2))/((VLOOKUP($B106,INDIRECT($B$5&amp;"生成成长"),4))/(VLOOKUP(CN$72,INDIRECT($C$5&amp;"生成成长"),5))*(VLOOKUP($B$5,标准坦克设计!$B$24:$U$30,MATCH("对"&amp;LEFT($C$5,2)&amp;"输出",标准坦克设计!$B$23:$U$23,0)))*(VLOOKUP($B106,INDIRECT($B$5&amp;"生成成长"),3))*(VLOOKUP($B$5,标准坦克设计!$B$14:$K$20,9)/30))</f>
        <v>19.233252093659711</v>
      </c>
      <c r="CO106" s="173">
        <f ca="1">(VLOOKUP(CO$72,INDIRECT($C$5&amp;"生成成长"),2))/((VLOOKUP($B106,INDIRECT($B$5&amp;"生成成长"),4))/(VLOOKUP(CO$72,INDIRECT($C$5&amp;"生成成长"),5))*(VLOOKUP($B$5,标准坦克设计!$B$24:$U$30,MATCH("对"&amp;LEFT($C$5,2)&amp;"输出",标准坦克设计!$B$23:$U$23,0)))*(VLOOKUP($B106,INDIRECT($B$5&amp;"生成成长"),3))*(VLOOKUP($B$5,标准坦克设计!$B$14:$K$20,9)/30))</f>
        <v>8.6189035575781272</v>
      </c>
      <c r="CP106" s="173">
        <f ca="1">(VLOOKUP(CP$72,INDIRECT($C$5&amp;"生成成长"),2))/((VLOOKUP($B106,INDIRECT($B$5&amp;"生成成长"),4))/(VLOOKUP(CP$72,INDIRECT($C$5&amp;"生成成长"),5))*(VLOOKUP($B$5,标准坦克设计!$B$24:$U$30,MATCH("对"&amp;LEFT($C$5,2)&amp;"输出",标准坦克设计!$B$23:$U$23,0)))*(VLOOKUP($B106,INDIRECT($B$5&amp;"生成成长"),3))*(VLOOKUP($B$5,标准坦克设计!$B$14:$K$20,9)/30))</f>
        <v>9.4168772023355274</v>
      </c>
      <c r="CQ106" s="173">
        <f ca="1">(VLOOKUP(CQ$72,INDIRECT($C$5&amp;"生成成长"),2))/((VLOOKUP($B106,INDIRECT($B$5&amp;"生成成长"),4))/(VLOOKUP(CQ$72,INDIRECT($C$5&amp;"生成成长"),5))*(VLOOKUP($B$5,标准坦克设计!$B$24:$U$30,MATCH("对"&amp;LEFT($C$5,2)&amp;"输出",标准坦克设计!$B$23:$U$23,0)))*(VLOOKUP($B106,INDIRECT($B$5&amp;"生成成长"),3))*(VLOOKUP($B$5,标准坦克设计!$B$14:$K$20,9)/30))</f>
        <v>10.250173624124441</v>
      </c>
      <c r="CR106" s="173">
        <f ca="1">(VLOOKUP(CR$72,INDIRECT($C$5&amp;"生成成长"),2))/((VLOOKUP($B106,INDIRECT($B$5&amp;"生成成长"),4))/(VLOOKUP(CR$72,INDIRECT($C$5&amp;"生成成长"),5))*(VLOOKUP($B$5,标准坦克设计!$B$24:$U$30,MATCH("对"&amp;LEFT($C$5,2)&amp;"输出",标准坦克设计!$B$23:$U$23,0)))*(VLOOKUP($B106,INDIRECT($B$5&amp;"生成成长"),3))*(VLOOKUP($B$5,标准坦克设计!$B$14:$K$20,9)/30))</f>
        <v>11.11879282294487</v>
      </c>
      <c r="CS106" s="173">
        <f ca="1">(VLOOKUP(CS$72,INDIRECT($C$5&amp;"生成成长"),2))/((VLOOKUP($B106,INDIRECT($B$5&amp;"生成成长"),4))/(VLOOKUP(CS$72,INDIRECT($C$5&amp;"生成成长"),5))*(VLOOKUP($B$5,标准坦克设计!$B$24:$U$30,MATCH("对"&amp;LEFT($C$5,2)&amp;"输出",标准坦克设计!$B$23:$U$23,0)))*(VLOOKUP($B106,INDIRECT($B$5&amp;"生成成长"),3))*(VLOOKUP($B$5,标准坦克设计!$B$14:$K$20,9)/30))</f>
        <v>12.022734798796813</v>
      </c>
      <c r="CT106" s="173">
        <f ca="1">(VLOOKUP(CT$72,INDIRECT($C$5&amp;"生成成长"),2))/((VLOOKUP($B106,INDIRECT($B$5&amp;"生成成长"),4))/(VLOOKUP(CT$72,INDIRECT($C$5&amp;"生成成长"),5))*(VLOOKUP($B$5,标准坦克设计!$B$24:$U$30,MATCH("对"&amp;LEFT($C$5,2)&amp;"输出",标准坦克设计!$B$23:$U$23,0)))*(VLOOKUP($B106,INDIRECT($B$5&amp;"生成成长"),3))*(VLOOKUP($B$5,标准坦克设计!$B$14:$K$20,9)/30))</f>
        <v>12.96199955168027</v>
      </c>
      <c r="CU106" s="173">
        <f ca="1">(VLOOKUP(CU$72,INDIRECT($C$5&amp;"生成成长"),2))/((VLOOKUP($B106,INDIRECT($B$5&amp;"生成成长"),4))/(VLOOKUP(CU$72,INDIRECT($C$5&amp;"生成成长"),5))*(VLOOKUP($B$5,标准坦克设计!$B$24:$U$30,MATCH("对"&amp;LEFT($C$5,2)&amp;"输出",标准坦克设计!$B$23:$U$23,0)))*(VLOOKUP($B106,INDIRECT($B$5&amp;"生成成长"),3))*(VLOOKUP($B$5,标准坦克设计!$B$14:$K$20,9)/30))</f>
        <v>13.936587081595238</v>
      </c>
      <c r="CV106" s="173">
        <f ca="1">(VLOOKUP(CV$72,INDIRECT($C$5&amp;"生成成长"),2))/((VLOOKUP($B106,INDIRECT($B$5&amp;"生成成长"),4))/(VLOOKUP(CV$72,INDIRECT($C$5&amp;"生成成长"),5))*(VLOOKUP($B$5,标准坦克设计!$B$24:$U$30,MATCH("对"&amp;LEFT($C$5,2)&amp;"输出",标准坦克设计!$B$23:$U$23,0)))*(VLOOKUP($B106,INDIRECT($B$5&amp;"生成成长"),3))*(VLOOKUP($B$5,标准坦克设计!$B$14:$K$20,9)/30))</f>
        <v>14.946497388541728</v>
      </c>
      <c r="CW106" s="173">
        <f ca="1">(VLOOKUP(CW$72,INDIRECT($C$5&amp;"生成成长"),2))/((VLOOKUP($B106,INDIRECT($B$5&amp;"生成成长"),4))/(VLOOKUP(CW$72,INDIRECT($C$5&amp;"生成成长"),5))*(VLOOKUP($B$5,标准坦克设计!$B$24:$U$30,MATCH("对"&amp;LEFT($C$5,2)&amp;"输出",标准坦克设计!$B$23:$U$23,0)))*(VLOOKUP($B106,INDIRECT($B$5&amp;"生成成长"),3))*(VLOOKUP($B$5,标准坦克设计!$B$14:$K$20,9)/30))</f>
        <v>15.991730472519729</v>
      </c>
      <c r="CX106" s="173">
        <f ca="1">(VLOOKUP(CX$72,INDIRECT($C$5&amp;"生成成长"),2))/((VLOOKUP($B106,INDIRECT($B$5&amp;"生成成长"),4))/(VLOOKUP(CX$72,INDIRECT($C$5&amp;"生成成长"),5))*(VLOOKUP($B$5,标准坦克设计!$B$24:$U$30,MATCH("对"&amp;LEFT($C$5,2)&amp;"输出",标准坦克设计!$B$23:$U$23,0)))*(VLOOKUP($B106,INDIRECT($B$5&amp;"生成成长"),3))*(VLOOKUP($B$5,标准坦克设计!$B$14:$K$20,9)/30))</f>
        <v>17.072286333529242</v>
      </c>
      <c r="CY106" s="173">
        <f ca="1">(VLOOKUP(CY$72,INDIRECT($C$5&amp;"生成成长"),2))/((VLOOKUP($B106,INDIRECT($B$5&amp;"生成成长"),4))/(VLOOKUP(CY$72,INDIRECT($C$5&amp;"生成成长"),5))*(VLOOKUP($B$5,标准坦克设计!$B$24:$U$30,MATCH("对"&amp;LEFT($C$5,2)&amp;"输出",标准坦克设计!$B$23:$U$23,0)))*(VLOOKUP($B106,INDIRECT($B$5&amp;"生成成长"),3))*(VLOOKUP($B$5,标准坦克设计!$B$14:$K$20,9)/30))</f>
        <v>18.18816497157027</v>
      </c>
      <c r="CZ106" s="173">
        <f ca="1">(VLOOKUP(CZ$72,INDIRECT($C$5&amp;"生成成长"),2))/((VLOOKUP($B106,INDIRECT($B$5&amp;"生成成长"),4))/(VLOOKUP(CZ$72,INDIRECT($C$5&amp;"生成成长"),5))*(VLOOKUP($B$5,标准坦克设计!$B$24:$U$30,MATCH("对"&amp;LEFT($C$5,2)&amp;"输出",标准坦克设计!$B$23:$U$23,0)))*(VLOOKUP($B106,INDIRECT($B$5&amp;"生成成长"),3))*(VLOOKUP($B$5,标准坦克设计!$B$14:$K$20,9)/30))</f>
        <v>19.339366386642819</v>
      </c>
      <c r="DA106" s="173">
        <f ca="1">(VLOOKUP(DA$72,INDIRECT($C$5&amp;"生成成长"),2))/((VLOOKUP($B106,INDIRECT($B$5&amp;"生成成长"),4))/(VLOOKUP(DA$72,INDIRECT($C$5&amp;"生成成长"),5))*(VLOOKUP($B$5,标准坦克设计!$B$24:$U$30,MATCH("对"&amp;LEFT($C$5,2)&amp;"输出",标准坦克设计!$B$23:$U$23,0)))*(VLOOKUP($B106,INDIRECT($B$5&amp;"生成成长"),3))*(VLOOKUP($B$5,标准坦克设计!$B$14:$K$20,9)/30))</f>
        <v>20.525890578746878</v>
      </c>
      <c r="DB106" s="173">
        <f ca="1">(VLOOKUP(DB$72,INDIRECT($C$5&amp;"生成成长"),2))/((VLOOKUP($B106,INDIRECT($B$5&amp;"生成成长"),4))/(VLOOKUP(DB$72,INDIRECT($C$5&amp;"生成成长"),5))*(VLOOKUP($B$5,标准坦克设计!$B$24:$U$30,MATCH("对"&amp;LEFT($C$5,2)&amp;"输出",标准坦克设计!$B$23:$U$23,0)))*(VLOOKUP($B106,INDIRECT($B$5&amp;"生成成长"),3))*(VLOOKUP($B$5,标准坦克设计!$B$14:$K$20,9)/30))</f>
        <v>21.747737547882455</v>
      </c>
      <c r="DC106" s="173">
        <f ca="1">(VLOOKUP(DC$72,INDIRECT($C$5&amp;"生成成长"),2))/((VLOOKUP($B106,INDIRECT($B$5&amp;"生成成长"),4))/(VLOOKUP(DC$72,INDIRECT($C$5&amp;"生成成长"),5))*(VLOOKUP($B$5,标准坦克设计!$B$24:$U$30,MATCH("对"&amp;LEFT($C$5,2)&amp;"输出",标准坦克设计!$B$23:$U$23,0)))*(VLOOKUP($B106,INDIRECT($B$5&amp;"生成成长"),3))*(VLOOKUP($B$5,标准坦克设计!$B$14:$K$20,9)/30))</f>
        <v>23.120946995454723</v>
      </c>
      <c r="DD106" s="173">
        <f ca="1">(VLOOKUP(DD$72,INDIRECT($C$5&amp;"生成成长"),2))/((VLOOKUP($B106,INDIRECT($B$5&amp;"生成成长"),4))/(VLOOKUP(DD$72,INDIRECT($C$5&amp;"生成成长"),5))*(VLOOKUP($B$5,标准坦克设计!$B$24:$U$30,MATCH("对"&amp;LEFT($C$5,2)&amp;"输出",标准坦克设计!$B$23:$U$23,0)))*(VLOOKUP($B106,INDIRECT($B$5&amp;"生成成长"),3))*(VLOOKUP($B$5,标准坦克设计!$B$14:$K$20,9)/30))</f>
        <v>24.536193466932271</v>
      </c>
      <c r="DE106" s="173">
        <f ca="1">(VLOOKUP(DE$72,INDIRECT($C$5&amp;"生成成长"),2))/((VLOOKUP($B106,INDIRECT($B$5&amp;"生成成长"),4))/(VLOOKUP(DE$72,INDIRECT($C$5&amp;"生成成长"),5))*(VLOOKUP($B$5,标准坦克设计!$B$24:$U$30,MATCH("对"&amp;LEFT($C$5,2)&amp;"输出",标准坦克设计!$B$23:$U$23,0)))*(VLOOKUP($B106,INDIRECT($B$5&amp;"生成成长"),3))*(VLOOKUP($B$5,标准坦克设计!$B$14:$K$20,9)/30))</f>
        <v>25.993476962315089</v>
      </c>
      <c r="DF106" s="173">
        <f ca="1">(VLOOKUP(DF$72,INDIRECT($C$5&amp;"生成成长"),2))/((VLOOKUP($B106,INDIRECT($B$5&amp;"生成成长"),4))/(VLOOKUP(DF$72,INDIRECT($C$5&amp;"生成成长"),5))*(VLOOKUP($B$5,标准坦克设计!$B$24:$U$30,MATCH("对"&amp;LEFT($C$5,2)&amp;"输出",标准坦克设计!$B$23:$U$23,0)))*(VLOOKUP($B106,INDIRECT($B$5&amp;"生成成长"),3))*(VLOOKUP($B$5,标准坦克设计!$B$14:$K$20,9)/30))</f>
        <v>27.492797481603176</v>
      </c>
      <c r="DG106" s="173">
        <f ca="1">(VLOOKUP(DG$72,INDIRECT($C$5&amp;"生成成长"),2))/((VLOOKUP($B106,INDIRECT($B$5&amp;"生成成长"),4))/(VLOOKUP(DG$72,INDIRECT($C$5&amp;"生成成长"),5))*(VLOOKUP($B$5,标准坦克设计!$B$24:$U$30,MATCH("对"&amp;LEFT($C$5,2)&amp;"输出",标准坦克设计!$B$23:$U$23,0)))*(VLOOKUP($B106,INDIRECT($B$5&amp;"生成成长"),3))*(VLOOKUP($B$5,标准坦克设计!$B$14:$K$20,9)/30))</f>
        <v>29.034155024796544</v>
      </c>
      <c r="DH106" s="173">
        <f ca="1">(VLOOKUP(DH$72,INDIRECT($C$5&amp;"生成成长"),2))/((VLOOKUP($B106,INDIRECT($B$5&amp;"生成成长"),4))/(VLOOKUP(DH$72,INDIRECT($C$5&amp;"生成成长"),5))*(VLOOKUP($B$5,标准坦克设计!$B$24:$U$30,MATCH("对"&amp;LEFT($C$5,2)&amp;"输出",标准坦克设计!$B$23:$U$23,0)))*(VLOOKUP($B106,INDIRECT($B$5&amp;"生成成长"),3))*(VLOOKUP($B$5,标准坦克设计!$B$14:$K$20,9)/30))</f>
        <v>30.617549591895187</v>
      </c>
      <c r="DI106" s="173">
        <f ca="1">(VLOOKUP(DI$72,INDIRECT($C$5&amp;"生成成长"),2))/((VLOOKUP($B106,INDIRECT($B$5&amp;"生成成长"),4))/(VLOOKUP(DI$72,INDIRECT($C$5&amp;"生成成长"),5))*(VLOOKUP($B$5,标准坦克设计!$B$24:$U$30,MATCH("对"&amp;LEFT($C$5,2)&amp;"输出",标准坦克设计!$B$23:$U$23,0)))*(VLOOKUP($B106,INDIRECT($B$5&amp;"生成成长"),3))*(VLOOKUP($B$5,标准坦克设计!$B$14:$K$20,9)/30))</f>
        <v>32.242981182899094</v>
      </c>
      <c r="DJ106" s="173">
        <f ca="1">(VLOOKUP(DJ$72,INDIRECT($C$5&amp;"生成成长"),2))/((VLOOKUP($B106,INDIRECT($B$5&amp;"生成成长"),4))/(VLOOKUP(DJ$72,INDIRECT($C$5&amp;"生成成长"),5))*(VLOOKUP($B$5,标准坦克设计!$B$24:$U$30,MATCH("对"&amp;LEFT($C$5,2)&amp;"输出",标准坦克设计!$B$23:$U$23,0)))*(VLOOKUP($B106,INDIRECT($B$5&amp;"生成成长"),3))*(VLOOKUP($B$5,标准坦克设计!$B$14:$K$20,9)/30))</f>
        <v>3.2404998879200675</v>
      </c>
      <c r="DK106" s="173">
        <f ca="1">(VLOOKUP(DK$72,INDIRECT($C$5&amp;"生成成长"),2))/((VLOOKUP($B106,INDIRECT($B$5&amp;"生成成长"),4))/(VLOOKUP(DK$72,INDIRECT($C$5&amp;"生成成长"),5))*(VLOOKUP($B$5,标准坦克设计!$B$24:$U$30,MATCH("对"&amp;LEFT($C$5,2)&amp;"输出",标准坦克设计!$B$23:$U$23,0)))*(VLOOKUP($B106,INDIRECT($B$5&amp;"生成成长"),3))*(VLOOKUP($B$5,标准坦克设计!$B$14:$K$20,9)/30))</f>
        <v>3.6437925860112856</v>
      </c>
      <c r="DL106" s="173">
        <f ca="1">(VLOOKUP(DL$72,INDIRECT($C$5&amp;"生成成长"),2))/((VLOOKUP($B106,INDIRECT($B$5&amp;"生成成长"),4))/(VLOOKUP(DL$72,INDIRECT($C$5&amp;"生成成长"),5))*(VLOOKUP($B$5,标准坦克设计!$B$24:$U$30,MATCH("对"&amp;LEFT($C$5,2)&amp;"输出",标准坦克设计!$B$23:$U$23,0)))*(VLOOKUP($B106,INDIRECT($B$5&amp;"生成成长"),3))*(VLOOKUP($B$5,标准坦克设计!$B$14:$K$20,9)/30))</f>
        <v>4.0707311100492207</v>
      </c>
      <c r="DM106" s="173">
        <f ca="1">(VLOOKUP(DM$72,INDIRECT($C$5&amp;"生成成长"),2))/((VLOOKUP($B106,INDIRECT($B$5&amp;"生成成长"),4))/(VLOOKUP(DM$72,INDIRECT($C$5&amp;"生成成长"),5))*(VLOOKUP($B$5,标准坦克设计!$B$24:$U$30,MATCH("对"&amp;LEFT($C$5,2)&amp;"输出",标准坦克设计!$B$23:$U$23,0)))*(VLOOKUP($B106,INDIRECT($B$5&amp;"生成成长"),3))*(VLOOKUP($B$5,标准坦克设计!$B$14:$K$20,9)/30))</f>
        <v>4.5213154600338727</v>
      </c>
      <c r="DN106" s="173">
        <f ca="1">(VLOOKUP(DN$72,INDIRECT($C$5&amp;"生成成长"),2))/((VLOOKUP($B106,INDIRECT($B$5&amp;"生成成长"),4))/(VLOOKUP(DN$72,INDIRECT($C$5&amp;"生成成长"),5))*(VLOOKUP($B$5,标准坦克设计!$B$24:$U$30,MATCH("对"&amp;LEFT($C$5,2)&amp;"输出",标准坦克设计!$B$23:$U$23,0)))*(VLOOKUP($B106,INDIRECT($B$5&amp;"生成成长"),3))*(VLOOKUP($B$5,标准坦克设计!$B$14:$K$20,9)/30))</f>
        <v>4.9955456359652404</v>
      </c>
      <c r="DO106" s="173">
        <f ca="1">(VLOOKUP(DO$72,INDIRECT($C$5&amp;"生成成长"),2))/((VLOOKUP($B106,INDIRECT($B$5&amp;"生成成长"),4))/(VLOOKUP(DO$72,INDIRECT($C$5&amp;"生成成长"),5))*(VLOOKUP($B$5,标准坦克设计!$B$24:$U$30,MATCH("对"&amp;LEFT($C$5,2)&amp;"输出",标准坦克设计!$B$23:$U$23,0)))*(VLOOKUP($B106,INDIRECT($B$5&amp;"生成成长"),3))*(VLOOKUP($B$5,标准坦克设计!$B$14:$K$20,9)/30))</f>
        <v>5.4934216378433236</v>
      </c>
      <c r="DP106" s="173">
        <f ca="1">(VLOOKUP(DP$72,INDIRECT($C$5&amp;"生成成长"),2))/((VLOOKUP($B106,INDIRECT($B$5&amp;"生成成长"),4))/(VLOOKUP(DP$72,INDIRECT($C$5&amp;"生成成长"),5))*(VLOOKUP($B$5,标准坦克设计!$B$24:$U$30,MATCH("对"&amp;LEFT($C$5,2)&amp;"输出",标准坦克设计!$B$23:$U$23,0)))*(VLOOKUP($B106,INDIRECT($B$5&amp;"生成成长"),3))*(VLOOKUP($B$5,标准坦克设计!$B$14:$K$20,9)/30))</f>
        <v>6.014943465668126</v>
      </c>
      <c r="DQ106" s="173">
        <f ca="1">(VLOOKUP(DQ$72,INDIRECT($C$5&amp;"生成成长"),2))/((VLOOKUP($B106,INDIRECT($B$5&amp;"生成成长"),4))/(VLOOKUP(DQ$72,INDIRECT($C$5&amp;"生成成长"),5))*(VLOOKUP($B$5,标准坦克设计!$B$24:$U$30,MATCH("对"&amp;LEFT($C$5,2)&amp;"输出",标准坦克设计!$B$23:$U$23,0)))*(VLOOKUP($B106,INDIRECT($B$5&amp;"生成成长"),3))*(VLOOKUP($B$5,标准坦克设计!$B$14:$K$20,9)/30))</f>
        <v>6.5601111194396431</v>
      </c>
      <c r="DR106" s="173">
        <f ca="1">(VLOOKUP(DR$72,INDIRECT($C$5&amp;"生成成长"),2))/((VLOOKUP($B106,INDIRECT($B$5&amp;"生成成长"),4))/(VLOOKUP(DR$72,INDIRECT($C$5&amp;"生成成长"),5))*(VLOOKUP($B$5,标准坦克设计!$B$24:$U$30,MATCH("对"&amp;LEFT($C$5,2)&amp;"输出",标准坦克设计!$B$23:$U$23,0)))*(VLOOKUP($B106,INDIRECT($B$5&amp;"生成成长"),3))*(VLOOKUP($B$5,标准坦克设计!$B$14:$K$20,9)/30))</f>
        <v>7.1289245991578749</v>
      </c>
      <c r="DS106" s="173">
        <f ca="1">(VLOOKUP(DS$72,INDIRECT($C$5&amp;"生成成长"),2))/((VLOOKUP($B106,INDIRECT($B$5&amp;"生成成长"),4))/(VLOOKUP(DS$72,INDIRECT($C$5&amp;"生成成长"),5))*(VLOOKUP($B$5,标准坦克设计!$B$24:$U$30,MATCH("对"&amp;LEFT($C$5,2)&amp;"输出",标准坦克设计!$B$23:$U$23,0)))*(VLOOKUP($B106,INDIRECT($B$5&amp;"生成成长"),3))*(VLOOKUP($B$5,标准坦克设计!$B$14:$K$20,9)/30))</f>
        <v>7.7213839048228259</v>
      </c>
      <c r="DT106" s="173">
        <f ca="1">(VLOOKUP(DT$72,INDIRECT($C$5&amp;"生成成长"),2))/((VLOOKUP($B106,INDIRECT($B$5&amp;"生成成长"),4))/(VLOOKUP(DT$72,INDIRECT($C$5&amp;"生成成长"),5))*(VLOOKUP($B$5,标准坦克设计!$B$24:$U$30,MATCH("对"&amp;LEFT($C$5,2)&amp;"输出",标准坦克设计!$B$23:$U$23,0)))*(VLOOKUP($B106,INDIRECT($B$5&amp;"生成成长"),3))*(VLOOKUP($B$5,标准坦克设计!$B$14:$K$20,9)/30))</f>
        <v>8.4776124494520708</v>
      </c>
      <c r="DU106" s="173">
        <f ca="1">(VLOOKUP(DU$72,INDIRECT($C$5&amp;"生成成长"),2))/((VLOOKUP($B106,INDIRECT($B$5&amp;"生成成长"),4))/(VLOOKUP(DU$72,INDIRECT($C$5&amp;"生成成长"),5))*(VLOOKUP($B$5,标准坦克设计!$B$24:$U$30,MATCH("对"&amp;LEFT($C$5,2)&amp;"输出",标准坦克设计!$B$23:$U$23,0)))*(VLOOKUP($B106,INDIRECT($B$5&amp;"生成成长"),3))*(VLOOKUP($B$5,标准坦克设计!$B$14:$K$20,9)/30))</f>
        <v>9.2691637711128312</v>
      </c>
      <c r="DV106" s="173">
        <f ca="1">(VLOOKUP(DV$72,INDIRECT($C$5&amp;"生成成长"),2))/((VLOOKUP($B106,INDIRECT($B$5&amp;"生成成长"),4))/(VLOOKUP(DV$72,INDIRECT($C$5&amp;"生成成长"),5))*(VLOOKUP($B$5,标准坦克设计!$B$24:$U$30,MATCH("对"&amp;LEFT($C$5,2)&amp;"输出",标准坦克设计!$B$23:$U$23,0)))*(VLOOKUP($B106,INDIRECT($B$5&amp;"生成成长"),3))*(VLOOKUP($B$5,标准坦克设计!$B$14:$K$20,9)/30))</f>
        <v>10.096037869805103</v>
      </c>
      <c r="DW106" s="173">
        <f ca="1">(VLOOKUP(DW$72,INDIRECT($C$5&amp;"生成成长"),2))/((VLOOKUP($B106,INDIRECT($B$5&amp;"生成成长"),4))/(VLOOKUP(DW$72,INDIRECT($C$5&amp;"生成成长"),5))*(VLOOKUP($B$5,标准坦克设计!$B$24:$U$30,MATCH("对"&amp;LEFT($C$5,2)&amp;"输出",标准坦克设计!$B$23:$U$23,0)))*(VLOOKUP($B106,INDIRECT($B$5&amp;"生成成长"),3))*(VLOOKUP($B$5,标准坦克设计!$B$14:$K$20,9)/30))</f>
        <v>10.958234745528893</v>
      </c>
      <c r="DX106" s="173">
        <f ca="1">(VLOOKUP(DX$72,INDIRECT($C$5&amp;"生成成长"),2))/((VLOOKUP($B106,INDIRECT($B$5&amp;"生成成长"),4))/(VLOOKUP(DX$72,INDIRECT($C$5&amp;"生成成长"),5))*(VLOOKUP($B$5,标准坦克设计!$B$24:$U$30,MATCH("对"&amp;LEFT($C$5,2)&amp;"输出",标准坦克设计!$B$23:$U$23,0)))*(VLOOKUP($B106,INDIRECT($B$5&amp;"生成成长"),3))*(VLOOKUP($B$5,标准坦克设计!$B$14:$K$20,9)/30))</f>
        <v>11.855754398284196</v>
      </c>
      <c r="DY106" s="173">
        <f ca="1">(VLOOKUP(DY$72,INDIRECT($C$5&amp;"生成成长"),2))/((VLOOKUP($B106,INDIRECT($B$5&amp;"生成成长"),4))/(VLOOKUP(DY$72,INDIRECT($C$5&amp;"生成成长"),5))*(VLOOKUP($B$5,标准坦克设计!$B$24:$U$30,MATCH("对"&amp;LEFT($C$5,2)&amp;"输出",标准坦克设计!$B$23:$U$23,0)))*(VLOOKUP($B106,INDIRECT($B$5&amp;"生成成长"),3))*(VLOOKUP($B$5,标准坦克设计!$B$14:$K$20,9)/30))</f>
        <v>5.3248356565565498</v>
      </c>
      <c r="DZ106" s="173">
        <f ca="1">(VLOOKUP(DZ$72,INDIRECT($C$5&amp;"生成成长"),2))/((VLOOKUP($B106,INDIRECT($B$5&amp;"生成成长"),4))/(VLOOKUP(DZ$72,INDIRECT($C$5&amp;"生成成长"),5))*(VLOOKUP($B$5,标准坦克设计!$B$24:$U$30,MATCH("对"&amp;LEFT($C$5,2)&amp;"输出",标准坦克设计!$B$23:$U$23,0)))*(VLOOKUP($B106,INDIRECT($B$5&amp;"生成成长"),3))*(VLOOKUP($B$5,标准坦克设计!$B$14:$K$20,9)/30))</f>
        <v>5.8970062597116639</v>
      </c>
      <c r="EA106" s="173">
        <f ca="1">(VLOOKUP(EA$72,INDIRECT($C$5&amp;"生成成长"),2))/((VLOOKUP($B106,INDIRECT($B$5&amp;"生成成长"),4))/(VLOOKUP(EA$72,INDIRECT($C$5&amp;"生成成长"),5))*(VLOOKUP($B$5,标准坦克设计!$B$24:$U$30,MATCH("对"&amp;LEFT($C$5,2)&amp;"输出",标准坦克设计!$B$23:$U$23,0)))*(VLOOKUP($B106,INDIRECT($B$5&amp;"生成成长"),3))*(VLOOKUP($B$5,标准坦克设计!$B$14:$K$20,9)/30))</f>
        <v>6.4983692405787723</v>
      </c>
      <c r="EB106" s="173">
        <f ca="1">(VLOOKUP(EB$72,INDIRECT($C$5&amp;"生成成长"),2))/((VLOOKUP($B106,INDIRECT($B$5&amp;"生成成长"),4))/(VLOOKUP(EB$72,INDIRECT($C$5&amp;"生成成长"),5))*(VLOOKUP($B$5,标准坦克设计!$B$24:$U$30,MATCH("对"&amp;LEFT($C$5,2)&amp;"输出",标准坦克设计!$B$23:$U$23,0)))*(VLOOKUP($B106,INDIRECT($B$5&amp;"生成成长"),3))*(VLOOKUP($B$5,标准坦克设计!$B$14:$K$20,9)/30))</f>
        <v>7.1289245991578749</v>
      </c>
      <c r="EC106" s="173">
        <f ca="1">(VLOOKUP(EC$72,INDIRECT($C$5&amp;"生成成长"),2))/((VLOOKUP($B106,INDIRECT($B$5&amp;"生成成长"),4))/(VLOOKUP(EC$72,INDIRECT($C$5&amp;"生成成长"),5))*(VLOOKUP($B$5,标准坦克设计!$B$24:$U$30,MATCH("对"&amp;LEFT($C$5,2)&amp;"输出",标准坦克设计!$B$23:$U$23,0)))*(VLOOKUP($B106,INDIRECT($B$5&amp;"生成成长"),3))*(VLOOKUP($B$5,标准坦克设计!$B$14:$K$20,9)/30))</f>
        <v>7.7886723354489762</v>
      </c>
      <c r="ED106" s="173">
        <f ca="1">(VLOOKUP(ED$72,INDIRECT($C$5&amp;"生成成长"),2))/((VLOOKUP($B106,INDIRECT($B$5&amp;"生成成长"),4))/(VLOOKUP(ED$72,INDIRECT($C$5&amp;"生成成长"),5))*(VLOOKUP($B$5,标准坦克设计!$B$24:$U$30,MATCH("对"&amp;LEFT($C$5,2)&amp;"输出",标准坦克设计!$B$23:$U$23,0)))*(VLOOKUP($B106,INDIRECT($B$5&amp;"生成成长"),3))*(VLOOKUP($B$5,标准坦克设计!$B$14:$K$20,9)/30))</f>
        <v>8.4776124494520708</v>
      </c>
      <c r="EE106" s="173">
        <f ca="1">(VLOOKUP(EE$72,INDIRECT($C$5&amp;"生成成长"),2))/((VLOOKUP($B106,INDIRECT($B$5&amp;"生成成长"),4))/(VLOOKUP(EE$72,INDIRECT($C$5&amp;"生成成长"),5))*(VLOOKUP($B$5,标准坦克设计!$B$24:$U$30,MATCH("对"&amp;LEFT($C$5,2)&amp;"输出",标准坦克设计!$B$23:$U$23,0)))*(VLOOKUP($B106,INDIRECT($B$5&amp;"生成成长"),3))*(VLOOKUP($B$5,标准坦克设计!$B$14:$K$20,9)/30))</f>
        <v>9.1957449411671615</v>
      </c>
      <c r="EF106" s="173">
        <f ca="1">(VLOOKUP(EF$72,INDIRECT($C$5&amp;"生成成长"),2))/((VLOOKUP($B106,INDIRECT($B$5&amp;"生成成长"),4))/(VLOOKUP(EF$72,INDIRECT($C$5&amp;"生成成长"),5))*(VLOOKUP($B$5,标准坦克设计!$B$24:$U$30,MATCH("对"&amp;LEFT($C$5,2)&amp;"输出",标准坦克设计!$B$23:$U$23,0)))*(VLOOKUP($B106,INDIRECT($B$5&amp;"生成成长"),3))*(VLOOKUP($B$5,标准坦克设计!$B$14:$K$20,9)/30))</f>
        <v>9.9430698105942472</v>
      </c>
      <c r="EG106" s="173">
        <f ca="1">(VLOOKUP(EG$72,INDIRECT($C$5&amp;"生成成长"),2))/((VLOOKUP($B106,INDIRECT($B$5&amp;"生成成长"),4))/(VLOOKUP(EG$72,INDIRECT($C$5&amp;"生成成长"),5))*(VLOOKUP($B$5,标准坦克设计!$B$24:$U$30,MATCH("对"&amp;LEFT($C$5,2)&amp;"输出",标准坦克设计!$B$23:$U$23,0)))*(VLOOKUP($B106,INDIRECT($B$5&amp;"生成成长"),3))*(VLOOKUP($B$5,标准坦克设计!$B$14:$K$20,9)/30))</f>
        <v>10.719587057733332</v>
      </c>
      <c r="EH106" s="173">
        <f ca="1">(VLOOKUP(EH$72,INDIRECT($C$5&amp;"生成成长"),2))/((VLOOKUP($B106,INDIRECT($B$5&amp;"生成成长"),4))/(VLOOKUP(EH$72,INDIRECT($C$5&amp;"生成成长"),5))*(VLOOKUP($B$5,标准坦克设计!$B$24:$U$30,MATCH("对"&amp;LEFT($C$5,2)&amp;"输出",标准坦克设计!$B$23:$U$23,0)))*(VLOOKUP($B106,INDIRECT($B$5&amp;"生成成长"),3))*(VLOOKUP($B$5,标准坦克设计!$B$14:$K$20,9)/30))</f>
        <v>11.525296682584406</v>
      </c>
      <c r="EI106" s="173">
        <f ca="1">(VLOOKUP(EI$72,INDIRECT($C$5&amp;"生成成长"),2))/((VLOOKUP($B106,INDIRECT($B$5&amp;"生成成长"),4))/(VLOOKUP(EI$72,INDIRECT($C$5&amp;"生成成长"),5))*(VLOOKUP($B$5,标准坦克设计!$B$24:$U$30,MATCH("对"&amp;LEFT($C$5,2)&amp;"输出",标准坦克设计!$B$23:$U$23,0)))*(VLOOKUP($B106,INDIRECT($B$5&amp;"生成成长"),3))*(VLOOKUP($B$5,标准坦克设计!$B$14:$K$20,9)/30))</f>
        <v>12.360198685147482</v>
      </c>
      <c r="EJ106" s="173">
        <f ca="1">(VLOOKUP(EJ$72,INDIRECT($C$5&amp;"生成成长"),2))/((VLOOKUP($B106,INDIRECT($B$5&amp;"生成成长"),4))/(VLOOKUP(EJ$72,INDIRECT($C$5&amp;"生成成长"),5))*(VLOOKUP($B$5,标准坦克设计!$B$24:$U$30,MATCH("对"&amp;LEFT($C$5,2)&amp;"输出",标准坦克设计!$B$23:$U$23,0)))*(VLOOKUP($B106,INDIRECT($B$5&amp;"生成成长"),3))*(VLOOKUP($B$5,标准坦克设计!$B$14:$K$20,9)/30))</f>
        <v>13.22429306542255</v>
      </c>
      <c r="EK106" s="173">
        <f ca="1">(VLOOKUP(EK$72,INDIRECT($C$5&amp;"生成成长"),2))/((VLOOKUP($B106,INDIRECT($B$5&amp;"生成成长"),4))/(VLOOKUP(EK$72,INDIRECT($C$5&amp;"生成成长"),5))*(VLOOKUP($B$5,标准坦克设计!$B$24:$U$30,MATCH("对"&amp;LEFT($C$5,2)&amp;"输出",标准坦克设计!$B$23:$U$23,0)))*(VLOOKUP($B106,INDIRECT($B$5&amp;"生成成长"),3))*(VLOOKUP($B$5,标准坦克设计!$B$14:$K$20,9)/30))</f>
        <v>14.299740260332465</v>
      </c>
      <c r="EL106" s="173">
        <f ca="1">(VLOOKUP(EL$72,INDIRECT($C$5&amp;"生成成长"),2))/((VLOOKUP($B106,INDIRECT($B$5&amp;"生成成长"),4))/(VLOOKUP(EL$72,INDIRECT($C$5&amp;"生成成长"),5))*(VLOOKUP($B$5,标准坦克设计!$B$24:$U$30,MATCH("对"&amp;LEFT($C$5,2)&amp;"输出",标准坦克设计!$B$23:$U$23,0)))*(VLOOKUP($B106,INDIRECT($B$5&amp;"生成成长"),3))*(VLOOKUP($B$5,标准坦克设计!$B$14:$K$20,9)/30))</f>
        <v>15.417224479147656</v>
      </c>
      <c r="EM106" s="173">
        <f ca="1">(VLOOKUP(EM$72,INDIRECT($C$5&amp;"生成成长"),2))/((VLOOKUP($B106,INDIRECT($B$5&amp;"生成成长"),4))/(VLOOKUP(EM$72,INDIRECT($C$5&amp;"生成成长"),5))*(VLOOKUP($B$5,标准坦克设计!$B$24:$U$30,MATCH("对"&amp;LEFT($C$5,2)&amp;"输出",标准坦克设计!$B$23:$U$23,0)))*(VLOOKUP($B106,INDIRECT($B$5&amp;"生成成长"),3))*(VLOOKUP($B$5,标准坦克设计!$B$14:$K$20,9)/30))</f>
        <v>16.576745721868118</v>
      </c>
      <c r="EN106" s="173">
        <f ca="1">(VLOOKUP(EN$72,INDIRECT($C$5&amp;"生成成长"),2))/((VLOOKUP($B106,INDIRECT($B$5&amp;"生成成长"),4))/(VLOOKUP(EN$72,INDIRECT($C$5&amp;"生成成长"),5))*(VLOOKUP($B$5,标准坦克设计!$B$24:$U$30,MATCH("对"&amp;LEFT($C$5,2)&amp;"输出",标准坦克设计!$B$23:$U$23,0)))*(VLOOKUP($B106,INDIRECT($B$5&amp;"生成成长"),3))*(VLOOKUP($B$5,标准坦克设计!$B$14:$K$20,9)/30))</f>
        <v>17.778303988493853</v>
      </c>
      <c r="EO106" s="173">
        <f ca="1">(VLOOKUP(EO$72,INDIRECT($C$5&amp;"生成成长"),2))/((VLOOKUP($B106,INDIRECT($B$5&amp;"生成成长"),4))/(VLOOKUP(EO$72,INDIRECT($C$5&amp;"生成成长"),5))*(VLOOKUP($B$5,标准坦克设计!$B$24:$U$30,MATCH("对"&amp;LEFT($C$5,2)&amp;"输出",标准坦克设计!$B$23:$U$23,0)))*(VLOOKUP($B106,INDIRECT($B$5&amp;"生成成长"),3))*(VLOOKUP($B$5,标准坦克设计!$B$14:$K$20,9)/30))</f>
        <v>19.021899279024872</v>
      </c>
      <c r="EP106" s="173">
        <f ca="1">(VLOOKUP(EP$72,INDIRECT($C$5&amp;"生成成长"),2))/((VLOOKUP($B106,INDIRECT($B$5&amp;"生成成长"),4))/(VLOOKUP(EP$72,INDIRECT($C$5&amp;"生成成长"),5))*(VLOOKUP($B$5,标准坦克设计!$B$24:$U$30,MATCH("对"&amp;LEFT($C$5,2)&amp;"输出",标准坦克设计!$B$23:$U$23,0)))*(VLOOKUP($B106,INDIRECT($B$5&amp;"生成成长"),3))*(VLOOKUP($B$5,标准坦克设计!$B$14:$K$20,9)/30))</f>
        <v>20.307531593461157</v>
      </c>
      <c r="EQ106" s="173">
        <f ca="1">(VLOOKUP(EQ$72,INDIRECT($C$5&amp;"生成成长"),2))/((VLOOKUP($B106,INDIRECT($B$5&amp;"生成成长"),4))/(VLOOKUP(EQ$72,INDIRECT($C$5&amp;"生成成长"),5))*(VLOOKUP($B$5,标准坦克设计!$B$24:$U$30,MATCH("对"&amp;LEFT($C$5,2)&amp;"输出",标准坦克设计!$B$23:$U$23,0)))*(VLOOKUP($B106,INDIRECT($B$5&amp;"生成成长"),3))*(VLOOKUP($B$5,标准坦克设计!$B$14:$K$20,9)/30))</f>
        <v>8.9772399939928746</v>
      </c>
      <c r="ER106" s="173">
        <f ca="1">(VLOOKUP(ER$72,INDIRECT($C$5&amp;"生成成长"),2))/((VLOOKUP($B106,INDIRECT($B$5&amp;"生成成长"),4))/(VLOOKUP(ER$72,INDIRECT($C$5&amp;"生成成长"),5))*(VLOOKUP($B$5,标准坦克设计!$B$24:$U$30,MATCH("对"&amp;LEFT($C$5,2)&amp;"输出",标准坦克设计!$B$23:$U$23,0)))*(VLOOKUP($B106,INDIRECT($B$5&amp;"生成成长"),3))*(VLOOKUP($B$5,标准坦克设计!$B$14:$K$20,9)/30))</f>
        <v>9.7912694464918726</v>
      </c>
      <c r="ES106" s="173">
        <f ca="1">(VLOOKUP(ES$72,INDIRECT($C$5&amp;"生成成长"),2))/((VLOOKUP($B106,INDIRECT($B$5&amp;"生成成长"),4))/(VLOOKUP(ES$72,INDIRECT($C$5&amp;"生成成长"),5))*(VLOOKUP($B$5,标准坦克设计!$B$24:$U$30,MATCH("对"&amp;LEFT($C$5,2)&amp;"输出",标准坦克设计!$B$23:$U$23,0)))*(VLOOKUP($B106,INDIRECT($B$5&amp;"生成成长"),3))*(VLOOKUP($B$5,标准坦克设计!$B$14:$K$20,9)/30))</f>
        <v>10.640621676022381</v>
      </c>
      <c r="ET106" s="173">
        <f ca="1">(VLOOKUP(ET$72,INDIRECT($C$5&amp;"生成成长"),2))/((VLOOKUP($B106,INDIRECT($B$5&amp;"生成成长"),4))/(VLOOKUP(ET$72,INDIRECT($C$5&amp;"生成成长"),5))*(VLOOKUP($B$5,标准坦克设计!$B$24:$U$30,MATCH("对"&amp;LEFT($C$5,2)&amp;"输出",标准坦克设计!$B$23:$U$23,0)))*(VLOOKUP($B106,INDIRECT($B$5&amp;"生成成长"),3))*(VLOOKUP($B$5,标准坦克设计!$B$14:$K$20,9)/30))</f>
        <v>11.525296682584406</v>
      </c>
      <c r="EU106" s="173">
        <f ca="1">(VLOOKUP(EU$72,INDIRECT($C$5&amp;"生成成长"),2))/((VLOOKUP($B106,INDIRECT($B$5&amp;"生成成长"),4))/(VLOOKUP(EU$72,INDIRECT($C$5&amp;"生成成长"),5))*(VLOOKUP($B$5,标准坦克设计!$B$24:$U$30,MATCH("对"&amp;LEFT($C$5,2)&amp;"输出",标准坦克设计!$B$23:$U$23,0)))*(VLOOKUP($B106,INDIRECT($B$5&amp;"生成成长"),3))*(VLOOKUP($B$5,标准坦克设计!$B$14:$K$20,9)/30))</f>
        <v>12.445294466177948</v>
      </c>
      <c r="EV106" s="173">
        <f ca="1">(VLOOKUP(EV$72,INDIRECT($C$5&amp;"生成成长"),2))/((VLOOKUP($B106,INDIRECT($B$5&amp;"生成成长"),4))/(VLOOKUP(EV$72,INDIRECT($C$5&amp;"生成成长"),5))*(VLOOKUP($B$5,标准坦克设计!$B$24:$U$30,MATCH("对"&amp;LEFT($C$5,2)&amp;"输出",标准坦克设计!$B$23:$U$23,0)))*(VLOOKUP($B106,INDIRECT($B$5&amp;"生成成长"),3))*(VLOOKUP($B$5,标准坦克设计!$B$14:$K$20,9)/30))</f>
        <v>13.400615026803003</v>
      </c>
      <c r="EW106" s="173">
        <f ca="1">(VLOOKUP(EW$72,INDIRECT($C$5&amp;"生成成长"),2))/((VLOOKUP($B106,INDIRECT($B$5&amp;"生成成长"),4))/(VLOOKUP(EW$72,INDIRECT($C$5&amp;"生成成长"),5))*(VLOOKUP($B$5,标准坦克设计!$B$24:$U$30,MATCH("对"&amp;LEFT($C$5,2)&amp;"输出",标准坦克设计!$B$23:$U$23,0)))*(VLOOKUP($B106,INDIRECT($B$5&amp;"生成成长"),3))*(VLOOKUP($B$5,标准坦克设计!$B$14:$K$20,9)/30))</f>
        <v>14.391258364459572</v>
      </c>
      <c r="EX106" s="173">
        <f ca="1">(VLOOKUP(EX$72,INDIRECT($C$5&amp;"生成成长"),2))/((VLOOKUP($B106,INDIRECT($B$5&amp;"生成成长"),4))/(VLOOKUP(EX$72,INDIRECT($C$5&amp;"生成成长"),5))*(VLOOKUP($B$5,标准坦克设计!$B$24:$U$30,MATCH("对"&amp;LEFT($C$5,2)&amp;"输出",标准坦克设计!$B$23:$U$23,0)))*(VLOOKUP($B106,INDIRECT($B$5&amp;"生成成长"),3))*(VLOOKUP($B$5,标准坦克设计!$B$14:$K$20,9)/30))</f>
        <v>15.417224479147656</v>
      </c>
      <c r="EY106" s="173">
        <f ca="1">(VLOOKUP(EY$72,INDIRECT($C$5&amp;"生成成长"),2))/((VLOOKUP($B106,INDIRECT($B$5&amp;"生成成长"),4))/(VLOOKUP(EY$72,INDIRECT($C$5&amp;"生成成长"),5))*(VLOOKUP($B$5,标准坦克设计!$B$24:$U$30,MATCH("对"&amp;LEFT($C$5,2)&amp;"输出",标准坦克设计!$B$23:$U$23,0)))*(VLOOKUP($B106,INDIRECT($B$5&amp;"生成成长"),3))*(VLOOKUP($B$5,标准坦克设计!$B$14:$K$20,9)/30))</f>
        <v>16.478513370867251</v>
      </c>
      <c r="EZ106" s="173">
        <f ca="1">(VLOOKUP(EZ$72,INDIRECT($C$5&amp;"生成成长"),2))/((VLOOKUP($B106,INDIRECT($B$5&amp;"生成成长"),4))/(VLOOKUP(EZ$72,INDIRECT($C$5&amp;"生成成长"),5))*(VLOOKUP($B$5,标准坦克设计!$B$24:$U$30,MATCH("对"&amp;LEFT($C$5,2)&amp;"输出",标准坦克设计!$B$23:$U$23,0)))*(VLOOKUP($B106,INDIRECT($B$5&amp;"生成成长"),3))*(VLOOKUP($B$5,标准坦克设计!$B$14:$K$20,9)/30))</f>
        <v>17.575125039618364</v>
      </c>
      <c r="FA106" s="173">
        <f ca="1">(VLOOKUP(FA$72,INDIRECT($C$5&amp;"生成成长"),2))/((VLOOKUP($B106,INDIRECT($B$5&amp;"生成成长"),4))/(VLOOKUP(FA$72,INDIRECT($C$5&amp;"生成成长"),5))*(VLOOKUP($B$5,标准坦克设计!$B$24:$U$30,MATCH("对"&amp;LEFT($C$5,2)&amp;"输出",标准坦克设计!$B$23:$U$23,0)))*(VLOOKUP($B106,INDIRECT($B$5&amp;"生成成长"),3))*(VLOOKUP($B$5,标准坦克设计!$B$14:$K$20,9)/30))</f>
        <v>18.707059485400993</v>
      </c>
      <c r="FB106" s="173">
        <f ca="1">(VLOOKUP(FB$72,INDIRECT($C$5&amp;"生成成长"),2))/((VLOOKUP($B106,INDIRECT($B$5&amp;"生成成长"),4))/(VLOOKUP(FB$72,INDIRECT($C$5&amp;"生成成长"),5))*(VLOOKUP($B$5,标准坦克设计!$B$24:$U$30,MATCH("对"&amp;LEFT($C$5,2)&amp;"输出",标准坦克设计!$B$23:$U$23,0)))*(VLOOKUP($B106,INDIRECT($B$5&amp;"生成成长"),3))*(VLOOKUP($B$5,标准坦克设计!$B$14:$K$20,9)/30))</f>
        <v>19.874316708215137</v>
      </c>
      <c r="FC106" s="173">
        <f ca="1">(VLOOKUP(FC$72,INDIRECT($C$5&amp;"生成成长"),2))/((VLOOKUP($B106,INDIRECT($B$5&amp;"生成成长"),4))/(VLOOKUP(FC$72,INDIRECT($C$5&amp;"生成成长"),5))*(VLOOKUP($B$5,标准坦克设计!$B$24:$U$30,MATCH("对"&amp;LEFT($C$5,2)&amp;"输出",标准坦克设计!$B$23:$U$23,0)))*(VLOOKUP($B106,INDIRECT($B$5&amp;"生成成长"),3))*(VLOOKUP($B$5,标准坦克设计!$B$14:$K$20,9)/30))</f>
        <v>21.07689670806079</v>
      </c>
      <c r="FD106" s="173">
        <f ca="1">(VLOOKUP(FD$72,INDIRECT($C$5&amp;"生成成长"),2))/((VLOOKUP($B106,INDIRECT($B$5&amp;"生成成长"),4))/(VLOOKUP(FD$72,INDIRECT($C$5&amp;"生成成长"),5))*(VLOOKUP($B$5,标准坦克设计!$B$24:$U$30,MATCH("对"&amp;LEFT($C$5,2)&amp;"输出",标准坦克设计!$B$23:$U$23,0)))*(VLOOKUP($B106,INDIRECT($B$5&amp;"生成成长"),3))*(VLOOKUP($B$5,标准坦克设计!$B$14:$K$20,9)/30))</f>
        <v>22.314799484937964</v>
      </c>
      <c r="FE106" s="173">
        <f ca="1">(VLOOKUP(FE$72,INDIRECT($C$5&amp;"生成成长"),2))/((VLOOKUP($B106,INDIRECT($B$5&amp;"生成成长"),4))/(VLOOKUP(FE$72,INDIRECT($C$5&amp;"生成成长"),5))*(VLOOKUP($B$5,标准坦克设计!$B$24:$U$30,MATCH("对"&amp;LEFT($C$5,2)&amp;"输出",标准坦克设计!$B$23:$U$23,0)))*(VLOOKUP($B106,INDIRECT($B$5&amp;"生成成长"),3))*(VLOOKUP($B$5,标准坦克设计!$B$14:$K$20,9)/30))</f>
        <v>23.823315603205334</v>
      </c>
      <c r="FF106" s="173">
        <f ca="1">(VLOOKUP(FF$72,INDIRECT($C$5&amp;"生成成长"),2))/((VLOOKUP($B106,INDIRECT($B$5&amp;"生成成长"),4))/(VLOOKUP(FF$72,INDIRECT($C$5&amp;"生成成长"),5))*(VLOOKUP($B$5,标准坦克设计!$B$24:$U$30,MATCH("对"&amp;LEFT($C$5,2)&amp;"输出",标准坦克设计!$B$23:$U$23,0)))*(VLOOKUP($B106,INDIRECT($B$5&amp;"生成成长"),3))*(VLOOKUP($B$5,标准坦克设计!$B$14:$K$20,9)/30))</f>
        <v>25.381166839805985</v>
      </c>
      <c r="FG106" s="173">
        <f ca="1">(VLOOKUP(FG$72,INDIRECT($C$5&amp;"生成成长"),2))/((VLOOKUP($B106,INDIRECT($B$5&amp;"生成成长"),4))/(VLOOKUP(FG$72,INDIRECT($C$5&amp;"生成成长"),5))*(VLOOKUP($B$5,标准坦克设计!$B$24:$U$30,MATCH("对"&amp;LEFT($C$5,2)&amp;"输出",标准坦克设计!$B$23:$U$23,0)))*(VLOOKUP($B106,INDIRECT($B$5&amp;"生成成长"),3))*(VLOOKUP($B$5,标准坦克设计!$B$14:$K$20,9)/30))</f>
        <v>26.988353194739894</v>
      </c>
      <c r="FH106" s="173">
        <f ca="1">(VLOOKUP(FH$72,INDIRECT($C$5&amp;"生成成长"),2))/((VLOOKUP($B106,INDIRECT($B$5&amp;"生成成长"),4))/(VLOOKUP(FH$72,INDIRECT($C$5&amp;"生成成长"),5))*(VLOOKUP($B$5,标准坦克设计!$B$24:$U$30,MATCH("对"&amp;LEFT($C$5,2)&amp;"输出",标准坦克设计!$B$23:$U$23,0)))*(VLOOKUP($B106,INDIRECT($B$5&amp;"生成成长"),3))*(VLOOKUP($B$5,标准坦克设计!$B$14:$K$20,9)/30))</f>
        <v>28.644874668007088</v>
      </c>
      <c r="FI106" s="173">
        <f ca="1">(VLOOKUP(FI$72,INDIRECT($C$5&amp;"生成成长"),2))/((VLOOKUP($B106,INDIRECT($B$5&amp;"生成成长"),4))/(VLOOKUP(FI$72,INDIRECT($C$5&amp;"生成成长"),5))*(VLOOKUP($B$5,标准坦克设计!$B$24:$U$30,MATCH("对"&amp;LEFT($C$5,2)&amp;"输出",标准坦克设计!$B$23:$U$23,0)))*(VLOOKUP($B106,INDIRECT($B$5&amp;"生成成长"),3))*(VLOOKUP($B$5,标准坦克设计!$B$14:$K$20,9)/30))</f>
        <v>30.350731259607546</v>
      </c>
      <c r="FJ106" s="173">
        <f ca="1">(VLOOKUP(FJ$72,INDIRECT($C$5&amp;"生成成长"),2))/((VLOOKUP($B106,INDIRECT($B$5&amp;"生成成长"),4))/(VLOOKUP(FJ$72,INDIRECT($C$5&amp;"生成成长"),5))*(VLOOKUP($B$5,标准坦克设计!$B$24:$U$30,MATCH("对"&amp;LEFT($C$5,2)&amp;"输出",标准坦克设计!$B$23:$U$23,0)))*(VLOOKUP($B106,INDIRECT($B$5&amp;"生成成长"),3))*(VLOOKUP($B$5,标准坦克设计!$B$14:$K$20,9)/30))</f>
        <v>32.105922969541282</v>
      </c>
      <c r="FK106" s="173">
        <f ca="1">(VLOOKUP(FK$72,INDIRECT($C$5&amp;"生成成长"),2))/((VLOOKUP($B106,INDIRECT($B$5&amp;"生成成长"),4))/(VLOOKUP(FK$72,INDIRECT($C$5&amp;"生成成长"),5))*(VLOOKUP($B$5,标准坦克设计!$B$24:$U$30,MATCH("对"&amp;LEFT($C$5,2)&amp;"输出",标准坦克设计!$B$23:$U$23,0)))*(VLOOKUP($B106,INDIRECT($B$5&amp;"生成成长"),3))*(VLOOKUP($B$5,标准坦克设计!$B$14:$K$20,9)/30))</f>
        <v>33.910449797808283</v>
      </c>
    </row>
    <row r="107" spans="1:167" x14ac:dyDescent="0.15">
      <c r="A107" s="171" t="str">
        <f t="shared" si="11"/>
        <v>T5低品质3级</v>
      </c>
      <c r="B107" s="172">
        <v>10503</v>
      </c>
      <c r="C107" s="173">
        <f ca="1">(VLOOKUP(C$72,INDIRECT($C$5&amp;"生成成长"),2))/((VLOOKUP($B107,INDIRECT($B$5&amp;"生成成长"),4))/(VLOOKUP(C$72,INDIRECT($C$5&amp;"生成成长"),5))*(VLOOKUP($B$5,标准坦克设计!$B$24:$U$30,MATCH("对"&amp;LEFT($C$5,2)&amp;"输出",标准坦克设计!$B$23:$U$23,0)))*(VLOOKUP($B107,INDIRECT($B$5&amp;"生成成长"),3))*(VLOOKUP($B$5,标准坦克设计!$B$14:$K$20,9)/30))</f>
        <v>1.3438419806829172</v>
      </c>
      <c r="D107" s="173">
        <f ca="1">(VLOOKUP(D$72,INDIRECT($C$5&amp;"生成成长"),2))/((VLOOKUP($B107,INDIRECT($B$5&amp;"生成成长"),4))/(VLOOKUP(D$72,INDIRECT($C$5&amp;"生成成长"),5))*(VLOOKUP($B$5,标准坦克设计!$B$24:$U$30,MATCH("对"&amp;LEFT($C$5,2)&amp;"输出",标准坦克设计!$B$23:$U$23,0)))*(VLOOKUP($B107,INDIRECT($B$5&amp;"生成成长"),3))*(VLOOKUP($B$5,标准坦克设计!$B$14:$K$20,9)/30))</f>
        <v>1.5099408494953259</v>
      </c>
      <c r="E107" s="173">
        <f ca="1">(VLOOKUP(E$72,INDIRECT($C$5&amp;"生成成长"),2))/((VLOOKUP($B107,INDIRECT($B$5&amp;"生成成长"),4))/(VLOOKUP(E$72,INDIRECT($C$5&amp;"生成成长"),5))*(VLOOKUP($B$5,标准坦克设计!$B$24:$U$30,MATCH("对"&amp;LEFT($C$5,2)&amp;"输出",标准坦克设计!$B$23:$U$23,0)))*(VLOOKUP($B107,INDIRECT($B$5&amp;"生成成长"),3))*(VLOOKUP($B$5,标准坦克设计!$B$14:$K$20,9)/30))</f>
        <v>1.6857153805686511</v>
      </c>
      <c r="F107" s="173">
        <f ca="1">(VLOOKUP(F$72,INDIRECT($C$5&amp;"生成成长"),2))/((VLOOKUP($B107,INDIRECT($B$5&amp;"生成成长"),4))/(VLOOKUP(F$72,INDIRECT($C$5&amp;"生成成长"),5))*(VLOOKUP($B$5,标准坦克设计!$B$24:$U$30,MATCH("对"&amp;LEFT($C$5,2)&amp;"输出",标准坦克设计!$B$23:$U$23,0)))*(VLOOKUP($B107,INDIRECT($B$5&amp;"生成成长"),3))*(VLOOKUP($B$5,标准坦克设计!$B$14:$K$20,9)/30))</f>
        <v>1.8711655739028941</v>
      </c>
      <c r="G107" s="173">
        <f ca="1">(VLOOKUP(G$72,INDIRECT($C$5&amp;"生成成长"),2))/((VLOOKUP($B107,INDIRECT($B$5&amp;"生成成长"),4))/(VLOOKUP(G$72,INDIRECT($C$5&amp;"生成成长"),5))*(VLOOKUP($B$5,标准坦克设计!$B$24:$U$30,MATCH("对"&amp;LEFT($C$5,2)&amp;"输出",标准坦克设计!$B$23:$U$23,0)))*(VLOOKUP($B107,INDIRECT($B$5&amp;"生成成长"),3))*(VLOOKUP($B$5,标准坦克设计!$B$14:$K$20,9)/30))</f>
        <v>2.0662914294980537</v>
      </c>
      <c r="H107" s="173">
        <f ca="1">(VLOOKUP(H$72,INDIRECT($C$5&amp;"生成成长"),2))/((VLOOKUP($B107,INDIRECT($B$5&amp;"生成成长"),4))/(VLOOKUP(H$72,INDIRECT($C$5&amp;"生成成长"),5))*(VLOOKUP($B$5,标准坦克设计!$B$24:$U$30,MATCH("对"&amp;LEFT($C$5,2)&amp;"输出",标准坦克设计!$B$23:$U$23,0)))*(VLOOKUP($B107,INDIRECT($B$5&amp;"生成成长"),3))*(VLOOKUP($B$5,标准坦克设计!$B$14:$K$20,9)/30))</f>
        <v>1.8082737692069333</v>
      </c>
      <c r="I107" s="173">
        <f ca="1">(VLOOKUP(I$72,INDIRECT($C$5&amp;"生成成长"),2))/((VLOOKUP($B107,INDIRECT($B$5&amp;"生成成长"),4))/(VLOOKUP(I$72,INDIRECT($C$5&amp;"生成成长"),5))*(VLOOKUP($B$5,标准坦克设计!$B$24:$U$30,MATCH("对"&amp;LEFT($C$5,2)&amp;"输出",标准坦克设计!$B$23:$U$23,0)))*(VLOOKUP($B107,INDIRECT($B$5&amp;"生成成长"),3))*(VLOOKUP($B$5,标准坦克设计!$B$14:$K$20,9)/30))</f>
        <v>2.0662914294980537</v>
      </c>
      <c r="J107" s="173">
        <f ca="1">(VLOOKUP(J$72,INDIRECT($C$5&amp;"生成成长"),2))/((VLOOKUP($B107,INDIRECT($B$5&amp;"生成成长"),4))/(VLOOKUP(J$72,INDIRECT($C$5&amp;"生成成长"),5))*(VLOOKUP($B$5,标准坦克设计!$B$24:$U$30,MATCH("对"&amp;LEFT($C$5,2)&amp;"输出",标准坦克设计!$B$23:$U$23,0)))*(VLOOKUP($B107,INDIRECT($B$5&amp;"生成成长"),3))*(VLOOKUP($B$5,标准坦克设计!$B$14:$K$20,9)/30))</f>
        <v>2.3415102671419148</v>
      </c>
      <c r="K107" s="173">
        <f ca="1">(VLOOKUP(K$72,INDIRECT($C$5&amp;"生成成长"),2))/((VLOOKUP($B107,INDIRECT($B$5&amp;"生成成长"),4))/(VLOOKUP(K$72,INDIRECT($C$5&amp;"生成成长"),5))*(VLOOKUP($B$5,标准坦克设计!$B$24:$U$30,MATCH("对"&amp;LEFT($C$5,2)&amp;"输出",标准坦克设计!$B$23:$U$23,0)))*(VLOOKUP($B107,INDIRECT($B$5&amp;"生成成长"),3))*(VLOOKUP($B$5,标准坦克设计!$B$14:$K$20,9)/30))</f>
        <v>2.6339302821385178</v>
      </c>
      <c r="L107" s="173">
        <f ca="1">(VLOOKUP(L$72,INDIRECT($C$5&amp;"生成成长"),2))/((VLOOKUP($B107,INDIRECT($B$5&amp;"生成成长"),4))/(VLOOKUP(L$72,INDIRECT($C$5&amp;"生成成长"),5))*(VLOOKUP($B$5,标准坦克设计!$B$24:$U$30,MATCH("对"&amp;LEFT($C$5,2)&amp;"输出",标准坦克设计!$B$23:$U$23,0)))*(VLOOKUP($B107,INDIRECT($B$5&amp;"生成成长"),3))*(VLOOKUP($B$5,标准坦克设计!$B$14:$K$20,9)/30))</f>
        <v>2.9435514744878613</v>
      </c>
      <c r="M107" s="173">
        <f ca="1">(VLOOKUP(M$72,INDIRECT($C$5&amp;"生成成长"),2))/((VLOOKUP($B107,INDIRECT($B$5&amp;"生成成长"),4))/(VLOOKUP(M$72,INDIRECT($C$5&amp;"生成成长"),5))*(VLOOKUP($B$5,标准坦克设计!$B$24:$U$30,MATCH("对"&amp;LEFT($C$5,2)&amp;"输出",标准坦克设计!$B$23:$U$23,0)))*(VLOOKUP($B107,INDIRECT($B$5&amp;"生成成长"),3))*(VLOOKUP($B$5,标准坦克设计!$B$14:$K$20,9)/30))</f>
        <v>3.270373844189947</v>
      </c>
      <c r="N107" s="173">
        <f ca="1">(VLOOKUP(N$72,INDIRECT($C$5&amp;"生成成长"),2))/((VLOOKUP($B107,INDIRECT($B$5&amp;"生成成长"),4))/(VLOOKUP(N$72,INDIRECT($C$5&amp;"生成成长"),5))*(VLOOKUP($B$5,标准坦克设计!$B$24:$U$30,MATCH("对"&amp;LEFT($C$5,2)&amp;"输出",标准坦克设计!$B$23:$U$23,0)))*(VLOOKUP($B107,INDIRECT($B$5&amp;"生成成长"),3))*(VLOOKUP($B$5,标准坦克设计!$B$14:$K$20,9)/30))</f>
        <v>3.6143973912447738</v>
      </c>
      <c r="O107" s="173">
        <f ca="1">(VLOOKUP(O$72,INDIRECT($C$5&amp;"生成成长"),2))/((VLOOKUP($B107,INDIRECT($B$5&amp;"生成成长"),4))/(VLOOKUP(O$72,INDIRECT($C$5&amp;"生成成长"),5))*(VLOOKUP($B$5,标准坦克设计!$B$24:$U$30,MATCH("对"&amp;LEFT($C$5,2)&amp;"输出",标准坦克设计!$B$23:$U$23,0)))*(VLOOKUP($B107,INDIRECT($B$5&amp;"生成成长"),3))*(VLOOKUP($B$5,标准坦克设计!$B$14:$K$20,9)/30))</f>
        <v>2.7480224662984973</v>
      </c>
      <c r="P107" s="173">
        <f ca="1">(VLOOKUP(P$72,INDIRECT($C$5&amp;"生成成长"),2))/((VLOOKUP($B107,INDIRECT($B$5&amp;"生成成长"),4))/(VLOOKUP(P$72,INDIRECT($C$5&amp;"生成成长"),5))*(VLOOKUP($B$5,标准坦克设计!$B$24:$U$30,MATCH("对"&amp;LEFT($C$5,2)&amp;"输出",标准坦克设计!$B$23:$U$23,0)))*(VLOOKUP($B107,INDIRECT($B$5&amp;"生成成长"),3))*(VLOOKUP($B$5,标准坦克设计!$B$14:$K$20,9)/30))</f>
        <v>3.1048125121698118</v>
      </c>
      <c r="Q107" s="173">
        <f ca="1">(VLOOKUP(Q$72,INDIRECT($C$5&amp;"生成成长"),2))/((VLOOKUP($B107,INDIRECT($B$5&amp;"生成成长"),4))/(VLOOKUP(Q$72,INDIRECT($C$5&amp;"生成成长"),5))*(VLOOKUP($B$5,标准坦克设计!$B$24:$U$30,MATCH("对"&amp;LEFT($C$5,2)&amp;"输出",标准坦克设计!$B$23:$U$23,0)))*(VLOOKUP($B107,INDIRECT($B$5&amp;"生成成长"),3))*(VLOOKUP($B$5,标准坦克设计!$B$14:$K$20,9)/30))</f>
        <v>3.4833727981281899</v>
      </c>
      <c r="R107" s="173">
        <f ca="1">(VLOOKUP(R$72,INDIRECT($C$5&amp;"生成成长"),2))/((VLOOKUP($B107,INDIRECT($B$5&amp;"生成成长"),4))/(VLOOKUP(R$72,INDIRECT($C$5&amp;"生成成长"),5))*(VLOOKUP($B$5,标准坦克设计!$B$24:$U$30,MATCH("对"&amp;LEFT($C$5,2)&amp;"输出",标准坦克设计!$B$23:$U$23,0)))*(VLOOKUP($B107,INDIRECT($B$5&amp;"生成成长"),3))*(VLOOKUP($B$5,标准坦克设计!$B$14:$K$20,9)/30))</f>
        <v>3.8837033241736307</v>
      </c>
      <c r="S107" s="173">
        <f ca="1">(VLOOKUP(S$72,INDIRECT($C$5&amp;"生成成长"),2))/((VLOOKUP($B107,INDIRECT($B$5&amp;"生成成长"),4))/(VLOOKUP(S$72,INDIRECT($C$5&amp;"生成成长"),5))*(VLOOKUP($B$5,标准坦克设计!$B$24:$U$30,MATCH("对"&amp;LEFT($C$5,2)&amp;"输出",标准坦克设计!$B$23:$U$23,0)))*(VLOOKUP($B107,INDIRECT($B$5&amp;"生成成长"),3))*(VLOOKUP($B$5,标准坦克设计!$B$14:$K$20,9)/30))</f>
        <v>4.3058040903061352</v>
      </c>
      <c r="T107" s="173">
        <f ca="1">(VLOOKUP(T$72,INDIRECT($C$5&amp;"生成成长"),2))/((VLOOKUP($B107,INDIRECT($B$5&amp;"生成成长"),4))/(VLOOKUP(T$72,INDIRECT($C$5&amp;"生成成长"),5))*(VLOOKUP($B$5,标准坦克设计!$B$24:$U$30,MATCH("对"&amp;LEFT($C$5,2)&amp;"输出",标准坦克设计!$B$23:$U$23,0)))*(VLOOKUP($B107,INDIRECT($B$5&amp;"生成成长"),3))*(VLOOKUP($B$5,标准坦克设计!$B$14:$K$20,9)/30))</f>
        <v>4.749675096525702</v>
      </c>
      <c r="U107" s="173">
        <f ca="1">(VLOOKUP(U$72,INDIRECT($C$5&amp;"生成成长"),2))/((VLOOKUP($B107,INDIRECT($B$5&amp;"生成成长"),4))/(VLOOKUP(U$72,INDIRECT($C$5&amp;"生成成长"),5))*(VLOOKUP($B$5,标准坦克设计!$B$24:$U$30,MATCH("对"&amp;LEFT($C$5,2)&amp;"输出",标准坦克设计!$B$23:$U$23,0)))*(VLOOKUP($B107,INDIRECT($B$5&amp;"生成成长"),3))*(VLOOKUP($B$5,标准坦克设计!$B$14:$K$20,9)/30))</f>
        <v>5.2153163428323337</v>
      </c>
      <c r="V107" s="173">
        <f ca="1">(VLOOKUP(V$72,INDIRECT($C$5&amp;"生成成长"),2))/((VLOOKUP($B107,INDIRECT($B$5&amp;"生成成长"),4))/(VLOOKUP(V$72,INDIRECT($C$5&amp;"生成成长"),5))*(VLOOKUP($B$5,标准坦克设计!$B$24:$U$30,MATCH("对"&amp;LEFT($C$5,2)&amp;"输出",标准坦克设计!$B$23:$U$23,0)))*(VLOOKUP($B107,INDIRECT($B$5&amp;"生成成长"),3))*(VLOOKUP($B$5,标准坦克设计!$B$14:$K$20,9)/30))</f>
        <v>5.7027278292260259</v>
      </c>
      <c r="W107" s="173">
        <f ca="1">(VLOOKUP(W$72,INDIRECT($C$5&amp;"生成成长"),2))/((VLOOKUP($B107,INDIRECT($B$5&amp;"生成成长"),4))/(VLOOKUP(W$72,INDIRECT($C$5&amp;"生成成长"),5))*(VLOOKUP($B$5,标准坦克设计!$B$24:$U$30,MATCH("对"&amp;LEFT($C$5,2)&amp;"输出",标准坦克设计!$B$23:$U$23,0)))*(VLOOKUP($B107,INDIRECT($B$5&amp;"生成成长"),3))*(VLOOKUP($B$5,标准坦克设计!$B$14:$K$20,9)/30))</f>
        <v>6.2119095557067849</v>
      </c>
      <c r="X107" s="173">
        <f ca="1">(VLOOKUP(X$72,INDIRECT($C$5&amp;"生成成长"),2))/((VLOOKUP($B107,INDIRECT($B$5&amp;"生成成长"),4))/(VLOOKUP(X$72,INDIRECT($C$5&amp;"生成成长"),5))*(VLOOKUP($B$5,标准坦克设计!$B$24:$U$30,MATCH("对"&amp;LEFT($C$5,2)&amp;"输出",标准坦克设计!$B$23:$U$23,0)))*(VLOOKUP($B107,INDIRECT($B$5&amp;"生成成长"),3))*(VLOOKUP($B$5,标准坦克设计!$B$14:$K$20,9)/30))</f>
        <v>4.5003924091090211</v>
      </c>
      <c r="Y107" s="173">
        <f ca="1">(VLOOKUP(Y$72,INDIRECT($C$5&amp;"生成成长"),2))/((VLOOKUP($B107,INDIRECT($B$5&amp;"生成成长"),4))/(VLOOKUP(Y$72,INDIRECT($C$5&amp;"生成成长"),5))*(VLOOKUP($B$5,标准坦克设计!$B$24:$U$30,MATCH("对"&amp;LEFT($C$5,2)&amp;"输出",标准坦克设计!$B$23:$U$23,0)))*(VLOOKUP($B107,INDIRECT($B$5&amp;"生成成长"),3))*(VLOOKUP($B$5,标准坦克设计!$B$14:$K$20,9)/30))</f>
        <v>5.0056769938457988</v>
      </c>
      <c r="Z107" s="173">
        <f ca="1">(VLOOKUP(Z$72,INDIRECT($C$5&amp;"生成成长"),2))/((VLOOKUP($B107,INDIRECT($B$5&amp;"生成成长"),4))/(VLOOKUP(Z$72,INDIRECT($C$5&amp;"生成成长"),5))*(VLOOKUP($B$5,标准坦克设计!$B$24:$U$30,MATCH("对"&amp;LEFT($C$5,2)&amp;"输出",标准坦克设计!$B$23:$U$23,0)))*(VLOOKUP($B107,INDIRECT($B$5&amp;"生成成长"),3))*(VLOOKUP($B$5,标准坦克设计!$B$14:$K$20,9)/30))</f>
        <v>5.537838418196233</v>
      </c>
      <c r="AA107" s="173">
        <f ca="1">(VLOOKUP(AA$72,INDIRECT($C$5&amp;"生成成长"),2))/((VLOOKUP($B107,INDIRECT($B$5&amp;"生成成长"),4))/(VLOOKUP(AA$72,INDIRECT($C$5&amp;"生成成长"),5))*(VLOOKUP($B$5,标准坦克设计!$B$24:$U$30,MATCH("对"&amp;LEFT($C$5,2)&amp;"输出",标准坦克设计!$B$23:$U$23,0)))*(VLOOKUP($B107,INDIRECT($B$5&amp;"生成成长"),3))*(VLOOKUP($B$5,标准坦克设计!$B$14:$K$20,9)/30))</f>
        <v>6.0968766821603264</v>
      </c>
      <c r="AB107" s="173">
        <f ca="1">(VLOOKUP(AB$72,INDIRECT($C$5&amp;"生成成长"),2))/((VLOOKUP($B107,INDIRECT($B$5&amp;"生成成长"),4))/(VLOOKUP(AB$72,INDIRECT($C$5&amp;"生成成长"),5))*(VLOOKUP($B$5,标准坦克设计!$B$24:$U$30,MATCH("对"&amp;LEFT($C$5,2)&amp;"输出",标准坦克设计!$B$23:$U$23,0)))*(VLOOKUP($B107,INDIRECT($B$5&amp;"生成成长"),3))*(VLOOKUP($B$5,标准坦克设计!$B$14:$K$20,9)/30))</f>
        <v>6.6827917857380781</v>
      </c>
      <c r="AC107" s="173">
        <f ca="1">(VLOOKUP(AC$72,INDIRECT($C$5&amp;"生成成长"),2))/((VLOOKUP($B107,INDIRECT($B$5&amp;"生成成长"),4))/(VLOOKUP(AC$72,INDIRECT($C$5&amp;"生成成长"),5))*(VLOOKUP($B$5,标准坦克设计!$B$24:$U$30,MATCH("对"&amp;LEFT($C$5,2)&amp;"输出",标准坦克设计!$B$23:$U$23,0)))*(VLOOKUP($B107,INDIRECT($B$5&amp;"生成成长"),3))*(VLOOKUP($B$5,标准坦克设计!$B$14:$K$20,9)/30))</f>
        <v>7.2955837289294898</v>
      </c>
      <c r="AD107" s="173">
        <f ca="1">(VLOOKUP(AD$72,INDIRECT($C$5&amp;"生成成长"),2))/((VLOOKUP($B107,INDIRECT($B$5&amp;"生成成长"),4))/(VLOOKUP(AD$72,INDIRECT($C$5&amp;"生成成长"),5))*(VLOOKUP($B$5,标准坦克设计!$B$24:$U$30,MATCH("对"&amp;LEFT($C$5,2)&amp;"输出",标准坦克设计!$B$23:$U$23,0)))*(VLOOKUP($B107,INDIRECT($B$5&amp;"生成成长"),3))*(VLOOKUP($B$5,标准坦克设计!$B$14:$K$20,9)/30))</f>
        <v>7.935252511734558</v>
      </c>
      <c r="AE107" s="173">
        <f ca="1">(VLOOKUP(AE$72,INDIRECT($C$5&amp;"生成成长"),2))/((VLOOKUP($B107,INDIRECT($B$5&amp;"生成成长"),4))/(VLOOKUP(AE$72,INDIRECT($C$5&amp;"生成成长"),5))*(VLOOKUP($B$5,标准坦克设计!$B$24:$U$30,MATCH("对"&amp;LEFT($C$5,2)&amp;"输出",标准坦克设计!$B$23:$U$23,0)))*(VLOOKUP($B107,INDIRECT($B$5&amp;"生成成长"),3))*(VLOOKUP($B$5,标准坦克设计!$B$14:$K$20,9)/30))</f>
        <v>8.6017981341532845</v>
      </c>
      <c r="AF107" s="173">
        <f ca="1">(VLOOKUP(AF$72,INDIRECT($C$5&amp;"生成成长"),2))/((VLOOKUP($B107,INDIRECT($B$5&amp;"生成成长"),4))/(VLOOKUP(AF$72,INDIRECT($C$5&amp;"生成成长"),5))*(VLOOKUP($B$5,标准坦克设计!$B$24:$U$30,MATCH("对"&amp;LEFT($C$5,2)&amp;"输出",标准坦克设计!$B$23:$U$23,0)))*(VLOOKUP($B107,INDIRECT($B$5&amp;"生成成长"),3))*(VLOOKUP($B$5,标准坦克设计!$B$14:$K$20,9)/30))</f>
        <v>9.295220596185672</v>
      </c>
      <c r="AG107" s="173">
        <f ca="1">(VLOOKUP(AG$72,INDIRECT($C$5&amp;"生成成长"),2))/((VLOOKUP($B107,INDIRECT($B$5&amp;"生成成长"),4))/(VLOOKUP(AG$72,INDIRECT($C$5&amp;"生成成长"),5))*(VLOOKUP($B$5,标准坦克设计!$B$24:$U$30,MATCH("对"&amp;LEFT($C$5,2)&amp;"输出",标准坦克设计!$B$23:$U$23,0)))*(VLOOKUP($B107,INDIRECT($B$5&amp;"生成成长"),3))*(VLOOKUP($B$5,标准坦克设计!$B$14:$K$20,9)/30))</f>
        <v>10.015519897831714</v>
      </c>
      <c r="AH107" s="173">
        <f ca="1">(VLOOKUP(AH$72,INDIRECT($C$5&amp;"生成成长"),2))/((VLOOKUP($B107,INDIRECT($B$5&amp;"生成成长"),4))/(VLOOKUP(AH$72,INDIRECT($C$5&amp;"生成成长"),5))*(VLOOKUP($B$5,标准坦克设计!$B$24:$U$30,MATCH("对"&amp;LEFT($C$5,2)&amp;"输出",标准坦克设计!$B$23:$U$23,0)))*(VLOOKUP($B107,INDIRECT($B$5&amp;"生成成长"),3))*(VLOOKUP($B$5,标准坦克设计!$B$14:$K$20,9)/30))</f>
        <v>10.762696039091415</v>
      </c>
      <c r="AI107" s="173">
        <f ca="1">(VLOOKUP(AI$72,INDIRECT($C$5&amp;"生成成长"),2))/((VLOOKUP($B107,INDIRECT($B$5&amp;"生成成长"),4))/(VLOOKUP(AI$72,INDIRECT($C$5&amp;"生成成长"),5))*(VLOOKUP($B$5,标准坦克设计!$B$24:$U$30,MATCH("对"&amp;LEFT($C$5,2)&amp;"输出",标准坦克设计!$B$23:$U$23,0)))*(VLOOKUP($B107,INDIRECT($B$5&amp;"生成成长"),3))*(VLOOKUP($B$5,标准坦克设计!$B$14:$K$20,9)/30))</f>
        <v>7.6120585153803182</v>
      </c>
      <c r="AJ107" s="173">
        <f ca="1">(VLOOKUP(AJ$72,INDIRECT($C$5&amp;"生成成长"),2))/((VLOOKUP($B107,INDIRECT($B$5&amp;"生成成长"),4))/(VLOOKUP(AJ$72,INDIRECT($C$5&amp;"生成成长"),5))*(VLOOKUP($B$5,标准坦克设计!$B$24:$U$30,MATCH("对"&amp;LEFT($C$5,2)&amp;"输出",标准坦克设计!$B$23:$U$23,0)))*(VLOOKUP($B107,INDIRECT($B$5&amp;"生成成长"),3))*(VLOOKUP($B$5,标准坦克设计!$B$14:$K$20,9)/30))</f>
        <v>8.3319546644321534</v>
      </c>
      <c r="AK107" s="173">
        <f ca="1">(VLOOKUP(AK$72,INDIRECT($C$5&amp;"生成成长"),2))/((VLOOKUP($B107,INDIRECT($B$5&amp;"生成成长"),4))/(VLOOKUP(AK$72,INDIRECT($C$5&amp;"生成成长"),5))*(VLOOKUP($B$5,标准坦克设计!$B$24:$U$30,MATCH("对"&amp;LEFT($C$5,2)&amp;"输出",标准坦克设计!$B$23:$U$23,0)))*(VLOOKUP($B107,INDIRECT($B$5&amp;"生成成长"),3))*(VLOOKUP($B$5,标准坦克设计!$B$14:$K$20,9)/30))</f>
        <v>9.0843717894165188</v>
      </c>
      <c r="AL107" s="173">
        <f ca="1">(VLOOKUP(AL$72,INDIRECT($C$5&amp;"生成成长"),2))/((VLOOKUP($B107,INDIRECT($B$5&amp;"生成成长"),4))/(VLOOKUP(AL$72,INDIRECT($C$5&amp;"生成成长"),5))*(VLOOKUP($B$5,标准坦克设计!$B$24:$U$30,MATCH("对"&amp;LEFT($C$5,2)&amp;"输出",标准坦克设计!$B$23:$U$23,0)))*(VLOOKUP($B107,INDIRECT($B$5&amp;"生成成长"),3))*(VLOOKUP($B$5,标准坦克设计!$B$14:$K$20,9)/30))</f>
        <v>9.8693098903334118</v>
      </c>
      <c r="AM107" s="173">
        <f ca="1">(VLOOKUP(AM$72,INDIRECT($C$5&amp;"生成成长"),2))/((VLOOKUP($B107,INDIRECT($B$5&amp;"生成成长"),4))/(VLOOKUP(AM$72,INDIRECT($C$5&amp;"生成成长"),5))*(VLOOKUP($B$5,标准坦克设计!$B$24:$U$30,MATCH("对"&amp;LEFT($C$5,2)&amp;"输出",标准坦克设计!$B$23:$U$23,0)))*(VLOOKUP($B107,INDIRECT($B$5&amp;"生成成长"),3))*(VLOOKUP($B$5,标准坦克设计!$B$14:$K$20,9)/30))</f>
        <v>10.686768967182832</v>
      </c>
      <c r="AN107" s="173">
        <f ca="1">(VLOOKUP(AN$72,INDIRECT($C$5&amp;"生成成长"),2))/((VLOOKUP($B107,INDIRECT($B$5&amp;"生成成长"),4))/(VLOOKUP(AN$72,INDIRECT($C$5&amp;"生成成长"),5))*(VLOOKUP($B$5,标准坦克设计!$B$24:$U$30,MATCH("对"&amp;LEFT($C$5,2)&amp;"输出",标准坦克设计!$B$23:$U$23,0)))*(VLOOKUP($B107,INDIRECT($B$5&amp;"生成成长"),3))*(VLOOKUP($B$5,标准坦克设计!$B$14:$K$20,9)/30))</f>
        <v>11.536749019964777</v>
      </c>
      <c r="AO107" s="173">
        <f ca="1">(VLOOKUP(AO$72,INDIRECT($C$5&amp;"生成成长"),2))/((VLOOKUP($B107,INDIRECT($B$5&amp;"生成成长"),4))/(VLOOKUP(AO$72,INDIRECT($C$5&amp;"生成成长"),5))*(VLOOKUP($B$5,标准坦克设计!$B$24:$U$30,MATCH("对"&amp;LEFT($C$5,2)&amp;"输出",标准坦克设计!$B$23:$U$23,0)))*(VLOOKUP($B107,INDIRECT($B$5&amp;"生成成长"),3))*(VLOOKUP($B$5,标准坦克设计!$B$14:$K$20,9)/30))</f>
        <v>12.419250048679247</v>
      </c>
      <c r="AP107" s="173">
        <f ca="1">(VLOOKUP(AP$72,INDIRECT($C$5&amp;"生成成长"),2))/((VLOOKUP($B107,INDIRECT($B$5&amp;"生成成长"),4))/(VLOOKUP(AP$72,INDIRECT($C$5&amp;"生成成长"),5))*(VLOOKUP($B$5,标准坦克设计!$B$24:$U$30,MATCH("对"&amp;LEFT($C$5,2)&amp;"输出",标准坦克设计!$B$23:$U$23,0)))*(VLOOKUP($B107,INDIRECT($B$5&amp;"生成成长"),3))*(VLOOKUP($B$5,标准坦克设计!$B$14:$K$20,9)/30))</f>
        <v>13.334272053326245</v>
      </c>
      <c r="AQ107" s="173">
        <f ca="1">(VLOOKUP(AQ$72,INDIRECT($C$5&amp;"生成成长"),2))/((VLOOKUP($B107,INDIRECT($B$5&amp;"生成成长"),4))/(VLOOKUP(AQ$72,INDIRECT($C$5&amp;"生成成长"),5))*(VLOOKUP($B$5,标准坦克设计!$B$24:$U$30,MATCH("对"&amp;LEFT($C$5,2)&amp;"输出",标准坦克设计!$B$23:$U$23,0)))*(VLOOKUP($B107,INDIRECT($B$5&amp;"生成成长"),3))*(VLOOKUP($B$5,标准坦克设计!$B$14:$K$20,9)/30))</f>
        <v>14.281815033905771</v>
      </c>
      <c r="AR107" s="173">
        <f ca="1">(VLOOKUP(AR$72,INDIRECT($C$5&amp;"生成成长"),2))/((VLOOKUP($B107,INDIRECT($B$5&amp;"生成成长"),4))/(VLOOKUP(AR$72,INDIRECT($C$5&amp;"生成成长"),5))*(VLOOKUP($B$5,标准坦克设计!$B$24:$U$30,MATCH("对"&amp;LEFT($C$5,2)&amp;"输出",标准坦克设计!$B$23:$U$23,0)))*(VLOOKUP($B107,INDIRECT($B$5&amp;"生成成长"),3))*(VLOOKUP($B$5,标准坦克设计!$B$14:$K$20,9)/30))</f>
        <v>15.261878990417824</v>
      </c>
      <c r="AS107" s="173">
        <f ca="1">(VLOOKUP(AS$72,INDIRECT($C$5&amp;"生成成长"),2))/((VLOOKUP($B107,INDIRECT($B$5&amp;"生成成长"),4))/(VLOOKUP(AS$72,INDIRECT($C$5&amp;"生成成长"),5))*(VLOOKUP($B$5,标准坦克设计!$B$24:$U$30,MATCH("对"&amp;LEFT($C$5,2)&amp;"输出",标准坦克设计!$B$23:$U$23,0)))*(VLOOKUP($B107,INDIRECT($B$5&amp;"生成成长"),3))*(VLOOKUP($B$5,标准坦克设计!$B$14:$K$20,9)/30))</f>
        <v>16.274463922862399</v>
      </c>
      <c r="AT107" s="173">
        <f ca="1">(VLOOKUP(AT$72,INDIRECT($C$5&amp;"生成成长"),2))/((VLOOKUP($B107,INDIRECT($B$5&amp;"生成成长"),4))/(VLOOKUP(AT$72,INDIRECT($C$5&amp;"生成成长"),5))*(VLOOKUP($B$5,标准坦克设计!$B$24:$U$30,MATCH("对"&amp;LEFT($C$5,2)&amp;"输出",标准坦克设计!$B$23:$U$23,0)))*(VLOOKUP($B107,INDIRECT($B$5&amp;"生成成长"),3))*(VLOOKUP($B$5,标准坦克设计!$B$14:$K$20,9)/30))</f>
        <v>17.319569831239509</v>
      </c>
      <c r="AU107" s="173">
        <f ca="1">(VLOOKUP(AU$72,INDIRECT($C$5&amp;"生成成长"),2))/((VLOOKUP($B107,INDIRECT($B$5&amp;"生成成长"),4))/(VLOOKUP(AU$72,INDIRECT($C$5&amp;"生成成长"),5))*(VLOOKUP($B$5,标准坦克设计!$B$24:$U$30,MATCH("对"&amp;LEFT($C$5,2)&amp;"输出",标准坦克设计!$B$23:$U$23,0)))*(VLOOKUP($B107,INDIRECT($B$5&amp;"生成成长"),3))*(VLOOKUP($B$5,标准坦克设计!$B$14:$K$20,9)/30))</f>
        <v>18.397196715549136</v>
      </c>
      <c r="AV107" s="173">
        <f ca="1">(VLOOKUP(AV$72,INDIRECT($C$5&amp;"生成成长"),2))/((VLOOKUP($B107,INDIRECT($B$5&amp;"生成成长"),4))/(VLOOKUP(AV$72,INDIRECT($C$5&amp;"生成成长"),5))*(VLOOKUP($B$5,标准坦克设计!$B$24:$U$30,MATCH("对"&amp;LEFT($C$5,2)&amp;"输出",标准坦克设计!$B$23:$U$23,0)))*(VLOOKUP($B107,INDIRECT($B$5&amp;"生成成长"),3))*(VLOOKUP($B$5,标准坦克设计!$B$14:$K$20,9)/30))</f>
        <v>1.8711655739028941</v>
      </c>
      <c r="AW107" s="173">
        <f ca="1">(VLOOKUP(AW$72,INDIRECT($C$5&amp;"生成成长"),2))/((VLOOKUP($B107,INDIRECT($B$5&amp;"生成成长"),4))/(VLOOKUP(AW$72,INDIRECT($C$5&amp;"生成成长"),5))*(VLOOKUP($B$5,标准坦克设计!$B$24:$U$30,MATCH("对"&amp;LEFT($C$5,2)&amp;"输出",标准坦克设计!$B$23:$U$23,0)))*(VLOOKUP($B107,INDIRECT($B$5&amp;"生成成长"),3))*(VLOOKUP($B$5,标准坦克设计!$B$14:$K$20,9)/30))</f>
        <v>2.1334835285321989</v>
      </c>
      <c r="AX107" s="173">
        <f ca="1">(VLOOKUP(AX$72,INDIRECT($C$5&amp;"生成成长"),2))/((VLOOKUP($B107,INDIRECT($B$5&amp;"生成成长"),4))/(VLOOKUP(AX$72,INDIRECT($C$5&amp;"生成成长"),5))*(VLOOKUP($B$5,标准坦克设计!$B$24:$U$30,MATCH("对"&amp;LEFT($C$5,2)&amp;"输出",标准坦克设计!$B$23:$U$23,0)))*(VLOOKUP($B107,INDIRECT($B$5&amp;"生成成长"),3))*(VLOOKUP($B$5,标准坦克设计!$B$14:$K$20,9)/30))</f>
        <v>2.4130026605142461</v>
      </c>
      <c r="AY107" s="173">
        <f ca="1">(VLOOKUP(AY$72,INDIRECT($C$5&amp;"生成成长"),2))/((VLOOKUP($B107,INDIRECT($B$5&amp;"生成成长"),4))/(VLOOKUP(AY$72,INDIRECT($C$5&amp;"生成成长"),5))*(VLOOKUP($B$5,标准坦克设计!$B$24:$U$30,MATCH("对"&amp;LEFT($C$5,2)&amp;"输出",标准坦克设计!$B$23:$U$23,0)))*(VLOOKUP($B107,INDIRECT($B$5&amp;"生成成长"),3))*(VLOOKUP($B$5,标准坦克设计!$B$14:$K$20,9)/30))</f>
        <v>2.7097229698490342</v>
      </c>
      <c r="AZ107" s="173">
        <f ca="1">(VLOOKUP(AZ$72,INDIRECT($C$5&amp;"生成成长"),2))/((VLOOKUP($B107,INDIRECT($B$5&amp;"生成成长"),4))/(VLOOKUP(AZ$72,INDIRECT($C$5&amp;"生成成长"),5))*(VLOOKUP($B$5,标准坦克设计!$B$24:$U$30,MATCH("对"&amp;LEFT($C$5,2)&amp;"输出",标准坦克设计!$B$23:$U$23,0)))*(VLOOKUP($B107,INDIRECT($B$5&amp;"生成成长"),3))*(VLOOKUP($B$5,标准坦克设计!$B$14:$K$20,9)/30))</f>
        <v>3.0236444565365632</v>
      </c>
      <c r="BA107" s="173">
        <f ca="1">(VLOOKUP(BA$72,INDIRECT($C$5&amp;"生成成长"),2))/((VLOOKUP($B107,INDIRECT($B$5&amp;"生成成长"),4))/(VLOOKUP(BA$72,INDIRECT($C$5&amp;"生成成长"),5))*(VLOOKUP($B$5,标准坦克设计!$B$24:$U$30,MATCH("对"&amp;LEFT($C$5,2)&amp;"输出",标准坦克设计!$B$23:$U$23,0)))*(VLOOKUP($B107,INDIRECT($B$5&amp;"生成成长"),3))*(VLOOKUP($B$5,标准坦克设计!$B$14:$K$20,9)/30))</f>
        <v>3.3547671205768337</v>
      </c>
      <c r="BB107" s="173">
        <f ca="1">(VLOOKUP(BB$72,INDIRECT($C$5&amp;"生成成长"),2))/((VLOOKUP($B107,INDIRECT($B$5&amp;"生成成长"),4))/(VLOOKUP(BB$72,INDIRECT($C$5&amp;"生成成长"),5))*(VLOOKUP($B$5,标准坦克设计!$B$24:$U$30,MATCH("对"&amp;LEFT($C$5,2)&amp;"输出",标准坦克设计!$B$23:$U$23,0)))*(VLOOKUP($B107,INDIRECT($B$5&amp;"生成成长"),3))*(VLOOKUP($B$5,标准坦克设计!$B$14:$K$20,9)/30))</f>
        <v>3.7030909619698464</v>
      </c>
      <c r="BC107" s="173">
        <f ca="1">(VLOOKUP(BC$72,INDIRECT($C$5&amp;"生成成长"),2))/((VLOOKUP($B107,INDIRECT($B$5&amp;"生成成长"),4))/(VLOOKUP(BC$72,INDIRECT($C$5&amp;"生成成长"),5))*(VLOOKUP($B$5,标准坦克设计!$B$24:$U$30,MATCH("对"&amp;LEFT($C$5,2)&amp;"输出",标准坦克设计!$B$23:$U$23,0)))*(VLOOKUP($B107,INDIRECT($B$5&amp;"生成成长"),3))*(VLOOKUP($B$5,标准坦克设计!$B$14:$K$20,9)/30))</f>
        <v>4.0686159807155997</v>
      </c>
      <c r="BD107" s="173">
        <f ca="1">(VLOOKUP(BD$72,INDIRECT($C$5&amp;"生成成长"),2))/((VLOOKUP($B107,INDIRECT($B$5&amp;"生成成长"),4))/(VLOOKUP(BD$72,INDIRECT($C$5&amp;"生成成长"),5))*(VLOOKUP($B$5,标准坦克设计!$B$24:$U$30,MATCH("对"&amp;LEFT($C$5,2)&amp;"输出",标准坦克设计!$B$23:$U$23,0)))*(VLOOKUP($B107,INDIRECT($B$5&amp;"生成成长"),3))*(VLOOKUP($B$5,标准坦克设计!$B$14:$K$20,9)/30))</f>
        <v>4.5003924091090211</v>
      </c>
      <c r="BE107" s="173">
        <f ca="1">(VLOOKUP(BE$72,INDIRECT($C$5&amp;"生成成长"),2))/((VLOOKUP($B107,INDIRECT($B$5&amp;"生成成长"),4))/(VLOOKUP(BE$72,INDIRECT($C$5&amp;"生成成长"),5))*(VLOOKUP($B$5,标准坦克设计!$B$24:$U$30,MATCH("对"&amp;LEFT($C$5,2)&amp;"输出",标准坦克设计!$B$23:$U$23,0)))*(VLOOKUP($B107,INDIRECT($B$5&amp;"生成成长"),3))*(VLOOKUP($B$5,标准坦克设计!$B$14:$K$20,9)/30))</f>
        <v>4.9539390775895056</v>
      </c>
      <c r="BF107" s="173">
        <f ca="1">(VLOOKUP(BF$72,INDIRECT($C$5&amp;"生成成长"),2))/((VLOOKUP($B107,INDIRECT($B$5&amp;"生成成长"),4))/(VLOOKUP(BF$72,INDIRECT($C$5&amp;"生成成长"),5))*(VLOOKUP($B$5,标准坦克设计!$B$24:$U$30,MATCH("对"&amp;LEFT($C$5,2)&amp;"输出",标准坦克设计!$B$23:$U$23,0)))*(VLOOKUP($B107,INDIRECT($B$5&amp;"生成成长"),3))*(VLOOKUP($B$5,标准坦克设计!$B$14:$K$20,9)/30))</f>
        <v>5.4292559861570524</v>
      </c>
      <c r="BG107" s="173">
        <f ca="1">(VLOOKUP(BG$72,INDIRECT($C$5&amp;"生成成长"),2))/((VLOOKUP($B107,INDIRECT($B$5&amp;"生成成长"),4))/(VLOOKUP(BG$72,INDIRECT($C$5&amp;"生成成长"),5))*(VLOOKUP($B$5,标准坦克设计!$B$24:$U$30,MATCH("对"&amp;LEFT($C$5,2)&amp;"输出",标准坦克设计!$B$23:$U$23,0)))*(VLOOKUP($B107,INDIRECT($B$5&amp;"生成成长"),3))*(VLOOKUP($B$5,标准坦克设计!$B$14:$K$20,9)/30))</f>
        <v>5.9263431348116651</v>
      </c>
      <c r="BH107" s="173">
        <f ca="1">(VLOOKUP(BH$72,INDIRECT($C$5&amp;"生成成长"),2))/((VLOOKUP($B107,INDIRECT($B$5&amp;"生成成长"),4))/(VLOOKUP(BH$72,INDIRECT($C$5&amp;"生成成长"),5))*(VLOOKUP($B$5,标准坦克设计!$B$24:$U$30,MATCH("对"&amp;LEFT($C$5,2)&amp;"输出",标准坦克设计!$B$23:$U$23,0)))*(VLOOKUP($B107,INDIRECT($B$5&amp;"生成成长"),3))*(VLOOKUP($B$5,标准坦克设计!$B$14:$K$20,9)/30))</f>
        <v>2.8645335660237063</v>
      </c>
      <c r="BI107" s="173">
        <f ca="1">(VLOOKUP(BI$72,INDIRECT($C$5&amp;"生成成长"),2))/((VLOOKUP($B107,INDIRECT($B$5&amp;"生成成长"),4))/(VLOOKUP(BI$72,INDIRECT($C$5&amp;"生成成长"),5))*(VLOOKUP($B$5,标准坦克设计!$B$24:$U$30,MATCH("对"&amp;LEFT($C$5,2)&amp;"输出",标准坦克设计!$B$23:$U$23,0)))*(VLOOKUP($B107,INDIRECT($B$5&amp;"生成成长"),3))*(VLOOKUP($B$5,标准坦克设计!$B$14:$K$20,9)/30))</f>
        <v>3.2285803585907087</v>
      </c>
      <c r="BJ107" s="173">
        <f ca="1">(VLOOKUP(BJ$72,INDIRECT($C$5&amp;"生成成长"),2))/((VLOOKUP($B107,INDIRECT($B$5&amp;"生成成长"),4))/(VLOOKUP(BJ$72,INDIRECT($C$5&amp;"生成成长"),5))*(VLOOKUP($B$5,标准坦克设计!$B$24:$U$30,MATCH("对"&amp;LEFT($C$5,2)&amp;"输出",标准坦克设计!$B$23:$U$23,0)))*(VLOOKUP($B107,INDIRECT($B$5&amp;"生成成长"),3))*(VLOOKUP($B$5,标准坦克设计!$B$14:$K$20,9)/30))</f>
        <v>3.6143973912447738</v>
      </c>
      <c r="BK107" s="173">
        <f ca="1">(VLOOKUP(BK$72,INDIRECT($C$5&amp;"生成成长"),2))/((VLOOKUP($B107,INDIRECT($B$5&amp;"生成成长"),4))/(VLOOKUP(BK$72,INDIRECT($C$5&amp;"生成成长"),5))*(VLOOKUP($B$5,标准坦克设计!$B$24:$U$30,MATCH("对"&amp;LEFT($C$5,2)&amp;"输出",标准坦克设计!$B$23:$U$23,0)))*(VLOOKUP($B107,INDIRECT($B$5&amp;"生成成长"),3))*(VLOOKUP($B$5,标准坦克设计!$B$14:$K$20,9)/30))</f>
        <v>4.0219846639859025</v>
      </c>
      <c r="BL107" s="173">
        <f ca="1">(VLOOKUP(BL$72,INDIRECT($C$5&amp;"生成成长"),2))/((VLOOKUP($B107,INDIRECT($B$5&amp;"生成成长"),4))/(VLOOKUP(BL$72,INDIRECT($C$5&amp;"生成成长"),5))*(VLOOKUP($B$5,标准坦克设计!$B$24:$U$30,MATCH("对"&amp;LEFT($C$5,2)&amp;"输出",标准坦克设计!$B$23:$U$23,0)))*(VLOOKUP($B107,INDIRECT($B$5&amp;"生成成长"),3))*(VLOOKUP($B$5,标准坦克设计!$B$14:$K$20,9)/30))</f>
        <v>4.4513421768140953</v>
      </c>
      <c r="BM107" s="173">
        <f ca="1">(VLOOKUP(BM$72,INDIRECT($C$5&amp;"生成成长"),2))/((VLOOKUP($B107,INDIRECT($B$5&amp;"生成成长"),4))/(VLOOKUP(BM$72,INDIRECT($C$5&amp;"生成成长"),5))*(VLOOKUP($B$5,标准坦克设计!$B$24:$U$30,MATCH("对"&amp;LEFT($C$5,2)&amp;"输出",标准坦克设计!$B$23:$U$23,0)))*(VLOOKUP($B107,INDIRECT($B$5&amp;"生成成长"),3))*(VLOOKUP($B$5,标准坦克设计!$B$14:$K$20,9)/30))</f>
        <v>4.9024699297293495</v>
      </c>
      <c r="BN107" s="173">
        <f ca="1">(VLOOKUP(BN$72,INDIRECT($C$5&amp;"生成成长"),2))/((VLOOKUP($B107,INDIRECT($B$5&amp;"生成成长"),4))/(VLOOKUP(BN$72,INDIRECT($C$5&amp;"生成成长"),5))*(VLOOKUP($B$5,标准坦克设计!$B$24:$U$30,MATCH("对"&amp;LEFT($C$5,2)&amp;"输出",标准坦克设计!$B$23:$U$23,0)))*(VLOOKUP($B107,INDIRECT($B$5&amp;"生成成长"),3))*(VLOOKUP($B$5,标准坦克设计!$B$14:$K$20,9)/30))</f>
        <v>5.3753679227316686</v>
      </c>
      <c r="BO107" s="173">
        <f ca="1">(VLOOKUP(BO$72,INDIRECT($C$5&amp;"生成成长"),2))/((VLOOKUP($B107,INDIRECT($B$5&amp;"生成成长"),4))/(VLOOKUP(BO$72,INDIRECT($C$5&amp;"生成成长"),5))*(VLOOKUP($B$5,标准坦克设计!$B$24:$U$30,MATCH("对"&amp;LEFT($C$5,2)&amp;"输出",标准坦克设计!$B$23:$U$23,0)))*(VLOOKUP($B107,INDIRECT($B$5&amp;"生成成长"),3))*(VLOOKUP($B$5,标准坦克设计!$B$14:$K$20,9)/30))</f>
        <v>5.8700361558210501</v>
      </c>
      <c r="BP107" s="173">
        <f ca="1">(VLOOKUP(BP$72,INDIRECT($C$5&amp;"生成成长"),2))/((VLOOKUP($B107,INDIRECT($B$5&amp;"生成成长"),4))/(VLOOKUP(BP$72,INDIRECT($C$5&amp;"生成成长"),5))*(VLOOKUP($B$5,标准坦克设计!$B$24:$U$30,MATCH("对"&amp;LEFT($C$5,2)&amp;"输出",标准坦克设计!$B$23:$U$23,0)))*(VLOOKUP($B107,INDIRECT($B$5&amp;"生成成长"),3))*(VLOOKUP($B$5,标准坦克设计!$B$14:$K$20,9)/30))</f>
        <v>6.3864746289974956</v>
      </c>
      <c r="BQ107" s="173">
        <f ca="1">(VLOOKUP(BQ$72,INDIRECT($C$5&amp;"生成成长"),2))/((VLOOKUP($B107,INDIRECT($B$5&amp;"生成成长"),4))/(VLOOKUP(BQ$72,INDIRECT($C$5&amp;"生成成长"),5))*(VLOOKUP($B$5,标准坦克设计!$B$24:$U$30,MATCH("对"&amp;LEFT($C$5,2)&amp;"输出",标准坦克设计!$B$23:$U$23,0)))*(VLOOKUP($B107,INDIRECT($B$5&amp;"生成成长"),3))*(VLOOKUP($B$5,标准坦克设计!$B$14:$K$20,9)/30))</f>
        <v>6.9246833422610035</v>
      </c>
      <c r="BR107" s="173">
        <f ca="1">(VLOOKUP(BR$72,INDIRECT($C$5&amp;"生成成长"),2))/((VLOOKUP($B107,INDIRECT($B$5&amp;"生成成长"),4))/(VLOOKUP(BR$72,INDIRECT($C$5&amp;"生成成长"),5))*(VLOOKUP($B$5,标准坦克设计!$B$24:$U$30,MATCH("对"&amp;LEFT($C$5,2)&amp;"输出",标准坦克设计!$B$23:$U$23,0)))*(VLOOKUP($B107,INDIRECT($B$5&amp;"生成成长"),3))*(VLOOKUP($B$5,标准坦克设计!$B$14:$K$20,9)/30))</f>
        <v>7.5482260212978778</v>
      </c>
      <c r="BS107" s="173">
        <f ca="1">(VLOOKUP(BS$72,INDIRECT($C$5&amp;"生成成长"),2))/((VLOOKUP($B107,INDIRECT($B$5&amp;"生成成长"),4))/(VLOOKUP(BS$72,INDIRECT($C$5&amp;"生成成长"),5))*(VLOOKUP($B$5,标准坦克设计!$B$24:$U$30,MATCH("对"&amp;LEFT($C$5,2)&amp;"输出",标准坦克设计!$B$23:$U$23,0)))*(VLOOKUP($B107,INDIRECT($B$5&amp;"生成成长"),3))*(VLOOKUP($B$5,标准坦克设计!$B$14:$K$20,9)/30))</f>
        <v>8.1986455399484086</v>
      </c>
      <c r="BT107" s="173">
        <f ca="1">(VLOOKUP(BT$72,INDIRECT($C$5&amp;"生成成长"),2))/((VLOOKUP($B107,INDIRECT($B$5&amp;"生成成长"),4))/(VLOOKUP(BT$72,INDIRECT($C$5&amp;"生成成长"),5))*(VLOOKUP($B$5,标准坦克设计!$B$24:$U$30,MATCH("对"&amp;LEFT($C$5,2)&amp;"输出",标准坦克设计!$B$23:$U$23,0)))*(VLOOKUP($B107,INDIRECT($B$5&amp;"生成成长"),3))*(VLOOKUP($B$5,标准坦克设计!$B$14:$K$20,9)/30))</f>
        <v>8.8759418982126004</v>
      </c>
      <c r="BU107" s="173">
        <f ca="1">(VLOOKUP(BU$72,INDIRECT($C$5&amp;"生成成长"),2))/((VLOOKUP($B107,INDIRECT($B$5&amp;"生成成长"),4))/(VLOOKUP(BU$72,INDIRECT($C$5&amp;"生成成长"),5))*(VLOOKUP($B$5,标准坦克设计!$B$24:$U$30,MATCH("对"&amp;LEFT($C$5,2)&amp;"输出",标准坦克设计!$B$23:$U$23,0)))*(VLOOKUP($B107,INDIRECT($B$5&amp;"生成成长"),3))*(VLOOKUP($B$5,标准坦克设计!$B$14:$K$20,9)/30))</f>
        <v>9.5801150960904469</v>
      </c>
      <c r="BV107" s="173">
        <f ca="1">(VLOOKUP(BV$72,INDIRECT($C$5&amp;"生成成长"),2))/((VLOOKUP($B107,INDIRECT($B$5&amp;"生成成长"),4))/(VLOOKUP(BV$72,INDIRECT($C$5&amp;"生成成长"),5))*(VLOOKUP($B$5,标准坦克设计!$B$24:$U$30,MATCH("对"&amp;LEFT($C$5,2)&amp;"输出",标准坦克设计!$B$23:$U$23,0)))*(VLOOKUP($B107,INDIRECT($B$5&amp;"生成成长"),3))*(VLOOKUP($B$5,标准坦克设计!$B$14:$K$20,9)/30))</f>
        <v>10.311165133581957</v>
      </c>
      <c r="BW107" s="173">
        <f ca="1">(VLOOKUP(BW$72,INDIRECT($C$5&amp;"生成成长"),2))/((VLOOKUP($B107,INDIRECT($B$5&amp;"生成成长"),4))/(VLOOKUP(BW$72,INDIRECT($C$5&amp;"生成成长"),5))*(VLOOKUP($B$5,标准坦克设计!$B$24:$U$30,MATCH("对"&amp;LEFT($C$5,2)&amp;"输出",标准坦克设计!$B$23:$U$23,0)))*(VLOOKUP($B107,INDIRECT($B$5&amp;"生成成长"),3))*(VLOOKUP($B$5,标准坦克设计!$B$14:$K$20,9)/30))</f>
        <v>4.6992810222500934</v>
      </c>
      <c r="BX107" s="173">
        <f ca="1">(VLOOKUP(BX$72,INDIRECT($C$5&amp;"生成成长"),2))/((VLOOKUP($B107,INDIRECT($B$5&amp;"生成成长"),4))/(VLOOKUP(BX$72,INDIRECT($C$5&amp;"生成成长"),5))*(VLOOKUP($B$5,标准坦克设计!$B$24:$U$30,MATCH("对"&amp;LEFT($C$5,2)&amp;"输出",标准坦克设计!$B$23:$U$23,0)))*(VLOOKUP($B107,INDIRECT($B$5&amp;"生成成长"),3))*(VLOOKUP($B$5,标准坦克设计!$B$14:$K$20,9)/30))</f>
        <v>5.2153163428323337</v>
      </c>
      <c r="BY107" s="173">
        <f ca="1">(VLOOKUP(BY$72,INDIRECT($C$5&amp;"生成成长"),2))/((VLOOKUP($B107,INDIRECT($B$5&amp;"生成成长"),4))/(VLOOKUP(BY$72,INDIRECT($C$5&amp;"生成成长"),5))*(VLOOKUP($B$5,标准坦克设计!$B$24:$U$30,MATCH("对"&amp;LEFT($C$5,2)&amp;"输出",标准坦克设计!$B$23:$U$23,0)))*(VLOOKUP($B107,INDIRECT($B$5&amp;"生成成长"),3))*(VLOOKUP($B$5,标准坦克设计!$B$14:$K$20,9)/30))</f>
        <v>5.7582285030282314</v>
      </c>
      <c r="BZ107" s="173">
        <f ca="1">(VLOOKUP(BZ$72,INDIRECT($C$5&amp;"生成成长"),2))/((VLOOKUP($B107,INDIRECT($B$5&amp;"生成成长"),4))/(VLOOKUP(BZ$72,INDIRECT($C$5&amp;"生成成长"),5))*(VLOOKUP($B$5,标准坦克设计!$B$24:$U$30,MATCH("对"&amp;LEFT($C$5,2)&amp;"输出",标准坦克设计!$B$23:$U$23,0)))*(VLOOKUP($B107,INDIRECT($B$5&amp;"生成成长"),3))*(VLOOKUP($B$5,标准坦克设计!$B$14:$K$20,9)/30))</f>
        <v>6.3280175028377892</v>
      </c>
      <c r="CA107" s="173">
        <f ca="1">(VLOOKUP(CA$72,INDIRECT($C$5&amp;"生成成长"),2))/((VLOOKUP($B107,INDIRECT($B$5&amp;"生成成长"),4))/(VLOOKUP(CA$72,INDIRECT($C$5&amp;"生成成长"),5))*(VLOOKUP($B$5,标准坦克设计!$B$24:$U$30,MATCH("对"&amp;LEFT($C$5,2)&amp;"输出",标准坦克设计!$B$23:$U$23,0)))*(VLOOKUP($B107,INDIRECT($B$5&amp;"生成成长"),3))*(VLOOKUP($B$5,标准坦克设计!$B$14:$K$20,9)/30))</f>
        <v>6.9246833422610035</v>
      </c>
      <c r="CB107" s="173">
        <f ca="1">(VLOOKUP(CB$72,INDIRECT($C$5&amp;"生成成长"),2))/((VLOOKUP($B107,INDIRECT($B$5&amp;"生成成长"),4))/(VLOOKUP(CB$72,INDIRECT($C$5&amp;"生成成长"),5))*(VLOOKUP($B$5,标准坦克设计!$B$24:$U$30,MATCH("对"&amp;LEFT($C$5,2)&amp;"输出",标准坦克设计!$B$23:$U$23,0)))*(VLOOKUP($B107,INDIRECT($B$5&amp;"生成成长"),3))*(VLOOKUP($B$5,标准坦克设计!$B$14:$K$20,9)/30))</f>
        <v>7.5482260212978778</v>
      </c>
      <c r="CC107" s="173">
        <f ca="1">(VLOOKUP(CC$72,INDIRECT($C$5&amp;"生成成长"),2))/((VLOOKUP($B107,INDIRECT($B$5&amp;"生成成长"),4))/(VLOOKUP(CC$72,INDIRECT($C$5&amp;"生成成长"),5))*(VLOOKUP($B$5,标准坦克设计!$B$24:$U$30,MATCH("对"&amp;LEFT($C$5,2)&amp;"输出",标准坦克设计!$B$23:$U$23,0)))*(VLOOKUP($B107,INDIRECT($B$5&amp;"生成成长"),3))*(VLOOKUP($B$5,标准坦克设计!$B$14:$K$20,9)/30))</f>
        <v>8.1986455399484086</v>
      </c>
      <c r="CD107" s="173">
        <f ca="1">(VLOOKUP(CD$72,INDIRECT($C$5&amp;"生成成长"),2))/((VLOOKUP($B107,INDIRECT($B$5&amp;"生成成长"),4))/(VLOOKUP(CD$72,INDIRECT($C$5&amp;"生成成长"),5))*(VLOOKUP($B$5,标准坦克设计!$B$24:$U$30,MATCH("对"&amp;LEFT($C$5,2)&amp;"输出",标准坦克设计!$B$23:$U$23,0)))*(VLOOKUP($B107,INDIRECT($B$5&amp;"生成成长"),3))*(VLOOKUP($B$5,标准坦克设计!$B$14:$K$20,9)/30))</f>
        <v>8.8759418982126004</v>
      </c>
      <c r="CE107" s="173">
        <f ca="1">(VLOOKUP(CE$72,INDIRECT($C$5&amp;"生成成长"),2))/((VLOOKUP($B107,INDIRECT($B$5&amp;"生成成长"),4))/(VLOOKUP(CE$72,INDIRECT($C$5&amp;"生成成长"),5))*(VLOOKUP($B$5,标准坦克设计!$B$24:$U$30,MATCH("对"&amp;LEFT($C$5,2)&amp;"输出",标准坦克设计!$B$23:$U$23,0)))*(VLOOKUP($B107,INDIRECT($B$5&amp;"生成成长"),3))*(VLOOKUP($B$5,标准坦克设计!$B$14:$K$20,9)/30))</f>
        <v>9.5801150960904469</v>
      </c>
      <c r="CF107" s="173">
        <f ca="1">(VLOOKUP(CF$72,INDIRECT($C$5&amp;"生成成长"),2))/((VLOOKUP($B107,INDIRECT($B$5&amp;"生成成长"),4))/(VLOOKUP(CF$72,INDIRECT($C$5&amp;"生成成长"),5))*(VLOOKUP($B$5,标准坦克设计!$B$24:$U$30,MATCH("对"&amp;LEFT($C$5,2)&amp;"输出",标准坦克设计!$B$23:$U$23,0)))*(VLOOKUP($B107,INDIRECT($B$5&amp;"生成成长"),3))*(VLOOKUP($B$5,标准坦克设计!$B$14:$K$20,9)/30))</f>
        <v>10.311165133581957</v>
      </c>
      <c r="CG107" s="173">
        <f ca="1">(VLOOKUP(CG$72,INDIRECT($C$5&amp;"生成成长"),2))/((VLOOKUP($B107,INDIRECT($B$5&amp;"生成成长"),4))/(VLOOKUP(CG$72,INDIRECT($C$5&amp;"生成成长"),5))*(VLOOKUP($B$5,标准坦克设计!$B$24:$U$30,MATCH("对"&amp;LEFT($C$5,2)&amp;"输出",标准坦克设计!$B$23:$U$23,0)))*(VLOOKUP($B107,INDIRECT($B$5&amp;"生成成长"),3))*(VLOOKUP($B$5,标准坦克设计!$B$14:$K$20,9)/30))</f>
        <v>11.069092010687122</v>
      </c>
      <c r="CH107" s="173">
        <f ca="1">(VLOOKUP(CH$72,INDIRECT($C$5&amp;"生成成长"),2))/((VLOOKUP($B107,INDIRECT($B$5&amp;"生成成长"),4))/(VLOOKUP(CH$72,INDIRECT($C$5&amp;"生成成长"),5))*(VLOOKUP($B$5,标准坦克设计!$B$24:$U$30,MATCH("对"&amp;LEFT($C$5,2)&amp;"输出",标准坦克设计!$B$23:$U$23,0)))*(VLOOKUP($B107,INDIRECT($B$5&amp;"生成成长"),3))*(VLOOKUP($B$5,标准坦克设计!$B$14:$K$20,9)/30))</f>
        <v>11.853895727405943</v>
      </c>
      <c r="CI107" s="173">
        <f ca="1">(VLOOKUP(CI$72,INDIRECT($C$5&amp;"生成成长"),2))/((VLOOKUP($B107,INDIRECT($B$5&amp;"生成成长"),4))/(VLOOKUP(CI$72,INDIRECT($C$5&amp;"生成成长"),5))*(VLOOKUP($B$5,标准坦克设计!$B$24:$U$30,MATCH("对"&amp;LEFT($C$5,2)&amp;"输出",标准坦克设计!$B$23:$U$23,0)))*(VLOOKUP($B107,INDIRECT($B$5&amp;"生成成长"),3))*(VLOOKUP($B$5,标准坦克设计!$B$14:$K$20,9)/30))</f>
        <v>12.748222565550424</v>
      </c>
      <c r="CJ107" s="173">
        <f ca="1">(VLOOKUP(CJ$72,INDIRECT($C$5&amp;"生成成长"),2))/((VLOOKUP($B107,INDIRECT($B$5&amp;"生成成长"),4))/(VLOOKUP(CJ$72,INDIRECT($C$5&amp;"生成成长"),5))*(VLOOKUP($B$5,标准坦克设计!$B$24:$U$30,MATCH("对"&amp;LEFT($C$5,2)&amp;"输出",标准坦克设计!$B$23:$U$23,0)))*(VLOOKUP($B107,INDIRECT($B$5&amp;"生成成长"),3))*(VLOOKUP($B$5,标准坦克设计!$B$14:$K$20,9)/30))</f>
        <v>13.675070379627435</v>
      </c>
      <c r="CK107" s="173">
        <f ca="1">(VLOOKUP(CK$72,INDIRECT($C$5&amp;"生成成长"),2))/((VLOOKUP($B107,INDIRECT($B$5&amp;"生成成长"),4))/(VLOOKUP(CK$72,INDIRECT($C$5&amp;"生成成长"),5))*(VLOOKUP($B$5,标准坦克设计!$B$24:$U$30,MATCH("对"&amp;LEFT($C$5,2)&amp;"输出",标准坦克设计!$B$23:$U$23,0)))*(VLOOKUP($B107,INDIRECT($B$5&amp;"生成成长"),3))*(VLOOKUP($B$5,标准坦克设计!$B$14:$K$20,9)/30))</f>
        <v>14.634439169636968</v>
      </c>
      <c r="CL107" s="173">
        <f ca="1">(VLOOKUP(CL$72,INDIRECT($C$5&amp;"生成成长"),2))/((VLOOKUP($B107,INDIRECT($B$5&amp;"生成成长"),4))/(VLOOKUP(CL$72,INDIRECT($C$5&amp;"生成成长"),5))*(VLOOKUP($B$5,标准坦克设计!$B$24:$U$30,MATCH("对"&amp;LEFT($C$5,2)&amp;"输出",标准坦克设计!$B$23:$U$23,0)))*(VLOOKUP($B107,INDIRECT($B$5&amp;"生成成长"),3))*(VLOOKUP($B$5,标准坦克设计!$B$14:$K$20,9)/30))</f>
        <v>15.62632893557903</v>
      </c>
      <c r="CM107" s="173">
        <f ca="1">(VLOOKUP(CM$72,INDIRECT($C$5&amp;"生成成长"),2))/((VLOOKUP($B107,INDIRECT($B$5&amp;"生成成长"),4))/(VLOOKUP(CM$72,INDIRECT($C$5&amp;"生成成长"),5))*(VLOOKUP($B$5,标准坦克设计!$B$24:$U$30,MATCH("对"&amp;LEFT($C$5,2)&amp;"输出",标准坦克设计!$B$23:$U$23,0)))*(VLOOKUP($B107,INDIRECT($B$5&amp;"生成成长"),3))*(VLOOKUP($B$5,标准坦克设计!$B$14:$K$20,9)/30))</f>
        <v>16.650739677453615</v>
      </c>
      <c r="CN107" s="173">
        <f ca="1">(VLOOKUP(CN$72,INDIRECT($C$5&amp;"生成成长"),2))/((VLOOKUP($B107,INDIRECT($B$5&amp;"生成成长"),4))/(VLOOKUP(CN$72,INDIRECT($C$5&amp;"生成成长"),5))*(VLOOKUP($B$5,标准坦克设计!$B$24:$U$30,MATCH("对"&amp;LEFT($C$5,2)&amp;"输出",标准坦克设计!$B$23:$U$23,0)))*(VLOOKUP($B107,INDIRECT($B$5&amp;"生成成长"),3))*(VLOOKUP($B$5,标准坦克设计!$B$14:$K$20,9)/30))</f>
        <v>17.707671395260732</v>
      </c>
      <c r="CO107" s="173">
        <f ca="1">(VLOOKUP(CO$72,INDIRECT($C$5&amp;"生成成长"),2))/((VLOOKUP($B107,INDIRECT($B$5&amp;"生成成长"),4))/(VLOOKUP(CO$72,INDIRECT($C$5&amp;"生成成长"),5))*(VLOOKUP($B$5,标准坦克设计!$B$24:$U$30,MATCH("对"&amp;LEFT($C$5,2)&amp;"输出",标准坦克设计!$B$23:$U$23,0)))*(VLOOKUP($B107,INDIRECT($B$5&amp;"生成成长"),3))*(VLOOKUP($B$5,标准坦克设计!$B$14:$K$20,9)/30))</f>
        <v>7.935252511734558</v>
      </c>
      <c r="CP107" s="173">
        <f ca="1">(VLOOKUP(CP$72,INDIRECT($C$5&amp;"生成成长"),2))/((VLOOKUP($B107,INDIRECT($B$5&amp;"生成成长"),4))/(VLOOKUP(CP$72,INDIRECT($C$5&amp;"生成成长"),5))*(VLOOKUP($B$5,标准坦克设计!$B$24:$U$30,MATCH("对"&amp;LEFT($C$5,2)&amp;"输出",标准坦克设计!$B$23:$U$23,0)))*(VLOOKUP($B107,INDIRECT($B$5&amp;"生成成长"),3))*(VLOOKUP($B$5,标准坦克设计!$B$14:$K$20,9)/30))</f>
        <v>8.6699309225739096</v>
      </c>
      <c r="CQ107" s="173">
        <f ca="1">(VLOOKUP(CQ$72,INDIRECT($C$5&amp;"生成成长"),2))/((VLOOKUP($B107,INDIRECT($B$5&amp;"生成成长"),4))/(VLOOKUP(CQ$72,INDIRECT($C$5&amp;"生成成长"),5))*(VLOOKUP($B$5,标准坦克设计!$B$24:$U$30,MATCH("对"&amp;LEFT($C$5,2)&amp;"输出",标准坦克设计!$B$23:$U$23,0)))*(VLOOKUP($B107,INDIRECT($B$5&amp;"生成成长"),3))*(VLOOKUP($B$5,标准坦克设计!$B$14:$K$20,9)/30))</f>
        <v>9.4371303093457861</v>
      </c>
      <c r="CR107" s="173">
        <f ca="1">(VLOOKUP(CR$72,INDIRECT($C$5&amp;"生成成长"),2))/((VLOOKUP($B107,INDIRECT($B$5&amp;"生成成长"),4))/(VLOOKUP(CR$72,INDIRECT($C$5&amp;"生成成长"),5))*(VLOOKUP($B$5,标准坦克设计!$B$24:$U$30,MATCH("对"&amp;LEFT($C$5,2)&amp;"输出",标准坦克设计!$B$23:$U$23,0)))*(VLOOKUP($B107,INDIRECT($B$5&amp;"生成成长"),3))*(VLOOKUP($B$5,标准坦克设计!$B$14:$K$20,9)/30))</f>
        <v>10.23685067205019</v>
      </c>
      <c r="CS107" s="173">
        <f ca="1">(VLOOKUP(CS$72,INDIRECT($C$5&amp;"生成成长"),2))/((VLOOKUP($B107,INDIRECT($B$5&amp;"生成成长"),4))/(VLOOKUP(CS$72,INDIRECT($C$5&amp;"生成成长"),5))*(VLOOKUP($B$5,标准坦克设计!$B$24:$U$30,MATCH("对"&amp;LEFT($C$5,2)&amp;"输出",标准坦克设计!$B$23:$U$23,0)))*(VLOOKUP($B107,INDIRECT($B$5&amp;"生成成长"),3))*(VLOOKUP($B$5,标准坦克设计!$B$14:$K$20,9)/30))</f>
        <v>11.069092010687122</v>
      </c>
      <c r="CT107" s="173">
        <f ca="1">(VLOOKUP(CT$72,INDIRECT($C$5&amp;"生成成长"),2))/((VLOOKUP($B107,INDIRECT($B$5&amp;"生成成长"),4))/(VLOOKUP(CT$72,INDIRECT($C$5&amp;"生成成长"),5))*(VLOOKUP($B$5,标准坦克设计!$B$24:$U$30,MATCH("对"&amp;LEFT($C$5,2)&amp;"输出",标准坦克设计!$B$23:$U$23,0)))*(VLOOKUP($B107,INDIRECT($B$5&amp;"生成成长"),3))*(VLOOKUP($B$5,标准坦克设计!$B$14:$K$20,9)/30))</f>
        <v>11.933854325256579</v>
      </c>
      <c r="CU107" s="173">
        <f ca="1">(VLOOKUP(CU$72,INDIRECT($C$5&amp;"生成成长"),2))/((VLOOKUP($B107,INDIRECT($B$5&amp;"生成成长"),4))/(VLOOKUP(CU$72,INDIRECT($C$5&amp;"生成成长"),5))*(VLOOKUP($B$5,标准坦克设计!$B$24:$U$30,MATCH("对"&amp;LEFT($C$5,2)&amp;"输出",标准坦克设计!$B$23:$U$23,0)))*(VLOOKUP($B107,INDIRECT($B$5&amp;"生成成长"),3))*(VLOOKUP($B$5,标准坦克设计!$B$14:$K$20,9)/30))</f>
        <v>12.831137615758561</v>
      </c>
      <c r="CV107" s="173">
        <f ca="1">(VLOOKUP(CV$72,INDIRECT($C$5&amp;"生成成长"),2))/((VLOOKUP($B107,INDIRECT($B$5&amp;"生成成长"),4))/(VLOOKUP(CV$72,INDIRECT($C$5&amp;"生成成长"),5))*(VLOOKUP($B$5,标准坦克设计!$B$24:$U$30,MATCH("对"&amp;LEFT($C$5,2)&amp;"输出",标准坦克设计!$B$23:$U$23,0)))*(VLOOKUP($B107,INDIRECT($B$5&amp;"生成成长"),3))*(VLOOKUP($B$5,标准坦克设计!$B$14:$K$20,9)/30))</f>
        <v>13.76094188219307</v>
      </c>
      <c r="CW107" s="173">
        <f ca="1">(VLOOKUP(CW$72,INDIRECT($C$5&amp;"生成成长"),2))/((VLOOKUP($B107,INDIRECT($B$5&amp;"生成成长"),4))/(VLOOKUP(CW$72,INDIRECT($C$5&amp;"生成成长"),5))*(VLOOKUP($B$5,标准坦克设计!$B$24:$U$30,MATCH("对"&amp;LEFT($C$5,2)&amp;"输出",标准坦克设计!$B$23:$U$23,0)))*(VLOOKUP($B107,INDIRECT($B$5&amp;"生成成长"),3))*(VLOOKUP($B$5,标准坦克设计!$B$14:$K$20,9)/30))</f>
        <v>14.723267124560108</v>
      </c>
      <c r="CX107" s="173">
        <f ca="1">(VLOOKUP(CX$72,INDIRECT($C$5&amp;"生成成长"),2))/((VLOOKUP($B107,INDIRECT($B$5&amp;"生成成长"),4))/(VLOOKUP(CX$72,INDIRECT($C$5&amp;"生成成长"),5))*(VLOOKUP($B$5,标准坦克设计!$B$24:$U$30,MATCH("对"&amp;LEFT($C$5,2)&amp;"输出",标准坦克设计!$B$23:$U$23,0)))*(VLOOKUP($B107,INDIRECT($B$5&amp;"生成成长"),3))*(VLOOKUP($B$5,标准坦克设计!$B$14:$K$20,9)/30))</f>
        <v>15.718113342859672</v>
      </c>
      <c r="CY107" s="173">
        <f ca="1">(VLOOKUP(CY$72,INDIRECT($C$5&amp;"生成成长"),2))/((VLOOKUP($B107,INDIRECT($B$5&amp;"生成成长"),4))/(VLOOKUP(CY$72,INDIRECT($C$5&amp;"生成成长"),5))*(VLOOKUP($B$5,标准坦克设计!$B$24:$U$30,MATCH("对"&amp;LEFT($C$5,2)&amp;"输出",标准坦克设计!$B$23:$U$23,0)))*(VLOOKUP($B107,INDIRECT($B$5&amp;"生成成长"),3))*(VLOOKUP($B$5,标准坦克设计!$B$14:$K$20,9)/30))</f>
        <v>16.745480537091765</v>
      </c>
      <c r="CZ107" s="173">
        <f ca="1">(VLOOKUP(CZ$72,INDIRECT($C$5&amp;"生成成长"),2))/((VLOOKUP($B107,INDIRECT($B$5&amp;"生成成长"),4))/(VLOOKUP(CZ$72,INDIRECT($C$5&amp;"生成成长"),5))*(VLOOKUP($B$5,标准坦克设计!$B$24:$U$30,MATCH("对"&amp;LEFT($C$5,2)&amp;"输出",标准坦克设计!$B$23:$U$23,0)))*(VLOOKUP($B107,INDIRECT($B$5&amp;"生成成长"),3))*(VLOOKUP($B$5,标准坦克设计!$B$14:$K$20,9)/30))</f>
        <v>17.805368707256381</v>
      </c>
      <c r="DA107" s="173">
        <f ca="1">(VLOOKUP(DA$72,INDIRECT($C$5&amp;"生成成长"),2))/((VLOOKUP($B107,INDIRECT($B$5&amp;"生成成长"),4))/(VLOOKUP(DA$72,INDIRECT($C$5&amp;"生成成长"),5))*(VLOOKUP($B$5,标准坦克设计!$B$24:$U$30,MATCH("对"&amp;LEFT($C$5,2)&amp;"输出",标准坦克设计!$B$23:$U$23,0)))*(VLOOKUP($B107,INDIRECT($B$5&amp;"生成成长"),3))*(VLOOKUP($B$5,标准坦克设计!$B$14:$K$20,9)/30))</f>
        <v>18.897777853353521</v>
      </c>
      <c r="DB107" s="173">
        <f ca="1">(VLOOKUP(DB$72,INDIRECT($C$5&amp;"生成成长"),2))/((VLOOKUP($B107,INDIRECT($B$5&amp;"生成成长"),4))/(VLOOKUP(DB$72,INDIRECT($C$5&amp;"生成成长"),5))*(VLOOKUP($B$5,标准坦克设计!$B$24:$U$30,MATCH("对"&amp;LEFT($C$5,2)&amp;"输出",标准坦克设计!$B$23:$U$23,0)))*(VLOOKUP($B107,INDIRECT($B$5&amp;"生成成长"),3))*(VLOOKUP($B$5,标准坦克设计!$B$14:$K$20,9)/30))</f>
        <v>20.022707975383195</v>
      </c>
      <c r="DC107" s="173">
        <f ca="1">(VLOOKUP(DC$72,INDIRECT($C$5&amp;"生成成长"),2))/((VLOOKUP($B107,INDIRECT($B$5&amp;"生成成长"),4))/(VLOOKUP(DC$72,INDIRECT($C$5&amp;"生成成长"),5))*(VLOOKUP($B$5,标准坦克设计!$B$24:$U$30,MATCH("对"&amp;LEFT($C$5,2)&amp;"输出",标准坦克设计!$B$23:$U$23,0)))*(VLOOKUP($B107,INDIRECT($B$5&amp;"生成成长"),3))*(VLOOKUP($B$5,标准坦克设计!$B$14:$K$20,9)/30))</f>
        <v>21.286994510809684</v>
      </c>
      <c r="DD107" s="173">
        <f ca="1">(VLOOKUP(DD$72,INDIRECT($C$5&amp;"生成成长"),2))/((VLOOKUP($B107,INDIRECT($B$5&amp;"生成成长"),4))/(VLOOKUP(DD$72,INDIRECT($C$5&amp;"生成成长"),5))*(VLOOKUP($B$5,标准坦克设计!$B$24:$U$30,MATCH("对"&amp;LEFT($C$5,2)&amp;"输出",标准坦克设计!$B$23:$U$23,0)))*(VLOOKUP($B107,INDIRECT($B$5&amp;"生成成长"),3))*(VLOOKUP($B$5,标准坦克设计!$B$14:$K$20,9)/30))</f>
        <v>22.589983695279837</v>
      </c>
      <c r="DE107" s="173">
        <f ca="1">(VLOOKUP(DE$72,INDIRECT($C$5&amp;"生成成长"),2))/((VLOOKUP($B107,INDIRECT($B$5&amp;"生成成长"),4))/(VLOOKUP(DE$72,INDIRECT($C$5&amp;"生成成长"),5))*(VLOOKUP($B$5,标准坦克设计!$B$24:$U$30,MATCH("对"&amp;LEFT($C$5,2)&amp;"输出",标准坦克设计!$B$23:$U$23,0)))*(VLOOKUP($B107,INDIRECT($B$5&amp;"生成成长"),3))*(VLOOKUP($B$5,标准坦克设计!$B$14:$K$20,9)/30))</f>
        <v>23.931675528793658</v>
      </c>
      <c r="DF107" s="173">
        <f ca="1">(VLOOKUP(DF$72,INDIRECT($C$5&amp;"生成成长"),2))/((VLOOKUP($B107,INDIRECT($B$5&amp;"生成成长"),4))/(VLOOKUP(DF$72,INDIRECT($C$5&amp;"生成成长"),5))*(VLOOKUP($B$5,标准坦克设计!$B$24:$U$30,MATCH("对"&amp;LEFT($C$5,2)&amp;"输出",标准坦克设计!$B$23:$U$23,0)))*(VLOOKUP($B107,INDIRECT($B$5&amp;"生成成长"),3))*(VLOOKUP($B$5,标准坦克设计!$B$14:$K$20,9)/30))</f>
        <v>25.312070011351157</v>
      </c>
      <c r="DG107" s="173">
        <f ca="1">(VLOOKUP(DG$72,INDIRECT($C$5&amp;"生成成长"),2))/((VLOOKUP($B107,INDIRECT($B$5&amp;"生成成长"),4))/(VLOOKUP(DG$72,INDIRECT($C$5&amp;"生成成长"),5))*(VLOOKUP($B$5,标准坦克设计!$B$24:$U$30,MATCH("对"&amp;LEFT($C$5,2)&amp;"输出",标准坦克设计!$B$23:$U$23,0)))*(VLOOKUP($B107,INDIRECT($B$5&amp;"生成成长"),3))*(VLOOKUP($B$5,标准坦克设计!$B$14:$K$20,9)/30))</f>
        <v>26.731167142952312</v>
      </c>
      <c r="DH107" s="173">
        <f ca="1">(VLOOKUP(DH$72,INDIRECT($C$5&amp;"生成成长"),2))/((VLOOKUP($B107,INDIRECT($B$5&amp;"生成成长"),4))/(VLOOKUP(DH$72,INDIRECT($C$5&amp;"生成成长"),5))*(VLOOKUP($B$5,标准坦克设计!$B$24:$U$30,MATCH("对"&amp;LEFT($C$5,2)&amp;"输出",标准坦克设计!$B$23:$U$23,0)))*(VLOOKUP($B107,INDIRECT($B$5&amp;"生成成长"),3))*(VLOOKUP($B$5,标准坦克设计!$B$14:$K$20,9)/30))</f>
        <v>28.188966923597143</v>
      </c>
      <c r="DI107" s="173">
        <f ca="1">(VLOOKUP(DI$72,INDIRECT($C$5&amp;"生成成长"),2))/((VLOOKUP($B107,INDIRECT($B$5&amp;"生成成长"),4))/(VLOOKUP(DI$72,INDIRECT($C$5&amp;"生成成长"),5))*(VLOOKUP($B$5,标准坦克设计!$B$24:$U$30,MATCH("对"&amp;LEFT($C$5,2)&amp;"输出",标准坦克设计!$B$23:$U$23,0)))*(VLOOKUP($B107,INDIRECT($B$5&amp;"生成成长"),3))*(VLOOKUP($B$5,标准坦克设计!$B$14:$K$20,9)/30))</f>
        <v>29.685469353285637</v>
      </c>
      <c r="DJ107" s="173">
        <f ca="1">(VLOOKUP(DJ$72,INDIRECT($C$5&amp;"生成成长"),2))/((VLOOKUP($B107,INDIRECT($B$5&amp;"生成成长"),4))/(VLOOKUP(DJ$72,INDIRECT($C$5&amp;"生成成长"),5))*(VLOOKUP($B$5,标准坦克设计!$B$24:$U$30,MATCH("对"&amp;LEFT($C$5,2)&amp;"输出",标准坦克设计!$B$23:$U$23,0)))*(VLOOKUP($B107,INDIRECT($B$5&amp;"生成成长"),3))*(VLOOKUP($B$5,标准坦克设计!$B$14:$K$20,9)/30))</f>
        <v>2.9834635813141448</v>
      </c>
      <c r="DK107" s="173">
        <f ca="1">(VLOOKUP(DK$72,INDIRECT($C$5&amp;"生成成长"),2))/((VLOOKUP($B107,INDIRECT($B$5&amp;"生成成长"),4))/(VLOOKUP(DK$72,INDIRECT($C$5&amp;"生成成长"),5))*(VLOOKUP($B$5,标准坦克设计!$B$24:$U$30,MATCH("对"&amp;LEFT($C$5,2)&amp;"输出",标准坦克设计!$B$23:$U$23,0)))*(VLOOKUP($B107,INDIRECT($B$5&amp;"生成成长"),3))*(VLOOKUP($B$5,标准坦克设计!$B$14:$K$20,9)/30))</f>
        <v>3.3547671205768337</v>
      </c>
      <c r="DL107" s="173">
        <f ca="1">(VLOOKUP(DL$72,INDIRECT($C$5&amp;"生成成长"),2))/((VLOOKUP($B107,INDIRECT($B$5&amp;"生成成长"),4))/(VLOOKUP(DL$72,INDIRECT($C$5&amp;"生成成长"),5))*(VLOOKUP($B$5,标准坦克设计!$B$24:$U$30,MATCH("对"&amp;LEFT($C$5,2)&amp;"输出",标准坦克设计!$B$23:$U$23,0)))*(VLOOKUP($B107,INDIRECT($B$5&amp;"生成成长"),3))*(VLOOKUP($B$5,标准坦克设计!$B$14:$K$20,9)/30))</f>
        <v>3.7478408999265871</v>
      </c>
      <c r="DM107" s="173">
        <f ca="1">(VLOOKUP(DM$72,INDIRECT($C$5&amp;"生成成长"),2))/((VLOOKUP($B107,INDIRECT($B$5&amp;"生成成长"),4))/(VLOOKUP(DM$72,INDIRECT($C$5&amp;"生成成长"),5))*(VLOOKUP($B$5,标准坦克设计!$B$24:$U$30,MATCH("对"&amp;LEFT($C$5,2)&amp;"输出",标准坦克设计!$B$23:$U$23,0)))*(VLOOKUP($B107,INDIRECT($B$5&amp;"生成成长"),3))*(VLOOKUP($B$5,标准坦克设计!$B$14:$K$20,9)/30))</f>
        <v>4.1626849193634037</v>
      </c>
      <c r="DN107" s="173">
        <f ca="1">(VLOOKUP(DN$72,INDIRECT($C$5&amp;"生成成长"),2))/((VLOOKUP($B107,INDIRECT($B$5&amp;"生成成长"),4))/(VLOOKUP(DN$72,INDIRECT($C$5&amp;"生成成长"),5))*(VLOOKUP($B$5,标准坦克设计!$B$24:$U$30,MATCH("对"&amp;LEFT($C$5,2)&amp;"输出",标准坦克设计!$B$23:$U$23,0)))*(VLOOKUP($B107,INDIRECT($B$5&amp;"生成成长"),3))*(VLOOKUP($B$5,标准坦克设计!$B$14:$K$20,9)/30))</f>
        <v>4.5992991788872839</v>
      </c>
      <c r="DO107" s="173">
        <f ca="1">(VLOOKUP(DO$72,INDIRECT($C$5&amp;"生成成长"),2))/((VLOOKUP($B107,INDIRECT($B$5&amp;"生成成长"),4))/(VLOOKUP(DO$72,INDIRECT($C$5&amp;"生成成长"),5))*(VLOOKUP($B$5,标准坦克设计!$B$24:$U$30,MATCH("对"&amp;LEFT($C$5,2)&amp;"输出",标准坦克设计!$B$23:$U$23,0)))*(VLOOKUP($B107,INDIRECT($B$5&amp;"生成成长"),3))*(VLOOKUP($B$5,标准坦克设计!$B$14:$K$20,9)/30))</f>
        <v>5.0576836784982264</v>
      </c>
      <c r="DP107" s="173">
        <f ca="1">(VLOOKUP(DP$72,INDIRECT($C$5&amp;"生成成长"),2))/((VLOOKUP($B107,INDIRECT($B$5&amp;"生成成长"),4))/(VLOOKUP(DP$72,INDIRECT($C$5&amp;"生成成长"),5))*(VLOOKUP($B$5,标准坦克设计!$B$24:$U$30,MATCH("对"&amp;LEFT($C$5,2)&amp;"输出",标准坦克设计!$B$23:$U$23,0)))*(VLOOKUP($B107,INDIRECT($B$5&amp;"生成成长"),3))*(VLOOKUP($B$5,标准坦克设计!$B$14:$K$20,9)/30))</f>
        <v>5.537838418196233</v>
      </c>
      <c r="DQ107" s="173">
        <f ca="1">(VLOOKUP(DQ$72,INDIRECT($C$5&amp;"生成成长"),2))/((VLOOKUP($B107,INDIRECT($B$5&amp;"生成成长"),4))/(VLOOKUP(DQ$72,INDIRECT($C$5&amp;"生成成长"),5))*(VLOOKUP($B$5,标准坦克设计!$B$24:$U$30,MATCH("对"&amp;LEFT($C$5,2)&amp;"输出",标准坦克设计!$B$23:$U$23,0)))*(VLOOKUP($B107,INDIRECT($B$5&amp;"生成成长"),3))*(VLOOKUP($B$5,标准坦克设计!$B$14:$K$20,9)/30))</f>
        <v>6.0397633979813037</v>
      </c>
      <c r="DR107" s="173">
        <f ca="1">(VLOOKUP(DR$72,INDIRECT($C$5&amp;"生成成长"),2))/((VLOOKUP($B107,INDIRECT($B$5&amp;"生成成长"),4))/(VLOOKUP(DR$72,INDIRECT($C$5&amp;"生成成长"),5))*(VLOOKUP($B$5,标准坦克设计!$B$24:$U$30,MATCH("对"&amp;LEFT($C$5,2)&amp;"输出",标准坦克设计!$B$23:$U$23,0)))*(VLOOKUP($B107,INDIRECT($B$5&amp;"生成成长"),3))*(VLOOKUP($B$5,标准坦克设计!$B$14:$K$20,9)/30))</f>
        <v>6.5634586178534349</v>
      </c>
      <c r="DS107" s="173">
        <f ca="1">(VLOOKUP(DS$72,INDIRECT($C$5&amp;"生成成长"),2))/((VLOOKUP($B107,INDIRECT($B$5&amp;"生成成长"),4))/(VLOOKUP(DS$72,INDIRECT($C$5&amp;"生成成长"),5))*(VLOOKUP($B$5,标准坦克设计!$B$24:$U$30,MATCH("对"&amp;LEFT($C$5,2)&amp;"输出",标准坦克设计!$B$23:$U$23,0)))*(VLOOKUP($B107,INDIRECT($B$5&amp;"生成成长"),3))*(VLOOKUP($B$5,标准坦克设计!$B$14:$K$20,9)/30))</f>
        <v>7.1089240778126328</v>
      </c>
      <c r="DT107" s="173">
        <f ca="1">(VLOOKUP(DT$72,INDIRECT($C$5&amp;"生成成长"),2))/((VLOOKUP($B107,INDIRECT($B$5&amp;"生成成长"),4))/(VLOOKUP(DT$72,INDIRECT($C$5&amp;"生成成长"),5))*(VLOOKUP($B$5,标准坦克设计!$B$24:$U$30,MATCH("对"&amp;LEFT($C$5,2)&amp;"输出",标准坦克设计!$B$23:$U$23,0)))*(VLOOKUP($B107,INDIRECT($B$5&amp;"生成成长"),3))*(VLOOKUP($B$5,标准坦克设计!$B$14:$K$20,9)/30))</f>
        <v>7.8051686080044504</v>
      </c>
      <c r="DU107" s="173">
        <f ca="1">(VLOOKUP(DU$72,INDIRECT($C$5&amp;"生成成长"),2))/((VLOOKUP($B107,INDIRECT($B$5&amp;"生成成长"),4))/(VLOOKUP(DU$72,INDIRECT($C$5&amp;"生成成长"),5))*(VLOOKUP($B$5,标准坦克设计!$B$24:$U$30,MATCH("对"&amp;LEFT($C$5,2)&amp;"输出",标准坦克设计!$B$23:$U$23,0)))*(VLOOKUP($B107,INDIRECT($B$5&amp;"生成成长"),3))*(VLOOKUP($B$5,标准坦克设计!$B$14:$K$20,9)/30))</f>
        <v>8.5339341141287957</v>
      </c>
      <c r="DV107" s="173">
        <f ca="1">(VLOOKUP(DV$72,INDIRECT($C$5&amp;"生成成长"),2))/((VLOOKUP($B107,INDIRECT($B$5&amp;"生成成长"),4))/(VLOOKUP(DV$72,INDIRECT($C$5&amp;"生成成长"),5))*(VLOOKUP($B$5,标准坦克设计!$B$24:$U$30,MATCH("对"&amp;LEFT($C$5,2)&amp;"输出",标准坦克设计!$B$23:$U$23,0)))*(VLOOKUP($B107,INDIRECT($B$5&amp;"生成成长"),3))*(VLOOKUP($B$5,标准坦克设计!$B$14:$K$20,9)/30))</f>
        <v>9.295220596185672</v>
      </c>
      <c r="DW107" s="173">
        <f ca="1">(VLOOKUP(DW$72,INDIRECT($C$5&amp;"生成成长"),2))/((VLOOKUP($B107,INDIRECT($B$5&amp;"生成成长"),4))/(VLOOKUP(DW$72,INDIRECT($C$5&amp;"生成成长"),5))*(VLOOKUP($B$5,标准坦克设计!$B$24:$U$30,MATCH("对"&amp;LEFT($C$5,2)&amp;"输出",标准坦克设计!$B$23:$U$23,0)))*(VLOOKUP($B107,INDIRECT($B$5&amp;"生成成长"),3))*(VLOOKUP($B$5,标准坦克设计!$B$14:$K$20,9)/30))</f>
        <v>10.089028054175069</v>
      </c>
      <c r="DX107" s="173">
        <f ca="1">(VLOOKUP(DX$72,INDIRECT($C$5&amp;"生成成长"),2))/((VLOOKUP($B107,INDIRECT($B$5&amp;"生成成长"),4))/(VLOOKUP(DX$72,INDIRECT($C$5&amp;"生成成长"),5))*(VLOOKUP($B$5,标准坦克设计!$B$24:$U$30,MATCH("对"&amp;LEFT($C$5,2)&amp;"输出",标准坦克设计!$B$23:$U$23,0)))*(VLOOKUP($B107,INDIRECT($B$5&amp;"生成成长"),3))*(VLOOKUP($B$5,标准坦克设计!$B$14:$K$20,9)/30))</f>
        <v>10.915356488096995</v>
      </c>
      <c r="DY107" s="173">
        <f ca="1">(VLOOKUP(DY$72,INDIRECT($C$5&amp;"生成成长"),2))/((VLOOKUP($B107,INDIRECT($B$5&amp;"生成成长"),4))/(VLOOKUP(DY$72,INDIRECT($C$5&amp;"生成成长"),5))*(VLOOKUP($B$5,标准坦克设计!$B$24:$U$30,MATCH("对"&amp;LEFT($C$5,2)&amp;"输出",标准坦克设计!$B$23:$U$23,0)))*(VLOOKUP($B107,INDIRECT($B$5&amp;"生成成长"),3))*(VLOOKUP($B$5,标准坦克设计!$B$14:$K$20,9)/30))</f>
        <v>4.9024699297293495</v>
      </c>
      <c r="DZ107" s="173">
        <f ca="1">(VLOOKUP(DZ$72,INDIRECT($C$5&amp;"生成成长"),2))/((VLOOKUP($B107,INDIRECT($B$5&amp;"生成成长"),4))/(VLOOKUP(DZ$72,INDIRECT($C$5&amp;"生成成长"),5))*(VLOOKUP($B$5,标准坦克设计!$B$24:$U$30,MATCH("对"&amp;LEFT($C$5,2)&amp;"输出",标准坦克设计!$B$23:$U$23,0)))*(VLOOKUP($B107,INDIRECT($B$5&amp;"生成成长"),3))*(VLOOKUP($B$5,标准坦克设计!$B$14:$K$20,9)/30))</f>
        <v>5.4292559861570524</v>
      </c>
      <c r="EA107" s="173">
        <f ca="1">(VLOOKUP(EA$72,INDIRECT($C$5&amp;"生成成长"),2))/((VLOOKUP($B107,INDIRECT($B$5&amp;"生成成长"),4))/(VLOOKUP(EA$72,INDIRECT($C$5&amp;"生成成长"),5))*(VLOOKUP($B$5,标准坦克设计!$B$24:$U$30,MATCH("对"&amp;LEFT($C$5,2)&amp;"输出",标准坦克设计!$B$23:$U$23,0)))*(VLOOKUP($B107,INDIRECT($B$5&amp;"生成成长"),3))*(VLOOKUP($B$5,标准坦克设计!$B$14:$K$20,9)/30))</f>
        <v>5.9829188821984145</v>
      </c>
      <c r="EB107" s="173">
        <f ca="1">(VLOOKUP(EB$72,INDIRECT($C$5&amp;"生成成长"),2))/((VLOOKUP($B107,INDIRECT($B$5&amp;"生成成长"),4))/(VLOOKUP(EB$72,INDIRECT($C$5&amp;"生成成长"),5))*(VLOOKUP($B$5,标准坦克设计!$B$24:$U$30,MATCH("对"&amp;LEFT($C$5,2)&amp;"输出",标准坦克设计!$B$23:$U$23,0)))*(VLOOKUP($B107,INDIRECT($B$5&amp;"生成成长"),3))*(VLOOKUP($B$5,标准坦克设计!$B$14:$K$20,9)/30))</f>
        <v>6.5634586178534349</v>
      </c>
      <c r="EC107" s="173">
        <f ca="1">(VLOOKUP(EC$72,INDIRECT($C$5&amp;"生成成长"),2))/((VLOOKUP($B107,INDIRECT($B$5&amp;"生成成长"),4))/(VLOOKUP(EC$72,INDIRECT($C$5&amp;"生成成长"),5))*(VLOOKUP($B$5,标准坦克设计!$B$24:$U$30,MATCH("对"&amp;LEFT($C$5,2)&amp;"输出",标准坦克设计!$B$23:$U$23,0)))*(VLOOKUP($B107,INDIRECT($B$5&amp;"生成成长"),3))*(VLOOKUP($B$5,标准坦克设计!$B$14:$K$20,9)/30))</f>
        <v>7.1708751931221135</v>
      </c>
      <c r="ED107" s="173">
        <f ca="1">(VLOOKUP(ED$72,INDIRECT($C$5&amp;"生成成长"),2))/((VLOOKUP($B107,INDIRECT($B$5&amp;"生成成长"),4))/(VLOOKUP(ED$72,INDIRECT($C$5&amp;"生成成长"),5))*(VLOOKUP($B$5,标准坦克设计!$B$24:$U$30,MATCH("对"&amp;LEFT($C$5,2)&amp;"输出",标准坦克设计!$B$23:$U$23,0)))*(VLOOKUP($B107,INDIRECT($B$5&amp;"生成成长"),3))*(VLOOKUP($B$5,标准坦克设计!$B$14:$K$20,9)/30))</f>
        <v>7.8051686080044504</v>
      </c>
      <c r="EE107" s="173">
        <f ca="1">(VLOOKUP(EE$72,INDIRECT($C$5&amp;"生成成长"),2))/((VLOOKUP($B107,INDIRECT($B$5&amp;"生成成长"),4))/(VLOOKUP(EE$72,INDIRECT($C$5&amp;"生成成长"),5))*(VLOOKUP($B$5,标准坦克设计!$B$24:$U$30,MATCH("对"&amp;LEFT($C$5,2)&amp;"输出",标准坦克设计!$B$23:$U$23,0)))*(VLOOKUP($B107,INDIRECT($B$5&amp;"生成成长"),3))*(VLOOKUP($B$5,标准坦克设计!$B$14:$K$20,9)/30))</f>
        <v>8.4663388625004465</v>
      </c>
      <c r="EF107" s="173">
        <f ca="1">(VLOOKUP(EF$72,INDIRECT($C$5&amp;"生成成长"),2))/((VLOOKUP($B107,INDIRECT($B$5&amp;"生成成长"),4))/(VLOOKUP(EF$72,INDIRECT($C$5&amp;"生成成长"),5))*(VLOOKUP($B$5,标准坦克设计!$B$24:$U$30,MATCH("对"&amp;LEFT($C$5,2)&amp;"输出",标准坦克设计!$B$23:$U$23,0)))*(VLOOKUP($B107,INDIRECT($B$5&amp;"生成成长"),3))*(VLOOKUP($B$5,标准坦克设计!$B$14:$K$20,9)/30))</f>
        <v>9.1543859566101027</v>
      </c>
      <c r="EG107" s="173">
        <f ca="1">(VLOOKUP(EG$72,INDIRECT($C$5&amp;"生成成长"),2))/((VLOOKUP($B107,INDIRECT($B$5&amp;"生成成长"),4))/(VLOOKUP(EG$72,INDIRECT($C$5&amp;"生成成长"),5))*(VLOOKUP($B$5,标准坦克设计!$B$24:$U$30,MATCH("对"&amp;LEFT($C$5,2)&amp;"输出",标准坦克设计!$B$23:$U$23,0)))*(VLOOKUP($B107,INDIRECT($B$5&amp;"生成成长"),3))*(VLOOKUP($B$5,标准坦克设计!$B$14:$K$20,9)/30))</f>
        <v>9.8693098903334118</v>
      </c>
      <c r="EH107" s="173">
        <f ca="1">(VLOOKUP(EH$72,INDIRECT($C$5&amp;"生成成长"),2))/((VLOOKUP($B107,INDIRECT($B$5&amp;"生成成长"),4))/(VLOOKUP(EH$72,INDIRECT($C$5&amp;"生成成长"),5))*(VLOOKUP($B$5,标准坦克设计!$B$24:$U$30,MATCH("对"&amp;LEFT($C$5,2)&amp;"输出",标准坦克设计!$B$23:$U$23,0)))*(VLOOKUP($B107,INDIRECT($B$5&amp;"生成成长"),3))*(VLOOKUP($B$5,标准坦克设计!$B$14:$K$20,9)/30))</f>
        <v>10.611110663670383</v>
      </c>
      <c r="EI107" s="173">
        <f ca="1">(VLOOKUP(EI$72,INDIRECT($C$5&amp;"生成成长"),2))/((VLOOKUP($B107,INDIRECT($B$5&amp;"生成成长"),4))/(VLOOKUP(EI$72,INDIRECT($C$5&amp;"生成成长"),5))*(VLOOKUP($B$5,标准坦克设计!$B$24:$U$30,MATCH("对"&amp;LEFT($C$5,2)&amp;"输出",标准坦克设计!$B$23:$U$23,0)))*(VLOOKUP($B107,INDIRECT($B$5&amp;"生成成长"),3))*(VLOOKUP($B$5,标准坦克设计!$B$14:$K$20,9)/30))</f>
        <v>11.37978827662101</v>
      </c>
      <c r="EJ107" s="173">
        <f ca="1">(VLOOKUP(EJ$72,INDIRECT($C$5&amp;"生成成长"),2))/((VLOOKUP($B107,INDIRECT($B$5&amp;"生成成长"),4))/(VLOOKUP(EJ$72,INDIRECT($C$5&amp;"生成成长"),5))*(VLOOKUP($B$5,标准坦克设计!$B$24:$U$30,MATCH("对"&amp;LEFT($C$5,2)&amp;"输出",标准坦克设计!$B$23:$U$23,0)))*(VLOOKUP($B107,INDIRECT($B$5&amp;"生成成长"),3))*(VLOOKUP($B$5,标准坦克设计!$B$14:$K$20,9)/30))</f>
        <v>12.175342729185298</v>
      </c>
      <c r="EK107" s="173">
        <f ca="1">(VLOOKUP(EK$72,INDIRECT($C$5&amp;"生成成长"),2))/((VLOOKUP($B107,INDIRECT($B$5&amp;"生成成长"),4))/(VLOOKUP(EK$72,INDIRECT($C$5&amp;"生成成长"),5))*(VLOOKUP($B$5,标准坦克设计!$B$24:$U$30,MATCH("对"&amp;LEFT($C$5,2)&amp;"输出",标准坦克设计!$B$23:$U$23,0)))*(VLOOKUP($B107,INDIRECT($B$5&amp;"生成成长"),3))*(VLOOKUP($B$5,标准坦克设计!$B$14:$K$20,9)/30))</f>
        <v>13.165485500552473</v>
      </c>
      <c r="EL107" s="173">
        <f ca="1">(VLOOKUP(EL$72,INDIRECT($C$5&amp;"生成成长"),2))/((VLOOKUP($B107,INDIRECT($B$5&amp;"生成成长"),4))/(VLOOKUP(EL$72,INDIRECT($C$5&amp;"生成成长"),5))*(VLOOKUP($B$5,标准坦克设计!$B$24:$U$30,MATCH("对"&amp;LEFT($C$5,2)&amp;"输出",标准坦克设计!$B$23:$U$23,0)))*(VLOOKUP($B107,INDIRECT($B$5&amp;"生成成长"),3))*(VLOOKUP($B$5,标准坦克设计!$B$14:$K$20,9)/30))</f>
        <v>14.194330920963312</v>
      </c>
      <c r="EM107" s="173">
        <f ca="1">(VLOOKUP(EM$72,INDIRECT($C$5&amp;"生成成长"),2))/((VLOOKUP($B107,INDIRECT($B$5&amp;"生成成长"),4))/(VLOOKUP(EM$72,INDIRECT($C$5&amp;"生成成长"),5))*(VLOOKUP($B$5,标准坦克设计!$B$24:$U$30,MATCH("对"&amp;LEFT($C$5,2)&amp;"输出",标准坦克设计!$B$23:$U$23,0)))*(VLOOKUP($B107,INDIRECT($B$5&amp;"生成成长"),3))*(VLOOKUP($B$5,标准坦克设计!$B$14:$K$20,9)/30))</f>
        <v>15.261878990417824</v>
      </c>
      <c r="EN107" s="173">
        <f ca="1">(VLOOKUP(EN$72,INDIRECT($C$5&amp;"生成成长"),2))/((VLOOKUP($B107,INDIRECT($B$5&amp;"生成成长"),4))/(VLOOKUP(EN$72,INDIRECT($C$5&amp;"生成成长"),5))*(VLOOKUP($B$5,标准坦克设计!$B$24:$U$30,MATCH("对"&amp;LEFT($C$5,2)&amp;"输出",标准坦克设计!$B$23:$U$23,0)))*(VLOOKUP($B107,INDIRECT($B$5&amp;"生成成长"),3))*(VLOOKUP($B$5,标准坦克设计!$B$14:$K$20,9)/30))</f>
        <v>16.368129708916001</v>
      </c>
      <c r="EO107" s="173">
        <f ca="1">(VLOOKUP(EO$72,INDIRECT($C$5&amp;"生成成长"),2))/((VLOOKUP($B107,INDIRECT($B$5&amp;"生成成长"),4))/(VLOOKUP(EO$72,INDIRECT($C$5&amp;"生成成长"),5))*(VLOOKUP($B$5,标准坦克设计!$B$24:$U$30,MATCH("对"&amp;LEFT($C$5,2)&amp;"输出",标准坦克设计!$B$23:$U$23,0)))*(VLOOKUP($B107,INDIRECT($B$5&amp;"生成成长"),3))*(VLOOKUP($B$5,标准坦克设计!$B$14:$K$20,9)/30))</f>
        <v>17.513083076457843</v>
      </c>
      <c r="EP107" s="173">
        <f ca="1">(VLOOKUP(EP$72,INDIRECT($C$5&amp;"生成成长"),2))/((VLOOKUP($B107,INDIRECT($B$5&amp;"生成成长"),4))/(VLOOKUP(EP$72,INDIRECT($C$5&amp;"生成成长"),5))*(VLOOKUP($B$5,标准坦克设计!$B$24:$U$30,MATCH("对"&amp;LEFT($C$5,2)&amp;"输出",标准坦克设计!$B$23:$U$23,0)))*(VLOOKUP($B107,INDIRECT($B$5&amp;"生成成长"),3))*(VLOOKUP($B$5,标准坦克设计!$B$14:$K$20,9)/30))</f>
        <v>18.696739093043355</v>
      </c>
      <c r="EQ107" s="173">
        <f ca="1">(VLOOKUP(EQ$72,INDIRECT($C$5&amp;"生成成长"),2))/((VLOOKUP($B107,INDIRECT($B$5&amp;"生成成长"),4))/(VLOOKUP(EQ$72,INDIRECT($C$5&amp;"生成成长"),5))*(VLOOKUP($B$5,标准坦克设计!$B$24:$U$30,MATCH("对"&amp;LEFT($C$5,2)&amp;"输出",标准坦克设计!$B$23:$U$23,0)))*(VLOOKUP($B107,INDIRECT($B$5&amp;"生成成长"),3))*(VLOOKUP($B$5,标准坦克设计!$B$14:$K$20,9)/30))</f>
        <v>8.2651657179922147</v>
      </c>
      <c r="ER107" s="173">
        <f ca="1">(VLOOKUP(ER$72,INDIRECT($C$5&amp;"生成成长"),2))/((VLOOKUP($B107,INDIRECT($B$5&amp;"生成成长"),4))/(VLOOKUP(ER$72,INDIRECT($C$5&amp;"生成成长"),5))*(VLOOKUP($B$5,标准坦克设计!$B$24:$U$30,MATCH("对"&amp;LEFT($C$5,2)&amp;"输出",标准坦克设计!$B$23:$U$23,0)))*(VLOOKUP($B107,INDIRECT($B$5&amp;"生成成长"),3))*(VLOOKUP($B$5,标准坦克设计!$B$14:$K$20,9)/30))</f>
        <v>9.0146263906190782</v>
      </c>
      <c r="ES107" s="173">
        <f ca="1">(VLOOKUP(ES$72,INDIRECT($C$5&amp;"生成成长"),2))/((VLOOKUP($B107,INDIRECT($B$5&amp;"生成成长"),4))/(VLOOKUP(ES$72,INDIRECT($C$5&amp;"生成成长"),5))*(VLOOKUP($B$5,标准坦克设计!$B$24:$U$30,MATCH("对"&amp;LEFT($C$5,2)&amp;"输出",标准坦克设计!$B$23:$U$23,0)))*(VLOOKUP($B107,INDIRECT($B$5&amp;"生成成长"),3))*(VLOOKUP($B$5,标准坦克设计!$B$14:$K$20,9)/30))</f>
        <v>9.7966080391784658</v>
      </c>
      <c r="ET107" s="173">
        <f ca="1">(VLOOKUP(ET$72,INDIRECT($C$5&amp;"生成成长"),2))/((VLOOKUP($B107,INDIRECT($B$5&amp;"生成成长"),4))/(VLOOKUP(ET$72,INDIRECT($C$5&amp;"生成成长"),5))*(VLOOKUP($B$5,标准坦克设计!$B$24:$U$30,MATCH("对"&amp;LEFT($C$5,2)&amp;"输出",标准坦克设计!$B$23:$U$23,0)))*(VLOOKUP($B107,INDIRECT($B$5&amp;"生成成长"),3))*(VLOOKUP($B$5,标准坦克设计!$B$14:$K$20,9)/30))</f>
        <v>10.611110663670383</v>
      </c>
      <c r="EU107" s="173">
        <f ca="1">(VLOOKUP(EU$72,INDIRECT($C$5&amp;"生成成长"),2))/((VLOOKUP($B107,INDIRECT($B$5&amp;"生成成长"),4))/(VLOOKUP(EU$72,INDIRECT($C$5&amp;"生成成长"),5))*(VLOOKUP($B$5,标准坦克设计!$B$24:$U$30,MATCH("对"&amp;LEFT($C$5,2)&amp;"输出",标准坦克设计!$B$23:$U$23,0)))*(VLOOKUP($B107,INDIRECT($B$5&amp;"生成成长"),3))*(VLOOKUP($B$5,标准坦克设计!$B$14:$K$20,9)/30))</f>
        <v>11.458134264094825</v>
      </c>
      <c r="EV107" s="173">
        <f ca="1">(VLOOKUP(EV$72,INDIRECT($C$5&amp;"生成成长"),2))/((VLOOKUP($B107,INDIRECT($B$5&amp;"生成成长"),4))/(VLOOKUP(EV$72,INDIRECT($C$5&amp;"生成成长"),5))*(VLOOKUP($B$5,标准坦克设计!$B$24:$U$30,MATCH("对"&amp;LEFT($C$5,2)&amp;"输出",标准坦克设计!$B$23:$U$23,0)))*(VLOOKUP($B107,INDIRECT($B$5&amp;"生成成长"),3))*(VLOOKUP($B$5,标准坦克设计!$B$14:$K$20,9)/30))</f>
        <v>12.337678840451794</v>
      </c>
      <c r="EW107" s="173">
        <f ca="1">(VLOOKUP(EW$72,INDIRECT($C$5&amp;"生成成长"),2))/((VLOOKUP($B107,INDIRECT($B$5&amp;"生成成长"),4))/(VLOOKUP(EW$72,INDIRECT($C$5&amp;"生成成长"),5))*(VLOOKUP($B$5,标准坦克设计!$B$24:$U$30,MATCH("对"&amp;LEFT($C$5,2)&amp;"输出",标准坦克设计!$B$23:$U$23,0)))*(VLOOKUP($B107,INDIRECT($B$5&amp;"生成成长"),3))*(VLOOKUP($B$5,标准坦克设计!$B$14:$K$20,9)/30))</f>
        <v>13.249744392741288</v>
      </c>
      <c r="EX107" s="173">
        <f ca="1">(VLOOKUP(EX$72,INDIRECT($C$5&amp;"生成成长"),2))/((VLOOKUP($B107,INDIRECT($B$5&amp;"生成成长"),4))/(VLOOKUP(EX$72,INDIRECT($C$5&amp;"生成成长"),5))*(VLOOKUP($B$5,标准坦克设计!$B$24:$U$30,MATCH("对"&amp;LEFT($C$5,2)&amp;"输出",标准坦克设计!$B$23:$U$23,0)))*(VLOOKUP($B107,INDIRECT($B$5&amp;"生成成长"),3))*(VLOOKUP($B$5,标准坦克设计!$B$14:$K$20,9)/30))</f>
        <v>14.194330920963312</v>
      </c>
      <c r="EY107" s="173">
        <f ca="1">(VLOOKUP(EY$72,INDIRECT($C$5&amp;"生成成长"),2))/((VLOOKUP($B107,INDIRECT($B$5&amp;"生成成长"),4))/(VLOOKUP(EY$72,INDIRECT($C$5&amp;"生成成长"),5))*(VLOOKUP($B$5,标准坦克设计!$B$24:$U$30,MATCH("对"&amp;LEFT($C$5,2)&amp;"输出",标准坦克设计!$B$23:$U$23,0)))*(VLOOKUP($B107,INDIRECT($B$5&amp;"生成成长"),3))*(VLOOKUP($B$5,标准坦克设计!$B$14:$K$20,9)/30))</f>
        <v>15.171438425117861</v>
      </c>
      <c r="EZ107" s="173">
        <f ca="1">(VLOOKUP(EZ$72,INDIRECT($C$5&amp;"生成成长"),2))/((VLOOKUP($B107,INDIRECT($B$5&amp;"生成成长"),4))/(VLOOKUP(EZ$72,INDIRECT($C$5&amp;"生成成长"),5))*(VLOOKUP($B$5,标准坦克设计!$B$24:$U$30,MATCH("对"&amp;LEFT($C$5,2)&amp;"输出",标准坦克设计!$B$23:$U$23,0)))*(VLOOKUP($B107,INDIRECT($B$5&amp;"生成成长"),3))*(VLOOKUP($B$5,标准坦克设计!$B$14:$K$20,9)/30))</f>
        <v>16.181066905204936</v>
      </c>
      <c r="FA107" s="173">
        <f ca="1">(VLOOKUP(FA$72,INDIRECT($C$5&amp;"生成成长"),2))/((VLOOKUP($B107,INDIRECT($B$5&amp;"生成成长"),4))/(VLOOKUP(FA$72,INDIRECT($C$5&amp;"生成成长"),5))*(VLOOKUP($B$5,标准坦克设计!$B$24:$U$30,MATCH("对"&amp;LEFT($C$5,2)&amp;"输出",标准坦克设计!$B$23:$U$23,0)))*(VLOOKUP($B107,INDIRECT($B$5&amp;"生成成长"),3))*(VLOOKUP($B$5,标准坦克设计!$B$14:$K$20,9)/30))</f>
        <v>17.223216361224541</v>
      </c>
      <c r="FB107" s="173">
        <f ca="1">(VLOOKUP(FB$72,INDIRECT($C$5&amp;"生成成长"),2))/((VLOOKUP($B107,INDIRECT($B$5&amp;"生成成长"),4))/(VLOOKUP(FB$72,INDIRECT($C$5&amp;"生成成长"),5))*(VLOOKUP($B$5,标准坦克设计!$B$24:$U$30,MATCH("对"&amp;LEFT($C$5,2)&amp;"输出",标准坦克设计!$B$23:$U$23,0)))*(VLOOKUP($B107,INDIRECT($B$5&amp;"生成成长"),3))*(VLOOKUP($B$5,标准坦克设计!$B$14:$K$20,9)/30))</f>
        <v>18.297886793176669</v>
      </c>
      <c r="FC107" s="173">
        <f ca="1">(VLOOKUP(FC$72,INDIRECT($C$5&amp;"生成成长"),2))/((VLOOKUP($B107,INDIRECT($B$5&amp;"生成成长"),4))/(VLOOKUP(FC$72,INDIRECT($C$5&amp;"生成成长"),5))*(VLOOKUP($B$5,标准坦克设计!$B$24:$U$30,MATCH("对"&amp;LEFT($C$5,2)&amp;"输出",标准坦克设计!$B$23:$U$23,0)))*(VLOOKUP($B107,INDIRECT($B$5&amp;"生成成长"),3))*(VLOOKUP($B$5,标准坦克设计!$B$14:$K$20,9)/30))</f>
        <v>19.405078201061322</v>
      </c>
      <c r="FD107" s="173">
        <f ca="1">(VLOOKUP(FD$72,INDIRECT($C$5&amp;"生成成长"),2))/((VLOOKUP($B107,INDIRECT($B$5&amp;"生成成长"),4))/(VLOOKUP(FD$72,INDIRECT($C$5&amp;"生成成长"),5))*(VLOOKUP($B$5,标准坦克设计!$B$24:$U$30,MATCH("对"&amp;LEFT($C$5,2)&amp;"输出",标准坦克设计!$B$23:$U$23,0)))*(VLOOKUP($B107,INDIRECT($B$5&amp;"生成成长"),3))*(VLOOKUP($B$5,标准坦克设计!$B$14:$K$20,9)/30))</f>
        <v>20.544790584878509</v>
      </c>
      <c r="FE107" s="173">
        <f ca="1">(VLOOKUP(FE$72,INDIRECT($C$5&amp;"生成成长"),2))/((VLOOKUP($B107,INDIRECT($B$5&amp;"生成成长"),4))/(VLOOKUP(FE$72,INDIRECT($C$5&amp;"生成成长"),5))*(VLOOKUP($B$5,标准坦克设计!$B$24:$U$30,MATCH("对"&amp;LEFT($C$5,2)&amp;"输出",标准坦克设计!$B$23:$U$23,0)))*(VLOOKUP($B107,INDIRECT($B$5&amp;"生成成长"),3))*(VLOOKUP($B$5,标准坦克设计!$B$14:$K$20,9)/30))</f>
        <v>21.9336512719143</v>
      </c>
      <c r="FF107" s="173">
        <f ca="1">(VLOOKUP(FF$72,INDIRECT($C$5&amp;"生成成长"),2))/((VLOOKUP($B107,INDIRECT($B$5&amp;"生成成长"),4))/(VLOOKUP(FF$72,INDIRECT($C$5&amp;"生成成长"),5))*(VLOOKUP($B$5,标准坦克设计!$B$24:$U$30,MATCH("对"&amp;LEFT($C$5,2)&amp;"输出",标准坦克设计!$B$23:$U$23,0)))*(VLOOKUP($B107,INDIRECT($B$5&amp;"生成成长"),3))*(VLOOKUP($B$5,标准坦克设计!$B$14:$K$20,9)/30))</f>
        <v>23.367933817897182</v>
      </c>
      <c r="FG107" s="173">
        <f ca="1">(VLOOKUP(FG$72,INDIRECT($C$5&amp;"生成成长"),2))/((VLOOKUP($B107,INDIRECT($B$5&amp;"生成成长"),4))/(VLOOKUP(FG$72,INDIRECT($C$5&amp;"生成成长"),5))*(VLOOKUP($B$5,标准坦克设计!$B$24:$U$30,MATCH("对"&amp;LEFT($C$5,2)&amp;"输出",标准坦克设计!$B$23:$U$23,0)))*(VLOOKUP($B107,INDIRECT($B$5&amp;"生成成长"),3))*(VLOOKUP($B$5,标准坦克设计!$B$14:$K$20,9)/30))</f>
        <v>24.84763822282714</v>
      </c>
      <c r="FH107" s="173">
        <f ca="1">(VLOOKUP(FH$72,INDIRECT($C$5&amp;"生成成长"),2))/((VLOOKUP($B107,INDIRECT($B$5&amp;"生成成长"),4))/(VLOOKUP(FH$72,INDIRECT($C$5&amp;"生成成长"),5))*(VLOOKUP($B$5,标准坦克设计!$B$24:$U$30,MATCH("对"&amp;LEFT($C$5,2)&amp;"输出",标准坦克设计!$B$23:$U$23,0)))*(VLOOKUP($B107,INDIRECT($B$5&amp;"生成成长"),3))*(VLOOKUP($B$5,标准坦克设计!$B$14:$K$20,9)/30))</f>
        <v>26.372764486704181</v>
      </c>
      <c r="FI107" s="173">
        <f ca="1">(VLOOKUP(FI$72,INDIRECT($C$5&amp;"生成成长"),2))/((VLOOKUP($B107,INDIRECT($B$5&amp;"生成成长"),4))/(VLOOKUP(FI$72,INDIRECT($C$5&amp;"生成成长"),5))*(VLOOKUP($B$5,标准坦克设计!$B$24:$U$30,MATCH("对"&amp;LEFT($C$5,2)&amp;"输出",标准坦克设计!$B$23:$U$23,0)))*(VLOOKUP($B107,INDIRECT($B$5&amp;"生成成长"),3))*(VLOOKUP($B$5,标准坦克设计!$B$14:$K$20,9)/30))</f>
        <v>27.943312609528306</v>
      </c>
      <c r="FJ107" s="173">
        <f ca="1">(VLOOKUP(FJ$72,INDIRECT($C$5&amp;"生成成长"),2))/((VLOOKUP($B107,INDIRECT($B$5&amp;"生成成长"),4))/(VLOOKUP(FJ$72,INDIRECT($C$5&amp;"生成成长"),5))*(VLOOKUP($B$5,标准坦克设计!$B$24:$U$30,MATCH("对"&amp;LEFT($C$5,2)&amp;"输出",标准坦克设计!$B$23:$U$23,0)))*(VLOOKUP($B107,INDIRECT($B$5&amp;"生成成长"),3))*(VLOOKUP($B$5,标准坦克设计!$B$14:$K$20,9)/30))</f>
        <v>29.559282591299514</v>
      </c>
      <c r="FK107" s="173">
        <f ca="1">(VLOOKUP(FK$72,INDIRECT($C$5&amp;"生成成长"),2))/((VLOOKUP($B107,INDIRECT($B$5&amp;"生成成长"),4))/(VLOOKUP(FK$72,INDIRECT($C$5&amp;"生成成长"),5))*(VLOOKUP($B$5,标准坦克设计!$B$24:$U$30,MATCH("对"&amp;LEFT($C$5,2)&amp;"输出",标准坦克设计!$B$23:$U$23,0)))*(VLOOKUP($B107,INDIRECT($B$5&amp;"生成成长"),3))*(VLOOKUP($B$5,标准坦克设计!$B$14:$K$20,9)/30))</f>
        <v>31.220674432017802</v>
      </c>
    </row>
    <row r="108" spans="1:167" x14ac:dyDescent="0.15">
      <c r="A108" s="171" t="str">
        <f t="shared" si="11"/>
        <v>T5低品质4级</v>
      </c>
      <c r="B108" s="172">
        <v>10504</v>
      </c>
      <c r="C108" s="173">
        <f ca="1">(VLOOKUP(C$72,INDIRECT($C$5&amp;"生成成长"),2))/((VLOOKUP($B108,INDIRECT($B$5&amp;"生成成长"),4))/(VLOOKUP(C$72,INDIRECT($C$5&amp;"生成成长"),5))*(VLOOKUP($B$5,标准坦克设计!$B$24:$U$30,MATCH("对"&amp;LEFT($C$5,2)&amp;"输出",标准坦克设计!$B$23:$U$23,0)))*(VLOOKUP($B108,INDIRECT($B$5&amp;"生成成长"),3))*(VLOOKUP($B$5,标准坦克设计!$B$14:$K$20,9)/30))</f>
        <v>1.2355742688320794</v>
      </c>
      <c r="D108" s="173">
        <f ca="1">(VLOOKUP(D$72,INDIRECT($C$5&amp;"生成成长"),2))/((VLOOKUP($B108,INDIRECT($B$5&amp;"生成成长"),4))/(VLOOKUP(D$72,INDIRECT($C$5&amp;"生成成长"),5))*(VLOOKUP($B$5,标准坦克设计!$B$24:$U$30,MATCH("对"&amp;LEFT($C$5,2)&amp;"输出",标准坦克设计!$B$23:$U$23,0)))*(VLOOKUP($B108,INDIRECT($B$5&amp;"生成成长"),3))*(VLOOKUP($B$5,标准坦克设计!$B$14:$K$20,9)/30))</f>
        <v>1.3882912484597243</v>
      </c>
      <c r="E108" s="173">
        <f ca="1">(VLOOKUP(E$72,INDIRECT($C$5&amp;"生成成长"),2))/((VLOOKUP($B108,INDIRECT($B$5&amp;"生成成长"),4))/(VLOOKUP(E$72,INDIRECT($C$5&amp;"生成成长"),5))*(VLOOKUP($B$5,标准坦克设计!$B$24:$U$30,MATCH("对"&amp;LEFT($C$5,2)&amp;"输出",标准坦克设计!$B$23:$U$23,0)))*(VLOOKUP($B108,INDIRECT($B$5&amp;"生成成长"),3))*(VLOOKUP($B$5,标准坦克设计!$B$14:$K$20,9)/30))</f>
        <v>1.5499043628229605</v>
      </c>
      <c r="F108" s="173">
        <f ca="1">(VLOOKUP(F$72,INDIRECT($C$5&amp;"生成成长"),2))/((VLOOKUP($B108,INDIRECT($B$5&amp;"生成成长"),4))/(VLOOKUP(F$72,INDIRECT($C$5&amp;"生成成长"),5))*(VLOOKUP($B$5,标准坦克设计!$B$24:$U$30,MATCH("对"&amp;LEFT($C$5,2)&amp;"输出",标准坦克设计!$B$23:$U$23,0)))*(VLOOKUP($B108,INDIRECT($B$5&amp;"生成成长"),3))*(VLOOKUP($B$5,标准坦克设计!$B$14:$K$20,9)/30))</f>
        <v>1.7204136119217872</v>
      </c>
      <c r="G108" s="173">
        <f ca="1">(VLOOKUP(G$72,INDIRECT($C$5&amp;"生成成长"),2))/((VLOOKUP($B108,INDIRECT($B$5&amp;"生成成长"),4))/(VLOOKUP(G$72,INDIRECT($C$5&amp;"生成成长"),5))*(VLOOKUP($B$5,标准坦克设计!$B$24:$U$30,MATCH("对"&amp;LEFT($C$5,2)&amp;"输出",标准坦克设计!$B$23:$U$23,0)))*(VLOOKUP($B108,INDIRECT($B$5&amp;"生成成长"),3))*(VLOOKUP($B$5,标准坦克设计!$B$14:$K$20,9)/30))</f>
        <v>1.8998189957562055</v>
      </c>
      <c r="H108" s="173">
        <f ca="1">(VLOOKUP(H$72,INDIRECT($C$5&amp;"生成成长"),2))/((VLOOKUP($B108,INDIRECT($B$5&amp;"生成成长"),4))/(VLOOKUP(H$72,INDIRECT($C$5&amp;"生成成长"),5))*(VLOOKUP($B$5,标准坦克设计!$B$24:$U$30,MATCH("对"&amp;LEFT($C$5,2)&amp;"输出",标准坦克设计!$B$23:$U$23,0)))*(VLOOKUP($B108,INDIRECT($B$5&amp;"生成成长"),3))*(VLOOKUP($B$5,标准坦克设计!$B$14:$K$20,9)/30))</f>
        <v>1.6625887361404463</v>
      </c>
      <c r="I108" s="173">
        <f ca="1">(VLOOKUP(I$72,INDIRECT($C$5&amp;"生成成长"),2))/((VLOOKUP($B108,INDIRECT($B$5&amp;"生成成长"),4))/(VLOOKUP(I$72,INDIRECT($C$5&amp;"生成成长"),5))*(VLOOKUP($B$5,标准坦克设计!$B$24:$U$30,MATCH("对"&amp;LEFT($C$5,2)&amp;"输出",标准坦克设计!$B$23:$U$23,0)))*(VLOOKUP($B108,INDIRECT($B$5&amp;"生成成长"),3))*(VLOOKUP($B$5,标准坦克设计!$B$14:$K$20,9)/30))</f>
        <v>1.8998189957562055</v>
      </c>
      <c r="J108" s="173">
        <f ca="1">(VLOOKUP(J$72,INDIRECT($C$5&amp;"生成成长"),2))/((VLOOKUP($B108,INDIRECT($B$5&amp;"生成成长"),4))/(VLOOKUP(J$72,INDIRECT($C$5&amp;"生成成长"),5))*(VLOOKUP($B$5,标准坦克设计!$B$24:$U$30,MATCH("对"&amp;LEFT($C$5,2)&amp;"输出",标准坦克设计!$B$23:$U$23,0)))*(VLOOKUP($B108,INDIRECT($B$5&amp;"生成成长"),3))*(VLOOKUP($B$5,标准坦克设计!$B$14:$K$20,9)/30))</f>
        <v>2.152864606013015</v>
      </c>
      <c r="K108" s="173">
        <f ca="1">(VLOOKUP(K$72,INDIRECT($C$5&amp;"生成成长"),2))/((VLOOKUP($B108,INDIRECT($B$5&amp;"生成成长"),4))/(VLOOKUP(K$72,INDIRECT($C$5&amp;"生成成长"),5))*(VLOOKUP($B$5,标准坦克设计!$B$24:$U$30,MATCH("对"&amp;LEFT($C$5,2)&amp;"输出",标准坦克设计!$B$23:$U$23,0)))*(VLOOKUP($B108,INDIRECT($B$5&amp;"生成成长"),3))*(VLOOKUP($B$5,标准坦克设计!$B$14:$K$20,9)/30))</f>
        <v>2.4217255669108759</v>
      </c>
      <c r="L108" s="173">
        <f ca="1">(VLOOKUP(L$72,INDIRECT($C$5&amp;"生成成长"),2))/((VLOOKUP($B108,INDIRECT($B$5&amp;"生成成长"),4))/(VLOOKUP(L$72,INDIRECT($C$5&amp;"生成成长"),5))*(VLOOKUP($B$5,标准坦克设计!$B$24:$U$30,MATCH("对"&amp;LEFT($C$5,2)&amp;"输出",标准坦克设计!$B$23:$U$23,0)))*(VLOOKUP($B108,INDIRECT($B$5&amp;"生成成长"),3))*(VLOOKUP($B$5,标准坦克设计!$B$14:$K$20,9)/30))</f>
        <v>2.7064018784497867</v>
      </c>
      <c r="M108" s="173">
        <f ca="1">(VLOOKUP(M$72,INDIRECT($C$5&amp;"生成成长"),2))/((VLOOKUP($B108,INDIRECT($B$5&amp;"生成成长"),4))/(VLOOKUP(M$72,INDIRECT($C$5&amp;"生成成长"),5))*(VLOOKUP($B$5,标准坦克设计!$B$24:$U$30,MATCH("对"&amp;LEFT($C$5,2)&amp;"输出",标准坦克设计!$B$23:$U$23,0)))*(VLOOKUP($B108,INDIRECT($B$5&amp;"生成成长"),3))*(VLOOKUP($B$5,标准坦克设计!$B$14:$K$20,9)/30))</f>
        <v>3.0068935406297483</v>
      </c>
      <c r="N108" s="173">
        <f ca="1">(VLOOKUP(N$72,INDIRECT($C$5&amp;"生成成长"),2))/((VLOOKUP($B108,INDIRECT($B$5&amp;"生成成长"),4))/(VLOOKUP(N$72,INDIRECT($C$5&amp;"生成成长"),5))*(VLOOKUP($B$5,标准坦克设计!$B$24:$U$30,MATCH("对"&amp;LEFT($C$5,2)&amp;"输出",标准坦克设计!$B$23:$U$23,0)))*(VLOOKUP($B108,INDIRECT($B$5&amp;"生成成长"),3))*(VLOOKUP($B$5,标准坦克设计!$B$14:$K$20,9)/30))</f>
        <v>3.3232005534507612</v>
      </c>
      <c r="O108" s="173">
        <f ca="1">(VLOOKUP(O$72,INDIRECT($C$5&amp;"生成成长"),2))/((VLOOKUP($B108,INDIRECT($B$5&amp;"生成成长"),4))/(VLOOKUP(O$72,INDIRECT($C$5&amp;"生成成长"),5))*(VLOOKUP($B$5,标准坦克设计!$B$24:$U$30,MATCH("对"&amp;LEFT($C$5,2)&amp;"输出",标准坦克设计!$B$23:$U$23,0)))*(VLOOKUP($B108,INDIRECT($B$5&amp;"生成成长"),3))*(VLOOKUP($B$5,标准坦克设计!$B$14:$K$20,9)/30))</f>
        <v>2.5266258223347196</v>
      </c>
      <c r="P108" s="173">
        <f ca="1">(VLOOKUP(P$72,INDIRECT($C$5&amp;"生成成长"),2))/((VLOOKUP($B108,INDIRECT($B$5&amp;"生成成长"),4))/(VLOOKUP(P$72,INDIRECT($C$5&amp;"生成成长"),5))*(VLOOKUP($B$5,标准坦克设计!$B$24:$U$30,MATCH("对"&amp;LEFT($C$5,2)&amp;"输出",标准坦克设计!$B$23:$U$23,0)))*(VLOOKUP($B108,INDIRECT($B$5&amp;"生成成长"),3))*(VLOOKUP($B$5,标准坦克设计!$B$14:$K$20,9)/30))</f>
        <v>2.8546707907096365</v>
      </c>
      <c r="Q108" s="173">
        <f ca="1">(VLOOKUP(Q$72,INDIRECT($C$5&amp;"生成成长"),2))/((VLOOKUP($B108,INDIRECT($B$5&amp;"生成成长"),4))/(VLOOKUP(Q$72,INDIRECT($C$5&amp;"生成成长"),5))*(VLOOKUP($B$5,标准坦克设计!$B$24:$U$30,MATCH("对"&amp;LEFT($C$5,2)&amp;"输出",标准坦克设计!$B$23:$U$23,0)))*(VLOOKUP($B108,INDIRECT($B$5&amp;"生成成长"),3))*(VLOOKUP($B$5,标准坦克设计!$B$14:$K$20,9)/30))</f>
        <v>3.2027320622396327</v>
      </c>
      <c r="R108" s="173">
        <f ca="1">(VLOOKUP(R$72,INDIRECT($C$5&amp;"生成成长"),2))/((VLOOKUP($B108,INDIRECT($B$5&amp;"生成成长"),4))/(VLOOKUP(R$72,INDIRECT($C$5&amp;"生成成长"),5))*(VLOOKUP($B$5,标准坦克设计!$B$24:$U$30,MATCH("对"&amp;LEFT($C$5,2)&amp;"输出",标准坦克设计!$B$23:$U$23,0)))*(VLOOKUP($B108,INDIRECT($B$5&amp;"生成成长"),3))*(VLOOKUP($B$5,标准坦克设计!$B$14:$K$20,9)/30))</f>
        <v>3.5708096369247095</v>
      </c>
      <c r="S108" s="173">
        <f ca="1">(VLOOKUP(S$72,INDIRECT($C$5&amp;"生成成长"),2))/((VLOOKUP($B108,INDIRECT($B$5&amp;"生成成长"),4))/(VLOOKUP(S$72,INDIRECT($C$5&amp;"生成成长"),5))*(VLOOKUP($B$5,标准坦克设计!$B$24:$U$30,MATCH("对"&amp;LEFT($C$5,2)&amp;"输出",标准坦克设计!$B$23:$U$23,0)))*(VLOOKUP($B108,INDIRECT($B$5&amp;"生成成长"),3))*(VLOOKUP($B$5,标准坦克设计!$B$14:$K$20,9)/30))</f>
        <v>3.9589035147648657</v>
      </c>
      <c r="T108" s="173">
        <f ca="1">(VLOOKUP(T$72,INDIRECT($C$5&amp;"生成成长"),2))/((VLOOKUP($B108,INDIRECT($B$5&amp;"生成成长"),4))/(VLOOKUP(T$72,INDIRECT($C$5&amp;"生成成长"),5))*(VLOOKUP($B$5,标准坦克设计!$B$24:$U$30,MATCH("对"&amp;LEFT($C$5,2)&amp;"输出",标准坦克设计!$B$23:$U$23,0)))*(VLOOKUP($B108,INDIRECT($B$5&amp;"生成成长"),3))*(VLOOKUP($B$5,标准坦克设计!$B$14:$K$20,9)/30))</f>
        <v>4.367013695760102</v>
      </c>
      <c r="U108" s="173">
        <f ca="1">(VLOOKUP(U$72,INDIRECT($C$5&amp;"生成成长"),2))/((VLOOKUP($B108,INDIRECT($B$5&amp;"生成成长"),4))/(VLOOKUP(U$72,INDIRECT($C$5&amp;"生成成长"),5))*(VLOOKUP($B$5,标准坦克设计!$B$24:$U$30,MATCH("对"&amp;LEFT($C$5,2)&amp;"输出",标准坦克设计!$B$23:$U$23,0)))*(VLOOKUP($B108,INDIRECT($B$5&amp;"生成成长"),3))*(VLOOKUP($B$5,标准坦克设计!$B$14:$K$20,9)/30))</f>
        <v>4.7951401799104172</v>
      </c>
      <c r="V108" s="173">
        <f ca="1">(VLOOKUP(V$72,INDIRECT($C$5&amp;"生成成长"),2))/((VLOOKUP($B108,INDIRECT($B$5&amp;"生成成长"),4))/(VLOOKUP(V$72,INDIRECT($C$5&amp;"生成成长"),5))*(VLOOKUP($B$5,标准坦克设计!$B$24:$U$30,MATCH("对"&amp;LEFT($C$5,2)&amp;"输出",标准坦克设计!$B$23:$U$23,0)))*(VLOOKUP($B108,INDIRECT($B$5&amp;"生成成长"),3))*(VLOOKUP($B$5,标准坦克设计!$B$14:$K$20,9)/30))</f>
        <v>5.2432829672158121</v>
      </c>
      <c r="W108" s="173">
        <f ca="1">(VLOOKUP(W$72,INDIRECT($C$5&amp;"生成成长"),2))/((VLOOKUP($B108,INDIRECT($B$5&amp;"生成成长"),4))/(VLOOKUP(W$72,INDIRECT($C$5&amp;"生成成长"),5))*(VLOOKUP($B$5,标准坦克设计!$B$24:$U$30,MATCH("对"&amp;LEFT($C$5,2)&amp;"输出",标准坦克设计!$B$23:$U$23,0)))*(VLOOKUP($B108,INDIRECT($B$5&amp;"生成成长"),3))*(VLOOKUP($B$5,标准坦克设计!$B$14:$K$20,9)/30))</f>
        <v>5.7114420576762868</v>
      </c>
      <c r="X108" s="173">
        <f ca="1">(VLOOKUP(X$72,INDIRECT($C$5&amp;"生成成长"),2))/((VLOOKUP($B108,INDIRECT($B$5&amp;"生成成长"),4))/(VLOOKUP(X$72,INDIRECT($C$5&amp;"生成成长"),5))*(VLOOKUP($B$5,标准坦克设计!$B$24:$U$30,MATCH("对"&amp;LEFT($C$5,2)&amp;"输出",标准坦克设计!$B$23:$U$23,0)))*(VLOOKUP($B108,INDIRECT($B$5&amp;"生成成长"),3))*(VLOOKUP($B$5,标准坦克设计!$B$14:$K$20,9)/30))</f>
        <v>4.1378146688917505</v>
      </c>
      <c r="Y108" s="173">
        <f ca="1">(VLOOKUP(Y$72,INDIRECT($C$5&amp;"生成成长"),2))/((VLOOKUP($B108,INDIRECT($B$5&amp;"生成成长"),4))/(VLOOKUP(Y$72,INDIRECT($C$5&amp;"生成成长"),5))*(VLOOKUP($B$5,标准坦克设计!$B$24:$U$30,MATCH("对"&amp;LEFT($C$5,2)&amp;"输出",标准坦克设计!$B$23:$U$23,0)))*(VLOOKUP($B108,INDIRECT($B$5&amp;"生成成长"),3))*(VLOOKUP($B$5,标准坦克设计!$B$14:$K$20,9)/30))</f>
        <v>4.6023905939726122</v>
      </c>
      <c r="Z108" s="173">
        <f ca="1">(VLOOKUP(Z$72,INDIRECT($C$5&amp;"生成成长"),2))/((VLOOKUP($B108,INDIRECT($B$5&amp;"生成成长"),4))/(VLOOKUP(Z$72,INDIRECT($C$5&amp;"生成成长"),5))*(VLOOKUP($B$5,标准坦克设计!$B$24:$U$30,MATCH("对"&amp;LEFT($C$5,2)&amp;"输出",标准坦克设计!$B$23:$U$23,0)))*(VLOOKUP($B108,INDIRECT($B$5&amp;"生成成长"),3))*(VLOOKUP($B$5,标准坦克设计!$B$14:$K$20,9)/30))</f>
        <v>5.0916780044301158</v>
      </c>
      <c r="AA108" s="173">
        <f ca="1">(VLOOKUP(AA$72,INDIRECT($C$5&amp;"生成成长"),2))/((VLOOKUP($B108,INDIRECT($B$5&amp;"生成成长"),4))/(VLOOKUP(AA$72,INDIRECT($C$5&amp;"生成成长"),5))*(VLOOKUP($B$5,标准坦克设计!$B$24:$U$30,MATCH("对"&amp;LEFT($C$5,2)&amp;"输出",标准坦克设计!$B$23:$U$23,0)))*(VLOOKUP($B108,INDIRECT($B$5&amp;"生成成长"),3))*(VLOOKUP($B$5,标准坦克设计!$B$14:$K$20,9)/30))</f>
        <v>5.6056769002642621</v>
      </c>
      <c r="AB108" s="173">
        <f ca="1">(VLOOKUP(AB$72,INDIRECT($C$5&amp;"生成成长"),2))/((VLOOKUP($B108,INDIRECT($B$5&amp;"生成成长"),4))/(VLOOKUP(AB$72,INDIRECT($C$5&amp;"生成成长"),5))*(VLOOKUP($B$5,标准坦克设计!$B$24:$U$30,MATCH("对"&amp;LEFT($C$5,2)&amp;"输出",标准坦克设计!$B$23:$U$23,0)))*(VLOOKUP($B108,INDIRECT($B$5&amp;"生成成长"),3))*(VLOOKUP($B$5,标准坦克设计!$B$14:$K$20,9)/30))</f>
        <v>6.1443872814750486</v>
      </c>
      <c r="AC108" s="173">
        <f ca="1">(VLOOKUP(AC$72,INDIRECT($C$5&amp;"生成成长"),2))/((VLOOKUP($B108,INDIRECT($B$5&amp;"生成成长"),4))/(VLOOKUP(AC$72,INDIRECT($C$5&amp;"生成成长"),5))*(VLOOKUP($B$5,标准坦克设计!$B$24:$U$30,MATCH("对"&amp;LEFT($C$5,2)&amp;"输出",标准坦克设计!$B$23:$U$23,0)))*(VLOOKUP($B108,INDIRECT($B$5&amp;"生成成长"),3))*(VLOOKUP($B$5,标准坦克设计!$B$14:$K$20,9)/30))</f>
        <v>6.7078091480624753</v>
      </c>
      <c r="AD108" s="173">
        <f ca="1">(VLOOKUP(AD$72,INDIRECT($C$5&amp;"生成成长"),2))/((VLOOKUP($B108,INDIRECT($B$5&amp;"生成成长"),4))/(VLOOKUP(AD$72,INDIRECT($C$5&amp;"生成成长"),5))*(VLOOKUP($B$5,标准坦克设计!$B$24:$U$30,MATCH("对"&amp;LEFT($C$5,2)&amp;"输出",标准坦克设计!$B$23:$U$23,0)))*(VLOOKUP($B108,INDIRECT($B$5&amp;"生成成长"),3))*(VLOOKUP($B$5,标准坦克设计!$B$14:$K$20,9)/30))</f>
        <v>7.2959425000265457</v>
      </c>
      <c r="AE108" s="173">
        <f ca="1">(VLOOKUP(AE$72,INDIRECT($C$5&amp;"生成成长"),2))/((VLOOKUP($B108,INDIRECT($B$5&amp;"生成成长"),4))/(VLOOKUP(AE$72,INDIRECT($C$5&amp;"生成成长"),5))*(VLOOKUP($B$5,标准坦克设计!$B$24:$U$30,MATCH("对"&amp;LEFT($C$5,2)&amp;"输出",标准坦克设计!$B$23:$U$23,0)))*(VLOOKUP($B108,INDIRECT($B$5&amp;"生成成长"),3))*(VLOOKUP($B$5,标准坦克设计!$B$14:$K$20,9)/30))</f>
        <v>7.9087873373672579</v>
      </c>
      <c r="AF108" s="173">
        <f ca="1">(VLOOKUP(AF$72,INDIRECT($C$5&amp;"生成成长"),2))/((VLOOKUP($B108,INDIRECT($B$5&amp;"生成成长"),4))/(VLOOKUP(AF$72,INDIRECT($C$5&amp;"生成成长"),5))*(VLOOKUP($B$5,标准坦克设计!$B$24:$U$30,MATCH("对"&amp;LEFT($C$5,2)&amp;"输出",标准坦克设计!$B$23:$U$23,0)))*(VLOOKUP($B108,INDIRECT($B$5&amp;"生成成长"),3))*(VLOOKUP($B$5,标准坦克设计!$B$14:$K$20,9)/30))</f>
        <v>8.5463436600846094</v>
      </c>
      <c r="AG108" s="173">
        <f ca="1">(VLOOKUP(AG$72,INDIRECT($C$5&amp;"生成成长"),2))/((VLOOKUP($B108,INDIRECT($B$5&amp;"生成成长"),4))/(VLOOKUP(AG$72,INDIRECT($C$5&amp;"生成成长"),5))*(VLOOKUP($B$5,标准坦克设计!$B$24:$U$30,MATCH("对"&amp;LEFT($C$5,2)&amp;"输出",标准坦克设计!$B$23:$U$23,0)))*(VLOOKUP($B108,INDIRECT($B$5&amp;"生成成长"),3))*(VLOOKUP($B$5,标准坦克设计!$B$14:$K$20,9)/30))</f>
        <v>9.2086114681786029</v>
      </c>
      <c r="AH108" s="173">
        <f ca="1">(VLOOKUP(AH$72,INDIRECT($C$5&amp;"生成成长"),2))/((VLOOKUP($B108,INDIRECT($B$5&amp;"生成成长"),4))/(VLOOKUP(AH$72,INDIRECT($C$5&amp;"生成成长"),5))*(VLOOKUP($B$5,标准坦克设计!$B$24:$U$30,MATCH("对"&amp;LEFT($C$5,2)&amp;"输出",标准坦克设计!$B$23:$U$23,0)))*(VLOOKUP($B108,INDIRECT($B$5&amp;"生成成长"),3))*(VLOOKUP($B$5,标准坦克设计!$B$14:$K$20,9)/30))</f>
        <v>9.89559076164924</v>
      </c>
      <c r="AI108" s="173">
        <f ca="1">(VLOOKUP(AI$72,INDIRECT($C$5&amp;"生成成长"),2))/((VLOOKUP($B108,INDIRECT($B$5&amp;"生成成长"),4))/(VLOOKUP(AI$72,INDIRECT($C$5&amp;"生成成长"),5))*(VLOOKUP($B$5,标准坦克设计!$B$24:$U$30,MATCH("对"&amp;LEFT($C$5,2)&amp;"输出",标准坦克设计!$B$23:$U$23,0)))*(VLOOKUP($B108,INDIRECT($B$5&amp;"生成成长"),3))*(VLOOKUP($B$5,标准坦克设计!$B$14:$K$20,9)/30))</f>
        <v>6.9987868883724316</v>
      </c>
      <c r="AJ108" s="173">
        <f ca="1">(VLOOKUP(AJ$72,INDIRECT($C$5&amp;"生成成长"),2))/((VLOOKUP($B108,INDIRECT($B$5&amp;"生成成长"),4))/(VLOOKUP(AJ$72,INDIRECT($C$5&amp;"生成成长"),5))*(VLOOKUP($B$5,标准坦克设计!$B$24:$U$30,MATCH("对"&amp;LEFT($C$5,2)&amp;"输出",标准坦克设计!$B$23:$U$23,0)))*(VLOOKUP($B108,INDIRECT($B$5&amp;"生成成长"),3))*(VLOOKUP($B$5,标准坦克设计!$B$14:$K$20,9)/30))</f>
        <v>7.6606840241857759</v>
      </c>
      <c r="AK108" s="173">
        <f ca="1">(VLOOKUP(AK$72,INDIRECT($C$5&amp;"生成成长"),2))/((VLOOKUP($B108,INDIRECT($B$5&amp;"生成成长"),4))/(VLOOKUP(AK$72,INDIRECT($C$5&amp;"生成成长"),5))*(VLOOKUP($B$5,标准坦克设计!$B$24:$U$30,MATCH("对"&amp;LEFT($C$5,2)&amp;"输出",标准坦克设计!$B$23:$U$23,0)))*(VLOOKUP($B108,INDIRECT($B$5&amp;"生成成长"),3))*(VLOOKUP($B$5,标准坦克设计!$B$14:$K$20,9)/30))</f>
        <v>8.3524820573048562</v>
      </c>
      <c r="AL108" s="173">
        <f ca="1">(VLOOKUP(AL$72,INDIRECT($C$5&amp;"生成成长"),2))/((VLOOKUP($B108,INDIRECT($B$5&amp;"生成成长"),4))/(VLOOKUP(AL$72,INDIRECT($C$5&amp;"生成成长"),5))*(VLOOKUP($B$5,标准坦克设计!$B$24:$U$30,MATCH("对"&amp;LEFT($C$5,2)&amp;"输出",标准坦克设计!$B$23:$U$23,0)))*(VLOOKUP($B108,INDIRECT($B$5&amp;"生成成长"),3))*(VLOOKUP($B$5,标准坦克设计!$B$14:$K$20,9)/30))</f>
        <v>9.0741809877296742</v>
      </c>
      <c r="AM108" s="173">
        <f ca="1">(VLOOKUP(AM$72,INDIRECT($C$5&amp;"生成成长"),2))/((VLOOKUP($B108,INDIRECT($B$5&amp;"生成成长"),4))/(VLOOKUP(AM$72,INDIRECT($C$5&amp;"生成成长"),5))*(VLOOKUP($B$5,标准坦克设计!$B$24:$U$30,MATCH("对"&amp;LEFT($C$5,2)&amp;"输出",标准坦克设计!$B$23:$U$23,0)))*(VLOOKUP($B108,INDIRECT($B$5&amp;"生成成长"),3))*(VLOOKUP($B$5,标准坦克设计!$B$14:$K$20,9)/30))</f>
        <v>9.8257808154602273</v>
      </c>
      <c r="AN108" s="173">
        <f ca="1">(VLOOKUP(AN$72,INDIRECT($C$5&amp;"生成成长"),2))/((VLOOKUP($B108,INDIRECT($B$5&amp;"生成成长"),4))/(VLOOKUP(AN$72,INDIRECT($C$5&amp;"生成成长"),5))*(VLOOKUP($B$5,标准坦克设计!$B$24:$U$30,MATCH("对"&amp;LEFT($C$5,2)&amp;"输出",标准坦克设计!$B$23:$U$23,0)))*(VLOOKUP($B108,INDIRECT($B$5&amp;"生成成长"),3))*(VLOOKUP($B$5,标准坦克设计!$B$14:$K$20,9)/30))</f>
        <v>10.607281540496517</v>
      </c>
      <c r="AO108" s="173">
        <f ca="1">(VLOOKUP(AO$72,INDIRECT($C$5&amp;"生成成长"),2))/((VLOOKUP($B108,INDIRECT($B$5&amp;"生成成长"),4))/(VLOOKUP(AO$72,INDIRECT($C$5&amp;"生成成长"),5))*(VLOOKUP($B$5,标准坦克设计!$B$24:$U$30,MATCH("对"&amp;LEFT($C$5,2)&amp;"输出",标准坦克设计!$B$23:$U$23,0)))*(VLOOKUP($B108,INDIRECT($B$5&amp;"生成成长"),3))*(VLOOKUP($B$5,标准坦克设计!$B$14:$K$20,9)/30))</f>
        <v>11.418683162838546</v>
      </c>
      <c r="AP108" s="173">
        <f ca="1">(VLOOKUP(AP$72,INDIRECT($C$5&amp;"生成成长"),2))/((VLOOKUP($B108,INDIRECT($B$5&amp;"生成成长"),4))/(VLOOKUP(AP$72,INDIRECT($C$5&amp;"生成成长"),5))*(VLOOKUP($B$5,标准坦克设计!$B$24:$U$30,MATCH("对"&amp;LEFT($C$5,2)&amp;"输出",标准坦克设计!$B$23:$U$23,0)))*(VLOOKUP($B108,INDIRECT($B$5&amp;"生成成长"),3))*(VLOOKUP($B$5,标准坦克设计!$B$14:$K$20,9)/30))</f>
        <v>12.259985682486308</v>
      </c>
      <c r="AQ108" s="173">
        <f ca="1">(VLOOKUP(AQ$72,INDIRECT($C$5&amp;"生成成长"),2))/((VLOOKUP($B108,INDIRECT($B$5&amp;"生成成长"),4))/(VLOOKUP(AQ$72,INDIRECT($C$5&amp;"生成成长"),5))*(VLOOKUP($B$5,标准坦克设计!$B$24:$U$30,MATCH("对"&amp;LEFT($C$5,2)&amp;"输出",标准坦克设计!$B$23:$U$23,0)))*(VLOOKUP($B108,INDIRECT($B$5&amp;"生成成长"),3))*(VLOOKUP($B$5,标准坦克设计!$B$14:$K$20,9)/30))</f>
        <v>13.131189099439808</v>
      </c>
      <c r="AR108" s="173">
        <f ca="1">(VLOOKUP(AR$72,INDIRECT($C$5&amp;"生成成长"),2))/((VLOOKUP($B108,INDIRECT($B$5&amp;"生成成长"),4))/(VLOOKUP(AR$72,INDIRECT($C$5&amp;"生成成长"),5))*(VLOOKUP($B$5,标准坦克设计!$B$24:$U$30,MATCH("对"&amp;LEFT($C$5,2)&amp;"输出",标准坦克设计!$B$23:$U$23,0)))*(VLOOKUP($B108,INDIRECT($B$5&amp;"生成成长"),3))*(VLOOKUP($B$5,标准坦克设计!$B$14:$K$20,9)/30))</f>
        <v>14.032293413699042</v>
      </c>
      <c r="AS108" s="173">
        <f ca="1">(VLOOKUP(AS$72,INDIRECT($C$5&amp;"生成成长"),2))/((VLOOKUP($B108,INDIRECT($B$5&amp;"生成成长"),4))/(VLOOKUP(AS$72,INDIRECT($C$5&amp;"生成成长"),5))*(VLOOKUP($B$5,标准坦克设计!$B$24:$U$30,MATCH("对"&amp;LEFT($C$5,2)&amp;"输出",标准坦克设计!$B$23:$U$23,0)))*(VLOOKUP($B108,INDIRECT($B$5&amp;"生成成长"),3))*(VLOOKUP($B$5,标准坦克设计!$B$14:$K$20,9)/30))</f>
        <v>14.963298625264013</v>
      </c>
      <c r="AT108" s="173">
        <f ca="1">(VLOOKUP(AT$72,INDIRECT($C$5&amp;"生成成长"),2))/((VLOOKUP($B108,INDIRECT($B$5&amp;"生成成长"),4))/(VLOOKUP(AT$72,INDIRECT($C$5&amp;"生成成长"),5))*(VLOOKUP($B$5,标准坦克设计!$B$24:$U$30,MATCH("对"&amp;LEFT($C$5,2)&amp;"输出",标准坦克设计!$B$23:$U$23,0)))*(VLOOKUP($B108,INDIRECT($B$5&amp;"生成成长"),3))*(VLOOKUP($B$5,标准坦克设计!$B$14:$K$20,9)/30))</f>
        <v>15.924204734134722</v>
      </c>
      <c r="AU108" s="173">
        <f ca="1">(VLOOKUP(AU$72,INDIRECT($C$5&amp;"生成成长"),2))/((VLOOKUP($B108,INDIRECT($B$5&amp;"生成成长"),4))/(VLOOKUP(AU$72,INDIRECT($C$5&amp;"生成成长"),5))*(VLOOKUP($B$5,标准坦克设计!$B$24:$U$30,MATCH("对"&amp;LEFT($C$5,2)&amp;"输出",标准坦克设计!$B$23:$U$23,0)))*(VLOOKUP($B108,INDIRECT($B$5&amp;"生成成长"),3))*(VLOOKUP($B$5,标准坦克设计!$B$14:$K$20,9)/30))</f>
        <v>16.915011740311169</v>
      </c>
      <c r="AV108" s="173">
        <f ca="1">(VLOOKUP(AV$72,INDIRECT($C$5&amp;"生成成长"),2))/((VLOOKUP($B108,INDIRECT($B$5&amp;"生成成长"),4))/(VLOOKUP(AV$72,INDIRECT($C$5&amp;"生成成长"),5))*(VLOOKUP($B$5,标准坦克设计!$B$24:$U$30,MATCH("对"&amp;LEFT($C$5,2)&amp;"输出",标准坦克设计!$B$23:$U$23,0)))*(VLOOKUP($B108,INDIRECT($B$5&amp;"生成成长"),3))*(VLOOKUP($B$5,标准坦克设计!$B$14:$K$20,9)/30))</f>
        <v>1.7204136119217872</v>
      </c>
      <c r="AW108" s="173">
        <f ca="1">(VLOOKUP(AW$72,INDIRECT($C$5&amp;"生成成长"),2))/((VLOOKUP($B108,INDIRECT($B$5&amp;"生成成长"),4))/(VLOOKUP(AW$72,INDIRECT($C$5&amp;"生成成长"),5))*(VLOOKUP($B$5,标准坦克设计!$B$24:$U$30,MATCH("对"&amp;LEFT($C$5,2)&amp;"输出",标准坦克设计!$B$23:$U$23,0)))*(VLOOKUP($B108,INDIRECT($B$5&amp;"生成成长"),3))*(VLOOKUP($B$5,标准坦克设计!$B$14:$K$20,9)/30))</f>
        <v>1.9615977091978094</v>
      </c>
      <c r="AX108" s="173">
        <f ca="1">(VLOOKUP(AX$72,INDIRECT($C$5&amp;"生成成长"),2))/((VLOOKUP($B108,INDIRECT($B$5&amp;"生成成长"),4))/(VLOOKUP(AX$72,INDIRECT($C$5&amp;"生成成长"),5))*(VLOOKUP($B$5,标准坦克设计!$B$24:$U$30,MATCH("对"&amp;LEFT($C$5,2)&amp;"输出",标准坦克设计!$B$23:$U$23,0)))*(VLOOKUP($B108,INDIRECT($B$5&amp;"生成成长"),3))*(VLOOKUP($B$5,标准坦克设计!$B$14:$K$20,9)/30))</f>
        <v>2.2185971571148815</v>
      </c>
      <c r="AY108" s="173">
        <f ca="1">(VLOOKUP(AY$72,INDIRECT($C$5&amp;"生成成长"),2))/((VLOOKUP($B108,INDIRECT($B$5&amp;"生成成长"),4))/(VLOOKUP(AY$72,INDIRECT($C$5&amp;"生成成长"),5))*(VLOOKUP($B$5,标准坦克设计!$B$24:$U$30,MATCH("对"&amp;LEFT($C$5,2)&amp;"输出",标准坦克设计!$B$23:$U$23,0)))*(VLOOKUP($B108,INDIRECT($B$5&amp;"生成成长"),3))*(VLOOKUP($B$5,标准坦克设计!$B$14:$K$20,9)/30))</f>
        <v>2.491411955673005</v>
      </c>
      <c r="AZ108" s="173">
        <f ca="1">(VLOOKUP(AZ$72,INDIRECT($C$5&amp;"生成成长"),2))/((VLOOKUP($B108,INDIRECT($B$5&amp;"生成成长"),4))/(VLOOKUP(AZ$72,INDIRECT($C$5&amp;"生成成长"),5))*(VLOOKUP($B$5,标准坦克设计!$B$24:$U$30,MATCH("对"&amp;LEFT($C$5,2)&amp;"输出",标准坦克设计!$B$23:$U$23,0)))*(VLOOKUP($B108,INDIRECT($B$5&amp;"生成成长"),3))*(VLOOKUP($B$5,标准坦克设计!$B$14:$K$20,9)/30))</f>
        <v>2.7800421048721784</v>
      </c>
      <c r="BA108" s="173">
        <f ca="1">(VLOOKUP(BA$72,INDIRECT($C$5&amp;"生成成长"),2))/((VLOOKUP($B108,INDIRECT($B$5&amp;"生成成长"),4))/(VLOOKUP(BA$72,INDIRECT($C$5&amp;"生成成长"),5))*(VLOOKUP($B$5,标准坦克设计!$B$24:$U$30,MATCH("对"&amp;LEFT($C$5,2)&amp;"输出",标准坦克设计!$B$23:$U$23,0)))*(VLOOKUP($B108,INDIRECT($B$5&amp;"生成成长"),3))*(VLOOKUP($B$5,标准坦克设计!$B$14:$K$20,9)/30))</f>
        <v>3.084487604712403</v>
      </c>
      <c r="BB108" s="173">
        <f ca="1">(VLOOKUP(BB$72,INDIRECT($C$5&amp;"生成成长"),2))/((VLOOKUP($B108,INDIRECT($B$5&amp;"生成成长"),4))/(VLOOKUP(BB$72,INDIRECT($C$5&amp;"生成成长"),5))*(VLOOKUP($B$5,标准坦克设计!$B$24:$U$30,MATCH("对"&amp;LEFT($C$5,2)&amp;"输出",标准坦克设计!$B$23:$U$23,0)))*(VLOOKUP($B108,INDIRECT($B$5&amp;"生成成长"),3))*(VLOOKUP($B$5,标准坦克设计!$B$14:$K$20,9)/30))</f>
        <v>3.4047484551936775</v>
      </c>
      <c r="BC108" s="173">
        <f ca="1">(VLOOKUP(BC$72,INDIRECT($C$5&amp;"生成成长"),2))/((VLOOKUP($B108,INDIRECT($B$5&amp;"生成成长"),4))/(VLOOKUP(BC$72,INDIRECT($C$5&amp;"生成成长"),5))*(VLOOKUP($B$5,标准坦克设计!$B$24:$U$30,MATCH("对"&amp;LEFT($C$5,2)&amp;"输出",标准坦克设计!$B$23:$U$23,0)))*(VLOOKUP($B108,INDIRECT($B$5&amp;"生成成长"),3))*(VLOOKUP($B$5,标准坦克设计!$B$14:$K$20,9)/30))</f>
        <v>3.7408246563160032</v>
      </c>
      <c r="BD108" s="173">
        <f ca="1">(VLOOKUP(BD$72,INDIRECT($C$5&amp;"生成成长"),2))/((VLOOKUP($B108,INDIRECT($B$5&amp;"生成成长"),4))/(VLOOKUP(BD$72,INDIRECT($C$5&amp;"生成成长"),5))*(VLOOKUP($B$5,标准坦克设计!$B$24:$U$30,MATCH("对"&amp;LEFT($C$5,2)&amp;"输出",标准坦克设计!$B$23:$U$23,0)))*(VLOOKUP($B108,INDIRECT($B$5&amp;"生成成长"),3))*(VLOOKUP($B$5,标准坦克设计!$B$14:$K$20,9)/30))</f>
        <v>4.1378146688917505</v>
      </c>
      <c r="BE108" s="173">
        <f ca="1">(VLOOKUP(BE$72,INDIRECT($C$5&amp;"生成成长"),2))/((VLOOKUP($B108,INDIRECT($B$5&amp;"生成成长"),4))/(VLOOKUP(BE$72,INDIRECT($C$5&amp;"生成成长"),5))*(VLOOKUP($B$5,标准坦克设计!$B$24:$U$30,MATCH("对"&amp;LEFT($C$5,2)&amp;"输出",标准坦克设计!$B$23:$U$23,0)))*(VLOOKUP($B108,INDIRECT($B$5&amp;"生成成长"),3))*(VLOOKUP($B$5,标准坦克设计!$B$14:$K$20,9)/30))</f>
        <v>4.5548209846225776</v>
      </c>
      <c r="BF108" s="173">
        <f ca="1">(VLOOKUP(BF$72,INDIRECT($C$5&amp;"生成成长"),2))/((VLOOKUP($B108,INDIRECT($B$5&amp;"生成成长"),4))/(VLOOKUP(BF$72,INDIRECT($C$5&amp;"生成成长"),5))*(VLOOKUP($B$5,标准坦克设计!$B$24:$U$30,MATCH("对"&amp;LEFT($C$5,2)&amp;"输出",标准坦克设计!$B$23:$U$23,0)))*(VLOOKUP($B108,INDIRECT($B$5&amp;"生成成长"),3))*(VLOOKUP($B$5,标准坦克设计!$B$14:$K$20,9)/30))</f>
        <v>4.9918436035084843</v>
      </c>
      <c r="BG108" s="173">
        <f ca="1">(VLOOKUP(BG$72,INDIRECT($C$5&amp;"生成成长"),2))/((VLOOKUP($B108,INDIRECT($B$5&amp;"生成成长"),4))/(VLOOKUP(BG$72,INDIRECT($C$5&amp;"生成成长"),5))*(VLOOKUP($B$5,标准坦克设计!$B$24:$U$30,MATCH("对"&amp;LEFT($C$5,2)&amp;"输出",标准坦克设计!$B$23:$U$23,0)))*(VLOOKUP($B108,INDIRECT($B$5&amp;"生成成长"),3))*(VLOOKUP($B$5,标准坦克设计!$B$14:$K$20,9)/30))</f>
        <v>5.4488825255494691</v>
      </c>
      <c r="BH108" s="173">
        <f ca="1">(VLOOKUP(BH$72,INDIRECT($C$5&amp;"生成成长"),2))/((VLOOKUP($B108,INDIRECT($B$5&amp;"生成成长"),4))/(VLOOKUP(BH$72,INDIRECT($C$5&amp;"生成成长"),5))*(VLOOKUP($B$5,标准坦克设计!$B$24:$U$30,MATCH("对"&amp;LEFT($C$5,2)&amp;"输出",标准坦克设计!$B$23:$U$23,0)))*(VLOOKUP($B108,INDIRECT($B$5&amp;"生成成长"),3))*(VLOOKUP($B$5,标准坦克设计!$B$14:$K$20,9)/30))</f>
        <v>2.6337501114424602</v>
      </c>
      <c r="BI108" s="173">
        <f ca="1">(VLOOKUP(BI$72,INDIRECT($C$5&amp;"生成成长"),2))/((VLOOKUP($B108,INDIRECT($B$5&amp;"生成成长"),4))/(VLOOKUP(BI$72,INDIRECT($C$5&amp;"生成成长"),5))*(VLOOKUP($B$5,标准坦克设计!$B$24:$U$30,MATCH("对"&amp;LEFT($C$5,2)&amp;"输出",标准坦克设计!$B$23:$U$23,0)))*(VLOOKUP($B108,INDIRECT($B$5&amp;"生成成长"),3))*(VLOOKUP($B$5,标准坦克设计!$B$14:$K$20,9)/30))</f>
        <v>2.9684671808690712</v>
      </c>
      <c r="BJ108" s="173">
        <f ca="1">(VLOOKUP(BJ$72,INDIRECT($C$5&amp;"生成成长"),2))/((VLOOKUP($B108,INDIRECT($B$5&amp;"生成成长"),4))/(VLOOKUP(BJ$72,INDIRECT($C$5&amp;"生成成长"),5))*(VLOOKUP($B$5,标准坦克设计!$B$24:$U$30,MATCH("对"&amp;LEFT($C$5,2)&amp;"输出",标准坦克设计!$B$23:$U$23,0)))*(VLOOKUP($B108,INDIRECT($B$5&amp;"生成成长"),3))*(VLOOKUP($B$5,标准坦克设计!$B$14:$K$20,9)/30))</f>
        <v>3.3232005534507612</v>
      </c>
      <c r="BK108" s="173">
        <f ca="1">(VLOOKUP(BK$72,INDIRECT($C$5&amp;"生成成长"),2))/((VLOOKUP($B108,INDIRECT($B$5&amp;"生成成长"),4))/(VLOOKUP(BK$72,INDIRECT($C$5&amp;"生成成长"),5))*(VLOOKUP($B$5,标准坦克设计!$B$24:$U$30,MATCH("对"&amp;LEFT($C$5,2)&amp;"输出",标准坦克设计!$B$23:$U$23,0)))*(VLOOKUP($B108,INDIRECT($B$5&amp;"生成成长"),3))*(VLOOKUP($B$5,标准坦克设计!$B$14:$K$20,9)/30))</f>
        <v>3.6979502291875304</v>
      </c>
      <c r="BL108" s="173">
        <f ca="1">(VLOOKUP(BL$72,INDIRECT($C$5&amp;"生成成长"),2))/((VLOOKUP($B108,INDIRECT($B$5&amp;"生成成长"),4))/(VLOOKUP(BL$72,INDIRECT($C$5&amp;"生成成长"),5))*(VLOOKUP($B$5,标准坦克设计!$B$24:$U$30,MATCH("对"&amp;LEFT($C$5,2)&amp;"输出",标准坦克设计!$B$23:$U$23,0)))*(VLOOKUP($B108,INDIRECT($B$5&amp;"生成成长"),3))*(VLOOKUP($B$5,标准坦克设计!$B$14:$K$20,9)/30))</f>
        <v>4.0927162080793797</v>
      </c>
      <c r="BM108" s="173">
        <f ca="1">(VLOOKUP(BM$72,INDIRECT($C$5&amp;"生成成长"),2))/((VLOOKUP($B108,INDIRECT($B$5&amp;"生成成长"),4))/(VLOOKUP(BM$72,INDIRECT($C$5&amp;"生成成长"),5))*(VLOOKUP($B$5,标准坦克设计!$B$24:$U$30,MATCH("对"&amp;LEFT($C$5,2)&amp;"输出",标准坦克设计!$B$23:$U$23,0)))*(VLOOKUP($B108,INDIRECT($B$5&amp;"生成成长"),3))*(VLOOKUP($B$5,标准坦克设计!$B$14:$K$20,9)/30))</f>
        <v>4.5074984901263093</v>
      </c>
      <c r="BN108" s="173">
        <f ca="1">(VLOOKUP(BN$72,INDIRECT($C$5&amp;"生成成长"),2))/((VLOOKUP($B108,INDIRECT($B$5&amp;"生成成长"),4))/(VLOOKUP(BN$72,INDIRECT($C$5&amp;"生成成长"),5))*(VLOOKUP($B$5,标准坦克设计!$B$24:$U$30,MATCH("对"&amp;LEFT($C$5,2)&amp;"输出",标准坦克设计!$B$23:$U$23,0)))*(VLOOKUP($B108,INDIRECT($B$5&amp;"生成成长"),3))*(VLOOKUP($B$5,标准坦克设计!$B$14:$K$20,9)/30))</f>
        <v>4.9422970753283177</v>
      </c>
      <c r="BO108" s="173">
        <f ca="1">(VLOOKUP(BO$72,INDIRECT($C$5&amp;"生成成长"),2))/((VLOOKUP($B108,INDIRECT($B$5&amp;"生成成长"),4))/(VLOOKUP(BO$72,INDIRECT($C$5&amp;"生成成长"),5))*(VLOOKUP($B$5,标准坦克设计!$B$24:$U$30,MATCH("对"&amp;LEFT($C$5,2)&amp;"输出",标准坦克设计!$B$23:$U$23,0)))*(VLOOKUP($B108,INDIRECT($B$5&amp;"生成成长"),3))*(VLOOKUP($B$5,标准坦克设计!$B$14:$K$20,9)/30))</f>
        <v>5.3971119636854059</v>
      </c>
      <c r="BP108" s="173">
        <f ca="1">(VLOOKUP(BP$72,INDIRECT($C$5&amp;"生成成长"),2))/((VLOOKUP($B108,INDIRECT($B$5&amp;"生成成长"),4))/(VLOOKUP(BP$72,INDIRECT($C$5&amp;"生成成长"),5))*(VLOOKUP($B$5,标准坦克设计!$B$24:$U$30,MATCH("对"&amp;LEFT($C$5,2)&amp;"输出",标准坦克设计!$B$23:$U$23,0)))*(VLOOKUP($B108,INDIRECT($B$5&amp;"生成成长"),3))*(VLOOKUP($B$5,标准坦克设计!$B$14:$K$20,9)/30))</f>
        <v>5.8719431551975747</v>
      </c>
      <c r="BQ108" s="173">
        <f ca="1">(VLOOKUP(BQ$72,INDIRECT($C$5&amp;"生成成长"),2))/((VLOOKUP($B108,INDIRECT($B$5&amp;"生成成长"),4))/(VLOOKUP(BQ$72,INDIRECT($C$5&amp;"生成成长"),5))*(VLOOKUP($B$5,标准坦克设计!$B$24:$U$30,MATCH("对"&amp;LEFT($C$5,2)&amp;"输出",标准坦克设计!$B$23:$U$23,0)))*(VLOOKUP($B108,INDIRECT($B$5&amp;"生成成长"),3))*(VLOOKUP($B$5,标准坦克设计!$B$14:$K$20,9)/30))</f>
        <v>6.3667906498648223</v>
      </c>
      <c r="BR108" s="173">
        <f ca="1">(VLOOKUP(BR$72,INDIRECT($C$5&amp;"生成成长"),2))/((VLOOKUP($B108,INDIRECT($B$5&amp;"生成成长"),4))/(VLOOKUP(BR$72,INDIRECT($C$5&amp;"生成成长"),5))*(VLOOKUP($B$5,标准坦克设计!$B$24:$U$30,MATCH("对"&amp;LEFT($C$5,2)&amp;"输出",标准坦克设计!$B$23:$U$23,0)))*(VLOOKUP($B108,INDIRECT($B$5&amp;"生成成长"),3))*(VLOOKUP($B$5,标准坦克设计!$B$14:$K$20,9)/30))</f>
        <v>6.940097110602907</v>
      </c>
      <c r="BS108" s="173">
        <f ca="1">(VLOOKUP(BS$72,INDIRECT($C$5&amp;"生成成长"),2))/((VLOOKUP($B108,INDIRECT($B$5&amp;"生成成长"),4))/(VLOOKUP(BS$72,INDIRECT($C$5&amp;"生成成长"),5))*(VLOOKUP($B$5,标准坦克设计!$B$24:$U$30,MATCH("对"&amp;LEFT($C$5,2)&amp;"输出",标准坦克设计!$B$23:$U$23,0)))*(VLOOKUP($B108,INDIRECT($B$5&amp;"生成成长"),3))*(VLOOKUP($B$5,标准坦克设计!$B$14:$K$20,9)/30))</f>
        <v>7.5381150567176327</v>
      </c>
      <c r="BT108" s="173">
        <f ca="1">(VLOOKUP(BT$72,INDIRECT($C$5&amp;"生成成长"),2))/((VLOOKUP($B108,INDIRECT($B$5&amp;"生成成长"),4))/(VLOOKUP(BT$72,INDIRECT($C$5&amp;"生成成长"),5))*(VLOOKUP($B$5,标准坦克设计!$B$24:$U$30,MATCH("对"&amp;LEFT($C$5,2)&amp;"输出",标准坦克设计!$B$23:$U$23,0)))*(VLOOKUP($B108,INDIRECT($B$5&amp;"生成成长"),3))*(VLOOKUP($B$5,标准坦克设计!$B$14:$K$20,9)/30))</f>
        <v>8.1608444882090012</v>
      </c>
      <c r="BU108" s="173">
        <f ca="1">(VLOOKUP(BU$72,INDIRECT($C$5&amp;"生成成长"),2))/((VLOOKUP($B108,INDIRECT($B$5&amp;"生成成长"),4))/(VLOOKUP(BU$72,INDIRECT($C$5&amp;"生成成长"),5))*(VLOOKUP($B$5,标准坦克设计!$B$24:$U$30,MATCH("对"&amp;LEFT($C$5,2)&amp;"输出",标准坦克设计!$B$23:$U$23,0)))*(VLOOKUP($B108,INDIRECT($B$5&amp;"生成成长"),3))*(VLOOKUP($B$5,标准坦克设计!$B$14:$K$20,9)/30))</f>
        <v>8.8082854050770099</v>
      </c>
      <c r="BV108" s="173">
        <f ca="1">(VLOOKUP(BV$72,INDIRECT($C$5&amp;"生成成长"),2))/((VLOOKUP($B108,INDIRECT($B$5&amp;"生成成长"),4))/(VLOOKUP(BV$72,INDIRECT($C$5&amp;"生成成长"),5))*(VLOOKUP($B$5,标准坦克设计!$B$24:$U$30,MATCH("对"&amp;LEFT($C$5,2)&amp;"输出",标准坦克设计!$B$23:$U$23,0)))*(VLOOKUP($B108,INDIRECT($B$5&amp;"生成成长"),3))*(VLOOKUP($B$5,标准坦克设计!$B$14:$K$20,9)/30))</f>
        <v>9.4804378073216622</v>
      </c>
      <c r="BW108" s="173">
        <f ca="1">(VLOOKUP(BW$72,INDIRECT($C$5&amp;"生成成长"),2))/((VLOOKUP($B108,INDIRECT($B$5&amp;"生成成长"),4))/(VLOOKUP(BW$72,INDIRECT($C$5&amp;"生成成长"),5))*(VLOOKUP($B$5,标准坦克设计!$B$24:$U$30,MATCH("对"&amp;LEFT($C$5,2)&amp;"输出",标准坦克设计!$B$23:$U$23,0)))*(VLOOKUP($B108,INDIRECT($B$5&amp;"生成成长"),3))*(VLOOKUP($B$5,标准坦克设计!$B$14:$K$20,9)/30))</f>
        <v>4.3206796606788984</v>
      </c>
      <c r="BX108" s="173">
        <f ca="1">(VLOOKUP(BX$72,INDIRECT($C$5&amp;"生成成长"),2))/((VLOOKUP($B108,INDIRECT($B$5&amp;"生成成长"),4))/(VLOOKUP(BX$72,INDIRECT($C$5&amp;"生成成长"),5))*(VLOOKUP($B$5,标准坦克设计!$B$24:$U$30,MATCH("对"&amp;LEFT($C$5,2)&amp;"输出",标准坦克设计!$B$23:$U$23,0)))*(VLOOKUP($B108,INDIRECT($B$5&amp;"生成成长"),3))*(VLOOKUP($B$5,标准坦克设计!$B$14:$K$20,9)/30))</f>
        <v>4.7951401799104172</v>
      </c>
      <c r="BY108" s="173">
        <f ca="1">(VLOOKUP(BY$72,INDIRECT($C$5&amp;"生成成长"),2))/((VLOOKUP($B108,INDIRECT($B$5&amp;"生成成长"),4))/(VLOOKUP(BY$72,INDIRECT($C$5&amp;"生成成长"),5))*(VLOOKUP($B$5,标准坦克设计!$B$24:$U$30,MATCH("对"&amp;LEFT($C$5,2)&amp;"输出",标准坦克设计!$B$23:$U$23,0)))*(VLOOKUP($B108,INDIRECT($B$5&amp;"生成成长"),3))*(VLOOKUP($B$5,标准坦克设计!$B$14:$K$20,9)/30))</f>
        <v>5.294312184518577</v>
      </c>
      <c r="BZ108" s="173">
        <f ca="1">(VLOOKUP(BZ$72,INDIRECT($C$5&amp;"生成成长"),2))/((VLOOKUP($B108,INDIRECT($B$5&amp;"生成成长"),4))/(VLOOKUP(BZ$72,INDIRECT($C$5&amp;"生成成长"),5))*(VLOOKUP($B$5,标准坦克设计!$B$24:$U$30,MATCH("对"&amp;LEFT($C$5,2)&amp;"输出",标准坦克设计!$B$23:$U$23,0)))*(VLOOKUP($B108,INDIRECT($B$5&amp;"生成成长"),3))*(VLOOKUP($B$5,标准坦克设计!$B$14:$K$20,9)/30))</f>
        <v>5.8181956745033787</v>
      </c>
      <c r="CA108" s="173">
        <f ca="1">(VLOOKUP(CA$72,INDIRECT($C$5&amp;"生成成长"),2))/((VLOOKUP($B108,INDIRECT($B$5&amp;"生成成长"),4))/(VLOOKUP(CA$72,INDIRECT($C$5&amp;"生成成长"),5))*(VLOOKUP($B$5,标准坦克设计!$B$24:$U$30,MATCH("对"&amp;LEFT($C$5,2)&amp;"输出",标准坦克设计!$B$23:$U$23,0)))*(VLOOKUP($B108,INDIRECT($B$5&amp;"生成成长"),3))*(VLOOKUP($B$5,标准坦克设计!$B$14:$K$20,9)/30))</f>
        <v>6.3667906498648223</v>
      </c>
      <c r="CB108" s="173">
        <f ca="1">(VLOOKUP(CB$72,INDIRECT($C$5&amp;"生成成长"),2))/((VLOOKUP($B108,INDIRECT($B$5&amp;"生成成长"),4))/(VLOOKUP(CB$72,INDIRECT($C$5&amp;"生成成长"),5))*(VLOOKUP($B$5,标准坦克设计!$B$24:$U$30,MATCH("对"&amp;LEFT($C$5,2)&amp;"输出",标准坦克设计!$B$23:$U$23,0)))*(VLOOKUP($B108,INDIRECT($B$5&amp;"生成成长"),3))*(VLOOKUP($B$5,标准坦克设计!$B$14:$K$20,9)/30))</f>
        <v>6.940097110602907</v>
      </c>
      <c r="CC108" s="173">
        <f ca="1">(VLOOKUP(CC$72,INDIRECT($C$5&amp;"生成成长"),2))/((VLOOKUP($B108,INDIRECT($B$5&amp;"生成成长"),4))/(VLOOKUP(CC$72,INDIRECT($C$5&amp;"生成成长"),5))*(VLOOKUP($B$5,标准坦克设计!$B$24:$U$30,MATCH("对"&amp;LEFT($C$5,2)&amp;"输出",标准坦克设计!$B$23:$U$23,0)))*(VLOOKUP($B108,INDIRECT($B$5&amp;"生成成长"),3))*(VLOOKUP($B$5,标准坦克设计!$B$14:$K$20,9)/30))</f>
        <v>7.5381150567176327</v>
      </c>
      <c r="CD108" s="173">
        <f ca="1">(VLOOKUP(CD$72,INDIRECT($C$5&amp;"生成成长"),2))/((VLOOKUP($B108,INDIRECT($B$5&amp;"生成成长"),4))/(VLOOKUP(CD$72,INDIRECT($C$5&amp;"生成成长"),5))*(VLOOKUP($B$5,标准坦克设计!$B$24:$U$30,MATCH("对"&amp;LEFT($C$5,2)&amp;"输出",标准坦克设计!$B$23:$U$23,0)))*(VLOOKUP($B108,INDIRECT($B$5&amp;"生成成长"),3))*(VLOOKUP($B$5,标准坦克设计!$B$14:$K$20,9)/30))</f>
        <v>8.1608444882090012</v>
      </c>
      <c r="CE108" s="173">
        <f ca="1">(VLOOKUP(CE$72,INDIRECT($C$5&amp;"生成成长"),2))/((VLOOKUP($B108,INDIRECT($B$5&amp;"生成成长"),4))/(VLOOKUP(CE$72,INDIRECT($C$5&amp;"生成成长"),5))*(VLOOKUP($B$5,标准坦克设计!$B$24:$U$30,MATCH("对"&amp;LEFT($C$5,2)&amp;"输出",标准坦克设计!$B$23:$U$23,0)))*(VLOOKUP($B108,INDIRECT($B$5&amp;"生成成长"),3))*(VLOOKUP($B$5,标准坦克设计!$B$14:$K$20,9)/30))</f>
        <v>8.8082854050770099</v>
      </c>
      <c r="CF108" s="173">
        <f ca="1">(VLOOKUP(CF$72,INDIRECT($C$5&amp;"生成成长"),2))/((VLOOKUP($B108,INDIRECT($B$5&amp;"生成成长"),4))/(VLOOKUP(CF$72,INDIRECT($C$5&amp;"生成成长"),5))*(VLOOKUP($B$5,标准坦克设计!$B$24:$U$30,MATCH("对"&amp;LEFT($C$5,2)&amp;"输出",标准坦克设计!$B$23:$U$23,0)))*(VLOOKUP($B108,INDIRECT($B$5&amp;"生成成长"),3))*(VLOOKUP($B$5,标准坦克设计!$B$14:$K$20,9)/30))</f>
        <v>9.4804378073216622</v>
      </c>
      <c r="CG108" s="173">
        <f ca="1">(VLOOKUP(CG$72,INDIRECT($C$5&amp;"生成成长"),2))/((VLOOKUP($B108,INDIRECT($B$5&amp;"生成成长"),4))/(VLOOKUP(CG$72,INDIRECT($C$5&amp;"生成成长"),5))*(VLOOKUP($B$5,标准坦克设计!$B$24:$U$30,MATCH("对"&amp;LEFT($C$5,2)&amp;"输出",标准坦克设计!$B$23:$U$23,0)))*(VLOOKUP($B108,INDIRECT($B$5&amp;"生成成长"),3))*(VLOOKUP($B$5,标准坦克设计!$B$14:$K$20,9)/30))</f>
        <v>10.177301694942953</v>
      </c>
      <c r="CH108" s="173">
        <f ca="1">(VLOOKUP(CH$72,INDIRECT($C$5&amp;"生成成长"),2))/((VLOOKUP($B108,INDIRECT($B$5&amp;"生成成长"),4))/(VLOOKUP(CH$72,INDIRECT($C$5&amp;"生成成长"),5))*(VLOOKUP($B$5,标准坦克设计!$B$24:$U$30,MATCH("对"&amp;LEFT($C$5,2)&amp;"输出",标准坦克设计!$B$23:$U$23,0)))*(VLOOKUP($B108,INDIRECT($B$5&amp;"生成成长"),3))*(VLOOKUP($B$5,标准坦克设计!$B$14:$K$20,9)/30))</f>
        <v>10.898877067940891</v>
      </c>
      <c r="CI108" s="173">
        <f ca="1">(VLOOKUP(CI$72,INDIRECT($C$5&amp;"生成成长"),2))/((VLOOKUP($B108,INDIRECT($B$5&amp;"生成成长"),4))/(VLOOKUP(CI$72,INDIRECT($C$5&amp;"生成成长"),5))*(VLOOKUP($B$5,标准坦克设计!$B$24:$U$30,MATCH("对"&amp;LEFT($C$5,2)&amp;"输出",标准坦克设计!$B$23:$U$23,0)))*(VLOOKUP($B108,INDIRECT($B$5&amp;"生成成长"),3))*(VLOOKUP($B$5,标准坦克设计!$B$14:$K$20,9)/30))</f>
        <v>11.721151743848637</v>
      </c>
      <c r="CJ108" s="173">
        <f ca="1">(VLOOKUP(CJ$72,INDIRECT($C$5&amp;"生成成长"),2))/((VLOOKUP($B108,INDIRECT($B$5&amp;"生成成长"),4))/(VLOOKUP(CJ$72,INDIRECT($C$5&amp;"生成成长"),5))*(VLOOKUP($B$5,标准坦克设计!$B$24:$U$30,MATCH("对"&amp;LEFT($C$5,2)&amp;"输出",标准坦克设计!$B$23:$U$23,0)))*(VLOOKUP($B108,INDIRECT($B$5&amp;"生成成长"),3))*(VLOOKUP($B$5,标准坦克设计!$B$14:$K$20,9)/30))</f>
        <v>12.573327317062125</v>
      </c>
      <c r="CK108" s="173">
        <f ca="1">(VLOOKUP(CK$72,INDIRECT($C$5&amp;"生成成长"),2))/((VLOOKUP($B108,INDIRECT($B$5&amp;"生成成长"),4))/(VLOOKUP(CK$72,INDIRECT($C$5&amp;"生成成长"),5))*(VLOOKUP($B$5,标准坦克设计!$B$24:$U$30,MATCH("对"&amp;LEFT($C$5,2)&amp;"输出",标准坦克设计!$B$23:$U$23,0)))*(VLOOKUP($B108,INDIRECT($B$5&amp;"生成成长"),3))*(VLOOKUP($B$5,标准坦克设计!$B$14:$K$20,9)/30))</f>
        <v>13.455403787581346</v>
      </c>
      <c r="CL108" s="173">
        <f ca="1">(VLOOKUP(CL$72,INDIRECT($C$5&amp;"生成成长"),2))/((VLOOKUP($B108,INDIRECT($B$5&amp;"生成成长"),4))/(VLOOKUP(CL$72,INDIRECT($C$5&amp;"生成成长"),5))*(VLOOKUP($B$5,标准坦克设计!$B$24:$U$30,MATCH("对"&amp;LEFT($C$5,2)&amp;"输出",标准坦克设计!$B$23:$U$23,0)))*(VLOOKUP($B108,INDIRECT($B$5&amp;"生成成长"),3))*(VLOOKUP($B$5,标准坦克设计!$B$14:$K$20,9)/30))</f>
        <v>14.367381155406305</v>
      </c>
      <c r="CM108" s="173">
        <f ca="1">(VLOOKUP(CM$72,INDIRECT($C$5&amp;"生成成长"),2))/((VLOOKUP($B108,INDIRECT($B$5&amp;"生成成长"),4))/(VLOOKUP(CM$72,INDIRECT($C$5&amp;"生成成长"),5))*(VLOOKUP($B$5,标准坦克设计!$B$24:$U$30,MATCH("对"&amp;LEFT($C$5,2)&amp;"输出",标准坦克设计!$B$23:$U$23,0)))*(VLOOKUP($B108,INDIRECT($B$5&amp;"生成成长"),3))*(VLOOKUP($B$5,标准坦克设计!$B$14:$K$20,9)/30))</f>
        <v>15.309259420536996</v>
      </c>
      <c r="CN108" s="173">
        <f ca="1">(VLOOKUP(CN$72,INDIRECT($C$5&amp;"生成成长"),2))/((VLOOKUP($B108,INDIRECT($B$5&amp;"生成成长"),4))/(VLOOKUP(CN$72,INDIRECT($C$5&amp;"生成成长"),5))*(VLOOKUP($B$5,标准坦克设计!$B$24:$U$30,MATCH("对"&amp;LEFT($C$5,2)&amp;"输出",标准坦克设计!$B$23:$U$23,0)))*(VLOOKUP($B108,INDIRECT($B$5&amp;"生成成长"),3))*(VLOOKUP($B$5,标准坦克设计!$B$14:$K$20,9)/30))</f>
        <v>16.28103858297343</v>
      </c>
      <c r="CO108" s="173">
        <f ca="1">(VLOOKUP(CO$72,INDIRECT($C$5&amp;"生成成长"),2))/((VLOOKUP($B108,INDIRECT($B$5&amp;"生成成长"),4))/(VLOOKUP(CO$72,INDIRECT($C$5&amp;"生成成长"),5))*(VLOOKUP($B$5,标准坦克设计!$B$24:$U$30,MATCH("对"&amp;LEFT($C$5,2)&amp;"输出",标准坦克设计!$B$23:$U$23,0)))*(VLOOKUP($B108,INDIRECT($B$5&amp;"生成成长"),3))*(VLOOKUP($B$5,标准坦克设计!$B$14:$K$20,9)/30))</f>
        <v>7.2959425000265457</v>
      </c>
      <c r="CP108" s="173">
        <f ca="1">(VLOOKUP(CP$72,INDIRECT($C$5&amp;"生成成长"),2))/((VLOOKUP($B108,INDIRECT($B$5&amp;"生成成长"),4))/(VLOOKUP(CP$72,INDIRECT($C$5&amp;"生成成长"),5))*(VLOOKUP($B$5,标准坦克设计!$B$24:$U$30,MATCH("对"&amp;LEFT($C$5,2)&amp;"输出",标准坦克设计!$B$23:$U$23,0)))*(VLOOKUP($B108,INDIRECT($B$5&amp;"生成成长"),3))*(VLOOKUP($B$5,标准坦克设计!$B$14:$K$20,9)/30))</f>
        <v>7.9714309527970419</v>
      </c>
      <c r="CQ108" s="173">
        <f ca="1">(VLOOKUP(CQ$72,INDIRECT($C$5&amp;"生成成长"),2))/((VLOOKUP($B108,INDIRECT($B$5&amp;"生成成长"),4))/(VLOOKUP(CQ$72,INDIRECT($C$5&amp;"生成成长"),5))*(VLOOKUP($B$5,标准坦克设计!$B$24:$U$30,MATCH("对"&amp;LEFT($C$5,2)&amp;"输出",标准坦克设计!$B$23:$U$23,0)))*(VLOOKUP($B108,INDIRECT($B$5&amp;"生成成长"),3))*(VLOOKUP($B$5,标准坦克设计!$B$14:$K$20,9)/30))</f>
        <v>8.6768203028732778</v>
      </c>
      <c r="CR108" s="173">
        <f ca="1">(VLOOKUP(CR$72,INDIRECT($C$5&amp;"生成成长"),2))/((VLOOKUP($B108,INDIRECT($B$5&amp;"生成成长"),4))/(VLOOKUP(CR$72,INDIRECT($C$5&amp;"生成成长"),5))*(VLOOKUP($B$5,标准坦克设计!$B$24:$U$30,MATCH("对"&amp;LEFT($C$5,2)&amp;"输出",标准坦克设计!$B$23:$U$23,0)))*(VLOOKUP($B108,INDIRECT($B$5&amp;"生成成长"),3))*(VLOOKUP($B$5,标准坦克设计!$B$14:$K$20,9)/30))</f>
        <v>9.4121105502552478</v>
      </c>
      <c r="CS108" s="173">
        <f ca="1">(VLOOKUP(CS$72,INDIRECT($C$5&amp;"生成成长"),2))/((VLOOKUP($B108,INDIRECT($B$5&amp;"生成成长"),4))/(VLOOKUP(CS$72,INDIRECT($C$5&amp;"生成成长"),5))*(VLOOKUP($B$5,标准坦克设计!$B$24:$U$30,MATCH("对"&amp;LEFT($C$5,2)&amp;"输出",标准坦克设计!$B$23:$U$23,0)))*(VLOOKUP($B108,INDIRECT($B$5&amp;"生成成长"),3))*(VLOOKUP($B$5,标准坦克设计!$B$14:$K$20,9)/30))</f>
        <v>10.177301694942953</v>
      </c>
      <c r="CT108" s="173">
        <f ca="1">(VLOOKUP(CT$72,INDIRECT($C$5&amp;"生成成长"),2))/((VLOOKUP($B108,INDIRECT($B$5&amp;"生成成长"),4))/(VLOOKUP(CT$72,INDIRECT($C$5&amp;"生成成长"),5))*(VLOOKUP($B$5,标准坦克设计!$B$24:$U$30,MATCH("对"&amp;LEFT($C$5,2)&amp;"输出",标准坦克设计!$B$23:$U$23,0)))*(VLOOKUP($B108,INDIRECT($B$5&amp;"生成成长"),3))*(VLOOKUP($B$5,标准坦克设计!$B$14:$K$20,9)/30))</f>
        <v>10.972393736936397</v>
      </c>
      <c r="CU108" s="173">
        <f ca="1">(VLOOKUP(CU$72,INDIRECT($C$5&amp;"生成成长"),2))/((VLOOKUP($B108,INDIRECT($B$5&amp;"生成成长"),4))/(VLOOKUP(CU$72,INDIRECT($C$5&amp;"生成成长"),5))*(VLOOKUP($B$5,标准坦克设计!$B$24:$U$30,MATCH("对"&amp;LEFT($C$5,2)&amp;"输出",标准坦克设计!$B$23:$U$23,0)))*(VLOOKUP($B108,INDIRECT($B$5&amp;"生成成长"),3))*(VLOOKUP($B$5,标准坦克设计!$B$14:$K$20,9)/30))</f>
        <v>11.797386676235577</v>
      </c>
      <c r="CV108" s="173">
        <f ca="1">(VLOOKUP(CV$72,INDIRECT($C$5&amp;"生成成长"),2))/((VLOOKUP($B108,INDIRECT($B$5&amp;"生成成长"),4))/(VLOOKUP(CV$72,INDIRECT($C$5&amp;"生成成长"),5))*(VLOOKUP($B$5,标准坦克设计!$B$24:$U$30,MATCH("对"&amp;LEFT($C$5,2)&amp;"输出",标准坦克设计!$B$23:$U$23,0)))*(VLOOKUP($B108,INDIRECT($B$5&amp;"生成成长"),3))*(VLOOKUP($B$5,标准坦克设计!$B$14:$K$20,9)/30))</f>
        <v>12.652280512840493</v>
      </c>
      <c r="CW108" s="173">
        <f ca="1">(VLOOKUP(CW$72,INDIRECT($C$5&amp;"生成成长"),2))/((VLOOKUP($B108,INDIRECT($B$5&amp;"生成成长"),4))/(VLOOKUP(CW$72,INDIRECT($C$5&amp;"生成成长"),5))*(VLOOKUP($B$5,标准坦克设计!$B$24:$U$30,MATCH("对"&amp;LEFT($C$5,2)&amp;"输出",标准坦克设计!$B$23:$U$23,0)))*(VLOOKUP($B108,INDIRECT($B$5&amp;"生成成长"),3))*(VLOOKUP($B$5,标准坦克设计!$B$14:$K$20,9)/30))</f>
        <v>13.537075246751147</v>
      </c>
      <c r="CX108" s="173">
        <f ca="1">(VLOOKUP(CX$72,INDIRECT($C$5&amp;"生成成长"),2))/((VLOOKUP($B108,INDIRECT($B$5&amp;"生成成长"),4))/(VLOOKUP(CX$72,INDIRECT($C$5&amp;"生成成长"),5))*(VLOOKUP($B$5,标准坦克设计!$B$24:$U$30,MATCH("对"&amp;LEFT($C$5,2)&amp;"输出",标准坦克设计!$B$23:$U$23,0)))*(VLOOKUP($B108,INDIRECT($B$5&amp;"生成成长"),3))*(VLOOKUP($B$5,标准坦克设计!$B$14:$K$20,9)/30))</f>
        <v>14.451770877967535</v>
      </c>
      <c r="CY108" s="173">
        <f ca="1">(VLOOKUP(CY$72,INDIRECT($C$5&amp;"生成成长"),2))/((VLOOKUP($B108,INDIRECT($B$5&amp;"生成成长"),4))/(VLOOKUP(CY$72,INDIRECT($C$5&amp;"生成成长"),5))*(VLOOKUP($B$5,标准坦克设计!$B$24:$U$30,MATCH("对"&amp;LEFT($C$5,2)&amp;"输出",标准坦克设计!$B$23:$U$23,0)))*(VLOOKUP($B108,INDIRECT($B$5&amp;"生成成长"),3))*(VLOOKUP($B$5,标准坦克设计!$B$14:$K$20,9)/30))</f>
        <v>15.396367406489659</v>
      </c>
      <c r="CZ108" s="173">
        <f ca="1">(VLOOKUP(CZ$72,INDIRECT($C$5&amp;"生成成长"),2))/((VLOOKUP($B108,INDIRECT($B$5&amp;"生成成长"),4))/(VLOOKUP(CZ$72,INDIRECT($C$5&amp;"生成成长"),5))*(VLOOKUP($B$5,标准坦克设计!$B$24:$U$30,MATCH("对"&amp;LEFT($C$5,2)&amp;"输出",标准坦克设计!$B$23:$U$23,0)))*(VLOOKUP($B108,INDIRECT($B$5&amp;"生成成长"),3))*(VLOOKUP($B$5,标准坦克设计!$B$14:$K$20,9)/30))</f>
        <v>16.370864832317519</v>
      </c>
      <c r="DA108" s="173">
        <f ca="1">(VLOOKUP(DA$72,INDIRECT($C$5&amp;"生成成长"),2))/((VLOOKUP($B108,INDIRECT($B$5&amp;"生成成长"),4))/(VLOOKUP(DA$72,INDIRECT($C$5&amp;"生成成长"),5))*(VLOOKUP($B$5,标准坦克设计!$B$24:$U$30,MATCH("对"&amp;LEFT($C$5,2)&amp;"输出",标准坦克设计!$B$23:$U$23,0)))*(VLOOKUP($B108,INDIRECT($B$5&amp;"生成成长"),3))*(VLOOKUP($B$5,标准坦克设计!$B$14:$K$20,9)/30))</f>
        <v>17.375263155451115</v>
      </c>
      <c r="DB108" s="173">
        <f ca="1">(VLOOKUP(DB$72,INDIRECT($C$5&amp;"生成成长"),2))/((VLOOKUP($B108,INDIRECT($B$5&amp;"生成成长"),4))/(VLOOKUP(DB$72,INDIRECT($C$5&amp;"生成成长"),5))*(VLOOKUP($B$5,标准坦克设计!$B$24:$U$30,MATCH("对"&amp;LEFT($C$5,2)&amp;"输出",标准坦克设计!$B$23:$U$23,0)))*(VLOOKUP($B108,INDIRECT($B$5&amp;"生成成长"),3))*(VLOOKUP($B$5,标准坦克设计!$B$14:$K$20,9)/30))</f>
        <v>18.409562375890449</v>
      </c>
      <c r="DC108" s="173">
        <f ca="1">(VLOOKUP(DC$72,INDIRECT($C$5&amp;"生成成长"),2))/((VLOOKUP($B108,INDIRECT($B$5&amp;"生成成长"),4))/(VLOOKUP(DC$72,INDIRECT($C$5&amp;"生成成长"),5))*(VLOOKUP($B$5,标准坦克设计!$B$24:$U$30,MATCH("对"&amp;LEFT($C$5,2)&amp;"输出",标准坦克设计!$B$23:$U$23,0)))*(VLOOKUP($B108,INDIRECT($B$5&amp;"生成成长"),3))*(VLOOKUP($B$5,标准坦克设计!$B$14:$K$20,9)/30))</f>
        <v>19.57199064800767</v>
      </c>
      <c r="DD108" s="173">
        <f ca="1">(VLOOKUP(DD$72,INDIRECT($C$5&amp;"生成成长"),2))/((VLOOKUP($B108,INDIRECT($B$5&amp;"生成成长"),4))/(VLOOKUP(DD$72,INDIRECT($C$5&amp;"生成成长"),5))*(VLOOKUP($B$5,标准坦克设计!$B$24:$U$30,MATCH("对"&amp;LEFT($C$5,2)&amp;"输出",标准坦克设计!$B$23:$U$23,0)))*(VLOOKUP($B108,INDIRECT($B$5&amp;"生成成长"),3))*(VLOOKUP($B$5,标准坦克设计!$B$14:$K$20,9)/30))</f>
        <v>20.770003459067254</v>
      </c>
      <c r="DE108" s="173">
        <f ca="1">(VLOOKUP(DE$72,INDIRECT($C$5&amp;"生成成长"),2))/((VLOOKUP($B108,INDIRECT($B$5&amp;"生成成长"),4))/(VLOOKUP(DE$72,INDIRECT($C$5&amp;"生成成长"),5))*(VLOOKUP($B$5,标准坦克设计!$B$24:$U$30,MATCH("对"&amp;LEFT($C$5,2)&amp;"输出",标准坦克设计!$B$23:$U$23,0)))*(VLOOKUP($B108,INDIRECT($B$5&amp;"生成成长"),3))*(VLOOKUP($B$5,标准坦克设计!$B$14:$K$20,9)/30))</f>
        <v>22.003600809069201</v>
      </c>
      <c r="DF108" s="173">
        <f ca="1">(VLOOKUP(DF$72,INDIRECT($C$5&amp;"生成成长"),2))/((VLOOKUP($B108,INDIRECT($B$5&amp;"生成成长"),4))/(VLOOKUP(DF$72,INDIRECT($C$5&amp;"生成成长"),5))*(VLOOKUP($B$5,标准坦克设计!$B$24:$U$30,MATCH("对"&amp;LEFT($C$5,2)&amp;"输出",标准坦克设计!$B$23:$U$23,0)))*(VLOOKUP($B108,INDIRECT($B$5&amp;"生成成长"),3))*(VLOOKUP($B$5,标准坦克设计!$B$14:$K$20,9)/30))</f>
        <v>23.272782698013515</v>
      </c>
      <c r="DG108" s="173">
        <f ca="1">(VLOOKUP(DG$72,INDIRECT($C$5&amp;"生成成长"),2))/((VLOOKUP($B108,INDIRECT($B$5&amp;"生成成长"),4))/(VLOOKUP(DG$72,INDIRECT($C$5&amp;"生成成长"),5))*(VLOOKUP($B$5,标准坦克设计!$B$24:$U$30,MATCH("对"&amp;LEFT($C$5,2)&amp;"输出",标准坦克设计!$B$23:$U$23,0)))*(VLOOKUP($B108,INDIRECT($B$5&amp;"生成成长"),3))*(VLOOKUP($B$5,标准坦克设计!$B$14:$K$20,9)/30))</f>
        <v>24.577549125900195</v>
      </c>
      <c r="DH108" s="173">
        <f ca="1">(VLOOKUP(DH$72,INDIRECT($C$5&amp;"生成成长"),2))/((VLOOKUP($B108,INDIRECT($B$5&amp;"生成成长"),4))/(VLOOKUP(DH$72,INDIRECT($C$5&amp;"生成成长"),5))*(VLOOKUP($B$5,标准坦克设计!$B$24:$U$30,MATCH("对"&amp;LEFT($C$5,2)&amp;"输出",标准坦克设计!$B$23:$U$23,0)))*(VLOOKUP($B108,INDIRECT($B$5&amp;"生成成长"),3))*(VLOOKUP($B$5,标准坦克设计!$B$14:$K$20,9)/30))</f>
        <v>25.91790009272923</v>
      </c>
      <c r="DI108" s="173">
        <f ca="1">(VLOOKUP(DI$72,INDIRECT($C$5&amp;"生成成长"),2))/((VLOOKUP($B108,INDIRECT($B$5&amp;"生成成长"),4))/(VLOOKUP(DI$72,INDIRECT($C$5&amp;"生成成长"),5))*(VLOOKUP($B$5,标准坦克设计!$B$24:$U$30,MATCH("对"&amp;LEFT($C$5,2)&amp;"输出",标准坦克设计!$B$23:$U$23,0)))*(VLOOKUP($B108,INDIRECT($B$5&amp;"生成成长"),3))*(VLOOKUP($B$5,标准坦克设计!$B$14:$K$20,9)/30))</f>
        <v>27.293835598500635</v>
      </c>
      <c r="DJ108" s="173">
        <f ca="1">(VLOOKUP(DJ$72,INDIRECT($C$5&amp;"生成成长"),2))/((VLOOKUP($B108,INDIRECT($B$5&amp;"生成成长"),4))/(VLOOKUP(DJ$72,INDIRECT($C$5&amp;"生成成长"),5))*(VLOOKUP($B$5,标准坦克设计!$B$24:$U$30,MATCH("对"&amp;LEFT($C$5,2)&amp;"输出",标准坦克设计!$B$23:$U$23,0)))*(VLOOKUP($B108,INDIRECT($B$5&amp;"生成成长"),3))*(VLOOKUP($B$5,标准坦克设计!$B$14:$K$20,9)/30))</f>
        <v>2.7430984342340992</v>
      </c>
      <c r="DK108" s="173">
        <f ca="1">(VLOOKUP(DK$72,INDIRECT($C$5&amp;"生成成长"),2))/((VLOOKUP($B108,INDIRECT($B$5&amp;"生成成长"),4))/(VLOOKUP(DK$72,INDIRECT($C$5&amp;"生成成长"),5))*(VLOOKUP($B$5,标准坦克设计!$B$24:$U$30,MATCH("对"&amp;LEFT($C$5,2)&amp;"输出",标准坦克设计!$B$23:$U$23,0)))*(VLOOKUP($B108,INDIRECT($B$5&amp;"生成成长"),3))*(VLOOKUP($B$5,标准坦克设计!$B$14:$K$20,9)/30))</f>
        <v>3.084487604712403</v>
      </c>
      <c r="DL108" s="173">
        <f ca="1">(VLOOKUP(DL$72,INDIRECT($C$5&amp;"生成成长"),2))/((VLOOKUP($B108,INDIRECT($B$5&amp;"生成成长"),4))/(VLOOKUP(DL$72,INDIRECT($C$5&amp;"生成成长"),5))*(VLOOKUP($B$5,标准坦克设计!$B$24:$U$30,MATCH("对"&amp;LEFT($C$5,2)&amp;"输出",标准坦克设计!$B$23:$U$23,0)))*(VLOOKUP($B108,INDIRECT($B$5&amp;"生成成长"),3))*(VLOOKUP($B$5,标准坦克设计!$B$14:$K$20,9)/30))</f>
        <v>3.4458930783457866</v>
      </c>
      <c r="DM108" s="173">
        <f ca="1">(VLOOKUP(DM$72,INDIRECT($C$5&amp;"生成成长"),2))/((VLOOKUP($B108,INDIRECT($B$5&amp;"生成成长"),4))/(VLOOKUP(DM$72,INDIRECT($C$5&amp;"生成成长"),5))*(VLOOKUP($B$5,标准坦克设计!$B$24:$U$30,MATCH("对"&amp;LEFT($C$5,2)&amp;"输出",标准坦克设计!$B$23:$U$23,0)))*(VLOOKUP($B108,INDIRECT($B$5&amp;"生成成长"),3))*(VLOOKUP($B$5,标准坦克设计!$B$14:$K$20,9)/30))</f>
        <v>3.8273148551342491</v>
      </c>
      <c r="DN108" s="173">
        <f ca="1">(VLOOKUP(DN$72,INDIRECT($C$5&amp;"生成成长"),2))/((VLOOKUP($B108,INDIRECT($B$5&amp;"生成成长"),4))/(VLOOKUP(DN$72,INDIRECT($C$5&amp;"生成成长"),5))*(VLOOKUP($B$5,标准坦克设计!$B$24:$U$30,MATCH("对"&amp;LEFT($C$5,2)&amp;"输出",标准坦克设计!$B$23:$U$23,0)))*(VLOOKUP($B108,INDIRECT($B$5&amp;"生成成长"),3))*(VLOOKUP($B$5,标准坦克设计!$B$14:$K$20,9)/30))</f>
        <v>4.2287529350777922</v>
      </c>
      <c r="DO108" s="173">
        <f ca="1">(VLOOKUP(DO$72,INDIRECT($C$5&amp;"生成成长"),2))/((VLOOKUP($B108,INDIRECT($B$5&amp;"生成成长"),4))/(VLOOKUP(DO$72,INDIRECT($C$5&amp;"生成成长"),5))*(VLOOKUP($B$5,标准坦克设计!$B$24:$U$30,MATCH("对"&amp;LEFT($C$5,2)&amp;"输出",标准坦克设计!$B$23:$U$23,0)))*(VLOOKUP($B108,INDIRECT($B$5&amp;"生成成长"),3))*(VLOOKUP($B$5,标准坦克设计!$B$14:$K$20,9)/30))</f>
        <v>4.650207318176415</v>
      </c>
      <c r="DP108" s="173">
        <f ca="1">(VLOOKUP(DP$72,INDIRECT($C$5&amp;"生成成长"),2))/((VLOOKUP($B108,INDIRECT($B$5&amp;"生成成长"),4))/(VLOOKUP(DP$72,INDIRECT($C$5&amp;"生成成长"),5))*(VLOOKUP($B$5,标准坦克设计!$B$24:$U$30,MATCH("对"&amp;LEFT($C$5,2)&amp;"输出",标准坦克设计!$B$23:$U$23,0)))*(VLOOKUP($B108,INDIRECT($B$5&amp;"生成成长"),3))*(VLOOKUP($B$5,标准坦克设计!$B$14:$K$20,9)/30))</f>
        <v>5.0916780044301158</v>
      </c>
      <c r="DQ108" s="173">
        <f ca="1">(VLOOKUP(DQ$72,INDIRECT($C$5&amp;"生成成长"),2))/((VLOOKUP($B108,INDIRECT($B$5&amp;"生成成长"),4))/(VLOOKUP(DQ$72,INDIRECT($C$5&amp;"生成成长"),5))*(VLOOKUP($B$5,标准坦克设计!$B$24:$U$30,MATCH("对"&amp;LEFT($C$5,2)&amp;"输出",标准坦克设计!$B$23:$U$23,0)))*(VLOOKUP($B108,INDIRECT($B$5&amp;"生成成长"),3))*(VLOOKUP($B$5,标准坦克设计!$B$14:$K$20,9)/30))</f>
        <v>5.5531649938388972</v>
      </c>
      <c r="DR108" s="173">
        <f ca="1">(VLOOKUP(DR$72,INDIRECT($C$5&amp;"生成成长"),2))/((VLOOKUP($B108,INDIRECT($B$5&amp;"生成成长"),4))/(VLOOKUP(DR$72,INDIRECT($C$5&amp;"生成成长"),5))*(VLOOKUP($B$5,标准坦克设计!$B$24:$U$30,MATCH("对"&amp;LEFT($C$5,2)&amp;"输出",标准坦克设计!$B$23:$U$23,0)))*(VLOOKUP($B108,INDIRECT($B$5&amp;"生成成长"),3))*(VLOOKUP($B$5,标准坦克设计!$B$14:$K$20,9)/30))</f>
        <v>6.0346682864027592</v>
      </c>
      <c r="DS108" s="173">
        <f ca="1">(VLOOKUP(DS$72,INDIRECT($C$5&amp;"生成成长"),2))/((VLOOKUP($B108,INDIRECT($B$5&amp;"生成成长"),4))/(VLOOKUP(DS$72,INDIRECT($C$5&amp;"生成成长"),5))*(VLOOKUP($B$5,标准坦克设计!$B$24:$U$30,MATCH("对"&amp;LEFT($C$5,2)&amp;"输出",标准坦克设计!$B$23:$U$23,0)))*(VLOOKUP($B108,INDIRECT($B$5&amp;"生成成长"),3))*(VLOOKUP($B$5,标准坦克设计!$B$14:$K$20,9)/30))</f>
        <v>6.5361878821217001</v>
      </c>
      <c r="DT108" s="173">
        <f ca="1">(VLOOKUP(DT$72,INDIRECT($C$5&amp;"生成成长"),2))/((VLOOKUP($B108,INDIRECT($B$5&amp;"生成成长"),4))/(VLOOKUP(DT$72,INDIRECT($C$5&amp;"生成成长"),5))*(VLOOKUP($B$5,标准坦克设计!$B$24:$U$30,MATCH("对"&amp;LEFT($C$5,2)&amp;"输出",标准坦克设计!$B$23:$U$23,0)))*(VLOOKUP($B108,INDIRECT($B$5&amp;"生成成长"),3))*(VLOOKUP($B$5,标准坦克设计!$B$14:$K$20,9)/30))</f>
        <v>7.1763389108036018</v>
      </c>
      <c r="DU108" s="173">
        <f ca="1">(VLOOKUP(DU$72,INDIRECT($C$5&amp;"生成成长"),2))/((VLOOKUP($B108,INDIRECT($B$5&amp;"生成成长"),4))/(VLOOKUP(DU$72,INDIRECT($C$5&amp;"生成成长"),5))*(VLOOKUP($B$5,标准坦克设计!$B$24:$U$30,MATCH("对"&amp;LEFT($C$5,2)&amp;"输出",标准坦克设计!$B$23:$U$23,0)))*(VLOOKUP($B108,INDIRECT($B$5&amp;"生成成长"),3))*(VLOOKUP($B$5,标准坦克设计!$B$14:$K$20,9)/30))</f>
        <v>7.8463908367912376</v>
      </c>
      <c r="DV108" s="173">
        <f ca="1">(VLOOKUP(DV$72,INDIRECT($C$5&amp;"生成成长"),2))/((VLOOKUP($B108,INDIRECT($B$5&amp;"生成成长"),4))/(VLOOKUP(DV$72,INDIRECT($C$5&amp;"生成成长"),5))*(VLOOKUP($B$5,标准坦克设计!$B$24:$U$30,MATCH("对"&amp;LEFT($C$5,2)&amp;"输出",标准坦克设计!$B$23:$U$23,0)))*(VLOOKUP($B108,INDIRECT($B$5&amp;"生成成长"),3))*(VLOOKUP($B$5,标准坦克设计!$B$14:$K$20,9)/30))</f>
        <v>8.5463436600846094</v>
      </c>
      <c r="DW108" s="173">
        <f ca="1">(VLOOKUP(DW$72,INDIRECT($C$5&amp;"生成成长"),2))/((VLOOKUP($B108,INDIRECT($B$5&amp;"生成成长"),4))/(VLOOKUP(DW$72,INDIRECT($C$5&amp;"生成成长"),5))*(VLOOKUP($B$5,标准坦克设计!$B$24:$U$30,MATCH("对"&amp;LEFT($C$5,2)&amp;"输出",标准坦克设计!$B$23:$U$23,0)))*(VLOOKUP($B108,INDIRECT($B$5&amp;"生成成长"),3))*(VLOOKUP($B$5,标准坦克设计!$B$14:$K$20,9)/30))</f>
        <v>9.276197380683719</v>
      </c>
      <c r="DX108" s="173">
        <f ca="1">(VLOOKUP(DX$72,INDIRECT($C$5&amp;"生成成长"),2))/((VLOOKUP($B108,INDIRECT($B$5&amp;"生成成长"),4))/(VLOOKUP(DX$72,INDIRECT($C$5&amp;"生成成长"),5))*(VLOOKUP($B$5,标准坦克设计!$B$24:$U$30,MATCH("对"&amp;LEFT($C$5,2)&amp;"输出",标准坦克设计!$B$23:$U$23,0)))*(VLOOKUP($B108,INDIRECT($B$5&amp;"生成成长"),3))*(VLOOKUP($B$5,标准坦克设计!$B$14:$K$20,9)/30))</f>
        <v>10.035951998588565</v>
      </c>
      <c r="DY108" s="173">
        <f ca="1">(VLOOKUP(DY$72,INDIRECT($C$5&amp;"生成成长"),2))/((VLOOKUP($B108,INDIRECT($B$5&amp;"生成成长"),4))/(VLOOKUP(DY$72,INDIRECT($C$5&amp;"生成成长"),5))*(VLOOKUP($B$5,标准坦克设计!$B$24:$U$30,MATCH("对"&amp;LEFT($C$5,2)&amp;"输出",标准坦克设计!$B$23:$U$23,0)))*(VLOOKUP($B108,INDIRECT($B$5&amp;"生成成长"),3))*(VLOOKUP($B$5,标准坦克设计!$B$14:$K$20,9)/30))</f>
        <v>4.5074984901263093</v>
      </c>
      <c r="DZ108" s="173">
        <f ca="1">(VLOOKUP(DZ$72,INDIRECT($C$5&amp;"生成成长"),2))/((VLOOKUP($B108,INDIRECT($B$5&amp;"生成成长"),4))/(VLOOKUP(DZ$72,INDIRECT($C$5&amp;"生成成长"),5))*(VLOOKUP($B$5,标准坦克设计!$B$24:$U$30,MATCH("对"&amp;LEFT($C$5,2)&amp;"输出",标准坦克设计!$B$23:$U$23,0)))*(VLOOKUP($B108,INDIRECT($B$5&amp;"生成成长"),3))*(VLOOKUP($B$5,标准坦克设计!$B$14:$K$20,9)/30))</f>
        <v>4.9918436035084843</v>
      </c>
      <c r="EA108" s="173">
        <f ca="1">(VLOOKUP(EA$72,INDIRECT($C$5&amp;"生成成长"),2))/((VLOOKUP($B108,INDIRECT($B$5&amp;"生成成长"),4))/(VLOOKUP(EA$72,INDIRECT($C$5&amp;"生成成长"),5))*(VLOOKUP($B$5,标准坦克设计!$B$24:$U$30,MATCH("对"&amp;LEFT($C$5,2)&amp;"输出",标准坦克设计!$B$23:$U$23,0)))*(VLOOKUP($B108,INDIRECT($B$5&amp;"生成成长"),3))*(VLOOKUP($B$5,标准坦克设计!$B$14:$K$20,9)/30))</f>
        <v>5.5009002022673004</v>
      </c>
      <c r="EB108" s="173">
        <f ca="1">(VLOOKUP(EB$72,INDIRECT($C$5&amp;"生成成长"),2))/((VLOOKUP($B108,INDIRECT($B$5&amp;"生成成长"),4))/(VLOOKUP(EB$72,INDIRECT($C$5&amp;"生成成长"),5))*(VLOOKUP($B$5,标准坦克设计!$B$24:$U$30,MATCH("对"&amp;LEFT($C$5,2)&amp;"输出",标准坦克设计!$B$23:$U$23,0)))*(VLOOKUP($B108,INDIRECT($B$5&amp;"生成成长"),3))*(VLOOKUP($B$5,标准坦克设计!$B$14:$K$20,9)/30))</f>
        <v>6.0346682864027592</v>
      </c>
      <c r="EC108" s="173">
        <f ca="1">(VLOOKUP(EC$72,INDIRECT($C$5&amp;"生成成长"),2))/((VLOOKUP($B108,INDIRECT($B$5&amp;"生成成长"),4))/(VLOOKUP(EC$72,INDIRECT($C$5&amp;"生成成长"),5))*(VLOOKUP($B$5,标准坦克设计!$B$24:$U$30,MATCH("对"&amp;LEFT($C$5,2)&amp;"输出",标准坦克设计!$B$23:$U$23,0)))*(VLOOKUP($B108,INDIRECT($B$5&amp;"生成成长"),3))*(VLOOKUP($B$5,标准坦克设计!$B$14:$K$20,9)/30))</f>
        <v>6.5931478559148582</v>
      </c>
      <c r="ED108" s="173">
        <f ca="1">(VLOOKUP(ED$72,INDIRECT($C$5&amp;"生成成长"),2))/((VLOOKUP($B108,INDIRECT($B$5&amp;"生成成长"),4))/(VLOOKUP(ED$72,INDIRECT($C$5&amp;"生成成长"),5))*(VLOOKUP($B$5,标准坦克设计!$B$24:$U$30,MATCH("对"&amp;LEFT($C$5,2)&amp;"输出",标准坦克设计!$B$23:$U$23,0)))*(VLOOKUP($B108,INDIRECT($B$5&amp;"生成成长"),3))*(VLOOKUP($B$5,标准坦克设计!$B$14:$K$20,9)/30))</f>
        <v>7.1763389108036018</v>
      </c>
      <c r="EE108" s="173">
        <f ca="1">(VLOOKUP(EE$72,INDIRECT($C$5&amp;"生成成长"),2))/((VLOOKUP($B108,INDIRECT($B$5&amp;"生成成长"),4))/(VLOOKUP(EE$72,INDIRECT($C$5&amp;"生成成长"),5))*(VLOOKUP($B$5,标准坦克设计!$B$24:$U$30,MATCH("对"&amp;LEFT($C$5,2)&amp;"输出",标准坦克设计!$B$23:$U$23,0)))*(VLOOKUP($B108,INDIRECT($B$5&amp;"生成成长"),3))*(VLOOKUP($B$5,标准坦克设计!$B$14:$K$20,9)/30))</f>
        <v>7.7842414510689846</v>
      </c>
      <c r="EF108" s="173">
        <f ca="1">(VLOOKUP(EF$72,INDIRECT($C$5&amp;"生成成长"),2))/((VLOOKUP($B108,INDIRECT($B$5&amp;"生成成长"),4))/(VLOOKUP(EF$72,INDIRECT($C$5&amp;"生成成长"),5))*(VLOOKUP($B$5,标准坦克设计!$B$24:$U$30,MATCH("对"&amp;LEFT($C$5,2)&amp;"输出",标准坦克设计!$B$23:$U$23,0)))*(VLOOKUP($B108,INDIRECT($B$5&amp;"生成成长"),3))*(VLOOKUP($B$5,标准坦克设计!$B$14:$K$20,9)/30))</f>
        <v>8.4168554767110066</v>
      </c>
      <c r="EG108" s="173">
        <f ca="1">(VLOOKUP(EG$72,INDIRECT($C$5&amp;"生成成长"),2))/((VLOOKUP($B108,INDIRECT($B$5&amp;"生成成长"),4))/(VLOOKUP(EG$72,INDIRECT($C$5&amp;"生成成长"),5))*(VLOOKUP($B$5,标准坦克设计!$B$24:$U$30,MATCH("对"&amp;LEFT($C$5,2)&amp;"输出",标准坦克设计!$B$23:$U$23,0)))*(VLOOKUP($B108,INDIRECT($B$5&amp;"生成成长"),3))*(VLOOKUP($B$5,标准坦克设计!$B$14:$K$20,9)/30))</f>
        <v>9.0741809877296742</v>
      </c>
      <c r="EH108" s="173">
        <f ca="1">(VLOOKUP(EH$72,INDIRECT($C$5&amp;"生成成长"),2))/((VLOOKUP($B108,INDIRECT($B$5&amp;"生成成长"),4))/(VLOOKUP(EH$72,INDIRECT($C$5&amp;"生成成长"),5))*(VLOOKUP($B$5,标准坦克设计!$B$24:$U$30,MATCH("对"&amp;LEFT($C$5,2)&amp;"输出",标准坦克设计!$B$23:$U$23,0)))*(VLOOKUP($B108,INDIRECT($B$5&amp;"生成成长"),3))*(VLOOKUP($B$5,标准坦克设计!$B$14:$K$20,9)/30))</f>
        <v>9.7562179841249801</v>
      </c>
      <c r="EI108" s="173">
        <f ca="1">(VLOOKUP(EI$72,INDIRECT($C$5&amp;"生成成长"),2))/((VLOOKUP($B108,INDIRECT($B$5&amp;"生成成长"),4))/(VLOOKUP(EI$72,INDIRECT($C$5&amp;"生成成长"),5))*(VLOOKUP($B$5,标准坦克设计!$B$24:$U$30,MATCH("对"&amp;LEFT($C$5,2)&amp;"输出",标准坦克设计!$B$23:$U$23,0)))*(VLOOKUP($B108,INDIRECT($B$5&amp;"生成成长"),3))*(VLOOKUP($B$5,标准坦克设计!$B$14:$K$20,9)/30))</f>
        <v>10.462966465896931</v>
      </c>
      <c r="EJ108" s="173">
        <f ca="1">(VLOOKUP(EJ$72,INDIRECT($C$5&amp;"生成成长"),2))/((VLOOKUP($B108,INDIRECT($B$5&amp;"生成成长"),4))/(VLOOKUP(EJ$72,INDIRECT($C$5&amp;"生成成长"),5))*(VLOOKUP($B$5,标准坦克设计!$B$24:$U$30,MATCH("对"&amp;LEFT($C$5,2)&amp;"输出",标准坦克设计!$B$23:$U$23,0)))*(VLOOKUP($B108,INDIRECT($B$5&amp;"生成成长"),3))*(VLOOKUP($B$5,标准坦克设计!$B$14:$K$20,9)/30))</f>
        <v>11.194426433045523</v>
      </c>
      <c r="EK108" s="173">
        <f ca="1">(VLOOKUP(EK$72,INDIRECT($C$5&amp;"生成成长"),2))/((VLOOKUP($B108,INDIRECT($B$5&amp;"生成成长"),4))/(VLOOKUP(EK$72,INDIRECT($C$5&amp;"生成成长"),5))*(VLOOKUP($B$5,标准坦克设计!$B$24:$U$30,MATCH("对"&amp;LEFT($C$5,2)&amp;"输出",标准坦克设计!$B$23:$U$23,0)))*(VLOOKUP($B108,INDIRECT($B$5&amp;"生成成长"),3))*(VLOOKUP($B$5,标准坦克设计!$B$14:$K$20,9)/30))</f>
        <v>12.104797554320998</v>
      </c>
      <c r="EL108" s="173">
        <f ca="1">(VLOOKUP(EL$72,INDIRECT($C$5&amp;"生成成长"),2))/((VLOOKUP($B108,INDIRECT($B$5&amp;"生成成长"),4))/(VLOOKUP(EL$72,INDIRECT($C$5&amp;"生成成长"),5))*(VLOOKUP($B$5,标准坦克设计!$B$24:$U$30,MATCH("对"&amp;LEFT($C$5,2)&amp;"输出",标准坦克设计!$B$23:$U$23,0)))*(VLOOKUP($B108,INDIRECT($B$5&amp;"生成成长"),3))*(VLOOKUP($B$5,标准坦克设计!$B$14:$K$20,9)/30))</f>
        <v>13.05075321453884</v>
      </c>
      <c r="EM108" s="173">
        <f ca="1">(VLOOKUP(EM$72,INDIRECT($C$5&amp;"生成成长"),2))/((VLOOKUP($B108,INDIRECT($B$5&amp;"生成成长"),4))/(VLOOKUP(EM$72,INDIRECT($C$5&amp;"生成成长"),5))*(VLOOKUP($B$5,标准坦克设计!$B$24:$U$30,MATCH("对"&amp;LEFT($C$5,2)&amp;"输出",标准坦克设计!$B$23:$U$23,0)))*(VLOOKUP($B108,INDIRECT($B$5&amp;"生成成长"),3))*(VLOOKUP($B$5,标准坦克设计!$B$14:$K$20,9)/30))</f>
        <v>14.032293413699042</v>
      </c>
      <c r="EN108" s="173">
        <f ca="1">(VLOOKUP(EN$72,INDIRECT($C$5&amp;"生成成长"),2))/((VLOOKUP($B108,INDIRECT($B$5&amp;"生成成长"),4))/(VLOOKUP(EN$72,INDIRECT($C$5&amp;"生成成长"),5))*(VLOOKUP($B$5,标准坦克设计!$B$24:$U$30,MATCH("对"&amp;LEFT($C$5,2)&amp;"输出",标准坦克设计!$B$23:$U$23,0)))*(VLOOKUP($B108,INDIRECT($B$5&amp;"生成成长"),3))*(VLOOKUP($B$5,标准坦克设计!$B$14:$K$20,9)/30))</f>
        <v>15.049418151801611</v>
      </c>
      <c r="EO108" s="173">
        <f ca="1">(VLOOKUP(EO$72,INDIRECT($C$5&amp;"生成成长"),2))/((VLOOKUP($B108,INDIRECT($B$5&amp;"生成成长"),4))/(VLOOKUP(EO$72,INDIRECT($C$5&amp;"生成成长"),5))*(VLOOKUP($B$5,标准坦克设计!$B$24:$U$30,MATCH("对"&amp;LEFT($C$5,2)&amp;"输出",标准坦克设计!$B$23:$U$23,0)))*(VLOOKUP($B108,INDIRECT($B$5&amp;"生成成长"),3))*(VLOOKUP($B$5,标准坦克设计!$B$14:$K$20,9)/30))</f>
        <v>16.10212742884654</v>
      </c>
      <c r="EP108" s="173">
        <f ca="1">(VLOOKUP(EP$72,INDIRECT($C$5&amp;"生成成长"),2))/((VLOOKUP($B108,INDIRECT($B$5&amp;"生成成长"),4))/(VLOOKUP(EP$72,INDIRECT($C$5&amp;"生成成长"),5))*(VLOOKUP($B$5,标准坦克设计!$B$24:$U$30,MATCH("对"&amp;LEFT($C$5,2)&amp;"输出",标准坦克设计!$B$23:$U$23,0)))*(VLOOKUP($B108,INDIRECT($B$5&amp;"生成成长"),3))*(VLOOKUP($B$5,标准坦克设计!$B$14:$K$20,9)/30))</f>
        <v>17.190421244833836</v>
      </c>
      <c r="EQ108" s="173">
        <f ca="1">(VLOOKUP(EQ$72,INDIRECT($C$5&amp;"生成成长"),2))/((VLOOKUP($B108,INDIRECT($B$5&amp;"生成成长"),4))/(VLOOKUP(EQ$72,INDIRECT($C$5&amp;"生成成长"),5))*(VLOOKUP($B$5,标准坦克设计!$B$24:$U$30,MATCH("对"&amp;LEFT($C$5,2)&amp;"输出",标准坦克设计!$B$23:$U$23,0)))*(VLOOKUP($B108,INDIRECT($B$5&amp;"生成成长"),3))*(VLOOKUP($B$5,标准坦克设计!$B$14:$K$20,9)/30))</f>
        <v>7.599275983024822</v>
      </c>
      <c r="ER108" s="173">
        <f ca="1">(VLOOKUP(ER$72,INDIRECT($C$5&amp;"生成成长"),2))/((VLOOKUP($B108,INDIRECT($B$5&amp;"生成成长"),4))/(VLOOKUP(ER$72,INDIRECT($C$5&amp;"生成成长"),5))*(VLOOKUP($B$5,标准坦克设计!$B$24:$U$30,MATCH("对"&amp;LEFT($C$5,2)&amp;"输出",标准坦克设计!$B$23:$U$23,0)))*(VLOOKUP($B108,INDIRECT($B$5&amp;"生成成长"),3))*(VLOOKUP($B$5,标准坦克设计!$B$14:$K$20,9)/30))</f>
        <v>8.2883557527524729</v>
      </c>
      <c r="ES108" s="173">
        <f ca="1">(VLOOKUP(ES$72,INDIRECT($C$5&amp;"生成成长"),2))/((VLOOKUP($B108,INDIRECT($B$5&amp;"生成成长"),4))/(VLOOKUP(ES$72,INDIRECT($C$5&amp;"生成成长"),5))*(VLOOKUP($B$5,标准坦克设计!$B$24:$U$30,MATCH("对"&amp;LEFT($C$5,2)&amp;"输出",标准坦克设计!$B$23:$U$23,0)))*(VLOOKUP($B108,INDIRECT($B$5&amp;"生成成长"),3))*(VLOOKUP($B$5,标准坦克设计!$B$14:$K$20,9)/30))</f>
        <v>9.0073364197858581</v>
      </c>
      <c r="ET108" s="173">
        <f ca="1">(VLOOKUP(ET$72,INDIRECT($C$5&amp;"生成成长"),2))/((VLOOKUP($B108,INDIRECT($B$5&amp;"生成成长"),4))/(VLOOKUP(ET$72,INDIRECT($C$5&amp;"生成成长"),5))*(VLOOKUP($B$5,标准坦克设计!$B$24:$U$30,MATCH("对"&amp;LEFT($C$5,2)&amp;"输出",标准坦克设计!$B$23:$U$23,0)))*(VLOOKUP($B108,INDIRECT($B$5&amp;"生成成长"),3))*(VLOOKUP($B$5,标准坦克设计!$B$14:$K$20,9)/30))</f>
        <v>9.7562179841249801</v>
      </c>
      <c r="EU108" s="173">
        <f ca="1">(VLOOKUP(EU$72,INDIRECT($C$5&amp;"生成成长"),2))/((VLOOKUP($B108,INDIRECT($B$5&amp;"生成成长"),4))/(VLOOKUP(EU$72,INDIRECT($C$5&amp;"生成成长"),5))*(VLOOKUP($B$5,标准坦克设计!$B$24:$U$30,MATCH("对"&amp;LEFT($C$5,2)&amp;"输出",标准坦克设计!$B$23:$U$23,0)))*(VLOOKUP($B108,INDIRECT($B$5&amp;"生成成长"),3))*(VLOOKUP($B$5,标准坦克设计!$B$14:$K$20,9)/30))</f>
        <v>10.535000445769841</v>
      </c>
      <c r="EV108" s="173">
        <f ca="1">(VLOOKUP(EV$72,INDIRECT($C$5&amp;"生成成长"),2))/((VLOOKUP($B108,INDIRECT($B$5&amp;"生成成长"),4))/(VLOOKUP(EV$72,INDIRECT($C$5&amp;"生成成长"),5))*(VLOOKUP($B$5,标准坦克设计!$B$24:$U$30,MATCH("对"&amp;LEFT($C$5,2)&amp;"输出",标准坦克设计!$B$23:$U$23,0)))*(VLOOKUP($B108,INDIRECT($B$5&amp;"生成成长"),3))*(VLOOKUP($B$5,标准坦克设计!$B$14:$K$20,9)/30))</f>
        <v>11.343683804720436</v>
      </c>
      <c r="EW108" s="173">
        <f ca="1">(VLOOKUP(EW$72,INDIRECT($C$5&amp;"生成成长"),2))/((VLOOKUP($B108,INDIRECT($B$5&amp;"生成成长"),4))/(VLOOKUP(EW$72,INDIRECT($C$5&amp;"生成成长"),5))*(VLOOKUP($B$5,标准坦克设计!$B$24:$U$30,MATCH("对"&amp;LEFT($C$5,2)&amp;"输出",标准坦克设计!$B$23:$U$23,0)))*(VLOOKUP($B108,INDIRECT($B$5&amp;"生成成长"),3))*(VLOOKUP($B$5,标准坦克设计!$B$14:$K$20,9)/30))</f>
        <v>12.182268060976771</v>
      </c>
      <c r="EX108" s="173">
        <f ca="1">(VLOOKUP(EX$72,INDIRECT($C$5&amp;"生成成长"),2))/((VLOOKUP($B108,INDIRECT($B$5&amp;"生成成长"),4))/(VLOOKUP(EX$72,INDIRECT($C$5&amp;"生成成长"),5))*(VLOOKUP($B$5,标准坦克设计!$B$24:$U$30,MATCH("对"&amp;LEFT($C$5,2)&amp;"输出",标准坦克设计!$B$23:$U$23,0)))*(VLOOKUP($B108,INDIRECT($B$5&amp;"生成成长"),3))*(VLOOKUP($B$5,标准坦克设计!$B$14:$K$20,9)/30))</f>
        <v>13.05075321453884</v>
      </c>
      <c r="EY108" s="173">
        <f ca="1">(VLOOKUP(EY$72,INDIRECT($C$5&amp;"生成成长"),2))/((VLOOKUP($B108,INDIRECT($B$5&amp;"生成成长"),4))/(VLOOKUP(EY$72,INDIRECT($C$5&amp;"生成成长"),5))*(VLOOKUP($B$5,标准坦克设计!$B$24:$U$30,MATCH("对"&amp;LEFT($C$5,2)&amp;"输出",标准坦克设计!$B$23:$U$23,0)))*(VLOOKUP($B108,INDIRECT($B$5&amp;"生成成长"),3))*(VLOOKUP($B$5,标准坦克设计!$B$14:$K$20,9)/30))</f>
        <v>13.949139265406643</v>
      </c>
      <c r="EZ108" s="173">
        <f ca="1">(VLOOKUP(EZ$72,INDIRECT($C$5&amp;"生成成长"),2))/((VLOOKUP($B108,INDIRECT($B$5&amp;"生成成长"),4))/(VLOOKUP(EZ$72,INDIRECT($C$5&amp;"生成成长"),5))*(VLOOKUP($B$5,标准坦克设计!$B$24:$U$30,MATCH("对"&amp;LEFT($C$5,2)&amp;"输出",标准坦克设计!$B$23:$U$23,0)))*(VLOOKUP($B108,INDIRECT($B$5&amp;"生成成长"),3))*(VLOOKUP($B$5,标准坦克设计!$B$14:$K$20,9)/30))</f>
        <v>14.877426213580184</v>
      </c>
      <c r="FA108" s="173">
        <f ca="1">(VLOOKUP(FA$72,INDIRECT($C$5&amp;"生成成长"),2))/((VLOOKUP($B108,INDIRECT($B$5&amp;"生成成长"),4))/(VLOOKUP(FA$72,INDIRECT($C$5&amp;"生成成长"),5))*(VLOOKUP($B$5,标准坦克设计!$B$24:$U$30,MATCH("对"&amp;LEFT($C$5,2)&amp;"输出",标准坦克设计!$B$23:$U$23,0)))*(VLOOKUP($B108,INDIRECT($B$5&amp;"生成成长"),3))*(VLOOKUP($B$5,标准坦克设计!$B$14:$K$20,9)/30))</f>
        <v>15.835614059059463</v>
      </c>
      <c r="FB108" s="173">
        <f ca="1">(VLOOKUP(FB$72,INDIRECT($C$5&amp;"生成成长"),2))/((VLOOKUP($B108,INDIRECT($B$5&amp;"生成成长"),4))/(VLOOKUP(FB$72,INDIRECT($C$5&amp;"生成成长"),5))*(VLOOKUP($B$5,标准坦克设计!$B$24:$U$30,MATCH("对"&amp;LEFT($C$5,2)&amp;"输出",标准坦克设计!$B$23:$U$23,0)))*(VLOOKUP($B108,INDIRECT($B$5&amp;"生成成长"),3))*(VLOOKUP($B$5,标准坦克设计!$B$14:$K$20,9)/30))</f>
        <v>16.823702801844476</v>
      </c>
      <c r="FC108" s="173">
        <f ca="1">(VLOOKUP(FC$72,INDIRECT($C$5&amp;"生成成长"),2))/((VLOOKUP($B108,INDIRECT($B$5&amp;"生成成长"),4))/(VLOOKUP(FC$72,INDIRECT($C$5&amp;"生成成长"),5))*(VLOOKUP($B$5,标准坦克设计!$B$24:$U$30,MATCH("对"&amp;LEFT($C$5,2)&amp;"输出",标准坦克设计!$B$23:$U$23,0)))*(VLOOKUP($B108,INDIRECT($B$5&amp;"生成成长"),3))*(VLOOKUP($B$5,标准坦克设计!$B$14:$K$20,9)/30))</f>
        <v>17.841692441935226</v>
      </c>
      <c r="FD108" s="173">
        <f ca="1">(VLOOKUP(FD$72,INDIRECT($C$5&amp;"生成成长"),2))/((VLOOKUP($B108,INDIRECT($B$5&amp;"生成成长"),4))/(VLOOKUP(FD$72,INDIRECT($C$5&amp;"生成成长"),5))*(VLOOKUP($B$5,标准坦克设计!$B$24:$U$30,MATCH("对"&amp;LEFT($C$5,2)&amp;"输出",标准坦克设计!$B$23:$U$23,0)))*(VLOOKUP($B108,INDIRECT($B$5&amp;"生成成长"),3))*(VLOOKUP($B$5,标准坦克设计!$B$14:$K$20,9)/30))</f>
        <v>18.889582979331713</v>
      </c>
      <c r="FE108" s="173">
        <f ca="1">(VLOOKUP(FE$72,INDIRECT($C$5&amp;"生成成长"),2))/((VLOOKUP($B108,INDIRECT($B$5&amp;"生成成长"),4))/(VLOOKUP(FE$72,INDIRECT($C$5&amp;"生成成长"),5))*(VLOOKUP($B$5,标准坦克设计!$B$24:$U$30,MATCH("对"&amp;LEFT($C$5,2)&amp;"输出",标准坦克设计!$B$23:$U$23,0)))*(VLOOKUP($B108,INDIRECT($B$5&amp;"生成成长"),3))*(VLOOKUP($B$5,标准坦克设计!$B$14:$K$20,9)/30))</f>
        <v>20.166548986169666</v>
      </c>
      <c r="FF108" s="173">
        <f ca="1">(VLOOKUP(FF$72,INDIRECT($C$5&amp;"生成成长"),2))/((VLOOKUP($B108,INDIRECT($B$5&amp;"生成成长"),4))/(VLOOKUP(FF$72,INDIRECT($C$5&amp;"生成成长"),5))*(VLOOKUP($B$5,标准坦克设计!$B$24:$U$30,MATCH("对"&amp;LEFT($C$5,2)&amp;"输出",标准坦克设计!$B$23:$U$23,0)))*(VLOOKUP($B108,INDIRECT($B$5&amp;"生成成长"),3))*(VLOOKUP($B$5,标准坦克设计!$B$14:$K$20,9)/30))</f>
        <v>21.485277403294145</v>
      </c>
      <c r="FG108" s="173">
        <f ca="1">(VLOOKUP(FG$72,INDIRECT($C$5&amp;"生成成长"),2))/((VLOOKUP($B108,INDIRECT($B$5&amp;"生成成长"),4))/(VLOOKUP(FG$72,INDIRECT($C$5&amp;"生成成长"),5))*(VLOOKUP($B$5,标准坦克设计!$B$24:$U$30,MATCH("对"&amp;LEFT($C$5,2)&amp;"输出",标准坦克设计!$B$23:$U$23,0)))*(VLOOKUP($B108,INDIRECT($B$5&amp;"生成成长"),3))*(VLOOKUP($B$5,标准坦克设计!$B$14:$K$20,9)/30))</f>
        <v>22.845768230705147</v>
      </c>
      <c r="FH108" s="173">
        <f ca="1">(VLOOKUP(FH$72,INDIRECT($C$5&amp;"生成成长"),2))/((VLOOKUP($B108,INDIRECT($B$5&amp;"生成成长"),4))/(VLOOKUP(FH$72,INDIRECT($C$5&amp;"生成成长"),5))*(VLOOKUP($B$5,标准坦克设计!$B$24:$U$30,MATCH("对"&amp;LEFT($C$5,2)&amp;"输出",标准坦克设计!$B$23:$U$23,0)))*(VLOOKUP($B108,INDIRECT($B$5&amp;"生成成长"),3))*(VLOOKUP($B$5,标准坦克设计!$B$14:$K$20,9)/30))</f>
        <v>24.248021468402673</v>
      </c>
      <c r="FI108" s="173">
        <f ca="1">(VLOOKUP(FI$72,INDIRECT($C$5&amp;"生成成长"),2))/((VLOOKUP($B108,INDIRECT($B$5&amp;"生成成长"),4))/(VLOOKUP(FI$72,INDIRECT($C$5&amp;"生成成长"),5))*(VLOOKUP($B$5,标准坦克设计!$B$24:$U$30,MATCH("对"&amp;LEFT($C$5,2)&amp;"输出",标准坦克设计!$B$23:$U$23,0)))*(VLOOKUP($B108,INDIRECT($B$5&amp;"生成成长"),3))*(VLOOKUP($B$5,标准坦克设计!$B$14:$K$20,9)/30))</f>
        <v>25.692037116386722</v>
      </c>
      <c r="FJ108" s="173">
        <f ca="1">(VLOOKUP(FJ$72,INDIRECT($C$5&amp;"生成成长"),2))/((VLOOKUP($B108,INDIRECT($B$5&amp;"生成成长"),4))/(VLOOKUP(FJ$72,INDIRECT($C$5&amp;"生成成长"),5))*(VLOOKUP($B$5,标准坦克设计!$B$24:$U$30,MATCH("对"&amp;LEFT($C$5,2)&amp;"输出",标准坦克设计!$B$23:$U$23,0)))*(VLOOKUP($B108,INDIRECT($B$5&amp;"生成成长"),3))*(VLOOKUP($B$5,标准坦克设计!$B$14:$K$20,9)/30))</f>
        <v>27.177815174657301</v>
      </c>
      <c r="FK108" s="173">
        <f ca="1">(VLOOKUP(FK$72,INDIRECT($C$5&amp;"生成成长"),2))/((VLOOKUP($B108,INDIRECT($B$5&amp;"生成成长"),4))/(VLOOKUP(FK$72,INDIRECT($C$5&amp;"生成成长"),5))*(VLOOKUP($B$5,标准坦克设计!$B$24:$U$30,MATCH("对"&amp;LEFT($C$5,2)&amp;"输出",标准坦克设计!$B$23:$U$23,0)))*(VLOOKUP($B108,INDIRECT($B$5&amp;"生成成长"),3))*(VLOOKUP($B$5,标准坦克设计!$B$14:$K$20,9)/30))</f>
        <v>28.705355643214407</v>
      </c>
    </row>
    <row r="109" spans="1:167" x14ac:dyDescent="0.15">
      <c r="A109" s="171" t="str">
        <f t="shared" si="11"/>
        <v>T5低品质5级</v>
      </c>
      <c r="B109" s="172">
        <v>10505</v>
      </c>
      <c r="C109" s="173">
        <f ca="1">(VLOOKUP(C$72,INDIRECT($C$5&amp;"生成成长"),2))/((VLOOKUP($B109,INDIRECT($B$5&amp;"生成成长"),4))/(VLOOKUP(C$72,INDIRECT($C$5&amp;"生成成长"),5))*(VLOOKUP($B$5,标准坦克设计!$B$24:$U$30,MATCH("对"&amp;LEFT($C$5,2)&amp;"输出",标准坦克设计!$B$23:$U$23,0)))*(VLOOKUP($B109,INDIRECT($B$5&amp;"生成成长"),3))*(VLOOKUP($B$5,标准坦克设计!$B$14:$K$20,9)/30))</f>
        <v>1.1398829850331695</v>
      </c>
      <c r="D109" s="173">
        <f ca="1">(VLOOKUP(D$72,INDIRECT($C$5&amp;"生成成长"),2))/((VLOOKUP($B109,INDIRECT($B$5&amp;"生成成长"),4))/(VLOOKUP(D$72,INDIRECT($C$5&amp;"生成成长"),5))*(VLOOKUP($B$5,标准坦克设计!$B$24:$U$30,MATCH("对"&amp;LEFT($C$5,2)&amp;"输出",标准坦克设计!$B$23:$U$23,0)))*(VLOOKUP($B109,INDIRECT($B$5&amp;"生成成长"),3))*(VLOOKUP($B$5,标准坦克设计!$B$14:$K$20,9)/30))</f>
        <v>1.2807725219832693</v>
      </c>
      <c r="E109" s="173">
        <f ca="1">(VLOOKUP(E$72,INDIRECT($C$5&amp;"生成成长"),2))/((VLOOKUP($B109,INDIRECT($B$5&amp;"生成成长"),4))/(VLOOKUP(E$72,INDIRECT($C$5&amp;"生成成长"),5))*(VLOOKUP($B$5,标准坦克设计!$B$24:$U$30,MATCH("对"&amp;LEFT($C$5,2)&amp;"输出",标准坦克设计!$B$23:$U$23,0)))*(VLOOKUP($B109,INDIRECT($B$5&amp;"生成成长"),3))*(VLOOKUP($B$5,标准坦克设计!$B$14:$K$20,9)/30))</f>
        <v>1.4298692164256077</v>
      </c>
      <c r="F109" s="173">
        <f ca="1">(VLOOKUP(F$72,INDIRECT($C$5&amp;"生成成长"),2))/((VLOOKUP($B109,INDIRECT($B$5&amp;"生成成长"),4))/(VLOOKUP(F$72,INDIRECT($C$5&amp;"生成成长"),5))*(VLOOKUP($B$5,标准坦克设计!$B$24:$U$30,MATCH("对"&amp;LEFT($C$5,2)&amp;"输出",标准坦克设计!$B$23:$U$23,0)))*(VLOOKUP($B109,INDIRECT($B$5&amp;"生成成长"),3))*(VLOOKUP($B$5,标准坦克设计!$B$14:$K$20,9)/30))</f>
        <v>1.5871730683601852</v>
      </c>
      <c r="G109" s="173">
        <f ca="1">(VLOOKUP(G$72,INDIRECT($C$5&amp;"生成成长"),2))/((VLOOKUP($B109,INDIRECT($B$5&amp;"生成成长"),4))/(VLOOKUP(G$72,INDIRECT($C$5&amp;"生成成长"),5))*(VLOOKUP($B$5,标准坦克设计!$B$24:$U$30,MATCH("对"&amp;LEFT($C$5,2)&amp;"输出",标准坦克设计!$B$23:$U$23,0)))*(VLOOKUP($B109,INDIRECT($B$5&amp;"生成成长"),3))*(VLOOKUP($B$5,标准坦克设计!$B$14:$K$20,9)/30))</f>
        <v>1.7526840777870012</v>
      </c>
      <c r="H109" s="173">
        <f ca="1">(VLOOKUP(H$72,INDIRECT($C$5&amp;"生成成长"),2))/((VLOOKUP($B109,INDIRECT($B$5&amp;"生成成长"),4))/(VLOOKUP(H$72,INDIRECT($C$5&amp;"生成成长"),5))*(VLOOKUP($B$5,标准坦克设计!$B$24:$U$30,MATCH("对"&amp;LEFT($C$5,2)&amp;"输出",标准坦克设计!$B$23:$U$23,0)))*(VLOOKUP($B109,INDIRECT($B$5&amp;"生成成长"),3))*(VLOOKUP($B$5,标准坦克设计!$B$14:$K$20,9)/30))</f>
        <v>1.533826544660633</v>
      </c>
      <c r="I109" s="173">
        <f ca="1">(VLOOKUP(I$72,INDIRECT($C$5&amp;"生成成长"),2))/((VLOOKUP($B109,INDIRECT($B$5&amp;"生成成长"),4))/(VLOOKUP(I$72,INDIRECT($C$5&amp;"生成成长"),5))*(VLOOKUP($B$5,标准坦克设计!$B$24:$U$30,MATCH("对"&amp;LEFT($C$5,2)&amp;"输出",标准坦克设计!$B$23:$U$23,0)))*(VLOOKUP($B109,INDIRECT($B$5&amp;"生成成长"),3))*(VLOOKUP($B$5,标准坦克设计!$B$14:$K$20,9)/30))</f>
        <v>1.7526840777870012</v>
      </c>
      <c r="J109" s="173">
        <f ca="1">(VLOOKUP(J$72,INDIRECT($C$5&amp;"生成成长"),2))/((VLOOKUP($B109,INDIRECT($B$5&amp;"生成成长"),4))/(VLOOKUP(J$72,INDIRECT($C$5&amp;"生成成长"),5))*(VLOOKUP($B$5,标准坦克设计!$B$24:$U$30,MATCH("对"&amp;LEFT($C$5,2)&amp;"输出",标准坦克设计!$B$23:$U$23,0)))*(VLOOKUP($B109,INDIRECT($B$5&amp;"生成成长"),3))*(VLOOKUP($B$5,标准坦克设计!$B$14:$K$20,9)/30))</f>
        <v>1.9861321131217944</v>
      </c>
      <c r="K109" s="173">
        <f ca="1">(VLOOKUP(K$72,INDIRECT($C$5&amp;"生成成长"),2))/((VLOOKUP($B109,INDIRECT($B$5&amp;"生成成长"),4))/(VLOOKUP(K$72,INDIRECT($C$5&amp;"生成成长"),5))*(VLOOKUP($B$5,标准坦克设计!$B$24:$U$30,MATCH("对"&amp;LEFT($C$5,2)&amp;"输出",标准坦克设计!$B$23:$U$23,0)))*(VLOOKUP($B109,INDIRECT($B$5&amp;"生成成长"),3))*(VLOOKUP($B$5,标准坦克设计!$B$14:$K$20,9)/30))</f>
        <v>2.2341706506650123</v>
      </c>
      <c r="L109" s="173">
        <f ca="1">(VLOOKUP(L$72,INDIRECT($C$5&amp;"生成成长"),2))/((VLOOKUP($B109,INDIRECT($B$5&amp;"生成成长"),4))/(VLOOKUP(L$72,INDIRECT($C$5&amp;"生成成长"),5))*(VLOOKUP($B$5,标准坦克设计!$B$24:$U$30,MATCH("对"&amp;LEFT($C$5,2)&amp;"输出",标准坦克设计!$B$23:$U$23,0)))*(VLOOKUP($B109,INDIRECT($B$5&amp;"生成成长"),3))*(VLOOKUP($B$5,标准坦克设计!$B$14:$K$20,9)/30))</f>
        <v>2.4967996904166543</v>
      </c>
      <c r="M109" s="173">
        <f ca="1">(VLOOKUP(M$72,INDIRECT($C$5&amp;"生成成长"),2))/((VLOOKUP($B109,INDIRECT($B$5&amp;"生成成长"),4))/(VLOOKUP(M$72,INDIRECT($C$5&amp;"生成成长"),5))*(VLOOKUP($B$5,标准坦克设计!$B$24:$U$30,MATCH("对"&amp;LEFT($C$5,2)&amp;"输出",标准坦克设计!$B$23:$U$23,0)))*(VLOOKUP($B109,INDIRECT($B$5&amp;"生成成长"),3))*(VLOOKUP($B$5,标准坦克设计!$B$14:$K$20,9)/30))</f>
        <v>2.7740192323767214</v>
      </c>
      <c r="N109" s="173">
        <f ca="1">(VLOOKUP(N$72,INDIRECT($C$5&amp;"生成成长"),2))/((VLOOKUP($B109,INDIRECT($B$5&amp;"生成成长"),4))/(VLOOKUP(N$72,INDIRECT($C$5&amp;"生成成长"),5))*(VLOOKUP($B$5,标准坦克设计!$B$24:$U$30,MATCH("对"&amp;LEFT($C$5,2)&amp;"输出",标准坦克设计!$B$23:$U$23,0)))*(VLOOKUP($B109,INDIRECT($B$5&amp;"生成成长"),3))*(VLOOKUP($B$5,标准坦克设计!$B$14:$K$20,9)/30))</f>
        <v>3.0658292765452124</v>
      </c>
      <c r="O109" s="173">
        <f ca="1">(VLOOKUP(O$72,INDIRECT($C$5&amp;"生成成长"),2))/((VLOOKUP($B109,INDIRECT($B$5&amp;"生成成长"),4))/(VLOOKUP(O$72,INDIRECT($C$5&amp;"生成成长"),5))*(VLOOKUP($B$5,标准坦克设计!$B$24:$U$30,MATCH("对"&amp;LEFT($C$5,2)&amp;"输出",标准坦克设计!$B$23:$U$23,0)))*(VLOOKUP($B109,INDIRECT($B$5&amp;"生成成长"),3))*(VLOOKUP($B$5,标准坦克设计!$B$14:$K$20,9)/30))</f>
        <v>2.3309467160943287</v>
      </c>
      <c r="P109" s="173">
        <f ca="1">(VLOOKUP(P$72,INDIRECT($C$5&amp;"生成成长"),2))/((VLOOKUP($B109,INDIRECT($B$5&amp;"生成成长"),4))/(VLOOKUP(P$72,INDIRECT($C$5&amp;"生成成长"),5))*(VLOOKUP($B$5,标准坦克设计!$B$24:$U$30,MATCH("对"&amp;LEFT($C$5,2)&amp;"输出",标准坦克设计!$B$23:$U$23,0)))*(VLOOKUP($B109,INDIRECT($B$5&amp;"生成成长"),3))*(VLOOKUP($B$5,标准坦克设计!$B$14:$K$20,9)/30))</f>
        <v>2.6335856486206346</v>
      </c>
      <c r="Q109" s="173">
        <f ca="1">(VLOOKUP(Q$72,INDIRECT($C$5&amp;"生成成长"),2))/((VLOOKUP($B109,INDIRECT($B$5&amp;"生成成长"),4))/(VLOOKUP(Q$72,INDIRECT($C$5&amp;"生成成长"),5))*(VLOOKUP($B$5,标准坦克设计!$B$24:$U$30,MATCH("对"&amp;LEFT($C$5,2)&amp;"输出",标准坦克设计!$B$23:$U$23,0)))*(VLOOKUP($B109,INDIRECT($B$5&amp;"生成成长"),3))*(VLOOKUP($B$5,标准坦克设计!$B$14:$K$20,9)/30))</f>
        <v>2.9546906855044792</v>
      </c>
      <c r="R109" s="173">
        <f ca="1">(VLOOKUP(R$72,INDIRECT($C$5&amp;"生成成长"),2))/((VLOOKUP($B109,INDIRECT($B$5&amp;"生成成长"),4))/(VLOOKUP(R$72,INDIRECT($C$5&amp;"生成成长"),5))*(VLOOKUP($B$5,标准坦克设计!$B$24:$U$30,MATCH("对"&amp;LEFT($C$5,2)&amp;"输出",标准坦克设计!$B$23:$U$23,0)))*(VLOOKUP($B109,INDIRECT($B$5&amp;"生成成长"),3))*(VLOOKUP($B$5,标准坦克设计!$B$14:$K$20,9)/30))</f>
        <v>3.2942618267458594</v>
      </c>
      <c r="S109" s="173">
        <f ca="1">(VLOOKUP(S$72,INDIRECT($C$5&amp;"生成成长"),2))/((VLOOKUP($B109,INDIRECT($B$5&amp;"生成成长"),4))/(VLOOKUP(S$72,INDIRECT($C$5&amp;"生成成长"),5))*(VLOOKUP($B$5,标准坦克设计!$B$24:$U$30,MATCH("对"&amp;LEFT($C$5,2)&amp;"输出",标准坦克设计!$B$23:$U$23,0)))*(VLOOKUP($B109,INDIRECT($B$5&amp;"生成成长"),3))*(VLOOKUP($B$5,标准坦克设计!$B$14:$K$20,9)/30))</f>
        <v>3.6522990723447784</v>
      </c>
      <c r="T109" s="173">
        <f ca="1">(VLOOKUP(T$72,INDIRECT($C$5&amp;"生成成长"),2))/((VLOOKUP($B109,INDIRECT($B$5&amp;"生成成长"),4))/(VLOOKUP(T$72,INDIRECT($C$5&amp;"生成成长"),5))*(VLOOKUP($B$5,标准坦克设计!$B$24:$U$30,MATCH("对"&amp;LEFT($C$5,2)&amp;"输出",标准坦克设计!$B$23:$U$23,0)))*(VLOOKUP($B109,INDIRECT($B$5&amp;"生成成长"),3))*(VLOOKUP($B$5,标准坦克设计!$B$14:$K$20,9)/30))</f>
        <v>4.0288024223012346</v>
      </c>
      <c r="U109" s="173">
        <f ca="1">(VLOOKUP(U$72,INDIRECT($C$5&amp;"生成成长"),2))/((VLOOKUP($B109,INDIRECT($B$5&amp;"生成成长"),4))/(VLOOKUP(U$72,INDIRECT($C$5&amp;"生成成长"),5))*(VLOOKUP($B$5,标准坦克设计!$B$24:$U$30,MATCH("对"&amp;LEFT($C$5,2)&amp;"输出",标准坦克设计!$B$23:$U$23,0)))*(VLOOKUP($B109,INDIRECT($B$5&amp;"生成成长"),3))*(VLOOKUP($B$5,标准坦克设计!$B$14:$K$20,9)/30))</f>
        <v>4.4237718766152279</v>
      </c>
      <c r="V109" s="173">
        <f ca="1">(VLOOKUP(V$72,INDIRECT($C$5&amp;"生成成长"),2))/((VLOOKUP($B109,INDIRECT($B$5&amp;"生成成长"),4))/(VLOOKUP(V$72,INDIRECT($C$5&amp;"生成成长"),5))*(VLOOKUP($B$5,标准坦克设计!$B$24:$U$30,MATCH("对"&amp;LEFT($C$5,2)&amp;"输出",标准坦克设计!$B$23:$U$23,0)))*(VLOOKUP($B109,INDIRECT($B$5&amp;"生成成长"),3))*(VLOOKUP($B$5,标准坦克设计!$B$14:$K$20,9)/30))</f>
        <v>4.837207435286758</v>
      </c>
      <c r="W109" s="173">
        <f ca="1">(VLOOKUP(W$72,INDIRECT($C$5&amp;"生成成长"),2))/((VLOOKUP($B109,INDIRECT($B$5&amp;"生成成长"),4))/(VLOOKUP(W$72,INDIRECT($C$5&amp;"生成成长"),5))*(VLOOKUP($B$5,标准坦克设计!$B$24:$U$30,MATCH("对"&amp;LEFT($C$5,2)&amp;"输出",标准坦克设计!$B$23:$U$23,0)))*(VLOOKUP($B109,INDIRECT($B$5&amp;"生成成长"),3))*(VLOOKUP($B$5,标准坦克设计!$B$14:$K$20,9)/30))</f>
        <v>5.2691090983158251</v>
      </c>
      <c r="X109" s="173">
        <f ca="1">(VLOOKUP(X$72,INDIRECT($C$5&amp;"生成成长"),2))/((VLOOKUP($B109,INDIRECT($B$5&amp;"生成成长"),4))/(VLOOKUP(X$72,INDIRECT($C$5&amp;"生成成长"),5))*(VLOOKUP($B$5,标准坦克设计!$B$24:$U$30,MATCH("对"&amp;LEFT($C$5,2)&amp;"输出",标准坦克设计!$B$23:$U$23,0)))*(VLOOKUP($B109,INDIRECT($B$5&amp;"生成成长"),3))*(VLOOKUP($B$5,标准坦克设计!$B$14:$K$20,9)/30))</f>
        <v>3.8173541285775814</v>
      </c>
      <c r="Y109" s="173">
        <f ca="1">(VLOOKUP(Y$72,INDIRECT($C$5&amp;"生成成长"),2))/((VLOOKUP($B109,INDIRECT($B$5&amp;"生成成长"),4))/(VLOOKUP(Y$72,INDIRECT($C$5&amp;"生成成长"),5))*(VLOOKUP($B$5,标准坦克设计!$B$24:$U$30,MATCH("对"&amp;LEFT($C$5,2)&amp;"输出",标准坦克设计!$B$23:$U$23,0)))*(VLOOKUP($B109,INDIRECT($B$5&amp;"生成成长"),3))*(VLOOKUP($B$5,标准坦克设计!$B$14:$K$20,9)/30))</f>
        <v>4.2459501309500522</v>
      </c>
      <c r="Z109" s="173">
        <f ca="1">(VLOOKUP(Z$72,INDIRECT($C$5&amp;"生成成长"),2))/((VLOOKUP($B109,INDIRECT($B$5&amp;"生成成长"),4))/(VLOOKUP(Z$72,INDIRECT($C$5&amp;"生成成长"),5))*(VLOOKUP($B$5,标准坦克设计!$B$24:$U$30,MATCH("对"&amp;LEFT($C$5,2)&amp;"输出",标准坦克设计!$B$23:$U$23,0)))*(VLOOKUP($B109,INDIRECT($B$5&amp;"生成成长"),3))*(VLOOKUP($B$5,标准坦克设计!$B$14:$K$20,9)/30))</f>
        <v>4.6973437930231876</v>
      </c>
      <c r="AA109" s="173">
        <f ca="1">(VLOOKUP(AA$72,INDIRECT($C$5&amp;"生成成长"),2))/((VLOOKUP($B109,INDIRECT($B$5&amp;"生成成长"),4))/(VLOOKUP(AA$72,INDIRECT($C$5&amp;"生成成长"),5))*(VLOOKUP($B$5,标准坦克设计!$B$24:$U$30,MATCH("对"&amp;LEFT($C$5,2)&amp;"输出",标准坦克设计!$B$23:$U$23,0)))*(VLOOKUP($B109,INDIRECT($B$5&amp;"生成成长"),3))*(VLOOKUP($B$5,标准坦克设计!$B$14:$K$20,9)/30))</f>
        <v>5.1715351147969866</v>
      </c>
      <c r="AB109" s="173">
        <f ca="1">(VLOOKUP(AB$72,INDIRECT($C$5&amp;"生成成长"),2))/((VLOOKUP($B109,INDIRECT($B$5&amp;"生成成长"),4))/(VLOOKUP(AB$72,INDIRECT($C$5&amp;"生成成长"),5))*(VLOOKUP($B$5,标准坦克设计!$B$24:$U$30,MATCH("对"&amp;LEFT($C$5,2)&amp;"输出",标准坦克设计!$B$23:$U$23,0)))*(VLOOKUP($B109,INDIRECT($B$5&amp;"生成成长"),3))*(VLOOKUP($B$5,标准坦克设计!$B$14:$K$20,9)/30))</f>
        <v>5.6685240962714483</v>
      </c>
      <c r="AC109" s="173">
        <f ca="1">(VLOOKUP(AC$72,INDIRECT($C$5&amp;"生成成长"),2))/((VLOOKUP($B109,INDIRECT($B$5&amp;"生成成长"),4))/(VLOOKUP(AC$72,INDIRECT($C$5&amp;"生成成长"),5))*(VLOOKUP($B$5,标准坦克设计!$B$24:$U$30,MATCH("对"&amp;LEFT($C$5,2)&amp;"输出",标准坦克设计!$B$23:$U$23,0)))*(VLOOKUP($B109,INDIRECT($B$5&amp;"生成成长"),3))*(VLOOKUP($B$5,标准坦克设计!$B$14:$K$20,9)/30))</f>
        <v>6.1883107374465736</v>
      </c>
      <c r="AD109" s="173">
        <f ca="1">(VLOOKUP(AD$72,INDIRECT($C$5&amp;"生成成长"),2))/((VLOOKUP($B109,INDIRECT($B$5&amp;"生成成长"),4))/(VLOOKUP(AD$72,INDIRECT($C$5&amp;"生成成长"),5))*(VLOOKUP($B$5,标准坦克设计!$B$24:$U$30,MATCH("对"&amp;LEFT($C$5,2)&amp;"输出",标准坦克设计!$B$23:$U$23,0)))*(VLOOKUP($B109,INDIRECT($B$5&amp;"生成成长"),3))*(VLOOKUP($B$5,标准坦克设计!$B$14:$K$20,9)/30))</f>
        <v>6.7308950383223634</v>
      </c>
      <c r="AE109" s="173">
        <f ca="1">(VLOOKUP(AE$72,INDIRECT($C$5&amp;"生成成长"),2))/((VLOOKUP($B109,INDIRECT($B$5&amp;"生成成长"),4))/(VLOOKUP(AE$72,INDIRECT($C$5&amp;"生成成长"),5))*(VLOOKUP($B$5,标准坦克设计!$B$24:$U$30,MATCH("对"&amp;LEFT($C$5,2)&amp;"输出",标准坦克设计!$B$23:$U$23,0)))*(VLOOKUP($B109,INDIRECT($B$5&amp;"生成成长"),3))*(VLOOKUP($B$5,标准坦克设计!$B$14:$K$20,9)/30))</f>
        <v>7.2962769988988132</v>
      </c>
      <c r="AF109" s="173">
        <f ca="1">(VLOOKUP(AF$72,INDIRECT($C$5&amp;"生成成长"),2))/((VLOOKUP($B109,INDIRECT($B$5&amp;"生成成长"),4))/(VLOOKUP(AF$72,INDIRECT($C$5&amp;"生成成长"),5))*(VLOOKUP($B$5,标准坦克设计!$B$24:$U$30,MATCH("对"&amp;LEFT($C$5,2)&amp;"输出",标准坦克设计!$B$23:$U$23,0)))*(VLOOKUP($B109,INDIRECT($B$5&amp;"生成成长"),3))*(VLOOKUP($B$5,标准坦克设计!$B$14:$K$20,9)/30))</f>
        <v>7.8844566191759293</v>
      </c>
      <c r="AG109" s="173">
        <f ca="1">(VLOOKUP(AG$72,INDIRECT($C$5&amp;"生成成长"),2))/((VLOOKUP($B109,INDIRECT($B$5&amp;"生成成长"),4))/(VLOOKUP(AG$72,INDIRECT($C$5&amp;"生成成长"),5))*(VLOOKUP($B$5,标准坦克设计!$B$24:$U$30,MATCH("对"&amp;LEFT($C$5,2)&amp;"输出",标准坦克设计!$B$23:$U$23,0)))*(VLOOKUP($B109,INDIRECT($B$5&amp;"生成成长"),3))*(VLOOKUP($B$5,标准坦克设计!$B$14:$K$20,9)/30))</f>
        <v>8.4954338991537064</v>
      </c>
      <c r="AH109" s="173">
        <f ca="1">(VLOOKUP(AH$72,INDIRECT($C$5&amp;"生成成长"),2))/((VLOOKUP($B109,INDIRECT($B$5&amp;"生成成长"),4))/(VLOOKUP(AH$72,INDIRECT($C$5&amp;"生成成长"),5))*(VLOOKUP($B$5,标准坦克设计!$B$24:$U$30,MATCH("对"&amp;LEFT($C$5,2)&amp;"输出",标准坦克设计!$B$23:$U$23,0)))*(VLOOKUP($B109,INDIRECT($B$5&amp;"生成成长"),3))*(VLOOKUP($B$5,标准坦克设计!$B$14:$K$20,9)/30))</f>
        <v>9.1292088388321524</v>
      </c>
      <c r="AI109" s="173">
        <f ca="1">(VLOOKUP(AI$72,INDIRECT($C$5&amp;"生成成长"),2))/((VLOOKUP($B109,INDIRECT($B$5&amp;"生成成长"),4))/(VLOOKUP(AI$72,INDIRECT($C$5&amp;"生成成长"),5))*(VLOOKUP($B$5,标准坦克设计!$B$24:$U$30,MATCH("对"&amp;LEFT($C$5,2)&amp;"输出",标准坦克设计!$B$23:$U$23,0)))*(VLOOKUP($B109,INDIRECT($B$5&amp;"生成成长"),3))*(VLOOKUP($B$5,标准坦克设计!$B$14:$K$20,9)/30))</f>
        <v>6.4567531804218854</v>
      </c>
      <c r="AJ109" s="173">
        <f ca="1">(VLOOKUP(AJ$72,INDIRECT($C$5&amp;"生成成长"),2))/((VLOOKUP($B109,INDIRECT($B$5&amp;"生成成长"),4))/(VLOOKUP(AJ$72,INDIRECT($C$5&amp;"生成成长"),5))*(VLOOKUP($B$5,标准坦克设计!$B$24:$U$30,MATCH("对"&amp;LEFT($C$5,2)&amp;"输出",标准坦克设计!$B$23:$U$23,0)))*(VLOOKUP($B109,INDIRECT($B$5&amp;"生成成长"),3))*(VLOOKUP($B$5,标准坦克设计!$B$14:$K$20,9)/30))</f>
        <v>7.0673884955041526</v>
      </c>
      <c r="AK109" s="173">
        <f ca="1">(VLOOKUP(AK$72,INDIRECT($C$5&amp;"生成成长"),2))/((VLOOKUP($B109,INDIRECT($B$5&amp;"生成成长"),4))/(VLOOKUP(AK$72,INDIRECT($C$5&amp;"生成成长"),5))*(VLOOKUP($B$5,标准坦克设计!$B$24:$U$30,MATCH("对"&amp;LEFT($C$5,2)&amp;"输出",标准坦克设计!$B$23:$U$23,0)))*(VLOOKUP($B109,INDIRECT($B$5&amp;"生成成长"),3))*(VLOOKUP($B$5,标准坦克设计!$B$14:$K$20,9)/30))</f>
        <v>7.7056089788242259</v>
      </c>
      <c r="AL109" s="173">
        <f ca="1">(VLOOKUP(AL$72,INDIRECT($C$5&amp;"生成成长"),2))/((VLOOKUP($B109,INDIRECT($B$5&amp;"生成成长"),4))/(VLOOKUP(AL$72,INDIRECT($C$5&amp;"生成成长"),5))*(VLOOKUP($B$5,标准坦克设计!$B$24:$U$30,MATCH("对"&amp;LEFT($C$5,2)&amp;"输出",标准坦克设计!$B$23:$U$23,0)))*(VLOOKUP($B109,INDIRECT($B$5&amp;"生成成长"),3))*(VLOOKUP($B$5,标准坦克设计!$B$14:$K$20,9)/30))</f>
        <v>8.3714146303821035</v>
      </c>
      <c r="AM109" s="173">
        <f ca="1">(VLOOKUP(AM$72,INDIRECT($C$5&amp;"生成成长"),2))/((VLOOKUP($B109,INDIRECT($B$5&amp;"生成成长"),4))/(VLOOKUP(AM$72,INDIRECT($C$5&amp;"生成成长"),5))*(VLOOKUP($B$5,标准坦克设计!$B$24:$U$30,MATCH("对"&amp;LEFT($C$5,2)&amp;"输出",标准坦克设计!$B$23:$U$23,0)))*(VLOOKUP($B109,INDIRECT($B$5&amp;"生成成长"),3))*(VLOOKUP($B$5,标准坦克设计!$B$14:$K$20,9)/30))</f>
        <v>9.0648054501777775</v>
      </c>
      <c r="AN109" s="173">
        <f ca="1">(VLOOKUP(AN$72,INDIRECT($C$5&amp;"生成成长"),2))/((VLOOKUP($B109,INDIRECT($B$5&amp;"生成成长"),4))/(VLOOKUP(AN$72,INDIRECT($C$5&amp;"生成成长"),5))*(VLOOKUP($B$5,标准坦克设计!$B$24:$U$30,MATCH("对"&amp;LEFT($C$5,2)&amp;"输出",标准坦克设计!$B$23:$U$23,0)))*(VLOOKUP($B109,INDIRECT($B$5&amp;"生成成长"),3))*(VLOOKUP($B$5,标准坦克设计!$B$14:$K$20,9)/30))</f>
        <v>9.7857814382112576</v>
      </c>
      <c r="AO109" s="173">
        <f ca="1">(VLOOKUP(AO$72,INDIRECT($C$5&amp;"生成成长"),2))/((VLOOKUP($B109,INDIRECT($B$5&amp;"生成成长"),4))/(VLOOKUP(AO$72,INDIRECT($C$5&amp;"生成成长"),5))*(VLOOKUP($B$5,标准坦克设计!$B$24:$U$30,MATCH("对"&amp;LEFT($C$5,2)&amp;"输出",标准坦克设计!$B$23:$U$23,0)))*(VLOOKUP($B109,INDIRECT($B$5&amp;"生成成长"),3))*(VLOOKUP($B$5,标准坦克设计!$B$14:$K$20,9)/30))</f>
        <v>10.534342594482538</v>
      </c>
      <c r="AP109" s="173">
        <f ca="1">(VLOOKUP(AP$72,INDIRECT($C$5&amp;"生成成长"),2))/((VLOOKUP($B109,INDIRECT($B$5&amp;"生成成长"),4))/(VLOOKUP(AP$72,INDIRECT($C$5&amp;"生成成长"),5))*(VLOOKUP($B$5,标准坦克设计!$B$24:$U$30,MATCH("对"&amp;LEFT($C$5,2)&amp;"输出",标准坦克设计!$B$23:$U$23,0)))*(VLOOKUP($B109,INDIRECT($B$5&amp;"生成成长"),3))*(VLOOKUP($B$5,标准坦克设计!$B$14:$K$20,9)/30))</f>
        <v>11.310488918991624</v>
      </c>
      <c r="AQ109" s="173">
        <f ca="1">(VLOOKUP(AQ$72,INDIRECT($C$5&amp;"生成成长"),2))/((VLOOKUP($B109,INDIRECT($B$5&amp;"生成成长"),4))/(VLOOKUP(AQ$72,INDIRECT($C$5&amp;"生成成长"),5))*(VLOOKUP($B$5,标准坦克设计!$B$24:$U$30,MATCH("对"&amp;LEFT($C$5,2)&amp;"输出",标准坦克设计!$B$23:$U$23,0)))*(VLOOKUP($B109,INDIRECT($B$5&amp;"生成成长"),3))*(VLOOKUP($B$5,标准坦克设计!$B$14:$K$20,9)/30))</f>
        <v>12.114220411738511</v>
      </c>
      <c r="AR109" s="173">
        <f ca="1">(VLOOKUP(AR$72,INDIRECT($C$5&amp;"生成成长"),2))/((VLOOKUP($B109,INDIRECT($B$5&amp;"生成成长"),4))/(VLOOKUP(AR$72,INDIRECT($C$5&amp;"生成成长"),5))*(VLOOKUP($B$5,标准坦克设计!$B$24:$U$30,MATCH("对"&amp;LEFT($C$5,2)&amp;"输出",标准坦克设计!$B$23:$U$23,0)))*(VLOOKUP($B109,INDIRECT($B$5&amp;"生成成长"),3))*(VLOOKUP($B$5,标准坦克设计!$B$14:$K$20,9)/30))</f>
        <v>12.945537072723202</v>
      </c>
      <c r="AS109" s="173">
        <f ca="1">(VLOOKUP(AS$72,INDIRECT($C$5&amp;"生成成长"),2))/((VLOOKUP($B109,INDIRECT($B$5&amp;"生成成长"),4))/(VLOOKUP(AS$72,INDIRECT($C$5&amp;"生成成长"),5))*(VLOOKUP($B$5,标准坦克设计!$B$24:$U$30,MATCH("对"&amp;LEFT($C$5,2)&amp;"输出",标准坦克设计!$B$23:$U$23,0)))*(VLOOKUP($B109,INDIRECT($B$5&amp;"生成成长"),3))*(VLOOKUP($B$5,标准坦克设计!$B$14:$K$20,9)/30))</f>
        <v>13.804438901945698</v>
      </c>
      <c r="AT109" s="173">
        <f ca="1">(VLOOKUP(AT$72,INDIRECT($C$5&amp;"生成成长"),2))/((VLOOKUP($B109,INDIRECT($B$5&amp;"生成成长"),4))/(VLOOKUP(AT$72,INDIRECT($C$5&amp;"生成成长"),5))*(VLOOKUP($B$5,标准坦克设计!$B$24:$U$30,MATCH("对"&amp;LEFT($C$5,2)&amp;"输出",标准坦克设计!$B$23:$U$23,0)))*(VLOOKUP($B109,INDIRECT($B$5&amp;"生成成长"),3))*(VLOOKUP($B$5,标准坦克设计!$B$14:$K$20,9)/30))</f>
        <v>14.690925899405991</v>
      </c>
      <c r="AU109" s="173">
        <f ca="1">(VLOOKUP(AU$72,INDIRECT($C$5&amp;"生成成长"),2))/((VLOOKUP($B109,INDIRECT($B$5&amp;"生成成长"),4))/(VLOOKUP(AU$72,INDIRECT($C$5&amp;"生成成长"),5))*(VLOOKUP($B$5,标准坦克设计!$B$24:$U$30,MATCH("对"&amp;LEFT($C$5,2)&amp;"输出",标准坦克设计!$B$23:$U$23,0)))*(VLOOKUP($B109,INDIRECT($B$5&amp;"生成成长"),3))*(VLOOKUP($B$5,标准坦克设计!$B$14:$K$20,9)/30))</f>
        <v>15.604998065104089</v>
      </c>
      <c r="AV109" s="173">
        <f ca="1">(VLOOKUP(AV$72,INDIRECT($C$5&amp;"生成成长"),2))/((VLOOKUP($B109,INDIRECT($B$5&amp;"生成成长"),4))/(VLOOKUP(AV$72,INDIRECT($C$5&amp;"生成成长"),5))*(VLOOKUP($B$5,标准坦克设计!$B$24:$U$30,MATCH("对"&amp;LEFT($C$5,2)&amp;"输出",标准坦克设计!$B$23:$U$23,0)))*(VLOOKUP($B109,INDIRECT($B$5&amp;"生成成长"),3))*(VLOOKUP($B$5,标准坦克设计!$B$14:$K$20,9)/30))</f>
        <v>1.5871730683601852</v>
      </c>
      <c r="AW109" s="173">
        <f ca="1">(VLOOKUP(AW$72,INDIRECT($C$5&amp;"生成成长"),2))/((VLOOKUP($B109,INDIRECT($B$5&amp;"生成成长"),4))/(VLOOKUP(AW$72,INDIRECT($C$5&amp;"生成成长"),5))*(VLOOKUP($B$5,标准坦克设计!$B$24:$U$30,MATCH("对"&amp;LEFT($C$5,2)&amp;"输出",标准坦克设计!$B$23:$U$23,0)))*(VLOOKUP($B109,INDIRECT($B$5&amp;"生成成长"),3))*(VLOOKUP($B$5,标准坦克设计!$B$14:$K$20,9)/30))</f>
        <v>1.80967822703866</v>
      </c>
      <c r="AX109" s="173">
        <f ca="1">(VLOOKUP(AX$72,INDIRECT($C$5&amp;"生成成长"),2))/((VLOOKUP($B109,INDIRECT($B$5&amp;"生成成长"),4))/(VLOOKUP(AX$72,INDIRECT($C$5&amp;"生成成长"),5))*(VLOOKUP($B$5,标准坦克设计!$B$24:$U$30,MATCH("对"&amp;LEFT($C$5,2)&amp;"输出",标准坦克设计!$B$23:$U$23,0)))*(VLOOKUP($B109,INDIRECT($B$5&amp;"生成成长"),3))*(VLOOKUP($B$5,标准坦克设计!$B$14:$K$20,9)/30))</f>
        <v>2.0467738879255593</v>
      </c>
      <c r="AY109" s="173">
        <f ca="1">(VLOOKUP(AY$72,INDIRECT($C$5&amp;"生成成长"),2))/((VLOOKUP($B109,INDIRECT($B$5&amp;"生成成长"),4))/(VLOOKUP(AY$72,INDIRECT($C$5&amp;"生成成长"),5))*(VLOOKUP($B$5,标准坦克设计!$B$24:$U$30,MATCH("对"&amp;LEFT($C$5,2)&amp;"输出",标准坦克设计!$B$23:$U$23,0)))*(VLOOKUP($B109,INDIRECT($B$5&amp;"生成成长"),3))*(VLOOKUP($B$5,标准坦克设计!$B$14:$K$20,9)/30))</f>
        <v>2.298460051020883</v>
      </c>
      <c r="AZ109" s="173">
        <f ca="1">(VLOOKUP(AZ$72,INDIRECT($C$5&amp;"生成成长"),2))/((VLOOKUP($B109,INDIRECT($B$5&amp;"生成成长"),4))/(VLOOKUP(AZ$72,INDIRECT($C$5&amp;"生成成长"),5))*(VLOOKUP($B$5,标准坦克设计!$B$24:$U$30,MATCH("对"&amp;LEFT($C$5,2)&amp;"输出",标准坦克设计!$B$23:$U$23,0)))*(VLOOKUP($B109,INDIRECT($B$5&amp;"生成成长"),3))*(VLOOKUP($B$5,标准坦克设计!$B$14:$K$20,9)/30))</f>
        <v>2.5647367163246315</v>
      </c>
      <c r="BA109" s="173">
        <f ca="1">(VLOOKUP(BA$72,INDIRECT($C$5&amp;"生成成长"),2))/((VLOOKUP($B109,INDIRECT($B$5&amp;"生成成长"),4))/(VLOOKUP(BA$72,INDIRECT($C$5&amp;"生成成长"),5))*(VLOOKUP($B$5,标准坦克设计!$B$24:$U$30,MATCH("对"&amp;LEFT($C$5,2)&amp;"输出",标准坦克设计!$B$23:$U$23,0)))*(VLOOKUP($B109,INDIRECT($B$5&amp;"生成成长"),3))*(VLOOKUP($B$5,标准坦克设计!$B$14:$K$20,9)/30))</f>
        <v>2.8456038838368043</v>
      </c>
      <c r="BB109" s="173">
        <f ca="1">(VLOOKUP(BB$72,INDIRECT($C$5&amp;"生成成长"),2))/((VLOOKUP($B109,INDIRECT($B$5&amp;"生成成长"),4))/(VLOOKUP(BB$72,INDIRECT($C$5&amp;"生成成长"),5))*(VLOOKUP($B$5,标准坦克设计!$B$24:$U$30,MATCH("对"&amp;LEFT($C$5,2)&amp;"输出",标准坦克设计!$B$23:$U$23,0)))*(VLOOKUP($B109,INDIRECT($B$5&amp;"生成成长"),3))*(VLOOKUP($B$5,标准坦克设计!$B$14:$K$20,9)/30))</f>
        <v>3.1410615535574018</v>
      </c>
      <c r="BC109" s="173">
        <f ca="1">(VLOOKUP(BC$72,INDIRECT($C$5&amp;"生成成长"),2))/((VLOOKUP($B109,INDIRECT($B$5&amp;"生成成长"),4))/(VLOOKUP(BC$72,INDIRECT($C$5&amp;"生成成长"),5))*(VLOOKUP($B$5,标准坦克设计!$B$24:$U$30,MATCH("对"&amp;LEFT($C$5,2)&amp;"输出",标准坦克设计!$B$23:$U$23,0)))*(VLOOKUP($B109,INDIRECT($B$5&amp;"生成成长"),3))*(VLOOKUP($B$5,标准坦克设计!$B$14:$K$20,9)/30))</f>
        <v>3.4511097254864245</v>
      </c>
      <c r="BD109" s="173">
        <f ca="1">(VLOOKUP(BD$72,INDIRECT($C$5&amp;"生成成长"),2))/((VLOOKUP($B109,INDIRECT($B$5&amp;"生成成长"),4))/(VLOOKUP(BD$72,INDIRECT($C$5&amp;"生成成长"),5))*(VLOOKUP($B$5,标准坦克设计!$B$24:$U$30,MATCH("对"&amp;LEFT($C$5,2)&amp;"输出",标准坦克设计!$B$23:$U$23,0)))*(VLOOKUP($B109,INDIRECT($B$5&amp;"生成成长"),3))*(VLOOKUP($B$5,标准坦克设计!$B$14:$K$20,9)/30))</f>
        <v>3.8173541285775814</v>
      </c>
      <c r="BE109" s="173">
        <f ca="1">(VLOOKUP(BE$72,INDIRECT($C$5&amp;"生成成长"),2))/((VLOOKUP($B109,INDIRECT($B$5&amp;"生成成长"),4))/(VLOOKUP(BE$72,INDIRECT($C$5&amp;"生成成长"),5))*(VLOOKUP($B$5,标准坦克设计!$B$24:$U$30,MATCH("对"&amp;LEFT($C$5,2)&amp;"输出",标准坦克设计!$B$23:$U$23,0)))*(VLOOKUP($B109,INDIRECT($B$5&amp;"生成成长"),3))*(VLOOKUP($B$5,标准坦克设计!$B$14:$K$20,9)/30))</f>
        <v>4.2020646360262761</v>
      </c>
      <c r="BF109" s="173">
        <f ca="1">(VLOOKUP(BF$72,INDIRECT($C$5&amp;"生成成长"),2))/((VLOOKUP($B109,INDIRECT($B$5&amp;"生成成长"),4))/(VLOOKUP(BF$72,INDIRECT($C$5&amp;"生成成长"),5))*(VLOOKUP($B$5,标准坦克设计!$B$24:$U$30,MATCH("对"&amp;LEFT($C$5,2)&amp;"输出",标准坦克设计!$B$23:$U$23,0)))*(VLOOKUP($B109,INDIRECT($B$5&amp;"生成成长"),3))*(VLOOKUP($B$5,标准坦克设计!$B$14:$K$20,9)/30))</f>
        <v>4.6052412478325078</v>
      </c>
      <c r="BG109" s="173">
        <f ca="1">(VLOOKUP(BG$72,INDIRECT($C$5&amp;"生成成长"),2))/((VLOOKUP($B109,INDIRECT($B$5&amp;"生成成长"),4))/(VLOOKUP(BG$72,INDIRECT($C$5&amp;"生成成长"),5))*(VLOOKUP($B$5,标准坦克设计!$B$24:$U$30,MATCH("对"&amp;LEFT($C$5,2)&amp;"输出",标准坦克设计!$B$23:$U$23,0)))*(VLOOKUP($B109,INDIRECT($B$5&amp;"生成成长"),3))*(VLOOKUP($B$5,标准坦克设计!$B$14:$K$20,9)/30))</f>
        <v>5.0268839639962772</v>
      </c>
      <c r="BH109" s="173">
        <f ca="1">(VLOOKUP(BH$72,INDIRECT($C$5&amp;"生成成长"),2))/((VLOOKUP($B109,INDIRECT($B$5&amp;"生成成长"),4))/(VLOOKUP(BH$72,INDIRECT($C$5&amp;"生成成长"),5))*(VLOOKUP($B$5,标准坦克设计!$B$24:$U$30,MATCH("对"&amp;LEFT($C$5,2)&amp;"输出",标准坦克设计!$B$23:$U$23,0)))*(VLOOKUP($B109,INDIRECT($B$5&amp;"生成成长"),3))*(VLOOKUP($B$5,标准坦克设计!$B$14:$K$20,9)/30))</f>
        <v>2.4297745708967042</v>
      </c>
      <c r="BI109" s="173">
        <f ca="1">(VLOOKUP(BI$72,INDIRECT($C$5&amp;"生成成长"),2))/((VLOOKUP($B109,INDIRECT($B$5&amp;"生成成长"),4))/(VLOOKUP(BI$72,INDIRECT($C$5&amp;"生成成长"),5))*(VLOOKUP($B$5,标准坦克设计!$B$24:$U$30,MATCH("对"&amp;LEFT($C$5,2)&amp;"输出",标准坦克设计!$B$23:$U$23,0)))*(VLOOKUP($B109,INDIRECT($B$5&amp;"生成成长"),3))*(VLOOKUP($B$5,标准坦克设计!$B$14:$K$20,9)/30))</f>
        <v>2.7385688715421899</v>
      </c>
      <c r="BJ109" s="173">
        <f ca="1">(VLOOKUP(BJ$72,INDIRECT($C$5&amp;"生成成长"),2))/((VLOOKUP($B109,INDIRECT($B$5&amp;"生成成长"),4))/(VLOOKUP(BJ$72,INDIRECT($C$5&amp;"生成成长"),5))*(VLOOKUP($B$5,标准坦克设计!$B$24:$U$30,MATCH("对"&amp;LEFT($C$5,2)&amp;"输出",标准坦克设计!$B$23:$U$23,0)))*(VLOOKUP($B109,INDIRECT($B$5&amp;"生成成长"),3))*(VLOOKUP($B$5,标准坦克设计!$B$14:$K$20,9)/30))</f>
        <v>3.0658292765452124</v>
      </c>
      <c r="BK109" s="173">
        <f ca="1">(VLOOKUP(BK$72,INDIRECT($C$5&amp;"生成成长"),2))/((VLOOKUP($B109,INDIRECT($B$5&amp;"生成成长"),4))/(VLOOKUP(BK$72,INDIRECT($C$5&amp;"生成成长"),5))*(VLOOKUP($B$5,标准坦克设计!$B$24:$U$30,MATCH("对"&amp;LEFT($C$5,2)&amp;"输出",标准坦克设计!$B$23:$U$23,0)))*(VLOOKUP($B109,INDIRECT($B$5&amp;"生成成长"),3))*(VLOOKUP($B$5,标准坦克设计!$B$14:$K$20,9)/30))</f>
        <v>3.4115557859057724</v>
      </c>
      <c r="BL109" s="173">
        <f ca="1">(VLOOKUP(BL$72,INDIRECT($C$5&amp;"生成成长"),2))/((VLOOKUP($B109,INDIRECT($B$5&amp;"生成成长"),4))/(VLOOKUP(BL$72,INDIRECT($C$5&amp;"生成成长"),5))*(VLOOKUP($B$5,标准坦克设计!$B$24:$U$30,MATCH("对"&amp;LEFT($C$5,2)&amp;"输出",标准坦克设计!$B$23:$U$23,0)))*(VLOOKUP($B109,INDIRECT($B$5&amp;"生成成长"),3))*(VLOOKUP($B$5,标准坦克设计!$B$14:$K$20,9)/30))</f>
        <v>3.7757483996238701</v>
      </c>
      <c r="BM109" s="173">
        <f ca="1">(VLOOKUP(BM$72,INDIRECT($C$5&amp;"生成成长"),2))/((VLOOKUP($B109,INDIRECT($B$5&amp;"生成成长"),4))/(VLOOKUP(BM$72,INDIRECT($C$5&amp;"生成成长"),5))*(VLOOKUP($B$5,标准坦克设计!$B$24:$U$30,MATCH("对"&amp;LEFT($C$5,2)&amp;"输出",标准坦克设计!$B$23:$U$23,0)))*(VLOOKUP($B109,INDIRECT($B$5&amp;"生成成长"),3))*(VLOOKUP($B$5,标准坦克设计!$B$14:$K$20,9)/30))</f>
        <v>4.1584071176995057</v>
      </c>
      <c r="BN109" s="173">
        <f ca="1">(VLOOKUP(BN$72,INDIRECT($C$5&amp;"生成成长"),2))/((VLOOKUP($B109,INDIRECT($B$5&amp;"生成成长"),4))/(VLOOKUP(BN$72,INDIRECT($C$5&amp;"生成成长"),5))*(VLOOKUP($B$5,标准坦克设计!$B$24:$U$30,MATCH("对"&amp;LEFT($C$5,2)&amp;"输出",标准坦克设计!$B$23:$U$23,0)))*(VLOOKUP($B109,INDIRECT($B$5&amp;"生成成长"),3))*(VLOOKUP($B$5,标准坦克设计!$B$14:$K$20,9)/30))</f>
        <v>4.5595319401326782</v>
      </c>
      <c r="BO109" s="173">
        <f ca="1">(VLOOKUP(BO$72,INDIRECT($C$5&amp;"生成成长"),2))/((VLOOKUP($B109,INDIRECT($B$5&amp;"生成成长"),4))/(VLOOKUP(BO$72,INDIRECT($C$5&amp;"生成成长"),5))*(VLOOKUP($B$5,标准坦克设计!$B$24:$U$30,MATCH("对"&amp;LEFT($C$5,2)&amp;"输出",标准坦克设计!$B$23:$U$23,0)))*(VLOOKUP($B109,INDIRECT($B$5&amp;"生成成长"),3))*(VLOOKUP($B$5,标准坦克设计!$B$14:$K$20,9)/30))</f>
        <v>4.9791228669233876</v>
      </c>
      <c r="BP109" s="173">
        <f ca="1">(VLOOKUP(BP$72,INDIRECT($C$5&amp;"生成成长"),2))/((VLOOKUP($B109,INDIRECT($B$5&amp;"生成成长"),4))/(VLOOKUP(BP$72,INDIRECT($C$5&amp;"生成成长"),5))*(VLOOKUP($B$5,标准坦克设计!$B$24:$U$30,MATCH("对"&amp;LEFT($C$5,2)&amp;"输出",标准坦克设计!$B$23:$U$23,0)))*(VLOOKUP($B109,INDIRECT($B$5&amp;"生成成长"),3))*(VLOOKUP($B$5,标准坦克设计!$B$14:$K$20,9)/30))</f>
        <v>5.4171798980716348</v>
      </c>
      <c r="BQ109" s="173">
        <f ca="1">(VLOOKUP(BQ$72,INDIRECT($C$5&amp;"生成成长"),2))/((VLOOKUP($B109,INDIRECT($B$5&amp;"生成成长"),4))/(VLOOKUP(BQ$72,INDIRECT($C$5&amp;"生成成长"),5))*(VLOOKUP($B$5,标准坦克设计!$B$24:$U$30,MATCH("对"&amp;LEFT($C$5,2)&amp;"输出",标准坦克设计!$B$23:$U$23,0)))*(VLOOKUP($B109,INDIRECT($B$5&amp;"生成成长"),3))*(VLOOKUP($B$5,标准坦克设计!$B$14:$K$20,9)/30))</f>
        <v>5.8737030335774181</v>
      </c>
      <c r="BR109" s="173">
        <f ca="1">(VLOOKUP(BR$72,INDIRECT($C$5&amp;"生成成长"),2))/((VLOOKUP($B109,INDIRECT($B$5&amp;"生成成长"),4))/(VLOOKUP(BR$72,INDIRECT($C$5&amp;"生成成长"),5))*(VLOOKUP($B$5,标准坦克设计!$B$24:$U$30,MATCH("对"&amp;LEFT($C$5,2)&amp;"输出",标准坦克设计!$B$23:$U$23,0)))*(VLOOKUP($B109,INDIRECT($B$5&amp;"生成成长"),3))*(VLOOKUP($B$5,标准坦克设计!$B$14:$K$20,9)/30))</f>
        <v>6.402608738632809</v>
      </c>
      <c r="BS109" s="173">
        <f ca="1">(VLOOKUP(BS$72,INDIRECT($C$5&amp;"生成成长"),2))/((VLOOKUP($B109,INDIRECT($B$5&amp;"生成成长"),4))/(VLOOKUP(BS$72,INDIRECT($C$5&amp;"生成成长"),5))*(VLOOKUP($B$5,标准坦克设计!$B$24:$U$30,MATCH("对"&amp;LEFT($C$5,2)&amp;"输出",标准坦克设计!$B$23:$U$23,0)))*(VLOOKUP($B109,INDIRECT($B$5&amp;"生成成长"),3))*(VLOOKUP($B$5,标准坦克设计!$B$14:$K$20,9)/30))</f>
        <v>6.9543121033888635</v>
      </c>
      <c r="BT109" s="173">
        <f ca="1">(VLOOKUP(BT$72,INDIRECT($C$5&amp;"生成成长"),2))/((VLOOKUP($B109,INDIRECT($B$5&amp;"生成成长"),4))/(VLOOKUP(BT$72,INDIRECT($C$5&amp;"生成成长"),5))*(VLOOKUP($B$5,标准坦克设计!$B$24:$U$30,MATCH("对"&amp;LEFT($C$5,2)&amp;"输出",标准坦克设计!$B$23:$U$23,0)))*(VLOOKUP($B109,INDIRECT($B$5&amp;"生成成长"),3))*(VLOOKUP($B$5,标准坦克设计!$B$14:$K$20,9)/30))</f>
        <v>7.5288131278455808</v>
      </c>
      <c r="BU109" s="173">
        <f ca="1">(VLOOKUP(BU$72,INDIRECT($C$5&amp;"生成成长"),2))/((VLOOKUP($B109,INDIRECT($B$5&amp;"生成成长"),4))/(VLOOKUP(BU$72,INDIRECT($C$5&amp;"生成成长"),5))*(VLOOKUP($B$5,标准坦克设计!$B$24:$U$30,MATCH("对"&amp;LEFT($C$5,2)&amp;"输出",标准坦克设计!$B$23:$U$23,0)))*(VLOOKUP($B109,INDIRECT($B$5&amp;"生成成长"),3))*(VLOOKUP($B$5,标准坦克设计!$B$14:$K$20,9)/30))</f>
        <v>8.1261118120029625</v>
      </c>
      <c r="BV109" s="173">
        <f ca="1">(VLOOKUP(BV$72,INDIRECT($C$5&amp;"生成成长"),2))/((VLOOKUP($B109,INDIRECT($B$5&amp;"生成成长"),4))/(VLOOKUP(BV$72,INDIRECT($C$5&amp;"生成成长"),5))*(VLOOKUP($B$5,标准坦克设计!$B$24:$U$30,MATCH("对"&amp;LEFT($C$5,2)&amp;"输出",标准坦克设计!$B$23:$U$23,0)))*(VLOOKUP($B109,INDIRECT($B$5&amp;"生成成长"),3))*(VLOOKUP($B$5,标准坦克设计!$B$14:$K$20,9)/30))</f>
        <v>8.7462081558610052</v>
      </c>
      <c r="BW109" s="173">
        <f ca="1">(VLOOKUP(BW$72,INDIRECT($C$5&amp;"生成成长"),2))/((VLOOKUP($B109,INDIRECT($B$5&amp;"生成成长"),4))/(VLOOKUP(BW$72,INDIRECT($C$5&amp;"生成成长"),5))*(VLOOKUP($B$5,标准坦克设计!$B$24:$U$30,MATCH("对"&amp;LEFT($C$5,2)&amp;"输出",标准坦克设计!$B$23:$U$23,0)))*(VLOOKUP($B109,INDIRECT($B$5&amp;"生成成长"),3))*(VLOOKUP($B$5,标准坦克设计!$B$14:$K$20,9)/30))</f>
        <v>3.9860568103624905</v>
      </c>
      <c r="BX109" s="173">
        <f ca="1">(VLOOKUP(BX$72,INDIRECT($C$5&amp;"生成成长"),2))/((VLOOKUP($B109,INDIRECT($B$5&amp;"生成成长"),4))/(VLOOKUP(BX$72,INDIRECT($C$5&amp;"生成成长"),5))*(VLOOKUP($B$5,标准坦克设计!$B$24:$U$30,MATCH("对"&amp;LEFT($C$5,2)&amp;"输出",标准坦克设计!$B$23:$U$23,0)))*(VLOOKUP($B109,INDIRECT($B$5&amp;"生成成长"),3))*(VLOOKUP($B$5,标准坦克设计!$B$14:$K$20,9)/30))</f>
        <v>4.4237718766152279</v>
      </c>
      <c r="BY109" s="173">
        <f ca="1">(VLOOKUP(BY$72,INDIRECT($C$5&amp;"生成成长"),2))/((VLOOKUP($B109,INDIRECT($B$5&amp;"生成成长"),4))/(VLOOKUP(BY$72,INDIRECT($C$5&amp;"生成成长"),5))*(VLOOKUP($B$5,标准坦克设计!$B$24:$U$30,MATCH("对"&amp;LEFT($C$5,2)&amp;"输出",标准坦克设计!$B$23:$U$23,0)))*(VLOOKUP($B109,INDIRECT($B$5&amp;"生成成长"),3))*(VLOOKUP($B$5,标准坦克设计!$B$14:$K$20,9)/30))</f>
        <v>4.884284602568628</v>
      </c>
      <c r="BZ109" s="173">
        <f ca="1">(VLOOKUP(BZ$72,INDIRECT($C$5&amp;"生成成长"),2))/((VLOOKUP($B109,INDIRECT($B$5&amp;"生成成长"),4))/(VLOOKUP(BZ$72,INDIRECT($C$5&amp;"生成成长"),5))*(VLOOKUP($B$5,标准坦克设计!$B$24:$U$30,MATCH("对"&amp;LEFT($C$5,2)&amp;"输出",标准坦克设计!$B$23:$U$23,0)))*(VLOOKUP($B109,INDIRECT($B$5&amp;"生成成长"),3))*(VLOOKUP($B$5,标准坦克设计!$B$14:$K$20,9)/30))</f>
        <v>5.3675949882226917</v>
      </c>
      <c r="CA109" s="173">
        <f ca="1">(VLOOKUP(CA$72,INDIRECT($C$5&amp;"生成成长"),2))/((VLOOKUP($B109,INDIRECT($B$5&amp;"生成成长"),4))/(VLOOKUP(CA$72,INDIRECT($C$5&amp;"生成成长"),5))*(VLOOKUP($B$5,标准坦克设计!$B$24:$U$30,MATCH("对"&amp;LEFT($C$5,2)&amp;"输出",标准坦克设计!$B$23:$U$23,0)))*(VLOOKUP($B109,INDIRECT($B$5&amp;"生成成长"),3))*(VLOOKUP($B$5,标准坦克设计!$B$14:$K$20,9)/30))</f>
        <v>5.8737030335774181</v>
      </c>
      <c r="CB109" s="173">
        <f ca="1">(VLOOKUP(CB$72,INDIRECT($C$5&amp;"生成成长"),2))/((VLOOKUP($B109,INDIRECT($B$5&amp;"生成成长"),4))/(VLOOKUP(CB$72,INDIRECT($C$5&amp;"生成成长"),5))*(VLOOKUP($B$5,标准坦克设计!$B$24:$U$30,MATCH("对"&amp;LEFT($C$5,2)&amp;"输出",标准坦克设计!$B$23:$U$23,0)))*(VLOOKUP($B109,INDIRECT($B$5&amp;"生成成长"),3))*(VLOOKUP($B$5,标准坦克设计!$B$14:$K$20,9)/30))</f>
        <v>6.402608738632809</v>
      </c>
      <c r="CC109" s="173">
        <f ca="1">(VLOOKUP(CC$72,INDIRECT($C$5&amp;"生成成长"),2))/((VLOOKUP($B109,INDIRECT($B$5&amp;"生成成长"),4))/(VLOOKUP(CC$72,INDIRECT($C$5&amp;"生成成长"),5))*(VLOOKUP($B$5,标准坦克设计!$B$24:$U$30,MATCH("对"&amp;LEFT($C$5,2)&amp;"输出",标准坦克设计!$B$23:$U$23,0)))*(VLOOKUP($B109,INDIRECT($B$5&amp;"生成成长"),3))*(VLOOKUP($B$5,标准坦克设计!$B$14:$K$20,9)/30))</f>
        <v>6.9543121033888635</v>
      </c>
      <c r="CD109" s="173">
        <f ca="1">(VLOOKUP(CD$72,INDIRECT($C$5&amp;"生成成长"),2))/((VLOOKUP($B109,INDIRECT($B$5&amp;"生成成长"),4))/(VLOOKUP(CD$72,INDIRECT($C$5&amp;"生成成长"),5))*(VLOOKUP($B$5,标准坦克设计!$B$24:$U$30,MATCH("对"&amp;LEFT($C$5,2)&amp;"输出",标准坦克设计!$B$23:$U$23,0)))*(VLOOKUP($B109,INDIRECT($B$5&amp;"生成成长"),3))*(VLOOKUP($B$5,标准坦克设计!$B$14:$K$20,9)/30))</f>
        <v>7.5288131278455808</v>
      </c>
      <c r="CE109" s="173">
        <f ca="1">(VLOOKUP(CE$72,INDIRECT($C$5&amp;"生成成长"),2))/((VLOOKUP($B109,INDIRECT($B$5&amp;"生成成长"),4))/(VLOOKUP(CE$72,INDIRECT($C$5&amp;"生成成长"),5))*(VLOOKUP($B$5,标准坦克设计!$B$24:$U$30,MATCH("对"&amp;LEFT($C$5,2)&amp;"输出",标准坦克设计!$B$23:$U$23,0)))*(VLOOKUP($B109,INDIRECT($B$5&amp;"生成成长"),3))*(VLOOKUP($B$5,标准坦克设计!$B$14:$K$20,9)/30))</f>
        <v>8.1261118120029625</v>
      </c>
      <c r="CF109" s="173">
        <f ca="1">(VLOOKUP(CF$72,INDIRECT($C$5&amp;"生成成长"),2))/((VLOOKUP($B109,INDIRECT($B$5&amp;"生成成长"),4))/(VLOOKUP(CF$72,INDIRECT($C$5&amp;"生成成长"),5))*(VLOOKUP($B$5,标准坦克设计!$B$24:$U$30,MATCH("对"&amp;LEFT($C$5,2)&amp;"输出",标准坦克设计!$B$23:$U$23,0)))*(VLOOKUP($B109,INDIRECT($B$5&amp;"生成成长"),3))*(VLOOKUP($B$5,标准坦克设计!$B$14:$K$20,9)/30))</f>
        <v>8.7462081558610052</v>
      </c>
      <c r="CG109" s="173">
        <f ca="1">(VLOOKUP(CG$72,INDIRECT($C$5&amp;"生成成长"),2))/((VLOOKUP($B109,INDIRECT($B$5&amp;"生成成长"),4))/(VLOOKUP(CG$72,INDIRECT($C$5&amp;"生成成长"),5))*(VLOOKUP($B$5,标准坦克设计!$B$24:$U$30,MATCH("对"&amp;LEFT($C$5,2)&amp;"输出",标准坦克设计!$B$23:$U$23,0)))*(VLOOKUP($B109,INDIRECT($B$5&amp;"生成成长"),3))*(VLOOKUP($B$5,标准坦克设计!$B$14:$K$20,9)/30))</f>
        <v>9.3891021594197124</v>
      </c>
      <c r="CH109" s="173">
        <f ca="1">(VLOOKUP(CH$72,INDIRECT($C$5&amp;"生成成长"),2))/((VLOOKUP($B109,INDIRECT($B$5&amp;"生成成长"),4))/(VLOOKUP(CH$72,INDIRECT($C$5&amp;"生成成长"),5))*(VLOOKUP($B$5,标准坦克设计!$B$24:$U$30,MATCH("对"&amp;LEFT($C$5,2)&amp;"输出",标准坦克设计!$B$23:$U$23,0)))*(VLOOKUP($B109,INDIRECT($B$5&amp;"生成成长"),3))*(VLOOKUP($B$5,标准坦克设计!$B$14:$K$20,9)/30))</f>
        <v>10.054793822679084</v>
      </c>
      <c r="CI109" s="173">
        <f ca="1">(VLOOKUP(CI$72,INDIRECT($C$5&amp;"生成成长"),2))/((VLOOKUP($B109,INDIRECT($B$5&amp;"生成成长"),4))/(VLOOKUP(CI$72,INDIRECT($C$5&amp;"生成成长"),5))*(VLOOKUP($B$5,标准坦克设计!$B$24:$U$30,MATCH("对"&amp;LEFT($C$5,2)&amp;"输出",标准坦克设计!$B$23:$U$23,0)))*(VLOOKUP($B109,INDIRECT($B$5&amp;"生成成长"),3))*(VLOOKUP($B$5,标准坦克设计!$B$14:$K$20,9)/30))</f>
        <v>10.813385949218659</v>
      </c>
      <c r="CJ109" s="173">
        <f ca="1">(VLOOKUP(CJ$72,INDIRECT($C$5&amp;"生成成长"),2))/((VLOOKUP($B109,INDIRECT($B$5&amp;"生成成长"),4))/(VLOOKUP(CJ$72,INDIRECT($C$5&amp;"生成成长"),5))*(VLOOKUP($B$5,标准坦克设计!$B$24:$U$30,MATCH("对"&amp;LEFT($C$5,2)&amp;"输出",标准坦克设计!$B$23:$U$23,0)))*(VLOOKUP($B109,INDIRECT($B$5&amp;"生成成长"),3))*(VLOOKUP($B$5,标准坦克设计!$B$14:$K$20,9)/30))</f>
        <v>11.599563243996036</v>
      </c>
      <c r="CK109" s="173">
        <f ca="1">(VLOOKUP(CK$72,INDIRECT($C$5&amp;"生成成长"),2))/((VLOOKUP($B109,INDIRECT($B$5&amp;"生成成长"),4))/(VLOOKUP(CK$72,INDIRECT($C$5&amp;"生成成长"),5))*(VLOOKUP($B$5,标准坦克设计!$B$24:$U$30,MATCH("对"&amp;LEFT($C$5,2)&amp;"输出",标准坦克设计!$B$23:$U$23,0)))*(VLOOKUP($B109,INDIRECT($B$5&amp;"生成成长"),3))*(VLOOKUP($B$5,标准坦克设计!$B$14:$K$20,9)/30))</f>
        <v>12.413325707011216</v>
      </c>
      <c r="CL109" s="173">
        <f ca="1">(VLOOKUP(CL$72,INDIRECT($C$5&amp;"生成成长"),2))/((VLOOKUP($B109,INDIRECT($B$5&amp;"生成成长"),4))/(VLOOKUP(CL$72,INDIRECT($C$5&amp;"生成成长"),5))*(VLOOKUP($B$5,标准坦克设计!$B$24:$U$30,MATCH("对"&amp;LEFT($C$5,2)&amp;"输出",标准坦克设计!$B$23:$U$23,0)))*(VLOOKUP($B109,INDIRECT($B$5&amp;"生成成长"),3))*(VLOOKUP($B$5,标准坦克设计!$B$14:$K$20,9)/30))</f>
        <v>13.254673338264197</v>
      </c>
      <c r="CM109" s="173">
        <f ca="1">(VLOOKUP(CM$72,INDIRECT($C$5&amp;"生成成长"),2))/((VLOOKUP($B109,INDIRECT($B$5&amp;"生成成长"),4))/(VLOOKUP(CM$72,INDIRECT($C$5&amp;"生成成长"),5))*(VLOOKUP($B$5,标准坦克设计!$B$24:$U$30,MATCH("对"&amp;LEFT($C$5,2)&amp;"输出",标准坦克设计!$B$23:$U$23,0)))*(VLOOKUP($B109,INDIRECT($B$5&amp;"生成成长"),3))*(VLOOKUP($B$5,标准坦克设计!$B$14:$K$20,9)/30))</f>
        <v>14.123606137754983</v>
      </c>
      <c r="CN109" s="173">
        <f ca="1">(VLOOKUP(CN$72,INDIRECT($C$5&amp;"生成成长"),2))/((VLOOKUP($B109,INDIRECT($B$5&amp;"生成成长"),4))/(VLOOKUP(CN$72,INDIRECT($C$5&amp;"生成成长"),5))*(VLOOKUP($B$5,标准坦克设计!$B$24:$U$30,MATCH("对"&amp;LEFT($C$5,2)&amp;"输出",标准坦克设计!$B$23:$U$23,0)))*(VLOOKUP($B109,INDIRECT($B$5&amp;"生成成长"),3))*(VLOOKUP($B$5,标准坦克设计!$B$14:$K$20,9)/30))</f>
        <v>15.020124105483571</v>
      </c>
      <c r="CO109" s="173">
        <f ca="1">(VLOOKUP(CO$72,INDIRECT($C$5&amp;"生成成长"),2))/((VLOOKUP($B109,INDIRECT($B$5&amp;"生成成长"),4))/(VLOOKUP(CO$72,INDIRECT($C$5&amp;"生成成长"),5))*(VLOOKUP($B$5,标准坦克设计!$B$24:$U$30,MATCH("对"&amp;LEFT($C$5,2)&amp;"输出",标准坦克设计!$B$23:$U$23,0)))*(VLOOKUP($B109,INDIRECT($B$5&amp;"生成成长"),3))*(VLOOKUP($B$5,标准坦克设计!$B$14:$K$20,9)/30))</f>
        <v>6.7308950383223634</v>
      </c>
      <c r="CP109" s="173">
        <f ca="1">(VLOOKUP(CP$72,INDIRECT($C$5&amp;"生成成长"),2))/((VLOOKUP($B109,INDIRECT($B$5&amp;"生成成长"),4))/(VLOOKUP(CP$72,INDIRECT($C$5&amp;"生成成长"),5))*(VLOOKUP($B$5,标准坦克设计!$B$24:$U$30,MATCH("对"&amp;LEFT($C$5,2)&amp;"输出",标准坦克设计!$B$23:$U$23,0)))*(VLOOKUP($B109,INDIRECT($B$5&amp;"生成成长"),3))*(VLOOKUP($B$5,标准坦克设计!$B$14:$K$20,9)/30))</f>
        <v>7.3540690662399966</v>
      </c>
      <c r="CQ109" s="173">
        <f ca="1">(VLOOKUP(CQ$72,INDIRECT($C$5&amp;"生成成长"),2))/((VLOOKUP($B109,INDIRECT($B$5&amp;"生成成长"),4))/(VLOOKUP(CQ$72,INDIRECT($C$5&amp;"生成成长"),5))*(VLOOKUP($B$5,标准坦克设计!$B$24:$U$30,MATCH("对"&amp;LEFT($C$5,2)&amp;"输出",标准坦克设计!$B$23:$U$23,0)))*(VLOOKUP($B109,INDIRECT($B$5&amp;"生成成长"),3))*(VLOOKUP($B$5,标准坦克设计!$B$14:$K$20,9)/30))</f>
        <v>8.0048282623954314</v>
      </c>
      <c r="CR109" s="173">
        <f ca="1">(VLOOKUP(CR$72,INDIRECT($C$5&amp;"生成成长"),2))/((VLOOKUP($B109,INDIRECT($B$5&amp;"生成成长"),4))/(VLOOKUP(CR$72,INDIRECT($C$5&amp;"生成成长"),5))*(VLOOKUP($B$5,标准坦克设计!$B$24:$U$30,MATCH("对"&amp;LEFT($C$5,2)&amp;"输出",标准坦克设计!$B$23:$U$23,0)))*(VLOOKUP($B109,INDIRECT($B$5&amp;"生成成长"),3))*(VLOOKUP($B$5,标准坦克设计!$B$14:$K$20,9)/30))</f>
        <v>8.6831726267886715</v>
      </c>
      <c r="CS109" s="173">
        <f ca="1">(VLOOKUP(CS$72,INDIRECT($C$5&amp;"生成成长"),2))/((VLOOKUP($B109,INDIRECT($B$5&amp;"生成成长"),4))/(VLOOKUP(CS$72,INDIRECT($C$5&amp;"生成成长"),5))*(VLOOKUP($B$5,标准坦克设计!$B$24:$U$30,MATCH("对"&amp;LEFT($C$5,2)&amp;"输出",标准坦克设计!$B$23:$U$23,0)))*(VLOOKUP($B109,INDIRECT($B$5&amp;"生成成长"),3))*(VLOOKUP($B$5,标准坦克设计!$B$14:$K$20,9)/30))</f>
        <v>9.3891021594197124</v>
      </c>
      <c r="CT109" s="173">
        <f ca="1">(VLOOKUP(CT$72,INDIRECT($C$5&amp;"生成成长"),2))/((VLOOKUP($B109,INDIRECT($B$5&amp;"生成成长"),4))/(VLOOKUP(CT$72,INDIRECT($C$5&amp;"生成成长"),5))*(VLOOKUP($B$5,标准坦克设计!$B$24:$U$30,MATCH("对"&amp;LEFT($C$5,2)&amp;"输出",标准坦克设计!$B$23:$U$23,0)))*(VLOOKUP($B109,INDIRECT($B$5&amp;"生成成长"),3))*(VLOOKUP($B$5,标准坦克设计!$B$14:$K$20,9)/30))</f>
        <v>10.122616860288556</v>
      </c>
      <c r="CU109" s="173">
        <f ca="1">(VLOOKUP(CU$72,INDIRECT($C$5&amp;"生成成长"),2))/((VLOOKUP($B109,INDIRECT($B$5&amp;"生成成长"),4))/(VLOOKUP(CU$72,INDIRECT($C$5&amp;"生成成长"),5))*(VLOOKUP($B$5,标准坦克设计!$B$24:$U$30,MATCH("对"&amp;LEFT($C$5,2)&amp;"输出",标准坦克设计!$B$23:$U$23,0)))*(VLOOKUP($B109,INDIRECT($B$5&amp;"生成成长"),3))*(VLOOKUP($B$5,标准坦克设计!$B$14:$K$20,9)/30))</f>
        <v>10.883716729395207</v>
      </c>
      <c r="CV109" s="173">
        <f ca="1">(VLOOKUP(CV$72,INDIRECT($C$5&amp;"生成成长"),2))/((VLOOKUP($B109,INDIRECT($B$5&amp;"生成成长"),4))/(VLOOKUP(CV$72,INDIRECT($C$5&amp;"生成成长"),5))*(VLOOKUP($B$5,标准坦克设计!$B$24:$U$30,MATCH("对"&amp;LEFT($C$5,2)&amp;"输出",标准坦克设计!$B$23:$U$23,0)))*(VLOOKUP($B109,INDIRECT($B$5&amp;"生成成长"),3))*(VLOOKUP($B$5,标准坦克设计!$B$14:$K$20,9)/30))</f>
        <v>11.672401766739656</v>
      </c>
      <c r="CW109" s="173">
        <f ca="1">(VLOOKUP(CW$72,INDIRECT($C$5&amp;"生成成长"),2))/((VLOOKUP($B109,INDIRECT($B$5&amp;"生成成长"),4))/(VLOOKUP(CW$72,INDIRECT($C$5&amp;"生成成长"),5))*(VLOOKUP($B$5,标准坦克设计!$B$24:$U$30,MATCH("对"&amp;LEFT($C$5,2)&amp;"输出",标准坦克设计!$B$23:$U$23,0)))*(VLOOKUP($B109,INDIRECT($B$5&amp;"生成成长"),3))*(VLOOKUP($B$5,标准坦克设计!$B$14:$K$20,9)/30))</f>
        <v>12.488671972321908</v>
      </c>
      <c r="CX109" s="173">
        <f ca="1">(VLOOKUP(CX$72,INDIRECT($C$5&amp;"生成成长"),2))/((VLOOKUP($B109,INDIRECT($B$5&amp;"生成成长"),4))/(VLOOKUP(CX$72,INDIRECT($C$5&amp;"生成成长"),5))*(VLOOKUP($B$5,标准坦克设计!$B$24:$U$30,MATCH("对"&amp;LEFT($C$5,2)&amp;"输出",标准坦克设计!$B$23:$U$23,0)))*(VLOOKUP($B109,INDIRECT($B$5&amp;"生成成长"),3))*(VLOOKUP($B$5,标准坦克设计!$B$14:$K$20,9)/30))</f>
        <v>13.332527346141964</v>
      </c>
      <c r="CY109" s="173">
        <f ca="1">(VLOOKUP(CY$72,INDIRECT($C$5&amp;"生成成长"),2))/((VLOOKUP($B109,INDIRECT($B$5&amp;"生成成长"),4))/(VLOOKUP(CY$72,INDIRECT($C$5&amp;"生成成长"),5))*(VLOOKUP($B$5,标准坦克设计!$B$24:$U$30,MATCH("对"&amp;LEFT($C$5,2)&amp;"输出",标准坦克设计!$B$23:$U$23,0)))*(VLOOKUP($B109,INDIRECT($B$5&amp;"生成成长"),3))*(VLOOKUP($B$5,标准坦克设计!$B$14:$K$20,9)/30))</f>
        <v>14.203967888199822</v>
      </c>
      <c r="CZ109" s="173">
        <f ca="1">(VLOOKUP(CZ$72,INDIRECT($C$5&amp;"生成成长"),2))/((VLOOKUP($B109,INDIRECT($B$5&amp;"生成成长"),4))/(VLOOKUP(CZ$72,INDIRECT($C$5&amp;"生成成长"),5))*(VLOOKUP($B$5,标准坦克设计!$B$24:$U$30,MATCH("对"&amp;LEFT($C$5,2)&amp;"输出",标准坦克设计!$B$23:$U$23,0)))*(VLOOKUP($B109,INDIRECT($B$5&amp;"生成成长"),3))*(VLOOKUP($B$5,标准坦克设计!$B$14:$K$20,9)/30))</f>
        <v>15.10299359849548</v>
      </c>
      <c r="DA109" s="173">
        <f ca="1">(VLOOKUP(DA$72,INDIRECT($C$5&amp;"生成成长"),2))/((VLOOKUP($B109,INDIRECT($B$5&amp;"生成成长"),4))/(VLOOKUP(DA$72,INDIRECT($C$5&amp;"生成成长"),5))*(VLOOKUP($B$5,标准坦克设计!$B$24:$U$30,MATCH("对"&amp;LEFT($C$5,2)&amp;"输出",标准坦克设计!$B$23:$U$23,0)))*(VLOOKUP($B109,INDIRECT($B$5&amp;"生成成长"),3))*(VLOOKUP($B$5,标准坦克设计!$B$14:$K$20,9)/30))</f>
        <v>16.029604477028947</v>
      </c>
      <c r="DB109" s="173">
        <f ca="1">(VLOOKUP(DB$72,INDIRECT($C$5&amp;"生成成长"),2))/((VLOOKUP($B109,INDIRECT($B$5&amp;"生成成长"),4))/(VLOOKUP(DB$72,INDIRECT($C$5&amp;"生成成长"),5))*(VLOOKUP($B$5,标准坦克设计!$B$24:$U$30,MATCH("对"&amp;LEFT($C$5,2)&amp;"输出",标准坦克设计!$B$23:$U$23,0)))*(VLOOKUP($B109,INDIRECT($B$5&amp;"生成成长"),3))*(VLOOKUP($B$5,标准坦克设计!$B$14:$K$20,9)/30))</f>
        <v>16.983800523800209</v>
      </c>
      <c r="DC109" s="173">
        <f ca="1">(VLOOKUP(DC$72,INDIRECT($C$5&amp;"生成成长"),2))/((VLOOKUP($B109,INDIRECT($B$5&amp;"生成成长"),4))/(VLOOKUP(DC$72,INDIRECT($C$5&amp;"生成成长"),5))*(VLOOKUP($B$5,标准坦克设计!$B$24:$U$30,MATCH("对"&amp;LEFT($C$5,2)&amp;"输出",标准坦克设计!$B$23:$U$23,0)))*(VLOOKUP($B109,INDIRECT($B$5&amp;"生成成长"),3))*(VLOOKUP($B$5,标准坦克设计!$B$14:$K$20,9)/30))</f>
        <v>18.05620243611942</v>
      </c>
      <c r="DD109" s="173">
        <f ca="1">(VLOOKUP(DD$72,INDIRECT($C$5&amp;"生成成长"),2))/((VLOOKUP($B109,INDIRECT($B$5&amp;"生成成长"),4))/(VLOOKUP(DD$72,INDIRECT($C$5&amp;"生成成长"),5))*(VLOOKUP($B$5,标准坦克设计!$B$24:$U$30,MATCH("对"&amp;LEFT($C$5,2)&amp;"输出",标准坦克设计!$B$23:$U$23,0)))*(VLOOKUP($B109,INDIRECT($B$5&amp;"生成成长"),3))*(VLOOKUP($B$5,标准坦克设计!$B$14:$K$20,9)/30))</f>
        <v>19.161432978407579</v>
      </c>
      <c r="DE109" s="173">
        <f ca="1">(VLOOKUP(DE$72,INDIRECT($C$5&amp;"生成成长"),2))/((VLOOKUP($B109,INDIRECT($B$5&amp;"生成成长"),4))/(VLOOKUP(DE$72,INDIRECT($C$5&amp;"生成成长"),5))*(VLOOKUP($B$5,标准坦克设计!$B$24:$U$30,MATCH("对"&amp;LEFT($C$5,2)&amp;"输出",标准坦克设计!$B$23:$U$23,0)))*(VLOOKUP($B109,INDIRECT($B$5&amp;"生成成长"),3))*(VLOOKUP($B$5,标准坦克设计!$B$14:$K$20,9)/30))</f>
        <v>20.299492150664694</v>
      </c>
      <c r="DF109" s="173">
        <f ca="1">(VLOOKUP(DF$72,INDIRECT($C$5&amp;"生成成长"),2))/((VLOOKUP($B109,INDIRECT($B$5&amp;"生成成长"),4))/(VLOOKUP(DF$72,INDIRECT($C$5&amp;"生成成长"),5))*(VLOOKUP($B$5,标准坦克设计!$B$24:$U$30,MATCH("对"&amp;LEFT($C$5,2)&amp;"输出",标准坦克设计!$B$23:$U$23,0)))*(VLOOKUP($B109,INDIRECT($B$5&amp;"生成成长"),3))*(VLOOKUP($B$5,标准坦克设计!$B$14:$K$20,9)/30))</f>
        <v>21.470379952890767</v>
      </c>
      <c r="DG109" s="173">
        <f ca="1">(VLOOKUP(DG$72,INDIRECT($C$5&amp;"生成成长"),2))/((VLOOKUP($B109,INDIRECT($B$5&amp;"生成成长"),4))/(VLOOKUP(DG$72,INDIRECT($C$5&amp;"生成成长"),5))*(VLOOKUP($B$5,标准坦克设计!$B$24:$U$30,MATCH("对"&amp;LEFT($C$5,2)&amp;"输出",标准坦克设计!$B$23:$U$23,0)))*(VLOOKUP($B109,INDIRECT($B$5&amp;"生成成长"),3))*(VLOOKUP($B$5,标准坦克设计!$B$14:$K$20,9)/30))</f>
        <v>22.674096385085793</v>
      </c>
      <c r="DH109" s="173">
        <f ca="1">(VLOOKUP(DH$72,INDIRECT($C$5&amp;"生成成长"),2))/((VLOOKUP($B109,INDIRECT($B$5&amp;"生成成长"),4))/(VLOOKUP(DH$72,INDIRECT($C$5&amp;"生成成长"),5))*(VLOOKUP($B$5,标准坦克设计!$B$24:$U$30,MATCH("对"&amp;LEFT($C$5,2)&amp;"输出",标准坦克设计!$B$23:$U$23,0)))*(VLOOKUP($B109,INDIRECT($B$5&amp;"生成成长"),3))*(VLOOKUP($B$5,标准坦克设计!$B$14:$K$20,9)/30))</f>
        <v>23.91064144724978</v>
      </c>
      <c r="DI109" s="173">
        <f ca="1">(VLOOKUP(DI$72,INDIRECT($C$5&amp;"生成成长"),2))/((VLOOKUP($B109,INDIRECT($B$5&amp;"生成成长"),4))/(VLOOKUP(DI$72,INDIRECT($C$5&amp;"生成成长"),5))*(VLOOKUP($B$5,标准坦克设计!$B$24:$U$30,MATCH("对"&amp;LEFT($C$5,2)&amp;"输出",标准坦克设计!$B$23:$U$23,0)))*(VLOOKUP($B109,INDIRECT($B$5&amp;"生成成长"),3))*(VLOOKUP($B$5,标准坦克设计!$B$14:$K$20,9)/30))</f>
        <v>25.180015139382711</v>
      </c>
      <c r="DJ109" s="173">
        <f ca="1">(VLOOKUP(DJ$72,INDIRECT($C$5&amp;"生成成长"),2))/((VLOOKUP($B109,INDIRECT($B$5&amp;"生成成长"),4))/(VLOOKUP(DJ$72,INDIRECT($C$5&amp;"生成成长"),5))*(VLOOKUP($B$5,标准坦克设计!$B$24:$U$30,MATCH("对"&amp;LEFT($C$5,2)&amp;"输出",标准坦克设计!$B$23:$U$23,0)))*(VLOOKUP($B109,INDIRECT($B$5&amp;"生成成长"),3))*(VLOOKUP($B$5,标准坦克设计!$B$14:$K$20,9)/30))</f>
        <v>2.5306542150721389</v>
      </c>
      <c r="DK109" s="173">
        <f ca="1">(VLOOKUP(DK$72,INDIRECT($C$5&amp;"生成成长"),2))/((VLOOKUP($B109,INDIRECT($B$5&amp;"生成成长"),4))/(VLOOKUP(DK$72,INDIRECT($C$5&amp;"生成成长"),5))*(VLOOKUP($B$5,标准坦克设计!$B$24:$U$30,MATCH("对"&amp;LEFT($C$5,2)&amp;"输出",标准坦克设计!$B$23:$U$23,0)))*(VLOOKUP($B109,INDIRECT($B$5&amp;"生成成长"),3))*(VLOOKUP($B$5,标准坦克设计!$B$14:$K$20,9)/30))</f>
        <v>2.8456038838368043</v>
      </c>
      <c r="DL109" s="173">
        <f ca="1">(VLOOKUP(DL$72,INDIRECT($C$5&amp;"生成成长"),2))/((VLOOKUP($B109,INDIRECT($B$5&amp;"生成成长"),4))/(VLOOKUP(DL$72,INDIRECT($C$5&amp;"生成成长"),5))*(VLOOKUP($B$5,标准坦克设计!$B$24:$U$30,MATCH("对"&amp;LEFT($C$5,2)&amp;"输出",标准坦克设计!$B$23:$U$23,0)))*(VLOOKUP($B109,INDIRECT($B$5&amp;"生成成长"),3))*(VLOOKUP($B$5,标准坦克设计!$B$14:$K$20,9)/30))</f>
        <v>3.1790196569590066</v>
      </c>
      <c r="DM109" s="173">
        <f ca="1">(VLOOKUP(DM$72,INDIRECT($C$5&amp;"生成成长"),2))/((VLOOKUP($B109,INDIRECT($B$5&amp;"生成成长"),4))/(VLOOKUP(DM$72,INDIRECT($C$5&amp;"生成成长"),5))*(VLOOKUP($B$5,标准坦克设计!$B$24:$U$30,MATCH("对"&amp;LEFT($C$5,2)&amp;"输出",标准坦克设计!$B$23:$U$23,0)))*(VLOOKUP($B109,INDIRECT($B$5&amp;"生成成长"),3))*(VLOOKUP($B$5,标准坦克设计!$B$14:$K$20,9)/30))</f>
        <v>3.5309015344387458</v>
      </c>
      <c r="DN109" s="173">
        <f ca="1">(VLOOKUP(DN$72,INDIRECT($C$5&amp;"生成成长"),2))/((VLOOKUP($B109,INDIRECT($B$5&amp;"生成成长"),4))/(VLOOKUP(DN$72,INDIRECT($C$5&amp;"生成成长"),5))*(VLOOKUP($B$5,标准坦克设计!$B$24:$U$30,MATCH("对"&amp;LEFT($C$5,2)&amp;"输出",标准坦克设计!$B$23:$U$23,0)))*(VLOOKUP($B109,INDIRECT($B$5&amp;"生成成长"),3))*(VLOOKUP($B$5,标准坦克设计!$B$14:$K$20,9)/30))</f>
        <v>3.9012495162760223</v>
      </c>
      <c r="DO109" s="173">
        <f ca="1">(VLOOKUP(DO$72,INDIRECT($C$5&amp;"生成成长"),2))/((VLOOKUP($B109,INDIRECT($B$5&amp;"生成成长"),4))/(VLOOKUP(DO$72,INDIRECT($C$5&amp;"生成成长"),5))*(VLOOKUP($B$5,标准坦克设计!$B$24:$U$30,MATCH("对"&amp;LEFT($C$5,2)&amp;"输出",标准坦克设计!$B$23:$U$23,0)))*(VLOOKUP($B109,INDIRECT($B$5&amp;"生成成长"),3))*(VLOOKUP($B$5,标准坦克设计!$B$14:$K$20,9)/30))</f>
        <v>4.2900636024708367</v>
      </c>
      <c r="DP109" s="173">
        <f ca="1">(VLOOKUP(DP$72,INDIRECT($C$5&amp;"生成成长"),2))/((VLOOKUP($B109,INDIRECT($B$5&amp;"生成成长"),4))/(VLOOKUP(DP$72,INDIRECT($C$5&amp;"生成成长"),5))*(VLOOKUP($B$5,标准坦克设计!$B$24:$U$30,MATCH("对"&amp;LEFT($C$5,2)&amp;"输出",标准坦克设计!$B$23:$U$23,0)))*(VLOOKUP($B109,INDIRECT($B$5&amp;"生成成长"),3))*(VLOOKUP($B$5,标准坦克设计!$B$14:$K$20,9)/30))</f>
        <v>4.6973437930231876</v>
      </c>
      <c r="DQ109" s="173">
        <f ca="1">(VLOOKUP(DQ$72,INDIRECT($C$5&amp;"生成成长"),2))/((VLOOKUP($B109,INDIRECT($B$5&amp;"生成成长"),4))/(VLOOKUP(DQ$72,INDIRECT($C$5&amp;"生成成长"),5))*(VLOOKUP($B$5,标准坦克设计!$B$24:$U$30,MATCH("对"&amp;LEFT($C$5,2)&amp;"输出",标准坦克设计!$B$23:$U$23,0)))*(VLOOKUP($B109,INDIRECT($B$5&amp;"生成成长"),3))*(VLOOKUP($B$5,标准坦克设计!$B$14:$K$20,9)/30))</f>
        <v>5.1230900879330772</v>
      </c>
      <c r="DR109" s="173">
        <f ca="1">(VLOOKUP(DR$72,INDIRECT($C$5&amp;"生成成长"),2))/((VLOOKUP($B109,INDIRECT($B$5&amp;"生成成长"),4))/(VLOOKUP(DR$72,INDIRECT($C$5&amp;"生成成长"),5))*(VLOOKUP($B$5,标准坦克设计!$B$24:$U$30,MATCH("对"&amp;LEFT($C$5,2)&amp;"输出",标准坦克设计!$B$23:$U$23,0)))*(VLOOKUP($B109,INDIRECT($B$5&amp;"生成成长"),3))*(VLOOKUP($B$5,标准坦克设计!$B$14:$K$20,9)/30))</f>
        <v>5.5673024872005037</v>
      </c>
      <c r="DS109" s="173">
        <f ca="1">(VLOOKUP(DS$72,INDIRECT($C$5&amp;"生成成长"),2))/((VLOOKUP($B109,INDIRECT($B$5&amp;"生成成长"),4))/(VLOOKUP(DS$72,INDIRECT($C$5&amp;"生成成长"),5))*(VLOOKUP($B$5,标准坦克设计!$B$24:$U$30,MATCH("对"&amp;LEFT($C$5,2)&amp;"输出",标准坦克设计!$B$23:$U$23,0)))*(VLOOKUP($B109,INDIRECT($B$5&amp;"生成成长"),3))*(VLOOKUP($B$5,标准坦克设计!$B$14:$K$20,9)/30))</f>
        <v>6.0299809908254662</v>
      </c>
      <c r="DT109" s="173">
        <f ca="1">(VLOOKUP(DT$72,INDIRECT($C$5&amp;"生成成长"),2))/((VLOOKUP($B109,INDIRECT($B$5&amp;"生成成长"),4))/(VLOOKUP(DT$72,INDIRECT($C$5&amp;"生成成长"),5))*(VLOOKUP($B$5,标准坦克设计!$B$24:$U$30,MATCH("对"&amp;LEFT($C$5,2)&amp;"输出",标准坦克设计!$B$23:$U$23,0)))*(VLOOKUP($B109,INDIRECT($B$5&amp;"生成成长"),3))*(VLOOKUP($B$5,标准坦克设计!$B$14:$K$20,9)/30))</f>
        <v>6.6205543653711523</v>
      </c>
      <c r="DU109" s="173">
        <f ca="1">(VLOOKUP(DU$72,INDIRECT($C$5&amp;"生成成长"),2))/((VLOOKUP($B109,INDIRECT($B$5&amp;"生成成长"),4))/(VLOOKUP(DU$72,INDIRECT($C$5&amp;"生成成长"),5))*(VLOOKUP($B$5,标准坦克设计!$B$24:$U$30,MATCH("对"&amp;LEFT($C$5,2)&amp;"输出",标准坦克设计!$B$23:$U$23,0)))*(VLOOKUP($B109,INDIRECT($B$5&amp;"生成成长"),3))*(VLOOKUP($B$5,标准坦克设计!$B$14:$K$20,9)/30))</f>
        <v>7.23871290815464</v>
      </c>
      <c r="DV109" s="173">
        <f ca="1">(VLOOKUP(DV$72,INDIRECT($C$5&amp;"生成成长"),2))/((VLOOKUP($B109,INDIRECT($B$5&amp;"生成成长"),4))/(VLOOKUP(DV$72,INDIRECT($C$5&amp;"生成成长"),5))*(VLOOKUP($B$5,标准坦克设计!$B$24:$U$30,MATCH("对"&amp;LEFT($C$5,2)&amp;"输出",标准坦克设计!$B$23:$U$23,0)))*(VLOOKUP($B109,INDIRECT($B$5&amp;"生成成长"),3))*(VLOOKUP($B$5,标准坦克设计!$B$14:$K$20,9)/30))</f>
        <v>7.8844566191759293</v>
      </c>
      <c r="DW109" s="173">
        <f ca="1">(VLOOKUP(DW$72,INDIRECT($C$5&amp;"生成成长"),2))/((VLOOKUP($B109,INDIRECT($B$5&amp;"生成成长"),4))/(VLOOKUP(DW$72,INDIRECT($C$5&amp;"生成成长"),5))*(VLOOKUP($B$5,标准坦克设计!$B$24:$U$30,MATCH("对"&amp;LEFT($C$5,2)&amp;"输出",标准坦克设计!$B$23:$U$23,0)))*(VLOOKUP($B109,INDIRECT($B$5&amp;"生成成长"),3))*(VLOOKUP($B$5,标准坦克设计!$B$14:$K$20,9)/30))</f>
        <v>8.5577854984350221</v>
      </c>
      <c r="DX109" s="173">
        <f ca="1">(VLOOKUP(DX$72,INDIRECT($C$5&amp;"生成成长"),2))/((VLOOKUP($B109,INDIRECT($B$5&amp;"生成成长"),4))/(VLOOKUP(DX$72,INDIRECT($C$5&amp;"生成成长"),5))*(VLOOKUP($B$5,标准坦克设计!$B$24:$U$30,MATCH("对"&amp;LEFT($C$5,2)&amp;"输出",标准坦克设计!$B$23:$U$23,0)))*(VLOOKUP($B109,INDIRECT($B$5&amp;"生成成长"),3))*(VLOOKUP($B$5,标准坦克设计!$B$14:$K$20,9)/30))</f>
        <v>9.2586995459319201</v>
      </c>
      <c r="DY109" s="173">
        <f ca="1">(VLOOKUP(DY$72,INDIRECT($C$5&amp;"生成成长"),2))/((VLOOKUP($B109,INDIRECT($B$5&amp;"生成成长"),4))/(VLOOKUP(DY$72,INDIRECT($C$5&amp;"生成成长"),5))*(VLOOKUP($B$5,标准坦克设计!$B$24:$U$30,MATCH("对"&amp;LEFT($C$5,2)&amp;"输出",标准坦克设计!$B$23:$U$23,0)))*(VLOOKUP($B109,INDIRECT($B$5&amp;"生成成长"),3))*(VLOOKUP($B$5,标准坦克设计!$B$14:$K$20,9)/30))</f>
        <v>4.1584071176995057</v>
      </c>
      <c r="DZ109" s="173">
        <f ca="1">(VLOOKUP(DZ$72,INDIRECT($C$5&amp;"生成成长"),2))/((VLOOKUP($B109,INDIRECT($B$5&amp;"生成成长"),4))/(VLOOKUP(DZ$72,INDIRECT($C$5&amp;"生成成长"),5))*(VLOOKUP($B$5,标准坦克设计!$B$24:$U$30,MATCH("对"&amp;LEFT($C$5,2)&amp;"输出",标准坦克设计!$B$23:$U$23,0)))*(VLOOKUP($B109,INDIRECT($B$5&amp;"生成成长"),3))*(VLOOKUP($B$5,标准坦克设计!$B$14:$K$20,9)/30))</f>
        <v>4.6052412478325078</v>
      </c>
      <c r="EA109" s="173">
        <f ca="1">(VLOOKUP(EA$72,INDIRECT($C$5&amp;"生成成长"),2))/((VLOOKUP($B109,INDIRECT($B$5&amp;"生成成长"),4))/(VLOOKUP(EA$72,INDIRECT($C$5&amp;"生成成长"),5))*(VLOOKUP($B$5,标准坦克设计!$B$24:$U$30,MATCH("对"&amp;LEFT($C$5,2)&amp;"输出",标准坦克设计!$B$23:$U$23,0)))*(VLOOKUP($B109,INDIRECT($B$5&amp;"生成成长"),3))*(VLOOKUP($B$5,标准坦克设计!$B$14:$K$20,9)/30))</f>
        <v>5.0748730376661735</v>
      </c>
      <c r="EB109" s="173">
        <f ca="1">(VLOOKUP(EB$72,INDIRECT($C$5&amp;"生成成长"),2))/((VLOOKUP($B109,INDIRECT($B$5&amp;"生成成长"),4))/(VLOOKUP(EB$72,INDIRECT($C$5&amp;"生成成长"),5))*(VLOOKUP($B$5,标准坦克设计!$B$24:$U$30,MATCH("对"&amp;LEFT($C$5,2)&amp;"输出",标准坦克设计!$B$23:$U$23,0)))*(VLOOKUP($B109,INDIRECT($B$5&amp;"生成成长"),3))*(VLOOKUP($B$5,标准坦克设计!$B$14:$K$20,9)/30))</f>
        <v>5.5673024872005037</v>
      </c>
      <c r="EC109" s="173">
        <f ca="1">(VLOOKUP(EC$72,INDIRECT($C$5&amp;"生成成长"),2))/((VLOOKUP($B109,INDIRECT($B$5&amp;"生成成长"),4))/(VLOOKUP(EC$72,INDIRECT($C$5&amp;"生成成长"),5))*(VLOOKUP($B$5,标准坦克设计!$B$24:$U$30,MATCH("对"&amp;LEFT($C$5,2)&amp;"输出",标准坦克设计!$B$23:$U$23,0)))*(VLOOKUP($B109,INDIRECT($B$5&amp;"生成成长"),3))*(VLOOKUP($B$5,标准坦克设计!$B$14:$K$20,9)/30))</f>
        <v>6.0825295964354948</v>
      </c>
      <c r="ED109" s="173">
        <f ca="1">(VLOOKUP(ED$72,INDIRECT($C$5&amp;"生成成长"),2))/((VLOOKUP($B109,INDIRECT($B$5&amp;"生成成长"),4))/(VLOOKUP(ED$72,INDIRECT($C$5&amp;"生成成长"),5))*(VLOOKUP($B$5,标准坦克设计!$B$24:$U$30,MATCH("对"&amp;LEFT($C$5,2)&amp;"输出",标准坦克设计!$B$23:$U$23,0)))*(VLOOKUP($B109,INDIRECT($B$5&amp;"生成成长"),3))*(VLOOKUP($B$5,标准坦克设计!$B$14:$K$20,9)/30))</f>
        <v>6.6205543653711523</v>
      </c>
      <c r="EE109" s="173">
        <f ca="1">(VLOOKUP(EE$72,INDIRECT($C$5&amp;"生成成长"),2))/((VLOOKUP($B109,INDIRECT($B$5&amp;"生成成长"),4))/(VLOOKUP(EE$72,INDIRECT($C$5&amp;"生成成长"),5))*(VLOOKUP($B$5,标准坦克设计!$B$24:$U$30,MATCH("对"&amp;LEFT($C$5,2)&amp;"输出",标准坦克设计!$B$23:$U$23,0)))*(VLOOKUP($B109,INDIRECT($B$5&amp;"生成成长"),3))*(VLOOKUP($B$5,标准坦克设计!$B$14:$K$20,9)/30))</f>
        <v>7.1813767940074715</v>
      </c>
      <c r="EF109" s="173">
        <f ca="1">(VLOOKUP(EF$72,INDIRECT($C$5&amp;"生成成长"),2))/((VLOOKUP($B109,INDIRECT($B$5&amp;"生成成长"),4))/(VLOOKUP(EF$72,INDIRECT($C$5&amp;"生成成长"),5))*(VLOOKUP($B$5,标准坦克设计!$B$24:$U$30,MATCH("对"&amp;LEFT($C$5,2)&amp;"输出",标准坦克设计!$B$23:$U$23,0)))*(VLOOKUP($B109,INDIRECT($B$5&amp;"生成成长"),3))*(VLOOKUP($B$5,标准坦克设计!$B$14:$K$20,9)/30))</f>
        <v>7.7649968823444544</v>
      </c>
      <c r="EG109" s="173">
        <f ca="1">(VLOOKUP(EG$72,INDIRECT($C$5&amp;"生成成长"),2))/((VLOOKUP($B109,INDIRECT($B$5&amp;"生成成长"),4))/(VLOOKUP(EG$72,INDIRECT($C$5&amp;"生成成长"),5))*(VLOOKUP($B$5,标准坦克设计!$B$24:$U$30,MATCH("对"&amp;LEFT($C$5,2)&amp;"输出",标准坦克设计!$B$23:$U$23,0)))*(VLOOKUP($B109,INDIRECT($B$5&amp;"生成成长"),3))*(VLOOKUP($B$5,标准坦克设计!$B$14:$K$20,9)/30))</f>
        <v>8.3714146303821035</v>
      </c>
      <c r="EH109" s="173">
        <f ca="1">(VLOOKUP(EH$72,INDIRECT($C$5&amp;"生成成长"),2))/((VLOOKUP($B109,INDIRECT($B$5&amp;"生成成长"),4))/(VLOOKUP(EH$72,INDIRECT($C$5&amp;"生成成长"),5))*(VLOOKUP($B$5,标准坦克设计!$B$24:$U$30,MATCH("对"&amp;LEFT($C$5,2)&amp;"输出",标准坦克设计!$B$23:$U$23,0)))*(VLOOKUP($B109,INDIRECT($B$5&amp;"生成成长"),3))*(VLOOKUP($B$5,标准坦克设计!$B$14:$K$20,9)/30))</f>
        <v>9.0006300381204092</v>
      </c>
      <c r="EI109" s="173">
        <f ca="1">(VLOOKUP(EI$72,INDIRECT($C$5&amp;"生成成长"),2))/((VLOOKUP($B109,INDIRECT($B$5&amp;"生成成长"),4))/(VLOOKUP(EI$72,INDIRECT($C$5&amp;"生成成长"),5))*(VLOOKUP($B$5,标准坦克设计!$B$24:$U$30,MATCH("对"&amp;LEFT($C$5,2)&amp;"输出",标准坦克设计!$B$23:$U$23,0)))*(VLOOKUP($B109,INDIRECT($B$5&amp;"生成成长"),3))*(VLOOKUP($B$5,标准坦克设计!$B$14:$K$20,9)/30))</f>
        <v>9.6526431055593811</v>
      </c>
      <c r="EJ109" s="173">
        <f ca="1">(VLOOKUP(EJ$72,INDIRECT($C$5&amp;"生成成长"),2))/((VLOOKUP($B109,INDIRECT($B$5&amp;"生成成长"),4))/(VLOOKUP(EJ$72,INDIRECT($C$5&amp;"生成成长"),5))*(VLOOKUP($B$5,标准坦克设计!$B$24:$U$30,MATCH("对"&amp;LEFT($C$5,2)&amp;"输出",标准坦克设计!$B$23:$U$23,0)))*(VLOOKUP($B109,INDIRECT($B$5&amp;"生成成长"),3))*(VLOOKUP($B$5,标准坦克设计!$B$14:$K$20,9)/30))</f>
        <v>10.327453832699019</v>
      </c>
      <c r="EK109" s="173">
        <f ca="1">(VLOOKUP(EK$72,INDIRECT($C$5&amp;"生成成长"),2))/((VLOOKUP($B109,INDIRECT($B$5&amp;"生成成长"),4))/(VLOOKUP(EK$72,INDIRECT($C$5&amp;"生成成长"),5))*(VLOOKUP($B$5,标准坦克设计!$B$24:$U$30,MATCH("对"&amp;LEFT($C$5,2)&amp;"输出",标准坦克设计!$B$23:$U$23,0)))*(VLOOKUP($B109,INDIRECT($B$5&amp;"生成成长"),3))*(VLOOKUP($B$5,标准坦克设计!$B$14:$K$20,9)/30))</f>
        <v>11.167319616071458</v>
      </c>
      <c r="EL109" s="173">
        <f ca="1">(VLOOKUP(EL$72,INDIRECT($C$5&amp;"生成成长"),2))/((VLOOKUP($B109,INDIRECT($B$5&amp;"生成成长"),4))/(VLOOKUP(EL$72,INDIRECT($C$5&amp;"生成成长"),5))*(VLOOKUP($B$5,标准坦克设计!$B$24:$U$30,MATCH("对"&amp;LEFT($C$5,2)&amp;"输出",标准坦克设计!$B$23:$U$23,0)))*(VLOOKUP($B109,INDIRECT($B$5&amp;"生成成长"),3))*(VLOOKUP($B$5,标准坦克设计!$B$14:$K$20,9)/30))</f>
        <v>12.040014029412852</v>
      </c>
      <c r="EM109" s="173">
        <f ca="1">(VLOOKUP(EM$72,INDIRECT($C$5&amp;"生成成长"),2))/((VLOOKUP($B109,INDIRECT($B$5&amp;"生成成长"),4))/(VLOOKUP(EM$72,INDIRECT($C$5&amp;"生成成长"),5))*(VLOOKUP($B$5,标准坦克设计!$B$24:$U$30,MATCH("对"&amp;LEFT($C$5,2)&amp;"输出",标准坦克设计!$B$23:$U$23,0)))*(VLOOKUP($B109,INDIRECT($B$5&amp;"生成成长"),3))*(VLOOKUP($B$5,标准坦克设计!$B$14:$K$20,9)/30))</f>
        <v>12.945537072723202</v>
      </c>
      <c r="EN109" s="173">
        <f ca="1">(VLOOKUP(EN$72,INDIRECT($C$5&amp;"生成成长"),2))/((VLOOKUP($B109,INDIRECT($B$5&amp;"生成成长"),4))/(VLOOKUP(EN$72,INDIRECT($C$5&amp;"生成成长"),5))*(VLOOKUP($B$5,标准坦克设计!$B$24:$U$30,MATCH("对"&amp;LEFT($C$5,2)&amp;"输出",标准坦克设计!$B$23:$U$23,0)))*(VLOOKUP($B109,INDIRECT($B$5&amp;"生成成长"),3))*(VLOOKUP($B$5,标准坦克设计!$B$14:$K$20,9)/30))</f>
        <v>13.883888746002505</v>
      </c>
      <c r="EO109" s="173">
        <f ca="1">(VLOOKUP(EO$72,INDIRECT($C$5&amp;"生成成长"),2))/((VLOOKUP($B109,INDIRECT($B$5&amp;"生成成长"),4))/(VLOOKUP(EO$72,INDIRECT($C$5&amp;"生成成长"),5))*(VLOOKUP($B$5,标准坦克设计!$B$24:$U$30,MATCH("对"&amp;LEFT($C$5,2)&amp;"输出",标准坦克设计!$B$23:$U$23,0)))*(VLOOKUP($B109,INDIRECT($B$5&amp;"生成成长"),3))*(VLOOKUP($B$5,标准坦克设计!$B$14:$K$20,9)/30))</f>
        <v>14.855069049250769</v>
      </c>
      <c r="EP109" s="173">
        <f ca="1">(VLOOKUP(EP$72,INDIRECT($C$5&amp;"生成成长"),2))/((VLOOKUP($B109,INDIRECT($B$5&amp;"生成成长"),4))/(VLOOKUP(EP$72,INDIRECT($C$5&amp;"生成成长"),5))*(VLOOKUP($B$5,标准坦克设计!$B$24:$U$30,MATCH("对"&amp;LEFT($C$5,2)&amp;"输出",标准坦克设计!$B$23:$U$23,0)))*(VLOOKUP($B109,INDIRECT($B$5&amp;"生成成长"),3))*(VLOOKUP($B$5,标准坦克设计!$B$14:$K$20,9)/30))</f>
        <v>15.859077982467984</v>
      </c>
      <c r="EQ109" s="173">
        <f ca="1">(VLOOKUP(EQ$72,INDIRECT($C$5&amp;"生成成长"),2))/((VLOOKUP($B109,INDIRECT($B$5&amp;"生成成长"),4))/(VLOOKUP(EQ$72,INDIRECT($C$5&amp;"生成成长"),5))*(VLOOKUP($B$5,标准坦克设计!$B$24:$U$30,MATCH("对"&amp;LEFT($C$5,2)&amp;"输出",标准坦克设计!$B$23:$U$23,0)))*(VLOOKUP($B109,INDIRECT($B$5&amp;"生成成长"),3))*(VLOOKUP($B$5,标准坦克设计!$B$14:$K$20,9)/30))</f>
        <v>7.0107363111480048</v>
      </c>
      <c r="ER109" s="173">
        <f ca="1">(VLOOKUP(ER$72,INDIRECT($C$5&amp;"生成成长"),2))/((VLOOKUP($B109,INDIRECT($B$5&amp;"生成成长"),4))/(VLOOKUP(ER$72,INDIRECT($C$5&amp;"生成成长"),5))*(VLOOKUP($B$5,标准坦克设计!$B$24:$U$30,MATCH("对"&amp;LEFT($C$5,2)&amp;"输出",标准坦克设计!$B$23:$U$23,0)))*(VLOOKUP($B109,INDIRECT($B$5&amp;"生成成长"),3))*(VLOOKUP($B$5,标准坦克设计!$B$14:$K$20,9)/30))</f>
        <v>7.6464490519010031</v>
      </c>
      <c r="ES109" s="173">
        <f ca="1">(VLOOKUP(ES$72,INDIRECT($C$5&amp;"生成成长"),2))/((VLOOKUP($B109,INDIRECT($B$5&amp;"生成成长"),4))/(VLOOKUP(ES$72,INDIRECT($C$5&amp;"生成成长"),5))*(VLOOKUP($B$5,标准坦克设计!$B$24:$U$30,MATCH("对"&amp;LEFT($C$5,2)&amp;"输出",标准坦克设计!$B$23:$U$23,0)))*(VLOOKUP($B109,INDIRECT($B$5&amp;"生成成长"),3))*(VLOOKUP($B$5,标准坦克设计!$B$14:$K$20,9)/30))</f>
        <v>8.3097469608918058</v>
      </c>
      <c r="ET109" s="173">
        <f ca="1">(VLOOKUP(ET$72,INDIRECT($C$5&amp;"生成成长"),2))/((VLOOKUP($B109,INDIRECT($B$5&amp;"生成成长"),4))/(VLOOKUP(ET$72,INDIRECT($C$5&amp;"生成成长"),5))*(VLOOKUP($B$5,标准坦克设计!$B$24:$U$30,MATCH("对"&amp;LEFT($C$5,2)&amp;"输出",标准坦克设计!$B$23:$U$23,0)))*(VLOOKUP($B109,INDIRECT($B$5&amp;"生成成长"),3))*(VLOOKUP($B$5,标准坦克设计!$B$14:$K$20,9)/30))</f>
        <v>9.0006300381204092</v>
      </c>
      <c r="EU109" s="173">
        <f ca="1">(VLOOKUP(EU$72,INDIRECT($C$5&amp;"生成成长"),2))/((VLOOKUP($B109,INDIRECT($B$5&amp;"生成成长"),4))/(VLOOKUP(EU$72,INDIRECT($C$5&amp;"生成成长"),5))*(VLOOKUP($B$5,标准坦克设计!$B$24:$U$30,MATCH("对"&amp;LEFT($C$5,2)&amp;"输出",标准坦克设计!$B$23:$U$23,0)))*(VLOOKUP($B109,INDIRECT($B$5&amp;"生成成长"),3))*(VLOOKUP($B$5,标准坦克设计!$B$14:$K$20,9)/30))</f>
        <v>9.7190982835868169</v>
      </c>
      <c r="EV109" s="173">
        <f ca="1">(VLOOKUP(EV$72,INDIRECT($C$5&amp;"生成成长"),2))/((VLOOKUP($B109,INDIRECT($B$5&amp;"生成成长"),4))/(VLOOKUP(EV$72,INDIRECT($C$5&amp;"生成成长"),5))*(VLOOKUP($B$5,标准坦克设计!$B$24:$U$30,MATCH("对"&amp;LEFT($C$5,2)&amp;"输出",标准坦克设计!$B$23:$U$23,0)))*(VLOOKUP($B109,INDIRECT($B$5&amp;"生成成长"),3))*(VLOOKUP($B$5,标准坦克设计!$B$14:$K$20,9)/30))</f>
        <v>10.465151697291025</v>
      </c>
      <c r="EW109" s="173">
        <f ca="1">(VLOOKUP(EW$72,INDIRECT($C$5&amp;"生成成长"),2))/((VLOOKUP($B109,INDIRECT($B$5&amp;"生成成长"),4))/(VLOOKUP(EW$72,INDIRECT($C$5&amp;"生成成长"),5))*(VLOOKUP($B$5,标准坦克设计!$B$24:$U$30,MATCH("对"&amp;LEFT($C$5,2)&amp;"输出",标准坦克设计!$B$23:$U$23,0)))*(VLOOKUP($B109,INDIRECT($B$5&amp;"生成成长"),3))*(VLOOKUP($B$5,标准坦克设计!$B$14:$K$20,9)/30))</f>
        <v>11.238790279233038</v>
      </c>
      <c r="EX109" s="173">
        <f ca="1">(VLOOKUP(EX$72,INDIRECT($C$5&amp;"生成成长"),2))/((VLOOKUP($B109,INDIRECT($B$5&amp;"生成成长"),4))/(VLOOKUP(EX$72,INDIRECT($C$5&amp;"生成成长"),5))*(VLOOKUP($B$5,标准坦克设计!$B$24:$U$30,MATCH("对"&amp;LEFT($C$5,2)&amp;"输出",标准坦克设计!$B$23:$U$23,0)))*(VLOOKUP($B109,INDIRECT($B$5&amp;"生成成长"),3))*(VLOOKUP($B$5,标准坦克设计!$B$14:$K$20,9)/30))</f>
        <v>12.040014029412852</v>
      </c>
      <c r="EY109" s="173">
        <f ca="1">(VLOOKUP(EY$72,INDIRECT($C$5&amp;"生成成长"),2))/((VLOOKUP($B109,INDIRECT($B$5&amp;"生成成长"),4))/(VLOOKUP(EY$72,INDIRECT($C$5&amp;"生成成长"),5))*(VLOOKUP($B$5,标准坦克设计!$B$24:$U$30,MATCH("对"&amp;LEFT($C$5,2)&amp;"输出",标准坦克设计!$B$23:$U$23,0)))*(VLOOKUP($B109,INDIRECT($B$5&amp;"生成成长"),3))*(VLOOKUP($B$5,标准坦克设计!$B$14:$K$20,9)/30))</f>
        <v>12.86882294783047</v>
      </c>
      <c r="EZ109" s="173">
        <f ca="1">(VLOOKUP(EZ$72,INDIRECT($C$5&amp;"生成成长"),2))/((VLOOKUP($B109,INDIRECT($B$5&amp;"生成成长"),4))/(VLOOKUP(EZ$72,INDIRECT($C$5&amp;"生成成长"),5))*(VLOOKUP($B$5,标准坦克设计!$B$24:$U$30,MATCH("对"&amp;LEFT($C$5,2)&amp;"输出",标准坦克设计!$B$23:$U$23,0)))*(VLOOKUP($B109,INDIRECT($B$5&amp;"生成成长"),3))*(VLOOKUP($B$5,标准坦克设计!$B$14:$K$20,9)/30))</f>
        <v>13.72521703448589</v>
      </c>
      <c r="FA109" s="173">
        <f ca="1">(VLOOKUP(FA$72,INDIRECT($C$5&amp;"生成成长"),2))/((VLOOKUP($B109,INDIRECT($B$5&amp;"生成成长"),4))/(VLOOKUP(FA$72,INDIRECT($C$5&amp;"生成成长"),5))*(VLOOKUP($B$5,标准坦克设计!$B$24:$U$30,MATCH("对"&amp;LEFT($C$5,2)&amp;"输出",标准坦克设计!$B$23:$U$23,0)))*(VLOOKUP($B109,INDIRECT($B$5&amp;"生成成长"),3))*(VLOOKUP($B$5,标准坦克设计!$B$14:$K$20,9)/30))</f>
        <v>14.609196289379113</v>
      </c>
      <c r="FB109" s="173">
        <f ca="1">(VLOOKUP(FB$72,INDIRECT($C$5&amp;"生成成长"),2))/((VLOOKUP($B109,INDIRECT($B$5&amp;"生成成长"),4))/(VLOOKUP(FB$72,INDIRECT($C$5&amp;"生成成长"),5))*(VLOOKUP($B$5,标准坦克设计!$B$24:$U$30,MATCH("对"&amp;LEFT($C$5,2)&amp;"输出",标准坦克设计!$B$23:$U$23,0)))*(VLOOKUP($B109,INDIRECT($B$5&amp;"生成成长"),3))*(VLOOKUP($B$5,标准坦克设计!$B$14:$K$20,9)/30))</f>
        <v>15.520760712510137</v>
      </c>
      <c r="FC109" s="173">
        <f ca="1">(VLOOKUP(FC$72,INDIRECT($C$5&amp;"生成成长"),2))/((VLOOKUP($B109,INDIRECT($B$5&amp;"生成成长"),4))/(VLOOKUP(FC$72,INDIRECT($C$5&amp;"生成成长"),5))*(VLOOKUP($B$5,标准坦克设计!$B$24:$U$30,MATCH("对"&amp;LEFT($C$5,2)&amp;"输出",标准坦克设计!$B$23:$U$23,0)))*(VLOOKUP($B109,INDIRECT($B$5&amp;"生成成长"),3))*(VLOOKUP($B$5,标准坦克设计!$B$14:$K$20,9)/30))</f>
        <v>16.459910303878971</v>
      </c>
      <c r="FD109" s="173">
        <f ca="1">(VLOOKUP(FD$72,INDIRECT($C$5&amp;"生成成长"),2))/((VLOOKUP($B109,INDIRECT($B$5&amp;"生成成长"),4))/(VLOOKUP(FD$72,INDIRECT($C$5&amp;"生成成长"),5))*(VLOOKUP($B$5,标准坦克设计!$B$24:$U$30,MATCH("对"&amp;LEFT($C$5,2)&amp;"输出",标准坦克设计!$B$23:$U$23,0)))*(VLOOKUP($B109,INDIRECT($B$5&amp;"生成成长"),3))*(VLOOKUP($B$5,标准坦克设计!$B$14:$K$20,9)/30))</f>
        <v>17.426645063485598</v>
      </c>
      <c r="FE109" s="173">
        <f ca="1">(VLOOKUP(FE$72,INDIRECT($C$5&amp;"生成成长"),2))/((VLOOKUP($B109,INDIRECT($B$5&amp;"生成成长"),4))/(VLOOKUP(FE$72,INDIRECT($C$5&amp;"生成成长"),5))*(VLOOKUP($B$5,标准坦克设计!$B$24:$U$30,MATCH("对"&amp;LEFT($C$5,2)&amp;"输出",标准坦克设计!$B$23:$U$23,0)))*(VLOOKUP($B109,INDIRECT($B$5&amp;"生成成长"),3))*(VLOOKUP($B$5,标准坦克设计!$B$14:$K$20,9)/30))</f>
        <v>18.604714128517379</v>
      </c>
      <c r="FF109" s="173">
        <f ca="1">(VLOOKUP(FF$72,INDIRECT($C$5&amp;"生成成长"),2))/((VLOOKUP($B109,INDIRECT($B$5&amp;"生成成长"),4))/(VLOOKUP(FF$72,INDIRECT($C$5&amp;"生成成长"),5))*(VLOOKUP($B$5,标准坦克设计!$B$24:$U$30,MATCH("对"&amp;LEFT($C$5,2)&amp;"输出",标准坦克设计!$B$23:$U$23,0)))*(VLOOKUP($B109,INDIRECT($B$5&amp;"生成成长"),3))*(VLOOKUP($B$5,标准坦克设计!$B$14:$K$20,9)/30))</f>
        <v>19.821311238443275</v>
      </c>
      <c r="FG109" s="173">
        <f ca="1">(VLOOKUP(FG$72,INDIRECT($C$5&amp;"生成成长"),2))/((VLOOKUP($B109,INDIRECT($B$5&amp;"生成成长"),4))/(VLOOKUP(FG$72,INDIRECT($C$5&amp;"生成成长"),5))*(VLOOKUP($B$5,标准坦克设计!$B$24:$U$30,MATCH("对"&amp;LEFT($C$5,2)&amp;"输出",标准坦克设计!$B$23:$U$23,0)))*(VLOOKUP($B109,INDIRECT($B$5&amp;"生成成长"),3))*(VLOOKUP($B$5,标准坦克设计!$B$14:$K$20,9)/30))</f>
        <v>21.0764363932633</v>
      </c>
      <c r="FH109" s="173">
        <f ca="1">(VLOOKUP(FH$72,INDIRECT($C$5&amp;"生成成长"),2))/((VLOOKUP($B109,INDIRECT($B$5&amp;"生成成长"),4))/(VLOOKUP(FH$72,INDIRECT($C$5&amp;"生成成长"),5))*(VLOOKUP($B$5,标准坦克设计!$B$24:$U$30,MATCH("对"&amp;LEFT($C$5,2)&amp;"输出",标准坦克设计!$B$23:$U$23,0)))*(VLOOKUP($B109,INDIRECT($B$5&amp;"生成成长"),3))*(VLOOKUP($B$5,标准坦克设计!$B$14:$K$20,9)/30))</f>
        <v>22.37008959297745</v>
      </c>
      <c r="FI109" s="173">
        <f ca="1">(VLOOKUP(FI$72,INDIRECT($C$5&amp;"生成成长"),2))/((VLOOKUP($B109,INDIRECT($B$5&amp;"生成成长"),4))/(VLOOKUP(FI$72,INDIRECT($C$5&amp;"生成成长"),5))*(VLOOKUP($B$5,标准坦克设计!$B$24:$U$30,MATCH("对"&amp;LEFT($C$5,2)&amp;"输出",标准坦克设计!$B$23:$U$23,0)))*(VLOOKUP($B109,INDIRECT($B$5&amp;"生成成长"),3))*(VLOOKUP($B$5,标准坦克设计!$B$14:$K$20,9)/30))</f>
        <v>23.702270837585711</v>
      </c>
      <c r="FJ109" s="173">
        <f ca="1">(VLOOKUP(FJ$72,INDIRECT($C$5&amp;"生成成长"),2))/((VLOOKUP($B109,INDIRECT($B$5&amp;"生成成长"),4))/(VLOOKUP(FJ$72,INDIRECT($C$5&amp;"生成成长"),5))*(VLOOKUP($B$5,标准坦克设计!$B$24:$U$30,MATCH("对"&amp;LEFT($C$5,2)&amp;"输出",标准坦克设计!$B$23:$U$23,0)))*(VLOOKUP($B109,INDIRECT($B$5&amp;"生成成长"),3))*(VLOOKUP($B$5,标准坦克设计!$B$14:$K$20,9)/30))</f>
        <v>25.072980127088091</v>
      </c>
      <c r="FK109" s="173">
        <f ca="1">(VLOOKUP(FK$72,INDIRECT($C$5&amp;"生成成长"),2))/((VLOOKUP($B109,INDIRECT($B$5&amp;"生成成长"),4))/(VLOOKUP(FK$72,INDIRECT($C$5&amp;"生成成长"),5))*(VLOOKUP($B$5,标准坦克设计!$B$24:$U$30,MATCH("对"&amp;LEFT($C$5,2)&amp;"输出",标准坦克设计!$B$23:$U$23,0)))*(VLOOKUP($B109,INDIRECT($B$5&amp;"生成成长"),3))*(VLOOKUP($B$5,标准坦克设计!$B$14:$K$20,9)/30))</f>
        <v>26.482217461484609</v>
      </c>
    </row>
    <row r="110" spans="1:167" x14ac:dyDescent="0.15">
      <c r="A110" s="171" t="str">
        <f t="shared" si="11"/>
        <v>T5低品质6级</v>
      </c>
      <c r="B110" s="172">
        <v>10506</v>
      </c>
      <c r="C110" s="173">
        <f ca="1">(VLOOKUP(C$72,INDIRECT($C$5&amp;"生成成长"),2))/((VLOOKUP($B110,INDIRECT($B$5&amp;"生成成长"),4))/(VLOOKUP(C$72,INDIRECT($C$5&amp;"生成成长"),5))*(VLOOKUP($B$5,标准坦克设计!$B$24:$U$30,MATCH("对"&amp;LEFT($C$5,2)&amp;"输出",标准坦克设计!$B$23:$U$23,0)))*(VLOOKUP($B110,INDIRECT($B$5&amp;"生成成长"),3))*(VLOOKUP($B$5,标准坦克设计!$B$14:$K$20,9)/30))</f>
        <v>1.0548930223790818</v>
      </c>
      <c r="D110" s="173">
        <f ca="1">(VLOOKUP(D$72,INDIRECT($C$5&amp;"生成成长"),2))/((VLOOKUP($B110,INDIRECT($B$5&amp;"生成成长"),4))/(VLOOKUP(D$72,INDIRECT($C$5&amp;"生成成长"),5))*(VLOOKUP($B$5,标准坦克设计!$B$24:$U$30,MATCH("对"&amp;LEFT($C$5,2)&amp;"输出",标准坦克设计!$B$23:$U$23,0)))*(VLOOKUP($B110,INDIRECT($B$5&amp;"生成成长"),3))*(VLOOKUP($B$5,标准坦克设计!$B$14:$K$20,9)/30))</f>
        <v>1.1852777999451363</v>
      </c>
      <c r="E110" s="173">
        <f ca="1">(VLOOKUP(E$72,INDIRECT($C$5&amp;"生成成长"),2))/((VLOOKUP($B110,INDIRECT($B$5&amp;"生成成长"),4))/(VLOOKUP(E$72,INDIRECT($C$5&amp;"生成成长"),5))*(VLOOKUP($B$5,标准坦克设计!$B$24:$U$30,MATCH("对"&amp;LEFT($C$5,2)&amp;"输出",标准坦克设计!$B$23:$U$23,0)))*(VLOOKUP($B110,INDIRECT($B$5&amp;"生成成长"),3))*(VLOOKUP($B$5,标准坦克设计!$B$14:$K$20,9)/30))</f>
        <v>1.3232578072723205</v>
      </c>
      <c r="F110" s="173">
        <f ca="1">(VLOOKUP(F$72,INDIRECT($C$5&amp;"生成成长"),2))/((VLOOKUP($B110,INDIRECT($B$5&amp;"生成成长"),4))/(VLOOKUP(F$72,INDIRECT($C$5&amp;"生成成长"),5))*(VLOOKUP($B$5,标准坦克设计!$B$24:$U$30,MATCH("对"&amp;LEFT($C$5,2)&amp;"输出",标准坦克设计!$B$23:$U$23,0)))*(VLOOKUP($B110,INDIRECT($B$5&amp;"生成成长"),3))*(VLOOKUP($B$5,标准坦克设计!$B$14:$K$20,9)/30))</f>
        <v>1.4688330443606332</v>
      </c>
      <c r="G110" s="173">
        <f ca="1">(VLOOKUP(G$72,INDIRECT($C$5&amp;"生成成长"),2))/((VLOOKUP($B110,INDIRECT($B$5&amp;"生成成长"),4))/(VLOOKUP(G$72,INDIRECT($C$5&amp;"生成成长"),5))*(VLOOKUP($B$5,标准坦克设计!$B$24:$U$30,MATCH("对"&amp;LEFT($C$5,2)&amp;"输出",标准坦克设计!$B$23:$U$23,0)))*(VLOOKUP($B110,INDIRECT($B$5&amp;"生成成长"),3))*(VLOOKUP($B$5,标准坦克设计!$B$14:$K$20,9)/30))</f>
        <v>1.6220035112100761</v>
      </c>
      <c r="H110" s="173">
        <f ca="1">(VLOOKUP(H$72,INDIRECT($C$5&amp;"生成成长"),2))/((VLOOKUP($B110,INDIRECT($B$5&amp;"生成成长"),4))/(VLOOKUP(H$72,INDIRECT($C$5&amp;"生成成长"),5))*(VLOOKUP($B$5,标准坦克设计!$B$24:$U$30,MATCH("对"&amp;LEFT($C$5,2)&amp;"输出",标准坦克设计!$B$23:$U$23,0)))*(VLOOKUP($B110,INDIRECT($B$5&amp;"生成成长"),3))*(VLOOKUP($B$5,标准坦克设计!$B$14:$K$20,9)/30))</f>
        <v>1.4194640509132923</v>
      </c>
      <c r="I110" s="173">
        <f ca="1">(VLOOKUP(I$72,INDIRECT($C$5&amp;"生成成长"),2))/((VLOOKUP($B110,INDIRECT($B$5&amp;"生成成长"),4))/(VLOOKUP(I$72,INDIRECT($C$5&amp;"生成成长"),5))*(VLOOKUP($B$5,标准坦克设计!$B$24:$U$30,MATCH("对"&amp;LEFT($C$5,2)&amp;"输出",标准坦克设计!$B$23:$U$23,0)))*(VLOOKUP($B110,INDIRECT($B$5&amp;"生成成长"),3))*(VLOOKUP($B$5,标准坦克设计!$B$14:$K$20,9)/30))</f>
        <v>1.6220035112100761</v>
      </c>
      <c r="J110" s="173">
        <f ca="1">(VLOOKUP(J$72,INDIRECT($C$5&amp;"生成成长"),2))/((VLOOKUP($B110,INDIRECT($B$5&amp;"生成成长"),4))/(VLOOKUP(J$72,INDIRECT($C$5&amp;"生成成长"),5))*(VLOOKUP($B$5,标准坦克设计!$B$24:$U$30,MATCH("对"&amp;LEFT($C$5,2)&amp;"输出",标准坦克设计!$B$23:$U$23,0)))*(VLOOKUP($B110,INDIRECT($B$5&amp;"生成成长"),3))*(VLOOKUP($B$5,标准坦克设计!$B$14:$K$20,9)/30))</f>
        <v>1.838045602193312</v>
      </c>
      <c r="K110" s="173">
        <f ca="1">(VLOOKUP(K$72,INDIRECT($C$5&amp;"生成成长"),2))/((VLOOKUP($B110,INDIRECT($B$5&amp;"生成成长"),4))/(VLOOKUP(K$72,INDIRECT($C$5&amp;"生成成长"),5))*(VLOOKUP($B$5,标准坦克设计!$B$24:$U$30,MATCH("对"&amp;LEFT($C$5,2)&amp;"输出",标准坦克设计!$B$23:$U$23,0)))*(VLOOKUP($B110,INDIRECT($B$5&amp;"生成成长"),3))*(VLOOKUP($B$5,标准坦克设计!$B$14:$K$20,9)/30))</f>
        <v>2.067590323863</v>
      </c>
      <c r="L110" s="173">
        <f ca="1">(VLOOKUP(L$72,INDIRECT($C$5&amp;"生成成长"),2))/((VLOOKUP($B110,INDIRECT($B$5&amp;"生成成长"),4))/(VLOOKUP(L$72,INDIRECT($C$5&amp;"生成成长"),5))*(VLOOKUP($B$5,标准坦克设计!$B$24:$U$30,MATCH("对"&amp;LEFT($C$5,2)&amp;"输出",标准坦克设计!$B$23:$U$23,0)))*(VLOOKUP($B110,INDIRECT($B$5&amp;"生成成长"),3))*(VLOOKUP($B$5,标准坦克设计!$B$14:$K$20,9)/30))</f>
        <v>2.3106376762191405</v>
      </c>
      <c r="M110" s="173">
        <f ca="1">(VLOOKUP(M$72,INDIRECT($C$5&amp;"生成成长"),2))/((VLOOKUP($B110,INDIRECT($B$5&amp;"生成成长"),4))/(VLOOKUP(M$72,INDIRECT($C$5&amp;"生成成长"),5))*(VLOOKUP($B$5,标准坦克设计!$B$24:$U$30,MATCH("对"&amp;LEFT($C$5,2)&amp;"输出",标准坦克设计!$B$23:$U$23,0)))*(VLOOKUP($B110,INDIRECT($B$5&amp;"生成成长"),3))*(VLOOKUP($B$5,标准坦克设计!$B$14:$K$20,9)/30))</f>
        <v>2.5671876592617333</v>
      </c>
      <c r="N110" s="173">
        <f ca="1">(VLOOKUP(N$72,INDIRECT($C$5&amp;"生成成长"),2))/((VLOOKUP($B110,INDIRECT($B$5&amp;"生成成长"),4))/(VLOOKUP(N$72,INDIRECT($C$5&amp;"生成成长"),5))*(VLOOKUP($B$5,标准坦克设计!$B$24:$U$30,MATCH("对"&amp;LEFT($C$5,2)&amp;"输出",标准坦克设计!$B$23:$U$23,0)))*(VLOOKUP($B110,INDIRECT($B$5&amp;"生成成长"),3))*(VLOOKUP($B$5,标准坦克设计!$B$14:$K$20,9)/30))</f>
        <v>2.837240272990778</v>
      </c>
      <c r="O110" s="173">
        <f ca="1">(VLOOKUP(O$72,INDIRECT($C$5&amp;"生成成长"),2))/((VLOOKUP($B110,INDIRECT($B$5&amp;"生成成长"),4))/(VLOOKUP(O$72,INDIRECT($C$5&amp;"生成成长"),5))*(VLOOKUP($B$5,标准坦克设计!$B$24:$U$30,MATCH("对"&amp;LEFT($C$5,2)&amp;"输出",标准坦克设计!$B$23:$U$23,0)))*(VLOOKUP($B110,INDIRECT($B$5&amp;"生成成长"),3))*(VLOOKUP($B$5,标准坦克设计!$B$14:$K$20,9)/30))</f>
        <v>2.1571507414629845</v>
      </c>
      <c r="P110" s="173">
        <f ca="1">(VLOOKUP(P$72,INDIRECT($C$5&amp;"生成成长"),2))/((VLOOKUP($B110,INDIRECT($B$5&amp;"生成成长"),4))/(VLOOKUP(P$72,INDIRECT($C$5&amp;"生成成长"),5))*(VLOOKUP($B$5,标准坦克设计!$B$24:$U$30,MATCH("对"&amp;LEFT($C$5,2)&amp;"输出",标准坦克设计!$B$23:$U$23,0)))*(VLOOKUP($B110,INDIRECT($B$5&amp;"生成成长"),3))*(VLOOKUP($B$5,标准坦克设计!$B$14:$K$20,9)/30))</f>
        <v>2.4372248389046307</v>
      </c>
      <c r="Q110" s="173">
        <f ca="1">(VLOOKUP(Q$72,INDIRECT($C$5&amp;"生成成长"),2))/((VLOOKUP($B110,INDIRECT($B$5&amp;"生成成长"),4))/(VLOOKUP(Q$72,INDIRECT($C$5&amp;"生成成长"),5))*(VLOOKUP($B$5,标准坦克设计!$B$24:$U$30,MATCH("对"&amp;LEFT($C$5,2)&amp;"输出",标准坦克设计!$B$23:$U$23,0)))*(VLOOKUP($B110,INDIRECT($B$5&amp;"生成成长"),3))*(VLOOKUP($B$5,标准坦克设计!$B$14:$K$20,9)/30))</f>
        <v>2.7343882033088178</v>
      </c>
      <c r="R110" s="173">
        <f ca="1">(VLOOKUP(R$72,INDIRECT($C$5&amp;"生成成长"),2))/((VLOOKUP($B110,INDIRECT($B$5&amp;"生成成长"),4))/(VLOOKUP(R$72,INDIRECT($C$5&amp;"生成成长"),5))*(VLOOKUP($B$5,标准坦克设计!$B$24:$U$30,MATCH("对"&amp;LEFT($C$5,2)&amp;"输出",标准坦克设计!$B$23:$U$23,0)))*(VLOOKUP($B110,INDIRECT($B$5&amp;"生成成长"),3))*(VLOOKUP($B$5,标准坦克设计!$B$14:$K$20,9)/30))</f>
        <v>3.0486408346755467</v>
      </c>
      <c r="S110" s="173">
        <f ca="1">(VLOOKUP(S$72,INDIRECT($C$5&amp;"生成成长"),2))/((VLOOKUP($B110,INDIRECT($B$5&amp;"生成成长"),4))/(VLOOKUP(S$72,INDIRECT($C$5&amp;"生成成长"),5))*(VLOOKUP($B$5,标准坦克设计!$B$24:$U$30,MATCH("对"&amp;LEFT($C$5,2)&amp;"输出",标准坦克设计!$B$23:$U$23,0)))*(VLOOKUP($B110,INDIRECT($B$5&amp;"生成成长"),3))*(VLOOKUP($B$5,标准坦克设计!$B$14:$K$20,9)/30))</f>
        <v>3.3799827330048156</v>
      </c>
      <c r="T110" s="173">
        <f ca="1">(VLOOKUP(T$72,INDIRECT($C$5&amp;"生成成长"),2))/((VLOOKUP($B110,INDIRECT($B$5&amp;"生成成长"),4))/(VLOOKUP(T$72,INDIRECT($C$5&amp;"生成成长"),5))*(VLOOKUP($B$5,标准坦克设计!$B$24:$U$30,MATCH("对"&amp;LEFT($C$5,2)&amp;"输出",标准坦克设计!$B$23:$U$23,0)))*(VLOOKUP($B110,INDIRECT($B$5&amp;"生成成长"),3))*(VLOOKUP($B$5,标准坦克设计!$B$14:$K$20,9)/30))</f>
        <v>3.7284138982966262</v>
      </c>
      <c r="U110" s="173">
        <f ca="1">(VLOOKUP(U$72,INDIRECT($C$5&amp;"生成成长"),2))/((VLOOKUP($B110,INDIRECT($B$5&amp;"生成成长"),4))/(VLOOKUP(U$72,INDIRECT($C$5&amp;"生成成长"),5))*(VLOOKUP($B$5,标准坦克设计!$B$24:$U$30,MATCH("对"&amp;LEFT($C$5,2)&amp;"输出",标准坦克设计!$B$23:$U$23,0)))*(VLOOKUP($B110,INDIRECT($B$5&amp;"生成成长"),3))*(VLOOKUP($B$5,标准坦克设计!$B$14:$K$20,9)/30))</f>
        <v>4.0939343305509786</v>
      </c>
      <c r="V110" s="173">
        <f ca="1">(VLOOKUP(V$72,INDIRECT($C$5&amp;"生成成长"),2))/((VLOOKUP($B110,INDIRECT($B$5&amp;"生成成长"),4))/(VLOOKUP(V$72,INDIRECT($C$5&amp;"生成成长"),5))*(VLOOKUP($B$5,标准坦克设计!$B$24:$U$30,MATCH("对"&amp;LEFT($C$5,2)&amp;"输出",标准坦克设计!$B$23:$U$23,0)))*(VLOOKUP($B110,INDIRECT($B$5&amp;"生成成长"),3))*(VLOOKUP($B$5,标准坦克设计!$B$14:$K$20,9)/30))</f>
        <v>4.4765440297678714</v>
      </c>
      <c r="W110" s="173">
        <f ca="1">(VLOOKUP(W$72,INDIRECT($C$5&amp;"生成成长"),2))/((VLOOKUP($B110,INDIRECT($B$5&amp;"生成成长"),4))/(VLOOKUP(W$72,INDIRECT($C$5&amp;"生成成长"),5))*(VLOOKUP($B$5,标准坦克设计!$B$24:$U$30,MATCH("对"&amp;LEFT($C$5,2)&amp;"输出",标准坦克设计!$B$23:$U$23,0)))*(VLOOKUP($B110,INDIRECT($B$5&amp;"生成成长"),3))*(VLOOKUP($B$5,标准坦克设计!$B$14:$K$20,9)/30))</f>
        <v>4.8762429959473046</v>
      </c>
      <c r="X110" s="173">
        <f ca="1">(VLOOKUP(X$72,INDIRECT($C$5&amp;"生成成长"),2))/((VLOOKUP($B110,INDIRECT($B$5&amp;"生成成长"),4))/(VLOOKUP(X$72,INDIRECT($C$5&amp;"生成成长"),5))*(VLOOKUP($B$5,标准坦克设计!$B$24:$U$30,MATCH("对"&amp;LEFT($C$5,2)&amp;"输出",标准坦克设计!$B$23:$U$23,0)))*(VLOOKUP($B110,INDIRECT($B$5&amp;"生成成长"),3))*(VLOOKUP($B$5,标准坦克设计!$B$14:$K$20,9)/30))</f>
        <v>3.5327312426453066</v>
      </c>
      <c r="Y110" s="173">
        <f ca="1">(VLOOKUP(Y$72,INDIRECT($C$5&amp;"生成成长"),2))/((VLOOKUP($B110,INDIRECT($B$5&amp;"生成成长"),4))/(VLOOKUP(Y$72,INDIRECT($C$5&amp;"生成成长"),5))*(VLOOKUP($B$5,标准坦克设计!$B$24:$U$30,MATCH("对"&amp;LEFT($C$5,2)&amp;"输出",标准坦克设计!$B$23:$U$23,0)))*(VLOOKUP($B110,INDIRECT($B$5&amp;"生成成长"),3))*(VLOOKUP($B$5,标准坦克设计!$B$14:$K$20,9)/30))</f>
        <v>3.929371019059841</v>
      </c>
      <c r="Z110" s="173">
        <f ca="1">(VLOOKUP(Z$72,INDIRECT($C$5&amp;"生成成长"),2))/((VLOOKUP($B110,INDIRECT($B$5&amp;"生成成长"),4))/(VLOOKUP(Z$72,INDIRECT($C$5&amp;"生成成长"),5))*(VLOOKUP($B$5,标准坦克设计!$B$24:$U$30,MATCH("对"&amp;LEFT($C$5,2)&amp;"输出",标准坦克设计!$B$23:$U$23,0)))*(VLOOKUP($B110,INDIRECT($B$5&amp;"生成成长"),3))*(VLOOKUP($B$5,标准坦克设计!$B$14:$K$20,9)/30))</f>
        <v>4.3471086559219581</v>
      </c>
      <c r="AA110" s="173">
        <f ca="1">(VLOOKUP(AA$72,INDIRECT($C$5&amp;"生成成长"),2))/((VLOOKUP($B110,INDIRECT($B$5&amp;"生成成长"),4))/(VLOOKUP(AA$72,INDIRECT($C$5&amp;"生成成长"),5))*(VLOOKUP($B$5,标准坦克设计!$B$24:$U$30,MATCH("对"&amp;LEFT($C$5,2)&amp;"输出",标准坦克设计!$B$23:$U$23,0)))*(VLOOKUP($B110,INDIRECT($B$5&amp;"生成成长"),3))*(VLOOKUP($B$5,标准坦克设计!$B$14:$K$20,9)/30))</f>
        <v>4.7859441532316556</v>
      </c>
      <c r="AB110" s="173">
        <f ca="1">(VLOOKUP(AB$72,INDIRECT($C$5&amp;"生成成长"),2))/((VLOOKUP($B110,INDIRECT($B$5&amp;"生成成长"),4))/(VLOOKUP(AB$72,INDIRECT($C$5&amp;"生成成长"),5))*(VLOOKUP($B$5,标准坦克设计!$B$24:$U$30,MATCH("对"&amp;LEFT($C$5,2)&amp;"输出",标准坦克设计!$B$23:$U$23,0)))*(VLOOKUP($B110,INDIRECT($B$5&amp;"生成成长"),3))*(VLOOKUP($B$5,标准坦克设计!$B$14:$K$20,9)/30))</f>
        <v>5.2458775109889357</v>
      </c>
      <c r="AC110" s="173">
        <f ca="1">(VLOOKUP(AC$72,INDIRECT($C$5&amp;"生成成长"),2))/((VLOOKUP($B110,INDIRECT($B$5&amp;"生成成长"),4))/(VLOOKUP(AC$72,INDIRECT($C$5&amp;"生成成长"),5))*(VLOOKUP($B$5,标准坦克设计!$B$24:$U$30,MATCH("对"&amp;LEFT($C$5,2)&amp;"输出",标准坦克设计!$B$23:$U$23,0)))*(VLOOKUP($B110,INDIRECT($B$5&amp;"生成成长"),3))*(VLOOKUP($B$5,标准坦克设计!$B$14:$K$20,9)/30))</f>
        <v>5.7269087291937968</v>
      </c>
      <c r="AD110" s="173">
        <f ca="1">(VLOOKUP(AD$72,INDIRECT($C$5&amp;"生成成长"),2))/((VLOOKUP($B110,INDIRECT($B$5&amp;"生成成长"),4))/(VLOOKUP(AD$72,INDIRECT($C$5&amp;"生成成长"),5))*(VLOOKUP($B$5,标准坦克设计!$B$24:$U$30,MATCH("对"&amp;LEFT($C$5,2)&amp;"输出",标准坦克设计!$B$23:$U$23,0)))*(VLOOKUP($B110,INDIRECT($B$5&amp;"生成成长"),3))*(VLOOKUP($B$5,标准坦克设计!$B$14:$K$20,9)/30))</f>
        <v>6.2290378078462396</v>
      </c>
      <c r="AE110" s="173">
        <f ca="1">(VLOOKUP(AE$72,INDIRECT($C$5&amp;"生成成长"),2))/((VLOOKUP($B110,INDIRECT($B$5&amp;"生成成长"),4))/(VLOOKUP(AE$72,INDIRECT($C$5&amp;"生成成长"),5))*(VLOOKUP($B$5,标准坦克设计!$B$24:$U$30,MATCH("对"&amp;LEFT($C$5,2)&amp;"输出",标准坦克设计!$B$23:$U$23,0)))*(VLOOKUP($B110,INDIRECT($B$5&amp;"生成成长"),3))*(VLOOKUP($B$5,标准坦克设计!$B$14:$K$20,9)/30))</f>
        <v>6.7522647469462642</v>
      </c>
      <c r="AF110" s="173">
        <f ca="1">(VLOOKUP(AF$72,INDIRECT($C$5&amp;"生成成长"),2))/((VLOOKUP($B110,INDIRECT($B$5&amp;"生成成长"),4))/(VLOOKUP(AF$72,INDIRECT($C$5&amp;"生成成长"),5))*(VLOOKUP($B$5,标准坦克设计!$B$24:$U$30,MATCH("对"&amp;LEFT($C$5,2)&amp;"输出",标准坦克设计!$B$23:$U$23,0)))*(VLOOKUP($B110,INDIRECT($B$5&amp;"生成成长"),3))*(VLOOKUP($B$5,标准坦克设计!$B$14:$K$20,9)/30))</f>
        <v>7.2965895464938697</v>
      </c>
      <c r="AG110" s="173">
        <f ca="1">(VLOOKUP(AG$72,INDIRECT($C$5&amp;"生成成长"),2))/((VLOOKUP($B110,INDIRECT($B$5&amp;"生成成长"),4))/(VLOOKUP(AG$72,INDIRECT($C$5&amp;"生成成长"),5))*(VLOOKUP($B$5,标准坦克设计!$B$24:$U$30,MATCH("对"&amp;LEFT($C$5,2)&amp;"输出",标准坦克设计!$B$23:$U$23,0)))*(VLOOKUP($B110,INDIRECT($B$5&amp;"生成成长"),3))*(VLOOKUP($B$5,标准坦克设计!$B$14:$K$20,9)/30))</f>
        <v>7.8620122064890587</v>
      </c>
      <c r="AH110" s="173">
        <f ca="1">(VLOOKUP(AH$72,INDIRECT($C$5&amp;"生成成长"),2))/((VLOOKUP($B110,INDIRECT($B$5&amp;"生成成长"),4))/(VLOOKUP(AH$72,INDIRECT($C$5&amp;"生成成长"),5))*(VLOOKUP($B$5,标准坦克设计!$B$24:$U$30,MATCH("对"&amp;LEFT($C$5,2)&amp;"输出",标准坦克设计!$B$23:$U$23,0)))*(VLOOKUP($B110,INDIRECT($B$5&amp;"生成成长"),3))*(VLOOKUP($B$5,标准坦克设计!$B$14:$K$20,9)/30))</f>
        <v>8.4485327269318287</v>
      </c>
      <c r="AI110" s="173">
        <f ca="1">(VLOOKUP(AI$72,INDIRECT($C$5&amp;"生成成长"),2))/((VLOOKUP($B110,INDIRECT($B$5&amp;"生成成长"),4))/(VLOOKUP(AI$72,INDIRECT($C$5&amp;"生成成长"),5))*(VLOOKUP($B$5,标准坦克设计!$B$24:$U$30,MATCH("对"&amp;LEFT($C$5,2)&amp;"输出",标准坦克设计!$B$23:$U$23,0)))*(VLOOKUP($B110,INDIRECT($B$5&amp;"生成成长"),3))*(VLOOKUP($B$5,标准坦克设计!$B$14:$K$20,9)/30))</f>
        <v>5.9753360359640713</v>
      </c>
      <c r="AJ110" s="173">
        <f ca="1">(VLOOKUP(AJ$72,INDIRECT($C$5&amp;"生成成长"),2))/((VLOOKUP($B110,INDIRECT($B$5&amp;"生成成长"),4))/(VLOOKUP(AJ$72,INDIRECT($C$5&amp;"生成成长"),5))*(VLOOKUP($B$5,标准坦克设计!$B$24:$U$30,MATCH("对"&amp;LEFT($C$5,2)&amp;"输出",标准坦克设计!$B$23:$U$23,0)))*(VLOOKUP($B110,INDIRECT($B$5&amp;"生成成长"),3))*(VLOOKUP($B$5,标准坦克设计!$B$14:$K$20,9)/30))</f>
        <v>6.5404422280525445</v>
      </c>
      <c r="AK110" s="173">
        <f ca="1">(VLOOKUP(AK$72,INDIRECT($C$5&amp;"生成成长"),2))/((VLOOKUP($B110,INDIRECT($B$5&amp;"生成成长"),4))/(VLOOKUP(AK$72,INDIRECT($C$5&amp;"生成成长"),5))*(VLOOKUP($B$5,标准坦克设计!$B$24:$U$30,MATCH("对"&amp;LEFT($C$5,2)&amp;"输出",标准坦克设计!$B$23:$U$23,0)))*(VLOOKUP($B110,INDIRECT($B$5&amp;"生成成长"),3))*(VLOOKUP($B$5,标准坦克设计!$B$14:$K$20,9)/30))</f>
        <v>7.1310768312825932</v>
      </c>
      <c r="AL110" s="173">
        <f ca="1">(VLOOKUP(AL$72,INDIRECT($C$5&amp;"生成成长"),2))/((VLOOKUP($B110,INDIRECT($B$5&amp;"生成成长"),4))/(VLOOKUP(AL$72,INDIRECT($C$5&amp;"生成成长"),5))*(VLOOKUP($B$5,标准坦克设计!$B$24:$U$30,MATCH("对"&amp;LEFT($C$5,2)&amp;"输出",标准坦克设计!$B$23:$U$23,0)))*(VLOOKUP($B110,INDIRECT($B$5&amp;"生成成长"),3))*(VLOOKUP($B$5,标准坦克设计!$B$14:$K$20,9)/30))</f>
        <v>7.7472398456542138</v>
      </c>
      <c r="AM110" s="173">
        <f ca="1">(VLOOKUP(AM$72,INDIRECT($C$5&amp;"生成成长"),2))/((VLOOKUP($B110,INDIRECT($B$5&amp;"生成成长"),4))/(VLOOKUP(AM$72,INDIRECT($C$5&amp;"生成成长"),5))*(VLOOKUP($B$5,标准坦克设计!$B$24:$U$30,MATCH("对"&amp;LEFT($C$5,2)&amp;"输出",标准坦克设计!$B$23:$U$23,0)))*(VLOOKUP($B110,INDIRECT($B$5&amp;"生成成长"),3))*(VLOOKUP($B$5,标准坦克设计!$B$14:$K$20,9)/30))</f>
        <v>8.3889312711674116</v>
      </c>
      <c r="AN110" s="173">
        <f ca="1">(VLOOKUP(AN$72,INDIRECT($C$5&amp;"生成成长"),2))/((VLOOKUP($B110,INDIRECT($B$5&amp;"生成成长"),4))/(VLOOKUP(AN$72,INDIRECT($C$5&amp;"生成成长"),5))*(VLOOKUP($B$5,标准坦克设计!$B$24:$U$30,MATCH("对"&amp;LEFT($C$5,2)&amp;"输出",标准坦克设计!$B$23:$U$23,0)))*(VLOOKUP($B110,INDIRECT($B$5&amp;"生成成长"),3))*(VLOOKUP($B$5,标准坦克设计!$B$14:$K$20,9)/30))</f>
        <v>9.0561511078221777</v>
      </c>
      <c r="AO110" s="173">
        <f ca="1">(VLOOKUP(AO$72,INDIRECT($C$5&amp;"生成成长"),2))/((VLOOKUP($B110,INDIRECT($B$5&amp;"生成成长"),4))/(VLOOKUP(AO$72,INDIRECT($C$5&amp;"生成成长"),5))*(VLOOKUP($B$5,标准坦克设计!$B$24:$U$30,MATCH("对"&amp;LEFT($C$5,2)&amp;"输出",标准坦克设计!$B$23:$U$23,0)))*(VLOOKUP($B110,INDIRECT($B$5&amp;"生成成长"),3))*(VLOOKUP($B$5,标准坦克设计!$B$14:$K$20,9)/30))</f>
        <v>9.7488993556185228</v>
      </c>
      <c r="AP110" s="173">
        <f ca="1">(VLOOKUP(AP$72,INDIRECT($C$5&amp;"生成成长"),2))/((VLOOKUP($B110,INDIRECT($B$5&amp;"生成成长"),4))/(VLOOKUP(AP$72,INDIRECT($C$5&amp;"生成成长"),5))*(VLOOKUP($B$5,标准坦克设计!$B$24:$U$30,MATCH("对"&amp;LEFT($C$5,2)&amp;"输出",标准坦克设计!$B$23:$U$23,0)))*(VLOOKUP($B110,INDIRECT($B$5&amp;"生成成长"),3))*(VLOOKUP($B$5,标准坦克设计!$B$14:$K$20,9)/30))</f>
        <v>10.467176014556438</v>
      </c>
      <c r="AQ110" s="173">
        <f ca="1">(VLOOKUP(AQ$72,INDIRECT($C$5&amp;"生成成长"),2))/((VLOOKUP($B110,INDIRECT($B$5&amp;"生成成长"),4))/(VLOOKUP(AQ$72,INDIRECT($C$5&amp;"生成成长"),5))*(VLOOKUP($B$5,标准坦克设计!$B$24:$U$30,MATCH("对"&amp;LEFT($C$5,2)&amp;"输出",标准坦克设计!$B$23:$U$23,0)))*(VLOOKUP($B110,INDIRECT($B$5&amp;"生成成长"),3))*(VLOOKUP($B$5,标准坦克设计!$B$14:$K$20,9)/30))</f>
        <v>11.210981084635929</v>
      </c>
      <c r="AR110" s="173">
        <f ca="1">(VLOOKUP(AR$72,INDIRECT($C$5&amp;"生成成长"),2))/((VLOOKUP($B110,INDIRECT($B$5&amp;"生成成长"),4))/(VLOOKUP(AR$72,INDIRECT($C$5&amp;"生成成长"),5))*(VLOOKUP($B$5,标准坦克设计!$B$24:$U$30,MATCH("对"&amp;LEFT($C$5,2)&amp;"输出",标准坦克设计!$B$23:$U$23,0)))*(VLOOKUP($B110,INDIRECT($B$5&amp;"生成成长"),3))*(VLOOKUP($B$5,标准坦克设计!$B$14:$K$20,9)/30))</f>
        <v>11.980314565856991</v>
      </c>
      <c r="AS110" s="173">
        <f ca="1">(VLOOKUP(AS$72,INDIRECT($C$5&amp;"生成成长"),2))/((VLOOKUP($B110,INDIRECT($B$5&amp;"生成成长"),4))/(VLOOKUP(AS$72,INDIRECT($C$5&amp;"生成成长"),5))*(VLOOKUP($B$5,标准坦克设计!$B$24:$U$30,MATCH("对"&amp;LEFT($C$5,2)&amp;"输出",标准坦克设计!$B$23:$U$23,0)))*(VLOOKUP($B110,INDIRECT($B$5&amp;"生成成长"),3))*(VLOOKUP($B$5,标准坦克设计!$B$14:$K$20,9)/30))</f>
        <v>12.775176458219631</v>
      </c>
      <c r="AT110" s="173">
        <f ca="1">(VLOOKUP(AT$72,INDIRECT($C$5&amp;"生成成长"),2))/((VLOOKUP($B110,INDIRECT($B$5&amp;"生成成长"),4))/(VLOOKUP(AT$72,INDIRECT($C$5&amp;"生成成长"),5))*(VLOOKUP($B$5,标准坦克设计!$B$24:$U$30,MATCH("对"&amp;LEFT($C$5,2)&amp;"输出",标准坦克设计!$B$23:$U$23,0)))*(VLOOKUP($B110,INDIRECT($B$5&amp;"生成成长"),3))*(VLOOKUP($B$5,标准坦克设计!$B$14:$K$20,9)/30))</f>
        <v>13.595566761723843</v>
      </c>
      <c r="AU110" s="173">
        <f ca="1">(VLOOKUP(AU$72,INDIRECT($C$5&amp;"生成成长"),2))/((VLOOKUP($B110,INDIRECT($B$5&amp;"生成成长"),4))/(VLOOKUP(AU$72,INDIRECT($C$5&amp;"生成成长"),5))*(VLOOKUP($B$5,标准坦克设计!$B$24:$U$30,MATCH("对"&amp;LEFT($C$5,2)&amp;"输出",标准坦克设计!$B$23:$U$23,0)))*(VLOOKUP($B110,INDIRECT($B$5&amp;"生成成长"),3))*(VLOOKUP($B$5,标准坦克设计!$B$14:$K$20,9)/30))</f>
        <v>14.44148547636963</v>
      </c>
      <c r="AV110" s="173">
        <f ca="1">(VLOOKUP(AV$72,INDIRECT($C$5&amp;"生成成长"),2))/((VLOOKUP($B110,INDIRECT($B$5&amp;"生成成长"),4))/(VLOOKUP(AV$72,INDIRECT($C$5&amp;"生成成长"),5))*(VLOOKUP($B$5,标准坦克设计!$B$24:$U$30,MATCH("对"&amp;LEFT($C$5,2)&amp;"输出",标准坦克设计!$B$23:$U$23,0)))*(VLOOKUP($B110,INDIRECT($B$5&amp;"生成成长"),3))*(VLOOKUP($B$5,标准坦克设计!$B$14:$K$20,9)/30))</f>
        <v>1.4688330443606332</v>
      </c>
      <c r="AW110" s="173">
        <f ca="1">(VLOOKUP(AW$72,INDIRECT($C$5&amp;"生成成长"),2))/((VLOOKUP($B110,INDIRECT($B$5&amp;"生成成长"),4))/(VLOOKUP(AW$72,INDIRECT($C$5&amp;"生成成长"),5))*(VLOOKUP($B$5,标准坦克设计!$B$24:$U$30,MATCH("对"&amp;LEFT($C$5,2)&amp;"输出",标准坦克设计!$B$23:$U$23,0)))*(VLOOKUP($B110,INDIRECT($B$5&amp;"生成成长"),3))*(VLOOKUP($B$5,标准坦克设计!$B$14:$K$20,9)/30))</f>
        <v>1.6747481623290301</v>
      </c>
      <c r="AX110" s="173">
        <f ca="1">(VLOOKUP(AX$72,INDIRECT($C$5&amp;"生成成长"),2))/((VLOOKUP($B110,INDIRECT($B$5&amp;"生成成长"),4))/(VLOOKUP(AX$72,INDIRECT($C$5&amp;"生成成长"),5))*(VLOOKUP($B$5,标准坦克设计!$B$24:$U$30,MATCH("对"&amp;LEFT($C$5,2)&amp;"输出",标准坦克设计!$B$23:$U$23,0)))*(VLOOKUP($B110,INDIRECT($B$5&amp;"生成成长"),3))*(VLOOKUP($B$5,标准坦克设计!$B$14:$K$20,9)/30))</f>
        <v>1.8941659109838787</v>
      </c>
      <c r="AY110" s="173">
        <f ca="1">(VLOOKUP(AY$72,INDIRECT($C$5&amp;"生成成长"),2))/((VLOOKUP($B110,INDIRECT($B$5&amp;"生成成长"),4))/(VLOOKUP(AY$72,INDIRECT($C$5&amp;"生成成长"),5))*(VLOOKUP($B$5,标准坦克设计!$B$24:$U$30,MATCH("对"&amp;LEFT($C$5,2)&amp;"输出",标准坦克设计!$B$23:$U$23,0)))*(VLOOKUP($B110,INDIRECT($B$5&amp;"生成成长"),3))*(VLOOKUP($B$5,标准坦克设计!$B$14:$K$20,9)/30))</f>
        <v>2.1270862903251806</v>
      </c>
      <c r="AZ110" s="173">
        <f ca="1">(VLOOKUP(AZ$72,INDIRECT($C$5&amp;"生成成长"),2))/((VLOOKUP($B110,INDIRECT($B$5&amp;"生成成长"),4))/(VLOOKUP(AZ$72,INDIRECT($C$5&amp;"生成成长"),5))*(VLOOKUP($B$5,标准坦克设计!$B$24:$U$30,MATCH("对"&amp;LEFT($C$5,2)&amp;"输出",标准坦克设计!$B$23:$U$23,0)))*(VLOOKUP($B110,INDIRECT($B$5&amp;"生成成长"),3))*(VLOOKUP($B$5,标准坦克设计!$B$14:$K$20,9)/30))</f>
        <v>2.3735093003529335</v>
      </c>
      <c r="BA110" s="173">
        <f ca="1">(VLOOKUP(BA$72,INDIRECT($C$5&amp;"生成成长"),2))/((VLOOKUP($B110,INDIRECT($B$5&amp;"生成成长"),4))/(VLOOKUP(BA$72,INDIRECT($C$5&amp;"生成成长"),5))*(VLOOKUP($B$5,标准坦克设计!$B$24:$U$30,MATCH("对"&amp;LEFT($C$5,2)&amp;"输出",标准坦克设计!$B$23:$U$23,0)))*(VLOOKUP($B110,INDIRECT($B$5&amp;"生成成长"),3))*(VLOOKUP($B$5,标准坦克设计!$B$14:$K$20,9)/30))</f>
        <v>2.6334349410671396</v>
      </c>
      <c r="BB110" s="173">
        <f ca="1">(VLOOKUP(BB$72,INDIRECT($C$5&amp;"生成成长"),2))/((VLOOKUP($B110,INDIRECT($B$5&amp;"生成成长"),4))/(VLOOKUP(BB$72,INDIRECT($C$5&amp;"生成成长"),5))*(VLOOKUP($B$5,标准坦克设计!$B$24:$U$30,MATCH("对"&amp;LEFT($C$5,2)&amp;"输出",标准坦克设计!$B$23:$U$23,0)))*(VLOOKUP($B110,INDIRECT($B$5&amp;"生成成长"),3))*(VLOOKUP($B$5,标准坦克设计!$B$14:$K$20,9)/30))</f>
        <v>2.906863212467798</v>
      </c>
      <c r="BC110" s="173">
        <f ca="1">(VLOOKUP(BC$72,INDIRECT($C$5&amp;"生成成长"),2))/((VLOOKUP($B110,INDIRECT($B$5&amp;"生成成长"),4))/(VLOOKUP(BC$72,INDIRECT($C$5&amp;"生成成长"),5))*(VLOOKUP($B$5,标准坦克设计!$B$24:$U$30,MATCH("对"&amp;LEFT($C$5,2)&amp;"输出",标准坦克设计!$B$23:$U$23,0)))*(VLOOKUP($B110,INDIRECT($B$5&amp;"生成成长"),3))*(VLOOKUP($B$5,标准坦克设计!$B$14:$K$20,9)/30))</f>
        <v>3.1937941145549078</v>
      </c>
      <c r="BD110" s="173">
        <f ca="1">(VLOOKUP(BD$72,INDIRECT($C$5&amp;"生成成长"),2))/((VLOOKUP($B110,INDIRECT($B$5&amp;"生成成长"),4))/(VLOOKUP(BD$72,INDIRECT($C$5&amp;"生成成长"),5))*(VLOOKUP($B$5,标准坦克设计!$B$24:$U$30,MATCH("对"&amp;LEFT($C$5,2)&amp;"输出",标准坦克设计!$B$23:$U$23,0)))*(VLOOKUP($B110,INDIRECT($B$5&amp;"生成成长"),3))*(VLOOKUP($B$5,标准坦克设计!$B$14:$K$20,9)/30))</f>
        <v>3.5327312426453066</v>
      </c>
      <c r="BE110" s="173">
        <f ca="1">(VLOOKUP(BE$72,INDIRECT($C$5&amp;"生成成长"),2))/((VLOOKUP($B110,INDIRECT($B$5&amp;"生成成长"),4))/(VLOOKUP(BE$72,INDIRECT($C$5&amp;"生成成长"),5))*(VLOOKUP($B$5,标准坦克设计!$B$24:$U$30,MATCH("对"&amp;LEFT($C$5,2)&amp;"输出",标准坦克设计!$B$23:$U$23,0)))*(VLOOKUP($B110,INDIRECT($B$5&amp;"生成成长"),3))*(VLOOKUP($B$5,标准坦克设计!$B$14:$K$20,9)/30))</f>
        <v>3.8887576376982467</v>
      </c>
      <c r="BF110" s="173">
        <f ca="1">(VLOOKUP(BF$72,INDIRECT($C$5&amp;"生成成长"),2))/((VLOOKUP($B110,INDIRECT($B$5&amp;"生成成长"),4))/(VLOOKUP(BF$72,INDIRECT($C$5&amp;"生成成长"),5))*(VLOOKUP($B$5,标准坦克设计!$B$24:$U$30,MATCH("对"&amp;LEFT($C$5,2)&amp;"输出",标准坦克设计!$B$23:$U$23,0)))*(VLOOKUP($B110,INDIRECT($B$5&amp;"生成成长"),3))*(VLOOKUP($B$5,标准坦克设计!$B$14:$K$20,9)/30))</f>
        <v>4.2618732997137281</v>
      </c>
      <c r="BG110" s="173">
        <f ca="1">(VLOOKUP(BG$72,INDIRECT($C$5&amp;"生成成长"),2))/((VLOOKUP($B110,INDIRECT($B$5&amp;"生成成长"),4))/(VLOOKUP(BG$72,INDIRECT($C$5&amp;"生成成长"),5))*(VLOOKUP($B$5,标准坦克设计!$B$24:$U$30,MATCH("对"&amp;LEFT($C$5,2)&amp;"输出",标准坦克设计!$B$23:$U$23,0)))*(VLOOKUP($B110,INDIRECT($B$5&amp;"生成成长"),3))*(VLOOKUP($B$5,标准坦克设计!$B$14:$K$20,9)/30))</f>
        <v>4.6520782286917512</v>
      </c>
      <c r="BH110" s="173">
        <f ca="1">(VLOOKUP(BH$72,INDIRECT($C$5&amp;"生成成长"),2))/((VLOOKUP($B110,INDIRECT($B$5&amp;"生成成长"),4))/(VLOOKUP(BH$72,INDIRECT($C$5&amp;"生成成长"),5))*(VLOOKUP($B$5,标准坦克设计!$B$24:$U$30,MATCH("对"&amp;LEFT($C$5,2)&amp;"输出",标准坦克设计!$B$23:$U$23,0)))*(VLOOKUP($B110,INDIRECT($B$5&amp;"生成成长"),3))*(VLOOKUP($B$5,标准坦克设计!$B$14:$K$20,9)/30))</f>
        <v>2.2486099665032508</v>
      </c>
      <c r="BI110" s="173">
        <f ca="1">(VLOOKUP(BI$72,INDIRECT($C$5&amp;"生成成长"),2))/((VLOOKUP($B110,INDIRECT($B$5&amp;"生成成长"),4))/(VLOOKUP(BI$72,INDIRECT($C$5&amp;"生成成长"),5))*(VLOOKUP($B$5,标准坦克设计!$B$24:$U$30,MATCH("对"&amp;LEFT($C$5,2)&amp;"输出",标准坦克设计!$B$23:$U$23,0)))*(VLOOKUP($B110,INDIRECT($B$5&amp;"生成成长"),3))*(VLOOKUP($B$5,标准坦克设计!$B$14:$K$20,9)/30))</f>
        <v>2.5343804862657437</v>
      </c>
      <c r="BJ110" s="173">
        <f ca="1">(VLOOKUP(BJ$72,INDIRECT($C$5&amp;"生成成长"),2))/((VLOOKUP($B110,INDIRECT($B$5&amp;"生成成长"),4))/(VLOOKUP(BJ$72,INDIRECT($C$5&amp;"生成成长"),5))*(VLOOKUP($B$5,标准坦克设计!$B$24:$U$30,MATCH("对"&amp;LEFT($C$5,2)&amp;"输出",标准坦克设计!$B$23:$U$23,0)))*(VLOOKUP($B110,INDIRECT($B$5&amp;"生成成长"),3))*(VLOOKUP($B$5,标准坦克设计!$B$14:$K$20,9)/30))</f>
        <v>2.837240272990778</v>
      </c>
      <c r="BK110" s="173">
        <f ca="1">(VLOOKUP(BK$72,INDIRECT($C$5&amp;"生成成长"),2))/((VLOOKUP($B110,INDIRECT($B$5&amp;"生成成长"),4))/(VLOOKUP(BK$72,INDIRECT($C$5&amp;"生成成长"),5))*(VLOOKUP($B$5,标准坦克设计!$B$24:$U$30,MATCH("对"&amp;LEFT($C$5,2)&amp;"输出",标准坦克设计!$B$23:$U$23,0)))*(VLOOKUP($B110,INDIRECT($B$5&amp;"生成成长"),3))*(VLOOKUP($B$5,标准坦克设计!$B$14:$K$20,9)/30))</f>
        <v>3.1571893266783535</v>
      </c>
      <c r="BL110" s="173">
        <f ca="1">(VLOOKUP(BL$72,INDIRECT($C$5&amp;"生成成长"),2))/((VLOOKUP($B110,INDIRECT($B$5&amp;"生成成长"),4))/(VLOOKUP(BL$72,INDIRECT($C$5&amp;"生成成长"),5))*(VLOOKUP($B$5,标准坦克设计!$B$24:$U$30,MATCH("对"&amp;LEFT($C$5,2)&amp;"输出",标准坦克设计!$B$23:$U$23,0)))*(VLOOKUP($B110,INDIRECT($B$5&amp;"生成成长"),3))*(VLOOKUP($B$5,标准坦克设计!$B$14:$K$20,9)/30))</f>
        <v>3.4942276473284699</v>
      </c>
      <c r="BM110" s="173">
        <f ca="1">(VLOOKUP(BM$72,INDIRECT($C$5&amp;"生成成长"),2))/((VLOOKUP($B110,INDIRECT($B$5&amp;"生成成长"),4))/(VLOOKUP(BM$72,INDIRECT($C$5&amp;"生成成长"),5))*(VLOOKUP($B$5,标准坦克设计!$B$24:$U$30,MATCH("对"&amp;LEFT($C$5,2)&amp;"输出",标准坦克设计!$B$23:$U$23,0)))*(VLOOKUP($B110,INDIRECT($B$5&amp;"生成成长"),3))*(VLOOKUP($B$5,标准坦克设计!$B$14:$K$20,9)/30))</f>
        <v>3.8483552349411276</v>
      </c>
      <c r="BN110" s="173">
        <f ca="1">(VLOOKUP(BN$72,INDIRECT($C$5&amp;"生成成长"),2))/((VLOOKUP($B110,INDIRECT($B$5&amp;"生成成长"),4))/(VLOOKUP(BN$72,INDIRECT($C$5&amp;"生成成长"),5))*(VLOOKUP($B$5,标准坦克设计!$B$24:$U$30,MATCH("对"&amp;LEFT($C$5,2)&amp;"输出",标准坦克设计!$B$23:$U$23,0)))*(VLOOKUP($B110,INDIRECT($B$5&amp;"生成成长"),3))*(VLOOKUP($B$5,标准坦克设计!$B$14:$K$20,9)/30))</f>
        <v>4.2195720895163271</v>
      </c>
      <c r="BO110" s="173">
        <f ca="1">(VLOOKUP(BO$72,INDIRECT($C$5&amp;"生成成长"),2))/((VLOOKUP($B110,INDIRECT($B$5&amp;"生成成长"),4))/(VLOOKUP(BO$72,INDIRECT($C$5&amp;"生成成长"),5))*(VLOOKUP($B$5,标准坦克设计!$B$24:$U$30,MATCH("对"&amp;LEFT($C$5,2)&amp;"输出",标准坦克设计!$B$23:$U$23,0)))*(VLOOKUP($B110,INDIRECT($B$5&amp;"生成成长"),3))*(VLOOKUP($B$5,标准坦克设计!$B$14:$K$20,9)/30))</f>
        <v>4.607878211054067</v>
      </c>
      <c r="BP110" s="173">
        <f ca="1">(VLOOKUP(BP$72,INDIRECT($C$5&amp;"生成成长"),2))/((VLOOKUP($B110,INDIRECT($B$5&amp;"生成成长"),4))/(VLOOKUP(BP$72,INDIRECT($C$5&amp;"生成成长"),5))*(VLOOKUP($B$5,标准坦克设计!$B$24:$U$30,MATCH("对"&amp;LEFT($C$5,2)&amp;"输出",标准坦克设计!$B$23:$U$23,0)))*(VLOOKUP($B110,INDIRECT($B$5&amp;"生成成长"),3))*(VLOOKUP($B$5,标准坦克设计!$B$14:$K$20,9)/30))</f>
        <v>5.0132735995543483</v>
      </c>
      <c r="BQ110" s="173">
        <f ca="1">(VLOOKUP(BQ$72,INDIRECT($C$5&amp;"生成成长"),2))/((VLOOKUP($B110,INDIRECT($B$5&amp;"生成成长"),4))/(VLOOKUP(BQ$72,INDIRECT($C$5&amp;"生成成长"),5))*(VLOOKUP($B$5,标准坦克设计!$B$24:$U$30,MATCH("对"&amp;LEFT($C$5,2)&amp;"输出",标准坦克设计!$B$23:$U$23,0)))*(VLOOKUP($B110,INDIRECT($B$5&amp;"生成成长"),3))*(VLOOKUP($B$5,标准坦克设计!$B$14:$K$20,9)/30))</f>
        <v>5.4357582550171699</v>
      </c>
      <c r="BR110" s="173">
        <f ca="1">(VLOOKUP(BR$72,INDIRECT($C$5&amp;"生成成长"),2))/((VLOOKUP($B110,INDIRECT($B$5&amp;"生成成长"),4))/(VLOOKUP(BR$72,INDIRECT($C$5&amp;"生成成长"),5))*(VLOOKUP($B$5,标准坦克设计!$B$24:$U$30,MATCH("对"&amp;LEFT($C$5,2)&amp;"输出",标准坦克设计!$B$23:$U$23,0)))*(VLOOKUP($B110,INDIRECT($B$5&amp;"生成成长"),3))*(VLOOKUP($B$5,标准坦克设计!$B$14:$K$20,9)/30))</f>
        <v>5.9252286174010633</v>
      </c>
      <c r="BS110" s="173">
        <f ca="1">(VLOOKUP(BS$72,INDIRECT($C$5&amp;"生成成长"),2))/((VLOOKUP($B110,INDIRECT($B$5&amp;"生成成长"),4))/(VLOOKUP(BS$72,INDIRECT($C$5&amp;"生成成长"),5))*(VLOOKUP($B$5,标准坦克设计!$B$24:$U$30,MATCH("对"&amp;LEFT($C$5,2)&amp;"输出",标准坦克设计!$B$23:$U$23,0)))*(VLOOKUP($B110,INDIRECT($B$5&amp;"生成成长"),3))*(VLOOKUP($B$5,标准坦克设计!$B$14:$K$20,9)/30))</f>
        <v>6.4357968402325403</v>
      </c>
      <c r="BT110" s="173">
        <f ca="1">(VLOOKUP(BT$72,INDIRECT($C$5&amp;"生成成长"),2))/((VLOOKUP($B110,INDIRECT($B$5&amp;"生成成长"),4))/(VLOOKUP(BT$72,INDIRECT($C$5&amp;"生成成长"),5))*(VLOOKUP($B$5,标准坦克设计!$B$24:$U$30,MATCH("对"&amp;LEFT($C$5,2)&amp;"输出",标准坦克设计!$B$23:$U$23,0)))*(VLOOKUP($B110,INDIRECT($B$5&amp;"生成成长"),3))*(VLOOKUP($B$5,标准坦克设计!$B$14:$K$20,9)/30))</f>
        <v>6.9674629235115972</v>
      </c>
      <c r="BU110" s="173">
        <f ca="1">(VLOOKUP(BU$72,INDIRECT($C$5&amp;"生成成长"),2))/((VLOOKUP($B110,INDIRECT($B$5&amp;"生成成长"),4))/(VLOOKUP(BU$72,INDIRECT($C$5&amp;"生成成长"),5))*(VLOOKUP($B$5,标准坦克设计!$B$24:$U$30,MATCH("对"&amp;LEFT($C$5,2)&amp;"输出",标准坦克设计!$B$23:$U$23,0)))*(VLOOKUP($B110,INDIRECT($B$5&amp;"生成成长"),3))*(VLOOKUP($B$5,标准坦克设计!$B$14:$K$20,9)/30))</f>
        <v>7.5202268672382351</v>
      </c>
      <c r="BV110" s="173">
        <f ca="1">(VLOOKUP(BV$72,INDIRECT($C$5&amp;"生成成长"),2))/((VLOOKUP($B110,INDIRECT($B$5&amp;"生成成长"),4))/(VLOOKUP(BV$72,INDIRECT($C$5&amp;"生成成长"),5))*(VLOOKUP($B$5,标准坦克设计!$B$24:$U$30,MATCH("对"&amp;LEFT($C$5,2)&amp;"输出",标准坦克设计!$B$23:$U$23,0)))*(VLOOKUP($B110,INDIRECT($B$5&amp;"生成成长"),3))*(VLOOKUP($B$5,标准坦克设计!$B$14:$K$20,9)/30))</f>
        <v>8.0940886714124556</v>
      </c>
      <c r="BW110" s="173">
        <f ca="1">(VLOOKUP(BW$72,INDIRECT($C$5&amp;"生成成长"),2))/((VLOOKUP($B110,INDIRECT($B$5&amp;"生成成长"),4))/(VLOOKUP(BW$72,INDIRECT($C$5&amp;"生成成长"),5))*(VLOOKUP($B$5,标准坦克设计!$B$24:$U$30,MATCH("对"&amp;LEFT($C$5,2)&amp;"输出",标准坦克设计!$B$23:$U$23,0)))*(VLOOKUP($B110,INDIRECT($B$5&amp;"生成成长"),3))*(VLOOKUP($B$5,标准坦克设计!$B$14:$K$20,9)/30))</f>
        <v>3.6888554099574109</v>
      </c>
      <c r="BX110" s="173">
        <f ca="1">(VLOOKUP(BX$72,INDIRECT($C$5&amp;"生成成长"),2))/((VLOOKUP($B110,INDIRECT($B$5&amp;"生成成长"),4))/(VLOOKUP(BX$72,INDIRECT($C$5&amp;"生成成长"),5))*(VLOOKUP($B$5,标准坦克设计!$B$24:$U$30,MATCH("对"&amp;LEFT($C$5,2)&amp;"输出",标准坦克设计!$B$23:$U$23,0)))*(VLOOKUP($B110,INDIRECT($B$5&amp;"生成成长"),3))*(VLOOKUP($B$5,标准坦克设计!$B$14:$K$20,9)/30))</f>
        <v>4.0939343305509786</v>
      </c>
      <c r="BY110" s="173">
        <f ca="1">(VLOOKUP(BY$72,INDIRECT($C$5&amp;"生成成长"),2))/((VLOOKUP($B110,INDIRECT($B$5&amp;"生成成长"),4))/(VLOOKUP(BY$72,INDIRECT($C$5&amp;"生成成长"),5))*(VLOOKUP($B$5,标准坦克设计!$B$24:$U$30,MATCH("对"&amp;LEFT($C$5,2)&amp;"输出",标准坦克设计!$B$23:$U$23,0)))*(VLOOKUP($B110,INDIRECT($B$5&amp;"生成成长"),3))*(VLOOKUP($B$5,标准坦克设计!$B$14:$K$20,9)/30))</f>
        <v>4.5201111115921266</v>
      </c>
      <c r="BZ110" s="173">
        <f ca="1">(VLOOKUP(BZ$72,INDIRECT($C$5&amp;"生成成长"),2))/((VLOOKUP($B110,INDIRECT($B$5&amp;"生成成长"),4))/(VLOOKUP(BZ$72,INDIRECT($C$5&amp;"生成成长"),5))*(VLOOKUP($B$5,标准坦克设计!$B$24:$U$30,MATCH("对"&amp;LEFT($C$5,2)&amp;"输出",标准坦克设计!$B$23:$U$23,0)))*(VLOOKUP($B110,INDIRECT($B$5&amp;"生成成长"),3))*(VLOOKUP($B$5,标准坦克设计!$B$14:$K$20,9)/30))</f>
        <v>4.9673857530808574</v>
      </c>
      <c r="CA110" s="173">
        <f ca="1">(VLOOKUP(CA$72,INDIRECT($C$5&amp;"生成成长"),2))/((VLOOKUP($B110,INDIRECT($B$5&amp;"生成成长"),4))/(VLOOKUP(CA$72,INDIRECT($C$5&amp;"生成成长"),5))*(VLOOKUP($B$5,标准坦克设计!$B$24:$U$30,MATCH("对"&amp;LEFT($C$5,2)&amp;"输出",标准坦克设计!$B$23:$U$23,0)))*(VLOOKUP($B110,INDIRECT($B$5&amp;"生成成长"),3))*(VLOOKUP($B$5,标准坦克设计!$B$14:$K$20,9)/30))</f>
        <v>5.4357582550171699</v>
      </c>
      <c r="CB110" s="173">
        <f ca="1">(VLOOKUP(CB$72,INDIRECT($C$5&amp;"生成成长"),2))/((VLOOKUP($B110,INDIRECT($B$5&amp;"生成成长"),4))/(VLOOKUP(CB$72,INDIRECT($C$5&amp;"生成成长"),5))*(VLOOKUP($B$5,标准坦克设计!$B$24:$U$30,MATCH("对"&amp;LEFT($C$5,2)&amp;"输出",标准坦克设计!$B$23:$U$23,0)))*(VLOOKUP($B110,INDIRECT($B$5&amp;"生成成长"),3))*(VLOOKUP($B$5,标准坦克设计!$B$14:$K$20,9)/30))</f>
        <v>5.9252286174010633</v>
      </c>
      <c r="CC110" s="173">
        <f ca="1">(VLOOKUP(CC$72,INDIRECT($C$5&amp;"生成成长"),2))/((VLOOKUP($B110,INDIRECT($B$5&amp;"生成成长"),4))/(VLOOKUP(CC$72,INDIRECT($C$5&amp;"生成成长"),5))*(VLOOKUP($B$5,标准坦克设计!$B$24:$U$30,MATCH("对"&amp;LEFT($C$5,2)&amp;"输出",标准坦克设计!$B$23:$U$23,0)))*(VLOOKUP($B110,INDIRECT($B$5&amp;"生成成长"),3))*(VLOOKUP($B$5,标准坦克设计!$B$14:$K$20,9)/30))</f>
        <v>6.4357968402325403</v>
      </c>
      <c r="CD110" s="173">
        <f ca="1">(VLOOKUP(CD$72,INDIRECT($C$5&amp;"生成成长"),2))/((VLOOKUP($B110,INDIRECT($B$5&amp;"生成成长"),4))/(VLOOKUP(CD$72,INDIRECT($C$5&amp;"生成成长"),5))*(VLOOKUP($B$5,标准坦克设计!$B$24:$U$30,MATCH("对"&amp;LEFT($C$5,2)&amp;"输出",标准坦克设计!$B$23:$U$23,0)))*(VLOOKUP($B110,INDIRECT($B$5&amp;"生成成长"),3))*(VLOOKUP($B$5,标准坦克设计!$B$14:$K$20,9)/30))</f>
        <v>6.9674629235115972</v>
      </c>
      <c r="CE110" s="173">
        <f ca="1">(VLOOKUP(CE$72,INDIRECT($C$5&amp;"生成成长"),2))/((VLOOKUP($B110,INDIRECT($B$5&amp;"生成成长"),4))/(VLOOKUP(CE$72,INDIRECT($C$5&amp;"生成成长"),5))*(VLOOKUP($B$5,标准坦克设计!$B$24:$U$30,MATCH("对"&amp;LEFT($C$5,2)&amp;"输出",标准坦克设计!$B$23:$U$23,0)))*(VLOOKUP($B110,INDIRECT($B$5&amp;"生成成长"),3))*(VLOOKUP($B$5,标准坦克设计!$B$14:$K$20,9)/30))</f>
        <v>7.5202268672382351</v>
      </c>
      <c r="CF110" s="173">
        <f ca="1">(VLOOKUP(CF$72,INDIRECT($C$5&amp;"生成成长"),2))/((VLOOKUP($B110,INDIRECT($B$5&amp;"生成成长"),4))/(VLOOKUP(CF$72,INDIRECT($C$5&amp;"生成成长"),5))*(VLOOKUP($B$5,标准坦克设计!$B$24:$U$30,MATCH("对"&amp;LEFT($C$5,2)&amp;"输出",标准坦克设计!$B$23:$U$23,0)))*(VLOOKUP($B110,INDIRECT($B$5&amp;"生成成长"),3))*(VLOOKUP($B$5,标准坦克设计!$B$14:$K$20,9)/30))</f>
        <v>8.0940886714124556</v>
      </c>
      <c r="CG110" s="173">
        <f ca="1">(VLOOKUP(CG$72,INDIRECT($C$5&amp;"生成成长"),2))/((VLOOKUP($B110,INDIRECT($B$5&amp;"生成成长"),4))/(VLOOKUP(CG$72,INDIRECT($C$5&amp;"生成成长"),5))*(VLOOKUP($B$5,标准坦克设计!$B$24:$U$30,MATCH("对"&amp;LEFT($C$5,2)&amp;"输出",标准坦克设计!$B$23:$U$23,0)))*(VLOOKUP($B110,INDIRECT($B$5&amp;"生成成长"),3))*(VLOOKUP($B$5,标准坦克设计!$B$14:$K$20,9)/30))</f>
        <v>8.6890483360342579</v>
      </c>
      <c r="CH110" s="173">
        <f ca="1">(VLOOKUP(CH$72,INDIRECT($C$5&amp;"生成成长"),2))/((VLOOKUP($B110,INDIRECT($B$5&amp;"生成成长"),4))/(VLOOKUP(CH$72,INDIRECT($C$5&amp;"生成成长"),5))*(VLOOKUP($B$5,标准坦克设计!$B$24:$U$30,MATCH("对"&amp;LEFT($C$5,2)&amp;"输出",标准坦克设计!$B$23:$U$23,0)))*(VLOOKUP($B110,INDIRECT($B$5&amp;"生成成长"),3))*(VLOOKUP($B$5,标准坦克设计!$B$14:$K$20,9)/30))</f>
        <v>9.305105861103641</v>
      </c>
      <c r="CI110" s="173">
        <f ca="1">(VLOOKUP(CI$72,INDIRECT($C$5&amp;"生成成长"),2))/((VLOOKUP($B110,INDIRECT($B$5&amp;"生成成长"),4))/(VLOOKUP(CI$72,INDIRECT($C$5&amp;"生成成长"),5))*(VLOOKUP($B$5,标准坦克设计!$B$24:$U$30,MATCH("对"&amp;LEFT($C$5,2)&amp;"输出",标准坦克设计!$B$23:$U$23,0)))*(VLOOKUP($B110,INDIRECT($B$5&amp;"生成成长"),3))*(VLOOKUP($B$5,标准坦克设计!$B$14:$K$20,9)/30))</f>
        <v>10.007137167496921</v>
      </c>
      <c r="CJ110" s="173">
        <f ca="1">(VLOOKUP(CJ$72,INDIRECT($C$5&amp;"生成成长"),2))/((VLOOKUP($B110,INDIRECT($B$5&amp;"生成成长"),4))/(VLOOKUP(CJ$72,INDIRECT($C$5&amp;"生成成长"),5))*(VLOOKUP($B$5,标准坦克设计!$B$24:$U$30,MATCH("对"&amp;LEFT($C$5,2)&amp;"输出",标准坦克设计!$B$23:$U$23,0)))*(VLOOKUP($B110,INDIRECT($B$5&amp;"生成成长"),3))*(VLOOKUP($B$5,标准坦克设计!$B$14:$K$20,9)/30))</f>
        <v>10.734696885031774</v>
      </c>
      <c r="CK110" s="173">
        <f ca="1">(VLOOKUP(CK$72,INDIRECT($C$5&amp;"生成成长"),2))/((VLOOKUP($B110,INDIRECT($B$5&amp;"生成成长"),4))/(VLOOKUP(CK$72,INDIRECT($C$5&amp;"生成成长"),5))*(VLOOKUP($B$5,标准坦克设计!$B$24:$U$30,MATCH("对"&amp;LEFT($C$5,2)&amp;"输出",标准坦克设计!$B$23:$U$23,0)))*(VLOOKUP($B110,INDIRECT($B$5&amp;"生成成长"),3))*(VLOOKUP($B$5,标准坦克设计!$B$14:$K$20,9)/30))</f>
        <v>11.4877850137082</v>
      </c>
      <c r="CL110" s="173">
        <f ca="1">(VLOOKUP(CL$72,INDIRECT($C$5&amp;"生成成长"),2))/((VLOOKUP($B110,INDIRECT($B$5&amp;"生成成长"),4))/(VLOOKUP(CL$72,INDIRECT($C$5&amp;"生成成长"),5))*(VLOOKUP($B$5,标准坦克设计!$B$24:$U$30,MATCH("对"&amp;LEFT($C$5,2)&amp;"输出",标准坦克设计!$B$23:$U$23,0)))*(VLOOKUP($B110,INDIRECT($B$5&amp;"生成成长"),3))*(VLOOKUP($B$5,标准坦克设计!$B$14:$K$20,9)/30))</f>
        <v>12.266401553526199</v>
      </c>
      <c r="CM110" s="173">
        <f ca="1">(VLOOKUP(CM$72,INDIRECT($C$5&amp;"生成成长"),2))/((VLOOKUP($B110,INDIRECT($B$5&amp;"生成成长"),4))/(VLOOKUP(CM$72,INDIRECT($C$5&amp;"生成成长"),5))*(VLOOKUP($B$5,标准坦克设计!$B$24:$U$30,MATCH("对"&amp;LEFT($C$5,2)&amp;"输出",标准坦克设计!$B$23:$U$23,0)))*(VLOOKUP($B110,INDIRECT($B$5&amp;"生成成长"),3))*(VLOOKUP($B$5,标准坦克设计!$B$14:$K$20,9)/30))</f>
        <v>13.070546504485776</v>
      </c>
      <c r="CN110" s="173">
        <f ca="1">(VLOOKUP(CN$72,INDIRECT($C$5&amp;"生成成长"),2))/((VLOOKUP($B110,INDIRECT($B$5&amp;"生成成长"),4))/(VLOOKUP(CN$72,INDIRECT($C$5&amp;"生成成长"),5))*(VLOOKUP($B$5,标准坦克设计!$B$24:$U$30,MATCH("对"&amp;LEFT($C$5,2)&amp;"输出",标准坦克设计!$B$23:$U$23,0)))*(VLOOKUP($B110,INDIRECT($B$5&amp;"生成成长"),3))*(VLOOKUP($B$5,标准坦克设计!$B$14:$K$20,9)/30))</f>
        <v>13.900219866586919</v>
      </c>
      <c r="CO110" s="173">
        <f ca="1">(VLOOKUP(CO$72,INDIRECT($C$5&amp;"生成成长"),2))/((VLOOKUP($B110,INDIRECT($B$5&amp;"生成成长"),4))/(VLOOKUP(CO$72,INDIRECT($C$5&amp;"生成成长"),5))*(VLOOKUP($B$5,标准坦克设计!$B$24:$U$30,MATCH("对"&amp;LEFT($C$5,2)&amp;"输出",标准坦克设计!$B$23:$U$23,0)))*(VLOOKUP($B110,INDIRECT($B$5&amp;"生成成长"),3))*(VLOOKUP($B$5,标准坦克设计!$B$14:$K$20,9)/30))</f>
        <v>6.2290378078462396</v>
      </c>
      <c r="CP110" s="173">
        <f ca="1">(VLOOKUP(CP$72,INDIRECT($C$5&amp;"生成成长"),2))/((VLOOKUP($B110,INDIRECT($B$5&amp;"生成成长"),4))/(VLOOKUP(CP$72,INDIRECT($C$5&amp;"生成成长"),5))*(VLOOKUP($B$5,标准坦克设计!$B$24:$U$30,MATCH("对"&amp;LEFT($C$5,2)&amp;"输出",标准坦克设计!$B$23:$U$23,0)))*(VLOOKUP($B110,INDIRECT($B$5&amp;"生成成长"),3))*(VLOOKUP($B$5,标准坦克设计!$B$14:$K$20,9)/30))</f>
        <v>6.8057478231808846</v>
      </c>
      <c r="CQ110" s="173">
        <f ca="1">(VLOOKUP(CQ$72,INDIRECT($C$5&amp;"生成成长"),2))/((VLOOKUP($B110,INDIRECT($B$5&amp;"生成成长"),4))/(VLOOKUP(CQ$72,INDIRECT($C$5&amp;"生成成长"),5))*(VLOOKUP($B$5,标准坦克设计!$B$24:$U$30,MATCH("对"&amp;LEFT($C$5,2)&amp;"输出",标准坦克设计!$B$23:$U$23,0)))*(VLOOKUP($B110,INDIRECT($B$5&amp;"生成成长"),3))*(VLOOKUP($B$5,标准坦克设计!$B$14:$K$20,9)/30))</f>
        <v>7.4079862496571032</v>
      </c>
      <c r="CR110" s="173">
        <f ca="1">(VLOOKUP(CR$72,INDIRECT($C$5&amp;"生成成长"),2))/((VLOOKUP($B110,INDIRECT($B$5&amp;"生成成长"),4))/(VLOOKUP(CR$72,INDIRECT($C$5&amp;"生成成长"),5))*(VLOOKUP($B$5,标准坦克设计!$B$24:$U$30,MATCH("对"&amp;LEFT($C$5,2)&amp;"输出",标准坦克设计!$B$23:$U$23,0)))*(VLOOKUP($B110,INDIRECT($B$5&amp;"生成成长"),3))*(VLOOKUP($B$5,标准坦克设计!$B$14:$K$20,9)/30))</f>
        <v>8.0357530872748928</v>
      </c>
      <c r="CS110" s="173">
        <f ca="1">(VLOOKUP(CS$72,INDIRECT($C$5&amp;"生成成长"),2))/((VLOOKUP($B110,INDIRECT($B$5&amp;"生成成长"),4))/(VLOOKUP(CS$72,INDIRECT($C$5&amp;"生成成长"),5))*(VLOOKUP($B$5,标准坦克设计!$B$24:$U$30,MATCH("对"&amp;LEFT($C$5,2)&amp;"输出",标准坦克设计!$B$23:$U$23,0)))*(VLOOKUP($B110,INDIRECT($B$5&amp;"生成成长"),3))*(VLOOKUP($B$5,标准坦克设计!$B$14:$K$20,9)/30))</f>
        <v>8.6890483360342579</v>
      </c>
      <c r="CT110" s="173">
        <f ca="1">(VLOOKUP(CT$72,INDIRECT($C$5&amp;"生成成长"),2))/((VLOOKUP($B110,INDIRECT($B$5&amp;"生成成长"),4))/(VLOOKUP(CT$72,INDIRECT($C$5&amp;"生成成长"),5))*(VLOOKUP($B$5,标准坦克设计!$B$24:$U$30,MATCH("对"&amp;LEFT($C$5,2)&amp;"输出",标准坦克设计!$B$23:$U$23,0)))*(VLOOKUP($B110,INDIRECT($B$5&amp;"生成成长"),3))*(VLOOKUP($B$5,标准坦克设计!$B$14:$K$20,9)/30))</f>
        <v>9.3678719959351984</v>
      </c>
      <c r="CU110" s="173">
        <f ca="1">(VLOOKUP(CU$72,INDIRECT($C$5&amp;"生成成长"),2))/((VLOOKUP($B110,INDIRECT($B$5&amp;"生成成长"),4))/(VLOOKUP(CU$72,INDIRECT($C$5&amp;"生成成长"),5))*(VLOOKUP($B$5,标准坦克设计!$B$24:$U$30,MATCH("对"&amp;LEFT($C$5,2)&amp;"输出",标准坦克设计!$B$23:$U$23,0)))*(VLOOKUP($B110,INDIRECT($B$5&amp;"生成成长"),3))*(VLOOKUP($B$5,标准坦克设计!$B$14:$K$20,9)/30))</f>
        <v>10.072224066977713</v>
      </c>
      <c r="CV110" s="173">
        <f ca="1">(VLOOKUP(CV$72,INDIRECT($C$5&amp;"生成成长"),2))/((VLOOKUP($B110,INDIRECT($B$5&amp;"生成成长"),4))/(VLOOKUP(CV$72,INDIRECT($C$5&amp;"生成成长"),5))*(VLOOKUP($B$5,标准坦克设计!$B$24:$U$30,MATCH("对"&amp;LEFT($C$5,2)&amp;"输出",标准坦克设计!$B$23:$U$23,0)))*(VLOOKUP($B110,INDIRECT($B$5&amp;"生成成长"),3))*(VLOOKUP($B$5,标准坦克设计!$B$14:$K$20,9)/30))</f>
        <v>10.802104549161797</v>
      </c>
      <c r="CW110" s="173">
        <f ca="1">(VLOOKUP(CW$72,INDIRECT($C$5&amp;"生成成长"),2))/((VLOOKUP($B110,INDIRECT($B$5&amp;"生成成长"),4))/(VLOOKUP(CW$72,INDIRECT($C$5&amp;"生成成长"),5))*(VLOOKUP($B$5,标准坦克设计!$B$24:$U$30,MATCH("对"&amp;LEFT($C$5,2)&amp;"输出",标准坦克设计!$B$23:$U$23,0)))*(VLOOKUP($B110,INDIRECT($B$5&amp;"生成成长"),3))*(VLOOKUP($B$5,标准坦克设计!$B$14:$K$20,9)/30))</f>
        <v>11.55751344248746</v>
      </c>
      <c r="CX110" s="173">
        <f ca="1">(VLOOKUP(CX$72,INDIRECT($C$5&amp;"生成成长"),2))/((VLOOKUP($B110,INDIRECT($B$5&amp;"生成成长"),4))/(VLOOKUP(CX$72,INDIRECT($C$5&amp;"生成成长"),5))*(VLOOKUP($B$5,标准坦克设计!$B$24:$U$30,MATCH("对"&amp;LEFT($C$5,2)&amp;"输出",标准坦克设计!$B$23:$U$23,0)))*(VLOOKUP($B110,INDIRECT($B$5&amp;"生成成长"),3))*(VLOOKUP($B$5,标准坦克设计!$B$14:$K$20,9)/30))</f>
        <v>12.33845074695469</v>
      </c>
      <c r="CY110" s="173">
        <f ca="1">(VLOOKUP(CY$72,INDIRECT($C$5&amp;"生成成长"),2))/((VLOOKUP($B110,INDIRECT($B$5&amp;"生成成长"),4))/(VLOOKUP(CY$72,INDIRECT($C$5&amp;"生成成长"),5))*(VLOOKUP($B$5,标准坦克设计!$B$24:$U$30,MATCH("对"&amp;LEFT($C$5,2)&amp;"输出",标准坦克设计!$B$23:$U$23,0)))*(VLOOKUP($B110,INDIRECT($B$5&amp;"生成成长"),3))*(VLOOKUP($B$5,标准坦克设计!$B$14:$K$20,9)/30))</f>
        <v>13.144916462563499</v>
      </c>
      <c r="CZ110" s="173">
        <f ca="1">(VLOOKUP(CZ$72,INDIRECT($C$5&amp;"生成成长"),2))/((VLOOKUP($B110,INDIRECT($B$5&amp;"生成成长"),4))/(VLOOKUP(CZ$72,INDIRECT($C$5&amp;"生成成长"),5))*(VLOOKUP($B$5,标准坦克设计!$B$24:$U$30,MATCH("对"&amp;LEFT($C$5,2)&amp;"输出",标准坦克设计!$B$23:$U$23,0)))*(VLOOKUP($B110,INDIRECT($B$5&amp;"生成成长"),3))*(VLOOKUP($B$5,标准坦克设计!$B$14:$K$20,9)/30))</f>
        <v>13.97691058931388</v>
      </c>
      <c r="DA110" s="173">
        <f ca="1">(VLOOKUP(DA$72,INDIRECT($C$5&amp;"生成成长"),2))/((VLOOKUP($B110,INDIRECT($B$5&amp;"生成成长"),4))/(VLOOKUP(DA$72,INDIRECT($C$5&amp;"生成成长"),5))*(VLOOKUP($B$5,标准坦克设计!$B$24:$U$30,MATCH("对"&amp;LEFT($C$5,2)&amp;"输出",标准坦克设计!$B$23:$U$23,0)))*(VLOOKUP($B110,INDIRECT($B$5&amp;"生成成长"),3))*(VLOOKUP($B$5,标准坦克设计!$B$14:$K$20,9)/30))</f>
        <v>14.834433127205838</v>
      </c>
      <c r="DB110" s="173">
        <f ca="1">(VLOOKUP(DB$72,INDIRECT($C$5&amp;"生成成长"),2))/((VLOOKUP($B110,INDIRECT($B$5&amp;"生成成长"),4))/(VLOOKUP(DB$72,INDIRECT($C$5&amp;"生成成长"),5))*(VLOOKUP($B$5,标准坦克设计!$B$24:$U$30,MATCH("对"&amp;LEFT($C$5,2)&amp;"输出",标准坦克设计!$B$23:$U$23,0)))*(VLOOKUP($B110,INDIRECT($B$5&amp;"生成成长"),3))*(VLOOKUP($B$5,标准坦克设计!$B$14:$K$20,9)/30))</f>
        <v>15.717484076239364</v>
      </c>
      <c r="DC110" s="173">
        <f ca="1">(VLOOKUP(DC$72,INDIRECT($C$5&amp;"生成成长"),2))/((VLOOKUP($B110,INDIRECT($B$5&amp;"生成成长"),4))/(VLOOKUP(DC$72,INDIRECT($C$5&amp;"生成成长"),5))*(VLOOKUP($B$5,标准坦克设计!$B$24:$U$30,MATCH("对"&amp;LEFT($C$5,2)&amp;"输出",标准坦克设计!$B$23:$U$23,0)))*(VLOOKUP($B110,INDIRECT($B$5&amp;"生成成长"),3))*(VLOOKUP($B$5,标准坦克设计!$B$14:$K$20,9)/30))</f>
        <v>16.709927431693608</v>
      </c>
      <c r="DD110" s="173">
        <f ca="1">(VLOOKUP(DD$72,INDIRECT($C$5&amp;"生成成长"),2))/((VLOOKUP($B110,INDIRECT($B$5&amp;"生成成长"),4))/(VLOOKUP(DD$72,INDIRECT($C$5&amp;"生成成长"),5))*(VLOOKUP($B$5,标准坦克设计!$B$24:$U$30,MATCH("对"&amp;LEFT($C$5,2)&amp;"输出",标准坦克设计!$B$23:$U$23,0)))*(VLOOKUP($B110,INDIRECT($B$5&amp;"生成成长"),3))*(VLOOKUP($B$5,标准坦克设计!$B$14:$K$20,9)/30))</f>
        <v>17.732751706192364</v>
      </c>
      <c r="DE110" s="173">
        <f ca="1">(VLOOKUP(DE$72,INDIRECT($C$5&amp;"生成成长"),2))/((VLOOKUP($B110,INDIRECT($B$5&amp;"生成成长"),4))/(VLOOKUP(DE$72,INDIRECT($C$5&amp;"生成成长"),5))*(VLOOKUP($B$5,标准坦克设计!$B$24:$U$30,MATCH("对"&amp;LEFT($C$5,2)&amp;"输出",标准坦克设计!$B$23:$U$23,0)))*(VLOOKUP($B110,INDIRECT($B$5&amp;"生成成长"),3))*(VLOOKUP($B$5,标准坦克设计!$B$14:$K$20,9)/30))</f>
        <v>18.785956899735641</v>
      </c>
      <c r="DF110" s="173">
        <f ca="1">(VLOOKUP(DF$72,INDIRECT($C$5&amp;"生成成长"),2))/((VLOOKUP($B110,INDIRECT($B$5&amp;"生成成长"),4))/(VLOOKUP(DF$72,INDIRECT($C$5&amp;"生成成长"),5))*(VLOOKUP($B$5,标准坦克设计!$B$24:$U$30,MATCH("对"&amp;LEFT($C$5,2)&amp;"输出",标准坦克设计!$B$23:$U$23,0)))*(VLOOKUP($B110,INDIRECT($B$5&amp;"生成成长"),3))*(VLOOKUP($B$5,标准坦克设计!$B$14:$K$20,9)/30))</f>
        <v>19.86954301232343</v>
      </c>
      <c r="DG110" s="173">
        <f ca="1">(VLOOKUP(DG$72,INDIRECT($C$5&amp;"生成成长"),2))/((VLOOKUP($B110,INDIRECT($B$5&amp;"生成成长"),4))/(VLOOKUP(DG$72,INDIRECT($C$5&amp;"生成成长"),5))*(VLOOKUP($B$5,标准坦克设计!$B$24:$U$30,MATCH("对"&amp;LEFT($C$5,2)&amp;"输出",标准坦克设计!$B$23:$U$23,0)))*(VLOOKUP($B110,INDIRECT($B$5&amp;"生成成长"),3))*(VLOOKUP($B$5,标准坦克设计!$B$14:$K$20,9)/30))</f>
        <v>20.983510043955743</v>
      </c>
      <c r="DH110" s="173">
        <f ca="1">(VLOOKUP(DH$72,INDIRECT($C$5&amp;"生成成长"),2))/((VLOOKUP($B110,INDIRECT($B$5&amp;"生成成长"),4))/(VLOOKUP(DH$72,INDIRECT($C$5&amp;"生成成长"),5))*(VLOOKUP($B$5,标准坦克设计!$B$24:$U$30,MATCH("对"&amp;LEFT($C$5,2)&amp;"输出",标准坦克设计!$B$23:$U$23,0)))*(VLOOKUP($B110,INDIRECT($B$5&amp;"生成成长"),3))*(VLOOKUP($B$5,标准坦克设计!$B$14:$K$20,9)/30))</f>
        <v>22.127857994632574</v>
      </c>
      <c r="DI110" s="173">
        <f ca="1">(VLOOKUP(DI$72,INDIRECT($C$5&amp;"生成成长"),2))/((VLOOKUP($B110,INDIRECT($B$5&amp;"生成成长"),4))/(VLOOKUP(DI$72,INDIRECT($C$5&amp;"生成成长"),5))*(VLOOKUP($B$5,标准坦克设计!$B$24:$U$30,MATCH("对"&amp;LEFT($C$5,2)&amp;"输出",标准坦克设计!$B$23:$U$23,0)))*(VLOOKUP($B110,INDIRECT($B$5&amp;"生成成长"),3))*(VLOOKUP($B$5,标准坦克设计!$B$14:$K$20,9)/30))</f>
        <v>23.302586864353916</v>
      </c>
      <c r="DJ110" s="173">
        <f ca="1">(VLOOKUP(DJ$72,INDIRECT($C$5&amp;"生成成长"),2))/((VLOOKUP($B110,INDIRECT($B$5&amp;"生成成长"),4))/(VLOOKUP(DJ$72,INDIRECT($C$5&amp;"生成成长"),5))*(VLOOKUP($B$5,标准坦克设计!$B$24:$U$30,MATCH("对"&amp;LEFT($C$5,2)&amp;"输出",标准坦克设计!$B$23:$U$23,0)))*(VLOOKUP($B110,INDIRECT($B$5&amp;"生成成长"),3))*(VLOOKUP($B$5,标准坦克设计!$B$14:$K$20,9)/30))</f>
        <v>2.3419679989837996</v>
      </c>
      <c r="DK110" s="173">
        <f ca="1">(VLOOKUP(DK$72,INDIRECT($C$5&amp;"生成成长"),2))/((VLOOKUP($B110,INDIRECT($B$5&amp;"生成成长"),4))/(VLOOKUP(DK$72,INDIRECT($C$5&amp;"生成成长"),5))*(VLOOKUP($B$5,标准坦克设计!$B$24:$U$30,MATCH("对"&amp;LEFT($C$5,2)&amp;"输出",标准坦克设计!$B$23:$U$23,0)))*(VLOOKUP($B110,INDIRECT($B$5&amp;"生成成长"),3))*(VLOOKUP($B$5,标准坦克设计!$B$14:$K$20,9)/30))</f>
        <v>2.6334349410671396</v>
      </c>
      <c r="DL110" s="173">
        <f ca="1">(VLOOKUP(DL$72,INDIRECT($C$5&amp;"生成成长"),2))/((VLOOKUP($B110,INDIRECT($B$5&amp;"生成成长"),4))/(VLOOKUP(DL$72,INDIRECT($C$5&amp;"生成成长"),5))*(VLOOKUP($B$5,标准坦克设计!$B$24:$U$30,MATCH("对"&amp;LEFT($C$5,2)&amp;"输出",标准坦克设计!$B$23:$U$23,0)))*(VLOOKUP($B110,INDIRECT($B$5&amp;"生成成长"),3))*(VLOOKUP($B$5,标准坦克设计!$B$14:$K$20,9)/30))</f>
        <v>2.9419911501130209</v>
      </c>
      <c r="DM110" s="173">
        <f ca="1">(VLOOKUP(DM$72,INDIRECT($C$5&amp;"生成成长"),2))/((VLOOKUP($B110,INDIRECT($B$5&amp;"生成成长"),4))/(VLOOKUP(DM$72,INDIRECT($C$5&amp;"生成成长"),5))*(VLOOKUP($B$5,标准坦克设计!$B$24:$U$30,MATCH("对"&amp;LEFT($C$5,2)&amp;"输出",标准坦克设计!$B$23:$U$23,0)))*(VLOOKUP($B110,INDIRECT($B$5&amp;"生成成长"),3))*(VLOOKUP($B$5,标准坦克设计!$B$14:$K$20,9)/30))</f>
        <v>3.267636626121444</v>
      </c>
      <c r="DN110" s="173">
        <f ca="1">(VLOOKUP(DN$72,INDIRECT($C$5&amp;"生成成长"),2))/((VLOOKUP($B110,INDIRECT($B$5&amp;"生成成长"),4))/(VLOOKUP(DN$72,INDIRECT($C$5&amp;"生成成长"),5))*(VLOOKUP($B$5,标准坦克设计!$B$24:$U$30,MATCH("对"&amp;LEFT($C$5,2)&amp;"输出",标准坦克设计!$B$23:$U$23,0)))*(VLOOKUP($B110,INDIRECT($B$5&amp;"生成成长"),3))*(VLOOKUP($B$5,标准坦克设计!$B$14:$K$20,9)/30))</f>
        <v>3.6103713690924075</v>
      </c>
      <c r="DO110" s="173">
        <f ca="1">(VLOOKUP(DO$72,INDIRECT($C$5&amp;"生成成长"),2))/((VLOOKUP($B110,INDIRECT($B$5&amp;"生成成长"),4))/(VLOOKUP(DO$72,INDIRECT($C$5&amp;"生成成长"),5))*(VLOOKUP($B$5,标准坦克设计!$B$24:$U$30,MATCH("对"&amp;LEFT($C$5,2)&amp;"输出",标准坦克设计!$B$23:$U$23,0)))*(VLOOKUP($B110,INDIRECT($B$5&amp;"生成成长"),3))*(VLOOKUP($B$5,标准坦克设计!$B$14:$K$20,9)/30))</f>
        <v>3.9701953790259128</v>
      </c>
      <c r="DP110" s="173">
        <f ca="1">(VLOOKUP(DP$72,INDIRECT($C$5&amp;"生成成长"),2))/((VLOOKUP($B110,INDIRECT($B$5&amp;"生成成长"),4))/(VLOOKUP(DP$72,INDIRECT($C$5&amp;"生成成长"),5))*(VLOOKUP($B$5,标准坦克设计!$B$24:$U$30,MATCH("对"&amp;LEFT($C$5,2)&amp;"输出",标准坦克设计!$B$23:$U$23,0)))*(VLOOKUP($B110,INDIRECT($B$5&amp;"生成成长"),3))*(VLOOKUP($B$5,标准坦克设计!$B$14:$K$20,9)/30))</f>
        <v>4.3471086559219581</v>
      </c>
      <c r="DQ110" s="173">
        <f ca="1">(VLOOKUP(DQ$72,INDIRECT($C$5&amp;"生成成长"),2))/((VLOOKUP($B110,INDIRECT($B$5&amp;"生成成长"),4))/(VLOOKUP(DQ$72,INDIRECT($C$5&amp;"生成成长"),5))*(VLOOKUP($B$5,标准坦克设计!$B$24:$U$30,MATCH("对"&amp;LEFT($C$5,2)&amp;"输出",标准坦克设计!$B$23:$U$23,0)))*(VLOOKUP($B110,INDIRECT($B$5&amp;"生成成长"),3))*(VLOOKUP($B$5,标准坦克设计!$B$14:$K$20,9)/30))</f>
        <v>4.7411111997805451</v>
      </c>
      <c r="DR110" s="173">
        <f ca="1">(VLOOKUP(DR$72,INDIRECT($C$5&amp;"生成成长"),2))/((VLOOKUP($B110,INDIRECT($B$5&amp;"生成成长"),4))/(VLOOKUP(DR$72,INDIRECT($C$5&amp;"生成成长"),5))*(VLOOKUP($B$5,标准坦克设计!$B$24:$U$30,MATCH("对"&amp;LEFT($C$5,2)&amp;"输出",标准坦克设计!$B$23:$U$23,0)))*(VLOOKUP($B110,INDIRECT($B$5&amp;"生成成长"),3))*(VLOOKUP($B$5,标准坦克设计!$B$14:$K$20,9)/30))</f>
        <v>5.1522030106016734</v>
      </c>
      <c r="DS110" s="173">
        <f ca="1">(VLOOKUP(DS$72,INDIRECT($C$5&amp;"生成成长"),2))/((VLOOKUP($B110,INDIRECT($B$5&amp;"生成成长"),4))/(VLOOKUP(DS$72,INDIRECT($C$5&amp;"生成成长"),5))*(VLOOKUP($B$5,标准坦克设计!$B$24:$U$30,MATCH("对"&amp;LEFT($C$5,2)&amp;"输出",标准坦克设计!$B$23:$U$23,0)))*(VLOOKUP($B110,INDIRECT($B$5&amp;"生成成长"),3))*(VLOOKUP($B$5,标准坦克设计!$B$14:$K$20,9)/30))</f>
        <v>5.5803840883853431</v>
      </c>
      <c r="DT110" s="173">
        <f ca="1">(VLOOKUP(DT$72,INDIRECT($C$5&amp;"生成成长"),2))/((VLOOKUP($B110,INDIRECT($B$5&amp;"生成成长"),4))/(VLOOKUP(DT$72,INDIRECT($C$5&amp;"生成成长"),5))*(VLOOKUP($B$5,标准坦克设计!$B$24:$U$30,MATCH("对"&amp;LEFT($C$5,2)&amp;"输出",标准坦克设计!$B$23:$U$23,0)))*(VLOOKUP($B110,INDIRECT($B$5&amp;"生成成长"),3))*(VLOOKUP($B$5,标准坦克设计!$B$14:$K$20,9)/30))</f>
        <v>6.126924163279944</v>
      </c>
      <c r="DU110" s="173">
        <f ca="1">(VLOOKUP(DU$72,INDIRECT($C$5&amp;"生成成长"),2))/((VLOOKUP($B110,INDIRECT($B$5&amp;"生成成长"),4))/(VLOOKUP(DU$72,INDIRECT($C$5&amp;"生成成长"),5))*(VLOOKUP($B$5,标准坦克设计!$B$24:$U$30,MATCH("对"&amp;LEFT($C$5,2)&amp;"输出",标准坦克设计!$B$23:$U$23,0)))*(VLOOKUP($B110,INDIRECT($B$5&amp;"生成成长"),3))*(VLOOKUP($B$5,标准坦克设计!$B$14:$K$20,9)/30))</f>
        <v>6.6989926493161205</v>
      </c>
      <c r="DV110" s="173">
        <f ca="1">(VLOOKUP(DV$72,INDIRECT($C$5&amp;"生成成长"),2))/((VLOOKUP($B110,INDIRECT($B$5&amp;"生成成长"),4))/(VLOOKUP(DV$72,INDIRECT($C$5&amp;"生成成长"),5))*(VLOOKUP($B$5,标准坦克设计!$B$24:$U$30,MATCH("对"&amp;LEFT($C$5,2)&amp;"输出",标准坦克设计!$B$23:$U$23,0)))*(VLOOKUP($B110,INDIRECT($B$5&amp;"生成成长"),3))*(VLOOKUP($B$5,标准坦克设计!$B$14:$K$20,9)/30))</f>
        <v>7.2965895464938697</v>
      </c>
      <c r="DW110" s="173">
        <f ca="1">(VLOOKUP(DW$72,INDIRECT($C$5&amp;"生成成长"),2))/((VLOOKUP($B110,INDIRECT($B$5&amp;"生成成长"),4))/(VLOOKUP(DW$72,INDIRECT($C$5&amp;"生成成长"),5))*(VLOOKUP($B$5,标准坦克设计!$B$24:$U$30,MATCH("对"&amp;LEFT($C$5,2)&amp;"输出",标准坦克设计!$B$23:$U$23,0)))*(VLOOKUP($B110,INDIRECT($B$5&amp;"生成成长"),3))*(VLOOKUP($B$5,标准坦克设计!$B$14:$K$20,9)/30))</f>
        <v>7.9197148548131935</v>
      </c>
      <c r="DX110" s="173">
        <f ca="1">(VLOOKUP(DX$72,INDIRECT($C$5&amp;"生成成长"),2))/((VLOOKUP($B110,INDIRECT($B$5&amp;"生成成长"),4))/(VLOOKUP(DX$72,INDIRECT($C$5&amp;"生成成长"),5))*(VLOOKUP($B$5,标准坦克设计!$B$24:$U$30,MATCH("对"&amp;LEFT($C$5,2)&amp;"输出",标准坦克设计!$B$23:$U$23,0)))*(VLOOKUP($B110,INDIRECT($B$5&amp;"生成成长"),3))*(VLOOKUP($B$5,标准坦克设计!$B$14:$K$20,9)/30))</f>
        <v>8.5683685742740909</v>
      </c>
      <c r="DY110" s="173">
        <f ca="1">(VLOOKUP(DY$72,INDIRECT($C$5&amp;"生成成长"),2))/((VLOOKUP($B110,INDIRECT($B$5&amp;"生成成长"),4))/(VLOOKUP(DY$72,INDIRECT($C$5&amp;"生成成长"),5))*(VLOOKUP($B$5,标准坦克设计!$B$24:$U$30,MATCH("对"&amp;LEFT($C$5,2)&amp;"输出",标准坦克设计!$B$23:$U$23,0)))*(VLOOKUP($B110,INDIRECT($B$5&amp;"生成成长"),3))*(VLOOKUP($B$5,标准坦克设计!$B$14:$K$20,9)/30))</f>
        <v>3.8483552349411276</v>
      </c>
      <c r="DZ110" s="173">
        <f ca="1">(VLOOKUP(DZ$72,INDIRECT($C$5&amp;"生成成长"),2))/((VLOOKUP($B110,INDIRECT($B$5&amp;"生成成长"),4))/(VLOOKUP(DZ$72,INDIRECT($C$5&amp;"生成成长"),5))*(VLOOKUP($B$5,标准坦克设计!$B$24:$U$30,MATCH("对"&amp;LEFT($C$5,2)&amp;"输出",标准坦克设计!$B$23:$U$23,0)))*(VLOOKUP($B110,INDIRECT($B$5&amp;"生成成长"),3))*(VLOOKUP($B$5,标准坦克设计!$B$14:$K$20,9)/30))</f>
        <v>4.2618732997137281</v>
      </c>
      <c r="EA110" s="173">
        <f ca="1">(VLOOKUP(EA$72,INDIRECT($C$5&amp;"生成成长"),2))/((VLOOKUP($B110,INDIRECT($B$5&amp;"生成成长"),4))/(VLOOKUP(EA$72,INDIRECT($C$5&amp;"生成成长"),5))*(VLOOKUP($B$5,标准坦克设计!$B$24:$U$30,MATCH("对"&amp;LEFT($C$5,2)&amp;"输出",标准坦克设计!$B$23:$U$23,0)))*(VLOOKUP($B110,INDIRECT($B$5&amp;"生成成长"),3))*(VLOOKUP($B$5,标准坦克设计!$B$14:$K$20,9)/30))</f>
        <v>4.6964892249339103</v>
      </c>
      <c r="EB110" s="173">
        <f ca="1">(VLOOKUP(EB$72,INDIRECT($C$5&amp;"生成成长"),2))/((VLOOKUP($B110,INDIRECT($B$5&amp;"生成成长"),4))/(VLOOKUP(EB$72,INDIRECT($C$5&amp;"生成成长"),5))*(VLOOKUP($B$5,标准坦克设计!$B$24:$U$30,MATCH("对"&amp;LEFT($C$5,2)&amp;"输出",标准坦克设计!$B$23:$U$23,0)))*(VLOOKUP($B110,INDIRECT($B$5&amp;"生成成长"),3))*(VLOOKUP($B$5,标准坦克设计!$B$14:$K$20,9)/30))</f>
        <v>5.1522030106016734</v>
      </c>
      <c r="EC110" s="173">
        <f ca="1">(VLOOKUP(EC$72,INDIRECT($C$5&amp;"生成成长"),2))/((VLOOKUP($B110,INDIRECT($B$5&amp;"生成成长"),4))/(VLOOKUP(EC$72,INDIRECT($C$5&amp;"生成成长"),5))*(VLOOKUP($B$5,标准坦克设计!$B$24:$U$30,MATCH("对"&amp;LEFT($C$5,2)&amp;"输出",标准坦克设计!$B$23:$U$23,0)))*(VLOOKUP($B110,INDIRECT($B$5&amp;"生成成长"),3))*(VLOOKUP($B$5,标准坦克设计!$B$14:$K$20,9)/30))</f>
        <v>5.6290146567170183</v>
      </c>
      <c r="ED110" s="173">
        <f ca="1">(VLOOKUP(ED$72,INDIRECT($C$5&amp;"生成成长"),2))/((VLOOKUP($B110,INDIRECT($B$5&amp;"生成成长"),4))/(VLOOKUP(ED$72,INDIRECT($C$5&amp;"生成成长"),5))*(VLOOKUP($B$5,标准坦克设计!$B$24:$U$30,MATCH("对"&amp;LEFT($C$5,2)&amp;"输出",标准坦克设计!$B$23:$U$23,0)))*(VLOOKUP($B110,INDIRECT($B$5&amp;"生成成长"),3))*(VLOOKUP($B$5,标准坦克设计!$B$14:$K$20,9)/30))</f>
        <v>6.126924163279944</v>
      </c>
      <c r="EE110" s="173">
        <f ca="1">(VLOOKUP(EE$72,INDIRECT($C$5&amp;"生成成长"),2))/((VLOOKUP($B110,INDIRECT($B$5&amp;"生成成长"),4))/(VLOOKUP(EE$72,INDIRECT($C$5&amp;"生成成长"),5))*(VLOOKUP($B$5,标准坦克设计!$B$24:$U$30,MATCH("对"&amp;LEFT($C$5,2)&amp;"输出",标准坦克设计!$B$23:$U$23,0)))*(VLOOKUP($B110,INDIRECT($B$5&amp;"生成成长"),3))*(VLOOKUP($B$5,标准坦克设计!$B$14:$K$20,9)/30))</f>
        <v>6.6459315302904525</v>
      </c>
      <c r="EF110" s="173">
        <f ca="1">(VLOOKUP(EF$72,INDIRECT($C$5&amp;"生成成长"),2))/((VLOOKUP($B110,INDIRECT($B$5&amp;"生成成长"),4))/(VLOOKUP(EF$72,INDIRECT($C$5&amp;"生成成长"),5))*(VLOOKUP($B$5,标准坦克设计!$B$24:$U$30,MATCH("对"&amp;LEFT($C$5,2)&amp;"输出",标准坦克设计!$B$23:$U$23,0)))*(VLOOKUP($B110,INDIRECT($B$5&amp;"生成成长"),3))*(VLOOKUP($B$5,标准坦克设计!$B$14:$K$20,9)/30))</f>
        <v>7.1860367577485427</v>
      </c>
      <c r="EG110" s="173">
        <f ca="1">(VLOOKUP(EG$72,INDIRECT($C$5&amp;"生成成长"),2))/((VLOOKUP($B110,INDIRECT($B$5&amp;"生成成长"),4))/(VLOOKUP(EG$72,INDIRECT($C$5&amp;"生成成长"),5))*(VLOOKUP($B$5,标准坦克设计!$B$24:$U$30,MATCH("对"&amp;LEFT($C$5,2)&amp;"输出",标准坦克设计!$B$23:$U$23,0)))*(VLOOKUP($B110,INDIRECT($B$5&amp;"生成成长"),3))*(VLOOKUP($B$5,标准坦克设计!$B$14:$K$20,9)/30))</f>
        <v>7.7472398456542138</v>
      </c>
      <c r="EH110" s="173">
        <f ca="1">(VLOOKUP(EH$72,INDIRECT($C$5&amp;"生成成长"),2))/((VLOOKUP($B110,INDIRECT($B$5&amp;"生成成长"),4))/(VLOOKUP(EH$72,INDIRECT($C$5&amp;"生成成长"),5))*(VLOOKUP($B$5,标准坦克设计!$B$24:$U$30,MATCH("对"&amp;LEFT($C$5,2)&amp;"输出",标准坦克设计!$B$23:$U$23,0)))*(VLOOKUP($B110,INDIRECT($B$5&amp;"生成成长"),3))*(VLOOKUP($B$5,标准坦克设计!$B$14:$K$20,9)/30))</f>
        <v>8.3295407940074657</v>
      </c>
      <c r="EI110" s="173">
        <f ca="1">(VLOOKUP(EI$72,INDIRECT($C$5&amp;"生成成长"),2))/((VLOOKUP($B110,INDIRECT($B$5&amp;"生成成长"),4))/(VLOOKUP(EI$72,INDIRECT($C$5&amp;"生成成长"),5))*(VLOOKUP($B$5,标准坦克设计!$B$24:$U$30,MATCH("对"&amp;LEFT($C$5,2)&amp;"输出",标准坦克设计!$B$23:$U$23,0)))*(VLOOKUP($B110,INDIRECT($B$5&amp;"生成成长"),3))*(VLOOKUP($B$5,标准坦克设计!$B$14:$K$20,9)/30))</f>
        <v>8.9329396028083039</v>
      </c>
      <c r="EJ110" s="173">
        <f ca="1">(VLOOKUP(EJ$72,INDIRECT($C$5&amp;"生成成长"),2))/((VLOOKUP($B110,INDIRECT($B$5&amp;"生成成长"),4))/(VLOOKUP(EJ$72,INDIRECT($C$5&amp;"生成成长"),5))*(VLOOKUP($B$5,标准坦克设计!$B$24:$U$30,MATCH("对"&amp;LEFT($C$5,2)&amp;"输出",标准坦克设计!$B$23:$U$23,0)))*(VLOOKUP($B110,INDIRECT($B$5&amp;"生成成长"),3))*(VLOOKUP($B$5,标准坦克设计!$B$14:$K$20,9)/30))</f>
        <v>9.5574362720567176</v>
      </c>
      <c r="EK110" s="173">
        <f ca="1">(VLOOKUP(EK$72,INDIRECT($C$5&amp;"生成成长"),2))/((VLOOKUP($B110,INDIRECT($B$5&amp;"生成成长"),4))/(VLOOKUP(EK$72,INDIRECT($C$5&amp;"生成成长"),5))*(VLOOKUP($B$5,标准坦克设计!$B$24:$U$30,MATCH("对"&amp;LEFT($C$5,2)&amp;"输出",标准坦克设计!$B$23:$U$23,0)))*(VLOOKUP($B110,INDIRECT($B$5&amp;"生成成长"),3))*(VLOOKUP($B$5,标准坦克设计!$B$14:$K$20,9)/30))</f>
        <v>10.334681450945627</v>
      </c>
      <c r="EL110" s="173">
        <f ca="1">(VLOOKUP(EL$72,INDIRECT($C$5&amp;"生成成长"),2))/((VLOOKUP($B110,INDIRECT($B$5&amp;"生成成长"),4))/(VLOOKUP(EL$72,INDIRECT($C$5&amp;"生成成长"),5))*(VLOOKUP($B$5,标准坦克设计!$B$24:$U$30,MATCH("对"&amp;LEFT($C$5,2)&amp;"输出",标准坦克设计!$B$23:$U$23,0)))*(VLOOKUP($B110,INDIRECT($B$5&amp;"生成成长"),3))*(VLOOKUP($B$5,标准坦克设计!$B$14:$K$20,9)/30))</f>
        <v>11.142307548879051</v>
      </c>
      <c r="EM110" s="173">
        <f ca="1">(VLOOKUP(EM$72,INDIRECT($C$5&amp;"生成成长"),2))/((VLOOKUP($B110,INDIRECT($B$5&amp;"生成成长"),4))/(VLOOKUP(EM$72,INDIRECT($C$5&amp;"生成成长"),5))*(VLOOKUP($B$5,标准坦克设计!$B$24:$U$30,MATCH("对"&amp;LEFT($C$5,2)&amp;"输出",标准坦克设计!$B$23:$U$23,0)))*(VLOOKUP($B110,INDIRECT($B$5&amp;"生成成长"),3))*(VLOOKUP($B$5,标准坦克设计!$B$14:$K$20,9)/30))</f>
        <v>11.980314565856991</v>
      </c>
      <c r="EN110" s="173">
        <f ca="1">(VLOOKUP(EN$72,INDIRECT($C$5&amp;"生成成长"),2))/((VLOOKUP($B110,INDIRECT($B$5&amp;"生成成长"),4))/(VLOOKUP(EN$72,INDIRECT($C$5&amp;"生成成长"),5))*(VLOOKUP($B$5,标准坦克设计!$B$24:$U$30,MATCH("对"&amp;LEFT($C$5,2)&amp;"输出",标准坦克设计!$B$23:$U$23,0)))*(VLOOKUP($B110,INDIRECT($B$5&amp;"生成成长"),3))*(VLOOKUP($B$5,标准坦克设计!$B$14:$K$20,9)/30))</f>
        <v>12.848702501879453</v>
      </c>
      <c r="EO110" s="173">
        <f ca="1">(VLOOKUP(EO$72,INDIRECT($C$5&amp;"生成成长"),2))/((VLOOKUP($B110,INDIRECT($B$5&amp;"生成成长"),4))/(VLOOKUP(EO$72,INDIRECT($C$5&amp;"生成成长"),5))*(VLOOKUP($B$5,标准坦克设计!$B$24:$U$30,MATCH("对"&amp;LEFT($C$5,2)&amp;"输出",标准坦克设计!$B$23:$U$23,0)))*(VLOOKUP($B110,INDIRECT($B$5&amp;"生成成长"),3))*(VLOOKUP($B$5,标准坦克设计!$B$14:$K$20,9)/30))</f>
        <v>13.747471356946431</v>
      </c>
      <c r="EP110" s="173">
        <f ca="1">(VLOOKUP(EP$72,INDIRECT($C$5&amp;"生成成长"),2))/((VLOOKUP($B110,INDIRECT($B$5&amp;"生成成长"),4))/(VLOOKUP(EP$72,INDIRECT($C$5&amp;"生成成长"),5))*(VLOOKUP($B$5,标准坦克设计!$B$24:$U$30,MATCH("对"&amp;LEFT($C$5,2)&amp;"输出",标准坦克设计!$B$23:$U$23,0)))*(VLOOKUP($B110,INDIRECT($B$5&amp;"生成成长"),3))*(VLOOKUP($B$5,标准坦克设计!$B$14:$K$20,9)/30))</f>
        <v>14.676621131057928</v>
      </c>
      <c r="EQ110" s="173">
        <f ca="1">(VLOOKUP(EQ$72,INDIRECT($C$5&amp;"生成成长"),2))/((VLOOKUP($B110,INDIRECT($B$5&amp;"生成成长"),4))/(VLOOKUP(EQ$72,INDIRECT($C$5&amp;"生成成长"),5))*(VLOOKUP($B$5,标准坦克设计!$B$24:$U$30,MATCH("对"&amp;LEFT($C$5,2)&amp;"输出",标准坦克设计!$B$23:$U$23,0)))*(VLOOKUP($B110,INDIRECT($B$5&amp;"生成成长"),3))*(VLOOKUP($B$5,标准坦克设计!$B$14:$K$20,9)/30))</f>
        <v>6.4880140448403045</v>
      </c>
      <c r="ER110" s="173">
        <f ca="1">(VLOOKUP(ER$72,INDIRECT($C$5&amp;"生成成长"),2))/((VLOOKUP($B110,INDIRECT($B$5&amp;"生成成长"),4))/(VLOOKUP(ER$72,INDIRECT($C$5&amp;"生成成长"),5))*(VLOOKUP($B$5,标准坦克设计!$B$24:$U$30,MATCH("对"&amp;LEFT($C$5,2)&amp;"输出",标准坦克设计!$B$23:$U$23,0)))*(VLOOKUP($B110,INDIRECT($B$5&amp;"生成成长"),3))*(VLOOKUP($B$5,标准坦克设计!$B$14:$K$20,9)/30))</f>
        <v>7.0763278834211185</v>
      </c>
      <c r="ES110" s="173">
        <f ca="1">(VLOOKUP(ES$72,INDIRECT($C$5&amp;"生成成长"),2))/((VLOOKUP($B110,INDIRECT($B$5&amp;"生成成长"),4))/(VLOOKUP(ES$72,INDIRECT($C$5&amp;"生成成长"),5))*(VLOOKUP($B$5,标准坦克设计!$B$24:$U$30,MATCH("对"&amp;LEFT($C$5,2)&amp;"输出",标准坦克设计!$B$23:$U$23,0)))*(VLOOKUP($B110,INDIRECT($B$5&amp;"生成成长"),3))*(VLOOKUP($B$5,标准坦克设计!$B$14:$K$20,9)/30))</f>
        <v>7.6901701331435044</v>
      </c>
      <c r="ET110" s="173">
        <f ca="1">(VLOOKUP(ET$72,INDIRECT($C$5&amp;"生成成长"),2))/((VLOOKUP($B110,INDIRECT($B$5&amp;"生成成长"),4))/(VLOOKUP(ET$72,INDIRECT($C$5&amp;"生成成长"),5))*(VLOOKUP($B$5,标准坦克设计!$B$24:$U$30,MATCH("对"&amp;LEFT($C$5,2)&amp;"输出",标准坦克设计!$B$23:$U$23,0)))*(VLOOKUP($B110,INDIRECT($B$5&amp;"生成成长"),3))*(VLOOKUP($B$5,标准坦克设计!$B$14:$K$20,9)/30))</f>
        <v>8.3295407940074657</v>
      </c>
      <c r="EU110" s="173">
        <f ca="1">(VLOOKUP(EU$72,INDIRECT($C$5&amp;"生成成长"),2))/((VLOOKUP($B110,INDIRECT($B$5&amp;"生成成长"),4))/(VLOOKUP(EU$72,INDIRECT($C$5&amp;"生成成长"),5))*(VLOOKUP($B$5,标准坦克设计!$B$24:$U$30,MATCH("对"&amp;LEFT($C$5,2)&amp;"输出",标准坦克设计!$B$23:$U$23,0)))*(VLOOKUP($B110,INDIRECT($B$5&amp;"生成成长"),3))*(VLOOKUP($B$5,标准坦克设计!$B$14:$K$20,9)/30))</f>
        <v>8.9944398660130034</v>
      </c>
      <c r="EV110" s="173">
        <f ca="1">(VLOOKUP(EV$72,INDIRECT($C$5&amp;"生成成长"),2))/((VLOOKUP($B110,INDIRECT($B$5&amp;"生成成长"),4))/(VLOOKUP(EV$72,INDIRECT($C$5&amp;"生成成长"),5))*(VLOOKUP($B$5,标准坦克设计!$B$24:$U$30,MATCH("对"&amp;LEFT($C$5,2)&amp;"输出",标准坦克设计!$B$23:$U$23,0)))*(VLOOKUP($B110,INDIRECT($B$5&amp;"生成成长"),3))*(VLOOKUP($B$5,标准坦克设计!$B$14:$K$20,9)/30))</f>
        <v>9.6848673491601094</v>
      </c>
      <c r="EW110" s="173">
        <f ca="1">(VLOOKUP(EW$72,INDIRECT($C$5&amp;"生成成长"),2))/((VLOOKUP($B110,INDIRECT($B$5&amp;"生成成长"),4))/(VLOOKUP(EW$72,INDIRECT($C$5&amp;"生成成长"),5))*(VLOOKUP($B$5,标准坦克设计!$B$24:$U$30,MATCH("对"&amp;LEFT($C$5,2)&amp;"输出",标准坦克设计!$B$23:$U$23,0)))*(VLOOKUP($B110,INDIRECT($B$5&amp;"生成成长"),3))*(VLOOKUP($B$5,标准坦克设计!$B$14:$K$20,9)/30))</f>
        <v>10.400823243448793</v>
      </c>
      <c r="EX110" s="173">
        <f ca="1">(VLOOKUP(EX$72,INDIRECT($C$5&amp;"生成成长"),2))/((VLOOKUP($B110,INDIRECT($B$5&amp;"生成成长"),4))/(VLOOKUP(EX$72,INDIRECT($C$5&amp;"生成成长"),5))*(VLOOKUP($B$5,标准坦克设计!$B$24:$U$30,MATCH("对"&amp;LEFT($C$5,2)&amp;"输出",标准坦克设计!$B$23:$U$23,0)))*(VLOOKUP($B110,INDIRECT($B$5&amp;"生成成长"),3))*(VLOOKUP($B$5,标准坦克设计!$B$14:$K$20,9)/30))</f>
        <v>11.142307548879051</v>
      </c>
      <c r="EY110" s="173">
        <f ca="1">(VLOOKUP(EY$72,INDIRECT($C$5&amp;"生成成长"),2))/((VLOOKUP($B110,INDIRECT($B$5&amp;"生成成长"),4))/(VLOOKUP(EY$72,INDIRECT($C$5&amp;"生成成长"),5))*(VLOOKUP($B$5,标准坦克设计!$B$24:$U$30,MATCH("对"&amp;LEFT($C$5,2)&amp;"输出",标准坦克设计!$B$23:$U$23,0)))*(VLOOKUP($B110,INDIRECT($B$5&amp;"生成成长"),3))*(VLOOKUP($B$5,标准坦克设计!$B$14:$K$20,9)/30))</f>
        <v>11.909320265450878</v>
      </c>
      <c r="EZ110" s="173">
        <f ca="1">(VLOOKUP(EZ$72,INDIRECT($C$5&amp;"生成成长"),2))/((VLOOKUP($B110,INDIRECT($B$5&amp;"生成成长"),4))/(VLOOKUP(EZ$72,INDIRECT($C$5&amp;"生成成长"),5))*(VLOOKUP($B$5,标准坦克设计!$B$24:$U$30,MATCH("对"&amp;LEFT($C$5,2)&amp;"输出",标准坦克设计!$B$23:$U$23,0)))*(VLOOKUP($B110,INDIRECT($B$5&amp;"生成成长"),3))*(VLOOKUP($B$5,标准坦克设计!$B$14:$K$20,9)/30))</f>
        <v>12.701861393164284</v>
      </c>
      <c r="FA110" s="173">
        <f ca="1">(VLOOKUP(FA$72,INDIRECT($C$5&amp;"生成成长"),2))/((VLOOKUP($B110,INDIRECT($B$5&amp;"生成成长"),4))/(VLOOKUP(FA$72,INDIRECT($C$5&amp;"生成成长"),5))*(VLOOKUP($B$5,标准坦克设计!$B$24:$U$30,MATCH("对"&amp;LEFT($C$5,2)&amp;"输出",标准坦克设计!$B$23:$U$23,0)))*(VLOOKUP($B110,INDIRECT($B$5&amp;"生成成长"),3))*(VLOOKUP($B$5,标准坦克设计!$B$14:$K$20,9)/30))</f>
        <v>13.519930932019262</v>
      </c>
      <c r="FB110" s="173">
        <f ca="1">(VLOOKUP(FB$72,INDIRECT($C$5&amp;"生成成长"),2))/((VLOOKUP($B110,INDIRECT($B$5&amp;"生成成长"),4))/(VLOOKUP(FB$72,INDIRECT($C$5&amp;"生成成长"),5))*(VLOOKUP($B$5,标准坦克设计!$B$24:$U$30,MATCH("对"&amp;LEFT($C$5,2)&amp;"输出",标准坦克设计!$B$23:$U$23,0)))*(VLOOKUP($B110,INDIRECT($B$5&amp;"生成成长"),3))*(VLOOKUP($B$5,标准坦克设计!$B$14:$K$20,9)/30))</f>
        <v>14.363528882015814</v>
      </c>
      <c r="FC110" s="173">
        <f ca="1">(VLOOKUP(FC$72,INDIRECT($C$5&amp;"生成成长"),2))/((VLOOKUP($B110,INDIRECT($B$5&amp;"生成成长"),4))/(VLOOKUP(FC$72,INDIRECT($C$5&amp;"生成成长"),5))*(VLOOKUP($B$5,标准坦克设计!$B$24:$U$30,MATCH("对"&amp;LEFT($C$5,2)&amp;"输出",标准坦克设计!$B$23:$U$23,0)))*(VLOOKUP($B110,INDIRECT($B$5&amp;"生成成长"),3))*(VLOOKUP($B$5,标准坦克设计!$B$14:$K$20,9)/30))</f>
        <v>15.232655243153943</v>
      </c>
      <c r="FD110" s="173">
        <f ca="1">(VLOOKUP(FD$72,INDIRECT($C$5&amp;"生成成长"),2))/((VLOOKUP($B110,INDIRECT($B$5&amp;"生成成长"),4))/(VLOOKUP(FD$72,INDIRECT($C$5&amp;"生成成长"),5))*(VLOOKUP($B$5,标准坦克设计!$B$24:$U$30,MATCH("对"&amp;LEFT($C$5,2)&amp;"输出",标准坦克设计!$B$23:$U$23,0)))*(VLOOKUP($B110,INDIRECT($B$5&amp;"生成成长"),3))*(VLOOKUP($B$5,标准坦克设计!$B$14:$K$20,9)/30))</f>
        <v>16.12731001543364</v>
      </c>
      <c r="FE110" s="173">
        <f ca="1">(VLOOKUP(FE$72,INDIRECT($C$5&amp;"生成成长"),2))/((VLOOKUP($B110,INDIRECT($B$5&amp;"生成成长"),4))/(VLOOKUP(FE$72,INDIRECT($C$5&amp;"生成成长"),5))*(VLOOKUP($B$5,标准坦克设计!$B$24:$U$30,MATCH("对"&amp;LEFT($C$5,2)&amp;"输出",标准坦克设计!$B$23:$U$23,0)))*(VLOOKUP($B110,INDIRECT($B$5&amp;"生成成长"),3))*(VLOOKUP($B$5,标准坦克设计!$B$14:$K$20,9)/30))</f>
        <v>17.217541954062423</v>
      </c>
      <c r="FF110" s="173">
        <f ca="1">(VLOOKUP(FF$72,INDIRECT($C$5&amp;"生成成长"),2))/((VLOOKUP($B110,INDIRECT($B$5&amp;"生成成长"),4))/(VLOOKUP(FF$72,INDIRECT($C$5&amp;"生成成长"),5))*(VLOOKUP($B$5,标准坦克设计!$B$24:$U$30,MATCH("对"&amp;LEFT($C$5,2)&amp;"输出",标准坦克设计!$B$23:$U$23,0)))*(VLOOKUP($B110,INDIRECT($B$5&amp;"生成成长"),3))*(VLOOKUP($B$5,标准坦克设计!$B$14:$K$20,9)/30))</f>
        <v>18.343429276847615</v>
      </c>
      <c r="FG110" s="173">
        <f ca="1">(VLOOKUP(FG$72,INDIRECT($C$5&amp;"生成成长"),2))/((VLOOKUP($B110,INDIRECT($B$5&amp;"生成成长"),4))/(VLOOKUP(FG$72,INDIRECT($C$5&amp;"生成成长"),5))*(VLOOKUP($B$5,标准坦克设计!$B$24:$U$30,MATCH("对"&amp;LEFT($C$5,2)&amp;"输出",标准坦克设计!$B$23:$U$23,0)))*(VLOOKUP($B110,INDIRECT($B$5&amp;"生成成长"),3))*(VLOOKUP($B$5,标准坦克设计!$B$14:$K$20,9)/30))</f>
        <v>19.504971983789218</v>
      </c>
      <c r="FH110" s="173">
        <f ca="1">(VLOOKUP(FH$72,INDIRECT($C$5&amp;"生成成长"),2))/((VLOOKUP($B110,INDIRECT($B$5&amp;"生成成长"),4))/(VLOOKUP(FH$72,INDIRECT($C$5&amp;"生成成长"),5))*(VLOOKUP($B$5,标准坦克设计!$B$24:$U$30,MATCH("对"&amp;LEFT($C$5,2)&amp;"输出",标准坦克设计!$B$23:$U$23,0)))*(VLOOKUP($B110,INDIRECT($B$5&amp;"生成成长"),3))*(VLOOKUP($B$5,标准坦克设计!$B$14:$K$20,9)/30))</f>
        <v>20.702170074887238</v>
      </c>
      <c r="FI110" s="173">
        <f ca="1">(VLOOKUP(FI$72,INDIRECT($C$5&amp;"生成成长"),2))/((VLOOKUP($B110,INDIRECT($B$5&amp;"生成成长"),4))/(VLOOKUP(FI$72,INDIRECT($C$5&amp;"生成成长"),5))*(VLOOKUP($B$5,标准坦克设计!$B$24:$U$30,MATCH("对"&amp;LEFT($C$5,2)&amp;"输出",标准坦克设计!$B$23:$U$23,0)))*(VLOOKUP($B110,INDIRECT($B$5&amp;"生成成长"),3))*(VLOOKUP($B$5,标准坦克设计!$B$14:$K$20,9)/30))</f>
        <v>21.935023550141672</v>
      </c>
      <c r="FJ110" s="173">
        <f ca="1">(VLOOKUP(FJ$72,INDIRECT($C$5&amp;"生成成长"),2))/((VLOOKUP($B110,INDIRECT($B$5&amp;"生成成长"),4))/(VLOOKUP(FJ$72,INDIRECT($C$5&amp;"生成成长"),5))*(VLOOKUP($B$5,标准坦克设计!$B$24:$U$30,MATCH("对"&amp;LEFT($C$5,2)&amp;"输出",标准坦克设计!$B$23:$U$23,0)))*(VLOOKUP($B110,INDIRECT($B$5&amp;"生成成长"),3))*(VLOOKUP($B$5,标准坦克设计!$B$14:$K$20,9)/30))</f>
        <v>23.203532409552523</v>
      </c>
      <c r="FK110" s="173">
        <f ca="1">(VLOOKUP(FK$72,INDIRECT($C$5&amp;"生成成长"),2))/((VLOOKUP($B110,INDIRECT($B$5&amp;"生成成长"),4))/(VLOOKUP(FK$72,INDIRECT($C$5&amp;"生成成长"),5))*(VLOOKUP($B$5,标准坦克设计!$B$24:$U$30,MATCH("对"&amp;LEFT($C$5,2)&amp;"输出",标准坦克设计!$B$23:$U$23,0)))*(VLOOKUP($B110,INDIRECT($B$5&amp;"生成成长"),3))*(VLOOKUP($B$5,标准坦克设计!$B$14:$K$20,9)/30))</f>
        <v>24.507696653119776</v>
      </c>
    </row>
    <row r="111" spans="1:167" x14ac:dyDescent="0.15">
      <c r="A111" s="171" t="str">
        <f t="shared" si="11"/>
        <v>T5低品质7级</v>
      </c>
      <c r="B111" s="172">
        <v>10507</v>
      </c>
      <c r="C111" s="173">
        <f ca="1">(VLOOKUP(C$72,INDIRECT($C$5&amp;"生成成长"),2))/((VLOOKUP($B111,INDIRECT($B$5&amp;"生成成长"),4))/(VLOOKUP(C$72,INDIRECT($C$5&amp;"生成成长"),5))*(VLOOKUP($B$5,标准坦克设计!$B$24:$U$30,MATCH("对"&amp;LEFT($C$5,2)&amp;"输出",标准坦克设计!$B$23:$U$23,0)))*(VLOOKUP($B111,INDIRECT($B$5&amp;"生成成长"),3))*(VLOOKUP($B$5,标准坦克设计!$B$14:$K$20,9)/30))</f>
        <v>0.98311188832582908</v>
      </c>
      <c r="D111" s="173">
        <f ca="1">(VLOOKUP(D$72,INDIRECT($C$5&amp;"生成成长"),2))/((VLOOKUP($B111,INDIRECT($B$5&amp;"生成成长"),4))/(VLOOKUP(D$72,INDIRECT($C$5&amp;"生成成长"),5))*(VLOOKUP($B$5,标准坦克设计!$B$24:$U$30,MATCH("对"&amp;LEFT($C$5,2)&amp;"输出",标准坦克设计!$B$23:$U$23,0)))*(VLOOKUP($B111,INDIRECT($B$5&amp;"生成成长"),3))*(VLOOKUP($B$5,标准坦克设计!$B$14:$K$20,9)/30))</f>
        <v>1.1046245177229017</v>
      </c>
      <c r="E111" s="173">
        <f ca="1">(VLOOKUP(E$72,INDIRECT($C$5&amp;"生成成长"),2))/((VLOOKUP($B111,INDIRECT($B$5&amp;"生成成长"),4))/(VLOOKUP(E$72,INDIRECT($C$5&amp;"生成成长"),5))*(VLOOKUP($B$5,标准坦克设计!$B$24:$U$30,MATCH("对"&amp;LEFT($C$5,2)&amp;"输出",标准坦克设计!$B$23:$U$23,0)))*(VLOOKUP($B111,INDIRECT($B$5&amp;"生成成长"),3))*(VLOOKUP($B$5,标准坦克设计!$B$14:$K$20,9)/30))</f>
        <v>1.2332155527159201</v>
      </c>
      <c r="F111" s="173">
        <f ca="1">(VLOOKUP(F$72,INDIRECT($C$5&amp;"生成成长"),2))/((VLOOKUP($B111,INDIRECT($B$5&amp;"生成成长"),4))/(VLOOKUP(F$72,INDIRECT($C$5&amp;"生成成长"),5))*(VLOOKUP($B$5,标准坦克设计!$B$24:$U$30,MATCH("对"&amp;LEFT($C$5,2)&amp;"输出",标准坦克设计!$B$23:$U$23,0)))*(VLOOKUP($B111,INDIRECT($B$5&amp;"生成成长"),3))*(VLOOKUP($B$5,标准坦克设计!$B$14:$K$20,9)/30))</f>
        <v>1.3688849933048848</v>
      </c>
      <c r="G111" s="173">
        <f ca="1">(VLOOKUP(G$72,INDIRECT($C$5&amp;"生成成长"),2))/((VLOOKUP($B111,INDIRECT($B$5&amp;"生成成长"),4))/(VLOOKUP(G$72,INDIRECT($C$5&amp;"生成成长"),5))*(VLOOKUP($B$5,标准坦克设计!$B$24:$U$30,MATCH("对"&amp;LEFT($C$5,2)&amp;"输出",标准坦克设计!$B$23:$U$23,0)))*(VLOOKUP($B111,INDIRECT($B$5&amp;"生成成长"),3))*(VLOOKUP($B$5,标准坦克设计!$B$14:$K$20,9)/30))</f>
        <v>1.5116328394897951</v>
      </c>
      <c r="H111" s="173">
        <f ca="1">(VLOOKUP(H$72,INDIRECT($C$5&amp;"生成成长"),2))/((VLOOKUP($B111,INDIRECT($B$5&amp;"生成成长"),4))/(VLOOKUP(H$72,INDIRECT($C$5&amp;"生成成长"),5))*(VLOOKUP($B$5,标准坦克设计!$B$24:$U$30,MATCH("对"&amp;LEFT($C$5,2)&amp;"输出",标准坦克设计!$B$23:$U$23,0)))*(VLOOKUP($B111,INDIRECT($B$5&amp;"生成成长"),3))*(VLOOKUP($B$5,标准坦克设计!$B$14:$K$20,9)/30))</f>
        <v>1.3228753569312357</v>
      </c>
      <c r="I111" s="173">
        <f ca="1">(VLOOKUP(I$72,INDIRECT($C$5&amp;"生成成长"),2))/((VLOOKUP($B111,INDIRECT($B$5&amp;"生成成长"),4))/(VLOOKUP(I$72,INDIRECT($C$5&amp;"生成成长"),5))*(VLOOKUP($B$5,标准坦克设计!$B$24:$U$30,MATCH("对"&amp;LEFT($C$5,2)&amp;"输出",标准坦克设计!$B$23:$U$23,0)))*(VLOOKUP($B111,INDIRECT($B$5&amp;"生成成长"),3))*(VLOOKUP($B$5,标准坦克设计!$B$14:$K$20,9)/30))</f>
        <v>1.5116328394897951</v>
      </c>
      <c r="J111" s="173">
        <f ca="1">(VLOOKUP(J$72,INDIRECT($C$5&amp;"生成成长"),2))/((VLOOKUP($B111,INDIRECT($B$5&amp;"生成成长"),4))/(VLOOKUP(J$72,INDIRECT($C$5&amp;"生成成长"),5))*(VLOOKUP($B$5,标准坦克设计!$B$24:$U$30,MATCH("对"&amp;LEFT($C$5,2)&amp;"输出",标准坦克设计!$B$23:$U$23,0)))*(VLOOKUP($B111,INDIRECT($B$5&amp;"生成成长"),3))*(VLOOKUP($B$5,标准坦克设计!$B$14:$K$20,9)/30))</f>
        <v>1.7129741542189247</v>
      </c>
      <c r="K111" s="173">
        <f ca="1">(VLOOKUP(K$72,INDIRECT($C$5&amp;"生成成长"),2))/((VLOOKUP($B111,INDIRECT($B$5&amp;"生成成长"),4))/(VLOOKUP(K$72,INDIRECT($C$5&amp;"生成成长"),5))*(VLOOKUP($B$5,标准坦克设计!$B$24:$U$30,MATCH("对"&amp;LEFT($C$5,2)&amp;"输出",标准坦克设计!$B$23:$U$23,0)))*(VLOOKUP($B111,INDIRECT($B$5&amp;"生成成长"),3))*(VLOOKUP($B$5,标准坦克设计!$B$14:$K$20,9)/30))</f>
        <v>1.9268993011186255</v>
      </c>
      <c r="L111" s="173">
        <f ca="1">(VLOOKUP(L$72,INDIRECT($C$5&amp;"生成成长"),2))/((VLOOKUP($B111,INDIRECT($B$5&amp;"生成成长"),4))/(VLOOKUP(L$72,INDIRECT($C$5&amp;"生成成长"),5))*(VLOOKUP($B$5,标准坦克设计!$B$24:$U$30,MATCH("对"&amp;LEFT($C$5,2)&amp;"输出",标准坦克设计!$B$23:$U$23,0)))*(VLOOKUP($B111,INDIRECT($B$5&amp;"生成成长"),3))*(VLOOKUP($B$5,标准坦克设计!$B$14:$K$20,9)/30))</f>
        <v>2.1534082801888963</v>
      </c>
      <c r="M111" s="173">
        <f ca="1">(VLOOKUP(M$72,INDIRECT($C$5&amp;"生成成长"),2))/((VLOOKUP($B111,INDIRECT($B$5&amp;"生成成长"),4))/(VLOOKUP(M$72,INDIRECT($C$5&amp;"生成成长"),5))*(VLOOKUP($B$5,标准坦克设计!$B$24:$U$30,MATCH("对"&amp;LEFT($C$5,2)&amp;"输出",标准坦克设计!$B$23:$U$23,0)))*(VLOOKUP($B111,INDIRECT($B$5&amp;"生成成长"),3))*(VLOOKUP($B$5,标准坦克设计!$B$14:$K$20,9)/30))</f>
        <v>2.3925010914297378</v>
      </c>
      <c r="N111" s="173">
        <f ca="1">(VLOOKUP(N$72,INDIRECT($C$5&amp;"生成成长"),2))/((VLOOKUP($B111,INDIRECT($B$5&amp;"生成成长"),4))/(VLOOKUP(N$72,INDIRECT($C$5&amp;"生成成长"),5))*(VLOOKUP($B$5,标准坦克设计!$B$24:$U$30,MATCH("对"&amp;LEFT($C$5,2)&amp;"输出",标准坦克设计!$B$23:$U$23,0)))*(VLOOKUP($B111,INDIRECT($B$5&amp;"生成成长"),3))*(VLOOKUP($B$5,标准坦克设计!$B$14:$K$20,9)/30))</f>
        <v>2.6441777348411502</v>
      </c>
      <c r="O111" s="173">
        <f ca="1">(VLOOKUP(O$72,INDIRECT($C$5&amp;"生成成长"),2))/((VLOOKUP($B111,INDIRECT($B$5&amp;"生成成长"),4))/(VLOOKUP(O$72,INDIRECT($C$5&amp;"生成成长"),5))*(VLOOKUP($B$5,标准坦克设计!$B$24:$U$30,MATCH("对"&amp;LEFT($C$5,2)&amp;"输出",标准坦克设计!$B$23:$U$23,0)))*(VLOOKUP($B111,INDIRECT($B$5&amp;"生成成长"),3))*(VLOOKUP($B$5,标准坦克设计!$B$14:$K$20,9)/30))</f>
        <v>2.0103655004374881</v>
      </c>
      <c r="P111" s="173">
        <f ca="1">(VLOOKUP(P$72,INDIRECT($C$5&amp;"生成成长"),2))/((VLOOKUP($B111,INDIRECT($B$5&amp;"生成成长"),4))/(VLOOKUP(P$72,INDIRECT($C$5&amp;"生成成长"),5))*(VLOOKUP($B$5,标准坦克设计!$B$24:$U$30,MATCH("对"&amp;LEFT($C$5,2)&amp;"输出",标准坦克设计!$B$23:$U$23,0)))*(VLOOKUP($B111,INDIRECT($B$5&amp;"生成成长"),3))*(VLOOKUP($B$5,标准坦克设计!$B$14:$K$20,9)/30))</f>
        <v>2.2713817067879956</v>
      </c>
      <c r="Q111" s="173">
        <f ca="1">(VLOOKUP(Q$72,INDIRECT($C$5&amp;"生成成长"),2))/((VLOOKUP($B111,INDIRECT($B$5&amp;"生成成长"),4))/(VLOOKUP(Q$72,INDIRECT($C$5&amp;"生成成长"),5))*(VLOOKUP($B$5,标准坦克设计!$B$24:$U$30,MATCH("对"&amp;LEFT($C$5,2)&amp;"输出",标准坦克设计!$B$23:$U$23,0)))*(VLOOKUP($B111,INDIRECT($B$5&amp;"生成成长"),3))*(VLOOKUP($B$5,标准坦克设计!$B$14:$K$20,9)/30))</f>
        <v>2.5483243257293817</v>
      </c>
      <c r="R111" s="173">
        <f ca="1">(VLOOKUP(R$72,INDIRECT($C$5&amp;"生成成长"),2))/((VLOOKUP($B111,INDIRECT($B$5&amp;"生成成长"),4))/(VLOOKUP(R$72,INDIRECT($C$5&amp;"生成成长"),5))*(VLOOKUP($B$5,标准坦克设计!$B$24:$U$30,MATCH("对"&amp;LEFT($C$5,2)&amp;"输出",标准坦克设计!$B$23:$U$23,0)))*(VLOOKUP($B111,INDIRECT($B$5&amp;"生成成长"),3))*(VLOOKUP($B$5,标准坦克设计!$B$14:$K$20,9)/30))</f>
        <v>2.8411933572616466</v>
      </c>
      <c r="S111" s="173">
        <f ca="1">(VLOOKUP(S$72,INDIRECT($C$5&amp;"生成成长"),2))/((VLOOKUP($B111,INDIRECT($B$5&amp;"生成成长"),4))/(VLOOKUP(S$72,INDIRECT($C$5&amp;"生成成长"),5))*(VLOOKUP($B$5,标准坦克设计!$B$24:$U$30,MATCH("对"&amp;LEFT($C$5,2)&amp;"输出",标准坦克设计!$B$23:$U$23,0)))*(VLOOKUP($B111,INDIRECT($B$5&amp;"生成成长"),3))*(VLOOKUP($B$5,标准坦克设计!$B$14:$K$20,9)/30))</f>
        <v>3.1499888013847896</v>
      </c>
      <c r="T111" s="173">
        <f ca="1">(VLOOKUP(T$72,INDIRECT($C$5&amp;"生成成长"),2))/((VLOOKUP($B111,INDIRECT($B$5&amp;"生成成长"),4))/(VLOOKUP(T$72,INDIRECT($C$5&amp;"生成成长"),5))*(VLOOKUP($B$5,标准坦克设计!$B$24:$U$30,MATCH("对"&amp;LEFT($C$5,2)&amp;"输出",标准坦克设计!$B$23:$U$23,0)))*(VLOOKUP($B111,INDIRECT($B$5&amp;"生成成长"),3))*(VLOOKUP($B$5,标准坦克设计!$B$14:$K$20,9)/30))</f>
        <v>3.4747106580988114</v>
      </c>
      <c r="U111" s="173">
        <f ca="1">(VLOOKUP(U$72,INDIRECT($C$5&amp;"生成成长"),2))/((VLOOKUP($B111,INDIRECT($B$5&amp;"生成成长"),4))/(VLOOKUP(U$72,INDIRECT($C$5&amp;"生成成长"),5))*(VLOOKUP($B$5,标准坦克设计!$B$24:$U$30,MATCH("对"&amp;LEFT($C$5,2)&amp;"输出",标准坦克设计!$B$23:$U$23,0)))*(VLOOKUP($B111,INDIRECT($B$5&amp;"生成成长"),3))*(VLOOKUP($B$5,标准坦克设计!$B$14:$K$20,9)/30))</f>
        <v>3.8153589274037101</v>
      </c>
      <c r="V111" s="173">
        <f ca="1">(VLOOKUP(V$72,INDIRECT($C$5&amp;"生成成长"),2))/((VLOOKUP($B111,INDIRECT($B$5&amp;"生成成长"),4))/(VLOOKUP(V$72,INDIRECT($C$5&amp;"生成成长"),5))*(VLOOKUP($B$5,标准坦克设计!$B$24:$U$30,MATCH("对"&amp;LEFT($C$5,2)&amp;"输出",标准坦克设计!$B$23:$U$23,0)))*(VLOOKUP($B111,INDIRECT($B$5&amp;"生成成长"),3))*(VLOOKUP($B$5,标准坦克设计!$B$14:$K$20,9)/30))</f>
        <v>4.1719336092994883</v>
      </c>
      <c r="W111" s="173">
        <f ca="1">(VLOOKUP(W$72,INDIRECT($C$5&amp;"生成成长"),2))/((VLOOKUP($B111,INDIRECT($B$5&amp;"生成成长"),4))/(VLOOKUP(W$72,INDIRECT($C$5&amp;"生成成长"),5))*(VLOOKUP($B$5,标准坦克设计!$B$24:$U$30,MATCH("对"&amp;LEFT($C$5,2)&amp;"输出",标准坦克设计!$B$23:$U$23,0)))*(VLOOKUP($B111,INDIRECT($B$5&amp;"生成成长"),3))*(VLOOKUP($B$5,标准坦克设计!$B$14:$K$20,9)/30))</f>
        <v>4.5444347037861457</v>
      </c>
      <c r="X111" s="173">
        <f ca="1">(VLOOKUP(X$72,INDIRECT($C$5&amp;"生成成长"),2))/((VLOOKUP($B111,INDIRECT($B$5&amp;"生成成长"),4))/(VLOOKUP(X$72,INDIRECT($C$5&amp;"生成成长"),5))*(VLOOKUP($B$5,标准坦克设计!$B$24:$U$30,MATCH("对"&amp;LEFT($C$5,2)&amp;"输出",标准坦克设计!$B$23:$U$23,0)))*(VLOOKUP($B111,INDIRECT($B$5&amp;"生成成长"),3))*(VLOOKUP($B$5,标准坦克设计!$B$14:$K$20,9)/30))</f>
        <v>3.2923434028143697</v>
      </c>
      <c r="Y111" s="173">
        <f ca="1">(VLOOKUP(Y$72,INDIRECT($C$5&amp;"生成成长"),2))/((VLOOKUP($B111,INDIRECT($B$5&amp;"生成成长"),4))/(VLOOKUP(Y$72,INDIRECT($C$5&amp;"生成成长"),5))*(VLOOKUP($B$5,标准坦克设计!$B$24:$U$30,MATCH("对"&amp;LEFT($C$5,2)&amp;"输出",标准坦克设计!$B$23:$U$23,0)))*(VLOOKUP($B111,INDIRECT($B$5&amp;"生成成长"),3))*(VLOOKUP($B$5,标准坦克设计!$B$14:$K$20,9)/30))</f>
        <v>3.6619934728248809</v>
      </c>
      <c r="Z111" s="173">
        <f ca="1">(VLOOKUP(Z$72,INDIRECT($C$5&amp;"生成成长"),2))/((VLOOKUP($B111,INDIRECT($B$5&amp;"生成成长"),4))/(VLOOKUP(Z$72,INDIRECT($C$5&amp;"生成成长"),5))*(VLOOKUP($B$5,标准坦克设计!$B$24:$U$30,MATCH("对"&amp;LEFT($C$5,2)&amp;"输出",标准坦克设计!$B$23:$U$23,0)))*(VLOOKUP($B111,INDIRECT($B$5&amp;"生成成长"),3))*(VLOOKUP($B$5,标准坦克设计!$B$14:$K$20,9)/30))</f>
        <v>4.0513057806019095</v>
      </c>
      <c r="AA111" s="173">
        <f ca="1">(VLOOKUP(AA$72,INDIRECT($C$5&amp;"生成成长"),2))/((VLOOKUP($B111,INDIRECT($B$5&amp;"生成成长"),4))/(VLOOKUP(AA$72,INDIRECT($C$5&amp;"生成成长"),5))*(VLOOKUP($B$5,标准坦克设计!$B$24:$U$30,MATCH("对"&amp;LEFT($C$5,2)&amp;"输出",标准坦克设计!$B$23:$U$23,0)))*(VLOOKUP($B111,INDIRECT($B$5&amp;"生成成长"),3))*(VLOOKUP($B$5,标准坦克设计!$B$14:$K$20,9)/30))</f>
        <v>4.4602803261454547</v>
      </c>
      <c r="AB111" s="173">
        <f ca="1">(VLOOKUP(AB$72,INDIRECT($C$5&amp;"生成成长"),2))/((VLOOKUP($B111,INDIRECT($B$5&amp;"生成成长"),4))/(VLOOKUP(AB$72,INDIRECT($C$5&amp;"生成成长"),5))*(VLOOKUP($B$5,标准坦克设计!$B$24:$U$30,MATCH("对"&amp;LEFT($C$5,2)&amp;"输出",标准坦克设计!$B$23:$U$23,0)))*(VLOOKUP($B111,INDIRECT($B$5&amp;"生成成长"),3))*(VLOOKUP($B$5,标准坦克设计!$B$14:$K$20,9)/30))</f>
        <v>4.8889171094555168</v>
      </c>
      <c r="AC111" s="173">
        <f ca="1">(VLOOKUP(AC$72,INDIRECT($C$5&amp;"生成成长"),2))/((VLOOKUP($B111,INDIRECT($B$5&amp;"生成成长"),4))/(VLOOKUP(AC$72,INDIRECT($C$5&amp;"生成成长"),5))*(VLOOKUP($B$5,标准坦克设计!$B$24:$U$30,MATCH("对"&amp;LEFT($C$5,2)&amp;"输出",标准坦克设计!$B$23:$U$23,0)))*(VLOOKUP($B111,INDIRECT($B$5&amp;"生成成长"),3))*(VLOOKUP($B$5,标准坦克设计!$B$14:$K$20,9)/30))</f>
        <v>5.3372161305320951</v>
      </c>
      <c r="AD111" s="173">
        <f ca="1">(VLOOKUP(AD$72,INDIRECT($C$5&amp;"生成成长"),2))/((VLOOKUP($B111,INDIRECT($B$5&amp;"生成成长"),4))/(VLOOKUP(AD$72,INDIRECT($C$5&amp;"生成成长"),5))*(VLOOKUP($B$5,标准坦克设计!$B$24:$U$30,MATCH("对"&amp;LEFT($C$5,2)&amp;"输出",标准坦克设计!$B$23:$U$23,0)))*(VLOOKUP($B111,INDIRECT($B$5&amp;"生成成长"),3))*(VLOOKUP($B$5,标准坦克设计!$B$14:$K$20,9)/30))</f>
        <v>5.8051773893751886</v>
      </c>
      <c r="AE111" s="173">
        <f ca="1">(VLOOKUP(AE$72,INDIRECT($C$5&amp;"生成成长"),2))/((VLOOKUP($B111,INDIRECT($B$5&amp;"生成成长"),4))/(VLOOKUP(AE$72,INDIRECT($C$5&amp;"生成成长"),5))*(VLOOKUP($B$5,标准坦克设计!$B$24:$U$30,MATCH("对"&amp;LEFT($C$5,2)&amp;"输出",标准坦克设计!$B$23:$U$23,0)))*(VLOOKUP($B111,INDIRECT($B$5&amp;"生成成长"),3))*(VLOOKUP($B$5,标准坦克设计!$B$14:$K$20,9)/30))</f>
        <v>6.2928008859847999</v>
      </c>
      <c r="AF111" s="173">
        <f ca="1">(VLOOKUP(AF$72,INDIRECT($C$5&amp;"生成成长"),2))/((VLOOKUP($B111,INDIRECT($B$5&amp;"生成成长"),4))/(VLOOKUP(AF$72,INDIRECT($C$5&amp;"生成成长"),5))*(VLOOKUP($B$5,标准坦克设计!$B$24:$U$30,MATCH("对"&amp;LEFT($C$5,2)&amp;"输出",标准坦克设计!$B$23:$U$23,0)))*(VLOOKUP($B111,INDIRECT($B$5&amp;"生成成长"),3))*(VLOOKUP($B$5,标准坦克设计!$B$14:$K$20,9)/30))</f>
        <v>6.8000866203609274</v>
      </c>
      <c r="AG111" s="173">
        <f ca="1">(VLOOKUP(AG$72,INDIRECT($C$5&amp;"生成成长"),2))/((VLOOKUP($B111,INDIRECT($B$5&amp;"生成成长"),4))/(VLOOKUP(AG$72,INDIRECT($C$5&amp;"生成成长"),5))*(VLOOKUP($B$5,标准坦克设计!$B$24:$U$30,MATCH("对"&amp;LEFT($C$5,2)&amp;"输出",标准坦克设计!$B$23:$U$23,0)))*(VLOOKUP($B111,INDIRECT($B$5&amp;"生成成长"),3))*(VLOOKUP($B$5,标准坦克设计!$B$14:$K$20,9)/30))</f>
        <v>7.3270345925035718</v>
      </c>
      <c r="AH111" s="173">
        <f ca="1">(VLOOKUP(AH$72,INDIRECT($C$5&amp;"生成成长"),2))/((VLOOKUP($B111,INDIRECT($B$5&amp;"生成成长"),4))/(VLOOKUP(AH$72,INDIRECT($C$5&amp;"生成成长"),5))*(VLOOKUP($B$5,标准坦克设计!$B$24:$U$30,MATCH("对"&amp;LEFT($C$5,2)&amp;"输出",标准坦克设计!$B$23:$U$23,0)))*(VLOOKUP($B111,INDIRECT($B$5&amp;"生成成长"),3))*(VLOOKUP($B$5,标准坦克设计!$B$14:$K$20,9)/30))</f>
        <v>7.8736448024127332</v>
      </c>
      <c r="AI111" s="173">
        <f ca="1">(VLOOKUP(AI$72,INDIRECT($C$5&amp;"生成成长"),2))/((VLOOKUP($B111,INDIRECT($B$5&amp;"生成成长"),4))/(VLOOKUP(AI$72,INDIRECT($C$5&amp;"生成成长"),5))*(VLOOKUP($B$5,标准坦克设计!$B$24:$U$30,MATCH("对"&amp;LEFT($C$5,2)&amp;"输出",标准坦克设计!$B$23:$U$23,0)))*(VLOOKUP($B111,INDIRECT($B$5&amp;"生成成长"),3))*(VLOOKUP($B$5,标准坦克设计!$B$14:$K$20,9)/30))</f>
        <v>5.5687389802328262</v>
      </c>
      <c r="AJ111" s="173">
        <f ca="1">(VLOOKUP(AJ$72,INDIRECT($C$5&amp;"生成成长"),2))/((VLOOKUP($B111,INDIRECT($B$5&amp;"生成成长"),4))/(VLOOKUP(AJ$72,INDIRECT($C$5&amp;"生成成长"),5))*(VLOOKUP($B$5,标准坦克设计!$B$24:$U$30,MATCH("对"&amp;LEFT($C$5,2)&amp;"输出",标准坦克设计!$B$23:$U$23,0)))*(VLOOKUP($B111,INDIRECT($B$5&amp;"生成成长"),3))*(VLOOKUP($B$5,标准坦克设计!$B$14:$K$20,9)/30))</f>
        <v>6.0953920188089725</v>
      </c>
      <c r="AK111" s="173">
        <f ca="1">(VLOOKUP(AK$72,INDIRECT($C$5&amp;"生成成长"),2))/((VLOOKUP($B111,INDIRECT($B$5&amp;"生成成长"),4))/(VLOOKUP(AK$72,INDIRECT($C$5&amp;"生成成长"),5))*(VLOOKUP($B$5,标准坦克设计!$B$24:$U$30,MATCH("对"&amp;LEFT($C$5,2)&amp;"输出",标准坦克设计!$B$23:$U$23,0)))*(VLOOKUP($B111,INDIRECT($B$5&amp;"生成成长"),3))*(VLOOKUP($B$5,标准坦克设计!$B$14:$K$20,9)/30))</f>
        <v>6.6458363650826042</v>
      </c>
      <c r="AL111" s="173">
        <f ca="1">(VLOOKUP(AL$72,INDIRECT($C$5&amp;"生成成长"),2))/((VLOOKUP($B111,INDIRECT($B$5&amp;"生成成长"),4))/(VLOOKUP(AL$72,INDIRECT($C$5&amp;"生成成长"),5))*(VLOOKUP($B$5,标准坦克设计!$B$24:$U$30,MATCH("对"&amp;LEFT($C$5,2)&amp;"输出",标准坦克设计!$B$23:$U$23,0)))*(VLOOKUP($B111,INDIRECT($B$5&amp;"生成成长"),3))*(VLOOKUP($B$5,标准坦克设计!$B$14:$K$20,9)/30))</f>
        <v>7.2200720190537231</v>
      </c>
      <c r="AM111" s="173">
        <f ca="1">(VLOOKUP(AM$72,INDIRECT($C$5&amp;"生成成长"),2))/((VLOOKUP($B111,INDIRECT($B$5&amp;"生成成长"),4))/(VLOOKUP(AM$72,INDIRECT($C$5&amp;"生成成长"),5))*(VLOOKUP($B$5,标准坦克设计!$B$24:$U$30,MATCH("对"&amp;LEFT($C$5,2)&amp;"输出",标准坦克设计!$B$23:$U$23,0)))*(VLOOKUP($B111,INDIRECT($B$5&amp;"生成成长"),3))*(VLOOKUP($B$5,标准坦克设计!$B$14:$K$20,9)/30))</f>
        <v>7.8180989807223238</v>
      </c>
      <c r="AN111" s="173">
        <f ca="1">(VLOOKUP(AN$72,INDIRECT($C$5&amp;"生成成长"),2))/((VLOOKUP($B111,INDIRECT($B$5&amp;"生成成长"),4))/(VLOOKUP(AN$72,INDIRECT($C$5&amp;"生成成长"),5))*(VLOOKUP($B$5,标准坦克设计!$B$24:$U$30,MATCH("对"&amp;LEFT($C$5,2)&amp;"输出",标准坦克设计!$B$23:$U$23,0)))*(VLOOKUP($B111,INDIRECT($B$5&amp;"生成成长"),3))*(VLOOKUP($B$5,标准坦克设计!$B$14:$K$20,9)/30))</f>
        <v>8.4399172500884116</v>
      </c>
      <c r="AO111" s="173">
        <f ca="1">(VLOOKUP(AO$72,INDIRECT($C$5&amp;"生成成长"),2))/((VLOOKUP($B111,INDIRECT($B$5&amp;"生成成长"),4))/(VLOOKUP(AO$72,INDIRECT($C$5&amp;"生成成长"),5))*(VLOOKUP($B$5,标准坦克设计!$B$24:$U$30,MATCH("对"&amp;LEFT($C$5,2)&amp;"输出",标准坦克设计!$B$23:$U$23,0)))*(VLOOKUP($B111,INDIRECT($B$5&amp;"生成成长"),3))*(VLOOKUP($B$5,标准坦克设计!$B$14:$K$20,9)/30))</f>
        <v>9.0855268271519822</v>
      </c>
      <c r="AP111" s="173">
        <f ca="1">(VLOOKUP(AP$72,INDIRECT($C$5&amp;"生成成长"),2))/((VLOOKUP($B111,INDIRECT($B$5&amp;"生成成长"),4))/(VLOOKUP(AP$72,INDIRECT($C$5&amp;"生成成长"),5))*(VLOOKUP($B$5,标准坦克设计!$B$24:$U$30,MATCH("对"&amp;LEFT($C$5,2)&amp;"输出",标准坦克设计!$B$23:$U$23,0)))*(VLOOKUP($B111,INDIRECT($B$5&amp;"生成成长"),3))*(VLOOKUP($B$5,标准坦克设计!$B$14:$K$20,9)/30))</f>
        <v>9.7549277119130391</v>
      </c>
      <c r="AQ111" s="173">
        <f ca="1">(VLOOKUP(AQ$72,INDIRECT($C$5&amp;"生成成长"),2))/((VLOOKUP($B111,INDIRECT($B$5&amp;"生成成长"),4))/(VLOOKUP(AQ$72,INDIRECT($C$5&amp;"生成成长"),5))*(VLOOKUP($B$5,标准坦克设计!$B$24:$U$30,MATCH("对"&amp;LEFT($C$5,2)&amp;"输出",标准坦克设计!$B$23:$U$23,0)))*(VLOOKUP($B111,INDIRECT($B$5&amp;"生成成长"),3))*(VLOOKUP($B$5,标准坦克设计!$B$14:$K$20,9)/30))</f>
        <v>10.448119904371584</v>
      </c>
      <c r="AR111" s="173">
        <f ca="1">(VLOOKUP(AR$72,INDIRECT($C$5&amp;"生成成长"),2))/((VLOOKUP($B111,INDIRECT($B$5&amp;"生成成长"),4))/(VLOOKUP(AR$72,INDIRECT($C$5&amp;"生成成长"),5))*(VLOOKUP($B$5,标准坦克设计!$B$24:$U$30,MATCH("对"&amp;LEFT($C$5,2)&amp;"输出",标准坦克设计!$B$23:$U$23,0)))*(VLOOKUP($B111,INDIRECT($B$5&amp;"生成成长"),3))*(VLOOKUP($B$5,标准坦克设计!$B$14:$K$20,9)/30))</f>
        <v>11.165103404527612</v>
      </c>
      <c r="AS111" s="173">
        <f ca="1">(VLOOKUP(AS$72,INDIRECT($C$5&amp;"生成成长"),2))/((VLOOKUP($B111,INDIRECT($B$5&amp;"生成成长"),4))/(VLOOKUP(AS$72,INDIRECT($C$5&amp;"生成成长"),5))*(VLOOKUP($B$5,标准坦克设计!$B$24:$U$30,MATCH("对"&amp;LEFT($C$5,2)&amp;"输出",标准坦克设计!$B$23:$U$23,0)))*(VLOOKUP($B111,INDIRECT($B$5&amp;"生成成长"),3))*(VLOOKUP($B$5,标准坦克设计!$B$14:$K$20,9)/30))</f>
        <v>11.905878212381122</v>
      </c>
      <c r="AT111" s="173">
        <f ca="1">(VLOOKUP(AT$72,INDIRECT($C$5&amp;"生成成长"),2))/((VLOOKUP($B111,INDIRECT($B$5&amp;"生成成长"),4))/(VLOOKUP(AT$72,INDIRECT($C$5&amp;"生成成长"),5))*(VLOOKUP($B$5,标准坦克设计!$B$24:$U$30,MATCH("对"&amp;LEFT($C$5,2)&amp;"输出",标准坦克设计!$B$23:$U$23,0)))*(VLOOKUP($B111,INDIRECT($B$5&amp;"生成成长"),3))*(VLOOKUP($B$5,标准坦克设计!$B$14:$K$20,9)/30))</f>
        <v>12.670444327932119</v>
      </c>
      <c r="AU111" s="173">
        <f ca="1">(VLOOKUP(AU$72,INDIRECT($C$5&amp;"生成成长"),2))/((VLOOKUP($B111,INDIRECT($B$5&amp;"生成成长"),4))/(VLOOKUP(AU$72,INDIRECT($C$5&amp;"生成成长"),5))*(VLOOKUP($B$5,标准坦克设计!$B$24:$U$30,MATCH("对"&amp;LEFT($C$5,2)&amp;"输出",标准坦克设计!$B$23:$U$23,0)))*(VLOOKUP($B111,INDIRECT($B$5&amp;"生成成长"),3))*(VLOOKUP($B$5,标准坦克设计!$B$14:$K$20,9)/30))</f>
        <v>13.458801751180602</v>
      </c>
      <c r="AV111" s="173">
        <f ca="1">(VLOOKUP(AV$72,INDIRECT($C$5&amp;"生成成长"),2))/((VLOOKUP($B111,INDIRECT($B$5&amp;"生成成长"),4))/(VLOOKUP(AV$72,INDIRECT($C$5&amp;"生成成长"),5))*(VLOOKUP($B$5,标准坦克设计!$B$24:$U$30,MATCH("对"&amp;LEFT($C$5,2)&amp;"输出",标准坦克设计!$B$23:$U$23,0)))*(VLOOKUP($B111,INDIRECT($B$5&amp;"生成成长"),3))*(VLOOKUP($B$5,标准坦克设计!$B$14:$K$20,9)/30))</f>
        <v>1.3688849933048848</v>
      </c>
      <c r="AW111" s="173">
        <f ca="1">(VLOOKUP(AW$72,INDIRECT($C$5&amp;"生成成长"),2))/((VLOOKUP($B111,INDIRECT($B$5&amp;"生成成长"),4))/(VLOOKUP(AW$72,INDIRECT($C$5&amp;"生成成长"),5))*(VLOOKUP($B$5,标准坦克设计!$B$24:$U$30,MATCH("对"&amp;LEFT($C$5,2)&amp;"输出",标准坦克设计!$B$23:$U$23,0)))*(VLOOKUP($B111,INDIRECT($B$5&amp;"生成成长"),3))*(VLOOKUP($B$5,标准坦克设计!$B$14:$K$20,9)/30))</f>
        <v>1.5607884339060867</v>
      </c>
      <c r="AX111" s="173">
        <f ca="1">(VLOOKUP(AX$72,INDIRECT($C$5&amp;"生成成长"),2))/((VLOOKUP($B111,INDIRECT($B$5&amp;"生成成长"),4))/(VLOOKUP(AX$72,INDIRECT($C$5&amp;"生成成长"),5))*(VLOOKUP($B$5,标准坦克设计!$B$24:$U$30,MATCH("对"&amp;LEFT($C$5,2)&amp;"输出",标准坦克设计!$B$23:$U$23,0)))*(VLOOKUP($B111,INDIRECT($B$5&amp;"生成成长"),3))*(VLOOKUP($B$5,标准坦克设计!$B$14:$K$20,9)/30))</f>
        <v>1.7652757066778588</v>
      </c>
      <c r="AY111" s="173">
        <f ca="1">(VLOOKUP(AY$72,INDIRECT($C$5&amp;"生成成长"),2))/((VLOOKUP($B111,INDIRECT($B$5&amp;"生成成长"),4))/(VLOOKUP(AY$72,INDIRECT($C$5&amp;"生成成长"),5))*(VLOOKUP($B$5,标准坦克设计!$B$24:$U$30,MATCH("对"&amp;LEFT($C$5,2)&amp;"输出",标准坦克设计!$B$23:$U$23,0)))*(VLOOKUP($B111,INDIRECT($B$5&amp;"生成成长"),3))*(VLOOKUP($B$5,标准坦克设计!$B$14:$K$20,9)/30))</f>
        <v>1.9823468116202021</v>
      </c>
      <c r="AZ111" s="173">
        <f ca="1">(VLOOKUP(AZ$72,INDIRECT($C$5&amp;"生成成长"),2))/((VLOOKUP($B111,INDIRECT($B$5&amp;"生成成长"),4))/(VLOOKUP(AZ$72,INDIRECT($C$5&amp;"生成成长"),5))*(VLOOKUP($B$5,标准坦克设计!$B$24:$U$30,MATCH("对"&amp;LEFT($C$5,2)&amp;"输出",标准坦克设计!$B$23:$U$23,0)))*(VLOOKUP($B111,INDIRECT($B$5&amp;"生成成长"),3))*(VLOOKUP($B$5,标准坦克设计!$B$14:$K$20,9)/30))</f>
        <v>2.2120017487331158</v>
      </c>
      <c r="BA111" s="173">
        <f ca="1">(VLOOKUP(BA$72,INDIRECT($C$5&amp;"生成成长"),2))/((VLOOKUP($B111,INDIRECT($B$5&amp;"生成成长"),4))/(VLOOKUP(BA$72,INDIRECT($C$5&amp;"生成成长"),5))*(VLOOKUP($B$5,标准坦克设计!$B$24:$U$30,MATCH("对"&amp;LEFT($C$5,2)&amp;"输出",标准坦克设计!$B$23:$U$23,0)))*(VLOOKUP($B111,INDIRECT($B$5&amp;"生成成长"),3))*(VLOOKUP($B$5,标准坦克设计!$B$14:$K$20,9)/30))</f>
        <v>2.4542405180165994</v>
      </c>
      <c r="BB111" s="173">
        <f ca="1">(VLOOKUP(BB$72,INDIRECT($C$5&amp;"生成成长"),2))/((VLOOKUP($B111,INDIRECT($B$5&amp;"生成成长"),4))/(VLOOKUP(BB$72,INDIRECT($C$5&amp;"生成成长"),5))*(VLOOKUP($B$5,标准坦克设计!$B$24:$U$30,MATCH("对"&amp;LEFT($C$5,2)&amp;"输出",标准坦克设计!$B$23:$U$23,0)))*(VLOOKUP($B111,INDIRECT($B$5&amp;"生成成长"),3))*(VLOOKUP($B$5,标准坦克设计!$B$14:$K$20,9)/30))</f>
        <v>2.7090631194706547</v>
      </c>
      <c r="BC111" s="173">
        <f ca="1">(VLOOKUP(BC$72,INDIRECT($C$5&amp;"生成成长"),2))/((VLOOKUP($B111,INDIRECT($B$5&amp;"生成成长"),4))/(VLOOKUP(BC$72,INDIRECT($C$5&amp;"生成成长"),5))*(VLOOKUP($B$5,标准坦克设计!$B$24:$U$30,MATCH("对"&amp;LEFT($C$5,2)&amp;"输出",标准坦克设计!$B$23:$U$23,0)))*(VLOOKUP($B111,INDIRECT($B$5&amp;"生成成长"),3))*(VLOOKUP($B$5,标准坦克设计!$B$14:$K$20,9)/30))</f>
        <v>2.9764695530952805</v>
      </c>
      <c r="BD111" s="173">
        <f ca="1">(VLOOKUP(BD$72,INDIRECT($C$5&amp;"生成成长"),2))/((VLOOKUP($B111,INDIRECT($B$5&amp;"生成成长"),4))/(VLOOKUP(BD$72,INDIRECT($C$5&amp;"生成成长"),5))*(VLOOKUP($B$5,标准坦克设计!$B$24:$U$30,MATCH("对"&amp;LEFT($C$5,2)&amp;"输出",标准坦克设计!$B$23:$U$23,0)))*(VLOOKUP($B111,INDIRECT($B$5&amp;"生成成长"),3))*(VLOOKUP($B$5,标准坦克设计!$B$14:$K$20,9)/30))</f>
        <v>3.2923434028143697</v>
      </c>
      <c r="BE111" s="173">
        <f ca="1">(VLOOKUP(BE$72,INDIRECT($C$5&amp;"生成成长"),2))/((VLOOKUP($B111,INDIRECT($B$5&amp;"生成成长"),4))/(VLOOKUP(BE$72,INDIRECT($C$5&amp;"生成成长"),5))*(VLOOKUP($B$5,标准坦克设计!$B$24:$U$30,MATCH("对"&amp;LEFT($C$5,2)&amp;"输出",标准坦克设计!$B$23:$U$23,0)))*(VLOOKUP($B111,INDIRECT($B$5&amp;"生成成长"),3))*(VLOOKUP($B$5,标准坦克设计!$B$14:$K$20,9)/30))</f>
        <v>3.6241436651243371</v>
      </c>
      <c r="BF111" s="173">
        <f ca="1">(VLOOKUP(BF$72,INDIRECT($C$5&amp;"生成成长"),2))/((VLOOKUP($B111,INDIRECT($B$5&amp;"生成成长"),4))/(VLOOKUP(BF$72,INDIRECT($C$5&amp;"生成成长"),5))*(VLOOKUP($B$5,标准坦克设计!$B$24:$U$30,MATCH("对"&amp;LEFT($C$5,2)&amp;"输出",标准坦克设计!$B$23:$U$23,0)))*(VLOOKUP($B111,INDIRECT($B$5&amp;"生成成长"),3))*(VLOOKUP($B$5,标准坦克设计!$B$14:$K$20,9)/30))</f>
        <v>3.9718703400251827</v>
      </c>
      <c r="BG111" s="173">
        <f ca="1">(VLOOKUP(BG$72,INDIRECT($C$5&amp;"生成成长"),2))/((VLOOKUP($B111,INDIRECT($B$5&amp;"生成成长"),4))/(VLOOKUP(BG$72,INDIRECT($C$5&amp;"生成成长"),5))*(VLOOKUP($B$5,标准坦克设计!$B$24:$U$30,MATCH("对"&amp;LEFT($C$5,2)&amp;"输出",标准坦克设计!$B$23:$U$23,0)))*(VLOOKUP($B111,INDIRECT($B$5&amp;"生成成长"),3))*(VLOOKUP($B$5,标准坦克设计!$B$14:$K$20,9)/30))</f>
        <v>4.3355234275169066</v>
      </c>
      <c r="BH111" s="173">
        <f ca="1">(VLOOKUP(BH$72,INDIRECT($C$5&amp;"生成成长"),2))/((VLOOKUP($B111,INDIRECT($B$5&amp;"生成成长"),4))/(VLOOKUP(BH$72,INDIRECT($C$5&amp;"生成成长"),5))*(VLOOKUP($B$5,标准坦克设计!$B$24:$U$30,MATCH("对"&amp;LEFT($C$5,2)&amp;"输出",标准坦克设计!$B$23:$U$23,0)))*(VLOOKUP($B111,INDIRECT($B$5&amp;"生成成长"),3))*(VLOOKUP($B$5,标准坦克设计!$B$14:$K$20,9)/30))</f>
        <v>2.0956013011553369</v>
      </c>
      <c r="BI111" s="173">
        <f ca="1">(VLOOKUP(BI$72,INDIRECT($C$5&amp;"生成成长"),2))/((VLOOKUP($B111,INDIRECT($B$5&amp;"生成成长"),4))/(VLOOKUP(BI$72,INDIRECT($C$5&amp;"生成成长"),5))*(VLOOKUP($B$5,标准坦克设计!$B$24:$U$30,MATCH("对"&amp;LEFT($C$5,2)&amp;"输出",标准坦克设计!$B$23:$U$23,0)))*(VLOOKUP($B111,INDIRECT($B$5&amp;"生成成长"),3))*(VLOOKUP($B$5,标准坦克设计!$B$14:$K$20,9)/30))</f>
        <v>2.3619263117028049</v>
      </c>
      <c r="BJ111" s="173">
        <f ca="1">(VLOOKUP(BJ$72,INDIRECT($C$5&amp;"生成成长"),2))/((VLOOKUP($B111,INDIRECT($B$5&amp;"生成成长"),4))/(VLOOKUP(BJ$72,INDIRECT($C$5&amp;"生成成长"),5))*(VLOOKUP($B$5,标准坦克设计!$B$24:$U$30,MATCH("对"&amp;LEFT($C$5,2)&amp;"输出",标准坦克设计!$B$23:$U$23,0)))*(VLOOKUP($B111,INDIRECT($B$5&amp;"生成成长"),3))*(VLOOKUP($B$5,标准坦克设计!$B$14:$K$20,9)/30))</f>
        <v>2.6441777348411502</v>
      </c>
      <c r="BK111" s="173">
        <f ca="1">(VLOOKUP(BK$72,INDIRECT($C$5&amp;"生成成长"),2))/((VLOOKUP($B111,INDIRECT($B$5&amp;"生成成长"),4))/(VLOOKUP(BK$72,INDIRECT($C$5&amp;"生成成长"),5))*(VLOOKUP($B$5,标准坦克设计!$B$24:$U$30,MATCH("对"&amp;LEFT($C$5,2)&amp;"输出",标准坦克设计!$B$23:$U$23,0)))*(VLOOKUP($B111,INDIRECT($B$5&amp;"生成成长"),3))*(VLOOKUP($B$5,标准坦克设计!$B$14:$K$20,9)/30))</f>
        <v>2.9423555705703746</v>
      </c>
      <c r="BL111" s="173">
        <f ca="1">(VLOOKUP(BL$72,INDIRECT($C$5&amp;"生成成长"),2))/((VLOOKUP($B111,INDIRECT($B$5&amp;"生成成长"),4))/(VLOOKUP(BL$72,INDIRECT($C$5&amp;"生成成长"),5))*(VLOOKUP($B$5,标准坦克设计!$B$24:$U$30,MATCH("对"&amp;LEFT($C$5,2)&amp;"输出",标准坦克设计!$B$23:$U$23,0)))*(VLOOKUP($B111,INDIRECT($B$5&amp;"生成成长"),3))*(VLOOKUP($B$5,标准坦克设计!$B$14:$K$20,9)/30))</f>
        <v>3.2564598188904759</v>
      </c>
      <c r="BM111" s="173">
        <f ca="1">(VLOOKUP(BM$72,INDIRECT($C$5&amp;"生成成长"),2))/((VLOOKUP($B111,INDIRECT($B$5&amp;"生成成长"),4))/(VLOOKUP(BM$72,INDIRECT($C$5&amp;"生成成长"),5))*(VLOOKUP($B$5,标准坦克设计!$B$24:$U$30,MATCH("对"&amp;LEFT($C$5,2)&amp;"输出",标准坦克设计!$B$23:$U$23,0)))*(VLOOKUP($B111,INDIRECT($B$5&amp;"生成成长"),3))*(VLOOKUP($B$5,标准坦克设计!$B$14:$K$20,9)/30))</f>
        <v>3.5864904798014572</v>
      </c>
      <c r="BN111" s="173">
        <f ca="1">(VLOOKUP(BN$72,INDIRECT($C$5&amp;"生成成长"),2))/((VLOOKUP($B111,INDIRECT($B$5&amp;"生成成长"),4))/(VLOOKUP(BN$72,INDIRECT($C$5&amp;"生成成长"),5))*(VLOOKUP($B$5,标准坦克设计!$B$24:$U$30,MATCH("对"&amp;LEFT($C$5,2)&amp;"输出",标准坦克设计!$B$23:$U$23,0)))*(VLOOKUP($B111,INDIRECT($B$5&amp;"生成成长"),3))*(VLOOKUP($B$5,标准坦克设计!$B$14:$K$20,9)/30))</f>
        <v>3.9324475533033163</v>
      </c>
      <c r="BO111" s="173">
        <f ca="1">(VLOOKUP(BO$72,INDIRECT($C$5&amp;"生成成长"),2))/((VLOOKUP($B111,INDIRECT($B$5&amp;"生成成长"),4))/(VLOOKUP(BO$72,INDIRECT($C$5&amp;"生成成长"),5))*(VLOOKUP($B$5,标准坦克设计!$B$24:$U$30,MATCH("对"&amp;LEFT($C$5,2)&amp;"输出",标准坦克设计!$B$23:$U$23,0)))*(VLOOKUP($B111,INDIRECT($B$5&amp;"生成成长"),3))*(VLOOKUP($B$5,标准坦克设计!$B$14:$K$20,9)/30))</f>
        <v>4.2943310393960541</v>
      </c>
      <c r="BP111" s="173">
        <f ca="1">(VLOOKUP(BP$72,INDIRECT($C$5&amp;"生成成长"),2))/((VLOOKUP($B111,INDIRECT($B$5&amp;"生成成长"),4))/(VLOOKUP(BP$72,INDIRECT($C$5&amp;"生成成长"),5))*(VLOOKUP($B$5,标准坦克设计!$B$24:$U$30,MATCH("对"&amp;LEFT($C$5,2)&amp;"输出",标准坦克设计!$B$23:$U$23,0)))*(VLOOKUP($B111,INDIRECT($B$5&amp;"生成成长"),3))*(VLOOKUP($B$5,标准坦克设计!$B$14:$K$20,9)/30))</f>
        <v>4.6721409380796706</v>
      </c>
      <c r="BQ111" s="173">
        <f ca="1">(VLOOKUP(BQ$72,INDIRECT($C$5&amp;"生成成长"),2))/((VLOOKUP($B111,INDIRECT($B$5&amp;"生成成长"),4))/(VLOOKUP(BQ$72,INDIRECT($C$5&amp;"生成成长"),5))*(VLOOKUP($B$5,标准坦克设计!$B$24:$U$30,MATCH("对"&amp;LEFT($C$5,2)&amp;"输出",标准坦克设计!$B$23:$U$23,0)))*(VLOOKUP($B111,INDIRECT($B$5&amp;"生成成长"),3))*(VLOOKUP($B$5,标准坦克设计!$B$14:$K$20,9)/30))</f>
        <v>5.0658772493541662</v>
      </c>
      <c r="BR111" s="173">
        <f ca="1">(VLOOKUP(BR$72,INDIRECT($C$5&amp;"生成成长"),2))/((VLOOKUP($B111,INDIRECT($B$5&amp;"生成成长"),4))/(VLOOKUP(BR$72,INDIRECT($C$5&amp;"生成成长"),5))*(VLOOKUP($B$5,标准坦克设计!$B$24:$U$30,MATCH("对"&amp;LEFT($C$5,2)&amp;"输出",标准坦克设计!$B$23:$U$23,0)))*(VLOOKUP($B111,INDIRECT($B$5&amp;"生成成长"),3))*(VLOOKUP($B$5,标准坦克设计!$B$14:$K$20,9)/30))</f>
        <v>5.5220411655373489</v>
      </c>
      <c r="BS111" s="173">
        <f ca="1">(VLOOKUP(BS$72,INDIRECT($C$5&amp;"生成成长"),2))/((VLOOKUP($B111,INDIRECT($B$5&amp;"生成成长"),4))/(VLOOKUP(BS$72,INDIRECT($C$5&amp;"生成成长"),5))*(VLOOKUP($B$5,标准坦克设计!$B$24:$U$30,MATCH("对"&amp;LEFT($C$5,2)&amp;"输出",标准坦克设计!$B$23:$U$23,0)))*(VLOOKUP($B111,INDIRECT($B$5&amp;"生成成长"),3))*(VLOOKUP($B$5,标准坦克设计!$B$14:$K$20,9)/30))</f>
        <v>5.9978673194870513</v>
      </c>
      <c r="BT111" s="173">
        <f ca="1">(VLOOKUP(BT$72,INDIRECT($C$5&amp;"生成成长"),2))/((VLOOKUP($B111,INDIRECT($B$5&amp;"生成成长"),4))/(VLOOKUP(BT$72,INDIRECT($C$5&amp;"生成成长"),5))*(VLOOKUP($B$5,标准坦克设计!$B$24:$U$30,MATCH("对"&amp;LEFT($C$5,2)&amp;"输出",标准坦克设计!$B$23:$U$23,0)))*(VLOOKUP($B111,INDIRECT($B$5&amp;"生成成长"),3))*(VLOOKUP($B$5,标准坦克设计!$B$14:$K$20,9)/30))</f>
        <v>6.4933557112032698</v>
      </c>
      <c r="BU111" s="173">
        <f ca="1">(VLOOKUP(BU$72,INDIRECT($C$5&amp;"生成成长"),2))/((VLOOKUP($B111,INDIRECT($B$5&amp;"生成成长"),4))/(VLOOKUP(BU$72,INDIRECT($C$5&amp;"生成成长"),5))*(VLOOKUP($B$5,标准坦克设计!$B$24:$U$30,MATCH("对"&amp;LEFT($C$5,2)&amp;"输出",标准坦克设计!$B$23:$U$23,0)))*(VLOOKUP($B111,INDIRECT($B$5&amp;"生成成长"),3))*(VLOOKUP($B$5,标准坦克设计!$B$14:$K$20,9)/30))</f>
        <v>7.0085063406860044</v>
      </c>
      <c r="BV111" s="173">
        <f ca="1">(VLOOKUP(BV$72,INDIRECT($C$5&amp;"生成成长"),2))/((VLOOKUP($B111,INDIRECT($B$5&amp;"生成成长"),4))/(VLOOKUP(BV$72,INDIRECT($C$5&amp;"生成成长"),5))*(VLOOKUP($B$5,标准坦克设计!$B$24:$U$30,MATCH("对"&amp;LEFT($C$5,2)&amp;"输出",标准坦克设计!$B$23:$U$23,0)))*(VLOOKUP($B111,INDIRECT($B$5&amp;"生成成长"),3))*(VLOOKUP($B$5,标准坦克设计!$B$14:$K$20,9)/30))</f>
        <v>7.5433192079352542</v>
      </c>
      <c r="BW111" s="173">
        <f ca="1">(VLOOKUP(BW$72,INDIRECT($C$5&amp;"生成成长"),2))/((VLOOKUP($B111,INDIRECT($B$5&amp;"生成成长"),4))/(VLOOKUP(BW$72,INDIRECT($C$5&amp;"生成成长"),5))*(VLOOKUP($B$5,标准坦克设计!$B$24:$U$30,MATCH("对"&amp;LEFT($C$5,2)&amp;"输出",标准坦克设计!$B$23:$U$23,0)))*(VLOOKUP($B111,INDIRECT($B$5&amp;"生成成长"),3))*(VLOOKUP($B$5,标准坦克设计!$B$14:$K$20,9)/30))</f>
        <v>3.4378439622865917</v>
      </c>
      <c r="BX111" s="173">
        <f ca="1">(VLOOKUP(BX$72,INDIRECT($C$5&amp;"生成成长"),2))/((VLOOKUP($B111,INDIRECT($B$5&amp;"生成成长"),4))/(VLOOKUP(BX$72,INDIRECT($C$5&amp;"生成成长"),5))*(VLOOKUP($B$5,标准坦克设计!$B$24:$U$30,MATCH("对"&amp;LEFT($C$5,2)&amp;"输出",标准坦克设计!$B$23:$U$23,0)))*(VLOOKUP($B111,INDIRECT($B$5&amp;"生成成长"),3))*(VLOOKUP($B$5,标准坦克设计!$B$14:$K$20,9)/30))</f>
        <v>3.8153589274037101</v>
      </c>
      <c r="BY111" s="173">
        <f ca="1">(VLOOKUP(BY$72,INDIRECT($C$5&amp;"生成成长"),2))/((VLOOKUP($B111,INDIRECT($B$5&amp;"生成成长"),4))/(VLOOKUP(BY$72,INDIRECT($C$5&amp;"生成成长"),5))*(VLOOKUP($B$5,标准坦克设计!$B$24:$U$30,MATCH("对"&amp;LEFT($C$5,2)&amp;"输出",标准坦克设计!$B$23:$U$23,0)))*(VLOOKUP($B111,INDIRECT($B$5&amp;"生成成长"),3))*(VLOOKUP($B$5,标准坦克设计!$B$14:$K$20,9)/30))</f>
        <v>4.2125361302873454</v>
      </c>
      <c r="BZ111" s="173">
        <f ca="1">(VLOOKUP(BZ$72,INDIRECT($C$5&amp;"生成成长"),2))/((VLOOKUP($B111,INDIRECT($B$5&amp;"生成成长"),4))/(VLOOKUP(BZ$72,INDIRECT($C$5&amp;"生成成长"),5))*(VLOOKUP($B$5,标准坦克设计!$B$24:$U$30,MATCH("对"&amp;LEFT($C$5,2)&amp;"输出",标准坦克设计!$B$23:$U$23,0)))*(VLOOKUP($B111,INDIRECT($B$5&amp;"生成成长"),3))*(VLOOKUP($B$5,标准坦克设计!$B$14:$K$20,9)/30))</f>
        <v>4.6293755709374969</v>
      </c>
      <c r="CA111" s="173">
        <f ca="1">(VLOOKUP(CA$72,INDIRECT($C$5&amp;"生成成长"),2))/((VLOOKUP($B111,INDIRECT($B$5&amp;"生成成长"),4))/(VLOOKUP(CA$72,INDIRECT($C$5&amp;"生成成长"),5))*(VLOOKUP($B$5,标准坦克设计!$B$24:$U$30,MATCH("对"&amp;LEFT($C$5,2)&amp;"输出",标准坦克设计!$B$23:$U$23,0)))*(VLOOKUP($B111,INDIRECT($B$5&amp;"生成成长"),3))*(VLOOKUP($B$5,标准坦克设计!$B$14:$K$20,9)/30))</f>
        <v>5.0658772493541662</v>
      </c>
      <c r="CB111" s="173">
        <f ca="1">(VLOOKUP(CB$72,INDIRECT($C$5&amp;"生成成长"),2))/((VLOOKUP($B111,INDIRECT($B$5&amp;"生成成长"),4))/(VLOOKUP(CB$72,INDIRECT($C$5&amp;"生成成长"),5))*(VLOOKUP($B$5,标准坦克设计!$B$24:$U$30,MATCH("对"&amp;LEFT($C$5,2)&amp;"输出",标准坦克设计!$B$23:$U$23,0)))*(VLOOKUP($B111,INDIRECT($B$5&amp;"生成成长"),3))*(VLOOKUP($B$5,标准坦克设计!$B$14:$K$20,9)/30))</f>
        <v>5.5220411655373489</v>
      </c>
      <c r="CC111" s="173">
        <f ca="1">(VLOOKUP(CC$72,INDIRECT($C$5&amp;"生成成长"),2))/((VLOOKUP($B111,INDIRECT($B$5&amp;"生成成长"),4))/(VLOOKUP(CC$72,INDIRECT($C$5&amp;"生成成长"),5))*(VLOOKUP($B$5,标准坦克设计!$B$24:$U$30,MATCH("对"&amp;LEFT($C$5,2)&amp;"输出",标准坦克设计!$B$23:$U$23,0)))*(VLOOKUP($B111,INDIRECT($B$5&amp;"生成成长"),3))*(VLOOKUP($B$5,标准坦克设计!$B$14:$K$20,9)/30))</f>
        <v>5.9978673194870513</v>
      </c>
      <c r="CD111" s="173">
        <f ca="1">(VLOOKUP(CD$72,INDIRECT($C$5&amp;"生成成长"),2))/((VLOOKUP($B111,INDIRECT($B$5&amp;"生成成长"),4))/(VLOOKUP(CD$72,INDIRECT($C$5&amp;"生成成长"),5))*(VLOOKUP($B$5,标准坦克设计!$B$24:$U$30,MATCH("对"&amp;LEFT($C$5,2)&amp;"输出",标准坦克设计!$B$23:$U$23,0)))*(VLOOKUP($B111,INDIRECT($B$5&amp;"生成成长"),3))*(VLOOKUP($B$5,标准坦克设计!$B$14:$K$20,9)/30))</f>
        <v>6.4933557112032698</v>
      </c>
      <c r="CE111" s="173">
        <f ca="1">(VLOOKUP(CE$72,INDIRECT($C$5&amp;"生成成长"),2))/((VLOOKUP($B111,INDIRECT($B$5&amp;"生成成长"),4))/(VLOOKUP(CE$72,INDIRECT($C$5&amp;"生成成长"),5))*(VLOOKUP($B$5,标准坦克设计!$B$24:$U$30,MATCH("对"&amp;LEFT($C$5,2)&amp;"输出",标准坦克设计!$B$23:$U$23,0)))*(VLOOKUP($B111,INDIRECT($B$5&amp;"生成成长"),3))*(VLOOKUP($B$5,标准坦克设计!$B$14:$K$20,9)/30))</f>
        <v>7.0085063406860044</v>
      </c>
      <c r="CF111" s="173">
        <f ca="1">(VLOOKUP(CF$72,INDIRECT($C$5&amp;"生成成长"),2))/((VLOOKUP($B111,INDIRECT($B$5&amp;"生成成长"),4))/(VLOOKUP(CF$72,INDIRECT($C$5&amp;"生成成长"),5))*(VLOOKUP($B$5,标准坦克设计!$B$24:$U$30,MATCH("对"&amp;LEFT($C$5,2)&amp;"输出",标准坦克设计!$B$23:$U$23,0)))*(VLOOKUP($B111,INDIRECT($B$5&amp;"生成成长"),3))*(VLOOKUP($B$5,标准坦克设计!$B$14:$K$20,9)/30))</f>
        <v>7.5433192079352542</v>
      </c>
      <c r="CG111" s="173">
        <f ca="1">(VLOOKUP(CG$72,INDIRECT($C$5&amp;"生成成长"),2))/((VLOOKUP($B111,INDIRECT($B$5&amp;"生成成长"),4))/(VLOOKUP(CG$72,INDIRECT($C$5&amp;"生成成长"),5))*(VLOOKUP($B$5,标准坦克设计!$B$24:$U$30,MATCH("对"&amp;LEFT($C$5,2)&amp;"输出",标准坦克设计!$B$23:$U$23,0)))*(VLOOKUP($B111,INDIRECT($B$5&amp;"生成成长"),3))*(VLOOKUP($B$5,标准坦克设计!$B$14:$K$20,9)/30))</f>
        <v>8.0977943129510237</v>
      </c>
      <c r="CH111" s="173">
        <f ca="1">(VLOOKUP(CH$72,INDIRECT($C$5&amp;"生成成长"),2))/((VLOOKUP($B111,INDIRECT($B$5&amp;"生成成长"),4))/(VLOOKUP(CH$72,INDIRECT($C$5&amp;"生成成长"),5))*(VLOOKUP($B$5,标准坦克设计!$B$24:$U$30,MATCH("对"&amp;LEFT($C$5,2)&amp;"输出",标准坦克设计!$B$23:$U$23,0)))*(VLOOKUP($B111,INDIRECT($B$5&amp;"生成成长"),3))*(VLOOKUP($B$5,标准坦克设计!$B$14:$K$20,9)/30))</f>
        <v>8.6719316557333066</v>
      </c>
      <c r="CI111" s="173">
        <f ca="1">(VLOOKUP(CI$72,INDIRECT($C$5&amp;"生成成长"),2))/((VLOOKUP($B111,INDIRECT($B$5&amp;"生成成长"),4))/(VLOOKUP(CI$72,INDIRECT($C$5&amp;"生成成长"),5))*(VLOOKUP($B$5,标准坦克设计!$B$24:$U$30,MATCH("对"&amp;LEFT($C$5,2)&amp;"输出",标准坦克设计!$B$23:$U$23,0)))*(VLOOKUP($B111,INDIRECT($B$5&amp;"生成成长"),3))*(VLOOKUP($B$5,标准坦克设计!$B$14:$K$20,9)/30))</f>
        <v>9.3261926174141454</v>
      </c>
      <c r="CJ111" s="173">
        <f ca="1">(VLOOKUP(CJ$72,INDIRECT($C$5&amp;"生成成长"),2))/((VLOOKUP($B111,INDIRECT($B$5&amp;"生成成长"),4))/(VLOOKUP(CJ$72,INDIRECT($C$5&amp;"生成成长"),5))*(VLOOKUP($B$5,标准坦克设计!$B$24:$U$30,MATCH("对"&amp;LEFT($C$5,2)&amp;"输出",标准坦克设计!$B$23:$U$23,0)))*(VLOOKUP($B111,INDIRECT($B$5&amp;"生成成长"),3))*(VLOOKUP($B$5,标准坦克设计!$B$14:$K$20,9)/30))</f>
        <v>10.00424488679247</v>
      </c>
      <c r="CK111" s="173">
        <f ca="1">(VLOOKUP(CK$72,INDIRECT($C$5&amp;"生成成长"),2))/((VLOOKUP($B111,INDIRECT($B$5&amp;"生成成长"),4))/(VLOOKUP(CK$72,INDIRECT($C$5&amp;"生成成长"),5))*(VLOOKUP($B$5,标准坦克设计!$B$24:$U$30,MATCH("对"&amp;LEFT($C$5,2)&amp;"输出",标准坦克设计!$B$23:$U$23,0)))*(VLOOKUP($B111,INDIRECT($B$5&amp;"生成成长"),3))*(VLOOKUP($B$5,标准坦克设计!$B$14:$K$20,9)/30))</f>
        <v>10.70608846386828</v>
      </c>
      <c r="CL111" s="173">
        <f ca="1">(VLOOKUP(CL$72,INDIRECT($C$5&amp;"生成成长"),2))/((VLOOKUP($B111,INDIRECT($B$5&amp;"生成成长"),4))/(VLOOKUP(CL$72,INDIRECT($C$5&amp;"生成成长"),5))*(VLOOKUP($B$5,标准坦克设计!$B$24:$U$30,MATCH("对"&amp;LEFT($C$5,2)&amp;"输出",标准坦克设计!$B$23:$U$23,0)))*(VLOOKUP($B111,INDIRECT($B$5&amp;"生成成长"),3))*(VLOOKUP($B$5,标准坦克设计!$B$14:$K$20,9)/30))</f>
        <v>11.431723348641576</v>
      </c>
      <c r="CM111" s="173">
        <f ca="1">(VLOOKUP(CM$72,INDIRECT($C$5&amp;"生成成长"),2))/((VLOOKUP($B111,INDIRECT($B$5&amp;"生成成长"),4))/(VLOOKUP(CM$72,INDIRECT($C$5&amp;"生成成长"),5))*(VLOOKUP($B$5,标准坦克设计!$B$24:$U$30,MATCH("对"&amp;LEFT($C$5,2)&amp;"输出",标准坦克设计!$B$23:$U$23,0)))*(VLOOKUP($B111,INDIRECT($B$5&amp;"生成成长"),3))*(VLOOKUP($B$5,标准坦克设计!$B$14:$K$20,9)/30))</f>
        <v>12.181149541112353</v>
      </c>
      <c r="CN111" s="173">
        <f ca="1">(VLOOKUP(CN$72,INDIRECT($C$5&amp;"生成成长"),2))/((VLOOKUP($B111,INDIRECT($B$5&amp;"生成成长"),4))/(VLOOKUP(CN$72,INDIRECT($C$5&amp;"生成成长"),5))*(VLOOKUP($B$5,标准坦克设计!$B$24:$U$30,MATCH("对"&amp;LEFT($C$5,2)&amp;"输出",标准坦克设计!$B$23:$U$23,0)))*(VLOOKUP($B111,INDIRECT($B$5&amp;"生成成长"),3))*(VLOOKUP($B$5,标准坦克设计!$B$14:$K$20,9)/30))</f>
        <v>12.954367041280618</v>
      </c>
      <c r="CO111" s="173">
        <f ca="1">(VLOOKUP(CO$72,INDIRECT($C$5&amp;"生成成长"),2))/((VLOOKUP($B111,INDIRECT($B$5&amp;"生成成长"),4))/(VLOOKUP(CO$72,INDIRECT($C$5&amp;"生成成长"),5))*(VLOOKUP($B$5,标准坦克设计!$B$24:$U$30,MATCH("对"&amp;LEFT($C$5,2)&amp;"输出",标准坦克设计!$B$23:$U$23,0)))*(VLOOKUP($B111,INDIRECT($B$5&amp;"生成成长"),3))*(VLOOKUP($B$5,标准坦克设计!$B$14:$K$20,9)/30))</f>
        <v>5.8051773893751886</v>
      </c>
      <c r="CP111" s="173">
        <f ca="1">(VLOOKUP(CP$72,INDIRECT($C$5&amp;"生成成长"),2))/((VLOOKUP($B111,INDIRECT($B$5&amp;"生成成长"),4))/(VLOOKUP(CP$72,INDIRECT($C$5&amp;"生成成长"),5))*(VLOOKUP($B$5,标准坦克设计!$B$24:$U$30,MATCH("对"&amp;LEFT($C$5,2)&amp;"输出",标准坦克设计!$B$23:$U$23,0)))*(VLOOKUP($B111,INDIRECT($B$5&amp;"生成成长"),3))*(VLOOKUP($B$5,标准坦克设计!$B$14:$K$20,9)/30))</f>
        <v>6.3426446587229188</v>
      </c>
      <c r="CQ111" s="173">
        <f ca="1">(VLOOKUP(CQ$72,INDIRECT($C$5&amp;"生成成长"),2))/((VLOOKUP($B111,INDIRECT($B$5&amp;"生成成长"),4))/(VLOOKUP(CQ$72,INDIRECT($C$5&amp;"生成成长"),5))*(VLOOKUP($B$5,标准坦克设计!$B$24:$U$30,MATCH("对"&amp;LEFT($C$5,2)&amp;"输出",标准坦克设计!$B$23:$U$23,0)))*(VLOOKUP($B111,INDIRECT($B$5&amp;"生成成长"),3))*(VLOOKUP($B$5,标准坦克设计!$B$14:$K$20,9)/30))</f>
        <v>6.9039032357681354</v>
      </c>
      <c r="CR111" s="173">
        <f ca="1">(VLOOKUP(CR$72,INDIRECT($C$5&amp;"生成成长"),2))/((VLOOKUP($B111,INDIRECT($B$5&amp;"生成成长"),4))/(VLOOKUP(CR$72,INDIRECT($C$5&amp;"生成成长"),5))*(VLOOKUP($B$5,标准坦克设计!$B$24:$U$30,MATCH("对"&amp;LEFT($C$5,2)&amp;"输出",标准坦克设计!$B$23:$U$23,0)))*(VLOOKUP($B111,INDIRECT($B$5&amp;"生成成长"),3))*(VLOOKUP($B$5,标准坦克设计!$B$14:$K$20,9)/30))</f>
        <v>7.4889531205108364</v>
      </c>
      <c r="CS111" s="173">
        <f ca="1">(VLOOKUP(CS$72,INDIRECT($C$5&amp;"生成成长"),2))/((VLOOKUP($B111,INDIRECT($B$5&amp;"生成成长"),4))/(VLOOKUP(CS$72,INDIRECT($C$5&amp;"生成成长"),5))*(VLOOKUP($B$5,标准坦克设计!$B$24:$U$30,MATCH("对"&amp;LEFT($C$5,2)&amp;"输出",标准坦克设计!$B$23:$U$23,0)))*(VLOOKUP($B111,INDIRECT($B$5&amp;"生成成长"),3))*(VLOOKUP($B$5,标准坦克设计!$B$14:$K$20,9)/30))</f>
        <v>8.0977943129510237</v>
      </c>
      <c r="CT111" s="173">
        <f ca="1">(VLOOKUP(CT$72,INDIRECT($C$5&amp;"生成成长"),2))/((VLOOKUP($B111,INDIRECT($B$5&amp;"生成成长"),4))/(VLOOKUP(CT$72,INDIRECT($C$5&amp;"生成成长"),5))*(VLOOKUP($B$5,标准坦克设计!$B$24:$U$30,MATCH("对"&amp;LEFT($C$5,2)&amp;"输出",标准坦克设计!$B$23:$U$23,0)))*(VLOOKUP($B111,INDIRECT($B$5&amp;"生成成长"),3))*(VLOOKUP($B$5,标准坦克设计!$B$14:$K$20,9)/30))</f>
        <v>8.7304268130886928</v>
      </c>
      <c r="CU111" s="173">
        <f ca="1">(VLOOKUP(CU$72,INDIRECT($C$5&amp;"生成成长"),2))/((VLOOKUP($B111,INDIRECT($B$5&amp;"生成成长"),4))/(VLOOKUP(CU$72,INDIRECT($C$5&amp;"生成成长"),5))*(VLOOKUP($B$5,标准坦克设计!$B$24:$U$30,MATCH("对"&amp;LEFT($C$5,2)&amp;"输出",标准坦克设计!$B$23:$U$23,0)))*(VLOOKUP($B111,INDIRECT($B$5&amp;"生成成长"),3))*(VLOOKUP($B$5,标准坦克设计!$B$14:$K$20,9)/30))</f>
        <v>9.3868506209238518</v>
      </c>
      <c r="CV111" s="173">
        <f ca="1">(VLOOKUP(CV$72,INDIRECT($C$5&amp;"生成成长"),2))/((VLOOKUP($B111,INDIRECT($B$5&amp;"生成成长"),4))/(VLOOKUP(CV$72,INDIRECT($C$5&amp;"生成成长"),5))*(VLOOKUP($B$5,标准坦克设计!$B$24:$U$30,MATCH("对"&amp;LEFT($C$5,2)&amp;"输出",标准坦克设计!$B$23:$U$23,0)))*(VLOOKUP($B111,INDIRECT($B$5&amp;"生成成长"),3))*(VLOOKUP($B$5,标准坦克设计!$B$14:$K$20,9)/30))</f>
        <v>10.067065736456492</v>
      </c>
      <c r="CW111" s="173">
        <f ca="1">(VLOOKUP(CW$72,INDIRECT($C$5&amp;"生成成长"),2))/((VLOOKUP($B111,INDIRECT($B$5&amp;"生成成长"),4))/(VLOOKUP(CW$72,INDIRECT($C$5&amp;"生成成长"),5))*(VLOOKUP($B$5,标准坦克设计!$B$24:$U$30,MATCH("对"&amp;LEFT($C$5,2)&amp;"输出",标准坦克设计!$B$23:$U$23,0)))*(VLOOKUP($B111,INDIRECT($B$5&amp;"生成成长"),3))*(VLOOKUP($B$5,标准坦克设计!$B$14:$K$20,9)/30))</f>
        <v>10.771072159686618</v>
      </c>
      <c r="CX111" s="173">
        <f ca="1">(VLOOKUP(CX$72,INDIRECT($C$5&amp;"生成成长"),2))/((VLOOKUP($B111,INDIRECT($B$5&amp;"生成成长"),4))/(VLOOKUP(CX$72,INDIRECT($C$5&amp;"生成成长"),5))*(VLOOKUP($B$5,标准坦克设计!$B$24:$U$30,MATCH("对"&amp;LEFT($C$5,2)&amp;"输出",标准坦克设计!$B$23:$U$23,0)))*(VLOOKUP($B111,INDIRECT($B$5&amp;"生成成长"),3))*(VLOOKUP($B$5,标准坦克设计!$B$14:$K$20,9)/30))</f>
        <v>11.498869890614229</v>
      </c>
      <c r="CY111" s="173">
        <f ca="1">(VLOOKUP(CY$72,INDIRECT($C$5&amp;"生成成长"),2))/((VLOOKUP($B111,INDIRECT($B$5&amp;"生成成长"),4))/(VLOOKUP(CY$72,INDIRECT($C$5&amp;"生成成长"),5))*(VLOOKUP($B$5,标准坦克设计!$B$24:$U$30,MATCH("对"&amp;LEFT($C$5,2)&amp;"输出",标准坦克设计!$B$23:$U$23,0)))*(VLOOKUP($B111,INDIRECT($B$5&amp;"生成成长"),3))*(VLOOKUP($B$5,标准坦克设计!$B$14:$K$20,9)/30))</f>
        <v>12.250458929239324</v>
      </c>
      <c r="CZ111" s="173">
        <f ca="1">(VLOOKUP(CZ$72,INDIRECT($C$5&amp;"生成成长"),2))/((VLOOKUP($B111,INDIRECT($B$5&amp;"生成成长"),4))/(VLOOKUP(CZ$72,INDIRECT($C$5&amp;"生成成长"),5))*(VLOOKUP($B$5,标准坦克设计!$B$24:$U$30,MATCH("对"&amp;LEFT($C$5,2)&amp;"输出",标准坦克设计!$B$23:$U$23,0)))*(VLOOKUP($B111,INDIRECT($B$5&amp;"生成成长"),3))*(VLOOKUP($B$5,标准坦克设计!$B$14:$K$20,9)/30))</f>
        <v>13.025839275561903</v>
      </c>
      <c r="DA111" s="173">
        <f ca="1">(VLOOKUP(DA$72,INDIRECT($C$5&amp;"生成成长"),2))/((VLOOKUP($B111,INDIRECT($B$5&amp;"生成成长"),4))/(VLOOKUP(DA$72,INDIRECT($C$5&amp;"生成成长"),5))*(VLOOKUP($B$5,标准坦克设计!$B$24:$U$30,MATCH("对"&amp;LEFT($C$5,2)&amp;"输出",标准坦克设计!$B$23:$U$23,0)))*(VLOOKUP($B111,INDIRECT($B$5&amp;"生成成长"),3))*(VLOOKUP($B$5,标准坦克设计!$B$14:$K$20,9)/30))</f>
        <v>13.825010929581973</v>
      </c>
      <c r="DB111" s="173">
        <f ca="1">(VLOOKUP(DB$72,INDIRECT($C$5&amp;"生成成长"),2))/((VLOOKUP($B111,INDIRECT($B$5&amp;"生成成长"),4))/(VLOOKUP(DB$72,INDIRECT($C$5&amp;"生成成长"),5))*(VLOOKUP($B$5,标准坦克设计!$B$24:$U$30,MATCH("对"&amp;LEFT($C$5,2)&amp;"输出",标准坦克设计!$B$23:$U$23,0)))*(VLOOKUP($B111,INDIRECT($B$5&amp;"生成成长"),3))*(VLOOKUP($B$5,标准坦克设计!$B$14:$K$20,9)/30))</f>
        <v>14.647973891299523</v>
      </c>
      <c r="DC111" s="173">
        <f ca="1">(VLOOKUP(DC$72,INDIRECT($C$5&amp;"生成成长"),2))/((VLOOKUP($B111,INDIRECT($B$5&amp;"生成成长"),4))/(VLOOKUP(DC$72,INDIRECT($C$5&amp;"生成成长"),5))*(VLOOKUP($B$5,标准坦克设计!$B$24:$U$30,MATCH("对"&amp;LEFT($C$5,2)&amp;"输出",标准坦克设计!$B$23:$U$23,0)))*(VLOOKUP($B111,INDIRECT($B$5&amp;"生成成长"),3))*(VLOOKUP($B$5,标准坦克设计!$B$14:$K$20,9)/30))</f>
        <v>15.572885555836466</v>
      </c>
      <c r="DD111" s="173">
        <f ca="1">(VLOOKUP(DD$72,INDIRECT($C$5&amp;"生成成长"),2))/((VLOOKUP($B111,INDIRECT($B$5&amp;"生成成长"),4))/(VLOOKUP(DD$72,INDIRECT($C$5&amp;"生成成长"),5))*(VLOOKUP($B$5,标准坦克设计!$B$24:$U$30,MATCH("对"&amp;LEFT($C$5,2)&amp;"输出",标准坦克设计!$B$23:$U$23,0)))*(VLOOKUP($B111,INDIRECT($B$5&amp;"生成成长"),3))*(VLOOKUP($B$5,标准坦克设计!$B$14:$K$20,9)/30))</f>
        <v>16.526110842757188</v>
      </c>
      <c r="DE111" s="173">
        <f ca="1">(VLOOKUP(DE$72,INDIRECT($C$5&amp;"生成成长"),2))/((VLOOKUP($B111,INDIRECT($B$5&amp;"生成成长"),4))/(VLOOKUP(DE$72,INDIRECT($C$5&amp;"生成成长"),5))*(VLOOKUP($B$5,标准坦克设计!$B$24:$U$30,MATCH("对"&amp;LEFT($C$5,2)&amp;"输出",标准坦克设计!$B$23:$U$23,0)))*(VLOOKUP($B111,INDIRECT($B$5&amp;"生成成长"),3))*(VLOOKUP($B$5,标准坦克设计!$B$14:$K$20,9)/30))</f>
        <v>17.507649752061695</v>
      </c>
      <c r="DF111" s="173">
        <f ca="1">(VLOOKUP(DF$72,INDIRECT($C$5&amp;"生成成长"),2))/((VLOOKUP($B111,INDIRECT($B$5&amp;"生成成长"),4))/(VLOOKUP(DF$72,INDIRECT($C$5&amp;"生成成长"),5))*(VLOOKUP($B$5,标准坦克设计!$B$24:$U$30,MATCH("对"&amp;LEFT($C$5,2)&amp;"输出",标准坦克设计!$B$23:$U$23,0)))*(VLOOKUP($B111,INDIRECT($B$5&amp;"生成成长"),3))*(VLOOKUP($B$5,标准坦克设计!$B$14:$K$20,9)/30))</f>
        <v>18.517502283749987</v>
      </c>
      <c r="DG111" s="173">
        <f ca="1">(VLOOKUP(DG$72,INDIRECT($C$5&amp;"生成成长"),2))/((VLOOKUP($B111,INDIRECT($B$5&amp;"生成成长"),4))/(VLOOKUP(DG$72,INDIRECT($C$5&amp;"生成成长"),5))*(VLOOKUP($B$5,标准坦克设计!$B$24:$U$30,MATCH("对"&amp;LEFT($C$5,2)&amp;"输出",标准坦克设计!$B$23:$U$23,0)))*(VLOOKUP($B111,INDIRECT($B$5&amp;"生成成长"),3))*(VLOOKUP($B$5,标准坦克设计!$B$14:$K$20,9)/30))</f>
        <v>19.555668437822067</v>
      </c>
      <c r="DH111" s="173">
        <f ca="1">(VLOOKUP(DH$72,INDIRECT($C$5&amp;"生成成长"),2))/((VLOOKUP($B111,INDIRECT($B$5&amp;"生成成长"),4))/(VLOOKUP(DH$72,INDIRECT($C$5&amp;"生成成长"),5))*(VLOOKUP($B$5,标准坦克设计!$B$24:$U$30,MATCH("对"&amp;LEFT($C$5,2)&amp;"输出",标准坦克设计!$B$23:$U$23,0)))*(VLOOKUP($B111,INDIRECT($B$5&amp;"生成成长"),3))*(VLOOKUP($B$5,标准坦克设计!$B$14:$K$20,9)/30))</f>
        <v>20.622148214277924</v>
      </c>
      <c r="DI111" s="173">
        <f ca="1">(VLOOKUP(DI$72,INDIRECT($C$5&amp;"生成成长"),2))/((VLOOKUP($B111,INDIRECT($B$5&amp;"生成成长"),4))/(VLOOKUP(DI$72,INDIRECT($C$5&amp;"生成成长"),5))*(VLOOKUP($B$5,标准坦克设计!$B$24:$U$30,MATCH("对"&amp;LEFT($C$5,2)&amp;"输出",标准坦克设计!$B$23:$U$23,0)))*(VLOOKUP($B111,INDIRECT($B$5&amp;"生成成长"),3))*(VLOOKUP($B$5,标准坦克设计!$B$14:$K$20,9)/30))</f>
        <v>21.716941613117566</v>
      </c>
      <c r="DJ111" s="173">
        <f ca="1">(VLOOKUP(DJ$72,INDIRECT($C$5&amp;"生成成长"),2))/((VLOOKUP($B111,INDIRECT($B$5&amp;"生成成长"),4))/(VLOOKUP(DJ$72,INDIRECT($C$5&amp;"生成成长"),5))*(VLOOKUP($B$5,标准坦克设计!$B$24:$U$30,MATCH("对"&amp;LEFT($C$5,2)&amp;"输出",标准坦克设计!$B$23:$U$23,0)))*(VLOOKUP($B111,INDIRECT($B$5&amp;"生成成长"),3))*(VLOOKUP($B$5,标准坦克设计!$B$14:$K$20,9)/30))</f>
        <v>2.1826067032721732</v>
      </c>
      <c r="DK111" s="173">
        <f ca="1">(VLOOKUP(DK$72,INDIRECT($C$5&amp;"生成成长"),2))/((VLOOKUP($B111,INDIRECT($B$5&amp;"生成成长"),4))/(VLOOKUP(DK$72,INDIRECT($C$5&amp;"生成成长"),5))*(VLOOKUP($B$5,标准坦克设计!$B$24:$U$30,MATCH("对"&amp;LEFT($C$5,2)&amp;"输出",标准坦克设计!$B$23:$U$23,0)))*(VLOOKUP($B111,INDIRECT($B$5&amp;"生成成长"),3))*(VLOOKUP($B$5,标准坦克设计!$B$14:$K$20,9)/30))</f>
        <v>2.4542405180165994</v>
      </c>
      <c r="DL111" s="173">
        <f ca="1">(VLOOKUP(DL$72,INDIRECT($C$5&amp;"生成成长"),2))/((VLOOKUP($B111,INDIRECT($B$5&amp;"生成成长"),4))/(VLOOKUP(DL$72,INDIRECT($C$5&amp;"生成成长"),5))*(VLOOKUP($B$5,标准坦克设计!$B$24:$U$30,MATCH("对"&amp;LEFT($C$5,2)&amp;"输出",标准坦克设计!$B$23:$U$23,0)))*(VLOOKUP($B111,INDIRECT($B$5&amp;"生成成长"),3))*(VLOOKUP($B$5,标准坦克设计!$B$14:$K$20,9)/30))</f>
        <v>2.7418007453519051</v>
      </c>
      <c r="DM111" s="173">
        <f ca="1">(VLOOKUP(DM$72,INDIRECT($C$5&amp;"生成成长"),2))/((VLOOKUP($B111,INDIRECT($B$5&amp;"生成成长"),4))/(VLOOKUP(DM$72,INDIRECT($C$5&amp;"生成成长"),5))*(VLOOKUP($B$5,标准坦克设计!$B$24:$U$30,MATCH("对"&amp;LEFT($C$5,2)&amp;"输出",标准坦克设计!$B$23:$U$23,0)))*(VLOOKUP($B111,INDIRECT($B$5&amp;"生成成长"),3))*(VLOOKUP($B$5,标准坦克设计!$B$14:$K$20,9)/30))</f>
        <v>3.0452873852780882</v>
      </c>
      <c r="DN111" s="173">
        <f ca="1">(VLOOKUP(DN$72,INDIRECT($C$5&amp;"生成成长"),2))/((VLOOKUP($B111,INDIRECT($B$5&amp;"生成成长"),4))/(VLOOKUP(DN$72,INDIRECT($C$5&amp;"生成成长"),5))*(VLOOKUP($B$5,标准坦克设计!$B$24:$U$30,MATCH("对"&amp;LEFT($C$5,2)&amp;"输出",标准坦克设计!$B$23:$U$23,0)))*(VLOOKUP($B111,INDIRECT($B$5&amp;"生成成长"),3))*(VLOOKUP($B$5,标准坦克设计!$B$14:$K$20,9)/30))</f>
        <v>3.3647004377951504</v>
      </c>
      <c r="DO111" s="173">
        <f ca="1">(VLOOKUP(DO$72,INDIRECT($C$5&amp;"生成成长"),2))/((VLOOKUP($B111,INDIRECT($B$5&amp;"生成成长"),4))/(VLOOKUP(DO$72,INDIRECT($C$5&amp;"生成成长"),5))*(VLOOKUP($B$5,标准坦克设计!$B$24:$U$30,MATCH("对"&amp;LEFT($C$5,2)&amp;"输出",标准坦克设计!$B$23:$U$23,0)))*(VLOOKUP($B111,INDIRECT($B$5&amp;"生成成长"),3))*(VLOOKUP($B$5,标准坦克设计!$B$14:$K$20,9)/30))</f>
        <v>3.7000399029030908</v>
      </c>
      <c r="DP111" s="173">
        <f ca="1">(VLOOKUP(DP$72,INDIRECT($C$5&amp;"生成成长"),2))/((VLOOKUP($B111,INDIRECT($B$5&amp;"生成成长"),4))/(VLOOKUP(DP$72,INDIRECT($C$5&amp;"生成成长"),5))*(VLOOKUP($B$5,标准坦克设计!$B$24:$U$30,MATCH("对"&amp;LEFT($C$5,2)&amp;"输出",标准坦克设计!$B$23:$U$23,0)))*(VLOOKUP($B111,INDIRECT($B$5&amp;"生成成长"),3))*(VLOOKUP($B$5,标准坦克设计!$B$14:$K$20,9)/30))</f>
        <v>4.0513057806019095</v>
      </c>
      <c r="DQ111" s="173">
        <f ca="1">(VLOOKUP(DQ$72,INDIRECT($C$5&amp;"生成成长"),2))/((VLOOKUP($B111,INDIRECT($B$5&amp;"生成成长"),4))/(VLOOKUP(DQ$72,INDIRECT($C$5&amp;"生成成长"),5))*(VLOOKUP($B$5,标准坦克设计!$B$24:$U$30,MATCH("对"&amp;LEFT($C$5,2)&amp;"输出",标准坦克设计!$B$23:$U$23,0)))*(VLOOKUP($B111,INDIRECT($B$5&amp;"生成成长"),3))*(VLOOKUP($B$5,标准坦克设计!$B$14:$K$20,9)/30))</f>
        <v>4.4184980708916068</v>
      </c>
      <c r="DR111" s="173">
        <f ca="1">(VLOOKUP(DR$72,INDIRECT($C$5&amp;"生成成长"),2))/((VLOOKUP($B111,INDIRECT($B$5&amp;"生成成长"),4))/(VLOOKUP(DR$72,INDIRECT($C$5&amp;"生成成长"),5))*(VLOOKUP($B$5,标准坦克设计!$B$24:$U$30,MATCH("对"&amp;LEFT($C$5,2)&amp;"输出",标准坦克设计!$B$23:$U$23,0)))*(VLOOKUP($B111,INDIRECT($B$5&amp;"生成成长"),3))*(VLOOKUP($B$5,标准坦克设计!$B$14:$K$20,9)/30))</f>
        <v>4.8016167737721824</v>
      </c>
      <c r="DS111" s="173">
        <f ca="1">(VLOOKUP(DS$72,INDIRECT($C$5&amp;"生成成长"),2))/((VLOOKUP($B111,INDIRECT($B$5&amp;"生成成长"),4))/(VLOOKUP(DS$72,INDIRECT($C$5&amp;"生成成长"),5))*(VLOOKUP($B$5,标准坦克设计!$B$24:$U$30,MATCH("对"&amp;LEFT($C$5,2)&amp;"输出",标准坦克设计!$B$23:$U$23,0)))*(VLOOKUP($B111,INDIRECT($B$5&amp;"生成成长"),3))*(VLOOKUP($B$5,标准坦克设计!$B$14:$K$20,9)/30))</f>
        <v>5.2006618892436371</v>
      </c>
      <c r="DT111" s="173">
        <f ca="1">(VLOOKUP(DT$72,INDIRECT($C$5&amp;"生成成长"),2))/((VLOOKUP($B111,INDIRECT($B$5&amp;"生成成长"),4))/(VLOOKUP(DT$72,INDIRECT($C$5&amp;"生成成长"),5))*(VLOOKUP($B$5,标准坦克设计!$B$24:$U$30,MATCH("对"&amp;LEFT($C$5,2)&amp;"输出",标准坦克设计!$B$23:$U$23,0)))*(VLOOKUP($B111,INDIRECT($B$5&amp;"生成成长"),3))*(VLOOKUP($B$5,标准坦克设计!$B$14:$K$20,9)/30))</f>
        <v>5.7100121585852488</v>
      </c>
      <c r="DU111" s="173">
        <f ca="1">(VLOOKUP(DU$72,INDIRECT($C$5&amp;"生成成长"),2))/((VLOOKUP($B111,INDIRECT($B$5&amp;"生成成长"),4))/(VLOOKUP(DU$72,INDIRECT($C$5&amp;"生成成长"),5))*(VLOOKUP($B$5,标准坦克设计!$B$24:$U$30,MATCH("对"&amp;LEFT($C$5,2)&amp;"输出",标准坦克设计!$B$23:$U$23,0)))*(VLOOKUP($B111,INDIRECT($B$5&amp;"生成成长"),3))*(VLOOKUP($B$5,标准坦克设计!$B$14:$K$20,9)/30))</f>
        <v>6.2431537356243467</v>
      </c>
      <c r="DV111" s="173">
        <f ca="1">(VLOOKUP(DV$72,INDIRECT($C$5&amp;"生成成长"),2))/((VLOOKUP($B111,INDIRECT($B$5&amp;"生成成长"),4))/(VLOOKUP(DV$72,INDIRECT($C$5&amp;"生成成长"),5))*(VLOOKUP($B$5,标准坦克设计!$B$24:$U$30,MATCH("对"&amp;LEFT($C$5,2)&amp;"输出",标准坦克设计!$B$23:$U$23,0)))*(VLOOKUP($B111,INDIRECT($B$5&amp;"生成成长"),3))*(VLOOKUP($B$5,标准坦克设计!$B$14:$K$20,9)/30))</f>
        <v>6.8000866203609274</v>
      </c>
      <c r="DW111" s="173">
        <f ca="1">(VLOOKUP(DW$72,INDIRECT($C$5&amp;"生成成长"),2))/((VLOOKUP($B111,INDIRECT($B$5&amp;"生成成长"),4))/(VLOOKUP(DW$72,INDIRECT($C$5&amp;"生成成长"),5))*(VLOOKUP($B$5,标准坦克设计!$B$24:$U$30,MATCH("对"&amp;LEFT($C$5,2)&amp;"输出",标准坦克设计!$B$23:$U$23,0)))*(VLOOKUP($B111,INDIRECT($B$5&amp;"生成成长"),3))*(VLOOKUP($B$5,标准坦克设计!$B$14:$K$20,9)/30))</f>
        <v>7.3808108127949943</v>
      </c>
      <c r="DX111" s="173">
        <f ca="1">(VLOOKUP(DX$72,INDIRECT($C$5&amp;"生成成长"),2))/((VLOOKUP($B111,INDIRECT($B$5&amp;"生成成长"),4))/(VLOOKUP(DX$72,INDIRECT($C$5&amp;"生成成长"),5))*(VLOOKUP($B$5,标准坦克设计!$B$24:$U$30,MATCH("对"&amp;LEFT($C$5,2)&amp;"输出",标准坦克设计!$B$23:$U$23,0)))*(VLOOKUP($B111,INDIRECT($B$5&amp;"生成成长"),3))*(VLOOKUP($B$5,标准坦克设计!$B$14:$K$20,9)/30))</f>
        <v>7.9853263129265475</v>
      </c>
      <c r="DY111" s="173">
        <f ca="1">(VLOOKUP(DY$72,INDIRECT($C$5&amp;"生成成长"),2))/((VLOOKUP($B111,INDIRECT($B$5&amp;"生成成长"),4))/(VLOOKUP(DY$72,INDIRECT($C$5&amp;"生成成长"),5))*(VLOOKUP($B$5,标准坦克设计!$B$24:$U$30,MATCH("对"&amp;LEFT($C$5,2)&amp;"输出",标准坦克设计!$B$23:$U$23,0)))*(VLOOKUP($B111,INDIRECT($B$5&amp;"生成成长"),3))*(VLOOKUP($B$5,标准坦克设计!$B$14:$K$20,9)/30))</f>
        <v>3.5864904798014572</v>
      </c>
      <c r="DZ111" s="173">
        <f ca="1">(VLOOKUP(DZ$72,INDIRECT($C$5&amp;"生成成长"),2))/((VLOOKUP($B111,INDIRECT($B$5&amp;"生成成长"),4))/(VLOOKUP(DZ$72,INDIRECT($C$5&amp;"生成成长"),5))*(VLOOKUP($B$5,标准坦克设计!$B$24:$U$30,MATCH("对"&amp;LEFT($C$5,2)&amp;"输出",标准坦克设计!$B$23:$U$23,0)))*(VLOOKUP($B111,INDIRECT($B$5&amp;"生成成长"),3))*(VLOOKUP($B$5,标准坦克设计!$B$14:$K$20,9)/30))</f>
        <v>3.9718703400251827</v>
      </c>
      <c r="EA111" s="173">
        <f ca="1">(VLOOKUP(EA$72,INDIRECT($C$5&amp;"生成成长"),2))/((VLOOKUP($B111,INDIRECT($B$5&amp;"生成成长"),4))/(VLOOKUP(EA$72,INDIRECT($C$5&amp;"生成成长"),5))*(VLOOKUP($B$5,标准坦克设计!$B$24:$U$30,MATCH("对"&amp;LEFT($C$5,2)&amp;"输出",标准坦克设计!$B$23:$U$23,0)))*(VLOOKUP($B111,INDIRECT($B$5&amp;"生成成长"),3))*(VLOOKUP($B$5,标准坦克设计!$B$14:$K$20,9)/30))</f>
        <v>4.3769124380154238</v>
      </c>
      <c r="EB111" s="173">
        <f ca="1">(VLOOKUP(EB$72,INDIRECT($C$5&amp;"生成成长"),2))/((VLOOKUP($B111,INDIRECT($B$5&amp;"生成成长"),4))/(VLOOKUP(EB$72,INDIRECT($C$5&amp;"生成成长"),5))*(VLOOKUP($B$5,标准坦克设计!$B$24:$U$30,MATCH("对"&amp;LEFT($C$5,2)&amp;"输出",标准坦克设计!$B$23:$U$23,0)))*(VLOOKUP($B111,INDIRECT($B$5&amp;"生成成长"),3))*(VLOOKUP($B$5,标准坦克设计!$B$14:$K$20,9)/30))</f>
        <v>4.8016167737721824</v>
      </c>
      <c r="EC111" s="173">
        <f ca="1">(VLOOKUP(EC$72,INDIRECT($C$5&amp;"生成成长"),2))/((VLOOKUP($B111,INDIRECT($B$5&amp;"生成成长"),4))/(VLOOKUP(EC$72,INDIRECT($C$5&amp;"生成成长"),5))*(VLOOKUP($B$5,标准坦克设计!$B$24:$U$30,MATCH("对"&amp;LEFT($C$5,2)&amp;"输出",标准坦克设计!$B$23:$U$23,0)))*(VLOOKUP($B111,INDIRECT($B$5&amp;"生成成长"),3))*(VLOOKUP($B$5,标准坦克设计!$B$14:$K$20,9)/30))</f>
        <v>5.2459833472954571</v>
      </c>
      <c r="ED111" s="173">
        <f ca="1">(VLOOKUP(ED$72,INDIRECT($C$5&amp;"生成成长"),2))/((VLOOKUP($B111,INDIRECT($B$5&amp;"生成成长"),4))/(VLOOKUP(ED$72,INDIRECT($C$5&amp;"生成成长"),5))*(VLOOKUP($B$5,标准坦克设计!$B$24:$U$30,MATCH("对"&amp;LEFT($C$5,2)&amp;"输出",标准坦克设计!$B$23:$U$23,0)))*(VLOOKUP($B111,INDIRECT($B$5&amp;"生成成长"),3))*(VLOOKUP($B$5,标准坦克设计!$B$14:$K$20,9)/30))</f>
        <v>5.7100121585852488</v>
      </c>
      <c r="EE111" s="173">
        <f ca="1">(VLOOKUP(EE$72,INDIRECT($C$5&amp;"生成成长"),2))/((VLOOKUP($B111,INDIRECT($B$5&amp;"生成成长"),4))/(VLOOKUP(EE$72,INDIRECT($C$5&amp;"生成成长"),5))*(VLOOKUP($B$5,标准坦克设计!$B$24:$U$30,MATCH("对"&amp;LEFT($C$5,2)&amp;"输出",标准坦克设计!$B$23:$U$23,0)))*(VLOOKUP($B111,INDIRECT($B$5&amp;"生成成长"),3))*(VLOOKUP($B$5,标准坦克设计!$B$14:$K$20,9)/30))</f>
        <v>6.1937032076415557</v>
      </c>
      <c r="EF111" s="173">
        <f ca="1">(VLOOKUP(EF$72,INDIRECT($C$5&amp;"生成成长"),2))/((VLOOKUP($B111,INDIRECT($B$5&amp;"生成成长"),4))/(VLOOKUP(EF$72,INDIRECT($C$5&amp;"生成成长"),5))*(VLOOKUP($B$5,标准坦克设计!$B$24:$U$30,MATCH("对"&amp;LEFT($C$5,2)&amp;"输出",标准坦克设计!$B$23:$U$23,0)))*(VLOOKUP($B111,INDIRECT($B$5&amp;"生成成长"),3))*(VLOOKUP($B$5,标准坦克设计!$B$14:$K$20,9)/30))</f>
        <v>6.6970564944643822</v>
      </c>
      <c r="EG111" s="173">
        <f ca="1">(VLOOKUP(EG$72,INDIRECT($C$5&amp;"生成成长"),2))/((VLOOKUP($B111,INDIRECT($B$5&amp;"生成成长"),4))/(VLOOKUP(EG$72,INDIRECT($C$5&amp;"生成成长"),5))*(VLOOKUP($B$5,标准坦克设计!$B$24:$U$30,MATCH("对"&amp;LEFT($C$5,2)&amp;"输出",标准坦克设计!$B$23:$U$23,0)))*(VLOOKUP($B111,INDIRECT($B$5&amp;"生成成长"),3))*(VLOOKUP($B$5,标准坦克设计!$B$14:$K$20,9)/30))</f>
        <v>7.2200720190537231</v>
      </c>
      <c r="EH111" s="173">
        <f ca="1">(VLOOKUP(EH$72,INDIRECT($C$5&amp;"生成成长"),2))/((VLOOKUP($B111,INDIRECT($B$5&amp;"生成成长"),4))/(VLOOKUP(EH$72,INDIRECT($C$5&amp;"生成成长"),5))*(VLOOKUP($B$5,标准坦克设计!$B$24:$U$30,MATCH("对"&amp;LEFT($C$5,2)&amp;"输出",标准坦克设计!$B$23:$U$23,0)))*(VLOOKUP($B111,INDIRECT($B$5&amp;"生成成长"),3))*(VLOOKUP($B$5,标准坦克设计!$B$14:$K$20,9)/30))</f>
        <v>7.7627497814095792</v>
      </c>
      <c r="EI111" s="173">
        <f ca="1">(VLOOKUP(EI$72,INDIRECT($C$5&amp;"生成成长"),2))/((VLOOKUP($B111,INDIRECT($B$5&amp;"生成成长"),4))/(VLOOKUP(EI$72,INDIRECT($C$5&amp;"生成成长"),5))*(VLOOKUP($B$5,标准坦克设计!$B$24:$U$30,MATCH("对"&amp;LEFT($C$5,2)&amp;"输出",标准坦克设计!$B$23:$U$23,0)))*(VLOOKUP($B111,INDIRECT($B$5&amp;"生成成长"),3))*(VLOOKUP($B$5,标准坦克设计!$B$14:$K$20,9)/30))</f>
        <v>8.3250897815319522</v>
      </c>
      <c r="EJ111" s="173">
        <f ca="1">(VLOOKUP(EJ$72,INDIRECT($C$5&amp;"生成成长"),2))/((VLOOKUP($B111,INDIRECT($B$5&amp;"生成成长"),4))/(VLOOKUP(EJ$72,INDIRECT($C$5&amp;"生成成长"),5))*(VLOOKUP($B$5,标准坦克设计!$B$24:$U$30,MATCH("对"&amp;LEFT($C$5,2)&amp;"输出",标准坦克设计!$B$23:$U$23,0)))*(VLOOKUP($B111,INDIRECT($B$5&amp;"生成成长"),3))*(VLOOKUP($B$5,标准坦克设计!$B$14:$K$20,9)/30))</f>
        <v>8.9070920194208458</v>
      </c>
      <c r="EK111" s="173">
        <f ca="1">(VLOOKUP(EK$72,INDIRECT($C$5&amp;"生成成长"),2))/((VLOOKUP($B111,INDIRECT($B$5&amp;"生成成长"),4))/(VLOOKUP(EK$72,INDIRECT($C$5&amp;"生成成长"),5))*(VLOOKUP($B$5,标准坦克设计!$B$24:$U$30,MATCH("对"&amp;LEFT($C$5,2)&amp;"输出",标准坦克设计!$B$23:$U$23,0)))*(VLOOKUP($B111,INDIRECT($B$5&amp;"生成成长"),3))*(VLOOKUP($B$5,标准坦克设计!$B$14:$K$20,9)/30))</f>
        <v>9.6314488587393168</v>
      </c>
      <c r="EL111" s="173">
        <f ca="1">(VLOOKUP(EL$72,INDIRECT($C$5&amp;"生成成长"),2))/((VLOOKUP($B111,INDIRECT($B$5&amp;"生成成长"),4))/(VLOOKUP(EL$72,INDIRECT($C$5&amp;"生成成长"),5))*(VLOOKUP($B$5,标准坦克设计!$B$24:$U$30,MATCH("对"&amp;LEFT($C$5,2)&amp;"输出",标准坦克设计!$B$23:$U$23,0)))*(VLOOKUP($B111,INDIRECT($B$5&amp;"生成成长"),3))*(VLOOKUP($B$5,标准坦克设计!$B$14:$K$20,9)/30))</f>
        <v>10.38411932044157</v>
      </c>
      <c r="EM111" s="173">
        <f ca="1">(VLOOKUP(EM$72,INDIRECT($C$5&amp;"生成成长"),2))/((VLOOKUP($B111,INDIRECT($B$5&amp;"生成成长"),4))/(VLOOKUP(EM$72,INDIRECT($C$5&amp;"生成成长"),5))*(VLOOKUP($B$5,标准坦克设计!$B$24:$U$30,MATCH("对"&amp;LEFT($C$5,2)&amp;"输出",标准坦克设计!$B$23:$U$23,0)))*(VLOOKUP($B111,INDIRECT($B$5&amp;"生成成长"),3))*(VLOOKUP($B$5,标准坦克设计!$B$14:$K$20,9)/30))</f>
        <v>11.165103404527612</v>
      </c>
      <c r="EN111" s="173">
        <f ca="1">(VLOOKUP(EN$72,INDIRECT($C$5&amp;"生成成长"),2))/((VLOOKUP($B111,INDIRECT($B$5&amp;"生成成长"),4))/(VLOOKUP(EN$72,INDIRECT($C$5&amp;"生成成长"),5))*(VLOOKUP($B$5,标准坦克设计!$B$24:$U$30,MATCH("对"&amp;LEFT($C$5,2)&amp;"输出",标准坦克设计!$B$23:$U$23,0)))*(VLOOKUP($B111,INDIRECT($B$5&amp;"生成成长"),3))*(VLOOKUP($B$5,标准坦克设计!$B$14:$K$20,9)/30))</f>
        <v>11.974401110997434</v>
      </c>
      <c r="EO111" s="173">
        <f ca="1">(VLOOKUP(EO$72,INDIRECT($C$5&amp;"生成成长"),2))/((VLOOKUP($B111,INDIRECT($B$5&amp;"生成成长"),4))/(VLOOKUP(EO$72,INDIRECT($C$5&amp;"生成成长"),5))*(VLOOKUP($B$5,标准坦克设计!$B$24:$U$30,MATCH("对"&amp;LEFT($C$5,2)&amp;"输出",标准坦克设计!$B$23:$U$23,0)))*(VLOOKUP($B111,INDIRECT($B$5&amp;"生成成长"),3))*(VLOOKUP($B$5,标准坦克设计!$B$14:$K$20,9)/30))</f>
        <v>12.81201243985104</v>
      </c>
      <c r="EP111" s="173">
        <f ca="1">(VLOOKUP(EP$72,INDIRECT($C$5&amp;"生成成长"),2))/((VLOOKUP($B111,INDIRECT($B$5&amp;"生成成长"),4))/(VLOOKUP(EP$72,INDIRECT($C$5&amp;"生成成长"),5))*(VLOOKUP($B$5,标准坦克设计!$B$24:$U$30,MATCH("对"&amp;LEFT($C$5,2)&amp;"输出",标准坦克设计!$B$23:$U$23,0)))*(VLOOKUP($B111,INDIRECT($B$5&amp;"生成成长"),3))*(VLOOKUP($B$5,标准坦克设计!$B$14:$K$20,9)/30))</f>
        <v>13.677937391088431</v>
      </c>
      <c r="EQ111" s="173">
        <f ca="1">(VLOOKUP(EQ$72,INDIRECT($C$5&amp;"生成成长"),2))/((VLOOKUP($B111,INDIRECT($B$5&amp;"生成成长"),4))/(VLOOKUP(EQ$72,INDIRECT($C$5&amp;"生成成长"),5))*(VLOOKUP($B$5,标准坦克设计!$B$24:$U$30,MATCH("对"&amp;LEFT($C$5,2)&amp;"输出",标准坦克设计!$B$23:$U$23,0)))*(VLOOKUP($B111,INDIRECT($B$5&amp;"生成成长"),3))*(VLOOKUP($B$5,标准坦克设计!$B$14:$K$20,9)/30))</f>
        <v>6.0465313579591804</v>
      </c>
      <c r="ER111" s="173">
        <f ca="1">(VLOOKUP(ER$72,INDIRECT($C$5&amp;"生成成长"),2))/((VLOOKUP($B111,INDIRECT($B$5&amp;"生成成长"),4))/(VLOOKUP(ER$72,INDIRECT($C$5&amp;"生成成长"),5))*(VLOOKUP($B$5,标准坦克设计!$B$24:$U$30,MATCH("对"&amp;LEFT($C$5,2)&amp;"输出",标准坦克设计!$B$23:$U$23,0)))*(VLOOKUP($B111,INDIRECT($B$5&amp;"生成成长"),3))*(VLOOKUP($B$5,标准坦克设计!$B$14:$K$20,9)/30))</f>
        <v>6.5948128580784937</v>
      </c>
      <c r="ES111" s="173">
        <f ca="1">(VLOOKUP(ES$72,INDIRECT($C$5&amp;"生成成长"),2))/((VLOOKUP($B111,INDIRECT($B$5&amp;"生成成长"),4))/(VLOOKUP(ES$72,INDIRECT($C$5&amp;"生成成长"),5))*(VLOOKUP($B$5,标准坦克设计!$B$24:$U$30,MATCH("对"&amp;LEFT($C$5,2)&amp;"输出",标准坦克设计!$B$23:$U$23,0)))*(VLOOKUP($B111,INDIRECT($B$5&amp;"生成成长"),3))*(VLOOKUP($B$5,标准坦克设计!$B$14:$K$20,9)/30))</f>
        <v>7.1668856658952942</v>
      </c>
      <c r="ET111" s="173">
        <f ca="1">(VLOOKUP(ET$72,INDIRECT($C$5&amp;"生成成长"),2))/((VLOOKUP($B111,INDIRECT($B$5&amp;"生成成长"),4))/(VLOOKUP(ET$72,INDIRECT($C$5&amp;"生成成长"),5))*(VLOOKUP($B$5,标准坦克设计!$B$24:$U$30,MATCH("对"&amp;LEFT($C$5,2)&amp;"输出",标准坦克设计!$B$23:$U$23,0)))*(VLOOKUP($B111,INDIRECT($B$5&amp;"生成成长"),3))*(VLOOKUP($B$5,标准坦克设计!$B$14:$K$20,9)/30))</f>
        <v>7.7627497814095792</v>
      </c>
      <c r="EU111" s="173">
        <f ca="1">(VLOOKUP(EU$72,INDIRECT($C$5&amp;"生成成长"),2))/((VLOOKUP($B111,INDIRECT($B$5&amp;"生成成长"),4))/(VLOOKUP(EU$72,INDIRECT($C$5&amp;"生成成长"),5))*(VLOOKUP($B$5,标准坦克设计!$B$24:$U$30,MATCH("对"&amp;LEFT($C$5,2)&amp;"输出",标准坦克设计!$B$23:$U$23,0)))*(VLOOKUP($B111,INDIRECT($B$5&amp;"生成成长"),3))*(VLOOKUP($B$5,标准坦克设计!$B$14:$K$20,9)/30))</f>
        <v>8.3824052046213477</v>
      </c>
      <c r="EV111" s="173">
        <f ca="1">(VLOOKUP(EV$72,INDIRECT($C$5&amp;"生成成长"),2))/((VLOOKUP($B111,INDIRECT($B$5&amp;"生成成长"),4))/(VLOOKUP(EV$72,INDIRECT($C$5&amp;"生成成长"),5))*(VLOOKUP($B$5,标准坦克设计!$B$24:$U$30,MATCH("对"&amp;LEFT($C$5,2)&amp;"输出",标准坦克设计!$B$23:$U$23,0)))*(VLOOKUP($B111,INDIRECT($B$5&amp;"生成成长"),3))*(VLOOKUP($B$5,标准坦克设计!$B$14:$K$20,9)/30))</f>
        <v>9.0258519355306071</v>
      </c>
      <c r="EW111" s="173">
        <f ca="1">(VLOOKUP(EW$72,INDIRECT($C$5&amp;"生成成长"),2))/((VLOOKUP($B111,INDIRECT($B$5&amp;"生成成长"),4))/(VLOOKUP(EW$72,INDIRECT($C$5&amp;"生成成长"),5))*(VLOOKUP($B$5,标准坦克设计!$B$24:$U$30,MATCH("对"&amp;LEFT($C$5,2)&amp;"输出",标准坦克设计!$B$23:$U$23,0)))*(VLOOKUP($B111,INDIRECT($B$5&amp;"生成成长"),3))*(VLOOKUP($B$5,标准坦克设计!$B$14:$K$20,9)/30))</f>
        <v>9.6930899741373473</v>
      </c>
      <c r="EX111" s="173">
        <f ca="1">(VLOOKUP(EX$72,INDIRECT($C$5&amp;"生成成长"),2))/((VLOOKUP($B111,INDIRECT($B$5&amp;"生成成长"),4))/(VLOOKUP(EX$72,INDIRECT($C$5&amp;"生成成长"),5))*(VLOOKUP($B$5,标准坦克设计!$B$24:$U$30,MATCH("对"&amp;LEFT($C$5,2)&amp;"输出",标准坦克设计!$B$23:$U$23,0)))*(VLOOKUP($B111,INDIRECT($B$5&amp;"生成成长"),3))*(VLOOKUP($B$5,标准坦克设计!$B$14:$K$20,9)/30))</f>
        <v>10.38411932044157</v>
      </c>
      <c r="EY111" s="173">
        <f ca="1">(VLOOKUP(EY$72,INDIRECT($C$5&amp;"生成成长"),2))/((VLOOKUP($B111,INDIRECT($B$5&amp;"生成成长"),4))/(VLOOKUP(EY$72,INDIRECT($C$5&amp;"生成成长"),5))*(VLOOKUP($B$5,标准坦克设计!$B$24:$U$30,MATCH("对"&amp;LEFT($C$5,2)&amp;"输出",标准坦克设计!$B$23:$U$23,0)))*(VLOOKUP($B111,INDIRECT($B$5&amp;"生成成长"),3))*(VLOOKUP($B$5,标准坦克设计!$B$14:$K$20,9)/30))</f>
        <v>11.098939974443281</v>
      </c>
      <c r="EZ111" s="173">
        <f ca="1">(VLOOKUP(EZ$72,INDIRECT($C$5&amp;"生成成长"),2))/((VLOOKUP($B111,INDIRECT($B$5&amp;"生成成长"),4))/(VLOOKUP(EZ$72,INDIRECT($C$5&amp;"生成成长"),5))*(VLOOKUP($B$5,标准坦克设计!$B$24:$U$30,MATCH("对"&amp;LEFT($C$5,2)&amp;"输出",标准坦克设计!$B$23:$U$23,0)))*(VLOOKUP($B111,INDIRECT($B$5&amp;"生成成长"),3))*(VLOOKUP($B$5,标准坦克设计!$B$14:$K$20,9)/30))</f>
        <v>11.837551936142475</v>
      </c>
      <c r="FA111" s="173">
        <f ca="1">(VLOOKUP(FA$72,INDIRECT($C$5&amp;"生成成长"),2))/((VLOOKUP($B111,INDIRECT($B$5&amp;"生成成长"),4))/(VLOOKUP(FA$72,INDIRECT($C$5&amp;"生成成长"),5))*(VLOOKUP($B$5,标准坦克设计!$B$24:$U$30,MATCH("对"&amp;LEFT($C$5,2)&amp;"输出",标准坦克设计!$B$23:$U$23,0)))*(VLOOKUP($B111,INDIRECT($B$5&amp;"生成成长"),3))*(VLOOKUP($B$5,标准坦克设计!$B$14:$K$20,9)/30))</f>
        <v>12.599955205539159</v>
      </c>
      <c r="FB111" s="173">
        <f ca="1">(VLOOKUP(FB$72,INDIRECT($C$5&amp;"生成成长"),2))/((VLOOKUP($B111,INDIRECT($B$5&amp;"生成成长"),4))/(VLOOKUP(FB$72,INDIRECT($C$5&amp;"生成成长"),5))*(VLOOKUP($B$5,标准坦克设计!$B$24:$U$30,MATCH("对"&amp;LEFT($C$5,2)&amp;"输出",标准坦克设计!$B$23:$U$23,0)))*(VLOOKUP($B111,INDIRECT($B$5&amp;"生成成长"),3))*(VLOOKUP($B$5,标准坦克设计!$B$14:$K$20,9)/30))</f>
        <v>13.386149782633323</v>
      </c>
      <c r="FC111" s="173">
        <f ca="1">(VLOOKUP(FC$72,INDIRECT($C$5&amp;"生成成长"),2))/((VLOOKUP($B111,INDIRECT($B$5&amp;"生成成长"),4))/(VLOOKUP(FC$72,INDIRECT($C$5&amp;"生成成长"),5))*(VLOOKUP($B$5,标准坦克设计!$B$24:$U$30,MATCH("对"&amp;LEFT($C$5,2)&amp;"输出",标准坦克设计!$B$23:$U$23,0)))*(VLOOKUP($B111,INDIRECT($B$5&amp;"生成成长"),3))*(VLOOKUP($B$5,标准坦克设计!$B$14:$K$20,9)/30))</f>
        <v>14.196135667424974</v>
      </c>
      <c r="FD111" s="173">
        <f ca="1">(VLOOKUP(FD$72,INDIRECT($C$5&amp;"生成成长"),2))/((VLOOKUP($B111,INDIRECT($B$5&amp;"生成成长"),4))/(VLOOKUP(FD$72,INDIRECT($C$5&amp;"生成成长"),5))*(VLOOKUP($B$5,标准坦克设计!$B$24:$U$30,MATCH("对"&amp;LEFT($C$5,2)&amp;"输出",标准坦克设计!$B$23:$U$23,0)))*(VLOOKUP($B111,INDIRECT($B$5&amp;"生成成长"),3))*(VLOOKUP($B$5,标准坦克设计!$B$14:$K$20,9)/30))</f>
        <v>15.029912859914111</v>
      </c>
      <c r="FE111" s="173">
        <f ca="1">(VLOOKUP(FE$72,INDIRECT($C$5&amp;"生成成长"),2))/((VLOOKUP($B111,INDIRECT($B$5&amp;"生成成长"),4))/(VLOOKUP(FE$72,INDIRECT($C$5&amp;"生成成长"),5))*(VLOOKUP($B$5,标准坦克设计!$B$24:$U$30,MATCH("对"&amp;LEFT($C$5,2)&amp;"输出",标准坦克设计!$B$23:$U$23,0)))*(VLOOKUP($B111,INDIRECT($B$5&amp;"生成成长"),3))*(VLOOKUP($B$5,标准坦克设计!$B$14:$K$20,9)/30))</f>
        <v>16.04595899649885</v>
      </c>
      <c r="FF111" s="173">
        <f ca="1">(VLOOKUP(FF$72,INDIRECT($C$5&amp;"生成成长"),2))/((VLOOKUP($B111,INDIRECT($B$5&amp;"生成成长"),4))/(VLOOKUP(FF$72,INDIRECT($C$5&amp;"生成成长"),5))*(VLOOKUP($B$5,标准坦克设计!$B$24:$U$30,MATCH("对"&amp;LEFT($C$5,2)&amp;"输出",标准坦克设计!$B$23:$U$23,0)))*(VLOOKUP($B111,INDIRECT($B$5&amp;"生成成长"),3))*(VLOOKUP($B$5,标准坦克设计!$B$14:$K$20,9)/30))</f>
        <v>17.09523431490901</v>
      </c>
      <c r="FG111" s="173">
        <f ca="1">(VLOOKUP(FG$72,INDIRECT($C$5&amp;"生成成长"),2))/((VLOOKUP($B111,INDIRECT($B$5&amp;"生成成长"),4))/(VLOOKUP(FG$72,INDIRECT($C$5&amp;"生成成长"),5))*(VLOOKUP($B$5,标准坦克设计!$B$24:$U$30,MATCH("对"&amp;LEFT($C$5,2)&amp;"输出",标准坦克设计!$B$23:$U$23,0)))*(VLOOKUP($B111,INDIRECT($B$5&amp;"生成成长"),3))*(VLOOKUP($B$5,标准坦克设计!$B$14:$K$20,9)/30))</f>
        <v>18.177738815144583</v>
      </c>
      <c r="FH111" s="173">
        <f ca="1">(VLOOKUP(FH$72,INDIRECT($C$5&amp;"生成成长"),2))/((VLOOKUP($B111,INDIRECT($B$5&amp;"生成成长"),4))/(VLOOKUP(FH$72,INDIRECT($C$5&amp;"生成成长"),5))*(VLOOKUP($B$5,标准坦克设计!$B$24:$U$30,MATCH("对"&amp;LEFT($C$5,2)&amp;"输出",标准坦克设计!$B$23:$U$23,0)))*(VLOOKUP($B111,INDIRECT($B$5&amp;"生成成长"),3))*(VLOOKUP($B$5,标准坦克设计!$B$14:$K$20,9)/30))</f>
        <v>19.293472497205563</v>
      </c>
      <c r="FI111" s="173">
        <f ca="1">(VLOOKUP(FI$72,INDIRECT($C$5&amp;"生成成长"),2))/((VLOOKUP($B111,INDIRECT($B$5&amp;"生成成长"),4))/(VLOOKUP(FI$72,INDIRECT($C$5&amp;"生成成长"),5))*(VLOOKUP($B$5,标准坦克设计!$B$24:$U$30,MATCH("对"&amp;LEFT($C$5,2)&amp;"输出",标准坦克设计!$B$23:$U$23,0)))*(VLOOKUP($B111,INDIRECT($B$5&amp;"生成成长"),3))*(VLOOKUP($B$5,标准坦克设计!$B$14:$K$20,9)/30))</f>
        <v>20.442435361091963</v>
      </c>
      <c r="FJ111" s="173">
        <f ca="1">(VLOOKUP(FJ$72,INDIRECT($C$5&amp;"生成成长"),2))/((VLOOKUP($B111,INDIRECT($B$5&amp;"生成成长"),4))/(VLOOKUP(FJ$72,INDIRECT($C$5&amp;"生成成长"),5))*(VLOOKUP($B$5,标准坦克设计!$B$24:$U$30,MATCH("对"&amp;LEFT($C$5,2)&amp;"输出",标准坦克设计!$B$23:$U$23,0)))*(VLOOKUP($B111,INDIRECT($B$5&amp;"生成成长"),3))*(VLOOKUP($B$5,标准坦克设计!$B$14:$K$20,9)/30))</f>
        <v>21.624627406803771</v>
      </c>
      <c r="FK111" s="173">
        <f ca="1">(VLOOKUP(FK$72,INDIRECT($C$5&amp;"生成成长"),2))/((VLOOKUP($B111,INDIRECT($B$5&amp;"生成成长"),4))/(VLOOKUP(FK$72,INDIRECT($C$5&amp;"生成成长"),5))*(VLOOKUP($B$5,标准坦克设计!$B$24:$U$30,MATCH("对"&amp;LEFT($C$5,2)&amp;"输出",标准坦克设计!$B$23:$U$23,0)))*(VLOOKUP($B111,INDIRECT($B$5&amp;"生成成长"),3))*(VLOOKUP($B$5,标准坦克设计!$B$14:$K$20,9)/30))</f>
        <v>22.840048634340995</v>
      </c>
    </row>
    <row r="112" spans="1:167" x14ac:dyDescent="0.15">
      <c r="A112" s="171" t="str">
        <f t="shared" si="11"/>
        <v>T5低品质8级</v>
      </c>
      <c r="B112" s="172">
        <v>10508</v>
      </c>
      <c r="C112" s="173">
        <f ca="1">(VLOOKUP(C$72,INDIRECT($C$5&amp;"生成成长"),2))/((VLOOKUP($B112,INDIRECT($B$5&amp;"生成成长"),4))/(VLOOKUP(C$72,INDIRECT($C$5&amp;"生成成长"),5))*(VLOOKUP($B$5,标准坦克设计!$B$24:$U$30,MATCH("对"&amp;LEFT($C$5,2)&amp;"输出",标准坦克设计!$B$23:$U$23,0)))*(VLOOKUP($B112,INDIRECT($B$5&amp;"生成成长"),3))*(VLOOKUP($B$5,标准坦克设计!$B$14:$K$20,9)/30))</f>
        <v>0.91476096123891237</v>
      </c>
      <c r="D112" s="173">
        <f ca="1">(VLOOKUP(D$72,INDIRECT($C$5&amp;"生成成长"),2))/((VLOOKUP($B112,INDIRECT($B$5&amp;"生成成长"),4))/(VLOOKUP(D$72,INDIRECT($C$5&amp;"生成成长"),5))*(VLOOKUP($B$5,标准坦克设计!$B$24:$U$30,MATCH("对"&amp;LEFT($C$5,2)&amp;"输出",标准坦克设计!$B$23:$U$23,0)))*(VLOOKUP($B112,INDIRECT($B$5&amp;"生成成长"),3))*(VLOOKUP($B$5,标准坦克设计!$B$14:$K$20,9)/30))</f>
        <v>1.0278254160480418</v>
      </c>
      <c r="E112" s="173">
        <f ca="1">(VLOOKUP(E$72,INDIRECT($C$5&amp;"生成成长"),2))/((VLOOKUP($B112,INDIRECT($B$5&amp;"生成成长"),4))/(VLOOKUP(E$72,INDIRECT($C$5&amp;"生成成长"),5))*(VLOOKUP($B$5,标准坦克设计!$B$24:$U$30,MATCH("对"&amp;LEFT($C$5,2)&amp;"输出",标准坦克设计!$B$23:$U$23,0)))*(VLOOKUP($B112,INDIRECT($B$5&amp;"生成成长"),3))*(VLOOKUP($B$5,标准坦克设计!$B$14:$K$20,9)/30))</f>
        <v>1.1474761497780916</v>
      </c>
      <c r="F112" s="173">
        <f ca="1">(VLOOKUP(F$72,INDIRECT($C$5&amp;"生成成长"),2))/((VLOOKUP($B112,INDIRECT($B$5&amp;"生成成长"),4))/(VLOOKUP(F$72,INDIRECT($C$5&amp;"生成成长"),5))*(VLOOKUP($B$5,标准坦克设计!$B$24:$U$30,MATCH("对"&amp;LEFT($C$5,2)&amp;"输出",标准坦克设计!$B$23:$U$23,0)))*(VLOOKUP($B112,INDIRECT($B$5&amp;"生成成长"),3))*(VLOOKUP($B$5,标准坦克设计!$B$14:$K$20,9)/30))</f>
        <v>1.2737131624290614</v>
      </c>
      <c r="G112" s="173">
        <f ca="1">(VLOOKUP(G$72,INDIRECT($C$5&amp;"生成成长"),2))/((VLOOKUP($B112,INDIRECT($B$5&amp;"生成成长"),4))/(VLOOKUP(G$72,INDIRECT($C$5&amp;"生成成长"),5))*(VLOOKUP($B$5,标准坦克设计!$B$24:$U$30,MATCH("对"&amp;LEFT($C$5,2)&amp;"输出",标准坦克设计!$B$23:$U$23,0)))*(VLOOKUP($B112,INDIRECT($B$5&amp;"生成成长"),3))*(VLOOKUP($B$5,标准坦克设计!$B$14:$K$20,9)/30))</f>
        <v>1.4065364540009513</v>
      </c>
      <c r="H112" s="173">
        <f ca="1">(VLOOKUP(H$72,INDIRECT($C$5&amp;"生成成长"),2))/((VLOOKUP($B112,INDIRECT($B$5&amp;"生成成长"),4))/(VLOOKUP(H$72,INDIRECT($C$5&amp;"生成成长"),5))*(VLOOKUP($B$5,标准坦克设计!$B$24:$U$30,MATCH("对"&amp;LEFT($C$5,2)&amp;"输出",标准坦克设计!$B$23:$U$23,0)))*(VLOOKUP($B112,INDIRECT($B$5&amp;"生成成长"),3))*(VLOOKUP($B$5,标准坦克设计!$B$14:$K$20,9)/30))</f>
        <v>1.2309023494430804</v>
      </c>
      <c r="I112" s="173">
        <f ca="1">(VLOOKUP(I$72,INDIRECT($C$5&amp;"生成成长"),2))/((VLOOKUP($B112,INDIRECT($B$5&amp;"生成成长"),4))/(VLOOKUP(I$72,INDIRECT($C$5&amp;"生成成长"),5))*(VLOOKUP($B$5,标准坦克设计!$B$24:$U$30,MATCH("对"&amp;LEFT($C$5,2)&amp;"输出",标准坦克设计!$B$23:$U$23,0)))*(VLOOKUP($B112,INDIRECT($B$5&amp;"生成成长"),3))*(VLOOKUP($B$5,标准坦克设计!$B$14:$K$20,9)/30))</f>
        <v>1.4065364540009513</v>
      </c>
      <c r="J112" s="173">
        <f ca="1">(VLOOKUP(J$72,INDIRECT($C$5&amp;"生成成长"),2))/((VLOOKUP($B112,INDIRECT($B$5&amp;"生成成长"),4))/(VLOOKUP(J$72,INDIRECT($C$5&amp;"生成成长"),5))*(VLOOKUP($B$5,标准坦克设计!$B$24:$U$30,MATCH("对"&amp;LEFT($C$5,2)&amp;"输出",标准坦克设计!$B$23:$U$23,0)))*(VLOOKUP($B112,INDIRECT($B$5&amp;"生成成长"),3))*(VLOOKUP($B$5,标准坦克设计!$B$14:$K$20,9)/30))</f>
        <v>1.593879498862681</v>
      </c>
      <c r="K112" s="173">
        <f ca="1">(VLOOKUP(K$72,INDIRECT($C$5&amp;"生成成长"),2))/((VLOOKUP($B112,INDIRECT($B$5&amp;"生成成长"),4))/(VLOOKUP(K$72,INDIRECT($C$5&amp;"生成成长"),5))*(VLOOKUP($B$5,标准坦克设计!$B$24:$U$30,MATCH("对"&amp;LEFT($C$5,2)&amp;"输出",标准坦克设计!$B$23:$U$23,0)))*(VLOOKUP($B112,INDIRECT($B$5&amp;"生成成长"),3))*(VLOOKUP($B$5,标准坦克设计!$B$14:$K$20,9)/30))</f>
        <v>1.792931484028268</v>
      </c>
      <c r="L112" s="173">
        <f ca="1">(VLOOKUP(L$72,INDIRECT($C$5&amp;"生成成长"),2))/((VLOOKUP($B112,INDIRECT($B$5&amp;"生成成长"),4))/(VLOOKUP(L$72,INDIRECT($C$5&amp;"生成成长"),5))*(VLOOKUP($B$5,标准坦克设计!$B$24:$U$30,MATCH("对"&amp;LEFT($C$5,2)&amp;"输出",标准坦克设计!$B$23:$U$23,0)))*(VLOOKUP($B112,INDIRECT($B$5&amp;"生成成长"),3))*(VLOOKUP($B$5,标准坦克设计!$B$14:$K$20,9)/30))</f>
        <v>2.0036924094977135</v>
      </c>
      <c r="M112" s="173">
        <f ca="1">(VLOOKUP(M$72,INDIRECT($C$5&amp;"生成成长"),2))/((VLOOKUP($B112,INDIRECT($B$5&amp;"生成成长"),4))/(VLOOKUP(M$72,INDIRECT($C$5&amp;"生成成长"),5))*(VLOOKUP($B$5,标准坦克设计!$B$24:$U$30,MATCH("对"&amp;LEFT($C$5,2)&amp;"输出",标准坦克设计!$B$23:$U$23,0)))*(VLOOKUP($B112,INDIRECT($B$5&amp;"生成成长"),3))*(VLOOKUP($B$5,标准坦克设计!$B$14:$K$20,9)/30))</f>
        <v>2.2261622752710171</v>
      </c>
      <c r="N112" s="173">
        <f ca="1">(VLOOKUP(N$72,INDIRECT($C$5&amp;"生成成长"),2))/((VLOOKUP($B112,INDIRECT($B$5&amp;"生成成长"),4))/(VLOOKUP(N$72,INDIRECT($C$5&amp;"生成成长"),5))*(VLOOKUP($B$5,标准坦克设计!$B$24:$U$30,MATCH("对"&amp;LEFT($C$5,2)&amp;"输出",标准坦克设计!$B$23:$U$23,0)))*(VLOOKUP($B112,INDIRECT($B$5&amp;"生成成长"),3))*(VLOOKUP($B$5,标准坦克设计!$B$14:$K$20,9)/30))</f>
        <v>2.4603410813481785</v>
      </c>
      <c r="O112" s="173">
        <f ca="1">(VLOOKUP(O$72,INDIRECT($C$5&amp;"生成成长"),2))/((VLOOKUP($B112,INDIRECT($B$5&amp;"生成成长"),4))/(VLOOKUP(O$72,INDIRECT($C$5&amp;"生成成长"),5))*(VLOOKUP($B$5,标准坦克设计!$B$24:$U$30,MATCH("对"&amp;LEFT($C$5,2)&amp;"输出",标准坦克设计!$B$23:$U$23,0)))*(VLOOKUP($B112,INDIRECT($B$5&amp;"生成成长"),3))*(VLOOKUP($B$5,标准坦克设计!$B$14:$K$20,9)/30))</f>
        <v>1.8705946896374517</v>
      </c>
      <c r="P112" s="173">
        <f ca="1">(VLOOKUP(P$72,INDIRECT($C$5&amp;"生成成长"),2))/((VLOOKUP($B112,INDIRECT($B$5&amp;"生成成长"),4))/(VLOOKUP(P$72,INDIRECT($C$5&amp;"生成成长"),5))*(VLOOKUP($B$5,标准坦克设计!$B$24:$U$30,MATCH("对"&amp;LEFT($C$5,2)&amp;"输出",标准坦克设计!$B$23:$U$23,0)))*(VLOOKUP($B112,INDIRECT($B$5&amp;"生成成长"),3))*(VLOOKUP($B$5,标准坦克设计!$B$14:$K$20,9)/30))</f>
        <v>2.1134637248463832</v>
      </c>
      <c r="Q112" s="173">
        <f ca="1">(VLOOKUP(Q$72,INDIRECT($C$5&amp;"生成成长"),2))/((VLOOKUP($B112,INDIRECT($B$5&amp;"生成成长"),4))/(VLOOKUP(Q$72,INDIRECT($C$5&amp;"生成成长"),5))*(VLOOKUP($B$5,标准坦克设计!$B$24:$U$30,MATCH("对"&amp;LEFT($C$5,2)&amp;"输出",标准坦克设计!$B$23:$U$23,0)))*(VLOOKUP($B112,INDIRECT($B$5&amp;"生成成长"),3))*(VLOOKUP($B$5,标准坦克设计!$B$14:$K$20,9)/30))</f>
        <v>2.3711518876273847</v>
      </c>
      <c r="R112" s="173">
        <f ca="1">(VLOOKUP(R$72,INDIRECT($C$5&amp;"生成成长"),2))/((VLOOKUP($B112,INDIRECT($B$5&amp;"生成成长"),4))/(VLOOKUP(R$72,INDIRECT($C$5&amp;"生成成长"),5))*(VLOOKUP($B$5,标准坦克设计!$B$24:$U$30,MATCH("对"&amp;LEFT($C$5,2)&amp;"输出",标准坦克设计!$B$23:$U$23,0)))*(VLOOKUP($B112,INDIRECT($B$5&amp;"生成成长"),3))*(VLOOKUP($B$5,标准坦克设计!$B$14:$K$20,9)/30))</f>
        <v>2.643659177980457</v>
      </c>
      <c r="S112" s="173">
        <f ca="1">(VLOOKUP(S$72,INDIRECT($C$5&amp;"生成成长"),2))/((VLOOKUP($B112,INDIRECT($B$5&amp;"生成成长"),4))/(VLOOKUP(S$72,INDIRECT($C$5&amp;"生成成长"),5))*(VLOOKUP($B$5,标准坦克设计!$B$24:$U$30,MATCH("对"&amp;LEFT($C$5,2)&amp;"输出",标准坦克设计!$B$23:$U$23,0)))*(VLOOKUP($B112,INDIRECT($B$5&amp;"生成成长"),3))*(VLOOKUP($B$5,标准坦克设计!$B$14:$K$20,9)/30))</f>
        <v>2.9309855959055993</v>
      </c>
      <c r="T112" s="173">
        <f ca="1">(VLOOKUP(T$72,INDIRECT($C$5&amp;"生成成长"),2))/((VLOOKUP($B112,INDIRECT($B$5&amp;"生成成长"),4))/(VLOOKUP(T$72,INDIRECT($C$5&amp;"生成成长"),5))*(VLOOKUP($B$5,标准坦克设计!$B$24:$U$30,MATCH("对"&amp;LEFT($C$5,2)&amp;"输出",标准坦克设计!$B$23:$U$23,0)))*(VLOOKUP($B112,INDIRECT($B$5&amp;"生成成长"),3))*(VLOOKUP($B$5,标准坦克设计!$B$14:$K$20,9)/30))</f>
        <v>3.2331311414028119</v>
      </c>
      <c r="U112" s="173">
        <f ca="1">(VLOOKUP(U$72,INDIRECT($C$5&amp;"生成成长"),2))/((VLOOKUP($B112,INDIRECT($B$5&amp;"生成成长"),4))/(VLOOKUP(U$72,INDIRECT($C$5&amp;"生成成长"),5))*(VLOOKUP($B$5,标准坦克设计!$B$24:$U$30,MATCH("对"&amp;LEFT($C$5,2)&amp;"输出",标准坦克设计!$B$23:$U$23,0)))*(VLOOKUP($B112,INDIRECT($B$5&amp;"生成成长"),3))*(VLOOKUP($B$5,标准坦克设计!$B$14:$K$20,9)/30))</f>
        <v>3.5500958144720949</v>
      </c>
      <c r="V112" s="173">
        <f ca="1">(VLOOKUP(V$72,INDIRECT($C$5&amp;"生成成长"),2))/((VLOOKUP($B112,INDIRECT($B$5&amp;"生成成长"),4))/(VLOOKUP(V$72,INDIRECT($C$5&amp;"生成成长"),5))*(VLOOKUP($B$5,标准坦克设计!$B$24:$U$30,MATCH("对"&amp;LEFT($C$5,2)&amp;"输出",标准坦克设计!$B$23:$U$23,0)))*(VLOOKUP($B112,INDIRECT($B$5&amp;"生成成长"),3))*(VLOOKUP($B$5,标准坦克设计!$B$14:$K$20,9)/30))</f>
        <v>3.8818796151134483</v>
      </c>
      <c r="W112" s="173">
        <f ca="1">(VLOOKUP(W$72,INDIRECT($C$5&amp;"生成成长"),2))/((VLOOKUP($B112,INDIRECT($B$5&amp;"生成成长"),4))/(VLOOKUP(W$72,INDIRECT($C$5&amp;"生成成长"),5))*(VLOOKUP($B$5,标准坦克设计!$B$24:$U$30,MATCH("对"&amp;LEFT($C$5,2)&amp;"输出",标准坦克设计!$B$23:$U$23,0)))*(VLOOKUP($B112,INDIRECT($B$5&amp;"生成成长"),3))*(VLOOKUP($B$5,标准坦克设计!$B$14:$K$20,9)/30))</f>
        <v>4.2284825433268729</v>
      </c>
      <c r="X112" s="173">
        <f ca="1">(VLOOKUP(X$72,INDIRECT($C$5&amp;"生成成长"),2))/((VLOOKUP($B112,INDIRECT($B$5&amp;"生成成长"),4))/(VLOOKUP(X$72,INDIRECT($C$5&amp;"生成成长"),5))*(VLOOKUP($B$5,标准坦克设计!$B$24:$U$30,MATCH("对"&amp;LEFT($C$5,2)&amp;"输出",标准坦克设计!$B$23:$U$23,0)))*(VLOOKUP($B112,INDIRECT($B$5&amp;"生成成长"),3))*(VLOOKUP($B$5,标准坦克设计!$B$14:$K$20,9)/30))</f>
        <v>3.0634429830929935</v>
      </c>
      <c r="Y112" s="173">
        <f ca="1">(VLOOKUP(Y$72,INDIRECT($C$5&amp;"生成成长"),2))/((VLOOKUP($B112,INDIRECT($B$5&amp;"生成成长"),4))/(VLOOKUP(Y$72,INDIRECT($C$5&amp;"生成成长"),5))*(VLOOKUP($B$5,标准坦克设计!$B$24:$U$30,MATCH("对"&amp;LEFT($C$5,2)&amp;"输出",标准坦克设计!$B$23:$U$23,0)))*(VLOOKUP($B112,INDIRECT($B$5&amp;"生成成长"),3))*(VLOOKUP($B$5,标准坦克设计!$B$14:$K$20,9)/30))</f>
        <v>3.4073931045188246</v>
      </c>
      <c r="Z112" s="173">
        <f ca="1">(VLOOKUP(Z$72,INDIRECT($C$5&amp;"生成成长"),2))/((VLOOKUP($B112,INDIRECT($B$5&amp;"生成成长"),4))/(VLOOKUP(Z$72,INDIRECT($C$5&amp;"生成成长"),5))*(VLOOKUP($B$5,标准坦克设计!$B$24:$U$30,MATCH("对"&amp;LEFT($C$5,2)&amp;"输出",标准坦克设计!$B$23:$U$23,0)))*(VLOOKUP($B112,INDIRECT($B$5&amp;"生成成长"),3))*(VLOOKUP($B$5,标准坦克设计!$B$14:$K$20,9)/30))</f>
        <v>3.7696384451694338</v>
      </c>
      <c r="AA112" s="173">
        <f ca="1">(VLOOKUP(AA$72,INDIRECT($C$5&amp;"生成成长"),2))/((VLOOKUP($B112,INDIRECT($B$5&amp;"生成成长"),4))/(VLOOKUP(AA$72,INDIRECT($C$5&amp;"生成成长"),5))*(VLOOKUP($B$5,标准坦克设计!$B$24:$U$30,MATCH("对"&amp;LEFT($C$5,2)&amp;"输出",标准坦克设计!$B$23:$U$23,0)))*(VLOOKUP($B112,INDIRECT($B$5&amp;"生成成长"),3))*(VLOOKUP($B$5,标准坦克设计!$B$14:$K$20,9)/30))</f>
        <v>4.1501790050448211</v>
      </c>
      <c r="AB112" s="173">
        <f ca="1">(VLOOKUP(AB$72,INDIRECT($C$5&amp;"生成成长"),2))/((VLOOKUP($B112,INDIRECT($B$5&amp;"生成成长"),4))/(VLOOKUP(AB$72,INDIRECT($C$5&amp;"生成成长"),5))*(VLOOKUP($B$5,标准坦克设计!$B$24:$U$30,MATCH("对"&amp;LEFT($C$5,2)&amp;"输出",标准坦克设计!$B$23:$U$23,0)))*(VLOOKUP($B112,INDIRECT($B$5&amp;"生成成长"),3))*(VLOOKUP($B$5,标准坦克设计!$B$14:$K$20,9)/30))</f>
        <v>4.5490147841449868</v>
      </c>
      <c r="AC112" s="173">
        <f ca="1">(VLOOKUP(AC$72,INDIRECT($C$5&amp;"生成成长"),2))/((VLOOKUP($B112,INDIRECT($B$5&amp;"生成成长"),4))/(VLOOKUP(AC$72,INDIRECT($C$5&amp;"生成成长"),5))*(VLOOKUP($B$5,标准坦克设计!$B$24:$U$30,MATCH("对"&amp;LEFT($C$5,2)&amp;"输出",标准坦克设计!$B$23:$U$23,0)))*(VLOOKUP($B112,INDIRECT($B$5&amp;"生成成长"),3))*(VLOOKUP($B$5,标准坦克设计!$B$14:$K$20,9)/30))</f>
        <v>4.9661457824699315</v>
      </c>
      <c r="AD112" s="173">
        <f ca="1">(VLOOKUP(AD$72,INDIRECT($C$5&amp;"生成成长"),2))/((VLOOKUP($B112,INDIRECT($B$5&amp;"生成成长"),4))/(VLOOKUP(AD$72,INDIRECT($C$5&amp;"生成成长"),5))*(VLOOKUP($B$5,标准坦克设计!$B$24:$U$30,MATCH("对"&amp;LEFT($C$5,2)&amp;"输出",标准坦克设计!$B$23:$U$23,0)))*(VLOOKUP($B112,INDIRECT($B$5&amp;"生成成长"),3))*(VLOOKUP($B$5,标准坦克设计!$B$14:$K$20,9)/30))</f>
        <v>5.4015720000196534</v>
      </c>
      <c r="AE112" s="173">
        <f ca="1">(VLOOKUP(AE$72,INDIRECT($C$5&amp;"生成成长"),2))/((VLOOKUP($B112,INDIRECT($B$5&amp;"生成成长"),4))/(VLOOKUP(AE$72,INDIRECT($C$5&amp;"生成成长"),5))*(VLOOKUP($B$5,标准坦克设计!$B$24:$U$30,MATCH("对"&amp;LEFT($C$5,2)&amp;"输出",标准坦克设计!$B$23:$U$23,0)))*(VLOOKUP($B112,INDIRECT($B$5&amp;"生成成长"),3))*(VLOOKUP($B$5,标准坦克设计!$B$14:$K$20,9)/30))</f>
        <v>5.8552934367941543</v>
      </c>
      <c r="AF112" s="173">
        <f ca="1">(VLOOKUP(AF$72,INDIRECT($C$5&amp;"生成成长"),2))/((VLOOKUP($B112,INDIRECT($B$5&amp;"生成成长"),4))/(VLOOKUP(AF$72,INDIRECT($C$5&amp;"生成成长"),5))*(VLOOKUP($B$5,标准坦克设计!$B$24:$U$30,MATCH("对"&amp;LEFT($C$5,2)&amp;"输出",标准坦克设计!$B$23:$U$23,0)))*(VLOOKUP($B112,INDIRECT($B$5&amp;"生成成长"),3))*(VLOOKUP($B$5,标准坦克设计!$B$14:$K$20,9)/30))</f>
        <v>6.327310092793434</v>
      </c>
      <c r="AG112" s="173">
        <f ca="1">(VLOOKUP(AG$72,INDIRECT($C$5&amp;"生成成长"),2))/((VLOOKUP($B112,INDIRECT($B$5&amp;"生成成长"),4))/(VLOOKUP(AG$72,INDIRECT($C$5&amp;"生成成长"),5))*(VLOOKUP($B$5,标准坦克设计!$B$24:$U$30,MATCH("对"&amp;LEFT($C$5,2)&amp;"输出",标准坦克设计!$B$23:$U$23,0)))*(VLOOKUP($B112,INDIRECT($B$5&amp;"生成成长"),3))*(VLOOKUP($B$5,标准坦克设计!$B$14:$K$20,9)/30))</f>
        <v>6.8176219680174901</v>
      </c>
      <c r="AH112" s="173">
        <f ca="1">(VLOOKUP(AH$72,INDIRECT($C$5&amp;"生成成长"),2))/((VLOOKUP($B112,INDIRECT($B$5&amp;"生成成长"),4))/(VLOOKUP(AH$72,INDIRECT($C$5&amp;"生成成长"),5))*(VLOOKUP($B$5,标准坦克设计!$B$24:$U$30,MATCH("对"&amp;LEFT($C$5,2)&amp;"输出",标准坦克设计!$B$23:$U$23,0)))*(VLOOKUP($B112,INDIRECT($B$5&amp;"生成成长"),3))*(VLOOKUP($B$5,标准坦克设计!$B$14:$K$20,9)/30))</f>
        <v>7.3262290624663251</v>
      </c>
      <c r="AI112" s="173">
        <f ca="1">(VLOOKUP(AI$72,INDIRECT($C$5&amp;"生成成长"),2))/((VLOOKUP($B112,INDIRECT($B$5&amp;"生成成长"),4))/(VLOOKUP(AI$72,INDIRECT($C$5&amp;"生成成长"),5))*(VLOOKUP($B$5,标准坦克设计!$B$24:$U$30,MATCH("对"&amp;LEFT($C$5,2)&amp;"输出",标准坦克设计!$B$23:$U$23,0)))*(VLOOKUP($B112,INDIRECT($B$5&amp;"生成成长"),3))*(VLOOKUP($B$5,标准坦克设计!$B$14:$K$20,9)/30))</f>
        <v>5.1815719888416947</v>
      </c>
      <c r="AJ112" s="173">
        <f ca="1">(VLOOKUP(AJ$72,INDIRECT($C$5&amp;"生成成长"),2))/((VLOOKUP($B112,INDIRECT($B$5&amp;"生成成长"),4))/(VLOOKUP(AJ$72,INDIRECT($C$5&amp;"生成成长"),5))*(VLOOKUP($B$5,标准坦克设计!$B$24:$U$30,MATCH("对"&amp;LEFT($C$5,2)&amp;"输出",标准坦克设计!$B$23:$U$23,0)))*(VLOOKUP($B112,INDIRECT($B$5&amp;"生成成长"),3))*(VLOOKUP($B$5,标准坦克设计!$B$14:$K$20,9)/30))</f>
        <v>5.6716094357773805</v>
      </c>
      <c r="AK112" s="173">
        <f ca="1">(VLOOKUP(AK$72,INDIRECT($C$5&amp;"生成成长"),2))/((VLOOKUP($B112,INDIRECT($B$5&amp;"生成成长"),4))/(VLOOKUP(AK$72,INDIRECT($C$5&amp;"生成成长"),5))*(VLOOKUP($B$5,标准坦克设计!$B$24:$U$30,MATCH("对"&amp;LEFT($C$5,2)&amp;"输出",标准坦克设计!$B$23:$U$23,0)))*(VLOOKUP($B112,INDIRECT($B$5&amp;"生成成长"),3))*(VLOOKUP($B$5,标准坦克设计!$B$14:$K$20,9)/30))</f>
        <v>6.1837840979750478</v>
      </c>
      <c r="AL112" s="173">
        <f ca="1">(VLOOKUP(AL$72,INDIRECT($C$5&amp;"生成成长"),2))/((VLOOKUP($B112,INDIRECT($B$5&amp;"生成成长"),4))/(VLOOKUP(AL$72,INDIRECT($C$5&amp;"生成成长"),5))*(VLOOKUP($B$5,标准坦克设计!$B$24:$U$30,MATCH("对"&amp;LEFT($C$5,2)&amp;"输出",标准坦克设计!$B$23:$U$23,0)))*(VLOOKUP($B112,INDIRECT($B$5&amp;"生成成长"),3))*(VLOOKUP($B$5,标准坦克设计!$B$14:$K$20,9)/30))</f>
        <v>6.7180959754346956</v>
      </c>
      <c r="AM112" s="173">
        <f ca="1">(VLOOKUP(AM$72,INDIRECT($C$5&amp;"生成成长"),2))/((VLOOKUP($B112,INDIRECT($B$5&amp;"生成成长"),4))/(VLOOKUP(AM$72,INDIRECT($C$5&amp;"生成成长"),5))*(VLOOKUP($B$5,标准坦克设计!$B$24:$U$30,MATCH("对"&amp;LEFT($C$5,2)&amp;"输出",标准坦克设计!$B$23:$U$23,0)))*(VLOOKUP($B112,INDIRECT($B$5&amp;"生成成长"),3))*(VLOOKUP($B$5,标准坦克设计!$B$14:$K$20,9)/30))</f>
        <v>7.2745450681563275</v>
      </c>
      <c r="AN112" s="173">
        <f ca="1">(VLOOKUP(AN$72,INDIRECT($C$5&amp;"生成成长"),2))/((VLOOKUP($B112,INDIRECT($B$5&amp;"生成成长"),4))/(VLOOKUP(AN$72,INDIRECT($C$5&amp;"生成成长"),5))*(VLOOKUP($B$5,标准坦克设计!$B$24:$U$30,MATCH("对"&amp;LEFT($C$5,2)&amp;"输出",标准坦克设计!$B$23:$U$23,0)))*(VLOOKUP($B112,INDIRECT($B$5&amp;"生成成长"),3))*(VLOOKUP($B$5,标准坦克设计!$B$14:$K$20,9)/30))</f>
        <v>7.8531313761399382</v>
      </c>
      <c r="AO112" s="173">
        <f ca="1">(VLOOKUP(AO$72,INDIRECT($C$5&amp;"生成成长"),2))/((VLOOKUP($B112,INDIRECT($B$5&amp;"生成成长"),4))/(VLOOKUP(AO$72,INDIRECT($C$5&amp;"生成成长"),5))*(VLOOKUP($B$5,标准坦克设计!$B$24:$U$30,MATCH("对"&amp;LEFT($C$5,2)&amp;"输出",标准坦克设计!$B$23:$U$23,0)))*(VLOOKUP($B112,INDIRECT($B$5&amp;"生成成长"),3))*(VLOOKUP($B$5,标准坦克设计!$B$14:$K$20,9)/30))</f>
        <v>8.4538548993855329</v>
      </c>
      <c r="AP112" s="173">
        <f ca="1">(VLOOKUP(AP$72,INDIRECT($C$5&amp;"生成成长"),2))/((VLOOKUP($B112,INDIRECT($B$5&amp;"生成成长"),4))/(VLOOKUP(AP$72,INDIRECT($C$5&amp;"生成成长"),5))*(VLOOKUP($B$5,标准坦克设计!$B$24:$U$30,MATCH("对"&amp;LEFT($C$5,2)&amp;"输出",标准坦克设计!$B$23:$U$23,0)))*(VLOOKUP($B112,INDIRECT($B$5&amp;"生成成长"),3))*(VLOOKUP($B$5,标准坦克设计!$B$14:$K$20,9)/30))</f>
        <v>9.0767156378931073</v>
      </c>
      <c r="AQ112" s="173">
        <f ca="1">(VLOOKUP(AQ$72,INDIRECT($C$5&amp;"生成成长"),2))/((VLOOKUP($B112,INDIRECT($B$5&amp;"生成成长"),4))/(VLOOKUP(AQ$72,INDIRECT($C$5&amp;"生成成长"),5))*(VLOOKUP($B$5,标准坦克设计!$B$24:$U$30,MATCH("对"&amp;LEFT($C$5,2)&amp;"输出",标准坦克设计!$B$23:$U$23,0)))*(VLOOKUP($B112,INDIRECT($B$5&amp;"生成成长"),3))*(VLOOKUP($B$5,标准坦克设计!$B$14:$K$20,9)/30))</f>
        <v>9.7217135916626667</v>
      </c>
      <c r="AR112" s="173">
        <f ca="1">(VLOOKUP(AR$72,INDIRECT($C$5&amp;"生成成长"),2))/((VLOOKUP($B112,INDIRECT($B$5&amp;"生成成长"),4))/(VLOOKUP(AR$72,INDIRECT($C$5&amp;"生成成长"),5))*(VLOOKUP($B$5,标准坦克设计!$B$24:$U$30,MATCH("对"&amp;LEFT($C$5,2)&amp;"输出",标准坦克设计!$B$23:$U$23,0)))*(VLOOKUP($B112,INDIRECT($B$5&amp;"生成成长"),3))*(VLOOKUP($B$5,标准坦克设计!$B$14:$K$20,9)/30))</f>
        <v>10.388848760694204</v>
      </c>
      <c r="AS112" s="173">
        <f ca="1">(VLOOKUP(AS$72,INDIRECT($C$5&amp;"生成成长"),2))/((VLOOKUP($B112,INDIRECT($B$5&amp;"生成成长"),4))/(VLOOKUP(AS$72,INDIRECT($C$5&amp;"生成成长"),5))*(VLOOKUP($B$5,标准坦克设计!$B$24:$U$30,MATCH("对"&amp;LEFT($C$5,2)&amp;"输出",标准坦克设计!$B$23:$U$23,0)))*(VLOOKUP($B112,INDIRECT($B$5&amp;"生成成长"),3))*(VLOOKUP($B$5,标准坦克设计!$B$14:$K$20,9)/30))</f>
        <v>11.078121144987724</v>
      </c>
      <c r="AT112" s="173">
        <f ca="1">(VLOOKUP(AT$72,INDIRECT($C$5&amp;"生成成长"),2))/((VLOOKUP($B112,INDIRECT($B$5&amp;"生成成长"),4))/(VLOOKUP(AT$72,INDIRECT($C$5&amp;"生成成长"),5))*(VLOOKUP($B$5,标准坦克设计!$B$24:$U$30,MATCH("对"&amp;LEFT($C$5,2)&amp;"输出",标准坦克设计!$B$23:$U$23,0)))*(VLOOKUP($B112,INDIRECT($B$5&amp;"生成成长"),3))*(VLOOKUP($B$5,标准坦克设计!$B$14:$K$20,9)/30))</f>
        <v>11.789530744543226</v>
      </c>
      <c r="AU112" s="173">
        <f ca="1">(VLOOKUP(AU$72,INDIRECT($C$5&amp;"生成成长"),2))/((VLOOKUP($B112,INDIRECT($B$5&amp;"生成成长"),4))/(VLOOKUP(AU$72,INDIRECT($C$5&amp;"生成成长"),5))*(VLOOKUP($B$5,标准坦克设计!$B$24:$U$30,MATCH("对"&amp;LEFT($C$5,2)&amp;"输出",标准坦克设计!$B$23:$U$23,0)))*(VLOOKUP($B112,INDIRECT($B$5&amp;"生成成长"),3))*(VLOOKUP($B$5,标准坦克设计!$B$14:$K$20,9)/30))</f>
        <v>12.523077559360708</v>
      </c>
      <c r="AV112" s="173">
        <f ca="1">(VLOOKUP(AV$72,INDIRECT($C$5&amp;"生成成长"),2))/((VLOOKUP($B112,INDIRECT($B$5&amp;"生成成长"),4))/(VLOOKUP(AV$72,INDIRECT($C$5&amp;"生成成长"),5))*(VLOOKUP($B$5,标准坦克设计!$B$24:$U$30,MATCH("对"&amp;LEFT($C$5,2)&amp;"输出",标准坦克设计!$B$23:$U$23,0)))*(VLOOKUP($B112,INDIRECT($B$5&amp;"生成成长"),3))*(VLOOKUP($B$5,标准坦克设计!$B$14:$K$20,9)/30))</f>
        <v>1.2737131624290614</v>
      </c>
      <c r="AW112" s="173">
        <f ca="1">(VLOOKUP(AW$72,INDIRECT($C$5&amp;"生成成长"),2))/((VLOOKUP($B112,INDIRECT($B$5&amp;"生成成长"),4))/(VLOOKUP(AW$72,INDIRECT($C$5&amp;"生成成长"),5))*(VLOOKUP($B$5,标准坦克设计!$B$24:$U$30,MATCH("对"&amp;LEFT($C$5,2)&amp;"输出",标准坦克设计!$B$23:$U$23,0)))*(VLOOKUP($B112,INDIRECT($B$5&amp;"生成成长"),3))*(VLOOKUP($B$5,标准坦克设计!$B$14:$K$20,9)/30))</f>
        <v>1.4522745020628971</v>
      </c>
      <c r="AX112" s="173">
        <f ca="1">(VLOOKUP(AX$72,INDIRECT($C$5&amp;"生成成长"),2))/((VLOOKUP($B112,INDIRECT($B$5&amp;"生成成长"),4))/(VLOOKUP(AX$72,INDIRECT($C$5&amp;"生成成长"),5))*(VLOOKUP($B$5,标准坦克设计!$B$24:$U$30,MATCH("对"&amp;LEFT($C$5,2)&amp;"输出",标准坦克设计!$B$23:$U$23,0)))*(VLOOKUP($B112,INDIRECT($B$5&amp;"生成成长"),3))*(VLOOKUP($B$5,标准坦克设计!$B$14:$K$20,9)/30))</f>
        <v>1.642544782000591</v>
      </c>
      <c r="AY112" s="173">
        <f ca="1">(VLOOKUP(AY$72,INDIRECT($C$5&amp;"生成成长"),2))/((VLOOKUP($B112,INDIRECT($B$5&amp;"生成成长"),4))/(VLOOKUP(AY$72,INDIRECT($C$5&amp;"生成成长"),5))*(VLOOKUP($B$5,标准坦克设计!$B$24:$U$30,MATCH("对"&amp;LEFT($C$5,2)&amp;"输出",标准坦克设计!$B$23:$U$23,0)))*(VLOOKUP($B112,INDIRECT($B$5&amp;"生成成长"),3))*(VLOOKUP($B$5,标准坦克设计!$B$14:$K$20,9)/30))</f>
        <v>1.844524002242143</v>
      </c>
      <c r="AZ112" s="173">
        <f ca="1">(VLOOKUP(AZ$72,INDIRECT($C$5&amp;"生成成长"),2))/((VLOOKUP($B112,INDIRECT($B$5&amp;"生成成长"),4))/(VLOOKUP(AZ$72,INDIRECT($C$5&amp;"生成成长"),5))*(VLOOKUP($B$5,标准坦克设计!$B$24:$U$30,MATCH("对"&amp;LEFT($C$5,2)&amp;"输出",标准坦克设计!$B$23:$U$23,0)))*(VLOOKUP($B112,INDIRECT($B$5&amp;"生成成长"),3))*(VLOOKUP($B$5,标准坦克设计!$B$14:$K$20,9)/30))</f>
        <v>2.0582121627875525</v>
      </c>
      <c r="BA112" s="173">
        <f ca="1">(VLOOKUP(BA$72,INDIRECT($C$5&amp;"生成成长"),2))/((VLOOKUP($B112,INDIRECT($B$5&amp;"生成成长"),4))/(VLOOKUP(BA$72,INDIRECT($C$5&amp;"生成成长"),5))*(VLOOKUP($B$5,标准坦克设计!$B$24:$U$30,MATCH("对"&amp;LEFT($C$5,2)&amp;"输出",标准坦克设计!$B$23:$U$23,0)))*(VLOOKUP($B112,INDIRECT($B$5&amp;"生成成长"),3))*(VLOOKUP($B$5,标准坦克设计!$B$14:$K$20,9)/30))</f>
        <v>2.2836092636368206</v>
      </c>
      <c r="BB112" s="173">
        <f ca="1">(VLOOKUP(BB$72,INDIRECT($C$5&amp;"生成成长"),2))/((VLOOKUP($B112,INDIRECT($B$5&amp;"生成成长"),4))/(VLOOKUP(BB$72,INDIRECT($C$5&amp;"生成成长"),5))*(VLOOKUP($B$5,标准坦克设计!$B$24:$U$30,MATCH("对"&amp;LEFT($C$5,2)&amp;"输出",标准坦克设计!$B$23:$U$23,0)))*(VLOOKUP($B112,INDIRECT($B$5&amp;"生成成长"),3))*(VLOOKUP($B$5,标准坦克设计!$B$14:$K$20,9)/30))</f>
        <v>2.5207153047899467</v>
      </c>
      <c r="BC112" s="173">
        <f ca="1">(VLOOKUP(BC$72,INDIRECT($C$5&amp;"生成成长"),2))/((VLOOKUP($B112,INDIRECT($B$5&amp;"生成成长"),4))/(VLOOKUP(BC$72,INDIRECT($C$5&amp;"生成成长"),5))*(VLOOKUP($B$5,标准坦克设计!$B$24:$U$30,MATCH("对"&amp;LEFT($C$5,2)&amp;"输出",标准坦克设计!$B$23:$U$23,0)))*(VLOOKUP($B112,INDIRECT($B$5&amp;"生成成长"),3))*(VLOOKUP($B$5,标准坦克设计!$B$14:$K$20,9)/30))</f>
        <v>2.7695302862469311</v>
      </c>
      <c r="BD112" s="173">
        <f ca="1">(VLOOKUP(BD$72,INDIRECT($C$5&amp;"生成成长"),2))/((VLOOKUP($B112,INDIRECT($B$5&amp;"生成成长"),4))/(VLOOKUP(BD$72,INDIRECT($C$5&amp;"生成成长"),5))*(VLOOKUP($B$5,标准坦克设计!$B$24:$U$30,MATCH("对"&amp;LEFT($C$5,2)&amp;"输出",标准坦克设计!$B$23:$U$23,0)))*(VLOOKUP($B112,INDIRECT($B$5&amp;"生成成长"),3))*(VLOOKUP($B$5,标准坦克设计!$B$14:$K$20,9)/30))</f>
        <v>3.0634429830929935</v>
      </c>
      <c r="BE112" s="173">
        <f ca="1">(VLOOKUP(BE$72,INDIRECT($C$5&amp;"生成成长"),2))/((VLOOKUP($B112,INDIRECT($B$5&amp;"生成成长"),4))/(VLOOKUP(BE$72,INDIRECT($C$5&amp;"生成成长"),5))*(VLOOKUP($B$5,标准坦克设计!$B$24:$U$30,MATCH("对"&amp;LEFT($C$5,2)&amp;"输出",标准坦克设计!$B$23:$U$23,0)))*(VLOOKUP($B112,INDIRECT($B$5&amp;"生成成长"),3))*(VLOOKUP($B$5,标准坦克设计!$B$14:$K$20,9)/30))</f>
        <v>3.3721748075111266</v>
      </c>
      <c r="BF112" s="173">
        <f ca="1">(VLOOKUP(BF$72,INDIRECT($C$5&amp;"生成成长"),2))/((VLOOKUP($B112,INDIRECT($B$5&amp;"生成成长"),4))/(VLOOKUP(BF$72,INDIRECT($C$5&amp;"生成成长"),5))*(VLOOKUP($B$5,标准坦克设计!$B$24:$U$30,MATCH("对"&amp;LEFT($C$5,2)&amp;"输出",标准坦克设计!$B$23:$U$23,0)))*(VLOOKUP($B112,INDIRECT($B$5&amp;"生成成长"),3))*(VLOOKUP($B$5,标准坦克设计!$B$14:$K$20,9)/30))</f>
        <v>3.6957257595013298</v>
      </c>
      <c r="BG112" s="173">
        <f ca="1">(VLOOKUP(BG$72,INDIRECT($C$5&amp;"生成成长"),2))/((VLOOKUP($B112,INDIRECT($B$5&amp;"生成成长"),4))/(VLOOKUP(BG$72,INDIRECT($C$5&amp;"生成成长"),5))*(VLOOKUP($B$5,标准坦克设计!$B$24:$U$30,MATCH("对"&amp;LEFT($C$5,2)&amp;"输出",标准坦克设计!$B$23:$U$23,0)))*(VLOOKUP($B112,INDIRECT($B$5&amp;"生成成长"),3))*(VLOOKUP($B$5,标准坦克设计!$B$14:$K$20,9)/30))</f>
        <v>4.0340958390636033</v>
      </c>
      <c r="BH112" s="173">
        <f ca="1">(VLOOKUP(BH$72,INDIRECT($C$5&amp;"生成成长"),2))/((VLOOKUP($B112,INDIRECT($B$5&amp;"生成成长"),4))/(VLOOKUP(BH$72,INDIRECT($C$5&amp;"生成成长"),5))*(VLOOKUP($B$5,标准坦克设计!$B$24:$U$30,MATCH("对"&amp;LEFT($C$5,2)&amp;"输出",标准坦克设计!$B$23:$U$23,0)))*(VLOOKUP($B112,INDIRECT($B$5&amp;"生成成长"),3))*(VLOOKUP($B$5,标准坦克设计!$B$14:$K$20,9)/30))</f>
        <v>1.9499044649768655</v>
      </c>
      <c r="BI112" s="173">
        <f ca="1">(VLOOKUP(BI$72,INDIRECT($C$5&amp;"生成成长"),2))/((VLOOKUP($B112,INDIRECT($B$5&amp;"生成成长"),4))/(VLOOKUP(BI$72,INDIRECT($C$5&amp;"生成成长"),5))*(VLOOKUP($B$5,标准坦克设计!$B$24:$U$30,MATCH("对"&amp;LEFT($C$5,2)&amp;"输出",标准坦克设计!$B$23:$U$23,0)))*(VLOOKUP($B112,INDIRECT($B$5&amp;"生成成长"),3))*(VLOOKUP($B$5,标准坦克设计!$B$14:$K$20,9)/30))</f>
        <v>2.1977132093764866</v>
      </c>
      <c r="BJ112" s="173">
        <f ca="1">(VLOOKUP(BJ$72,INDIRECT($C$5&amp;"生成成长"),2))/((VLOOKUP($B112,INDIRECT($B$5&amp;"生成成长"),4))/(VLOOKUP(BJ$72,INDIRECT($C$5&amp;"生成成长"),5))*(VLOOKUP($B$5,标准坦克设计!$B$24:$U$30,MATCH("对"&amp;LEFT($C$5,2)&amp;"输出",标准坦克设计!$B$23:$U$23,0)))*(VLOOKUP($B112,INDIRECT($B$5&amp;"生成成长"),3))*(VLOOKUP($B$5,标准坦克设计!$B$14:$K$20,9)/30))</f>
        <v>2.4603410813481785</v>
      </c>
      <c r="BK112" s="173">
        <f ca="1">(VLOOKUP(BK$72,INDIRECT($C$5&amp;"生成成长"),2))/((VLOOKUP($B112,INDIRECT($B$5&amp;"生成成长"),4))/(VLOOKUP(BK$72,INDIRECT($C$5&amp;"生成成长"),5))*(VLOOKUP($B$5,标准坦克设计!$B$24:$U$30,MATCH("对"&amp;LEFT($C$5,2)&amp;"输出",标准坦克设计!$B$23:$U$23,0)))*(VLOOKUP($B112,INDIRECT($B$5&amp;"生成成长"),3))*(VLOOKUP($B$5,标准坦克设计!$B$14:$K$20,9)/30))</f>
        <v>2.7377880808919413</v>
      </c>
      <c r="BL112" s="173">
        <f ca="1">(VLOOKUP(BL$72,INDIRECT($C$5&amp;"生成成长"),2))/((VLOOKUP($B112,INDIRECT($B$5&amp;"生成成长"),4))/(VLOOKUP(BL$72,INDIRECT($C$5&amp;"生成成长"),5))*(VLOOKUP($B$5,标准坦克设计!$B$24:$U$30,MATCH("对"&amp;LEFT($C$5,2)&amp;"输出",标准坦克设计!$B$23:$U$23,0)))*(VLOOKUP($B112,INDIRECT($B$5&amp;"生成成长"),3))*(VLOOKUP($B$5,标准坦克设计!$B$14:$K$20,9)/30))</f>
        <v>3.0300542080077735</v>
      </c>
      <c r="BM112" s="173">
        <f ca="1">(VLOOKUP(BM$72,INDIRECT($C$5&amp;"生成成长"),2))/((VLOOKUP($B112,INDIRECT($B$5&amp;"生成成长"),4))/(VLOOKUP(BM$72,INDIRECT($C$5&amp;"生成成长"),5))*(VLOOKUP($B$5,标准坦克设计!$B$24:$U$30,MATCH("对"&amp;LEFT($C$5,2)&amp;"输出",标准坦克设计!$B$23:$U$23,0)))*(VLOOKUP($B112,INDIRECT($B$5&amp;"生成成长"),3))*(VLOOKUP($B$5,标准坦克设计!$B$14:$K$20,9)/30))</f>
        <v>3.3371394626956761</v>
      </c>
      <c r="BN112" s="173">
        <f ca="1">(VLOOKUP(BN$72,INDIRECT($C$5&amp;"生成成长"),2))/((VLOOKUP($B112,INDIRECT($B$5&amp;"生成成长"),4))/(VLOOKUP(BN$72,INDIRECT($C$5&amp;"生成成长"),5))*(VLOOKUP($B$5,标准坦克设计!$B$24:$U$30,MATCH("对"&amp;LEFT($C$5,2)&amp;"输出",标准坦克设计!$B$23:$U$23,0)))*(VLOOKUP($B112,INDIRECT($B$5&amp;"生成成长"),3))*(VLOOKUP($B$5,标准坦克设计!$B$14:$K$20,9)/30))</f>
        <v>3.6590438449556495</v>
      </c>
      <c r="BO112" s="173">
        <f ca="1">(VLOOKUP(BO$72,INDIRECT($C$5&amp;"生成成长"),2))/((VLOOKUP($B112,INDIRECT($B$5&amp;"生成成长"),4))/(VLOOKUP(BO$72,INDIRECT($C$5&amp;"生成成长"),5))*(VLOOKUP($B$5,标准坦克设计!$B$24:$U$30,MATCH("对"&amp;LEFT($C$5,2)&amp;"输出",标准坦克设计!$B$23:$U$23,0)))*(VLOOKUP($B112,INDIRECT($B$5&amp;"生成成长"),3))*(VLOOKUP($B$5,标准坦克设计!$B$14:$K$20,9)/30))</f>
        <v>3.9957673547876924</v>
      </c>
      <c r="BP112" s="173">
        <f ca="1">(VLOOKUP(BP$72,INDIRECT($C$5&amp;"生成成长"),2))/((VLOOKUP($B112,INDIRECT($B$5&amp;"生成成长"),4))/(VLOOKUP(BP$72,INDIRECT($C$5&amp;"生成成长"),5))*(VLOOKUP($B$5,标准坦克设计!$B$24:$U$30,MATCH("对"&amp;LEFT($C$5,2)&amp;"输出",标准坦克设计!$B$23:$U$23,0)))*(VLOOKUP($B112,INDIRECT($B$5&amp;"生成成长"),3))*(VLOOKUP($B$5,标准坦克设计!$B$14:$K$20,9)/30))</f>
        <v>4.3473099921918061</v>
      </c>
      <c r="BQ112" s="173">
        <f ca="1">(VLOOKUP(BQ$72,INDIRECT($C$5&amp;"生成成长"),2))/((VLOOKUP($B112,INDIRECT($B$5&amp;"生成成长"),4))/(VLOOKUP(BQ$72,INDIRECT($C$5&amp;"生成成长"),5))*(VLOOKUP($B$5,标准坦克设计!$B$24:$U$30,MATCH("对"&amp;LEFT($C$5,2)&amp;"输出",标准坦克设计!$B$23:$U$23,0)))*(VLOOKUP($B112,INDIRECT($B$5&amp;"生成成长"),3))*(VLOOKUP($B$5,标准坦克设计!$B$14:$K$20,9)/30))</f>
        <v>4.7136717571679911</v>
      </c>
      <c r="BR112" s="173">
        <f ca="1">(VLOOKUP(BR$72,INDIRECT($C$5&amp;"生成成长"),2))/((VLOOKUP($B112,INDIRECT($B$5&amp;"生成成长"),4))/(VLOOKUP(BR$72,INDIRECT($C$5&amp;"生成成长"),5))*(VLOOKUP($B$5,标准坦克设计!$B$24:$U$30,MATCH("对"&amp;LEFT($C$5,2)&amp;"输出",标准坦克设计!$B$23:$U$23,0)))*(VLOOKUP($B112,INDIRECT($B$5&amp;"生成成长"),3))*(VLOOKUP($B$5,标准坦克设计!$B$14:$K$20,9)/30))</f>
        <v>5.1381208431828469</v>
      </c>
      <c r="BS112" s="173">
        <f ca="1">(VLOOKUP(BS$72,INDIRECT($C$5&amp;"生成成长"),2))/((VLOOKUP($B112,INDIRECT($B$5&amp;"生成成长"),4))/(VLOOKUP(BS$72,INDIRECT($C$5&amp;"生成成长"),5))*(VLOOKUP($B$5,标准坦克设计!$B$24:$U$30,MATCH("对"&amp;LEFT($C$5,2)&amp;"输出",标准坦克设计!$B$23:$U$23,0)))*(VLOOKUP($B112,INDIRECT($B$5&amp;"生成成长"),3))*(VLOOKUP($B$5,标准坦克设计!$B$14:$K$20,9)/30))</f>
        <v>5.5808651484224807</v>
      </c>
      <c r="BT112" s="173">
        <f ca="1">(VLOOKUP(BT$72,INDIRECT($C$5&amp;"生成成长"),2))/((VLOOKUP($B112,INDIRECT($B$5&amp;"生成成长"),4))/(VLOOKUP(BT$72,INDIRECT($C$5&amp;"生成成长"),5))*(VLOOKUP($B$5,标准坦克设计!$B$24:$U$30,MATCH("对"&amp;LEFT($C$5,2)&amp;"输出",标准坦克设计!$B$23:$U$23,0)))*(VLOOKUP($B112,INDIRECT($B$5&amp;"生成成长"),3))*(VLOOKUP($B$5,标准坦克设计!$B$14:$K$20,9)/30))</f>
        <v>6.0419046728868917</v>
      </c>
      <c r="BU112" s="173">
        <f ca="1">(VLOOKUP(BU$72,INDIRECT($C$5&amp;"生成成长"),2))/((VLOOKUP($B112,INDIRECT($B$5&amp;"生成成长"),4))/(VLOOKUP(BU$72,INDIRECT($C$5&amp;"生成成长"),5))*(VLOOKUP($B$5,标准坦克设计!$B$24:$U$30,MATCH("对"&amp;LEFT($C$5,2)&amp;"输出",标准坦克设计!$B$23:$U$23,0)))*(VLOOKUP($B112,INDIRECT($B$5&amp;"生成成长"),3))*(VLOOKUP($B$5,标准坦克设计!$B$14:$K$20,9)/30))</f>
        <v>6.5212394165760816</v>
      </c>
      <c r="BV112" s="173">
        <f ca="1">(VLOOKUP(BV$72,INDIRECT($C$5&amp;"生成成长"),2))/((VLOOKUP($B112,INDIRECT($B$5&amp;"生成成长"),4))/(VLOOKUP(BV$72,INDIRECT($C$5&amp;"生成成长"),5))*(VLOOKUP($B$5,标准坦克设计!$B$24:$U$30,MATCH("对"&amp;LEFT($C$5,2)&amp;"输出",标准坦克设计!$B$23:$U$23,0)))*(VLOOKUP($B112,INDIRECT($B$5&amp;"生成成长"),3))*(VLOOKUP($B$5,标准坦克设计!$B$14:$K$20,9)/30))</f>
        <v>7.0188693794900514</v>
      </c>
      <c r="BW112" s="173">
        <f ca="1">(VLOOKUP(BW$72,INDIRECT($C$5&amp;"生成成长"),2))/((VLOOKUP($B112,INDIRECT($B$5&amp;"生成成长"),4))/(VLOOKUP(BW$72,INDIRECT($C$5&amp;"生成成长"),5))*(VLOOKUP($B$5,标准坦克设计!$B$24:$U$30,MATCH("对"&amp;LEFT($C$5,2)&amp;"输出",标准坦克设计!$B$23:$U$23,0)))*(VLOOKUP($B112,INDIRECT($B$5&amp;"生成成长"),3))*(VLOOKUP($B$5,标准坦克设计!$B$14:$K$20,9)/30))</f>
        <v>3.1988276053563522</v>
      </c>
      <c r="BX112" s="173">
        <f ca="1">(VLOOKUP(BX$72,INDIRECT($C$5&amp;"生成成长"),2))/((VLOOKUP($B112,INDIRECT($B$5&amp;"生成成长"),4))/(VLOOKUP(BX$72,INDIRECT($C$5&amp;"生成成长"),5))*(VLOOKUP($B$5,标准坦克设计!$B$24:$U$30,MATCH("对"&amp;LEFT($C$5,2)&amp;"输出",标准坦克设计!$B$23:$U$23,0)))*(VLOOKUP($B112,INDIRECT($B$5&amp;"生成成长"),3))*(VLOOKUP($B$5,标准坦克设计!$B$14:$K$20,9)/30))</f>
        <v>3.5500958144720949</v>
      </c>
      <c r="BY112" s="173">
        <f ca="1">(VLOOKUP(BY$72,INDIRECT($C$5&amp;"生成成长"),2))/((VLOOKUP($B112,INDIRECT($B$5&amp;"生成成长"),4))/(VLOOKUP(BY$72,INDIRECT($C$5&amp;"生成成长"),5))*(VLOOKUP($B$5,标准坦克设计!$B$24:$U$30,MATCH("对"&amp;LEFT($C$5,2)&amp;"输出",标准坦克设计!$B$23:$U$23,0)))*(VLOOKUP($B112,INDIRECT($B$5&amp;"生成成长"),3))*(VLOOKUP($B$5,标准坦克设计!$B$14:$K$20,9)/30))</f>
        <v>3.9196592428126151</v>
      </c>
      <c r="BZ112" s="173">
        <f ca="1">(VLOOKUP(BZ$72,INDIRECT($C$5&amp;"生成成长"),2))/((VLOOKUP($B112,INDIRECT($B$5&amp;"生成成长"),4))/(VLOOKUP(BZ$72,INDIRECT($C$5&amp;"生成成长"),5))*(VLOOKUP($B$5,标准坦克设计!$B$24:$U$30,MATCH("对"&amp;LEFT($C$5,2)&amp;"输出",标准坦克设计!$B$23:$U$23,0)))*(VLOOKUP($B112,INDIRECT($B$5&amp;"生成成长"),3))*(VLOOKUP($B$5,标准坦克设计!$B$14:$K$20,9)/30))</f>
        <v>4.3075178903779134</v>
      </c>
      <c r="CA112" s="173">
        <f ca="1">(VLOOKUP(CA$72,INDIRECT($C$5&amp;"生成成长"),2))/((VLOOKUP($B112,INDIRECT($B$5&amp;"生成成长"),4))/(VLOOKUP(CA$72,INDIRECT($C$5&amp;"生成成长"),5))*(VLOOKUP($B$5,标准坦克设计!$B$24:$U$30,MATCH("对"&amp;LEFT($C$5,2)&amp;"输出",标准坦克设计!$B$23:$U$23,0)))*(VLOOKUP($B112,INDIRECT($B$5&amp;"生成成长"),3))*(VLOOKUP($B$5,标准坦克设计!$B$14:$K$20,9)/30))</f>
        <v>4.7136717571679911</v>
      </c>
      <c r="CB112" s="173">
        <f ca="1">(VLOOKUP(CB$72,INDIRECT($C$5&amp;"生成成长"),2))/((VLOOKUP($B112,INDIRECT($B$5&amp;"生成成长"),4))/(VLOOKUP(CB$72,INDIRECT($C$5&amp;"生成成长"),5))*(VLOOKUP($B$5,标准坦克设计!$B$24:$U$30,MATCH("对"&amp;LEFT($C$5,2)&amp;"输出",标准坦克设计!$B$23:$U$23,0)))*(VLOOKUP($B112,INDIRECT($B$5&amp;"生成成长"),3))*(VLOOKUP($B$5,标准坦克设计!$B$14:$K$20,9)/30))</f>
        <v>5.1381208431828469</v>
      </c>
      <c r="CC112" s="173">
        <f ca="1">(VLOOKUP(CC$72,INDIRECT($C$5&amp;"生成成长"),2))/((VLOOKUP($B112,INDIRECT($B$5&amp;"生成成长"),4))/(VLOOKUP(CC$72,INDIRECT($C$5&amp;"生成成长"),5))*(VLOOKUP($B$5,标准坦克设计!$B$24:$U$30,MATCH("对"&amp;LEFT($C$5,2)&amp;"输出",标准坦克设计!$B$23:$U$23,0)))*(VLOOKUP($B112,INDIRECT($B$5&amp;"生成成长"),3))*(VLOOKUP($B$5,标准坦克设计!$B$14:$K$20,9)/30))</f>
        <v>5.5808651484224807</v>
      </c>
      <c r="CD112" s="173">
        <f ca="1">(VLOOKUP(CD$72,INDIRECT($C$5&amp;"生成成长"),2))/((VLOOKUP($B112,INDIRECT($B$5&amp;"生成成长"),4))/(VLOOKUP(CD$72,INDIRECT($C$5&amp;"生成成长"),5))*(VLOOKUP($B$5,标准坦克设计!$B$24:$U$30,MATCH("对"&amp;LEFT($C$5,2)&amp;"输出",标准坦克设计!$B$23:$U$23,0)))*(VLOOKUP($B112,INDIRECT($B$5&amp;"生成成长"),3))*(VLOOKUP($B$5,标准坦克设计!$B$14:$K$20,9)/30))</f>
        <v>6.0419046728868917</v>
      </c>
      <c r="CE112" s="173">
        <f ca="1">(VLOOKUP(CE$72,INDIRECT($C$5&amp;"生成成长"),2))/((VLOOKUP($B112,INDIRECT($B$5&amp;"生成成长"),4))/(VLOOKUP(CE$72,INDIRECT($C$5&amp;"生成成长"),5))*(VLOOKUP($B$5,标准坦克设计!$B$24:$U$30,MATCH("对"&amp;LEFT($C$5,2)&amp;"输出",标准坦克设计!$B$23:$U$23,0)))*(VLOOKUP($B112,INDIRECT($B$5&amp;"生成成长"),3))*(VLOOKUP($B$5,标准坦克设计!$B$14:$K$20,9)/30))</f>
        <v>6.5212394165760816</v>
      </c>
      <c r="CF112" s="173">
        <f ca="1">(VLOOKUP(CF$72,INDIRECT($C$5&amp;"生成成长"),2))/((VLOOKUP($B112,INDIRECT($B$5&amp;"生成成长"),4))/(VLOOKUP(CF$72,INDIRECT($C$5&amp;"生成成长"),5))*(VLOOKUP($B$5,标准坦克设计!$B$24:$U$30,MATCH("对"&amp;LEFT($C$5,2)&amp;"输出",标准坦克设计!$B$23:$U$23,0)))*(VLOOKUP($B112,INDIRECT($B$5&amp;"生成成长"),3))*(VLOOKUP($B$5,标准坦克设计!$B$14:$K$20,9)/30))</f>
        <v>7.0188693794900514</v>
      </c>
      <c r="CG112" s="173">
        <f ca="1">(VLOOKUP(CG$72,INDIRECT($C$5&amp;"生成成长"),2))/((VLOOKUP($B112,INDIRECT($B$5&amp;"生成成长"),4))/(VLOOKUP(CG$72,INDIRECT($C$5&amp;"生成成长"),5))*(VLOOKUP($B$5,标准坦克设计!$B$24:$U$30,MATCH("对"&amp;LEFT($C$5,2)&amp;"输出",标准坦克设计!$B$23:$U$23,0)))*(VLOOKUP($B112,INDIRECT($B$5&amp;"生成成长"),3))*(VLOOKUP($B$5,标准坦克设计!$B$14:$K$20,9)/30))</f>
        <v>7.5347945616287966</v>
      </c>
      <c r="CH112" s="173">
        <f ca="1">(VLOOKUP(CH$72,INDIRECT($C$5&amp;"生成成长"),2))/((VLOOKUP($B112,INDIRECT($B$5&amp;"生成成长"),4))/(VLOOKUP(CH$72,INDIRECT($C$5&amp;"生成成长"),5))*(VLOOKUP($B$5,标准坦克设计!$B$24:$U$30,MATCH("对"&amp;LEFT($C$5,2)&amp;"输出",标准坦克设计!$B$23:$U$23,0)))*(VLOOKUP($B112,INDIRECT($B$5&amp;"生成成长"),3))*(VLOOKUP($B$5,标准坦克设计!$B$14:$K$20,9)/30))</f>
        <v>8.0690149629923216</v>
      </c>
      <c r="CI112" s="173">
        <f ca="1">(VLOOKUP(CI$72,INDIRECT($C$5&amp;"生成成长"),2))/((VLOOKUP($B112,INDIRECT($B$5&amp;"生成成长"),4))/(VLOOKUP(CI$72,INDIRECT($C$5&amp;"生成成长"),5))*(VLOOKUP($B$5,标准坦克设计!$B$24:$U$30,MATCH("对"&amp;LEFT($C$5,2)&amp;"输出",标准坦克设计!$B$23:$U$23,0)))*(VLOOKUP($B112,INDIRECT($B$5&amp;"生成成长"),3))*(VLOOKUP($B$5,标准坦克设计!$B$14:$K$20,9)/30))</f>
        <v>8.6777883826968178</v>
      </c>
      <c r="CJ112" s="173">
        <f ca="1">(VLOOKUP(CJ$72,INDIRECT($C$5&amp;"生成成长"),2))/((VLOOKUP($B112,INDIRECT($B$5&amp;"生成成长"),4))/(VLOOKUP(CJ$72,INDIRECT($C$5&amp;"生成成长"),5))*(VLOOKUP($B$5,标准坦克设计!$B$24:$U$30,MATCH("对"&amp;LEFT($C$5,2)&amp;"输出",标准坦克设计!$B$23:$U$23,0)))*(VLOOKUP($B112,INDIRECT($B$5&amp;"生成成长"),3))*(VLOOKUP($B$5,标准坦克设计!$B$14:$K$20,9)/30))</f>
        <v>9.3086990176632955</v>
      </c>
      <c r="CK112" s="173">
        <f ca="1">(VLOOKUP(CK$72,INDIRECT($C$5&amp;"生成成长"),2))/((VLOOKUP($B112,INDIRECT($B$5&amp;"生成成长"),4))/(VLOOKUP(CK$72,INDIRECT($C$5&amp;"生成成长"),5))*(VLOOKUP($B$5,标准坦克设计!$B$24:$U$30,MATCH("对"&amp;LEFT($C$5,2)&amp;"输出",标准坦克设计!$B$23:$U$23,0)))*(VLOOKUP($B112,INDIRECT($B$5&amp;"生成成长"),3))*(VLOOKUP($B$5,标准坦克设计!$B$14:$K$20,9)/30))</f>
        <v>9.9617468678917547</v>
      </c>
      <c r="CL112" s="173">
        <f ca="1">(VLOOKUP(CL$72,INDIRECT($C$5&amp;"生成成长"),2))/((VLOOKUP($B112,INDIRECT($B$5&amp;"生成成长"),4))/(VLOOKUP(CL$72,INDIRECT($C$5&amp;"生成成长"),5))*(VLOOKUP($B$5,标准坦克设计!$B$24:$U$30,MATCH("对"&amp;LEFT($C$5,2)&amp;"输出",标准坦克设计!$B$23:$U$23,0)))*(VLOOKUP($B112,INDIRECT($B$5&amp;"生成成长"),3))*(VLOOKUP($B$5,标准坦克设计!$B$14:$K$20,9)/30))</f>
        <v>10.636931933382197</v>
      </c>
      <c r="CM112" s="173">
        <f ca="1">(VLOOKUP(CM$72,INDIRECT($C$5&amp;"生成成长"),2))/((VLOOKUP($B112,INDIRECT($B$5&amp;"生成成长"),4))/(VLOOKUP(CM$72,INDIRECT($C$5&amp;"生成成长"),5))*(VLOOKUP($B$5,标准坦克设计!$B$24:$U$30,MATCH("对"&amp;LEFT($C$5,2)&amp;"输出",标准坦克设计!$B$23:$U$23,0)))*(VLOOKUP($B112,INDIRECT($B$5&amp;"生成成长"),3))*(VLOOKUP($B$5,标准坦克设计!$B$14:$K$20,9)/30))</f>
        <v>11.334254214134617</v>
      </c>
      <c r="CN112" s="173">
        <f ca="1">(VLOOKUP(CN$72,INDIRECT($C$5&amp;"生成成长"),2))/((VLOOKUP($B112,INDIRECT($B$5&amp;"生成成长"),4))/(VLOOKUP(CN$72,INDIRECT($C$5&amp;"生成成长"),5))*(VLOOKUP($B$5,标准坦克设计!$B$24:$U$30,MATCH("对"&amp;LEFT($C$5,2)&amp;"输出",标准坦克设计!$B$23:$U$23,0)))*(VLOOKUP($B112,INDIRECT($B$5&amp;"生成成长"),3))*(VLOOKUP($B$5,标准坦克设计!$B$14:$K$20,9)/30))</f>
        <v>12.053713710149022</v>
      </c>
      <c r="CO112" s="173">
        <f ca="1">(VLOOKUP(CO$72,INDIRECT($C$5&amp;"生成成长"),2))/((VLOOKUP($B112,INDIRECT($B$5&amp;"生成成长"),4))/(VLOOKUP(CO$72,INDIRECT($C$5&amp;"生成成长"),5))*(VLOOKUP($B$5,标准坦克设计!$B$24:$U$30,MATCH("对"&amp;LEFT($C$5,2)&amp;"输出",标准坦克设计!$B$23:$U$23,0)))*(VLOOKUP($B112,INDIRECT($B$5&amp;"生成成长"),3))*(VLOOKUP($B$5,标准坦克设计!$B$14:$K$20,9)/30))</f>
        <v>5.4015720000196534</v>
      </c>
      <c r="CP112" s="173">
        <f ca="1">(VLOOKUP(CP$72,INDIRECT($C$5&amp;"生成成长"),2))/((VLOOKUP($B112,INDIRECT($B$5&amp;"生成成长"),4))/(VLOOKUP(CP$72,INDIRECT($C$5&amp;"生成成长"),5))*(VLOOKUP($B$5,标准坦克设计!$B$24:$U$30,MATCH("对"&amp;LEFT($C$5,2)&amp;"输出",标准坦克设计!$B$23:$U$23,0)))*(VLOOKUP($B112,INDIRECT($B$5&amp;"生成成长"),3))*(VLOOKUP($B$5,标准坦克设计!$B$14:$K$20,9)/30))</f>
        <v>5.9016718175289666</v>
      </c>
      <c r="CQ112" s="173">
        <f ca="1">(VLOOKUP(CQ$72,INDIRECT($C$5&amp;"生成成长"),2))/((VLOOKUP($B112,INDIRECT($B$5&amp;"生成成长"),4))/(VLOOKUP(CQ$72,INDIRECT($C$5&amp;"生成成长"),5))*(VLOOKUP($B$5,标准坦克设计!$B$24:$U$30,MATCH("对"&amp;LEFT($C$5,2)&amp;"输出",标准坦克设计!$B$23:$U$23,0)))*(VLOOKUP($B112,INDIRECT($B$5&amp;"生成成长"),3))*(VLOOKUP($B$5,标准坦克设计!$B$14:$K$20,9)/30))</f>
        <v>6.4239088503002622</v>
      </c>
      <c r="CR112" s="173">
        <f ca="1">(VLOOKUP(CR$72,INDIRECT($C$5&amp;"生成成长"),2))/((VLOOKUP($B112,INDIRECT($B$5&amp;"生成成长"),4))/(VLOOKUP(CR$72,INDIRECT($C$5&amp;"生成成长"),5))*(VLOOKUP($B$5,标准坦克设计!$B$24:$U$30,MATCH("对"&amp;LEFT($C$5,2)&amp;"输出",标准坦克设计!$B$23:$U$23,0)))*(VLOOKUP($B112,INDIRECT($B$5&amp;"生成成长"),3))*(VLOOKUP($B$5,标准坦克设计!$B$14:$K$20,9)/30))</f>
        <v>6.9682830983335391</v>
      </c>
      <c r="CS112" s="173">
        <f ca="1">(VLOOKUP(CS$72,INDIRECT($C$5&amp;"生成成长"),2))/((VLOOKUP($B112,INDIRECT($B$5&amp;"生成成长"),4))/(VLOOKUP(CS$72,INDIRECT($C$5&amp;"生成成长"),5))*(VLOOKUP($B$5,标准坦克设计!$B$24:$U$30,MATCH("对"&amp;LEFT($C$5,2)&amp;"输出",标准坦克设计!$B$23:$U$23,0)))*(VLOOKUP($B112,INDIRECT($B$5&amp;"生成成长"),3))*(VLOOKUP($B$5,标准坦克设计!$B$14:$K$20,9)/30))</f>
        <v>7.5347945616287966</v>
      </c>
      <c r="CT112" s="173">
        <f ca="1">(VLOOKUP(CT$72,INDIRECT($C$5&amp;"生成成长"),2))/((VLOOKUP($B112,INDIRECT($B$5&amp;"生成成长"),4))/(VLOOKUP(CT$72,INDIRECT($C$5&amp;"生成成长"),5))*(VLOOKUP($B$5,标准坦克设计!$B$24:$U$30,MATCH("对"&amp;LEFT($C$5,2)&amp;"输出",标准坦克设计!$B$23:$U$23,0)))*(VLOOKUP($B112,INDIRECT($B$5&amp;"生成成长"),3))*(VLOOKUP($B$5,标准坦克设计!$B$14:$K$20,9)/30))</f>
        <v>8.1234432401860381</v>
      </c>
      <c r="CU112" s="173">
        <f ca="1">(VLOOKUP(CU$72,INDIRECT($C$5&amp;"生成成长"),2))/((VLOOKUP($B112,INDIRECT($B$5&amp;"生成成长"),4))/(VLOOKUP(CU$72,INDIRECT($C$5&amp;"生成成长"),5))*(VLOOKUP($B$5,标准坦克设计!$B$24:$U$30,MATCH("对"&amp;LEFT($C$5,2)&amp;"输出",标准坦克设计!$B$23:$U$23,0)))*(VLOOKUP($B112,INDIRECT($B$5&amp;"生成成长"),3))*(VLOOKUP($B$5,标准坦克设计!$B$14:$K$20,9)/30))</f>
        <v>8.7342291340052594</v>
      </c>
      <c r="CV112" s="173">
        <f ca="1">(VLOOKUP(CV$72,INDIRECT($C$5&amp;"生成成长"),2))/((VLOOKUP($B112,INDIRECT($B$5&amp;"生成成长"),4))/(VLOOKUP(CV$72,INDIRECT($C$5&amp;"生成成长"),5))*(VLOOKUP($B$5,标准坦克设计!$B$24:$U$30,MATCH("对"&amp;LEFT($C$5,2)&amp;"输出",标准坦克设计!$B$23:$U$23,0)))*(VLOOKUP($B112,INDIRECT($B$5&amp;"生成成长"),3))*(VLOOKUP($B$5,标准坦克设计!$B$14:$K$20,9)/30))</f>
        <v>9.3671522430864638</v>
      </c>
      <c r="CW112" s="173">
        <f ca="1">(VLOOKUP(CW$72,INDIRECT($C$5&amp;"生成成长"),2))/((VLOOKUP($B112,INDIRECT($B$5&amp;"生成成长"),4))/(VLOOKUP(CW$72,INDIRECT($C$5&amp;"生成成长"),5))*(VLOOKUP($B$5,标准坦克设计!$B$24:$U$30,MATCH("对"&amp;LEFT($C$5,2)&amp;"输出",标准坦克设计!$B$23:$U$23,0)))*(VLOOKUP($B112,INDIRECT($B$5&amp;"生成成长"),3))*(VLOOKUP($B$5,标准坦克设计!$B$14:$K$20,9)/30))</f>
        <v>10.022212567429648</v>
      </c>
      <c r="CX112" s="173">
        <f ca="1">(VLOOKUP(CX$72,INDIRECT($C$5&amp;"生成成长"),2))/((VLOOKUP($B112,INDIRECT($B$5&amp;"生成成长"),4))/(VLOOKUP(CX$72,INDIRECT($C$5&amp;"生成成长"),5))*(VLOOKUP($B$5,标准坦克设计!$B$24:$U$30,MATCH("对"&amp;LEFT($C$5,2)&amp;"输出",标准坦克设计!$B$23:$U$23,0)))*(VLOOKUP($B112,INDIRECT($B$5&amp;"生成成长"),3))*(VLOOKUP($B$5,标准坦克设计!$B$14:$K$20,9)/30))</f>
        <v>10.699410107034812</v>
      </c>
      <c r="CY112" s="173">
        <f ca="1">(VLOOKUP(CY$72,INDIRECT($C$5&amp;"生成成长"),2))/((VLOOKUP($B112,INDIRECT($B$5&amp;"生成成长"),4))/(VLOOKUP(CY$72,INDIRECT($C$5&amp;"生成成长"),5))*(VLOOKUP($B$5,标准坦克设计!$B$24:$U$30,MATCH("对"&amp;LEFT($C$5,2)&amp;"输出",标准坦克设计!$B$23:$U$23,0)))*(VLOOKUP($B112,INDIRECT($B$5&amp;"生成成长"),3))*(VLOOKUP($B$5,标准坦克设计!$B$14:$K$20,9)/30))</f>
        <v>11.398744861901962</v>
      </c>
      <c r="CZ112" s="173">
        <f ca="1">(VLOOKUP(CZ$72,INDIRECT($C$5&amp;"生成成长"),2))/((VLOOKUP($B112,INDIRECT($B$5&amp;"生成成长"),4))/(VLOOKUP(CZ$72,INDIRECT($C$5&amp;"生成成长"),5))*(VLOOKUP($B$5,标准坦克设计!$B$24:$U$30,MATCH("对"&amp;LEFT($C$5,2)&amp;"输出",标准坦克设计!$B$23:$U$23,0)))*(VLOOKUP($B112,INDIRECT($B$5&amp;"生成成长"),3))*(VLOOKUP($B$5,标准坦克设计!$B$14:$K$20,9)/30))</f>
        <v>12.120216832031094</v>
      </c>
      <c r="DA112" s="173">
        <f ca="1">(VLOOKUP(DA$72,INDIRECT($C$5&amp;"生成成长"),2))/((VLOOKUP($B112,INDIRECT($B$5&amp;"生成成长"),4))/(VLOOKUP(DA$72,INDIRECT($C$5&amp;"生成成长"),5))*(VLOOKUP($B$5,标准坦克设计!$B$24:$U$30,MATCH("对"&amp;LEFT($C$5,2)&amp;"输出",标准坦克设计!$B$23:$U$23,0)))*(VLOOKUP($B112,INDIRECT($B$5&amp;"生成成长"),3))*(VLOOKUP($B$5,标准坦克设计!$B$14:$K$20,9)/30))</f>
        <v>12.863826017422205</v>
      </c>
      <c r="DB112" s="173">
        <f ca="1">(VLOOKUP(DB$72,INDIRECT($C$5&amp;"生成成长"),2))/((VLOOKUP($B112,INDIRECT($B$5&amp;"生成成长"),4))/(VLOOKUP(DB$72,INDIRECT($C$5&amp;"生成成长"),5))*(VLOOKUP($B$5,标准坦克设计!$B$24:$U$30,MATCH("对"&amp;LEFT($C$5,2)&amp;"输出",标准坦克设计!$B$23:$U$23,0)))*(VLOOKUP($B112,INDIRECT($B$5&amp;"生成成长"),3))*(VLOOKUP($B$5,标准坦克设计!$B$14:$K$20,9)/30))</f>
        <v>13.629572418075298</v>
      </c>
      <c r="DC112" s="173">
        <f ca="1">(VLOOKUP(DC$72,INDIRECT($C$5&amp;"生成成长"),2))/((VLOOKUP($B112,INDIRECT($B$5&amp;"生成成长"),4))/(VLOOKUP(DC$72,INDIRECT($C$5&amp;"生成成长"),5))*(VLOOKUP($B$5,标准坦克设计!$B$24:$U$30,MATCH("对"&amp;LEFT($C$5,2)&amp;"输出",标准坦克设计!$B$23:$U$23,0)))*(VLOOKUP($B112,INDIRECT($B$5&amp;"生成成长"),3))*(VLOOKUP($B$5,标准坦克设计!$B$14:$K$20,9)/30))</f>
        <v>14.490179530408865</v>
      </c>
      <c r="DD112" s="173">
        <f ca="1">(VLOOKUP(DD$72,INDIRECT($C$5&amp;"生成成长"),2))/((VLOOKUP($B112,INDIRECT($B$5&amp;"生成成长"),4))/(VLOOKUP(DD$72,INDIRECT($C$5&amp;"生成成长"),5))*(VLOOKUP($B$5,标准坦克设计!$B$24:$U$30,MATCH("对"&amp;LEFT($C$5,2)&amp;"输出",标准坦克设计!$B$23:$U$23,0)))*(VLOOKUP($B112,INDIRECT($B$5&amp;"生成成长"),3))*(VLOOKUP($B$5,标准坦克设计!$B$14:$K$20,9)/30))</f>
        <v>15.377131758426117</v>
      </c>
      <c r="DE112" s="173">
        <f ca="1">(VLOOKUP(DE$72,INDIRECT($C$5&amp;"生成成长"),2))/((VLOOKUP($B112,INDIRECT($B$5&amp;"生成成长"),4))/(VLOOKUP(DE$72,INDIRECT($C$5&amp;"生成成长"),5))*(VLOOKUP($B$5,标准坦克设计!$B$24:$U$30,MATCH("对"&amp;LEFT($C$5,2)&amp;"输出",标准坦克设计!$B$23:$U$23,0)))*(VLOOKUP($B112,INDIRECT($B$5&amp;"生成成长"),3))*(VLOOKUP($B$5,标准坦克设计!$B$14:$K$20,9)/30))</f>
        <v>16.290429102127046</v>
      </c>
      <c r="DF112" s="173">
        <f ca="1">(VLOOKUP(DF$72,INDIRECT($C$5&amp;"生成成长"),2))/((VLOOKUP($B112,INDIRECT($B$5&amp;"生成成长"),4))/(VLOOKUP(DF$72,INDIRECT($C$5&amp;"生成成长"),5))*(VLOOKUP($B$5,标准坦克设计!$B$24:$U$30,MATCH("对"&amp;LEFT($C$5,2)&amp;"输出",标准坦克设计!$B$23:$U$23,0)))*(VLOOKUP($B112,INDIRECT($B$5&amp;"生成成长"),3))*(VLOOKUP($B$5,标准坦克设计!$B$14:$K$20,9)/30))</f>
        <v>17.230071561511654</v>
      </c>
      <c r="DG112" s="173">
        <f ca="1">(VLOOKUP(DG$72,INDIRECT($C$5&amp;"生成成长"),2))/((VLOOKUP($B112,INDIRECT($B$5&amp;"生成成长"),4))/(VLOOKUP(DG$72,INDIRECT($C$5&amp;"生成成长"),5))*(VLOOKUP($B$5,标准坦克设计!$B$24:$U$30,MATCH("对"&amp;LEFT($C$5,2)&amp;"输出",标准坦克设计!$B$23:$U$23,0)))*(VLOOKUP($B112,INDIRECT($B$5&amp;"生成成长"),3))*(VLOOKUP($B$5,标准坦克设计!$B$14:$K$20,9)/30))</f>
        <v>18.196059136579947</v>
      </c>
      <c r="DH112" s="173">
        <f ca="1">(VLOOKUP(DH$72,INDIRECT($C$5&amp;"生成成长"),2))/((VLOOKUP($B112,INDIRECT($B$5&amp;"生成成长"),4))/(VLOOKUP(DH$72,INDIRECT($C$5&amp;"生成成长"),5))*(VLOOKUP($B$5,标准坦克设计!$B$24:$U$30,MATCH("对"&amp;LEFT($C$5,2)&amp;"输出",标准坦克设计!$B$23:$U$23,0)))*(VLOOKUP($B112,INDIRECT($B$5&amp;"生成成长"),3))*(VLOOKUP($B$5,标准坦克设计!$B$14:$K$20,9)/30))</f>
        <v>19.18839182733192</v>
      </c>
      <c r="DI112" s="173">
        <f ca="1">(VLOOKUP(DI$72,INDIRECT($C$5&amp;"生成成长"),2))/((VLOOKUP($B112,INDIRECT($B$5&amp;"生成成长"),4))/(VLOOKUP(DI$72,INDIRECT($C$5&amp;"生成成长"),5))*(VLOOKUP($B$5,标准坦克设计!$B$24:$U$30,MATCH("对"&amp;LEFT($C$5,2)&amp;"输出",标准坦克设计!$B$23:$U$23,0)))*(VLOOKUP($B112,INDIRECT($B$5&amp;"生成成长"),3))*(VLOOKUP($B$5,标准坦克设计!$B$14:$K$20,9)/30))</f>
        <v>20.207069633767571</v>
      </c>
      <c r="DJ112" s="173">
        <f ca="1">(VLOOKUP(DJ$72,INDIRECT($C$5&amp;"生成成长"),2))/((VLOOKUP($B112,INDIRECT($B$5&amp;"生成成长"),4))/(VLOOKUP(DJ$72,INDIRECT($C$5&amp;"生成成长"),5))*(VLOOKUP($B$5,标准坦克设计!$B$24:$U$30,MATCH("对"&amp;LEFT($C$5,2)&amp;"输出",标准坦克设计!$B$23:$U$23,0)))*(VLOOKUP($B112,INDIRECT($B$5&amp;"生成成长"),3))*(VLOOKUP($B$5,标准坦克设计!$B$14:$K$20,9)/30))</f>
        <v>2.0308608100465095</v>
      </c>
      <c r="DK112" s="173">
        <f ca="1">(VLOOKUP(DK$72,INDIRECT($C$5&amp;"生成成长"),2))/((VLOOKUP($B112,INDIRECT($B$5&amp;"生成成长"),4))/(VLOOKUP(DK$72,INDIRECT($C$5&amp;"生成成长"),5))*(VLOOKUP($B$5,标准坦克设计!$B$24:$U$30,MATCH("对"&amp;LEFT($C$5,2)&amp;"输出",标准坦克设计!$B$23:$U$23,0)))*(VLOOKUP($B112,INDIRECT($B$5&amp;"生成成长"),3))*(VLOOKUP($B$5,标准坦克设计!$B$14:$K$20,9)/30))</f>
        <v>2.2836092636368206</v>
      </c>
      <c r="DL112" s="173">
        <f ca="1">(VLOOKUP(DL$72,INDIRECT($C$5&amp;"生成成长"),2))/((VLOOKUP($B112,INDIRECT($B$5&amp;"生成成长"),4))/(VLOOKUP(DL$72,INDIRECT($C$5&amp;"生成成长"),5))*(VLOOKUP($B$5,标准坦克设计!$B$24:$U$30,MATCH("对"&amp;LEFT($C$5,2)&amp;"输出",标准坦克设计!$B$23:$U$23,0)))*(VLOOKUP($B112,INDIRECT($B$5&amp;"生成成长"),3))*(VLOOKUP($B$5,标准坦克设计!$B$14:$K$20,9)/30))</f>
        <v>2.5511768447992029</v>
      </c>
      <c r="DM112" s="173">
        <f ca="1">(VLOOKUP(DM$72,INDIRECT($C$5&amp;"生成成长"),2))/((VLOOKUP($B112,INDIRECT($B$5&amp;"生成成长"),4))/(VLOOKUP(DM$72,INDIRECT($C$5&amp;"生成成长"),5))*(VLOOKUP($B$5,标准坦克设计!$B$24:$U$30,MATCH("对"&amp;LEFT($C$5,2)&amp;"输出",标准坦克设计!$B$23:$U$23,0)))*(VLOOKUP($B112,INDIRECT($B$5&amp;"生成成长"),3))*(VLOOKUP($B$5,标准坦克设计!$B$14:$K$20,9)/30))</f>
        <v>2.8335635535336543</v>
      </c>
      <c r="DN112" s="173">
        <f ca="1">(VLOOKUP(DN$72,INDIRECT($C$5&amp;"生成成长"),2))/((VLOOKUP($B112,INDIRECT($B$5&amp;"生成成长"),4))/(VLOOKUP(DN$72,INDIRECT($C$5&amp;"生成成长"),5))*(VLOOKUP($B$5,标准坦克设计!$B$24:$U$30,MATCH("对"&amp;LEFT($C$5,2)&amp;"输出",标准坦克设计!$B$23:$U$23,0)))*(VLOOKUP($B112,INDIRECT($B$5&amp;"生成成长"),3))*(VLOOKUP($B$5,标准坦克设计!$B$14:$K$20,9)/30))</f>
        <v>3.1307693898401769</v>
      </c>
      <c r="DO112" s="173">
        <f ca="1">(VLOOKUP(DO$72,INDIRECT($C$5&amp;"生成成长"),2))/((VLOOKUP($B112,INDIRECT($B$5&amp;"生成成长"),4))/(VLOOKUP(DO$72,INDIRECT($C$5&amp;"生成成长"),5))*(VLOOKUP($B$5,标准坦克设计!$B$24:$U$30,MATCH("对"&amp;LEFT($C$5,2)&amp;"输出",标准坦克设计!$B$23:$U$23,0)))*(VLOOKUP($B112,INDIRECT($B$5&amp;"生成成长"),3))*(VLOOKUP($B$5,标准坦克设计!$B$14:$K$20,9)/30))</f>
        <v>3.4427943537187704</v>
      </c>
      <c r="DP112" s="173">
        <f ca="1">(VLOOKUP(DP$72,INDIRECT($C$5&amp;"生成成长"),2))/((VLOOKUP($B112,INDIRECT($B$5&amp;"生成成长"),4))/(VLOOKUP(DP$72,INDIRECT($C$5&amp;"生成成长"),5))*(VLOOKUP($B$5,标准坦克设计!$B$24:$U$30,MATCH("对"&amp;LEFT($C$5,2)&amp;"输出",标准坦克设计!$B$23:$U$23,0)))*(VLOOKUP($B112,INDIRECT($B$5&amp;"生成成长"),3))*(VLOOKUP($B$5,标准坦克设计!$B$14:$K$20,9)/30))</f>
        <v>3.7696384451694338</v>
      </c>
      <c r="DQ112" s="173">
        <f ca="1">(VLOOKUP(DQ$72,INDIRECT($C$5&amp;"生成成长"),2))/((VLOOKUP($B112,INDIRECT($B$5&amp;"生成成长"),4))/(VLOOKUP(DQ$72,INDIRECT($C$5&amp;"生成成长"),5))*(VLOOKUP($B$5,标准坦克设计!$B$24:$U$30,MATCH("对"&amp;LEFT($C$5,2)&amp;"输出",标准坦克设计!$B$23:$U$23,0)))*(VLOOKUP($B112,INDIRECT($B$5&amp;"生成成长"),3))*(VLOOKUP($B$5,标准坦克设计!$B$14:$K$20,9)/30))</f>
        <v>4.1113016641921671</v>
      </c>
      <c r="DR112" s="173">
        <f ca="1">(VLOOKUP(DR$72,INDIRECT($C$5&amp;"生成成长"),2))/((VLOOKUP($B112,INDIRECT($B$5&amp;"生成成长"),4))/(VLOOKUP(DR$72,INDIRECT($C$5&amp;"生成成长"),5))*(VLOOKUP($B$5,标准坦克设计!$B$24:$U$30,MATCH("对"&amp;LEFT($C$5,2)&amp;"输出",标准坦克设计!$B$23:$U$23,0)))*(VLOOKUP($B112,INDIRECT($B$5&amp;"生成成长"),3))*(VLOOKUP($B$5,标准坦克设计!$B$14:$K$20,9)/30))</f>
        <v>4.4677840107869704</v>
      </c>
      <c r="DS112" s="173">
        <f ca="1">(VLOOKUP(DS$72,INDIRECT($C$5&amp;"生成成长"),2))/((VLOOKUP($B112,INDIRECT($B$5&amp;"生成成长"),4))/(VLOOKUP(DS$72,INDIRECT($C$5&amp;"生成成长"),5))*(VLOOKUP($B$5,标准坦克设计!$B$24:$U$30,MATCH("对"&amp;LEFT($C$5,2)&amp;"输出",标准坦克设计!$B$23:$U$23,0)))*(VLOOKUP($B112,INDIRECT($B$5&amp;"生成成长"),3))*(VLOOKUP($B$5,标准坦克设计!$B$14:$K$20,9)/30))</f>
        <v>4.8390854849538458</v>
      </c>
      <c r="DT112" s="173">
        <f ca="1">(VLOOKUP(DT$72,INDIRECT($C$5&amp;"生成成长"),2))/((VLOOKUP($B112,INDIRECT($B$5&amp;"生成成长"),4))/(VLOOKUP(DT$72,INDIRECT($C$5&amp;"生成成长"),5))*(VLOOKUP($B$5,标准坦克设计!$B$24:$U$30,MATCH("对"&amp;LEFT($C$5,2)&amp;"输出",标准坦克设计!$B$23:$U$23,0)))*(VLOOKUP($B112,INDIRECT($B$5&amp;"生成成长"),3))*(VLOOKUP($B$5,标准坦克设计!$B$14:$K$20,9)/30))</f>
        <v>5.3130231389717268</v>
      </c>
      <c r="DU112" s="173">
        <f ca="1">(VLOOKUP(DU$72,INDIRECT($C$5&amp;"生成成长"),2))/((VLOOKUP($B112,INDIRECT($B$5&amp;"生成成长"),4))/(VLOOKUP(DU$72,INDIRECT($C$5&amp;"生成成长"),5))*(VLOOKUP($B$5,标准坦克设计!$B$24:$U$30,MATCH("对"&amp;LEFT($C$5,2)&amp;"输出",标准坦克设计!$B$23:$U$23,0)))*(VLOOKUP($B112,INDIRECT($B$5&amp;"生成成长"),3))*(VLOOKUP($B$5,标准坦克设计!$B$14:$K$20,9)/30))</f>
        <v>5.8090980082515884</v>
      </c>
      <c r="DV112" s="173">
        <f ca="1">(VLOOKUP(DV$72,INDIRECT($C$5&amp;"生成成长"),2))/((VLOOKUP($B112,INDIRECT($B$5&amp;"生成成长"),4))/(VLOOKUP(DV$72,INDIRECT($C$5&amp;"生成成长"),5))*(VLOOKUP($B$5,标准坦克设计!$B$24:$U$30,MATCH("对"&amp;LEFT($C$5,2)&amp;"输出",标准坦克设计!$B$23:$U$23,0)))*(VLOOKUP($B112,INDIRECT($B$5&amp;"生成成长"),3))*(VLOOKUP($B$5,标准坦克设计!$B$14:$K$20,9)/30))</f>
        <v>6.327310092793434</v>
      </c>
      <c r="DW112" s="173">
        <f ca="1">(VLOOKUP(DW$72,INDIRECT($C$5&amp;"生成成长"),2))/((VLOOKUP($B112,INDIRECT($B$5&amp;"生成成长"),4))/(VLOOKUP(DW$72,INDIRECT($C$5&amp;"生成成长"),5))*(VLOOKUP($B$5,标准坦克设计!$B$24:$U$30,MATCH("对"&amp;LEFT($C$5,2)&amp;"输出",标准坦克设计!$B$23:$U$23,0)))*(VLOOKUP($B112,INDIRECT($B$5&amp;"生成成长"),3))*(VLOOKUP($B$5,标准坦克设计!$B$14:$K$20,9)/30))</f>
        <v>6.8676593925972576</v>
      </c>
      <c r="DX112" s="173">
        <f ca="1">(VLOOKUP(DX$72,INDIRECT($C$5&amp;"生成成长"),2))/((VLOOKUP($B112,INDIRECT($B$5&amp;"生成成长"),4))/(VLOOKUP(DX$72,INDIRECT($C$5&amp;"生成成长"),5))*(VLOOKUP($B$5,标准坦克设计!$B$24:$U$30,MATCH("对"&amp;LEFT($C$5,2)&amp;"输出",标准坦克设计!$B$23:$U$23,0)))*(VLOOKUP($B112,INDIRECT($B$5&amp;"生成成长"),3))*(VLOOKUP($B$5,标准坦克设计!$B$14:$K$20,9)/30))</f>
        <v>7.4301459076630643</v>
      </c>
      <c r="DY112" s="173">
        <f ca="1">(VLOOKUP(DY$72,INDIRECT($C$5&amp;"生成成长"),2))/((VLOOKUP($B112,INDIRECT($B$5&amp;"生成成长"),4))/(VLOOKUP(DY$72,INDIRECT($C$5&amp;"生成成长"),5))*(VLOOKUP($B$5,标准坦克设计!$B$24:$U$30,MATCH("对"&amp;LEFT($C$5,2)&amp;"输出",标准坦克设计!$B$23:$U$23,0)))*(VLOOKUP($B112,INDIRECT($B$5&amp;"生成成长"),3))*(VLOOKUP($B$5,标准坦克设计!$B$14:$K$20,9)/30))</f>
        <v>3.3371394626956761</v>
      </c>
      <c r="DZ112" s="173">
        <f ca="1">(VLOOKUP(DZ$72,INDIRECT($C$5&amp;"生成成长"),2))/((VLOOKUP($B112,INDIRECT($B$5&amp;"生成成长"),4))/(VLOOKUP(DZ$72,INDIRECT($C$5&amp;"生成成长"),5))*(VLOOKUP($B$5,标准坦克设计!$B$24:$U$30,MATCH("对"&amp;LEFT($C$5,2)&amp;"输出",标准坦克设计!$B$23:$U$23,0)))*(VLOOKUP($B112,INDIRECT($B$5&amp;"生成成长"),3))*(VLOOKUP($B$5,标准坦克设计!$B$14:$K$20,9)/30))</f>
        <v>3.6957257595013298</v>
      </c>
      <c r="EA112" s="173">
        <f ca="1">(VLOOKUP(EA$72,INDIRECT($C$5&amp;"生成成长"),2))/((VLOOKUP($B112,INDIRECT($B$5&amp;"生成成长"),4))/(VLOOKUP(EA$72,INDIRECT($C$5&amp;"生成成长"),5))*(VLOOKUP($B$5,标准坦克设计!$B$24:$U$30,MATCH("对"&amp;LEFT($C$5,2)&amp;"输出",标准坦克设计!$B$23:$U$23,0)))*(VLOOKUP($B112,INDIRECT($B$5&amp;"生成成长"),3))*(VLOOKUP($B$5,标准坦克设计!$B$14:$K$20,9)/30))</f>
        <v>4.0726072755317615</v>
      </c>
      <c r="EB112" s="173">
        <f ca="1">(VLOOKUP(EB$72,INDIRECT($C$5&amp;"生成成长"),2))/((VLOOKUP($B112,INDIRECT($B$5&amp;"生成成长"),4))/(VLOOKUP(EB$72,INDIRECT($C$5&amp;"生成成长"),5))*(VLOOKUP($B$5,标准坦克设计!$B$24:$U$30,MATCH("对"&amp;LEFT($C$5,2)&amp;"输出",标准坦克设计!$B$23:$U$23,0)))*(VLOOKUP($B112,INDIRECT($B$5&amp;"生成成长"),3))*(VLOOKUP($B$5,标准坦克设计!$B$14:$K$20,9)/30))</f>
        <v>4.4677840107869704</v>
      </c>
      <c r="EC112" s="173">
        <f ca="1">(VLOOKUP(EC$72,INDIRECT($C$5&amp;"生成成长"),2))/((VLOOKUP($B112,INDIRECT($B$5&amp;"生成成长"),4))/(VLOOKUP(EC$72,INDIRECT($C$5&amp;"生成成长"),5))*(VLOOKUP($B$5,标准坦克设计!$B$24:$U$30,MATCH("对"&amp;LEFT($C$5,2)&amp;"输出",标准坦克设计!$B$23:$U$23,0)))*(VLOOKUP($B112,INDIRECT($B$5&amp;"生成成长"),3))*(VLOOKUP($B$5,标准坦克设计!$B$14:$K$20,9)/30))</f>
        <v>4.88125596526696</v>
      </c>
      <c r="ED112" s="173">
        <f ca="1">(VLOOKUP(ED$72,INDIRECT($C$5&amp;"生成成长"),2))/((VLOOKUP($B112,INDIRECT($B$5&amp;"生成成长"),4))/(VLOOKUP(ED$72,INDIRECT($C$5&amp;"生成成长"),5))*(VLOOKUP($B$5,标准坦克设计!$B$24:$U$30,MATCH("对"&amp;LEFT($C$5,2)&amp;"输出",标准坦克设计!$B$23:$U$23,0)))*(VLOOKUP($B112,INDIRECT($B$5&amp;"生成成长"),3))*(VLOOKUP($B$5,标准坦克设计!$B$14:$K$20,9)/30))</f>
        <v>5.3130231389717268</v>
      </c>
      <c r="EE112" s="173">
        <f ca="1">(VLOOKUP(EE$72,INDIRECT($C$5&amp;"生成成长"),2))/((VLOOKUP($B112,INDIRECT($B$5&amp;"生成成长"),4))/(VLOOKUP(EE$72,INDIRECT($C$5&amp;"生成成长"),5))*(VLOOKUP($B$5,标准坦克设计!$B$24:$U$30,MATCH("对"&amp;LEFT($C$5,2)&amp;"输出",标准坦克设计!$B$23:$U$23,0)))*(VLOOKUP($B112,INDIRECT($B$5&amp;"生成成长"),3))*(VLOOKUP($B$5,标准坦克设计!$B$14:$K$20,9)/30))</f>
        <v>5.7630855319012708</v>
      </c>
      <c r="EF112" s="173">
        <f ca="1">(VLOOKUP(EF$72,INDIRECT($C$5&amp;"生成成长"),2))/((VLOOKUP($B112,INDIRECT($B$5&amp;"生成成长"),4))/(VLOOKUP(EF$72,INDIRECT($C$5&amp;"生成成长"),5))*(VLOOKUP($B$5,标准坦克设计!$B$24:$U$30,MATCH("对"&amp;LEFT($C$5,2)&amp;"输出",标准坦克设计!$B$23:$U$23,0)))*(VLOOKUP($B112,INDIRECT($B$5&amp;"生成成长"),3))*(VLOOKUP($B$5,标准坦克设计!$B$14:$K$20,9)/30))</f>
        <v>6.2314431440555946</v>
      </c>
      <c r="EG112" s="173">
        <f ca="1">(VLOOKUP(EG$72,INDIRECT($C$5&amp;"生成成长"),2))/((VLOOKUP($B112,INDIRECT($B$5&amp;"生成成长"),4))/(VLOOKUP(EG$72,INDIRECT($C$5&amp;"生成成长"),5))*(VLOOKUP($B$5,标准坦克设计!$B$24:$U$30,MATCH("对"&amp;LEFT($C$5,2)&amp;"输出",标准坦克设计!$B$23:$U$23,0)))*(VLOOKUP($B112,INDIRECT($B$5&amp;"生成成长"),3))*(VLOOKUP($B$5,标准坦克设计!$B$14:$K$20,9)/30))</f>
        <v>6.7180959754346956</v>
      </c>
      <c r="EH112" s="173">
        <f ca="1">(VLOOKUP(EH$72,INDIRECT($C$5&amp;"生成成长"),2))/((VLOOKUP($B112,INDIRECT($B$5&amp;"生成成长"),4))/(VLOOKUP(EH$72,INDIRECT($C$5&amp;"生成成长"),5))*(VLOOKUP($B$5,标准坦克设计!$B$24:$U$30,MATCH("对"&amp;LEFT($C$5,2)&amp;"输出",标准坦克设计!$B$23:$U$23,0)))*(VLOOKUP($B112,INDIRECT($B$5&amp;"生成成长"),3))*(VLOOKUP($B$5,标准坦克设计!$B$14:$K$20,9)/30))</f>
        <v>7.2230440260385746</v>
      </c>
      <c r="EI112" s="173">
        <f ca="1">(VLOOKUP(EI$72,INDIRECT($C$5&amp;"生成成长"),2))/((VLOOKUP($B112,INDIRECT($B$5&amp;"生成成长"),4))/(VLOOKUP(EI$72,INDIRECT($C$5&amp;"生成成长"),5))*(VLOOKUP($B$5,标准坦克设计!$B$24:$U$30,MATCH("对"&amp;LEFT($C$5,2)&amp;"输出",标准坦克设计!$B$23:$U$23,0)))*(VLOOKUP($B112,INDIRECT($B$5&amp;"生成成长"),3))*(VLOOKUP($B$5,标准坦克设计!$B$14:$K$20,9)/30))</f>
        <v>7.7462872958672344</v>
      </c>
      <c r="EJ112" s="173">
        <f ca="1">(VLOOKUP(EJ$72,INDIRECT($C$5&amp;"生成成长"),2))/((VLOOKUP($B112,INDIRECT($B$5&amp;"生成成长"),4))/(VLOOKUP(EJ$72,INDIRECT($C$5&amp;"生成成长"),5))*(VLOOKUP($B$5,标准坦克设计!$B$24:$U$30,MATCH("对"&amp;LEFT($C$5,2)&amp;"输出",标准坦克设计!$B$23:$U$23,0)))*(VLOOKUP($B112,INDIRECT($B$5&amp;"生成成长"),3))*(VLOOKUP($B$5,标准坦克设计!$B$14:$K$20,9)/30))</f>
        <v>8.2878257849206705</v>
      </c>
      <c r="EK112" s="173">
        <f ca="1">(VLOOKUP(EK$72,INDIRECT($C$5&amp;"生成成长"),2))/((VLOOKUP($B112,INDIRECT($B$5&amp;"生成成长"),4))/(VLOOKUP(EK$72,INDIRECT($C$5&amp;"生成成长"),5))*(VLOOKUP($B$5,标准坦克设计!$B$24:$U$30,MATCH("对"&amp;LEFT($C$5,2)&amp;"输出",标准坦克设计!$B$23:$U$23,0)))*(VLOOKUP($B112,INDIRECT($B$5&amp;"生成成长"),3))*(VLOOKUP($B$5,标准坦克设计!$B$14:$K$20,9)/30))</f>
        <v>8.9618216611614994</v>
      </c>
      <c r="EL112" s="173">
        <f ca="1">(VLOOKUP(EL$72,INDIRECT($C$5&amp;"生成成长"),2))/((VLOOKUP($B112,INDIRECT($B$5&amp;"生成成长"),4))/(VLOOKUP(EL$72,INDIRECT($C$5&amp;"生成成长"),5))*(VLOOKUP($B$5,标准坦克设计!$B$24:$U$30,MATCH("对"&amp;LEFT($C$5,2)&amp;"输出",标准坦克设计!$B$23:$U$23,0)))*(VLOOKUP($B112,INDIRECT($B$5&amp;"生成成长"),3))*(VLOOKUP($B$5,标准坦克设计!$B$14:$K$20,9)/30))</f>
        <v>9.6621626530860123</v>
      </c>
      <c r="EM112" s="173">
        <f ca="1">(VLOOKUP(EM$72,INDIRECT($C$5&amp;"生成成长"),2))/((VLOOKUP($B112,INDIRECT($B$5&amp;"生成成长"),4))/(VLOOKUP(EM$72,INDIRECT($C$5&amp;"生成成长"),5))*(VLOOKUP($B$5,标准坦克设计!$B$24:$U$30,MATCH("对"&amp;LEFT($C$5,2)&amp;"输出",标准坦克设计!$B$23:$U$23,0)))*(VLOOKUP($B112,INDIRECT($B$5&amp;"生成成长"),3))*(VLOOKUP($B$5,标准坦克设计!$B$14:$K$20,9)/30))</f>
        <v>10.388848760694204</v>
      </c>
      <c r="EN112" s="173">
        <f ca="1">(VLOOKUP(EN$72,INDIRECT($C$5&amp;"生成成长"),2))/((VLOOKUP($B112,INDIRECT($B$5&amp;"生成成长"),4))/(VLOOKUP(EN$72,INDIRECT($C$5&amp;"生成成长"),5))*(VLOOKUP($B$5,标准坦克设计!$B$24:$U$30,MATCH("对"&amp;LEFT($C$5,2)&amp;"输出",标准坦克设计!$B$23:$U$23,0)))*(VLOOKUP($B112,INDIRECT($B$5&amp;"生成成长"),3))*(VLOOKUP($B$5,标准坦克设计!$B$14:$K$20,9)/30))</f>
        <v>11.141879983986078</v>
      </c>
      <c r="EO112" s="173">
        <f ca="1">(VLOOKUP(EO$72,INDIRECT($C$5&amp;"生成成长"),2))/((VLOOKUP($B112,INDIRECT($B$5&amp;"生成成长"),4))/(VLOOKUP(EO$72,INDIRECT($C$5&amp;"生成成长"),5))*(VLOOKUP($B$5,标准坦克设计!$B$24:$U$30,MATCH("对"&amp;LEFT($C$5,2)&amp;"输出",标准坦克设计!$B$23:$U$23,0)))*(VLOOKUP($B112,INDIRECT($B$5&amp;"生成成长"),3))*(VLOOKUP($B$5,标准坦克设计!$B$14:$K$20,9)/30))</f>
        <v>11.921256322961629</v>
      </c>
      <c r="EP112" s="173">
        <f ca="1">(VLOOKUP(EP$72,INDIRECT($C$5&amp;"生成成长"),2))/((VLOOKUP($B112,INDIRECT($B$5&amp;"生成成长"),4))/(VLOOKUP(EP$72,INDIRECT($C$5&amp;"生成成长"),5))*(VLOOKUP($B$5,标准坦克设计!$B$24:$U$30,MATCH("对"&amp;LEFT($C$5,2)&amp;"输出",标准坦克设计!$B$23:$U$23,0)))*(VLOOKUP($B112,INDIRECT($B$5&amp;"生成成长"),3))*(VLOOKUP($B$5,标准坦克设计!$B$14:$K$20,9)/30))</f>
        <v>12.726977777620863</v>
      </c>
      <c r="EQ112" s="173">
        <f ca="1">(VLOOKUP(EQ$72,INDIRECT($C$5&amp;"生成成长"),2))/((VLOOKUP($B112,INDIRECT($B$5&amp;"生成成长"),4))/(VLOOKUP(EQ$72,INDIRECT($C$5&amp;"生成成长"),5))*(VLOOKUP($B$5,标准坦克设计!$B$24:$U$30,MATCH("对"&amp;LEFT($C$5,2)&amp;"输出",标准坦克设计!$B$23:$U$23,0)))*(VLOOKUP($B112,INDIRECT($B$5&amp;"生成成长"),3))*(VLOOKUP($B$5,标准坦克设计!$B$14:$K$20,9)/30))</f>
        <v>5.6261458160038051</v>
      </c>
      <c r="ER112" s="173">
        <f ca="1">(VLOOKUP(ER$72,INDIRECT($C$5&amp;"生成成长"),2))/((VLOOKUP($B112,INDIRECT($B$5&amp;"生成成长"),4))/(VLOOKUP(ER$72,INDIRECT($C$5&amp;"生成成长"),5))*(VLOOKUP($B$5,标准坦克设计!$B$24:$U$30,MATCH("对"&amp;LEFT($C$5,2)&amp;"输出",标准坦克设计!$B$23:$U$23,0)))*(VLOOKUP($B112,INDIRECT($B$5&amp;"生成成长"),3))*(VLOOKUP($B$5,标准坦克设计!$B$14:$K$20,9)/30))</f>
        <v>6.1363080040867466</v>
      </c>
      <c r="ES112" s="173">
        <f ca="1">(VLOOKUP(ES$72,INDIRECT($C$5&amp;"生成成长"),2))/((VLOOKUP($B112,INDIRECT($B$5&amp;"生成成长"),4))/(VLOOKUP(ES$72,INDIRECT($C$5&amp;"生成成长"),5))*(VLOOKUP($B$5,标准坦克设计!$B$24:$U$30,MATCH("对"&amp;LEFT($C$5,2)&amp;"输出",标准坦克设计!$B$23:$U$23,0)))*(VLOOKUP($B112,INDIRECT($B$5&amp;"生成成长"),3))*(VLOOKUP($B$5,标准坦克设计!$B$14:$K$20,9)/30))</f>
        <v>6.6686074074316704</v>
      </c>
      <c r="ET112" s="173">
        <f ca="1">(VLOOKUP(ET$72,INDIRECT($C$5&amp;"生成成长"),2))/((VLOOKUP($B112,INDIRECT($B$5&amp;"生成成长"),4))/(VLOOKUP(ET$72,INDIRECT($C$5&amp;"生成成长"),5))*(VLOOKUP($B$5,标准坦克设计!$B$24:$U$30,MATCH("对"&amp;LEFT($C$5,2)&amp;"输出",标准坦克设计!$B$23:$U$23,0)))*(VLOOKUP($B112,INDIRECT($B$5&amp;"生成成长"),3))*(VLOOKUP($B$5,标准坦克设计!$B$14:$K$20,9)/30))</f>
        <v>7.2230440260385746</v>
      </c>
      <c r="EU112" s="173">
        <f ca="1">(VLOOKUP(EU$72,INDIRECT($C$5&amp;"生成成长"),2))/((VLOOKUP($B112,INDIRECT($B$5&amp;"生成成长"),4))/(VLOOKUP(EU$72,INDIRECT($C$5&amp;"生成成长"),5))*(VLOOKUP($B$5,标准坦克设计!$B$24:$U$30,MATCH("对"&amp;LEFT($C$5,2)&amp;"输出",标准坦克设计!$B$23:$U$23,0)))*(VLOOKUP($B112,INDIRECT($B$5&amp;"生成成长"),3))*(VLOOKUP($B$5,标准坦克设计!$B$14:$K$20,9)/30))</f>
        <v>7.7996178599074621</v>
      </c>
      <c r="EV112" s="173">
        <f ca="1">(VLOOKUP(EV$72,INDIRECT($C$5&amp;"生成成长"),2))/((VLOOKUP($B112,INDIRECT($B$5&amp;"生成成长"),4))/(VLOOKUP(EV$72,INDIRECT($C$5&amp;"生成成长"),5))*(VLOOKUP($B$5,标准坦克设计!$B$24:$U$30,MATCH("对"&amp;LEFT($C$5,2)&amp;"输出",标准坦克设计!$B$23:$U$23,0)))*(VLOOKUP($B112,INDIRECT($B$5&amp;"生成成长"),3))*(VLOOKUP($B$5,标准坦克设计!$B$14:$K$20,9)/30))</f>
        <v>8.3983289090383302</v>
      </c>
      <c r="EW112" s="173">
        <f ca="1">(VLOOKUP(EW$72,INDIRECT($C$5&amp;"生成成长"),2))/((VLOOKUP($B112,INDIRECT($B$5&amp;"生成成长"),4))/(VLOOKUP(EW$72,INDIRECT($C$5&amp;"生成成长"),5))*(VLOOKUP($B$5,标准坦克设计!$B$24:$U$30,MATCH("对"&amp;LEFT($C$5,2)&amp;"输出",标准坦克设计!$B$23:$U$23,0)))*(VLOOKUP($B112,INDIRECT($B$5&amp;"生成成长"),3))*(VLOOKUP($B$5,标准坦克设计!$B$14:$K$20,9)/30))</f>
        <v>9.0191771734311779</v>
      </c>
      <c r="EX112" s="173">
        <f ca="1">(VLOOKUP(EX$72,INDIRECT($C$5&amp;"生成成长"),2))/((VLOOKUP($B112,INDIRECT($B$5&amp;"生成成长"),4))/(VLOOKUP(EX$72,INDIRECT($C$5&amp;"生成成长"),5))*(VLOOKUP($B$5,标准坦克设计!$B$24:$U$30,MATCH("对"&amp;LEFT($C$5,2)&amp;"输出",标准坦克设计!$B$23:$U$23,0)))*(VLOOKUP($B112,INDIRECT($B$5&amp;"生成成长"),3))*(VLOOKUP($B$5,标准坦克设计!$B$14:$K$20,9)/30))</f>
        <v>9.6621626530860123</v>
      </c>
      <c r="EY112" s="173">
        <f ca="1">(VLOOKUP(EY$72,INDIRECT($C$5&amp;"生成成长"),2))/((VLOOKUP($B112,INDIRECT($B$5&amp;"生成成长"),4))/(VLOOKUP(EY$72,INDIRECT($C$5&amp;"生成成长"),5))*(VLOOKUP($B$5,标准坦克设计!$B$24:$U$30,MATCH("对"&amp;LEFT($C$5,2)&amp;"输出",标准坦克设计!$B$23:$U$23,0)))*(VLOOKUP($B112,INDIRECT($B$5&amp;"生成成长"),3))*(VLOOKUP($B$5,标准坦克设计!$B$14:$K$20,9)/30))</f>
        <v>10.327285348002823</v>
      </c>
      <c r="EZ112" s="173">
        <f ca="1">(VLOOKUP(EZ$72,INDIRECT($C$5&amp;"生成成长"),2))/((VLOOKUP($B112,INDIRECT($B$5&amp;"生成成长"),4))/(VLOOKUP(EZ$72,INDIRECT($C$5&amp;"生成成长"),5))*(VLOOKUP($B$5,标准坦克设计!$B$24:$U$30,MATCH("对"&amp;LEFT($C$5,2)&amp;"输出",标准坦克设计!$B$23:$U$23,0)))*(VLOOKUP($B112,INDIRECT($B$5&amp;"生成成长"),3))*(VLOOKUP($B$5,标准坦克设计!$B$14:$K$20,9)/30))</f>
        <v>11.01454525818162</v>
      </c>
      <c r="FA112" s="173">
        <f ca="1">(VLOOKUP(FA$72,INDIRECT($C$5&amp;"生成成长"),2))/((VLOOKUP($B112,INDIRECT($B$5&amp;"生成成长"),4))/(VLOOKUP(FA$72,INDIRECT($C$5&amp;"生成成长"),5))*(VLOOKUP($B$5,标准坦克设计!$B$24:$U$30,MATCH("对"&amp;LEFT($C$5,2)&amp;"输出",标准坦克设计!$B$23:$U$23,0)))*(VLOOKUP($B112,INDIRECT($B$5&amp;"生成成长"),3))*(VLOOKUP($B$5,标准坦克设计!$B$14:$K$20,9)/30))</f>
        <v>11.723942383622397</v>
      </c>
      <c r="FB112" s="173">
        <f ca="1">(VLOOKUP(FB$72,INDIRECT($C$5&amp;"生成成长"),2))/((VLOOKUP($B112,INDIRECT($B$5&amp;"生成成长"),4))/(VLOOKUP(FB$72,INDIRECT($C$5&amp;"生成成长"),5))*(VLOOKUP($B$5,标准坦克设计!$B$24:$U$30,MATCH("对"&amp;LEFT($C$5,2)&amp;"输出",标准坦克设计!$B$23:$U$23,0)))*(VLOOKUP($B112,INDIRECT($B$5&amp;"生成成长"),3))*(VLOOKUP($B$5,标准坦克设计!$B$14:$K$20,9)/30))</f>
        <v>12.455476724325154</v>
      </c>
      <c r="FC112" s="173">
        <f ca="1">(VLOOKUP(FC$72,INDIRECT($C$5&amp;"生成成长"),2))/((VLOOKUP($B112,INDIRECT($B$5&amp;"生成成长"),4))/(VLOOKUP(FC$72,INDIRECT($C$5&amp;"生成成长"),5))*(VLOOKUP($B$5,标准坦克设计!$B$24:$U$30,MATCH("对"&amp;LEFT($C$5,2)&amp;"输出",标准坦克设计!$B$23:$U$23,0)))*(VLOOKUP($B112,INDIRECT($B$5&amp;"生成成长"),3))*(VLOOKUP($B$5,标准坦克设计!$B$14:$K$20,9)/30))</f>
        <v>13.209148280289893</v>
      </c>
      <c r="FD112" s="173">
        <f ca="1">(VLOOKUP(FD$72,INDIRECT($C$5&amp;"生成成长"),2))/((VLOOKUP($B112,INDIRECT($B$5&amp;"生成成长"),4))/(VLOOKUP(FD$72,INDIRECT($C$5&amp;"生成成长"),5))*(VLOOKUP($B$5,标准坦克设计!$B$24:$U$30,MATCH("对"&amp;LEFT($C$5,2)&amp;"输出",标准坦克设计!$B$23:$U$23,0)))*(VLOOKUP($B112,INDIRECT($B$5&amp;"生成成长"),3))*(VLOOKUP($B$5,标准坦克设计!$B$14:$K$20,9)/30))</f>
        <v>13.984957051516615</v>
      </c>
      <c r="FE112" s="173">
        <f ca="1">(VLOOKUP(FE$72,INDIRECT($C$5&amp;"生成成长"),2))/((VLOOKUP($B112,INDIRECT($B$5&amp;"生成成长"),4))/(VLOOKUP(FE$72,INDIRECT($C$5&amp;"生成成长"),5))*(VLOOKUP($B$5,标准坦克设计!$B$24:$U$30,MATCH("对"&amp;LEFT($C$5,2)&amp;"输出",标准坦克设计!$B$23:$U$23,0)))*(VLOOKUP($B112,INDIRECT($B$5&amp;"生成成长"),3))*(VLOOKUP($B$5,标准坦克设计!$B$14:$K$20,9)/30))</f>
        <v>14.93036250495703</v>
      </c>
      <c r="FF112" s="173">
        <f ca="1">(VLOOKUP(FF$72,INDIRECT($C$5&amp;"生成成长"),2))/((VLOOKUP($B112,INDIRECT($B$5&amp;"生成成长"),4))/(VLOOKUP(FF$72,INDIRECT($C$5&amp;"生成成长"),5))*(VLOOKUP($B$5,标准坦克设计!$B$24:$U$30,MATCH("对"&amp;LEFT($C$5,2)&amp;"输出",标准坦克设计!$B$23:$U$23,0)))*(VLOOKUP($B112,INDIRECT($B$5&amp;"生成成长"),3))*(VLOOKUP($B$5,标准坦克设计!$B$14:$K$20,9)/30))</f>
        <v>15.906686878887323</v>
      </c>
      <c r="FG112" s="173">
        <f ca="1">(VLOOKUP(FG$72,INDIRECT($C$5&amp;"生成成长"),2))/((VLOOKUP($B112,INDIRECT($B$5&amp;"生成成长"),4))/(VLOOKUP(FG$72,INDIRECT($C$5&amp;"生成成长"),5))*(VLOOKUP($B$5,标准坦克设计!$B$24:$U$30,MATCH("对"&amp;LEFT($C$5,2)&amp;"输出",标准坦克设计!$B$23:$U$23,0)))*(VLOOKUP($B112,INDIRECT($B$5&amp;"生成成长"),3))*(VLOOKUP($B$5,标准坦克设计!$B$14:$K$20,9)/30))</f>
        <v>16.913930173307492</v>
      </c>
      <c r="FH112" s="173">
        <f ca="1">(VLOOKUP(FH$72,INDIRECT($C$5&amp;"生成成长"),2))/((VLOOKUP($B112,INDIRECT($B$5&amp;"生成成长"),4))/(VLOOKUP(FH$72,INDIRECT($C$5&amp;"生成成长"),5))*(VLOOKUP($B$5,标准坦克设计!$B$24:$U$30,MATCH("对"&amp;LEFT($C$5,2)&amp;"输出",标准坦克设计!$B$23:$U$23,0)))*(VLOOKUP($B112,INDIRECT($B$5&amp;"生成成长"),3))*(VLOOKUP($B$5,标准坦克设计!$B$14:$K$20,9)/30))</f>
        <v>17.952092388217533</v>
      </c>
      <c r="FI112" s="173">
        <f ca="1">(VLOOKUP(FI$72,INDIRECT($C$5&amp;"生成成长"),2))/((VLOOKUP($B112,INDIRECT($B$5&amp;"生成成长"),4))/(VLOOKUP(FI$72,INDIRECT($C$5&amp;"生成成长"),5))*(VLOOKUP($B$5,标准坦克设计!$B$24:$U$30,MATCH("对"&amp;LEFT($C$5,2)&amp;"输出",标准坦克设计!$B$23:$U$23,0)))*(VLOOKUP($B112,INDIRECT($B$5&amp;"生成成长"),3))*(VLOOKUP($B$5,标准坦克设计!$B$14:$K$20,9)/30))</f>
        <v>19.021173523617449</v>
      </c>
      <c r="FJ112" s="173">
        <f ca="1">(VLOOKUP(FJ$72,INDIRECT($C$5&amp;"生成成长"),2))/((VLOOKUP($B112,INDIRECT($B$5&amp;"生成成长"),4))/(VLOOKUP(FJ$72,INDIRECT($C$5&amp;"生成成长"),5))*(VLOOKUP($B$5,标准坦克设计!$B$24:$U$30,MATCH("对"&amp;LEFT($C$5,2)&amp;"输出",标准坦克设计!$B$23:$U$23,0)))*(VLOOKUP($B112,INDIRECT($B$5&amp;"生成成长"),3))*(VLOOKUP($B$5,标准坦克设计!$B$14:$K$20,9)/30))</f>
        <v>20.121173579507239</v>
      </c>
      <c r="FK112" s="173">
        <f ca="1">(VLOOKUP(FK$72,INDIRECT($C$5&amp;"生成成长"),2))/((VLOOKUP($B112,INDIRECT($B$5&amp;"生成成长"),4))/(VLOOKUP(FK$72,INDIRECT($C$5&amp;"生成成长"),5))*(VLOOKUP($B$5,标准坦克设计!$B$24:$U$30,MATCH("对"&amp;LEFT($C$5,2)&amp;"输出",标准坦克设计!$B$23:$U$23,0)))*(VLOOKUP($B112,INDIRECT($B$5&amp;"生成成长"),3))*(VLOOKUP($B$5,标准坦克设计!$B$14:$K$20,9)/30))</f>
        <v>21.252092555886907</v>
      </c>
    </row>
    <row r="113" spans="1:167" x14ac:dyDescent="0.15">
      <c r="A113" s="171" t="str">
        <f t="shared" si="11"/>
        <v>T5低品质9级</v>
      </c>
      <c r="B113" s="172">
        <v>10509</v>
      </c>
      <c r="C113" s="173">
        <f ca="1">(VLOOKUP(C$72,INDIRECT($C$5&amp;"生成成长"),2))/((VLOOKUP($B113,INDIRECT($B$5&amp;"生成成长"),4))/(VLOOKUP(C$72,INDIRECT($C$5&amp;"生成成长"),5))*(VLOOKUP($B$5,标准坦克设计!$B$24:$U$30,MATCH("对"&amp;LEFT($C$5,2)&amp;"输出",标准坦克设计!$B$23:$U$23,0)))*(VLOOKUP($B113,INDIRECT($B$5&amp;"生成成长"),3))*(VLOOKUP($B$5,标准坦克设计!$B$14:$K$20,9)/30))</f>
        <v>0.85329843558700558</v>
      </c>
      <c r="D113" s="173">
        <f ca="1">(VLOOKUP(D$72,INDIRECT($C$5&amp;"生成成长"),2))/((VLOOKUP($B113,INDIRECT($B$5&amp;"生成成长"),4))/(VLOOKUP(D$72,INDIRECT($C$5&amp;"生成成长"),5))*(VLOOKUP($B$5,标准坦克设计!$B$24:$U$30,MATCH("对"&amp;LEFT($C$5,2)&amp;"输出",标准坦克设计!$B$23:$U$23,0)))*(VLOOKUP($B113,INDIRECT($B$5&amp;"生成成长"),3))*(VLOOKUP($B$5,标准坦克设计!$B$14:$K$20,9)/30))</f>
        <v>0.95876612222555957</v>
      </c>
      <c r="E113" s="173">
        <f ca="1">(VLOOKUP(E$72,INDIRECT($C$5&amp;"生成成长"),2))/((VLOOKUP($B113,INDIRECT($B$5&amp;"生成成长"),4))/(VLOOKUP(E$72,INDIRECT($C$5&amp;"生成成长"),5))*(VLOOKUP($B$5,标准坦克设计!$B$24:$U$30,MATCH("对"&amp;LEFT($C$5,2)&amp;"输出",标准坦克设计!$B$23:$U$23,0)))*(VLOOKUP($B113,INDIRECT($B$5&amp;"生成成长"),3))*(VLOOKUP($B$5,标准坦克设计!$B$14:$K$20,9)/30))</f>
        <v>1.07037755760034</v>
      </c>
      <c r="F113" s="173">
        <f ca="1">(VLOOKUP(F$72,INDIRECT($C$5&amp;"生成成长"),2))/((VLOOKUP($B113,INDIRECT($B$5&amp;"生成成长"),4))/(VLOOKUP(F$72,INDIRECT($C$5&amp;"生成成长"),5))*(VLOOKUP($B$5,标准坦克设计!$B$24:$U$30,MATCH("对"&amp;LEFT($C$5,2)&amp;"输出",标准坦克设计!$B$23:$U$23,0)))*(VLOOKUP($B113,INDIRECT($B$5&amp;"生成成长"),3))*(VLOOKUP($B$5,标准坦克设计!$B$14:$K$20,9)/30))</f>
        <v>1.1881327417113465</v>
      </c>
      <c r="G113" s="173">
        <f ca="1">(VLOOKUP(G$72,INDIRECT($C$5&amp;"生成成长"),2))/((VLOOKUP($B113,INDIRECT($B$5&amp;"生成成长"),4))/(VLOOKUP(G$72,INDIRECT($C$5&amp;"生成成长"),5))*(VLOOKUP($B$5,标准坦克设计!$B$24:$U$30,MATCH("对"&amp;LEFT($C$5,2)&amp;"输出",标准坦克设计!$B$23:$U$23,0)))*(VLOOKUP($B113,INDIRECT($B$5&amp;"生成成长"),3))*(VLOOKUP($B$5,标准坦克设计!$B$14:$K$20,9)/30))</f>
        <v>1.3120316745585801</v>
      </c>
      <c r="H113" s="173">
        <f ca="1">(VLOOKUP(H$72,INDIRECT($C$5&amp;"生成成长"),2))/((VLOOKUP($B113,INDIRECT($B$5&amp;"生成成长"),4))/(VLOOKUP(H$72,INDIRECT($C$5&amp;"生成成长"),5))*(VLOOKUP($B$5,标准坦克设计!$B$24:$U$30,MATCH("对"&amp;LEFT($C$5,2)&amp;"输出",标准坦克设计!$B$23:$U$23,0)))*(VLOOKUP($B113,INDIRECT($B$5&amp;"生成成长"),3))*(VLOOKUP($B$5,标准坦克设计!$B$14:$K$20,9)/30))</f>
        <v>1.1481983749258748</v>
      </c>
      <c r="I113" s="173">
        <f ca="1">(VLOOKUP(I$72,INDIRECT($C$5&amp;"生成成长"),2))/((VLOOKUP($B113,INDIRECT($B$5&amp;"生成成长"),4))/(VLOOKUP(I$72,INDIRECT($C$5&amp;"生成成长"),5))*(VLOOKUP($B$5,标准坦克设计!$B$24:$U$30,MATCH("对"&amp;LEFT($C$5,2)&amp;"输出",标准坦克设计!$B$23:$U$23,0)))*(VLOOKUP($B113,INDIRECT($B$5&amp;"生成成长"),3))*(VLOOKUP($B$5,标准坦克设计!$B$14:$K$20,9)/30))</f>
        <v>1.3120316745585801</v>
      </c>
      <c r="J113" s="173">
        <f ca="1">(VLOOKUP(J$72,INDIRECT($C$5&amp;"生成成长"),2))/((VLOOKUP($B113,INDIRECT($B$5&amp;"生成成长"),4))/(VLOOKUP(J$72,INDIRECT($C$5&amp;"生成成长"),5))*(VLOOKUP($B$5,标准坦克设计!$B$24:$U$30,MATCH("对"&amp;LEFT($C$5,2)&amp;"输出",标准坦克设计!$B$23:$U$23,0)))*(VLOOKUP($B113,INDIRECT($B$5&amp;"生成成长"),3))*(VLOOKUP($B$5,标准坦克设计!$B$14:$K$20,9)/30))</f>
        <v>1.4867871941667987</v>
      </c>
      <c r="K113" s="173">
        <f ca="1">(VLOOKUP(K$72,INDIRECT($C$5&amp;"生成成长"),2))/((VLOOKUP($B113,INDIRECT($B$5&amp;"生成成长"),4))/(VLOOKUP(K$72,INDIRECT($C$5&amp;"生成成长"),5))*(VLOOKUP($B$5,标准坦克设计!$B$24:$U$30,MATCH("对"&amp;LEFT($C$5,2)&amp;"输出",标准坦克设计!$B$23:$U$23,0)))*(VLOOKUP($B113,INDIRECT($B$5&amp;"生成成长"),3))*(VLOOKUP($B$5,标准坦克设计!$B$14:$K$20,9)/30))</f>
        <v>1.6724649337505308</v>
      </c>
      <c r="L113" s="173">
        <f ca="1">(VLOOKUP(L$72,INDIRECT($C$5&amp;"生成成长"),2))/((VLOOKUP($B113,INDIRECT($B$5&amp;"生成成长"),4))/(VLOOKUP(L$72,INDIRECT($C$5&amp;"生成成长"),5))*(VLOOKUP($B$5,标准坦克设计!$B$24:$U$30,MATCH("对"&amp;LEFT($C$5,2)&amp;"输出",标准坦克设计!$B$23:$U$23,0)))*(VLOOKUP($B113,INDIRECT($B$5&amp;"生成成长"),3))*(VLOOKUP($B$5,标准坦克设计!$B$14:$K$20,9)/30))</f>
        <v>1.8690648933097773</v>
      </c>
      <c r="M113" s="173">
        <f ca="1">(VLOOKUP(M$72,INDIRECT($C$5&amp;"生成成长"),2))/((VLOOKUP($B113,INDIRECT($B$5&amp;"生成成长"),4))/(VLOOKUP(M$72,INDIRECT($C$5&amp;"生成成长"),5))*(VLOOKUP($B$5,标准坦克设计!$B$24:$U$30,MATCH("对"&amp;LEFT($C$5,2)&amp;"输出",标准坦克设计!$B$23:$U$23,0)))*(VLOOKUP($B113,INDIRECT($B$5&amp;"生成成长"),3))*(VLOOKUP($B$5,标准坦克设计!$B$14:$K$20,9)/30))</f>
        <v>2.0765870728445366</v>
      </c>
      <c r="N113" s="173">
        <f ca="1">(VLOOKUP(N$72,INDIRECT($C$5&amp;"生成成长"),2))/((VLOOKUP($B113,INDIRECT($B$5&amp;"生成成长"),4))/(VLOOKUP(N$72,INDIRECT($C$5&amp;"生成成长"),5))*(VLOOKUP($B$5,标准坦克设计!$B$24:$U$30,MATCH("对"&amp;LEFT($C$5,2)&amp;"输出",标准坦克设计!$B$23:$U$23,0)))*(VLOOKUP($B113,INDIRECT($B$5&amp;"生成成长"),3))*(VLOOKUP($B$5,标准坦克设计!$B$14:$K$20,9)/30))</f>
        <v>2.2950314723548102</v>
      </c>
      <c r="O113" s="173">
        <f ca="1">(VLOOKUP(O$72,INDIRECT($C$5&amp;"生成成长"),2))/((VLOOKUP($B113,INDIRECT($B$5&amp;"生成成长"),4))/(VLOOKUP(O$72,INDIRECT($C$5&amp;"生成成长"),5))*(VLOOKUP($B$5,标准坦克设计!$B$24:$U$30,MATCH("对"&amp;LEFT($C$5,2)&amp;"输出",标准坦克设计!$B$23:$U$23,0)))*(VLOOKUP($B113,INDIRECT($B$5&amp;"生成成长"),3))*(VLOOKUP($B$5,标准坦克设计!$B$14:$K$20,9)/30))</f>
        <v>1.7449099709318681</v>
      </c>
      <c r="P113" s="173">
        <f ca="1">(VLOOKUP(P$72,INDIRECT($C$5&amp;"生成成长"),2))/((VLOOKUP($B113,INDIRECT($B$5&amp;"生成成长"),4))/(VLOOKUP(P$72,INDIRECT($C$5&amp;"生成成长"),5))*(VLOOKUP($B$5,标准坦克设计!$B$24:$U$30,MATCH("对"&amp;LEFT($C$5,2)&amp;"输出",标准坦克设计!$B$23:$U$23,0)))*(VLOOKUP($B113,INDIRECT($B$5&amp;"生成成长"),3))*(VLOOKUP($B$5,标准坦克设计!$B$14:$K$20,9)/30))</f>
        <v>1.971460705580218</v>
      </c>
      <c r="Q113" s="173">
        <f ca="1">(VLOOKUP(Q$72,INDIRECT($C$5&amp;"生成成长"),2))/((VLOOKUP($B113,INDIRECT($B$5&amp;"生成成长"),4))/(VLOOKUP(Q$72,INDIRECT($C$5&amp;"生成成长"),5))*(VLOOKUP($B$5,标准坦克设计!$B$24:$U$30,MATCH("对"&amp;LEFT($C$5,2)&amp;"输出",标准坦克设计!$B$23:$U$23,0)))*(VLOOKUP($B113,INDIRECT($B$5&amp;"生成成长"),3))*(VLOOKUP($B$5,标准坦克设计!$B$14:$K$20,9)/30))</f>
        <v>2.2118348748850774</v>
      </c>
      <c r="R113" s="173">
        <f ca="1">(VLOOKUP(R$72,INDIRECT($C$5&amp;"生成成长"),2))/((VLOOKUP($B113,INDIRECT($B$5&amp;"生成成长"),4))/(VLOOKUP(R$72,INDIRECT($C$5&amp;"生成成长"),5))*(VLOOKUP($B$5,标准坦克设计!$B$24:$U$30,MATCH("对"&amp;LEFT($C$5,2)&amp;"输出",标准坦克设计!$B$23:$U$23,0)))*(VLOOKUP($B113,INDIRECT($B$5&amp;"生成成长"),3))*(VLOOKUP($B$5,标准坦克设计!$B$14:$K$20,9)/30))</f>
        <v>2.4660324788464467</v>
      </c>
      <c r="S113" s="173">
        <f ca="1">(VLOOKUP(S$72,INDIRECT($C$5&amp;"生成成长"),2))/((VLOOKUP($B113,INDIRECT($B$5&amp;"生成成长"),4))/(VLOOKUP(S$72,INDIRECT($C$5&amp;"生成成长"),5))*(VLOOKUP($B$5,标准坦克设计!$B$24:$U$30,MATCH("对"&amp;LEFT($C$5,2)&amp;"输出",标准坦克设计!$B$23:$U$23,0)))*(VLOOKUP($B113,INDIRECT($B$5&amp;"生成成长"),3))*(VLOOKUP($B$5,标准坦克设计!$B$14:$K$20,9)/30))</f>
        <v>2.734053517464325</v>
      </c>
      <c r="T113" s="173">
        <f ca="1">(VLOOKUP(T$72,INDIRECT($C$5&amp;"生成成长"),2))/((VLOOKUP($B113,INDIRECT($B$5&amp;"生成成长"),4))/(VLOOKUP(T$72,INDIRECT($C$5&amp;"生成成长"),5))*(VLOOKUP($B$5,标准坦克设计!$B$24:$U$30,MATCH("对"&amp;LEFT($C$5,2)&amp;"输出",标准坦克设计!$B$23:$U$23,0)))*(VLOOKUP($B113,INDIRECT($B$5&amp;"生成成长"),3))*(VLOOKUP($B$5,标准坦克设计!$B$14:$K$20,9)/30))</f>
        <v>3.0158979907387127</v>
      </c>
      <c r="U113" s="173">
        <f ca="1">(VLOOKUP(U$72,INDIRECT($C$5&amp;"生成成长"),2))/((VLOOKUP($B113,INDIRECT($B$5&amp;"生成成长"),4))/(VLOOKUP(U$72,INDIRECT($C$5&amp;"生成成长"),5))*(VLOOKUP($B$5,标准坦克设计!$B$24:$U$30,MATCH("对"&amp;LEFT($C$5,2)&amp;"输出",标准坦克设计!$B$23:$U$23,0)))*(VLOOKUP($B113,INDIRECT($B$5&amp;"生成成长"),3))*(VLOOKUP($B$5,标准坦克设计!$B$14:$K$20,9)/30))</f>
        <v>3.3115658986696097</v>
      </c>
      <c r="V113" s="173">
        <f ca="1">(VLOOKUP(V$72,INDIRECT($C$5&amp;"生成成长"),2))/((VLOOKUP($B113,INDIRECT($B$5&amp;"生成成长"),4))/(VLOOKUP(V$72,INDIRECT($C$5&amp;"生成成长"),5))*(VLOOKUP($B$5,标准坦克设计!$B$24:$U$30,MATCH("对"&amp;LEFT($C$5,2)&amp;"输出",标准坦克设计!$B$23:$U$23,0)))*(VLOOKUP($B113,INDIRECT($B$5&amp;"生成成长"),3))*(VLOOKUP($B$5,标准坦克设计!$B$14:$K$20,9)/30))</f>
        <v>3.6210572412570174</v>
      </c>
      <c r="W113" s="173">
        <f ca="1">(VLOOKUP(W$72,INDIRECT($C$5&amp;"生成成长"),2))/((VLOOKUP($B113,INDIRECT($B$5&amp;"生成成长"),4))/(VLOOKUP(W$72,INDIRECT($C$5&amp;"生成成长"),5))*(VLOOKUP($B$5,标准坦克设计!$B$24:$U$30,MATCH("对"&amp;LEFT($C$5,2)&amp;"输出",标准坦克设计!$B$23:$U$23,0)))*(VLOOKUP($B113,INDIRECT($B$5&amp;"生成成长"),3))*(VLOOKUP($B$5,标准坦克设计!$B$14:$K$20,9)/30))</f>
        <v>3.9443720185009341</v>
      </c>
      <c r="X113" s="173">
        <f ca="1">(VLOOKUP(X$72,INDIRECT($C$5&amp;"生成成长"),2))/((VLOOKUP($B113,INDIRECT($B$5&amp;"生成成长"),4))/(VLOOKUP(X$72,INDIRECT($C$5&amp;"生成成长"),5))*(VLOOKUP($B$5,标准坦克设计!$B$24:$U$30,MATCH("对"&amp;LEFT($C$5,2)&amp;"输出",标准坦克设计!$B$23:$U$23,0)))*(VLOOKUP($B113,INDIRECT($B$5&amp;"生成成长"),3))*(VLOOKUP($B$5,标准坦克设计!$B$14:$K$20,9)/30))</f>
        <v>2.8576111309373236</v>
      </c>
      <c r="Y113" s="173">
        <f ca="1">(VLOOKUP(Y$72,INDIRECT($C$5&amp;"生成成长"),2))/((VLOOKUP($B113,INDIRECT($B$5&amp;"生成成长"),4))/(VLOOKUP(Y$72,INDIRECT($C$5&amp;"生成成长"),5))*(VLOOKUP($B$5,标准坦克设计!$B$24:$U$30,MATCH("对"&amp;LEFT($C$5,2)&amp;"输出",标准坦克设计!$B$23:$U$23,0)))*(VLOOKUP($B113,INDIRECT($B$5&amp;"生成成长"),3))*(VLOOKUP($B$5,标准坦克设计!$B$14:$K$20,9)/30))</f>
        <v>3.1784513427180379</v>
      </c>
      <c r="Z113" s="173">
        <f ca="1">(VLOOKUP(Z$72,INDIRECT($C$5&amp;"生成成长"),2))/((VLOOKUP($B113,INDIRECT($B$5&amp;"生成成长"),4))/(VLOOKUP(Z$72,INDIRECT($C$5&amp;"生成成长"),5))*(VLOOKUP($B$5,标准坦克设计!$B$24:$U$30,MATCH("对"&amp;LEFT($C$5,2)&amp;"输出",标准坦克设计!$B$23:$U$23,0)))*(VLOOKUP($B113,INDIRECT($B$5&amp;"生成成长"),3))*(VLOOKUP($B$5,标准坦克设计!$B$14:$K$20,9)/30))</f>
        <v>3.5163575232104911</v>
      </c>
      <c r="AA113" s="173">
        <f ca="1">(VLOOKUP(AA$72,INDIRECT($C$5&amp;"生成成长"),2))/((VLOOKUP($B113,INDIRECT($B$5&amp;"生成成长"),4))/(VLOOKUP(AA$72,INDIRECT($C$5&amp;"生成成长"),5))*(VLOOKUP($B$5,标准坦克设计!$B$24:$U$30,MATCH("对"&amp;LEFT($C$5,2)&amp;"输出",标准坦克设计!$B$23:$U$23,0)))*(VLOOKUP($B113,INDIRECT($B$5&amp;"生成成长"),3))*(VLOOKUP($B$5,标准坦克设计!$B$14:$K$20,9)/30))</f>
        <v>3.871329672414686</v>
      </c>
      <c r="AB113" s="173">
        <f ca="1">(VLOOKUP(AB$72,INDIRECT($C$5&amp;"生成成长"),2))/((VLOOKUP($B113,INDIRECT($B$5&amp;"生成成长"),4))/(VLOOKUP(AB$72,INDIRECT($C$5&amp;"生成成长"),5))*(VLOOKUP($B$5,标准坦克设计!$B$24:$U$30,MATCH("对"&amp;LEFT($C$5,2)&amp;"输出",标准坦克设计!$B$23:$U$23,0)))*(VLOOKUP($B113,INDIRECT($B$5&amp;"生成成长"),3))*(VLOOKUP($B$5,标准坦克设计!$B$14:$K$20,9)/30))</f>
        <v>4.2433677903306206</v>
      </c>
      <c r="AC113" s="173">
        <f ca="1">(VLOOKUP(AC$72,INDIRECT($C$5&amp;"生成成长"),2))/((VLOOKUP($B113,INDIRECT($B$5&amp;"生成成长"),4))/(VLOOKUP(AC$72,INDIRECT($C$5&amp;"生成成长"),5))*(VLOOKUP($B$5,标准坦克设计!$B$24:$U$30,MATCH("对"&amp;LEFT($C$5,2)&amp;"输出",标准坦克设计!$B$23:$U$23,0)))*(VLOOKUP($B113,INDIRECT($B$5&amp;"生成成长"),3))*(VLOOKUP($B$5,标准坦克设计!$B$14:$K$20,9)/30))</f>
        <v>4.6324718769582951</v>
      </c>
      <c r="AD113" s="173">
        <f ca="1">(VLOOKUP(AD$72,INDIRECT($C$5&amp;"生成成长"),2))/((VLOOKUP($B113,INDIRECT($B$5&amp;"生成成长"),4))/(VLOOKUP(AD$72,INDIRECT($C$5&amp;"生成成长"),5))*(VLOOKUP($B$5,标准坦克设计!$B$24:$U$30,MATCH("对"&amp;LEFT($C$5,2)&amp;"输出",标准坦克设计!$B$23:$U$23,0)))*(VLOOKUP($B113,INDIRECT($B$5&amp;"生成成长"),3))*(VLOOKUP($B$5,标准坦克设计!$B$14:$K$20,9)/30))</f>
        <v>5.0386419322977103</v>
      </c>
      <c r="AE113" s="173">
        <f ca="1">(VLOOKUP(AE$72,INDIRECT($C$5&amp;"生成成长"),2))/((VLOOKUP($B113,INDIRECT($B$5&amp;"生成成长"),4))/(VLOOKUP(AE$72,INDIRECT($C$5&amp;"生成成长"),5))*(VLOOKUP($B$5,标准坦克设计!$B$24:$U$30,MATCH("对"&amp;LEFT($C$5,2)&amp;"输出",标准坦克设计!$B$23:$U$23,0)))*(VLOOKUP($B113,INDIRECT($B$5&amp;"生成成长"),3))*(VLOOKUP($B$5,标准坦克设计!$B$14:$K$20,9)/30))</f>
        <v>5.4618779563488644</v>
      </c>
      <c r="AF113" s="173">
        <f ca="1">(VLOOKUP(AF$72,INDIRECT($C$5&amp;"生成成长"),2))/((VLOOKUP($B113,INDIRECT($B$5&amp;"生成成长"),4))/(VLOOKUP(AF$72,INDIRECT($C$5&amp;"生成成长"),5))*(VLOOKUP($B$5,标准坦克设计!$B$24:$U$30,MATCH("对"&amp;LEFT($C$5,2)&amp;"输出",标准坦克设计!$B$23:$U$23,0)))*(VLOOKUP($B113,INDIRECT($B$5&amp;"生成成长"),3))*(VLOOKUP($B$5,标准坦克设计!$B$14:$K$20,9)/30))</f>
        <v>5.9021799491117601</v>
      </c>
      <c r="AG113" s="173">
        <f ca="1">(VLOOKUP(AG$72,INDIRECT($C$5&amp;"生成成长"),2))/((VLOOKUP($B113,INDIRECT($B$5&amp;"生成成长"),4))/(VLOOKUP(AG$72,INDIRECT($C$5&amp;"生成成长"),5))*(VLOOKUP($B$5,标准坦克设计!$B$24:$U$30,MATCH("对"&amp;LEFT($C$5,2)&amp;"输出",标准坦克设计!$B$23:$U$23,0)))*(VLOOKUP($B113,INDIRECT($B$5&amp;"生成成长"),3))*(VLOOKUP($B$5,标准坦克设计!$B$14:$K$20,9)/30))</f>
        <v>6.3595479105863948</v>
      </c>
      <c r="AH113" s="173">
        <f ca="1">(VLOOKUP(AH$72,INDIRECT($C$5&amp;"生成成长"),2))/((VLOOKUP($B113,INDIRECT($B$5&amp;"生成成长"),4))/(VLOOKUP(AH$72,INDIRECT($C$5&amp;"生成成长"),5))*(VLOOKUP($B$5,标准坦克设计!$B$24:$U$30,MATCH("对"&amp;LEFT($C$5,2)&amp;"输出",标准坦克设计!$B$23:$U$23,0)))*(VLOOKUP($B113,INDIRECT($B$5&amp;"生成成长"),3))*(VLOOKUP($B$5,标准坦克设计!$B$14:$K$20,9)/30))</f>
        <v>6.8339818407727702</v>
      </c>
      <c r="AI113" s="173">
        <f ca="1">(VLOOKUP(AI$72,INDIRECT($C$5&amp;"生成成长"),2))/((VLOOKUP($B113,INDIRECT($B$5&amp;"生成成长"),4))/(VLOOKUP(AI$72,INDIRECT($C$5&amp;"生成成长"),5))*(VLOOKUP($B$5,标准坦克设计!$B$24:$U$30,MATCH("对"&amp;LEFT($C$5,2)&amp;"输出",标准坦克设计!$B$23:$U$23,0)))*(VLOOKUP($B113,INDIRECT($B$5&amp;"生成成长"),3))*(VLOOKUP($B$5,标准坦克设计!$B$14:$K$20,9)/30))</f>
        <v>4.8334236585390347</v>
      </c>
      <c r="AJ113" s="173">
        <f ca="1">(VLOOKUP(AJ$72,INDIRECT($C$5&amp;"生成成长"),2))/((VLOOKUP($B113,INDIRECT($B$5&amp;"生成成长"),4))/(VLOOKUP(AJ$72,INDIRECT($C$5&amp;"生成成长"),5))*(VLOOKUP($B$5,标准坦克设计!$B$24:$U$30,MATCH("对"&amp;LEFT($C$5,2)&amp;"输出",标准坦克设计!$B$23:$U$23,0)))*(VLOOKUP($B113,INDIRECT($B$5&amp;"生成成长"),3))*(VLOOKUP($B$5,标准坦克设计!$B$14:$K$20,9)/30))</f>
        <v>5.290535630482994</v>
      </c>
      <c r="AK113" s="173">
        <f ca="1">(VLOOKUP(AK$72,INDIRECT($C$5&amp;"生成成长"),2))/((VLOOKUP($B113,INDIRECT($B$5&amp;"生成成长"),4))/(VLOOKUP(AK$72,INDIRECT($C$5&amp;"生成成长"),5))*(VLOOKUP($B$5,标准坦克设计!$B$24:$U$30,MATCH("对"&amp;LEFT($C$5,2)&amp;"输出",标准坦克设计!$B$23:$U$23,0)))*(VLOOKUP($B113,INDIRECT($B$5&amp;"生成成长"),3))*(VLOOKUP($B$5,标准坦克设计!$B$14:$K$20,9)/30))</f>
        <v>5.7682974245681589</v>
      </c>
      <c r="AL113" s="173">
        <f ca="1">(VLOOKUP(AL$72,INDIRECT($C$5&amp;"生成成长"),2))/((VLOOKUP($B113,INDIRECT($B$5&amp;"生成成长"),4))/(VLOOKUP(AL$72,INDIRECT($C$5&amp;"生成成长"),5))*(VLOOKUP($B$5,标准坦克设计!$B$24:$U$30,MATCH("对"&amp;LEFT($C$5,2)&amp;"输出",标准坦克设计!$B$23:$U$23,0)))*(VLOOKUP($B113,INDIRECT($B$5&amp;"生成成长"),3))*(VLOOKUP($B$5,标准坦克设计!$B$14:$K$20,9)/30))</f>
        <v>6.2667090407945283</v>
      </c>
      <c r="AM113" s="173">
        <f ca="1">(VLOOKUP(AM$72,INDIRECT($C$5&amp;"生成成长"),2))/((VLOOKUP($B113,INDIRECT($B$5&amp;"生成成长"),4))/(VLOOKUP(AM$72,INDIRECT($C$5&amp;"生成成长"),5))*(VLOOKUP($B$5,标准坦克设计!$B$24:$U$30,MATCH("对"&amp;LEFT($C$5,2)&amp;"输出",标准坦克设计!$B$23:$U$23,0)))*(VLOOKUP($B113,INDIRECT($B$5&amp;"生成成长"),3))*(VLOOKUP($B$5,标准坦克设计!$B$14:$K$20,9)/30))</f>
        <v>6.785770479162105</v>
      </c>
      <c r="AN113" s="173">
        <f ca="1">(VLOOKUP(AN$72,INDIRECT($C$5&amp;"生成成长"),2))/((VLOOKUP($B113,INDIRECT($B$5&amp;"生成成长"),4))/(VLOOKUP(AN$72,INDIRECT($C$5&amp;"生成成长"),5))*(VLOOKUP($B$5,标准坦克设计!$B$24:$U$30,MATCH("对"&amp;LEFT($C$5,2)&amp;"输出",标准坦克设计!$B$23:$U$23,0)))*(VLOOKUP($B113,INDIRECT($B$5&amp;"生成成长"),3))*(VLOOKUP($B$5,标准坦克设计!$B$14:$K$20,9)/30))</f>
        <v>7.3254817396708853</v>
      </c>
      <c r="AO113" s="173">
        <f ca="1">(VLOOKUP(AO$72,INDIRECT($C$5&amp;"生成成长"),2))/((VLOOKUP($B113,INDIRECT($B$5&amp;"生成成长"),4))/(VLOOKUP(AO$72,INDIRECT($C$5&amp;"生成成长"),5))*(VLOOKUP($B$5,标准坦克设计!$B$24:$U$30,MATCH("对"&amp;LEFT($C$5,2)&amp;"输出",标准坦克设计!$B$23:$U$23,0)))*(VLOOKUP($B113,INDIRECT($B$5&amp;"生成成长"),3))*(VLOOKUP($B$5,标准坦克设计!$B$14:$K$20,9)/30))</f>
        <v>7.8858428223208721</v>
      </c>
      <c r="AP113" s="173">
        <f ca="1">(VLOOKUP(AP$72,INDIRECT($C$5&amp;"生成成长"),2))/((VLOOKUP($B113,INDIRECT($B$5&amp;"生成成长"),4))/(VLOOKUP(AP$72,INDIRECT($C$5&amp;"生成成长"),5))*(VLOOKUP($B$5,标准坦克设计!$B$24:$U$30,MATCH("对"&amp;LEFT($C$5,2)&amp;"输出",标准坦克设计!$B$23:$U$23,0)))*(VLOOKUP($B113,INDIRECT($B$5&amp;"生成成长"),3))*(VLOOKUP($B$5,标准坦克设计!$B$14:$K$20,9)/30))</f>
        <v>8.4668537271120634</v>
      </c>
      <c r="AQ113" s="173">
        <f ca="1">(VLOOKUP(AQ$72,INDIRECT($C$5&amp;"生成成长"),2))/((VLOOKUP($B113,INDIRECT($B$5&amp;"生成成长"),4))/(VLOOKUP(AQ$72,INDIRECT($C$5&amp;"生成成长"),5))*(VLOOKUP($B$5,标准坦克设计!$B$24:$U$30,MATCH("对"&amp;LEFT($C$5,2)&amp;"输出",标准坦克设计!$B$23:$U$23,0)))*(VLOOKUP($B113,INDIRECT($B$5&amp;"生成成长"),3))*(VLOOKUP($B$5,标准坦克设计!$B$14:$K$20,9)/30))</f>
        <v>9.0685144540444611</v>
      </c>
      <c r="AR113" s="173">
        <f ca="1">(VLOOKUP(AR$72,INDIRECT($C$5&amp;"生成成长"),2))/((VLOOKUP($B113,INDIRECT($B$5&amp;"生成成长"),4))/(VLOOKUP(AR$72,INDIRECT($C$5&amp;"生成成长"),5))*(VLOOKUP($B$5,标准坦克设计!$B$24:$U$30,MATCH("对"&amp;LEFT($C$5,2)&amp;"输出",标准坦克设计!$B$23:$U$23,0)))*(VLOOKUP($B113,INDIRECT($B$5&amp;"生成成长"),3))*(VLOOKUP($B$5,标准坦克设计!$B$14:$K$20,9)/30))</f>
        <v>9.6908250031180643</v>
      </c>
      <c r="AS113" s="173">
        <f ca="1">(VLOOKUP(AS$72,INDIRECT($C$5&amp;"生成成长"),2))/((VLOOKUP($B113,INDIRECT($B$5&amp;"生成成长"),4))/(VLOOKUP(AS$72,INDIRECT($C$5&amp;"生成成长"),5))*(VLOOKUP($B$5,标准坦克设计!$B$24:$U$30,MATCH("对"&amp;LEFT($C$5,2)&amp;"输出",标准坦克设计!$B$23:$U$23,0)))*(VLOOKUP($B113,INDIRECT($B$5&amp;"生成成长"),3))*(VLOOKUP($B$5,标准坦克设计!$B$14:$K$20,9)/30))</f>
        <v>10.333785374332873</v>
      </c>
      <c r="AT113" s="173">
        <f ca="1">(VLOOKUP(AT$72,INDIRECT($C$5&amp;"生成成长"),2))/((VLOOKUP($B113,INDIRECT($B$5&amp;"生成成长"),4))/(VLOOKUP(AT$72,INDIRECT($C$5&amp;"生成成长"),5))*(VLOOKUP($B$5,标准坦克设计!$B$24:$U$30,MATCH("对"&amp;LEFT($C$5,2)&amp;"输出",标准坦克设计!$B$23:$U$23,0)))*(VLOOKUP($B113,INDIRECT($B$5&amp;"生成成长"),3))*(VLOOKUP($B$5,标准坦克设计!$B$14:$K$20,9)/30))</f>
        <v>10.997395567688887</v>
      </c>
      <c r="AU113" s="173">
        <f ca="1">(VLOOKUP(AU$72,INDIRECT($C$5&amp;"生成成长"),2))/((VLOOKUP($B113,INDIRECT($B$5&amp;"生成成长"),4))/(VLOOKUP(AU$72,INDIRECT($C$5&amp;"生成成长"),5))*(VLOOKUP($B$5,标准坦克设计!$B$24:$U$30,MATCH("对"&amp;LEFT($C$5,2)&amp;"输出",标准坦克设计!$B$23:$U$23,0)))*(VLOOKUP($B113,INDIRECT($B$5&amp;"生成成长"),3))*(VLOOKUP($B$5,标准坦克设计!$B$14:$K$20,9)/30))</f>
        <v>11.681655583186107</v>
      </c>
      <c r="AV113" s="173">
        <f ca="1">(VLOOKUP(AV$72,INDIRECT($C$5&amp;"生成成长"),2))/((VLOOKUP($B113,INDIRECT($B$5&amp;"生成成长"),4))/(VLOOKUP(AV$72,INDIRECT($C$5&amp;"生成成长"),5))*(VLOOKUP($B$5,标准坦克设计!$B$24:$U$30,MATCH("对"&amp;LEFT($C$5,2)&amp;"输出",标准坦克设计!$B$23:$U$23,0)))*(VLOOKUP($B113,INDIRECT($B$5&amp;"生成成长"),3))*(VLOOKUP($B$5,标准坦克设计!$B$14:$K$20,9)/30))</f>
        <v>1.1881327417113465</v>
      </c>
      <c r="AW113" s="173">
        <f ca="1">(VLOOKUP(AW$72,INDIRECT($C$5&amp;"生成成长"),2))/((VLOOKUP($B113,INDIRECT($B$5&amp;"生成成长"),4))/(VLOOKUP(AW$72,INDIRECT($C$5&amp;"生成成长"),5))*(VLOOKUP($B$5,标准坦克设计!$B$24:$U$30,MATCH("对"&amp;LEFT($C$5,2)&amp;"输出",标准坦克设计!$B$23:$U$23,0)))*(VLOOKUP($B113,INDIRECT($B$5&amp;"生成成长"),3))*(VLOOKUP($B$5,标准坦克设计!$B$14:$K$20,9)/30))</f>
        <v>1.3546965963379303</v>
      </c>
      <c r="AX113" s="173">
        <f ca="1">(VLOOKUP(AX$72,INDIRECT($C$5&amp;"生成成长"),2))/((VLOOKUP($B113,INDIRECT($B$5&amp;"生成成长"),4))/(VLOOKUP(AX$72,INDIRECT($C$5&amp;"生成成长"),5))*(VLOOKUP($B$5,标准坦克设计!$B$24:$U$30,MATCH("对"&amp;LEFT($C$5,2)&amp;"输出",标准坦克设计!$B$23:$U$23,0)))*(VLOOKUP($B113,INDIRECT($B$5&amp;"生成成长"),3))*(VLOOKUP($B$5,标准坦克设计!$B$14:$K$20,9)/30))</f>
        <v>1.5321826709400275</v>
      </c>
      <c r="AY113" s="173">
        <f ca="1">(VLOOKUP(AY$72,INDIRECT($C$5&amp;"生成成长"),2))/((VLOOKUP($B113,INDIRECT($B$5&amp;"生成成长"),4))/(VLOOKUP(AY$72,INDIRECT($C$5&amp;"生成成长"),5))*(VLOOKUP($B$5,标准坦克设计!$B$24:$U$30,MATCH("对"&amp;LEFT($C$5,2)&amp;"输出",标准坦克设计!$B$23:$U$23,0)))*(VLOOKUP($B113,INDIRECT($B$5&amp;"生成成长"),3))*(VLOOKUP($B$5,标准坦克设计!$B$14:$K$20,9)/30))</f>
        <v>1.7205909655176383</v>
      </c>
      <c r="AZ113" s="173">
        <f ca="1">(VLOOKUP(AZ$72,INDIRECT($C$5&amp;"生成成长"),2))/((VLOOKUP($B113,INDIRECT($B$5&amp;"生成成长"),4))/(VLOOKUP(AZ$72,INDIRECT($C$5&amp;"生成成长"),5))*(VLOOKUP($B$5,标准坦克设计!$B$24:$U$30,MATCH("对"&amp;LEFT($C$5,2)&amp;"输出",标准坦克设计!$B$23:$U$23,0)))*(VLOOKUP($B113,INDIRECT($B$5&amp;"生成成长"),3))*(VLOOKUP($B$5,标准坦克设计!$B$14:$K$20,9)/30))</f>
        <v>1.9199214800707629</v>
      </c>
      <c r="BA113" s="173">
        <f ca="1">(VLOOKUP(BA$72,INDIRECT($C$5&amp;"生成成长"),2))/((VLOOKUP($B113,INDIRECT($B$5&amp;"生成成长"),4))/(VLOOKUP(BA$72,INDIRECT($C$5&amp;"生成成长"),5))*(VLOOKUP($B$5,标准坦克设计!$B$24:$U$30,MATCH("对"&amp;LEFT($C$5,2)&amp;"输出",标准坦克设计!$B$23:$U$23,0)))*(VLOOKUP($B113,INDIRECT($B$5&amp;"生成成长"),3))*(VLOOKUP($B$5,标准坦克设计!$B$14:$K$20,9)/30))</f>
        <v>2.1301742145994016</v>
      </c>
      <c r="BB113" s="173">
        <f ca="1">(VLOOKUP(BB$72,INDIRECT($C$5&amp;"生成成长"),2))/((VLOOKUP($B113,INDIRECT($B$5&amp;"生成成长"),4))/(VLOOKUP(BB$72,INDIRECT($C$5&amp;"生成成长"),5))*(VLOOKUP($B$5,标准坦克设计!$B$24:$U$30,MATCH("对"&amp;LEFT($C$5,2)&amp;"输出",标准坦克设计!$B$23:$U$23,0)))*(VLOOKUP($B113,INDIRECT($B$5&amp;"生成成长"),3))*(VLOOKUP($B$5,标准坦克设计!$B$14:$K$20,9)/30))</f>
        <v>2.3513491691035524</v>
      </c>
      <c r="BC113" s="173">
        <f ca="1">(VLOOKUP(BC$72,INDIRECT($C$5&amp;"生成成长"),2))/((VLOOKUP($B113,INDIRECT($B$5&amp;"生成成长"),4))/(VLOOKUP(BC$72,INDIRECT($C$5&amp;"生成成长"),5))*(VLOOKUP($B$5,标准坦克设计!$B$24:$U$30,MATCH("对"&amp;LEFT($C$5,2)&amp;"输出",标准坦克设计!$B$23:$U$23,0)))*(VLOOKUP($B113,INDIRECT($B$5&amp;"生成成长"),3))*(VLOOKUP($B$5,标准坦克设计!$B$14:$K$20,9)/30))</f>
        <v>2.5834463435832182</v>
      </c>
      <c r="BD113" s="173">
        <f ca="1">(VLOOKUP(BD$72,INDIRECT($C$5&amp;"生成成长"),2))/((VLOOKUP($B113,INDIRECT($B$5&amp;"生成成长"),4))/(VLOOKUP(BD$72,INDIRECT($C$5&amp;"生成成长"),5))*(VLOOKUP($B$5,标准坦克设计!$B$24:$U$30,MATCH("对"&amp;LEFT($C$5,2)&amp;"输出",标准坦克设计!$B$23:$U$23,0)))*(VLOOKUP($B113,INDIRECT($B$5&amp;"生成成长"),3))*(VLOOKUP($B$5,标准坦克设计!$B$14:$K$20,9)/30))</f>
        <v>2.8576111309373236</v>
      </c>
      <c r="BE113" s="173">
        <f ca="1">(VLOOKUP(BE$72,INDIRECT($C$5&amp;"生成成长"),2))/((VLOOKUP($B113,INDIRECT($B$5&amp;"生成成长"),4))/(VLOOKUP(BE$72,INDIRECT($C$5&amp;"生成成长"),5))*(VLOOKUP($B$5,标准坦克设计!$B$24:$U$30,MATCH("对"&amp;LEFT($C$5,2)&amp;"输出",标准坦克设计!$B$23:$U$23,0)))*(VLOOKUP($B113,INDIRECT($B$5&amp;"生成成长"),3))*(VLOOKUP($B$5,标准坦克设计!$B$14:$K$20,9)/30))</f>
        <v>3.1455993529479378</v>
      </c>
      <c r="BF113" s="173">
        <f ca="1">(VLOOKUP(BF$72,INDIRECT($C$5&amp;"生成成长"),2))/((VLOOKUP($B113,INDIRECT($B$5&amp;"生成成长"),4))/(VLOOKUP(BF$72,INDIRECT($C$5&amp;"生成成长"),5))*(VLOOKUP($B$5,标准坦克设计!$B$24:$U$30,MATCH("对"&amp;LEFT($C$5,2)&amp;"输出",标准坦克设计!$B$23:$U$23,0)))*(VLOOKUP($B113,INDIRECT($B$5&amp;"生成成长"),3))*(VLOOKUP($B$5,标准坦克设计!$B$14:$K$20,9)/30))</f>
        <v>3.4474110096150619</v>
      </c>
      <c r="BG113" s="173">
        <f ca="1">(VLOOKUP(BG$72,INDIRECT($C$5&amp;"生成成长"),2))/((VLOOKUP($B113,INDIRECT($B$5&amp;"生成成长"),4))/(VLOOKUP(BG$72,INDIRECT($C$5&amp;"生成成长"),5))*(VLOOKUP($B$5,标准坦克设计!$B$24:$U$30,MATCH("对"&amp;LEFT($C$5,2)&amp;"输出",标准坦克设计!$B$23:$U$23,0)))*(VLOOKUP($B113,INDIRECT($B$5&amp;"生成成长"),3))*(VLOOKUP($B$5,标准坦克设计!$B$14:$K$20,9)/30))</f>
        <v>3.7630461009386944</v>
      </c>
      <c r="BH113" s="173">
        <f ca="1">(VLOOKUP(BH$72,INDIRECT($C$5&amp;"生成成长"),2))/((VLOOKUP($B113,INDIRECT($B$5&amp;"生成成长"),4))/(VLOOKUP(BH$72,INDIRECT($C$5&amp;"生成成长"),5))*(VLOOKUP($B$5,标准坦克设计!$B$24:$U$30,MATCH("对"&amp;LEFT($C$5,2)&amp;"输出",标准坦克设计!$B$23:$U$23,0)))*(VLOOKUP($B113,INDIRECT($B$5&amp;"生成成长"),3))*(VLOOKUP($B$5,标准坦克设计!$B$14:$K$20,9)/30))</f>
        <v>1.8188909452972613</v>
      </c>
      <c r="BI113" s="173">
        <f ca="1">(VLOOKUP(BI$72,INDIRECT($C$5&amp;"生成成长"),2))/((VLOOKUP($B113,INDIRECT($B$5&amp;"生成成长"),4))/(VLOOKUP(BI$72,INDIRECT($C$5&amp;"生成成长"),5))*(VLOOKUP($B$5,标准坦克设计!$B$24:$U$30,MATCH("对"&amp;LEFT($C$5,2)&amp;"输出",标准坦克设计!$B$23:$U$23,0)))*(VLOOKUP($B113,INDIRECT($B$5&amp;"生成成长"),3))*(VLOOKUP($B$5,标准坦克设计!$B$14:$K$20,9)/30))</f>
        <v>2.0500494914977812</v>
      </c>
      <c r="BJ113" s="173">
        <f ca="1">(VLOOKUP(BJ$72,INDIRECT($C$5&amp;"生成成长"),2))/((VLOOKUP($B113,INDIRECT($B$5&amp;"生成成长"),4))/(VLOOKUP(BJ$72,INDIRECT($C$5&amp;"生成成长"),5))*(VLOOKUP($B$5,标准坦克设计!$B$24:$U$30,MATCH("对"&amp;LEFT($C$5,2)&amp;"输出",标准坦克设计!$B$23:$U$23,0)))*(VLOOKUP($B113,INDIRECT($B$5&amp;"生成成长"),3))*(VLOOKUP($B$5,标准坦克设计!$B$14:$K$20,9)/30))</f>
        <v>2.2950314723548102</v>
      </c>
      <c r="BK113" s="173">
        <f ca="1">(VLOOKUP(BK$72,INDIRECT($C$5&amp;"生成成长"),2))/((VLOOKUP($B113,INDIRECT($B$5&amp;"生成成长"),4))/(VLOOKUP(BK$72,INDIRECT($C$5&amp;"生成成长"),5))*(VLOOKUP($B$5,标准坦克设计!$B$24:$U$30,MATCH("对"&amp;LEFT($C$5,2)&amp;"输出",标准坦克设计!$B$23:$U$23,0)))*(VLOOKUP($B113,INDIRECT($B$5&amp;"生成成长"),3))*(VLOOKUP($B$5,标准坦克设计!$B$14:$K$20,9)/30))</f>
        <v>2.5538368878683486</v>
      </c>
      <c r="BL113" s="173">
        <f ca="1">(VLOOKUP(BL$72,INDIRECT($C$5&amp;"生成成长"),2))/((VLOOKUP($B113,INDIRECT($B$5&amp;"生成成长"),4))/(VLOOKUP(BL$72,INDIRECT($C$5&amp;"生成成长"),5))*(VLOOKUP($B$5,标准坦克设计!$B$24:$U$30,MATCH("对"&amp;LEFT($C$5,2)&amp;"输出",标准坦克设计!$B$23:$U$23,0)))*(VLOOKUP($B113,INDIRECT($B$5&amp;"生成成长"),3))*(VLOOKUP($B$5,标准坦克设计!$B$14:$K$20,9)/30))</f>
        <v>2.8264657380383973</v>
      </c>
      <c r="BM113" s="173">
        <f ca="1">(VLOOKUP(BM$72,INDIRECT($C$5&amp;"生成成长"),2))/((VLOOKUP($B113,INDIRECT($B$5&amp;"生成成长"),4))/(VLOOKUP(BM$72,INDIRECT($C$5&amp;"生成成长"),5))*(VLOOKUP($B$5,标准坦克设计!$B$24:$U$30,MATCH("对"&amp;LEFT($C$5,2)&amp;"输出",标准坦克设计!$B$23:$U$23,0)))*(VLOOKUP($B113,INDIRECT($B$5&amp;"生成成长"),3))*(VLOOKUP($B$5,标准坦克设计!$B$14:$K$20,9)/30))</f>
        <v>3.1129180228649549</v>
      </c>
      <c r="BN113" s="173">
        <f ca="1">(VLOOKUP(BN$72,INDIRECT($C$5&amp;"生成成长"),2))/((VLOOKUP($B113,INDIRECT($B$5&amp;"生成成长"),4))/(VLOOKUP(BN$72,INDIRECT($C$5&amp;"生成成长"),5))*(VLOOKUP($B$5,标准坦克设计!$B$24:$U$30,MATCH("对"&amp;LEFT($C$5,2)&amp;"输出",标准坦克设计!$B$23:$U$23,0)))*(VLOOKUP($B113,INDIRECT($B$5&amp;"生成成长"),3))*(VLOOKUP($B$5,标准坦克设计!$B$14:$K$20,9)/30))</f>
        <v>3.4131937423480223</v>
      </c>
      <c r="BO113" s="173">
        <f ca="1">(VLOOKUP(BO$72,INDIRECT($C$5&amp;"生成成长"),2))/((VLOOKUP($B113,INDIRECT($B$5&amp;"生成成长"),4))/(VLOOKUP(BO$72,INDIRECT($C$5&amp;"生成成长"),5))*(VLOOKUP($B$5,标准坦克设计!$B$24:$U$30,MATCH("对"&amp;LEFT($C$5,2)&amp;"输出",标准坦克设计!$B$23:$U$23,0)))*(VLOOKUP($B113,INDIRECT($B$5&amp;"生成成长"),3))*(VLOOKUP($B$5,标准坦克设计!$B$14:$K$20,9)/30))</f>
        <v>3.7272928964875991</v>
      </c>
      <c r="BP113" s="173">
        <f ca="1">(VLOOKUP(BP$72,INDIRECT($C$5&amp;"生成成长"),2))/((VLOOKUP($B113,INDIRECT($B$5&amp;"生成成长"),4))/(VLOOKUP(BP$72,INDIRECT($C$5&amp;"生成成长"),5))*(VLOOKUP($B$5,标准坦克设计!$B$24:$U$30,MATCH("对"&amp;LEFT($C$5,2)&amp;"输出",标准坦克设计!$B$23:$U$23,0)))*(VLOOKUP($B113,INDIRECT($B$5&amp;"生成成长"),3))*(VLOOKUP($B$5,标准坦克设计!$B$14:$K$20,9)/30))</f>
        <v>4.0552154852836857</v>
      </c>
      <c r="BQ113" s="173">
        <f ca="1">(VLOOKUP(BQ$72,INDIRECT($C$5&amp;"生成成长"),2))/((VLOOKUP($B113,INDIRECT($B$5&amp;"生成成长"),4))/(VLOOKUP(BQ$72,INDIRECT($C$5&amp;"生成成长"),5))*(VLOOKUP($B$5,标准坦克设计!$B$24:$U$30,MATCH("对"&amp;LEFT($C$5,2)&amp;"输出",标准坦克设计!$B$23:$U$23,0)))*(VLOOKUP($B113,INDIRECT($B$5&amp;"生成成长"),3))*(VLOOKUP($B$5,标准坦克设计!$B$14:$K$20,9)/30))</f>
        <v>4.3969615087362817</v>
      </c>
      <c r="BR113" s="173">
        <f ca="1">(VLOOKUP(BR$72,INDIRECT($C$5&amp;"生成成长"),2))/((VLOOKUP($B113,INDIRECT($B$5&amp;"生成成长"),4))/(VLOOKUP(BR$72,INDIRECT($C$5&amp;"生成成长"),5))*(VLOOKUP($B$5,标准坦克设计!$B$24:$U$30,MATCH("对"&amp;LEFT($C$5,2)&amp;"输出",标准坦克设计!$B$23:$U$23,0)))*(VLOOKUP($B113,INDIRECT($B$5&amp;"生成成长"),3))*(VLOOKUP($B$5,标准坦克设计!$B$14:$K$20,9)/30))</f>
        <v>4.7928919828486514</v>
      </c>
      <c r="BS113" s="173">
        <f ca="1">(VLOOKUP(BS$72,INDIRECT($C$5&amp;"生成成长"),2))/((VLOOKUP($B113,INDIRECT($B$5&amp;"生成成长"),4))/(VLOOKUP(BS$72,INDIRECT($C$5&amp;"生成成长"),5))*(VLOOKUP($B$5,标准坦克设计!$B$24:$U$30,MATCH("对"&amp;LEFT($C$5,2)&amp;"输出",标准坦克设计!$B$23:$U$23,0)))*(VLOOKUP($B113,INDIRECT($B$5&amp;"生成成长"),3))*(VLOOKUP($B$5,标准坦克设计!$B$14:$K$20,9)/30))</f>
        <v>5.2058884256727636</v>
      </c>
      <c r="BT113" s="173">
        <f ca="1">(VLOOKUP(BT$72,INDIRECT($C$5&amp;"生成成长"),2))/((VLOOKUP($B113,INDIRECT($B$5&amp;"生成成长"),4))/(VLOOKUP(BT$72,INDIRECT($C$5&amp;"生成成长"),5))*(VLOOKUP($B$5,标准坦克设计!$B$24:$U$30,MATCH("对"&amp;LEFT($C$5,2)&amp;"输出",标准坦克设计!$B$23:$U$23,0)))*(VLOOKUP($B113,INDIRECT($B$5&amp;"生成成长"),3))*(VLOOKUP($B$5,标准坦克设计!$B$14:$K$20,9)/30))</f>
        <v>5.6359508372086147</v>
      </c>
      <c r="BU113" s="173">
        <f ca="1">(VLOOKUP(BU$72,INDIRECT($C$5&amp;"生成成长"),2))/((VLOOKUP($B113,INDIRECT($B$5&amp;"生成成长"),4))/(VLOOKUP(BU$72,INDIRECT($C$5&amp;"生成成长"),5))*(VLOOKUP($B$5,标准坦克设计!$B$24:$U$30,MATCH("对"&amp;LEFT($C$5,2)&amp;"输出",标准坦克设计!$B$23:$U$23,0)))*(VLOOKUP($B113,INDIRECT($B$5&amp;"生成成长"),3))*(VLOOKUP($B$5,标准坦克设计!$B$14:$K$20,9)/30))</f>
        <v>6.0830792174562047</v>
      </c>
      <c r="BV113" s="173">
        <f ca="1">(VLOOKUP(BV$72,INDIRECT($C$5&amp;"生成成长"),2))/((VLOOKUP($B113,INDIRECT($B$5&amp;"生成成长"),4))/(VLOOKUP(BV$72,INDIRECT($C$5&amp;"生成成长"),5))*(VLOOKUP($B$5,标准坦克设计!$B$24:$U$30,MATCH("对"&amp;LEFT($C$5,2)&amp;"输出",标准坦克设计!$B$23:$U$23,0)))*(VLOOKUP($B113,INDIRECT($B$5&amp;"生成成长"),3))*(VLOOKUP($B$5,标准坦克设计!$B$14:$K$20,9)/30))</f>
        <v>6.5472735664155346</v>
      </c>
      <c r="BW113" s="173">
        <f ca="1">(VLOOKUP(BW$72,INDIRECT($C$5&amp;"生成成长"),2))/((VLOOKUP($B113,INDIRECT($B$5&amp;"生成成长"),4))/(VLOOKUP(BW$72,INDIRECT($C$5&amp;"生成成长"),5))*(VLOOKUP($B$5,标准坦克设计!$B$24:$U$30,MATCH("对"&amp;LEFT($C$5,2)&amp;"输出",标准坦克设计!$B$23:$U$23,0)))*(VLOOKUP($B113,INDIRECT($B$5&amp;"生成成长"),3))*(VLOOKUP($B$5,标准坦克设计!$B$14:$K$20,9)/30))</f>
        <v>2.9838992994041993</v>
      </c>
      <c r="BX113" s="173">
        <f ca="1">(VLOOKUP(BX$72,INDIRECT($C$5&amp;"生成成长"),2))/((VLOOKUP($B113,INDIRECT($B$5&amp;"生成成长"),4))/(VLOOKUP(BX$72,INDIRECT($C$5&amp;"生成成长"),5))*(VLOOKUP($B$5,标准坦克设计!$B$24:$U$30,MATCH("对"&amp;LEFT($C$5,2)&amp;"输出",标准坦克设计!$B$23:$U$23,0)))*(VLOOKUP($B113,INDIRECT($B$5&amp;"生成成长"),3))*(VLOOKUP($B$5,标准坦克设计!$B$14:$K$20,9)/30))</f>
        <v>3.3115658986696097</v>
      </c>
      <c r="BY113" s="173">
        <f ca="1">(VLOOKUP(BY$72,INDIRECT($C$5&amp;"生成成长"),2))/((VLOOKUP($B113,INDIRECT($B$5&amp;"生成成长"),4))/(VLOOKUP(BY$72,INDIRECT($C$5&amp;"生成成长"),5))*(VLOOKUP($B$5,标准坦克设计!$B$24:$U$30,MATCH("对"&amp;LEFT($C$5,2)&amp;"输出",标准坦克设计!$B$23:$U$23,0)))*(VLOOKUP($B113,INDIRECT($B$5&amp;"生成成长"),3))*(VLOOKUP($B$5,标准坦克设计!$B$14:$K$20,9)/30))</f>
        <v>3.6562984666467608</v>
      </c>
      <c r="BZ113" s="173">
        <f ca="1">(VLOOKUP(BZ$72,INDIRECT($C$5&amp;"生成成长"),2))/((VLOOKUP($B113,INDIRECT($B$5&amp;"生成成长"),4))/(VLOOKUP(BZ$72,INDIRECT($C$5&amp;"生成成长"),5))*(VLOOKUP($B$5,标准坦克设计!$B$24:$U$30,MATCH("对"&amp;LEFT($C$5,2)&amp;"输出",标准坦克设计!$B$23:$U$23,0)))*(VLOOKUP($B113,INDIRECT($B$5&amp;"生成成长"),3))*(VLOOKUP($B$5,标准坦克设计!$B$14:$K$20,9)/30))</f>
        <v>4.0180970033356509</v>
      </c>
      <c r="CA113" s="173">
        <f ca="1">(VLOOKUP(CA$72,INDIRECT($C$5&amp;"生成成长"),2))/((VLOOKUP($B113,INDIRECT($B$5&amp;"生成成长"),4))/(VLOOKUP(CA$72,INDIRECT($C$5&amp;"生成成长"),5))*(VLOOKUP($B$5,标准坦克设计!$B$24:$U$30,MATCH("对"&amp;LEFT($C$5,2)&amp;"输出",标准坦克设计!$B$23:$U$23,0)))*(VLOOKUP($B113,INDIRECT($B$5&amp;"生成成长"),3))*(VLOOKUP($B$5,标准坦克设计!$B$14:$K$20,9)/30))</f>
        <v>4.3969615087362817</v>
      </c>
      <c r="CB113" s="173">
        <f ca="1">(VLOOKUP(CB$72,INDIRECT($C$5&amp;"生成成长"),2))/((VLOOKUP($B113,INDIRECT($B$5&amp;"生成成长"),4))/(VLOOKUP(CB$72,INDIRECT($C$5&amp;"生成成长"),5))*(VLOOKUP($B$5,标准坦克设计!$B$24:$U$30,MATCH("对"&amp;LEFT($C$5,2)&amp;"输出",标准坦克设计!$B$23:$U$23,0)))*(VLOOKUP($B113,INDIRECT($B$5&amp;"生成成长"),3))*(VLOOKUP($B$5,标准坦克设计!$B$14:$K$20,9)/30))</f>
        <v>4.7928919828486514</v>
      </c>
      <c r="CC113" s="173">
        <f ca="1">(VLOOKUP(CC$72,INDIRECT($C$5&amp;"生成成长"),2))/((VLOOKUP($B113,INDIRECT($B$5&amp;"生成成长"),4))/(VLOOKUP(CC$72,INDIRECT($C$5&amp;"生成成长"),5))*(VLOOKUP($B$5,标准坦克设计!$B$24:$U$30,MATCH("对"&amp;LEFT($C$5,2)&amp;"输出",标准坦克设计!$B$23:$U$23,0)))*(VLOOKUP($B113,INDIRECT($B$5&amp;"生成成长"),3))*(VLOOKUP($B$5,标准坦克设计!$B$14:$K$20,9)/30))</f>
        <v>5.2058884256727636</v>
      </c>
      <c r="CD113" s="173">
        <f ca="1">(VLOOKUP(CD$72,INDIRECT($C$5&amp;"生成成长"),2))/((VLOOKUP($B113,INDIRECT($B$5&amp;"生成成长"),4))/(VLOOKUP(CD$72,INDIRECT($C$5&amp;"生成成长"),5))*(VLOOKUP($B$5,标准坦克设计!$B$24:$U$30,MATCH("对"&amp;LEFT($C$5,2)&amp;"输出",标准坦克设计!$B$23:$U$23,0)))*(VLOOKUP($B113,INDIRECT($B$5&amp;"生成成长"),3))*(VLOOKUP($B$5,标准坦克设计!$B$14:$K$20,9)/30))</f>
        <v>5.6359508372086147</v>
      </c>
      <c r="CE113" s="173">
        <f ca="1">(VLOOKUP(CE$72,INDIRECT($C$5&amp;"生成成长"),2))/((VLOOKUP($B113,INDIRECT($B$5&amp;"生成成长"),4))/(VLOOKUP(CE$72,INDIRECT($C$5&amp;"生成成长"),5))*(VLOOKUP($B$5,标准坦克设计!$B$24:$U$30,MATCH("对"&amp;LEFT($C$5,2)&amp;"输出",标准坦克设计!$B$23:$U$23,0)))*(VLOOKUP($B113,INDIRECT($B$5&amp;"生成成长"),3))*(VLOOKUP($B$5,标准坦克设计!$B$14:$K$20,9)/30))</f>
        <v>6.0830792174562047</v>
      </c>
      <c r="CF113" s="173">
        <f ca="1">(VLOOKUP(CF$72,INDIRECT($C$5&amp;"生成成长"),2))/((VLOOKUP($B113,INDIRECT($B$5&amp;"生成成长"),4))/(VLOOKUP(CF$72,INDIRECT($C$5&amp;"生成成长"),5))*(VLOOKUP($B$5,标准坦克设计!$B$24:$U$30,MATCH("对"&amp;LEFT($C$5,2)&amp;"输出",标准坦克设计!$B$23:$U$23,0)))*(VLOOKUP($B113,INDIRECT($B$5&amp;"生成成长"),3))*(VLOOKUP($B$5,标准坦克设计!$B$14:$K$20,9)/30))</f>
        <v>6.5472735664155346</v>
      </c>
      <c r="CG113" s="173">
        <f ca="1">(VLOOKUP(CG$72,INDIRECT($C$5&amp;"生成成长"),2))/((VLOOKUP($B113,INDIRECT($B$5&amp;"生成成长"),4))/(VLOOKUP(CG$72,INDIRECT($C$5&amp;"生成成长"),5))*(VLOOKUP($B$5,标准坦克设计!$B$24:$U$30,MATCH("对"&amp;LEFT($C$5,2)&amp;"输出",标准坦克设计!$B$23:$U$23,0)))*(VLOOKUP($B113,INDIRECT($B$5&amp;"生成成长"),3))*(VLOOKUP($B$5,标准坦克设计!$B$14:$K$20,9)/30))</f>
        <v>7.0285338840866078</v>
      </c>
      <c r="CH113" s="173">
        <f ca="1">(VLOOKUP(CH$72,INDIRECT($C$5&amp;"生成成长"),2))/((VLOOKUP($B113,INDIRECT($B$5&amp;"生成成长"),4))/(VLOOKUP(CH$72,INDIRECT($C$5&amp;"生成成长"),5))*(VLOOKUP($B$5,标准坦克设计!$B$24:$U$30,MATCH("对"&amp;LEFT($C$5,2)&amp;"输出",标准坦克设计!$B$23:$U$23,0)))*(VLOOKUP($B113,INDIRECT($B$5&amp;"生成成长"),3))*(VLOOKUP($B$5,标准坦克设计!$B$14:$K$20,9)/30))</f>
        <v>7.5268601704694174</v>
      </c>
      <c r="CI113" s="173">
        <f ca="1">(VLOOKUP(CI$72,INDIRECT($C$5&amp;"生成成长"),2))/((VLOOKUP($B113,INDIRECT($B$5&amp;"生成成长"),4))/(VLOOKUP(CI$72,INDIRECT($C$5&amp;"生成成长"),5))*(VLOOKUP($B$5,标准坦克设计!$B$24:$U$30,MATCH("对"&amp;LEFT($C$5,2)&amp;"输出",标准坦克设计!$B$23:$U$23,0)))*(VLOOKUP($B113,INDIRECT($B$5&amp;"生成成长"),3))*(VLOOKUP($B$5,标准坦克设计!$B$14:$K$20,9)/30))</f>
        <v>8.0947302793525697</v>
      </c>
      <c r="CJ113" s="173">
        <f ca="1">(VLOOKUP(CJ$72,INDIRECT($C$5&amp;"生成成长"),2))/((VLOOKUP($B113,INDIRECT($B$5&amp;"生成成长"),4))/(VLOOKUP(CJ$72,INDIRECT($C$5&amp;"生成成长"),5))*(VLOOKUP($B$5,标准坦克设计!$B$24:$U$30,MATCH("对"&amp;LEFT($C$5,2)&amp;"输出",标准坦克设计!$B$23:$U$23,0)))*(VLOOKUP($B113,INDIRECT($B$5&amp;"生成成长"),3))*(VLOOKUP($B$5,标准坦克设计!$B$14:$K$20,9)/30))</f>
        <v>8.6832502103769293</v>
      </c>
      <c r="CK113" s="173">
        <f ca="1">(VLOOKUP(CK$72,INDIRECT($C$5&amp;"生成成长"),2))/((VLOOKUP($B113,INDIRECT($B$5&amp;"生成成长"),4))/(VLOOKUP(CK$72,INDIRECT($C$5&amp;"生成成长"),5))*(VLOOKUP($B$5,标准坦克设计!$B$24:$U$30,MATCH("对"&amp;LEFT($C$5,2)&amp;"输出",标准坦克设计!$B$23:$U$23,0)))*(VLOOKUP($B113,INDIRECT($B$5&amp;"生成成长"),3))*(VLOOKUP($B$5,标准坦克设计!$B$14:$K$20,9)/30))</f>
        <v>9.2924199635424909</v>
      </c>
      <c r="CL113" s="173">
        <f ca="1">(VLOOKUP(CL$72,INDIRECT($C$5&amp;"生成成长"),2))/((VLOOKUP($B113,INDIRECT($B$5&amp;"生成成长"),4))/(VLOOKUP(CL$72,INDIRECT($C$5&amp;"生成成长"),5))*(VLOOKUP($B$5,标准坦克设计!$B$24:$U$30,MATCH("对"&amp;LEFT($C$5,2)&amp;"输出",标准坦克设计!$B$23:$U$23,0)))*(VLOOKUP($B113,INDIRECT($B$5&amp;"生成成长"),3))*(VLOOKUP($B$5,标准坦克设计!$B$14:$K$20,9)/30))</f>
        <v>9.9222395388492597</v>
      </c>
      <c r="CM113" s="173">
        <f ca="1">(VLOOKUP(CM$72,INDIRECT($C$5&amp;"生成成长"),2))/((VLOOKUP($B113,INDIRECT($B$5&amp;"生成成长"),4))/(VLOOKUP(CM$72,INDIRECT($C$5&amp;"生成成长"),5))*(VLOOKUP($B$5,标准坦克设计!$B$24:$U$30,MATCH("对"&amp;LEFT($C$5,2)&amp;"输出",标准坦克设计!$B$23:$U$23,0)))*(VLOOKUP($B113,INDIRECT($B$5&amp;"生成成长"),3))*(VLOOKUP($B$5,标准坦克设计!$B$14:$K$20,9)/30))</f>
        <v>10.572708936297236</v>
      </c>
      <c r="CN113" s="173">
        <f ca="1">(VLOOKUP(CN$72,INDIRECT($C$5&amp;"生成成长"),2))/((VLOOKUP($B113,INDIRECT($B$5&amp;"生成成长"),4))/(VLOOKUP(CN$72,INDIRECT($C$5&amp;"生成成长"),5))*(VLOOKUP($B$5,标准坦克设计!$B$24:$U$30,MATCH("对"&amp;LEFT($C$5,2)&amp;"输出",标准坦克设计!$B$23:$U$23,0)))*(VLOOKUP($B113,INDIRECT($B$5&amp;"生成成长"),3))*(VLOOKUP($B$5,标准坦克设计!$B$14:$K$20,9)/30))</f>
        <v>11.243828155886415</v>
      </c>
      <c r="CO113" s="173">
        <f ca="1">(VLOOKUP(CO$72,INDIRECT($C$5&amp;"生成成长"),2))/((VLOOKUP($B113,INDIRECT($B$5&amp;"生成成长"),4))/(VLOOKUP(CO$72,INDIRECT($C$5&amp;"生成成长"),5))*(VLOOKUP($B$5,标准坦克设计!$B$24:$U$30,MATCH("对"&amp;LEFT($C$5,2)&amp;"输出",标准坦克设计!$B$23:$U$23,0)))*(VLOOKUP($B113,INDIRECT($B$5&amp;"生成成长"),3))*(VLOOKUP($B$5,标准坦克设计!$B$14:$K$20,9)/30))</f>
        <v>5.0386419322977103</v>
      </c>
      <c r="CP113" s="173">
        <f ca="1">(VLOOKUP(CP$72,INDIRECT($C$5&amp;"生成成长"),2))/((VLOOKUP($B113,INDIRECT($B$5&amp;"生成成长"),4))/(VLOOKUP(CP$72,INDIRECT($C$5&amp;"生成成长"),5))*(VLOOKUP($B$5,标准坦克设计!$B$24:$U$30,MATCH("对"&amp;LEFT($C$5,2)&amp;"输出",标准坦克设计!$B$23:$U$23,0)))*(VLOOKUP($B113,INDIRECT($B$5&amp;"生成成长"),3))*(VLOOKUP($B$5,标准坦克设计!$B$14:$K$20,9)/30))</f>
        <v>5.5051401870331267</v>
      </c>
      <c r="CQ113" s="173">
        <f ca="1">(VLOOKUP(CQ$72,INDIRECT($C$5&amp;"生成成长"),2))/((VLOOKUP($B113,INDIRECT($B$5&amp;"生成成长"),4))/(VLOOKUP(CQ$72,INDIRECT($C$5&amp;"生成成长"),5))*(VLOOKUP($B$5,标准坦克设计!$B$24:$U$30,MATCH("对"&amp;LEFT($C$5,2)&amp;"输出",标准坦克设计!$B$23:$U$23,0)))*(VLOOKUP($B113,INDIRECT($B$5&amp;"生成成长"),3))*(VLOOKUP($B$5,标准坦克设计!$B$14:$K$20,9)/30))</f>
        <v>5.9922882639097477</v>
      </c>
      <c r="CR113" s="173">
        <f ca="1">(VLOOKUP(CR$72,INDIRECT($C$5&amp;"生成成长"),2))/((VLOOKUP($B113,INDIRECT($B$5&amp;"生成成长"),4))/(VLOOKUP(CR$72,INDIRECT($C$5&amp;"生成成长"),5))*(VLOOKUP($B$5,标准坦克设计!$B$24:$U$30,MATCH("对"&amp;LEFT($C$5,2)&amp;"输出",标准坦克设计!$B$23:$U$23,0)))*(VLOOKUP($B113,INDIRECT($B$5&amp;"生成成长"),3))*(VLOOKUP($B$5,标准坦克设计!$B$14:$K$20,9)/30))</f>
        <v>6.500086162927575</v>
      </c>
      <c r="CS113" s="173">
        <f ca="1">(VLOOKUP(CS$72,INDIRECT($C$5&amp;"生成成长"),2))/((VLOOKUP($B113,INDIRECT($B$5&amp;"生成成长"),4))/(VLOOKUP(CS$72,INDIRECT($C$5&amp;"生成成长"),5))*(VLOOKUP($B$5,标准坦克设计!$B$24:$U$30,MATCH("对"&amp;LEFT($C$5,2)&amp;"输出",标准坦克设计!$B$23:$U$23,0)))*(VLOOKUP($B113,INDIRECT($B$5&amp;"生成成长"),3))*(VLOOKUP($B$5,标准坦克设计!$B$14:$K$20,9)/30))</f>
        <v>7.0285338840866078</v>
      </c>
      <c r="CT113" s="173">
        <f ca="1">(VLOOKUP(CT$72,INDIRECT($C$5&amp;"生成成长"),2))/((VLOOKUP($B113,INDIRECT($B$5&amp;"生成成长"),4))/(VLOOKUP(CT$72,INDIRECT($C$5&amp;"生成成长"),5))*(VLOOKUP($B$5,标准坦克设计!$B$24:$U$30,MATCH("对"&amp;LEFT($C$5,2)&amp;"输出",标准坦克设计!$B$23:$U$23,0)))*(VLOOKUP($B113,INDIRECT($B$5&amp;"生成成长"),3))*(VLOOKUP($B$5,标准坦克设计!$B$14:$K$20,9)/30))</f>
        <v>7.5776314273868453</v>
      </c>
      <c r="CU113" s="173">
        <f ca="1">(VLOOKUP(CU$72,INDIRECT($C$5&amp;"生成成长"),2))/((VLOOKUP($B113,INDIRECT($B$5&amp;"生成成长"),4))/(VLOOKUP(CU$72,INDIRECT($C$5&amp;"生成成长"),5))*(VLOOKUP($B$5,标准坦克设计!$B$24:$U$30,MATCH("对"&amp;LEFT($C$5,2)&amp;"输出",标准坦克设计!$B$23:$U$23,0)))*(VLOOKUP($B113,INDIRECT($B$5&amp;"生成成长"),3))*(VLOOKUP($B$5,标准坦克设计!$B$14:$K$20,9)/30))</f>
        <v>8.1473787928282881</v>
      </c>
      <c r="CV113" s="173">
        <f ca="1">(VLOOKUP(CV$72,INDIRECT($C$5&amp;"生成成长"),2))/((VLOOKUP($B113,INDIRECT($B$5&amp;"生成成长"),4))/(VLOOKUP(CV$72,INDIRECT($C$5&amp;"生成成长"),5))*(VLOOKUP($B$5,标准坦克设计!$B$24:$U$30,MATCH("对"&amp;LEFT($C$5,2)&amp;"输出",标准坦克设计!$B$23:$U$23,0)))*(VLOOKUP($B113,INDIRECT($B$5&amp;"生成成长"),3))*(VLOOKUP($B$5,标准坦克设计!$B$14:$K$20,9)/30))</f>
        <v>8.7377759804109374</v>
      </c>
      <c r="CW113" s="173">
        <f ca="1">(VLOOKUP(CW$72,INDIRECT($C$5&amp;"生成成长"),2))/((VLOOKUP($B113,INDIRECT($B$5&amp;"生成成长"),4))/(VLOOKUP(CW$72,INDIRECT($C$5&amp;"生成成长"),5))*(VLOOKUP($B$5,标准坦克设计!$B$24:$U$30,MATCH("对"&amp;LEFT($C$5,2)&amp;"输出",标准坦克设计!$B$23:$U$23,0)))*(VLOOKUP($B113,INDIRECT($B$5&amp;"生成成长"),3))*(VLOOKUP($B$5,标准坦克设计!$B$14:$K$20,9)/30))</f>
        <v>9.3488229901347921</v>
      </c>
      <c r="CX113" s="173">
        <f ca="1">(VLOOKUP(CX$72,INDIRECT($C$5&amp;"生成成长"),2))/((VLOOKUP($B113,INDIRECT($B$5&amp;"生成成长"),4))/(VLOOKUP(CX$72,INDIRECT($C$5&amp;"生成成长"),5))*(VLOOKUP($B$5,标准坦克设计!$B$24:$U$30,MATCH("对"&amp;LEFT($C$5,2)&amp;"输出",标准坦克设计!$B$23:$U$23,0)))*(VLOOKUP($B113,INDIRECT($B$5&amp;"生成成长"),3))*(VLOOKUP($B$5,标准坦克设计!$B$14:$K$20,9)/30))</f>
        <v>9.9805198219998541</v>
      </c>
      <c r="CY113" s="173">
        <f ca="1">(VLOOKUP(CY$72,INDIRECT($C$5&amp;"生成成长"),2))/((VLOOKUP($B113,INDIRECT($B$5&amp;"生成成长"),4))/(VLOOKUP(CY$72,INDIRECT($C$5&amp;"生成成长"),5))*(VLOOKUP($B$5,标准坦克设计!$B$24:$U$30,MATCH("对"&amp;LEFT($C$5,2)&amp;"输出",标准坦克设计!$B$23:$U$23,0)))*(VLOOKUP($B113,INDIRECT($B$5&amp;"生成成长"),3))*(VLOOKUP($B$5,标准坦克设计!$B$14:$K$20,9)/30))</f>
        <v>10.63286647600612</v>
      </c>
      <c r="CZ113" s="173">
        <f ca="1">(VLOOKUP(CZ$72,INDIRECT($C$5&amp;"生成成长"),2))/((VLOOKUP($B113,INDIRECT($B$5&amp;"生成成长"),4))/(VLOOKUP(CZ$72,INDIRECT($C$5&amp;"生成成长"),5))*(VLOOKUP($B$5,标准坦克设计!$B$24:$U$30,MATCH("对"&amp;LEFT($C$5,2)&amp;"输出",标准坦克设计!$B$23:$U$23,0)))*(VLOOKUP($B113,INDIRECT($B$5&amp;"生成成长"),3))*(VLOOKUP($B$5,标准坦克设计!$B$14:$K$20,9)/30))</f>
        <v>11.305862952153589</v>
      </c>
      <c r="DA113" s="173">
        <f ca="1">(VLOOKUP(DA$72,INDIRECT($C$5&amp;"生成成长"),2))/((VLOOKUP($B113,INDIRECT($B$5&amp;"生成成长"),4))/(VLOOKUP(DA$72,INDIRECT($C$5&amp;"生成成长"),5))*(VLOOKUP($B$5,标准坦克设计!$B$24:$U$30,MATCH("对"&amp;LEFT($C$5,2)&amp;"输出",标准坦克设计!$B$23:$U$23,0)))*(VLOOKUP($B113,INDIRECT($B$5&amp;"生成成长"),3))*(VLOOKUP($B$5,标准坦克设计!$B$14:$K$20,9)/30))</f>
        <v>11.999509250442268</v>
      </c>
      <c r="DB113" s="173">
        <f ca="1">(VLOOKUP(DB$72,INDIRECT($C$5&amp;"生成成长"),2))/((VLOOKUP($B113,INDIRECT($B$5&amp;"生成成长"),4))/(VLOOKUP(DB$72,INDIRECT($C$5&amp;"生成成长"),5))*(VLOOKUP($B$5,标准坦克设计!$B$24:$U$30,MATCH("对"&amp;LEFT($C$5,2)&amp;"输出",标准坦克设计!$B$23:$U$23,0)))*(VLOOKUP($B113,INDIRECT($B$5&amp;"生成成长"),3))*(VLOOKUP($B$5,标准坦克设计!$B$14:$K$20,9)/30))</f>
        <v>12.713805370872151</v>
      </c>
      <c r="DC113" s="173">
        <f ca="1">(VLOOKUP(DC$72,INDIRECT($C$5&amp;"生成成长"),2))/((VLOOKUP($B113,INDIRECT($B$5&amp;"生成成长"),4))/(VLOOKUP(DC$72,INDIRECT($C$5&amp;"生成成长"),5))*(VLOOKUP($B$5,标准坦克设计!$B$24:$U$30,MATCH("对"&amp;LEFT($C$5,2)&amp;"输出",标准坦克设计!$B$23:$U$23,0)))*(VLOOKUP($B113,INDIRECT($B$5&amp;"生成成长"),3))*(VLOOKUP($B$5,标准坦克设计!$B$14:$K$20,9)/30))</f>
        <v>13.516588539072405</v>
      </c>
      <c r="DD113" s="173">
        <f ca="1">(VLOOKUP(DD$72,INDIRECT($C$5&amp;"生成成长"),2))/((VLOOKUP($B113,INDIRECT($B$5&amp;"生成成长"),4))/(VLOOKUP(DD$72,INDIRECT($C$5&amp;"生成成长"),5))*(VLOOKUP($B$5,标准坦克设计!$B$24:$U$30,MATCH("对"&amp;LEFT($C$5,2)&amp;"输出",标准坦克设计!$B$23:$U$23,0)))*(VLOOKUP($B113,INDIRECT($B$5&amp;"生成成长"),3))*(VLOOKUP($B$5,标准坦克设计!$B$14:$K$20,9)/30))</f>
        <v>14.343946702217565</v>
      </c>
      <c r="DE113" s="173">
        <f ca="1">(VLOOKUP(DE$72,INDIRECT($C$5&amp;"生成成长"),2))/((VLOOKUP($B113,INDIRECT($B$5&amp;"生成成长"),4))/(VLOOKUP(DE$72,INDIRECT($C$5&amp;"生成成长"),5))*(VLOOKUP($B$5,标准坦克设计!$B$24:$U$30,MATCH("对"&amp;LEFT($C$5,2)&amp;"输出",标准坦克设计!$B$23:$U$23,0)))*(VLOOKUP($B113,INDIRECT($B$5&amp;"生成成长"),3))*(VLOOKUP($B$5,标准坦克设计!$B$14:$K$20,9)/30))</f>
        <v>15.195879860307633</v>
      </c>
      <c r="DF113" s="173">
        <f ca="1">(VLOOKUP(DF$72,INDIRECT($C$5&amp;"生成成长"),2))/((VLOOKUP($B113,INDIRECT($B$5&amp;"生成成长"),4))/(VLOOKUP(DF$72,INDIRECT($C$5&amp;"生成成长"),5))*(VLOOKUP($B$5,标准坦克设计!$B$24:$U$30,MATCH("对"&amp;LEFT($C$5,2)&amp;"输出",标准坦克设计!$B$23:$U$23,0)))*(VLOOKUP($B113,INDIRECT($B$5&amp;"生成成长"),3))*(VLOOKUP($B$5,标准坦克设计!$B$14:$K$20,9)/30))</f>
        <v>16.072388013342604</v>
      </c>
      <c r="DG113" s="173">
        <f ca="1">(VLOOKUP(DG$72,INDIRECT($C$5&amp;"生成成长"),2))/((VLOOKUP($B113,INDIRECT($B$5&amp;"生成成长"),4))/(VLOOKUP(DG$72,INDIRECT($C$5&amp;"生成成长"),5))*(VLOOKUP($B$5,标准坦克设计!$B$24:$U$30,MATCH("对"&amp;LEFT($C$5,2)&amp;"输出",标准坦克设计!$B$23:$U$23,0)))*(VLOOKUP($B113,INDIRECT($B$5&amp;"生成成长"),3))*(VLOOKUP($B$5,标准坦克设计!$B$14:$K$20,9)/30))</f>
        <v>16.973471161322482</v>
      </c>
      <c r="DH113" s="173">
        <f ca="1">(VLOOKUP(DH$72,INDIRECT($C$5&amp;"生成成长"),2))/((VLOOKUP($B113,INDIRECT($B$5&amp;"生成成长"),4))/(VLOOKUP(DH$72,INDIRECT($C$5&amp;"生成成长"),5))*(VLOOKUP($B$5,标准坦克设计!$B$24:$U$30,MATCH("对"&amp;LEFT($C$5,2)&amp;"输出",标准坦克设计!$B$23:$U$23,0)))*(VLOOKUP($B113,INDIRECT($B$5&amp;"生成成长"),3))*(VLOOKUP($B$5,标准坦克设计!$B$14:$K$20,9)/30))</f>
        <v>17.899129304247264</v>
      </c>
      <c r="DI113" s="173">
        <f ca="1">(VLOOKUP(DI$72,INDIRECT($C$5&amp;"生成成长"),2))/((VLOOKUP($B113,INDIRECT($B$5&amp;"生成成长"),4))/(VLOOKUP(DI$72,INDIRECT($C$5&amp;"生成成长"),5))*(VLOOKUP($B$5,标准坦克设计!$B$24:$U$30,MATCH("对"&amp;LEFT($C$5,2)&amp;"输出",标准坦克设计!$B$23:$U$23,0)))*(VLOOKUP($B113,INDIRECT($B$5&amp;"生成成长"),3))*(VLOOKUP($B$5,标准坦克设计!$B$14:$K$20,9)/30))</f>
        <v>18.849362442116956</v>
      </c>
      <c r="DJ113" s="173">
        <f ca="1">(VLOOKUP(DJ$72,INDIRECT($C$5&amp;"生成成长"),2))/((VLOOKUP($B113,INDIRECT($B$5&amp;"生成成长"),4))/(VLOOKUP(DJ$72,INDIRECT($C$5&amp;"生成成长"),5))*(VLOOKUP($B$5,标准坦克设计!$B$24:$U$30,MATCH("对"&amp;LEFT($C$5,2)&amp;"输出",标准坦克设计!$B$23:$U$23,0)))*(VLOOKUP($B113,INDIRECT($B$5&amp;"生成成长"),3))*(VLOOKUP($B$5,标准坦克设计!$B$14:$K$20,9)/30))</f>
        <v>1.8944078568467113</v>
      </c>
      <c r="DK113" s="173">
        <f ca="1">(VLOOKUP(DK$72,INDIRECT($C$5&amp;"生成成长"),2))/((VLOOKUP($B113,INDIRECT($B$5&amp;"生成成长"),4))/(VLOOKUP(DK$72,INDIRECT($C$5&amp;"生成成长"),5))*(VLOOKUP($B$5,标准坦克设计!$B$24:$U$30,MATCH("对"&amp;LEFT($C$5,2)&amp;"输出",标准坦克设计!$B$23:$U$23,0)))*(VLOOKUP($B113,INDIRECT($B$5&amp;"生成成长"),3))*(VLOOKUP($B$5,标准坦克设计!$B$14:$K$20,9)/30))</f>
        <v>2.1301742145994016</v>
      </c>
      <c r="DL113" s="173">
        <f ca="1">(VLOOKUP(DL$72,INDIRECT($C$5&amp;"生成成长"),2))/((VLOOKUP($B113,INDIRECT($B$5&amp;"生成成长"),4))/(VLOOKUP(DL$72,INDIRECT($C$5&amp;"生成成长"),5))*(VLOOKUP($B$5,标准坦克设计!$B$24:$U$30,MATCH("对"&amp;LEFT($C$5,2)&amp;"输出",标准坦克设计!$B$23:$U$23,0)))*(VLOOKUP($B113,INDIRECT($B$5&amp;"生成成长"),3))*(VLOOKUP($B$5,标准坦克设计!$B$14:$K$20,9)/30))</f>
        <v>2.3797640070086001</v>
      </c>
      <c r="DM113" s="173">
        <f ca="1">(VLOOKUP(DM$72,INDIRECT($C$5&amp;"生成成长"),2))/((VLOOKUP($B113,INDIRECT($B$5&amp;"生成成长"),4))/(VLOOKUP(DM$72,INDIRECT($C$5&amp;"生成成长"),5))*(VLOOKUP($B$5,标准坦克设计!$B$24:$U$30,MATCH("对"&amp;LEFT($C$5,2)&amp;"输出",标准坦克设计!$B$23:$U$23,0)))*(VLOOKUP($B113,INDIRECT($B$5&amp;"生成成长"),3))*(VLOOKUP($B$5,标准坦克设计!$B$14:$K$20,9)/30))</f>
        <v>2.6431772340743089</v>
      </c>
      <c r="DN113" s="173">
        <f ca="1">(VLOOKUP(DN$72,INDIRECT($C$5&amp;"生成成长"),2))/((VLOOKUP($B113,INDIRECT($B$5&amp;"生成成长"),4))/(VLOOKUP(DN$72,INDIRECT($C$5&amp;"生成成长"),5))*(VLOOKUP($B$5,标准坦克设计!$B$24:$U$30,MATCH("对"&amp;LEFT($C$5,2)&amp;"输出",标准坦克设计!$B$23:$U$23,0)))*(VLOOKUP($B113,INDIRECT($B$5&amp;"生成成长"),3))*(VLOOKUP($B$5,标准坦克设计!$B$14:$K$20,9)/30))</f>
        <v>2.9204138957965267</v>
      </c>
      <c r="DO113" s="173">
        <f ca="1">(VLOOKUP(DO$72,INDIRECT($C$5&amp;"生成成长"),2))/((VLOOKUP($B113,INDIRECT($B$5&amp;"生成成长"),4))/(VLOOKUP(DO$72,INDIRECT($C$5&amp;"生成成长"),5))*(VLOOKUP($B$5,标准坦克设计!$B$24:$U$30,MATCH("对"&amp;LEFT($C$5,2)&amp;"输出",标准坦克设计!$B$23:$U$23,0)))*(VLOOKUP($B113,INDIRECT($B$5&amp;"生成成长"),3))*(VLOOKUP($B$5,标准坦克设计!$B$14:$K$20,9)/30))</f>
        <v>3.2114739921752542</v>
      </c>
      <c r="DP113" s="173">
        <f ca="1">(VLOOKUP(DP$72,INDIRECT($C$5&amp;"生成成长"),2))/((VLOOKUP($B113,INDIRECT($B$5&amp;"生成成长"),4))/(VLOOKUP(DP$72,INDIRECT($C$5&amp;"生成成长"),5))*(VLOOKUP($B$5,标准坦克设计!$B$24:$U$30,MATCH("对"&amp;LEFT($C$5,2)&amp;"输出",标准坦克设计!$B$23:$U$23,0)))*(VLOOKUP($B113,INDIRECT($B$5&amp;"生成成长"),3))*(VLOOKUP($B$5,标准坦克设计!$B$14:$K$20,9)/30))</f>
        <v>3.5163575232104911</v>
      </c>
      <c r="DQ113" s="173">
        <f ca="1">(VLOOKUP(DQ$72,INDIRECT($C$5&amp;"生成成长"),2))/((VLOOKUP($B113,INDIRECT($B$5&amp;"生成成长"),4))/(VLOOKUP(DQ$72,INDIRECT($C$5&amp;"生成成长"),5))*(VLOOKUP($B$5,标准坦克设计!$B$24:$U$30,MATCH("对"&amp;LEFT($C$5,2)&amp;"输出",标准坦克设计!$B$23:$U$23,0)))*(VLOOKUP($B113,INDIRECT($B$5&amp;"生成成长"),3))*(VLOOKUP($B$5,标准坦克设计!$B$14:$K$20,9)/30))</f>
        <v>3.8350644889022383</v>
      </c>
      <c r="DR113" s="173">
        <f ca="1">(VLOOKUP(DR$72,INDIRECT($C$5&amp;"生成成长"),2))/((VLOOKUP($B113,INDIRECT($B$5&amp;"生成成长"),4))/(VLOOKUP(DR$72,INDIRECT($C$5&amp;"生成成长"),5))*(VLOOKUP($B$5,标准坦克设计!$B$24:$U$30,MATCH("对"&amp;LEFT($C$5,2)&amp;"输出",标准坦克设计!$B$23:$U$23,0)))*(VLOOKUP($B113,INDIRECT($B$5&amp;"生成成长"),3))*(VLOOKUP($B$5,标准坦克设计!$B$14:$K$20,9)/30))</f>
        <v>4.1675948892504939</v>
      </c>
      <c r="DS113" s="173">
        <f ca="1">(VLOOKUP(DS$72,INDIRECT($C$5&amp;"生成成长"),2))/((VLOOKUP($B113,INDIRECT($B$5&amp;"生成成长"),4))/(VLOOKUP(DS$72,INDIRECT($C$5&amp;"生成成长"),5))*(VLOOKUP($B$5,标准坦克设计!$B$24:$U$30,MATCH("对"&amp;LEFT($C$5,2)&amp;"输出",标准坦克设计!$B$23:$U$23,0)))*(VLOOKUP($B113,INDIRECT($B$5&amp;"生成成长"),3))*(VLOOKUP($B$5,标准坦克设计!$B$14:$K$20,9)/30))</f>
        <v>4.5139487242552603</v>
      </c>
      <c r="DT113" s="173">
        <f ca="1">(VLOOKUP(DT$72,INDIRECT($C$5&amp;"生成成长"),2))/((VLOOKUP($B113,INDIRECT($B$5&amp;"生成成长"),4))/(VLOOKUP(DT$72,INDIRECT($C$5&amp;"生成成长"),5))*(VLOOKUP($B$5,标准坦克设计!$B$24:$U$30,MATCH("对"&amp;LEFT($C$5,2)&amp;"输出",标准坦克设计!$B$23:$U$23,0)))*(VLOOKUP($B113,INDIRECT($B$5&amp;"生成成长"),3))*(VLOOKUP($B$5,标准坦克设计!$B$14:$K$20,9)/30))</f>
        <v>4.9560426437328875</v>
      </c>
      <c r="DU113" s="173">
        <f ca="1">(VLOOKUP(DU$72,INDIRECT($C$5&amp;"生成成长"),2))/((VLOOKUP($B113,INDIRECT($B$5&amp;"生成成长"),4))/(VLOOKUP(DU$72,INDIRECT($C$5&amp;"生成成长"),5))*(VLOOKUP($B$5,标准坦克设计!$B$24:$U$30,MATCH("对"&amp;LEFT($C$5,2)&amp;"输出",标准坦克设计!$B$23:$U$23,0)))*(VLOOKUP($B113,INDIRECT($B$5&amp;"生成成长"),3))*(VLOOKUP($B$5,标准坦克设计!$B$14:$K$20,9)/30))</f>
        <v>5.4187863853517211</v>
      </c>
      <c r="DV113" s="173">
        <f ca="1">(VLOOKUP(DV$72,INDIRECT($C$5&amp;"生成成长"),2))/((VLOOKUP($B113,INDIRECT($B$5&amp;"生成成长"),4))/(VLOOKUP(DV$72,INDIRECT($C$5&amp;"生成成长"),5))*(VLOOKUP($B$5,标准坦克设计!$B$24:$U$30,MATCH("对"&amp;LEFT($C$5,2)&amp;"输出",标准坦克设计!$B$23:$U$23,0)))*(VLOOKUP($B113,INDIRECT($B$5&amp;"生成成长"),3))*(VLOOKUP($B$5,标准坦克设计!$B$14:$K$20,9)/30))</f>
        <v>5.9021799491117601</v>
      </c>
      <c r="DW113" s="173">
        <f ca="1">(VLOOKUP(DW$72,INDIRECT($C$5&amp;"生成成长"),2))/((VLOOKUP($B113,INDIRECT($B$5&amp;"生成成长"),4))/(VLOOKUP(DW$72,INDIRECT($C$5&amp;"生成成长"),5))*(VLOOKUP($B$5,标准坦克设计!$B$24:$U$30,MATCH("对"&amp;LEFT($C$5,2)&amp;"输出",标准坦克设计!$B$23:$U$23,0)))*(VLOOKUP($B113,INDIRECT($B$5&amp;"生成成长"),3))*(VLOOKUP($B$5,标准坦克设计!$B$14:$K$20,9)/30))</f>
        <v>6.4062233350130038</v>
      </c>
      <c r="DX113" s="173">
        <f ca="1">(VLOOKUP(DX$72,INDIRECT($C$5&amp;"生成成长"),2))/((VLOOKUP($B113,INDIRECT($B$5&amp;"生成成长"),4))/(VLOOKUP(DX$72,INDIRECT($C$5&amp;"生成成长"),5))*(VLOOKUP($B$5,标准坦克设计!$B$24:$U$30,MATCH("对"&amp;LEFT($C$5,2)&amp;"输出",标准坦克设计!$B$23:$U$23,0)))*(VLOOKUP($B113,INDIRECT($B$5&amp;"生成成长"),3))*(VLOOKUP($B$5,标准坦克设计!$B$14:$K$20,9)/30))</f>
        <v>6.9309165430554538</v>
      </c>
      <c r="DY113" s="173">
        <f ca="1">(VLOOKUP(DY$72,INDIRECT($C$5&amp;"生成成长"),2))/((VLOOKUP($B113,INDIRECT($B$5&amp;"生成成长"),4))/(VLOOKUP(DY$72,INDIRECT($C$5&amp;"生成成长"),5))*(VLOOKUP($B$5,标准坦克设计!$B$24:$U$30,MATCH("对"&amp;LEFT($C$5,2)&amp;"输出",标准坦克设计!$B$23:$U$23,0)))*(VLOOKUP($B113,INDIRECT($B$5&amp;"生成成长"),3))*(VLOOKUP($B$5,标准坦克设计!$B$14:$K$20,9)/30))</f>
        <v>3.1129180228649549</v>
      </c>
      <c r="DZ113" s="173">
        <f ca="1">(VLOOKUP(DZ$72,INDIRECT($C$5&amp;"生成成长"),2))/((VLOOKUP($B113,INDIRECT($B$5&amp;"生成成长"),4))/(VLOOKUP(DZ$72,INDIRECT($C$5&amp;"生成成长"),5))*(VLOOKUP($B$5,标准坦克设计!$B$24:$U$30,MATCH("对"&amp;LEFT($C$5,2)&amp;"输出",标准坦克设计!$B$23:$U$23,0)))*(VLOOKUP($B113,INDIRECT($B$5&amp;"生成成长"),3))*(VLOOKUP($B$5,标准坦克设计!$B$14:$K$20,9)/30))</f>
        <v>3.4474110096150619</v>
      </c>
      <c r="EA113" s="173">
        <f ca="1">(VLOOKUP(EA$72,INDIRECT($C$5&amp;"生成成长"),2))/((VLOOKUP($B113,INDIRECT($B$5&amp;"生成成长"),4))/(VLOOKUP(EA$72,INDIRECT($C$5&amp;"生成成长"),5))*(VLOOKUP($B$5,标准坦克设计!$B$24:$U$30,MATCH("对"&amp;LEFT($C$5,2)&amp;"输出",标准坦克设计!$B$23:$U$23,0)))*(VLOOKUP($B113,INDIRECT($B$5&amp;"生成成长"),3))*(VLOOKUP($B$5,标准坦克设计!$B$14:$K$20,9)/30))</f>
        <v>3.7989699650769082</v>
      </c>
      <c r="EB113" s="173">
        <f ca="1">(VLOOKUP(EB$72,INDIRECT($C$5&amp;"生成成长"),2))/((VLOOKUP($B113,INDIRECT($B$5&amp;"生成成长"),4))/(VLOOKUP(EB$72,INDIRECT($C$5&amp;"生成成长"),5))*(VLOOKUP($B$5,标准坦克设计!$B$24:$U$30,MATCH("对"&amp;LEFT($C$5,2)&amp;"输出",标准坦克设计!$B$23:$U$23,0)))*(VLOOKUP($B113,INDIRECT($B$5&amp;"生成成长"),3))*(VLOOKUP($B$5,标准坦克设计!$B$14:$K$20,9)/30))</f>
        <v>4.1675948892504939</v>
      </c>
      <c r="EC113" s="173">
        <f ca="1">(VLOOKUP(EC$72,INDIRECT($C$5&amp;"生成成长"),2))/((VLOOKUP($B113,INDIRECT($B$5&amp;"生成成长"),4))/(VLOOKUP(EC$72,INDIRECT($C$5&amp;"生成成长"),5))*(VLOOKUP($B$5,标准坦克设计!$B$24:$U$30,MATCH("对"&amp;LEFT($C$5,2)&amp;"输出",标准坦克设计!$B$23:$U$23,0)))*(VLOOKUP($B113,INDIRECT($B$5&amp;"生成成长"),3))*(VLOOKUP($B$5,标准坦克设计!$B$14:$K$20,9)/30))</f>
        <v>4.5532857821358208</v>
      </c>
      <c r="ED113" s="173">
        <f ca="1">(VLOOKUP(ED$72,INDIRECT($C$5&amp;"生成成长"),2))/((VLOOKUP($B113,INDIRECT($B$5&amp;"生成成长"),4))/(VLOOKUP(ED$72,INDIRECT($C$5&amp;"生成成长"),5))*(VLOOKUP($B$5,标准坦克设计!$B$24:$U$30,MATCH("对"&amp;LEFT($C$5,2)&amp;"输出",标准坦克设计!$B$23:$U$23,0)))*(VLOOKUP($B113,INDIRECT($B$5&amp;"生成成长"),3))*(VLOOKUP($B$5,标准坦克设计!$B$14:$K$20,9)/30))</f>
        <v>4.9560426437328875</v>
      </c>
      <c r="EE113" s="173">
        <f ca="1">(VLOOKUP(EE$72,INDIRECT($C$5&amp;"生成成长"),2))/((VLOOKUP($B113,INDIRECT($B$5&amp;"生成成长"),4))/(VLOOKUP(EE$72,INDIRECT($C$5&amp;"生成成长"),5))*(VLOOKUP($B$5,标准坦克设计!$B$24:$U$30,MATCH("对"&amp;LEFT($C$5,2)&amp;"输出",标准坦克设计!$B$23:$U$23,0)))*(VLOOKUP($B113,INDIRECT($B$5&amp;"生成成长"),3))*(VLOOKUP($B$5,标准坦克设计!$B$14:$K$20,9)/30))</f>
        <v>5.3758654740416949</v>
      </c>
      <c r="EF113" s="173">
        <f ca="1">(VLOOKUP(EF$72,INDIRECT($C$5&amp;"生成成长"),2))/((VLOOKUP($B113,INDIRECT($B$5&amp;"生成成长"),4))/(VLOOKUP(EF$72,INDIRECT($C$5&amp;"生成成长"),5))*(VLOOKUP($B$5,标准坦克设计!$B$24:$U$30,MATCH("对"&amp;LEFT($C$5,2)&amp;"输出",标准坦克设计!$B$23:$U$23,0)))*(VLOOKUP($B113,INDIRECT($B$5&amp;"生成成长"),3))*(VLOOKUP($B$5,标准坦克设计!$B$14:$K$20,9)/30))</f>
        <v>5.8127542730622412</v>
      </c>
      <c r="EG113" s="173">
        <f ca="1">(VLOOKUP(EG$72,INDIRECT($C$5&amp;"生成成长"),2))/((VLOOKUP($B113,INDIRECT($B$5&amp;"生成成长"),4))/(VLOOKUP(EG$72,INDIRECT($C$5&amp;"生成成长"),5))*(VLOOKUP($B$5,标准坦克设计!$B$24:$U$30,MATCH("对"&amp;LEFT($C$5,2)&amp;"输出",标准坦克设计!$B$23:$U$23,0)))*(VLOOKUP($B113,INDIRECT($B$5&amp;"生成成长"),3))*(VLOOKUP($B$5,标准坦克设计!$B$14:$K$20,9)/30))</f>
        <v>6.2667090407945283</v>
      </c>
      <c r="EH113" s="173">
        <f ca="1">(VLOOKUP(EH$72,INDIRECT($C$5&amp;"生成成长"),2))/((VLOOKUP($B113,INDIRECT($B$5&amp;"生成成长"),4))/(VLOOKUP(EH$72,INDIRECT($C$5&amp;"生成成长"),5))*(VLOOKUP($B$5,标准坦克设计!$B$24:$U$30,MATCH("对"&amp;LEFT($C$5,2)&amp;"输出",标准坦克设计!$B$23:$U$23,0)))*(VLOOKUP($B113,INDIRECT($B$5&amp;"生成成长"),3))*(VLOOKUP($B$5,标准坦克设计!$B$14:$K$20,9)/30))</f>
        <v>6.7377297772385552</v>
      </c>
      <c r="EI113" s="173">
        <f ca="1">(VLOOKUP(EI$72,INDIRECT($C$5&amp;"生成成长"),2))/((VLOOKUP($B113,INDIRECT($B$5&amp;"生成成长"),4))/(VLOOKUP(EI$72,INDIRECT($C$5&amp;"生成成长"),5))*(VLOOKUP($B$5,标准坦克设计!$B$24:$U$30,MATCH("对"&amp;LEFT($C$5,2)&amp;"输出",标准坦克设计!$B$23:$U$23,0)))*(VLOOKUP($B113,INDIRECT($B$5&amp;"生成成长"),3))*(VLOOKUP($B$5,标准坦克设计!$B$14:$K$20,9)/30))</f>
        <v>7.2258164823943227</v>
      </c>
      <c r="EJ113" s="173">
        <f ca="1">(VLOOKUP(EJ$72,INDIRECT($C$5&amp;"生成成长"),2))/((VLOOKUP($B113,INDIRECT($B$5&amp;"生成成长"),4))/(VLOOKUP(EJ$72,INDIRECT($C$5&amp;"生成成长"),5))*(VLOOKUP($B$5,标准坦克设计!$B$24:$U$30,MATCH("对"&amp;LEFT($C$5,2)&amp;"输出",标准坦克设计!$B$23:$U$23,0)))*(VLOOKUP($B113,INDIRECT($B$5&amp;"生成成长"),3))*(VLOOKUP($B$5,标准坦克设计!$B$14:$K$20,9)/30))</f>
        <v>7.7309691562618292</v>
      </c>
      <c r="EK113" s="173">
        <f ca="1">(VLOOKUP(EK$72,INDIRECT($C$5&amp;"生成成长"),2))/((VLOOKUP($B113,INDIRECT($B$5&amp;"生成成长"),4))/(VLOOKUP(EK$72,INDIRECT($C$5&amp;"生成成长"),5))*(VLOOKUP($B$5,标准坦克设计!$B$24:$U$30,MATCH("对"&amp;LEFT($C$5,2)&amp;"输出",标准坦克设计!$B$23:$U$23,0)))*(VLOOKUP($B113,INDIRECT($B$5&amp;"生成成长"),3))*(VLOOKUP($B$5,标准坦克设计!$B$14:$K$20,9)/30))</f>
        <v>8.3596794436023369</v>
      </c>
      <c r="EL113" s="173">
        <f ca="1">(VLOOKUP(EL$72,INDIRECT($C$5&amp;"生成成长"),2))/((VLOOKUP($B113,INDIRECT($B$5&amp;"生成成长"),4))/(VLOOKUP(EL$72,INDIRECT($C$5&amp;"生成成长"),5))*(VLOOKUP($B$5,标准坦克设计!$B$24:$U$30,MATCH("对"&amp;LEFT($C$5,2)&amp;"输出",标准坦克设计!$B$23:$U$23,0)))*(VLOOKUP($B113,INDIRECT($B$5&amp;"生成成长"),3))*(VLOOKUP($B$5,标准坦克设计!$B$14:$K$20,9)/30))</f>
        <v>9.0129647258877483</v>
      </c>
      <c r="EM113" s="173">
        <f ca="1">(VLOOKUP(EM$72,INDIRECT($C$5&amp;"生成成长"),2))/((VLOOKUP($B113,INDIRECT($B$5&amp;"生成成长"),4))/(VLOOKUP(EM$72,INDIRECT($C$5&amp;"生成成长"),5))*(VLOOKUP($B$5,标准坦克设计!$B$24:$U$30,MATCH("对"&amp;LEFT($C$5,2)&amp;"输出",标准坦克设计!$B$23:$U$23,0)))*(VLOOKUP($B113,INDIRECT($B$5&amp;"生成成长"),3))*(VLOOKUP($B$5,标准坦克设计!$B$14:$K$20,9)/30))</f>
        <v>9.6908250031180643</v>
      </c>
      <c r="EN113" s="173">
        <f ca="1">(VLOOKUP(EN$72,INDIRECT($C$5&amp;"生成成长"),2))/((VLOOKUP($B113,INDIRECT($B$5&amp;"生成成长"),4))/(VLOOKUP(EN$72,INDIRECT($C$5&amp;"生成成长"),5))*(VLOOKUP($B$5,标准坦克设计!$B$24:$U$30,MATCH("对"&amp;LEFT($C$5,2)&amp;"输出",标准坦克设计!$B$23:$U$23,0)))*(VLOOKUP($B113,INDIRECT($B$5&amp;"生成成长"),3))*(VLOOKUP($B$5,标准坦克设计!$B$14:$K$20,9)/30))</f>
        <v>10.393260275293288</v>
      </c>
      <c r="EO113" s="173">
        <f ca="1">(VLOOKUP(EO$72,INDIRECT($C$5&amp;"生成成长"),2))/((VLOOKUP($B113,INDIRECT($B$5&amp;"生成成长"),4))/(VLOOKUP(EO$72,INDIRECT($C$5&amp;"生成成长"),5))*(VLOOKUP($B$5,标准坦克设计!$B$24:$U$30,MATCH("对"&amp;LEFT($C$5,2)&amp;"输出",标准坦克设计!$B$23:$U$23,0)))*(VLOOKUP($B113,INDIRECT($B$5&amp;"生成成长"),3))*(VLOOKUP($B$5,标准坦克设计!$B$14:$K$20,9)/30))</f>
        <v>11.120270542413417</v>
      </c>
      <c r="EP113" s="173">
        <f ca="1">(VLOOKUP(EP$72,INDIRECT($C$5&amp;"生成成长"),2))/((VLOOKUP($B113,INDIRECT($B$5&amp;"生成成长"),4))/(VLOOKUP(EP$72,INDIRECT($C$5&amp;"生成成长"),5))*(VLOOKUP($B$5,标准坦克设计!$B$24:$U$30,MATCH("对"&amp;LEFT($C$5,2)&amp;"输出",标准坦克设计!$B$23:$U$23,0)))*(VLOOKUP($B113,INDIRECT($B$5&amp;"生成成长"),3))*(VLOOKUP($B$5,标准坦克设计!$B$14:$K$20,9)/30))</f>
        <v>11.871855804478452</v>
      </c>
      <c r="EQ113" s="173">
        <f ca="1">(VLOOKUP(EQ$72,INDIRECT($C$5&amp;"生成成长"),2))/((VLOOKUP($B113,INDIRECT($B$5&amp;"生成成长"),4))/(VLOOKUP(EQ$72,INDIRECT($C$5&amp;"生成成长"),5))*(VLOOKUP($B$5,标准坦克设计!$B$24:$U$30,MATCH("对"&amp;LEFT($C$5,2)&amp;"输出",标准坦克设计!$B$23:$U$23,0)))*(VLOOKUP($B113,INDIRECT($B$5&amp;"生成成长"),3))*(VLOOKUP($B$5,标准坦克设计!$B$14:$K$20,9)/30))</f>
        <v>5.2481266982343202</v>
      </c>
      <c r="ER113" s="173">
        <f ca="1">(VLOOKUP(ER$72,INDIRECT($C$5&amp;"生成成长"),2))/((VLOOKUP($B113,INDIRECT($B$5&amp;"生成成长"),4))/(VLOOKUP(ER$72,INDIRECT($C$5&amp;"生成成长"),5))*(VLOOKUP($B$5,标准坦克设计!$B$24:$U$30,MATCH("对"&amp;LEFT($C$5,2)&amp;"输出",标准坦克设计!$B$23:$U$23,0)))*(VLOOKUP($B113,INDIRECT($B$5&amp;"生成成长"),3))*(VLOOKUP($B$5,标准坦克设计!$B$14:$K$20,9)/30))</f>
        <v>5.7240112357611936</v>
      </c>
      <c r="ES113" s="173">
        <f ca="1">(VLOOKUP(ES$72,INDIRECT($C$5&amp;"生成成长"),2))/((VLOOKUP($B113,INDIRECT($B$5&amp;"生成成长"),4))/(VLOOKUP(ES$72,INDIRECT($C$5&amp;"生成成长"),5))*(VLOOKUP($B$5,标准坦克设计!$B$24:$U$30,MATCH("对"&amp;LEFT($C$5,2)&amp;"输出",标准坦克设计!$B$23:$U$23,0)))*(VLOOKUP($B113,INDIRECT($B$5&amp;"生成成长"),3))*(VLOOKUP($B$5,标准坦克设计!$B$14:$K$20,9)/30))</f>
        <v>6.2205455954292717</v>
      </c>
      <c r="ET113" s="173">
        <f ca="1">(VLOOKUP(ET$72,INDIRECT($C$5&amp;"生成成长"),2))/((VLOOKUP($B113,INDIRECT($B$5&amp;"生成成长"),4))/(VLOOKUP(ET$72,INDIRECT($C$5&amp;"生成成长"),5))*(VLOOKUP($B$5,标准坦克设计!$B$24:$U$30,MATCH("对"&amp;LEFT($C$5,2)&amp;"输出",标准坦克设计!$B$23:$U$23,0)))*(VLOOKUP($B113,INDIRECT($B$5&amp;"生成成长"),3))*(VLOOKUP($B$5,标准坦克设计!$B$14:$K$20,9)/30))</f>
        <v>6.7377297772385552</v>
      </c>
      <c r="EU113" s="173">
        <f ca="1">(VLOOKUP(EU$72,INDIRECT($C$5&amp;"生成成长"),2))/((VLOOKUP($B113,INDIRECT($B$5&amp;"生成成长"),4))/(VLOOKUP(EU$72,INDIRECT($C$5&amp;"生成成长"),5))*(VLOOKUP($B$5,标准坦克设计!$B$24:$U$30,MATCH("对"&amp;LEFT($C$5,2)&amp;"输出",标准坦克设计!$B$23:$U$23,0)))*(VLOOKUP($B113,INDIRECT($B$5&amp;"生成成长"),3))*(VLOOKUP($B$5,标准坦克设计!$B$14:$K$20,9)/30))</f>
        <v>7.275563781189045</v>
      </c>
      <c r="EV113" s="173">
        <f ca="1">(VLOOKUP(EV$72,INDIRECT($C$5&amp;"生成成长"),2))/((VLOOKUP($B113,INDIRECT($B$5&amp;"生成成长"),4))/(VLOOKUP(EV$72,INDIRECT($C$5&amp;"生成成长"),5))*(VLOOKUP($B$5,标准坦克设计!$B$24:$U$30,MATCH("对"&amp;LEFT($C$5,2)&amp;"输出",标准坦克设计!$B$23:$U$23,0)))*(VLOOKUP($B113,INDIRECT($B$5&amp;"生成成长"),3))*(VLOOKUP($B$5,标准坦克设计!$B$14:$K$20,9)/30))</f>
        <v>7.8340476072807421</v>
      </c>
      <c r="EW113" s="173">
        <f ca="1">(VLOOKUP(EW$72,INDIRECT($C$5&amp;"生成成长"),2))/((VLOOKUP($B113,INDIRECT($B$5&amp;"生成成长"),4))/(VLOOKUP(EW$72,INDIRECT($C$5&amp;"生成成长"),5))*(VLOOKUP($B$5,标准坦克设计!$B$24:$U$30,MATCH("对"&amp;LEFT($C$5,2)&amp;"输出",标准坦克设计!$B$23:$U$23,0)))*(VLOOKUP($B113,INDIRECT($B$5&amp;"生成成长"),3))*(VLOOKUP($B$5,标准坦克设计!$B$14:$K$20,9)/30))</f>
        <v>8.413181255513642</v>
      </c>
      <c r="EX113" s="173">
        <f ca="1">(VLOOKUP(EX$72,INDIRECT($C$5&amp;"生成成长"),2))/((VLOOKUP($B113,INDIRECT($B$5&amp;"生成成长"),4))/(VLOOKUP(EX$72,INDIRECT($C$5&amp;"生成成长"),5))*(VLOOKUP($B$5,标准坦克设计!$B$24:$U$30,MATCH("对"&amp;LEFT($C$5,2)&amp;"输出",标准坦克设计!$B$23:$U$23,0)))*(VLOOKUP($B113,INDIRECT($B$5&amp;"生成成长"),3))*(VLOOKUP($B$5,标准坦克设计!$B$14:$K$20,9)/30))</f>
        <v>9.0129647258877483</v>
      </c>
      <c r="EY113" s="173">
        <f ca="1">(VLOOKUP(EY$72,INDIRECT($C$5&amp;"生成成长"),2))/((VLOOKUP($B113,INDIRECT($B$5&amp;"生成成长"),4))/(VLOOKUP(EY$72,INDIRECT($C$5&amp;"生成成长"),5))*(VLOOKUP($B$5,标准坦克设计!$B$24:$U$30,MATCH("对"&amp;LEFT($C$5,2)&amp;"输出",标准坦克设计!$B$23:$U$23,0)))*(VLOOKUP($B113,INDIRECT($B$5&amp;"生成成长"),3))*(VLOOKUP($B$5,标准坦克设计!$B$14:$K$20,9)/30))</f>
        <v>9.6333980184030601</v>
      </c>
      <c r="EZ113" s="173">
        <f ca="1">(VLOOKUP(EZ$72,INDIRECT($C$5&amp;"生成成长"),2))/((VLOOKUP($B113,INDIRECT($B$5&amp;"生成成长"),4))/(VLOOKUP(EZ$72,INDIRECT($C$5&amp;"生成成长"),5))*(VLOOKUP($B$5,标准坦克设计!$B$24:$U$30,MATCH("对"&amp;LEFT($C$5,2)&amp;"输出",标准坦克设计!$B$23:$U$23,0)))*(VLOOKUP($B113,INDIRECT($B$5&amp;"生成成长"),3))*(VLOOKUP($B$5,标准坦克设计!$B$14:$K$20,9)/30))</f>
        <v>10.274481133059576</v>
      </c>
      <c r="FA113" s="173">
        <f ca="1">(VLOOKUP(FA$72,INDIRECT($C$5&amp;"生成成长"),2))/((VLOOKUP($B113,INDIRECT($B$5&amp;"生成成长"),4))/(VLOOKUP(FA$72,INDIRECT($C$5&amp;"生成成长"),5))*(VLOOKUP($B$5,标准坦克设计!$B$24:$U$30,MATCH("对"&amp;LEFT($C$5,2)&amp;"输出",标准坦克设计!$B$23:$U$23,0)))*(VLOOKUP($B113,INDIRECT($B$5&amp;"生成成长"),3))*(VLOOKUP($B$5,标准坦克设计!$B$14:$K$20,9)/30))</f>
        <v>10.9362140698573</v>
      </c>
      <c r="FB113" s="173">
        <f ca="1">(VLOOKUP(FB$72,INDIRECT($C$5&amp;"生成成长"),2))/((VLOOKUP($B113,INDIRECT($B$5&amp;"生成成长"),4))/(VLOOKUP(FB$72,INDIRECT($C$5&amp;"生成成长"),5))*(VLOOKUP($B$5,标准坦克设计!$B$24:$U$30,MATCH("对"&amp;LEFT($C$5,2)&amp;"输出",标准坦克设计!$B$23:$U$23,0)))*(VLOOKUP($B113,INDIRECT($B$5&amp;"生成成长"),3))*(VLOOKUP($B$5,标准坦克设计!$B$14:$K$20,9)/30))</f>
        <v>11.618596828796228</v>
      </c>
      <c r="FC113" s="173">
        <f ca="1">(VLOOKUP(FC$72,INDIRECT($C$5&amp;"生成成长"),2))/((VLOOKUP($B113,INDIRECT($B$5&amp;"生成成长"),4))/(VLOOKUP(FC$72,INDIRECT($C$5&amp;"生成成长"),5))*(VLOOKUP($B$5,标准坦克设计!$B$24:$U$30,MATCH("对"&amp;LEFT($C$5,2)&amp;"输出",标准坦克设计!$B$23:$U$23,0)))*(VLOOKUP($B113,INDIRECT($B$5&amp;"生成成长"),3))*(VLOOKUP($B$5,标准坦克设计!$B$14:$K$20,9)/30))</f>
        <v>12.321629409876364</v>
      </c>
      <c r="FD113" s="173">
        <f ca="1">(VLOOKUP(FD$72,INDIRECT($C$5&amp;"生成成长"),2))/((VLOOKUP($B113,INDIRECT($B$5&amp;"生成成长"),4))/(VLOOKUP(FD$72,INDIRECT($C$5&amp;"生成成长"),5))*(VLOOKUP($B$5,标准坦克设计!$B$24:$U$30,MATCH("对"&amp;LEFT($C$5,2)&amp;"输出",标准坦克设计!$B$23:$U$23,0)))*(VLOOKUP($B113,INDIRECT($B$5&amp;"生成成长"),3))*(VLOOKUP($B$5,标准坦克设计!$B$14:$K$20,9)/30))</f>
        <v>13.045311813097701</v>
      </c>
      <c r="FE113" s="173">
        <f ca="1">(VLOOKUP(FE$72,INDIRECT($C$5&amp;"生成成长"),2))/((VLOOKUP($B113,INDIRECT($B$5&amp;"生成成长"),4))/(VLOOKUP(FE$72,INDIRECT($C$5&amp;"生成成长"),5))*(VLOOKUP($B$5,标准坦克设计!$B$24:$U$30,MATCH("对"&amp;LEFT($C$5,2)&amp;"输出",标准坦克设计!$B$23:$U$23,0)))*(VLOOKUP($B113,INDIRECT($B$5&amp;"生成成长"),3))*(VLOOKUP($B$5,标准坦克设计!$B$14:$K$20,9)/30))</f>
        <v>13.927195746276873</v>
      </c>
      <c r="FF113" s="173">
        <f ca="1">(VLOOKUP(FF$72,INDIRECT($C$5&amp;"生成成长"),2))/((VLOOKUP($B113,INDIRECT($B$5&amp;"生成成长"),4))/(VLOOKUP(FF$72,INDIRECT($C$5&amp;"生成成长"),5))*(VLOOKUP($B$5,标准坦克设计!$B$24:$U$30,MATCH("对"&amp;LEFT($C$5,2)&amp;"输出",标准坦克设计!$B$23:$U$23,0)))*(VLOOKUP($B113,INDIRECT($B$5&amp;"生成成长"),3))*(VLOOKUP($B$5,标准坦克设计!$B$14:$K$20,9)/30))</f>
        <v>14.837921166578884</v>
      </c>
      <c r="FG113" s="173">
        <f ca="1">(VLOOKUP(FG$72,INDIRECT($C$5&amp;"生成成长"),2))/((VLOOKUP($B113,INDIRECT($B$5&amp;"生成成长"),4))/(VLOOKUP(FG$72,INDIRECT($C$5&amp;"生成成长"),5))*(VLOOKUP($B$5,标准坦克设计!$B$24:$U$30,MATCH("对"&amp;LEFT($C$5,2)&amp;"输出",标准坦克设计!$B$23:$U$23,0)))*(VLOOKUP($B113,INDIRECT($B$5&amp;"生成成长"),3))*(VLOOKUP($B$5,标准坦克设计!$B$14:$K$20,9)/30))</f>
        <v>15.777488074003736</v>
      </c>
      <c r="FH113" s="173">
        <f ca="1">(VLOOKUP(FH$72,INDIRECT($C$5&amp;"生成成长"),2))/((VLOOKUP($B113,INDIRECT($B$5&amp;"生成成长"),4))/(VLOOKUP(FH$72,INDIRECT($C$5&amp;"生成成长"),5))*(VLOOKUP($B$5,标准坦克设计!$B$24:$U$30,MATCH("对"&amp;LEFT($C$5,2)&amp;"输出",标准坦克设计!$B$23:$U$23,0)))*(VLOOKUP($B113,INDIRECT($B$5&amp;"生成成长"),3))*(VLOOKUP($B$5,标准坦克设计!$B$14:$K$20,9)/30))</f>
        <v>16.745896468551429</v>
      </c>
      <c r="FI113" s="173">
        <f ca="1">(VLOOKUP(FI$72,INDIRECT($C$5&amp;"生成成长"),2))/((VLOOKUP($B113,INDIRECT($B$5&amp;"生成成长"),4))/(VLOOKUP(FI$72,INDIRECT($C$5&amp;"生成成长"),5))*(VLOOKUP($B$5,标准坦克设计!$B$24:$U$30,MATCH("对"&amp;LEFT($C$5,2)&amp;"输出",标准坦克设计!$B$23:$U$23,0)))*(VLOOKUP($B113,INDIRECT($B$5&amp;"生成成长"),3))*(VLOOKUP($B$5,标准坦克设计!$B$14:$K$20,9)/30))</f>
        <v>17.743146350221963</v>
      </c>
      <c r="FJ113" s="173">
        <f ca="1">(VLOOKUP(FJ$72,INDIRECT($C$5&amp;"生成成长"),2))/((VLOOKUP($B113,INDIRECT($B$5&amp;"生成成长"),4))/(VLOOKUP(FJ$72,INDIRECT($C$5&amp;"生成成长"),5))*(VLOOKUP($B$5,标准坦克设计!$B$24:$U$30,MATCH("对"&amp;LEFT($C$5,2)&amp;"输出",标准坦克设计!$B$23:$U$23,0)))*(VLOOKUP($B113,INDIRECT($B$5&amp;"生成成长"),3))*(VLOOKUP($B$5,标准坦克设计!$B$14:$K$20,9)/30))</f>
        <v>18.769237719015337</v>
      </c>
      <c r="FK113" s="173">
        <f ca="1">(VLOOKUP(FK$72,INDIRECT($C$5&amp;"生成成长"),2))/((VLOOKUP($B113,INDIRECT($B$5&amp;"生成成长"),4))/(VLOOKUP(FK$72,INDIRECT($C$5&amp;"生成成长"),5))*(VLOOKUP($B$5,标准坦克设计!$B$24:$U$30,MATCH("对"&amp;LEFT($C$5,2)&amp;"输出",标准坦克设计!$B$23:$U$23,0)))*(VLOOKUP($B113,INDIRECT($B$5&amp;"生成成长"),3))*(VLOOKUP($B$5,标准坦克设计!$B$14:$K$20,9)/30))</f>
        <v>19.82417057493155</v>
      </c>
    </row>
    <row r="114" spans="1:167" x14ac:dyDescent="0.15">
      <c r="A114" s="171" t="str">
        <f t="shared" si="11"/>
        <v>T5低品质10级</v>
      </c>
      <c r="B114" s="172">
        <v>10510</v>
      </c>
      <c r="C114" s="173">
        <f ca="1">(VLOOKUP(C$72,INDIRECT($C$5&amp;"生成成长"),2))/((VLOOKUP($B114,INDIRECT($B$5&amp;"生成成长"),4))/(VLOOKUP(C$72,INDIRECT($C$5&amp;"生成成长"),5))*(VLOOKUP($B$5,标准坦克设计!$B$24:$U$30,MATCH("对"&amp;LEFT($C$5,2)&amp;"输出",标准坦克设计!$B$23:$U$23,0)))*(VLOOKUP($B114,INDIRECT($B$5&amp;"生成成长"),3))*(VLOOKUP($B$5,标准坦克设计!$B$14:$K$20,9)/30))</f>
        <v>0.79782881317060217</v>
      </c>
      <c r="D114" s="173">
        <f ca="1">(VLOOKUP(D$72,INDIRECT($C$5&amp;"生成成长"),2))/((VLOOKUP($B114,INDIRECT($B$5&amp;"生成成长"),4))/(VLOOKUP(D$72,INDIRECT($C$5&amp;"生成成长"),5))*(VLOOKUP($B$5,标准坦克设计!$B$24:$U$30,MATCH("对"&amp;LEFT($C$5,2)&amp;"输出",标准坦克设计!$B$23:$U$23,0)))*(VLOOKUP($B114,INDIRECT($B$5&amp;"生成成长"),3))*(VLOOKUP($B$5,标准坦克设计!$B$14:$K$20,9)/30))</f>
        <v>0.89644045447848864</v>
      </c>
      <c r="E114" s="173">
        <f ca="1">(VLOOKUP(E$72,INDIRECT($C$5&amp;"生成成长"),2))/((VLOOKUP($B114,INDIRECT($B$5&amp;"生成成长"),4))/(VLOOKUP(E$72,INDIRECT($C$5&amp;"生成成长"),5))*(VLOOKUP($B$5,标准坦克设计!$B$24:$U$30,MATCH("对"&amp;LEFT($C$5,2)&amp;"输出",标准坦克设计!$B$23:$U$23,0)))*(VLOOKUP($B114,INDIRECT($B$5&amp;"生成成长"),3))*(VLOOKUP($B$5,标准坦克设计!$B$14:$K$20,9)/30))</f>
        <v>1.0007964632412034</v>
      </c>
      <c r="F114" s="173">
        <f ca="1">(VLOOKUP(F$72,INDIRECT($C$5&amp;"生成成长"),2))/((VLOOKUP($B114,INDIRECT($B$5&amp;"生成成长"),4))/(VLOOKUP(F$72,INDIRECT($C$5&amp;"生成成长"),5))*(VLOOKUP($B$5,标准坦克设计!$B$24:$U$30,MATCH("对"&amp;LEFT($C$5,2)&amp;"输出",标准坦克设计!$B$23:$U$23,0)))*(VLOOKUP($B114,INDIRECT($B$5&amp;"生成成长"),3))*(VLOOKUP($B$5,标准坦克设计!$B$14:$K$20,9)/30))</f>
        <v>1.1108968394587466</v>
      </c>
      <c r="G114" s="173">
        <f ca="1">(VLOOKUP(G$72,INDIRECT($C$5&amp;"生成成长"),2))/((VLOOKUP($B114,INDIRECT($B$5&amp;"生成成长"),4))/(VLOOKUP(G$72,INDIRECT($C$5&amp;"生成成长"),5))*(VLOOKUP($B$5,标准坦克设计!$B$24:$U$30,MATCH("对"&amp;LEFT($C$5,2)&amp;"输出",标准坦克设计!$B$23:$U$23,0)))*(VLOOKUP($B114,INDIRECT($B$5&amp;"生成成长"),3))*(VLOOKUP($B$5,标准坦克设计!$B$14:$K$20,9)/30))</f>
        <v>1.2267415831311179</v>
      </c>
      <c r="H114" s="173">
        <f ca="1">(VLOOKUP(H$72,INDIRECT($C$5&amp;"生成成长"),2))/((VLOOKUP($B114,INDIRECT($B$5&amp;"生成成长"),4))/(VLOOKUP(H$72,INDIRECT($C$5&amp;"生成成长"),5))*(VLOOKUP($B$5,标准坦克设计!$B$24:$U$30,MATCH("对"&amp;LEFT($C$5,2)&amp;"输出",标准坦克设计!$B$23:$U$23,0)))*(VLOOKUP($B114,INDIRECT($B$5&amp;"生成成长"),3))*(VLOOKUP($B$5,标准坦克设计!$B$14:$K$20,9)/30))</f>
        <v>1.0735584510023624</v>
      </c>
      <c r="I114" s="173">
        <f ca="1">(VLOOKUP(I$72,INDIRECT($C$5&amp;"生成成长"),2))/((VLOOKUP($B114,INDIRECT($B$5&amp;"生成成长"),4))/(VLOOKUP(I$72,INDIRECT($C$5&amp;"生成成长"),5))*(VLOOKUP($B$5,标准坦克设计!$B$24:$U$30,MATCH("对"&amp;LEFT($C$5,2)&amp;"输出",标准坦克设计!$B$23:$U$23,0)))*(VLOOKUP($B114,INDIRECT($B$5&amp;"生成成长"),3))*(VLOOKUP($B$5,标准坦克设计!$B$14:$K$20,9)/30))</f>
        <v>1.2267415831311179</v>
      </c>
      <c r="J114" s="173">
        <f ca="1">(VLOOKUP(J$72,INDIRECT($C$5&amp;"生成成长"),2))/((VLOOKUP($B114,INDIRECT($B$5&amp;"生成成长"),4))/(VLOOKUP(J$72,INDIRECT($C$5&amp;"生成成长"),5))*(VLOOKUP($B$5,标准坦克设计!$B$24:$U$30,MATCH("对"&amp;LEFT($C$5,2)&amp;"输出",标准坦克设计!$B$23:$U$23,0)))*(VLOOKUP($B114,INDIRECT($B$5&amp;"生成成长"),3))*(VLOOKUP($B$5,标准坦克设计!$B$14:$K$20,9)/30))</f>
        <v>1.3901369240684573</v>
      </c>
      <c r="K114" s="173">
        <f ca="1">(VLOOKUP(K$72,INDIRECT($C$5&amp;"生成成长"),2))/((VLOOKUP($B114,INDIRECT($B$5&amp;"生成成长"),4))/(VLOOKUP(K$72,INDIRECT($C$5&amp;"生成成长"),5))*(VLOOKUP($B$5,标准坦克设计!$B$24:$U$30,MATCH("对"&amp;LEFT($C$5,2)&amp;"输出",标准坦克设计!$B$23:$U$23,0)))*(VLOOKUP($B114,INDIRECT($B$5&amp;"生成成长"),3))*(VLOOKUP($B$5,标准坦克设计!$B$14:$K$20,9)/30))</f>
        <v>1.5637444738143804</v>
      </c>
      <c r="L114" s="173">
        <f ca="1">(VLOOKUP(L$72,INDIRECT($C$5&amp;"生成成长"),2))/((VLOOKUP($B114,INDIRECT($B$5&amp;"生成成长"),4))/(VLOOKUP(L$72,INDIRECT($C$5&amp;"生成成长"),5))*(VLOOKUP($B$5,标准坦克设计!$B$24:$U$30,MATCH("对"&amp;LEFT($C$5,2)&amp;"输出",标准坦克设计!$B$23:$U$23,0)))*(VLOOKUP($B114,INDIRECT($B$5&amp;"生成成长"),3))*(VLOOKUP($B$5,标准坦克设计!$B$14:$K$20,9)/30))</f>
        <v>1.7475642323688869</v>
      </c>
      <c r="M114" s="173">
        <f ca="1">(VLOOKUP(M$72,INDIRECT($C$5&amp;"生成成长"),2))/((VLOOKUP($B114,INDIRECT($B$5&amp;"生成成长"),4))/(VLOOKUP(M$72,INDIRECT($C$5&amp;"生成成长"),5))*(VLOOKUP($B$5,标准坦克设计!$B$24:$U$30,MATCH("对"&amp;LEFT($C$5,2)&amp;"输出",标准坦克设计!$B$23:$U$23,0)))*(VLOOKUP($B114,INDIRECT($B$5&amp;"生成成长"),3))*(VLOOKUP($B$5,标准坦克设计!$B$14:$K$20,9)/30))</f>
        <v>1.9415961997319775</v>
      </c>
      <c r="N114" s="173">
        <f ca="1">(VLOOKUP(N$72,INDIRECT($C$5&amp;"生成成长"),2))/((VLOOKUP($B114,INDIRECT($B$5&amp;"生成成长"),4))/(VLOOKUP(N$72,INDIRECT($C$5&amp;"生成成长"),5))*(VLOOKUP($B$5,标准坦克设计!$B$24:$U$30,MATCH("对"&amp;LEFT($C$5,2)&amp;"输出",标准坦克设计!$B$23:$U$23,0)))*(VLOOKUP($B114,INDIRECT($B$5&amp;"生成成长"),3))*(VLOOKUP($B$5,标准坦克设计!$B$14:$K$20,9)/30))</f>
        <v>2.145840375903652</v>
      </c>
      <c r="O114" s="173">
        <f ca="1">(VLOOKUP(O$72,INDIRECT($C$5&amp;"生成成长"),2))/((VLOOKUP($B114,INDIRECT($B$5&amp;"生成成长"),4))/(VLOOKUP(O$72,INDIRECT($C$5&amp;"生成成长"),5))*(VLOOKUP($B$5,标准坦克设计!$B$24:$U$30,MATCH("对"&amp;LEFT($C$5,2)&amp;"输出",标准坦克设计!$B$23:$U$23,0)))*(VLOOKUP($B114,INDIRECT($B$5&amp;"生成成长"),3))*(VLOOKUP($B$5,标准坦克设计!$B$14:$K$20,9)/30))</f>
        <v>1.6314801400525645</v>
      </c>
      <c r="P114" s="173">
        <f ca="1">(VLOOKUP(P$72,INDIRECT($C$5&amp;"生成成长"),2))/((VLOOKUP($B114,INDIRECT($B$5&amp;"生成成长"),4))/(VLOOKUP(P$72,INDIRECT($C$5&amp;"生成成长"),5))*(VLOOKUP($B$5,标准坦克设计!$B$24:$U$30,MATCH("对"&amp;LEFT($C$5,2)&amp;"输出",标准坦克设计!$B$23:$U$23,0)))*(VLOOKUP($B114,INDIRECT($B$5&amp;"生成成长"),3))*(VLOOKUP($B$5,标准坦克设计!$B$14:$K$20,9)/30))</f>
        <v>1.8433036899493596</v>
      </c>
      <c r="Q114" s="173">
        <f ca="1">(VLOOKUP(Q$72,INDIRECT($C$5&amp;"生成成长"),2))/((VLOOKUP($B114,INDIRECT($B$5&amp;"生成成长"),4))/(VLOOKUP(Q$72,INDIRECT($C$5&amp;"生成成长"),5))*(VLOOKUP($B$5,标准坦克设计!$B$24:$U$30,MATCH("对"&amp;LEFT($C$5,2)&amp;"输出",标准坦克设计!$B$23:$U$23,0)))*(VLOOKUP($B114,INDIRECT($B$5&amp;"生成成长"),3))*(VLOOKUP($B$5,标准坦克设计!$B$14:$K$20,9)/30))</f>
        <v>2.0680520666195181</v>
      </c>
      <c r="R114" s="173">
        <f ca="1">(VLOOKUP(R$72,INDIRECT($C$5&amp;"生成成长"),2))/((VLOOKUP($B114,INDIRECT($B$5&amp;"生成成长"),4))/(VLOOKUP(R$72,INDIRECT($C$5&amp;"生成成长"),5))*(VLOOKUP($B$5,标准坦克设计!$B$24:$U$30,MATCH("对"&amp;LEFT($C$5,2)&amp;"输出",标准坦克设计!$B$23:$U$23,0)))*(VLOOKUP($B114,INDIRECT($B$5&amp;"生成成长"),3))*(VLOOKUP($B$5,标准坦克设计!$B$14:$K$20,9)/30))</f>
        <v>2.3057252700630402</v>
      </c>
      <c r="S114" s="173">
        <f ca="1">(VLOOKUP(S$72,INDIRECT($C$5&amp;"生成成长"),2))/((VLOOKUP($B114,INDIRECT($B$5&amp;"生成成长"),4))/(VLOOKUP(S$72,INDIRECT($C$5&amp;"生成成长"),5))*(VLOOKUP($B$5,标准坦克设计!$B$24:$U$30,MATCH("对"&amp;LEFT($C$5,2)&amp;"输出",标准坦克设计!$B$23:$U$23,0)))*(VLOOKUP($B114,INDIRECT($B$5&amp;"生成成长"),3))*(VLOOKUP($B$5,标准坦克设计!$B$14:$K$20,9)/30))</f>
        <v>2.5563233002799266</v>
      </c>
      <c r="T114" s="173">
        <f ca="1">(VLOOKUP(T$72,INDIRECT($C$5&amp;"生成成长"),2))/((VLOOKUP($B114,INDIRECT($B$5&amp;"生成成长"),4))/(VLOOKUP(T$72,INDIRECT($C$5&amp;"生成成长"),5))*(VLOOKUP($B$5,标准坦克设计!$B$24:$U$30,MATCH("对"&amp;LEFT($C$5,2)&amp;"输出",标准坦克设计!$B$23:$U$23,0)))*(VLOOKUP($B114,INDIRECT($B$5&amp;"生成成长"),3))*(VLOOKUP($B$5,标准坦克设计!$B$14:$K$20,9)/30))</f>
        <v>2.8198461572701765</v>
      </c>
      <c r="U114" s="173">
        <f ca="1">(VLOOKUP(U$72,INDIRECT($C$5&amp;"生成成长"),2))/((VLOOKUP($B114,INDIRECT($B$5&amp;"生成成长"),4))/(VLOOKUP(U$72,INDIRECT($C$5&amp;"生成成长"),5))*(VLOOKUP($B$5,标准坦克设计!$B$24:$U$30,MATCH("对"&amp;LEFT($C$5,2)&amp;"输出",标准坦克设计!$B$23:$U$23,0)))*(VLOOKUP($B114,INDIRECT($B$5&amp;"生成成长"),3))*(VLOOKUP($B$5,标准坦克设计!$B$14:$K$20,9)/30))</f>
        <v>3.0962938410337899</v>
      </c>
      <c r="V114" s="173">
        <f ca="1">(VLOOKUP(V$72,INDIRECT($C$5&amp;"生成成长"),2))/((VLOOKUP($B114,INDIRECT($B$5&amp;"生成成长"),4))/(VLOOKUP(V$72,INDIRECT($C$5&amp;"生成成长"),5))*(VLOOKUP($B$5,标准坦克设计!$B$24:$U$30,MATCH("对"&amp;LEFT($C$5,2)&amp;"输出",标准坦克设计!$B$23:$U$23,0)))*(VLOOKUP($B114,INDIRECT($B$5&amp;"生成成长"),3))*(VLOOKUP($B$5,标准坦克设计!$B$14:$K$20,9)/30))</f>
        <v>3.3856663515707677</v>
      </c>
      <c r="W114" s="173">
        <f ca="1">(VLOOKUP(W$72,INDIRECT($C$5&amp;"生成成长"),2))/((VLOOKUP($B114,INDIRECT($B$5&amp;"生成成长"),4))/(VLOOKUP(W$72,INDIRECT($C$5&amp;"生成成长"),5))*(VLOOKUP($B$5,标准坦克设计!$B$24:$U$30,MATCH("对"&amp;LEFT($C$5,2)&amp;"输出",标准坦克设计!$B$23:$U$23,0)))*(VLOOKUP($B114,INDIRECT($B$5&amp;"生成成长"),3))*(VLOOKUP($B$5,标准坦克设计!$B$14:$K$20,9)/30))</f>
        <v>3.6879636888811089</v>
      </c>
      <c r="X114" s="173">
        <f ca="1">(VLOOKUP(X$72,INDIRECT($C$5&amp;"生成成长"),2))/((VLOOKUP($B114,INDIRECT($B$5&amp;"生成成长"),4))/(VLOOKUP(X$72,INDIRECT($C$5&amp;"生成成长"),5))*(VLOOKUP($B$5,标准坦克设计!$B$24:$U$30,MATCH("对"&amp;LEFT($C$5,2)&amp;"输出",标准坦克设计!$B$23:$U$23,0)))*(VLOOKUP($B114,INDIRECT($B$5&amp;"生成成长"),3))*(VLOOKUP($B$5,标准坦克设计!$B$14:$K$20,9)/30))</f>
        <v>2.6718489124270297</v>
      </c>
      <c r="Y114" s="173">
        <f ca="1">(VLOOKUP(Y$72,INDIRECT($C$5&amp;"生成成长"),2))/((VLOOKUP($B114,INDIRECT($B$5&amp;"生成成长"),4))/(VLOOKUP(Y$72,INDIRECT($C$5&amp;"生成成长"),5))*(VLOOKUP($B$5,标准坦克设计!$B$24:$U$30,MATCH("对"&amp;LEFT($C$5,2)&amp;"输出",标准坦克设计!$B$23:$U$23,0)))*(VLOOKUP($B114,INDIRECT($B$5&amp;"生成成长"),3))*(VLOOKUP($B$5,标准坦克设计!$B$14:$K$20,9)/30))</f>
        <v>2.9718325461791761</v>
      </c>
      <c r="Z114" s="173">
        <f ca="1">(VLOOKUP(Z$72,INDIRECT($C$5&amp;"生成成长"),2))/((VLOOKUP($B114,INDIRECT($B$5&amp;"生成成长"),4))/(VLOOKUP(Z$72,INDIRECT($C$5&amp;"生成成长"),5))*(VLOOKUP($B$5,标准坦克设计!$B$24:$U$30,MATCH("对"&amp;LEFT($C$5,2)&amp;"输出",标准坦克设计!$B$23:$U$23,0)))*(VLOOKUP($B114,INDIRECT($B$5&amp;"生成成长"),3))*(VLOOKUP($B$5,标准坦克设计!$B$14:$K$20,9)/30))</f>
        <v>3.2877727561947343</v>
      </c>
      <c r="AA114" s="173">
        <f ca="1">(VLOOKUP(AA$72,INDIRECT($C$5&amp;"生成成长"),2))/((VLOOKUP($B114,INDIRECT($B$5&amp;"生成成长"),4))/(VLOOKUP(AA$72,INDIRECT($C$5&amp;"生成成长"),5))*(VLOOKUP($B$5,标准坦克设计!$B$24:$U$30,MATCH("对"&amp;LEFT($C$5,2)&amp;"输出",标准坦克设计!$B$23:$U$23,0)))*(VLOOKUP($B114,INDIRECT($B$5&amp;"生成成长"),3))*(VLOOKUP($B$5,标准坦克设计!$B$14:$K$20,9)/30))</f>
        <v>3.6196695424737042</v>
      </c>
      <c r="AB114" s="173">
        <f ca="1">(VLOOKUP(AB$72,INDIRECT($C$5&amp;"生成成长"),2))/((VLOOKUP($B114,INDIRECT($B$5&amp;"生成成长"),4))/(VLOOKUP(AB$72,INDIRECT($C$5&amp;"生成成长"),5))*(VLOOKUP($B$5,标准坦克设计!$B$24:$U$30,MATCH("对"&amp;LEFT($C$5,2)&amp;"输出",标准坦克设计!$B$23:$U$23,0)))*(VLOOKUP($B114,INDIRECT($B$5&amp;"生成成长"),3))*(VLOOKUP($B$5,标准坦克设计!$B$14:$K$20,9)/30))</f>
        <v>3.9675229050160881</v>
      </c>
      <c r="AC114" s="173">
        <f ca="1">(VLOOKUP(AC$72,INDIRECT($C$5&amp;"生成成长"),2))/((VLOOKUP($B114,INDIRECT($B$5&amp;"生成成长"),4))/(VLOOKUP(AC$72,INDIRECT($C$5&amp;"生成成长"),5))*(VLOOKUP($B$5,标准坦克设计!$B$24:$U$30,MATCH("对"&amp;LEFT($C$5,2)&amp;"输出",标准坦克设计!$B$23:$U$23,0)))*(VLOOKUP($B114,INDIRECT($B$5&amp;"生成成长"),3))*(VLOOKUP($B$5,标准坦克设计!$B$14:$K$20,9)/30))</f>
        <v>4.3313328438218823</v>
      </c>
      <c r="AD114" s="173">
        <f ca="1">(VLOOKUP(AD$72,INDIRECT($C$5&amp;"生成成长"),2))/((VLOOKUP($B114,INDIRECT($B$5&amp;"生成成长"),4))/(VLOOKUP(AD$72,INDIRECT($C$5&amp;"生成成长"),5))*(VLOOKUP($B$5,标准坦克设计!$B$24:$U$30,MATCH("对"&amp;LEFT($C$5,2)&amp;"输出",标准坦克设计!$B$23:$U$23,0)))*(VLOOKUP($B114,INDIRECT($B$5&amp;"生成成长"),3))*(VLOOKUP($B$5,标准坦克设计!$B$14:$K$20,9)/30))</f>
        <v>4.7110993588910892</v>
      </c>
      <c r="AE114" s="173">
        <f ca="1">(VLOOKUP(AE$72,INDIRECT($C$5&amp;"生成成长"),2))/((VLOOKUP($B114,INDIRECT($B$5&amp;"生成成长"),4))/(VLOOKUP(AE$72,INDIRECT($C$5&amp;"生成成长"),5))*(VLOOKUP($B$5,标准坦克设计!$B$24:$U$30,MATCH("对"&amp;LEFT($C$5,2)&amp;"输出",标准坦克设计!$B$23:$U$23,0)))*(VLOOKUP($B114,INDIRECT($B$5&amp;"生成成长"),3))*(VLOOKUP($B$5,标准坦克设计!$B$14:$K$20,9)/30))</f>
        <v>5.1068224502237083</v>
      </c>
      <c r="AF114" s="173">
        <f ca="1">(VLOOKUP(AF$72,INDIRECT($C$5&amp;"生成成长"),2))/((VLOOKUP($B114,INDIRECT($B$5&amp;"生成成长"),4))/(VLOOKUP(AF$72,INDIRECT($C$5&amp;"生成成长"),5))*(VLOOKUP($B$5,标准坦克设计!$B$24:$U$30,MATCH("对"&amp;LEFT($C$5,2)&amp;"输出",标准坦克设计!$B$23:$U$23,0)))*(VLOOKUP($B114,INDIRECT($B$5&amp;"生成成长"),3))*(VLOOKUP($B$5,标准坦克设计!$B$14:$K$20,9)/30))</f>
        <v>5.5185021178197387</v>
      </c>
      <c r="AG114" s="173">
        <f ca="1">(VLOOKUP(AG$72,INDIRECT($C$5&amp;"生成成长"),2))/((VLOOKUP($B114,INDIRECT($B$5&amp;"生成成长"),4))/(VLOOKUP(AG$72,INDIRECT($C$5&amp;"生成成长"),5))*(VLOOKUP($B$5,标准坦克设计!$B$24:$U$30,MATCH("对"&amp;LEFT($C$5,2)&amp;"输出",标准坦克设计!$B$23:$U$23,0)))*(VLOOKUP($B114,INDIRECT($B$5&amp;"生成成长"),3))*(VLOOKUP($B$5,标准坦克设计!$B$14:$K$20,9)/30))</f>
        <v>5.9461383616791803</v>
      </c>
      <c r="AH114" s="173">
        <f ca="1">(VLOOKUP(AH$72,INDIRECT($C$5&amp;"生成成长"),2))/((VLOOKUP($B114,INDIRECT($B$5&amp;"生成成长"),4))/(VLOOKUP(AH$72,INDIRECT($C$5&amp;"生成成长"),5))*(VLOOKUP($B$5,标准坦克设计!$B$24:$U$30,MATCH("对"&amp;LEFT($C$5,2)&amp;"输出",标准坦克设计!$B$23:$U$23,0)))*(VLOOKUP($B114,INDIRECT($B$5&amp;"生成成长"),3))*(VLOOKUP($B$5,标准坦克设计!$B$14:$K$20,9)/30))</f>
        <v>6.3897311818020368</v>
      </c>
      <c r="AI114" s="173">
        <f ca="1">(VLOOKUP(AI$72,INDIRECT($C$5&amp;"生成成长"),2))/((VLOOKUP($B114,INDIRECT($B$5&amp;"生成成长"),4))/(VLOOKUP(AI$72,INDIRECT($C$5&amp;"生成成长"),5))*(VLOOKUP($B$5,标准坦克设计!$B$24:$U$30,MATCH("对"&amp;LEFT($C$5,2)&amp;"输出",标准坦克设计!$B$23:$U$23,0)))*(VLOOKUP($B114,INDIRECT($B$5&amp;"生成成长"),3))*(VLOOKUP($B$5,标准坦克设计!$B$14:$K$20,9)/30))</f>
        <v>4.5192215293235591</v>
      </c>
      <c r="AJ114" s="173">
        <f ca="1">(VLOOKUP(AJ$72,INDIRECT($C$5&amp;"生成成长"),2))/((VLOOKUP($B114,INDIRECT($B$5&amp;"生成成长"),4))/(VLOOKUP(AJ$72,INDIRECT($C$5&amp;"生成成长"),5))*(VLOOKUP($B$5,标准坦克设计!$B$24:$U$30,MATCH("对"&amp;LEFT($C$5,2)&amp;"输出",标准坦克设计!$B$23:$U$23,0)))*(VLOOKUP($B114,INDIRECT($B$5&amp;"生成成长"),3))*(VLOOKUP($B$5,标准坦克设计!$B$14:$K$20,9)/30))</f>
        <v>4.9466184245390501</v>
      </c>
      <c r="AK114" s="173">
        <f ca="1">(VLOOKUP(AK$72,INDIRECT($C$5&amp;"生成成长"),2))/((VLOOKUP($B114,INDIRECT($B$5&amp;"生成成长"),4))/(VLOOKUP(AK$72,INDIRECT($C$5&amp;"生成成长"),5))*(VLOOKUP($B$5,标准坦克设计!$B$24:$U$30,MATCH("对"&amp;LEFT($C$5,2)&amp;"输出",标准坦克设计!$B$23:$U$23,0)))*(VLOOKUP($B114,INDIRECT($B$5&amp;"生成成长"),3))*(VLOOKUP($B$5,标准坦克设计!$B$14:$K$20,9)/30))</f>
        <v>5.393322777033271</v>
      </c>
      <c r="AL114" s="173">
        <f ca="1">(VLOOKUP(AL$72,INDIRECT($C$5&amp;"生成成长"),2))/((VLOOKUP($B114,INDIRECT($B$5&amp;"生成成长"),4))/(VLOOKUP(AL$72,INDIRECT($C$5&amp;"生成成长"),5))*(VLOOKUP($B$5,标准坦克设计!$B$24:$U$30,MATCH("对"&amp;LEFT($C$5,2)&amp;"输出",标准坦克设计!$B$23:$U$23,0)))*(VLOOKUP($B114,INDIRECT($B$5&amp;"生成成长"),3))*(VLOOKUP($B$5,标准坦克设计!$B$14:$K$20,9)/30))</f>
        <v>5.8593345868062201</v>
      </c>
      <c r="AM114" s="173">
        <f ca="1">(VLOOKUP(AM$72,INDIRECT($C$5&amp;"生成成长"),2))/((VLOOKUP($B114,INDIRECT($B$5&amp;"生成成长"),4))/(VLOOKUP(AM$72,INDIRECT($C$5&amp;"生成成长"),5))*(VLOOKUP($B$5,标准坦克设计!$B$24:$U$30,MATCH("对"&amp;LEFT($C$5,2)&amp;"输出",标准坦克设计!$B$23:$U$23,0)))*(VLOOKUP($B114,INDIRECT($B$5&amp;"生成成长"),3))*(VLOOKUP($B$5,标准坦克设计!$B$14:$K$20,9)/30))</f>
        <v>6.3446538538578974</v>
      </c>
      <c r="AN114" s="173">
        <f ca="1">(VLOOKUP(AN$72,INDIRECT($C$5&amp;"生成成长"),2))/((VLOOKUP($B114,INDIRECT($B$5&amp;"生成成长"),4))/(VLOOKUP(AN$72,INDIRECT($C$5&amp;"生成成长"),5))*(VLOOKUP($B$5,标准坦克设计!$B$24:$U$30,MATCH("对"&amp;LEFT($C$5,2)&amp;"输出",标准坦克设计!$B$23:$U$23,0)))*(VLOOKUP($B114,INDIRECT($B$5&amp;"生成成长"),3))*(VLOOKUP($B$5,标准坦克设计!$B$14:$K$20,9)/30))</f>
        <v>6.8492805781883019</v>
      </c>
      <c r="AO114" s="173">
        <f ca="1">(VLOOKUP(AO$72,INDIRECT($C$5&amp;"生成成长"),2))/((VLOOKUP($B114,INDIRECT($B$5&amp;"生成成长"),4))/(VLOOKUP(AO$72,INDIRECT($C$5&amp;"生成成长"),5))*(VLOOKUP($B$5,标准坦克设计!$B$24:$U$30,MATCH("对"&amp;LEFT($C$5,2)&amp;"输出",标准坦克设计!$B$23:$U$23,0)))*(VLOOKUP($B114,INDIRECT($B$5&amp;"生成成长"),3))*(VLOOKUP($B$5,标准坦克设计!$B$14:$K$20,9)/30))</f>
        <v>7.3732147597974382</v>
      </c>
      <c r="AP114" s="173">
        <f ca="1">(VLOOKUP(AP$72,INDIRECT($C$5&amp;"生成成长"),2))/((VLOOKUP($B114,INDIRECT($B$5&amp;"生成成长"),4))/(VLOOKUP(AP$72,INDIRECT($C$5&amp;"生成成长"),5))*(VLOOKUP($B$5,标准坦克设计!$B$24:$U$30,MATCH("对"&amp;LEFT($C$5,2)&amp;"输出",标准坦克设计!$B$23:$U$23,0)))*(VLOOKUP($B114,INDIRECT($B$5&amp;"生成成长"),3))*(VLOOKUP($B$5,标准坦克设计!$B$14:$K$20,9)/30))</f>
        <v>7.9164563986853009</v>
      </c>
      <c r="AQ114" s="173">
        <f ca="1">(VLOOKUP(AQ$72,INDIRECT($C$5&amp;"生成成长"),2))/((VLOOKUP($B114,INDIRECT($B$5&amp;"生成成长"),4))/(VLOOKUP(AQ$72,INDIRECT($C$5&amp;"生成成长"),5))*(VLOOKUP($B$5,标准坦克设计!$B$24:$U$30,MATCH("对"&amp;LEFT($C$5,2)&amp;"输出",标准坦克设计!$B$23:$U$23,0)))*(VLOOKUP($B114,INDIRECT($B$5&amp;"生成成长"),3))*(VLOOKUP($B$5,标准坦克设计!$B$14:$K$20,9)/30))</f>
        <v>8.4790054948518918</v>
      </c>
      <c r="AR114" s="173">
        <f ca="1">(VLOOKUP(AR$72,INDIRECT($C$5&amp;"生成成长"),2))/((VLOOKUP($B114,INDIRECT($B$5&amp;"生成成长"),4))/(VLOOKUP(AR$72,INDIRECT($C$5&amp;"生成成长"),5))*(VLOOKUP($B$5,标准坦克设计!$B$24:$U$30,MATCH("对"&amp;LEFT($C$5,2)&amp;"输出",标准坦克设计!$B$23:$U$23,0)))*(VLOOKUP($B114,INDIRECT($B$5&amp;"生成成长"),3))*(VLOOKUP($B$5,标准坦克设计!$B$14:$K$20,9)/30))</f>
        <v>9.0608620482972118</v>
      </c>
      <c r="AS114" s="173">
        <f ca="1">(VLOOKUP(AS$72,INDIRECT($C$5&amp;"生成成长"),2))/((VLOOKUP($B114,INDIRECT($B$5&amp;"生成成长"),4))/(VLOOKUP(AS$72,INDIRECT($C$5&amp;"生成成长"),5))*(VLOOKUP($B$5,标准坦克设计!$B$24:$U$30,MATCH("对"&amp;LEFT($C$5,2)&amp;"输出",标准坦克设计!$B$23:$U$23,0)))*(VLOOKUP($B114,INDIRECT($B$5&amp;"生成成长"),3))*(VLOOKUP($B$5,标准坦克设计!$B$14:$K$20,9)/30))</f>
        <v>9.6620260590212617</v>
      </c>
      <c r="AT114" s="173">
        <f ca="1">(VLOOKUP(AT$72,INDIRECT($C$5&amp;"生成成长"),2))/((VLOOKUP($B114,INDIRECT($B$5&amp;"生成成长"),4))/(VLOOKUP(AT$72,INDIRECT($C$5&amp;"生成成长"),5))*(VLOOKUP($B$5,标准坦克设计!$B$24:$U$30,MATCH("对"&amp;LEFT($C$5,2)&amp;"输出",标准坦克设计!$B$23:$U$23,0)))*(VLOOKUP($B114,INDIRECT($B$5&amp;"生成成长"),3))*(VLOOKUP($B$5,标准坦克设计!$B$14:$K$20,9)/30))</f>
        <v>10.28249752702404</v>
      </c>
      <c r="AU114" s="173">
        <f ca="1">(VLOOKUP(AU$72,INDIRECT($C$5&amp;"生成成长"),2))/((VLOOKUP($B114,INDIRECT($B$5&amp;"生成成长"),4))/(VLOOKUP(AU$72,INDIRECT($C$5&amp;"生成成长"),5))*(VLOOKUP($B$5,标准坦克设计!$B$24:$U$30,MATCH("对"&amp;LEFT($C$5,2)&amp;"输出",标准坦克设计!$B$23:$U$23,0)))*(VLOOKUP($B114,INDIRECT($B$5&amp;"生成成长"),3))*(VLOOKUP($B$5,标准坦克设计!$B$14:$K$20,9)/30))</f>
        <v>10.922276452305542</v>
      </c>
      <c r="AV114" s="173">
        <f ca="1">(VLOOKUP(AV$72,INDIRECT($C$5&amp;"生成成长"),2))/((VLOOKUP($B114,INDIRECT($B$5&amp;"生成成长"),4))/(VLOOKUP(AV$72,INDIRECT($C$5&amp;"生成成长"),5))*(VLOOKUP($B$5,标准坦克设计!$B$24:$U$30,MATCH("对"&amp;LEFT($C$5,2)&amp;"输出",标准坦克设计!$B$23:$U$23,0)))*(VLOOKUP($B114,INDIRECT($B$5&amp;"生成成长"),3))*(VLOOKUP($B$5,标准坦克设计!$B$14:$K$20,9)/30))</f>
        <v>1.1108968394587466</v>
      </c>
      <c r="AW114" s="173">
        <f ca="1">(VLOOKUP(AW$72,INDIRECT($C$5&amp;"生成成长"),2))/((VLOOKUP($B114,INDIRECT($B$5&amp;"生成成长"),4))/(VLOOKUP(AW$72,INDIRECT($C$5&amp;"生成成长"),5))*(VLOOKUP($B$5,标准坦克设计!$B$24:$U$30,MATCH("对"&amp;LEFT($C$5,2)&amp;"输出",标准坦克设计!$B$23:$U$23,0)))*(VLOOKUP($B114,INDIRECT($B$5&amp;"生成成长"),3))*(VLOOKUP($B$5,标准坦克设计!$B$14:$K$20,9)/30))</f>
        <v>1.2666330237896481</v>
      </c>
      <c r="AX114" s="173">
        <f ca="1">(VLOOKUP(AX$72,INDIRECT($C$5&amp;"生成成长"),2))/((VLOOKUP($B114,INDIRECT($B$5&amp;"生成成长"),4))/(VLOOKUP(AX$72,INDIRECT($C$5&amp;"生成成长"),5))*(VLOOKUP($B$5,标准坦克设计!$B$24:$U$30,MATCH("对"&amp;LEFT($C$5,2)&amp;"输出",标准坦克设计!$B$23:$U$23,0)))*(VLOOKUP($B114,INDIRECT($B$5&amp;"生成成长"),3))*(VLOOKUP($B$5,标准坦克设计!$B$14:$K$20,9)/30))</f>
        <v>1.4325814169291333</v>
      </c>
      <c r="AY114" s="173">
        <f ca="1">(VLOOKUP(AY$72,INDIRECT($C$5&amp;"生成成长"),2))/((VLOOKUP($B114,INDIRECT($B$5&amp;"生成成长"),4))/(VLOOKUP(AY$72,INDIRECT($C$5&amp;"生成成长"),5))*(VLOOKUP($B$5,标准坦克设计!$B$24:$U$30,MATCH("对"&amp;LEFT($C$5,2)&amp;"输出",标准坦克设计!$B$23:$U$23,0)))*(VLOOKUP($B114,INDIRECT($B$5&amp;"生成成长"),3))*(VLOOKUP($B$5,标准坦克设计!$B$14:$K$20,9)/30))</f>
        <v>1.6087420188772024</v>
      </c>
      <c r="AZ114" s="173">
        <f ca="1">(VLOOKUP(AZ$72,INDIRECT($C$5&amp;"生成成长"),2))/((VLOOKUP($B114,INDIRECT($B$5&amp;"生成成长"),4))/(VLOOKUP(AZ$72,INDIRECT($C$5&amp;"生成成长"),5))*(VLOOKUP($B$5,标准坦克设计!$B$24:$U$30,MATCH("对"&amp;LEFT($C$5,2)&amp;"输出",标准坦克设计!$B$23:$U$23,0)))*(VLOOKUP($B114,INDIRECT($B$5&amp;"生成成长"),3))*(VLOOKUP($B$5,标准坦克设计!$B$14:$K$20,9)/30))</f>
        <v>1.7951148296338548</v>
      </c>
      <c r="BA114" s="173">
        <f ca="1">(VLOOKUP(BA$72,INDIRECT($C$5&amp;"生成成长"),2))/((VLOOKUP($B114,INDIRECT($B$5&amp;"生成成长"),4))/(VLOOKUP(BA$72,INDIRECT($C$5&amp;"生成成长"),5))*(VLOOKUP($B$5,标准坦克设计!$B$24:$U$30,MATCH("对"&amp;LEFT($C$5,2)&amp;"输出",标准坦克设计!$B$23:$U$23,0)))*(VLOOKUP($B114,INDIRECT($B$5&amp;"生成成长"),3))*(VLOOKUP($B$5,标准坦克设计!$B$14:$K$20,9)/30))</f>
        <v>1.9916998491990916</v>
      </c>
      <c r="BB114" s="173">
        <f ca="1">(VLOOKUP(BB$72,INDIRECT($C$5&amp;"生成成长"),2))/((VLOOKUP($B114,INDIRECT($B$5&amp;"生成成长"),4))/(VLOOKUP(BB$72,INDIRECT($C$5&amp;"生成成长"),5))*(VLOOKUP($B$5,标准坦克设计!$B$24:$U$30,MATCH("对"&amp;LEFT($C$5,2)&amp;"输出",标准坦克设计!$B$23:$U$23,0)))*(VLOOKUP($B114,INDIRECT($B$5&amp;"生成成长"),3))*(VLOOKUP($B$5,标准坦克设计!$B$14:$K$20,9)/30))</f>
        <v>2.1984970775729114</v>
      </c>
      <c r="BC114" s="173">
        <f ca="1">(VLOOKUP(BC$72,INDIRECT($C$5&amp;"生成成长"),2))/((VLOOKUP($B114,INDIRECT($B$5&amp;"生成成长"),4))/(VLOOKUP(BC$72,INDIRECT($C$5&amp;"生成成长"),5))*(VLOOKUP($B$5,标准坦克设计!$B$24:$U$30,MATCH("对"&amp;LEFT($C$5,2)&amp;"输出",标准坦克设计!$B$23:$U$23,0)))*(VLOOKUP($B114,INDIRECT($B$5&amp;"生成成长"),3))*(VLOOKUP($B$5,标准坦克设计!$B$14:$K$20,9)/30))</f>
        <v>2.4155065147553154</v>
      </c>
      <c r="BD114" s="173">
        <f ca="1">(VLOOKUP(BD$72,INDIRECT($C$5&amp;"生成成长"),2))/((VLOOKUP($B114,INDIRECT($B$5&amp;"生成成长"),4))/(VLOOKUP(BD$72,INDIRECT($C$5&amp;"生成成长"),5))*(VLOOKUP($B$5,标准坦克设计!$B$24:$U$30,MATCH("对"&amp;LEFT($C$5,2)&amp;"输出",标准坦克设计!$B$23:$U$23,0)))*(VLOOKUP($B114,INDIRECT($B$5&amp;"生成成长"),3))*(VLOOKUP($B$5,标准坦克设计!$B$14:$K$20,9)/30))</f>
        <v>2.6718489124270297</v>
      </c>
      <c r="BE114" s="173">
        <f ca="1">(VLOOKUP(BE$72,INDIRECT($C$5&amp;"生成成长"),2))/((VLOOKUP($B114,INDIRECT($B$5&amp;"生成成长"),4))/(VLOOKUP(BE$72,INDIRECT($C$5&amp;"生成成长"),5))*(VLOOKUP($B$5,标准坦克设计!$B$24:$U$30,MATCH("对"&amp;LEFT($C$5,2)&amp;"输出",标准坦克设计!$B$23:$U$23,0)))*(VLOOKUP($B114,INDIRECT($B$5&amp;"生成成长"),3))*(VLOOKUP($B$5,标准坦克设计!$B$14:$K$20,9)/30))</f>
        <v>2.9411161368721079</v>
      </c>
      <c r="BF114" s="173">
        <f ca="1">(VLOOKUP(BF$72,INDIRECT($C$5&amp;"生成成长"),2))/((VLOOKUP($B114,INDIRECT($B$5&amp;"生成成长"),4))/(VLOOKUP(BF$72,INDIRECT($C$5&amp;"生成成长"),5))*(VLOOKUP($B$5,标准坦克设计!$B$24:$U$30,MATCH("对"&amp;LEFT($C$5,2)&amp;"输出",标准坦克设计!$B$23:$U$23,0)))*(VLOOKUP($B114,INDIRECT($B$5&amp;"生成成长"),3))*(VLOOKUP($B$5,标准坦克设计!$B$14:$K$20,9)/30))</f>
        <v>3.2233081880905496</v>
      </c>
      <c r="BG114" s="173">
        <f ca="1">(VLOOKUP(BG$72,INDIRECT($C$5&amp;"生成成长"),2))/((VLOOKUP($B114,INDIRECT($B$5&amp;"生成成长"),4))/(VLOOKUP(BG$72,INDIRECT($C$5&amp;"生成成长"),5))*(VLOOKUP($B$5,标准坦克设计!$B$24:$U$30,MATCH("对"&amp;LEFT($C$5,2)&amp;"输出",标准坦克设计!$B$23:$U$23,0)))*(VLOOKUP($B114,INDIRECT($B$5&amp;"生成成长"),3))*(VLOOKUP($B$5,标准坦克设计!$B$14:$K$20,9)/30))</f>
        <v>3.5184250660823553</v>
      </c>
      <c r="BH114" s="173">
        <f ca="1">(VLOOKUP(BH$72,INDIRECT($C$5&amp;"生成成长"),2))/((VLOOKUP($B114,INDIRECT($B$5&amp;"生成成长"),4))/(VLOOKUP(BH$72,INDIRECT($C$5&amp;"生成成长"),5))*(VLOOKUP($B$5,标准坦克设计!$B$24:$U$30,MATCH("对"&amp;LEFT($C$5,2)&amp;"输出",标准坦克设计!$B$23:$U$23,0)))*(VLOOKUP($B114,INDIRECT($B$5&amp;"生成成长"),3))*(VLOOKUP($B$5,标准坦克设计!$B$14:$K$20,9)/30))</f>
        <v>1.7006518981544556</v>
      </c>
      <c r="BI114" s="173">
        <f ca="1">(VLOOKUP(BI$72,INDIRECT($C$5&amp;"生成成长"),2))/((VLOOKUP($B114,INDIRECT($B$5&amp;"生成成长"),4))/(VLOOKUP(BI$72,INDIRECT($C$5&amp;"生成成长"),5))*(VLOOKUP($B$5,标准坦克设计!$B$24:$U$30,MATCH("对"&amp;LEFT($C$5,2)&amp;"输出",标准坦克设计!$B$23:$U$23,0)))*(VLOOKUP($B114,INDIRECT($B$5&amp;"生成成长"),3))*(VLOOKUP($B$5,标准坦克设计!$B$14:$K$20,9)/30))</f>
        <v>1.9167837236423717</v>
      </c>
      <c r="BJ114" s="173">
        <f ca="1">(VLOOKUP(BJ$72,INDIRECT($C$5&amp;"生成成长"),2))/((VLOOKUP($B114,INDIRECT($B$5&amp;"生成成长"),4))/(VLOOKUP(BJ$72,INDIRECT($C$5&amp;"生成成长"),5))*(VLOOKUP($B$5,标准坦克设计!$B$24:$U$30,MATCH("对"&amp;LEFT($C$5,2)&amp;"输出",标准坦克设计!$B$23:$U$23,0)))*(VLOOKUP($B114,INDIRECT($B$5&amp;"生成成长"),3))*(VLOOKUP($B$5,标准坦克设计!$B$14:$K$20,9)/30))</f>
        <v>2.145840375903652</v>
      </c>
      <c r="BK114" s="173">
        <f ca="1">(VLOOKUP(BK$72,INDIRECT($C$5&amp;"生成成长"),2))/((VLOOKUP($B114,INDIRECT($B$5&amp;"生成成长"),4))/(VLOOKUP(BK$72,INDIRECT($C$5&amp;"生成成长"),5))*(VLOOKUP($B$5,标准坦克设计!$B$24:$U$30,MATCH("对"&amp;LEFT($C$5,2)&amp;"输出",标准坦克设计!$B$23:$U$23,0)))*(VLOOKUP($B114,INDIRECT($B$5&amp;"生成成长"),3))*(VLOOKUP($B$5,标准坦克设计!$B$14:$K$20,9)/30))</f>
        <v>2.3878218549382955</v>
      </c>
      <c r="BL114" s="173">
        <f ca="1">(VLOOKUP(BL$72,INDIRECT($C$5&amp;"生成成长"),2))/((VLOOKUP($B114,INDIRECT($B$5&amp;"生成成长"),4))/(VLOOKUP(BL$72,INDIRECT($C$5&amp;"生成成长"),5))*(VLOOKUP($B$5,标准坦克设计!$B$24:$U$30,MATCH("对"&amp;LEFT($C$5,2)&amp;"输出",标准坦克设计!$B$23:$U$23,0)))*(VLOOKUP($B114,INDIRECT($B$5&amp;"生成成长"),3))*(VLOOKUP($B$5,标准坦克设计!$B$14:$K$20,9)/30))</f>
        <v>2.6427281607463025</v>
      </c>
      <c r="BM114" s="173">
        <f ca="1">(VLOOKUP(BM$72,INDIRECT($C$5&amp;"生成成长"),2))/((VLOOKUP($B114,INDIRECT($B$5&amp;"生成成长"),4))/(VLOOKUP(BM$72,INDIRECT($C$5&amp;"生成成长"),5))*(VLOOKUP($B$5,标准坦克设计!$B$24:$U$30,MATCH("对"&amp;LEFT($C$5,2)&amp;"输出",标准坦克设计!$B$23:$U$23,0)))*(VLOOKUP($B114,INDIRECT($B$5&amp;"生成成长"),3))*(VLOOKUP($B$5,标准坦克设计!$B$14:$K$20,9)/30))</f>
        <v>2.9105592933276734</v>
      </c>
      <c r="BN114" s="173">
        <f ca="1">(VLOOKUP(BN$72,INDIRECT($C$5&amp;"生成成长"),2))/((VLOOKUP($B114,INDIRECT($B$5&amp;"生成成长"),4))/(VLOOKUP(BN$72,INDIRECT($C$5&amp;"生成成长"),5))*(VLOOKUP($B$5,标准坦克设计!$B$24:$U$30,MATCH("对"&amp;LEFT($C$5,2)&amp;"输出",标准坦克设计!$B$23:$U$23,0)))*(VLOOKUP($B114,INDIRECT($B$5&amp;"生成成长"),3))*(VLOOKUP($B$5,标准坦克设计!$B$14:$K$20,9)/30))</f>
        <v>3.1913152526824087</v>
      </c>
      <c r="BO114" s="173">
        <f ca="1">(VLOOKUP(BO$72,INDIRECT($C$5&amp;"生成成长"),2))/((VLOOKUP($B114,INDIRECT($B$5&amp;"生成成长"),4))/(VLOOKUP(BO$72,INDIRECT($C$5&amp;"生成成长"),5))*(VLOOKUP($B$5,标准坦克设计!$B$24:$U$30,MATCH("对"&amp;LEFT($C$5,2)&amp;"输出",标准坦克设计!$B$23:$U$23,0)))*(VLOOKUP($B114,INDIRECT($B$5&amp;"生成成长"),3))*(VLOOKUP($B$5,标准坦克设计!$B$14:$K$20,9)/30))</f>
        <v>3.484996038810507</v>
      </c>
      <c r="BP114" s="173">
        <f ca="1">(VLOOKUP(BP$72,INDIRECT($C$5&amp;"生成成长"),2))/((VLOOKUP($B114,INDIRECT($B$5&amp;"生成成长"),4))/(VLOOKUP(BP$72,INDIRECT($C$5&amp;"生成成长"),5))*(VLOOKUP($B$5,标准坦克设计!$B$24:$U$30,MATCH("对"&amp;LEFT($C$5,2)&amp;"输出",标准坦克设计!$B$23:$U$23,0)))*(VLOOKUP($B114,INDIRECT($B$5&amp;"生成成长"),3))*(VLOOKUP($B$5,标准坦克设计!$B$14:$K$20,9)/30))</f>
        <v>3.7916016517119706</v>
      </c>
      <c r="BQ114" s="173">
        <f ca="1">(VLOOKUP(BQ$72,INDIRECT($C$5&amp;"生成成长"),2))/((VLOOKUP($B114,INDIRECT($B$5&amp;"生成成长"),4))/(VLOOKUP(BQ$72,INDIRECT($C$5&amp;"生成成长"),5))*(VLOOKUP($B$5,标准坦克设计!$B$24:$U$30,MATCH("对"&amp;LEFT($C$5,2)&amp;"输出",标准坦克设计!$B$23:$U$23,0)))*(VLOOKUP($B114,INDIRECT($B$5&amp;"生成成长"),3))*(VLOOKUP($B$5,标准坦克设计!$B$14:$K$20,9)/30))</f>
        <v>4.1111320913867964</v>
      </c>
      <c r="BR114" s="173">
        <f ca="1">(VLOOKUP(BR$72,INDIRECT($C$5&amp;"生成成长"),2))/((VLOOKUP($B114,INDIRECT($B$5&amp;"生成成长"),4))/(VLOOKUP(BR$72,INDIRECT($C$5&amp;"生成成长"),5))*(VLOOKUP($B$5,标准坦克设计!$B$24:$U$30,MATCH("对"&amp;LEFT($C$5,2)&amp;"输出",标准坦克设计!$B$23:$U$23,0)))*(VLOOKUP($B114,INDIRECT($B$5&amp;"生成成长"),3))*(VLOOKUP($B$5,标准坦克设计!$B$14:$K$20,9)/30))</f>
        <v>4.4813246606979558</v>
      </c>
      <c r="BS114" s="173">
        <f ca="1">(VLOOKUP(BS$72,INDIRECT($C$5&amp;"生成成长"),2))/((VLOOKUP($B114,INDIRECT($B$5&amp;"生成成长"),4))/(VLOOKUP(BS$72,INDIRECT($C$5&amp;"生成成长"),5))*(VLOOKUP($B$5,标准坦克设计!$B$24:$U$30,MATCH("对"&amp;LEFT($C$5,2)&amp;"输出",标准坦克设计!$B$23:$U$23,0)))*(VLOOKUP($B114,INDIRECT($B$5&amp;"生成成长"),3))*(VLOOKUP($B$5,标准坦克设计!$B$14:$K$20,9)/30))</f>
        <v>4.8674738062725265</v>
      </c>
      <c r="BT114" s="173">
        <f ca="1">(VLOOKUP(BT$72,INDIRECT($C$5&amp;"生成成长"),2))/((VLOOKUP($B114,INDIRECT($B$5&amp;"生成成长"),4))/(VLOOKUP(BT$72,INDIRECT($C$5&amp;"生成成长"),5))*(VLOOKUP($B$5,标准坦克设计!$B$24:$U$30,MATCH("对"&amp;LEFT($C$5,2)&amp;"输出",标准坦克设计!$B$23:$U$23,0)))*(VLOOKUP($B114,INDIRECT($B$5&amp;"生成成长"),3))*(VLOOKUP($B$5,标准坦克设计!$B$14:$K$20,9)/30))</f>
        <v>5.2695795281105102</v>
      </c>
      <c r="BU114" s="173">
        <f ca="1">(VLOOKUP(BU$72,INDIRECT($C$5&amp;"生成成长"),2))/((VLOOKUP($B114,INDIRECT($B$5&amp;"生成成长"),4))/(VLOOKUP(BU$72,INDIRECT($C$5&amp;"生成成长"),5))*(VLOOKUP($B$5,标准坦克设计!$B$24:$U$30,MATCH("对"&amp;LEFT($C$5,2)&amp;"输出",标准坦克设计!$B$23:$U$23,0)))*(VLOOKUP($B114,INDIRECT($B$5&amp;"生成成长"),3))*(VLOOKUP($B$5,标准坦克设计!$B$14:$K$20,9)/30))</f>
        <v>5.6876418262119062</v>
      </c>
      <c r="BV114" s="173">
        <f ca="1">(VLOOKUP(BV$72,INDIRECT($C$5&amp;"生成成长"),2))/((VLOOKUP($B114,INDIRECT($B$5&amp;"生成成长"),4))/(VLOOKUP(BV$72,INDIRECT($C$5&amp;"生成成长"),5))*(VLOOKUP($B$5,标准坦克设计!$B$24:$U$30,MATCH("对"&amp;LEFT($C$5,2)&amp;"输出",标准坦克设计!$B$23:$U$23,0)))*(VLOOKUP($B114,INDIRECT($B$5&amp;"生成成长"),3))*(VLOOKUP($B$5,标准坦克设计!$B$14:$K$20,9)/30))</f>
        <v>6.1216607005767143</v>
      </c>
      <c r="BW114" s="173">
        <f ca="1">(VLOOKUP(BW$72,INDIRECT($C$5&amp;"生成成长"),2))/((VLOOKUP($B114,INDIRECT($B$5&amp;"生成成长"),4))/(VLOOKUP(BW$72,INDIRECT($C$5&amp;"生成成长"),5))*(VLOOKUP($B$5,标准坦克设计!$B$24:$U$30,MATCH("对"&amp;LEFT($C$5,2)&amp;"输出",标准坦克设计!$B$23:$U$23,0)))*(VLOOKUP($B114,INDIRECT($B$5&amp;"生成成长"),3))*(VLOOKUP($B$5,标准坦克设计!$B$14:$K$20,9)/30))</f>
        <v>2.7899275767762788</v>
      </c>
      <c r="BX114" s="173">
        <f ca="1">(VLOOKUP(BX$72,INDIRECT($C$5&amp;"生成成长"),2))/((VLOOKUP($B114,INDIRECT($B$5&amp;"生成成长"),4))/(VLOOKUP(BX$72,INDIRECT($C$5&amp;"生成成长"),5))*(VLOOKUP($B$5,标准坦克设计!$B$24:$U$30,MATCH("对"&amp;LEFT($C$5,2)&amp;"输出",标准坦克设计!$B$23:$U$23,0)))*(VLOOKUP($B114,INDIRECT($B$5&amp;"生成成长"),3))*(VLOOKUP($B$5,标准坦克设计!$B$14:$K$20,9)/30))</f>
        <v>3.0962938410337899</v>
      </c>
      <c r="BY114" s="173">
        <f ca="1">(VLOOKUP(BY$72,INDIRECT($C$5&amp;"生成成长"),2))/((VLOOKUP($B114,INDIRECT($B$5&amp;"生成成长"),4))/(VLOOKUP(BY$72,INDIRECT($C$5&amp;"生成成长"),5))*(VLOOKUP($B$5,标准坦克设计!$B$24:$U$30,MATCH("对"&amp;LEFT($C$5,2)&amp;"输出",标准坦克设计!$B$23:$U$23,0)))*(VLOOKUP($B114,INDIRECT($B$5&amp;"生成成长"),3))*(VLOOKUP($B$5,标准坦克设计!$B$14:$K$20,9)/30))</f>
        <v>3.4186166815547141</v>
      </c>
      <c r="BZ114" s="173">
        <f ca="1">(VLOOKUP(BZ$72,INDIRECT($C$5&amp;"生成成长"),2))/((VLOOKUP($B114,INDIRECT($B$5&amp;"生成成长"),4))/(VLOOKUP(BZ$72,INDIRECT($C$5&amp;"生成成长"),5))*(VLOOKUP($B$5,标准坦克设计!$B$24:$U$30,MATCH("对"&amp;LEFT($C$5,2)&amp;"输出",标准坦克设计!$B$23:$U$23,0)))*(VLOOKUP($B114,INDIRECT($B$5&amp;"生成成长"),3))*(VLOOKUP($B$5,标准坦克设计!$B$14:$K$20,9)/30))</f>
        <v>3.7568960983390487</v>
      </c>
      <c r="CA114" s="173">
        <f ca="1">(VLOOKUP(CA$72,INDIRECT($C$5&amp;"生成成长"),2))/((VLOOKUP($B114,INDIRECT($B$5&amp;"生成成长"),4))/(VLOOKUP(CA$72,INDIRECT($C$5&amp;"生成成长"),5))*(VLOOKUP($B$5,标准坦克设计!$B$24:$U$30,MATCH("对"&amp;LEFT($C$5,2)&amp;"输出",标准坦克设计!$B$23:$U$23,0)))*(VLOOKUP($B114,INDIRECT($B$5&amp;"生成成长"),3))*(VLOOKUP($B$5,标准坦克设计!$B$14:$K$20,9)/30))</f>
        <v>4.1111320913867964</v>
      </c>
      <c r="CB114" s="173">
        <f ca="1">(VLOOKUP(CB$72,INDIRECT($C$5&amp;"生成成长"),2))/((VLOOKUP($B114,INDIRECT($B$5&amp;"生成成长"),4))/(VLOOKUP(CB$72,INDIRECT($C$5&amp;"生成成长"),5))*(VLOOKUP($B$5,标准坦克设计!$B$24:$U$30,MATCH("对"&amp;LEFT($C$5,2)&amp;"输出",标准坦克设计!$B$23:$U$23,0)))*(VLOOKUP($B114,INDIRECT($B$5&amp;"生成成长"),3))*(VLOOKUP($B$5,标准坦克设计!$B$14:$K$20,9)/30))</f>
        <v>4.4813246606979558</v>
      </c>
      <c r="CC114" s="173">
        <f ca="1">(VLOOKUP(CC$72,INDIRECT($C$5&amp;"生成成长"),2))/((VLOOKUP($B114,INDIRECT($B$5&amp;"生成成长"),4))/(VLOOKUP(CC$72,INDIRECT($C$5&amp;"生成成长"),5))*(VLOOKUP($B$5,标准坦克设计!$B$24:$U$30,MATCH("对"&amp;LEFT($C$5,2)&amp;"输出",标准坦克设计!$B$23:$U$23,0)))*(VLOOKUP($B114,INDIRECT($B$5&amp;"生成成长"),3))*(VLOOKUP($B$5,标准坦克设计!$B$14:$K$20,9)/30))</f>
        <v>4.8674738062725265</v>
      </c>
      <c r="CD114" s="173">
        <f ca="1">(VLOOKUP(CD$72,INDIRECT($C$5&amp;"生成成长"),2))/((VLOOKUP($B114,INDIRECT($B$5&amp;"生成成长"),4))/(VLOOKUP(CD$72,INDIRECT($C$5&amp;"生成成长"),5))*(VLOOKUP($B$5,标准坦克设计!$B$24:$U$30,MATCH("对"&amp;LEFT($C$5,2)&amp;"输出",标准坦克设计!$B$23:$U$23,0)))*(VLOOKUP($B114,INDIRECT($B$5&amp;"生成成长"),3))*(VLOOKUP($B$5,标准坦克设计!$B$14:$K$20,9)/30))</f>
        <v>5.2695795281105102</v>
      </c>
      <c r="CE114" s="173">
        <f ca="1">(VLOOKUP(CE$72,INDIRECT($C$5&amp;"生成成长"),2))/((VLOOKUP($B114,INDIRECT($B$5&amp;"生成成长"),4))/(VLOOKUP(CE$72,INDIRECT($C$5&amp;"生成成长"),5))*(VLOOKUP($B$5,标准坦克设计!$B$24:$U$30,MATCH("对"&amp;LEFT($C$5,2)&amp;"输出",标准坦克设计!$B$23:$U$23,0)))*(VLOOKUP($B114,INDIRECT($B$5&amp;"生成成长"),3))*(VLOOKUP($B$5,标准坦克设计!$B$14:$K$20,9)/30))</f>
        <v>5.6876418262119062</v>
      </c>
      <c r="CF114" s="173">
        <f ca="1">(VLOOKUP(CF$72,INDIRECT($C$5&amp;"生成成长"),2))/((VLOOKUP($B114,INDIRECT($B$5&amp;"生成成长"),4))/(VLOOKUP(CF$72,INDIRECT($C$5&amp;"生成成长"),5))*(VLOOKUP($B$5,标准坦克设计!$B$24:$U$30,MATCH("对"&amp;LEFT($C$5,2)&amp;"输出",标准坦克设计!$B$23:$U$23,0)))*(VLOOKUP($B114,INDIRECT($B$5&amp;"生成成长"),3))*(VLOOKUP($B$5,标准坦克设计!$B$14:$K$20,9)/30))</f>
        <v>6.1216607005767143</v>
      </c>
      <c r="CG114" s="173">
        <f ca="1">(VLOOKUP(CG$72,INDIRECT($C$5&amp;"生成成长"),2))/((VLOOKUP($B114,INDIRECT($B$5&amp;"生成成长"),4))/(VLOOKUP(CG$72,INDIRECT($C$5&amp;"生成成长"),5))*(VLOOKUP($B$5,标准坦克设计!$B$24:$U$30,MATCH("对"&amp;LEFT($C$5,2)&amp;"输出",标准坦克设计!$B$23:$U$23,0)))*(VLOOKUP($B114,INDIRECT($B$5&amp;"生成成长"),3))*(VLOOKUP($B$5,标准坦克设计!$B$14:$K$20,9)/30))</f>
        <v>6.5716361512049337</v>
      </c>
      <c r="CH114" s="173">
        <f ca="1">(VLOOKUP(CH$72,INDIRECT($C$5&amp;"生成成长"),2))/((VLOOKUP($B114,INDIRECT($B$5&amp;"生成成长"),4))/(VLOOKUP(CH$72,INDIRECT($C$5&amp;"生成成长"),5))*(VLOOKUP($B$5,标准坦克设计!$B$24:$U$30,MATCH("对"&amp;LEFT($C$5,2)&amp;"输出",标准坦克设计!$B$23:$U$23,0)))*(VLOOKUP($B114,INDIRECT($B$5&amp;"生成成长"),3))*(VLOOKUP($B$5,标准坦克设计!$B$14:$K$20,9)/30))</f>
        <v>7.0375681780965644</v>
      </c>
      <c r="CI114" s="173">
        <f ca="1">(VLOOKUP(CI$72,INDIRECT($C$5&amp;"生成成长"),2))/((VLOOKUP($B114,INDIRECT($B$5&amp;"生成成长"),4))/(VLOOKUP(CI$72,INDIRECT($C$5&amp;"生成成长"),5))*(VLOOKUP($B$5,标准坦克设计!$B$24:$U$30,MATCH("对"&amp;LEFT($C$5,2)&amp;"输出",标准坦克设计!$B$23:$U$23,0)))*(VLOOKUP($B114,INDIRECT($B$5&amp;"生成成长"),3))*(VLOOKUP($B$5,标准坦克设计!$B$14:$K$20,9)/30))</f>
        <v>7.5685232532616009</v>
      </c>
      <c r="CJ114" s="173">
        <f ca="1">(VLOOKUP(CJ$72,INDIRECT($C$5&amp;"生成成长"),2))/((VLOOKUP($B114,INDIRECT($B$5&amp;"生成成长"),4))/(VLOOKUP(CJ$72,INDIRECT($C$5&amp;"生成成长"),5))*(VLOOKUP($B$5,标准坦克设计!$B$24:$U$30,MATCH("对"&amp;LEFT($C$5,2)&amp;"输出",标准坦克设计!$B$23:$U$23,0)))*(VLOOKUP($B114,INDIRECT($B$5&amp;"生成成长"),3))*(VLOOKUP($B$5,标准坦克设计!$B$14:$K$20,9)/30))</f>
        <v>8.1187857857053647</v>
      </c>
      <c r="CK114" s="173">
        <f ca="1">(VLOOKUP(CK$72,INDIRECT($C$5&amp;"生成成长"),2))/((VLOOKUP($B114,INDIRECT($B$5&amp;"生成成长"),4))/(VLOOKUP(CK$72,INDIRECT($C$5&amp;"生成成长"),5))*(VLOOKUP($B$5,标准坦克设计!$B$24:$U$30,MATCH("对"&amp;LEFT($C$5,2)&amp;"输出",标准坦克设计!$B$23:$U$23,0)))*(VLOOKUP($B114,INDIRECT($B$5&amp;"生成成长"),3))*(VLOOKUP($B$5,标准坦克设计!$B$14:$K$20,9)/30))</f>
        <v>8.6883557754278566</v>
      </c>
      <c r="CL114" s="173">
        <f ca="1">(VLOOKUP(CL$72,INDIRECT($C$5&amp;"生成成长"),2))/((VLOOKUP($B114,INDIRECT($B$5&amp;"生成成长"),4))/(VLOOKUP(CL$72,INDIRECT($C$5&amp;"生成成长"),5))*(VLOOKUP($B$5,标准坦克设计!$B$24:$U$30,MATCH("对"&amp;LEFT($C$5,2)&amp;"输出",标准坦克设计!$B$23:$U$23,0)))*(VLOOKUP($B114,INDIRECT($B$5&amp;"生成成长"),3))*(VLOOKUP($B$5,标准坦克设计!$B$14:$K$20,9)/30))</f>
        <v>9.2772332224290803</v>
      </c>
      <c r="CM114" s="173">
        <f ca="1">(VLOOKUP(CM$72,INDIRECT($C$5&amp;"生成成长"),2))/((VLOOKUP($B114,INDIRECT($B$5&amp;"生成成长"),4))/(VLOOKUP(CM$72,INDIRECT($C$5&amp;"生成成长"),5))*(VLOOKUP($B$5,标准坦克设计!$B$24:$U$30,MATCH("对"&amp;LEFT($C$5,2)&amp;"输出",标准坦克设计!$B$23:$U$23,0)))*(VLOOKUP($B114,INDIRECT($B$5&amp;"生成成长"),3))*(VLOOKUP($B$5,标准坦克设计!$B$14:$K$20,9)/30))</f>
        <v>9.8854181267090322</v>
      </c>
      <c r="CN114" s="173">
        <f ca="1">(VLOOKUP(CN$72,INDIRECT($C$5&amp;"生成成长"),2))/((VLOOKUP($B114,INDIRECT($B$5&amp;"生成成长"),4))/(VLOOKUP(CN$72,INDIRECT($C$5&amp;"生成成长"),5))*(VLOOKUP($B$5,标准坦克设计!$B$24:$U$30,MATCH("对"&amp;LEFT($C$5,2)&amp;"输出",标准坦克设计!$B$23:$U$23,0)))*(VLOOKUP($B114,INDIRECT($B$5&amp;"生成成长"),3))*(VLOOKUP($B$5,标准坦克设计!$B$14:$K$20,9)/30))</f>
        <v>10.512910488267709</v>
      </c>
      <c r="CO114" s="173">
        <f ca="1">(VLOOKUP(CO$72,INDIRECT($C$5&amp;"生成成长"),2))/((VLOOKUP($B114,INDIRECT($B$5&amp;"生成成长"),4))/(VLOOKUP(CO$72,INDIRECT($C$5&amp;"生成成长"),5))*(VLOOKUP($B$5,标准坦克设计!$B$24:$U$30,MATCH("对"&amp;LEFT($C$5,2)&amp;"输出",标准坦克设计!$B$23:$U$23,0)))*(VLOOKUP($B114,INDIRECT($B$5&amp;"生成成长"),3))*(VLOOKUP($B$5,标准坦克设计!$B$14:$K$20,9)/30))</f>
        <v>4.7110993588910892</v>
      </c>
      <c r="CP114" s="173">
        <f ca="1">(VLOOKUP(CP$72,INDIRECT($C$5&amp;"生成成长"),2))/((VLOOKUP($B114,INDIRECT($B$5&amp;"生成成长"),4))/(VLOOKUP(CP$72,INDIRECT($C$5&amp;"生成成长"),5))*(VLOOKUP($B$5,标准坦克设计!$B$24:$U$30,MATCH("对"&amp;LEFT($C$5,2)&amp;"输出",标准坦克设计!$B$23:$U$23,0)))*(VLOOKUP($B114,INDIRECT($B$5&amp;"生成成长"),3))*(VLOOKUP($B$5,标准坦克设计!$B$14:$K$20,9)/30))</f>
        <v>5.1472723710514572</v>
      </c>
      <c r="CQ114" s="173">
        <f ca="1">(VLOOKUP(CQ$72,INDIRECT($C$5&amp;"生成成长"),2))/((VLOOKUP($B114,INDIRECT($B$5&amp;"生成成长"),4))/(VLOOKUP(CQ$72,INDIRECT($C$5&amp;"生成成长"),5))*(VLOOKUP($B$5,标准坦克设计!$B$24:$U$30,MATCH("对"&amp;LEFT($C$5,2)&amp;"输出",标准坦克设计!$B$23:$U$23,0)))*(VLOOKUP($B114,INDIRECT($B$5&amp;"生成成长"),3))*(VLOOKUP($B$5,标准坦克设计!$B$14:$K$20,9)/30))</f>
        <v>5.6027528404905551</v>
      </c>
      <c r="CR114" s="173">
        <f ca="1">(VLOOKUP(CR$72,INDIRECT($C$5&amp;"生成成长"),2))/((VLOOKUP($B114,INDIRECT($B$5&amp;"生成成长"),4))/(VLOOKUP(CR$72,INDIRECT($C$5&amp;"生成成长"),5))*(VLOOKUP($B$5,标准坦克设计!$B$24:$U$30,MATCH("对"&amp;LEFT($C$5,2)&amp;"输出",标准坦克设计!$B$23:$U$23,0)))*(VLOOKUP($B114,INDIRECT($B$5&amp;"生成成长"),3))*(VLOOKUP($B$5,标准坦克设计!$B$14:$K$20,9)/30))</f>
        <v>6.0775407672083794</v>
      </c>
      <c r="CS114" s="173">
        <f ca="1">(VLOOKUP(CS$72,INDIRECT($C$5&amp;"生成成长"),2))/((VLOOKUP($B114,INDIRECT($B$5&amp;"生成成长"),4))/(VLOOKUP(CS$72,INDIRECT($C$5&amp;"生成成长"),5))*(VLOOKUP($B$5,标准坦克设计!$B$24:$U$30,MATCH("对"&amp;LEFT($C$5,2)&amp;"输出",标准坦克设计!$B$23:$U$23,0)))*(VLOOKUP($B114,INDIRECT($B$5&amp;"生成成长"),3))*(VLOOKUP($B$5,标准坦克设计!$B$14:$K$20,9)/30))</f>
        <v>6.5716361512049337</v>
      </c>
      <c r="CT114" s="173">
        <f ca="1">(VLOOKUP(CT$72,INDIRECT($C$5&amp;"生成成长"),2))/((VLOOKUP($B114,INDIRECT($B$5&amp;"生成成长"),4))/(VLOOKUP(CT$72,INDIRECT($C$5&amp;"生成成长"),5))*(VLOOKUP($B$5,标准坦克设计!$B$24:$U$30,MATCH("对"&amp;LEFT($C$5,2)&amp;"输出",标准坦克设计!$B$23:$U$23,0)))*(VLOOKUP($B114,INDIRECT($B$5&amp;"生成成长"),3))*(VLOOKUP($B$5,标准坦克设计!$B$14:$K$20,9)/30))</f>
        <v>7.0850389924802162</v>
      </c>
      <c r="CU114" s="173">
        <f ca="1">(VLOOKUP(CU$72,INDIRECT($C$5&amp;"生成成长"),2))/((VLOOKUP($B114,INDIRECT($B$5&amp;"生成成长"),4))/(VLOOKUP(CU$72,INDIRECT($C$5&amp;"生成成长"),5))*(VLOOKUP($B$5,标准坦克设计!$B$24:$U$30,MATCH("对"&amp;LEFT($C$5,2)&amp;"输出",标准坦克设计!$B$23:$U$23,0)))*(VLOOKUP($B114,INDIRECT($B$5&amp;"生成成长"),3))*(VLOOKUP($B$5,标准坦克设计!$B$14:$K$20,9)/30))</f>
        <v>7.6177492910342277</v>
      </c>
      <c r="CV114" s="173">
        <f ca="1">(VLOOKUP(CV$72,INDIRECT($C$5&amp;"生成成长"),2))/((VLOOKUP($B114,INDIRECT($B$5&amp;"生成成长"),4))/(VLOOKUP(CV$72,INDIRECT($C$5&amp;"生成成长"),5))*(VLOOKUP($B$5,标准坦克设计!$B$24:$U$30,MATCH("对"&amp;LEFT($C$5,2)&amp;"输出",标准坦克设计!$B$23:$U$23,0)))*(VLOOKUP($B114,INDIRECT($B$5&amp;"生成成长"),3))*(VLOOKUP($B$5,标准坦克设计!$B$14:$K$20,9)/30))</f>
        <v>8.1697670468669656</v>
      </c>
      <c r="CW114" s="173">
        <f ca="1">(VLOOKUP(CW$72,INDIRECT($C$5&amp;"生成成长"),2))/((VLOOKUP($B114,INDIRECT($B$5&amp;"生成成长"),4))/(VLOOKUP(CW$72,INDIRECT($C$5&amp;"生成成长"),5))*(VLOOKUP($B$5,标准坦克设计!$B$24:$U$30,MATCH("对"&amp;LEFT($C$5,2)&amp;"输出",标准坦克设计!$B$23:$U$23,0)))*(VLOOKUP($B114,INDIRECT($B$5&amp;"生成成长"),3))*(VLOOKUP($B$5,标准坦克设计!$B$14:$K$20,9)/30))</f>
        <v>8.7410922599784335</v>
      </c>
      <c r="CX114" s="173">
        <f ca="1">(VLOOKUP(CX$72,INDIRECT($C$5&amp;"生成成长"),2))/((VLOOKUP($B114,INDIRECT($B$5&amp;"生成成长"),4))/(VLOOKUP(CX$72,INDIRECT($C$5&amp;"生成成长"),5))*(VLOOKUP($B$5,标准坦克设计!$B$24:$U$30,MATCH("对"&amp;LEFT($C$5,2)&amp;"输出",标准坦克设计!$B$23:$U$23,0)))*(VLOOKUP($B114,INDIRECT($B$5&amp;"生成成长"),3))*(VLOOKUP($B$5,标准坦克设计!$B$14:$K$20,9)/30))</f>
        <v>9.3317249303686296</v>
      </c>
      <c r="CY114" s="173">
        <f ca="1">(VLOOKUP(CY$72,INDIRECT($C$5&amp;"生成成长"),2))/((VLOOKUP($B114,INDIRECT($B$5&amp;"生成成长"),4))/(VLOOKUP(CY$72,INDIRECT($C$5&amp;"生成成长"),5))*(VLOOKUP($B$5,标准坦克设计!$B$24:$U$30,MATCH("对"&amp;LEFT($C$5,2)&amp;"输出",标准坦克设计!$B$23:$U$23,0)))*(VLOOKUP($B114,INDIRECT($B$5&amp;"生成成长"),3))*(VLOOKUP($B$5,标准坦克设计!$B$14:$K$20,9)/30))</f>
        <v>9.9416650580375574</v>
      </c>
      <c r="CZ114" s="173">
        <f ca="1">(VLOOKUP(CZ$72,INDIRECT($C$5&amp;"生成成长"),2))/((VLOOKUP($B114,INDIRECT($B$5&amp;"生成成长"),4))/(VLOOKUP(CZ$72,INDIRECT($C$5&amp;"生成成长"),5))*(VLOOKUP($B$5,标准坦克设计!$B$24:$U$30,MATCH("对"&amp;LEFT($C$5,2)&amp;"输出",标准坦克设计!$B$23:$U$23,0)))*(VLOOKUP($B114,INDIRECT($B$5&amp;"生成成长"),3))*(VLOOKUP($B$5,标准坦克设计!$B$14:$K$20,9)/30))</f>
        <v>10.57091264298521</v>
      </c>
      <c r="DA114" s="173">
        <f ca="1">(VLOOKUP(DA$72,INDIRECT($C$5&amp;"生成成长"),2))/((VLOOKUP($B114,INDIRECT($B$5&amp;"生成成长"),4))/(VLOOKUP(DA$72,INDIRECT($C$5&amp;"生成成长"),5))*(VLOOKUP($B$5,标准坦克设计!$B$24:$U$30,MATCH("对"&amp;LEFT($C$5,2)&amp;"输出",标准坦克设计!$B$23:$U$23,0)))*(VLOOKUP($B114,INDIRECT($B$5&amp;"生成成长"),3))*(VLOOKUP($B$5,标准坦克设计!$B$14:$K$20,9)/30))</f>
        <v>11.219467685211594</v>
      </c>
      <c r="DB114" s="173">
        <f ca="1">(VLOOKUP(DB$72,INDIRECT($C$5&amp;"生成成长"),2))/((VLOOKUP($B114,INDIRECT($B$5&amp;"生成成长"),4))/(VLOOKUP(DB$72,INDIRECT($C$5&amp;"生成成长"),5))*(VLOOKUP($B$5,标准坦克设计!$B$24:$U$30,MATCH("对"&amp;LEFT($C$5,2)&amp;"输出",标准坦克设计!$B$23:$U$23,0)))*(VLOOKUP($B114,INDIRECT($B$5&amp;"生成成长"),3))*(VLOOKUP($B$5,标准坦克设计!$B$14:$K$20,9)/30))</f>
        <v>11.887330184716705</v>
      </c>
      <c r="DC114" s="173">
        <f ca="1">(VLOOKUP(DC$72,INDIRECT($C$5&amp;"生成成长"),2))/((VLOOKUP($B114,INDIRECT($B$5&amp;"生成成长"),4))/(VLOOKUP(DC$72,INDIRECT($C$5&amp;"生成成长"),5))*(VLOOKUP($B$5,标准坦克设计!$B$24:$U$30,MATCH("对"&amp;LEFT($C$5,2)&amp;"输出",标准坦克设计!$B$23:$U$23,0)))*(VLOOKUP($B114,INDIRECT($B$5&amp;"生成成长"),3))*(VLOOKUP($B$5,标准坦克设计!$B$14:$K$20,9)/30))</f>
        <v>12.637927532147609</v>
      </c>
      <c r="DD114" s="173">
        <f ca="1">(VLOOKUP(DD$72,INDIRECT($C$5&amp;"生成成长"),2))/((VLOOKUP($B114,INDIRECT($B$5&amp;"生成成长"),4))/(VLOOKUP(DD$72,INDIRECT($C$5&amp;"生成成长"),5))*(VLOOKUP($B$5,标准坦克设计!$B$24:$U$30,MATCH("对"&amp;LEFT($C$5,2)&amp;"输出",标准坦克设计!$B$23:$U$23,0)))*(VLOOKUP($B114,INDIRECT($B$5&amp;"生成成长"),3))*(VLOOKUP($B$5,标准坦克设计!$B$14:$K$20,9)/30))</f>
        <v>13.411502349397827</v>
      </c>
      <c r="DE114" s="173">
        <f ca="1">(VLOOKUP(DE$72,INDIRECT($C$5&amp;"生成成长"),2))/((VLOOKUP($B114,INDIRECT($B$5&amp;"生成成长"),4))/(VLOOKUP(DE$72,INDIRECT($C$5&amp;"生成成长"),5))*(VLOOKUP($B$5,标准坦克设计!$B$24:$U$30,MATCH("对"&amp;LEFT($C$5,2)&amp;"输出",标准坦克设计!$B$23:$U$23,0)))*(VLOOKUP($B114,INDIRECT($B$5&amp;"生成成长"),3))*(VLOOKUP($B$5,标准坦克设计!$B$14:$K$20,9)/30))</f>
        <v>14.208054636467351</v>
      </c>
      <c r="DF114" s="173">
        <f ca="1">(VLOOKUP(DF$72,INDIRECT($C$5&amp;"生成成长"),2))/((VLOOKUP($B114,INDIRECT($B$5&amp;"生成成长"),4))/(VLOOKUP(DF$72,INDIRECT($C$5&amp;"生成成长"),5))*(VLOOKUP($B$5,标准坦克设计!$B$24:$U$30,MATCH("对"&amp;LEFT($C$5,2)&amp;"输出",标准坦克设计!$B$23:$U$23,0)))*(VLOOKUP($B114,INDIRECT($B$5&amp;"生成成长"),3))*(VLOOKUP($B$5,标准坦克设计!$B$14:$K$20,9)/30))</f>
        <v>15.027584393356195</v>
      </c>
      <c r="DG114" s="173">
        <f ca="1">(VLOOKUP(DG$72,INDIRECT($C$5&amp;"生成成长"),2))/((VLOOKUP($B114,INDIRECT($B$5&amp;"生成成长"),4))/(VLOOKUP(DG$72,INDIRECT($C$5&amp;"生成成长"),5))*(VLOOKUP($B$5,标准坦克设计!$B$24:$U$30,MATCH("对"&amp;LEFT($C$5,2)&amp;"输出",标准坦克设计!$B$23:$U$23,0)))*(VLOOKUP($B114,INDIRECT($B$5&amp;"生成成长"),3))*(VLOOKUP($B$5,标准坦克设计!$B$14:$K$20,9)/30))</f>
        <v>15.870091620064352</v>
      </c>
      <c r="DH114" s="173">
        <f ca="1">(VLOOKUP(DH$72,INDIRECT($C$5&amp;"生成成长"),2))/((VLOOKUP($B114,INDIRECT($B$5&amp;"生成成长"),4))/(VLOOKUP(DH$72,INDIRECT($C$5&amp;"生成成长"),5))*(VLOOKUP($B$5,标准坦克设计!$B$24:$U$30,MATCH("对"&amp;LEFT($C$5,2)&amp;"输出",标准坦克设计!$B$23:$U$23,0)))*(VLOOKUP($B114,INDIRECT($B$5&amp;"生成成长"),3))*(VLOOKUP($B$5,标准坦克设计!$B$14:$K$20,9)/30))</f>
        <v>16.735576316591821</v>
      </c>
      <c r="DI114" s="173">
        <f ca="1">(VLOOKUP(DI$72,INDIRECT($C$5&amp;"生成成长"),2))/((VLOOKUP($B114,INDIRECT($B$5&amp;"生成成长"),4))/(VLOOKUP(DI$72,INDIRECT($C$5&amp;"生成成长"),5))*(VLOOKUP($B$5,标准坦克设计!$B$24:$U$30,MATCH("对"&amp;LEFT($C$5,2)&amp;"输出",标准坦克设计!$B$23:$U$23,0)))*(VLOOKUP($B114,INDIRECT($B$5&amp;"生成成长"),3))*(VLOOKUP($B$5,标准坦克设计!$B$14:$K$20,9)/30))</f>
        <v>17.624038482938605</v>
      </c>
      <c r="DJ114" s="173">
        <f ca="1">(VLOOKUP(DJ$72,INDIRECT($C$5&amp;"生成成长"),2))/((VLOOKUP($B114,INDIRECT($B$5&amp;"生成成长"),4))/(VLOOKUP(DJ$72,INDIRECT($C$5&amp;"生成成长"),5))*(VLOOKUP($B$5,标准坦克设计!$B$24:$U$30,MATCH("对"&amp;LEFT($C$5,2)&amp;"输出",标准坦克设计!$B$23:$U$23,0)))*(VLOOKUP($B114,INDIRECT($B$5&amp;"生成成长"),3))*(VLOOKUP($B$5,标准坦克设计!$B$14:$K$20,9)/30))</f>
        <v>1.771259748120054</v>
      </c>
      <c r="DK114" s="173">
        <f ca="1">(VLOOKUP(DK$72,INDIRECT($C$5&amp;"生成成长"),2))/((VLOOKUP($B114,INDIRECT($B$5&amp;"生成成长"),4))/(VLOOKUP(DK$72,INDIRECT($C$5&amp;"生成成长"),5))*(VLOOKUP($B$5,标准坦克设计!$B$24:$U$30,MATCH("对"&amp;LEFT($C$5,2)&amp;"输出",标准坦克设计!$B$23:$U$23,0)))*(VLOOKUP($B114,INDIRECT($B$5&amp;"生成成长"),3))*(VLOOKUP($B$5,标准坦克设计!$B$14:$K$20,9)/30))</f>
        <v>1.9916998491990916</v>
      </c>
      <c r="DL114" s="173">
        <f ca="1">(VLOOKUP(DL$72,INDIRECT($C$5&amp;"生成成长"),2))/((VLOOKUP($B114,INDIRECT($B$5&amp;"生成成长"),4))/(VLOOKUP(DL$72,INDIRECT($C$5&amp;"生成成长"),5))*(VLOOKUP($B$5,标准坦克设计!$B$24:$U$30,MATCH("对"&amp;LEFT($C$5,2)&amp;"输出",标准坦克设计!$B$23:$U$23,0)))*(VLOOKUP($B114,INDIRECT($B$5&amp;"生成成长"),3))*(VLOOKUP($B$5,标准坦克设计!$B$14:$K$20,9)/30))</f>
        <v>2.2250647770514931</v>
      </c>
      <c r="DM114" s="173">
        <f ca="1">(VLOOKUP(DM$72,INDIRECT($C$5&amp;"生成成长"),2))/((VLOOKUP($B114,INDIRECT($B$5&amp;"生成成长"),4))/(VLOOKUP(DM$72,INDIRECT($C$5&amp;"生成成长"),5))*(VLOOKUP($B$5,标准坦克设计!$B$24:$U$30,MATCH("对"&amp;LEFT($C$5,2)&amp;"输出",标准坦克设计!$B$23:$U$23,0)))*(VLOOKUP($B114,INDIRECT($B$5&amp;"生成成长"),3))*(VLOOKUP($B$5,标准坦克设计!$B$14:$K$20,9)/30))</f>
        <v>2.471354531677258</v>
      </c>
      <c r="DN114" s="173">
        <f ca="1">(VLOOKUP(DN$72,INDIRECT($C$5&amp;"生成成长"),2))/((VLOOKUP($B114,INDIRECT($B$5&amp;"生成成长"),4))/(VLOOKUP(DN$72,INDIRECT($C$5&amp;"生成成长"),5))*(VLOOKUP($B$5,标准坦克设计!$B$24:$U$30,MATCH("对"&amp;LEFT($C$5,2)&amp;"输出",标准坦克设计!$B$23:$U$23,0)))*(VLOOKUP($B114,INDIRECT($B$5&amp;"生成成长"),3))*(VLOOKUP($B$5,标准坦克设计!$B$14:$K$20,9)/30))</f>
        <v>2.7305691130763856</v>
      </c>
      <c r="DO114" s="173">
        <f ca="1">(VLOOKUP(DO$72,INDIRECT($C$5&amp;"生成成长"),2))/((VLOOKUP($B114,INDIRECT($B$5&amp;"生成成长"),4))/(VLOOKUP(DO$72,INDIRECT($C$5&amp;"生成成长"),5))*(VLOOKUP($B$5,标准坦克设计!$B$24:$U$30,MATCH("对"&amp;LEFT($C$5,2)&amp;"输出",标准坦克设计!$B$23:$U$23,0)))*(VLOOKUP($B114,INDIRECT($B$5&amp;"生成成长"),3))*(VLOOKUP($B$5,标准坦克设计!$B$14:$K$20,9)/30))</f>
        <v>3.0027085212488784</v>
      </c>
      <c r="DP114" s="173">
        <f ca="1">(VLOOKUP(DP$72,INDIRECT($C$5&amp;"生成成长"),2))/((VLOOKUP($B114,INDIRECT($B$5&amp;"生成成长"),4))/(VLOOKUP(DP$72,INDIRECT($C$5&amp;"生成成长"),5))*(VLOOKUP($B$5,标准坦克设计!$B$24:$U$30,MATCH("对"&amp;LEFT($C$5,2)&amp;"输出",标准坦克设计!$B$23:$U$23,0)))*(VLOOKUP($B114,INDIRECT($B$5&amp;"生成成长"),3))*(VLOOKUP($B$5,标准坦克设计!$B$14:$K$20,9)/30))</f>
        <v>3.2877727561947343</v>
      </c>
      <c r="DQ114" s="173">
        <f ca="1">(VLOOKUP(DQ$72,INDIRECT($C$5&amp;"生成成长"),2))/((VLOOKUP($B114,INDIRECT($B$5&amp;"生成成长"),4))/(VLOOKUP(DQ$72,INDIRECT($C$5&amp;"生成成长"),5))*(VLOOKUP($B$5,标准坦克设计!$B$24:$U$30,MATCH("对"&amp;LEFT($C$5,2)&amp;"输出",标准坦克设计!$B$23:$U$23,0)))*(VLOOKUP($B114,INDIRECT($B$5&amp;"生成成长"),3))*(VLOOKUP($B$5,标准坦克设计!$B$14:$K$20,9)/30))</f>
        <v>3.5857618179139545</v>
      </c>
      <c r="DR114" s="173">
        <f ca="1">(VLOOKUP(DR$72,INDIRECT($C$5&amp;"生成成长"),2))/((VLOOKUP($B114,INDIRECT($B$5&amp;"生成成长"),4))/(VLOOKUP(DR$72,INDIRECT($C$5&amp;"生成成长"),5))*(VLOOKUP($B$5,标准坦克设计!$B$24:$U$30,MATCH("对"&amp;LEFT($C$5,2)&amp;"输出",标准坦克设计!$B$23:$U$23,0)))*(VLOOKUP($B114,INDIRECT($B$5&amp;"生成成长"),3))*(VLOOKUP($B$5,标准坦克设计!$B$14:$K$20,9)/30))</f>
        <v>3.8966757064065383</v>
      </c>
      <c r="DS114" s="173">
        <f ca="1">(VLOOKUP(DS$72,INDIRECT($C$5&amp;"生成成长"),2))/((VLOOKUP($B114,INDIRECT($B$5&amp;"生成成长"),4))/(VLOOKUP(DS$72,INDIRECT($C$5&amp;"生成成长"),5))*(VLOOKUP($B$5,标准坦克设计!$B$24:$U$30,MATCH("对"&amp;LEFT($C$5,2)&amp;"输出",标准坦克设计!$B$23:$U$23,0)))*(VLOOKUP($B114,INDIRECT($B$5&amp;"生成成长"),3))*(VLOOKUP($B$5,标准坦克设计!$B$14:$K$20,9)/30))</f>
        <v>4.220514421672485</v>
      </c>
      <c r="DT114" s="173">
        <f ca="1">(VLOOKUP(DT$72,INDIRECT($C$5&amp;"生成成长"),2))/((VLOOKUP($B114,INDIRECT($B$5&amp;"生成成长"),4))/(VLOOKUP(DT$72,INDIRECT($C$5&amp;"生成成长"),5))*(VLOOKUP($B$5,标准坦克设计!$B$24:$U$30,MATCH("对"&amp;LEFT($C$5,2)&amp;"输出",标准坦克设计!$B$23:$U$23,0)))*(VLOOKUP($B114,INDIRECT($B$5&amp;"生成成长"),3))*(VLOOKUP($B$5,标准坦克设计!$B$14:$K$20,9)/30))</f>
        <v>4.6338695297761756</v>
      </c>
      <c r="DU114" s="173">
        <f ca="1">(VLOOKUP(DU$72,INDIRECT($C$5&amp;"生成成长"),2))/((VLOOKUP($B114,INDIRECT($B$5&amp;"生成成长"),4))/(VLOOKUP(DU$72,INDIRECT($C$5&amp;"生成成长"),5))*(VLOOKUP($B$5,标准坦克设计!$B$24:$U$30,MATCH("对"&amp;LEFT($C$5,2)&amp;"输出",标准坦克设计!$B$23:$U$23,0)))*(VLOOKUP($B114,INDIRECT($B$5&amp;"生成成长"),3))*(VLOOKUP($B$5,标准坦克设计!$B$14:$K$20,9)/30))</f>
        <v>5.0665320951585926</v>
      </c>
      <c r="DV114" s="173">
        <f ca="1">(VLOOKUP(DV$72,INDIRECT($C$5&amp;"生成成长"),2))/((VLOOKUP($B114,INDIRECT($B$5&amp;"生成成长"),4))/(VLOOKUP(DV$72,INDIRECT($C$5&amp;"生成成长"),5))*(VLOOKUP($B$5,标准坦克设计!$B$24:$U$30,MATCH("对"&amp;LEFT($C$5,2)&amp;"输出",标准坦克设计!$B$23:$U$23,0)))*(VLOOKUP($B114,INDIRECT($B$5&amp;"生成成长"),3))*(VLOOKUP($B$5,标准坦克设计!$B$14:$K$20,9)/30))</f>
        <v>5.5185021178197387</v>
      </c>
      <c r="DW114" s="173">
        <f ca="1">(VLOOKUP(DW$72,INDIRECT($C$5&amp;"生成成长"),2))/((VLOOKUP($B114,INDIRECT($B$5&amp;"生成成长"),4))/(VLOOKUP(DW$72,INDIRECT($C$5&amp;"生成成长"),5))*(VLOOKUP($B$5,标准坦克设计!$B$24:$U$30,MATCH("对"&amp;LEFT($C$5,2)&amp;"输出",标准坦克设计!$B$23:$U$23,0)))*(VLOOKUP($B114,INDIRECT($B$5&amp;"生成成长"),3))*(VLOOKUP($B$5,标准坦克设计!$B$14:$K$20,9)/30))</f>
        <v>5.9897795977596129</v>
      </c>
      <c r="DX114" s="173">
        <f ca="1">(VLOOKUP(DX$72,INDIRECT($C$5&amp;"生成成长"),2))/((VLOOKUP($B114,INDIRECT($B$5&amp;"生成成长"),4))/(VLOOKUP(DX$72,INDIRECT($C$5&amp;"生成成长"),5))*(VLOOKUP($B$5,标准坦克设计!$B$24:$U$30,MATCH("对"&amp;LEFT($C$5,2)&amp;"输出",标准坦克设计!$B$23:$U$23,0)))*(VLOOKUP($B114,INDIRECT($B$5&amp;"生成成长"),3))*(VLOOKUP($B$5,标准坦克设计!$B$14:$K$20,9)/30))</f>
        <v>6.4803645349782171</v>
      </c>
      <c r="DY114" s="173">
        <f ca="1">(VLOOKUP(DY$72,INDIRECT($C$5&amp;"生成成长"),2))/((VLOOKUP($B114,INDIRECT($B$5&amp;"生成成长"),4))/(VLOOKUP(DY$72,INDIRECT($C$5&amp;"生成成长"),5))*(VLOOKUP($B$5,标准坦克设计!$B$24:$U$30,MATCH("对"&amp;LEFT($C$5,2)&amp;"输出",标准坦克设计!$B$23:$U$23,0)))*(VLOOKUP($B114,INDIRECT($B$5&amp;"生成成长"),3))*(VLOOKUP($B$5,标准坦克设计!$B$14:$K$20,9)/30))</f>
        <v>2.9105592933276734</v>
      </c>
      <c r="DZ114" s="173">
        <f ca="1">(VLOOKUP(DZ$72,INDIRECT($C$5&amp;"生成成长"),2))/((VLOOKUP($B114,INDIRECT($B$5&amp;"生成成长"),4))/(VLOOKUP(DZ$72,INDIRECT($C$5&amp;"生成成长"),5))*(VLOOKUP($B$5,标准坦克设计!$B$24:$U$30,MATCH("对"&amp;LEFT($C$5,2)&amp;"输出",标准坦克设计!$B$23:$U$23,0)))*(VLOOKUP($B114,INDIRECT($B$5&amp;"生成成长"),3))*(VLOOKUP($B$5,标准坦克设计!$B$14:$K$20,9)/30))</f>
        <v>3.2233081880905496</v>
      </c>
      <c r="EA114" s="173">
        <f ca="1">(VLOOKUP(EA$72,INDIRECT($C$5&amp;"生成成长"),2))/((VLOOKUP($B114,INDIRECT($B$5&amp;"生成成长"),4))/(VLOOKUP(EA$72,INDIRECT($C$5&amp;"生成成长"),5))*(VLOOKUP($B$5,标准坦克设计!$B$24:$U$30,MATCH("对"&amp;LEFT($C$5,2)&amp;"输出",标准坦克设计!$B$23:$U$23,0)))*(VLOOKUP($B114,INDIRECT($B$5&amp;"生成成长"),3))*(VLOOKUP($B$5,标准坦克设计!$B$14:$K$20,9)/30))</f>
        <v>3.5520136591168376</v>
      </c>
      <c r="EB114" s="173">
        <f ca="1">(VLOOKUP(EB$72,INDIRECT($C$5&amp;"生成成长"),2))/((VLOOKUP($B114,INDIRECT($B$5&amp;"生成成长"),4))/(VLOOKUP(EB$72,INDIRECT($C$5&amp;"生成成长"),5))*(VLOOKUP($B$5,标准坦克设计!$B$24:$U$30,MATCH("对"&amp;LEFT($C$5,2)&amp;"输出",标准坦克设计!$B$23:$U$23,0)))*(VLOOKUP($B114,INDIRECT($B$5&amp;"生成成长"),3))*(VLOOKUP($B$5,标准坦克设计!$B$14:$K$20,9)/30))</f>
        <v>3.8966757064065383</v>
      </c>
      <c r="EC114" s="173">
        <f ca="1">(VLOOKUP(EC$72,INDIRECT($C$5&amp;"生成成长"),2))/((VLOOKUP($B114,INDIRECT($B$5&amp;"生成成长"),4))/(VLOOKUP(EC$72,INDIRECT($C$5&amp;"生成成长"),5))*(VLOOKUP($B$5,标准坦克设计!$B$24:$U$30,MATCH("对"&amp;LEFT($C$5,2)&amp;"输出",标准坦克设计!$B$23:$U$23,0)))*(VLOOKUP($B114,INDIRECT($B$5&amp;"生成成长"),3))*(VLOOKUP($B$5,标准坦克设计!$B$14:$K$20,9)/30))</f>
        <v>4.2572943299596506</v>
      </c>
      <c r="ED114" s="173">
        <f ca="1">(VLOOKUP(ED$72,INDIRECT($C$5&amp;"生成成长"),2))/((VLOOKUP($B114,INDIRECT($B$5&amp;"生成成长"),4))/(VLOOKUP(ED$72,INDIRECT($C$5&amp;"生成成长"),5))*(VLOOKUP($B$5,标准坦克设计!$B$24:$U$30,MATCH("对"&amp;LEFT($C$5,2)&amp;"输出",标准坦克设计!$B$23:$U$23,0)))*(VLOOKUP($B114,INDIRECT($B$5&amp;"生成成长"),3))*(VLOOKUP($B$5,标准坦克设计!$B$14:$K$20,9)/30))</f>
        <v>4.6338695297761756</v>
      </c>
      <c r="EE114" s="173">
        <f ca="1">(VLOOKUP(EE$72,INDIRECT($C$5&amp;"生成成长"),2))/((VLOOKUP($B114,INDIRECT($B$5&amp;"生成成长"),4))/(VLOOKUP(EE$72,INDIRECT($C$5&amp;"生成成长"),5))*(VLOOKUP($B$5,标准坦克设计!$B$24:$U$30,MATCH("对"&amp;LEFT($C$5,2)&amp;"输出",标准坦克设计!$B$23:$U$23,0)))*(VLOOKUP($B114,INDIRECT($B$5&amp;"生成成长"),3))*(VLOOKUP($B$5,标准坦克设计!$B$14:$K$20,9)/30))</f>
        <v>5.026401305856111</v>
      </c>
      <c r="EF114" s="173">
        <f ca="1">(VLOOKUP(EF$72,INDIRECT($C$5&amp;"生成成长"),2))/((VLOOKUP($B114,INDIRECT($B$5&amp;"生成成长"),4))/(VLOOKUP(EF$72,INDIRECT($C$5&amp;"生成成长"),5))*(VLOOKUP($B$5,标准坦克设计!$B$24:$U$30,MATCH("对"&amp;LEFT($C$5,2)&amp;"输出",标准坦克设计!$B$23:$U$23,0)))*(VLOOKUP($B114,INDIRECT($B$5&amp;"生成成长"),3))*(VLOOKUP($B$5,标准坦克设计!$B$14:$K$20,9)/30))</f>
        <v>5.4348896581994595</v>
      </c>
      <c r="EG114" s="173">
        <f ca="1">(VLOOKUP(EG$72,INDIRECT($C$5&amp;"生成成长"),2))/((VLOOKUP($B114,INDIRECT($B$5&amp;"生成成长"),4))/(VLOOKUP(EG$72,INDIRECT($C$5&amp;"生成成长"),5))*(VLOOKUP($B$5,标准坦克设计!$B$24:$U$30,MATCH("对"&amp;LEFT($C$5,2)&amp;"输出",标准坦克设计!$B$23:$U$23,0)))*(VLOOKUP($B114,INDIRECT($B$5&amp;"生成成长"),3))*(VLOOKUP($B$5,标准坦克设计!$B$14:$K$20,9)/30))</f>
        <v>5.8593345868062201</v>
      </c>
      <c r="EH114" s="173">
        <f ca="1">(VLOOKUP(EH$72,INDIRECT($C$5&amp;"生成成长"),2))/((VLOOKUP($B114,INDIRECT($B$5&amp;"生成成长"),4))/(VLOOKUP(EH$72,INDIRECT($C$5&amp;"生成成长"),5))*(VLOOKUP($B$5,标准坦克设计!$B$24:$U$30,MATCH("对"&amp;LEFT($C$5,2)&amp;"输出",标准坦克设计!$B$23:$U$23,0)))*(VLOOKUP($B114,INDIRECT($B$5&amp;"生成成长"),3))*(VLOOKUP($B$5,标准坦克设计!$B$14:$K$20,9)/30))</f>
        <v>6.2997360916763911</v>
      </c>
      <c r="EI114" s="173">
        <f ca="1">(VLOOKUP(EI$72,INDIRECT($C$5&amp;"生成成长"),2))/((VLOOKUP($B114,INDIRECT($B$5&amp;"生成成长"),4))/(VLOOKUP(EI$72,INDIRECT($C$5&amp;"生成成长"),5))*(VLOOKUP($B$5,标准坦克设计!$B$24:$U$30,MATCH("对"&amp;LEFT($C$5,2)&amp;"输出",标准坦克设计!$B$23:$U$23,0)))*(VLOOKUP($B114,INDIRECT($B$5&amp;"生成成长"),3))*(VLOOKUP($B$5,标准坦克设计!$B$14:$K$20,9)/30))</f>
        <v>6.7560941728099762</v>
      </c>
      <c r="EJ114" s="173">
        <f ca="1">(VLOOKUP(EJ$72,INDIRECT($C$5&amp;"生成成长"),2))/((VLOOKUP($B114,INDIRECT($B$5&amp;"生成成长"),4))/(VLOOKUP(EJ$72,INDIRECT($C$5&amp;"生成成长"),5))*(VLOOKUP($B$5,标准坦克设计!$B$24:$U$30,MATCH("对"&amp;LEFT($C$5,2)&amp;"输出",标准坦克设计!$B$23:$U$23,0)))*(VLOOKUP($B114,INDIRECT($B$5&amp;"生成成长"),3))*(VLOOKUP($B$5,标准坦克设计!$B$14:$K$20,9)/30))</f>
        <v>7.2284088302069742</v>
      </c>
      <c r="EK114" s="173">
        <f ca="1">(VLOOKUP(EK$72,INDIRECT($C$5&amp;"生成成长"),2))/((VLOOKUP($B114,INDIRECT($B$5&amp;"生成成长"),4))/(VLOOKUP(EK$72,INDIRECT($C$5&amp;"生成成长"),5))*(VLOOKUP($B$5,标准坦克设计!$B$24:$U$30,MATCH("对"&amp;LEFT($C$5,2)&amp;"输出",标准坦克设计!$B$23:$U$23,0)))*(VLOOKUP($B114,INDIRECT($B$5&amp;"生成成长"),3))*(VLOOKUP($B$5,标准坦克设计!$B$14:$K$20,9)/30))</f>
        <v>7.8162490997510714</v>
      </c>
      <c r="EL114" s="173">
        <f ca="1">(VLOOKUP(EL$72,INDIRECT($C$5&amp;"生成成长"),2))/((VLOOKUP($B114,INDIRECT($B$5&amp;"生成成长"),4))/(VLOOKUP(EL$72,INDIRECT($C$5&amp;"生成成长"),5))*(VLOOKUP($B$5,标准坦克设计!$B$24:$U$30,MATCH("对"&amp;LEFT($C$5,2)&amp;"输出",标准坦克设计!$B$23:$U$23,0)))*(VLOOKUP($B114,INDIRECT($B$5&amp;"生成成长"),3))*(VLOOKUP($B$5,标准坦克设计!$B$14:$K$20,9)/30))</f>
        <v>8.4270668391144881</v>
      </c>
      <c r="EM114" s="173">
        <f ca="1">(VLOOKUP(EM$72,INDIRECT($C$5&amp;"生成成长"),2))/((VLOOKUP($B114,INDIRECT($B$5&amp;"生成成长"),4))/(VLOOKUP(EM$72,INDIRECT($C$5&amp;"生成成长"),5))*(VLOOKUP($B$5,标准坦克设计!$B$24:$U$30,MATCH("对"&amp;LEFT($C$5,2)&amp;"输出",标准坦克设计!$B$23:$U$23,0)))*(VLOOKUP($B114,INDIRECT($B$5&amp;"生成成长"),3))*(VLOOKUP($B$5,标准坦克设计!$B$14:$K$20,9)/30))</f>
        <v>9.0608620482972118</v>
      </c>
      <c r="EN114" s="173">
        <f ca="1">(VLOOKUP(EN$72,INDIRECT($C$5&amp;"生成成长"),2))/((VLOOKUP($B114,INDIRECT($B$5&amp;"生成成长"),4))/(VLOOKUP(EN$72,INDIRECT($C$5&amp;"生成成长"),5))*(VLOOKUP($B$5,标准坦克设计!$B$24:$U$30,MATCH("对"&amp;LEFT($C$5,2)&amp;"输出",标准坦克设计!$B$23:$U$23,0)))*(VLOOKUP($B114,INDIRECT($B$5&amp;"生成成长"),3))*(VLOOKUP($B$5,标准坦克设计!$B$14:$K$20,9)/30))</f>
        <v>9.7176347272992523</v>
      </c>
      <c r="EO114" s="173">
        <f ca="1">(VLOOKUP(EO$72,INDIRECT($C$5&amp;"生成成长"),2))/((VLOOKUP($B114,INDIRECT($B$5&amp;"生成成长"),4))/(VLOOKUP(EO$72,INDIRECT($C$5&amp;"生成成长"),5))*(VLOOKUP($B$5,标准坦克设计!$B$24:$U$30,MATCH("对"&amp;LEFT($C$5,2)&amp;"输出",标准坦克设计!$B$23:$U$23,0)))*(VLOOKUP($B114,INDIRECT($B$5&amp;"生成成长"),3))*(VLOOKUP($B$5,标准坦克设计!$B$14:$K$20,9)/30))</f>
        <v>10.397384876120606</v>
      </c>
      <c r="EP114" s="173">
        <f ca="1">(VLOOKUP(EP$72,INDIRECT($C$5&amp;"生成成长"),2))/((VLOOKUP($B114,INDIRECT($B$5&amp;"生成成长"),4))/(VLOOKUP(EP$72,INDIRECT($C$5&amp;"生成成长"),5))*(VLOOKUP($B$5,标准坦克设计!$B$24:$U$30,MATCH("对"&amp;LEFT($C$5,2)&amp;"输出",标准坦克设计!$B$23:$U$23,0)))*(VLOOKUP($B114,INDIRECT($B$5&amp;"生成成长"),3))*(VLOOKUP($B$5,标准坦克设计!$B$14:$K$20,9)/30))</f>
        <v>11.100112494761269</v>
      </c>
      <c r="EQ114" s="173">
        <f ca="1">(VLOOKUP(EQ$72,INDIRECT($C$5&amp;"生成成长"),2))/((VLOOKUP($B114,INDIRECT($B$5&amp;"生成成长"),4))/(VLOOKUP(EQ$72,INDIRECT($C$5&amp;"生成成长"),5))*(VLOOKUP($B$5,标准坦克设计!$B$24:$U$30,MATCH("对"&amp;LEFT($C$5,2)&amp;"输出",标准坦克设计!$B$23:$U$23,0)))*(VLOOKUP($B114,INDIRECT($B$5&amp;"生成成长"),3))*(VLOOKUP($B$5,标准坦克设计!$B$14:$K$20,9)/30))</f>
        <v>4.9069663325244717</v>
      </c>
      <c r="ER114" s="173">
        <f ca="1">(VLOOKUP(ER$72,INDIRECT($C$5&amp;"生成成长"),2))/((VLOOKUP($B114,INDIRECT($B$5&amp;"生成成长"),4))/(VLOOKUP(ER$72,INDIRECT($C$5&amp;"生成成长"),5))*(VLOOKUP($B$5,标准坦克设计!$B$24:$U$30,MATCH("对"&amp;LEFT($C$5,2)&amp;"输出",标准坦克设计!$B$23:$U$23,0)))*(VLOOKUP($B114,INDIRECT($B$5&amp;"生成成长"),3))*(VLOOKUP($B$5,标准坦克设计!$B$14:$K$20,9)/30))</f>
        <v>5.3519154616297158</v>
      </c>
      <c r="ES114" s="173">
        <f ca="1">(VLOOKUP(ES$72,INDIRECT($C$5&amp;"生成成长"),2))/((VLOOKUP($B114,INDIRECT($B$5&amp;"生成成长"),4))/(VLOOKUP(ES$72,INDIRECT($C$5&amp;"生成成长"),5))*(VLOOKUP($B$5,标准坦克设计!$B$24:$U$30,MATCH("对"&amp;LEFT($C$5,2)&amp;"输出",标准坦克设计!$B$23:$U$23,0)))*(VLOOKUP($B114,INDIRECT($B$5&amp;"生成成长"),3))*(VLOOKUP($B$5,标准坦克设计!$B$14:$K$20,9)/30))</f>
        <v>5.8161720480136898</v>
      </c>
      <c r="ET114" s="173">
        <f ca="1">(VLOOKUP(ET$72,INDIRECT($C$5&amp;"生成成长"),2))/((VLOOKUP($B114,INDIRECT($B$5&amp;"生成成长"),4))/(VLOOKUP(ET$72,INDIRECT($C$5&amp;"生成成长"),5))*(VLOOKUP($B$5,标准坦克设计!$B$24:$U$30,MATCH("对"&amp;LEFT($C$5,2)&amp;"输出",标准坦克设计!$B$23:$U$23,0)))*(VLOOKUP($B114,INDIRECT($B$5&amp;"生成成长"),3))*(VLOOKUP($B$5,标准坦克设计!$B$14:$K$20,9)/30))</f>
        <v>6.2997360916763911</v>
      </c>
      <c r="EU114" s="173">
        <f ca="1">(VLOOKUP(EU$72,INDIRECT($C$5&amp;"生成成长"),2))/((VLOOKUP($B114,INDIRECT($B$5&amp;"生成成长"),4))/(VLOOKUP(EU$72,INDIRECT($C$5&amp;"生成成长"),5))*(VLOOKUP($B$5,标准坦克设计!$B$24:$U$30,MATCH("对"&amp;LEFT($C$5,2)&amp;"输出",标准坦克设计!$B$23:$U$23,0)))*(VLOOKUP($B114,INDIRECT($B$5&amp;"生成成长"),3))*(VLOOKUP($B$5,标准坦克设计!$B$14:$K$20,9)/30))</f>
        <v>6.8026075926178224</v>
      </c>
      <c r="EV114" s="173">
        <f ca="1">(VLOOKUP(EV$72,INDIRECT($C$5&amp;"生成成长"),2))/((VLOOKUP($B114,INDIRECT($B$5&amp;"生成成长"),4))/(VLOOKUP(EV$72,INDIRECT($C$5&amp;"生成成长"),5))*(VLOOKUP($B$5,标准坦克设计!$B$24:$U$30,MATCH("对"&amp;LEFT($C$5,2)&amp;"输出",标准坦克设计!$B$23:$U$23,0)))*(VLOOKUP($B114,INDIRECT($B$5&amp;"生成成长"),3))*(VLOOKUP($B$5,标准坦克设计!$B$14:$K$20,9)/30))</f>
        <v>7.3247865508379819</v>
      </c>
      <c r="EW114" s="173">
        <f ca="1">(VLOOKUP(EW$72,INDIRECT($C$5&amp;"生成成长"),2))/((VLOOKUP($B114,INDIRECT($B$5&amp;"生成成长"),4))/(VLOOKUP(EW$72,INDIRECT($C$5&amp;"生成成长"),5))*(VLOOKUP($B$5,标准坦克设计!$B$24:$U$30,MATCH("对"&amp;LEFT($C$5,2)&amp;"输出",标准坦克设计!$B$23:$U$23,0)))*(VLOOKUP($B114,INDIRECT($B$5&amp;"生成成长"),3))*(VLOOKUP($B$5,标准坦克设计!$B$14:$K$20,9)/30))</f>
        <v>7.8662729663368687</v>
      </c>
      <c r="EX114" s="173">
        <f ca="1">(VLOOKUP(EX$72,INDIRECT($C$5&amp;"生成成长"),2))/((VLOOKUP($B114,INDIRECT($B$5&amp;"生成成长"),4))/(VLOOKUP(EX$72,INDIRECT($C$5&amp;"生成成长"),5))*(VLOOKUP($B$5,标准坦克设计!$B$24:$U$30,MATCH("对"&amp;LEFT($C$5,2)&amp;"输出",标准坦克设计!$B$23:$U$23,0)))*(VLOOKUP($B114,INDIRECT($B$5&amp;"生成成长"),3))*(VLOOKUP($B$5,标准坦克设计!$B$14:$K$20,9)/30))</f>
        <v>8.4270668391144881</v>
      </c>
      <c r="EY114" s="173">
        <f ca="1">(VLOOKUP(EY$72,INDIRECT($C$5&amp;"生成成长"),2))/((VLOOKUP($B114,INDIRECT($B$5&amp;"生成成长"),4))/(VLOOKUP(EY$72,INDIRECT($C$5&amp;"生成成长"),5))*(VLOOKUP($B$5,标准坦克设计!$B$24:$U$30,MATCH("对"&amp;LEFT($C$5,2)&amp;"输出",标准坦克设计!$B$23:$U$23,0)))*(VLOOKUP($B114,INDIRECT($B$5&amp;"生成成长"),3))*(VLOOKUP($B$5,标准坦克设计!$B$14:$K$20,9)/30))</f>
        <v>9.0071681691708303</v>
      </c>
      <c r="EZ114" s="173">
        <f ca="1">(VLOOKUP(EZ$72,INDIRECT($C$5&amp;"生成成长"),2))/((VLOOKUP($B114,INDIRECT($B$5&amp;"生成成长"),4))/(VLOOKUP(EZ$72,INDIRECT($C$5&amp;"生成成长"),5))*(VLOOKUP($B$5,标准坦克设计!$B$24:$U$30,MATCH("对"&amp;LEFT($C$5,2)&amp;"输出",标准坦克设计!$B$23:$U$23,0)))*(VLOOKUP($B114,INDIRECT($B$5&amp;"生成成长"),3))*(VLOOKUP($B$5,标准坦克设计!$B$14:$K$20,9)/30))</f>
        <v>9.6065769565059043</v>
      </c>
      <c r="FA114" s="173">
        <f ca="1">(VLOOKUP(FA$72,INDIRECT($C$5&amp;"生成成长"),2))/((VLOOKUP($B114,INDIRECT($B$5&amp;"生成成长"),4))/(VLOOKUP(FA$72,INDIRECT($C$5&amp;"生成成长"),5))*(VLOOKUP($B$5,标准坦克设计!$B$24:$U$30,MATCH("对"&amp;LEFT($C$5,2)&amp;"输出",标准坦克设计!$B$23:$U$23,0)))*(VLOOKUP($B114,INDIRECT($B$5&amp;"生成成长"),3))*(VLOOKUP($B$5,标准坦克设计!$B$14:$K$20,9)/30))</f>
        <v>10.225293201119706</v>
      </c>
      <c r="FB114" s="173">
        <f ca="1">(VLOOKUP(FB$72,INDIRECT($C$5&amp;"生成成长"),2))/((VLOOKUP($B114,INDIRECT($B$5&amp;"生成成长"),4))/(VLOOKUP(FB$72,INDIRECT($C$5&amp;"生成成长"),5))*(VLOOKUP($B$5,标准坦克设计!$B$24:$U$30,MATCH("对"&amp;LEFT($C$5,2)&amp;"输出",标准坦克设计!$B$23:$U$23,0)))*(VLOOKUP($B114,INDIRECT($B$5&amp;"生成成长"),3))*(VLOOKUP($B$5,标准坦克设计!$B$14:$K$20,9)/30))</f>
        <v>10.863316903012239</v>
      </c>
      <c r="FC114" s="173">
        <f ca="1">(VLOOKUP(FC$72,INDIRECT($C$5&amp;"生成成长"),2))/((VLOOKUP($B114,INDIRECT($B$5&amp;"生成成长"),4))/(VLOOKUP(FC$72,INDIRECT($C$5&amp;"生成成长"),5))*(VLOOKUP($B$5,标准坦克设计!$B$24:$U$30,MATCH("对"&amp;LEFT($C$5,2)&amp;"输出",标准坦克设计!$B$23:$U$23,0)))*(VLOOKUP($B114,INDIRECT($B$5&amp;"生成成长"),3))*(VLOOKUP($B$5,标准坦克设计!$B$14:$K$20,9)/30))</f>
        <v>11.520648062183495</v>
      </c>
      <c r="FD114" s="173">
        <f ca="1">(VLOOKUP(FD$72,INDIRECT($C$5&amp;"生成成长"),2))/((VLOOKUP($B114,INDIRECT($B$5&amp;"生成成长"),4))/(VLOOKUP(FD$72,INDIRECT($C$5&amp;"生成成长"),5))*(VLOOKUP($B$5,标准坦克设计!$B$24:$U$30,MATCH("对"&amp;LEFT($C$5,2)&amp;"输出",标准坦克设计!$B$23:$U$23,0)))*(VLOOKUP($B114,INDIRECT($B$5&amp;"生成成长"),3))*(VLOOKUP($B$5,标准坦克设计!$B$14:$K$20,9)/30))</f>
        <v>12.197286678633484</v>
      </c>
      <c r="FE114" s="173">
        <f ca="1">(VLOOKUP(FE$72,INDIRECT($C$5&amp;"生成成长"),2))/((VLOOKUP($B114,INDIRECT($B$5&amp;"生成成长"),4))/(VLOOKUP(FE$72,INDIRECT($C$5&amp;"生成成长"),5))*(VLOOKUP($B$5,标准坦克设计!$B$24:$U$30,MATCH("对"&amp;LEFT($C$5,2)&amp;"输出",标准坦克设计!$B$23:$U$23,0)))*(VLOOKUP($B114,INDIRECT($B$5&amp;"生成成长"),3))*(VLOOKUP($B$5,标准坦克设计!$B$14:$K$20,9)/30))</f>
        <v>13.021842757045302</v>
      </c>
      <c r="FF114" s="173">
        <f ca="1">(VLOOKUP(FF$72,INDIRECT($C$5&amp;"生成成长"),2))/((VLOOKUP($B114,INDIRECT($B$5&amp;"生成成长"),4))/(VLOOKUP(FF$72,INDIRECT($C$5&amp;"生成成长"),5))*(VLOOKUP($B$5,标准坦克设计!$B$24:$U$30,MATCH("对"&amp;LEFT($C$5,2)&amp;"输出",标准坦克设计!$B$23:$U$23,0)))*(VLOOKUP($B114,INDIRECT($B$5&amp;"生成成长"),3))*(VLOOKUP($B$5,标准坦克设计!$B$14:$K$20,9)/30))</f>
        <v>13.873365449342284</v>
      </c>
      <c r="FG114" s="173">
        <f ca="1">(VLOOKUP(FG$72,INDIRECT($C$5&amp;"生成成长"),2))/((VLOOKUP($B114,INDIRECT($B$5&amp;"生成成长"),4))/(VLOOKUP(FG$72,INDIRECT($C$5&amp;"生成成长"),5))*(VLOOKUP($B$5,标准坦克设计!$B$24:$U$30,MATCH("对"&amp;LEFT($C$5,2)&amp;"输出",标准坦克设计!$B$23:$U$23,0)))*(VLOOKUP($B114,INDIRECT($B$5&amp;"生成成长"),3))*(VLOOKUP($B$5,标准坦克设计!$B$14:$K$20,9)/30))</f>
        <v>14.751854755524436</v>
      </c>
      <c r="FH114" s="173">
        <f ca="1">(VLOOKUP(FH$72,INDIRECT($C$5&amp;"生成成长"),2))/((VLOOKUP($B114,INDIRECT($B$5&amp;"生成成长"),4))/(VLOOKUP(FH$72,INDIRECT($C$5&amp;"生成成长"),5))*(VLOOKUP($B$5,标准坦克设计!$B$24:$U$30,MATCH("对"&amp;LEFT($C$5,2)&amp;"输出",标准坦克设计!$B$23:$U$23,0)))*(VLOOKUP($B114,INDIRECT($B$5&amp;"生成成长"),3))*(VLOOKUP($B$5,标准坦克设计!$B$14:$K$20,9)/30))</f>
        <v>15.65731067559175</v>
      </c>
      <c r="FI114" s="173">
        <f ca="1">(VLOOKUP(FI$72,INDIRECT($C$5&amp;"生成成长"),2))/((VLOOKUP($B114,INDIRECT($B$5&amp;"生成成长"),4))/(VLOOKUP(FI$72,INDIRECT($C$5&amp;"生成成长"),5))*(VLOOKUP($B$5,标准坦克设计!$B$24:$U$30,MATCH("对"&amp;LEFT($C$5,2)&amp;"输出",标准坦克设计!$B$23:$U$23,0)))*(VLOOKUP($B114,INDIRECT($B$5&amp;"生成成长"),3))*(VLOOKUP($B$5,标准坦克设计!$B$14:$K$20,9)/30))</f>
        <v>16.589733209544232</v>
      </c>
      <c r="FJ114" s="173">
        <f ca="1">(VLOOKUP(FJ$72,INDIRECT($C$5&amp;"生成成长"),2))/((VLOOKUP($B114,INDIRECT($B$5&amp;"生成成长"),4))/(VLOOKUP(FJ$72,INDIRECT($C$5&amp;"生成成长"),5))*(VLOOKUP($B$5,标准坦克设计!$B$24:$U$30,MATCH("对"&amp;LEFT($C$5,2)&amp;"输出",标准坦克设计!$B$23:$U$23,0)))*(VLOOKUP($B114,INDIRECT($B$5&amp;"生成成长"),3))*(VLOOKUP($B$5,标准坦克设计!$B$14:$K$20,9)/30))</f>
        <v>17.549122357381879</v>
      </c>
      <c r="FK114" s="173">
        <f ca="1">(VLOOKUP(FK$72,INDIRECT($C$5&amp;"生成成长"),2))/((VLOOKUP($B114,INDIRECT($B$5&amp;"生成成长"),4))/(VLOOKUP(FK$72,INDIRECT($C$5&amp;"生成成长"),5))*(VLOOKUP($B$5,标准坦克设计!$B$24:$U$30,MATCH("对"&amp;LEFT($C$5,2)&amp;"输出",标准坦克设计!$B$23:$U$23,0)))*(VLOOKUP($B114,INDIRECT($B$5&amp;"生成成长"),3))*(VLOOKUP($B$5,标准坦克设计!$B$14:$K$20,9)/30))</f>
        <v>18.535478119104702</v>
      </c>
    </row>
    <row r="115" spans="1:167" x14ac:dyDescent="0.15">
      <c r="A115" s="171" t="str">
        <f t="shared" si="11"/>
        <v>T5低品质11级</v>
      </c>
      <c r="B115" s="172">
        <v>10511</v>
      </c>
      <c r="C115" s="173">
        <f ca="1">(VLOOKUP(C$72,INDIRECT($C$5&amp;"生成成长"),2))/((VLOOKUP($B115,INDIRECT($B$5&amp;"生成成长"),4))/(VLOOKUP(C$72,INDIRECT($C$5&amp;"生成成长"),5))*(VLOOKUP($B$5,标准坦克设计!$B$24:$U$30,MATCH("对"&amp;LEFT($C$5,2)&amp;"输出",标准坦克设计!$B$23:$U$23,0)))*(VLOOKUP($B115,INDIRECT($B$5&amp;"生成成长"),3))*(VLOOKUP($B$5,标准坦克设计!$B$14:$K$20,9)/30))</f>
        <v>0.75029643761519782</v>
      </c>
      <c r="D115" s="173">
        <f ca="1">(VLOOKUP(D$72,INDIRECT($C$5&amp;"生成成长"),2))/((VLOOKUP($B115,INDIRECT($B$5&amp;"生成成长"),4))/(VLOOKUP(D$72,INDIRECT($C$5&amp;"生成成长"),5))*(VLOOKUP($B$5,标准坦克设计!$B$24:$U$30,MATCH("对"&amp;LEFT($C$5,2)&amp;"输出",标准坦克设计!$B$23:$U$23,0)))*(VLOOKUP($B115,INDIRECT($B$5&amp;"生成成长"),3))*(VLOOKUP($B$5,标准坦克设计!$B$14:$K$20,9)/30))</f>
        <v>0.84303307730443611</v>
      </c>
      <c r="E115" s="173">
        <f ca="1">(VLOOKUP(E$72,INDIRECT($C$5&amp;"生成成长"),2))/((VLOOKUP($B115,INDIRECT($B$5&amp;"生成成长"),4))/(VLOOKUP(E$72,INDIRECT($C$5&amp;"生成成长"),5))*(VLOOKUP($B$5,标准坦克设计!$B$24:$U$30,MATCH("对"&amp;LEFT($C$5,2)&amp;"输出",标准坦克设计!$B$23:$U$23,0)))*(VLOOKUP($B115,INDIRECT($B$5&amp;"生成成长"),3))*(VLOOKUP($B$5,标准坦克设计!$B$14:$K$20,9)/30))</f>
        <v>0.94117185134450398</v>
      </c>
      <c r="F115" s="173">
        <f ca="1">(VLOOKUP(F$72,INDIRECT($C$5&amp;"生成成长"),2))/((VLOOKUP($B115,INDIRECT($B$5&amp;"生成成长"),4))/(VLOOKUP(F$72,INDIRECT($C$5&amp;"生成成长"),5))*(VLOOKUP($B$5,标准坦克设计!$B$24:$U$30,MATCH("对"&amp;LEFT($C$5,2)&amp;"输出",标准坦克设计!$B$23:$U$23,0)))*(VLOOKUP($B115,INDIRECT($B$5&amp;"生成成长"),3))*(VLOOKUP($B$5,标准坦克设计!$B$14:$K$20,9)/30))</f>
        <v>1.0447127597354013</v>
      </c>
      <c r="G115" s="173">
        <f ca="1">(VLOOKUP(G$72,INDIRECT($C$5&amp;"生成成长"),2))/((VLOOKUP($B115,INDIRECT($B$5&amp;"生成成长"),4))/(VLOOKUP(G$72,INDIRECT($C$5&amp;"生成成长"),5))*(VLOOKUP($B$5,标准坦克设计!$B$24:$U$30,MATCH("对"&amp;LEFT($C$5,2)&amp;"输出",标准坦克设计!$B$23:$U$23,0)))*(VLOOKUP($B115,INDIRECT($B$5&amp;"生成成长"),3))*(VLOOKUP($B$5,标准坦克设计!$B$14:$K$20,9)/30))</f>
        <v>1.153655802477128</v>
      </c>
      <c r="H115" s="173">
        <f ca="1">(VLOOKUP(H$72,INDIRECT($C$5&amp;"生成成长"),2))/((VLOOKUP($B115,INDIRECT($B$5&amp;"生成成长"),4))/(VLOOKUP(H$72,INDIRECT($C$5&amp;"生成成长"),5))*(VLOOKUP($B$5,标准坦克设计!$B$24:$U$30,MATCH("对"&amp;LEFT($C$5,2)&amp;"输出",标准坦克设计!$B$23:$U$23,0)))*(VLOOKUP($B115,INDIRECT($B$5&amp;"生成成长"),3))*(VLOOKUP($B$5,标准坦克设计!$B$14:$K$20,9)/30))</f>
        <v>1.0095988864550103</v>
      </c>
      <c r="I115" s="173">
        <f ca="1">(VLOOKUP(I$72,INDIRECT($C$5&amp;"生成成长"),2))/((VLOOKUP($B115,INDIRECT($B$5&amp;"生成成长"),4))/(VLOOKUP(I$72,INDIRECT($C$5&amp;"生成成长"),5))*(VLOOKUP($B$5,标准坦克设计!$B$24:$U$30,MATCH("对"&amp;LEFT($C$5,2)&amp;"输出",标准坦克设计!$B$23:$U$23,0)))*(VLOOKUP($B115,INDIRECT($B$5&amp;"生成成长"),3))*(VLOOKUP($B$5,标准坦克设计!$B$14:$K$20,9)/30))</f>
        <v>1.153655802477128</v>
      </c>
      <c r="J115" s="173">
        <f ca="1">(VLOOKUP(J$72,INDIRECT($C$5&amp;"生成成长"),2))/((VLOOKUP($B115,INDIRECT($B$5&amp;"生成成长"),4))/(VLOOKUP(J$72,INDIRECT($C$5&amp;"生成成长"),5))*(VLOOKUP($B$5,标准坦克设计!$B$24:$U$30,MATCH("对"&amp;LEFT($C$5,2)&amp;"输出",标准坦克设计!$B$23:$U$23,0)))*(VLOOKUP($B115,INDIRECT($B$5&amp;"生成成长"),3))*(VLOOKUP($B$5,标准坦克设计!$B$14:$K$20,9)/30))</f>
        <v>1.3073165129007205</v>
      </c>
      <c r="K115" s="173">
        <f ca="1">(VLOOKUP(K$72,INDIRECT($C$5&amp;"生成成长"),2))/((VLOOKUP($B115,INDIRECT($B$5&amp;"生成成长"),4))/(VLOOKUP(K$72,INDIRECT($C$5&amp;"生成成长"),5))*(VLOOKUP($B$5,标准坦克设计!$B$24:$U$30,MATCH("对"&amp;LEFT($C$5,2)&amp;"输出",标准坦克设计!$B$23:$U$23,0)))*(VLOOKUP($B115,INDIRECT($B$5&amp;"生成成长"),3))*(VLOOKUP($B$5,标准坦克设计!$B$14:$K$20,9)/30))</f>
        <v>1.4705810177257874</v>
      </c>
      <c r="L115" s="173">
        <f ca="1">(VLOOKUP(L$72,INDIRECT($C$5&amp;"生成成长"),2))/((VLOOKUP($B115,INDIRECT($B$5&amp;"生成成长"),4))/(VLOOKUP(L$72,INDIRECT($C$5&amp;"生成成长"),5))*(VLOOKUP($B$5,标准坦克设计!$B$24:$U$30,MATCH("对"&amp;LEFT($C$5,2)&amp;"输出",标准坦克设计!$B$23:$U$23,0)))*(VLOOKUP($B115,INDIRECT($B$5&amp;"生成成长"),3))*(VLOOKUP($B$5,标准坦克设计!$B$14:$K$20,9)/30))</f>
        <v>1.643449316952329</v>
      </c>
      <c r="M115" s="173">
        <f ca="1">(VLOOKUP(M$72,INDIRECT($C$5&amp;"生成成长"),2))/((VLOOKUP($B115,INDIRECT($B$5&amp;"生成成长"),4))/(VLOOKUP(M$72,INDIRECT($C$5&amp;"生成成长"),5))*(VLOOKUP($B$5,标准坦克设计!$B$24:$U$30,MATCH("对"&amp;LEFT($C$5,2)&amp;"输出",标准坦克设计!$B$23:$U$23,0)))*(VLOOKUP($B115,INDIRECT($B$5&amp;"生成成长"),3))*(VLOOKUP($B$5,标准坦克设计!$B$14:$K$20,9)/30))</f>
        <v>1.8259214105803454</v>
      </c>
      <c r="N115" s="173">
        <f ca="1">(VLOOKUP(N$72,INDIRECT($C$5&amp;"生成成长"),2))/((VLOOKUP($B115,INDIRECT($B$5&amp;"生成成长"),4))/(VLOOKUP(N$72,INDIRECT($C$5&amp;"生成成长"),5))*(VLOOKUP($B$5,标准坦克设计!$B$24:$U$30,MATCH("对"&amp;LEFT($C$5,2)&amp;"输出",标准坦克设计!$B$23:$U$23,0)))*(VLOOKUP($B115,INDIRECT($B$5&amp;"生成成长"),3))*(VLOOKUP($B$5,标准坦克设计!$B$14:$K$20,9)/30))</f>
        <v>2.0179972986098358</v>
      </c>
      <c r="O115" s="173">
        <f ca="1">(VLOOKUP(O$72,INDIRECT($C$5&amp;"生成成长"),2))/((VLOOKUP($B115,INDIRECT($B$5&amp;"生成成长"),4))/(VLOOKUP(O$72,INDIRECT($C$5&amp;"生成成长"),5))*(VLOOKUP($B$5,标准坦克设计!$B$24:$U$30,MATCH("对"&amp;LEFT($C$5,2)&amp;"输出",标准坦克设计!$B$23:$U$23,0)))*(VLOOKUP($B115,INDIRECT($B$5&amp;"生成成长"),3))*(VLOOKUP($B$5,标准坦克设计!$B$14:$K$20,9)/30))</f>
        <v>1.5342811852793177</v>
      </c>
      <c r="P115" s="173">
        <f ca="1">(VLOOKUP(P$72,INDIRECT($C$5&amp;"生成成长"),2))/((VLOOKUP($B115,INDIRECT($B$5&amp;"生成成长"),4))/(VLOOKUP(P$72,INDIRECT($C$5&amp;"生成成长"),5))*(VLOOKUP($B$5,标准坦克设计!$B$24:$U$30,MATCH("对"&amp;LEFT($C$5,2)&amp;"输出",标准坦克设计!$B$23:$U$23,0)))*(VLOOKUP($B115,INDIRECT($B$5&amp;"生成成长"),3))*(VLOOKUP($B$5,标准坦克设计!$B$14:$K$20,9)/30))</f>
        <v>1.7334848894661532</v>
      </c>
      <c r="Q115" s="173">
        <f ca="1">(VLOOKUP(Q$72,INDIRECT($C$5&amp;"生成成长"),2))/((VLOOKUP($B115,INDIRECT($B$5&amp;"生成成长"),4))/(VLOOKUP(Q$72,INDIRECT($C$5&amp;"生成成长"),5))*(VLOOKUP($B$5,标准坦克设计!$B$24:$U$30,MATCH("对"&amp;LEFT($C$5,2)&amp;"输出",标准坦克设计!$B$23:$U$23,0)))*(VLOOKUP($B115,INDIRECT($B$5&amp;"生成成长"),3))*(VLOOKUP($B$5,标准坦克设计!$B$14:$K$20,9)/30))</f>
        <v>1.9448433959423537</v>
      </c>
      <c r="R115" s="173">
        <f ca="1">(VLOOKUP(R$72,INDIRECT($C$5&amp;"生成成长"),2))/((VLOOKUP($B115,INDIRECT($B$5&amp;"生成成长"),4))/(VLOOKUP(R$72,INDIRECT($C$5&amp;"生成成长"),5))*(VLOOKUP($B$5,标准坦克设计!$B$24:$U$30,MATCH("对"&amp;LEFT($C$5,2)&amp;"输出",标准坦克设计!$B$23:$U$23,0)))*(VLOOKUP($B115,INDIRECT($B$5&amp;"生成成长"),3))*(VLOOKUP($B$5,标准坦克设计!$B$14:$K$20,9)/30))</f>
        <v>2.1683567047079215</v>
      </c>
      <c r="S115" s="173">
        <f ca="1">(VLOOKUP(S$72,INDIRECT($C$5&amp;"生成成长"),2))/((VLOOKUP($B115,INDIRECT($B$5&amp;"生成成长"),4))/(VLOOKUP(S$72,INDIRECT($C$5&amp;"生成成长"),5))*(VLOOKUP($B$5,标准坦克设计!$B$24:$U$30,MATCH("对"&amp;LEFT($C$5,2)&amp;"输出",标准坦克设计!$B$23:$U$23,0)))*(VLOOKUP($B115,INDIRECT($B$5&amp;"生成成长"),3))*(VLOOKUP($B$5,标准坦克设计!$B$14:$K$20,9)/30))</f>
        <v>2.4040248157628548</v>
      </c>
      <c r="T115" s="173">
        <f ca="1">(VLOOKUP(T$72,INDIRECT($C$5&amp;"生成成长"),2))/((VLOOKUP($B115,INDIRECT($B$5&amp;"生成成长"),4))/(VLOOKUP(T$72,INDIRECT($C$5&amp;"生成成长"),5))*(VLOOKUP($B$5,标准坦克设计!$B$24:$U$30,MATCH("对"&amp;LEFT($C$5,2)&amp;"输出",标准坦克设计!$B$23:$U$23,0)))*(VLOOKUP($B115,INDIRECT($B$5&amp;"生成成长"),3))*(VLOOKUP($B$5,标准坦克设计!$B$14:$K$20,9)/30))</f>
        <v>2.6518477291071547</v>
      </c>
      <c r="U115" s="173">
        <f ca="1">(VLOOKUP(U$72,INDIRECT($C$5&amp;"生成成长"),2))/((VLOOKUP($B115,INDIRECT($B$5&amp;"生成成长"),4))/(VLOOKUP(U$72,INDIRECT($C$5&amp;"生成成长"),5))*(VLOOKUP($B$5,标准坦克设计!$B$24:$U$30,MATCH("对"&amp;LEFT($C$5,2)&amp;"输出",标准坦克设计!$B$23:$U$23,0)))*(VLOOKUP($B115,INDIRECT($B$5&amp;"生成成长"),3))*(VLOOKUP($B$5,标准坦克设计!$B$14:$K$20,9)/30))</f>
        <v>2.9118254447408209</v>
      </c>
      <c r="V115" s="173">
        <f ca="1">(VLOOKUP(V$72,INDIRECT($C$5&amp;"生成成长"),2))/((VLOOKUP($B115,INDIRECT($B$5&amp;"生成成长"),4))/(VLOOKUP(V$72,INDIRECT($C$5&amp;"生成成长"),5))*(VLOOKUP($B$5,标准坦克设计!$B$24:$U$30,MATCH("对"&amp;LEFT($C$5,2)&amp;"输出",标准坦克设计!$B$23:$U$23,0)))*(VLOOKUP($B115,INDIRECT($B$5&amp;"生成成长"),3))*(VLOOKUP($B$5,标准坦克设计!$B$14:$K$20,9)/30))</f>
        <v>3.1839579626638534</v>
      </c>
      <c r="W115" s="173">
        <f ca="1">(VLOOKUP(W$72,INDIRECT($C$5&amp;"生成成长"),2))/((VLOOKUP($B115,INDIRECT($B$5&amp;"生成成长"),4))/(VLOOKUP(W$72,INDIRECT($C$5&amp;"生成成长"),5))*(VLOOKUP($B$5,标准坦克设计!$B$24:$U$30,MATCH("对"&amp;LEFT($C$5,2)&amp;"输出",标准坦克设计!$B$23:$U$23,0)))*(VLOOKUP($B115,INDIRECT($B$5&amp;"生成成长"),3))*(VLOOKUP($B$5,标准坦克设计!$B$14:$K$20,9)/30))</f>
        <v>3.4682452828762522</v>
      </c>
      <c r="X115" s="173">
        <f ca="1">(VLOOKUP(X$72,INDIRECT($C$5&amp;"生成成长"),2))/((VLOOKUP($B115,INDIRECT($B$5&amp;"生成成长"),4))/(VLOOKUP(X$72,INDIRECT($C$5&amp;"生成成长"),5))*(VLOOKUP($B$5,标准坦克设计!$B$24:$U$30,MATCH("对"&amp;LEFT($C$5,2)&amp;"输出",标准坦克设计!$B$23:$U$23,0)))*(VLOOKUP($B115,INDIRECT($B$5&amp;"生成成长"),3))*(VLOOKUP($B$5,标准坦克设计!$B$14:$K$20,9)/30))</f>
        <v>2.5126677399295354</v>
      </c>
      <c r="Y115" s="173">
        <f ca="1">(VLOOKUP(Y$72,INDIRECT($C$5&amp;"生成成长"),2))/((VLOOKUP($B115,INDIRECT($B$5&amp;"生成成长"),4))/(VLOOKUP(Y$72,INDIRECT($C$5&amp;"生成成长"),5))*(VLOOKUP($B$5,标准坦克设计!$B$24:$U$30,MATCH("对"&amp;LEFT($C$5,2)&amp;"输出",标准坦克设计!$B$23:$U$23,0)))*(VLOOKUP($B115,INDIRECT($B$5&amp;"生成成长"),3))*(VLOOKUP($B$5,标准坦克设计!$B$14:$K$20,9)/30))</f>
        <v>2.79477920047285</v>
      </c>
      <c r="Z115" s="173">
        <f ca="1">(VLOOKUP(Z$72,INDIRECT($C$5&amp;"生成成长"),2))/((VLOOKUP($B115,INDIRECT($B$5&amp;"生成成长"),4))/(VLOOKUP(Z$72,INDIRECT($C$5&amp;"生成成长"),5))*(VLOOKUP($B$5,标准坦克设计!$B$24:$U$30,MATCH("对"&amp;LEFT($C$5,2)&amp;"输出",标准坦克设计!$B$23:$U$23,0)))*(VLOOKUP($B115,INDIRECT($B$5&amp;"生成成长"),3))*(VLOOKUP($B$5,标准坦克设计!$B$14:$K$20,9)/30))</f>
        <v>3.091896589768468</v>
      </c>
      <c r="AA115" s="173">
        <f ca="1">(VLOOKUP(AA$72,INDIRECT($C$5&amp;"生成成长"),2))/((VLOOKUP($B115,INDIRECT($B$5&amp;"生成成长"),4))/(VLOOKUP(AA$72,INDIRECT($C$5&amp;"生成成长"),5))*(VLOOKUP($B$5,标准坦克设计!$B$24:$U$30,MATCH("对"&amp;LEFT($C$5,2)&amp;"输出",标准坦克设计!$B$23:$U$23,0)))*(VLOOKUP($B115,INDIRECT($B$5&amp;"生成成长"),3))*(VLOOKUP($B$5,标准坦克设计!$B$14:$K$20,9)/30))</f>
        <v>3.4040199078163904</v>
      </c>
      <c r="AB115" s="173">
        <f ca="1">(VLOOKUP(AB$72,INDIRECT($C$5&amp;"生成成长"),2))/((VLOOKUP($B115,INDIRECT($B$5&amp;"生成成长"),4))/(VLOOKUP(AB$72,INDIRECT($C$5&amp;"生成成长"),5))*(VLOOKUP($B$5,标准坦克设计!$B$24:$U$30,MATCH("对"&amp;LEFT($C$5,2)&amp;"输出",标准坦克设计!$B$23:$U$23,0)))*(VLOOKUP($B115,INDIRECT($B$5&amp;"生成成长"),3))*(VLOOKUP($B$5,标准坦克设计!$B$14:$K$20,9)/30))</f>
        <v>3.7311491546166167</v>
      </c>
      <c r="AC115" s="173">
        <f ca="1">(VLOOKUP(AC$72,INDIRECT($C$5&amp;"生成成长"),2))/((VLOOKUP($B115,INDIRECT($B$5&amp;"生成成长"),4))/(VLOOKUP(AC$72,INDIRECT($C$5&amp;"生成成长"),5))*(VLOOKUP($B$5,标准坦克设计!$B$24:$U$30,MATCH("对"&amp;LEFT($C$5,2)&amp;"输出",标准坦克设计!$B$23:$U$23,0)))*(VLOOKUP($B115,INDIRECT($B$5&amp;"生成成长"),3))*(VLOOKUP($B$5,标准坦克设计!$B$14:$K$20,9)/30))</f>
        <v>4.0732843301691473</v>
      </c>
      <c r="AD115" s="173">
        <f ca="1">(VLOOKUP(AD$72,INDIRECT($C$5&amp;"生成成长"),2))/((VLOOKUP($B115,INDIRECT($B$5&amp;"生成成长"),4))/(VLOOKUP(AD$72,INDIRECT($C$5&amp;"生成成长"),5))*(VLOOKUP($B$5,标准坦克设计!$B$24:$U$30,MATCH("对"&amp;LEFT($C$5,2)&amp;"输出",标准坦克设计!$B$23:$U$23,0)))*(VLOOKUP($B115,INDIRECT($B$5&amp;"生成成长"),3))*(VLOOKUP($B$5,标准坦克设计!$B$14:$K$20,9)/30))</f>
        <v>4.4304254344739817</v>
      </c>
      <c r="AE115" s="173">
        <f ca="1">(VLOOKUP(AE$72,INDIRECT($C$5&amp;"生成成长"),2))/((VLOOKUP($B115,INDIRECT($B$5&amp;"生成成长"),4))/(VLOOKUP(AE$72,INDIRECT($C$5&amp;"生成成长"),5))*(VLOOKUP($B$5,标准坦克设计!$B$24:$U$30,MATCH("对"&amp;LEFT($C$5,2)&amp;"输出",标准坦克设计!$B$23:$U$23,0)))*(VLOOKUP($B115,INDIRECT($B$5&amp;"生成成长"),3))*(VLOOKUP($B$5,标准坦克设计!$B$14:$K$20,9)/30))</f>
        <v>4.8025724675311192</v>
      </c>
      <c r="AF115" s="173">
        <f ca="1">(VLOOKUP(AF$72,INDIRECT($C$5&amp;"生成成长"),2))/((VLOOKUP($B115,INDIRECT($B$5&amp;"生成成长"),4))/(VLOOKUP(AF$72,INDIRECT($C$5&amp;"生成成长"),5))*(VLOOKUP($B$5,标准坦克设计!$B$24:$U$30,MATCH("对"&amp;LEFT($C$5,2)&amp;"输出",标准坦克设计!$B$23:$U$23,0)))*(VLOOKUP($B115,INDIRECT($B$5&amp;"生成成长"),3))*(VLOOKUP($B$5,标准坦克设计!$B$14:$K$20,9)/30))</f>
        <v>5.1897254293405606</v>
      </c>
      <c r="AG115" s="173">
        <f ca="1">(VLOOKUP(AG$72,INDIRECT($C$5&amp;"生成成长"),2))/((VLOOKUP($B115,INDIRECT($B$5&amp;"生成成长"),4))/(VLOOKUP(AG$72,INDIRECT($C$5&amp;"生成成长"),5))*(VLOOKUP($B$5,标准坦克设计!$B$24:$U$30,MATCH("对"&amp;LEFT($C$5,2)&amp;"输出",标准坦克设计!$B$23:$U$23,0)))*(VLOOKUP($B115,INDIRECT($B$5&amp;"生成成长"),3))*(VLOOKUP($B$5,标准坦克设计!$B$14:$K$20,9)/30))</f>
        <v>5.5918843199023076</v>
      </c>
      <c r="AH115" s="173">
        <f ca="1">(VLOOKUP(AH$72,INDIRECT($C$5&amp;"生成成长"),2))/((VLOOKUP($B115,INDIRECT($B$5&amp;"生成成长"),4))/(VLOOKUP(AH$72,INDIRECT($C$5&amp;"生成成长"),5))*(VLOOKUP($B$5,标准坦克设计!$B$24:$U$30,MATCH("对"&amp;LEFT($C$5,2)&amp;"输出",标准坦克设计!$B$23:$U$23,0)))*(VLOOKUP($B115,INDIRECT($B$5&amp;"生成成长"),3))*(VLOOKUP($B$5,标准坦克设计!$B$14:$K$20,9)/30))</f>
        <v>6.0090491392163567</v>
      </c>
      <c r="AI115" s="173">
        <f ca="1">(VLOOKUP(AI$72,INDIRECT($C$5&amp;"生成成长"),2))/((VLOOKUP($B115,INDIRECT($B$5&amp;"生成成长"),4))/(VLOOKUP(AI$72,INDIRECT($C$5&amp;"生成成长"),5))*(VLOOKUP($B$5,标准坦克设计!$B$24:$U$30,MATCH("对"&amp;LEFT($C$5,2)&amp;"输出",标准坦克设计!$B$23:$U$23,0)))*(VLOOKUP($B115,INDIRECT($B$5&amp;"生成成长"),3))*(VLOOKUP($B$5,标准坦克设计!$B$14:$K$20,9)/30))</f>
        <v>4.2499791412275263</v>
      </c>
      <c r="AJ115" s="173">
        <f ca="1">(VLOOKUP(AJ$72,INDIRECT($C$5&amp;"生成成长"),2))/((VLOOKUP($B115,INDIRECT($B$5&amp;"生成成长"),4))/(VLOOKUP(AJ$72,INDIRECT($C$5&amp;"生成成长"),5))*(VLOOKUP($B$5,标准坦克设计!$B$24:$U$30,MATCH("对"&amp;LEFT($C$5,2)&amp;"输出",标准坦克设计!$B$23:$U$23,0)))*(VLOOKUP($B115,INDIRECT($B$5&amp;"生成成长"),3))*(VLOOKUP($B$5,标准坦克设计!$B$14:$K$20,9)/30))</f>
        <v>4.6519129428579875</v>
      </c>
      <c r="AK115" s="173">
        <f ca="1">(VLOOKUP(AK$72,INDIRECT($C$5&amp;"生成成长"),2))/((VLOOKUP($B115,INDIRECT($B$5&amp;"生成成长"),4))/(VLOOKUP(AK$72,INDIRECT($C$5&amp;"生成成长"),5))*(VLOOKUP($B$5,标准坦克设计!$B$24:$U$30,MATCH("对"&amp;LEFT($C$5,2)&amp;"输出",标准坦克设计!$B$23:$U$23,0)))*(VLOOKUP($B115,INDIRECT($B$5&amp;"生成成长"),3))*(VLOOKUP($B$5,标准坦克设计!$B$14:$K$20,9)/30))</f>
        <v>5.0720039182787371</v>
      </c>
      <c r="AL115" s="173">
        <f ca="1">(VLOOKUP(AL$72,INDIRECT($C$5&amp;"生成成长"),2))/((VLOOKUP($B115,INDIRECT($B$5&amp;"生成成长"),4))/(VLOOKUP(AL$72,INDIRECT($C$5&amp;"生成成长"),5))*(VLOOKUP($B$5,标准坦克设计!$B$24:$U$30,MATCH("对"&amp;LEFT($C$5,2)&amp;"输出",标准坦克设计!$B$23:$U$23,0)))*(VLOOKUP($B115,INDIRECT($B$5&amp;"生成成长"),3))*(VLOOKUP($B$5,标准坦克设计!$B$14:$K$20,9)/30))</f>
        <v>5.5102520674897741</v>
      </c>
      <c r="AM115" s="173">
        <f ca="1">(VLOOKUP(AM$72,INDIRECT($C$5&amp;"生成成长"),2))/((VLOOKUP($B115,INDIRECT($B$5&amp;"生成成长"),4))/(VLOOKUP(AM$72,INDIRECT($C$5&amp;"生成成长"),5))*(VLOOKUP($B$5,标准坦克设计!$B$24:$U$30,MATCH("对"&amp;LEFT($C$5,2)&amp;"输出",标准坦克设计!$B$23:$U$23,0)))*(VLOOKUP($B115,INDIRECT($B$5&amp;"生成成长"),3))*(VLOOKUP($B$5,标准坦克设计!$B$14:$K$20,9)/30))</f>
        <v>5.9666573904910987</v>
      </c>
      <c r="AN115" s="173">
        <f ca="1">(VLOOKUP(AN$72,INDIRECT($C$5&amp;"生成成长"),2))/((VLOOKUP($B115,INDIRECT($B$5&amp;"生成成长"),4))/(VLOOKUP(AN$72,INDIRECT($C$5&amp;"生成成长"),5))*(VLOOKUP($B$5,标准坦克设计!$B$24:$U$30,MATCH("对"&amp;LEFT($C$5,2)&amp;"输出",标准坦克设计!$B$23:$U$23,0)))*(VLOOKUP($B115,INDIRECT($B$5&amp;"生成成长"),3))*(VLOOKUP($B$5,标准坦克设计!$B$14:$K$20,9)/30))</f>
        <v>6.4412198872827116</v>
      </c>
      <c r="AO115" s="173">
        <f ca="1">(VLOOKUP(AO$72,INDIRECT($C$5&amp;"生成成长"),2))/((VLOOKUP($B115,INDIRECT($B$5&amp;"生成成长"),4))/(VLOOKUP(AO$72,INDIRECT($C$5&amp;"生成成长"),5))*(VLOOKUP($B$5,标准坦克设计!$B$24:$U$30,MATCH("对"&amp;LEFT($C$5,2)&amp;"输出",标准坦克设计!$B$23:$U$23,0)))*(VLOOKUP($B115,INDIRECT($B$5&amp;"生成成长"),3))*(VLOOKUP($B$5,标准坦克设计!$B$14:$K$20,9)/30))</f>
        <v>6.9339395578646128</v>
      </c>
      <c r="AP115" s="173">
        <f ca="1">(VLOOKUP(AP$72,INDIRECT($C$5&amp;"生成成长"),2))/((VLOOKUP($B115,INDIRECT($B$5&amp;"生成成长"),4))/(VLOOKUP(AP$72,INDIRECT($C$5&amp;"生成成长"),5))*(VLOOKUP($B$5,标准坦克设计!$B$24:$U$30,MATCH("对"&amp;LEFT($C$5,2)&amp;"输出",标准坦克设计!$B$23:$U$23,0)))*(VLOOKUP($B115,INDIRECT($B$5&amp;"生成成长"),3))*(VLOOKUP($B$5,标准坦克设计!$B$14:$K$20,9)/30))</f>
        <v>7.4448164022367989</v>
      </c>
      <c r="AQ115" s="173">
        <f ca="1">(VLOOKUP(AQ$72,INDIRECT($C$5&amp;"生成成长"),2))/((VLOOKUP($B115,INDIRECT($B$5&amp;"生成成长"),4))/(VLOOKUP(AQ$72,INDIRECT($C$5&amp;"生成成长"),5))*(VLOOKUP($B$5,标准坦克设计!$B$24:$U$30,MATCH("对"&amp;LEFT($C$5,2)&amp;"输出",标准坦克设计!$B$23:$U$23,0)))*(VLOOKUP($B115,INDIRECT($B$5&amp;"生成成长"),3))*(VLOOKUP($B$5,标准坦克设计!$B$14:$K$20,9)/30))</f>
        <v>7.9738504203992733</v>
      </c>
      <c r="AR115" s="173">
        <f ca="1">(VLOOKUP(AR$72,INDIRECT($C$5&amp;"生成成长"),2))/((VLOOKUP($B115,INDIRECT($B$5&amp;"生成成长"),4))/(VLOOKUP(AR$72,INDIRECT($C$5&amp;"生成成长"),5))*(VLOOKUP($B$5,标准坦克设计!$B$24:$U$30,MATCH("对"&amp;LEFT($C$5,2)&amp;"输出",标准坦克设计!$B$23:$U$23,0)))*(VLOOKUP($B115,INDIRECT($B$5&amp;"生成成长"),3))*(VLOOKUP($B$5,标准坦克设计!$B$14:$K$20,9)/30))</f>
        <v>8.5210416123520396</v>
      </c>
      <c r="AS115" s="173">
        <f ca="1">(VLOOKUP(AS$72,INDIRECT($C$5&amp;"生成成长"),2))/((VLOOKUP($B115,INDIRECT($B$5&amp;"生成成长"),4))/(VLOOKUP(AS$72,INDIRECT($C$5&amp;"生成成长"),5))*(VLOOKUP($B$5,标准坦克设计!$B$24:$U$30,MATCH("对"&amp;LEFT($C$5,2)&amp;"输出",标准坦克设计!$B$23:$U$23,0)))*(VLOOKUP($B115,INDIRECT($B$5&amp;"生成成长"),3))*(VLOOKUP($B$5,标准坦克设计!$B$14:$K$20,9)/30))</f>
        <v>9.0863899780950899</v>
      </c>
      <c r="AT115" s="173">
        <f ca="1">(VLOOKUP(AT$72,INDIRECT($C$5&amp;"生成成长"),2))/((VLOOKUP($B115,INDIRECT($B$5&amp;"生成成长"),4))/(VLOOKUP(AT$72,INDIRECT($C$5&amp;"生成成长"),5))*(VLOOKUP($B$5,标准坦克设计!$B$24:$U$30,MATCH("对"&amp;LEFT($C$5,2)&amp;"输出",标准坦克设计!$B$23:$U$23,0)))*(VLOOKUP($B115,INDIRECT($B$5&amp;"生成成长"),3))*(VLOOKUP($B$5,标准坦克设计!$B$14:$K$20,9)/30))</f>
        <v>9.6698955176284294</v>
      </c>
      <c r="AU115" s="173">
        <f ca="1">(VLOOKUP(AU$72,INDIRECT($C$5&amp;"生成成长"),2))/((VLOOKUP($B115,INDIRECT($B$5&amp;"生成成长"),4))/(VLOOKUP(AU$72,INDIRECT($C$5&amp;"生成成长"),5))*(VLOOKUP($B$5,标准坦克设计!$B$24:$U$30,MATCH("对"&amp;LEFT($C$5,2)&amp;"输出",标准坦克设计!$B$23:$U$23,0)))*(VLOOKUP($B115,INDIRECT($B$5&amp;"生成成长"),3))*(VLOOKUP($B$5,标准坦克设计!$B$14:$K$20,9)/30))</f>
        <v>10.271558230952055</v>
      </c>
      <c r="AV115" s="173">
        <f ca="1">(VLOOKUP(AV$72,INDIRECT($C$5&amp;"生成成长"),2))/((VLOOKUP($B115,INDIRECT($B$5&amp;"生成成长"),4))/(VLOOKUP(AV$72,INDIRECT($C$5&amp;"生成成长"),5))*(VLOOKUP($B$5,标准坦克设计!$B$24:$U$30,MATCH("对"&amp;LEFT($C$5,2)&amp;"输出",标准坦克设计!$B$23:$U$23,0)))*(VLOOKUP($B115,INDIRECT($B$5&amp;"生成成长"),3))*(VLOOKUP($B$5,标准坦克设计!$B$14:$K$20,9)/30))</f>
        <v>1.0447127597354013</v>
      </c>
      <c r="AW115" s="173">
        <f ca="1">(VLOOKUP(AW$72,INDIRECT($C$5&amp;"生成成长"),2))/((VLOOKUP($B115,INDIRECT($B$5&amp;"生成成长"),4))/(VLOOKUP(AW$72,INDIRECT($C$5&amp;"生成成长"),5))*(VLOOKUP($B$5,标准坦克设计!$B$24:$U$30,MATCH("对"&amp;LEFT($C$5,2)&amp;"输出",标准坦克设计!$B$23:$U$23,0)))*(VLOOKUP($B115,INDIRECT($B$5&amp;"生成成长"),3))*(VLOOKUP($B$5,标准坦克设计!$B$14:$K$20,9)/30))</f>
        <v>1.1911706243578881</v>
      </c>
      <c r="AX115" s="173">
        <f ca="1">(VLOOKUP(AX$72,INDIRECT($C$5&amp;"生成成长"),2))/((VLOOKUP($B115,INDIRECT($B$5&amp;"生成成长"),4))/(VLOOKUP(AX$72,INDIRECT($C$5&amp;"生成成长"),5))*(VLOOKUP($B$5,标准坦克设计!$B$24:$U$30,MATCH("对"&amp;LEFT($C$5,2)&amp;"输出",标准坦克设计!$B$23:$U$23,0)))*(VLOOKUP($B115,INDIRECT($B$5&amp;"生成成长"),3))*(VLOOKUP($B$5,标准坦克设计!$B$14:$K$20,9)/30))</f>
        <v>1.3472322833818491</v>
      </c>
      <c r="AY115" s="173">
        <f ca="1">(VLOOKUP(AY$72,INDIRECT($C$5&amp;"生成成长"),2))/((VLOOKUP($B115,INDIRECT($B$5&amp;"生成成长"),4))/(VLOOKUP(AY$72,INDIRECT($C$5&amp;"生成成长"),5))*(VLOOKUP($B$5,标准坦克设计!$B$24:$U$30,MATCH("对"&amp;LEFT($C$5,2)&amp;"输出",标准坦克设计!$B$23:$U$23,0)))*(VLOOKUP($B115,INDIRECT($B$5&amp;"生成成长"),3))*(VLOOKUP($B$5,标准坦克设计!$B$14:$K$20,9)/30))</f>
        <v>1.5128977368072849</v>
      </c>
      <c r="AZ115" s="173">
        <f ca="1">(VLOOKUP(AZ$72,INDIRECT($C$5&amp;"生成成长"),2))/((VLOOKUP($B115,INDIRECT($B$5&amp;"生成成长"),4))/(VLOOKUP(AZ$72,INDIRECT($C$5&amp;"生成成长"),5))*(VLOOKUP($B$5,标准坦克设计!$B$24:$U$30,MATCH("对"&amp;LEFT($C$5,2)&amp;"输出",标准坦克设计!$B$23:$U$23,0)))*(VLOOKUP($B115,INDIRECT($B$5&amp;"生成成长"),3))*(VLOOKUP($B$5,标准坦克设计!$B$14:$K$20,9)/30))</f>
        <v>1.6881669846341949</v>
      </c>
      <c r="BA115" s="173">
        <f ca="1">(VLOOKUP(BA$72,INDIRECT($C$5&amp;"生成成长"),2))/((VLOOKUP($B115,INDIRECT($B$5&amp;"生成成长"),4))/(VLOOKUP(BA$72,INDIRECT($C$5&amp;"生成成长"),5))*(VLOOKUP($B$5,标准坦克设计!$B$24:$U$30,MATCH("对"&amp;LEFT($C$5,2)&amp;"输出",标准坦克设计!$B$23:$U$23,0)))*(VLOOKUP($B115,INDIRECT($B$5&amp;"生成成长"),3))*(VLOOKUP($B$5,标准坦克设计!$B$14:$K$20,9)/30))</f>
        <v>1.8730400268625798</v>
      </c>
      <c r="BB115" s="173">
        <f ca="1">(VLOOKUP(BB$72,INDIRECT($C$5&amp;"生成成长"),2))/((VLOOKUP($B115,INDIRECT($B$5&amp;"生成成长"),4))/(VLOOKUP(BB$72,INDIRECT($C$5&amp;"生成成长"),5))*(VLOOKUP($B$5,标准坦克设计!$B$24:$U$30,MATCH("对"&amp;LEFT($C$5,2)&amp;"输出",标准坦克设计!$B$23:$U$23,0)))*(VLOOKUP($B115,INDIRECT($B$5&amp;"生成成长"),3))*(VLOOKUP($B$5,标准坦克设计!$B$14:$K$20,9)/30))</f>
        <v>2.0675168634924388</v>
      </c>
      <c r="BC115" s="173">
        <f ca="1">(VLOOKUP(BC$72,INDIRECT($C$5&amp;"生成成长"),2))/((VLOOKUP($B115,INDIRECT($B$5&amp;"生成成长"),4))/(VLOOKUP(BC$72,INDIRECT($C$5&amp;"生成成长"),5))*(VLOOKUP($B$5,标准坦克设计!$B$24:$U$30,MATCH("对"&amp;LEFT($C$5,2)&amp;"输出",标准坦克设计!$B$23:$U$23,0)))*(VLOOKUP($B115,INDIRECT($B$5&amp;"生成成长"),3))*(VLOOKUP($B$5,标准坦克设计!$B$14:$K$20,9)/30))</f>
        <v>2.2715974945237725</v>
      </c>
      <c r="BD115" s="173">
        <f ca="1">(VLOOKUP(BD$72,INDIRECT($C$5&amp;"生成成长"),2))/((VLOOKUP($B115,INDIRECT($B$5&amp;"生成成长"),4))/(VLOOKUP(BD$72,INDIRECT($C$5&amp;"生成成长"),5))*(VLOOKUP($B$5,标准坦克设计!$B$24:$U$30,MATCH("对"&amp;LEFT($C$5,2)&amp;"输出",标准坦克设计!$B$23:$U$23,0)))*(VLOOKUP($B115,INDIRECT($B$5&amp;"生成成长"),3))*(VLOOKUP($B$5,标准坦克设计!$B$14:$K$20,9)/30))</f>
        <v>2.5126677399295354</v>
      </c>
      <c r="BE115" s="173">
        <f ca="1">(VLOOKUP(BE$72,INDIRECT($C$5&amp;"生成成长"),2))/((VLOOKUP($B115,INDIRECT($B$5&amp;"生成成长"),4))/(VLOOKUP(BE$72,INDIRECT($C$5&amp;"生成成长"),5))*(VLOOKUP($B$5,标准坦克设计!$B$24:$U$30,MATCH("对"&amp;LEFT($C$5,2)&amp;"输出",标准坦克设计!$B$23:$U$23,0)))*(VLOOKUP($B115,INDIRECT($B$5&amp;"生成成长"),3))*(VLOOKUP($B$5,标准坦克设计!$B$14:$K$20,9)/30))</f>
        <v>2.7658927876246655</v>
      </c>
      <c r="BF115" s="173">
        <f ca="1">(VLOOKUP(BF$72,INDIRECT($C$5&amp;"生成成长"),2))/((VLOOKUP($B115,INDIRECT($B$5&amp;"生成成长"),4))/(VLOOKUP(BF$72,INDIRECT($C$5&amp;"生成成长"),5))*(VLOOKUP($B$5,标准坦克设计!$B$24:$U$30,MATCH("对"&amp;LEFT($C$5,2)&amp;"输出",标准坦克设计!$B$23:$U$23,0)))*(VLOOKUP($B115,INDIRECT($B$5&amp;"生成成长"),3))*(VLOOKUP($B$5,标准坦克设计!$B$14:$K$20,9)/30))</f>
        <v>3.031272637609161</v>
      </c>
      <c r="BG115" s="173">
        <f ca="1">(VLOOKUP(BG$72,INDIRECT($C$5&amp;"生成成长"),2))/((VLOOKUP($B115,INDIRECT($B$5&amp;"生成成长"),4))/(VLOOKUP(BG$72,INDIRECT($C$5&amp;"生成成长"),5))*(VLOOKUP($B$5,标准坦克设计!$B$24:$U$30,MATCH("对"&amp;LEFT($C$5,2)&amp;"输出",标准坦克设计!$B$23:$U$23,0)))*(VLOOKUP($B115,INDIRECT($B$5&amp;"生成成长"),3))*(VLOOKUP($B$5,标准坦克设计!$B$14:$K$20,9)/30))</f>
        <v>3.3088072898830219</v>
      </c>
      <c r="BH115" s="173">
        <f ca="1">(VLOOKUP(BH$72,INDIRECT($C$5&amp;"生成成长"),2))/((VLOOKUP($B115,INDIRECT($B$5&amp;"生成成长"),4))/(VLOOKUP(BH$72,INDIRECT($C$5&amp;"生成成长"),5))*(VLOOKUP($B$5,标准坦克设计!$B$24:$U$30,MATCH("对"&amp;LEFT($C$5,2)&amp;"输出",标准坦克设计!$B$23:$U$23,0)))*(VLOOKUP($B115,INDIRECT($B$5&amp;"生成成长"),3))*(VLOOKUP($B$5,标准坦克设计!$B$14:$K$20,9)/30))</f>
        <v>1.5993318864205555</v>
      </c>
      <c r="BI115" s="173">
        <f ca="1">(VLOOKUP(BI$72,INDIRECT($C$5&amp;"生成成长"),2))/((VLOOKUP($B115,INDIRECT($B$5&amp;"生成成长"),4))/(VLOOKUP(BI$72,INDIRECT($C$5&amp;"生成成长"),5))*(VLOOKUP($B$5,标准坦克设计!$B$24:$U$30,MATCH("对"&amp;LEFT($C$5,2)&amp;"输出",标准坦克设计!$B$23:$U$23,0)))*(VLOOKUP($B115,INDIRECT($B$5&amp;"生成成长"),3))*(VLOOKUP($B$5,标准坦克设计!$B$14:$K$20,9)/30))</f>
        <v>1.8025871913705127</v>
      </c>
      <c r="BJ115" s="173">
        <f ca="1">(VLOOKUP(BJ$72,INDIRECT($C$5&amp;"生成成长"),2))/((VLOOKUP($B115,INDIRECT($B$5&amp;"生成成长"),4))/(VLOOKUP(BJ$72,INDIRECT($C$5&amp;"生成成长"),5))*(VLOOKUP($B$5,标准坦克设计!$B$24:$U$30,MATCH("对"&amp;LEFT($C$5,2)&amp;"输出",标准坦克设计!$B$23:$U$23,0)))*(VLOOKUP($B115,INDIRECT($B$5&amp;"生成成长"),3))*(VLOOKUP($B$5,标准坦克设计!$B$14:$K$20,9)/30))</f>
        <v>2.0179972986098358</v>
      </c>
      <c r="BK115" s="173">
        <f ca="1">(VLOOKUP(BK$72,INDIRECT($C$5&amp;"生成成长"),2))/((VLOOKUP($B115,INDIRECT($B$5&amp;"生成成长"),4))/(VLOOKUP(BK$72,INDIRECT($C$5&amp;"生成成长"),5))*(VLOOKUP($B$5,标准坦克设计!$B$24:$U$30,MATCH("对"&amp;LEFT($C$5,2)&amp;"输出",标准坦克设计!$B$23:$U$23,0)))*(VLOOKUP($B115,INDIRECT($B$5&amp;"生成成长"),3))*(VLOOKUP($B$5,标准坦克设计!$B$14:$K$20,9)/30))</f>
        <v>2.2455622081385251</v>
      </c>
      <c r="BL115" s="173">
        <f ca="1">(VLOOKUP(BL$72,INDIRECT($C$5&amp;"生成成长"),2))/((VLOOKUP($B115,INDIRECT($B$5&amp;"生成成长"),4))/(VLOOKUP(BL$72,INDIRECT($C$5&amp;"生成成长"),5))*(VLOOKUP($B$5,标准坦克设计!$B$24:$U$30,MATCH("对"&amp;LEFT($C$5,2)&amp;"输出",标准坦克设计!$B$23:$U$23,0)))*(VLOOKUP($B115,INDIRECT($B$5&amp;"生成成长"),3))*(VLOOKUP($B$5,标准坦克设计!$B$14:$K$20,9)/30))</f>
        <v>2.4852819199565808</v>
      </c>
      <c r="BM115" s="173">
        <f ca="1">(VLOOKUP(BM$72,INDIRECT($C$5&amp;"生成成长"),2))/((VLOOKUP($B115,INDIRECT($B$5&amp;"生成成长"),4))/(VLOOKUP(BM$72,INDIRECT($C$5&amp;"生成成长"),5))*(VLOOKUP($B$5,标准坦克设计!$B$24:$U$30,MATCH("对"&amp;LEFT($C$5,2)&amp;"输出",标准坦克设计!$B$23:$U$23,0)))*(VLOOKUP($B115,INDIRECT($B$5&amp;"生成成长"),3))*(VLOOKUP($B$5,标准坦克设计!$B$14:$K$20,9)/30))</f>
        <v>2.7371564340640031</v>
      </c>
      <c r="BN115" s="173">
        <f ca="1">(VLOOKUP(BN$72,INDIRECT($C$5&amp;"生成成长"),2))/((VLOOKUP($B115,INDIRECT($B$5&amp;"生成成长"),4))/(VLOOKUP(BN$72,INDIRECT($C$5&amp;"生成成长"),5))*(VLOOKUP($B$5,标准坦克设计!$B$24:$U$30,MATCH("对"&amp;LEFT($C$5,2)&amp;"输出",标准坦克设计!$B$23:$U$23,0)))*(VLOOKUP($B115,INDIRECT($B$5&amp;"生成成长"),3))*(VLOOKUP($B$5,标准坦克设计!$B$14:$K$20,9)/30))</f>
        <v>3.0011857504607913</v>
      </c>
      <c r="BO115" s="173">
        <f ca="1">(VLOOKUP(BO$72,INDIRECT($C$5&amp;"生成成长"),2))/((VLOOKUP($B115,INDIRECT($B$5&amp;"生成成长"),4))/(VLOOKUP(BO$72,INDIRECT($C$5&amp;"生成成长"),5))*(VLOOKUP($B$5,标准坦克设计!$B$24:$U$30,MATCH("对"&amp;LEFT($C$5,2)&amp;"输出",标准坦克设计!$B$23:$U$23,0)))*(VLOOKUP($B115,INDIRECT($B$5&amp;"生成成长"),3))*(VLOOKUP($B$5,标准坦克设计!$B$14:$K$20,9)/30))</f>
        <v>3.2773698691469448</v>
      </c>
      <c r="BP115" s="173">
        <f ca="1">(VLOOKUP(BP$72,INDIRECT($C$5&amp;"生成成长"),2))/((VLOOKUP($B115,INDIRECT($B$5&amp;"生成成长"),4))/(VLOOKUP(BP$72,INDIRECT($C$5&amp;"生成成长"),5))*(VLOOKUP($B$5,标准坦克设计!$B$24:$U$30,MATCH("对"&amp;LEFT($C$5,2)&amp;"输出",标准坦克设计!$B$23:$U$23,0)))*(VLOOKUP($B115,INDIRECT($B$5&amp;"生成成长"),3))*(VLOOKUP($B$5,标准坦克设计!$B$14:$K$20,9)/30))</f>
        <v>3.5657087901224656</v>
      </c>
      <c r="BQ115" s="173">
        <f ca="1">(VLOOKUP(BQ$72,INDIRECT($C$5&amp;"生成成长"),2))/((VLOOKUP($B115,INDIRECT($B$5&amp;"生成成长"),4))/(VLOOKUP(BQ$72,INDIRECT($C$5&amp;"生成成长"),5))*(VLOOKUP($B$5,标准坦克设计!$B$24:$U$30,MATCH("对"&amp;LEFT($C$5,2)&amp;"输出",标准坦克设计!$B$23:$U$23,0)))*(VLOOKUP($B115,INDIRECT($B$5&amp;"生成成长"),3))*(VLOOKUP($B$5,标准坦克设计!$B$14:$K$20,9)/30))</f>
        <v>3.8662025133873525</v>
      </c>
      <c r="BR115" s="173">
        <f ca="1">(VLOOKUP(BR$72,INDIRECT($C$5&amp;"生成成长"),2))/((VLOOKUP($B115,INDIRECT($B$5&amp;"生成成长"),4))/(VLOOKUP(BR$72,INDIRECT($C$5&amp;"生成成长"),5))*(VLOOKUP($B$5,标准坦克设计!$B$24:$U$30,MATCH("对"&amp;LEFT($C$5,2)&amp;"输出",标准坦克设计!$B$23:$U$23,0)))*(VLOOKUP($B115,INDIRECT($B$5&amp;"生成成长"),3))*(VLOOKUP($B$5,标准坦克设计!$B$14:$K$20,9)/30))</f>
        <v>4.2143400604408043</v>
      </c>
      <c r="BS115" s="173">
        <f ca="1">(VLOOKUP(BS$72,INDIRECT($C$5&amp;"生成成长"),2))/((VLOOKUP($B115,INDIRECT($B$5&amp;"生成成长"),4))/(VLOOKUP(BS$72,INDIRECT($C$5&amp;"生成成长"),5))*(VLOOKUP($B$5,标准坦克设计!$B$24:$U$30,MATCH("对"&amp;LEFT($C$5,2)&amp;"输出",标准坦克设计!$B$23:$U$23,0)))*(VLOOKUP($B115,INDIRECT($B$5&amp;"生成成长"),3))*(VLOOKUP($B$5,标准坦克设计!$B$14:$K$20,9)/30))</f>
        <v>4.57748353624656</v>
      </c>
      <c r="BT115" s="173">
        <f ca="1">(VLOOKUP(BT$72,INDIRECT($C$5&amp;"生成成长"),2))/((VLOOKUP($B115,INDIRECT($B$5&amp;"生成成长"),4))/(VLOOKUP(BT$72,INDIRECT($C$5&amp;"生成成长"),5))*(VLOOKUP($B$5,标准坦克设计!$B$24:$U$30,MATCH("对"&amp;LEFT($C$5,2)&amp;"输出",标准坦克设计!$B$23:$U$23,0)))*(VLOOKUP($B115,INDIRECT($B$5&amp;"生成成长"),3))*(VLOOKUP($B$5,标准坦克设计!$B$14:$K$20,9)/30))</f>
        <v>4.9556329408046196</v>
      </c>
      <c r="BU115" s="173">
        <f ca="1">(VLOOKUP(BU$72,INDIRECT($C$5&amp;"生成成长"),2))/((VLOOKUP($B115,INDIRECT($B$5&amp;"生成成长"),4))/(VLOOKUP(BU$72,INDIRECT($C$5&amp;"生成成长"),5))*(VLOOKUP($B$5,标准坦克设计!$B$24:$U$30,MATCH("对"&amp;LEFT($C$5,2)&amp;"输出",标准坦克设计!$B$23:$U$23,0)))*(VLOOKUP($B115,INDIRECT($B$5&amp;"生成成长"),3))*(VLOOKUP($B$5,标准坦克设计!$B$14:$K$20,9)/30))</f>
        <v>5.348788274114983</v>
      </c>
      <c r="BV115" s="173">
        <f ca="1">(VLOOKUP(BV$72,INDIRECT($C$5&amp;"生成成长"),2))/((VLOOKUP($B115,INDIRECT($B$5&amp;"生成成长"),4))/(VLOOKUP(BV$72,INDIRECT($C$5&amp;"生成成长"),5))*(VLOOKUP($B$5,标准坦克设计!$B$24:$U$30,MATCH("对"&amp;LEFT($C$5,2)&amp;"输出",标准坦克设计!$B$23:$U$23,0)))*(VLOOKUP($B115,INDIRECT($B$5&amp;"生成成长"),3))*(VLOOKUP($B$5,标准坦克设计!$B$14:$K$20,9)/30))</f>
        <v>5.7569495361776504</v>
      </c>
      <c r="BW115" s="173">
        <f ca="1">(VLOOKUP(BW$72,INDIRECT($C$5&amp;"生成成长"),2))/((VLOOKUP($B115,INDIRECT($B$5&amp;"生成成长"),4))/(VLOOKUP(BW$72,INDIRECT($C$5&amp;"生成成长"),5))*(VLOOKUP($B$5,标准坦克设计!$B$24:$U$30,MATCH("对"&amp;LEFT($C$5,2)&amp;"输出",标准坦克设计!$B$23:$U$23,0)))*(VLOOKUP($B115,INDIRECT($B$5&amp;"生成成长"),3))*(VLOOKUP($B$5,标准坦克设计!$B$14:$K$20,9)/30))</f>
        <v>2.6237116126965847</v>
      </c>
      <c r="BX115" s="173">
        <f ca="1">(VLOOKUP(BX$72,INDIRECT($C$5&amp;"生成成长"),2))/((VLOOKUP($B115,INDIRECT($B$5&amp;"生成成长"),4))/(VLOOKUP(BX$72,INDIRECT($C$5&amp;"生成成长"),5))*(VLOOKUP($B$5,标准坦克设计!$B$24:$U$30,MATCH("对"&amp;LEFT($C$5,2)&amp;"输出",标准坦克设计!$B$23:$U$23,0)))*(VLOOKUP($B115,INDIRECT($B$5&amp;"生成成长"),3))*(VLOOKUP($B$5,标准坦克设计!$B$14:$K$20,9)/30))</f>
        <v>2.9118254447408209</v>
      </c>
      <c r="BY115" s="173">
        <f ca="1">(VLOOKUP(BY$72,INDIRECT($C$5&amp;"生成成长"),2))/((VLOOKUP($B115,INDIRECT($B$5&amp;"生成成长"),4))/(VLOOKUP(BY$72,INDIRECT($C$5&amp;"生成成长"),5))*(VLOOKUP($B$5,标准坦克设计!$B$24:$U$30,MATCH("对"&amp;LEFT($C$5,2)&amp;"输出",标准坦克设计!$B$23:$U$23,0)))*(VLOOKUP($B115,INDIRECT($B$5&amp;"生成成长"),3))*(VLOOKUP($B$5,标准坦克设计!$B$14:$K$20,9)/30))</f>
        <v>3.2149452055373611</v>
      </c>
      <c r="BZ115" s="173">
        <f ca="1">(VLOOKUP(BZ$72,INDIRECT($C$5&amp;"生成成长"),2))/((VLOOKUP($B115,INDIRECT($B$5&amp;"生成成长"),4))/(VLOOKUP(BZ$72,INDIRECT($C$5&amp;"生成成长"),5))*(VLOOKUP($B$5,标准坦克设计!$B$24:$U$30,MATCH("对"&amp;LEFT($C$5,2)&amp;"输出",标准坦克设计!$B$23:$U$23,0)))*(VLOOKUP($B115,INDIRECT($B$5&amp;"生成成长"),3))*(VLOOKUP($B$5,标准坦克设计!$B$14:$K$20,9)/30))</f>
        <v>3.5330708950862051</v>
      </c>
      <c r="CA115" s="173">
        <f ca="1">(VLOOKUP(CA$72,INDIRECT($C$5&amp;"生成成长"),2))/((VLOOKUP($B115,INDIRECT($B$5&amp;"生成成长"),4))/(VLOOKUP(CA$72,INDIRECT($C$5&amp;"生成成长"),5))*(VLOOKUP($B$5,标准坦克设计!$B$24:$U$30,MATCH("对"&amp;LEFT($C$5,2)&amp;"输出",标准坦克设计!$B$23:$U$23,0)))*(VLOOKUP($B115,INDIRECT($B$5&amp;"生成成长"),3))*(VLOOKUP($B$5,标准坦克设计!$B$14:$K$20,9)/30))</f>
        <v>3.8662025133873525</v>
      </c>
      <c r="CB115" s="173">
        <f ca="1">(VLOOKUP(CB$72,INDIRECT($C$5&amp;"生成成长"),2))/((VLOOKUP($B115,INDIRECT($B$5&amp;"生成成长"),4))/(VLOOKUP(CB$72,INDIRECT($C$5&amp;"生成成长"),5))*(VLOOKUP($B$5,标准坦克设计!$B$24:$U$30,MATCH("对"&amp;LEFT($C$5,2)&amp;"输出",标准坦克设计!$B$23:$U$23,0)))*(VLOOKUP($B115,INDIRECT($B$5&amp;"生成成长"),3))*(VLOOKUP($B$5,标准坦克设计!$B$14:$K$20,9)/30))</f>
        <v>4.2143400604408043</v>
      </c>
      <c r="CC115" s="173">
        <f ca="1">(VLOOKUP(CC$72,INDIRECT($C$5&amp;"生成成长"),2))/((VLOOKUP($B115,INDIRECT($B$5&amp;"生成成长"),4))/(VLOOKUP(CC$72,INDIRECT($C$5&amp;"生成成长"),5))*(VLOOKUP($B$5,标准坦克设计!$B$24:$U$30,MATCH("对"&amp;LEFT($C$5,2)&amp;"输出",标准坦克设计!$B$23:$U$23,0)))*(VLOOKUP($B115,INDIRECT($B$5&amp;"生成成长"),3))*(VLOOKUP($B$5,标准坦克设计!$B$14:$K$20,9)/30))</f>
        <v>4.57748353624656</v>
      </c>
      <c r="CD115" s="173">
        <f ca="1">(VLOOKUP(CD$72,INDIRECT($C$5&amp;"生成成长"),2))/((VLOOKUP($B115,INDIRECT($B$5&amp;"生成成长"),4))/(VLOOKUP(CD$72,INDIRECT($C$5&amp;"生成成长"),5))*(VLOOKUP($B$5,标准坦克设计!$B$24:$U$30,MATCH("对"&amp;LEFT($C$5,2)&amp;"输出",标准坦克设计!$B$23:$U$23,0)))*(VLOOKUP($B115,INDIRECT($B$5&amp;"生成成长"),3))*(VLOOKUP($B$5,标准坦克设计!$B$14:$K$20,9)/30))</f>
        <v>4.9556329408046196</v>
      </c>
      <c r="CE115" s="173">
        <f ca="1">(VLOOKUP(CE$72,INDIRECT($C$5&amp;"生成成长"),2))/((VLOOKUP($B115,INDIRECT($B$5&amp;"生成成长"),4))/(VLOOKUP(CE$72,INDIRECT($C$5&amp;"生成成长"),5))*(VLOOKUP($B$5,标准坦克设计!$B$24:$U$30,MATCH("对"&amp;LEFT($C$5,2)&amp;"输出",标准坦克设计!$B$23:$U$23,0)))*(VLOOKUP($B115,INDIRECT($B$5&amp;"生成成长"),3))*(VLOOKUP($B$5,标准坦克设计!$B$14:$K$20,9)/30))</f>
        <v>5.348788274114983</v>
      </c>
      <c r="CF115" s="173">
        <f ca="1">(VLOOKUP(CF$72,INDIRECT($C$5&amp;"生成成长"),2))/((VLOOKUP($B115,INDIRECT($B$5&amp;"生成成长"),4))/(VLOOKUP(CF$72,INDIRECT($C$5&amp;"生成成长"),5))*(VLOOKUP($B$5,标准坦克设计!$B$24:$U$30,MATCH("对"&amp;LEFT($C$5,2)&amp;"输出",标准坦克设计!$B$23:$U$23,0)))*(VLOOKUP($B115,INDIRECT($B$5&amp;"生成成长"),3))*(VLOOKUP($B$5,标准坦克设计!$B$14:$K$20,9)/30))</f>
        <v>5.7569495361776504</v>
      </c>
      <c r="CG115" s="173">
        <f ca="1">(VLOOKUP(CG$72,INDIRECT($C$5&amp;"生成成长"),2))/((VLOOKUP($B115,INDIRECT($B$5&amp;"生成成长"),4))/(VLOOKUP(CG$72,INDIRECT($C$5&amp;"生成成长"),5))*(VLOOKUP($B$5,标准坦克设计!$B$24:$U$30,MATCH("对"&amp;LEFT($C$5,2)&amp;"输出",标准坦克设计!$B$23:$U$23,0)))*(VLOOKUP($B115,INDIRECT($B$5&amp;"生成成长"),3))*(VLOOKUP($B$5,标准坦克设计!$B$14:$K$20,9)/30))</f>
        <v>6.1801167269926216</v>
      </c>
      <c r="CH115" s="173">
        <f ca="1">(VLOOKUP(CH$72,INDIRECT($C$5&amp;"生成成长"),2))/((VLOOKUP($B115,INDIRECT($B$5&amp;"生成成长"),4))/(VLOOKUP(CH$72,INDIRECT($C$5&amp;"生成成长"),5))*(VLOOKUP($B$5,标准坦克设计!$B$24:$U$30,MATCH("对"&amp;LEFT($C$5,2)&amp;"输出",标准坦克设计!$B$23:$U$23,0)))*(VLOOKUP($B115,INDIRECT($B$5&amp;"生成成长"),3))*(VLOOKUP($B$5,标准坦克设计!$B$14:$K$20,9)/30))</f>
        <v>6.6182898465598976</v>
      </c>
      <c r="CI115" s="173">
        <f ca="1">(VLOOKUP(CI$72,INDIRECT($C$5&amp;"生成成长"),2))/((VLOOKUP($B115,INDIRECT($B$5&amp;"生成成长"),4))/(VLOOKUP(CI$72,INDIRECT($C$5&amp;"生成成长"),5))*(VLOOKUP($B$5,标准坦克设计!$B$24:$U$30,MATCH("对"&amp;LEFT($C$5,2)&amp;"输出",标准坦克设计!$B$23:$U$23,0)))*(VLOOKUP($B115,INDIRECT($B$5&amp;"生成成长"),3))*(VLOOKUP($B$5,标准坦克设计!$B$14:$K$20,9)/30))</f>
        <v>7.1176121257928111</v>
      </c>
      <c r="CJ115" s="173">
        <f ca="1">(VLOOKUP(CJ$72,INDIRECT($C$5&amp;"生成成长"),2))/((VLOOKUP($B115,INDIRECT($B$5&amp;"生成成长"),4))/(VLOOKUP(CJ$72,INDIRECT($C$5&amp;"生成成长"),5))*(VLOOKUP($B$5,标准坦克设计!$B$24:$U$30,MATCH("对"&amp;LEFT($C$5,2)&amp;"输出",标准坦克设计!$B$23:$U$23,0)))*(VLOOKUP($B115,INDIRECT($B$5&amp;"生成成长"),3))*(VLOOKUP($B$5,标准坦克设计!$B$14:$K$20,9)/30))</f>
        <v>7.6350915788160139</v>
      </c>
      <c r="CK115" s="173">
        <f ca="1">(VLOOKUP(CK$72,INDIRECT($C$5&amp;"生成成长"),2))/((VLOOKUP($B115,INDIRECT($B$5&amp;"生成成长"),4))/(VLOOKUP(CK$72,INDIRECT($C$5&amp;"生成成长"),5))*(VLOOKUP($B$5,标准坦克设计!$B$24:$U$30,MATCH("对"&amp;LEFT($C$5,2)&amp;"输出",标准坦克设计!$B$23:$U$23,0)))*(VLOOKUP($B115,INDIRECT($B$5&amp;"生成成长"),3))*(VLOOKUP($B$5,标准坦克设计!$B$14:$K$20,9)/30))</f>
        <v>8.1707282056295032</v>
      </c>
      <c r="CL115" s="173">
        <f ca="1">(VLOOKUP(CL$72,INDIRECT($C$5&amp;"生成成长"),2))/((VLOOKUP($B115,INDIRECT($B$5&amp;"生成成长"),4))/(VLOOKUP(CL$72,INDIRECT($C$5&amp;"生成成长"),5))*(VLOOKUP($B$5,标准坦克设计!$B$24:$U$30,MATCH("对"&amp;LEFT($C$5,2)&amp;"输出",标准坦克设计!$B$23:$U$23,0)))*(VLOOKUP($B115,INDIRECT($B$5&amp;"生成成长"),3))*(VLOOKUP($B$5,标准坦克设计!$B$14:$K$20,9)/30))</f>
        <v>8.7245220062332809</v>
      </c>
      <c r="CM115" s="173">
        <f ca="1">(VLOOKUP(CM$72,INDIRECT($C$5&amp;"生成成长"),2))/((VLOOKUP($B115,INDIRECT($B$5&amp;"生成成长"),4))/(VLOOKUP(CM$72,INDIRECT($C$5&amp;"生成成长"),5))*(VLOOKUP($B$5,标准坦克设计!$B$24:$U$30,MATCH("对"&amp;LEFT($C$5,2)&amp;"输出",标准坦克设计!$B$23:$U$23,0)))*(VLOOKUP($B115,INDIRECT($B$5&amp;"生成成长"),3))*(VLOOKUP($B$5,标准坦克设计!$B$14:$K$20,9)/30))</f>
        <v>9.2964729806273443</v>
      </c>
      <c r="CN115" s="173">
        <f ca="1">(VLOOKUP(CN$72,INDIRECT($C$5&amp;"生成成长"),2))/((VLOOKUP($B115,INDIRECT($B$5&amp;"生成成长"),4))/(VLOOKUP(CN$72,INDIRECT($C$5&amp;"生成成长"),5))*(VLOOKUP($B$5,标准坦克设计!$B$24:$U$30,MATCH("对"&amp;LEFT($C$5,2)&amp;"输出",标准坦克设计!$B$23:$U$23,0)))*(VLOOKUP($B115,INDIRECT($B$5&amp;"生成成长"),3))*(VLOOKUP($B$5,标准坦克设计!$B$14:$K$20,9)/30))</f>
        <v>9.8865811288116987</v>
      </c>
      <c r="CO115" s="173">
        <f ca="1">(VLOOKUP(CO$72,INDIRECT($C$5&amp;"生成成长"),2))/((VLOOKUP($B115,INDIRECT($B$5&amp;"生成成长"),4))/(VLOOKUP(CO$72,INDIRECT($C$5&amp;"生成成长"),5))*(VLOOKUP($B$5,标准坦克设计!$B$24:$U$30,MATCH("对"&amp;LEFT($C$5,2)&amp;"输出",标准坦克设计!$B$23:$U$23,0)))*(VLOOKUP($B115,INDIRECT($B$5&amp;"生成成长"),3))*(VLOOKUP($B$5,标准坦克设计!$B$14:$K$20,9)/30))</f>
        <v>4.4304254344739817</v>
      </c>
      <c r="CP115" s="173">
        <f ca="1">(VLOOKUP(CP$72,INDIRECT($C$5&amp;"生成成长"),2))/((VLOOKUP($B115,INDIRECT($B$5&amp;"生成成长"),4))/(VLOOKUP(CP$72,INDIRECT($C$5&amp;"生成成长"),5))*(VLOOKUP($B$5,标准坦克设计!$B$24:$U$30,MATCH("对"&amp;LEFT($C$5,2)&amp;"输出",标准坦克设计!$B$23:$U$23,0)))*(VLOOKUP($B115,INDIRECT($B$5&amp;"生成成长"),3))*(VLOOKUP($B$5,标准坦克设计!$B$14:$K$20,9)/30))</f>
        <v>4.8406124969182098</v>
      </c>
      <c r="CQ115" s="173">
        <f ca="1">(VLOOKUP(CQ$72,INDIRECT($C$5&amp;"生成成长"),2))/((VLOOKUP($B115,INDIRECT($B$5&amp;"生成成长"),4))/(VLOOKUP(CQ$72,INDIRECT($C$5&amp;"生成成长"),5))*(VLOOKUP($B$5,标准坦克设计!$B$24:$U$30,MATCH("对"&amp;LEFT($C$5,2)&amp;"输出",标准坦克设计!$B$23:$U$23,0)))*(VLOOKUP($B115,INDIRECT($B$5&amp;"生成成长"),3))*(VLOOKUP($B$5,标准坦克设计!$B$14:$K$20,9)/30))</f>
        <v>5.2689567331527263</v>
      </c>
      <c r="CR115" s="173">
        <f ca="1">(VLOOKUP(CR$72,INDIRECT($C$5&amp;"生成成长"),2))/((VLOOKUP($B115,INDIRECT($B$5&amp;"生成成长"),4))/(VLOOKUP(CR$72,INDIRECT($C$5&amp;"生成成长"),5))*(VLOOKUP($B$5,标准坦克设计!$B$24:$U$30,MATCH("对"&amp;LEFT($C$5,2)&amp;"输出",标准坦克设计!$B$23:$U$23,0)))*(VLOOKUP($B115,INDIRECT($B$5&amp;"生成成长"),3))*(VLOOKUP($B$5,标准坦克设计!$B$14:$K$20,9)/30))</f>
        <v>5.7154581431775302</v>
      </c>
      <c r="CS115" s="173">
        <f ca="1">(VLOOKUP(CS$72,INDIRECT($C$5&amp;"生成成长"),2))/((VLOOKUP($B115,INDIRECT($B$5&amp;"生成成长"),4))/(VLOOKUP(CS$72,INDIRECT($C$5&amp;"生成成长"),5))*(VLOOKUP($B$5,标准坦克设计!$B$24:$U$30,MATCH("对"&amp;LEFT($C$5,2)&amp;"输出",标准坦克设计!$B$23:$U$23,0)))*(VLOOKUP($B115,INDIRECT($B$5&amp;"生成成长"),3))*(VLOOKUP($B$5,标准坦克设计!$B$14:$K$20,9)/30))</f>
        <v>6.1801167269926216</v>
      </c>
      <c r="CT115" s="173">
        <f ca="1">(VLOOKUP(CT$72,INDIRECT($C$5&amp;"生成成长"),2))/((VLOOKUP($B115,INDIRECT($B$5&amp;"生成成长"),4))/(VLOOKUP(CT$72,INDIRECT($C$5&amp;"生成成长"),5))*(VLOOKUP($B$5,标准坦克设计!$B$24:$U$30,MATCH("对"&amp;LEFT($C$5,2)&amp;"输出",标准坦克设计!$B$23:$U$23,0)))*(VLOOKUP($B115,INDIRECT($B$5&amp;"生成成长"),3))*(VLOOKUP($B$5,标准坦克设计!$B$14:$K$20,9)/30))</f>
        <v>6.6629324845980014</v>
      </c>
      <c r="CU115" s="173">
        <f ca="1">(VLOOKUP(CU$72,INDIRECT($C$5&amp;"生成成长"),2))/((VLOOKUP($B115,INDIRECT($B$5&amp;"生成成长"),4))/(VLOOKUP(CU$72,INDIRECT($C$5&amp;"生成成长"),5))*(VLOOKUP($B$5,标准坦克设计!$B$24:$U$30,MATCH("对"&amp;LEFT($C$5,2)&amp;"输出",标准坦克设计!$B$23:$U$23,0)))*(VLOOKUP($B115,INDIRECT($B$5&amp;"生成成长"),3))*(VLOOKUP($B$5,标准坦克设计!$B$14:$K$20,9)/30))</f>
        <v>7.1639054159936704</v>
      </c>
      <c r="CV115" s="173">
        <f ca="1">(VLOOKUP(CV$72,INDIRECT($C$5&amp;"生成成长"),2))/((VLOOKUP($B115,INDIRECT($B$5&amp;"生成成长"),4))/(VLOOKUP(CV$72,INDIRECT($C$5&amp;"生成成长"),5))*(VLOOKUP($B$5,标准坦克设计!$B$24:$U$30,MATCH("对"&amp;LEFT($C$5,2)&amp;"输出",标准坦克设计!$B$23:$U$23,0)))*(VLOOKUP($B115,INDIRECT($B$5&amp;"生成成长"),3))*(VLOOKUP($B$5,标准坦克设计!$B$14:$K$20,9)/30))</f>
        <v>7.6830355211796251</v>
      </c>
      <c r="CW115" s="173">
        <f ca="1">(VLOOKUP(CW$72,INDIRECT($C$5&amp;"生成成长"),2))/((VLOOKUP($B115,INDIRECT($B$5&amp;"生成成长"),4))/(VLOOKUP(CW$72,INDIRECT($C$5&amp;"生成成长"),5))*(VLOOKUP($B$5,标准坦克设计!$B$24:$U$30,MATCH("对"&amp;LEFT($C$5,2)&amp;"输出",标准坦克设计!$B$23:$U$23,0)))*(VLOOKUP($B115,INDIRECT($B$5&amp;"生成成长"),3))*(VLOOKUP($B$5,标准坦克设计!$B$14:$K$20,9)/30))</f>
        <v>8.2203228001558681</v>
      </c>
      <c r="CX115" s="173">
        <f ca="1">(VLOOKUP(CX$72,INDIRECT($C$5&amp;"生成成长"),2))/((VLOOKUP($B115,INDIRECT($B$5&amp;"生成成长"),4))/(VLOOKUP(CX$72,INDIRECT($C$5&amp;"生成成长"),5))*(VLOOKUP($B$5,标准坦克设计!$B$24:$U$30,MATCH("对"&amp;LEFT($C$5,2)&amp;"输出",标准坦克设计!$B$23:$U$23,0)))*(VLOOKUP($B115,INDIRECT($B$5&amp;"生成成长"),3))*(VLOOKUP($B$5,标准坦克设计!$B$14:$K$20,9)/30))</f>
        <v>8.7757672529223996</v>
      </c>
      <c r="CY115" s="173">
        <f ca="1">(VLOOKUP(CY$72,INDIRECT($C$5&amp;"生成成长"),2))/((VLOOKUP($B115,INDIRECT($B$5&amp;"生成成长"),4))/(VLOOKUP(CY$72,INDIRECT($C$5&amp;"生成成长"),5))*(VLOOKUP($B$5,标准坦克设计!$B$24:$U$30,MATCH("对"&amp;LEFT($C$5,2)&amp;"输出",标准坦克设计!$B$23:$U$23,0)))*(VLOOKUP($B115,INDIRECT($B$5&amp;"生成成长"),3))*(VLOOKUP($B$5,标准坦克设计!$B$14:$K$20,9)/30))</f>
        <v>9.3493688794792167</v>
      </c>
      <c r="CZ115" s="173">
        <f ca="1">(VLOOKUP(CZ$72,INDIRECT($C$5&amp;"生成成长"),2))/((VLOOKUP($B115,INDIRECT($B$5&amp;"生成成长"),4))/(VLOOKUP(CZ$72,INDIRECT($C$5&amp;"生成成长"),5))*(VLOOKUP($B$5,标准坦克设计!$B$24:$U$30,MATCH("对"&amp;LEFT($C$5,2)&amp;"输出",标准坦克设计!$B$23:$U$23,0)))*(VLOOKUP($B115,INDIRECT($B$5&amp;"生成成长"),3))*(VLOOKUP($B$5,标准坦克设计!$B$14:$K$20,9)/30))</f>
        <v>9.9411276798263231</v>
      </c>
      <c r="DA115" s="173">
        <f ca="1">(VLOOKUP(DA$72,INDIRECT($C$5&amp;"生成成长"),2))/((VLOOKUP($B115,INDIRECT($B$5&amp;"生成成长"),4))/(VLOOKUP(DA$72,INDIRECT($C$5&amp;"生成成长"),5))*(VLOOKUP($B$5,标准坦克设计!$B$24:$U$30,MATCH("对"&amp;LEFT($C$5,2)&amp;"输出",标准坦克设计!$B$23:$U$23,0)))*(VLOOKUP($B115,INDIRECT($B$5&amp;"生成成长"),3))*(VLOOKUP($B$5,标准坦克设计!$B$14:$K$20,9)/30))</f>
        <v>10.551043653963717</v>
      </c>
      <c r="DB115" s="173">
        <f ca="1">(VLOOKUP(DB$72,INDIRECT($C$5&amp;"生成成长"),2))/((VLOOKUP($B115,INDIRECT($B$5&amp;"生成成长"),4))/(VLOOKUP(DB$72,INDIRECT($C$5&amp;"生成成长"),5))*(VLOOKUP($B$5,标准坦克设计!$B$24:$U$30,MATCH("对"&amp;LEFT($C$5,2)&amp;"输出",标准坦克设计!$B$23:$U$23,0)))*(VLOOKUP($B115,INDIRECT($B$5&amp;"生成成长"),3))*(VLOOKUP($B$5,标准坦克设计!$B$14:$K$20,9)/30))</f>
        <v>11.1791168018914</v>
      </c>
      <c r="DC115" s="173">
        <f ca="1">(VLOOKUP(DC$72,INDIRECT($C$5&amp;"生成成长"),2))/((VLOOKUP($B115,INDIRECT($B$5&amp;"生成成长"),4))/(VLOOKUP(DC$72,INDIRECT($C$5&amp;"生成成长"),5))*(VLOOKUP($B$5,标准坦克设计!$B$24:$U$30,MATCH("对"&amp;LEFT($C$5,2)&amp;"输出",标准坦克设计!$B$23:$U$23,0)))*(VLOOKUP($B115,INDIRECT($B$5&amp;"生成成长"),3))*(VLOOKUP($B$5,标准坦克设计!$B$14:$K$20,9)/30))</f>
        <v>11.884995690399778</v>
      </c>
      <c r="DD115" s="173">
        <f ca="1">(VLOOKUP(DD$72,INDIRECT($C$5&amp;"生成成长"),2))/((VLOOKUP($B115,INDIRECT($B$5&amp;"生成成长"),4))/(VLOOKUP(DD$72,INDIRECT($C$5&amp;"生成成长"),5))*(VLOOKUP($B$5,标准坦克设计!$B$24:$U$30,MATCH("对"&amp;LEFT($C$5,2)&amp;"输出",标准坦克设计!$B$23:$U$23,0)))*(VLOOKUP($B115,INDIRECT($B$5&amp;"生成成长"),3))*(VLOOKUP($B$5,标准坦克设计!$B$14:$K$20,9)/30))</f>
        <v>12.612483116311472</v>
      </c>
      <c r="DE115" s="173">
        <f ca="1">(VLOOKUP(DE$72,INDIRECT($C$5&amp;"生成成长"),2))/((VLOOKUP($B115,INDIRECT($B$5&amp;"生成成长"),4))/(VLOOKUP(DE$72,INDIRECT($C$5&amp;"生成成长"),5))*(VLOOKUP($B$5,标准坦克设计!$B$24:$U$30,MATCH("对"&amp;LEFT($C$5,2)&amp;"输出",标准坦克设计!$B$23:$U$23,0)))*(VLOOKUP($B115,INDIRECT($B$5&amp;"生成成长"),3))*(VLOOKUP($B$5,标准坦克设计!$B$14:$K$20,9)/30))</f>
        <v>13.361579079626487</v>
      </c>
      <c r="DF115" s="173">
        <f ca="1">(VLOOKUP(DF$72,INDIRECT($C$5&amp;"生成成长"),2))/((VLOOKUP($B115,INDIRECT($B$5&amp;"生成成长"),4))/(VLOOKUP(DF$72,INDIRECT($C$5&amp;"生成成长"),5))*(VLOOKUP($B$5,标准坦克设计!$B$24:$U$30,MATCH("对"&amp;LEFT($C$5,2)&amp;"输出",标准坦克设计!$B$23:$U$23,0)))*(VLOOKUP($B115,INDIRECT($B$5&amp;"生成成长"),3))*(VLOOKUP($B$5,标准坦克设计!$B$14:$K$20,9)/30))</f>
        <v>14.13228358034482</v>
      </c>
      <c r="DG115" s="173">
        <f ca="1">(VLOOKUP(DG$72,INDIRECT($C$5&amp;"生成成长"),2))/((VLOOKUP($B115,INDIRECT($B$5&amp;"生成成长"),4))/(VLOOKUP(DG$72,INDIRECT($C$5&amp;"生成成长"),5))*(VLOOKUP($B$5,标准坦克设计!$B$24:$U$30,MATCH("对"&amp;LEFT($C$5,2)&amp;"输出",标准坦克设计!$B$23:$U$23,0)))*(VLOOKUP($B115,INDIRECT($B$5&amp;"生成成长"),3))*(VLOOKUP($B$5,标准坦克设计!$B$14:$K$20,9)/30))</f>
        <v>14.924596618466467</v>
      </c>
      <c r="DH115" s="173">
        <f ca="1">(VLOOKUP(DH$72,INDIRECT($C$5&amp;"生成成长"),2))/((VLOOKUP($B115,INDIRECT($B$5&amp;"生成成长"),4))/(VLOOKUP(DH$72,INDIRECT($C$5&amp;"生成成长"),5))*(VLOOKUP($B$5,标准坦克设计!$B$24:$U$30,MATCH("对"&amp;LEFT($C$5,2)&amp;"输出",标准坦克设计!$B$23:$U$23,0)))*(VLOOKUP($B115,INDIRECT($B$5&amp;"生成成长"),3))*(VLOOKUP($B$5,标准坦克设计!$B$14:$K$20,9)/30))</f>
        <v>15.738518193991434</v>
      </c>
      <c r="DI115" s="173">
        <f ca="1">(VLOOKUP(DI$72,INDIRECT($C$5&amp;"生成成长"),2))/((VLOOKUP($B115,INDIRECT($B$5&amp;"生成成长"),4))/(VLOOKUP(DI$72,INDIRECT($C$5&amp;"生成成长"),5))*(VLOOKUP($B$5,标准坦克设计!$B$24:$U$30,MATCH("对"&amp;LEFT($C$5,2)&amp;"输出",标准坦克设计!$B$23:$U$23,0)))*(VLOOKUP($B115,INDIRECT($B$5&amp;"生成成长"),3))*(VLOOKUP($B$5,标准坦克设计!$B$14:$K$20,9)/30))</f>
        <v>16.574048306919718</v>
      </c>
      <c r="DJ115" s="173">
        <f ca="1">(VLOOKUP(DJ$72,INDIRECT($C$5&amp;"生成成长"),2))/((VLOOKUP($B115,INDIRECT($B$5&amp;"生成成长"),4))/(VLOOKUP(DJ$72,INDIRECT($C$5&amp;"生成成长"),5))*(VLOOKUP($B$5,标准坦克设计!$B$24:$U$30,MATCH("对"&amp;LEFT($C$5,2)&amp;"输出",标准坦克设计!$B$23:$U$23,0)))*(VLOOKUP($B115,INDIRECT($B$5&amp;"生成成长"),3))*(VLOOKUP($B$5,标准坦克设计!$B$14:$K$20,9)/30))</f>
        <v>1.6657331211495003</v>
      </c>
      <c r="DK115" s="173">
        <f ca="1">(VLOOKUP(DK$72,INDIRECT($C$5&amp;"生成成长"),2))/((VLOOKUP($B115,INDIRECT($B$5&amp;"生成成长"),4))/(VLOOKUP(DK$72,INDIRECT($C$5&amp;"生成成长"),5))*(VLOOKUP($B$5,标准坦克设计!$B$24:$U$30,MATCH("对"&amp;LEFT($C$5,2)&amp;"输出",标准坦克设计!$B$23:$U$23,0)))*(VLOOKUP($B115,INDIRECT($B$5&amp;"生成成长"),3))*(VLOOKUP($B$5,标准坦克设计!$B$14:$K$20,9)/30))</f>
        <v>1.8730400268625798</v>
      </c>
      <c r="DL115" s="173">
        <f ca="1">(VLOOKUP(DL$72,INDIRECT($C$5&amp;"生成成长"),2))/((VLOOKUP($B115,INDIRECT($B$5&amp;"生成成长"),4))/(VLOOKUP(DL$72,INDIRECT($C$5&amp;"生成成长"),5))*(VLOOKUP($B$5,标准坦克设计!$B$24:$U$30,MATCH("对"&amp;LEFT($C$5,2)&amp;"输出",标准坦克设计!$B$23:$U$23,0)))*(VLOOKUP($B115,INDIRECT($B$5&amp;"生成成长"),3))*(VLOOKUP($B$5,标准坦克设计!$B$14:$K$20,9)/30))</f>
        <v>2.0925017348650252</v>
      </c>
      <c r="DM115" s="173">
        <f ca="1">(VLOOKUP(DM$72,INDIRECT($C$5&amp;"生成成长"),2))/((VLOOKUP($B115,INDIRECT($B$5&amp;"生成成长"),4))/(VLOOKUP(DM$72,INDIRECT($C$5&amp;"生成成长"),5))*(VLOOKUP($B$5,标准坦克设计!$B$24:$U$30,MATCH("对"&amp;LEFT($C$5,2)&amp;"输出",标准坦克设计!$B$23:$U$23,0)))*(VLOOKUP($B115,INDIRECT($B$5&amp;"生成成长"),3))*(VLOOKUP($B$5,标准坦克设计!$B$14:$K$20,9)/30))</f>
        <v>2.3241182451568361</v>
      </c>
      <c r="DN115" s="173">
        <f ca="1">(VLOOKUP(DN$72,INDIRECT($C$5&amp;"生成成长"),2))/((VLOOKUP($B115,INDIRECT($B$5&amp;"生成成长"),4))/(VLOOKUP(DN$72,INDIRECT($C$5&amp;"生成成长"),5))*(VLOOKUP($B$5,标准坦克设计!$B$24:$U$30,MATCH("对"&amp;LEFT($C$5,2)&amp;"输出",标准坦克设计!$B$23:$U$23,0)))*(VLOOKUP($B115,INDIRECT($B$5&amp;"生成成长"),3))*(VLOOKUP($B$5,标准坦克设计!$B$14:$K$20,9)/30))</f>
        <v>2.5678895577380136</v>
      </c>
      <c r="DO115" s="173">
        <f ca="1">(VLOOKUP(DO$72,INDIRECT($C$5&amp;"生成成长"),2))/((VLOOKUP($B115,INDIRECT($B$5&amp;"生成成长"),4))/(VLOOKUP(DO$72,INDIRECT($C$5&amp;"生成成长"),5))*(VLOOKUP($B$5,标准坦克设计!$B$24:$U$30,MATCH("对"&amp;LEFT($C$5,2)&amp;"输出",标准坦克设计!$B$23:$U$23,0)))*(VLOOKUP($B115,INDIRECT($B$5&amp;"生成成长"),3))*(VLOOKUP($B$5,标准坦克设计!$B$14:$K$20,9)/30))</f>
        <v>2.8238156726085579</v>
      </c>
      <c r="DP115" s="173">
        <f ca="1">(VLOOKUP(DP$72,INDIRECT($C$5&amp;"生成成长"),2))/((VLOOKUP($B115,INDIRECT($B$5&amp;"生成成长"),4))/(VLOOKUP(DP$72,INDIRECT($C$5&amp;"生成成长"),5))*(VLOOKUP($B$5,标准坦克设计!$B$24:$U$30,MATCH("对"&amp;LEFT($C$5,2)&amp;"输出",标准坦克设计!$B$23:$U$23,0)))*(VLOOKUP($B115,INDIRECT($B$5&amp;"生成成长"),3))*(VLOOKUP($B$5,标准坦克设计!$B$14:$K$20,9)/30))</f>
        <v>3.091896589768468</v>
      </c>
      <c r="DQ115" s="173">
        <f ca="1">(VLOOKUP(DQ$72,INDIRECT($C$5&amp;"生成成长"),2))/((VLOOKUP($B115,INDIRECT($B$5&amp;"生成成长"),4))/(VLOOKUP(DQ$72,INDIRECT($C$5&amp;"生成成长"),5))*(VLOOKUP($B$5,标准坦克设计!$B$24:$U$30,MATCH("对"&amp;LEFT($C$5,2)&amp;"输出",标准坦克设计!$B$23:$U$23,0)))*(VLOOKUP($B115,INDIRECT($B$5&amp;"生成成长"),3))*(VLOOKUP($B$5,标准坦克设计!$B$14:$K$20,9)/30))</f>
        <v>3.3721323092177444</v>
      </c>
      <c r="DR115" s="173">
        <f ca="1">(VLOOKUP(DR$72,INDIRECT($C$5&amp;"生成成长"),2))/((VLOOKUP($B115,INDIRECT($B$5&amp;"生成成长"),4))/(VLOOKUP(DR$72,INDIRECT($C$5&amp;"生成成长"),5))*(VLOOKUP($B$5,标准坦克设计!$B$24:$U$30,MATCH("对"&amp;LEFT($C$5,2)&amp;"输出",标准坦克设计!$B$23:$U$23,0)))*(VLOOKUP($B115,INDIRECT($B$5&amp;"生成成长"),3))*(VLOOKUP($B$5,标准坦克设计!$B$14:$K$20,9)/30))</f>
        <v>3.664522830956388</v>
      </c>
      <c r="DS115" s="173">
        <f ca="1">(VLOOKUP(DS$72,INDIRECT($C$5&amp;"生成成长"),2))/((VLOOKUP($B115,INDIRECT($B$5&amp;"生成成长"),4))/(VLOOKUP(DS$72,INDIRECT($C$5&amp;"生成成长"),5))*(VLOOKUP($B$5,标准坦克设计!$B$24:$U$30,MATCH("对"&amp;LEFT($C$5,2)&amp;"输出",标准坦克设计!$B$23:$U$23,0)))*(VLOOKUP($B115,INDIRECT($B$5&amp;"生成成长"),3))*(VLOOKUP($B$5,标准坦克设计!$B$14:$K$20,9)/30))</f>
        <v>3.9690681549843965</v>
      </c>
      <c r="DT115" s="173">
        <f ca="1">(VLOOKUP(DT$72,INDIRECT($C$5&amp;"生成成长"),2))/((VLOOKUP($B115,INDIRECT($B$5&amp;"生成成长"),4))/(VLOOKUP(DT$72,INDIRECT($C$5&amp;"生成成长"),5))*(VLOOKUP($B$5,标准坦克设计!$B$24:$U$30,MATCH("对"&amp;LEFT($C$5,2)&amp;"输出",标准坦克设计!$B$23:$U$23,0)))*(VLOOKUP($B115,INDIRECT($B$5&amp;"生成成长"),3))*(VLOOKUP($B$5,标准坦克设计!$B$14:$K$20,9)/30))</f>
        <v>4.3577967393128301</v>
      </c>
      <c r="DU115" s="173">
        <f ca="1">(VLOOKUP(DU$72,INDIRECT($C$5&amp;"生成成长"),2))/((VLOOKUP($B115,INDIRECT($B$5&amp;"生成成长"),4))/(VLOOKUP(DU$72,INDIRECT($C$5&amp;"生成成长"),5))*(VLOOKUP($B$5,标准坦克设计!$B$24:$U$30,MATCH("对"&amp;LEFT($C$5,2)&amp;"输出",标准坦克设计!$B$23:$U$23,0)))*(VLOOKUP($B115,INDIRECT($B$5&amp;"生成成长"),3))*(VLOOKUP($B$5,标准坦克设计!$B$14:$K$20,9)/30))</f>
        <v>4.7646824974315525</v>
      </c>
      <c r="DV115" s="173">
        <f ca="1">(VLOOKUP(DV$72,INDIRECT($C$5&amp;"生成成长"),2))/((VLOOKUP($B115,INDIRECT($B$5&amp;"生成成长"),4))/(VLOOKUP(DV$72,INDIRECT($C$5&amp;"生成成长"),5))*(VLOOKUP($B$5,标准坦克设计!$B$24:$U$30,MATCH("对"&amp;LEFT($C$5,2)&amp;"输出",标准坦克设计!$B$23:$U$23,0)))*(VLOOKUP($B115,INDIRECT($B$5&amp;"生成成长"),3))*(VLOOKUP($B$5,标准坦克设计!$B$14:$K$20,9)/30))</f>
        <v>5.1897254293405606</v>
      </c>
      <c r="DW115" s="173">
        <f ca="1">(VLOOKUP(DW$72,INDIRECT($C$5&amp;"生成成长"),2))/((VLOOKUP($B115,INDIRECT($B$5&amp;"生成成长"),4))/(VLOOKUP(DW$72,INDIRECT($C$5&amp;"生成成长"),5))*(VLOOKUP($B$5,标准坦克设计!$B$24:$U$30,MATCH("对"&amp;LEFT($C$5,2)&amp;"输出",标准坦克设计!$B$23:$U$23,0)))*(VLOOKUP($B115,INDIRECT($B$5&amp;"生成成长"),3))*(VLOOKUP($B$5,标准坦克设计!$B$14:$K$20,9)/30))</f>
        <v>5.6329255350398588</v>
      </c>
      <c r="DX115" s="173">
        <f ca="1">(VLOOKUP(DX$72,INDIRECT($C$5&amp;"生成成长"),2))/((VLOOKUP($B115,INDIRECT($B$5&amp;"生成成长"),4))/(VLOOKUP(DX$72,INDIRECT($C$5&amp;"生成成长"),5))*(VLOOKUP($B$5,标准坦克设计!$B$24:$U$30,MATCH("对"&amp;LEFT($C$5,2)&amp;"输出",标准坦克设计!$B$23:$U$23,0)))*(VLOOKUP($B115,INDIRECT($B$5&amp;"生成成长"),3))*(VLOOKUP($B$5,标准坦克设计!$B$14:$K$20,9)/30))</f>
        <v>6.0942828145294436</v>
      </c>
      <c r="DY115" s="173">
        <f ca="1">(VLOOKUP(DY$72,INDIRECT($C$5&amp;"生成成长"),2))/((VLOOKUP($B115,INDIRECT($B$5&amp;"生成成长"),4))/(VLOOKUP(DY$72,INDIRECT($C$5&amp;"生成成长"),5))*(VLOOKUP($B$5,标准坦克设计!$B$24:$U$30,MATCH("对"&amp;LEFT($C$5,2)&amp;"输出",标准坦克设计!$B$23:$U$23,0)))*(VLOOKUP($B115,INDIRECT($B$5&amp;"生成成长"),3))*(VLOOKUP($B$5,标准坦克设计!$B$14:$K$20,9)/30))</f>
        <v>2.7371564340640031</v>
      </c>
      <c r="DZ115" s="173">
        <f ca="1">(VLOOKUP(DZ$72,INDIRECT($C$5&amp;"生成成长"),2))/((VLOOKUP($B115,INDIRECT($B$5&amp;"生成成长"),4))/(VLOOKUP(DZ$72,INDIRECT($C$5&amp;"生成成长"),5))*(VLOOKUP($B$5,标准坦克设计!$B$24:$U$30,MATCH("对"&amp;LEFT($C$5,2)&amp;"输出",标准坦克设计!$B$23:$U$23,0)))*(VLOOKUP($B115,INDIRECT($B$5&amp;"生成成长"),3))*(VLOOKUP($B$5,标准坦克设计!$B$14:$K$20,9)/30))</f>
        <v>3.031272637609161</v>
      </c>
      <c r="EA115" s="173">
        <f ca="1">(VLOOKUP(EA$72,INDIRECT($C$5&amp;"生成成长"),2))/((VLOOKUP($B115,INDIRECT($B$5&amp;"生成成长"),4))/(VLOOKUP(EA$72,INDIRECT($C$5&amp;"生成成长"),5))*(VLOOKUP($B$5,标准坦克设计!$B$24:$U$30,MATCH("对"&amp;LEFT($C$5,2)&amp;"输出",标准坦克设计!$B$23:$U$23,0)))*(VLOOKUP($B115,INDIRECT($B$5&amp;"生成成长"),3))*(VLOOKUP($B$5,标准坦克设计!$B$14:$K$20,9)/30))</f>
        <v>3.3403947699066219</v>
      </c>
      <c r="EB115" s="173">
        <f ca="1">(VLOOKUP(EB$72,INDIRECT($C$5&amp;"生成成长"),2))/((VLOOKUP($B115,INDIRECT($B$5&amp;"生成成长"),4))/(VLOOKUP(EB$72,INDIRECT($C$5&amp;"生成成长"),5))*(VLOOKUP($B$5,标准坦克设计!$B$24:$U$30,MATCH("对"&amp;LEFT($C$5,2)&amp;"输出",标准坦克设计!$B$23:$U$23,0)))*(VLOOKUP($B115,INDIRECT($B$5&amp;"生成成长"),3))*(VLOOKUP($B$5,标准坦克设计!$B$14:$K$20,9)/30))</f>
        <v>3.664522830956388</v>
      </c>
      <c r="EC115" s="173">
        <f ca="1">(VLOOKUP(EC$72,INDIRECT($C$5&amp;"生成成长"),2))/((VLOOKUP($B115,INDIRECT($B$5&amp;"生成成长"),4))/(VLOOKUP(EC$72,INDIRECT($C$5&amp;"生成成长"),5))*(VLOOKUP($B$5,标准坦克设计!$B$24:$U$30,MATCH("对"&amp;LEFT($C$5,2)&amp;"输出",标准坦克设计!$B$23:$U$23,0)))*(VLOOKUP($B115,INDIRECT($B$5&amp;"生成成长"),3))*(VLOOKUP($B$5,标准坦克设计!$B$14:$K$20,9)/30))</f>
        <v>4.0036568207584562</v>
      </c>
      <c r="ED115" s="173">
        <f ca="1">(VLOOKUP(ED$72,INDIRECT($C$5&amp;"生成成长"),2))/((VLOOKUP($B115,INDIRECT($B$5&amp;"生成成长"),4))/(VLOOKUP(ED$72,INDIRECT($C$5&amp;"生成成长"),5))*(VLOOKUP($B$5,标准坦克设计!$B$24:$U$30,MATCH("对"&amp;LEFT($C$5,2)&amp;"输出",标准坦克设计!$B$23:$U$23,0)))*(VLOOKUP($B115,INDIRECT($B$5&amp;"生成成长"),3))*(VLOOKUP($B$5,标准坦克设计!$B$14:$K$20,9)/30))</f>
        <v>4.3577967393128301</v>
      </c>
      <c r="EE115" s="173">
        <f ca="1">(VLOOKUP(EE$72,INDIRECT($C$5&amp;"生成成长"),2))/((VLOOKUP($B115,INDIRECT($B$5&amp;"生成成长"),4))/(VLOOKUP(EE$72,INDIRECT($C$5&amp;"生成成长"),5))*(VLOOKUP($B$5,标准坦克设计!$B$24:$U$30,MATCH("对"&amp;LEFT($C$5,2)&amp;"输出",标准坦克设计!$B$23:$U$23,0)))*(VLOOKUP($B115,INDIRECT($B$5&amp;"生成成长"),3))*(VLOOKUP($B$5,标准坦克设计!$B$14:$K$20,9)/30))</f>
        <v>4.7269425866195069</v>
      </c>
      <c r="EF115" s="173">
        <f ca="1">(VLOOKUP(EF$72,INDIRECT($C$5&amp;"生成成长"),2))/((VLOOKUP($B115,INDIRECT($B$5&amp;"生成成长"),4))/(VLOOKUP(EF$72,INDIRECT($C$5&amp;"生成成长"),5))*(VLOOKUP($B$5,标准坦克设计!$B$24:$U$30,MATCH("对"&amp;LEFT($C$5,2)&amp;"输出",标准坦克设计!$B$23:$U$23,0)))*(VLOOKUP($B115,INDIRECT($B$5&amp;"生成成长"),3))*(VLOOKUP($B$5,标准坦克设计!$B$14:$K$20,9)/30))</f>
        <v>5.1110943626784886</v>
      </c>
      <c r="EG115" s="173">
        <f ca="1">(VLOOKUP(EG$72,INDIRECT($C$5&amp;"生成成长"),2))/((VLOOKUP($B115,INDIRECT($B$5&amp;"生成成长"),4))/(VLOOKUP(EG$72,INDIRECT($C$5&amp;"生成成长"),5))*(VLOOKUP($B$5,标准坦克设计!$B$24:$U$30,MATCH("对"&amp;LEFT($C$5,2)&amp;"输出",标准坦克设计!$B$23:$U$23,0)))*(VLOOKUP($B115,INDIRECT($B$5&amp;"生成成长"),3))*(VLOOKUP($B$5,标准坦克设计!$B$14:$K$20,9)/30))</f>
        <v>5.5102520674897741</v>
      </c>
      <c r="EH115" s="173">
        <f ca="1">(VLOOKUP(EH$72,INDIRECT($C$5&amp;"生成成长"),2))/((VLOOKUP($B115,INDIRECT($B$5&amp;"生成成长"),4))/(VLOOKUP(EH$72,INDIRECT($C$5&amp;"生成成长"),5))*(VLOOKUP($B$5,标准坦克设计!$B$24:$U$30,MATCH("对"&amp;LEFT($C$5,2)&amp;"输出",标准坦克设计!$B$23:$U$23,0)))*(VLOOKUP($B115,INDIRECT($B$5&amp;"生成成长"),3))*(VLOOKUP($B$5,标准坦克设计!$B$14:$K$20,9)/30))</f>
        <v>5.9244157010533636</v>
      </c>
      <c r="EI115" s="173">
        <f ca="1">(VLOOKUP(EI$72,INDIRECT($C$5&amp;"生成成长"),2))/((VLOOKUP($B115,INDIRECT($B$5&amp;"生成成长"),4))/(VLOOKUP(EI$72,INDIRECT($C$5&amp;"生成成长"),5))*(VLOOKUP($B$5,标准坦克设计!$B$24:$U$30,MATCH("对"&amp;LEFT($C$5,2)&amp;"输出",标准坦克设计!$B$23:$U$23,0)))*(VLOOKUP($B115,INDIRECT($B$5&amp;"生成成长"),3))*(VLOOKUP($B$5,标准坦克设计!$B$14:$K$20,9)/30))</f>
        <v>6.3535852633692569</v>
      </c>
      <c r="EJ115" s="173">
        <f ca="1">(VLOOKUP(EJ$72,INDIRECT($C$5&amp;"生成成长"),2))/((VLOOKUP($B115,INDIRECT($B$5&amp;"生成成长"),4))/(VLOOKUP(EJ$72,INDIRECT($C$5&amp;"生成成长"),5))*(VLOOKUP($B$5,标准坦克设计!$B$24:$U$30,MATCH("对"&amp;LEFT($C$5,2)&amp;"输出",标准坦克设计!$B$23:$U$23,0)))*(VLOOKUP($B115,INDIRECT($B$5&amp;"生成成长"),3))*(VLOOKUP($B$5,标准坦克设计!$B$14:$K$20,9)/30))</f>
        <v>6.7977607544374523</v>
      </c>
      <c r="EK115" s="173">
        <f ca="1">(VLOOKUP(EK$72,INDIRECT($C$5&amp;"生成成长"),2))/((VLOOKUP($B115,INDIRECT($B$5&amp;"生成成长"),4))/(VLOOKUP(EK$72,INDIRECT($C$5&amp;"生成成长"),5))*(VLOOKUP($B$5,标准坦克设计!$B$24:$U$30,MATCH("对"&amp;LEFT($C$5,2)&amp;"输出",标准坦克设计!$B$23:$U$23,0)))*(VLOOKUP($B115,INDIRECT($B$5&amp;"生成成长"),3))*(VLOOKUP($B$5,标准坦克设计!$B$14:$K$20,9)/30))</f>
        <v>7.3505791696723293</v>
      </c>
      <c r="EL115" s="173">
        <f ca="1">(VLOOKUP(EL$72,INDIRECT($C$5&amp;"生成成长"),2))/((VLOOKUP($B115,INDIRECT($B$5&amp;"生成成长"),4))/(VLOOKUP(EL$72,INDIRECT($C$5&amp;"生成成长"),5))*(VLOOKUP($B$5,标准坦克设计!$B$24:$U$30,MATCH("对"&amp;LEFT($C$5,2)&amp;"输出",标准坦克设计!$B$23:$U$23,0)))*(VLOOKUP($B115,INDIRECT($B$5&amp;"生成成长"),3))*(VLOOKUP($B$5,标准坦克设计!$B$14:$K$20,9)/30))</f>
        <v>7.9250061223105277</v>
      </c>
      <c r="EM115" s="173">
        <f ca="1">(VLOOKUP(EM$72,INDIRECT($C$5&amp;"生成成长"),2))/((VLOOKUP($B115,INDIRECT($B$5&amp;"生成成长"),4))/(VLOOKUP(EM$72,INDIRECT($C$5&amp;"生成成长"),5))*(VLOOKUP($B$5,标准坦克设计!$B$24:$U$30,MATCH("对"&amp;LEFT($C$5,2)&amp;"输出",标准坦克设计!$B$23:$U$23,0)))*(VLOOKUP($B115,INDIRECT($B$5&amp;"生成成长"),3))*(VLOOKUP($B$5,标准坦克设计!$B$14:$K$20,9)/30))</f>
        <v>8.5210416123520396</v>
      </c>
      <c r="EN115" s="173">
        <f ca="1">(VLOOKUP(EN$72,INDIRECT($C$5&amp;"生成成长"),2))/((VLOOKUP($B115,INDIRECT($B$5&amp;"生成成长"),4))/(VLOOKUP(EN$72,INDIRECT($C$5&amp;"生成成长"),5))*(VLOOKUP($B$5,标准坦克设计!$B$24:$U$30,MATCH("对"&amp;LEFT($C$5,2)&amp;"输出",标准坦克设计!$B$23:$U$23,0)))*(VLOOKUP($B115,INDIRECT($B$5&amp;"生成成长"),3))*(VLOOKUP($B$5,标准坦克设计!$B$14:$K$20,9)/30))</f>
        <v>9.1386856397968685</v>
      </c>
      <c r="EO115" s="173">
        <f ca="1">(VLOOKUP(EO$72,INDIRECT($C$5&amp;"生成成长"),2))/((VLOOKUP($B115,INDIRECT($B$5&amp;"生成成长"),4))/(VLOOKUP(EO$72,INDIRECT($C$5&amp;"生成成长"),5))*(VLOOKUP($B$5,标准坦克设计!$B$24:$U$30,MATCH("对"&amp;LEFT($C$5,2)&amp;"输出",标准坦克设计!$B$23:$U$23,0)))*(VLOOKUP($B115,INDIRECT($B$5&amp;"生成成长"),3))*(VLOOKUP($B$5,标准坦克设计!$B$14:$K$20,9)/30))</f>
        <v>9.7779382046450181</v>
      </c>
      <c r="EP115" s="173">
        <f ca="1">(VLOOKUP(EP$72,INDIRECT($C$5&amp;"生成成长"),2))/((VLOOKUP($B115,INDIRECT($B$5&amp;"生成成长"),4))/(VLOOKUP(EP$72,INDIRECT($C$5&amp;"生成成长"),5))*(VLOOKUP($B$5,标准坦克设计!$B$24:$U$30,MATCH("对"&amp;LEFT($C$5,2)&amp;"输出",标准坦克设计!$B$23:$U$23,0)))*(VLOOKUP($B115,INDIRECT($B$5&amp;"生成成长"),3))*(VLOOKUP($B$5,标准坦克设计!$B$14:$K$20,9)/30))</f>
        <v>10.438799306896485</v>
      </c>
      <c r="EQ115" s="173">
        <f ca="1">(VLOOKUP(EQ$72,INDIRECT($C$5&amp;"生成成长"),2))/((VLOOKUP($B115,INDIRECT($B$5&amp;"生成成长"),4))/(VLOOKUP(EQ$72,INDIRECT($C$5&amp;"生成成长"),5))*(VLOOKUP($B$5,标准坦克设计!$B$24:$U$30,MATCH("对"&amp;LEFT($C$5,2)&amp;"输出",标准坦克设计!$B$23:$U$23,0)))*(VLOOKUP($B115,INDIRECT($B$5&amp;"生成成长"),3))*(VLOOKUP($B$5,标准坦克设计!$B$14:$K$20,9)/30))</f>
        <v>4.6146232099085118</v>
      </c>
      <c r="ER115" s="173">
        <f ca="1">(VLOOKUP(ER$72,INDIRECT($C$5&amp;"生成成长"),2))/((VLOOKUP($B115,INDIRECT($B$5&amp;"生成成长"),4))/(VLOOKUP(ER$72,INDIRECT($C$5&amp;"生成成长"),5))*(VLOOKUP($B$5,标准坦克设计!$B$24:$U$30,MATCH("对"&amp;LEFT($C$5,2)&amp;"输出",标准坦克设计!$B$23:$U$23,0)))*(VLOOKUP($B115,INDIRECT($B$5&amp;"生成成长"),3))*(VLOOKUP($B$5,标准坦克设计!$B$14:$K$20,9)/30))</f>
        <v>5.0330635331665077</v>
      </c>
      <c r="ES115" s="173">
        <f ca="1">(VLOOKUP(ES$72,INDIRECT($C$5&amp;"生成成长"),2))/((VLOOKUP($B115,INDIRECT($B$5&amp;"生成成长"),4))/(VLOOKUP(ES$72,INDIRECT($C$5&amp;"生成成长"),5))*(VLOOKUP($B$5,标准坦克设计!$B$24:$U$30,MATCH("对"&amp;LEFT($C$5,2)&amp;"输出",标准坦克设计!$B$23:$U$23,0)))*(VLOOKUP($B115,INDIRECT($B$5&amp;"生成成长"),3))*(VLOOKUP($B$5,标准坦克设计!$B$14:$K$20,9)/30))</f>
        <v>5.4696610302147919</v>
      </c>
      <c r="ET115" s="173">
        <f ca="1">(VLOOKUP(ET$72,INDIRECT($C$5&amp;"生成成长"),2))/((VLOOKUP($B115,INDIRECT($B$5&amp;"生成成长"),4))/(VLOOKUP(ET$72,INDIRECT($C$5&amp;"生成成长"),5))*(VLOOKUP($B$5,标准坦克设计!$B$24:$U$30,MATCH("对"&amp;LEFT($C$5,2)&amp;"输出",标准坦克设计!$B$23:$U$23,0)))*(VLOOKUP($B115,INDIRECT($B$5&amp;"生成成长"),3))*(VLOOKUP($B$5,标准坦克设计!$B$14:$K$20,9)/30))</f>
        <v>5.9244157010533636</v>
      </c>
      <c r="EU115" s="173">
        <f ca="1">(VLOOKUP(EU$72,INDIRECT($C$5&amp;"生成成长"),2))/((VLOOKUP($B115,INDIRECT($B$5&amp;"生成成长"),4))/(VLOOKUP(EU$72,INDIRECT($C$5&amp;"生成成长"),5))*(VLOOKUP($B$5,标准坦克设计!$B$24:$U$30,MATCH("对"&amp;LEFT($C$5,2)&amp;"输出",标准坦克设计!$B$23:$U$23,0)))*(VLOOKUP($B115,INDIRECT($B$5&amp;"生成成长"),3))*(VLOOKUP($B$5,标准坦克设计!$B$14:$K$20,9)/30))</f>
        <v>6.3973275456822218</v>
      </c>
      <c r="EV115" s="173">
        <f ca="1">(VLOOKUP(EV$72,INDIRECT($C$5&amp;"生成成长"),2))/((VLOOKUP($B115,INDIRECT($B$5&amp;"生成成长"),4))/(VLOOKUP(EV$72,INDIRECT($C$5&amp;"生成成长"),5))*(VLOOKUP($B$5,标准坦克设计!$B$24:$U$30,MATCH("对"&amp;LEFT($C$5,2)&amp;"输出",标准坦克设计!$B$23:$U$23,0)))*(VLOOKUP($B115,INDIRECT($B$5&amp;"生成成长"),3))*(VLOOKUP($B$5,标准坦克设计!$B$14:$K$20,9)/30))</f>
        <v>6.8883965641013702</v>
      </c>
      <c r="EW115" s="173">
        <f ca="1">(VLOOKUP(EW$72,INDIRECT($C$5&amp;"生成成长"),2))/((VLOOKUP($B115,INDIRECT($B$5&amp;"生成成长"),4))/(VLOOKUP(EW$72,INDIRECT($C$5&amp;"生成成长"),5))*(VLOOKUP($B$5,标准坦克设计!$B$24:$U$30,MATCH("对"&amp;LEFT($C$5,2)&amp;"输出",标准坦克设计!$B$23:$U$23,0)))*(VLOOKUP($B115,INDIRECT($B$5&amp;"生成成长"),3))*(VLOOKUP($B$5,标准坦克设计!$B$14:$K$20,9)/30))</f>
        <v>7.3976227563108026</v>
      </c>
      <c r="EX115" s="173">
        <f ca="1">(VLOOKUP(EX$72,INDIRECT($C$5&amp;"生成成长"),2))/((VLOOKUP($B115,INDIRECT($B$5&amp;"生成成长"),4))/(VLOOKUP(EX$72,INDIRECT($C$5&amp;"生成成长"),5))*(VLOOKUP($B$5,标准坦克设计!$B$24:$U$30,MATCH("对"&amp;LEFT($C$5,2)&amp;"输出",标准坦克设计!$B$23:$U$23,0)))*(VLOOKUP($B115,INDIRECT($B$5&amp;"生成成长"),3))*(VLOOKUP($B$5,标准坦克设计!$B$14:$K$20,9)/30))</f>
        <v>7.9250061223105277</v>
      </c>
      <c r="EY115" s="173">
        <f ca="1">(VLOOKUP(EY$72,INDIRECT($C$5&amp;"生成成长"),2))/((VLOOKUP($B115,INDIRECT($B$5&amp;"生成成长"),4))/(VLOOKUP(EY$72,INDIRECT($C$5&amp;"生成成长"),5))*(VLOOKUP($B$5,标准坦克设计!$B$24:$U$30,MATCH("对"&amp;LEFT($C$5,2)&amp;"输出",标准坦克设计!$B$23:$U$23,0)))*(VLOOKUP($B115,INDIRECT($B$5&amp;"生成成长"),3))*(VLOOKUP($B$5,标准坦克设计!$B$14:$K$20,9)/30))</f>
        <v>8.470546662100535</v>
      </c>
      <c r="EZ115" s="173">
        <f ca="1">(VLOOKUP(EZ$72,INDIRECT($C$5&amp;"生成成长"),2))/((VLOOKUP($B115,INDIRECT($B$5&amp;"生成成长"),4))/(VLOOKUP(EZ$72,INDIRECT($C$5&amp;"生成成长"),5))*(VLOOKUP($B$5,标准坦克设计!$B$24:$U$30,MATCH("对"&amp;LEFT($C$5,2)&amp;"输出",标准坦克设计!$B$23:$U$23,0)))*(VLOOKUP($B115,INDIRECT($B$5&amp;"生成成长"),3))*(VLOOKUP($B$5,标准坦克设计!$B$14:$K$20,9)/30))</f>
        <v>9.034244375680835</v>
      </c>
      <c r="FA115" s="173">
        <f ca="1">(VLOOKUP(FA$72,INDIRECT($C$5&amp;"生成成长"),2))/((VLOOKUP($B115,INDIRECT($B$5&amp;"生成成长"),4))/(VLOOKUP(FA$72,INDIRECT($C$5&amp;"生成成长"),5))*(VLOOKUP($B$5,标准坦克设计!$B$24:$U$30,MATCH("对"&amp;LEFT($C$5,2)&amp;"输出",标准坦克设计!$B$23:$U$23,0)))*(VLOOKUP($B115,INDIRECT($B$5&amp;"生成成长"),3))*(VLOOKUP($B$5,标准坦克设计!$B$14:$K$20,9)/30))</f>
        <v>9.616099263051419</v>
      </c>
      <c r="FB115" s="173">
        <f ca="1">(VLOOKUP(FB$72,INDIRECT($C$5&amp;"生成成长"),2))/((VLOOKUP($B115,INDIRECT($B$5&amp;"生成成长"),4))/(VLOOKUP(FB$72,INDIRECT($C$5&amp;"生成成长"),5))*(VLOOKUP($B$5,标准坦克设计!$B$24:$U$30,MATCH("对"&amp;LEFT($C$5,2)&amp;"输出",标准坦克设计!$B$23:$U$23,0)))*(VLOOKUP($B115,INDIRECT($B$5&amp;"生成成长"),3))*(VLOOKUP($B$5,标准坦克设计!$B$14:$K$20,9)/30))</f>
        <v>10.216111324212292</v>
      </c>
      <c r="FC115" s="173">
        <f ca="1">(VLOOKUP(FC$72,INDIRECT($C$5&amp;"生成成长"),2))/((VLOOKUP($B115,INDIRECT($B$5&amp;"生成成长"),4))/(VLOOKUP(FC$72,INDIRECT($C$5&amp;"生成成长"),5))*(VLOOKUP($B$5,标准坦克设计!$B$24:$U$30,MATCH("对"&amp;LEFT($C$5,2)&amp;"输出",标准坦克设计!$B$23:$U$23,0)))*(VLOOKUP($B115,INDIRECT($B$5&amp;"生成成长"),3))*(VLOOKUP($B$5,标准坦克设计!$B$14:$K$20,9)/30))</f>
        <v>10.834280559163458</v>
      </c>
      <c r="FD115" s="173">
        <f ca="1">(VLOOKUP(FD$72,INDIRECT($C$5&amp;"生成成长"),2))/((VLOOKUP($B115,INDIRECT($B$5&amp;"生成成长"),4))/(VLOOKUP(FD$72,INDIRECT($C$5&amp;"生成成长"),5))*(VLOOKUP($B$5,标准坦克设计!$B$24:$U$30,MATCH("对"&amp;LEFT($C$5,2)&amp;"输出",标准坦克设计!$B$23:$U$23,0)))*(VLOOKUP($B115,INDIRECT($B$5&amp;"生成成长"),3))*(VLOOKUP($B$5,标准坦克设计!$B$14:$K$20,9)/30))</f>
        <v>11.470606967904905</v>
      </c>
      <c r="FE115" s="173">
        <f ca="1">(VLOOKUP(FE$72,INDIRECT($C$5&amp;"生成成长"),2))/((VLOOKUP($B115,INDIRECT($B$5&amp;"生成成长"),4))/(VLOOKUP(FE$72,INDIRECT($C$5&amp;"生成成长"),5))*(VLOOKUP($B$5,标准坦克设计!$B$24:$U$30,MATCH("对"&amp;LEFT($C$5,2)&amp;"输出",标准坦克设计!$B$23:$U$23,0)))*(VLOOKUP($B115,INDIRECT($B$5&amp;"生成成长"),3))*(VLOOKUP($B$5,标准坦克设计!$B$14:$K$20,9)/30))</f>
        <v>12.246038336180213</v>
      </c>
      <c r="FF115" s="173">
        <f ca="1">(VLOOKUP(FF$72,INDIRECT($C$5&amp;"生成成长"),2))/((VLOOKUP($B115,INDIRECT($B$5&amp;"生成成长"),4))/(VLOOKUP(FF$72,INDIRECT($C$5&amp;"生成成长"),5))*(VLOOKUP($B$5,标准坦克设计!$B$24:$U$30,MATCH("对"&amp;LEFT($C$5,2)&amp;"输出",标准坦克设计!$B$23:$U$23,0)))*(VLOOKUP($B115,INDIRECT($B$5&amp;"生成成长"),3))*(VLOOKUP($B$5,标准坦克设计!$B$14:$K$20,9)/30))</f>
        <v>13.04682972404691</v>
      </c>
      <c r="FG115" s="173">
        <f ca="1">(VLOOKUP(FG$72,INDIRECT($C$5&amp;"生成成长"),2))/((VLOOKUP($B115,INDIRECT($B$5&amp;"生成成长"),4))/(VLOOKUP(FG$72,INDIRECT($C$5&amp;"生成成长"),5))*(VLOOKUP($B$5,标准坦克设计!$B$24:$U$30,MATCH("对"&amp;LEFT($C$5,2)&amp;"输出",标准坦克设计!$B$23:$U$23,0)))*(VLOOKUP($B115,INDIRECT($B$5&amp;"生成成长"),3))*(VLOOKUP($B$5,标准坦克设计!$B$14:$K$20,9)/30))</f>
        <v>13.872981131505009</v>
      </c>
      <c r="FH115" s="173">
        <f ca="1">(VLOOKUP(FH$72,INDIRECT($C$5&amp;"生成成长"),2))/((VLOOKUP($B115,INDIRECT($B$5&amp;"生成成长"),4))/(VLOOKUP(FH$72,INDIRECT($C$5&amp;"生成成长"),5))*(VLOOKUP($B$5,标准坦克设计!$B$24:$U$30,MATCH("对"&amp;LEFT($C$5,2)&amp;"输出",标准坦克设计!$B$23:$U$23,0)))*(VLOOKUP($B115,INDIRECT($B$5&amp;"生成成长"),3))*(VLOOKUP($B$5,标准坦克设计!$B$14:$K$20,9)/30))</f>
        <v>14.724492558554497</v>
      </c>
      <c r="FI115" s="173">
        <f ca="1">(VLOOKUP(FI$72,INDIRECT($C$5&amp;"生成成长"),2))/((VLOOKUP($B115,INDIRECT($B$5&amp;"生成成长"),4))/(VLOOKUP(FI$72,INDIRECT($C$5&amp;"生成成长"),5))*(VLOOKUP($B$5,标准坦克设计!$B$24:$U$30,MATCH("对"&amp;LEFT($C$5,2)&amp;"输出",标准坦克设计!$B$23:$U$23,0)))*(VLOOKUP($B115,INDIRECT($B$5&amp;"生成成长"),3))*(VLOOKUP($B$5,标准坦克设计!$B$14:$K$20,9)/30))</f>
        <v>15.601364005195373</v>
      </c>
      <c r="FJ115" s="173">
        <f ca="1">(VLOOKUP(FJ$72,INDIRECT($C$5&amp;"生成成长"),2))/((VLOOKUP($B115,INDIRECT($B$5&amp;"生成成长"),4))/(VLOOKUP(FJ$72,INDIRECT($C$5&amp;"生成成长"),5))*(VLOOKUP($B$5,标准坦克设计!$B$24:$U$30,MATCH("对"&amp;LEFT($C$5,2)&amp;"输出",标准坦克设计!$B$23:$U$23,0)))*(VLOOKUP($B115,INDIRECT($B$5&amp;"生成成长"),3))*(VLOOKUP($B$5,标准坦克设计!$B$14:$K$20,9)/30))</f>
        <v>16.503595471427648</v>
      </c>
      <c r="FK115" s="173">
        <f ca="1">(VLOOKUP(FK$72,INDIRECT($C$5&amp;"生成成长"),2))/((VLOOKUP($B115,INDIRECT($B$5&amp;"生成成长"),4))/(VLOOKUP(FK$72,INDIRECT($C$5&amp;"生成成长"),5))*(VLOOKUP($B$5,标准坦克设计!$B$24:$U$30,MATCH("对"&amp;LEFT($C$5,2)&amp;"输出",标准坦克设计!$B$23:$U$23,0)))*(VLOOKUP($B115,INDIRECT($B$5&amp;"生成成长"),3))*(VLOOKUP($B$5,标准坦克设计!$B$14:$K$20,9)/30))</f>
        <v>17.43118695725132</v>
      </c>
    </row>
    <row r="116" spans="1:167" x14ac:dyDescent="0.15">
      <c r="A116" s="171" t="str">
        <f t="shared" si="11"/>
        <v>T5低品质12级</v>
      </c>
      <c r="B116" s="172">
        <v>10512</v>
      </c>
      <c r="C116" s="173">
        <f ca="1">(VLOOKUP(C$72,INDIRECT($C$5&amp;"生成成长"),2))/((VLOOKUP($B116,INDIRECT($B$5&amp;"生成成长"),4))/(VLOOKUP(C$72,INDIRECT($C$5&amp;"生成成长"),5))*(VLOOKUP($B$5,标准坦克设计!$B$24:$U$30,MATCH("对"&amp;LEFT($C$5,2)&amp;"输出",标准坦克设计!$B$23:$U$23,0)))*(VLOOKUP($B116,INDIRECT($B$5&amp;"生成成长"),3))*(VLOOKUP($B$5,标准坦克设计!$B$14:$K$20,9)/30))</f>
        <v>0.70441957457929572</v>
      </c>
      <c r="D116" s="173">
        <f ca="1">(VLOOKUP(D$72,INDIRECT($C$5&amp;"生成成长"),2))/((VLOOKUP($B116,INDIRECT($B$5&amp;"生成成长"),4))/(VLOOKUP(D$72,INDIRECT($C$5&amp;"生成成长"),5))*(VLOOKUP($B$5,标准坦克设计!$B$24:$U$30,MATCH("对"&amp;LEFT($C$5,2)&amp;"输出",标准坦克设计!$B$23:$U$23,0)))*(VLOOKUP($B116,INDIRECT($B$5&amp;"生成成长"),3))*(VLOOKUP($B$5,标准坦克设计!$B$14:$K$20,9)/30))</f>
        <v>0.79148583399729666</v>
      </c>
      <c r="E116" s="173">
        <f ca="1">(VLOOKUP(E$72,INDIRECT($C$5&amp;"生成成长"),2))/((VLOOKUP($B116,INDIRECT($B$5&amp;"生成成长"),4))/(VLOOKUP(E$72,INDIRECT($C$5&amp;"生成成长"),5))*(VLOOKUP($B$5,标准坦克设计!$B$24:$U$30,MATCH("对"&amp;LEFT($C$5,2)&amp;"输出",标准坦克设计!$B$23:$U$23,0)))*(VLOOKUP($B116,INDIRECT($B$5&amp;"生成成长"),3))*(VLOOKUP($B$5,标准坦克设计!$B$14:$K$20,9)/30))</f>
        <v>0.8836239143522685</v>
      </c>
      <c r="F116" s="173">
        <f ca="1">(VLOOKUP(F$72,INDIRECT($C$5&amp;"生成成长"),2))/((VLOOKUP($B116,INDIRECT($B$5&amp;"生成成长"),4))/(VLOOKUP(F$72,INDIRECT($C$5&amp;"生成成长"),5))*(VLOOKUP($B$5,标准坦克设计!$B$24:$U$30,MATCH("对"&amp;LEFT($C$5,2)&amp;"输出",标准坦克设计!$B$23:$U$23,0)))*(VLOOKUP($B116,INDIRECT($B$5&amp;"生成成长"),3))*(VLOOKUP($B$5,标准坦克设计!$B$14:$K$20,9)/30))</f>
        <v>0.98083381564421124</v>
      </c>
      <c r="G116" s="173">
        <f ca="1">(VLOOKUP(G$72,INDIRECT($C$5&amp;"生成成长"),2))/((VLOOKUP($B116,INDIRECT($B$5&amp;"生成成长"),4))/(VLOOKUP(G$72,INDIRECT($C$5&amp;"生成成长"),5))*(VLOOKUP($B$5,标准坦克设计!$B$24:$U$30,MATCH("对"&amp;LEFT($C$5,2)&amp;"输出",标准坦克设计!$B$23:$U$23,0)))*(VLOOKUP($B116,INDIRECT($B$5&amp;"生成成长"),3))*(VLOOKUP($B$5,标准坦克设计!$B$14:$K$20,9)/30))</f>
        <v>1.083115537873125</v>
      </c>
      <c r="H116" s="173">
        <f ca="1">(VLOOKUP(H$72,INDIRECT($C$5&amp;"生成成长"),2))/((VLOOKUP($B116,INDIRECT($B$5&amp;"生成成长"),4))/(VLOOKUP(H$72,INDIRECT($C$5&amp;"生成成长"),5))*(VLOOKUP($B$5,标准坦克设计!$B$24:$U$30,MATCH("对"&amp;LEFT($C$5,2)&amp;"输出",标准坦克设计!$B$23:$U$23,0)))*(VLOOKUP($B116,INDIRECT($B$5&amp;"生成成长"),3))*(VLOOKUP($B$5,标准坦克设计!$B$14:$K$20,9)/30))</f>
        <v>0.94786697955390031</v>
      </c>
      <c r="I116" s="173">
        <f ca="1">(VLOOKUP(I$72,INDIRECT($C$5&amp;"生成成长"),2))/((VLOOKUP($B116,INDIRECT($B$5&amp;"生成成长"),4))/(VLOOKUP(I$72,INDIRECT($C$5&amp;"生成成长"),5))*(VLOOKUP($B$5,标准坦克设计!$B$24:$U$30,MATCH("对"&amp;LEFT($C$5,2)&amp;"输出",标准坦克设计!$B$23:$U$23,0)))*(VLOOKUP($B116,INDIRECT($B$5&amp;"生成成长"),3))*(VLOOKUP($B$5,标准坦克设计!$B$14:$K$20,9)/30))</f>
        <v>1.083115537873125</v>
      </c>
      <c r="J116" s="173">
        <f ca="1">(VLOOKUP(J$72,INDIRECT($C$5&amp;"生成成长"),2))/((VLOOKUP($B116,INDIRECT($B$5&amp;"生成成长"),4))/(VLOOKUP(J$72,INDIRECT($C$5&amp;"生成成长"),5))*(VLOOKUP($B$5,标准坦克设计!$B$24:$U$30,MATCH("对"&amp;LEFT($C$5,2)&amp;"输出",标准坦克设计!$B$23:$U$23,0)))*(VLOOKUP($B116,INDIRECT($B$5&amp;"生成成长"),3))*(VLOOKUP($B$5,标准坦克设计!$B$14:$K$20,9)/30))</f>
        <v>1.2273806667469647</v>
      </c>
      <c r="K116" s="173">
        <f ca="1">(VLOOKUP(K$72,INDIRECT($C$5&amp;"生成成长"),2))/((VLOOKUP($B116,INDIRECT($B$5&amp;"生成成长"),4))/(VLOOKUP(K$72,INDIRECT($C$5&amp;"生成成长"),5))*(VLOOKUP($B$5,标准坦克设计!$B$24:$U$30,MATCH("对"&amp;LEFT($C$5,2)&amp;"输出",标准坦克设计!$B$23:$U$23,0)))*(VLOOKUP($B116,INDIRECT($B$5&amp;"生成成长"),3))*(VLOOKUP($B$5,标准坦克设计!$B$14:$K$20,9)/30))</f>
        <v>1.3806623661754196</v>
      </c>
      <c r="L116" s="173">
        <f ca="1">(VLOOKUP(L$72,INDIRECT($C$5&amp;"生成成长"),2))/((VLOOKUP($B116,INDIRECT($B$5&amp;"生成成长"),4))/(VLOOKUP(L$72,INDIRECT($C$5&amp;"生成成长"),5))*(VLOOKUP($B$5,标准坦克设计!$B$24:$U$30,MATCH("对"&amp;LEFT($C$5,2)&amp;"输出",标准坦克设计!$B$23:$U$23,0)))*(VLOOKUP($B116,INDIRECT($B$5&amp;"生成成长"),3))*(VLOOKUP($B$5,标准坦克设计!$B$14:$K$20,9)/30))</f>
        <v>1.5429606361584891</v>
      </c>
      <c r="M116" s="173">
        <f ca="1">(VLOOKUP(M$72,INDIRECT($C$5&amp;"生成成长"),2))/((VLOOKUP($B116,INDIRECT($B$5&amp;"生成成长"),4))/(VLOOKUP(M$72,INDIRECT($C$5&amp;"生成成长"),5))*(VLOOKUP($B$5,标准坦克设计!$B$24:$U$30,MATCH("对"&amp;LEFT($C$5,2)&amp;"输出",标准坦克设计!$B$23:$U$23,0)))*(VLOOKUP($B116,INDIRECT($B$5&amp;"生成成长"),3))*(VLOOKUP($B$5,标准坦克设计!$B$14:$K$20,9)/30))</f>
        <v>1.7142754766961741</v>
      </c>
      <c r="N116" s="173">
        <f ca="1">(VLOOKUP(N$72,INDIRECT($C$5&amp;"生成成长"),2))/((VLOOKUP($B116,INDIRECT($B$5&amp;"生成成长"),4))/(VLOOKUP(N$72,INDIRECT($C$5&amp;"生成成长"),5))*(VLOOKUP($B$5,标准坦克设计!$B$24:$U$30,MATCH("对"&amp;LEFT($C$5,2)&amp;"输出",标准坦克设计!$B$23:$U$23,0)))*(VLOOKUP($B116,INDIRECT($B$5&amp;"生成成长"),3))*(VLOOKUP($B$5,标准坦克设计!$B$14:$K$20,9)/30))</f>
        <v>1.8946068877884736</v>
      </c>
      <c r="O116" s="173">
        <f ca="1">(VLOOKUP(O$72,INDIRECT($C$5&amp;"生成成长"),2))/((VLOOKUP($B116,INDIRECT($B$5&amp;"生成成长"),4))/(VLOOKUP(O$72,INDIRECT($C$5&amp;"生成成长"),5))*(VLOOKUP($B$5,标准坦克设计!$B$24:$U$30,MATCH("对"&amp;LEFT($C$5,2)&amp;"输出",标准坦克设计!$B$23:$U$23,0)))*(VLOOKUP($B116,INDIRECT($B$5&amp;"生成成长"),3))*(VLOOKUP($B$5,标准坦克设计!$B$14:$K$20,9)/30))</f>
        <v>1.4404675880572015</v>
      </c>
      <c r="P116" s="173">
        <f ca="1">(VLOOKUP(P$72,INDIRECT($C$5&amp;"生成成长"),2))/((VLOOKUP($B116,INDIRECT($B$5&amp;"生成成长"),4))/(VLOOKUP(P$72,INDIRECT($C$5&amp;"生成成长"),5))*(VLOOKUP($B$5,标准坦克设计!$B$24:$U$30,MATCH("对"&amp;LEFT($C$5,2)&amp;"输出",标准坦克设计!$B$23:$U$23,0)))*(VLOOKUP($B116,INDIRECT($B$5&amp;"生成成长"),3))*(VLOOKUP($B$5,标准坦克设计!$B$14:$K$20,9)/30))</f>
        <v>1.6274909851080046</v>
      </c>
      <c r="Q116" s="173">
        <f ca="1">(VLOOKUP(Q$72,INDIRECT($C$5&amp;"生成成长"),2))/((VLOOKUP($B116,INDIRECT($B$5&amp;"生成成长"),4))/(VLOOKUP(Q$72,INDIRECT($C$5&amp;"生成成长"),5))*(VLOOKUP($B$5,标准坦克设计!$B$24:$U$30,MATCH("对"&amp;LEFT($C$5,2)&amp;"输出",标准坦克设计!$B$23:$U$23,0)))*(VLOOKUP($B116,INDIRECT($B$5&amp;"生成成长"),3))*(VLOOKUP($B$5,标准坦克设计!$B$14:$K$20,9)/30))</f>
        <v>1.8259259792669922</v>
      </c>
      <c r="R116" s="173">
        <f ca="1">(VLOOKUP(R$72,INDIRECT($C$5&amp;"生成成长"),2))/((VLOOKUP($B116,INDIRECT($B$5&amp;"生成成长"),4))/(VLOOKUP(R$72,INDIRECT($C$5&amp;"生成成长"),5))*(VLOOKUP($B$5,标准坦克设计!$B$24:$U$30,MATCH("对"&amp;LEFT($C$5,2)&amp;"输出",标准坦克设计!$B$23:$U$23,0)))*(VLOOKUP($B116,INDIRECT($B$5&amp;"生成成长"),3))*(VLOOKUP($B$5,标准坦克设计!$B$14:$K$20,9)/30))</f>
        <v>2.0357725705341645</v>
      </c>
      <c r="S116" s="173">
        <f ca="1">(VLOOKUP(S$72,INDIRECT($C$5&amp;"生成成长"),2))/((VLOOKUP($B116,INDIRECT($B$5&amp;"生成成长"),4))/(VLOOKUP(S$72,INDIRECT($C$5&amp;"生成成长"),5))*(VLOOKUP($B$5,标准坦克设计!$B$24:$U$30,MATCH("对"&amp;LEFT($C$5,2)&amp;"输出",标准坦克设计!$B$23:$U$23,0)))*(VLOOKUP($B116,INDIRECT($B$5&amp;"生成成长"),3))*(VLOOKUP($B$5,标准坦克设计!$B$14:$K$20,9)/30))</f>
        <v>2.2570307589095213</v>
      </c>
      <c r="T116" s="173">
        <f ca="1">(VLOOKUP(T$72,INDIRECT($C$5&amp;"生成成长"),2))/((VLOOKUP($B116,INDIRECT($B$5&amp;"生成成长"),4))/(VLOOKUP(T$72,INDIRECT($C$5&amp;"生成成长"),5))*(VLOOKUP($B$5,标准坦克设计!$B$24:$U$30,MATCH("对"&amp;LEFT($C$5,2)&amp;"输出",标准坦克设计!$B$23:$U$23,0)))*(VLOOKUP($B116,INDIRECT($B$5&amp;"生成成长"),3))*(VLOOKUP($B$5,标准坦克设计!$B$14:$K$20,9)/30))</f>
        <v>2.4897005443930622</v>
      </c>
      <c r="U116" s="173">
        <f ca="1">(VLOOKUP(U$72,INDIRECT($C$5&amp;"生成成长"),2))/((VLOOKUP($B116,INDIRECT($B$5&amp;"生成成长"),4))/(VLOOKUP(U$72,INDIRECT($C$5&amp;"生成成长"),5))*(VLOOKUP($B$5,标准坦克设计!$B$24:$U$30,MATCH("对"&amp;LEFT($C$5,2)&amp;"输出",标准坦克设计!$B$23:$U$23,0)))*(VLOOKUP($B116,INDIRECT($B$5&amp;"生成成长"),3))*(VLOOKUP($B$5,标准坦克设计!$B$14:$K$20,9)/30))</f>
        <v>2.7337819269847881</v>
      </c>
      <c r="V116" s="173">
        <f ca="1">(VLOOKUP(V$72,INDIRECT($C$5&amp;"生成成长"),2))/((VLOOKUP($B116,INDIRECT($B$5&amp;"生成成长"),4))/(VLOOKUP(V$72,INDIRECT($C$5&amp;"生成成长"),5))*(VLOOKUP($B$5,标准坦克设计!$B$24:$U$30,MATCH("对"&amp;LEFT($C$5,2)&amp;"输出",标准坦克设计!$B$23:$U$23,0)))*(VLOOKUP($B116,INDIRECT($B$5&amp;"生成成长"),3))*(VLOOKUP($B$5,标准坦克设计!$B$14:$K$20,9)/30))</f>
        <v>2.9892749066846998</v>
      </c>
      <c r="W116" s="173">
        <f ca="1">(VLOOKUP(W$72,INDIRECT($C$5&amp;"生成成长"),2))/((VLOOKUP($B116,INDIRECT($B$5&amp;"生成成长"),4))/(VLOOKUP(W$72,INDIRECT($C$5&amp;"生成成长"),5))*(VLOOKUP($B$5,标准坦克设计!$B$24:$U$30,MATCH("对"&amp;LEFT($C$5,2)&amp;"输出",标准坦克设计!$B$23:$U$23,0)))*(VLOOKUP($B116,INDIRECT($B$5&amp;"生成成长"),3))*(VLOOKUP($B$5,标准坦克设计!$B$14:$K$20,9)/30))</f>
        <v>3.2561794834927942</v>
      </c>
      <c r="X116" s="173">
        <f ca="1">(VLOOKUP(X$72,INDIRECT($C$5&amp;"生成成长"),2))/((VLOOKUP($B116,INDIRECT($B$5&amp;"生成成长"),4))/(VLOOKUP(X$72,INDIRECT($C$5&amp;"生成成长"),5))*(VLOOKUP($B$5,标准坦克设计!$B$24:$U$30,MATCH("对"&amp;LEFT($C$5,2)&amp;"输出",标准坦克设计!$B$23:$U$23,0)))*(VLOOKUP($B116,INDIRECT($B$5&amp;"生成成长"),3))*(VLOOKUP($B$5,标准坦克设计!$B$14:$K$20,9)/30))</f>
        <v>2.3590307133086035</v>
      </c>
      <c r="Y116" s="173">
        <f ca="1">(VLOOKUP(Y$72,INDIRECT($C$5&amp;"生成成长"),2))/((VLOOKUP($B116,INDIRECT($B$5&amp;"生成成长"),4))/(VLOOKUP(Y$72,INDIRECT($C$5&amp;"生成成长"),5))*(VLOOKUP($B$5,标准坦克设计!$B$24:$U$30,MATCH("对"&amp;LEFT($C$5,2)&amp;"输出",标准坦克设计!$B$23:$U$23,0)))*(VLOOKUP($B116,INDIRECT($B$5&amp;"生成成长"),3))*(VLOOKUP($B$5,标准坦克设计!$B$14:$K$20,9)/30))</f>
        <v>2.6238924733504185</v>
      </c>
      <c r="Z116" s="173">
        <f ca="1">(VLOOKUP(Z$72,INDIRECT($C$5&amp;"生成成长"),2))/((VLOOKUP($B116,INDIRECT($B$5&amp;"生成成长"),4))/(VLOOKUP(Z$72,INDIRECT($C$5&amp;"生成成长"),5))*(VLOOKUP($B$5,标准坦克设计!$B$24:$U$30,MATCH("对"&amp;LEFT($C$5,2)&amp;"输出",标准坦克设计!$B$23:$U$23,0)))*(VLOOKUP($B116,INDIRECT($B$5&amp;"生成成长"),3))*(VLOOKUP($B$5,标准坦克设计!$B$14:$K$20,9)/30))</f>
        <v>2.9028426248838195</v>
      </c>
      <c r="AA116" s="173">
        <f ca="1">(VLOOKUP(AA$72,INDIRECT($C$5&amp;"生成成长"),2))/((VLOOKUP($B116,INDIRECT($B$5&amp;"生成成长"),4))/(VLOOKUP(AA$72,INDIRECT($C$5&amp;"生成成长"),5))*(VLOOKUP($B$5,标准坦克设计!$B$24:$U$30,MATCH("对"&amp;LEFT($C$5,2)&amp;"输出",标准坦克设计!$B$23:$U$23,0)))*(VLOOKUP($B116,INDIRECT($B$5&amp;"生成成长"),3))*(VLOOKUP($B$5,标准坦克设计!$B$14:$K$20,9)/30))</f>
        <v>3.1958811679088068</v>
      </c>
      <c r="AB116" s="173">
        <f ca="1">(VLOOKUP(AB$72,INDIRECT($C$5&amp;"生成成长"),2))/((VLOOKUP($B116,INDIRECT($B$5&amp;"生成成长"),4))/(VLOOKUP(AB$72,INDIRECT($C$5&amp;"生成成长"),5))*(VLOOKUP($B$5,标准坦克设计!$B$24:$U$30,MATCH("对"&amp;LEFT($C$5,2)&amp;"输出",标准坦克设计!$B$23:$U$23,0)))*(VLOOKUP($B116,INDIRECT($B$5&amp;"生成成长"),3))*(VLOOKUP($B$5,标准坦克设计!$B$14:$K$20,9)/30))</f>
        <v>3.5030081024253801</v>
      </c>
      <c r="AC116" s="173">
        <f ca="1">(VLOOKUP(AC$72,INDIRECT($C$5&amp;"生成成长"),2))/((VLOOKUP($B116,INDIRECT($B$5&amp;"生成成长"),4))/(VLOOKUP(AC$72,INDIRECT($C$5&amp;"生成成长"),5))*(VLOOKUP($B$5,标准坦克设计!$B$24:$U$30,MATCH("对"&amp;LEFT($C$5,2)&amp;"输出",标准坦克设计!$B$23:$U$23,0)))*(VLOOKUP($B116,INDIRECT($B$5&amp;"生成成长"),3))*(VLOOKUP($B$5,标准坦克设计!$B$14:$K$20,9)/30))</f>
        <v>3.8242234284335379</v>
      </c>
      <c r="AD116" s="173">
        <f ca="1">(VLOOKUP(AD$72,INDIRECT($C$5&amp;"生成成长"),2))/((VLOOKUP($B116,INDIRECT($B$5&amp;"生成成长"),4))/(VLOOKUP(AD$72,INDIRECT($C$5&amp;"生成成长"),5))*(VLOOKUP($B$5,标准坦克设计!$B$24:$U$30,MATCH("对"&amp;LEFT($C$5,2)&amp;"输出",标准坦克设计!$B$23:$U$23,0)))*(VLOOKUP($B116,INDIRECT($B$5&amp;"生成成长"),3))*(VLOOKUP($B$5,标准坦克设计!$B$14:$K$20,9)/30))</f>
        <v>4.159527145933283</v>
      </c>
      <c r="AE116" s="173">
        <f ca="1">(VLOOKUP(AE$72,INDIRECT($C$5&amp;"生成成长"),2))/((VLOOKUP($B116,INDIRECT($B$5&amp;"生成成长"),4))/(VLOOKUP(AE$72,INDIRECT($C$5&amp;"生成成长"),5))*(VLOOKUP($B$5,标准坦克设计!$B$24:$U$30,MATCH("对"&amp;LEFT($C$5,2)&amp;"输出",标准坦克设计!$B$23:$U$23,0)))*(VLOOKUP($B116,INDIRECT($B$5&amp;"生成成长"),3))*(VLOOKUP($B$5,标准坦克设计!$B$14:$K$20,9)/30))</f>
        <v>4.5089192549246135</v>
      </c>
      <c r="AF116" s="173">
        <f ca="1">(VLOOKUP(AF$72,INDIRECT($C$5&amp;"生成成长"),2))/((VLOOKUP($B116,INDIRECT($B$5&amp;"生成成长"),4))/(VLOOKUP(AF$72,INDIRECT($C$5&amp;"生成成长"),5))*(VLOOKUP($B$5,标准坦克设计!$B$24:$U$30,MATCH("对"&amp;LEFT($C$5,2)&amp;"输出",标准坦克设计!$B$23:$U$23,0)))*(VLOOKUP($B116,INDIRECT($B$5&amp;"生成成长"),3))*(VLOOKUP($B$5,标准坦克设计!$B$14:$K$20,9)/30))</f>
        <v>4.87239975540753</v>
      </c>
      <c r="AG116" s="173">
        <f ca="1">(VLOOKUP(AG$72,INDIRECT($C$5&amp;"生成成长"),2))/((VLOOKUP($B116,INDIRECT($B$5&amp;"生成成长"),4))/(VLOOKUP(AG$72,INDIRECT($C$5&amp;"生成成长"),5))*(VLOOKUP($B$5,标准坦克设计!$B$24:$U$30,MATCH("对"&amp;LEFT($C$5,2)&amp;"输出",标准坦克设计!$B$23:$U$23,0)))*(VLOOKUP($B116,INDIRECT($B$5&amp;"生成成长"),3))*(VLOOKUP($B$5,标准坦克设计!$B$14:$K$20,9)/30))</f>
        <v>5.2499686473820333</v>
      </c>
      <c r="AH116" s="173">
        <f ca="1">(VLOOKUP(AH$72,INDIRECT($C$5&amp;"生成成长"),2))/((VLOOKUP($B116,INDIRECT($B$5&amp;"生成成长"),4))/(VLOOKUP(AH$72,INDIRECT($C$5&amp;"生成成长"),5))*(VLOOKUP($B$5,标准坦克设计!$B$24:$U$30,MATCH("对"&amp;LEFT($C$5,2)&amp;"输出",标准坦克设计!$B$23:$U$23,0)))*(VLOOKUP($B116,INDIRECT($B$5&amp;"生成成长"),3))*(VLOOKUP($B$5,标准坦克设计!$B$14:$K$20,9)/30))</f>
        <v>5.6416259308481216</v>
      </c>
      <c r="AI116" s="173">
        <f ca="1">(VLOOKUP(AI$72,INDIRECT($C$5&amp;"生成成长"),2))/((VLOOKUP($B116,INDIRECT($B$5&amp;"生成成长"),4))/(VLOOKUP(AI$72,INDIRECT($C$5&amp;"生成成长"),5))*(VLOOKUP($B$5,标准坦克设计!$B$24:$U$30,MATCH("对"&amp;LEFT($C$5,2)&amp;"输出",标准坦克设计!$B$23:$U$23,0)))*(VLOOKUP($B116,INDIRECT($B$5&amp;"生成成长"),3))*(VLOOKUP($B$5,标准坦克设计!$B$14:$K$20,9)/30))</f>
        <v>3.9901142382469623</v>
      </c>
      <c r="AJ116" s="173">
        <f ca="1">(VLOOKUP(AJ$72,INDIRECT($C$5&amp;"生成成长"),2))/((VLOOKUP($B116,INDIRECT($B$5&amp;"生成成长"),4))/(VLOOKUP(AJ$72,INDIRECT($C$5&amp;"生成成长"),5))*(VLOOKUP($B$5,标准坦克设计!$B$24:$U$30,MATCH("对"&amp;LEFT($C$5,2)&amp;"输出",标准坦克设计!$B$23:$U$23,0)))*(VLOOKUP($B116,INDIRECT($B$5&amp;"生成成长"),3))*(VLOOKUP($B$5,标准坦克设计!$B$14:$K$20,9)/30))</f>
        <v>4.3674718043490914</v>
      </c>
      <c r="AK116" s="173">
        <f ca="1">(VLOOKUP(AK$72,INDIRECT($C$5&amp;"生成成长"),2))/((VLOOKUP($B116,INDIRECT($B$5&amp;"生成成长"),4))/(VLOOKUP(AK$72,INDIRECT($C$5&amp;"生成成长"),5))*(VLOOKUP($B$5,标准坦克设计!$B$24:$U$30,MATCH("对"&amp;LEFT($C$5,2)&amp;"输出",标准坦克设计!$B$23:$U$23,0)))*(VLOOKUP($B116,INDIRECT($B$5&amp;"生成成长"),3))*(VLOOKUP($B$5,标准坦克设计!$B$14:$K$20,9)/30))</f>
        <v>4.7618763241560389</v>
      </c>
      <c r="AL116" s="173">
        <f ca="1">(VLOOKUP(AL$72,INDIRECT($C$5&amp;"生成成长"),2))/((VLOOKUP($B116,INDIRECT($B$5&amp;"生成成长"),4))/(VLOOKUP(AL$72,INDIRECT($C$5&amp;"生成成长"),5))*(VLOOKUP($B$5,标准坦克设计!$B$24:$U$30,MATCH("对"&amp;LEFT($C$5,2)&amp;"输出",标准坦克设计!$B$23:$U$23,0)))*(VLOOKUP($B116,INDIRECT($B$5&amp;"生成成长"),3))*(VLOOKUP($B$5,标准坦克设计!$B$14:$K$20,9)/30))</f>
        <v>5.1733277976678052</v>
      </c>
      <c r="AM116" s="173">
        <f ca="1">(VLOOKUP(AM$72,INDIRECT($C$5&amp;"生成成长"),2))/((VLOOKUP($B116,INDIRECT($B$5&amp;"生成成长"),4))/(VLOOKUP(AM$72,INDIRECT($C$5&amp;"生成成长"),5))*(VLOOKUP($B$5,标准坦克设计!$B$24:$U$30,MATCH("对"&amp;LEFT($C$5,2)&amp;"输出",标准坦克设计!$B$23:$U$23,0)))*(VLOOKUP($B116,INDIRECT($B$5&amp;"生成成长"),3))*(VLOOKUP($B$5,标准坦克设计!$B$14:$K$20,9)/30))</f>
        <v>5.601826224884392</v>
      </c>
      <c r="AN116" s="173">
        <f ca="1">(VLOOKUP(AN$72,INDIRECT($C$5&amp;"生成成长"),2))/((VLOOKUP($B116,INDIRECT($B$5&amp;"生成成长"),4))/(VLOOKUP(AN$72,INDIRECT($C$5&amp;"生成成长"),5))*(VLOOKUP($B$5,标准坦克设计!$B$24:$U$30,MATCH("对"&amp;LEFT($C$5,2)&amp;"输出",标准坦克设计!$B$23:$U$23,0)))*(VLOOKUP($B116,INDIRECT($B$5&amp;"生成成长"),3))*(VLOOKUP($B$5,标准坦克设计!$B$14:$K$20,9)/30))</f>
        <v>6.0473716058057958</v>
      </c>
      <c r="AO116" s="173">
        <f ca="1">(VLOOKUP(AO$72,INDIRECT($C$5&amp;"生成成长"),2))/((VLOOKUP($B116,INDIRECT($B$5&amp;"生成成长"),4))/(VLOOKUP(AO$72,INDIRECT($C$5&amp;"生成成长"),5))*(VLOOKUP($B$5,标准坦克设计!$B$24:$U$30,MATCH("对"&amp;LEFT($C$5,2)&amp;"输出",标准坦克设计!$B$23:$U$23,0)))*(VLOOKUP($B116,INDIRECT($B$5&amp;"生成成长"),3))*(VLOOKUP($B$5,标准坦克设计!$B$14:$K$20,9)/30))</f>
        <v>6.5099639404320184</v>
      </c>
      <c r="AP116" s="173">
        <f ca="1">(VLOOKUP(AP$72,INDIRECT($C$5&amp;"生成成长"),2))/((VLOOKUP($B116,INDIRECT($B$5&amp;"生成成长"),4))/(VLOOKUP(AP$72,INDIRECT($C$5&amp;"生成成长"),5))*(VLOOKUP($B$5,标准坦克设计!$B$24:$U$30,MATCH("对"&amp;LEFT($C$5,2)&amp;"输出",标准坦克设计!$B$23:$U$23,0)))*(VLOOKUP($B116,INDIRECT($B$5&amp;"生成成长"),3))*(VLOOKUP($B$5,标准坦克设计!$B$14:$K$20,9)/30))</f>
        <v>6.9896032287630607</v>
      </c>
      <c r="AQ116" s="173">
        <f ca="1">(VLOOKUP(AQ$72,INDIRECT($C$5&amp;"生成成长"),2))/((VLOOKUP($B116,INDIRECT($B$5&amp;"生成成长"),4))/(VLOOKUP(AQ$72,INDIRECT($C$5&amp;"生成成长"),5))*(VLOOKUP($B$5,标准坦克设计!$B$24:$U$30,MATCH("对"&amp;LEFT($C$5,2)&amp;"输出",标准坦克设计!$B$23:$U$23,0)))*(VLOOKUP($B116,INDIRECT($B$5&amp;"生成成长"),3))*(VLOOKUP($B$5,标准坦克设计!$B$14:$K$20,9)/30))</f>
        <v>7.4862894707989218</v>
      </c>
      <c r="AR116" s="173">
        <f ca="1">(VLOOKUP(AR$72,INDIRECT($C$5&amp;"生成成长"),2))/((VLOOKUP($B116,INDIRECT($B$5&amp;"生成成长"),4))/(VLOOKUP(AR$72,INDIRECT($C$5&amp;"生成成长"),5))*(VLOOKUP($B$5,标准坦克设计!$B$24:$U$30,MATCH("对"&amp;LEFT($C$5,2)&amp;"输出",标准坦克设计!$B$23:$U$23,0)))*(VLOOKUP($B116,INDIRECT($B$5&amp;"生成成长"),3))*(VLOOKUP($B$5,标准坦克设计!$B$14:$K$20,9)/30))</f>
        <v>8.0000226665396017</v>
      </c>
      <c r="AS116" s="173">
        <f ca="1">(VLOOKUP(AS$72,INDIRECT($C$5&amp;"生成成长"),2))/((VLOOKUP($B116,INDIRECT($B$5&amp;"生成成长"),4))/(VLOOKUP(AS$72,INDIRECT($C$5&amp;"生成成长"),5))*(VLOOKUP($B$5,标准坦克设计!$B$24:$U$30,MATCH("对"&amp;LEFT($C$5,2)&amp;"输出",标准坦克设计!$B$23:$U$23,0)))*(VLOOKUP($B116,INDIRECT($B$5&amp;"生成成长"),3))*(VLOOKUP($B$5,标准坦克设计!$B$14:$K$20,9)/30))</f>
        <v>8.5308028159851013</v>
      </c>
      <c r="AT116" s="173">
        <f ca="1">(VLOOKUP(AT$72,INDIRECT($C$5&amp;"生成成长"),2))/((VLOOKUP($B116,INDIRECT($B$5&amp;"生成成长"),4))/(VLOOKUP(AT$72,INDIRECT($C$5&amp;"生成成长"),5))*(VLOOKUP($B$5,标准坦克设计!$B$24:$U$30,MATCH("对"&amp;LEFT($C$5,2)&amp;"输出",标准坦克设计!$B$23:$U$23,0)))*(VLOOKUP($B116,INDIRECT($B$5&amp;"生成成长"),3))*(VLOOKUP($B$5,标准坦克设计!$B$14:$K$20,9)/30))</f>
        <v>9.0786299191354196</v>
      </c>
      <c r="AU116" s="173">
        <f ca="1">(VLOOKUP(AU$72,INDIRECT($C$5&amp;"生成成长"),2))/((VLOOKUP($B116,INDIRECT($B$5&amp;"生成成长"),4))/(VLOOKUP(AU$72,INDIRECT($C$5&amp;"生成成长"),5))*(VLOOKUP($B$5,标准坦克设计!$B$24:$U$30,MATCH("对"&amp;LEFT($C$5,2)&amp;"输出",标准坦克设计!$B$23:$U$23,0)))*(VLOOKUP($B116,INDIRECT($B$5&amp;"生成成长"),3))*(VLOOKUP($B$5,标准坦克设计!$B$14:$K$20,9)/30))</f>
        <v>9.6435039759905585</v>
      </c>
      <c r="AV116" s="173">
        <f ca="1">(VLOOKUP(AV$72,INDIRECT($C$5&amp;"生成成长"),2))/((VLOOKUP($B116,INDIRECT($B$5&amp;"生成成长"),4))/(VLOOKUP(AV$72,INDIRECT($C$5&amp;"生成成长"),5))*(VLOOKUP($B$5,标准坦克设计!$B$24:$U$30,MATCH("对"&amp;LEFT($C$5,2)&amp;"输出",标准坦克设计!$B$23:$U$23,0)))*(VLOOKUP($B116,INDIRECT($B$5&amp;"生成成长"),3))*(VLOOKUP($B$5,标准坦克设计!$B$14:$K$20,9)/30))</f>
        <v>0.98083381564421124</v>
      </c>
      <c r="AW116" s="173">
        <f ca="1">(VLOOKUP(AW$72,INDIRECT($C$5&amp;"生成成长"),2))/((VLOOKUP($B116,INDIRECT($B$5&amp;"生成成长"),4))/(VLOOKUP(AW$72,INDIRECT($C$5&amp;"生成成长"),5))*(VLOOKUP($B$5,标准坦克设计!$B$24:$U$30,MATCH("对"&amp;LEFT($C$5,2)&amp;"输出",标准坦克设计!$B$23:$U$23,0)))*(VLOOKUP($B116,INDIRECT($B$5&amp;"生成成长"),3))*(VLOOKUP($B$5,标准坦克设计!$B$14:$K$20,9)/30))</f>
        <v>1.1183365166020895</v>
      </c>
      <c r="AX116" s="173">
        <f ca="1">(VLOOKUP(AX$72,INDIRECT($C$5&amp;"生成成长"),2))/((VLOOKUP($B116,INDIRECT($B$5&amp;"生成成长"),4))/(VLOOKUP(AX$72,INDIRECT($C$5&amp;"生成成长"),5))*(VLOOKUP($B$5,标准坦克设计!$B$24:$U$30,MATCH("对"&amp;LEFT($C$5,2)&amp;"输出",标准坦克设计!$B$23:$U$23,0)))*(VLOOKUP($B116,INDIRECT($B$5&amp;"生成成长"),3))*(VLOOKUP($B$5,标准坦克设计!$B$14:$K$20,9)/30))</f>
        <v>1.2648557881145832</v>
      </c>
      <c r="AY116" s="173">
        <f ca="1">(VLOOKUP(AY$72,INDIRECT($C$5&amp;"生成成长"),2))/((VLOOKUP($B116,INDIRECT($B$5&amp;"生成成长"),4))/(VLOOKUP(AY$72,INDIRECT($C$5&amp;"生成成长"),5))*(VLOOKUP($B$5,标准坦克设计!$B$24:$U$30,MATCH("对"&amp;LEFT($C$5,2)&amp;"输出",标准坦克设计!$B$23:$U$23,0)))*(VLOOKUP($B116,INDIRECT($B$5&amp;"生成成长"),3))*(VLOOKUP($B$5,标准坦克设计!$B$14:$K$20,9)/30))</f>
        <v>1.4203916301816919</v>
      </c>
      <c r="AZ116" s="173">
        <f ca="1">(VLOOKUP(AZ$72,INDIRECT($C$5&amp;"生成成长"),2))/((VLOOKUP($B116,INDIRECT($B$5&amp;"生成成长"),4))/(VLOOKUP(AZ$72,INDIRECT($C$5&amp;"生成成长"),5))*(VLOOKUP($B$5,标准坦克设计!$B$24:$U$30,MATCH("对"&amp;LEFT($C$5,2)&amp;"输出",标准坦克设计!$B$23:$U$23,0)))*(VLOOKUP($B116,INDIRECT($B$5&amp;"生成成长"),3))*(VLOOKUP($B$5,标准坦克设计!$B$14:$K$20,9)/30))</f>
        <v>1.5849440428034152</v>
      </c>
      <c r="BA116" s="173">
        <f ca="1">(VLOOKUP(BA$72,INDIRECT($C$5&amp;"生成成长"),2))/((VLOOKUP($B116,INDIRECT($B$5&amp;"生成成长"),4))/(VLOOKUP(BA$72,INDIRECT($C$5&amp;"生成成长"),5))*(VLOOKUP($B$5,标准坦克设计!$B$24:$U$30,MATCH("对"&amp;LEFT($C$5,2)&amp;"输出",标准坦克设计!$B$23:$U$23,0)))*(VLOOKUP($B116,INDIRECT($B$5&amp;"生成成长"),3))*(VLOOKUP($B$5,标准坦克设计!$B$14:$K$20,9)/30))</f>
        <v>1.7585130259797535</v>
      </c>
      <c r="BB116" s="173">
        <f ca="1">(VLOOKUP(BB$72,INDIRECT($C$5&amp;"生成成长"),2))/((VLOOKUP($B116,INDIRECT($B$5&amp;"生成成长"),4))/(VLOOKUP(BB$72,INDIRECT($C$5&amp;"生成成长"),5))*(VLOOKUP($B$5,标准坦克设计!$B$24:$U$30,MATCH("对"&amp;LEFT($C$5,2)&amp;"输出",标准坦克设计!$B$23:$U$23,0)))*(VLOOKUP($B116,INDIRECT($B$5&amp;"生成成长"),3))*(VLOOKUP($B$5,标准坦克设计!$B$14:$K$20,9)/30))</f>
        <v>1.9410985797107072</v>
      </c>
      <c r="BC116" s="173">
        <f ca="1">(VLOOKUP(BC$72,INDIRECT($C$5&amp;"生成成长"),2))/((VLOOKUP($B116,INDIRECT($B$5&amp;"生成成长"),4))/(VLOOKUP(BC$72,INDIRECT($C$5&amp;"生成成长"),5))*(VLOOKUP($B$5,标准坦克设计!$B$24:$U$30,MATCH("对"&amp;LEFT($C$5,2)&amp;"输出",标准坦克设计!$B$23:$U$23,0)))*(VLOOKUP($B116,INDIRECT($B$5&amp;"生成成长"),3))*(VLOOKUP($B$5,标准坦克设计!$B$14:$K$20,9)/30))</f>
        <v>2.1327007039962753</v>
      </c>
      <c r="BD116" s="173">
        <f ca="1">(VLOOKUP(BD$72,INDIRECT($C$5&amp;"生成成长"),2))/((VLOOKUP($B116,INDIRECT($B$5&amp;"生成成长"),4))/(VLOOKUP(BD$72,INDIRECT($C$5&amp;"生成成长"),5))*(VLOOKUP($B$5,标准坦克设计!$B$24:$U$30,MATCH("对"&amp;LEFT($C$5,2)&amp;"输出",标准坦克设计!$B$23:$U$23,0)))*(VLOOKUP($B116,INDIRECT($B$5&amp;"生成成长"),3))*(VLOOKUP($B$5,标准坦克设计!$B$14:$K$20,9)/30))</f>
        <v>2.3590307133086035</v>
      </c>
      <c r="BE116" s="173">
        <f ca="1">(VLOOKUP(BE$72,INDIRECT($C$5&amp;"生成成长"),2))/((VLOOKUP($B116,INDIRECT($B$5&amp;"生成成长"),4))/(VLOOKUP(BE$72,INDIRECT($C$5&amp;"生成成长"),5))*(VLOOKUP($B$5,标准坦克设计!$B$24:$U$30,MATCH("对"&amp;LEFT($C$5,2)&amp;"输出",标准坦克设计!$B$23:$U$23,0)))*(VLOOKUP($B116,INDIRECT($B$5&amp;"生成成长"),3))*(VLOOKUP($B$5,标准坦克设计!$B$14:$K$20,9)/30))</f>
        <v>2.5967723197291153</v>
      </c>
      <c r="BF116" s="173">
        <f ca="1">(VLOOKUP(BF$72,INDIRECT($C$5&amp;"生成成长"),2))/((VLOOKUP($B116,INDIRECT($B$5&amp;"生成成长"),4))/(VLOOKUP(BF$72,INDIRECT($C$5&amp;"生成成长"),5))*(VLOOKUP($B$5,标准坦克设计!$B$24:$U$30,MATCH("对"&amp;LEFT($C$5,2)&amp;"输出",标准坦克设计!$B$23:$U$23,0)))*(VLOOKUP($B116,INDIRECT($B$5&amp;"生成成长"),3))*(VLOOKUP($B$5,标准坦克设计!$B$14:$K$20,9)/30))</f>
        <v>2.8459255232578125</v>
      </c>
      <c r="BG116" s="173">
        <f ca="1">(VLOOKUP(BG$72,INDIRECT($C$5&amp;"生成成长"),2))/((VLOOKUP($B116,INDIRECT($B$5&amp;"生成成长"),4))/(VLOOKUP(BG$72,INDIRECT($C$5&amp;"生成成长"),5))*(VLOOKUP($B$5,标准坦克设计!$B$24:$U$30,MATCH("对"&amp;LEFT($C$5,2)&amp;"输出",标准坦克设计!$B$23:$U$23,0)))*(VLOOKUP($B116,INDIRECT($B$5&amp;"生成成长"),3))*(VLOOKUP($B$5,标准坦克设计!$B$14:$K$20,9)/30))</f>
        <v>3.1064903238946937</v>
      </c>
      <c r="BH116" s="173">
        <f ca="1">(VLOOKUP(BH$72,INDIRECT($C$5&amp;"生成成长"),2))/((VLOOKUP($B116,INDIRECT($B$5&amp;"生成成长"),4))/(VLOOKUP(BH$72,INDIRECT($C$5&amp;"生成成长"),5))*(VLOOKUP($B$5,标准坦克设计!$B$24:$U$30,MATCH("对"&amp;LEFT($C$5,2)&amp;"输出",标准坦克设计!$B$23:$U$23,0)))*(VLOOKUP($B116,INDIRECT($B$5&amp;"生成成长"),3))*(VLOOKUP($B$5,标准坦克设计!$B$14:$K$20,9)/30))</f>
        <v>1.5015407651732267</v>
      </c>
      <c r="BI116" s="173">
        <f ca="1">(VLOOKUP(BI$72,INDIRECT($C$5&amp;"生成成长"),2))/((VLOOKUP($B116,INDIRECT($B$5&amp;"生成成长"),4))/(VLOOKUP(BI$72,INDIRECT($C$5&amp;"生成成长"),5))*(VLOOKUP($B$5,标准坦克设计!$B$24:$U$30,MATCH("对"&amp;LEFT($C$5,2)&amp;"输出",标准坦克设计!$B$23:$U$23,0)))*(VLOOKUP($B116,INDIRECT($B$5&amp;"生成成长"),3))*(VLOOKUP($B$5,标准坦克设计!$B$14:$K$20,9)/30))</f>
        <v>1.6923680279267579</v>
      </c>
      <c r="BJ116" s="173">
        <f ca="1">(VLOOKUP(BJ$72,INDIRECT($C$5&amp;"生成成长"),2))/((VLOOKUP($B116,INDIRECT($B$5&amp;"生成成长"),4))/(VLOOKUP(BJ$72,INDIRECT($C$5&amp;"生成成长"),5))*(VLOOKUP($B$5,标准坦克设计!$B$24:$U$30,MATCH("对"&amp;LEFT($C$5,2)&amp;"输出",标准坦克设计!$B$23:$U$23,0)))*(VLOOKUP($B116,INDIRECT($B$5&amp;"生成成长"),3))*(VLOOKUP($B$5,标准坦克设计!$B$14:$K$20,9)/30))</f>
        <v>1.8946068877884736</v>
      </c>
      <c r="BK116" s="173">
        <f ca="1">(VLOOKUP(BK$72,INDIRECT($C$5&amp;"生成成长"),2))/((VLOOKUP($B116,INDIRECT($B$5&amp;"生成成长"),4))/(VLOOKUP(BK$72,INDIRECT($C$5&amp;"生成成长"),5))*(VLOOKUP($B$5,标准坦克设计!$B$24:$U$30,MATCH("对"&amp;LEFT($C$5,2)&amp;"输出",标准坦克设计!$B$23:$U$23,0)))*(VLOOKUP($B116,INDIRECT($B$5&amp;"生成成长"),3))*(VLOOKUP($B$5,标准坦克设计!$B$14:$K$20,9)/30))</f>
        <v>2.1082573447583739</v>
      </c>
      <c r="BL116" s="173">
        <f ca="1">(VLOOKUP(BL$72,INDIRECT($C$5&amp;"生成成长"),2))/((VLOOKUP($B116,INDIRECT($B$5&amp;"生成成长"),4))/(VLOOKUP(BL$72,INDIRECT($C$5&amp;"生成成长"),5))*(VLOOKUP($B$5,标准坦克设计!$B$24:$U$30,MATCH("对"&amp;LEFT($C$5,2)&amp;"输出",标准坦克设计!$B$23:$U$23,0)))*(VLOOKUP($B116,INDIRECT($B$5&amp;"生成成长"),3))*(VLOOKUP($B$5,标准坦克设计!$B$14:$K$20,9)/30))</f>
        <v>2.3333193988364589</v>
      </c>
      <c r="BM116" s="173">
        <f ca="1">(VLOOKUP(BM$72,INDIRECT($C$5&amp;"生成成长"),2))/((VLOOKUP($B116,INDIRECT($B$5&amp;"生成成长"),4))/(VLOOKUP(BM$72,INDIRECT($C$5&amp;"生成成长"),5))*(VLOOKUP($B$5,标准坦克设计!$B$24:$U$30,MATCH("对"&amp;LEFT($C$5,2)&amp;"输出",标准坦克设计!$B$23:$U$23,0)))*(VLOOKUP($B116,INDIRECT($B$5&amp;"生成成长"),3))*(VLOOKUP($B$5,标准坦克设计!$B$14:$K$20,9)/30))</f>
        <v>2.569793050022728</v>
      </c>
      <c r="BN116" s="173">
        <f ca="1">(VLOOKUP(BN$72,INDIRECT($C$5&amp;"生成成长"),2))/((VLOOKUP($B116,INDIRECT($B$5&amp;"生成成长"),4))/(VLOOKUP(BN$72,INDIRECT($C$5&amp;"生成成长"),5))*(VLOOKUP($B$5,标准坦克设计!$B$24:$U$30,MATCH("对"&amp;LEFT($C$5,2)&amp;"输出",标准坦克设计!$B$23:$U$23,0)))*(VLOOKUP($B116,INDIRECT($B$5&amp;"生成成长"),3))*(VLOOKUP($B$5,标准坦克设计!$B$14:$K$20,9)/30))</f>
        <v>2.8176782983171829</v>
      </c>
      <c r="BO116" s="173">
        <f ca="1">(VLOOKUP(BO$72,INDIRECT($C$5&amp;"生成成长"),2))/((VLOOKUP($B116,INDIRECT($B$5&amp;"生成成长"),4))/(VLOOKUP(BO$72,INDIRECT($C$5&amp;"生成成长"),5))*(VLOOKUP($B$5,标准坦克设计!$B$24:$U$30,MATCH("对"&amp;LEFT($C$5,2)&amp;"输出",标准坦克设计!$B$23:$U$23,0)))*(VLOOKUP($B116,INDIRECT($B$5&amp;"生成成长"),3))*(VLOOKUP($B$5,标准坦克设计!$B$14:$K$20,9)/30))</f>
        <v>3.0769751437198214</v>
      </c>
      <c r="BP116" s="173">
        <f ca="1">(VLOOKUP(BP$72,INDIRECT($C$5&amp;"生成成长"),2))/((VLOOKUP($B116,INDIRECT($B$5&amp;"生成成长"),4))/(VLOOKUP(BP$72,INDIRECT($C$5&amp;"生成成长"),5))*(VLOOKUP($B$5,标准坦克设计!$B$24:$U$30,MATCH("对"&amp;LEFT($C$5,2)&amp;"输出",标准坦克设计!$B$23:$U$23,0)))*(VLOOKUP($B116,INDIRECT($B$5&amp;"生成成长"),3))*(VLOOKUP($B$5,标准坦克设计!$B$14:$K$20,9)/30))</f>
        <v>3.3476835862306444</v>
      </c>
      <c r="BQ116" s="173">
        <f ca="1">(VLOOKUP(BQ$72,INDIRECT($C$5&amp;"生成成长"),2))/((VLOOKUP($B116,INDIRECT($B$5&amp;"生成成长"),4))/(VLOOKUP(BQ$72,INDIRECT($C$5&amp;"生成成长"),5))*(VLOOKUP($B$5,标准坦克设计!$B$24:$U$30,MATCH("对"&amp;LEFT($C$5,2)&amp;"输出",标准坦克设计!$B$23:$U$23,0)))*(VLOOKUP($B116,INDIRECT($B$5&amp;"生成成长"),3))*(VLOOKUP($B$5,标准坦克设计!$B$14:$K$20,9)/30))</f>
        <v>3.6298036258496529</v>
      </c>
      <c r="BR116" s="173">
        <f ca="1">(VLOOKUP(BR$72,INDIRECT($C$5&amp;"生成成长"),2))/((VLOOKUP($B116,INDIRECT($B$5&amp;"生成成长"),4))/(VLOOKUP(BR$72,INDIRECT($C$5&amp;"生成成长"),5))*(VLOOKUP($B$5,标准坦克设计!$B$24:$U$30,MATCH("对"&amp;LEFT($C$5,2)&amp;"输出",标准坦克设计!$B$23:$U$23,0)))*(VLOOKUP($B116,INDIRECT($B$5&amp;"生成成长"),3))*(VLOOKUP($B$5,标准坦克设计!$B$14:$K$20,9)/30))</f>
        <v>3.9566543084544463</v>
      </c>
      <c r="BS116" s="173">
        <f ca="1">(VLOOKUP(BS$72,INDIRECT($C$5&amp;"生成成长"),2))/((VLOOKUP($B116,INDIRECT($B$5&amp;"生成成长"),4))/(VLOOKUP(BS$72,INDIRECT($C$5&amp;"生成成长"),5))*(VLOOKUP($B$5,标准坦克设计!$B$24:$U$30,MATCH("对"&amp;LEFT($C$5,2)&amp;"输出",标准坦克设计!$B$23:$U$23,0)))*(VLOOKUP($B116,INDIRECT($B$5&amp;"生成成长"),3))*(VLOOKUP($B$5,标准坦克设计!$B$14:$K$20,9)/30))</f>
        <v>4.2975933825508239</v>
      </c>
      <c r="BT116" s="173">
        <f ca="1">(VLOOKUP(BT$72,INDIRECT($C$5&amp;"生成成长"),2))/((VLOOKUP($B116,INDIRECT($B$5&amp;"生成成长"),4))/(VLOOKUP(BT$72,INDIRECT($C$5&amp;"生成成长"),5))*(VLOOKUP($B$5,标准坦克设计!$B$24:$U$30,MATCH("对"&amp;LEFT($C$5,2)&amp;"输出",标准坦克设计!$B$23:$U$23,0)))*(VLOOKUP($B116,INDIRECT($B$5&amp;"生成成长"),3))*(VLOOKUP($B$5,标准坦克设计!$B$14:$K$20,9)/30))</f>
        <v>4.6526208481387901</v>
      </c>
      <c r="BU116" s="173">
        <f ca="1">(VLOOKUP(BU$72,INDIRECT($C$5&amp;"生成成长"),2))/((VLOOKUP($B116,INDIRECT($B$5&amp;"生成成长"),4))/(VLOOKUP(BU$72,INDIRECT($C$5&amp;"生成成长"),5))*(VLOOKUP($B$5,标准坦克设计!$B$24:$U$30,MATCH("对"&amp;LEFT($C$5,2)&amp;"输出",标准坦克设计!$B$23:$U$23,0)))*(VLOOKUP($B116,INDIRECT($B$5&amp;"生成成长"),3))*(VLOOKUP($B$5,标准坦克设计!$B$14:$K$20,9)/30))</f>
        <v>5.0217367052183404</v>
      </c>
      <c r="BV116" s="173">
        <f ca="1">(VLOOKUP(BV$72,INDIRECT($C$5&amp;"生成成长"),2))/((VLOOKUP($B116,INDIRECT($B$5&amp;"生成成长"),4))/(VLOOKUP(BV$72,INDIRECT($C$5&amp;"生成成长"),5))*(VLOOKUP($B$5,标准坦克设计!$B$24:$U$30,MATCH("对"&amp;LEFT($C$5,2)&amp;"输出",标准坦克设计!$B$23:$U$23,0)))*(VLOOKUP($B116,INDIRECT($B$5&amp;"生成成长"),3))*(VLOOKUP($B$5,标准坦克设计!$B$14:$K$20,9)/30))</f>
        <v>5.4049409537894784</v>
      </c>
      <c r="BW116" s="173">
        <f ca="1">(VLOOKUP(BW$72,INDIRECT($C$5&amp;"生成成长"),2))/((VLOOKUP($B116,INDIRECT($B$5&amp;"生成成长"),4))/(VLOOKUP(BW$72,INDIRECT($C$5&amp;"生成成长"),5))*(VLOOKUP($B$5,标准坦克设计!$B$24:$U$30,MATCH("对"&amp;LEFT($C$5,2)&amp;"输出",标准坦克设计!$B$23:$U$23,0)))*(VLOOKUP($B116,INDIRECT($B$5&amp;"生成成长"),3))*(VLOOKUP($B$5,标准坦克设计!$B$14:$K$20,9)/30))</f>
        <v>2.4632848103463392</v>
      </c>
      <c r="BX116" s="173">
        <f ca="1">(VLOOKUP(BX$72,INDIRECT($C$5&amp;"生成成长"),2))/((VLOOKUP($B116,INDIRECT($B$5&amp;"生成成长"),4))/(VLOOKUP(BX$72,INDIRECT($C$5&amp;"生成成长"),5))*(VLOOKUP($B$5,标准坦克设计!$B$24:$U$30,MATCH("对"&amp;LEFT($C$5,2)&amp;"输出",标准坦克设计!$B$23:$U$23,0)))*(VLOOKUP($B116,INDIRECT($B$5&amp;"生成成长"),3))*(VLOOKUP($B$5,标准坦克设计!$B$14:$K$20,9)/30))</f>
        <v>2.7337819269847881</v>
      </c>
      <c r="BY116" s="173">
        <f ca="1">(VLOOKUP(BY$72,INDIRECT($C$5&amp;"生成成长"),2))/((VLOOKUP($B116,INDIRECT($B$5&amp;"生成成长"),4))/(VLOOKUP(BY$72,INDIRECT($C$5&amp;"生成成长"),5))*(VLOOKUP($B$5,标准坦克设计!$B$24:$U$30,MATCH("对"&amp;LEFT($C$5,2)&amp;"输出",标准坦克设计!$B$23:$U$23,0)))*(VLOOKUP($B116,INDIRECT($B$5&amp;"生成成长"),3))*(VLOOKUP($B$5,标准坦克设计!$B$14:$K$20,9)/30))</f>
        <v>3.0183674351148237</v>
      </c>
      <c r="BZ116" s="173">
        <f ca="1">(VLOOKUP(BZ$72,INDIRECT($C$5&amp;"生成成长"),2))/((VLOOKUP($B116,INDIRECT($B$5&amp;"生成成长"),4))/(VLOOKUP(BZ$72,INDIRECT($C$5&amp;"生成成长"),5))*(VLOOKUP($B$5,标准坦克设计!$B$24:$U$30,MATCH("对"&amp;LEFT($C$5,2)&amp;"输出",标准坦克设计!$B$23:$U$23,0)))*(VLOOKUP($B116,INDIRECT($B$5&amp;"生成成长"),3))*(VLOOKUP($B$5,标准坦克设计!$B$14:$K$20,9)/30))</f>
        <v>3.3170413347364449</v>
      </c>
      <c r="CA116" s="173">
        <f ca="1">(VLOOKUP(CA$72,INDIRECT($C$5&amp;"生成成长"),2))/((VLOOKUP($B116,INDIRECT($B$5&amp;"生成成长"),4))/(VLOOKUP(CA$72,INDIRECT($C$5&amp;"生成成长"),5))*(VLOOKUP($B$5,标准坦克设计!$B$24:$U$30,MATCH("对"&amp;LEFT($C$5,2)&amp;"输出",标准坦克设计!$B$23:$U$23,0)))*(VLOOKUP($B116,INDIRECT($B$5&amp;"生成成长"),3))*(VLOOKUP($B$5,标准坦克设计!$B$14:$K$20,9)/30))</f>
        <v>3.6298036258496529</v>
      </c>
      <c r="CB116" s="173">
        <f ca="1">(VLOOKUP(CB$72,INDIRECT($C$5&amp;"生成成长"),2))/((VLOOKUP($B116,INDIRECT($B$5&amp;"生成成长"),4))/(VLOOKUP(CB$72,INDIRECT($C$5&amp;"生成成长"),5))*(VLOOKUP($B$5,标准坦克设计!$B$24:$U$30,MATCH("对"&amp;LEFT($C$5,2)&amp;"输出",标准坦克设计!$B$23:$U$23,0)))*(VLOOKUP($B116,INDIRECT($B$5&amp;"生成成长"),3))*(VLOOKUP($B$5,标准坦克设计!$B$14:$K$20,9)/30))</f>
        <v>3.9566543084544463</v>
      </c>
      <c r="CC116" s="173">
        <f ca="1">(VLOOKUP(CC$72,INDIRECT($C$5&amp;"生成成长"),2))/((VLOOKUP($B116,INDIRECT($B$5&amp;"生成成长"),4))/(VLOOKUP(CC$72,INDIRECT($C$5&amp;"生成成长"),5))*(VLOOKUP($B$5,标准坦克设计!$B$24:$U$30,MATCH("对"&amp;LEFT($C$5,2)&amp;"输出",标准坦克设计!$B$23:$U$23,0)))*(VLOOKUP($B116,INDIRECT($B$5&amp;"生成成长"),3))*(VLOOKUP($B$5,标准坦克设计!$B$14:$K$20,9)/30))</f>
        <v>4.2975933825508239</v>
      </c>
      <c r="CD116" s="173">
        <f ca="1">(VLOOKUP(CD$72,INDIRECT($C$5&amp;"生成成长"),2))/((VLOOKUP($B116,INDIRECT($B$5&amp;"生成成长"),4))/(VLOOKUP(CD$72,INDIRECT($C$5&amp;"生成成长"),5))*(VLOOKUP($B$5,标准坦克设计!$B$24:$U$30,MATCH("对"&amp;LEFT($C$5,2)&amp;"输出",标准坦克设计!$B$23:$U$23,0)))*(VLOOKUP($B116,INDIRECT($B$5&amp;"生成成长"),3))*(VLOOKUP($B$5,标准坦克设计!$B$14:$K$20,9)/30))</f>
        <v>4.6526208481387901</v>
      </c>
      <c r="CE116" s="173">
        <f ca="1">(VLOOKUP(CE$72,INDIRECT($C$5&amp;"生成成长"),2))/((VLOOKUP($B116,INDIRECT($B$5&amp;"生成成长"),4))/(VLOOKUP(CE$72,INDIRECT($C$5&amp;"生成成长"),5))*(VLOOKUP($B$5,标准坦克设计!$B$24:$U$30,MATCH("对"&amp;LEFT($C$5,2)&amp;"输出",标准坦克设计!$B$23:$U$23,0)))*(VLOOKUP($B116,INDIRECT($B$5&amp;"生成成长"),3))*(VLOOKUP($B$5,标准坦克设计!$B$14:$K$20,9)/30))</f>
        <v>5.0217367052183404</v>
      </c>
      <c r="CF116" s="173">
        <f ca="1">(VLOOKUP(CF$72,INDIRECT($C$5&amp;"生成成长"),2))/((VLOOKUP($B116,INDIRECT($B$5&amp;"生成成长"),4))/(VLOOKUP(CF$72,INDIRECT($C$5&amp;"生成成长"),5))*(VLOOKUP($B$5,标准坦克设计!$B$24:$U$30,MATCH("对"&amp;LEFT($C$5,2)&amp;"输出",标准坦克设计!$B$23:$U$23,0)))*(VLOOKUP($B116,INDIRECT($B$5&amp;"生成成长"),3))*(VLOOKUP($B$5,标准坦克设计!$B$14:$K$20,9)/30))</f>
        <v>5.4049409537894784</v>
      </c>
      <c r="CG116" s="173">
        <f ca="1">(VLOOKUP(CG$72,INDIRECT($C$5&amp;"生成成长"),2))/((VLOOKUP($B116,INDIRECT($B$5&amp;"生成成长"),4))/(VLOOKUP(CG$72,INDIRECT($C$5&amp;"生成成长"),5))*(VLOOKUP($B$5,标准坦克设计!$B$24:$U$30,MATCH("对"&amp;LEFT($C$5,2)&amp;"输出",标准坦克设计!$B$23:$U$23,0)))*(VLOOKUP($B116,INDIRECT($B$5&amp;"生成成长"),3))*(VLOOKUP($B$5,标准坦克设计!$B$14:$K$20,9)/30))</f>
        <v>5.8022335938522005</v>
      </c>
      <c r="CH116" s="173">
        <f ca="1">(VLOOKUP(CH$72,INDIRECT($C$5&amp;"生成成长"),2))/((VLOOKUP($B116,INDIRECT($B$5&amp;"生成成长"),4))/(VLOOKUP(CH$72,INDIRECT($C$5&amp;"生成成长"),5))*(VLOOKUP($B$5,标准坦克设计!$B$24:$U$30,MATCH("对"&amp;LEFT($C$5,2)&amp;"输出",标准坦克设计!$B$23:$U$23,0)))*(VLOOKUP($B116,INDIRECT($B$5&amp;"生成成长"),3))*(VLOOKUP($B$5,标准坦克设计!$B$14:$K$20,9)/30))</f>
        <v>6.2136146254065094</v>
      </c>
      <c r="CI116" s="173">
        <f ca="1">(VLOOKUP(CI$72,INDIRECT($C$5&amp;"生成成长"),2))/((VLOOKUP($B116,INDIRECT($B$5&amp;"生成成长"),4))/(VLOOKUP(CI$72,INDIRECT($C$5&amp;"生成成长"),5))*(VLOOKUP($B$5,标准坦克设计!$B$24:$U$30,MATCH("对"&amp;LEFT($C$5,2)&amp;"输出",标准坦克设计!$B$23:$U$23,0)))*(VLOOKUP($B116,INDIRECT($B$5&amp;"生成成长"),3))*(VLOOKUP($B$5,标准坦克设计!$B$14:$K$20,9)/30))</f>
        <v>6.6824058522890306</v>
      </c>
      <c r="CJ116" s="173">
        <f ca="1">(VLOOKUP(CJ$72,INDIRECT($C$5&amp;"生成成长"),2))/((VLOOKUP($B116,INDIRECT($B$5&amp;"生成成长"),4))/(VLOOKUP(CJ$72,INDIRECT($C$5&amp;"生成成长"),5))*(VLOOKUP($B$5,标准坦克设计!$B$24:$U$30,MATCH("对"&amp;LEFT($C$5,2)&amp;"输出",标准坦克设计!$B$23:$U$23,0)))*(VLOOKUP($B116,INDIRECT($B$5&amp;"生成成长"),3))*(VLOOKUP($B$5,标准坦克设计!$B$14:$K$20,9)/30))</f>
        <v>7.1682440328763706</v>
      </c>
      <c r="CK116" s="173">
        <f ca="1">(VLOOKUP(CK$72,INDIRECT($C$5&amp;"生成成长"),2))/((VLOOKUP($B116,INDIRECT($B$5&amp;"生成成长"),4))/(VLOOKUP(CK$72,INDIRECT($C$5&amp;"生成成长"),5))*(VLOOKUP($B$5,标准坦克设计!$B$24:$U$30,MATCH("对"&amp;LEFT($C$5,2)&amp;"输出",标准坦克设计!$B$23:$U$23,0)))*(VLOOKUP($B116,INDIRECT($B$5&amp;"生成成长"),3))*(VLOOKUP($B$5,标准坦克设计!$B$14:$K$20,9)/30))</f>
        <v>7.6711291671685311</v>
      </c>
      <c r="CL116" s="173">
        <f ca="1">(VLOOKUP(CL$72,INDIRECT($C$5&amp;"生成成长"),2))/((VLOOKUP($B116,INDIRECT($B$5&amp;"生成成长"),4))/(VLOOKUP(CL$72,INDIRECT($C$5&amp;"生成成长"),5))*(VLOOKUP($B$5,标准坦克设计!$B$24:$U$30,MATCH("对"&amp;LEFT($C$5,2)&amp;"输出",标准坦克设计!$B$23:$U$23,0)))*(VLOOKUP($B116,INDIRECT($B$5&amp;"生成成长"),3))*(VLOOKUP($B$5,标准坦克设计!$B$14:$K$20,9)/30))</f>
        <v>8.1910612551655095</v>
      </c>
      <c r="CM116" s="173">
        <f ca="1">(VLOOKUP(CM$72,INDIRECT($C$5&amp;"生成成长"),2))/((VLOOKUP($B116,INDIRECT($B$5&amp;"生成成长"),4))/(VLOOKUP(CM$72,INDIRECT($C$5&amp;"生成成长"),5))*(VLOOKUP($B$5,标准坦克设计!$B$24:$U$30,MATCH("对"&amp;LEFT($C$5,2)&amp;"输出",标准坦克设计!$B$23:$U$23,0)))*(VLOOKUP($B116,INDIRECT($B$5&amp;"生成成长"),3))*(VLOOKUP($B$5,标准坦克设计!$B$14:$K$20,9)/30))</f>
        <v>8.7280402968673041</v>
      </c>
      <c r="CN116" s="173">
        <f ca="1">(VLOOKUP(CN$72,INDIRECT($C$5&amp;"生成成长"),2))/((VLOOKUP($B116,INDIRECT($B$5&amp;"生成成长"),4))/(VLOOKUP(CN$72,INDIRECT($C$5&amp;"生成成长"),5))*(VLOOKUP($B$5,标准坦克设计!$B$24:$U$30,MATCH("对"&amp;LEFT($C$5,2)&amp;"输出",标准坦克设计!$B$23:$U$23,0)))*(VLOOKUP($B116,INDIRECT($B$5&amp;"生成成长"),3))*(VLOOKUP($B$5,标准坦克设计!$B$14:$K$20,9)/30))</f>
        <v>9.2820662922739192</v>
      </c>
      <c r="CO116" s="173">
        <f ca="1">(VLOOKUP(CO$72,INDIRECT($C$5&amp;"生成成长"),2))/((VLOOKUP($B116,INDIRECT($B$5&amp;"生成成长"),4))/(VLOOKUP(CO$72,INDIRECT($C$5&amp;"生成成长"),5))*(VLOOKUP($B$5,标准坦克设计!$B$24:$U$30,MATCH("对"&amp;LEFT($C$5,2)&amp;"输出",标准坦克设计!$B$23:$U$23,0)))*(VLOOKUP($B116,INDIRECT($B$5&amp;"生成成长"),3))*(VLOOKUP($B$5,标准坦克设计!$B$14:$K$20,9)/30))</f>
        <v>4.159527145933283</v>
      </c>
      <c r="CP116" s="173">
        <f ca="1">(VLOOKUP(CP$72,INDIRECT($C$5&amp;"生成成长"),2))/((VLOOKUP($B116,INDIRECT($B$5&amp;"生成成长"),4))/(VLOOKUP(CP$72,INDIRECT($C$5&amp;"生成成长"),5))*(VLOOKUP($B$5,标准坦克设计!$B$24:$U$30,MATCH("对"&amp;LEFT($C$5,2)&amp;"输出",标准坦克设计!$B$23:$U$23,0)))*(VLOOKUP($B116,INDIRECT($B$5&amp;"生成成长"),3))*(VLOOKUP($B$5,标准坦克设计!$B$14:$K$20,9)/30))</f>
        <v>4.5446333273557844</v>
      </c>
      <c r="CQ116" s="173">
        <f ca="1">(VLOOKUP(CQ$72,INDIRECT($C$5&amp;"生成成长"),2))/((VLOOKUP($B116,INDIRECT($B$5&amp;"生成成长"),4))/(VLOOKUP(CQ$72,INDIRECT($C$5&amp;"生成成长"),5))*(VLOOKUP($B$5,标准坦克设计!$B$24:$U$30,MATCH("对"&amp;LEFT($C$5,2)&amp;"输出",标准坦克设计!$B$23:$U$23,0)))*(VLOOKUP($B116,INDIRECT($B$5&amp;"生成成长"),3))*(VLOOKUP($B$5,标准坦克设计!$B$14:$K$20,9)/30))</f>
        <v>4.9467864624831046</v>
      </c>
      <c r="CR116" s="173">
        <f ca="1">(VLOOKUP(CR$72,INDIRECT($C$5&amp;"生成成长"),2))/((VLOOKUP($B116,INDIRECT($B$5&amp;"生成成长"),4))/(VLOOKUP(CR$72,INDIRECT($C$5&amp;"生成成长"),5))*(VLOOKUP($B$5,标准坦克设计!$B$24:$U$30,MATCH("对"&amp;LEFT($C$5,2)&amp;"输出",标准坦克设计!$B$23:$U$23,0)))*(VLOOKUP($B116,INDIRECT($B$5&amp;"生成成长"),3))*(VLOOKUP($B$5,标准坦克设计!$B$14:$K$20,9)/30))</f>
        <v>5.3659865513152427</v>
      </c>
      <c r="CS116" s="173">
        <f ca="1">(VLOOKUP(CS$72,INDIRECT($C$5&amp;"生成成长"),2))/((VLOOKUP($B116,INDIRECT($B$5&amp;"生成成长"),4))/(VLOOKUP(CS$72,INDIRECT($C$5&amp;"生成成长"),5))*(VLOOKUP($B$5,标准坦克设计!$B$24:$U$30,MATCH("对"&amp;LEFT($C$5,2)&amp;"输出",标准坦克设计!$B$23:$U$23,0)))*(VLOOKUP($B116,INDIRECT($B$5&amp;"生成成长"),3))*(VLOOKUP($B$5,标准坦克设计!$B$14:$K$20,9)/30))</f>
        <v>5.8022335938522005</v>
      </c>
      <c r="CT116" s="173">
        <f ca="1">(VLOOKUP(CT$72,INDIRECT($C$5&amp;"生成成长"),2))/((VLOOKUP($B116,INDIRECT($B$5&amp;"生成成长"),4))/(VLOOKUP(CT$72,INDIRECT($C$5&amp;"生成成长"),5))*(VLOOKUP($B$5,标准坦克设计!$B$24:$U$30,MATCH("对"&amp;LEFT($C$5,2)&amp;"输出",标准坦克设计!$B$23:$U$23,0)))*(VLOOKUP($B116,INDIRECT($B$5&amp;"生成成长"),3))*(VLOOKUP($B$5,标准坦克设计!$B$14:$K$20,9)/30))</f>
        <v>6.2555275900939771</v>
      </c>
      <c r="CU116" s="173">
        <f ca="1">(VLOOKUP(CU$72,INDIRECT($C$5&amp;"生成成长"),2))/((VLOOKUP($B116,INDIRECT($B$5&amp;"生成成长"),4))/(VLOOKUP(CU$72,INDIRECT($C$5&amp;"生成成长"),5))*(VLOOKUP($B$5,标准坦克设计!$B$24:$U$30,MATCH("对"&amp;LEFT($C$5,2)&amp;"输出",标准坦克设计!$B$23:$U$23,0)))*(VLOOKUP($B116,INDIRECT($B$5&amp;"生成成长"),3))*(VLOOKUP($B$5,标准坦克设计!$B$14:$K$20,9)/30))</f>
        <v>6.7258685400405733</v>
      </c>
      <c r="CV116" s="173">
        <f ca="1">(VLOOKUP(CV$72,INDIRECT($C$5&amp;"生成成长"),2))/((VLOOKUP($B116,INDIRECT($B$5&amp;"生成成长"),4))/(VLOOKUP(CV$72,INDIRECT($C$5&amp;"生成成长"),5))*(VLOOKUP($B$5,标准坦克设计!$B$24:$U$30,MATCH("对"&amp;LEFT($C$5,2)&amp;"输出",标准坦克设计!$B$23:$U$23,0)))*(VLOOKUP($B116,INDIRECT($B$5&amp;"生成成长"),3))*(VLOOKUP($B$5,标准坦克设计!$B$14:$K$20,9)/30))</f>
        <v>7.2132564436919875</v>
      </c>
      <c r="CW116" s="173">
        <f ca="1">(VLOOKUP(CW$72,INDIRECT($C$5&amp;"生成成长"),2))/((VLOOKUP($B116,INDIRECT($B$5&amp;"生成成长"),4))/(VLOOKUP(CW$72,INDIRECT($C$5&amp;"生成成长"),5))*(VLOOKUP($B$5,标准坦克设计!$B$24:$U$30,MATCH("对"&amp;LEFT($C$5,2)&amp;"输出",标准坦克设计!$B$23:$U$23,0)))*(VLOOKUP($B116,INDIRECT($B$5&amp;"生成成长"),3))*(VLOOKUP($B$5,标准坦克设计!$B$14:$K$20,9)/30))</f>
        <v>7.7176913010482213</v>
      </c>
      <c r="CX116" s="173">
        <f ca="1">(VLOOKUP(CX$72,INDIRECT($C$5&amp;"生成成长"),2))/((VLOOKUP($B116,INDIRECT($B$5&amp;"生成成长"),4))/(VLOOKUP(CX$72,INDIRECT($C$5&amp;"生成成长"),5))*(VLOOKUP($B$5,标准坦克设计!$B$24:$U$30,MATCH("对"&amp;LEFT($C$5,2)&amp;"输出",标准坦克设计!$B$23:$U$23,0)))*(VLOOKUP($B116,INDIRECT($B$5&amp;"生成成长"),3))*(VLOOKUP($B$5,标准坦克设计!$B$14:$K$20,9)/30))</f>
        <v>8.2391731121092739</v>
      </c>
      <c r="CY116" s="173">
        <f ca="1">(VLOOKUP(CY$72,INDIRECT($C$5&amp;"生成成长"),2))/((VLOOKUP($B116,INDIRECT($B$5&amp;"生成成长"),4))/(VLOOKUP(CY$72,INDIRECT($C$5&amp;"生成成长"),5))*(VLOOKUP($B$5,标准坦克设计!$B$24:$U$30,MATCH("对"&amp;LEFT($C$5,2)&amp;"输出",标准坦克设计!$B$23:$U$23,0)))*(VLOOKUP($B116,INDIRECT($B$5&amp;"生成成长"),3))*(VLOOKUP($B$5,标准坦克设计!$B$14:$K$20,9)/30))</f>
        <v>8.7777018768751436</v>
      </c>
      <c r="CZ116" s="173">
        <f ca="1">(VLOOKUP(CZ$72,INDIRECT($C$5&amp;"生成成长"),2))/((VLOOKUP($B116,INDIRECT($B$5&amp;"生成成长"),4))/(VLOOKUP(CZ$72,INDIRECT($C$5&amp;"生成成长"),5))*(VLOOKUP($B$5,标准坦克设计!$B$24:$U$30,MATCH("对"&amp;LEFT($C$5,2)&amp;"输出",标准坦克设计!$B$23:$U$23,0)))*(VLOOKUP($B116,INDIRECT($B$5&amp;"生成成长"),3))*(VLOOKUP($B$5,标准坦克设计!$B$14:$K$20,9)/30))</f>
        <v>9.3332775953458356</v>
      </c>
      <c r="DA116" s="173">
        <f ca="1">(VLOOKUP(DA$72,INDIRECT($C$5&amp;"生成成长"),2))/((VLOOKUP($B116,INDIRECT($B$5&amp;"生成成长"),4))/(VLOOKUP(DA$72,INDIRECT($C$5&amp;"生成成长"),5))*(VLOOKUP($B$5,标准坦克设计!$B$24:$U$30,MATCH("对"&amp;LEFT($C$5,2)&amp;"输出",标准坦克设计!$B$23:$U$23,0)))*(VLOOKUP($B116,INDIRECT($B$5&amp;"生成成长"),3))*(VLOOKUP($B$5,标准坦克设计!$B$14:$K$20,9)/30))</f>
        <v>9.9059002675213446</v>
      </c>
      <c r="DB116" s="173">
        <f ca="1">(VLOOKUP(DB$72,INDIRECT($C$5&amp;"生成成长"),2))/((VLOOKUP($B116,INDIRECT($B$5&amp;"生成成长"),4))/(VLOOKUP(DB$72,INDIRECT($C$5&amp;"生成成长"),5))*(VLOOKUP($B$5,标准坦克设计!$B$24:$U$30,MATCH("对"&amp;LEFT($C$5,2)&amp;"输出",标准坦克设计!$B$23:$U$23,0)))*(VLOOKUP($B116,INDIRECT($B$5&amp;"生成成长"),3))*(VLOOKUP($B$5,标准坦克设计!$B$14:$K$20,9)/30))</f>
        <v>10.495569893401674</v>
      </c>
      <c r="DC116" s="173">
        <f ca="1">(VLOOKUP(DC$72,INDIRECT($C$5&amp;"生成成长"),2))/((VLOOKUP($B116,INDIRECT($B$5&amp;"生成成长"),4))/(VLOOKUP(DC$72,INDIRECT($C$5&amp;"生成成长"),5))*(VLOOKUP($B$5,标准坦克设计!$B$24:$U$30,MATCH("对"&amp;LEFT($C$5,2)&amp;"输出",标准坦克设计!$B$23:$U$23,0)))*(VLOOKUP($B116,INDIRECT($B$5&amp;"生成成长"),3))*(VLOOKUP($B$5,标准坦克设计!$B$14:$K$20,9)/30))</f>
        <v>11.158287829165873</v>
      </c>
      <c r="DD116" s="173">
        <f ca="1">(VLOOKUP(DD$72,INDIRECT($C$5&amp;"生成成长"),2))/((VLOOKUP($B116,INDIRECT($B$5&amp;"生成成长"),4))/(VLOOKUP(DD$72,INDIRECT($C$5&amp;"生成成长"),5))*(VLOOKUP($B$5,标准坦克设计!$B$24:$U$30,MATCH("对"&amp;LEFT($C$5,2)&amp;"输出",标准坦克设计!$B$23:$U$23,0)))*(VLOOKUP($B116,INDIRECT($B$5&amp;"生成成长"),3))*(VLOOKUP($B$5,标准坦克设计!$B$14:$K$20,9)/30))</f>
        <v>11.841293048677958</v>
      </c>
      <c r="DE116" s="173">
        <f ca="1">(VLOOKUP(DE$72,INDIRECT($C$5&amp;"生成成长"),2))/((VLOOKUP($B116,INDIRECT($B$5&amp;"生成成长"),4))/(VLOOKUP(DE$72,INDIRECT($C$5&amp;"生成成长"),5))*(VLOOKUP($B$5,标准坦克设计!$B$24:$U$30,MATCH("对"&amp;LEFT($C$5,2)&amp;"输出",标准坦克设计!$B$23:$U$23,0)))*(VLOOKUP($B116,INDIRECT($B$5&amp;"生成成长"),3))*(VLOOKUP($B$5,标准坦克设计!$B$14:$K$20,9)/30))</f>
        <v>12.54458555193793</v>
      </c>
      <c r="DF116" s="173">
        <f ca="1">(VLOOKUP(DF$72,INDIRECT($C$5&amp;"生成成长"),2))/((VLOOKUP($B116,INDIRECT($B$5&amp;"生成成长"),4))/(VLOOKUP(DF$72,INDIRECT($C$5&amp;"生成成长"),5))*(VLOOKUP($B$5,标准坦克设计!$B$24:$U$30,MATCH("对"&amp;LEFT($C$5,2)&amp;"输出",标准坦克设计!$B$23:$U$23,0)))*(VLOOKUP($B116,INDIRECT($B$5&amp;"生成成长"),3))*(VLOOKUP($B$5,标准坦克设计!$B$14:$K$20,9)/30))</f>
        <v>13.26816533894578</v>
      </c>
      <c r="DG116" s="173">
        <f ca="1">(VLOOKUP(DG$72,INDIRECT($C$5&amp;"生成成长"),2))/((VLOOKUP($B116,INDIRECT($B$5&amp;"生成成长"),4))/(VLOOKUP(DG$72,INDIRECT($C$5&amp;"生成成长"),5))*(VLOOKUP($B$5,标准坦克设计!$B$24:$U$30,MATCH("对"&amp;LEFT($C$5,2)&amp;"输出",标准坦克设计!$B$23:$U$23,0)))*(VLOOKUP($B116,INDIRECT($B$5&amp;"生成成长"),3))*(VLOOKUP($B$5,标准坦克设计!$B$14:$K$20,9)/30))</f>
        <v>14.01203240970152</v>
      </c>
      <c r="DH116" s="173">
        <f ca="1">(VLOOKUP(DH$72,INDIRECT($C$5&amp;"生成成长"),2))/((VLOOKUP($B116,INDIRECT($B$5&amp;"生成成长"),4))/(VLOOKUP(DH$72,INDIRECT($C$5&amp;"生成成长"),5))*(VLOOKUP($B$5,标准坦克设计!$B$24:$U$30,MATCH("对"&amp;LEFT($C$5,2)&amp;"输出",标准坦克设计!$B$23:$U$23,0)))*(VLOOKUP($B116,INDIRECT($B$5&amp;"生成成长"),3))*(VLOOKUP($B$5,标准坦克设计!$B$14:$K$20,9)/30))</f>
        <v>14.776186764205139</v>
      </c>
      <c r="DI116" s="173">
        <f ca="1">(VLOOKUP(DI$72,INDIRECT($C$5&amp;"生成成长"),2))/((VLOOKUP($B116,INDIRECT($B$5&amp;"生成成长"),4))/(VLOOKUP(DI$72,INDIRECT($C$5&amp;"生成成长"),5))*(VLOOKUP($B$5,标准坦克设计!$B$24:$U$30,MATCH("对"&amp;LEFT($C$5,2)&amp;"输出",标准坦克设计!$B$23:$U$23,0)))*(VLOOKUP($B116,INDIRECT($B$5&amp;"生成成长"),3))*(VLOOKUP($B$5,标准坦克设计!$B$14:$K$20,9)/30))</f>
        <v>15.560628402456638</v>
      </c>
      <c r="DJ116" s="173">
        <f ca="1">(VLOOKUP(DJ$72,INDIRECT($C$5&amp;"生成成长"),2))/((VLOOKUP($B116,INDIRECT($B$5&amp;"生成成长"),4))/(VLOOKUP(DJ$72,INDIRECT($C$5&amp;"生成成长"),5))*(VLOOKUP($B$5,标准坦克设计!$B$24:$U$30,MATCH("对"&amp;LEFT($C$5,2)&amp;"输出",标准坦克设计!$B$23:$U$23,0)))*(VLOOKUP($B116,INDIRECT($B$5&amp;"生成成长"),3))*(VLOOKUP($B$5,标准坦克设计!$B$14:$K$20,9)/30))</f>
        <v>1.5638818975234943</v>
      </c>
      <c r="DK116" s="173">
        <f ca="1">(VLOOKUP(DK$72,INDIRECT($C$5&amp;"生成成长"),2))/((VLOOKUP($B116,INDIRECT($B$5&amp;"生成成长"),4))/(VLOOKUP(DK$72,INDIRECT($C$5&amp;"生成成长"),5))*(VLOOKUP($B$5,标准坦克设计!$B$24:$U$30,MATCH("对"&amp;LEFT($C$5,2)&amp;"输出",标准坦克设计!$B$23:$U$23,0)))*(VLOOKUP($B116,INDIRECT($B$5&amp;"生成成长"),3))*(VLOOKUP($B$5,标准坦克设计!$B$14:$K$20,9)/30))</f>
        <v>1.7585130259797535</v>
      </c>
      <c r="DL116" s="173">
        <f ca="1">(VLOOKUP(DL$72,INDIRECT($C$5&amp;"生成成长"),2))/((VLOOKUP($B116,INDIRECT($B$5&amp;"生成成长"),4))/(VLOOKUP(DL$72,INDIRECT($C$5&amp;"生成成长"),5))*(VLOOKUP($B$5,标准坦克设计!$B$24:$U$30,MATCH("对"&amp;LEFT($C$5,2)&amp;"输出",标准坦克设计!$B$23:$U$23,0)))*(VLOOKUP($B116,INDIRECT($B$5&amp;"生成成长"),3))*(VLOOKUP($B$5,标准坦克设计!$B$14:$K$20,9)/30))</f>
        <v>1.9645557515441976</v>
      </c>
      <c r="DM116" s="173">
        <f ca="1">(VLOOKUP(DM$72,INDIRECT($C$5&amp;"生成成长"),2))/((VLOOKUP($B116,INDIRECT($B$5&amp;"生成成长"),4))/(VLOOKUP(DM$72,INDIRECT($C$5&amp;"生成成长"),5))*(VLOOKUP($B$5,标准坦克设计!$B$24:$U$30,MATCH("对"&amp;LEFT($C$5,2)&amp;"输出",标准坦克设计!$B$23:$U$23,0)))*(VLOOKUP($B116,INDIRECT($B$5&amp;"生成成长"),3))*(VLOOKUP($B$5,标准坦克设计!$B$14:$K$20,9)/30))</f>
        <v>2.182010074216826</v>
      </c>
      <c r="DN116" s="173">
        <f ca="1">(VLOOKUP(DN$72,INDIRECT($C$5&amp;"生成成长"),2))/((VLOOKUP($B116,INDIRECT($B$5&amp;"生成成长"),4))/(VLOOKUP(DN$72,INDIRECT($C$5&amp;"生成成长"),5))*(VLOOKUP($B$5,标准坦克设计!$B$24:$U$30,MATCH("对"&amp;LEFT($C$5,2)&amp;"输出",标准坦克设计!$B$23:$U$23,0)))*(VLOOKUP($B116,INDIRECT($B$5&amp;"生成成长"),3))*(VLOOKUP($B$5,标准坦克设计!$B$14:$K$20,9)/30))</f>
        <v>2.4108759939976396</v>
      </c>
      <c r="DO116" s="173">
        <f ca="1">(VLOOKUP(DO$72,INDIRECT($C$5&amp;"生成成长"),2))/((VLOOKUP($B116,INDIRECT($B$5&amp;"生成成长"),4))/(VLOOKUP(DO$72,INDIRECT($C$5&amp;"生成成长"),5))*(VLOOKUP($B$5,标准坦克设计!$B$24:$U$30,MATCH("对"&amp;LEFT($C$5,2)&amp;"输出",标准坦克设计!$B$23:$U$23,0)))*(VLOOKUP($B116,INDIRECT($B$5&amp;"生成成长"),3))*(VLOOKUP($B$5,标准坦克设计!$B$14:$K$20,9)/30))</f>
        <v>2.6511535108866373</v>
      </c>
      <c r="DP116" s="173">
        <f ca="1">(VLOOKUP(DP$72,INDIRECT($C$5&amp;"生成成长"),2))/((VLOOKUP($B116,INDIRECT($B$5&amp;"生成成长"),4))/(VLOOKUP(DP$72,INDIRECT($C$5&amp;"生成成长"),5))*(VLOOKUP($B$5,标准坦克设计!$B$24:$U$30,MATCH("对"&amp;LEFT($C$5,2)&amp;"输出",标准坦克设计!$B$23:$U$23,0)))*(VLOOKUP($B116,INDIRECT($B$5&amp;"生成成长"),3))*(VLOOKUP($B$5,标准坦克设计!$B$14:$K$20,9)/30))</f>
        <v>2.9028426248838195</v>
      </c>
      <c r="DQ116" s="173">
        <f ca="1">(VLOOKUP(DQ$72,INDIRECT($C$5&amp;"生成成长"),2))/((VLOOKUP($B116,INDIRECT($B$5&amp;"生成成长"),4))/(VLOOKUP(DQ$72,INDIRECT($C$5&amp;"生成成长"),5))*(VLOOKUP($B$5,标准坦克设计!$B$24:$U$30,MATCH("对"&amp;LEFT($C$5,2)&amp;"输出",标准坦克设计!$B$23:$U$23,0)))*(VLOOKUP($B116,INDIRECT($B$5&amp;"生成成长"),3))*(VLOOKUP($B$5,标准坦克设计!$B$14:$K$20,9)/30))</f>
        <v>3.1659433359891866</v>
      </c>
      <c r="DR116" s="173">
        <f ca="1">(VLOOKUP(DR$72,INDIRECT($C$5&amp;"生成成长"),2))/((VLOOKUP($B116,INDIRECT($B$5&amp;"生成成长"),4))/(VLOOKUP(DR$72,INDIRECT($C$5&amp;"生成成长"),5))*(VLOOKUP($B$5,标准坦克设计!$B$24:$U$30,MATCH("对"&amp;LEFT($C$5,2)&amp;"输出",标准坦克设计!$B$23:$U$23,0)))*(VLOOKUP($B116,INDIRECT($B$5&amp;"生成成长"),3))*(VLOOKUP($B$5,标准坦克设计!$B$14:$K$20,9)/30))</f>
        <v>3.4404556442027383</v>
      </c>
      <c r="DS116" s="173">
        <f ca="1">(VLOOKUP(DS$72,INDIRECT($C$5&amp;"生成成长"),2))/((VLOOKUP($B116,INDIRECT($B$5&amp;"生成成长"),4))/(VLOOKUP(DS$72,INDIRECT($C$5&amp;"生成成长"),5))*(VLOOKUP($B$5,标准坦克设计!$B$24:$U$30,MATCH("对"&amp;LEFT($C$5,2)&amp;"输出",标准坦克设计!$B$23:$U$23,0)))*(VLOOKUP($B116,INDIRECT($B$5&amp;"生成成长"),3))*(VLOOKUP($B$5,标准坦克设计!$B$14:$K$20,9)/30))</f>
        <v>3.726379549524474</v>
      </c>
      <c r="DT116" s="173">
        <f ca="1">(VLOOKUP(DT$72,INDIRECT($C$5&amp;"生成成长"),2))/((VLOOKUP($B116,INDIRECT($B$5&amp;"生成成长"),4))/(VLOOKUP(DT$72,INDIRECT($C$5&amp;"生成成长"),5))*(VLOOKUP($B$5,标准坦克设计!$B$24:$U$30,MATCH("对"&amp;LEFT($C$5,2)&amp;"输出",标准坦克设计!$B$23:$U$23,0)))*(VLOOKUP($B116,INDIRECT($B$5&amp;"生成成长"),3))*(VLOOKUP($B$5,标准坦克设计!$B$14:$K$20,9)/30))</f>
        <v>4.0913393311140078</v>
      </c>
      <c r="DU116" s="173">
        <f ca="1">(VLOOKUP(DU$72,INDIRECT($C$5&amp;"生成成长"),2))/((VLOOKUP($B116,INDIRECT($B$5&amp;"生成成长"),4))/(VLOOKUP(DU$72,INDIRECT($C$5&amp;"生成成长"),5))*(VLOOKUP($B$5,标准坦克设计!$B$24:$U$30,MATCH("对"&amp;LEFT($C$5,2)&amp;"输出",标准坦克设计!$B$23:$U$23,0)))*(VLOOKUP($B116,INDIRECT($B$5&amp;"生成成长"),3))*(VLOOKUP($B$5,标准坦克设计!$B$14:$K$20,9)/30))</f>
        <v>4.4733460664083582</v>
      </c>
      <c r="DV116" s="173">
        <f ca="1">(VLOOKUP(DV$72,INDIRECT($C$5&amp;"生成成长"),2))/((VLOOKUP($B116,INDIRECT($B$5&amp;"生成成长"),4))/(VLOOKUP(DV$72,INDIRECT($C$5&amp;"生成成长"),5))*(VLOOKUP($B$5,标准坦克设计!$B$24:$U$30,MATCH("对"&amp;LEFT($C$5,2)&amp;"输出",标准坦克设计!$B$23:$U$23,0)))*(VLOOKUP($B116,INDIRECT($B$5&amp;"生成成长"),3))*(VLOOKUP($B$5,标准坦克设计!$B$14:$K$20,9)/30))</f>
        <v>4.87239975540753</v>
      </c>
      <c r="DW116" s="173">
        <f ca="1">(VLOOKUP(DW$72,INDIRECT($C$5&amp;"生成成长"),2))/((VLOOKUP($B116,INDIRECT($B$5&amp;"生成成长"),4))/(VLOOKUP(DW$72,INDIRECT($C$5&amp;"生成成长"),5))*(VLOOKUP($B$5,标准坦克设计!$B$24:$U$30,MATCH("对"&amp;LEFT($C$5,2)&amp;"输出",标准坦克设计!$B$23:$U$23,0)))*(VLOOKUP($B116,INDIRECT($B$5&amp;"生成成长"),3))*(VLOOKUP($B$5,标准坦克设计!$B$14:$K$20,9)/30))</f>
        <v>5.2885003981115197</v>
      </c>
      <c r="DX116" s="173">
        <f ca="1">(VLOOKUP(DX$72,INDIRECT($C$5&amp;"生成成长"),2))/((VLOOKUP($B116,INDIRECT($B$5&amp;"生成成长"),4))/(VLOOKUP(DX$72,INDIRECT($C$5&amp;"生成成长"),5))*(VLOOKUP($B$5,标准坦克设计!$B$24:$U$30,MATCH("对"&amp;LEFT($C$5,2)&amp;"输出",标准坦克设计!$B$23:$U$23,0)))*(VLOOKUP($B116,INDIRECT($B$5&amp;"生成成长"),3))*(VLOOKUP($B$5,标准坦克设计!$B$14:$K$20,9)/30))</f>
        <v>5.72164799452033</v>
      </c>
      <c r="DY116" s="173">
        <f ca="1">(VLOOKUP(DY$72,INDIRECT($C$5&amp;"生成成长"),2))/((VLOOKUP($B116,INDIRECT($B$5&amp;"生成成长"),4))/(VLOOKUP(DY$72,INDIRECT($C$5&amp;"生成成长"),5))*(VLOOKUP($B$5,标准坦克设计!$B$24:$U$30,MATCH("对"&amp;LEFT($C$5,2)&amp;"输出",标准坦克设计!$B$23:$U$23,0)))*(VLOOKUP($B116,INDIRECT($B$5&amp;"生成成长"),3))*(VLOOKUP($B$5,标准坦克设计!$B$14:$K$20,9)/30))</f>
        <v>2.569793050022728</v>
      </c>
      <c r="DZ116" s="173">
        <f ca="1">(VLOOKUP(DZ$72,INDIRECT($C$5&amp;"生成成长"),2))/((VLOOKUP($B116,INDIRECT($B$5&amp;"生成成长"),4))/(VLOOKUP(DZ$72,INDIRECT($C$5&amp;"生成成长"),5))*(VLOOKUP($B$5,标准坦克设计!$B$24:$U$30,MATCH("对"&amp;LEFT($C$5,2)&amp;"输出",标准坦克设计!$B$23:$U$23,0)))*(VLOOKUP($B116,INDIRECT($B$5&amp;"生成成长"),3))*(VLOOKUP($B$5,标准坦克设计!$B$14:$K$20,9)/30))</f>
        <v>2.8459255232578125</v>
      </c>
      <c r="EA116" s="173">
        <f ca="1">(VLOOKUP(EA$72,INDIRECT($C$5&amp;"生成成长"),2))/((VLOOKUP($B116,INDIRECT($B$5&amp;"生成成长"),4))/(VLOOKUP(EA$72,INDIRECT($C$5&amp;"生成成长"),5))*(VLOOKUP($B$5,标准坦克设计!$B$24:$U$30,MATCH("对"&amp;LEFT($C$5,2)&amp;"输出",标准坦克设计!$B$23:$U$23,0)))*(VLOOKUP($B116,INDIRECT($B$5&amp;"生成成长"),3))*(VLOOKUP($B$5,标准坦克设计!$B$14:$K$20,9)/30))</f>
        <v>3.1361463879844824</v>
      </c>
      <c r="EB116" s="173">
        <f ca="1">(VLOOKUP(EB$72,INDIRECT($C$5&amp;"生成成长"),2))/((VLOOKUP($B116,INDIRECT($B$5&amp;"生成成长"),4))/(VLOOKUP(EB$72,INDIRECT($C$5&amp;"生成成长"),5))*(VLOOKUP($B$5,标准坦克设计!$B$24:$U$30,MATCH("对"&amp;LEFT($C$5,2)&amp;"输出",标准坦克设计!$B$23:$U$23,0)))*(VLOOKUP($B116,INDIRECT($B$5&amp;"生成成长"),3))*(VLOOKUP($B$5,标准坦克设计!$B$14:$K$20,9)/30))</f>
        <v>3.4404556442027383</v>
      </c>
      <c r="EC116" s="173">
        <f ca="1">(VLOOKUP(EC$72,INDIRECT($C$5&amp;"生成成长"),2))/((VLOOKUP($B116,INDIRECT($B$5&amp;"生成成长"),4))/(VLOOKUP(EC$72,INDIRECT($C$5&amp;"生成成长"),5))*(VLOOKUP($B$5,标准坦克设计!$B$24:$U$30,MATCH("对"&amp;LEFT($C$5,2)&amp;"输出",标准坦克设计!$B$23:$U$23,0)))*(VLOOKUP($B116,INDIRECT($B$5&amp;"生成成长"),3))*(VLOOKUP($B$5,标准坦克设计!$B$14:$K$20,9)/30))</f>
        <v>3.7588532919125792</v>
      </c>
      <c r="ED116" s="173">
        <f ca="1">(VLOOKUP(ED$72,INDIRECT($C$5&amp;"生成成长"),2))/((VLOOKUP($B116,INDIRECT($B$5&amp;"生成成长"),4))/(VLOOKUP(ED$72,INDIRECT($C$5&amp;"生成成长"),5))*(VLOOKUP($B$5,标准坦克设计!$B$24:$U$30,MATCH("对"&amp;LEFT($C$5,2)&amp;"输出",标准坦克设计!$B$23:$U$23,0)))*(VLOOKUP($B116,INDIRECT($B$5&amp;"生成成长"),3))*(VLOOKUP($B$5,标准坦克设计!$B$14:$K$20,9)/30))</f>
        <v>4.0913393311140078</v>
      </c>
      <c r="EE116" s="173">
        <f ca="1">(VLOOKUP(EE$72,INDIRECT($C$5&amp;"生成成长"),2))/((VLOOKUP($B116,INDIRECT($B$5&amp;"生成成长"),4))/(VLOOKUP(EE$72,INDIRECT($C$5&amp;"生成成长"),5))*(VLOOKUP($B$5,标准坦克设计!$B$24:$U$30,MATCH("对"&amp;LEFT($C$5,2)&amp;"输出",标准坦克设计!$B$23:$U$23,0)))*(VLOOKUP($B116,INDIRECT($B$5&amp;"生成成长"),3))*(VLOOKUP($B$5,标准坦克设计!$B$14:$K$20,9)/30))</f>
        <v>4.4379137618070201</v>
      </c>
      <c r="EF116" s="173">
        <f ca="1">(VLOOKUP(EF$72,INDIRECT($C$5&amp;"生成成长"),2))/((VLOOKUP($B116,INDIRECT($B$5&amp;"生成成长"),4))/(VLOOKUP(EF$72,INDIRECT($C$5&amp;"生成成长"),5))*(VLOOKUP($B$5,标准坦克设计!$B$24:$U$30,MATCH("对"&amp;LEFT($C$5,2)&amp;"输出",标准坦克设计!$B$23:$U$23,0)))*(VLOOKUP($B116,INDIRECT($B$5&amp;"生成成长"),3))*(VLOOKUP($B$5,标准坦克设计!$B$14:$K$20,9)/30))</f>
        <v>4.7985765839916192</v>
      </c>
      <c r="EG116" s="173">
        <f ca="1">(VLOOKUP(EG$72,INDIRECT($C$5&amp;"生成成长"),2))/((VLOOKUP($B116,INDIRECT($B$5&amp;"生成成长"),4))/(VLOOKUP(EG$72,INDIRECT($C$5&amp;"生成成长"),5))*(VLOOKUP($B$5,标准坦克设计!$B$24:$U$30,MATCH("对"&amp;LEFT($C$5,2)&amp;"输出",标准坦克设计!$B$23:$U$23,0)))*(VLOOKUP($B116,INDIRECT($B$5&amp;"生成成长"),3))*(VLOOKUP($B$5,标准坦克设计!$B$14:$K$20,9)/30))</f>
        <v>5.1733277976678052</v>
      </c>
      <c r="EH116" s="173">
        <f ca="1">(VLOOKUP(EH$72,INDIRECT($C$5&amp;"生成成长"),2))/((VLOOKUP($B116,INDIRECT($B$5&amp;"生成成长"),4))/(VLOOKUP(EH$72,INDIRECT($C$5&amp;"生成成长"),5))*(VLOOKUP($B$5,标准坦克设计!$B$24:$U$30,MATCH("对"&amp;LEFT($C$5,2)&amp;"输出",标准坦克设计!$B$23:$U$23,0)))*(VLOOKUP($B116,INDIRECT($B$5&amp;"生成成长"),3))*(VLOOKUP($B$5,标准坦克设计!$B$14:$K$20,9)/30))</f>
        <v>5.5621674028355761</v>
      </c>
      <c r="EI116" s="173">
        <f ca="1">(VLOOKUP(EI$72,INDIRECT($C$5&amp;"生成成长"),2))/((VLOOKUP($B116,INDIRECT($B$5&amp;"生成成长"),4))/(VLOOKUP(EI$72,INDIRECT($C$5&amp;"生成成长"),5))*(VLOOKUP($B$5,标准坦克设计!$B$24:$U$30,MATCH("对"&amp;LEFT($C$5,2)&amp;"输出",标准坦克设计!$B$23:$U$23,0)))*(VLOOKUP($B116,INDIRECT($B$5&amp;"生成成长"),3))*(VLOOKUP($B$5,标准坦克设计!$B$14:$K$20,9)/30))</f>
        <v>5.9650953994949338</v>
      </c>
      <c r="EJ116" s="173">
        <f ca="1">(VLOOKUP(EJ$72,INDIRECT($C$5&amp;"生成成长"),2))/((VLOOKUP($B116,INDIRECT($B$5&amp;"生成成长"),4))/(VLOOKUP(EJ$72,INDIRECT($C$5&amp;"生成成长"),5))*(VLOOKUP($B$5,标准坦克设计!$B$24:$U$30,MATCH("对"&amp;LEFT($C$5,2)&amp;"输出",标准坦克设计!$B$23:$U$23,0)))*(VLOOKUP($B116,INDIRECT($B$5&amp;"生成成长"),3))*(VLOOKUP($B$5,标准坦克设计!$B$14:$K$20,9)/30))</f>
        <v>6.3821117876458766</v>
      </c>
      <c r="EK116" s="173">
        <f ca="1">(VLOOKUP(EK$72,INDIRECT($C$5&amp;"生成成长"),2))/((VLOOKUP($B116,INDIRECT($B$5&amp;"生成成长"),4))/(VLOOKUP(EK$72,INDIRECT($C$5&amp;"生成成长"),5))*(VLOOKUP($B$5,标准坦克设计!$B$24:$U$30,MATCH("对"&amp;LEFT($C$5,2)&amp;"输出",标准坦克设计!$B$23:$U$23,0)))*(VLOOKUP($B116,INDIRECT($B$5&amp;"生成成长"),3))*(VLOOKUP($B$5,标准坦克设计!$B$14:$K$20,9)/30))</f>
        <v>6.9011281301959029</v>
      </c>
      <c r="EL116" s="173">
        <f ca="1">(VLOOKUP(EL$72,INDIRECT($C$5&amp;"生成成长"),2))/((VLOOKUP($B116,INDIRECT($B$5&amp;"生成成长"),4))/(VLOOKUP(EL$72,INDIRECT($C$5&amp;"生成成长"),5))*(VLOOKUP($B$5,标准坦克设计!$B$24:$U$30,MATCH("对"&amp;LEFT($C$5,2)&amp;"输出",标准坦克设计!$B$23:$U$23,0)))*(VLOOKUP($B116,INDIRECT($B$5&amp;"生成成长"),3))*(VLOOKUP($B$5,标准坦克设计!$B$14:$K$20,9)/30))</f>
        <v>7.4404317564938101</v>
      </c>
      <c r="EM116" s="173">
        <f ca="1">(VLOOKUP(EM$72,INDIRECT($C$5&amp;"生成成长"),2))/((VLOOKUP($B116,INDIRECT($B$5&amp;"生成成长"),4))/(VLOOKUP(EM$72,INDIRECT($C$5&amp;"生成成长"),5))*(VLOOKUP($B$5,标准坦克设计!$B$24:$U$30,MATCH("对"&amp;LEFT($C$5,2)&amp;"输出",标准坦克设计!$B$23:$U$23,0)))*(VLOOKUP($B116,INDIRECT($B$5&amp;"生成成长"),3))*(VLOOKUP($B$5,标准坦克设计!$B$14:$K$20,9)/30))</f>
        <v>8.0000226665396017</v>
      </c>
      <c r="EN116" s="173">
        <f ca="1">(VLOOKUP(EN$72,INDIRECT($C$5&amp;"生成成长"),2))/((VLOOKUP($B116,INDIRECT($B$5&amp;"生成成长"),4))/(VLOOKUP(EN$72,INDIRECT($C$5&amp;"生成成长"),5))*(VLOOKUP($B$5,标准坦克设计!$B$24:$U$30,MATCH("对"&amp;LEFT($C$5,2)&amp;"输出",标准坦克设计!$B$23:$U$23,0)))*(VLOOKUP($B116,INDIRECT($B$5&amp;"生成成长"),3))*(VLOOKUP($B$5,标准坦克设计!$B$14:$K$20,9)/30))</f>
        <v>8.5799008603332787</v>
      </c>
      <c r="EO116" s="173">
        <f ca="1">(VLOOKUP(EO$72,INDIRECT($C$5&amp;"生成成长"),2))/((VLOOKUP($B116,INDIRECT($B$5&amp;"生成成长"),4))/(VLOOKUP(EO$72,INDIRECT($C$5&amp;"生成成长"),5))*(VLOOKUP($B$5,标准坦克设计!$B$24:$U$30,MATCH("对"&amp;LEFT($C$5,2)&amp;"输出",标准坦克设计!$B$23:$U$23,0)))*(VLOOKUP($B116,INDIRECT($B$5&amp;"生成成长"),3))*(VLOOKUP($B$5,标准坦克设计!$B$14:$K$20,9)/30))</f>
        <v>9.1800663378748393</v>
      </c>
      <c r="EP116" s="173">
        <f ca="1">(VLOOKUP(EP$72,INDIRECT($C$5&amp;"生成成长"),2))/((VLOOKUP($B116,INDIRECT($B$5&amp;"生成成长"),4))/(VLOOKUP(EP$72,INDIRECT($C$5&amp;"生成成长"),5))*(VLOOKUP($B$5,标准坦克设计!$B$24:$U$30,MATCH("对"&amp;LEFT($C$5,2)&amp;"输出",标准坦克设计!$B$23:$U$23,0)))*(VLOOKUP($B116,INDIRECT($B$5&amp;"生成成长"),3))*(VLOOKUP($B$5,标准坦克设计!$B$14:$K$20,9)/30))</f>
        <v>9.8005190991642834</v>
      </c>
      <c r="EQ116" s="173">
        <f ca="1">(VLOOKUP(EQ$72,INDIRECT($C$5&amp;"生成成长"),2))/((VLOOKUP($B116,INDIRECT($B$5&amp;"生成成长"),4))/(VLOOKUP(EQ$72,INDIRECT($C$5&amp;"生成成长"),5))*(VLOOKUP($B$5,标准坦克设计!$B$24:$U$30,MATCH("对"&amp;LEFT($C$5,2)&amp;"输出",标准坦克设计!$B$23:$U$23,0)))*(VLOOKUP($B116,INDIRECT($B$5&amp;"生成成长"),3))*(VLOOKUP($B$5,标准坦克设计!$B$14:$K$20,9)/30))</f>
        <v>4.3324621514924999</v>
      </c>
      <c r="ER116" s="173">
        <f ca="1">(VLOOKUP(ER$72,INDIRECT($C$5&amp;"生成成长"),2))/((VLOOKUP($B116,INDIRECT($B$5&amp;"生成成长"),4))/(VLOOKUP(ER$72,INDIRECT($C$5&amp;"生成成长"),5))*(VLOOKUP($B$5,标准坦克设计!$B$24:$U$30,MATCH("对"&amp;LEFT($C$5,2)&amp;"输出",标准坦克设计!$B$23:$U$23,0)))*(VLOOKUP($B116,INDIRECT($B$5&amp;"生成成长"),3))*(VLOOKUP($B$5,标准坦克设计!$B$14:$K$20,9)/30))</f>
        <v>4.7253169482353732</v>
      </c>
      <c r="ES116" s="173">
        <f ca="1">(VLOOKUP(ES$72,INDIRECT($C$5&amp;"生成成长"),2))/((VLOOKUP($B116,INDIRECT($B$5&amp;"生成成长"),4))/(VLOOKUP(ES$72,INDIRECT($C$5&amp;"生成成长"),5))*(VLOOKUP($B$5,标准坦克设计!$B$24:$U$30,MATCH("对"&amp;LEFT($C$5,2)&amp;"输出",标准坦克设计!$B$23:$U$23,0)))*(VLOOKUP($B116,INDIRECT($B$5&amp;"生成成长"),3))*(VLOOKUP($B$5,标准坦克设计!$B$14:$K$20,9)/30))</f>
        <v>5.1352186986830652</v>
      </c>
      <c r="ET116" s="173">
        <f ca="1">(VLOOKUP(ET$72,INDIRECT($C$5&amp;"生成成长"),2))/((VLOOKUP($B116,INDIRECT($B$5&amp;"生成成长"),4))/(VLOOKUP(ET$72,INDIRECT($C$5&amp;"生成成长"),5))*(VLOOKUP($B$5,标准坦克设计!$B$24:$U$30,MATCH("对"&amp;LEFT($C$5,2)&amp;"输出",标准坦克设计!$B$23:$U$23,0)))*(VLOOKUP($B116,INDIRECT($B$5&amp;"生成成长"),3))*(VLOOKUP($B$5,标准坦克设计!$B$14:$K$20,9)/30))</f>
        <v>5.5621674028355761</v>
      </c>
      <c r="EU116" s="173">
        <f ca="1">(VLOOKUP(EU$72,INDIRECT($C$5&amp;"生成成长"),2))/((VLOOKUP($B116,INDIRECT($B$5&amp;"生成成长"),4))/(VLOOKUP(EU$72,INDIRECT($C$5&amp;"生成成长"),5))*(VLOOKUP($B$5,标准坦克设计!$B$24:$U$30,MATCH("对"&amp;LEFT($C$5,2)&amp;"输出",标准坦克设计!$B$23:$U$23,0)))*(VLOOKUP($B116,INDIRECT($B$5&amp;"生成成长"),3))*(VLOOKUP($B$5,标准坦克设计!$B$14:$K$20,9)/30))</f>
        <v>6.0061630606929066</v>
      </c>
      <c r="EV116" s="173">
        <f ca="1">(VLOOKUP(EV$72,INDIRECT($C$5&amp;"生成成长"),2))/((VLOOKUP($B116,INDIRECT($B$5&amp;"生成成长"),4))/(VLOOKUP(EV$72,INDIRECT($C$5&amp;"生成成长"),5))*(VLOOKUP($B$5,标准坦克设计!$B$24:$U$30,MATCH("对"&amp;LEFT($C$5,2)&amp;"输出",标准坦克设计!$B$23:$U$23,0)))*(VLOOKUP($B116,INDIRECT($B$5&amp;"生成成长"),3))*(VLOOKUP($B$5,标准坦克设计!$B$14:$K$20,9)/30))</f>
        <v>6.467205672255055</v>
      </c>
      <c r="EW116" s="173">
        <f ca="1">(VLOOKUP(EW$72,INDIRECT($C$5&amp;"生成成长"),2))/((VLOOKUP($B116,INDIRECT($B$5&amp;"生成成长"),4))/(VLOOKUP(EW$72,INDIRECT($C$5&amp;"生成成长"),5))*(VLOOKUP($B$5,标准坦克设计!$B$24:$U$30,MATCH("对"&amp;LEFT($C$5,2)&amp;"输出",标准坦克设计!$B$23:$U$23,0)))*(VLOOKUP($B116,INDIRECT($B$5&amp;"生成成长"),3))*(VLOOKUP($B$5,标准坦克设计!$B$14:$K$20,9)/30))</f>
        <v>6.9452952375220232</v>
      </c>
      <c r="EX116" s="173">
        <f ca="1">(VLOOKUP(EX$72,INDIRECT($C$5&amp;"生成成长"),2))/((VLOOKUP($B116,INDIRECT($B$5&amp;"生成成长"),4))/(VLOOKUP(EX$72,INDIRECT($C$5&amp;"生成成长"),5))*(VLOOKUP($B$5,标准坦克设计!$B$24:$U$30,MATCH("对"&amp;LEFT($C$5,2)&amp;"输出",标准坦克设计!$B$23:$U$23,0)))*(VLOOKUP($B116,INDIRECT($B$5&amp;"生成成长"),3))*(VLOOKUP($B$5,标准坦克设计!$B$14:$K$20,9)/30))</f>
        <v>7.4404317564938101</v>
      </c>
      <c r="EY116" s="173">
        <f ca="1">(VLOOKUP(EY$72,INDIRECT($C$5&amp;"生成成长"),2))/((VLOOKUP($B116,INDIRECT($B$5&amp;"生成成长"),4))/(VLOOKUP(EY$72,INDIRECT($C$5&amp;"生成成长"),5))*(VLOOKUP($B$5,标准坦克设计!$B$24:$U$30,MATCH("对"&amp;LEFT($C$5,2)&amp;"输出",标准坦克设计!$B$23:$U$23,0)))*(VLOOKUP($B116,INDIRECT($B$5&amp;"生成成长"),3))*(VLOOKUP($B$5,标准坦克设计!$B$14:$K$20,9)/30))</f>
        <v>7.9526152291704166</v>
      </c>
      <c r="EZ116" s="173">
        <f ca="1">(VLOOKUP(EZ$72,INDIRECT($C$5&amp;"生成成长"),2))/((VLOOKUP($B116,INDIRECT($B$5&amp;"生成成长"),4))/(VLOOKUP(EZ$72,INDIRECT($C$5&amp;"生成成长"),5))*(VLOOKUP($B$5,标准坦克设计!$B$24:$U$30,MATCH("对"&amp;LEFT($C$5,2)&amp;"输出",标准坦克设计!$B$23:$U$23,0)))*(VLOOKUP($B116,INDIRECT($B$5&amp;"生成成长"),3))*(VLOOKUP($B$5,标准坦克设计!$B$14:$K$20,9)/30))</f>
        <v>8.481845655551842</v>
      </c>
      <c r="FA116" s="173">
        <f ca="1">(VLOOKUP(FA$72,INDIRECT($C$5&amp;"生成成长"),2))/((VLOOKUP($B116,INDIRECT($B$5&amp;"生成成长"),4))/(VLOOKUP(FA$72,INDIRECT($C$5&amp;"生成成长"),5))*(VLOOKUP($B$5,标准坦克设计!$B$24:$U$30,MATCH("对"&amp;LEFT($C$5,2)&amp;"输出",标准坦克设计!$B$23:$U$23,0)))*(VLOOKUP($B116,INDIRECT($B$5&amp;"生成成长"),3))*(VLOOKUP($B$5,标准坦克设计!$B$14:$K$20,9)/30))</f>
        <v>9.0281230356380853</v>
      </c>
      <c r="FB116" s="173">
        <f ca="1">(VLOOKUP(FB$72,INDIRECT($C$5&amp;"生成成长"),2))/((VLOOKUP($B116,INDIRECT($B$5&amp;"生成成长"),4))/(VLOOKUP(FB$72,INDIRECT($C$5&amp;"生成成长"),5))*(VLOOKUP($B$5,标准坦克设计!$B$24:$U$30,MATCH("对"&amp;LEFT($C$5,2)&amp;"输出",标准坦克设计!$B$23:$U$23,0)))*(VLOOKUP($B116,INDIRECT($B$5&amp;"生成成长"),3))*(VLOOKUP($B$5,标准坦克设计!$B$14:$K$20,9)/30))</f>
        <v>9.5914473694291491</v>
      </c>
      <c r="FC116" s="173">
        <f ca="1">(VLOOKUP(FC$72,INDIRECT($C$5&amp;"生成成长"),2))/((VLOOKUP($B116,INDIRECT($B$5&amp;"生成成长"),4))/(VLOOKUP(FC$72,INDIRECT($C$5&amp;"生成成长"),5))*(VLOOKUP($B$5,标准坦克设计!$B$24:$U$30,MATCH("对"&amp;LEFT($C$5,2)&amp;"输出",标准坦克设计!$B$23:$U$23,0)))*(VLOOKUP($B116,INDIRECT($B$5&amp;"生成成长"),3))*(VLOOKUP($B$5,标准坦克设计!$B$14:$K$20,9)/30))</f>
        <v>10.17181865692503</v>
      </c>
      <c r="FD116" s="173">
        <f ca="1">(VLOOKUP(FD$72,INDIRECT($C$5&amp;"生成成长"),2))/((VLOOKUP($B116,INDIRECT($B$5&amp;"生成成长"),4))/(VLOOKUP(FD$72,INDIRECT($C$5&amp;"生成成长"),5))*(VLOOKUP($B$5,标准坦克设计!$B$24:$U$30,MATCH("对"&amp;LEFT($C$5,2)&amp;"输出",标准坦克设计!$B$23:$U$23,0)))*(VLOOKUP($B116,INDIRECT($B$5&amp;"生成成长"),3))*(VLOOKUP($B$5,标准坦克设计!$B$14:$K$20,9)/30))</f>
        <v>10.76923689812573</v>
      </c>
      <c r="FE116" s="173">
        <f ca="1">(VLOOKUP(FE$72,INDIRECT($C$5&amp;"生成成长"),2))/((VLOOKUP($B116,INDIRECT($B$5&amp;"生成成长"),4))/(VLOOKUP(FE$72,INDIRECT($C$5&amp;"生成成长"),5))*(VLOOKUP($B$5,标准坦克设计!$B$24:$U$30,MATCH("对"&amp;LEFT($C$5,2)&amp;"输出",标准坦克设计!$B$23:$U$23,0)))*(VLOOKUP($B116,INDIRECT($B$5&amp;"生成成长"),3))*(VLOOKUP($B$5,标准坦克设计!$B$14:$K$20,9)/30))</f>
        <v>11.49725452845343</v>
      </c>
      <c r="FF116" s="173">
        <f ca="1">(VLOOKUP(FF$72,INDIRECT($C$5&amp;"生成成长"),2))/((VLOOKUP($B116,INDIRECT($B$5&amp;"生成成长"),4))/(VLOOKUP(FF$72,INDIRECT($C$5&amp;"生成成长"),5))*(VLOOKUP($B$5,标准坦克设计!$B$24:$U$30,MATCH("对"&amp;LEFT($C$5,2)&amp;"输出",标准坦克设计!$B$23:$U$23,0)))*(VLOOKUP($B116,INDIRECT($B$5&amp;"生成成长"),3))*(VLOOKUP($B$5,标准坦克设计!$B$14:$K$20,9)/30))</f>
        <v>12.249081540401914</v>
      </c>
      <c r="FG116" s="173">
        <f ca="1">(VLOOKUP(FG$72,INDIRECT($C$5&amp;"生成成长"),2))/((VLOOKUP($B116,INDIRECT($B$5&amp;"生成成长"),4))/(VLOOKUP(FG$72,INDIRECT($C$5&amp;"生成成长"),5))*(VLOOKUP($B$5,标准坦克设计!$B$24:$U$30,MATCH("对"&amp;LEFT($C$5,2)&amp;"输出",标准坦克设计!$B$23:$U$23,0)))*(VLOOKUP($B116,INDIRECT($B$5&amp;"生成成长"),3))*(VLOOKUP($B$5,标准坦克设计!$B$14:$K$20,9)/30))</f>
        <v>13.024717933971177</v>
      </c>
      <c r="FH116" s="173">
        <f ca="1">(VLOOKUP(FH$72,INDIRECT($C$5&amp;"生成成长"),2))/((VLOOKUP($B116,INDIRECT($B$5&amp;"生成成长"),4))/(VLOOKUP(FH$72,INDIRECT($C$5&amp;"生成成长"),5))*(VLOOKUP($B$5,标准坦克设计!$B$24:$U$30,MATCH("对"&amp;LEFT($C$5,2)&amp;"输出",标准坦克设计!$B$23:$U$23,0)))*(VLOOKUP($B116,INDIRECT($B$5&amp;"生成成长"),3))*(VLOOKUP($B$5,标准坦克设计!$B$14:$K$20,9)/30))</f>
        <v>13.824163709161217</v>
      </c>
      <c r="FI116" s="173">
        <f ca="1">(VLOOKUP(FI$72,INDIRECT($C$5&amp;"生成成长"),2))/((VLOOKUP($B116,INDIRECT($B$5&amp;"生成成长"),4))/(VLOOKUP(FI$72,INDIRECT($C$5&amp;"生成成长"),5))*(VLOOKUP($B$5,标准坦克设计!$B$24:$U$30,MATCH("对"&amp;LEFT($C$5,2)&amp;"输出",标准坦克设计!$B$23:$U$23,0)))*(VLOOKUP($B116,INDIRECT($B$5&amp;"生成成长"),3))*(VLOOKUP($B$5,标准坦克设计!$B$14:$K$20,9)/30))</f>
        <v>14.647418865972044</v>
      </c>
      <c r="FJ116" s="173">
        <f ca="1">(VLOOKUP(FJ$72,INDIRECT($C$5&amp;"生成成长"),2))/((VLOOKUP($B116,INDIRECT($B$5&amp;"生成成长"),4))/(VLOOKUP(FJ$72,INDIRECT($C$5&amp;"生成成长"),5))*(VLOOKUP($B$5,标准坦克设计!$B$24:$U$30,MATCH("对"&amp;LEFT($C$5,2)&amp;"输出",标准坦克设计!$B$23:$U$23,0)))*(VLOOKUP($B116,INDIRECT($B$5&amp;"生成成长"),3))*(VLOOKUP($B$5,标准坦克设计!$B$14:$K$20,9)/30))</f>
        <v>15.494483404403647</v>
      </c>
      <c r="FK116" s="173">
        <f ca="1">(VLOOKUP(FK$72,INDIRECT($C$5&amp;"生成成长"),2))/((VLOOKUP($B116,INDIRECT($B$5&amp;"生成成长"),4))/(VLOOKUP(FK$72,INDIRECT($C$5&amp;"生成成长"),5))*(VLOOKUP($B$5,标准坦克设计!$B$24:$U$30,MATCH("对"&amp;LEFT($C$5,2)&amp;"输出",标准坦克设计!$B$23:$U$23,0)))*(VLOOKUP($B116,INDIRECT($B$5&amp;"生成成长"),3))*(VLOOKUP($B$5,标准坦克设计!$B$14:$K$20,9)/30))</f>
        <v>16.365357324456031</v>
      </c>
    </row>
    <row r="117" spans="1:167" x14ac:dyDescent="0.15">
      <c r="A117" s="171" t="str">
        <f t="shared" si="11"/>
        <v>T5低品质13级</v>
      </c>
      <c r="B117" s="172">
        <v>10513</v>
      </c>
      <c r="C117" s="173">
        <f ca="1">(VLOOKUP(C$72,INDIRECT($C$5&amp;"生成成长"),2))/((VLOOKUP($B117,INDIRECT($B$5&amp;"生成成长"),4))/(VLOOKUP(C$72,INDIRECT($C$5&amp;"生成成长"),5))*(VLOOKUP($B$5,标准坦克设计!$B$24:$U$30,MATCH("对"&amp;LEFT($C$5,2)&amp;"输出",标准坦克设计!$B$23:$U$23,0)))*(VLOOKUP($B117,INDIRECT($B$5&amp;"生成成长"),3))*(VLOOKUP($B$5,标准坦克设计!$B$14:$K$20,9)/30))</f>
        <v>0.66262551901378475</v>
      </c>
      <c r="D117" s="173">
        <f ca="1">(VLOOKUP(D$72,INDIRECT($C$5&amp;"生成成长"),2))/((VLOOKUP($B117,INDIRECT($B$5&amp;"生成成长"),4))/(VLOOKUP(D$72,INDIRECT($C$5&amp;"生成成长"),5))*(VLOOKUP($B$5,标准坦克设计!$B$24:$U$30,MATCH("对"&amp;LEFT($C$5,2)&amp;"输出",标准坦克设计!$B$23:$U$23,0)))*(VLOOKUP($B117,INDIRECT($B$5&amp;"生成成长"),3))*(VLOOKUP($B$5,标准坦克设计!$B$14:$K$20,9)/30))</f>
        <v>0.74452603316388855</v>
      </c>
      <c r="E117" s="173">
        <f ca="1">(VLOOKUP(E$72,INDIRECT($C$5&amp;"生成成长"),2))/((VLOOKUP($B117,INDIRECT($B$5&amp;"生成成长"),4))/(VLOOKUP(E$72,INDIRECT($C$5&amp;"生成成长"),5))*(VLOOKUP($B$5,标准坦克设计!$B$24:$U$30,MATCH("对"&amp;LEFT($C$5,2)&amp;"输出",标准坦克设计!$B$23:$U$23,0)))*(VLOOKUP($B117,INDIRECT($B$5&amp;"生成成长"),3))*(VLOOKUP($B$5,标准坦克设计!$B$14:$K$20,9)/30))</f>
        <v>0.8311974510508916</v>
      </c>
      <c r="F117" s="173">
        <f ca="1">(VLOOKUP(F$72,INDIRECT($C$5&amp;"生成成长"),2))/((VLOOKUP($B117,INDIRECT($B$5&amp;"生成成长"),4))/(VLOOKUP(F$72,INDIRECT($C$5&amp;"生成成长"),5))*(VLOOKUP($B$5,标准坦克设计!$B$24:$U$30,MATCH("对"&amp;LEFT($C$5,2)&amp;"输出",标准坦克设计!$B$23:$U$23,0)))*(VLOOKUP($B117,INDIRECT($B$5&amp;"生成成长"),3))*(VLOOKUP($B$5,标准坦克设计!$B$14:$K$20,9)/30))</f>
        <v>0.9226397726747938</v>
      </c>
      <c r="G117" s="173">
        <f ca="1">(VLOOKUP(G$72,INDIRECT($C$5&amp;"生成成长"),2))/((VLOOKUP($B117,INDIRECT($B$5&amp;"生成成长"),4))/(VLOOKUP(G$72,INDIRECT($C$5&amp;"生成成长"),5))*(VLOOKUP($B$5,标准坦克设计!$B$24:$U$30,MATCH("对"&amp;LEFT($C$5,2)&amp;"输出",标准坦克设计!$B$23:$U$23,0)))*(VLOOKUP($B117,INDIRECT($B$5&amp;"生成成长"),3))*(VLOOKUP($B$5,标准坦克设计!$B$14:$K$20,9)/30))</f>
        <v>1.0188529980355954</v>
      </c>
      <c r="H117" s="173">
        <f ca="1">(VLOOKUP(H$72,INDIRECT($C$5&amp;"生成成长"),2))/((VLOOKUP($B117,INDIRECT($B$5&amp;"生成成长"),4))/(VLOOKUP(H$72,INDIRECT($C$5&amp;"生成成长"),5))*(VLOOKUP($B$5,标准坦克设计!$B$24:$U$30,MATCH("对"&amp;LEFT($C$5,2)&amp;"输出",标准坦克设计!$B$23:$U$23,0)))*(VLOOKUP($B117,INDIRECT($B$5&amp;"生成成长"),3))*(VLOOKUP($B$5,标准坦克设计!$B$14:$K$20,9)/30))</f>
        <v>0.89162889838494885</v>
      </c>
      <c r="I117" s="173">
        <f ca="1">(VLOOKUP(I$72,INDIRECT($C$5&amp;"生成成长"),2))/((VLOOKUP($B117,INDIRECT($B$5&amp;"生成成长"),4))/(VLOOKUP(I$72,INDIRECT($C$5&amp;"生成成长"),5))*(VLOOKUP($B$5,标准坦克设计!$B$24:$U$30,MATCH("对"&amp;LEFT($C$5,2)&amp;"输出",标准坦克设计!$B$23:$U$23,0)))*(VLOOKUP($B117,INDIRECT($B$5&amp;"生成成长"),3))*(VLOOKUP($B$5,标准坦克设计!$B$14:$K$20,9)/30))</f>
        <v>1.0188529980355954</v>
      </c>
      <c r="J117" s="173">
        <f ca="1">(VLOOKUP(J$72,INDIRECT($C$5&amp;"生成成长"),2))/((VLOOKUP($B117,INDIRECT($B$5&amp;"生成成长"),4))/(VLOOKUP(J$72,INDIRECT($C$5&amp;"生成成长"),5))*(VLOOKUP($B$5,标准坦克设计!$B$24:$U$30,MATCH("对"&amp;LEFT($C$5,2)&amp;"输出",标准坦克设计!$B$23:$U$23,0)))*(VLOOKUP($B117,INDIRECT($B$5&amp;"生成成长"),3))*(VLOOKUP($B$5,标准坦克设计!$B$14:$K$20,9)/30))</f>
        <v>1.1545587043296184</v>
      </c>
      <c r="K117" s="173">
        <f ca="1">(VLOOKUP(K$72,INDIRECT($C$5&amp;"生成成长"),2))/((VLOOKUP($B117,INDIRECT($B$5&amp;"生成成长"),4))/(VLOOKUP(K$72,INDIRECT($C$5&amp;"生成成长"),5))*(VLOOKUP($B$5,标准坦克设计!$B$24:$U$30,MATCH("对"&amp;LEFT($C$5,2)&amp;"输出",标准坦克设计!$B$23:$U$23,0)))*(VLOOKUP($B117,INDIRECT($B$5&amp;"生成成长"),3))*(VLOOKUP($B$5,标准坦克设计!$B$14:$K$20,9)/30))</f>
        <v>1.2987460172670182</v>
      </c>
      <c r="L117" s="173">
        <f ca="1">(VLOOKUP(L$72,INDIRECT($C$5&amp;"生成成长"),2))/((VLOOKUP($B117,INDIRECT($B$5&amp;"生成成长"),4))/(VLOOKUP(L$72,INDIRECT($C$5&amp;"生成成长"),5))*(VLOOKUP($B$5,标准坦克设计!$B$24:$U$30,MATCH("对"&amp;LEFT($C$5,2)&amp;"输出",标准坦克设计!$B$23:$U$23,0)))*(VLOOKUP($B117,INDIRECT($B$5&amp;"生成成长"),3))*(VLOOKUP($B$5,标准坦克设计!$B$14:$K$20,9)/30))</f>
        <v>1.451414936847794</v>
      </c>
      <c r="M117" s="173">
        <f ca="1">(VLOOKUP(M$72,INDIRECT($C$5&amp;"生成成长"),2))/((VLOOKUP($B117,INDIRECT($B$5&amp;"生成成长"),4))/(VLOOKUP(M$72,INDIRECT($C$5&amp;"生成成长"),5))*(VLOOKUP($B$5,标准坦克设计!$B$24:$U$30,MATCH("对"&amp;LEFT($C$5,2)&amp;"输出",标准坦克设计!$B$23:$U$23,0)))*(VLOOKUP($B117,INDIRECT($B$5&amp;"生成成长"),3))*(VLOOKUP($B$5,标准坦克设计!$B$14:$K$20,9)/30))</f>
        <v>1.6125654630719466</v>
      </c>
      <c r="N117" s="173">
        <f ca="1">(VLOOKUP(N$72,INDIRECT($C$5&amp;"生成成长"),2))/((VLOOKUP($B117,INDIRECT($B$5&amp;"生成成长"),4))/(VLOOKUP(N$72,INDIRECT($C$5&amp;"生成成长"),5))*(VLOOKUP($B$5,标准坦克设计!$B$24:$U$30,MATCH("对"&amp;LEFT($C$5,2)&amp;"输出",标准坦克设计!$B$23:$U$23,0)))*(VLOOKUP($B117,INDIRECT($B$5&amp;"生成成长"),3))*(VLOOKUP($B$5,标准坦克设计!$B$14:$K$20,9)/30))</f>
        <v>1.7821975959394754</v>
      </c>
      <c r="O117" s="173">
        <f ca="1">(VLOOKUP(O$72,INDIRECT($C$5&amp;"生成成长"),2))/((VLOOKUP($B117,INDIRECT($B$5&amp;"生成成长"),4))/(VLOOKUP(O$72,INDIRECT($C$5&amp;"生成成长"),5))*(VLOOKUP($B$5,标准坦克设计!$B$24:$U$30,MATCH("对"&amp;LEFT($C$5,2)&amp;"输出",标准坦克设计!$B$23:$U$23,0)))*(VLOOKUP($B117,INDIRECT($B$5&amp;"生成成长"),3))*(VLOOKUP($B$5,标准坦克设计!$B$14:$K$20,9)/30))</f>
        <v>1.3550029238312882</v>
      </c>
      <c r="P117" s="173">
        <f ca="1">(VLOOKUP(P$72,INDIRECT($C$5&amp;"生成成长"),2))/((VLOOKUP($B117,INDIRECT($B$5&amp;"生成成长"),4))/(VLOOKUP(P$72,INDIRECT($C$5&amp;"生成成长"),5))*(VLOOKUP($B$5,标准坦克设计!$B$24:$U$30,MATCH("对"&amp;LEFT($C$5,2)&amp;"输出",标准坦克设计!$B$23:$U$23,0)))*(VLOOKUP($B117,INDIRECT($B$5&amp;"生成成长"),3))*(VLOOKUP($B$5,标准坦克设计!$B$14:$K$20,9)/30))</f>
        <v>1.5309299991294483</v>
      </c>
      <c r="Q117" s="173">
        <f ca="1">(VLOOKUP(Q$72,INDIRECT($C$5&amp;"生成成长"),2))/((VLOOKUP($B117,INDIRECT($B$5&amp;"生成成长"),4))/(VLOOKUP(Q$72,INDIRECT($C$5&amp;"生成成长"),5))*(VLOOKUP($B$5,标准坦克设计!$B$24:$U$30,MATCH("对"&amp;LEFT($C$5,2)&amp;"输出",标准坦克设计!$B$23:$U$23,0)))*(VLOOKUP($B117,INDIRECT($B$5&amp;"生成成长"),3))*(VLOOKUP($B$5,标准坦克设计!$B$14:$K$20,9)/30))</f>
        <v>1.7175916078356313</v>
      </c>
      <c r="R117" s="173">
        <f ca="1">(VLOOKUP(R$72,INDIRECT($C$5&amp;"生成成长"),2))/((VLOOKUP($B117,INDIRECT($B$5&amp;"生成成长"),4))/(VLOOKUP(R$72,INDIRECT($C$5&amp;"生成成长"),5))*(VLOOKUP($B$5,标准坦克设计!$B$24:$U$30,MATCH("对"&amp;LEFT($C$5,2)&amp;"输出",标准坦克设计!$B$23:$U$23,0)))*(VLOOKUP($B117,INDIRECT($B$5&amp;"生成成长"),3))*(VLOOKUP($B$5,标准坦克设计!$B$14:$K$20,9)/30))</f>
        <v>1.914987749949838</v>
      </c>
      <c r="S117" s="173">
        <f ca="1">(VLOOKUP(S$72,INDIRECT($C$5&amp;"生成成长"),2))/((VLOOKUP($B117,INDIRECT($B$5&amp;"生成成长"),4))/(VLOOKUP(S$72,INDIRECT($C$5&amp;"生成成长"),5))*(VLOOKUP($B$5,标准坦克设计!$B$24:$U$30,MATCH("对"&amp;LEFT($C$5,2)&amp;"输出",标准坦克设计!$B$23:$U$23,0)))*(VLOOKUP($B117,INDIRECT($B$5&amp;"生成成长"),3))*(VLOOKUP($B$5,标准坦克设计!$B$14:$K$20,9)/30))</f>
        <v>2.1231184254720672</v>
      </c>
      <c r="T117" s="173">
        <f ca="1">(VLOOKUP(T$72,INDIRECT($C$5&amp;"生成成长"),2))/((VLOOKUP($B117,INDIRECT($B$5&amp;"生成成长"),4))/(VLOOKUP(T$72,INDIRECT($C$5&amp;"生成成长"),5))*(VLOOKUP($B$5,标准坦克设计!$B$24:$U$30,MATCH("对"&amp;LEFT($C$5,2)&amp;"输出",标准坦克设计!$B$23:$U$23,0)))*(VLOOKUP($B117,INDIRECT($B$5&amp;"生成成长"),3))*(VLOOKUP($B$5,标准坦克设计!$B$14:$K$20,9)/30))</f>
        <v>2.3419836344023208</v>
      </c>
      <c r="U117" s="173">
        <f ca="1">(VLOOKUP(U$72,INDIRECT($C$5&amp;"生成成长"),2))/((VLOOKUP($B117,INDIRECT($B$5&amp;"生成成长"),4))/(VLOOKUP(U$72,INDIRECT($C$5&amp;"生成成长"),5))*(VLOOKUP($B$5,标准坦克设计!$B$24:$U$30,MATCH("对"&amp;LEFT($C$5,2)&amp;"输出",标准坦克设计!$B$23:$U$23,0)))*(VLOOKUP($B117,INDIRECT($B$5&amp;"生成成长"),3))*(VLOOKUP($B$5,标准坦克设计!$B$14:$K$20,9)/30))</f>
        <v>2.5715833767405969</v>
      </c>
      <c r="V117" s="173">
        <f ca="1">(VLOOKUP(V$72,INDIRECT($C$5&amp;"生成成长"),2))/((VLOOKUP($B117,INDIRECT($B$5&amp;"生成成长"),4))/(VLOOKUP(V$72,INDIRECT($C$5&amp;"生成成长"),5))*(VLOOKUP($B$5,标准坦克设计!$B$24:$U$30,MATCH("对"&amp;LEFT($C$5,2)&amp;"输出",标准坦克设计!$B$23:$U$23,0)))*(VLOOKUP($B117,INDIRECT($B$5&amp;"生成成长"),3))*(VLOOKUP($B$5,标准坦克设计!$B$14:$K$20,9)/30))</f>
        <v>2.8119176524868967</v>
      </c>
      <c r="W117" s="173">
        <f ca="1">(VLOOKUP(W$72,INDIRECT($C$5&amp;"生成成长"),2))/((VLOOKUP($B117,INDIRECT($B$5&amp;"生成成长"),4))/(VLOOKUP(W$72,INDIRECT($C$5&amp;"生成成长"),5))*(VLOOKUP($B$5,标准坦克设计!$B$24:$U$30,MATCH("对"&amp;LEFT($C$5,2)&amp;"输出",标准坦克设计!$B$23:$U$23,0)))*(VLOOKUP($B117,INDIRECT($B$5&amp;"生成成长"),3))*(VLOOKUP($B$5,标准坦克设计!$B$14:$K$20,9)/30))</f>
        <v>3.0629864616412199</v>
      </c>
      <c r="X117" s="173">
        <f ca="1">(VLOOKUP(X$72,INDIRECT($C$5&amp;"生成成长"),2))/((VLOOKUP($B117,INDIRECT($B$5&amp;"生成成长"),4))/(VLOOKUP(X$72,INDIRECT($C$5&amp;"生成成长"),5))*(VLOOKUP($B$5,标准坦克设计!$B$24:$U$30,MATCH("对"&amp;LEFT($C$5,2)&amp;"输出",标准坦克设计!$B$23:$U$23,0)))*(VLOOKUP($B117,INDIRECT($B$5&amp;"生成成长"),3))*(VLOOKUP($B$5,标准坦克设计!$B$14:$K$20,9)/30))</f>
        <v>2.2190666006252635</v>
      </c>
      <c r="Y117" s="173">
        <f ca="1">(VLOOKUP(Y$72,INDIRECT($C$5&amp;"生成成长"),2))/((VLOOKUP($B117,INDIRECT($B$5&amp;"生成成长"),4))/(VLOOKUP(Y$72,INDIRECT($C$5&amp;"生成成长"),5))*(VLOOKUP($B$5,标准坦克设计!$B$24:$U$30,MATCH("对"&amp;LEFT($C$5,2)&amp;"输出",标准坦克设计!$B$23:$U$23,0)))*(VLOOKUP($B117,INDIRECT($B$5&amp;"生成成长"),3))*(VLOOKUP($B$5,标准坦克设计!$B$14:$K$20,9)/30))</f>
        <v>2.4682137957744463</v>
      </c>
      <c r="Z117" s="173">
        <f ca="1">(VLOOKUP(Z$72,INDIRECT($C$5&amp;"生成成长"),2))/((VLOOKUP($B117,INDIRECT($B$5&amp;"生成成长"),4))/(VLOOKUP(Z$72,INDIRECT($C$5&amp;"生成成长"),5))*(VLOOKUP($B$5,标准坦克设计!$B$24:$U$30,MATCH("对"&amp;LEFT($C$5,2)&amp;"输出",标准坦克设计!$B$23:$U$23,0)))*(VLOOKUP($B117,INDIRECT($B$5&amp;"生成成长"),3))*(VLOOKUP($B$5,标准坦克设计!$B$14:$K$20,9)/30))</f>
        <v>2.7306135013039055</v>
      </c>
      <c r="AA117" s="173">
        <f ca="1">(VLOOKUP(AA$72,INDIRECT($C$5&amp;"生成成长"),2))/((VLOOKUP($B117,INDIRECT($B$5&amp;"生成成长"),4))/(VLOOKUP(AA$72,INDIRECT($C$5&amp;"生成成长"),5))*(VLOOKUP($B$5,标准坦克设计!$B$24:$U$30,MATCH("对"&amp;LEFT($C$5,2)&amp;"输出",标准坦克设计!$B$23:$U$23,0)))*(VLOOKUP($B117,INDIRECT($B$5&amp;"生成成长"),3))*(VLOOKUP($B$5,标准坦克设计!$B$14:$K$20,9)/30))</f>
        <v>3.0062657172136396</v>
      </c>
      <c r="AB117" s="173">
        <f ca="1">(VLOOKUP(AB$72,INDIRECT($C$5&amp;"生成成长"),2))/((VLOOKUP($B117,INDIRECT($B$5&amp;"生成成长"),4))/(VLOOKUP(AB$72,INDIRECT($C$5&amp;"生成成长"),5))*(VLOOKUP($B$5,标准坦克设计!$B$24:$U$30,MATCH("对"&amp;LEFT($C$5,2)&amp;"输出",标准坦克设计!$B$23:$U$23,0)))*(VLOOKUP($B117,INDIRECT($B$5&amp;"生成成长"),3))*(VLOOKUP($B$5,标准坦克设计!$B$14:$K$20,9)/30))</f>
        <v>3.2951704435036508</v>
      </c>
      <c r="AC117" s="173">
        <f ca="1">(VLOOKUP(AC$72,INDIRECT($C$5&amp;"生成成长"),2))/((VLOOKUP($B117,INDIRECT($B$5&amp;"生成成长"),4))/(VLOOKUP(AC$72,INDIRECT($C$5&amp;"生成成长"),5))*(VLOOKUP($B$5,标准坦克设计!$B$24:$U$30,MATCH("对"&amp;LEFT($C$5,2)&amp;"输出",标准坦克设计!$B$23:$U$23,0)))*(VLOOKUP($B117,INDIRECT($B$5&amp;"生成成长"),3))*(VLOOKUP($B$5,标准坦克设计!$B$14:$K$20,9)/30))</f>
        <v>3.5973276801739362</v>
      </c>
      <c r="AD117" s="173">
        <f ca="1">(VLOOKUP(AD$72,INDIRECT($C$5&amp;"生成成长"),2))/((VLOOKUP($B117,INDIRECT($B$5&amp;"生成成长"),4))/(VLOOKUP(AD$72,INDIRECT($C$5&amp;"生成成长"),5))*(VLOOKUP($B$5,标准坦克设计!$B$24:$U$30,MATCH("对"&amp;LEFT($C$5,2)&amp;"输出",标准坦克设计!$B$23:$U$23,0)))*(VLOOKUP($B117,INDIRECT($B$5&amp;"生成成长"),3))*(VLOOKUP($B$5,标准坦克设计!$B$14:$K$20,9)/30))</f>
        <v>3.9127374272244975</v>
      </c>
      <c r="AE117" s="173">
        <f ca="1">(VLOOKUP(AE$72,INDIRECT($C$5&amp;"生成成长"),2))/((VLOOKUP($B117,INDIRECT($B$5&amp;"生成成长"),4))/(VLOOKUP(AE$72,INDIRECT($C$5&amp;"生成成长"),5))*(VLOOKUP($B$5,标准坦克设计!$B$24:$U$30,MATCH("对"&amp;LEFT($C$5,2)&amp;"输出",标准坦克设计!$B$23:$U$23,0)))*(VLOOKUP($B117,INDIRECT($B$5&amp;"生成成长"),3))*(VLOOKUP($B$5,标准坦克设计!$B$14:$K$20,9)/30))</f>
        <v>4.2413996846553346</v>
      </c>
      <c r="AF117" s="173">
        <f ca="1">(VLOOKUP(AF$72,INDIRECT($C$5&amp;"生成成长"),2))/((VLOOKUP($B117,INDIRECT($B$5&amp;"生成成长"),4))/(VLOOKUP(AF$72,INDIRECT($C$5&amp;"生成成长"),5))*(VLOOKUP($B$5,标准坦克设计!$B$24:$U$30,MATCH("对"&amp;LEFT($C$5,2)&amp;"输出",标准坦克设计!$B$23:$U$23,0)))*(VLOOKUP($B117,INDIRECT($B$5&amp;"生成成长"),3))*(VLOOKUP($B$5,标准坦克设计!$B$14:$K$20,9)/30))</f>
        <v>4.5833144524664471</v>
      </c>
      <c r="AG117" s="173">
        <f ca="1">(VLOOKUP(AG$72,INDIRECT($C$5&amp;"生成成长"),2))/((VLOOKUP($B117,INDIRECT($B$5&amp;"生成成长"),4))/(VLOOKUP(AG$72,INDIRECT($C$5&amp;"生成成长"),5))*(VLOOKUP($B$5,标准坦克设计!$B$24:$U$30,MATCH("对"&amp;LEFT($C$5,2)&amp;"输出",标准坦克设计!$B$23:$U$23,0)))*(VLOOKUP($B117,INDIRECT($B$5&amp;"生成成长"),3))*(VLOOKUP($B$5,标准坦克设计!$B$14:$K$20,9)/30))</f>
        <v>4.9384817306578359</v>
      </c>
      <c r="AH117" s="173">
        <f ca="1">(VLOOKUP(AH$72,INDIRECT($C$5&amp;"生成成长"),2))/((VLOOKUP($B117,INDIRECT($B$5&amp;"生成成长"),4))/(VLOOKUP(AH$72,INDIRECT($C$5&amp;"生成成长"),5))*(VLOOKUP($B$5,标准坦克设计!$B$24:$U$30,MATCH("对"&amp;LEFT($C$5,2)&amp;"输出",标准坦克设计!$B$23:$U$23,0)))*(VLOOKUP($B117,INDIRECT($B$5&amp;"生成成长"),3))*(VLOOKUP($B$5,标准坦克设计!$B$14:$K$20,9)/30))</f>
        <v>5.306901519229501</v>
      </c>
      <c r="AI117" s="173">
        <f ca="1">(VLOOKUP(AI$72,INDIRECT($C$5&amp;"生成成长"),2))/((VLOOKUP($B117,INDIRECT($B$5&amp;"生成成长"),4))/(VLOOKUP(AI$72,INDIRECT($C$5&amp;"生成成长"),5))*(VLOOKUP($B$5,标准坦克设计!$B$24:$U$30,MATCH("对"&amp;LEFT($C$5,2)&amp;"输出",标准坦克设计!$B$23:$U$23,0)))*(VLOOKUP($B117,INDIRECT($B$5&amp;"生成成长"),3))*(VLOOKUP($B$5,标准坦克设计!$B$14:$K$20,9)/30))</f>
        <v>3.7533759899016821</v>
      </c>
      <c r="AJ117" s="173">
        <f ca="1">(VLOOKUP(AJ$72,INDIRECT($C$5&amp;"生成成长"),2))/((VLOOKUP($B117,INDIRECT($B$5&amp;"生成成长"),4))/(VLOOKUP(AJ$72,INDIRECT($C$5&amp;"生成成长"),5))*(VLOOKUP($B$5,标准坦克设计!$B$24:$U$30,MATCH("对"&amp;LEFT($C$5,2)&amp;"输出",标准坦克设计!$B$23:$U$23,0)))*(VLOOKUP($B117,INDIRECT($B$5&amp;"生成成长"),3))*(VLOOKUP($B$5,标准坦克设计!$B$14:$K$20,9)/30))</f>
        <v>4.108344480437367</v>
      </c>
      <c r="AK117" s="173">
        <f ca="1">(VLOOKUP(AK$72,INDIRECT($C$5&amp;"生成成长"),2))/((VLOOKUP($B117,INDIRECT($B$5&amp;"生成成长"),4))/(VLOOKUP(AK$72,INDIRECT($C$5&amp;"生成成长"),5))*(VLOOKUP($B$5,标准坦克设计!$B$24:$U$30,MATCH("对"&amp;LEFT($C$5,2)&amp;"输出",标准坦克设计!$B$23:$U$23,0)))*(VLOOKUP($B117,INDIRECT($B$5&amp;"生成成长"),3))*(VLOOKUP($B$5,标准坦克设计!$B$14:$K$20,9)/30))</f>
        <v>4.4793485085331843</v>
      </c>
      <c r="AL117" s="173">
        <f ca="1">(VLOOKUP(AL$72,INDIRECT($C$5&amp;"生成成长"),2))/((VLOOKUP($B117,INDIRECT($B$5&amp;"生成成长"),4))/(VLOOKUP(AL$72,INDIRECT($C$5&amp;"生成成长"),5))*(VLOOKUP($B$5,标准坦克设计!$B$24:$U$30,MATCH("对"&amp;LEFT($C$5,2)&amp;"输出",标准坦克设计!$B$23:$U$23,0)))*(VLOOKUP($B117,INDIRECT($B$5&amp;"生成成长"),3))*(VLOOKUP($B$5,标准坦克设计!$B$14:$K$20,9)/30))</f>
        <v>4.8663880741891372</v>
      </c>
      <c r="AM117" s="173">
        <f ca="1">(VLOOKUP(AM$72,INDIRECT($C$5&amp;"生成成长"),2))/((VLOOKUP($B117,INDIRECT($B$5&amp;"生成成长"),4))/(VLOOKUP(AM$72,INDIRECT($C$5&amp;"生成成长"),5))*(VLOOKUP($B$5,标准坦克设计!$B$24:$U$30,MATCH("对"&amp;LEFT($C$5,2)&amp;"输出",标准坦克设计!$B$23:$U$23,0)))*(VLOOKUP($B117,INDIRECT($B$5&amp;"生成成长"),3))*(VLOOKUP($B$5,标准坦克设计!$B$14:$K$20,9)/30))</f>
        <v>5.2694631774052212</v>
      </c>
      <c r="AN117" s="173">
        <f ca="1">(VLOOKUP(AN$72,INDIRECT($C$5&amp;"生成成长"),2))/((VLOOKUP($B117,INDIRECT($B$5&amp;"生成成长"),4))/(VLOOKUP(AN$72,INDIRECT($C$5&amp;"生成成长"),5))*(VLOOKUP($B$5,标准坦克设计!$B$24:$U$30,MATCH("对"&amp;LEFT($C$5,2)&amp;"输出",标准坦克设计!$B$23:$U$23,0)))*(VLOOKUP($B117,INDIRECT($B$5&amp;"生成成长"),3))*(VLOOKUP($B$5,标准坦克设计!$B$14:$K$20,9)/30))</f>
        <v>5.6885738181814416</v>
      </c>
      <c r="AO117" s="173">
        <f ca="1">(VLOOKUP(AO$72,INDIRECT($C$5&amp;"生成成长"),2))/((VLOOKUP($B117,INDIRECT($B$5&amp;"生成成长"),4))/(VLOOKUP(AO$72,INDIRECT($C$5&amp;"生成成长"),5))*(VLOOKUP($B$5,标准坦克设计!$B$24:$U$30,MATCH("对"&amp;LEFT($C$5,2)&amp;"输出",标准坦克设计!$B$23:$U$23,0)))*(VLOOKUP($B117,INDIRECT($B$5&amp;"生成成长"),3))*(VLOOKUP($B$5,标准坦克设计!$B$14:$K$20,9)/30))</f>
        <v>6.1237199965177931</v>
      </c>
      <c r="AP117" s="173">
        <f ca="1">(VLOOKUP(AP$72,INDIRECT($C$5&amp;"生成成长"),2))/((VLOOKUP($B117,INDIRECT($B$5&amp;"生成成长"),4))/(VLOOKUP(AP$72,INDIRECT($C$5&amp;"生成成长"),5))*(VLOOKUP($B$5,标准坦克设计!$B$24:$U$30,MATCH("对"&amp;LEFT($C$5,2)&amp;"输出",标准坦克设计!$B$23:$U$23,0)))*(VLOOKUP($B117,INDIRECT($B$5&amp;"生成成长"),3))*(VLOOKUP($B$5,标准坦克设计!$B$14:$K$20,9)/30))</f>
        <v>6.5749017124142783</v>
      </c>
      <c r="AQ117" s="173">
        <f ca="1">(VLOOKUP(AQ$72,INDIRECT($C$5&amp;"生成成长"),2))/((VLOOKUP($B117,INDIRECT($B$5&amp;"生成成长"),4))/(VLOOKUP(AQ$72,INDIRECT($C$5&amp;"生成成长"),5))*(VLOOKUP($B$5,标准坦克设计!$B$24:$U$30,MATCH("对"&amp;LEFT($C$5,2)&amp;"输出",标准坦克设计!$B$23:$U$23,0)))*(VLOOKUP($B117,INDIRECT($B$5&amp;"生成成长"),3))*(VLOOKUP($B$5,标准坦克设计!$B$14:$K$20,9)/30))</f>
        <v>7.0421189658708974</v>
      </c>
      <c r="AR117" s="173">
        <f ca="1">(VLOOKUP(AR$72,INDIRECT($C$5&amp;"生成成长"),2))/((VLOOKUP($B117,INDIRECT($B$5&amp;"生成成长"),4))/(VLOOKUP(AR$72,INDIRECT($C$5&amp;"生成成长"),5))*(VLOOKUP($B$5,标准坦克设计!$B$24:$U$30,MATCH("对"&amp;LEFT($C$5,2)&amp;"输出",标准坦克设计!$B$23:$U$23,0)))*(VLOOKUP($B117,INDIRECT($B$5&amp;"生成成长"),3))*(VLOOKUP($B$5,标准坦克设计!$B$14:$K$20,9)/30))</f>
        <v>7.5253717568876528</v>
      </c>
      <c r="AS117" s="173">
        <f ca="1">(VLOOKUP(AS$72,INDIRECT($C$5&amp;"生成成长"),2))/((VLOOKUP($B117,INDIRECT($B$5&amp;"生成成长"),4))/(VLOOKUP(AS$72,INDIRECT($C$5&amp;"生成成长"),5))*(VLOOKUP($B$5,标准坦克设计!$B$24:$U$30,MATCH("对"&amp;LEFT($C$5,2)&amp;"输出",标准坦克设计!$B$23:$U$23,0)))*(VLOOKUP($B117,INDIRECT($B$5&amp;"生成成长"),3))*(VLOOKUP($B$5,标准坦克设计!$B$14:$K$20,9)/30))</f>
        <v>8.0246600854645376</v>
      </c>
      <c r="AT117" s="173">
        <f ca="1">(VLOOKUP(AT$72,INDIRECT($C$5&amp;"生成成长"),2))/((VLOOKUP($B117,INDIRECT($B$5&amp;"生成成长"),4))/(VLOOKUP(AT$72,INDIRECT($C$5&amp;"生成成长"),5))*(VLOOKUP($B$5,标准坦克设计!$B$24:$U$30,MATCH("对"&amp;LEFT($C$5,2)&amp;"输出",标准坦克设计!$B$23:$U$23,0)))*(VLOOKUP($B117,INDIRECT($B$5&amp;"生成成长"),3))*(VLOOKUP($B$5,标准坦克设计!$B$14:$K$20,9)/30))</f>
        <v>8.5399839516015597</v>
      </c>
      <c r="AU117" s="173">
        <f ca="1">(VLOOKUP(AU$72,INDIRECT($C$5&amp;"生成成长"),2))/((VLOOKUP($B117,INDIRECT($B$5&amp;"生成成长"),4))/(VLOOKUP(AU$72,INDIRECT($C$5&amp;"生成成长"),5))*(VLOOKUP($B$5,标准坦克设计!$B$24:$U$30,MATCH("对"&amp;LEFT($C$5,2)&amp;"输出",标准坦克设计!$B$23:$U$23,0)))*(VLOOKUP($B117,INDIRECT($B$5&amp;"生成成长"),3))*(VLOOKUP($B$5,标准坦克设计!$B$14:$K$20,9)/30))</f>
        <v>9.0713433552987119</v>
      </c>
      <c r="AV117" s="173">
        <f ca="1">(VLOOKUP(AV$72,INDIRECT($C$5&amp;"生成成长"),2))/((VLOOKUP($B117,INDIRECT($B$5&amp;"生成成长"),4))/(VLOOKUP(AV$72,INDIRECT($C$5&amp;"生成成长"),5))*(VLOOKUP($B$5,标准坦克设计!$B$24:$U$30,MATCH("对"&amp;LEFT($C$5,2)&amp;"输出",标准坦克设计!$B$23:$U$23,0)))*(VLOOKUP($B117,INDIRECT($B$5&amp;"生成成长"),3))*(VLOOKUP($B$5,标准坦克设计!$B$14:$K$20,9)/30))</f>
        <v>0.9226397726747938</v>
      </c>
      <c r="AW117" s="173">
        <f ca="1">(VLOOKUP(AW$72,INDIRECT($C$5&amp;"生成成长"),2))/((VLOOKUP($B117,INDIRECT($B$5&amp;"生成成长"),4))/(VLOOKUP(AW$72,INDIRECT($C$5&amp;"生成成长"),5))*(VLOOKUP($B$5,标准坦克设计!$B$24:$U$30,MATCH("对"&amp;LEFT($C$5,2)&amp;"输出",标准坦克设计!$B$23:$U$23,0)))*(VLOOKUP($B117,INDIRECT($B$5&amp;"生成成长"),3))*(VLOOKUP($B$5,标准坦克设计!$B$14:$K$20,9)/30))</f>
        <v>1.0519842739862846</v>
      </c>
      <c r="AX117" s="173">
        <f ca="1">(VLOOKUP(AX$72,INDIRECT($C$5&amp;"生成成长"),2))/((VLOOKUP($B117,INDIRECT($B$5&amp;"生成成长"),4))/(VLOOKUP(AX$72,INDIRECT($C$5&amp;"生成成长"),5))*(VLOOKUP($B$5,标准坦克设计!$B$24:$U$30,MATCH("对"&amp;LEFT($C$5,2)&amp;"输出",标准坦克设计!$B$23:$U$23,0)))*(VLOOKUP($B117,INDIRECT($B$5&amp;"生成成长"),3))*(VLOOKUP($B$5,标准坦克设计!$B$14:$K$20,9)/30))</f>
        <v>1.1898103819411516</v>
      </c>
      <c r="AY117" s="173">
        <f ca="1">(VLOOKUP(AY$72,INDIRECT($C$5&amp;"生成成长"),2))/((VLOOKUP($B117,INDIRECT($B$5&amp;"生成成长"),4))/(VLOOKUP(AY$72,INDIRECT($C$5&amp;"生成成长"),5))*(VLOOKUP($B$5,标准坦克设计!$B$24:$U$30,MATCH("对"&amp;LEFT($C$5,2)&amp;"输出",标准坦克设计!$B$23:$U$23,0)))*(VLOOKUP($B117,INDIRECT($B$5&amp;"生成成长"),3))*(VLOOKUP($B$5,标准坦克设计!$B$14:$K$20,9)/30))</f>
        <v>1.3361180965393955</v>
      </c>
      <c r="AZ117" s="173">
        <f ca="1">(VLOOKUP(AZ$72,INDIRECT($C$5&amp;"生成成长"),2))/((VLOOKUP($B117,INDIRECT($B$5&amp;"生成成长"),4))/(VLOOKUP(AZ$72,INDIRECT($C$5&amp;"生成成长"),5))*(VLOOKUP($B$5,标准坦克设计!$B$24:$U$30,MATCH("对"&amp;LEFT($C$5,2)&amp;"输出",标准坦克设计!$B$23:$U$23,0)))*(VLOOKUP($B117,INDIRECT($B$5&amp;"生成成长"),3))*(VLOOKUP($B$5,标准坦克设计!$B$14:$K$20,9)/30))</f>
        <v>1.4909074177810155</v>
      </c>
      <c r="BA117" s="173">
        <f ca="1">(VLOOKUP(BA$72,INDIRECT($C$5&amp;"生成成长"),2))/((VLOOKUP($B117,INDIRECT($B$5&amp;"生成成长"),4))/(VLOOKUP(BA$72,INDIRECT($C$5&amp;"生成成长"),5))*(VLOOKUP($B$5,标准坦克设计!$B$24:$U$30,MATCH("对"&amp;LEFT($C$5,2)&amp;"输出",标准坦克设计!$B$23:$U$23,0)))*(VLOOKUP($B117,INDIRECT($B$5&amp;"生成成长"),3))*(VLOOKUP($B$5,标准坦克设计!$B$14:$K$20,9)/30))</f>
        <v>1.6541783456660122</v>
      </c>
      <c r="BB117" s="173">
        <f ca="1">(VLOOKUP(BB$72,INDIRECT($C$5&amp;"生成成长"),2))/((VLOOKUP($B117,INDIRECT($B$5&amp;"生成成长"),4))/(VLOOKUP(BB$72,INDIRECT($C$5&amp;"生成成长"),5))*(VLOOKUP($B$5,标准坦克设计!$B$24:$U$30,MATCH("对"&amp;LEFT($C$5,2)&amp;"输出",标准坦克设计!$B$23:$U$23,0)))*(VLOOKUP($B117,INDIRECT($B$5&amp;"生成成长"),3))*(VLOOKUP($B$5,标准坦克设计!$B$14:$K$20,9)/30))</f>
        <v>1.825930880194385</v>
      </c>
      <c r="BC117" s="173">
        <f ca="1">(VLOOKUP(BC$72,INDIRECT($C$5&amp;"生成成长"),2))/((VLOOKUP($B117,INDIRECT($B$5&amp;"生成成长"),4))/(VLOOKUP(BC$72,INDIRECT($C$5&amp;"生成成长"),5))*(VLOOKUP($B$5,标准坦克设计!$B$24:$U$30,MATCH("对"&amp;LEFT($C$5,2)&amp;"输出",标准坦克设计!$B$23:$U$23,0)))*(VLOOKUP($B117,INDIRECT($B$5&amp;"生成成长"),3))*(VLOOKUP($B$5,标准坦克设计!$B$14:$K$20,9)/30))</f>
        <v>2.0061650213661344</v>
      </c>
      <c r="BD117" s="173">
        <f ca="1">(VLOOKUP(BD$72,INDIRECT($C$5&amp;"生成成长"),2))/((VLOOKUP($B117,INDIRECT($B$5&amp;"生成成长"),4))/(VLOOKUP(BD$72,INDIRECT($C$5&amp;"生成成长"),5))*(VLOOKUP($B$5,标准坦克设计!$B$24:$U$30,MATCH("对"&amp;LEFT($C$5,2)&amp;"输出",标准坦克设计!$B$23:$U$23,0)))*(VLOOKUP($B117,INDIRECT($B$5&amp;"生成成长"),3))*(VLOOKUP($B$5,标准坦克设计!$B$14:$K$20,9)/30))</f>
        <v>2.2190666006252635</v>
      </c>
      <c r="BE117" s="173">
        <f ca="1">(VLOOKUP(BE$72,INDIRECT($C$5&amp;"生成成长"),2))/((VLOOKUP($B117,INDIRECT($B$5&amp;"生成成长"),4))/(VLOOKUP(BE$72,INDIRECT($C$5&amp;"生成成长"),5))*(VLOOKUP($B$5,标准坦克设计!$B$24:$U$30,MATCH("对"&amp;LEFT($C$5,2)&amp;"输出",标准坦克设计!$B$23:$U$23,0)))*(VLOOKUP($B117,INDIRECT($B$5&amp;"生成成长"),3))*(VLOOKUP($B$5,标准坦克设计!$B$14:$K$20,9)/30))</f>
        <v>2.4427027132924164</v>
      </c>
      <c r="BF117" s="173">
        <f ca="1">(VLOOKUP(BF$72,INDIRECT($C$5&amp;"生成成长"),2))/((VLOOKUP($B117,INDIRECT($B$5&amp;"生成成长"),4))/(VLOOKUP(BF$72,INDIRECT($C$5&amp;"生成成长"),5))*(VLOOKUP($B$5,标准坦克设计!$B$24:$U$30,MATCH("对"&amp;LEFT($C$5,2)&amp;"输出",标准坦克设计!$B$23:$U$23,0)))*(VLOOKUP($B117,INDIRECT($B$5&amp;"生成成长"),3))*(VLOOKUP($B$5,标准坦克设计!$B$14:$K$20,9)/30))</f>
        <v>2.6770733593675913</v>
      </c>
      <c r="BG117" s="173">
        <f ca="1">(VLOOKUP(BG$72,INDIRECT($C$5&amp;"生成成长"),2))/((VLOOKUP($B117,INDIRECT($B$5&amp;"生成成长"),4))/(VLOOKUP(BG$72,INDIRECT($C$5&amp;"生成成长"),5))*(VLOOKUP($B$5,标准坦克设计!$B$24:$U$30,MATCH("对"&amp;LEFT($C$5,2)&amp;"输出",标准坦克设计!$B$23:$U$23,0)))*(VLOOKUP($B117,INDIRECT($B$5&amp;"生成成长"),3))*(VLOOKUP($B$5,标准坦克设计!$B$14:$K$20,9)/30))</f>
        <v>2.9221785388507908</v>
      </c>
      <c r="BH117" s="173">
        <f ca="1">(VLOOKUP(BH$72,INDIRECT($C$5&amp;"生成成长"),2))/((VLOOKUP($B117,INDIRECT($B$5&amp;"生成成长"),4))/(VLOOKUP(BH$72,INDIRECT($C$5&amp;"生成成长"),5))*(VLOOKUP($B$5,标准坦克设计!$B$24:$U$30,MATCH("对"&amp;LEFT($C$5,2)&amp;"输出",标准坦克设计!$B$23:$U$23,0)))*(VLOOKUP($B117,INDIRECT($B$5&amp;"生成成长"),3))*(VLOOKUP($B$5,标准坦克设计!$B$14:$K$20,9)/30))</f>
        <v>1.4124525563297836</v>
      </c>
      <c r="BI117" s="173">
        <f ca="1">(VLOOKUP(BI$72,INDIRECT($C$5&amp;"生成成长"),2))/((VLOOKUP($B117,INDIRECT($B$5&amp;"生成成长"),4))/(VLOOKUP(BI$72,INDIRECT($C$5&amp;"生成成长"),5))*(VLOOKUP($B$5,标准坦克设计!$B$24:$U$30,MATCH("对"&amp;LEFT($C$5,2)&amp;"输出",标准坦克设计!$B$23:$U$23,0)))*(VLOOKUP($B117,INDIRECT($B$5&amp;"生成成长"),3))*(VLOOKUP($B$5,标准坦克设计!$B$14:$K$20,9)/30))</f>
        <v>1.5919578094306177</v>
      </c>
      <c r="BJ117" s="173">
        <f ca="1">(VLOOKUP(BJ$72,INDIRECT($C$5&amp;"生成成长"),2))/((VLOOKUP($B117,INDIRECT($B$5&amp;"生成成长"),4))/(VLOOKUP(BJ$72,INDIRECT($C$5&amp;"生成成长"),5))*(VLOOKUP($B$5,标准坦克设计!$B$24:$U$30,MATCH("对"&amp;LEFT($C$5,2)&amp;"输出",标准坦克设计!$B$23:$U$23,0)))*(VLOOKUP($B117,INDIRECT($B$5&amp;"生成成长"),3))*(VLOOKUP($B$5,标准坦克设计!$B$14:$K$20,9)/30))</f>
        <v>1.7821975959394754</v>
      </c>
      <c r="BK117" s="173">
        <f ca="1">(VLOOKUP(BK$72,INDIRECT($C$5&amp;"生成成长"),2))/((VLOOKUP($B117,INDIRECT($B$5&amp;"生成成长"),4))/(VLOOKUP(BK$72,INDIRECT($C$5&amp;"生成成长"),5))*(VLOOKUP($B$5,标准坦克设计!$B$24:$U$30,MATCH("对"&amp;LEFT($C$5,2)&amp;"输出",标准坦克设计!$B$23:$U$23,0)))*(VLOOKUP($B117,INDIRECT($B$5&amp;"生成成长"),3))*(VLOOKUP($B$5,标准坦克设计!$B$14:$K$20,9)/30))</f>
        <v>1.9831719158563561</v>
      </c>
      <c r="BL117" s="173">
        <f ca="1">(VLOOKUP(BL$72,INDIRECT($C$5&amp;"生成成长"),2))/((VLOOKUP($B117,INDIRECT($B$5&amp;"生成成长"),4))/(VLOOKUP(BL$72,INDIRECT($C$5&amp;"生成成长"),5))*(VLOOKUP($B$5,标准坦克设计!$B$24:$U$30,MATCH("对"&amp;LEFT($C$5,2)&amp;"输出",标准坦克设计!$B$23:$U$23,0)))*(VLOOKUP($B117,INDIRECT($B$5&amp;"生成成长"),3))*(VLOOKUP($B$5,标准坦克设计!$B$14:$K$20,9)/30))</f>
        <v>2.1948807691812608</v>
      </c>
      <c r="BM117" s="173">
        <f ca="1">(VLOOKUP(BM$72,INDIRECT($C$5&amp;"生成成长"),2))/((VLOOKUP($B117,INDIRECT($B$5&amp;"生成成长"),4))/(VLOOKUP(BM$72,INDIRECT($C$5&amp;"生成成长"),5))*(VLOOKUP($B$5,标准坦克设计!$B$24:$U$30,MATCH("对"&amp;LEFT($C$5,2)&amp;"输出",标准坦克设计!$B$23:$U$23,0)))*(VLOOKUP($B117,INDIRECT($B$5&amp;"生成成长"),3))*(VLOOKUP($B$5,标准坦克设计!$B$14:$K$20,9)/30))</f>
        <v>2.417324155914188</v>
      </c>
      <c r="BN117" s="173">
        <f ca="1">(VLOOKUP(BN$72,INDIRECT($C$5&amp;"生成成长"),2))/((VLOOKUP($B117,INDIRECT($B$5&amp;"生成成长"),4))/(VLOOKUP(BN$72,INDIRECT($C$5&amp;"生成成长"),5))*(VLOOKUP($B$5,标准坦克设计!$B$24:$U$30,MATCH("对"&amp;LEFT($C$5,2)&amp;"输出",标准坦克设计!$B$23:$U$23,0)))*(VLOOKUP($B117,INDIRECT($B$5&amp;"生成成长"),3))*(VLOOKUP($B$5,标准坦克设计!$B$14:$K$20,9)/30))</f>
        <v>2.650502076055139</v>
      </c>
      <c r="BO117" s="173">
        <f ca="1">(VLOOKUP(BO$72,INDIRECT($C$5&amp;"生成成长"),2))/((VLOOKUP($B117,INDIRECT($B$5&amp;"生成成长"),4))/(VLOOKUP(BO$72,INDIRECT($C$5&amp;"生成成长"),5))*(VLOOKUP($B$5,标准坦克设计!$B$24:$U$30,MATCH("对"&amp;LEFT($C$5,2)&amp;"输出",标准坦克设计!$B$23:$U$23,0)))*(VLOOKUP($B117,INDIRECT($B$5&amp;"生成成长"),3))*(VLOOKUP($B$5,标准坦克设计!$B$14:$K$20,9)/30))</f>
        <v>2.8944145296041124</v>
      </c>
      <c r="BP117" s="173">
        <f ca="1">(VLOOKUP(BP$72,INDIRECT($C$5&amp;"生成成长"),2))/((VLOOKUP($B117,INDIRECT($B$5&amp;"生成成长"),4))/(VLOOKUP(BP$72,INDIRECT($C$5&amp;"生成成长"),5))*(VLOOKUP($B$5,标准坦克设计!$B$24:$U$30,MATCH("对"&amp;LEFT($C$5,2)&amp;"输出",标准坦克设计!$B$23:$U$23,0)))*(VLOOKUP($B117,INDIRECT($B$5&amp;"生成成长"),3))*(VLOOKUP($B$5,标准坦克设计!$B$14:$K$20,9)/30))</f>
        <v>3.1490615165611104</v>
      </c>
      <c r="BQ117" s="173">
        <f ca="1">(VLOOKUP(BQ$72,INDIRECT($C$5&amp;"生成成长"),2))/((VLOOKUP($B117,INDIRECT($B$5&amp;"生成成长"),4))/(VLOOKUP(BQ$72,INDIRECT($C$5&amp;"生成成长"),5))*(VLOOKUP($B$5,标准坦克设计!$B$24:$U$30,MATCH("对"&amp;LEFT($C$5,2)&amp;"输出",标准坦克设计!$B$23:$U$23,0)))*(VLOOKUP($B117,INDIRECT($B$5&amp;"生成成长"),3))*(VLOOKUP($B$5,标准坦克设计!$B$14:$K$20,9)/30))</f>
        <v>3.4144430369261318</v>
      </c>
      <c r="BR117" s="173">
        <f ca="1">(VLOOKUP(BR$72,INDIRECT($C$5&amp;"生成成长"),2))/((VLOOKUP($B117,INDIRECT($B$5&amp;"生成成长"),4))/(VLOOKUP(BR$72,INDIRECT($C$5&amp;"生成成长"),5))*(VLOOKUP($B$5,标准坦克设计!$B$24:$U$30,MATCH("对"&amp;LEFT($C$5,2)&amp;"输出",标准坦克设计!$B$23:$U$23,0)))*(VLOOKUP($B117,INDIRECT($B$5&amp;"生成成长"),3))*(VLOOKUP($B$5,标准坦克设计!$B$14:$K$20,9)/30))</f>
        <v>3.7219012777485267</v>
      </c>
      <c r="BS117" s="173">
        <f ca="1">(VLOOKUP(BS$72,INDIRECT($C$5&amp;"生成成长"),2))/((VLOOKUP($B117,INDIRECT($B$5&amp;"生成成长"),4))/(VLOOKUP(BS$72,INDIRECT($C$5&amp;"生成成长"),5))*(VLOOKUP($B$5,标准坦克设计!$B$24:$U$30,MATCH("对"&amp;LEFT($C$5,2)&amp;"输出",标准坦克设计!$B$23:$U$23,0)))*(VLOOKUP($B117,INDIRECT($B$5&amp;"生成成长"),3))*(VLOOKUP($B$5,标准坦克设计!$B$14:$K$20,9)/30))</f>
        <v>4.0426120289511989</v>
      </c>
      <c r="BT117" s="173">
        <f ca="1">(VLOOKUP(BT$72,INDIRECT($C$5&amp;"生成成长"),2))/((VLOOKUP($B117,INDIRECT($B$5&amp;"生成成长"),4))/(VLOOKUP(BT$72,INDIRECT($C$5&amp;"生成成长"),5))*(VLOOKUP($B$5,标准坦克设计!$B$24:$U$30,MATCH("对"&amp;LEFT($C$5,2)&amp;"输出",标准坦克设计!$B$23:$U$23,0)))*(VLOOKUP($B117,INDIRECT($B$5&amp;"生成成长"),3))*(VLOOKUP($B$5,标准坦克设计!$B$14:$K$20,9)/30))</f>
        <v>4.376575290534146</v>
      </c>
      <c r="BU117" s="173">
        <f ca="1">(VLOOKUP(BU$72,INDIRECT($C$5&amp;"生成成长"),2))/((VLOOKUP($B117,INDIRECT($B$5&amp;"生成成长"),4))/(VLOOKUP(BU$72,INDIRECT($C$5&amp;"生成成长"),5))*(VLOOKUP($B$5,标准坦克设计!$B$24:$U$30,MATCH("对"&amp;LEFT($C$5,2)&amp;"输出",标准坦克设计!$B$23:$U$23,0)))*(VLOOKUP($B117,INDIRECT($B$5&amp;"生成成长"),3))*(VLOOKUP($B$5,标准坦克设计!$B$14:$K$20,9)/30))</f>
        <v>4.7237910624973702</v>
      </c>
      <c r="BV117" s="173">
        <f ca="1">(VLOOKUP(BV$72,INDIRECT($C$5&amp;"生成成长"),2))/((VLOOKUP($B117,INDIRECT($B$5&amp;"生成成长"),4))/(VLOOKUP(BV$72,INDIRECT($C$5&amp;"生成成长"),5))*(VLOOKUP($B$5,标准坦克设计!$B$24:$U$30,MATCH("对"&amp;LEFT($C$5,2)&amp;"输出",标准坦克设计!$B$23:$U$23,0)))*(VLOOKUP($B117,INDIRECT($B$5&amp;"生成成长"),3))*(VLOOKUP($B$5,标准坦克设计!$B$14:$K$20,9)/30))</f>
        <v>5.0842593448408682</v>
      </c>
      <c r="BW117" s="173">
        <f ca="1">(VLOOKUP(BW$72,INDIRECT($C$5&amp;"生成成长"),2))/((VLOOKUP($B117,INDIRECT($B$5&amp;"生成成长"),4))/(VLOOKUP(BW$72,INDIRECT($C$5&amp;"生成成长"),5))*(VLOOKUP($B$5,标准坦克设计!$B$24:$U$30,MATCH("对"&amp;LEFT($C$5,2)&amp;"输出",标准坦克设计!$B$23:$U$23,0)))*(VLOOKUP($B117,INDIRECT($B$5&amp;"生成成长"),3))*(VLOOKUP($B$5,标准坦克设计!$B$14:$K$20,9)/30))</f>
        <v>2.3171351774393036</v>
      </c>
      <c r="BX117" s="173">
        <f ca="1">(VLOOKUP(BX$72,INDIRECT($C$5&amp;"生成成长"),2))/((VLOOKUP($B117,INDIRECT($B$5&amp;"生成成长"),4))/(VLOOKUP(BX$72,INDIRECT($C$5&amp;"生成成长"),5))*(VLOOKUP($B$5,标准坦克设计!$B$24:$U$30,MATCH("对"&amp;LEFT($C$5,2)&amp;"输出",标准坦克设计!$B$23:$U$23,0)))*(VLOOKUP($B117,INDIRECT($B$5&amp;"生成成长"),3))*(VLOOKUP($B$5,标准坦克设计!$B$14:$K$20,9)/30))</f>
        <v>2.5715833767405969</v>
      </c>
      <c r="BY117" s="173">
        <f ca="1">(VLOOKUP(BY$72,INDIRECT($C$5&amp;"生成成长"),2))/((VLOOKUP($B117,INDIRECT($B$5&amp;"生成成长"),4))/(VLOOKUP(BY$72,INDIRECT($C$5&amp;"生成成长"),5))*(VLOOKUP($B$5,标准坦克设计!$B$24:$U$30,MATCH("对"&amp;LEFT($C$5,2)&amp;"输出",标准坦克设计!$B$23:$U$23,0)))*(VLOOKUP($B117,INDIRECT($B$5&amp;"生成成长"),3))*(VLOOKUP($B$5,标准坦克设计!$B$14:$K$20,9)/30))</f>
        <v>2.8392840864221665</v>
      </c>
      <c r="BZ117" s="173">
        <f ca="1">(VLOOKUP(BZ$72,INDIRECT($C$5&amp;"生成成长"),2))/((VLOOKUP($B117,INDIRECT($B$5&amp;"生成成长"),4))/(VLOOKUP(BZ$72,INDIRECT($C$5&amp;"生成成长"),5))*(VLOOKUP($B$5,标准坦克设计!$B$24:$U$30,MATCH("对"&amp;LEFT($C$5,2)&amp;"输出",标准坦克设计!$B$23:$U$23,0)))*(VLOOKUP($B117,INDIRECT($B$5&amp;"生成成长"),3))*(VLOOKUP($B$5,标准坦克设计!$B$14:$K$20,9)/30))</f>
        <v>3.1202373064840114</v>
      </c>
      <c r="CA117" s="173">
        <f ca="1">(VLOOKUP(CA$72,INDIRECT($C$5&amp;"生成成长"),2))/((VLOOKUP($B117,INDIRECT($B$5&amp;"生成成长"),4))/(VLOOKUP(CA$72,INDIRECT($C$5&amp;"生成成长"),5))*(VLOOKUP($B$5,标准坦克设计!$B$24:$U$30,MATCH("对"&amp;LEFT($C$5,2)&amp;"输出",标准坦克设计!$B$23:$U$23,0)))*(VLOOKUP($B117,INDIRECT($B$5&amp;"生成成长"),3))*(VLOOKUP($B$5,标准坦克设计!$B$14:$K$20,9)/30))</f>
        <v>3.4144430369261318</v>
      </c>
      <c r="CB117" s="173">
        <f ca="1">(VLOOKUP(CB$72,INDIRECT($C$5&amp;"生成成长"),2))/((VLOOKUP($B117,INDIRECT($B$5&amp;"生成成长"),4))/(VLOOKUP(CB$72,INDIRECT($C$5&amp;"生成成长"),5))*(VLOOKUP($B$5,标准坦克设计!$B$24:$U$30,MATCH("对"&amp;LEFT($C$5,2)&amp;"输出",标准坦克设计!$B$23:$U$23,0)))*(VLOOKUP($B117,INDIRECT($B$5&amp;"生成成长"),3))*(VLOOKUP($B$5,标准坦克设计!$B$14:$K$20,9)/30))</f>
        <v>3.7219012777485267</v>
      </c>
      <c r="CC117" s="173">
        <f ca="1">(VLOOKUP(CC$72,INDIRECT($C$5&amp;"生成成长"),2))/((VLOOKUP($B117,INDIRECT($B$5&amp;"生成成长"),4))/(VLOOKUP(CC$72,INDIRECT($C$5&amp;"生成成长"),5))*(VLOOKUP($B$5,标准坦克设计!$B$24:$U$30,MATCH("对"&amp;LEFT($C$5,2)&amp;"输出",标准坦克设计!$B$23:$U$23,0)))*(VLOOKUP($B117,INDIRECT($B$5&amp;"生成成长"),3))*(VLOOKUP($B$5,标准坦克设计!$B$14:$K$20,9)/30))</f>
        <v>4.0426120289511989</v>
      </c>
      <c r="CD117" s="173">
        <f ca="1">(VLOOKUP(CD$72,INDIRECT($C$5&amp;"生成成长"),2))/((VLOOKUP($B117,INDIRECT($B$5&amp;"生成成长"),4))/(VLOOKUP(CD$72,INDIRECT($C$5&amp;"生成成长"),5))*(VLOOKUP($B$5,标准坦克设计!$B$24:$U$30,MATCH("对"&amp;LEFT($C$5,2)&amp;"输出",标准坦克设计!$B$23:$U$23,0)))*(VLOOKUP($B117,INDIRECT($B$5&amp;"生成成长"),3))*(VLOOKUP($B$5,标准坦克设计!$B$14:$K$20,9)/30))</f>
        <v>4.376575290534146</v>
      </c>
      <c r="CE117" s="173">
        <f ca="1">(VLOOKUP(CE$72,INDIRECT($C$5&amp;"生成成长"),2))/((VLOOKUP($B117,INDIRECT($B$5&amp;"生成成长"),4))/(VLOOKUP(CE$72,INDIRECT($C$5&amp;"生成成长"),5))*(VLOOKUP($B$5,标准坦克设计!$B$24:$U$30,MATCH("对"&amp;LEFT($C$5,2)&amp;"输出",标准坦克设计!$B$23:$U$23,0)))*(VLOOKUP($B117,INDIRECT($B$5&amp;"生成成长"),3))*(VLOOKUP($B$5,标准坦克设计!$B$14:$K$20,9)/30))</f>
        <v>4.7237910624973702</v>
      </c>
      <c r="CF117" s="173">
        <f ca="1">(VLOOKUP(CF$72,INDIRECT($C$5&amp;"生成成长"),2))/((VLOOKUP($B117,INDIRECT($B$5&amp;"生成成长"),4))/(VLOOKUP(CF$72,INDIRECT($C$5&amp;"生成成长"),5))*(VLOOKUP($B$5,标准坦克设计!$B$24:$U$30,MATCH("对"&amp;LEFT($C$5,2)&amp;"输出",标准坦克设计!$B$23:$U$23,0)))*(VLOOKUP($B117,INDIRECT($B$5&amp;"生成成长"),3))*(VLOOKUP($B$5,标准坦克设计!$B$14:$K$20,9)/30))</f>
        <v>5.0842593448408682</v>
      </c>
      <c r="CG117" s="173">
        <f ca="1">(VLOOKUP(CG$72,INDIRECT($C$5&amp;"生成成长"),2))/((VLOOKUP($B117,INDIRECT($B$5&amp;"生成成长"),4))/(VLOOKUP(CG$72,INDIRECT($C$5&amp;"生成成长"),5))*(VLOOKUP($B$5,标准坦克设计!$B$24:$U$30,MATCH("对"&amp;LEFT($C$5,2)&amp;"输出",标准坦克设计!$B$23:$U$23,0)))*(VLOOKUP($B117,INDIRECT($B$5&amp;"生成成长"),3))*(VLOOKUP($B$5,标准坦克设计!$B$14:$K$20,9)/30))</f>
        <v>5.4579801375646433</v>
      </c>
      <c r="CH117" s="173">
        <f ca="1">(VLOOKUP(CH$72,INDIRECT($C$5&amp;"生成成长"),2))/((VLOOKUP($B117,INDIRECT($B$5&amp;"生成成长"),4))/(VLOOKUP(CH$72,INDIRECT($C$5&amp;"生成成长"),5))*(VLOOKUP($B$5,标准坦克设计!$B$24:$U$30,MATCH("对"&amp;LEFT($C$5,2)&amp;"输出",标准坦克设计!$B$23:$U$23,0)))*(VLOOKUP($B117,INDIRECT($B$5&amp;"生成成长"),3))*(VLOOKUP($B$5,标准坦克设计!$B$14:$K$20,9)/30))</f>
        <v>5.8449534406686929</v>
      </c>
      <c r="CI117" s="173">
        <f ca="1">(VLOOKUP(CI$72,INDIRECT($C$5&amp;"生成成长"),2))/((VLOOKUP($B117,INDIRECT($B$5&amp;"生成成长"),4))/(VLOOKUP(CI$72,INDIRECT($C$5&amp;"生成成长"),5))*(VLOOKUP($B$5,标准坦克设计!$B$24:$U$30,MATCH("对"&amp;LEFT($C$5,2)&amp;"输出",标准坦克设计!$B$23:$U$23,0)))*(VLOOKUP($B117,INDIRECT($B$5&amp;"生成成长"),3))*(VLOOKUP($B$5,标准坦克设计!$B$14:$K$20,9)/30))</f>
        <v>6.2859307235723678</v>
      </c>
      <c r="CJ117" s="173">
        <f ca="1">(VLOOKUP(CJ$72,INDIRECT($C$5&amp;"生成成长"),2))/((VLOOKUP($B117,INDIRECT($B$5&amp;"生成成长"),4))/(VLOOKUP(CJ$72,INDIRECT($C$5&amp;"生成成长"),5))*(VLOOKUP($B$5,标准坦克设计!$B$24:$U$30,MATCH("对"&amp;LEFT($C$5,2)&amp;"输出",标准坦克设计!$B$23:$U$23,0)))*(VLOOKUP($B117,INDIRECT($B$5&amp;"生成成长"),3))*(VLOOKUP($B$5,标准坦克设计!$B$14:$K$20,9)/30))</f>
        <v>6.7429435440361738</v>
      </c>
      <c r="CK117" s="173">
        <f ca="1">(VLOOKUP(CK$72,INDIRECT($C$5&amp;"生成成长"),2))/((VLOOKUP($B117,INDIRECT($B$5&amp;"生成成长"),4))/(VLOOKUP(CK$72,INDIRECT($C$5&amp;"生成成长"),5))*(VLOOKUP($B$5,标准坦克设计!$B$24:$U$30,MATCH("对"&amp;LEFT($C$5,2)&amp;"输出",标准坦克设计!$B$23:$U$23,0)))*(VLOOKUP($B117,INDIRECT($B$5&amp;"生成成长"),3))*(VLOOKUP($B$5,标准坦克设计!$B$14:$K$20,9)/30))</f>
        <v>7.2159919020601171</v>
      </c>
      <c r="CL117" s="173">
        <f ca="1">(VLOOKUP(CL$72,INDIRECT($C$5&amp;"生成成长"),2))/((VLOOKUP($B117,INDIRECT($B$5&amp;"生成成长"),4))/(VLOOKUP(CL$72,INDIRECT($C$5&amp;"生成成长"),5))*(VLOOKUP($B$5,标准坦克设计!$B$24:$U$30,MATCH("对"&amp;LEFT($C$5,2)&amp;"输出",标准坦克设计!$B$23:$U$23,0)))*(VLOOKUP($B117,INDIRECT($B$5&amp;"生成成长"),3))*(VLOOKUP($B$5,标准坦克设计!$B$14:$K$20,9)/30))</f>
        <v>7.7050757976441915</v>
      </c>
      <c r="CM117" s="173">
        <f ca="1">(VLOOKUP(CM$72,INDIRECT($C$5&amp;"生成成长"),2))/((VLOOKUP($B117,INDIRECT($B$5&amp;"生成成长"),4))/(VLOOKUP(CM$72,INDIRECT($C$5&amp;"生成成长"),5))*(VLOOKUP($B$5,标准坦克设计!$B$24:$U$30,MATCH("对"&amp;LEFT($C$5,2)&amp;"输出",标准坦克设计!$B$23:$U$23,0)))*(VLOOKUP($B117,INDIRECT($B$5&amp;"生成成长"),3))*(VLOOKUP($B$5,标准坦克设计!$B$14:$K$20,9)/30))</f>
        <v>8.2101952307883987</v>
      </c>
      <c r="CN117" s="173">
        <f ca="1">(VLOOKUP(CN$72,INDIRECT($C$5&amp;"生成成长"),2))/((VLOOKUP($B117,INDIRECT($B$5&amp;"生成成长"),4))/(VLOOKUP(CN$72,INDIRECT($C$5&amp;"生成成长"),5))*(VLOOKUP($B$5,标准坦克设计!$B$24:$U$30,MATCH("对"&amp;LEFT($C$5,2)&amp;"输出",标准坦克设计!$B$23:$U$23,0)))*(VLOOKUP($B117,INDIRECT($B$5&amp;"生成成长"),3))*(VLOOKUP($B$5,标准坦克设计!$B$14:$K$20,9)/30))</f>
        <v>8.731350201492738</v>
      </c>
      <c r="CO117" s="173">
        <f ca="1">(VLOOKUP(CO$72,INDIRECT($C$5&amp;"生成成长"),2))/((VLOOKUP($B117,INDIRECT($B$5&amp;"生成成长"),4))/(VLOOKUP(CO$72,INDIRECT($C$5&amp;"生成成长"),5))*(VLOOKUP($B$5,标准坦克设计!$B$24:$U$30,MATCH("对"&amp;LEFT($C$5,2)&amp;"输出",标准坦克设计!$B$23:$U$23,0)))*(VLOOKUP($B117,INDIRECT($B$5&amp;"生成成长"),3))*(VLOOKUP($B$5,标准坦克设计!$B$14:$K$20,9)/30))</f>
        <v>3.9127374272244975</v>
      </c>
      <c r="CP117" s="173">
        <f ca="1">(VLOOKUP(CP$72,INDIRECT($C$5&amp;"生成成长"),2))/((VLOOKUP($B117,INDIRECT($B$5&amp;"生成成长"),4))/(VLOOKUP(CP$72,INDIRECT($C$5&amp;"生成成长"),5))*(VLOOKUP($B$5,标准坦克设计!$B$24:$U$30,MATCH("对"&amp;LEFT($C$5,2)&amp;"输出",标准坦克设计!$B$23:$U$23,0)))*(VLOOKUP($B117,INDIRECT($B$5&amp;"生成成长"),3))*(VLOOKUP($B$5,标准坦克设计!$B$14:$K$20,9)/30))</f>
        <v>4.2749947984693328</v>
      </c>
      <c r="CQ117" s="173">
        <f ca="1">(VLOOKUP(CQ$72,INDIRECT($C$5&amp;"生成成长"),2))/((VLOOKUP($B117,INDIRECT($B$5&amp;"生成成长"),4))/(VLOOKUP(CQ$72,INDIRECT($C$5&amp;"生成成长"),5))*(VLOOKUP($B$5,标准坦克设计!$B$24:$U$30,MATCH("对"&amp;LEFT($C$5,2)&amp;"输出",标准坦克设计!$B$23:$U$23,0)))*(VLOOKUP($B117,INDIRECT($B$5&amp;"生成成长"),3))*(VLOOKUP($B$5,标准坦克设计!$B$14:$K$20,9)/30))</f>
        <v>4.6532877072743037</v>
      </c>
      <c r="CR117" s="173">
        <f ca="1">(VLOOKUP(CR$72,INDIRECT($C$5&amp;"生成成长"),2))/((VLOOKUP($B117,INDIRECT($B$5&amp;"生成成长"),4))/(VLOOKUP(CR$72,INDIRECT($C$5&amp;"生成成长"),5))*(VLOOKUP($B$5,标准坦克设计!$B$24:$U$30,MATCH("对"&amp;LEFT($C$5,2)&amp;"输出",标准坦克设计!$B$23:$U$23,0)))*(VLOOKUP($B117,INDIRECT($B$5&amp;"生成成长"),3))*(VLOOKUP($B$5,标准坦克设计!$B$14:$K$20,9)/30))</f>
        <v>5.0476161536394066</v>
      </c>
      <c r="CS117" s="173">
        <f ca="1">(VLOOKUP(CS$72,INDIRECT($C$5&amp;"生成成长"),2))/((VLOOKUP($B117,INDIRECT($B$5&amp;"生成成长"),4))/(VLOOKUP(CS$72,INDIRECT($C$5&amp;"生成成长"),5))*(VLOOKUP($B$5,标准坦克设计!$B$24:$U$30,MATCH("对"&amp;LEFT($C$5,2)&amp;"输出",标准坦克设计!$B$23:$U$23,0)))*(VLOOKUP($B117,INDIRECT($B$5&amp;"生成成长"),3))*(VLOOKUP($B$5,标准坦克设计!$B$14:$K$20,9)/30))</f>
        <v>5.4579801375646433</v>
      </c>
      <c r="CT117" s="173">
        <f ca="1">(VLOOKUP(CT$72,INDIRECT($C$5&amp;"生成成长"),2))/((VLOOKUP($B117,INDIRECT($B$5&amp;"生成成长"),4))/(VLOOKUP(CT$72,INDIRECT($C$5&amp;"生成成长"),5))*(VLOOKUP($B$5,标准坦克设计!$B$24:$U$30,MATCH("对"&amp;LEFT($C$5,2)&amp;"输出",标准坦克设计!$B$23:$U$23,0)))*(VLOOKUP($B117,INDIRECT($B$5&amp;"生成成长"),3))*(VLOOKUP($B$5,标准坦克设计!$B$14:$K$20,9)/30))</f>
        <v>5.8843796590500128</v>
      </c>
      <c r="CU117" s="173">
        <f ca="1">(VLOOKUP(CU$72,INDIRECT($C$5&amp;"生成成长"),2))/((VLOOKUP($B117,INDIRECT($B$5&amp;"生成成长"),4))/(VLOOKUP(CU$72,INDIRECT($C$5&amp;"生成成长"),5))*(VLOOKUP($B$5,标准坦克设计!$B$24:$U$30,MATCH("对"&amp;LEFT($C$5,2)&amp;"输出",标准坦克设计!$B$23:$U$23,0)))*(VLOOKUP($B117,INDIRECT($B$5&amp;"生成成长"),3))*(VLOOKUP($B$5,标准坦克设计!$B$14:$K$20,9)/30))</f>
        <v>6.3268147180955179</v>
      </c>
      <c r="CV117" s="173">
        <f ca="1">(VLOOKUP(CV$72,INDIRECT($C$5&amp;"生成成长"),2))/((VLOOKUP($B117,INDIRECT($B$5&amp;"生成成长"),4))/(VLOOKUP(CV$72,INDIRECT($C$5&amp;"生成成长"),5))*(VLOOKUP($B$5,标准坦克设计!$B$24:$U$30,MATCH("对"&amp;LEFT($C$5,2)&amp;"输出",标准坦克设计!$B$23:$U$23,0)))*(VLOOKUP($B117,INDIRECT($B$5&amp;"生成成长"),3))*(VLOOKUP($B$5,标准坦克设计!$B$14:$K$20,9)/30))</f>
        <v>6.7852853147011558</v>
      </c>
      <c r="CW117" s="173">
        <f ca="1">(VLOOKUP(CW$72,INDIRECT($C$5&amp;"生成成长"),2))/((VLOOKUP($B117,INDIRECT($B$5&amp;"生成成长"),4))/(VLOOKUP(CW$72,INDIRECT($C$5&amp;"生成成长"),5))*(VLOOKUP($B$5,标准坦克设计!$B$24:$U$30,MATCH("对"&amp;LEFT($C$5,2)&amp;"输出",标准坦克设计!$B$23:$U$23,0)))*(VLOOKUP($B117,INDIRECT($B$5&amp;"生成成长"),3))*(VLOOKUP($B$5,标准坦克设计!$B$14:$K$20,9)/30))</f>
        <v>7.2597914488669275</v>
      </c>
      <c r="CX117" s="173">
        <f ca="1">(VLOOKUP(CX$72,INDIRECT($C$5&amp;"生成成长"),2))/((VLOOKUP($B117,INDIRECT($B$5&amp;"生成成长"),4))/(VLOOKUP(CX$72,INDIRECT($C$5&amp;"生成成长"),5))*(VLOOKUP($B$5,标准坦克设计!$B$24:$U$30,MATCH("对"&amp;LEFT($C$5,2)&amp;"输出",标准坦克设计!$B$23:$U$23,0)))*(VLOOKUP($B117,INDIRECT($B$5&amp;"生成成长"),3))*(VLOOKUP($B$5,标准坦克设计!$B$14:$K$20,9)/30))</f>
        <v>7.7503331205928312</v>
      </c>
      <c r="CY117" s="173">
        <f ca="1">(VLOOKUP(CY$72,INDIRECT($C$5&amp;"生成成长"),2))/((VLOOKUP($B117,INDIRECT($B$5&amp;"生成成长"),4))/(VLOOKUP(CY$72,INDIRECT($C$5&amp;"生成成长"),5))*(VLOOKUP($B$5,标准坦克设计!$B$24:$U$30,MATCH("对"&amp;LEFT($C$5,2)&amp;"输出",标准坦克设计!$B$23:$U$23,0)))*(VLOOKUP($B117,INDIRECT($B$5&amp;"生成成长"),3))*(VLOOKUP($B$5,标准坦克设计!$B$14:$K$20,9)/30))</f>
        <v>8.2569103298788704</v>
      </c>
      <c r="CZ117" s="173">
        <f ca="1">(VLOOKUP(CZ$72,INDIRECT($C$5&amp;"生成成长"),2))/((VLOOKUP($B117,INDIRECT($B$5&amp;"生成成长"),4))/(VLOOKUP(CZ$72,INDIRECT($C$5&amp;"生成成长"),5))*(VLOOKUP($B$5,标准坦克设计!$B$24:$U$30,MATCH("对"&amp;LEFT($C$5,2)&amp;"输出",标准坦克设计!$B$23:$U$23,0)))*(VLOOKUP($B117,INDIRECT($B$5&amp;"生成成长"),3))*(VLOOKUP($B$5,标准坦克设计!$B$14:$K$20,9)/30))</f>
        <v>8.7795230767250434</v>
      </c>
      <c r="DA117" s="173">
        <f ca="1">(VLOOKUP(DA$72,INDIRECT($C$5&amp;"生成成长"),2))/((VLOOKUP($B117,INDIRECT($B$5&amp;"生成成长"),4))/(VLOOKUP(DA$72,INDIRECT($C$5&amp;"生成成长"),5))*(VLOOKUP($B$5,标准坦克设计!$B$24:$U$30,MATCH("对"&amp;LEFT($C$5,2)&amp;"输出",标准坦克设计!$B$23:$U$23,0)))*(VLOOKUP($B117,INDIRECT($B$5&amp;"生成成长"),3))*(VLOOKUP($B$5,标准坦克设计!$B$14:$K$20,9)/30))</f>
        <v>9.3181713611313484</v>
      </c>
      <c r="DB117" s="173">
        <f ca="1">(VLOOKUP(DB$72,INDIRECT($C$5&amp;"生成成长"),2))/((VLOOKUP($B117,INDIRECT($B$5&amp;"生成成长"),4))/(VLOOKUP(DB$72,INDIRECT($C$5&amp;"生成成长"),5))*(VLOOKUP($B$5,标准坦克设计!$B$24:$U$30,MATCH("对"&amp;LEFT($C$5,2)&amp;"输出",标准坦克设计!$B$23:$U$23,0)))*(VLOOKUP($B117,INDIRECT($B$5&amp;"生成成长"),3))*(VLOOKUP($B$5,标准坦克设计!$B$14:$K$20,9)/30))</f>
        <v>9.8728551830977853</v>
      </c>
      <c r="DC117" s="173">
        <f ca="1">(VLOOKUP(DC$72,INDIRECT($C$5&amp;"生成成长"),2))/((VLOOKUP($B117,INDIRECT($B$5&amp;"生成成长"),4))/(VLOOKUP(DC$72,INDIRECT($C$5&amp;"生成成长"),5))*(VLOOKUP($B$5,标准坦克设计!$B$24:$U$30,MATCH("对"&amp;LEFT($C$5,2)&amp;"输出",标准坦克设计!$B$23:$U$23,0)))*(VLOOKUP($B117,INDIRECT($B$5&amp;"生成成长"),3))*(VLOOKUP($B$5,标准坦克设计!$B$14:$K$20,9)/30))</f>
        <v>10.496253271385955</v>
      </c>
      <c r="DD117" s="173">
        <f ca="1">(VLOOKUP(DD$72,INDIRECT($C$5&amp;"生成成长"),2))/((VLOOKUP($B117,INDIRECT($B$5&amp;"生成成长"),4))/(VLOOKUP(DD$72,INDIRECT($C$5&amp;"生成成长"),5))*(VLOOKUP($B$5,标准坦克设计!$B$24:$U$30,MATCH("对"&amp;LEFT($C$5,2)&amp;"输出",标准坦克设计!$B$23:$U$23,0)))*(VLOOKUP($B117,INDIRECT($B$5&amp;"生成成长"),3))*(VLOOKUP($B$5,标准坦克设计!$B$14:$K$20,9)/30))</f>
        <v>11.138734974621721</v>
      </c>
      <c r="DE117" s="173">
        <f ca="1">(VLOOKUP(DE$72,INDIRECT($C$5&amp;"生成成长"),2))/((VLOOKUP($B117,INDIRECT($B$5&amp;"生成成长"),4))/(VLOOKUP(DE$72,INDIRECT($C$5&amp;"生成成长"),5))*(VLOOKUP($B$5,标准坦克设计!$B$24:$U$30,MATCH("对"&amp;LEFT($C$5,2)&amp;"输出",标准坦克设计!$B$23:$U$23,0)))*(VLOOKUP($B117,INDIRECT($B$5&amp;"生成成长"),3))*(VLOOKUP($B$5,标准坦克设计!$B$14:$K$20,9)/30))</f>
        <v>11.800300292805085</v>
      </c>
      <c r="DF117" s="173">
        <f ca="1">(VLOOKUP(DF$72,INDIRECT($C$5&amp;"生成成长"),2))/((VLOOKUP($B117,INDIRECT($B$5&amp;"生成成长"),4))/(VLOOKUP(DF$72,INDIRECT($C$5&amp;"生成成长"),5))*(VLOOKUP($B$5,标准坦克设计!$B$24:$U$30,MATCH("对"&amp;LEFT($C$5,2)&amp;"输出",标准坦克设计!$B$23:$U$23,0)))*(VLOOKUP($B117,INDIRECT($B$5&amp;"生成成长"),3))*(VLOOKUP($B$5,标准坦克设计!$B$14:$K$20,9)/30))</f>
        <v>12.480949225936046</v>
      </c>
      <c r="DG117" s="173">
        <f ca="1">(VLOOKUP(DG$72,INDIRECT($C$5&amp;"生成成长"),2))/((VLOOKUP($B117,INDIRECT($B$5&amp;"生成成长"),4))/(VLOOKUP(DG$72,INDIRECT($C$5&amp;"生成成长"),5))*(VLOOKUP($B$5,标准坦克设计!$B$24:$U$30,MATCH("对"&amp;LEFT($C$5,2)&amp;"输出",标准坦克设计!$B$23:$U$23,0)))*(VLOOKUP($B117,INDIRECT($B$5&amp;"生成成长"),3))*(VLOOKUP($B$5,标准坦克设计!$B$14:$K$20,9)/30))</f>
        <v>13.180681774014603</v>
      </c>
      <c r="DH117" s="173">
        <f ca="1">(VLOOKUP(DH$72,INDIRECT($C$5&amp;"生成成长"),2))/((VLOOKUP($B117,INDIRECT($B$5&amp;"生成成长"),4))/(VLOOKUP(DH$72,INDIRECT($C$5&amp;"生成成长"),5))*(VLOOKUP($B$5,标准坦克设计!$B$24:$U$30,MATCH("对"&amp;LEFT($C$5,2)&amp;"输出",标准坦克设计!$B$23:$U$23,0)))*(VLOOKUP($B117,INDIRECT($B$5&amp;"生成成长"),3))*(VLOOKUP($B$5,标准坦克设计!$B$14:$K$20,9)/30))</f>
        <v>13.899497937040755</v>
      </c>
      <c r="DI117" s="173">
        <f ca="1">(VLOOKUP(DI$72,INDIRECT($C$5&amp;"生成成长"),2))/((VLOOKUP($B117,INDIRECT($B$5&amp;"生成成长"),4))/(VLOOKUP(DI$72,INDIRECT($C$5&amp;"生成成长"),5))*(VLOOKUP($B$5,标准坦克设计!$B$24:$U$30,MATCH("对"&amp;LEFT($C$5,2)&amp;"输出",标准坦克设计!$B$23:$U$23,0)))*(VLOOKUP($B117,INDIRECT($B$5&amp;"生成成长"),3))*(VLOOKUP($B$5,标准坦克设计!$B$14:$K$20,9)/30))</f>
        <v>14.637397715014504</v>
      </c>
      <c r="DJ117" s="173">
        <f ca="1">(VLOOKUP(DJ$72,INDIRECT($C$5&amp;"生成成长"),2))/((VLOOKUP($B117,INDIRECT($B$5&amp;"生成成长"),4))/(VLOOKUP(DJ$72,INDIRECT($C$5&amp;"生成成长"),5))*(VLOOKUP($B$5,标准坦克设计!$B$24:$U$30,MATCH("对"&amp;LEFT($C$5,2)&amp;"输出",标准坦克设计!$B$23:$U$23,0)))*(VLOOKUP($B117,INDIRECT($B$5&amp;"生成成长"),3))*(VLOOKUP($B$5,标准坦克设计!$B$14:$K$20,9)/30))</f>
        <v>1.4710949147625032</v>
      </c>
      <c r="DK117" s="173">
        <f ca="1">(VLOOKUP(DK$72,INDIRECT($C$5&amp;"生成成长"),2))/((VLOOKUP($B117,INDIRECT($B$5&amp;"生成成长"),4))/(VLOOKUP(DK$72,INDIRECT($C$5&amp;"生成成长"),5))*(VLOOKUP($B$5,标准坦克设计!$B$24:$U$30,MATCH("对"&amp;LEFT($C$5,2)&amp;"输出",标准坦克设计!$B$23:$U$23,0)))*(VLOOKUP($B117,INDIRECT($B$5&amp;"生成成长"),3))*(VLOOKUP($B$5,标准坦克设计!$B$14:$K$20,9)/30))</f>
        <v>1.6541783456660122</v>
      </c>
      <c r="DL117" s="173">
        <f ca="1">(VLOOKUP(DL$72,INDIRECT($C$5&amp;"生成成长"),2))/((VLOOKUP($B117,INDIRECT($B$5&amp;"生成成长"),4))/(VLOOKUP(DL$72,INDIRECT($C$5&amp;"生成成长"),5))*(VLOOKUP($B$5,标准坦克设计!$B$24:$U$30,MATCH("对"&amp;LEFT($C$5,2)&amp;"输出",标准坦克设计!$B$23:$U$23,0)))*(VLOOKUP($B117,INDIRECT($B$5&amp;"生成成长"),3))*(VLOOKUP($B$5,标准坦克设计!$B$14:$K$20,9)/30))</f>
        <v>1.8479963099775443</v>
      </c>
      <c r="DM117" s="173">
        <f ca="1">(VLOOKUP(DM$72,INDIRECT($C$5&amp;"生成成长"),2))/((VLOOKUP($B117,INDIRECT($B$5&amp;"生成成长"),4))/(VLOOKUP(DM$72,INDIRECT($C$5&amp;"生成成长"),5))*(VLOOKUP($B$5,标准坦克设计!$B$24:$U$30,MATCH("对"&amp;LEFT($C$5,2)&amp;"输出",标准坦克设计!$B$23:$U$23,0)))*(VLOOKUP($B117,INDIRECT($B$5&amp;"生成成长"),3))*(VLOOKUP($B$5,标准坦克设计!$B$14:$K$20,9)/30))</f>
        <v>2.0525488076970997</v>
      </c>
      <c r="DN117" s="173">
        <f ca="1">(VLOOKUP(DN$72,INDIRECT($C$5&amp;"生成成长"),2))/((VLOOKUP($B117,INDIRECT($B$5&amp;"生成成长"),4))/(VLOOKUP(DN$72,INDIRECT($C$5&amp;"生成成长"),5))*(VLOOKUP($B$5,标准坦克设计!$B$24:$U$30,MATCH("对"&amp;LEFT($C$5,2)&amp;"输出",标准坦克设计!$B$23:$U$23,0)))*(VLOOKUP($B117,INDIRECT($B$5&amp;"生成成长"),3))*(VLOOKUP($B$5,标准坦克设计!$B$14:$K$20,9)/30))</f>
        <v>2.267835838824678</v>
      </c>
      <c r="DO117" s="173">
        <f ca="1">(VLOOKUP(DO$72,INDIRECT($C$5&amp;"生成成长"),2))/((VLOOKUP($B117,INDIRECT($B$5&amp;"生成成长"),4))/(VLOOKUP(DO$72,INDIRECT($C$5&amp;"生成成长"),5))*(VLOOKUP($B$5,标准坦克设计!$B$24:$U$30,MATCH("对"&amp;LEFT($C$5,2)&amp;"输出",标准坦克设计!$B$23:$U$23,0)))*(VLOOKUP($B117,INDIRECT($B$5&amp;"生成成长"),3))*(VLOOKUP($B$5,标准坦克设计!$B$14:$K$20,9)/30))</f>
        <v>2.4938574033602796</v>
      </c>
      <c r="DP117" s="173">
        <f ca="1">(VLOOKUP(DP$72,INDIRECT($C$5&amp;"生成成长"),2))/((VLOOKUP($B117,INDIRECT($B$5&amp;"生成成长"),4))/(VLOOKUP(DP$72,INDIRECT($C$5&amp;"生成成长"),5))*(VLOOKUP($B$5,标准坦克设计!$B$24:$U$30,MATCH("对"&amp;LEFT($C$5,2)&amp;"输出",标准坦克设计!$B$23:$U$23,0)))*(VLOOKUP($B117,INDIRECT($B$5&amp;"生成成长"),3))*(VLOOKUP($B$5,标准坦克设计!$B$14:$K$20,9)/30))</f>
        <v>2.7306135013039055</v>
      </c>
      <c r="DQ117" s="173">
        <f ca="1">(VLOOKUP(DQ$72,INDIRECT($C$5&amp;"生成成长"),2))/((VLOOKUP($B117,INDIRECT($B$5&amp;"生成成长"),4))/(VLOOKUP(DQ$72,INDIRECT($C$5&amp;"生成成长"),5))*(VLOOKUP($B$5,标准坦克设计!$B$24:$U$30,MATCH("对"&amp;LEFT($C$5,2)&amp;"输出",标准坦克设计!$B$23:$U$23,0)))*(VLOOKUP($B117,INDIRECT($B$5&amp;"生成成长"),3))*(VLOOKUP($B$5,标准坦克设计!$B$14:$K$20,9)/30))</f>
        <v>2.9781041326555542</v>
      </c>
      <c r="DR117" s="173">
        <f ca="1">(VLOOKUP(DR$72,INDIRECT($C$5&amp;"生成成长"),2))/((VLOOKUP($B117,INDIRECT($B$5&amp;"生成成长"),4))/(VLOOKUP(DR$72,INDIRECT($C$5&amp;"生成成长"),5))*(VLOOKUP($B$5,标准坦克设计!$B$24:$U$30,MATCH("对"&amp;LEFT($C$5,2)&amp;"输出",标准坦克设计!$B$23:$U$23,0)))*(VLOOKUP($B117,INDIRECT($B$5&amp;"生成成长"),3))*(VLOOKUP($B$5,标准坦克设计!$B$14:$K$20,9)/30))</f>
        <v>3.2363292974152262</v>
      </c>
      <c r="DS117" s="173">
        <f ca="1">(VLOOKUP(DS$72,INDIRECT($C$5&amp;"生成成长"),2))/((VLOOKUP($B117,INDIRECT($B$5&amp;"生成成长"),4))/(VLOOKUP(DS$72,INDIRECT($C$5&amp;"生成成长"),5))*(VLOOKUP($B$5,标准坦克设计!$B$24:$U$30,MATCH("对"&amp;LEFT($C$5,2)&amp;"输出",标准坦克设计!$B$23:$U$23,0)))*(VLOOKUP($B117,INDIRECT($B$5&amp;"生成成长"),3))*(VLOOKUP($B$5,标准坦克设计!$B$14:$K$20,9)/30))</f>
        <v>3.5052889955829212</v>
      </c>
      <c r="DT117" s="173">
        <f ca="1">(VLOOKUP(DT$72,INDIRECT($C$5&amp;"生成成长"),2))/((VLOOKUP($B117,INDIRECT($B$5&amp;"生成成长"),4))/(VLOOKUP(DT$72,INDIRECT($C$5&amp;"生成成长"),5))*(VLOOKUP($B$5,标准坦克设计!$B$24:$U$30,MATCH("对"&amp;LEFT($C$5,2)&amp;"输出",标准坦克设计!$B$23:$U$23,0)))*(VLOOKUP($B117,INDIRECT($B$5&amp;"生成成长"),3))*(VLOOKUP($B$5,标准坦克设计!$B$14:$K$20,9)/30))</f>
        <v>3.8485952769839624</v>
      </c>
      <c r="DU117" s="173">
        <f ca="1">(VLOOKUP(DU$72,INDIRECT($C$5&amp;"生成成长"),2))/((VLOOKUP($B117,INDIRECT($B$5&amp;"生成成长"),4))/(VLOOKUP(DU$72,INDIRECT($C$5&amp;"生成成长"),5))*(VLOOKUP($B$5,标准坦克设计!$B$24:$U$30,MATCH("对"&amp;LEFT($C$5,2)&amp;"输出",标准坦克设计!$B$23:$U$23,0)))*(VLOOKUP($B117,INDIRECT($B$5&amp;"生成成长"),3))*(VLOOKUP($B$5,标准坦克设计!$B$14:$K$20,9)/30))</f>
        <v>4.2079370959451383</v>
      </c>
      <c r="DV117" s="173">
        <f ca="1">(VLOOKUP(DV$72,INDIRECT($C$5&amp;"生成成长"),2))/((VLOOKUP($B117,INDIRECT($B$5&amp;"生成成长"),4))/(VLOOKUP(DV$72,INDIRECT($C$5&amp;"生成成长"),5))*(VLOOKUP($B$5,标准坦克设计!$B$24:$U$30,MATCH("对"&amp;LEFT($C$5,2)&amp;"输出",标准坦克设计!$B$23:$U$23,0)))*(VLOOKUP($B117,INDIRECT($B$5&amp;"生成成长"),3))*(VLOOKUP($B$5,标准坦克设计!$B$14:$K$20,9)/30))</f>
        <v>4.5833144524664471</v>
      </c>
      <c r="DW117" s="173">
        <f ca="1">(VLOOKUP(DW$72,INDIRECT($C$5&amp;"生成成长"),2))/((VLOOKUP($B117,INDIRECT($B$5&amp;"生成成长"),4))/(VLOOKUP(DW$72,INDIRECT($C$5&amp;"生成成长"),5))*(VLOOKUP($B$5,标准坦克设计!$B$24:$U$30,MATCH("对"&amp;LEFT($C$5,2)&amp;"输出",标准坦克设计!$B$23:$U$23,0)))*(VLOOKUP($B117,INDIRECT($B$5&amp;"生成成长"),3))*(VLOOKUP($B$5,标准坦克设计!$B$14:$K$20,9)/30))</f>
        <v>4.9747273465478896</v>
      </c>
      <c r="DX117" s="173">
        <f ca="1">(VLOOKUP(DX$72,INDIRECT($C$5&amp;"生成成长"),2))/((VLOOKUP($B117,INDIRECT($B$5&amp;"生成成长"),4))/(VLOOKUP(DX$72,INDIRECT($C$5&amp;"生成成长"),5))*(VLOOKUP($B$5,标准坦克设计!$B$24:$U$30,MATCH("对"&amp;LEFT($C$5,2)&amp;"输出",标准坦克设计!$B$23:$U$23,0)))*(VLOOKUP($B117,INDIRECT($B$5&amp;"生成成长"),3))*(VLOOKUP($B$5,标准坦克设计!$B$14:$K$20,9)/30))</f>
        <v>5.382175778189465</v>
      </c>
      <c r="DY117" s="173">
        <f ca="1">(VLOOKUP(DY$72,INDIRECT($C$5&amp;"生成成长"),2))/((VLOOKUP($B117,INDIRECT($B$5&amp;"生成成长"),4))/(VLOOKUP(DY$72,INDIRECT($C$5&amp;"生成成长"),5))*(VLOOKUP($B$5,标准坦克设计!$B$24:$U$30,MATCH("对"&amp;LEFT($C$5,2)&amp;"输出",标准坦克设计!$B$23:$U$23,0)))*(VLOOKUP($B117,INDIRECT($B$5&amp;"生成成长"),3))*(VLOOKUP($B$5,标准坦克设计!$B$14:$K$20,9)/30))</f>
        <v>2.417324155914188</v>
      </c>
      <c r="DZ117" s="173">
        <f ca="1">(VLOOKUP(DZ$72,INDIRECT($C$5&amp;"生成成长"),2))/((VLOOKUP($B117,INDIRECT($B$5&amp;"生成成长"),4))/(VLOOKUP(DZ$72,INDIRECT($C$5&amp;"生成成长"),5))*(VLOOKUP($B$5,标准坦克设计!$B$24:$U$30,MATCH("对"&amp;LEFT($C$5,2)&amp;"输出",标准坦克设计!$B$23:$U$23,0)))*(VLOOKUP($B117,INDIRECT($B$5&amp;"生成成长"),3))*(VLOOKUP($B$5,标准坦克设计!$B$14:$K$20,9)/30))</f>
        <v>2.6770733593675913</v>
      </c>
      <c r="EA117" s="173">
        <f ca="1">(VLOOKUP(EA$72,INDIRECT($C$5&amp;"生成成长"),2))/((VLOOKUP($B117,INDIRECT($B$5&amp;"生成成长"),4))/(VLOOKUP(EA$72,INDIRECT($C$5&amp;"生成成长"),5))*(VLOOKUP($B$5,标准坦克设计!$B$24:$U$30,MATCH("对"&amp;LEFT($C$5,2)&amp;"输出",标准坦克设计!$B$23:$U$23,0)))*(VLOOKUP($B117,INDIRECT($B$5&amp;"生成成长"),3))*(VLOOKUP($B$5,标准坦克设计!$B$14:$K$20,9)/30))</f>
        <v>2.9500750732012713</v>
      </c>
      <c r="EB117" s="173">
        <f ca="1">(VLOOKUP(EB$72,INDIRECT($C$5&amp;"生成成长"),2))/((VLOOKUP($B117,INDIRECT($B$5&amp;"生成成长"),4))/(VLOOKUP(EB$72,INDIRECT($C$5&amp;"生成成长"),5))*(VLOOKUP($B$5,标准坦克设计!$B$24:$U$30,MATCH("对"&amp;LEFT($C$5,2)&amp;"输出",标准坦克设计!$B$23:$U$23,0)))*(VLOOKUP($B117,INDIRECT($B$5&amp;"生成成长"),3))*(VLOOKUP($B$5,标准坦克设计!$B$14:$K$20,9)/30))</f>
        <v>3.2363292974152262</v>
      </c>
      <c r="EC117" s="173">
        <f ca="1">(VLOOKUP(EC$72,INDIRECT($C$5&amp;"生成成长"),2))/((VLOOKUP($B117,INDIRECT($B$5&amp;"生成成长"),4))/(VLOOKUP(EC$72,INDIRECT($C$5&amp;"生成成长"),5))*(VLOOKUP($B$5,标准坦克设计!$B$24:$U$30,MATCH("对"&amp;LEFT($C$5,2)&amp;"输出",标准坦克设计!$B$23:$U$23,0)))*(VLOOKUP($B117,INDIRECT($B$5&amp;"生成成长"),3))*(VLOOKUP($B$5,标准坦克设计!$B$14:$K$20,9)/30))</f>
        <v>3.5358360320094566</v>
      </c>
      <c r="ED117" s="173">
        <f ca="1">(VLOOKUP(ED$72,INDIRECT($C$5&amp;"生成成长"),2))/((VLOOKUP($B117,INDIRECT($B$5&amp;"生成成长"),4))/(VLOOKUP(ED$72,INDIRECT($C$5&amp;"生成成长"),5))*(VLOOKUP($B$5,标准坦克设计!$B$24:$U$30,MATCH("对"&amp;LEFT($C$5,2)&amp;"输出",标准坦克设计!$B$23:$U$23,0)))*(VLOOKUP($B117,INDIRECT($B$5&amp;"生成成长"),3))*(VLOOKUP($B$5,标准坦克设计!$B$14:$K$20,9)/30))</f>
        <v>3.8485952769839624</v>
      </c>
      <c r="EE117" s="173">
        <f ca="1">(VLOOKUP(EE$72,INDIRECT($C$5&amp;"生成成长"),2))/((VLOOKUP($B117,INDIRECT($B$5&amp;"生成成长"),4))/(VLOOKUP(EE$72,INDIRECT($C$5&amp;"生成成长"),5))*(VLOOKUP($B$5,标准坦克设计!$B$24:$U$30,MATCH("对"&amp;LEFT($C$5,2)&amp;"输出",标准坦克设计!$B$23:$U$23,0)))*(VLOOKUP($B117,INDIRECT($B$5&amp;"生成成长"),3))*(VLOOKUP($B$5,标准坦克设计!$B$14:$K$20,9)/30))</f>
        <v>4.174607032338745</v>
      </c>
      <c r="EF117" s="173">
        <f ca="1">(VLOOKUP(EF$72,INDIRECT($C$5&amp;"生成成长"),2))/((VLOOKUP($B117,INDIRECT($B$5&amp;"生成成长"),4))/(VLOOKUP(EF$72,INDIRECT($C$5&amp;"生成成长"),5))*(VLOOKUP($B$5,标准坦克设计!$B$24:$U$30,MATCH("对"&amp;LEFT($C$5,2)&amp;"输出",标准坦克设计!$B$23:$U$23,0)))*(VLOOKUP($B117,INDIRECT($B$5&amp;"生成成长"),3))*(VLOOKUP($B$5,标准坦克设计!$B$14:$K$20,9)/30))</f>
        <v>4.5138712980738029</v>
      </c>
      <c r="EG117" s="173">
        <f ca="1">(VLOOKUP(EG$72,INDIRECT($C$5&amp;"生成成长"),2))/((VLOOKUP($B117,INDIRECT($B$5&amp;"生成成长"),4))/(VLOOKUP(EG$72,INDIRECT($C$5&amp;"生成成长"),5))*(VLOOKUP($B$5,标准坦克设计!$B$24:$U$30,MATCH("对"&amp;LEFT($C$5,2)&amp;"输出",标准坦克设计!$B$23:$U$23,0)))*(VLOOKUP($B117,INDIRECT($B$5&amp;"生成成长"),3))*(VLOOKUP($B$5,标准坦克设计!$B$14:$K$20,9)/30))</f>
        <v>4.8663880741891372</v>
      </c>
      <c r="EH117" s="173">
        <f ca="1">(VLOOKUP(EH$72,INDIRECT($C$5&amp;"生成成长"),2))/((VLOOKUP($B117,INDIRECT($B$5&amp;"生成成长"),4))/(VLOOKUP(EH$72,INDIRECT($C$5&amp;"生成成长"),5))*(VLOOKUP($B$5,标准坦克设计!$B$24:$U$30,MATCH("对"&amp;LEFT($C$5,2)&amp;"输出",标准坦克设计!$B$23:$U$23,0)))*(VLOOKUP($B117,INDIRECT($B$5&amp;"生成成长"),3))*(VLOOKUP($B$5,标准坦克设计!$B$14:$K$20,9)/30))</f>
        <v>5.2321573606847451</v>
      </c>
      <c r="EI117" s="173">
        <f ca="1">(VLOOKUP(EI$72,INDIRECT($C$5&amp;"生成成长"),2))/((VLOOKUP($B117,INDIRECT($B$5&amp;"生成成长"),4))/(VLOOKUP(EI$72,INDIRECT($C$5&amp;"生成成长"),5))*(VLOOKUP($B$5,标准坦克设计!$B$24:$U$30,MATCH("对"&amp;LEFT($C$5,2)&amp;"输出",标准坦克设计!$B$23:$U$23,0)))*(VLOOKUP($B117,INDIRECT($B$5&amp;"生成成长"),3))*(VLOOKUP($B$5,标准坦克设计!$B$14:$K$20,9)/30))</f>
        <v>5.6111791575606311</v>
      </c>
      <c r="EJ117" s="173">
        <f ca="1">(VLOOKUP(EJ$72,INDIRECT($C$5&amp;"生成成长"),2))/((VLOOKUP($B117,INDIRECT($B$5&amp;"生成成长"),4))/(VLOOKUP(EJ$72,INDIRECT($C$5&amp;"生成成长"),5))*(VLOOKUP($B$5,标准坦克设计!$B$24:$U$30,MATCH("对"&amp;LEFT($C$5,2)&amp;"输出",标准坦克设计!$B$23:$U$23,0)))*(VLOOKUP($B117,INDIRECT($B$5&amp;"生成成长"),3))*(VLOOKUP($B$5,标准坦克设计!$B$14:$K$20,9)/30))</f>
        <v>6.0034534648167908</v>
      </c>
      <c r="EK117" s="173">
        <f ca="1">(VLOOKUP(EK$72,INDIRECT($C$5&amp;"生成成长"),2))/((VLOOKUP($B117,INDIRECT($B$5&amp;"生成成长"),4))/(VLOOKUP(EK$72,INDIRECT($C$5&amp;"生成成长"),5))*(VLOOKUP($B$5,标准坦克设计!$B$24:$U$30,MATCH("对"&amp;LEFT($C$5,2)&amp;"输出",标准坦克设计!$B$23:$U$23,0)))*(VLOOKUP($B117,INDIRECT($B$5&amp;"生成成长"),3))*(VLOOKUP($B$5,标准坦克设计!$B$14:$K$20,9)/30))</f>
        <v>6.4916759472261463</v>
      </c>
      <c r="EL117" s="173">
        <f ca="1">(VLOOKUP(EL$72,INDIRECT($C$5&amp;"生成成长"),2))/((VLOOKUP($B117,INDIRECT($B$5&amp;"生成成长"),4))/(VLOOKUP(EL$72,INDIRECT($C$5&amp;"生成成长"),5))*(VLOOKUP($B$5,标准坦克设计!$B$24:$U$30,MATCH("对"&amp;LEFT($C$5,2)&amp;"输出",标准坦克设计!$B$23:$U$23,0)))*(VLOOKUP($B117,INDIRECT($B$5&amp;"生成成长"),3))*(VLOOKUP($B$5,标准坦克设计!$B$14:$K$20,9)/30))</f>
        <v>6.9989820445831015</v>
      </c>
      <c r="EM117" s="173">
        <f ca="1">(VLOOKUP(EM$72,INDIRECT($C$5&amp;"生成成长"),2))/((VLOOKUP($B117,INDIRECT($B$5&amp;"生成成长"),4))/(VLOOKUP(EM$72,INDIRECT($C$5&amp;"生成成长"),5))*(VLOOKUP($B$5,标准坦克设计!$B$24:$U$30,MATCH("对"&amp;LEFT($C$5,2)&amp;"输出",标准坦克设计!$B$23:$U$23,0)))*(VLOOKUP($B117,INDIRECT($B$5&amp;"生成成长"),3))*(VLOOKUP($B$5,标准坦克设计!$B$14:$K$20,9)/30))</f>
        <v>7.5253717568876528</v>
      </c>
      <c r="EN117" s="173">
        <f ca="1">(VLOOKUP(EN$72,INDIRECT($C$5&amp;"生成成长"),2))/((VLOOKUP($B117,INDIRECT($B$5&amp;"生成成长"),4))/(VLOOKUP(EN$72,INDIRECT($C$5&amp;"生成成长"),5))*(VLOOKUP($B$5,标准坦克设计!$B$24:$U$30,MATCH("对"&amp;LEFT($C$5,2)&amp;"输出",标准坦克设计!$B$23:$U$23,0)))*(VLOOKUP($B117,INDIRECT($B$5&amp;"生成成长"),3))*(VLOOKUP($B$5,标准坦克设计!$B$14:$K$20,9)/30))</f>
        <v>8.0708450841397994</v>
      </c>
      <c r="EO117" s="173">
        <f ca="1">(VLOOKUP(EO$72,INDIRECT($C$5&amp;"生成成长"),2))/((VLOOKUP($B117,INDIRECT($B$5&amp;"生成成长"),4))/(VLOOKUP(EO$72,INDIRECT($C$5&amp;"生成成长"),5))*(VLOOKUP($B$5,标准坦克设计!$B$24:$U$30,MATCH("对"&amp;LEFT($C$5,2)&amp;"输出",标准坦克设计!$B$23:$U$23,0)))*(VLOOKUP($B117,INDIRECT($B$5&amp;"生成成长"),3))*(VLOOKUP($B$5,标准坦克设计!$B$14:$K$20,9)/30))</f>
        <v>8.635402026339543</v>
      </c>
      <c r="EP117" s="173">
        <f ca="1">(VLOOKUP(EP$72,INDIRECT($C$5&amp;"生成成长"),2))/((VLOOKUP($B117,INDIRECT($B$5&amp;"生成成长"),4))/(VLOOKUP(EP$72,INDIRECT($C$5&amp;"生成成长"),5))*(VLOOKUP($B$5,标准坦克设计!$B$24:$U$30,MATCH("对"&amp;LEFT($C$5,2)&amp;"输出",标准坦克设计!$B$23:$U$23,0)))*(VLOOKUP($B117,INDIRECT($B$5&amp;"生成成长"),3))*(VLOOKUP($B$5,标准坦克设计!$B$14:$K$20,9)/30))</f>
        <v>9.2190425834868854</v>
      </c>
      <c r="EQ117" s="173">
        <f ca="1">(VLOOKUP(EQ$72,INDIRECT($C$5&amp;"生成成长"),2))/((VLOOKUP($B117,INDIRECT($B$5&amp;"生成成长"),4))/(VLOOKUP(EQ$72,INDIRECT($C$5&amp;"生成成长"),5))*(VLOOKUP($B$5,标准坦克设计!$B$24:$U$30,MATCH("对"&amp;LEFT($C$5,2)&amp;"输出",标准坦克设计!$B$23:$U$23,0)))*(VLOOKUP($B117,INDIRECT($B$5&amp;"生成成长"),3))*(VLOOKUP($B$5,标准坦克设计!$B$14:$K$20,9)/30))</f>
        <v>4.0754119921423815</v>
      </c>
      <c r="ER117" s="173">
        <f ca="1">(VLOOKUP(ER$72,INDIRECT($C$5&amp;"生成成长"),2))/((VLOOKUP($B117,INDIRECT($B$5&amp;"生成成长"),4))/(VLOOKUP(ER$72,INDIRECT($C$5&amp;"生成成长"),5))*(VLOOKUP($B$5,标准坦克设计!$B$24:$U$30,MATCH("对"&amp;LEFT($C$5,2)&amp;"输出",标准坦克设计!$B$23:$U$23,0)))*(VLOOKUP($B117,INDIRECT($B$5&amp;"生成成长"),3))*(VLOOKUP($B$5,标准坦克设计!$B$14:$K$20,9)/30))</f>
        <v>4.4449582440963695</v>
      </c>
      <c r="ES117" s="173">
        <f ca="1">(VLOOKUP(ES$72,INDIRECT($C$5&amp;"生成成长"),2))/((VLOOKUP($B117,INDIRECT($B$5&amp;"生成成长"),4))/(VLOOKUP(ES$72,INDIRECT($C$5&amp;"生成成长"),5))*(VLOOKUP($B$5,标准坦克设计!$B$24:$U$30,MATCH("对"&amp;LEFT($C$5,2)&amp;"输出",标准坦克设计!$B$23:$U$23,0)))*(VLOOKUP($B117,INDIRECT($B$5&amp;"生成成长"),3))*(VLOOKUP($B$5,标准坦克设计!$B$14:$K$20,9)/30))</f>
        <v>4.8305400336104896</v>
      </c>
      <c r="ET117" s="173">
        <f ca="1">(VLOOKUP(ET$72,INDIRECT($C$5&amp;"生成成长"),2))/((VLOOKUP($B117,INDIRECT($B$5&amp;"生成成长"),4))/(VLOOKUP(ET$72,INDIRECT($C$5&amp;"生成成长"),5))*(VLOOKUP($B$5,标准坦克设计!$B$24:$U$30,MATCH("对"&amp;LEFT($C$5,2)&amp;"输出",标准坦克设计!$B$23:$U$23,0)))*(VLOOKUP($B117,INDIRECT($B$5&amp;"生成成长"),3))*(VLOOKUP($B$5,标准坦克设计!$B$14:$K$20,9)/30))</f>
        <v>5.2321573606847451</v>
      </c>
      <c r="EU117" s="173">
        <f ca="1">(VLOOKUP(EU$72,INDIRECT($C$5&amp;"生成成长"),2))/((VLOOKUP($B117,INDIRECT($B$5&amp;"生成成长"),4))/(VLOOKUP(EU$72,INDIRECT($C$5&amp;"生成成长"),5))*(VLOOKUP($B$5,标准坦克设计!$B$24:$U$30,MATCH("对"&amp;LEFT($C$5,2)&amp;"输出",标准坦克设计!$B$23:$U$23,0)))*(VLOOKUP($B117,INDIRECT($B$5&amp;"生成成长"),3))*(VLOOKUP($B$5,标准坦克设计!$B$14:$K$20,9)/30))</f>
        <v>5.6498102253191345</v>
      </c>
      <c r="EV117" s="173">
        <f ca="1">(VLOOKUP(EV$72,INDIRECT($C$5&amp;"生成成长"),2))/((VLOOKUP($B117,INDIRECT($B$5&amp;"生成成长"),4))/(VLOOKUP(EV$72,INDIRECT($C$5&amp;"生成成长"),5))*(VLOOKUP($B$5,标准坦克设计!$B$24:$U$30,MATCH("对"&amp;LEFT($C$5,2)&amp;"输出",标准坦克设计!$B$23:$U$23,0)))*(VLOOKUP($B117,INDIRECT($B$5&amp;"生成成长"),3))*(VLOOKUP($B$5,标准坦克设计!$B$14:$K$20,9)/30))</f>
        <v>6.0834986275136558</v>
      </c>
      <c r="EW117" s="173">
        <f ca="1">(VLOOKUP(EW$72,INDIRECT($C$5&amp;"生成成长"),2))/((VLOOKUP($B117,INDIRECT($B$5&amp;"生成成长"),4))/(VLOOKUP(EW$72,INDIRECT($C$5&amp;"生成成长"),5))*(VLOOKUP($B$5,标准坦克设计!$B$24:$U$30,MATCH("对"&amp;LEFT($C$5,2)&amp;"输出",标准坦克设计!$B$23:$U$23,0)))*(VLOOKUP($B117,INDIRECT($B$5&amp;"生成成长"),3))*(VLOOKUP($B$5,标准坦克设计!$B$14:$K$20,9)/30))</f>
        <v>6.5332225672683117</v>
      </c>
      <c r="EX117" s="173">
        <f ca="1">(VLOOKUP(EX$72,INDIRECT($C$5&amp;"生成成长"),2))/((VLOOKUP($B117,INDIRECT($B$5&amp;"生成成长"),4))/(VLOOKUP(EX$72,INDIRECT($C$5&amp;"生成成长"),5))*(VLOOKUP($B$5,标准坦克设计!$B$24:$U$30,MATCH("对"&amp;LEFT($C$5,2)&amp;"输出",标准坦克设计!$B$23:$U$23,0)))*(VLOOKUP($B117,INDIRECT($B$5&amp;"生成成长"),3))*(VLOOKUP($B$5,标准坦克设计!$B$14:$K$20,9)/30))</f>
        <v>6.9989820445831015</v>
      </c>
      <c r="EY117" s="173">
        <f ca="1">(VLOOKUP(EY$72,INDIRECT($C$5&amp;"生成成长"),2))/((VLOOKUP($B117,INDIRECT($B$5&amp;"生成成长"),4))/(VLOOKUP(EY$72,INDIRECT($C$5&amp;"生成成长"),5))*(VLOOKUP($B$5,标准坦克设计!$B$24:$U$30,MATCH("对"&amp;LEFT($C$5,2)&amp;"输出",标准坦克设计!$B$23:$U$23,0)))*(VLOOKUP($B117,INDIRECT($B$5&amp;"生成成长"),3))*(VLOOKUP($B$5,标准坦克设计!$B$14:$K$20,9)/30))</f>
        <v>7.4807770594580232</v>
      </c>
      <c r="EZ117" s="173">
        <f ca="1">(VLOOKUP(EZ$72,INDIRECT($C$5&amp;"生成成长"),2))/((VLOOKUP($B117,INDIRECT($B$5&amp;"生成成长"),4))/(VLOOKUP(EZ$72,INDIRECT($C$5&amp;"生成成长"),5))*(VLOOKUP($B$5,标准坦克设计!$B$24:$U$30,MATCH("对"&amp;LEFT($C$5,2)&amp;"输出",标准坦克设计!$B$23:$U$23,0)))*(VLOOKUP($B117,INDIRECT($B$5&amp;"生成成长"),3))*(VLOOKUP($B$5,标准坦克设计!$B$14:$K$20,9)/30))</f>
        <v>7.9786076118930795</v>
      </c>
      <c r="FA117" s="173">
        <f ca="1">(VLOOKUP(FA$72,INDIRECT($C$5&amp;"生成成长"),2))/((VLOOKUP($B117,INDIRECT($B$5&amp;"生成成长"),4))/(VLOOKUP(FA$72,INDIRECT($C$5&amp;"生成成长"),5))*(VLOOKUP($B$5,标准坦克设计!$B$24:$U$30,MATCH("对"&amp;LEFT($C$5,2)&amp;"输出",标准坦克设计!$B$23:$U$23,0)))*(VLOOKUP($B117,INDIRECT($B$5&amp;"生成成长"),3))*(VLOOKUP($B$5,标准坦克设计!$B$14:$K$20,9)/30))</f>
        <v>8.4924737018882688</v>
      </c>
      <c r="FB117" s="173">
        <f ca="1">(VLOOKUP(FB$72,INDIRECT($C$5&amp;"生成成长"),2))/((VLOOKUP($B117,INDIRECT($B$5&amp;"生成成长"),4))/(VLOOKUP(FB$72,INDIRECT($C$5&amp;"生成成长"),5))*(VLOOKUP($B$5,标准坦克设计!$B$24:$U$30,MATCH("对"&amp;LEFT($C$5,2)&amp;"输出",标准坦克设计!$B$23:$U$23,0)))*(VLOOKUP($B117,INDIRECT($B$5&amp;"生成成长"),3))*(VLOOKUP($B$5,标准坦克设计!$B$14:$K$20,9)/30))</f>
        <v>9.0223753294435962</v>
      </c>
      <c r="FC117" s="173">
        <f ca="1">(VLOOKUP(FC$72,INDIRECT($C$5&amp;"生成成长"),2))/((VLOOKUP($B117,INDIRECT($B$5&amp;"生成成长"),4))/(VLOOKUP(FC$72,INDIRECT($C$5&amp;"生成成长"),5))*(VLOOKUP($B$5,标准坦克设计!$B$24:$U$30,MATCH("对"&amp;LEFT($C$5,2)&amp;"输出",标准坦克设计!$B$23:$U$23,0)))*(VLOOKUP($B117,INDIRECT($B$5&amp;"生成成长"),3))*(VLOOKUP($B$5,标准坦克设计!$B$14:$K$20,9)/30))</f>
        <v>9.5683124945590503</v>
      </c>
      <c r="FD117" s="173">
        <f ca="1">(VLOOKUP(FD$72,INDIRECT($C$5&amp;"生成成长"),2))/((VLOOKUP($B117,INDIRECT($B$5&amp;"生成成长"),4))/(VLOOKUP(FD$72,INDIRECT($C$5&amp;"生成成长"),5))*(VLOOKUP($B$5,标准坦克设计!$B$24:$U$30,MATCH("对"&amp;LEFT($C$5,2)&amp;"输出",标准坦克设计!$B$23:$U$23,0)))*(VLOOKUP($B117,INDIRECT($B$5&amp;"生成成长"),3))*(VLOOKUP($B$5,标准坦克设计!$B$14:$K$20,9)/30))</f>
        <v>10.130285197234643</v>
      </c>
      <c r="FE117" s="173">
        <f ca="1">(VLOOKUP(FE$72,INDIRECT($C$5&amp;"生成成长"),2))/((VLOOKUP($B117,INDIRECT($B$5&amp;"生成成长"),4))/(VLOOKUP(FE$72,INDIRECT($C$5&amp;"生成成长"),5))*(VLOOKUP($B$5,标准坦克设计!$B$24:$U$30,MATCH("对"&amp;LEFT($C$5,2)&amp;"输出",标准坦克设计!$B$23:$U$23,0)))*(VLOOKUP($B117,INDIRECT($B$5&amp;"生成成长"),3))*(VLOOKUP($B$5,标准坦克设计!$B$14:$K$20,9)/30))</f>
        <v>10.815108671135389</v>
      </c>
      <c r="FF117" s="173">
        <f ca="1">(VLOOKUP(FF$72,INDIRECT($C$5&amp;"生成成长"),2))/((VLOOKUP($B117,INDIRECT($B$5&amp;"生成成长"),4))/(VLOOKUP(FF$72,INDIRECT($C$5&amp;"生成成长"),5))*(VLOOKUP($B$5,标准坦克设计!$B$24:$U$30,MATCH("对"&amp;LEFT($C$5,2)&amp;"输出",标准坦克设计!$B$23:$U$23,0)))*(VLOOKUP($B117,INDIRECT($B$5&amp;"生成成长"),3))*(VLOOKUP($B$5,标准坦克设计!$B$14:$K$20,9)/30))</f>
        <v>11.522328887578801</v>
      </c>
      <c r="FG117" s="173">
        <f ca="1">(VLOOKUP(FG$72,INDIRECT($C$5&amp;"生成成长"),2))/((VLOOKUP($B117,INDIRECT($B$5&amp;"生成成长"),4))/(VLOOKUP(FG$72,INDIRECT($C$5&amp;"生成成长"),5))*(VLOOKUP($B$5,标准坦克设计!$B$24:$U$30,MATCH("对"&amp;LEFT($C$5,2)&amp;"输出",标准坦克设计!$B$23:$U$23,0)))*(VLOOKUP($B117,INDIRECT($B$5&amp;"生成成长"),3))*(VLOOKUP($B$5,标准坦克设计!$B$14:$K$20,9)/30))</f>
        <v>12.25194584656488</v>
      </c>
      <c r="FH117" s="173">
        <f ca="1">(VLOOKUP(FH$72,INDIRECT($C$5&amp;"生成成长"),2))/((VLOOKUP($B117,INDIRECT($B$5&amp;"生成成长"),4))/(VLOOKUP(FH$72,INDIRECT($C$5&amp;"生成成长"),5))*(VLOOKUP($B$5,标准坦克设计!$B$24:$U$30,MATCH("对"&amp;LEFT($C$5,2)&amp;"输出",标准坦克设计!$B$23:$U$23,0)))*(VLOOKUP($B117,INDIRECT($B$5&amp;"生成成长"),3))*(VLOOKUP($B$5,标准坦克设计!$B$14:$K$20,9)/30))</f>
        <v>13.003959548093624</v>
      </c>
      <c r="FI117" s="173">
        <f ca="1">(VLOOKUP(FI$72,INDIRECT($C$5&amp;"生成成长"),2))/((VLOOKUP($B117,INDIRECT($B$5&amp;"生成成长"),4))/(VLOOKUP(FI$72,INDIRECT($C$5&amp;"生成成长"),5))*(VLOOKUP($B$5,标准坦克设计!$B$24:$U$30,MATCH("对"&amp;LEFT($C$5,2)&amp;"输出",标准坦克设计!$B$23:$U$23,0)))*(VLOOKUP($B117,INDIRECT($B$5&amp;"生成成长"),3))*(VLOOKUP($B$5,标准坦克设计!$B$14:$K$20,9)/30))</f>
        <v>13.778369992165034</v>
      </c>
      <c r="FJ117" s="173">
        <f ca="1">(VLOOKUP(FJ$72,INDIRECT($C$5&amp;"生成成长"),2))/((VLOOKUP($B117,INDIRECT($B$5&amp;"生成成长"),4))/(VLOOKUP(FJ$72,INDIRECT($C$5&amp;"生成成长"),5))*(VLOOKUP($B$5,标准坦克设计!$B$24:$U$30,MATCH("对"&amp;LEFT($C$5,2)&amp;"输出",标准坦克设计!$B$23:$U$23,0)))*(VLOOKUP($B117,INDIRECT($B$5&amp;"生成成长"),3))*(VLOOKUP($B$5,标准坦克设计!$B$14:$K$20,9)/30))</f>
        <v>14.575177178779109</v>
      </c>
      <c r="FK117" s="173">
        <f ca="1">(VLOOKUP(FK$72,INDIRECT($C$5&amp;"生成成长"),2))/((VLOOKUP($B117,INDIRECT($B$5&amp;"生成成长"),4))/(VLOOKUP(FK$72,INDIRECT($C$5&amp;"生成成长"),5))*(VLOOKUP($B$5,标准坦克设计!$B$24:$U$30,MATCH("对"&amp;LEFT($C$5,2)&amp;"输出",标准坦克设计!$B$23:$U$23,0)))*(VLOOKUP($B117,INDIRECT($B$5&amp;"生成成长"),3))*(VLOOKUP($B$5,标准坦克设计!$B$14:$K$20,9)/30))</f>
        <v>15.39438110793585</v>
      </c>
    </row>
    <row r="118" spans="1:167" x14ac:dyDescent="0.15">
      <c r="A118" s="171" t="str">
        <f t="shared" si="11"/>
        <v>T2中品质1级</v>
      </c>
      <c r="B118" s="172">
        <v>20201</v>
      </c>
      <c r="C118" s="173">
        <f ca="1">(VLOOKUP(C$72,INDIRECT($C$5&amp;"生成成长"),2))/((VLOOKUP($B118,INDIRECT($B$5&amp;"生成成长"),4))/(VLOOKUP(C$72,INDIRECT($C$5&amp;"生成成长"),5))*(VLOOKUP($B$5,标准坦克设计!$B$24:$U$30,MATCH("对"&amp;LEFT($C$5,2)&amp;"输出",标准坦克设计!$B$23:$U$23,0)))*(VLOOKUP($B118,INDIRECT($B$5&amp;"生成成长"),3))*(VLOOKUP($B$5,标准坦克设计!$B$14:$K$20,9)/30))</f>
        <v>6.5205170754016049</v>
      </c>
      <c r="D118" s="173">
        <f ca="1">(VLOOKUP(D$72,INDIRECT($C$5&amp;"生成成长"),2))/((VLOOKUP($B118,INDIRECT($B$5&amp;"生成成长"),4))/(VLOOKUP(D$72,INDIRECT($C$5&amp;"生成成长"),5))*(VLOOKUP($B$5,标准坦克设计!$B$24:$U$30,MATCH("对"&amp;LEFT($C$5,2)&amp;"输出",标准坦克设计!$B$23:$U$23,0)))*(VLOOKUP($B118,INDIRECT($B$5&amp;"生成成长"),3))*(VLOOKUP($B$5,标准坦克设计!$B$14:$K$20,9)/30))</f>
        <v>7.3264529859212431</v>
      </c>
      <c r="E118" s="173">
        <f ca="1">(VLOOKUP(E$72,INDIRECT($C$5&amp;"生成成长"),2))/((VLOOKUP($B118,INDIRECT($B$5&amp;"生成成长"),4))/(VLOOKUP(E$72,INDIRECT($C$5&amp;"生成成长"),5))*(VLOOKUP($B$5,标准坦克设计!$B$24:$U$30,MATCH("对"&amp;LEFT($C$5,2)&amp;"输出",标准坦克设计!$B$23:$U$23,0)))*(VLOOKUP($B118,INDIRECT($B$5&amp;"生成成长"),3))*(VLOOKUP($B$5,标准坦克设计!$B$14:$K$20,9)/30))</f>
        <v>8.1793366193837738</v>
      </c>
      <c r="F118" s="173">
        <f ca="1">(VLOOKUP(F$72,INDIRECT($C$5&amp;"生成成长"),2))/((VLOOKUP($B118,INDIRECT($B$5&amp;"生成成长"),4))/(VLOOKUP(F$72,INDIRECT($C$5&amp;"生成成长"),5))*(VLOOKUP($B$5,标准坦克设计!$B$24:$U$30,MATCH("对"&amp;LEFT($C$5,2)&amp;"输出",标准坦克设计!$B$23:$U$23,0)))*(VLOOKUP($B118,INDIRECT($B$5&amp;"生成成长"),3))*(VLOOKUP($B$5,标准坦克设计!$B$14:$K$20,9)/30))</f>
        <v>9.0791679757891952</v>
      </c>
      <c r="G118" s="173">
        <f ca="1">(VLOOKUP(G$72,INDIRECT($C$5&amp;"生成成长"),2))/((VLOOKUP($B118,INDIRECT($B$5&amp;"生成成长"),4))/(VLOOKUP(G$72,INDIRECT($C$5&amp;"生成成长"),5))*(VLOOKUP($B$5,标准坦克设计!$B$24:$U$30,MATCH("对"&amp;LEFT($C$5,2)&amp;"输出",标准坦克设计!$B$23:$U$23,0)))*(VLOOKUP($B118,INDIRECT($B$5&amp;"生成成长"),3))*(VLOOKUP($B$5,标准坦克设计!$B$14:$K$20,9)/30))</f>
        <v>10.025947055137507</v>
      </c>
      <c r="H118" s="173">
        <f ca="1">(VLOOKUP(H$72,INDIRECT($C$5&amp;"生成成长"),2))/((VLOOKUP($B118,INDIRECT($B$5&amp;"生成成长"),4))/(VLOOKUP(H$72,INDIRECT($C$5&amp;"生成成长"),5))*(VLOOKUP($B$5,标准坦克设计!$B$24:$U$30,MATCH("对"&amp;LEFT($C$5,2)&amp;"输出",标准坦克设计!$B$23:$U$23,0)))*(VLOOKUP($B118,INDIRECT($B$5&amp;"生成成长"),3))*(VLOOKUP($B$5,标准坦克设计!$B$14:$K$20,9)/30))</f>
        <v>8.774007776660401</v>
      </c>
      <c r="I118" s="173">
        <f ca="1">(VLOOKUP(I$72,INDIRECT($C$5&amp;"生成成长"),2))/((VLOOKUP($B118,INDIRECT($B$5&amp;"生成成长"),4))/(VLOOKUP(I$72,INDIRECT($C$5&amp;"生成成长"),5))*(VLOOKUP($B$5,标准坦克设计!$B$24:$U$30,MATCH("对"&amp;LEFT($C$5,2)&amp;"输出",标准坦克设计!$B$23:$U$23,0)))*(VLOOKUP($B118,INDIRECT($B$5&amp;"生成成长"),3))*(VLOOKUP($B$5,标准坦克设计!$B$14:$K$20,9)/30))</f>
        <v>10.025947055137507</v>
      </c>
      <c r="J118" s="173">
        <f ca="1">(VLOOKUP(J$72,INDIRECT($C$5&amp;"生成成长"),2))/((VLOOKUP($B118,INDIRECT($B$5&amp;"生成成长"),4))/(VLOOKUP(J$72,INDIRECT($C$5&amp;"生成成长"),5))*(VLOOKUP($B$5,标准坦克设计!$B$24:$U$30,MATCH("对"&amp;LEFT($C$5,2)&amp;"输出",标准坦克设计!$B$23:$U$23,0)))*(VLOOKUP($B118,INDIRECT($B$5&amp;"生成成长"),3))*(VLOOKUP($B$5,标准坦克设计!$B$14:$K$20,9)/30))</f>
        <v>11.361348952179757</v>
      </c>
      <c r="K118" s="173">
        <f ca="1">(VLOOKUP(K$72,INDIRECT($C$5&amp;"生成成长"),2))/((VLOOKUP($B118,INDIRECT($B$5&amp;"生成成长"),4))/(VLOOKUP(K$72,INDIRECT($C$5&amp;"生成成长"),5))*(VLOOKUP($B$5,标准坦克设计!$B$24:$U$30,MATCH("对"&amp;LEFT($C$5,2)&amp;"输出",标准坦克设计!$B$23:$U$23,0)))*(VLOOKUP($B118,INDIRECT($B$5&amp;"生成成长"),3))*(VLOOKUP($B$5,标准坦克设计!$B$14:$K$20,9)/30))</f>
        <v>12.780213467787148</v>
      </c>
      <c r="L118" s="173">
        <f ca="1">(VLOOKUP(L$72,INDIRECT($C$5&amp;"生成成长"),2))/((VLOOKUP($B118,INDIRECT($B$5&amp;"生成成长"),4))/(VLOOKUP(L$72,INDIRECT($C$5&amp;"生成成长"),5))*(VLOOKUP($B$5,标准坦克设计!$B$24:$U$30,MATCH("对"&amp;LEFT($C$5,2)&amp;"输出",标准坦克设计!$B$23:$U$23,0)))*(VLOOKUP($B118,INDIRECT($B$5&amp;"生成成长"),3))*(VLOOKUP($B$5,标准坦克设计!$B$14:$K$20,9)/30))</f>
        <v>14.282540601959674</v>
      </c>
      <c r="M118" s="173">
        <f ca="1">(VLOOKUP(M$72,INDIRECT($C$5&amp;"生成成长"),2))/((VLOOKUP($B118,INDIRECT($B$5&amp;"生成成长"),4))/(VLOOKUP(M$72,INDIRECT($C$5&amp;"生成成长"),5))*(VLOOKUP($B$5,标准坦克设计!$B$24:$U$30,MATCH("对"&amp;LEFT($C$5,2)&amp;"输出",标准坦克设计!$B$23:$U$23,0)))*(VLOOKUP($B118,INDIRECT($B$5&amp;"生成成长"),3))*(VLOOKUP($B$5,标准坦克设计!$B$14:$K$20,9)/30))</f>
        <v>15.868330354697347</v>
      </c>
      <c r="N118" s="173">
        <f ca="1">(VLOOKUP(N$72,INDIRECT($C$5&amp;"生成成长"),2))/((VLOOKUP($B118,INDIRECT($B$5&amp;"生成成长"),4))/(VLOOKUP(N$72,INDIRECT($C$5&amp;"生成成长"),5))*(VLOOKUP($B$5,标准坦克设计!$B$24:$U$30,MATCH("对"&amp;LEFT($C$5,2)&amp;"输出",标准坦克设计!$B$23:$U$23,0)))*(VLOOKUP($B118,INDIRECT($B$5&amp;"生成成长"),3))*(VLOOKUP($B$5,标准坦克设计!$B$14:$K$20,9)/30))</f>
        <v>17.537582726000156</v>
      </c>
      <c r="O118" s="173">
        <f ca="1">(VLOOKUP(O$72,INDIRECT($C$5&amp;"生成成长"),2))/((VLOOKUP($B118,INDIRECT($B$5&amp;"生成成长"),4))/(VLOOKUP(O$72,INDIRECT($C$5&amp;"生成成长"),5))*(VLOOKUP($B$5,标准坦克设计!$B$24:$U$30,MATCH("对"&amp;LEFT($C$5,2)&amp;"输出",标准坦克设计!$B$23:$U$23,0)))*(VLOOKUP($B118,INDIRECT($B$5&amp;"生成成长"),3))*(VLOOKUP($B$5,标准坦克设计!$B$14:$K$20,9)/30))</f>
        <v>13.33380536748874</v>
      </c>
      <c r="P118" s="173">
        <f ca="1">(VLOOKUP(P$72,INDIRECT($C$5&amp;"生成成长"),2))/((VLOOKUP($B118,INDIRECT($B$5&amp;"生成成长"),4))/(VLOOKUP(P$72,INDIRECT($C$5&amp;"生成成长"),5))*(VLOOKUP($B$5,标准坦克设计!$B$24:$U$30,MATCH("对"&amp;LEFT($C$5,2)&amp;"输出",标准坦克设计!$B$23:$U$23,0)))*(VLOOKUP($B118,INDIRECT($B$5&amp;"生成成长"),3))*(VLOOKUP($B$5,标准坦克设计!$B$14:$K$20,9)/30))</f>
        <v>15.065002651007868</v>
      </c>
      <c r="Q118" s="173">
        <f ca="1">(VLOOKUP(Q$72,INDIRECT($C$5&amp;"生成成长"),2))/((VLOOKUP($B118,INDIRECT($B$5&amp;"生成成长"),4))/(VLOOKUP(Q$72,INDIRECT($C$5&amp;"生成成长"),5))*(VLOOKUP($B$5,标准坦克设计!$B$24:$U$30,MATCH("对"&amp;LEFT($C$5,2)&amp;"输出",标准坦克设计!$B$23:$U$23,0)))*(VLOOKUP($B118,INDIRECT($B$5&amp;"生成成长"),3))*(VLOOKUP($B$5,标准坦克设计!$B$14:$K$20,9)/30))</f>
        <v>16.9018323111485</v>
      </c>
      <c r="R118" s="173">
        <f ca="1">(VLOOKUP(R$72,INDIRECT($C$5&amp;"生成成长"),2))/((VLOOKUP($B118,INDIRECT($B$5&amp;"生成成长"),4))/(VLOOKUP(R$72,INDIRECT($C$5&amp;"生成成长"),5))*(VLOOKUP($B$5,标准坦克设计!$B$24:$U$30,MATCH("对"&amp;LEFT($C$5,2)&amp;"输出",标准坦克设计!$B$23:$U$23,0)))*(VLOOKUP($B118,INDIRECT($B$5&amp;"生成成长"),3))*(VLOOKUP($B$5,标准坦克设计!$B$14:$K$20,9)/30))</f>
        <v>18.84429434791064</v>
      </c>
      <c r="S118" s="173">
        <f ca="1">(VLOOKUP(S$72,INDIRECT($C$5&amp;"生成成长"),2))/((VLOOKUP($B118,INDIRECT($B$5&amp;"生成成长"),4))/(VLOOKUP(S$72,INDIRECT($C$5&amp;"生成成长"),5))*(VLOOKUP($B$5,标准坦克设计!$B$24:$U$30,MATCH("对"&amp;LEFT($C$5,2)&amp;"输出",标准坦克设计!$B$23:$U$23,0)))*(VLOOKUP($B118,INDIRECT($B$5&amp;"生成成长"),3))*(VLOOKUP($B$5,标准坦克设计!$B$14:$K$20,9)/30))</f>
        <v>20.892388761294285</v>
      </c>
      <c r="T118" s="173">
        <f ca="1">(VLOOKUP(T$72,INDIRECT($C$5&amp;"生成成长"),2))/((VLOOKUP($B118,INDIRECT($B$5&amp;"生成成长"),4))/(VLOOKUP(T$72,INDIRECT($C$5&amp;"生成成长"),5))*(VLOOKUP($B$5,标准坦克设计!$B$24:$U$30,MATCH("对"&amp;LEFT($C$5,2)&amp;"输出",标准坦克设计!$B$23:$U$23,0)))*(VLOOKUP($B118,INDIRECT($B$5&amp;"生成成长"),3))*(VLOOKUP($B$5,标准坦克设计!$B$14:$K$20,9)/30))</f>
        <v>23.046115551299433</v>
      </c>
      <c r="U118" s="173">
        <f ca="1">(VLOOKUP(U$72,INDIRECT($C$5&amp;"生成成长"),2))/((VLOOKUP($B118,INDIRECT($B$5&amp;"生成成长"),4))/(VLOOKUP(U$72,INDIRECT($C$5&amp;"生成成长"),5))*(VLOOKUP($B$5,标准坦克设计!$B$24:$U$30,MATCH("对"&amp;LEFT($C$5,2)&amp;"输出",标准坦克设计!$B$23:$U$23,0)))*(VLOOKUP($B118,INDIRECT($B$5&amp;"生成成长"),3))*(VLOOKUP($B$5,标准坦克设计!$B$14:$K$20,9)/30))</f>
        <v>25.305474717926089</v>
      </c>
      <c r="V118" s="173">
        <f ca="1">(VLOOKUP(V$72,INDIRECT($C$5&amp;"生成成长"),2))/((VLOOKUP($B118,INDIRECT($B$5&amp;"生成成长"),4))/(VLOOKUP(V$72,INDIRECT($C$5&amp;"生成成长"),5))*(VLOOKUP($B$5,标准坦克设计!$B$24:$U$30,MATCH("对"&amp;LEFT($C$5,2)&amp;"输出",标准坦克设计!$B$23:$U$23,0)))*(VLOOKUP($B118,INDIRECT($B$5&amp;"生成成长"),3))*(VLOOKUP($B$5,标准坦克设计!$B$14:$K$20,9)/30))</f>
        <v>27.670466261174251</v>
      </c>
      <c r="W118" s="173">
        <f ca="1">(VLOOKUP(W$72,INDIRECT($C$5&amp;"生成成长"),2))/((VLOOKUP($B118,INDIRECT($B$5&amp;"生成成长"),4))/(VLOOKUP(W$72,INDIRECT($C$5&amp;"生成成长"),5))*(VLOOKUP($B$5,标准坦克设计!$B$24:$U$30,MATCH("对"&amp;LEFT($C$5,2)&amp;"输出",标准坦克设计!$B$23:$U$23,0)))*(VLOOKUP($B118,INDIRECT($B$5&amp;"生成成长"),3))*(VLOOKUP($B$5,标准坦克设计!$B$14:$K$20,9)/30))</f>
        <v>30.141090181043918</v>
      </c>
      <c r="X118" s="173">
        <f ca="1">(VLOOKUP(X$72,INDIRECT($C$5&amp;"生成成长"),2))/((VLOOKUP($B118,INDIRECT($B$5&amp;"生成成长"),4))/(VLOOKUP(X$72,INDIRECT($C$5&amp;"生成成长"),5))*(VLOOKUP($B$5,标准坦克设计!$B$24:$U$30,MATCH("对"&amp;LEFT($C$5,2)&amp;"输出",标准坦克设计!$B$23:$U$23,0)))*(VLOOKUP($B118,INDIRECT($B$5&amp;"生成成长"),3))*(VLOOKUP($B$5,标准坦克设计!$B$14:$K$20,9)/30))</f>
        <v>21.836559633812435</v>
      </c>
      <c r="Y118" s="173">
        <f ca="1">(VLOOKUP(Y$72,INDIRECT($C$5&amp;"生成成长"),2))/((VLOOKUP($B118,INDIRECT($B$5&amp;"生成成长"),4))/(VLOOKUP(Y$72,INDIRECT($C$5&amp;"生成成长"),5))*(VLOOKUP($B$5,标准坦克设计!$B$24:$U$30,MATCH("对"&amp;LEFT($C$5,2)&amp;"输出",标准坦克设计!$B$23:$U$23,0)))*(VLOOKUP($B118,INDIRECT($B$5&amp;"生成成长"),3))*(VLOOKUP($B$5,标准坦克设计!$B$14:$K$20,9)/30))</f>
        <v>24.288274054163441</v>
      </c>
      <c r="Z118" s="173">
        <f ca="1">(VLOOKUP(Z$72,INDIRECT($C$5&amp;"生成成长"),2))/((VLOOKUP($B118,INDIRECT($B$5&amp;"生成成长"),4))/(VLOOKUP(Z$72,INDIRECT($C$5&amp;"生成成长"),5))*(VLOOKUP($B$5,标准坦克设计!$B$24:$U$30,MATCH("对"&amp;LEFT($C$5,2)&amp;"输出",标准坦克设计!$B$23:$U$23,0)))*(VLOOKUP($B118,INDIRECT($B$5&amp;"生成成长"),3))*(VLOOKUP($B$5,标准坦克设计!$B$14:$K$20,9)/30))</f>
        <v>26.870398816022476</v>
      </c>
      <c r="AA118" s="173">
        <f ca="1">(VLOOKUP(AA$72,INDIRECT($C$5&amp;"生成成长"),2))/((VLOOKUP($B118,INDIRECT($B$5&amp;"生成成长"),4))/(VLOOKUP(AA$72,INDIRECT($C$5&amp;"生成成长"),5))*(VLOOKUP($B$5,标准坦克设计!$B$24:$U$30,MATCH("对"&amp;LEFT($C$5,2)&amp;"输出",标准坦克设计!$B$23:$U$23,0)))*(VLOOKUP($B118,INDIRECT($B$5&amp;"生成成长"),3))*(VLOOKUP($B$5,标准坦克设计!$B$14:$K$20,9)/30))</f>
        <v>29.582933919389539</v>
      </c>
      <c r="AB118" s="173">
        <f ca="1">(VLOOKUP(AB$72,INDIRECT($C$5&amp;"生成成长"),2))/((VLOOKUP($B118,INDIRECT($B$5&amp;"生成成长"),4))/(VLOOKUP(AB$72,INDIRECT($C$5&amp;"生成成长"),5))*(VLOOKUP($B$5,标准坦克设计!$B$24:$U$30,MATCH("对"&amp;LEFT($C$5,2)&amp;"输出",标准坦克设计!$B$23:$U$23,0)))*(VLOOKUP($B118,INDIRECT($B$5&amp;"生成成长"),3))*(VLOOKUP($B$5,标准坦克设计!$B$14:$K$20,9)/30))</f>
        <v>32.425879364264638</v>
      </c>
      <c r="AC118" s="173">
        <f ca="1">(VLOOKUP(AC$72,INDIRECT($C$5&amp;"生成成长"),2))/((VLOOKUP($B118,INDIRECT($B$5&amp;"生成成长"),4))/(VLOOKUP(AC$72,INDIRECT($C$5&amp;"生成成长"),5))*(VLOOKUP($B$5,标准坦克设计!$B$24:$U$30,MATCH("对"&amp;LEFT($C$5,2)&amp;"输出",标准坦克设计!$B$23:$U$23,0)))*(VLOOKUP($B118,INDIRECT($B$5&amp;"生成成长"),3))*(VLOOKUP($B$5,标准坦克设计!$B$14:$K$20,9)/30))</f>
        <v>35.399235150647769</v>
      </c>
      <c r="AD118" s="173">
        <f ca="1">(VLOOKUP(AD$72,INDIRECT($C$5&amp;"生成成长"),2))/((VLOOKUP($B118,INDIRECT($B$5&amp;"生成成长"),4))/(VLOOKUP(AD$72,INDIRECT($C$5&amp;"生成成长"),5))*(VLOOKUP($B$5,标准坦克设计!$B$24:$U$30,MATCH("对"&amp;LEFT($C$5,2)&amp;"输出",标准坦克设计!$B$23:$U$23,0)))*(VLOOKUP($B118,INDIRECT($B$5&amp;"生成成长"),3))*(VLOOKUP($B$5,标准坦克设计!$B$14:$K$20,9)/30))</f>
        <v>38.503001278538939</v>
      </c>
      <c r="AE118" s="173">
        <f ca="1">(VLOOKUP(AE$72,INDIRECT($C$5&amp;"生成成长"),2))/((VLOOKUP($B118,INDIRECT($B$5&amp;"生成成长"),4))/(VLOOKUP(AE$72,INDIRECT($C$5&amp;"生成成长"),5))*(VLOOKUP($B$5,标准坦克设计!$B$24:$U$30,MATCH("对"&amp;LEFT($C$5,2)&amp;"输出",标准坦克设计!$B$23:$U$23,0)))*(VLOOKUP($B118,INDIRECT($B$5&amp;"生成成长"),3))*(VLOOKUP($B$5,标准坦克设计!$B$14:$K$20,9)/30))</f>
        <v>41.737177747938134</v>
      </c>
      <c r="AF118" s="173">
        <f ca="1">(VLOOKUP(AF$72,INDIRECT($C$5&amp;"生成成长"),2))/((VLOOKUP($B118,INDIRECT($B$5&amp;"生成成长"),4))/(VLOOKUP(AF$72,INDIRECT($C$5&amp;"生成成长"),5))*(VLOOKUP($B$5,标准坦克设计!$B$24:$U$30,MATCH("对"&amp;LEFT($C$5,2)&amp;"输出",标准坦克设计!$B$23:$U$23,0)))*(VLOOKUP($B118,INDIRECT($B$5&amp;"生成成长"),3))*(VLOOKUP($B$5,标准坦克设计!$B$14:$K$20,9)/30))</f>
        <v>45.10176455884536</v>
      </c>
      <c r="AG118" s="173">
        <f ca="1">(VLOOKUP(AG$72,INDIRECT($C$5&amp;"生成成长"),2))/((VLOOKUP($B118,INDIRECT($B$5&amp;"生成成长"),4))/(VLOOKUP(AG$72,INDIRECT($C$5&amp;"生成成长"),5))*(VLOOKUP($B$5,标准坦克设计!$B$24:$U$30,MATCH("对"&amp;LEFT($C$5,2)&amp;"输出",标准坦克设计!$B$23:$U$23,0)))*(VLOOKUP($B118,INDIRECT($B$5&amp;"生成成长"),3))*(VLOOKUP($B$5,标准坦克设计!$B$14:$K$20,9)/30))</f>
        <v>48.596761711260619</v>
      </c>
      <c r="AH118" s="173">
        <f ca="1">(VLOOKUP(AH$72,INDIRECT($C$5&amp;"生成成长"),2))/((VLOOKUP($B118,INDIRECT($B$5&amp;"生成成长"),4))/(VLOOKUP(AH$72,INDIRECT($C$5&amp;"生成成长"),5))*(VLOOKUP($B$5,标准坦克设计!$B$24:$U$30,MATCH("对"&amp;LEFT($C$5,2)&amp;"输出",标准坦克设计!$B$23:$U$23,0)))*(VLOOKUP($B118,INDIRECT($B$5&amp;"生成成长"),3))*(VLOOKUP($B$5,标准坦克设计!$B$14:$K$20,9)/30))</f>
        <v>52.222169205183917</v>
      </c>
      <c r="AI118" s="173">
        <f ca="1">(VLOOKUP(AI$72,INDIRECT($C$5&amp;"生成成长"),2))/((VLOOKUP($B118,INDIRECT($B$5&amp;"生成成长"),4))/(VLOOKUP(AI$72,INDIRECT($C$5&amp;"生成成长"),5))*(VLOOKUP($B$5,标准坦克设计!$B$24:$U$30,MATCH("对"&amp;LEFT($C$5,2)&amp;"输出",标准坦克设计!$B$23:$U$23,0)))*(VLOOKUP($B118,INDIRECT($B$5&amp;"生成成长"),3))*(VLOOKUP($B$5,标准坦克设计!$B$14:$K$20,9)/30))</f>
        <v>36.934816921904854</v>
      </c>
      <c r="AJ118" s="173">
        <f ca="1">(VLOOKUP(AJ$72,INDIRECT($C$5&amp;"生成成长"),2))/((VLOOKUP($B118,INDIRECT($B$5&amp;"生成成长"),4))/(VLOOKUP(AJ$72,INDIRECT($C$5&amp;"生成成长"),5))*(VLOOKUP($B$5,标准坦克设计!$B$24:$U$30,MATCH("对"&amp;LEFT($C$5,2)&amp;"输出",标准坦克设计!$B$23:$U$23,0)))*(VLOOKUP($B118,INDIRECT($B$5&amp;"生成成长"),3))*(VLOOKUP($B$5,标准坦克设计!$B$14:$K$20,9)/30))</f>
        <v>40.427857919197493</v>
      </c>
      <c r="AK118" s="173">
        <f ca="1">(VLOOKUP(AK$72,INDIRECT($C$5&amp;"生成成长"),2))/((VLOOKUP($B118,INDIRECT($B$5&amp;"生成成长"),4))/(VLOOKUP(AK$72,INDIRECT($C$5&amp;"生成成长"),5))*(VLOOKUP($B$5,标准坦克设计!$B$24:$U$30,MATCH("对"&amp;LEFT($C$5,2)&amp;"输出",标准坦克设计!$B$23:$U$23,0)))*(VLOOKUP($B118,INDIRECT($B$5&amp;"生成成长"),3))*(VLOOKUP($B$5,标准坦克设计!$B$14:$K$20,9)/30))</f>
        <v>44.078695429714848</v>
      </c>
      <c r="AL118" s="173">
        <f ca="1">(VLOOKUP(AL$72,INDIRECT($C$5&amp;"生成成长"),2))/((VLOOKUP($B118,INDIRECT($B$5&amp;"生成成长"),4))/(VLOOKUP(AL$72,INDIRECT($C$5&amp;"生成成长"),5))*(VLOOKUP($B$5,标准坦克设计!$B$24:$U$30,MATCH("对"&amp;LEFT($C$5,2)&amp;"输出",标准坦克设计!$B$23:$U$23,0)))*(VLOOKUP($B118,INDIRECT($B$5&amp;"生成成长"),3))*(VLOOKUP($B$5,标准坦克设计!$B$14:$K$20,9)/30))</f>
        <v>47.887329453456935</v>
      </c>
      <c r="AM118" s="173">
        <f ca="1">(VLOOKUP(AM$72,INDIRECT($C$5&amp;"生成成长"),2))/((VLOOKUP($B118,INDIRECT($B$5&amp;"生成成长"),4))/(VLOOKUP(AM$72,INDIRECT($C$5&amp;"生成成长"),5))*(VLOOKUP($B$5,标准坦克设计!$B$24:$U$30,MATCH("对"&amp;LEFT($C$5,2)&amp;"输出",标准坦克设计!$B$23:$U$23,0)))*(VLOOKUP($B118,INDIRECT($B$5&amp;"生成成长"),3))*(VLOOKUP($B$5,标准坦克设计!$B$14:$K$20,9)/30))</f>
        <v>51.853759990423725</v>
      </c>
      <c r="AN118" s="173">
        <f ca="1">(VLOOKUP(AN$72,INDIRECT($C$5&amp;"生成成长"),2))/((VLOOKUP($B118,INDIRECT($B$5&amp;"生成成长"),4))/(VLOOKUP(AN$72,INDIRECT($C$5&amp;"生成成长"),5))*(VLOOKUP($B$5,标准坦克设计!$B$24:$U$30,MATCH("对"&amp;LEFT($C$5,2)&amp;"输出",标准坦克设计!$B$23:$U$23,0)))*(VLOOKUP($B118,INDIRECT($B$5&amp;"生成成长"),3))*(VLOOKUP($B$5,标准坦克设计!$B$14:$K$20,9)/30))</f>
        <v>55.977987040615233</v>
      </c>
      <c r="AO118" s="173">
        <f ca="1">(VLOOKUP(AO$72,INDIRECT($C$5&amp;"生成成长"),2))/((VLOOKUP($B118,INDIRECT($B$5&amp;"生成成长"),4))/(VLOOKUP(AO$72,INDIRECT($C$5&amp;"生成成长"),5))*(VLOOKUP($B$5,标准坦克设计!$B$24:$U$30,MATCH("对"&amp;LEFT($C$5,2)&amp;"输出",标准坦克设计!$B$23:$U$23,0)))*(VLOOKUP($B118,INDIRECT($B$5&amp;"生成成长"),3))*(VLOOKUP($B$5,标准坦克设计!$B$14:$K$20,9)/30))</f>
        <v>60.260010604031471</v>
      </c>
      <c r="AP118" s="173">
        <f ca="1">(VLOOKUP(AP$72,INDIRECT($C$5&amp;"生成成长"),2))/((VLOOKUP($B118,INDIRECT($B$5&amp;"生成成长"),4))/(VLOOKUP(AP$72,INDIRECT($C$5&amp;"生成成长"),5))*(VLOOKUP($B$5,标准坦克设计!$B$24:$U$30,MATCH("对"&amp;LEFT($C$5,2)&amp;"输出",标准坦克设计!$B$23:$U$23,0)))*(VLOOKUP($B118,INDIRECT($B$5&amp;"生成成长"),3))*(VLOOKUP($B$5,标准坦克设计!$B$14:$K$20,9)/30))</f>
        <v>64.69983068067242</v>
      </c>
      <c r="AQ118" s="173">
        <f ca="1">(VLOOKUP(AQ$72,INDIRECT($C$5&amp;"生成成长"),2))/((VLOOKUP($B118,INDIRECT($B$5&amp;"生成成长"),4))/(VLOOKUP(AQ$72,INDIRECT($C$5&amp;"生成成长"),5))*(VLOOKUP($B$5,标准坦克设计!$B$24:$U$30,MATCH("对"&amp;LEFT($C$5,2)&amp;"输出",标准坦克设计!$B$23:$U$23,0)))*(VLOOKUP($B118,INDIRECT($B$5&amp;"生成成长"),3))*(VLOOKUP($B$5,标准坦克设计!$B$14:$K$20,9)/30))</f>
        <v>69.297447270538086</v>
      </c>
      <c r="AR118" s="173">
        <f ca="1">(VLOOKUP(AR$72,INDIRECT($C$5&amp;"生成成长"),2))/((VLOOKUP($B118,INDIRECT($B$5&amp;"生成成长"),4))/(VLOOKUP(AR$72,INDIRECT($C$5&amp;"生成成长"),5))*(VLOOKUP($B$5,标准坦克设计!$B$24:$U$30,MATCH("对"&amp;LEFT($C$5,2)&amp;"输出",标准坦克设计!$B$23:$U$23,0)))*(VLOOKUP($B118,INDIRECT($B$5&amp;"生成成长"),3))*(VLOOKUP($B$5,标准坦克设计!$B$14:$K$20,9)/30))</f>
        <v>74.052860373628491</v>
      </c>
      <c r="AS118" s="173">
        <f ca="1">(VLOOKUP(AS$72,INDIRECT($C$5&amp;"生成成长"),2))/((VLOOKUP($B118,INDIRECT($B$5&amp;"生成成长"),4))/(VLOOKUP(AS$72,INDIRECT($C$5&amp;"生成成长"),5))*(VLOOKUP($B$5,标准坦克设计!$B$24:$U$30,MATCH("对"&amp;LEFT($C$5,2)&amp;"输出",标准坦克设计!$B$23:$U$23,0)))*(VLOOKUP($B118,INDIRECT($B$5&amp;"生成成长"),3))*(VLOOKUP($B$5,标准坦克设计!$B$14:$K$20,9)/30))</f>
        <v>78.966069989943605</v>
      </c>
      <c r="AT118" s="173">
        <f ca="1">(VLOOKUP(AT$72,INDIRECT($C$5&amp;"生成成长"),2))/((VLOOKUP($B118,INDIRECT($B$5&amp;"生成成长"),4))/(VLOOKUP(AT$72,INDIRECT($C$5&amp;"生成成长"),5))*(VLOOKUP($B$5,标准坦克设计!$B$24:$U$30,MATCH("对"&amp;LEFT($C$5,2)&amp;"输出",标准坦克设计!$B$23:$U$23,0)))*(VLOOKUP($B118,INDIRECT($B$5&amp;"生成成长"),3))*(VLOOKUP($B$5,标准坦克设计!$B$14:$K$20,9)/30))</f>
        <v>84.037076119483444</v>
      </c>
      <c r="AU118" s="173">
        <f ca="1">(VLOOKUP(AU$72,INDIRECT($C$5&amp;"生成成长"),2))/((VLOOKUP($B118,INDIRECT($B$5&amp;"生成成长"),4))/(VLOOKUP(AU$72,INDIRECT($C$5&amp;"生成成长"),5))*(VLOOKUP($B$5,标准坦克设计!$B$24:$U$30,MATCH("对"&amp;LEFT($C$5,2)&amp;"输出",标准坦克设计!$B$23:$U$23,0)))*(VLOOKUP($B118,INDIRECT($B$5&amp;"生成成长"),3))*(VLOOKUP($B$5,标准坦克设计!$B$14:$K$20,9)/30))</f>
        <v>89.265878762247979</v>
      </c>
      <c r="AV118" s="173">
        <f ca="1">(VLOOKUP(AV$72,INDIRECT($C$5&amp;"生成成长"),2))/((VLOOKUP($B118,INDIRECT($B$5&amp;"生成成长"),4))/(VLOOKUP(AV$72,INDIRECT($C$5&amp;"生成成长"),5))*(VLOOKUP($B$5,标准坦克设计!$B$24:$U$30,MATCH("对"&amp;LEFT($C$5,2)&amp;"输出",标准坦克设计!$B$23:$U$23,0)))*(VLOOKUP($B118,INDIRECT($B$5&amp;"生成成长"),3))*(VLOOKUP($B$5,标准坦克设计!$B$14:$K$20,9)/30))</f>
        <v>9.0791679757891952</v>
      </c>
      <c r="AW118" s="173">
        <f ca="1">(VLOOKUP(AW$72,INDIRECT($C$5&amp;"生成成长"),2))/((VLOOKUP($B118,INDIRECT($B$5&amp;"生成成长"),4))/(VLOOKUP(AW$72,INDIRECT($C$5&amp;"生成成长"),5))*(VLOOKUP($B$5,标准坦克设计!$B$24:$U$30,MATCH("对"&amp;LEFT($C$5,2)&amp;"输出",标准坦克设计!$B$23:$U$23,0)))*(VLOOKUP($B118,INDIRECT($B$5&amp;"生成成长"),3))*(VLOOKUP($B$5,标准坦克设计!$B$14:$K$20,9)/30))</f>
        <v>10.351972908907587</v>
      </c>
      <c r="AX118" s="173">
        <f ca="1">(VLOOKUP(AX$72,INDIRECT($C$5&amp;"生成成长"),2))/((VLOOKUP($B118,INDIRECT($B$5&amp;"生成成长"),4))/(VLOOKUP(AX$72,INDIRECT($C$5&amp;"生成成长"),5))*(VLOOKUP($B$5,标准坦克设计!$B$24:$U$30,MATCH("对"&amp;LEFT($C$5,2)&amp;"输出",标准坦克设计!$B$23:$U$23,0)))*(VLOOKUP($B118,INDIRECT($B$5&amp;"生成成长"),3))*(VLOOKUP($B$5,标准坦克设计!$B$14:$K$20,9)/30))</f>
        <v>11.708240460591123</v>
      </c>
      <c r="AY118" s="173">
        <f ca="1">(VLOOKUP(AY$72,INDIRECT($C$5&amp;"生成成长"),2))/((VLOOKUP($B118,INDIRECT($B$5&amp;"生成成长"),4))/(VLOOKUP(AY$72,INDIRECT($C$5&amp;"生成成长"),5))*(VLOOKUP($B$5,标准坦克设计!$B$24:$U$30,MATCH("对"&amp;LEFT($C$5,2)&amp;"输出",标准坦克设计!$B$23:$U$23,0)))*(VLOOKUP($B118,INDIRECT($B$5&amp;"生成成长"),3))*(VLOOKUP($B$5,标准坦克设计!$B$14:$K$20,9)/30))</f>
        <v>13.147970630839795</v>
      </c>
      <c r="AZ118" s="173">
        <f ca="1">(VLOOKUP(AZ$72,INDIRECT($C$5&amp;"生成成长"),2))/((VLOOKUP($B118,INDIRECT($B$5&amp;"生成成长"),4))/(VLOOKUP(AZ$72,INDIRECT($C$5&amp;"生成成长"),5))*(VLOOKUP($B$5,标准坦克设计!$B$24:$U$30,MATCH("对"&amp;LEFT($C$5,2)&amp;"输出",标准坦克设计!$B$23:$U$23,0)))*(VLOOKUP($B118,INDIRECT($B$5&amp;"生成成长"),3))*(VLOOKUP($B$5,标准坦克设计!$B$14:$K$20,9)/30))</f>
        <v>14.671163419653611</v>
      </c>
      <c r="BA118" s="173">
        <f ca="1">(VLOOKUP(BA$72,INDIRECT($C$5&amp;"生成成长"),2))/((VLOOKUP($B118,INDIRECT($B$5&amp;"生成成长"),4))/(VLOOKUP(BA$72,INDIRECT($C$5&amp;"生成成长"),5))*(VLOOKUP($B$5,标准坦克设计!$B$24:$U$30,MATCH("对"&amp;LEFT($C$5,2)&amp;"输出",标准坦克设计!$B$23:$U$23,0)))*(VLOOKUP($B118,INDIRECT($B$5&amp;"生成成长"),3))*(VLOOKUP($B$5,标准坦克设计!$B$14:$K$20,9)/30))</f>
        <v>16.277818827032565</v>
      </c>
      <c r="BB118" s="173">
        <f ca="1">(VLOOKUP(BB$72,INDIRECT($C$5&amp;"生成成长"),2))/((VLOOKUP($B118,INDIRECT($B$5&amp;"生成成长"),4))/(VLOOKUP(BB$72,INDIRECT($C$5&amp;"生成成长"),5))*(VLOOKUP($B$5,标准坦克设计!$B$24:$U$30,MATCH("对"&amp;LEFT($C$5,2)&amp;"输出",标准坦克设计!$B$23:$U$23,0)))*(VLOOKUP($B118,INDIRECT($B$5&amp;"生成成长"),3))*(VLOOKUP($B$5,标准坦克设计!$B$14:$K$20,9)/30))</f>
        <v>17.967936852976663</v>
      </c>
      <c r="BC118" s="173">
        <f ca="1">(VLOOKUP(BC$72,INDIRECT($C$5&amp;"生成成长"),2))/((VLOOKUP($B118,INDIRECT($B$5&amp;"生成成长"),4))/(VLOOKUP(BC$72,INDIRECT($C$5&amp;"生成成长"),5))*(VLOOKUP($B$5,标准坦克设计!$B$24:$U$30,MATCH("对"&amp;LEFT($C$5,2)&amp;"输出",标准坦克设计!$B$23:$U$23,0)))*(VLOOKUP($B118,INDIRECT($B$5&amp;"生成成长"),3))*(VLOOKUP($B$5,标准坦克设计!$B$14:$K$20,9)/30))</f>
        <v>19.741517497485901</v>
      </c>
      <c r="BD118" s="173">
        <f ca="1">(VLOOKUP(BD$72,INDIRECT($C$5&amp;"生成成长"),2))/((VLOOKUP($B118,INDIRECT($B$5&amp;"生成成长"),4))/(VLOOKUP(BD$72,INDIRECT($C$5&amp;"生成成长"),5))*(VLOOKUP($B$5,标准坦克设计!$B$24:$U$30,MATCH("对"&amp;LEFT($C$5,2)&amp;"输出",标准坦克设计!$B$23:$U$23,0)))*(VLOOKUP($B118,INDIRECT($B$5&amp;"生成成长"),3))*(VLOOKUP($B$5,标准坦克设计!$B$14:$K$20,9)/30))</f>
        <v>21.836559633812435</v>
      </c>
      <c r="BE118" s="173">
        <f ca="1">(VLOOKUP(BE$72,INDIRECT($C$5&amp;"生成成长"),2))/((VLOOKUP($B118,INDIRECT($B$5&amp;"生成成长"),4))/(VLOOKUP(BE$72,INDIRECT($C$5&amp;"生成成长"),5))*(VLOOKUP($B$5,标准坦克设计!$B$24:$U$30,MATCH("对"&amp;LEFT($C$5,2)&amp;"输出",标准坦克设计!$B$23:$U$23,0)))*(VLOOKUP($B118,INDIRECT($B$5&amp;"生成成长"),3))*(VLOOKUP($B$5,标准坦克设计!$B$14:$K$20,9)/30))</f>
        <v>24.037234146760476</v>
      </c>
      <c r="BF118" s="173">
        <f ca="1">(VLOOKUP(BF$72,INDIRECT($C$5&amp;"生成成长"),2))/((VLOOKUP($B118,INDIRECT($B$5&amp;"生成成长"),4))/(VLOOKUP(BF$72,INDIRECT($C$5&amp;"生成成长"),5))*(VLOOKUP($B$5,标准坦克设计!$B$24:$U$30,MATCH("对"&amp;LEFT($C$5,2)&amp;"输出",标准坦克设计!$B$23:$U$23,0)))*(VLOOKUP($B118,INDIRECT($B$5&amp;"生成成长"),3))*(VLOOKUP($B$5,标准坦克设计!$B$14:$K$20,9)/30))</f>
        <v>26.34354103633002</v>
      </c>
      <c r="BG118" s="173">
        <f ca="1">(VLOOKUP(BG$72,INDIRECT($C$5&amp;"生成成长"),2))/((VLOOKUP($B118,INDIRECT($B$5&amp;"生成成长"),4))/(VLOOKUP(BG$72,INDIRECT($C$5&amp;"生成成长"),5))*(VLOOKUP($B$5,标准坦克设计!$B$24:$U$30,MATCH("对"&amp;LEFT($C$5,2)&amp;"输出",标准坦克设计!$B$23:$U$23,0)))*(VLOOKUP($B118,INDIRECT($B$5&amp;"生成成长"),3))*(VLOOKUP($B$5,标准坦克设计!$B$14:$K$20,9)/30))</f>
        <v>28.755480302521079</v>
      </c>
      <c r="BH118" s="173">
        <f ca="1">(VLOOKUP(BH$72,INDIRECT($C$5&amp;"生成成长"),2))/((VLOOKUP($B118,INDIRECT($B$5&amp;"生成成长"),4))/(VLOOKUP(BH$72,INDIRECT($C$5&amp;"生成成长"),5))*(VLOOKUP($B$5,标准坦克设计!$B$24:$U$30,MATCH("对"&amp;LEFT($C$5,2)&amp;"输出",标准坦克设计!$B$23:$U$23,0)))*(VLOOKUP($B118,INDIRECT($B$5&amp;"生成成长"),3))*(VLOOKUP($B$5,标准坦克设计!$B$14:$K$20,9)/30))</f>
        <v>13.89913419792606</v>
      </c>
      <c r="BI118" s="173">
        <f ca="1">(VLOOKUP(BI$72,INDIRECT($C$5&amp;"生成成长"),2))/((VLOOKUP($B118,INDIRECT($B$5&amp;"生成成长"),4))/(VLOOKUP(BI$72,INDIRECT($C$5&amp;"生成成长"),5))*(VLOOKUP($B$5,标准坦克设计!$B$24:$U$30,MATCH("对"&amp;LEFT($C$5,2)&amp;"输出",标准坦克设计!$B$23:$U$23,0)))*(VLOOKUP($B118,INDIRECT($B$5&amp;"生成成长"),3))*(VLOOKUP($B$5,标准坦克设计!$B$14:$K$20,9)/30))</f>
        <v>15.665542273652358</v>
      </c>
      <c r="BJ118" s="173">
        <f ca="1">(VLOOKUP(BJ$72,INDIRECT($C$5&amp;"生成成长"),2))/((VLOOKUP($B118,INDIRECT($B$5&amp;"生成成长"),4))/(VLOOKUP(BJ$72,INDIRECT($C$5&amp;"生成成长"),5))*(VLOOKUP($B$5,标准坦克设计!$B$24:$U$30,MATCH("对"&amp;LEFT($C$5,2)&amp;"输出",标准坦克设计!$B$23:$U$23,0)))*(VLOOKUP($B118,INDIRECT($B$5&amp;"生成成长"),3))*(VLOOKUP($B$5,标准坦克设计!$B$14:$K$20,9)/30))</f>
        <v>17.537582726000156</v>
      </c>
      <c r="BK118" s="173">
        <f ca="1">(VLOOKUP(BK$72,INDIRECT($C$5&amp;"生成成长"),2))/((VLOOKUP($B118,INDIRECT($B$5&amp;"生成成长"),4))/(VLOOKUP(BK$72,INDIRECT($C$5&amp;"生成成长"),5))*(VLOOKUP($B$5,标准坦克设计!$B$24:$U$30,MATCH("对"&amp;LEFT($C$5,2)&amp;"输出",标准坦克设计!$B$23:$U$23,0)))*(VLOOKUP($B118,INDIRECT($B$5&amp;"生成成长"),3))*(VLOOKUP($B$5,标准坦克设计!$B$14:$K$20,9)/30))</f>
        <v>19.515255554969464</v>
      </c>
      <c r="BL118" s="173">
        <f ca="1">(VLOOKUP(BL$72,INDIRECT($C$5&amp;"生成成长"),2))/((VLOOKUP($B118,INDIRECT($B$5&amp;"生成成长"),4))/(VLOOKUP(BL$72,INDIRECT($C$5&amp;"生成成长"),5))*(VLOOKUP($B$5,标准坦克设计!$B$24:$U$30,MATCH("对"&amp;LEFT($C$5,2)&amp;"输出",标准坦克设计!$B$23:$U$23,0)))*(VLOOKUP($B118,INDIRECT($B$5&amp;"生成成长"),3))*(VLOOKUP($B$5,标准坦克设计!$B$14:$K$20,9)/30))</f>
        <v>21.598560760560275</v>
      </c>
      <c r="BM118" s="173">
        <f ca="1">(VLOOKUP(BM$72,INDIRECT($C$5&amp;"生成成长"),2))/((VLOOKUP($B118,INDIRECT($B$5&amp;"生成成长"),4))/(VLOOKUP(BM$72,INDIRECT($C$5&amp;"生成成长"),5))*(VLOOKUP($B$5,标准坦克设计!$B$24:$U$30,MATCH("对"&amp;LEFT($C$5,2)&amp;"输出",标准坦克设计!$B$23:$U$23,0)))*(VLOOKUP($B118,INDIRECT($B$5&amp;"生成成长"),3))*(VLOOKUP($B$5,标准坦克设计!$B$14:$K$20,9)/30))</f>
        <v>23.787498342772597</v>
      </c>
      <c r="BN118" s="173">
        <f ca="1">(VLOOKUP(BN$72,INDIRECT($C$5&amp;"生成成长"),2))/((VLOOKUP($B118,INDIRECT($B$5&amp;"生成成长"),4))/(VLOOKUP(BN$72,INDIRECT($C$5&amp;"生成成长"),5))*(VLOOKUP($B$5,标准坦克设计!$B$24:$U$30,MATCH("对"&amp;LEFT($C$5,2)&amp;"输出",标准坦克设计!$B$23:$U$23,0)))*(VLOOKUP($B118,INDIRECT($B$5&amp;"生成成长"),3))*(VLOOKUP($B$5,标准坦克设计!$B$14:$K$20,9)/30))</f>
        <v>26.082068301606419</v>
      </c>
      <c r="BO118" s="173">
        <f ca="1">(VLOOKUP(BO$72,INDIRECT($C$5&amp;"生成成长"),2))/((VLOOKUP($B118,INDIRECT($B$5&amp;"生成成长"),4))/(VLOOKUP(BO$72,INDIRECT($C$5&amp;"生成成长"),5))*(VLOOKUP($B$5,标准坦克设计!$B$24:$U$30,MATCH("对"&amp;LEFT($C$5,2)&amp;"输出",标准坦克设计!$B$23:$U$23,0)))*(VLOOKUP($B118,INDIRECT($B$5&amp;"生成成长"),3))*(VLOOKUP($B$5,标准坦克设计!$B$14:$K$20,9)/30))</f>
        <v>28.482270637061756</v>
      </c>
      <c r="BP118" s="173">
        <f ca="1">(VLOOKUP(BP$72,INDIRECT($C$5&amp;"生成成长"),2))/((VLOOKUP($B118,INDIRECT($B$5&amp;"生成成长"),4))/(VLOOKUP(BP$72,INDIRECT($C$5&amp;"生成成长"),5))*(VLOOKUP($B$5,标准坦克设计!$B$24:$U$30,MATCH("对"&amp;LEFT($C$5,2)&amp;"输出",标准坦克设计!$B$23:$U$23,0)))*(VLOOKUP($B118,INDIRECT($B$5&amp;"生成成长"),3))*(VLOOKUP($B$5,标准坦克设计!$B$14:$K$20,9)/30))</f>
        <v>30.988105349138589</v>
      </c>
      <c r="BQ118" s="173">
        <f ca="1">(VLOOKUP(BQ$72,INDIRECT($C$5&amp;"生成成长"),2))/((VLOOKUP($B118,INDIRECT($B$5&amp;"生成成长"),4))/(VLOOKUP(BQ$72,INDIRECT($C$5&amp;"生成成长"),5))*(VLOOKUP($B$5,标准坦克设计!$B$24:$U$30,MATCH("对"&amp;LEFT($C$5,2)&amp;"输出",标准坦克设计!$B$23:$U$23,0)))*(VLOOKUP($B118,INDIRECT($B$5&amp;"生成成长"),3))*(VLOOKUP($B$5,标准坦克设计!$B$14:$K$20,9)/30))</f>
        <v>33.599572437836926</v>
      </c>
      <c r="BR118" s="173">
        <f ca="1">(VLOOKUP(BR$72,INDIRECT($C$5&amp;"生成成长"),2))/((VLOOKUP($B118,INDIRECT($B$5&amp;"生成成长"),4))/(VLOOKUP(BR$72,INDIRECT($C$5&amp;"生成成长"),5))*(VLOOKUP($B$5,标准坦克设计!$B$24:$U$30,MATCH("对"&amp;LEFT($C$5,2)&amp;"输出",标准坦克设计!$B$23:$U$23,0)))*(VLOOKUP($B118,INDIRECT($B$5&amp;"生成成长"),3))*(VLOOKUP($B$5,标准坦克设计!$B$14:$K$20,9)/30))</f>
        <v>36.625092360823274</v>
      </c>
      <c r="BS118" s="173">
        <f ca="1">(VLOOKUP(BS$72,INDIRECT($C$5&amp;"生成成长"),2))/((VLOOKUP($B118,INDIRECT($B$5&amp;"生成成长"),4))/(VLOOKUP(BS$72,INDIRECT($C$5&amp;"生成成长"),5))*(VLOOKUP($B$5,标准坦克设计!$B$24:$U$30,MATCH("对"&amp;LEFT($C$5,2)&amp;"输出",标准坦克设计!$B$23:$U$23,0)))*(VLOOKUP($B118,INDIRECT($B$5&amp;"生成成长"),3))*(VLOOKUP($B$5,标准坦克设计!$B$14:$K$20,9)/30))</f>
        <v>39.781022625317661</v>
      </c>
      <c r="BT118" s="173">
        <f ca="1">(VLOOKUP(BT$72,INDIRECT($C$5&amp;"生成成长"),2))/((VLOOKUP($B118,INDIRECT($B$5&amp;"生成成长"),4))/(VLOOKUP(BT$72,INDIRECT($C$5&amp;"生成成长"),5))*(VLOOKUP($B$5,标准坦克设计!$B$24:$U$30,MATCH("对"&amp;LEFT($C$5,2)&amp;"输出",标准坦克设计!$B$23:$U$23,0)))*(VLOOKUP($B118,INDIRECT($B$5&amp;"生成成长"),3))*(VLOOKUP($B$5,标准坦克设计!$B$14:$K$20,9)/30))</f>
        <v>43.067363231320066</v>
      </c>
      <c r="BU118" s="173">
        <f ca="1">(VLOOKUP(BU$72,INDIRECT($C$5&amp;"生成成长"),2))/((VLOOKUP($B118,INDIRECT($B$5&amp;"生成成长"),4))/(VLOOKUP(BU$72,INDIRECT($C$5&amp;"生成成长"),5))*(VLOOKUP($B$5,标准坦克设计!$B$24:$U$30,MATCH("对"&amp;LEFT($C$5,2)&amp;"输出",标准坦克设计!$B$23:$U$23,0)))*(VLOOKUP($B118,INDIRECT($B$5&amp;"生成成长"),3))*(VLOOKUP($B$5,标准坦克设计!$B$14:$K$20,9)/30))</f>
        <v>46.484114178830502</v>
      </c>
      <c r="BV118" s="173">
        <f ca="1">(VLOOKUP(BV$72,INDIRECT($C$5&amp;"生成成长"),2))/((VLOOKUP($B118,INDIRECT($B$5&amp;"生成成长"),4))/(VLOOKUP(BV$72,INDIRECT($C$5&amp;"生成成长"),5))*(VLOOKUP($B$5,标准坦克设计!$B$24:$U$30,MATCH("对"&amp;LEFT($C$5,2)&amp;"输出",标准坦克设计!$B$23:$U$23,0)))*(VLOOKUP($B118,INDIRECT($B$5&amp;"生成成长"),3))*(VLOOKUP($B$5,标准坦克设计!$B$14:$K$20,9)/30))</f>
        <v>50.031275467848964</v>
      </c>
      <c r="BW118" s="173">
        <f ca="1">(VLOOKUP(BW$72,INDIRECT($C$5&amp;"生成成长"),2))/((VLOOKUP($B118,INDIRECT($B$5&amp;"生成成长"),4))/(VLOOKUP(BW$72,INDIRECT($C$5&amp;"生成成长"),5))*(VLOOKUP($B$5,标准坦克设计!$B$24:$U$30,MATCH("对"&amp;LEFT($C$5,2)&amp;"输出",标准坦克设计!$B$23:$U$23,0)))*(VLOOKUP($B118,INDIRECT($B$5&amp;"生成成长"),3))*(VLOOKUP($B$5,标准坦克设计!$B$14:$K$20,9)/30))</f>
        <v>22.801596160971872</v>
      </c>
      <c r="BX118" s="173">
        <f ca="1">(VLOOKUP(BX$72,INDIRECT($C$5&amp;"生成成长"),2))/((VLOOKUP($B118,INDIRECT($B$5&amp;"生成成长"),4))/(VLOOKUP(BX$72,INDIRECT($C$5&amp;"生成成长"),5))*(VLOOKUP($B$5,标准坦克设计!$B$24:$U$30,MATCH("对"&amp;LEFT($C$5,2)&amp;"输出",标准坦克设计!$B$23:$U$23,0)))*(VLOOKUP($B118,INDIRECT($B$5&amp;"生成成长"),3))*(VLOOKUP($B$5,标准坦克设计!$B$14:$K$20,9)/30))</f>
        <v>25.305474717926089</v>
      </c>
      <c r="BY118" s="173">
        <f ca="1">(VLOOKUP(BY$72,INDIRECT($C$5&amp;"生成成长"),2))/((VLOOKUP($B118,INDIRECT($B$5&amp;"生成成长"),4))/(VLOOKUP(BY$72,INDIRECT($C$5&amp;"生成成长"),5))*(VLOOKUP($B$5,标准坦克设计!$B$24:$U$30,MATCH("对"&amp;LEFT($C$5,2)&amp;"输出",标准坦克设计!$B$23:$U$23,0)))*(VLOOKUP($B118,INDIRECT($B$5&amp;"生成成长"),3))*(VLOOKUP($B$5,标准坦克设计!$B$14:$K$20,9)/30))</f>
        <v>27.939763616388337</v>
      </c>
      <c r="BZ118" s="173">
        <f ca="1">(VLOOKUP(BZ$72,INDIRECT($C$5&amp;"生成成长"),2))/((VLOOKUP($B118,INDIRECT($B$5&amp;"生成成长"),4))/(VLOOKUP(BZ$72,INDIRECT($C$5&amp;"生成成长"),5))*(VLOOKUP($B$5,标准坦克设计!$B$24:$U$30,MATCH("对"&amp;LEFT($C$5,2)&amp;"输出",标准坦克设计!$B$23:$U$23,0)))*(VLOOKUP($B118,INDIRECT($B$5&amp;"生成成长"),3))*(VLOOKUP($B$5,标准坦克设计!$B$14:$K$20,9)/30))</f>
        <v>30.704462856358621</v>
      </c>
      <c r="CA118" s="173">
        <f ca="1">(VLOOKUP(CA$72,INDIRECT($C$5&amp;"生成成长"),2))/((VLOOKUP($B118,INDIRECT($B$5&amp;"生成成长"),4))/(VLOOKUP(CA$72,INDIRECT($C$5&amp;"生成成长"),5))*(VLOOKUP($B$5,标准坦克设计!$B$24:$U$30,MATCH("对"&amp;LEFT($C$5,2)&amp;"输出",标准坦克设计!$B$23:$U$23,0)))*(VLOOKUP($B118,INDIRECT($B$5&amp;"生成成长"),3))*(VLOOKUP($B$5,标准坦克设计!$B$14:$K$20,9)/30))</f>
        <v>33.599572437836926</v>
      </c>
      <c r="CB118" s="173">
        <f ca="1">(VLOOKUP(CB$72,INDIRECT($C$5&amp;"生成成长"),2))/((VLOOKUP($B118,INDIRECT($B$5&amp;"生成成长"),4))/(VLOOKUP(CB$72,INDIRECT($C$5&amp;"生成成长"),5))*(VLOOKUP($B$5,标准坦克设计!$B$24:$U$30,MATCH("对"&amp;LEFT($C$5,2)&amp;"输出",标准坦克设计!$B$23:$U$23,0)))*(VLOOKUP($B118,INDIRECT($B$5&amp;"生成成长"),3))*(VLOOKUP($B$5,标准坦克设计!$B$14:$K$20,9)/30))</f>
        <v>36.625092360823274</v>
      </c>
      <c r="CC118" s="173">
        <f ca="1">(VLOOKUP(CC$72,INDIRECT($C$5&amp;"生成成长"),2))/((VLOOKUP($B118,INDIRECT($B$5&amp;"生成成长"),4))/(VLOOKUP(CC$72,INDIRECT($C$5&amp;"生成成长"),5))*(VLOOKUP($B$5,标准坦克设计!$B$24:$U$30,MATCH("对"&amp;LEFT($C$5,2)&amp;"输出",标准坦克设计!$B$23:$U$23,0)))*(VLOOKUP($B118,INDIRECT($B$5&amp;"生成成长"),3))*(VLOOKUP($B$5,标准坦克设计!$B$14:$K$20,9)/30))</f>
        <v>39.781022625317661</v>
      </c>
      <c r="CD118" s="173">
        <f ca="1">(VLOOKUP(CD$72,INDIRECT($C$5&amp;"生成成长"),2))/((VLOOKUP($B118,INDIRECT($B$5&amp;"生成成长"),4))/(VLOOKUP(CD$72,INDIRECT($C$5&amp;"生成成长"),5))*(VLOOKUP($B$5,标准坦克设计!$B$24:$U$30,MATCH("对"&amp;LEFT($C$5,2)&amp;"输出",标准坦克设计!$B$23:$U$23,0)))*(VLOOKUP($B118,INDIRECT($B$5&amp;"生成成长"),3))*(VLOOKUP($B$5,标准坦克设计!$B$14:$K$20,9)/30))</f>
        <v>43.067363231320066</v>
      </c>
      <c r="CE118" s="173">
        <f ca="1">(VLOOKUP(CE$72,INDIRECT($C$5&amp;"生成成长"),2))/((VLOOKUP($B118,INDIRECT($B$5&amp;"生成成长"),4))/(VLOOKUP(CE$72,INDIRECT($C$5&amp;"生成成长"),5))*(VLOOKUP($B$5,标准坦克设计!$B$24:$U$30,MATCH("对"&amp;LEFT($C$5,2)&amp;"输出",标准坦克设计!$B$23:$U$23,0)))*(VLOOKUP($B118,INDIRECT($B$5&amp;"生成成长"),3))*(VLOOKUP($B$5,标准坦克设计!$B$14:$K$20,9)/30))</f>
        <v>46.484114178830502</v>
      </c>
      <c r="CF118" s="173">
        <f ca="1">(VLOOKUP(CF$72,INDIRECT($C$5&amp;"生成成长"),2))/((VLOOKUP($B118,INDIRECT($B$5&amp;"生成成长"),4))/(VLOOKUP(CF$72,INDIRECT($C$5&amp;"生成成长"),5))*(VLOOKUP($B$5,标准坦克设计!$B$24:$U$30,MATCH("对"&amp;LEFT($C$5,2)&amp;"输出",标准坦克设计!$B$23:$U$23,0)))*(VLOOKUP($B118,INDIRECT($B$5&amp;"生成成长"),3))*(VLOOKUP($B$5,标准坦克设计!$B$14:$K$20,9)/30))</f>
        <v>50.031275467848964</v>
      </c>
      <c r="CG118" s="173">
        <f ca="1">(VLOOKUP(CG$72,INDIRECT($C$5&amp;"生成成长"),2))/((VLOOKUP($B118,INDIRECT($B$5&amp;"生成成长"),4))/(VLOOKUP(CG$72,INDIRECT($C$5&amp;"生成成长"),5))*(VLOOKUP($B$5,标准坦克设计!$B$24:$U$30,MATCH("对"&amp;LEFT($C$5,2)&amp;"输出",标准坦克设计!$B$23:$U$23,0)))*(VLOOKUP($B118,INDIRECT($B$5&amp;"生成成长"),3))*(VLOOKUP($B$5,标准坦克设计!$B$14:$K$20,9)/30))</f>
        <v>53.708847098375472</v>
      </c>
      <c r="CH118" s="173">
        <f ca="1">(VLOOKUP(CH$72,INDIRECT($C$5&amp;"生成成长"),2))/((VLOOKUP($B118,INDIRECT($B$5&amp;"生成成长"),4))/(VLOOKUP(CH$72,INDIRECT($C$5&amp;"生成成长"),5))*(VLOOKUP($B$5,标准坦克设计!$B$24:$U$30,MATCH("对"&amp;LEFT($C$5,2)&amp;"输出",标准坦克设计!$B$23:$U$23,0)))*(VLOOKUP($B118,INDIRECT($B$5&amp;"生成成长"),3))*(VLOOKUP($B$5,标准坦克设计!$B$14:$K$20,9)/30))</f>
        <v>57.516829070410012</v>
      </c>
      <c r="CI118" s="173">
        <f ca="1">(VLOOKUP(CI$72,INDIRECT($C$5&amp;"生成成长"),2))/((VLOOKUP($B118,INDIRECT($B$5&amp;"生成成长"),4))/(VLOOKUP(CI$72,INDIRECT($C$5&amp;"生成成长"),5))*(VLOOKUP($B$5,标准坦克设计!$B$24:$U$30,MATCH("对"&amp;LEFT($C$5,2)&amp;"输出",标准坦克设计!$B$23:$U$23,0)))*(VLOOKUP($B118,INDIRECT($B$5&amp;"生成成长"),3))*(VLOOKUP($B$5,标准坦克设计!$B$14:$K$20,9)/30))</f>
        <v>61.856233184089781</v>
      </c>
      <c r="CJ118" s="173">
        <f ca="1">(VLOOKUP(CJ$72,INDIRECT($C$5&amp;"生成成长"),2))/((VLOOKUP($B118,INDIRECT($B$5&amp;"生成成长"),4))/(VLOOKUP(CJ$72,INDIRECT($C$5&amp;"生成成长"),5))*(VLOOKUP($B$5,标准坦克设计!$B$24:$U$30,MATCH("对"&amp;LEFT($C$5,2)&amp;"输出",标准坦克设计!$B$23:$U$23,0)))*(VLOOKUP($B118,INDIRECT($B$5&amp;"生成成长"),3))*(VLOOKUP($B$5,标准坦克设计!$B$14:$K$20,9)/30))</f>
        <v>66.353433810994275</v>
      </c>
      <c r="CK118" s="173">
        <f ca="1">(VLOOKUP(CK$72,INDIRECT($C$5&amp;"生成成长"),2))/((VLOOKUP($B118,INDIRECT($B$5&amp;"生成成长"),4))/(VLOOKUP(CK$72,INDIRECT($C$5&amp;"生成成长"),5))*(VLOOKUP($B$5,标准坦克设计!$B$24:$U$30,MATCH("对"&amp;LEFT($C$5,2)&amp;"输出",标准坦克设计!$B$23:$U$23,0)))*(VLOOKUP($B118,INDIRECT($B$5&amp;"生成成长"),3))*(VLOOKUP($B$5,标准坦克设计!$B$14:$K$20,9)/30))</f>
        <v>71.008430951123472</v>
      </c>
      <c r="CL118" s="173">
        <f ca="1">(VLOOKUP(CL$72,INDIRECT($C$5&amp;"生成成长"),2))/((VLOOKUP($B118,INDIRECT($B$5&amp;"生成成长"),4))/(VLOOKUP(CL$72,INDIRECT($C$5&amp;"生成成长"),5))*(VLOOKUP($B$5,标准坦克设计!$B$24:$U$30,MATCH("对"&amp;LEFT($C$5,2)&amp;"输出",标准坦克设计!$B$23:$U$23,0)))*(VLOOKUP($B118,INDIRECT($B$5&amp;"生成成长"),3))*(VLOOKUP($B$5,标准坦克设计!$B$14:$K$20,9)/30))</f>
        <v>75.821224604477408</v>
      </c>
      <c r="CM118" s="173">
        <f ca="1">(VLOOKUP(CM$72,INDIRECT($C$5&amp;"生成成长"),2))/((VLOOKUP($B118,INDIRECT($B$5&amp;"生成成长"),4))/(VLOOKUP(CM$72,INDIRECT($C$5&amp;"生成成长"),5))*(VLOOKUP($B$5,标准坦克设计!$B$24:$U$30,MATCH("对"&amp;LEFT($C$5,2)&amp;"输出",标准坦克设计!$B$23:$U$23,0)))*(VLOOKUP($B118,INDIRECT($B$5&amp;"生成成长"),3))*(VLOOKUP($B$5,标准坦克设计!$B$14:$K$20,9)/30))</f>
        <v>80.791814771056039</v>
      </c>
      <c r="CN118" s="173">
        <f ca="1">(VLOOKUP(CN$72,INDIRECT($C$5&amp;"生成成长"),2))/((VLOOKUP($B118,INDIRECT($B$5&amp;"生成成长"),4))/(VLOOKUP(CN$72,INDIRECT($C$5&amp;"生成成长"),5))*(VLOOKUP($B$5,标准坦克设计!$B$24:$U$30,MATCH("对"&amp;LEFT($C$5,2)&amp;"输出",标准坦克设计!$B$23:$U$23,0)))*(VLOOKUP($B118,INDIRECT($B$5&amp;"生成成长"),3))*(VLOOKUP($B$5,标准坦克设计!$B$14:$K$20,9)/30))</f>
        <v>85.920201450859409</v>
      </c>
      <c r="CO118" s="173">
        <f ca="1">(VLOOKUP(CO$72,INDIRECT($C$5&amp;"生成成长"),2))/((VLOOKUP($B118,INDIRECT($B$5&amp;"生成成长"),4))/(VLOOKUP(CO$72,INDIRECT($C$5&amp;"生成成长"),5))*(VLOOKUP($B$5,标准坦克设计!$B$24:$U$30,MATCH("对"&amp;LEFT($C$5,2)&amp;"输出",标准坦克设计!$B$23:$U$23,0)))*(VLOOKUP($B118,INDIRECT($B$5&amp;"生成成长"),3))*(VLOOKUP($B$5,标准坦克设计!$B$14:$K$20,9)/30))</f>
        <v>38.503001278538939</v>
      </c>
      <c r="CP118" s="173">
        <f ca="1">(VLOOKUP(CP$72,INDIRECT($C$5&amp;"生成成长"),2))/((VLOOKUP($B118,INDIRECT($B$5&amp;"生成成长"),4))/(VLOOKUP(CP$72,INDIRECT($C$5&amp;"生成成长"),5))*(VLOOKUP($B$5,标准坦克设计!$B$24:$U$30,MATCH("对"&amp;LEFT($C$5,2)&amp;"输出",标准坦克设计!$B$23:$U$23,0)))*(VLOOKUP($B118,INDIRECT($B$5&amp;"生成成长"),3))*(VLOOKUP($B$5,标准坦克设计!$B$14:$K$20,9)/30))</f>
        <v>42.067767963660998</v>
      </c>
      <c r="CQ118" s="173">
        <f ca="1">(VLOOKUP(CQ$72,INDIRECT($C$5&amp;"生成成长"),2))/((VLOOKUP($B118,INDIRECT($B$5&amp;"生成成长"),4))/(VLOOKUP(CQ$72,INDIRECT($C$5&amp;"生成成长"),5))*(VLOOKUP($B$5,标准坦克设计!$B$24:$U$30,MATCH("对"&amp;LEFT($C$5,2)&amp;"输出",标准坦克设计!$B$23:$U$23,0)))*(VLOOKUP($B118,INDIRECT($B$5&amp;"生成成长"),3))*(VLOOKUP($B$5,标准坦克设计!$B$14:$K$20,9)/30))</f>
        <v>45.790331162007767</v>
      </c>
      <c r="CR118" s="173">
        <f ca="1">(VLOOKUP(CR$72,INDIRECT($C$5&amp;"生成成长"),2))/((VLOOKUP($B118,INDIRECT($B$5&amp;"生成成长"),4))/(VLOOKUP(CR$72,INDIRECT($C$5&amp;"生成成长"),5))*(VLOOKUP($B$5,标准坦克设计!$B$24:$U$30,MATCH("对"&amp;LEFT($C$5,2)&amp;"输出",标准坦克设计!$B$23:$U$23,0)))*(VLOOKUP($B118,INDIRECT($B$5&amp;"生成成长"),3))*(VLOOKUP($B$5,标准坦克设计!$B$14:$K$20,9)/30))</f>
        <v>49.670690873579261</v>
      </c>
      <c r="CS118" s="173">
        <f ca="1">(VLOOKUP(CS$72,INDIRECT($C$5&amp;"生成成长"),2))/((VLOOKUP($B118,INDIRECT($B$5&amp;"生成成长"),4))/(VLOOKUP(CS$72,INDIRECT($C$5&amp;"生成成长"),5))*(VLOOKUP($B$5,标准坦克设计!$B$24:$U$30,MATCH("对"&amp;LEFT($C$5,2)&amp;"输出",标准坦克设计!$B$23:$U$23,0)))*(VLOOKUP($B118,INDIRECT($B$5&amp;"生成成长"),3))*(VLOOKUP($B$5,标准坦克设计!$B$14:$K$20,9)/30))</f>
        <v>53.708847098375472</v>
      </c>
      <c r="CT118" s="173">
        <f ca="1">(VLOOKUP(CT$72,INDIRECT($C$5&amp;"生成成长"),2))/((VLOOKUP($B118,INDIRECT($B$5&amp;"生成成长"),4))/(VLOOKUP(CT$72,INDIRECT($C$5&amp;"生成成长"),5))*(VLOOKUP($B$5,标准坦克设计!$B$24:$U$30,MATCH("对"&amp;LEFT($C$5,2)&amp;"输出",标准坦克设计!$B$23:$U$23,0)))*(VLOOKUP($B118,INDIRECT($B$5&amp;"生成成长"),3))*(VLOOKUP($B$5,标准坦克设计!$B$14:$K$20,9)/30))</f>
        <v>57.904799836396414</v>
      </c>
      <c r="CU118" s="173">
        <f ca="1">(VLOOKUP(CU$72,INDIRECT($C$5&amp;"生成成长"),2))/((VLOOKUP($B118,INDIRECT($B$5&amp;"生成成长"),4))/(VLOOKUP(CU$72,INDIRECT($C$5&amp;"生成成长"),5))*(VLOOKUP($B$5,标准坦克设计!$B$24:$U$30,MATCH("对"&amp;LEFT($C$5,2)&amp;"输出",标准坦克设计!$B$23:$U$23,0)))*(VLOOKUP($B118,INDIRECT($B$5&amp;"生成成长"),3))*(VLOOKUP($B$5,标准坦克设计!$B$14:$K$20,9)/30))</f>
        <v>62.258549087642059</v>
      </c>
      <c r="CV118" s="173">
        <f ca="1">(VLOOKUP(CV$72,INDIRECT($C$5&amp;"生成成长"),2))/((VLOOKUP($B118,INDIRECT($B$5&amp;"生成成长"),4))/(VLOOKUP(CV$72,INDIRECT($C$5&amp;"生成成长"),5))*(VLOOKUP($B$5,标准坦克设计!$B$24:$U$30,MATCH("对"&amp;LEFT($C$5,2)&amp;"输出",标准坦克设计!$B$23:$U$23,0)))*(VLOOKUP($B118,INDIRECT($B$5&amp;"生成成长"),3))*(VLOOKUP($B$5,标准坦克设计!$B$14:$K$20,9)/30))</f>
        <v>66.770094852112422</v>
      </c>
      <c r="CW118" s="173">
        <f ca="1">(VLOOKUP(CW$72,INDIRECT($C$5&amp;"生成成长"),2))/((VLOOKUP($B118,INDIRECT($B$5&amp;"生成成长"),4))/(VLOOKUP(CW$72,INDIRECT($C$5&amp;"生成成长"),5))*(VLOOKUP($B$5,标准坦克设计!$B$24:$U$30,MATCH("对"&amp;LEFT($C$5,2)&amp;"输出",标准坦克设计!$B$23:$U$23,0)))*(VLOOKUP($B118,INDIRECT($B$5&amp;"生成成长"),3))*(VLOOKUP($B$5,标准坦克设计!$B$14:$K$20,9)/30))</f>
        <v>71.43943712980753</v>
      </c>
      <c r="CX118" s="173">
        <f ca="1">(VLOOKUP(CX$72,INDIRECT($C$5&amp;"生成成长"),2))/((VLOOKUP($B118,INDIRECT($B$5&amp;"生成成长"),4))/(VLOOKUP(CX$72,INDIRECT($C$5&amp;"生成成长"),5))*(VLOOKUP($B$5,标准坦克设计!$B$24:$U$30,MATCH("对"&amp;LEFT($C$5,2)&amp;"输出",标准坦克设计!$B$23:$U$23,0)))*(VLOOKUP($B118,INDIRECT($B$5&amp;"生成成长"),3))*(VLOOKUP($B$5,标准坦克设计!$B$14:$K$20,9)/30))</f>
        <v>76.266575920727334</v>
      </c>
      <c r="CY118" s="173">
        <f ca="1">(VLOOKUP(CY$72,INDIRECT($C$5&amp;"生成成长"),2))/((VLOOKUP($B118,INDIRECT($B$5&amp;"生成成长"),4))/(VLOOKUP(CY$72,INDIRECT($C$5&amp;"生成成长"),5))*(VLOOKUP($B$5,标准坦克设计!$B$24:$U$30,MATCH("对"&amp;LEFT($C$5,2)&amp;"输出",标准坦克设计!$B$23:$U$23,0)))*(VLOOKUP($B118,INDIRECT($B$5&amp;"生成成长"),3))*(VLOOKUP($B$5,标准坦克设计!$B$14:$K$20,9)/30))</f>
        <v>81.251511224871862</v>
      </c>
      <c r="CZ118" s="173">
        <f ca="1">(VLOOKUP(CZ$72,INDIRECT($C$5&amp;"生成成长"),2))/((VLOOKUP($B118,INDIRECT($B$5&amp;"生成成长"),4))/(VLOOKUP(CZ$72,INDIRECT($C$5&amp;"生成成长"),5))*(VLOOKUP($B$5,标准坦克设计!$B$24:$U$30,MATCH("对"&amp;LEFT($C$5,2)&amp;"输出",标准坦克设计!$B$23:$U$23,0)))*(VLOOKUP($B118,INDIRECT($B$5&amp;"生成成长"),3))*(VLOOKUP($B$5,标准坦克设计!$B$14:$K$20,9)/30))</f>
        <v>86.394243042241101</v>
      </c>
      <c r="DA118" s="173">
        <f ca="1">(VLOOKUP(DA$72,INDIRECT($C$5&amp;"生成成长"),2))/((VLOOKUP($B118,INDIRECT($B$5&amp;"生成成长"),4))/(VLOOKUP(DA$72,INDIRECT($C$5&amp;"生成成长"),5))*(VLOOKUP($B$5,标准坦克设计!$B$24:$U$30,MATCH("对"&amp;LEFT($C$5,2)&amp;"输出",标准坦克设计!$B$23:$U$23,0)))*(VLOOKUP($B118,INDIRECT($B$5&amp;"生成成长"),3))*(VLOOKUP($B$5,标准坦克设计!$B$14:$K$20,9)/30))</f>
        <v>91.694771372835064</v>
      </c>
      <c r="DB118" s="173">
        <f ca="1">(VLOOKUP(DB$72,INDIRECT($C$5&amp;"生成成长"),2))/((VLOOKUP($B118,INDIRECT($B$5&amp;"生成成长"),4))/(VLOOKUP(DB$72,INDIRECT($C$5&amp;"生成成长"),5))*(VLOOKUP($B$5,标准坦克设计!$B$24:$U$30,MATCH("对"&amp;LEFT($C$5,2)&amp;"输出",标准坦克设计!$B$23:$U$23,0)))*(VLOOKUP($B118,INDIRECT($B$5&amp;"生成成长"),3))*(VLOOKUP($B$5,标准坦克设计!$B$14:$K$20,9)/30))</f>
        <v>97.153096216653765</v>
      </c>
      <c r="DC118" s="173">
        <f ca="1">(VLOOKUP(DC$72,INDIRECT($C$5&amp;"生成成长"),2))/((VLOOKUP($B118,INDIRECT($B$5&amp;"生成成长"),4))/(VLOOKUP(DC$72,INDIRECT($C$5&amp;"生成成长"),5))*(VLOOKUP($B$5,标准坦克设计!$B$24:$U$30,MATCH("对"&amp;LEFT($C$5,2)&amp;"输出",标准坦克设计!$B$23:$U$23,0)))*(VLOOKUP($B118,INDIRECT($B$5&amp;"生成成长"),3))*(VLOOKUP($B$5,标准坦克设计!$B$14:$K$20,9)/30))</f>
        <v>103.28759868119158</v>
      </c>
      <c r="DD118" s="173">
        <f ca="1">(VLOOKUP(DD$72,INDIRECT($C$5&amp;"生成成长"),2))/((VLOOKUP($B118,INDIRECT($B$5&amp;"生成成长"),4))/(VLOOKUP(DD$72,INDIRECT($C$5&amp;"生成成长"),5))*(VLOOKUP($B$5,标准坦克设计!$B$24:$U$30,MATCH("对"&amp;LEFT($C$5,2)&amp;"输出",标准坦克设计!$B$23:$U$23,0)))*(VLOOKUP($B118,INDIRECT($B$5&amp;"生成成长"),3))*(VLOOKUP($B$5,标准坦克设计!$B$14:$K$20,9)/30))</f>
        <v>109.60989203750098</v>
      </c>
      <c r="DE118" s="173">
        <f ca="1">(VLOOKUP(DE$72,INDIRECT($C$5&amp;"生成成长"),2))/((VLOOKUP($B118,INDIRECT($B$5&amp;"生成成长"),4))/(VLOOKUP(DE$72,INDIRECT($C$5&amp;"生成成长"),5))*(VLOOKUP($B$5,标准坦克设计!$B$24:$U$30,MATCH("对"&amp;LEFT($C$5,2)&amp;"输出",标准坦克设计!$B$23:$U$23,0)))*(VLOOKUP($B118,INDIRECT($B$5&amp;"生成成长"),3))*(VLOOKUP($B$5,标准坦克设计!$B$14:$K$20,9)/30))</f>
        <v>116.11997628558196</v>
      </c>
      <c r="DF118" s="173">
        <f ca="1">(VLOOKUP(DF$72,INDIRECT($C$5&amp;"生成成长"),2))/((VLOOKUP($B118,INDIRECT($B$5&amp;"生成成长"),4))/(VLOOKUP(DF$72,INDIRECT($C$5&amp;"生成成长"),5))*(VLOOKUP($B$5,标准坦克设计!$B$24:$U$30,MATCH("对"&amp;LEFT($C$5,2)&amp;"输出",标准坦克设计!$B$23:$U$23,0)))*(VLOOKUP($B118,INDIRECT($B$5&amp;"生成成长"),3))*(VLOOKUP($B$5,标准坦克设计!$B$14:$K$20,9)/30))</f>
        <v>122.81785142543448</v>
      </c>
      <c r="DG118" s="173">
        <f ca="1">(VLOOKUP(DG$72,INDIRECT($C$5&amp;"生成成长"),2))/((VLOOKUP($B118,INDIRECT($B$5&amp;"生成成长"),4))/(VLOOKUP(DG$72,INDIRECT($C$5&amp;"生成成长"),5))*(VLOOKUP($B$5,标准坦克设计!$B$24:$U$30,MATCH("对"&amp;LEFT($C$5,2)&amp;"输出",标准坦克设计!$B$23:$U$23,0)))*(VLOOKUP($B118,INDIRECT($B$5&amp;"生成成长"),3))*(VLOOKUP($B$5,标准坦克设计!$B$14:$K$20,9)/30))</f>
        <v>129.70351745705855</v>
      </c>
      <c r="DH118" s="173">
        <f ca="1">(VLOOKUP(DH$72,INDIRECT($C$5&amp;"生成成长"),2))/((VLOOKUP($B118,INDIRECT($B$5&amp;"生成成长"),4))/(VLOOKUP(DH$72,INDIRECT($C$5&amp;"生成成长"),5))*(VLOOKUP($B$5,标准坦克设计!$B$24:$U$30,MATCH("对"&amp;LEFT($C$5,2)&amp;"输出",标准坦克设计!$B$23:$U$23,0)))*(VLOOKUP($B118,INDIRECT($B$5&amp;"生成成长"),3))*(VLOOKUP($B$5,标准坦克设计!$B$14:$K$20,9)/30))</f>
        <v>136.77697438045422</v>
      </c>
      <c r="DI118" s="173">
        <f ca="1">(VLOOKUP(DI$72,INDIRECT($C$5&amp;"生成成长"),2))/((VLOOKUP($B118,INDIRECT($B$5&amp;"生成成长"),4))/(VLOOKUP(DI$72,INDIRECT($C$5&amp;"生成成长"),5))*(VLOOKUP($B$5,标准坦克设计!$B$24:$U$30,MATCH("对"&amp;LEFT($C$5,2)&amp;"输出",标准坦克设计!$B$23:$U$23,0)))*(VLOOKUP($B118,INDIRECT($B$5&amp;"生成成长"),3))*(VLOOKUP($B$5,标准坦克设计!$B$14:$K$20,9)/30))</f>
        <v>144.03822219562147</v>
      </c>
      <c r="DJ118" s="173">
        <f ca="1">(VLOOKUP(DJ$72,INDIRECT($C$5&amp;"生成成长"),2))/((VLOOKUP($B118,INDIRECT($B$5&amp;"生成成长"),4))/(VLOOKUP(DJ$72,INDIRECT($C$5&amp;"生成成长"),5))*(VLOOKUP($B$5,标准坦克设计!$B$24:$U$30,MATCH("对"&amp;LEFT($C$5,2)&amp;"输出",标准坦克设计!$B$23:$U$23,0)))*(VLOOKUP($B118,INDIRECT($B$5&amp;"生成成长"),3))*(VLOOKUP($B$5,标准坦克设计!$B$14:$K$20,9)/30))</f>
        <v>14.476199959099104</v>
      </c>
      <c r="DK118" s="173">
        <f ca="1">(VLOOKUP(DK$72,INDIRECT($C$5&amp;"生成成长"),2))/((VLOOKUP($B118,INDIRECT($B$5&amp;"生成成长"),4))/(VLOOKUP(DK$72,INDIRECT($C$5&amp;"生成成长"),5))*(VLOOKUP($B$5,标准坦克设计!$B$24:$U$30,MATCH("对"&amp;LEFT($C$5,2)&amp;"输出",标准坦克设计!$B$23:$U$23,0)))*(VLOOKUP($B118,INDIRECT($B$5&amp;"生成成长"),3))*(VLOOKUP($B$5,标准坦克设计!$B$14:$K$20,9)/30))</f>
        <v>16.277818827032565</v>
      </c>
      <c r="DL118" s="173">
        <f ca="1">(VLOOKUP(DL$72,INDIRECT($C$5&amp;"生成成长"),2))/((VLOOKUP($B118,INDIRECT($B$5&amp;"生成成长"),4))/(VLOOKUP(DL$72,INDIRECT($C$5&amp;"生成成长"),5))*(VLOOKUP($B$5,标准坦克设计!$B$24:$U$30,MATCH("对"&amp;LEFT($C$5,2)&amp;"输出",标准坦克设计!$B$23:$U$23,0)))*(VLOOKUP($B118,INDIRECT($B$5&amp;"生成成长"),3))*(VLOOKUP($B$5,标准坦克设计!$B$14:$K$20,9)/30))</f>
        <v>18.185070071587536</v>
      </c>
      <c r="DM118" s="173">
        <f ca="1">(VLOOKUP(DM$72,INDIRECT($C$5&amp;"生成成长"),2))/((VLOOKUP($B118,INDIRECT($B$5&amp;"生成成长"),4))/(VLOOKUP(DM$72,INDIRECT($C$5&amp;"生成成长"),5))*(VLOOKUP($B$5,标准坦克设计!$B$24:$U$30,MATCH("对"&amp;LEFT($C$5,2)&amp;"输出",标准坦克设计!$B$23:$U$23,0)))*(VLOOKUP($B118,INDIRECT($B$5&amp;"生成成长"),3))*(VLOOKUP($B$5,标准坦克设计!$B$14:$K$20,9)/30))</f>
        <v>20.19795369276401</v>
      </c>
      <c r="DN118" s="173">
        <f ca="1">(VLOOKUP(DN$72,INDIRECT($C$5&amp;"生成成长"),2))/((VLOOKUP($B118,INDIRECT($B$5&amp;"生成成长"),4))/(VLOOKUP(DN$72,INDIRECT($C$5&amp;"生成成长"),5))*(VLOOKUP($B$5,标准坦克设计!$B$24:$U$30,MATCH("对"&amp;LEFT($C$5,2)&amp;"输出",标准坦克设计!$B$23:$U$23,0)))*(VLOOKUP($B118,INDIRECT($B$5&amp;"生成成长"),3))*(VLOOKUP($B$5,标准坦克设计!$B$14:$K$20,9)/30))</f>
        <v>22.316469690561995</v>
      </c>
      <c r="DO118" s="173">
        <f ca="1">(VLOOKUP(DO$72,INDIRECT($C$5&amp;"生成成长"),2))/((VLOOKUP($B118,INDIRECT($B$5&amp;"生成成长"),4))/(VLOOKUP(DO$72,INDIRECT($C$5&amp;"生成成长"),5))*(VLOOKUP($B$5,标准坦克设计!$B$24:$U$30,MATCH("对"&amp;LEFT($C$5,2)&amp;"输出",标准坦克设计!$B$23:$U$23,0)))*(VLOOKUP($B118,INDIRECT($B$5&amp;"生成成长"),3))*(VLOOKUP($B$5,标准坦克设计!$B$14:$K$20,9)/30))</f>
        <v>24.540618064981484</v>
      </c>
      <c r="DP118" s="173">
        <f ca="1">(VLOOKUP(DP$72,INDIRECT($C$5&amp;"生成成长"),2))/((VLOOKUP($B118,INDIRECT($B$5&amp;"生成成长"),4))/(VLOOKUP(DP$72,INDIRECT($C$5&amp;"生成成长"),5))*(VLOOKUP($B$5,标准坦克设计!$B$24:$U$30,MATCH("对"&amp;LEFT($C$5,2)&amp;"输出",标准坦克设计!$B$23:$U$23,0)))*(VLOOKUP($B118,INDIRECT($B$5&amp;"生成成长"),3))*(VLOOKUP($B$5,标准坦克设计!$B$14:$K$20,9)/30))</f>
        <v>26.870398816022476</v>
      </c>
      <c r="DQ118" s="173">
        <f ca="1">(VLOOKUP(DQ$72,INDIRECT($C$5&amp;"生成成长"),2))/((VLOOKUP($B118,INDIRECT($B$5&amp;"生成成长"),4))/(VLOOKUP(DQ$72,INDIRECT($C$5&amp;"生成成长"),5))*(VLOOKUP($B$5,标准坦克设计!$B$24:$U$30,MATCH("对"&amp;LEFT($C$5,2)&amp;"输出",标准坦克设计!$B$23:$U$23,0)))*(VLOOKUP($B118,INDIRECT($B$5&amp;"生成成长"),3))*(VLOOKUP($B$5,标准坦克设计!$B$14:$K$20,9)/30))</f>
        <v>29.305811943684972</v>
      </c>
      <c r="DR118" s="173">
        <f ca="1">(VLOOKUP(DR$72,INDIRECT($C$5&amp;"生成成长"),2))/((VLOOKUP($B118,INDIRECT($B$5&amp;"生成成长"),4))/(VLOOKUP(DR$72,INDIRECT($C$5&amp;"生成成长"),5))*(VLOOKUP($B$5,标准坦克设计!$B$24:$U$30,MATCH("对"&amp;LEFT($C$5,2)&amp;"输出",标准坦克设计!$B$23:$U$23,0)))*(VLOOKUP($B118,INDIRECT($B$5&amp;"生成成长"),3))*(VLOOKUP($B$5,标准坦克设计!$B$14:$K$20,9)/30))</f>
        <v>31.846857447968976</v>
      </c>
      <c r="DS118" s="173">
        <f ca="1">(VLOOKUP(DS$72,INDIRECT($C$5&amp;"生成成长"),2))/((VLOOKUP($B118,INDIRECT($B$5&amp;"生成成长"),4))/(VLOOKUP(DS$72,INDIRECT($C$5&amp;"生成成长"),5))*(VLOOKUP($B$5,标准坦克设计!$B$24:$U$30,MATCH("对"&amp;LEFT($C$5,2)&amp;"输出",标准坦克设计!$B$23:$U$23,0)))*(VLOOKUP($B118,INDIRECT($B$5&amp;"生成成长"),3))*(VLOOKUP($B$5,标准坦克设计!$B$14:$K$20,9)/30))</f>
        <v>34.493535328874486</v>
      </c>
      <c r="DT118" s="173">
        <f ca="1">(VLOOKUP(DT$72,INDIRECT($C$5&amp;"生成成长"),2))/((VLOOKUP($B118,INDIRECT($B$5&amp;"生成成长"),4))/(VLOOKUP(DT$72,INDIRECT($C$5&amp;"生成成长"),5))*(VLOOKUP($B$5,标准坦克设计!$B$24:$U$30,MATCH("对"&amp;LEFT($C$5,2)&amp;"输出",标准坦克设计!$B$23:$U$23,0)))*(VLOOKUP($B118,INDIRECT($B$5&amp;"生成成长"),3))*(VLOOKUP($B$5,标准坦克设计!$B$14:$K$20,9)/30))</f>
        <v>37.871815225640063</v>
      </c>
      <c r="DU118" s="173">
        <f ca="1">(VLOOKUP(DU$72,INDIRECT($C$5&amp;"生成成长"),2))/((VLOOKUP($B118,INDIRECT($B$5&amp;"生成成长"),4))/(VLOOKUP(DU$72,INDIRECT($C$5&amp;"生成成长"),5))*(VLOOKUP($B$5,标准坦克设计!$B$24:$U$30,MATCH("对"&amp;LEFT($C$5,2)&amp;"输出",标准坦克设计!$B$23:$U$23,0)))*(VLOOKUP($B118,INDIRECT($B$5&amp;"生成成长"),3))*(VLOOKUP($B$5,标准坦克设计!$B$14:$K$20,9)/30))</f>
        <v>41.407891635630349</v>
      </c>
      <c r="DV118" s="173">
        <f ca="1">(VLOOKUP(DV$72,INDIRECT($C$5&amp;"生成成长"),2))/((VLOOKUP($B118,INDIRECT($B$5&amp;"生成成长"),4))/(VLOOKUP(DV$72,INDIRECT($C$5&amp;"生成成长"),5))*(VLOOKUP($B$5,标准坦克设计!$B$24:$U$30,MATCH("对"&amp;LEFT($C$5,2)&amp;"输出",标准坦克设计!$B$23:$U$23,0)))*(VLOOKUP($B118,INDIRECT($B$5&amp;"生成成长"),3))*(VLOOKUP($B$5,标准坦克设计!$B$14:$K$20,9)/30))</f>
        <v>45.10176455884536</v>
      </c>
      <c r="DW118" s="173">
        <f ca="1">(VLOOKUP(DW$72,INDIRECT($C$5&amp;"生成成长"),2))/((VLOOKUP($B118,INDIRECT($B$5&amp;"生成成长"),4))/(VLOOKUP(DW$72,INDIRECT($C$5&amp;"生成成长"),5))*(VLOOKUP($B$5,标准坦克设计!$B$24:$U$30,MATCH("对"&amp;LEFT($C$5,2)&amp;"输出",标准坦克设计!$B$23:$U$23,0)))*(VLOOKUP($B118,INDIRECT($B$5&amp;"生成成长"),3))*(VLOOKUP($B$5,标准坦克设计!$B$14:$K$20,9)/30))</f>
        <v>48.953433995285089</v>
      </c>
      <c r="DX118" s="173">
        <f ca="1">(VLOOKUP(DX$72,INDIRECT($C$5&amp;"生成成长"),2))/((VLOOKUP($B118,INDIRECT($B$5&amp;"生成成长"),4))/(VLOOKUP(DX$72,INDIRECT($C$5&amp;"生成成长"),5))*(VLOOKUP($B$5,标准坦克设计!$B$24:$U$30,MATCH("对"&amp;LEFT($C$5,2)&amp;"输出",标准坦克设计!$B$23:$U$23,0)))*(VLOOKUP($B118,INDIRECT($B$5&amp;"生成成长"),3))*(VLOOKUP($B$5,标准坦克设计!$B$14:$K$20,9)/30))</f>
        <v>52.962899944949527</v>
      </c>
      <c r="DY118" s="173">
        <f ca="1">(VLOOKUP(DY$72,INDIRECT($C$5&amp;"生成成长"),2))/((VLOOKUP($B118,INDIRECT($B$5&amp;"生成成长"),4))/(VLOOKUP(DY$72,INDIRECT($C$5&amp;"生成成长"),5))*(VLOOKUP($B$5,标准坦克设计!$B$24:$U$30,MATCH("对"&amp;LEFT($C$5,2)&amp;"输出",标准坦克设计!$B$23:$U$23,0)))*(VLOOKUP($B118,INDIRECT($B$5&amp;"生成成长"),3))*(VLOOKUP($B$5,标准坦克设计!$B$14:$K$20,9)/30))</f>
        <v>23.787498342772597</v>
      </c>
      <c r="DZ118" s="173">
        <f ca="1">(VLOOKUP(DZ$72,INDIRECT($C$5&amp;"生成成长"),2))/((VLOOKUP($B118,INDIRECT($B$5&amp;"生成成长"),4))/(VLOOKUP(DZ$72,INDIRECT($C$5&amp;"生成成长"),5))*(VLOOKUP($B$5,标准坦克设计!$B$24:$U$30,MATCH("对"&amp;LEFT($C$5,2)&amp;"输出",标准坦克设计!$B$23:$U$23,0)))*(VLOOKUP($B118,INDIRECT($B$5&amp;"生成成长"),3))*(VLOOKUP($B$5,标准坦克设计!$B$14:$K$20,9)/30))</f>
        <v>26.34354103633002</v>
      </c>
      <c r="EA118" s="173">
        <f ca="1">(VLOOKUP(EA$72,INDIRECT($C$5&amp;"生成成长"),2))/((VLOOKUP($B118,INDIRECT($B$5&amp;"生成成长"),4))/(VLOOKUP(EA$72,INDIRECT($C$5&amp;"生成成长"),5))*(VLOOKUP($B$5,标准坦克设计!$B$24:$U$30,MATCH("对"&amp;LEFT($C$5,2)&amp;"输出",标准坦克设计!$B$23:$U$23,0)))*(VLOOKUP($B118,INDIRECT($B$5&amp;"生成成长"),3))*(VLOOKUP($B$5,标准坦克设计!$B$14:$K$20,9)/30))</f>
        <v>29.029994071395489</v>
      </c>
      <c r="EB118" s="173">
        <f ca="1">(VLOOKUP(EB$72,INDIRECT($C$5&amp;"生成成长"),2))/((VLOOKUP($B118,INDIRECT($B$5&amp;"生成成长"),4))/(VLOOKUP(EB$72,INDIRECT($C$5&amp;"生成成长"),5))*(VLOOKUP($B$5,标准坦克设计!$B$24:$U$30,MATCH("对"&amp;LEFT($C$5,2)&amp;"输出",标准坦克设计!$B$23:$U$23,0)))*(VLOOKUP($B118,INDIRECT($B$5&amp;"生成成长"),3))*(VLOOKUP($B$5,标准坦克设计!$B$14:$K$20,9)/30))</f>
        <v>31.846857447968976</v>
      </c>
      <c r="EC118" s="173">
        <f ca="1">(VLOOKUP(EC$72,INDIRECT($C$5&amp;"生成成长"),2))/((VLOOKUP($B118,INDIRECT($B$5&amp;"生成成长"),4))/(VLOOKUP(EC$72,INDIRECT($C$5&amp;"生成成长"),5))*(VLOOKUP($B$5,标准坦克设计!$B$24:$U$30,MATCH("对"&amp;LEFT($C$5,2)&amp;"输出",标准坦克设计!$B$23:$U$23,0)))*(VLOOKUP($B118,INDIRECT($B$5&amp;"生成成长"),3))*(VLOOKUP($B$5,标准坦克设计!$B$14:$K$20,9)/30))</f>
        <v>34.794131166050505</v>
      </c>
      <c r="ED118" s="173">
        <f ca="1">(VLOOKUP(ED$72,INDIRECT($C$5&amp;"生成成长"),2))/((VLOOKUP($B118,INDIRECT($B$5&amp;"生成成长"),4))/(VLOOKUP(ED$72,INDIRECT($C$5&amp;"生成成长"),5))*(VLOOKUP($B$5,标准坦克设计!$B$24:$U$30,MATCH("对"&amp;LEFT($C$5,2)&amp;"输出",标准坦克设计!$B$23:$U$23,0)))*(VLOOKUP($B118,INDIRECT($B$5&amp;"生成成长"),3))*(VLOOKUP($B$5,标准坦克设计!$B$14:$K$20,9)/30))</f>
        <v>37.871815225640063</v>
      </c>
      <c r="EE118" s="173">
        <f ca="1">(VLOOKUP(EE$72,INDIRECT($C$5&amp;"生成成长"),2))/((VLOOKUP($B118,INDIRECT($B$5&amp;"生成成长"),4))/(VLOOKUP(EE$72,INDIRECT($C$5&amp;"生成成长"),5))*(VLOOKUP($B$5,标准坦克设计!$B$24:$U$30,MATCH("对"&amp;LEFT($C$5,2)&amp;"输出",标准坦克设计!$B$23:$U$23,0)))*(VLOOKUP($B118,INDIRECT($B$5&amp;"生成成长"),3))*(VLOOKUP($B$5,标准坦克设计!$B$14:$K$20,9)/30))</f>
        <v>41.079909626737653</v>
      </c>
      <c r="EF118" s="173">
        <f ca="1">(VLOOKUP(EF$72,INDIRECT($C$5&amp;"生成成长"),2))/((VLOOKUP($B118,INDIRECT($B$5&amp;"生成成长"),4))/(VLOOKUP(EF$72,INDIRECT($C$5&amp;"生成成长"),5))*(VLOOKUP($B$5,标准坦克设计!$B$24:$U$30,MATCH("对"&amp;LEFT($C$5,2)&amp;"输出",标准坦克设计!$B$23:$U$23,0)))*(VLOOKUP($B118,INDIRECT($B$5&amp;"生成成长"),3))*(VLOOKUP($B$5,标准坦克设计!$B$14:$K$20,9)/30))</f>
        <v>44.418414369343274</v>
      </c>
      <c r="EG118" s="173">
        <f ca="1">(VLOOKUP(EG$72,INDIRECT($C$5&amp;"生成成长"),2))/((VLOOKUP($B118,INDIRECT($B$5&amp;"生成成长"),4))/(VLOOKUP(EG$72,INDIRECT($C$5&amp;"生成成长"),5))*(VLOOKUP($B$5,标准坦克设计!$B$24:$U$30,MATCH("对"&amp;LEFT($C$5,2)&amp;"输出",标准坦克设计!$B$23:$U$23,0)))*(VLOOKUP($B118,INDIRECT($B$5&amp;"生成成长"),3))*(VLOOKUP($B$5,标准坦克设计!$B$14:$K$20,9)/30))</f>
        <v>47.887329453456935</v>
      </c>
      <c r="EH118" s="173">
        <f ca="1">(VLOOKUP(EH$72,INDIRECT($C$5&amp;"生成成长"),2))/((VLOOKUP($B118,INDIRECT($B$5&amp;"生成成长"),4))/(VLOOKUP(EH$72,INDIRECT($C$5&amp;"生成成长"),5))*(VLOOKUP($B$5,标准坦克设计!$B$24:$U$30,MATCH("对"&amp;LEFT($C$5,2)&amp;"输出",标准坦克设计!$B$23:$U$23,0)))*(VLOOKUP($B118,INDIRECT($B$5&amp;"生成成长"),3))*(VLOOKUP($B$5,标准坦克设计!$B$14:$K$20,9)/30))</f>
        <v>51.486654879078614</v>
      </c>
      <c r="EI118" s="173">
        <f ca="1">(VLOOKUP(EI$72,INDIRECT($C$5&amp;"生成成长"),2))/((VLOOKUP($B118,INDIRECT($B$5&amp;"生成成长"),4))/(VLOOKUP(EI$72,INDIRECT($C$5&amp;"生成成长"),5))*(VLOOKUP($B$5,标准坦克设计!$B$24:$U$30,MATCH("对"&amp;LEFT($C$5,2)&amp;"输出",标准坦克设计!$B$23:$U$23,0)))*(VLOOKUP($B118,INDIRECT($B$5&amp;"生成成长"),3))*(VLOOKUP($B$5,标准坦克设计!$B$14:$K$20,9)/30))</f>
        <v>55.216390646208332</v>
      </c>
      <c r="EJ118" s="173">
        <f ca="1">(VLOOKUP(EJ$72,INDIRECT($C$5&amp;"生成成长"),2))/((VLOOKUP($B118,INDIRECT($B$5&amp;"生成成长"),4))/(VLOOKUP(EJ$72,INDIRECT($C$5&amp;"生成成长"),5))*(VLOOKUP($B$5,标准坦克设计!$B$24:$U$30,MATCH("对"&amp;LEFT($C$5,2)&amp;"输出",标准坦克设计!$B$23:$U$23,0)))*(VLOOKUP($B118,INDIRECT($B$5&amp;"生成成长"),3))*(VLOOKUP($B$5,标准坦克设计!$B$14:$K$20,9)/30))</f>
        <v>59.076536754846082</v>
      </c>
      <c r="EK118" s="173">
        <f ca="1">(VLOOKUP(EK$72,INDIRECT($C$5&amp;"生成成长"),2))/((VLOOKUP($B118,INDIRECT($B$5&amp;"生成成长"),4))/(VLOOKUP(EK$72,INDIRECT($C$5&amp;"生成成长"),5))*(VLOOKUP($B$5,标准坦克设计!$B$24:$U$30,MATCH("对"&amp;LEFT($C$5,2)&amp;"输出",标准坦克设计!$B$23:$U$23,0)))*(VLOOKUP($B118,INDIRECT($B$5&amp;"生成成长"),3))*(VLOOKUP($B$5,标准坦克设计!$B$14:$K$20,9)/30))</f>
        <v>63.880853736001981</v>
      </c>
      <c r="EL118" s="173">
        <f ca="1">(VLOOKUP(EL$72,INDIRECT($C$5&amp;"生成成长"),2))/((VLOOKUP($B118,INDIRECT($B$5&amp;"生成成长"),4))/(VLOOKUP(EL$72,INDIRECT($C$5&amp;"生成成长"),5))*(VLOOKUP($B$5,标准坦克设计!$B$24:$U$30,MATCH("对"&amp;LEFT($C$5,2)&amp;"输出",标准坦克设计!$B$23:$U$23,0)))*(VLOOKUP($B118,INDIRECT($B$5&amp;"生成成长"),3))*(VLOOKUP($B$5,标准坦克设计!$B$14:$K$20,9)/30))</f>
        <v>68.872961608929444</v>
      </c>
      <c r="EM118" s="173">
        <f ca="1">(VLOOKUP(EM$72,INDIRECT($C$5&amp;"生成成长"),2))/((VLOOKUP($B118,INDIRECT($B$5&amp;"生成成长"),4))/(VLOOKUP(EM$72,INDIRECT($C$5&amp;"生成成长"),5))*(VLOOKUP($B$5,标准坦克设计!$B$24:$U$30,MATCH("对"&amp;LEFT($C$5,2)&amp;"输出",标准坦克设计!$B$23:$U$23,0)))*(VLOOKUP($B118,INDIRECT($B$5&amp;"生成成长"),3))*(VLOOKUP($B$5,标准坦克设计!$B$14:$K$20,9)/30))</f>
        <v>74.052860373628491</v>
      </c>
      <c r="EN118" s="173">
        <f ca="1">(VLOOKUP(EN$72,INDIRECT($C$5&amp;"生成成长"),2))/((VLOOKUP($B118,INDIRECT($B$5&amp;"生成成长"),4))/(VLOOKUP(EN$72,INDIRECT($C$5&amp;"生成成长"),5))*(VLOOKUP($B$5,标准坦克设计!$B$24:$U$30,MATCH("对"&amp;LEFT($C$5,2)&amp;"输出",标准坦克设计!$B$23:$U$23,0)))*(VLOOKUP($B118,INDIRECT($B$5&amp;"生成成长"),3))*(VLOOKUP($B$5,标准坦克设计!$B$14:$K$20,9)/30))</f>
        <v>79.420550030099079</v>
      </c>
      <c r="EO118" s="173">
        <f ca="1">(VLOOKUP(EO$72,INDIRECT($C$5&amp;"生成成长"),2))/((VLOOKUP($B118,INDIRECT($B$5&amp;"生成成长"),4))/(VLOOKUP(EO$72,INDIRECT($C$5&amp;"生成成长"),5))*(VLOOKUP($B$5,标准坦克设计!$B$24:$U$30,MATCH("对"&amp;LEFT($C$5,2)&amp;"输出",标准坦克设计!$B$23:$U$23,0)))*(VLOOKUP($B118,INDIRECT($B$5&amp;"生成成长"),3))*(VLOOKUP($B$5,标准坦克设计!$B$14:$K$20,9)/30))</f>
        <v>84.976030578341238</v>
      </c>
      <c r="EP118" s="173">
        <f ca="1">(VLOOKUP(EP$72,INDIRECT($C$5&amp;"生成成长"),2))/((VLOOKUP($B118,INDIRECT($B$5&amp;"生成成长"),4))/(VLOOKUP(EP$72,INDIRECT($C$5&amp;"生成成长"),5))*(VLOOKUP($B$5,标准坦克设计!$B$24:$U$30,MATCH("对"&amp;LEFT($C$5,2)&amp;"输出",标准坦克设计!$B$23:$U$23,0)))*(VLOOKUP($B118,INDIRECT($B$5&amp;"生成成长"),3))*(VLOOKUP($B$5,标准坦克设计!$B$14:$K$20,9)/30))</f>
        <v>90.719302018354981</v>
      </c>
      <c r="EQ118" s="173">
        <f ca="1">(VLOOKUP(EQ$72,INDIRECT($C$5&amp;"生成成长"),2))/((VLOOKUP($B118,INDIRECT($B$5&amp;"生成成长"),4))/(VLOOKUP(EQ$72,INDIRECT($C$5&amp;"生成成长"),5))*(VLOOKUP($B$5,标准坦克设计!$B$24:$U$30,MATCH("对"&amp;LEFT($C$5,2)&amp;"输出",标准坦克设计!$B$23:$U$23,0)))*(VLOOKUP($B118,INDIRECT($B$5&amp;"生成成长"),3))*(VLOOKUP($B$5,标准坦克设计!$B$14:$K$20,9)/30))</f>
        <v>40.10378822055003</v>
      </c>
      <c r="ER118" s="173">
        <f ca="1">(VLOOKUP(ER$72,INDIRECT($C$5&amp;"生成成长"),2))/((VLOOKUP($B118,INDIRECT($B$5&amp;"生成成长"),4))/(VLOOKUP(ER$72,INDIRECT($C$5&amp;"生成成长"),5))*(VLOOKUP($B$5,标准坦克设计!$B$24:$U$30,MATCH("对"&amp;LEFT($C$5,2)&amp;"输出",标准坦克设计!$B$23:$U$23,0)))*(VLOOKUP($B118,INDIRECT($B$5&amp;"生成成长"),3))*(VLOOKUP($B$5,标准坦克设计!$B$14:$K$20,9)/30))</f>
        <v>43.74028059350151</v>
      </c>
      <c r="ES118" s="173">
        <f ca="1">(VLOOKUP(ES$72,INDIRECT($C$5&amp;"生成成长"),2))/((VLOOKUP($B118,INDIRECT($B$5&amp;"生成成长"),4))/(VLOOKUP(ES$72,INDIRECT($C$5&amp;"生成成长"),5))*(VLOOKUP($B$5,标准坦克设计!$B$24:$U$30,MATCH("对"&amp;LEFT($C$5,2)&amp;"输出",标准坦克设计!$B$23:$U$23,0)))*(VLOOKUP($B118,INDIRECT($B$5&amp;"生成成长"),3))*(VLOOKUP($B$5,标准坦克设计!$B$14:$K$20,9)/30))</f>
        <v>47.5345694796777</v>
      </c>
      <c r="ET118" s="173">
        <f ca="1">(VLOOKUP(ET$72,INDIRECT($C$5&amp;"生成成长"),2))/((VLOOKUP($B118,INDIRECT($B$5&amp;"生成成长"),4))/(VLOOKUP(ET$72,INDIRECT($C$5&amp;"生成成长"),5))*(VLOOKUP($B$5,标准坦克设计!$B$24:$U$30,MATCH("对"&amp;LEFT($C$5,2)&amp;"输出",标准坦克设计!$B$23:$U$23,0)))*(VLOOKUP($B118,INDIRECT($B$5&amp;"生成成长"),3))*(VLOOKUP($B$5,标准坦克设计!$B$14:$K$20,9)/30))</f>
        <v>51.486654879078614</v>
      </c>
      <c r="EU118" s="173">
        <f ca="1">(VLOOKUP(EU$72,INDIRECT($C$5&amp;"生成成长"),2))/((VLOOKUP($B118,INDIRECT($B$5&amp;"生成成长"),4))/(VLOOKUP(EU$72,INDIRECT($C$5&amp;"生成成长"),5))*(VLOOKUP($B$5,标准坦克设计!$B$24:$U$30,MATCH("对"&amp;LEFT($C$5,2)&amp;"输出",标准坦克设计!$B$23:$U$23,0)))*(VLOOKUP($B118,INDIRECT($B$5&amp;"生成成长"),3))*(VLOOKUP($B$5,标准坦克设计!$B$14:$K$20,9)/30))</f>
        <v>55.596536791704239</v>
      </c>
      <c r="EV118" s="173">
        <f ca="1">(VLOOKUP(EV$72,INDIRECT($C$5&amp;"生成成长"),2))/((VLOOKUP($B118,INDIRECT($B$5&amp;"生成成长"),4))/(VLOOKUP(EV$72,INDIRECT($C$5&amp;"生成成长"),5))*(VLOOKUP($B$5,标准坦克设计!$B$24:$U$30,MATCH("对"&amp;LEFT($C$5,2)&amp;"输出",标准坦克设计!$B$23:$U$23,0)))*(VLOOKUP($B118,INDIRECT($B$5&amp;"生成成长"),3))*(VLOOKUP($B$5,标准坦克设计!$B$14:$K$20,9)/30))</f>
        <v>59.864215217554587</v>
      </c>
      <c r="EW118" s="173">
        <f ca="1">(VLOOKUP(EW$72,INDIRECT($C$5&amp;"生成成长"),2))/((VLOOKUP($B118,INDIRECT($B$5&amp;"生成成长"),4))/(VLOOKUP(EW$72,INDIRECT($C$5&amp;"生成成长"),5))*(VLOOKUP($B$5,标准坦克设计!$B$24:$U$30,MATCH("对"&amp;LEFT($C$5,2)&amp;"输出",标准坦克设计!$B$23:$U$23,0)))*(VLOOKUP($B118,INDIRECT($B$5&amp;"生成成长"),3))*(VLOOKUP($B$5,标准坦克设计!$B$14:$K$20,9)/30))</f>
        <v>64.289690156629661</v>
      </c>
      <c r="EX118" s="173">
        <f ca="1">(VLOOKUP(EX$72,INDIRECT($C$5&amp;"生成成长"),2))/((VLOOKUP($B118,INDIRECT($B$5&amp;"生成成长"),4))/(VLOOKUP(EX$72,INDIRECT($C$5&amp;"生成成长"),5))*(VLOOKUP($B$5,标准坦克设计!$B$24:$U$30,MATCH("对"&amp;LEFT($C$5,2)&amp;"输出",标准坦克设计!$B$23:$U$23,0)))*(VLOOKUP($B118,INDIRECT($B$5&amp;"生成成长"),3))*(VLOOKUP($B$5,标准坦克设计!$B$14:$K$20,9)/30))</f>
        <v>68.872961608929444</v>
      </c>
      <c r="EY118" s="173">
        <f ca="1">(VLOOKUP(EY$72,INDIRECT($C$5&amp;"生成成长"),2))/((VLOOKUP($B118,INDIRECT($B$5&amp;"生成成长"),4))/(VLOOKUP(EY$72,INDIRECT($C$5&amp;"生成成长"),5))*(VLOOKUP($B$5,标准坦克设计!$B$24:$U$30,MATCH("对"&amp;LEFT($C$5,2)&amp;"输出",标准坦克设计!$B$23:$U$23,0)))*(VLOOKUP($B118,INDIRECT($B$5&amp;"生成成长"),3))*(VLOOKUP($B$5,标准坦克设计!$B$14:$K$20,9)/30))</f>
        <v>73.614029574453966</v>
      </c>
      <c r="EZ118" s="173">
        <f ca="1">(VLOOKUP(EZ$72,INDIRECT($C$5&amp;"生成成长"),2))/((VLOOKUP($B118,INDIRECT($B$5&amp;"生成成长"),4))/(VLOOKUP(EZ$72,INDIRECT($C$5&amp;"生成成长"),5))*(VLOOKUP($B$5,标准坦克设计!$B$24:$U$30,MATCH("对"&amp;LEFT($C$5,2)&amp;"输出",标准坦克设计!$B$23:$U$23,0)))*(VLOOKUP($B118,INDIRECT($B$5&amp;"生成成长"),3))*(VLOOKUP($B$5,标准坦克设计!$B$14:$K$20,9)/30))</f>
        <v>78.512894053203183</v>
      </c>
      <c r="FA118" s="173">
        <f ca="1">(VLOOKUP(FA$72,INDIRECT($C$5&amp;"生成成长"),2))/((VLOOKUP($B118,INDIRECT($B$5&amp;"生成成长"),4))/(VLOOKUP(FA$72,INDIRECT($C$5&amp;"生成成长"),5))*(VLOOKUP($B$5,标准坦克设计!$B$24:$U$30,MATCH("对"&amp;LEFT($C$5,2)&amp;"输出",标准坦克设计!$B$23:$U$23,0)))*(VLOOKUP($B118,INDIRECT($B$5&amp;"生成成长"),3))*(VLOOKUP($B$5,标准坦克设计!$B$14:$K$20,9)/30))</f>
        <v>83.56955504517714</v>
      </c>
      <c r="FB118" s="173">
        <f ca="1">(VLOOKUP(FB$72,INDIRECT($C$5&amp;"生成成长"),2))/((VLOOKUP($B118,INDIRECT($B$5&amp;"生成成长"),4))/(VLOOKUP(FB$72,INDIRECT($C$5&amp;"生成成长"),5))*(VLOOKUP($B$5,标准坦克设计!$B$24:$U$30,MATCH("对"&amp;LEFT($C$5,2)&amp;"输出",标准坦克设计!$B$23:$U$23,0)))*(VLOOKUP($B118,INDIRECT($B$5&amp;"生成成长"),3))*(VLOOKUP($B$5,标准坦克设计!$B$14:$K$20,9)/30))</f>
        <v>88.784012550375806</v>
      </c>
      <c r="FC118" s="173">
        <f ca="1">(VLOOKUP(FC$72,INDIRECT($C$5&amp;"生成成长"),2))/((VLOOKUP($B118,INDIRECT($B$5&amp;"生成成长"),4))/(VLOOKUP(FC$72,INDIRECT($C$5&amp;"生成成长"),5))*(VLOOKUP($B$5,标准坦克设计!$B$24:$U$30,MATCH("对"&amp;LEFT($C$5,2)&amp;"输出",标准坦克设计!$B$23:$U$23,0)))*(VLOOKUP($B118,INDIRECT($B$5&amp;"生成成长"),3))*(VLOOKUP($B$5,标准坦克设计!$B$14:$K$20,9)/30))</f>
        <v>94.156266568799182</v>
      </c>
      <c r="FD118" s="173">
        <f ca="1">(VLOOKUP(FD$72,INDIRECT($C$5&amp;"生成成长"),2))/((VLOOKUP($B118,INDIRECT($B$5&amp;"生成成长"),4))/(VLOOKUP(FD$72,INDIRECT($C$5&amp;"生成成长"),5))*(VLOOKUP($B$5,标准坦克设计!$B$24:$U$30,MATCH("对"&amp;LEFT($C$5,2)&amp;"输出",标准坦克设计!$B$23:$U$23,0)))*(VLOOKUP($B118,INDIRECT($B$5&amp;"生成成长"),3))*(VLOOKUP($B$5,标准坦克设计!$B$14:$K$20,9)/30))</f>
        <v>99.686317100447283</v>
      </c>
      <c r="FE118" s="173">
        <f ca="1">(VLOOKUP(FE$72,INDIRECT($C$5&amp;"生成成长"),2))/((VLOOKUP($B118,INDIRECT($B$5&amp;"生成成长"),4))/(VLOOKUP(FE$72,INDIRECT($C$5&amp;"生成成长"),5))*(VLOOKUP($B$5,标准坦克设计!$B$24:$U$30,MATCH("对"&amp;LEFT($C$5,2)&amp;"输出",标准坦克设计!$B$23:$U$23,0)))*(VLOOKUP($B118,INDIRECT($B$5&amp;"生成成长"),3))*(VLOOKUP($B$5,标准坦克设计!$B$14:$K$20,9)/30))</f>
        <v>106.42527149787485</v>
      </c>
      <c r="FF118" s="173">
        <f ca="1">(VLOOKUP(FF$72,INDIRECT($C$5&amp;"生成成长"),2))/((VLOOKUP($B118,INDIRECT($B$5&amp;"生成成长"),4))/(VLOOKUP(FF$72,INDIRECT($C$5&amp;"生成成长"),5))*(VLOOKUP($B$5,标准坦克设计!$B$24:$U$30,MATCH("对"&amp;LEFT($C$5,2)&amp;"输出",标准坦克设计!$B$23:$U$23,0)))*(VLOOKUP($B118,INDIRECT($B$5&amp;"生成成长"),3))*(VLOOKUP($B$5,标准坦克设计!$B$14:$K$20,9)/30))</f>
        <v>113.38461937245098</v>
      </c>
      <c r="FG118" s="173">
        <f ca="1">(VLOOKUP(FG$72,INDIRECT($C$5&amp;"生成成长"),2))/((VLOOKUP($B118,INDIRECT($B$5&amp;"生成成长"),4))/(VLOOKUP(FG$72,INDIRECT($C$5&amp;"生成成长"),5))*(VLOOKUP($B$5,标准坦克设计!$B$24:$U$30,MATCH("对"&amp;LEFT($C$5,2)&amp;"输出",标准坦克设计!$B$23:$U$23,0)))*(VLOOKUP($B118,INDIRECT($B$5&amp;"生成成长"),3))*(VLOOKUP($B$5,标准坦克设计!$B$14:$K$20,9)/30))</f>
        <v>120.56436072417567</v>
      </c>
      <c r="FH118" s="173">
        <f ca="1">(VLOOKUP(FH$72,INDIRECT($C$5&amp;"生成成长"),2))/((VLOOKUP($B118,INDIRECT($B$5&amp;"生成成长"),4))/(VLOOKUP(FH$72,INDIRECT($C$5&amp;"生成成长"),5))*(VLOOKUP($B$5,标准坦克设计!$B$24:$U$30,MATCH("对"&amp;LEFT($C$5,2)&amp;"输出",标准坦克设计!$B$23:$U$23,0)))*(VLOOKUP($B118,INDIRECT($B$5&amp;"生成成长"),3))*(VLOOKUP($B$5,标准坦克设计!$B$14:$K$20,9)/30))</f>
        <v>127.96449555304898</v>
      </c>
      <c r="FI118" s="173">
        <f ca="1">(VLOOKUP(FI$72,INDIRECT($C$5&amp;"生成成长"),2))/((VLOOKUP($B118,INDIRECT($B$5&amp;"生成成长"),4))/(VLOOKUP(FI$72,INDIRECT($C$5&amp;"生成成长"),5))*(VLOOKUP($B$5,标准坦克设计!$B$24:$U$30,MATCH("对"&amp;LEFT($C$5,2)&amp;"输出",标准坦克设计!$B$23:$U$23,0)))*(VLOOKUP($B118,INDIRECT($B$5&amp;"生成成长"),3))*(VLOOKUP($B$5,标准坦克设计!$B$14:$K$20,9)/30))</f>
        <v>135.58502385907079</v>
      </c>
      <c r="FJ118" s="173">
        <f ca="1">(VLOOKUP(FJ$72,INDIRECT($C$5&amp;"生成成长"),2))/((VLOOKUP($B118,INDIRECT($B$5&amp;"生成成长"),4))/(VLOOKUP(FJ$72,INDIRECT($C$5&amp;"生成成长"),5))*(VLOOKUP($B$5,标准坦克设计!$B$24:$U$30,MATCH("对"&amp;LEFT($C$5,2)&amp;"输出",标准坦克设计!$B$23:$U$23,0)))*(VLOOKUP($B118,INDIRECT($B$5&amp;"生成成长"),3))*(VLOOKUP($B$5,标准坦克设计!$B$14:$K$20,9)/30))</f>
        <v>143.42594564224123</v>
      </c>
      <c r="FK118" s="173">
        <f ca="1">(VLOOKUP(FK$72,INDIRECT($C$5&amp;"生成成长"),2))/((VLOOKUP($B118,INDIRECT($B$5&amp;"生成成长"),4))/(VLOOKUP(FK$72,INDIRECT($C$5&amp;"生成成长"),5))*(VLOOKUP($B$5,标准坦克设计!$B$24:$U$30,MATCH("对"&amp;LEFT($C$5,2)&amp;"输出",标准坦克设计!$B$23:$U$23,0)))*(VLOOKUP($B118,INDIRECT($B$5&amp;"生成成长"),3))*(VLOOKUP($B$5,标准坦克设计!$B$14:$K$20,9)/30))</f>
        <v>151.48726090256025</v>
      </c>
    </row>
    <row r="119" spans="1:167" x14ac:dyDescent="0.15">
      <c r="A119" s="171" t="str">
        <f t="shared" si="11"/>
        <v>T2中品质2级</v>
      </c>
      <c r="B119" s="172">
        <v>20202</v>
      </c>
      <c r="C119" s="173">
        <f ca="1">(VLOOKUP(C$72,INDIRECT($C$5&amp;"生成成长"),2))/((VLOOKUP($B119,INDIRECT($B$5&amp;"生成成长"),4))/(VLOOKUP(C$72,INDIRECT($C$5&amp;"生成成长"),5))*(VLOOKUP($B$5,标准坦克设计!$B$24:$U$30,MATCH("对"&amp;LEFT($C$5,2)&amp;"输出",标准坦克设计!$B$23:$U$23,0)))*(VLOOKUP($B119,INDIRECT($B$5&amp;"生成成长"),3))*(VLOOKUP($B$5,标准坦克设计!$B$14:$K$20,9)/30))</f>
        <v>5.7401250317741743</v>
      </c>
      <c r="D119" s="173">
        <f ca="1">(VLOOKUP(D$72,INDIRECT($C$5&amp;"生成成长"),2))/((VLOOKUP($B119,INDIRECT($B$5&amp;"生成成长"),4))/(VLOOKUP(D$72,INDIRECT($C$5&amp;"生成成长"),5))*(VLOOKUP($B$5,标准坦克设计!$B$24:$U$30,MATCH("对"&amp;LEFT($C$5,2)&amp;"输出",标准坦克设计!$B$23:$U$23,0)))*(VLOOKUP($B119,INDIRECT($B$5&amp;"生成成长"),3))*(VLOOKUP($B$5,标准坦克设计!$B$14:$K$20,9)/30))</f>
        <v>6.4496044857014638</v>
      </c>
      <c r="E119" s="173">
        <f ca="1">(VLOOKUP(E$72,INDIRECT($C$5&amp;"生成成长"),2))/((VLOOKUP($B119,INDIRECT($B$5&amp;"生成成长"),4))/(VLOOKUP(E$72,INDIRECT($C$5&amp;"生成成长"),5))*(VLOOKUP($B$5,标准坦克设计!$B$24:$U$30,MATCH("对"&amp;LEFT($C$5,2)&amp;"输出",标准坦克设计!$B$23:$U$23,0)))*(VLOOKUP($B119,INDIRECT($B$5&amp;"生成成长"),3))*(VLOOKUP($B$5,标准坦克设计!$B$14:$K$20,9)/30))</f>
        <v>7.2004128398575258</v>
      </c>
      <c r="F119" s="173">
        <f ca="1">(VLOOKUP(F$72,INDIRECT($C$5&amp;"生成成长"),2))/((VLOOKUP($B119,INDIRECT($B$5&amp;"生成成长"),4))/(VLOOKUP(F$72,INDIRECT($C$5&amp;"生成成长"),5))*(VLOOKUP($B$5,标准坦克设计!$B$24:$U$30,MATCH("对"&amp;LEFT($C$5,2)&amp;"输出",标准坦克设计!$B$23:$U$23,0)))*(VLOOKUP($B119,INDIRECT($B$5&amp;"生成成长"),3))*(VLOOKUP($B$5,标准坦克设计!$B$14:$K$20,9)/30))</f>
        <v>7.9925500942423602</v>
      </c>
      <c r="G119" s="173">
        <f ca="1">(VLOOKUP(G$72,INDIRECT($C$5&amp;"生成成长"),2))/((VLOOKUP($B119,INDIRECT($B$5&amp;"生成成长"),4))/(VLOOKUP(G$72,INDIRECT($C$5&amp;"生成成长"),5))*(VLOOKUP($B$5,标准坦克设计!$B$24:$U$30,MATCH("对"&amp;LEFT($C$5,2)&amp;"输出",标准坦克设计!$B$23:$U$23,0)))*(VLOOKUP($B119,INDIRECT($B$5&amp;"生成成长"),3))*(VLOOKUP($B$5,标准坦克设计!$B$14:$K$20,9)/30))</f>
        <v>8.8260162488559715</v>
      </c>
      <c r="H119" s="173">
        <f ca="1">(VLOOKUP(H$72,INDIRECT($C$5&amp;"生成成长"),2))/((VLOOKUP($B119,INDIRECT($B$5&amp;"生成成长"),4))/(VLOOKUP(H$72,INDIRECT($C$5&amp;"生成成长"),5))*(VLOOKUP($B$5,标准坦克设计!$B$24:$U$30,MATCH("对"&amp;LEFT($C$5,2)&amp;"输出",标准坦克设计!$B$23:$U$23,0)))*(VLOOKUP($B119,INDIRECT($B$5&amp;"生成成长"),3))*(VLOOKUP($B$5,标准坦克设计!$B$14:$K$20,9)/30))</f>
        <v>7.7239122427553299</v>
      </c>
      <c r="I119" s="173">
        <f ca="1">(VLOOKUP(I$72,INDIRECT($C$5&amp;"生成成长"),2))/((VLOOKUP($B119,INDIRECT($B$5&amp;"生成成长"),4))/(VLOOKUP(I$72,INDIRECT($C$5&amp;"生成成长"),5))*(VLOOKUP($B$5,标准坦克设计!$B$24:$U$30,MATCH("对"&amp;LEFT($C$5,2)&amp;"输出",标准坦克设计!$B$23:$U$23,0)))*(VLOOKUP($B119,INDIRECT($B$5&amp;"生成成长"),3))*(VLOOKUP($B$5,标准坦克设计!$B$14:$K$20,9)/30))</f>
        <v>8.8260162488559715</v>
      </c>
      <c r="J119" s="173">
        <f ca="1">(VLOOKUP(J$72,INDIRECT($C$5&amp;"生成成长"),2))/((VLOOKUP($B119,INDIRECT($B$5&amp;"生成成长"),4))/(VLOOKUP(J$72,INDIRECT($C$5&amp;"生成成长"),5))*(VLOOKUP($B$5,标准坦克设计!$B$24:$U$30,MATCH("对"&amp;LEFT($C$5,2)&amp;"输出",标准坦克设计!$B$23:$U$23,0)))*(VLOOKUP($B119,INDIRECT($B$5&amp;"生成成长"),3))*(VLOOKUP($B$5,标准坦克设计!$B$14:$K$20,9)/30))</f>
        <v>10.001593855363321</v>
      </c>
      <c r="K119" s="173">
        <f ca="1">(VLOOKUP(K$72,INDIRECT($C$5&amp;"生成成长"),2))/((VLOOKUP($B119,INDIRECT($B$5&amp;"生成成长"),4))/(VLOOKUP(K$72,INDIRECT($C$5&amp;"生成成长"),5))*(VLOOKUP($B$5,标准坦克设计!$B$24:$U$30,MATCH("对"&amp;LEFT($C$5,2)&amp;"输出",标准坦克设计!$B$23:$U$23,0)))*(VLOOKUP($B119,INDIRECT($B$5&amp;"生成成长"),3))*(VLOOKUP($B$5,标准坦克设计!$B$14:$K$20,9)/30))</f>
        <v>11.25064506227738</v>
      </c>
      <c r="L119" s="173">
        <f ca="1">(VLOOKUP(L$72,INDIRECT($C$5&amp;"生成成长"),2))/((VLOOKUP($B119,INDIRECT($B$5&amp;"生成成长"),4))/(VLOOKUP(L$72,INDIRECT($C$5&amp;"生成成长"),5))*(VLOOKUP($B$5,标准坦克设计!$B$24:$U$30,MATCH("对"&amp;LEFT($C$5,2)&amp;"输出",标准坦克设计!$B$23:$U$23,0)))*(VLOOKUP($B119,INDIRECT($B$5&amp;"生成成长"),3))*(VLOOKUP($B$5,标准坦克设计!$B$14:$K$20,9)/30))</f>
        <v>12.573169869598152</v>
      </c>
      <c r="M119" s="173">
        <f ca="1">(VLOOKUP(M$72,INDIRECT($C$5&amp;"生成成长"),2))/((VLOOKUP($B119,INDIRECT($B$5&amp;"生成成长"),4))/(VLOOKUP(M$72,INDIRECT($C$5&amp;"生成成长"),5))*(VLOOKUP($B$5,标准坦克设计!$B$24:$U$30,MATCH("对"&amp;LEFT($C$5,2)&amp;"输出",标准坦克设计!$B$23:$U$23,0)))*(VLOOKUP($B119,INDIRECT($B$5&amp;"生成成长"),3))*(VLOOKUP($B$5,标准坦克设计!$B$14:$K$20,9)/30))</f>
        <v>13.969168277325631</v>
      </c>
      <c r="N119" s="173">
        <f ca="1">(VLOOKUP(N$72,INDIRECT($C$5&amp;"生成成长"),2))/((VLOOKUP($B119,INDIRECT($B$5&amp;"生成成长"),4))/(VLOOKUP(N$72,INDIRECT($C$5&amp;"生成成长"),5))*(VLOOKUP($B$5,标准坦克设计!$B$24:$U$30,MATCH("对"&amp;LEFT($C$5,2)&amp;"输出",标准坦克设计!$B$23:$U$23,0)))*(VLOOKUP($B119,INDIRECT($B$5&amp;"生成成长"),3))*(VLOOKUP($B$5,标准坦克设计!$B$14:$K$20,9)/30))</f>
        <v>15.438640285459819</v>
      </c>
      <c r="O119" s="173">
        <f ca="1">(VLOOKUP(O$72,INDIRECT($C$5&amp;"生成成长"),2))/((VLOOKUP($B119,INDIRECT($B$5&amp;"生成成长"),4))/(VLOOKUP(O$72,INDIRECT($C$5&amp;"生成成长"),5))*(VLOOKUP($B$5,标准坦克设计!$B$24:$U$30,MATCH("对"&amp;LEFT($C$5,2)&amp;"输出",标准坦克设计!$B$23:$U$23,0)))*(VLOOKUP($B119,INDIRECT($B$5&amp;"生成成长"),3))*(VLOOKUP($B$5,标准坦克设计!$B$14:$K$20,9)/30))</f>
        <v>11.737981677475011</v>
      </c>
      <c r="P119" s="173">
        <f ca="1">(VLOOKUP(P$72,INDIRECT($C$5&amp;"生成成长"),2))/((VLOOKUP($B119,INDIRECT($B$5&amp;"生成成长"),4))/(VLOOKUP(P$72,INDIRECT($C$5&amp;"生成成长"),5))*(VLOOKUP($B$5,标准坦克设计!$B$24:$U$30,MATCH("对"&amp;LEFT($C$5,2)&amp;"输出",标准坦克设计!$B$23:$U$23,0)))*(VLOOKUP($B119,INDIRECT($B$5&amp;"生成成长"),3))*(VLOOKUP($B$5,标准坦克设计!$B$14:$K$20,9)/30))</f>
        <v>13.261984873411052</v>
      </c>
      <c r="Q119" s="173">
        <f ca="1">(VLOOKUP(Q$72,INDIRECT($C$5&amp;"生成成长"),2))/((VLOOKUP($B119,INDIRECT($B$5&amp;"生成成长"),4))/(VLOOKUP(Q$72,INDIRECT($C$5&amp;"生成成长"),5))*(VLOOKUP($B$5,标准坦克设计!$B$24:$U$30,MATCH("对"&amp;LEFT($C$5,2)&amp;"输出",标准坦克设计!$B$23:$U$23,0)))*(VLOOKUP($B119,INDIRECT($B$5&amp;"生成成长"),3))*(VLOOKUP($B$5,标准坦克设计!$B$14:$K$20,9)/30))</f>
        <v>14.878978094861838</v>
      </c>
      <c r="R119" s="173">
        <f ca="1">(VLOOKUP(R$72,INDIRECT($C$5&amp;"生成成长"),2))/((VLOOKUP($B119,INDIRECT($B$5&amp;"生成成长"),4))/(VLOOKUP(R$72,INDIRECT($C$5&amp;"生成成长"),5))*(VLOOKUP($B$5,标准坦克设计!$B$24:$U$30,MATCH("对"&amp;LEFT($C$5,2)&amp;"输出",标准坦克设计!$B$23:$U$23,0)))*(VLOOKUP($B119,INDIRECT($B$5&amp;"生成成长"),3))*(VLOOKUP($B$5,标准坦克设计!$B$14:$K$20,9)/30))</f>
        <v>16.588961341827364</v>
      </c>
      <c r="S119" s="173">
        <f ca="1">(VLOOKUP(S$72,INDIRECT($C$5&amp;"生成成长"),2))/((VLOOKUP($B119,INDIRECT($B$5&amp;"生成成长"),4))/(VLOOKUP(S$72,INDIRECT($C$5&amp;"生成成长"),5))*(VLOOKUP($B$5,标准坦克设计!$B$24:$U$30,MATCH("对"&amp;LEFT($C$5,2)&amp;"输出",标准坦克设计!$B$23:$U$23,0)))*(VLOOKUP($B119,INDIRECT($B$5&amp;"生成成长"),3))*(VLOOKUP($B$5,标准坦克设计!$B$14:$K$20,9)/30))</f>
        <v>18.391934614307633</v>
      </c>
      <c r="T119" s="173">
        <f ca="1">(VLOOKUP(T$72,INDIRECT($C$5&amp;"生成成长"),2))/((VLOOKUP($B119,INDIRECT($B$5&amp;"生成成长"),4))/(VLOOKUP(T$72,INDIRECT($C$5&amp;"生成成长"),5))*(VLOOKUP($B$5,标准坦克设计!$B$24:$U$30,MATCH("对"&amp;LEFT($C$5,2)&amp;"输出",标准坦克设计!$B$23:$U$23,0)))*(VLOOKUP($B119,INDIRECT($B$5&amp;"生成成长"),3))*(VLOOKUP($B$5,标准坦克设计!$B$14:$K$20,9)/30))</f>
        <v>20.287897912302643</v>
      </c>
      <c r="U119" s="173">
        <f ca="1">(VLOOKUP(U$72,INDIRECT($C$5&amp;"生成成长"),2))/((VLOOKUP($B119,INDIRECT($B$5&amp;"生成成长"),4))/(VLOOKUP(U$72,INDIRECT($C$5&amp;"生成成长"),5))*(VLOOKUP($B$5,标准坦克设计!$B$24:$U$30,MATCH("对"&amp;LEFT($C$5,2)&amp;"输出",标准坦克设计!$B$23:$U$23,0)))*(VLOOKUP($B119,INDIRECT($B$5&amp;"生成成长"),3))*(VLOOKUP($B$5,标准坦克设计!$B$14:$K$20,9)/30))</f>
        <v>22.276851235812391</v>
      </c>
      <c r="V119" s="173">
        <f ca="1">(VLOOKUP(V$72,INDIRECT($C$5&amp;"生成成长"),2))/((VLOOKUP($B119,INDIRECT($B$5&amp;"生成成长"),4))/(VLOOKUP(V$72,INDIRECT($C$5&amp;"生成成长"),5))*(VLOOKUP($B$5,标准坦克设计!$B$24:$U$30,MATCH("对"&amp;LEFT($C$5,2)&amp;"输出",标准坦克设计!$B$23:$U$23,0)))*(VLOOKUP($B119,INDIRECT($B$5&amp;"生成成长"),3))*(VLOOKUP($B$5,标准坦克设计!$B$14:$K$20,9)/30))</f>
        <v>24.358794584836893</v>
      </c>
      <c r="W119" s="173">
        <f ca="1">(VLOOKUP(W$72,INDIRECT($C$5&amp;"生成成长"),2))/((VLOOKUP($B119,INDIRECT($B$5&amp;"生成成长"),4))/(VLOOKUP(W$72,INDIRECT($C$5&amp;"生成成长"),5))*(VLOOKUP($B$5,标准坦克设计!$B$24:$U$30,MATCH("对"&amp;LEFT($C$5,2)&amp;"输出",标准坦克设计!$B$23:$U$23,0)))*(VLOOKUP($B119,INDIRECT($B$5&amp;"生成成长"),3))*(VLOOKUP($B$5,标准坦克设计!$B$14:$K$20,9)/30))</f>
        <v>26.533727959376119</v>
      </c>
      <c r="X119" s="173">
        <f ca="1">(VLOOKUP(X$72,INDIRECT($C$5&amp;"生成成长"),2))/((VLOOKUP($B119,INDIRECT($B$5&amp;"生成成长"),4))/(VLOOKUP(X$72,INDIRECT($C$5&amp;"生成成长"),5))*(VLOOKUP($B$5,标准坦克设计!$B$24:$U$30,MATCH("对"&amp;LEFT($C$5,2)&amp;"输出",标准坦克设计!$B$23:$U$23,0)))*(VLOOKUP($B119,INDIRECT($B$5&amp;"生成成长"),3))*(VLOOKUP($B$5,标准坦克设计!$B$14:$K$20,9)/30))</f>
        <v>19.223104718908534</v>
      </c>
      <c r="Y119" s="173">
        <f ca="1">(VLOOKUP(Y$72,INDIRECT($C$5&amp;"生成成长"),2))/((VLOOKUP($B119,INDIRECT($B$5&amp;"生成成长"),4))/(VLOOKUP(Y$72,INDIRECT($C$5&amp;"生成成长"),5))*(VLOOKUP($B$5,标准坦克设计!$B$24:$U$30,MATCH("对"&amp;LEFT($C$5,2)&amp;"输出",标准坦克设计!$B$23:$U$23,0)))*(VLOOKUP($B119,INDIRECT($B$5&amp;"生成成长"),3))*(VLOOKUP($B$5,标准坦克设计!$B$14:$K$20,9)/30))</f>
        <v>21.381391730855626</v>
      </c>
      <c r="Z119" s="173">
        <f ca="1">(VLOOKUP(Z$72,INDIRECT($C$5&amp;"生成成长"),2))/((VLOOKUP($B119,INDIRECT($B$5&amp;"生成成长"),4))/(VLOOKUP(Z$72,INDIRECT($C$5&amp;"生成成长"),5))*(VLOOKUP($B$5,标准坦克设计!$B$24:$U$30,MATCH("对"&amp;LEFT($C$5,2)&amp;"输出",标准坦克设计!$B$23:$U$23,0)))*(VLOOKUP($B119,INDIRECT($B$5&amp;"生成成长"),3))*(VLOOKUP($B$5,标准坦克设计!$B$14:$K$20,9)/30))</f>
        <v>23.654481243438195</v>
      </c>
      <c r="AA119" s="173">
        <f ca="1">(VLOOKUP(AA$72,INDIRECT($C$5&amp;"生成成长"),2))/((VLOOKUP($B119,INDIRECT($B$5&amp;"生成成长"),4))/(VLOOKUP(AA$72,INDIRECT($C$5&amp;"生成成长"),5))*(VLOOKUP($B$5,标准坦克设计!$B$24:$U$30,MATCH("对"&amp;LEFT($C$5,2)&amp;"输出",标准坦克设计!$B$23:$U$23,0)))*(VLOOKUP($B119,INDIRECT($B$5&amp;"生成成长"),3))*(VLOOKUP($B$5,标准坦克设计!$B$14:$K$20,9)/30))</f>
        <v>26.042373256656255</v>
      </c>
      <c r="AB119" s="173">
        <f ca="1">(VLOOKUP(AB$72,INDIRECT($C$5&amp;"生成成长"),2))/((VLOOKUP($B119,INDIRECT($B$5&amp;"生成成长"),4))/(VLOOKUP(AB$72,INDIRECT($C$5&amp;"生成成长"),5))*(VLOOKUP($B$5,标准坦克设计!$B$24:$U$30,MATCH("对"&amp;LEFT($C$5,2)&amp;"输出",标准坦克设计!$B$23:$U$23,0)))*(VLOOKUP($B119,INDIRECT($B$5&amp;"生成成长"),3))*(VLOOKUP($B$5,标准坦克设计!$B$14:$K$20,9)/30))</f>
        <v>28.545067770509792</v>
      </c>
      <c r="AC119" s="173">
        <f ca="1">(VLOOKUP(AC$72,INDIRECT($C$5&amp;"生成成长"),2))/((VLOOKUP($B119,INDIRECT($B$5&amp;"生成成长"),4))/(VLOOKUP(AC$72,INDIRECT($C$5&amp;"生成成长"),5))*(VLOOKUP($B$5,标准坦克设计!$B$24:$U$30,MATCH("对"&amp;LEFT($C$5,2)&amp;"输出",标准坦克设计!$B$23:$U$23,0)))*(VLOOKUP($B119,INDIRECT($B$5&amp;"生成成长"),3))*(VLOOKUP($B$5,标准坦克设计!$B$14:$K$20,9)/30))</f>
        <v>31.162564784998814</v>
      </c>
      <c r="AD119" s="173">
        <f ca="1">(VLOOKUP(AD$72,INDIRECT($C$5&amp;"生成成长"),2))/((VLOOKUP($B119,INDIRECT($B$5&amp;"生成成长"),4))/(VLOOKUP(AD$72,INDIRECT($C$5&amp;"生成成长"),5))*(VLOOKUP($B$5,标准坦克设计!$B$24:$U$30,MATCH("对"&amp;LEFT($C$5,2)&amp;"输出",标准坦克设计!$B$23:$U$23,0)))*(VLOOKUP($B119,INDIRECT($B$5&amp;"生成成长"),3))*(VLOOKUP($B$5,标准坦克设计!$B$14:$K$20,9)/30))</f>
        <v>33.894864300123331</v>
      </c>
      <c r="AE119" s="173">
        <f ca="1">(VLOOKUP(AE$72,INDIRECT($C$5&amp;"生成成长"),2))/((VLOOKUP($B119,INDIRECT($B$5&amp;"生成成长"),4))/(VLOOKUP(AE$72,INDIRECT($C$5&amp;"生成成长"),5))*(VLOOKUP($B$5,标准坦克设计!$B$24:$U$30,MATCH("对"&amp;LEFT($C$5,2)&amp;"输出",标准坦克设计!$B$23:$U$23,0)))*(VLOOKUP($B119,INDIRECT($B$5&amp;"生成成长"),3))*(VLOOKUP($B$5,标准坦克设计!$B$14:$K$20,9)/30))</f>
        <v>36.741966315883317</v>
      </c>
      <c r="AF119" s="173">
        <f ca="1">(VLOOKUP(AF$72,INDIRECT($C$5&amp;"生成成长"),2))/((VLOOKUP($B119,INDIRECT($B$5&amp;"生成成长"),4))/(VLOOKUP(AF$72,INDIRECT($C$5&amp;"生成成长"),5))*(VLOOKUP($B$5,标准坦克设计!$B$24:$U$30,MATCH("对"&amp;LEFT($C$5,2)&amp;"输出",标准坦克设计!$B$23:$U$23,0)))*(VLOOKUP($B119,INDIRECT($B$5&amp;"生成成长"),3))*(VLOOKUP($B$5,标准坦克设计!$B$14:$K$20,9)/30))</f>
        <v>39.703870832278795</v>
      </c>
      <c r="AG119" s="173">
        <f ca="1">(VLOOKUP(AG$72,INDIRECT($C$5&amp;"生成成长"),2))/((VLOOKUP($B119,INDIRECT($B$5&amp;"生成成长"),4))/(VLOOKUP(AG$72,INDIRECT($C$5&amp;"生成成长"),5))*(VLOOKUP($B$5,标准坦克设计!$B$24:$U$30,MATCH("对"&amp;LEFT($C$5,2)&amp;"输出",标准坦克设计!$B$23:$U$23,0)))*(VLOOKUP($B119,INDIRECT($B$5&amp;"生成成长"),3))*(VLOOKUP($B$5,标准坦克设计!$B$14:$K$20,9)/30))</f>
        <v>42.780577849309743</v>
      </c>
      <c r="AH119" s="173">
        <f ca="1">(VLOOKUP(AH$72,INDIRECT($C$5&amp;"生成成长"),2))/((VLOOKUP($B119,INDIRECT($B$5&amp;"生成成长"),4))/(VLOOKUP(AH$72,INDIRECT($C$5&amp;"生成成长"),5))*(VLOOKUP($B$5,标准坦克设计!$B$24:$U$30,MATCH("对"&amp;LEFT($C$5,2)&amp;"输出",标准坦克设计!$B$23:$U$23,0)))*(VLOOKUP($B119,INDIRECT($B$5&amp;"生成成长"),3))*(VLOOKUP($B$5,标准坦克设计!$B$14:$K$20,9)/30))</f>
        <v>45.972087366976183</v>
      </c>
      <c r="AI119" s="173">
        <f ca="1">(VLOOKUP(AI$72,INDIRECT($C$5&amp;"生成成长"),2))/((VLOOKUP($B119,INDIRECT($B$5&amp;"生成成长"),4))/(VLOOKUP(AI$72,INDIRECT($C$5&amp;"生成成长"),5))*(VLOOKUP($B$5,标准坦克设计!$B$24:$U$30,MATCH("对"&amp;LEFT($C$5,2)&amp;"输出",标准坦克设计!$B$23:$U$23,0)))*(VLOOKUP($B119,INDIRECT($B$5&amp;"生成成长"),3))*(VLOOKUP($B$5,标准坦克设计!$B$14:$K$20,9)/30))</f>
        <v>32.514364229981638</v>
      </c>
      <c r="AJ119" s="173">
        <f ca="1">(VLOOKUP(AJ$72,INDIRECT($C$5&amp;"生成成长"),2))/((VLOOKUP($B119,INDIRECT($B$5&amp;"生成成长"),4))/(VLOOKUP(AJ$72,INDIRECT($C$5&amp;"生成成长"),5))*(VLOOKUP($B$5,标准坦克设计!$B$24:$U$30,MATCH("对"&amp;LEFT($C$5,2)&amp;"输出",标准坦克设计!$B$23:$U$23,0)))*(VLOOKUP($B119,INDIRECT($B$5&amp;"生成成长"),3))*(VLOOKUP($B$5,标准坦克设计!$B$14:$K$20,9)/30))</f>
        <v>35.589349209503062</v>
      </c>
      <c r="AK119" s="173">
        <f ca="1">(VLOOKUP(AK$72,INDIRECT($C$5&amp;"生成成长"),2))/((VLOOKUP($B119,INDIRECT($B$5&amp;"生成成长"),4))/(VLOOKUP(AK$72,INDIRECT($C$5&amp;"生成成长"),5))*(VLOOKUP($B$5,标准坦克设计!$B$24:$U$30,MATCH("对"&amp;LEFT($C$5,2)&amp;"输出",标准坦克设计!$B$23:$U$23,0)))*(VLOOKUP($B119,INDIRECT($B$5&amp;"生成成长"),3))*(VLOOKUP($B$5,标准坦克设计!$B$14:$K$20,9)/30))</f>
        <v>38.803245214793421</v>
      </c>
      <c r="AL119" s="173">
        <f ca="1">(VLOOKUP(AL$72,INDIRECT($C$5&amp;"生成成长"),2))/((VLOOKUP($B119,INDIRECT($B$5&amp;"生成成长"),4))/(VLOOKUP(AL$72,INDIRECT($C$5&amp;"生成成长"),5))*(VLOOKUP($B$5,标准坦克设计!$B$24:$U$30,MATCH("对"&amp;LEFT($C$5,2)&amp;"输出",标准坦克设计!$B$23:$U$23,0)))*(VLOOKUP($B119,INDIRECT($B$5&amp;"生成成长"),3))*(VLOOKUP($B$5,标准坦克设计!$B$14:$K$20,9)/30))</f>
        <v>42.15605224585272</v>
      </c>
      <c r="AM119" s="173">
        <f ca="1">(VLOOKUP(AM$72,INDIRECT($C$5&amp;"生成成长"),2))/((VLOOKUP($B119,INDIRECT($B$5&amp;"生成成长"),4))/(VLOOKUP(AM$72,INDIRECT($C$5&amp;"生成成长"),5))*(VLOOKUP($B$5,标准坦克设计!$B$24:$U$30,MATCH("对"&amp;LEFT($C$5,2)&amp;"输出",标准坦克设计!$B$23:$U$23,0)))*(VLOOKUP($B119,INDIRECT($B$5&amp;"生成成长"),3))*(VLOOKUP($B$5,标准坦克设计!$B$14:$K$20,9)/30))</f>
        <v>45.647770302680946</v>
      </c>
      <c r="AN119" s="173">
        <f ca="1">(VLOOKUP(AN$72,INDIRECT($C$5&amp;"生成成长"),2))/((VLOOKUP($B119,INDIRECT($B$5&amp;"生成成长"),4))/(VLOOKUP(AN$72,INDIRECT($C$5&amp;"生成成长"),5))*(VLOOKUP($B$5,标准坦克设计!$B$24:$U$30,MATCH("对"&amp;LEFT($C$5,2)&amp;"输出",标准坦克设计!$B$23:$U$23,0)))*(VLOOKUP($B119,INDIRECT($B$5&amp;"生成成长"),3))*(VLOOKUP($B$5,标准坦克设计!$B$14:$K$20,9)/30))</f>
        <v>49.278399385278114</v>
      </c>
      <c r="AO119" s="173">
        <f ca="1">(VLOOKUP(AO$72,INDIRECT($C$5&amp;"生成成长"),2))/((VLOOKUP($B119,INDIRECT($B$5&amp;"生成成长"),4))/(VLOOKUP(AO$72,INDIRECT($C$5&amp;"生成成长"),5))*(VLOOKUP($B$5,标准坦克设计!$B$24:$U$30,MATCH("对"&amp;LEFT($C$5,2)&amp;"输出",标准坦克设计!$B$23:$U$23,0)))*(VLOOKUP($B119,INDIRECT($B$5&amp;"生成成长"),3))*(VLOOKUP($B$5,标准坦克设计!$B$14:$K$20,9)/30))</f>
        <v>53.047939493644208</v>
      </c>
      <c r="AP119" s="173">
        <f ca="1">(VLOOKUP(AP$72,INDIRECT($C$5&amp;"生成成长"),2))/((VLOOKUP($B119,INDIRECT($B$5&amp;"生成成长"),4))/(VLOOKUP(AP$72,INDIRECT($C$5&amp;"生成成长"),5))*(VLOOKUP($B$5,标准坦克设计!$B$24:$U$30,MATCH("对"&amp;LEFT($C$5,2)&amp;"输出",标准坦克设计!$B$23:$U$23,0)))*(VLOOKUP($B119,INDIRECT($B$5&amp;"生成成长"),3))*(VLOOKUP($B$5,标准坦克设计!$B$14:$K$20,9)/30))</f>
        <v>56.95639062777925</v>
      </c>
      <c r="AQ119" s="173">
        <f ca="1">(VLOOKUP(AQ$72,INDIRECT($C$5&amp;"生成成长"),2))/((VLOOKUP($B119,INDIRECT($B$5&amp;"生成成长"),4))/(VLOOKUP(AQ$72,INDIRECT($C$5&amp;"生成成长"),5))*(VLOOKUP($B$5,标准坦克设计!$B$24:$U$30,MATCH("对"&amp;LEFT($C$5,2)&amp;"输出",标准坦克设计!$B$23:$U$23,0)))*(VLOOKUP($B119,INDIRECT($B$5&amp;"生成成长"),3))*(VLOOKUP($B$5,标准坦克设计!$B$14:$K$20,9)/30))</f>
        <v>61.003752787683226</v>
      </c>
      <c r="AR119" s="173">
        <f ca="1">(VLOOKUP(AR$72,INDIRECT($C$5&amp;"生成成长"),2))/((VLOOKUP($B119,INDIRECT($B$5&amp;"生成成长"),4))/(VLOOKUP(AR$72,INDIRECT($C$5&amp;"生成成长"),5))*(VLOOKUP($B$5,标准坦克设计!$B$24:$U$30,MATCH("对"&amp;LEFT($C$5,2)&amp;"输出",标准坦克设计!$B$23:$U$23,0)))*(VLOOKUP($B119,INDIRECT($B$5&amp;"生成成长"),3))*(VLOOKUP($B$5,标准坦克设计!$B$14:$K$20,9)/30))</f>
        <v>65.190025973356143</v>
      </c>
      <c r="AS119" s="173">
        <f ca="1">(VLOOKUP(AS$72,INDIRECT($C$5&amp;"生成成长"),2))/((VLOOKUP($B119,INDIRECT($B$5&amp;"生成成长"),4))/(VLOOKUP(AS$72,INDIRECT($C$5&amp;"生成成长"),5))*(VLOOKUP($B$5,标准坦克设计!$B$24:$U$30,MATCH("对"&amp;LEFT($C$5,2)&amp;"输出",标准坦克设计!$B$23:$U$23,0)))*(VLOOKUP($B119,INDIRECT($B$5&amp;"生成成长"),3))*(VLOOKUP($B$5,标准坦克设计!$B$14:$K$20,9)/30))</f>
        <v>69.515210184797965</v>
      </c>
      <c r="AT119" s="173">
        <f ca="1">(VLOOKUP(AT$72,INDIRECT($C$5&amp;"生成成长"),2))/((VLOOKUP($B119,INDIRECT($B$5&amp;"生成成长"),4))/(VLOOKUP(AT$72,INDIRECT($C$5&amp;"生成成长"),5))*(VLOOKUP($B$5,标准坦克设计!$B$24:$U$30,MATCH("对"&amp;LEFT($C$5,2)&amp;"输出",标准坦克设计!$B$23:$U$23,0)))*(VLOOKUP($B119,INDIRECT($B$5&amp;"生成成长"),3))*(VLOOKUP($B$5,标准坦克设计!$B$14:$K$20,9)/30))</f>
        <v>73.97930542200875</v>
      </c>
      <c r="AU119" s="173">
        <f ca="1">(VLOOKUP(AU$72,INDIRECT($C$5&amp;"生成成长"),2))/((VLOOKUP($B119,INDIRECT($B$5&amp;"生成成长"),4))/(VLOOKUP(AU$72,INDIRECT($C$5&amp;"生成成长"),5))*(VLOOKUP($B$5,标准坦克设计!$B$24:$U$30,MATCH("对"&amp;LEFT($C$5,2)&amp;"输出",标准坦克设计!$B$23:$U$23,0)))*(VLOOKUP($B119,INDIRECT($B$5&amp;"生成成长"),3))*(VLOOKUP($B$5,标准坦克设计!$B$14:$K$20,9)/30))</f>
        <v>78.58231168498844</v>
      </c>
      <c r="AV119" s="173">
        <f ca="1">(VLOOKUP(AV$72,INDIRECT($C$5&amp;"生成成长"),2))/((VLOOKUP($B119,INDIRECT($B$5&amp;"生成成长"),4))/(VLOOKUP(AV$72,INDIRECT($C$5&amp;"生成成长"),5))*(VLOOKUP($B$5,标准坦克设计!$B$24:$U$30,MATCH("对"&amp;LEFT($C$5,2)&amp;"输出",标准坦克设计!$B$23:$U$23,0)))*(VLOOKUP($B119,INDIRECT($B$5&amp;"生成成长"),3))*(VLOOKUP($B$5,标准坦克设计!$B$14:$K$20,9)/30))</f>
        <v>7.9925500942423602</v>
      </c>
      <c r="AW119" s="173">
        <f ca="1">(VLOOKUP(AW$72,INDIRECT($C$5&amp;"生成成长"),2))/((VLOOKUP($B119,INDIRECT($B$5&amp;"生成成长"),4))/(VLOOKUP(AW$72,INDIRECT($C$5&amp;"生成成长"),5))*(VLOOKUP($B$5,标准坦克设计!$B$24:$U$30,MATCH("对"&amp;LEFT($C$5,2)&amp;"输出",标准坦克设计!$B$23:$U$23,0)))*(VLOOKUP($B119,INDIRECT($B$5&amp;"生成成长"),3))*(VLOOKUP($B$5,标准坦克设计!$B$14:$K$20,9)/30))</f>
        <v>9.1130225004446803</v>
      </c>
      <c r="AX119" s="173">
        <f ca="1">(VLOOKUP(AX$72,INDIRECT($C$5&amp;"生成成长"),2))/((VLOOKUP($B119,INDIRECT($B$5&amp;"生成成长"),4))/(VLOOKUP(AX$72,INDIRECT($C$5&amp;"生成成长"),5))*(VLOOKUP($B$5,标准坦克设计!$B$24:$U$30,MATCH("对"&amp;LEFT($C$5,2)&amp;"输出",标准坦克设计!$B$23:$U$23,0)))*(VLOOKUP($B119,INDIRECT($B$5&amp;"生成成长"),3))*(VLOOKUP($B$5,标准坦克设计!$B$14:$K$20,9)/30))</f>
        <v>10.306968507053707</v>
      </c>
      <c r="AY119" s="173">
        <f ca="1">(VLOOKUP(AY$72,INDIRECT($C$5&amp;"生成成长"),2))/((VLOOKUP($B119,INDIRECT($B$5&amp;"生成成长"),4))/(VLOOKUP(AY$72,INDIRECT($C$5&amp;"生成成长"),5))*(VLOOKUP($B$5,标准坦克设计!$B$24:$U$30,MATCH("对"&amp;LEFT($C$5,2)&amp;"输出",标准坦克设计!$B$23:$U$23,0)))*(VLOOKUP($B119,INDIRECT($B$5&amp;"生成成长"),3))*(VLOOKUP($B$5,标准坦克设计!$B$14:$K$20,9)/30))</f>
        <v>11.574388114069446</v>
      </c>
      <c r="AZ119" s="173">
        <f ca="1">(VLOOKUP(AZ$72,INDIRECT($C$5&amp;"生成成长"),2))/((VLOOKUP($B119,INDIRECT($B$5&amp;"生成成长"),4))/(VLOOKUP(AZ$72,INDIRECT($C$5&amp;"生成成长"),5))*(VLOOKUP($B$5,标准坦克设计!$B$24:$U$30,MATCH("对"&amp;LEFT($C$5,2)&amp;"输出",标准坦克设计!$B$23:$U$23,0)))*(VLOOKUP($B119,INDIRECT($B$5&amp;"生成成长"),3))*(VLOOKUP($B$5,标准坦克设计!$B$14:$K$20,9)/30))</f>
        <v>12.915281321491893</v>
      </c>
      <c r="BA119" s="173">
        <f ca="1">(VLOOKUP(BA$72,INDIRECT($C$5&amp;"生成成长"),2))/((VLOOKUP($B119,INDIRECT($B$5&amp;"生成成长"),4))/(VLOOKUP(BA$72,INDIRECT($C$5&amp;"生成成长"),5))*(VLOOKUP($B$5,标准坦克设计!$B$24:$U$30,MATCH("对"&amp;LEFT($C$5,2)&amp;"输出",标准坦克设计!$B$23:$U$23,0)))*(VLOOKUP($B119,INDIRECT($B$5&amp;"生成成长"),3))*(VLOOKUP($B$5,标准坦克设计!$B$14:$K$20,9)/30))</f>
        <v>14.329648129321052</v>
      </c>
      <c r="BB119" s="173">
        <f ca="1">(VLOOKUP(BB$72,INDIRECT($C$5&amp;"生成成长"),2))/((VLOOKUP($B119,INDIRECT($B$5&amp;"生成成长"),4))/(VLOOKUP(BB$72,INDIRECT($C$5&amp;"生成成长"),5))*(VLOOKUP($B$5,标准坦克设计!$B$24:$U$30,MATCH("对"&amp;LEFT($C$5,2)&amp;"输出",标准坦克设计!$B$23:$U$23,0)))*(VLOOKUP($B119,INDIRECT($B$5&amp;"生成成长"),3))*(VLOOKUP($B$5,标准坦克设计!$B$14:$K$20,9)/30))</f>
        <v>15.817488537556915</v>
      </c>
      <c r="BC119" s="173">
        <f ca="1">(VLOOKUP(BC$72,INDIRECT($C$5&amp;"生成成长"),2))/((VLOOKUP($B119,INDIRECT($B$5&amp;"生成成长"),4))/(VLOOKUP(BC$72,INDIRECT($C$5&amp;"生成成长"),5))*(VLOOKUP($B$5,标准坦克设计!$B$24:$U$30,MATCH("对"&amp;LEFT($C$5,2)&amp;"输出",标准坦克设计!$B$23:$U$23,0)))*(VLOOKUP($B119,INDIRECT($B$5&amp;"生成成长"),3))*(VLOOKUP($B$5,标准坦克设计!$B$14:$K$20,9)/30))</f>
        <v>17.378802546199491</v>
      </c>
      <c r="BD119" s="173">
        <f ca="1">(VLOOKUP(BD$72,INDIRECT($C$5&amp;"生成成长"),2))/((VLOOKUP($B119,INDIRECT($B$5&amp;"生成成长"),4))/(VLOOKUP(BD$72,INDIRECT($C$5&amp;"生成成长"),5))*(VLOOKUP($B$5,标准坦克设计!$B$24:$U$30,MATCH("对"&amp;LEFT($C$5,2)&amp;"输出",标准坦克设计!$B$23:$U$23,0)))*(VLOOKUP($B119,INDIRECT($B$5&amp;"生成成长"),3))*(VLOOKUP($B$5,标准坦克设计!$B$14:$K$20,9)/30))</f>
        <v>19.223104718908534</v>
      </c>
      <c r="BE119" s="173">
        <f ca="1">(VLOOKUP(BE$72,INDIRECT($C$5&amp;"生成成长"),2))/((VLOOKUP($B119,INDIRECT($B$5&amp;"生成成长"),4))/(VLOOKUP(BE$72,INDIRECT($C$5&amp;"生成成长"),5))*(VLOOKUP($B$5,标准坦克设计!$B$24:$U$30,MATCH("对"&amp;LEFT($C$5,2)&amp;"输出",标准坦克设计!$B$23:$U$23,0)))*(VLOOKUP($B119,INDIRECT($B$5&amp;"生成成长"),3))*(VLOOKUP($B$5,标准坦克设计!$B$14:$K$20,9)/30))</f>
        <v>21.160396917132317</v>
      </c>
      <c r="BF119" s="173">
        <f ca="1">(VLOOKUP(BF$72,INDIRECT($C$5&amp;"生成成长"),2))/((VLOOKUP($B119,INDIRECT($B$5&amp;"生成成长"),4))/(VLOOKUP(BF$72,INDIRECT($C$5&amp;"生成成长"),5))*(VLOOKUP($B$5,标准坦克设计!$B$24:$U$30,MATCH("对"&amp;LEFT($C$5,2)&amp;"输出",标准坦克设计!$B$23:$U$23,0)))*(VLOOKUP($B119,INDIRECT($B$5&amp;"生成成长"),3))*(VLOOKUP($B$5,标准坦克设计!$B$14:$K$20,9)/30))</f>
        <v>23.190679140870841</v>
      </c>
      <c r="BG119" s="173">
        <f ca="1">(VLOOKUP(BG$72,INDIRECT($C$5&amp;"生成成长"),2))/((VLOOKUP($B119,INDIRECT($B$5&amp;"生成成长"),4))/(VLOOKUP(BG$72,INDIRECT($C$5&amp;"生成成长"),5))*(VLOOKUP($B$5,标准坦克设计!$B$24:$U$30,MATCH("对"&amp;LEFT($C$5,2)&amp;"输出",标准坦克设计!$B$23:$U$23,0)))*(VLOOKUP($B119,INDIRECT($B$5&amp;"生成成长"),3))*(VLOOKUP($B$5,标准坦克设计!$B$14:$K$20,9)/30))</f>
        <v>25.31395139012411</v>
      </c>
      <c r="BH119" s="173">
        <f ca="1">(VLOOKUP(BH$72,INDIRECT($C$5&amp;"生成成长"),2))/((VLOOKUP($B119,INDIRECT($B$5&amp;"生成成长"),4))/(VLOOKUP(BH$72,INDIRECT($C$5&amp;"生成成长"),5))*(VLOOKUP($B$5,标准坦克设计!$B$24:$U$30,MATCH("对"&amp;LEFT($C$5,2)&amp;"输出",标准坦克设计!$B$23:$U$23,0)))*(VLOOKUP($B119,INDIRECT($B$5&amp;"生成成长"),3))*(VLOOKUP($B$5,标准坦克设计!$B$14:$K$20,9)/30))</f>
        <v>12.235650517729828</v>
      </c>
      <c r="BI119" s="173">
        <f ca="1">(VLOOKUP(BI$72,INDIRECT($C$5&amp;"生成成长"),2))/((VLOOKUP($B119,INDIRECT($B$5&amp;"生成成长"),4))/(VLOOKUP(BI$72,INDIRECT($C$5&amp;"生成成长"),5))*(VLOOKUP($B$5,标准坦克设计!$B$24:$U$30,MATCH("对"&amp;LEFT($C$5,2)&amp;"输出",标准坦克设计!$B$23:$U$23,0)))*(VLOOKUP($B119,INDIRECT($B$5&amp;"生成成长"),3))*(VLOOKUP($B$5,标准坦克设计!$B$14:$K$20,9)/30))</f>
        <v>13.790650388837456</v>
      </c>
      <c r="BJ119" s="173">
        <f ca="1">(VLOOKUP(BJ$72,INDIRECT($C$5&amp;"生成成长"),2))/((VLOOKUP($B119,INDIRECT($B$5&amp;"生成成长"),4))/(VLOOKUP(BJ$72,INDIRECT($C$5&amp;"生成成长"),5))*(VLOOKUP($B$5,标准坦克设计!$B$24:$U$30,MATCH("对"&amp;LEFT($C$5,2)&amp;"输出",标准坦克设计!$B$23:$U$23,0)))*(VLOOKUP($B119,INDIRECT($B$5&amp;"生成成长"),3))*(VLOOKUP($B$5,标准坦克设计!$B$14:$K$20,9)/30))</f>
        <v>15.438640285459819</v>
      </c>
      <c r="BK119" s="173">
        <f ca="1">(VLOOKUP(BK$72,INDIRECT($C$5&amp;"生成成长"),2))/((VLOOKUP($B119,INDIRECT($B$5&amp;"生成成长"),4))/(VLOOKUP(BK$72,INDIRECT($C$5&amp;"生成成长"),5))*(VLOOKUP($B$5,标准坦克设计!$B$24:$U$30,MATCH("对"&amp;LEFT($C$5,2)&amp;"输出",标准坦克设计!$B$23:$U$23,0)))*(VLOOKUP($B119,INDIRECT($B$5&amp;"生成成长"),3))*(VLOOKUP($B$5,标准坦克设计!$B$14:$K$20,9)/30))</f>
        <v>17.17962020759693</v>
      </c>
      <c r="BL119" s="173">
        <f ca="1">(VLOOKUP(BL$72,INDIRECT($C$5&amp;"生成成长"),2))/((VLOOKUP($B119,INDIRECT($B$5&amp;"生成成长"),4))/(VLOOKUP(BL$72,INDIRECT($C$5&amp;"生成成长"),5))*(VLOOKUP($B$5,标准坦克设计!$B$24:$U$30,MATCH("对"&amp;LEFT($C$5,2)&amp;"输出",标准坦克设计!$B$23:$U$23,0)))*(VLOOKUP($B119,INDIRECT($B$5&amp;"生成成长"),3))*(VLOOKUP($B$5,标准坦克设计!$B$14:$K$20,9)/30))</f>
        <v>19.013590155248778</v>
      </c>
      <c r="BM119" s="173">
        <f ca="1">(VLOOKUP(BM$72,INDIRECT($C$5&amp;"生成成长"),2))/((VLOOKUP($B119,INDIRECT($B$5&amp;"生成成长"),4))/(VLOOKUP(BM$72,INDIRECT($C$5&amp;"生成成长"),5))*(VLOOKUP($B$5,标准坦克设计!$B$24:$U$30,MATCH("对"&amp;LEFT($C$5,2)&amp;"输出",标准坦克设计!$B$23:$U$23,0)))*(VLOOKUP($B119,INDIRECT($B$5&amp;"生成成长"),3))*(VLOOKUP($B$5,标准坦克设计!$B$14:$K$20,9)/30))</f>
        <v>20.940550128415367</v>
      </c>
      <c r="BN119" s="173">
        <f ca="1">(VLOOKUP(BN$72,INDIRECT($C$5&amp;"生成成长"),2))/((VLOOKUP($B119,INDIRECT($B$5&amp;"生成成长"),4))/(VLOOKUP(BN$72,INDIRECT($C$5&amp;"生成成长"),5))*(VLOOKUP($B$5,标准坦克设计!$B$24:$U$30,MATCH("对"&amp;LEFT($C$5,2)&amp;"输出",标准坦克设计!$B$23:$U$23,0)))*(VLOOKUP($B119,INDIRECT($B$5&amp;"生成成长"),3))*(VLOOKUP($B$5,标准坦克设计!$B$14:$K$20,9)/30))</f>
        <v>22.960500127096697</v>
      </c>
      <c r="BO119" s="173">
        <f ca="1">(VLOOKUP(BO$72,INDIRECT($C$5&amp;"生成成长"),2))/((VLOOKUP($B119,INDIRECT($B$5&amp;"生成成长"),4))/(VLOOKUP(BO$72,INDIRECT($C$5&amp;"生成成长"),5))*(VLOOKUP($B$5,标准坦克设计!$B$24:$U$30,MATCH("对"&amp;LEFT($C$5,2)&amp;"输出",标准坦克设计!$B$23:$U$23,0)))*(VLOOKUP($B119,INDIRECT($B$5&amp;"生成成长"),3))*(VLOOKUP($B$5,标准坦克设计!$B$14:$K$20,9)/30))</f>
        <v>25.073440151292768</v>
      </c>
      <c r="BP119" s="173">
        <f ca="1">(VLOOKUP(BP$72,INDIRECT($C$5&amp;"生成成长"),2))/((VLOOKUP($B119,INDIRECT($B$5&amp;"生成成长"),4))/(VLOOKUP(BP$72,INDIRECT($C$5&amp;"生成成长"),5))*(VLOOKUP($B$5,标准坦克设计!$B$24:$U$30,MATCH("对"&amp;LEFT($C$5,2)&amp;"输出",标准坦克设计!$B$23:$U$23,0)))*(VLOOKUP($B119,INDIRECT($B$5&amp;"生成成长"),3))*(VLOOKUP($B$5,标准坦克设计!$B$14:$K$20,9)/30))</f>
        <v>27.279370201003591</v>
      </c>
      <c r="BQ119" s="173">
        <f ca="1">(VLOOKUP(BQ$72,INDIRECT($C$5&amp;"生成成长"),2))/((VLOOKUP($B119,INDIRECT($B$5&amp;"生成成长"),4))/(VLOOKUP(BQ$72,INDIRECT($C$5&amp;"生成成长"),5))*(VLOOKUP($B$5,标准坦克设计!$B$24:$U$30,MATCH("对"&amp;LEFT($C$5,2)&amp;"输出",标准坦克设计!$B$23:$U$23,0)))*(VLOOKUP($B119,INDIRECT($B$5&amp;"生成成长"),3))*(VLOOKUP($B$5,标准坦克设计!$B$14:$K$20,9)/30))</f>
        <v>29.578290276229147</v>
      </c>
      <c r="BR119" s="173">
        <f ca="1">(VLOOKUP(BR$72,INDIRECT($C$5&amp;"生成成长"),2))/((VLOOKUP($B119,INDIRECT($B$5&amp;"生成成长"),4))/(VLOOKUP(BR$72,INDIRECT($C$5&amp;"生成成长"),5))*(VLOOKUP($B$5,标准坦克设计!$B$24:$U$30,MATCH("对"&amp;LEFT($C$5,2)&amp;"输出",标准坦克设计!$B$23:$U$23,0)))*(VLOOKUP($B119,INDIRECT($B$5&amp;"生成成长"),3))*(VLOOKUP($B$5,标准坦克设计!$B$14:$K$20,9)/30))</f>
        <v>32.241708290972362</v>
      </c>
      <c r="BS119" s="173">
        <f ca="1">(VLOOKUP(BS$72,INDIRECT($C$5&amp;"生成成长"),2))/((VLOOKUP($B119,INDIRECT($B$5&amp;"生成成长"),4))/(VLOOKUP(BS$72,INDIRECT($C$5&amp;"生成成长"),5))*(VLOOKUP($B$5,标准坦克设计!$B$24:$U$30,MATCH("对"&amp;LEFT($C$5,2)&amp;"输出",标准坦克设计!$B$23:$U$23,0)))*(VLOOKUP($B119,INDIRECT($B$5&amp;"生成成长"),3))*(VLOOKUP($B$5,标准坦克设计!$B$14:$K$20,9)/30))</f>
        <v>35.019928806351061</v>
      </c>
      <c r="BT119" s="173">
        <f ca="1">(VLOOKUP(BT$72,INDIRECT($C$5&amp;"生成成长"),2))/((VLOOKUP($B119,INDIRECT($B$5&amp;"生成成长"),4))/(VLOOKUP(BT$72,INDIRECT($C$5&amp;"生成成长"),5))*(VLOOKUP($B$5,标准坦克设计!$B$24:$U$30,MATCH("对"&amp;LEFT($C$5,2)&amp;"输出",标准坦克设计!$B$23:$U$23,0)))*(VLOOKUP($B119,INDIRECT($B$5&amp;"生成成长"),3))*(VLOOKUP($B$5,标准坦克设计!$B$14:$K$20,9)/30))</f>
        <v>37.912951822365251</v>
      </c>
      <c r="BU119" s="173">
        <f ca="1">(VLOOKUP(BU$72,INDIRECT($C$5&amp;"生成成长"),2))/((VLOOKUP($B119,INDIRECT($B$5&amp;"生成成长"),4))/(VLOOKUP(BU$72,INDIRECT($C$5&amp;"生成成长"),5))*(VLOOKUP($B$5,标准坦克设计!$B$24:$U$30,MATCH("对"&amp;LEFT($C$5,2)&amp;"输出",标准坦克设计!$B$23:$U$23,0)))*(VLOOKUP($B119,INDIRECT($B$5&amp;"生成成长"),3))*(VLOOKUP($B$5,标准坦克设计!$B$14:$K$20,9)/30))</f>
        <v>40.920777339014919</v>
      </c>
      <c r="BV119" s="173">
        <f ca="1">(VLOOKUP(BV$72,INDIRECT($C$5&amp;"生成成长"),2))/((VLOOKUP($B119,INDIRECT($B$5&amp;"生成成长"),4))/(VLOOKUP(BV$72,INDIRECT($C$5&amp;"生成成长"),5))*(VLOOKUP($B$5,标准坦克设计!$B$24:$U$30,MATCH("对"&amp;LEFT($C$5,2)&amp;"输出",标准坦克设计!$B$23:$U$23,0)))*(VLOOKUP($B119,INDIRECT($B$5&amp;"生成成长"),3))*(VLOOKUP($B$5,标准坦克设计!$B$14:$K$20,9)/30))</f>
        <v>44.043405356300063</v>
      </c>
      <c r="BW119" s="173">
        <f ca="1">(VLOOKUP(BW$72,INDIRECT($C$5&amp;"生成成长"),2))/((VLOOKUP($B119,INDIRECT($B$5&amp;"生成成长"),4))/(VLOOKUP(BW$72,INDIRECT($C$5&amp;"生成成长"),5))*(VLOOKUP($B$5,标准坦克设计!$B$24:$U$30,MATCH("对"&amp;LEFT($C$5,2)&amp;"输出",标准坦克设计!$B$23:$U$23,0)))*(VLOOKUP($B119,INDIRECT($B$5&amp;"生成成长"),3))*(VLOOKUP($B$5,标准坦克设计!$B$14:$K$20,9)/30))</f>
        <v>20.072643223611109</v>
      </c>
      <c r="BX119" s="173">
        <f ca="1">(VLOOKUP(BX$72,INDIRECT($C$5&amp;"生成成长"),2))/((VLOOKUP($B119,INDIRECT($B$5&amp;"生成成长"),4))/(VLOOKUP(BX$72,INDIRECT($C$5&amp;"生成成长"),5))*(VLOOKUP($B$5,标准坦克设计!$B$24:$U$30,MATCH("对"&amp;LEFT($C$5,2)&amp;"输出",标准坦克设计!$B$23:$U$23,0)))*(VLOOKUP($B119,INDIRECT($B$5&amp;"生成成长"),3))*(VLOOKUP($B$5,标准坦克设计!$B$14:$K$20,9)/30))</f>
        <v>22.276851235812391</v>
      </c>
      <c r="BY119" s="173">
        <f ca="1">(VLOOKUP(BY$72,INDIRECT($C$5&amp;"生成成长"),2))/((VLOOKUP($B119,INDIRECT($B$5&amp;"生成成长"),4))/(VLOOKUP(BY$72,INDIRECT($C$5&amp;"生成成长"),5))*(VLOOKUP($B$5,标准坦克设计!$B$24:$U$30,MATCH("对"&amp;LEFT($C$5,2)&amp;"输出",标准坦克设计!$B$23:$U$23,0)))*(VLOOKUP($B119,INDIRECT($B$5&amp;"生成成长"),3))*(VLOOKUP($B$5,标准坦克设计!$B$14:$K$20,9)/30))</f>
        <v>24.595861748649163</v>
      </c>
      <c r="BZ119" s="173">
        <f ca="1">(VLOOKUP(BZ$72,INDIRECT($C$5&amp;"生成成长"),2))/((VLOOKUP($B119,INDIRECT($B$5&amp;"生成成长"),4))/(VLOOKUP(BZ$72,INDIRECT($C$5&amp;"生成成长"),5))*(VLOOKUP($B$5,标准坦克设计!$B$24:$U$30,MATCH("对"&amp;LEFT($C$5,2)&amp;"输出",标准坦克设计!$B$23:$U$23,0)))*(VLOOKUP($B119,INDIRECT($B$5&amp;"生成成长"),3))*(VLOOKUP($B$5,标准坦克设计!$B$14:$K$20,9)/30))</f>
        <v>27.02967476212141</v>
      </c>
      <c r="CA119" s="173">
        <f ca="1">(VLOOKUP(CA$72,INDIRECT($C$5&amp;"生成成长"),2))/((VLOOKUP($B119,INDIRECT($B$5&amp;"生成成长"),4))/(VLOOKUP(CA$72,INDIRECT($C$5&amp;"生成成长"),5))*(VLOOKUP($B$5,标准坦克设计!$B$24:$U$30,MATCH("对"&amp;LEFT($C$5,2)&amp;"输出",标准坦克设计!$B$23:$U$23,0)))*(VLOOKUP($B119,INDIRECT($B$5&amp;"生成成长"),3))*(VLOOKUP($B$5,标准坦克设计!$B$14:$K$20,9)/30))</f>
        <v>29.578290276229147</v>
      </c>
      <c r="CB119" s="173">
        <f ca="1">(VLOOKUP(CB$72,INDIRECT($C$5&amp;"生成成长"),2))/((VLOOKUP($B119,INDIRECT($B$5&amp;"生成成长"),4))/(VLOOKUP(CB$72,INDIRECT($C$5&amp;"生成成长"),5))*(VLOOKUP($B$5,标准坦克设计!$B$24:$U$30,MATCH("对"&amp;LEFT($C$5,2)&amp;"输出",标准坦克设计!$B$23:$U$23,0)))*(VLOOKUP($B119,INDIRECT($B$5&amp;"生成成长"),3))*(VLOOKUP($B$5,标准坦克设计!$B$14:$K$20,9)/30))</f>
        <v>32.241708290972362</v>
      </c>
      <c r="CC119" s="173">
        <f ca="1">(VLOOKUP(CC$72,INDIRECT($C$5&amp;"生成成长"),2))/((VLOOKUP($B119,INDIRECT($B$5&amp;"生成成长"),4))/(VLOOKUP(CC$72,INDIRECT($C$5&amp;"生成成长"),5))*(VLOOKUP($B$5,标准坦克设计!$B$24:$U$30,MATCH("对"&amp;LEFT($C$5,2)&amp;"输出",标准坦克设计!$B$23:$U$23,0)))*(VLOOKUP($B119,INDIRECT($B$5&amp;"生成成长"),3))*(VLOOKUP($B$5,标准坦克设计!$B$14:$K$20,9)/30))</f>
        <v>35.019928806351061</v>
      </c>
      <c r="CD119" s="173">
        <f ca="1">(VLOOKUP(CD$72,INDIRECT($C$5&amp;"生成成长"),2))/((VLOOKUP($B119,INDIRECT($B$5&amp;"生成成长"),4))/(VLOOKUP(CD$72,INDIRECT($C$5&amp;"生成成长"),5))*(VLOOKUP($B$5,标准坦克设计!$B$24:$U$30,MATCH("对"&amp;LEFT($C$5,2)&amp;"输出",标准坦克设计!$B$23:$U$23,0)))*(VLOOKUP($B119,INDIRECT($B$5&amp;"生成成长"),3))*(VLOOKUP($B$5,标准坦克设计!$B$14:$K$20,9)/30))</f>
        <v>37.912951822365251</v>
      </c>
      <c r="CE119" s="173">
        <f ca="1">(VLOOKUP(CE$72,INDIRECT($C$5&amp;"生成成长"),2))/((VLOOKUP($B119,INDIRECT($B$5&amp;"生成成长"),4))/(VLOOKUP(CE$72,INDIRECT($C$5&amp;"生成成长"),5))*(VLOOKUP($B$5,标准坦克设计!$B$24:$U$30,MATCH("对"&amp;LEFT($C$5,2)&amp;"输出",标准坦克设计!$B$23:$U$23,0)))*(VLOOKUP($B119,INDIRECT($B$5&amp;"生成成长"),3))*(VLOOKUP($B$5,标准坦克设计!$B$14:$K$20,9)/30))</f>
        <v>40.920777339014919</v>
      </c>
      <c r="CF119" s="173">
        <f ca="1">(VLOOKUP(CF$72,INDIRECT($C$5&amp;"生成成长"),2))/((VLOOKUP($B119,INDIRECT($B$5&amp;"生成成长"),4))/(VLOOKUP(CF$72,INDIRECT($C$5&amp;"生成成长"),5))*(VLOOKUP($B$5,标准坦克设计!$B$24:$U$30,MATCH("对"&amp;LEFT($C$5,2)&amp;"输出",标准坦克设计!$B$23:$U$23,0)))*(VLOOKUP($B119,INDIRECT($B$5&amp;"生成成长"),3))*(VLOOKUP($B$5,标准坦克设计!$B$14:$K$20,9)/30))</f>
        <v>44.043405356300063</v>
      </c>
      <c r="CG119" s="173">
        <f ca="1">(VLOOKUP(CG$72,INDIRECT($C$5&amp;"生成成长"),2))/((VLOOKUP($B119,INDIRECT($B$5&amp;"生成成长"),4))/(VLOOKUP(CG$72,INDIRECT($C$5&amp;"生成成长"),5))*(VLOOKUP($B$5,标准坦克设计!$B$24:$U$30,MATCH("对"&amp;LEFT($C$5,2)&amp;"输出",标准坦克设计!$B$23:$U$23,0)))*(VLOOKUP($B119,INDIRECT($B$5&amp;"生成成长"),3))*(VLOOKUP($B$5,标准坦克设计!$B$14:$K$20,9)/30))</f>
        <v>47.280835874220699</v>
      </c>
      <c r="CH119" s="173">
        <f ca="1">(VLOOKUP(CH$72,INDIRECT($C$5&amp;"生成成长"),2))/((VLOOKUP($B119,INDIRECT($B$5&amp;"生成成长"),4))/(VLOOKUP(CH$72,INDIRECT($C$5&amp;"生成成长"),5))*(VLOOKUP($B$5,标准坦克设计!$B$24:$U$30,MATCH("对"&amp;LEFT($C$5,2)&amp;"输出",标准坦克设计!$B$23:$U$23,0)))*(VLOOKUP($B119,INDIRECT($B$5&amp;"生成成长"),3))*(VLOOKUP($B$5,标准坦克设计!$B$14:$K$20,9)/30))</f>
        <v>50.633068892776819</v>
      </c>
      <c r="CI119" s="173">
        <f ca="1">(VLOOKUP(CI$72,INDIRECT($C$5&amp;"生成成长"),2))/((VLOOKUP($B119,INDIRECT($B$5&amp;"生成成长"),4))/(VLOOKUP(CI$72,INDIRECT($C$5&amp;"生成成长"),5))*(VLOOKUP($B$5,标准坦克设计!$B$24:$U$30,MATCH("对"&amp;LEFT($C$5,2)&amp;"输出",标准坦克设计!$B$23:$U$23,0)))*(VLOOKUP($B119,INDIRECT($B$5&amp;"生成成长"),3))*(VLOOKUP($B$5,标准坦克设计!$B$14:$K$20,9)/30))</f>
        <v>54.45312210142253</v>
      </c>
      <c r="CJ119" s="173">
        <f ca="1">(VLOOKUP(CJ$72,INDIRECT($C$5&amp;"生成成长"),2))/((VLOOKUP($B119,INDIRECT($B$5&amp;"生成成长"),4))/(VLOOKUP(CJ$72,INDIRECT($C$5&amp;"生成成长"),5))*(VLOOKUP($B$5,标准坦克设计!$B$24:$U$30,MATCH("对"&amp;LEFT($C$5,2)&amp;"输出",标准坦克设计!$B$23:$U$23,0)))*(VLOOKUP($B119,INDIRECT($B$5&amp;"生成成长"),3))*(VLOOKUP($B$5,标准坦克设计!$B$14:$K$20,9)/30))</f>
        <v>58.412086335837181</v>
      </c>
      <c r="CK119" s="173">
        <f ca="1">(VLOOKUP(CK$72,INDIRECT($C$5&amp;"生成成长"),2))/((VLOOKUP($B119,INDIRECT($B$5&amp;"生成成长"),4))/(VLOOKUP(CK$72,INDIRECT($C$5&amp;"生成成长"),5))*(VLOOKUP($B$5,标准坦克设计!$B$24:$U$30,MATCH("对"&amp;LEFT($C$5,2)&amp;"输出",标准坦克设计!$B$23:$U$23,0)))*(VLOOKUP($B119,INDIRECT($B$5&amp;"生成成长"),3))*(VLOOKUP($B$5,标准坦克设计!$B$14:$K$20,9)/30))</f>
        <v>62.509961596020752</v>
      </c>
      <c r="CL119" s="173">
        <f ca="1">(VLOOKUP(CL$72,INDIRECT($C$5&amp;"生成成长"),2))/((VLOOKUP($B119,INDIRECT($B$5&amp;"生成成长"),4))/(VLOOKUP(CL$72,INDIRECT($C$5&amp;"生成成长"),5))*(VLOOKUP($B$5,标准坦克设计!$B$24:$U$30,MATCH("对"&amp;LEFT($C$5,2)&amp;"输出",标准坦克设计!$B$23:$U$23,0)))*(VLOOKUP($B119,INDIRECT($B$5&amp;"生成成长"),3))*(VLOOKUP($B$5,标准坦克设计!$B$14:$K$20,9)/30))</f>
        <v>66.746747881973292</v>
      </c>
      <c r="CM119" s="173">
        <f ca="1">(VLOOKUP(CM$72,INDIRECT($C$5&amp;"生成成长"),2))/((VLOOKUP($B119,INDIRECT($B$5&amp;"生成成长"),4))/(VLOOKUP(CM$72,INDIRECT($C$5&amp;"生成成长"),5))*(VLOOKUP($B$5,标准坦克设计!$B$24:$U$30,MATCH("对"&amp;LEFT($C$5,2)&amp;"输出",标准坦克设计!$B$23:$U$23,0)))*(VLOOKUP($B119,INDIRECT($B$5&amp;"生成成长"),3))*(VLOOKUP($B$5,标准坦克设计!$B$14:$K$20,9)/30))</f>
        <v>71.12244519369473</v>
      </c>
      <c r="CN119" s="173">
        <f ca="1">(VLOOKUP(CN$72,INDIRECT($C$5&amp;"生成成长"),2))/((VLOOKUP($B119,INDIRECT($B$5&amp;"生成成长"),4))/(VLOOKUP(CN$72,INDIRECT($C$5&amp;"生成成长"),5))*(VLOOKUP($B$5,标准坦克设计!$B$24:$U$30,MATCH("对"&amp;LEFT($C$5,2)&amp;"输出",标准坦克设计!$B$23:$U$23,0)))*(VLOOKUP($B119,INDIRECT($B$5&amp;"生成成长"),3))*(VLOOKUP($B$5,标准坦克设计!$B$14:$K$20,9)/30))</f>
        <v>75.637053531185131</v>
      </c>
      <c r="CO119" s="173">
        <f ca="1">(VLOOKUP(CO$72,INDIRECT($C$5&amp;"生成成长"),2))/((VLOOKUP($B119,INDIRECT($B$5&amp;"生成成长"),4))/(VLOOKUP(CO$72,INDIRECT($C$5&amp;"生成成长"),5))*(VLOOKUP($B$5,标准坦克设计!$B$24:$U$30,MATCH("对"&amp;LEFT($C$5,2)&amp;"输出",标准坦克设计!$B$23:$U$23,0)))*(VLOOKUP($B119,INDIRECT($B$5&amp;"生成成长"),3))*(VLOOKUP($B$5,标准坦克设计!$B$14:$K$20,9)/30))</f>
        <v>33.894864300123331</v>
      </c>
      <c r="CP119" s="173">
        <f ca="1">(VLOOKUP(CP$72,INDIRECT($C$5&amp;"生成成长"),2))/((VLOOKUP($B119,INDIRECT($B$5&amp;"生成成长"),4))/(VLOOKUP(CP$72,INDIRECT($C$5&amp;"生成成长"),5))*(VLOOKUP($B$5,标准坦克设计!$B$24:$U$30,MATCH("对"&amp;LEFT($C$5,2)&amp;"输出",标准坦克设计!$B$23:$U$23,0)))*(VLOOKUP($B119,INDIRECT($B$5&amp;"生成成长"),3))*(VLOOKUP($B$5,标准坦克设计!$B$14:$K$20,9)/30))</f>
        <v>37.032990654994265</v>
      </c>
      <c r="CQ119" s="173">
        <f ca="1">(VLOOKUP(CQ$72,INDIRECT($C$5&amp;"生成成长"),2))/((VLOOKUP($B119,INDIRECT($B$5&amp;"生成成长"),4))/(VLOOKUP(CQ$72,INDIRECT($C$5&amp;"生成成长"),5))*(VLOOKUP($B$5,标准坦克设计!$B$24:$U$30,MATCH("对"&amp;LEFT($C$5,2)&amp;"输出",标准坦克设计!$B$23:$U$23,0)))*(VLOOKUP($B119,INDIRECT($B$5&amp;"生成成长"),3))*(VLOOKUP($B$5,标准坦克设计!$B$14:$K$20,9)/30))</f>
        <v>40.31002803563414</v>
      </c>
      <c r="CR119" s="173">
        <f ca="1">(VLOOKUP(CR$72,INDIRECT($C$5&amp;"生成成长"),2))/((VLOOKUP($B119,INDIRECT($B$5&amp;"生成成长"),4))/(VLOOKUP(CR$72,INDIRECT($C$5&amp;"生成成长"),5))*(VLOOKUP($B$5,标准坦克设计!$B$24:$U$30,MATCH("对"&amp;LEFT($C$5,2)&amp;"输出",标准坦克设计!$B$23:$U$23,0)))*(VLOOKUP($B119,INDIRECT($B$5&amp;"生成成长"),3))*(VLOOKUP($B$5,标准坦克设计!$B$14:$K$20,9)/30))</f>
        <v>43.725976442042956</v>
      </c>
      <c r="CS119" s="173">
        <f ca="1">(VLOOKUP(CS$72,INDIRECT($C$5&amp;"生成成长"),2))/((VLOOKUP($B119,INDIRECT($B$5&amp;"生成成长"),4))/(VLOOKUP(CS$72,INDIRECT($C$5&amp;"生成成长"),5))*(VLOOKUP($B$5,标准坦克设计!$B$24:$U$30,MATCH("对"&amp;LEFT($C$5,2)&amp;"输出",标准坦克设计!$B$23:$U$23,0)))*(VLOOKUP($B119,INDIRECT($B$5&amp;"生成成长"),3))*(VLOOKUP($B$5,标准坦克设计!$B$14:$K$20,9)/30))</f>
        <v>47.280835874220699</v>
      </c>
      <c r="CT119" s="173">
        <f ca="1">(VLOOKUP(CT$72,INDIRECT($C$5&amp;"生成成长"),2))/((VLOOKUP($B119,INDIRECT($B$5&amp;"生成成长"),4))/(VLOOKUP(CT$72,INDIRECT($C$5&amp;"生成成长"),5))*(VLOOKUP($B$5,标准坦克设计!$B$24:$U$30,MATCH("对"&amp;LEFT($C$5,2)&amp;"输出",标准坦克设计!$B$23:$U$23,0)))*(VLOOKUP($B119,INDIRECT($B$5&amp;"生成成长"),3))*(VLOOKUP($B$5,标准坦克设计!$B$14:$K$20,9)/30))</f>
        <v>50.974606332167383</v>
      </c>
      <c r="CU119" s="173">
        <f ca="1">(VLOOKUP(CU$72,INDIRECT($C$5&amp;"生成成长"),2))/((VLOOKUP($B119,INDIRECT($B$5&amp;"生成成长"),4))/(VLOOKUP(CU$72,INDIRECT($C$5&amp;"生成成长"),5))*(VLOOKUP($B$5,标准坦克设计!$B$24:$U$30,MATCH("对"&amp;LEFT($C$5,2)&amp;"输出",标准坦克设计!$B$23:$U$23,0)))*(VLOOKUP($B119,INDIRECT($B$5&amp;"生成成长"),3))*(VLOOKUP($B$5,标准坦克设计!$B$14:$K$20,9)/30))</f>
        <v>54.807287815882994</v>
      </c>
      <c r="CV119" s="173">
        <f ca="1">(VLOOKUP(CV$72,INDIRECT($C$5&amp;"生成成长"),2))/((VLOOKUP($B119,INDIRECT($B$5&amp;"生成成长"),4))/(VLOOKUP(CV$72,INDIRECT($C$5&amp;"生成成长"),5))*(VLOOKUP($B$5,标准坦克设计!$B$24:$U$30,MATCH("对"&amp;LEFT($C$5,2)&amp;"输出",标准坦克设计!$B$23:$U$23,0)))*(VLOOKUP($B119,INDIRECT($B$5&amp;"生成成长"),3))*(VLOOKUP($B$5,标准坦克设计!$B$14:$K$20,9)/30))</f>
        <v>58.778880325367545</v>
      </c>
      <c r="CW119" s="173">
        <f ca="1">(VLOOKUP(CW$72,INDIRECT($C$5&amp;"生成成长"),2))/((VLOOKUP($B119,INDIRECT($B$5&amp;"生成成长"),4))/(VLOOKUP(CW$72,INDIRECT($C$5&amp;"生成成长"),5))*(VLOOKUP($B$5,标准坦克设计!$B$24:$U$30,MATCH("对"&amp;LEFT($C$5,2)&amp;"输出",标准坦克设计!$B$23:$U$23,0)))*(VLOOKUP($B119,INDIRECT($B$5&amp;"生成成长"),3))*(VLOOKUP($B$5,标准坦克设计!$B$14:$K$20,9)/30))</f>
        <v>62.889383860621031</v>
      </c>
      <c r="CX119" s="173">
        <f ca="1">(VLOOKUP(CX$72,INDIRECT($C$5&amp;"生成成长"),2))/((VLOOKUP($B119,INDIRECT($B$5&amp;"生成成长"),4))/(VLOOKUP(CX$72,INDIRECT($C$5&amp;"生成成长"),5))*(VLOOKUP($B$5,标准坦克设计!$B$24:$U$30,MATCH("对"&amp;LEFT($C$5,2)&amp;"输出",标准坦克设计!$B$23:$U$23,0)))*(VLOOKUP($B119,INDIRECT($B$5&amp;"生成成长"),3))*(VLOOKUP($B$5,标准坦克设计!$B$14:$K$20,9)/30))</f>
        <v>67.138798421643457</v>
      </c>
      <c r="CY119" s="173">
        <f ca="1">(VLOOKUP(CY$72,INDIRECT($C$5&amp;"生成成长"),2))/((VLOOKUP($B119,INDIRECT($B$5&amp;"生成成长"),4))/(VLOOKUP(CY$72,INDIRECT($C$5&amp;"生成成长"),5))*(VLOOKUP($B$5,标准坦克设计!$B$24:$U$30,MATCH("对"&amp;LEFT($C$5,2)&amp;"输出",标准坦克设计!$B$23:$U$23,0)))*(VLOOKUP($B119,INDIRECT($B$5&amp;"生成成长"),3))*(VLOOKUP($B$5,标准坦克设计!$B$14:$K$20,9)/30))</f>
        <v>71.527124008434825</v>
      </c>
      <c r="CZ119" s="173">
        <f ca="1">(VLOOKUP(CZ$72,INDIRECT($C$5&amp;"生成成长"),2))/((VLOOKUP($B119,INDIRECT($B$5&amp;"生成成长"),4))/(VLOOKUP(CZ$72,INDIRECT($C$5&amp;"生成成长"),5))*(VLOOKUP($B$5,标准坦克设计!$B$24:$U$30,MATCH("对"&amp;LEFT($C$5,2)&amp;"输出",标准坦克设计!$B$23:$U$23,0)))*(VLOOKUP($B119,INDIRECT($B$5&amp;"生成成长"),3))*(VLOOKUP($B$5,标准坦克设计!$B$14:$K$20,9)/30))</f>
        <v>76.054360620995112</v>
      </c>
      <c r="DA119" s="173">
        <f ca="1">(VLOOKUP(DA$72,INDIRECT($C$5&amp;"生成成长"),2))/((VLOOKUP($B119,INDIRECT($B$5&amp;"生成成长"),4))/(VLOOKUP(DA$72,INDIRECT($C$5&amp;"生成成长"),5))*(VLOOKUP($B$5,标准坦克设计!$B$24:$U$30,MATCH("对"&amp;LEFT($C$5,2)&amp;"输出",标准坦克设计!$B$23:$U$23,0)))*(VLOOKUP($B119,INDIRECT($B$5&amp;"生成成长"),3))*(VLOOKUP($B$5,标准坦克设计!$B$14:$K$20,9)/30))</f>
        <v>80.720508259324333</v>
      </c>
      <c r="DB119" s="173">
        <f ca="1">(VLOOKUP(DB$72,INDIRECT($C$5&amp;"生成成长"),2))/((VLOOKUP($B119,INDIRECT($B$5&amp;"生成成长"),4))/(VLOOKUP(DB$72,INDIRECT($C$5&amp;"生成成长"),5))*(VLOOKUP($B$5,标准坦克设计!$B$24:$U$30,MATCH("对"&amp;LEFT($C$5,2)&amp;"输出",标准坦克设计!$B$23:$U$23,0)))*(VLOOKUP($B119,INDIRECT($B$5&amp;"生成成长"),3))*(VLOOKUP($B$5,标准坦克设计!$B$14:$K$20,9)/30))</f>
        <v>85.525566923422502</v>
      </c>
      <c r="DC119" s="173">
        <f ca="1">(VLOOKUP(DC$72,INDIRECT($C$5&amp;"生成成长"),2))/((VLOOKUP($B119,INDIRECT($B$5&amp;"生成成长"),4))/(VLOOKUP(DC$72,INDIRECT($C$5&amp;"生成成长"),5))*(VLOOKUP($B$5,标准坦克设计!$B$24:$U$30,MATCH("对"&amp;LEFT($C$5,2)&amp;"输出",标准坦克设计!$B$23:$U$23,0)))*(VLOOKUP($B119,INDIRECT($B$5&amp;"生成成长"),3))*(VLOOKUP($B$5,标准坦克设计!$B$14:$K$20,9)/30))</f>
        <v>90.925876553315646</v>
      </c>
      <c r="DD119" s="173">
        <f ca="1">(VLOOKUP(DD$72,INDIRECT($C$5&amp;"生成成长"),2))/((VLOOKUP($B119,INDIRECT($B$5&amp;"生成成长"),4))/(VLOOKUP(DD$72,INDIRECT($C$5&amp;"生成成长"),5))*(VLOOKUP($B$5,标准坦克设计!$B$24:$U$30,MATCH("对"&amp;LEFT($C$5,2)&amp;"输出",标准坦克设计!$B$23:$U$23,0)))*(VLOOKUP($B119,INDIRECT($B$5&amp;"生成成长"),3))*(VLOOKUP($B$5,标准坦克设计!$B$14:$K$20,9)/30))</f>
        <v>96.491501784123869</v>
      </c>
      <c r="DE119" s="173">
        <f ca="1">(VLOOKUP(DE$72,INDIRECT($C$5&amp;"生成成长"),2))/((VLOOKUP($B119,INDIRECT($B$5&amp;"生成成长"),4))/(VLOOKUP(DE$72,INDIRECT($C$5&amp;"生成成长"),5))*(VLOOKUP($B$5,标准坦克设计!$B$24:$U$30,MATCH("对"&amp;LEFT($C$5,2)&amp;"输出",标准坦克设计!$B$23:$U$23,0)))*(VLOOKUP($B119,INDIRECT($B$5&amp;"生成成长"),3))*(VLOOKUP($B$5,标准坦克设计!$B$14:$K$20,9)/30))</f>
        <v>102.2224426158472</v>
      </c>
      <c r="DF119" s="173">
        <f ca="1">(VLOOKUP(DF$72,INDIRECT($C$5&amp;"生成成长"),2))/((VLOOKUP($B119,INDIRECT($B$5&amp;"生成成长"),4))/(VLOOKUP(DF$72,INDIRECT($C$5&amp;"生成成长"),5))*(VLOOKUP($B$5,标准坦克设计!$B$24:$U$30,MATCH("对"&amp;LEFT($C$5,2)&amp;"输出",标准坦克设计!$B$23:$U$23,0)))*(VLOOKUP($B119,INDIRECT($B$5&amp;"生成成长"),3))*(VLOOKUP($B$5,标准坦克设计!$B$14:$K$20,9)/30))</f>
        <v>108.11869904848564</v>
      </c>
      <c r="DG119" s="173">
        <f ca="1">(VLOOKUP(DG$72,INDIRECT($C$5&amp;"生成成长"),2))/((VLOOKUP($B119,INDIRECT($B$5&amp;"生成成长"),4))/(VLOOKUP(DG$72,INDIRECT($C$5&amp;"生成成长"),5))*(VLOOKUP($B$5,标准坦克设计!$B$24:$U$30,MATCH("对"&amp;LEFT($C$5,2)&amp;"输出",标准坦克设计!$B$23:$U$23,0)))*(VLOOKUP($B119,INDIRECT($B$5&amp;"生成成长"),3))*(VLOOKUP($B$5,标准坦克设计!$B$14:$K$20,9)/30))</f>
        <v>114.18027108203917</v>
      </c>
      <c r="DH119" s="173">
        <f ca="1">(VLOOKUP(DH$72,INDIRECT($C$5&amp;"生成成长"),2))/((VLOOKUP($B119,INDIRECT($B$5&amp;"生成成长"),4))/(VLOOKUP(DH$72,INDIRECT($C$5&amp;"生成成长"),5))*(VLOOKUP($B$5,标准坦克设计!$B$24:$U$30,MATCH("对"&amp;LEFT($C$5,2)&amp;"输出",标准坦克设计!$B$23:$U$23,0)))*(VLOOKUP($B119,INDIRECT($B$5&amp;"生成成长"),3))*(VLOOKUP($B$5,标准坦克设计!$B$14:$K$20,9)/30))</f>
        <v>120.40715871650779</v>
      </c>
      <c r="DI119" s="173">
        <f ca="1">(VLOOKUP(DI$72,INDIRECT($C$5&amp;"生成成长"),2))/((VLOOKUP($B119,INDIRECT($B$5&amp;"生成成长"),4))/(VLOOKUP(DI$72,INDIRECT($C$5&amp;"生成成长"),5))*(VLOOKUP($B$5,标准坦克设计!$B$24:$U$30,MATCH("对"&amp;LEFT($C$5,2)&amp;"输出",标准坦克设计!$B$23:$U$23,0)))*(VLOOKUP($B119,INDIRECT($B$5&amp;"生成成长"),3))*(VLOOKUP($B$5,标准坦克设计!$B$14:$K$20,9)/30))</f>
        <v>126.79936195189153</v>
      </c>
      <c r="DJ119" s="173">
        <f ca="1">(VLOOKUP(DJ$72,INDIRECT($C$5&amp;"生成成长"),2))/((VLOOKUP($B119,INDIRECT($B$5&amp;"生成成长"),4))/(VLOOKUP(DJ$72,INDIRECT($C$5&amp;"生成成长"),5))*(VLOOKUP($B$5,标准坦克设计!$B$24:$U$30,MATCH("对"&amp;LEFT($C$5,2)&amp;"输出",标准坦克设计!$B$23:$U$23,0)))*(VLOOKUP($B119,INDIRECT($B$5&amp;"生成成长"),3))*(VLOOKUP($B$5,标准坦克设计!$B$14:$K$20,9)/30))</f>
        <v>12.743651583041846</v>
      </c>
      <c r="DK119" s="173">
        <f ca="1">(VLOOKUP(DK$72,INDIRECT($C$5&amp;"生成成长"),2))/((VLOOKUP($B119,INDIRECT($B$5&amp;"生成成长"),4))/(VLOOKUP(DK$72,INDIRECT($C$5&amp;"生成成长"),5))*(VLOOKUP($B$5,标准坦克设计!$B$24:$U$30,MATCH("对"&amp;LEFT($C$5,2)&amp;"输出",标准坦克设计!$B$23:$U$23,0)))*(VLOOKUP($B119,INDIRECT($B$5&amp;"生成成长"),3))*(VLOOKUP($B$5,标准坦克设计!$B$14:$K$20,9)/30))</f>
        <v>14.329648129321052</v>
      </c>
      <c r="DL119" s="173">
        <f ca="1">(VLOOKUP(DL$72,INDIRECT($C$5&amp;"生成成长"),2))/((VLOOKUP($B119,INDIRECT($B$5&amp;"生成成长"),4))/(VLOOKUP(DL$72,INDIRECT($C$5&amp;"生成成长"),5))*(VLOOKUP($B$5,标准坦克设计!$B$24:$U$30,MATCH("对"&amp;LEFT($C$5,2)&amp;"输出",标准坦克设计!$B$23:$U$23,0)))*(VLOOKUP($B119,INDIRECT($B$5&amp;"生成成长"),3))*(VLOOKUP($B$5,标准坦克设计!$B$14:$K$20,9)/30))</f>
        <v>16.008634701114996</v>
      </c>
      <c r="DM119" s="173">
        <f ca="1">(VLOOKUP(DM$72,INDIRECT($C$5&amp;"生成成长"),2))/((VLOOKUP($B119,INDIRECT($B$5&amp;"生成成长"),4))/(VLOOKUP(DM$72,INDIRECT($C$5&amp;"生成成长"),5))*(VLOOKUP($B$5,标准坦克设计!$B$24:$U$30,MATCH("对"&amp;LEFT($C$5,2)&amp;"输出",标准坦克设计!$B$23:$U$23,0)))*(VLOOKUP($B119,INDIRECT($B$5&amp;"生成成长"),3))*(VLOOKUP($B$5,标准坦克设计!$B$14:$K$20,9)/30))</f>
        <v>17.780611298423683</v>
      </c>
      <c r="DN119" s="173">
        <f ca="1">(VLOOKUP(DN$72,INDIRECT($C$5&amp;"生成成长"),2))/((VLOOKUP($B119,INDIRECT($B$5&amp;"生成成长"),4))/(VLOOKUP(DN$72,INDIRECT($C$5&amp;"生成成长"),5))*(VLOOKUP($B$5,标准坦克设计!$B$24:$U$30,MATCH("对"&amp;LEFT($C$5,2)&amp;"输出",标准坦克设计!$B$23:$U$23,0)))*(VLOOKUP($B119,INDIRECT($B$5&amp;"生成成长"),3))*(VLOOKUP($B$5,标准坦克设计!$B$14:$K$20,9)/30))</f>
        <v>19.64557792124711</v>
      </c>
      <c r="DO119" s="173">
        <f ca="1">(VLOOKUP(DO$72,INDIRECT($C$5&amp;"生成成长"),2))/((VLOOKUP($B119,INDIRECT($B$5&amp;"生成成长"),4))/(VLOOKUP(DO$72,INDIRECT($C$5&amp;"生成成长"),5))*(VLOOKUP($B$5,标准坦克设计!$B$24:$U$30,MATCH("对"&amp;LEFT($C$5,2)&amp;"输出",标准坦克设计!$B$23:$U$23,0)))*(VLOOKUP($B119,INDIRECT($B$5&amp;"生成成长"),3))*(VLOOKUP($B$5,标准坦克设计!$B$14:$K$20,9)/30))</f>
        <v>21.603534569585282</v>
      </c>
      <c r="DP119" s="173">
        <f ca="1">(VLOOKUP(DP$72,INDIRECT($C$5&amp;"生成成长"),2))/((VLOOKUP($B119,INDIRECT($B$5&amp;"生成成长"),4))/(VLOOKUP(DP$72,INDIRECT($C$5&amp;"生成成长"),5))*(VLOOKUP($B$5,标准坦克设计!$B$24:$U$30,MATCH("对"&amp;LEFT($C$5,2)&amp;"输出",标准坦克设计!$B$23:$U$23,0)))*(VLOOKUP($B119,INDIRECT($B$5&amp;"生成成长"),3))*(VLOOKUP($B$5,标准坦克设计!$B$14:$K$20,9)/30))</f>
        <v>23.654481243438195</v>
      </c>
      <c r="DQ119" s="173">
        <f ca="1">(VLOOKUP(DQ$72,INDIRECT($C$5&amp;"生成成长"),2))/((VLOOKUP($B119,INDIRECT($B$5&amp;"生成成长"),4))/(VLOOKUP(DQ$72,INDIRECT($C$5&amp;"生成成长"),5))*(VLOOKUP($B$5,标准坦克设计!$B$24:$U$30,MATCH("对"&amp;LEFT($C$5,2)&amp;"输出",标准坦克设计!$B$23:$U$23,0)))*(VLOOKUP($B119,INDIRECT($B$5&amp;"生成成长"),3))*(VLOOKUP($B$5,标准坦克设计!$B$14:$K$20,9)/30))</f>
        <v>25.798417942805855</v>
      </c>
      <c r="DR119" s="173">
        <f ca="1">(VLOOKUP(DR$72,INDIRECT($C$5&amp;"生成成长"),2))/((VLOOKUP($B119,INDIRECT($B$5&amp;"生成成长"),4))/(VLOOKUP(DR$72,INDIRECT($C$5&amp;"生成成长"),5))*(VLOOKUP($B$5,标准坦克设计!$B$24:$U$30,MATCH("对"&amp;LEFT($C$5,2)&amp;"输出",标准坦克设计!$B$23:$U$23,0)))*(VLOOKUP($B119,INDIRECT($B$5&amp;"生成成长"),3))*(VLOOKUP($B$5,标准坦克设计!$B$14:$K$20,9)/30))</f>
        <v>28.035344667688243</v>
      </c>
      <c r="DS119" s="173">
        <f ca="1">(VLOOKUP(DS$72,INDIRECT($C$5&amp;"生成成长"),2))/((VLOOKUP($B119,INDIRECT($B$5&amp;"生成成长"),4))/(VLOOKUP(DS$72,INDIRECT($C$5&amp;"生成成长"),5))*(VLOOKUP($B$5,标准坦克设计!$B$24:$U$30,MATCH("对"&amp;LEFT($C$5,2)&amp;"输出",标准坦克设计!$B$23:$U$23,0)))*(VLOOKUP($B119,INDIRECT($B$5&amp;"生成成长"),3))*(VLOOKUP($B$5,标准坦克设计!$B$14:$K$20,9)/30))</f>
        <v>30.365261418085392</v>
      </c>
      <c r="DT119" s="173">
        <f ca="1">(VLOOKUP(DT$72,INDIRECT($C$5&amp;"生成成长"),2))/((VLOOKUP($B119,INDIRECT($B$5&amp;"生成成长"),4))/(VLOOKUP(DT$72,INDIRECT($C$5&amp;"生成成长"),5))*(VLOOKUP($B$5,标准坦克设计!$B$24:$U$30,MATCH("对"&amp;LEFT($C$5,2)&amp;"输出",标准坦克设计!$B$23:$U$23,0)))*(VLOOKUP($B119,INDIRECT($B$5&amp;"生成成长"),3))*(VLOOKUP($B$5,标准坦克设计!$B$14:$K$20,9)/30))</f>
        <v>33.339220197047581</v>
      </c>
      <c r="DU119" s="173">
        <f ca="1">(VLOOKUP(DU$72,INDIRECT($C$5&amp;"生成成长"),2))/((VLOOKUP($B119,INDIRECT($B$5&amp;"生成成长"),4))/(VLOOKUP(DU$72,INDIRECT($C$5&amp;"生成成长"),5))*(VLOOKUP($B$5,标准坦克设计!$B$24:$U$30,MATCH("对"&amp;LEFT($C$5,2)&amp;"输出",标准坦克设计!$B$23:$U$23,0)))*(VLOOKUP($B119,INDIRECT($B$5&amp;"生成成长"),3))*(VLOOKUP($B$5,标准坦克设计!$B$14:$K$20,9)/30))</f>
        <v>36.452090001778721</v>
      </c>
      <c r="DV119" s="173">
        <f ca="1">(VLOOKUP(DV$72,INDIRECT($C$5&amp;"生成成长"),2))/((VLOOKUP($B119,INDIRECT($B$5&amp;"生成成长"),4))/(VLOOKUP(DV$72,INDIRECT($C$5&amp;"生成成长"),5))*(VLOOKUP($B$5,标准坦克设计!$B$24:$U$30,MATCH("对"&amp;LEFT($C$5,2)&amp;"输出",标准坦克设计!$B$23:$U$23,0)))*(VLOOKUP($B119,INDIRECT($B$5&amp;"生成成长"),3))*(VLOOKUP($B$5,标准坦克设计!$B$14:$K$20,9)/30))</f>
        <v>39.703870832278795</v>
      </c>
      <c r="DW119" s="173">
        <f ca="1">(VLOOKUP(DW$72,INDIRECT($C$5&amp;"生成成长"),2))/((VLOOKUP($B119,INDIRECT($B$5&amp;"生成成长"),4))/(VLOOKUP(DW$72,INDIRECT($C$5&amp;"生成成长"),5))*(VLOOKUP($B$5,标准坦克设计!$B$24:$U$30,MATCH("对"&amp;LEFT($C$5,2)&amp;"输出",标准坦克设计!$B$23:$U$23,0)))*(VLOOKUP($B119,INDIRECT($B$5&amp;"生成成长"),3))*(VLOOKUP($B$5,标准坦克设计!$B$14:$K$20,9)/30))</f>
        <v>43.094562688547796</v>
      </c>
      <c r="DX119" s="173">
        <f ca="1">(VLOOKUP(DX$72,INDIRECT($C$5&amp;"生成成长"),2))/((VLOOKUP($B119,INDIRECT($B$5&amp;"生成成长"),4))/(VLOOKUP(DX$72,INDIRECT($C$5&amp;"生成成长"),5))*(VLOOKUP($B$5,标准坦克设计!$B$24:$U$30,MATCH("对"&amp;LEFT($C$5,2)&amp;"输出",标准坦克设计!$B$23:$U$23,0)))*(VLOOKUP($B119,INDIRECT($B$5&amp;"生成成长"),3))*(VLOOKUP($B$5,标准坦克设计!$B$14:$K$20,9)/30))</f>
        <v>46.624165570585738</v>
      </c>
      <c r="DY119" s="173">
        <f ca="1">(VLOOKUP(DY$72,INDIRECT($C$5&amp;"生成成长"),2))/((VLOOKUP($B119,INDIRECT($B$5&amp;"生成成长"),4))/(VLOOKUP(DY$72,INDIRECT($C$5&amp;"生成成长"),5))*(VLOOKUP($B$5,标准坦克设计!$B$24:$U$30,MATCH("对"&amp;LEFT($C$5,2)&amp;"输出",标准坦克设计!$B$23:$U$23,0)))*(VLOOKUP($B119,INDIRECT($B$5&amp;"生成成长"),3))*(VLOOKUP($B$5,标准坦克设计!$B$14:$K$20,9)/30))</f>
        <v>20.940550128415367</v>
      </c>
      <c r="DZ119" s="173">
        <f ca="1">(VLOOKUP(DZ$72,INDIRECT($C$5&amp;"生成成长"),2))/((VLOOKUP($B119,INDIRECT($B$5&amp;"生成成长"),4))/(VLOOKUP(DZ$72,INDIRECT($C$5&amp;"生成成长"),5))*(VLOOKUP($B$5,标准坦克设计!$B$24:$U$30,MATCH("对"&amp;LEFT($C$5,2)&amp;"输出",标准坦克设计!$B$23:$U$23,0)))*(VLOOKUP($B119,INDIRECT($B$5&amp;"生成成长"),3))*(VLOOKUP($B$5,标准坦克设计!$B$14:$K$20,9)/30))</f>
        <v>23.190679140870841</v>
      </c>
      <c r="EA119" s="173">
        <f ca="1">(VLOOKUP(EA$72,INDIRECT($C$5&amp;"生成成长"),2))/((VLOOKUP($B119,INDIRECT($B$5&amp;"生成成长"),4))/(VLOOKUP(EA$72,INDIRECT($C$5&amp;"生成成长"),5))*(VLOOKUP($B$5,标准坦克设计!$B$24:$U$30,MATCH("对"&amp;LEFT($C$5,2)&amp;"输出",标准坦克设计!$B$23:$U$23,0)))*(VLOOKUP($B119,INDIRECT($B$5&amp;"生成成长"),3))*(VLOOKUP($B$5,标准坦克设计!$B$14:$K$20,9)/30))</f>
        <v>25.5556106539618</v>
      </c>
      <c r="EB119" s="173">
        <f ca="1">(VLOOKUP(EB$72,INDIRECT($C$5&amp;"生成成长"),2))/((VLOOKUP($B119,INDIRECT($B$5&amp;"生成成长"),4))/(VLOOKUP(EB$72,INDIRECT($C$5&amp;"生成成长"),5))*(VLOOKUP($B$5,标准坦克设计!$B$24:$U$30,MATCH("对"&amp;LEFT($C$5,2)&amp;"输出",标准坦克设计!$B$23:$U$23,0)))*(VLOOKUP($B119,INDIRECT($B$5&amp;"生成成长"),3))*(VLOOKUP($B$5,标准坦克设计!$B$14:$K$20,9)/30))</f>
        <v>28.035344667688243</v>
      </c>
      <c r="EC119" s="173">
        <f ca="1">(VLOOKUP(EC$72,INDIRECT($C$5&amp;"生成成长"),2))/((VLOOKUP($B119,INDIRECT($B$5&amp;"生成成长"),4))/(VLOOKUP(EC$72,INDIRECT($C$5&amp;"生成成长"),5))*(VLOOKUP($B$5,标准坦克设计!$B$24:$U$30,MATCH("对"&amp;LEFT($C$5,2)&amp;"输出",标准坦克设计!$B$23:$U$23,0)))*(VLOOKUP($B119,INDIRECT($B$5&amp;"生成成长"),3))*(VLOOKUP($B$5,标准坦克设计!$B$14:$K$20,9)/30))</f>
        <v>30.629881182050173</v>
      </c>
      <c r="ED119" s="173">
        <f ca="1">(VLOOKUP(ED$72,INDIRECT($C$5&amp;"生成成长"),2))/((VLOOKUP($B119,INDIRECT($B$5&amp;"生成成长"),4))/(VLOOKUP(ED$72,INDIRECT($C$5&amp;"生成成长"),5))*(VLOOKUP($B$5,标准坦克设计!$B$24:$U$30,MATCH("对"&amp;LEFT($C$5,2)&amp;"输出",标准坦克设计!$B$23:$U$23,0)))*(VLOOKUP($B119,INDIRECT($B$5&amp;"生成成长"),3))*(VLOOKUP($B$5,标准坦克设计!$B$14:$K$20,9)/30))</f>
        <v>33.339220197047581</v>
      </c>
      <c r="EE119" s="173">
        <f ca="1">(VLOOKUP(EE$72,INDIRECT($C$5&amp;"生成成长"),2))/((VLOOKUP($B119,INDIRECT($B$5&amp;"生成成长"),4))/(VLOOKUP(EE$72,INDIRECT($C$5&amp;"生成成长"),5))*(VLOOKUP($B$5,标准坦克设计!$B$24:$U$30,MATCH("对"&amp;LEFT($C$5,2)&amp;"输出",标准坦克设计!$B$23:$U$23,0)))*(VLOOKUP($B119,INDIRECT($B$5&amp;"生成成长"),3))*(VLOOKUP($B$5,标准坦克设计!$B$14:$K$20,9)/30))</f>
        <v>36.163361712680477</v>
      </c>
      <c r="EF119" s="173">
        <f ca="1">(VLOOKUP(EF$72,INDIRECT($C$5&amp;"生成成长"),2))/((VLOOKUP($B119,INDIRECT($B$5&amp;"生成成长"),4))/(VLOOKUP(EF$72,INDIRECT($C$5&amp;"生成成长"),5))*(VLOOKUP($B$5,标准坦克设计!$B$24:$U$30,MATCH("对"&amp;LEFT($C$5,2)&amp;"输出",标准坦克设计!$B$23:$U$23,0)))*(VLOOKUP($B119,INDIRECT($B$5&amp;"生成成长"),3))*(VLOOKUP($B$5,标准坦克设计!$B$14:$K$20,9)/30))</f>
        <v>39.102305728948856</v>
      </c>
      <c r="EG119" s="173">
        <f ca="1">(VLOOKUP(EG$72,INDIRECT($C$5&amp;"生成成长"),2))/((VLOOKUP($B119,INDIRECT($B$5&amp;"生成成长"),4))/(VLOOKUP(EG$72,INDIRECT($C$5&amp;"生成成长"),5))*(VLOOKUP($B$5,标准坦克设计!$B$24:$U$30,MATCH("对"&amp;LEFT($C$5,2)&amp;"输出",标准坦克设计!$B$23:$U$23,0)))*(VLOOKUP($B119,INDIRECT($B$5&amp;"生成成长"),3))*(VLOOKUP($B$5,标准坦克设计!$B$14:$K$20,9)/30))</f>
        <v>42.15605224585272</v>
      </c>
      <c r="EH119" s="173">
        <f ca="1">(VLOOKUP(EH$72,INDIRECT($C$5&amp;"生成成长"),2))/((VLOOKUP($B119,INDIRECT($B$5&amp;"生成成长"),4))/(VLOOKUP(EH$72,INDIRECT($C$5&amp;"生成成长"),5))*(VLOOKUP($B$5,标准坦克设计!$B$24:$U$30,MATCH("对"&amp;LEFT($C$5,2)&amp;"输出",标准坦克设计!$B$23:$U$23,0)))*(VLOOKUP($B119,INDIRECT($B$5&amp;"生成成长"),3))*(VLOOKUP($B$5,标准坦克设计!$B$14:$K$20,9)/30))</f>
        <v>45.324601263392061</v>
      </c>
      <c r="EI119" s="173">
        <f ca="1">(VLOOKUP(EI$72,INDIRECT($C$5&amp;"生成成长"),2))/((VLOOKUP($B119,INDIRECT($B$5&amp;"生成成长"),4))/(VLOOKUP(EI$72,INDIRECT($C$5&amp;"生成成长"),5))*(VLOOKUP($B$5,标准坦克设计!$B$24:$U$30,MATCH("对"&amp;LEFT($C$5,2)&amp;"输出",标准坦克设计!$B$23:$U$23,0)))*(VLOOKUP($B119,INDIRECT($B$5&amp;"生成成长"),3))*(VLOOKUP($B$5,标准坦克设计!$B$14:$K$20,9)/30))</f>
        <v>48.607952781566887</v>
      </c>
      <c r="EJ119" s="173">
        <f ca="1">(VLOOKUP(EJ$72,INDIRECT($C$5&amp;"生成成长"),2))/((VLOOKUP($B119,INDIRECT($B$5&amp;"生成成长"),4))/(VLOOKUP(EJ$72,INDIRECT($C$5&amp;"生成成长"),5))*(VLOOKUP($B$5,标准坦克设计!$B$24:$U$30,MATCH("对"&amp;LEFT($C$5,2)&amp;"输出",标准坦克设计!$B$23:$U$23,0)))*(VLOOKUP($B119,INDIRECT($B$5&amp;"生成成长"),3))*(VLOOKUP($B$5,标准坦克设计!$B$14:$K$20,9)/30))</f>
        <v>52.006106800377196</v>
      </c>
      <c r="EK119" s="173">
        <f ca="1">(VLOOKUP(EK$72,INDIRECT($C$5&amp;"生成成长"),2))/((VLOOKUP($B119,INDIRECT($B$5&amp;"生成成长"),4))/(VLOOKUP(EK$72,INDIRECT($C$5&amp;"生成成长"),5))*(VLOOKUP($B$5,标准坦克设计!$B$24:$U$30,MATCH("对"&amp;LEFT($C$5,2)&amp;"输出",标准坦克设计!$B$23:$U$23,0)))*(VLOOKUP($B119,INDIRECT($B$5&amp;"生成成长"),3))*(VLOOKUP($B$5,标准坦克设计!$B$14:$K$20,9)/30))</f>
        <v>56.235430923788407</v>
      </c>
      <c r="EL119" s="173">
        <f ca="1">(VLOOKUP(EL$72,INDIRECT($C$5&amp;"生成成长"),2))/((VLOOKUP($B119,INDIRECT($B$5&amp;"生成成长"),4))/(VLOOKUP(EL$72,INDIRECT($C$5&amp;"生成成长"),5))*(VLOOKUP($B$5,标准坦克设计!$B$24:$U$30,MATCH("对"&amp;LEFT($C$5,2)&amp;"输出",标准坦克设计!$B$23:$U$23,0)))*(VLOOKUP($B119,INDIRECT($B$5&amp;"生成成长"),3))*(VLOOKUP($B$5,标准坦克设计!$B$14:$K$20,9)/30))</f>
        <v>60.630070648114717</v>
      </c>
      <c r="EM119" s="173">
        <f ca="1">(VLOOKUP(EM$72,INDIRECT($C$5&amp;"生成成长"),2))/((VLOOKUP($B119,INDIRECT($B$5&amp;"生成成长"),4))/(VLOOKUP(EM$72,INDIRECT($C$5&amp;"生成成长"),5))*(VLOOKUP($B$5,标准坦克设计!$B$24:$U$30,MATCH("对"&amp;LEFT($C$5,2)&amp;"输出",标准坦克设计!$B$23:$U$23,0)))*(VLOOKUP($B119,INDIRECT($B$5&amp;"生成成长"),3))*(VLOOKUP($B$5,标准坦克设计!$B$14:$K$20,9)/30))</f>
        <v>65.190025973356143</v>
      </c>
      <c r="EN119" s="173">
        <f ca="1">(VLOOKUP(EN$72,INDIRECT($C$5&amp;"生成成长"),2))/((VLOOKUP($B119,INDIRECT($B$5&amp;"生成成长"),4))/(VLOOKUP(EN$72,INDIRECT($C$5&amp;"生成成长"),5))*(VLOOKUP($B$5,标准坦克设计!$B$24:$U$30,MATCH("对"&amp;LEFT($C$5,2)&amp;"输出",标准坦克设计!$B$23:$U$23,0)))*(VLOOKUP($B119,INDIRECT($B$5&amp;"生成成长"),3))*(VLOOKUP($B$5,标准坦克设计!$B$14:$K$20,9)/30))</f>
        <v>69.915296899512626</v>
      </c>
      <c r="EO119" s="173">
        <f ca="1">(VLOOKUP(EO$72,INDIRECT($C$5&amp;"生成成长"),2))/((VLOOKUP($B119,INDIRECT($B$5&amp;"生成成长"),4))/(VLOOKUP(EO$72,INDIRECT($C$5&amp;"生成成长"),5))*(VLOOKUP($B$5,标准坦克设计!$B$24:$U$30,MATCH("对"&amp;LEFT($C$5,2)&amp;"输出",标准坦克设计!$B$23:$U$23,0)))*(VLOOKUP($B119,INDIRECT($B$5&amp;"生成成长"),3))*(VLOOKUP($B$5,标准坦克设计!$B$14:$K$20,9)/30))</f>
        <v>74.805883426584231</v>
      </c>
      <c r="EP119" s="173">
        <f ca="1">(VLOOKUP(EP$72,INDIRECT($C$5&amp;"生成成长"),2))/((VLOOKUP($B119,INDIRECT($B$5&amp;"生成成长"),4))/(VLOOKUP(EP$72,INDIRECT($C$5&amp;"生成成长"),5))*(VLOOKUP($B$5,标准坦克设计!$B$24:$U$30,MATCH("对"&amp;LEFT($C$5,2)&amp;"输出",标准坦克设计!$B$23:$U$23,0)))*(VLOOKUP($B119,INDIRECT($B$5&amp;"生成成长"),3))*(VLOOKUP($B$5,标准坦克设计!$B$14:$K$20,9)/30))</f>
        <v>79.861785554570915</v>
      </c>
      <c r="EQ119" s="173">
        <f ca="1">(VLOOKUP(EQ$72,INDIRECT($C$5&amp;"生成成长"),2))/((VLOOKUP($B119,INDIRECT($B$5&amp;"生成成长"),4))/(VLOOKUP(EQ$72,INDIRECT($C$5&amp;"生成成长"),5))*(VLOOKUP($B$5,标准坦克设计!$B$24:$U$30,MATCH("对"&amp;LEFT($C$5,2)&amp;"输出",标准坦克设计!$B$23:$U$23,0)))*(VLOOKUP($B119,INDIRECT($B$5&amp;"生成成长"),3))*(VLOOKUP($B$5,标准坦克设计!$B$14:$K$20,9)/30))</f>
        <v>35.304064995423886</v>
      </c>
      <c r="ER119" s="173">
        <f ca="1">(VLOOKUP(ER$72,INDIRECT($C$5&amp;"生成成长"),2))/((VLOOKUP($B119,INDIRECT($B$5&amp;"生成成长"),4))/(VLOOKUP(ER$72,INDIRECT($C$5&amp;"生成成长"),5))*(VLOOKUP($B$5,标准坦克设计!$B$24:$U$30,MATCH("对"&amp;LEFT($C$5,2)&amp;"输出",标准坦克设计!$B$23:$U$23,0)))*(VLOOKUP($B119,INDIRECT($B$5&amp;"生成成长"),3))*(VLOOKUP($B$5,标准坦克设计!$B$14:$K$20,9)/30))</f>
        <v>38.505332725644337</v>
      </c>
      <c r="ES119" s="173">
        <f ca="1">(VLOOKUP(ES$72,INDIRECT($C$5&amp;"生成成长"),2))/((VLOOKUP($B119,INDIRECT($B$5&amp;"生成成长"),4))/(VLOOKUP(ES$72,INDIRECT($C$5&amp;"生成成长"),5))*(VLOOKUP($B$5,标准坦克设计!$B$24:$U$30,MATCH("对"&amp;LEFT($C$5,2)&amp;"输出",标准坦克设计!$B$23:$U$23,0)))*(VLOOKUP($B119,INDIRECT($B$5&amp;"生成成长"),3))*(VLOOKUP($B$5,标准坦克设计!$B$14:$K$20,9)/30))</f>
        <v>41.845511481633736</v>
      </c>
      <c r="ET119" s="173">
        <f ca="1">(VLOOKUP(ET$72,INDIRECT($C$5&amp;"生成成长"),2))/((VLOOKUP($B119,INDIRECT($B$5&amp;"生成成长"),4))/(VLOOKUP(ET$72,INDIRECT($C$5&amp;"生成成长"),5))*(VLOOKUP($B$5,标准坦克设计!$B$24:$U$30,MATCH("对"&amp;LEFT($C$5,2)&amp;"输出",标准坦克设计!$B$23:$U$23,0)))*(VLOOKUP($B119,INDIRECT($B$5&amp;"生成成长"),3))*(VLOOKUP($B$5,标准坦克设计!$B$14:$K$20,9)/30))</f>
        <v>45.324601263392061</v>
      </c>
      <c r="EU119" s="173">
        <f ca="1">(VLOOKUP(EU$72,INDIRECT($C$5&amp;"生成成长"),2))/((VLOOKUP($B119,INDIRECT($B$5&amp;"生成成长"),4))/(VLOOKUP(EU$72,INDIRECT($C$5&amp;"生成成长"),5))*(VLOOKUP($B$5,标准坦克设计!$B$24:$U$30,MATCH("对"&amp;LEFT($C$5,2)&amp;"输出",标准坦克设计!$B$23:$U$23,0)))*(VLOOKUP($B119,INDIRECT($B$5&amp;"生成成长"),3))*(VLOOKUP($B$5,标准坦克设计!$B$14:$K$20,9)/30))</f>
        <v>48.942602070919314</v>
      </c>
      <c r="EV119" s="173">
        <f ca="1">(VLOOKUP(EV$72,INDIRECT($C$5&amp;"生成成长"),2))/((VLOOKUP($B119,INDIRECT($B$5&amp;"生成成长"),4))/(VLOOKUP(EV$72,INDIRECT($C$5&amp;"生成成长"),5))*(VLOOKUP($B$5,标准坦克设计!$B$24:$U$30,MATCH("对"&amp;LEFT($C$5,2)&amp;"输出",标准坦克设计!$B$23:$U$23,0)))*(VLOOKUP($B119,INDIRECT($B$5&amp;"生成成长"),3))*(VLOOKUP($B$5,标准坦克设计!$B$14:$K$20,9)/30))</f>
        <v>52.699513904215529</v>
      </c>
      <c r="EW119" s="173">
        <f ca="1">(VLOOKUP(EW$72,INDIRECT($C$5&amp;"生成成长"),2))/((VLOOKUP($B119,INDIRECT($B$5&amp;"生成成长"),4))/(VLOOKUP(EW$72,INDIRECT($C$5&amp;"生成成长"),5))*(VLOOKUP($B$5,标准坦克设计!$B$24:$U$30,MATCH("对"&amp;LEFT($C$5,2)&amp;"输出",标准坦克设计!$B$23:$U$23,0)))*(VLOOKUP($B119,INDIRECT($B$5&amp;"生成成长"),3))*(VLOOKUP($B$5,标准坦克设计!$B$14:$K$20,9)/30))</f>
        <v>56.595336763280642</v>
      </c>
      <c r="EX119" s="173">
        <f ca="1">(VLOOKUP(EX$72,INDIRECT($C$5&amp;"生成成长"),2))/((VLOOKUP($B119,INDIRECT($B$5&amp;"生成成长"),4))/(VLOOKUP(EX$72,INDIRECT($C$5&amp;"生成成长"),5))*(VLOOKUP($B$5,标准坦克设计!$B$24:$U$30,MATCH("对"&amp;LEFT($C$5,2)&amp;"输出",标准坦克设计!$B$23:$U$23,0)))*(VLOOKUP($B119,INDIRECT($B$5&amp;"生成成长"),3))*(VLOOKUP($B$5,标准坦克设计!$B$14:$K$20,9)/30))</f>
        <v>60.630070648114717</v>
      </c>
      <c r="EY119" s="173">
        <f ca="1">(VLOOKUP(EY$72,INDIRECT($C$5&amp;"生成成长"),2))/((VLOOKUP($B119,INDIRECT($B$5&amp;"生成成长"),4))/(VLOOKUP(EY$72,INDIRECT($C$5&amp;"生成成长"),5))*(VLOOKUP($B$5,标准坦克设计!$B$24:$U$30,MATCH("对"&amp;LEFT($C$5,2)&amp;"输出",标准坦克设计!$B$23:$U$23,0)))*(VLOOKUP($B119,INDIRECT($B$5&amp;"生成成长"),3))*(VLOOKUP($B$5,标准坦克设计!$B$14:$K$20,9)/30))</f>
        <v>64.803715558717727</v>
      </c>
      <c r="EZ119" s="173">
        <f ca="1">(VLOOKUP(EZ$72,INDIRECT($C$5&amp;"生成成长"),2))/((VLOOKUP($B119,INDIRECT($B$5&amp;"生成成长"),4))/(VLOOKUP(EZ$72,INDIRECT($C$5&amp;"生成成长"),5))*(VLOOKUP($B$5,标准坦克设计!$B$24:$U$30,MATCH("对"&amp;LEFT($C$5,2)&amp;"输出",标准坦克设计!$B$23:$U$23,0)))*(VLOOKUP($B119,INDIRECT($B$5&amp;"生成成长"),3))*(VLOOKUP($B$5,标准坦克设计!$B$14:$K$20,9)/30))</f>
        <v>69.116271495089663</v>
      </c>
      <c r="FA119" s="173">
        <f ca="1">(VLOOKUP(FA$72,INDIRECT($C$5&amp;"生成成长"),2))/((VLOOKUP($B119,INDIRECT($B$5&amp;"生成成长"),4))/(VLOOKUP(FA$72,INDIRECT($C$5&amp;"生成成长"),5))*(VLOOKUP($B$5,标准坦克设计!$B$24:$U$30,MATCH("对"&amp;LEFT($C$5,2)&amp;"输出",标准坦克设计!$B$23:$U$23,0)))*(VLOOKUP($B119,INDIRECT($B$5&amp;"生成成长"),3))*(VLOOKUP($B$5,标准坦克设计!$B$14:$K$20,9)/30))</f>
        <v>73.567738457230533</v>
      </c>
      <c r="FB119" s="173">
        <f ca="1">(VLOOKUP(FB$72,INDIRECT($C$5&amp;"生成成长"),2))/((VLOOKUP($B119,INDIRECT($B$5&amp;"生成成长"),4))/(VLOOKUP(FB$72,INDIRECT($C$5&amp;"生成成长"),5))*(VLOOKUP($B$5,标准坦克设计!$B$24:$U$30,MATCH("对"&amp;LEFT($C$5,2)&amp;"输出",标准坦克设计!$B$23:$U$23,0)))*(VLOOKUP($B119,INDIRECT($B$5&amp;"生成成长"),3))*(VLOOKUP($B$5,标准坦克设计!$B$14:$K$20,9)/30))</f>
        <v>78.158116445140351</v>
      </c>
      <c r="FC119" s="173">
        <f ca="1">(VLOOKUP(FC$72,INDIRECT($C$5&amp;"生成成长"),2))/((VLOOKUP($B119,INDIRECT($B$5&amp;"生成成长"),4))/(VLOOKUP(FC$72,INDIRECT($C$5&amp;"生成成长"),5))*(VLOOKUP($B$5,标准坦克设计!$B$24:$U$30,MATCH("对"&amp;LEFT($C$5,2)&amp;"输出",标准坦克设计!$B$23:$U$23,0)))*(VLOOKUP($B119,INDIRECT($B$5&amp;"生成成长"),3))*(VLOOKUP($B$5,标准坦克设计!$B$14:$K$20,9)/30))</f>
        <v>82.887405458819089</v>
      </c>
      <c r="FD119" s="173">
        <f ca="1">(VLOOKUP(FD$72,INDIRECT($C$5&amp;"生成成长"),2))/((VLOOKUP($B119,INDIRECT($B$5&amp;"生成成长"),4))/(VLOOKUP(FD$72,INDIRECT($C$5&amp;"生成成长"),5))*(VLOOKUP($B$5,标准坦克设计!$B$24:$U$30,MATCH("对"&amp;LEFT($C$5,2)&amp;"输出",标准坦克设计!$B$23:$U$23,0)))*(VLOOKUP($B119,INDIRECT($B$5&amp;"生成成长"),3))*(VLOOKUP($B$5,标准坦克设计!$B$14:$K$20,9)/30))</f>
        <v>87.75560549826676</v>
      </c>
      <c r="FE119" s="173">
        <f ca="1">(VLOOKUP(FE$72,INDIRECT($C$5&amp;"生成成长"),2))/((VLOOKUP($B119,INDIRECT($B$5&amp;"生成成长"),4))/(VLOOKUP(FE$72,INDIRECT($C$5&amp;"生成成长"),5))*(VLOOKUP($B$5,标准坦克设计!$B$24:$U$30,MATCH("对"&amp;LEFT($C$5,2)&amp;"输出",标准坦克设计!$B$23:$U$23,0)))*(VLOOKUP($B119,INDIRECT($B$5&amp;"生成成长"),3))*(VLOOKUP($B$5,标准坦克设计!$B$14:$K$20,9)/30))</f>
        <v>93.688024718605362</v>
      </c>
      <c r="FF119" s="173">
        <f ca="1">(VLOOKUP(FF$72,INDIRECT($C$5&amp;"生成成长"),2))/((VLOOKUP($B119,INDIRECT($B$5&amp;"生成成长"),4))/(VLOOKUP(FF$72,INDIRECT($C$5&amp;"生成成长"),5))*(VLOOKUP($B$5,标准坦克设计!$B$24:$U$30,MATCH("对"&amp;LEFT($C$5,2)&amp;"输出",标准坦克设计!$B$23:$U$23,0)))*(VLOOKUP($B119,INDIRECT($B$5&amp;"生成成长"),3))*(VLOOKUP($B$5,标准坦克设计!$B$14:$K$20,9)/30))</f>
        <v>99.814460165017948</v>
      </c>
      <c r="FG119" s="173">
        <f ca="1">(VLOOKUP(FG$72,INDIRECT($C$5&amp;"生成成长"),2))/((VLOOKUP($B119,INDIRECT($B$5&amp;"生成成长"),4))/(VLOOKUP(FG$72,INDIRECT($C$5&amp;"生成成长"),5))*(VLOOKUP($B$5,标准坦克设计!$B$24:$U$30,MATCH("对"&amp;LEFT($C$5,2)&amp;"输出",标准坦克设计!$B$23:$U$23,0)))*(VLOOKUP($B119,INDIRECT($B$5&amp;"生成成长"),3))*(VLOOKUP($B$5,标准坦克设计!$B$14:$K$20,9)/30))</f>
        <v>106.13491183750448</v>
      </c>
      <c r="FH119" s="173">
        <f ca="1">(VLOOKUP(FH$72,INDIRECT($C$5&amp;"生成成长"),2))/((VLOOKUP($B119,INDIRECT($B$5&amp;"生成成长"),4))/(VLOOKUP(FH$72,INDIRECT($C$5&amp;"生成成长"),5))*(VLOOKUP($B$5,标准坦克设计!$B$24:$U$30,MATCH("对"&amp;LEFT($C$5,2)&amp;"输出",标准坦克设计!$B$23:$U$23,0)))*(VLOOKUP($B119,INDIRECT($B$5&amp;"生成成长"),3))*(VLOOKUP($B$5,标准坦克设计!$B$14:$K$20,9)/30))</f>
        <v>112.649379736065</v>
      </c>
      <c r="FI119" s="173">
        <f ca="1">(VLOOKUP(FI$72,INDIRECT($C$5&amp;"生成成长"),2))/((VLOOKUP($B119,INDIRECT($B$5&amp;"生成成长"),4))/(VLOOKUP(FI$72,INDIRECT($C$5&amp;"生成成长"),5))*(VLOOKUP($B$5,标准坦克设计!$B$24:$U$30,MATCH("对"&amp;LEFT($C$5,2)&amp;"输出",标准坦克设计!$B$23:$U$23,0)))*(VLOOKUP($B119,INDIRECT($B$5&amp;"生成成长"),3))*(VLOOKUP($B$5,标准坦克设计!$B$14:$K$20,9)/30))</f>
        <v>119.35786386069947</v>
      </c>
      <c r="FJ119" s="173">
        <f ca="1">(VLOOKUP(FJ$72,INDIRECT($C$5&amp;"生成成长"),2))/((VLOOKUP($B119,INDIRECT($B$5&amp;"生成成长"),4))/(VLOOKUP(FJ$72,INDIRECT($C$5&amp;"生成成长"),5))*(VLOOKUP($B$5,标准坦克设计!$B$24:$U$30,MATCH("对"&amp;LEFT($C$5,2)&amp;"输出",标准坦克设计!$B$23:$U$23,0)))*(VLOOKUP($B119,INDIRECT($B$5&amp;"生成成长"),3))*(VLOOKUP($B$5,标准坦克设计!$B$14:$K$20,9)/30))</f>
        <v>126.26036421140795</v>
      </c>
      <c r="FK119" s="173">
        <f ca="1">(VLOOKUP(FK$72,INDIRECT($C$5&amp;"生成成长"),2))/((VLOOKUP($B119,INDIRECT($B$5&amp;"生成成长"),4))/(VLOOKUP(FK$72,INDIRECT($C$5&amp;"生成成长"),5))*(VLOOKUP($B$5,标准坦克设计!$B$24:$U$30,MATCH("对"&amp;LEFT($C$5,2)&amp;"输出",标准坦克设计!$B$23:$U$23,0)))*(VLOOKUP($B119,INDIRECT($B$5&amp;"生成成长"),3))*(VLOOKUP($B$5,标准坦克设计!$B$14:$K$20,9)/30))</f>
        <v>133.35688078819032</v>
      </c>
    </row>
    <row r="120" spans="1:167" x14ac:dyDescent="0.15">
      <c r="A120" s="171" t="str">
        <f t="shared" si="11"/>
        <v>T2中品质3级</v>
      </c>
      <c r="B120" s="172">
        <v>20203</v>
      </c>
      <c r="C120" s="173">
        <f ca="1">(VLOOKUP(C$72,INDIRECT($C$5&amp;"生成成长"),2))/((VLOOKUP($B120,INDIRECT($B$5&amp;"生成成长"),4))/(VLOOKUP(C$72,INDIRECT($C$5&amp;"生成成长"),5))*(VLOOKUP($B$5,标准坦克设计!$B$24:$U$30,MATCH("对"&amp;LEFT($C$5,2)&amp;"输出",标准坦克设计!$B$23:$U$23,0)))*(VLOOKUP($B120,INDIRECT($B$5&amp;"生成成长"),3))*(VLOOKUP($B$5,标准坦克设计!$B$14:$K$20,9)/30))</f>
        <v>5.0443280374079098</v>
      </c>
      <c r="D120" s="173">
        <f ca="1">(VLOOKUP(D$72,INDIRECT($C$5&amp;"生成成长"),2))/((VLOOKUP($B120,INDIRECT($B$5&amp;"生成成长"),4))/(VLOOKUP(D$72,INDIRECT($C$5&amp;"生成成长"),5))*(VLOOKUP($B$5,标准坦克设计!$B$24:$U$30,MATCH("对"&amp;LEFT($C$5,2)&amp;"输出",标准坦克设计!$B$23:$U$23,0)))*(VLOOKUP($B120,INDIRECT($B$5&amp;"生成成长"),3))*(VLOOKUP($B$5,标准坦克设计!$B$14:$K$20,9)/30))</f>
        <v>5.667806982831527</v>
      </c>
      <c r="E120" s="173">
        <f ca="1">(VLOOKUP(E$72,INDIRECT($C$5&amp;"生成成长"),2))/((VLOOKUP($B120,INDIRECT($B$5&amp;"生成成长"),4))/(VLOOKUP(E$72,INDIRECT($C$5&amp;"生成成长"),5))*(VLOOKUP($B$5,标准坦克设计!$B$24:$U$30,MATCH("对"&amp;LEFT($C$5,2)&amp;"输出",标准坦克设计!$B$23:$U$23,0)))*(VLOOKUP($B120,INDIRECT($B$5&amp;"生成成长"),3))*(VLOOKUP($B$5,标准坦克设计!$B$14:$K$20,9)/30))</f>
        <v>6.3276050901244814</v>
      </c>
      <c r="F120" s="173">
        <f ca="1">(VLOOKUP(F$72,INDIRECT($C$5&amp;"生成成长"),2))/((VLOOKUP($B120,INDIRECT($B$5&amp;"生成成长"),4))/(VLOOKUP(F$72,INDIRECT($C$5&amp;"生成成长"),5))*(VLOOKUP($B$5,标准坦克设计!$B$24:$U$30,MATCH("对"&amp;LEFT($C$5,2)&amp;"输出",标准坦克设计!$B$23:$U$23,0)))*(VLOOKUP($B120,INDIRECT($B$5&amp;"生成成长"),3))*(VLOOKUP($B$5,标准坦克设计!$B$14:$K$20,9)/30))</f>
        <v>7.0237223592867721</v>
      </c>
      <c r="G120" s="173">
        <f ca="1">(VLOOKUP(G$72,INDIRECT($C$5&amp;"生成成长"),2))/((VLOOKUP($B120,INDIRECT($B$5&amp;"生成成长"),4))/(VLOOKUP(G$72,INDIRECT($C$5&amp;"生成成长"),5))*(VLOOKUP($B$5,标准坦克设计!$B$24:$U$30,MATCH("对"&amp;LEFT($C$5,2)&amp;"输出",标准坦克设计!$B$23:$U$23,0)))*(VLOOKUP($B120,INDIRECT($B$5&amp;"生成成长"),3))*(VLOOKUP($B$5,标准坦克设计!$B$14:$K$20,9)/30))</f>
        <v>7.7561587903184002</v>
      </c>
      <c r="H120" s="173">
        <f ca="1">(VLOOKUP(H$72,INDIRECT($C$5&amp;"生成成长"),2))/((VLOOKUP($B120,INDIRECT($B$5&amp;"生成成长"),4))/(VLOOKUP(H$72,INDIRECT($C$5&amp;"生成成长"),5))*(VLOOKUP($B$5,标准坦克设计!$B$24:$U$30,MATCH("对"&amp;LEFT($C$5,2)&amp;"输出",标准坦克设计!$B$23:$U$23,0)))*(VLOOKUP($B120,INDIRECT($B$5&amp;"生成成长"),3))*(VLOOKUP($B$5,标准坦克设计!$B$14:$K$20,9)/30))</f>
        <v>6.7876478071360822</v>
      </c>
      <c r="I120" s="173">
        <f ca="1">(VLOOKUP(I$72,INDIRECT($C$5&amp;"生成成长"),2))/((VLOOKUP($B120,INDIRECT($B$5&amp;"生成成长"),4))/(VLOOKUP(I$72,INDIRECT($C$5&amp;"生成成长"),5))*(VLOOKUP($B$5,标准坦克设计!$B$24:$U$30,MATCH("对"&amp;LEFT($C$5,2)&amp;"输出",标准坦克设计!$B$23:$U$23,0)))*(VLOOKUP($B120,INDIRECT($B$5&amp;"生成成长"),3))*(VLOOKUP($B$5,标准坦克设计!$B$14:$K$20,9)/30))</f>
        <v>7.7561587903184002</v>
      </c>
      <c r="J120" s="173">
        <f ca="1">(VLOOKUP(J$72,INDIRECT($C$5&amp;"生成成长"),2))/((VLOOKUP($B120,INDIRECT($B$5&amp;"生成成长"),4))/(VLOOKUP(J$72,INDIRECT($C$5&amp;"生成成长"),5))*(VLOOKUP($B$5,标准坦克设计!$B$24:$U$30,MATCH("对"&amp;LEFT($C$5,2)&amp;"输出",标准坦克设计!$B$23:$U$23,0)))*(VLOOKUP($B120,INDIRECT($B$5&amp;"生成成长"),3))*(VLOOKUP($B$5,标准坦克设计!$B$14:$K$20,9)/30))</f>
        <v>8.7892371723795417</v>
      </c>
      <c r="K120" s="173">
        <f ca="1">(VLOOKUP(K$72,INDIRECT($C$5&amp;"生成成长"),2))/((VLOOKUP($B120,INDIRECT($B$5&amp;"生成成长"),4))/(VLOOKUP(K$72,INDIRECT($C$5&amp;"生成成长"),5))*(VLOOKUP($B$5,标准坦克设计!$B$24:$U$30,MATCH("对"&amp;LEFT($C$5,2)&amp;"输出",标准坦克设计!$B$23:$U$23,0)))*(VLOOKUP($B120,INDIRECT($B$5&amp;"生成成长"),3))*(VLOOKUP($B$5,标准坦克设计!$B$14:$K$20,9)/30))</f>
        <v>9.8868829533194997</v>
      </c>
      <c r="L120" s="173">
        <f ca="1">(VLOOKUP(L$72,INDIRECT($C$5&amp;"生成成长"),2))/((VLOOKUP($B120,INDIRECT($B$5&amp;"生成成长"),4))/(VLOOKUP(L$72,INDIRECT($C$5&amp;"生成成长"),5))*(VLOOKUP($B$5,标准坦克设计!$B$24:$U$30,MATCH("对"&amp;LEFT($C$5,2)&amp;"输出",标准坦克设计!$B$23:$U$23,0)))*(VLOOKUP($B120,INDIRECT($B$5&amp;"生成成长"),3))*(VLOOKUP($B$5,标准坦克设计!$B$14:$K$20,9)/30))</f>
        <v>11.049096133138285</v>
      </c>
      <c r="M120" s="173">
        <f ca="1">(VLOOKUP(M$72,INDIRECT($C$5&amp;"生成成长"),2))/((VLOOKUP($B120,INDIRECT($B$5&amp;"生成成长"),4))/(VLOOKUP(M$72,INDIRECT($C$5&amp;"生成成长"),5))*(VLOOKUP($B$5,标准坦克设计!$B$24:$U$30,MATCH("对"&amp;LEFT($C$5,2)&amp;"输出",标准坦克设计!$B$23:$U$23,0)))*(VLOOKUP($B120,INDIRECT($B$5&amp;"生成成长"),3))*(VLOOKUP($B$5,标准坦克设计!$B$14:$K$20,9)/30))</f>
        <v>12.275876711835886</v>
      </c>
      <c r="N120" s="173">
        <f ca="1">(VLOOKUP(N$72,INDIRECT($C$5&amp;"生成成长"),2))/((VLOOKUP($B120,INDIRECT($B$5&amp;"生成成长"),4))/(VLOOKUP(N$72,INDIRECT($C$5&amp;"生成成长"),5))*(VLOOKUP($B$5,标准坦克设计!$B$24:$U$30,MATCH("对"&amp;LEFT($C$5,2)&amp;"输出",标准坦克设计!$B$23:$U$23,0)))*(VLOOKUP($B120,INDIRECT($B$5&amp;"生成成长"),3))*(VLOOKUP($B$5,标准坦克设计!$B$14:$K$20,9)/30))</f>
        <v>13.567224689412313</v>
      </c>
      <c r="O120" s="173">
        <f ca="1">(VLOOKUP(O$72,INDIRECT($C$5&amp;"生成成长"),2))/((VLOOKUP($B120,INDIRECT($B$5&amp;"生成成长"),4))/(VLOOKUP(O$72,INDIRECT($C$5&amp;"生成成长"),5))*(VLOOKUP($B$5,标准坦克设计!$B$24:$U$30,MATCH("对"&amp;LEFT($C$5,2)&amp;"输出",标准坦克设计!$B$23:$U$23,0)))*(VLOOKUP($B120,INDIRECT($B$5&amp;"生成成长"),3))*(VLOOKUP($B$5,标准坦克设计!$B$14:$K$20,9)/30))</f>
        <v>10.315146403695433</v>
      </c>
      <c r="P120" s="173">
        <f ca="1">(VLOOKUP(P$72,INDIRECT($C$5&amp;"生成成长"),2))/((VLOOKUP($B120,INDIRECT($B$5&amp;"生成成长"),4))/(VLOOKUP(P$72,INDIRECT($C$5&amp;"生成成长"),5))*(VLOOKUP($B$5,标准坦克设计!$B$24:$U$30,MATCH("对"&amp;LEFT($C$5,2)&amp;"输出",标准坦克设计!$B$23:$U$23,0)))*(VLOOKUP($B120,INDIRECT($B$5&amp;"生成成长"),3))*(VLOOKUP($B$5,标准坦克设计!$B$14:$K$20,9)/30))</f>
        <v>11.654415497627234</v>
      </c>
      <c r="Q120" s="173">
        <f ca="1">(VLOOKUP(Q$72,INDIRECT($C$5&amp;"生成成长"),2))/((VLOOKUP($B120,INDIRECT($B$5&amp;"生成成长"),4))/(VLOOKUP(Q$72,INDIRECT($C$5&amp;"生成成长"),5))*(VLOOKUP($B$5,标准坦克设计!$B$24:$U$30,MATCH("对"&amp;LEFT($C$5,2)&amp;"输出",标准坦克设计!$B$23:$U$23,0)))*(VLOOKUP($B120,INDIRECT($B$5&amp;"生成成长"),3))*(VLOOKUP($B$5,标准坦克设计!$B$14:$K$20,9)/30))</f>
        <v>13.075402705765043</v>
      </c>
      <c r="R120" s="173">
        <f ca="1">(VLOOKUP(R$72,INDIRECT($C$5&amp;"生成成长"),2))/((VLOOKUP($B120,INDIRECT($B$5&amp;"生成成长"),4))/(VLOOKUP(R$72,INDIRECT($C$5&amp;"生成成长"),5))*(VLOOKUP($B$5,标准坦克设计!$B$24:$U$30,MATCH("对"&amp;LEFT($C$5,2)&amp;"输出",标准坦克设计!$B$23:$U$23,0)))*(VLOOKUP($B120,INDIRECT($B$5&amp;"生成成长"),3))*(VLOOKUP($B$5,标准坦克设计!$B$14:$K$20,9)/30))</f>
        <v>14.578108028108856</v>
      </c>
      <c r="S120" s="173">
        <f ca="1">(VLOOKUP(S$72,INDIRECT($C$5&amp;"生成成长"),2))/((VLOOKUP($B120,INDIRECT($B$5&amp;"生成成长"),4))/(VLOOKUP(S$72,INDIRECT($C$5&amp;"生成成长"),5))*(VLOOKUP($B$5,标准坦克设计!$B$24:$U$30,MATCH("对"&amp;LEFT($C$5,2)&amp;"输出",标准坦克设计!$B$23:$U$23,0)))*(VLOOKUP($B120,INDIRECT($B$5&amp;"生成成长"),3))*(VLOOKUP($B$5,标准坦克设计!$B$14:$K$20,9)/30))</f>
        <v>16.162531464658684</v>
      </c>
      <c r="T120" s="173">
        <f ca="1">(VLOOKUP(T$72,INDIRECT($C$5&amp;"生成成长"),2))/((VLOOKUP($B120,INDIRECT($B$5&amp;"生成成长"),4))/(VLOOKUP(T$72,INDIRECT($C$5&amp;"生成成长"),5))*(VLOOKUP($B$5,标准坦克设计!$B$24:$U$30,MATCH("对"&amp;LEFT($C$5,2)&amp;"输出",标准坦克设计!$B$23:$U$23,0)))*(VLOOKUP($B120,INDIRECT($B$5&amp;"生成成长"),3))*(VLOOKUP($B$5,标准坦克设计!$B$14:$K$20,9)/30))</f>
        <v>17.828673015414516</v>
      </c>
      <c r="U120" s="173">
        <f ca="1">(VLOOKUP(U$72,INDIRECT($C$5&amp;"生成成长"),2))/((VLOOKUP($B120,INDIRECT($B$5&amp;"生成成长"),4))/(VLOOKUP(U$72,INDIRECT($C$5&amp;"生成成长"),5))*(VLOOKUP($B$5,标准坦克设计!$B$24:$U$30,MATCH("对"&amp;LEFT($C$5,2)&amp;"输出",标准坦克设计!$B$23:$U$23,0)))*(VLOOKUP($B120,INDIRECT($B$5&amp;"生成成长"),3))*(VLOOKUP($B$5,标准坦克设计!$B$14:$K$20,9)/30))</f>
        <v>19.576532680376356</v>
      </c>
      <c r="V120" s="173">
        <f ca="1">(VLOOKUP(V$72,INDIRECT($C$5&amp;"生成成长"),2))/((VLOOKUP($B120,INDIRECT($B$5&amp;"生成成长"),4))/(VLOOKUP(V$72,INDIRECT($C$5&amp;"生成成长"),5))*(VLOOKUP($B$5,标准坦克设计!$B$24:$U$30,MATCH("对"&amp;LEFT($C$5,2)&amp;"输出",标准坦克设计!$B$23:$U$23,0)))*(VLOOKUP($B120,INDIRECT($B$5&amp;"生成成长"),3))*(VLOOKUP($B$5,标准坦克设计!$B$14:$K$20,9)/30))</f>
        <v>21.406110459544205</v>
      </c>
      <c r="W120" s="173">
        <f ca="1">(VLOOKUP(W$72,INDIRECT($C$5&amp;"生成成长"),2))/((VLOOKUP($B120,INDIRECT($B$5&amp;"生成成长"),4))/(VLOOKUP(W$72,INDIRECT($C$5&amp;"生成成长"),5))*(VLOOKUP($B$5,标准坦克设计!$B$24:$U$30,MATCH("对"&amp;LEFT($C$5,2)&amp;"输出",标准坦克设计!$B$23:$U$23,0)))*(VLOOKUP($B120,INDIRECT($B$5&amp;"生成成长"),3))*(VLOOKUP($B$5,标准坦克设计!$B$14:$K$20,9)/30))</f>
        <v>23.317406352918056</v>
      </c>
      <c r="X120" s="173">
        <f ca="1">(VLOOKUP(X$72,INDIRECT($C$5&amp;"生成成长"),2))/((VLOOKUP($B120,INDIRECT($B$5&amp;"生成成长"),4))/(VLOOKUP(X$72,INDIRECT($C$5&amp;"生成成长"),5))*(VLOOKUP($B$5,标准坦克设计!$B$24:$U$30,MATCH("对"&amp;LEFT($C$5,2)&amp;"输出",标准坦克设计!$B$23:$U$23,0)))*(VLOOKUP($B120,INDIRECT($B$5&amp;"生成成长"),3))*(VLOOKUP($B$5,标准坦克设计!$B$14:$K$20,9)/30))</f>
        <v>16.892950164475344</v>
      </c>
      <c r="Y120" s="173">
        <f ca="1">(VLOOKUP(Y$72,INDIRECT($C$5&amp;"生成成长"),2))/((VLOOKUP($B120,INDIRECT($B$5&amp;"生成成长"),4))/(VLOOKUP(Y$72,INDIRECT($C$5&amp;"生成成长"),5))*(VLOOKUP($B$5,标准坦克设计!$B$24:$U$30,MATCH("对"&amp;LEFT($C$5,2)&amp;"输出",标准坦克设计!$B$23:$U$23,0)))*(VLOOKUP($B120,INDIRECT($B$5&amp;"生成成长"),3))*(VLOOKUP($B$5,标准坦克设计!$B$14:$K$20,9)/30))</f>
        <v>18.789617506540722</v>
      </c>
      <c r="Z120" s="173">
        <f ca="1">(VLOOKUP(Z$72,INDIRECT($C$5&amp;"生成成长"),2))/((VLOOKUP($B120,INDIRECT($B$5&amp;"生成成长"),4))/(VLOOKUP(Z$72,INDIRECT($C$5&amp;"生成成长"),5))*(VLOOKUP($B$5,标准坦克设计!$B$24:$U$30,MATCH("对"&amp;LEFT($C$5,2)&amp;"输出",标准坦克设计!$B$23:$U$23,0)))*(VLOOKUP($B120,INDIRECT($B$5&amp;"生成成长"),3))*(VLOOKUP($B$5,标准坦克设计!$B$14:$K$20,9)/30))</f>
        <v>20.787171409354254</v>
      </c>
      <c r="AA120" s="173">
        <f ca="1">(VLOOKUP(AA$72,INDIRECT($C$5&amp;"生成成长"),2))/((VLOOKUP($B120,INDIRECT($B$5&amp;"生成成长"),4))/(VLOOKUP(AA$72,INDIRECT($C$5&amp;"生成成长"),5))*(VLOOKUP($B$5,标准坦克设计!$B$24:$U$30,MATCH("对"&amp;LEFT($C$5,2)&amp;"输出",标准坦克设计!$B$23:$U$23,0)))*(VLOOKUP($B120,INDIRECT($B$5&amp;"生成成长"),3))*(VLOOKUP($B$5,标准坦克设计!$B$14:$K$20,9)/30))</f>
        <v>22.885611872915945</v>
      </c>
      <c r="AB120" s="173">
        <f ca="1">(VLOOKUP(AB$72,INDIRECT($C$5&amp;"生成成长"),2))/((VLOOKUP($B120,INDIRECT($B$5&amp;"生成成长"),4))/(VLOOKUP(AB$72,INDIRECT($C$5&amp;"生成成长"),5))*(VLOOKUP($B$5,标准坦克设计!$B$24:$U$30,MATCH("对"&amp;LEFT($C$5,2)&amp;"输出",标准坦克设计!$B$23:$U$23,0)))*(VLOOKUP($B120,INDIRECT($B$5&amp;"生成成长"),3))*(VLOOKUP($B$5,标准坦克设计!$B$14:$K$20,9)/30))</f>
        <v>25.084938897225793</v>
      </c>
      <c r="AC120" s="173">
        <f ca="1">(VLOOKUP(AC$72,INDIRECT($C$5&amp;"生成成长"),2))/((VLOOKUP($B120,INDIRECT($B$5&amp;"生成成长"),4))/(VLOOKUP(AC$72,INDIRECT($C$5&amp;"生成成长"),5))*(VLOOKUP($B$5,标准坦克设计!$B$24:$U$30,MATCH("对"&amp;LEFT($C$5,2)&amp;"输出",标准坦克设计!$B$23:$U$23,0)))*(VLOOKUP($B120,INDIRECT($B$5&amp;"生成成长"),3))*(VLOOKUP($B$5,标准坦克设计!$B$14:$K$20,9)/30))</f>
        <v>27.385152482283797</v>
      </c>
      <c r="AD120" s="173">
        <f ca="1">(VLOOKUP(AD$72,INDIRECT($C$5&amp;"生成成长"),2))/((VLOOKUP($B120,INDIRECT($B$5&amp;"生成成长"),4))/(VLOOKUP(AD$72,INDIRECT($C$5&amp;"生成成长"),5))*(VLOOKUP($B$5,标准坦克设计!$B$24:$U$30,MATCH("对"&amp;LEFT($C$5,2)&amp;"输出",标准坦克设计!$B$23:$U$23,0)))*(VLOOKUP($B120,INDIRECT($B$5&amp;"生成成长"),3))*(VLOOKUP($B$5,标准坦克设计!$B$14:$K$20,9)/30))</f>
        <v>29.786252628089958</v>
      </c>
      <c r="AE120" s="173">
        <f ca="1">(VLOOKUP(AE$72,INDIRECT($C$5&amp;"生成成长"),2))/((VLOOKUP($B120,INDIRECT($B$5&amp;"生成成长"),4))/(VLOOKUP(AE$72,INDIRECT($C$5&amp;"生成成长"),5))*(VLOOKUP($B$5,标准坦克设计!$B$24:$U$30,MATCH("对"&amp;LEFT($C$5,2)&amp;"输出",标准坦克设计!$B$23:$U$23,0)))*(VLOOKUP($B120,INDIRECT($B$5&amp;"生成成长"),3))*(VLOOKUP($B$5,标准坦克设计!$B$14:$K$20,9)/30))</f>
        <v>32.288239334644288</v>
      </c>
      <c r="AF120" s="173">
        <f ca="1">(VLOOKUP(AF$72,INDIRECT($C$5&amp;"生成成长"),2))/((VLOOKUP($B120,INDIRECT($B$5&amp;"生成成长"),4))/(VLOOKUP(AF$72,INDIRECT($C$5&amp;"生成成长"),5))*(VLOOKUP($B$5,标准坦克设计!$B$24:$U$30,MATCH("对"&amp;LEFT($C$5,2)&amp;"输出",标准坦克设计!$B$23:$U$23,0)))*(VLOOKUP($B120,INDIRECT($B$5&amp;"生成成长"),3))*(VLOOKUP($B$5,标准坦克设计!$B$14:$K$20,9)/30))</f>
        <v>34.891112601946766</v>
      </c>
      <c r="AG120" s="173">
        <f ca="1">(VLOOKUP(AG$72,INDIRECT($C$5&amp;"生成成长"),2))/((VLOOKUP($B120,INDIRECT($B$5&amp;"生成成长"),4))/(VLOOKUP(AG$72,INDIRECT($C$5&amp;"生成成长"),5))*(VLOOKUP($B$5,标准坦克设计!$B$24:$U$30,MATCH("对"&amp;LEFT($C$5,2)&amp;"输出",标准坦克设计!$B$23:$U$23,0)))*(VLOOKUP($B120,INDIRECT($B$5&amp;"生成成长"),3))*(VLOOKUP($B$5,标准坦克设计!$B$14:$K$20,9)/30))</f>
        <v>37.594872429997409</v>
      </c>
      <c r="AH120" s="173">
        <f ca="1">(VLOOKUP(AH$72,INDIRECT($C$5&amp;"生成成长"),2))/((VLOOKUP($B120,INDIRECT($B$5&amp;"生成成长"),4))/(VLOOKUP(AH$72,INDIRECT($C$5&amp;"生成成长"),5))*(VLOOKUP($B$5,标准坦克设计!$B$24:$U$30,MATCH("对"&amp;LEFT($C$5,2)&amp;"输出",标准坦克设计!$B$23:$U$23,0)))*(VLOOKUP($B120,INDIRECT($B$5&amp;"生成成长"),3))*(VLOOKUP($B$5,标准坦克设计!$B$14:$K$20,9)/30))</f>
        <v>40.399518818796203</v>
      </c>
      <c r="AI120" s="173">
        <f ca="1">(VLOOKUP(AI$72,INDIRECT($C$5&amp;"生成成长"),2))/((VLOOKUP($B120,INDIRECT($B$5&amp;"生成成长"),4))/(VLOOKUP(AI$72,INDIRECT($C$5&amp;"生成成长"),5))*(VLOOKUP($B$5,标准坦克设计!$B$24:$U$30,MATCH("对"&amp;LEFT($C$5,2)&amp;"输出",标准坦克设计!$B$23:$U$23,0)))*(VLOOKUP($B120,INDIRECT($B$5&amp;"生成成长"),3))*(VLOOKUP($B$5,标准坦克设计!$B$14:$K$20,9)/30))</f>
        <v>28.573091735093364</v>
      </c>
      <c r="AJ120" s="173">
        <f ca="1">(VLOOKUP(AJ$72,INDIRECT($C$5&amp;"生成成长"),2))/((VLOOKUP($B120,INDIRECT($B$5&amp;"生成成长"),4))/(VLOOKUP(AJ$72,INDIRECT($C$5&amp;"生成成长"),5))*(VLOOKUP($B$5,标准坦克设计!$B$24:$U$30,MATCH("对"&amp;LEFT($C$5,2)&amp;"输出",标准坦克设计!$B$23:$U$23,0)))*(VLOOKUP($B120,INDIRECT($B$5&amp;"生成成长"),3))*(VLOOKUP($B$5,标准坦克设计!$B$14:$K$20,9)/30))</f>
        <v>31.275338264732774</v>
      </c>
      <c r="AK120" s="173">
        <f ca="1">(VLOOKUP(AK$72,INDIRECT($C$5&amp;"生成成长"),2))/((VLOOKUP($B120,INDIRECT($B$5&amp;"生成成长"),4))/(VLOOKUP(AK$72,INDIRECT($C$5&amp;"生成成长"),5))*(VLOOKUP($B$5,标准坦克设计!$B$24:$U$30,MATCH("对"&amp;LEFT($C$5,2)&amp;"输出",标准坦克设计!$B$23:$U$23,0)))*(VLOOKUP($B120,INDIRECT($B$5&amp;"生成成长"),3))*(VLOOKUP($B$5,标准坦克设计!$B$14:$K$20,9)/30))</f>
        <v>34.099657532877472</v>
      </c>
      <c r="AL120" s="173">
        <f ca="1">(VLOOKUP(AL$72,INDIRECT($C$5&amp;"生成成长"),2))/((VLOOKUP($B120,INDIRECT($B$5&amp;"生成成长"),4))/(VLOOKUP(AL$72,INDIRECT($C$5&amp;"生成成长"),5))*(VLOOKUP($B$5,标准坦克设计!$B$24:$U$30,MATCH("对"&amp;LEFT($C$5,2)&amp;"输出",标准坦克设计!$B$23:$U$23,0)))*(VLOOKUP($B120,INDIRECT($B$5&amp;"生成成长"),3))*(VLOOKUP($B$5,标准坦克设计!$B$14:$K$20,9)/30))</f>
        <v>37.046049539527424</v>
      </c>
      <c r="AM120" s="173">
        <f ca="1">(VLOOKUP(AM$72,INDIRECT($C$5&amp;"生成成长"),2))/((VLOOKUP($B120,INDIRECT($B$5&amp;"生成成长"),4))/(VLOOKUP(AM$72,INDIRECT($C$5&amp;"生成成长"),5))*(VLOOKUP($B$5,标准坦克设计!$B$24:$U$30,MATCH("对"&amp;LEFT($C$5,2)&amp;"输出",标准坦克设计!$B$23:$U$23,0)))*(VLOOKUP($B120,INDIRECT($B$5&amp;"生成成长"),3))*(VLOOKUP($B$5,标准坦克设计!$B$14:$K$20,9)/30))</f>
        <v>40.114514284682649</v>
      </c>
      <c r="AN120" s="173">
        <f ca="1">(VLOOKUP(AN$72,INDIRECT($C$5&amp;"生成成长"),2))/((VLOOKUP($B120,INDIRECT($B$5&amp;"生成成长"),4))/(VLOOKUP(AN$72,INDIRECT($C$5&amp;"生成成长"),5))*(VLOOKUP($B$5,标准坦克设计!$B$24:$U$30,MATCH("对"&amp;LEFT($C$5,2)&amp;"输出",标准坦克设计!$B$23:$U$23,0)))*(VLOOKUP($B120,INDIRECT($B$5&amp;"生成成长"),3))*(VLOOKUP($B$5,标准坦克设计!$B$14:$K$20,9)/30))</f>
        <v>43.305051768343155</v>
      </c>
      <c r="AO120" s="173">
        <f ca="1">(VLOOKUP(AO$72,INDIRECT($C$5&amp;"生成成长"),2))/((VLOOKUP($B120,INDIRECT($B$5&amp;"生成成长"),4))/(VLOOKUP(AO$72,INDIRECT($C$5&amp;"生成成长"),5))*(VLOOKUP($B$5,标准坦克设计!$B$24:$U$30,MATCH("对"&amp;LEFT($C$5,2)&amp;"输出",标准坦克设计!$B$23:$U$23,0)))*(VLOOKUP($B120,INDIRECT($B$5&amp;"生成成长"),3))*(VLOOKUP($B$5,标准坦克设计!$B$14:$K$20,9)/30))</f>
        <v>46.617661990508935</v>
      </c>
      <c r="AP120" s="173">
        <f ca="1">(VLOOKUP(AP$72,INDIRECT($C$5&amp;"生成成长"),2))/((VLOOKUP($B120,INDIRECT($B$5&amp;"生成成长"),4))/(VLOOKUP(AP$72,INDIRECT($C$5&amp;"生成成长"),5))*(VLOOKUP($B$5,标准坦克设计!$B$24:$U$30,MATCH("对"&amp;LEFT($C$5,2)&amp;"输出",标准坦克设计!$B$23:$U$23,0)))*(VLOOKUP($B120,INDIRECT($B$5&amp;"生成成长"),3))*(VLOOKUP($B$5,标准坦克设计!$B$14:$K$20,9)/30))</f>
        <v>50.052344951179983</v>
      </c>
      <c r="AQ120" s="173">
        <f ca="1">(VLOOKUP(AQ$72,INDIRECT($C$5&amp;"生成成长"),2))/((VLOOKUP($B120,INDIRECT($B$5&amp;"生成成长"),4))/(VLOOKUP(AQ$72,INDIRECT($C$5&amp;"生成成长"),5))*(VLOOKUP($B$5,标准坦克设计!$B$24:$U$30,MATCH("对"&amp;LEFT($C$5,2)&amp;"输出",标准坦克设计!$B$23:$U$23,0)))*(VLOOKUP($B120,INDIRECT($B$5&amp;"生成成长"),3))*(VLOOKUP($B$5,标准坦克设计!$B$14:$K$20,9)/30))</f>
        <v>53.609100650356297</v>
      </c>
      <c r="AR120" s="173">
        <f ca="1">(VLOOKUP(AR$72,INDIRECT($C$5&amp;"生成成长"),2))/((VLOOKUP($B120,INDIRECT($B$5&amp;"生成成长"),4))/(VLOOKUP(AR$72,INDIRECT($C$5&amp;"生成成长"),5))*(VLOOKUP($B$5,标准坦克设计!$B$24:$U$30,MATCH("对"&amp;LEFT($C$5,2)&amp;"输出",标准坦克设计!$B$23:$U$23,0)))*(VLOOKUP($B120,INDIRECT($B$5&amp;"生成成长"),3))*(VLOOKUP($B$5,标准坦克设计!$B$14:$K$20,9)/30))</f>
        <v>57.287929088037885</v>
      </c>
      <c r="AS120" s="173">
        <f ca="1">(VLOOKUP(AS$72,INDIRECT($C$5&amp;"生成成长"),2))/((VLOOKUP($B120,INDIRECT($B$5&amp;"生成成长"),4))/(VLOOKUP(AS$72,INDIRECT($C$5&amp;"生成成长"),5))*(VLOOKUP($B$5,标准坦克设计!$B$24:$U$30,MATCH("对"&amp;LEFT($C$5,2)&amp;"输出",标准坦克设计!$B$23:$U$23,0)))*(VLOOKUP($B120,INDIRECT($B$5&amp;"生成成长"),3))*(VLOOKUP($B$5,标准坦克设计!$B$14:$K$20,9)/30))</f>
        <v>61.088830264224747</v>
      </c>
      <c r="AT120" s="173">
        <f ca="1">(VLOOKUP(AT$72,INDIRECT($C$5&amp;"生成成长"),2))/((VLOOKUP($B120,INDIRECT($B$5&amp;"生成成长"),4))/(VLOOKUP(AT$72,INDIRECT($C$5&amp;"生成成长"),5))*(VLOOKUP($B$5,标准坦克设计!$B$24:$U$30,MATCH("对"&amp;LEFT($C$5,2)&amp;"输出",标准坦克设计!$B$23:$U$23,0)))*(VLOOKUP($B120,INDIRECT($B$5&amp;"生成成长"),3))*(VLOOKUP($B$5,标准坦克设计!$B$14:$K$20,9)/30))</f>
        <v>65.011804178916861</v>
      </c>
      <c r="AU120" s="173">
        <f ca="1">(VLOOKUP(AU$72,INDIRECT($C$5&amp;"生成成长"),2))/((VLOOKUP($B120,INDIRECT($B$5&amp;"生成成长"),4))/(VLOOKUP(AU$72,INDIRECT($C$5&amp;"生成成长"),5))*(VLOOKUP($B$5,标准坦克设计!$B$24:$U$30,MATCH("对"&amp;LEFT($C$5,2)&amp;"输出",标准坦克设计!$B$23:$U$23,0)))*(VLOOKUP($B120,INDIRECT($B$5&amp;"生成成长"),3))*(VLOOKUP($B$5,标准坦克设计!$B$14:$K$20,9)/30))</f>
        <v>69.056850832114279</v>
      </c>
      <c r="AV120" s="173">
        <f ca="1">(VLOOKUP(AV$72,INDIRECT($C$5&amp;"生成成长"),2))/((VLOOKUP($B120,INDIRECT($B$5&amp;"生成成长"),4))/(VLOOKUP(AV$72,INDIRECT($C$5&amp;"生成成长"),5))*(VLOOKUP($B$5,标准坦克设计!$B$24:$U$30,MATCH("对"&amp;LEFT($C$5,2)&amp;"输出",标准坦克设计!$B$23:$U$23,0)))*(VLOOKUP($B120,INDIRECT($B$5&amp;"生成成长"),3))*(VLOOKUP($B$5,标准坦克设计!$B$14:$K$20,9)/30))</f>
        <v>7.0237223592867721</v>
      </c>
      <c r="AW120" s="173">
        <f ca="1">(VLOOKUP(AW$72,INDIRECT($C$5&amp;"生成成长"),2))/((VLOOKUP($B120,INDIRECT($B$5&amp;"生成成长"),4))/(VLOOKUP(AW$72,INDIRECT($C$5&amp;"生成成长"),5))*(VLOOKUP($B$5,标准坦克设计!$B$24:$U$30,MATCH("对"&amp;LEFT($C$5,2)&amp;"输出",标准坦克设计!$B$23:$U$23,0)))*(VLOOKUP($B120,INDIRECT($B$5&amp;"生成成长"),3))*(VLOOKUP($B$5,标准坦克设计!$B$14:$K$20,9)/30))</f>
        <v>8.0083751921887956</v>
      </c>
      <c r="AX120" s="173">
        <f ca="1">(VLOOKUP(AX$72,INDIRECT($C$5&amp;"生成成长"),2))/((VLOOKUP($B120,INDIRECT($B$5&amp;"生成成长"),4))/(VLOOKUP(AX$72,INDIRECT($C$5&amp;"生成成长"),5))*(VLOOKUP($B$5,标准坦克设计!$B$24:$U$30,MATCH("对"&amp;LEFT($C$5,2)&amp;"输出",标准坦克设计!$B$23:$U$23,0)))*(VLOOKUP($B120,INDIRECT($B$5&amp;"生成成长"),3))*(VLOOKUP($B$5,标准坦克设计!$B$14:$K$20,9)/30))</f>
        <v>9.0575954239696408</v>
      </c>
      <c r="AY120" s="173">
        <f ca="1">(VLOOKUP(AY$72,INDIRECT($C$5&amp;"生成成长"),2))/((VLOOKUP($B120,INDIRECT($B$5&amp;"生成成长"),4))/(VLOOKUP(AY$72,INDIRECT($C$5&amp;"生成成长"),5))*(VLOOKUP($B$5,标准坦克设计!$B$24:$U$30,MATCH("对"&amp;LEFT($C$5,2)&amp;"输出",标准坦克设计!$B$23:$U$23,0)))*(VLOOKUP($B120,INDIRECT($B$5&amp;"生成成长"),3))*(VLOOKUP($B$5,标准坦克设计!$B$14:$K$20,9)/30))</f>
        <v>10.171383054629308</v>
      </c>
      <c r="AZ120" s="173">
        <f ca="1">(VLOOKUP(AZ$72,INDIRECT($C$5&amp;"生成成长"),2))/((VLOOKUP($B120,INDIRECT($B$5&amp;"生成成长"),4))/(VLOOKUP(AZ$72,INDIRECT($C$5&amp;"生成成长"),5))*(VLOOKUP($B$5,标准坦克设计!$B$24:$U$30,MATCH("对"&amp;LEFT($C$5,2)&amp;"输出",标准坦克设计!$B$23:$U$23,0)))*(VLOOKUP($B120,INDIRECT($B$5&amp;"生成成长"),3))*(VLOOKUP($B$5,标准坦克设计!$B$14:$K$20,9)/30))</f>
        <v>11.349738084167797</v>
      </c>
      <c r="BA120" s="173">
        <f ca="1">(VLOOKUP(BA$72,INDIRECT($C$5&amp;"生成成长"),2))/((VLOOKUP($B120,INDIRECT($B$5&amp;"生成成长"),4))/(VLOOKUP(BA$72,INDIRECT($C$5&amp;"生成成长"),5))*(VLOOKUP($B$5,标准坦克设计!$B$24:$U$30,MATCH("对"&amp;LEFT($C$5,2)&amp;"输出",标准坦克设计!$B$23:$U$23,0)))*(VLOOKUP($B120,INDIRECT($B$5&amp;"生成成长"),3))*(VLOOKUP($B$5,标准坦克设计!$B$14:$K$20,9)/30))</f>
        <v>12.592660512585105</v>
      </c>
      <c r="BB120" s="173">
        <f ca="1">(VLOOKUP(BB$72,INDIRECT($C$5&amp;"生成成长"),2))/((VLOOKUP($B120,INDIRECT($B$5&amp;"生成成长"),4))/(VLOOKUP(BB$72,INDIRECT($C$5&amp;"生成成长"),5))*(VLOOKUP($B$5,标准坦克设计!$B$24:$U$30,MATCH("对"&amp;LEFT($C$5,2)&amp;"输出",标准坦克设计!$B$23:$U$23,0)))*(VLOOKUP($B120,INDIRECT($B$5&amp;"生成成长"),3))*(VLOOKUP($B$5,标准坦克设计!$B$14:$K$20,9)/30))</f>
        <v>13.900150339881234</v>
      </c>
      <c r="BC120" s="173">
        <f ca="1">(VLOOKUP(BC$72,INDIRECT($C$5&amp;"生成成长"),2))/((VLOOKUP($B120,INDIRECT($B$5&amp;"生成成长"),4))/(VLOOKUP(BC$72,INDIRECT($C$5&amp;"生成成长"),5))*(VLOOKUP($B$5,标准坦克设计!$B$24:$U$30,MATCH("对"&amp;LEFT($C$5,2)&amp;"输出",标准坦克设计!$B$23:$U$23,0)))*(VLOOKUP($B120,INDIRECT($B$5&amp;"生成成长"),3))*(VLOOKUP($B$5,标准坦克设计!$B$14:$K$20,9)/30))</f>
        <v>15.272207566056187</v>
      </c>
      <c r="BD120" s="173">
        <f ca="1">(VLOOKUP(BD$72,INDIRECT($C$5&amp;"生成成长"),2))/((VLOOKUP($B120,INDIRECT($B$5&amp;"生成成长"),4))/(VLOOKUP(BD$72,INDIRECT($C$5&amp;"生成成长"),5))*(VLOOKUP($B$5,标准坦克设计!$B$24:$U$30,MATCH("对"&amp;LEFT($C$5,2)&amp;"输出",标准坦克设计!$B$23:$U$23,0)))*(VLOOKUP($B120,INDIRECT($B$5&amp;"生成成长"),3))*(VLOOKUP($B$5,标准坦克设计!$B$14:$K$20,9)/30))</f>
        <v>16.892950164475344</v>
      </c>
      <c r="BE120" s="173">
        <f ca="1">(VLOOKUP(BE$72,INDIRECT($C$5&amp;"生成成长"),2))/((VLOOKUP($B120,INDIRECT($B$5&amp;"生成成长"),4))/(VLOOKUP(BE$72,INDIRECT($C$5&amp;"生成成长"),5))*(VLOOKUP($B$5,标准坦克设计!$B$24:$U$30,MATCH("对"&amp;LEFT($C$5,2)&amp;"输出",标准坦克设计!$B$23:$U$23,0)))*(VLOOKUP($B120,INDIRECT($B$5&amp;"生成成长"),3))*(VLOOKUP($B$5,标准坦克设计!$B$14:$K$20,9)/30))</f>
        <v>18.59541087710052</v>
      </c>
      <c r="BF120" s="173">
        <f ca="1">(VLOOKUP(BF$72,INDIRECT($C$5&amp;"生成成长"),2))/((VLOOKUP($B120,INDIRECT($B$5&amp;"生成成长"),4))/(VLOOKUP(BF$72,INDIRECT($C$5&amp;"生成成长"),5))*(VLOOKUP($B$5,标准坦克设计!$B$24:$U$30,MATCH("对"&amp;LEFT($C$5,2)&amp;"输出",标准坦克设计!$B$23:$U$23,0)))*(VLOOKUP($B120,INDIRECT($B$5&amp;"生成成长"),3))*(VLOOKUP($B$5,标准坦克设计!$B$14:$K$20,9)/30))</f>
        <v>20.379589703931693</v>
      </c>
      <c r="BG120" s="173">
        <f ca="1">(VLOOKUP(BG$72,INDIRECT($C$5&amp;"生成成长"),2))/((VLOOKUP($B120,INDIRECT($B$5&amp;"生成成长"),4))/(VLOOKUP(BG$72,INDIRECT($C$5&amp;"生成成长"),5))*(VLOOKUP($B$5,标准坦克设计!$B$24:$U$30,MATCH("对"&amp;LEFT($C$5,2)&amp;"输出",标准坦克设计!$B$23:$U$23,0)))*(VLOOKUP($B120,INDIRECT($B$5&amp;"生成成长"),3))*(VLOOKUP($B$5,标准坦克设计!$B$14:$K$20,9)/30))</f>
        <v>22.245486644968885</v>
      </c>
      <c r="BH120" s="173">
        <f ca="1">(VLOOKUP(BH$72,INDIRECT($C$5&amp;"生成成长"),2))/((VLOOKUP($B120,INDIRECT($B$5&amp;"生成成长"),4))/(VLOOKUP(BH$72,INDIRECT($C$5&amp;"生成成长"),5))*(VLOOKUP($B$5,标准坦克设计!$B$24:$U$30,MATCH("对"&amp;LEFT($C$5,2)&amp;"输出",标准坦克设计!$B$23:$U$23,0)))*(VLOOKUP($B120,INDIRECT($B$5&amp;"生成成长"),3))*(VLOOKUP($B$5,标准坦克设计!$B$14:$K$20,9)/30))</f>
        <v>10.7524896445387</v>
      </c>
      <c r="BI120" s="173">
        <f ca="1">(VLOOKUP(BI$72,INDIRECT($C$5&amp;"生成成长"),2))/((VLOOKUP($B120,INDIRECT($B$5&amp;"生成成长"),4))/(VLOOKUP(BI$72,INDIRECT($C$5&amp;"生成成长"),5))*(VLOOKUP($B$5,标准坦克设计!$B$24:$U$30,MATCH("对"&amp;LEFT($C$5,2)&amp;"输出",标准坦克设计!$B$23:$U$23,0)))*(VLOOKUP($B120,INDIRECT($B$5&amp;"生成成长"),3))*(VLOOKUP($B$5,标准坦克设计!$B$14:$K$20,9)/30))</f>
        <v>12.118998109872502</v>
      </c>
      <c r="BJ120" s="173">
        <f ca="1">(VLOOKUP(BJ$72,INDIRECT($C$5&amp;"生成成长"),2))/((VLOOKUP($B120,INDIRECT($B$5&amp;"生成成长"),4))/(VLOOKUP(BJ$72,INDIRECT($C$5&amp;"生成成长"),5))*(VLOOKUP($B$5,标准坦克设计!$B$24:$U$30,MATCH("对"&amp;LEFT($C$5,2)&amp;"输出",标准坦克设计!$B$23:$U$23,0)))*(VLOOKUP($B120,INDIRECT($B$5&amp;"生成成长"),3))*(VLOOKUP($B$5,标准坦克设计!$B$14:$K$20,9)/30))</f>
        <v>13.567224689412313</v>
      </c>
      <c r="BK120" s="173">
        <f ca="1">(VLOOKUP(BK$72,INDIRECT($C$5&amp;"生成成长"),2))/((VLOOKUP($B120,INDIRECT($B$5&amp;"生成成长"),4))/(VLOOKUP(BK$72,INDIRECT($C$5&amp;"生成成长"),5))*(VLOOKUP($B$5,标准坦克设计!$B$24:$U$30,MATCH("对"&amp;LEFT($C$5,2)&amp;"输出",标准坦克设计!$B$23:$U$23,0)))*(VLOOKUP($B120,INDIRECT($B$5&amp;"生成成长"),3))*(VLOOKUP($B$5,标准坦克设计!$B$14:$K$20,9)/30))</f>
        <v>15.097169383158134</v>
      </c>
      <c r="BL120" s="173">
        <f ca="1">(VLOOKUP(BL$72,INDIRECT($C$5&amp;"生成成长"),2))/((VLOOKUP($B120,INDIRECT($B$5&amp;"生成成长"),4))/(VLOOKUP(BL$72,INDIRECT($C$5&amp;"生成成长"),5))*(VLOOKUP($B$5,标准坦克设计!$B$24:$U$30,MATCH("对"&amp;LEFT($C$5,2)&amp;"输出",标准坦克设计!$B$23:$U$23,0)))*(VLOOKUP($B120,INDIRECT($B$5&amp;"生成成长"),3))*(VLOOKUP($B$5,标准坦克设计!$B$14:$K$20,9)/30))</f>
        <v>16.708832191109956</v>
      </c>
      <c r="BM120" s="173">
        <f ca="1">(VLOOKUP(BM$72,INDIRECT($C$5&amp;"生成成长"),2))/((VLOOKUP($B120,INDIRECT($B$5&amp;"生成成长"),4))/(VLOOKUP(BM$72,INDIRECT($C$5&amp;"生成成长"),5))*(VLOOKUP($B$5,标准坦克设计!$B$24:$U$30,MATCH("对"&amp;LEFT($C$5,2)&amp;"输出",标准坦克设计!$B$23:$U$23,0)))*(VLOOKUP($B120,INDIRECT($B$5&amp;"生成成长"),3))*(VLOOKUP($B$5,标准坦克设计!$B$14:$K$20,9)/30))</f>
        <v>18.402213113267795</v>
      </c>
      <c r="BN120" s="173">
        <f ca="1">(VLOOKUP(BN$72,INDIRECT($C$5&amp;"生成成长"),2))/((VLOOKUP($B120,INDIRECT($B$5&amp;"生成成长"),4))/(VLOOKUP(BN$72,INDIRECT($C$5&amp;"生成成长"),5))*(VLOOKUP($B$5,标准坦克设计!$B$24:$U$30,MATCH("对"&amp;LEFT($C$5,2)&amp;"输出",标准坦克设计!$B$23:$U$23,0)))*(VLOOKUP($B120,INDIRECT($B$5&amp;"生成成长"),3))*(VLOOKUP($B$5,标准坦克设计!$B$14:$K$20,9)/30))</f>
        <v>20.177312149631639</v>
      </c>
      <c r="BO120" s="173">
        <f ca="1">(VLOOKUP(BO$72,INDIRECT($C$5&amp;"生成成长"),2))/((VLOOKUP($B120,INDIRECT($B$5&amp;"生成成长"),4))/(VLOOKUP(BO$72,INDIRECT($C$5&amp;"生成成长"),5))*(VLOOKUP($B$5,标准坦克设计!$B$24:$U$30,MATCH("对"&amp;LEFT($C$5,2)&amp;"输出",标准坦克设计!$B$23:$U$23,0)))*(VLOOKUP($B120,INDIRECT($B$5&amp;"生成成长"),3))*(VLOOKUP($B$5,标准坦克设计!$B$14:$K$20,9)/30))</f>
        <v>22.034129300201489</v>
      </c>
      <c r="BP120" s="173">
        <f ca="1">(VLOOKUP(BP$72,INDIRECT($C$5&amp;"生成成长"),2))/((VLOOKUP($B120,INDIRECT($B$5&amp;"生成成长"),4))/(VLOOKUP(BP$72,INDIRECT($C$5&amp;"生成成长"),5))*(VLOOKUP($B$5,标准坦克设计!$B$24:$U$30,MATCH("对"&amp;LEFT($C$5,2)&amp;"输出",标准坦克设计!$B$23:$U$23,0)))*(VLOOKUP($B120,INDIRECT($B$5&amp;"生成成长"),3))*(VLOOKUP($B$5,标准坦克设计!$B$14:$K$20,9)/30))</f>
        <v>23.972664564977347</v>
      </c>
      <c r="BQ120" s="173">
        <f ca="1">(VLOOKUP(BQ$72,INDIRECT($C$5&amp;"生成成长"),2))/((VLOOKUP($B120,INDIRECT($B$5&amp;"生成成长"),4))/(VLOOKUP(BQ$72,INDIRECT($C$5&amp;"生成成长"),5))*(VLOOKUP($B$5,标准坦克设计!$B$24:$U$30,MATCH("对"&amp;LEFT($C$5,2)&amp;"输出",标准坦克设计!$B$23:$U$23,0)))*(VLOOKUP($B120,INDIRECT($B$5&amp;"生成成长"),3))*(VLOOKUP($B$5,标准坦克设计!$B$14:$K$20,9)/30))</f>
        <v>25.992917943959217</v>
      </c>
      <c r="BR120" s="173">
        <f ca="1">(VLOOKUP(BR$72,INDIRECT($C$5&amp;"生成成长"),2))/((VLOOKUP($B120,INDIRECT($B$5&amp;"生成成长"),4))/(VLOOKUP(BR$72,INDIRECT($C$5&amp;"生成成长"),5))*(VLOOKUP($B$5,标准坦克设计!$B$24:$U$30,MATCH("对"&amp;LEFT($C$5,2)&amp;"输出",标准坦克设计!$B$23:$U$23,0)))*(VLOOKUP($B120,INDIRECT($B$5&amp;"生成成长"),3))*(VLOOKUP($B$5,标准坦克设计!$B$14:$K$20,9)/30))</f>
        <v>28.333486153316485</v>
      </c>
      <c r="BS120" s="173">
        <f ca="1">(VLOOKUP(BS$72,INDIRECT($C$5&amp;"生成成长"),2))/((VLOOKUP($B120,INDIRECT($B$5&amp;"生成成长"),4))/(VLOOKUP(BS$72,INDIRECT($C$5&amp;"生成成长"),5))*(VLOOKUP($B$5,标准坦克设计!$B$24:$U$30,MATCH("对"&amp;LEFT($C$5,2)&amp;"输出",标准坦克设计!$B$23:$U$23,0)))*(VLOOKUP($B120,INDIRECT($B$5&amp;"生成成长"),3))*(VLOOKUP($B$5,标准坦克设计!$B$14:$K$20,9)/30))</f>
        <v>30.774940923421912</v>
      </c>
      <c r="BT120" s="173">
        <f ca="1">(VLOOKUP(BT$72,INDIRECT($C$5&amp;"生成成长"),2))/((VLOOKUP($B120,INDIRECT($B$5&amp;"生成成长"),4))/(VLOOKUP(BT$72,INDIRECT($C$5&amp;"生成成长"),5))*(VLOOKUP($B$5,标准坦克设计!$B$24:$U$30,MATCH("对"&amp;LEFT($C$5,2)&amp;"输出",标准坦克设计!$B$23:$U$23,0)))*(VLOOKUP($B120,INDIRECT($B$5&amp;"生成成长"),3))*(VLOOKUP($B$5,标准坦克设计!$B$14:$K$20,9)/30))</f>
        <v>33.317282254275497</v>
      </c>
      <c r="BU120" s="173">
        <f ca="1">(VLOOKUP(BU$72,INDIRECT($C$5&amp;"生成成长"),2))/((VLOOKUP($B120,INDIRECT($B$5&amp;"生成成长"),4))/(VLOOKUP(BU$72,INDIRECT($C$5&amp;"生成成长"),5))*(VLOOKUP($B$5,标准坦克设计!$B$24:$U$30,MATCH("对"&amp;LEFT($C$5,2)&amp;"输出",标准坦克设计!$B$23:$U$23,0)))*(VLOOKUP($B120,INDIRECT($B$5&amp;"生成成长"),3))*(VLOOKUP($B$5,标准坦克设计!$B$14:$K$20,9)/30))</f>
        <v>35.960510145877237</v>
      </c>
      <c r="BV120" s="173">
        <f ca="1">(VLOOKUP(BV$72,INDIRECT($C$5&amp;"生成成长"),2))/((VLOOKUP($B120,INDIRECT($B$5&amp;"生成成长"),4))/(VLOOKUP(BV$72,INDIRECT($C$5&amp;"生成成长"),5))*(VLOOKUP($B$5,标准坦克设计!$B$24:$U$30,MATCH("对"&amp;LEFT($C$5,2)&amp;"输出",标准坦克设计!$B$23:$U$23,0)))*(VLOOKUP($B120,INDIRECT($B$5&amp;"生成成长"),3))*(VLOOKUP($B$5,标准坦克设计!$B$14:$K$20,9)/30))</f>
        <v>38.704624598227149</v>
      </c>
      <c r="BW120" s="173">
        <f ca="1">(VLOOKUP(BW$72,INDIRECT($C$5&amp;"生成成长"),2))/((VLOOKUP($B120,INDIRECT($B$5&amp;"生成成长"),4))/(VLOOKUP(BW$72,INDIRECT($C$5&amp;"生成成长"),5))*(VLOOKUP($B$5,标准坦克设计!$B$24:$U$30,MATCH("对"&amp;LEFT($C$5,2)&amp;"输出",标准坦克设计!$B$23:$U$23,0)))*(VLOOKUP($B120,INDIRECT($B$5&amp;"生成成长"),3))*(VLOOKUP($B$5,标准坦克设计!$B$14:$K$20,9)/30))</f>
        <v>17.639510714011717</v>
      </c>
      <c r="BX120" s="173">
        <f ca="1">(VLOOKUP(BX$72,INDIRECT($C$5&amp;"生成成长"),2))/((VLOOKUP($B120,INDIRECT($B$5&amp;"生成成长"),4))/(VLOOKUP(BX$72,INDIRECT($C$5&amp;"生成成长"),5))*(VLOOKUP($B$5,标准坦克设计!$B$24:$U$30,MATCH("对"&amp;LEFT($C$5,2)&amp;"输出",标准坦克设计!$B$23:$U$23,0)))*(VLOOKUP($B120,INDIRECT($B$5&amp;"生成成长"),3))*(VLOOKUP($B$5,标准坦克设计!$B$14:$K$20,9)/30))</f>
        <v>19.576532680376356</v>
      </c>
      <c r="BY120" s="173">
        <f ca="1">(VLOOKUP(BY$72,INDIRECT($C$5&amp;"生成成长"),2))/((VLOOKUP($B120,INDIRECT($B$5&amp;"生成成长"),4))/(VLOOKUP(BY$72,INDIRECT($C$5&amp;"生成成长"),5))*(VLOOKUP($B$5,标准坦克设计!$B$24:$U$30,MATCH("对"&amp;LEFT($C$5,2)&amp;"输出",标准坦克设计!$B$23:$U$23,0)))*(VLOOKUP($B120,INDIRECT($B$5&amp;"生成成长"),3))*(VLOOKUP($B$5,标准坦克设计!$B$14:$K$20,9)/30))</f>
        <v>21.614441207489151</v>
      </c>
      <c r="BZ120" s="173">
        <f ca="1">(VLOOKUP(BZ$72,INDIRECT($C$5&amp;"生成成长"),2))/((VLOOKUP($B120,INDIRECT($B$5&amp;"生成成长"),4))/(VLOOKUP(BZ$72,INDIRECT($C$5&amp;"生成成长"),5))*(VLOOKUP($B$5,标准坦克设计!$B$24:$U$30,MATCH("对"&amp;LEFT($C$5,2)&amp;"输出",标准坦克设计!$B$23:$U$23,0)))*(VLOOKUP($B120,INDIRECT($B$5&amp;"生成成长"),3))*(VLOOKUP($B$5,标准坦克设计!$B$14:$K$20,9)/30))</f>
        <v>23.753236295350103</v>
      </c>
      <c r="CA120" s="173">
        <f ca="1">(VLOOKUP(CA$72,INDIRECT($C$5&amp;"生成成长"),2))/((VLOOKUP($B120,INDIRECT($B$5&amp;"生成成长"),4))/(VLOOKUP(CA$72,INDIRECT($C$5&amp;"生成成长"),5))*(VLOOKUP($B$5,标准坦克设计!$B$24:$U$30,MATCH("对"&amp;LEFT($C$5,2)&amp;"输出",标准坦克设计!$B$23:$U$23,0)))*(VLOOKUP($B120,INDIRECT($B$5&amp;"生成成长"),3))*(VLOOKUP($B$5,标准坦克设计!$B$14:$K$20,9)/30))</f>
        <v>25.992917943959217</v>
      </c>
      <c r="CB120" s="173">
        <f ca="1">(VLOOKUP(CB$72,INDIRECT($C$5&amp;"生成成长"),2))/((VLOOKUP($B120,INDIRECT($B$5&amp;"生成成长"),4))/(VLOOKUP(CB$72,INDIRECT($C$5&amp;"生成成长"),5))*(VLOOKUP($B$5,标准坦克设计!$B$24:$U$30,MATCH("对"&amp;LEFT($C$5,2)&amp;"输出",标准坦克设计!$B$23:$U$23,0)))*(VLOOKUP($B120,INDIRECT($B$5&amp;"生成成长"),3))*(VLOOKUP($B$5,标准坦克设计!$B$14:$K$20,9)/30))</f>
        <v>28.333486153316485</v>
      </c>
      <c r="CC120" s="173">
        <f ca="1">(VLOOKUP(CC$72,INDIRECT($C$5&amp;"生成成长"),2))/((VLOOKUP($B120,INDIRECT($B$5&amp;"生成成长"),4))/(VLOOKUP(CC$72,INDIRECT($C$5&amp;"生成成长"),5))*(VLOOKUP($B$5,标准坦克设计!$B$24:$U$30,MATCH("对"&amp;LEFT($C$5,2)&amp;"输出",标准坦克设计!$B$23:$U$23,0)))*(VLOOKUP($B120,INDIRECT($B$5&amp;"生成成长"),3))*(VLOOKUP($B$5,标准坦克设计!$B$14:$K$20,9)/30))</f>
        <v>30.774940923421912</v>
      </c>
      <c r="CD120" s="173">
        <f ca="1">(VLOOKUP(CD$72,INDIRECT($C$5&amp;"生成成长"),2))/((VLOOKUP($B120,INDIRECT($B$5&amp;"生成成长"),4))/(VLOOKUP(CD$72,INDIRECT($C$5&amp;"生成成长"),5))*(VLOOKUP($B$5,标准坦克设计!$B$24:$U$30,MATCH("对"&amp;LEFT($C$5,2)&amp;"输出",标准坦克设计!$B$23:$U$23,0)))*(VLOOKUP($B120,INDIRECT($B$5&amp;"生成成长"),3))*(VLOOKUP($B$5,标准坦克设计!$B$14:$K$20,9)/30))</f>
        <v>33.317282254275497</v>
      </c>
      <c r="CE120" s="173">
        <f ca="1">(VLOOKUP(CE$72,INDIRECT($C$5&amp;"生成成长"),2))/((VLOOKUP($B120,INDIRECT($B$5&amp;"生成成长"),4))/(VLOOKUP(CE$72,INDIRECT($C$5&amp;"生成成长"),5))*(VLOOKUP($B$5,标准坦克设计!$B$24:$U$30,MATCH("对"&amp;LEFT($C$5,2)&amp;"输出",标准坦克设计!$B$23:$U$23,0)))*(VLOOKUP($B120,INDIRECT($B$5&amp;"生成成长"),3))*(VLOOKUP($B$5,标准坦克设计!$B$14:$K$20,9)/30))</f>
        <v>35.960510145877237</v>
      </c>
      <c r="CF120" s="173">
        <f ca="1">(VLOOKUP(CF$72,INDIRECT($C$5&amp;"生成成长"),2))/((VLOOKUP($B120,INDIRECT($B$5&amp;"生成成长"),4))/(VLOOKUP(CF$72,INDIRECT($C$5&amp;"生成成长"),5))*(VLOOKUP($B$5,标准坦克设计!$B$24:$U$30,MATCH("对"&amp;LEFT($C$5,2)&amp;"输出",标准坦克设计!$B$23:$U$23,0)))*(VLOOKUP($B120,INDIRECT($B$5&amp;"生成成长"),3))*(VLOOKUP($B$5,标准坦克设计!$B$14:$K$20,9)/30))</f>
        <v>38.704624598227149</v>
      </c>
      <c r="CG120" s="173">
        <f ca="1">(VLOOKUP(CG$72,INDIRECT($C$5&amp;"生成成长"),2))/((VLOOKUP($B120,INDIRECT($B$5&amp;"生成成长"),4))/(VLOOKUP(CG$72,INDIRECT($C$5&amp;"生成成长"),5))*(VLOOKUP($B$5,标准坦克设计!$B$24:$U$30,MATCH("对"&amp;LEFT($C$5,2)&amp;"输出",标准坦克设计!$B$23:$U$23,0)))*(VLOOKUP($B120,INDIRECT($B$5&amp;"生成成长"),3))*(VLOOKUP($B$5,标准坦克设计!$B$14:$K$20,9)/30))</f>
        <v>41.549625611325204</v>
      </c>
      <c r="CH120" s="173">
        <f ca="1">(VLOOKUP(CH$72,INDIRECT($C$5&amp;"生成成长"),2))/((VLOOKUP($B120,INDIRECT($B$5&amp;"生成成长"),4))/(VLOOKUP(CH$72,INDIRECT($C$5&amp;"生成成长"),5))*(VLOOKUP($B$5,标准坦克设计!$B$24:$U$30,MATCH("对"&amp;LEFT($C$5,2)&amp;"输出",标准坦克设计!$B$23:$U$23,0)))*(VLOOKUP($B120,INDIRECT($B$5&amp;"生成成长"),3))*(VLOOKUP($B$5,标准坦克设计!$B$14:$K$20,9)/30))</f>
        <v>44.495513185171426</v>
      </c>
      <c r="CI120" s="173">
        <f ca="1">(VLOOKUP(CI$72,INDIRECT($C$5&amp;"生成成长"),2))/((VLOOKUP($B120,INDIRECT($B$5&amp;"生成成长"),4))/(VLOOKUP(CI$72,INDIRECT($C$5&amp;"生成成长"),5))*(VLOOKUP($B$5,标准坦克设计!$B$24:$U$30,MATCH("对"&amp;LEFT($C$5,2)&amp;"输出",标准坦克设计!$B$23:$U$23,0)))*(VLOOKUP($B120,INDIRECT($B$5&amp;"生成成长"),3))*(VLOOKUP($B$5,标准坦克设计!$B$14:$K$20,9)/30))</f>
        <v>47.852513494066386</v>
      </c>
      <c r="CJ120" s="173">
        <f ca="1">(VLOOKUP(CJ$72,INDIRECT($C$5&amp;"生成成长"),2))/((VLOOKUP($B120,INDIRECT($B$5&amp;"生成成长"),4))/(VLOOKUP(CJ$72,INDIRECT($C$5&amp;"生成成长"),5))*(VLOOKUP($B$5,标准坦克设计!$B$24:$U$30,MATCH("对"&amp;LEFT($C$5,2)&amp;"输出",标准坦克设计!$B$23:$U$23,0)))*(VLOOKUP($B120,INDIRECT($B$5&amp;"生成成长"),3))*(VLOOKUP($B$5,标准坦克设计!$B$14:$K$20,9)/30))</f>
        <v>51.331586541466621</v>
      </c>
      <c r="CK120" s="173">
        <f ca="1">(VLOOKUP(CK$72,INDIRECT($C$5&amp;"生成成长"),2))/((VLOOKUP($B120,INDIRECT($B$5&amp;"生成成长"),4))/(VLOOKUP(CK$72,INDIRECT($C$5&amp;"生成成长"),5))*(VLOOKUP($B$5,标准坦克设计!$B$24:$U$30,MATCH("对"&amp;LEFT($C$5,2)&amp;"输出",标准坦克设计!$B$23:$U$23,0)))*(VLOOKUP($B120,INDIRECT($B$5&amp;"生成成长"),3))*(VLOOKUP($B$5,标准坦克设计!$B$14:$K$20,9)/30))</f>
        <v>54.932732327372136</v>
      </c>
      <c r="CL120" s="173">
        <f ca="1">(VLOOKUP(CL$72,INDIRECT($C$5&amp;"生成成长"),2))/((VLOOKUP($B120,INDIRECT($B$5&amp;"生成成长"),4))/(VLOOKUP(CL$72,INDIRECT($C$5&amp;"生成成长"),5))*(VLOOKUP($B$5,标准坦克设计!$B$24:$U$30,MATCH("对"&amp;LEFT($C$5,2)&amp;"输出",标准坦克设计!$B$23:$U$23,0)))*(VLOOKUP($B120,INDIRECT($B$5&amp;"生成成长"),3))*(VLOOKUP($B$5,标准坦克设计!$B$14:$K$20,9)/30))</f>
        <v>58.655950851782904</v>
      </c>
      <c r="CM120" s="173">
        <f ca="1">(VLOOKUP(CM$72,INDIRECT($C$5&amp;"生成成长"),2))/((VLOOKUP($B120,INDIRECT($B$5&amp;"生成成长"),4))/(VLOOKUP(CM$72,INDIRECT($C$5&amp;"生成成长"),5))*(VLOOKUP($B$5,标准坦克设计!$B$24:$U$30,MATCH("对"&amp;LEFT($C$5,2)&amp;"输出",标准坦克设计!$B$23:$U$23,0)))*(VLOOKUP($B120,INDIRECT($B$5&amp;"生成成长"),3))*(VLOOKUP($B$5,标准坦克设计!$B$14:$K$20,9)/30))</f>
        <v>62.501242114698954</v>
      </c>
      <c r="CN120" s="173">
        <f ca="1">(VLOOKUP(CN$72,INDIRECT($C$5&amp;"生成成长"),2))/((VLOOKUP($B120,INDIRECT($B$5&amp;"生成成长"),4))/(VLOOKUP(CN$72,INDIRECT($C$5&amp;"生成成长"),5))*(VLOOKUP($B$5,标准坦克设计!$B$24:$U$30,MATCH("对"&amp;LEFT($C$5,2)&amp;"输出",标准坦克设计!$B$23:$U$23,0)))*(VLOOKUP($B120,INDIRECT($B$5&amp;"生成成长"),3))*(VLOOKUP($B$5,标准坦克设计!$B$14:$K$20,9)/30))</f>
        <v>66.46860611612027</v>
      </c>
      <c r="CO120" s="173">
        <f ca="1">(VLOOKUP(CO$72,INDIRECT($C$5&amp;"生成成长"),2))/((VLOOKUP($B120,INDIRECT($B$5&amp;"生成成长"),4))/(VLOOKUP(CO$72,INDIRECT($C$5&amp;"生成成长"),5))*(VLOOKUP($B$5,标准坦克设计!$B$24:$U$30,MATCH("对"&amp;LEFT($C$5,2)&amp;"输出",标准坦克设计!$B$23:$U$23,0)))*(VLOOKUP($B120,INDIRECT($B$5&amp;"生成成长"),3))*(VLOOKUP($B$5,标准坦克设计!$B$14:$K$20,9)/30))</f>
        <v>29.786252628089958</v>
      </c>
      <c r="CP120" s="173">
        <f ca="1">(VLOOKUP(CP$72,INDIRECT($C$5&amp;"生成成长"),2))/((VLOOKUP($B120,INDIRECT($B$5&amp;"生成成长"),4))/(VLOOKUP(CP$72,INDIRECT($C$5&amp;"生成成长"),5))*(VLOOKUP($B$5,标准坦克设计!$B$24:$U$30,MATCH("对"&amp;LEFT($C$5,2)&amp;"输出",标准坦克设计!$B$23:$U$23,0)))*(VLOOKUP($B120,INDIRECT($B$5&amp;"生成成长"),3))*(VLOOKUP($B$5,标准坦克设计!$B$14:$K$20,9)/30))</f>
        <v>32.543986766140868</v>
      </c>
      <c r="CQ120" s="173">
        <f ca="1">(VLOOKUP(CQ$72,INDIRECT($C$5&amp;"生成成长"),2))/((VLOOKUP($B120,INDIRECT($B$5&amp;"生成成长"),4))/(VLOOKUP(CQ$72,INDIRECT($C$5&amp;"生成成长"),5))*(VLOOKUP($B$5,标准坦克设计!$B$24:$U$30,MATCH("对"&amp;LEFT($C$5,2)&amp;"输出",标准坦克设计!$B$23:$U$23,0)))*(VLOOKUP($B120,INDIRECT($B$5&amp;"生成成长"),3))*(VLOOKUP($B$5,标准坦克设计!$B$14:$K$20,9)/30))</f>
        <v>35.423793642697035</v>
      </c>
      <c r="CR120" s="173">
        <f ca="1">(VLOOKUP(CR$72,INDIRECT($C$5&amp;"生成成长"),2))/((VLOOKUP($B120,INDIRECT($B$5&amp;"生成成长"),4))/(VLOOKUP(CR$72,INDIRECT($C$5&amp;"生成成长"),5))*(VLOOKUP($B$5,标准坦克设计!$B$24:$U$30,MATCH("对"&amp;LEFT($C$5,2)&amp;"输出",标准坦克设计!$B$23:$U$23,0)))*(VLOOKUP($B120,INDIRECT($B$5&amp;"生成成长"),3))*(VLOOKUP($B$5,标准坦克设计!$B$14:$K$20,9)/30))</f>
        <v>38.42567325775849</v>
      </c>
      <c r="CS120" s="173">
        <f ca="1">(VLOOKUP(CS$72,INDIRECT($C$5&amp;"生成成长"),2))/((VLOOKUP($B120,INDIRECT($B$5&amp;"生成成长"),4))/(VLOOKUP(CS$72,INDIRECT($C$5&amp;"生成成长"),5))*(VLOOKUP($B$5,标准坦克设计!$B$24:$U$30,MATCH("对"&amp;LEFT($C$5,2)&amp;"输出",标准坦克设计!$B$23:$U$23,0)))*(VLOOKUP($B120,INDIRECT($B$5&amp;"生成成长"),3))*(VLOOKUP($B$5,标准坦克设计!$B$14:$K$20,9)/30))</f>
        <v>41.549625611325204</v>
      </c>
      <c r="CT120" s="173">
        <f ca="1">(VLOOKUP(CT$72,INDIRECT($C$5&amp;"生成成长"),2))/((VLOOKUP($B120,INDIRECT($B$5&amp;"生成成长"),4))/(VLOOKUP(CT$72,INDIRECT($C$5&amp;"生成成长"),5))*(VLOOKUP($B$5,标准坦克设计!$B$24:$U$30,MATCH("对"&amp;LEFT($C$5,2)&amp;"输出",标准坦克设计!$B$23:$U$23,0)))*(VLOOKUP($B120,INDIRECT($B$5&amp;"生成成长"),3))*(VLOOKUP($B$5,标准坦克设计!$B$14:$K$20,9)/30))</f>
        <v>44.795650703397193</v>
      </c>
      <c r="CU120" s="173">
        <f ca="1">(VLOOKUP(CU$72,INDIRECT($C$5&amp;"生成成长"),2))/((VLOOKUP($B120,INDIRECT($B$5&amp;"生成成长"),4))/(VLOOKUP(CU$72,INDIRECT($C$5&amp;"生成成长"),5))*(VLOOKUP($B$5,标准坦克设计!$B$24:$U$30,MATCH("对"&amp;LEFT($C$5,2)&amp;"输出",标准坦克设计!$B$23:$U$23,0)))*(VLOOKUP($B120,INDIRECT($B$5&amp;"生成成长"),3))*(VLOOKUP($B$5,标准坦克设计!$B$14:$K$20,9)/30))</f>
        <v>48.163748533974456</v>
      </c>
      <c r="CV120" s="173">
        <f ca="1">(VLOOKUP(CV$72,INDIRECT($C$5&amp;"生成成长"),2))/((VLOOKUP($B120,INDIRECT($B$5&amp;"生成成长"),4))/(VLOOKUP(CV$72,INDIRECT($C$5&amp;"生成成长"),5))*(VLOOKUP($B$5,标准坦克设计!$B$24:$U$30,MATCH("对"&amp;LEFT($C$5,2)&amp;"输出",标准坦克设计!$B$23:$U$23,0)))*(VLOOKUP($B120,INDIRECT($B$5&amp;"生成成长"),3))*(VLOOKUP($B$5,标准坦克设计!$B$14:$K$20,9)/30))</f>
        <v>51.653919103056992</v>
      </c>
      <c r="CW120" s="173">
        <f ca="1">(VLOOKUP(CW$72,INDIRECT($C$5&amp;"生成成长"),2))/((VLOOKUP($B120,INDIRECT($B$5&amp;"生成成长"),4))/(VLOOKUP(CW$72,INDIRECT($C$5&amp;"生成成长"),5))*(VLOOKUP($B$5,标准坦克设计!$B$24:$U$30,MATCH("对"&amp;LEFT($C$5,2)&amp;"输出",标准坦克设计!$B$23:$U$23,0)))*(VLOOKUP($B120,INDIRECT($B$5&amp;"生成成长"),3))*(VLOOKUP($B$5,标准坦克设计!$B$14:$K$20,9)/30))</f>
        <v>55.266162410644782</v>
      </c>
      <c r="CX120" s="173">
        <f ca="1">(VLOOKUP(CX$72,INDIRECT($C$5&amp;"生成成长"),2))/((VLOOKUP($B120,INDIRECT($B$5&amp;"生成成长"),4))/(VLOOKUP(CX$72,INDIRECT($C$5&amp;"生成成长"),5))*(VLOOKUP($B$5,标准坦克设计!$B$24:$U$30,MATCH("对"&amp;LEFT($C$5,2)&amp;"输出",标准坦克设计!$B$23:$U$23,0)))*(VLOOKUP($B120,INDIRECT($B$5&amp;"生成成长"),3))*(VLOOKUP($B$5,标准坦克设计!$B$14:$K$20,9)/30))</f>
        <v>59.000478456737874</v>
      </c>
      <c r="CY120" s="173">
        <f ca="1">(VLOOKUP(CY$72,INDIRECT($C$5&amp;"生成成长"),2))/((VLOOKUP($B120,INDIRECT($B$5&amp;"生成成长"),4))/(VLOOKUP(CY$72,INDIRECT($C$5&amp;"生成成长"),5))*(VLOOKUP($B$5,标准坦克设计!$B$24:$U$30,MATCH("对"&amp;LEFT($C$5,2)&amp;"输出",标准坦克设计!$B$23:$U$23,0)))*(VLOOKUP($B120,INDIRECT($B$5&amp;"生成成长"),3))*(VLOOKUP($B$5,标准坦克设计!$B$14:$K$20,9)/30))</f>
        <v>62.856867241336211</v>
      </c>
      <c r="CZ120" s="173">
        <f ca="1">(VLOOKUP(CZ$72,INDIRECT($C$5&amp;"生成成长"),2))/((VLOOKUP($B120,INDIRECT($B$5&amp;"生成成长"),4))/(VLOOKUP(CZ$72,INDIRECT($C$5&amp;"生成成长"),5))*(VLOOKUP($B$5,标准坦克设计!$B$24:$U$30,MATCH("对"&amp;LEFT($C$5,2)&amp;"输出",标准坦克设计!$B$23:$U$23,0)))*(VLOOKUP($B120,INDIRECT($B$5&amp;"生成成长"),3))*(VLOOKUP($B$5,标准坦克设计!$B$14:$K$20,9)/30))</f>
        <v>66.835328764439822</v>
      </c>
      <c r="DA120" s="173">
        <f ca="1">(VLOOKUP(DA$72,INDIRECT($C$5&amp;"生成成长"),2))/((VLOOKUP($B120,INDIRECT($B$5&amp;"生成成长"),4))/(VLOOKUP(DA$72,INDIRECT($C$5&amp;"生成成长"),5))*(VLOOKUP($B$5,标准坦克设计!$B$24:$U$30,MATCH("对"&amp;LEFT($C$5,2)&amp;"输出",标准坦克设计!$B$23:$U$23,0)))*(VLOOKUP($B120,INDIRECT($B$5&amp;"生成成长"),3))*(VLOOKUP($B$5,标准坦克设计!$B$14:$K$20,9)/30))</f>
        <v>70.935863026048722</v>
      </c>
      <c r="DB120" s="173">
        <f ca="1">(VLOOKUP(DB$72,INDIRECT($C$5&amp;"生成成长"),2))/((VLOOKUP($B120,INDIRECT($B$5&amp;"生成成长"),4))/(VLOOKUP(DB$72,INDIRECT($C$5&amp;"生成成长"),5))*(VLOOKUP($B$5,标准坦克设计!$B$24:$U$30,MATCH("对"&amp;LEFT($C$5,2)&amp;"输出",标准坦克设计!$B$23:$U$23,0)))*(VLOOKUP($B120,INDIRECT($B$5&amp;"生成成长"),3))*(VLOOKUP($B$5,标准坦克设计!$B$14:$K$20,9)/30))</f>
        <v>75.158470026162888</v>
      </c>
      <c r="DC120" s="173">
        <f ca="1">(VLOOKUP(DC$72,INDIRECT($C$5&amp;"生成成长"),2))/((VLOOKUP($B120,INDIRECT($B$5&amp;"生成成长"),4))/(VLOOKUP(DC$72,INDIRECT($C$5&amp;"生成成长"),5))*(VLOOKUP($B$5,标准坦克设计!$B$24:$U$30,MATCH("对"&amp;LEFT($C$5,2)&amp;"输出",标准坦克设计!$B$23:$U$23,0)))*(VLOOKUP($B120,INDIRECT($B$5&amp;"生成成长"),3))*(VLOOKUP($B$5,标准坦克设计!$B$14:$K$20,9)/30))</f>
        <v>79.90417384375624</v>
      </c>
      <c r="DD120" s="173">
        <f ca="1">(VLOOKUP(DD$72,INDIRECT($C$5&amp;"生成成长"),2))/((VLOOKUP($B120,INDIRECT($B$5&amp;"生成成长"),4))/(VLOOKUP(DD$72,INDIRECT($C$5&amp;"生成成长"),5))*(VLOOKUP($B$5,标准坦克设计!$B$24:$U$30,MATCH("对"&amp;LEFT($C$5,2)&amp;"输出",标准坦克设计!$B$23:$U$23,0)))*(VLOOKUP($B120,INDIRECT($B$5&amp;"生成成长"),3))*(VLOOKUP($B$5,标准坦克设计!$B$14:$K$20,9)/30))</f>
        <v>84.795154308826952</v>
      </c>
      <c r="DE120" s="173">
        <f ca="1">(VLOOKUP(DE$72,INDIRECT($C$5&amp;"生成成长"),2))/((VLOOKUP($B120,INDIRECT($B$5&amp;"生成成长"),4))/(VLOOKUP(DE$72,INDIRECT($C$5&amp;"生成成长"),5))*(VLOOKUP($B$5,标准坦克设计!$B$24:$U$30,MATCH("对"&amp;LEFT($C$5,2)&amp;"输出",标准坦克设计!$B$23:$U$23,0)))*(VLOOKUP($B120,INDIRECT($B$5&amp;"生成成长"),3))*(VLOOKUP($B$5,标准坦克设计!$B$14:$K$20,9)/30))</f>
        <v>89.831411421375009</v>
      </c>
      <c r="DF120" s="173">
        <f ca="1">(VLOOKUP(DF$72,INDIRECT($C$5&amp;"生成成长"),2))/((VLOOKUP($B120,INDIRECT($B$5&amp;"生成成长"),4))/(VLOOKUP(DF$72,INDIRECT($C$5&amp;"生成成长"),5))*(VLOOKUP($B$5,标准坦克设计!$B$24:$U$30,MATCH("对"&amp;LEFT($C$5,2)&amp;"输出",标准坦克设计!$B$23:$U$23,0)))*(VLOOKUP($B120,INDIRECT($B$5&amp;"生成成长"),3))*(VLOOKUP($B$5,标准坦克设计!$B$14:$K$20,9)/30))</f>
        <v>95.012945181400411</v>
      </c>
      <c r="DG120" s="173">
        <f ca="1">(VLOOKUP(DG$72,INDIRECT($C$5&amp;"生成成长"),2))/((VLOOKUP($B120,INDIRECT($B$5&amp;"生成成长"),4))/(VLOOKUP(DG$72,INDIRECT($C$5&amp;"生成成长"),5))*(VLOOKUP($B$5,标准坦克设计!$B$24:$U$30,MATCH("对"&amp;LEFT($C$5,2)&amp;"输出",标准坦克设计!$B$23:$U$23,0)))*(VLOOKUP($B120,INDIRECT($B$5&amp;"生成成长"),3))*(VLOOKUP($B$5,标准坦克设计!$B$14:$K$20,9)/30))</f>
        <v>100.33975558890317</v>
      </c>
      <c r="DH120" s="173">
        <f ca="1">(VLOOKUP(DH$72,INDIRECT($C$5&amp;"生成成长"),2))/((VLOOKUP($B120,INDIRECT($B$5&amp;"生成成长"),4))/(VLOOKUP(DH$72,INDIRECT($C$5&amp;"生成成长"),5))*(VLOOKUP($B$5,标准坦克设计!$B$24:$U$30,MATCH("对"&amp;LEFT($C$5,2)&amp;"输出",标准坦克设计!$B$23:$U$23,0)))*(VLOOKUP($B120,INDIRECT($B$5&amp;"生成成长"),3))*(VLOOKUP($B$5,标准坦克设计!$B$14:$K$20,9)/30))</f>
        <v>105.81184264388324</v>
      </c>
      <c r="DI120" s="173">
        <f ca="1">(VLOOKUP(DI$72,INDIRECT($C$5&amp;"生成成长"),2))/((VLOOKUP($B120,INDIRECT($B$5&amp;"生成成长"),4))/(VLOOKUP(DI$72,INDIRECT($C$5&amp;"生成成长"),5))*(VLOOKUP($B$5,标准坦克设计!$B$24:$U$30,MATCH("对"&amp;LEFT($C$5,2)&amp;"输出",标准坦克设计!$B$23:$U$23,0)))*(VLOOKUP($B120,INDIRECT($B$5&amp;"生成成长"),3))*(VLOOKUP($B$5,标准坦克设计!$B$14:$K$20,9)/30))</f>
        <v>111.42920634634071</v>
      </c>
      <c r="DJ120" s="173">
        <f ca="1">(VLOOKUP(DJ$72,INDIRECT($C$5&amp;"生成成长"),2))/((VLOOKUP($B120,INDIRECT($B$5&amp;"生成成长"),4))/(VLOOKUP(DJ$72,INDIRECT($C$5&amp;"生成成长"),5))*(VLOOKUP($B$5,标准坦克设计!$B$24:$U$30,MATCH("对"&amp;LEFT($C$5,2)&amp;"输出",标准坦克设计!$B$23:$U$23,0)))*(VLOOKUP($B120,INDIRECT($B$5&amp;"生成成长"),3))*(VLOOKUP($B$5,标准坦克设计!$B$14:$K$20,9)/30))</f>
        <v>11.198912675849298</v>
      </c>
      <c r="DK120" s="173">
        <f ca="1">(VLOOKUP(DK$72,INDIRECT($C$5&amp;"生成成长"),2))/((VLOOKUP($B120,INDIRECT($B$5&amp;"生成成长"),4))/(VLOOKUP(DK$72,INDIRECT($C$5&amp;"生成成长"),5))*(VLOOKUP($B$5,标准坦克设计!$B$24:$U$30,MATCH("对"&amp;LEFT($C$5,2)&amp;"输出",标准坦克设计!$B$23:$U$23,0)))*(VLOOKUP($B120,INDIRECT($B$5&amp;"生成成长"),3))*(VLOOKUP($B$5,标准坦克设计!$B$14:$K$20,9)/30))</f>
        <v>12.592660512585105</v>
      </c>
      <c r="DL120" s="173">
        <f ca="1">(VLOOKUP(DL$72,INDIRECT($C$5&amp;"生成成长"),2))/((VLOOKUP($B120,INDIRECT($B$5&amp;"生成成长"),4))/(VLOOKUP(DL$72,INDIRECT($C$5&amp;"生成成长"),5))*(VLOOKUP($B$5,标准坦克设计!$B$24:$U$30,MATCH("对"&amp;LEFT($C$5,2)&amp;"输出",标准坦克设计!$B$23:$U$23,0)))*(VLOOKUP($B120,INDIRECT($B$5&amp;"生成成长"),3))*(VLOOKUP($B$5,标准坦克设计!$B$14:$K$20,9)/30))</f>
        <v>14.068126463526918</v>
      </c>
      <c r="DM120" s="173">
        <f ca="1">(VLOOKUP(DM$72,INDIRECT($C$5&amp;"生成成长"),2))/((VLOOKUP($B120,INDIRECT($B$5&amp;"生成成长"),4))/(VLOOKUP(DM$72,INDIRECT($C$5&amp;"生成成长"),5))*(VLOOKUP($B$5,标准坦克设计!$B$24:$U$30,MATCH("对"&amp;LEFT($C$5,2)&amp;"输出",标准坦克设计!$B$23:$U$23,0)))*(VLOOKUP($B120,INDIRECT($B$5&amp;"生成成长"),3))*(VLOOKUP($B$5,标准坦克设计!$B$14:$K$20,9)/30))</f>
        <v>15.625310528674738</v>
      </c>
      <c r="DN120" s="173">
        <f ca="1">(VLOOKUP(DN$72,INDIRECT($C$5&amp;"生成成长"),2))/((VLOOKUP($B120,INDIRECT($B$5&amp;"生成成长"),4))/(VLOOKUP(DN$72,INDIRECT($C$5&amp;"生成成长"),5))*(VLOOKUP($B$5,标准坦克设计!$B$24:$U$30,MATCH("对"&amp;LEFT($C$5,2)&amp;"输出",标准坦克设计!$B$23:$U$23,0)))*(VLOOKUP($B120,INDIRECT($B$5&amp;"生成成长"),3))*(VLOOKUP($B$5,标准坦克设计!$B$14:$K$20,9)/30))</f>
        <v>17.26421270802857</v>
      </c>
      <c r="DO120" s="173">
        <f ca="1">(VLOOKUP(DO$72,INDIRECT($C$5&amp;"生成成长"),2))/((VLOOKUP($B120,INDIRECT($B$5&amp;"生成成长"),4))/(VLOOKUP(DO$72,INDIRECT($C$5&amp;"生成成长"),5))*(VLOOKUP($B$5,标准坦克设计!$B$24:$U$30,MATCH("对"&amp;LEFT($C$5,2)&amp;"输出",标准坦克设计!$B$23:$U$23,0)))*(VLOOKUP($B120,INDIRECT($B$5&amp;"生成成长"),3))*(VLOOKUP($B$5,标准坦克设计!$B$14:$K$20,9)/30))</f>
        <v>18.984833001588406</v>
      </c>
      <c r="DP120" s="173">
        <f ca="1">(VLOOKUP(DP$72,INDIRECT($C$5&amp;"生成成长"),2))/((VLOOKUP($B120,INDIRECT($B$5&amp;"生成成长"),4))/(VLOOKUP(DP$72,INDIRECT($C$5&amp;"生成成长"),5))*(VLOOKUP($B$5,标准坦克设计!$B$24:$U$30,MATCH("对"&amp;LEFT($C$5,2)&amp;"输出",标准坦克设计!$B$23:$U$23,0)))*(VLOOKUP($B120,INDIRECT($B$5&amp;"生成成长"),3))*(VLOOKUP($B$5,标准坦克设计!$B$14:$K$20,9)/30))</f>
        <v>20.787171409354254</v>
      </c>
      <c r="DQ120" s="173">
        <f ca="1">(VLOOKUP(DQ$72,INDIRECT($C$5&amp;"生成成长"),2))/((VLOOKUP($B120,INDIRECT($B$5&amp;"生成成长"),4))/(VLOOKUP(DQ$72,INDIRECT($C$5&amp;"生成成长"),5))*(VLOOKUP($B$5,标准坦克设计!$B$24:$U$30,MATCH("对"&amp;LEFT($C$5,2)&amp;"输出",标准坦克设计!$B$23:$U$23,0)))*(VLOOKUP($B120,INDIRECT($B$5&amp;"生成成长"),3))*(VLOOKUP($B$5,标准坦克设计!$B$14:$K$20,9)/30))</f>
        <v>22.671227931326108</v>
      </c>
      <c r="DR120" s="173">
        <f ca="1">(VLOOKUP(DR$72,INDIRECT($C$5&amp;"生成成长"),2))/((VLOOKUP($B120,INDIRECT($B$5&amp;"生成成长"),4))/(VLOOKUP(DR$72,INDIRECT($C$5&amp;"生成成长"),5))*(VLOOKUP($B$5,标准坦克设计!$B$24:$U$30,MATCH("对"&amp;LEFT($C$5,2)&amp;"输出",标准坦克设计!$B$23:$U$23,0)))*(VLOOKUP($B120,INDIRECT($B$5&amp;"生成成长"),3))*(VLOOKUP($B$5,标准坦克设计!$B$14:$K$20,9)/30))</f>
        <v>24.637002567503973</v>
      </c>
      <c r="DS120" s="173">
        <f ca="1">(VLOOKUP(DS$72,INDIRECT($C$5&amp;"生成成长"),2))/((VLOOKUP($B120,INDIRECT($B$5&amp;"生成成长"),4))/(VLOOKUP(DS$72,INDIRECT($C$5&amp;"生成成长"),5))*(VLOOKUP($B$5,标准坦克设计!$B$24:$U$30,MATCH("对"&amp;LEFT($C$5,2)&amp;"输出",标准坦克设计!$B$23:$U$23,0)))*(VLOOKUP($B120,INDIRECT($B$5&amp;"生成成长"),3))*(VLOOKUP($B$5,标准坦克设计!$B$14:$K$20,9)/30))</f>
        <v>26.684495317887841</v>
      </c>
      <c r="DT120" s="173">
        <f ca="1">(VLOOKUP(DT$72,INDIRECT($C$5&amp;"生成成长"),2))/((VLOOKUP($B120,INDIRECT($B$5&amp;"生成成长"),4))/(VLOOKUP(DT$72,INDIRECT($C$5&amp;"生成成长"),5))*(VLOOKUP($B$5,标准坦克设计!$B$24:$U$30,MATCH("对"&amp;LEFT($C$5,2)&amp;"输出",标准坦克设计!$B$23:$U$23,0)))*(VLOOKUP($B120,INDIRECT($B$5&amp;"生成成长"),3))*(VLOOKUP($B$5,标准坦克设计!$B$14:$K$20,9)/30))</f>
        <v>29.297961674068873</v>
      </c>
      <c r="DU120" s="173">
        <f ca="1">(VLOOKUP(DU$72,INDIRECT($C$5&amp;"生成成长"),2))/((VLOOKUP($B120,INDIRECT($B$5&amp;"生成成长"),4))/(VLOOKUP(DU$72,INDIRECT($C$5&amp;"生成成长"),5))*(VLOOKUP($B$5,标准坦克设计!$B$24:$U$30,MATCH("对"&amp;LEFT($C$5,2)&amp;"输出",标准坦克设计!$B$23:$U$23,0)))*(VLOOKUP($B120,INDIRECT($B$5&amp;"生成成长"),3))*(VLOOKUP($B$5,标准坦克设计!$B$14:$K$20,9)/30))</f>
        <v>32.033500768755182</v>
      </c>
      <c r="DV120" s="173">
        <f ca="1">(VLOOKUP(DV$72,INDIRECT($C$5&amp;"生成成长"),2))/((VLOOKUP($B120,INDIRECT($B$5&amp;"生成成长"),4))/(VLOOKUP(DV$72,INDIRECT($C$5&amp;"生成成长"),5))*(VLOOKUP($B$5,标准坦克设计!$B$24:$U$30,MATCH("对"&amp;LEFT($C$5,2)&amp;"输出",标准坦克设计!$B$23:$U$23,0)))*(VLOOKUP($B120,INDIRECT($B$5&amp;"生成成长"),3))*(VLOOKUP($B$5,标准坦克设计!$B$14:$K$20,9)/30))</f>
        <v>34.891112601946766</v>
      </c>
      <c r="DW120" s="173">
        <f ca="1">(VLOOKUP(DW$72,INDIRECT($C$5&amp;"生成成长"),2))/((VLOOKUP($B120,INDIRECT($B$5&amp;"生成成长"),4))/(VLOOKUP(DW$72,INDIRECT($C$5&amp;"生成成长"),5))*(VLOOKUP($B$5,标准坦克设计!$B$24:$U$30,MATCH("对"&amp;LEFT($C$5,2)&amp;"输出",标准坦克设计!$B$23:$U$23,0)))*(VLOOKUP($B120,INDIRECT($B$5&amp;"生成成长"),3))*(VLOOKUP($B$5,标准坦克设计!$B$14:$K$20,9)/30))</f>
        <v>37.870797173643609</v>
      </c>
      <c r="DX120" s="173">
        <f ca="1">(VLOOKUP(DX$72,INDIRECT($C$5&amp;"生成成长"),2))/((VLOOKUP($B120,INDIRECT($B$5&amp;"生成成长"),4))/(VLOOKUP(DX$72,INDIRECT($C$5&amp;"生成成长"),5))*(VLOOKUP($B$5,标准坦克设计!$B$24:$U$30,MATCH("对"&amp;LEFT($C$5,2)&amp;"输出",标准坦克设计!$B$23:$U$23,0)))*(VLOOKUP($B120,INDIRECT($B$5&amp;"生成成长"),3))*(VLOOKUP($B$5,标准坦克设计!$B$14:$K$20,9)/30))</f>
        <v>40.972554483845741</v>
      </c>
      <c r="DY120" s="173">
        <f ca="1">(VLOOKUP(DY$72,INDIRECT($C$5&amp;"生成成长"),2))/((VLOOKUP($B120,INDIRECT($B$5&amp;"生成成长"),4))/(VLOOKUP(DY$72,INDIRECT($C$5&amp;"生成成长"),5))*(VLOOKUP($B$5,标准坦克设计!$B$24:$U$30,MATCH("对"&amp;LEFT($C$5,2)&amp;"输出",标准坦克设计!$B$23:$U$23,0)))*(VLOOKUP($B120,INDIRECT($B$5&amp;"生成成长"),3))*(VLOOKUP($B$5,标准坦克设计!$B$14:$K$20,9)/30))</f>
        <v>18.402213113267795</v>
      </c>
      <c r="DZ120" s="173">
        <f ca="1">(VLOOKUP(DZ$72,INDIRECT($C$5&amp;"生成成长"),2))/((VLOOKUP($B120,INDIRECT($B$5&amp;"生成成长"),4))/(VLOOKUP(DZ$72,INDIRECT($C$5&amp;"生成成长"),5))*(VLOOKUP($B$5,标准坦克设计!$B$24:$U$30,MATCH("对"&amp;LEFT($C$5,2)&amp;"输出",标准坦克设计!$B$23:$U$23,0)))*(VLOOKUP($B120,INDIRECT($B$5&amp;"生成成长"),3))*(VLOOKUP($B$5,标准坦克设计!$B$14:$K$20,9)/30))</f>
        <v>20.379589703931693</v>
      </c>
      <c r="EA120" s="173">
        <f ca="1">(VLOOKUP(EA$72,INDIRECT($C$5&amp;"生成成长"),2))/((VLOOKUP($B120,INDIRECT($B$5&amp;"生成成长"),4))/(VLOOKUP(EA$72,INDIRECT($C$5&amp;"生成成长"),5))*(VLOOKUP($B$5,标准坦克设计!$B$24:$U$30,MATCH("对"&amp;LEFT($C$5,2)&amp;"输出",标准坦克设计!$B$23:$U$23,0)))*(VLOOKUP($B120,INDIRECT($B$5&amp;"生成成长"),3))*(VLOOKUP($B$5,标准坦克设计!$B$14:$K$20,9)/30))</f>
        <v>22.457852855343752</v>
      </c>
      <c r="EB120" s="173">
        <f ca="1">(VLOOKUP(EB$72,INDIRECT($C$5&amp;"生成成长"),2))/((VLOOKUP($B120,INDIRECT($B$5&amp;"生成成长"),4))/(VLOOKUP(EB$72,INDIRECT($C$5&amp;"生成成长"),5))*(VLOOKUP($B$5,标准坦克设计!$B$24:$U$30,MATCH("对"&amp;LEFT($C$5,2)&amp;"输出",标准坦克设计!$B$23:$U$23,0)))*(VLOOKUP($B120,INDIRECT($B$5&amp;"生成成长"),3))*(VLOOKUP($B$5,标准坦克设计!$B$14:$K$20,9)/30))</f>
        <v>24.637002567503973</v>
      </c>
      <c r="EC120" s="173">
        <f ca="1">(VLOOKUP(EC$72,INDIRECT($C$5&amp;"生成成长"),2))/((VLOOKUP($B120,INDIRECT($B$5&amp;"生成成长"),4))/(VLOOKUP(EC$72,INDIRECT($C$5&amp;"生成成长"),5))*(VLOOKUP($B$5,标准坦克设计!$B$24:$U$30,MATCH("对"&amp;LEFT($C$5,2)&amp;"输出",标准坦克设计!$B$23:$U$23,0)))*(VLOOKUP($B120,INDIRECT($B$5&amp;"生成成长"),3))*(VLOOKUP($B$5,标准坦克设计!$B$14:$K$20,9)/30))</f>
        <v>26.917038840412346</v>
      </c>
      <c r="ED120" s="173">
        <f ca="1">(VLOOKUP(ED$72,INDIRECT($C$5&amp;"生成成长"),2))/((VLOOKUP($B120,INDIRECT($B$5&amp;"生成成长"),4))/(VLOOKUP(ED$72,INDIRECT($C$5&amp;"生成成长"),5))*(VLOOKUP($B$5,标准坦克设计!$B$24:$U$30,MATCH("对"&amp;LEFT($C$5,2)&amp;"输出",标准坦克设计!$B$23:$U$23,0)))*(VLOOKUP($B120,INDIRECT($B$5&amp;"生成成长"),3))*(VLOOKUP($B$5,标准坦克设计!$B$14:$K$20,9)/30))</f>
        <v>29.297961674068873</v>
      </c>
      <c r="EE120" s="173">
        <f ca="1">(VLOOKUP(EE$72,INDIRECT($C$5&amp;"生成成长"),2))/((VLOOKUP($B120,INDIRECT($B$5&amp;"生成成长"),4))/(VLOOKUP(EE$72,INDIRECT($C$5&amp;"生成成长"),5))*(VLOOKUP($B$5,标准坦克设计!$B$24:$U$30,MATCH("对"&amp;LEFT($C$5,2)&amp;"输出",标准坦克设计!$B$23:$U$23,0)))*(VLOOKUP($B120,INDIRECT($B$5&amp;"生成成长"),3))*(VLOOKUP($B$5,标准坦克设计!$B$14:$K$20,9)/30))</f>
        <v>31.779771068473572</v>
      </c>
      <c r="EF120" s="173">
        <f ca="1">(VLOOKUP(EF$72,INDIRECT($C$5&amp;"生成成长"),2))/((VLOOKUP($B120,INDIRECT($B$5&amp;"生成成长"),4))/(VLOOKUP(EF$72,INDIRECT($C$5&amp;"生成成长"),5))*(VLOOKUP($B$5,标准坦克设计!$B$24:$U$30,MATCH("对"&amp;LEFT($C$5,2)&amp;"输出",标准坦克设计!$B$23:$U$23,0)))*(VLOOKUP($B120,INDIRECT($B$5&amp;"生成成长"),3))*(VLOOKUP($B$5,标准坦克设计!$B$14:$K$20,9)/30))</f>
        <v>34.362467023626415</v>
      </c>
      <c r="EG120" s="173">
        <f ca="1">(VLOOKUP(EG$72,INDIRECT($C$5&amp;"生成成长"),2))/((VLOOKUP($B120,INDIRECT($B$5&amp;"生成成长"),4))/(VLOOKUP(EG$72,INDIRECT($C$5&amp;"生成成长"),5))*(VLOOKUP($B$5,标准坦克设计!$B$24:$U$30,MATCH("对"&amp;LEFT($C$5,2)&amp;"输出",标准坦克设计!$B$23:$U$23,0)))*(VLOOKUP($B120,INDIRECT($B$5&amp;"生成成长"),3))*(VLOOKUP($B$5,标准坦克设计!$B$14:$K$20,9)/30))</f>
        <v>37.046049539527424</v>
      </c>
      <c r="EH120" s="173">
        <f ca="1">(VLOOKUP(EH$72,INDIRECT($C$5&amp;"生成成长"),2))/((VLOOKUP($B120,INDIRECT($B$5&amp;"生成成长"),4))/(VLOOKUP(EH$72,INDIRECT($C$5&amp;"生成成长"),5))*(VLOOKUP($B$5,标准坦克设计!$B$24:$U$30,MATCH("对"&amp;LEFT($C$5,2)&amp;"输出",标准坦克设计!$B$23:$U$23,0)))*(VLOOKUP($B120,INDIRECT($B$5&amp;"生成成长"),3))*(VLOOKUP($B$5,标准坦克设计!$B$14:$K$20,9)/30))</f>
        <v>39.830518616176583</v>
      </c>
      <c r="EI120" s="173">
        <f ca="1">(VLOOKUP(EI$72,INDIRECT($C$5&amp;"生成成长"),2))/((VLOOKUP($B120,INDIRECT($B$5&amp;"生成成长"),4))/(VLOOKUP(EI$72,INDIRECT($C$5&amp;"生成成长"),5))*(VLOOKUP($B$5,标准坦克设计!$B$24:$U$30,MATCH("对"&amp;LEFT($C$5,2)&amp;"输出",标准坦克设计!$B$23:$U$23,0)))*(VLOOKUP($B120,INDIRECT($B$5&amp;"生成成长"),3))*(VLOOKUP($B$5,标准坦克设计!$B$14:$K$20,9)/30))</f>
        <v>42.715874253573915</v>
      </c>
      <c r="EJ120" s="173">
        <f ca="1">(VLOOKUP(EJ$72,INDIRECT($C$5&amp;"生成成长"),2))/((VLOOKUP($B120,INDIRECT($B$5&amp;"生成成长"),4))/(VLOOKUP(EJ$72,INDIRECT($C$5&amp;"生成成长"),5))*(VLOOKUP($B$5,标准坦克设计!$B$24:$U$30,MATCH("对"&amp;LEFT($C$5,2)&amp;"输出",标准坦克设计!$B$23:$U$23,0)))*(VLOOKUP($B120,INDIRECT($B$5&amp;"生成成长"),3))*(VLOOKUP($B$5,标准坦克设计!$B$14:$K$20,9)/30))</f>
        <v>45.702116451719398</v>
      </c>
      <c r="EK120" s="173">
        <f ca="1">(VLOOKUP(EK$72,INDIRECT($C$5&amp;"生成成长"),2))/((VLOOKUP($B120,INDIRECT($B$5&amp;"生成成长"),4))/(VLOOKUP(EK$72,INDIRECT($C$5&amp;"生成成长"),5))*(VLOOKUP($B$5,标准坦克设计!$B$24:$U$30,MATCH("对"&amp;LEFT($C$5,2)&amp;"输出",标准坦克设计!$B$23:$U$23,0)))*(VLOOKUP($B120,INDIRECT($B$5&amp;"生成成长"),3))*(VLOOKUP($B$5,标准坦克设计!$B$14:$K$20,9)/30))</f>
        <v>49.418777349681541</v>
      </c>
      <c r="EL120" s="173">
        <f ca="1">(VLOOKUP(EL$72,INDIRECT($C$5&amp;"生成成长"),2))/((VLOOKUP($B120,INDIRECT($B$5&amp;"生成成长"),4))/(VLOOKUP(EL$72,INDIRECT($C$5&amp;"生成成长"),5))*(VLOOKUP($B$5,标准坦克设计!$B$24:$U$30,MATCH("对"&amp;LEFT($C$5,2)&amp;"输出",标准坦克设计!$B$23:$U$23,0)))*(VLOOKUP($B120,INDIRECT($B$5&amp;"生成成长"),3))*(VLOOKUP($B$5,标准坦克设计!$B$14:$K$20,9)/30))</f>
        <v>53.280714895121037</v>
      </c>
      <c r="EM120" s="173">
        <f ca="1">(VLOOKUP(EM$72,INDIRECT($C$5&amp;"生成成长"),2))/((VLOOKUP($B120,INDIRECT($B$5&amp;"生成成长"),4))/(VLOOKUP(EM$72,INDIRECT($C$5&amp;"生成成长"),5))*(VLOOKUP($B$5,标准坦克设计!$B$24:$U$30,MATCH("对"&amp;LEFT($C$5,2)&amp;"输出",标准坦克设计!$B$23:$U$23,0)))*(VLOOKUP($B120,INDIRECT($B$5&amp;"生成成长"),3))*(VLOOKUP($B$5,标准坦克设计!$B$14:$K$20,9)/30))</f>
        <v>57.287929088037885</v>
      </c>
      <c r="EN120" s="173">
        <f ca="1">(VLOOKUP(EN$72,INDIRECT($C$5&amp;"生成成长"),2))/((VLOOKUP($B120,INDIRECT($B$5&amp;"生成成长"),4))/(VLOOKUP(EN$72,INDIRECT($C$5&amp;"生成成长"),5))*(VLOOKUP($B$5,标准坦克设计!$B$24:$U$30,MATCH("对"&amp;LEFT($C$5,2)&amp;"输出",标准坦克设计!$B$23:$U$23,0)))*(VLOOKUP($B120,INDIRECT($B$5&amp;"生成成长"),3))*(VLOOKUP($B$5,标准坦克设计!$B$14:$K$20,9)/30))</f>
        <v>61.440419928432078</v>
      </c>
      <c r="EO120" s="173">
        <f ca="1">(VLOOKUP(EO$72,INDIRECT($C$5&amp;"生成成长"),2))/((VLOOKUP($B120,INDIRECT($B$5&amp;"生成成长"),4))/(VLOOKUP(EO$72,INDIRECT($C$5&amp;"生成成长"),5))*(VLOOKUP($B$5,标准坦克设计!$B$24:$U$30,MATCH("对"&amp;LEFT($C$5,2)&amp;"输出",标准坦克设计!$B$23:$U$23,0)))*(VLOOKUP($B120,INDIRECT($B$5&amp;"生成成长"),3))*(VLOOKUP($B$5,标准坦克设计!$B$14:$K$20,9)/30))</f>
        <v>65.738187416303617</v>
      </c>
      <c r="EP120" s="173">
        <f ca="1">(VLOOKUP(EP$72,INDIRECT($C$5&amp;"生成成长"),2))/((VLOOKUP($B120,INDIRECT($B$5&amp;"生成成长"),4))/(VLOOKUP(EP$72,INDIRECT($C$5&amp;"生成成长"),5))*(VLOOKUP($B$5,标准坦克设计!$B$24:$U$30,MATCH("对"&amp;LEFT($C$5,2)&amp;"输出",标准坦克设计!$B$23:$U$23,0)))*(VLOOKUP($B120,INDIRECT($B$5&amp;"生成成长"),3))*(VLOOKUP($B$5,标准坦克设计!$B$14:$K$20,9)/30))</f>
        <v>70.181231551652502</v>
      </c>
      <c r="EQ120" s="173">
        <f ca="1">(VLOOKUP(EQ$72,INDIRECT($C$5&amp;"生成成长"),2))/((VLOOKUP($B120,INDIRECT($B$5&amp;"生成成长"),4))/(VLOOKUP(EQ$72,INDIRECT($C$5&amp;"生成成长"),5))*(VLOOKUP($B$5,标准坦克设计!$B$24:$U$30,MATCH("对"&amp;LEFT($C$5,2)&amp;"输出",标准坦克设计!$B$23:$U$23,0)))*(VLOOKUP($B120,INDIRECT($B$5&amp;"生成成长"),3))*(VLOOKUP($B$5,标准坦克设计!$B$14:$K$20,9)/30))</f>
        <v>31.024635161273601</v>
      </c>
      <c r="ER120" s="173">
        <f ca="1">(VLOOKUP(ER$72,INDIRECT($C$5&amp;"生成成长"),2))/((VLOOKUP($B120,INDIRECT($B$5&amp;"生成成长"),4))/(VLOOKUP(ER$72,INDIRECT($C$5&amp;"生成成长"),5))*(VLOOKUP($B$5,标准坦克设计!$B$24:$U$30,MATCH("对"&amp;LEFT($C$5,2)&amp;"输出",标准坦克设计!$B$23:$U$23,0)))*(VLOOKUP($B120,INDIRECT($B$5&amp;"生成成长"),3))*(VLOOKUP($B$5,标准坦克设计!$B$14:$K$20,9)/30))</f>
        <v>33.837856907735997</v>
      </c>
      <c r="ES120" s="173">
        <f ca="1">(VLOOKUP(ES$72,INDIRECT($C$5&amp;"生成成长"),2))/((VLOOKUP($B120,INDIRECT($B$5&amp;"生成成长"),4))/(VLOOKUP(ES$72,INDIRECT($C$5&amp;"生成成长"),5))*(VLOOKUP($B$5,标准坦克设计!$B$24:$U$30,MATCH("对"&amp;LEFT($C$5,2)&amp;"输出",标准坦克设计!$B$23:$U$23,0)))*(VLOOKUP($B120,INDIRECT($B$5&amp;"生成成长"),3))*(VLOOKUP($B$5,标准坦克设计!$B$14:$K$20,9)/30))</f>
        <v>36.773151392703653</v>
      </c>
      <c r="ET120" s="173">
        <f ca="1">(VLOOKUP(ET$72,INDIRECT($C$5&amp;"生成成长"),2))/((VLOOKUP($B120,INDIRECT($B$5&amp;"生成成长"),4))/(VLOOKUP(ET$72,INDIRECT($C$5&amp;"生成成长"),5))*(VLOOKUP($B$5,标准坦克设计!$B$24:$U$30,MATCH("对"&amp;LEFT($C$5,2)&amp;"输出",标准坦克设计!$B$23:$U$23,0)))*(VLOOKUP($B120,INDIRECT($B$5&amp;"生成成长"),3))*(VLOOKUP($B$5,标准坦克设计!$B$14:$K$20,9)/30))</f>
        <v>39.830518616176583</v>
      </c>
      <c r="EU120" s="173">
        <f ca="1">(VLOOKUP(EU$72,INDIRECT($C$5&amp;"生成成长"),2))/((VLOOKUP($B120,INDIRECT($B$5&amp;"生成成长"),4))/(VLOOKUP(EU$72,INDIRECT($C$5&amp;"生成成长"),5))*(VLOOKUP($B$5,标准坦克设计!$B$24:$U$30,MATCH("对"&amp;LEFT($C$5,2)&amp;"输出",标准坦克设计!$B$23:$U$23,0)))*(VLOOKUP($B120,INDIRECT($B$5&amp;"生成成长"),3))*(VLOOKUP($B$5,标准坦克设计!$B$14:$K$20,9)/30))</f>
        <v>43.009958578154802</v>
      </c>
      <c r="EV120" s="173">
        <f ca="1">(VLOOKUP(EV$72,INDIRECT($C$5&amp;"生成成长"),2))/((VLOOKUP($B120,INDIRECT($B$5&amp;"生成成长"),4))/(VLOOKUP(EV$72,INDIRECT($C$5&amp;"生成成长"),5))*(VLOOKUP($B$5,标准坦克设计!$B$24:$U$30,MATCH("对"&amp;LEFT($C$5,2)&amp;"输出",标准坦克设计!$B$23:$U$23,0)))*(VLOOKUP($B120,INDIRECT($B$5&amp;"生成成长"),3))*(VLOOKUP($B$5,标准坦克设计!$B$14:$K$20,9)/30))</f>
        <v>46.311471278638265</v>
      </c>
      <c r="EW120" s="173">
        <f ca="1">(VLOOKUP(EW$72,INDIRECT($C$5&amp;"生成成长"),2))/((VLOOKUP($B120,INDIRECT($B$5&amp;"生成成长"),4))/(VLOOKUP(EW$72,INDIRECT($C$5&amp;"生成成长"),5))*(VLOOKUP($B$5,标准坦克设计!$B$24:$U$30,MATCH("对"&amp;LEFT($C$5,2)&amp;"输出",标准坦克设计!$B$23:$U$23,0)))*(VLOOKUP($B120,INDIRECT($B$5&amp;"生成成长"),3))*(VLOOKUP($B$5,标准坦克设计!$B$14:$K$20,9)/30))</f>
        <v>49.735056717627025</v>
      </c>
      <c r="EX120" s="173">
        <f ca="1">(VLOOKUP(EX$72,INDIRECT($C$5&amp;"生成成长"),2))/((VLOOKUP($B120,INDIRECT($B$5&amp;"生成成长"),4))/(VLOOKUP(EX$72,INDIRECT($C$5&amp;"生成成长"),5))*(VLOOKUP($B$5,标准坦克设计!$B$24:$U$30,MATCH("对"&amp;LEFT($C$5,2)&amp;"输出",标准坦克设计!$B$23:$U$23,0)))*(VLOOKUP($B120,INDIRECT($B$5&amp;"生成成长"),3))*(VLOOKUP($B$5,标准坦克设计!$B$14:$K$20,9)/30))</f>
        <v>53.280714895121037</v>
      </c>
      <c r="EY120" s="173">
        <f ca="1">(VLOOKUP(EY$72,INDIRECT($C$5&amp;"生成成长"),2))/((VLOOKUP($B120,INDIRECT($B$5&amp;"生成成长"),4))/(VLOOKUP(EY$72,INDIRECT($C$5&amp;"生成成长"),5))*(VLOOKUP($B$5,标准坦克设计!$B$24:$U$30,MATCH("对"&amp;LEFT($C$5,2)&amp;"输出",标准坦克设计!$B$23:$U$23,0)))*(VLOOKUP($B120,INDIRECT($B$5&amp;"生成成长"),3))*(VLOOKUP($B$5,标准坦克设计!$B$14:$K$20,9)/30))</f>
        <v>56.948445811120315</v>
      </c>
      <c r="EZ120" s="173">
        <f ca="1">(VLOOKUP(EZ$72,INDIRECT($C$5&amp;"生成成长"),2))/((VLOOKUP($B120,INDIRECT($B$5&amp;"生成成长"),4))/(VLOOKUP(EZ$72,INDIRECT($C$5&amp;"生成成长"),5))*(VLOOKUP($B$5,标准坦克设计!$B$24:$U$30,MATCH("对"&amp;LEFT($C$5,2)&amp;"输出",标准坦克设计!$B$23:$U$23,0)))*(VLOOKUP($B120,INDIRECT($B$5&amp;"生成成长"),3))*(VLOOKUP($B$5,标准坦克设计!$B$14:$K$20,9)/30))</f>
        <v>60.738249465624889</v>
      </c>
      <c r="FA120" s="173">
        <f ca="1">(VLOOKUP(FA$72,INDIRECT($C$5&amp;"生成成长"),2))/((VLOOKUP($B120,INDIRECT($B$5&amp;"生成成长"),4))/(VLOOKUP(FA$72,INDIRECT($C$5&amp;"生成成长"),5))*(VLOOKUP($B$5,标准坦克设计!$B$24:$U$30,MATCH("对"&amp;LEFT($C$5,2)&amp;"输出",标准坦克设计!$B$23:$U$23,0)))*(VLOOKUP($B120,INDIRECT($B$5&amp;"生成成长"),3))*(VLOOKUP($B$5,标准坦克设计!$B$14:$K$20,9)/30))</f>
        <v>64.650125858634738</v>
      </c>
      <c r="FB120" s="173">
        <f ca="1">(VLOOKUP(FB$72,INDIRECT($C$5&amp;"生成成长"),2))/((VLOOKUP($B120,INDIRECT($B$5&amp;"生成成长"),4))/(VLOOKUP(FB$72,INDIRECT($C$5&amp;"生成成长"),5))*(VLOOKUP($B$5,标准坦克设计!$B$24:$U$30,MATCH("对"&amp;LEFT($C$5,2)&amp;"输出",标准坦克设计!$B$23:$U$23,0)))*(VLOOKUP($B120,INDIRECT($B$5&amp;"生成成长"),3))*(VLOOKUP($B$5,标准坦克设计!$B$14:$K$20,9)/30))</f>
        <v>68.684074990149838</v>
      </c>
      <c r="FC120" s="173">
        <f ca="1">(VLOOKUP(FC$72,INDIRECT($C$5&amp;"生成成长"),2))/((VLOOKUP($B120,INDIRECT($B$5&amp;"生成成长"),4))/(VLOOKUP(FC$72,INDIRECT($C$5&amp;"生成成长"),5))*(VLOOKUP($B$5,标准坦克设计!$B$24:$U$30,MATCH("对"&amp;LEFT($C$5,2)&amp;"输出",标准坦克设计!$B$23:$U$23,0)))*(VLOOKUP($B120,INDIRECT($B$5&amp;"生成成长"),3))*(VLOOKUP($B$5,标准坦克设计!$B$14:$K$20,9)/30))</f>
        <v>72.840096860170206</v>
      </c>
      <c r="FD120" s="173">
        <f ca="1">(VLOOKUP(FD$72,INDIRECT($C$5&amp;"生成成长"),2))/((VLOOKUP($B120,INDIRECT($B$5&amp;"生成成长"),4))/(VLOOKUP(FD$72,INDIRECT($C$5&amp;"生成成长"),5))*(VLOOKUP($B$5,标准坦克设计!$B$24:$U$30,MATCH("对"&amp;LEFT($C$5,2)&amp;"输出",标准坦克设计!$B$23:$U$23,0)))*(VLOOKUP($B120,INDIRECT($B$5&amp;"生成成长"),3))*(VLOOKUP($B$5,标准坦克设计!$B$14:$K$20,9)/30))</f>
        <v>77.118191468695869</v>
      </c>
      <c r="FE120" s="173">
        <f ca="1">(VLOOKUP(FE$72,INDIRECT($C$5&amp;"生成成长"),2))/((VLOOKUP($B120,INDIRECT($B$5&amp;"生成成长"),4))/(VLOOKUP(FE$72,INDIRECT($C$5&amp;"生成成长"),5))*(VLOOKUP($B$5,标准坦克设计!$B$24:$U$30,MATCH("对"&amp;LEFT($C$5,2)&amp;"输出",标准坦克设计!$B$23:$U$23,0)))*(VLOOKUP($B120,INDIRECT($B$5&amp;"生成成长"),3))*(VLOOKUP($B$5,标准坦克设计!$B$14:$K$20,9)/30))</f>
        <v>82.331504495356938</v>
      </c>
      <c r="FF120" s="173">
        <f ca="1">(VLOOKUP(FF$72,INDIRECT($C$5&amp;"生成成长"),2))/((VLOOKUP($B120,INDIRECT($B$5&amp;"生成成长"),4))/(VLOOKUP(FF$72,INDIRECT($C$5&amp;"生成成长"),5))*(VLOOKUP($B$5,标准坦克设计!$B$24:$U$30,MATCH("对"&amp;LEFT($C$5,2)&amp;"输出",标准坦克设计!$B$23:$U$23,0)))*(VLOOKUP($B120,INDIRECT($B$5&amp;"生成成长"),3))*(VLOOKUP($B$5,标准坦克设计!$B$14:$K$20,9)/30))</f>
        <v>87.71531580968238</v>
      </c>
      <c r="FG120" s="173">
        <f ca="1">(VLOOKUP(FG$72,INDIRECT($C$5&amp;"生成成长"),2))/((VLOOKUP($B120,INDIRECT($B$5&amp;"生成成长"),4))/(VLOOKUP(FG$72,INDIRECT($C$5&amp;"生成成长"),5))*(VLOOKUP($B$5,标准坦克设计!$B$24:$U$30,MATCH("对"&amp;LEFT($C$5,2)&amp;"输出",标准坦克设计!$B$23:$U$23,0)))*(VLOOKUP($B120,INDIRECT($B$5&amp;"生成成长"),3))*(VLOOKUP($B$5,标准坦克设计!$B$14:$K$20,9)/30))</f>
        <v>93.269625411672223</v>
      </c>
      <c r="FH120" s="173">
        <f ca="1">(VLOOKUP(FH$72,INDIRECT($C$5&amp;"生成成长"),2))/((VLOOKUP($B120,INDIRECT($B$5&amp;"生成成长"),4))/(VLOOKUP(FH$72,INDIRECT($C$5&amp;"生成成长"),5))*(VLOOKUP($B$5,标准坦克设计!$B$24:$U$30,MATCH("对"&amp;LEFT($C$5,2)&amp;"输出",标准坦克设计!$B$23:$U$23,0)))*(VLOOKUP($B120,INDIRECT($B$5&amp;"生成成长"),3))*(VLOOKUP($B$5,标准坦克设计!$B$14:$K$20,9)/30))</f>
        <v>98.994433301326481</v>
      </c>
      <c r="FI120" s="173">
        <f ca="1">(VLOOKUP(FI$72,INDIRECT($C$5&amp;"生成成长"),2))/((VLOOKUP($B120,INDIRECT($B$5&amp;"生成成长"),4))/(VLOOKUP(FI$72,INDIRECT($C$5&amp;"生成成长"),5))*(VLOOKUP($B$5,标准坦克设计!$B$24:$U$30,MATCH("对"&amp;LEFT($C$5,2)&amp;"输出",标准坦克设计!$B$23:$U$23,0)))*(VLOOKUP($B120,INDIRECT($B$5&amp;"生成成长"),3))*(VLOOKUP($B$5,标准坦克设计!$B$14:$K$20,9)/30))</f>
        <v>104.88973947864511</v>
      </c>
      <c r="FJ120" s="173">
        <f ca="1">(VLOOKUP(FJ$72,INDIRECT($C$5&amp;"生成成长"),2))/((VLOOKUP($B120,INDIRECT($B$5&amp;"生成成长"),4))/(VLOOKUP(FJ$72,INDIRECT($C$5&amp;"生成成长"),5))*(VLOOKUP($B$5,标准坦克设计!$B$24:$U$30,MATCH("对"&amp;LEFT($C$5,2)&amp;"输出",标准坦克设计!$B$23:$U$23,0)))*(VLOOKUP($B120,INDIRECT($B$5&amp;"生成成长"),3))*(VLOOKUP($B$5,标准坦克设计!$B$14:$K$20,9)/30))</f>
        <v>110.95554394362811</v>
      </c>
      <c r="FK120" s="173">
        <f ca="1">(VLOOKUP(FK$72,INDIRECT($C$5&amp;"生成成长"),2))/((VLOOKUP($B120,INDIRECT($B$5&amp;"生成成长"),4))/(VLOOKUP(FK$72,INDIRECT($C$5&amp;"生成成长"),5))*(VLOOKUP($B$5,标准坦克设计!$B$24:$U$30,MATCH("对"&amp;LEFT($C$5,2)&amp;"输出",标准坦克设计!$B$23:$U$23,0)))*(VLOOKUP($B120,INDIRECT($B$5&amp;"生成成长"),3))*(VLOOKUP($B$5,标准坦克设计!$B$14:$K$20,9)/30))</f>
        <v>117.19184669627549</v>
      </c>
    </row>
    <row r="121" spans="1:167" x14ac:dyDescent="0.15">
      <c r="A121" s="171" t="str">
        <f t="shared" si="11"/>
        <v>T2中品质4级</v>
      </c>
      <c r="B121" s="172">
        <v>20204</v>
      </c>
      <c r="C121" s="173">
        <f ca="1">(VLOOKUP(C$72,INDIRECT($C$5&amp;"生成成长"),2))/((VLOOKUP($B121,INDIRECT($B$5&amp;"生成成长"),4))/(VLOOKUP(C$72,INDIRECT($C$5&amp;"生成成长"),5))*(VLOOKUP($B$5,标准坦克设计!$B$24:$U$30,MATCH("对"&amp;LEFT($C$5,2)&amp;"输出",标准坦克设计!$B$23:$U$23,0)))*(VLOOKUP($B121,INDIRECT($B$5&amp;"生成成长"),3))*(VLOOKUP($B$5,标准坦克设计!$B$14:$K$20,9)/30))</f>
        <v>4.5073897170855419</v>
      </c>
      <c r="D121" s="173">
        <f ca="1">(VLOOKUP(D$72,INDIRECT($C$5&amp;"生成成长"),2))/((VLOOKUP($B121,INDIRECT($B$5&amp;"生成成长"),4))/(VLOOKUP(D$72,INDIRECT($C$5&amp;"生成成长"),5))*(VLOOKUP($B$5,标准坦克设计!$B$24:$U$30,MATCH("对"&amp;LEFT($C$5,2)&amp;"输出",标准坦克设计!$B$23:$U$23,0)))*(VLOOKUP($B121,INDIRECT($B$5&amp;"生成成长"),3))*(VLOOKUP($B$5,标准坦克设计!$B$14:$K$20,9)/30))</f>
        <v>5.0645030861173144</v>
      </c>
      <c r="E121" s="173">
        <f ca="1">(VLOOKUP(E$72,INDIRECT($C$5&amp;"生成成长"),2))/((VLOOKUP($B121,INDIRECT($B$5&amp;"生成成长"),4))/(VLOOKUP(E$72,INDIRECT($C$5&amp;"生成成长"),5))*(VLOOKUP($B$5,标准坦克设计!$B$24:$U$30,MATCH("对"&amp;LEFT($C$5,2)&amp;"输出",标准坦克设计!$B$23:$U$23,0)))*(VLOOKUP($B121,INDIRECT($B$5&amp;"生成成长"),3))*(VLOOKUP($B$5,标准坦克设计!$B$14:$K$20,9)/30))</f>
        <v>5.6540696611121035</v>
      </c>
      <c r="F121" s="173">
        <f ca="1">(VLOOKUP(F$72,INDIRECT($C$5&amp;"生成成长"),2))/((VLOOKUP($B121,INDIRECT($B$5&amp;"生成成长"),4))/(VLOOKUP(F$72,INDIRECT($C$5&amp;"生成成长"),5))*(VLOOKUP($B$5,标准坦克设计!$B$24:$U$30,MATCH("对"&amp;LEFT($C$5,2)&amp;"输出",标准坦克设计!$B$23:$U$23,0)))*(VLOOKUP($B121,INDIRECT($B$5&amp;"生成成长"),3))*(VLOOKUP($B$5,标准坦克设计!$B$14:$K$20,9)/30))</f>
        <v>6.2760894420699094</v>
      </c>
      <c r="G121" s="173">
        <f ca="1">(VLOOKUP(G$72,INDIRECT($C$5&amp;"生成成长"),2))/((VLOOKUP($B121,INDIRECT($B$5&amp;"生成成长"),4))/(VLOOKUP(G$72,INDIRECT($C$5&amp;"生成成长"),5))*(VLOOKUP($B$5,标准坦克设计!$B$24:$U$30,MATCH("对"&amp;LEFT($C$5,2)&amp;"输出",标准坦克设计!$B$23:$U$23,0)))*(VLOOKUP($B121,INDIRECT($B$5&amp;"生成成长"),3))*(VLOOKUP($B$5,标准坦克设计!$B$14:$K$20,9)/30))</f>
        <v>6.9305624289907284</v>
      </c>
      <c r="H121" s="173">
        <f ca="1">(VLOOKUP(H$72,INDIRECT($C$5&amp;"生成成长"),2))/((VLOOKUP($B121,INDIRECT($B$5&amp;"生成成长"),4))/(VLOOKUP(H$72,INDIRECT($C$5&amp;"生成成长"),5))*(VLOOKUP($B$5,标准坦克设计!$B$24:$U$30,MATCH("对"&amp;LEFT($C$5,2)&amp;"输出",标准坦克设计!$B$23:$U$23,0)))*(VLOOKUP($B121,INDIRECT($B$5&amp;"生成成长"),3))*(VLOOKUP($B$5,标准坦克设计!$B$14:$K$20,9)/30))</f>
        <v>6.0651436033103048</v>
      </c>
      <c r="I121" s="173">
        <f ca="1">(VLOOKUP(I$72,INDIRECT($C$5&amp;"生成成长"),2))/((VLOOKUP($B121,INDIRECT($B$5&amp;"生成成长"),4))/(VLOOKUP(I$72,INDIRECT($C$5&amp;"生成成长"),5))*(VLOOKUP($B$5,标准坦克设计!$B$24:$U$30,MATCH("对"&amp;LEFT($C$5,2)&amp;"输出",标准坦克设计!$B$23:$U$23,0)))*(VLOOKUP($B121,INDIRECT($B$5&amp;"生成成长"),3))*(VLOOKUP($B$5,标准坦克设计!$B$14:$K$20,9)/30))</f>
        <v>6.9305624289907284</v>
      </c>
      <c r="J121" s="173">
        <f ca="1">(VLOOKUP(J$72,INDIRECT($C$5&amp;"生成成长"),2))/((VLOOKUP($B121,INDIRECT($B$5&amp;"生成成长"),4))/(VLOOKUP(J$72,INDIRECT($C$5&amp;"生成成长"),5))*(VLOOKUP($B$5,标准坦克设计!$B$24:$U$30,MATCH("对"&amp;LEFT($C$5,2)&amp;"输出",标准坦克设计!$B$23:$U$23,0)))*(VLOOKUP($B121,INDIRECT($B$5&amp;"生成成长"),3))*(VLOOKUP($B$5,标准坦克设计!$B$14:$K$20,9)/30))</f>
        <v>7.8536758430498477</v>
      </c>
      <c r="K121" s="173">
        <f ca="1">(VLOOKUP(K$72,INDIRECT($C$5&amp;"生成成长"),2))/((VLOOKUP($B121,INDIRECT($B$5&amp;"生成成长"),4))/(VLOOKUP(K$72,INDIRECT($C$5&amp;"生成成长"),5))*(VLOOKUP($B$5,标准坦克设计!$B$24:$U$30,MATCH("对"&amp;LEFT($C$5,2)&amp;"输出",标准坦克设计!$B$23:$U$23,0)))*(VLOOKUP($B121,INDIRECT($B$5&amp;"生成成长"),3))*(VLOOKUP($B$5,标准坦克设计!$B$14:$K$20,9)/30))</f>
        <v>8.8344838454876626</v>
      </c>
      <c r="L121" s="173">
        <f ca="1">(VLOOKUP(L$72,INDIRECT($C$5&amp;"生成成长"),2))/((VLOOKUP($B121,INDIRECT($B$5&amp;"生成成长"),4))/(VLOOKUP(L$72,INDIRECT($C$5&amp;"生成成长"),5))*(VLOOKUP($B$5,标准坦克设计!$B$24:$U$30,MATCH("对"&amp;LEFT($C$5,2)&amp;"输出",标准坦克设计!$B$23:$U$23,0)))*(VLOOKUP($B121,INDIRECT($B$5&amp;"生成成长"),3))*(VLOOKUP($B$5,标准坦克设计!$B$14:$K$20,9)/30))</f>
        <v>9.8729864363041706</v>
      </c>
      <c r="M121" s="173">
        <f ca="1">(VLOOKUP(M$72,INDIRECT($C$5&amp;"生成成长"),2))/((VLOOKUP($B121,INDIRECT($B$5&amp;"生成成长"),4))/(VLOOKUP(M$72,INDIRECT($C$5&amp;"生成成长"),5))*(VLOOKUP($B$5,标准坦克设计!$B$24:$U$30,MATCH("对"&amp;LEFT($C$5,2)&amp;"输出",标准坦克设计!$B$23:$U$23,0)))*(VLOOKUP($B121,INDIRECT($B$5&amp;"生成成长"),3))*(VLOOKUP($B$5,标准坦克设计!$B$14:$K$20,9)/30))</f>
        <v>10.969183615499375</v>
      </c>
      <c r="N121" s="173">
        <f ca="1">(VLOOKUP(N$72,INDIRECT($C$5&amp;"生成成长"),2))/((VLOOKUP($B121,INDIRECT($B$5&amp;"生成成长"),4))/(VLOOKUP(N$72,INDIRECT($C$5&amp;"生成成长"),5))*(VLOOKUP($B$5,标准坦克设计!$B$24:$U$30,MATCH("对"&amp;LEFT($C$5,2)&amp;"输出",标准坦克设计!$B$23:$U$23,0)))*(VLOOKUP($B121,INDIRECT($B$5&amp;"生成成长"),3))*(VLOOKUP($B$5,标准坦克设计!$B$14:$K$20,9)/30))</f>
        <v>12.123075383073273</v>
      </c>
      <c r="O121" s="173">
        <f ca="1">(VLOOKUP(O$72,INDIRECT($C$5&amp;"生成成长"),2))/((VLOOKUP($B121,INDIRECT($B$5&amp;"生成成长"),4))/(VLOOKUP(O$72,INDIRECT($C$5&amp;"生成成长"),5))*(VLOOKUP($B$5,标准坦克设计!$B$24:$U$30,MATCH("对"&amp;LEFT($C$5,2)&amp;"输出",标准坦克设计!$B$23:$U$23,0)))*(VLOOKUP($B121,INDIRECT($B$5&amp;"生成成长"),3))*(VLOOKUP($B$5,标准坦克设计!$B$14:$K$20,9)/30))</f>
        <v>9.2171612324682251</v>
      </c>
      <c r="P121" s="173">
        <f ca="1">(VLOOKUP(P$72,INDIRECT($C$5&amp;"生成成长"),2))/((VLOOKUP($B121,INDIRECT($B$5&amp;"生成成长"),4))/(VLOOKUP(P$72,INDIRECT($C$5&amp;"生成成长"),5))*(VLOOKUP($B$5,标准坦克设计!$B$24:$U$30,MATCH("对"&amp;LEFT($C$5,2)&amp;"输出",标准坦克设计!$B$23:$U$23,0)))*(VLOOKUP($B121,INDIRECT($B$5&amp;"生成成长"),3))*(VLOOKUP($B$5,标准坦克设计!$B$14:$K$20,9)/30))</f>
        <v>10.413873202354434</v>
      </c>
      <c r="Q121" s="173">
        <f ca="1">(VLOOKUP(Q$72,INDIRECT($C$5&amp;"生成成长"),2))/((VLOOKUP($B121,INDIRECT($B$5&amp;"生成成长"),4))/(VLOOKUP(Q$72,INDIRECT($C$5&amp;"生成成长"),5))*(VLOOKUP($B$5,标准坦克设计!$B$24:$U$30,MATCH("对"&amp;LEFT($C$5,2)&amp;"输出",标准坦克设计!$B$23:$U$23,0)))*(VLOOKUP($B121,INDIRECT($B$5&amp;"生成成长"),3))*(VLOOKUP($B$5,标准坦克设计!$B$14:$K$20,9)/30))</f>
        <v>11.683604885657433</v>
      </c>
      <c r="R121" s="173">
        <f ca="1">(VLOOKUP(R$72,INDIRECT($C$5&amp;"生成成长"),2))/((VLOOKUP($B121,INDIRECT($B$5&amp;"生成成长"),4))/(VLOOKUP(R$72,INDIRECT($C$5&amp;"生成成长"),5))*(VLOOKUP($B$5,标准坦克设计!$B$24:$U$30,MATCH("对"&amp;LEFT($C$5,2)&amp;"输出",标准坦克设计!$B$23:$U$23,0)))*(VLOOKUP($B121,INDIRECT($B$5&amp;"生成成长"),3))*(VLOOKUP($B$5,标准坦克设计!$B$14:$K$20,9)/30))</f>
        <v>13.026356282377213</v>
      </c>
      <c r="S121" s="173">
        <f ca="1">(VLOOKUP(S$72,INDIRECT($C$5&amp;"生成成长"),2))/((VLOOKUP($B121,INDIRECT($B$5&amp;"生成成长"),4))/(VLOOKUP(S$72,INDIRECT($C$5&amp;"生成成长"),5))*(VLOOKUP($B$5,标准坦克设计!$B$24:$U$30,MATCH("对"&amp;LEFT($C$5,2)&amp;"输出",标准坦克设计!$B$23:$U$23,0)))*(VLOOKUP($B121,INDIRECT($B$5&amp;"生成成长"),3))*(VLOOKUP($B$5,标准坦克设计!$B$14:$K$20,9)/30))</f>
        <v>14.442127392513784</v>
      </c>
      <c r="T121" s="173">
        <f ca="1">(VLOOKUP(T$72,INDIRECT($C$5&amp;"生成成长"),2))/((VLOOKUP($B121,INDIRECT($B$5&amp;"生成成长"),4))/(VLOOKUP(T$72,INDIRECT($C$5&amp;"生成成长"),5))*(VLOOKUP($B$5,标准坦克设计!$B$24:$U$30,MATCH("对"&amp;LEFT($C$5,2)&amp;"输出",标准坦克设计!$B$23:$U$23,0)))*(VLOOKUP($B121,INDIRECT($B$5&amp;"生成成长"),3))*(VLOOKUP($B$5,标准坦克设计!$B$14:$K$20,9)/30))</f>
        <v>15.930918216067138</v>
      </c>
      <c r="U121" s="173">
        <f ca="1">(VLOOKUP(U$72,INDIRECT($C$5&amp;"生成成长"),2))/((VLOOKUP($B121,INDIRECT($B$5&amp;"生成成长"),4))/(VLOOKUP(U$72,INDIRECT($C$5&amp;"生成成长"),5))*(VLOOKUP($B$5,标准坦克设计!$B$24:$U$30,MATCH("对"&amp;LEFT($C$5,2)&amp;"输出",标准坦克设计!$B$23:$U$23,0)))*(VLOOKUP($B121,INDIRECT($B$5&amp;"生成成长"),3))*(VLOOKUP($B$5,标准坦克设计!$B$14:$K$20,9)/30))</f>
        <v>17.492728753037277</v>
      </c>
      <c r="V121" s="173">
        <f ca="1">(VLOOKUP(V$72,INDIRECT($C$5&amp;"生成成长"),2))/((VLOOKUP($B121,INDIRECT($B$5&amp;"生成成长"),4))/(VLOOKUP(V$72,INDIRECT($C$5&amp;"生成成长"),5))*(VLOOKUP($B$5,标准坦克设计!$B$24:$U$30,MATCH("对"&amp;LEFT($C$5,2)&amp;"输出",标准坦克设计!$B$23:$U$23,0)))*(VLOOKUP($B121,INDIRECT($B$5&amp;"生成成长"),3))*(VLOOKUP($B$5,标准坦克设计!$B$14:$K$20,9)/30))</f>
        <v>19.127559003424203</v>
      </c>
      <c r="W121" s="173">
        <f ca="1">(VLOOKUP(W$72,INDIRECT($C$5&amp;"生成成长"),2))/((VLOOKUP($B121,INDIRECT($B$5&amp;"生成成长"),4))/(VLOOKUP(W$72,INDIRECT($C$5&amp;"生成成长"),5))*(VLOOKUP($B$5,标准坦克设计!$B$24:$U$30,MATCH("对"&amp;LEFT($C$5,2)&amp;"输出",标准坦克设计!$B$23:$U$23,0)))*(VLOOKUP($B121,INDIRECT($B$5&amp;"生成成长"),3))*(VLOOKUP($B$5,标准坦克设计!$B$14:$K$20,9)/30))</f>
        <v>20.835408967227913</v>
      </c>
      <c r="X121" s="173">
        <f ca="1">(VLOOKUP(X$72,INDIRECT($C$5&amp;"生成成长"),2))/((VLOOKUP($B121,INDIRECT($B$5&amp;"生成成长"),4))/(VLOOKUP(X$72,INDIRECT($C$5&amp;"生成成长"),5))*(VLOOKUP($B$5,标准坦克设计!$B$24:$U$30,MATCH("对"&amp;LEFT($C$5,2)&amp;"输出",标准坦克设计!$B$23:$U$23,0)))*(VLOOKUP($B121,INDIRECT($B$5&amp;"生成成长"),3))*(VLOOKUP($B$5,标准坦克设计!$B$14:$K$20,9)/30))</f>
        <v>15.094797423547769</v>
      </c>
      <c r="Y121" s="173">
        <f ca="1">(VLOOKUP(Y$72,INDIRECT($C$5&amp;"生成成长"),2))/((VLOOKUP($B121,INDIRECT($B$5&amp;"生成成长"),4))/(VLOOKUP(Y$72,INDIRECT($C$5&amp;"生成成长"),5))*(VLOOKUP($B$5,标准坦克设计!$B$24:$U$30,MATCH("对"&amp;LEFT($C$5,2)&amp;"输出",标准坦克设计!$B$23:$U$23,0)))*(VLOOKUP($B121,INDIRECT($B$5&amp;"生成成长"),3))*(VLOOKUP($B$5,标准坦克设计!$B$14:$K$20,9)/30))</f>
        <v>16.789575957171937</v>
      </c>
      <c r="Z121" s="173">
        <f ca="1">(VLOOKUP(Z$72,INDIRECT($C$5&amp;"生成成长"),2))/((VLOOKUP($B121,INDIRECT($B$5&amp;"生成成长"),4))/(VLOOKUP(Z$72,INDIRECT($C$5&amp;"生成成长"),5))*(VLOOKUP($B$5,标准坦克设计!$B$24:$U$30,MATCH("对"&amp;LEFT($C$5,2)&amp;"输出",标准坦克设计!$B$23:$U$23,0)))*(VLOOKUP($B121,INDIRECT($B$5&amp;"生成成长"),3))*(VLOOKUP($B$5,标准坦克设计!$B$14:$K$20,9)/30))</f>
        <v>18.574502285137807</v>
      </c>
      <c r="AA121" s="173">
        <f ca="1">(VLOOKUP(AA$72,INDIRECT($C$5&amp;"生成成长"),2))/((VLOOKUP($B121,INDIRECT($B$5&amp;"生成成长"),4))/(VLOOKUP(AA$72,INDIRECT($C$5&amp;"生成成长"),5))*(VLOOKUP($B$5,标准坦克设计!$B$24:$U$30,MATCH("对"&amp;LEFT($C$5,2)&amp;"输出",标准坦克设计!$B$23:$U$23,0)))*(VLOOKUP($B121,INDIRECT($B$5&amp;"生成成长"),3))*(VLOOKUP($B$5,标准坦克设计!$B$14:$K$20,9)/30))</f>
        <v>20.449576407445395</v>
      </c>
      <c r="AB121" s="173">
        <f ca="1">(VLOOKUP(AB$72,INDIRECT($C$5&amp;"生成成长"),2))/((VLOOKUP($B121,INDIRECT($B$5&amp;"生成成长"),4))/(VLOOKUP(AB$72,INDIRECT($C$5&amp;"生成成长"),5))*(VLOOKUP($B$5,标准坦克设计!$B$24:$U$30,MATCH("对"&amp;LEFT($C$5,2)&amp;"输出",标准坦克设计!$B$23:$U$23,0)))*(VLOOKUP($B121,INDIRECT($B$5&amp;"生成成长"),3))*(VLOOKUP($B$5,标准坦克设计!$B$14:$K$20,9)/30))</f>
        <v>22.41479832409469</v>
      </c>
      <c r="AC121" s="173">
        <f ca="1">(VLOOKUP(AC$72,INDIRECT($C$5&amp;"生成成长"),2))/((VLOOKUP($B121,INDIRECT($B$5&amp;"生成成长"),4))/(VLOOKUP(AC$72,INDIRECT($C$5&amp;"生成成长"),5))*(VLOOKUP($B$5,标准坦克设计!$B$24:$U$30,MATCH("对"&amp;LEFT($C$5,2)&amp;"输出",标准坦克设计!$B$23:$U$23,0)))*(VLOOKUP($B121,INDIRECT($B$5&amp;"生成成长"),3))*(VLOOKUP($B$5,标准坦克设计!$B$14:$K$20,9)/30))</f>
        <v>24.470168035085695</v>
      </c>
      <c r="AD121" s="173">
        <f ca="1">(VLOOKUP(AD$72,INDIRECT($C$5&amp;"生成成长"),2))/((VLOOKUP($B121,INDIRECT($B$5&amp;"生成成长"),4))/(VLOOKUP(AD$72,INDIRECT($C$5&amp;"生成成长"),5))*(VLOOKUP($B$5,标准坦克设计!$B$24:$U$30,MATCH("对"&amp;LEFT($C$5,2)&amp;"输出",标准坦克设计!$B$23:$U$23,0)))*(VLOOKUP($B121,INDIRECT($B$5&amp;"生成成长"),3))*(VLOOKUP($B$5,标准坦克设计!$B$14:$K$20,9)/30))</f>
        <v>26.615685540418415</v>
      </c>
      <c r="AE121" s="173">
        <f ca="1">(VLOOKUP(AE$72,INDIRECT($C$5&amp;"生成成长"),2))/((VLOOKUP($B121,INDIRECT($B$5&amp;"生成成长"),4))/(VLOOKUP(AE$72,INDIRECT($C$5&amp;"生成成长"),5))*(VLOOKUP($B$5,标准坦克设计!$B$24:$U$30,MATCH("对"&amp;LEFT($C$5,2)&amp;"输出",标准坦克设计!$B$23:$U$23,0)))*(VLOOKUP($B121,INDIRECT($B$5&amp;"生成成长"),3))*(VLOOKUP($B$5,标准坦克设计!$B$14:$K$20,9)/30))</f>
        <v>28.851350840092845</v>
      </c>
      <c r="AF121" s="173">
        <f ca="1">(VLOOKUP(AF$72,INDIRECT($C$5&amp;"生成成长"),2))/((VLOOKUP($B121,INDIRECT($B$5&amp;"生成成长"),4))/(VLOOKUP(AF$72,INDIRECT($C$5&amp;"生成成长"),5))*(VLOOKUP($B$5,标准坦克设计!$B$24:$U$30,MATCH("对"&amp;LEFT($C$5,2)&amp;"输出",标准坦克设计!$B$23:$U$23,0)))*(VLOOKUP($B121,INDIRECT($B$5&amp;"生成成长"),3))*(VLOOKUP($B$5,标准坦克设计!$B$14:$K$20,9)/30))</f>
        <v>31.177163934108989</v>
      </c>
      <c r="AG121" s="173">
        <f ca="1">(VLOOKUP(AG$72,INDIRECT($C$5&amp;"生成成长"),2))/((VLOOKUP($B121,INDIRECT($B$5&amp;"生成成长"),4))/(VLOOKUP(AG$72,INDIRECT($C$5&amp;"生成成长"),5))*(VLOOKUP($B$5,标准坦克设计!$B$24:$U$30,MATCH("对"&amp;LEFT($C$5,2)&amp;"输出",标准坦克设计!$B$23:$U$23,0)))*(VLOOKUP($B121,INDIRECT($B$5&amp;"生成成长"),3))*(VLOOKUP($B$5,标准坦克设计!$B$14:$K$20,9)/30))</f>
        <v>33.593124822466834</v>
      </c>
      <c r="AH121" s="173">
        <f ca="1">(VLOOKUP(AH$72,INDIRECT($C$5&amp;"生成成长"),2))/((VLOOKUP($B121,INDIRECT($B$5&amp;"生成成长"),4))/(VLOOKUP(AH$72,INDIRECT($C$5&amp;"生成成长"),5))*(VLOOKUP($B$5,标准坦克设计!$B$24:$U$30,MATCH("对"&amp;LEFT($C$5,2)&amp;"输出",标准坦克设计!$B$23:$U$23,0)))*(VLOOKUP($B121,INDIRECT($B$5&amp;"生成成长"),3))*(VLOOKUP($B$5,标准坦克设计!$B$14:$K$20,9)/30))</f>
        <v>36.099233505166396</v>
      </c>
      <c r="AI121" s="173">
        <f ca="1">(VLOOKUP(AI$72,INDIRECT($C$5&amp;"生成成长"),2))/((VLOOKUP($B121,INDIRECT($B$5&amp;"生成成长"),4))/(VLOOKUP(AI$72,INDIRECT($C$5&amp;"生成成长"),5))*(VLOOKUP($B$5,标准坦克设计!$B$24:$U$30,MATCH("对"&amp;LEFT($C$5,2)&amp;"输出",标准坦克设计!$B$23:$U$23,0)))*(VLOOKUP($B121,INDIRECT($B$5&amp;"生成成长"),3))*(VLOOKUP($B$5,标准坦克设计!$B$14:$K$20,9)/30))</f>
        <v>25.531658313459342</v>
      </c>
      <c r="AJ121" s="173">
        <f ca="1">(VLOOKUP(AJ$72,INDIRECT($C$5&amp;"生成成长"),2))/((VLOOKUP($B121,INDIRECT($B$5&amp;"生成成长"),4))/(VLOOKUP(AJ$72,INDIRECT($C$5&amp;"生成成长"),5))*(VLOOKUP($B$5,标准坦克设计!$B$24:$U$30,MATCH("对"&amp;LEFT($C$5,2)&amp;"输出",标准坦克设计!$B$23:$U$23,0)))*(VLOOKUP($B121,INDIRECT($B$5&amp;"生成成长"),3))*(VLOOKUP($B$5,标准坦克设计!$B$14:$K$20,9)/30))</f>
        <v>27.946266984902074</v>
      </c>
      <c r="AK121" s="173">
        <f ca="1">(VLOOKUP(AK$72,INDIRECT($C$5&amp;"生成成长"),2))/((VLOOKUP($B121,INDIRECT($B$5&amp;"生成成长"),4))/(VLOOKUP(AK$72,INDIRECT($C$5&amp;"生成成长"),5))*(VLOOKUP($B$5,标准坦克设计!$B$24:$U$30,MATCH("对"&amp;LEFT($C$5,2)&amp;"输出",标准坦克设计!$B$23:$U$23,0)))*(VLOOKUP($B121,INDIRECT($B$5&amp;"生成成长"),3))*(VLOOKUP($B$5,标准坦克设计!$B$14:$K$20,9)/30))</f>
        <v>30.469954487498264</v>
      </c>
      <c r="AL121" s="173">
        <f ca="1">(VLOOKUP(AL$72,INDIRECT($C$5&amp;"生成成长"),2))/((VLOOKUP($B121,INDIRECT($B$5&amp;"生成成长"),4))/(VLOOKUP(AL$72,INDIRECT($C$5&amp;"生成成长"),5))*(VLOOKUP($B$5,标准坦克设计!$B$24:$U$30,MATCH("对"&amp;LEFT($C$5,2)&amp;"输出",标准坦克设计!$B$23:$U$23,0)))*(VLOOKUP($B121,INDIRECT($B$5&amp;"生成成长"),3))*(VLOOKUP($B$5,标准坦克设计!$B$14:$K$20,9)/30))</f>
        <v>33.102720821247921</v>
      </c>
      <c r="AM121" s="173">
        <f ca="1">(VLOOKUP(AM$72,INDIRECT($C$5&amp;"生成成长"),2))/((VLOOKUP($B121,INDIRECT($B$5&amp;"生成成长"),4))/(VLOOKUP(AM$72,INDIRECT($C$5&amp;"生成成长"),5))*(VLOOKUP($B$5,标准坦克设计!$B$24:$U$30,MATCH("对"&amp;LEFT($C$5,2)&amp;"输出",标准坦克设计!$B$23:$U$23,0)))*(VLOOKUP($B121,INDIRECT($B$5&amp;"生成成长"),3))*(VLOOKUP($B$5,标准坦克设计!$B$14:$K$20,9)/30))</f>
        <v>35.844565986151061</v>
      </c>
      <c r="AN121" s="173">
        <f ca="1">(VLOOKUP(AN$72,INDIRECT($C$5&amp;"生成成长"),2))/((VLOOKUP($B121,INDIRECT($B$5&amp;"生成成长"),4))/(VLOOKUP(AN$72,INDIRECT($C$5&amp;"生成成长"),5))*(VLOOKUP($B$5,标准坦克设计!$B$24:$U$30,MATCH("对"&amp;LEFT($C$5,2)&amp;"输出",标准坦克设计!$B$23:$U$23,0)))*(VLOOKUP($B121,INDIRECT($B$5&amp;"生成成长"),3))*(VLOOKUP($B$5,标准坦克设计!$B$14:$K$20,9)/30))</f>
        <v>38.695489982207668</v>
      </c>
      <c r="AO121" s="173">
        <f ca="1">(VLOOKUP(AO$72,INDIRECT($C$5&amp;"生成成长"),2))/((VLOOKUP($B121,INDIRECT($B$5&amp;"生成成长"),4))/(VLOOKUP(AO$72,INDIRECT($C$5&amp;"生成成长"),5))*(VLOOKUP($B$5,标准坦克设计!$B$24:$U$30,MATCH("对"&amp;LEFT($C$5,2)&amp;"输出",标准坦克设计!$B$23:$U$23,0)))*(VLOOKUP($B121,INDIRECT($B$5&amp;"生成成长"),3))*(VLOOKUP($B$5,标准坦克设计!$B$14:$K$20,9)/30))</f>
        <v>41.655492809417737</v>
      </c>
      <c r="AP121" s="173">
        <f ca="1">(VLOOKUP(AP$72,INDIRECT($C$5&amp;"生成成长"),2))/((VLOOKUP($B121,INDIRECT($B$5&amp;"生成成长"),4))/(VLOOKUP(AP$72,INDIRECT($C$5&amp;"生成成长"),5))*(VLOOKUP($B$5,标准坦克设计!$B$24:$U$30,MATCH("对"&amp;LEFT($C$5,2)&amp;"输出",标准坦克设计!$B$23:$U$23,0)))*(VLOOKUP($B121,INDIRECT($B$5&amp;"生成成长"),3))*(VLOOKUP($B$5,标准坦克设计!$B$14:$K$20,9)/30))</f>
        <v>44.724574467781281</v>
      </c>
      <c r="AQ121" s="173">
        <f ca="1">(VLOOKUP(AQ$72,INDIRECT($C$5&amp;"生成成长"),2))/((VLOOKUP($B121,INDIRECT($B$5&amp;"生成成长"),4))/(VLOOKUP(AQ$72,INDIRECT($C$5&amp;"生成成长"),5))*(VLOOKUP($B$5,标准坦克设计!$B$24:$U$30,MATCH("对"&amp;LEFT($C$5,2)&amp;"输出",标准坦克设计!$B$23:$U$23,0)))*(VLOOKUP($B121,INDIRECT($B$5&amp;"生成成长"),3))*(VLOOKUP($B$5,标准坦克设计!$B$14:$K$20,9)/30))</f>
        <v>47.9027349572983</v>
      </c>
      <c r="AR121" s="173">
        <f ca="1">(VLOOKUP(AR$72,INDIRECT($C$5&amp;"生成成长"),2))/((VLOOKUP($B121,INDIRECT($B$5&amp;"生成成长"),4))/(VLOOKUP(AR$72,INDIRECT($C$5&amp;"生成成长"),5))*(VLOOKUP($B$5,标准坦克设计!$B$24:$U$30,MATCH("对"&amp;LEFT($C$5,2)&amp;"输出",标准坦克设计!$B$23:$U$23,0)))*(VLOOKUP($B121,INDIRECT($B$5&amp;"生成成长"),3))*(VLOOKUP($B$5,标准坦克设计!$B$14:$K$20,9)/30))</f>
        <v>51.189974277968794</v>
      </c>
      <c r="AS121" s="173">
        <f ca="1">(VLOOKUP(AS$72,INDIRECT($C$5&amp;"生成成长"),2))/((VLOOKUP($B121,INDIRECT($B$5&amp;"生成成长"),4))/(VLOOKUP(AS$72,INDIRECT($C$5&amp;"生成成长"),5))*(VLOOKUP($B$5,标准坦克设计!$B$24:$U$30,MATCH("对"&amp;LEFT($C$5,2)&amp;"输出",标准坦克设计!$B$23:$U$23,0)))*(VLOOKUP($B121,INDIRECT($B$5&amp;"生成成长"),3))*(VLOOKUP($B$5,标准坦克设计!$B$14:$K$20,9)/30))</f>
        <v>54.586292429792749</v>
      </c>
      <c r="AT121" s="173">
        <f ca="1">(VLOOKUP(AT$72,INDIRECT($C$5&amp;"生成成长"),2))/((VLOOKUP($B121,INDIRECT($B$5&amp;"生成成长"),4))/(VLOOKUP(AT$72,INDIRECT($C$5&amp;"生成成长"),5))*(VLOOKUP($B$5,标准坦克设计!$B$24:$U$30,MATCH("对"&amp;LEFT($C$5,2)&amp;"输出",标准坦克设计!$B$23:$U$23,0)))*(VLOOKUP($B121,INDIRECT($B$5&amp;"生成成长"),3))*(VLOOKUP($B$5,标准坦克设计!$B$14:$K$20,9)/30))</f>
        <v>58.091689412770165</v>
      </c>
      <c r="AU121" s="173">
        <f ca="1">(VLOOKUP(AU$72,INDIRECT($C$5&amp;"生成成长"),2))/((VLOOKUP($B121,INDIRECT($B$5&amp;"生成成长"),4))/(VLOOKUP(AU$72,INDIRECT($C$5&amp;"生成成长"),5))*(VLOOKUP($B$5,标准坦克设计!$B$24:$U$30,MATCH("对"&amp;LEFT($C$5,2)&amp;"输出",标准坦克设计!$B$23:$U$23,0)))*(VLOOKUP($B121,INDIRECT($B$5&amp;"生成成长"),3))*(VLOOKUP($B$5,标准坦克设计!$B$14:$K$20,9)/30))</f>
        <v>61.706165226901057</v>
      </c>
      <c r="AV121" s="173">
        <f ca="1">(VLOOKUP(AV$72,INDIRECT($C$5&amp;"生成成长"),2))/((VLOOKUP($B121,INDIRECT($B$5&amp;"生成成长"),4))/(VLOOKUP(AV$72,INDIRECT($C$5&amp;"生成成长"),5))*(VLOOKUP($B$5,标准坦克设计!$B$24:$U$30,MATCH("对"&amp;LEFT($C$5,2)&amp;"输出",标准坦克设计!$B$23:$U$23,0)))*(VLOOKUP($B121,INDIRECT($B$5&amp;"生成成长"),3))*(VLOOKUP($B$5,标准坦克设计!$B$14:$K$20,9)/30))</f>
        <v>6.2760894420699094</v>
      </c>
      <c r="AW121" s="173">
        <f ca="1">(VLOOKUP(AW$72,INDIRECT($C$5&amp;"生成成长"),2))/((VLOOKUP($B121,INDIRECT($B$5&amp;"生成成长"),4))/(VLOOKUP(AW$72,INDIRECT($C$5&amp;"生成成长"),5))*(VLOOKUP($B$5,标准坦克设计!$B$24:$U$30,MATCH("对"&amp;LEFT($C$5,2)&amp;"输出",标准坦克设计!$B$23:$U$23,0)))*(VLOOKUP($B121,INDIRECT($B$5&amp;"生成成长"),3))*(VLOOKUP($B$5,标准坦克设计!$B$14:$K$20,9)/30))</f>
        <v>7.1559319148450067</v>
      </c>
      <c r="AX121" s="173">
        <f ca="1">(VLOOKUP(AX$72,INDIRECT($C$5&amp;"生成成长"),2))/((VLOOKUP($B121,INDIRECT($B$5&amp;"生成成长"),4))/(VLOOKUP(AX$72,INDIRECT($C$5&amp;"生成成长"),5))*(VLOOKUP($B$5,标准坦克设计!$B$24:$U$30,MATCH("对"&amp;LEFT($C$5,2)&amp;"输出",标准坦克设计!$B$23:$U$23,0)))*(VLOOKUP($B121,INDIRECT($B$5&amp;"生成成长"),3))*(VLOOKUP($B$5,标准坦克设计!$B$14:$K$20,9)/30))</f>
        <v>8.0934689759987997</v>
      </c>
      <c r="AY121" s="173">
        <f ca="1">(VLOOKUP(AY$72,INDIRECT($C$5&amp;"生成成长"),2))/((VLOOKUP($B121,INDIRECT($B$5&amp;"生成成长"),4))/(VLOOKUP(AY$72,INDIRECT($C$5&amp;"生成成长"),5))*(VLOOKUP($B$5,标准坦克设计!$B$24:$U$30,MATCH("对"&amp;LEFT($C$5,2)&amp;"输出",标准坦克设计!$B$23:$U$23,0)))*(VLOOKUP($B121,INDIRECT($B$5&amp;"生成成长"),3))*(VLOOKUP($B$5,标准坦克设计!$B$14:$K$20,9)/30))</f>
        <v>9.0887006255312865</v>
      </c>
      <c r="AZ121" s="173">
        <f ca="1">(VLOOKUP(AZ$72,INDIRECT($C$5&amp;"生成成长"),2))/((VLOOKUP($B121,INDIRECT($B$5&amp;"生成成长"),4))/(VLOOKUP(AZ$72,INDIRECT($C$5&amp;"生成成长"),5))*(VLOOKUP($B$5,标准坦克设计!$B$24:$U$30,MATCH("对"&amp;LEFT($C$5,2)&amp;"输出",标准坦克设计!$B$23:$U$23,0)))*(VLOOKUP($B121,INDIRECT($B$5&amp;"生成成长"),3))*(VLOOKUP($B$5,标准坦克设计!$B$14:$K$20,9)/30))</f>
        <v>10.141626863442468</v>
      </c>
      <c r="BA121" s="173">
        <f ca="1">(VLOOKUP(BA$72,INDIRECT($C$5&amp;"生成成长"),2))/((VLOOKUP($B121,INDIRECT($B$5&amp;"生成成长"),4))/(VLOOKUP(BA$72,INDIRECT($C$5&amp;"生成成长"),5))*(VLOOKUP($B$5,标准坦克设计!$B$24:$U$30,MATCH("对"&amp;LEFT($C$5,2)&amp;"输出",标准坦克设计!$B$23:$U$23,0)))*(VLOOKUP($B121,INDIRECT($B$5&amp;"生成成长"),3))*(VLOOKUP($B$5,标准坦克设计!$B$14:$K$20,9)/30))</f>
        <v>11.252247689732346</v>
      </c>
      <c r="BB121" s="173">
        <f ca="1">(VLOOKUP(BB$72,INDIRECT($C$5&amp;"生成成长"),2))/((VLOOKUP($B121,INDIRECT($B$5&amp;"生成成长"),4))/(VLOOKUP(BB$72,INDIRECT($C$5&amp;"生成成长"),5))*(VLOOKUP($B$5,标准坦克设计!$B$24:$U$30,MATCH("对"&amp;LEFT($C$5,2)&amp;"输出",标准坦克设计!$B$23:$U$23,0)))*(VLOOKUP($B121,INDIRECT($B$5&amp;"生成成长"),3))*(VLOOKUP($B$5,标准坦克设计!$B$14:$K$20,9)/30))</f>
        <v>12.420563104400919</v>
      </c>
      <c r="BC121" s="173">
        <f ca="1">(VLOOKUP(BC$72,INDIRECT($C$5&amp;"生成成长"),2))/((VLOOKUP($B121,INDIRECT($B$5&amp;"生成成长"),4))/(VLOOKUP(BC$72,INDIRECT($C$5&amp;"生成成长"),5))*(VLOOKUP($B$5,标准坦克设计!$B$24:$U$30,MATCH("对"&amp;LEFT($C$5,2)&amp;"输出",标准坦克设计!$B$23:$U$23,0)))*(VLOOKUP($B121,INDIRECT($B$5&amp;"生成成长"),3))*(VLOOKUP($B$5,标准坦克设计!$B$14:$K$20,9)/30))</f>
        <v>13.646573107448187</v>
      </c>
      <c r="BD121" s="173">
        <f ca="1">(VLOOKUP(BD$72,INDIRECT($C$5&amp;"生成成长"),2))/((VLOOKUP($B121,INDIRECT($B$5&amp;"生成成长"),4))/(VLOOKUP(BD$72,INDIRECT($C$5&amp;"生成成长"),5))*(VLOOKUP($B$5,标准坦克设计!$B$24:$U$30,MATCH("对"&amp;LEFT($C$5,2)&amp;"输出",标准坦克设计!$B$23:$U$23,0)))*(VLOOKUP($B121,INDIRECT($B$5&amp;"生成成长"),3))*(VLOOKUP($B$5,标准坦克设计!$B$14:$K$20,9)/30))</f>
        <v>15.094797423547769</v>
      </c>
      <c r="BE121" s="173">
        <f ca="1">(VLOOKUP(BE$72,INDIRECT($C$5&amp;"生成成长"),2))/((VLOOKUP($B121,INDIRECT($B$5&amp;"生成成长"),4))/(VLOOKUP(BE$72,INDIRECT($C$5&amp;"生成成长"),5))*(VLOOKUP($B$5,标准坦克设计!$B$24:$U$30,MATCH("对"&amp;LEFT($C$5,2)&amp;"输出",标准坦克设计!$B$23:$U$23,0)))*(VLOOKUP($B121,INDIRECT($B$5&amp;"生成成长"),3))*(VLOOKUP($B$5,标准坦克设计!$B$14:$K$20,9)/30))</f>
        <v>16.616041453064138</v>
      </c>
      <c r="BF121" s="173">
        <f ca="1">(VLOOKUP(BF$72,INDIRECT($C$5&amp;"生成成长"),2))/((VLOOKUP($B121,INDIRECT($B$5&amp;"生成成长"),4))/(VLOOKUP(BF$72,INDIRECT($C$5&amp;"生成成长"),5))*(VLOOKUP($B$5,标准坦克设计!$B$24:$U$30,MATCH("对"&amp;LEFT($C$5,2)&amp;"输出",标准坦克设计!$B$23:$U$23,0)))*(VLOOKUP($B121,INDIRECT($B$5&amp;"生成成长"),3))*(VLOOKUP($B$5,标准坦克设计!$B$14:$K$20,9)/30))</f>
        <v>18.210305195997297</v>
      </c>
      <c r="BG121" s="173">
        <f ca="1">(VLOOKUP(BG$72,INDIRECT($C$5&amp;"生成成长"),2))/((VLOOKUP($B121,INDIRECT($B$5&amp;"生成成长"),4))/(VLOOKUP(BG$72,INDIRECT($C$5&amp;"生成成长"),5))*(VLOOKUP($B$5,标准坦克设计!$B$24:$U$30,MATCH("对"&amp;LEFT($C$5,2)&amp;"输出",标准坦克设计!$B$23:$U$23,0)))*(VLOOKUP($B121,INDIRECT($B$5&amp;"生成成长"),3))*(VLOOKUP($B$5,标准坦克设计!$B$14:$K$20,9)/30))</f>
        <v>19.877588652347239</v>
      </c>
      <c r="BH121" s="173">
        <f ca="1">(VLOOKUP(BH$72,INDIRECT($C$5&amp;"生成成长"),2))/((VLOOKUP($B121,INDIRECT($B$5&amp;"生成成长"),4))/(VLOOKUP(BH$72,INDIRECT($C$5&amp;"生成成长"),5))*(VLOOKUP($B$5,标准坦克设计!$B$24:$U$30,MATCH("对"&amp;LEFT($C$5,2)&amp;"输出",标准坦克设计!$B$23:$U$23,0)))*(VLOOKUP($B121,INDIRECT($B$5&amp;"生成成长"),3))*(VLOOKUP($B$5,标准坦克设计!$B$14:$K$20,9)/30))</f>
        <v>9.6079519209395396</v>
      </c>
      <c r="BI121" s="173">
        <f ca="1">(VLOOKUP(BI$72,INDIRECT($C$5&amp;"生成成长"),2))/((VLOOKUP($B121,INDIRECT($B$5&amp;"生成成长"),4))/(VLOOKUP(BI$72,INDIRECT($C$5&amp;"生成成长"),5))*(VLOOKUP($B$5,标准坦克设计!$B$24:$U$30,MATCH("对"&amp;LEFT($C$5,2)&amp;"输出",标准坦克设计!$B$23:$U$23,0)))*(VLOOKUP($B121,INDIRECT($B$5&amp;"生成成长"),3))*(VLOOKUP($B$5,标准坦克设计!$B$14:$K$20,9)/30))</f>
        <v>10.829003795298016</v>
      </c>
      <c r="BJ121" s="173">
        <f ca="1">(VLOOKUP(BJ$72,INDIRECT($C$5&amp;"生成成长"),2))/((VLOOKUP($B121,INDIRECT($B$5&amp;"生成成长"),4))/(VLOOKUP(BJ$72,INDIRECT($C$5&amp;"生成成长"),5))*(VLOOKUP($B$5,标准坦克设计!$B$24:$U$30,MATCH("对"&amp;LEFT($C$5,2)&amp;"输出",标准坦克设计!$B$23:$U$23,0)))*(VLOOKUP($B121,INDIRECT($B$5&amp;"生成成长"),3))*(VLOOKUP($B$5,标准坦克设计!$B$14:$K$20,9)/30))</f>
        <v>12.123075383073273</v>
      </c>
      <c r="BK121" s="173">
        <f ca="1">(VLOOKUP(BK$72,INDIRECT($C$5&amp;"生成成长"),2))/((VLOOKUP($B121,INDIRECT($B$5&amp;"生成成长"),4))/(VLOOKUP(BK$72,INDIRECT($C$5&amp;"生成成长"),5))*(VLOOKUP($B$5,标准坦克设计!$B$24:$U$30,MATCH("对"&amp;LEFT($C$5,2)&amp;"输出",标准坦克设计!$B$23:$U$23,0)))*(VLOOKUP($B121,INDIRECT($B$5&amp;"生成成长"),3))*(VLOOKUP($B$5,标准坦克设计!$B$14:$K$20,9)/30))</f>
        <v>13.490166684265315</v>
      </c>
      <c r="BL121" s="173">
        <f ca="1">(VLOOKUP(BL$72,INDIRECT($C$5&amp;"生成成长"),2))/((VLOOKUP($B121,INDIRECT($B$5&amp;"生成成长"),4))/(VLOOKUP(BL$72,INDIRECT($C$5&amp;"生成成长"),5))*(VLOOKUP($B$5,标准坦克设计!$B$24:$U$30,MATCH("对"&amp;LEFT($C$5,2)&amp;"输出",标准坦克设计!$B$23:$U$23,0)))*(VLOOKUP($B121,INDIRECT($B$5&amp;"生成成长"),3))*(VLOOKUP($B$5,标准坦克设计!$B$14:$K$20,9)/30))</f>
        <v>14.930277698874148</v>
      </c>
      <c r="BM121" s="173">
        <f ca="1">(VLOOKUP(BM$72,INDIRECT($C$5&amp;"生成成长"),2))/((VLOOKUP($B121,INDIRECT($B$5&amp;"生成成长"),4))/(VLOOKUP(BM$72,INDIRECT($C$5&amp;"生成成长"),5))*(VLOOKUP($B$5,标准坦克设计!$B$24:$U$30,MATCH("对"&amp;LEFT($C$5,2)&amp;"输出",标准坦克设计!$B$23:$U$23,0)))*(VLOOKUP($B121,INDIRECT($B$5&amp;"生成成长"),3))*(VLOOKUP($B$5,标准坦克设计!$B$14:$K$20,9)/30))</f>
        <v>16.443408426899765</v>
      </c>
      <c r="BN121" s="173">
        <f ca="1">(VLOOKUP(BN$72,INDIRECT($C$5&amp;"生成成长"),2))/((VLOOKUP($B121,INDIRECT($B$5&amp;"生成成长"),4))/(VLOOKUP(BN$72,INDIRECT($C$5&amp;"生成成长"),5))*(VLOOKUP($B$5,标准坦克设计!$B$24:$U$30,MATCH("对"&amp;LEFT($C$5,2)&amp;"输出",标准坦克设计!$B$23:$U$23,0)))*(VLOOKUP($B121,INDIRECT($B$5&amp;"生成成长"),3))*(VLOOKUP($B$5,标准坦克设计!$B$14:$K$20,9)/30))</f>
        <v>18.029558868342168</v>
      </c>
      <c r="BO121" s="173">
        <f ca="1">(VLOOKUP(BO$72,INDIRECT($C$5&amp;"生成成长"),2))/((VLOOKUP($B121,INDIRECT($B$5&amp;"生成成长"),4))/(VLOOKUP(BO$72,INDIRECT($C$5&amp;"生成成长"),5))*(VLOOKUP($B$5,标准坦克设计!$B$24:$U$30,MATCH("对"&amp;LEFT($C$5,2)&amp;"输出",标准坦克设计!$B$23:$U$23,0)))*(VLOOKUP($B121,INDIRECT($B$5&amp;"生成成长"),3))*(VLOOKUP($B$5,标准坦克设计!$B$14:$K$20,9)/30))</f>
        <v>19.688729023201354</v>
      </c>
      <c r="BP121" s="173">
        <f ca="1">(VLOOKUP(BP$72,INDIRECT($C$5&amp;"生成成长"),2))/((VLOOKUP($B121,INDIRECT($B$5&amp;"生成成长"),4))/(VLOOKUP(BP$72,INDIRECT($C$5&amp;"生成成长"),5))*(VLOOKUP($B$5,标准坦克设计!$B$24:$U$30,MATCH("对"&amp;LEFT($C$5,2)&amp;"输出",标准坦克设计!$B$23:$U$23,0)))*(VLOOKUP($B121,INDIRECT($B$5&amp;"生成成长"),3))*(VLOOKUP($B$5,标准坦克设计!$B$14:$K$20,9)/30))</f>
        <v>21.420918891477328</v>
      </c>
      <c r="BQ121" s="173">
        <f ca="1">(VLOOKUP(BQ$72,INDIRECT($C$5&amp;"生成成长"),2))/((VLOOKUP($B121,INDIRECT($B$5&amp;"生成成长"),4))/(VLOOKUP(BQ$72,INDIRECT($C$5&amp;"生成成长"),5))*(VLOOKUP($B$5,标准坦克设计!$B$24:$U$30,MATCH("对"&amp;LEFT($C$5,2)&amp;"输出",标准坦克设计!$B$23:$U$23,0)))*(VLOOKUP($B121,INDIRECT($B$5&amp;"生成成长"),3))*(VLOOKUP($B$5,标准坦克设计!$B$14:$K$20,9)/30))</f>
        <v>23.226128473170089</v>
      </c>
      <c r="BR121" s="173">
        <f ca="1">(VLOOKUP(BR$72,INDIRECT($C$5&amp;"生成成长"),2))/((VLOOKUP($B121,INDIRECT($B$5&amp;"生成成长"),4))/(VLOOKUP(BR$72,INDIRECT($C$5&amp;"生成成长"),5))*(VLOOKUP($B$5,标准坦克设计!$B$24:$U$30,MATCH("对"&amp;LEFT($C$5,2)&amp;"输出",标准坦克设计!$B$23:$U$23,0)))*(VLOOKUP($B121,INDIRECT($B$5&amp;"生成成长"),3))*(VLOOKUP($B$5,标准坦克设计!$B$14:$K$20,9)/30))</f>
        <v>25.317557301897782</v>
      </c>
      <c r="BS121" s="173">
        <f ca="1">(VLOOKUP(BS$72,INDIRECT($C$5&amp;"生成成长"),2))/((VLOOKUP($B121,INDIRECT($B$5&amp;"生成成长"),4))/(VLOOKUP(BS$72,INDIRECT($C$5&amp;"生成成长"),5))*(VLOOKUP($B$5,标准坦克设计!$B$24:$U$30,MATCH("对"&amp;LEFT($C$5,2)&amp;"输出",标准坦克设计!$B$23:$U$23,0)))*(VLOOKUP($B121,INDIRECT($B$5&amp;"生成成长"),3))*(VLOOKUP($B$5,标准坦克设计!$B$14:$K$20,9)/30))</f>
        <v>27.499133924967186</v>
      </c>
      <c r="BT121" s="173">
        <f ca="1">(VLOOKUP(BT$72,INDIRECT($C$5&amp;"生成成长"),2))/((VLOOKUP($B121,INDIRECT($B$5&amp;"生成成长"),4))/(VLOOKUP(BT$72,INDIRECT($C$5&amp;"生成成长"),5))*(VLOOKUP($B$5,标准坦克设计!$B$24:$U$30,MATCH("对"&amp;LEFT($C$5,2)&amp;"输出",标准坦克设计!$B$23:$U$23,0)))*(VLOOKUP($B121,INDIRECT($B$5&amp;"生成成长"),3))*(VLOOKUP($B$5,标准坦克设计!$B$14:$K$20,9)/30))</f>
        <v>29.770858342378293</v>
      </c>
      <c r="BU121" s="173">
        <f ca="1">(VLOOKUP(BU$72,INDIRECT($C$5&amp;"生成成长"),2))/((VLOOKUP($B121,INDIRECT($B$5&amp;"生成成长"),4))/(VLOOKUP(BU$72,INDIRECT($C$5&amp;"生成成长"),5))*(VLOOKUP($B$5,标准坦克设计!$B$24:$U$30,MATCH("对"&amp;LEFT($C$5,2)&amp;"输出",标准坦克设计!$B$23:$U$23,0)))*(VLOOKUP($B121,INDIRECT($B$5&amp;"生成成长"),3))*(VLOOKUP($B$5,标准坦克设计!$B$14:$K$20,9)/30))</f>
        <v>32.132730554131115</v>
      </c>
      <c r="BV121" s="173">
        <f ca="1">(VLOOKUP(BV$72,INDIRECT($C$5&amp;"生成成长"),2))/((VLOOKUP($B121,INDIRECT($B$5&amp;"生成成长"),4))/(VLOOKUP(BV$72,INDIRECT($C$5&amp;"生成成长"),5))*(VLOOKUP($B$5,标准坦克设计!$B$24:$U$30,MATCH("对"&amp;LEFT($C$5,2)&amp;"输出",标准坦克设计!$B$23:$U$23,0)))*(VLOOKUP($B121,INDIRECT($B$5&amp;"生成成长"),3))*(VLOOKUP($B$5,标准坦克设计!$B$14:$K$20,9)/30))</f>
        <v>34.584750560225658</v>
      </c>
      <c r="BW121" s="173">
        <f ca="1">(VLOOKUP(BW$72,INDIRECT($C$5&amp;"生成成长"),2))/((VLOOKUP($B121,INDIRECT($B$5&amp;"生成成长"),4))/(VLOOKUP(BW$72,INDIRECT($C$5&amp;"生成成长"),5))*(VLOOKUP($B$5,标准坦克设计!$B$24:$U$30,MATCH("对"&amp;LEFT($C$5,2)&amp;"输出",标准坦克设计!$B$23:$U$23,0)))*(VLOOKUP($B121,INDIRECT($B$5&amp;"生成成长"),3))*(VLOOKUP($B$5,标准坦克设计!$B$14:$K$20,9)/30))</f>
        <v>15.761891101676429</v>
      </c>
      <c r="BX121" s="173">
        <f ca="1">(VLOOKUP(BX$72,INDIRECT($C$5&amp;"生成成长"),2))/((VLOOKUP($B121,INDIRECT($B$5&amp;"生成成长"),4))/(VLOOKUP(BX$72,INDIRECT($C$5&amp;"生成成长"),5))*(VLOOKUP($B$5,标准坦克设计!$B$24:$U$30,MATCH("对"&amp;LEFT($C$5,2)&amp;"输出",标准坦克设计!$B$23:$U$23,0)))*(VLOOKUP($B121,INDIRECT($B$5&amp;"生成成长"),3))*(VLOOKUP($B$5,标准坦克设计!$B$14:$K$20,9)/30))</f>
        <v>17.492728753037277</v>
      </c>
      <c r="BY121" s="173">
        <f ca="1">(VLOOKUP(BY$72,INDIRECT($C$5&amp;"生成成长"),2))/((VLOOKUP($B121,INDIRECT($B$5&amp;"生成成长"),4))/(VLOOKUP(BY$72,INDIRECT($C$5&amp;"生成成长"),5))*(VLOOKUP($B$5,标准坦克设计!$B$24:$U$30,MATCH("对"&amp;LEFT($C$5,2)&amp;"输出",标准坦克设计!$B$23:$U$23,0)))*(VLOOKUP($B121,INDIRECT($B$5&amp;"生成成长"),3))*(VLOOKUP($B$5,标准坦克设计!$B$14:$K$20,9)/30))</f>
        <v>19.313714198739834</v>
      </c>
      <c r="BZ121" s="173">
        <f ca="1">(VLOOKUP(BZ$72,INDIRECT($C$5&amp;"生成成长"),2))/((VLOOKUP($B121,INDIRECT($B$5&amp;"生成成长"),4))/(VLOOKUP(BZ$72,INDIRECT($C$5&amp;"生成成长"),5))*(VLOOKUP($B$5,标准坦克设计!$B$24:$U$30,MATCH("对"&amp;LEFT($C$5,2)&amp;"输出",标准坦克设计!$B$23:$U$23,0)))*(VLOOKUP($B121,INDIRECT($B$5&amp;"生成成长"),3))*(VLOOKUP($B$5,标准坦克设计!$B$14:$K$20,9)/30))</f>
        <v>21.224847438784106</v>
      </c>
      <c r="CA121" s="173">
        <f ca="1">(VLOOKUP(CA$72,INDIRECT($C$5&amp;"生成成长"),2))/((VLOOKUP($B121,INDIRECT($B$5&amp;"生成成长"),4))/(VLOOKUP(CA$72,INDIRECT($C$5&amp;"生成成长"),5))*(VLOOKUP($B$5,标准坦克设计!$B$24:$U$30,MATCH("对"&amp;LEFT($C$5,2)&amp;"输出",标准坦克设计!$B$23:$U$23,0)))*(VLOOKUP($B121,INDIRECT($B$5&amp;"生成成长"),3))*(VLOOKUP($B$5,标准坦克设计!$B$14:$K$20,9)/30))</f>
        <v>23.226128473170089</v>
      </c>
      <c r="CB121" s="173">
        <f ca="1">(VLOOKUP(CB$72,INDIRECT($C$5&amp;"生成成长"),2))/((VLOOKUP($B121,INDIRECT($B$5&amp;"生成成长"),4))/(VLOOKUP(CB$72,INDIRECT($C$5&amp;"生成成长"),5))*(VLOOKUP($B$5,标准坦克设计!$B$24:$U$30,MATCH("对"&amp;LEFT($C$5,2)&amp;"输出",标准坦克设计!$B$23:$U$23,0)))*(VLOOKUP($B121,INDIRECT($B$5&amp;"生成成长"),3))*(VLOOKUP($B$5,标准坦克设计!$B$14:$K$20,9)/30))</f>
        <v>25.317557301897782</v>
      </c>
      <c r="CC121" s="173">
        <f ca="1">(VLOOKUP(CC$72,INDIRECT($C$5&amp;"生成成长"),2))/((VLOOKUP($B121,INDIRECT($B$5&amp;"生成成长"),4))/(VLOOKUP(CC$72,INDIRECT($C$5&amp;"生成成长"),5))*(VLOOKUP($B$5,标准坦克设计!$B$24:$U$30,MATCH("对"&amp;LEFT($C$5,2)&amp;"输出",标准坦克设计!$B$23:$U$23,0)))*(VLOOKUP($B121,INDIRECT($B$5&amp;"生成成长"),3))*(VLOOKUP($B$5,标准坦克设计!$B$14:$K$20,9)/30))</f>
        <v>27.499133924967186</v>
      </c>
      <c r="CD121" s="173">
        <f ca="1">(VLOOKUP(CD$72,INDIRECT($C$5&amp;"生成成长"),2))/((VLOOKUP($B121,INDIRECT($B$5&amp;"生成成长"),4))/(VLOOKUP(CD$72,INDIRECT($C$5&amp;"生成成长"),5))*(VLOOKUP($B$5,标准坦克设计!$B$24:$U$30,MATCH("对"&amp;LEFT($C$5,2)&amp;"输出",标准坦克设计!$B$23:$U$23,0)))*(VLOOKUP($B121,INDIRECT($B$5&amp;"生成成长"),3))*(VLOOKUP($B$5,标准坦克设计!$B$14:$K$20,9)/30))</f>
        <v>29.770858342378293</v>
      </c>
      <c r="CE121" s="173">
        <f ca="1">(VLOOKUP(CE$72,INDIRECT($C$5&amp;"生成成长"),2))/((VLOOKUP($B121,INDIRECT($B$5&amp;"生成成长"),4))/(VLOOKUP(CE$72,INDIRECT($C$5&amp;"生成成长"),5))*(VLOOKUP($B$5,标准坦克设计!$B$24:$U$30,MATCH("对"&amp;LEFT($C$5,2)&amp;"输出",标准坦克设计!$B$23:$U$23,0)))*(VLOOKUP($B121,INDIRECT($B$5&amp;"生成成长"),3))*(VLOOKUP($B$5,标准坦克设计!$B$14:$K$20,9)/30))</f>
        <v>32.132730554131115</v>
      </c>
      <c r="CF121" s="173">
        <f ca="1">(VLOOKUP(CF$72,INDIRECT($C$5&amp;"生成成长"),2))/((VLOOKUP($B121,INDIRECT($B$5&amp;"生成成长"),4))/(VLOOKUP(CF$72,INDIRECT($C$5&amp;"生成成长"),5))*(VLOOKUP($B$5,标准坦克设计!$B$24:$U$30,MATCH("对"&amp;LEFT($C$5,2)&amp;"输出",标准坦克设计!$B$23:$U$23,0)))*(VLOOKUP($B121,INDIRECT($B$5&amp;"生成成长"),3))*(VLOOKUP($B$5,标准坦克设计!$B$14:$K$20,9)/30))</f>
        <v>34.584750560225658</v>
      </c>
      <c r="CG121" s="173">
        <f ca="1">(VLOOKUP(CG$72,INDIRECT($C$5&amp;"生成成长"),2))/((VLOOKUP($B121,INDIRECT($B$5&amp;"生成成长"),4))/(VLOOKUP(CG$72,INDIRECT($C$5&amp;"生成成长"),5))*(VLOOKUP($B$5,标准坦克设计!$B$24:$U$30,MATCH("对"&amp;LEFT($C$5,2)&amp;"输出",标准坦克设计!$B$23:$U$23,0)))*(VLOOKUP($B121,INDIRECT($B$5&amp;"生成成长"),3))*(VLOOKUP($B$5,标准坦克设计!$B$14:$K$20,9)/30))</f>
        <v>37.126918360661897</v>
      </c>
      <c r="CH121" s="173">
        <f ca="1">(VLOOKUP(CH$72,INDIRECT($C$5&amp;"生成成长"),2))/((VLOOKUP($B121,INDIRECT($B$5&amp;"生成成长"),4))/(VLOOKUP(CH$72,INDIRECT($C$5&amp;"生成成长"),5))*(VLOOKUP($B$5,标准坦克设计!$B$24:$U$30,MATCH("对"&amp;LEFT($C$5,2)&amp;"输出",标准坦克设计!$B$23:$U$23,0)))*(VLOOKUP($B121,INDIRECT($B$5&amp;"生成成长"),3))*(VLOOKUP($B$5,标准坦克设计!$B$14:$K$20,9)/30))</f>
        <v>39.759233955439854</v>
      </c>
      <c r="CI121" s="173">
        <f ca="1">(VLOOKUP(CI$72,INDIRECT($C$5&amp;"生成成长"),2))/((VLOOKUP($B121,INDIRECT($B$5&amp;"生成成长"),4))/(VLOOKUP(CI$72,INDIRECT($C$5&amp;"生成成长"),5))*(VLOOKUP($B$5,标准坦克设计!$B$24:$U$30,MATCH("对"&amp;LEFT($C$5,2)&amp;"输出",标准坦克设计!$B$23:$U$23,0)))*(VLOOKUP($B121,INDIRECT($B$5&amp;"生成成长"),3))*(VLOOKUP($B$5,标准坦克设计!$B$14:$K$20,9)/30))</f>
        <v>42.758901812160282</v>
      </c>
      <c r="CJ121" s="173">
        <f ca="1">(VLOOKUP(CJ$72,INDIRECT($C$5&amp;"生成成长"),2))/((VLOOKUP($B121,INDIRECT($B$5&amp;"生成成长"),4))/(VLOOKUP(CJ$72,INDIRECT($C$5&amp;"生成成长"),5))*(VLOOKUP($B$5,标准坦克设计!$B$24:$U$30,MATCH("对"&amp;LEFT($C$5,2)&amp;"输出",标准坦克设计!$B$23:$U$23,0)))*(VLOOKUP($B121,INDIRECT($B$5&amp;"生成成长"),3))*(VLOOKUP($B$5,标准坦克设计!$B$14:$K$20,9)/30))</f>
        <v>45.867648500034178</v>
      </c>
      <c r="CK121" s="173">
        <f ca="1">(VLOOKUP(CK$72,INDIRECT($C$5&amp;"生成成长"),2))/((VLOOKUP($B121,INDIRECT($B$5&amp;"生成成长"),4))/(VLOOKUP(CK$72,INDIRECT($C$5&amp;"生成成长"),5))*(VLOOKUP($B$5,标准坦克设计!$B$24:$U$30,MATCH("对"&amp;LEFT($C$5,2)&amp;"输出",标准坦克设计!$B$23:$U$23,0)))*(VLOOKUP($B121,INDIRECT($B$5&amp;"生成成长"),3))*(VLOOKUP($B$5,标准坦克设计!$B$14:$K$20,9)/30))</f>
        <v>49.085474019061557</v>
      </c>
      <c r="CL121" s="173">
        <f ca="1">(VLOOKUP(CL$72,INDIRECT($C$5&amp;"生成成长"),2))/((VLOOKUP($B121,INDIRECT($B$5&amp;"生成成长"),4))/(VLOOKUP(CL$72,INDIRECT($C$5&amp;"生成成长"),5))*(VLOOKUP($B$5,标准坦克设计!$B$24:$U$30,MATCH("对"&amp;LEFT($C$5,2)&amp;"输出",标准坦克设计!$B$23:$U$23,0)))*(VLOOKUP($B121,INDIRECT($B$5&amp;"生成成长"),3))*(VLOOKUP($B$5,标准坦克设计!$B$14:$K$20,9)/30))</f>
        <v>52.412378369242383</v>
      </c>
      <c r="CM121" s="173">
        <f ca="1">(VLOOKUP(CM$72,INDIRECT($C$5&amp;"生成成长"),2))/((VLOOKUP($B121,INDIRECT($B$5&amp;"生成成长"),4))/(VLOOKUP(CM$72,INDIRECT($C$5&amp;"生成成长"),5))*(VLOOKUP($B$5,标准坦克设计!$B$24:$U$30,MATCH("对"&amp;LEFT($C$5,2)&amp;"输出",标准坦克设计!$B$23:$U$23,0)))*(VLOOKUP($B121,INDIRECT($B$5&amp;"生成成长"),3))*(VLOOKUP($B$5,标准坦克设计!$B$14:$K$20,9)/30))</f>
        <v>55.848361550576691</v>
      </c>
      <c r="CN121" s="173">
        <f ca="1">(VLOOKUP(CN$72,INDIRECT($C$5&amp;"生成成长"),2))/((VLOOKUP($B121,INDIRECT($B$5&amp;"生成成长"),4))/(VLOOKUP(CN$72,INDIRECT($C$5&amp;"生成成长"),5))*(VLOOKUP($B$5,标准坦克设计!$B$24:$U$30,MATCH("对"&amp;LEFT($C$5,2)&amp;"输出",标准坦克设计!$B$23:$U$23,0)))*(VLOOKUP($B121,INDIRECT($B$5&amp;"生成成长"),3))*(VLOOKUP($B$5,标准坦克设计!$B$14:$K$20,9)/30))</f>
        <v>59.393423563064474</v>
      </c>
      <c r="CO121" s="173">
        <f ca="1">(VLOOKUP(CO$72,INDIRECT($C$5&amp;"生成成长"),2))/((VLOOKUP($B121,INDIRECT($B$5&amp;"生成成长"),4))/(VLOOKUP(CO$72,INDIRECT($C$5&amp;"生成成长"),5))*(VLOOKUP($B$5,标准坦克设计!$B$24:$U$30,MATCH("对"&amp;LEFT($C$5,2)&amp;"输出",标准坦克设计!$B$23:$U$23,0)))*(VLOOKUP($B121,INDIRECT($B$5&amp;"生成成长"),3))*(VLOOKUP($B$5,标准坦克设计!$B$14:$K$20,9)/30))</f>
        <v>26.615685540418415</v>
      </c>
      <c r="CP121" s="173">
        <f ca="1">(VLOOKUP(CP$72,INDIRECT($C$5&amp;"生成成长"),2))/((VLOOKUP($B121,INDIRECT($B$5&amp;"生成成长"),4))/(VLOOKUP(CP$72,INDIRECT($C$5&amp;"生成成长"),5))*(VLOOKUP($B$5,标准坦克设计!$B$24:$U$30,MATCH("对"&amp;LEFT($C$5,2)&amp;"输出",标准坦克设计!$B$23:$U$23,0)))*(VLOOKUP($B121,INDIRECT($B$5&amp;"生成成长"),3))*(VLOOKUP($B$5,标准坦克设计!$B$14:$K$20,9)/30))</f>
        <v>29.079875498749075</v>
      </c>
      <c r="CQ121" s="173">
        <f ca="1">(VLOOKUP(CQ$72,INDIRECT($C$5&amp;"生成成长"),2))/((VLOOKUP($B121,INDIRECT($B$5&amp;"生成成长"),4))/(VLOOKUP(CQ$72,INDIRECT($C$5&amp;"生成成长"),5))*(VLOOKUP($B$5,标准坦克设计!$B$24:$U$30,MATCH("对"&amp;LEFT($C$5,2)&amp;"输出",标准坦克设计!$B$23:$U$23,0)))*(VLOOKUP($B121,INDIRECT($B$5&amp;"生成成长"),3))*(VLOOKUP($B$5,标准坦克设计!$B$14:$K$20,9)/30))</f>
        <v>31.653144288233218</v>
      </c>
      <c r="CR121" s="173">
        <f ca="1">(VLOOKUP(CR$72,INDIRECT($C$5&amp;"生成成长"),2))/((VLOOKUP($B121,INDIRECT($B$5&amp;"生成成长"),4))/(VLOOKUP(CR$72,INDIRECT($C$5&amp;"生成成长"),5))*(VLOOKUP($B$5,标准坦克设计!$B$24:$U$30,MATCH("对"&amp;LEFT($C$5,2)&amp;"输出",标准坦克设计!$B$23:$U$23,0)))*(VLOOKUP($B121,INDIRECT($B$5&amp;"生成成长"),3))*(VLOOKUP($B$5,标准坦克设计!$B$14:$K$20,9)/30))</f>
        <v>34.335491908870821</v>
      </c>
      <c r="CS121" s="173">
        <f ca="1">(VLOOKUP(CS$72,INDIRECT($C$5&amp;"生成成长"),2))/((VLOOKUP($B121,INDIRECT($B$5&amp;"生成成长"),4))/(VLOOKUP(CS$72,INDIRECT($C$5&amp;"生成成长"),5))*(VLOOKUP($B$5,标准坦克设计!$B$24:$U$30,MATCH("对"&amp;LEFT($C$5,2)&amp;"输出",标准坦克设计!$B$23:$U$23,0)))*(VLOOKUP($B121,INDIRECT($B$5&amp;"生成成长"),3))*(VLOOKUP($B$5,标准坦克设计!$B$14:$K$20,9)/30))</f>
        <v>37.126918360661897</v>
      </c>
      <c r="CT121" s="173">
        <f ca="1">(VLOOKUP(CT$72,INDIRECT($C$5&amp;"生成成长"),2))/((VLOOKUP($B121,INDIRECT($B$5&amp;"生成成长"),4))/(VLOOKUP(CT$72,INDIRECT($C$5&amp;"生成成长"),5))*(VLOOKUP($B$5,标准坦克设计!$B$24:$U$30,MATCH("对"&amp;LEFT($C$5,2)&amp;"输出",标准坦克设计!$B$23:$U$23,0)))*(VLOOKUP($B121,INDIRECT($B$5&amp;"生成成长"),3))*(VLOOKUP($B$5,标准坦克设计!$B$14:$K$20,9)/30))</f>
        <v>40.027423643606447</v>
      </c>
      <c r="CU121" s="173">
        <f ca="1">(VLOOKUP(CU$72,INDIRECT($C$5&amp;"生成成长"),2))/((VLOOKUP($B121,INDIRECT($B$5&amp;"生成成长"),4))/(VLOOKUP(CU$72,INDIRECT($C$5&amp;"生成成长"),5))*(VLOOKUP($B$5,标准坦克设计!$B$24:$U$30,MATCH("对"&amp;LEFT($C$5,2)&amp;"输出",标准坦克设计!$B$23:$U$23,0)))*(VLOOKUP($B121,INDIRECT($B$5&amp;"生成成长"),3))*(VLOOKUP($B$5,标准坦克设计!$B$14:$K$20,9)/30))</f>
        <v>43.037007757704465</v>
      </c>
      <c r="CV121" s="173">
        <f ca="1">(VLOOKUP(CV$72,INDIRECT($C$5&amp;"生成成长"),2))/((VLOOKUP($B121,INDIRECT($B$5&amp;"生成成长"),4))/(VLOOKUP(CV$72,INDIRECT($C$5&amp;"生成成长"),5))*(VLOOKUP($B$5,标准坦克设计!$B$24:$U$30,MATCH("对"&amp;LEFT($C$5,2)&amp;"输出",标准坦克设计!$B$23:$U$23,0)))*(VLOOKUP($B121,INDIRECT($B$5&amp;"生成成长"),3))*(VLOOKUP($B$5,标准坦克设计!$B$14:$K$20,9)/30))</f>
        <v>46.155670702955945</v>
      </c>
      <c r="CW121" s="173">
        <f ca="1">(VLOOKUP(CW$72,INDIRECT($C$5&amp;"生成成长"),2))/((VLOOKUP($B121,INDIRECT($B$5&amp;"生成成长"),4))/(VLOOKUP(CW$72,INDIRECT($C$5&amp;"生成成长"),5))*(VLOOKUP($B$5,标准坦克设计!$B$24:$U$30,MATCH("对"&amp;LEFT($C$5,2)&amp;"输出",标准坦克设计!$B$23:$U$23,0)))*(VLOOKUP($B121,INDIRECT($B$5&amp;"生成成长"),3))*(VLOOKUP($B$5,标准坦克设计!$B$14:$K$20,9)/30))</f>
        <v>49.383412479360899</v>
      </c>
      <c r="CX121" s="173">
        <f ca="1">(VLOOKUP(CX$72,INDIRECT($C$5&amp;"生成成长"),2))/((VLOOKUP($B121,INDIRECT($B$5&amp;"生成成长"),4))/(VLOOKUP(CX$72,INDIRECT($C$5&amp;"生成成长"),5))*(VLOOKUP($B$5,标准坦克设计!$B$24:$U$30,MATCH("对"&amp;LEFT($C$5,2)&amp;"输出",标准坦克设计!$B$23:$U$23,0)))*(VLOOKUP($B121,INDIRECT($B$5&amp;"生成成长"),3))*(VLOOKUP($B$5,标准坦克设计!$B$14:$K$20,9)/30))</f>
        <v>52.720233086919322</v>
      </c>
      <c r="CY121" s="173">
        <f ca="1">(VLOOKUP(CY$72,INDIRECT($C$5&amp;"生成成长"),2))/((VLOOKUP($B121,INDIRECT($B$5&amp;"生成成长"),4))/(VLOOKUP(CY$72,INDIRECT($C$5&amp;"生成成长"),5))*(VLOOKUP($B$5,标准坦克设计!$B$24:$U$30,MATCH("对"&amp;LEFT($C$5,2)&amp;"输出",标准坦克设计!$B$23:$U$23,0)))*(VLOOKUP($B121,INDIRECT($B$5&amp;"生成成长"),3))*(VLOOKUP($B$5,标准坦克设计!$B$14:$K$20,9)/30))</f>
        <v>56.166132525631227</v>
      </c>
      <c r="CZ121" s="173">
        <f ca="1">(VLOOKUP(CZ$72,INDIRECT($C$5&amp;"生成成长"),2))/((VLOOKUP($B121,INDIRECT($B$5&amp;"生成成长"),4))/(VLOOKUP(CZ$72,INDIRECT($C$5&amp;"生成成长"),5))*(VLOOKUP($B$5,标准坦克设计!$B$24:$U$30,MATCH("对"&amp;LEFT($C$5,2)&amp;"输出",标准坦克设计!$B$23:$U$23,0)))*(VLOOKUP($B121,INDIRECT($B$5&amp;"生成成长"),3))*(VLOOKUP($B$5,标准坦克设计!$B$14:$K$20,9)/30))</f>
        <v>59.721110795496593</v>
      </c>
      <c r="DA121" s="173">
        <f ca="1">(VLOOKUP(DA$72,INDIRECT($C$5&amp;"生成成长"),2))/((VLOOKUP($B121,INDIRECT($B$5&amp;"生成成长"),4))/(VLOOKUP(DA$72,INDIRECT($C$5&amp;"生成成长"),5))*(VLOOKUP($B$5,标准坦克设计!$B$24:$U$30,MATCH("对"&amp;LEFT($C$5,2)&amp;"输出",标准坦克设计!$B$23:$U$23,0)))*(VLOOKUP($B121,INDIRECT($B$5&amp;"生成成长"),3))*(VLOOKUP($B$5,标准坦克设计!$B$14:$K$20,9)/30))</f>
        <v>63.385167896515433</v>
      </c>
      <c r="DB121" s="173">
        <f ca="1">(VLOOKUP(DB$72,INDIRECT($C$5&amp;"生成成长"),2))/((VLOOKUP($B121,INDIRECT($B$5&amp;"生成成长"),4))/(VLOOKUP(DB$72,INDIRECT($C$5&amp;"生成成长"),5))*(VLOOKUP($B$5,标准坦克设计!$B$24:$U$30,MATCH("对"&amp;LEFT($C$5,2)&amp;"输出",标准坦克设计!$B$23:$U$23,0)))*(VLOOKUP($B121,INDIRECT($B$5&amp;"生成成长"),3))*(VLOOKUP($B$5,标准坦克设计!$B$14:$K$20,9)/30))</f>
        <v>67.15830382868775</v>
      </c>
      <c r="DC121" s="173">
        <f ca="1">(VLOOKUP(DC$72,INDIRECT($C$5&amp;"生成成长"),2))/((VLOOKUP($B121,INDIRECT($B$5&amp;"生成成长"),4))/(VLOOKUP(DC$72,INDIRECT($C$5&amp;"生成成长"),5))*(VLOOKUP($B$5,标准坦克设计!$B$24:$U$30,MATCH("对"&amp;LEFT($C$5,2)&amp;"输出",标准坦克设计!$B$23:$U$23,0)))*(VLOOKUP($B121,INDIRECT($B$5&amp;"生成成长"),3))*(VLOOKUP($B$5,标准坦克设计!$B$14:$K$20,9)/30))</f>
        <v>71.398856074521817</v>
      </c>
      <c r="DD121" s="173">
        <f ca="1">(VLOOKUP(DD$72,INDIRECT($C$5&amp;"生成成长"),2))/((VLOOKUP($B121,INDIRECT($B$5&amp;"生成成长"),4))/(VLOOKUP(DD$72,INDIRECT($C$5&amp;"生成成长"),5))*(VLOOKUP($B$5,标准坦克设计!$B$24:$U$30,MATCH("对"&amp;LEFT($C$5,2)&amp;"输出",标准坦克设计!$B$23:$U$23,0)))*(VLOOKUP($B121,INDIRECT($B$5&amp;"生成成长"),3))*(VLOOKUP($B$5,标准坦克设计!$B$14:$K$20,9)/30))</f>
        <v>75.769221144207961</v>
      </c>
      <c r="DE121" s="173">
        <f ca="1">(VLOOKUP(DE$72,INDIRECT($C$5&amp;"生成成长"),2))/((VLOOKUP($B121,INDIRECT($B$5&amp;"生成成长"),4))/(VLOOKUP(DE$72,INDIRECT($C$5&amp;"生成成长"),5))*(VLOOKUP($B$5,标准坦克设计!$B$24:$U$30,MATCH("对"&amp;LEFT($C$5,2)&amp;"输出",标准坦克设计!$B$23:$U$23,0)))*(VLOOKUP($B121,INDIRECT($B$5&amp;"生成成长"),3))*(VLOOKUP($B$5,标准坦克设计!$B$14:$K$20,9)/30))</f>
        <v>80.269399037746169</v>
      </c>
      <c r="DF121" s="173">
        <f ca="1">(VLOOKUP(DF$72,INDIRECT($C$5&amp;"生成成长"),2))/((VLOOKUP($B121,INDIRECT($B$5&amp;"生成成长"),4))/(VLOOKUP(DF$72,INDIRECT($C$5&amp;"生成成长"),5))*(VLOOKUP($B$5,标准坦克设计!$B$24:$U$30,MATCH("对"&amp;LEFT($C$5,2)&amp;"输出",标准坦克设计!$B$23:$U$23,0)))*(VLOOKUP($B121,INDIRECT($B$5&amp;"生成成长"),3))*(VLOOKUP($B$5,标准坦克设计!$B$14:$K$20,9)/30))</f>
        <v>84.899389755136426</v>
      </c>
      <c r="DG121" s="173">
        <f ca="1">(VLOOKUP(DG$72,INDIRECT($C$5&amp;"生成成长"),2))/((VLOOKUP($B121,INDIRECT($B$5&amp;"生成成长"),4))/(VLOOKUP(DG$72,INDIRECT($C$5&amp;"生成成长"),5))*(VLOOKUP($B$5,标准坦克设计!$B$24:$U$30,MATCH("对"&amp;LEFT($C$5,2)&amp;"输出",标准坦克设计!$B$23:$U$23,0)))*(VLOOKUP($B121,INDIRECT($B$5&amp;"生成成长"),3))*(VLOOKUP($B$5,标准坦克设计!$B$14:$K$20,9)/30))</f>
        <v>89.65919329637876</v>
      </c>
      <c r="DH121" s="173">
        <f ca="1">(VLOOKUP(DH$72,INDIRECT($C$5&amp;"生成成长"),2))/((VLOOKUP($B121,INDIRECT($B$5&amp;"生成成长"),4))/(VLOOKUP(DH$72,INDIRECT($C$5&amp;"生成成长"),5))*(VLOOKUP($B$5,标准坦克设计!$B$24:$U$30,MATCH("对"&amp;LEFT($C$5,2)&amp;"输出",标准坦克设计!$B$23:$U$23,0)))*(VLOOKUP($B121,INDIRECT($B$5&amp;"生成成长"),3))*(VLOOKUP($B$5,标准坦克设计!$B$14:$K$20,9)/30))</f>
        <v>94.548809661473157</v>
      </c>
      <c r="DI121" s="173">
        <f ca="1">(VLOOKUP(DI$72,INDIRECT($C$5&amp;"生成成长"),2))/((VLOOKUP($B121,INDIRECT($B$5&amp;"生成成长"),4))/(VLOOKUP(DI$72,INDIRECT($C$5&amp;"生成成长"),5))*(VLOOKUP($B$5,标准坦克设计!$B$24:$U$30,MATCH("对"&amp;LEFT($C$5,2)&amp;"输出",标准坦克设计!$B$23:$U$23,0)))*(VLOOKUP($B121,INDIRECT($B$5&amp;"生成成长"),3))*(VLOOKUP($B$5,标准坦克设计!$B$14:$K$20,9)/30))</f>
        <v>99.568238850419618</v>
      </c>
      <c r="DJ121" s="173">
        <f ca="1">(VLOOKUP(DJ$72,INDIRECT($C$5&amp;"生成成长"),2))/((VLOOKUP($B121,INDIRECT($B$5&amp;"生成成长"),4))/(VLOOKUP(DJ$72,INDIRECT($C$5&amp;"生成成长"),5))*(VLOOKUP($B$5,标准坦克设计!$B$24:$U$30,MATCH("对"&amp;LEFT($C$5,2)&amp;"输出",标准坦克设计!$B$23:$U$23,0)))*(VLOOKUP($B121,INDIRECT($B$5&amp;"生成成长"),3))*(VLOOKUP($B$5,标准坦克设计!$B$14:$K$20,9)/30))</f>
        <v>10.006855910901612</v>
      </c>
      <c r="DK121" s="173">
        <f ca="1">(VLOOKUP(DK$72,INDIRECT($C$5&amp;"生成成长"),2))/((VLOOKUP($B121,INDIRECT($B$5&amp;"生成成长"),4))/(VLOOKUP(DK$72,INDIRECT($C$5&amp;"生成成长"),5))*(VLOOKUP($B$5,标准坦克设计!$B$24:$U$30,MATCH("对"&amp;LEFT($C$5,2)&amp;"输出",标准坦克设计!$B$23:$U$23,0)))*(VLOOKUP($B121,INDIRECT($B$5&amp;"生成成长"),3))*(VLOOKUP($B$5,标准坦克设计!$B$14:$K$20,9)/30))</f>
        <v>11.252247689732346</v>
      </c>
      <c r="DL121" s="173">
        <f ca="1">(VLOOKUP(DL$72,INDIRECT($C$5&amp;"生成成长"),2))/((VLOOKUP($B121,INDIRECT($B$5&amp;"生成成长"),4))/(VLOOKUP(DL$72,INDIRECT($C$5&amp;"生成成长"),5))*(VLOOKUP($B$5,标准坦克设计!$B$24:$U$30,MATCH("对"&amp;LEFT($C$5,2)&amp;"输出",标准坦克设计!$B$23:$U$23,0)))*(VLOOKUP($B121,INDIRECT($B$5&amp;"生成成长"),3))*(VLOOKUP($B$5,标准坦克设计!$B$14:$K$20,9)/30))</f>
        <v>12.570659181979867</v>
      </c>
      <c r="DM121" s="173">
        <f ca="1">(VLOOKUP(DM$72,INDIRECT($C$5&amp;"生成成长"),2))/((VLOOKUP($B121,INDIRECT($B$5&amp;"生成成长"),4))/(VLOOKUP(DM$72,INDIRECT($C$5&amp;"生成成长"),5))*(VLOOKUP($B$5,标准坦克设计!$B$24:$U$30,MATCH("对"&amp;LEFT($C$5,2)&amp;"输出",标准坦克设计!$B$23:$U$23,0)))*(VLOOKUP($B121,INDIRECT($B$5&amp;"生成成长"),3))*(VLOOKUP($B$5,标准坦克设计!$B$14:$K$20,9)/30))</f>
        <v>13.962090387644173</v>
      </c>
      <c r="DN121" s="173">
        <f ca="1">(VLOOKUP(DN$72,INDIRECT($C$5&amp;"生成成长"),2))/((VLOOKUP($B121,INDIRECT($B$5&amp;"生成成长"),4))/(VLOOKUP(DN$72,INDIRECT($C$5&amp;"生成成长"),5))*(VLOOKUP($B$5,标准坦克设计!$B$24:$U$30,MATCH("对"&amp;LEFT($C$5,2)&amp;"输出",标准坦克设计!$B$23:$U$23,0)))*(VLOOKUP($B121,INDIRECT($B$5&amp;"生成成长"),3))*(VLOOKUP($B$5,标准坦克设计!$B$14:$K$20,9)/30))</f>
        <v>15.426541306725264</v>
      </c>
      <c r="DO121" s="173">
        <f ca="1">(VLOOKUP(DO$72,INDIRECT($C$5&amp;"生成成长"),2))/((VLOOKUP($B121,INDIRECT($B$5&amp;"生成成长"),4))/(VLOOKUP(DO$72,INDIRECT($C$5&amp;"生成成长"),5))*(VLOOKUP($B$5,标准坦克设计!$B$24:$U$30,MATCH("对"&amp;LEFT($C$5,2)&amp;"输出",标准坦克设计!$B$23:$U$23,0)))*(VLOOKUP($B121,INDIRECT($B$5&amp;"生成成长"),3))*(VLOOKUP($B$5,标准坦克设计!$B$14:$K$20,9)/30))</f>
        <v>16.964011939223145</v>
      </c>
      <c r="DP121" s="173">
        <f ca="1">(VLOOKUP(DP$72,INDIRECT($C$5&amp;"生成成长"),2))/((VLOOKUP($B121,INDIRECT($B$5&amp;"生成成长"),4))/(VLOOKUP(DP$72,INDIRECT($C$5&amp;"生成成长"),5))*(VLOOKUP($B$5,标准坦克设计!$B$24:$U$30,MATCH("对"&amp;LEFT($C$5,2)&amp;"输出",标准坦克设计!$B$23:$U$23,0)))*(VLOOKUP($B121,INDIRECT($B$5&amp;"生成成长"),3))*(VLOOKUP($B$5,标准坦克设计!$B$14:$K$20,9)/30))</f>
        <v>18.574502285137807</v>
      </c>
      <c r="DQ121" s="173">
        <f ca="1">(VLOOKUP(DQ$72,INDIRECT($C$5&amp;"生成成长"),2))/((VLOOKUP($B121,INDIRECT($B$5&amp;"生成成长"),4))/(VLOOKUP(DQ$72,INDIRECT($C$5&amp;"生成成长"),5))*(VLOOKUP($B$5,标准坦克设计!$B$24:$U$30,MATCH("对"&amp;LEFT($C$5,2)&amp;"输出",标准坦克设计!$B$23:$U$23,0)))*(VLOOKUP($B121,INDIRECT($B$5&amp;"生成成长"),3))*(VLOOKUP($B$5,标准坦克设计!$B$14:$K$20,9)/30))</f>
        <v>20.258012344469257</v>
      </c>
      <c r="DR121" s="173">
        <f ca="1">(VLOOKUP(DR$72,INDIRECT($C$5&amp;"生成成长"),2))/((VLOOKUP($B121,INDIRECT($B$5&amp;"生成成长"),4))/(VLOOKUP(DR$72,INDIRECT($C$5&amp;"生成成长"),5))*(VLOOKUP($B$5,标准坦克设计!$B$24:$U$30,MATCH("对"&amp;LEFT($C$5,2)&amp;"输出",标准坦克设计!$B$23:$U$23,0)))*(VLOOKUP($B121,INDIRECT($B$5&amp;"生成成长"),3))*(VLOOKUP($B$5,标准坦克设计!$B$14:$K$20,9)/30))</f>
        <v>22.014542117217491</v>
      </c>
      <c r="DS121" s="173">
        <f ca="1">(VLOOKUP(DS$72,INDIRECT($C$5&amp;"生成成长"),2))/((VLOOKUP($B121,INDIRECT($B$5&amp;"生成成长"),4))/(VLOOKUP(DS$72,INDIRECT($C$5&amp;"生成成长"),5))*(VLOOKUP($B$5,标准坦克设计!$B$24:$U$30,MATCH("对"&amp;LEFT($C$5,2)&amp;"输出",标准坦克设计!$B$23:$U$23,0)))*(VLOOKUP($B121,INDIRECT($B$5&amp;"生成成长"),3))*(VLOOKUP($B$5,标准坦克设计!$B$14:$K$20,9)/30))</f>
        <v>23.844091603382516</v>
      </c>
      <c r="DT121" s="173">
        <f ca="1">(VLOOKUP(DT$72,INDIRECT($C$5&amp;"生成成长"),2))/((VLOOKUP($B121,INDIRECT($B$5&amp;"生成成长"),4))/(VLOOKUP(DT$72,INDIRECT($C$5&amp;"生成成长"),5))*(VLOOKUP($B$5,标准坦克设计!$B$24:$U$30,MATCH("对"&amp;LEFT($C$5,2)&amp;"输出",标准坦克设计!$B$23:$U$23,0)))*(VLOOKUP($B121,INDIRECT($B$5&amp;"生成成长"),3))*(VLOOKUP($B$5,标准坦克设计!$B$14:$K$20,9)/30))</f>
        <v>26.179370215804532</v>
      </c>
      <c r="DU121" s="173">
        <f ca="1">(VLOOKUP(DU$72,INDIRECT($C$5&amp;"生成成长"),2))/((VLOOKUP($B121,INDIRECT($B$5&amp;"生成成长"),4))/(VLOOKUP(DU$72,INDIRECT($C$5&amp;"生成成长"),5))*(VLOOKUP($B$5,标准坦克设计!$B$24:$U$30,MATCH("对"&amp;LEFT($C$5,2)&amp;"输出",标准坦克设计!$B$23:$U$23,0)))*(VLOOKUP($B121,INDIRECT($B$5&amp;"生成成长"),3))*(VLOOKUP($B$5,标准坦克设计!$B$14:$K$20,9)/30))</f>
        <v>28.623727659380027</v>
      </c>
      <c r="DV121" s="173">
        <f ca="1">(VLOOKUP(DV$72,INDIRECT($C$5&amp;"生成成长"),2))/((VLOOKUP($B121,INDIRECT($B$5&amp;"生成成长"),4))/(VLOOKUP(DV$72,INDIRECT($C$5&amp;"生成成长"),5))*(VLOOKUP($B$5,标准坦克设计!$B$24:$U$30,MATCH("对"&amp;LEFT($C$5,2)&amp;"输出",标准坦克设计!$B$23:$U$23,0)))*(VLOOKUP($B121,INDIRECT($B$5&amp;"生成成长"),3))*(VLOOKUP($B$5,标准坦克设计!$B$14:$K$20,9)/30))</f>
        <v>31.177163934108989</v>
      </c>
      <c r="DW121" s="173">
        <f ca="1">(VLOOKUP(DW$72,INDIRECT($C$5&amp;"生成成长"),2))/((VLOOKUP($B121,INDIRECT($B$5&amp;"生成成长"),4))/(VLOOKUP(DW$72,INDIRECT($C$5&amp;"生成成长"),5))*(VLOOKUP($B$5,标准坦克设计!$B$24:$U$30,MATCH("对"&amp;LEFT($C$5,2)&amp;"输出",标准坦克设计!$B$23:$U$23,0)))*(VLOOKUP($B121,INDIRECT($B$5&amp;"生成成长"),3))*(VLOOKUP($B$5,标准坦克设计!$B$14:$K$20,9)/30))</f>
        <v>33.83967903999141</v>
      </c>
      <c r="DX121" s="173">
        <f ca="1">(VLOOKUP(DX$72,INDIRECT($C$5&amp;"生成成长"),2))/((VLOOKUP($B121,INDIRECT($B$5&amp;"生成成长"),4))/(VLOOKUP(DX$72,INDIRECT($C$5&amp;"生成成长"),5))*(VLOOKUP($B$5,标准坦克设计!$B$24:$U$30,MATCH("对"&amp;LEFT($C$5,2)&amp;"输出",标准坦克设计!$B$23:$U$23,0)))*(VLOOKUP($B121,INDIRECT($B$5&amp;"生成成长"),3))*(VLOOKUP($B$5,标准坦克设计!$B$14:$K$20,9)/30))</f>
        <v>36.611272977027312</v>
      </c>
      <c r="DY121" s="173">
        <f ca="1">(VLOOKUP(DY$72,INDIRECT($C$5&amp;"生成成长"),2))/((VLOOKUP($B121,INDIRECT($B$5&amp;"生成成长"),4))/(VLOOKUP(DY$72,INDIRECT($C$5&amp;"生成成长"),5))*(VLOOKUP($B$5,标准坦克设计!$B$24:$U$30,MATCH("对"&amp;LEFT($C$5,2)&amp;"输出",标准坦克设计!$B$23:$U$23,0)))*(VLOOKUP($B121,INDIRECT($B$5&amp;"生成成长"),3))*(VLOOKUP($B$5,标准坦克设计!$B$14:$K$20,9)/30))</f>
        <v>16.443408426899765</v>
      </c>
      <c r="DZ121" s="173">
        <f ca="1">(VLOOKUP(DZ$72,INDIRECT($C$5&amp;"生成成长"),2))/((VLOOKUP($B121,INDIRECT($B$5&amp;"生成成长"),4))/(VLOOKUP(DZ$72,INDIRECT($C$5&amp;"生成成长"),5))*(VLOOKUP($B$5,标准坦克设计!$B$24:$U$30,MATCH("对"&amp;LEFT($C$5,2)&amp;"输出",标准坦克设计!$B$23:$U$23,0)))*(VLOOKUP($B121,INDIRECT($B$5&amp;"生成成长"),3))*(VLOOKUP($B$5,标准坦克设计!$B$14:$K$20,9)/30))</f>
        <v>18.210305195997297</v>
      </c>
      <c r="EA121" s="173">
        <f ca="1">(VLOOKUP(EA$72,INDIRECT($C$5&amp;"生成成长"),2))/((VLOOKUP($B121,INDIRECT($B$5&amp;"生成成长"),4))/(VLOOKUP(EA$72,INDIRECT($C$5&amp;"生成成长"),5))*(VLOOKUP($B$5,标准坦克设计!$B$24:$U$30,MATCH("对"&amp;LEFT($C$5,2)&amp;"输出",标准坦克设计!$B$23:$U$23,0)))*(VLOOKUP($B121,INDIRECT($B$5&amp;"生成成长"),3))*(VLOOKUP($B$5,标准坦克设计!$B$14:$K$20,9)/30))</f>
        <v>20.067349759436542</v>
      </c>
      <c r="EB121" s="173">
        <f ca="1">(VLOOKUP(EB$72,INDIRECT($C$5&amp;"生成成长"),2))/((VLOOKUP($B121,INDIRECT($B$5&amp;"生成成长"),4))/(VLOOKUP(EB$72,INDIRECT($C$5&amp;"生成成长"),5))*(VLOOKUP($B$5,标准坦克设计!$B$24:$U$30,MATCH("对"&amp;LEFT($C$5,2)&amp;"输出",标准坦克设计!$B$23:$U$23,0)))*(VLOOKUP($B121,INDIRECT($B$5&amp;"生成成长"),3))*(VLOOKUP($B$5,标准坦克设计!$B$14:$K$20,9)/30))</f>
        <v>22.014542117217491</v>
      </c>
      <c r="EC121" s="173">
        <f ca="1">(VLOOKUP(EC$72,INDIRECT($C$5&amp;"生成成长"),2))/((VLOOKUP($B121,INDIRECT($B$5&amp;"生成成长"),4))/(VLOOKUP(EC$72,INDIRECT($C$5&amp;"生成成长"),5))*(VLOOKUP($B$5,标准坦克设计!$B$24:$U$30,MATCH("对"&amp;LEFT($C$5,2)&amp;"输出",标准坦克设计!$B$23:$U$23,0)))*(VLOOKUP($B121,INDIRECT($B$5&amp;"生成成长"),3))*(VLOOKUP($B$5,标准坦克设计!$B$14:$K$20,9)/30))</f>
        <v>24.051882269340162</v>
      </c>
      <c r="ED121" s="173">
        <f ca="1">(VLOOKUP(ED$72,INDIRECT($C$5&amp;"生成成长"),2))/((VLOOKUP($B121,INDIRECT($B$5&amp;"生成成长"),4))/(VLOOKUP(ED$72,INDIRECT($C$5&amp;"生成成长"),5))*(VLOOKUP($B$5,标准坦克设计!$B$24:$U$30,MATCH("对"&amp;LEFT($C$5,2)&amp;"输出",标准坦克设计!$B$23:$U$23,0)))*(VLOOKUP($B121,INDIRECT($B$5&amp;"生成成长"),3))*(VLOOKUP($B$5,标准坦克设计!$B$14:$K$20,9)/30))</f>
        <v>26.179370215804532</v>
      </c>
      <c r="EE121" s="173">
        <f ca="1">(VLOOKUP(EE$72,INDIRECT($C$5&amp;"生成成长"),2))/((VLOOKUP($B121,INDIRECT($B$5&amp;"生成成长"),4))/(VLOOKUP(EE$72,INDIRECT($C$5&amp;"生成成长"),5))*(VLOOKUP($B$5,标准坦克设计!$B$24:$U$30,MATCH("对"&amp;LEFT($C$5,2)&amp;"输出",标准坦克设计!$B$23:$U$23,0)))*(VLOOKUP($B121,INDIRECT($B$5&amp;"生成成长"),3))*(VLOOKUP($B$5,标准坦克设计!$B$14:$K$20,9)/30))</f>
        <v>28.39700595661062</v>
      </c>
      <c r="EF121" s="173">
        <f ca="1">(VLOOKUP(EF$72,INDIRECT($C$5&amp;"生成成长"),2))/((VLOOKUP($B121,INDIRECT($B$5&amp;"生成成长"),4))/(VLOOKUP(EF$72,INDIRECT($C$5&amp;"生成成长"),5))*(VLOOKUP($B$5,标准坦克设计!$B$24:$U$30,MATCH("对"&amp;LEFT($C$5,2)&amp;"输出",标准坦克设计!$B$23:$U$23,0)))*(VLOOKUP($B121,INDIRECT($B$5&amp;"生成成长"),3))*(VLOOKUP($B$5,标准坦克设计!$B$14:$K$20,9)/30))</f>
        <v>30.704789491758415</v>
      </c>
      <c r="EG121" s="173">
        <f ca="1">(VLOOKUP(EG$72,INDIRECT($C$5&amp;"生成成长"),2))/((VLOOKUP($B121,INDIRECT($B$5&amp;"生成成长"),4))/(VLOOKUP(EG$72,INDIRECT($C$5&amp;"生成成长"),5))*(VLOOKUP($B$5,标准坦克设计!$B$24:$U$30,MATCH("对"&amp;LEFT($C$5,2)&amp;"输出",标准坦克设计!$B$23:$U$23,0)))*(VLOOKUP($B121,INDIRECT($B$5&amp;"生成成长"),3))*(VLOOKUP($B$5,标准坦克设计!$B$14:$K$20,9)/30))</f>
        <v>33.102720821247921</v>
      </c>
      <c r="EH121" s="173">
        <f ca="1">(VLOOKUP(EH$72,INDIRECT($C$5&amp;"生成成长"),2))/((VLOOKUP($B121,INDIRECT($B$5&amp;"生成成长"),4))/(VLOOKUP(EH$72,INDIRECT($C$5&amp;"生成成长"),5))*(VLOOKUP($B$5,标准坦克设计!$B$24:$U$30,MATCH("对"&amp;LEFT($C$5,2)&amp;"输出",标准坦克设计!$B$23:$U$23,0)))*(VLOOKUP($B121,INDIRECT($B$5&amp;"生成成长"),3))*(VLOOKUP($B$5,标准坦克设计!$B$14:$K$20,9)/30))</f>
        <v>35.590799945079141</v>
      </c>
      <c r="EI121" s="173">
        <f ca="1">(VLOOKUP(EI$72,INDIRECT($C$5&amp;"生成成长"),2))/((VLOOKUP($B121,INDIRECT($B$5&amp;"生成成长"),4))/(VLOOKUP(EI$72,INDIRECT($C$5&amp;"生成成长"),5))*(VLOOKUP($B$5,标准坦克设计!$B$24:$U$30,MATCH("对"&amp;LEFT($C$5,2)&amp;"输出",标准坦克设计!$B$23:$U$23,0)))*(VLOOKUP($B121,INDIRECT($B$5&amp;"生成成长"),3))*(VLOOKUP($B$5,标准坦克设计!$B$14:$K$20,9)/30))</f>
        <v>38.169026863252078</v>
      </c>
      <c r="EJ121" s="173">
        <f ca="1">(VLOOKUP(EJ$72,INDIRECT($C$5&amp;"生成成长"),2))/((VLOOKUP($B121,INDIRECT($B$5&amp;"生成成长"),4))/(VLOOKUP(EJ$72,INDIRECT($C$5&amp;"生成成长"),5))*(VLOOKUP($B$5,标准坦克设计!$B$24:$U$30,MATCH("对"&amp;LEFT($C$5,2)&amp;"输出",标准坦克设计!$B$23:$U$23,0)))*(VLOOKUP($B121,INDIRECT($B$5&amp;"生成成长"),3))*(VLOOKUP($B$5,标准坦克设计!$B$14:$K$20,9)/30))</f>
        <v>40.837401575766719</v>
      </c>
      <c r="EK121" s="173">
        <f ca="1">(VLOOKUP(EK$72,INDIRECT($C$5&amp;"生成成长"),2))/((VLOOKUP($B121,INDIRECT($B$5&amp;"生成成长"),4))/(VLOOKUP(EK$72,INDIRECT($C$5&amp;"生成成长"),5))*(VLOOKUP($B$5,标准坦克设计!$B$24:$U$30,MATCH("对"&amp;LEFT($C$5,2)&amp;"输出",标准坦克设计!$B$23:$U$23,0)))*(VLOOKUP($B121,INDIRECT($B$5&amp;"生成成长"),3))*(VLOOKUP($B$5,标准坦克设计!$B$14:$K$20,9)/30))</f>
        <v>44.158446319315338</v>
      </c>
      <c r="EL121" s="173">
        <f ca="1">(VLOOKUP(EL$72,INDIRECT($C$5&amp;"生成成长"),2))/((VLOOKUP($B121,INDIRECT($B$5&amp;"生成成长"),4))/(VLOOKUP(EL$72,INDIRECT($C$5&amp;"生成成长"),5))*(VLOOKUP($B$5,标准坦克设计!$B$24:$U$30,MATCH("对"&amp;LEFT($C$5,2)&amp;"输出",标准坦克设计!$B$23:$U$23,0)))*(VLOOKUP($B121,INDIRECT($B$5&amp;"生成成长"),3))*(VLOOKUP($B$5,标准坦克设计!$B$14:$K$20,9)/30))</f>
        <v>47.609303886716027</v>
      </c>
      <c r="EM121" s="173">
        <f ca="1">(VLOOKUP(EM$72,INDIRECT($C$5&amp;"生成成长"),2))/((VLOOKUP($B121,INDIRECT($B$5&amp;"生成成长"),4))/(VLOOKUP(EM$72,INDIRECT($C$5&amp;"生成成长"),5))*(VLOOKUP($B$5,标准坦克设计!$B$24:$U$30,MATCH("对"&amp;LEFT($C$5,2)&amp;"输出",标准坦克设计!$B$23:$U$23,0)))*(VLOOKUP($B121,INDIRECT($B$5&amp;"生成成长"),3))*(VLOOKUP($B$5,标准坦克设计!$B$14:$K$20,9)/30))</f>
        <v>51.189974277968794</v>
      </c>
      <c r="EN121" s="173">
        <f ca="1">(VLOOKUP(EN$72,INDIRECT($C$5&amp;"生成成长"),2))/((VLOOKUP($B121,INDIRECT($B$5&amp;"生成成长"),4))/(VLOOKUP(EN$72,INDIRECT($C$5&amp;"生成成长"),5))*(VLOOKUP($B$5,标准坦克设计!$B$24:$U$30,MATCH("对"&amp;LEFT($C$5,2)&amp;"输出",标准坦克设计!$B$23:$U$23,0)))*(VLOOKUP($B121,INDIRECT($B$5&amp;"生成成长"),3))*(VLOOKUP($B$5,标准坦克设计!$B$14:$K$20,9)/30))</f>
        <v>54.90045749307361</v>
      </c>
      <c r="EO121" s="173">
        <f ca="1">(VLOOKUP(EO$72,INDIRECT($C$5&amp;"生成成长"),2))/((VLOOKUP($B121,INDIRECT($B$5&amp;"生成成长"),4))/(VLOOKUP(EO$72,INDIRECT($C$5&amp;"生成成长"),5))*(VLOOKUP($B$5,标准坦克设计!$B$24:$U$30,MATCH("对"&amp;LEFT($C$5,2)&amp;"输出",标准坦克设计!$B$23:$U$23,0)))*(VLOOKUP($B121,INDIRECT($B$5&amp;"生成成长"),3))*(VLOOKUP($B$5,标准坦克设计!$B$14:$K$20,9)/30))</f>
        <v>58.740753532030482</v>
      </c>
      <c r="EP121" s="173">
        <f ca="1">(VLOOKUP(EP$72,INDIRECT($C$5&amp;"生成成长"),2))/((VLOOKUP($B121,INDIRECT($B$5&amp;"生成成长"),4))/(VLOOKUP(EP$72,INDIRECT($C$5&amp;"生成成长"),5))*(VLOOKUP($B$5,标准坦克设计!$B$24:$U$30,MATCH("对"&amp;LEFT($C$5,2)&amp;"输出",标准坦克设计!$B$23:$U$23,0)))*(VLOOKUP($B121,INDIRECT($B$5&amp;"生成成长"),3))*(VLOOKUP($B$5,标准坦克设计!$B$14:$K$20,9)/30))</f>
        <v>62.710862394839438</v>
      </c>
      <c r="EQ121" s="173">
        <f ca="1">(VLOOKUP(EQ$72,INDIRECT($C$5&amp;"生成成长"),2))/((VLOOKUP($B121,INDIRECT($B$5&amp;"生成成长"),4))/(VLOOKUP(EQ$72,INDIRECT($C$5&amp;"生成成长"),5))*(VLOOKUP($B$5,标准坦克设计!$B$24:$U$30,MATCH("对"&amp;LEFT($C$5,2)&amp;"输出",标准坦克设计!$B$23:$U$23,0)))*(VLOOKUP($B121,INDIRECT($B$5&amp;"生成成长"),3))*(VLOOKUP($B$5,标准坦克设计!$B$14:$K$20,9)/30))</f>
        <v>27.722249715962914</v>
      </c>
      <c r="ER121" s="173">
        <f ca="1">(VLOOKUP(ER$72,INDIRECT($C$5&amp;"生成成长"),2))/((VLOOKUP($B121,INDIRECT($B$5&amp;"生成成长"),4))/(VLOOKUP(ER$72,INDIRECT($C$5&amp;"生成成长"),5))*(VLOOKUP($B$5,标准坦克设计!$B$24:$U$30,MATCH("对"&amp;LEFT($C$5,2)&amp;"输出",标准坦克设计!$B$23:$U$23,0)))*(VLOOKUP($B121,INDIRECT($B$5&amp;"生成成长"),3))*(VLOOKUP($B$5,标准坦克设计!$B$14:$K$20,9)/30))</f>
        <v>30.236020961181524</v>
      </c>
      <c r="ES121" s="173">
        <f ca="1">(VLOOKUP(ES$72,INDIRECT($C$5&amp;"生成成长"),2))/((VLOOKUP($B121,INDIRECT($B$5&amp;"生成成长"),4))/(VLOOKUP(ES$72,INDIRECT($C$5&amp;"生成成长"),5))*(VLOOKUP($B$5,标准坦克设计!$B$24:$U$30,MATCH("对"&amp;LEFT($C$5,2)&amp;"输出",标准坦克设计!$B$23:$U$23,0)))*(VLOOKUP($B121,INDIRECT($B$5&amp;"生成成长"),3))*(VLOOKUP($B$5,标准坦克设计!$B$14:$K$20,9)/30))</f>
        <v>32.858871037553598</v>
      </c>
      <c r="ET121" s="173">
        <f ca="1">(VLOOKUP(ET$72,INDIRECT($C$5&amp;"生成成长"),2))/((VLOOKUP($B121,INDIRECT($B$5&amp;"生成成长"),4))/(VLOOKUP(ET$72,INDIRECT($C$5&amp;"生成成长"),5))*(VLOOKUP($B$5,标准坦克设计!$B$24:$U$30,MATCH("对"&amp;LEFT($C$5,2)&amp;"输出",标准坦克设计!$B$23:$U$23,0)))*(VLOOKUP($B121,INDIRECT($B$5&amp;"生成成长"),3))*(VLOOKUP($B$5,标准坦克设计!$B$14:$K$20,9)/30))</f>
        <v>35.590799945079141</v>
      </c>
      <c r="EU121" s="173">
        <f ca="1">(VLOOKUP(EU$72,INDIRECT($C$5&amp;"生成成长"),2))/((VLOOKUP($B121,INDIRECT($B$5&amp;"生成成长"),4))/(VLOOKUP(EU$72,INDIRECT($C$5&amp;"生成成长"),5))*(VLOOKUP($B$5,标准坦克设计!$B$24:$U$30,MATCH("对"&amp;LEFT($C$5,2)&amp;"输出",标准坦克设计!$B$23:$U$23,0)))*(VLOOKUP($B121,INDIRECT($B$5&amp;"生成成长"),3))*(VLOOKUP($B$5,标准坦克设计!$B$14:$K$20,9)/30))</f>
        <v>38.431807683758159</v>
      </c>
      <c r="EV121" s="173">
        <f ca="1">(VLOOKUP(EV$72,INDIRECT($C$5&amp;"生成成长"),2))/((VLOOKUP($B121,INDIRECT($B$5&amp;"生成成长"),4))/(VLOOKUP(EV$72,INDIRECT($C$5&amp;"生成成长"),5))*(VLOOKUP($B$5,标准坦克设计!$B$24:$U$30,MATCH("对"&amp;LEFT($C$5,2)&amp;"输出",标准坦克设计!$B$23:$U$23,0)))*(VLOOKUP($B121,INDIRECT($B$5&amp;"生成成长"),3))*(VLOOKUP($B$5,标准坦克设计!$B$14:$K$20,9)/30))</f>
        <v>41.381894253590652</v>
      </c>
      <c r="EW121" s="173">
        <f ca="1">(VLOOKUP(EW$72,INDIRECT($C$5&amp;"生成成长"),2))/((VLOOKUP($B121,INDIRECT($B$5&amp;"生成成长"),4))/(VLOOKUP(EW$72,INDIRECT($C$5&amp;"生成成长"),5))*(VLOOKUP($B$5,标准坦克设计!$B$24:$U$30,MATCH("对"&amp;LEFT($C$5,2)&amp;"输出",标准坦克设计!$B$23:$U$23,0)))*(VLOOKUP($B121,INDIRECT($B$5&amp;"生成成长"),3))*(VLOOKUP($B$5,标准坦克设计!$B$14:$K$20,9)/30))</f>
        <v>44.441059654576605</v>
      </c>
      <c r="EX121" s="173">
        <f ca="1">(VLOOKUP(EX$72,INDIRECT($C$5&amp;"生成成长"),2))/((VLOOKUP($B121,INDIRECT($B$5&amp;"生成成长"),4))/(VLOOKUP(EX$72,INDIRECT($C$5&amp;"生成成长"),5))*(VLOOKUP($B$5,标准坦克设计!$B$24:$U$30,MATCH("对"&amp;LEFT($C$5,2)&amp;"输出",标准坦克设计!$B$23:$U$23,0)))*(VLOOKUP($B121,INDIRECT($B$5&amp;"生成成长"),3))*(VLOOKUP($B$5,标准坦克设计!$B$14:$K$20,9)/30))</f>
        <v>47.609303886716027</v>
      </c>
      <c r="EY121" s="173">
        <f ca="1">(VLOOKUP(EY$72,INDIRECT($C$5&amp;"生成成长"),2))/((VLOOKUP($B121,INDIRECT($B$5&amp;"生成成长"),4))/(VLOOKUP(EY$72,INDIRECT($C$5&amp;"生成成长"),5))*(VLOOKUP($B$5,标准坦克设计!$B$24:$U$30,MATCH("对"&amp;LEFT($C$5,2)&amp;"输出",标准坦克设计!$B$23:$U$23,0)))*(VLOOKUP($B121,INDIRECT($B$5&amp;"生成成长"),3))*(VLOOKUP($B$5,标准坦克设计!$B$14:$K$20,9)/30))</f>
        <v>50.886626950008932</v>
      </c>
      <c r="EZ121" s="173">
        <f ca="1">(VLOOKUP(EZ$72,INDIRECT($C$5&amp;"生成成长"),2))/((VLOOKUP($B121,INDIRECT($B$5&amp;"生成成长"),4))/(VLOOKUP(EZ$72,INDIRECT($C$5&amp;"生成成长"),5))*(VLOOKUP($B$5,标准坦克设计!$B$24:$U$30,MATCH("对"&amp;LEFT($C$5,2)&amp;"输出",标准坦克设计!$B$23:$U$23,0)))*(VLOOKUP($B121,INDIRECT($B$5&amp;"生成成长"),3))*(VLOOKUP($B$5,标准坦克设计!$B$14:$K$20,9)/30))</f>
        <v>54.273028844455297</v>
      </c>
      <c r="FA121" s="173">
        <f ca="1">(VLOOKUP(FA$72,INDIRECT($C$5&amp;"生成成长"),2))/((VLOOKUP($B121,INDIRECT($B$5&amp;"生成成长"),4))/(VLOOKUP(FA$72,INDIRECT($C$5&amp;"生成成长"),5))*(VLOOKUP($B$5,标准坦克设计!$B$24:$U$30,MATCH("对"&amp;LEFT($C$5,2)&amp;"输出",标准坦克设计!$B$23:$U$23,0)))*(VLOOKUP($B121,INDIRECT($B$5&amp;"生成成长"),3))*(VLOOKUP($B$5,标准坦克设计!$B$14:$K$20,9)/30))</f>
        <v>57.768509570055137</v>
      </c>
      <c r="FB121" s="173">
        <f ca="1">(VLOOKUP(FB$72,INDIRECT($C$5&amp;"生成成长"),2))/((VLOOKUP($B121,INDIRECT($B$5&amp;"生成成长"),4))/(VLOOKUP(FB$72,INDIRECT($C$5&amp;"生成成长"),5))*(VLOOKUP($B$5,标准坦克设计!$B$24:$U$30,MATCH("对"&amp;LEFT($C$5,2)&amp;"输出",标准坦克设计!$B$23:$U$23,0)))*(VLOOKUP($B121,INDIRECT($B$5&amp;"生成成长"),3))*(VLOOKUP($B$5,标准坦克设计!$B$14:$K$20,9)/30))</f>
        <v>61.373069126808446</v>
      </c>
      <c r="FC121" s="173">
        <f ca="1">(VLOOKUP(FC$72,INDIRECT($C$5&amp;"生成成长"),2))/((VLOOKUP($B121,INDIRECT($B$5&amp;"生成成长"),4))/(VLOOKUP(FC$72,INDIRECT($C$5&amp;"生成成长"),5))*(VLOOKUP($B$5,标准坦克设计!$B$24:$U$30,MATCH("对"&amp;LEFT($C$5,2)&amp;"输出",标准坦克设计!$B$23:$U$23,0)))*(VLOOKUP($B121,INDIRECT($B$5&amp;"生成成长"),3))*(VLOOKUP($B$5,标准坦克设计!$B$14:$K$20,9)/30))</f>
        <v>65.086707514715229</v>
      </c>
      <c r="FD121" s="173">
        <f ca="1">(VLOOKUP(FD$72,INDIRECT($C$5&amp;"生成成长"),2))/((VLOOKUP($B121,INDIRECT($B$5&amp;"生成成长"),4))/(VLOOKUP(FD$72,INDIRECT($C$5&amp;"生成成长"),5))*(VLOOKUP($B$5,标准坦克设计!$B$24:$U$30,MATCH("对"&amp;LEFT($C$5,2)&amp;"输出",标准坦克设计!$B$23:$U$23,0)))*(VLOOKUP($B121,INDIRECT($B$5&amp;"生成成长"),3))*(VLOOKUP($B$5,标准坦克设计!$B$14:$K$20,9)/30))</f>
        <v>68.909424733775467</v>
      </c>
      <c r="FE121" s="173">
        <f ca="1">(VLOOKUP(FE$72,INDIRECT($C$5&amp;"生成成长"),2))/((VLOOKUP($B121,INDIRECT($B$5&amp;"生成成长"),4))/(VLOOKUP(FE$72,INDIRECT($C$5&amp;"生成成长"),5))*(VLOOKUP($B$5,标准坦克设计!$B$24:$U$30,MATCH("对"&amp;LEFT($C$5,2)&amp;"输出",标准坦克设计!$B$23:$U$23,0)))*(VLOOKUP($B121,INDIRECT($B$5&amp;"生成成长"),3))*(VLOOKUP($B$5,标准坦克设计!$B$14:$K$20,9)/30))</f>
        <v>73.567812006383392</v>
      </c>
      <c r="FF121" s="173">
        <f ca="1">(VLOOKUP(FF$72,INDIRECT($C$5&amp;"生成成长"),2))/((VLOOKUP($B121,INDIRECT($B$5&amp;"生成成长"),4))/(VLOOKUP(FF$72,INDIRECT($C$5&amp;"生成成长"),5))*(VLOOKUP($B$5,标准坦克设计!$B$24:$U$30,MATCH("对"&amp;LEFT($C$5,2)&amp;"输出",标准坦克设计!$B$23:$U$23,0)))*(VLOOKUP($B121,INDIRECT($B$5&amp;"生成成长"),3))*(VLOOKUP($B$5,标准坦克设计!$B$14:$K$20,9)/30))</f>
        <v>78.378549051428777</v>
      </c>
      <c r="FG121" s="173">
        <f ca="1">(VLOOKUP(FG$72,INDIRECT($C$5&amp;"生成成长"),2))/((VLOOKUP($B121,INDIRECT($B$5&amp;"生成成长"),4))/(VLOOKUP(FG$72,INDIRECT($C$5&amp;"生成成长"),5))*(VLOOKUP($B$5,标准坦克设计!$B$24:$U$30,MATCH("对"&amp;LEFT($C$5,2)&amp;"输出",标准坦克设计!$B$23:$U$23,0)))*(VLOOKUP($B121,INDIRECT($B$5&amp;"生成成长"),3))*(VLOOKUP($B$5,标准坦克设计!$B$14:$K$20,9)/30))</f>
        <v>83.341635868911652</v>
      </c>
      <c r="FH121" s="173">
        <f ca="1">(VLOOKUP(FH$72,INDIRECT($C$5&amp;"生成成长"),2))/((VLOOKUP($B121,INDIRECT($B$5&amp;"生成成长"),4))/(VLOOKUP(FH$72,INDIRECT($C$5&amp;"生成成长"),5))*(VLOOKUP($B$5,标准坦克设计!$B$24:$U$30,MATCH("对"&amp;LEFT($C$5,2)&amp;"输出",标准坦克设计!$B$23:$U$23,0)))*(VLOOKUP($B121,INDIRECT($B$5&amp;"生成成长"),3))*(VLOOKUP($B$5,标准坦克设计!$B$14:$K$20,9)/30))</f>
        <v>88.457072458832045</v>
      </c>
      <c r="FI121" s="173">
        <f ca="1">(VLOOKUP(FI$72,INDIRECT($C$5&amp;"生成成长"),2))/((VLOOKUP($B121,INDIRECT($B$5&amp;"生成成长"),4))/(VLOOKUP(FI$72,INDIRECT($C$5&amp;"生成成长"),5))*(VLOOKUP($B$5,标准坦克设计!$B$24:$U$30,MATCH("对"&amp;LEFT($C$5,2)&amp;"输出",标准坦克设计!$B$23:$U$23,0)))*(VLOOKUP($B121,INDIRECT($B$5&amp;"生成成长"),3))*(VLOOKUP($B$5,标准坦克设计!$B$14:$K$20,9)/30))</f>
        <v>93.724858821189912</v>
      </c>
      <c r="FJ121" s="173">
        <f ca="1">(VLOOKUP(FJ$72,INDIRECT($C$5&amp;"生成成长"),2))/((VLOOKUP($B121,INDIRECT($B$5&amp;"生成成长"),4))/(VLOOKUP(FJ$72,INDIRECT($C$5&amp;"生成成长"),5))*(VLOOKUP($B$5,标准坦克设计!$B$24:$U$30,MATCH("对"&amp;LEFT($C$5,2)&amp;"输出",标准坦克设计!$B$23:$U$23,0)))*(VLOOKUP($B121,INDIRECT($B$5&amp;"生成成长"),3))*(VLOOKUP($B$5,标准坦克设计!$B$14:$K$20,9)/30))</f>
        <v>99.144994955985268</v>
      </c>
      <c r="FK121" s="173">
        <f ca="1">(VLOOKUP(FK$72,INDIRECT($C$5&amp;"生成成长"),2))/((VLOOKUP($B121,INDIRECT($B$5&amp;"生成成长"),4))/(VLOOKUP(FK$72,INDIRECT($C$5&amp;"生成成长"),5))*(VLOOKUP($B$5,标准坦克设计!$B$24:$U$30,MATCH("对"&amp;LEFT($C$5,2)&amp;"输出",标准坦克设计!$B$23:$U$23,0)))*(VLOOKUP($B121,INDIRECT($B$5&amp;"生成成长"),3))*(VLOOKUP($B$5,标准坦克设计!$B$14:$K$20,9)/30))</f>
        <v>104.71748086321813</v>
      </c>
    </row>
    <row r="122" spans="1:167" x14ac:dyDescent="0.15">
      <c r="A122" s="171" t="str">
        <f t="shared" si="11"/>
        <v>T2中品质5级</v>
      </c>
      <c r="B122" s="172">
        <v>20205</v>
      </c>
      <c r="C122" s="173">
        <f ca="1">(VLOOKUP(C$72,INDIRECT($C$5&amp;"生成成长"),2))/((VLOOKUP($B122,INDIRECT($B$5&amp;"生成成长"),4))/(VLOOKUP(C$72,INDIRECT($C$5&amp;"生成成长"),5))*(VLOOKUP($B$5,标准坦克设计!$B$24:$U$30,MATCH("对"&amp;LEFT($C$5,2)&amp;"输出",标准坦克设计!$B$23:$U$23,0)))*(VLOOKUP($B122,INDIRECT($B$5&amp;"生成成长"),3))*(VLOOKUP($B$5,标准坦克设计!$B$14:$K$20,9)/30))</f>
        <v>4.018087522241923</v>
      </c>
      <c r="D122" s="173">
        <f ca="1">(VLOOKUP(D$72,INDIRECT($C$5&amp;"生成成长"),2))/((VLOOKUP($B122,INDIRECT($B$5&amp;"生成成长"),4))/(VLOOKUP(D$72,INDIRECT($C$5&amp;"生成成长"),5))*(VLOOKUP($B$5,标准坦克设计!$B$24:$U$30,MATCH("对"&amp;LEFT($C$5,2)&amp;"输出",标准坦克设计!$B$23:$U$23,0)))*(VLOOKUP($B122,INDIRECT($B$5&amp;"生成成长"),3))*(VLOOKUP($B$5,标准坦克设计!$B$14:$K$20,9)/30))</f>
        <v>4.514723139991025</v>
      </c>
      <c r="E122" s="173">
        <f ca="1">(VLOOKUP(E$72,INDIRECT($C$5&amp;"生成成长"),2))/((VLOOKUP($B122,INDIRECT($B$5&amp;"生成成长"),4))/(VLOOKUP(E$72,INDIRECT($C$5&amp;"生成成长"),5))*(VLOOKUP($B$5,标准坦克设计!$B$24:$U$30,MATCH("对"&amp;LEFT($C$5,2)&amp;"输出",标准坦克设计!$B$23:$U$23,0)))*(VLOOKUP($B122,INDIRECT($B$5&amp;"生成成长"),3))*(VLOOKUP($B$5,标准坦克设计!$B$14:$K$20,9)/30))</f>
        <v>5.0402889879002668</v>
      </c>
      <c r="F122" s="173">
        <f ca="1">(VLOOKUP(F$72,INDIRECT($C$5&amp;"生成成长"),2))/((VLOOKUP($B122,INDIRECT($B$5&amp;"生成成长"),4))/(VLOOKUP(F$72,INDIRECT($C$5&amp;"生成成长"),5))*(VLOOKUP($B$5,标准坦克设计!$B$24:$U$30,MATCH("对"&amp;LEFT($C$5,2)&amp;"输出",标准坦克设计!$B$23:$U$23,0)))*(VLOOKUP($B122,INDIRECT($B$5&amp;"生成成长"),3))*(VLOOKUP($B$5,标准坦克设计!$B$14:$K$20,9)/30))</f>
        <v>5.5947850659696527</v>
      </c>
      <c r="G122" s="173">
        <f ca="1">(VLOOKUP(G$72,INDIRECT($C$5&amp;"生成成长"),2))/((VLOOKUP($B122,INDIRECT($B$5&amp;"生成成长"),4))/(VLOOKUP(G$72,INDIRECT($C$5&amp;"生成成长"),5))*(VLOOKUP($B$5,标准坦克设计!$B$24:$U$30,MATCH("对"&amp;LEFT($C$5,2)&amp;"输出",标准坦克设计!$B$23:$U$23,0)))*(VLOOKUP($B122,INDIRECT($B$5&amp;"生成成长"),3))*(VLOOKUP($B$5,标准坦克设计!$B$14:$K$20,9)/30))</f>
        <v>6.1782113741991802</v>
      </c>
      <c r="H122" s="173">
        <f ca="1">(VLOOKUP(H$72,INDIRECT($C$5&amp;"生成成长"),2))/((VLOOKUP($B122,INDIRECT($B$5&amp;"生成成长"),4))/(VLOOKUP(H$72,INDIRECT($C$5&amp;"生成成长"),5))*(VLOOKUP($B$5,标准坦克设计!$B$24:$U$30,MATCH("对"&amp;LEFT($C$5,2)&amp;"输出",标准坦克设计!$B$23:$U$23,0)))*(VLOOKUP($B122,INDIRECT($B$5&amp;"生成成长"),3))*(VLOOKUP($B$5,标准坦克设计!$B$14:$K$20,9)/30))</f>
        <v>5.4067385699287298</v>
      </c>
      <c r="I122" s="173">
        <f ca="1">(VLOOKUP(I$72,INDIRECT($C$5&amp;"生成成长"),2))/((VLOOKUP($B122,INDIRECT($B$5&amp;"生成成长"),4))/(VLOOKUP(I$72,INDIRECT($C$5&amp;"生成成长"),5))*(VLOOKUP($B$5,标准坦克设计!$B$24:$U$30,MATCH("对"&amp;LEFT($C$5,2)&amp;"输出",标准坦克设计!$B$23:$U$23,0)))*(VLOOKUP($B122,INDIRECT($B$5&amp;"生成成长"),3))*(VLOOKUP($B$5,标准坦克设计!$B$14:$K$20,9)/30))</f>
        <v>6.1782113741991802</v>
      </c>
      <c r="J122" s="173">
        <f ca="1">(VLOOKUP(J$72,INDIRECT($C$5&amp;"生成成长"),2))/((VLOOKUP($B122,INDIRECT($B$5&amp;"生成成长"),4))/(VLOOKUP(J$72,INDIRECT($C$5&amp;"生成成长"),5))*(VLOOKUP($B$5,标准坦克设计!$B$24:$U$30,MATCH("对"&amp;LEFT($C$5,2)&amp;"输出",标准坦克设计!$B$23:$U$23,0)))*(VLOOKUP($B122,INDIRECT($B$5&amp;"生成成长"),3))*(VLOOKUP($B$5,标准坦克设计!$B$14:$K$20,9)/30))</f>
        <v>7.001115698754325</v>
      </c>
      <c r="K122" s="173">
        <f ca="1">(VLOOKUP(K$72,INDIRECT($C$5&amp;"生成成长"),2))/((VLOOKUP($B122,INDIRECT($B$5&amp;"生成成长"),4))/(VLOOKUP(K$72,INDIRECT($C$5&amp;"生成成长"),5))*(VLOOKUP($B$5,标准坦克设计!$B$24:$U$30,MATCH("对"&amp;LEFT($C$5,2)&amp;"输出",标准坦克设计!$B$23:$U$23,0)))*(VLOOKUP($B122,INDIRECT($B$5&amp;"生成成长"),3))*(VLOOKUP($B$5,标准坦克设计!$B$14:$K$20,9)/30))</f>
        <v>7.8754515435941679</v>
      </c>
      <c r="L122" s="173">
        <f ca="1">(VLOOKUP(L$72,INDIRECT($C$5&amp;"生成成长"),2))/((VLOOKUP($B122,INDIRECT($B$5&amp;"生成成长"),4))/(VLOOKUP(L$72,INDIRECT($C$5&amp;"生成成长"),5))*(VLOOKUP($B$5,标准坦克设计!$B$24:$U$30,MATCH("对"&amp;LEFT($C$5,2)&amp;"输出",标准坦克设计!$B$23:$U$23,0)))*(VLOOKUP($B122,INDIRECT($B$5&amp;"生成成长"),3))*(VLOOKUP($B$5,标准坦克设计!$B$14:$K$20,9)/30))</f>
        <v>8.8012189087187043</v>
      </c>
      <c r="M122" s="173">
        <f ca="1">(VLOOKUP(M$72,INDIRECT($C$5&amp;"生成成长"),2))/((VLOOKUP($B122,INDIRECT($B$5&amp;"生成成长"),4))/(VLOOKUP(M$72,INDIRECT($C$5&amp;"生成成长"),5))*(VLOOKUP($B$5,标准坦克设计!$B$24:$U$30,MATCH("对"&amp;LEFT($C$5,2)&amp;"输出",标准坦克设计!$B$23:$U$23,0)))*(VLOOKUP($B122,INDIRECT($B$5&amp;"生成成长"),3))*(VLOOKUP($B$5,标准坦克设计!$B$14:$K$20,9)/30))</f>
        <v>9.7784177941279413</v>
      </c>
      <c r="N122" s="173">
        <f ca="1">(VLOOKUP(N$72,INDIRECT($C$5&amp;"生成成长"),2))/((VLOOKUP($B122,INDIRECT($B$5&amp;"生成成长"),4))/(VLOOKUP(N$72,INDIRECT($C$5&amp;"生成成长"),5))*(VLOOKUP($B$5,标准坦克设计!$B$24:$U$30,MATCH("对"&amp;LEFT($C$5,2)&amp;"输出",标准坦克设计!$B$23:$U$23,0)))*(VLOOKUP($B122,INDIRECT($B$5&amp;"生成成长"),3))*(VLOOKUP($B$5,标准坦克设计!$B$14:$K$20,9)/30))</f>
        <v>10.807048199821876</v>
      </c>
      <c r="O122" s="173">
        <f ca="1">(VLOOKUP(O$72,INDIRECT($C$5&amp;"生成成长"),2))/((VLOOKUP($B122,INDIRECT($B$5&amp;"生成成长"),4))/(VLOOKUP(O$72,INDIRECT($C$5&amp;"生成成长"),5))*(VLOOKUP($B$5,标准坦克设计!$B$24:$U$30,MATCH("对"&amp;LEFT($C$5,2)&amp;"输出",标准坦克设计!$B$23:$U$23,0)))*(VLOOKUP($B122,INDIRECT($B$5&amp;"生成成长"),3))*(VLOOKUP($B$5,标准坦克设计!$B$14:$K$20,9)/30))</f>
        <v>8.2165871742325081</v>
      </c>
      <c r="P122" s="173">
        <f ca="1">(VLOOKUP(P$72,INDIRECT($C$5&amp;"生成成长"),2))/((VLOOKUP($B122,INDIRECT($B$5&amp;"生成成长"),4))/(VLOOKUP(P$72,INDIRECT($C$5&amp;"生成成长"),5))*(VLOOKUP($B$5,标准坦克设计!$B$24:$U$30,MATCH("对"&amp;LEFT($C$5,2)&amp;"输出",标准坦克设计!$B$23:$U$23,0)))*(VLOOKUP($B122,INDIRECT($B$5&amp;"生成成长"),3))*(VLOOKUP($B$5,标准坦克设计!$B$14:$K$20,9)/30))</f>
        <v>9.2833894113877378</v>
      </c>
      <c r="Q122" s="173">
        <f ca="1">(VLOOKUP(Q$72,INDIRECT($C$5&amp;"生成成长"),2))/((VLOOKUP($B122,INDIRECT($B$5&amp;"生成成长"),4))/(VLOOKUP(Q$72,INDIRECT($C$5&amp;"生成成长"),5))*(VLOOKUP($B$5,标准坦克设计!$B$24:$U$30,MATCH("对"&amp;LEFT($C$5,2)&amp;"输出",标准坦克设计!$B$23:$U$23,0)))*(VLOOKUP($B122,INDIRECT($B$5&amp;"生成成长"),3))*(VLOOKUP($B$5,标准坦克设计!$B$14:$K$20,9)/30))</f>
        <v>10.415284666403284</v>
      </c>
      <c r="R122" s="173">
        <f ca="1">(VLOOKUP(R$72,INDIRECT($C$5&amp;"生成成长"),2))/((VLOOKUP($B122,INDIRECT($B$5&amp;"生成成长"),4))/(VLOOKUP(R$72,INDIRECT($C$5&amp;"生成成长"),5))*(VLOOKUP($B$5,标准坦克设计!$B$24:$U$30,MATCH("对"&amp;LEFT($C$5,2)&amp;"输出",标准坦克设计!$B$23:$U$23,0)))*(VLOOKUP($B122,INDIRECT($B$5&amp;"生成成长"),3))*(VLOOKUP($B$5,标准坦克设计!$B$14:$K$20,9)/30))</f>
        <v>11.612272939279157</v>
      </c>
      <c r="S122" s="173">
        <f ca="1">(VLOOKUP(S$72,INDIRECT($C$5&amp;"生成成长"),2))/((VLOOKUP($B122,INDIRECT($B$5&amp;"生成成长"),4))/(VLOOKUP(S$72,INDIRECT($C$5&amp;"生成成长"),5))*(VLOOKUP($B$5,标准坦克设计!$B$24:$U$30,MATCH("对"&amp;LEFT($C$5,2)&amp;"输出",标准坦克设计!$B$23:$U$23,0)))*(VLOOKUP($B122,INDIRECT($B$5&amp;"生成成长"),3))*(VLOOKUP($B$5,标准坦克设计!$B$14:$K$20,9)/30))</f>
        <v>12.874354230015346</v>
      </c>
      <c r="T122" s="173">
        <f ca="1">(VLOOKUP(T$72,INDIRECT($C$5&amp;"生成成长"),2))/((VLOOKUP($B122,INDIRECT($B$5&amp;"生成成长"),4))/(VLOOKUP(T$72,INDIRECT($C$5&amp;"生成成长"),5))*(VLOOKUP($B$5,标准坦克设计!$B$24:$U$30,MATCH("对"&amp;LEFT($C$5,2)&amp;"输出",标准坦克设计!$B$23:$U$23,0)))*(VLOOKUP($B122,INDIRECT($B$5&amp;"生成成长"),3))*(VLOOKUP($B$5,标准坦克设计!$B$14:$K$20,9)/30))</f>
        <v>14.20152853861185</v>
      </c>
      <c r="U122" s="173">
        <f ca="1">(VLOOKUP(U$72,INDIRECT($C$5&amp;"生成成长"),2))/((VLOOKUP($B122,INDIRECT($B$5&amp;"生成成长"),4))/(VLOOKUP(U$72,INDIRECT($C$5&amp;"生成成长"),5))*(VLOOKUP($B$5,标准坦克设计!$B$24:$U$30,MATCH("对"&amp;LEFT($C$5,2)&amp;"输出",标准坦克设计!$B$23:$U$23,0)))*(VLOOKUP($B122,INDIRECT($B$5&amp;"生成成长"),3))*(VLOOKUP($B$5,标准坦克设计!$B$14:$K$20,9)/30))</f>
        <v>15.593795865068676</v>
      </c>
      <c r="V122" s="173">
        <f ca="1">(VLOOKUP(V$72,INDIRECT($C$5&amp;"生成成长"),2))/((VLOOKUP($B122,INDIRECT($B$5&amp;"生成成长"),4))/(VLOOKUP(V$72,INDIRECT($C$5&amp;"生成成长"),5))*(VLOOKUP($B$5,标准坦克设计!$B$24:$U$30,MATCH("对"&amp;LEFT($C$5,2)&amp;"输出",标准坦克设计!$B$23:$U$23,0)))*(VLOOKUP($B122,INDIRECT($B$5&amp;"生成成长"),3))*(VLOOKUP($B$5,标准坦克设计!$B$14:$K$20,9)/30))</f>
        <v>17.05115620938582</v>
      </c>
      <c r="W122" s="173">
        <f ca="1">(VLOOKUP(W$72,INDIRECT($C$5&amp;"生成成长"),2))/((VLOOKUP($B122,INDIRECT($B$5&amp;"生成成长"),4))/(VLOOKUP(W$72,INDIRECT($C$5&amp;"生成成长"),5))*(VLOOKUP($B$5,标准坦克设计!$B$24:$U$30,MATCH("对"&amp;LEFT($C$5,2)&amp;"输出",标准坦克设计!$B$23:$U$23,0)))*(VLOOKUP($B122,INDIRECT($B$5&amp;"生成成长"),3))*(VLOOKUP($B$5,标准坦克设计!$B$14:$K$20,9)/30))</f>
        <v>18.573609571563285</v>
      </c>
      <c r="X122" s="173">
        <f ca="1">(VLOOKUP(X$72,INDIRECT($C$5&amp;"生成成长"),2))/((VLOOKUP($B122,INDIRECT($B$5&amp;"生成成长"),4))/(VLOOKUP(X$72,INDIRECT($C$5&amp;"生成成长"),5))*(VLOOKUP($B$5,标准坦克设计!$B$24:$U$30,MATCH("对"&amp;LEFT($C$5,2)&amp;"输出",标准坦克设计!$B$23:$U$23,0)))*(VLOOKUP($B122,INDIRECT($B$5&amp;"生成成长"),3))*(VLOOKUP($B$5,标准坦克设计!$B$14:$K$20,9)/30))</f>
        <v>13.456173303235973</v>
      </c>
      <c r="Y122" s="173">
        <f ca="1">(VLOOKUP(Y$72,INDIRECT($C$5&amp;"生成成长"),2))/((VLOOKUP($B122,INDIRECT($B$5&amp;"生成成长"),4))/(VLOOKUP(Y$72,INDIRECT($C$5&amp;"生成成长"),5))*(VLOOKUP($B$5,标准坦克设计!$B$24:$U$30,MATCH("对"&amp;LEFT($C$5,2)&amp;"输出",标准坦克设计!$B$23:$U$23,0)))*(VLOOKUP($B122,INDIRECT($B$5&amp;"生成成长"),3))*(VLOOKUP($B$5,标准坦克设计!$B$14:$K$20,9)/30))</f>
        <v>14.966974211598938</v>
      </c>
      <c r="Z122" s="173">
        <f ca="1">(VLOOKUP(Z$72,INDIRECT($C$5&amp;"生成成长"),2))/((VLOOKUP($B122,INDIRECT($B$5&amp;"生成成长"),4))/(VLOOKUP(Z$72,INDIRECT($C$5&amp;"生成成长"),5))*(VLOOKUP($B$5,标准坦克设计!$B$24:$U$30,MATCH("对"&amp;LEFT($C$5,2)&amp;"输出",标准坦克设计!$B$23:$U$23,0)))*(VLOOKUP($B122,INDIRECT($B$5&amp;"生成成长"),3))*(VLOOKUP($B$5,标准坦克设计!$B$14:$K$20,9)/30))</f>
        <v>16.558136870406738</v>
      </c>
      <c r="AA122" s="173">
        <f ca="1">(VLOOKUP(AA$72,INDIRECT($C$5&amp;"生成成长"),2))/((VLOOKUP($B122,INDIRECT($B$5&amp;"生成成长"),4))/(VLOOKUP(AA$72,INDIRECT($C$5&amp;"生成成长"),5))*(VLOOKUP($B$5,标准坦克设计!$B$24:$U$30,MATCH("对"&amp;LEFT($C$5,2)&amp;"输出",标准坦克设计!$B$23:$U$23,0)))*(VLOOKUP($B122,INDIRECT($B$5&amp;"生成成长"),3))*(VLOOKUP($B$5,标准坦克设计!$B$14:$K$20,9)/30))</f>
        <v>18.229661279659378</v>
      </c>
      <c r="AB122" s="173">
        <f ca="1">(VLOOKUP(AB$72,INDIRECT($C$5&amp;"生成成长"),2))/((VLOOKUP($B122,INDIRECT($B$5&amp;"生成成长"),4))/(VLOOKUP(AB$72,INDIRECT($C$5&amp;"生成成长"),5))*(VLOOKUP($B$5,标准坦克设计!$B$24:$U$30,MATCH("对"&amp;LEFT($C$5,2)&amp;"输出",标准坦克设计!$B$23:$U$23,0)))*(VLOOKUP($B122,INDIRECT($B$5&amp;"生成成长"),3))*(VLOOKUP($B$5,标准坦克设计!$B$14:$K$20,9)/30))</f>
        <v>19.981547439356852</v>
      </c>
      <c r="AC122" s="173">
        <f ca="1">(VLOOKUP(AC$72,INDIRECT($C$5&amp;"生成成长"),2))/((VLOOKUP($B122,INDIRECT($B$5&amp;"生成成长"),4))/(VLOOKUP(AC$72,INDIRECT($C$5&amp;"生成成长"),5))*(VLOOKUP($B$5,标准坦克设计!$B$24:$U$30,MATCH("对"&amp;LEFT($C$5,2)&amp;"输出",标准坦克设计!$B$23:$U$23,0)))*(VLOOKUP($B122,INDIRECT($B$5&amp;"生成成长"),3))*(VLOOKUP($B$5,标准坦克设计!$B$14:$K$20,9)/30))</f>
        <v>21.81379534949917</v>
      </c>
      <c r="AD122" s="173">
        <f ca="1">(VLOOKUP(AD$72,INDIRECT($C$5&amp;"生成成长"),2))/((VLOOKUP($B122,INDIRECT($B$5&amp;"生成成长"),4))/(VLOOKUP(AD$72,INDIRECT($C$5&amp;"生成成长"),5))*(VLOOKUP($B$5,标准坦克设计!$B$24:$U$30,MATCH("对"&amp;LEFT($C$5,2)&amp;"输出",标准坦克设计!$B$23:$U$23,0)))*(VLOOKUP($B122,INDIRECT($B$5&amp;"生成成长"),3))*(VLOOKUP($B$5,标准坦克设计!$B$14:$K$20,9)/30))</f>
        <v>23.726405010086332</v>
      </c>
      <c r="AE122" s="173">
        <f ca="1">(VLOOKUP(AE$72,INDIRECT($C$5&amp;"生成成长"),2))/((VLOOKUP($B122,INDIRECT($B$5&amp;"生成成长"),4))/(VLOOKUP(AE$72,INDIRECT($C$5&amp;"生成成长"),5))*(VLOOKUP($B$5,标准坦克设计!$B$24:$U$30,MATCH("对"&amp;LEFT($C$5,2)&amp;"输出",标准坦克设计!$B$23:$U$23,0)))*(VLOOKUP($B122,INDIRECT($B$5&amp;"生成成长"),3))*(VLOOKUP($B$5,标准坦克设计!$B$14:$K$20,9)/30))</f>
        <v>25.719376421118319</v>
      </c>
      <c r="AF122" s="173">
        <f ca="1">(VLOOKUP(AF$72,INDIRECT($C$5&amp;"生成成长"),2))/((VLOOKUP($B122,INDIRECT($B$5&amp;"生成成长"),4))/(VLOOKUP(AF$72,INDIRECT($C$5&amp;"生成成长"),5))*(VLOOKUP($B$5,标准坦克设计!$B$24:$U$30,MATCH("对"&amp;LEFT($C$5,2)&amp;"输出",标准坦克设计!$B$23:$U$23,0)))*(VLOOKUP($B122,INDIRECT($B$5&amp;"生成成长"),3))*(VLOOKUP($B$5,标准坦克设计!$B$14:$K$20,9)/30))</f>
        <v>27.792709582595148</v>
      </c>
      <c r="AG122" s="173">
        <f ca="1">(VLOOKUP(AG$72,INDIRECT($C$5&amp;"生成成长"),2))/((VLOOKUP($B122,INDIRECT($B$5&amp;"生成成长"),4))/(VLOOKUP(AG$72,INDIRECT($C$5&amp;"生成成长"),5))*(VLOOKUP($B$5,标准坦克设计!$B$24:$U$30,MATCH("对"&amp;LEFT($C$5,2)&amp;"输出",标准坦克设计!$B$23:$U$23,0)))*(VLOOKUP($B122,INDIRECT($B$5&amp;"生成成长"),3))*(VLOOKUP($B$5,标准坦克设计!$B$14:$K$20,9)/30))</f>
        <v>29.946404494516823</v>
      </c>
      <c r="AH122" s="173">
        <f ca="1">(VLOOKUP(AH$72,INDIRECT($C$5&amp;"生成成长"),2))/((VLOOKUP($B122,INDIRECT($B$5&amp;"生成成长"),4))/(VLOOKUP(AH$72,INDIRECT($C$5&amp;"生成成长"),5))*(VLOOKUP($B$5,标准坦克设计!$B$24:$U$30,MATCH("对"&amp;LEFT($C$5,2)&amp;"输出",标准坦克设计!$B$23:$U$23,0)))*(VLOOKUP($B122,INDIRECT($B$5&amp;"生成成长"),3))*(VLOOKUP($B$5,标准坦克设计!$B$14:$K$20,9)/30))</f>
        <v>32.180461156883332</v>
      </c>
      <c r="AI122" s="173">
        <f ca="1">(VLOOKUP(AI$72,INDIRECT($C$5&amp;"生成成长"),2))/((VLOOKUP($B122,INDIRECT($B$5&amp;"生成成长"),4))/(VLOOKUP(AI$72,INDIRECT($C$5&amp;"生成成长"),5))*(VLOOKUP($B$5,标准坦克设计!$B$24:$U$30,MATCH("对"&amp;LEFT($C$5,2)&amp;"输出",标准坦克设计!$B$23:$U$23,0)))*(VLOOKUP($B122,INDIRECT($B$5&amp;"生成成长"),3))*(VLOOKUP($B$5,标准坦克设计!$B$14:$K$20,9)/30))</f>
        <v>22.760054960987144</v>
      </c>
      <c r="AJ122" s="173">
        <f ca="1">(VLOOKUP(AJ$72,INDIRECT($C$5&amp;"生成成长"),2))/((VLOOKUP($B122,INDIRECT($B$5&amp;"生成成长"),4))/(VLOOKUP(AJ$72,INDIRECT($C$5&amp;"生成成长"),5))*(VLOOKUP($B$5,标准坦克设计!$B$24:$U$30,MATCH("对"&amp;LEFT($C$5,2)&amp;"输出",标准坦克设计!$B$23:$U$23,0)))*(VLOOKUP($B122,INDIRECT($B$5&amp;"生成成长"),3))*(VLOOKUP($B$5,标准坦克设计!$B$14:$K$20,9)/30))</f>
        <v>24.912544446652138</v>
      </c>
      <c r="AK122" s="173">
        <f ca="1">(VLOOKUP(AK$72,INDIRECT($C$5&amp;"生成成长"),2))/((VLOOKUP($B122,INDIRECT($B$5&amp;"生成成长"),4))/(VLOOKUP(AK$72,INDIRECT($C$5&amp;"生成成长"),5))*(VLOOKUP($B$5,标准坦克设计!$B$24:$U$30,MATCH("对"&amp;LEFT($C$5,2)&amp;"输出",标准坦克设计!$B$23:$U$23,0)))*(VLOOKUP($B122,INDIRECT($B$5&amp;"生成成长"),3))*(VLOOKUP($B$5,标准坦克设计!$B$14:$K$20,9)/30))</f>
        <v>27.1622716503554</v>
      </c>
      <c r="AL122" s="173">
        <f ca="1">(VLOOKUP(AL$72,INDIRECT($C$5&amp;"生成成长"),2))/((VLOOKUP($B122,INDIRECT($B$5&amp;"生成成长"),4))/(VLOOKUP(AL$72,INDIRECT($C$5&amp;"生成成长"),5))*(VLOOKUP($B$5,标准坦克设计!$B$24:$U$30,MATCH("对"&amp;LEFT($C$5,2)&amp;"输出",标准坦克设计!$B$23:$U$23,0)))*(VLOOKUP($B122,INDIRECT($B$5&amp;"生成成长"),3))*(VLOOKUP($B$5,标准坦克设计!$B$14:$K$20,9)/30))</f>
        <v>29.509236572096896</v>
      </c>
      <c r="AM122" s="173">
        <f ca="1">(VLOOKUP(AM$72,INDIRECT($C$5&amp;"生成成长"),2))/((VLOOKUP($B122,INDIRECT($B$5&amp;"生成成长"),4))/(VLOOKUP(AM$72,INDIRECT($C$5&amp;"生成成长"),5))*(VLOOKUP($B$5,标准坦克设计!$B$24:$U$30,MATCH("对"&amp;LEFT($C$5,2)&amp;"输出",标准坦克设计!$B$23:$U$23,0)))*(VLOOKUP($B122,INDIRECT($B$5&amp;"生成成长"),3))*(VLOOKUP($B$5,标准坦克设计!$B$14:$K$20,9)/30))</f>
        <v>31.953439211876667</v>
      </c>
      <c r="AN122" s="173">
        <f ca="1">(VLOOKUP(AN$72,INDIRECT($C$5&amp;"生成成长"),2))/((VLOOKUP($B122,INDIRECT($B$5&amp;"生成成长"),4))/(VLOOKUP(AN$72,INDIRECT($C$5&amp;"生成成长"),5))*(VLOOKUP($B$5,标准坦克设计!$B$24:$U$30,MATCH("对"&amp;LEFT($C$5,2)&amp;"输出",标准坦克设计!$B$23:$U$23,0)))*(VLOOKUP($B122,INDIRECT($B$5&amp;"生成成长"),3))*(VLOOKUP($B$5,标准坦克设计!$B$14:$K$20,9)/30))</f>
        <v>34.494879569694682</v>
      </c>
      <c r="AO122" s="173">
        <f ca="1">(VLOOKUP(AO$72,INDIRECT($C$5&amp;"生成成长"),2))/((VLOOKUP($B122,INDIRECT($B$5&amp;"生成成长"),4))/(VLOOKUP(AO$72,INDIRECT($C$5&amp;"生成成长"),5))*(VLOOKUP($B$5,标准坦克设计!$B$24:$U$30,MATCH("对"&amp;LEFT($C$5,2)&amp;"输出",标准坦克设计!$B$23:$U$23,0)))*(VLOOKUP($B122,INDIRECT($B$5&amp;"生成成长"),3))*(VLOOKUP($B$5,标准坦克设计!$B$14:$K$20,9)/30))</f>
        <v>37.133557645550951</v>
      </c>
      <c r="AP122" s="173">
        <f ca="1">(VLOOKUP(AP$72,INDIRECT($C$5&amp;"生成成长"),2))/((VLOOKUP($B122,INDIRECT($B$5&amp;"生成成长"),4))/(VLOOKUP(AP$72,INDIRECT($C$5&amp;"生成成长"),5))*(VLOOKUP($B$5,标准坦克设计!$B$24:$U$30,MATCH("对"&amp;LEFT($C$5,2)&amp;"输出",标准坦克设计!$B$23:$U$23,0)))*(VLOOKUP($B122,INDIRECT($B$5&amp;"生成成长"),3))*(VLOOKUP($B$5,标准坦克设计!$B$14:$K$20,9)/30))</f>
        <v>39.869473439445471</v>
      </c>
      <c r="AQ122" s="173">
        <f ca="1">(VLOOKUP(AQ$72,INDIRECT($C$5&amp;"生成成长"),2))/((VLOOKUP($B122,INDIRECT($B$5&amp;"生成成长"),4))/(VLOOKUP(AQ$72,INDIRECT($C$5&amp;"生成成长"),5))*(VLOOKUP($B$5,标准坦克设计!$B$24:$U$30,MATCH("对"&amp;LEFT($C$5,2)&amp;"输出",标准坦克设计!$B$23:$U$23,0)))*(VLOOKUP($B122,INDIRECT($B$5&amp;"生成成长"),3))*(VLOOKUP($B$5,标准坦克设计!$B$14:$K$20,9)/30))</f>
        <v>42.702626951378257</v>
      </c>
      <c r="AR122" s="173">
        <f ca="1">(VLOOKUP(AR$72,INDIRECT($C$5&amp;"生成成长"),2))/((VLOOKUP($B122,INDIRECT($B$5&amp;"生成成长"),4))/(VLOOKUP(AR$72,INDIRECT($C$5&amp;"生成成长"),5))*(VLOOKUP($B$5,标准坦克设计!$B$24:$U$30,MATCH("对"&amp;LEFT($C$5,2)&amp;"输出",标准坦克设计!$B$23:$U$23,0)))*(VLOOKUP($B122,INDIRECT($B$5&amp;"生成成长"),3))*(VLOOKUP($B$5,标准坦克设计!$B$14:$K$20,9)/30))</f>
        <v>45.633018181349279</v>
      </c>
      <c r="AS122" s="173">
        <f ca="1">(VLOOKUP(AS$72,INDIRECT($C$5&amp;"生成成长"),2))/((VLOOKUP($B122,INDIRECT($B$5&amp;"生成成长"),4))/(VLOOKUP(AS$72,INDIRECT($C$5&amp;"生成成长"),5))*(VLOOKUP($B$5,标准坦克设计!$B$24:$U$30,MATCH("对"&amp;LEFT($C$5,2)&amp;"输出",标准坦克设计!$B$23:$U$23,0)))*(VLOOKUP($B122,INDIRECT($B$5&amp;"生成成长"),3))*(VLOOKUP($B$5,标准坦克设计!$B$14:$K$20,9)/30))</f>
        <v>48.660647129358594</v>
      </c>
      <c r="AT122" s="173">
        <f ca="1">(VLOOKUP(AT$72,INDIRECT($C$5&amp;"生成成长"),2))/((VLOOKUP($B122,INDIRECT($B$5&amp;"生成成长"),4))/(VLOOKUP(AT$72,INDIRECT($C$5&amp;"生成成长"),5))*(VLOOKUP($B$5,标准坦克设计!$B$24:$U$30,MATCH("对"&amp;LEFT($C$5,2)&amp;"输出",标准坦克设计!$B$23:$U$23,0)))*(VLOOKUP($B122,INDIRECT($B$5&amp;"生成成长"),3))*(VLOOKUP($B$5,标准坦克设计!$B$14:$K$20,9)/30))</f>
        <v>51.785513795406125</v>
      </c>
      <c r="AU122" s="173">
        <f ca="1">(VLOOKUP(AU$72,INDIRECT($C$5&amp;"生成成长"),2))/((VLOOKUP($B122,INDIRECT($B$5&amp;"生成成长"),4))/(VLOOKUP(AU$72,INDIRECT($C$5&amp;"生成成长"),5))*(VLOOKUP($B$5,标准坦克设计!$B$24:$U$30,MATCH("对"&amp;LEFT($C$5,2)&amp;"输出",标准坦克设计!$B$23:$U$23,0)))*(VLOOKUP($B122,INDIRECT($B$5&amp;"生成成长"),3))*(VLOOKUP($B$5,标准坦克设计!$B$14:$K$20,9)/30))</f>
        <v>55.007618179491921</v>
      </c>
      <c r="AV122" s="173">
        <f ca="1">(VLOOKUP(AV$72,INDIRECT($C$5&amp;"生成成长"),2))/((VLOOKUP($B122,INDIRECT($B$5&amp;"生成成长"),4))/(VLOOKUP(AV$72,INDIRECT($C$5&amp;"生成成长"),5))*(VLOOKUP($B$5,标准坦克设计!$B$24:$U$30,MATCH("对"&amp;LEFT($C$5,2)&amp;"输出",标准坦克设计!$B$23:$U$23,0)))*(VLOOKUP($B122,INDIRECT($B$5&amp;"生成成长"),3))*(VLOOKUP($B$5,标准坦克设计!$B$14:$K$20,9)/30))</f>
        <v>5.5947850659696527</v>
      </c>
      <c r="AW122" s="173">
        <f ca="1">(VLOOKUP(AW$72,INDIRECT($C$5&amp;"生成成长"),2))/((VLOOKUP($B122,INDIRECT($B$5&amp;"生成成长"),4))/(VLOOKUP(AW$72,INDIRECT($C$5&amp;"生成成长"),5))*(VLOOKUP($B$5,标准坦克设计!$B$24:$U$30,MATCH("对"&amp;LEFT($C$5,2)&amp;"输出",标准坦克设计!$B$23:$U$23,0)))*(VLOOKUP($B122,INDIRECT($B$5&amp;"生成成长"),3))*(VLOOKUP($B$5,标准坦克设计!$B$14:$K$20,9)/30))</f>
        <v>6.379115750311275</v>
      </c>
      <c r="AX122" s="173">
        <f ca="1">(VLOOKUP(AX$72,INDIRECT($C$5&amp;"生成成长"),2))/((VLOOKUP($B122,INDIRECT($B$5&amp;"生成成长"),4))/(VLOOKUP(AX$72,INDIRECT($C$5&amp;"生成成长"),5))*(VLOOKUP($B$5,标准坦克设计!$B$24:$U$30,MATCH("对"&amp;LEFT($C$5,2)&amp;"输出",标准坦克设计!$B$23:$U$23,0)))*(VLOOKUP($B122,INDIRECT($B$5&amp;"生成成长"),3))*(VLOOKUP($B$5,标准坦克设计!$B$14:$K$20,9)/30))</f>
        <v>7.2148779549375961</v>
      </c>
      <c r="AY122" s="173">
        <f ca="1">(VLOOKUP(AY$72,INDIRECT($C$5&amp;"生成成长"),2))/((VLOOKUP($B122,INDIRECT($B$5&amp;"生成成长"),4))/(VLOOKUP(AY$72,INDIRECT($C$5&amp;"生成成长"),5))*(VLOOKUP($B$5,标准坦克设计!$B$24:$U$30,MATCH("对"&amp;LEFT($C$5,2)&amp;"输出",标准坦克设计!$B$23:$U$23,0)))*(VLOOKUP($B122,INDIRECT($B$5&amp;"生成成长"),3))*(VLOOKUP($B$5,标准坦克设计!$B$14:$K$20,9)/30))</f>
        <v>8.1020716798486134</v>
      </c>
      <c r="AZ122" s="173">
        <f ca="1">(VLOOKUP(AZ$72,INDIRECT($C$5&amp;"生成成长"),2))/((VLOOKUP($B122,INDIRECT($B$5&amp;"生成成长"),4))/(VLOOKUP(AZ$72,INDIRECT($C$5&amp;"生成成长"),5))*(VLOOKUP($B$5,标准坦克设计!$B$24:$U$30,MATCH("对"&amp;LEFT($C$5,2)&amp;"输出",标准坦克设计!$B$23:$U$23,0)))*(VLOOKUP($B122,INDIRECT($B$5&amp;"生成成长"),3))*(VLOOKUP($B$5,标准坦克设计!$B$14:$K$20,9)/30))</f>
        <v>9.0406969250443243</v>
      </c>
      <c r="BA122" s="173">
        <f ca="1">(VLOOKUP(BA$72,INDIRECT($C$5&amp;"生成成长"),2))/((VLOOKUP($B122,INDIRECT($B$5&amp;"生成成长"),4))/(VLOOKUP(BA$72,INDIRECT($C$5&amp;"生成成长"),5))*(VLOOKUP($B$5,标准坦克设计!$B$24:$U$30,MATCH("对"&amp;LEFT($C$5,2)&amp;"输出",标准坦克设计!$B$23:$U$23,0)))*(VLOOKUP($B122,INDIRECT($B$5&amp;"生成成长"),3))*(VLOOKUP($B$5,标准坦克设计!$B$14:$K$20,9)/30))</f>
        <v>10.030753690524737</v>
      </c>
      <c r="BB122" s="173">
        <f ca="1">(VLOOKUP(BB$72,INDIRECT($C$5&amp;"生成成长"),2))/((VLOOKUP($B122,INDIRECT($B$5&amp;"生成成长"),4))/(VLOOKUP(BB$72,INDIRECT($C$5&amp;"生成成长"),5))*(VLOOKUP($B$5,标准坦克设计!$B$24:$U$30,MATCH("对"&amp;LEFT($C$5,2)&amp;"输出",标准坦克设计!$B$23:$U$23,0)))*(VLOOKUP($B122,INDIRECT($B$5&amp;"生成成长"),3))*(VLOOKUP($B$5,标准坦克设计!$B$14:$K$20,9)/30))</f>
        <v>11.07224197628984</v>
      </c>
      <c r="BC122" s="173">
        <f ca="1">(VLOOKUP(BC$72,INDIRECT($C$5&amp;"生成成长"),2))/((VLOOKUP($B122,INDIRECT($B$5&amp;"生成成长"),4))/(VLOOKUP(BC$72,INDIRECT($C$5&amp;"生成成长"),5))*(VLOOKUP($B$5,标准坦克设计!$B$24:$U$30,MATCH("对"&amp;LEFT($C$5,2)&amp;"输出",标准坦克设计!$B$23:$U$23,0)))*(VLOOKUP($B122,INDIRECT($B$5&amp;"生成成长"),3))*(VLOOKUP($B$5,标准坦克设计!$B$14:$K$20,9)/30))</f>
        <v>12.165161782339649</v>
      </c>
      <c r="BD122" s="173">
        <f ca="1">(VLOOKUP(BD$72,INDIRECT($C$5&amp;"生成成长"),2))/((VLOOKUP($B122,INDIRECT($B$5&amp;"生成成长"),4))/(VLOOKUP(BD$72,INDIRECT($C$5&amp;"生成成长"),5))*(VLOOKUP($B$5,标准坦克设计!$B$24:$U$30,MATCH("对"&amp;LEFT($C$5,2)&amp;"输出",标准坦克设计!$B$23:$U$23,0)))*(VLOOKUP($B122,INDIRECT($B$5&amp;"生成成长"),3))*(VLOOKUP($B$5,标准坦克设计!$B$14:$K$20,9)/30))</f>
        <v>13.456173303235973</v>
      </c>
      <c r="BE122" s="173">
        <f ca="1">(VLOOKUP(BE$72,INDIRECT($C$5&amp;"生成成长"),2))/((VLOOKUP($B122,INDIRECT($B$5&amp;"生成成长"),4))/(VLOOKUP(BE$72,INDIRECT($C$5&amp;"生成成长"),5))*(VLOOKUP($B$5,标准坦克设计!$B$24:$U$30,MATCH("对"&amp;LEFT($C$5,2)&amp;"输出",标准坦克设计!$B$23:$U$23,0)))*(VLOOKUP($B122,INDIRECT($B$5&amp;"生成成长"),3))*(VLOOKUP($B$5,标准坦克设计!$B$14:$K$20,9)/30))</f>
        <v>14.812277841992621</v>
      </c>
      <c r="BF122" s="173">
        <f ca="1">(VLOOKUP(BF$72,INDIRECT($C$5&amp;"生成成长"),2))/((VLOOKUP($B122,INDIRECT($B$5&amp;"生成成长"),4))/(VLOOKUP(BF$72,INDIRECT($C$5&amp;"生成成长"),5))*(VLOOKUP($B$5,标准坦克设计!$B$24:$U$30,MATCH("对"&amp;LEFT($C$5,2)&amp;"输出",标准坦克设计!$B$23:$U$23,0)))*(VLOOKUP($B122,INDIRECT($B$5&amp;"生成成长"),3))*(VLOOKUP($B$5,标准坦克设计!$B$14:$K$20,9)/30))</f>
        <v>16.233475398609588</v>
      </c>
      <c r="BG122" s="173">
        <f ca="1">(VLOOKUP(BG$72,INDIRECT($C$5&amp;"生成成长"),2))/((VLOOKUP($B122,INDIRECT($B$5&amp;"生成成长"),4))/(VLOOKUP(BG$72,INDIRECT($C$5&amp;"生成成长"),5))*(VLOOKUP($B$5,标准坦克设计!$B$24:$U$30,MATCH("对"&amp;LEFT($C$5,2)&amp;"输出",标准坦克设计!$B$23:$U$23,0)))*(VLOOKUP($B122,INDIRECT($B$5&amp;"生成成长"),3))*(VLOOKUP($B$5,标准坦克设计!$B$14:$K$20,9)/30))</f>
        <v>17.719765973086879</v>
      </c>
      <c r="BH122" s="173">
        <f ca="1">(VLOOKUP(BH$72,INDIRECT($C$5&amp;"生成成长"),2))/((VLOOKUP($B122,INDIRECT($B$5&amp;"生成成长"),4))/(VLOOKUP(BH$72,INDIRECT($C$5&amp;"生成成长"),5))*(VLOOKUP($B$5,标准坦克设计!$B$24:$U$30,MATCH("对"&amp;LEFT($C$5,2)&amp;"输出",标准坦克设计!$B$23:$U$23,0)))*(VLOOKUP($B122,INDIRECT($B$5&amp;"生成成长"),3))*(VLOOKUP($B$5,标准坦克设计!$B$14:$K$20,9)/30))</f>
        <v>8.5649553624108812</v>
      </c>
      <c r="BI122" s="173">
        <f ca="1">(VLOOKUP(BI$72,INDIRECT($C$5&amp;"生成成长"),2))/((VLOOKUP($B122,INDIRECT($B$5&amp;"生成成长"),4))/(VLOOKUP(BI$72,INDIRECT($C$5&amp;"生成成长"),5))*(VLOOKUP($B$5,标准坦克设计!$B$24:$U$30,MATCH("对"&amp;LEFT($C$5,2)&amp;"输出",标准坦克设计!$B$23:$U$23,0)))*(VLOOKUP($B122,INDIRECT($B$5&amp;"生成成长"),3))*(VLOOKUP($B$5,标准坦克设计!$B$14:$K$20,9)/30))</f>
        <v>9.6534552721862177</v>
      </c>
      <c r="BJ122" s="173">
        <f ca="1">(VLOOKUP(BJ$72,INDIRECT($C$5&amp;"生成成长"),2))/((VLOOKUP($B122,INDIRECT($B$5&amp;"生成成长"),4))/(VLOOKUP(BJ$72,INDIRECT($C$5&amp;"生成成长"),5))*(VLOOKUP($B$5,标准坦克设计!$B$24:$U$30,MATCH("对"&amp;LEFT($C$5,2)&amp;"输出",标准坦克设计!$B$23:$U$23,0)))*(VLOOKUP($B122,INDIRECT($B$5&amp;"生成成长"),3))*(VLOOKUP($B$5,标准坦克设计!$B$14:$K$20,9)/30))</f>
        <v>10.807048199821876</v>
      </c>
      <c r="BK122" s="173">
        <f ca="1">(VLOOKUP(BK$72,INDIRECT($C$5&amp;"生成成长"),2))/((VLOOKUP($B122,INDIRECT($B$5&amp;"生成成长"),4))/(VLOOKUP(BK$72,INDIRECT($C$5&amp;"生成成长"),5))*(VLOOKUP($B$5,标准坦克设计!$B$24:$U$30,MATCH("对"&amp;LEFT($C$5,2)&amp;"输出",标准坦克设计!$B$23:$U$23,0)))*(VLOOKUP($B122,INDIRECT($B$5&amp;"生成成长"),3))*(VLOOKUP($B$5,标准坦克设计!$B$14:$K$20,9)/30))</f>
        <v>12.02573414531785</v>
      </c>
      <c r="BL122" s="173">
        <f ca="1">(VLOOKUP(BL$72,INDIRECT($C$5&amp;"生成成长"),2))/((VLOOKUP($B122,INDIRECT($B$5&amp;"生成成长"),4))/(VLOOKUP(BL$72,INDIRECT($C$5&amp;"生成成长"),5))*(VLOOKUP($B$5,标准坦克设计!$B$24:$U$30,MATCH("对"&amp;LEFT($C$5,2)&amp;"输出",标准坦克设计!$B$23:$U$23,0)))*(VLOOKUP($B122,INDIRECT($B$5&amp;"生成成长"),3))*(VLOOKUP($B$5,标准坦克设计!$B$14:$K$20,9)/30))</f>
        <v>13.309513108674143</v>
      </c>
      <c r="BM122" s="173">
        <f ca="1">(VLOOKUP(BM$72,INDIRECT($C$5&amp;"生成成长"),2))/((VLOOKUP($B122,INDIRECT($B$5&amp;"生成成长"),4))/(VLOOKUP(BM$72,INDIRECT($C$5&amp;"生成成长"),5))*(VLOOKUP($B$5,标准坦克设计!$B$24:$U$30,MATCH("对"&amp;LEFT($C$5,2)&amp;"输出",标准坦克设计!$B$23:$U$23,0)))*(VLOOKUP($B122,INDIRECT($B$5&amp;"生成成长"),3))*(VLOOKUP($B$5,标准坦克设计!$B$14:$K$20,9)/30))</f>
        <v>14.658385089890755</v>
      </c>
      <c r="BN122" s="173">
        <f ca="1">(VLOOKUP(BN$72,INDIRECT($C$5&amp;"生成成长"),2))/((VLOOKUP($B122,INDIRECT($B$5&amp;"生成成长"),4))/(VLOOKUP(BN$72,INDIRECT($C$5&amp;"生成成长"),5))*(VLOOKUP($B$5,标准坦克设计!$B$24:$U$30,MATCH("对"&amp;LEFT($C$5,2)&amp;"输出",标准坦克设计!$B$23:$U$23,0)))*(VLOOKUP($B122,INDIRECT($B$5&amp;"生成成长"),3))*(VLOOKUP($B$5,标准坦克设计!$B$14:$K$20,9)/30))</f>
        <v>16.072350088967692</v>
      </c>
      <c r="BO122" s="173">
        <f ca="1">(VLOOKUP(BO$72,INDIRECT($C$5&amp;"生成成长"),2))/((VLOOKUP($B122,INDIRECT($B$5&amp;"生成成长"),4))/(VLOOKUP(BO$72,INDIRECT($C$5&amp;"生成成长"),5))*(VLOOKUP($B$5,标准坦克设计!$B$24:$U$30,MATCH("对"&amp;LEFT($C$5,2)&amp;"输出",标准坦克设计!$B$23:$U$23,0)))*(VLOOKUP($B122,INDIRECT($B$5&amp;"生成成长"),3))*(VLOOKUP($B$5,标准坦克设计!$B$14:$K$20,9)/30))</f>
        <v>17.551408105904944</v>
      </c>
      <c r="BP122" s="173">
        <f ca="1">(VLOOKUP(BP$72,INDIRECT($C$5&amp;"生成成长"),2))/((VLOOKUP($B122,INDIRECT($B$5&amp;"生成成长"),4))/(VLOOKUP(BP$72,INDIRECT($C$5&amp;"生成成长"),5))*(VLOOKUP($B$5,标准坦克设计!$B$24:$U$30,MATCH("对"&amp;LEFT($C$5,2)&amp;"输出",标准坦克设计!$B$23:$U$23,0)))*(VLOOKUP($B122,INDIRECT($B$5&amp;"生成成长"),3))*(VLOOKUP($B$5,标准坦克设计!$B$14:$K$20,9)/30))</f>
        <v>19.095559140702512</v>
      </c>
      <c r="BQ122" s="173">
        <f ca="1">(VLOOKUP(BQ$72,INDIRECT($C$5&amp;"生成成长"),2))/((VLOOKUP($B122,INDIRECT($B$5&amp;"生成成长"),4))/(VLOOKUP(BQ$72,INDIRECT($C$5&amp;"生成成长"),5))*(VLOOKUP($B$5,标准坦克设计!$B$24:$U$30,MATCH("对"&amp;LEFT($C$5,2)&amp;"输出",标准坦克设计!$B$23:$U$23,0)))*(VLOOKUP($B122,INDIRECT($B$5&amp;"生成成长"),3))*(VLOOKUP($B$5,标准坦克设计!$B$14:$K$20,9)/30))</f>
        <v>20.704803193360402</v>
      </c>
      <c r="BR122" s="173">
        <f ca="1">(VLOOKUP(BR$72,INDIRECT($C$5&amp;"生成成长"),2))/((VLOOKUP($B122,INDIRECT($B$5&amp;"生成成长"),4))/(VLOOKUP(BR$72,INDIRECT($C$5&amp;"生成成长"),5))*(VLOOKUP($B$5,标准坦克设计!$B$24:$U$30,MATCH("对"&amp;LEFT($C$5,2)&amp;"输出",标准坦克设计!$B$23:$U$23,0)))*(VLOOKUP($B122,INDIRECT($B$5&amp;"生成成长"),3))*(VLOOKUP($B$5,标准坦克设计!$B$14:$K$20,9)/30))</f>
        <v>22.56919580368065</v>
      </c>
      <c r="BS122" s="173">
        <f ca="1">(VLOOKUP(BS$72,INDIRECT($C$5&amp;"生成成长"),2))/((VLOOKUP($B122,INDIRECT($B$5&amp;"生成成长"),4))/(VLOOKUP(BS$72,INDIRECT($C$5&amp;"生成成长"),5))*(VLOOKUP($B$5,标准坦克设计!$B$24:$U$30,MATCH("对"&amp;LEFT($C$5,2)&amp;"输出",标准坦克设计!$B$23:$U$23,0)))*(VLOOKUP($B122,INDIRECT($B$5&amp;"生成成长"),3))*(VLOOKUP($B$5,标准坦克设计!$B$14:$K$20,9)/30))</f>
        <v>24.513950164445745</v>
      </c>
      <c r="BT122" s="173">
        <f ca="1">(VLOOKUP(BT$72,INDIRECT($C$5&amp;"生成成长"),2))/((VLOOKUP($B122,INDIRECT($B$5&amp;"生成成长"),4))/(VLOOKUP(BT$72,INDIRECT($C$5&amp;"生成成长"),5))*(VLOOKUP($B$5,标准坦克设计!$B$24:$U$30,MATCH("对"&amp;LEFT($C$5,2)&amp;"输出",标准坦克设计!$B$23:$U$23,0)))*(VLOOKUP($B122,INDIRECT($B$5&amp;"生成成长"),3))*(VLOOKUP($B$5,标准坦克设计!$B$14:$K$20,9)/30))</f>
        <v>26.539066275655674</v>
      </c>
      <c r="BU122" s="173">
        <f ca="1">(VLOOKUP(BU$72,INDIRECT($C$5&amp;"生成成长"),2))/((VLOOKUP($B122,INDIRECT($B$5&amp;"生成成长"),4))/(VLOOKUP(BU$72,INDIRECT($C$5&amp;"生成成长"),5))*(VLOOKUP($B$5,标准坦克设计!$B$24:$U$30,MATCH("对"&amp;LEFT($C$5,2)&amp;"输出",标准坦克设计!$B$23:$U$23,0)))*(VLOOKUP($B122,INDIRECT($B$5&amp;"生成成长"),3))*(VLOOKUP($B$5,标准坦克设计!$B$14:$K$20,9)/30))</f>
        <v>28.644544137310437</v>
      </c>
      <c r="BV122" s="173">
        <f ca="1">(VLOOKUP(BV$72,INDIRECT($C$5&amp;"生成成长"),2))/((VLOOKUP($B122,INDIRECT($B$5&amp;"生成成长"),4))/(VLOOKUP(BV$72,INDIRECT($C$5&amp;"生成成长"),5))*(VLOOKUP($B$5,标准坦克设计!$B$24:$U$30,MATCH("对"&amp;LEFT($C$5,2)&amp;"输出",标准坦克设计!$B$23:$U$23,0)))*(VLOOKUP($B122,INDIRECT($B$5&amp;"生成成长"),3))*(VLOOKUP($B$5,标准坦克设计!$B$14:$K$20,9)/30))</f>
        <v>30.830383749410039</v>
      </c>
      <c r="BW122" s="173">
        <f ca="1">(VLOOKUP(BW$72,INDIRECT($C$5&amp;"生成成长"),2))/((VLOOKUP($B122,INDIRECT($B$5&amp;"生成成长"),4))/(VLOOKUP(BW$72,INDIRECT($C$5&amp;"生成成长"),5))*(VLOOKUP($B$5,标准坦克设计!$B$24:$U$30,MATCH("对"&amp;LEFT($C$5,2)&amp;"输出",标准坦克设计!$B$23:$U$23,0)))*(VLOOKUP($B122,INDIRECT($B$5&amp;"生成成长"),3))*(VLOOKUP($B$5,标准坦克设计!$B$14:$K$20,9)/30))</f>
        <v>14.050850256527777</v>
      </c>
      <c r="BX122" s="173">
        <f ca="1">(VLOOKUP(BX$72,INDIRECT($C$5&amp;"生成成长"),2))/((VLOOKUP($B122,INDIRECT($B$5&amp;"生成成长"),4))/(VLOOKUP(BX$72,INDIRECT($C$5&amp;"生成成长"),5))*(VLOOKUP($B$5,标准坦克设计!$B$24:$U$30,MATCH("对"&amp;LEFT($C$5,2)&amp;"输出",标准坦克设计!$B$23:$U$23,0)))*(VLOOKUP($B122,INDIRECT($B$5&amp;"生成成长"),3))*(VLOOKUP($B$5,标准坦克设计!$B$14:$K$20,9)/30))</f>
        <v>15.593795865068676</v>
      </c>
      <c r="BY122" s="173">
        <f ca="1">(VLOOKUP(BY$72,INDIRECT($C$5&amp;"生成成长"),2))/((VLOOKUP($B122,INDIRECT($B$5&amp;"生成成长"),4))/(VLOOKUP(BY$72,INDIRECT($C$5&amp;"生成成长"),5))*(VLOOKUP($B$5,标准坦克设计!$B$24:$U$30,MATCH("对"&amp;LEFT($C$5,2)&amp;"输出",标准坦克设计!$B$23:$U$23,0)))*(VLOOKUP($B122,INDIRECT($B$5&amp;"生成成长"),3))*(VLOOKUP($B$5,标准坦克设计!$B$14:$K$20,9)/30))</f>
        <v>17.217103224054412</v>
      </c>
      <c r="BZ122" s="173">
        <f ca="1">(VLOOKUP(BZ$72,INDIRECT($C$5&amp;"生成成长"),2))/((VLOOKUP($B122,INDIRECT($B$5&amp;"生成成长"),4))/(VLOOKUP(BZ$72,INDIRECT($C$5&amp;"生成成长"),5))*(VLOOKUP($B$5,标准坦克设计!$B$24:$U$30,MATCH("对"&amp;LEFT($C$5,2)&amp;"输出",标准坦克设计!$B$23:$U$23,0)))*(VLOOKUP($B122,INDIRECT($B$5&amp;"生成成长"),3))*(VLOOKUP($B$5,标准坦克设计!$B$14:$K$20,9)/30))</f>
        <v>18.920772333484987</v>
      </c>
      <c r="CA122" s="173">
        <f ca="1">(VLOOKUP(CA$72,INDIRECT($C$5&amp;"生成成长"),2))/((VLOOKUP($B122,INDIRECT($B$5&amp;"生成成长"),4))/(VLOOKUP(CA$72,INDIRECT($C$5&amp;"生成成长"),5))*(VLOOKUP($B$5,标准坦克设计!$B$24:$U$30,MATCH("对"&amp;LEFT($C$5,2)&amp;"输出",标准坦克设计!$B$23:$U$23,0)))*(VLOOKUP($B122,INDIRECT($B$5&amp;"生成成长"),3))*(VLOOKUP($B$5,标准坦克设计!$B$14:$K$20,9)/30))</f>
        <v>20.704803193360402</v>
      </c>
      <c r="CB122" s="173">
        <f ca="1">(VLOOKUP(CB$72,INDIRECT($C$5&amp;"生成成长"),2))/((VLOOKUP($B122,INDIRECT($B$5&amp;"生成成长"),4))/(VLOOKUP(CB$72,INDIRECT($C$5&amp;"生成成长"),5))*(VLOOKUP($B$5,标准坦克设计!$B$24:$U$30,MATCH("对"&amp;LEFT($C$5,2)&amp;"输出",标准坦克设计!$B$23:$U$23,0)))*(VLOOKUP($B122,INDIRECT($B$5&amp;"生成成长"),3))*(VLOOKUP($B$5,标准坦克设计!$B$14:$K$20,9)/30))</f>
        <v>22.56919580368065</v>
      </c>
      <c r="CC122" s="173">
        <f ca="1">(VLOOKUP(CC$72,INDIRECT($C$5&amp;"生成成长"),2))/((VLOOKUP($B122,INDIRECT($B$5&amp;"生成成长"),4))/(VLOOKUP(CC$72,INDIRECT($C$5&amp;"生成成长"),5))*(VLOOKUP($B$5,标准坦克设计!$B$24:$U$30,MATCH("对"&amp;LEFT($C$5,2)&amp;"输出",标准坦克设计!$B$23:$U$23,0)))*(VLOOKUP($B122,INDIRECT($B$5&amp;"生成成长"),3))*(VLOOKUP($B$5,标准坦克设计!$B$14:$K$20,9)/30))</f>
        <v>24.513950164445745</v>
      </c>
      <c r="CD122" s="173">
        <f ca="1">(VLOOKUP(CD$72,INDIRECT($C$5&amp;"生成成长"),2))/((VLOOKUP($B122,INDIRECT($B$5&amp;"生成成长"),4))/(VLOOKUP(CD$72,INDIRECT($C$5&amp;"生成成长"),5))*(VLOOKUP($B$5,标准坦克设计!$B$24:$U$30,MATCH("对"&amp;LEFT($C$5,2)&amp;"输出",标准坦克设计!$B$23:$U$23,0)))*(VLOOKUP($B122,INDIRECT($B$5&amp;"生成成长"),3))*(VLOOKUP($B$5,标准坦克设计!$B$14:$K$20,9)/30))</f>
        <v>26.539066275655674</v>
      </c>
      <c r="CE122" s="173">
        <f ca="1">(VLOOKUP(CE$72,INDIRECT($C$5&amp;"生成成长"),2))/((VLOOKUP($B122,INDIRECT($B$5&amp;"生成成长"),4))/(VLOOKUP(CE$72,INDIRECT($C$5&amp;"生成成长"),5))*(VLOOKUP($B$5,标准坦克设计!$B$24:$U$30,MATCH("对"&amp;LEFT($C$5,2)&amp;"输出",标准坦克设计!$B$23:$U$23,0)))*(VLOOKUP($B122,INDIRECT($B$5&amp;"生成成长"),3))*(VLOOKUP($B$5,标准坦克设计!$B$14:$K$20,9)/30))</f>
        <v>28.644544137310437</v>
      </c>
      <c r="CF122" s="173">
        <f ca="1">(VLOOKUP(CF$72,INDIRECT($C$5&amp;"生成成长"),2))/((VLOOKUP($B122,INDIRECT($B$5&amp;"生成成长"),4))/(VLOOKUP(CF$72,INDIRECT($C$5&amp;"生成成长"),5))*(VLOOKUP($B$5,标准坦克设计!$B$24:$U$30,MATCH("对"&amp;LEFT($C$5,2)&amp;"输出",标准坦克设计!$B$23:$U$23,0)))*(VLOOKUP($B122,INDIRECT($B$5&amp;"生成成长"),3))*(VLOOKUP($B$5,标准坦克设计!$B$14:$K$20,9)/30))</f>
        <v>30.830383749410039</v>
      </c>
      <c r="CG122" s="173">
        <f ca="1">(VLOOKUP(CG$72,INDIRECT($C$5&amp;"生成成长"),2))/((VLOOKUP($B122,INDIRECT($B$5&amp;"生成成长"),4))/(VLOOKUP(CG$72,INDIRECT($C$5&amp;"生成成长"),5))*(VLOOKUP($B$5,标准坦克设计!$B$24:$U$30,MATCH("对"&amp;LEFT($C$5,2)&amp;"输出",标准坦克设计!$B$23:$U$23,0)))*(VLOOKUP($B122,INDIRECT($B$5&amp;"生成成长"),3))*(VLOOKUP($B$5,标准坦克设计!$B$14:$K$20,9)/30))</f>
        <v>33.096585111954489</v>
      </c>
      <c r="CH122" s="173">
        <f ca="1">(VLOOKUP(CH$72,INDIRECT($C$5&amp;"生成成长"),2))/((VLOOKUP($B122,INDIRECT($B$5&amp;"生成成长"),4))/(VLOOKUP(CH$72,INDIRECT($C$5&amp;"生成成长"),5))*(VLOOKUP($B$5,标准坦克设计!$B$24:$U$30,MATCH("对"&amp;LEFT($C$5,2)&amp;"输出",标准坦克设计!$B$23:$U$23,0)))*(VLOOKUP($B122,INDIRECT($B$5&amp;"生成成长"),3))*(VLOOKUP($B$5,标准坦克设计!$B$14:$K$20,9)/30))</f>
        <v>35.443148224943769</v>
      </c>
      <c r="CI122" s="173">
        <f ca="1">(VLOOKUP(CI$72,INDIRECT($C$5&amp;"生成成长"),2))/((VLOOKUP($B122,INDIRECT($B$5&amp;"生成成长"),4))/(VLOOKUP(CI$72,INDIRECT($C$5&amp;"生成成长"),5))*(VLOOKUP($B$5,标准坦克设计!$B$24:$U$30,MATCH("对"&amp;LEFT($C$5,2)&amp;"输出",标准坦克设计!$B$23:$U$23,0)))*(VLOOKUP($B122,INDIRECT($B$5&amp;"生成成长"),3))*(VLOOKUP($B$5,标准坦克设计!$B$14:$K$20,9)/30))</f>
        <v>38.117185470995778</v>
      </c>
      <c r="CJ122" s="173">
        <f ca="1">(VLOOKUP(CJ$72,INDIRECT($C$5&amp;"生成成长"),2))/((VLOOKUP($B122,INDIRECT($B$5&amp;"生成成长"),4))/(VLOOKUP(CJ$72,INDIRECT($C$5&amp;"生成成长"),5))*(VLOOKUP($B$5,标准坦克设计!$B$24:$U$30,MATCH("对"&amp;LEFT($C$5,2)&amp;"输出",标准坦克设计!$B$23:$U$23,0)))*(VLOOKUP($B122,INDIRECT($B$5&amp;"生成成长"),3))*(VLOOKUP($B$5,标准坦克设计!$B$14:$K$20,9)/30))</f>
        <v>40.888460435086024</v>
      </c>
      <c r="CK122" s="173">
        <f ca="1">(VLOOKUP(CK$72,INDIRECT($C$5&amp;"生成成长"),2))/((VLOOKUP($B122,INDIRECT($B$5&amp;"生成成长"),4))/(VLOOKUP(CK$72,INDIRECT($C$5&amp;"生成成长"),5))*(VLOOKUP($B$5,标准坦克设计!$B$24:$U$30,MATCH("对"&amp;LEFT($C$5,2)&amp;"输出",标准坦克设计!$B$23:$U$23,0)))*(VLOOKUP($B122,INDIRECT($B$5&amp;"生成成长"),3))*(VLOOKUP($B$5,标准坦克设计!$B$14:$K$20,9)/30))</f>
        <v>43.756973117214535</v>
      </c>
      <c r="CL122" s="173">
        <f ca="1">(VLOOKUP(CL$72,INDIRECT($C$5&amp;"生成成长"),2))/((VLOOKUP($B122,INDIRECT($B$5&amp;"生成成长"),4))/(VLOOKUP(CL$72,INDIRECT($C$5&amp;"生成成长"),5))*(VLOOKUP($B$5,标准坦克设计!$B$24:$U$30,MATCH("对"&amp;LEFT($C$5,2)&amp;"输出",标准坦克设计!$B$23:$U$23,0)))*(VLOOKUP($B122,INDIRECT($B$5&amp;"生成成长"),3))*(VLOOKUP($B$5,标准坦克设计!$B$14:$K$20,9)/30))</f>
        <v>46.722723517381304</v>
      </c>
      <c r="CM122" s="173">
        <f ca="1">(VLOOKUP(CM$72,INDIRECT($C$5&amp;"生成成长"),2))/((VLOOKUP($B122,INDIRECT($B$5&amp;"生成成长"),4))/(VLOOKUP(CM$72,INDIRECT($C$5&amp;"生成成长"),5))*(VLOOKUP($B$5,标准坦克设计!$B$24:$U$30,MATCH("对"&amp;LEFT($C$5,2)&amp;"输出",标准坦克设计!$B$23:$U$23,0)))*(VLOOKUP($B122,INDIRECT($B$5&amp;"生成成长"),3))*(VLOOKUP($B$5,标准坦克设计!$B$14:$K$20,9)/30))</f>
        <v>49.78571163558631</v>
      </c>
      <c r="CN122" s="173">
        <f ca="1">(VLOOKUP(CN$72,INDIRECT($C$5&amp;"生成成长"),2))/((VLOOKUP($B122,INDIRECT($B$5&amp;"生成成长"),4))/(VLOOKUP(CN$72,INDIRECT($C$5&amp;"生成成长"),5))*(VLOOKUP($B$5,标准坦克设计!$B$24:$U$30,MATCH("对"&amp;LEFT($C$5,2)&amp;"输出",标准坦克设计!$B$23:$U$23,0)))*(VLOOKUP($B122,INDIRECT($B$5&amp;"生成成长"),3))*(VLOOKUP($B$5,标准坦克设计!$B$14:$K$20,9)/30))</f>
        <v>52.945937471829581</v>
      </c>
      <c r="CO122" s="173">
        <f ca="1">(VLOOKUP(CO$72,INDIRECT($C$5&amp;"生成成长"),2))/((VLOOKUP($B122,INDIRECT($B$5&amp;"生成成长"),4))/(VLOOKUP(CO$72,INDIRECT($C$5&amp;"生成成长"),5))*(VLOOKUP($B$5,标准坦克设计!$B$24:$U$30,MATCH("对"&amp;LEFT($C$5,2)&amp;"输出",标准坦克设计!$B$23:$U$23,0)))*(VLOOKUP($B122,INDIRECT($B$5&amp;"生成成长"),3))*(VLOOKUP($B$5,标准坦克设计!$B$14:$K$20,9)/30))</f>
        <v>23.726405010086332</v>
      </c>
      <c r="CP122" s="173">
        <f ca="1">(VLOOKUP(CP$72,INDIRECT($C$5&amp;"生成成长"),2))/((VLOOKUP($B122,INDIRECT($B$5&amp;"生成成长"),4))/(VLOOKUP(CP$72,INDIRECT($C$5&amp;"生成成长"),5))*(VLOOKUP($B$5,标准坦克设计!$B$24:$U$30,MATCH("对"&amp;LEFT($C$5,2)&amp;"输出",标准坦克设计!$B$23:$U$23,0)))*(VLOOKUP($B122,INDIRECT($B$5&amp;"生成成长"),3))*(VLOOKUP($B$5,标准坦克设计!$B$14:$K$20,9)/30))</f>
        <v>25.923093458495991</v>
      </c>
      <c r="CQ122" s="173">
        <f ca="1">(VLOOKUP(CQ$72,INDIRECT($C$5&amp;"生成成长"),2))/((VLOOKUP($B122,INDIRECT($B$5&amp;"生成成长"),4))/(VLOOKUP(CQ$72,INDIRECT($C$5&amp;"生成成长"),5))*(VLOOKUP($B$5,标准坦克设计!$B$24:$U$30,MATCH("对"&amp;LEFT($C$5,2)&amp;"输出",标准坦克设计!$B$23:$U$23,0)))*(VLOOKUP($B122,INDIRECT($B$5&amp;"生成成长"),3))*(VLOOKUP($B$5,标准坦克设计!$B$14:$K$20,9)/30))</f>
        <v>28.217019624943898</v>
      </c>
      <c r="CR122" s="173">
        <f ca="1">(VLOOKUP(CR$72,INDIRECT($C$5&amp;"生成成长"),2))/((VLOOKUP($B122,INDIRECT($B$5&amp;"生成成长"),4))/(VLOOKUP(CR$72,INDIRECT($C$5&amp;"生成成长"),5))*(VLOOKUP($B$5,标准坦克设计!$B$24:$U$30,MATCH("对"&amp;LEFT($C$5,2)&amp;"输出",标准坦克设计!$B$23:$U$23,0)))*(VLOOKUP($B122,INDIRECT($B$5&amp;"生成成长"),3))*(VLOOKUP($B$5,标准坦克设计!$B$14:$K$20,9)/30))</f>
        <v>30.60818350943007</v>
      </c>
      <c r="CS122" s="173">
        <f ca="1">(VLOOKUP(CS$72,INDIRECT($C$5&amp;"生成成长"),2))/((VLOOKUP($B122,INDIRECT($B$5&amp;"生成成长"),4))/(VLOOKUP(CS$72,INDIRECT($C$5&amp;"生成成长"),5))*(VLOOKUP($B$5,标准坦克设计!$B$24:$U$30,MATCH("对"&amp;LEFT($C$5,2)&amp;"输出",标准坦克设计!$B$23:$U$23,0)))*(VLOOKUP($B122,INDIRECT($B$5&amp;"生成成长"),3))*(VLOOKUP($B$5,标准坦克设计!$B$14:$K$20,9)/30))</f>
        <v>33.096585111954489</v>
      </c>
      <c r="CT122" s="173">
        <f ca="1">(VLOOKUP(CT$72,INDIRECT($C$5&amp;"生成成长"),2))/((VLOOKUP($B122,INDIRECT($B$5&amp;"生成成长"),4))/(VLOOKUP(CT$72,INDIRECT($C$5&amp;"生成成长"),5))*(VLOOKUP($B$5,标准坦克设计!$B$24:$U$30,MATCH("对"&amp;LEFT($C$5,2)&amp;"输出",标准坦克设计!$B$23:$U$23,0)))*(VLOOKUP($B122,INDIRECT($B$5&amp;"生成成长"),3))*(VLOOKUP($B$5,标准坦克设计!$B$14:$K$20,9)/30))</f>
        <v>35.682224432517167</v>
      </c>
      <c r="CU122" s="173">
        <f ca="1">(VLOOKUP(CU$72,INDIRECT($C$5&amp;"生成成长"),2))/((VLOOKUP($B122,INDIRECT($B$5&amp;"生成成长"),4))/(VLOOKUP(CU$72,INDIRECT($C$5&amp;"生成成长"),5))*(VLOOKUP($B$5,标准坦克设计!$B$24:$U$30,MATCH("对"&amp;LEFT($C$5,2)&amp;"输出",标准坦克设计!$B$23:$U$23,0)))*(VLOOKUP($B122,INDIRECT($B$5&amp;"生成成长"),3))*(VLOOKUP($B$5,标准坦克设计!$B$14:$K$20,9)/30))</f>
        <v>38.365101471118102</v>
      </c>
      <c r="CV122" s="173">
        <f ca="1">(VLOOKUP(CV$72,INDIRECT($C$5&amp;"生成成长"),2))/((VLOOKUP($B122,INDIRECT($B$5&amp;"生成成长"),4))/(VLOOKUP(CV$72,INDIRECT($C$5&amp;"生成成长"),5))*(VLOOKUP($B$5,标准坦克设计!$B$24:$U$30,MATCH("对"&amp;LEFT($C$5,2)&amp;"输出",标准坦克设计!$B$23:$U$23,0)))*(VLOOKUP($B122,INDIRECT($B$5&amp;"生成成长"),3))*(VLOOKUP($B$5,标准坦克设计!$B$14:$K$20,9)/30))</f>
        <v>41.145216227757281</v>
      </c>
      <c r="CW122" s="173">
        <f ca="1">(VLOOKUP(CW$72,INDIRECT($C$5&amp;"生成成长"),2))/((VLOOKUP($B122,INDIRECT($B$5&amp;"生成成长"),4))/(VLOOKUP(CW$72,INDIRECT($C$5&amp;"生成成长"),5))*(VLOOKUP($B$5,标准坦克设计!$B$24:$U$30,MATCH("对"&amp;LEFT($C$5,2)&amp;"输出",标准坦克设计!$B$23:$U$23,0)))*(VLOOKUP($B122,INDIRECT($B$5&amp;"生成成长"),3))*(VLOOKUP($B$5,标准坦克设计!$B$14:$K$20,9)/30))</f>
        <v>44.022568702434725</v>
      </c>
      <c r="CX122" s="173">
        <f ca="1">(VLOOKUP(CX$72,INDIRECT($C$5&amp;"生成成长"),2))/((VLOOKUP($B122,INDIRECT($B$5&amp;"生成成长"),4))/(VLOOKUP(CX$72,INDIRECT($C$5&amp;"生成成长"),5))*(VLOOKUP($B$5,标准坦克设计!$B$24:$U$30,MATCH("对"&amp;LEFT($C$5,2)&amp;"输出",标准坦克设计!$B$23:$U$23,0)))*(VLOOKUP($B122,INDIRECT($B$5&amp;"生成成长"),3))*(VLOOKUP($B$5,标准坦克设计!$B$14:$K$20,9)/30))</f>
        <v>46.997158895150427</v>
      </c>
      <c r="CY122" s="173">
        <f ca="1">(VLOOKUP(CY$72,INDIRECT($C$5&amp;"生成成长"),2))/((VLOOKUP($B122,INDIRECT($B$5&amp;"生成成长"),4))/(VLOOKUP(CY$72,INDIRECT($C$5&amp;"生成成长"),5))*(VLOOKUP($B$5,标准坦克设计!$B$24:$U$30,MATCH("对"&amp;LEFT($C$5,2)&amp;"输出",标准坦克设计!$B$23:$U$23,0)))*(VLOOKUP($B122,INDIRECT($B$5&amp;"生成成长"),3))*(VLOOKUP($B$5,标准坦克设计!$B$14:$K$20,9)/30))</f>
        <v>50.068986805904366</v>
      </c>
      <c r="CZ122" s="173">
        <f ca="1">(VLOOKUP(CZ$72,INDIRECT($C$5&amp;"生成成长"),2))/((VLOOKUP($B122,INDIRECT($B$5&amp;"生成成长"),4))/(VLOOKUP(CZ$72,INDIRECT($C$5&amp;"生成成长"),5))*(VLOOKUP($B$5,标准坦克设计!$B$24:$U$30,MATCH("对"&amp;LEFT($C$5,2)&amp;"输出",标准坦克设计!$B$23:$U$23,0)))*(VLOOKUP($B122,INDIRECT($B$5&amp;"生成成长"),3))*(VLOOKUP($B$5,标准坦克设计!$B$14:$K$20,9)/30))</f>
        <v>53.23805243469657</v>
      </c>
      <c r="DA122" s="173">
        <f ca="1">(VLOOKUP(DA$72,INDIRECT($C$5&amp;"生成成长"),2))/((VLOOKUP($B122,INDIRECT($B$5&amp;"生成成长"),4))/(VLOOKUP(DA$72,INDIRECT($C$5&amp;"生成成长"),5))*(VLOOKUP($B$5,标准坦克设计!$B$24:$U$30,MATCH("对"&amp;LEFT($C$5,2)&amp;"输出",标准坦克设计!$B$23:$U$23,0)))*(VLOOKUP($B122,INDIRECT($B$5&amp;"生成成长"),3))*(VLOOKUP($B$5,标准坦克设计!$B$14:$K$20,9)/30))</f>
        <v>56.504355781527039</v>
      </c>
      <c r="DB122" s="173">
        <f ca="1">(VLOOKUP(DB$72,INDIRECT($C$5&amp;"生成成长"),2))/((VLOOKUP($B122,INDIRECT($B$5&amp;"生成成长"),4))/(VLOOKUP(DB$72,INDIRECT($C$5&amp;"生成成长"),5))*(VLOOKUP($B$5,标准坦克设计!$B$24:$U$30,MATCH("对"&amp;LEFT($C$5,2)&amp;"输出",标准坦克设计!$B$23:$U$23,0)))*(VLOOKUP($B122,INDIRECT($B$5&amp;"生成成长"),3))*(VLOOKUP($B$5,标准坦克设计!$B$14:$K$20,9)/30))</f>
        <v>59.867896846395752</v>
      </c>
      <c r="DC122" s="173">
        <f ca="1">(VLOOKUP(DC$72,INDIRECT($C$5&amp;"生成成长"),2))/((VLOOKUP($B122,INDIRECT($B$5&amp;"生成成长"),4))/(VLOOKUP(DC$72,INDIRECT($C$5&amp;"生成成长"),5))*(VLOOKUP($B$5,标准坦克设计!$B$24:$U$30,MATCH("对"&amp;LEFT($C$5,2)&amp;"输出",标准坦克设计!$B$23:$U$23,0)))*(VLOOKUP($B122,INDIRECT($B$5&amp;"生成成长"),3))*(VLOOKUP($B$5,标准坦克设计!$B$14:$K$20,9)/30))</f>
        <v>63.648113587320942</v>
      </c>
      <c r="DD122" s="173">
        <f ca="1">(VLOOKUP(DD$72,INDIRECT($C$5&amp;"生成成长"),2))/((VLOOKUP($B122,INDIRECT($B$5&amp;"生成成长"),4))/(VLOOKUP(DD$72,INDIRECT($C$5&amp;"生成成长"),5))*(VLOOKUP($B$5,标准坦克设计!$B$24:$U$30,MATCH("对"&amp;LEFT($C$5,2)&amp;"输出",标准坦克设计!$B$23:$U$23,0)))*(VLOOKUP($B122,INDIRECT($B$5&amp;"生成成长"),3))*(VLOOKUP($B$5,标准坦克设计!$B$14:$K$20,9)/30))</f>
        <v>67.544051248886717</v>
      </c>
      <c r="DE122" s="173">
        <f ca="1">(VLOOKUP(DE$72,INDIRECT($C$5&amp;"生成成长"),2))/((VLOOKUP($B122,INDIRECT($B$5&amp;"生成成长"),4))/(VLOOKUP(DE$72,INDIRECT($C$5&amp;"生成成长"),5))*(VLOOKUP($B$5,标准坦克设计!$B$24:$U$30,MATCH("对"&amp;LEFT($C$5,2)&amp;"输出",标准坦克设计!$B$23:$U$23,0)))*(VLOOKUP($B122,INDIRECT($B$5&amp;"生成成长"),3))*(VLOOKUP($B$5,标准坦克设计!$B$14:$K$20,9)/30))</f>
        <v>71.555709831093054</v>
      </c>
      <c r="DF122" s="173">
        <f ca="1">(VLOOKUP(DF$72,INDIRECT($C$5&amp;"生成成长"),2))/((VLOOKUP($B122,INDIRECT($B$5&amp;"生成成长"),4))/(VLOOKUP(DF$72,INDIRECT($C$5&amp;"生成成长"),5))*(VLOOKUP($B$5,标准坦克设计!$B$24:$U$30,MATCH("对"&amp;LEFT($C$5,2)&amp;"输出",标准坦克设计!$B$23:$U$23,0)))*(VLOOKUP($B122,INDIRECT($B$5&amp;"生成成长"),3))*(VLOOKUP($B$5,标准坦克设计!$B$14:$K$20,9)/30))</f>
        <v>75.683089333939947</v>
      </c>
      <c r="DG122" s="173">
        <f ca="1">(VLOOKUP(DG$72,INDIRECT($C$5&amp;"生成成长"),2))/((VLOOKUP($B122,INDIRECT($B$5&amp;"生成成长"),4))/(VLOOKUP(DG$72,INDIRECT($C$5&amp;"生成成长"),5))*(VLOOKUP($B$5,标准坦克设计!$B$24:$U$30,MATCH("对"&amp;LEFT($C$5,2)&amp;"输出",标准坦克设计!$B$23:$U$23,0)))*(VLOOKUP($B122,INDIRECT($B$5&amp;"生成成长"),3))*(VLOOKUP($B$5,标准坦克设计!$B$14:$K$20,9)/30))</f>
        <v>79.926189757427409</v>
      </c>
      <c r="DH122" s="173">
        <f ca="1">(VLOOKUP(DH$72,INDIRECT($C$5&amp;"生成成长"),2))/((VLOOKUP($B122,INDIRECT($B$5&amp;"生成成长"),4))/(VLOOKUP(DH$72,INDIRECT($C$5&amp;"生成成长"),5))*(VLOOKUP($B$5,标准坦克设计!$B$24:$U$30,MATCH("对"&amp;LEFT($C$5,2)&amp;"输出",标准坦克设计!$B$23:$U$23,0)))*(VLOOKUP($B122,INDIRECT($B$5&amp;"生成成长"),3))*(VLOOKUP($B$5,标准坦克设计!$B$14:$K$20,9)/30))</f>
        <v>84.285011101555469</v>
      </c>
      <c r="DI122" s="173">
        <f ca="1">(VLOOKUP(DI$72,INDIRECT($C$5&amp;"生成成长"),2))/((VLOOKUP($B122,INDIRECT($B$5&amp;"生成成长"),4))/(VLOOKUP(DI$72,INDIRECT($C$5&amp;"生成成长"),5))*(VLOOKUP($B$5,标准坦克设计!$B$24:$U$30,MATCH("对"&amp;LEFT($C$5,2)&amp;"输出",标准坦克设计!$B$23:$U$23,0)))*(VLOOKUP($B122,INDIRECT($B$5&amp;"生成成长"),3))*(VLOOKUP($B$5,标准坦克设计!$B$14:$K$20,9)/30))</f>
        <v>88.75955336632407</v>
      </c>
      <c r="DJ122" s="173">
        <f ca="1">(VLOOKUP(DJ$72,INDIRECT($C$5&amp;"生成成长"),2))/((VLOOKUP($B122,INDIRECT($B$5&amp;"生成成长"),4))/(VLOOKUP(DJ$72,INDIRECT($C$5&amp;"生成成长"),5))*(VLOOKUP($B$5,标准坦克设计!$B$24:$U$30,MATCH("对"&amp;LEFT($C$5,2)&amp;"输出",标准坦克设计!$B$23:$U$23,0)))*(VLOOKUP($B122,INDIRECT($B$5&amp;"生成成长"),3))*(VLOOKUP($B$5,标准坦克设计!$B$14:$K$20,9)/30))</f>
        <v>8.9205561081292917</v>
      </c>
      <c r="DK122" s="173">
        <f ca="1">(VLOOKUP(DK$72,INDIRECT($C$5&amp;"生成成长"),2))/((VLOOKUP($B122,INDIRECT($B$5&amp;"生成成长"),4))/(VLOOKUP(DK$72,INDIRECT($C$5&amp;"生成成长"),5))*(VLOOKUP($B$5,标准坦克设计!$B$24:$U$30,MATCH("对"&amp;LEFT($C$5,2)&amp;"输出",标准坦克设计!$B$23:$U$23,0)))*(VLOOKUP($B122,INDIRECT($B$5&amp;"生成成长"),3))*(VLOOKUP($B$5,标准坦克设计!$B$14:$K$20,9)/30))</f>
        <v>10.030753690524737</v>
      </c>
      <c r="DL122" s="173">
        <f ca="1">(VLOOKUP(DL$72,INDIRECT($C$5&amp;"生成成长"),2))/((VLOOKUP($B122,INDIRECT($B$5&amp;"生成成长"),4))/(VLOOKUP(DL$72,INDIRECT($C$5&amp;"生成成长"),5))*(VLOOKUP($B$5,标准坦克设计!$B$24:$U$30,MATCH("对"&amp;LEFT($C$5,2)&amp;"输出",标准坦克设计!$B$23:$U$23,0)))*(VLOOKUP($B122,INDIRECT($B$5&amp;"生成成长"),3))*(VLOOKUP($B$5,标准坦克设计!$B$14:$K$20,9)/30))</f>
        <v>11.206044290780497</v>
      </c>
      <c r="DM122" s="173">
        <f ca="1">(VLOOKUP(DM$72,INDIRECT($C$5&amp;"生成成长"),2))/((VLOOKUP($B122,INDIRECT($B$5&amp;"生成成长"),4))/(VLOOKUP(DM$72,INDIRECT($C$5&amp;"生成成长"),5))*(VLOOKUP($B$5,标准坦克设计!$B$24:$U$30,MATCH("对"&amp;LEFT($C$5,2)&amp;"输出",标准坦克设计!$B$23:$U$23,0)))*(VLOOKUP($B122,INDIRECT($B$5&amp;"生成成长"),3))*(VLOOKUP($B$5,标准坦克设计!$B$14:$K$20,9)/30))</f>
        <v>12.446427908896577</v>
      </c>
      <c r="DN122" s="173">
        <f ca="1">(VLOOKUP(DN$72,INDIRECT($C$5&amp;"生成成长"),2))/((VLOOKUP($B122,INDIRECT($B$5&amp;"生成成长"),4))/(VLOOKUP(DN$72,INDIRECT($C$5&amp;"生成成长"),5))*(VLOOKUP($B$5,标准坦克设计!$B$24:$U$30,MATCH("对"&amp;LEFT($C$5,2)&amp;"输出",标准坦克设计!$B$23:$U$23,0)))*(VLOOKUP($B122,INDIRECT($B$5&amp;"生成成长"),3))*(VLOOKUP($B$5,标准坦克设计!$B$14:$K$20,9)/30))</f>
        <v>13.75190454487298</v>
      </c>
      <c r="DO122" s="173">
        <f ca="1">(VLOOKUP(DO$72,INDIRECT($C$5&amp;"生成成长"),2))/((VLOOKUP($B122,INDIRECT($B$5&amp;"生成成长"),4))/(VLOOKUP(DO$72,INDIRECT($C$5&amp;"生成成长"),5))*(VLOOKUP($B$5,标准坦克设计!$B$24:$U$30,MATCH("对"&amp;LEFT($C$5,2)&amp;"输出",标准坦克设计!$B$23:$U$23,0)))*(VLOOKUP($B122,INDIRECT($B$5&amp;"生成成长"),3))*(VLOOKUP($B$5,标准坦克设计!$B$14:$K$20,9)/30))</f>
        <v>15.1224741987097</v>
      </c>
      <c r="DP122" s="173">
        <f ca="1">(VLOOKUP(DP$72,INDIRECT($C$5&amp;"生成成长"),2))/((VLOOKUP($B122,INDIRECT($B$5&amp;"生成成长"),4))/(VLOOKUP(DP$72,INDIRECT($C$5&amp;"生成成长"),5))*(VLOOKUP($B$5,标准坦克设计!$B$24:$U$30,MATCH("对"&amp;LEFT($C$5,2)&amp;"输出",标准坦克设计!$B$23:$U$23,0)))*(VLOOKUP($B122,INDIRECT($B$5&amp;"生成成长"),3))*(VLOOKUP($B$5,标准坦克设计!$B$14:$K$20,9)/30))</f>
        <v>16.558136870406738</v>
      </c>
      <c r="DQ122" s="173">
        <f ca="1">(VLOOKUP(DQ$72,INDIRECT($C$5&amp;"生成成长"),2))/((VLOOKUP($B122,INDIRECT($B$5&amp;"生成成长"),4))/(VLOOKUP(DQ$72,INDIRECT($C$5&amp;"生成成长"),5))*(VLOOKUP($B$5,标准坦克设计!$B$24:$U$30,MATCH("对"&amp;LEFT($C$5,2)&amp;"输出",标准坦克设计!$B$23:$U$23,0)))*(VLOOKUP($B122,INDIRECT($B$5&amp;"生成成长"),3))*(VLOOKUP($B$5,标准坦克设计!$B$14:$K$20,9)/30))</f>
        <v>18.0588925599641</v>
      </c>
      <c r="DR122" s="173">
        <f ca="1">(VLOOKUP(DR$72,INDIRECT($C$5&amp;"生成成长"),2))/((VLOOKUP($B122,INDIRECT($B$5&amp;"生成成长"),4))/(VLOOKUP(DR$72,INDIRECT($C$5&amp;"生成成长"),5))*(VLOOKUP($B$5,标准坦克设计!$B$24:$U$30,MATCH("对"&amp;LEFT($C$5,2)&amp;"输出",标准坦克设计!$B$23:$U$23,0)))*(VLOOKUP($B122,INDIRECT($B$5&amp;"生成成长"),3))*(VLOOKUP($B$5,标准坦克设计!$B$14:$K$20,9)/30))</f>
        <v>19.624741267381772</v>
      </c>
      <c r="DS122" s="173">
        <f ca="1">(VLOOKUP(DS$72,INDIRECT($C$5&amp;"生成成长"),2))/((VLOOKUP($B122,INDIRECT($B$5&amp;"生成成长"),4))/(VLOOKUP(DS$72,INDIRECT($C$5&amp;"生成成长"),5))*(VLOOKUP($B$5,标准坦克设计!$B$24:$U$30,MATCH("对"&amp;LEFT($C$5,2)&amp;"输出",标准坦克设计!$B$23:$U$23,0)))*(VLOOKUP($B122,INDIRECT($B$5&amp;"生成成长"),3))*(VLOOKUP($B$5,标准坦克设计!$B$14:$K$20,9)/30))</f>
        <v>21.255682992659771</v>
      </c>
      <c r="DT122" s="173">
        <f ca="1">(VLOOKUP(DT$72,INDIRECT($C$5&amp;"生成成长"),2))/((VLOOKUP($B122,INDIRECT($B$5&amp;"生成成长"),4))/(VLOOKUP(DT$72,INDIRECT($C$5&amp;"生成成长"),5))*(VLOOKUP($B$5,标准坦克设计!$B$24:$U$30,MATCH("对"&amp;LEFT($C$5,2)&amp;"输出",标准坦克设计!$B$23:$U$23,0)))*(VLOOKUP($B122,INDIRECT($B$5&amp;"生成成长"),3))*(VLOOKUP($B$5,标准坦克设计!$B$14:$K$20,9)/30))</f>
        <v>23.337454137933307</v>
      </c>
      <c r="DU122" s="173">
        <f ca="1">(VLOOKUP(DU$72,INDIRECT($C$5&amp;"生成成长"),2))/((VLOOKUP($B122,INDIRECT($B$5&amp;"生成成长"),4))/(VLOOKUP(DU$72,INDIRECT($C$5&amp;"生成成长"),5))*(VLOOKUP($B$5,标准坦克设计!$B$24:$U$30,MATCH("对"&amp;LEFT($C$5,2)&amp;"输出",标准坦克设计!$B$23:$U$23,0)))*(VLOOKUP($B122,INDIRECT($B$5&amp;"生成成长"),3))*(VLOOKUP($B$5,标准坦克设计!$B$14:$K$20,9)/30))</f>
        <v>25.5164630012451</v>
      </c>
      <c r="DV122" s="173">
        <f ca="1">(VLOOKUP(DV$72,INDIRECT($C$5&amp;"生成成长"),2))/((VLOOKUP($B122,INDIRECT($B$5&amp;"生成成长"),4))/(VLOOKUP(DV$72,INDIRECT($C$5&amp;"生成成长"),5))*(VLOOKUP($B$5,标准坦克设计!$B$24:$U$30,MATCH("对"&amp;LEFT($C$5,2)&amp;"输出",标准坦克设计!$B$23:$U$23,0)))*(VLOOKUP($B122,INDIRECT($B$5&amp;"生成成长"),3))*(VLOOKUP($B$5,标准坦克设计!$B$14:$K$20,9)/30))</f>
        <v>27.792709582595148</v>
      </c>
      <c r="DW122" s="173">
        <f ca="1">(VLOOKUP(DW$72,INDIRECT($C$5&amp;"生成成长"),2))/((VLOOKUP($B122,INDIRECT($B$5&amp;"生成成长"),4))/(VLOOKUP(DW$72,INDIRECT($C$5&amp;"生成成长"),5))*(VLOOKUP($B$5,标准坦克设计!$B$24:$U$30,MATCH("对"&amp;LEFT($C$5,2)&amp;"输出",标准坦克设计!$B$23:$U$23,0)))*(VLOOKUP($B122,INDIRECT($B$5&amp;"生成成长"),3))*(VLOOKUP($B$5,标准坦克设计!$B$14:$K$20,9)/30))</f>
        <v>30.166193881983457</v>
      </c>
      <c r="DX122" s="173">
        <f ca="1">(VLOOKUP(DX$72,INDIRECT($C$5&amp;"生成成长"),2))/((VLOOKUP($B122,INDIRECT($B$5&amp;"生成成长"),4))/(VLOOKUP(DX$72,INDIRECT($C$5&amp;"生成成长"),5))*(VLOOKUP($B$5,标准坦克设计!$B$24:$U$30,MATCH("对"&amp;LEFT($C$5,2)&amp;"输出",标准坦克设计!$B$23:$U$23,0)))*(VLOOKUP($B122,INDIRECT($B$5&amp;"生成成长"),3))*(VLOOKUP($B$5,标准坦克设计!$B$14:$K$20,9)/30))</f>
        <v>32.636915899410013</v>
      </c>
      <c r="DY122" s="173">
        <f ca="1">(VLOOKUP(DY$72,INDIRECT($C$5&amp;"生成成长"),2))/((VLOOKUP($B122,INDIRECT($B$5&amp;"生成成长"),4))/(VLOOKUP(DY$72,INDIRECT($C$5&amp;"生成成长"),5))*(VLOOKUP($B$5,标准坦克设计!$B$24:$U$30,MATCH("对"&amp;LEFT($C$5,2)&amp;"输出",标准坦克设计!$B$23:$U$23,0)))*(VLOOKUP($B122,INDIRECT($B$5&amp;"生成成长"),3))*(VLOOKUP($B$5,标准坦克设计!$B$14:$K$20,9)/30))</f>
        <v>14.658385089890755</v>
      </c>
      <c r="DZ122" s="173">
        <f ca="1">(VLOOKUP(DZ$72,INDIRECT($C$5&amp;"生成成长"),2))/((VLOOKUP($B122,INDIRECT($B$5&amp;"生成成长"),4))/(VLOOKUP(DZ$72,INDIRECT($C$5&amp;"生成成长"),5))*(VLOOKUP($B$5,标准坦克设计!$B$24:$U$30,MATCH("对"&amp;LEFT($C$5,2)&amp;"输出",标准坦克设计!$B$23:$U$23,0)))*(VLOOKUP($B122,INDIRECT($B$5&amp;"生成成长"),3))*(VLOOKUP($B$5,标准坦克设计!$B$14:$K$20,9)/30))</f>
        <v>16.233475398609588</v>
      </c>
      <c r="EA122" s="173">
        <f ca="1">(VLOOKUP(EA$72,INDIRECT($C$5&amp;"生成成长"),2))/((VLOOKUP($B122,INDIRECT($B$5&amp;"生成成长"),4))/(VLOOKUP(EA$72,INDIRECT($C$5&amp;"生成成长"),5))*(VLOOKUP($B$5,标准坦克设计!$B$24:$U$30,MATCH("对"&amp;LEFT($C$5,2)&amp;"输出",标准坦克设计!$B$23:$U$23,0)))*(VLOOKUP($B122,INDIRECT($B$5&amp;"生成成长"),3))*(VLOOKUP($B$5,标准坦克设计!$B$14:$K$20,9)/30))</f>
        <v>17.888927457773264</v>
      </c>
      <c r="EB122" s="173">
        <f ca="1">(VLOOKUP(EB$72,INDIRECT($C$5&amp;"生成成长"),2))/((VLOOKUP($B122,INDIRECT($B$5&amp;"生成成长"),4))/(VLOOKUP(EB$72,INDIRECT($C$5&amp;"生成成长"),5))*(VLOOKUP($B$5,标准坦克设计!$B$24:$U$30,MATCH("对"&amp;LEFT($C$5,2)&amp;"输出",标准坦克设计!$B$23:$U$23,0)))*(VLOOKUP($B122,INDIRECT($B$5&amp;"生成成长"),3))*(VLOOKUP($B$5,标准坦克设计!$B$14:$K$20,9)/30))</f>
        <v>19.624741267381772</v>
      </c>
      <c r="EC122" s="173">
        <f ca="1">(VLOOKUP(EC$72,INDIRECT($C$5&amp;"生成成长"),2))/((VLOOKUP($B122,INDIRECT($B$5&amp;"生成成长"),4))/(VLOOKUP(EC$72,INDIRECT($C$5&amp;"生成成长"),5))*(VLOOKUP($B$5,标准坦克设计!$B$24:$U$30,MATCH("对"&amp;LEFT($C$5,2)&amp;"输出",标准坦克设计!$B$23:$U$23,0)))*(VLOOKUP($B122,INDIRECT($B$5&amp;"生成成长"),3))*(VLOOKUP($B$5,标准坦克设计!$B$14:$K$20,9)/30))</f>
        <v>21.440916827435125</v>
      </c>
      <c r="ED122" s="173">
        <f ca="1">(VLOOKUP(ED$72,INDIRECT($C$5&amp;"生成成长"),2))/((VLOOKUP($B122,INDIRECT($B$5&amp;"生成成长"),4))/(VLOOKUP(ED$72,INDIRECT($C$5&amp;"生成成长"),5))*(VLOOKUP($B$5,标准坦克设计!$B$24:$U$30,MATCH("对"&amp;LEFT($C$5,2)&amp;"输出",标准坦克设计!$B$23:$U$23,0)))*(VLOOKUP($B122,INDIRECT($B$5&amp;"生成成长"),3))*(VLOOKUP($B$5,标准坦克设计!$B$14:$K$20,9)/30))</f>
        <v>23.337454137933307</v>
      </c>
      <c r="EE122" s="173">
        <f ca="1">(VLOOKUP(EE$72,INDIRECT($C$5&amp;"生成成长"),2))/((VLOOKUP($B122,INDIRECT($B$5&amp;"生成成长"),4))/(VLOOKUP(EE$72,INDIRECT($C$5&amp;"生成成长"),5))*(VLOOKUP($B$5,标准坦克设计!$B$24:$U$30,MATCH("对"&amp;LEFT($C$5,2)&amp;"输出",标准坦克设计!$B$23:$U$23,0)))*(VLOOKUP($B122,INDIRECT($B$5&amp;"生成成长"),3))*(VLOOKUP($B$5,标准坦克设计!$B$14:$K$20,9)/30))</f>
        <v>25.314353198876333</v>
      </c>
      <c r="EF122" s="173">
        <f ca="1">(VLOOKUP(EF$72,INDIRECT($C$5&amp;"生成成长"),2))/((VLOOKUP($B122,INDIRECT($B$5&amp;"生成成长"),4))/(VLOOKUP(EF$72,INDIRECT($C$5&amp;"生成成长"),5))*(VLOOKUP($B$5,标准坦克设计!$B$24:$U$30,MATCH("对"&amp;LEFT($C$5,2)&amp;"输出",标准坦克设计!$B$23:$U$23,0)))*(VLOOKUP($B122,INDIRECT($B$5&amp;"生成成长"),3))*(VLOOKUP($B$5,标准坦克设计!$B$14:$K$20,9)/30))</f>
        <v>27.371614010264199</v>
      </c>
      <c r="EG122" s="173">
        <f ca="1">(VLOOKUP(EG$72,INDIRECT($C$5&amp;"生成成长"),2))/((VLOOKUP($B122,INDIRECT($B$5&amp;"生成成长"),4))/(VLOOKUP(EG$72,INDIRECT($C$5&amp;"生成成长"),5))*(VLOOKUP($B$5,标准坦克设计!$B$24:$U$30,MATCH("对"&amp;LEFT($C$5,2)&amp;"输出",标准坦克设计!$B$23:$U$23,0)))*(VLOOKUP($B122,INDIRECT($B$5&amp;"生成成长"),3))*(VLOOKUP($B$5,标准坦克设计!$B$14:$K$20,9)/30))</f>
        <v>29.509236572096896</v>
      </c>
      <c r="EH122" s="173">
        <f ca="1">(VLOOKUP(EH$72,INDIRECT($C$5&amp;"生成成长"),2))/((VLOOKUP($B122,INDIRECT($B$5&amp;"生成成长"),4))/(VLOOKUP(EH$72,INDIRECT($C$5&amp;"生成成长"),5))*(VLOOKUP($B$5,标准坦克设计!$B$24:$U$30,MATCH("对"&amp;LEFT($C$5,2)&amp;"输出",标准坦克设计!$B$23:$U$23,0)))*(VLOOKUP($B122,INDIRECT($B$5&amp;"生成成长"),3))*(VLOOKUP($B$5,标准坦克设计!$B$14:$K$20,9)/30))</f>
        <v>31.72722088437445</v>
      </c>
      <c r="EI122" s="173">
        <f ca="1">(VLOOKUP(EI$72,INDIRECT($C$5&amp;"生成成长"),2))/((VLOOKUP($B122,INDIRECT($B$5&amp;"生成成长"),4))/(VLOOKUP(EI$72,INDIRECT($C$5&amp;"生成成长"),5))*(VLOOKUP($B$5,标准坦克设计!$B$24:$U$30,MATCH("对"&amp;LEFT($C$5,2)&amp;"输出",标准坦克设计!$B$23:$U$23,0)))*(VLOOKUP($B122,INDIRECT($B$5&amp;"生成成长"),3))*(VLOOKUP($B$5,标准坦克设计!$B$14:$K$20,9)/30))</f>
        <v>34.025566947096827</v>
      </c>
      <c r="EJ122" s="173">
        <f ca="1">(VLOOKUP(EJ$72,INDIRECT($C$5&amp;"生成成长"),2))/((VLOOKUP($B122,INDIRECT($B$5&amp;"生成成长"),4))/(VLOOKUP(EJ$72,INDIRECT($C$5&amp;"生成成长"),5))*(VLOOKUP($B$5,标准坦克设计!$B$24:$U$30,MATCH("对"&amp;LEFT($C$5,2)&amp;"输出",标准坦克设计!$B$23:$U$23,0)))*(VLOOKUP($B122,INDIRECT($B$5&amp;"生成成长"),3))*(VLOOKUP($B$5,标准坦克设计!$B$14:$K$20,9)/30))</f>
        <v>36.404274760264045</v>
      </c>
      <c r="EK122" s="173">
        <f ca="1">(VLOOKUP(EK$72,INDIRECT($C$5&amp;"生成成长"),2))/((VLOOKUP($B122,INDIRECT($B$5&amp;"生成成长"),4))/(VLOOKUP(EK$72,INDIRECT($C$5&amp;"生成成长"),5))*(VLOOKUP($B$5,标准坦克设计!$B$24:$U$30,MATCH("对"&amp;LEFT($C$5,2)&amp;"输出",标准坦克设计!$B$23:$U$23,0)))*(VLOOKUP($B122,INDIRECT($B$5&amp;"生成成长"),3))*(VLOOKUP($B$5,标准坦克设计!$B$14:$K$20,9)/30))</f>
        <v>39.364801646651891</v>
      </c>
      <c r="EL122" s="173">
        <f ca="1">(VLOOKUP(EL$72,INDIRECT($C$5&amp;"生成成长"),2))/((VLOOKUP($B122,INDIRECT($B$5&amp;"生成成长"),4))/(VLOOKUP(EL$72,INDIRECT($C$5&amp;"生成成长"),5))*(VLOOKUP($B$5,标准坦克设计!$B$24:$U$30,MATCH("对"&amp;LEFT($C$5,2)&amp;"输出",标准坦克设计!$B$23:$U$23,0)))*(VLOOKUP($B122,INDIRECT($B$5&amp;"生成成长"),3))*(VLOOKUP($B$5,标准坦克设计!$B$14:$K$20,9)/30))</f>
        <v>42.4410494536803</v>
      </c>
      <c r="EM122" s="173">
        <f ca="1">(VLOOKUP(EM$72,INDIRECT($C$5&amp;"生成成长"),2))/((VLOOKUP($B122,INDIRECT($B$5&amp;"生成成长"),4))/(VLOOKUP(EM$72,INDIRECT($C$5&amp;"生成成长"),5))*(VLOOKUP($B$5,标准坦克设计!$B$24:$U$30,MATCH("对"&amp;LEFT($C$5,2)&amp;"输出",标准坦克设计!$B$23:$U$23,0)))*(VLOOKUP($B122,INDIRECT($B$5&amp;"生成成长"),3))*(VLOOKUP($B$5,标准坦克设计!$B$14:$K$20,9)/30))</f>
        <v>45.633018181349279</v>
      </c>
      <c r="EN122" s="173">
        <f ca="1">(VLOOKUP(EN$72,INDIRECT($C$5&amp;"生成成长"),2))/((VLOOKUP($B122,INDIRECT($B$5&amp;"生成成长"),4))/(VLOOKUP(EN$72,INDIRECT($C$5&amp;"生成成长"),5))*(VLOOKUP($B$5,标准坦克设计!$B$24:$U$30,MATCH("对"&amp;LEFT($C$5,2)&amp;"输出",标准坦克设计!$B$23:$U$23,0)))*(VLOOKUP($B122,INDIRECT($B$5&amp;"生成成长"),3))*(VLOOKUP($B$5,标准坦克设计!$B$14:$K$20,9)/30))</f>
        <v>48.940707829658834</v>
      </c>
      <c r="EO122" s="173">
        <f ca="1">(VLOOKUP(EO$72,INDIRECT($C$5&amp;"生成成长"),2))/((VLOOKUP($B122,INDIRECT($B$5&amp;"生成成长"),4))/(VLOOKUP(EO$72,INDIRECT($C$5&amp;"生成成长"),5))*(VLOOKUP($B$5,标准坦克设计!$B$24:$U$30,MATCH("对"&amp;LEFT($C$5,2)&amp;"输出",标准坦克设计!$B$23:$U$23,0)))*(VLOOKUP($B122,INDIRECT($B$5&amp;"生成成长"),3))*(VLOOKUP($B$5,标准坦克设计!$B$14:$K$20,9)/30))</f>
        <v>52.364118398608959</v>
      </c>
      <c r="EP122" s="173">
        <f ca="1">(VLOOKUP(EP$72,INDIRECT($C$5&amp;"生成成长"),2))/((VLOOKUP($B122,INDIRECT($B$5&amp;"生成成长"),4))/(VLOOKUP(EP$72,INDIRECT($C$5&amp;"生成成长"),5))*(VLOOKUP($B$5,标准坦克设计!$B$24:$U$30,MATCH("对"&amp;LEFT($C$5,2)&amp;"输出",标准坦克设计!$B$23:$U$23,0)))*(VLOOKUP($B122,INDIRECT($B$5&amp;"生成成长"),3))*(VLOOKUP($B$5,标准坦克设计!$B$14:$K$20,9)/30))</f>
        <v>55.903249888199646</v>
      </c>
      <c r="EQ122" s="173">
        <f ca="1">(VLOOKUP(EQ$72,INDIRECT($C$5&amp;"生成成长"),2))/((VLOOKUP($B122,INDIRECT($B$5&amp;"生成成长"),4))/(VLOOKUP(EQ$72,INDIRECT($C$5&amp;"生成成长"),5))*(VLOOKUP($B$5,标准坦克设计!$B$24:$U$30,MATCH("对"&amp;LEFT($C$5,2)&amp;"输出",标准坦克设计!$B$23:$U$23,0)))*(VLOOKUP($B122,INDIRECT($B$5&amp;"生成成长"),3))*(VLOOKUP($B$5,标准坦克设计!$B$14:$K$20,9)/30))</f>
        <v>24.712845496796721</v>
      </c>
      <c r="ER122" s="173">
        <f ca="1">(VLOOKUP(ER$72,INDIRECT($C$5&amp;"生成成长"),2))/((VLOOKUP($B122,INDIRECT($B$5&amp;"生成成长"),4))/(VLOOKUP(ER$72,INDIRECT($C$5&amp;"生成成长"),5))*(VLOOKUP($B$5,标准坦克设计!$B$24:$U$30,MATCH("对"&amp;LEFT($C$5,2)&amp;"输出",标准坦克设计!$B$23:$U$23,0)))*(VLOOKUP($B122,INDIRECT($B$5&amp;"生成成长"),3))*(VLOOKUP($B$5,标准坦克设计!$B$14:$K$20,9)/30))</f>
        <v>26.953732907951043</v>
      </c>
      <c r="ES122" s="173">
        <f ca="1">(VLOOKUP(ES$72,INDIRECT($C$5&amp;"生成成长"),2))/((VLOOKUP($B122,INDIRECT($B$5&amp;"生成成长"),4))/(VLOOKUP(ES$72,INDIRECT($C$5&amp;"生成成长"),5))*(VLOOKUP($B$5,标准坦克设计!$B$24:$U$30,MATCH("对"&amp;LEFT($C$5,2)&amp;"输出",标准坦克设计!$B$23:$U$23,0)))*(VLOOKUP($B122,INDIRECT($B$5&amp;"生成成长"),3))*(VLOOKUP($B$5,标准坦克设计!$B$14:$K$20,9)/30))</f>
        <v>29.291858037143609</v>
      </c>
      <c r="ET122" s="173">
        <f ca="1">(VLOOKUP(ET$72,INDIRECT($C$5&amp;"生成成长"),2))/((VLOOKUP($B122,INDIRECT($B$5&amp;"生成成长"),4))/(VLOOKUP(ET$72,INDIRECT($C$5&amp;"生成成长"),5))*(VLOOKUP($B$5,标准坦克设计!$B$24:$U$30,MATCH("对"&amp;LEFT($C$5,2)&amp;"输出",标准坦克设计!$B$23:$U$23,0)))*(VLOOKUP($B122,INDIRECT($B$5&amp;"生成成长"),3))*(VLOOKUP($B$5,标准坦克设计!$B$14:$K$20,9)/30))</f>
        <v>31.72722088437445</v>
      </c>
      <c r="EU122" s="173">
        <f ca="1">(VLOOKUP(EU$72,INDIRECT($C$5&amp;"生成成长"),2))/((VLOOKUP($B122,INDIRECT($B$5&amp;"生成成长"),4))/(VLOOKUP(EU$72,INDIRECT($C$5&amp;"生成成长"),5))*(VLOOKUP($B$5,标准坦克设计!$B$24:$U$30,MATCH("对"&amp;LEFT($C$5,2)&amp;"输出",标准坦克设计!$B$23:$U$23,0)))*(VLOOKUP($B122,INDIRECT($B$5&amp;"生成成长"),3))*(VLOOKUP($B$5,标准坦克设计!$B$14:$K$20,9)/30))</f>
        <v>34.259821449643525</v>
      </c>
      <c r="EV122" s="173">
        <f ca="1">(VLOOKUP(EV$72,INDIRECT($C$5&amp;"生成成长"),2))/((VLOOKUP($B122,INDIRECT($B$5&amp;"生成成长"),4))/(VLOOKUP(EV$72,INDIRECT($C$5&amp;"生成成长"),5))*(VLOOKUP($B$5,标准坦克设计!$B$24:$U$30,MATCH("对"&amp;LEFT($C$5,2)&amp;"输出",标准坦克设计!$B$23:$U$23,0)))*(VLOOKUP($B122,INDIRECT($B$5&amp;"生成成长"),3))*(VLOOKUP($B$5,标准坦克设计!$B$14:$K$20,9)/30))</f>
        <v>36.889659732950868</v>
      </c>
      <c r="EW122" s="173">
        <f ca="1">(VLOOKUP(EW$72,INDIRECT($C$5&amp;"生成成长"),2))/((VLOOKUP($B122,INDIRECT($B$5&amp;"生成成长"),4))/(VLOOKUP(EW$72,INDIRECT($C$5&amp;"生成成长"),5))*(VLOOKUP($B$5,标准坦克设计!$B$24:$U$30,MATCH("对"&amp;LEFT($C$5,2)&amp;"输出",标准坦克设计!$B$23:$U$23,0)))*(VLOOKUP($B122,INDIRECT($B$5&amp;"生成成长"),3))*(VLOOKUP($B$5,标准坦克设计!$B$14:$K$20,9)/30))</f>
        <v>39.616735734296455</v>
      </c>
      <c r="EX122" s="173">
        <f ca="1">(VLOOKUP(EX$72,INDIRECT($C$5&amp;"生成成长"),2))/((VLOOKUP($B122,INDIRECT($B$5&amp;"生成成长"),4))/(VLOOKUP(EX$72,INDIRECT($C$5&amp;"生成成长"),5))*(VLOOKUP($B$5,标准坦克设计!$B$24:$U$30,MATCH("对"&amp;LEFT($C$5,2)&amp;"输出",标准坦克设计!$B$23:$U$23,0)))*(VLOOKUP($B122,INDIRECT($B$5&amp;"生成成长"),3))*(VLOOKUP($B$5,标准坦克设计!$B$14:$K$20,9)/30))</f>
        <v>42.4410494536803</v>
      </c>
      <c r="EY122" s="173">
        <f ca="1">(VLOOKUP(EY$72,INDIRECT($C$5&amp;"生成成长"),2))/((VLOOKUP($B122,INDIRECT($B$5&amp;"生成成长"),4))/(VLOOKUP(EY$72,INDIRECT($C$5&amp;"生成成长"),5))*(VLOOKUP($B$5,标准坦克设计!$B$24:$U$30,MATCH("对"&amp;LEFT($C$5,2)&amp;"输出",标准坦克设计!$B$23:$U$23,0)))*(VLOOKUP($B122,INDIRECT($B$5&amp;"生成成长"),3))*(VLOOKUP($B$5,标准坦克设计!$B$14:$K$20,9)/30))</f>
        <v>45.362600891102403</v>
      </c>
      <c r="EZ122" s="173">
        <f ca="1">(VLOOKUP(EZ$72,INDIRECT($C$5&amp;"生成成长"),2))/((VLOOKUP($B122,INDIRECT($B$5&amp;"生成成长"),4))/(VLOOKUP(EZ$72,INDIRECT($C$5&amp;"生成成长"),5))*(VLOOKUP($B$5,标准坦克设计!$B$24:$U$30,MATCH("对"&amp;LEFT($C$5,2)&amp;"输出",标准坦克设计!$B$23:$U$23,0)))*(VLOOKUP($B122,INDIRECT($B$5&amp;"生成成长"),3))*(VLOOKUP($B$5,标准坦克设计!$B$14:$K$20,9)/30))</f>
        <v>48.381390046562771</v>
      </c>
      <c r="FA122" s="173">
        <f ca="1">(VLOOKUP(FA$72,INDIRECT($C$5&amp;"生成成长"),2))/((VLOOKUP($B122,INDIRECT($B$5&amp;"生成成长"),4))/(VLOOKUP(FA$72,INDIRECT($C$5&amp;"生成成长"),5))*(VLOOKUP($B$5,标准坦克设计!$B$24:$U$30,MATCH("对"&amp;LEFT($C$5,2)&amp;"输出",标准坦克设计!$B$23:$U$23,0)))*(VLOOKUP($B122,INDIRECT($B$5&amp;"生成成长"),3))*(VLOOKUP($B$5,标准坦克设计!$B$14:$K$20,9)/30))</f>
        <v>51.497416920061383</v>
      </c>
      <c r="FB122" s="173">
        <f ca="1">(VLOOKUP(FB$72,INDIRECT($C$5&amp;"生成成长"),2))/((VLOOKUP($B122,INDIRECT($B$5&amp;"生成成长"),4))/(VLOOKUP(FB$72,INDIRECT($C$5&amp;"生成成长"),5))*(VLOOKUP($B$5,标准坦克设计!$B$24:$U$30,MATCH("对"&amp;LEFT($C$5,2)&amp;"输出",标准坦克设计!$B$23:$U$23,0)))*(VLOOKUP($B122,INDIRECT($B$5&amp;"生成成长"),3))*(VLOOKUP($B$5,标准坦克设计!$B$14:$K$20,9)/30))</f>
        <v>54.710681511598246</v>
      </c>
      <c r="FC122" s="173">
        <f ca="1">(VLOOKUP(FC$72,INDIRECT($C$5&amp;"生成成长"),2))/((VLOOKUP($B122,INDIRECT($B$5&amp;"生成成长"),4))/(VLOOKUP(FC$72,INDIRECT($C$5&amp;"生成成长"),5))*(VLOOKUP($B$5,标准坦克设计!$B$24:$U$30,MATCH("对"&amp;LEFT($C$5,2)&amp;"输出",标准坦克设计!$B$23:$U$23,0)))*(VLOOKUP($B122,INDIRECT($B$5&amp;"生成成长"),3))*(VLOOKUP($B$5,标准坦克设计!$B$14:$K$20,9)/30))</f>
        <v>58.021183821173366</v>
      </c>
      <c r="FD122" s="173">
        <f ca="1">(VLOOKUP(FD$72,INDIRECT($C$5&amp;"生成成长"),2))/((VLOOKUP($B122,INDIRECT($B$5&amp;"生成成长"),4))/(VLOOKUP(FD$72,INDIRECT($C$5&amp;"生成成长"),5))*(VLOOKUP($B$5,标准坦克设计!$B$24:$U$30,MATCH("对"&amp;LEFT($C$5,2)&amp;"输出",标准坦克设计!$B$23:$U$23,0)))*(VLOOKUP($B122,INDIRECT($B$5&amp;"生成成长"),3))*(VLOOKUP($B$5,标准坦克设计!$B$14:$K$20,9)/30))</f>
        <v>61.428923848786738</v>
      </c>
      <c r="FE122" s="173">
        <f ca="1">(VLOOKUP(FE$72,INDIRECT($C$5&amp;"生成成长"),2))/((VLOOKUP($B122,INDIRECT($B$5&amp;"生成成长"),4))/(VLOOKUP(FE$72,INDIRECT($C$5&amp;"生成成长"),5))*(VLOOKUP($B$5,标准坦克设计!$B$24:$U$30,MATCH("对"&amp;LEFT($C$5,2)&amp;"输出",标准坦克设计!$B$23:$U$23,0)))*(VLOOKUP($B122,INDIRECT($B$5&amp;"生成成长"),3))*(VLOOKUP($B$5,标准坦克设计!$B$14:$K$20,9)/30))</f>
        <v>65.581617303023762</v>
      </c>
      <c r="FF122" s="173">
        <f ca="1">(VLOOKUP(FF$72,INDIRECT($C$5&amp;"生成成长"),2))/((VLOOKUP($B122,INDIRECT($B$5&amp;"生成成长"),4))/(VLOOKUP(FF$72,INDIRECT($C$5&amp;"生成成长"),5))*(VLOOKUP($B$5,标准坦克设计!$B$24:$U$30,MATCH("对"&amp;LEFT($C$5,2)&amp;"输出",标准坦克设计!$B$23:$U$23,0)))*(VLOOKUP($B122,INDIRECT($B$5&amp;"生成成长"),3))*(VLOOKUP($B$5,标准坦克设计!$B$14:$K$20,9)/30))</f>
        <v>69.870122115512572</v>
      </c>
      <c r="FG122" s="173">
        <f ca="1">(VLOOKUP(FG$72,INDIRECT($C$5&amp;"生成成长"),2))/((VLOOKUP($B122,INDIRECT($B$5&amp;"生成成长"),4))/(VLOOKUP(FG$72,INDIRECT($C$5&amp;"生成成长"),5))*(VLOOKUP($B$5,标准坦克设计!$B$24:$U$30,MATCH("对"&amp;LEFT($C$5,2)&amp;"输出",标准坦克设计!$B$23:$U$23,0)))*(VLOOKUP($B122,INDIRECT($B$5&amp;"生成成长"),3))*(VLOOKUP($B$5,标准坦克设计!$B$14:$K$20,9)/30))</f>
        <v>74.29443828625314</v>
      </c>
      <c r="FH122" s="173">
        <f ca="1">(VLOOKUP(FH$72,INDIRECT($C$5&amp;"生成成长"),2))/((VLOOKUP($B122,INDIRECT($B$5&amp;"生成成长"),4))/(VLOOKUP(FH$72,INDIRECT($C$5&amp;"生成成长"),5))*(VLOOKUP($B$5,标准坦克设计!$B$24:$U$30,MATCH("对"&amp;LEFT($C$5,2)&amp;"输出",标准坦克设计!$B$23:$U$23,0)))*(VLOOKUP($B122,INDIRECT($B$5&amp;"生成成长"),3))*(VLOOKUP($B$5,标准坦克设计!$B$14:$K$20,9)/30))</f>
        <v>78.854565815245493</v>
      </c>
      <c r="FI122" s="173">
        <f ca="1">(VLOOKUP(FI$72,INDIRECT($C$5&amp;"生成成长"),2))/((VLOOKUP($B122,INDIRECT($B$5&amp;"生成成长"),4))/(VLOOKUP(FI$72,INDIRECT($C$5&amp;"生成成长"),5))*(VLOOKUP($B$5,标准坦克设计!$B$24:$U$30,MATCH("对"&amp;LEFT($C$5,2)&amp;"输出",标准坦克设计!$B$23:$U$23,0)))*(VLOOKUP($B122,INDIRECT($B$5&amp;"生成成长"),3))*(VLOOKUP($B$5,标准坦克设计!$B$14:$K$20,9)/30))</f>
        <v>83.550504702489633</v>
      </c>
      <c r="FJ122" s="173">
        <f ca="1">(VLOOKUP(FJ$72,INDIRECT($C$5&amp;"生成成长"),2))/((VLOOKUP($B122,INDIRECT($B$5&amp;"生成成长"),4))/(VLOOKUP(FJ$72,INDIRECT($C$5&amp;"生成成长"),5))*(VLOOKUP($B$5,标准坦克设计!$B$24:$U$30,MATCH("对"&amp;LEFT($C$5,2)&amp;"输出",标准坦克设计!$B$23:$U$23,0)))*(VLOOKUP($B122,INDIRECT($B$5&amp;"生成成长"),3))*(VLOOKUP($B$5,标准坦克设计!$B$14:$K$20,9)/30))</f>
        <v>88.382254947985544</v>
      </c>
      <c r="FK122" s="173">
        <f ca="1">(VLOOKUP(FK$72,INDIRECT($C$5&amp;"生成成长"),2))/((VLOOKUP($B122,INDIRECT($B$5&amp;"生成成长"),4))/(VLOOKUP(FK$72,INDIRECT($C$5&amp;"生成成长"),5))*(VLOOKUP($B$5,标准坦克设计!$B$24:$U$30,MATCH("对"&amp;LEFT($C$5,2)&amp;"输出",标准坦克设计!$B$23:$U$23,0)))*(VLOOKUP($B122,INDIRECT($B$5&amp;"生成成长"),3))*(VLOOKUP($B$5,标准坦克设计!$B$14:$K$20,9)/30))</f>
        <v>93.349816551733227</v>
      </c>
    </row>
    <row r="123" spans="1:167" x14ac:dyDescent="0.15">
      <c r="A123" s="171" t="str">
        <f t="shared" si="11"/>
        <v>T2中品质6级</v>
      </c>
      <c r="B123" s="172">
        <v>20206</v>
      </c>
      <c r="C123" s="173">
        <f ca="1">(VLOOKUP(C$72,INDIRECT($C$5&amp;"生成成长"),2))/((VLOOKUP($B123,INDIRECT($B$5&amp;"生成成长"),4))/(VLOOKUP(C$72,INDIRECT($C$5&amp;"生成成长"),5))*(VLOOKUP($B$5,标准坦克设计!$B$24:$U$30,MATCH("对"&amp;LEFT($C$5,2)&amp;"输出",标准坦克设计!$B$23:$U$23,0)))*(VLOOKUP($B123,INDIRECT($B$5&amp;"生成成长"),3))*(VLOOKUP($B$5,标准坦克设计!$B$14:$K$20,9)/30))</f>
        <v>3.6329905264393503</v>
      </c>
      <c r="D123" s="173">
        <f ca="1">(VLOOKUP(D$72,INDIRECT($C$5&amp;"生成成长"),2))/((VLOOKUP($B123,INDIRECT($B$5&amp;"生成成长"),4))/(VLOOKUP(D$72,INDIRECT($C$5&amp;"生成成长"),5))*(VLOOKUP($B$5,标准坦克设计!$B$24:$U$30,MATCH("对"&amp;LEFT($C$5,2)&amp;"输出",标准坦克设计!$B$23:$U$23,0)))*(VLOOKUP($B123,INDIRECT($B$5&amp;"生成成长"),3))*(VLOOKUP($B$5,标准坦克设计!$B$14:$K$20,9)/30))</f>
        <v>4.0820281555072553</v>
      </c>
      <c r="E123" s="173">
        <f ca="1">(VLOOKUP(E$72,INDIRECT($C$5&amp;"生成成长"),2))/((VLOOKUP($B123,INDIRECT($B$5&amp;"生成成长"),4))/(VLOOKUP(E$72,INDIRECT($C$5&amp;"生成成长"),5))*(VLOOKUP($B$5,标准坦克设计!$B$24:$U$30,MATCH("对"&amp;LEFT($C$5,2)&amp;"输出",标准坦克设计!$B$23:$U$23,0)))*(VLOOKUP($B123,INDIRECT($B$5&amp;"生成成长"),3))*(VLOOKUP($B$5,标准坦克设计!$B$14:$K$20,9)/30))</f>
        <v>4.5572233163655209</v>
      </c>
      <c r="F123" s="173">
        <f ca="1">(VLOOKUP(F$72,INDIRECT($C$5&amp;"生成成长"),2))/((VLOOKUP($B123,INDIRECT($B$5&amp;"生成成长"),4))/(VLOOKUP(F$72,INDIRECT($C$5&amp;"生成成长"),5))*(VLOOKUP($B$5,标准坦克设计!$B$24:$U$30,MATCH("对"&amp;LEFT($C$5,2)&amp;"输出",标准坦克设计!$B$23:$U$23,0)))*(VLOOKUP($B123,INDIRECT($B$5&amp;"生成成长"),3))*(VLOOKUP($B$5,标准坦克设计!$B$14:$K$20,9)/30))</f>
        <v>5.0585760090141525</v>
      </c>
      <c r="G123" s="173">
        <f ca="1">(VLOOKUP(G$72,INDIRECT($C$5&amp;"生成成长"),2))/((VLOOKUP($B123,INDIRECT($B$5&amp;"生成成长"),4))/(VLOOKUP(G$72,INDIRECT($C$5&amp;"生成成长"),5))*(VLOOKUP($B$5,标准坦克设计!$B$24:$U$30,MATCH("对"&amp;LEFT($C$5,2)&amp;"输出",标准坦克设计!$B$23:$U$23,0)))*(VLOOKUP($B123,INDIRECT($B$5&amp;"生成成长"),3))*(VLOOKUP($B$5,标准坦克设计!$B$14:$K$20,9)/30))</f>
        <v>5.5860862334531474</v>
      </c>
      <c r="H123" s="173">
        <f ca="1">(VLOOKUP(H$72,INDIRECT($C$5&amp;"生成成长"),2))/((VLOOKUP($B123,INDIRECT($B$5&amp;"生成成长"),4))/(VLOOKUP(H$72,INDIRECT($C$5&amp;"生成成长"),5))*(VLOOKUP($B$5,标准坦克设计!$B$24:$U$30,MATCH("对"&amp;LEFT($C$5,2)&amp;"输出",标准坦克设计!$B$23:$U$23,0)))*(VLOOKUP($B123,INDIRECT($B$5&amp;"生成成长"),3))*(VLOOKUP($B$5,标准坦克设计!$B$14:$K$20,9)/30))</f>
        <v>4.8885520523767916</v>
      </c>
      <c r="I123" s="173">
        <f ca="1">(VLOOKUP(I$72,INDIRECT($C$5&amp;"生成成长"),2))/((VLOOKUP($B123,INDIRECT($B$5&amp;"生成成长"),4))/(VLOOKUP(I$72,INDIRECT($C$5&amp;"生成成长"),5))*(VLOOKUP($B$5,标准坦克设计!$B$24:$U$30,MATCH("对"&amp;LEFT($C$5,2)&amp;"输出",标准坦克设计!$B$23:$U$23,0)))*(VLOOKUP($B123,INDIRECT($B$5&amp;"生成成长"),3))*(VLOOKUP($B$5,标准坦克设计!$B$14:$K$20,9)/30))</f>
        <v>5.5860862334531474</v>
      </c>
      <c r="J123" s="173">
        <f ca="1">(VLOOKUP(J$72,INDIRECT($C$5&amp;"生成成长"),2))/((VLOOKUP($B123,INDIRECT($B$5&amp;"生成成长"),4))/(VLOOKUP(J$72,INDIRECT($C$5&amp;"生成成长"),5))*(VLOOKUP($B$5,标准坦克设计!$B$24:$U$30,MATCH("对"&amp;LEFT($C$5,2)&amp;"输出",标准坦克设计!$B$23:$U$23,0)))*(VLOOKUP($B123,INDIRECT($B$5&amp;"生成成长"),3))*(VLOOKUP($B$5,标准坦克设计!$B$14:$K$20,9)/30))</f>
        <v>6.3301226932679251</v>
      </c>
      <c r="K123" s="173">
        <f ca="1">(VLOOKUP(K$72,INDIRECT($C$5&amp;"生成成长"),2))/((VLOOKUP($B123,INDIRECT($B$5&amp;"生成成长"),4))/(VLOOKUP(K$72,INDIRECT($C$5&amp;"生成成长"),5))*(VLOOKUP($B$5,标准坦克设计!$B$24:$U$30,MATCH("对"&amp;LEFT($C$5,2)&amp;"输出",标准坦克设计!$B$23:$U$23,0)))*(VLOOKUP($B123,INDIRECT($B$5&amp;"生成成长"),3))*(VLOOKUP($B$5,标准坦克设计!$B$14:$K$20,9)/30))</f>
        <v>7.1206614318211283</v>
      </c>
      <c r="L123" s="173">
        <f ca="1">(VLOOKUP(L$72,INDIRECT($C$5&amp;"生成成长"),2))/((VLOOKUP($B123,INDIRECT($B$5&amp;"生成成长"),4))/(VLOOKUP(L$72,INDIRECT($C$5&amp;"生成成长"),5))*(VLOOKUP($B$5,标准坦克设计!$B$24:$U$30,MATCH("对"&amp;LEFT($C$5,2)&amp;"输出",标准坦克设计!$B$23:$U$23,0)))*(VLOOKUP($B123,INDIRECT($B$5&amp;"生成成长"),3))*(VLOOKUP($B$5,标准坦克设计!$B$14:$K$20,9)/30))</f>
        <v>7.9577024491127544</v>
      </c>
      <c r="M123" s="173">
        <f ca="1">(VLOOKUP(M$72,INDIRECT($C$5&amp;"生成成长"),2))/((VLOOKUP($B123,INDIRECT($B$5&amp;"生成成长"),4))/(VLOOKUP(M$72,INDIRECT($C$5&amp;"生成成长"),5))*(VLOOKUP($B$5,标准坦克设计!$B$24:$U$30,MATCH("对"&amp;LEFT($C$5,2)&amp;"输出",标准坦克设计!$B$23:$U$23,0)))*(VLOOKUP($B123,INDIRECT($B$5&amp;"生成成长"),3))*(VLOOKUP($B$5,标准坦克设计!$B$14:$K$20,9)/30))</f>
        <v>8.841245745142805</v>
      </c>
      <c r="N123" s="173">
        <f ca="1">(VLOOKUP(N$72,INDIRECT($C$5&amp;"生成成长"),2))/((VLOOKUP($B123,INDIRECT($B$5&amp;"生成成长"),4))/(VLOOKUP(N$72,INDIRECT($C$5&amp;"生成成长"),5))*(VLOOKUP($B$5,标准坦克设计!$B$24:$U$30,MATCH("对"&amp;LEFT($C$5,2)&amp;"输出",标准坦克设计!$B$23:$U$23,0)))*(VLOOKUP($B123,INDIRECT($B$5&amp;"生成成长"),3))*(VLOOKUP($B$5,标准坦克设计!$B$14:$K$20,9)/30))</f>
        <v>9.7712913199112776</v>
      </c>
      <c r="O123" s="173">
        <f ca="1">(VLOOKUP(O$72,INDIRECT($C$5&amp;"生成成长"),2))/((VLOOKUP($B123,INDIRECT($B$5&amp;"生成成长"),4))/(VLOOKUP(O$72,INDIRECT($C$5&amp;"生成成长"),5))*(VLOOKUP($B$5,标准坦克设计!$B$24:$U$30,MATCH("对"&amp;LEFT($C$5,2)&amp;"输出",标准坦克设计!$B$23:$U$23,0)))*(VLOOKUP($B123,INDIRECT($B$5&amp;"生成成长"),3))*(VLOOKUP($B$5,标准坦克设计!$B$14:$K$20,9)/30))</f>
        <v>7.4291023275158299</v>
      </c>
      <c r="P123" s="173">
        <f ca="1">(VLOOKUP(P$72,INDIRECT($C$5&amp;"生成成长"),2))/((VLOOKUP($B123,INDIRECT($B$5&amp;"生成成长"),4))/(VLOOKUP(P$72,INDIRECT($C$5&amp;"生成成长"),5))*(VLOOKUP($B$5,标准坦克设计!$B$24:$U$30,MATCH("对"&amp;LEFT($C$5,2)&amp;"输出",标准坦克设计!$B$23:$U$23,0)))*(VLOOKUP($B123,INDIRECT($B$5&amp;"生成成长"),3))*(VLOOKUP($B$5,标准坦克设计!$B$14:$K$20,9)/30))</f>
        <v>8.3936613122854791</v>
      </c>
      <c r="Q123" s="173">
        <f ca="1">(VLOOKUP(Q$72,INDIRECT($C$5&amp;"生成成长"),2))/((VLOOKUP($B123,INDIRECT($B$5&amp;"生成成长"),4))/(VLOOKUP(Q$72,INDIRECT($C$5&amp;"生成成长"),5))*(VLOOKUP($B$5,标准坦克设计!$B$24:$U$30,MATCH("对"&amp;LEFT($C$5,2)&amp;"输出",标准坦克设计!$B$23:$U$23,0)))*(VLOOKUP($B123,INDIRECT($B$5&amp;"生成成长"),3))*(VLOOKUP($B$5,标准坦克设计!$B$14:$K$20,9)/30))</f>
        <v>9.4170747435834414</v>
      </c>
      <c r="R123" s="173">
        <f ca="1">(VLOOKUP(R$72,INDIRECT($C$5&amp;"生成成长"),2))/((VLOOKUP($B123,INDIRECT($B$5&amp;"生成成长"),4))/(VLOOKUP(R$72,INDIRECT($C$5&amp;"生成成长"),5))*(VLOOKUP($B$5,标准坦克设计!$B$24:$U$30,MATCH("对"&amp;LEFT($C$5,2)&amp;"输出",标准坦克设计!$B$23:$U$23,0)))*(VLOOKUP($B123,INDIRECT($B$5&amp;"生成成长"),3))*(VLOOKUP($B$5,标准坦克设计!$B$14:$K$20,9)/30))</f>
        <v>10.499342621409728</v>
      </c>
      <c r="S123" s="173">
        <f ca="1">(VLOOKUP(S$72,INDIRECT($C$5&amp;"生成成长"),2))/((VLOOKUP($B123,INDIRECT($B$5&amp;"生成成长"),4))/(VLOOKUP(S$72,INDIRECT($C$5&amp;"生成成长"),5))*(VLOOKUP($B$5,标准坦克设计!$B$24:$U$30,MATCH("对"&amp;LEFT($C$5,2)&amp;"输出",标准坦克设计!$B$23:$U$23,0)))*(VLOOKUP($B123,INDIRECT($B$5&amp;"生成成长"),3))*(VLOOKUP($B$5,标准坦克设计!$B$14:$K$20,9)/30))</f>
        <v>11.640464945764323</v>
      </c>
      <c r="T123" s="173">
        <f ca="1">(VLOOKUP(T$72,INDIRECT($C$5&amp;"生成成长"),2))/((VLOOKUP($B123,INDIRECT($B$5&amp;"生成成长"),4))/(VLOOKUP(T$72,INDIRECT($C$5&amp;"生成成长"),5))*(VLOOKUP($B$5,标准坦克设计!$B$24:$U$30,MATCH("对"&amp;LEFT($C$5,2)&amp;"输出",标准坦克设计!$B$23:$U$23,0)))*(VLOOKUP($B123,INDIRECT($B$5&amp;"生成成长"),3))*(VLOOKUP($B$5,标准坦克设计!$B$14:$K$20,9)/30))</f>
        <v>12.840441716647241</v>
      </c>
      <c r="U123" s="173">
        <f ca="1">(VLOOKUP(U$72,INDIRECT($C$5&amp;"生成成长"),2))/((VLOOKUP($B123,INDIRECT($B$5&amp;"生成成长"),4))/(VLOOKUP(U$72,INDIRECT($C$5&amp;"生成成长"),5))*(VLOOKUP($B$5,标准坦克设计!$B$24:$U$30,MATCH("对"&amp;LEFT($C$5,2)&amp;"输出",标准坦克设计!$B$23:$U$23,0)))*(VLOOKUP($B123,INDIRECT($B$5&amp;"生成成长"),3))*(VLOOKUP($B$5,标准坦克设计!$B$14:$K$20,9)/30))</f>
        <v>14.099272934058478</v>
      </c>
      <c r="V123" s="173">
        <f ca="1">(VLOOKUP(V$72,INDIRECT($C$5&amp;"生成成长"),2))/((VLOOKUP($B123,INDIRECT($B$5&amp;"生成成长"),4))/(VLOOKUP(V$72,INDIRECT($C$5&amp;"生成成长"),5))*(VLOOKUP($B$5,标准坦克设计!$B$24:$U$30,MATCH("对"&amp;LEFT($C$5,2)&amp;"输出",标准坦克设计!$B$23:$U$23,0)))*(VLOOKUP($B123,INDIRECT($B$5&amp;"生成成长"),3))*(VLOOKUP($B$5,标准坦克设计!$B$14:$K$20,9)/30))</f>
        <v>15.416958597998029</v>
      </c>
      <c r="W123" s="173">
        <f ca="1">(VLOOKUP(W$72,INDIRECT($C$5&amp;"生成成长"),2))/((VLOOKUP($B123,INDIRECT($B$5&amp;"生成成长"),4))/(VLOOKUP(W$72,INDIRECT($C$5&amp;"生成成长"),5))*(VLOOKUP($B$5,标准坦克设计!$B$24:$U$30,MATCH("对"&amp;LEFT($C$5,2)&amp;"输出",标准坦克设计!$B$23:$U$23,0)))*(VLOOKUP($B123,INDIRECT($B$5&amp;"生成成长"),3))*(VLOOKUP($B$5,标准坦克设计!$B$14:$K$20,9)/30))</f>
        <v>16.793498708465901</v>
      </c>
      <c r="X123" s="173">
        <f ca="1">(VLOOKUP(X$72,INDIRECT($C$5&amp;"生成成长"),2))/((VLOOKUP($B123,INDIRECT($B$5&amp;"生成成长"),4))/(VLOOKUP(X$72,INDIRECT($C$5&amp;"生成成长"),5))*(VLOOKUP($B$5,标准坦克设计!$B$24:$U$30,MATCH("对"&amp;LEFT($C$5,2)&amp;"输出",标准坦克设计!$B$23:$U$23,0)))*(VLOOKUP($B123,INDIRECT($B$5&amp;"生成成长"),3))*(VLOOKUP($B$5,标准坦克设计!$B$14:$K$20,9)/30))</f>
        <v>12.166521973992744</v>
      </c>
      <c r="Y123" s="173">
        <f ca="1">(VLOOKUP(Y$72,INDIRECT($C$5&amp;"生成成长"),2))/((VLOOKUP($B123,INDIRECT($B$5&amp;"生成成长"),4))/(VLOOKUP(Y$72,INDIRECT($C$5&amp;"生成成长"),5))*(VLOOKUP($B$5,标准坦克设计!$B$24:$U$30,MATCH("对"&amp;LEFT($C$5,2)&amp;"输出",标准坦克设计!$B$23:$U$23,0)))*(VLOOKUP($B123,INDIRECT($B$5&amp;"生成成长"),3))*(VLOOKUP($B$5,标准坦克设计!$B$14:$K$20,9)/30))</f>
        <v>13.532526411933938</v>
      </c>
      <c r="Z123" s="173">
        <f ca="1">(VLOOKUP(Z$72,INDIRECT($C$5&amp;"生成成长"),2))/((VLOOKUP($B123,INDIRECT($B$5&amp;"生成成长"),4))/(VLOOKUP(Z$72,INDIRECT($C$5&amp;"生成成长"),5))*(VLOOKUP($B$5,标准坦克设计!$B$24:$U$30,MATCH("对"&amp;LEFT($C$5,2)&amp;"输出",标准坦克设计!$B$23:$U$23,0)))*(VLOOKUP($B123,INDIRECT($B$5&amp;"生成成长"),3))*(VLOOKUP($B$5,标准坦克设计!$B$14:$K$20,9)/30))</f>
        <v>14.97119066040392</v>
      </c>
      <c r="AA123" s="173">
        <f ca="1">(VLOOKUP(AA$72,INDIRECT($C$5&amp;"生成成长"),2))/((VLOOKUP($B123,INDIRECT($B$5&amp;"生成成长"),4))/(VLOOKUP(AA$72,INDIRECT($C$5&amp;"生成成长"),5))*(VLOOKUP($B$5,标准坦克设计!$B$24:$U$30,MATCH("对"&amp;LEFT($C$5,2)&amp;"输出",标准坦克设计!$B$23:$U$23,0)))*(VLOOKUP($B123,INDIRECT($B$5&amp;"生成成长"),3))*(VLOOKUP($B$5,标准坦克设计!$B$14:$K$20,9)/30))</f>
        <v>16.48251471940269</v>
      </c>
      <c r="AB123" s="173">
        <f ca="1">(VLOOKUP(AB$72,INDIRECT($C$5&amp;"生成成长"),2))/((VLOOKUP($B123,INDIRECT($B$5&amp;"生成成长"),4))/(VLOOKUP(AB$72,INDIRECT($C$5&amp;"生成成长"),5))*(VLOOKUP($B$5,标准坦克设计!$B$24:$U$30,MATCH("对"&amp;LEFT($C$5,2)&amp;"输出",标准坦克设计!$B$23:$U$23,0)))*(VLOOKUP($B123,INDIRECT($B$5&amp;"生成成长"),3))*(VLOOKUP($B$5,标准坦克设计!$B$14:$K$20,9)/30))</f>
        <v>18.066498588930244</v>
      </c>
      <c r="AC123" s="173">
        <f ca="1">(VLOOKUP(AC$72,INDIRECT($C$5&amp;"生成成长"),2))/((VLOOKUP($B123,INDIRECT($B$5&amp;"生成成长"),4))/(VLOOKUP(AC$72,INDIRECT($C$5&amp;"生成成长"),5))*(VLOOKUP($B$5,标准坦克设计!$B$24:$U$30,MATCH("对"&amp;LEFT($C$5,2)&amp;"输出",标准坦克设计!$B$23:$U$23,0)))*(VLOOKUP($B123,INDIRECT($B$5&amp;"生成成长"),3))*(VLOOKUP($B$5,标准坦克设计!$B$14:$K$20,9)/30))</f>
        <v>19.723142268986592</v>
      </c>
      <c r="AD123" s="173">
        <f ca="1">(VLOOKUP(AD$72,INDIRECT($C$5&amp;"生成成长"),2))/((VLOOKUP($B123,INDIRECT($B$5&amp;"生成成长"),4))/(VLOOKUP(AD$72,INDIRECT($C$5&amp;"生成成长"),5))*(VLOOKUP($B$5,标准坦克设计!$B$24:$U$30,MATCH("对"&amp;LEFT($C$5,2)&amp;"输出",标准坦克设计!$B$23:$U$23,0)))*(VLOOKUP($B123,INDIRECT($B$5&amp;"生成成长"),3))*(VLOOKUP($B$5,标准坦克设计!$B$14:$K$20,9)/30))</f>
        <v>21.452445759571724</v>
      </c>
      <c r="AE123" s="173">
        <f ca="1">(VLOOKUP(AE$72,INDIRECT($C$5&amp;"生成成长"),2))/((VLOOKUP($B123,INDIRECT($B$5&amp;"生成成长"),4))/(VLOOKUP(AE$72,INDIRECT($C$5&amp;"生成成长"),5))*(VLOOKUP($B$5,标准坦克设计!$B$24:$U$30,MATCH("对"&amp;LEFT($C$5,2)&amp;"输出",标准坦克设计!$B$23:$U$23,0)))*(VLOOKUP($B123,INDIRECT($B$5&amp;"生成成长"),3))*(VLOOKUP($B$5,标准坦克设计!$B$14:$K$20,9)/30))</f>
        <v>23.254409060685646</v>
      </c>
      <c r="AF123" s="173">
        <f ca="1">(VLOOKUP(AF$72,INDIRECT($C$5&amp;"生成成长"),2))/((VLOOKUP($B123,INDIRECT($B$5&amp;"生成成长"),4))/(VLOOKUP(AF$72,INDIRECT($C$5&amp;"生成成长"),5))*(VLOOKUP($B$5,标准坦克设计!$B$24:$U$30,MATCH("对"&amp;LEFT($C$5,2)&amp;"输出",标准坦克设计!$B$23:$U$23,0)))*(VLOOKUP($B123,INDIRECT($B$5&amp;"生成成长"),3))*(VLOOKUP($B$5,标准坦克设计!$B$14:$K$20,9)/30))</f>
        <v>25.129032172328348</v>
      </c>
      <c r="AG123" s="173">
        <f ca="1">(VLOOKUP(AG$72,INDIRECT($C$5&amp;"生成成长"),2))/((VLOOKUP($B123,INDIRECT($B$5&amp;"生成成长"),4))/(VLOOKUP(AG$72,INDIRECT($C$5&amp;"生成成长"),5))*(VLOOKUP($B$5,标准坦克设计!$B$24:$U$30,MATCH("对"&amp;LEFT($C$5,2)&amp;"输出",标准坦克设计!$B$23:$U$23,0)))*(VLOOKUP($B123,INDIRECT($B$5&amp;"生成成长"),3))*(VLOOKUP($B$5,标准坦克设计!$B$14:$K$20,9)/30))</f>
        <v>27.076315094499837</v>
      </c>
      <c r="AH123" s="173">
        <f ca="1">(VLOOKUP(AH$72,INDIRECT($C$5&amp;"生成成长"),2))/((VLOOKUP($B123,INDIRECT($B$5&amp;"生成成长"),4))/(VLOOKUP(AH$72,INDIRECT($C$5&amp;"生成成长"),5))*(VLOOKUP($B$5,标准坦克设计!$B$24:$U$30,MATCH("对"&amp;LEFT($C$5,2)&amp;"输出",标准坦克设计!$B$23:$U$23,0)))*(VLOOKUP($B123,INDIRECT($B$5&amp;"生成成长"),3))*(VLOOKUP($B$5,标准坦克设计!$B$14:$K$20,9)/30))</f>
        <v>29.09625782720012</v>
      </c>
      <c r="AI123" s="173">
        <f ca="1">(VLOOKUP(AI$72,INDIRECT($C$5&amp;"生成成长"),2))/((VLOOKUP($B123,INDIRECT($B$5&amp;"生成成长"),4))/(VLOOKUP(AI$72,INDIRECT($C$5&amp;"生成成长"),5))*(VLOOKUP($B$5,标准坦克设计!$B$24:$U$30,MATCH("对"&amp;LEFT($C$5,2)&amp;"输出",标准坦克设计!$B$23:$U$23,0)))*(VLOOKUP($B123,INDIRECT($B$5&amp;"生成成长"),3))*(VLOOKUP($B$5,标准坦克设计!$B$14:$K$20,9)/30))</f>
        <v>20.578711537963059</v>
      </c>
      <c r="AJ123" s="173">
        <f ca="1">(VLOOKUP(AJ$72,INDIRECT($C$5&amp;"生成成长"),2))/((VLOOKUP($B123,INDIRECT($B$5&amp;"生成成长"),4))/(VLOOKUP(AJ$72,INDIRECT($C$5&amp;"生成成长"),5))*(VLOOKUP($B$5,标准坦克设计!$B$24:$U$30,MATCH("对"&amp;LEFT($C$5,2)&amp;"输出",标准坦克设计!$B$23:$U$23,0)))*(VLOOKUP($B123,INDIRECT($B$5&amp;"生成成长"),3))*(VLOOKUP($B$5,标准坦克设计!$B$14:$K$20,9)/30))</f>
        <v>22.524904562976619</v>
      </c>
      <c r="AK123" s="173">
        <f ca="1">(VLOOKUP(AK$72,INDIRECT($C$5&amp;"生成成长"),2))/((VLOOKUP($B123,INDIRECT($B$5&amp;"生成成长"),4))/(VLOOKUP(AK$72,INDIRECT($C$5&amp;"生成成长"),5))*(VLOOKUP($B$5,标准坦克设计!$B$24:$U$30,MATCH("对"&amp;LEFT($C$5,2)&amp;"输出",标准坦克设计!$B$23:$U$23,0)))*(VLOOKUP($B123,INDIRECT($B$5&amp;"生成成长"),3))*(VLOOKUP($B$5,标准坦克设计!$B$14:$K$20,9)/30))</f>
        <v>24.559015958730015</v>
      </c>
      <c r="AL123" s="173">
        <f ca="1">(VLOOKUP(AL$72,INDIRECT($C$5&amp;"生成成长"),2))/((VLOOKUP($B123,INDIRECT($B$5&amp;"生成成长"),4))/(VLOOKUP(AL$72,INDIRECT($C$5&amp;"生成成长"),5))*(VLOOKUP($B$5,标准坦克设计!$B$24:$U$30,MATCH("对"&amp;LEFT($C$5,2)&amp;"输出",标准坦克设计!$B$23:$U$23,0)))*(VLOOKUP($B123,INDIRECT($B$5&amp;"生成成长"),3))*(VLOOKUP($B$5,标准坦克设计!$B$14:$K$20,9)/30))</f>
        <v>26.681045725223239</v>
      </c>
      <c r="AM123" s="173">
        <f ca="1">(VLOOKUP(AM$72,INDIRECT($C$5&amp;"生成成长"),2))/((VLOOKUP($B123,INDIRECT($B$5&amp;"生成成长"),4))/(VLOOKUP(AM$72,INDIRECT($C$5&amp;"生成成长"),5))*(VLOOKUP($B$5,标准坦克设计!$B$24:$U$30,MATCH("对"&amp;LEFT($C$5,2)&amp;"输出",标准坦克设计!$B$23:$U$23,0)))*(VLOOKUP($B123,INDIRECT($B$5&amp;"生成成长"),3))*(VLOOKUP($B$5,标准坦克设计!$B$14:$K$20,9)/30))</f>
        <v>28.890993862456295</v>
      </c>
      <c r="AN123" s="173">
        <f ca="1">(VLOOKUP(AN$72,INDIRECT($C$5&amp;"生成成长"),2))/((VLOOKUP($B123,INDIRECT($B$5&amp;"生成成长"),4))/(VLOOKUP(AN$72,INDIRECT($C$5&amp;"生成成长"),5))*(VLOOKUP($B$5,标准坦克设计!$B$24:$U$30,MATCH("对"&amp;LEFT($C$5,2)&amp;"输出",标准坦克设计!$B$23:$U$23,0)))*(VLOOKUP($B123,INDIRECT($B$5&amp;"生成成长"),3))*(VLOOKUP($B$5,标准坦克设计!$B$14:$K$20,9)/30))</f>
        <v>31.188860370429179</v>
      </c>
      <c r="AO123" s="173">
        <f ca="1">(VLOOKUP(AO$72,INDIRECT($C$5&amp;"生成成长"),2))/((VLOOKUP($B123,INDIRECT($B$5&amp;"生成成长"),4))/(VLOOKUP(AO$72,INDIRECT($C$5&amp;"生成成长"),5))*(VLOOKUP($B$5,标准坦克设计!$B$24:$U$30,MATCH("对"&amp;LEFT($C$5,2)&amp;"输出",标准坦克设计!$B$23:$U$23,0)))*(VLOOKUP($B123,INDIRECT($B$5&amp;"生成成长"),3))*(VLOOKUP($B$5,标准坦克设计!$B$14:$K$20,9)/30))</f>
        <v>33.574645249141916</v>
      </c>
      <c r="AP123" s="173">
        <f ca="1">(VLOOKUP(AP$72,INDIRECT($C$5&amp;"生成成长"),2))/((VLOOKUP($B123,INDIRECT($B$5&amp;"生成成长"),4))/(VLOOKUP(AP$72,INDIRECT($C$5&amp;"生成成长"),5))*(VLOOKUP($B$5,标准坦克设计!$B$24:$U$30,MATCH("对"&amp;LEFT($C$5,2)&amp;"输出",标准坦克设计!$B$23:$U$23,0)))*(VLOOKUP($B123,INDIRECT($B$5&amp;"生成成长"),3))*(VLOOKUP($B$5,标准坦克设计!$B$14:$K$20,9)/30))</f>
        <v>36.048348498594464</v>
      </c>
      <c r="AQ123" s="173">
        <f ca="1">(VLOOKUP(AQ$72,INDIRECT($C$5&amp;"生成成长"),2))/((VLOOKUP($B123,INDIRECT($B$5&amp;"生成成长"),4))/(VLOOKUP(AQ$72,INDIRECT($C$5&amp;"生成成长"),5))*(VLOOKUP($B$5,标准坦克设计!$B$24:$U$30,MATCH("对"&amp;LEFT($C$5,2)&amp;"输出",标准坦克设计!$B$23:$U$23,0)))*(VLOOKUP($B123,INDIRECT($B$5&amp;"生成成长"),3))*(VLOOKUP($B$5,标准坦克设计!$B$14:$K$20,9)/30))</f>
        <v>38.609970118786855</v>
      </c>
      <c r="AR123" s="173">
        <f ca="1">(VLOOKUP(AR$72,INDIRECT($C$5&amp;"生成成长"),2))/((VLOOKUP($B123,INDIRECT($B$5&amp;"生成成长"),4))/(VLOOKUP(AR$72,INDIRECT($C$5&amp;"生成成长"),5))*(VLOOKUP($B$5,标准坦克设计!$B$24:$U$30,MATCH("对"&amp;LEFT($C$5,2)&amp;"输出",标准坦克设计!$B$23:$U$23,0)))*(VLOOKUP($B123,INDIRECT($B$5&amp;"生成成长"),3))*(VLOOKUP($B$5,标准坦克设计!$B$14:$K$20,9)/30))</f>
        <v>41.259510109719066</v>
      </c>
      <c r="AS123" s="173">
        <f ca="1">(VLOOKUP(AS$72,INDIRECT($C$5&amp;"生成成长"),2))/((VLOOKUP($B123,INDIRECT($B$5&amp;"生成成长"),4))/(VLOOKUP(AS$72,INDIRECT($C$5&amp;"生成成长"),5))*(VLOOKUP($B$5,标准坦克设计!$B$24:$U$30,MATCH("对"&amp;LEFT($C$5,2)&amp;"输出",标准坦克设计!$B$23:$U$23,0)))*(VLOOKUP($B123,INDIRECT($B$5&amp;"生成成长"),3))*(VLOOKUP($B$5,标准坦克设计!$B$14:$K$20,9)/30))</f>
        <v>43.996968471391106</v>
      </c>
      <c r="AT123" s="173">
        <f ca="1">(VLOOKUP(AT$72,INDIRECT($C$5&amp;"生成成长"),2))/((VLOOKUP($B123,INDIRECT($B$5&amp;"生成成长"),4))/(VLOOKUP(AT$72,INDIRECT($C$5&amp;"生成成长"),5))*(VLOOKUP($B$5,标准坦克设计!$B$24:$U$30,MATCH("对"&amp;LEFT($C$5,2)&amp;"输出",标准坦克设计!$B$23:$U$23,0)))*(VLOOKUP($B123,INDIRECT($B$5&amp;"生成成长"),3))*(VLOOKUP($B$5,标准坦克设计!$B$14:$K$20,9)/30))</f>
        <v>46.822345203802996</v>
      </c>
      <c r="AU123" s="173">
        <f ca="1">(VLOOKUP(AU$72,INDIRECT($C$5&amp;"生成成长"),2))/((VLOOKUP($B123,INDIRECT($B$5&amp;"生成成长"),4))/(VLOOKUP(AU$72,INDIRECT($C$5&amp;"生成成长"),5))*(VLOOKUP($B$5,标准坦克设计!$B$24:$U$30,MATCH("对"&amp;LEFT($C$5,2)&amp;"输出",标准坦克设计!$B$23:$U$23,0)))*(VLOOKUP($B123,INDIRECT($B$5&amp;"生成成长"),3))*(VLOOKUP($B$5,标准坦克设计!$B$14:$K$20,9)/30))</f>
        <v>49.735640306954721</v>
      </c>
      <c r="AV123" s="173">
        <f ca="1">(VLOOKUP(AV$72,INDIRECT($C$5&amp;"生成成长"),2))/((VLOOKUP($B123,INDIRECT($B$5&amp;"生成成长"),4))/(VLOOKUP(AV$72,INDIRECT($C$5&amp;"生成成长"),5))*(VLOOKUP($B$5,标准坦克设计!$B$24:$U$30,MATCH("对"&amp;LEFT($C$5,2)&amp;"输出",标准坦克设计!$B$23:$U$23,0)))*(VLOOKUP($B123,INDIRECT($B$5&amp;"生成成长"),3))*(VLOOKUP($B$5,标准坦克设计!$B$14:$K$20,9)/30))</f>
        <v>5.0585760090141525</v>
      </c>
      <c r="AW123" s="173">
        <f ca="1">(VLOOKUP(AW$72,INDIRECT($C$5&amp;"生成成长"),2))/((VLOOKUP($B123,INDIRECT($B$5&amp;"生成成长"),4))/(VLOOKUP(AW$72,INDIRECT($C$5&amp;"生成成长"),5))*(VLOOKUP($B$5,标准坦克设计!$B$24:$U$30,MATCH("对"&amp;LEFT($C$5,2)&amp;"输出",标准坦克设计!$B$23:$U$23,0)))*(VLOOKUP($B123,INDIRECT($B$5&amp;"生成成长"),3))*(VLOOKUP($B$5,标准坦克设计!$B$14:$K$20,9)/30))</f>
        <v>5.767735759775114</v>
      </c>
      <c r="AX123" s="173">
        <f ca="1">(VLOOKUP(AX$72,INDIRECT($C$5&amp;"生成成长"),2))/((VLOOKUP($B123,INDIRECT($B$5&amp;"生成成长"),4))/(VLOOKUP(AX$72,INDIRECT($C$5&amp;"生成成长"),5))*(VLOOKUP($B$5,标准坦克设计!$B$24:$U$30,MATCH("对"&amp;LEFT($C$5,2)&amp;"输出",标准坦克设计!$B$23:$U$23,0)))*(VLOOKUP($B123,INDIRECT($B$5&amp;"生成成长"),3))*(VLOOKUP($B$5,标准坦克设计!$B$14:$K$20,9)/30))</f>
        <v>6.5233977892744992</v>
      </c>
      <c r="AY123" s="173">
        <f ca="1">(VLOOKUP(AY$72,INDIRECT($C$5&amp;"生成成长"),2))/((VLOOKUP($B123,INDIRECT($B$5&amp;"生成成长"),4))/(VLOOKUP(AY$72,INDIRECT($C$5&amp;"生成成长"),5))*(VLOOKUP($B$5,标准坦克设计!$B$24:$U$30,MATCH("对"&amp;LEFT($C$5,2)&amp;"输出",标准坦克设计!$B$23:$U$23,0)))*(VLOOKUP($B123,INDIRECT($B$5&amp;"生成成长"),3))*(VLOOKUP($B$5,标准坦克设计!$B$14:$K$20,9)/30))</f>
        <v>7.3255620975123072</v>
      </c>
      <c r="AZ123" s="173">
        <f ca="1">(VLOOKUP(AZ$72,INDIRECT($C$5&amp;"生成成长"),2))/((VLOOKUP($B123,INDIRECT($B$5&amp;"生成成长"),4))/(VLOOKUP(AZ$72,INDIRECT($C$5&amp;"生成成长"),5))*(VLOOKUP($B$5,标准坦克设计!$B$24:$U$30,MATCH("对"&amp;LEFT($C$5,2)&amp;"输出",标准坦克设计!$B$23:$U$23,0)))*(VLOOKUP($B123,INDIRECT($B$5&amp;"生成成长"),3))*(VLOOKUP($B$5,标准坦克设计!$B$14:$K$20,9)/30))</f>
        <v>8.1742286844885417</v>
      </c>
      <c r="BA123" s="173">
        <f ca="1">(VLOOKUP(BA$72,INDIRECT($C$5&amp;"生成成长"),2))/((VLOOKUP($B123,INDIRECT($B$5&amp;"生成成长"),4))/(VLOOKUP(BA$72,INDIRECT($C$5&amp;"生成成长"),5))*(VLOOKUP($B$5,标准坦克设计!$B$24:$U$30,MATCH("对"&amp;LEFT($C$5,2)&amp;"输出",标准坦克设计!$B$23:$U$23,0)))*(VLOOKUP($B123,INDIRECT($B$5&amp;"生成成长"),3))*(VLOOKUP($B$5,标准坦克设计!$B$14:$K$20,9)/30))</f>
        <v>9.0693975502031954</v>
      </c>
      <c r="BB123" s="173">
        <f ca="1">(VLOOKUP(BB$72,INDIRECT($C$5&amp;"生成成长"),2))/((VLOOKUP($B123,INDIRECT($B$5&amp;"生成成长"),4))/(VLOOKUP(BB$72,INDIRECT($C$5&amp;"生成成长"),5))*(VLOOKUP($B$5,标准坦克设计!$B$24:$U$30,MATCH("对"&amp;LEFT($C$5,2)&amp;"输出",标准坦克设计!$B$23:$U$23,0)))*(VLOOKUP($B123,INDIRECT($B$5&amp;"生成成长"),3))*(VLOOKUP($B$5,标准坦克设计!$B$14:$K$20,9)/30))</f>
        <v>10.011068694656275</v>
      </c>
      <c r="BC123" s="173">
        <f ca="1">(VLOOKUP(BC$72,INDIRECT($C$5&amp;"生成成长"),2))/((VLOOKUP($B123,INDIRECT($B$5&amp;"生成成长"),4))/(VLOOKUP(BC$72,INDIRECT($C$5&amp;"生成成长"),5))*(VLOOKUP($B$5,标准坦克设计!$B$24:$U$30,MATCH("对"&amp;LEFT($C$5,2)&amp;"输出",标准坦克设计!$B$23:$U$23,0)))*(VLOOKUP($B123,INDIRECT($B$5&amp;"生成成长"),3))*(VLOOKUP($B$5,标准坦克设计!$B$14:$K$20,9)/30))</f>
        <v>10.999242117847777</v>
      </c>
      <c r="BD123" s="173">
        <f ca="1">(VLOOKUP(BD$72,INDIRECT($C$5&amp;"生成成长"),2))/((VLOOKUP($B123,INDIRECT($B$5&amp;"生成成长"),4))/(VLOOKUP(BD$72,INDIRECT($C$5&amp;"生成成长"),5))*(VLOOKUP($B$5,标准坦克设计!$B$24:$U$30,MATCH("对"&amp;LEFT($C$5,2)&amp;"输出",标准坦克设计!$B$23:$U$23,0)))*(VLOOKUP($B123,INDIRECT($B$5&amp;"生成成长"),3))*(VLOOKUP($B$5,标准坦克设计!$B$14:$K$20,9)/30))</f>
        <v>12.166521973992744</v>
      </c>
      <c r="BE123" s="173">
        <f ca="1">(VLOOKUP(BE$72,INDIRECT($C$5&amp;"生成成长"),2))/((VLOOKUP($B123,INDIRECT($B$5&amp;"生成成长"),4))/(VLOOKUP(BE$72,INDIRECT($C$5&amp;"生成成长"),5))*(VLOOKUP($B$5,标准坦克设计!$B$24:$U$30,MATCH("对"&amp;LEFT($C$5,2)&amp;"输出",标准坦克设计!$B$23:$U$23,0)))*(VLOOKUP($B123,INDIRECT($B$5&amp;"生成成长"),3))*(VLOOKUP($B$5,标准坦克设计!$B$14:$K$20,9)/30))</f>
        <v>13.392656276666022</v>
      </c>
      <c r="BF123" s="173">
        <f ca="1">(VLOOKUP(BF$72,INDIRECT($C$5&amp;"生成成长"),2))/((VLOOKUP($B123,INDIRECT($B$5&amp;"生成成长"),4))/(VLOOKUP(BF$72,INDIRECT($C$5&amp;"生成成长"),5))*(VLOOKUP($B$5,标准坦克设计!$B$24:$U$30,MATCH("对"&amp;LEFT($C$5,2)&amp;"输出",标准坦克设计!$B$23:$U$23,0)))*(VLOOKUP($B123,INDIRECT($B$5&amp;"生成成长"),3))*(VLOOKUP($B$5,标准坦克设计!$B$14:$K$20,9)/30))</f>
        <v>14.677645025867621</v>
      </c>
      <c r="BG123" s="173">
        <f ca="1">(VLOOKUP(BG$72,INDIRECT($C$5&amp;"生成成长"),2))/((VLOOKUP($B123,INDIRECT($B$5&amp;"生成成长"),4))/(VLOOKUP(BG$72,INDIRECT($C$5&amp;"生成成长"),5))*(VLOOKUP($B$5,标准坦克设计!$B$24:$U$30,MATCH("对"&amp;LEFT($C$5,2)&amp;"输出",标准坦克设计!$B$23:$U$23,0)))*(VLOOKUP($B123,INDIRECT($B$5&amp;"生成成长"),3))*(VLOOKUP($B$5,标准坦克设计!$B$14:$K$20,9)/30))</f>
        <v>16.02148822159754</v>
      </c>
      <c r="BH123" s="173">
        <f ca="1">(VLOOKUP(BH$72,INDIRECT($C$5&amp;"生成成长"),2))/((VLOOKUP($B123,INDIRECT($B$5&amp;"生成成长"),4))/(VLOOKUP(BH$72,INDIRECT($C$5&amp;"生成成长"),5))*(VLOOKUP($B$5,标准坦克设计!$B$24:$U$30,MATCH("对"&amp;LEFT($C$5,2)&amp;"输出",标准坦克设计!$B$23:$U$23,0)))*(VLOOKUP($B123,INDIRECT($B$5&amp;"生成成长"),3))*(VLOOKUP($B$5,标准坦克设计!$B$14:$K$20,9)/30))</f>
        <v>7.7440826061581207</v>
      </c>
      <c r="BI123" s="173">
        <f ca="1">(VLOOKUP(BI$72,INDIRECT($C$5&amp;"生成成长"),2))/((VLOOKUP($B123,INDIRECT($B$5&amp;"生成成长"),4))/(VLOOKUP(BI$72,INDIRECT($C$5&amp;"生成成长"),5))*(VLOOKUP($B$5,标准坦克设计!$B$24:$U$30,MATCH("对"&amp;LEFT($C$5,2)&amp;"输出",标准坦克设计!$B$23:$U$23,0)))*(VLOOKUP($B123,INDIRECT($B$5&amp;"生成成长"),3))*(VLOOKUP($B$5,标准坦克设计!$B$14:$K$20,9)/30))</f>
        <v>8.7282597397705413</v>
      </c>
      <c r="BJ123" s="173">
        <f ca="1">(VLOOKUP(BJ$72,INDIRECT($C$5&amp;"生成成长"),2))/((VLOOKUP($B123,INDIRECT($B$5&amp;"生成成长"),4))/(VLOOKUP(BJ$72,INDIRECT($C$5&amp;"生成成长"),5))*(VLOOKUP($B$5,标准坦克设计!$B$24:$U$30,MATCH("对"&amp;LEFT($C$5,2)&amp;"输出",标准坦克设计!$B$23:$U$23,0)))*(VLOOKUP($B123,INDIRECT($B$5&amp;"生成成长"),3))*(VLOOKUP($B$5,标准坦克设计!$B$14:$K$20,9)/30))</f>
        <v>9.7712913199112776</v>
      </c>
      <c r="BK123" s="173">
        <f ca="1">(VLOOKUP(BK$72,INDIRECT($C$5&amp;"生成成长"),2))/((VLOOKUP($B123,INDIRECT($B$5&amp;"生成成长"),4))/(VLOOKUP(BK$72,INDIRECT($C$5&amp;"生成成长"),5))*(VLOOKUP($B$5,标准坦克设计!$B$24:$U$30,MATCH("对"&amp;LEFT($C$5,2)&amp;"输出",标准坦克设计!$B$23:$U$23,0)))*(VLOOKUP($B123,INDIRECT($B$5&amp;"生成成长"),3))*(VLOOKUP($B$5,标准坦克设计!$B$14:$K$20,9)/30))</f>
        <v>10.873177346580334</v>
      </c>
      <c r="BL123" s="173">
        <f ca="1">(VLOOKUP(BL$72,INDIRECT($C$5&amp;"生成成长"),2))/((VLOOKUP($B123,INDIRECT($B$5&amp;"生成成长"),4))/(VLOOKUP(BL$72,INDIRECT($C$5&amp;"生成成长"),5))*(VLOOKUP($B$5,标准坦克设计!$B$24:$U$30,MATCH("对"&amp;LEFT($C$5,2)&amp;"输出",标准坦克设计!$B$23:$U$23,0)))*(VLOOKUP($B123,INDIRECT($B$5&amp;"生成成长"),3))*(VLOOKUP($B$5,标准坦克设计!$B$14:$K$20,9)/30))</f>
        <v>12.033917819777706</v>
      </c>
      <c r="BM123" s="173">
        <f ca="1">(VLOOKUP(BM$72,INDIRECT($C$5&amp;"生成成长"),2))/((VLOOKUP($B123,INDIRECT($B$5&amp;"生成成长"),4))/(VLOOKUP(BM$72,INDIRECT($C$5&amp;"生成成长"),5))*(VLOOKUP($B$5,标准坦克设计!$B$24:$U$30,MATCH("对"&amp;LEFT($C$5,2)&amp;"输出",标准坦克设计!$B$23:$U$23,0)))*(VLOOKUP($B123,INDIRECT($B$5&amp;"生成成长"),3))*(VLOOKUP($B$5,标准坦克设计!$B$14:$K$20,9)/30))</f>
        <v>13.253512739503396</v>
      </c>
      <c r="BN123" s="173">
        <f ca="1">(VLOOKUP(BN$72,INDIRECT($C$5&amp;"生成成长"),2))/((VLOOKUP($B123,INDIRECT($B$5&amp;"生成成长"),4))/(VLOOKUP(BN$72,INDIRECT($C$5&amp;"生成成长"),5))*(VLOOKUP($B$5,标准坦克设计!$B$24:$U$30,MATCH("对"&amp;LEFT($C$5,2)&amp;"输出",标准坦克设计!$B$23:$U$23,0)))*(VLOOKUP($B123,INDIRECT($B$5&amp;"生成成长"),3))*(VLOOKUP($B$5,标准坦克设计!$B$14:$K$20,9)/30))</f>
        <v>14.531962105757401</v>
      </c>
      <c r="BO123" s="173">
        <f ca="1">(VLOOKUP(BO$72,INDIRECT($C$5&amp;"生成成长"),2))/((VLOOKUP($B123,INDIRECT($B$5&amp;"生成成长"),4))/(VLOOKUP(BO$72,INDIRECT($C$5&amp;"生成成长"),5))*(VLOOKUP($B$5,标准坦克设计!$B$24:$U$30,MATCH("对"&amp;LEFT($C$5,2)&amp;"输出",标准坦克设计!$B$23:$U$23,0)))*(VLOOKUP($B123,INDIRECT($B$5&amp;"生成成长"),3))*(VLOOKUP($B$5,标准坦克设计!$B$14:$K$20,9)/30))</f>
        <v>15.869265918539732</v>
      </c>
      <c r="BP123" s="173">
        <f ca="1">(VLOOKUP(BP$72,INDIRECT($C$5&amp;"生成成长"),2))/((VLOOKUP($B123,INDIRECT($B$5&amp;"生成成长"),4))/(VLOOKUP(BP$72,INDIRECT($C$5&amp;"生成成长"),5))*(VLOOKUP($B$5,标准坦克设计!$B$24:$U$30,MATCH("对"&amp;LEFT($C$5,2)&amp;"输出",标准坦克设计!$B$23:$U$23,0)))*(VLOOKUP($B123,INDIRECT($B$5&amp;"生成成长"),3))*(VLOOKUP($B$5,标准坦克设计!$B$14:$K$20,9)/30))</f>
        <v>17.265424177850374</v>
      </c>
      <c r="BQ123" s="173">
        <f ca="1">(VLOOKUP(BQ$72,INDIRECT($C$5&amp;"生成成长"),2))/((VLOOKUP($B123,INDIRECT($B$5&amp;"生成成长"),4))/(VLOOKUP(BQ$72,INDIRECT($C$5&amp;"生成成长"),5))*(VLOOKUP($B$5,标准坦克设计!$B$24:$U$30,MATCH("对"&amp;LEFT($C$5,2)&amp;"输出",标准坦克设计!$B$23:$U$23,0)))*(VLOOKUP($B123,INDIRECT($B$5&amp;"生成成长"),3))*(VLOOKUP($B$5,标准坦克设计!$B$14:$K$20,9)/30))</f>
        <v>18.720436883689334</v>
      </c>
      <c r="BR123" s="173">
        <f ca="1">(VLOOKUP(BR$72,INDIRECT($C$5&amp;"生成成长"),2))/((VLOOKUP($B123,INDIRECT($B$5&amp;"生成成长"),4))/(VLOOKUP(BR$72,INDIRECT($C$5&amp;"生成成长"),5))*(VLOOKUP($B$5,标准坦克设计!$B$24:$U$30,MATCH("对"&amp;LEFT($C$5,2)&amp;"输出",标准坦克设计!$B$23:$U$23,0)))*(VLOOKUP($B123,INDIRECT($B$5&amp;"生成成长"),3))*(VLOOKUP($B$5,标准坦克设计!$B$14:$K$20,9)/30))</f>
        <v>20.406144487957189</v>
      </c>
      <c r="BS123" s="173">
        <f ca="1">(VLOOKUP(BS$72,INDIRECT($C$5&amp;"生成成长"),2))/((VLOOKUP($B123,INDIRECT($B$5&amp;"生成成长"),4))/(VLOOKUP(BS$72,INDIRECT($C$5&amp;"生成成长"),5))*(VLOOKUP($B$5,标准坦克设计!$B$24:$U$30,MATCH("对"&amp;LEFT($C$5,2)&amp;"输出",标准坦克设计!$B$23:$U$23,0)))*(VLOOKUP($B123,INDIRECT($B$5&amp;"生成成长"),3))*(VLOOKUP($B$5,标准坦克设计!$B$14:$K$20,9)/30))</f>
        <v>22.164511902753837</v>
      </c>
      <c r="BT123" s="173">
        <f ca="1">(VLOOKUP(BT$72,INDIRECT($C$5&amp;"生成成长"),2))/((VLOOKUP($B123,INDIRECT($B$5&amp;"生成成长"),4))/(VLOOKUP(BT$72,INDIRECT($C$5&amp;"生成成长"),5))*(VLOOKUP($B$5,标准坦克设计!$B$24:$U$30,MATCH("对"&amp;LEFT($C$5,2)&amp;"输出",标准坦克设计!$B$23:$U$23,0)))*(VLOOKUP($B123,INDIRECT($B$5&amp;"生成成长"),3))*(VLOOKUP($B$5,标准坦克设计!$B$14:$K$20,9)/30))</f>
        <v>23.995539128079272</v>
      </c>
      <c r="BU123" s="173">
        <f ca="1">(VLOOKUP(BU$72,INDIRECT($C$5&amp;"生成成长"),2))/((VLOOKUP($B123,INDIRECT($B$5&amp;"生成成长"),4))/(VLOOKUP(BU$72,INDIRECT($C$5&amp;"生成成长"),5))*(VLOOKUP($B$5,标准坦克设计!$B$24:$U$30,MATCH("对"&amp;LEFT($C$5,2)&amp;"输出",标准坦克设计!$B$23:$U$23,0)))*(VLOOKUP($B123,INDIRECT($B$5&amp;"生成成长"),3))*(VLOOKUP($B$5,标准坦克设计!$B$14:$K$20,9)/30))</f>
        <v>25.899226163933488</v>
      </c>
      <c r="BV123" s="173">
        <f ca="1">(VLOOKUP(BV$72,INDIRECT($C$5&amp;"生成成长"),2))/((VLOOKUP($B123,INDIRECT($B$5&amp;"生成成长"),4))/(VLOOKUP(BV$72,INDIRECT($C$5&amp;"生成成长"),5))*(VLOOKUP($B$5,标准坦克设计!$B$24:$U$30,MATCH("对"&amp;LEFT($C$5,2)&amp;"输出",标准坦克设计!$B$23:$U$23,0)))*(VLOOKUP($B123,INDIRECT($B$5&amp;"生成成长"),3))*(VLOOKUP($B$5,标准坦克设计!$B$14:$K$20,9)/30))</f>
        <v>27.875573010316494</v>
      </c>
      <c r="BW123" s="173">
        <f ca="1">(VLOOKUP(BW$72,INDIRECT($C$5&amp;"生成成长"),2))/((VLOOKUP($B123,INDIRECT($B$5&amp;"生成成长"),4))/(VLOOKUP(BW$72,INDIRECT($C$5&amp;"生成成长"),5))*(VLOOKUP($B$5,标准坦克设计!$B$24:$U$30,MATCH("对"&amp;LEFT($C$5,2)&amp;"输出",标准坦克设计!$B$23:$U$23,0)))*(VLOOKUP($B123,INDIRECT($B$5&amp;"生成成长"),3))*(VLOOKUP($B$5,标准坦克设计!$B$14:$K$20,9)/30))</f>
        <v>12.704204571905766</v>
      </c>
      <c r="BX123" s="173">
        <f ca="1">(VLOOKUP(BX$72,INDIRECT($C$5&amp;"生成成长"),2))/((VLOOKUP($B123,INDIRECT($B$5&amp;"生成成长"),4))/(VLOOKUP(BX$72,INDIRECT($C$5&amp;"生成成长"),5))*(VLOOKUP($B$5,标准坦克设计!$B$24:$U$30,MATCH("对"&amp;LEFT($C$5,2)&amp;"输出",标准坦克设计!$B$23:$U$23,0)))*(VLOOKUP($B123,INDIRECT($B$5&amp;"生成成长"),3))*(VLOOKUP($B$5,标准坦克设计!$B$14:$K$20,9)/30))</f>
        <v>14.099272934058478</v>
      </c>
      <c r="BY123" s="173">
        <f ca="1">(VLOOKUP(BY$72,INDIRECT($C$5&amp;"生成成长"),2))/((VLOOKUP($B123,INDIRECT($B$5&amp;"生成成长"),4))/(VLOOKUP(BY$72,INDIRECT($C$5&amp;"生成成长"),5))*(VLOOKUP($B$5,标准坦克设计!$B$24:$U$30,MATCH("对"&amp;LEFT($C$5,2)&amp;"输出",标准坦克设计!$B$23:$U$23,0)))*(VLOOKUP($B123,INDIRECT($B$5&amp;"生成成长"),3))*(VLOOKUP($B$5,标准坦克设计!$B$14:$K$20,9)/30))</f>
        <v>15.567001106739976</v>
      </c>
      <c r="BZ123" s="173">
        <f ca="1">(VLOOKUP(BZ$72,INDIRECT($C$5&amp;"生成成长"),2))/((VLOOKUP($B123,INDIRECT($B$5&amp;"生成成长"),4))/(VLOOKUP(BZ$72,INDIRECT($C$5&amp;"生成成长"),5))*(VLOOKUP($B$5,标准坦克设计!$B$24:$U$30,MATCH("对"&amp;LEFT($C$5,2)&amp;"输出",标准坦克设计!$B$23:$U$23,0)))*(VLOOKUP($B123,INDIRECT($B$5&amp;"生成成长"),3))*(VLOOKUP($B$5,标准坦克设计!$B$14:$K$20,9)/30))</f>
        <v>17.10738908995026</v>
      </c>
      <c r="CA123" s="173">
        <f ca="1">(VLOOKUP(CA$72,INDIRECT($C$5&amp;"生成成长"),2))/((VLOOKUP($B123,INDIRECT($B$5&amp;"生成成长"),4))/(VLOOKUP(CA$72,INDIRECT($C$5&amp;"生成成长"),5))*(VLOOKUP($B$5,标准坦克设计!$B$24:$U$30,MATCH("对"&amp;LEFT($C$5,2)&amp;"输出",标准坦克设计!$B$23:$U$23,0)))*(VLOOKUP($B123,INDIRECT($B$5&amp;"生成成长"),3))*(VLOOKUP($B$5,标准坦克设计!$B$14:$K$20,9)/30))</f>
        <v>18.720436883689334</v>
      </c>
      <c r="CB123" s="173">
        <f ca="1">(VLOOKUP(CB$72,INDIRECT($C$5&amp;"生成成长"),2))/((VLOOKUP($B123,INDIRECT($B$5&amp;"生成成长"),4))/(VLOOKUP(CB$72,INDIRECT($C$5&amp;"生成成长"),5))*(VLOOKUP($B$5,标准坦克设计!$B$24:$U$30,MATCH("对"&amp;LEFT($C$5,2)&amp;"输出",标准坦克设计!$B$23:$U$23,0)))*(VLOOKUP($B123,INDIRECT($B$5&amp;"生成成长"),3))*(VLOOKUP($B$5,标准坦克设计!$B$14:$K$20,9)/30))</f>
        <v>20.406144487957189</v>
      </c>
      <c r="CC123" s="173">
        <f ca="1">(VLOOKUP(CC$72,INDIRECT($C$5&amp;"生成成长"),2))/((VLOOKUP($B123,INDIRECT($B$5&amp;"生成成长"),4))/(VLOOKUP(CC$72,INDIRECT($C$5&amp;"生成成长"),5))*(VLOOKUP($B$5,标准坦克设计!$B$24:$U$30,MATCH("对"&amp;LEFT($C$5,2)&amp;"输出",标准坦克设计!$B$23:$U$23,0)))*(VLOOKUP($B123,INDIRECT($B$5&amp;"生成成长"),3))*(VLOOKUP($B$5,标准坦克设计!$B$14:$K$20,9)/30))</f>
        <v>22.164511902753837</v>
      </c>
      <c r="CD123" s="173">
        <f ca="1">(VLOOKUP(CD$72,INDIRECT($C$5&amp;"生成成长"),2))/((VLOOKUP($B123,INDIRECT($B$5&amp;"生成成长"),4))/(VLOOKUP(CD$72,INDIRECT($C$5&amp;"生成成长"),5))*(VLOOKUP($B$5,标准坦克设计!$B$24:$U$30,MATCH("对"&amp;LEFT($C$5,2)&amp;"输出",标准坦克设计!$B$23:$U$23,0)))*(VLOOKUP($B123,INDIRECT($B$5&amp;"生成成长"),3))*(VLOOKUP($B$5,标准坦克设计!$B$14:$K$20,9)/30))</f>
        <v>23.995539128079272</v>
      </c>
      <c r="CE123" s="173">
        <f ca="1">(VLOOKUP(CE$72,INDIRECT($C$5&amp;"生成成长"),2))/((VLOOKUP($B123,INDIRECT($B$5&amp;"生成成长"),4))/(VLOOKUP(CE$72,INDIRECT($C$5&amp;"生成成长"),5))*(VLOOKUP($B$5,标准坦克设计!$B$24:$U$30,MATCH("对"&amp;LEFT($C$5,2)&amp;"输出",标准坦克设计!$B$23:$U$23,0)))*(VLOOKUP($B123,INDIRECT($B$5&amp;"生成成长"),3))*(VLOOKUP($B$5,标准坦克设计!$B$14:$K$20,9)/30))</f>
        <v>25.899226163933488</v>
      </c>
      <c r="CF123" s="173">
        <f ca="1">(VLOOKUP(CF$72,INDIRECT($C$5&amp;"生成成长"),2))/((VLOOKUP($B123,INDIRECT($B$5&amp;"生成成长"),4))/(VLOOKUP(CF$72,INDIRECT($C$5&amp;"生成成长"),5))*(VLOOKUP($B$5,标准坦克设计!$B$24:$U$30,MATCH("对"&amp;LEFT($C$5,2)&amp;"输出",标准坦克设计!$B$23:$U$23,0)))*(VLOOKUP($B123,INDIRECT($B$5&amp;"生成成长"),3))*(VLOOKUP($B$5,标准坦克设计!$B$14:$K$20,9)/30))</f>
        <v>27.875573010316494</v>
      </c>
      <c r="CG123" s="173">
        <f ca="1">(VLOOKUP(CG$72,INDIRECT($C$5&amp;"生成成长"),2))/((VLOOKUP($B123,INDIRECT($B$5&amp;"生成成长"),4))/(VLOOKUP(CG$72,INDIRECT($C$5&amp;"生成成长"),5))*(VLOOKUP($B$5,标准坦克设计!$B$24:$U$30,MATCH("对"&amp;LEFT($C$5,2)&amp;"输出",标准坦克设计!$B$23:$U$23,0)))*(VLOOKUP($B123,INDIRECT($B$5&amp;"生成成长"),3))*(VLOOKUP($B$5,标准坦克设计!$B$14:$K$20,9)/30))</f>
        <v>29.924579667228294</v>
      </c>
      <c r="CH123" s="173">
        <f ca="1">(VLOOKUP(CH$72,INDIRECT($C$5&amp;"生成成长"),2))/((VLOOKUP($B123,INDIRECT($B$5&amp;"生成成长"),4))/(VLOOKUP(CH$72,INDIRECT($C$5&amp;"生成成长"),5))*(VLOOKUP($B$5,标准坦克设计!$B$24:$U$30,MATCH("对"&amp;LEFT($C$5,2)&amp;"输出",标准坦克设计!$B$23:$U$23,0)))*(VLOOKUP($B123,INDIRECT($B$5&amp;"生成成长"),3))*(VLOOKUP($B$5,标准坦克设计!$B$14:$K$20,9)/30))</f>
        <v>32.04624613466887</v>
      </c>
      <c r="CI123" s="173">
        <f ca="1">(VLOOKUP(CI$72,INDIRECT($C$5&amp;"生成成长"),2))/((VLOOKUP($B123,INDIRECT($B$5&amp;"生成成长"),4))/(VLOOKUP(CI$72,INDIRECT($C$5&amp;"生成成长"),5))*(VLOOKUP($B$5,标准坦克设计!$B$24:$U$30,MATCH("对"&amp;LEFT($C$5,2)&amp;"输出",标准坦克设计!$B$23:$U$23,0)))*(VLOOKUP($B123,INDIRECT($B$5&amp;"生成成长"),3))*(VLOOKUP($B$5,标准坦克设计!$B$14:$K$20,9)/30))</f>
        <v>34.464001330014256</v>
      </c>
      <c r="CJ123" s="173">
        <f ca="1">(VLOOKUP(CJ$72,INDIRECT($C$5&amp;"生成成长"),2))/((VLOOKUP($B123,INDIRECT($B$5&amp;"生成成长"),4))/(VLOOKUP(CJ$72,INDIRECT($C$5&amp;"生成成长"),5))*(VLOOKUP($B$5,标准坦克设计!$B$24:$U$30,MATCH("对"&amp;LEFT($C$5,2)&amp;"输出",标准坦克设计!$B$23:$U$23,0)))*(VLOOKUP($B123,INDIRECT($B$5&amp;"生成成长"),3))*(VLOOKUP($B$5,标准坦克设计!$B$14:$K$20,9)/30))</f>
        <v>36.969674896099484</v>
      </c>
      <c r="CK123" s="173">
        <f ca="1">(VLOOKUP(CK$72,INDIRECT($C$5&amp;"生成成长"),2))/((VLOOKUP($B123,INDIRECT($B$5&amp;"生成成长"),4))/(VLOOKUP(CK$72,INDIRECT($C$5&amp;"生成成长"),5))*(VLOOKUP($B$5,标准坦克设计!$B$24:$U$30,MATCH("对"&amp;LEFT($C$5,2)&amp;"输出",标准坦克设计!$B$23:$U$23,0)))*(VLOOKUP($B123,INDIRECT($B$5&amp;"生成成长"),3))*(VLOOKUP($B$5,标准坦克设计!$B$14:$K$20,9)/30))</f>
        <v>39.563266832924533</v>
      </c>
      <c r="CL123" s="173">
        <f ca="1">(VLOOKUP(CL$72,INDIRECT($C$5&amp;"生成成长"),2))/((VLOOKUP($B123,INDIRECT($B$5&amp;"生成成长"),4))/(VLOOKUP(CL$72,INDIRECT($C$5&amp;"生成成长"),5))*(VLOOKUP($B$5,标准坦克设计!$B$24:$U$30,MATCH("对"&amp;LEFT($C$5,2)&amp;"输出",标准坦克设计!$B$23:$U$23,0)))*(VLOOKUP($B123,INDIRECT($B$5&amp;"生成成长"),3))*(VLOOKUP($B$5,标准坦克设计!$B$14:$K$20,9)/30))</f>
        <v>42.244777140489411</v>
      </c>
      <c r="CM123" s="173">
        <f ca="1">(VLOOKUP(CM$72,INDIRECT($C$5&amp;"生成成长"),2))/((VLOOKUP($B123,INDIRECT($B$5&amp;"生成成长"),4))/(VLOOKUP(CM$72,INDIRECT($C$5&amp;"生成成长"),5))*(VLOOKUP($B$5,标准坦克设计!$B$24:$U$30,MATCH("对"&amp;LEFT($C$5,2)&amp;"输出",标准坦克设计!$B$23:$U$23,0)))*(VLOOKUP($B123,INDIRECT($B$5&amp;"生成成长"),3))*(VLOOKUP($B$5,标准坦克设计!$B$14:$K$20,9)/30))</f>
        <v>45.014205818794132</v>
      </c>
      <c r="CN123" s="173">
        <f ca="1">(VLOOKUP(CN$72,INDIRECT($C$5&amp;"生成成长"),2))/((VLOOKUP($B123,INDIRECT($B$5&amp;"生成成长"),4))/(VLOOKUP(CN$72,INDIRECT($C$5&amp;"生成成长"),5))*(VLOOKUP($B$5,标准坦克设计!$B$24:$U$30,MATCH("对"&amp;LEFT($C$5,2)&amp;"输出",标准坦克设计!$B$23:$U$23,0)))*(VLOOKUP($B123,INDIRECT($B$5&amp;"生成成长"),3))*(VLOOKUP($B$5,标准坦克设计!$B$14:$K$20,9)/30))</f>
        <v>47.871552867838687</v>
      </c>
      <c r="CO123" s="173">
        <f ca="1">(VLOOKUP(CO$72,INDIRECT($C$5&amp;"生成成长"),2))/((VLOOKUP($B123,INDIRECT($B$5&amp;"生成成长"),4))/(VLOOKUP(CO$72,INDIRECT($C$5&amp;"生成成长"),5))*(VLOOKUP($B$5,标准坦克设计!$B$24:$U$30,MATCH("对"&amp;LEFT($C$5,2)&amp;"输出",标准坦克设计!$B$23:$U$23,0)))*(VLOOKUP($B123,INDIRECT($B$5&amp;"生成成长"),3))*(VLOOKUP($B$5,标准坦克设计!$B$14:$K$20,9)/30))</f>
        <v>21.452445759571724</v>
      </c>
      <c r="CP123" s="173">
        <f ca="1">(VLOOKUP(CP$72,INDIRECT($C$5&amp;"生成成长"),2))/((VLOOKUP($B123,INDIRECT($B$5&amp;"生成成长"),4))/(VLOOKUP(CP$72,INDIRECT($C$5&amp;"生成成长"),5))*(VLOOKUP($B$5,标准坦克设计!$B$24:$U$30,MATCH("对"&amp;LEFT($C$5,2)&amp;"输出",标准坦克设计!$B$23:$U$23,0)))*(VLOOKUP($B123,INDIRECT($B$5&amp;"生成成长"),3))*(VLOOKUP($B$5,标准坦克设计!$B$14:$K$20,9)/30))</f>
        <v>23.438601680376117</v>
      </c>
      <c r="CQ123" s="173">
        <f ca="1">(VLOOKUP(CQ$72,INDIRECT($C$5&amp;"生成成长"),2))/((VLOOKUP($B123,INDIRECT($B$5&amp;"生成成长"),4))/(VLOOKUP(CQ$72,INDIRECT($C$5&amp;"生成成长"),5))*(VLOOKUP($B$5,标准坦克设计!$B$24:$U$30,MATCH("对"&amp;LEFT($C$5,2)&amp;"输出",标准坦克设计!$B$23:$U$23,0)))*(VLOOKUP($B123,INDIRECT($B$5&amp;"生成成长"),3))*(VLOOKUP($B$5,标准坦克设计!$B$14:$K$20,9)/30))</f>
        <v>25.512675971920348</v>
      </c>
      <c r="CR123" s="173">
        <f ca="1">(VLOOKUP(CR$72,INDIRECT($C$5&amp;"生成成长"),2))/((VLOOKUP($B123,INDIRECT($B$5&amp;"生成成长"),4))/(VLOOKUP(CR$72,INDIRECT($C$5&amp;"生成成长"),5))*(VLOOKUP($B$5,标准坦克设计!$B$24:$U$30,MATCH("对"&amp;LEFT($C$5,2)&amp;"输出",标准坦克设计!$B$23:$U$23,0)))*(VLOOKUP($B123,INDIRECT($B$5&amp;"生成成长"),3))*(VLOOKUP($B$5,标准坦克设计!$B$14:$K$20,9)/30))</f>
        <v>27.674668634204405</v>
      </c>
      <c r="CS123" s="173">
        <f ca="1">(VLOOKUP(CS$72,INDIRECT($C$5&amp;"生成成长"),2))/((VLOOKUP($B123,INDIRECT($B$5&amp;"生成成长"),4))/(VLOOKUP(CS$72,INDIRECT($C$5&amp;"生成成长"),5))*(VLOOKUP($B$5,标准坦克设计!$B$24:$U$30,MATCH("对"&amp;LEFT($C$5,2)&amp;"输出",标准坦克设计!$B$23:$U$23,0)))*(VLOOKUP($B123,INDIRECT($B$5&amp;"生成成长"),3))*(VLOOKUP($B$5,标准坦克设计!$B$14:$K$20,9)/30))</f>
        <v>29.924579667228294</v>
      </c>
      <c r="CT123" s="173">
        <f ca="1">(VLOOKUP(CT$72,INDIRECT($C$5&amp;"生成成长"),2))/((VLOOKUP($B123,INDIRECT($B$5&amp;"生成成长"),4))/(VLOOKUP(CT$72,INDIRECT($C$5&amp;"生成成长"),5))*(VLOOKUP($B$5,标准坦克设计!$B$24:$U$30,MATCH("对"&amp;LEFT($C$5,2)&amp;"输出",标准坦克设计!$B$23:$U$23,0)))*(VLOOKUP($B123,INDIRECT($B$5&amp;"生成成长"),3))*(VLOOKUP($B$5,标准坦克设计!$B$14:$K$20,9)/30))</f>
        <v>32.262409070992007</v>
      </c>
      <c r="CU123" s="173">
        <f ca="1">(VLOOKUP(CU$72,INDIRECT($C$5&amp;"生成成长"),2))/((VLOOKUP($B123,INDIRECT($B$5&amp;"生成成长"),4))/(VLOOKUP(CU$72,INDIRECT($C$5&amp;"生成成长"),5))*(VLOOKUP($B$5,标准坦克设计!$B$24:$U$30,MATCH("对"&amp;LEFT($C$5,2)&amp;"输出",标准坦克设计!$B$23:$U$23,0)))*(VLOOKUP($B123,INDIRECT($B$5&amp;"生成成长"),3))*(VLOOKUP($B$5,标准坦克设计!$B$14:$K$20,9)/30))</f>
        <v>34.68815684549557</v>
      </c>
      <c r="CV123" s="173">
        <f ca="1">(VLOOKUP(CV$72,INDIRECT($C$5&amp;"生成成长"),2))/((VLOOKUP($B123,INDIRECT($B$5&amp;"生成成长"),4))/(VLOOKUP(CV$72,INDIRECT($C$5&amp;"生成成长"),5))*(VLOOKUP($B$5,标准坦克设计!$B$24:$U$30,MATCH("对"&amp;LEFT($C$5,2)&amp;"输出",标准坦克设计!$B$23:$U$23,0)))*(VLOOKUP($B123,INDIRECT($B$5&amp;"生成成长"),3))*(VLOOKUP($B$5,标准坦克设计!$B$14:$K$20,9)/30))</f>
        <v>37.201822990738954</v>
      </c>
      <c r="CW123" s="173">
        <f ca="1">(VLOOKUP(CW$72,INDIRECT($C$5&amp;"生成成长"),2))/((VLOOKUP($B123,INDIRECT($B$5&amp;"生成成长"),4))/(VLOOKUP(CW$72,INDIRECT($C$5&amp;"生成成长"),5))*(VLOOKUP($B$5,标准坦克设计!$B$24:$U$30,MATCH("对"&amp;LEFT($C$5,2)&amp;"输出",标准坦克设计!$B$23:$U$23,0)))*(VLOOKUP($B123,INDIRECT($B$5&amp;"生成成长"),3))*(VLOOKUP($B$5,标准坦克设计!$B$14:$K$20,9)/30))</f>
        <v>39.803407506722174</v>
      </c>
      <c r="CX123" s="173">
        <f ca="1">(VLOOKUP(CX$72,INDIRECT($C$5&amp;"生成成长"),2))/((VLOOKUP($B123,INDIRECT($B$5&amp;"生成成长"),4))/(VLOOKUP(CX$72,INDIRECT($C$5&amp;"生成成长"),5))*(VLOOKUP($B$5,标准坦克设计!$B$24:$U$30,MATCH("对"&amp;LEFT($C$5,2)&amp;"输出",标准坦克设计!$B$23:$U$23,0)))*(VLOOKUP($B123,INDIRECT($B$5&amp;"生成成长"),3))*(VLOOKUP($B$5,标准坦克设计!$B$14:$K$20,9)/30))</f>
        <v>42.492910393445229</v>
      </c>
      <c r="CY123" s="173">
        <f ca="1">(VLOOKUP(CY$72,INDIRECT($C$5&amp;"生成成长"),2))/((VLOOKUP($B123,INDIRECT($B$5&amp;"生成成长"),4))/(VLOOKUP(CY$72,INDIRECT($C$5&amp;"生成成长"),5))*(VLOOKUP($B$5,标准坦克设计!$B$24:$U$30,MATCH("对"&amp;LEFT($C$5,2)&amp;"输出",标准坦克设计!$B$23:$U$23,0)))*(VLOOKUP($B123,INDIRECT($B$5&amp;"生成成长"),3))*(VLOOKUP($B$5,标准坦克设计!$B$14:$K$20,9)/30))</f>
        <v>45.270331650908105</v>
      </c>
      <c r="CZ123" s="173">
        <f ca="1">(VLOOKUP(CZ$72,INDIRECT($C$5&amp;"生成成长"),2))/((VLOOKUP($B123,INDIRECT($B$5&amp;"生成成长"),4))/(VLOOKUP(CZ$72,INDIRECT($C$5&amp;"生成成长"),5))*(VLOOKUP($B$5,标准坦克设计!$B$24:$U$30,MATCH("对"&amp;LEFT($C$5,2)&amp;"输出",标准坦克设计!$B$23:$U$23,0)))*(VLOOKUP($B123,INDIRECT($B$5&amp;"生成成长"),3))*(VLOOKUP($B$5,标准坦克设计!$B$14:$K$20,9)/30))</f>
        <v>48.135671279110824</v>
      </c>
      <c r="DA123" s="173">
        <f ca="1">(VLOOKUP(DA$72,INDIRECT($C$5&amp;"生成成长"),2))/((VLOOKUP($B123,INDIRECT($B$5&amp;"生成成长"),4))/(VLOOKUP(DA$72,INDIRECT($C$5&amp;"生成成长"),5))*(VLOOKUP($B$5,标准坦克设计!$B$24:$U$30,MATCH("对"&amp;LEFT($C$5,2)&amp;"输出",标准坦克设计!$B$23:$U$23,0)))*(VLOOKUP($B123,INDIRECT($B$5&amp;"生成成长"),3))*(VLOOKUP($B$5,标准坦克设计!$B$14:$K$20,9)/30))</f>
        <v>51.088929278053378</v>
      </c>
      <c r="DB123" s="173">
        <f ca="1">(VLOOKUP(DB$72,INDIRECT($C$5&amp;"生成成长"),2))/((VLOOKUP($B123,INDIRECT($B$5&amp;"生成成长"),4))/(VLOOKUP(DB$72,INDIRECT($C$5&amp;"生成成长"),5))*(VLOOKUP($B$5,标准坦克设计!$B$24:$U$30,MATCH("对"&amp;LEFT($C$5,2)&amp;"输出",标准坦克设计!$B$23:$U$23,0)))*(VLOOKUP($B123,INDIRECT($B$5&amp;"生成成长"),3))*(VLOOKUP($B$5,标准坦克设计!$B$14:$K$20,9)/30))</f>
        <v>54.130105647735753</v>
      </c>
      <c r="DC123" s="173">
        <f ca="1">(VLOOKUP(DC$72,INDIRECT($C$5&amp;"生成成长"),2))/((VLOOKUP($B123,INDIRECT($B$5&amp;"生成成长"),4))/(VLOOKUP(DC$72,INDIRECT($C$5&amp;"生成成长"),5))*(VLOOKUP($B$5,标准坦克设计!$B$24:$U$30,MATCH("对"&amp;LEFT($C$5,2)&amp;"输出",标准坦克设计!$B$23:$U$23,0)))*(VLOOKUP($B123,INDIRECT($B$5&amp;"生成成长"),3))*(VLOOKUP($B$5,标准坦克设计!$B$14:$K$20,9)/30))</f>
        <v>57.548023135009899</v>
      </c>
      <c r="DD123" s="173">
        <f ca="1">(VLOOKUP(DD$72,INDIRECT($C$5&amp;"生成成长"),2))/((VLOOKUP($B123,INDIRECT($B$5&amp;"生成成长"),4))/(VLOOKUP(DD$72,INDIRECT($C$5&amp;"生成成长"),5))*(VLOOKUP($B$5,标准坦克设计!$B$24:$U$30,MATCH("对"&amp;LEFT($C$5,2)&amp;"输出",标准坦克设计!$B$23:$U$23,0)))*(VLOOKUP($B123,INDIRECT($B$5&amp;"生成成长"),3))*(VLOOKUP($B$5,标准坦克设计!$B$14:$K$20,9)/30))</f>
        <v>61.070570749445494</v>
      </c>
      <c r="DE123" s="173">
        <f ca="1">(VLOOKUP(DE$72,INDIRECT($C$5&amp;"生成成长"),2))/((VLOOKUP($B123,INDIRECT($B$5&amp;"生成成长"),4))/(VLOOKUP(DE$72,INDIRECT($C$5&amp;"生成成长"),5))*(VLOOKUP($B$5,标准坦克设计!$B$24:$U$30,MATCH("对"&amp;LEFT($C$5,2)&amp;"输出",标准坦克设计!$B$23:$U$23,0)))*(VLOOKUP($B123,INDIRECT($B$5&amp;"生成成长"),3))*(VLOOKUP($B$5,标准坦克设计!$B$14:$K$20,9)/30))</f>
        <v>64.697748491042546</v>
      </c>
      <c r="DF123" s="173">
        <f ca="1">(VLOOKUP(DF$72,INDIRECT($C$5&amp;"生成成长"),2))/((VLOOKUP($B123,INDIRECT($B$5&amp;"生成成长"),4))/(VLOOKUP(DF$72,INDIRECT($C$5&amp;"生成成长"),5))*(VLOOKUP($B$5,标准坦克设计!$B$24:$U$30,MATCH("对"&amp;LEFT($C$5,2)&amp;"输出",标准坦克设计!$B$23:$U$23,0)))*(VLOOKUP($B123,INDIRECT($B$5&amp;"生成成长"),3))*(VLOOKUP($B$5,标准坦克设计!$B$14:$K$20,9)/30))</f>
        <v>68.42955635980104</v>
      </c>
      <c r="DG123" s="173">
        <f ca="1">(VLOOKUP(DG$72,INDIRECT($C$5&amp;"生成成长"),2))/((VLOOKUP($B123,INDIRECT($B$5&amp;"生成成长"),4))/(VLOOKUP(DG$72,INDIRECT($C$5&amp;"生成成长"),5))*(VLOOKUP($B$5,标准坦克设计!$B$24:$U$30,MATCH("对"&amp;LEFT($C$5,2)&amp;"输出",标准坦克设计!$B$23:$U$23,0)))*(VLOOKUP($B123,INDIRECT($B$5&amp;"生成成长"),3))*(VLOOKUP($B$5,标准坦克设计!$B$14:$K$20,9)/30))</f>
        <v>72.265994355720977</v>
      </c>
      <c r="DH123" s="173">
        <f ca="1">(VLOOKUP(DH$72,INDIRECT($C$5&amp;"生成成长"),2))/((VLOOKUP($B123,INDIRECT($B$5&amp;"生成成长"),4))/(VLOOKUP(DH$72,INDIRECT($C$5&amp;"生成成长"),5))*(VLOOKUP($B$5,标准坦克设计!$B$24:$U$30,MATCH("对"&amp;LEFT($C$5,2)&amp;"输出",标准坦克设计!$B$23:$U$23,0)))*(VLOOKUP($B123,INDIRECT($B$5&amp;"生成成长"),3))*(VLOOKUP($B$5,标准坦克设计!$B$14:$K$20,9)/30))</f>
        <v>76.207062478802399</v>
      </c>
      <c r="DI123" s="173">
        <f ca="1">(VLOOKUP(DI$72,INDIRECT($C$5&amp;"生成成长"),2))/((VLOOKUP($B123,INDIRECT($B$5&amp;"生成成长"),4))/(VLOOKUP(DI$72,INDIRECT($C$5&amp;"生成成长"),5))*(VLOOKUP($B$5,标准坦克设计!$B$24:$U$30,MATCH("对"&amp;LEFT($C$5,2)&amp;"输出",标准坦克设计!$B$23:$U$23,0)))*(VLOOKUP($B123,INDIRECT($B$5&amp;"生成成长"),3))*(VLOOKUP($B$5,标准坦克设计!$B$14:$K$20,9)/30))</f>
        <v>80.252760729045264</v>
      </c>
      <c r="DJ123" s="173">
        <f ca="1">(VLOOKUP(DJ$72,INDIRECT($C$5&amp;"生成成长"),2))/((VLOOKUP($B123,INDIRECT($B$5&amp;"生成成长"),4))/(VLOOKUP(DJ$72,INDIRECT($C$5&amp;"生成成长"),5))*(VLOOKUP($B$5,标准坦克设计!$B$24:$U$30,MATCH("对"&amp;LEFT($C$5,2)&amp;"输出",标准坦克设计!$B$23:$U$23,0)))*(VLOOKUP($B123,INDIRECT($B$5&amp;"生成成长"),3))*(VLOOKUP($B$5,标准坦克设计!$B$14:$K$20,9)/30))</f>
        <v>8.0656022677480017</v>
      </c>
      <c r="DK123" s="173">
        <f ca="1">(VLOOKUP(DK$72,INDIRECT($C$5&amp;"生成成长"),2))/((VLOOKUP($B123,INDIRECT($B$5&amp;"生成成长"),4))/(VLOOKUP(DK$72,INDIRECT($C$5&amp;"生成成长"),5))*(VLOOKUP($B$5,标准坦克设计!$B$24:$U$30,MATCH("对"&amp;LEFT($C$5,2)&amp;"输出",标准坦克设计!$B$23:$U$23,0)))*(VLOOKUP($B123,INDIRECT($B$5&amp;"生成成长"),3))*(VLOOKUP($B$5,标准坦克设计!$B$14:$K$20,9)/30))</f>
        <v>9.0693975502031954</v>
      </c>
      <c r="DL123" s="173">
        <f ca="1">(VLOOKUP(DL$72,INDIRECT($C$5&amp;"生成成长"),2))/((VLOOKUP($B123,INDIRECT($B$5&amp;"生成成长"),4))/(VLOOKUP(DL$72,INDIRECT($C$5&amp;"生成成长"),5))*(VLOOKUP($B$5,标准坦克设计!$B$24:$U$30,MATCH("对"&amp;LEFT($C$5,2)&amp;"输出",标准坦克设计!$B$23:$U$23,0)))*(VLOOKUP($B123,INDIRECT($B$5&amp;"生成成长"),3))*(VLOOKUP($B$5,标准坦克设计!$B$14:$K$20,9)/30))</f>
        <v>10.132047279186708</v>
      </c>
      <c r="DM123" s="173">
        <f ca="1">(VLOOKUP(DM$72,INDIRECT($C$5&amp;"生成成长"),2))/((VLOOKUP($B123,INDIRECT($B$5&amp;"生成成长"),4))/(VLOOKUP(DM$72,INDIRECT($C$5&amp;"生成成长"),5))*(VLOOKUP($B$5,标准坦克设计!$B$24:$U$30,MATCH("对"&amp;LEFT($C$5,2)&amp;"输出",标准坦克设计!$B$23:$U$23,0)))*(VLOOKUP($B123,INDIRECT($B$5&amp;"生成成长"),3))*(VLOOKUP($B$5,标准坦克设计!$B$14:$K$20,9)/30))</f>
        <v>11.253551454698533</v>
      </c>
      <c r="DN123" s="173">
        <f ca="1">(VLOOKUP(DN$72,INDIRECT($C$5&amp;"生成成长"),2))/((VLOOKUP($B123,INDIRECT($B$5&amp;"生成成长"),4))/(VLOOKUP(DN$72,INDIRECT($C$5&amp;"生成成长"),5))*(VLOOKUP($B$5,标准坦克设计!$B$24:$U$30,MATCH("对"&amp;LEFT($C$5,2)&amp;"输出",标准坦克设计!$B$23:$U$23,0)))*(VLOOKUP($B123,INDIRECT($B$5&amp;"生成成长"),3))*(VLOOKUP($B$5,标准坦克设计!$B$14:$K$20,9)/30))</f>
        <v>12.43391007673868</v>
      </c>
      <c r="DO123" s="173">
        <f ca="1">(VLOOKUP(DO$72,INDIRECT($C$5&amp;"生成成长"),2))/((VLOOKUP($B123,INDIRECT($B$5&amp;"生成成长"),4))/(VLOOKUP(DO$72,INDIRECT($C$5&amp;"生成成长"),5))*(VLOOKUP($B$5,标准坦克设计!$B$24:$U$30,MATCH("对"&amp;LEFT($C$5,2)&amp;"输出",标准坦克设计!$B$23:$U$23,0)))*(VLOOKUP($B123,INDIRECT($B$5&amp;"生成成长"),3))*(VLOOKUP($B$5,标准坦克设计!$B$14:$K$20,9)/30))</f>
        <v>13.673123145307141</v>
      </c>
      <c r="DP123" s="173">
        <f ca="1">(VLOOKUP(DP$72,INDIRECT($C$5&amp;"生成成长"),2))/((VLOOKUP($B123,INDIRECT($B$5&amp;"生成成长"),4))/(VLOOKUP(DP$72,INDIRECT($C$5&amp;"生成成长"),5))*(VLOOKUP($B$5,标准坦克设计!$B$24:$U$30,MATCH("对"&amp;LEFT($C$5,2)&amp;"输出",标准坦克设计!$B$23:$U$23,0)))*(VLOOKUP($B123,INDIRECT($B$5&amp;"生成成长"),3))*(VLOOKUP($B$5,标准坦克设计!$B$14:$K$20,9)/30))</f>
        <v>14.97119066040392</v>
      </c>
      <c r="DQ123" s="173">
        <f ca="1">(VLOOKUP(DQ$72,INDIRECT($C$5&amp;"生成成长"),2))/((VLOOKUP($B123,INDIRECT($B$5&amp;"生成成长"),4))/(VLOOKUP(DQ$72,INDIRECT($C$5&amp;"生成成长"),5))*(VLOOKUP($B$5,标准坦克设计!$B$24:$U$30,MATCH("对"&amp;LEFT($C$5,2)&amp;"输出",标准坦克设计!$B$23:$U$23,0)))*(VLOOKUP($B123,INDIRECT($B$5&amp;"生成成长"),3))*(VLOOKUP($B$5,标准坦克设计!$B$14:$K$20,9)/30))</f>
        <v>16.328112622029021</v>
      </c>
      <c r="DR123" s="173">
        <f ca="1">(VLOOKUP(DR$72,INDIRECT($C$5&amp;"生成成长"),2))/((VLOOKUP($B123,INDIRECT($B$5&amp;"生成成长"),4))/(VLOOKUP(DR$72,INDIRECT($C$5&amp;"生成成长"),5))*(VLOOKUP($B$5,标准坦克设计!$B$24:$U$30,MATCH("对"&amp;LEFT($C$5,2)&amp;"输出",标准坦克设计!$B$23:$U$23,0)))*(VLOOKUP($B123,INDIRECT($B$5&amp;"生成成长"),3))*(VLOOKUP($B$5,标准坦克设计!$B$14:$K$20,9)/30))</f>
        <v>17.743889030182434</v>
      </c>
      <c r="DS123" s="173">
        <f ca="1">(VLOOKUP(DS$72,INDIRECT($C$5&amp;"生成成长"),2))/((VLOOKUP($B123,INDIRECT($B$5&amp;"生成成长"),4))/(VLOOKUP(DS$72,INDIRECT($C$5&amp;"生成成长"),5))*(VLOOKUP($B$5,标准坦克设计!$B$24:$U$30,MATCH("对"&amp;LEFT($C$5,2)&amp;"输出",标准坦克设计!$B$23:$U$23,0)))*(VLOOKUP($B123,INDIRECT($B$5&amp;"生成成长"),3))*(VLOOKUP($B$5,标准坦克设计!$B$14:$K$20,9)/30))</f>
        <v>19.218519884864168</v>
      </c>
      <c r="DT123" s="173">
        <f ca="1">(VLOOKUP(DT$72,INDIRECT($C$5&amp;"生成成长"),2))/((VLOOKUP($B123,INDIRECT($B$5&amp;"生成成长"),4))/(VLOOKUP(DT$72,INDIRECT($C$5&amp;"生成成长"),5))*(VLOOKUP($B$5,标准坦克设计!$B$24:$U$30,MATCH("对"&amp;LEFT($C$5,2)&amp;"输出",标准坦克设计!$B$23:$U$23,0)))*(VLOOKUP($B123,INDIRECT($B$5&amp;"生成成长"),3))*(VLOOKUP($B$5,标准坦克设计!$B$14:$K$20,9)/30))</f>
        <v>21.100772276612393</v>
      </c>
      <c r="DU123" s="173">
        <f ca="1">(VLOOKUP(DU$72,INDIRECT($C$5&amp;"生成成长"),2))/((VLOOKUP($B123,INDIRECT($B$5&amp;"生成成长"),4))/(VLOOKUP(DU$72,INDIRECT($C$5&amp;"生成成长"),5))*(VLOOKUP($B$5,标准坦克设计!$B$24:$U$30,MATCH("对"&amp;LEFT($C$5,2)&amp;"输出",标准坦克设计!$B$23:$U$23,0)))*(VLOOKUP($B123,INDIRECT($B$5&amp;"生成成长"),3))*(VLOOKUP($B$5,标准坦克设计!$B$14:$K$20,9)/30))</f>
        <v>23.070943039100456</v>
      </c>
      <c r="DV123" s="173">
        <f ca="1">(VLOOKUP(DV$72,INDIRECT($C$5&amp;"生成成长"),2))/((VLOOKUP($B123,INDIRECT($B$5&amp;"生成成长"),4))/(VLOOKUP(DV$72,INDIRECT($C$5&amp;"生成成长"),5))*(VLOOKUP($B$5,标准坦克设计!$B$24:$U$30,MATCH("对"&amp;LEFT($C$5,2)&amp;"输出",标准坦克设计!$B$23:$U$23,0)))*(VLOOKUP($B123,INDIRECT($B$5&amp;"生成成长"),3))*(VLOOKUP($B$5,标准坦克设计!$B$14:$K$20,9)/30))</f>
        <v>25.129032172328348</v>
      </c>
      <c r="DW123" s="173">
        <f ca="1">(VLOOKUP(DW$72,INDIRECT($C$5&amp;"生成成长"),2))/((VLOOKUP($B123,INDIRECT($B$5&amp;"生成成长"),4))/(VLOOKUP(DW$72,INDIRECT($C$5&amp;"生成成长"),5))*(VLOOKUP($B$5,标准坦克设计!$B$24:$U$30,MATCH("对"&amp;LEFT($C$5,2)&amp;"输出",标准坦克设计!$B$23:$U$23,0)))*(VLOOKUP($B123,INDIRECT($B$5&amp;"生成成长"),3))*(VLOOKUP($B$5,标准坦克设计!$B$14:$K$20,9)/30))</f>
        <v>27.275039676296075</v>
      </c>
      <c r="DX123" s="173">
        <f ca="1">(VLOOKUP(DX$72,INDIRECT($C$5&amp;"生成成长"),2))/((VLOOKUP($B123,INDIRECT($B$5&amp;"生成成长"),4))/(VLOOKUP(DX$72,INDIRECT($C$5&amp;"生成成长"),5))*(VLOOKUP($B$5,标准坦克设计!$B$24:$U$30,MATCH("对"&amp;LEFT($C$5,2)&amp;"输出",标准坦克设计!$B$23:$U$23,0)))*(VLOOKUP($B123,INDIRECT($B$5&amp;"生成成长"),3))*(VLOOKUP($B$5,标准坦克设计!$B$14:$K$20,9)/30))</f>
        <v>29.508965551003637</v>
      </c>
      <c r="DY123" s="173">
        <f ca="1">(VLOOKUP(DY$72,INDIRECT($C$5&amp;"生成成长"),2))/((VLOOKUP($B123,INDIRECT($B$5&amp;"生成成长"),4))/(VLOOKUP(DY$72,INDIRECT($C$5&amp;"生成成长"),5))*(VLOOKUP($B$5,标准坦克设计!$B$24:$U$30,MATCH("对"&amp;LEFT($C$5,2)&amp;"输出",标准坦克设计!$B$23:$U$23,0)))*(VLOOKUP($B123,INDIRECT($B$5&amp;"生成成长"),3))*(VLOOKUP($B$5,标准坦克设计!$B$14:$K$20,9)/30))</f>
        <v>13.253512739503396</v>
      </c>
      <c r="DZ123" s="173">
        <f ca="1">(VLOOKUP(DZ$72,INDIRECT($C$5&amp;"生成成长"),2))/((VLOOKUP($B123,INDIRECT($B$5&amp;"生成成长"),4))/(VLOOKUP(DZ$72,INDIRECT($C$5&amp;"生成成长"),5))*(VLOOKUP($B$5,标准坦克设计!$B$24:$U$30,MATCH("对"&amp;LEFT($C$5,2)&amp;"输出",标准坦克设计!$B$23:$U$23,0)))*(VLOOKUP($B123,INDIRECT($B$5&amp;"生成成长"),3))*(VLOOKUP($B$5,标准坦克设计!$B$14:$K$20,9)/30))</f>
        <v>14.677645025867621</v>
      </c>
      <c r="EA123" s="173">
        <f ca="1">(VLOOKUP(EA$72,INDIRECT($C$5&amp;"生成成长"),2))/((VLOOKUP($B123,INDIRECT($B$5&amp;"生成成长"),4))/(VLOOKUP(EA$72,INDIRECT($C$5&amp;"生成成长"),5))*(VLOOKUP($B$5,标准坦克设计!$B$24:$U$30,MATCH("对"&amp;LEFT($C$5,2)&amp;"输出",标准坦克设计!$B$23:$U$23,0)))*(VLOOKUP($B123,INDIRECT($B$5&amp;"生成成长"),3))*(VLOOKUP($B$5,标准坦克设计!$B$14:$K$20,9)/30))</f>
        <v>16.174437122760636</v>
      </c>
      <c r="EB123" s="173">
        <f ca="1">(VLOOKUP(EB$72,INDIRECT($C$5&amp;"生成成长"),2))/((VLOOKUP($B123,INDIRECT($B$5&amp;"生成成长"),4))/(VLOOKUP(EB$72,INDIRECT($C$5&amp;"生成成长"),5))*(VLOOKUP($B$5,标准坦克设计!$B$24:$U$30,MATCH("对"&amp;LEFT($C$5,2)&amp;"输出",标准坦克设计!$B$23:$U$23,0)))*(VLOOKUP($B123,INDIRECT($B$5&amp;"生成成长"),3))*(VLOOKUP($B$5,标准坦克设计!$B$14:$K$20,9)/30))</f>
        <v>17.743889030182434</v>
      </c>
      <c r="EC123" s="173">
        <f ca="1">(VLOOKUP(EC$72,INDIRECT($C$5&amp;"生成成长"),2))/((VLOOKUP($B123,INDIRECT($B$5&amp;"生成成长"),4))/(VLOOKUP(EC$72,INDIRECT($C$5&amp;"生成成长"),5))*(VLOOKUP($B$5,标准坦克设计!$B$24:$U$30,MATCH("对"&amp;LEFT($C$5,2)&amp;"输出",标准坦克设计!$B$23:$U$23,0)))*(VLOOKUP($B123,INDIRECT($B$5&amp;"生成成长"),3))*(VLOOKUP($B$5,标准坦克设计!$B$14:$K$20,9)/30))</f>
        <v>19.386000748133018</v>
      </c>
      <c r="ED123" s="173">
        <f ca="1">(VLOOKUP(ED$72,INDIRECT($C$5&amp;"生成成长"),2))/((VLOOKUP($B123,INDIRECT($B$5&amp;"生成成长"),4))/(VLOOKUP(ED$72,INDIRECT($C$5&amp;"生成成长"),5))*(VLOOKUP($B$5,标准坦克设计!$B$24:$U$30,MATCH("对"&amp;LEFT($C$5,2)&amp;"输出",标准坦克设计!$B$23:$U$23,0)))*(VLOOKUP($B123,INDIRECT($B$5&amp;"生成成长"),3))*(VLOOKUP($B$5,标准坦克设计!$B$14:$K$20,9)/30))</f>
        <v>21.100772276612393</v>
      </c>
      <c r="EE123" s="173">
        <f ca="1">(VLOOKUP(EE$72,INDIRECT($C$5&amp;"生成成长"),2))/((VLOOKUP($B123,INDIRECT($B$5&amp;"生成成长"),4))/(VLOOKUP(EE$72,INDIRECT($C$5&amp;"生成成长"),5))*(VLOOKUP($B$5,标准坦克设计!$B$24:$U$30,MATCH("对"&amp;LEFT($C$5,2)&amp;"输出",标准坦克设计!$B$23:$U$23,0)))*(VLOOKUP($B123,INDIRECT($B$5&amp;"生成成长"),3))*(VLOOKUP($B$5,标准坦克设计!$B$14:$K$20,9)/30))</f>
        <v>22.888203615620558</v>
      </c>
      <c r="EF123" s="173">
        <f ca="1">(VLOOKUP(EF$72,INDIRECT($C$5&amp;"生成成长"),2))/((VLOOKUP($B123,INDIRECT($B$5&amp;"生成成长"),4))/(VLOOKUP(EF$72,INDIRECT($C$5&amp;"生成成长"),5))*(VLOOKUP($B$5,标准坦克设计!$B$24:$U$30,MATCH("对"&amp;LEFT($C$5,2)&amp;"输出",标准坦克设计!$B$23:$U$23,0)))*(VLOOKUP($B123,INDIRECT($B$5&amp;"生成成长"),3))*(VLOOKUP($B$5,标准坦克设计!$B$14:$K$20,9)/30))</f>
        <v>24.7482947651575</v>
      </c>
      <c r="EG123" s="173">
        <f ca="1">(VLOOKUP(EG$72,INDIRECT($C$5&amp;"生成成长"),2))/((VLOOKUP($B123,INDIRECT($B$5&amp;"生成成长"),4))/(VLOOKUP(EG$72,INDIRECT($C$5&amp;"生成成长"),5))*(VLOOKUP($B$5,标准坦克设计!$B$24:$U$30,MATCH("对"&amp;LEFT($C$5,2)&amp;"输出",标准坦克设计!$B$23:$U$23,0)))*(VLOOKUP($B123,INDIRECT($B$5&amp;"生成成长"),3))*(VLOOKUP($B$5,标准坦克设计!$B$14:$K$20,9)/30))</f>
        <v>26.681045725223239</v>
      </c>
      <c r="EH123" s="173">
        <f ca="1">(VLOOKUP(EH$72,INDIRECT($C$5&amp;"生成成长"),2))/((VLOOKUP($B123,INDIRECT($B$5&amp;"生成成长"),4))/(VLOOKUP(EH$72,INDIRECT($C$5&amp;"生成成长"),5))*(VLOOKUP($B$5,标准坦克设计!$B$24:$U$30,MATCH("对"&amp;LEFT($C$5,2)&amp;"输出",标准坦克设计!$B$23:$U$23,0)))*(VLOOKUP($B123,INDIRECT($B$5&amp;"生成成长"),3))*(VLOOKUP($B$5,标准坦克设计!$B$14:$K$20,9)/30))</f>
        <v>28.686456495817765</v>
      </c>
      <c r="EI123" s="173">
        <f ca="1">(VLOOKUP(EI$72,INDIRECT($C$5&amp;"生成成长"),2))/((VLOOKUP($B123,INDIRECT($B$5&amp;"生成成长"),4))/(VLOOKUP(EI$72,INDIRECT($C$5&amp;"生成成长"),5))*(VLOOKUP($B$5,标准坦克设计!$B$24:$U$30,MATCH("对"&amp;LEFT($C$5,2)&amp;"输出",标准坦克设计!$B$23:$U$23,0)))*(VLOOKUP($B123,INDIRECT($B$5&amp;"生成成长"),3))*(VLOOKUP($B$5,标准坦克设计!$B$14:$K$20,9)/30))</f>
        <v>30.764527076941075</v>
      </c>
      <c r="EJ123" s="173">
        <f ca="1">(VLOOKUP(EJ$72,INDIRECT($C$5&amp;"生成成长"),2))/((VLOOKUP($B123,INDIRECT($B$5&amp;"生成成长"),4))/(VLOOKUP(EJ$72,INDIRECT($C$5&amp;"生成成长"),5))*(VLOOKUP($B$5,标准坦克设计!$B$24:$U$30,MATCH("对"&amp;LEFT($C$5,2)&amp;"输出",标准坦克设计!$B$23:$U$23,0)))*(VLOOKUP($B123,INDIRECT($B$5&amp;"生成成长"),3))*(VLOOKUP($B$5,标准坦克设计!$B$14:$K$20,9)/30))</f>
        <v>32.915257468593168</v>
      </c>
      <c r="EK123" s="173">
        <f ca="1">(VLOOKUP(EK$72,INDIRECT($C$5&amp;"生成成长"),2))/((VLOOKUP($B123,INDIRECT($B$5&amp;"生成成长"),4))/(VLOOKUP(EK$72,INDIRECT($C$5&amp;"生成成长"),5))*(VLOOKUP($B$5,标准坦克设计!$B$24:$U$30,MATCH("对"&amp;LEFT($C$5,2)&amp;"输出",标准坦克设计!$B$23:$U$23,0)))*(VLOOKUP($B123,INDIRECT($B$5&amp;"生成成长"),3))*(VLOOKUP($B$5,标准坦克设计!$B$14:$K$20,9)/30))</f>
        <v>35.59204488847368</v>
      </c>
      <c r="EL123" s="173">
        <f ca="1">(VLOOKUP(EL$72,INDIRECT($C$5&amp;"生成成长"),2))/((VLOOKUP($B123,INDIRECT($B$5&amp;"生成成长"),4))/(VLOOKUP(EL$72,INDIRECT($C$5&amp;"生成成长"),5))*(VLOOKUP($B$5,标准坦克设计!$B$24:$U$30,MATCH("对"&amp;LEFT($C$5,2)&amp;"输出",标准坦克设计!$B$23:$U$23,0)))*(VLOOKUP($B123,INDIRECT($B$5&amp;"生成成长"),3))*(VLOOKUP($B$5,标准坦克设计!$B$14:$K$20,9)/30))</f>
        <v>38.373462435515648</v>
      </c>
      <c r="EM123" s="173">
        <f ca="1">(VLOOKUP(EM$72,INDIRECT($C$5&amp;"生成成长"),2))/((VLOOKUP($B123,INDIRECT($B$5&amp;"生成成长"),4))/(VLOOKUP(EM$72,INDIRECT($C$5&amp;"生成成长"),5))*(VLOOKUP($B$5,标准坦克设计!$B$24:$U$30,MATCH("对"&amp;LEFT($C$5,2)&amp;"输出",标准坦克设计!$B$23:$U$23,0)))*(VLOOKUP($B123,INDIRECT($B$5&amp;"生成成长"),3))*(VLOOKUP($B$5,标准坦克设计!$B$14:$K$20,9)/30))</f>
        <v>41.259510109719066</v>
      </c>
      <c r="EN123" s="173">
        <f ca="1">(VLOOKUP(EN$72,INDIRECT($C$5&amp;"生成成长"),2))/((VLOOKUP($B123,INDIRECT($B$5&amp;"生成成长"),4))/(VLOOKUP(EN$72,INDIRECT($C$5&amp;"生成成长"),5))*(VLOOKUP($B$5,标准坦克设计!$B$24:$U$30,MATCH("对"&amp;LEFT($C$5,2)&amp;"输出",标准坦克设计!$B$23:$U$23,0)))*(VLOOKUP($B123,INDIRECT($B$5&amp;"生成成长"),3))*(VLOOKUP($B$5,标准坦克设计!$B$14:$K$20,9)/30))</f>
        <v>44.250187911083934</v>
      </c>
      <c r="EO123" s="173">
        <f ca="1">(VLOOKUP(EO$72,INDIRECT($C$5&amp;"生成成长"),2))/((VLOOKUP($B123,INDIRECT($B$5&amp;"生成成长"),4))/(VLOOKUP(EO$72,INDIRECT($C$5&amp;"生成成长"),5))*(VLOOKUP($B$5,标准坦克设计!$B$24:$U$30,MATCH("对"&amp;LEFT($C$5,2)&amp;"输出",标准坦克设计!$B$23:$U$23,0)))*(VLOOKUP($B123,INDIRECT($B$5&amp;"生成成长"),3))*(VLOOKUP($B$5,标准坦克设计!$B$14:$K$20,9)/30))</f>
        <v>47.345495839610273</v>
      </c>
      <c r="EP123" s="173">
        <f ca="1">(VLOOKUP(EP$72,INDIRECT($C$5&amp;"生成成长"),2))/((VLOOKUP($B123,INDIRECT($B$5&amp;"生成成长"),4))/(VLOOKUP(EP$72,INDIRECT($C$5&amp;"生成成长"),5))*(VLOOKUP($B$5,标准坦克设计!$B$24:$U$30,MATCH("对"&amp;LEFT($C$5,2)&amp;"输出",标准坦克设计!$B$23:$U$23,0)))*(VLOOKUP($B123,INDIRECT($B$5&amp;"生成成长"),3))*(VLOOKUP($B$5,标准坦克设计!$B$14:$K$20,9)/30))</f>
        <v>50.545433895298054</v>
      </c>
      <c r="EQ123" s="173">
        <f ca="1">(VLOOKUP(EQ$72,INDIRECT($C$5&amp;"生成成长"),2))/((VLOOKUP($B123,INDIRECT($B$5&amp;"生成成长"),4))/(VLOOKUP(EQ$72,INDIRECT($C$5&amp;"生成成长"),5))*(VLOOKUP($B$5,标准坦克设计!$B$24:$U$30,MATCH("对"&amp;LEFT($C$5,2)&amp;"输出",标准坦克设计!$B$23:$U$23,0)))*(VLOOKUP($B123,INDIRECT($B$5&amp;"生成成长"),3))*(VLOOKUP($B$5,标准坦克设计!$B$14:$K$20,9)/30))</f>
        <v>22.344344933812589</v>
      </c>
      <c r="ER123" s="173">
        <f ca="1">(VLOOKUP(ER$72,INDIRECT($C$5&amp;"生成成长"),2))/((VLOOKUP($B123,INDIRECT($B$5&amp;"生成成长"),4))/(VLOOKUP(ER$72,INDIRECT($C$5&amp;"生成成长"),5))*(VLOOKUP($B$5,标准坦克设计!$B$24:$U$30,MATCH("对"&amp;LEFT($C$5,2)&amp;"输出",标准坦克设计!$B$23:$U$23,0)))*(VLOOKUP($B123,INDIRECT($B$5&amp;"生成成长"),3))*(VLOOKUP($B$5,标准坦克设计!$B$14:$K$20,9)/30))</f>
        <v>24.370463750407808</v>
      </c>
      <c r="ES123" s="173">
        <f ca="1">(VLOOKUP(ES$72,INDIRECT($C$5&amp;"生成成长"),2))/((VLOOKUP($B123,INDIRECT($B$5&amp;"生成成长"),4))/(VLOOKUP(ES$72,INDIRECT($C$5&amp;"生成成长"),5))*(VLOOKUP($B$5,标准坦克设计!$B$24:$U$30,MATCH("对"&amp;LEFT($C$5,2)&amp;"输出",标准坦克设计!$B$23:$U$23,0)))*(VLOOKUP($B123,INDIRECT($B$5&amp;"生成成长"),3))*(VLOOKUP($B$5,标准坦克设计!$B$14:$K$20,9)/30))</f>
        <v>26.484500937742872</v>
      </c>
      <c r="ET123" s="173">
        <f ca="1">(VLOOKUP(ET$72,INDIRECT($C$5&amp;"生成成长"),2))/((VLOOKUP($B123,INDIRECT($B$5&amp;"生成成长"),4))/(VLOOKUP(ET$72,INDIRECT($C$5&amp;"生成成长"),5))*(VLOOKUP($B$5,标准坦克设计!$B$24:$U$30,MATCH("对"&amp;LEFT($C$5,2)&amp;"输出",标准坦克设计!$B$23:$U$23,0)))*(VLOOKUP($B123,INDIRECT($B$5&amp;"生成成长"),3))*(VLOOKUP($B$5,标准坦克设计!$B$14:$K$20,9)/30))</f>
        <v>28.686456495817765</v>
      </c>
      <c r="EU123" s="173">
        <f ca="1">(VLOOKUP(EU$72,INDIRECT($C$5&amp;"生成成长"),2))/((VLOOKUP($B123,INDIRECT($B$5&amp;"生成成长"),4))/(VLOOKUP(EU$72,INDIRECT($C$5&amp;"生成成长"),5))*(VLOOKUP($B$5,标准坦克设计!$B$24:$U$30,MATCH("对"&amp;LEFT($C$5,2)&amp;"输出",标准坦克设计!$B$23:$U$23,0)))*(VLOOKUP($B123,INDIRECT($B$5&amp;"生成成长"),3))*(VLOOKUP($B$5,标准坦克设计!$B$14:$K$20,9)/30))</f>
        <v>30.976330424632483</v>
      </c>
      <c r="EV123" s="173">
        <f ca="1">(VLOOKUP(EV$72,INDIRECT($C$5&amp;"生成成长"),2))/((VLOOKUP($B123,INDIRECT($B$5&amp;"生成成长"),4))/(VLOOKUP(EV$72,INDIRECT($C$5&amp;"生成成长"),5))*(VLOOKUP($B$5,标准坦克设计!$B$24:$U$30,MATCH("对"&amp;LEFT($C$5,2)&amp;"输出",标准坦克设计!$B$23:$U$23,0)))*(VLOOKUP($B123,INDIRECT($B$5&amp;"生成成长"),3))*(VLOOKUP($B$5,标准坦克设计!$B$14:$K$20,9)/30))</f>
        <v>33.354122724187043</v>
      </c>
      <c r="EW123" s="173">
        <f ca="1">(VLOOKUP(EW$72,INDIRECT($C$5&amp;"生成成长"),2))/((VLOOKUP($B123,INDIRECT($B$5&amp;"生成成长"),4))/(VLOOKUP(EW$72,INDIRECT($C$5&amp;"生成成长"),5))*(VLOOKUP($B$5,标准坦克设计!$B$24:$U$30,MATCH("对"&amp;LEFT($C$5,2)&amp;"输出",标准坦克设计!$B$23:$U$23,0)))*(VLOOKUP($B123,INDIRECT($B$5&amp;"生成成长"),3))*(VLOOKUP($B$5,标准坦克设计!$B$14:$K$20,9)/30))</f>
        <v>35.819833394481428</v>
      </c>
      <c r="EX123" s="173">
        <f ca="1">(VLOOKUP(EX$72,INDIRECT($C$5&amp;"生成成长"),2))/((VLOOKUP($B123,INDIRECT($B$5&amp;"生成成长"),4))/(VLOOKUP(EX$72,INDIRECT($C$5&amp;"生成成长"),5))*(VLOOKUP($B$5,标准坦克设计!$B$24:$U$30,MATCH("对"&amp;LEFT($C$5,2)&amp;"输出",标准坦克设计!$B$23:$U$23,0)))*(VLOOKUP($B123,INDIRECT($B$5&amp;"生成成长"),3))*(VLOOKUP($B$5,标准坦克设计!$B$14:$K$20,9)/30))</f>
        <v>38.373462435515648</v>
      </c>
      <c r="EY123" s="173">
        <f ca="1">(VLOOKUP(EY$72,INDIRECT($C$5&amp;"生成成长"),2))/((VLOOKUP($B123,INDIRECT($B$5&amp;"生成成长"),4))/(VLOOKUP(EY$72,INDIRECT($C$5&amp;"生成成长"),5))*(VLOOKUP($B$5,标准坦克设计!$B$24:$U$30,MATCH("对"&amp;LEFT($C$5,2)&amp;"输出",标准坦克设计!$B$23:$U$23,0)))*(VLOOKUP($B123,INDIRECT($B$5&amp;"生成成长"),3))*(VLOOKUP($B$5,标准坦克设计!$B$14:$K$20,9)/30))</f>
        <v>41.015009847289697</v>
      </c>
      <c r="EZ123" s="173">
        <f ca="1">(VLOOKUP(EZ$72,INDIRECT($C$5&amp;"生成成长"),2))/((VLOOKUP($B123,INDIRECT($B$5&amp;"生成成长"),4))/(VLOOKUP(EZ$72,INDIRECT($C$5&amp;"生成成长"),5))*(VLOOKUP($B$5,标准坦克设计!$B$24:$U$30,MATCH("对"&amp;LEFT($C$5,2)&amp;"输出",标准坦克设计!$B$23:$U$23,0)))*(VLOOKUP($B123,INDIRECT($B$5&amp;"生成成长"),3))*(VLOOKUP($B$5,标准坦克设计!$B$14:$K$20,9)/30))</f>
        <v>43.744475629803588</v>
      </c>
      <c r="FA123" s="173">
        <f ca="1">(VLOOKUP(FA$72,INDIRECT($C$5&amp;"生成成长"),2))/((VLOOKUP($B123,INDIRECT($B$5&amp;"生成成长"),4))/(VLOOKUP(FA$72,INDIRECT($C$5&amp;"生成成长"),5))*(VLOOKUP($B$5,标准坦克设计!$B$24:$U$30,MATCH("对"&amp;LEFT($C$5,2)&amp;"输出",标准坦克设计!$B$23:$U$23,0)))*(VLOOKUP($B123,INDIRECT($B$5&amp;"生成成长"),3))*(VLOOKUP($B$5,标准坦克设计!$B$14:$K$20,9)/30))</f>
        <v>46.561859783057294</v>
      </c>
      <c r="FB123" s="173">
        <f ca="1">(VLOOKUP(FB$72,INDIRECT($C$5&amp;"生成成长"),2))/((VLOOKUP($B123,INDIRECT($B$5&amp;"生成成长"),4))/(VLOOKUP(FB$72,INDIRECT($C$5&amp;"生成成长"),5))*(VLOOKUP($B$5,标准坦克设计!$B$24:$U$30,MATCH("对"&amp;LEFT($C$5,2)&amp;"输出",标准坦克设计!$B$23:$U$23,0)))*(VLOOKUP($B123,INDIRECT($B$5&amp;"生成成长"),3))*(VLOOKUP($B$5,标准坦克设计!$B$14:$K$20,9)/30))</f>
        <v>49.467162307050849</v>
      </c>
      <c r="FC123" s="173">
        <f ca="1">(VLOOKUP(FC$72,INDIRECT($C$5&amp;"生成成长"),2))/((VLOOKUP($B123,INDIRECT($B$5&amp;"生成成长"),4))/(VLOOKUP(FC$72,INDIRECT($C$5&amp;"生成成长"),5))*(VLOOKUP($B$5,标准坦克设计!$B$24:$U$30,MATCH("对"&amp;LEFT($C$5,2)&amp;"输出",标准坦克设计!$B$23:$U$23,0)))*(VLOOKUP($B123,INDIRECT($B$5&amp;"生成成长"),3))*(VLOOKUP($B$5,标准坦克设计!$B$14:$K$20,9)/30))</f>
        <v>52.460383201784225</v>
      </c>
      <c r="FD123" s="173">
        <f ca="1">(VLOOKUP(FD$72,INDIRECT($C$5&amp;"生成成长"),2))/((VLOOKUP($B123,INDIRECT($B$5&amp;"生成成长"),4))/(VLOOKUP(FD$72,INDIRECT($C$5&amp;"生成成长"),5))*(VLOOKUP($B$5,标准坦克设计!$B$24:$U$30,MATCH("对"&amp;LEFT($C$5,2)&amp;"输出",标准坦克设计!$B$23:$U$23,0)))*(VLOOKUP($B123,INDIRECT($B$5&amp;"生成成长"),3))*(VLOOKUP($B$5,标准坦克设计!$B$14:$K$20,9)/30))</f>
        <v>55.541522467257437</v>
      </c>
      <c r="FE123" s="173">
        <f ca="1">(VLOOKUP(FE$72,INDIRECT($C$5&amp;"生成成长"),2))/((VLOOKUP($B123,INDIRECT($B$5&amp;"生成成长"),4))/(VLOOKUP(FE$72,INDIRECT($C$5&amp;"生成成长"),5))*(VLOOKUP($B$5,标准坦克设计!$B$24:$U$30,MATCH("对"&amp;LEFT($C$5,2)&amp;"输出",标准坦克设计!$B$23:$U$23,0)))*(VLOOKUP($B123,INDIRECT($B$5&amp;"生成成长"),3))*(VLOOKUP($B$5,标准坦克设计!$B$14:$K$20,9)/30))</f>
        <v>59.296218176332509</v>
      </c>
      <c r="FF123" s="173">
        <f ca="1">(VLOOKUP(FF$72,INDIRECT($C$5&amp;"生成成长"),2))/((VLOOKUP($B123,INDIRECT($B$5&amp;"生成成长"),4))/(VLOOKUP(FF$72,INDIRECT($C$5&amp;"生成成长"),5))*(VLOOKUP($B$5,标准坦克设计!$B$24:$U$30,MATCH("对"&amp;LEFT($C$5,2)&amp;"输出",标准坦克设计!$B$23:$U$23,0)))*(VLOOKUP($B123,INDIRECT($B$5&amp;"生成成长"),3))*(VLOOKUP($B$5,标准坦克设计!$B$14:$K$20,9)/30))</f>
        <v>63.173708965201236</v>
      </c>
      <c r="FG123" s="173">
        <f ca="1">(VLOOKUP(FG$72,INDIRECT($C$5&amp;"生成成长"),2))/((VLOOKUP($B123,INDIRECT($B$5&amp;"生成成长"),4))/(VLOOKUP(FG$72,INDIRECT($C$5&amp;"生成成长"),5))*(VLOOKUP($B$5,标准坦克设计!$B$24:$U$30,MATCH("对"&amp;LEFT($C$5,2)&amp;"输出",标准坦克设计!$B$23:$U$23,0)))*(VLOOKUP($B123,INDIRECT($B$5&amp;"生成成长"),3))*(VLOOKUP($B$5,标准坦克设计!$B$14:$K$20,9)/30))</f>
        <v>67.173994833863603</v>
      </c>
      <c r="FH123" s="173">
        <f ca="1">(VLOOKUP(FH$72,INDIRECT($C$5&amp;"生成成长"),2))/((VLOOKUP($B123,INDIRECT($B$5&amp;"生成成长"),4))/(VLOOKUP(FH$72,INDIRECT($C$5&amp;"生成成长"),5))*(VLOOKUP($B$5,标准坦克设计!$B$24:$U$30,MATCH("对"&amp;LEFT($C$5,2)&amp;"输出",标准坦克设计!$B$23:$U$23,0)))*(VLOOKUP($B123,INDIRECT($B$5&amp;"生成成长"),3))*(VLOOKUP($B$5,标准坦克设计!$B$14:$K$20,9)/30))</f>
        <v>71.29707578231961</v>
      </c>
      <c r="FI123" s="173">
        <f ca="1">(VLOOKUP(FI$72,INDIRECT($C$5&amp;"生成成长"),2))/((VLOOKUP($B123,INDIRECT($B$5&amp;"生成成长"),4))/(VLOOKUP(FI$72,INDIRECT($C$5&amp;"生成成长"),5))*(VLOOKUP($B$5,标准坦克设计!$B$24:$U$30,MATCH("对"&amp;LEFT($C$5,2)&amp;"输出",标准坦克设计!$B$23:$U$23,0)))*(VLOOKUP($B123,INDIRECT($B$5&amp;"生成成长"),3))*(VLOOKUP($B$5,标准坦克设计!$B$14:$K$20,9)/30))</f>
        <v>75.542951810569278</v>
      </c>
      <c r="FJ123" s="173">
        <f ca="1">(VLOOKUP(FJ$72,INDIRECT($C$5&amp;"生成成长"),2))/((VLOOKUP($B123,INDIRECT($B$5&amp;"生成成长"),4))/(VLOOKUP(FJ$72,INDIRECT($C$5&amp;"生成成长"),5))*(VLOOKUP($B$5,标准坦克设计!$B$24:$U$30,MATCH("对"&amp;LEFT($C$5,2)&amp;"输出",标准坦克设计!$B$23:$U$23,0)))*(VLOOKUP($B123,INDIRECT($B$5&amp;"生成成长"),3))*(VLOOKUP($B$5,标准坦克设计!$B$14:$K$20,9)/30))</f>
        <v>79.911622918612608</v>
      </c>
      <c r="FK123" s="173">
        <f ca="1">(VLOOKUP(FK$72,INDIRECT($C$5&amp;"生成成长"),2))/((VLOOKUP($B123,INDIRECT($B$5&amp;"生成成长"),4))/(VLOOKUP(FK$72,INDIRECT($C$5&amp;"生成成长"),5))*(VLOOKUP($B$5,标准坦克设计!$B$24:$U$30,MATCH("对"&amp;LEFT($C$5,2)&amp;"输出",标准坦克设计!$B$23:$U$23,0)))*(VLOOKUP($B123,INDIRECT($B$5&amp;"生成成长"),3))*(VLOOKUP($B$5,标准坦克设计!$B$14:$K$20,9)/30))</f>
        <v>84.403089106449571</v>
      </c>
    </row>
    <row r="124" spans="1:167" x14ac:dyDescent="0.15">
      <c r="A124" s="171" t="str">
        <f t="shared" si="11"/>
        <v>T2中品质7级</v>
      </c>
      <c r="B124" s="172">
        <v>20207</v>
      </c>
      <c r="C124" s="173">
        <f ca="1">(VLOOKUP(C$72,INDIRECT($C$5&amp;"生成成长"),2))/((VLOOKUP($B124,INDIRECT($B$5&amp;"生成成长"),4))/(VLOOKUP(C$72,INDIRECT($C$5&amp;"生成成长"),5))*(VLOOKUP($B$5,标准坦克设计!$B$24:$U$30,MATCH("对"&amp;LEFT($C$5,2)&amp;"输出",标准坦克设计!$B$23:$U$23,0)))*(VLOOKUP($B124,INDIRECT($B$5&amp;"生成成长"),3))*(VLOOKUP($B$5,标准坦克设计!$B$14:$K$20,9)/30))</f>
        <v>3.300729070844953</v>
      </c>
      <c r="D124" s="173">
        <f ca="1">(VLOOKUP(D$72,INDIRECT($C$5&amp;"生成成长"),2))/((VLOOKUP($B124,INDIRECT($B$5&amp;"生成成长"),4))/(VLOOKUP(D$72,INDIRECT($C$5&amp;"生成成长"),5))*(VLOOKUP($B$5,标准坦克设计!$B$24:$U$30,MATCH("对"&amp;LEFT($C$5,2)&amp;"输出",标准坦克设计!$B$23:$U$23,0)))*(VLOOKUP($B124,INDIRECT($B$5&amp;"生成成长"),3))*(VLOOKUP($B$5,标准坦克设计!$B$14:$K$20,9)/30))</f>
        <v>3.7086991840013881</v>
      </c>
      <c r="E124" s="173">
        <f ca="1">(VLOOKUP(E$72,INDIRECT($C$5&amp;"生成成长"),2))/((VLOOKUP($B124,INDIRECT($B$5&amp;"生成成长"),4))/(VLOOKUP(E$72,INDIRECT($C$5&amp;"生成成长"),5))*(VLOOKUP($B$5,标准坦克设计!$B$24:$U$30,MATCH("对"&amp;LEFT($C$5,2)&amp;"输出",标准坦克设计!$B$23:$U$23,0)))*(VLOOKUP($B124,INDIRECT($B$5&amp;"生成成长"),3))*(VLOOKUP($B$5,标准坦克设计!$B$14:$K$20,9)/30))</f>
        <v>4.1404345464679082</v>
      </c>
      <c r="F124" s="173">
        <f ca="1">(VLOOKUP(F$72,INDIRECT($C$5&amp;"生成成长"),2))/((VLOOKUP($B124,INDIRECT($B$5&amp;"生成成长"),4))/(VLOOKUP(F$72,INDIRECT($C$5&amp;"生成成长"),5))*(VLOOKUP($B$5,标准坦克设计!$B$24:$U$30,MATCH("对"&amp;LEFT($C$5,2)&amp;"输出",标准坦克设计!$B$23:$U$23,0)))*(VLOOKUP($B124,INDIRECT($B$5&amp;"生成成长"),3))*(VLOOKUP($B$5,标准坦克设计!$B$14:$K$20,9)/30))</f>
        <v>4.5959351582445116</v>
      </c>
      <c r="G124" s="173">
        <f ca="1">(VLOOKUP(G$72,INDIRECT($C$5&amp;"生成成长"),2))/((VLOOKUP($B124,INDIRECT($B$5&amp;"生成成长"),4))/(VLOOKUP(G$72,INDIRECT($C$5&amp;"生成成长"),5))*(VLOOKUP($B$5,标准坦克设计!$B$24:$U$30,MATCH("对"&amp;LEFT($C$5,2)&amp;"输出",标准坦克设计!$B$23:$U$23,0)))*(VLOOKUP($B124,INDIRECT($B$5&amp;"生成成长"),3))*(VLOOKUP($B$5,标准坦克设计!$B$14:$K$20,9)/30))</f>
        <v>5.0752010193311996</v>
      </c>
      <c r="H124" s="173">
        <f ca="1">(VLOOKUP(H$72,INDIRECT($C$5&amp;"生成成长"),2))/((VLOOKUP($B124,INDIRECT($B$5&amp;"生成成长"),4))/(VLOOKUP(H$72,INDIRECT($C$5&amp;"生成成长"),5))*(VLOOKUP($B$5,标准坦克设计!$B$24:$U$30,MATCH("对"&amp;LEFT($C$5,2)&amp;"输出",标准坦克设计!$B$23:$U$23,0)))*(VLOOKUP($B124,INDIRECT($B$5&amp;"生成成长"),3))*(VLOOKUP($B$5,标准坦克设计!$B$14:$K$20,9)/30))</f>
        <v>4.4414610377289678</v>
      </c>
      <c r="I124" s="173">
        <f ca="1">(VLOOKUP(I$72,INDIRECT($C$5&amp;"生成成长"),2))/((VLOOKUP($B124,INDIRECT($B$5&amp;"生成成长"),4))/(VLOOKUP(I$72,INDIRECT($C$5&amp;"生成成长"),5))*(VLOOKUP($B$5,标准坦克设计!$B$24:$U$30,MATCH("对"&amp;LEFT($C$5,2)&amp;"输出",标准坦克设计!$B$23:$U$23,0)))*(VLOOKUP($B124,INDIRECT($B$5&amp;"生成成长"),3))*(VLOOKUP($B$5,标准坦克设计!$B$14:$K$20,9)/30))</f>
        <v>5.0752010193311996</v>
      </c>
      <c r="J124" s="173">
        <f ca="1">(VLOOKUP(J$72,INDIRECT($C$5&amp;"生成成长"),2))/((VLOOKUP($B124,INDIRECT($B$5&amp;"生成成长"),4))/(VLOOKUP(J$72,INDIRECT($C$5&amp;"生成成长"),5))*(VLOOKUP($B$5,标准坦克设计!$B$24:$U$30,MATCH("对"&amp;LEFT($C$5,2)&amp;"输出",标准坦克设计!$B$23:$U$23,0)))*(VLOOKUP($B124,INDIRECT($B$5&amp;"生成成长"),3))*(VLOOKUP($B$5,标准坦克设计!$B$14:$K$20,9)/30))</f>
        <v>5.7511903330402463</v>
      </c>
      <c r="K124" s="173">
        <f ca="1">(VLOOKUP(K$72,INDIRECT($C$5&amp;"生成成长"),2))/((VLOOKUP($B124,INDIRECT($B$5&amp;"生成成长"),4))/(VLOOKUP(K$72,INDIRECT($C$5&amp;"生成成长"),5))*(VLOOKUP($B$5,标准坦克设计!$B$24:$U$30,MATCH("对"&amp;LEFT($C$5,2)&amp;"输出",标准坦克设计!$B$23:$U$23,0)))*(VLOOKUP($B124,INDIRECT($B$5&amp;"生成成长"),3))*(VLOOKUP($B$5,标准坦克设计!$B$14:$K$20,9)/30))</f>
        <v>6.4694289788561061</v>
      </c>
      <c r="L124" s="173">
        <f ca="1">(VLOOKUP(L$72,INDIRECT($C$5&amp;"生成成长"),2))/((VLOOKUP($B124,INDIRECT($B$5&amp;"生成成长"),4))/(VLOOKUP(L$72,INDIRECT($C$5&amp;"生成成长"),5))*(VLOOKUP($B$5,标准坦克设计!$B$24:$U$30,MATCH("对"&amp;LEFT($C$5,2)&amp;"输出",标准坦克设计!$B$23:$U$23,0)))*(VLOOKUP($B124,INDIRECT($B$5&amp;"生成成长"),3))*(VLOOKUP($B$5,标准坦克设计!$B$14:$K$20,9)/30))</f>
        <v>7.2299169567787844</v>
      </c>
      <c r="M124" s="173">
        <f ca="1">(VLOOKUP(M$72,INDIRECT($C$5&amp;"生成成长"),2))/((VLOOKUP($B124,INDIRECT($B$5&amp;"生成成长"),4))/(VLOOKUP(M$72,INDIRECT($C$5&amp;"生成成长"),5))*(VLOOKUP($B$5,标准坦克设计!$B$24:$U$30,MATCH("对"&amp;LEFT($C$5,2)&amp;"输出",标准坦克设计!$B$23:$U$23,0)))*(VLOOKUP($B124,INDIRECT($B$5&amp;"生成成长"),3))*(VLOOKUP($B$5,标准坦克设计!$B$14:$K$20,9)/30))</f>
        <v>8.0326542668082759</v>
      </c>
      <c r="N124" s="173">
        <f ca="1">(VLOOKUP(N$72,INDIRECT($C$5&amp;"生成成长"),2))/((VLOOKUP($B124,INDIRECT($B$5&amp;"生成成长"),4))/(VLOOKUP(N$72,INDIRECT($C$5&amp;"生成成长"),5))*(VLOOKUP($B$5,标准坦克设计!$B$24:$U$30,MATCH("对"&amp;LEFT($C$5,2)&amp;"输出",标准坦克设计!$B$23:$U$23,0)))*(VLOOKUP($B124,INDIRECT($B$5&amp;"生成成长"),3))*(VLOOKUP($B$5,标准坦克设计!$B$14:$K$20,9)/30))</f>
        <v>8.8776409089445849</v>
      </c>
      <c r="O124" s="173">
        <f ca="1">(VLOOKUP(O$72,INDIRECT($C$5&amp;"生成成长"),2))/((VLOOKUP($B124,INDIRECT($B$5&amp;"生成成长"),4))/(VLOOKUP(O$72,INDIRECT($C$5&amp;"生成成长"),5))*(VLOOKUP($B$5,标准坦克设计!$B$24:$U$30,MATCH("对"&amp;LEFT($C$5,2)&amp;"输出",标准坦克设计!$B$23:$U$23,0)))*(VLOOKUP($B124,INDIRECT($B$5&amp;"生成成长"),3))*(VLOOKUP($B$5,标准坦克设计!$B$14:$K$20,9)/30))</f>
        <v>6.7496608769708439</v>
      </c>
      <c r="P124" s="173">
        <f ca="1">(VLOOKUP(P$72,INDIRECT($C$5&amp;"生成成长"),2))/((VLOOKUP($B124,INDIRECT($B$5&amp;"生成成长"),4))/(VLOOKUP(P$72,INDIRECT($C$5&amp;"生成成长"),5))*(VLOOKUP($B$5,标准坦克设计!$B$24:$U$30,MATCH("对"&amp;LEFT($C$5,2)&amp;"输出",标准坦克设计!$B$23:$U$23,0)))*(VLOOKUP($B124,INDIRECT($B$5&amp;"生成成长"),3))*(VLOOKUP($B$5,标准坦克设计!$B$14:$K$20,9)/30))</f>
        <v>7.6260044452801781</v>
      </c>
      <c r="Q124" s="173">
        <f ca="1">(VLOOKUP(Q$72,INDIRECT($C$5&amp;"生成成长"),2))/((VLOOKUP($B124,INDIRECT($B$5&amp;"生成成长"),4))/(VLOOKUP(Q$72,INDIRECT($C$5&amp;"生成成长"),5))*(VLOOKUP($B$5,标准坦克设计!$B$24:$U$30,MATCH("对"&amp;LEFT($C$5,2)&amp;"输出",标准坦克设计!$B$23:$U$23,0)))*(VLOOKUP($B124,INDIRECT($B$5&amp;"生成成长"),3))*(VLOOKUP($B$5,标准坦克设计!$B$14:$K$20,9)/30))</f>
        <v>8.5558198245372008</v>
      </c>
      <c r="R124" s="173">
        <f ca="1">(VLOOKUP(R$72,INDIRECT($C$5&amp;"生成成长"),2))/((VLOOKUP($B124,INDIRECT($B$5&amp;"生成成长"),4))/(VLOOKUP(R$72,INDIRECT($C$5&amp;"生成成长"),5))*(VLOOKUP($B$5,标准坦克设计!$B$24:$U$30,MATCH("对"&amp;LEFT($C$5,2)&amp;"输出",标准坦克设计!$B$23:$U$23,0)))*(VLOOKUP($B124,INDIRECT($B$5&amp;"生成成长"),3))*(VLOOKUP($B$5,标准坦克设计!$B$14:$K$20,9)/30))</f>
        <v>9.5391070147419121</v>
      </c>
      <c r="S124" s="173">
        <f ca="1">(VLOOKUP(S$72,INDIRECT($C$5&amp;"生成成长"),2))/((VLOOKUP($B124,INDIRECT($B$5&amp;"生成成长"),4))/(VLOOKUP(S$72,INDIRECT($C$5&amp;"生成成长"),5))*(VLOOKUP($B$5,标准坦克设计!$B$24:$U$30,MATCH("对"&amp;LEFT($C$5,2)&amp;"输出",标准坦克设计!$B$23:$U$23,0)))*(VLOOKUP($B124,INDIRECT($B$5&amp;"生成成长"),3))*(VLOOKUP($B$5,标准坦克设计!$B$14:$K$20,9)/30))</f>
        <v>10.575866015894311</v>
      </c>
      <c r="T124" s="173">
        <f ca="1">(VLOOKUP(T$72,INDIRECT($C$5&amp;"生成成长"),2))/((VLOOKUP($B124,INDIRECT($B$5&amp;"生成成长"),4))/(VLOOKUP(T$72,INDIRECT($C$5&amp;"生成成长"),5))*(VLOOKUP($B$5,标准坦克设计!$B$24:$U$30,MATCH("对"&amp;LEFT($C$5,2)&amp;"输出",标准坦克设计!$B$23:$U$23,0)))*(VLOOKUP($B124,INDIRECT($B$5&amp;"生成成长"),3))*(VLOOKUP($B$5,标准坦克设计!$B$14:$K$20,9)/30))</f>
        <v>11.666096827994402</v>
      </c>
      <c r="U124" s="173">
        <f ca="1">(VLOOKUP(U$72,INDIRECT($C$5&amp;"生成成长"),2))/((VLOOKUP($B124,INDIRECT($B$5&amp;"生成成长"),4))/(VLOOKUP(U$72,INDIRECT($C$5&amp;"生成成长"),5))*(VLOOKUP($B$5,标准坦克设计!$B$24:$U$30,MATCH("对"&amp;LEFT($C$5,2)&amp;"输出",标准坦克设计!$B$23:$U$23,0)))*(VLOOKUP($B124,INDIRECT($B$5&amp;"生成成长"),3))*(VLOOKUP($B$5,标准坦克设计!$B$14:$K$20,9)/30))</f>
        <v>12.809799451042176</v>
      </c>
      <c r="V124" s="173">
        <f ca="1">(VLOOKUP(V$72,INDIRECT($C$5&amp;"生成成长"),2))/((VLOOKUP($B124,INDIRECT($B$5&amp;"生成成长"),4))/(VLOOKUP(V$72,INDIRECT($C$5&amp;"生成成长"),5))*(VLOOKUP($B$5,标准坦克设计!$B$24:$U$30,MATCH("对"&amp;LEFT($C$5,2)&amp;"输出",标准坦克设计!$B$23:$U$23,0)))*(VLOOKUP($B124,INDIRECT($B$5&amp;"生成成长"),3))*(VLOOKUP($B$5,标准坦克设计!$B$14:$K$20,9)/30))</f>
        <v>14.006973885037642</v>
      </c>
      <c r="W124" s="173">
        <f ca="1">(VLOOKUP(W$72,INDIRECT($C$5&amp;"生成成长"),2))/((VLOOKUP($B124,INDIRECT($B$5&amp;"生成成长"),4))/(VLOOKUP(W$72,INDIRECT($C$5&amp;"生成成长"),5))*(VLOOKUP($B$5,标准坦克设计!$B$24:$U$30,MATCH("对"&amp;LEFT($C$5,2)&amp;"输出",标准坦克设计!$B$23:$U$23,0)))*(VLOOKUP($B124,INDIRECT($B$5&amp;"生成成长"),3))*(VLOOKUP($B$5,标准坦克设计!$B$14:$K$20,9)/30))</f>
        <v>15.257620129980792</v>
      </c>
      <c r="X124" s="173">
        <f ca="1">(VLOOKUP(X$72,INDIRECT($C$5&amp;"生成成长"),2))/((VLOOKUP($B124,INDIRECT($B$5&amp;"生成成长"),4))/(VLOOKUP(X$72,INDIRECT($C$5&amp;"生成成长"),5))*(VLOOKUP($B$5,标准坦克设计!$B$24:$U$30,MATCH("对"&amp;LEFT($C$5,2)&amp;"输出",标准坦克设计!$B$23:$U$23,0)))*(VLOOKUP($B124,INDIRECT($B$5&amp;"生成成长"),3))*(VLOOKUP($B$5,标准坦克设计!$B$14:$K$20,9)/30))</f>
        <v>11.05381158535266</v>
      </c>
      <c r="Y124" s="173">
        <f ca="1">(VLOOKUP(Y$72,INDIRECT($C$5&amp;"生成成长"),2))/((VLOOKUP($B124,INDIRECT($B$5&amp;"生成成长"),4))/(VLOOKUP(Y$72,INDIRECT($C$5&amp;"生成成长"),5))*(VLOOKUP($B$5,标准坦克设计!$B$24:$U$30,MATCH("对"&amp;LEFT($C$5,2)&amp;"输出",标准坦克设计!$B$23:$U$23,0)))*(VLOOKUP($B124,INDIRECT($B$5&amp;"生成成长"),3))*(VLOOKUP($B$5,标准坦克设计!$B$14:$K$20,9)/30))</f>
        <v>12.294885715990368</v>
      </c>
      <c r="Z124" s="173">
        <f ca="1">(VLOOKUP(Z$72,INDIRECT($C$5&amp;"生成成长"),2))/((VLOOKUP($B124,INDIRECT($B$5&amp;"生成成长"),4))/(VLOOKUP(Z$72,INDIRECT($C$5&amp;"生成成长"),5))*(VLOOKUP($B$5,标准坦克设计!$B$24:$U$30,MATCH("对"&amp;LEFT($C$5,2)&amp;"输出",标准坦克设计!$B$23:$U$23,0)))*(VLOOKUP($B124,INDIRECT($B$5&amp;"生成成长"),3))*(VLOOKUP($B$5,标准坦克设计!$B$14:$K$20,9)/30))</f>
        <v>13.601974428044965</v>
      </c>
      <c r="AA124" s="173">
        <f ca="1">(VLOOKUP(AA$72,INDIRECT($C$5&amp;"生成成长"),2))/((VLOOKUP($B124,INDIRECT($B$5&amp;"生成成长"),4))/(VLOOKUP(AA$72,INDIRECT($C$5&amp;"生成成长"),5))*(VLOOKUP($B$5,标准坦克设计!$B$24:$U$30,MATCH("对"&amp;LEFT($C$5,2)&amp;"输出",标准坦克设计!$B$23:$U$23,0)))*(VLOOKUP($B124,INDIRECT($B$5&amp;"生成成长"),3))*(VLOOKUP($B$5,标准坦克设计!$B$14:$K$20,9)/30))</f>
        <v>14.975077721516465</v>
      </c>
      <c r="AB124" s="173">
        <f ca="1">(VLOOKUP(AB$72,INDIRECT($C$5&amp;"生成成长"),2))/((VLOOKUP($B124,INDIRECT($B$5&amp;"生成成长"),4))/(VLOOKUP(AB$72,INDIRECT($C$5&amp;"生成成长"),5))*(VLOOKUP($B$5,标准坦克设计!$B$24:$U$30,MATCH("对"&amp;LEFT($C$5,2)&amp;"输出",标准坦克设计!$B$23:$U$23,0)))*(VLOOKUP($B124,INDIRECT($B$5&amp;"生成成长"),3))*(VLOOKUP($B$5,标准坦克设计!$B$14:$K$20,9)/30))</f>
        <v>16.414195596404863</v>
      </c>
      <c r="AC124" s="173">
        <f ca="1">(VLOOKUP(AC$72,INDIRECT($C$5&amp;"生成成长"),2))/((VLOOKUP($B124,INDIRECT($B$5&amp;"生成成长"),4))/(VLOOKUP(AC$72,INDIRECT($C$5&amp;"生成成长"),5))*(VLOOKUP($B$5,标准坦克设计!$B$24:$U$30,MATCH("对"&amp;LEFT($C$5,2)&amp;"输出",标准坦克设计!$B$23:$U$23,0)))*(VLOOKUP($B124,INDIRECT($B$5&amp;"生成成长"),3))*(VLOOKUP($B$5,标准坦克设计!$B$14:$K$20,9)/30))</f>
        <v>17.919328052710163</v>
      </c>
      <c r="AD124" s="173">
        <f ca="1">(VLOOKUP(AD$72,INDIRECT($C$5&amp;"生成成长"),2))/((VLOOKUP($B124,INDIRECT($B$5&amp;"生成成长"),4))/(VLOOKUP(AD$72,INDIRECT($C$5&amp;"生成成长"),5))*(VLOOKUP($B$5,标准坦克设计!$B$24:$U$30,MATCH("对"&amp;LEFT($C$5,2)&amp;"输出",标准坦克设计!$B$23:$U$23,0)))*(VLOOKUP($B124,INDIRECT($B$5&amp;"生成成长"),3))*(VLOOKUP($B$5,标准坦克设计!$B$14:$K$20,9)/30))</f>
        <v>19.490475090432362</v>
      </c>
      <c r="AE124" s="173">
        <f ca="1">(VLOOKUP(AE$72,INDIRECT($C$5&amp;"生成成长"),2))/((VLOOKUP($B124,INDIRECT($B$5&amp;"生成成长"),4))/(VLOOKUP(AE$72,INDIRECT($C$5&amp;"生成成长"),5))*(VLOOKUP($B$5,标准坦克设计!$B$24:$U$30,MATCH("对"&amp;LEFT($C$5,2)&amp;"输出",标准坦克设计!$B$23:$U$23,0)))*(VLOOKUP($B124,INDIRECT($B$5&amp;"生成成长"),3))*(VLOOKUP($B$5,标准坦克设计!$B$14:$K$20,9)/30))</f>
        <v>21.127636709571458</v>
      </c>
      <c r="AF124" s="173">
        <f ca="1">(VLOOKUP(AF$72,INDIRECT($C$5&amp;"生成成长"),2))/((VLOOKUP($B124,INDIRECT($B$5&amp;"生成成长"),4))/(VLOOKUP(AF$72,INDIRECT($C$5&amp;"生成成长"),5))*(VLOOKUP($B$5,标准坦克设计!$B$24:$U$30,MATCH("对"&amp;LEFT($C$5,2)&amp;"输出",标准坦克设计!$B$23:$U$23,0)))*(VLOOKUP($B124,INDIRECT($B$5&amp;"生成成长"),3))*(VLOOKUP($B$5,标准坦克设计!$B$14:$K$20,9)/30))</f>
        <v>22.83081291012746</v>
      </c>
      <c r="AG124" s="173">
        <f ca="1">(VLOOKUP(AG$72,INDIRECT($C$5&amp;"生成成长"),2))/((VLOOKUP($B124,INDIRECT($B$5&amp;"生成成长"),4))/(VLOOKUP(AG$72,INDIRECT($C$5&amp;"生成成长"),5))*(VLOOKUP($B$5,标准坦克设计!$B$24:$U$30,MATCH("对"&amp;LEFT($C$5,2)&amp;"输出",标准坦克设计!$B$23:$U$23,0)))*(VLOOKUP($B124,INDIRECT($B$5&amp;"生成成长"),3))*(VLOOKUP($B$5,标准坦克设计!$B$14:$K$20,9)/30))</f>
        <v>24.600003692100351</v>
      </c>
      <c r="AH124" s="173">
        <f ca="1">(VLOOKUP(AH$72,INDIRECT($C$5&amp;"生成成长"),2))/((VLOOKUP($B124,INDIRECT($B$5&amp;"生成成长"),4))/(VLOOKUP(AH$72,INDIRECT($C$5&amp;"生成成长"),5))*(VLOOKUP($B$5,标准坦克设计!$B$24:$U$30,MATCH("对"&amp;LEFT($C$5,2)&amp;"输出",标准坦克设计!$B$23:$U$23,0)))*(VLOOKUP($B124,INDIRECT($B$5&amp;"生成成长"),3))*(VLOOKUP($B$5,标准坦克设计!$B$14:$K$20,9)/30))</f>
        <v>26.435209055490144</v>
      </c>
      <c r="AI124" s="173">
        <f ca="1">(VLOOKUP(AI$72,INDIRECT($C$5&amp;"生成成长"),2))/((VLOOKUP($B124,INDIRECT($B$5&amp;"生成成长"),4))/(VLOOKUP(AI$72,INDIRECT($C$5&amp;"生成成长"),5))*(VLOOKUP($B$5,标准坦克设计!$B$24:$U$30,MATCH("对"&amp;LEFT($C$5,2)&amp;"输出",标准坦克设计!$B$23:$U$23,0)))*(VLOOKUP($B124,INDIRECT($B$5&amp;"生成成长"),3))*(VLOOKUP($B$5,标准坦克设计!$B$14:$K$20,9)/30))</f>
        <v>18.696649748894149</v>
      </c>
      <c r="AJ124" s="173">
        <f ca="1">(VLOOKUP(AJ$72,INDIRECT($C$5&amp;"生成成长"),2))/((VLOOKUP($B124,INDIRECT($B$5&amp;"生成成长"),4))/(VLOOKUP(AJ$72,INDIRECT($C$5&amp;"生成成长"),5))*(VLOOKUP($B$5,标准坦克设计!$B$24:$U$30,MATCH("对"&amp;LEFT($C$5,2)&amp;"输出",标准坦克设计!$B$23:$U$23,0)))*(VLOOKUP($B124,INDIRECT($B$5&amp;"生成成长"),3))*(VLOOKUP($B$5,标准坦克设计!$B$14:$K$20,9)/30))</f>
        <v>20.464850312145792</v>
      </c>
      <c r="AK124" s="173">
        <f ca="1">(VLOOKUP(AK$72,INDIRECT($C$5&amp;"生成成长"),2))/((VLOOKUP($B124,INDIRECT($B$5&amp;"生成成长"),4))/(VLOOKUP(AK$72,INDIRECT($C$5&amp;"生成成长"),5))*(VLOOKUP($B$5,标准坦克设计!$B$24:$U$30,MATCH("对"&amp;LEFT($C$5,2)&amp;"输出",标准坦克设计!$B$23:$U$23,0)))*(VLOOKUP($B124,INDIRECT($B$5&amp;"生成成长"),3))*(VLOOKUP($B$5,标准坦克设计!$B$14:$K$20,9)/30))</f>
        <v>22.312928518911882</v>
      </c>
      <c r="AL124" s="173">
        <f ca="1">(VLOOKUP(AL$72,INDIRECT($C$5&amp;"生成成长"),2))/((VLOOKUP($B124,INDIRECT($B$5&amp;"生成成长"),4))/(VLOOKUP(AL$72,INDIRECT($C$5&amp;"生成成长"),5))*(VLOOKUP($B$5,标准坦克设计!$B$24:$U$30,MATCH("对"&amp;LEFT($C$5,2)&amp;"输出",标准坦克设计!$B$23:$U$23,0)))*(VLOOKUP($B124,INDIRECT($B$5&amp;"生成成长"),3))*(VLOOKUP($B$5,标准坦克设计!$B$14:$K$20,9)/30))</f>
        <v>24.240884369192415</v>
      </c>
      <c r="AM124" s="173">
        <f ca="1">(VLOOKUP(AM$72,INDIRECT($C$5&amp;"生成成长"),2))/((VLOOKUP($B124,INDIRECT($B$5&amp;"生成成长"),4))/(VLOOKUP(AM$72,INDIRECT($C$5&amp;"生成成长"),5))*(VLOOKUP($B$5,标准坦克设计!$B$24:$U$30,MATCH("对"&amp;LEFT($C$5,2)&amp;"输出",标准坦克设计!$B$23:$U$23,0)))*(VLOOKUP($B124,INDIRECT($B$5&amp;"生成成长"),3))*(VLOOKUP($B$5,标准坦克设计!$B$14:$K$20,9)/30))</f>
        <v>26.248717862987402</v>
      </c>
      <c r="AN124" s="173">
        <f ca="1">(VLOOKUP(AN$72,INDIRECT($C$5&amp;"生成成长"),2))/((VLOOKUP($B124,INDIRECT($B$5&amp;"生成成长"),4))/(VLOOKUP(AN$72,INDIRECT($C$5&amp;"生成成长"),5))*(VLOOKUP($B$5,标准坦克设计!$B$24:$U$30,MATCH("对"&amp;LEFT($C$5,2)&amp;"输出",标准坦克设计!$B$23:$U$23,0)))*(VLOOKUP($B124,INDIRECT($B$5&amp;"生成成长"),3))*(VLOOKUP($B$5,标准坦克设计!$B$14:$K$20,9)/30))</f>
        <v>28.336429000296839</v>
      </c>
      <c r="AO124" s="173">
        <f ca="1">(VLOOKUP(AO$72,INDIRECT($C$5&amp;"生成成长"),2))/((VLOOKUP($B124,INDIRECT($B$5&amp;"生成成长"),4))/(VLOOKUP(AO$72,INDIRECT($C$5&amp;"生成成长"),5))*(VLOOKUP($B$5,标准坦克设计!$B$24:$U$30,MATCH("对"&amp;LEFT($C$5,2)&amp;"输出",标准坦克设计!$B$23:$U$23,0)))*(VLOOKUP($B124,INDIRECT($B$5&amp;"生成成长"),3))*(VLOOKUP($B$5,标准坦克设计!$B$14:$K$20,9)/30))</f>
        <v>30.504017781120712</v>
      </c>
      <c r="AP124" s="173">
        <f ca="1">(VLOOKUP(AP$72,INDIRECT($C$5&amp;"生成成长"),2))/((VLOOKUP($B124,INDIRECT($B$5&amp;"生成成长"),4))/(VLOOKUP(AP$72,INDIRECT($C$5&amp;"生成成长"),5))*(VLOOKUP($B$5,标准坦克设计!$B$24:$U$30,MATCH("对"&amp;LEFT($C$5,2)&amp;"输出",标准坦克设计!$B$23:$U$23,0)))*(VLOOKUP($B124,INDIRECT($B$5&amp;"生成成长"),3))*(VLOOKUP($B$5,标准坦克设计!$B$14:$K$20,9)/30))</f>
        <v>32.751484205459036</v>
      </c>
      <c r="AQ124" s="173">
        <f ca="1">(VLOOKUP(AQ$72,INDIRECT($C$5&amp;"生成成长"),2))/((VLOOKUP($B124,INDIRECT($B$5&amp;"生成成长"),4))/(VLOOKUP(AQ$72,INDIRECT($C$5&amp;"生成成长"),5))*(VLOOKUP($B$5,标准坦克设计!$B$24:$U$30,MATCH("对"&amp;LEFT($C$5,2)&amp;"输出",标准坦克设计!$B$23:$U$23,0)))*(VLOOKUP($B124,INDIRECT($B$5&amp;"生成成长"),3))*(VLOOKUP($B$5,标准坦克设计!$B$14:$K$20,9)/30))</f>
        <v>35.078828273311821</v>
      </c>
      <c r="AR124" s="173">
        <f ca="1">(VLOOKUP(AR$72,INDIRECT($C$5&amp;"生成成长"),2))/((VLOOKUP($B124,INDIRECT($B$5&amp;"生成成长"),4))/(VLOOKUP(AR$72,INDIRECT($C$5&amp;"生成成长"),5))*(VLOOKUP($B$5,标准坦克设计!$B$24:$U$30,MATCH("对"&amp;LEFT($C$5,2)&amp;"输出",标准坦克设计!$B$23:$U$23,0)))*(VLOOKUP($B124,INDIRECT($B$5&amp;"生成成长"),3))*(VLOOKUP($B$5,标准坦克设计!$B$14:$K$20,9)/30))</f>
        <v>37.486049984679042</v>
      </c>
      <c r="AS124" s="173">
        <f ca="1">(VLOOKUP(AS$72,INDIRECT($C$5&amp;"生成成长"),2))/((VLOOKUP($B124,INDIRECT($B$5&amp;"生成成长"),4))/(VLOOKUP(AS$72,INDIRECT($C$5&amp;"生成成长"),5))*(VLOOKUP($B$5,标准坦克设计!$B$24:$U$30,MATCH("对"&amp;LEFT($C$5,2)&amp;"输出",标准坦克设计!$B$23:$U$23,0)))*(VLOOKUP($B124,INDIRECT($B$5&amp;"生成成长"),3))*(VLOOKUP($B$5,标准坦克设计!$B$14:$K$20,9)/30))</f>
        <v>39.97314933956072</v>
      </c>
      <c r="AT124" s="173">
        <f ca="1">(VLOOKUP(AT$72,INDIRECT($C$5&amp;"生成成长"),2))/((VLOOKUP($B124,INDIRECT($B$5&amp;"生成成长"),4))/(VLOOKUP(AT$72,INDIRECT($C$5&amp;"生成成长"),5))*(VLOOKUP($B$5,标准坦克设计!$B$24:$U$30,MATCH("对"&amp;LEFT($C$5,2)&amp;"输出",标准坦克设计!$B$23:$U$23,0)))*(VLOOKUP($B124,INDIRECT($B$5&amp;"生成成长"),3))*(VLOOKUP($B$5,标准坦克设计!$B$14:$K$20,9)/30))</f>
        <v>42.540126337956835</v>
      </c>
      <c r="AU124" s="173">
        <f ca="1">(VLOOKUP(AU$72,INDIRECT($C$5&amp;"生成成长"),2))/((VLOOKUP($B124,INDIRECT($B$5&amp;"生成成长"),4))/(VLOOKUP(AU$72,INDIRECT($C$5&amp;"生成成长"),5))*(VLOOKUP($B$5,标准坦克设计!$B$24:$U$30,MATCH("对"&amp;LEFT($C$5,2)&amp;"输出",标准坦克设计!$B$23:$U$23,0)))*(VLOOKUP($B124,INDIRECT($B$5&amp;"生成成长"),3))*(VLOOKUP($B$5,标准坦克设计!$B$14:$K$20,9)/30))</f>
        <v>45.1869809798674</v>
      </c>
      <c r="AV124" s="173">
        <f ca="1">(VLOOKUP(AV$72,INDIRECT($C$5&amp;"生成成长"),2))/((VLOOKUP($B124,INDIRECT($B$5&amp;"生成成长"),4))/(VLOOKUP(AV$72,INDIRECT($C$5&amp;"生成成长"),5))*(VLOOKUP($B$5,标准坦克设计!$B$24:$U$30,MATCH("对"&amp;LEFT($C$5,2)&amp;"输出",标准坦克设计!$B$23:$U$23,0)))*(VLOOKUP($B124,INDIRECT($B$5&amp;"生成成长"),3))*(VLOOKUP($B$5,标准坦克设计!$B$14:$K$20,9)/30))</f>
        <v>4.5959351582445116</v>
      </c>
      <c r="AW124" s="173">
        <f ca="1">(VLOOKUP(AW$72,INDIRECT($C$5&amp;"生成成长"),2))/((VLOOKUP($B124,INDIRECT($B$5&amp;"生成成长"),4))/(VLOOKUP(AW$72,INDIRECT($C$5&amp;"生成成长"),5))*(VLOOKUP($B$5,标准坦克设计!$B$24:$U$30,MATCH("对"&amp;LEFT($C$5,2)&amp;"输出",标准坦克设计!$B$23:$U$23,0)))*(VLOOKUP($B124,INDIRECT($B$5&amp;"生成成长"),3))*(VLOOKUP($B$5,标准坦克设计!$B$14:$K$20,9)/30))</f>
        <v>5.2402374728734467</v>
      </c>
      <c r="AX124" s="173">
        <f ca="1">(VLOOKUP(AX$72,INDIRECT($C$5&amp;"生成成长"),2))/((VLOOKUP($B124,INDIRECT($B$5&amp;"生成成长"),4))/(VLOOKUP(AX$72,INDIRECT($C$5&amp;"生成成长"),5))*(VLOOKUP($B$5,标准坦克设计!$B$24:$U$30,MATCH("对"&amp;LEFT($C$5,2)&amp;"输出",标准坦克设计!$B$23:$U$23,0)))*(VLOOKUP($B124,INDIRECT($B$5&amp;"生成成长"),3))*(VLOOKUP($B$5,标准坦克设计!$B$14:$K$20,9)/30))</f>
        <v>5.9267891196091966</v>
      </c>
      <c r="AY124" s="173">
        <f ca="1">(VLOOKUP(AY$72,INDIRECT($C$5&amp;"生成成长"),2))/((VLOOKUP($B124,INDIRECT($B$5&amp;"生成成长"),4))/(VLOOKUP(AY$72,INDIRECT($C$5&amp;"生成成长"),5))*(VLOOKUP($B$5,标准坦克设计!$B$24:$U$30,MATCH("对"&amp;LEFT($C$5,2)&amp;"输出",标准坦克设计!$B$23:$U$23,0)))*(VLOOKUP($B124,INDIRECT($B$5&amp;"生成成长"),3))*(VLOOKUP($B$5,标准坦克设计!$B$14:$K$20,9)/30))</f>
        <v>6.6555900984517624</v>
      </c>
      <c r="AZ124" s="173">
        <f ca="1">(VLOOKUP(AZ$72,INDIRECT($C$5&amp;"生成成长"),2))/((VLOOKUP($B124,INDIRECT($B$5&amp;"生成成长"),4))/(VLOOKUP(AZ$72,INDIRECT($C$5&amp;"生成成长"),5))*(VLOOKUP($B$5,标准坦克设计!$B$24:$U$30,MATCH("对"&amp;LEFT($C$5,2)&amp;"输出",标准坦克设计!$B$23:$U$23,0)))*(VLOOKUP($B124,INDIRECT($B$5&amp;"生成成长"),3))*(VLOOKUP($B$5,标准坦克设计!$B$14:$K$20,9)/30))</f>
        <v>7.426640409401144</v>
      </c>
      <c r="BA124" s="173">
        <f ca="1">(VLOOKUP(BA$72,INDIRECT($C$5&amp;"生成成长"),2))/((VLOOKUP($B124,INDIRECT($B$5&amp;"生成成长"),4))/(VLOOKUP(BA$72,INDIRECT($C$5&amp;"生成成长"),5))*(VLOOKUP($B$5,标准坦克设计!$B$24:$U$30,MATCH("对"&amp;LEFT($C$5,2)&amp;"输出",标准坦克设计!$B$23:$U$23,0)))*(VLOOKUP($B124,INDIRECT($B$5&amp;"生成成长"),3))*(VLOOKUP($B$5,标准坦克设计!$B$14:$K$20,9)/30))</f>
        <v>8.2399400524573387</v>
      </c>
      <c r="BB124" s="173">
        <f ca="1">(VLOOKUP(BB$72,INDIRECT($C$5&amp;"生成成长"),2))/((VLOOKUP($B124,INDIRECT($B$5&amp;"生成成长"),4))/(VLOOKUP(BB$72,INDIRECT($C$5&amp;"生成成长"),5))*(VLOOKUP($B$5,标准坦克设计!$B$24:$U$30,MATCH("对"&amp;LEFT($C$5,2)&amp;"输出",标准坦克设计!$B$23:$U$23,0)))*(VLOOKUP($B124,INDIRECT($B$5&amp;"生成成长"),3))*(VLOOKUP($B$5,标准坦克设计!$B$14:$K$20,9)/30))</f>
        <v>9.0954890276203511</v>
      </c>
      <c r="BC124" s="173">
        <f ca="1">(VLOOKUP(BC$72,INDIRECT($C$5&amp;"生成成长"),2))/((VLOOKUP($B124,INDIRECT($B$5&amp;"生成成长"),4))/(VLOOKUP(BC$72,INDIRECT($C$5&amp;"生成成长"),5))*(VLOOKUP($B$5,标准坦克设计!$B$24:$U$30,MATCH("对"&amp;LEFT($C$5,2)&amp;"输出",标准坦克设计!$B$23:$U$23,0)))*(VLOOKUP($B124,INDIRECT($B$5&amp;"生成成长"),3))*(VLOOKUP($B$5,标准坦克设计!$B$14:$K$20,9)/30))</f>
        <v>9.9932873348901801</v>
      </c>
      <c r="BD124" s="173">
        <f ca="1">(VLOOKUP(BD$72,INDIRECT($C$5&amp;"生成成长"),2))/((VLOOKUP($B124,INDIRECT($B$5&amp;"生成成长"),4))/(VLOOKUP(BD$72,INDIRECT($C$5&amp;"生成成长"),5))*(VLOOKUP($B$5,标准坦克设计!$B$24:$U$30,MATCH("对"&amp;LEFT($C$5,2)&amp;"输出",标准坦克设计!$B$23:$U$23,0)))*(VLOOKUP($B124,INDIRECT($B$5&amp;"生成成长"),3))*(VLOOKUP($B$5,标准坦克设计!$B$14:$K$20,9)/30))</f>
        <v>11.05381158535266</v>
      </c>
      <c r="BE124" s="173">
        <f ca="1">(VLOOKUP(BE$72,INDIRECT($C$5&amp;"生成成长"),2))/((VLOOKUP($B124,INDIRECT($B$5&amp;"生成成长"),4))/(VLOOKUP(BE$72,INDIRECT($C$5&amp;"生成成长"),5))*(VLOOKUP($B$5,标准坦克设计!$B$24:$U$30,MATCH("对"&amp;LEFT($C$5,2)&amp;"输出",标准坦克设计!$B$23:$U$23,0)))*(VLOOKUP($B124,INDIRECT($B$5&amp;"生成成长"),3))*(VLOOKUP($B$5,标准坦克设计!$B$14:$K$20,9)/30))</f>
        <v>12.167807646762835</v>
      </c>
      <c r="BF124" s="173">
        <f ca="1">(VLOOKUP(BF$72,INDIRECT($C$5&amp;"生成成长"),2))/((VLOOKUP($B124,INDIRECT($B$5&amp;"生成成长"),4))/(VLOOKUP(BF$72,INDIRECT($C$5&amp;"生成成长"),5))*(VLOOKUP($B$5,标准坦克设计!$B$24:$U$30,MATCH("对"&amp;LEFT($C$5,2)&amp;"输出",标准坦克设计!$B$23:$U$23,0)))*(VLOOKUP($B124,INDIRECT($B$5&amp;"生成成长"),3))*(VLOOKUP($B$5,标准坦克设计!$B$14:$K$20,9)/30))</f>
        <v>13.335275519120694</v>
      </c>
      <c r="BG124" s="173">
        <f ca="1">(VLOOKUP(BG$72,INDIRECT($C$5&amp;"生成成长"),2))/((VLOOKUP($B124,INDIRECT($B$5&amp;"生成成长"),4))/(VLOOKUP(BG$72,INDIRECT($C$5&amp;"生成成长"),5))*(VLOOKUP($B$5,标准坦克设计!$B$24:$U$30,MATCH("对"&amp;LEFT($C$5,2)&amp;"输出",标准坦克设计!$B$23:$U$23,0)))*(VLOOKUP($B124,INDIRECT($B$5&amp;"生成成长"),3))*(VLOOKUP($B$5,标准坦克设计!$B$14:$K$20,9)/30))</f>
        <v>14.556215202426241</v>
      </c>
      <c r="BH124" s="173">
        <f ca="1">(VLOOKUP(BH$72,INDIRECT($C$5&amp;"生成成长"),2))/((VLOOKUP($B124,INDIRECT($B$5&amp;"生成成长"),4))/(VLOOKUP(BH$72,INDIRECT($C$5&amp;"生成成长"),5))*(VLOOKUP($B$5,标准坦克设计!$B$24:$U$30,MATCH("对"&amp;LEFT($C$5,2)&amp;"输出",标准坦克设计!$B$23:$U$23,0)))*(VLOOKUP($B124,INDIRECT($B$5&amp;"生成成长"),3))*(VLOOKUP($B$5,标准坦克设计!$B$14:$K$20,9)/30))</f>
        <v>7.0358340874131002</v>
      </c>
      <c r="BI124" s="173">
        <f ca="1">(VLOOKUP(BI$72,INDIRECT($C$5&amp;"生成成长"),2))/((VLOOKUP($B124,INDIRECT($B$5&amp;"生成成长"),4))/(VLOOKUP(BI$72,INDIRECT($C$5&amp;"生成成长"),5))*(VLOOKUP($B$5,标准坦克设计!$B$24:$U$30,MATCH("对"&amp;LEFT($C$5,2)&amp;"输出",标准坦克设计!$B$23:$U$23,0)))*(VLOOKUP($B124,INDIRECT($B$5&amp;"生成成长"),3))*(VLOOKUP($B$5,标准坦克设计!$B$14:$K$20,9)/30))</f>
        <v>7.9300015927049978</v>
      </c>
      <c r="BJ124" s="173">
        <f ca="1">(VLOOKUP(BJ$72,INDIRECT($C$5&amp;"生成成长"),2))/((VLOOKUP($B124,INDIRECT($B$5&amp;"生成成长"),4))/(VLOOKUP(BJ$72,INDIRECT($C$5&amp;"生成成长"),5))*(VLOOKUP($B$5,标准坦克设计!$B$24:$U$30,MATCH("对"&amp;LEFT($C$5,2)&amp;"输出",标准坦克设计!$B$23:$U$23,0)))*(VLOOKUP($B124,INDIRECT($B$5&amp;"生成成长"),3))*(VLOOKUP($B$5,标准坦克设计!$B$14:$K$20,9)/30))</f>
        <v>8.8776409089445849</v>
      </c>
      <c r="BK124" s="173">
        <f ca="1">(VLOOKUP(BK$72,INDIRECT($C$5&amp;"生成成长"),2))/((VLOOKUP($B124,INDIRECT($B$5&amp;"生成成长"),4))/(VLOOKUP(BK$72,INDIRECT($C$5&amp;"生成成长"),5))*(VLOOKUP($B$5,标准坦克设计!$B$24:$U$30,MATCH("对"&amp;LEFT($C$5,2)&amp;"输出",标准坦克设计!$B$23:$U$23,0)))*(VLOOKUP($B124,INDIRECT($B$5&amp;"生成成长"),3))*(VLOOKUP($B$5,标准坦克设计!$B$14:$K$20,9)/30))</f>
        <v>9.878752036131857</v>
      </c>
      <c r="BL124" s="173">
        <f ca="1">(VLOOKUP(BL$72,INDIRECT($C$5&amp;"生成成长"),2))/((VLOOKUP($B124,INDIRECT($B$5&amp;"生成成长"),4))/(VLOOKUP(BL$72,INDIRECT($C$5&amp;"生成成长"),5))*(VLOOKUP($B$5,标准坦克设计!$B$24:$U$30,MATCH("对"&amp;LEFT($C$5,2)&amp;"输出",标准坦克设计!$B$23:$U$23,0)))*(VLOOKUP($B124,INDIRECT($B$5&amp;"生成成长"),3))*(VLOOKUP($B$5,标准坦克设计!$B$14:$K$20,9)/30))</f>
        <v>10.933334974266822</v>
      </c>
      <c r="BM124" s="173">
        <f ca="1">(VLOOKUP(BM$72,INDIRECT($C$5&amp;"生成成长"),2))/((VLOOKUP($B124,INDIRECT($B$5&amp;"生成成长"),4))/(VLOOKUP(BM$72,INDIRECT($C$5&amp;"生成成长"),5))*(VLOOKUP($B$5,标准坦克设计!$B$24:$U$30,MATCH("对"&amp;LEFT($C$5,2)&amp;"输出",标准坦克设计!$B$23:$U$23,0)))*(VLOOKUP($B124,INDIRECT($B$5&amp;"生成成长"),3))*(VLOOKUP($B$5,标准坦克设计!$B$14:$K$20,9)/30))</f>
        <v>12.04138972334947</v>
      </c>
      <c r="BN124" s="173">
        <f ca="1">(VLOOKUP(BN$72,INDIRECT($C$5&amp;"生成成长"),2))/((VLOOKUP($B124,INDIRECT($B$5&amp;"生成成长"),4))/(VLOOKUP(BN$72,INDIRECT($C$5&amp;"生成成长"),5))*(VLOOKUP($B$5,标准坦克设计!$B$24:$U$30,MATCH("对"&amp;LEFT($C$5,2)&amp;"输出",标准坦克设计!$B$23:$U$23,0)))*(VLOOKUP($B124,INDIRECT($B$5&amp;"生成成长"),3))*(VLOOKUP($B$5,标准坦克设计!$B$14:$K$20,9)/30))</f>
        <v>13.202916283379812</v>
      </c>
      <c r="BO124" s="173">
        <f ca="1">(VLOOKUP(BO$72,INDIRECT($C$5&amp;"生成成长"),2))/((VLOOKUP($B124,INDIRECT($B$5&amp;"生成成长"),4))/(VLOOKUP(BO$72,INDIRECT($C$5&amp;"生成成长"),5))*(VLOOKUP($B$5,标准坦克设计!$B$24:$U$30,MATCH("对"&amp;LEFT($C$5,2)&amp;"输出",标准坦克设计!$B$23:$U$23,0)))*(VLOOKUP($B124,INDIRECT($B$5&amp;"生成成长"),3))*(VLOOKUP($B$5,标准坦克设计!$B$14:$K$20,9)/30))</f>
        <v>14.417914654357839</v>
      </c>
      <c r="BP124" s="173">
        <f ca="1">(VLOOKUP(BP$72,INDIRECT($C$5&amp;"生成成长"),2))/((VLOOKUP($B124,INDIRECT($B$5&amp;"生成成长"),4))/(VLOOKUP(BP$72,INDIRECT($C$5&amp;"生成成长"),5))*(VLOOKUP($B$5,标准坦克设计!$B$24:$U$30,MATCH("对"&amp;LEFT($C$5,2)&amp;"输出",标准坦克设计!$B$23:$U$23,0)))*(VLOOKUP($B124,INDIRECT($B$5&amp;"生成成长"),3))*(VLOOKUP($B$5,标准坦克设计!$B$14:$K$20,9)/30))</f>
        <v>15.686384836283553</v>
      </c>
      <c r="BQ124" s="173">
        <f ca="1">(VLOOKUP(BQ$72,INDIRECT($C$5&amp;"生成成长"),2))/((VLOOKUP($B124,INDIRECT($B$5&amp;"生成成长"),4))/(VLOOKUP(BQ$72,INDIRECT($C$5&amp;"生成成长"),5))*(VLOOKUP($B$5,标准坦克设计!$B$24:$U$30,MATCH("对"&amp;LEFT($C$5,2)&amp;"输出",标准坦克设计!$B$23:$U$23,0)))*(VLOOKUP($B124,INDIRECT($B$5&amp;"生成成长"),3))*(VLOOKUP($B$5,标准坦克设计!$B$14:$K$20,9)/30))</f>
        <v>17.008326829156957</v>
      </c>
      <c r="BR124" s="173">
        <f ca="1">(VLOOKUP(BR$72,INDIRECT($C$5&amp;"生成成长"),2))/((VLOOKUP($B124,INDIRECT($B$5&amp;"生成成长"),4))/(VLOOKUP(BR$72,INDIRECT($C$5&amp;"生成成长"),5))*(VLOOKUP($B$5,标准坦克设计!$B$24:$U$30,MATCH("对"&amp;LEFT($C$5,2)&amp;"输出",标准坦克设计!$B$23:$U$23,0)))*(VLOOKUP($B124,INDIRECT($B$5&amp;"生成成长"),3))*(VLOOKUP($B$5,标准坦克设计!$B$14:$K$20,9)/30))</f>
        <v>18.539865118029013</v>
      </c>
      <c r="BS124" s="173">
        <f ca="1">(VLOOKUP(BS$72,INDIRECT($C$5&amp;"生成成长"),2))/((VLOOKUP($B124,INDIRECT($B$5&amp;"生成成长"),4))/(VLOOKUP(BS$72,INDIRECT($C$5&amp;"生成成长"),5))*(VLOOKUP($B$5,标准坦克设计!$B$24:$U$30,MATCH("对"&amp;LEFT($C$5,2)&amp;"输出",标准坦克设计!$B$23:$U$23,0)))*(VLOOKUP($B124,INDIRECT($B$5&amp;"生成成长"),3))*(VLOOKUP($B$5,标准坦克设计!$B$14:$K$20,9)/30))</f>
        <v>20.137417988317971</v>
      </c>
      <c r="BT124" s="173">
        <f ca="1">(VLOOKUP(BT$72,INDIRECT($C$5&amp;"生成成长"),2))/((VLOOKUP($B124,INDIRECT($B$5&amp;"生成成长"),4))/(VLOOKUP(BT$72,INDIRECT($C$5&amp;"生成成长"),5))*(VLOOKUP($B$5,标准坦克设计!$B$24:$U$30,MATCH("对"&amp;LEFT($C$5,2)&amp;"输出",标准坦克设计!$B$23:$U$23,0)))*(VLOOKUP($B124,INDIRECT($B$5&amp;"生成成长"),3))*(VLOOKUP($B$5,标准坦克设计!$B$14:$K$20,9)/30))</f>
        <v>21.800985440023826</v>
      </c>
      <c r="BU124" s="173">
        <f ca="1">(VLOOKUP(BU$72,INDIRECT($C$5&amp;"生成成长"),2))/((VLOOKUP($B124,INDIRECT($B$5&amp;"生成成长"),4))/(VLOOKUP(BU$72,INDIRECT($C$5&amp;"生成成长"),5))*(VLOOKUP($B$5,标准坦克设计!$B$24:$U$30,MATCH("对"&amp;LEFT($C$5,2)&amp;"输出",标准坦克设计!$B$23:$U$23,0)))*(VLOOKUP($B124,INDIRECT($B$5&amp;"生成成长"),3))*(VLOOKUP($B$5,标准坦克设计!$B$14:$K$20,9)/30))</f>
        <v>23.530567473146583</v>
      </c>
      <c r="BV124" s="173">
        <f ca="1">(VLOOKUP(BV$72,INDIRECT($C$5&amp;"生成成长"),2))/((VLOOKUP($B124,INDIRECT($B$5&amp;"生成成长"),4))/(VLOOKUP(BV$72,INDIRECT($C$5&amp;"生成成长"),5))*(VLOOKUP($B$5,标准坦克设计!$B$24:$U$30,MATCH("对"&amp;LEFT($C$5,2)&amp;"输出",标准坦克设计!$B$23:$U$23,0)))*(VLOOKUP($B124,INDIRECT($B$5&amp;"生成成长"),3))*(VLOOKUP($B$5,标准坦克设计!$B$14:$K$20,9)/30))</f>
        <v>25.326164087686237</v>
      </c>
      <c r="BW124" s="173">
        <f ca="1">(VLOOKUP(BW$72,INDIRECT($C$5&amp;"生成成长"),2))/((VLOOKUP($B124,INDIRECT($B$5&amp;"生成成长"),4))/(VLOOKUP(BW$72,INDIRECT($C$5&amp;"生成成长"),5))*(VLOOKUP($B$5,标准坦克设计!$B$24:$U$30,MATCH("对"&amp;LEFT($C$5,2)&amp;"输出",标准坦克设计!$B$23:$U$23,0)))*(VLOOKUP($B124,INDIRECT($B$5&amp;"生成成长"),3))*(VLOOKUP($B$5,标准坦克设计!$B$14:$K$20,9)/30))</f>
        <v>11.542319487837714</v>
      </c>
      <c r="BX124" s="173">
        <f ca="1">(VLOOKUP(BX$72,INDIRECT($C$5&amp;"生成成长"),2))/((VLOOKUP($B124,INDIRECT($B$5&amp;"生成成长"),4))/(VLOOKUP(BX$72,INDIRECT($C$5&amp;"生成成长"),5))*(VLOOKUP($B$5,标准坦克设计!$B$24:$U$30,MATCH("对"&amp;LEFT($C$5,2)&amp;"输出",标准坦克设计!$B$23:$U$23,0)))*(VLOOKUP($B124,INDIRECT($B$5&amp;"生成成长"),3))*(VLOOKUP($B$5,标准坦克设计!$B$14:$K$20,9)/30))</f>
        <v>12.809799451042176</v>
      </c>
      <c r="BY124" s="173">
        <f ca="1">(VLOOKUP(BY$72,INDIRECT($C$5&amp;"生成成长"),2))/((VLOOKUP($B124,INDIRECT($B$5&amp;"生成成长"),4))/(VLOOKUP(BY$72,INDIRECT($C$5&amp;"生成成长"),5))*(VLOOKUP($B$5,标准坦克设计!$B$24:$U$30,MATCH("对"&amp;LEFT($C$5,2)&amp;"输出",标准坦克设计!$B$23:$U$23,0)))*(VLOOKUP($B124,INDIRECT($B$5&amp;"生成成长"),3))*(VLOOKUP($B$5,标准坦克设计!$B$14:$K$20,9)/30))</f>
        <v>14.143293995663537</v>
      </c>
      <c r="BZ124" s="173">
        <f ca="1">(VLOOKUP(BZ$72,INDIRECT($C$5&amp;"生成成长"),2))/((VLOOKUP($B124,INDIRECT($B$5&amp;"生成成长"),4))/(VLOOKUP(BZ$72,INDIRECT($C$5&amp;"生成成长"),5))*(VLOOKUP($B$5,标准坦克设计!$B$24:$U$30,MATCH("对"&amp;LEFT($C$5,2)&amp;"输出",标准坦克设计!$B$23:$U$23,0)))*(VLOOKUP($B124,INDIRECT($B$5&amp;"生成成长"),3))*(VLOOKUP($B$5,标准坦克设计!$B$14:$K$20,9)/30))</f>
        <v>15.542803121701796</v>
      </c>
      <c r="CA124" s="173">
        <f ca="1">(VLOOKUP(CA$72,INDIRECT($C$5&amp;"生成成长"),2))/((VLOOKUP($B124,INDIRECT($B$5&amp;"生成成长"),4))/(VLOOKUP(CA$72,INDIRECT($C$5&amp;"生成成长"),5))*(VLOOKUP($B$5,标准坦克设计!$B$24:$U$30,MATCH("对"&amp;LEFT($C$5,2)&amp;"输出",标准坦克设计!$B$23:$U$23,0)))*(VLOOKUP($B124,INDIRECT($B$5&amp;"生成成长"),3))*(VLOOKUP($B$5,标准坦克设计!$B$14:$K$20,9)/30))</f>
        <v>17.008326829156957</v>
      </c>
      <c r="CB124" s="173">
        <f ca="1">(VLOOKUP(CB$72,INDIRECT($C$5&amp;"生成成长"),2))/((VLOOKUP($B124,INDIRECT($B$5&amp;"生成成长"),4))/(VLOOKUP(CB$72,INDIRECT($C$5&amp;"生成成长"),5))*(VLOOKUP($B$5,标准坦克设计!$B$24:$U$30,MATCH("对"&amp;LEFT($C$5,2)&amp;"输出",标准坦克设计!$B$23:$U$23,0)))*(VLOOKUP($B124,INDIRECT($B$5&amp;"生成成长"),3))*(VLOOKUP($B$5,标准坦克设计!$B$14:$K$20,9)/30))</f>
        <v>18.539865118029013</v>
      </c>
      <c r="CC124" s="173">
        <f ca="1">(VLOOKUP(CC$72,INDIRECT($C$5&amp;"生成成长"),2))/((VLOOKUP($B124,INDIRECT($B$5&amp;"生成成长"),4))/(VLOOKUP(CC$72,INDIRECT($C$5&amp;"生成成长"),5))*(VLOOKUP($B$5,标准坦克设计!$B$24:$U$30,MATCH("对"&amp;LEFT($C$5,2)&amp;"输出",标准坦克设计!$B$23:$U$23,0)))*(VLOOKUP($B124,INDIRECT($B$5&amp;"生成成长"),3))*(VLOOKUP($B$5,标准坦克设计!$B$14:$K$20,9)/30))</f>
        <v>20.137417988317971</v>
      </c>
      <c r="CD124" s="173">
        <f ca="1">(VLOOKUP(CD$72,INDIRECT($C$5&amp;"生成成长"),2))/((VLOOKUP($B124,INDIRECT($B$5&amp;"生成成长"),4))/(VLOOKUP(CD$72,INDIRECT($C$5&amp;"生成成长"),5))*(VLOOKUP($B$5,标准坦克设计!$B$24:$U$30,MATCH("对"&amp;LEFT($C$5,2)&amp;"输出",标准坦克设计!$B$23:$U$23,0)))*(VLOOKUP($B124,INDIRECT($B$5&amp;"生成成长"),3))*(VLOOKUP($B$5,标准坦克设计!$B$14:$K$20,9)/30))</f>
        <v>21.800985440023826</v>
      </c>
      <c r="CE124" s="173">
        <f ca="1">(VLOOKUP(CE$72,INDIRECT($C$5&amp;"生成成长"),2))/((VLOOKUP($B124,INDIRECT($B$5&amp;"生成成长"),4))/(VLOOKUP(CE$72,INDIRECT($C$5&amp;"生成成长"),5))*(VLOOKUP($B$5,标准坦克设计!$B$24:$U$30,MATCH("对"&amp;LEFT($C$5,2)&amp;"输出",标准坦克设计!$B$23:$U$23,0)))*(VLOOKUP($B124,INDIRECT($B$5&amp;"生成成长"),3))*(VLOOKUP($B$5,标准坦克设计!$B$14:$K$20,9)/30))</f>
        <v>23.530567473146583</v>
      </c>
      <c r="CF124" s="173">
        <f ca="1">(VLOOKUP(CF$72,INDIRECT($C$5&amp;"生成成长"),2))/((VLOOKUP($B124,INDIRECT($B$5&amp;"生成成长"),4))/(VLOOKUP(CF$72,INDIRECT($C$5&amp;"生成成长"),5))*(VLOOKUP($B$5,标准坦克设计!$B$24:$U$30,MATCH("对"&amp;LEFT($C$5,2)&amp;"输出",标准坦克设计!$B$23:$U$23,0)))*(VLOOKUP($B124,INDIRECT($B$5&amp;"生成成长"),3))*(VLOOKUP($B$5,标准坦克设计!$B$14:$K$20,9)/30))</f>
        <v>25.326164087686237</v>
      </c>
      <c r="CG124" s="173">
        <f ca="1">(VLOOKUP(CG$72,INDIRECT($C$5&amp;"生成成长"),2))/((VLOOKUP($B124,INDIRECT($B$5&amp;"生成成长"),4))/(VLOOKUP(CG$72,INDIRECT($C$5&amp;"生成成长"),5))*(VLOOKUP($B$5,标准坦克设计!$B$24:$U$30,MATCH("对"&amp;LEFT($C$5,2)&amp;"输出",标准坦克设计!$B$23:$U$23,0)))*(VLOOKUP($B124,INDIRECT($B$5&amp;"生成成长"),3))*(VLOOKUP($B$5,标准坦克设计!$B$14:$K$20,9)/30))</f>
        <v>27.18777528364279</v>
      </c>
      <c r="CH124" s="173">
        <f ca="1">(VLOOKUP(CH$72,INDIRECT($C$5&amp;"生成成长"),2))/((VLOOKUP($B124,INDIRECT($B$5&amp;"生成成长"),4))/(VLOOKUP(CH$72,INDIRECT($C$5&amp;"生成成长"),5))*(VLOOKUP($B$5,标准坦克设计!$B$24:$U$30,MATCH("对"&amp;LEFT($C$5,2)&amp;"输出",标准坦克设计!$B$23:$U$23,0)))*(VLOOKUP($B124,INDIRECT($B$5&amp;"生成成长"),3))*(VLOOKUP($B$5,标准坦克设计!$B$14:$K$20,9)/30))</f>
        <v>29.115401061016239</v>
      </c>
      <c r="CI124" s="173">
        <f ca="1">(VLOOKUP(CI$72,INDIRECT($C$5&amp;"生成成长"),2))/((VLOOKUP($B124,INDIRECT($B$5&amp;"生成成长"),4))/(VLOOKUP(CI$72,INDIRECT($C$5&amp;"生成成长"),5))*(VLOOKUP($B$5,标准坦克设计!$B$24:$U$30,MATCH("对"&amp;LEFT($C$5,2)&amp;"输出",标准坦克设计!$B$23:$U$23,0)))*(VLOOKUP($B124,INDIRECT($B$5&amp;"生成成长"),3))*(VLOOKUP($B$5,标准坦克设计!$B$14:$K$20,9)/30))</f>
        <v>31.312036257663557</v>
      </c>
      <c r="CJ124" s="173">
        <f ca="1">(VLOOKUP(CJ$72,INDIRECT($C$5&amp;"生成成长"),2))/((VLOOKUP($B124,INDIRECT($B$5&amp;"生成成长"),4))/(VLOOKUP(CJ$72,INDIRECT($C$5&amp;"生成成长"),5))*(VLOOKUP($B$5,标准坦克设计!$B$24:$U$30,MATCH("对"&amp;LEFT($C$5,2)&amp;"输出",标准坦克设计!$B$23:$U$23,0)))*(VLOOKUP($B124,INDIRECT($B$5&amp;"生成成长"),3))*(VLOOKUP($B$5,标准坦克设计!$B$14:$K$20,9)/30))</f>
        <v>33.588549097825322</v>
      </c>
      <c r="CK124" s="173">
        <f ca="1">(VLOOKUP(CK$72,INDIRECT($C$5&amp;"生成成长"),2))/((VLOOKUP($B124,INDIRECT($B$5&amp;"生成成长"),4))/(VLOOKUP(CK$72,INDIRECT($C$5&amp;"生成成长"),5))*(VLOOKUP($B$5,标准坦克设计!$B$24:$U$30,MATCH("对"&amp;LEFT($C$5,2)&amp;"输出",标准坦克设计!$B$23:$U$23,0)))*(VLOOKUP($B124,INDIRECT($B$5&amp;"生成成长"),3))*(VLOOKUP($B$5,标准坦克设计!$B$14:$K$20,9)/30))</f>
        <v>35.944939581501529</v>
      </c>
      <c r="CL124" s="173">
        <f ca="1">(VLOOKUP(CL$72,INDIRECT($C$5&amp;"生成成长"),2))/((VLOOKUP($B124,INDIRECT($B$5&amp;"生成成长"),4))/(VLOOKUP(CL$72,INDIRECT($C$5&amp;"生成成长"),5))*(VLOOKUP($B$5,标准坦克设计!$B$24:$U$30,MATCH("对"&amp;LEFT($C$5,2)&amp;"输出",标准坦克设计!$B$23:$U$23,0)))*(VLOOKUP($B124,INDIRECT($B$5&amp;"生成成长"),3))*(VLOOKUP($B$5,标准坦克设计!$B$14:$K$20,9)/30))</f>
        <v>38.381207708692187</v>
      </c>
      <c r="CM124" s="173">
        <f ca="1">(VLOOKUP(CM$72,INDIRECT($C$5&amp;"生成成长"),2))/((VLOOKUP($B124,INDIRECT($B$5&amp;"生成成长"),4))/(VLOOKUP(CM$72,INDIRECT($C$5&amp;"生成成长"),5))*(VLOOKUP($B$5,标准坦克设计!$B$24:$U$30,MATCH("对"&amp;LEFT($C$5,2)&amp;"输出",标准坦克设计!$B$23:$U$23,0)))*(VLOOKUP($B124,INDIRECT($B$5&amp;"生成成长"),3))*(VLOOKUP($B$5,标准坦克设计!$B$14:$K$20,9)/30))</f>
        <v>40.897353479397289</v>
      </c>
      <c r="CN124" s="173">
        <f ca="1">(VLOOKUP(CN$72,INDIRECT($C$5&amp;"生成成长"),2))/((VLOOKUP($B124,INDIRECT($B$5&amp;"生成成长"),4))/(VLOOKUP(CN$72,INDIRECT($C$5&amp;"生成成长"),5))*(VLOOKUP($B$5,标准坦克设计!$B$24:$U$30,MATCH("对"&amp;LEFT($C$5,2)&amp;"输出",标准坦克设计!$B$23:$U$23,0)))*(VLOOKUP($B124,INDIRECT($B$5&amp;"生成成长"),3))*(VLOOKUP($B$5,标准坦克设计!$B$14:$K$20,9)/30))</f>
        <v>43.493376893616855</v>
      </c>
      <c r="CO124" s="173">
        <f ca="1">(VLOOKUP(CO$72,INDIRECT($C$5&amp;"生成成长"),2))/((VLOOKUP($B124,INDIRECT($B$5&amp;"生成成长"),4))/(VLOOKUP(CO$72,INDIRECT($C$5&amp;"生成成长"),5))*(VLOOKUP($B$5,标准坦克设计!$B$24:$U$30,MATCH("对"&amp;LEFT($C$5,2)&amp;"输出",标准坦克设计!$B$23:$U$23,0)))*(VLOOKUP($B124,INDIRECT($B$5&amp;"生成成长"),3))*(VLOOKUP($B$5,标准坦克设计!$B$14:$K$20,9)/30))</f>
        <v>19.490475090432362</v>
      </c>
      <c r="CP124" s="173">
        <f ca="1">(VLOOKUP(CP$72,INDIRECT($C$5&amp;"生成成长"),2))/((VLOOKUP($B124,INDIRECT($B$5&amp;"生成成长"),4))/(VLOOKUP(CP$72,INDIRECT($C$5&amp;"生成成长"),5))*(VLOOKUP($B$5,标准坦克设计!$B$24:$U$30,MATCH("对"&amp;LEFT($C$5,2)&amp;"输出",标准坦克设计!$B$23:$U$23,0)))*(VLOOKUP($B124,INDIRECT($B$5&amp;"生成成长"),3))*(VLOOKUP($B$5,标准坦克设计!$B$14:$K$20,9)/30))</f>
        <v>21.2949836734633</v>
      </c>
      <c r="CQ124" s="173">
        <f ca="1">(VLOOKUP(CQ$72,INDIRECT($C$5&amp;"生成成长"),2))/((VLOOKUP($B124,INDIRECT($B$5&amp;"生成成长"),4))/(VLOOKUP(CQ$72,INDIRECT($C$5&amp;"生成成长"),5))*(VLOOKUP($B$5,标准坦克设计!$B$24:$U$30,MATCH("对"&amp;LEFT($C$5,2)&amp;"输出",标准坦克设计!$B$23:$U$23,0)))*(VLOOKUP($B124,INDIRECT($B$5&amp;"生成成长"),3))*(VLOOKUP($B$5,标准坦克设计!$B$14:$K$20,9)/30))</f>
        <v>23.17936990000868</v>
      </c>
      <c r="CR124" s="173">
        <f ca="1">(VLOOKUP(CR$72,INDIRECT($C$5&amp;"生成成长"),2))/((VLOOKUP($B124,INDIRECT($B$5&amp;"生成成长"),4))/(VLOOKUP(CR$72,INDIRECT($C$5&amp;"生成成长"),5))*(VLOOKUP($B$5,标准坦克设计!$B$24:$U$30,MATCH("对"&amp;LEFT($C$5,2)&amp;"输出",标准坦克设计!$B$23:$U$23,0)))*(VLOOKUP($B124,INDIRECT($B$5&amp;"生成成长"),3))*(VLOOKUP($B$5,标准坦克设计!$B$14:$K$20,9)/30))</f>
        <v>25.143633770068515</v>
      </c>
      <c r="CS124" s="173">
        <f ca="1">(VLOOKUP(CS$72,INDIRECT($C$5&amp;"生成成长"),2))/((VLOOKUP($B124,INDIRECT($B$5&amp;"生成成长"),4))/(VLOOKUP(CS$72,INDIRECT($C$5&amp;"生成成长"),5))*(VLOOKUP($B$5,标准坦克设计!$B$24:$U$30,MATCH("对"&amp;LEFT($C$5,2)&amp;"输出",标准坦克设计!$B$23:$U$23,0)))*(VLOOKUP($B124,INDIRECT($B$5&amp;"生成成长"),3))*(VLOOKUP($B$5,标准坦克设计!$B$14:$K$20,9)/30))</f>
        <v>27.18777528364279</v>
      </c>
      <c r="CT124" s="173">
        <f ca="1">(VLOOKUP(CT$72,INDIRECT($C$5&amp;"生成成长"),2))/((VLOOKUP($B124,INDIRECT($B$5&amp;"生成成长"),4))/(VLOOKUP(CT$72,INDIRECT($C$5&amp;"生成成长"),5))*(VLOOKUP($B$5,标准坦克设计!$B$24:$U$30,MATCH("对"&amp;LEFT($C$5,2)&amp;"输出",标准坦克设计!$B$23:$U$23,0)))*(VLOOKUP($B124,INDIRECT($B$5&amp;"生成成长"),3))*(VLOOKUP($B$5,标准坦克设计!$B$14:$K$20,9)/30))</f>
        <v>29.311794440731518</v>
      </c>
      <c r="CU124" s="173">
        <f ca="1">(VLOOKUP(CU$72,INDIRECT($C$5&amp;"生成成长"),2))/((VLOOKUP($B124,INDIRECT($B$5&amp;"生成成长"),4))/(VLOOKUP(CU$72,INDIRECT($C$5&amp;"生成成长"),5))*(VLOOKUP($B$5,标准坦克设计!$B$24:$U$30,MATCH("对"&amp;LEFT($C$5,2)&amp;"输出",标准坦克设计!$B$23:$U$23,0)))*(VLOOKUP($B124,INDIRECT($B$5&amp;"生成成长"),3))*(VLOOKUP($B$5,标准坦克设计!$B$14:$K$20,9)/30))</f>
        <v>31.515691241334689</v>
      </c>
      <c r="CV124" s="173">
        <f ca="1">(VLOOKUP(CV$72,INDIRECT($C$5&amp;"生成成长"),2))/((VLOOKUP($B124,INDIRECT($B$5&amp;"生成成长"),4))/(VLOOKUP(CV$72,INDIRECT($C$5&amp;"生成成长"),5))*(VLOOKUP($B$5,标准坦克设计!$B$24:$U$30,MATCH("对"&amp;LEFT($C$5,2)&amp;"输出",标准坦克设计!$B$23:$U$23,0)))*(VLOOKUP($B124,INDIRECT($B$5&amp;"生成成长"),3))*(VLOOKUP($B$5,标准坦克设计!$B$14:$K$20,9)/30))</f>
        <v>33.799465685452311</v>
      </c>
      <c r="CW124" s="173">
        <f ca="1">(VLOOKUP(CW$72,INDIRECT($C$5&amp;"生成成长"),2))/((VLOOKUP($B124,INDIRECT($B$5&amp;"生成成长"),4))/(VLOOKUP(CW$72,INDIRECT($C$5&amp;"生成成长"),5))*(VLOOKUP($B$5,标准坦克设计!$B$24:$U$30,MATCH("对"&amp;LEFT($C$5,2)&amp;"输出",标准坦克设计!$B$23:$U$23,0)))*(VLOOKUP($B124,INDIRECT($B$5&amp;"生成成长"),3))*(VLOOKUP($B$5,标准坦克设计!$B$14:$K$20,9)/30))</f>
        <v>36.163117773084387</v>
      </c>
      <c r="CX124" s="173">
        <f ca="1">(VLOOKUP(CX$72,INDIRECT($C$5&amp;"生成成长"),2))/((VLOOKUP($B124,INDIRECT($B$5&amp;"生成成长"),4))/(VLOOKUP(CX$72,INDIRECT($C$5&amp;"生成成长"),5))*(VLOOKUP($B$5,标准坦克设计!$B$24:$U$30,MATCH("对"&amp;LEFT($C$5,2)&amp;"输出",标准坦克设计!$B$23:$U$23,0)))*(VLOOKUP($B124,INDIRECT($B$5&amp;"生成成长"),3))*(VLOOKUP($B$5,标准坦克设计!$B$14:$K$20,9)/30))</f>
        <v>38.606647504230907</v>
      </c>
      <c r="CY124" s="173">
        <f ca="1">(VLOOKUP(CY$72,INDIRECT($C$5&amp;"生成成长"),2))/((VLOOKUP($B124,INDIRECT($B$5&amp;"生成成长"),4))/(VLOOKUP(CY$72,INDIRECT($C$5&amp;"生成成长"),5))*(VLOOKUP($B$5,标准坦克设计!$B$24:$U$30,MATCH("对"&amp;LEFT($C$5,2)&amp;"输出",标准坦克设计!$B$23:$U$23,0)))*(VLOOKUP($B124,INDIRECT($B$5&amp;"生成成长"),3))*(VLOOKUP($B$5,标准坦克设计!$B$14:$K$20,9)/30))</f>
        <v>41.130054878891876</v>
      </c>
      <c r="CZ124" s="173">
        <f ca="1">(VLOOKUP(CZ$72,INDIRECT($C$5&amp;"生成成长"),2))/((VLOOKUP($B124,INDIRECT($B$5&amp;"生成成长"),4))/(VLOOKUP(CZ$72,INDIRECT($C$5&amp;"生成成长"),5))*(VLOOKUP($B$5,标准坦克设计!$B$24:$U$30,MATCH("对"&amp;LEFT($C$5,2)&amp;"输出",标准坦克设计!$B$23:$U$23,0)))*(VLOOKUP($B124,INDIRECT($B$5&amp;"生成成长"),3))*(VLOOKUP($B$5,标准坦克设计!$B$14:$K$20,9)/30))</f>
        <v>43.733339897067289</v>
      </c>
      <c r="DA124" s="173">
        <f ca="1">(VLOOKUP(DA$72,INDIRECT($C$5&amp;"生成成长"),2))/((VLOOKUP($B124,INDIRECT($B$5&amp;"生成成长"),4))/(VLOOKUP(DA$72,INDIRECT($C$5&amp;"生成成长"),5))*(VLOOKUP($B$5,标准坦克设计!$B$24:$U$30,MATCH("对"&amp;LEFT($C$5,2)&amp;"输出",标准坦克设计!$B$23:$U$23,0)))*(VLOOKUP($B124,INDIRECT($B$5&amp;"生成成长"),3))*(VLOOKUP($B$5,标准坦克设计!$B$14:$K$20,9)/30))</f>
        <v>46.416502558757145</v>
      </c>
      <c r="DB124" s="173">
        <f ca="1">(VLOOKUP(DB$72,INDIRECT($C$5&amp;"生成成长"),2))/((VLOOKUP($B124,INDIRECT($B$5&amp;"生成成长"),4))/(VLOOKUP(DB$72,INDIRECT($C$5&amp;"生成成长"),5))*(VLOOKUP($B$5,标准坦克设计!$B$24:$U$30,MATCH("对"&amp;LEFT($C$5,2)&amp;"输出",标准坦克设计!$B$23:$U$23,0)))*(VLOOKUP($B124,INDIRECT($B$5&amp;"生成成长"),3))*(VLOOKUP($B$5,标准坦克设计!$B$14:$K$20,9)/30))</f>
        <v>49.179542863961473</v>
      </c>
      <c r="DC124" s="173">
        <f ca="1">(VLOOKUP(DC$72,INDIRECT($C$5&amp;"生成成长"),2))/((VLOOKUP($B124,INDIRECT($B$5&amp;"生成成长"),4))/(VLOOKUP(DC$72,INDIRECT($C$5&amp;"生成成长"),5))*(VLOOKUP($B$5,标准坦克设计!$B$24:$U$30,MATCH("对"&amp;LEFT($C$5,2)&amp;"输出",标准坦克设计!$B$23:$U$23,0)))*(VLOOKUP($B124,INDIRECT($B$5&amp;"生成成长"),3))*(VLOOKUP($B$5,标准坦克设计!$B$14:$K$20,9)/30))</f>
        <v>52.284868773812391</v>
      </c>
      <c r="DD124" s="173">
        <f ca="1">(VLOOKUP(DD$72,INDIRECT($C$5&amp;"生成成长"),2))/((VLOOKUP($B124,INDIRECT($B$5&amp;"生成成长"),4))/(VLOOKUP(DD$72,INDIRECT($C$5&amp;"生成成长"),5))*(VLOOKUP($B$5,标准坦克设计!$B$24:$U$30,MATCH("对"&amp;LEFT($C$5,2)&amp;"输出",标准坦克设计!$B$23:$U$23,0)))*(VLOOKUP($B124,INDIRECT($B$5&amp;"生成成长"),3))*(VLOOKUP($B$5,标准坦克设计!$B$14:$K$20,9)/30))</f>
        <v>55.485255680903656</v>
      </c>
      <c r="DE124" s="173">
        <f ca="1">(VLOOKUP(DE$72,INDIRECT($C$5&amp;"生成成长"),2))/((VLOOKUP($B124,INDIRECT($B$5&amp;"生成成长"),4))/(VLOOKUP(DE$72,INDIRECT($C$5&amp;"生成成长"),5))*(VLOOKUP($B$5,标准坦克设计!$B$24:$U$30,MATCH("对"&amp;LEFT($C$5,2)&amp;"输出",标准坦克设计!$B$23:$U$23,0)))*(VLOOKUP($B124,INDIRECT($B$5&amp;"生成成长"),3))*(VLOOKUP($B$5,标准坦克设计!$B$14:$K$20,9)/30))</f>
        <v>58.780703585235251</v>
      </c>
      <c r="DF124" s="173">
        <f ca="1">(VLOOKUP(DF$72,INDIRECT($C$5&amp;"生成成长"),2))/((VLOOKUP($B124,INDIRECT($B$5&amp;"生成成长"),4))/(VLOOKUP(DF$72,INDIRECT($C$5&amp;"生成成长"),5))*(VLOOKUP($B$5,标准坦克设计!$B$24:$U$30,MATCH("对"&amp;LEFT($C$5,2)&amp;"输出",标准坦克设计!$B$23:$U$23,0)))*(VLOOKUP($B124,INDIRECT($B$5&amp;"生成成长"),3))*(VLOOKUP($B$5,标准坦克设计!$B$14:$K$20,9)/30))</f>
        <v>62.171212486807185</v>
      </c>
      <c r="DG124" s="173">
        <f ca="1">(VLOOKUP(DG$72,INDIRECT($C$5&amp;"生成成长"),2))/((VLOOKUP($B124,INDIRECT($B$5&amp;"生成成长"),4))/(VLOOKUP(DG$72,INDIRECT($C$5&amp;"生成成长"),5))*(VLOOKUP($B$5,标准坦克设计!$B$24:$U$30,MATCH("对"&amp;LEFT($C$5,2)&amp;"输出",标准坦克设计!$B$23:$U$23,0)))*(VLOOKUP($B124,INDIRECT($B$5&amp;"生成成长"),3))*(VLOOKUP($B$5,标准坦克设计!$B$14:$K$20,9)/30))</f>
        <v>65.656782385619451</v>
      </c>
      <c r="DH124" s="173">
        <f ca="1">(VLOOKUP(DH$72,INDIRECT($C$5&amp;"生成成长"),2))/((VLOOKUP($B124,INDIRECT($B$5&amp;"生成成长"),4))/(VLOOKUP(DH$72,INDIRECT($C$5&amp;"生成成长"),5))*(VLOOKUP($B$5,标准坦克设计!$B$24:$U$30,MATCH("对"&amp;LEFT($C$5,2)&amp;"输出",标准坦克设计!$B$23:$U$23,0)))*(VLOOKUP($B124,INDIRECT($B$5&amp;"生成成长"),3))*(VLOOKUP($B$5,标准坦克设计!$B$14:$K$20,9)/30))</f>
        <v>69.237413281672062</v>
      </c>
      <c r="DI124" s="173">
        <f ca="1">(VLOOKUP(DI$72,INDIRECT($C$5&amp;"生成成长"),2))/((VLOOKUP($B124,INDIRECT($B$5&amp;"生成成长"),4))/(VLOOKUP(DI$72,INDIRECT($C$5&amp;"生成成长"),5))*(VLOOKUP($B$5,标准坦克设计!$B$24:$U$30,MATCH("对"&amp;LEFT($C$5,2)&amp;"输出",标准坦克设计!$B$23:$U$23,0)))*(VLOOKUP($B124,INDIRECT($B$5&amp;"生成成长"),3))*(VLOOKUP($B$5,标准坦克设计!$B$14:$K$20,9)/30))</f>
        <v>72.913105174964997</v>
      </c>
      <c r="DJ124" s="173">
        <f ca="1">(VLOOKUP(DJ$72,INDIRECT($C$5&amp;"生成成长"),2))/((VLOOKUP($B124,INDIRECT($B$5&amp;"生成成长"),4))/(VLOOKUP(DJ$72,INDIRECT($C$5&amp;"生成成长"),5))*(VLOOKUP($B$5,标准坦克设计!$B$24:$U$30,MATCH("对"&amp;LEFT($C$5,2)&amp;"输出",标准坦克设计!$B$23:$U$23,0)))*(VLOOKUP($B124,INDIRECT($B$5&amp;"生成成长"),3))*(VLOOKUP($B$5,标准坦克设计!$B$14:$K$20,9)/30))</f>
        <v>7.3279486101828795</v>
      </c>
      <c r="DK124" s="173">
        <f ca="1">(VLOOKUP(DK$72,INDIRECT($C$5&amp;"生成成长"),2))/((VLOOKUP($B124,INDIRECT($B$5&amp;"生成成长"),4))/(VLOOKUP(DK$72,INDIRECT($C$5&amp;"生成成长"),5))*(VLOOKUP($B$5,标准坦克设计!$B$24:$U$30,MATCH("对"&amp;LEFT($C$5,2)&amp;"输出",标准坦克设计!$B$23:$U$23,0)))*(VLOOKUP($B124,INDIRECT($B$5&amp;"生成成长"),3))*(VLOOKUP($B$5,标准坦克设计!$B$14:$K$20,9)/30))</f>
        <v>8.2399400524573387</v>
      </c>
      <c r="DL124" s="173">
        <f ca="1">(VLOOKUP(DL$72,INDIRECT($C$5&amp;"生成成长"),2))/((VLOOKUP($B124,INDIRECT($B$5&amp;"生成成长"),4))/(VLOOKUP(DL$72,INDIRECT($C$5&amp;"生成成长"),5))*(VLOOKUP($B$5,标准坦克设计!$B$24:$U$30,MATCH("对"&amp;LEFT($C$5,2)&amp;"输出",标准坦克设计!$B$23:$U$23,0)))*(VLOOKUP($B124,INDIRECT($B$5&amp;"生成成长"),3))*(VLOOKUP($B$5,标准坦克设计!$B$14:$K$20,9)/30))</f>
        <v>9.2054033056794875</v>
      </c>
      <c r="DM124" s="173">
        <f ca="1">(VLOOKUP(DM$72,INDIRECT($C$5&amp;"生成成长"),2))/((VLOOKUP($B124,INDIRECT($B$5&amp;"生成成长"),4))/(VLOOKUP(DM$72,INDIRECT($C$5&amp;"生成成长"),5))*(VLOOKUP($B$5,标准坦克设计!$B$24:$U$30,MATCH("对"&amp;LEFT($C$5,2)&amp;"输出",标准坦克设计!$B$23:$U$23,0)))*(VLOOKUP($B124,INDIRECT($B$5&amp;"生成成长"),3))*(VLOOKUP($B$5,标准坦克设计!$B$14:$K$20,9)/30))</f>
        <v>10.224338369849322</v>
      </c>
      <c r="DN124" s="173">
        <f ca="1">(VLOOKUP(DN$72,INDIRECT($C$5&amp;"生成成长"),2))/((VLOOKUP($B124,INDIRECT($B$5&amp;"生成成长"),4))/(VLOOKUP(DN$72,INDIRECT($C$5&amp;"生成成长"),5))*(VLOOKUP($B$5,标准坦克设计!$B$24:$U$30,MATCH("对"&amp;LEFT($C$5,2)&amp;"输出",标准坦克设计!$B$23:$U$23,0)))*(VLOOKUP($B124,INDIRECT($B$5&amp;"生成成长"),3))*(VLOOKUP($B$5,标准坦克设计!$B$14:$K$20,9)/30))</f>
        <v>11.29674524496685</v>
      </c>
      <c r="DO124" s="173">
        <f ca="1">(VLOOKUP(DO$72,INDIRECT($C$5&amp;"生成成长"),2))/((VLOOKUP($B124,INDIRECT($B$5&amp;"生成成长"),4))/(VLOOKUP(DO$72,INDIRECT($C$5&amp;"生成成长"),5))*(VLOOKUP($B$5,标准坦克设计!$B$24:$U$30,MATCH("对"&amp;LEFT($C$5,2)&amp;"输出",标准坦克设计!$B$23:$U$23,0)))*(VLOOKUP($B124,INDIRECT($B$5&amp;"生成成长"),3))*(VLOOKUP($B$5,标准坦克设计!$B$14:$K$20,9)/30))</f>
        <v>12.422623931032064</v>
      </c>
      <c r="DP124" s="173">
        <f ca="1">(VLOOKUP(DP$72,INDIRECT($C$5&amp;"生成成长"),2))/((VLOOKUP($B124,INDIRECT($B$5&amp;"生成成长"),4))/(VLOOKUP(DP$72,INDIRECT($C$5&amp;"生成成长"),5))*(VLOOKUP($B$5,标准坦克设计!$B$24:$U$30,MATCH("对"&amp;LEFT($C$5,2)&amp;"输出",标准坦克设计!$B$23:$U$23,0)))*(VLOOKUP($B124,INDIRECT($B$5&amp;"生成成长"),3))*(VLOOKUP($B$5,标准坦克设计!$B$14:$K$20,9)/30))</f>
        <v>13.601974428044965</v>
      </c>
      <c r="DQ124" s="173">
        <f ca="1">(VLOOKUP(DQ$72,INDIRECT($C$5&amp;"生成成长"),2))/((VLOOKUP($B124,INDIRECT($B$5&amp;"生成成长"),4))/(VLOOKUP(DQ$72,INDIRECT($C$5&amp;"生成成长"),5))*(VLOOKUP($B$5,标准坦克设计!$B$24:$U$30,MATCH("对"&amp;LEFT($C$5,2)&amp;"输出",标准坦克设计!$B$23:$U$23,0)))*(VLOOKUP($B124,INDIRECT($B$5&amp;"生成成长"),3))*(VLOOKUP($B$5,标准坦克设计!$B$14:$K$20,9)/30))</f>
        <v>14.834796736005552</v>
      </c>
      <c r="DR124" s="173">
        <f ca="1">(VLOOKUP(DR$72,INDIRECT($C$5&amp;"生成成长"),2))/((VLOOKUP($B124,INDIRECT($B$5&amp;"生成成长"),4))/(VLOOKUP(DR$72,INDIRECT($C$5&amp;"生成成长"),5))*(VLOOKUP($B$5,标准坦克设计!$B$24:$U$30,MATCH("对"&amp;LEFT($C$5,2)&amp;"输出",标准坦克设计!$B$23:$U$23,0)))*(VLOOKUP($B124,INDIRECT($B$5&amp;"生成成长"),3))*(VLOOKUP($B$5,标准坦克设计!$B$14:$K$20,9)/30))</f>
        <v>16.121090854913831</v>
      </c>
      <c r="DS124" s="173">
        <f ca="1">(VLOOKUP(DS$72,INDIRECT($C$5&amp;"生成成长"),2))/((VLOOKUP($B124,INDIRECT($B$5&amp;"生成成长"),4))/(VLOOKUP(DS$72,INDIRECT($C$5&amp;"生成成长"),5))*(VLOOKUP($B$5,标准坦克设计!$B$24:$U$30,MATCH("对"&amp;LEFT($C$5,2)&amp;"输出",标准坦克设计!$B$23:$U$23,0)))*(VLOOKUP($B124,INDIRECT($B$5&amp;"生成成长"),3))*(VLOOKUP($B$5,标准坦克设计!$B$14:$K$20,9)/30))</f>
        <v>17.460856784769799</v>
      </c>
      <c r="DT124" s="173">
        <f ca="1">(VLOOKUP(DT$72,INDIRECT($C$5&amp;"生成成长"),2))/((VLOOKUP($B124,INDIRECT($B$5&amp;"生成成长"),4))/(VLOOKUP(DT$72,INDIRECT($C$5&amp;"生成成长"),5))*(VLOOKUP($B$5,标准坦克设计!$B$24:$U$30,MATCH("对"&amp;LEFT($C$5,2)&amp;"输出",标准坦克设计!$B$23:$U$23,0)))*(VLOOKUP($B124,INDIRECT($B$5&amp;"生成成长"),3))*(VLOOKUP($B$5,标准坦克设计!$B$14:$K$20,9)/30))</f>
        <v>19.170964516374568</v>
      </c>
      <c r="DU124" s="173">
        <f ca="1">(VLOOKUP(DU$72,INDIRECT($C$5&amp;"生成成长"),2))/((VLOOKUP($B124,INDIRECT($B$5&amp;"生成成长"),4))/(VLOOKUP(DU$72,INDIRECT($C$5&amp;"生成成长"),5))*(VLOOKUP($B$5,标准坦克设计!$B$24:$U$30,MATCH("对"&amp;LEFT($C$5,2)&amp;"输出",标准坦克设计!$B$23:$U$23,0)))*(VLOOKUP($B124,INDIRECT($B$5&amp;"生成成长"),3))*(VLOOKUP($B$5,标准坦克设计!$B$14:$K$20,9)/30))</f>
        <v>20.960949891493787</v>
      </c>
      <c r="DV124" s="173">
        <f ca="1">(VLOOKUP(DV$72,INDIRECT($C$5&amp;"生成成长"),2))/((VLOOKUP($B124,INDIRECT($B$5&amp;"生成成长"),4))/(VLOOKUP(DV$72,INDIRECT($C$5&amp;"生成成长"),5))*(VLOOKUP($B$5,标准坦克设计!$B$24:$U$30,MATCH("对"&amp;LEFT($C$5,2)&amp;"输出",标准坦克设计!$B$23:$U$23,0)))*(VLOOKUP($B124,INDIRECT($B$5&amp;"生成成长"),3))*(VLOOKUP($B$5,标准坦克设计!$B$14:$K$20,9)/30))</f>
        <v>22.83081291012746</v>
      </c>
      <c r="DW124" s="173">
        <f ca="1">(VLOOKUP(DW$72,INDIRECT($C$5&amp;"生成成长"),2))/((VLOOKUP($B124,INDIRECT($B$5&amp;"生成成长"),4))/(VLOOKUP(DW$72,INDIRECT($C$5&amp;"生成成长"),5))*(VLOOKUP($B$5,标准坦克设计!$B$24:$U$30,MATCH("对"&amp;LEFT($C$5,2)&amp;"输出",标准坦克设计!$B$23:$U$23,0)))*(VLOOKUP($B124,INDIRECT($B$5&amp;"生成成长"),3))*(VLOOKUP($B$5,标准坦克设计!$B$14:$K$20,9)/30))</f>
        <v>24.780553572275561</v>
      </c>
      <c r="DX124" s="173">
        <f ca="1">(VLOOKUP(DX$72,INDIRECT($C$5&amp;"生成成长"),2))/((VLOOKUP($B124,INDIRECT($B$5&amp;"生成成长"),4))/(VLOOKUP(DX$72,INDIRECT($C$5&amp;"生成成长"),5))*(VLOOKUP($B$5,标准坦克设计!$B$24:$U$30,MATCH("对"&amp;LEFT($C$5,2)&amp;"输出",标准坦克设计!$B$23:$U$23,0)))*(VLOOKUP($B124,INDIRECT($B$5&amp;"生成成长"),3))*(VLOOKUP($B$5,标准坦克设计!$B$14:$K$20,9)/30))</f>
        <v>26.810171877938128</v>
      </c>
      <c r="DY124" s="173">
        <f ca="1">(VLOOKUP(DY$72,INDIRECT($C$5&amp;"生成成长"),2))/((VLOOKUP($B124,INDIRECT($B$5&amp;"生成成长"),4))/(VLOOKUP(DY$72,INDIRECT($C$5&amp;"生成成长"),5))*(VLOOKUP($B$5,标准坦克设计!$B$24:$U$30,MATCH("对"&amp;LEFT($C$5,2)&amp;"输出",标准坦克设计!$B$23:$U$23,0)))*(VLOOKUP($B124,INDIRECT($B$5&amp;"生成成长"),3))*(VLOOKUP($B$5,标准坦克设计!$B$14:$K$20,9)/30))</f>
        <v>12.04138972334947</v>
      </c>
      <c r="DZ124" s="173">
        <f ca="1">(VLOOKUP(DZ$72,INDIRECT($C$5&amp;"生成成长"),2))/((VLOOKUP($B124,INDIRECT($B$5&amp;"生成成长"),4))/(VLOOKUP(DZ$72,INDIRECT($C$5&amp;"生成成长"),5))*(VLOOKUP($B$5,标准坦克设计!$B$24:$U$30,MATCH("对"&amp;LEFT($C$5,2)&amp;"输出",标准坦克设计!$B$23:$U$23,0)))*(VLOOKUP($B124,INDIRECT($B$5&amp;"生成成长"),3))*(VLOOKUP($B$5,标准坦克设计!$B$14:$K$20,9)/30))</f>
        <v>13.335275519120694</v>
      </c>
      <c r="EA124" s="173">
        <f ca="1">(VLOOKUP(EA$72,INDIRECT($C$5&amp;"生成成长"),2))/((VLOOKUP($B124,INDIRECT($B$5&amp;"生成成长"),4))/(VLOOKUP(EA$72,INDIRECT($C$5&amp;"生成成长"),5))*(VLOOKUP($B$5,标准坦克设计!$B$24:$U$30,MATCH("对"&amp;LEFT($C$5,2)&amp;"输出",标准坦克设计!$B$23:$U$23,0)))*(VLOOKUP($B124,INDIRECT($B$5&amp;"生成成长"),3))*(VLOOKUP($B$5,标准坦克设计!$B$14:$K$20,9)/30))</f>
        <v>14.695175896308813</v>
      </c>
      <c r="EB124" s="173">
        <f ca="1">(VLOOKUP(EB$72,INDIRECT($C$5&amp;"生成成长"),2))/((VLOOKUP($B124,INDIRECT($B$5&amp;"生成成长"),4))/(VLOOKUP(EB$72,INDIRECT($C$5&amp;"生成成长"),5))*(VLOOKUP($B$5,标准坦克设计!$B$24:$U$30,MATCH("对"&amp;LEFT($C$5,2)&amp;"输出",标准坦克设计!$B$23:$U$23,0)))*(VLOOKUP($B124,INDIRECT($B$5&amp;"生成成长"),3))*(VLOOKUP($B$5,标准坦克设计!$B$14:$K$20,9)/30))</f>
        <v>16.121090854913831</v>
      </c>
      <c r="EC124" s="173">
        <f ca="1">(VLOOKUP(EC$72,INDIRECT($C$5&amp;"生成成长"),2))/((VLOOKUP($B124,INDIRECT($B$5&amp;"生成成长"),4))/(VLOOKUP(EC$72,INDIRECT($C$5&amp;"生成成长"),5))*(VLOOKUP($B$5,标准坦克设计!$B$24:$U$30,MATCH("对"&amp;LEFT($C$5,2)&amp;"输出",标准坦克设计!$B$23:$U$23,0)))*(VLOOKUP($B124,INDIRECT($B$5&amp;"生成成长"),3))*(VLOOKUP($B$5,标准坦克设计!$B$14:$K$20,9)/30))</f>
        <v>17.613020394935752</v>
      </c>
      <c r="ED124" s="173">
        <f ca="1">(VLOOKUP(ED$72,INDIRECT($C$5&amp;"生成成长"),2))/((VLOOKUP($B124,INDIRECT($B$5&amp;"生成成长"),4))/(VLOOKUP(ED$72,INDIRECT($C$5&amp;"生成成长"),5))*(VLOOKUP($B$5,标准坦克设计!$B$24:$U$30,MATCH("对"&amp;LEFT($C$5,2)&amp;"输出",标准坦克设计!$B$23:$U$23,0)))*(VLOOKUP($B124,INDIRECT($B$5&amp;"生成成长"),3))*(VLOOKUP($B$5,标准坦克设计!$B$14:$K$20,9)/30))</f>
        <v>19.170964516374568</v>
      </c>
      <c r="EE124" s="173">
        <f ca="1">(VLOOKUP(EE$72,INDIRECT($C$5&amp;"生成成长"),2))/((VLOOKUP($B124,INDIRECT($B$5&amp;"生成成长"),4))/(VLOOKUP(EE$72,INDIRECT($C$5&amp;"生成成长"),5))*(VLOOKUP($B$5,标准坦克设计!$B$24:$U$30,MATCH("对"&amp;LEFT($C$5,2)&amp;"输出",标准坦克设计!$B$23:$U$23,0)))*(VLOOKUP($B124,INDIRECT($B$5&amp;"生成成长"),3))*(VLOOKUP($B$5,标准坦克设计!$B$14:$K$20,9)/30))</f>
        <v>20.794923219230284</v>
      </c>
      <c r="EF124" s="173">
        <f ca="1">(VLOOKUP(EF$72,INDIRECT($C$5&amp;"生成成长"),2))/((VLOOKUP($B124,INDIRECT($B$5&amp;"生成成长"),4))/(VLOOKUP(EF$72,INDIRECT($C$5&amp;"生成成长"),5))*(VLOOKUP($B$5,标准坦克设计!$B$24:$U$30,MATCH("对"&amp;LEFT($C$5,2)&amp;"输出",标准坦克设计!$B$23:$U$23,0)))*(VLOOKUP($B124,INDIRECT($B$5&amp;"生成成长"),3))*(VLOOKUP($B$5,标准坦克设计!$B$14:$K$20,9)/30))</f>
        <v>22.484896503502902</v>
      </c>
      <c r="EG124" s="173">
        <f ca="1">(VLOOKUP(EG$72,INDIRECT($C$5&amp;"生成成长"),2))/((VLOOKUP($B124,INDIRECT($B$5&amp;"生成成长"),4))/(VLOOKUP(EG$72,INDIRECT($C$5&amp;"生成成长"),5))*(VLOOKUP($B$5,标准坦克设计!$B$24:$U$30,MATCH("对"&amp;LEFT($C$5,2)&amp;"输出",标准坦克设计!$B$23:$U$23,0)))*(VLOOKUP($B124,INDIRECT($B$5&amp;"生成成长"),3))*(VLOOKUP($B$5,标准坦克设计!$B$14:$K$20,9)/30))</f>
        <v>24.240884369192415</v>
      </c>
      <c r="EH124" s="173">
        <f ca="1">(VLOOKUP(EH$72,INDIRECT($C$5&amp;"生成成长"),2))/((VLOOKUP($B124,INDIRECT($B$5&amp;"生成成长"),4))/(VLOOKUP(EH$72,INDIRECT($C$5&amp;"生成成长"),5))*(VLOOKUP($B$5,标准坦克设计!$B$24:$U$30,MATCH("对"&amp;LEFT($C$5,2)&amp;"输出",标准坦克设计!$B$23:$U$23,0)))*(VLOOKUP($B124,INDIRECT($B$5&amp;"生成成长"),3))*(VLOOKUP($B$5,标准坦克设计!$B$14:$K$20,9)/30))</f>
        <v>26.062886816298832</v>
      </c>
      <c r="EI124" s="173">
        <f ca="1">(VLOOKUP(EI$72,INDIRECT($C$5&amp;"生成成长"),2))/((VLOOKUP($B124,INDIRECT($B$5&amp;"生成成长"),4))/(VLOOKUP(EI$72,INDIRECT($C$5&amp;"生成成长"),5))*(VLOOKUP($B$5,标准坦克设计!$B$24:$U$30,MATCH("对"&amp;LEFT($C$5,2)&amp;"输出",标准坦克设计!$B$23:$U$23,0)))*(VLOOKUP($B124,INDIRECT($B$5&amp;"生成成长"),3))*(VLOOKUP($B$5,标准坦克设计!$B$14:$K$20,9)/30))</f>
        <v>27.950903844822143</v>
      </c>
      <c r="EJ124" s="173">
        <f ca="1">(VLOOKUP(EJ$72,INDIRECT($C$5&amp;"生成成长"),2))/((VLOOKUP($B124,INDIRECT($B$5&amp;"生成成长"),4))/(VLOOKUP(EJ$72,INDIRECT($C$5&amp;"生成成长"),5))*(VLOOKUP($B$5,标准坦克设计!$B$24:$U$30,MATCH("对"&amp;LEFT($C$5,2)&amp;"输出",标准坦克设计!$B$23:$U$23,0)))*(VLOOKUP($B124,INDIRECT($B$5&amp;"生成成长"),3))*(VLOOKUP($B$5,标准坦克设计!$B$14:$K$20,9)/30))</f>
        <v>29.904935454762356</v>
      </c>
      <c r="EK124" s="173">
        <f ca="1">(VLOOKUP(EK$72,INDIRECT($C$5&amp;"生成成长"),2))/((VLOOKUP($B124,INDIRECT($B$5&amp;"生成成长"),4))/(VLOOKUP(EK$72,INDIRECT($C$5&amp;"生成成长"),5))*(VLOOKUP($B$5,标准坦克设计!$B$24:$U$30,MATCH("对"&amp;LEFT($C$5,2)&amp;"输出",标准坦克设计!$B$23:$U$23,0)))*(VLOOKUP($B124,INDIRECT($B$5&amp;"生成成长"),3))*(VLOOKUP($B$5,标准坦克设计!$B$14:$K$20,9)/30))</f>
        <v>32.336912634160917</v>
      </c>
      <c r="EL124" s="173">
        <f ca="1">(VLOOKUP(EL$72,INDIRECT($C$5&amp;"生成成长"),2))/((VLOOKUP($B124,INDIRECT($B$5&amp;"生成成长"),4))/(VLOOKUP(EL$72,INDIRECT($C$5&amp;"生成成长"),5))*(VLOOKUP($B$5,标准坦克设计!$B$24:$U$30,MATCH("对"&amp;LEFT($C$5,2)&amp;"输出",标准坦克设计!$B$23:$U$23,0)))*(VLOOKUP($B124,INDIRECT($B$5&amp;"生成成长"),3))*(VLOOKUP($B$5,标准坦克设计!$B$14:$K$20,9)/30))</f>
        <v>34.863950810799814</v>
      </c>
      <c r="EM124" s="173">
        <f ca="1">(VLOOKUP(EM$72,INDIRECT($C$5&amp;"生成成长"),2))/((VLOOKUP($B124,INDIRECT($B$5&amp;"生成成长"),4))/(VLOOKUP(EM$72,INDIRECT($C$5&amp;"生成成长"),5))*(VLOOKUP($B$5,标准坦克设计!$B$24:$U$30,MATCH("对"&amp;LEFT($C$5,2)&amp;"输出",标准坦克设计!$B$23:$U$23,0)))*(VLOOKUP($B124,INDIRECT($B$5&amp;"生成成长"),3))*(VLOOKUP($B$5,标准坦克设计!$B$14:$K$20,9)/30))</f>
        <v>37.486049984679042</v>
      </c>
      <c r="EN124" s="173">
        <f ca="1">(VLOOKUP(EN$72,INDIRECT($C$5&amp;"生成成长"),2))/((VLOOKUP($B124,INDIRECT($B$5&amp;"生成成长"),4))/(VLOOKUP(EN$72,INDIRECT($C$5&amp;"生成成长"),5))*(VLOOKUP($B$5,标准坦克设计!$B$24:$U$30,MATCH("对"&amp;LEFT($C$5,2)&amp;"输出",标准坦克设计!$B$23:$U$23,0)))*(VLOOKUP($B124,INDIRECT($B$5&amp;"生成成长"),3))*(VLOOKUP($B$5,标准坦克设计!$B$14:$K$20,9)/30))</f>
        <v>40.203210155798601</v>
      </c>
      <c r="EO124" s="173">
        <f ca="1">(VLOOKUP(EO$72,INDIRECT($C$5&amp;"生成成长"),2))/((VLOOKUP($B124,INDIRECT($B$5&amp;"生成成长"),4))/(VLOOKUP(EO$72,INDIRECT($C$5&amp;"生成成长"),5))*(VLOOKUP($B$5,标准坦克设计!$B$24:$U$30,MATCH("对"&amp;LEFT($C$5,2)&amp;"输出",标准坦克设计!$B$23:$U$23,0)))*(VLOOKUP($B124,INDIRECT($B$5&amp;"生成成长"),3))*(VLOOKUP($B$5,标准坦克设计!$B$14:$K$20,9)/30))</f>
        <v>43.015431324158499</v>
      </c>
      <c r="EP124" s="173">
        <f ca="1">(VLOOKUP(EP$72,INDIRECT($C$5&amp;"生成成长"),2))/((VLOOKUP($B124,INDIRECT($B$5&amp;"生成成长"),4))/(VLOOKUP(EP$72,INDIRECT($C$5&amp;"生成成长"),5))*(VLOOKUP($B$5,标准坦克设计!$B$24:$U$30,MATCH("对"&amp;LEFT($C$5,2)&amp;"输出",标准坦克设计!$B$23:$U$23,0)))*(VLOOKUP($B124,INDIRECT($B$5&amp;"生成成长"),3))*(VLOOKUP($B$5,标准坦克设计!$B$14:$K$20,9)/30))</f>
        <v>45.922713489758742</v>
      </c>
      <c r="EQ124" s="173">
        <f ca="1">(VLOOKUP(EQ$72,INDIRECT($C$5&amp;"生成成长"),2))/((VLOOKUP($B124,INDIRECT($B$5&amp;"生成成长"),4))/(VLOOKUP(EQ$72,INDIRECT($C$5&amp;"生成成长"),5))*(VLOOKUP($B$5,标准坦克设计!$B$24:$U$30,MATCH("对"&amp;LEFT($C$5,2)&amp;"输出",标准坦克设计!$B$23:$U$23,0)))*(VLOOKUP($B124,INDIRECT($B$5&amp;"生成成长"),3))*(VLOOKUP($B$5,标准坦克设计!$B$14:$K$20,9)/30))</f>
        <v>20.300804077324798</v>
      </c>
      <c r="ER124" s="173">
        <f ca="1">(VLOOKUP(ER$72,INDIRECT($C$5&amp;"生成成长"),2))/((VLOOKUP($B124,INDIRECT($B$5&amp;"生成成长"),4))/(VLOOKUP(ER$72,INDIRECT($C$5&amp;"生成成长"),5))*(VLOOKUP($B$5,标准坦克设计!$B$24:$U$30,MATCH("对"&amp;LEFT($C$5,2)&amp;"输出",标准坦克设计!$B$23:$U$23,0)))*(VLOOKUP($B124,INDIRECT($B$5&amp;"生成成长"),3))*(VLOOKUP($B$5,标准坦克设计!$B$14:$K$20,9)/30))</f>
        <v>22.141620680135027</v>
      </c>
      <c r="ES124" s="173">
        <f ca="1">(VLOOKUP(ES$72,INDIRECT($C$5&amp;"生成成长"),2))/((VLOOKUP($B124,INDIRECT($B$5&amp;"生成成长"),4))/(VLOOKUP(ES$72,INDIRECT($C$5&amp;"生成成长"),5))*(VLOOKUP($B$5,标准坦克设计!$B$24:$U$30,MATCH("对"&amp;LEFT($C$5,2)&amp;"输出",标准坦克设计!$B$23:$U$23,0)))*(VLOOKUP($B124,INDIRECT($B$5&amp;"生成成长"),3))*(VLOOKUP($B$5,标准坦克设计!$B$14:$K$20,9)/30))</f>
        <v>24.062314926459702</v>
      </c>
      <c r="ET124" s="173">
        <f ca="1">(VLOOKUP(ET$72,INDIRECT($C$5&amp;"生成成长"),2))/((VLOOKUP($B124,INDIRECT($B$5&amp;"生成成长"),4))/(VLOOKUP(ET$72,INDIRECT($C$5&amp;"生成成长"),5))*(VLOOKUP($B$5,标准坦克设计!$B$24:$U$30,MATCH("对"&amp;LEFT($C$5,2)&amp;"输出",标准坦克设计!$B$23:$U$23,0)))*(VLOOKUP($B124,INDIRECT($B$5&amp;"生成成长"),3))*(VLOOKUP($B$5,标准坦克设计!$B$14:$K$20,9)/30))</f>
        <v>26.062886816298832</v>
      </c>
      <c r="EU124" s="173">
        <f ca="1">(VLOOKUP(EU$72,INDIRECT($C$5&amp;"生成成长"),2))/((VLOOKUP($B124,INDIRECT($B$5&amp;"生成成长"),4))/(VLOOKUP(EU$72,INDIRECT($C$5&amp;"生成成长"),5))*(VLOOKUP($B$5,标准坦克设计!$B$24:$U$30,MATCH("对"&amp;LEFT($C$5,2)&amp;"输出",标准坦克设计!$B$23:$U$23,0)))*(VLOOKUP($B124,INDIRECT($B$5&amp;"生成成长"),3))*(VLOOKUP($B$5,标准坦克设计!$B$14:$K$20,9)/30))</f>
        <v>28.143336349652401</v>
      </c>
      <c r="EV124" s="173">
        <f ca="1">(VLOOKUP(EV$72,INDIRECT($C$5&amp;"生成成长"),2))/((VLOOKUP($B124,INDIRECT($B$5&amp;"生成成长"),4))/(VLOOKUP(EV$72,INDIRECT($C$5&amp;"生成成长"),5))*(VLOOKUP($B$5,标准坦克设计!$B$24:$U$30,MATCH("对"&amp;LEFT($C$5,2)&amp;"输出",标准坦克设计!$B$23:$U$23,0)))*(VLOOKUP($B124,INDIRECT($B$5&amp;"生成成长"),3))*(VLOOKUP($B$5,标准坦克设计!$B$14:$K$20,9)/30))</f>
        <v>30.303663526520431</v>
      </c>
      <c r="EW124" s="173">
        <f ca="1">(VLOOKUP(EW$72,INDIRECT($C$5&amp;"生成成长"),2))/((VLOOKUP($B124,INDIRECT($B$5&amp;"生成成长"),4))/(VLOOKUP(EW$72,INDIRECT($C$5&amp;"生成成长"),5))*(VLOOKUP($B$5,标准坦克设计!$B$24:$U$30,MATCH("对"&amp;LEFT($C$5,2)&amp;"输出",标准坦克设计!$B$23:$U$23,0)))*(VLOOKUP($B124,INDIRECT($B$5&amp;"生成成长"),3))*(VLOOKUP($B$5,标准坦克设计!$B$14:$K$20,9)/30))</f>
        <v>32.543868346902897</v>
      </c>
      <c r="EX124" s="173">
        <f ca="1">(VLOOKUP(EX$72,INDIRECT($C$5&amp;"生成成长"),2))/((VLOOKUP($B124,INDIRECT($B$5&amp;"生成成长"),4))/(VLOOKUP(EX$72,INDIRECT($C$5&amp;"生成成长"),5))*(VLOOKUP($B$5,标准坦克设计!$B$24:$U$30,MATCH("对"&amp;LEFT($C$5,2)&amp;"输出",标准坦克设计!$B$23:$U$23,0)))*(VLOOKUP($B124,INDIRECT($B$5&amp;"生成成长"),3))*(VLOOKUP($B$5,标准坦克设计!$B$14:$K$20,9)/30))</f>
        <v>34.863950810799814</v>
      </c>
      <c r="EY124" s="173">
        <f ca="1">(VLOOKUP(EY$72,INDIRECT($C$5&amp;"生成成长"),2))/((VLOOKUP($B124,INDIRECT($B$5&amp;"生成成长"),4))/(VLOOKUP(EY$72,INDIRECT($C$5&amp;"生成成长"),5))*(VLOOKUP($B$5,标准坦克设计!$B$24:$U$30,MATCH("对"&amp;LEFT($C$5,2)&amp;"输出",标准坦克设计!$B$23:$U$23,0)))*(VLOOKUP($B124,INDIRECT($B$5&amp;"生成成长"),3))*(VLOOKUP($B$5,标准坦克设计!$B$14:$K$20,9)/30))</f>
        <v>37.263910918211174</v>
      </c>
      <c r="EZ124" s="173">
        <f ca="1">(VLOOKUP(EZ$72,INDIRECT($C$5&amp;"生成成长"),2))/((VLOOKUP($B124,INDIRECT($B$5&amp;"生成成长"),4))/(VLOOKUP(EZ$72,INDIRECT($C$5&amp;"生成成长"),5))*(VLOOKUP($B$5,标准坦克设计!$B$24:$U$30,MATCH("对"&amp;LEFT($C$5,2)&amp;"输出",标准坦克设计!$B$23:$U$23,0)))*(VLOOKUP($B124,INDIRECT($B$5&amp;"生成成长"),3))*(VLOOKUP($B$5,标准坦克设计!$B$14:$K$20,9)/30))</f>
        <v>39.743748669136991</v>
      </c>
      <c r="FA124" s="173">
        <f ca="1">(VLOOKUP(FA$72,INDIRECT($C$5&amp;"生成成长"),2))/((VLOOKUP($B124,INDIRECT($B$5&amp;"生成成长"),4))/(VLOOKUP(FA$72,INDIRECT($C$5&amp;"生成成长"),5))*(VLOOKUP($B$5,标准坦克设计!$B$24:$U$30,MATCH("对"&amp;LEFT($C$5,2)&amp;"输出",标准坦克设计!$B$23:$U$23,0)))*(VLOOKUP($B124,INDIRECT($B$5&amp;"生成成长"),3))*(VLOOKUP($B$5,标准坦克设计!$B$14:$K$20,9)/30))</f>
        <v>42.303464063577245</v>
      </c>
      <c r="FB124" s="173">
        <f ca="1">(VLOOKUP(FB$72,INDIRECT($C$5&amp;"生成成长"),2))/((VLOOKUP($B124,INDIRECT($B$5&amp;"生成成长"),4))/(VLOOKUP(FB$72,INDIRECT($C$5&amp;"生成成长"),5))*(VLOOKUP($B$5,标准坦克设计!$B$24:$U$30,MATCH("对"&amp;LEFT($C$5,2)&amp;"输出",标准坦克设计!$B$23:$U$23,0)))*(VLOOKUP($B124,INDIRECT($B$5&amp;"生成成长"),3))*(VLOOKUP($B$5,标准坦克设计!$B$14:$K$20,9)/30))</f>
        <v>44.943057101531956</v>
      </c>
      <c r="FC124" s="173">
        <f ca="1">(VLOOKUP(FC$72,INDIRECT($C$5&amp;"生成成长"),2))/((VLOOKUP($B124,INDIRECT($B$5&amp;"生成成长"),4))/(VLOOKUP(FC$72,INDIRECT($C$5&amp;"生成成长"),5))*(VLOOKUP($B$5,标准坦克设计!$B$24:$U$30,MATCH("对"&amp;LEFT($C$5,2)&amp;"输出",标准坦克设计!$B$23:$U$23,0)))*(VLOOKUP($B124,INDIRECT($B$5&amp;"生成成长"),3))*(VLOOKUP($B$5,标准坦克设计!$B$14:$K$20,9)/30))</f>
        <v>47.662527783001117</v>
      </c>
      <c r="FD124" s="173">
        <f ca="1">(VLOOKUP(FD$72,INDIRECT($C$5&amp;"生成成长"),2))/((VLOOKUP($B124,INDIRECT($B$5&amp;"生成成长"),4))/(VLOOKUP(FD$72,INDIRECT($C$5&amp;"生成成长"),5))*(VLOOKUP($B$5,标准坦克设计!$B$24:$U$30,MATCH("对"&amp;LEFT($C$5,2)&amp;"输出",标准坦克设计!$B$23:$U$23,0)))*(VLOOKUP($B124,INDIRECT($B$5&amp;"生成成长"),3))*(VLOOKUP($B$5,标准坦克设计!$B$14:$K$20,9)/30))</f>
        <v>50.461876107984722</v>
      </c>
      <c r="FE124" s="173">
        <f ca="1">(VLOOKUP(FE$72,INDIRECT($C$5&amp;"生成成长"),2))/((VLOOKUP($B124,INDIRECT($B$5&amp;"生成成长"),4))/(VLOOKUP(FE$72,INDIRECT($C$5&amp;"生成成长"),5))*(VLOOKUP($B$5,标准坦克设计!$B$24:$U$30,MATCH("对"&amp;LEFT($C$5,2)&amp;"输出",标准坦克设计!$B$23:$U$23,0)))*(VLOOKUP($B124,INDIRECT($B$5&amp;"生成成长"),3))*(VLOOKUP($B$5,标准坦克设计!$B$14:$K$20,9)/30))</f>
        <v>53.873179602702976</v>
      </c>
      <c r="FF124" s="173">
        <f ca="1">(VLOOKUP(FF$72,INDIRECT($C$5&amp;"生成成长"),2))/((VLOOKUP($B124,INDIRECT($B$5&amp;"生成成长"),4))/(VLOOKUP(FF$72,INDIRECT($C$5&amp;"生成成长"),5))*(VLOOKUP($B$5,标准坦克设计!$B$24:$U$30,MATCH("对"&amp;LEFT($C$5,2)&amp;"输出",标准坦克设计!$B$23:$U$23,0)))*(VLOOKUP($B124,INDIRECT($B$5&amp;"生成成长"),3))*(VLOOKUP($B$5,标准坦克设计!$B$14:$K$20,9)/30))</f>
        <v>57.396047740015781</v>
      </c>
      <c r="FG124" s="173">
        <f ca="1">(VLOOKUP(FG$72,INDIRECT($C$5&amp;"生成成长"),2))/((VLOOKUP($B124,INDIRECT($B$5&amp;"生成成长"),4))/(VLOOKUP(FG$72,INDIRECT($C$5&amp;"生成成长"),5))*(VLOOKUP($B$5,标准坦克设计!$B$24:$U$30,MATCH("对"&amp;LEFT($C$5,2)&amp;"输出",标准坦克设计!$B$23:$U$23,0)))*(VLOOKUP($B124,INDIRECT($B$5&amp;"生成成长"),3))*(VLOOKUP($B$5,标准坦克设计!$B$14:$K$20,9)/30))</f>
        <v>61.030480519923167</v>
      </c>
      <c r="FH124" s="173">
        <f ca="1">(VLOOKUP(FH$72,INDIRECT($C$5&amp;"生成成长"),2))/((VLOOKUP($B124,INDIRECT($B$5&amp;"生成成长"),4))/(VLOOKUP(FH$72,INDIRECT($C$5&amp;"生成成长"),5))*(VLOOKUP($B$5,标准坦克设计!$B$24:$U$30,MATCH("对"&amp;LEFT($C$5,2)&amp;"输出",标准坦克设计!$B$23:$U$23,0)))*(VLOOKUP($B124,INDIRECT($B$5&amp;"生成成长"),3))*(VLOOKUP($B$5,标准坦克设计!$B$14:$K$20,9)/30))</f>
        <v>64.776477942425117</v>
      </c>
      <c r="FI124" s="173">
        <f ca="1">(VLOOKUP(FI$72,INDIRECT($C$5&amp;"生成成长"),2))/((VLOOKUP($B124,INDIRECT($B$5&amp;"生成成长"),4))/(VLOOKUP(FI$72,INDIRECT($C$5&amp;"生成成长"),5))*(VLOOKUP($B$5,标准坦克设计!$B$24:$U$30,MATCH("对"&amp;LEFT($C$5,2)&amp;"输出",标准坦克设计!$B$23:$U$23,0)))*(VLOOKUP($B124,INDIRECT($B$5&amp;"生成成长"),3))*(VLOOKUP($B$5,标准坦克设计!$B$14:$K$20,9)/30))</f>
        <v>68.634040007521605</v>
      </c>
      <c r="FJ124" s="173">
        <f ca="1">(VLOOKUP(FJ$72,INDIRECT($C$5&amp;"生成成长"),2))/((VLOOKUP($B124,INDIRECT($B$5&amp;"生成成长"),4))/(VLOOKUP(FJ$72,INDIRECT($C$5&amp;"生成成长"),5))*(VLOOKUP($B$5,标准坦克设计!$B$24:$U$30,MATCH("对"&amp;LEFT($C$5,2)&amp;"输出",标准坦克设计!$B$23:$U$23,0)))*(VLOOKUP($B124,INDIRECT($B$5&amp;"生成成长"),3))*(VLOOKUP($B$5,标准坦克设计!$B$14:$K$20,9)/30))</f>
        <v>72.603166715212666</v>
      </c>
      <c r="FK124" s="173">
        <f ca="1">(VLOOKUP(FK$72,INDIRECT($C$5&amp;"生成成长"),2))/((VLOOKUP($B124,INDIRECT($B$5&amp;"生成成长"),4))/(VLOOKUP(FK$72,INDIRECT($C$5&amp;"生成成长"),5))*(VLOOKUP($B$5,标准坦克设计!$B$24:$U$30,MATCH("对"&amp;LEFT($C$5,2)&amp;"输出",标准坦克设计!$B$23:$U$23,0)))*(VLOOKUP($B124,INDIRECT($B$5&amp;"生成成长"),3))*(VLOOKUP($B$5,标准坦克设计!$B$14:$K$20,9)/30))</f>
        <v>76.683858065498271</v>
      </c>
    </row>
    <row r="125" spans="1:167" x14ac:dyDescent="0.15">
      <c r="A125" s="171" t="str">
        <f t="shared" si="11"/>
        <v>T2中品质8级</v>
      </c>
      <c r="B125" s="172">
        <v>20208</v>
      </c>
      <c r="C125" s="173">
        <f ca="1">(VLOOKUP(C$72,INDIRECT($C$5&amp;"生成成长"),2))/((VLOOKUP($B125,INDIRECT($B$5&amp;"生成成长"),4))/(VLOOKUP(C$72,INDIRECT($C$5&amp;"生成成长"),5))*(VLOOKUP($B$5,标准坦克设计!$B$24:$U$30,MATCH("对"&amp;LEFT($C$5,2)&amp;"输出",标准坦克设计!$B$23:$U$23,0)))*(VLOOKUP($B125,INDIRECT($B$5&amp;"生成成长"),3))*(VLOOKUP($B$5,标准坦克设计!$B$14:$K$20,9)/30))</f>
        <v>2.9903901182648891</v>
      </c>
      <c r="D125" s="173">
        <f ca="1">(VLOOKUP(D$72,INDIRECT($C$5&amp;"生成成长"),2))/((VLOOKUP($B125,INDIRECT($B$5&amp;"生成成长"),4))/(VLOOKUP(D$72,INDIRECT($C$5&amp;"生成成长"),5))*(VLOOKUP($B$5,标准坦克设计!$B$24:$U$30,MATCH("对"&amp;LEFT($C$5,2)&amp;"输出",标准坦克设计!$B$23:$U$23,0)))*(VLOOKUP($B125,INDIRECT($B$5&amp;"生成成长"),3))*(VLOOKUP($B$5,标准坦克设计!$B$14:$K$20,9)/30))</f>
        <v>3.3600023368824288</v>
      </c>
      <c r="E125" s="173">
        <f ca="1">(VLOOKUP(E$72,INDIRECT($C$5&amp;"生成成长"),2))/((VLOOKUP($B125,INDIRECT($B$5&amp;"生成成长"),4))/(VLOOKUP(E$72,INDIRECT($C$5&amp;"生成成长"),5))*(VLOOKUP($B$5,标准坦克设计!$B$24:$U$30,MATCH("对"&amp;LEFT($C$5,2)&amp;"输出",标准坦克设计!$B$23:$U$23,0)))*(VLOOKUP($B125,INDIRECT($B$5&amp;"生成成长"),3))*(VLOOKUP($B$5,标准坦克设计!$B$14:$K$20,9)/30))</f>
        <v>3.7511453643514763</v>
      </c>
      <c r="F125" s="173">
        <f ca="1">(VLOOKUP(F$72,INDIRECT($C$5&amp;"生成成长"),2))/((VLOOKUP($B125,INDIRECT($B$5&amp;"生成成长"),4))/(VLOOKUP(F$72,INDIRECT($C$5&amp;"生成成长"),5))*(VLOOKUP($B$5,标准坦克设计!$B$24:$U$30,MATCH("对"&amp;LEFT($C$5,2)&amp;"输出",标准坦克设计!$B$23:$U$23,0)))*(VLOOKUP($B125,INDIRECT($B$5&amp;"生成成长"),3))*(VLOOKUP($B$5,标准坦克设计!$B$14:$K$20,9)/30))</f>
        <v>4.1638192006720312</v>
      </c>
      <c r="G125" s="173">
        <f ca="1">(VLOOKUP(G$72,INDIRECT($C$5&amp;"生成成长"),2))/((VLOOKUP($B125,INDIRECT($B$5&amp;"生成成长"),4))/(VLOOKUP(G$72,INDIRECT($C$5&amp;"生成成长"),5))*(VLOOKUP($B$5,标准坦克设计!$B$24:$U$30,MATCH("对"&amp;LEFT($C$5,2)&amp;"输出",标准坦克设计!$B$23:$U$23,0)))*(VLOOKUP($B125,INDIRECT($B$5&amp;"生成成长"),3))*(VLOOKUP($B$5,标准坦克设计!$B$14:$K$20,9)/30))</f>
        <v>4.598023845844093</v>
      </c>
      <c r="H125" s="173">
        <f ca="1">(VLOOKUP(H$72,INDIRECT($C$5&amp;"生成成长"),2))/((VLOOKUP($B125,INDIRECT($B$5&amp;"生成成长"),4))/(VLOOKUP(H$72,INDIRECT($C$5&amp;"生成成长"),5))*(VLOOKUP($B$5,标准坦克设计!$B$24:$U$30,MATCH("对"&amp;LEFT($C$5,2)&amp;"输出",标准坦克设计!$B$23:$U$23,0)))*(VLOOKUP($B125,INDIRECT($B$5&amp;"生成成长"),3))*(VLOOKUP($B$5,标准坦克设计!$B$14:$K$20,9)/30))</f>
        <v>4.0238689431372352</v>
      </c>
      <c r="I125" s="173">
        <f ca="1">(VLOOKUP(I$72,INDIRECT($C$5&amp;"生成成长"),2))/((VLOOKUP($B125,INDIRECT($B$5&amp;"生成成长"),4))/(VLOOKUP(I$72,INDIRECT($C$5&amp;"生成成长"),5))*(VLOOKUP($B$5,标准坦克设计!$B$24:$U$30,MATCH("对"&amp;LEFT($C$5,2)&amp;"输出",标准坦克设计!$B$23:$U$23,0)))*(VLOOKUP($B125,INDIRECT($B$5&amp;"生成成长"),3))*(VLOOKUP($B$5,标准坦克设计!$B$14:$K$20,9)/30))</f>
        <v>4.598023845844093</v>
      </c>
      <c r="J125" s="173">
        <f ca="1">(VLOOKUP(J$72,INDIRECT($C$5&amp;"生成成长"),2))/((VLOOKUP($B125,INDIRECT($B$5&amp;"生成成长"),4))/(VLOOKUP(J$72,INDIRECT($C$5&amp;"生成成长"),5))*(VLOOKUP($B$5,标准坦克设计!$B$24:$U$30,MATCH("对"&amp;LEFT($C$5,2)&amp;"输出",标准坦克设计!$B$23:$U$23,0)))*(VLOOKUP($B125,INDIRECT($B$5&amp;"生成成长"),3))*(VLOOKUP($B$5,标准坦克设计!$B$14:$K$20,9)/30))</f>
        <v>5.2104557420647426</v>
      </c>
      <c r="K125" s="173">
        <f ca="1">(VLOOKUP(K$72,INDIRECT($C$5&amp;"生成成长"),2))/((VLOOKUP($B125,INDIRECT($B$5&amp;"生成成长"),4))/(VLOOKUP(K$72,INDIRECT($C$5&amp;"生成成长"),5))*(VLOOKUP($B$5,标准坦克设计!$B$24:$U$30,MATCH("对"&amp;LEFT($C$5,2)&amp;"输出",标准坦克设计!$B$23:$U$23,0)))*(VLOOKUP($B125,INDIRECT($B$5&amp;"生成成长"),3))*(VLOOKUP($B$5,标准坦克设计!$B$14:$K$20,9)/30))</f>
        <v>5.8611646317991823</v>
      </c>
      <c r="L125" s="173">
        <f ca="1">(VLOOKUP(L$72,INDIRECT($C$5&amp;"生成成长"),2))/((VLOOKUP($B125,INDIRECT($B$5&amp;"生成成长"),4))/(VLOOKUP(L$72,INDIRECT($C$5&amp;"生成成长"),5))*(VLOOKUP($B$5,标准坦克设计!$B$24:$U$30,MATCH("对"&amp;LEFT($C$5,2)&amp;"输出",标准坦克设计!$B$23:$U$23,0)))*(VLOOKUP($B125,INDIRECT($B$5&amp;"生成成长"),3))*(VLOOKUP($B$5,标准坦克设计!$B$14:$K$20,9)/30))</f>
        <v>6.5501505150474122</v>
      </c>
      <c r="M125" s="173">
        <f ca="1">(VLOOKUP(M$72,INDIRECT($C$5&amp;"生成成长"),2))/((VLOOKUP($B125,INDIRECT($B$5&amp;"生成成长"),4))/(VLOOKUP(M$72,INDIRECT($C$5&amp;"生成成长"),5))*(VLOOKUP($B$5,标准坦克设计!$B$24:$U$30,MATCH("对"&amp;LEFT($C$5,2)&amp;"输出",标准坦克设计!$B$23:$U$23,0)))*(VLOOKUP($B125,INDIRECT($B$5&amp;"生成成长"),3))*(VLOOKUP($B$5,标准坦克设计!$B$14:$K$20,9)/30))</f>
        <v>7.277413391809433</v>
      </c>
      <c r="N125" s="173">
        <f ca="1">(VLOOKUP(N$72,INDIRECT($C$5&amp;"生成成长"),2))/((VLOOKUP($B125,INDIRECT($B$5&amp;"生成成长"),4))/(VLOOKUP(N$72,INDIRECT($C$5&amp;"生成成长"),5))*(VLOOKUP($B$5,标准坦克设计!$B$24:$U$30,MATCH("对"&amp;LEFT($C$5,2)&amp;"输出",标准坦克设计!$B$23:$U$23,0)))*(VLOOKUP($B125,INDIRECT($B$5&amp;"生成成长"),3))*(VLOOKUP($B$5,标准坦克设计!$B$14:$K$20,9)/30))</f>
        <v>8.0429532620852449</v>
      </c>
      <c r="O125" s="173">
        <f ca="1">(VLOOKUP(O$72,INDIRECT($C$5&amp;"生成成长"),2))/((VLOOKUP($B125,INDIRECT($B$5&amp;"生成成长"),4))/(VLOOKUP(O$72,INDIRECT($C$5&amp;"生成成长"),5))*(VLOOKUP($B$5,标准坦克设计!$B$24:$U$30,MATCH("对"&amp;LEFT($C$5,2)&amp;"输出",标准坦克设计!$B$23:$U$23,0)))*(VLOOKUP($B125,INDIRECT($B$5&amp;"生成成长"),3))*(VLOOKUP($B$5,标准坦克设计!$B$14:$K$20,9)/30))</f>
        <v>6.1150487528398711</v>
      </c>
      <c r="P125" s="173">
        <f ca="1">(VLOOKUP(P$72,INDIRECT($C$5&amp;"生成成长"),2))/((VLOOKUP($B125,INDIRECT($B$5&amp;"生成成长"),4))/(VLOOKUP(P$72,INDIRECT($C$5&amp;"生成成长"),5))*(VLOOKUP($B$5,标准坦克设计!$B$24:$U$30,MATCH("对"&amp;LEFT($C$5,2)&amp;"输出",标准坦克设计!$B$23:$U$23,0)))*(VLOOKUP($B125,INDIRECT($B$5&amp;"生成成长"),3))*(VLOOKUP($B$5,标准坦克设计!$B$14:$K$20,9)/30))</f>
        <v>6.9089973292392006</v>
      </c>
      <c r="Q125" s="173">
        <f ca="1">(VLOOKUP(Q$72,INDIRECT($C$5&amp;"生成成长"),2))/((VLOOKUP($B125,INDIRECT($B$5&amp;"生成成长"),4))/(VLOOKUP(Q$72,INDIRECT($C$5&amp;"生成成长"),5))*(VLOOKUP($B$5,标准坦克设计!$B$24:$U$30,MATCH("对"&amp;LEFT($C$5,2)&amp;"输出",标准坦克设计!$B$23:$U$23,0)))*(VLOOKUP($B125,INDIRECT($B$5&amp;"生成成长"),3))*(VLOOKUP($B$5,标准坦克设计!$B$14:$K$20,9)/30))</f>
        <v>7.7513902255544185</v>
      </c>
      <c r="R125" s="173">
        <f ca="1">(VLOOKUP(R$72,INDIRECT($C$5&amp;"生成成长"),2))/((VLOOKUP($B125,INDIRECT($B$5&amp;"生成成长"),4))/(VLOOKUP(R$72,INDIRECT($C$5&amp;"生成成长"),5))*(VLOOKUP($B$5,标准坦克设计!$B$24:$U$30,MATCH("对"&amp;LEFT($C$5,2)&amp;"输出",标准坦克设计!$B$23:$U$23,0)))*(VLOOKUP($B125,INDIRECT($B$5&amp;"生成成长"),3))*(VLOOKUP($B$5,标准坦克设计!$B$14:$K$20,9)/30))</f>
        <v>8.6422274417855292</v>
      </c>
      <c r="S125" s="173">
        <f ca="1">(VLOOKUP(S$72,INDIRECT($C$5&amp;"生成成长"),2))/((VLOOKUP($B125,INDIRECT($B$5&amp;"生成成长"),4))/(VLOOKUP(S$72,INDIRECT($C$5&amp;"生成成长"),5))*(VLOOKUP($B$5,标准坦克设计!$B$24:$U$30,MATCH("对"&amp;LEFT($C$5,2)&amp;"输出",标准坦克设计!$B$23:$U$23,0)))*(VLOOKUP($B125,INDIRECT($B$5&amp;"生成成长"),3))*(VLOOKUP($B$5,标准坦克设计!$B$14:$K$20,9)/30))</f>
        <v>9.5815089779325326</v>
      </c>
      <c r="T125" s="173">
        <f ca="1">(VLOOKUP(T$72,INDIRECT($C$5&amp;"生成成长"),2))/((VLOOKUP($B125,INDIRECT($B$5&amp;"生成成长"),4))/(VLOOKUP(T$72,INDIRECT($C$5&amp;"生成成长"),5))*(VLOOKUP($B$5,标准坦克设计!$B$24:$U$30,MATCH("对"&amp;LEFT($C$5,2)&amp;"输出",标准坦克设计!$B$23:$U$23,0)))*(VLOOKUP($B125,INDIRECT($B$5&amp;"生成成长"),3))*(VLOOKUP($B$5,标准坦克设计!$B$14:$K$20,9)/30))</f>
        <v>10.569234833995422</v>
      </c>
      <c r="U125" s="173">
        <f ca="1">(VLOOKUP(U$72,INDIRECT($C$5&amp;"生成成长"),2))/((VLOOKUP($B125,INDIRECT($B$5&amp;"生成成长"),4))/(VLOOKUP(U$72,INDIRECT($C$5&amp;"生成成长"),5))*(VLOOKUP($B$5,标准坦克设计!$B$24:$U$30,MATCH("对"&amp;LEFT($C$5,2)&amp;"输出",标准坦克设计!$B$23:$U$23,0)))*(VLOOKUP($B125,INDIRECT($B$5&amp;"生成成长"),3))*(VLOOKUP($B$5,标准坦克设计!$B$14:$K$20,9)/30))</f>
        <v>11.605405009974206</v>
      </c>
      <c r="V125" s="173">
        <f ca="1">(VLOOKUP(V$72,INDIRECT($C$5&amp;"生成成长"),2))/((VLOOKUP($B125,INDIRECT($B$5&amp;"生成成长"),4))/(VLOOKUP(V$72,INDIRECT($C$5&amp;"生成成长"),5))*(VLOOKUP($B$5,标准坦克设计!$B$24:$U$30,MATCH("对"&amp;LEFT($C$5,2)&amp;"输出",标准坦克设计!$B$23:$U$23,0)))*(VLOOKUP($B125,INDIRECT($B$5&amp;"生成成长"),3))*(VLOOKUP($B$5,标准坦克设计!$B$14:$K$20,9)/30))</f>
        <v>12.690019505868884</v>
      </c>
      <c r="W125" s="173">
        <f ca="1">(VLOOKUP(W$72,INDIRECT($C$5&amp;"生成成长"),2))/((VLOOKUP($B125,INDIRECT($B$5&amp;"生成成长"),4))/(VLOOKUP(W$72,INDIRECT($C$5&amp;"生成成长"),5))*(VLOOKUP($B$5,标准坦克设计!$B$24:$U$30,MATCH("对"&amp;LEFT($C$5,2)&amp;"输出",标准坦克设计!$B$23:$U$23,0)))*(VLOOKUP($B125,INDIRECT($B$5&amp;"生成成长"),3))*(VLOOKUP($B$5,标准坦克设计!$B$14:$K$20,9)/30))</f>
        <v>13.823078321679448</v>
      </c>
      <c r="X125" s="173">
        <f ca="1">(VLOOKUP(X$72,INDIRECT($C$5&amp;"生成成长"),2))/((VLOOKUP($B125,INDIRECT($B$5&amp;"生成成长"),4))/(VLOOKUP(X$72,INDIRECT($C$5&amp;"生成成长"),5))*(VLOOKUP($B$5,标准坦克设计!$B$24:$U$30,MATCH("对"&amp;LEFT($C$5,2)&amp;"输出",标准坦克设计!$B$23:$U$23,0)))*(VLOOKUP($B125,INDIRECT($B$5&amp;"生成成长"),3))*(VLOOKUP($B$5,标准坦克设计!$B$14:$K$20,9)/30))</f>
        <v>10.014517467057287</v>
      </c>
      <c r="Y125" s="173">
        <f ca="1">(VLOOKUP(Y$72,INDIRECT($C$5&amp;"生成成长"),2))/((VLOOKUP($B125,INDIRECT($B$5&amp;"生成成长"),4))/(VLOOKUP(Y$72,INDIRECT($C$5&amp;"生成成长"),5))*(VLOOKUP($B$5,标准坦克设计!$B$24:$U$30,MATCH("对"&amp;LEFT($C$5,2)&amp;"输出",标准坦克设计!$B$23:$U$23,0)))*(VLOOKUP($B125,INDIRECT($B$5&amp;"生成成长"),3))*(VLOOKUP($B$5,标准坦克设计!$B$14:$K$20,9)/30))</f>
        <v>11.138904151524883</v>
      </c>
      <c r="Z125" s="173">
        <f ca="1">(VLOOKUP(Z$72,INDIRECT($C$5&amp;"生成成长"),2))/((VLOOKUP($B125,INDIRECT($B$5&amp;"生成成长"),4))/(VLOOKUP(Z$72,INDIRECT($C$5&amp;"生成成长"),5))*(VLOOKUP($B$5,标准坦克设计!$B$24:$U$30,MATCH("对"&amp;LEFT($C$5,2)&amp;"输出",标准坦克设计!$B$23:$U$23,0)))*(VLOOKUP($B125,INDIRECT($B$5&amp;"生成成长"),3))*(VLOOKUP($B$5,标准坦克设计!$B$14:$K$20,9)/30))</f>
        <v>12.323098638357781</v>
      </c>
      <c r="AA125" s="173">
        <f ca="1">(VLOOKUP(AA$72,INDIRECT($C$5&amp;"生成成长"),2))/((VLOOKUP($B125,INDIRECT($B$5&amp;"生成成长"),4))/(VLOOKUP(AA$72,INDIRECT($C$5&amp;"生成成长"),5))*(VLOOKUP($B$5,标准坦克设计!$B$24:$U$30,MATCH("对"&amp;LEFT($C$5,2)&amp;"输出",标准坦克设计!$B$23:$U$23,0)))*(VLOOKUP($B125,INDIRECT($B$5&amp;"生成成长"),3))*(VLOOKUP($B$5,标准坦克设计!$B$14:$K$20,9)/30))</f>
        <v>13.567100927555973</v>
      </c>
      <c r="AB125" s="173">
        <f ca="1">(VLOOKUP(AB$72,INDIRECT($C$5&amp;"生成成长"),2))/((VLOOKUP($B125,INDIRECT($B$5&amp;"生成成长"),4))/(VLOOKUP(AB$72,INDIRECT($C$5&amp;"生成成长"),5))*(VLOOKUP($B$5,标准坦克设计!$B$24:$U$30,MATCH("对"&amp;LEFT($C$5,2)&amp;"输出",标准坦克设计!$B$23:$U$23,0)))*(VLOOKUP($B125,INDIRECT($B$5&amp;"生成成长"),3))*(VLOOKUP($B$5,标准坦克设计!$B$14:$K$20,9)/30))</f>
        <v>14.870911019119466</v>
      </c>
      <c r="AC125" s="173">
        <f ca="1">(VLOOKUP(AC$72,INDIRECT($C$5&amp;"生成成长"),2))/((VLOOKUP($B125,INDIRECT($B$5&amp;"生成成长"),4))/(VLOOKUP(AC$72,INDIRECT($C$5&amp;"生成成长"),5))*(VLOOKUP($B$5,标准坦克设计!$B$24:$U$30,MATCH("对"&amp;LEFT($C$5,2)&amp;"输出",标准坦克设计!$B$23:$U$23,0)))*(VLOOKUP($B125,INDIRECT($B$5&amp;"生成成长"),3))*(VLOOKUP($B$5,标准坦克设计!$B$14:$K$20,9)/30))</f>
        <v>16.234528913048255</v>
      </c>
      <c r="AD125" s="173">
        <f ca="1">(VLOOKUP(AD$72,INDIRECT($C$5&amp;"生成成长"),2))/((VLOOKUP($B125,INDIRECT($B$5&amp;"生成成长"),4))/(VLOOKUP(AD$72,INDIRECT($C$5&amp;"生成成长"),5))*(VLOOKUP($B$5,标准坦克设计!$B$24:$U$30,MATCH("对"&amp;LEFT($C$5,2)&amp;"输出",标准坦克设计!$B$23:$U$23,0)))*(VLOOKUP($B125,INDIRECT($B$5&amp;"生成成长"),3))*(VLOOKUP($B$5,标准坦克设计!$B$14:$K$20,9)/30))</f>
        <v>17.657954609342344</v>
      </c>
      <c r="AE125" s="173">
        <f ca="1">(VLOOKUP(AE$72,INDIRECT($C$5&amp;"生成成长"),2))/((VLOOKUP($B125,INDIRECT($B$5&amp;"生成成长"),4))/(VLOOKUP(AE$72,INDIRECT($C$5&amp;"生成成长"),5))*(VLOOKUP($B$5,标准坦克设计!$B$24:$U$30,MATCH("对"&amp;LEFT($C$5,2)&amp;"输出",标准坦克设计!$B$23:$U$23,0)))*(VLOOKUP($B125,INDIRECT($B$5&amp;"生成成长"),3))*(VLOOKUP($B$5,标准坦克设计!$B$14:$K$20,9)/30))</f>
        <v>19.141188108001725</v>
      </c>
      <c r="AF125" s="173">
        <f ca="1">(VLOOKUP(AF$72,INDIRECT($C$5&amp;"生成成长"),2))/((VLOOKUP($B125,INDIRECT($B$5&amp;"生成成长"),4))/(VLOOKUP(AF$72,INDIRECT($C$5&amp;"生成成长"),5))*(VLOOKUP($B$5,标准坦克设计!$B$24:$U$30,MATCH("对"&amp;LEFT($C$5,2)&amp;"输出",标准坦克设计!$B$23:$U$23,0)))*(VLOOKUP($B125,INDIRECT($B$5&amp;"生成成长"),3))*(VLOOKUP($B$5,标准坦克设计!$B$14:$K$20,9)/30))</f>
        <v>20.684229409026408</v>
      </c>
      <c r="AG125" s="173">
        <f ca="1">(VLOOKUP(AG$72,INDIRECT($C$5&amp;"生成成长"),2))/((VLOOKUP($B125,INDIRECT($B$5&amp;"生成成长"),4))/(VLOOKUP(AG$72,INDIRECT($C$5&amp;"生成成长"),5))*(VLOOKUP($B$5,标准坦克设计!$B$24:$U$30,MATCH("对"&amp;LEFT($C$5,2)&amp;"输出",标准坦克设计!$B$23:$U$23,0)))*(VLOOKUP($B125,INDIRECT($B$5&amp;"生成成长"),3))*(VLOOKUP($B$5,标准坦克设计!$B$14:$K$20,9)/30))</f>
        <v>22.287078512416389</v>
      </c>
      <c r="AH125" s="173">
        <f ca="1">(VLOOKUP(AH$72,INDIRECT($C$5&amp;"生成成长"),2))/((VLOOKUP($B125,INDIRECT($B$5&amp;"生成成长"),4))/(VLOOKUP(AH$72,INDIRECT($C$5&amp;"生成成长"),5))*(VLOOKUP($B$5,标准坦克设计!$B$24:$U$30,MATCH("对"&amp;LEFT($C$5,2)&amp;"输出",标准坦克设计!$B$23:$U$23,0)))*(VLOOKUP($B125,INDIRECT($B$5&amp;"生成成长"),3))*(VLOOKUP($B$5,标准坦克设计!$B$14:$K$20,9)/30))</f>
        <v>23.949735418171663</v>
      </c>
      <c r="AI125" s="173">
        <f ca="1">(VLOOKUP(AI$72,INDIRECT($C$5&amp;"生成成长"),2))/((VLOOKUP($B125,INDIRECT($B$5&amp;"生成成长"),4))/(VLOOKUP(AI$72,INDIRECT($C$5&amp;"生成成长"),5))*(VLOOKUP($B$5,标准坦克设计!$B$24:$U$30,MATCH("对"&amp;LEFT($C$5,2)&amp;"输出",标准坦克设计!$B$23:$U$23,0)))*(VLOOKUP($B125,INDIRECT($B$5&amp;"生成成长"),3))*(VLOOKUP($B$5,标准坦克设计!$B$14:$K$20,9)/30))</f>
        <v>16.938765785899641</v>
      </c>
      <c r="AJ125" s="173">
        <f ca="1">(VLOOKUP(AJ$72,INDIRECT($C$5&amp;"生成成长"),2))/((VLOOKUP($B125,INDIRECT($B$5&amp;"生成成长"),4))/(VLOOKUP(AJ$72,INDIRECT($C$5&amp;"生成成长"),5))*(VLOOKUP($B$5,标准坦克设计!$B$24:$U$30,MATCH("对"&amp;LEFT($C$5,2)&amp;"输出",标准坦克设计!$B$23:$U$23,0)))*(VLOOKUP($B125,INDIRECT($B$5&amp;"生成成长"),3))*(VLOOKUP($B$5,标准坦克设计!$B$14:$K$20,9)/30))</f>
        <v>18.540717772254137</v>
      </c>
      <c r="AK125" s="173">
        <f ca="1">(VLOOKUP(AK$72,INDIRECT($C$5&amp;"生成成长"),2))/((VLOOKUP($B125,INDIRECT($B$5&amp;"生成成长"),4))/(VLOOKUP(AK$72,INDIRECT($C$5&amp;"生成成长"),5))*(VLOOKUP($B$5,标准坦克设计!$B$24:$U$30,MATCH("对"&amp;LEFT($C$5,2)&amp;"输出",标准坦克设计!$B$23:$U$23,0)))*(VLOOKUP($B125,INDIRECT($B$5&amp;"生成成长"),3))*(VLOOKUP($B$5,标准坦克设计!$B$14:$K$20,9)/30))</f>
        <v>20.21503719947065</v>
      </c>
      <c r="AL125" s="173">
        <f ca="1">(VLOOKUP(AL$72,INDIRECT($C$5&amp;"生成成长"),2))/((VLOOKUP($B125,INDIRECT($B$5&amp;"生成成长"),4))/(VLOOKUP(AL$72,INDIRECT($C$5&amp;"生成成长"),5))*(VLOOKUP($B$5,标准坦克设计!$B$24:$U$30,MATCH("对"&amp;LEFT($C$5,2)&amp;"输出",标准坦克设计!$B$23:$U$23,0)))*(VLOOKUP($B125,INDIRECT($B$5&amp;"生成成长"),3))*(VLOOKUP($B$5,标准坦克设计!$B$14:$K$20,9)/30))</f>
        <v>21.96172406754917</v>
      </c>
      <c r="AM125" s="173">
        <f ca="1">(VLOOKUP(AM$72,INDIRECT($C$5&amp;"生成成长"),2))/((VLOOKUP($B125,INDIRECT($B$5&amp;"生成成长"),4))/(VLOOKUP(AM$72,INDIRECT($C$5&amp;"生成成长"),5))*(VLOOKUP($B$5,标准坦克设计!$B$24:$U$30,MATCH("对"&amp;LEFT($C$5,2)&amp;"输出",标准坦克设计!$B$23:$U$23,0)))*(VLOOKUP($B125,INDIRECT($B$5&amp;"生成成长"),3))*(VLOOKUP($B$5,标准坦克设计!$B$14:$K$20,9)/30))</f>
        <v>23.780778376489703</v>
      </c>
      <c r="AN125" s="173">
        <f ca="1">(VLOOKUP(AN$72,INDIRECT($C$5&amp;"生成成长"),2))/((VLOOKUP($B125,INDIRECT($B$5&amp;"生成成长"),4))/(VLOOKUP(AN$72,INDIRECT($C$5&amp;"生成成长"),5))*(VLOOKUP($B$5,标准坦克设计!$B$24:$U$30,MATCH("对"&amp;LEFT($C$5,2)&amp;"输出",标准坦克设计!$B$23:$U$23,0)))*(VLOOKUP($B125,INDIRECT($B$5&amp;"生成成长"),3))*(VLOOKUP($B$5,标准坦克设计!$B$14:$K$20,9)/30))</f>
        <v>25.672200126292246</v>
      </c>
      <c r="AO125" s="173">
        <f ca="1">(VLOOKUP(AO$72,INDIRECT($C$5&amp;"生成成长"),2))/((VLOOKUP($B125,INDIRECT($B$5&amp;"生成成长"),4))/(VLOOKUP(AO$72,INDIRECT($C$5&amp;"生成成长"),5))*(VLOOKUP($B$5,标准坦克设计!$B$24:$U$30,MATCH("对"&amp;LEFT($C$5,2)&amp;"输出",标准坦克设计!$B$23:$U$23,0)))*(VLOOKUP($B125,INDIRECT($B$5&amp;"生成成长"),3))*(VLOOKUP($B$5,标准坦克设计!$B$14:$K$20,9)/30))</f>
        <v>27.635989316956802</v>
      </c>
      <c r="AP125" s="173">
        <f ca="1">(VLOOKUP(AP$72,INDIRECT($C$5&amp;"生成成长"),2))/((VLOOKUP($B125,INDIRECT($B$5&amp;"生成成长"),4))/(VLOOKUP(AP$72,INDIRECT($C$5&amp;"生成成长"),5))*(VLOOKUP($B$5,标准坦克设计!$B$24:$U$30,MATCH("对"&amp;LEFT($C$5,2)&amp;"输出",标准坦克设计!$B$23:$U$23,0)))*(VLOOKUP($B125,INDIRECT($B$5&amp;"生成成长"),3))*(VLOOKUP($B$5,标准坦克设计!$B$14:$K$20,9)/30))</f>
        <v>29.672145948483358</v>
      </c>
      <c r="AQ125" s="173">
        <f ca="1">(VLOOKUP(AQ$72,INDIRECT($C$5&amp;"生成成长"),2))/((VLOOKUP($B125,INDIRECT($B$5&amp;"生成成长"),4))/(VLOOKUP(AQ$72,INDIRECT($C$5&amp;"生成成长"),5))*(VLOOKUP($B$5,标准坦克设计!$B$24:$U$30,MATCH("对"&amp;LEFT($C$5,2)&amp;"输出",标准坦克设计!$B$23:$U$23,0)))*(VLOOKUP($B125,INDIRECT($B$5&amp;"生成成长"),3))*(VLOOKUP($B$5,标准坦克设计!$B$14:$K$20,9)/30))</f>
        <v>31.780670020871927</v>
      </c>
      <c r="AR125" s="173">
        <f ca="1">(VLOOKUP(AR$72,INDIRECT($C$5&amp;"生成成长"),2))/((VLOOKUP($B125,INDIRECT($B$5&amp;"生成成长"),4))/(VLOOKUP(AR$72,INDIRECT($C$5&amp;"生成成长"),5))*(VLOOKUP($B$5,标准坦克设计!$B$24:$U$30,MATCH("对"&amp;LEFT($C$5,2)&amp;"输出",标准坦克设计!$B$23:$U$23,0)))*(VLOOKUP($B125,INDIRECT($B$5&amp;"生成成长"),3))*(VLOOKUP($B$5,标准坦克设计!$B$14:$K$20,9)/30))</f>
        <v>33.961561534122517</v>
      </c>
      <c r="AS125" s="173">
        <f ca="1">(VLOOKUP(AS$72,INDIRECT($C$5&amp;"生成成长"),2))/((VLOOKUP($B125,INDIRECT($B$5&amp;"生成成长"),4))/(VLOOKUP(AS$72,INDIRECT($C$5&amp;"生成成长"),5))*(VLOOKUP($B$5,标准坦克设计!$B$24:$U$30,MATCH("对"&amp;LEFT($C$5,2)&amp;"输出",标准坦克设计!$B$23:$U$23,0)))*(VLOOKUP($B125,INDIRECT($B$5&amp;"生成成长"),3))*(VLOOKUP($B$5,标准坦克设计!$B$14:$K$20,9)/30))</f>
        <v>36.214820488235105</v>
      </c>
      <c r="AT125" s="173">
        <f ca="1">(VLOOKUP(AT$72,INDIRECT($C$5&amp;"生成成长"),2))/((VLOOKUP($B125,INDIRECT($B$5&amp;"生成成长"),4))/(VLOOKUP(AT$72,INDIRECT($C$5&amp;"生成成长"),5))*(VLOOKUP($B$5,标准坦克设计!$B$24:$U$30,MATCH("对"&amp;LEFT($C$5,2)&amp;"输出",标准坦克设计!$B$23:$U$23,0)))*(VLOOKUP($B125,INDIRECT($B$5&amp;"生成成长"),3))*(VLOOKUP($B$5,标准坦克设计!$B$14:$K$20,9)/30))</f>
        <v>38.540446883209704</v>
      </c>
      <c r="AU125" s="173">
        <f ca="1">(VLOOKUP(AU$72,INDIRECT($C$5&amp;"生成成长"),2))/((VLOOKUP($B125,INDIRECT($B$5&amp;"生成成长"),4))/(VLOOKUP(AU$72,INDIRECT($C$5&amp;"生成成长"),5))*(VLOOKUP($B$5,标准坦克设计!$B$24:$U$30,MATCH("对"&amp;LEFT($C$5,2)&amp;"输出",标准坦克设计!$B$23:$U$23,0)))*(VLOOKUP($B125,INDIRECT($B$5&amp;"生成成长"),3))*(VLOOKUP($B$5,标准坦克设计!$B$14:$K$20,9)/30))</f>
        <v>40.938440719046326</v>
      </c>
      <c r="AV125" s="173">
        <f ca="1">(VLOOKUP(AV$72,INDIRECT($C$5&amp;"生成成长"),2))/((VLOOKUP($B125,INDIRECT($B$5&amp;"生成成长"),4))/(VLOOKUP(AV$72,INDIRECT($C$5&amp;"生成成长"),5))*(VLOOKUP($B$5,标准坦克设计!$B$24:$U$30,MATCH("对"&amp;LEFT($C$5,2)&amp;"输出",标准坦克设计!$B$23:$U$23,0)))*(VLOOKUP($B125,INDIRECT($B$5&amp;"生成成长"),3))*(VLOOKUP($B$5,标准坦克设计!$B$14:$K$20,9)/30))</f>
        <v>4.1638192006720312</v>
      </c>
      <c r="AW125" s="173">
        <f ca="1">(VLOOKUP(AW$72,INDIRECT($C$5&amp;"生成成长"),2))/((VLOOKUP($B125,INDIRECT($B$5&amp;"生成成长"),4))/(VLOOKUP(AW$72,INDIRECT($C$5&amp;"生成成长"),5))*(VLOOKUP($B$5,标准坦克设计!$B$24:$U$30,MATCH("对"&amp;LEFT($C$5,2)&amp;"输出",标准坦克设计!$B$23:$U$23,0)))*(VLOOKUP($B125,INDIRECT($B$5&amp;"生成成长"),3))*(VLOOKUP($B$5,标准坦克设计!$B$14:$K$20,9)/30))</f>
        <v>4.7475433517573382</v>
      </c>
      <c r="AX125" s="173">
        <f ca="1">(VLOOKUP(AX$72,INDIRECT($C$5&amp;"生成成长"),2))/((VLOOKUP($B125,INDIRECT($B$5&amp;"生成成长"),4))/(VLOOKUP(AX$72,INDIRECT($C$5&amp;"生成成长"),5))*(VLOOKUP($B$5,标准坦克设计!$B$24:$U$30,MATCH("对"&amp;LEFT($C$5,2)&amp;"输出",标准坦克设计!$B$23:$U$23,0)))*(VLOOKUP($B125,INDIRECT($B$5&amp;"生成成长"),3))*(VLOOKUP($B$5,标准坦克设计!$B$14:$K$20,9)/30))</f>
        <v>5.3695444963564345</v>
      </c>
      <c r="AY125" s="173">
        <f ca="1">(VLOOKUP(AY$72,INDIRECT($C$5&amp;"生成成长"),2))/((VLOOKUP($B125,INDIRECT($B$5&amp;"生成成长"),4))/(VLOOKUP(AY$72,INDIRECT($C$5&amp;"生成成长"),5))*(VLOOKUP($B$5,标准坦克设计!$B$24:$U$30,MATCH("对"&amp;LEFT($C$5,2)&amp;"输出",标准坦克设计!$B$23:$U$23,0)))*(VLOOKUP($B125,INDIRECT($B$5&amp;"生成成长"),3))*(VLOOKUP($B$5,标准坦克设计!$B$14:$K$20,9)/30))</f>
        <v>6.0298226344693227</v>
      </c>
      <c r="AZ125" s="173">
        <f ca="1">(VLOOKUP(AZ$72,INDIRECT($C$5&amp;"生成成长"),2))/((VLOOKUP($B125,INDIRECT($B$5&amp;"生成成长"),4))/(VLOOKUP(AZ$72,INDIRECT($C$5&amp;"生成成长"),5))*(VLOOKUP($B$5,标准坦克设计!$B$24:$U$30,MATCH("对"&amp;LEFT($C$5,2)&amp;"输出",标准坦克设计!$B$23:$U$23,0)))*(VLOOKUP($B125,INDIRECT($B$5&amp;"生成成长"),3))*(VLOOKUP($B$5,标准坦克设计!$B$14:$K$20,9)/30))</f>
        <v>6.7283777660960009</v>
      </c>
      <c r="BA125" s="173">
        <f ca="1">(VLOOKUP(BA$72,INDIRECT($C$5&amp;"生成成长"),2))/((VLOOKUP($B125,INDIRECT($B$5&amp;"生成成长"),4))/(VLOOKUP(BA$72,INDIRECT($C$5&amp;"生成成长"),5))*(VLOOKUP($B$5,标准坦克设计!$B$24:$U$30,MATCH("对"&amp;LEFT($C$5,2)&amp;"输出",标准坦克设计!$B$23:$U$23,0)))*(VLOOKUP($B125,INDIRECT($B$5&amp;"生成成长"),3))*(VLOOKUP($B$5,标准坦克设计!$B$14:$K$20,9)/30))</f>
        <v>7.4652098912364684</v>
      </c>
      <c r="BB125" s="173">
        <f ca="1">(VLOOKUP(BB$72,INDIRECT($C$5&amp;"生成成长"),2))/((VLOOKUP($B125,INDIRECT($B$5&amp;"生成成长"),4))/(VLOOKUP(BB$72,INDIRECT($C$5&amp;"生成成长"),5))*(VLOOKUP($B$5,标准坦克设计!$B$24:$U$30,MATCH("对"&amp;LEFT($C$5,2)&amp;"输出",标准坦克设计!$B$23:$U$23,0)))*(VLOOKUP($B125,INDIRECT($B$5&amp;"生成成长"),3))*(VLOOKUP($B$5,标准坦克设计!$B$14:$K$20,9)/30))</f>
        <v>8.2403190098907295</v>
      </c>
      <c r="BC125" s="173">
        <f ca="1">(VLOOKUP(BC$72,INDIRECT($C$5&amp;"生成成长"),2))/((VLOOKUP($B125,INDIRECT($B$5&amp;"生成成长"),4))/(VLOOKUP(BC$72,INDIRECT($C$5&amp;"生成成长"),5))*(VLOOKUP($B$5,标准坦克设计!$B$24:$U$30,MATCH("对"&amp;LEFT($C$5,2)&amp;"输出",标准坦克设计!$B$23:$U$23,0)))*(VLOOKUP($B125,INDIRECT($B$5&amp;"生成成长"),3))*(VLOOKUP($B$5,标准坦克设计!$B$14:$K$20,9)/30))</f>
        <v>9.0537051220587763</v>
      </c>
      <c r="BD125" s="173">
        <f ca="1">(VLOOKUP(BD$72,INDIRECT($C$5&amp;"生成成长"),2))/((VLOOKUP($B125,INDIRECT($B$5&amp;"生成成长"),4))/(VLOOKUP(BD$72,INDIRECT($C$5&amp;"生成成长"),5))*(VLOOKUP($B$5,标准坦克设计!$B$24:$U$30,MATCH("对"&amp;LEFT($C$5,2)&amp;"输出",标准坦克设计!$B$23:$U$23,0)))*(VLOOKUP($B125,INDIRECT($B$5&amp;"生成成长"),3))*(VLOOKUP($B$5,标准坦克设计!$B$14:$K$20,9)/30))</f>
        <v>10.014517467057287</v>
      </c>
      <c r="BE125" s="173">
        <f ca="1">(VLOOKUP(BE$72,INDIRECT($C$5&amp;"生成成长"),2))/((VLOOKUP($B125,INDIRECT($B$5&amp;"生成成长"),4))/(VLOOKUP(BE$72,INDIRECT($C$5&amp;"生成成长"),5))*(VLOOKUP($B$5,标准坦克设计!$B$24:$U$30,MATCH("对"&amp;LEFT($C$5,2)&amp;"输出",标准坦克设计!$B$23:$U$23,0)))*(VLOOKUP($B125,INDIRECT($B$5&amp;"生成成长"),3))*(VLOOKUP($B$5,标准坦克设计!$B$14:$K$20,9)/30))</f>
        <v>11.023774131971688</v>
      </c>
      <c r="BF125" s="173">
        <f ca="1">(VLOOKUP(BF$72,INDIRECT($C$5&amp;"生成成长"),2))/((VLOOKUP($B125,INDIRECT($B$5&amp;"生成成长"),4))/(VLOOKUP(BF$72,INDIRECT($C$5&amp;"生成成长"),5))*(VLOOKUP($B$5,标准坦克设计!$B$24:$U$30,MATCH("对"&amp;LEFT($C$5,2)&amp;"输出",标准坦克设计!$B$23:$U$23,0)))*(VLOOKUP($B125,INDIRECT($B$5&amp;"生成成长"),3))*(VLOOKUP($B$5,标准坦克设计!$B$14:$K$20,9)/30))</f>
        <v>12.081475116801977</v>
      </c>
      <c r="BG125" s="173">
        <f ca="1">(VLOOKUP(BG$72,INDIRECT($C$5&amp;"生成成长"),2))/((VLOOKUP($B125,INDIRECT($B$5&amp;"生成成长"),4))/(VLOOKUP(BG$72,INDIRECT($C$5&amp;"生成成长"),5))*(VLOOKUP($B$5,标准坦克设计!$B$24:$U$30,MATCH("对"&amp;LEFT($C$5,2)&amp;"输出",标准坦克设计!$B$23:$U$23,0)))*(VLOOKUP($B125,INDIRECT($B$5&amp;"生成成长"),3))*(VLOOKUP($B$5,标准坦克设计!$B$14:$K$20,9)/30))</f>
        <v>13.187620421548157</v>
      </c>
      <c r="BH125" s="173">
        <f ca="1">(VLOOKUP(BH$72,INDIRECT($C$5&amp;"生成成长"),2))/((VLOOKUP($B125,INDIRECT($B$5&amp;"生成成长"),4))/(VLOOKUP(BH$72,INDIRECT($C$5&amp;"生成成长"),5))*(VLOOKUP($B$5,标准坦克设计!$B$24:$U$30,MATCH("对"&amp;LEFT($C$5,2)&amp;"输出",标准坦克设计!$B$23:$U$23,0)))*(VLOOKUP($B125,INDIRECT($B$5&amp;"生成成长"),3))*(VLOOKUP($B$5,标准坦克设计!$B$14:$K$20,9)/30))</f>
        <v>6.3743155760934362</v>
      </c>
      <c r="BI125" s="173">
        <f ca="1">(VLOOKUP(BI$72,INDIRECT($C$5&amp;"生成成长"),2))/((VLOOKUP($B125,INDIRECT($B$5&amp;"生成成长"),4))/(VLOOKUP(BI$72,INDIRECT($C$5&amp;"生成成长"),5))*(VLOOKUP($B$5,标准坦克设计!$B$24:$U$30,MATCH("对"&amp;LEFT($C$5,2)&amp;"输出",标准坦克设计!$B$23:$U$23,0)))*(VLOOKUP($B125,INDIRECT($B$5&amp;"生成成长"),3))*(VLOOKUP($B$5,标准坦克设计!$B$14:$K$20,9)/30))</f>
        <v>7.1844122591313955</v>
      </c>
      <c r="BJ125" s="173">
        <f ca="1">(VLOOKUP(BJ$72,INDIRECT($C$5&amp;"生成成长"),2))/((VLOOKUP($B125,INDIRECT($B$5&amp;"生成成长"),4))/(VLOOKUP(BJ$72,INDIRECT($C$5&amp;"生成成长"),5))*(VLOOKUP($B$5,标准坦克设计!$B$24:$U$30,MATCH("对"&amp;LEFT($C$5,2)&amp;"输出",标准坦克设计!$B$23:$U$23,0)))*(VLOOKUP($B125,INDIRECT($B$5&amp;"生成成长"),3))*(VLOOKUP($B$5,标准坦克设计!$B$14:$K$20,9)/30))</f>
        <v>8.0429532620852449</v>
      </c>
      <c r="BK125" s="173">
        <f ca="1">(VLOOKUP(BK$72,INDIRECT($C$5&amp;"生成成长"),2))/((VLOOKUP($B125,INDIRECT($B$5&amp;"生成成长"),4))/(VLOOKUP(BK$72,INDIRECT($C$5&amp;"生成成长"),5))*(VLOOKUP($B$5,标准坦克设计!$B$24:$U$30,MATCH("对"&amp;LEFT($C$5,2)&amp;"输出",标准坦克设计!$B$23:$U$23,0)))*(VLOOKUP($B125,INDIRECT($B$5&amp;"生成成长"),3))*(VLOOKUP($B$5,标准坦克设计!$B$14:$K$20,9)/30))</f>
        <v>8.9499385849549835</v>
      </c>
      <c r="BL125" s="173">
        <f ca="1">(VLOOKUP(BL$72,INDIRECT($C$5&amp;"生成成长"),2))/((VLOOKUP($B125,INDIRECT($B$5&amp;"生成成长"),4))/(VLOOKUP(BL$72,INDIRECT($C$5&amp;"生成成长"),5))*(VLOOKUP($B$5,标准坦克设计!$B$24:$U$30,MATCH("对"&amp;LEFT($C$5,2)&amp;"输出",标准坦克设计!$B$23:$U$23,0)))*(VLOOKUP($B125,INDIRECT($B$5&amp;"生成成长"),3))*(VLOOKUP($B$5,标准坦克设计!$B$14:$K$20,9)/30))</f>
        <v>9.9053682277406168</v>
      </c>
      <c r="BM125" s="173">
        <f ca="1">(VLOOKUP(BM$72,INDIRECT($C$5&amp;"生成成长"),2))/((VLOOKUP($B125,INDIRECT($B$5&amp;"生成成长"),4))/(VLOOKUP(BM$72,INDIRECT($C$5&amp;"生成成长"),5))*(VLOOKUP($B$5,标准坦克设计!$B$24:$U$30,MATCH("对"&amp;LEFT($C$5,2)&amp;"输出",标准坦克设计!$B$23:$U$23,0)))*(VLOOKUP($B125,INDIRECT($B$5&amp;"生成成长"),3))*(VLOOKUP($B$5,标准坦克设计!$B$14:$K$20,9)/30))</f>
        <v>10.909242190442141</v>
      </c>
      <c r="BN125" s="173">
        <f ca="1">(VLOOKUP(BN$72,INDIRECT($C$5&amp;"生成成长"),2))/((VLOOKUP($B125,INDIRECT($B$5&amp;"生成成长"),4))/(VLOOKUP(BN$72,INDIRECT($C$5&amp;"生成成长"),5))*(VLOOKUP($B$5,标准坦克设计!$B$24:$U$30,MATCH("对"&amp;LEFT($C$5,2)&amp;"输出",标准坦克设计!$B$23:$U$23,0)))*(VLOOKUP($B125,INDIRECT($B$5&amp;"生成成长"),3))*(VLOOKUP($B$5,标准坦克设计!$B$14:$K$20,9)/30))</f>
        <v>11.961560473059556</v>
      </c>
      <c r="BO125" s="173">
        <f ca="1">(VLOOKUP(BO$72,INDIRECT($C$5&amp;"生成成长"),2))/((VLOOKUP($B125,INDIRECT($B$5&amp;"生成成长"),4))/(VLOOKUP(BO$72,INDIRECT($C$5&amp;"生成成长"),5))*(VLOOKUP($B$5,标准坦克设计!$B$24:$U$30,MATCH("对"&amp;LEFT($C$5,2)&amp;"输出",标准坦克设计!$B$23:$U$23,0)))*(VLOOKUP($B125,INDIRECT($B$5&amp;"生成成长"),3))*(VLOOKUP($B$5,标准坦克设计!$B$14:$K$20,9)/30))</f>
        <v>13.062323075592859</v>
      </c>
      <c r="BP125" s="173">
        <f ca="1">(VLOOKUP(BP$72,INDIRECT($C$5&amp;"生成成长"),2))/((VLOOKUP($B125,INDIRECT($B$5&amp;"生成成长"),4))/(VLOOKUP(BP$72,INDIRECT($C$5&amp;"生成成长"),5))*(VLOOKUP($B$5,标准坦克设计!$B$24:$U$30,MATCH("对"&amp;LEFT($C$5,2)&amp;"输出",标准坦克设计!$B$23:$U$23,0)))*(VLOOKUP($B125,INDIRECT($B$5&amp;"生成成长"),3))*(VLOOKUP($B$5,标准坦克设计!$B$14:$K$20,9)/30))</f>
        <v>14.211529998042057</v>
      </c>
      <c r="BQ125" s="173">
        <f ca="1">(VLOOKUP(BQ$72,INDIRECT($C$5&amp;"生成成长"),2))/((VLOOKUP($B125,INDIRECT($B$5&amp;"生成成长"),4))/(VLOOKUP(BQ$72,INDIRECT($C$5&amp;"生成成长"),5))*(VLOOKUP($B$5,标准坦克设计!$B$24:$U$30,MATCH("对"&amp;LEFT($C$5,2)&amp;"输出",标准坦克设计!$B$23:$U$23,0)))*(VLOOKUP($B125,INDIRECT($B$5&amp;"生成成长"),3))*(VLOOKUP($B$5,标准坦克设计!$B$14:$K$20,9)/30))</f>
        <v>15.409181240407147</v>
      </c>
      <c r="BR125" s="173">
        <f ca="1">(VLOOKUP(BR$72,INDIRECT($C$5&amp;"生成成长"),2))/((VLOOKUP($B125,INDIRECT($B$5&amp;"生成成长"),4))/(VLOOKUP(BR$72,INDIRECT($C$5&amp;"生成成长"),5))*(VLOOKUP($B$5,标准坦克设计!$B$24:$U$30,MATCH("对"&amp;LEFT($C$5,2)&amp;"输出",标准坦克设计!$B$23:$U$23,0)))*(VLOOKUP($B125,INDIRECT($B$5&amp;"生成成长"),3))*(VLOOKUP($B$5,标准坦克设计!$B$14:$K$20,9)/30))</f>
        <v>16.796722255282052</v>
      </c>
      <c r="BS125" s="173">
        <f ca="1">(VLOOKUP(BS$72,INDIRECT($C$5&amp;"生成成长"),2))/((VLOOKUP($B125,INDIRECT($B$5&amp;"生成成长"),4))/(VLOOKUP(BS$72,INDIRECT($C$5&amp;"生成成长"),5))*(VLOOKUP($B$5,标准坦克设计!$B$24:$U$30,MATCH("对"&amp;LEFT($C$5,2)&amp;"输出",标准坦克设计!$B$23:$U$23,0)))*(VLOOKUP($B125,INDIRECT($B$5&amp;"生成成长"),3))*(VLOOKUP($B$5,标准坦克设计!$B$14:$K$20,9)/30))</f>
        <v>18.244071072522264</v>
      </c>
      <c r="BT125" s="173">
        <f ca="1">(VLOOKUP(BT$72,INDIRECT($C$5&amp;"生成成长"),2))/((VLOOKUP($B125,INDIRECT($B$5&amp;"生成成长"),4))/(VLOOKUP(BT$72,INDIRECT($C$5&amp;"生成成长"),5))*(VLOOKUP($B$5,标准坦克设计!$B$24:$U$30,MATCH("对"&amp;LEFT($C$5,2)&amp;"输出",标准坦克设计!$B$23:$U$23,0)))*(VLOOKUP($B125,INDIRECT($B$5&amp;"生成成长"),3))*(VLOOKUP($B$5,标准坦克设计!$B$14:$K$20,9)/30))</f>
        <v>19.75122769212776</v>
      </c>
      <c r="BU125" s="173">
        <f ca="1">(VLOOKUP(BU$72,INDIRECT($C$5&amp;"生成成长"),2))/((VLOOKUP($B125,INDIRECT($B$5&amp;"生成成长"),4))/(VLOOKUP(BU$72,INDIRECT($C$5&amp;"生成成长"),5))*(VLOOKUP($B$5,标准坦克设计!$B$24:$U$30,MATCH("对"&amp;LEFT($C$5,2)&amp;"输出",标准坦克设计!$B$23:$U$23,0)))*(VLOOKUP($B125,INDIRECT($B$5&amp;"生成成长"),3))*(VLOOKUP($B$5,标准坦克设计!$B$14:$K$20,9)/30))</f>
        <v>21.318192114098565</v>
      </c>
      <c r="BV125" s="173">
        <f ca="1">(VLOOKUP(BV$72,INDIRECT($C$5&amp;"生成成长"),2))/((VLOOKUP($B125,INDIRECT($B$5&amp;"生成成长"),4))/(VLOOKUP(BV$72,INDIRECT($C$5&amp;"生成成长"),5))*(VLOOKUP($B$5,标准坦克设计!$B$24:$U$30,MATCH("对"&amp;LEFT($C$5,2)&amp;"输出",标准坦克设计!$B$23:$U$23,0)))*(VLOOKUP($B125,INDIRECT($B$5&amp;"生成成长"),3))*(VLOOKUP($B$5,标准坦克设计!$B$14:$K$20,9)/30))</f>
        <v>22.944964338434666</v>
      </c>
      <c r="BW125" s="173">
        <f ca="1">(VLOOKUP(BW$72,INDIRECT($C$5&amp;"生成成长"),2))/((VLOOKUP($B125,INDIRECT($B$5&amp;"生成成长"),4))/(VLOOKUP(BW$72,INDIRECT($C$5&amp;"生成成长"),5))*(VLOOKUP($B$5,标准坦克设计!$B$24:$U$30,MATCH("对"&amp;LEFT($C$5,2)&amp;"输出",标准坦克设计!$B$23:$U$23,0)))*(VLOOKUP($B125,INDIRECT($B$5&amp;"生成成长"),3))*(VLOOKUP($B$5,标准坦克设计!$B$14:$K$20,9)/30))</f>
        <v>10.457095204560492</v>
      </c>
      <c r="BX125" s="173">
        <f ca="1">(VLOOKUP(BX$72,INDIRECT($C$5&amp;"生成成长"),2))/((VLOOKUP($B125,INDIRECT($B$5&amp;"生成成长"),4))/(VLOOKUP(BX$72,INDIRECT($C$5&amp;"生成成长"),5))*(VLOOKUP($B$5,标准坦克设计!$B$24:$U$30,MATCH("对"&amp;LEFT($C$5,2)&amp;"输出",标准坦克设计!$B$23:$U$23,0)))*(VLOOKUP($B125,INDIRECT($B$5&amp;"生成成长"),3))*(VLOOKUP($B$5,标准坦克设计!$B$14:$K$20,9)/30))</f>
        <v>11.605405009974206</v>
      </c>
      <c r="BY125" s="173">
        <f ca="1">(VLOOKUP(BY$72,INDIRECT($C$5&amp;"生成成长"),2))/((VLOOKUP($B125,INDIRECT($B$5&amp;"生成成长"),4))/(VLOOKUP(BY$72,INDIRECT($C$5&amp;"生成成长"),5))*(VLOOKUP($B$5,标准坦克设计!$B$24:$U$30,MATCH("对"&amp;LEFT($C$5,2)&amp;"输出",标准坦克设计!$B$23:$U$23,0)))*(VLOOKUP($B125,INDIRECT($B$5&amp;"生成成长"),3))*(VLOOKUP($B$5,标准坦克设计!$B$14:$K$20,9)/30))</f>
        <v>12.813522617753224</v>
      </c>
      <c r="BZ125" s="173">
        <f ca="1">(VLOOKUP(BZ$72,INDIRECT($C$5&amp;"生成成长"),2))/((VLOOKUP($B125,INDIRECT($B$5&amp;"生成成长"),4))/(VLOOKUP(BZ$72,INDIRECT($C$5&amp;"生成成长"),5))*(VLOOKUP($B$5,标准坦克设计!$B$24:$U$30,MATCH("对"&amp;LEFT($C$5,2)&amp;"输出",标准坦克设计!$B$23:$U$23,0)))*(VLOOKUP($B125,INDIRECT($B$5&amp;"生成成长"),3))*(VLOOKUP($B$5,标准坦克设计!$B$14:$K$20,9)/30))</f>
        <v>14.081448027897535</v>
      </c>
      <c r="CA125" s="173">
        <f ca="1">(VLOOKUP(CA$72,INDIRECT($C$5&amp;"生成成长"),2))/((VLOOKUP($B125,INDIRECT($B$5&amp;"生成成长"),4))/(VLOOKUP(CA$72,INDIRECT($C$5&amp;"生成成长"),5))*(VLOOKUP($B$5,标准坦克设计!$B$24:$U$30,MATCH("对"&amp;LEFT($C$5,2)&amp;"输出",标准坦克设计!$B$23:$U$23,0)))*(VLOOKUP($B125,INDIRECT($B$5&amp;"生成成长"),3))*(VLOOKUP($B$5,标准坦克设计!$B$14:$K$20,9)/30))</f>
        <v>15.409181240407147</v>
      </c>
      <c r="CB125" s="173">
        <f ca="1">(VLOOKUP(CB$72,INDIRECT($C$5&amp;"生成成长"),2))/((VLOOKUP($B125,INDIRECT($B$5&amp;"生成成长"),4))/(VLOOKUP(CB$72,INDIRECT($C$5&amp;"生成成长"),5))*(VLOOKUP($B$5,标准坦克设计!$B$24:$U$30,MATCH("对"&amp;LEFT($C$5,2)&amp;"输出",标准坦克设计!$B$23:$U$23,0)))*(VLOOKUP($B125,INDIRECT($B$5&amp;"生成成长"),3))*(VLOOKUP($B$5,标准坦克设计!$B$14:$K$20,9)/30))</f>
        <v>16.796722255282052</v>
      </c>
      <c r="CC125" s="173">
        <f ca="1">(VLOOKUP(CC$72,INDIRECT($C$5&amp;"生成成长"),2))/((VLOOKUP($B125,INDIRECT($B$5&amp;"生成成长"),4))/(VLOOKUP(CC$72,INDIRECT($C$5&amp;"生成成长"),5))*(VLOOKUP($B$5,标准坦克设计!$B$24:$U$30,MATCH("对"&amp;LEFT($C$5,2)&amp;"输出",标准坦克设计!$B$23:$U$23,0)))*(VLOOKUP($B125,INDIRECT($B$5&amp;"生成成长"),3))*(VLOOKUP($B$5,标准坦克设计!$B$14:$K$20,9)/30))</f>
        <v>18.244071072522264</v>
      </c>
      <c r="CD125" s="173">
        <f ca="1">(VLOOKUP(CD$72,INDIRECT($C$5&amp;"生成成长"),2))/((VLOOKUP($B125,INDIRECT($B$5&amp;"生成成长"),4))/(VLOOKUP(CD$72,INDIRECT($C$5&amp;"生成成长"),5))*(VLOOKUP($B$5,标准坦克设计!$B$24:$U$30,MATCH("对"&amp;LEFT($C$5,2)&amp;"输出",标准坦克设计!$B$23:$U$23,0)))*(VLOOKUP($B125,INDIRECT($B$5&amp;"生成成长"),3))*(VLOOKUP($B$5,标准坦克设计!$B$14:$K$20,9)/30))</f>
        <v>19.75122769212776</v>
      </c>
      <c r="CE125" s="173">
        <f ca="1">(VLOOKUP(CE$72,INDIRECT($C$5&amp;"生成成长"),2))/((VLOOKUP($B125,INDIRECT($B$5&amp;"生成成长"),4))/(VLOOKUP(CE$72,INDIRECT($C$5&amp;"生成成长"),5))*(VLOOKUP($B$5,标准坦克设计!$B$24:$U$30,MATCH("对"&amp;LEFT($C$5,2)&amp;"输出",标准坦克设计!$B$23:$U$23,0)))*(VLOOKUP($B125,INDIRECT($B$5&amp;"生成成长"),3))*(VLOOKUP($B$5,标准坦克设计!$B$14:$K$20,9)/30))</f>
        <v>21.318192114098565</v>
      </c>
      <c r="CF125" s="173">
        <f ca="1">(VLOOKUP(CF$72,INDIRECT($C$5&amp;"生成成长"),2))/((VLOOKUP($B125,INDIRECT($B$5&amp;"生成成长"),4))/(VLOOKUP(CF$72,INDIRECT($C$5&amp;"生成成长"),5))*(VLOOKUP($B$5,标准坦克设计!$B$24:$U$30,MATCH("对"&amp;LEFT($C$5,2)&amp;"输出",标准坦克设计!$B$23:$U$23,0)))*(VLOOKUP($B125,INDIRECT($B$5&amp;"生成成长"),3))*(VLOOKUP($B$5,标准坦克设计!$B$14:$K$20,9)/30))</f>
        <v>22.944964338434666</v>
      </c>
      <c r="CG125" s="173">
        <f ca="1">(VLOOKUP(CG$72,INDIRECT($C$5&amp;"生成成长"),2))/((VLOOKUP($B125,INDIRECT($B$5&amp;"生成成长"),4))/(VLOOKUP(CG$72,INDIRECT($C$5&amp;"生成成长"),5))*(VLOOKUP($B$5,标准坦克设计!$B$24:$U$30,MATCH("对"&amp;LEFT($C$5,2)&amp;"输出",标准坦克设计!$B$23:$U$23,0)))*(VLOOKUP($B125,INDIRECT($B$5&amp;"生成成长"),3))*(VLOOKUP($B$5,标准坦克设计!$B$14:$K$20,9)/30))</f>
        <v>24.631544365136062</v>
      </c>
      <c r="CH125" s="173">
        <f ca="1">(VLOOKUP(CH$72,INDIRECT($C$5&amp;"生成成长"),2))/((VLOOKUP($B125,INDIRECT($B$5&amp;"生成成长"),4))/(VLOOKUP(CH$72,INDIRECT($C$5&amp;"生成成长"),5))*(VLOOKUP($B$5,标准坦克设计!$B$24:$U$30,MATCH("对"&amp;LEFT($C$5,2)&amp;"输出",标准坦克设计!$B$23:$U$23,0)))*(VLOOKUP($B125,INDIRECT($B$5&amp;"生成成长"),3))*(VLOOKUP($B$5,标准坦克设计!$B$14:$K$20,9)/30))</f>
        <v>26.37793219420276</v>
      </c>
      <c r="CI125" s="173">
        <f ca="1">(VLOOKUP(CI$72,INDIRECT($C$5&amp;"生成成长"),2))/((VLOOKUP($B125,INDIRECT($B$5&amp;"生成成长"),4))/(VLOOKUP(CI$72,INDIRECT($C$5&amp;"生成成长"),5))*(VLOOKUP($B$5,标准坦克设计!$B$24:$U$30,MATCH("对"&amp;LEFT($C$5,2)&amp;"输出",标准坦克设计!$B$23:$U$23,0)))*(VLOOKUP($B125,INDIRECT($B$5&amp;"生成成长"),3))*(VLOOKUP($B$5,标准坦克设计!$B$14:$K$20,9)/30))</f>
        <v>28.368036817908042</v>
      </c>
      <c r="CJ125" s="173">
        <f ca="1">(VLOOKUP(CJ$72,INDIRECT($C$5&amp;"生成成长"),2))/((VLOOKUP($B125,INDIRECT($B$5&amp;"生成成长"),4))/(VLOOKUP(CJ$72,INDIRECT($C$5&amp;"生成成长"),5))*(VLOOKUP($B$5,标准坦克设计!$B$24:$U$30,MATCH("对"&amp;LEFT($C$5,2)&amp;"输出",标准坦克设计!$B$23:$U$23,0)))*(VLOOKUP($B125,INDIRECT($B$5&amp;"生成成长"),3))*(VLOOKUP($B$5,标准坦克设计!$B$14:$K$20,9)/30))</f>
        <v>30.430508882475333</v>
      </c>
      <c r="CK125" s="173">
        <f ca="1">(VLOOKUP(CK$72,INDIRECT($C$5&amp;"生成成长"),2))/((VLOOKUP($B125,INDIRECT($B$5&amp;"生成成长"),4))/(VLOOKUP(CK$72,INDIRECT($C$5&amp;"生成成长"),5))*(VLOOKUP($B$5,标准坦克设计!$B$24:$U$30,MATCH("对"&amp;LEFT($C$5,2)&amp;"输出",标准坦克设计!$B$23:$U$23,0)))*(VLOOKUP($B125,INDIRECT($B$5&amp;"生成成长"),3))*(VLOOKUP($B$5,标准坦克设计!$B$14:$K$20,9)/30))</f>
        <v>32.565348387904642</v>
      </c>
      <c r="CL125" s="173">
        <f ca="1">(VLOOKUP(CL$72,INDIRECT($C$5&amp;"生成成长"),2))/((VLOOKUP($B125,INDIRECT($B$5&amp;"生成成长"),4))/(VLOOKUP(CL$72,INDIRECT($C$5&amp;"生成成长"),5))*(VLOOKUP($B$5,标准坦克设计!$B$24:$U$30,MATCH("对"&amp;LEFT($C$5,2)&amp;"输出",标准坦克设计!$B$23:$U$23,0)))*(VLOOKUP($B125,INDIRECT($B$5&amp;"生成成长"),3))*(VLOOKUP($B$5,标准坦克设计!$B$14:$K$20,9)/30))</f>
        <v>34.77255533419595</v>
      </c>
      <c r="CM125" s="173">
        <f ca="1">(VLOOKUP(CM$72,INDIRECT($C$5&amp;"生成成长"),2))/((VLOOKUP($B125,INDIRECT($B$5&amp;"生成成长"),4))/(VLOOKUP(CM$72,INDIRECT($C$5&amp;"生成成长"),5))*(VLOOKUP($B$5,标准坦克设计!$B$24:$U$30,MATCH("对"&amp;LEFT($C$5,2)&amp;"输出",标准坦克设计!$B$23:$U$23,0)))*(VLOOKUP($B125,INDIRECT($B$5&amp;"生成成长"),3))*(VLOOKUP($B$5,标准坦克设计!$B$14:$K$20,9)/30))</f>
        <v>37.052129721349274</v>
      </c>
      <c r="CN125" s="173">
        <f ca="1">(VLOOKUP(CN$72,INDIRECT($C$5&amp;"生成成长"),2))/((VLOOKUP($B125,INDIRECT($B$5&amp;"生成成长"),4))/(VLOOKUP(CN$72,INDIRECT($C$5&amp;"生成成长"),5))*(VLOOKUP($B$5,标准坦克设计!$B$24:$U$30,MATCH("对"&amp;LEFT($C$5,2)&amp;"输出",标准坦克设计!$B$23:$U$23,0)))*(VLOOKUP($B125,INDIRECT($B$5&amp;"生成成长"),3))*(VLOOKUP($B$5,标准坦克设计!$B$14:$K$20,9)/30))</f>
        <v>39.404071549364616</v>
      </c>
      <c r="CO125" s="173">
        <f ca="1">(VLOOKUP(CO$72,INDIRECT($C$5&amp;"生成成长"),2))/((VLOOKUP($B125,INDIRECT($B$5&amp;"生成成长"),4))/(VLOOKUP(CO$72,INDIRECT($C$5&amp;"生成成长"),5))*(VLOOKUP($B$5,标准坦克设计!$B$24:$U$30,MATCH("对"&amp;LEFT($C$5,2)&amp;"输出",标准坦克设计!$B$23:$U$23,0)))*(VLOOKUP($B125,INDIRECT($B$5&amp;"生成成长"),3))*(VLOOKUP($B$5,标准坦克设计!$B$14:$K$20,9)/30))</f>
        <v>17.657954609342344</v>
      </c>
      <c r="CP125" s="173">
        <f ca="1">(VLOOKUP(CP$72,INDIRECT($C$5&amp;"生成成长"),2))/((VLOOKUP($B125,INDIRECT($B$5&amp;"生成成长"),4))/(VLOOKUP(CP$72,INDIRECT($C$5&amp;"生成成长"),5))*(VLOOKUP($B$5,标准坦克设计!$B$24:$U$30,MATCH("对"&amp;LEFT($C$5,2)&amp;"输出",标准坦克设计!$B$23:$U$23,0)))*(VLOOKUP($B125,INDIRECT($B$5&amp;"生成成长"),3))*(VLOOKUP($B$5,标准坦克设计!$B$14:$K$20,9)/30))</f>
        <v>19.292800886997757</v>
      </c>
      <c r="CQ125" s="173">
        <f ca="1">(VLOOKUP(CQ$72,INDIRECT($C$5&amp;"生成成长"),2))/((VLOOKUP($B125,INDIRECT($B$5&amp;"生成成长"),4))/(VLOOKUP(CQ$72,INDIRECT($C$5&amp;"生成成长"),5))*(VLOOKUP($B$5,标准坦克设计!$B$24:$U$30,MATCH("对"&amp;LEFT($C$5,2)&amp;"输出",标准坦克设计!$B$23:$U$23,0)))*(VLOOKUP($B125,INDIRECT($B$5&amp;"生成成长"),3))*(VLOOKUP($B$5,标准坦克设计!$B$14:$K$20,9)/30))</f>
        <v>21.000014605515183</v>
      </c>
      <c r="CR125" s="173">
        <f ca="1">(VLOOKUP(CR$72,INDIRECT($C$5&amp;"生成成长"),2))/((VLOOKUP($B125,INDIRECT($B$5&amp;"生成成长"),4))/(VLOOKUP(CR$72,INDIRECT($C$5&amp;"生成成长"),5))*(VLOOKUP($B$5,标准坦克设计!$B$24:$U$30,MATCH("对"&amp;LEFT($C$5,2)&amp;"输出",标准坦克设计!$B$23:$U$23,0)))*(VLOOKUP($B125,INDIRECT($B$5&amp;"生成成长"),3))*(VLOOKUP($B$5,标准坦克设计!$B$14:$K$20,9)/30))</f>
        <v>22.779595764894616</v>
      </c>
      <c r="CS125" s="173">
        <f ca="1">(VLOOKUP(CS$72,INDIRECT($C$5&amp;"生成成长"),2))/((VLOOKUP($B125,INDIRECT($B$5&amp;"生成成长"),4))/(VLOOKUP(CS$72,INDIRECT($C$5&amp;"生成成长"),5))*(VLOOKUP($B$5,标准坦克设计!$B$24:$U$30,MATCH("对"&amp;LEFT($C$5,2)&amp;"输出",标准坦克设计!$B$23:$U$23,0)))*(VLOOKUP($B125,INDIRECT($B$5&amp;"生成成长"),3))*(VLOOKUP($B$5,标准坦克设计!$B$14:$K$20,9)/30))</f>
        <v>24.631544365136062</v>
      </c>
      <c r="CT125" s="173">
        <f ca="1">(VLOOKUP(CT$72,INDIRECT($C$5&amp;"生成成长"),2))/((VLOOKUP($B125,INDIRECT($B$5&amp;"生成成长"),4))/(VLOOKUP(CT$72,INDIRECT($C$5&amp;"生成成长"),5))*(VLOOKUP($B$5,标准坦克设计!$B$24:$U$30,MATCH("对"&amp;LEFT($C$5,2)&amp;"输出",标准坦克设计!$B$23:$U$23,0)))*(VLOOKUP($B125,INDIRECT($B$5&amp;"生成成长"),3))*(VLOOKUP($B$5,标准坦克设计!$B$14:$K$20,9)/30))</f>
        <v>26.555860406239514</v>
      </c>
      <c r="CU125" s="173">
        <f ca="1">(VLOOKUP(CU$72,INDIRECT($C$5&amp;"生成成长"),2))/((VLOOKUP($B125,INDIRECT($B$5&amp;"生成成长"),4))/(VLOOKUP(CU$72,INDIRECT($C$5&amp;"生成成长"),5))*(VLOOKUP($B$5,标准坦克设计!$B$24:$U$30,MATCH("对"&amp;LEFT($C$5,2)&amp;"输出",标准坦克设计!$B$23:$U$23,0)))*(VLOOKUP($B125,INDIRECT($B$5&amp;"生成成长"),3))*(VLOOKUP($B$5,标准坦克设计!$B$14:$K$20,9)/30))</f>
        <v>28.55254388820499</v>
      </c>
      <c r="CV125" s="173">
        <f ca="1">(VLOOKUP(CV$72,INDIRECT($C$5&amp;"生成成长"),2))/((VLOOKUP($B125,INDIRECT($B$5&amp;"生成成长"),4))/(VLOOKUP(CV$72,INDIRECT($C$5&amp;"生成成长"),5))*(VLOOKUP($B$5,标准坦克设计!$B$24:$U$30,MATCH("对"&amp;LEFT($C$5,2)&amp;"输出",标准坦克设计!$B$23:$U$23,0)))*(VLOOKUP($B125,INDIRECT($B$5&amp;"生成成长"),3))*(VLOOKUP($B$5,标准坦克设计!$B$14:$K$20,9)/30))</f>
        <v>30.621594811032466</v>
      </c>
      <c r="CW125" s="173">
        <f ca="1">(VLOOKUP(CW$72,INDIRECT($C$5&amp;"生成成长"),2))/((VLOOKUP($B125,INDIRECT($B$5&amp;"生成成长"),4))/(VLOOKUP(CW$72,INDIRECT($C$5&amp;"生成成长"),5))*(VLOOKUP($B$5,标准坦克设计!$B$24:$U$30,MATCH("对"&amp;LEFT($C$5,2)&amp;"输出",标准坦克设计!$B$23:$U$23,0)))*(VLOOKUP($B125,INDIRECT($B$5&amp;"生成成长"),3))*(VLOOKUP($B$5,标准坦克设计!$B$14:$K$20,9)/30))</f>
        <v>32.763013174721948</v>
      </c>
      <c r="CX125" s="173">
        <f ca="1">(VLOOKUP(CX$72,INDIRECT($C$5&amp;"生成成长"),2))/((VLOOKUP($B125,INDIRECT($B$5&amp;"生成成长"),4))/(VLOOKUP(CX$72,INDIRECT($C$5&amp;"生成成长"),5))*(VLOOKUP($B$5,标准坦克设计!$B$24:$U$30,MATCH("对"&amp;LEFT($C$5,2)&amp;"输出",标准坦克设计!$B$23:$U$23,0)))*(VLOOKUP($B125,INDIRECT($B$5&amp;"生成成长"),3))*(VLOOKUP($B$5,标准坦克设计!$B$14:$K$20,9)/30))</f>
        <v>34.976798979273447</v>
      </c>
      <c r="CY125" s="173">
        <f ca="1">(VLOOKUP(CY$72,INDIRECT($C$5&amp;"生成成长"),2))/((VLOOKUP($B125,INDIRECT($B$5&amp;"生成成长"),4))/(VLOOKUP(CY$72,INDIRECT($C$5&amp;"生成成长"),5))*(VLOOKUP($B$5,标准坦克设计!$B$24:$U$30,MATCH("对"&amp;LEFT($C$5,2)&amp;"输出",标准坦克设计!$B$23:$U$23,0)))*(VLOOKUP($B125,INDIRECT($B$5&amp;"生成成长"),3))*(VLOOKUP($B$5,标准坦克设计!$B$14:$K$20,9)/30))</f>
        <v>37.262952224686956</v>
      </c>
      <c r="CZ125" s="173">
        <f ca="1">(VLOOKUP(CZ$72,INDIRECT($C$5&amp;"生成成长"),2))/((VLOOKUP($B125,INDIRECT($B$5&amp;"生成成长"),4))/(VLOOKUP(CZ$72,INDIRECT($C$5&amp;"生成成长"),5))*(VLOOKUP($B$5,标准坦克设计!$B$24:$U$30,MATCH("对"&amp;LEFT($C$5,2)&amp;"输出",标准坦克设计!$B$23:$U$23,0)))*(VLOOKUP($B125,INDIRECT($B$5&amp;"生成成长"),3))*(VLOOKUP($B$5,标准坦克设计!$B$14:$K$20,9)/30))</f>
        <v>39.621472910962467</v>
      </c>
      <c r="DA125" s="173">
        <f ca="1">(VLOOKUP(DA$72,INDIRECT($C$5&amp;"生成成长"),2))/((VLOOKUP($B125,INDIRECT($B$5&amp;"生成成长"),4))/(VLOOKUP(DA$72,INDIRECT($C$5&amp;"生成成长"),5))*(VLOOKUP($B$5,标准坦克设计!$B$24:$U$30,MATCH("对"&amp;LEFT($C$5,2)&amp;"输出",标准坦克设计!$B$23:$U$23,0)))*(VLOOKUP($B125,INDIRECT($B$5&amp;"生成成长"),3))*(VLOOKUP($B$5,标准坦克设计!$B$14:$K$20,9)/30))</f>
        <v>42.052361038100003</v>
      </c>
      <c r="DB125" s="173">
        <f ca="1">(VLOOKUP(DB$72,INDIRECT($C$5&amp;"生成成长"),2))/((VLOOKUP($B125,INDIRECT($B$5&amp;"生成成长"),4))/(VLOOKUP(DB$72,INDIRECT($C$5&amp;"生成成长"),5))*(VLOOKUP($B$5,标准坦克设计!$B$24:$U$30,MATCH("对"&amp;LEFT($C$5,2)&amp;"输出",标准坦克设计!$B$23:$U$23,0)))*(VLOOKUP($B125,INDIRECT($B$5&amp;"生成成长"),3))*(VLOOKUP($B$5,标准坦克设计!$B$14:$K$20,9)/30))</f>
        <v>44.555616606099534</v>
      </c>
      <c r="DC125" s="173">
        <f ca="1">(VLOOKUP(DC$72,INDIRECT($C$5&amp;"生成成长"),2))/((VLOOKUP($B125,INDIRECT($B$5&amp;"生成成长"),4))/(VLOOKUP(DC$72,INDIRECT($C$5&amp;"生成成长"),5))*(VLOOKUP($B$5,标准坦克设计!$B$24:$U$30,MATCH("对"&amp;LEFT($C$5,2)&amp;"输出",标准坦克设计!$B$23:$U$23,0)))*(VLOOKUP($B125,INDIRECT($B$5&amp;"生成成长"),3))*(VLOOKUP($B$5,标准坦克设计!$B$14:$K$20,9)/30))</f>
        <v>47.368975629363149</v>
      </c>
      <c r="DD125" s="173">
        <f ca="1">(VLOOKUP(DD$72,INDIRECT($C$5&amp;"生成成长"),2))/((VLOOKUP($B125,INDIRECT($B$5&amp;"生成成长"),4))/(VLOOKUP(DD$72,INDIRECT($C$5&amp;"生成成长"),5))*(VLOOKUP($B$5,标准坦克设计!$B$24:$U$30,MATCH("对"&amp;LEFT($C$5,2)&amp;"输出",标准坦克设计!$B$23:$U$23,0)))*(VLOOKUP($B125,INDIRECT($B$5&amp;"生成成长"),3))*(VLOOKUP($B$5,标准坦克设计!$B$14:$K$20,9)/30))</f>
        <v>50.268457888032778</v>
      </c>
      <c r="DE125" s="173">
        <f ca="1">(VLOOKUP(DE$72,INDIRECT($C$5&amp;"生成成长"),2))/((VLOOKUP($B125,INDIRECT($B$5&amp;"生成成长"),4))/(VLOOKUP(DE$72,INDIRECT($C$5&amp;"生成成长"),5))*(VLOOKUP($B$5,标准坦克设计!$B$24:$U$30,MATCH("对"&amp;LEFT($C$5,2)&amp;"输出",标准坦克设计!$B$23:$U$23,0)))*(VLOOKUP($B125,INDIRECT($B$5&amp;"生成成长"),3))*(VLOOKUP($B$5,标准坦克设计!$B$14:$K$20,9)/30))</f>
        <v>53.254063382108455</v>
      </c>
      <c r="DF125" s="173">
        <f ca="1">(VLOOKUP(DF$72,INDIRECT($C$5&amp;"生成成长"),2))/((VLOOKUP($B125,INDIRECT($B$5&amp;"生成成长"),4))/(VLOOKUP(DF$72,INDIRECT($C$5&amp;"生成成长"),5))*(VLOOKUP($B$5,标准坦克设计!$B$24:$U$30,MATCH("对"&amp;LEFT($C$5,2)&amp;"输出",标准坦克设计!$B$23:$U$23,0)))*(VLOOKUP($B125,INDIRECT($B$5&amp;"生成成长"),3))*(VLOOKUP($B$5,标准坦克设计!$B$14:$K$20,9)/30))</f>
        <v>56.32579211159014</v>
      </c>
      <c r="DG125" s="173">
        <f ca="1">(VLOOKUP(DG$72,INDIRECT($C$5&amp;"生成成长"),2))/((VLOOKUP($B125,INDIRECT($B$5&amp;"生成成长"),4))/(VLOOKUP(DG$72,INDIRECT($C$5&amp;"生成成长"),5))*(VLOOKUP($B$5,标准坦克设计!$B$24:$U$30,MATCH("对"&amp;LEFT($C$5,2)&amp;"输出",标准坦克设计!$B$23:$U$23,0)))*(VLOOKUP($B125,INDIRECT($B$5&amp;"生成成长"),3))*(VLOOKUP($B$5,标准坦克设计!$B$14:$K$20,9)/30))</f>
        <v>59.483644076477866</v>
      </c>
      <c r="DH125" s="173">
        <f ca="1">(VLOOKUP(DH$72,INDIRECT($C$5&amp;"生成成长"),2))/((VLOOKUP($B125,INDIRECT($B$5&amp;"生成成长"),4))/(VLOOKUP(DH$72,INDIRECT($C$5&amp;"生成成长"),5))*(VLOOKUP($B$5,标准坦克设计!$B$24:$U$30,MATCH("对"&amp;LEFT($C$5,2)&amp;"输出",标准坦克设计!$B$23:$U$23,0)))*(VLOOKUP($B125,INDIRECT($B$5&amp;"生成成长"),3))*(VLOOKUP($B$5,标准坦克设计!$B$14:$K$20,9)/30))</f>
        <v>62.72761927677162</v>
      </c>
      <c r="DI125" s="173">
        <f ca="1">(VLOOKUP(DI$72,INDIRECT($C$5&amp;"生成成长"),2))/((VLOOKUP($B125,INDIRECT($B$5&amp;"生成成长"),4))/(VLOOKUP(DI$72,INDIRECT($C$5&amp;"生成成长"),5))*(VLOOKUP($B$5,标准坦克设计!$B$24:$U$30,MATCH("对"&amp;LEFT($C$5,2)&amp;"输出",标准坦克设计!$B$23:$U$23,0)))*(VLOOKUP($B125,INDIRECT($B$5&amp;"生成成长"),3))*(VLOOKUP($B$5,标准坦克设计!$B$14:$K$20,9)/30))</f>
        <v>66.057717712471401</v>
      </c>
      <c r="DJ125" s="173">
        <f ca="1">(VLOOKUP(DJ$72,INDIRECT($C$5&amp;"生成成长"),2))/((VLOOKUP($B125,INDIRECT($B$5&amp;"生成成长"),4))/(VLOOKUP(DJ$72,INDIRECT($C$5&amp;"生成成长"),5))*(VLOOKUP($B$5,标准坦克设计!$B$24:$U$30,MATCH("对"&amp;LEFT($C$5,2)&amp;"输出",标准坦克设计!$B$23:$U$23,0)))*(VLOOKUP($B125,INDIRECT($B$5&amp;"生成成长"),3))*(VLOOKUP($B$5,标准坦克设计!$B$14:$K$20,9)/30))</f>
        <v>6.6389651015598785</v>
      </c>
      <c r="DK125" s="173">
        <f ca="1">(VLOOKUP(DK$72,INDIRECT($C$5&amp;"生成成长"),2))/((VLOOKUP($B125,INDIRECT($B$5&amp;"生成成长"),4))/(VLOOKUP(DK$72,INDIRECT($C$5&amp;"生成成长"),5))*(VLOOKUP($B$5,标准坦克设计!$B$24:$U$30,MATCH("对"&amp;LEFT($C$5,2)&amp;"输出",标准坦克设计!$B$23:$U$23,0)))*(VLOOKUP($B125,INDIRECT($B$5&amp;"生成成长"),3))*(VLOOKUP($B$5,标准坦克设计!$B$14:$K$20,9)/30))</f>
        <v>7.4652098912364684</v>
      </c>
      <c r="DL125" s="173">
        <f ca="1">(VLOOKUP(DL$72,INDIRECT($C$5&amp;"生成成长"),2))/((VLOOKUP($B125,INDIRECT($B$5&amp;"生成成长"),4))/(VLOOKUP(DL$72,INDIRECT($C$5&amp;"生成成长"),5))*(VLOOKUP($B$5,标准坦克设计!$B$24:$U$30,MATCH("对"&amp;LEFT($C$5,2)&amp;"输出",标准坦克设计!$B$23:$U$23,0)))*(VLOOKUP($B125,INDIRECT($B$5&amp;"生成成长"),3))*(VLOOKUP($B$5,标准坦克设计!$B$14:$K$20,9)/30))</f>
        <v>8.3398990008289484</v>
      </c>
      <c r="DM125" s="173">
        <f ca="1">(VLOOKUP(DM$72,INDIRECT($C$5&amp;"生成成长"),2))/((VLOOKUP($B125,INDIRECT($B$5&amp;"生成成长"),4))/(VLOOKUP(DM$72,INDIRECT($C$5&amp;"生成成长"),5))*(VLOOKUP($B$5,标准坦克设计!$B$24:$U$30,MATCH("对"&amp;LEFT($C$5,2)&amp;"输出",标准坦克设计!$B$23:$U$23,0)))*(VLOOKUP($B125,INDIRECT($B$5&amp;"生成成长"),3))*(VLOOKUP($B$5,标准坦克设计!$B$14:$K$20,9)/30))</f>
        <v>9.2630324303373186</v>
      </c>
      <c r="DN125" s="173">
        <f ca="1">(VLOOKUP(DN$72,INDIRECT($C$5&amp;"生成成长"),2))/((VLOOKUP($B125,INDIRECT($B$5&amp;"生成成长"),4))/(VLOOKUP(DN$72,INDIRECT($C$5&amp;"生成成长"),5))*(VLOOKUP($B$5,标准坦克设计!$B$24:$U$30,MATCH("对"&amp;LEFT($C$5,2)&amp;"输出",标准坦克设计!$B$23:$U$23,0)))*(VLOOKUP($B125,INDIRECT($B$5&amp;"生成成长"),3))*(VLOOKUP($B$5,标准坦克设计!$B$14:$K$20,9)/30))</f>
        <v>10.234610179761582</v>
      </c>
      <c r="DO125" s="173">
        <f ca="1">(VLOOKUP(DO$72,INDIRECT($C$5&amp;"生成成长"),2))/((VLOOKUP($B125,INDIRECT($B$5&amp;"生成成长"),4))/(VLOOKUP(DO$72,INDIRECT($C$5&amp;"生成成长"),5))*(VLOOKUP($B$5,标准坦克设计!$B$24:$U$30,MATCH("对"&amp;LEFT($C$5,2)&amp;"输出",标准坦克设计!$B$23:$U$23,0)))*(VLOOKUP($B125,INDIRECT($B$5&amp;"生成成长"),3))*(VLOOKUP($B$5,标准坦克设计!$B$14:$K$20,9)/30))</f>
        <v>11.254632249101734</v>
      </c>
      <c r="DP125" s="173">
        <f ca="1">(VLOOKUP(DP$72,INDIRECT($C$5&amp;"生成成长"),2))/((VLOOKUP($B125,INDIRECT($B$5&amp;"生成成长"),4))/(VLOOKUP(DP$72,INDIRECT($C$5&amp;"生成成长"),5))*(VLOOKUP($B$5,标准坦克设计!$B$24:$U$30,MATCH("对"&amp;LEFT($C$5,2)&amp;"输出",标准坦克设计!$B$23:$U$23,0)))*(VLOOKUP($B125,INDIRECT($B$5&amp;"生成成长"),3))*(VLOOKUP($B$5,标准坦克设计!$B$14:$K$20,9)/30))</f>
        <v>12.323098638357781</v>
      </c>
      <c r="DQ125" s="173">
        <f ca="1">(VLOOKUP(DQ$72,INDIRECT($C$5&amp;"生成成长"),2))/((VLOOKUP($B125,INDIRECT($B$5&amp;"生成成长"),4))/(VLOOKUP(DQ$72,INDIRECT($C$5&amp;"生成成长"),5))*(VLOOKUP($B$5,标准坦克设计!$B$24:$U$30,MATCH("对"&amp;LEFT($C$5,2)&amp;"输出",标准坦克设计!$B$23:$U$23,0)))*(VLOOKUP($B125,INDIRECT($B$5&amp;"生成成长"),3))*(VLOOKUP($B$5,标准坦克设计!$B$14:$K$20,9)/30))</f>
        <v>13.440009347529715</v>
      </c>
      <c r="DR125" s="173">
        <f ca="1">(VLOOKUP(DR$72,INDIRECT($C$5&amp;"生成成长"),2))/((VLOOKUP($B125,INDIRECT($B$5&amp;"生成成长"),4))/(VLOOKUP(DR$72,INDIRECT($C$5&amp;"生成成长"),5))*(VLOOKUP($B$5,标准坦克设计!$B$24:$U$30,MATCH("对"&amp;LEFT($C$5,2)&amp;"输出",标准坦克设计!$B$23:$U$23,0)))*(VLOOKUP($B125,INDIRECT($B$5&amp;"生成成长"),3))*(VLOOKUP($B$5,标准坦克设计!$B$14:$K$20,9)/30))</f>
        <v>14.605364376617546</v>
      </c>
      <c r="DS125" s="173">
        <f ca="1">(VLOOKUP(DS$72,INDIRECT($C$5&amp;"生成成长"),2))/((VLOOKUP($B125,INDIRECT($B$5&amp;"生成成长"),4))/(VLOOKUP(DS$72,INDIRECT($C$5&amp;"生成成长"),5))*(VLOOKUP($B$5,标准坦克设计!$B$24:$U$30,MATCH("对"&amp;LEFT($C$5,2)&amp;"输出",标准坦克设计!$B$23:$U$23,0)))*(VLOOKUP($B125,INDIRECT($B$5&amp;"生成成长"),3))*(VLOOKUP($B$5,标准坦克设计!$B$14:$K$20,9)/30))</f>
        <v>15.819163725621264</v>
      </c>
      <c r="DT125" s="173">
        <f ca="1">(VLOOKUP(DT$72,INDIRECT($C$5&amp;"生成成长"),2))/((VLOOKUP($B125,INDIRECT($B$5&amp;"生成成长"),4))/(VLOOKUP(DT$72,INDIRECT($C$5&amp;"生成成长"),5))*(VLOOKUP($B$5,标准坦克设计!$B$24:$U$30,MATCH("对"&amp;LEFT($C$5,2)&amp;"输出",标准坦克设计!$B$23:$U$23,0)))*(VLOOKUP($B125,INDIRECT($B$5&amp;"生成成长"),3))*(VLOOKUP($B$5,标准坦克设计!$B$14:$K$20,9)/30))</f>
        <v>17.368484845894301</v>
      </c>
      <c r="DU125" s="173">
        <f ca="1">(VLOOKUP(DU$72,INDIRECT($C$5&amp;"生成成长"),2))/((VLOOKUP($B125,INDIRECT($B$5&amp;"生成成长"),4))/(VLOOKUP(DU$72,INDIRECT($C$5&amp;"生成成长"),5))*(VLOOKUP($B$5,标准坦克设计!$B$24:$U$30,MATCH("对"&amp;LEFT($C$5,2)&amp;"输出",标准坦克设计!$B$23:$U$23,0)))*(VLOOKUP($B125,INDIRECT($B$5&amp;"生成成长"),3))*(VLOOKUP($B$5,标准坦克设计!$B$14:$K$20,9)/30))</f>
        <v>18.990173407029353</v>
      </c>
      <c r="DV125" s="173">
        <f ca="1">(VLOOKUP(DV$72,INDIRECT($C$5&amp;"生成成长"),2))/((VLOOKUP($B125,INDIRECT($B$5&amp;"生成成长"),4))/(VLOOKUP(DV$72,INDIRECT($C$5&amp;"生成成长"),5))*(VLOOKUP($B$5,标准坦克设计!$B$24:$U$30,MATCH("对"&amp;LEFT($C$5,2)&amp;"输出",标准坦克设计!$B$23:$U$23,0)))*(VLOOKUP($B125,INDIRECT($B$5&amp;"生成成长"),3))*(VLOOKUP($B$5,标准坦克设计!$B$14:$K$20,9)/30))</f>
        <v>20.684229409026408</v>
      </c>
      <c r="DW125" s="173">
        <f ca="1">(VLOOKUP(DW$72,INDIRECT($C$5&amp;"生成成长"),2))/((VLOOKUP($B125,INDIRECT($B$5&amp;"生成成长"),4))/(VLOOKUP(DW$72,INDIRECT($C$5&amp;"生成成长"),5))*(VLOOKUP($B$5,标准坦克设计!$B$24:$U$30,MATCH("对"&amp;LEFT($C$5,2)&amp;"输出",标准坦克设计!$B$23:$U$23,0)))*(VLOOKUP($B125,INDIRECT($B$5&amp;"生成成长"),3))*(VLOOKUP($B$5,标准坦克设计!$B$14:$K$20,9)/30))</f>
        <v>22.450652851885479</v>
      </c>
      <c r="DX125" s="173">
        <f ca="1">(VLOOKUP(DX$72,INDIRECT($C$5&amp;"生成成长"),2))/((VLOOKUP($B125,INDIRECT($B$5&amp;"生成成长"),4))/(VLOOKUP(DX$72,INDIRECT($C$5&amp;"生成成长"),5))*(VLOOKUP($B$5,标准坦克设计!$B$24:$U$30,MATCH("对"&amp;LEFT($C$5,2)&amp;"输出",标准坦克设计!$B$23:$U$23,0)))*(VLOOKUP($B125,INDIRECT($B$5&amp;"生成成长"),3))*(VLOOKUP($B$5,标准坦克设计!$B$14:$K$20,9)/30))</f>
        <v>24.289443735606561</v>
      </c>
      <c r="DY125" s="173">
        <f ca="1">(VLOOKUP(DY$72,INDIRECT($C$5&amp;"生成成长"),2))/((VLOOKUP($B125,INDIRECT($B$5&amp;"生成成长"),4))/(VLOOKUP(DY$72,INDIRECT($C$5&amp;"生成成长"),5))*(VLOOKUP($B$5,标准坦克设计!$B$24:$U$30,MATCH("对"&amp;LEFT($C$5,2)&amp;"输出",标准坦克设计!$B$23:$U$23,0)))*(VLOOKUP($B125,INDIRECT($B$5&amp;"生成成长"),3))*(VLOOKUP($B$5,标准坦克设计!$B$14:$K$20,9)/30))</f>
        <v>10.909242190442141</v>
      </c>
      <c r="DZ125" s="173">
        <f ca="1">(VLOOKUP(DZ$72,INDIRECT($C$5&amp;"生成成长"),2))/((VLOOKUP($B125,INDIRECT($B$5&amp;"生成成长"),4))/(VLOOKUP(DZ$72,INDIRECT($C$5&amp;"生成成长"),5))*(VLOOKUP($B$5,标准坦克设计!$B$24:$U$30,MATCH("对"&amp;LEFT($C$5,2)&amp;"输出",标准坦克设计!$B$23:$U$23,0)))*(VLOOKUP($B125,INDIRECT($B$5&amp;"生成成长"),3))*(VLOOKUP($B$5,标准坦克设计!$B$14:$K$20,9)/30))</f>
        <v>12.081475116801977</v>
      </c>
      <c r="EA125" s="173">
        <f ca="1">(VLOOKUP(EA$72,INDIRECT($C$5&amp;"生成成长"),2))/((VLOOKUP($B125,INDIRECT($B$5&amp;"生成成长"),4))/(VLOOKUP(EA$72,INDIRECT($C$5&amp;"生成成长"),5))*(VLOOKUP($B$5,标准坦克设计!$B$24:$U$30,MATCH("对"&amp;LEFT($C$5,2)&amp;"输出",标准坦克设计!$B$23:$U$23,0)))*(VLOOKUP($B125,INDIRECT($B$5&amp;"生成成长"),3))*(VLOOKUP($B$5,标准坦克设计!$B$14:$K$20,9)/30))</f>
        <v>13.313515845527114</v>
      </c>
      <c r="EB125" s="173">
        <f ca="1">(VLOOKUP(EB$72,INDIRECT($C$5&amp;"生成成长"),2))/((VLOOKUP($B125,INDIRECT($B$5&amp;"生成成长"),4))/(VLOOKUP(EB$72,INDIRECT($C$5&amp;"生成成长"),5))*(VLOOKUP($B$5,标准坦克设计!$B$24:$U$30,MATCH("对"&amp;LEFT($C$5,2)&amp;"输出",标准坦克设计!$B$23:$U$23,0)))*(VLOOKUP($B125,INDIRECT($B$5&amp;"生成成长"),3))*(VLOOKUP($B$5,标准坦克设计!$B$14:$K$20,9)/30))</f>
        <v>14.605364376617546</v>
      </c>
      <c r="EC125" s="173">
        <f ca="1">(VLOOKUP(EC$72,INDIRECT($C$5&amp;"生成成长"),2))/((VLOOKUP($B125,INDIRECT($B$5&amp;"生成成长"),4))/(VLOOKUP(EC$72,INDIRECT($C$5&amp;"生成成长"),5))*(VLOOKUP($B$5,标准坦克设计!$B$24:$U$30,MATCH("对"&amp;LEFT($C$5,2)&amp;"输出",标准坦克设计!$B$23:$U$23,0)))*(VLOOKUP($B125,INDIRECT($B$5&amp;"生成成长"),3))*(VLOOKUP($B$5,标准坦克设计!$B$14:$K$20,9)/30))</f>
        <v>15.957020710073271</v>
      </c>
      <c r="ED125" s="173">
        <f ca="1">(VLOOKUP(ED$72,INDIRECT($C$5&amp;"生成成长"),2))/((VLOOKUP($B125,INDIRECT($B$5&amp;"生成成长"),4))/(VLOOKUP(ED$72,INDIRECT($C$5&amp;"生成成长"),5))*(VLOOKUP($B$5,标准坦克设计!$B$24:$U$30,MATCH("对"&amp;LEFT($C$5,2)&amp;"输出",标准坦克设计!$B$23:$U$23,0)))*(VLOOKUP($B125,INDIRECT($B$5&amp;"生成成长"),3))*(VLOOKUP($B$5,标准坦克设计!$B$14:$K$20,9)/30))</f>
        <v>17.368484845894301</v>
      </c>
      <c r="EE125" s="173">
        <f ca="1">(VLOOKUP(EE$72,INDIRECT($C$5&amp;"生成成长"),2))/((VLOOKUP($B125,INDIRECT($B$5&amp;"生成成长"),4))/(VLOOKUP(EE$72,INDIRECT($C$5&amp;"生成成长"),5))*(VLOOKUP($B$5,标准坦克设计!$B$24:$U$30,MATCH("对"&amp;LEFT($C$5,2)&amp;"输出",标准坦克设计!$B$23:$U$23,0)))*(VLOOKUP($B125,INDIRECT($B$5&amp;"生成成长"),3))*(VLOOKUP($B$5,标准坦克设计!$B$14:$K$20,9)/30))</f>
        <v>18.839756784080627</v>
      </c>
      <c r="EF125" s="173">
        <f ca="1">(VLOOKUP(EF$72,INDIRECT($C$5&amp;"生成成长"),2))/((VLOOKUP($B125,INDIRECT($B$5&amp;"生成成长"),4))/(VLOOKUP(EF$72,INDIRECT($C$5&amp;"生成成长"),5))*(VLOOKUP($B$5,标准坦克设计!$B$24:$U$30,MATCH("对"&amp;LEFT($C$5,2)&amp;"输出",标准坦克设计!$B$23:$U$23,0)))*(VLOOKUP($B125,INDIRECT($B$5&amp;"生成成长"),3))*(VLOOKUP($B$5,标准坦克设计!$B$14:$K$20,9)/30))</f>
        <v>20.370836524632249</v>
      </c>
      <c r="EG125" s="173">
        <f ca="1">(VLOOKUP(EG$72,INDIRECT($C$5&amp;"生成成长"),2))/((VLOOKUP($B125,INDIRECT($B$5&amp;"生成成长"),4))/(VLOOKUP(EG$72,INDIRECT($C$5&amp;"生成成长"),5))*(VLOOKUP($B$5,标准坦克设计!$B$24:$U$30,MATCH("对"&amp;LEFT($C$5,2)&amp;"输出",标准坦克设计!$B$23:$U$23,0)))*(VLOOKUP($B125,INDIRECT($B$5&amp;"生成成长"),3))*(VLOOKUP($B$5,标准坦克设计!$B$14:$K$20,9)/30))</f>
        <v>21.96172406754917</v>
      </c>
      <c r="EH125" s="173">
        <f ca="1">(VLOOKUP(EH$72,INDIRECT($C$5&amp;"生成成长"),2))/((VLOOKUP($B125,INDIRECT($B$5&amp;"生成成长"),4))/(VLOOKUP(EH$72,INDIRECT($C$5&amp;"生成成长"),5))*(VLOOKUP($B$5,标准坦克设计!$B$24:$U$30,MATCH("对"&amp;LEFT($C$5,2)&amp;"输出",标准坦克设计!$B$23:$U$23,0)))*(VLOOKUP($B125,INDIRECT($B$5&amp;"生成成长"),3))*(VLOOKUP($B$5,标准坦克设计!$B$14:$K$20,9)/30))</f>
        <v>23.61241941283139</v>
      </c>
      <c r="EI125" s="173">
        <f ca="1">(VLOOKUP(EI$72,INDIRECT($C$5&amp;"生成成长"),2))/((VLOOKUP($B125,INDIRECT($B$5&amp;"生成成长"),4))/(VLOOKUP(EI$72,INDIRECT($C$5&amp;"生成成长"),5))*(VLOOKUP($B$5,标准坦克设计!$B$24:$U$30,MATCH("对"&amp;LEFT($C$5,2)&amp;"输出",标准坦克设计!$B$23:$U$23,0)))*(VLOOKUP($B125,INDIRECT($B$5&amp;"生成成长"),3))*(VLOOKUP($B$5,标准坦克设计!$B$14:$K$20,9)/30))</f>
        <v>25.322922560478908</v>
      </c>
      <c r="EJ125" s="173">
        <f ca="1">(VLOOKUP(EJ$72,INDIRECT($C$5&amp;"生成成长"),2))/((VLOOKUP($B125,INDIRECT($B$5&amp;"生成成长"),4))/(VLOOKUP(EJ$72,INDIRECT($C$5&amp;"生成成长"),5))*(VLOOKUP($B$5,标准坦克设计!$B$24:$U$30,MATCH("对"&amp;LEFT($C$5,2)&amp;"输出",标准坦克设计!$B$23:$U$23,0)))*(VLOOKUP($B125,INDIRECT($B$5&amp;"生成成长"),3))*(VLOOKUP($B$5,标准坦克设计!$B$14:$K$20,9)/30))</f>
        <v>27.093233510491718</v>
      </c>
      <c r="EK125" s="173">
        <f ca="1">(VLOOKUP(EK$72,INDIRECT($C$5&amp;"生成成长"),2))/((VLOOKUP($B125,INDIRECT($B$5&amp;"生成成长"),4))/(VLOOKUP(EK$72,INDIRECT($C$5&amp;"生成成长"),5))*(VLOOKUP($B$5,标准坦克设计!$B$24:$U$30,MATCH("对"&amp;LEFT($C$5,2)&amp;"输出",标准坦克设计!$B$23:$U$23,0)))*(VLOOKUP($B125,INDIRECT($B$5&amp;"生成成长"),3))*(VLOOKUP($B$5,标准坦克设计!$B$14:$K$20,9)/30))</f>
        <v>29.296552949629287</v>
      </c>
      <c r="EL125" s="173">
        <f ca="1">(VLOOKUP(EL$72,INDIRECT($C$5&amp;"生成成长"),2))/((VLOOKUP($B125,INDIRECT($B$5&amp;"生成成长"),4))/(VLOOKUP(EL$72,INDIRECT($C$5&amp;"生成成长"),5))*(VLOOKUP($B$5,标准坦克设计!$B$24:$U$30,MATCH("对"&amp;LEFT($C$5,2)&amp;"输出",标准坦克设计!$B$23:$U$23,0)))*(VLOOKUP($B125,INDIRECT($B$5&amp;"生成成长"),3))*(VLOOKUP($B$5,标准坦克设计!$B$14:$K$20,9)/30))</f>
        <v>31.585995624172895</v>
      </c>
      <c r="EM125" s="173">
        <f ca="1">(VLOOKUP(EM$72,INDIRECT($C$5&amp;"生成成长"),2))/((VLOOKUP($B125,INDIRECT($B$5&amp;"生成成长"),4))/(VLOOKUP(EM$72,INDIRECT($C$5&amp;"生成成长"),5))*(VLOOKUP($B$5,标准坦克设计!$B$24:$U$30,MATCH("对"&amp;LEFT($C$5,2)&amp;"输出",标准坦克设计!$B$23:$U$23,0)))*(VLOOKUP($B125,INDIRECT($B$5&amp;"生成成长"),3))*(VLOOKUP($B$5,标准坦克设计!$B$14:$K$20,9)/30))</f>
        <v>33.961561534122517</v>
      </c>
      <c r="EN125" s="173">
        <f ca="1">(VLOOKUP(EN$72,INDIRECT($C$5&amp;"生成成长"),2))/((VLOOKUP($B125,INDIRECT($B$5&amp;"生成成长"),4))/(VLOOKUP(EN$72,INDIRECT($C$5&amp;"生成成长"),5))*(VLOOKUP($B$5,标准坦克设计!$B$24:$U$30,MATCH("对"&amp;LEFT($C$5,2)&amp;"输出",标准坦克设计!$B$23:$U$23,0)))*(VLOOKUP($B125,INDIRECT($B$5&amp;"生成成长"),3))*(VLOOKUP($B$5,标准坦克设计!$B$14:$K$20,9)/30))</f>
        <v>36.423250679478166</v>
      </c>
      <c r="EO125" s="173">
        <f ca="1">(VLOOKUP(EO$72,INDIRECT($C$5&amp;"生成成长"),2))/((VLOOKUP($B125,INDIRECT($B$5&amp;"生成成长"),4))/(VLOOKUP(EO$72,INDIRECT($C$5&amp;"生成成长"),5))*(VLOOKUP($B$5,标准坦克设计!$B$24:$U$30,MATCH("对"&amp;LEFT($C$5,2)&amp;"输出",标准坦克设计!$B$23:$U$23,0)))*(VLOOKUP($B125,INDIRECT($B$5&amp;"生成成长"),3))*(VLOOKUP($B$5,标准坦克设计!$B$14:$K$20,9)/30))</f>
        <v>38.971063060239857</v>
      </c>
      <c r="EP125" s="173">
        <f ca="1">(VLOOKUP(EP$72,INDIRECT($C$5&amp;"生成成长"),2))/((VLOOKUP($B125,INDIRECT($B$5&amp;"生成成长"),4))/(VLOOKUP(EP$72,INDIRECT($C$5&amp;"生成成长"),5))*(VLOOKUP($B$5,标准坦克设计!$B$24:$U$30,MATCH("对"&amp;LEFT($C$5,2)&amp;"输出",标准坦克设计!$B$23:$U$23,0)))*(VLOOKUP($B125,INDIRECT($B$5&amp;"生成成长"),3))*(VLOOKUP($B$5,标准坦克设计!$B$14:$K$20,9)/30))</f>
        <v>41.604998676407568</v>
      </c>
      <c r="EQ125" s="173">
        <f ca="1">(VLOOKUP(EQ$72,INDIRECT($C$5&amp;"生成成长"),2))/((VLOOKUP($B125,INDIRECT($B$5&amp;"生成成长"),4))/(VLOOKUP(EQ$72,INDIRECT($C$5&amp;"生成成长"),5))*(VLOOKUP($B$5,标准坦克设计!$B$24:$U$30,MATCH("对"&amp;LEFT($C$5,2)&amp;"输出",标准坦克设计!$B$23:$U$23,0)))*(VLOOKUP($B125,INDIRECT($B$5&amp;"生成成长"),3))*(VLOOKUP($B$5,标准坦克设计!$B$14:$K$20,9)/30))</f>
        <v>18.392095383376372</v>
      </c>
      <c r="ER125" s="173">
        <f ca="1">(VLOOKUP(ER$72,INDIRECT($C$5&amp;"生成成长"),2))/((VLOOKUP($B125,INDIRECT($B$5&amp;"生成成长"),4))/(VLOOKUP(ER$72,INDIRECT($C$5&amp;"生成成长"),5))*(VLOOKUP($B$5,标准坦克设计!$B$24:$U$30,MATCH("对"&amp;LEFT($C$5,2)&amp;"输出",标准坦克设计!$B$23:$U$23,0)))*(VLOOKUP($B125,INDIRECT($B$5&amp;"生成成长"),3))*(VLOOKUP($B$5,标准坦克设计!$B$14:$K$20,9)/30))</f>
        <v>20.059835952332701</v>
      </c>
      <c r="ES125" s="173">
        <f ca="1">(VLOOKUP(ES$72,INDIRECT($C$5&amp;"生成成长"),2))/((VLOOKUP($B125,INDIRECT($B$5&amp;"生成成长"),4))/(VLOOKUP(ES$72,INDIRECT($C$5&amp;"生成成长"),5))*(VLOOKUP($B$5,标准坦克设计!$B$24:$U$30,MATCH("对"&amp;LEFT($C$5,2)&amp;"输出",标准坦克设计!$B$23:$U$23,0)))*(VLOOKUP($B125,INDIRECT($B$5&amp;"生成成长"),3))*(VLOOKUP($B$5,标准坦克设计!$B$14:$K$20,9)/30))</f>
        <v>21.799943962151037</v>
      </c>
      <c r="ET125" s="173">
        <f ca="1">(VLOOKUP(ET$72,INDIRECT($C$5&amp;"生成成长"),2))/((VLOOKUP($B125,INDIRECT($B$5&amp;"生成成长"),4))/(VLOOKUP(ET$72,INDIRECT($C$5&amp;"生成成长"),5))*(VLOOKUP($B$5,标准坦克设计!$B$24:$U$30,MATCH("对"&amp;LEFT($C$5,2)&amp;"输出",标准坦克设计!$B$23:$U$23,0)))*(VLOOKUP($B125,INDIRECT($B$5&amp;"生成成长"),3))*(VLOOKUP($B$5,标准坦克设计!$B$14:$K$20,9)/30))</f>
        <v>23.61241941283139</v>
      </c>
      <c r="EU125" s="173">
        <f ca="1">(VLOOKUP(EU$72,INDIRECT($C$5&amp;"生成成长"),2))/((VLOOKUP($B125,INDIRECT($B$5&amp;"生成成长"),4))/(VLOOKUP(EU$72,INDIRECT($C$5&amp;"生成成长"),5))*(VLOOKUP($B$5,标准坦克设计!$B$24:$U$30,MATCH("对"&amp;LEFT($C$5,2)&amp;"输出",标准坦克设计!$B$23:$U$23,0)))*(VLOOKUP($B125,INDIRECT($B$5&amp;"生成成长"),3))*(VLOOKUP($B$5,标准坦克设计!$B$14:$K$20,9)/30))</f>
        <v>25.497262304373745</v>
      </c>
      <c r="EV125" s="173">
        <f ca="1">(VLOOKUP(EV$72,INDIRECT($C$5&amp;"生成成长"),2))/((VLOOKUP($B125,INDIRECT($B$5&amp;"生成成长"),4))/(VLOOKUP(EV$72,INDIRECT($C$5&amp;"生成成长"),5))*(VLOOKUP($B$5,标准坦克设计!$B$24:$U$30,MATCH("对"&amp;LEFT($C$5,2)&amp;"输出",标准坦克设计!$B$23:$U$23,0)))*(VLOOKUP($B125,INDIRECT($B$5&amp;"生成成长"),3))*(VLOOKUP($B$5,标准坦克设计!$B$14:$K$20,9)/30))</f>
        <v>27.454472636778121</v>
      </c>
      <c r="EW125" s="173">
        <f ca="1">(VLOOKUP(EW$72,INDIRECT($C$5&amp;"生成成长"),2))/((VLOOKUP($B125,INDIRECT($B$5&amp;"生成成长"),4))/(VLOOKUP(EW$72,INDIRECT($C$5&amp;"生成成长"),5))*(VLOOKUP($B$5,标准坦克设计!$B$24:$U$30,MATCH("对"&amp;LEFT($C$5,2)&amp;"输出",标准坦克设计!$B$23:$U$23,0)))*(VLOOKUP($B125,INDIRECT($B$5&amp;"生成成长"),3))*(VLOOKUP($B$5,标准坦克设计!$B$14:$K$20,9)/30))</f>
        <v>29.484050410044496</v>
      </c>
      <c r="EX125" s="173">
        <f ca="1">(VLOOKUP(EX$72,INDIRECT($C$5&amp;"生成成长"),2))/((VLOOKUP($B125,INDIRECT($B$5&amp;"生成成长"),4))/(VLOOKUP(EX$72,INDIRECT($C$5&amp;"生成成长"),5))*(VLOOKUP($B$5,标准坦克设计!$B$24:$U$30,MATCH("对"&amp;LEFT($C$5,2)&amp;"输出",标准坦克设计!$B$23:$U$23,0)))*(VLOOKUP($B125,INDIRECT($B$5&amp;"生成成长"),3))*(VLOOKUP($B$5,标准坦克设计!$B$14:$K$20,9)/30))</f>
        <v>31.585995624172895</v>
      </c>
      <c r="EY125" s="173">
        <f ca="1">(VLOOKUP(EY$72,INDIRECT($C$5&amp;"生成成长"),2))/((VLOOKUP($B125,INDIRECT($B$5&amp;"生成成长"),4))/(VLOOKUP(EY$72,INDIRECT($C$5&amp;"生成成长"),5))*(VLOOKUP($B$5,标准坦克设计!$B$24:$U$30,MATCH("对"&amp;LEFT($C$5,2)&amp;"输出",标准坦克设计!$B$23:$U$23,0)))*(VLOOKUP($B125,INDIRECT($B$5&amp;"生成成长"),3))*(VLOOKUP($B$5,标准坦克设计!$B$14:$K$20,9)/30))</f>
        <v>33.760308279163283</v>
      </c>
      <c r="EZ125" s="173">
        <f ca="1">(VLOOKUP(EZ$72,INDIRECT($C$5&amp;"生成成长"),2))/((VLOOKUP($B125,INDIRECT($B$5&amp;"生成成长"),4))/(VLOOKUP(EZ$72,INDIRECT($C$5&amp;"生成成长"),5))*(VLOOKUP($B$5,标准坦克设计!$B$24:$U$30,MATCH("对"&amp;LEFT($C$5,2)&amp;"输出",标准坦克设计!$B$23:$U$23,0)))*(VLOOKUP($B125,INDIRECT($B$5&amp;"生成成长"),3))*(VLOOKUP($B$5,标准坦克设计!$B$14:$K$20,9)/30))</f>
        <v>36.006988375015695</v>
      </c>
      <c r="FA125" s="173">
        <f ca="1">(VLOOKUP(FA$72,INDIRECT($C$5&amp;"生成成长"),2))/((VLOOKUP($B125,INDIRECT($B$5&amp;"生成成长"),4))/(VLOOKUP(FA$72,INDIRECT($C$5&amp;"生成成长"),5))*(VLOOKUP($B$5,标准坦克设计!$B$24:$U$30,MATCH("对"&amp;LEFT($C$5,2)&amp;"输出",标准坦克设计!$B$23:$U$23,0)))*(VLOOKUP($B125,INDIRECT($B$5&amp;"生成成长"),3))*(VLOOKUP($B$5,标准坦克设计!$B$14:$K$20,9)/30))</f>
        <v>38.326035911730131</v>
      </c>
      <c r="FB125" s="173">
        <f ca="1">(VLOOKUP(FB$72,INDIRECT($C$5&amp;"生成成长"),2))/((VLOOKUP($B125,INDIRECT($B$5&amp;"生成成长"),4))/(VLOOKUP(FB$72,INDIRECT($C$5&amp;"生成成长"),5))*(VLOOKUP($B$5,标准坦克设计!$B$24:$U$30,MATCH("对"&amp;LEFT($C$5,2)&amp;"输出",标准坦克设计!$B$23:$U$23,0)))*(VLOOKUP($B125,INDIRECT($B$5&amp;"生成成长"),3))*(VLOOKUP($B$5,标准坦克设计!$B$14:$K$20,9)/30))</f>
        <v>40.717450889306562</v>
      </c>
      <c r="FC125" s="173">
        <f ca="1">(VLOOKUP(FC$72,INDIRECT($C$5&amp;"生成成长"),2))/((VLOOKUP($B125,INDIRECT($B$5&amp;"生成成长"),4))/(VLOOKUP(FC$72,INDIRECT($C$5&amp;"生成成长"),5))*(VLOOKUP($B$5,标准坦克设计!$B$24:$U$30,MATCH("对"&amp;LEFT($C$5,2)&amp;"输出",标准坦克设计!$B$23:$U$23,0)))*(VLOOKUP($B125,INDIRECT($B$5&amp;"生成成长"),3))*(VLOOKUP($B$5,标准坦克设计!$B$14:$K$20,9)/30))</f>
        <v>43.181233307744996</v>
      </c>
      <c r="FD125" s="173">
        <f ca="1">(VLOOKUP(FD$72,INDIRECT($C$5&amp;"生成成长"),2))/((VLOOKUP($B125,INDIRECT($B$5&amp;"生成成长"),4))/(VLOOKUP(FD$72,INDIRECT($C$5&amp;"生成成长"),5))*(VLOOKUP($B$5,标准坦克设计!$B$24:$U$30,MATCH("对"&amp;LEFT($C$5,2)&amp;"输出",标准坦克设计!$B$23:$U$23,0)))*(VLOOKUP($B125,INDIRECT($B$5&amp;"生成成长"),3))*(VLOOKUP($B$5,标准坦克设计!$B$14:$K$20,9)/30))</f>
        <v>45.717383167045455</v>
      </c>
      <c r="FE125" s="173">
        <f ca="1">(VLOOKUP(FE$72,INDIRECT($C$5&amp;"生成成长"),2))/((VLOOKUP($B125,INDIRECT($B$5&amp;"生成成长"),4))/(VLOOKUP(FE$72,INDIRECT($C$5&amp;"生成成长"),5))*(VLOOKUP($B$5,标准坦克设计!$B$24:$U$30,MATCH("对"&amp;LEFT($C$5,2)&amp;"输出",标准坦克设计!$B$23:$U$23,0)))*(VLOOKUP($B125,INDIRECT($B$5&amp;"生成成长"),3))*(VLOOKUP($B$5,标准坦克设计!$B$14:$K$20,9)/30))</f>
        <v>48.807951354272213</v>
      </c>
      <c r="FF125" s="173">
        <f ca="1">(VLOOKUP(FF$72,INDIRECT($C$5&amp;"生成成长"),2))/((VLOOKUP($B125,INDIRECT($B$5&amp;"生成成长"),4))/(VLOOKUP(FF$72,INDIRECT($C$5&amp;"生成成长"),5))*(VLOOKUP($B$5,标准坦克设计!$B$24:$U$30,MATCH("对"&amp;LEFT($C$5,2)&amp;"输出",标准坦克设计!$B$23:$U$23,0)))*(VLOOKUP($B125,INDIRECT($B$5&amp;"生成成长"),3))*(VLOOKUP($B$5,标准坦克设计!$B$14:$K$20,9)/30))</f>
        <v>51.999594727496323</v>
      </c>
      <c r="FG125" s="173">
        <f ca="1">(VLOOKUP(FG$72,INDIRECT($C$5&amp;"生成成长"),2))/((VLOOKUP($B125,INDIRECT($B$5&amp;"生成成长"),4))/(VLOOKUP(FG$72,INDIRECT($C$5&amp;"生成成长"),5))*(VLOOKUP($B$5,标准坦克设计!$B$24:$U$30,MATCH("对"&amp;LEFT($C$5,2)&amp;"输出",标准坦克设计!$B$23:$U$23,0)))*(VLOOKUP($B125,INDIRECT($B$5&amp;"生成成长"),3))*(VLOOKUP($B$5,标准坦克设计!$B$14:$K$20,9)/30))</f>
        <v>55.292313286717793</v>
      </c>
      <c r="FH125" s="173">
        <f ca="1">(VLOOKUP(FH$72,INDIRECT($C$5&amp;"生成成长"),2))/((VLOOKUP($B125,INDIRECT($B$5&amp;"生成成长"),4))/(VLOOKUP(FH$72,INDIRECT($C$5&amp;"生成成长"),5))*(VLOOKUP($B$5,标准坦克设计!$B$24:$U$30,MATCH("对"&amp;LEFT($C$5,2)&amp;"输出",标准坦克设计!$B$23:$U$23,0)))*(VLOOKUP($B125,INDIRECT($B$5&amp;"生成成长"),3))*(VLOOKUP($B$5,标准坦克设计!$B$14:$K$20,9)/30))</f>
        <v>58.686107031936622</v>
      </c>
      <c r="FI125" s="173">
        <f ca="1">(VLOOKUP(FI$72,INDIRECT($C$5&amp;"生成成长"),2))/((VLOOKUP($B125,INDIRECT($B$5&amp;"生成成长"),4))/(VLOOKUP(FI$72,INDIRECT($C$5&amp;"生成成长"),5))*(VLOOKUP($B$5,标准坦克设计!$B$24:$U$30,MATCH("对"&amp;LEFT($C$5,2)&amp;"输出",标准坦克设计!$B$23:$U$23,0)))*(VLOOKUP($B125,INDIRECT($B$5&amp;"生成成长"),3))*(VLOOKUP($B$5,标准坦克设计!$B$14:$K$20,9)/30))</f>
        <v>62.180975963152797</v>
      </c>
      <c r="FJ125" s="173">
        <f ca="1">(VLOOKUP(FJ$72,INDIRECT($C$5&amp;"生成成长"),2))/((VLOOKUP($B125,INDIRECT($B$5&amp;"生成成长"),4))/(VLOOKUP(FJ$72,INDIRECT($C$5&amp;"生成成长"),5))*(VLOOKUP($B$5,标准坦克设计!$B$24:$U$30,MATCH("对"&amp;LEFT($C$5,2)&amp;"输出",标准坦克设计!$B$23:$U$23,0)))*(VLOOKUP($B125,INDIRECT($B$5&amp;"生成成长"),3))*(VLOOKUP($B$5,标准坦克设计!$B$14:$K$20,9)/30))</f>
        <v>65.77692008036631</v>
      </c>
      <c r="FK125" s="173">
        <f ca="1">(VLOOKUP(FK$72,INDIRECT($C$5&amp;"生成成长"),2))/((VLOOKUP($B125,INDIRECT($B$5&amp;"生成成长"),4))/(VLOOKUP(FK$72,INDIRECT($C$5&amp;"生成成长"),5))*(VLOOKUP($B$5,标准坦克设计!$B$24:$U$30,MATCH("对"&amp;LEFT($C$5,2)&amp;"输出",标准坦克设计!$B$23:$U$23,0)))*(VLOOKUP($B125,INDIRECT($B$5&amp;"生成成长"),3))*(VLOOKUP($B$5,标准坦克设计!$B$14:$K$20,9)/30))</f>
        <v>69.473939383577203</v>
      </c>
    </row>
    <row r="126" spans="1:167" x14ac:dyDescent="0.15">
      <c r="A126" s="171" t="str">
        <f t="shared" si="11"/>
        <v>T2中品质9级</v>
      </c>
      <c r="B126" s="172">
        <v>20209</v>
      </c>
      <c r="C126" s="173">
        <f ca="1">(VLOOKUP(C$72,INDIRECT($C$5&amp;"生成成长"),2))/((VLOOKUP($B126,INDIRECT($B$5&amp;"生成成长"),4))/(VLOOKUP(C$72,INDIRECT($C$5&amp;"生成成长"),5))*(VLOOKUP($B$5,标准坦克设计!$B$24:$U$30,MATCH("对"&amp;LEFT($C$5,2)&amp;"输出",标准坦克设计!$B$23:$U$23,0)))*(VLOOKUP($B126,INDIRECT($B$5&amp;"生成成长"),3))*(VLOOKUP($B$5,标准坦克设计!$B$14:$K$20,9)/30))</f>
        <v>2.7069981061589412</v>
      </c>
      <c r="D126" s="173">
        <f ca="1">(VLOOKUP(D$72,INDIRECT($C$5&amp;"生成成长"),2))/((VLOOKUP($B126,INDIRECT($B$5&amp;"生成成长"),4))/(VLOOKUP(D$72,INDIRECT($C$5&amp;"生成成长"),5))*(VLOOKUP($B$5,标准坦克设计!$B$24:$U$30,MATCH("对"&amp;LEFT($C$5,2)&amp;"输出",标准坦克设计!$B$23:$U$23,0)))*(VLOOKUP($B126,INDIRECT($B$5&amp;"生成成长"),3))*(VLOOKUP($B$5,标准坦克设计!$B$14:$K$20,9)/30))</f>
        <v>3.0415830720801869</v>
      </c>
      <c r="E126" s="173">
        <f ca="1">(VLOOKUP(E$72,INDIRECT($C$5&amp;"生成成长"),2))/((VLOOKUP($B126,INDIRECT($B$5&amp;"生成成长"),4))/(VLOOKUP(E$72,INDIRECT($C$5&amp;"生成成长"),5))*(VLOOKUP($B$5,标准坦克设计!$B$24:$U$30,MATCH("对"&amp;LEFT($C$5,2)&amp;"输出",标准坦克设计!$B$23:$U$23,0)))*(VLOOKUP($B126,INDIRECT($B$5&amp;"生成成长"),3))*(VLOOKUP($B$5,标准坦克设计!$B$14:$K$20,9)/30))</f>
        <v>3.3956584243657759</v>
      </c>
      <c r="F126" s="173">
        <f ca="1">(VLOOKUP(F$72,INDIRECT($C$5&amp;"生成成长"),2))/((VLOOKUP($B126,INDIRECT($B$5&amp;"生成成长"),4))/(VLOOKUP(F$72,INDIRECT($C$5&amp;"生成成长"),5))*(VLOOKUP($B$5,标准坦克设计!$B$24:$U$30,MATCH("对"&amp;LEFT($C$5,2)&amp;"输出",标准坦克设计!$B$23:$U$23,0)))*(VLOOKUP($B126,INDIRECT($B$5&amp;"生成成长"),3))*(VLOOKUP($B$5,标准坦克设计!$B$14:$K$20,9)/30))</f>
        <v>3.7692241630157102</v>
      </c>
      <c r="G126" s="173">
        <f ca="1">(VLOOKUP(G$72,INDIRECT($C$5&amp;"生成成长"),2))/((VLOOKUP($B126,INDIRECT($B$5&amp;"生成成长"),4))/(VLOOKUP(G$72,INDIRECT($C$5&amp;"生成成长"),5))*(VLOOKUP($B$5,标准坦克设计!$B$24:$U$30,MATCH("对"&amp;LEFT($C$5,2)&amp;"输出",标准坦克设计!$B$23:$U$23,0)))*(VLOOKUP($B126,INDIRECT($B$5&amp;"生成成长"),3))*(VLOOKUP($B$5,标准坦克设计!$B$14:$K$20,9)/30))</f>
        <v>4.1622802880299883</v>
      </c>
      <c r="H126" s="173">
        <f ca="1">(VLOOKUP(H$72,INDIRECT($C$5&amp;"生成成长"),2))/((VLOOKUP($B126,INDIRECT($B$5&amp;"生成成长"),4))/(VLOOKUP(H$72,INDIRECT($C$5&amp;"生成成长"),5))*(VLOOKUP($B$5,标准坦克设计!$B$24:$U$30,MATCH("对"&amp;LEFT($C$5,2)&amp;"输出",标准坦克设计!$B$23:$U$23,0)))*(VLOOKUP($B126,INDIRECT($B$5&amp;"生成成长"),3))*(VLOOKUP($B$5,标准坦克设计!$B$14:$K$20,9)/30))</f>
        <v>3.6425366516474713</v>
      </c>
      <c r="I126" s="173">
        <f ca="1">(VLOOKUP(I$72,INDIRECT($C$5&amp;"生成成长"),2))/((VLOOKUP($B126,INDIRECT($B$5&amp;"生成成长"),4))/(VLOOKUP(I$72,INDIRECT($C$5&amp;"生成成长"),5))*(VLOOKUP($B$5,标准坦克设计!$B$24:$U$30,MATCH("对"&amp;LEFT($C$5,2)&amp;"输出",标准坦克设计!$B$23:$U$23,0)))*(VLOOKUP($B126,INDIRECT($B$5&amp;"生成成长"),3))*(VLOOKUP($B$5,标准坦克设计!$B$14:$K$20,9)/30))</f>
        <v>4.1622802880299883</v>
      </c>
      <c r="J126" s="173">
        <f ca="1">(VLOOKUP(J$72,INDIRECT($C$5&amp;"生成成长"),2))/((VLOOKUP($B126,INDIRECT($B$5&amp;"生成成长"),4))/(VLOOKUP(J$72,INDIRECT($C$5&amp;"生成成长"),5))*(VLOOKUP($B$5,标准坦克设计!$B$24:$U$30,MATCH("对"&amp;LEFT($C$5,2)&amp;"输出",标准坦克设计!$B$23:$U$23,0)))*(VLOOKUP($B126,INDIRECT($B$5&amp;"生成成长"),3))*(VLOOKUP($B$5,标准坦克设计!$B$14:$K$20,9)/30))</f>
        <v>4.71667350017134</v>
      </c>
      <c r="K126" s="173">
        <f ca="1">(VLOOKUP(K$72,INDIRECT($C$5&amp;"生成成长"),2))/((VLOOKUP($B126,INDIRECT($B$5&amp;"生成成长"),4))/(VLOOKUP(K$72,INDIRECT($C$5&amp;"生成成长"),5))*(VLOOKUP($B$5,标准坦克设计!$B$24:$U$30,MATCH("对"&amp;LEFT($C$5,2)&amp;"输出",标准坦克设计!$B$23:$U$23,0)))*(VLOOKUP($B126,INDIRECT($B$5&amp;"生成成长"),3))*(VLOOKUP($B$5,标准坦克设计!$B$14:$K$20,9)/30))</f>
        <v>5.3057162880715261</v>
      </c>
      <c r="L126" s="173">
        <f ca="1">(VLOOKUP(L$72,INDIRECT($C$5&amp;"生成成长"),2))/((VLOOKUP($B126,INDIRECT($B$5&amp;"生成成长"),4))/(VLOOKUP(L$72,INDIRECT($C$5&amp;"生成成长"),5))*(VLOOKUP($B$5,标准坦克设计!$B$24:$U$30,MATCH("对"&amp;LEFT($C$5,2)&amp;"输出",标准坦克设计!$B$23:$U$23,0)))*(VLOOKUP($B126,INDIRECT($B$5&amp;"生成成长"),3))*(VLOOKUP($B$5,标准坦克设计!$B$14:$K$20,9)/30))</f>
        <v>5.9294086517305464</v>
      </c>
      <c r="M126" s="173">
        <f ca="1">(VLOOKUP(M$72,INDIRECT($C$5&amp;"生成成长"),2))/((VLOOKUP($B126,INDIRECT($B$5&amp;"生成成长"),4))/(VLOOKUP(M$72,INDIRECT($C$5&amp;"生成成长"),5))*(VLOOKUP($B$5,标准坦克设计!$B$24:$U$30,MATCH("对"&amp;LEFT($C$5,2)&amp;"输出",标准坦克设计!$B$23:$U$23,0)))*(VLOOKUP($B126,INDIRECT($B$5&amp;"生成成长"),3))*(VLOOKUP($B$5,标准坦克设计!$B$14:$K$20,9)/30))</f>
        <v>6.5877505911483993</v>
      </c>
      <c r="N126" s="173">
        <f ca="1">(VLOOKUP(N$72,INDIRECT($C$5&amp;"生成成长"),2))/((VLOOKUP($B126,INDIRECT($B$5&amp;"生成成长"),4))/(VLOOKUP(N$72,INDIRECT($C$5&amp;"生成成长"),5))*(VLOOKUP($B$5,标准坦克设计!$B$24:$U$30,MATCH("对"&amp;LEFT($C$5,2)&amp;"输出",标准坦克设计!$B$23:$U$23,0)))*(VLOOKUP($B126,INDIRECT($B$5&amp;"生成成长"),3))*(VLOOKUP($B$5,标准坦克设计!$B$14:$K$20,9)/30))</f>
        <v>7.2807421063250892</v>
      </c>
      <c r="O126" s="173">
        <f ca="1">(VLOOKUP(O$72,INDIRECT($C$5&amp;"生成成长"),2))/((VLOOKUP($B126,INDIRECT($B$5&amp;"生成成长"),4))/(VLOOKUP(O$72,INDIRECT($C$5&amp;"生成成长"),5))*(VLOOKUP($B$5,标准坦克设计!$B$24:$U$30,MATCH("对"&amp;LEFT($C$5,2)&amp;"输出",标准坦克设计!$B$23:$U$23,0)))*(VLOOKUP($B126,INDIRECT($B$5&amp;"生成成长"),3))*(VLOOKUP($B$5,标准坦克设计!$B$14:$K$20,9)/30))</f>
        <v>5.5355404272844195</v>
      </c>
      <c r="P126" s="173">
        <f ca="1">(VLOOKUP(P$72,INDIRECT($C$5&amp;"生成成长"),2))/((VLOOKUP($B126,INDIRECT($B$5&amp;"生成成长"),4))/(VLOOKUP(P$72,INDIRECT($C$5&amp;"生成成长"),5))*(VLOOKUP($B$5,标准坦克设计!$B$24:$U$30,MATCH("对"&amp;LEFT($C$5,2)&amp;"输出",标准坦克设计!$B$23:$U$23,0)))*(VLOOKUP($B126,INDIRECT($B$5&amp;"生成成长"),3))*(VLOOKUP($B$5,标准坦克设计!$B$14:$K$20,9)/30))</f>
        <v>6.2542484244696182</v>
      </c>
      <c r="Q126" s="173">
        <f ca="1">(VLOOKUP(Q$72,INDIRECT($C$5&amp;"生成成长"),2))/((VLOOKUP($B126,INDIRECT($B$5&amp;"生成成长"),4))/(VLOOKUP(Q$72,INDIRECT($C$5&amp;"生成成长"),5))*(VLOOKUP($B$5,标准坦克设计!$B$24:$U$30,MATCH("对"&amp;LEFT($C$5,2)&amp;"输出",标准坦克设计!$B$23:$U$23,0)))*(VLOOKUP($B126,INDIRECT($B$5&amp;"生成成长"),3))*(VLOOKUP($B$5,标准坦克设计!$B$14:$K$20,9)/30))</f>
        <v>7.016809790974591</v>
      </c>
      <c r="R126" s="173">
        <f ca="1">(VLOOKUP(R$72,INDIRECT($C$5&amp;"生成成长"),2))/((VLOOKUP($B126,INDIRECT($B$5&amp;"生成成长"),4))/(VLOOKUP(R$72,INDIRECT($C$5&amp;"生成成长"),5))*(VLOOKUP($B$5,标准坦克设计!$B$24:$U$30,MATCH("对"&amp;LEFT($C$5,2)&amp;"输出",标准坦克设计!$B$23:$U$23,0)))*(VLOOKUP($B126,INDIRECT($B$5&amp;"生成成长"),3))*(VLOOKUP($B$5,标准坦克设计!$B$14:$K$20,9)/30))</f>
        <v>7.8232245267993408</v>
      </c>
      <c r="S126" s="173">
        <f ca="1">(VLOOKUP(S$72,INDIRECT($C$5&amp;"生成成长"),2))/((VLOOKUP($B126,INDIRECT($B$5&amp;"生成成长"),4))/(VLOOKUP(S$72,INDIRECT($C$5&amp;"生成成长"),5))*(VLOOKUP($B$5,标准坦克设计!$B$24:$U$30,MATCH("对"&amp;LEFT($C$5,2)&amp;"输出",标准坦克设计!$B$23:$U$23,0)))*(VLOOKUP($B126,INDIRECT($B$5&amp;"生成成长"),3))*(VLOOKUP($B$5,标准坦克设计!$B$14:$K$20,9)/30))</f>
        <v>8.6734926319438657</v>
      </c>
      <c r="T126" s="173">
        <f ca="1">(VLOOKUP(T$72,INDIRECT($C$5&amp;"生成成长"),2))/((VLOOKUP($B126,INDIRECT($B$5&amp;"生成成长"),4))/(VLOOKUP(T$72,INDIRECT($C$5&amp;"生成成长"),5))*(VLOOKUP($B$5,标准坦克设计!$B$24:$U$30,MATCH("对"&amp;LEFT($C$5,2)&amp;"输出",标准坦克设计!$B$23:$U$23,0)))*(VLOOKUP($B126,INDIRECT($B$5&amp;"生成成长"),3))*(VLOOKUP($B$5,标准坦克设计!$B$14:$K$20,9)/30))</f>
        <v>9.567614106408163</v>
      </c>
      <c r="U126" s="173">
        <f ca="1">(VLOOKUP(U$72,INDIRECT($C$5&amp;"生成成长"),2))/((VLOOKUP($B126,INDIRECT($B$5&amp;"生成成长"),4))/(VLOOKUP(U$72,INDIRECT($C$5&amp;"生成成长"),5))*(VLOOKUP($B$5,标准坦克设计!$B$24:$U$30,MATCH("对"&amp;LEFT($C$5,2)&amp;"输出",标准坦克设计!$B$23:$U$23,0)))*(VLOOKUP($B126,INDIRECT($B$5&amp;"生成成长"),3))*(VLOOKUP($B$5,标准坦克设计!$B$14:$K$20,9)/30))</f>
        <v>10.505588950192235</v>
      </c>
      <c r="V126" s="173">
        <f ca="1">(VLOOKUP(V$72,INDIRECT($C$5&amp;"生成成长"),2))/((VLOOKUP($B126,INDIRECT($B$5&amp;"生成成长"),4))/(VLOOKUP(V$72,INDIRECT($C$5&amp;"生成成长"),5))*(VLOOKUP($B$5,标准坦克设计!$B$24:$U$30,MATCH("对"&amp;LEFT($C$5,2)&amp;"输出",标准坦克设计!$B$23:$U$23,0)))*(VLOOKUP($B126,INDIRECT($B$5&amp;"生成成长"),3))*(VLOOKUP($B$5,标准坦克设计!$B$14:$K$20,9)/30))</f>
        <v>11.487417163296085</v>
      </c>
      <c r="W126" s="173">
        <f ca="1">(VLOOKUP(W$72,INDIRECT($C$5&amp;"生成成长"),2))/((VLOOKUP($B126,INDIRECT($B$5&amp;"生成成长"),4))/(VLOOKUP(W$72,INDIRECT($C$5&amp;"生成成长"),5))*(VLOOKUP($B$5,标准坦克设计!$B$24:$U$30,MATCH("对"&amp;LEFT($C$5,2)&amp;"输出",标准坦克设计!$B$23:$U$23,0)))*(VLOOKUP($B126,INDIRECT($B$5&amp;"生成成长"),3))*(VLOOKUP($B$5,标准坦克设计!$B$14:$K$20,9)/30))</f>
        <v>12.513098745719709</v>
      </c>
      <c r="X126" s="173">
        <f ca="1">(VLOOKUP(X$72,INDIRECT($C$5&amp;"生成成长"),2))/((VLOOKUP($B126,INDIRECT($B$5&amp;"生成成长"),4))/(VLOOKUP(X$72,INDIRECT($C$5&amp;"生成成长"),5))*(VLOOKUP($B$5,标准坦克设计!$B$24:$U$30,MATCH("对"&amp;LEFT($C$5,2)&amp;"输出",标准坦克设计!$B$23:$U$23,0)))*(VLOOKUP($B126,INDIRECT($B$5&amp;"生成成长"),3))*(VLOOKUP($B$5,标准坦克设计!$B$14:$K$20,9)/30))</f>
        <v>9.0654659577156806</v>
      </c>
      <c r="Y126" s="173">
        <f ca="1">(VLOOKUP(Y$72,INDIRECT($C$5&amp;"生成成长"),2))/((VLOOKUP($B126,INDIRECT($B$5&amp;"生成成长"),4))/(VLOOKUP(Y$72,INDIRECT($C$5&amp;"生成成长"),5))*(VLOOKUP($B$5,标准坦克设计!$B$24:$U$30,MATCH("对"&amp;LEFT($C$5,2)&amp;"输出",标准坦克设计!$B$23:$U$23,0)))*(VLOOKUP($B126,INDIRECT($B$5&amp;"生成成长"),3))*(VLOOKUP($B$5,标准坦克设计!$B$14:$K$20,9)/30))</f>
        <v>10.08329724563144</v>
      </c>
      <c r="Z126" s="173">
        <f ca="1">(VLOOKUP(Z$72,INDIRECT($C$5&amp;"生成成长"),2))/((VLOOKUP($B126,INDIRECT($B$5&amp;"生成成长"),4))/(VLOOKUP(Z$72,INDIRECT($C$5&amp;"生成成长"),5))*(VLOOKUP($B$5,标准坦克设计!$B$24:$U$30,MATCH("对"&amp;LEFT($C$5,2)&amp;"输出",标准坦克设计!$B$23:$U$23,0)))*(VLOOKUP($B126,INDIRECT($B$5&amp;"生成成长"),3))*(VLOOKUP($B$5,标准坦克设计!$B$14:$K$20,9)/30))</f>
        <v>11.155268495670381</v>
      </c>
      <c r="AA126" s="173">
        <f ca="1">(VLOOKUP(AA$72,INDIRECT($C$5&amp;"生成成长"),2))/((VLOOKUP($B126,INDIRECT($B$5&amp;"生成成长"),4))/(VLOOKUP(AA$72,INDIRECT($C$5&amp;"生成成长"),5))*(VLOOKUP($B$5,标准坦克设计!$B$24:$U$30,MATCH("对"&amp;LEFT($C$5,2)&amp;"输出",标准坦克设计!$B$23:$U$23,0)))*(VLOOKUP($B126,INDIRECT($B$5&amp;"生成成长"),3))*(VLOOKUP($B$5,标准坦克设计!$B$14:$K$20,9)/30))</f>
        <v>12.281379707832505</v>
      </c>
      <c r="AB126" s="173">
        <f ca="1">(VLOOKUP(AB$72,INDIRECT($C$5&amp;"生成成长"),2))/((VLOOKUP($B126,INDIRECT($B$5&amp;"生成成长"),4))/(VLOOKUP(AB$72,INDIRECT($C$5&amp;"生成成长"),5))*(VLOOKUP($B$5,标准坦克设计!$B$24:$U$30,MATCH("对"&amp;LEFT($C$5,2)&amp;"输出",标准坦克设计!$B$23:$U$23,0)))*(VLOOKUP($B126,INDIRECT($B$5&amp;"生成成长"),3))*(VLOOKUP($B$5,标准坦克设计!$B$14:$K$20,9)/30))</f>
        <v>13.461630882117799</v>
      </c>
      <c r="AC126" s="173">
        <f ca="1">(VLOOKUP(AC$72,INDIRECT($C$5&amp;"生成成长"),2))/((VLOOKUP($B126,INDIRECT($B$5&amp;"生成成长"),4))/(VLOOKUP(AC$72,INDIRECT($C$5&amp;"生成成长"),5))*(VLOOKUP($B$5,标准坦克设计!$B$24:$U$30,MATCH("对"&amp;LEFT($C$5,2)&amp;"输出",标准坦克设计!$B$23:$U$23,0)))*(VLOOKUP($B126,INDIRECT($B$5&amp;"生成成长"),3))*(VLOOKUP($B$5,标准坦克设计!$B$14:$K$20,9)/30))</f>
        <v>14.696022018526278</v>
      </c>
      <c r="AD126" s="173">
        <f ca="1">(VLOOKUP(AD$72,INDIRECT($C$5&amp;"生成成长"),2))/((VLOOKUP($B126,INDIRECT($B$5&amp;"生成成长"),4))/(VLOOKUP(AD$72,INDIRECT($C$5&amp;"生成成长"),5))*(VLOOKUP($B$5,标准坦克设计!$B$24:$U$30,MATCH("对"&amp;LEFT($C$5,2)&amp;"输出",标准坦克设计!$B$23:$U$23,0)))*(VLOOKUP($B126,INDIRECT($B$5&amp;"生成成长"),3))*(VLOOKUP($B$5,标准坦克设计!$B$14:$K$20,9)/30))</f>
        <v>15.984553117057935</v>
      </c>
      <c r="AE126" s="173">
        <f ca="1">(VLOOKUP(AE$72,INDIRECT($C$5&amp;"生成成长"),2))/((VLOOKUP($B126,INDIRECT($B$5&amp;"生成成长"),4))/(VLOOKUP(AE$72,INDIRECT($C$5&amp;"生成成长"),5))*(VLOOKUP($B$5,标准坦克设计!$B$24:$U$30,MATCH("对"&amp;LEFT($C$5,2)&amp;"输出",标准坦克设计!$B$23:$U$23,0)))*(VLOOKUP($B126,INDIRECT($B$5&amp;"生成成长"),3))*(VLOOKUP($B$5,标准坦克设计!$B$14:$K$20,9)/30))</f>
        <v>17.327224177712768</v>
      </c>
      <c r="AF126" s="173">
        <f ca="1">(VLOOKUP(AF$72,INDIRECT($C$5&amp;"生成成长"),2))/((VLOOKUP($B126,INDIRECT($B$5&amp;"生成成长"),4))/(VLOOKUP(AF$72,INDIRECT($C$5&amp;"生成成长"),5))*(VLOOKUP($B$5,标准坦克设计!$B$24:$U$30,MATCH("对"&amp;LEFT($C$5,2)&amp;"输出",标准坦克设计!$B$23:$U$23,0)))*(VLOOKUP($B126,INDIRECT($B$5&amp;"生成成长"),3))*(VLOOKUP($B$5,标准坦克设计!$B$14:$K$20,9)/30))</f>
        <v>18.724035200490786</v>
      </c>
      <c r="AG126" s="173">
        <f ca="1">(VLOOKUP(AG$72,INDIRECT($C$5&amp;"生成成长"),2))/((VLOOKUP($B126,INDIRECT($B$5&amp;"生成成长"),4))/(VLOOKUP(AG$72,INDIRECT($C$5&amp;"生成成长"),5))*(VLOOKUP($B$5,标准坦克设计!$B$24:$U$30,MATCH("对"&amp;LEFT($C$5,2)&amp;"输出",标准坦克设计!$B$23:$U$23,0)))*(VLOOKUP($B126,INDIRECT($B$5&amp;"生成成长"),3))*(VLOOKUP($B$5,标准坦克设计!$B$14:$K$20,9)/30))</f>
        <v>20.174986185391976</v>
      </c>
      <c r="AH126" s="173">
        <f ca="1">(VLOOKUP(AH$72,INDIRECT($C$5&amp;"生成成长"),2))/((VLOOKUP($B126,INDIRECT($B$5&amp;"生成成长"),4))/(VLOOKUP(AH$72,INDIRECT($C$5&amp;"生成成长"),5))*(VLOOKUP($B$5,标准坦克设计!$B$24:$U$30,MATCH("对"&amp;LEFT($C$5,2)&amp;"输出",标准坦克设计!$B$23:$U$23,0)))*(VLOOKUP($B126,INDIRECT($B$5&amp;"生成成长"),3))*(VLOOKUP($B$5,标准坦克设计!$B$14:$K$20,9)/30))</f>
        <v>21.680077132416343</v>
      </c>
      <c r="AI126" s="173">
        <f ca="1">(VLOOKUP(AI$72,INDIRECT($C$5&amp;"生成成长"),2))/((VLOOKUP($B126,INDIRECT($B$5&amp;"生成成长"),4))/(VLOOKUP(AI$72,INDIRECT($C$5&amp;"生成成长"),5))*(VLOOKUP($B$5,标准坦克设计!$B$24:$U$30,MATCH("对"&amp;LEFT($C$5,2)&amp;"输出",标准坦克设计!$B$23:$U$23,0)))*(VLOOKUP($B126,INDIRECT($B$5&amp;"生成成长"),3))*(VLOOKUP($B$5,标准坦克设计!$B$14:$K$20,9)/30))</f>
        <v>15.333520072526706</v>
      </c>
      <c r="AJ126" s="173">
        <f ca="1">(VLOOKUP(AJ$72,INDIRECT($C$5&amp;"生成成长"),2))/((VLOOKUP($B126,INDIRECT($B$5&amp;"生成成长"),4))/(VLOOKUP(AJ$72,INDIRECT($C$5&amp;"生成成长"),5))*(VLOOKUP($B$5,标准坦克设计!$B$24:$U$30,MATCH("对"&amp;LEFT($C$5,2)&amp;"输出",标准坦克设计!$B$23:$U$23,0)))*(VLOOKUP($B126,INDIRECT($B$5&amp;"生成成长"),3))*(VLOOKUP($B$5,标准坦克设计!$B$14:$K$20,9)/30))</f>
        <v>16.783658957996053</v>
      </c>
      <c r="AK126" s="173">
        <f ca="1">(VLOOKUP(AK$72,INDIRECT($C$5&amp;"生成成长"),2))/((VLOOKUP($B126,INDIRECT($B$5&amp;"生成成长"),4))/(VLOOKUP(AK$72,INDIRECT($C$5&amp;"生成成长"),5))*(VLOOKUP($B$5,标准坦克设计!$B$24:$U$30,MATCH("对"&amp;LEFT($C$5,2)&amp;"输出",标准坦克设计!$B$23:$U$23,0)))*(VLOOKUP($B126,INDIRECT($B$5&amp;"生成成长"),3))*(VLOOKUP($B$5,标准坦克设计!$B$14:$K$20,9)/30))</f>
        <v>18.299307197634445</v>
      </c>
      <c r="AL126" s="173">
        <f ca="1">(VLOOKUP(AL$72,INDIRECT($C$5&amp;"生成成长"),2))/((VLOOKUP($B126,INDIRECT($B$5&amp;"生成成长"),4))/(VLOOKUP(AL$72,INDIRECT($C$5&amp;"生成成长"),5))*(VLOOKUP($B$5,标准坦克设计!$B$24:$U$30,MATCH("对"&amp;LEFT($C$5,2)&amp;"输出",标准坦克设计!$B$23:$U$23,0)))*(VLOOKUP($B126,INDIRECT($B$5&amp;"生成成长"),3))*(VLOOKUP($B$5,标准坦克设计!$B$14:$K$20,9)/30))</f>
        <v>19.880464791441884</v>
      </c>
      <c r="AM126" s="173">
        <f ca="1">(VLOOKUP(AM$72,INDIRECT($C$5&amp;"生成成长"),2))/((VLOOKUP($B126,INDIRECT($B$5&amp;"生成成长"),4))/(VLOOKUP(AM$72,INDIRECT($C$5&amp;"生成成长"),5))*(VLOOKUP($B$5,标准坦克设计!$B$24:$U$30,MATCH("对"&amp;LEFT($C$5,2)&amp;"输出",标准坦克设计!$B$23:$U$23,0)))*(VLOOKUP($B126,INDIRECT($B$5&amp;"生成成长"),3))*(VLOOKUP($B$5,标准坦克设计!$B$14:$K$20,9)/30))</f>
        <v>21.527131739418369</v>
      </c>
      <c r="AN126" s="173">
        <f ca="1">(VLOOKUP(AN$72,INDIRECT($C$5&amp;"生成成长"),2))/((VLOOKUP($B126,INDIRECT($B$5&amp;"生成成长"),4))/(VLOOKUP(AN$72,INDIRECT($C$5&amp;"生成成长"),5))*(VLOOKUP($B$5,标准坦克设计!$B$24:$U$30,MATCH("对"&amp;LEFT($C$5,2)&amp;"输出",标准坦克设计!$B$23:$U$23,0)))*(VLOOKUP($B126,INDIRECT($B$5&amp;"生成成长"),3))*(VLOOKUP($B$5,标准坦克设计!$B$14:$K$20,9)/30))</f>
        <v>23.239308041563898</v>
      </c>
      <c r="AO126" s="173">
        <f ca="1">(VLOOKUP(AO$72,INDIRECT($C$5&amp;"生成成长"),2))/((VLOOKUP($B126,INDIRECT($B$5&amp;"生成成长"),4))/(VLOOKUP(AO$72,INDIRECT($C$5&amp;"生成成长"),5))*(VLOOKUP($B$5,标准坦克设计!$B$24:$U$30,MATCH("对"&amp;LEFT($C$5,2)&amp;"输出",标准坦克设计!$B$23:$U$23,0)))*(VLOOKUP($B126,INDIRECT($B$5&amp;"生成成长"),3))*(VLOOKUP($B$5,标准坦克设计!$B$14:$K$20,9)/30))</f>
        <v>25.016993697878473</v>
      </c>
      <c r="AP126" s="173">
        <f ca="1">(VLOOKUP(AP$72,INDIRECT($C$5&amp;"生成成长"),2))/((VLOOKUP($B126,INDIRECT($B$5&amp;"生成成长"),4))/(VLOOKUP(AP$72,INDIRECT($C$5&amp;"生成成长"),5))*(VLOOKUP($B$5,标准坦克设计!$B$24:$U$30,MATCH("对"&amp;LEFT($C$5,2)&amp;"输出",标准坦克设计!$B$23:$U$23,0)))*(VLOOKUP($B126,INDIRECT($B$5&amp;"生成成长"),3))*(VLOOKUP($B$5,标准坦克设计!$B$14:$K$20,9)/30))</f>
        <v>26.860188708362095</v>
      </c>
      <c r="AQ126" s="173">
        <f ca="1">(VLOOKUP(AQ$72,INDIRECT($C$5&amp;"生成成长"),2))/((VLOOKUP($B126,INDIRECT($B$5&amp;"生成成长"),4))/(VLOOKUP(AQ$72,INDIRECT($C$5&amp;"生成成长"),5))*(VLOOKUP($B$5,标准坦克设计!$B$24:$U$30,MATCH("对"&amp;LEFT($C$5,2)&amp;"输出",标准坦克设计!$B$23:$U$23,0)))*(VLOOKUP($B126,INDIRECT($B$5&amp;"生成成长"),3))*(VLOOKUP($B$5,标准坦克设计!$B$14:$K$20,9)/30))</f>
        <v>28.768893073014773</v>
      </c>
      <c r="AR126" s="173">
        <f ca="1">(VLOOKUP(AR$72,INDIRECT($C$5&amp;"生成成长"),2))/((VLOOKUP($B126,INDIRECT($B$5&amp;"生成成长"),4))/(VLOOKUP(AR$72,INDIRECT($C$5&amp;"生成成长"),5))*(VLOOKUP($B$5,标准坦克设计!$B$24:$U$30,MATCH("对"&amp;LEFT($C$5,2)&amp;"输出",标准坦克设计!$B$23:$U$23,0)))*(VLOOKUP($B126,INDIRECT($B$5&amp;"生成成长"),3))*(VLOOKUP($B$5,标准坦克设计!$B$14:$K$20,9)/30))</f>
        <v>30.743106791836482</v>
      </c>
      <c r="AS126" s="173">
        <f ca="1">(VLOOKUP(AS$72,INDIRECT($C$5&amp;"生成成长"),2))/((VLOOKUP($B126,INDIRECT($B$5&amp;"生成成长"),4))/(VLOOKUP(AS$72,INDIRECT($C$5&amp;"生成成长"),5))*(VLOOKUP($B$5,标准坦克设计!$B$24:$U$30,MATCH("对"&amp;LEFT($C$5,2)&amp;"输出",标准坦克设计!$B$23:$U$23,0)))*(VLOOKUP($B126,INDIRECT($B$5&amp;"生成成长"),3))*(VLOOKUP($B$5,标准坦克设计!$B$14:$K$20,9)/30))</f>
        <v>32.782829864827249</v>
      </c>
      <c r="AT126" s="173">
        <f ca="1">(VLOOKUP(AT$72,INDIRECT($C$5&amp;"生成成长"),2))/((VLOOKUP($B126,INDIRECT($B$5&amp;"生成成长"),4))/(VLOOKUP(AT$72,INDIRECT($C$5&amp;"生成成长"),5))*(VLOOKUP($B$5,标准坦克设计!$B$24:$U$30,MATCH("对"&amp;LEFT($C$5,2)&amp;"输出",标准坦克设计!$B$23:$U$23,0)))*(VLOOKUP($B126,INDIRECT($B$5&amp;"生成成长"),3))*(VLOOKUP($B$5,标准坦克设计!$B$14:$K$20,9)/30))</f>
        <v>34.888062291987062</v>
      </c>
      <c r="AU126" s="173">
        <f ca="1">(VLOOKUP(AU$72,INDIRECT($C$5&amp;"生成成长"),2))/((VLOOKUP($B126,INDIRECT($B$5&amp;"生成成长"),4))/(VLOOKUP(AU$72,INDIRECT($C$5&amp;"生成成长"),5))*(VLOOKUP($B$5,标准坦克设计!$B$24:$U$30,MATCH("对"&amp;LEFT($C$5,2)&amp;"输出",标准坦克设计!$B$23:$U$23,0)))*(VLOOKUP($B126,INDIRECT($B$5&amp;"生成成长"),3))*(VLOOKUP($B$5,标准坦克设计!$B$14:$K$20,9)/30))</f>
        <v>37.058804073315912</v>
      </c>
      <c r="AV126" s="173">
        <f ca="1">(VLOOKUP(AV$72,INDIRECT($C$5&amp;"生成成长"),2))/((VLOOKUP($B126,INDIRECT($B$5&amp;"生成成长"),4))/(VLOOKUP(AV$72,INDIRECT($C$5&amp;"生成成长"),5))*(VLOOKUP($B$5,标准坦克设计!$B$24:$U$30,MATCH("对"&amp;LEFT($C$5,2)&amp;"输出",标准坦克设计!$B$23:$U$23,0)))*(VLOOKUP($B126,INDIRECT($B$5&amp;"生成成长"),3))*(VLOOKUP($B$5,标准坦克设计!$B$14:$K$20,9)/30))</f>
        <v>3.7692241630157102</v>
      </c>
      <c r="AW126" s="173">
        <f ca="1">(VLOOKUP(AW$72,INDIRECT($C$5&amp;"生成成长"),2))/((VLOOKUP($B126,INDIRECT($B$5&amp;"生成成长"),4))/(VLOOKUP(AW$72,INDIRECT($C$5&amp;"生成成长"),5))*(VLOOKUP($B$5,标准坦克设计!$B$24:$U$30,MATCH("对"&amp;LEFT($C$5,2)&amp;"输出",标准坦克设计!$B$23:$U$23,0)))*(VLOOKUP($B126,INDIRECT($B$5&amp;"生成成长"),3))*(VLOOKUP($B$5,标准坦克设计!$B$14:$K$20,9)/30))</f>
        <v>4.2976301933379357</v>
      </c>
      <c r="AX126" s="173">
        <f ca="1">(VLOOKUP(AX$72,INDIRECT($C$5&amp;"生成成长"),2))/((VLOOKUP($B126,INDIRECT($B$5&amp;"生成成长"),4))/(VLOOKUP(AX$72,INDIRECT($C$5&amp;"生成成长"),5))*(VLOOKUP($B$5,标准坦克设计!$B$24:$U$30,MATCH("对"&amp;LEFT($C$5,2)&amp;"输出",标准坦克设计!$B$23:$U$23,0)))*(VLOOKUP($B126,INDIRECT($B$5&amp;"生成成长"),3))*(VLOOKUP($B$5,标准坦克设计!$B$14:$K$20,9)/30))</f>
        <v>4.8606857994189951</v>
      </c>
      <c r="AY126" s="173">
        <f ca="1">(VLOOKUP(AY$72,INDIRECT($C$5&amp;"生成成长"),2))/((VLOOKUP($B126,INDIRECT($B$5&amp;"生成成长"),4))/(VLOOKUP(AY$72,INDIRECT($C$5&amp;"生成成长"),5))*(VLOOKUP($B$5,标准坦克设计!$B$24:$U$30,MATCH("对"&amp;LEFT($C$5,2)&amp;"输出",标准坦克设计!$B$23:$U$23,0)))*(VLOOKUP($B126,INDIRECT($B$5&amp;"生成成长"),3))*(VLOOKUP($B$5,标准坦克设计!$B$14:$K$20,9)/30))</f>
        <v>5.4583909812588898</v>
      </c>
      <c r="AZ126" s="173">
        <f ca="1">(VLOOKUP(AZ$72,INDIRECT($C$5&amp;"生成成长"),2))/((VLOOKUP($B126,INDIRECT($B$5&amp;"生成成长"),4))/(VLOOKUP(AZ$72,INDIRECT($C$5&amp;"生成成长"),5))*(VLOOKUP($B$5,标准坦克设计!$B$24:$U$30,MATCH("对"&amp;LEFT($C$5,2)&amp;"输出",标准坦克设计!$B$23:$U$23,0)))*(VLOOKUP($B126,INDIRECT($B$5&amp;"生成成长"),3))*(VLOOKUP($B$5,标准坦克设计!$B$14:$K$20,9)/30))</f>
        <v>6.0907457388576187</v>
      </c>
      <c r="BA126" s="173">
        <f ca="1">(VLOOKUP(BA$72,INDIRECT($C$5&amp;"生成成长"),2))/((VLOOKUP($B126,INDIRECT($B$5&amp;"生成成长"),4))/(VLOOKUP(BA$72,INDIRECT($C$5&amp;"生成成长"),5))*(VLOOKUP($B$5,标准坦克设计!$B$24:$U$30,MATCH("对"&amp;LEFT($C$5,2)&amp;"输出",标准坦克设计!$B$23:$U$23,0)))*(VLOOKUP($B126,INDIRECT($B$5&amp;"生成成长"),3))*(VLOOKUP($B$5,标准坦克设计!$B$14:$K$20,9)/30))</f>
        <v>6.757750072215182</v>
      </c>
      <c r="BB126" s="173">
        <f ca="1">(VLOOKUP(BB$72,INDIRECT($C$5&amp;"生成成长"),2))/((VLOOKUP($B126,INDIRECT($B$5&amp;"生成成长"),4))/(VLOOKUP(BB$72,INDIRECT($C$5&amp;"生成成长"),5))*(VLOOKUP($B$5,标准坦克设计!$B$24:$U$30,MATCH("对"&amp;LEFT($C$5,2)&amp;"输出",标准坦克设计!$B$23:$U$23,0)))*(VLOOKUP($B126,INDIRECT($B$5&amp;"生成成长"),3))*(VLOOKUP($B$5,标准坦克设计!$B$14:$K$20,9)/30))</f>
        <v>7.4594039813315796</v>
      </c>
      <c r="BC126" s="173">
        <f ca="1">(VLOOKUP(BC$72,INDIRECT($C$5&amp;"生成成长"),2))/((VLOOKUP($B126,INDIRECT($B$5&amp;"生成成长"),4))/(VLOOKUP(BC$72,INDIRECT($C$5&amp;"生成成长"),5))*(VLOOKUP($B$5,标准坦克设计!$B$24:$U$30,MATCH("对"&amp;LEFT($C$5,2)&amp;"输出",标准坦克设计!$B$23:$U$23,0)))*(VLOOKUP($B126,INDIRECT($B$5&amp;"生成成长"),3))*(VLOOKUP($B$5,标准坦克设计!$B$14:$K$20,9)/30))</f>
        <v>8.1957074662068123</v>
      </c>
      <c r="BD126" s="173">
        <f ca="1">(VLOOKUP(BD$72,INDIRECT($C$5&amp;"生成成长"),2))/((VLOOKUP($B126,INDIRECT($B$5&amp;"生成成长"),4))/(VLOOKUP(BD$72,INDIRECT($C$5&amp;"生成成长"),5))*(VLOOKUP($B$5,标准坦克设计!$B$24:$U$30,MATCH("对"&amp;LEFT($C$5,2)&amp;"输出",标准坦克设计!$B$23:$U$23,0)))*(VLOOKUP($B126,INDIRECT($B$5&amp;"生成成长"),3))*(VLOOKUP($B$5,标准坦克设计!$B$14:$K$20,9)/30))</f>
        <v>9.0654659577156806</v>
      </c>
      <c r="BE126" s="173">
        <f ca="1">(VLOOKUP(BE$72,INDIRECT($C$5&amp;"生成成长"),2))/((VLOOKUP($B126,INDIRECT($B$5&amp;"生成成长"),4))/(VLOOKUP(BE$72,INDIRECT($C$5&amp;"生成成长"),5))*(VLOOKUP($B$5,标准坦克设计!$B$24:$U$30,MATCH("对"&amp;LEFT($C$5,2)&amp;"输出",标准坦克设计!$B$23:$U$23,0)))*(VLOOKUP($B126,INDIRECT($B$5&amp;"生成成长"),3))*(VLOOKUP($B$5,标准坦克设计!$B$14:$K$20,9)/30))</f>
        <v>9.9790778185443241</v>
      </c>
      <c r="BF126" s="173">
        <f ca="1">(VLOOKUP(BF$72,INDIRECT($C$5&amp;"生成成长"),2))/((VLOOKUP($B126,INDIRECT($B$5&amp;"生成成长"),4))/(VLOOKUP(BF$72,INDIRECT($C$5&amp;"生成成长"),5))*(VLOOKUP($B$5,标准坦克设计!$B$24:$U$30,MATCH("对"&amp;LEFT($C$5,2)&amp;"输出",标准坦克设计!$B$23:$U$23,0)))*(VLOOKUP($B126,INDIRECT($B$5&amp;"生成成长"),3))*(VLOOKUP($B$5,标准坦克设计!$B$14:$K$20,9)/30))</f>
        <v>10.936543048692741</v>
      </c>
      <c r="BG126" s="173">
        <f ca="1">(VLOOKUP(BG$72,INDIRECT($C$5&amp;"生成成长"),2))/((VLOOKUP($B126,INDIRECT($B$5&amp;"生成成长"),4))/(VLOOKUP(BG$72,INDIRECT($C$5&amp;"生成成长"),5))*(VLOOKUP($B$5,标准坦克设计!$B$24:$U$30,MATCH("对"&amp;LEFT($C$5,2)&amp;"输出",标准坦克设计!$B$23:$U$23,0)))*(VLOOKUP($B126,INDIRECT($B$5&amp;"生成成长"),3))*(VLOOKUP($B$5,标准坦克设计!$B$14:$K$20,9)/30))</f>
        <v>11.937861648160931</v>
      </c>
      <c r="BH126" s="173">
        <f ca="1">(VLOOKUP(BH$72,INDIRECT($C$5&amp;"生成成长"),2))/((VLOOKUP($B126,INDIRECT($B$5&amp;"生成成长"),4))/(VLOOKUP(BH$72,INDIRECT($C$5&amp;"生成成长"),5))*(VLOOKUP($B$5,标准坦克设计!$B$24:$U$30,MATCH("对"&amp;LEFT($C$5,2)&amp;"输出",标准坦克设计!$B$23:$U$23,0)))*(VLOOKUP($B126,INDIRECT($B$5&amp;"生成成长"),3))*(VLOOKUP($B$5,标准坦克设计!$B$14:$K$20,9)/30))</f>
        <v>5.7702371630884004</v>
      </c>
      <c r="BI126" s="173">
        <f ca="1">(VLOOKUP(BI$72,INDIRECT($C$5&amp;"生成成长"),2))/((VLOOKUP($B126,INDIRECT($B$5&amp;"生成成长"),4))/(VLOOKUP(BI$72,INDIRECT($C$5&amp;"生成成长"),5))*(VLOOKUP($B$5,标准坦克设计!$B$24:$U$30,MATCH("对"&amp;LEFT($C$5,2)&amp;"输出",标准坦克设计!$B$23:$U$23,0)))*(VLOOKUP($B126,INDIRECT($B$5&amp;"生成成长"),3))*(VLOOKUP($B$5,标准坦克设计!$B$14:$K$20,9)/30))</f>
        <v>6.5035629500468568</v>
      </c>
      <c r="BJ126" s="173">
        <f ca="1">(VLOOKUP(BJ$72,INDIRECT($C$5&amp;"生成成长"),2))/((VLOOKUP($B126,INDIRECT($B$5&amp;"生成成长"),4))/(VLOOKUP(BJ$72,INDIRECT($C$5&amp;"生成成长"),5))*(VLOOKUP($B$5,标准坦克设计!$B$24:$U$30,MATCH("对"&amp;LEFT($C$5,2)&amp;"输出",标准坦克设计!$B$23:$U$23,0)))*(VLOOKUP($B126,INDIRECT($B$5&amp;"生成成长"),3))*(VLOOKUP($B$5,标准坦克设计!$B$14:$K$20,9)/30))</f>
        <v>7.2807421063250892</v>
      </c>
      <c r="BK126" s="173">
        <f ca="1">(VLOOKUP(BK$72,INDIRECT($C$5&amp;"生成成长"),2))/((VLOOKUP($B126,INDIRECT($B$5&amp;"生成成长"),4))/(VLOOKUP(BK$72,INDIRECT($C$5&amp;"生成成长"),5))*(VLOOKUP($B$5,标准坦克设计!$B$24:$U$30,MATCH("对"&amp;LEFT($C$5,2)&amp;"输出",标准坦克设计!$B$23:$U$23,0)))*(VLOOKUP($B126,INDIRECT($B$5&amp;"生成成长"),3))*(VLOOKUP($B$5,标准坦克设计!$B$14:$K$20,9)/30))</f>
        <v>8.1017746319230977</v>
      </c>
      <c r="BL126" s="173">
        <f ca="1">(VLOOKUP(BL$72,INDIRECT($C$5&amp;"生成成长"),2))/((VLOOKUP($B126,INDIRECT($B$5&amp;"生成成长"),4))/(VLOOKUP(BL$72,INDIRECT($C$5&amp;"生成成长"),5))*(VLOOKUP($B$5,标准坦克设计!$B$24:$U$30,MATCH("对"&amp;LEFT($C$5,2)&amp;"输出",标准坦克设计!$B$23:$U$23,0)))*(VLOOKUP($B126,INDIRECT($B$5&amp;"生成成长"),3))*(VLOOKUP($B$5,标准坦克设计!$B$14:$K$20,9)/30))</f>
        <v>8.9666605268408777</v>
      </c>
      <c r="BM126" s="173">
        <f ca="1">(VLOOKUP(BM$72,INDIRECT($C$5&amp;"生成成长"),2))/((VLOOKUP($B126,INDIRECT($B$5&amp;"生成成长"),4))/(VLOOKUP(BM$72,INDIRECT($C$5&amp;"生成成长"),5))*(VLOOKUP($B$5,标准坦克设计!$B$24:$U$30,MATCH("对"&amp;LEFT($C$5,2)&amp;"输出",标准坦克设计!$B$23:$U$23,0)))*(VLOOKUP($B126,INDIRECT($B$5&amp;"生成成长"),3))*(VLOOKUP($B$5,标准坦克设计!$B$14:$K$20,9)/30))</f>
        <v>9.8753997910784346</v>
      </c>
      <c r="BN126" s="173">
        <f ca="1">(VLOOKUP(BN$72,INDIRECT($C$5&amp;"生成成长"),2))/((VLOOKUP($B126,INDIRECT($B$5&amp;"生成成长"),4))/(VLOOKUP(BN$72,INDIRECT($C$5&amp;"生成成长"),5))*(VLOOKUP($B$5,标准坦克设计!$B$24:$U$30,MATCH("对"&amp;LEFT($C$5,2)&amp;"输出",标准坦克设计!$B$23:$U$23,0)))*(VLOOKUP($B126,INDIRECT($B$5&amp;"生成成长"),3))*(VLOOKUP($B$5,标准坦克设计!$B$14:$K$20,9)/30))</f>
        <v>10.827992424635765</v>
      </c>
      <c r="BO126" s="173">
        <f ca="1">(VLOOKUP(BO$72,INDIRECT($C$5&amp;"生成成长"),2))/((VLOOKUP($B126,INDIRECT($B$5&amp;"生成成长"),4))/(VLOOKUP(BO$72,INDIRECT($C$5&amp;"生成成长"),5))*(VLOOKUP($B$5,标准坦克设计!$B$24:$U$30,MATCH("对"&amp;LEFT($C$5,2)&amp;"输出",标准坦克设计!$B$23:$U$23,0)))*(VLOOKUP($B126,INDIRECT($B$5&amp;"生成成长"),3))*(VLOOKUP($B$5,标准坦克设计!$B$14:$K$20,9)/30))</f>
        <v>11.824438427512872</v>
      </c>
      <c r="BP126" s="173">
        <f ca="1">(VLOOKUP(BP$72,INDIRECT($C$5&amp;"生成成长"),2))/((VLOOKUP($B126,INDIRECT($B$5&amp;"生成成长"),4))/(VLOOKUP(BP$72,INDIRECT($C$5&amp;"生成成长"),5))*(VLOOKUP($B$5,标准坦克设计!$B$24:$U$30,MATCH("对"&amp;LEFT($C$5,2)&amp;"输出",标准坦克设计!$B$23:$U$23,0)))*(VLOOKUP($B126,INDIRECT($B$5&amp;"生成成长"),3))*(VLOOKUP($B$5,标准坦克设计!$B$14:$K$20,9)/30))</f>
        <v>12.864737799709754</v>
      </c>
      <c r="BQ126" s="173">
        <f ca="1">(VLOOKUP(BQ$72,INDIRECT($C$5&amp;"生成成长"),2))/((VLOOKUP($B126,INDIRECT($B$5&amp;"生成成长"),4))/(VLOOKUP(BQ$72,INDIRECT($C$5&amp;"生成成长"),5))*(VLOOKUP($B$5,标准坦克设计!$B$24:$U$30,MATCH("对"&amp;LEFT($C$5,2)&amp;"输出",标准坦克设计!$B$23:$U$23,0)))*(VLOOKUP($B126,INDIRECT($B$5&amp;"生成成长"),3))*(VLOOKUP($B$5,标准坦克设计!$B$14:$K$20,9)/30))</f>
        <v>13.94889054122641</v>
      </c>
      <c r="BR126" s="173">
        <f ca="1">(VLOOKUP(BR$72,INDIRECT($C$5&amp;"生成成长"),2))/((VLOOKUP($B126,INDIRECT($B$5&amp;"生成成长"),4))/(VLOOKUP(BR$72,INDIRECT($C$5&amp;"生成成长"),5))*(VLOOKUP($B$5,标准坦克设计!$B$24:$U$30,MATCH("对"&amp;LEFT($C$5,2)&amp;"输出",标准坦克设计!$B$23:$U$23,0)))*(VLOOKUP($B126,INDIRECT($B$5&amp;"生成成长"),3))*(VLOOKUP($B$5,标准坦克设计!$B$14:$K$20,9)/30))</f>
        <v>15.204937662484157</v>
      </c>
      <c r="BS126" s="173">
        <f ca="1">(VLOOKUP(BS$72,INDIRECT($C$5&amp;"生成成长"),2))/((VLOOKUP($B126,INDIRECT($B$5&amp;"生成成长"),4))/(VLOOKUP(BS$72,INDIRECT($C$5&amp;"生成成长"),5))*(VLOOKUP($B$5,标准坦克设计!$B$24:$U$30,MATCH("对"&amp;LEFT($C$5,2)&amp;"输出",标准坦克设计!$B$23:$U$23,0)))*(VLOOKUP($B126,INDIRECT($B$5&amp;"生成成长"),3))*(VLOOKUP($B$5,标准坦克设计!$B$14:$K$20,9)/30))</f>
        <v>16.515124745865087</v>
      </c>
      <c r="BT126" s="173">
        <f ca="1">(VLOOKUP(BT$72,INDIRECT($C$5&amp;"生成成长"),2))/((VLOOKUP($B126,INDIRECT($B$5&amp;"生成成长"),4))/(VLOOKUP(BT$72,INDIRECT($C$5&amp;"生成成长"),5))*(VLOOKUP($B$5,标准坦克设计!$B$24:$U$30,MATCH("对"&amp;LEFT($C$5,2)&amp;"输出",标准坦克设计!$B$23:$U$23,0)))*(VLOOKUP($B126,INDIRECT($B$5&amp;"生成成长"),3))*(VLOOKUP($B$5,标准坦克设计!$B$14:$K$20,9)/30))</f>
        <v>17.879451791369195</v>
      </c>
      <c r="BU126" s="173">
        <f ca="1">(VLOOKUP(BU$72,INDIRECT($C$5&amp;"生成成长"),2))/((VLOOKUP($B126,INDIRECT($B$5&amp;"生成成长"),4))/(VLOOKUP(BU$72,INDIRECT($C$5&amp;"生成成长"),5))*(VLOOKUP($B$5,标准坦克设计!$B$24:$U$30,MATCH("对"&amp;LEFT($C$5,2)&amp;"输出",标准坦克设计!$B$23:$U$23,0)))*(VLOOKUP($B126,INDIRECT($B$5&amp;"生成成长"),3))*(VLOOKUP($B$5,标准坦克设计!$B$14:$K$20,9)/30))</f>
        <v>19.297918798996477</v>
      </c>
      <c r="BV126" s="173">
        <f ca="1">(VLOOKUP(BV$72,INDIRECT($C$5&amp;"生成成长"),2))/((VLOOKUP($B126,INDIRECT($B$5&amp;"生成成长"),4))/(VLOOKUP(BV$72,INDIRECT($C$5&amp;"生成成长"),5))*(VLOOKUP($B$5,标准坦克设计!$B$24:$U$30,MATCH("对"&amp;LEFT($C$5,2)&amp;"输出",标准坦克设计!$B$23:$U$23,0)))*(VLOOKUP($B126,INDIRECT($B$5&amp;"生成成长"),3))*(VLOOKUP($B$5,标准坦克设计!$B$14:$K$20,9)/30))</f>
        <v>20.770525768746946</v>
      </c>
      <c r="BW126" s="173">
        <f ca="1">(VLOOKUP(BW$72,INDIRECT($C$5&amp;"生成成长"),2))/((VLOOKUP($B126,INDIRECT($B$5&amp;"生成成长"),4))/(VLOOKUP(BW$72,INDIRECT($C$5&amp;"生成成长"),5))*(VLOOKUP($B$5,标准坦克设计!$B$24:$U$30,MATCH("对"&amp;LEFT($C$5,2)&amp;"输出",标准坦克设计!$B$23:$U$23,0)))*(VLOOKUP($B126,INDIRECT($B$5&amp;"生成成长"),3))*(VLOOKUP($B$5,标准坦克设计!$B$14:$K$20,9)/30))</f>
        <v>9.4661016774272024</v>
      </c>
      <c r="BX126" s="173">
        <f ca="1">(VLOOKUP(BX$72,INDIRECT($C$5&amp;"生成成长"),2))/((VLOOKUP($B126,INDIRECT($B$5&amp;"生成成长"),4))/(VLOOKUP(BX$72,INDIRECT($C$5&amp;"生成成长"),5))*(VLOOKUP($B$5,标准坦克设计!$B$24:$U$30,MATCH("对"&amp;LEFT($C$5,2)&amp;"输出",标准坦克设计!$B$23:$U$23,0)))*(VLOOKUP($B126,INDIRECT($B$5&amp;"生成成长"),3))*(VLOOKUP($B$5,标准坦克设计!$B$14:$K$20,9)/30))</f>
        <v>10.505588950192235</v>
      </c>
      <c r="BY126" s="173">
        <f ca="1">(VLOOKUP(BY$72,INDIRECT($C$5&amp;"生成成长"),2))/((VLOOKUP($B126,INDIRECT($B$5&amp;"生成成长"),4))/(VLOOKUP(BY$72,INDIRECT($C$5&amp;"生成成长"),5))*(VLOOKUP($B$5,标准坦克设计!$B$24:$U$30,MATCH("对"&amp;LEFT($C$5,2)&amp;"输出",标准坦克设计!$B$23:$U$23,0)))*(VLOOKUP($B126,INDIRECT($B$5&amp;"生成成长"),3))*(VLOOKUP($B$5,标准坦克设计!$B$14:$K$20,9)/30))</f>
        <v>11.599216185080447</v>
      </c>
      <c r="BZ126" s="173">
        <f ca="1">(VLOOKUP(BZ$72,INDIRECT($C$5&amp;"生成成长"),2))/((VLOOKUP($B126,INDIRECT($B$5&amp;"生成成长"),4))/(VLOOKUP(BZ$72,INDIRECT($C$5&amp;"生成成长"),5))*(VLOOKUP($B$5,标准坦克设计!$B$24:$U$30,MATCH("对"&amp;LEFT($C$5,2)&amp;"输出",标准坦克设计!$B$23:$U$23,0)))*(VLOOKUP($B126,INDIRECT($B$5&amp;"生成成长"),3))*(VLOOKUP($B$5,标准坦克设计!$B$14:$K$20,9)/30))</f>
        <v>12.746983382091843</v>
      </c>
      <c r="CA126" s="173">
        <f ca="1">(VLOOKUP(CA$72,INDIRECT($C$5&amp;"生成成长"),2))/((VLOOKUP($B126,INDIRECT($B$5&amp;"生成成长"),4))/(VLOOKUP(CA$72,INDIRECT($C$5&amp;"生成成长"),5))*(VLOOKUP($B$5,标准坦克设计!$B$24:$U$30,MATCH("对"&amp;LEFT($C$5,2)&amp;"输出",标准坦克设计!$B$23:$U$23,0)))*(VLOOKUP($B126,INDIRECT($B$5&amp;"生成成长"),3))*(VLOOKUP($B$5,标准坦克设计!$B$14:$K$20,9)/30))</f>
        <v>13.94889054122641</v>
      </c>
      <c r="CB126" s="173">
        <f ca="1">(VLOOKUP(CB$72,INDIRECT($C$5&amp;"生成成长"),2))/((VLOOKUP($B126,INDIRECT($B$5&amp;"生成成长"),4))/(VLOOKUP(CB$72,INDIRECT($C$5&amp;"生成成长"),5))*(VLOOKUP($B$5,标准坦克设计!$B$24:$U$30,MATCH("对"&amp;LEFT($C$5,2)&amp;"输出",标准坦克设计!$B$23:$U$23,0)))*(VLOOKUP($B126,INDIRECT($B$5&amp;"生成成长"),3))*(VLOOKUP($B$5,标准坦克设计!$B$14:$K$20,9)/30))</f>
        <v>15.204937662484157</v>
      </c>
      <c r="CC126" s="173">
        <f ca="1">(VLOOKUP(CC$72,INDIRECT($C$5&amp;"生成成长"),2))/((VLOOKUP($B126,INDIRECT($B$5&amp;"生成成长"),4))/(VLOOKUP(CC$72,INDIRECT($C$5&amp;"生成成长"),5))*(VLOOKUP($B$5,标准坦克设计!$B$24:$U$30,MATCH("对"&amp;LEFT($C$5,2)&amp;"输出",标准坦克设计!$B$23:$U$23,0)))*(VLOOKUP($B126,INDIRECT($B$5&amp;"生成成长"),3))*(VLOOKUP($B$5,标准坦克设计!$B$14:$K$20,9)/30))</f>
        <v>16.515124745865087</v>
      </c>
      <c r="CD126" s="173">
        <f ca="1">(VLOOKUP(CD$72,INDIRECT($C$5&amp;"生成成长"),2))/((VLOOKUP($B126,INDIRECT($B$5&amp;"生成成长"),4))/(VLOOKUP(CD$72,INDIRECT($C$5&amp;"生成成长"),5))*(VLOOKUP($B$5,标准坦克设计!$B$24:$U$30,MATCH("对"&amp;LEFT($C$5,2)&amp;"输出",标准坦克设计!$B$23:$U$23,0)))*(VLOOKUP($B126,INDIRECT($B$5&amp;"生成成长"),3))*(VLOOKUP($B$5,标准坦克设计!$B$14:$K$20,9)/30))</f>
        <v>17.879451791369195</v>
      </c>
      <c r="CE126" s="173">
        <f ca="1">(VLOOKUP(CE$72,INDIRECT($C$5&amp;"生成成长"),2))/((VLOOKUP($B126,INDIRECT($B$5&amp;"生成成长"),4))/(VLOOKUP(CE$72,INDIRECT($C$5&amp;"生成成长"),5))*(VLOOKUP($B$5,标准坦克设计!$B$24:$U$30,MATCH("对"&amp;LEFT($C$5,2)&amp;"输出",标准坦克设计!$B$23:$U$23,0)))*(VLOOKUP($B126,INDIRECT($B$5&amp;"生成成长"),3))*(VLOOKUP($B$5,标准坦克设计!$B$14:$K$20,9)/30))</f>
        <v>19.297918798996477</v>
      </c>
      <c r="CF126" s="173">
        <f ca="1">(VLOOKUP(CF$72,INDIRECT($C$5&amp;"生成成长"),2))/((VLOOKUP($B126,INDIRECT($B$5&amp;"生成成长"),4))/(VLOOKUP(CF$72,INDIRECT($C$5&amp;"生成成长"),5))*(VLOOKUP($B$5,标准坦克设计!$B$24:$U$30,MATCH("对"&amp;LEFT($C$5,2)&amp;"输出",标准坦克设计!$B$23:$U$23,0)))*(VLOOKUP($B126,INDIRECT($B$5&amp;"生成成长"),3))*(VLOOKUP($B$5,标准坦克设计!$B$14:$K$20,9)/30))</f>
        <v>20.770525768746946</v>
      </c>
      <c r="CG126" s="173">
        <f ca="1">(VLOOKUP(CG$72,INDIRECT($C$5&amp;"生成成长"),2))/((VLOOKUP($B126,INDIRECT($B$5&amp;"生成成长"),4))/(VLOOKUP(CG$72,INDIRECT($C$5&amp;"生成成长"),5))*(VLOOKUP($B$5,标准坦克设计!$B$24:$U$30,MATCH("对"&amp;LEFT($C$5,2)&amp;"输出",标准坦克设计!$B$23:$U$23,0)))*(VLOOKUP($B126,INDIRECT($B$5&amp;"生成成长"),3))*(VLOOKUP($B$5,标准坦克设计!$B$14:$K$20,9)/30))</f>
        <v>22.297272700620585</v>
      </c>
      <c r="CH126" s="173">
        <f ca="1">(VLOOKUP(CH$72,INDIRECT($C$5&amp;"生成成长"),2))/((VLOOKUP($B126,INDIRECT($B$5&amp;"生成成长"),4))/(VLOOKUP(CH$72,INDIRECT($C$5&amp;"生成成长"),5))*(VLOOKUP($B$5,标准坦克设计!$B$24:$U$30,MATCH("对"&amp;LEFT($C$5,2)&amp;"输出",标准坦克设计!$B$23:$U$23,0)))*(VLOOKUP($B126,INDIRECT($B$5&amp;"生成成长"),3))*(VLOOKUP($B$5,标准坦克设计!$B$14:$K$20,9)/30))</f>
        <v>23.878159594617411</v>
      </c>
      <c r="CI126" s="173">
        <f ca="1">(VLOOKUP(CI$72,INDIRECT($C$5&amp;"生成成长"),2))/((VLOOKUP($B126,INDIRECT($B$5&amp;"生成成长"),4))/(VLOOKUP(CI$72,INDIRECT($C$5&amp;"生成成长"),5))*(VLOOKUP($B$5,标准坦克设计!$B$24:$U$30,MATCH("对"&amp;LEFT($C$5,2)&amp;"输出",标准坦克设计!$B$23:$U$23,0)))*(VLOOKUP($B126,INDIRECT($B$5&amp;"生成成长"),3))*(VLOOKUP($B$5,标准坦克设计!$B$14:$K$20,9)/30))</f>
        <v>25.679666834266186</v>
      </c>
      <c r="CJ126" s="173">
        <f ca="1">(VLOOKUP(CJ$72,INDIRECT($C$5&amp;"生成成长"),2))/((VLOOKUP($B126,INDIRECT($B$5&amp;"生成成长"),4))/(VLOOKUP(CJ$72,INDIRECT($C$5&amp;"生成成长"),5))*(VLOOKUP($B$5,标准坦克设计!$B$24:$U$30,MATCH("对"&amp;LEFT($C$5,2)&amp;"输出",标准坦克设计!$B$23:$U$23,0)))*(VLOOKUP($B126,INDIRECT($B$5&amp;"生成成长"),3))*(VLOOKUP($B$5,标准坦克设计!$B$14:$K$20,9)/30))</f>
        <v>27.546683428084005</v>
      </c>
      <c r="CK126" s="173">
        <f ca="1">(VLOOKUP(CK$72,INDIRECT($C$5&amp;"生成成长"),2))/((VLOOKUP($B126,INDIRECT($B$5&amp;"生成成长"),4))/(VLOOKUP(CK$72,INDIRECT($C$5&amp;"生成成长"),5))*(VLOOKUP($B$5,标准坦克设计!$B$24:$U$30,MATCH("对"&amp;LEFT($C$5,2)&amp;"输出",标准坦克设计!$B$23:$U$23,0)))*(VLOOKUP($B126,INDIRECT($B$5&amp;"生成成长"),3))*(VLOOKUP($B$5,标准坦克设计!$B$14:$K$20,9)/30))</f>
        <v>29.47920937607087</v>
      </c>
      <c r="CL126" s="173">
        <f ca="1">(VLOOKUP(CL$72,INDIRECT($C$5&amp;"生成成长"),2))/((VLOOKUP($B126,INDIRECT($B$5&amp;"生成成长"),4))/(VLOOKUP(CL$72,INDIRECT($C$5&amp;"生成成长"),5))*(VLOOKUP($B$5,标准坦克设计!$B$24:$U$30,MATCH("对"&amp;LEFT($C$5,2)&amp;"输出",标准坦克设计!$B$23:$U$23,0)))*(VLOOKUP($B126,INDIRECT($B$5&amp;"生成成长"),3))*(VLOOKUP($B$5,标准坦克设计!$B$14:$K$20,9)/30))</f>
        <v>31.477244678226789</v>
      </c>
      <c r="CM126" s="173">
        <f ca="1">(VLOOKUP(CM$72,INDIRECT($C$5&amp;"生成成长"),2))/((VLOOKUP($B126,INDIRECT($B$5&amp;"生成成长"),4))/(VLOOKUP(CM$72,INDIRECT($C$5&amp;"生成成长"),5))*(VLOOKUP($B$5,标准坦克设计!$B$24:$U$30,MATCH("对"&amp;LEFT($C$5,2)&amp;"输出",标准坦克设计!$B$23:$U$23,0)))*(VLOOKUP($B126,INDIRECT($B$5&amp;"生成成长"),3))*(VLOOKUP($B$5,标准坦克设计!$B$14:$K$20,9)/30))</f>
        <v>33.540789334551754</v>
      </c>
      <c r="CN126" s="173">
        <f ca="1">(VLOOKUP(CN$72,INDIRECT($C$5&amp;"生成成长"),2))/((VLOOKUP($B126,INDIRECT($B$5&amp;"生成成长"),4))/(VLOOKUP(CN$72,INDIRECT($C$5&amp;"生成成长"),5))*(VLOOKUP($B$5,标准坦克设计!$B$24:$U$30,MATCH("对"&amp;LEFT($C$5,2)&amp;"输出",标准坦克设计!$B$23:$U$23,0)))*(VLOOKUP($B126,INDIRECT($B$5&amp;"生成成长"),3))*(VLOOKUP($B$5,标准坦克设计!$B$14:$K$20,9)/30))</f>
        <v>35.669843345045763</v>
      </c>
      <c r="CO126" s="173">
        <f ca="1">(VLOOKUP(CO$72,INDIRECT($C$5&amp;"生成成长"),2))/((VLOOKUP($B126,INDIRECT($B$5&amp;"生成成长"),4))/(VLOOKUP(CO$72,INDIRECT($C$5&amp;"生成成长"),5))*(VLOOKUP($B$5,标准坦克设计!$B$24:$U$30,MATCH("对"&amp;LEFT($C$5,2)&amp;"输出",标准坦克设计!$B$23:$U$23,0)))*(VLOOKUP($B126,INDIRECT($B$5&amp;"生成成长"),3))*(VLOOKUP($B$5,标准坦克设计!$B$14:$K$20,9)/30))</f>
        <v>15.984553117057935</v>
      </c>
      <c r="CP126" s="173">
        <f ca="1">(VLOOKUP(CP$72,INDIRECT($C$5&amp;"生成成长"),2))/((VLOOKUP($B126,INDIRECT($B$5&amp;"生成成长"),4))/(VLOOKUP(CP$72,INDIRECT($C$5&amp;"生成成长"),5))*(VLOOKUP($B$5,标准坦克设计!$B$24:$U$30,MATCH("对"&amp;LEFT($C$5,2)&amp;"输出",标准坦克设计!$B$23:$U$23,0)))*(VLOOKUP($B126,INDIRECT($B$5&amp;"生成成长"),3))*(VLOOKUP($B$5,标准坦克设计!$B$14:$K$20,9)/30))</f>
        <v>17.464468981695028</v>
      </c>
      <c r="CQ126" s="173">
        <f ca="1">(VLOOKUP(CQ$72,INDIRECT($C$5&amp;"生成成长"),2))/((VLOOKUP($B126,INDIRECT($B$5&amp;"生成成长"),4))/(VLOOKUP(CQ$72,INDIRECT($C$5&amp;"生成成长"),5))*(VLOOKUP($B$5,标准坦克设计!$B$24:$U$30,MATCH("对"&amp;LEFT($C$5,2)&amp;"输出",标准坦克设计!$B$23:$U$23,0)))*(VLOOKUP($B126,INDIRECT($B$5&amp;"生成成长"),3))*(VLOOKUP($B$5,标准坦克设计!$B$14:$K$20,9)/30))</f>
        <v>19.009894200501169</v>
      </c>
      <c r="CR126" s="173">
        <f ca="1">(VLOOKUP(CR$72,INDIRECT($C$5&amp;"生成成长"),2))/((VLOOKUP($B126,INDIRECT($B$5&amp;"生成成长"),4))/(VLOOKUP(CR$72,INDIRECT($C$5&amp;"生成成长"),5))*(VLOOKUP($B$5,标准坦克设计!$B$24:$U$30,MATCH("对"&amp;LEFT($C$5,2)&amp;"输出",标准坦克设计!$B$23:$U$23,0)))*(VLOOKUP($B126,INDIRECT($B$5&amp;"生成成长"),3))*(VLOOKUP($B$5,标准坦克设计!$B$14:$K$20,9)/30))</f>
        <v>20.620828773476358</v>
      </c>
      <c r="CS126" s="173">
        <f ca="1">(VLOOKUP(CS$72,INDIRECT($C$5&amp;"生成成长"),2))/((VLOOKUP($B126,INDIRECT($B$5&amp;"生成成长"),4))/(VLOOKUP(CS$72,INDIRECT($C$5&amp;"生成成长"),5))*(VLOOKUP($B$5,标准坦克设计!$B$24:$U$30,MATCH("对"&amp;LEFT($C$5,2)&amp;"输出",标准坦克设计!$B$23:$U$23,0)))*(VLOOKUP($B126,INDIRECT($B$5&amp;"生成成长"),3))*(VLOOKUP($B$5,标准坦克设计!$B$14:$K$20,9)/30))</f>
        <v>22.297272700620585</v>
      </c>
      <c r="CT126" s="173">
        <f ca="1">(VLOOKUP(CT$72,INDIRECT($C$5&amp;"生成成长"),2))/((VLOOKUP($B126,INDIRECT($B$5&amp;"生成成长"),4))/(VLOOKUP(CT$72,INDIRECT($C$5&amp;"生成成长"),5))*(VLOOKUP($B$5,标准坦克设计!$B$24:$U$30,MATCH("对"&amp;LEFT($C$5,2)&amp;"输出",标准坦克设计!$B$23:$U$23,0)))*(VLOOKUP($B126,INDIRECT($B$5&amp;"生成成长"),3))*(VLOOKUP($B$5,标准坦克设计!$B$14:$K$20,9)/30))</f>
        <v>24.039225981933864</v>
      </c>
      <c r="CU126" s="173">
        <f ca="1">(VLOOKUP(CU$72,INDIRECT($C$5&amp;"生成成长"),2))/((VLOOKUP($B126,INDIRECT($B$5&amp;"生成成长"),4))/(VLOOKUP(CU$72,INDIRECT($C$5&amp;"生成成长"),5))*(VLOOKUP($B$5,标准坦克设计!$B$24:$U$30,MATCH("对"&amp;LEFT($C$5,2)&amp;"输出",标准坦克设计!$B$23:$U$23,0)))*(VLOOKUP($B126,INDIRECT($B$5&amp;"生成成长"),3))*(VLOOKUP($B$5,标准坦克设计!$B$14:$K$20,9)/30))</f>
        <v>25.846688617416191</v>
      </c>
      <c r="CV126" s="173">
        <f ca="1">(VLOOKUP(CV$72,INDIRECT($C$5&amp;"生成成长"),2))/((VLOOKUP($B126,INDIRECT($B$5&amp;"生成成长"),4))/(VLOOKUP(CV$72,INDIRECT($C$5&amp;"生成成长"),5))*(VLOOKUP($B$5,标准坦克设计!$B$24:$U$30,MATCH("对"&amp;LEFT($C$5,2)&amp;"输出",标准坦克设计!$B$23:$U$23,0)))*(VLOOKUP($B126,INDIRECT($B$5&amp;"生成成长"),3))*(VLOOKUP($B$5,标准坦克设计!$B$14:$K$20,9)/30))</f>
        <v>27.719660607067556</v>
      </c>
      <c r="CW126" s="173">
        <f ca="1">(VLOOKUP(CW$72,INDIRECT($C$5&amp;"生成成长"),2))/((VLOOKUP($B126,INDIRECT($B$5&amp;"生成成长"),4))/(VLOOKUP(CW$72,INDIRECT($C$5&amp;"生成成长"),5))*(VLOOKUP($B$5,标准坦克设计!$B$24:$U$30,MATCH("对"&amp;LEFT($C$5,2)&amp;"输出",标准坦克设计!$B$23:$U$23,0)))*(VLOOKUP($B126,INDIRECT($B$5&amp;"生成成长"),3))*(VLOOKUP($B$5,标准坦克设计!$B$14:$K$20,9)/30))</f>
        <v>29.658141950887984</v>
      </c>
      <c r="CX126" s="173">
        <f ca="1">(VLOOKUP(CX$72,INDIRECT($C$5&amp;"生成成长"),2))/((VLOOKUP($B126,INDIRECT($B$5&amp;"生成成长"),4))/(VLOOKUP(CX$72,INDIRECT($C$5&amp;"生成成长"),5))*(VLOOKUP($B$5,标准坦克设计!$B$24:$U$30,MATCH("对"&amp;LEFT($C$5,2)&amp;"输出",标准坦克设计!$B$23:$U$23,0)))*(VLOOKUP($B126,INDIRECT($B$5&amp;"生成成长"),3))*(VLOOKUP($B$5,标准坦克设计!$B$14:$K$20,9)/30))</f>
        <v>31.662132648877446</v>
      </c>
      <c r="CY126" s="173">
        <f ca="1">(VLOOKUP(CY$72,INDIRECT($C$5&amp;"生成成长"),2))/((VLOOKUP($B126,INDIRECT($B$5&amp;"生成成长"),4))/(VLOOKUP(CY$72,INDIRECT($C$5&amp;"生成成长"),5))*(VLOOKUP($B$5,标准坦克设计!$B$24:$U$30,MATCH("对"&amp;LEFT($C$5,2)&amp;"输出",标准坦克设计!$B$23:$U$23,0)))*(VLOOKUP($B126,INDIRECT($B$5&amp;"生成成长"),3))*(VLOOKUP($B$5,标准坦克设计!$B$14:$K$20,9)/30))</f>
        <v>33.731632701035949</v>
      </c>
      <c r="CZ126" s="173">
        <f ca="1">(VLOOKUP(CZ$72,INDIRECT($C$5&amp;"生成成长"),2))/((VLOOKUP($B126,INDIRECT($B$5&amp;"生成成长"),4))/(VLOOKUP(CZ$72,INDIRECT($C$5&amp;"生成成长"),5))*(VLOOKUP($B$5,标准坦克设计!$B$24:$U$30,MATCH("对"&amp;LEFT($C$5,2)&amp;"输出",标准坦克设计!$B$23:$U$23,0)))*(VLOOKUP($B126,INDIRECT($B$5&amp;"生成成长"),3))*(VLOOKUP($B$5,标准坦克设计!$B$14:$K$20,9)/30))</f>
        <v>35.866642107363511</v>
      </c>
      <c r="DA126" s="173">
        <f ca="1">(VLOOKUP(DA$72,INDIRECT($C$5&amp;"生成成长"),2))/((VLOOKUP($B126,INDIRECT($B$5&amp;"生成成长"),4))/(VLOOKUP(DA$72,INDIRECT($C$5&amp;"生成成长"),5))*(VLOOKUP($B$5,标准坦克设计!$B$24:$U$30,MATCH("对"&amp;LEFT($C$5,2)&amp;"输出",标准坦克设计!$B$23:$U$23,0)))*(VLOOKUP($B126,INDIRECT($B$5&amp;"生成成长"),3))*(VLOOKUP($B$5,标准坦克设计!$B$14:$K$20,9)/30))</f>
        <v>38.067160867860117</v>
      </c>
      <c r="DB126" s="173">
        <f ca="1">(VLOOKUP(DB$72,INDIRECT($C$5&amp;"生成成长"),2))/((VLOOKUP($B126,INDIRECT($B$5&amp;"生成成长"),4))/(VLOOKUP(DB$72,INDIRECT($C$5&amp;"生成成长"),5))*(VLOOKUP($B$5,标准坦克设计!$B$24:$U$30,MATCH("对"&amp;LEFT($C$5,2)&amp;"输出",标准坦克设计!$B$23:$U$23,0)))*(VLOOKUP($B126,INDIRECT($B$5&amp;"生成成长"),3))*(VLOOKUP($B$5,标准坦克设计!$B$14:$K$20,9)/30))</f>
        <v>40.333188982525762</v>
      </c>
      <c r="DC126" s="173">
        <f ca="1">(VLOOKUP(DC$72,INDIRECT($C$5&amp;"生成成长"),2))/((VLOOKUP($B126,INDIRECT($B$5&amp;"生成成长"),4))/(VLOOKUP(DC$72,INDIRECT($C$5&amp;"生成成长"),5))*(VLOOKUP($B$5,标准坦克设计!$B$24:$U$30,MATCH("对"&amp;LEFT($C$5,2)&amp;"输出",标准坦克设计!$B$23:$U$23,0)))*(VLOOKUP($B126,INDIRECT($B$5&amp;"生成成长"),3))*(VLOOKUP($B$5,标准坦克设计!$B$14:$K$20,9)/30))</f>
        <v>42.879932800800098</v>
      </c>
      <c r="DD126" s="173">
        <f ca="1">(VLOOKUP(DD$72,INDIRECT($C$5&amp;"生成成长"),2))/((VLOOKUP($B126,INDIRECT($B$5&amp;"生成成长"),4))/(VLOOKUP(DD$72,INDIRECT($C$5&amp;"生成成长"),5))*(VLOOKUP($B$5,标准坦克设计!$B$24:$U$30,MATCH("对"&amp;LEFT($C$5,2)&amp;"输出",标准坦克设计!$B$23:$U$23,0)))*(VLOOKUP($B126,INDIRECT($B$5&amp;"生成成长"),3))*(VLOOKUP($B$5,标准坦克设计!$B$14:$K$20,9)/30))</f>
        <v>45.504638164531812</v>
      </c>
      <c r="DE126" s="173">
        <f ca="1">(VLOOKUP(DE$72,INDIRECT($C$5&amp;"生成成长"),2))/((VLOOKUP($B126,INDIRECT($B$5&amp;"生成成长"),4))/(VLOOKUP(DE$72,INDIRECT($C$5&amp;"生成成长"),5))*(VLOOKUP($B$5,标准坦克设计!$B$24:$U$30,MATCH("对"&amp;LEFT($C$5,2)&amp;"输出",标准坦克设计!$B$23:$U$23,0)))*(VLOOKUP($B126,INDIRECT($B$5&amp;"生成成长"),3))*(VLOOKUP($B$5,标准坦克设计!$B$14:$K$20,9)/30))</f>
        <v>48.207305073720903</v>
      </c>
      <c r="DF126" s="173">
        <f ca="1">(VLOOKUP(DF$72,INDIRECT($C$5&amp;"生成成长"),2))/((VLOOKUP($B126,INDIRECT($B$5&amp;"生成成长"),4))/(VLOOKUP(DF$72,INDIRECT($C$5&amp;"生成成长"),5))*(VLOOKUP($B$5,标准坦克设计!$B$24:$U$30,MATCH("对"&amp;LEFT($C$5,2)&amp;"输出",标准坦克设计!$B$23:$U$23,0)))*(VLOOKUP($B126,INDIRECT($B$5&amp;"生成成长"),3))*(VLOOKUP($B$5,标准坦克设计!$B$14:$K$20,9)/30))</f>
        <v>50.987933528367371</v>
      </c>
      <c r="DG126" s="173">
        <f ca="1">(VLOOKUP(DG$72,INDIRECT($C$5&amp;"生成成长"),2))/((VLOOKUP($B126,INDIRECT($B$5&amp;"生成成长"),4))/(VLOOKUP(DG$72,INDIRECT($C$5&amp;"生成成长"),5))*(VLOOKUP($B$5,标准坦克设计!$B$24:$U$30,MATCH("对"&amp;LEFT($C$5,2)&amp;"输出",标准坦克设计!$B$23:$U$23,0)))*(VLOOKUP($B126,INDIRECT($B$5&amp;"生成成长"),3))*(VLOOKUP($B$5,标准坦克设计!$B$14:$K$20,9)/30))</f>
        <v>53.846523528471195</v>
      </c>
      <c r="DH126" s="173">
        <f ca="1">(VLOOKUP(DH$72,INDIRECT($C$5&amp;"生成成长"),2))/((VLOOKUP($B126,INDIRECT($B$5&amp;"生成成长"),4))/(VLOOKUP(DH$72,INDIRECT($C$5&amp;"生成成长"),5))*(VLOOKUP($B$5,标准坦克设计!$B$24:$U$30,MATCH("对"&amp;LEFT($C$5,2)&amp;"输出",标准坦克设计!$B$23:$U$23,0)))*(VLOOKUP($B126,INDIRECT($B$5&amp;"生成成长"),3))*(VLOOKUP($B$5,标准坦克设计!$B$14:$K$20,9)/30))</f>
        <v>56.783075074032432</v>
      </c>
      <c r="DI126" s="173">
        <f ca="1">(VLOOKUP(DI$72,INDIRECT($C$5&amp;"生成成长"),2))/((VLOOKUP($B126,INDIRECT($B$5&amp;"生成成长"),4))/(VLOOKUP(DI$72,INDIRECT($C$5&amp;"生成成长"),5))*(VLOOKUP($B$5,标准坦克设计!$B$24:$U$30,MATCH("对"&amp;LEFT($C$5,2)&amp;"输出",标准坦克设计!$B$23:$U$23,0)))*(VLOOKUP($B126,INDIRECT($B$5&amp;"生成成长"),3))*(VLOOKUP($B$5,标准坦克设计!$B$14:$K$20,9)/30))</f>
        <v>59.797588165051025</v>
      </c>
      <c r="DJ126" s="173">
        <f ca="1">(VLOOKUP(DJ$72,INDIRECT($C$5&amp;"生成成长"),2))/((VLOOKUP($B126,INDIRECT($B$5&amp;"生成成长"),4))/(VLOOKUP(DJ$72,INDIRECT($C$5&amp;"生成成长"),5))*(VLOOKUP($B$5,标准坦克设计!$B$24:$U$30,MATCH("对"&amp;LEFT($C$5,2)&amp;"输出",标准坦克设计!$B$23:$U$23,0)))*(VLOOKUP($B126,INDIRECT($B$5&amp;"生成成长"),3))*(VLOOKUP($B$5,标准坦克设计!$B$14:$K$20,9)/30))</f>
        <v>6.009806495483466</v>
      </c>
      <c r="DK126" s="173">
        <f ca="1">(VLOOKUP(DK$72,INDIRECT($C$5&amp;"生成成长"),2))/((VLOOKUP($B126,INDIRECT($B$5&amp;"生成成长"),4))/(VLOOKUP(DK$72,INDIRECT($C$5&amp;"生成成长"),5))*(VLOOKUP($B$5,标准坦克设计!$B$24:$U$30,MATCH("对"&amp;LEFT($C$5,2)&amp;"输出",标准坦克设计!$B$23:$U$23,0)))*(VLOOKUP($B126,INDIRECT($B$5&amp;"生成成长"),3))*(VLOOKUP($B$5,标准坦克设计!$B$14:$K$20,9)/30))</f>
        <v>6.757750072215182</v>
      </c>
      <c r="DL126" s="173">
        <f ca="1">(VLOOKUP(DL$72,INDIRECT($C$5&amp;"生成成长"),2))/((VLOOKUP($B126,INDIRECT($B$5&amp;"生成成长"),4))/(VLOOKUP(DL$72,INDIRECT($C$5&amp;"生成成长"),5))*(VLOOKUP($B$5,标准坦克设计!$B$24:$U$30,MATCH("对"&amp;LEFT($C$5,2)&amp;"输出",标准坦克设计!$B$23:$U$23,0)))*(VLOOKUP($B126,INDIRECT($B$5&amp;"生成成长"),3))*(VLOOKUP($B$5,标准坦克设计!$B$14:$K$20,9)/30))</f>
        <v>7.5495470182666713</v>
      </c>
      <c r="DM126" s="173">
        <f ca="1">(VLOOKUP(DM$72,INDIRECT($C$5&amp;"生成成长"),2))/((VLOOKUP($B126,INDIRECT($B$5&amp;"生成成长"),4))/(VLOOKUP(DM$72,INDIRECT($C$5&amp;"生成成长"),5))*(VLOOKUP($B$5,标准坦克设计!$B$24:$U$30,MATCH("对"&amp;LEFT($C$5,2)&amp;"输出",标准坦克设计!$B$23:$U$23,0)))*(VLOOKUP($B126,INDIRECT($B$5&amp;"生成成长"),3))*(VLOOKUP($B$5,标准坦克设计!$B$14:$K$20,9)/30))</f>
        <v>8.3851973336379384</v>
      </c>
      <c r="DN126" s="173">
        <f ca="1">(VLOOKUP(DN$72,INDIRECT($C$5&amp;"生成成长"),2))/((VLOOKUP($B126,INDIRECT($B$5&amp;"生成成长"),4))/(VLOOKUP(DN$72,INDIRECT($C$5&amp;"生成成长"),5))*(VLOOKUP($B$5,标准坦克设计!$B$24:$U$30,MATCH("对"&amp;LEFT($C$5,2)&amp;"输出",标准坦克设计!$B$23:$U$23,0)))*(VLOOKUP($B126,INDIRECT($B$5&amp;"生成成长"),3))*(VLOOKUP($B$5,标准坦克设计!$B$14:$K$20,9)/30))</f>
        <v>9.264701018328978</v>
      </c>
      <c r="DO126" s="173">
        <f ca="1">(VLOOKUP(DO$72,INDIRECT($C$5&amp;"生成成长"),2))/((VLOOKUP($B126,INDIRECT($B$5&amp;"生成成长"),4))/(VLOOKUP(DO$72,INDIRECT($C$5&amp;"生成成长"),5))*(VLOOKUP($B$5,标准坦克设计!$B$24:$U$30,MATCH("对"&amp;LEFT($C$5,2)&amp;"输出",标准坦克设计!$B$23:$U$23,0)))*(VLOOKUP($B126,INDIRECT($B$5&amp;"生成成长"),3))*(VLOOKUP($B$5,标准坦克设计!$B$14:$K$20,9)/30))</f>
        <v>10.188058072339794</v>
      </c>
      <c r="DP126" s="173">
        <f ca="1">(VLOOKUP(DP$72,INDIRECT($C$5&amp;"生成成长"),2))/((VLOOKUP($B126,INDIRECT($B$5&amp;"生成成长"),4))/(VLOOKUP(DP$72,INDIRECT($C$5&amp;"生成成长"),5))*(VLOOKUP($B$5,标准坦克设计!$B$24:$U$30,MATCH("对"&amp;LEFT($C$5,2)&amp;"输出",标准坦克设计!$B$23:$U$23,0)))*(VLOOKUP($B126,INDIRECT($B$5&amp;"生成成长"),3))*(VLOOKUP($B$5,标准坦克设计!$B$14:$K$20,9)/30))</f>
        <v>11.155268495670381</v>
      </c>
      <c r="DQ126" s="173">
        <f ca="1">(VLOOKUP(DQ$72,INDIRECT($C$5&amp;"生成成长"),2))/((VLOOKUP($B126,INDIRECT($B$5&amp;"生成成长"),4))/(VLOOKUP(DQ$72,INDIRECT($C$5&amp;"生成成长"),5))*(VLOOKUP($B$5,标准坦克设计!$B$24:$U$30,MATCH("对"&amp;LEFT($C$5,2)&amp;"输出",标准坦克设计!$B$23:$U$23,0)))*(VLOOKUP($B126,INDIRECT($B$5&amp;"生成成长"),3))*(VLOOKUP($B$5,标准坦克设计!$B$14:$K$20,9)/30))</f>
        <v>12.166332288320747</v>
      </c>
      <c r="DR126" s="173">
        <f ca="1">(VLOOKUP(DR$72,INDIRECT($C$5&amp;"生成成长"),2))/((VLOOKUP($B126,INDIRECT($B$5&amp;"生成成长"),4))/(VLOOKUP(DR$72,INDIRECT($C$5&amp;"生成成长"),5))*(VLOOKUP($B$5,标准坦克设计!$B$24:$U$30,MATCH("对"&amp;LEFT($C$5,2)&amp;"输出",标准坦克设计!$B$23:$U$23,0)))*(VLOOKUP($B126,INDIRECT($B$5&amp;"生成成长"),3))*(VLOOKUP($B$5,标准坦克设计!$B$14:$K$20,9)/30))</f>
        <v>13.221249450290887</v>
      </c>
      <c r="DS126" s="173">
        <f ca="1">(VLOOKUP(DS$72,INDIRECT($C$5&amp;"生成成长"),2))/((VLOOKUP($B126,INDIRECT($B$5&amp;"生成成长"),4))/(VLOOKUP(DS$72,INDIRECT($C$5&amp;"生成成长"),5))*(VLOOKUP($B$5,标准坦克设计!$B$24:$U$30,MATCH("对"&amp;LEFT($C$5,2)&amp;"输出",标准坦克设计!$B$23:$U$23,0)))*(VLOOKUP($B126,INDIRECT($B$5&amp;"生成成长"),3))*(VLOOKUP($B$5,标准坦克设计!$B$14:$K$20,9)/30))</f>
        <v>14.320019981580801</v>
      </c>
      <c r="DT126" s="173">
        <f ca="1">(VLOOKUP(DT$72,INDIRECT($C$5&amp;"生成成长"),2))/((VLOOKUP($B126,INDIRECT($B$5&amp;"生成成长"),4))/(VLOOKUP(DT$72,INDIRECT($C$5&amp;"生成成长"),5))*(VLOOKUP($B$5,标准坦克设计!$B$24:$U$30,MATCH("对"&amp;LEFT($C$5,2)&amp;"输出",标准坦克设计!$B$23:$U$23,0)))*(VLOOKUP($B126,INDIRECT($B$5&amp;"生成成长"),3))*(VLOOKUP($B$5,标准坦克设计!$B$14:$K$20,9)/30))</f>
        <v>15.722515700381747</v>
      </c>
      <c r="DU126" s="173">
        <f ca="1">(VLOOKUP(DU$72,INDIRECT($C$5&amp;"生成成长"),2))/((VLOOKUP($B126,INDIRECT($B$5&amp;"生成成长"),4))/(VLOOKUP(DU$72,INDIRECT($C$5&amp;"生成成长"),5))*(VLOOKUP($B$5,标准坦克设计!$B$24:$U$30,MATCH("对"&amp;LEFT($C$5,2)&amp;"输出",标准坦克设计!$B$23:$U$23,0)))*(VLOOKUP($B126,INDIRECT($B$5&amp;"生成成长"),3))*(VLOOKUP($B$5,标准坦克设计!$B$14:$K$20,9)/30))</f>
        <v>17.190520773351743</v>
      </c>
      <c r="DV126" s="173">
        <f ca="1">(VLOOKUP(DV$72,INDIRECT($C$5&amp;"生成成长"),2))/((VLOOKUP($B126,INDIRECT($B$5&amp;"生成成长"),4))/(VLOOKUP(DV$72,INDIRECT($C$5&amp;"生成成长"),5))*(VLOOKUP($B$5,标准坦克设计!$B$24:$U$30,MATCH("对"&amp;LEFT($C$5,2)&amp;"输出",标准坦克设计!$B$23:$U$23,0)))*(VLOOKUP($B126,INDIRECT($B$5&amp;"生成成长"),3))*(VLOOKUP($B$5,标准坦克设计!$B$14:$K$20,9)/30))</f>
        <v>18.724035200490786</v>
      </c>
      <c r="DW126" s="173">
        <f ca="1">(VLOOKUP(DW$72,INDIRECT($C$5&amp;"生成成长"),2))/((VLOOKUP($B126,INDIRECT($B$5&amp;"生成成长"),4))/(VLOOKUP(DW$72,INDIRECT($C$5&amp;"生成成长"),5))*(VLOOKUP($B$5,标准坦克设计!$B$24:$U$30,MATCH("对"&amp;LEFT($C$5,2)&amp;"输出",标准坦克设计!$B$23:$U$23,0)))*(VLOOKUP($B126,INDIRECT($B$5&amp;"生成成长"),3))*(VLOOKUP($B$5,标准坦克设计!$B$14:$K$20,9)/30))</f>
        <v>20.323058981798869</v>
      </c>
      <c r="DX126" s="173">
        <f ca="1">(VLOOKUP(DX$72,INDIRECT($C$5&amp;"生成成长"),2))/((VLOOKUP($B126,INDIRECT($B$5&amp;"生成成长"),4))/(VLOOKUP(DX$72,INDIRECT($C$5&amp;"生成成长"),5))*(VLOOKUP($B$5,标准坦克设计!$B$24:$U$30,MATCH("对"&amp;LEFT($C$5,2)&amp;"输出",标准坦克设计!$B$23:$U$23,0)))*(VLOOKUP($B126,INDIRECT($B$5&amp;"生成成长"),3))*(VLOOKUP($B$5,标准坦克设计!$B$14:$K$20,9)/30))</f>
        <v>21.987592117276002</v>
      </c>
      <c r="DY126" s="173">
        <f ca="1">(VLOOKUP(DY$72,INDIRECT($C$5&amp;"生成成长"),2))/((VLOOKUP($B126,INDIRECT($B$5&amp;"生成成长"),4))/(VLOOKUP(DY$72,INDIRECT($C$5&amp;"生成成长"),5))*(VLOOKUP($B$5,标准坦克设计!$B$24:$U$30,MATCH("对"&amp;LEFT($C$5,2)&amp;"输出",标准坦克设计!$B$23:$U$23,0)))*(VLOOKUP($B126,INDIRECT($B$5&amp;"生成成长"),3))*(VLOOKUP($B$5,标准坦克设计!$B$14:$K$20,9)/30))</f>
        <v>9.8753997910784346</v>
      </c>
      <c r="DZ126" s="173">
        <f ca="1">(VLOOKUP(DZ$72,INDIRECT($C$5&amp;"生成成长"),2))/((VLOOKUP($B126,INDIRECT($B$5&amp;"生成成长"),4))/(VLOOKUP(DZ$72,INDIRECT($C$5&amp;"生成成长"),5))*(VLOOKUP($B$5,标准坦克设计!$B$24:$U$30,MATCH("对"&amp;LEFT($C$5,2)&amp;"输出",标准坦克设计!$B$23:$U$23,0)))*(VLOOKUP($B126,INDIRECT($B$5&amp;"生成成长"),3))*(VLOOKUP($B$5,标准坦克设计!$B$14:$K$20,9)/30))</f>
        <v>10.936543048692741</v>
      </c>
      <c r="EA126" s="173">
        <f ca="1">(VLOOKUP(EA$72,INDIRECT($C$5&amp;"生成成长"),2))/((VLOOKUP($B126,INDIRECT($B$5&amp;"生成成长"),4))/(VLOOKUP(EA$72,INDIRECT($C$5&amp;"生成成长"),5))*(VLOOKUP($B$5,标准坦克设计!$B$24:$U$30,MATCH("对"&amp;LEFT($C$5,2)&amp;"输出",标准坦克设计!$B$23:$U$23,0)))*(VLOOKUP($B126,INDIRECT($B$5&amp;"生成成长"),3))*(VLOOKUP($B$5,标准坦克设计!$B$14:$K$20,9)/30))</f>
        <v>12.051826268430226</v>
      </c>
      <c r="EB126" s="173">
        <f ca="1">(VLOOKUP(EB$72,INDIRECT($C$5&amp;"生成成长"),2))/((VLOOKUP($B126,INDIRECT($B$5&amp;"生成成长"),4))/(VLOOKUP(EB$72,INDIRECT($C$5&amp;"生成成长"),5))*(VLOOKUP($B$5,标准坦克设计!$B$24:$U$30,MATCH("对"&amp;LEFT($C$5,2)&amp;"输出",标准坦克设计!$B$23:$U$23,0)))*(VLOOKUP($B126,INDIRECT($B$5&amp;"生成成长"),3))*(VLOOKUP($B$5,标准坦克设计!$B$14:$K$20,9)/30))</f>
        <v>13.221249450290887</v>
      </c>
      <c r="EC126" s="173">
        <f ca="1">(VLOOKUP(EC$72,INDIRECT($C$5&amp;"生成成长"),2))/((VLOOKUP($B126,INDIRECT($B$5&amp;"生成成长"),4))/(VLOOKUP(EC$72,INDIRECT($C$5&amp;"生成成长"),5))*(VLOOKUP($B$5,标准坦克设计!$B$24:$U$30,MATCH("对"&amp;LEFT($C$5,2)&amp;"输出",标准坦克设计!$B$23:$U$23,0)))*(VLOOKUP($B126,INDIRECT($B$5&amp;"生成成长"),3))*(VLOOKUP($B$5,标准坦克设计!$B$14:$K$20,9)/30))</f>
        <v>14.444812594274728</v>
      </c>
      <c r="ED126" s="173">
        <f ca="1">(VLOOKUP(ED$72,INDIRECT($C$5&amp;"生成成长"),2))/((VLOOKUP($B126,INDIRECT($B$5&amp;"生成成长"),4))/(VLOOKUP(ED$72,INDIRECT($C$5&amp;"生成成长"),5))*(VLOOKUP($B$5,标准坦克设计!$B$24:$U$30,MATCH("对"&amp;LEFT($C$5,2)&amp;"输出",标准坦克设计!$B$23:$U$23,0)))*(VLOOKUP($B126,INDIRECT($B$5&amp;"生成成长"),3))*(VLOOKUP($B$5,标准坦克设计!$B$14:$K$20,9)/30))</f>
        <v>15.722515700381747</v>
      </c>
      <c r="EE126" s="173">
        <f ca="1">(VLOOKUP(EE$72,INDIRECT($C$5&amp;"生成成长"),2))/((VLOOKUP($B126,INDIRECT($B$5&amp;"生成成长"),4))/(VLOOKUP(EE$72,INDIRECT($C$5&amp;"生成成长"),5))*(VLOOKUP($B$5,标准坦克设计!$B$24:$U$30,MATCH("对"&amp;LEFT($C$5,2)&amp;"输出",标准坦克设计!$B$23:$U$23,0)))*(VLOOKUP($B126,INDIRECT($B$5&amp;"生成成长"),3))*(VLOOKUP($B$5,标准坦克设计!$B$14:$K$20,9)/30))</f>
        <v>17.054358768611948</v>
      </c>
      <c r="EF126" s="173">
        <f ca="1">(VLOOKUP(EF$72,INDIRECT($C$5&amp;"生成成长"),2))/((VLOOKUP($B126,INDIRECT($B$5&amp;"生成成长"),4))/(VLOOKUP(EF$72,INDIRECT($C$5&amp;"生成成长"),5))*(VLOOKUP($B$5,标准坦克设计!$B$24:$U$30,MATCH("对"&amp;LEFT($C$5,2)&amp;"输出",标准坦克设计!$B$23:$U$23,0)))*(VLOOKUP($B126,INDIRECT($B$5&amp;"生成成长"),3))*(VLOOKUP($B$5,标准坦克设计!$B$14:$K$20,9)/30))</f>
        <v>18.440341798965324</v>
      </c>
      <c r="EG126" s="173">
        <f ca="1">(VLOOKUP(EG$72,INDIRECT($C$5&amp;"生成成长"),2))/((VLOOKUP($B126,INDIRECT($B$5&amp;"生成成长"),4))/(VLOOKUP(EG$72,INDIRECT($C$5&amp;"生成成长"),5))*(VLOOKUP($B$5,标准坦克设计!$B$24:$U$30,MATCH("对"&amp;LEFT($C$5,2)&amp;"输出",标准坦克设计!$B$23:$U$23,0)))*(VLOOKUP($B126,INDIRECT($B$5&amp;"生成成长"),3))*(VLOOKUP($B$5,标准坦克设计!$B$14:$K$20,9)/30))</f>
        <v>19.880464791441884</v>
      </c>
      <c r="EH126" s="173">
        <f ca="1">(VLOOKUP(EH$72,INDIRECT($C$5&amp;"生成成长"),2))/((VLOOKUP($B126,INDIRECT($B$5&amp;"生成成长"),4))/(VLOOKUP(EH$72,INDIRECT($C$5&amp;"生成成长"),5))*(VLOOKUP($B$5,标准坦克设计!$B$24:$U$30,MATCH("对"&amp;LEFT($C$5,2)&amp;"输出",标准坦克设计!$B$23:$U$23,0)))*(VLOOKUP($B126,INDIRECT($B$5&amp;"生成成长"),3))*(VLOOKUP($B$5,标准坦克设计!$B$14:$K$20,9)/30))</f>
        <v>21.374727746041621</v>
      </c>
      <c r="EI126" s="173">
        <f ca="1">(VLOOKUP(EI$72,INDIRECT($C$5&amp;"生成成长"),2))/((VLOOKUP($B126,INDIRECT($B$5&amp;"生成成长"),4))/(VLOOKUP(EI$72,INDIRECT($C$5&amp;"生成成长"),5))*(VLOOKUP($B$5,标准坦克设计!$B$24:$U$30,MATCH("对"&amp;LEFT($C$5,2)&amp;"输出",标准坦克设计!$B$23:$U$23,0)))*(VLOOKUP($B126,INDIRECT($B$5&amp;"生成成长"),3))*(VLOOKUP($B$5,标准坦克设计!$B$14:$K$20,9)/30))</f>
        <v>22.923130662764535</v>
      </c>
      <c r="EJ126" s="173">
        <f ca="1">(VLOOKUP(EJ$72,INDIRECT($C$5&amp;"生成成长"),2))/((VLOOKUP($B126,INDIRECT($B$5&amp;"生成成长"),4))/(VLOOKUP(EJ$72,INDIRECT($C$5&amp;"生成成长"),5))*(VLOOKUP($B$5,标准坦克设计!$B$24:$U$30,MATCH("对"&amp;LEFT($C$5,2)&amp;"输出",标准坦克设计!$B$23:$U$23,0)))*(VLOOKUP($B126,INDIRECT($B$5&amp;"生成成长"),3))*(VLOOKUP($B$5,标准坦克设计!$B$14:$K$20,9)/30))</f>
        <v>24.525673541610626</v>
      </c>
      <c r="EK126" s="173">
        <f ca="1">(VLOOKUP(EK$72,INDIRECT($C$5&amp;"生成成长"),2))/((VLOOKUP($B126,INDIRECT($B$5&amp;"生成成长"),4))/(VLOOKUP(EK$72,INDIRECT($C$5&amp;"生成成长"),5))*(VLOOKUP($B$5,标准坦克设计!$B$24:$U$30,MATCH("对"&amp;LEFT($C$5,2)&amp;"输出",标准坦克设计!$B$23:$U$23,0)))*(VLOOKUP($B126,INDIRECT($B$5&amp;"生成成长"),3))*(VLOOKUP($B$5,标准坦克设计!$B$14:$K$20,9)/30))</f>
        <v>26.520189746228532</v>
      </c>
      <c r="EL126" s="173">
        <f ca="1">(VLOOKUP(EL$72,INDIRECT($C$5&amp;"生成成长"),2))/((VLOOKUP($B126,INDIRECT($B$5&amp;"生成成长"),4))/(VLOOKUP(EL$72,INDIRECT($C$5&amp;"生成成长"),5))*(VLOOKUP($B$5,标准坦克设计!$B$24:$U$30,MATCH("对"&amp;LEFT($C$5,2)&amp;"输出",标准坦克设计!$B$23:$U$23,0)))*(VLOOKUP($B126,INDIRECT($B$5&amp;"生成成长"),3))*(VLOOKUP($B$5,标准坦克设计!$B$14:$K$20,9)/30))</f>
        <v>28.592667496303822</v>
      </c>
      <c r="EM126" s="173">
        <f ca="1">(VLOOKUP(EM$72,INDIRECT($C$5&amp;"生成成长"),2))/((VLOOKUP($B126,INDIRECT($B$5&amp;"生成成长"),4))/(VLOOKUP(EM$72,INDIRECT($C$5&amp;"生成成长"),5))*(VLOOKUP($B$5,标准坦克设计!$B$24:$U$30,MATCH("对"&amp;LEFT($C$5,2)&amp;"输出",标准坦克设计!$B$23:$U$23,0)))*(VLOOKUP($B126,INDIRECT($B$5&amp;"生成成长"),3))*(VLOOKUP($B$5,标准坦克设计!$B$14:$K$20,9)/30))</f>
        <v>30.743106791836482</v>
      </c>
      <c r="EN126" s="173">
        <f ca="1">(VLOOKUP(EN$72,INDIRECT($C$5&amp;"生成成长"),2))/((VLOOKUP($B126,INDIRECT($B$5&amp;"生成成长"),4))/(VLOOKUP(EN$72,INDIRECT($C$5&amp;"生成成长"),5))*(VLOOKUP($B$5,标准坦克设计!$B$24:$U$30,MATCH("对"&amp;LEFT($C$5,2)&amp;"输出",标准坦克设计!$B$23:$U$23,0)))*(VLOOKUP($B126,INDIRECT($B$5&amp;"生成成长"),3))*(VLOOKUP($B$5,标准坦克设计!$B$14:$K$20,9)/30))</f>
        <v>32.971507632826523</v>
      </c>
      <c r="EO126" s="173">
        <f ca="1">(VLOOKUP(EO$72,INDIRECT($C$5&amp;"生成成长"),2))/((VLOOKUP($B126,INDIRECT($B$5&amp;"生成成长"),4))/(VLOOKUP(EO$72,INDIRECT($C$5&amp;"生成成长"),5))*(VLOOKUP($B$5,标准坦克设计!$B$24:$U$30,MATCH("对"&amp;LEFT($C$5,2)&amp;"输出",标准坦克设计!$B$23:$U$23,0)))*(VLOOKUP($B126,INDIRECT($B$5&amp;"生成成长"),3))*(VLOOKUP($B$5,标准坦克设计!$B$14:$K$20,9)/30))</f>
        <v>35.277870019273941</v>
      </c>
      <c r="EP126" s="173">
        <f ca="1">(VLOOKUP(EP$72,INDIRECT($C$5&amp;"生成成长"),2))/((VLOOKUP($B126,INDIRECT($B$5&amp;"生成成长"),4))/(VLOOKUP(EP$72,INDIRECT($C$5&amp;"生成成长"),5))*(VLOOKUP($B$5,标准坦克设计!$B$24:$U$30,MATCH("对"&amp;LEFT($C$5,2)&amp;"输出",标准坦克设计!$B$23:$U$23,0)))*(VLOOKUP($B126,INDIRECT($B$5&amp;"生成成长"),3))*(VLOOKUP($B$5,标准坦克设计!$B$14:$K$20,9)/30))</f>
        <v>37.662193951178743</v>
      </c>
      <c r="EQ126" s="173">
        <f ca="1">(VLOOKUP(EQ$72,INDIRECT($C$5&amp;"生成成长"),2))/((VLOOKUP($B126,INDIRECT($B$5&amp;"生成成长"),4))/(VLOOKUP(EQ$72,INDIRECT($C$5&amp;"生成成长"),5))*(VLOOKUP($B$5,标准坦克设计!$B$24:$U$30,MATCH("对"&amp;LEFT($C$5,2)&amp;"输出",标准坦克设计!$B$23:$U$23,0)))*(VLOOKUP($B126,INDIRECT($B$5&amp;"生成成长"),3))*(VLOOKUP($B$5,标准坦克设计!$B$14:$K$20,9)/30))</f>
        <v>16.649121152119953</v>
      </c>
      <c r="ER126" s="173">
        <f ca="1">(VLOOKUP(ER$72,INDIRECT($C$5&amp;"生成成长"),2))/((VLOOKUP($B126,INDIRECT($B$5&amp;"生成成长"),4))/(VLOOKUP(ER$72,INDIRECT($C$5&amp;"生成成长"),5))*(VLOOKUP($B$5,标准坦克设计!$B$24:$U$30,MATCH("对"&amp;LEFT($C$5,2)&amp;"输出",标准坦克设计!$B$23:$U$23,0)))*(VLOOKUP($B126,INDIRECT($B$5&amp;"生成成长"),3))*(VLOOKUP($B$5,标准坦克设计!$B$14:$K$20,9)/30))</f>
        <v>18.158813995924792</v>
      </c>
      <c r="ES126" s="173">
        <f ca="1">(VLOOKUP(ES$72,INDIRECT($C$5&amp;"生成成长"),2))/((VLOOKUP($B126,INDIRECT($B$5&amp;"生成成长"),4))/(VLOOKUP(ES$72,INDIRECT($C$5&amp;"生成成长"),5))*(VLOOKUP($B$5,标准坦克设计!$B$24:$U$30,MATCH("对"&amp;LEFT($C$5,2)&amp;"输出",标准坦克设计!$B$23:$U$23,0)))*(VLOOKUP($B126,INDIRECT($B$5&amp;"生成成长"),3))*(VLOOKUP($B$5,标准坦克设计!$B$14:$K$20,9)/30))</f>
        <v>19.734016193898682</v>
      </c>
      <c r="ET126" s="173">
        <f ca="1">(VLOOKUP(ET$72,INDIRECT($C$5&amp;"生成成长"),2))/((VLOOKUP($B126,INDIRECT($B$5&amp;"生成成长"),4))/(VLOOKUP(ET$72,INDIRECT($C$5&amp;"生成成长"),5))*(VLOOKUP($B$5,标准坦克设计!$B$24:$U$30,MATCH("对"&amp;LEFT($C$5,2)&amp;"输出",标准坦克设计!$B$23:$U$23,0)))*(VLOOKUP($B126,INDIRECT($B$5&amp;"生成成长"),3))*(VLOOKUP($B$5,标准坦克设计!$B$14:$K$20,9)/30))</f>
        <v>21.374727746041621</v>
      </c>
      <c r="EU126" s="173">
        <f ca="1">(VLOOKUP(EU$72,INDIRECT($C$5&amp;"生成成长"),2))/((VLOOKUP($B126,INDIRECT($B$5&amp;"生成成长"),4))/(VLOOKUP(EU$72,INDIRECT($C$5&amp;"生成成长"),5))*(VLOOKUP($B$5,标准坦克设计!$B$24:$U$30,MATCH("对"&amp;LEFT($C$5,2)&amp;"输出",标准坦克设计!$B$23:$U$23,0)))*(VLOOKUP($B126,INDIRECT($B$5&amp;"生成成长"),3))*(VLOOKUP($B$5,标准坦克设计!$B$14:$K$20,9)/30))</f>
        <v>23.080948652353602</v>
      </c>
      <c r="EV126" s="173">
        <f ca="1">(VLOOKUP(EV$72,INDIRECT($C$5&amp;"生成成长"),2))/((VLOOKUP($B126,INDIRECT($B$5&amp;"生成成长"),4))/(VLOOKUP(EV$72,INDIRECT($C$5&amp;"生成成长"),5))*(VLOOKUP($B$5,标准坦克设计!$B$24:$U$30,MATCH("对"&amp;LEFT($C$5,2)&amp;"输出",标准坦克设计!$B$23:$U$23,0)))*(VLOOKUP($B126,INDIRECT($B$5&amp;"生成成长"),3))*(VLOOKUP($B$5,标准坦克设计!$B$14:$K$20,9)/30))</f>
        <v>24.852678912834627</v>
      </c>
      <c r="EW126" s="173">
        <f ca="1">(VLOOKUP(EW$72,INDIRECT($C$5&amp;"生成成长"),2))/((VLOOKUP($B126,INDIRECT($B$5&amp;"生成成长"),4))/(VLOOKUP(EW$72,INDIRECT($C$5&amp;"生成成长"),5))*(VLOOKUP($B$5,标准坦克设计!$B$24:$U$30,MATCH("对"&amp;LEFT($C$5,2)&amp;"输出",标准坦克设计!$B$23:$U$23,0)))*(VLOOKUP($B126,INDIRECT($B$5&amp;"生成成长"),3))*(VLOOKUP($B$5,标准坦克设计!$B$14:$K$20,9)/30))</f>
        <v>26.6899185274847</v>
      </c>
      <c r="EX126" s="173">
        <f ca="1">(VLOOKUP(EX$72,INDIRECT($C$5&amp;"生成成长"),2))/((VLOOKUP($B126,INDIRECT($B$5&amp;"生成成长"),4))/(VLOOKUP(EX$72,INDIRECT($C$5&amp;"生成成长"),5))*(VLOOKUP($B$5,标准坦克设计!$B$24:$U$30,MATCH("对"&amp;LEFT($C$5,2)&amp;"输出",标准坦克设计!$B$23:$U$23,0)))*(VLOOKUP($B126,INDIRECT($B$5&amp;"生成成长"),3))*(VLOOKUP($B$5,标准坦克设计!$B$14:$K$20,9)/30))</f>
        <v>28.592667496303822</v>
      </c>
      <c r="EY126" s="173">
        <f ca="1">(VLOOKUP(EY$72,INDIRECT($C$5&amp;"生成成长"),2))/((VLOOKUP($B126,INDIRECT($B$5&amp;"生成成长"),4))/(VLOOKUP(EY$72,INDIRECT($C$5&amp;"生成成长"),5))*(VLOOKUP($B$5,标准坦克设计!$B$24:$U$30,MATCH("对"&amp;LEFT($C$5,2)&amp;"输出",标准坦克设计!$B$23:$U$23,0)))*(VLOOKUP($B126,INDIRECT($B$5&amp;"生成成长"),3))*(VLOOKUP($B$5,标准坦克设计!$B$14:$K$20,9)/30))</f>
        <v>30.560925819291988</v>
      </c>
      <c r="EZ126" s="173">
        <f ca="1">(VLOOKUP(EZ$72,INDIRECT($C$5&amp;"生成成长"),2))/((VLOOKUP($B126,INDIRECT($B$5&amp;"生成成长"),4))/(VLOOKUP(EZ$72,INDIRECT($C$5&amp;"生成成长"),5))*(VLOOKUP($B$5,标准坦克设计!$B$24:$U$30,MATCH("对"&amp;LEFT($C$5,2)&amp;"输出",标准坦克设计!$B$23:$U$23,0)))*(VLOOKUP($B126,INDIRECT($B$5&amp;"生成成长"),3))*(VLOOKUP($B$5,标准坦克设计!$B$14:$K$20,9)/30))</f>
        <v>32.594693496449203</v>
      </c>
      <c r="FA126" s="173">
        <f ca="1">(VLOOKUP(FA$72,INDIRECT($C$5&amp;"生成成长"),2))/((VLOOKUP($B126,INDIRECT($B$5&amp;"生成成长"),4))/(VLOOKUP(FA$72,INDIRECT($C$5&amp;"生成成长"),5))*(VLOOKUP($B$5,标准坦克设计!$B$24:$U$30,MATCH("对"&amp;LEFT($C$5,2)&amp;"输出",标准坦克设计!$B$23:$U$23,0)))*(VLOOKUP($B126,INDIRECT($B$5&amp;"生成成长"),3))*(VLOOKUP($B$5,标准坦克设计!$B$14:$K$20,9)/30))</f>
        <v>34.693970527775463</v>
      </c>
      <c r="FB126" s="173">
        <f ca="1">(VLOOKUP(FB$72,INDIRECT($C$5&amp;"生成成长"),2))/((VLOOKUP($B126,INDIRECT($B$5&amp;"生成成长"),4))/(VLOOKUP(FB$72,INDIRECT($C$5&amp;"生成成长"),5))*(VLOOKUP($B$5,标准坦克设计!$B$24:$U$30,MATCH("对"&amp;LEFT($C$5,2)&amp;"输出",标准坦克设计!$B$23:$U$23,0)))*(VLOOKUP($B126,INDIRECT($B$5&amp;"生成成长"),3))*(VLOOKUP($B$5,标准坦克设计!$B$14:$K$20,9)/30))</f>
        <v>36.85875691327076</v>
      </c>
      <c r="FC126" s="173">
        <f ca="1">(VLOOKUP(FC$72,INDIRECT($C$5&amp;"生成成长"),2))/((VLOOKUP($B126,INDIRECT($B$5&amp;"生成成长"),4))/(VLOOKUP(FC$72,INDIRECT($C$5&amp;"生成成长"),5))*(VLOOKUP($B$5,标准坦克设计!$B$24:$U$30,MATCH("对"&amp;LEFT($C$5,2)&amp;"输出",标准坦克设计!$B$23:$U$23,0)))*(VLOOKUP($B126,INDIRECT($B$5&amp;"生成成长"),3))*(VLOOKUP($B$5,标准坦克设计!$B$14:$K$20,9)/30))</f>
        <v>39.089052652935116</v>
      </c>
      <c r="FD126" s="173">
        <f ca="1">(VLOOKUP(FD$72,INDIRECT($C$5&amp;"生成成长"),2))/((VLOOKUP($B126,INDIRECT($B$5&amp;"生成成长"),4))/(VLOOKUP(FD$72,INDIRECT($C$5&amp;"生成成长"),5))*(VLOOKUP($B$5,标准坦克设计!$B$24:$U$30,MATCH("对"&amp;LEFT($C$5,2)&amp;"输出",标准坦克设计!$B$23:$U$23,0)))*(VLOOKUP($B126,INDIRECT($B$5&amp;"生成成长"),3))*(VLOOKUP($B$5,标准坦克设计!$B$14:$K$20,9)/30))</f>
        <v>41.384857746768517</v>
      </c>
      <c r="FE126" s="173">
        <f ca="1">(VLOOKUP(FE$72,INDIRECT($C$5&amp;"生成成长"),2))/((VLOOKUP($B126,INDIRECT($B$5&amp;"生成成长"),4))/(VLOOKUP(FE$72,INDIRECT($C$5&amp;"生成成长"),5))*(VLOOKUP($B$5,标准坦克设计!$B$24:$U$30,MATCH("对"&amp;LEFT($C$5,2)&amp;"输出",标准坦克设计!$B$23:$U$23,0)))*(VLOOKUP($B126,INDIRECT($B$5&amp;"生成成长"),3))*(VLOOKUP($B$5,标准坦克设计!$B$14:$K$20,9)/30))</f>
        <v>44.182540289483775</v>
      </c>
      <c r="FF126" s="173">
        <f ca="1">(VLOOKUP(FF$72,INDIRECT($C$5&amp;"生成成长"),2))/((VLOOKUP($B126,INDIRECT($B$5&amp;"生成成长"),4))/(VLOOKUP(FF$72,INDIRECT($C$5&amp;"生成成长"),5))*(VLOOKUP($B$5,标准坦克设计!$B$24:$U$30,MATCH("对"&amp;LEFT($C$5,2)&amp;"输出",标准坦克设计!$B$23:$U$23,0)))*(VLOOKUP($B126,INDIRECT($B$5&amp;"生成成长"),3))*(VLOOKUP($B$5,标准坦克设计!$B$14:$K$20,9)/30))</f>
        <v>47.071719368187217</v>
      </c>
      <c r="FG126" s="173">
        <f ca="1">(VLOOKUP(FG$72,INDIRECT($C$5&amp;"生成成长"),2))/((VLOOKUP($B126,INDIRECT($B$5&amp;"生成成长"),4))/(VLOOKUP(FG$72,INDIRECT($C$5&amp;"生成成长"),5))*(VLOOKUP($B$5,标准坦克设计!$B$24:$U$30,MATCH("对"&amp;LEFT($C$5,2)&amp;"输出",标准坦克设计!$B$23:$U$23,0)))*(VLOOKUP($B126,INDIRECT($B$5&amp;"生成成长"),3))*(VLOOKUP($B$5,标准坦克设计!$B$14:$K$20,9)/30))</f>
        <v>50.052394982878837</v>
      </c>
      <c r="FH126" s="173">
        <f ca="1">(VLOOKUP(FH$72,INDIRECT($C$5&amp;"生成成长"),2))/((VLOOKUP($B126,INDIRECT($B$5&amp;"生成成长"),4))/(VLOOKUP(FH$72,INDIRECT($C$5&amp;"生成成长"),5))*(VLOOKUP($B$5,标准坦克设计!$B$24:$U$30,MATCH("对"&amp;LEFT($C$5,2)&amp;"输出",标准坦克设计!$B$23:$U$23,0)))*(VLOOKUP($B126,INDIRECT($B$5&amp;"生成成长"),3))*(VLOOKUP($B$5,标准坦克设计!$B$14:$K$20,9)/30))</f>
        <v>53.124567133558614</v>
      </c>
      <c r="FI126" s="173">
        <f ca="1">(VLOOKUP(FI$72,INDIRECT($C$5&amp;"生成成长"),2))/((VLOOKUP($B126,INDIRECT($B$5&amp;"生成成长"),4))/(VLOOKUP(FI$72,INDIRECT($C$5&amp;"生成成长"),5))*(VLOOKUP($B$5,标准坦克设计!$B$24:$U$30,MATCH("对"&amp;LEFT($C$5,2)&amp;"输出",标准坦克设计!$B$23:$U$23,0)))*(VLOOKUP($B126,INDIRECT($B$5&amp;"生成成长"),3))*(VLOOKUP($B$5,标准坦克设计!$B$14:$K$20,9)/30))</f>
        <v>56.288235820226561</v>
      </c>
      <c r="FJ126" s="173">
        <f ca="1">(VLOOKUP(FJ$72,INDIRECT($C$5&amp;"生成成长"),2))/((VLOOKUP($B126,INDIRECT($B$5&amp;"生成成长"),4))/(VLOOKUP(FJ$72,INDIRECT($C$5&amp;"生成成长"),5))*(VLOOKUP($B$5,标准坦克设计!$B$24:$U$30,MATCH("对"&amp;LEFT($C$5,2)&amp;"输出",标准坦克设计!$B$23:$U$23,0)))*(VLOOKUP($B126,INDIRECT($B$5&amp;"生成成长"),3))*(VLOOKUP($B$5,标准坦克设计!$B$14:$K$20,9)/30))</f>
        <v>59.543401042882699</v>
      </c>
      <c r="FK126" s="173">
        <f ca="1">(VLOOKUP(FK$72,INDIRECT($C$5&amp;"生成成长"),2))/((VLOOKUP($B126,INDIRECT($B$5&amp;"生成成长"),4))/(VLOOKUP(FK$72,INDIRECT($C$5&amp;"生成成长"),5))*(VLOOKUP($B$5,标准坦克设计!$B$24:$U$30,MATCH("对"&amp;LEFT($C$5,2)&amp;"输出",标准坦克设计!$B$23:$U$23,0)))*(VLOOKUP($B126,INDIRECT($B$5&amp;"生成成长"),3))*(VLOOKUP($B$5,标准坦克设计!$B$14:$K$20,9)/30))</f>
        <v>62.890062801526987</v>
      </c>
    </row>
    <row r="127" spans="1:167" x14ac:dyDescent="0.15">
      <c r="A127" s="171" t="str">
        <f t="shared" si="11"/>
        <v>T2中品质10级</v>
      </c>
      <c r="B127" s="172">
        <v>20210</v>
      </c>
      <c r="C127" s="173">
        <f ca="1">(VLOOKUP(C$72,INDIRECT($C$5&amp;"生成成长"),2))/((VLOOKUP($B127,INDIRECT($B$5&amp;"生成成长"),4))/(VLOOKUP(C$72,INDIRECT($C$5&amp;"生成成长"),5))*(VLOOKUP($B$5,标准坦克设计!$B$24:$U$30,MATCH("对"&amp;LEFT($C$5,2)&amp;"输出",标准坦克设计!$B$23:$U$23,0)))*(VLOOKUP($B127,INDIRECT($B$5&amp;"生成成长"),3))*(VLOOKUP($B$5,标准坦克设计!$B$14:$K$20,9)/30))</f>
        <v>2.4620634327462763</v>
      </c>
      <c r="D127" s="173">
        <f ca="1">(VLOOKUP(D$72,INDIRECT($C$5&amp;"生成成长"),2))/((VLOOKUP($B127,INDIRECT($B$5&amp;"生成成长"),4))/(VLOOKUP(D$72,INDIRECT($C$5&amp;"生成成长"),5))*(VLOOKUP($B$5,标准坦克设计!$B$24:$U$30,MATCH("对"&amp;LEFT($C$5,2)&amp;"输出",标准坦克设计!$B$23:$U$23,0)))*(VLOOKUP($B127,INDIRECT($B$5&amp;"生成成长"),3))*(VLOOKUP($B$5,标准坦克设计!$B$14:$K$20,9)/30))</f>
        <v>2.7663744730337156</v>
      </c>
      <c r="E127" s="173">
        <f ca="1">(VLOOKUP(E$72,INDIRECT($C$5&amp;"生成成长"),2))/((VLOOKUP($B127,INDIRECT($B$5&amp;"生成成长"),4))/(VLOOKUP(E$72,INDIRECT($C$5&amp;"生成成长"),5))*(VLOOKUP($B$5,标准坦克设计!$B$24:$U$30,MATCH("对"&amp;LEFT($C$5,2)&amp;"输出",标准坦克设计!$B$23:$U$23,0)))*(VLOOKUP($B127,INDIRECT($B$5&amp;"生成成长"),3))*(VLOOKUP($B$5,标准坦克设计!$B$14:$K$20,9)/30))</f>
        <v>3.0884123700369286</v>
      </c>
      <c r="F127" s="173">
        <f ca="1">(VLOOKUP(F$72,INDIRECT($C$5&amp;"生成成长"),2))/((VLOOKUP($B127,INDIRECT($B$5&amp;"生成成长"),4))/(VLOOKUP(F$72,INDIRECT($C$5&amp;"生成成长"),5))*(VLOOKUP($B$5,标准坦克设计!$B$24:$U$30,MATCH("对"&amp;LEFT($C$5,2)&amp;"输出",标准坦克设计!$B$23:$U$23,0)))*(VLOOKUP($B127,INDIRECT($B$5&amp;"生成成长"),3))*(VLOOKUP($B$5,标准坦克设计!$B$14:$K$20,9)/30))</f>
        <v>3.4281771237559142</v>
      </c>
      <c r="G127" s="173">
        <f ca="1">(VLOOKUP(G$72,INDIRECT($C$5&amp;"生成成长"),2))/((VLOOKUP($B127,INDIRECT($B$5&amp;"生成成长"),4))/(VLOOKUP(G$72,INDIRECT($C$5&amp;"生成成长"),5))*(VLOOKUP($B$5,标准坦克设计!$B$24:$U$30,MATCH("对"&amp;LEFT($C$5,2)&amp;"输出",标准坦克设计!$B$23:$U$23,0)))*(VLOOKUP($B127,INDIRECT($B$5&amp;"生成成长"),3))*(VLOOKUP($B$5,标准坦克设计!$B$14:$K$20,9)/30))</f>
        <v>3.7856687341906738</v>
      </c>
      <c r="H127" s="173">
        <f ca="1">(VLOOKUP(H$72,INDIRECT($C$5&amp;"生成成长"),2))/((VLOOKUP($B127,INDIRECT($B$5&amp;"生成成长"),4))/(VLOOKUP(H$72,INDIRECT($C$5&amp;"生成成长"),5))*(VLOOKUP($B$5,标准坦克设计!$B$24:$U$30,MATCH("对"&amp;LEFT($C$5,2)&amp;"输出",标准坦克设计!$B$23:$U$23,0)))*(VLOOKUP($B127,INDIRECT($B$5&amp;"生成成长"),3))*(VLOOKUP($B$5,标准坦克设计!$B$14:$K$20,9)/30))</f>
        <v>3.3129525551033887</v>
      </c>
      <c r="I127" s="173">
        <f ca="1">(VLOOKUP(I$72,INDIRECT($C$5&amp;"生成成长"),2))/((VLOOKUP($B127,INDIRECT($B$5&amp;"生成成长"),4))/(VLOOKUP(I$72,INDIRECT($C$5&amp;"生成成长"),5))*(VLOOKUP($B$5,标准坦克设计!$B$24:$U$30,MATCH("对"&amp;LEFT($C$5,2)&amp;"输出",标准坦克设计!$B$23:$U$23,0)))*(VLOOKUP($B127,INDIRECT($B$5&amp;"生成成长"),3))*(VLOOKUP($B$5,标准坦克设计!$B$14:$K$20,9)/30))</f>
        <v>3.7856687341906738</v>
      </c>
      <c r="J127" s="173">
        <f ca="1">(VLOOKUP(J$72,INDIRECT($C$5&amp;"生成成长"),2))/((VLOOKUP($B127,INDIRECT($B$5&amp;"生成成长"),4))/(VLOOKUP(J$72,INDIRECT($C$5&amp;"生成成长"),5))*(VLOOKUP($B$5,标准坦克设计!$B$24:$U$30,MATCH("对"&amp;LEFT($C$5,2)&amp;"输出",标准坦克设计!$B$23:$U$23,0)))*(VLOOKUP($B127,INDIRECT($B$5&amp;"生成成长"),3))*(VLOOKUP($B$5,标准坦克设计!$B$14:$K$20,9)/30))</f>
        <v>4.2898993252171103</v>
      </c>
      <c r="K127" s="173">
        <f ca="1">(VLOOKUP(K$72,INDIRECT($C$5&amp;"生成成长"),2))/((VLOOKUP($B127,INDIRECT($B$5&amp;"生成成长"),4))/(VLOOKUP(K$72,INDIRECT($C$5&amp;"生成成长"),5))*(VLOOKUP($B$5,标准坦克设计!$B$24:$U$30,MATCH("对"&amp;LEFT($C$5,2)&amp;"输出",标准坦克设计!$B$23:$U$23,0)))*(VLOOKUP($B127,INDIRECT($B$5&amp;"生成成长"),3))*(VLOOKUP($B$5,标准坦克设计!$B$14:$K$20,9)/30))</f>
        <v>4.8256443281827011</v>
      </c>
      <c r="L127" s="173">
        <f ca="1">(VLOOKUP(L$72,INDIRECT($C$5&amp;"生成成长"),2))/((VLOOKUP($B127,INDIRECT($B$5&amp;"生成成长"),4))/(VLOOKUP(L$72,INDIRECT($C$5&amp;"生成成长"),5))*(VLOOKUP($B$5,标准坦克设计!$B$24:$U$30,MATCH("对"&amp;LEFT($C$5,2)&amp;"输出",标准坦克设计!$B$23:$U$23,0)))*(VLOOKUP($B127,INDIRECT($B$5&amp;"生成成长"),3))*(VLOOKUP($B$5,标准坦克设计!$B$14:$K$20,9)/30))</f>
        <v>5.3929037430874418</v>
      </c>
      <c r="M127" s="173">
        <f ca="1">(VLOOKUP(M$72,INDIRECT($C$5&amp;"生成成长"),2))/((VLOOKUP($B127,INDIRECT($B$5&amp;"生成成长"),4))/(VLOOKUP(M$72,INDIRECT($C$5&amp;"生成成长"),5))*(VLOOKUP($B$5,标准坦克设计!$B$24:$U$30,MATCH("对"&amp;LEFT($C$5,2)&amp;"输出",标准坦克设计!$B$23:$U$23,0)))*(VLOOKUP($B127,INDIRECT($B$5&amp;"生成成长"),3))*(VLOOKUP($B$5,标准坦克设计!$B$14:$K$20,9)/30))</f>
        <v>5.9916775699313369</v>
      </c>
      <c r="N127" s="173">
        <f ca="1">(VLOOKUP(N$72,INDIRECT($C$5&amp;"生成成长"),2))/((VLOOKUP($B127,INDIRECT($B$5&amp;"生成成长"),4))/(VLOOKUP(N$72,INDIRECT($C$5&amp;"生成成长"),5))*(VLOOKUP($B$5,标准坦克设计!$B$24:$U$30,MATCH("对"&amp;LEFT($C$5,2)&amp;"输出",标准坦克设计!$B$23:$U$23,0)))*(VLOOKUP($B127,INDIRECT($B$5&amp;"生成成长"),3))*(VLOOKUP($B$5,标准坦克设计!$B$14:$K$20,9)/30))</f>
        <v>6.6219658087143838</v>
      </c>
      <c r="O127" s="173">
        <f ca="1">(VLOOKUP(O$72,INDIRECT($C$5&amp;"生成成长"),2))/((VLOOKUP($B127,INDIRECT($B$5&amp;"生成成长"),4))/(VLOOKUP(O$72,INDIRECT($C$5&amp;"生成成长"),5))*(VLOOKUP($B$5,标准坦克设计!$B$24:$U$30,MATCH("对"&amp;LEFT($C$5,2)&amp;"输出",标准坦克设计!$B$23:$U$23,0)))*(VLOOKUP($B127,INDIRECT($B$5&amp;"生成成长"),3))*(VLOOKUP($B$5,标准坦克设计!$B$14:$K$20,9)/30))</f>
        <v>5.0346735136228586</v>
      </c>
      <c r="P127" s="173">
        <f ca="1">(VLOOKUP(P$72,INDIRECT($C$5&amp;"生成成长"),2))/((VLOOKUP($B127,INDIRECT($B$5&amp;"生成成长"),4))/(VLOOKUP(P$72,INDIRECT($C$5&amp;"生成成长"),5))*(VLOOKUP($B$5,标准坦克设计!$B$24:$U$30,MATCH("对"&amp;LEFT($C$5,2)&amp;"输出",标准坦克设计!$B$23:$U$23,0)))*(VLOOKUP($B127,INDIRECT($B$5&amp;"生成成长"),3))*(VLOOKUP($B$5,标准坦克设计!$B$14:$K$20,9)/30))</f>
        <v>5.6883513550169971</v>
      </c>
      <c r="Q127" s="173">
        <f ca="1">(VLOOKUP(Q$72,INDIRECT($C$5&amp;"生成成长"),2))/((VLOOKUP($B127,INDIRECT($B$5&amp;"生成成长"),4))/(VLOOKUP(Q$72,INDIRECT($C$5&amp;"生成成长"),5))*(VLOOKUP($B$5,标准坦克设计!$B$24:$U$30,MATCH("对"&amp;LEFT($C$5,2)&amp;"输出",标准坦克设计!$B$23:$U$23,0)))*(VLOOKUP($B127,INDIRECT($B$5&amp;"生成成长"),3))*(VLOOKUP($B$5,标准坦克设计!$B$14:$K$20,9)/30))</f>
        <v>6.381914624021622</v>
      </c>
      <c r="R127" s="173">
        <f ca="1">(VLOOKUP(R$72,INDIRECT($C$5&amp;"生成成长"),2))/((VLOOKUP($B127,INDIRECT($B$5&amp;"生成成长"),4))/(VLOOKUP(R$72,INDIRECT($C$5&amp;"生成成长"),5))*(VLOOKUP($B$5,标准坦克设计!$B$24:$U$30,MATCH("对"&amp;LEFT($C$5,2)&amp;"输出",标准坦克设计!$B$23:$U$23,0)))*(VLOOKUP($B127,INDIRECT($B$5&amp;"生成成长"),3))*(VLOOKUP($B$5,标准坦克设计!$B$14:$K$20,9)/30))</f>
        <v>7.1153633206367379</v>
      </c>
      <c r="S127" s="173">
        <f ca="1">(VLOOKUP(S$72,INDIRECT($C$5&amp;"生成成长"),2))/((VLOOKUP($B127,INDIRECT($B$5&amp;"生成成长"),4))/(VLOOKUP(S$72,INDIRECT($C$5&amp;"生成成长"),5))*(VLOOKUP($B$5,标准坦克设计!$B$24:$U$30,MATCH("对"&amp;LEFT($C$5,2)&amp;"输出",标准坦克设计!$B$23:$U$23,0)))*(VLOOKUP($B127,INDIRECT($B$5&amp;"生成成长"),3))*(VLOOKUP($B$5,标准坦克设计!$B$14:$K$20,9)/30))</f>
        <v>7.888697444862343</v>
      </c>
      <c r="T127" s="173">
        <f ca="1">(VLOOKUP(T$72,INDIRECT($C$5&amp;"生成成长"),2))/((VLOOKUP($B127,INDIRECT($B$5&amp;"生成成长"),4))/(VLOOKUP(T$72,INDIRECT($C$5&amp;"生成成长"),5))*(VLOOKUP($B$5,标准坦克设计!$B$24:$U$30,MATCH("对"&amp;LEFT($C$5,2)&amp;"输出",标准坦克设计!$B$23:$U$23,0)))*(VLOOKUP($B127,INDIRECT($B$5&amp;"生成成长"),3))*(VLOOKUP($B$5,标准坦克设计!$B$14:$K$20,9)/30))</f>
        <v>8.7019169966984382</v>
      </c>
      <c r="U127" s="173">
        <f ca="1">(VLOOKUP(U$72,INDIRECT($C$5&amp;"生成成长"),2))/((VLOOKUP($B127,INDIRECT($B$5&amp;"生成成长"),4))/(VLOOKUP(U$72,INDIRECT($C$5&amp;"生成成长"),5))*(VLOOKUP($B$5,标准坦克设计!$B$24:$U$30,MATCH("对"&amp;LEFT($C$5,2)&amp;"输出",标准坦克设计!$B$23:$U$23,0)))*(VLOOKUP($B127,INDIRECT($B$5&amp;"生成成长"),3))*(VLOOKUP($B$5,标准坦克设计!$B$14:$K$20,9)/30))</f>
        <v>9.5550219761450208</v>
      </c>
      <c r="V127" s="173">
        <f ca="1">(VLOOKUP(V$72,INDIRECT($C$5&amp;"生成成长"),2))/((VLOOKUP($B127,INDIRECT($B$5&amp;"生成成长"),4))/(VLOOKUP(V$72,INDIRECT($C$5&amp;"生成成长"),5))*(VLOOKUP($B$5,标准坦克设计!$B$24:$U$30,MATCH("对"&amp;LEFT($C$5,2)&amp;"输出",标准坦克设计!$B$23:$U$23,0)))*(VLOOKUP($B127,INDIRECT($B$5&amp;"生成成长"),3))*(VLOOKUP($B$5,标准坦克设计!$B$14:$K$20,9)/30))</f>
        <v>10.448012383202096</v>
      </c>
      <c r="W127" s="173">
        <f ca="1">(VLOOKUP(W$72,INDIRECT($C$5&amp;"生成成长"),2))/((VLOOKUP($B127,INDIRECT($B$5&amp;"生成成长"),4))/(VLOOKUP(W$72,INDIRECT($C$5&amp;"生成成长"),5))*(VLOOKUP($B$5,标准坦克设计!$B$24:$U$30,MATCH("对"&amp;LEFT($C$5,2)&amp;"输出",标准坦克设计!$B$23:$U$23,0)))*(VLOOKUP($B127,INDIRECT($B$5&amp;"生成成长"),3))*(VLOOKUP($B$5,标准坦克设计!$B$14:$K$20,9)/30))</f>
        <v>11.380888217869659</v>
      </c>
      <c r="X127" s="173">
        <f ca="1">(VLOOKUP(X$72,INDIRECT($C$5&amp;"生成成长"),2))/((VLOOKUP($B127,INDIRECT($B$5&amp;"生成成长"),4))/(VLOOKUP(X$72,INDIRECT($C$5&amp;"生成成长"),5))*(VLOOKUP($B$5,标准坦克设计!$B$24:$U$30,MATCH("对"&amp;LEFT($C$5,2)&amp;"输出",标准坦克设计!$B$23:$U$23,0)))*(VLOOKUP($B127,INDIRECT($B$5&amp;"生成成长"),3))*(VLOOKUP($B$5,标准坦克设计!$B$14:$K$20,9)/30))</f>
        <v>8.2452042299240045</v>
      </c>
      <c r="Y127" s="173">
        <f ca="1">(VLOOKUP(Y$72,INDIRECT($C$5&amp;"生成成长"),2))/((VLOOKUP($B127,INDIRECT($B$5&amp;"生成成长"),4))/(VLOOKUP(Y$72,INDIRECT($C$5&amp;"生成成长"),5))*(VLOOKUP($B$5,标准坦克设计!$B$24:$U$30,MATCH("对"&amp;LEFT($C$5,2)&amp;"输出",标准坦克设计!$B$23:$U$23,0)))*(VLOOKUP($B127,INDIRECT($B$5&amp;"生成成长"),3))*(VLOOKUP($B$5,标准坦克设计!$B$14:$K$20,9)/30))</f>
        <v>9.1709400806366048</v>
      </c>
      <c r="Z127" s="173">
        <f ca="1">(VLOOKUP(Z$72,INDIRECT($C$5&amp;"生成成长"),2))/((VLOOKUP($B127,INDIRECT($B$5&amp;"生成成长"),4))/(VLOOKUP(Z$72,INDIRECT($C$5&amp;"生成成长"),5))*(VLOOKUP($B$5,标准坦克设计!$B$24:$U$30,MATCH("对"&amp;LEFT($C$5,2)&amp;"输出",标准坦克设计!$B$23:$U$23,0)))*(VLOOKUP($B127,INDIRECT($B$5&amp;"生成成长"),3))*(VLOOKUP($B$5,标准坦克设计!$B$14:$K$20,9)/30))</f>
        <v>10.145917200004128</v>
      </c>
      <c r="AA127" s="173">
        <f ca="1">(VLOOKUP(AA$72,INDIRECT($C$5&amp;"生成成长"),2))/((VLOOKUP($B127,INDIRECT($B$5&amp;"生成成长"),4))/(VLOOKUP(AA$72,INDIRECT($C$5&amp;"生成成长"),5))*(VLOOKUP($B$5,标准坦克设计!$B$24:$U$30,MATCH("对"&amp;LEFT($C$5,2)&amp;"输出",标准坦克设计!$B$23:$U$23,0)))*(VLOOKUP($B127,INDIRECT($B$5&amp;"生成成长"),3))*(VLOOKUP($B$5,标准坦克设计!$B$14:$K$20,9)/30))</f>
        <v>11.170135588026579</v>
      </c>
      <c r="AB127" s="173">
        <f ca="1">(VLOOKUP(AB$72,INDIRECT($C$5&amp;"生成成长"),2))/((VLOOKUP($B127,INDIRECT($B$5&amp;"生成成长"),4))/(VLOOKUP(AB$72,INDIRECT($C$5&amp;"生成成长"),5))*(VLOOKUP($B$5,标准坦克设计!$B$24:$U$30,MATCH("对"&amp;LEFT($C$5,2)&amp;"输出",标准坦克设计!$B$23:$U$23,0)))*(VLOOKUP($B127,INDIRECT($B$5&amp;"生成成长"),3))*(VLOOKUP($B$5,标准坦克设计!$B$14:$K$20,9)/30))</f>
        <v>12.243595244703954</v>
      </c>
      <c r="AC127" s="173">
        <f ca="1">(VLOOKUP(AC$72,INDIRECT($C$5&amp;"生成成长"),2))/((VLOOKUP($B127,INDIRECT($B$5&amp;"生成成长"),4))/(VLOOKUP(AC$72,INDIRECT($C$5&amp;"生成成长"),5))*(VLOOKUP($B$5,标准坦克设计!$B$24:$U$30,MATCH("对"&amp;LEFT($C$5,2)&amp;"输出",标准坦克设计!$B$23:$U$23,0)))*(VLOOKUP($B127,INDIRECT($B$5&amp;"生成成长"),3))*(VLOOKUP($B$5,标准坦克设计!$B$14:$K$20,9)/30))</f>
        <v>13.366296170036254</v>
      </c>
      <c r="AD127" s="173">
        <f ca="1">(VLOOKUP(AD$72,INDIRECT($C$5&amp;"生成成长"),2))/((VLOOKUP($B127,INDIRECT($B$5&amp;"生成成长"),4))/(VLOOKUP(AD$72,INDIRECT($C$5&amp;"生成成长"),5))*(VLOOKUP($B$5,标准坦克设计!$B$24:$U$30,MATCH("对"&amp;LEFT($C$5,2)&amp;"输出",标准坦克设计!$B$23:$U$23,0)))*(VLOOKUP($B127,INDIRECT($B$5&amp;"生成成长"),3))*(VLOOKUP($B$5,标准坦克设计!$B$14:$K$20,9)/30))</f>
        <v>14.538238364023485</v>
      </c>
      <c r="AE127" s="173">
        <f ca="1">(VLOOKUP(AE$72,INDIRECT($C$5&amp;"生成成长"),2))/((VLOOKUP($B127,INDIRECT($B$5&amp;"生成成长"),4))/(VLOOKUP(AE$72,INDIRECT($C$5&amp;"生成成长"),5))*(VLOOKUP($B$5,标准坦克设计!$B$24:$U$30,MATCH("对"&amp;LEFT($C$5,2)&amp;"输出",标准坦克设计!$B$23:$U$23,0)))*(VLOOKUP($B127,INDIRECT($B$5&amp;"生成成长"),3))*(VLOOKUP($B$5,标准坦克设计!$B$14:$K$20,9)/30))</f>
        <v>15.759421826665635</v>
      </c>
      <c r="AF127" s="173">
        <f ca="1">(VLOOKUP(AF$72,INDIRECT($C$5&amp;"生成成长"),2))/((VLOOKUP($B127,INDIRECT($B$5&amp;"生成成长"),4))/(VLOOKUP(AF$72,INDIRECT($C$5&amp;"生成成长"),5))*(VLOOKUP($B$5,标准坦克设计!$B$24:$U$30,MATCH("对"&amp;LEFT($C$5,2)&amp;"输出",标准坦克设计!$B$23:$U$23,0)))*(VLOOKUP($B127,INDIRECT($B$5&amp;"生成成长"),3))*(VLOOKUP($B$5,标准坦克设计!$B$14:$K$20,9)/30))</f>
        <v>17.029846557962717</v>
      </c>
      <c r="AG127" s="173">
        <f ca="1">(VLOOKUP(AG$72,INDIRECT($C$5&amp;"生成成长"),2))/((VLOOKUP($B127,INDIRECT($B$5&amp;"生成成长"),4))/(VLOOKUP(AG$72,INDIRECT($C$5&amp;"生成成长"),5))*(VLOOKUP($B$5,标准坦克设计!$B$24:$U$30,MATCH("对"&amp;LEFT($C$5,2)&amp;"输出",标准坦克设计!$B$23:$U$23,0)))*(VLOOKUP($B127,INDIRECT($B$5&amp;"生成成长"),3))*(VLOOKUP($B$5,标准坦克设计!$B$14:$K$20,9)/30))</f>
        <v>18.349512557914721</v>
      </c>
      <c r="AH127" s="173">
        <f ca="1">(VLOOKUP(AH$72,INDIRECT($C$5&amp;"生成成长"),2))/((VLOOKUP($B127,INDIRECT($B$5&amp;"生成成长"),4))/(VLOOKUP(AH$72,INDIRECT($C$5&amp;"生成成长"),5))*(VLOOKUP($B$5,标准坦克设计!$B$24:$U$30,MATCH("对"&amp;LEFT($C$5,2)&amp;"输出",标准坦克设计!$B$23:$U$23,0)))*(VLOOKUP($B127,INDIRECT($B$5&amp;"生成成长"),3))*(VLOOKUP($B$5,标准坦克设计!$B$14:$K$20,9)/30))</f>
        <v>19.71841982652165</v>
      </c>
      <c r="AI127" s="173">
        <f ca="1">(VLOOKUP(AI$72,INDIRECT($C$5&amp;"生成成长"),2))/((VLOOKUP($B127,INDIRECT($B$5&amp;"生成成长"),4))/(VLOOKUP(AI$72,INDIRECT($C$5&amp;"生成成长"),5))*(VLOOKUP($B$5,标准坦克设计!$B$24:$U$30,MATCH("对"&amp;LEFT($C$5,2)&amp;"输出",标准坦克设计!$B$23:$U$23,0)))*(VLOOKUP($B127,INDIRECT($B$5&amp;"生成成长"),3))*(VLOOKUP($B$5,标准坦克设计!$B$14:$K$20,9)/30))</f>
        <v>13.946112108448004</v>
      </c>
      <c r="AJ127" s="173">
        <f ca="1">(VLOOKUP(AJ$72,INDIRECT($C$5&amp;"生成成长"),2))/((VLOOKUP($B127,INDIRECT($B$5&amp;"生成成长"),4))/(VLOOKUP(AJ$72,INDIRECT($C$5&amp;"生成成长"),5))*(VLOOKUP($B$5,标准坦克设计!$B$24:$U$30,MATCH("对"&amp;LEFT($C$5,2)&amp;"输出",标准坦克设计!$B$23:$U$23,0)))*(VLOOKUP($B127,INDIRECT($B$5&amp;"生成成长"),3))*(VLOOKUP($B$5,标准坦克设计!$B$14:$K$20,9)/30))</f>
        <v>15.265039489370185</v>
      </c>
      <c r="AK127" s="173">
        <f ca="1">(VLOOKUP(AK$72,INDIRECT($C$5&amp;"生成成长"),2))/((VLOOKUP($B127,INDIRECT($B$5&amp;"生成成长"),4))/(VLOOKUP(AK$72,INDIRECT($C$5&amp;"生成成长"),5))*(VLOOKUP($B$5,标准坦克设计!$B$24:$U$30,MATCH("对"&amp;LEFT($C$5,2)&amp;"输出",标准坦克设计!$B$23:$U$23,0)))*(VLOOKUP($B127,INDIRECT($B$5&amp;"生成成长"),3))*(VLOOKUP($B$5,标准坦克设计!$B$14:$K$20,9)/30))</f>
        <v>16.643548805364823</v>
      </c>
      <c r="AL127" s="173">
        <f ca="1">(VLOOKUP(AL$72,INDIRECT($C$5&amp;"生成成长"),2))/((VLOOKUP($B127,INDIRECT($B$5&amp;"生成成长"),4))/(VLOOKUP(AL$72,INDIRECT($C$5&amp;"生成成长"),5))*(VLOOKUP($B$5,标准坦克设计!$B$24:$U$30,MATCH("对"&amp;LEFT($C$5,2)&amp;"输出",标准坦克设计!$B$23:$U$23,0)))*(VLOOKUP($B127,INDIRECT($B$5&amp;"生成成长"),3))*(VLOOKUP($B$5,标准坦克设计!$B$14:$K$20,9)/30))</f>
        <v>18.081640056431926</v>
      </c>
      <c r="AM127" s="173">
        <f ca="1">(VLOOKUP(AM$72,INDIRECT($C$5&amp;"生成成长"),2))/((VLOOKUP($B127,INDIRECT($B$5&amp;"生成成长"),4))/(VLOOKUP(AM$72,INDIRECT($C$5&amp;"生成成长"),5))*(VLOOKUP($B$5,标准坦克设计!$B$24:$U$30,MATCH("对"&amp;LEFT($C$5,2)&amp;"输出",标准坦克设计!$B$23:$U$23,0)))*(VLOOKUP($B127,INDIRECT($B$5&amp;"生成成长"),3))*(VLOOKUP($B$5,标准坦克设计!$B$14:$K$20,9)/30))</f>
        <v>19.579313242571487</v>
      </c>
      <c r="AN127" s="173">
        <f ca="1">(VLOOKUP(AN$72,INDIRECT($C$5&amp;"生成成长"),2))/((VLOOKUP($B127,INDIRECT($B$5&amp;"生成成长"),4))/(VLOOKUP(AN$72,INDIRECT($C$5&amp;"生成成长"),5))*(VLOOKUP($B$5,标准坦克设计!$B$24:$U$30,MATCH("对"&amp;LEFT($C$5,2)&amp;"输出",标准坦克设计!$B$23:$U$23,0)))*(VLOOKUP($B127,INDIRECT($B$5&amp;"生成成长"),3))*(VLOOKUP($B$5,标准坦克设计!$B$14:$K$20,9)/30))</f>
        <v>21.136568363783503</v>
      </c>
      <c r="AO127" s="173">
        <f ca="1">(VLOOKUP(AO$72,INDIRECT($C$5&amp;"生成成长"),2))/((VLOOKUP($B127,INDIRECT($B$5&amp;"生成成长"),4))/(VLOOKUP(AO$72,INDIRECT($C$5&amp;"生成成长"),5))*(VLOOKUP($B$5,标准坦克设计!$B$24:$U$30,MATCH("对"&amp;LEFT($C$5,2)&amp;"输出",标准坦克设计!$B$23:$U$23,0)))*(VLOOKUP($B127,INDIRECT($B$5&amp;"生成成长"),3))*(VLOOKUP($B$5,标准坦克设计!$B$14:$K$20,9)/30))</f>
        <v>22.753405420067988</v>
      </c>
      <c r="AP127" s="173">
        <f ca="1">(VLOOKUP(AP$72,INDIRECT($C$5&amp;"生成成长"),2))/((VLOOKUP($B127,INDIRECT($B$5&amp;"生成成长"),4))/(VLOOKUP(AP$72,INDIRECT($C$5&amp;"生成成长"),5))*(VLOOKUP($B$5,标准坦克设计!$B$24:$U$30,MATCH("对"&amp;LEFT($C$5,2)&amp;"输出",标准坦克设计!$B$23:$U$23,0)))*(VLOOKUP($B127,INDIRECT($B$5&amp;"生成成长"),3))*(VLOOKUP($B$5,标准坦克设计!$B$14:$K$20,9)/30))</f>
        <v>24.429824411424921</v>
      </c>
      <c r="AQ127" s="173">
        <f ca="1">(VLOOKUP(AQ$72,INDIRECT($C$5&amp;"生成成长"),2))/((VLOOKUP($B127,INDIRECT($B$5&amp;"生成成长"),4))/(VLOOKUP(AQ$72,INDIRECT($C$5&amp;"生成成长"),5))*(VLOOKUP($B$5,标准坦克设计!$B$24:$U$30,MATCH("对"&amp;LEFT($C$5,2)&amp;"输出",标准坦克设计!$B$23:$U$23,0)))*(VLOOKUP($B127,INDIRECT($B$5&amp;"生成成长"),3))*(VLOOKUP($B$5,标准坦克设计!$B$14:$K$20,9)/30))</f>
        <v>26.165825337854322</v>
      </c>
      <c r="AR127" s="173">
        <f ca="1">(VLOOKUP(AR$72,INDIRECT($C$5&amp;"生成成长"),2))/((VLOOKUP($B127,INDIRECT($B$5&amp;"生成成长"),4))/(VLOOKUP(AR$72,INDIRECT($C$5&amp;"生成成长"),5))*(VLOOKUP($B$5,标准坦克设计!$B$24:$U$30,MATCH("对"&amp;LEFT($C$5,2)&amp;"输出",标准坦克设计!$B$23:$U$23,0)))*(VLOOKUP($B127,INDIRECT($B$5&amp;"生成成长"),3))*(VLOOKUP($B$5,标准坦克设计!$B$14:$K$20,9)/30))</f>
        <v>27.961408199356182</v>
      </c>
      <c r="AS127" s="173">
        <f ca="1">(VLOOKUP(AS$72,INDIRECT($C$5&amp;"生成成长"),2))/((VLOOKUP($B127,INDIRECT($B$5&amp;"生成成长"),4))/(VLOOKUP(AS$72,INDIRECT($C$5&amp;"生成成长"),5))*(VLOOKUP($B$5,标准坦克设计!$B$24:$U$30,MATCH("对"&amp;LEFT($C$5,2)&amp;"输出",标准坦克设计!$B$23:$U$23,0)))*(VLOOKUP($B127,INDIRECT($B$5&amp;"生成成长"),3))*(VLOOKUP($B$5,标准坦克设计!$B$14:$K$20,9)/30))</f>
        <v>29.8165729959305</v>
      </c>
      <c r="AT127" s="173">
        <f ca="1">(VLOOKUP(AT$72,INDIRECT($C$5&amp;"生成成长"),2))/((VLOOKUP($B127,INDIRECT($B$5&amp;"生成成长"),4))/(VLOOKUP(AT$72,INDIRECT($C$5&amp;"生成成长"),5))*(VLOOKUP($B$5,标准坦克设计!$B$24:$U$30,MATCH("对"&amp;LEFT($C$5,2)&amp;"输出",标准坦克设计!$B$23:$U$23,0)))*(VLOOKUP($B127,INDIRECT($B$5&amp;"生成成长"),3))*(VLOOKUP($B$5,标准坦克设计!$B$14:$K$20,9)/30))</f>
        <v>31.731319727577279</v>
      </c>
      <c r="AU127" s="173">
        <f ca="1">(VLOOKUP(AU$72,INDIRECT($C$5&amp;"生成成长"),2))/((VLOOKUP($B127,INDIRECT($B$5&amp;"生成成长"),4))/(VLOOKUP(AU$72,INDIRECT($C$5&amp;"生成成长"),5))*(VLOOKUP($B$5,标准坦克设计!$B$24:$U$30,MATCH("对"&amp;LEFT($C$5,2)&amp;"输出",标准坦克设计!$B$23:$U$23,0)))*(VLOOKUP($B127,INDIRECT($B$5&amp;"生成成长"),3))*(VLOOKUP($B$5,标准坦克设计!$B$14:$K$20,9)/30))</f>
        <v>33.705648394296517</v>
      </c>
      <c r="AV127" s="173">
        <f ca="1">(VLOOKUP(AV$72,INDIRECT($C$5&amp;"生成成长"),2))/((VLOOKUP($B127,INDIRECT($B$5&amp;"生成成长"),4))/(VLOOKUP(AV$72,INDIRECT($C$5&amp;"生成成长"),5))*(VLOOKUP($B$5,标准坦克设计!$B$24:$U$30,MATCH("对"&amp;LEFT($C$5,2)&amp;"输出",标准坦克设计!$B$23:$U$23,0)))*(VLOOKUP($B127,INDIRECT($B$5&amp;"生成成长"),3))*(VLOOKUP($B$5,标准坦克设计!$B$14:$K$20,9)/30))</f>
        <v>3.4281771237559142</v>
      </c>
      <c r="AW127" s="173">
        <f ca="1">(VLOOKUP(AW$72,INDIRECT($C$5&amp;"生成成长"),2))/((VLOOKUP($B127,INDIRECT($B$5&amp;"生成成长"),4))/(VLOOKUP(AW$72,INDIRECT($C$5&amp;"生成成长"),5))*(VLOOKUP($B$5,标准坦克设计!$B$24:$U$30,MATCH("对"&amp;LEFT($C$5,2)&amp;"输出",标准坦克设计!$B$23:$U$23,0)))*(VLOOKUP($B127,INDIRECT($B$5&amp;"生成成长"),3))*(VLOOKUP($B$5,标准坦克设计!$B$14:$K$20,9)/30))</f>
        <v>3.9087719058279879</v>
      </c>
      <c r="AX127" s="173">
        <f ca="1">(VLOOKUP(AX$72,INDIRECT($C$5&amp;"生成成长"),2))/((VLOOKUP($B127,INDIRECT($B$5&amp;"生成成长"),4))/(VLOOKUP(AX$72,INDIRECT($C$5&amp;"生成成长"),5))*(VLOOKUP($B$5,标准坦克设计!$B$24:$U$30,MATCH("对"&amp;LEFT($C$5,2)&amp;"输出",标准坦克设计!$B$23:$U$23,0)))*(VLOOKUP($B127,INDIRECT($B$5&amp;"生成成长"),3))*(VLOOKUP($B$5,标准坦克设计!$B$14:$K$20,9)/30))</f>
        <v>4.420881099839213</v>
      </c>
      <c r="AY127" s="173">
        <f ca="1">(VLOOKUP(AY$72,INDIRECT($C$5&amp;"生成成长"),2))/((VLOOKUP($B127,INDIRECT($B$5&amp;"生成成长"),4))/(VLOOKUP(AY$72,INDIRECT($C$5&amp;"生成成长"),5))*(VLOOKUP($B$5,标准坦克设计!$B$24:$U$30,MATCH("对"&amp;LEFT($C$5,2)&amp;"输出",标准坦克设计!$B$23:$U$23,0)))*(VLOOKUP($B127,INDIRECT($B$5&amp;"生成成长"),3))*(VLOOKUP($B$5,标准坦克设计!$B$14:$K$20,9)/30))</f>
        <v>4.964504705789591</v>
      </c>
      <c r="AZ127" s="173">
        <f ca="1">(VLOOKUP(AZ$72,INDIRECT($C$5&amp;"生成成长"),2))/((VLOOKUP($B127,INDIRECT($B$5&amp;"生成成长"),4))/(VLOOKUP(AZ$72,INDIRECT($C$5&amp;"生成成长"),5))*(VLOOKUP($B$5,标准坦克设计!$B$24:$U$30,MATCH("对"&amp;LEFT($C$5,2)&amp;"输出",标准坦克设计!$B$23:$U$23,0)))*(VLOOKUP($B127,INDIRECT($B$5&amp;"生成成长"),3))*(VLOOKUP($B$5,标准坦克设计!$B$14:$K$20,9)/30))</f>
        <v>5.5396427236791208</v>
      </c>
      <c r="BA127" s="173">
        <f ca="1">(VLOOKUP(BA$72,INDIRECT($C$5&amp;"生成成长"),2))/((VLOOKUP($B127,INDIRECT($B$5&amp;"生成成长"),4))/(VLOOKUP(BA$72,INDIRECT($C$5&amp;"生成成长"),5))*(VLOOKUP($B$5,标准坦克设计!$B$24:$U$30,MATCH("对"&amp;LEFT($C$5,2)&amp;"输出",标准坦克设计!$B$23:$U$23,0)))*(VLOOKUP($B127,INDIRECT($B$5&amp;"生成成长"),3))*(VLOOKUP($B$5,标准坦克设计!$B$14:$K$20,9)/30))</f>
        <v>6.1462951535078032</v>
      </c>
      <c r="BB127" s="173">
        <f ca="1">(VLOOKUP(BB$72,INDIRECT($C$5&amp;"生成成长"),2))/((VLOOKUP($B127,INDIRECT($B$5&amp;"生成成长"),4))/(VLOOKUP(BB$72,INDIRECT($C$5&amp;"生成成长"),5))*(VLOOKUP($B$5,标准坦克设计!$B$24:$U$30,MATCH("对"&amp;LEFT($C$5,2)&amp;"输出",标准坦克设计!$B$23:$U$23,0)))*(VLOOKUP($B127,INDIRECT($B$5&amp;"生成成长"),3))*(VLOOKUP($B$5,标准坦克设计!$B$14:$K$20,9)/30))</f>
        <v>6.7844619952756373</v>
      </c>
      <c r="BC127" s="173">
        <f ca="1">(VLOOKUP(BC$72,INDIRECT($C$5&amp;"生成成长"),2))/((VLOOKUP($B127,INDIRECT($B$5&amp;"生成成长"),4))/(VLOOKUP(BC$72,INDIRECT($C$5&amp;"生成成长"),5))*(VLOOKUP($B$5,标准坦克设计!$B$24:$U$30,MATCH("对"&amp;LEFT($C$5,2)&amp;"输出",标准坦克设计!$B$23:$U$23,0)))*(VLOOKUP($B127,INDIRECT($B$5&amp;"生成成长"),3))*(VLOOKUP($B$5,标准坦克设计!$B$14:$K$20,9)/30))</f>
        <v>7.4541432489826249</v>
      </c>
      <c r="BD127" s="173">
        <f ca="1">(VLOOKUP(BD$72,INDIRECT($C$5&amp;"生成成长"),2))/((VLOOKUP($B127,INDIRECT($B$5&amp;"生成成长"),4))/(VLOOKUP(BD$72,INDIRECT($C$5&amp;"生成成长"),5))*(VLOOKUP($B$5,标准坦克设计!$B$24:$U$30,MATCH("对"&amp;LEFT($C$5,2)&amp;"输出",标准坦克设计!$B$23:$U$23,0)))*(VLOOKUP($B127,INDIRECT($B$5&amp;"生成成长"),3))*(VLOOKUP($B$5,标准坦克设计!$B$14:$K$20,9)/30))</f>
        <v>8.2452042299240045</v>
      </c>
      <c r="BE127" s="173">
        <f ca="1">(VLOOKUP(BE$72,INDIRECT($C$5&amp;"生成成长"),2))/((VLOOKUP($B127,INDIRECT($B$5&amp;"生成成长"),4))/(VLOOKUP(BE$72,INDIRECT($C$5&amp;"生成成长"),5))*(VLOOKUP($B$5,标准坦克设计!$B$24:$U$30,MATCH("对"&amp;LEFT($C$5,2)&amp;"输出",标准坦克设计!$B$23:$U$23,0)))*(VLOOKUP($B127,INDIRECT($B$5&amp;"生成成长"),3))*(VLOOKUP($B$5,标准坦克设计!$B$14:$K$20,9)/30))</f>
        <v>9.0761506384758714</v>
      </c>
      <c r="BF127" s="173">
        <f ca="1">(VLOOKUP(BF$72,INDIRECT($C$5&amp;"生成成长"),2))/((VLOOKUP($B127,INDIRECT($B$5&amp;"生成成长"),4))/(VLOOKUP(BF$72,INDIRECT($C$5&amp;"生成成长"),5))*(VLOOKUP($B$5,标准坦克设计!$B$24:$U$30,MATCH("对"&amp;LEFT($C$5,2)&amp;"输出",标准坦克设计!$B$23:$U$23,0)))*(VLOOKUP($B127,INDIRECT($B$5&amp;"生成成长"),3))*(VLOOKUP($B$5,标准坦克设计!$B$14:$K$20,9)/30))</f>
        <v>9.9469824746382294</v>
      </c>
      <c r="BG127" s="173">
        <f ca="1">(VLOOKUP(BG$72,INDIRECT($C$5&amp;"生成成长"),2))/((VLOOKUP($B127,INDIRECT($B$5&amp;"生成成长"),4))/(VLOOKUP(BG$72,INDIRECT($C$5&amp;"生成成长"),5))*(VLOOKUP($B$5,标准坦克设计!$B$24:$U$30,MATCH("对"&amp;LEFT($C$5,2)&amp;"输出",标准坦克设计!$B$23:$U$23,0)))*(VLOOKUP($B127,INDIRECT($B$5&amp;"生成成长"),3))*(VLOOKUP($B$5,标准坦克设计!$B$14:$K$20,9)/30))</f>
        <v>10.857699738411076</v>
      </c>
      <c r="BH127" s="173">
        <f ca="1">(VLOOKUP(BH$72,INDIRECT($C$5&amp;"生成成长"),2))/((VLOOKUP($B127,INDIRECT($B$5&amp;"生成成长"),4))/(VLOOKUP(BH$72,INDIRECT($C$5&amp;"生成成长"),5))*(VLOOKUP($B$5,标准坦克设计!$B$24:$U$30,MATCH("对"&amp;LEFT($C$5,2)&amp;"输出",标准坦克设计!$B$23:$U$23,0)))*(VLOOKUP($B127,INDIRECT($B$5&amp;"生成成长"),3))*(VLOOKUP($B$5,标准坦克设计!$B$14:$K$20,9)/30))</f>
        <v>5.2481344132419627</v>
      </c>
      <c r="BI127" s="173">
        <f ca="1">(VLOOKUP(BI$72,INDIRECT($C$5&amp;"生成成长"),2))/((VLOOKUP($B127,INDIRECT($B$5&amp;"生成成长"),4))/(VLOOKUP(BI$72,INDIRECT($C$5&amp;"生成成长"),5))*(VLOOKUP($B$5,标准坦克设计!$B$24:$U$30,MATCH("对"&amp;LEFT($C$5,2)&amp;"输出",标准坦克设计!$B$23:$U$23,0)))*(VLOOKUP($B127,INDIRECT($B$5&amp;"生成成长"),3))*(VLOOKUP($B$5,标准坦克设计!$B$14:$K$20,9)/30))</f>
        <v>5.9151073971729282</v>
      </c>
      <c r="BJ127" s="173">
        <f ca="1">(VLOOKUP(BJ$72,INDIRECT($C$5&amp;"生成成长"),2))/((VLOOKUP($B127,INDIRECT($B$5&amp;"生成成长"),4))/(VLOOKUP(BJ$72,INDIRECT($C$5&amp;"生成成长"),5))*(VLOOKUP($B$5,标准坦克设计!$B$24:$U$30,MATCH("对"&amp;LEFT($C$5,2)&amp;"输出",标准坦克设计!$B$23:$U$23,0)))*(VLOOKUP($B127,INDIRECT($B$5&amp;"生成成长"),3))*(VLOOKUP($B$5,标准坦克设计!$B$14:$K$20,9)/30))</f>
        <v>6.6219658087143838</v>
      </c>
      <c r="BK127" s="173">
        <f ca="1">(VLOOKUP(BK$72,INDIRECT($C$5&amp;"生成成长"),2))/((VLOOKUP($B127,INDIRECT($B$5&amp;"生成成长"),4))/(VLOOKUP(BK$72,INDIRECT($C$5&amp;"生成成长"),5))*(VLOOKUP($B$5,标准坦克设计!$B$24:$U$30,MATCH("对"&amp;LEFT($C$5,2)&amp;"输出",标准坦克设计!$B$23:$U$23,0)))*(VLOOKUP($B127,INDIRECT($B$5&amp;"生成成长"),3))*(VLOOKUP($B$5,标准坦克设计!$B$14:$K$20,9)/30))</f>
        <v>7.3687096478663294</v>
      </c>
      <c r="BL127" s="173">
        <f ca="1">(VLOOKUP(BL$72,INDIRECT($C$5&amp;"生成成长"),2))/((VLOOKUP($B127,INDIRECT($B$5&amp;"生成成长"),4))/(VLOOKUP(BL$72,INDIRECT($C$5&amp;"生成成长"),5))*(VLOOKUP($B$5,标准坦克设计!$B$24:$U$30,MATCH("对"&amp;LEFT($C$5,2)&amp;"输出",标准坦克设计!$B$23:$U$23,0)))*(VLOOKUP($B127,INDIRECT($B$5&amp;"生成成长"),3))*(VLOOKUP($B$5,标准坦克设计!$B$14:$K$20,9)/30))</f>
        <v>8.1553389146287625</v>
      </c>
      <c r="BM127" s="173">
        <f ca="1">(VLOOKUP(BM$72,INDIRECT($C$5&amp;"生成成长"),2))/((VLOOKUP($B127,INDIRECT($B$5&amp;"生成成长"),4))/(VLOOKUP(BM$72,INDIRECT($C$5&amp;"生成成长"),5))*(VLOOKUP($B$5,标准坦克设计!$B$24:$U$30,MATCH("对"&amp;LEFT($C$5,2)&amp;"输出",标准坦克设计!$B$23:$U$23,0)))*(VLOOKUP($B127,INDIRECT($B$5&amp;"生成成长"),3))*(VLOOKUP($B$5,标准坦克设计!$B$14:$K$20,9)/30))</f>
        <v>8.9818536090016909</v>
      </c>
      <c r="BN127" s="173">
        <f ca="1">(VLOOKUP(BN$72,INDIRECT($C$5&amp;"生成成长"),2))/((VLOOKUP($B127,INDIRECT($B$5&amp;"生成成长"),4))/(VLOOKUP(BN$72,INDIRECT($C$5&amp;"生成成长"),5))*(VLOOKUP($B$5,标准坦克设计!$B$24:$U$30,MATCH("对"&amp;LEFT($C$5,2)&amp;"输出",标准坦克设计!$B$23:$U$23,0)))*(VLOOKUP($B127,INDIRECT($B$5&amp;"生成成长"),3))*(VLOOKUP($B$5,标准坦克设计!$B$14:$K$20,9)/30))</f>
        <v>9.848253730985105</v>
      </c>
      <c r="BO127" s="173">
        <f ca="1">(VLOOKUP(BO$72,INDIRECT($C$5&amp;"生成成长"),2))/((VLOOKUP($B127,INDIRECT($B$5&amp;"生成成长"),4))/(VLOOKUP(BO$72,INDIRECT($C$5&amp;"生成成长"),5))*(VLOOKUP($B$5,标准坦克设计!$B$24:$U$30,MATCH("对"&amp;LEFT($C$5,2)&amp;"输出",标准坦克设计!$B$23:$U$23,0)))*(VLOOKUP($B127,INDIRECT($B$5&amp;"生成成长"),3))*(VLOOKUP($B$5,标准坦克设计!$B$14:$K$20,9)/30))</f>
        <v>10.754539280579008</v>
      </c>
      <c r="BP127" s="173">
        <f ca="1">(VLOOKUP(BP$72,INDIRECT($C$5&amp;"生成成长"),2))/((VLOOKUP($B127,INDIRECT($B$5&amp;"生成成长"),4))/(VLOOKUP(BP$72,INDIRECT($C$5&amp;"生成成长"),5))*(VLOOKUP($B$5,标准坦克设计!$B$24:$U$30,MATCH("对"&amp;LEFT($C$5,2)&amp;"输出",标准坦克设计!$B$23:$U$23,0)))*(VLOOKUP($B127,INDIRECT($B$5&amp;"生成成长"),3))*(VLOOKUP($B$5,标准坦克设计!$B$14:$K$20,9)/30))</f>
        <v>11.700710257783403</v>
      </c>
      <c r="BQ127" s="173">
        <f ca="1">(VLOOKUP(BQ$72,INDIRECT($C$5&amp;"生成成长"),2))/((VLOOKUP($B127,INDIRECT($B$5&amp;"生成成长"),4))/(VLOOKUP(BQ$72,INDIRECT($C$5&amp;"生成成长"),5))*(VLOOKUP($B$5,标准坦克设计!$B$24:$U$30,MATCH("对"&amp;LEFT($C$5,2)&amp;"输出",标准坦克设计!$B$23:$U$23,0)))*(VLOOKUP($B127,INDIRECT($B$5&amp;"生成成长"),3))*(VLOOKUP($B$5,标准坦克设计!$B$14:$K$20,9)/30))</f>
        <v>12.686766662598284</v>
      </c>
      <c r="BR127" s="173">
        <f ca="1">(VLOOKUP(BR$72,INDIRECT($C$5&amp;"生成成长"),2))/((VLOOKUP($B127,INDIRECT($B$5&amp;"生成成长"),4))/(VLOOKUP(BR$72,INDIRECT($C$5&amp;"生成成长"),5))*(VLOOKUP($B$5,标准坦克设计!$B$24:$U$30,MATCH("对"&amp;LEFT($C$5,2)&amp;"输出",标准坦克设计!$B$23:$U$23,0)))*(VLOOKUP($B127,INDIRECT($B$5&amp;"生成成长"),3))*(VLOOKUP($B$5,标准坦克设计!$B$14:$K$20,9)/30))</f>
        <v>13.829164095392555</v>
      </c>
      <c r="BS127" s="173">
        <f ca="1">(VLOOKUP(BS$72,INDIRECT($C$5&amp;"生成成长"),2))/((VLOOKUP($B127,INDIRECT($B$5&amp;"生成成长"),4))/(VLOOKUP(BS$72,INDIRECT($C$5&amp;"生成成长"),5))*(VLOOKUP($B$5,标准坦克设计!$B$24:$U$30,MATCH("对"&amp;LEFT($C$5,2)&amp;"输出",标准坦克设计!$B$23:$U$23,0)))*(VLOOKUP($B127,INDIRECT($B$5&amp;"生成成长"),3))*(VLOOKUP($B$5,标准坦克设计!$B$14:$K$20,9)/30))</f>
        <v>15.020802796841753</v>
      </c>
      <c r="BT127" s="173">
        <f ca="1">(VLOOKUP(BT$72,INDIRECT($C$5&amp;"生成成长"),2))/((VLOOKUP($B127,INDIRECT($B$5&amp;"生成成长"),4))/(VLOOKUP(BT$72,INDIRECT($C$5&amp;"生成成长"),5))*(VLOOKUP($B$5,标准坦克设计!$B$24:$U$30,MATCH("对"&amp;LEFT($C$5,2)&amp;"输出",标准坦克设计!$B$23:$U$23,0)))*(VLOOKUP($B127,INDIRECT($B$5&amp;"生成成长"),3))*(VLOOKUP($B$5,标准坦克设计!$B$14:$K$20,9)/30))</f>
        <v>16.261682766945878</v>
      </c>
      <c r="BU127" s="173">
        <f ca="1">(VLOOKUP(BU$72,INDIRECT($C$5&amp;"生成成长"),2))/((VLOOKUP($B127,INDIRECT($B$5&amp;"生成成长"),4))/(VLOOKUP(BU$72,INDIRECT($C$5&amp;"生成成长"),5))*(VLOOKUP($B$5,标准坦克设计!$B$24:$U$30,MATCH("对"&amp;LEFT($C$5,2)&amp;"输出",标准坦克设计!$B$23:$U$23,0)))*(VLOOKUP($B127,INDIRECT($B$5&amp;"生成成长"),3))*(VLOOKUP($B$5,标准坦克设计!$B$14:$K$20,9)/30))</f>
        <v>17.551804005704927</v>
      </c>
      <c r="BV127" s="173">
        <f ca="1">(VLOOKUP(BV$72,INDIRECT($C$5&amp;"生成成长"),2))/((VLOOKUP($B127,INDIRECT($B$5&amp;"生成成长"),4))/(VLOOKUP(BV$72,INDIRECT($C$5&amp;"生成成长"),5))*(VLOOKUP($B$5,标准坦克设计!$B$24:$U$30,MATCH("对"&amp;LEFT($C$5,2)&amp;"输出",标准坦克设计!$B$23:$U$23,0)))*(VLOOKUP($B127,INDIRECT($B$5&amp;"生成成长"),3))*(VLOOKUP($B$5,标准坦克设计!$B$14:$K$20,9)/30))</f>
        <v>18.891166513118904</v>
      </c>
      <c r="BW127" s="173">
        <f ca="1">(VLOOKUP(BW$72,INDIRECT($C$5&amp;"生成成长"),2))/((VLOOKUP($B127,INDIRECT($B$5&amp;"生成成长"),4))/(VLOOKUP(BW$72,INDIRECT($C$5&amp;"生成成长"),5))*(VLOOKUP($B$5,标准坦克设计!$B$24:$U$30,MATCH("对"&amp;LEFT($C$5,2)&amp;"输出",标准坦克设计!$B$23:$U$23,0)))*(VLOOKUP($B127,INDIRECT($B$5&amp;"生成成长"),3))*(VLOOKUP($B$5,标准坦克设计!$B$14:$K$20,9)/30))</f>
        <v>8.6095896179704514</v>
      </c>
      <c r="BX127" s="173">
        <f ca="1">(VLOOKUP(BX$72,INDIRECT($C$5&amp;"生成成长"),2))/((VLOOKUP($B127,INDIRECT($B$5&amp;"生成成长"),4))/(VLOOKUP(BX$72,INDIRECT($C$5&amp;"生成成长"),5))*(VLOOKUP($B$5,标准坦克设计!$B$24:$U$30,MATCH("对"&amp;LEFT($C$5,2)&amp;"输出",标准坦克设计!$B$23:$U$23,0)))*(VLOOKUP($B127,INDIRECT($B$5&amp;"生成成长"),3))*(VLOOKUP($B$5,标准坦克设计!$B$14:$K$20,9)/30))</f>
        <v>9.5550219761450208</v>
      </c>
      <c r="BY127" s="173">
        <f ca="1">(VLOOKUP(BY$72,INDIRECT($C$5&amp;"生成成长"),2))/((VLOOKUP($B127,INDIRECT($B$5&amp;"生成成长"),4))/(VLOOKUP(BY$72,INDIRECT($C$5&amp;"生成成长"),5))*(VLOOKUP($B$5,标准坦克设计!$B$24:$U$30,MATCH("对"&amp;LEFT($C$5,2)&amp;"输出",标准坦克设计!$B$23:$U$23,0)))*(VLOOKUP($B127,INDIRECT($B$5&amp;"生成成长"),3))*(VLOOKUP($B$5,标准坦克设计!$B$14:$K$20,9)/30))</f>
        <v>10.549695602974516</v>
      </c>
      <c r="BZ127" s="173">
        <f ca="1">(VLOOKUP(BZ$72,INDIRECT($C$5&amp;"生成成长"),2))/((VLOOKUP($B127,INDIRECT($B$5&amp;"生成成长"),4))/(VLOOKUP(BZ$72,INDIRECT($C$5&amp;"生成成长"),5))*(VLOOKUP($B$5,标准坦克设计!$B$24:$U$30,MATCH("对"&amp;LEFT($C$5,2)&amp;"输出",标准坦克设计!$B$23:$U$23,0)))*(VLOOKUP($B127,INDIRECT($B$5&amp;"生成成长"),3))*(VLOOKUP($B$5,标准坦克设计!$B$14:$K$20,9)/30))</f>
        <v>11.593610498458938</v>
      </c>
      <c r="CA127" s="173">
        <f ca="1">(VLOOKUP(CA$72,INDIRECT($C$5&amp;"生成成长"),2))/((VLOOKUP($B127,INDIRECT($B$5&amp;"生成成长"),4))/(VLOOKUP(CA$72,INDIRECT($C$5&amp;"生成成长"),5))*(VLOOKUP($B$5,标准坦克设计!$B$24:$U$30,MATCH("对"&amp;LEFT($C$5,2)&amp;"输出",标准坦克设计!$B$23:$U$23,0)))*(VLOOKUP($B127,INDIRECT($B$5&amp;"生成成长"),3))*(VLOOKUP($B$5,标准坦克设计!$B$14:$K$20,9)/30))</f>
        <v>12.686766662598284</v>
      </c>
      <c r="CB127" s="173">
        <f ca="1">(VLOOKUP(CB$72,INDIRECT($C$5&amp;"生成成长"),2))/((VLOOKUP($B127,INDIRECT($B$5&amp;"生成成长"),4))/(VLOOKUP(CB$72,INDIRECT($C$5&amp;"生成成长"),5))*(VLOOKUP($B$5,标准坦克设计!$B$24:$U$30,MATCH("对"&amp;LEFT($C$5,2)&amp;"输出",标准坦克设计!$B$23:$U$23,0)))*(VLOOKUP($B127,INDIRECT($B$5&amp;"生成成长"),3))*(VLOOKUP($B$5,标准坦克设计!$B$14:$K$20,9)/30))</f>
        <v>13.829164095392555</v>
      </c>
      <c r="CC127" s="173">
        <f ca="1">(VLOOKUP(CC$72,INDIRECT($C$5&amp;"生成成长"),2))/((VLOOKUP($B127,INDIRECT($B$5&amp;"生成成长"),4))/(VLOOKUP(CC$72,INDIRECT($C$5&amp;"生成成长"),5))*(VLOOKUP($B$5,标准坦克设计!$B$24:$U$30,MATCH("对"&amp;LEFT($C$5,2)&amp;"输出",标准坦克设计!$B$23:$U$23,0)))*(VLOOKUP($B127,INDIRECT($B$5&amp;"生成成长"),3))*(VLOOKUP($B$5,标准坦克设计!$B$14:$K$20,9)/30))</f>
        <v>15.020802796841753</v>
      </c>
      <c r="CD127" s="173">
        <f ca="1">(VLOOKUP(CD$72,INDIRECT($C$5&amp;"生成成长"),2))/((VLOOKUP($B127,INDIRECT($B$5&amp;"生成成长"),4))/(VLOOKUP(CD$72,INDIRECT($C$5&amp;"生成成长"),5))*(VLOOKUP($B$5,标准坦克设计!$B$24:$U$30,MATCH("对"&amp;LEFT($C$5,2)&amp;"输出",标准坦克设计!$B$23:$U$23,0)))*(VLOOKUP($B127,INDIRECT($B$5&amp;"生成成长"),3))*(VLOOKUP($B$5,标准坦克设计!$B$14:$K$20,9)/30))</f>
        <v>16.261682766945878</v>
      </c>
      <c r="CE127" s="173">
        <f ca="1">(VLOOKUP(CE$72,INDIRECT($C$5&amp;"生成成长"),2))/((VLOOKUP($B127,INDIRECT($B$5&amp;"生成成长"),4))/(VLOOKUP(CE$72,INDIRECT($C$5&amp;"生成成长"),5))*(VLOOKUP($B$5,标准坦克设计!$B$24:$U$30,MATCH("对"&amp;LEFT($C$5,2)&amp;"输出",标准坦克设计!$B$23:$U$23,0)))*(VLOOKUP($B127,INDIRECT($B$5&amp;"生成成长"),3))*(VLOOKUP($B$5,标准坦克设计!$B$14:$K$20,9)/30))</f>
        <v>17.551804005704927</v>
      </c>
      <c r="CF127" s="173">
        <f ca="1">(VLOOKUP(CF$72,INDIRECT($C$5&amp;"生成成长"),2))/((VLOOKUP($B127,INDIRECT($B$5&amp;"生成成长"),4))/(VLOOKUP(CF$72,INDIRECT($C$5&amp;"生成成长"),5))*(VLOOKUP($B$5,标准坦克设计!$B$24:$U$30,MATCH("对"&amp;LEFT($C$5,2)&amp;"输出",标准坦克设计!$B$23:$U$23,0)))*(VLOOKUP($B127,INDIRECT($B$5&amp;"生成成长"),3))*(VLOOKUP($B$5,标准坦克设计!$B$14:$K$20,9)/30))</f>
        <v>18.891166513118904</v>
      </c>
      <c r="CG127" s="173">
        <f ca="1">(VLOOKUP(CG$72,INDIRECT($C$5&amp;"生成成长"),2))/((VLOOKUP($B127,INDIRECT($B$5&amp;"生成成长"),4))/(VLOOKUP(CG$72,INDIRECT($C$5&amp;"生成成长"),5))*(VLOOKUP($B$5,标准坦克设计!$B$24:$U$30,MATCH("对"&amp;LEFT($C$5,2)&amp;"输出",标准坦克设计!$B$23:$U$23,0)))*(VLOOKUP($B127,INDIRECT($B$5&amp;"生成成长"),3))*(VLOOKUP($B$5,标准坦克设计!$B$14:$K$20,9)/30))</f>
        <v>20.279770289187802</v>
      </c>
      <c r="CH127" s="173">
        <f ca="1">(VLOOKUP(CH$72,INDIRECT($C$5&amp;"生成成长"),2))/((VLOOKUP($B127,INDIRECT($B$5&amp;"生成成长"),4))/(VLOOKUP(CH$72,INDIRECT($C$5&amp;"生成成长"),5))*(VLOOKUP($B$5,标准坦克设计!$B$24:$U$30,MATCH("对"&amp;LEFT($C$5,2)&amp;"输出",标准坦克设计!$B$23:$U$23,0)))*(VLOOKUP($B127,INDIRECT($B$5&amp;"生成成长"),3))*(VLOOKUP($B$5,标准坦克设计!$B$14:$K$20,9)/30))</f>
        <v>21.71761533391162</v>
      </c>
      <c r="CI127" s="173">
        <f ca="1">(VLOOKUP(CI$72,INDIRECT($C$5&amp;"生成成长"),2))/((VLOOKUP($B127,INDIRECT($B$5&amp;"生成成长"),4))/(VLOOKUP(CI$72,INDIRECT($C$5&amp;"生成成长"),5))*(VLOOKUP($B$5,标准坦克设计!$B$24:$U$30,MATCH("对"&amp;LEFT($C$5,2)&amp;"输出",标准坦克设计!$B$23:$U$23,0)))*(VLOOKUP($B127,INDIRECT($B$5&amp;"生成成长"),3))*(VLOOKUP($B$5,标准坦克设计!$B$14:$K$20,9)/30))</f>
        <v>23.356118548404272</v>
      </c>
      <c r="CJ127" s="173">
        <f ca="1">(VLOOKUP(CJ$72,INDIRECT($C$5&amp;"生成成长"),2))/((VLOOKUP($B127,INDIRECT($B$5&amp;"生成成长"),4))/(VLOOKUP(CJ$72,INDIRECT($C$5&amp;"生成成长"),5))*(VLOOKUP($B$5,标准坦克设计!$B$24:$U$30,MATCH("对"&amp;LEFT($C$5,2)&amp;"输出",标准坦克设计!$B$23:$U$23,0)))*(VLOOKUP($B127,INDIRECT($B$5&amp;"生成成长"),3))*(VLOOKUP($B$5,标准坦克设计!$B$14:$K$20,9)/30))</f>
        <v>25.054203697969374</v>
      </c>
      <c r="CK127" s="173">
        <f ca="1">(VLOOKUP(CK$72,INDIRECT($C$5&amp;"生成成长"),2))/((VLOOKUP($B127,INDIRECT($B$5&amp;"生成成长"),4))/(VLOOKUP(CK$72,INDIRECT($C$5&amp;"生成成长"),5))*(VLOOKUP($B$5,标准坦克设计!$B$24:$U$30,MATCH("对"&amp;LEFT($C$5,2)&amp;"输出",标准坦克设计!$B$23:$U$23,0)))*(VLOOKUP($B127,INDIRECT($B$5&amp;"生成成长"),3))*(VLOOKUP($B$5,标准坦克设计!$B$14:$K$20,9)/30))</f>
        <v>26.811870782606945</v>
      </c>
      <c r="CL127" s="173">
        <f ca="1">(VLOOKUP(CL$72,INDIRECT($C$5&amp;"生成成长"),2))/((VLOOKUP($B127,INDIRECT($B$5&amp;"生成成长"),4))/(VLOOKUP(CL$72,INDIRECT($C$5&amp;"生成成长"),5))*(VLOOKUP($B$5,标准坦克设计!$B$24:$U$30,MATCH("对"&amp;LEFT($C$5,2)&amp;"输出",标准坦克设计!$B$23:$U$23,0)))*(VLOOKUP($B127,INDIRECT($B$5&amp;"生成成长"),3))*(VLOOKUP($B$5,标准坦克设计!$B$14:$K$20,9)/30))</f>
        <v>28.629119802316964</v>
      </c>
      <c r="CM127" s="173">
        <f ca="1">(VLOOKUP(CM$72,INDIRECT($C$5&amp;"生成成长"),2))/((VLOOKUP($B127,INDIRECT($B$5&amp;"生成成长"),4))/(VLOOKUP(CM$72,INDIRECT($C$5&amp;"生成成长"),5))*(VLOOKUP($B$5,标准坦克设计!$B$24:$U$30,MATCH("对"&amp;LEFT($C$5,2)&amp;"输出",标准坦克设计!$B$23:$U$23,0)))*(VLOOKUP($B127,INDIRECT($B$5&amp;"生成成长"),3))*(VLOOKUP($B$5,标准坦克设计!$B$14:$K$20,9)/30))</f>
        <v>30.505950757099455</v>
      </c>
      <c r="CN127" s="173">
        <f ca="1">(VLOOKUP(CN$72,INDIRECT($C$5&amp;"生成成长"),2))/((VLOOKUP($B127,INDIRECT($B$5&amp;"生成成长"),4))/(VLOOKUP(CN$72,INDIRECT($C$5&amp;"生成成长"),5))*(VLOOKUP($B$5,标准坦克设计!$B$24:$U$30,MATCH("对"&amp;LEFT($C$5,2)&amp;"输出",标准坦克设计!$B$23:$U$23,0)))*(VLOOKUP($B127,INDIRECT($B$5&amp;"生成成长"),3))*(VLOOKUP($B$5,标准坦克设计!$B$14:$K$20,9)/30))</f>
        <v>32.442363646954398</v>
      </c>
      <c r="CO127" s="173">
        <f ca="1">(VLOOKUP(CO$72,INDIRECT($C$5&amp;"生成成长"),2))/((VLOOKUP($B127,INDIRECT($B$5&amp;"生成成长"),4))/(VLOOKUP(CO$72,INDIRECT($C$5&amp;"生成成长"),5))*(VLOOKUP($B$5,标准坦克设计!$B$24:$U$30,MATCH("对"&amp;LEFT($C$5,2)&amp;"输出",标准坦克设计!$B$23:$U$23,0)))*(VLOOKUP($B127,INDIRECT($B$5&amp;"生成成长"),3))*(VLOOKUP($B$5,标准坦克设计!$B$14:$K$20,9)/30))</f>
        <v>14.538238364023485</v>
      </c>
      <c r="CP127" s="173">
        <f ca="1">(VLOOKUP(CP$72,INDIRECT($C$5&amp;"生成成长"),2))/((VLOOKUP($B127,INDIRECT($B$5&amp;"生成成长"),4))/(VLOOKUP(CP$72,INDIRECT($C$5&amp;"生成成长"),5))*(VLOOKUP($B$5,标准坦克设计!$B$24:$U$30,MATCH("对"&amp;LEFT($C$5,2)&amp;"输出",标准坦克设计!$B$23:$U$23,0)))*(VLOOKUP($B127,INDIRECT($B$5&amp;"生成成长"),3))*(VLOOKUP($B$5,标准坦克设计!$B$14:$K$20,9)/30))</f>
        <v>15.884248442705875</v>
      </c>
      <c r="CQ127" s="173">
        <f ca="1">(VLOOKUP(CQ$72,INDIRECT($C$5&amp;"生成成长"),2))/((VLOOKUP($B127,INDIRECT($B$5&amp;"生成成长"),4))/(VLOOKUP(CQ$72,INDIRECT($C$5&amp;"生成成长"),5))*(VLOOKUP($B$5,标准坦克设计!$B$24:$U$30,MATCH("对"&amp;LEFT($C$5,2)&amp;"输出",标准坦克设计!$B$23:$U$23,0)))*(VLOOKUP($B127,INDIRECT($B$5&amp;"生成成长"),3))*(VLOOKUP($B$5,标准坦克设计!$B$14:$K$20,9)/30))</f>
        <v>17.289840456460723</v>
      </c>
      <c r="CR127" s="173">
        <f ca="1">(VLOOKUP(CR$72,INDIRECT($C$5&amp;"生成成长"),2))/((VLOOKUP($B127,INDIRECT($B$5&amp;"生成成长"),4))/(VLOOKUP(CR$72,INDIRECT($C$5&amp;"生成成长"),5))*(VLOOKUP($B$5,标准坦克设计!$B$24:$U$30,MATCH("对"&amp;LEFT($C$5,2)&amp;"输出",标准坦克设计!$B$23:$U$23,0)))*(VLOOKUP($B127,INDIRECT($B$5&amp;"生成成长"),3))*(VLOOKUP($B$5,标准坦克设计!$B$14:$K$20,9)/30))</f>
        <v>18.75501440528803</v>
      </c>
      <c r="CS127" s="173">
        <f ca="1">(VLOOKUP(CS$72,INDIRECT($C$5&amp;"生成成长"),2))/((VLOOKUP($B127,INDIRECT($B$5&amp;"生成成长"),4))/(VLOOKUP(CS$72,INDIRECT($C$5&amp;"生成成长"),5))*(VLOOKUP($B$5,标准坦克设计!$B$24:$U$30,MATCH("对"&amp;LEFT($C$5,2)&amp;"输出",标准坦克设计!$B$23:$U$23,0)))*(VLOOKUP($B127,INDIRECT($B$5&amp;"生成成长"),3))*(VLOOKUP($B$5,标准坦克设计!$B$14:$K$20,9)/30))</f>
        <v>20.279770289187802</v>
      </c>
      <c r="CT127" s="173">
        <f ca="1">(VLOOKUP(CT$72,INDIRECT($C$5&amp;"生成成长"),2))/((VLOOKUP($B127,INDIRECT($B$5&amp;"生成成长"),4))/(VLOOKUP(CT$72,INDIRECT($C$5&amp;"生成成长"),5))*(VLOOKUP($B$5,标准坦克设计!$B$24:$U$30,MATCH("对"&amp;LEFT($C$5,2)&amp;"输出",标准坦克设计!$B$23:$U$23,0)))*(VLOOKUP($B127,INDIRECT($B$5&amp;"生成成长"),3))*(VLOOKUP($B$5,标准坦克设计!$B$14:$K$20,9)/30))</f>
        <v>21.864108108160028</v>
      </c>
      <c r="CU127" s="173">
        <f ca="1">(VLOOKUP(CU$72,INDIRECT($C$5&amp;"生成成长"),2))/((VLOOKUP($B127,INDIRECT($B$5&amp;"生成成长"),4))/(VLOOKUP(CU$72,INDIRECT($C$5&amp;"生成成长"),5))*(VLOOKUP($B$5,标准坦克设计!$B$24:$U$30,MATCH("对"&amp;LEFT($C$5,2)&amp;"输出",标准坦克设计!$B$23:$U$23,0)))*(VLOOKUP($B127,INDIRECT($B$5&amp;"生成成长"),3))*(VLOOKUP($B$5,标准坦克设计!$B$14:$K$20,9)/30))</f>
        <v>23.50802786220472</v>
      </c>
      <c r="CV127" s="173">
        <f ca="1">(VLOOKUP(CV$72,INDIRECT($C$5&amp;"生成成长"),2))/((VLOOKUP($B127,INDIRECT($B$5&amp;"生成成长"),4))/(VLOOKUP(CV$72,INDIRECT($C$5&amp;"生成成长"),5))*(VLOOKUP($B$5,标准坦克设计!$B$24:$U$30,MATCH("对"&amp;LEFT($C$5,2)&amp;"输出",标准坦克设计!$B$23:$U$23,0)))*(VLOOKUP($B127,INDIRECT($B$5&amp;"生成成长"),3))*(VLOOKUP($B$5,标准坦克设计!$B$14:$K$20,9)/30))</f>
        <v>25.211529551321867</v>
      </c>
      <c r="CW127" s="173">
        <f ca="1">(VLOOKUP(CW$72,INDIRECT($C$5&amp;"生成成长"),2))/((VLOOKUP($B127,INDIRECT($B$5&amp;"生成成长"),4))/(VLOOKUP(CW$72,INDIRECT($C$5&amp;"生成成长"),5))*(VLOOKUP($B$5,标准坦克设计!$B$24:$U$30,MATCH("对"&amp;LEFT($C$5,2)&amp;"输出",标准坦克设计!$B$23:$U$23,0)))*(VLOOKUP($B127,INDIRECT($B$5&amp;"生成成长"),3))*(VLOOKUP($B$5,标准坦克设计!$B$14:$K$20,9)/30))</f>
        <v>26.974613175511472</v>
      </c>
      <c r="CX127" s="173">
        <f ca="1">(VLOOKUP(CX$72,INDIRECT($C$5&amp;"生成成长"),2))/((VLOOKUP($B127,INDIRECT($B$5&amp;"生成成长"),4))/(VLOOKUP(CX$72,INDIRECT($C$5&amp;"生成成长"),5))*(VLOOKUP($B$5,标准坦克设计!$B$24:$U$30,MATCH("对"&amp;LEFT($C$5,2)&amp;"输出",标准坦克设计!$B$23:$U$23,0)))*(VLOOKUP($B127,INDIRECT($B$5&amp;"生成成长"),3))*(VLOOKUP($B$5,标准坦克设计!$B$14:$K$20,9)/30))</f>
        <v>28.797278734773545</v>
      </c>
      <c r="CY127" s="173">
        <f ca="1">(VLOOKUP(CY$72,INDIRECT($C$5&amp;"生成成长"),2))/((VLOOKUP($B127,INDIRECT($B$5&amp;"生成成长"),4))/(VLOOKUP(CY$72,INDIRECT($C$5&amp;"生成成长"),5))*(VLOOKUP($B$5,标准坦克设计!$B$24:$U$30,MATCH("对"&amp;LEFT($C$5,2)&amp;"输出",标准坦克设计!$B$23:$U$23,0)))*(VLOOKUP($B127,INDIRECT($B$5&amp;"生成成长"),3))*(VLOOKUP($B$5,标准坦克设计!$B$14:$K$20,9)/30))</f>
        <v>30.67952622910807</v>
      </c>
      <c r="CZ127" s="173">
        <f ca="1">(VLOOKUP(CZ$72,INDIRECT($C$5&amp;"生成成长"),2))/((VLOOKUP($B127,INDIRECT($B$5&amp;"生成成长"),4))/(VLOOKUP(CZ$72,INDIRECT($C$5&amp;"生成成长"),5))*(VLOOKUP($B$5,标准坦克设计!$B$24:$U$30,MATCH("对"&amp;LEFT($C$5,2)&amp;"输出",标准坦克设计!$B$23:$U$23,0)))*(VLOOKUP($B127,INDIRECT($B$5&amp;"生成成长"),3))*(VLOOKUP($B$5,标准坦克设计!$B$14:$K$20,9)/30))</f>
        <v>32.62135565851505</v>
      </c>
      <c r="DA127" s="173">
        <f ca="1">(VLOOKUP(DA$72,INDIRECT($C$5&amp;"生成成长"),2))/((VLOOKUP($B127,INDIRECT($B$5&amp;"生成成长"),4))/(VLOOKUP(DA$72,INDIRECT($C$5&amp;"生成成长"),5))*(VLOOKUP($B$5,标准坦克设计!$B$24:$U$30,MATCH("对"&amp;LEFT($C$5,2)&amp;"输出",标准坦克设计!$B$23:$U$23,0)))*(VLOOKUP($B127,INDIRECT($B$5&amp;"生成成长"),3))*(VLOOKUP($B$5,标准坦克设计!$B$14:$K$20,9)/30))</f>
        <v>34.622767022994509</v>
      </c>
      <c r="DB127" s="173">
        <f ca="1">(VLOOKUP(DB$72,INDIRECT($C$5&amp;"生成成长"),2))/((VLOOKUP($B127,INDIRECT($B$5&amp;"生成成长"),4))/(VLOOKUP(DB$72,INDIRECT($C$5&amp;"生成成长"),5))*(VLOOKUP($B$5,标准坦克设计!$B$24:$U$30,MATCH("对"&amp;LEFT($C$5,2)&amp;"输出",标准坦克设计!$B$23:$U$23,0)))*(VLOOKUP($B127,INDIRECT($B$5&amp;"生成成长"),3))*(VLOOKUP($B$5,标准坦克设计!$B$14:$K$20,9)/30))</f>
        <v>36.683760322546419</v>
      </c>
      <c r="DC127" s="173">
        <f ca="1">(VLOOKUP(DC$72,INDIRECT($C$5&amp;"生成成长"),2))/((VLOOKUP($B127,INDIRECT($B$5&amp;"生成成长"),4))/(VLOOKUP(DC$72,INDIRECT($C$5&amp;"生成成长"),5))*(VLOOKUP($B$5,标准坦克设计!$B$24:$U$30,MATCH("对"&amp;LEFT($C$5,2)&amp;"输出",标准坦克设计!$B$23:$U$23,0)))*(VLOOKUP($B127,INDIRECT($B$5&amp;"生成成长"),3))*(VLOOKUP($B$5,标准坦克设计!$B$14:$K$20,9)/30))</f>
        <v>39.000069600074113</v>
      </c>
      <c r="DD127" s="173">
        <f ca="1">(VLOOKUP(DD$72,INDIRECT($C$5&amp;"生成成长"),2))/((VLOOKUP($B127,INDIRECT($B$5&amp;"生成成长"),4))/(VLOOKUP(DD$72,INDIRECT($C$5&amp;"生成成长"),5))*(VLOOKUP($B$5,标准坦克设计!$B$24:$U$30,MATCH("对"&amp;LEFT($C$5,2)&amp;"输出",标准坦克设计!$B$23:$U$23,0)))*(VLOOKUP($B127,INDIRECT($B$5&amp;"生成成长"),3))*(VLOOKUP($B$5,标准坦克设计!$B$14:$K$20,9)/30))</f>
        <v>41.387286304464894</v>
      </c>
      <c r="DE127" s="173">
        <f ca="1">(VLOOKUP(DE$72,INDIRECT($C$5&amp;"生成成长"),2))/((VLOOKUP($B127,INDIRECT($B$5&amp;"生成成长"),4))/(VLOOKUP(DE$72,INDIRECT($C$5&amp;"生成成长"),5))*(VLOOKUP($B$5,标准坦克设计!$B$24:$U$30,MATCH("对"&amp;LEFT($C$5,2)&amp;"输出",标准坦克设计!$B$23:$U$23,0)))*(VLOOKUP($B127,INDIRECT($B$5&amp;"生成成长"),3))*(VLOOKUP($B$5,标准坦克设计!$B$14:$K$20,9)/30))</f>
        <v>43.845410435718783</v>
      </c>
      <c r="DF127" s="173">
        <f ca="1">(VLOOKUP(DF$72,INDIRECT($C$5&amp;"生成成长"),2))/((VLOOKUP($B127,INDIRECT($B$5&amp;"生成成长"),4))/(VLOOKUP(DF$72,INDIRECT($C$5&amp;"生成成长"),5))*(VLOOKUP($B$5,标准坦克设计!$B$24:$U$30,MATCH("对"&amp;LEFT($C$5,2)&amp;"输出",标准坦克设计!$B$23:$U$23,0)))*(VLOOKUP($B127,INDIRECT($B$5&amp;"生成成长"),3))*(VLOOKUP($B$5,标准坦克设计!$B$14:$K$20,9)/30))</f>
        <v>46.374441993835752</v>
      </c>
      <c r="DG127" s="173">
        <f ca="1">(VLOOKUP(DG$72,INDIRECT($C$5&amp;"生成成长"),2))/((VLOOKUP($B127,INDIRECT($B$5&amp;"生成成长"),4))/(VLOOKUP(DG$72,INDIRECT($C$5&amp;"生成成长"),5))*(VLOOKUP($B$5,标准坦克设计!$B$24:$U$30,MATCH("对"&amp;LEFT($C$5,2)&amp;"输出",标准坦克设计!$B$23:$U$23,0)))*(VLOOKUP($B127,INDIRECT($B$5&amp;"生成成长"),3))*(VLOOKUP($B$5,标准坦克设计!$B$14:$K$20,9)/30))</f>
        <v>48.974380978815816</v>
      </c>
      <c r="DH127" s="173">
        <f ca="1">(VLOOKUP(DH$72,INDIRECT($C$5&amp;"生成成长"),2))/((VLOOKUP($B127,INDIRECT($B$5&amp;"生成成长"),4))/(VLOOKUP(DH$72,INDIRECT($C$5&amp;"生成成长"),5))*(VLOOKUP($B$5,标准坦克设计!$B$24:$U$30,MATCH("对"&amp;LEFT($C$5,2)&amp;"输出",标准坦克设计!$B$23:$U$23,0)))*(VLOOKUP($B127,INDIRECT($B$5&amp;"生成成长"),3))*(VLOOKUP($B$5,标准坦克设计!$B$14:$K$20,9)/30))</f>
        <v>51.645227390658981</v>
      </c>
      <c r="DI127" s="173">
        <f ca="1">(VLOOKUP(DI$72,INDIRECT($C$5&amp;"生成成长"),2))/((VLOOKUP($B127,INDIRECT($B$5&amp;"生成成长"),4))/(VLOOKUP(DI$72,INDIRECT($C$5&amp;"生成成长"),5))*(VLOOKUP($B$5,标准坦克设计!$B$24:$U$30,MATCH("对"&amp;LEFT($C$5,2)&amp;"输出",标准坦克设计!$B$23:$U$23,0)))*(VLOOKUP($B127,INDIRECT($B$5&amp;"生成成长"),3))*(VLOOKUP($B$5,标准坦克设计!$B$14:$K$20,9)/30))</f>
        <v>54.386981229365247</v>
      </c>
      <c r="DJ127" s="173">
        <f ca="1">(VLOOKUP(DJ$72,INDIRECT($C$5&amp;"生成成长"),2))/((VLOOKUP($B127,INDIRECT($B$5&amp;"生成成长"),4))/(VLOOKUP(DJ$72,INDIRECT($C$5&amp;"生成成长"),5))*(VLOOKUP($B$5,标准坦克设计!$B$24:$U$30,MATCH("对"&amp;LEFT($C$5,2)&amp;"输出",标准坦克设计!$B$23:$U$23,0)))*(VLOOKUP($B127,INDIRECT($B$5&amp;"生成成长"),3))*(VLOOKUP($B$5,标准坦克设计!$B$14:$K$20,9)/30))</f>
        <v>5.4660270270400071</v>
      </c>
      <c r="DK127" s="173">
        <f ca="1">(VLOOKUP(DK$72,INDIRECT($C$5&amp;"生成成长"),2))/((VLOOKUP($B127,INDIRECT($B$5&amp;"生成成长"),4))/(VLOOKUP(DK$72,INDIRECT($C$5&amp;"生成成长"),5))*(VLOOKUP($B$5,标准坦克设计!$B$24:$U$30,MATCH("对"&amp;LEFT($C$5,2)&amp;"输出",标准坦克设计!$B$23:$U$23,0)))*(VLOOKUP($B127,INDIRECT($B$5&amp;"生成成长"),3))*(VLOOKUP($B$5,标准坦克设计!$B$14:$K$20,9)/30))</f>
        <v>6.1462951535078032</v>
      </c>
      <c r="DL127" s="173">
        <f ca="1">(VLOOKUP(DL$72,INDIRECT($C$5&amp;"生成成长"),2))/((VLOOKUP($B127,INDIRECT($B$5&amp;"生成成长"),4))/(VLOOKUP(DL$72,INDIRECT($C$5&amp;"生成成长"),5))*(VLOOKUP($B$5,标准坦克设计!$B$24:$U$30,MATCH("对"&amp;LEFT($C$5,2)&amp;"输出",标准坦克设计!$B$23:$U$23,0)))*(VLOOKUP($B127,INDIRECT($B$5&amp;"生成成长"),3))*(VLOOKUP($B$5,标准坦克设计!$B$14:$K$20,9)/30))</f>
        <v>6.8664487075860894</v>
      </c>
      <c r="DM127" s="173">
        <f ca="1">(VLOOKUP(DM$72,INDIRECT($C$5&amp;"生成成长"),2))/((VLOOKUP($B127,INDIRECT($B$5&amp;"生成成长"),4))/(VLOOKUP(DM$72,INDIRECT($C$5&amp;"生成成长"),5))*(VLOOKUP($B$5,标准坦克设计!$B$24:$U$30,MATCH("对"&amp;LEFT($C$5,2)&amp;"输出",标准坦克设计!$B$23:$U$23,0)))*(VLOOKUP($B127,INDIRECT($B$5&amp;"生成成长"),3))*(VLOOKUP($B$5,标准坦克设计!$B$14:$K$20,9)/30))</f>
        <v>7.6264876892748639</v>
      </c>
      <c r="DN127" s="173">
        <f ca="1">(VLOOKUP(DN$72,INDIRECT($C$5&amp;"生成成长"),2))/((VLOOKUP($B127,INDIRECT($B$5&amp;"生成成长"),4))/(VLOOKUP(DN$72,INDIRECT($C$5&amp;"生成成长"),5))*(VLOOKUP($B$5,标准坦克设计!$B$24:$U$30,MATCH("对"&amp;LEFT($C$5,2)&amp;"输出",标准坦克设计!$B$23:$U$23,0)))*(VLOOKUP($B127,INDIRECT($B$5&amp;"生成成长"),3))*(VLOOKUP($B$5,标准坦克设计!$B$14:$K$20,9)/30))</f>
        <v>8.4264120985741293</v>
      </c>
      <c r="DO127" s="173">
        <f ca="1">(VLOOKUP(DO$72,INDIRECT($C$5&amp;"生成成长"),2))/((VLOOKUP($B127,INDIRECT($B$5&amp;"生成成长"),4))/(VLOOKUP(DO$72,INDIRECT($C$5&amp;"生成成长"),5))*(VLOOKUP($B$5,标准坦克设计!$B$24:$U$30,MATCH("对"&amp;LEFT($C$5,2)&amp;"输出",标准坦克设计!$B$23:$U$23,0)))*(VLOOKUP($B127,INDIRECT($B$5&amp;"生成成长"),3))*(VLOOKUP($B$5,标准坦克设计!$B$14:$K$20,9)/30))</f>
        <v>9.266221935483884</v>
      </c>
      <c r="DP127" s="173">
        <f ca="1">(VLOOKUP(DP$72,INDIRECT($C$5&amp;"生成成长"),2))/((VLOOKUP($B127,INDIRECT($B$5&amp;"生成成长"),4))/(VLOOKUP(DP$72,INDIRECT($C$5&amp;"生成成长"),5))*(VLOOKUP($B$5,标准坦克设计!$B$24:$U$30,MATCH("对"&amp;LEFT($C$5,2)&amp;"输出",标准坦克设计!$B$23:$U$23,0)))*(VLOOKUP($B127,INDIRECT($B$5&amp;"生成成长"),3))*(VLOOKUP($B$5,标准坦克设计!$B$14:$K$20,9)/30))</f>
        <v>10.145917200004128</v>
      </c>
      <c r="DQ127" s="173">
        <f ca="1">(VLOOKUP(DQ$72,INDIRECT($C$5&amp;"生成成长"),2))/((VLOOKUP($B127,INDIRECT($B$5&amp;"生成成长"),4))/(VLOOKUP(DQ$72,INDIRECT($C$5&amp;"生成成长"),5))*(VLOOKUP($B$5,标准坦克设计!$B$24:$U$30,MATCH("对"&amp;LEFT($C$5,2)&amp;"输出",标准坦克设计!$B$23:$U$23,0)))*(VLOOKUP($B127,INDIRECT($B$5&amp;"生成成长"),3))*(VLOOKUP($B$5,标准坦克设计!$B$14:$K$20,9)/30))</f>
        <v>11.065497892134863</v>
      </c>
      <c r="DR127" s="173">
        <f ca="1">(VLOOKUP(DR$72,INDIRECT($C$5&amp;"生成成长"),2))/((VLOOKUP($B127,INDIRECT($B$5&amp;"生成成长"),4))/(VLOOKUP(DR$72,INDIRECT($C$5&amp;"生成成长"),5))*(VLOOKUP($B$5,标准坦克设计!$B$24:$U$30,MATCH("对"&amp;LEFT($C$5,2)&amp;"输出",标准坦克设计!$B$23:$U$23,0)))*(VLOOKUP($B127,INDIRECT($B$5&amp;"生成成长"),3))*(VLOOKUP($B$5,标准坦克设计!$B$14:$K$20,9)/30))</f>
        <v>12.024964011876085</v>
      </c>
      <c r="DS127" s="173">
        <f ca="1">(VLOOKUP(DS$72,INDIRECT($C$5&amp;"生成成长"),2))/((VLOOKUP($B127,INDIRECT($B$5&amp;"生成成长"),4))/(VLOOKUP(DS$72,INDIRECT($C$5&amp;"生成成长"),5))*(VLOOKUP($B$5,标准坦克设计!$B$24:$U$30,MATCH("对"&amp;LEFT($C$5,2)&amp;"输出",标准坦克设计!$B$23:$U$23,0)))*(VLOOKUP($B127,INDIRECT($B$5&amp;"生成成长"),3))*(VLOOKUP($B$5,标准坦克设计!$B$14:$K$20,9)/30))</f>
        <v>13.024315559227801</v>
      </c>
      <c r="DT127" s="173">
        <f ca="1">(VLOOKUP(DT$72,INDIRECT($C$5&amp;"生成成长"),2))/((VLOOKUP($B127,INDIRECT($B$5&amp;"生成成长"),4))/(VLOOKUP(DT$72,INDIRECT($C$5&amp;"生成成长"),5))*(VLOOKUP($B$5,标准坦克设计!$B$24:$U$30,MATCH("对"&amp;LEFT($C$5,2)&amp;"输出",标准坦克设计!$B$23:$U$23,0)))*(VLOOKUP($B127,INDIRECT($B$5&amp;"生成成长"),3))*(VLOOKUP($B$5,标准坦克设计!$B$14:$K$20,9)/30))</f>
        <v>14.299910623733648</v>
      </c>
      <c r="DU127" s="173">
        <f ca="1">(VLOOKUP(DU$72,INDIRECT($C$5&amp;"生成成长"),2))/((VLOOKUP($B127,INDIRECT($B$5&amp;"生成成长"),4))/(VLOOKUP(DU$72,INDIRECT($C$5&amp;"生成成长"),5))*(VLOOKUP($B$5,标准坦克设计!$B$24:$U$30,MATCH("对"&amp;LEFT($C$5,2)&amp;"输出",标准坦克设计!$B$23:$U$23,0)))*(VLOOKUP($B127,INDIRECT($B$5&amp;"生成成长"),3))*(VLOOKUP($B$5,标准坦克设计!$B$14:$K$20,9)/30))</f>
        <v>15.635087623311952</v>
      </c>
      <c r="DV127" s="173">
        <f ca="1">(VLOOKUP(DV$72,INDIRECT($C$5&amp;"生成成长"),2))/((VLOOKUP($B127,INDIRECT($B$5&amp;"生成成长"),4))/(VLOOKUP(DV$72,INDIRECT($C$5&amp;"生成成长"),5))*(VLOOKUP($B$5,标准坦克设计!$B$24:$U$30,MATCH("对"&amp;LEFT($C$5,2)&amp;"输出",标准坦克设计!$B$23:$U$23,0)))*(VLOOKUP($B127,INDIRECT($B$5&amp;"生成成长"),3))*(VLOOKUP($B$5,标准坦克设计!$B$14:$K$20,9)/30))</f>
        <v>17.029846557962717</v>
      </c>
      <c r="DW127" s="173">
        <f ca="1">(VLOOKUP(DW$72,INDIRECT($C$5&amp;"生成成长"),2))/((VLOOKUP($B127,INDIRECT($B$5&amp;"生成成长"),4))/(VLOOKUP(DW$72,INDIRECT($C$5&amp;"生成成长"),5))*(VLOOKUP($B$5,标准坦克设计!$B$24:$U$30,MATCH("对"&amp;LEFT($C$5,2)&amp;"输出",标准坦克设计!$B$23:$U$23,0)))*(VLOOKUP($B127,INDIRECT($B$5&amp;"生成成长"),3))*(VLOOKUP($B$5,标准坦克设计!$B$14:$K$20,9)/30))</f>
        <v>18.484187427685939</v>
      </c>
      <c r="DX127" s="173">
        <f ca="1">(VLOOKUP(DX$72,INDIRECT($C$5&amp;"生成成长"),2))/((VLOOKUP($B127,INDIRECT($B$5&amp;"生成成长"),4))/(VLOOKUP(DX$72,INDIRECT($C$5&amp;"生成成长"),5))*(VLOOKUP($B$5,标准坦克设计!$B$24:$U$30,MATCH("对"&amp;LEFT($C$5,2)&amp;"输出",标准坦克设计!$B$23:$U$23,0)))*(VLOOKUP($B127,INDIRECT($B$5&amp;"生成成长"),3))*(VLOOKUP($B$5,标准坦克设计!$B$14:$K$20,9)/30))</f>
        <v>19.998110232481626</v>
      </c>
      <c r="DY127" s="173">
        <f ca="1">(VLOOKUP(DY$72,INDIRECT($C$5&amp;"生成成长"),2))/((VLOOKUP($B127,INDIRECT($B$5&amp;"生成成长"),4))/(VLOOKUP(DY$72,INDIRECT($C$5&amp;"生成成长"),5))*(VLOOKUP($B$5,标准坦克设计!$B$24:$U$30,MATCH("对"&amp;LEFT($C$5,2)&amp;"输出",标准坦克设计!$B$23:$U$23,0)))*(VLOOKUP($B127,INDIRECT($B$5&amp;"生成成长"),3))*(VLOOKUP($B$5,标准坦克设计!$B$14:$K$20,9)/30))</f>
        <v>8.9818536090016909</v>
      </c>
      <c r="DZ127" s="173">
        <f ca="1">(VLOOKUP(DZ$72,INDIRECT($C$5&amp;"生成成长"),2))/((VLOOKUP($B127,INDIRECT($B$5&amp;"生成成长"),4))/(VLOOKUP(DZ$72,INDIRECT($C$5&amp;"生成成长"),5))*(VLOOKUP($B$5,标准坦克设计!$B$24:$U$30,MATCH("对"&amp;LEFT($C$5,2)&amp;"输出",标准坦克设计!$B$23:$U$23,0)))*(VLOOKUP($B127,INDIRECT($B$5&amp;"生成成长"),3))*(VLOOKUP($B$5,标准坦克设计!$B$14:$K$20,9)/30))</f>
        <v>9.9469824746382294</v>
      </c>
      <c r="EA127" s="173">
        <f ca="1">(VLOOKUP(EA$72,INDIRECT($C$5&amp;"生成成长"),2))/((VLOOKUP($B127,INDIRECT($B$5&amp;"生成成长"),4))/(VLOOKUP(EA$72,INDIRECT($C$5&amp;"生成成长"),5))*(VLOOKUP($B$5,标准坦克设计!$B$24:$U$30,MATCH("对"&amp;LEFT($C$5,2)&amp;"输出",标准坦克设计!$B$23:$U$23,0)))*(VLOOKUP($B127,INDIRECT($B$5&amp;"生成成长"),3))*(VLOOKUP($B$5,标准坦克设计!$B$14:$K$20,9)/30))</f>
        <v>10.961352608929696</v>
      </c>
      <c r="EB127" s="173">
        <f ca="1">(VLOOKUP(EB$72,INDIRECT($C$5&amp;"生成成长"),2))/((VLOOKUP($B127,INDIRECT($B$5&amp;"生成成长"),4))/(VLOOKUP(EB$72,INDIRECT($C$5&amp;"生成成长"),5))*(VLOOKUP($B$5,标准坦克设计!$B$24:$U$30,MATCH("对"&amp;LEFT($C$5,2)&amp;"输出",标准坦克设计!$B$23:$U$23,0)))*(VLOOKUP($B127,INDIRECT($B$5&amp;"生成成长"),3))*(VLOOKUP($B$5,标准坦克设计!$B$14:$K$20,9)/30))</f>
        <v>12.024964011876085</v>
      </c>
      <c r="EC127" s="173">
        <f ca="1">(VLOOKUP(EC$72,INDIRECT($C$5&amp;"生成成长"),2))/((VLOOKUP($B127,INDIRECT($B$5&amp;"生成成长"),4))/(VLOOKUP(EC$72,INDIRECT($C$5&amp;"生成成长"),5))*(VLOOKUP($B$5,标准坦克设计!$B$24:$U$30,MATCH("对"&amp;LEFT($C$5,2)&amp;"输出",标准坦克设计!$B$23:$U$23,0)))*(VLOOKUP($B127,INDIRECT($B$5&amp;"生成成长"),3))*(VLOOKUP($B$5,标准坦克设计!$B$14:$K$20,9)/30))</f>
        <v>13.137816683477402</v>
      </c>
      <c r="ED127" s="173">
        <f ca="1">(VLOOKUP(ED$72,INDIRECT($C$5&amp;"生成成长"),2))/((VLOOKUP($B127,INDIRECT($B$5&amp;"生成成长"),4))/(VLOOKUP(ED$72,INDIRECT($C$5&amp;"生成成长"),5))*(VLOOKUP($B$5,标准坦克设计!$B$24:$U$30,MATCH("对"&amp;LEFT($C$5,2)&amp;"输出",标准坦克设计!$B$23:$U$23,0)))*(VLOOKUP($B127,INDIRECT($B$5&amp;"生成成长"),3))*(VLOOKUP($B$5,标准坦克设计!$B$14:$K$20,9)/30))</f>
        <v>14.299910623733648</v>
      </c>
      <c r="EE127" s="173">
        <f ca="1">(VLOOKUP(EE$72,INDIRECT($C$5&amp;"生成成长"),2))/((VLOOKUP($B127,INDIRECT($B$5&amp;"生成成长"),4))/(VLOOKUP(EE$72,INDIRECT($C$5&amp;"生成成长"),5))*(VLOOKUP($B$5,标准坦克设计!$B$24:$U$30,MATCH("对"&amp;LEFT($C$5,2)&amp;"输出",标准坦克设计!$B$23:$U$23,0)))*(VLOOKUP($B127,INDIRECT($B$5&amp;"生成成长"),3))*(VLOOKUP($B$5,标准坦克设计!$B$14:$K$20,9)/30))</f>
        <v>15.511245832644812</v>
      </c>
      <c r="EF127" s="173">
        <f ca="1">(VLOOKUP(EF$72,INDIRECT($C$5&amp;"生成成长"),2))/((VLOOKUP($B127,INDIRECT($B$5&amp;"生成成长"),4))/(VLOOKUP(EF$72,INDIRECT($C$5&amp;"生成成长"),5))*(VLOOKUP($B$5,标准坦克设计!$B$24:$U$30,MATCH("对"&amp;LEFT($C$5,2)&amp;"输出",标准坦克设计!$B$23:$U$23,0)))*(VLOOKUP($B127,INDIRECT($B$5&amp;"生成成长"),3))*(VLOOKUP($B$5,标准坦克设计!$B$14:$K$20,9)/30))</f>
        <v>16.771822310210908</v>
      </c>
      <c r="EG127" s="173">
        <f ca="1">(VLOOKUP(EG$72,INDIRECT($C$5&amp;"生成成长"),2))/((VLOOKUP($B127,INDIRECT($B$5&amp;"生成成长"),4))/(VLOOKUP(EG$72,INDIRECT($C$5&amp;"生成成长"),5))*(VLOOKUP($B$5,标准坦克设计!$B$24:$U$30,MATCH("对"&amp;LEFT($C$5,2)&amp;"输出",标准坦克设计!$B$23:$U$23,0)))*(VLOOKUP($B127,INDIRECT($B$5&amp;"生成成长"),3))*(VLOOKUP($B$5,标准坦克设计!$B$14:$K$20,9)/30))</f>
        <v>18.081640056431926</v>
      </c>
      <c r="EH127" s="173">
        <f ca="1">(VLOOKUP(EH$72,INDIRECT($C$5&amp;"生成成长"),2))/((VLOOKUP($B127,INDIRECT($B$5&amp;"生成成长"),4))/(VLOOKUP(EH$72,INDIRECT($C$5&amp;"生成成长"),5))*(VLOOKUP($B$5,标准坦克设计!$B$24:$U$30,MATCH("对"&amp;LEFT($C$5,2)&amp;"输出",标准坦克设计!$B$23:$U$23,0)))*(VLOOKUP($B127,INDIRECT($B$5&amp;"生成成长"),3))*(VLOOKUP($B$5,标准坦克设计!$B$14:$K$20,9)/30))</f>
        <v>19.440699071307872</v>
      </c>
      <c r="EI127" s="173">
        <f ca="1">(VLOOKUP(EI$72,INDIRECT($C$5&amp;"生成成长"),2))/((VLOOKUP($B127,INDIRECT($B$5&amp;"生成成长"),4))/(VLOOKUP(EI$72,INDIRECT($C$5&amp;"生成成长"),5))*(VLOOKUP($B$5,标准坦克设计!$B$24:$U$30,MATCH("对"&amp;LEFT($C$5,2)&amp;"输出",标准坦克设计!$B$23:$U$23,0)))*(VLOOKUP($B127,INDIRECT($B$5&amp;"生成成长"),3))*(VLOOKUP($B$5,标准坦克设计!$B$14:$K$20,9)/30))</f>
        <v>20.848999354838739</v>
      </c>
      <c r="EJ127" s="173">
        <f ca="1">(VLOOKUP(EJ$72,INDIRECT($C$5&amp;"生成成长"),2))/((VLOOKUP($B127,INDIRECT($B$5&amp;"生成成长"),4))/(VLOOKUP(EJ$72,INDIRECT($C$5&amp;"生成成长"),5))*(VLOOKUP($B$5,标准坦克设计!$B$24:$U$30,MATCH("对"&amp;LEFT($C$5,2)&amp;"输出",标准坦克设计!$B$23:$U$23,0)))*(VLOOKUP($B127,INDIRECT($B$5&amp;"生成成长"),3))*(VLOOKUP($B$5,标准坦克设计!$B$14:$K$20,9)/30))</f>
        <v>22.306540907024537</v>
      </c>
      <c r="EK127" s="173">
        <f ca="1">(VLOOKUP(EK$72,INDIRECT($C$5&amp;"生成成长"),2))/((VLOOKUP($B127,INDIRECT($B$5&amp;"生成成长"),4))/(VLOOKUP(EK$72,INDIRECT($C$5&amp;"生成成长"),5))*(VLOOKUP($B$5,标准坦克设计!$B$24:$U$30,MATCH("对"&amp;LEFT($C$5,2)&amp;"输出",标准坦克设计!$B$23:$U$23,0)))*(VLOOKUP($B127,INDIRECT($B$5&amp;"生成成长"),3))*(VLOOKUP($B$5,标准坦克设计!$B$14:$K$20,9)/30))</f>
        <v>24.12058924427199</v>
      </c>
      <c r="EL127" s="173">
        <f ca="1">(VLOOKUP(EL$72,INDIRECT($C$5&amp;"生成成长"),2))/((VLOOKUP($B127,INDIRECT($B$5&amp;"生成成长"),4))/(VLOOKUP(EL$72,INDIRECT($C$5&amp;"生成成长"),5))*(VLOOKUP($B$5,标准坦克设计!$B$24:$U$30,MATCH("对"&amp;LEFT($C$5,2)&amp;"输出",标准坦克设计!$B$23:$U$23,0)))*(VLOOKUP($B127,INDIRECT($B$5&amp;"生成成长"),3))*(VLOOKUP($B$5,标准坦克设计!$B$14:$K$20,9)/30))</f>
        <v>26.005545008382537</v>
      </c>
      <c r="EM127" s="173">
        <f ca="1">(VLOOKUP(EM$72,INDIRECT($C$5&amp;"生成成长"),2))/((VLOOKUP($B127,INDIRECT($B$5&amp;"生成成长"),4))/(VLOOKUP(EM$72,INDIRECT($C$5&amp;"生成成长"),5))*(VLOOKUP($B$5,标准坦克设计!$B$24:$U$30,MATCH("对"&amp;LEFT($C$5,2)&amp;"输出",标准坦克设计!$B$23:$U$23,0)))*(VLOOKUP($B127,INDIRECT($B$5&amp;"生成成长"),3))*(VLOOKUP($B$5,标准坦克设计!$B$14:$K$20,9)/30))</f>
        <v>27.961408199356182</v>
      </c>
      <c r="EN127" s="173">
        <f ca="1">(VLOOKUP(EN$72,INDIRECT($C$5&amp;"生成成长"),2))/((VLOOKUP($B127,INDIRECT($B$5&amp;"生成成长"),4))/(VLOOKUP(EN$72,INDIRECT($C$5&amp;"生成成长"),5))*(VLOOKUP($B$5,标准坦克设计!$B$24:$U$30,MATCH("对"&amp;LEFT($C$5,2)&amp;"输出",标准坦克设计!$B$23:$U$23,0)))*(VLOOKUP($B127,INDIRECT($B$5&amp;"生成成长"),3))*(VLOOKUP($B$5,标准坦克设计!$B$14:$K$20,9)/30))</f>
        <v>29.988178817192914</v>
      </c>
      <c r="EO127" s="173">
        <f ca="1">(VLOOKUP(EO$72,INDIRECT($C$5&amp;"生成成长"),2))/((VLOOKUP($B127,INDIRECT($B$5&amp;"生成成长"),4))/(VLOOKUP(EO$72,INDIRECT($C$5&amp;"生成成长"),5))*(VLOOKUP($B$5,标准坦克设计!$B$24:$U$30,MATCH("对"&amp;LEFT($C$5,2)&amp;"输出",标准坦克设计!$B$23:$U$23,0)))*(VLOOKUP($B127,INDIRECT($B$5&amp;"生成成长"),3))*(VLOOKUP($B$5,标准坦克设计!$B$14:$K$20,9)/30))</f>
        <v>32.085856861892744</v>
      </c>
      <c r="EP127" s="173">
        <f ca="1">(VLOOKUP(EP$72,INDIRECT($C$5&amp;"生成成长"),2))/((VLOOKUP($B127,INDIRECT($B$5&amp;"生成成长"),4))/(VLOOKUP(EP$72,INDIRECT($C$5&amp;"生成成长"),5))*(VLOOKUP($B$5,标准坦克设计!$B$24:$U$30,MATCH("对"&amp;LEFT($C$5,2)&amp;"输出",标准坦克设计!$B$23:$U$23,0)))*(VLOOKUP($B127,INDIRECT($B$5&amp;"生成成长"),3))*(VLOOKUP($B$5,标准坦克设计!$B$14:$K$20,9)/30))</f>
        <v>34.254442333455664</v>
      </c>
      <c r="EQ127" s="173">
        <f ca="1">(VLOOKUP(EQ$72,INDIRECT($C$5&amp;"生成成长"),2))/((VLOOKUP($B127,INDIRECT($B$5&amp;"生成成长"),4))/(VLOOKUP(EQ$72,INDIRECT($C$5&amp;"生成成长"),5))*(VLOOKUP($B$5,标准坦克设计!$B$24:$U$30,MATCH("对"&amp;LEFT($C$5,2)&amp;"输出",标准坦克设计!$B$23:$U$23,0)))*(VLOOKUP($B127,INDIRECT($B$5&amp;"生成成长"),3))*(VLOOKUP($B$5,标准坦克设计!$B$14:$K$20,9)/30))</f>
        <v>15.142674936762695</v>
      </c>
      <c r="ER127" s="173">
        <f ca="1">(VLOOKUP(ER$72,INDIRECT($C$5&amp;"生成成长"),2))/((VLOOKUP($B127,INDIRECT($B$5&amp;"生成成长"),4))/(VLOOKUP(ER$72,INDIRECT($C$5&amp;"生成成长"),5))*(VLOOKUP($B$5,标准坦克设计!$B$24:$U$30,MATCH("对"&amp;LEFT($C$5,2)&amp;"输出",标准坦克设计!$B$23:$U$23,0)))*(VLOOKUP($B127,INDIRECT($B$5&amp;"生成成长"),3))*(VLOOKUP($B$5,标准坦克设计!$B$14:$K$20,9)/30))</f>
        <v>16.515767713205292</v>
      </c>
      <c r="ES127" s="173">
        <f ca="1">(VLOOKUP(ES$72,INDIRECT($C$5&amp;"生成成长"),2))/((VLOOKUP($B127,INDIRECT($B$5&amp;"生成成长"),4))/(VLOOKUP(ES$72,INDIRECT($C$5&amp;"生成成长"),5))*(VLOOKUP($B$5,标准坦克设计!$B$24:$U$30,MATCH("对"&amp;LEFT($C$5,2)&amp;"输出",标准坦克设计!$B$23:$U$23,0)))*(VLOOKUP($B127,INDIRECT($B$5&amp;"生成成长"),3))*(VLOOKUP($B$5,标准坦克设计!$B$14:$K$20,9)/30))</f>
        <v>17.948442424720351</v>
      </c>
      <c r="ET127" s="173">
        <f ca="1">(VLOOKUP(ET$72,INDIRECT($C$5&amp;"生成成长"),2))/((VLOOKUP($B127,INDIRECT($B$5&amp;"生成成长"),4))/(VLOOKUP(ET$72,INDIRECT($C$5&amp;"生成成长"),5))*(VLOOKUP($B$5,标准坦克设计!$B$24:$U$30,MATCH("对"&amp;LEFT($C$5,2)&amp;"输出",标准坦克设计!$B$23:$U$23,0)))*(VLOOKUP($B127,INDIRECT($B$5&amp;"生成成长"),3))*(VLOOKUP($B$5,标准坦克设计!$B$14:$K$20,9)/30))</f>
        <v>19.440699071307872</v>
      </c>
      <c r="EU127" s="173">
        <f ca="1">(VLOOKUP(EU$72,INDIRECT($C$5&amp;"生成成长"),2))/((VLOOKUP($B127,INDIRECT($B$5&amp;"生成成长"),4))/(VLOOKUP(EU$72,INDIRECT($C$5&amp;"生成成长"),5))*(VLOOKUP($B$5,标准坦克设计!$B$24:$U$30,MATCH("对"&amp;LEFT($C$5,2)&amp;"输出",标准坦克设计!$B$23:$U$23,0)))*(VLOOKUP($B127,INDIRECT($B$5&amp;"生成成长"),3))*(VLOOKUP($B$5,标准坦克设计!$B$14:$K$20,9)/30))</f>
        <v>20.992537652967851</v>
      </c>
      <c r="EV127" s="173">
        <f ca="1">(VLOOKUP(EV$72,INDIRECT($C$5&amp;"生成成长"),2))/((VLOOKUP($B127,INDIRECT($B$5&amp;"生成成长"),4))/(VLOOKUP(EV$72,INDIRECT($C$5&amp;"生成成长"),5))*(VLOOKUP($B$5,标准坦克设计!$B$24:$U$30,MATCH("对"&amp;LEFT($C$5,2)&amp;"输出",标准坦克设计!$B$23:$U$23,0)))*(VLOOKUP($B127,INDIRECT($B$5&amp;"生成成长"),3))*(VLOOKUP($B$5,标准坦克设计!$B$14:$K$20,9)/30))</f>
        <v>22.603958169700284</v>
      </c>
      <c r="EW127" s="173">
        <f ca="1">(VLOOKUP(EW$72,INDIRECT($C$5&amp;"生成成长"),2))/((VLOOKUP($B127,INDIRECT($B$5&amp;"生成成长"),4))/(VLOOKUP(EW$72,INDIRECT($C$5&amp;"生成成长"),5))*(VLOOKUP($B$5,标准坦克设计!$B$24:$U$30,MATCH("对"&amp;LEFT($C$5,2)&amp;"输出",标准坦克设计!$B$23:$U$23,0)))*(VLOOKUP($B127,INDIRECT($B$5&amp;"生成成长"),3))*(VLOOKUP($B$5,标准坦克设计!$B$14:$K$20,9)/30))</f>
        <v>24.27496062150518</v>
      </c>
      <c r="EX127" s="173">
        <f ca="1">(VLOOKUP(EX$72,INDIRECT($C$5&amp;"生成成长"),2))/((VLOOKUP($B127,INDIRECT($B$5&amp;"生成成长"),4))/(VLOOKUP(EX$72,INDIRECT($C$5&amp;"生成成长"),5))*(VLOOKUP($B$5,标准坦克设计!$B$24:$U$30,MATCH("对"&amp;LEFT($C$5,2)&amp;"输出",标准坦克设计!$B$23:$U$23,0)))*(VLOOKUP($B127,INDIRECT($B$5&amp;"生成成长"),3))*(VLOOKUP($B$5,标准坦克设计!$B$14:$K$20,9)/30))</f>
        <v>26.005545008382537</v>
      </c>
      <c r="EY127" s="173">
        <f ca="1">(VLOOKUP(EY$72,INDIRECT($C$5&amp;"生成成长"),2))/((VLOOKUP($B127,INDIRECT($B$5&amp;"生成成长"),4))/(VLOOKUP(EY$72,INDIRECT($C$5&amp;"生成成长"),5))*(VLOOKUP($B$5,标准坦克设计!$B$24:$U$30,MATCH("对"&amp;LEFT($C$5,2)&amp;"输出",标准坦克设计!$B$23:$U$23,0)))*(VLOOKUP($B127,INDIRECT($B$5&amp;"生成成长"),3))*(VLOOKUP($B$5,标准坦克设计!$B$14:$K$20,9)/30))</f>
        <v>27.795711330332356</v>
      </c>
      <c r="EZ127" s="173">
        <f ca="1">(VLOOKUP(EZ$72,INDIRECT($C$5&amp;"生成成长"),2))/((VLOOKUP($B127,INDIRECT($B$5&amp;"生成成长"),4))/(VLOOKUP(EZ$72,INDIRECT($C$5&amp;"生成成长"),5))*(VLOOKUP($B$5,标准坦克设计!$B$24:$U$30,MATCH("对"&amp;LEFT($C$5,2)&amp;"输出",标准坦克设计!$B$23:$U$23,0)))*(VLOOKUP($B127,INDIRECT($B$5&amp;"生成成长"),3))*(VLOOKUP($B$5,标准坦克设计!$B$14:$K$20,9)/30))</f>
        <v>29.64545958735463</v>
      </c>
      <c r="FA127" s="173">
        <f ca="1">(VLOOKUP(FA$72,INDIRECT($C$5&amp;"生成成长"),2))/((VLOOKUP($B127,INDIRECT($B$5&amp;"生成成长"),4))/(VLOOKUP(FA$72,INDIRECT($C$5&amp;"生成成长"),5))*(VLOOKUP($B$5,标准坦克设计!$B$24:$U$30,MATCH("对"&amp;LEFT($C$5,2)&amp;"输出",标准坦克设计!$B$23:$U$23,0)))*(VLOOKUP($B127,INDIRECT($B$5&amp;"生成成长"),3))*(VLOOKUP($B$5,标准坦克设计!$B$14:$K$20,9)/30))</f>
        <v>31.554789779449372</v>
      </c>
      <c r="FB127" s="173">
        <f ca="1">(VLOOKUP(FB$72,INDIRECT($C$5&amp;"生成成长"),2))/((VLOOKUP($B127,INDIRECT($B$5&amp;"生成成长"),4))/(VLOOKUP(FB$72,INDIRECT($C$5&amp;"生成成长"),5))*(VLOOKUP($B$5,标准坦克设计!$B$24:$U$30,MATCH("对"&amp;LEFT($C$5,2)&amp;"输出",标准坦克设计!$B$23:$U$23,0)))*(VLOOKUP($B127,INDIRECT($B$5&amp;"生成成长"),3))*(VLOOKUP($B$5,标准坦克设计!$B$14:$K$20,9)/30))</f>
        <v>33.523701906616566</v>
      </c>
      <c r="FC127" s="173">
        <f ca="1">(VLOOKUP(FC$72,INDIRECT($C$5&amp;"生成成长"),2))/((VLOOKUP($B127,INDIRECT($B$5&amp;"生成成长"),4))/(VLOOKUP(FC$72,INDIRECT($C$5&amp;"生成成长"),5))*(VLOOKUP($B$5,标准坦克设计!$B$24:$U$30,MATCH("对"&amp;LEFT($C$5,2)&amp;"输出",标准坦克设计!$B$23:$U$23,0)))*(VLOOKUP($B127,INDIRECT($B$5&amp;"生成成长"),3))*(VLOOKUP($B$5,标准坦克设计!$B$14:$K$20,9)/30))</f>
        <v>35.552195968856225</v>
      </c>
      <c r="FD127" s="173">
        <f ca="1">(VLOOKUP(FD$72,INDIRECT($C$5&amp;"生成成长"),2))/((VLOOKUP($B127,INDIRECT($B$5&amp;"生成成长"),4))/(VLOOKUP(FD$72,INDIRECT($C$5&amp;"生成成长"),5))*(VLOOKUP($B$5,标准坦克设计!$B$24:$U$30,MATCH("对"&amp;LEFT($C$5,2)&amp;"输出",标准坦克设计!$B$23:$U$23,0)))*(VLOOKUP($B127,INDIRECT($B$5&amp;"生成成长"),3))*(VLOOKUP($B$5,标准坦克设计!$B$14:$K$20,9)/30))</f>
        <v>37.640271966168342</v>
      </c>
      <c r="FE127" s="173">
        <f ca="1">(VLOOKUP(FE$72,INDIRECT($C$5&amp;"生成成长"),2))/((VLOOKUP($B127,INDIRECT($B$5&amp;"生成成长"),4))/(VLOOKUP(FE$72,INDIRECT($C$5&amp;"生成成长"),5))*(VLOOKUP($B$5,标准坦克设计!$B$24:$U$30,MATCH("对"&amp;LEFT($C$5,2)&amp;"输出",标准坦克设计!$B$23:$U$23,0)))*(VLOOKUP($B127,INDIRECT($B$5&amp;"生成成长"),3))*(VLOOKUP($B$5,标准坦克设计!$B$14:$K$20,9)/30))</f>
        <v>40.184814523911612</v>
      </c>
      <c r="FF127" s="173">
        <f ca="1">(VLOOKUP(FF$72,INDIRECT($C$5&amp;"生成成长"),2))/((VLOOKUP($B127,INDIRECT($B$5&amp;"生成成长"),4))/(VLOOKUP(FF$72,INDIRECT($C$5&amp;"生成成长"),5))*(VLOOKUP($B$5,标准坦克设计!$B$24:$U$30,MATCH("对"&amp;LEFT($C$5,2)&amp;"输出",标准坦克设计!$B$23:$U$23,0)))*(VLOOKUP($B127,INDIRECT($B$5&amp;"生成成长"),3))*(VLOOKUP($B$5,标准坦克设计!$B$14:$K$20,9)/30))</f>
        <v>42.812574825681715</v>
      </c>
      <c r="FG127" s="173">
        <f ca="1">(VLOOKUP(FG$72,INDIRECT($C$5&amp;"生成成长"),2))/((VLOOKUP($B127,INDIRECT($B$5&amp;"生成成长"),4))/(VLOOKUP(FG$72,INDIRECT($C$5&amp;"生成成长"),5))*(VLOOKUP($B$5,标准坦克设计!$B$24:$U$30,MATCH("对"&amp;LEFT($C$5,2)&amp;"输出",标准坦克设计!$B$23:$U$23,0)))*(VLOOKUP($B127,INDIRECT($B$5&amp;"生成成长"),3))*(VLOOKUP($B$5,标准坦克设计!$B$14:$K$20,9)/30))</f>
        <v>45.523552871478635</v>
      </c>
      <c r="FH127" s="173">
        <f ca="1">(VLOOKUP(FH$72,INDIRECT($C$5&amp;"生成成长"),2))/((VLOOKUP($B127,INDIRECT($B$5&amp;"生成成长"),4))/(VLOOKUP(FH$72,INDIRECT($C$5&amp;"生成成长"),5))*(VLOOKUP($B$5,标准坦克设计!$B$24:$U$30,MATCH("对"&amp;LEFT($C$5,2)&amp;"输出",标准坦克设计!$B$23:$U$23,0)))*(VLOOKUP($B127,INDIRECT($B$5&amp;"生成成长"),3))*(VLOOKUP($B$5,标准坦克设计!$B$14:$K$20,9)/30))</f>
        <v>48.317748661302382</v>
      </c>
      <c r="FI127" s="173">
        <f ca="1">(VLOOKUP(FI$72,INDIRECT($C$5&amp;"生成成长"),2))/((VLOOKUP($B127,INDIRECT($B$5&amp;"生成成长"),4))/(VLOOKUP(FI$72,INDIRECT($C$5&amp;"生成成长"),5))*(VLOOKUP($B$5,标准坦克设计!$B$24:$U$30,MATCH("对"&amp;LEFT($C$5,2)&amp;"输出",标准坦克设计!$B$23:$U$23,0)))*(VLOOKUP($B127,INDIRECT($B$5&amp;"生成成长"),3))*(VLOOKUP($B$5,标准坦克设计!$B$14:$K$20,9)/30))</f>
        <v>51.195162195152967</v>
      </c>
      <c r="FJ127" s="173">
        <f ca="1">(VLOOKUP(FJ$72,INDIRECT($C$5&amp;"生成成长"),2))/((VLOOKUP($B127,INDIRECT($B$5&amp;"生成成长"),4))/(VLOOKUP(FJ$72,INDIRECT($C$5&amp;"生成成长"),5))*(VLOOKUP($B$5,标准坦克设计!$B$24:$U$30,MATCH("对"&amp;LEFT($C$5,2)&amp;"输出",标准坦克设计!$B$23:$U$23,0)))*(VLOOKUP($B127,INDIRECT($B$5&amp;"生成成长"),3))*(VLOOKUP($B$5,标准坦克设计!$B$14:$K$20,9)/30))</f>
        <v>54.155793473030364</v>
      </c>
      <c r="FK127" s="173">
        <f ca="1">(VLOOKUP(FK$72,INDIRECT($C$5&amp;"生成成长"),2))/((VLOOKUP($B127,INDIRECT($B$5&amp;"生成成长"),4))/(VLOOKUP(FK$72,INDIRECT($C$5&amp;"生成成长"),5))*(VLOOKUP($B$5,标准坦克设计!$B$24:$U$30,MATCH("对"&amp;LEFT($C$5,2)&amp;"输出",标准坦克设计!$B$23:$U$23,0)))*(VLOOKUP($B127,INDIRECT($B$5&amp;"生成成长"),3))*(VLOOKUP($B$5,标准坦克设计!$B$14:$K$20,9)/30))</f>
        <v>57.199642494934594</v>
      </c>
    </row>
    <row r="128" spans="1:167" x14ac:dyDescent="0.15">
      <c r="A128" s="171" t="str">
        <f t="shared" si="11"/>
        <v>T2中品质11级</v>
      </c>
      <c r="B128" s="172">
        <v>20211</v>
      </c>
      <c r="C128" s="173">
        <f ca="1">(VLOOKUP(C$72,INDIRECT($C$5&amp;"生成成长"),2))/((VLOOKUP($B128,INDIRECT($B$5&amp;"生成成长"),4))/(VLOOKUP(C$72,INDIRECT($C$5&amp;"生成成长"),5))*(VLOOKUP($B$5,标准坦克设计!$B$24:$U$30,MATCH("对"&amp;LEFT($C$5,2)&amp;"输出",标准坦克设计!$B$23:$U$23,0)))*(VLOOKUP($B128,INDIRECT($B$5&amp;"生成成长"),3))*(VLOOKUP($B$5,标准坦克设计!$B$14:$K$20,9)/30))</f>
        <v>2.2489295833443599</v>
      </c>
      <c r="D128" s="173">
        <f ca="1">(VLOOKUP(D$72,INDIRECT($C$5&amp;"生成成长"),2))/((VLOOKUP($B128,INDIRECT($B$5&amp;"生成成长"),4))/(VLOOKUP(D$72,INDIRECT($C$5&amp;"生成成长"),5))*(VLOOKUP($B$5,标准坦克设计!$B$24:$U$30,MATCH("对"&amp;LEFT($C$5,2)&amp;"输出",标准坦克设计!$B$23:$U$23,0)))*(VLOOKUP($B128,INDIRECT($B$5&amp;"生成成长"),3))*(VLOOKUP($B$5,标准坦克设计!$B$14:$K$20,9)/30))</f>
        <v>2.5268972798457225</v>
      </c>
      <c r="E128" s="173">
        <f ca="1">(VLOOKUP(E$72,INDIRECT($C$5&amp;"生成成长"),2))/((VLOOKUP($B128,INDIRECT($B$5&amp;"生成成长"),4))/(VLOOKUP(E$72,INDIRECT($C$5&amp;"生成成长"),5))*(VLOOKUP($B$5,标准坦克设计!$B$24:$U$30,MATCH("对"&amp;LEFT($C$5,2)&amp;"输出",标准坦克设计!$B$23:$U$23,0)))*(VLOOKUP($B128,INDIRECT($B$5&amp;"生成成长"),3))*(VLOOKUP($B$5,标准坦克设计!$B$14:$K$20,9)/30))</f>
        <v>2.8210572693471647</v>
      </c>
      <c r="F128" s="173">
        <f ca="1">(VLOOKUP(F$72,INDIRECT($C$5&amp;"生成成长"),2))/((VLOOKUP($B128,INDIRECT($B$5&amp;"生成成长"),4))/(VLOOKUP(F$72,INDIRECT($C$5&amp;"生成成长"),5))*(VLOOKUP($B$5,标准坦克设计!$B$24:$U$30,MATCH("对"&amp;LEFT($C$5,2)&amp;"输出",标准坦克设计!$B$23:$U$23,0)))*(VLOOKUP($B128,INDIRECT($B$5&amp;"生成成长"),3))*(VLOOKUP($B$5,标准坦克设计!$B$14:$K$20,9)/30))</f>
        <v>3.1314095518486864</v>
      </c>
      <c r="G128" s="173">
        <f ca="1">(VLOOKUP(G$72,INDIRECT($C$5&amp;"生成成长"),2))/((VLOOKUP($B128,INDIRECT($B$5&amp;"生成成长"),4))/(VLOOKUP(G$72,INDIRECT($C$5&amp;"生成成长"),5))*(VLOOKUP($B$5,标准坦克设计!$B$24:$U$30,MATCH("对"&amp;LEFT($C$5,2)&amp;"输出",标准坦克设计!$B$23:$U$23,0)))*(VLOOKUP($B128,INDIRECT($B$5&amp;"生成成长"),3))*(VLOOKUP($B$5,标准坦克设计!$B$14:$K$20,9)/30))</f>
        <v>3.4579541273502867</v>
      </c>
      <c r="H128" s="173">
        <f ca="1">(VLOOKUP(H$72,INDIRECT($C$5&amp;"生成成长"),2))/((VLOOKUP($B128,INDIRECT($B$5&amp;"生成成长"),4))/(VLOOKUP(H$72,INDIRECT($C$5&amp;"生成成长"),5))*(VLOOKUP($B$5,标准坦克设计!$B$24:$U$30,MATCH("对"&amp;LEFT($C$5,2)&amp;"输出",标准坦克设计!$B$23:$U$23,0)))*(VLOOKUP($B128,INDIRECT($B$5&amp;"生成成长"),3))*(VLOOKUP($B$5,标准坦克设计!$B$14:$K$20,9)/30))</f>
        <v>3.0261596473481704</v>
      </c>
      <c r="I128" s="173">
        <f ca="1">(VLOOKUP(I$72,INDIRECT($C$5&amp;"生成成长"),2))/((VLOOKUP($B128,INDIRECT($B$5&amp;"生成成长"),4))/(VLOOKUP(I$72,INDIRECT($C$5&amp;"生成成长"),5))*(VLOOKUP($B$5,标准坦克设计!$B$24:$U$30,MATCH("对"&amp;LEFT($C$5,2)&amp;"输出",标准坦克设计!$B$23:$U$23,0)))*(VLOOKUP($B128,INDIRECT($B$5&amp;"生成成长"),3))*(VLOOKUP($B$5,标准坦克设计!$B$14:$K$20,9)/30))</f>
        <v>3.4579541273502867</v>
      </c>
      <c r="J128" s="173">
        <f ca="1">(VLOOKUP(J$72,INDIRECT($C$5&amp;"生成成长"),2))/((VLOOKUP($B128,INDIRECT($B$5&amp;"生成成长"),4))/(VLOOKUP(J$72,INDIRECT($C$5&amp;"生成成长"),5))*(VLOOKUP($B$5,标准坦克设计!$B$24:$U$30,MATCH("对"&amp;LEFT($C$5,2)&amp;"输出",标准坦克设计!$B$23:$U$23,0)))*(VLOOKUP($B128,INDIRECT($B$5&amp;"生成成长"),3))*(VLOOKUP($B$5,标准坦克设计!$B$14:$K$20,9)/30))</f>
        <v>3.9185349060192127</v>
      </c>
      <c r="K128" s="173">
        <f ca="1">(VLOOKUP(K$72,INDIRECT($C$5&amp;"生成成长"),2))/((VLOOKUP($B128,INDIRECT($B$5&amp;"生成成长"),4))/(VLOOKUP(K$72,INDIRECT($C$5&amp;"生成成长"),5))*(VLOOKUP($B$5,标准坦克设计!$B$24:$U$30,MATCH("对"&amp;LEFT($C$5,2)&amp;"输出",标准坦克设计!$B$23:$U$23,0)))*(VLOOKUP($B128,INDIRECT($B$5&amp;"生成成长"),3))*(VLOOKUP($B$5,标准坦克设计!$B$14:$K$20,9)/30))</f>
        <v>4.407901983354944</v>
      </c>
      <c r="L128" s="173">
        <f ca="1">(VLOOKUP(L$72,INDIRECT($C$5&amp;"生成成长"),2))/((VLOOKUP($B128,INDIRECT($B$5&amp;"生成成长"),4))/(VLOOKUP(L$72,INDIRECT($C$5&amp;"生成成长"),5))*(VLOOKUP($B$5,标准坦克设计!$B$24:$U$30,MATCH("对"&amp;LEFT($C$5,2)&amp;"输出",标准坦克设计!$B$23:$U$23,0)))*(VLOOKUP($B128,INDIRECT($B$5&amp;"生成成长"),3))*(VLOOKUP($B$5,标准坦克设计!$B$14:$K$20,9)/30))</f>
        <v>4.926055359357485</v>
      </c>
      <c r="M128" s="173">
        <f ca="1">(VLOOKUP(M$72,INDIRECT($C$5&amp;"生成成长"),2))/((VLOOKUP($B128,INDIRECT($B$5&amp;"生成成长"),4))/(VLOOKUP(M$72,INDIRECT($C$5&amp;"生成成长"),5))*(VLOOKUP($B$5,标准坦克设计!$B$24:$U$30,MATCH("对"&amp;LEFT($C$5,2)&amp;"输出",标准坦克设计!$B$23:$U$23,0)))*(VLOOKUP($B128,INDIRECT($B$5&amp;"生成成长"),3))*(VLOOKUP($B$5,标准坦克设计!$B$14:$K$20,9)/30))</f>
        <v>5.472995034026833</v>
      </c>
      <c r="N128" s="173">
        <f ca="1">(VLOOKUP(N$72,INDIRECT($C$5&amp;"生成成长"),2))/((VLOOKUP($B128,INDIRECT($B$5&amp;"生成成长"),4))/(VLOOKUP(N$72,INDIRECT($C$5&amp;"生成成长"),5))*(VLOOKUP($B$5,标准坦克设计!$B$24:$U$30,MATCH("对"&amp;LEFT($C$5,2)&amp;"输出",标准坦克设计!$B$23:$U$23,0)))*(VLOOKUP($B128,INDIRECT($B$5&amp;"生成成长"),3))*(VLOOKUP($B$5,标准坦克设计!$B$14:$K$20,9)/30))</f>
        <v>6.0487210073629889</v>
      </c>
      <c r="O128" s="173">
        <f ca="1">(VLOOKUP(O$72,INDIRECT($C$5&amp;"生成成长"),2))/((VLOOKUP($B128,INDIRECT($B$5&amp;"生成成长"),4))/(VLOOKUP(O$72,INDIRECT($C$5&amp;"生成成长"),5))*(VLOOKUP($B$5,标准坦克设计!$B$24:$U$30,MATCH("对"&amp;LEFT($C$5,2)&amp;"输出",标准坦克设计!$B$23:$U$23,0)))*(VLOOKUP($B128,INDIRECT($B$5&amp;"生成成长"),3))*(VLOOKUP($B$5,标准坦克设计!$B$14:$K$20,9)/30))</f>
        <v>4.5988361049808804</v>
      </c>
      <c r="P128" s="173">
        <f ca="1">(VLOOKUP(P$72,INDIRECT($C$5&amp;"生成成长"),2))/((VLOOKUP($B128,INDIRECT($B$5&amp;"生成成长"),4))/(VLOOKUP(P$72,INDIRECT($C$5&amp;"生成成长"),5))*(VLOOKUP($B$5,标准坦克设计!$B$24:$U$30,MATCH("对"&amp;LEFT($C$5,2)&amp;"输出",标准坦克设计!$B$23:$U$23,0)))*(VLOOKUP($B128,INDIRECT($B$5&amp;"生成成长"),3))*(VLOOKUP($B$5,标准坦克设计!$B$14:$K$20,9)/30))</f>
        <v>5.1959269093588079</v>
      </c>
      <c r="Q128" s="173">
        <f ca="1">(VLOOKUP(Q$72,INDIRECT($C$5&amp;"生成成长"),2))/((VLOOKUP($B128,INDIRECT($B$5&amp;"生成成长"),4))/(VLOOKUP(Q$72,INDIRECT($C$5&amp;"生成成长"),5))*(VLOOKUP($B$5,标准坦克设计!$B$24:$U$30,MATCH("对"&amp;LEFT($C$5,2)&amp;"输出",标准坦克设计!$B$23:$U$23,0)))*(VLOOKUP($B128,INDIRECT($B$5&amp;"生成成长"),3))*(VLOOKUP($B$5,标准坦克设计!$B$14:$K$20,9)/30))</f>
        <v>5.8294503729869138</v>
      </c>
      <c r="R128" s="173">
        <f ca="1">(VLOOKUP(R$72,INDIRECT($C$5&amp;"生成成长"),2))/((VLOOKUP($B128,INDIRECT($B$5&amp;"生成成长"),4))/(VLOOKUP(R$72,INDIRECT($C$5&amp;"生成成长"),5))*(VLOOKUP($B$5,标准坦克设计!$B$24:$U$30,MATCH("对"&amp;LEFT($C$5,2)&amp;"输出",标准坦克设计!$B$23:$U$23,0)))*(VLOOKUP($B128,INDIRECT($B$5&amp;"生成成长"),3))*(VLOOKUP($B$5,标准坦克设计!$B$14:$K$20,9)/30))</f>
        <v>6.4994064958651991</v>
      </c>
      <c r="S128" s="173">
        <f ca="1">(VLOOKUP(S$72,INDIRECT($C$5&amp;"生成成长"),2))/((VLOOKUP($B128,INDIRECT($B$5&amp;"生成成长"),4))/(VLOOKUP(S$72,INDIRECT($C$5&amp;"生成成长"),5))*(VLOOKUP($B$5,标准坦克设计!$B$24:$U$30,MATCH("对"&amp;LEFT($C$5,2)&amp;"输出",标准坦克设计!$B$23:$U$23,0)))*(VLOOKUP($B128,INDIRECT($B$5&amp;"生成成长"),3))*(VLOOKUP($B$5,标准坦克设计!$B$14:$K$20,9)/30))</f>
        <v>7.2057952779936612</v>
      </c>
      <c r="T128" s="173">
        <f ca="1">(VLOOKUP(T$72,INDIRECT($C$5&amp;"生成成长"),2))/((VLOOKUP($B128,INDIRECT($B$5&amp;"生成成长"),4))/(VLOOKUP(T$72,INDIRECT($C$5&amp;"生成成长"),5))*(VLOOKUP($B$5,标准坦克设计!$B$24:$U$30,MATCH("对"&amp;LEFT($C$5,2)&amp;"输出",标准坦克设计!$B$23:$U$23,0)))*(VLOOKUP($B128,INDIRECT($B$5&amp;"生成成长"),3))*(VLOOKUP($B$5,标准坦克设计!$B$14:$K$20,9)/30))</f>
        <v>7.9486167193723052</v>
      </c>
      <c r="U128" s="173">
        <f ca="1">(VLOOKUP(U$72,INDIRECT($C$5&amp;"生成成长"),2))/((VLOOKUP($B128,INDIRECT($B$5&amp;"生成成长"),4))/(VLOOKUP(U$72,INDIRECT($C$5&amp;"生成成长"),5))*(VLOOKUP($B$5,标准坦克设计!$B$24:$U$30,MATCH("对"&amp;LEFT($C$5,2)&amp;"输出",标准坦克设计!$B$23:$U$23,0)))*(VLOOKUP($B128,INDIRECT($B$5&amp;"生成成长"),3))*(VLOOKUP($B$5,标准坦克设计!$B$14:$K$20,9)/30))</f>
        <v>8.7278708200011224</v>
      </c>
      <c r="V128" s="173">
        <f ca="1">(VLOOKUP(V$72,INDIRECT($C$5&amp;"生成成长"),2))/((VLOOKUP($B128,INDIRECT($B$5&amp;"生成成长"),4))/(VLOOKUP(V$72,INDIRECT($C$5&amp;"生成成长"),5))*(VLOOKUP($B$5,标准坦克设计!$B$24:$U$30,MATCH("对"&amp;LEFT($C$5,2)&amp;"输出",标准坦克设计!$B$23:$U$23,0)))*(VLOOKUP($B128,INDIRECT($B$5&amp;"生成成长"),3))*(VLOOKUP($B$5,标准坦克设计!$B$14:$K$20,9)/30))</f>
        <v>9.5435575798801242</v>
      </c>
      <c r="W128" s="173">
        <f ca="1">(VLOOKUP(W$72,INDIRECT($C$5&amp;"生成成长"),2))/((VLOOKUP($B128,INDIRECT($B$5&amp;"生成成长"),4))/(VLOOKUP(W$72,INDIRECT($C$5&amp;"生成成长"),5))*(VLOOKUP($B$5,标准坦克设计!$B$24:$U$30,MATCH("对"&amp;LEFT($C$5,2)&amp;"输出",标准坦克设计!$B$23:$U$23,0)))*(VLOOKUP($B128,INDIRECT($B$5&amp;"生成成长"),3))*(VLOOKUP($B$5,标准坦克设计!$B$14:$K$20,9)/30))</f>
        <v>10.395676999009302</v>
      </c>
      <c r="X128" s="173">
        <f ca="1">(VLOOKUP(X$72,INDIRECT($C$5&amp;"生成成长"),2))/((VLOOKUP($B128,INDIRECT($B$5&amp;"生成成长"),4))/(VLOOKUP(X$72,INDIRECT($C$5&amp;"生成成长"),5))*(VLOOKUP($B$5,标准坦克设计!$B$24:$U$30,MATCH("对"&amp;LEFT($C$5,2)&amp;"输出",标准坦克设计!$B$23:$U$23,0)))*(VLOOKUP($B128,INDIRECT($B$5&amp;"生成成长"),3))*(VLOOKUP($B$5,标准坦克设计!$B$14:$K$20,9)/30))</f>
        <v>7.5314402816619239</v>
      </c>
      <c r="Y128" s="173">
        <f ca="1">(VLOOKUP(Y$72,INDIRECT($C$5&amp;"生成成长"),2))/((VLOOKUP($B128,INDIRECT($B$5&amp;"生成成长"),4))/(VLOOKUP(Y$72,INDIRECT($C$5&amp;"生成成长"),5))*(VLOOKUP($B$5,标准坦克设计!$B$24:$U$30,MATCH("对"&amp;LEFT($C$5,2)&amp;"输出",标准坦克设计!$B$23:$U$23,0)))*(VLOOKUP($B128,INDIRECT($B$5&amp;"生成成长"),3))*(VLOOKUP($B$5,标准坦克设计!$B$14:$K$20,9)/30))</f>
        <v>8.3770378049994036</v>
      </c>
      <c r="Z128" s="173">
        <f ca="1">(VLOOKUP(Z$72,INDIRECT($C$5&amp;"生成成长"),2))/((VLOOKUP($B128,INDIRECT($B$5&amp;"生成成长"),4))/(VLOOKUP(Z$72,INDIRECT($C$5&amp;"生成成长"),5))*(VLOOKUP($B$5,标准坦克设计!$B$24:$U$30,MATCH("对"&amp;LEFT($C$5,2)&amp;"输出",标准坦克设计!$B$23:$U$23,0)))*(VLOOKUP($B128,INDIRECT($B$5&amp;"生成成长"),3))*(VLOOKUP($B$5,标准坦克设计!$B$14:$K$20,9)/30))</f>
        <v>9.2676139200037717</v>
      </c>
      <c r="AA128" s="173">
        <f ca="1">(VLOOKUP(AA$72,INDIRECT($C$5&amp;"生成成长"),2))/((VLOOKUP($B128,INDIRECT($B$5&amp;"生成成长"),4))/(VLOOKUP(AA$72,INDIRECT($C$5&amp;"生成成长"),5))*(VLOOKUP($B$5,标准坦克设计!$B$24:$U$30,MATCH("对"&amp;LEFT($C$5,2)&amp;"输出",标准坦克设计!$B$23:$U$23,0)))*(VLOOKUP($B128,INDIRECT($B$5&amp;"生成成长"),3))*(VLOOKUP($B$5,标准坦克设计!$B$14:$K$20,9)/30))</f>
        <v>10.203168626675025</v>
      </c>
      <c r="AB128" s="173">
        <f ca="1">(VLOOKUP(AB$72,INDIRECT($C$5&amp;"生成成长"),2))/((VLOOKUP($B128,INDIRECT($B$5&amp;"生成成长"),4))/(VLOOKUP(AB$72,INDIRECT($C$5&amp;"生成成长"),5))*(VLOOKUP($B$5,标准坦克设计!$B$24:$U$30,MATCH("对"&amp;LEFT($C$5,2)&amp;"输出",标准坦克设计!$B$23:$U$23,0)))*(VLOOKUP($B128,INDIRECT($B$5&amp;"生成成长"),3))*(VLOOKUP($B$5,标准坦克设计!$B$14:$K$20,9)/30))</f>
        <v>11.183701925013164</v>
      </c>
      <c r="AC128" s="173">
        <f ca="1">(VLOOKUP(AC$72,INDIRECT($C$5&amp;"生成成长"),2))/((VLOOKUP($B128,INDIRECT($B$5&amp;"生成成长"),4))/(VLOOKUP(AC$72,INDIRECT($C$5&amp;"生成成长"),5))*(VLOOKUP($B$5,标准坦克设计!$B$24:$U$30,MATCH("对"&amp;LEFT($C$5,2)&amp;"输出",标准坦克设计!$B$23:$U$23,0)))*(VLOOKUP($B128,INDIRECT($B$5&amp;"生成成长"),3))*(VLOOKUP($B$5,标准坦克设计!$B$14:$K$20,9)/30))</f>
        <v>12.209213815018192</v>
      </c>
      <c r="AD128" s="173">
        <f ca="1">(VLOOKUP(AD$72,INDIRECT($C$5&amp;"生成成长"),2))/((VLOOKUP($B128,INDIRECT($B$5&amp;"生成成长"),4))/(VLOOKUP(AD$72,INDIRECT($C$5&amp;"生成成长"),5))*(VLOOKUP($B$5,标准坦克设计!$B$24:$U$30,MATCH("对"&amp;LEFT($C$5,2)&amp;"输出",标准坦克设计!$B$23:$U$23,0)))*(VLOOKUP($B128,INDIRECT($B$5&amp;"生成成长"),3))*(VLOOKUP($B$5,标准坦克设计!$B$14:$K$20,9)/30))</f>
        <v>13.279704296690108</v>
      </c>
      <c r="AE128" s="173">
        <f ca="1">(VLOOKUP(AE$72,INDIRECT($C$5&amp;"生成成长"),2))/((VLOOKUP($B128,INDIRECT($B$5&amp;"生成成长"),4))/(VLOOKUP(AE$72,INDIRECT($C$5&amp;"生成成长"),5))*(VLOOKUP($B$5,标准坦克设计!$B$24:$U$30,MATCH("对"&amp;LEFT($C$5,2)&amp;"输出",标准坦克设计!$B$23:$U$23,0)))*(VLOOKUP($B128,INDIRECT($B$5&amp;"生成成长"),3))*(VLOOKUP($B$5,标准坦克设计!$B$14:$K$20,9)/30))</f>
        <v>14.395173370028909</v>
      </c>
      <c r="AF128" s="173">
        <f ca="1">(VLOOKUP(AF$72,INDIRECT($C$5&amp;"生成成长"),2))/((VLOOKUP($B128,INDIRECT($B$5&amp;"生成成长"),4))/(VLOOKUP(AF$72,INDIRECT($C$5&amp;"生成成长"),5))*(VLOOKUP($B$5,标准坦克设计!$B$24:$U$30,MATCH("对"&amp;LEFT($C$5,2)&amp;"输出",标准坦克设计!$B$23:$U$23,0)))*(VLOOKUP($B128,INDIRECT($B$5&amp;"生成成长"),3))*(VLOOKUP($B$5,标准坦克设计!$B$14:$K$20,9)/30))</f>
        <v>15.555621035034603</v>
      </c>
      <c r="AG128" s="173">
        <f ca="1">(VLOOKUP(AG$72,INDIRECT($C$5&amp;"生成成长"),2))/((VLOOKUP($B128,INDIRECT($B$5&amp;"生成成长"),4))/(VLOOKUP(AG$72,INDIRECT($C$5&amp;"生成成长"),5))*(VLOOKUP($B$5,标准坦克设计!$B$24:$U$30,MATCH("对"&amp;LEFT($C$5,2)&amp;"输出",标准坦克设计!$B$23:$U$23,0)))*(VLOOKUP($B128,INDIRECT($B$5&amp;"生成成长"),3))*(VLOOKUP($B$5,标准坦克设计!$B$14:$K$20,9)/30))</f>
        <v>16.761047291707175</v>
      </c>
      <c r="AH128" s="173">
        <f ca="1">(VLOOKUP(AH$72,INDIRECT($C$5&amp;"生成成长"),2))/((VLOOKUP($B128,INDIRECT($B$5&amp;"生成成长"),4))/(VLOOKUP(AH$72,INDIRECT($C$5&amp;"生成成长"),5))*(VLOOKUP($B$5,标准坦克设计!$B$24:$U$30,MATCH("对"&amp;LEFT($C$5,2)&amp;"输出",标准坦克设计!$B$23:$U$23,0)))*(VLOOKUP($B128,INDIRECT($B$5&amp;"生成成长"),3))*(VLOOKUP($B$5,标准坦克设计!$B$14:$K$20,9)/30))</f>
        <v>18.011452140046636</v>
      </c>
      <c r="AI128" s="173">
        <f ca="1">(VLOOKUP(AI$72,INDIRECT($C$5&amp;"生成成长"),2))/((VLOOKUP($B128,INDIRECT($B$5&amp;"生成成长"),4))/(VLOOKUP(AI$72,INDIRECT($C$5&amp;"生成成长"),5))*(VLOOKUP($B$5,标准坦克设计!$B$24:$U$30,MATCH("对"&amp;LEFT($C$5,2)&amp;"输出",标准坦克设计!$B$23:$U$23,0)))*(VLOOKUP($B128,INDIRECT($B$5&amp;"生成成长"),3))*(VLOOKUP($B$5,标准坦克设计!$B$14:$K$20,9)/30))</f>
        <v>12.738836731895789</v>
      </c>
      <c r="AJ128" s="173">
        <f ca="1">(VLOOKUP(AJ$72,INDIRECT($C$5&amp;"生成成长"),2))/((VLOOKUP($B128,INDIRECT($B$5&amp;"生成成长"),4))/(VLOOKUP(AJ$72,INDIRECT($C$5&amp;"生成成长"),5))*(VLOOKUP($B$5,标准坦克设计!$B$24:$U$30,MATCH("对"&amp;LEFT($C$5,2)&amp;"输出",标准坦克设计!$B$23:$U$23,0)))*(VLOOKUP($B128,INDIRECT($B$5&amp;"生成成长"),3))*(VLOOKUP($B$5,标准坦克设计!$B$14:$K$20,9)/30))</f>
        <v>13.943588309693364</v>
      </c>
      <c r="AK128" s="173">
        <f ca="1">(VLOOKUP(AK$72,INDIRECT($C$5&amp;"生成成长"),2))/((VLOOKUP($B128,INDIRECT($B$5&amp;"生成成长"),4))/(VLOOKUP(AK$72,INDIRECT($C$5&amp;"生成成长"),5))*(VLOOKUP($B$5,标准坦克设计!$B$24:$U$30,MATCH("对"&amp;LEFT($C$5,2)&amp;"输出",标准坦克设计!$B$23:$U$23,0)))*(VLOOKUP($B128,INDIRECT($B$5&amp;"生成成长"),3))*(VLOOKUP($B$5,标准坦克设计!$B$14:$K$20,9)/30))</f>
        <v>15.202763983407872</v>
      </c>
      <c r="AL128" s="173">
        <f ca="1">(VLOOKUP(AL$72,INDIRECT($C$5&amp;"生成成长"),2))/((VLOOKUP($B128,INDIRECT($B$5&amp;"生成成长"),4))/(VLOOKUP(AL$72,INDIRECT($C$5&amp;"生成成长"),5))*(VLOOKUP($B$5,标准坦克设计!$B$24:$U$30,MATCH("对"&amp;LEFT($C$5,2)&amp;"输出",标准坦克设计!$B$23:$U$23,0)))*(VLOOKUP($B128,INDIRECT($B$5&amp;"生成成长"),3))*(VLOOKUP($B$5,标准坦克设计!$B$14:$K$20,9)/30))</f>
        <v>16.516363753039311</v>
      </c>
      <c r="AM128" s="173">
        <f ca="1">(VLOOKUP(AM$72,INDIRECT($C$5&amp;"生成成长"),2))/((VLOOKUP($B128,INDIRECT($B$5&amp;"生成成长"),4))/(VLOOKUP(AM$72,INDIRECT($C$5&amp;"生成成长"),5))*(VLOOKUP($B$5,标准坦克设计!$B$24:$U$30,MATCH("对"&amp;LEFT($C$5,2)&amp;"输出",标准坦克设计!$B$23:$U$23,0)))*(VLOOKUP($B128,INDIRECT($B$5&amp;"生成成长"),3))*(VLOOKUP($B$5,标准坦克设计!$B$14:$K$20,9)/30))</f>
        <v>17.884387618587688</v>
      </c>
      <c r="AN128" s="173">
        <f ca="1">(VLOOKUP(AN$72,INDIRECT($C$5&amp;"生成成长"),2))/((VLOOKUP($B128,INDIRECT($B$5&amp;"生成成长"),4))/(VLOOKUP(AN$72,INDIRECT($C$5&amp;"生成成长"),5))*(VLOOKUP($B$5,标准坦克设计!$B$24:$U$30,MATCH("对"&amp;LEFT($C$5,2)&amp;"输出",标准坦克设计!$B$23:$U$23,0)))*(VLOOKUP($B128,INDIRECT($B$5&amp;"生成成长"),3))*(VLOOKUP($B$5,标准坦克设计!$B$14:$K$20,9)/30))</f>
        <v>19.306835580052994</v>
      </c>
      <c r="AO128" s="173">
        <f ca="1">(VLOOKUP(AO$72,INDIRECT($C$5&amp;"生成成长"),2))/((VLOOKUP($B128,INDIRECT($B$5&amp;"生成成长"),4))/(VLOOKUP(AO$72,INDIRECT($C$5&amp;"生成成长"),5))*(VLOOKUP($B$5,标准坦克设计!$B$24:$U$30,MATCH("对"&amp;LEFT($C$5,2)&amp;"输出",标准坦克设计!$B$23:$U$23,0)))*(VLOOKUP($B128,INDIRECT($B$5&amp;"生成成长"),3))*(VLOOKUP($B$5,标准坦克设计!$B$14:$K$20,9)/30))</f>
        <v>20.783707637435231</v>
      </c>
      <c r="AP128" s="173">
        <f ca="1">(VLOOKUP(AP$72,INDIRECT($C$5&amp;"生成成长"),2))/((VLOOKUP($B128,INDIRECT($B$5&amp;"生成成长"),4))/(VLOOKUP(AP$72,INDIRECT($C$5&amp;"生成成长"),5))*(VLOOKUP($B$5,标准坦克设计!$B$24:$U$30,MATCH("对"&amp;LEFT($C$5,2)&amp;"输出",标准坦克设计!$B$23:$U$23,0)))*(VLOOKUP($B128,INDIRECT($B$5&amp;"生成成长"),3))*(VLOOKUP($B$5,标准坦克设计!$B$14:$K$20,9)/30))</f>
        <v>22.315003790734409</v>
      </c>
      <c r="AQ128" s="173">
        <f ca="1">(VLOOKUP(AQ$72,INDIRECT($C$5&amp;"生成成长"),2))/((VLOOKUP($B128,INDIRECT($B$5&amp;"生成成长"),4))/(VLOOKUP(AQ$72,INDIRECT($C$5&amp;"生成成长"),5))*(VLOOKUP($B$5,标准坦克设计!$B$24:$U$30,MATCH("对"&amp;LEFT($C$5,2)&amp;"输出",标准坦克设计!$B$23:$U$23,0)))*(VLOOKUP($B128,INDIRECT($B$5&amp;"生成成长"),3))*(VLOOKUP($B$5,标准坦克设计!$B$14:$K$20,9)/30))</f>
        <v>23.900724039950518</v>
      </c>
      <c r="AR128" s="173">
        <f ca="1">(VLOOKUP(AR$72,INDIRECT($C$5&amp;"生成成长"),2))/((VLOOKUP($B128,INDIRECT($B$5&amp;"生成成长"),4))/(VLOOKUP(AR$72,INDIRECT($C$5&amp;"生成成长"),5))*(VLOOKUP($B$5,标准坦克设计!$B$24:$U$30,MATCH("对"&amp;LEFT($C$5,2)&amp;"输出",标准坦克设计!$B$23:$U$23,0)))*(VLOOKUP($B128,INDIRECT($B$5&amp;"生成成长"),3))*(VLOOKUP($B$5,标准坦克设计!$B$14:$K$20,9)/30))</f>
        <v>25.540868385083556</v>
      </c>
      <c r="AS128" s="173">
        <f ca="1">(VLOOKUP(AS$72,INDIRECT($C$5&amp;"生成成长"),2))/((VLOOKUP($B128,INDIRECT($B$5&amp;"生成成长"),4))/(VLOOKUP(AS$72,INDIRECT($C$5&amp;"生成成长"),5))*(VLOOKUP($B$5,标准坦克设计!$B$24:$U$30,MATCH("对"&amp;LEFT($C$5,2)&amp;"输出",标准坦克设计!$B$23:$U$23,0)))*(VLOOKUP($B128,INDIRECT($B$5&amp;"生成成长"),3))*(VLOOKUP($B$5,标准坦克设计!$B$14:$K$20,9)/30))</f>
        <v>27.235436826133533</v>
      </c>
      <c r="AT128" s="173">
        <f ca="1">(VLOOKUP(AT$72,INDIRECT($C$5&amp;"生成成长"),2))/((VLOOKUP($B128,INDIRECT($B$5&amp;"生成成长"),4))/(VLOOKUP(AT$72,INDIRECT($C$5&amp;"生成成长"),5))*(VLOOKUP($B$5,标准坦克设计!$B$24:$U$30,MATCH("对"&amp;LEFT($C$5,2)&amp;"输出",标准坦克设计!$B$23:$U$23,0)))*(VLOOKUP($B128,INDIRECT($B$5&amp;"生成成长"),3))*(VLOOKUP($B$5,标准坦克设计!$B$14:$K$20,9)/30))</f>
        <v>28.984429363100443</v>
      </c>
      <c r="AU128" s="173">
        <f ca="1">(VLOOKUP(AU$72,INDIRECT($C$5&amp;"生成成长"),2))/((VLOOKUP($B128,INDIRECT($B$5&amp;"生成成长"),4))/(VLOOKUP(AU$72,INDIRECT($C$5&amp;"生成成长"),5))*(VLOOKUP($B$5,标准坦克设计!$B$24:$U$30,MATCH("对"&amp;LEFT($C$5,2)&amp;"输出",标准坦克设计!$B$23:$U$23,0)))*(VLOOKUP($B128,INDIRECT($B$5&amp;"生成成长"),3))*(VLOOKUP($B$5,标准坦克设计!$B$14:$K$20,9)/30))</f>
        <v>30.787845995984281</v>
      </c>
      <c r="AV128" s="173">
        <f ca="1">(VLOOKUP(AV$72,INDIRECT($C$5&amp;"生成成长"),2))/((VLOOKUP($B128,INDIRECT($B$5&amp;"生成成长"),4))/(VLOOKUP(AV$72,INDIRECT($C$5&amp;"生成成长"),5))*(VLOOKUP($B$5,标准坦克设计!$B$24:$U$30,MATCH("对"&amp;LEFT($C$5,2)&amp;"输出",标准坦克设计!$B$23:$U$23,0)))*(VLOOKUP($B128,INDIRECT($B$5&amp;"生成成长"),3))*(VLOOKUP($B$5,标准坦克设计!$B$14:$K$20,9)/30))</f>
        <v>3.1314095518486864</v>
      </c>
      <c r="AW128" s="173">
        <f ca="1">(VLOOKUP(AW$72,INDIRECT($C$5&amp;"生成成长"),2))/((VLOOKUP($B128,INDIRECT($B$5&amp;"生成成长"),4))/(VLOOKUP(AW$72,INDIRECT($C$5&amp;"生成成长"),5))*(VLOOKUP($B$5,标准坦克设计!$B$24:$U$30,MATCH("对"&amp;LEFT($C$5,2)&amp;"输出",标准坦克设计!$B$23:$U$23,0)))*(VLOOKUP($B128,INDIRECT($B$5&amp;"生成成长"),3))*(VLOOKUP($B$5,标准坦克设计!$B$14:$K$20,9)/30))</f>
        <v>3.5704006065175045</v>
      </c>
      <c r="AX128" s="173">
        <f ca="1">(VLOOKUP(AX$72,INDIRECT($C$5&amp;"生成成长"),2))/((VLOOKUP($B128,INDIRECT($B$5&amp;"生成成长"),4))/(VLOOKUP(AX$72,INDIRECT($C$5&amp;"生成成长"),5))*(VLOOKUP($B$5,标准坦克设计!$B$24:$U$30,MATCH("对"&amp;LEFT($C$5,2)&amp;"输出",标准坦克设计!$B$23:$U$23,0)))*(VLOOKUP($B128,INDIRECT($B$5&amp;"生成成长"),3))*(VLOOKUP($B$5,标准坦克设计!$B$14:$K$20,9)/30))</f>
        <v>4.0381779598531322</v>
      </c>
      <c r="AY128" s="173">
        <f ca="1">(VLOOKUP(AY$72,INDIRECT($C$5&amp;"生成成长"),2))/((VLOOKUP($B128,INDIRECT($B$5&amp;"生成成长"),4))/(VLOOKUP(AY$72,INDIRECT($C$5&amp;"生成成长"),5))*(VLOOKUP($B$5,标准坦克设计!$B$24:$U$30,MATCH("对"&amp;LEFT($C$5,2)&amp;"输出",标准坦克设计!$B$23:$U$23,0)))*(VLOOKUP($B128,INDIRECT($B$5&amp;"生成成长"),3))*(VLOOKUP($B$5,标准坦克设计!$B$14:$K$20,9)/30))</f>
        <v>4.5347416118555675</v>
      </c>
      <c r="AZ128" s="173">
        <f ca="1">(VLOOKUP(AZ$72,INDIRECT($C$5&amp;"生成成长"),2))/((VLOOKUP($B128,INDIRECT($B$5&amp;"生成成长"),4))/(VLOOKUP(AZ$72,INDIRECT($C$5&amp;"生成成长"),5))*(VLOOKUP($B$5,标准坦克设计!$B$24:$U$30,MATCH("对"&amp;LEFT($C$5,2)&amp;"输出",标准坦克设计!$B$23:$U$23,0)))*(VLOOKUP($B128,INDIRECT($B$5&amp;"生成成长"),3))*(VLOOKUP($B$5,标准坦克设计!$B$14:$K$20,9)/30))</f>
        <v>5.0600915625248089</v>
      </c>
      <c r="BA128" s="173">
        <f ca="1">(VLOOKUP(BA$72,INDIRECT($C$5&amp;"生成成长"),2))/((VLOOKUP($B128,INDIRECT($B$5&amp;"生成成长"),4))/(VLOOKUP(BA$72,INDIRECT($C$5&amp;"生成成长"),5))*(VLOOKUP($B$5,标准坦克设计!$B$24:$U$30,MATCH("对"&amp;LEFT($C$5,2)&amp;"输出",标准坦克设计!$B$23:$U$23,0)))*(VLOOKUP($B128,INDIRECT($B$5&amp;"生成成长"),3))*(VLOOKUP($B$5,标准坦克设计!$B$14:$K$20,9)/30))</f>
        <v>5.61422781186086</v>
      </c>
      <c r="BB128" s="173">
        <f ca="1">(VLOOKUP(BB$72,INDIRECT($C$5&amp;"生成成长"),2))/((VLOOKUP($B128,INDIRECT($B$5&amp;"生成成长"),4))/(VLOOKUP(BB$72,INDIRECT($C$5&amp;"生成成长"),5))*(VLOOKUP($B$5,标准坦克设计!$B$24:$U$30,MATCH("对"&amp;LEFT($C$5,2)&amp;"输出",标准坦克设计!$B$23:$U$23,0)))*(VLOOKUP($B128,INDIRECT($B$5&amp;"生成成长"),3))*(VLOOKUP($B$5,标准坦克设计!$B$14:$K$20,9)/30))</f>
        <v>6.1971503598637172</v>
      </c>
      <c r="BC128" s="173">
        <f ca="1">(VLOOKUP(BC$72,INDIRECT($C$5&amp;"生成成长"),2))/((VLOOKUP($B128,INDIRECT($B$5&amp;"生成成长"),4))/(VLOOKUP(BC$72,INDIRECT($C$5&amp;"生成成长"),5))*(VLOOKUP($B$5,标准坦克设计!$B$24:$U$30,MATCH("对"&amp;LEFT($C$5,2)&amp;"输出",标准坦克设计!$B$23:$U$23,0)))*(VLOOKUP($B128,INDIRECT($B$5&amp;"生成成长"),3))*(VLOOKUP($B$5,标准坦克设计!$B$14:$K$20,9)/30))</f>
        <v>6.8088592065333833</v>
      </c>
      <c r="BD128" s="173">
        <f ca="1">(VLOOKUP(BD$72,INDIRECT($C$5&amp;"生成成长"),2))/((VLOOKUP($B128,INDIRECT($B$5&amp;"生成成长"),4))/(VLOOKUP(BD$72,INDIRECT($C$5&amp;"生成成长"),5))*(VLOOKUP($B$5,标准坦克设计!$B$24:$U$30,MATCH("对"&amp;LEFT($C$5,2)&amp;"输出",标准坦克设计!$B$23:$U$23,0)))*(VLOOKUP($B128,INDIRECT($B$5&amp;"生成成长"),3))*(VLOOKUP($B$5,标准坦克设计!$B$14:$K$20,9)/30))</f>
        <v>7.5314402816619239</v>
      </c>
      <c r="BE128" s="173">
        <f ca="1">(VLOOKUP(BE$72,INDIRECT($C$5&amp;"生成成长"),2))/((VLOOKUP($B128,INDIRECT($B$5&amp;"生成成长"),4))/(VLOOKUP(BE$72,INDIRECT($C$5&amp;"生成成长"),5))*(VLOOKUP($B$5,标准坦克设计!$B$24:$U$30,MATCH("对"&amp;LEFT($C$5,2)&amp;"输出",标准坦克设计!$B$23:$U$23,0)))*(VLOOKUP($B128,INDIRECT($B$5&amp;"生成成长"),3))*(VLOOKUP($B$5,标准坦克设计!$B$14:$K$20,9)/30))</f>
        <v>8.2904540160406466</v>
      </c>
      <c r="BF128" s="173">
        <f ca="1">(VLOOKUP(BF$72,INDIRECT($C$5&amp;"生成成长"),2))/((VLOOKUP($B128,INDIRECT($B$5&amp;"生成成长"),4))/(VLOOKUP(BF$72,INDIRECT($C$5&amp;"生成成长"),5))*(VLOOKUP($B$5,标准坦克设计!$B$24:$U$30,MATCH("对"&amp;LEFT($C$5,2)&amp;"输出",标准坦克设计!$B$23:$U$23,0)))*(VLOOKUP($B128,INDIRECT($B$5&amp;"生成成长"),3))*(VLOOKUP($B$5,标准坦克设计!$B$14:$K$20,9)/30))</f>
        <v>9.0859004096695468</v>
      </c>
      <c r="BG128" s="173">
        <f ca="1">(VLOOKUP(BG$72,INDIRECT($C$5&amp;"生成成长"),2))/((VLOOKUP($B128,INDIRECT($B$5&amp;"生成成长"),4))/(VLOOKUP(BG$72,INDIRECT($C$5&amp;"生成成长"),5))*(VLOOKUP($B$5,标准坦克设计!$B$24:$U$30,MATCH("对"&amp;LEFT($C$5,2)&amp;"输出",标准坦克设计!$B$23:$U$23,0)))*(VLOOKUP($B128,INDIRECT($B$5&amp;"生成成长"),3))*(VLOOKUP($B$5,标准坦克设计!$B$14:$K$20,9)/30))</f>
        <v>9.9177794625486246</v>
      </c>
      <c r="BH128" s="173">
        <f ca="1">(VLOOKUP(BH$72,INDIRECT($C$5&amp;"生成成长"),2))/((VLOOKUP($B128,INDIRECT($B$5&amp;"生成成长"),4))/(VLOOKUP(BH$72,INDIRECT($C$5&amp;"生成成长"),5))*(VLOOKUP($B$5,标准坦克设计!$B$24:$U$30,MATCH("对"&amp;LEFT($C$5,2)&amp;"输出",标准坦克设计!$B$23:$U$23,0)))*(VLOOKUP($B128,INDIRECT($B$5&amp;"生成成长"),3))*(VLOOKUP($B$5,标准坦克设计!$B$14:$K$20,9)/30))</f>
        <v>4.7938182998568371</v>
      </c>
      <c r="BI128" s="173">
        <f ca="1">(VLOOKUP(BI$72,INDIRECT($C$5&amp;"生成成长"),2))/((VLOOKUP($B128,INDIRECT($B$5&amp;"生成成长"),4))/(VLOOKUP(BI$72,INDIRECT($C$5&amp;"生成成长"),5))*(VLOOKUP($B$5,标准坦克设计!$B$24:$U$30,MATCH("对"&amp;LEFT($C$5,2)&amp;"输出",标准坦克设计!$B$23:$U$23,0)))*(VLOOKUP($B128,INDIRECT($B$5&amp;"生成成长"),3))*(VLOOKUP($B$5,标准坦克设计!$B$14:$K$20,9)/30))</f>
        <v>5.4030533239848237</v>
      </c>
      <c r="BJ128" s="173">
        <f ca="1">(VLOOKUP(BJ$72,INDIRECT($C$5&amp;"生成成长"),2))/((VLOOKUP($B128,INDIRECT($B$5&amp;"生成成长"),4))/(VLOOKUP(BJ$72,INDIRECT($C$5&amp;"生成成长"),5))*(VLOOKUP($B$5,标准坦克设计!$B$24:$U$30,MATCH("对"&amp;LEFT($C$5,2)&amp;"输出",标准坦克设计!$B$23:$U$23,0)))*(VLOOKUP($B128,INDIRECT($B$5&amp;"生成成长"),3))*(VLOOKUP($B$5,标准坦克设计!$B$14:$K$20,9)/30))</f>
        <v>6.0487210073629889</v>
      </c>
      <c r="BK128" s="173">
        <f ca="1">(VLOOKUP(BK$72,INDIRECT($C$5&amp;"生成成长"),2))/((VLOOKUP($B128,INDIRECT($B$5&amp;"生成成长"),4))/(VLOOKUP(BK$72,INDIRECT($C$5&amp;"生成成长"),5))*(VLOOKUP($B$5,标准坦克设计!$B$24:$U$30,MATCH("对"&amp;LEFT($C$5,2)&amp;"输出",标准坦克设计!$B$23:$U$23,0)))*(VLOOKUP($B128,INDIRECT($B$5&amp;"生成成长"),3))*(VLOOKUP($B$5,标准坦克设计!$B$14:$K$20,9)/30))</f>
        <v>6.7308213499913352</v>
      </c>
      <c r="BL128" s="173">
        <f ca="1">(VLOOKUP(BL$72,INDIRECT($C$5&amp;"生成成长"),2))/((VLOOKUP($B128,INDIRECT($B$5&amp;"生成成长"),4))/(VLOOKUP(BL$72,INDIRECT($C$5&amp;"生成成长"),5))*(VLOOKUP($B$5,标准坦克设计!$B$24:$U$30,MATCH("对"&amp;LEFT($C$5,2)&amp;"输出",标准坦克设计!$B$23:$U$23,0)))*(VLOOKUP($B128,INDIRECT($B$5&amp;"生成成长"),3))*(VLOOKUP($B$5,标准坦克设计!$B$14:$K$20,9)/30))</f>
        <v>7.4493543518698564</v>
      </c>
      <c r="BM128" s="173">
        <f ca="1">(VLOOKUP(BM$72,INDIRECT($C$5&amp;"生成成长"),2))/((VLOOKUP($B128,INDIRECT($B$5&amp;"生成成长"),4))/(VLOOKUP(BM$72,INDIRECT($C$5&amp;"生成成长"),5))*(VLOOKUP($B$5,标准坦克设计!$B$24:$U$30,MATCH("对"&amp;LEFT($C$5,2)&amp;"输出",标准坦克设计!$B$23:$U$23,0)))*(VLOOKUP($B128,INDIRECT($B$5&amp;"生成成长"),3))*(VLOOKUP($B$5,标准坦克设计!$B$14:$K$20,9)/30))</f>
        <v>8.2043200129985578</v>
      </c>
      <c r="BN128" s="173">
        <f ca="1">(VLOOKUP(BN$72,INDIRECT($C$5&amp;"生成成长"),2))/((VLOOKUP($B128,INDIRECT($B$5&amp;"生成成长"),4))/(VLOOKUP(BN$72,INDIRECT($C$5&amp;"生成成长"),5))*(VLOOKUP($B$5,标准坦克设计!$B$24:$U$30,MATCH("对"&amp;LEFT($C$5,2)&amp;"输出",标准坦克设计!$B$23:$U$23,0)))*(VLOOKUP($B128,INDIRECT($B$5&amp;"生成成长"),3))*(VLOOKUP($B$5,标准坦克设计!$B$14:$K$20,9)/30))</f>
        <v>8.9957183333774395</v>
      </c>
      <c r="BO128" s="173">
        <f ca="1">(VLOOKUP(BO$72,INDIRECT($C$5&amp;"生成成长"),2))/((VLOOKUP($B128,INDIRECT($B$5&amp;"生成成长"),4))/(VLOOKUP(BO$72,INDIRECT($C$5&amp;"生成成长"),5))*(VLOOKUP($B$5,标准坦克设计!$B$24:$U$30,MATCH("对"&amp;LEFT($C$5,2)&amp;"输出",标准坦克设计!$B$23:$U$23,0)))*(VLOOKUP($B128,INDIRECT($B$5&amp;"生成成长"),3))*(VLOOKUP($B$5,标准坦克设计!$B$14:$K$20,9)/30))</f>
        <v>9.8235493130064953</v>
      </c>
      <c r="BP128" s="173">
        <f ca="1">(VLOOKUP(BP$72,INDIRECT($C$5&amp;"生成成长"),2))/((VLOOKUP($B128,INDIRECT($B$5&amp;"生成成长"),4))/(VLOOKUP(BP$72,INDIRECT($C$5&amp;"生成成长"),5))*(VLOOKUP($B$5,标准坦克设计!$B$24:$U$30,MATCH("对"&amp;LEFT($C$5,2)&amp;"输出",标准坦克设计!$B$23:$U$23,0)))*(VLOOKUP($B128,INDIRECT($B$5&amp;"生成成长"),3))*(VLOOKUP($B$5,标准坦克设计!$B$14:$K$20,9)/30))</f>
        <v>10.687812951885734</v>
      </c>
      <c r="BQ128" s="173">
        <f ca="1">(VLOOKUP(BQ$72,INDIRECT($C$5&amp;"生成成长"),2))/((VLOOKUP($B128,INDIRECT($B$5&amp;"生成成长"),4))/(VLOOKUP(BQ$72,INDIRECT($C$5&amp;"生成成长"),5))*(VLOOKUP($B$5,标准坦克设计!$B$24:$U$30,MATCH("对"&amp;LEFT($C$5,2)&amp;"输出",标准坦克设计!$B$23:$U$23,0)))*(VLOOKUP($B128,INDIRECT($B$5&amp;"生成成长"),3))*(VLOOKUP($B$5,标准坦克设计!$B$14:$K$20,9)/30))</f>
        <v>11.58850925001515</v>
      </c>
      <c r="BR128" s="173">
        <f ca="1">(VLOOKUP(BR$72,INDIRECT($C$5&amp;"生成成长"),2))/((VLOOKUP($B128,INDIRECT($B$5&amp;"生成成长"),4))/(VLOOKUP(BR$72,INDIRECT($C$5&amp;"生成成长"),5))*(VLOOKUP($B$5,标准坦克设计!$B$24:$U$30,MATCH("对"&amp;LEFT($C$5,2)&amp;"输出",标准坦克设计!$B$23:$U$23,0)))*(VLOOKUP($B128,INDIRECT($B$5&amp;"生成成长"),3))*(VLOOKUP($B$5,标准坦克设计!$B$14:$K$20,9)/30))</f>
        <v>12.632012576686934</v>
      </c>
      <c r="BS128" s="173">
        <f ca="1">(VLOOKUP(BS$72,INDIRECT($C$5&amp;"生成成长"),2))/((VLOOKUP($B128,INDIRECT($B$5&amp;"生成成长"),4))/(VLOOKUP(BS$72,INDIRECT($C$5&amp;"生成成长"),5))*(VLOOKUP($B$5,标准坦克设计!$B$24:$U$30,MATCH("对"&amp;LEFT($C$5,2)&amp;"输出",标准坦克设计!$B$23:$U$23,0)))*(VLOOKUP($B128,INDIRECT($B$5&amp;"生成成长"),3))*(VLOOKUP($B$5,标准坦克设计!$B$14:$K$20,9)/30))</f>
        <v>13.720494495025605</v>
      </c>
      <c r="BT128" s="173">
        <f ca="1">(VLOOKUP(BT$72,INDIRECT($C$5&amp;"生成成长"),2))/((VLOOKUP($B128,INDIRECT($B$5&amp;"生成成长"),4))/(VLOOKUP(BT$72,INDIRECT($C$5&amp;"生成成长"),5))*(VLOOKUP($B$5,标准坦克设计!$B$24:$U$30,MATCH("对"&amp;LEFT($C$5,2)&amp;"输出",标准坦克设计!$B$23:$U$23,0)))*(VLOOKUP($B128,INDIRECT($B$5&amp;"生成成长"),3))*(VLOOKUP($B$5,标准坦克设计!$B$14:$K$20,9)/30))</f>
        <v>14.853955005031159</v>
      </c>
      <c r="BU128" s="173">
        <f ca="1">(VLOOKUP(BU$72,INDIRECT($C$5&amp;"生成成长"),2))/((VLOOKUP($B128,INDIRECT($B$5&amp;"生成成长"),4))/(VLOOKUP(BU$72,INDIRECT($C$5&amp;"生成成长"),5))*(VLOOKUP($B$5,标准坦克设计!$B$24:$U$30,MATCH("对"&amp;LEFT($C$5,2)&amp;"输出",标准坦克设计!$B$23:$U$23,0)))*(VLOOKUP($B128,INDIRECT($B$5&amp;"生成成长"),3))*(VLOOKUP($B$5,标准坦克设计!$B$14:$K$20,9)/30))</f>
        <v>16.032394106703602</v>
      </c>
      <c r="BV128" s="173">
        <f ca="1">(VLOOKUP(BV$72,INDIRECT($C$5&amp;"生成成长"),2))/((VLOOKUP($B128,INDIRECT($B$5&amp;"生成成长"),4))/(VLOOKUP(BV$72,INDIRECT($C$5&amp;"生成成长"),5))*(VLOOKUP($B$5,标准坦克设计!$B$24:$U$30,MATCH("对"&amp;LEFT($C$5,2)&amp;"输出",标准坦克设计!$B$23:$U$23,0)))*(VLOOKUP($B128,INDIRECT($B$5&amp;"生成成长"),3))*(VLOOKUP($B$5,标准坦克设计!$B$14:$K$20,9)/30))</f>
        <v>17.255811800042935</v>
      </c>
      <c r="BW128" s="173">
        <f ca="1">(VLOOKUP(BW$72,INDIRECT($C$5&amp;"生成成长"),2))/((VLOOKUP($B128,INDIRECT($B$5&amp;"生成成长"),4))/(VLOOKUP(BW$72,INDIRECT($C$5&amp;"生成成长"),5))*(VLOOKUP($B$5,标准坦克设计!$B$24:$U$30,MATCH("对"&amp;LEFT($C$5,2)&amp;"输出",标准坦克设计!$B$23:$U$23,0)))*(VLOOKUP($B128,INDIRECT($B$5&amp;"生成成长"),3))*(VLOOKUP($B$5,标准坦克设计!$B$14:$K$20,9)/30))</f>
        <v>7.8642818599968898</v>
      </c>
      <c r="BX128" s="173">
        <f ca="1">(VLOOKUP(BX$72,INDIRECT($C$5&amp;"生成成长"),2))/((VLOOKUP($B128,INDIRECT($B$5&amp;"生成成长"),4))/(VLOOKUP(BX$72,INDIRECT($C$5&amp;"生成成长"),5))*(VLOOKUP($B$5,标准坦克设计!$B$24:$U$30,MATCH("对"&amp;LEFT($C$5,2)&amp;"输出",标准坦克设计!$B$23:$U$23,0)))*(VLOOKUP($B128,INDIRECT($B$5&amp;"生成成长"),3))*(VLOOKUP($B$5,标准坦克设计!$B$14:$K$20,9)/30))</f>
        <v>8.7278708200011224</v>
      </c>
      <c r="BY128" s="173">
        <f ca="1">(VLOOKUP(BY$72,INDIRECT($C$5&amp;"生成成长"),2))/((VLOOKUP($B128,INDIRECT($B$5&amp;"生成成长"),4))/(VLOOKUP(BY$72,INDIRECT($C$5&amp;"生成成长"),5))*(VLOOKUP($B$5,标准坦克设计!$B$24:$U$30,MATCH("对"&amp;LEFT($C$5,2)&amp;"输出",标准坦克设计!$B$23:$U$23,0)))*(VLOOKUP($B128,INDIRECT($B$5&amp;"生成成长"),3))*(VLOOKUP($B$5,标准坦克设计!$B$14:$K$20,9)/30))</f>
        <v>9.6364383716722468</v>
      </c>
      <c r="BZ128" s="173">
        <f ca="1">(VLOOKUP(BZ$72,INDIRECT($C$5&amp;"生成成长"),2))/((VLOOKUP($B128,INDIRECT($B$5&amp;"生成成长"),4))/(VLOOKUP(BZ$72,INDIRECT($C$5&amp;"生成成长"),5))*(VLOOKUP($B$5,标准坦克设计!$B$24:$U$30,MATCH("对"&amp;LEFT($C$5,2)&amp;"输出",标准坦克设计!$B$23:$U$23,0)))*(VLOOKUP($B128,INDIRECT($B$5&amp;"生成成长"),3))*(VLOOKUP($B$5,标准坦克设计!$B$14:$K$20,9)/30))</f>
        <v>10.589984515010253</v>
      </c>
      <c r="CA128" s="173">
        <f ca="1">(VLOOKUP(CA$72,INDIRECT($C$5&amp;"生成成长"),2))/((VLOOKUP($B128,INDIRECT($B$5&amp;"生成成长"),4))/(VLOOKUP(CA$72,INDIRECT($C$5&amp;"生成成长"),5))*(VLOOKUP($B$5,标准坦克设计!$B$24:$U$30,MATCH("对"&amp;LEFT($C$5,2)&amp;"输出",标准坦克设计!$B$23:$U$23,0)))*(VLOOKUP($B128,INDIRECT($B$5&amp;"生成成长"),3))*(VLOOKUP($B$5,标准坦克设计!$B$14:$K$20,9)/30))</f>
        <v>11.58850925001515</v>
      </c>
      <c r="CB128" s="173">
        <f ca="1">(VLOOKUP(CB$72,INDIRECT($C$5&amp;"生成成长"),2))/((VLOOKUP($B128,INDIRECT($B$5&amp;"生成成长"),4))/(VLOOKUP(CB$72,INDIRECT($C$5&amp;"生成成长"),5))*(VLOOKUP($B$5,标准坦克设计!$B$24:$U$30,MATCH("对"&amp;LEFT($C$5,2)&amp;"输出",标准坦克设计!$B$23:$U$23,0)))*(VLOOKUP($B128,INDIRECT($B$5&amp;"生成成长"),3))*(VLOOKUP($B$5,标准坦克设计!$B$14:$K$20,9)/30))</f>
        <v>12.632012576686934</v>
      </c>
      <c r="CC128" s="173">
        <f ca="1">(VLOOKUP(CC$72,INDIRECT($C$5&amp;"生成成长"),2))/((VLOOKUP($B128,INDIRECT($B$5&amp;"生成成长"),4))/(VLOOKUP(CC$72,INDIRECT($C$5&amp;"生成成长"),5))*(VLOOKUP($B$5,标准坦克设计!$B$24:$U$30,MATCH("对"&amp;LEFT($C$5,2)&amp;"输出",标准坦克设计!$B$23:$U$23,0)))*(VLOOKUP($B128,INDIRECT($B$5&amp;"生成成长"),3))*(VLOOKUP($B$5,标准坦克设计!$B$14:$K$20,9)/30))</f>
        <v>13.720494495025605</v>
      </c>
      <c r="CD128" s="173">
        <f ca="1">(VLOOKUP(CD$72,INDIRECT($C$5&amp;"生成成长"),2))/((VLOOKUP($B128,INDIRECT($B$5&amp;"生成成长"),4))/(VLOOKUP(CD$72,INDIRECT($C$5&amp;"生成成长"),5))*(VLOOKUP($B$5,标准坦克设计!$B$24:$U$30,MATCH("对"&amp;LEFT($C$5,2)&amp;"输出",标准坦克设计!$B$23:$U$23,0)))*(VLOOKUP($B128,INDIRECT($B$5&amp;"生成成长"),3))*(VLOOKUP($B$5,标准坦克设计!$B$14:$K$20,9)/30))</f>
        <v>14.853955005031159</v>
      </c>
      <c r="CE128" s="173">
        <f ca="1">(VLOOKUP(CE$72,INDIRECT($C$5&amp;"生成成长"),2))/((VLOOKUP($B128,INDIRECT($B$5&amp;"生成成长"),4))/(VLOOKUP(CE$72,INDIRECT($C$5&amp;"生成成长"),5))*(VLOOKUP($B$5,标准坦克设计!$B$24:$U$30,MATCH("对"&amp;LEFT($C$5,2)&amp;"输出",标准坦克设计!$B$23:$U$23,0)))*(VLOOKUP($B128,INDIRECT($B$5&amp;"生成成长"),3))*(VLOOKUP($B$5,标准坦克设计!$B$14:$K$20,9)/30))</f>
        <v>16.032394106703602</v>
      </c>
      <c r="CF128" s="173">
        <f ca="1">(VLOOKUP(CF$72,INDIRECT($C$5&amp;"生成成长"),2))/((VLOOKUP($B128,INDIRECT($B$5&amp;"生成成长"),4))/(VLOOKUP(CF$72,INDIRECT($C$5&amp;"生成成长"),5))*(VLOOKUP($B$5,标准坦克设计!$B$24:$U$30,MATCH("对"&amp;LEFT($C$5,2)&amp;"输出",标准坦克设计!$B$23:$U$23,0)))*(VLOOKUP($B128,INDIRECT($B$5&amp;"生成成长"),3))*(VLOOKUP($B$5,标准坦克设计!$B$14:$K$20,9)/30))</f>
        <v>17.255811800042935</v>
      </c>
      <c r="CG128" s="173">
        <f ca="1">(VLOOKUP(CG$72,INDIRECT($C$5&amp;"生成成长"),2))/((VLOOKUP($B128,INDIRECT($B$5&amp;"生成成长"),4))/(VLOOKUP(CG$72,INDIRECT($C$5&amp;"生成成长"),5))*(VLOOKUP($B$5,标准坦克设计!$B$24:$U$30,MATCH("对"&amp;LEFT($C$5,2)&amp;"输出",标准坦克设计!$B$23:$U$23,0)))*(VLOOKUP($B128,INDIRECT($B$5&amp;"生成成长"),3))*(VLOOKUP($B$5,标准坦克设计!$B$14:$K$20,9)/30))</f>
        <v>18.524208085049157</v>
      </c>
      <c r="CH128" s="173">
        <f ca="1">(VLOOKUP(CH$72,INDIRECT($C$5&amp;"生成成长"),2))/((VLOOKUP($B128,INDIRECT($B$5&amp;"生成成长"),4))/(VLOOKUP(CH$72,INDIRECT($C$5&amp;"生成成长"),5))*(VLOOKUP($B$5,标准坦克设计!$B$24:$U$30,MATCH("对"&amp;LEFT($C$5,2)&amp;"输出",标准坦克设计!$B$23:$U$23,0)))*(VLOOKUP($B128,INDIRECT($B$5&amp;"生成成长"),3))*(VLOOKUP($B$5,标准坦克设计!$B$14:$K$20,9)/30))</f>
        <v>19.837582961722259</v>
      </c>
      <c r="CI128" s="173">
        <f ca="1">(VLOOKUP(CI$72,INDIRECT($C$5&amp;"生成成长"),2))/((VLOOKUP($B128,INDIRECT($B$5&amp;"生成成长"),4))/(VLOOKUP(CI$72,INDIRECT($C$5&amp;"生成成长"),5))*(VLOOKUP($B$5,标准坦克设计!$B$24:$U$30,MATCH("对"&amp;LEFT($C$5,2)&amp;"输出",标准坦克设计!$B$23:$U$23,0)))*(VLOOKUP($B128,INDIRECT($B$5&amp;"生成成长"),3))*(VLOOKUP($B$5,标准坦克设计!$B$14:$K$20,9)/30))</f>
        <v>21.334245599437928</v>
      </c>
      <c r="CJ128" s="173">
        <f ca="1">(VLOOKUP(CJ$72,INDIRECT($C$5&amp;"生成成长"),2))/((VLOOKUP($B128,INDIRECT($B$5&amp;"生成成长"),4))/(VLOOKUP(CJ$72,INDIRECT($C$5&amp;"生成成长"),5))*(VLOOKUP($B$5,标准坦克设计!$B$24:$U$30,MATCH("对"&amp;LEFT($C$5,2)&amp;"输出",标准坦克设计!$B$23:$U$23,0)))*(VLOOKUP($B128,INDIRECT($B$5&amp;"生成成长"),3))*(VLOOKUP($B$5,标准坦克设计!$B$14:$K$20,9)/30))</f>
        <v>22.88533233307054</v>
      </c>
      <c r="CK128" s="173">
        <f ca="1">(VLOOKUP(CK$72,INDIRECT($C$5&amp;"生成成长"),2))/((VLOOKUP($B128,INDIRECT($B$5&amp;"生成成长"),4))/(VLOOKUP(CK$72,INDIRECT($C$5&amp;"生成成长"),5))*(VLOOKUP($B$5,标准坦克设计!$B$24:$U$30,MATCH("对"&amp;LEFT($C$5,2)&amp;"输出",标准坦克设计!$B$23:$U$23,0)))*(VLOOKUP($B128,INDIRECT($B$5&amp;"生成成长"),3))*(VLOOKUP($B$5,标准坦克设计!$B$14:$K$20,9)/30))</f>
        <v>24.490843162620074</v>
      </c>
      <c r="CL128" s="173">
        <f ca="1">(VLOOKUP(CL$72,INDIRECT($C$5&amp;"生成成长"),2))/((VLOOKUP($B128,INDIRECT($B$5&amp;"生成成长"),4))/(VLOOKUP(CL$72,INDIRECT($C$5&amp;"生成成长"),5))*(VLOOKUP($B$5,标准坦克设计!$B$24:$U$30,MATCH("对"&amp;LEFT($C$5,2)&amp;"输出",标准坦克设计!$B$23:$U$23,0)))*(VLOOKUP($B128,INDIRECT($B$5&amp;"生成成长"),3))*(VLOOKUP($B$5,标准坦克设计!$B$14:$K$20,9)/30))</f>
        <v>26.150778088086547</v>
      </c>
      <c r="CM128" s="173">
        <f ca="1">(VLOOKUP(CM$72,INDIRECT($C$5&amp;"生成成长"),2))/((VLOOKUP($B128,INDIRECT($B$5&amp;"生成成长"),4))/(VLOOKUP(CM$72,INDIRECT($C$5&amp;"生成成长"),5))*(VLOOKUP($B$5,标准坦克设计!$B$24:$U$30,MATCH("对"&amp;LEFT($C$5,2)&amp;"输出",标准坦克设计!$B$23:$U$23,0)))*(VLOOKUP($B128,INDIRECT($B$5&amp;"生成成长"),3))*(VLOOKUP($B$5,标准坦克设计!$B$14:$K$20,9)/30))</f>
        <v>27.865137109469952</v>
      </c>
      <c r="CN128" s="173">
        <f ca="1">(VLOOKUP(CN$72,INDIRECT($C$5&amp;"生成成长"),2))/((VLOOKUP($B128,INDIRECT($B$5&amp;"生成成长"),4))/(VLOOKUP(CN$72,INDIRECT($C$5&amp;"生成成长"),5))*(VLOOKUP($B$5,标准坦克设计!$B$24:$U$30,MATCH("对"&amp;LEFT($C$5,2)&amp;"输出",标准坦克设计!$B$23:$U$23,0)))*(VLOOKUP($B128,INDIRECT($B$5&amp;"生成成长"),3))*(VLOOKUP($B$5,标准坦克设计!$B$14:$K$20,9)/30))</f>
        <v>29.633920226770286</v>
      </c>
      <c r="CO128" s="173">
        <f ca="1">(VLOOKUP(CO$72,INDIRECT($C$5&amp;"生成成长"),2))/((VLOOKUP($B128,INDIRECT($B$5&amp;"生成成长"),4))/(VLOOKUP(CO$72,INDIRECT($C$5&amp;"生成成长"),5))*(VLOOKUP($B$5,标准坦克设计!$B$24:$U$30,MATCH("对"&amp;LEFT($C$5,2)&amp;"输出",标准坦克设计!$B$23:$U$23,0)))*(VLOOKUP($B128,INDIRECT($B$5&amp;"生成成长"),3))*(VLOOKUP($B$5,标准坦克设计!$B$14:$K$20,9)/30))</f>
        <v>13.279704296690108</v>
      </c>
      <c r="CP128" s="173">
        <f ca="1">(VLOOKUP(CP$72,INDIRECT($C$5&amp;"生成成长"),2))/((VLOOKUP($B128,INDIRECT($B$5&amp;"生成成长"),4))/(VLOOKUP(CP$72,INDIRECT($C$5&amp;"生成成长"),5))*(VLOOKUP($B$5,标准坦克设计!$B$24:$U$30,MATCH("对"&amp;LEFT($C$5,2)&amp;"输出",标准坦克设计!$B$23:$U$23,0)))*(VLOOKUP($B128,INDIRECT($B$5&amp;"生成成长"),3))*(VLOOKUP($B$5,标准坦克设计!$B$14:$K$20,9)/30))</f>
        <v>14.50919409990447</v>
      </c>
      <c r="CQ128" s="173">
        <f ca="1">(VLOOKUP(CQ$72,INDIRECT($C$5&amp;"生成成长"),2))/((VLOOKUP($B128,INDIRECT($B$5&amp;"生成成长"),4))/(VLOOKUP(CQ$72,INDIRECT($C$5&amp;"生成成长"),5))*(VLOOKUP($B$5,标准坦克设计!$B$24:$U$30,MATCH("对"&amp;LEFT($C$5,2)&amp;"输出",标准坦克设计!$B$23:$U$23,0)))*(VLOOKUP($B128,INDIRECT($B$5&amp;"生成成长"),3))*(VLOOKUP($B$5,标准坦克设计!$B$14:$K$20,9)/30))</f>
        <v>15.793107999035763</v>
      </c>
      <c r="CR128" s="173">
        <f ca="1">(VLOOKUP(CR$72,INDIRECT($C$5&amp;"生成成长"),2))/((VLOOKUP($B128,INDIRECT($B$5&amp;"生成成长"),4))/(VLOOKUP(CR$72,INDIRECT($C$5&amp;"生成成长"),5))*(VLOOKUP($B$5,标准坦克设计!$B$24:$U$30,MATCH("对"&amp;LEFT($C$5,2)&amp;"输出",标准坦克设计!$B$23:$U$23,0)))*(VLOOKUP($B128,INDIRECT($B$5&amp;"生成成长"),3))*(VLOOKUP($B$5,标准坦克设计!$B$14:$K$20,9)/30))</f>
        <v>17.131445994083993</v>
      </c>
      <c r="CS128" s="173">
        <f ca="1">(VLOOKUP(CS$72,INDIRECT($C$5&amp;"生成成长"),2))/((VLOOKUP($B128,INDIRECT($B$5&amp;"生成成长"),4))/(VLOOKUP(CS$72,INDIRECT($C$5&amp;"生成成长"),5))*(VLOOKUP($B$5,标准坦克设计!$B$24:$U$30,MATCH("对"&amp;LEFT($C$5,2)&amp;"输出",标准坦克设计!$B$23:$U$23,0)))*(VLOOKUP($B128,INDIRECT($B$5&amp;"生成成长"),3))*(VLOOKUP($B$5,标准坦克设计!$B$14:$K$20,9)/30))</f>
        <v>18.524208085049157</v>
      </c>
      <c r="CT128" s="173">
        <f ca="1">(VLOOKUP(CT$72,INDIRECT($C$5&amp;"生成成长"),2))/((VLOOKUP($B128,INDIRECT($B$5&amp;"生成成长"),4))/(VLOOKUP(CT$72,INDIRECT($C$5&amp;"生成成长"),5))*(VLOOKUP($B$5,标准坦克设计!$B$24:$U$30,MATCH("对"&amp;LEFT($C$5,2)&amp;"输出",标准坦克设计!$B$23:$U$23,0)))*(VLOOKUP($B128,INDIRECT($B$5&amp;"生成成长"),3))*(VLOOKUP($B$5,标准坦克设计!$B$14:$K$20,9)/30))</f>
        <v>19.971394271931249</v>
      </c>
      <c r="CU128" s="173">
        <f ca="1">(VLOOKUP(CU$72,INDIRECT($C$5&amp;"生成成长"),2))/((VLOOKUP($B128,INDIRECT($B$5&amp;"生成成长"),4))/(VLOOKUP(CU$72,INDIRECT($C$5&amp;"生成成长"),5))*(VLOOKUP($B$5,标准坦克设计!$B$24:$U$30,MATCH("对"&amp;LEFT($C$5,2)&amp;"输出",标准坦克设计!$B$23:$U$23,0)))*(VLOOKUP($B128,INDIRECT($B$5&amp;"生成成长"),3))*(VLOOKUP($B$5,标准坦克设计!$B$14:$K$20,9)/30))</f>
        <v>21.473004554730277</v>
      </c>
      <c r="CV128" s="173">
        <f ca="1">(VLOOKUP(CV$72,INDIRECT($C$5&amp;"生成成长"),2))/((VLOOKUP($B128,INDIRECT($B$5&amp;"生成成长"),4))/(VLOOKUP(CV$72,INDIRECT($C$5&amp;"生成成长"),5))*(VLOOKUP($B$5,标准坦克设计!$B$24:$U$30,MATCH("对"&amp;LEFT($C$5,2)&amp;"输出",标准坦克设计!$B$23:$U$23,0)))*(VLOOKUP($B128,INDIRECT($B$5&amp;"生成成长"),3))*(VLOOKUP($B$5,标准坦克设计!$B$14:$K$20,9)/30))</f>
        <v>23.029038933446241</v>
      </c>
      <c r="CW128" s="173">
        <f ca="1">(VLOOKUP(CW$72,INDIRECT($C$5&amp;"生成成长"),2))/((VLOOKUP($B128,INDIRECT($B$5&amp;"生成成长"),4))/(VLOOKUP(CW$72,INDIRECT($C$5&amp;"生成成长"),5))*(VLOOKUP($B$5,标准坦克设计!$B$24:$U$30,MATCH("对"&amp;LEFT($C$5,2)&amp;"输出",标准坦克设计!$B$23:$U$23,0)))*(VLOOKUP($B128,INDIRECT($B$5&amp;"生成成长"),3))*(VLOOKUP($B$5,标准坦克设计!$B$14:$K$20,9)/30))</f>
        <v>24.63949740807913</v>
      </c>
      <c r="CX128" s="173">
        <f ca="1">(VLOOKUP(CX$72,INDIRECT($C$5&amp;"生成成长"),2))/((VLOOKUP($B128,INDIRECT($B$5&amp;"生成成长"),4))/(VLOOKUP(CX$72,INDIRECT($C$5&amp;"生成成长"),5))*(VLOOKUP($B$5,标准坦克设计!$B$24:$U$30,MATCH("对"&amp;LEFT($C$5,2)&amp;"输出",标准坦克设计!$B$23:$U$23,0)))*(VLOOKUP($B128,INDIRECT($B$5&amp;"生成成长"),3))*(VLOOKUP($B$5,标准坦克设计!$B$14:$K$20,9)/30))</f>
        <v>26.304379978628965</v>
      </c>
      <c r="CY128" s="173">
        <f ca="1">(VLOOKUP(CY$72,INDIRECT($C$5&amp;"生成成长"),2))/((VLOOKUP($B128,INDIRECT($B$5&amp;"生成成长"),4))/(VLOOKUP(CY$72,INDIRECT($C$5&amp;"生成成长"),5))*(VLOOKUP($B$5,标准坦克设计!$B$24:$U$30,MATCH("对"&amp;LEFT($C$5,2)&amp;"输出",标准坦克设计!$B$23:$U$23,0)))*(VLOOKUP($B128,INDIRECT($B$5&amp;"生成成长"),3))*(VLOOKUP($B$5,标准坦克设计!$B$14:$K$20,9)/30))</f>
        <v>28.023686645095733</v>
      </c>
      <c r="CZ128" s="173">
        <f ca="1">(VLOOKUP(CZ$72,INDIRECT($C$5&amp;"生成成长"),2))/((VLOOKUP($B128,INDIRECT($B$5&amp;"生成成长"),4))/(VLOOKUP(CZ$72,INDIRECT($C$5&amp;"生成成长"),5))*(VLOOKUP($B$5,标准坦克设计!$B$24:$U$30,MATCH("对"&amp;LEFT($C$5,2)&amp;"输出",标准坦克设计!$B$23:$U$23,0)))*(VLOOKUP($B128,INDIRECT($B$5&amp;"生成成长"),3))*(VLOOKUP($B$5,标准坦克设计!$B$14:$K$20,9)/30))</f>
        <v>29.797417407479426</v>
      </c>
      <c r="DA128" s="173">
        <f ca="1">(VLOOKUP(DA$72,INDIRECT($C$5&amp;"生成成长"),2))/((VLOOKUP($B128,INDIRECT($B$5&amp;"生成成长"),4))/(VLOOKUP(DA$72,INDIRECT($C$5&amp;"生成成长"),5))*(VLOOKUP($B$5,标准坦克设计!$B$24:$U$30,MATCH("对"&amp;LEFT($C$5,2)&amp;"输出",标准坦克设计!$B$23:$U$23,0)))*(VLOOKUP($B128,INDIRECT($B$5&amp;"生成成长"),3))*(VLOOKUP($B$5,标准坦克设计!$B$14:$K$20,9)/30))</f>
        <v>31.625572265780054</v>
      </c>
      <c r="DB128" s="173">
        <f ca="1">(VLOOKUP(DB$72,INDIRECT($C$5&amp;"生成成长"),2))/((VLOOKUP($B128,INDIRECT($B$5&amp;"生成成长"),4))/(VLOOKUP(DB$72,INDIRECT($C$5&amp;"生成成长"),5))*(VLOOKUP($B$5,标准坦克设计!$B$24:$U$30,MATCH("对"&amp;LEFT($C$5,2)&amp;"输出",标准坦克设计!$B$23:$U$23,0)))*(VLOOKUP($B128,INDIRECT($B$5&amp;"生成成长"),3))*(VLOOKUP($B$5,标准坦克设计!$B$14:$K$20,9)/30))</f>
        <v>33.508151219997615</v>
      </c>
      <c r="DC128" s="173">
        <f ca="1">(VLOOKUP(DC$72,INDIRECT($C$5&amp;"生成成长"),2))/((VLOOKUP($B128,INDIRECT($B$5&amp;"生成成长"),4))/(VLOOKUP(DC$72,INDIRECT($C$5&amp;"生成成长"),5))*(VLOOKUP($B$5,标准坦克设计!$B$24:$U$30,MATCH("对"&amp;LEFT($C$5,2)&amp;"输出",标准坦克设计!$B$23:$U$23,0)))*(VLOOKUP($B128,INDIRECT($B$5&amp;"生成成长"),3))*(VLOOKUP($B$5,标准坦克设计!$B$14:$K$20,9)/30))</f>
        <v>35.623944172007988</v>
      </c>
      <c r="DD128" s="173">
        <f ca="1">(VLOOKUP(DD$72,INDIRECT($C$5&amp;"生成成长"),2))/((VLOOKUP($B128,INDIRECT($B$5&amp;"生成成长"),4))/(VLOOKUP(DD$72,INDIRECT($C$5&amp;"生成成长"),5))*(VLOOKUP($B$5,标准坦克设计!$B$24:$U$30,MATCH("对"&amp;LEFT($C$5,2)&amp;"输出",标准坦克设计!$B$23:$U$23,0)))*(VLOOKUP($B128,INDIRECT($B$5&amp;"生成成长"),3))*(VLOOKUP($B$5,标准坦克设计!$B$14:$K$20,9)/30))</f>
        <v>37.804506296018687</v>
      </c>
      <c r="DE128" s="173">
        <f ca="1">(VLOOKUP(DE$72,INDIRECT($C$5&amp;"生成成长"),2))/((VLOOKUP($B128,INDIRECT($B$5&amp;"生成成长"),4))/(VLOOKUP(DE$72,INDIRECT($C$5&amp;"生成成长"),5))*(VLOOKUP($B$5,标准坦克设计!$B$24:$U$30,MATCH("对"&amp;LEFT($C$5,2)&amp;"输出",标准坦克设计!$B$23:$U$23,0)))*(VLOOKUP($B128,INDIRECT($B$5&amp;"生成成长"),3))*(VLOOKUP($B$5,标准坦克设计!$B$14:$K$20,9)/30))</f>
        <v>40.049837592029697</v>
      </c>
      <c r="DF128" s="173">
        <f ca="1">(VLOOKUP(DF$72,INDIRECT($C$5&amp;"生成成长"),2))/((VLOOKUP($B128,INDIRECT($B$5&amp;"生成成长"),4))/(VLOOKUP(DF$72,INDIRECT($C$5&amp;"生成成长"),5))*(VLOOKUP($B$5,标准坦克设计!$B$24:$U$30,MATCH("对"&amp;LEFT($C$5,2)&amp;"输出",标准坦克设计!$B$23:$U$23,0)))*(VLOOKUP($B128,INDIRECT($B$5&amp;"生成成长"),3))*(VLOOKUP($B$5,标准坦克设计!$B$14:$K$20,9)/30))</f>
        <v>42.35993806004101</v>
      </c>
      <c r="DG128" s="173">
        <f ca="1">(VLOOKUP(DG$72,INDIRECT($C$5&amp;"生成成长"),2))/((VLOOKUP($B128,INDIRECT($B$5&amp;"生成成长"),4))/(VLOOKUP(DG$72,INDIRECT($C$5&amp;"生成成长"),5))*(VLOOKUP($B$5,标准坦克设计!$B$24:$U$30,MATCH("对"&amp;LEFT($C$5,2)&amp;"输出",标准坦克设计!$B$23:$U$23,0)))*(VLOOKUP($B128,INDIRECT($B$5&amp;"生成成长"),3))*(VLOOKUP($B$5,标准坦克设计!$B$14:$K$20,9)/30))</f>
        <v>44.734807700052656</v>
      </c>
      <c r="DH128" s="173">
        <f ca="1">(VLOOKUP(DH$72,INDIRECT($C$5&amp;"生成成长"),2))/((VLOOKUP($B128,INDIRECT($B$5&amp;"生成成长"),4))/(VLOOKUP(DH$72,INDIRECT($C$5&amp;"生成成长"),5))*(VLOOKUP($B$5,标准坦克设计!$B$24:$U$30,MATCH("对"&amp;LEFT($C$5,2)&amp;"输出",标准坦克设计!$B$23:$U$23,0)))*(VLOOKUP($B128,INDIRECT($B$5&amp;"生成成长"),3))*(VLOOKUP($B$5,标准坦克设计!$B$14:$K$20,9)/30))</f>
        <v>47.17444651206462</v>
      </c>
      <c r="DI128" s="173">
        <f ca="1">(VLOOKUP(DI$72,INDIRECT($C$5&amp;"生成成长"),2))/((VLOOKUP($B128,INDIRECT($B$5&amp;"生成成长"),4))/(VLOOKUP(DI$72,INDIRECT($C$5&amp;"生成成长"),5))*(VLOOKUP($B$5,标准坦克设计!$B$24:$U$30,MATCH("对"&amp;LEFT($C$5,2)&amp;"输出",标准坦克设计!$B$23:$U$23,0)))*(VLOOKUP($B128,INDIRECT($B$5&amp;"生成成长"),3))*(VLOOKUP($B$5,标准坦克设计!$B$14:$K$20,9)/30))</f>
        <v>49.678854496076902</v>
      </c>
      <c r="DJ128" s="173">
        <f ca="1">(VLOOKUP(DJ$72,INDIRECT($C$5&amp;"生成成长"),2))/((VLOOKUP($B128,INDIRECT($B$5&amp;"生成成长"),4))/(VLOOKUP(DJ$72,INDIRECT($C$5&amp;"生成成长"),5))*(VLOOKUP($B$5,标准坦克设计!$B$24:$U$30,MATCH("对"&amp;LEFT($C$5,2)&amp;"输出",标准坦克设计!$B$23:$U$23,0)))*(VLOOKUP($B128,INDIRECT($B$5&amp;"生成成长"),3))*(VLOOKUP($B$5,标准坦克设计!$B$14:$K$20,9)/30))</f>
        <v>4.9928485679828123</v>
      </c>
      <c r="DK128" s="173">
        <f ca="1">(VLOOKUP(DK$72,INDIRECT($C$5&amp;"生成成长"),2))/((VLOOKUP($B128,INDIRECT($B$5&amp;"生成成长"),4))/(VLOOKUP(DK$72,INDIRECT($C$5&amp;"生成成长"),5))*(VLOOKUP($B$5,标准坦克设计!$B$24:$U$30,MATCH("对"&amp;LEFT($C$5,2)&amp;"输出",标准坦克设计!$B$23:$U$23,0)))*(VLOOKUP($B128,INDIRECT($B$5&amp;"生成成长"),3))*(VLOOKUP($B$5,标准坦克设计!$B$14:$K$20,9)/30))</f>
        <v>5.61422781186086</v>
      </c>
      <c r="DL128" s="173">
        <f ca="1">(VLOOKUP(DL$72,INDIRECT($C$5&amp;"生成成长"),2))/((VLOOKUP($B128,INDIRECT($B$5&amp;"生成成长"),4))/(VLOOKUP(DL$72,INDIRECT($C$5&amp;"生成成长"),5))*(VLOOKUP($B$5,标准坦克设计!$B$24:$U$30,MATCH("对"&amp;LEFT($C$5,2)&amp;"输出",标准坦克设计!$B$23:$U$23,0)))*(VLOOKUP($B128,INDIRECT($B$5&amp;"生成成长"),3))*(VLOOKUP($B$5,标准坦克设计!$B$14:$K$20,9)/30))</f>
        <v>6.2720397149890843</v>
      </c>
      <c r="DM128" s="173">
        <f ca="1">(VLOOKUP(DM$72,INDIRECT($C$5&amp;"生成成长"),2))/((VLOOKUP($B128,INDIRECT($B$5&amp;"生成成长"),4))/(VLOOKUP(DM$72,INDIRECT($C$5&amp;"生成成长"),5))*(VLOOKUP($B$5,标准坦克设计!$B$24:$U$30,MATCH("对"&amp;LEFT($C$5,2)&amp;"输出",标准坦克设计!$B$23:$U$23,0)))*(VLOOKUP($B128,INDIRECT($B$5&amp;"生成成长"),3))*(VLOOKUP($B$5,标准坦克设计!$B$14:$K$20,9)/30))</f>
        <v>6.966284277367488</v>
      </c>
      <c r="DN128" s="173">
        <f ca="1">(VLOOKUP(DN$72,INDIRECT($C$5&amp;"生成成长"),2))/((VLOOKUP($B128,INDIRECT($B$5&amp;"生成成长"),4))/(VLOOKUP(DN$72,INDIRECT($C$5&amp;"生成成长"),5))*(VLOOKUP($B$5,标准坦克设计!$B$24:$U$30,MATCH("对"&amp;LEFT($C$5,2)&amp;"输出",标准坦克设计!$B$23:$U$23,0)))*(VLOOKUP($B128,INDIRECT($B$5&amp;"生成成长"),3))*(VLOOKUP($B$5,标准坦克设计!$B$14:$K$20,9)/30))</f>
        <v>7.6969614989960702</v>
      </c>
      <c r="DO128" s="173">
        <f ca="1">(VLOOKUP(DO$72,INDIRECT($C$5&amp;"生成成长"),2))/((VLOOKUP($B128,INDIRECT($B$5&amp;"生成成长"),4))/(VLOOKUP(DO$72,INDIRECT($C$5&amp;"生成成长"),5))*(VLOOKUP($B$5,标准坦克设计!$B$24:$U$30,MATCH("对"&amp;LEFT($C$5,2)&amp;"输出",标准坦克设计!$B$23:$U$23,0)))*(VLOOKUP($B128,INDIRECT($B$5&amp;"生成成长"),3))*(VLOOKUP($B$5,标准坦克设计!$B$14:$K$20,9)/30))</f>
        <v>8.4640713798748308</v>
      </c>
      <c r="DP128" s="173">
        <f ca="1">(VLOOKUP(DP$72,INDIRECT($C$5&amp;"生成成长"),2))/((VLOOKUP($B128,INDIRECT($B$5&amp;"生成成长"),4))/(VLOOKUP(DP$72,INDIRECT($C$5&amp;"生成成长"),5))*(VLOOKUP($B$5,标准坦克设计!$B$24:$U$30,MATCH("对"&amp;LEFT($C$5,2)&amp;"输出",标准坦克设计!$B$23:$U$23,0)))*(VLOOKUP($B128,INDIRECT($B$5&amp;"生成成长"),3))*(VLOOKUP($B$5,标准坦克设计!$B$14:$K$20,9)/30))</f>
        <v>9.2676139200037717</v>
      </c>
      <c r="DQ128" s="173">
        <f ca="1">(VLOOKUP(DQ$72,INDIRECT($C$5&amp;"生成成长"),2))/((VLOOKUP($B128,INDIRECT($B$5&amp;"生成成长"),4))/(VLOOKUP(DQ$72,INDIRECT($C$5&amp;"生成成长"),5))*(VLOOKUP($B$5,标准坦克设计!$B$24:$U$30,MATCH("对"&amp;LEFT($C$5,2)&amp;"输出",标准坦克设计!$B$23:$U$23,0)))*(VLOOKUP($B128,INDIRECT($B$5&amp;"生成成长"),3))*(VLOOKUP($B$5,标准坦克设计!$B$14:$K$20,9)/30))</f>
        <v>10.10758911938289</v>
      </c>
      <c r="DR128" s="173">
        <f ca="1">(VLOOKUP(DR$72,INDIRECT($C$5&amp;"生成成长"),2))/((VLOOKUP($B128,INDIRECT($B$5&amp;"生成成长"),4))/(VLOOKUP(DR$72,INDIRECT($C$5&amp;"生成成长"),5))*(VLOOKUP($B$5,标准坦克设计!$B$24:$U$30,MATCH("对"&amp;LEFT($C$5,2)&amp;"输出",标准坦克设计!$B$23:$U$23,0)))*(VLOOKUP($B128,INDIRECT($B$5&amp;"生成成长"),3))*(VLOOKUP($B$5,标准坦克设计!$B$14:$K$20,9)/30))</f>
        <v>10.983996978012186</v>
      </c>
      <c r="DS128" s="173">
        <f ca="1">(VLOOKUP(DS$72,INDIRECT($C$5&amp;"生成成长"),2))/((VLOOKUP($B128,INDIRECT($B$5&amp;"生成成长"),4))/(VLOOKUP(DS$72,INDIRECT($C$5&amp;"生成成长"),5))*(VLOOKUP($B$5,标准坦克设计!$B$24:$U$30,MATCH("对"&amp;LEFT($C$5,2)&amp;"输出",标准坦克设计!$B$23:$U$23,0)))*(VLOOKUP($B128,INDIRECT($B$5&amp;"生成成长"),3))*(VLOOKUP($B$5,标准坦克设计!$B$14:$K$20,9)/30))</f>
        <v>11.896837495891662</v>
      </c>
      <c r="DT128" s="173">
        <f ca="1">(VLOOKUP(DT$72,INDIRECT($C$5&amp;"生成成长"),2))/((VLOOKUP($B128,INDIRECT($B$5&amp;"生成成长"),4))/(VLOOKUP(DT$72,INDIRECT($C$5&amp;"生成成长"),5))*(VLOOKUP($B$5,标准坦克设计!$B$24:$U$30,MATCH("对"&amp;LEFT($C$5,2)&amp;"输出",标准坦克设计!$B$23:$U$23,0)))*(VLOOKUP($B128,INDIRECT($B$5&amp;"生成成长"),3))*(VLOOKUP($B$5,标准坦克设计!$B$14:$K$20,9)/30))</f>
        <v>13.062007913022374</v>
      </c>
      <c r="DU128" s="173">
        <f ca="1">(VLOOKUP(DU$72,INDIRECT($C$5&amp;"生成成长"),2))/((VLOOKUP($B128,INDIRECT($B$5&amp;"生成成长"),4))/(VLOOKUP(DU$72,INDIRECT($C$5&amp;"生成成长"),5))*(VLOOKUP($B$5,标准坦克设计!$B$24:$U$30,MATCH("对"&amp;LEFT($C$5,2)&amp;"输出",标准坦克设计!$B$23:$U$23,0)))*(VLOOKUP($B128,INDIRECT($B$5&amp;"生成成长"),3))*(VLOOKUP($B$5,标准坦克设计!$B$14:$K$20,9)/30))</f>
        <v>14.281602426070018</v>
      </c>
      <c r="DV128" s="173">
        <f ca="1">(VLOOKUP(DV$72,INDIRECT($C$5&amp;"生成成长"),2))/((VLOOKUP($B128,INDIRECT($B$5&amp;"生成成长"),4))/(VLOOKUP(DV$72,INDIRECT($C$5&amp;"生成成长"),5))*(VLOOKUP($B$5,标准坦克设计!$B$24:$U$30,MATCH("对"&amp;LEFT($C$5,2)&amp;"输出",标准坦克设计!$B$23:$U$23,0)))*(VLOOKUP($B128,INDIRECT($B$5&amp;"生成成长"),3))*(VLOOKUP($B$5,标准坦克设计!$B$14:$K$20,9)/30))</f>
        <v>15.555621035034603</v>
      </c>
      <c r="DW128" s="173">
        <f ca="1">(VLOOKUP(DW$72,INDIRECT($C$5&amp;"生成成长"),2))/((VLOOKUP($B128,INDIRECT($B$5&amp;"生成成长"),4))/(VLOOKUP(DW$72,INDIRECT($C$5&amp;"生成成长"),5))*(VLOOKUP($B$5,标准坦克设计!$B$24:$U$30,MATCH("对"&amp;LEFT($C$5,2)&amp;"输出",标准坦克设计!$B$23:$U$23,0)))*(VLOOKUP($B128,INDIRECT($B$5&amp;"生成成长"),3))*(VLOOKUP($B$5,标准坦克设计!$B$14:$K$20,9)/30))</f>
        <v>16.884063739916112</v>
      </c>
      <c r="DX128" s="173">
        <f ca="1">(VLOOKUP(DX$72,INDIRECT($C$5&amp;"生成成长"),2))/((VLOOKUP($B128,INDIRECT($B$5&amp;"生成成长"),4))/(VLOOKUP(DX$72,INDIRECT($C$5&amp;"生成成长"),5))*(VLOOKUP($B$5,标准坦克设计!$B$24:$U$30,MATCH("对"&amp;LEFT($C$5,2)&amp;"输出",标准坦克设计!$B$23:$U$23,0)))*(VLOOKUP($B128,INDIRECT($B$5&amp;"生成成长"),3))*(VLOOKUP($B$5,标准坦克设计!$B$14:$K$20,9)/30))</f>
        <v>18.266930540714561</v>
      </c>
      <c r="DY128" s="173">
        <f ca="1">(VLOOKUP(DY$72,INDIRECT($C$5&amp;"生成成长"),2))/((VLOOKUP($B128,INDIRECT($B$5&amp;"生成成长"),4))/(VLOOKUP(DY$72,INDIRECT($C$5&amp;"生成成长"),5))*(VLOOKUP($B$5,标准坦克设计!$B$24:$U$30,MATCH("对"&amp;LEFT($C$5,2)&amp;"输出",标准坦克设计!$B$23:$U$23,0)))*(VLOOKUP($B128,INDIRECT($B$5&amp;"生成成长"),3))*(VLOOKUP($B$5,标准坦克设计!$B$14:$K$20,9)/30))</f>
        <v>8.2043200129985578</v>
      </c>
      <c r="DZ128" s="173">
        <f ca="1">(VLOOKUP(DZ$72,INDIRECT($C$5&amp;"生成成长"),2))/((VLOOKUP($B128,INDIRECT($B$5&amp;"生成成长"),4))/(VLOOKUP(DZ$72,INDIRECT($C$5&amp;"生成成长"),5))*(VLOOKUP($B$5,标准坦克设计!$B$24:$U$30,MATCH("对"&amp;LEFT($C$5,2)&amp;"输出",标准坦克设计!$B$23:$U$23,0)))*(VLOOKUP($B128,INDIRECT($B$5&amp;"生成成长"),3))*(VLOOKUP($B$5,标准坦克设计!$B$14:$K$20,9)/30))</f>
        <v>9.0859004096695468</v>
      </c>
      <c r="EA128" s="173">
        <f ca="1">(VLOOKUP(EA$72,INDIRECT($C$5&amp;"生成成长"),2))/((VLOOKUP($B128,INDIRECT($B$5&amp;"生成成长"),4))/(VLOOKUP(EA$72,INDIRECT($C$5&amp;"生成成长"),5))*(VLOOKUP($B$5,标准坦克设计!$B$24:$U$30,MATCH("对"&amp;LEFT($C$5,2)&amp;"输出",标准坦克设计!$B$23:$U$23,0)))*(VLOOKUP($B128,INDIRECT($B$5&amp;"生成成长"),3))*(VLOOKUP($B$5,标准坦克设计!$B$14:$K$20,9)/30))</f>
        <v>10.012459398007424</v>
      </c>
      <c r="EB128" s="173">
        <f ca="1">(VLOOKUP(EB$72,INDIRECT($C$5&amp;"生成成长"),2))/((VLOOKUP($B128,INDIRECT($B$5&amp;"生成成长"),4))/(VLOOKUP(EB$72,INDIRECT($C$5&amp;"生成成长"),5))*(VLOOKUP($B$5,标准坦克设计!$B$24:$U$30,MATCH("对"&amp;LEFT($C$5,2)&amp;"输出",标准坦克设计!$B$23:$U$23,0)))*(VLOOKUP($B128,INDIRECT($B$5&amp;"生成成长"),3))*(VLOOKUP($B$5,标准坦克设计!$B$14:$K$20,9)/30))</f>
        <v>10.983996978012186</v>
      </c>
      <c r="EC128" s="173">
        <f ca="1">(VLOOKUP(EC$72,INDIRECT($C$5&amp;"生成成长"),2))/((VLOOKUP($B128,INDIRECT($B$5&amp;"生成成长"),4))/(VLOOKUP(EC$72,INDIRECT($C$5&amp;"生成成长"),5))*(VLOOKUP($B$5,标准坦克设计!$B$24:$U$30,MATCH("对"&amp;LEFT($C$5,2)&amp;"输出",标准坦克设计!$B$23:$U$23,0)))*(VLOOKUP($B128,INDIRECT($B$5&amp;"生成成长"),3))*(VLOOKUP($B$5,标准坦克设计!$B$14:$K$20,9)/30))</f>
        <v>12.000513149683835</v>
      </c>
      <c r="ED128" s="173">
        <f ca="1">(VLOOKUP(ED$72,INDIRECT($C$5&amp;"生成成长"),2))/((VLOOKUP($B128,INDIRECT($B$5&amp;"生成成长"),4))/(VLOOKUP(ED$72,INDIRECT($C$5&amp;"生成成长"),5))*(VLOOKUP($B$5,标准坦克设计!$B$24:$U$30,MATCH("对"&amp;LEFT($C$5,2)&amp;"输出",标准坦克设计!$B$23:$U$23,0)))*(VLOOKUP($B128,INDIRECT($B$5&amp;"生成成长"),3))*(VLOOKUP($B$5,标准坦克设计!$B$14:$K$20,9)/30))</f>
        <v>13.062007913022374</v>
      </c>
      <c r="EE128" s="173">
        <f ca="1">(VLOOKUP(EE$72,INDIRECT($C$5&amp;"生成成长"),2))/((VLOOKUP($B128,INDIRECT($B$5&amp;"生成成长"),4))/(VLOOKUP(EE$72,INDIRECT($C$5&amp;"生成成长"),5))*(VLOOKUP($B$5,标准坦克设计!$B$24:$U$30,MATCH("对"&amp;LEFT($C$5,2)&amp;"输出",标准坦克设计!$B$23:$U$23,0)))*(VLOOKUP($B128,INDIRECT($B$5&amp;"生成成长"),3))*(VLOOKUP($B$5,标准坦克设计!$B$14:$K$20,9)/30))</f>
        <v>14.168481268027801</v>
      </c>
      <c r="EF128" s="173">
        <f ca="1">(VLOOKUP(EF$72,INDIRECT($C$5&amp;"生成成长"),2))/((VLOOKUP($B128,INDIRECT($B$5&amp;"生成成长"),4))/(VLOOKUP(EF$72,INDIRECT($C$5&amp;"生成成长"),5))*(VLOOKUP($B$5,标准坦克设计!$B$24:$U$30,MATCH("对"&amp;LEFT($C$5,2)&amp;"输出",标准坦克设计!$B$23:$U$23,0)))*(VLOOKUP($B128,INDIRECT($B$5&amp;"生成成长"),3))*(VLOOKUP($B$5,标准坦克设计!$B$14:$K$20,9)/30))</f>
        <v>15.319933214700111</v>
      </c>
      <c r="EG128" s="173">
        <f ca="1">(VLOOKUP(EG$72,INDIRECT($C$5&amp;"生成成长"),2))/((VLOOKUP($B128,INDIRECT($B$5&amp;"生成成长"),4))/(VLOOKUP(EG$72,INDIRECT($C$5&amp;"生成成长"),5))*(VLOOKUP($B$5,标准坦克设计!$B$24:$U$30,MATCH("对"&amp;LEFT($C$5,2)&amp;"输出",标准坦克设计!$B$23:$U$23,0)))*(VLOOKUP($B128,INDIRECT($B$5&amp;"生成成长"),3))*(VLOOKUP($B$5,标准坦克设计!$B$14:$K$20,9)/30))</f>
        <v>16.516363753039311</v>
      </c>
      <c r="EH128" s="173">
        <f ca="1">(VLOOKUP(EH$72,INDIRECT($C$5&amp;"生成成长"),2))/((VLOOKUP($B128,INDIRECT($B$5&amp;"生成成长"),4))/(VLOOKUP(EH$72,INDIRECT($C$5&amp;"生成成长"),5))*(VLOOKUP($B$5,标准坦克设计!$B$24:$U$30,MATCH("对"&amp;LEFT($C$5,2)&amp;"输出",标准坦克设计!$B$23:$U$23,0)))*(VLOOKUP($B128,INDIRECT($B$5&amp;"生成成长"),3))*(VLOOKUP($B$5,标准坦克设计!$B$14:$K$20,9)/30))</f>
        <v>17.757772883045394</v>
      </c>
      <c r="EI128" s="173">
        <f ca="1">(VLOOKUP(EI$72,INDIRECT($C$5&amp;"生成成长"),2))/((VLOOKUP($B128,INDIRECT($B$5&amp;"生成成长"),4))/(VLOOKUP(EI$72,INDIRECT($C$5&amp;"生成成长"),5))*(VLOOKUP($B$5,标准坦克设计!$B$24:$U$30,MATCH("对"&amp;LEFT($C$5,2)&amp;"输出",标准坦克设计!$B$23:$U$23,0)))*(VLOOKUP($B128,INDIRECT($B$5&amp;"生成成长"),3))*(VLOOKUP($B$5,标准坦克设计!$B$14:$K$20,9)/30))</f>
        <v>19.044160604718371</v>
      </c>
      <c r="EJ128" s="173">
        <f ca="1">(VLOOKUP(EJ$72,INDIRECT($C$5&amp;"生成成长"),2))/((VLOOKUP($B128,INDIRECT($B$5&amp;"生成成长"),4))/(VLOOKUP(EJ$72,INDIRECT($C$5&amp;"生成成长"),5))*(VLOOKUP($B$5,标准坦克设计!$B$24:$U$30,MATCH("对"&amp;LEFT($C$5,2)&amp;"输出",标准坦克设计!$B$23:$U$23,0)))*(VLOOKUP($B128,INDIRECT($B$5&amp;"生成成长"),3))*(VLOOKUP($B$5,标准坦克设计!$B$14:$K$20,9)/30))</f>
        <v>20.375526918058227</v>
      </c>
      <c r="EK128" s="173">
        <f ca="1">(VLOOKUP(EK$72,INDIRECT($C$5&amp;"生成成长"),2))/((VLOOKUP($B128,INDIRECT($B$5&amp;"生成成长"),4))/(VLOOKUP(EK$72,INDIRECT($C$5&amp;"生成成长"),5))*(VLOOKUP($B$5,标准坦克设计!$B$24:$U$30,MATCH("对"&amp;LEFT($C$5,2)&amp;"输出",标准坦克设计!$B$23:$U$23,0)))*(VLOOKUP($B128,INDIRECT($B$5&amp;"生成成长"),3))*(VLOOKUP($B$5,标准坦克设计!$B$14:$K$20,9)/30))</f>
        <v>22.032538235066358</v>
      </c>
      <c r="EL128" s="173">
        <f ca="1">(VLOOKUP(EL$72,INDIRECT($C$5&amp;"生成成长"),2))/((VLOOKUP($B128,INDIRECT($B$5&amp;"生成成长"),4))/(VLOOKUP(EL$72,INDIRECT($C$5&amp;"生成成长"),5))*(VLOOKUP($B$5,标准坦克设计!$B$24:$U$30,MATCH("对"&amp;LEFT($C$5,2)&amp;"输出",标准坦克设计!$B$23:$U$23,0)))*(VLOOKUP($B128,INDIRECT($B$5&amp;"生成成长"),3))*(VLOOKUP($B$5,标准坦克设计!$B$14:$K$20,9)/30))</f>
        <v>23.754318724074796</v>
      </c>
      <c r="EM128" s="173">
        <f ca="1">(VLOOKUP(EM$72,INDIRECT($C$5&amp;"生成成长"),2))/((VLOOKUP($B128,INDIRECT($B$5&amp;"生成成长"),4))/(VLOOKUP(EM$72,INDIRECT($C$5&amp;"生成成长"),5))*(VLOOKUP($B$5,标准坦克设计!$B$24:$U$30,MATCH("对"&amp;LEFT($C$5,2)&amp;"输出",标准坦克设计!$B$23:$U$23,0)))*(VLOOKUP($B128,INDIRECT($B$5&amp;"生成成长"),3))*(VLOOKUP($B$5,标准坦克设计!$B$14:$K$20,9)/30))</f>
        <v>25.540868385083556</v>
      </c>
      <c r="EN128" s="173">
        <f ca="1">(VLOOKUP(EN$72,INDIRECT($C$5&amp;"生成成长"),2))/((VLOOKUP($B128,INDIRECT($B$5&amp;"生成成长"),4))/(VLOOKUP(EN$72,INDIRECT($C$5&amp;"生成成长"),5))*(VLOOKUP($B$5,标准坦克设计!$B$24:$U$30,MATCH("对"&amp;LEFT($C$5,2)&amp;"输出",标准坦克设计!$B$23:$U$23,0)))*(VLOOKUP($B128,INDIRECT($B$5&amp;"生成成长"),3))*(VLOOKUP($B$5,标准坦克设计!$B$14:$K$20,9)/30))</f>
        <v>27.392187218092634</v>
      </c>
      <c r="EO128" s="173">
        <f ca="1">(VLOOKUP(EO$72,INDIRECT($C$5&amp;"生成成长"),2))/((VLOOKUP($B128,INDIRECT($B$5&amp;"生成成长"),4))/(VLOOKUP(EO$72,INDIRECT($C$5&amp;"生成成长"),5))*(VLOOKUP($B$5,标准坦克设计!$B$24:$U$30,MATCH("对"&amp;LEFT($C$5,2)&amp;"输出",标准坦克设计!$B$23:$U$23,0)))*(VLOOKUP($B128,INDIRECT($B$5&amp;"生成成长"),3))*(VLOOKUP($B$5,标准坦克设计!$B$14:$K$20,9)/30))</f>
        <v>29.308275223102026</v>
      </c>
      <c r="EP128" s="173">
        <f ca="1">(VLOOKUP(EP$72,INDIRECT($C$5&amp;"生成成长"),2))/((VLOOKUP($B128,INDIRECT($B$5&amp;"生成成长"),4))/(VLOOKUP(EP$72,INDIRECT($C$5&amp;"生成成长"),5))*(VLOOKUP($B$5,标准坦克设计!$B$24:$U$30,MATCH("对"&amp;LEFT($C$5,2)&amp;"输出",标准坦克设计!$B$23:$U$23,0)))*(VLOOKUP($B128,INDIRECT($B$5&amp;"生成成长"),3))*(VLOOKUP($B$5,标准坦克设计!$B$14:$K$20,9)/30))</f>
        <v>31.289132400111736</v>
      </c>
      <c r="EQ128" s="173">
        <f ca="1">(VLOOKUP(EQ$72,INDIRECT($C$5&amp;"生成成长"),2))/((VLOOKUP($B128,INDIRECT($B$5&amp;"生成成长"),4))/(VLOOKUP(EQ$72,INDIRECT($C$5&amp;"生成成长"),5))*(VLOOKUP($B$5,标准坦克设计!$B$24:$U$30,MATCH("对"&amp;LEFT($C$5,2)&amp;"输出",标准坦克设计!$B$23:$U$23,0)))*(VLOOKUP($B128,INDIRECT($B$5&amp;"生成成长"),3))*(VLOOKUP($B$5,标准坦克设计!$B$14:$K$20,9)/30))</f>
        <v>13.831816509401147</v>
      </c>
      <c r="ER128" s="173">
        <f ca="1">(VLOOKUP(ER$72,INDIRECT($C$5&amp;"生成成长"),2))/((VLOOKUP($B128,INDIRECT($B$5&amp;"生成成长"),4))/(VLOOKUP(ER$72,INDIRECT($C$5&amp;"生成成长"),5))*(VLOOKUP($B$5,标准坦克设计!$B$24:$U$30,MATCH("对"&amp;LEFT($C$5,2)&amp;"输出",标准坦克设计!$B$23:$U$23,0)))*(VLOOKUP($B128,INDIRECT($B$5&amp;"生成成长"),3))*(VLOOKUP($B$5,标准坦克设计!$B$14:$K$20,9)/30))</f>
        <v>15.086044538032299</v>
      </c>
      <c r="ES128" s="173">
        <f ca="1">(VLOOKUP(ES$72,INDIRECT($C$5&amp;"生成成长"),2))/((VLOOKUP($B128,INDIRECT($B$5&amp;"生成成长"),4))/(VLOOKUP(ES$72,INDIRECT($C$5&amp;"生成成长"),5))*(VLOOKUP($B$5,标准坦克设计!$B$24:$U$30,MATCH("对"&amp;LEFT($C$5,2)&amp;"输出",标准坦克设计!$B$23:$U$23,0)))*(VLOOKUP($B128,INDIRECT($B$5&amp;"生成成长"),3))*(VLOOKUP($B$5,标准坦克设计!$B$14:$K$20,9)/30))</f>
        <v>16.39469666258038</v>
      </c>
      <c r="ET128" s="173">
        <f ca="1">(VLOOKUP(ET$72,INDIRECT($C$5&amp;"生成成长"),2))/((VLOOKUP($B128,INDIRECT($B$5&amp;"生成成长"),4))/(VLOOKUP(ET$72,INDIRECT($C$5&amp;"生成成长"),5))*(VLOOKUP($B$5,标准坦克设计!$B$24:$U$30,MATCH("对"&amp;LEFT($C$5,2)&amp;"输出",标准坦克设计!$B$23:$U$23,0)))*(VLOOKUP($B128,INDIRECT($B$5&amp;"生成成长"),3))*(VLOOKUP($B$5,标准坦克设计!$B$14:$K$20,9)/30))</f>
        <v>17.757772883045394</v>
      </c>
      <c r="EU128" s="173">
        <f ca="1">(VLOOKUP(EU$72,INDIRECT($C$5&amp;"生成成长"),2))/((VLOOKUP($B128,INDIRECT($B$5&amp;"生成成长"),4))/(VLOOKUP(EU$72,INDIRECT($C$5&amp;"生成成长"),5))*(VLOOKUP($B$5,标准坦克设计!$B$24:$U$30,MATCH("对"&amp;LEFT($C$5,2)&amp;"输出",标准坦克设计!$B$23:$U$23,0)))*(VLOOKUP($B128,INDIRECT($B$5&amp;"生成成长"),3))*(VLOOKUP($B$5,标准坦克设计!$B$14:$K$20,9)/30))</f>
        <v>19.175273199427348</v>
      </c>
      <c r="EV128" s="173">
        <f ca="1">(VLOOKUP(EV$72,INDIRECT($C$5&amp;"生成成长"),2))/((VLOOKUP($B128,INDIRECT($B$5&amp;"生成成长"),4))/(VLOOKUP(EV$72,INDIRECT($C$5&amp;"生成成长"),5))*(VLOOKUP($B$5,标准坦克设计!$B$24:$U$30,MATCH("对"&amp;LEFT($C$5,2)&amp;"输出",标准坦克设计!$B$23:$U$23,0)))*(VLOOKUP($B128,INDIRECT($B$5&amp;"生成成长"),3))*(VLOOKUP($B$5,标准坦克设计!$B$14:$K$20,9)/30))</f>
        <v>20.647197611726231</v>
      </c>
      <c r="EW128" s="173">
        <f ca="1">(VLOOKUP(EW$72,INDIRECT($C$5&amp;"生成成长"),2))/((VLOOKUP($B128,INDIRECT($B$5&amp;"生成成长"),4))/(VLOOKUP(EW$72,INDIRECT($C$5&amp;"生成成长"),5))*(VLOOKUP($B$5,标准坦克设计!$B$24:$U$30,MATCH("对"&amp;LEFT($C$5,2)&amp;"输出",标准坦克设计!$B$23:$U$23,0)))*(VLOOKUP($B128,INDIRECT($B$5&amp;"生成成长"),3))*(VLOOKUP($B$5,标准坦克设计!$B$14:$K$20,9)/30))</f>
        <v>22.173546119942049</v>
      </c>
      <c r="EX128" s="173">
        <f ca="1">(VLOOKUP(EX$72,INDIRECT($C$5&amp;"生成成长"),2))/((VLOOKUP($B128,INDIRECT($B$5&amp;"生成成长"),4))/(VLOOKUP(EX$72,INDIRECT($C$5&amp;"生成成长"),5))*(VLOOKUP($B$5,标准坦克设计!$B$24:$U$30,MATCH("对"&amp;LEFT($C$5,2)&amp;"输出",标准坦克设计!$B$23:$U$23,0)))*(VLOOKUP($B128,INDIRECT($B$5&amp;"生成成长"),3))*(VLOOKUP($B$5,标准坦克设计!$B$14:$K$20,9)/30))</f>
        <v>23.754318724074796</v>
      </c>
      <c r="EY128" s="173">
        <f ca="1">(VLOOKUP(EY$72,INDIRECT($C$5&amp;"生成成长"),2))/((VLOOKUP($B128,INDIRECT($B$5&amp;"生成成长"),4))/(VLOOKUP(EY$72,INDIRECT($C$5&amp;"生成成长"),5))*(VLOOKUP($B$5,标准坦克设计!$B$24:$U$30,MATCH("对"&amp;LEFT($C$5,2)&amp;"输出",标准坦克设计!$B$23:$U$23,0)))*(VLOOKUP($B128,INDIRECT($B$5&amp;"生成成长"),3))*(VLOOKUP($B$5,标准坦克设计!$B$14:$K$20,9)/30))</f>
        <v>25.389515424124482</v>
      </c>
      <c r="EZ128" s="173">
        <f ca="1">(VLOOKUP(EZ$72,INDIRECT($C$5&amp;"生成成长"),2))/((VLOOKUP($B128,INDIRECT($B$5&amp;"生成成长"),4))/(VLOOKUP(EZ$72,INDIRECT($C$5&amp;"生成成长"),5))*(VLOOKUP($B$5,标准坦克设计!$B$24:$U$30,MATCH("对"&amp;LEFT($C$5,2)&amp;"输出",标准坦克设计!$B$23:$U$23,0)))*(VLOOKUP($B128,INDIRECT($B$5&amp;"生成成长"),3))*(VLOOKUP($B$5,标准坦克设计!$B$14:$K$20,9)/30))</f>
        <v>27.079136220091101</v>
      </c>
      <c r="FA128" s="173">
        <f ca="1">(VLOOKUP(FA$72,INDIRECT($C$5&amp;"生成成长"),2))/((VLOOKUP($B128,INDIRECT($B$5&amp;"生成成长"),4))/(VLOOKUP(FA$72,INDIRECT($C$5&amp;"生成成长"),5))*(VLOOKUP($B$5,标准坦克设计!$B$24:$U$30,MATCH("对"&amp;LEFT($C$5,2)&amp;"输出",标准坦克设计!$B$23:$U$23,0)))*(VLOOKUP($B128,INDIRECT($B$5&amp;"生成成长"),3))*(VLOOKUP($B$5,标准坦克设计!$B$14:$K$20,9)/30))</f>
        <v>28.823181111974645</v>
      </c>
      <c r="FB128" s="173">
        <f ca="1">(VLOOKUP(FB$72,INDIRECT($C$5&amp;"生成成长"),2))/((VLOOKUP($B128,INDIRECT($B$5&amp;"生成成长"),4))/(VLOOKUP(FB$72,INDIRECT($C$5&amp;"生成成长"),5))*(VLOOKUP($B$5,标准坦克设计!$B$24:$U$30,MATCH("对"&amp;LEFT($C$5,2)&amp;"输出",标准坦克设计!$B$23:$U$23,0)))*(VLOOKUP($B128,INDIRECT($B$5&amp;"生成成长"),3))*(VLOOKUP($B$5,标准坦克设计!$B$14:$K$20,9)/30))</f>
        <v>30.621650099775135</v>
      </c>
      <c r="FC128" s="173">
        <f ca="1">(VLOOKUP(FC$72,INDIRECT($C$5&amp;"生成成长"),2))/((VLOOKUP($B128,INDIRECT($B$5&amp;"生成成长"),4))/(VLOOKUP(FC$72,INDIRECT($C$5&amp;"生成成长"),5))*(VLOOKUP($B$5,标准坦克设计!$B$24:$U$30,MATCH("对"&amp;LEFT($C$5,2)&amp;"输出",标准坦克设计!$B$23:$U$23,0)))*(VLOOKUP($B128,INDIRECT($B$5&amp;"生成成长"),3))*(VLOOKUP($B$5,标准坦克设计!$B$14:$K$20,9)/30))</f>
        <v>32.47454318349255</v>
      </c>
      <c r="FD128" s="173">
        <f ca="1">(VLOOKUP(FD$72,INDIRECT($C$5&amp;"生成成长"),2))/((VLOOKUP($B128,INDIRECT($B$5&amp;"生成成长"),4))/(VLOOKUP(FD$72,INDIRECT($C$5&amp;"生成成长"),5))*(VLOOKUP($B$5,标准坦克设计!$B$24:$U$30,MATCH("对"&amp;LEFT($C$5,2)&amp;"输出",标准坦克设计!$B$23:$U$23,0)))*(VLOOKUP($B128,INDIRECT($B$5&amp;"生成成长"),3))*(VLOOKUP($B$5,标准坦克设计!$B$14:$K$20,9)/30))</f>
        <v>34.381860363126904</v>
      </c>
      <c r="FE128" s="173">
        <f ca="1">(VLOOKUP(FE$72,INDIRECT($C$5&amp;"生成成长"),2))/((VLOOKUP($B128,INDIRECT($B$5&amp;"生成成长"),4))/(VLOOKUP(FE$72,INDIRECT($C$5&amp;"生成成长"),5))*(VLOOKUP($B$5,标准坦克设计!$B$24:$U$30,MATCH("对"&amp;LEFT($C$5,2)&amp;"输出",标准坦克设计!$B$23:$U$23,0)))*(VLOOKUP($B128,INDIRECT($B$5&amp;"生成成长"),3))*(VLOOKUP($B$5,标准坦克设计!$B$14:$K$20,9)/30))</f>
        <v>36.706129087513297</v>
      </c>
      <c r="FF128" s="173">
        <f ca="1">(VLOOKUP(FF$72,INDIRECT($C$5&amp;"生成成长"),2))/((VLOOKUP($B128,INDIRECT($B$5&amp;"生成成长"),4))/(VLOOKUP(FF$72,INDIRECT($C$5&amp;"生成成长"),5))*(VLOOKUP($B$5,标准坦克设计!$B$24:$U$30,MATCH("对"&amp;LEFT($C$5,2)&amp;"输出",标准坦克设计!$B$23:$U$23,0)))*(VLOOKUP($B128,INDIRECT($B$5&amp;"生成成长"),3))*(VLOOKUP($B$5,标准坦克设计!$B$14:$K$20,9)/30))</f>
        <v>39.106411631816734</v>
      </c>
      <c r="FG128" s="173">
        <f ca="1">(VLOOKUP(FG$72,INDIRECT($C$5&amp;"生成成长"),2))/((VLOOKUP($B128,INDIRECT($B$5&amp;"生成成长"),4))/(VLOOKUP(FG$72,INDIRECT($C$5&amp;"生成成长"),5))*(VLOOKUP($B$5,标准坦克设计!$B$24:$U$30,MATCH("对"&amp;LEFT($C$5,2)&amp;"输出",标准坦克设计!$B$23:$U$23,0)))*(VLOOKUP($B128,INDIRECT($B$5&amp;"生成成长"),3))*(VLOOKUP($B$5,标准坦克设计!$B$14:$K$20,9)/30))</f>
        <v>41.582707996037207</v>
      </c>
      <c r="FH128" s="173">
        <f ca="1">(VLOOKUP(FH$72,INDIRECT($C$5&amp;"生成成长"),2))/((VLOOKUP($B128,INDIRECT($B$5&amp;"生成成长"),4))/(VLOOKUP(FH$72,INDIRECT($C$5&amp;"生成成长"),5))*(VLOOKUP($B$5,标准坦克设计!$B$24:$U$30,MATCH("对"&amp;LEFT($C$5,2)&amp;"输出",标准坦克设计!$B$23:$U$23,0)))*(VLOOKUP($B128,INDIRECT($B$5&amp;"生成成长"),3))*(VLOOKUP($B$5,标准坦克设计!$B$14:$K$20,9)/30))</f>
        <v>44.135018180174725</v>
      </c>
      <c r="FI128" s="173">
        <f ca="1">(VLOOKUP(FI$72,INDIRECT($C$5&amp;"生成成长"),2))/((VLOOKUP($B128,INDIRECT($B$5&amp;"生成成长"),4))/(VLOOKUP(FI$72,INDIRECT($C$5&amp;"生成成长"),5))*(VLOOKUP($B$5,标准坦克设计!$B$24:$U$30,MATCH("对"&amp;LEFT($C$5,2)&amp;"输出",标准坦克设计!$B$23:$U$23,0)))*(VLOOKUP($B128,INDIRECT($B$5&amp;"生成成长"),3))*(VLOOKUP($B$5,标准坦克设计!$B$14:$K$20,9)/30))</f>
        <v>46.76334218422928</v>
      </c>
      <c r="FJ128" s="173">
        <f ca="1">(VLOOKUP(FJ$72,INDIRECT($C$5&amp;"生成成长"),2))/((VLOOKUP($B128,INDIRECT($B$5&amp;"生成成长"),4))/(VLOOKUP(FJ$72,INDIRECT($C$5&amp;"生成成长"),5))*(VLOOKUP($B$5,标准坦克设计!$B$24:$U$30,MATCH("对"&amp;LEFT($C$5,2)&amp;"输出",标准坦克设计!$B$23:$U$23,0)))*(VLOOKUP($B128,INDIRECT($B$5&amp;"生成成长"),3))*(VLOOKUP($B$5,标准坦克设计!$B$14:$K$20,9)/30))</f>
        <v>49.467680008200873</v>
      </c>
      <c r="FK128" s="173">
        <f ca="1">(VLOOKUP(FK$72,INDIRECT($C$5&amp;"生成成长"),2))/((VLOOKUP($B128,INDIRECT($B$5&amp;"生成成长"),4))/(VLOOKUP(FK$72,INDIRECT($C$5&amp;"生成成长"),5))*(VLOOKUP($B$5,标准坦克设计!$B$24:$U$30,MATCH("对"&amp;LEFT($C$5,2)&amp;"输出",标准坦克设计!$B$23:$U$23,0)))*(VLOOKUP($B128,INDIRECT($B$5&amp;"生成成长"),3))*(VLOOKUP($B$5,标准坦克设计!$B$14:$K$20,9)/30))</f>
        <v>52.248031652089495</v>
      </c>
    </row>
    <row r="129" spans="1:167" x14ac:dyDescent="0.15">
      <c r="A129" s="171" t="str">
        <f t="shared" si="11"/>
        <v>T2中品质12级</v>
      </c>
      <c r="B129" s="172">
        <v>20212</v>
      </c>
      <c r="C129" s="173">
        <f ca="1">(VLOOKUP(C$72,INDIRECT($C$5&amp;"生成成长"),2))/((VLOOKUP($B129,INDIRECT($B$5&amp;"生成成长"),4))/(VLOOKUP(C$72,INDIRECT($C$5&amp;"生成成长"),5))*(VLOOKUP($B$5,标准坦克设计!$B$24:$U$30,MATCH("对"&amp;LEFT($C$5,2)&amp;"输出",标准坦克设计!$B$23:$U$23,0)))*(VLOOKUP($B129,INDIRECT($B$5&amp;"生成成长"),3))*(VLOOKUP($B$5,标准坦克设计!$B$14:$K$20,9)/30))</f>
        <v>2.0623203706973081</v>
      </c>
      <c r="D129" s="173">
        <f ca="1">(VLOOKUP(D$72,INDIRECT($C$5&amp;"生成成长"),2))/((VLOOKUP($B129,INDIRECT($B$5&amp;"生成成长"),4))/(VLOOKUP(D$72,INDIRECT($C$5&amp;"生成成长"),5))*(VLOOKUP($B$5,标准坦克设计!$B$24:$U$30,MATCH("对"&amp;LEFT($C$5,2)&amp;"输出",标准坦克设计!$B$23:$U$23,0)))*(VLOOKUP($B129,INDIRECT($B$5&amp;"生成成长"),3))*(VLOOKUP($B$5,标准坦克设计!$B$14:$K$20,9)/30))</f>
        <v>2.3172231685154951</v>
      </c>
      <c r="E129" s="173">
        <f ca="1">(VLOOKUP(E$72,INDIRECT($C$5&amp;"生成成长"),2))/((VLOOKUP($B129,INDIRECT($B$5&amp;"生成成长"),4))/(VLOOKUP(E$72,INDIRECT($C$5&amp;"生成成长"),5))*(VLOOKUP($B$5,标准坦克设计!$B$24:$U$30,MATCH("对"&amp;LEFT($C$5,2)&amp;"输出",标准坦克设计!$B$23:$U$23,0)))*(VLOOKUP($B129,INDIRECT($B$5&amp;"生成成长"),3))*(VLOOKUP($B$5,标准坦克设计!$B$14:$K$20,9)/30))</f>
        <v>2.586974673002703</v>
      </c>
      <c r="F129" s="173">
        <f ca="1">(VLOOKUP(F$72,INDIRECT($C$5&amp;"生成成长"),2))/((VLOOKUP($B129,INDIRECT($B$5&amp;"生成成长"),4))/(VLOOKUP(F$72,INDIRECT($C$5&amp;"生成成长"),5))*(VLOOKUP($B$5,标准坦克设计!$B$24:$U$30,MATCH("对"&amp;LEFT($C$5,2)&amp;"输出",标准坦克设计!$B$23:$U$23,0)))*(VLOOKUP($B129,INDIRECT($B$5&amp;"生成成长"),3))*(VLOOKUP($B$5,标准坦克设计!$B$14:$K$20,9)/30))</f>
        <v>2.8715748841589326</v>
      </c>
      <c r="G129" s="173">
        <f ca="1">(VLOOKUP(G$72,INDIRECT($C$5&amp;"生成成长"),2))/((VLOOKUP($B129,INDIRECT($B$5&amp;"生成成长"),4))/(VLOOKUP(G$72,INDIRECT($C$5&amp;"生成成长"),5))*(VLOOKUP($B$5,标准坦克设计!$B$24:$U$30,MATCH("对"&amp;LEFT($C$5,2)&amp;"输出",标准坦克设计!$B$23:$U$23,0)))*(VLOOKUP($B129,INDIRECT($B$5&amp;"生成成长"),3))*(VLOOKUP($B$5,标准坦克设计!$B$14:$K$20,9)/30))</f>
        <v>3.1710238019841812</v>
      </c>
      <c r="H129" s="173">
        <f ca="1">(VLOOKUP(H$72,INDIRECT($C$5&amp;"生成成长"),2))/((VLOOKUP($B129,INDIRECT($B$5&amp;"生成成长"),4))/(VLOOKUP(H$72,INDIRECT($C$5&amp;"生成成长"),5))*(VLOOKUP($B$5,标准坦克设计!$B$24:$U$30,MATCH("对"&amp;LEFT($C$5,2)&amp;"输出",标准坦克设计!$B$23:$U$23,0)))*(VLOOKUP($B129,INDIRECT($B$5&amp;"生成成长"),3))*(VLOOKUP($B$5,标准坦克设计!$B$14:$K$20,9)/30))</f>
        <v>2.7750582908102981</v>
      </c>
      <c r="I129" s="173">
        <f ca="1">(VLOOKUP(I$72,INDIRECT($C$5&amp;"生成成长"),2))/((VLOOKUP($B129,INDIRECT($B$5&amp;"生成成长"),4))/(VLOOKUP(I$72,INDIRECT($C$5&amp;"生成成长"),5))*(VLOOKUP($B$5,标准坦克设计!$B$24:$U$30,MATCH("对"&amp;LEFT($C$5,2)&amp;"输出",标准坦克设计!$B$23:$U$23,0)))*(VLOOKUP($B129,INDIRECT($B$5&amp;"生成成长"),3))*(VLOOKUP($B$5,标准坦克设计!$B$14:$K$20,9)/30))</f>
        <v>3.1710238019841812</v>
      </c>
      <c r="J129" s="173">
        <f ca="1">(VLOOKUP(J$72,INDIRECT($C$5&amp;"生成成长"),2))/((VLOOKUP($B129,INDIRECT($B$5&amp;"生成成长"),4))/(VLOOKUP(J$72,INDIRECT($C$5&amp;"生成成长"),5))*(VLOOKUP($B$5,标准坦克设计!$B$24:$U$30,MATCH("对"&amp;LEFT($C$5,2)&amp;"输出",标准坦克设计!$B$23:$U$23,0)))*(VLOOKUP($B129,INDIRECT($B$5&amp;"生成成长"),3))*(VLOOKUP($B$5,标准坦克设计!$B$14:$K$20,9)/30))</f>
        <v>3.5933870139029898</v>
      </c>
      <c r="K129" s="173">
        <f ca="1">(VLOOKUP(K$72,INDIRECT($C$5&amp;"生成成长"),2))/((VLOOKUP($B129,INDIRECT($B$5&amp;"生成成长"),4))/(VLOOKUP(K$72,INDIRECT($C$5&amp;"生成成长"),5))*(VLOOKUP($B$5,标准坦克设计!$B$24:$U$30,MATCH("对"&amp;LEFT($C$5,2)&amp;"输出",标准坦克设计!$B$23:$U$23,0)))*(VLOOKUP($B129,INDIRECT($B$5&amp;"生成成长"),3))*(VLOOKUP($B$5,标准坦克设计!$B$14:$K$20,9)/30))</f>
        <v>4.0421479265667237</v>
      </c>
      <c r="L129" s="173">
        <f ca="1">(VLOOKUP(L$72,INDIRECT($C$5&amp;"生成成长"),2))/((VLOOKUP($B129,INDIRECT($B$5&amp;"生成成长"),4))/(VLOOKUP(L$72,INDIRECT($C$5&amp;"生成成长"),5))*(VLOOKUP($B$5,标准坦克设计!$B$24:$U$30,MATCH("对"&amp;LEFT($C$5,2)&amp;"输出",标准坦克设计!$B$23:$U$23,0)))*(VLOOKUP($B129,INDIRECT($B$5&amp;"生成成长"),3))*(VLOOKUP($B$5,标准坦克设计!$B$14:$K$20,9)/30))</f>
        <v>4.5173065399753849</v>
      </c>
      <c r="M129" s="173">
        <f ca="1">(VLOOKUP(M$72,INDIRECT($C$5&amp;"生成成长"),2))/((VLOOKUP($B129,INDIRECT($B$5&amp;"生成成长"),4))/(VLOOKUP(M$72,INDIRECT($C$5&amp;"生成成长"),5))*(VLOOKUP($B$5,标准坦克设计!$B$24:$U$30,MATCH("对"&amp;LEFT($C$5,2)&amp;"输出",标准坦克设计!$B$23:$U$23,0)))*(VLOOKUP($B129,INDIRECT($B$5&amp;"生成成长"),3))*(VLOOKUP($B$5,标准坦克设计!$B$14:$K$20,9)/30))</f>
        <v>5.0188628541289688</v>
      </c>
      <c r="N129" s="173">
        <f ca="1">(VLOOKUP(N$72,INDIRECT($C$5&amp;"生成成长"),2))/((VLOOKUP($B129,INDIRECT($B$5&amp;"生成成长"),4))/(VLOOKUP(N$72,INDIRECT($C$5&amp;"生成成长"),5))*(VLOOKUP($B$5,标准坦克设计!$B$24:$U$30,MATCH("对"&amp;LEFT($C$5,2)&amp;"输出",标准坦克设计!$B$23:$U$23,0)))*(VLOOKUP($B129,INDIRECT($B$5&amp;"生成成长"),3))*(VLOOKUP($B$5,标准坦克设计!$B$14:$K$20,9)/30))</f>
        <v>5.5468168690274799</v>
      </c>
      <c r="O129" s="173">
        <f ca="1">(VLOOKUP(O$72,INDIRECT($C$5&amp;"生成成长"),2))/((VLOOKUP($B129,INDIRECT($B$5&amp;"生成成长"),4))/(VLOOKUP(O$72,INDIRECT($C$5&amp;"生成成长"),5))*(VLOOKUP($B$5,标准坦克设计!$B$24:$U$30,MATCH("对"&amp;LEFT($C$5,2)&amp;"输出",标准坦克设计!$B$23:$U$23,0)))*(VLOOKUP($B129,INDIRECT($B$5&amp;"生成成长"),3))*(VLOOKUP($B$5,标准坦克设计!$B$14:$K$20,9)/30))</f>
        <v>4.2172389260389256</v>
      </c>
      <c r="P129" s="173">
        <f ca="1">(VLOOKUP(P$72,INDIRECT($C$5&amp;"生成成长"),2))/((VLOOKUP($B129,INDIRECT($B$5&amp;"生成成长"),4))/(VLOOKUP(P$72,INDIRECT($C$5&amp;"生成成长"),5))*(VLOOKUP($B$5,标准坦克设计!$B$24:$U$30,MATCH("对"&amp;LEFT($C$5,2)&amp;"输出",标准坦克设计!$B$23:$U$23,0)))*(VLOOKUP($B129,INDIRECT($B$5&amp;"生成成长"),3))*(VLOOKUP($B$5,标准坦克设计!$B$14:$K$20,9)/30))</f>
        <v>4.7647849844590615</v>
      </c>
      <c r="Q129" s="173">
        <f ca="1">(VLOOKUP(Q$72,INDIRECT($C$5&amp;"生成成长"),2))/((VLOOKUP($B129,INDIRECT($B$5&amp;"生成成长"),4))/(VLOOKUP(Q$72,INDIRECT($C$5&amp;"生成成长"),5))*(VLOOKUP($B$5,标准坦克设计!$B$24:$U$30,MATCH("对"&amp;LEFT($C$5,2)&amp;"输出",标准坦克设计!$B$23:$U$23,0)))*(VLOOKUP($B129,INDIRECT($B$5&amp;"生成成长"),3))*(VLOOKUP($B$5,标准坦克设计!$B$14:$K$20,9)/30))</f>
        <v>5.3457406328844925</v>
      </c>
      <c r="R129" s="173">
        <f ca="1">(VLOOKUP(R$72,INDIRECT($C$5&amp;"生成成长"),2))/((VLOOKUP($B129,INDIRECT($B$5&amp;"生成成长"),4))/(VLOOKUP(R$72,INDIRECT($C$5&amp;"生成成长"),5))*(VLOOKUP($B$5,标准坦克设计!$B$24:$U$30,MATCH("对"&amp;LEFT($C$5,2)&amp;"输出",标准坦克设计!$B$23:$U$23,0)))*(VLOOKUP($B129,INDIRECT($B$5&amp;"生成成长"),3))*(VLOOKUP($B$5,标准坦克设计!$B$14:$K$20,9)/30))</f>
        <v>5.9601058713152213</v>
      </c>
      <c r="S129" s="173">
        <f ca="1">(VLOOKUP(S$72,INDIRECT($C$5&amp;"生成成长"),2))/((VLOOKUP($B129,INDIRECT($B$5&amp;"生成成长"),4))/(VLOOKUP(S$72,INDIRECT($C$5&amp;"生成成长"),5))*(VLOOKUP($B$5,标准坦克设计!$B$24:$U$30,MATCH("对"&amp;LEFT($C$5,2)&amp;"输出",标准坦克设计!$B$23:$U$23,0)))*(VLOOKUP($B129,INDIRECT($B$5&amp;"生成成长"),3))*(VLOOKUP($B$5,标准坦克设计!$B$14:$K$20,9)/30))</f>
        <v>6.607880699751246</v>
      </c>
      <c r="T129" s="173">
        <f ca="1">(VLOOKUP(T$72,INDIRECT($C$5&amp;"生成成长"),2))/((VLOOKUP($B129,INDIRECT($B$5&amp;"生成成长"),4))/(VLOOKUP(T$72,INDIRECT($C$5&amp;"生成成长"),5))*(VLOOKUP($B$5,标准坦克设计!$B$24:$U$30,MATCH("对"&amp;LEFT($C$5,2)&amp;"输出",标准坦克设计!$B$23:$U$23,0)))*(VLOOKUP($B129,INDIRECT($B$5&amp;"生成成长"),3))*(VLOOKUP($B$5,标准坦克设计!$B$14:$K$20,9)/30))</f>
        <v>7.2890651181925668</v>
      </c>
      <c r="U129" s="173">
        <f ca="1">(VLOOKUP(U$72,INDIRECT($C$5&amp;"生成成长"),2))/((VLOOKUP($B129,INDIRECT($B$5&amp;"生成成长"),4))/(VLOOKUP(U$72,INDIRECT($C$5&amp;"生成成长"),5))*(VLOOKUP($B$5,标准坦克设计!$B$24:$U$30,MATCH("对"&amp;LEFT($C$5,2)&amp;"输出",标准坦克设计!$B$23:$U$23,0)))*(VLOOKUP($B129,INDIRECT($B$5&amp;"生成成长"),3))*(VLOOKUP($B$5,标准坦克设计!$B$14:$K$20,9)/30))</f>
        <v>8.0036591266391817</v>
      </c>
      <c r="V129" s="173">
        <f ca="1">(VLOOKUP(V$72,INDIRECT($C$5&amp;"生成成长"),2))/((VLOOKUP($B129,INDIRECT($B$5&amp;"生成成长"),4))/(VLOOKUP(V$72,INDIRECT($C$5&amp;"生成成长"),5))*(VLOOKUP($B$5,标准坦克设计!$B$24:$U$30,MATCH("对"&amp;LEFT($C$5,2)&amp;"输出",标准坦克设计!$B$23:$U$23,0)))*(VLOOKUP($B129,INDIRECT($B$5&amp;"生成成长"),3))*(VLOOKUP($B$5,标准坦克设计!$B$14:$K$20,9)/30))</f>
        <v>8.7516627250910979</v>
      </c>
      <c r="W129" s="173">
        <f ca="1">(VLOOKUP(W$72,INDIRECT($C$5&amp;"生成成长"),2))/((VLOOKUP($B129,INDIRECT($B$5&amp;"生成成长"),4))/(VLOOKUP(W$72,INDIRECT($C$5&amp;"生成成长"),5))*(VLOOKUP($B$5,标准坦克设计!$B$24:$U$30,MATCH("对"&amp;LEFT($C$5,2)&amp;"输出",标准坦克设计!$B$23:$U$23,0)))*(VLOOKUP($B129,INDIRECT($B$5&amp;"生成成长"),3))*(VLOOKUP($B$5,标准坦克设计!$B$14:$K$20,9)/30))</f>
        <v>9.5330759135483092</v>
      </c>
      <c r="X129" s="173">
        <f ca="1">(VLOOKUP(X$72,INDIRECT($C$5&amp;"生成成长"),2))/((VLOOKUP($B129,INDIRECT($B$5&amp;"生成成长"),4))/(VLOOKUP(X$72,INDIRECT($C$5&amp;"生成成长"),5))*(VLOOKUP($B$5,标准坦克设计!$B$24:$U$30,MATCH("对"&amp;LEFT($C$5,2)&amp;"输出",标准坦克设计!$B$23:$U$23,0)))*(VLOOKUP($B129,INDIRECT($B$5&amp;"生成成长"),3))*(VLOOKUP($B$5,标准坦克设计!$B$14:$K$20,9)/30))</f>
        <v>6.9065046894282149</v>
      </c>
      <c r="Y129" s="173">
        <f ca="1">(VLOOKUP(Y$72,INDIRECT($C$5&amp;"生成成长"),2))/((VLOOKUP($B129,INDIRECT($B$5&amp;"生成成长"),4))/(VLOOKUP(Y$72,INDIRECT($C$5&amp;"生成成长"),5))*(VLOOKUP($B$5,标准坦克设计!$B$24:$U$30,MATCH("对"&amp;LEFT($C$5,2)&amp;"输出",标准坦克设计!$B$23:$U$23,0)))*(VLOOKUP($B129,INDIRECT($B$5&amp;"生成成长"),3))*(VLOOKUP($B$5,标准坦克设计!$B$14:$K$20,9)/30))</f>
        <v>7.6819371488104027</v>
      </c>
      <c r="Z129" s="173">
        <f ca="1">(VLOOKUP(Z$72,INDIRECT($C$5&amp;"生成成长"),2))/((VLOOKUP($B129,INDIRECT($B$5&amp;"生成成长"),4))/(VLOOKUP(Z$72,INDIRECT($C$5&amp;"生成成长"),5))*(VLOOKUP($B$5,标准坦克设计!$B$24:$U$30,MATCH("对"&amp;LEFT($C$5,2)&amp;"输出",标准坦克设计!$B$23:$U$23,0)))*(VLOOKUP($B129,INDIRECT($B$5&amp;"生成成长"),3))*(VLOOKUP($B$5,标准坦克设计!$B$14:$K$20,9)/30))</f>
        <v>8.4986160156065367</v>
      </c>
      <c r="AA129" s="173">
        <f ca="1">(VLOOKUP(AA$72,INDIRECT($C$5&amp;"生成成长"),2))/((VLOOKUP($B129,INDIRECT($B$5&amp;"生成成长"),4))/(VLOOKUP(AA$72,INDIRECT($C$5&amp;"生成成长"),5))*(VLOOKUP($B$5,标准坦克设计!$B$24:$U$30,MATCH("对"&amp;LEFT($C$5,2)&amp;"输出",标准坦克设计!$B$23:$U$23,0)))*(VLOOKUP($B129,INDIRECT($B$5&amp;"生成成长"),3))*(VLOOKUP($B$5,标准坦克设计!$B$14:$K$20,9)/30))</f>
        <v>9.3565412898166169</v>
      </c>
      <c r="AB129" s="173">
        <f ca="1">(VLOOKUP(AB$72,INDIRECT($C$5&amp;"生成成长"),2))/((VLOOKUP($B129,INDIRECT($B$5&amp;"生成成长"),4))/(VLOOKUP(AB$72,INDIRECT($C$5&amp;"生成成长"),5))*(VLOOKUP($B$5,标准坦克设计!$B$24:$U$30,MATCH("对"&amp;LEFT($C$5,2)&amp;"输出",标准坦克设计!$B$23:$U$23,0)))*(VLOOKUP($B129,INDIRECT($B$5&amp;"生成成长"),3))*(VLOOKUP($B$5,标准坦克设计!$B$14:$K$20,9)/30))</f>
        <v>10.255712971440644</v>
      </c>
      <c r="AC129" s="173">
        <f ca="1">(VLOOKUP(AC$72,INDIRECT($C$5&amp;"生成成长"),2))/((VLOOKUP($B129,INDIRECT($B$5&amp;"生成成长"),4))/(VLOOKUP(AC$72,INDIRECT($C$5&amp;"生成成长"),5))*(VLOOKUP($B$5,标准坦克设计!$B$24:$U$30,MATCH("对"&amp;LEFT($C$5,2)&amp;"输出",标准坦克设计!$B$23:$U$23,0)))*(VLOOKUP($B129,INDIRECT($B$5&amp;"生成成长"),3))*(VLOOKUP($B$5,标准坦克设计!$B$14:$K$20,9)/30))</f>
        <v>11.196131060478617</v>
      </c>
      <c r="AD129" s="173">
        <f ca="1">(VLOOKUP(AD$72,INDIRECT($C$5&amp;"生成成长"),2))/((VLOOKUP($B129,INDIRECT($B$5&amp;"生成成长"),4))/(VLOOKUP(AD$72,INDIRECT($C$5&amp;"生成成长"),5))*(VLOOKUP($B$5,标准坦克设计!$B$24:$U$30,MATCH("对"&amp;LEFT($C$5,2)&amp;"输出",标准坦克设计!$B$23:$U$23,0)))*(VLOOKUP($B129,INDIRECT($B$5&amp;"生成成长"),3))*(VLOOKUP($B$5,标准坦克设计!$B$14:$K$20,9)/30))</f>
        <v>12.177795556930537</v>
      </c>
      <c r="AE129" s="173">
        <f ca="1">(VLOOKUP(AE$72,INDIRECT($C$5&amp;"生成成长"),2))/((VLOOKUP($B129,INDIRECT($B$5&amp;"生成成长"),4))/(VLOOKUP(AE$72,INDIRECT($C$5&amp;"生成成长"),5))*(VLOOKUP($B$5,标准坦克设计!$B$24:$U$30,MATCH("对"&amp;LEFT($C$5,2)&amp;"输出",标准坦克设计!$B$23:$U$23,0)))*(VLOOKUP($B129,INDIRECT($B$5&amp;"生成成长"),3))*(VLOOKUP($B$5,标准坦克设计!$B$14:$K$20,9)/30))</f>
        <v>13.2007064607964</v>
      </c>
      <c r="AF129" s="173">
        <f ca="1">(VLOOKUP(AF$72,INDIRECT($C$5&amp;"生成成长"),2))/((VLOOKUP($B129,INDIRECT($B$5&amp;"生成成长"),4))/(VLOOKUP(AF$72,INDIRECT($C$5&amp;"生成成长"),5))*(VLOOKUP($B$5,标准坦克设计!$B$24:$U$30,MATCH("对"&amp;LEFT($C$5,2)&amp;"输出",标准坦克设计!$B$23:$U$23,0)))*(VLOOKUP($B129,INDIRECT($B$5&amp;"生成成长"),3))*(VLOOKUP($B$5,标准坦克设计!$B$14:$K$20,9)/30))</f>
        <v>14.264863772076207</v>
      </c>
      <c r="AG129" s="173">
        <f ca="1">(VLOOKUP(AG$72,INDIRECT($C$5&amp;"生成成长"),2))/((VLOOKUP($B129,INDIRECT($B$5&amp;"生成成长"),4))/(VLOOKUP(AG$72,INDIRECT($C$5&amp;"生成成长"),5))*(VLOOKUP($B$5,标准坦克设计!$B$24:$U$30,MATCH("对"&amp;LEFT($C$5,2)&amp;"输出",标准坦克设计!$B$23:$U$23,0)))*(VLOOKUP($B129,INDIRECT($B$5&amp;"生成成长"),3))*(VLOOKUP($B$5,标准坦克设计!$B$14:$K$20,9)/30))</f>
        <v>15.370267490769969</v>
      </c>
      <c r="AH129" s="173">
        <f ca="1">(VLOOKUP(AH$72,INDIRECT($C$5&amp;"生成成长"),2))/((VLOOKUP($B129,INDIRECT($B$5&amp;"生成成长"),4))/(VLOOKUP(AH$72,INDIRECT($C$5&amp;"生成成长"),5))*(VLOOKUP($B$5,标准坦克设计!$B$24:$U$30,MATCH("对"&amp;LEFT($C$5,2)&amp;"输出",标准坦克设计!$B$23:$U$23,0)))*(VLOOKUP($B129,INDIRECT($B$5&amp;"生成成长"),3))*(VLOOKUP($B$5,标准坦克设计!$B$14:$K$20,9)/30))</f>
        <v>16.516917616877674</v>
      </c>
      <c r="AI129" s="173">
        <f ca="1">(VLOOKUP(AI$72,INDIRECT($C$5&amp;"生成成长"),2))/((VLOOKUP($B129,INDIRECT($B$5&amp;"生成成长"),4))/(VLOOKUP(AI$72,INDIRECT($C$5&amp;"生成成长"),5))*(VLOOKUP($B$5,标准坦克设计!$B$24:$U$30,MATCH("对"&amp;LEFT($C$5,2)&amp;"输出",标准坦克设计!$B$23:$U$23,0)))*(VLOOKUP($B129,INDIRECT($B$5&amp;"生成成长"),3))*(VLOOKUP($B$5,标准坦克设计!$B$14:$K$20,9)/30))</f>
        <v>11.681807507777831</v>
      </c>
      <c r="AJ129" s="173">
        <f ca="1">(VLOOKUP(AJ$72,INDIRECT($C$5&amp;"生成成长"),2))/((VLOOKUP($B129,INDIRECT($B$5&amp;"生成成长"),4))/(VLOOKUP(AJ$72,INDIRECT($C$5&amp;"生成成长"),5))*(VLOOKUP($B$5,标准坦克设计!$B$24:$U$30,MATCH("对"&amp;LEFT($C$5,2)&amp;"输出",标准坦克设计!$B$23:$U$23,0)))*(VLOOKUP($B129,INDIRECT($B$5&amp;"生成成长"),3))*(VLOOKUP($B$5,标准坦克设计!$B$14:$K$20,9)/30))</f>
        <v>12.786592530360382</v>
      </c>
      <c r="AK129" s="173">
        <f ca="1">(VLOOKUP(AK$72,INDIRECT($C$5&amp;"生成成长"),2))/((VLOOKUP($B129,INDIRECT($B$5&amp;"生成成长"),4))/(VLOOKUP(AK$72,INDIRECT($C$5&amp;"生成成长"),5))*(VLOOKUP($B$5,标准坦克设计!$B$24:$U$30,MATCH("对"&amp;LEFT($C$5,2)&amp;"输出",标准坦克设计!$B$23:$U$23,0)))*(VLOOKUP($B129,INDIRECT($B$5&amp;"生成成长"),3))*(VLOOKUP($B$5,标准坦克设计!$B$14:$K$20,9)/30))</f>
        <v>13.941285705913803</v>
      </c>
      <c r="AL129" s="173">
        <f ca="1">(VLOOKUP(AL$72,INDIRECT($C$5&amp;"生成成长"),2))/((VLOOKUP($B129,INDIRECT($B$5&amp;"生成成长"),4))/(VLOOKUP(AL$72,INDIRECT($C$5&amp;"生成成长"),5))*(VLOOKUP($B$5,标准坦克设计!$B$24:$U$30,MATCH("对"&amp;LEFT($C$5,2)&amp;"输出",标准坦克设计!$B$23:$U$23,0)))*(VLOOKUP($B129,INDIRECT($B$5&amp;"生成成长"),3))*(VLOOKUP($B$5,标准坦克设计!$B$14:$K$20,9)/30))</f>
        <v>15.1458870344381</v>
      </c>
      <c r="AM129" s="173">
        <f ca="1">(VLOOKUP(AM$72,INDIRECT($C$5&amp;"生成成长"),2))/((VLOOKUP($B129,INDIRECT($B$5&amp;"生成成长"),4))/(VLOOKUP(AM$72,INDIRECT($C$5&amp;"生成成长"),5))*(VLOOKUP($B$5,标准坦克设计!$B$24:$U$30,MATCH("对"&amp;LEFT($C$5,2)&amp;"输出",标准坦克设计!$B$23:$U$23,0)))*(VLOOKUP($B129,INDIRECT($B$5&amp;"生成成长"),3))*(VLOOKUP($B$5,标准坦克设计!$B$14:$K$20,9)/30))</f>
        <v>16.400396515933274</v>
      </c>
      <c r="AN129" s="173">
        <f ca="1">(VLOOKUP(AN$72,INDIRECT($C$5&amp;"生成成长"),2))/((VLOOKUP($B129,INDIRECT($B$5&amp;"生成成长"),4))/(VLOOKUP(AN$72,INDIRECT($C$5&amp;"生成成长"),5))*(VLOOKUP($B$5,标准坦克设计!$B$24:$U$30,MATCH("对"&amp;LEFT($C$5,2)&amp;"输出",标准坦克设计!$B$23:$U$23,0)))*(VLOOKUP($B129,INDIRECT($B$5&amp;"生成成长"),3))*(VLOOKUP($B$5,标准坦克设计!$B$14:$K$20,9)/30))</f>
        <v>17.704814150399322</v>
      </c>
      <c r="AO129" s="173">
        <f ca="1">(VLOOKUP(AO$72,INDIRECT($C$5&amp;"生成成长"),2))/((VLOOKUP($B129,INDIRECT($B$5&amp;"生成成长"),4))/(VLOOKUP(AO$72,INDIRECT($C$5&amp;"生成成长"),5))*(VLOOKUP($B$5,标准坦克设计!$B$24:$U$30,MATCH("对"&amp;LEFT($C$5,2)&amp;"输出",标准坦克设计!$B$23:$U$23,0)))*(VLOOKUP($B129,INDIRECT($B$5&amp;"生成成长"),3))*(VLOOKUP($B$5,标准坦克设计!$B$14:$K$20,9)/30))</f>
        <v>19.059139937836246</v>
      </c>
      <c r="AP129" s="173">
        <f ca="1">(VLOOKUP(AP$72,INDIRECT($C$5&amp;"生成成长"),2))/((VLOOKUP($B129,INDIRECT($B$5&amp;"生成成长"),4))/(VLOOKUP(AP$72,INDIRECT($C$5&amp;"生成成长"),5))*(VLOOKUP($B$5,标准坦克设计!$B$24:$U$30,MATCH("对"&amp;LEFT($C$5,2)&amp;"输出",标准坦克设计!$B$23:$U$23,0)))*(VLOOKUP($B129,INDIRECT($B$5&amp;"生成成长"),3))*(VLOOKUP($B$5,标准坦克设计!$B$14:$K$20,9)/30))</f>
        <v>20.463373878244045</v>
      </c>
      <c r="AQ129" s="173">
        <f ca="1">(VLOOKUP(AQ$72,INDIRECT($C$5&amp;"生成成长"),2))/((VLOOKUP($B129,INDIRECT($B$5&amp;"生成成长"),4))/(VLOOKUP(AQ$72,INDIRECT($C$5&amp;"生成成长"),5))*(VLOOKUP($B$5,标准坦克设计!$B$24:$U$30,MATCH("对"&amp;LEFT($C$5,2)&amp;"输出",标准坦克设计!$B$23:$U$23,0)))*(VLOOKUP($B129,INDIRECT($B$5&amp;"生成成长"),3))*(VLOOKUP($B$5,标准坦克设计!$B$14:$K$20,9)/30))</f>
        <v>21.917515971622713</v>
      </c>
      <c r="AR129" s="173">
        <f ca="1">(VLOOKUP(AR$72,INDIRECT($C$5&amp;"生成成长"),2))/((VLOOKUP($B129,INDIRECT($B$5&amp;"生成成长"),4))/(VLOOKUP(AR$72,INDIRECT($C$5&amp;"生成成长"),5))*(VLOOKUP($B$5,标准坦克设计!$B$24:$U$30,MATCH("对"&amp;LEFT($C$5,2)&amp;"输出",标准坦克设计!$B$23:$U$23,0)))*(VLOOKUP($B129,INDIRECT($B$5&amp;"生成成长"),3))*(VLOOKUP($B$5,标准坦克设计!$B$14:$K$20,9)/30))</f>
        <v>23.421566217972263</v>
      </c>
      <c r="AS129" s="173">
        <f ca="1">(VLOOKUP(AS$72,INDIRECT($C$5&amp;"生成成长"),2))/((VLOOKUP($B129,INDIRECT($B$5&amp;"生成成长"),4))/(VLOOKUP(AS$72,INDIRECT($C$5&amp;"生成成长"),5))*(VLOOKUP($B$5,标准坦克设计!$B$24:$U$30,MATCH("对"&amp;LEFT($C$5,2)&amp;"输出",标准坦克设计!$B$23:$U$23,0)))*(VLOOKUP($B129,INDIRECT($B$5&amp;"生成成长"),3))*(VLOOKUP($B$5,标准坦克设计!$B$14:$K$20,9)/30))</f>
        <v>24.975524617292681</v>
      </c>
      <c r="AT129" s="173">
        <f ca="1">(VLOOKUP(AT$72,INDIRECT($C$5&amp;"生成成长"),2))/((VLOOKUP($B129,INDIRECT($B$5&amp;"生成成长"),4))/(VLOOKUP(AT$72,INDIRECT($C$5&amp;"生成成长"),5))*(VLOOKUP($B$5,标准坦克设计!$B$24:$U$30,MATCH("对"&amp;LEFT($C$5,2)&amp;"输出",标准坦克设计!$B$23:$U$23,0)))*(VLOOKUP($B129,INDIRECT($B$5&amp;"生成成长"),3))*(VLOOKUP($B$5,标准坦克设计!$B$14:$K$20,9)/30))</f>
        <v>26.579391169583978</v>
      </c>
      <c r="AU129" s="173">
        <f ca="1">(VLOOKUP(AU$72,INDIRECT($C$5&amp;"生成成长"),2))/((VLOOKUP($B129,INDIRECT($B$5&amp;"生成成长"),4))/(VLOOKUP(AU$72,INDIRECT($C$5&amp;"生成成长"),5))*(VLOOKUP($B$5,标准坦克设计!$B$24:$U$30,MATCH("对"&amp;LEFT($C$5,2)&amp;"输出",标准坦克设计!$B$23:$U$23,0)))*(VLOOKUP($B129,INDIRECT($B$5&amp;"生成成长"),3))*(VLOOKUP($B$5,标准坦克设计!$B$14:$K$20,9)/30))</f>
        <v>28.233165874846151</v>
      </c>
      <c r="AV129" s="173">
        <f ca="1">(VLOOKUP(AV$72,INDIRECT($C$5&amp;"生成成长"),2))/((VLOOKUP($B129,INDIRECT($B$5&amp;"生成成长"),4))/(VLOOKUP(AV$72,INDIRECT($C$5&amp;"生成成长"),5))*(VLOOKUP($B$5,标准坦克设计!$B$24:$U$30,MATCH("对"&amp;LEFT($C$5,2)&amp;"输出",标准坦克设计!$B$23:$U$23,0)))*(VLOOKUP($B129,INDIRECT($B$5&amp;"生成成长"),3))*(VLOOKUP($B$5,标准坦克设计!$B$14:$K$20,9)/30))</f>
        <v>2.8715748841589326</v>
      </c>
      <c r="AW129" s="173">
        <f ca="1">(VLOOKUP(AW$72,INDIRECT($C$5&amp;"生成成长"),2))/((VLOOKUP($B129,INDIRECT($B$5&amp;"生成成长"),4))/(VLOOKUP(AW$72,INDIRECT($C$5&amp;"生成成长"),5))*(VLOOKUP($B$5,标准坦克设计!$B$24:$U$30,MATCH("对"&amp;LEFT($C$5,2)&amp;"输出",标准坦克设计!$B$23:$U$23,0)))*(VLOOKUP($B129,INDIRECT($B$5&amp;"生成成长"),3))*(VLOOKUP($B$5,标准坦克设计!$B$14:$K$20,9)/30))</f>
        <v>3.2741398205190464</v>
      </c>
      <c r="AX129" s="173">
        <f ca="1">(VLOOKUP(AX$72,INDIRECT($C$5&amp;"生成成长"),2))/((VLOOKUP($B129,INDIRECT($B$5&amp;"生成成长"),4))/(VLOOKUP(AX$72,INDIRECT($C$5&amp;"生成成长"),5))*(VLOOKUP($B$5,标准坦克设计!$B$24:$U$30,MATCH("对"&amp;LEFT($C$5,2)&amp;"输出",标准坦克设计!$B$23:$U$23,0)))*(VLOOKUP($B129,INDIRECT($B$5&amp;"生成成长"),3))*(VLOOKUP($B$5,标准坦克设计!$B$14:$K$20,9)/30))</f>
        <v>3.7031024576240874</v>
      </c>
      <c r="AY129" s="173">
        <f ca="1">(VLOOKUP(AY$72,INDIRECT($C$5&amp;"生成成长"),2))/((VLOOKUP($B129,INDIRECT($B$5&amp;"生成成长"),4))/(VLOOKUP(AY$72,INDIRECT($C$5&amp;"生成成长"),5))*(VLOOKUP($B$5,标准坦克设计!$B$24:$U$30,MATCH("对"&amp;LEFT($C$5,2)&amp;"输出",标准坦克设计!$B$23:$U$23,0)))*(VLOOKUP($B129,INDIRECT($B$5&amp;"生成成长"),3))*(VLOOKUP($B$5,标准坦克设计!$B$14:$K$20,9)/30))</f>
        <v>4.1584627954740521</v>
      </c>
      <c r="AZ129" s="173">
        <f ca="1">(VLOOKUP(AZ$72,INDIRECT($C$5&amp;"生成成长"),2))/((VLOOKUP($B129,INDIRECT($B$5&amp;"生成成长"),4))/(VLOOKUP(AZ$72,INDIRECT($C$5&amp;"生成成长"),5))*(VLOOKUP($B$5,标准坦克设计!$B$24:$U$30,MATCH("对"&amp;LEFT($C$5,2)&amp;"输出",标准坦克设计!$B$23:$U$23,0)))*(VLOOKUP($B129,INDIRECT($B$5&amp;"生成成长"),3))*(VLOOKUP($B$5,标准坦克设计!$B$14:$K$20,9)/30))</f>
        <v>4.6402208340689439</v>
      </c>
      <c r="BA129" s="173">
        <f ca="1">(VLOOKUP(BA$72,INDIRECT($C$5&amp;"生成成长"),2))/((VLOOKUP($B129,INDIRECT($B$5&amp;"生成成长"),4))/(VLOOKUP(BA$72,INDIRECT($C$5&amp;"生成成长"),5))*(VLOOKUP($B$5,标准坦克设计!$B$24:$U$30,MATCH("对"&amp;LEFT($C$5,2)&amp;"输出",标准坦克设计!$B$23:$U$23,0)))*(VLOOKUP($B129,INDIRECT($B$5&amp;"生成成长"),3))*(VLOOKUP($B$5,标准坦克设计!$B$14:$K$20,9)/30))</f>
        <v>5.1483765734087612</v>
      </c>
      <c r="BB129" s="173">
        <f ca="1">(VLOOKUP(BB$72,INDIRECT($C$5&amp;"生成成长"),2))/((VLOOKUP($B129,INDIRECT($B$5&amp;"生成成长"),4))/(VLOOKUP(BB$72,INDIRECT($C$5&amp;"生成成长"),5))*(VLOOKUP($B$5,标准坦克设计!$B$24:$U$30,MATCH("对"&amp;LEFT($C$5,2)&amp;"输出",标准坦克设计!$B$23:$U$23,0)))*(VLOOKUP($B129,INDIRECT($B$5&amp;"生成成长"),3))*(VLOOKUP($B$5,标准坦克设计!$B$14:$K$20,9)/30))</f>
        <v>5.682930013493503</v>
      </c>
      <c r="BC129" s="173">
        <f ca="1">(VLOOKUP(BC$72,INDIRECT($C$5&amp;"生成成长"),2))/((VLOOKUP($B129,INDIRECT($B$5&amp;"生成成长"),4))/(VLOOKUP(BC$72,INDIRECT($C$5&amp;"生成成长"),5))*(VLOOKUP($B$5,标准坦克设计!$B$24:$U$30,MATCH("对"&amp;LEFT($C$5,2)&amp;"输出",标准坦克设计!$B$23:$U$23,0)))*(VLOOKUP($B129,INDIRECT($B$5&amp;"生成成长"),3))*(VLOOKUP($B$5,标准坦克设计!$B$14:$K$20,9)/30))</f>
        <v>6.2438811543231703</v>
      </c>
      <c r="BD129" s="173">
        <f ca="1">(VLOOKUP(BD$72,INDIRECT($C$5&amp;"生成成长"),2))/((VLOOKUP($B129,INDIRECT($B$5&amp;"生成成长"),4))/(VLOOKUP(BD$72,INDIRECT($C$5&amp;"生成成长"),5))*(VLOOKUP($B$5,标准坦克设计!$B$24:$U$30,MATCH("对"&amp;LEFT($C$5,2)&amp;"输出",标准坦克设计!$B$23:$U$23,0)))*(VLOOKUP($B129,INDIRECT($B$5&amp;"生成成长"),3))*(VLOOKUP($B$5,标准坦克设计!$B$14:$K$20,9)/30))</f>
        <v>6.9065046894282149</v>
      </c>
      <c r="BE129" s="173">
        <f ca="1">(VLOOKUP(BE$72,INDIRECT($C$5&amp;"生成成长"),2))/((VLOOKUP($B129,INDIRECT($B$5&amp;"生成成长"),4))/(VLOOKUP(BE$72,INDIRECT($C$5&amp;"生成成长"),5))*(VLOOKUP($B$5,标准坦克设计!$B$24:$U$30,MATCH("对"&amp;LEFT($C$5,2)&amp;"输出",标准坦克设计!$B$23:$U$23,0)))*(VLOOKUP($B129,INDIRECT($B$5&amp;"生成成长"),3))*(VLOOKUP($B$5,标准坦克设计!$B$14:$K$20,9)/30))</f>
        <v>7.6025378145385565</v>
      </c>
      <c r="BF129" s="173">
        <f ca="1">(VLOOKUP(BF$72,INDIRECT($C$5&amp;"生成成长"),2))/((VLOOKUP($B129,INDIRECT($B$5&amp;"生成成长"),4))/(VLOOKUP(BF$72,INDIRECT($C$5&amp;"生成成长"),5))*(VLOOKUP($B$5,标准坦克设计!$B$24:$U$30,MATCH("对"&amp;LEFT($C$5,2)&amp;"输出",标准坦克设计!$B$23:$U$23,0)))*(VLOOKUP($B129,INDIRECT($B$5&amp;"生成成长"),3))*(VLOOKUP($B$5,标准坦克设计!$B$14:$K$20,9)/30))</f>
        <v>8.3319805296541958</v>
      </c>
      <c r="BG129" s="173">
        <f ca="1">(VLOOKUP(BG$72,INDIRECT($C$5&amp;"生成成长"),2))/((VLOOKUP($B129,INDIRECT($B$5&amp;"生成成长"),4))/(VLOOKUP(BG$72,INDIRECT($C$5&amp;"生成成长"),5))*(VLOOKUP($B$5,标准坦克设计!$B$24:$U$30,MATCH("对"&amp;LEFT($C$5,2)&amp;"输出",标准坦克设计!$B$23:$U$23,0)))*(VLOOKUP($B129,INDIRECT($B$5&amp;"生成成长"),3))*(VLOOKUP($B$5,标准坦克设计!$B$14:$K$20,9)/30))</f>
        <v>9.0948328347751293</v>
      </c>
      <c r="BH129" s="173">
        <f ca="1">(VLOOKUP(BH$72,INDIRECT($C$5&amp;"生成成长"),2))/((VLOOKUP($B129,INDIRECT($B$5&amp;"生成成长"),4))/(VLOOKUP(BH$72,INDIRECT($C$5&amp;"生成成长"),5))*(VLOOKUP($B$5,标准坦克设计!$B$24:$U$30,MATCH("对"&amp;LEFT($C$5,2)&amp;"输出",标准坦克设计!$B$23:$U$23,0)))*(VLOOKUP($B129,INDIRECT($B$5&amp;"生成成长"),3))*(VLOOKUP($B$5,标准坦克设计!$B$14:$K$20,9)/30))</f>
        <v>4.3960421021783826</v>
      </c>
      <c r="BI129" s="173">
        <f ca="1">(VLOOKUP(BI$72,INDIRECT($C$5&amp;"生成成长"),2))/((VLOOKUP($B129,INDIRECT($B$5&amp;"生成成长"),4))/(VLOOKUP(BI$72,INDIRECT($C$5&amp;"生成成长"),5))*(VLOOKUP($B$5,标准坦克设计!$B$24:$U$30,MATCH("对"&amp;LEFT($C$5,2)&amp;"输出",标准坦克设计!$B$23:$U$23,0)))*(VLOOKUP($B129,INDIRECT($B$5&amp;"生成成长"),3))*(VLOOKUP($B$5,标准坦克设计!$B$14:$K$20,9)/30))</f>
        <v>4.9547246906002833</v>
      </c>
      <c r="BJ129" s="173">
        <f ca="1">(VLOOKUP(BJ$72,INDIRECT($C$5&amp;"生成成长"),2))/((VLOOKUP($B129,INDIRECT($B$5&amp;"生成成长"),4))/(VLOOKUP(BJ$72,INDIRECT($C$5&amp;"生成成长"),5))*(VLOOKUP($B$5,标准坦克设计!$B$24:$U$30,MATCH("对"&amp;LEFT($C$5,2)&amp;"输出",标准坦克设计!$B$23:$U$23,0)))*(VLOOKUP($B129,INDIRECT($B$5&amp;"生成成长"),3))*(VLOOKUP($B$5,标准坦克设计!$B$14:$K$20,9)/30))</f>
        <v>5.5468168690274799</v>
      </c>
      <c r="BK129" s="173">
        <f ca="1">(VLOOKUP(BK$72,INDIRECT($C$5&amp;"生成成长"),2))/((VLOOKUP($B129,INDIRECT($B$5&amp;"生成成长"),4))/(VLOOKUP(BK$72,INDIRECT($C$5&amp;"生成成长"),5))*(VLOOKUP($B$5,标准坦克设计!$B$24:$U$30,MATCH("对"&amp;LEFT($C$5,2)&amp;"输出",标准坦克设计!$B$23:$U$23,0)))*(VLOOKUP($B129,INDIRECT($B$5&amp;"生成成长"),3))*(VLOOKUP($B$5,标准坦克设计!$B$14:$K$20,9)/30))</f>
        <v>6.1723186374599734</v>
      </c>
      <c r="BL129" s="173">
        <f ca="1">(VLOOKUP(BL$72,INDIRECT($C$5&amp;"生成成长"),2))/((VLOOKUP($B129,INDIRECT($B$5&amp;"生成成长"),4))/(VLOOKUP(BL$72,INDIRECT($C$5&amp;"生成成长"),5))*(VLOOKUP($B$5,标准坦克设计!$B$24:$U$30,MATCH("对"&amp;LEFT($C$5,2)&amp;"输出",标准坦克设计!$B$23:$U$23,0)))*(VLOOKUP($B129,INDIRECT($B$5&amp;"生成成长"),3))*(VLOOKUP($B$5,标准坦克设计!$B$14:$K$20,9)/30))</f>
        <v>6.8312299958977647</v>
      </c>
      <c r="BM129" s="173">
        <f ca="1">(VLOOKUP(BM$72,INDIRECT($C$5&amp;"生成成长"),2))/((VLOOKUP($B129,INDIRECT($B$5&amp;"生成成长"),4))/(VLOOKUP(BM$72,INDIRECT($C$5&amp;"生成成长"),5))*(VLOOKUP($B$5,标准坦克设计!$B$24:$U$30,MATCH("对"&amp;LEFT($C$5,2)&amp;"输出",标准坦克设计!$B$23:$U$23,0)))*(VLOOKUP($B129,INDIRECT($B$5&amp;"生成成长"),3))*(VLOOKUP($B$5,标准坦克设计!$B$14:$K$20,9)/30))</f>
        <v>7.523550944340851</v>
      </c>
      <c r="BN129" s="173">
        <f ca="1">(VLOOKUP(BN$72,INDIRECT($C$5&amp;"生成成长"),2))/((VLOOKUP($B129,INDIRECT($B$5&amp;"生成成长"),4))/(VLOOKUP(BN$72,INDIRECT($C$5&amp;"生成成长"),5))*(VLOOKUP($B$5,标准坦克设计!$B$24:$U$30,MATCH("对"&amp;LEFT($C$5,2)&amp;"输出",标准坦克设计!$B$23:$U$23,0)))*(VLOOKUP($B129,INDIRECT($B$5&amp;"生成成长"),3))*(VLOOKUP($B$5,标准坦克设计!$B$14:$K$20,9)/30))</f>
        <v>8.2492814827892325</v>
      </c>
      <c r="BO129" s="173">
        <f ca="1">(VLOOKUP(BO$72,INDIRECT($C$5&amp;"生成成长"),2))/((VLOOKUP($B129,INDIRECT($B$5&amp;"生成成长"),4))/(VLOOKUP(BO$72,INDIRECT($C$5&amp;"生成成长"),5))*(VLOOKUP($B$5,标准坦克设计!$B$24:$U$30,MATCH("对"&amp;LEFT($C$5,2)&amp;"输出",标准坦克设计!$B$23:$U$23,0)))*(VLOOKUP($B129,INDIRECT($B$5&amp;"生成成长"),3))*(VLOOKUP($B$5,标准坦克设计!$B$14:$K$20,9)/30))</f>
        <v>9.0084216112429125</v>
      </c>
      <c r="BP129" s="173">
        <f ca="1">(VLOOKUP(BP$72,INDIRECT($C$5&amp;"生成成长"),2))/((VLOOKUP($B129,INDIRECT($B$5&amp;"生成成长"),4))/(VLOOKUP(BP$72,INDIRECT($C$5&amp;"生成成长"),5))*(VLOOKUP($B$5,标准坦克设计!$B$24:$U$30,MATCH("对"&amp;LEFT($C$5,2)&amp;"输出",标准坦克设计!$B$23:$U$23,0)))*(VLOOKUP($B129,INDIRECT($B$5&amp;"生成成长"),3))*(VLOOKUP($B$5,标准坦克设计!$B$14:$K$20,9)/30))</f>
        <v>9.8009713297018877</v>
      </c>
      <c r="BQ129" s="173">
        <f ca="1">(VLOOKUP(BQ$72,INDIRECT($C$5&amp;"生成成长"),2))/((VLOOKUP($B129,INDIRECT($B$5&amp;"生成成长"),4))/(VLOOKUP(BQ$72,INDIRECT($C$5&amp;"生成成长"),5))*(VLOOKUP($B$5,标准坦克设计!$B$24:$U$30,MATCH("对"&amp;LEFT($C$5,2)&amp;"输出",标准坦克设计!$B$23:$U$23,0)))*(VLOOKUP($B129,INDIRECT($B$5&amp;"生成成长"),3))*(VLOOKUP($B$5,标准坦克设计!$B$14:$K$20,9)/30))</f>
        <v>10.62693063816616</v>
      </c>
      <c r="BR129" s="173">
        <f ca="1">(VLOOKUP(BR$72,INDIRECT($C$5&amp;"生成成长"),2))/((VLOOKUP($B129,INDIRECT($B$5&amp;"生成成长"),4))/(VLOOKUP(BR$72,INDIRECT($C$5&amp;"生成成长"),5))*(VLOOKUP($B$5,标准坦克设计!$B$24:$U$30,MATCH("对"&amp;LEFT($C$5,2)&amp;"输出",标准坦克设计!$B$23:$U$23,0)))*(VLOOKUP($B129,INDIRECT($B$5&amp;"生成成长"),3))*(VLOOKUP($B$5,标准坦克设计!$B$14:$K$20,9)/30))</f>
        <v>11.583847290169714</v>
      </c>
      <c r="BS129" s="173">
        <f ca="1">(VLOOKUP(BS$72,INDIRECT($C$5&amp;"生成成长"),2))/((VLOOKUP($B129,INDIRECT($B$5&amp;"生成成长"),4))/(VLOOKUP(BS$72,INDIRECT($C$5&amp;"生成成长"),5))*(VLOOKUP($B$5,标准坦克设计!$B$24:$U$30,MATCH("对"&amp;LEFT($C$5,2)&amp;"输出",标准坦克设计!$B$23:$U$23,0)))*(VLOOKUP($B129,INDIRECT($B$5&amp;"生成成长"),3))*(VLOOKUP($B$5,标准坦克设计!$B$14:$K$20,9)/30))</f>
        <v>12.582010349587206</v>
      </c>
      <c r="BT129" s="173">
        <f ca="1">(VLOOKUP(BT$72,INDIRECT($C$5&amp;"生成成长"),2))/((VLOOKUP($B129,INDIRECT($B$5&amp;"生成成长"),4))/(VLOOKUP(BT$72,INDIRECT($C$5&amp;"生成成长"),5))*(VLOOKUP($B$5,标准坦克设计!$B$24:$U$30,MATCH("对"&amp;LEFT($C$5,2)&amp;"输出",标准坦克设计!$B$23:$U$23,0)))*(VLOOKUP($B129,INDIRECT($B$5&amp;"生成成长"),3))*(VLOOKUP($B$5,标准坦克设计!$B$14:$K$20,9)/30))</f>
        <v>13.621419816418651</v>
      </c>
      <c r="BU129" s="173">
        <f ca="1">(VLOOKUP(BU$72,INDIRECT($C$5&amp;"生成成长"),2))/((VLOOKUP($B129,INDIRECT($B$5&amp;"生成成长"),4))/(VLOOKUP(BU$72,INDIRECT($C$5&amp;"生成成长"),5))*(VLOOKUP($B$5,标准坦克设计!$B$24:$U$30,MATCH("对"&amp;LEFT($C$5,2)&amp;"输出",标准坦克设计!$B$23:$U$23,0)))*(VLOOKUP($B129,INDIRECT($B$5&amp;"生成成长"),3))*(VLOOKUP($B$5,标准坦克设计!$B$14:$K$20,9)/30))</f>
        <v>14.70207569066404</v>
      </c>
      <c r="BV129" s="173">
        <f ca="1">(VLOOKUP(BV$72,INDIRECT($C$5&amp;"生成成长"),2))/((VLOOKUP($B129,INDIRECT($B$5&amp;"生成成长"),4))/(VLOOKUP(BV$72,INDIRECT($C$5&amp;"生成成长"),5))*(VLOOKUP($B$5,标准坦克设计!$B$24:$U$30,MATCH("对"&amp;LEFT($C$5,2)&amp;"输出",标准坦克设计!$B$23:$U$23,0)))*(VLOOKUP($B129,INDIRECT($B$5&amp;"生成成长"),3))*(VLOOKUP($B$5,标准坦克设计!$B$14:$K$20,9)/30))</f>
        <v>15.823977972323377</v>
      </c>
      <c r="BW129" s="173">
        <f ca="1">(VLOOKUP(BW$72,INDIRECT($C$5&amp;"生成成长"),2))/((VLOOKUP($B129,INDIRECT($B$5&amp;"生成成长"),4))/(VLOOKUP(BW$72,INDIRECT($C$5&amp;"生成成长"),5))*(VLOOKUP($B$5,标准坦克设计!$B$24:$U$30,MATCH("对"&amp;LEFT($C$5,2)&amp;"输出",标准坦克设计!$B$23:$U$23,0)))*(VLOOKUP($B129,INDIRECT($B$5&amp;"生成成长"),3))*(VLOOKUP($B$5,标准坦克设计!$B$14:$K$20,9)/30))</f>
        <v>7.2117281042914172</v>
      </c>
      <c r="BX129" s="173">
        <f ca="1">(VLOOKUP(BX$72,INDIRECT($C$5&amp;"生成成长"),2))/((VLOOKUP($B129,INDIRECT($B$5&amp;"生成成长"),4))/(VLOOKUP(BX$72,INDIRECT($C$5&amp;"生成成长"),5))*(VLOOKUP($B$5,标准坦克设计!$B$24:$U$30,MATCH("对"&amp;LEFT($C$5,2)&amp;"输出",标准坦克设计!$B$23:$U$23,0)))*(VLOOKUP($B129,INDIRECT($B$5&amp;"生成成长"),3))*(VLOOKUP($B$5,标准坦克设计!$B$14:$K$20,9)/30))</f>
        <v>8.0036591266391817</v>
      </c>
      <c r="BY129" s="173">
        <f ca="1">(VLOOKUP(BY$72,INDIRECT($C$5&amp;"生成成长"),2))/((VLOOKUP($B129,INDIRECT($B$5&amp;"生成成长"),4))/(VLOOKUP(BY$72,INDIRECT($C$5&amp;"生成成长"),5))*(VLOOKUP($B$5,标准坦克设计!$B$24:$U$30,MATCH("对"&amp;LEFT($C$5,2)&amp;"输出",标准坦克设计!$B$23:$U$23,0)))*(VLOOKUP($B129,INDIRECT($B$5&amp;"生成成长"),3))*(VLOOKUP($B$5,标准坦克设计!$B$14:$K$20,9)/30))</f>
        <v>8.836836556400895</v>
      </c>
      <c r="BZ129" s="173">
        <f ca="1">(VLOOKUP(BZ$72,INDIRECT($C$5&amp;"生成成长"),2))/((VLOOKUP($B129,INDIRECT($B$5&amp;"生成成长"),4))/(VLOOKUP(BZ$72,INDIRECT($C$5&amp;"生成成长"),5))*(VLOOKUP($B$5,标准坦克设计!$B$24:$U$30,MATCH("对"&amp;LEFT($C$5,2)&amp;"输出",标准坦克设计!$B$23:$U$23,0)))*(VLOOKUP($B129,INDIRECT($B$5&amp;"生成成长"),3))*(VLOOKUP($B$5,标准坦克设计!$B$14:$K$20,9)/30))</f>
        <v>9.7112603935765538</v>
      </c>
      <c r="CA129" s="173">
        <f ca="1">(VLOOKUP(CA$72,INDIRECT($C$5&amp;"生成成长"),2))/((VLOOKUP($B129,INDIRECT($B$5&amp;"生成成长"),4))/(VLOOKUP(CA$72,INDIRECT($C$5&amp;"生成成长"),5))*(VLOOKUP($B$5,标准坦克设计!$B$24:$U$30,MATCH("对"&amp;LEFT($C$5,2)&amp;"输出",标准坦克设计!$B$23:$U$23,0)))*(VLOOKUP($B129,INDIRECT($B$5&amp;"生成成长"),3))*(VLOOKUP($B$5,标准坦克设计!$B$14:$K$20,9)/30))</f>
        <v>10.62693063816616</v>
      </c>
      <c r="CB129" s="173">
        <f ca="1">(VLOOKUP(CB$72,INDIRECT($C$5&amp;"生成成长"),2))/((VLOOKUP($B129,INDIRECT($B$5&amp;"生成成长"),4))/(VLOOKUP(CB$72,INDIRECT($C$5&amp;"生成成长"),5))*(VLOOKUP($B$5,标准坦克设计!$B$24:$U$30,MATCH("对"&amp;LEFT($C$5,2)&amp;"输出",标准坦克设计!$B$23:$U$23,0)))*(VLOOKUP($B129,INDIRECT($B$5&amp;"生成成长"),3))*(VLOOKUP($B$5,标准坦克设计!$B$14:$K$20,9)/30))</f>
        <v>11.583847290169714</v>
      </c>
      <c r="CC129" s="173">
        <f ca="1">(VLOOKUP(CC$72,INDIRECT($C$5&amp;"生成成长"),2))/((VLOOKUP($B129,INDIRECT($B$5&amp;"生成成长"),4))/(VLOOKUP(CC$72,INDIRECT($C$5&amp;"生成成长"),5))*(VLOOKUP($B$5,标准坦克设计!$B$24:$U$30,MATCH("对"&amp;LEFT($C$5,2)&amp;"输出",标准坦克设计!$B$23:$U$23,0)))*(VLOOKUP($B129,INDIRECT($B$5&amp;"生成成长"),3))*(VLOOKUP($B$5,标准坦克设计!$B$14:$K$20,9)/30))</f>
        <v>12.582010349587206</v>
      </c>
      <c r="CD129" s="173">
        <f ca="1">(VLOOKUP(CD$72,INDIRECT($C$5&amp;"生成成长"),2))/((VLOOKUP($B129,INDIRECT($B$5&amp;"生成成长"),4))/(VLOOKUP(CD$72,INDIRECT($C$5&amp;"生成成长"),5))*(VLOOKUP($B$5,标准坦克设计!$B$24:$U$30,MATCH("对"&amp;LEFT($C$5,2)&amp;"输出",标准坦克设计!$B$23:$U$23,0)))*(VLOOKUP($B129,INDIRECT($B$5&amp;"生成成长"),3))*(VLOOKUP($B$5,标准坦克设计!$B$14:$K$20,9)/30))</f>
        <v>13.621419816418651</v>
      </c>
      <c r="CE129" s="173">
        <f ca="1">(VLOOKUP(CE$72,INDIRECT($C$5&amp;"生成成长"),2))/((VLOOKUP($B129,INDIRECT($B$5&amp;"生成成长"),4))/(VLOOKUP(CE$72,INDIRECT($C$5&amp;"生成成长"),5))*(VLOOKUP($B$5,标准坦克设计!$B$24:$U$30,MATCH("对"&amp;LEFT($C$5,2)&amp;"输出",标准坦克设计!$B$23:$U$23,0)))*(VLOOKUP($B129,INDIRECT($B$5&amp;"生成成长"),3))*(VLOOKUP($B$5,标准坦克设计!$B$14:$K$20,9)/30))</f>
        <v>14.70207569066404</v>
      </c>
      <c r="CF129" s="173">
        <f ca="1">(VLOOKUP(CF$72,INDIRECT($C$5&amp;"生成成长"),2))/((VLOOKUP($B129,INDIRECT($B$5&amp;"生成成长"),4))/(VLOOKUP(CF$72,INDIRECT($C$5&amp;"生成成长"),5))*(VLOOKUP($B$5,标准坦克设计!$B$24:$U$30,MATCH("对"&amp;LEFT($C$5,2)&amp;"输出",标准坦克设计!$B$23:$U$23,0)))*(VLOOKUP($B129,INDIRECT($B$5&amp;"生成成长"),3))*(VLOOKUP($B$5,标准坦克设计!$B$14:$K$20,9)/30))</f>
        <v>15.823977972323377</v>
      </c>
      <c r="CG129" s="173">
        <f ca="1">(VLOOKUP(CG$72,INDIRECT($C$5&amp;"生成成长"),2))/((VLOOKUP($B129,INDIRECT($B$5&amp;"生成成长"),4))/(VLOOKUP(CG$72,INDIRECT($C$5&amp;"生成成长"),5))*(VLOOKUP($B$5,标准坦克设计!$B$24:$U$30,MATCH("对"&amp;LEFT($C$5,2)&amp;"输出",标准坦克设计!$B$23:$U$23,0)))*(VLOOKUP($B129,INDIRECT($B$5&amp;"生成成长"),3))*(VLOOKUP($B$5,标准坦克设计!$B$14:$K$20,9)/30))</f>
        <v>16.987126661396658</v>
      </c>
      <c r="CH129" s="173">
        <f ca="1">(VLOOKUP(CH$72,INDIRECT($C$5&amp;"生成成长"),2))/((VLOOKUP($B129,INDIRECT($B$5&amp;"生成成长"),4))/(VLOOKUP(CH$72,INDIRECT($C$5&amp;"生成成长"),5))*(VLOOKUP($B$5,标准坦克设计!$B$24:$U$30,MATCH("对"&amp;LEFT($C$5,2)&amp;"输出",标准坦克设计!$B$23:$U$23,0)))*(VLOOKUP($B129,INDIRECT($B$5&amp;"生成成长"),3))*(VLOOKUP($B$5,标准坦克设计!$B$14:$K$20,9)/30))</f>
        <v>18.191521757883887</v>
      </c>
      <c r="CI129" s="173">
        <f ca="1">(VLOOKUP(CI$72,INDIRECT($C$5&amp;"生成成长"),2))/((VLOOKUP($B129,INDIRECT($B$5&amp;"生成成长"),4))/(VLOOKUP(CI$72,INDIRECT($C$5&amp;"生成成长"),5))*(VLOOKUP($B$5,标准坦克设计!$B$24:$U$30,MATCH("对"&amp;LEFT($C$5,2)&amp;"输出",标准坦克设计!$B$23:$U$23,0)))*(VLOOKUP($B129,INDIRECT($B$5&amp;"生成成长"),3))*(VLOOKUP($B$5,标准坦克设计!$B$14:$K$20,9)/30))</f>
        <v>19.563995964582944</v>
      </c>
      <c r="CJ129" s="173">
        <f ca="1">(VLOOKUP(CJ$72,INDIRECT($C$5&amp;"生成成长"),2))/((VLOOKUP($B129,INDIRECT($B$5&amp;"生成成长"),4))/(VLOOKUP(CJ$72,INDIRECT($C$5&amp;"生成成长"),5))*(VLOOKUP($B$5,标准坦克设计!$B$24:$U$30,MATCH("对"&amp;LEFT($C$5,2)&amp;"输出",标准坦克设计!$B$23:$U$23,0)))*(VLOOKUP($B129,INDIRECT($B$5&amp;"生成成长"),3))*(VLOOKUP($B$5,标准坦克设计!$B$14:$K$20,9)/30))</f>
        <v>20.986378324252879</v>
      </c>
      <c r="CK129" s="173">
        <f ca="1">(VLOOKUP(CK$72,INDIRECT($C$5&amp;"生成成长"),2))/((VLOOKUP($B129,INDIRECT($B$5&amp;"生成成长"),4))/(VLOOKUP(CK$72,INDIRECT($C$5&amp;"生成成长"),5))*(VLOOKUP($B$5,标准坦克设计!$B$24:$U$30,MATCH("对"&amp;LEFT($C$5,2)&amp;"输出",标准坦克设计!$B$23:$U$23,0)))*(VLOOKUP($B129,INDIRECT($B$5&amp;"生成成长"),3))*(VLOOKUP($B$5,标准坦克设计!$B$14:$K$20,9)/30))</f>
        <v>22.458668836893686</v>
      </c>
      <c r="CL129" s="173">
        <f ca="1">(VLOOKUP(CL$72,INDIRECT($C$5&amp;"生成成长"),2))/((VLOOKUP($B129,INDIRECT($B$5&amp;"生成成长"),4))/(VLOOKUP(CL$72,INDIRECT($C$5&amp;"生成成长"),5))*(VLOOKUP($B$5,标准坦克设计!$B$24:$U$30,MATCH("对"&amp;LEFT($C$5,2)&amp;"输出",标准坦克设计!$B$23:$U$23,0)))*(VLOOKUP($B129,INDIRECT($B$5&amp;"生成成长"),3))*(VLOOKUP($B$5,标准坦克设计!$B$14:$K$20,9)/30))</f>
        <v>23.980867502505369</v>
      </c>
      <c r="CM129" s="173">
        <f ca="1">(VLOOKUP(CM$72,INDIRECT($C$5&amp;"生成成长"),2))/((VLOOKUP($B129,INDIRECT($B$5&amp;"生成成长"),4))/(VLOOKUP(CM$72,INDIRECT($C$5&amp;"生成成长"),5))*(VLOOKUP($B$5,标准坦克设计!$B$24:$U$30,MATCH("对"&amp;LEFT($C$5,2)&amp;"输出",标准坦克设计!$B$23:$U$23,0)))*(VLOOKUP($B129,INDIRECT($B$5&amp;"生成成长"),3))*(VLOOKUP($B$5,标准坦克设计!$B$14:$K$20,9)/30))</f>
        <v>25.552974321087927</v>
      </c>
      <c r="CN129" s="173">
        <f ca="1">(VLOOKUP(CN$72,INDIRECT($C$5&amp;"生成成长"),2))/((VLOOKUP($B129,INDIRECT($B$5&amp;"生成成长"),4))/(VLOOKUP(CN$72,INDIRECT($C$5&amp;"生成成长"),5))*(VLOOKUP($B$5,标准坦克设计!$B$24:$U$30,MATCH("对"&amp;LEFT($C$5,2)&amp;"输出",标准坦克设计!$B$23:$U$23,0)))*(VLOOKUP($B129,INDIRECT($B$5&amp;"生成成长"),3))*(VLOOKUP($B$5,标准坦克设计!$B$14:$K$20,9)/30))</f>
        <v>27.174989292641364</v>
      </c>
      <c r="CO129" s="173">
        <f ca="1">(VLOOKUP(CO$72,INDIRECT($C$5&amp;"生成成长"),2))/((VLOOKUP($B129,INDIRECT($B$5&amp;"生成成长"),4))/(VLOOKUP(CO$72,INDIRECT($C$5&amp;"生成成长"),5))*(VLOOKUP($B$5,标准坦克设计!$B$24:$U$30,MATCH("对"&amp;LEFT($C$5,2)&amp;"输出",标准坦克设计!$B$23:$U$23,0)))*(VLOOKUP($B129,INDIRECT($B$5&amp;"生成成长"),3))*(VLOOKUP($B$5,标准坦克设计!$B$14:$K$20,9)/30))</f>
        <v>12.177795556930537</v>
      </c>
      <c r="CP129" s="173">
        <f ca="1">(VLOOKUP(CP$72,INDIRECT($C$5&amp;"生成成长"),2))/((VLOOKUP($B129,INDIRECT($B$5&amp;"生成成长"),4))/(VLOOKUP(CP$72,INDIRECT($C$5&amp;"生成成长"),5))*(VLOOKUP($B$5,标准坦克设计!$B$24:$U$30,MATCH("对"&amp;LEFT($C$5,2)&amp;"输出",标准坦克设计!$B$23:$U$23,0)))*(VLOOKUP($B129,INDIRECT($B$5&amp;"生成成长"),3))*(VLOOKUP($B$5,标准坦克设计!$B$14:$K$20,9)/30))</f>
        <v>13.305266103590757</v>
      </c>
      <c r="CQ129" s="173">
        <f ca="1">(VLOOKUP(CQ$72,INDIRECT($C$5&amp;"生成成长"),2))/((VLOOKUP($B129,INDIRECT($B$5&amp;"生成成长"),4))/(VLOOKUP(CQ$72,INDIRECT($C$5&amp;"生成成长"),5))*(VLOOKUP($B$5,标准坦克设计!$B$24:$U$30,MATCH("对"&amp;LEFT($C$5,2)&amp;"输出",标准坦克设计!$B$23:$U$23,0)))*(VLOOKUP($B129,INDIRECT($B$5&amp;"生成成长"),3))*(VLOOKUP($B$5,标准坦克设计!$B$14:$K$20,9)/30))</f>
        <v>14.482644803221847</v>
      </c>
      <c r="CR129" s="173">
        <f ca="1">(VLOOKUP(CR$72,INDIRECT($C$5&amp;"生成成长"),2))/((VLOOKUP($B129,INDIRECT($B$5&amp;"生成成长"),4))/(VLOOKUP(CR$72,INDIRECT($C$5&amp;"生成成长"),5))*(VLOOKUP($B$5,标准坦克设计!$B$24:$U$30,MATCH("对"&amp;LEFT($C$5,2)&amp;"输出",标准坦克设计!$B$23:$U$23,0)))*(VLOOKUP($B129,INDIRECT($B$5&amp;"生成成长"),3))*(VLOOKUP($B$5,标准坦克设计!$B$14:$K$20,9)/30))</f>
        <v>15.709931655823814</v>
      </c>
      <c r="CS129" s="173">
        <f ca="1">(VLOOKUP(CS$72,INDIRECT($C$5&amp;"生成成长"),2))/((VLOOKUP($B129,INDIRECT($B$5&amp;"生成成长"),4))/(VLOOKUP(CS$72,INDIRECT($C$5&amp;"生成成长"),5))*(VLOOKUP($B$5,标准坦克设计!$B$24:$U$30,MATCH("对"&amp;LEFT($C$5,2)&amp;"输出",标准坦克设计!$B$23:$U$23,0)))*(VLOOKUP($B129,INDIRECT($B$5&amp;"生成成长"),3))*(VLOOKUP($B$5,标准坦克设计!$B$14:$K$20,9)/30))</f>
        <v>16.987126661396658</v>
      </c>
      <c r="CT129" s="173">
        <f ca="1">(VLOOKUP(CT$72,INDIRECT($C$5&amp;"生成成长"),2))/((VLOOKUP($B129,INDIRECT($B$5&amp;"生成成长"),4))/(VLOOKUP(CT$72,INDIRECT($C$5&amp;"生成成长"),5))*(VLOOKUP($B$5,标准坦克设计!$B$24:$U$30,MATCH("对"&amp;LEFT($C$5,2)&amp;"输出",标准坦克设计!$B$23:$U$23,0)))*(VLOOKUP($B129,INDIRECT($B$5&amp;"生成成长"),3))*(VLOOKUP($B$5,标准坦克设计!$B$14:$K$20,9)/30))</f>
        <v>18.314229819940376</v>
      </c>
      <c r="CU129" s="173">
        <f ca="1">(VLOOKUP(CU$72,INDIRECT($C$5&amp;"生成成长"),2))/((VLOOKUP($B129,INDIRECT($B$5&amp;"生成成长"),4))/(VLOOKUP(CU$72,INDIRECT($C$5&amp;"生成成长"),5))*(VLOOKUP($B$5,标准坦克设计!$B$24:$U$30,MATCH("对"&amp;LEFT($C$5,2)&amp;"输出",标准坦克设计!$B$23:$U$23,0)))*(VLOOKUP($B129,INDIRECT($B$5&amp;"生成成长"),3))*(VLOOKUP($B$5,标准坦克设计!$B$14:$K$20,9)/30))</f>
        <v>19.691241131454969</v>
      </c>
      <c r="CV129" s="173">
        <f ca="1">(VLOOKUP(CV$72,INDIRECT($C$5&amp;"生成成长"),2))/((VLOOKUP($B129,INDIRECT($B$5&amp;"生成成长"),4))/(VLOOKUP(CV$72,INDIRECT($C$5&amp;"生成成长"),5))*(VLOOKUP($B$5,标准坦克设计!$B$24:$U$30,MATCH("对"&amp;LEFT($C$5,2)&amp;"输出",标准坦克设计!$B$23:$U$23,0)))*(VLOOKUP($B129,INDIRECT($B$5&amp;"生成成长"),3))*(VLOOKUP($B$5,标准坦克设计!$B$14:$K$20,9)/30))</f>
        <v>21.118160595940438</v>
      </c>
      <c r="CW129" s="173">
        <f ca="1">(VLOOKUP(CW$72,INDIRECT($C$5&amp;"生成成长"),2))/((VLOOKUP($B129,INDIRECT($B$5&amp;"生成成长"),4))/(VLOOKUP(CW$72,INDIRECT($C$5&amp;"生成成长"),5))*(VLOOKUP($B$5,标准坦克设计!$B$24:$U$30,MATCH("对"&amp;LEFT($C$5,2)&amp;"输出",标准坦克设计!$B$23:$U$23,0)))*(VLOOKUP($B129,INDIRECT($B$5&amp;"生成成长"),3))*(VLOOKUP($B$5,标准坦克设计!$B$14:$K$20,9)/30))</f>
        <v>22.594988213396778</v>
      </c>
      <c r="CX129" s="173">
        <f ca="1">(VLOOKUP(CX$72,INDIRECT($C$5&amp;"生成成长"),2))/((VLOOKUP($B129,INDIRECT($B$5&amp;"生成成长"),4))/(VLOOKUP(CX$72,INDIRECT($C$5&amp;"生成成长"),5))*(VLOOKUP($B$5,标准坦克设计!$B$24:$U$30,MATCH("对"&amp;LEFT($C$5,2)&amp;"输出",标准坦克设计!$B$23:$U$23,0)))*(VLOOKUP($B129,INDIRECT($B$5&amp;"生成成长"),3))*(VLOOKUP($B$5,标准坦克设计!$B$14:$K$20,9)/30))</f>
        <v>24.121723983823991</v>
      </c>
      <c r="CY129" s="173">
        <f ca="1">(VLOOKUP(CY$72,INDIRECT($C$5&amp;"生成成长"),2))/((VLOOKUP($B129,INDIRECT($B$5&amp;"生成成长"),4))/(VLOOKUP(CY$72,INDIRECT($C$5&amp;"生成成长"),5))*(VLOOKUP($B$5,标准坦克设计!$B$24:$U$30,MATCH("对"&amp;LEFT($C$5,2)&amp;"输出",标准坦克设计!$B$23:$U$23,0)))*(VLOOKUP($B129,INDIRECT($B$5&amp;"生成成长"),3))*(VLOOKUP($B$5,标准坦克设计!$B$14:$K$20,9)/30))</f>
        <v>25.698367907222092</v>
      </c>
      <c r="CZ129" s="173">
        <f ca="1">(VLOOKUP(CZ$72,INDIRECT($C$5&amp;"生成成长"),2))/((VLOOKUP($B129,INDIRECT($B$5&amp;"生成成长"),4))/(VLOOKUP(CZ$72,INDIRECT($C$5&amp;"生成成长"),5))*(VLOOKUP($B$5,标准坦克设计!$B$24:$U$30,MATCH("对"&amp;LEFT($C$5,2)&amp;"输出",标准坦克设计!$B$23:$U$23,0)))*(VLOOKUP($B129,INDIRECT($B$5&amp;"生成成长"),3))*(VLOOKUP($B$5,标准坦克设计!$B$14:$K$20,9)/30))</f>
        <v>27.324919983591059</v>
      </c>
      <c r="DA129" s="173">
        <f ca="1">(VLOOKUP(DA$72,INDIRECT($C$5&amp;"生成成长"),2))/((VLOOKUP($B129,INDIRECT($B$5&amp;"生成成长"),4))/(VLOOKUP(DA$72,INDIRECT($C$5&amp;"生成成长"),5))*(VLOOKUP($B$5,标准坦克设计!$B$24:$U$30,MATCH("对"&amp;LEFT($C$5,2)&amp;"输出",标准坦克设计!$B$23:$U$23,0)))*(VLOOKUP($B129,INDIRECT($B$5&amp;"生成成长"),3))*(VLOOKUP($B$5,标准坦克设计!$B$14:$K$20,9)/30))</f>
        <v>29.001380212930897</v>
      </c>
      <c r="DB129" s="173">
        <f ca="1">(VLOOKUP(DB$72,INDIRECT($C$5&amp;"生成成长"),2))/((VLOOKUP($B129,INDIRECT($B$5&amp;"生成成长"),4))/(VLOOKUP(DB$72,INDIRECT($C$5&amp;"生成成长"),5))*(VLOOKUP($B$5,标准坦克设计!$B$24:$U$30,MATCH("对"&amp;LEFT($C$5,2)&amp;"输出",标准坦克设计!$B$23:$U$23,0)))*(VLOOKUP($B129,INDIRECT($B$5&amp;"生成成长"),3))*(VLOOKUP($B$5,标准坦克设计!$B$14:$K$20,9)/30))</f>
        <v>30.727748595241611</v>
      </c>
      <c r="DC129" s="173">
        <f ca="1">(VLOOKUP(DC$72,INDIRECT($C$5&amp;"生成成长"),2))/((VLOOKUP($B129,INDIRECT($B$5&amp;"生成成长"),4))/(VLOOKUP(DC$72,INDIRECT($C$5&amp;"生成成长"),5))*(VLOOKUP($B$5,标准坦克设计!$B$24:$U$30,MATCH("对"&amp;LEFT($C$5,2)&amp;"输出",标准坦克设计!$B$23:$U$23,0)))*(VLOOKUP($B129,INDIRECT($B$5&amp;"生成成长"),3))*(VLOOKUP($B$5,标准坦克设计!$B$14:$K$20,9)/30))</f>
        <v>32.667979599993643</v>
      </c>
      <c r="DD129" s="173">
        <f ca="1">(VLOOKUP(DD$72,INDIRECT($C$5&amp;"生成成长"),2))/((VLOOKUP($B129,INDIRECT($B$5&amp;"生成成长"),4))/(VLOOKUP(DD$72,INDIRECT($C$5&amp;"生成成长"),5))*(VLOOKUP($B$5,标准坦克设计!$B$24:$U$30,MATCH("对"&amp;LEFT($C$5,2)&amp;"输出",标准坦克设计!$B$23:$U$23,0)))*(VLOOKUP($B129,INDIRECT($B$5&amp;"生成成长"),3))*(VLOOKUP($B$5,标准坦克设计!$B$14:$K$20,9)/30))</f>
        <v>34.667605431421748</v>
      </c>
      <c r="DE129" s="173">
        <f ca="1">(VLOOKUP(DE$72,INDIRECT($C$5&amp;"生成成长"),2))/((VLOOKUP($B129,INDIRECT($B$5&amp;"生成成长"),4))/(VLOOKUP(DE$72,INDIRECT($C$5&amp;"生成成长"),5))*(VLOOKUP($B$5,标准坦克设计!$B$24:$U$30,MATCH("对"&amp;LEFT($C$5,2)&amp;"输出",标准坦克设计!$B$23:$U$23,0)))*(VLOOKUP($B129,INDIRECT($B$5&amp;"生成成长"),3))*(VLOOKUP($B$5,标准坦克设计!$B$14:$K$20,9)/30))</f>
        <v>36.726626089525944</v>
      </c>
      <c r="DF129" s="173">
        <f ca="1">(VLOOKUP(DF$72,INDIRECT($C$5&amp;"生成成长"),2))/((VLOOKUP($B129,INDIRECT($B$5&amp;"生成成长"),4))/(VLOOKUP(DF$72,INDIRECT($C$5&amp;"生成成长"),5))*(VLOOKUP($B$5,标准坦克设计!$B$24:$U$30,MATCH("对"&amp;LEFT($C$5,2)&amp;"输出",标准坦克设计!$B$23:$U$23,0)))*(VLOOKUP($B129,INDIRECT($B$5&amp;"生成成长"),3))*(VLOOKUP($B$5,标准坦克设计!$B$14:$K$20,9)/30))</f>
        <v>38.845041574306215</v>
      </c>
      <c r="DG129" s="173">
        <f ca="1">(VLOOKUP(DG$72,INDIRECT($C$5&amp;"生成成长"),2))/((VLOOKUP($B129,INDIRECT($B$5&amp;"生成成长"),4))/(VLOOKUP(DG$72,INDIRECT($C$5&amp;"生成成长"),5))*(VLOOKUP($B$5,标准坦克设计!$B$24:$U$30,MATCH("对"&amp;LEFT($C$5,2)&amp;"输出",标准坦克设计!$B$23:$U$23,0)))*(VLOOKUP($B129,INDIRECT($B$5&amp;"生成成长"),3))*(VLOOKUP($B$5,标准坦克设计!$B$14:$K$20,9)/30))</f>
        <v>41.022851885762577</v>
      </c>
      <c r="DH129" s="173">
        <f ca="1">(VLOOKUP(DH$72,INDIRECT($C$5&amp;"生成成长"),2))/((VLOOKUP($B129,INDIRECT($B$5&amp;"生成成长"),4))/(VLOOKUP(DH$72,INDIRECT($C$5&amp;"生成成长"),5))*(VLOOKUP($B$5,标准坦克设计!$B$24:$U$30,MATCH("对"&amp;LEFT($C$5,2)&amp;"输出",标准坦克设计!$B$23:$U$23,0)))*(VLOOKUP($B129,INDIRECT($B$5&amp;"生成成长"),3))*(VLOOKUP($B$5,标准坦克设计!$B$14:$K$20,9)/30))</f>
        <v>43.260057023895008</v>
      </c>
      <c r="DI129" s="173">
        <f ca="1">(VLOOKUP(DI$72,INDIRECT($C$5&amp;"生成成长"),2))/((VLOOKUP($B129,INDIRECT($B$5&amp;"生成成长"),4))/(VLOOKUP(DI$72,INDIRECT($C$5&amp;"生成成长"),5))*(VLOOKUP($B$5,标准坦克设计!$B$24:$U$30,MATCH("对"&amp;LEFT($C$5,2)&amp;"输出",标准坦克设计!$B$23:$U$23,0)))*(VLOOKUP($B129,INDIRECT($B$5&amp;"生成成长"),3))*(VLOOKUP($B$5,标准坦克设计!$B$14:$K$20,9)/30))</f>
        <v>45.556656988703537</v>
      </c>
      <c r="DJ129" s="173">
        <f ca="1">(VLOOKUP(DJ$72,INDIRECT($C$5&amp;"生成成长"),2))/((VLOOKUP($B129,INDIRECT($B$5&amp;"生成成长"),4))/(VLOOKUP(DJ$72,INDIRECT($C$5&amp;"生成成长"),5))*(VLOOKUP($B$5,标准坦克设计!$B$24:$U$30,MATCH("对"&amp;LEFT($C$5,2)&amp;"输出",标准坦克设计!$B$23:$U$23,0)))*(VLOOKUP($B129,INDIRECT($B$5&amp;"生成成长"),3))*(VLOOKUP($B$5,标准坦克设计!$B$14:$K$20,9)/30))</f>
        <v>4.578557454985094</v>
      </c>
      <c r="DK129" s="173">
        <f ca="1">(VLOOKUP(DK$72,INDIRECT($C$5&amp;"生成成长"),2))/((VLOOKUP($B129,INDIRECT($B$5&amp;"生成成长"),4))/(VLOOKUP(DK$72,INDIRECT($C$5&amp;"生成成长"),5))*(VLOOKUP($B$5,标准坦克设计!$B$24:$U$30,MATCH("对"&amp;LEFT($C$5,2)&amp;"输出",标准坦克设计!$B$23:$U$23,0)))*(VLOOKUP($B129,INDIRECT($B$5&amp;"生成成长"),3))*(VLOOKUP($B$5,标准坦克设计!$B$14:$K$20,9)/30))</f>
        <v>5.1483765734087612</v>
      </c>
      <c r="DL129" s="173">
        <f ca="1">(VLOOKUP(DL$72,INDIRECT($C$5&amp;"生成成长"),2))/((VLOOKUP($B129,INDIRECT($B$5&amp;"生成成长"),4))/(VLOOKUP(DL$72,INDIRECT($C$5&amp;"生成成长"),5))*(VLOOKUP($B$5,标准坦克设计!$B$24:$U$30,MATCH("对"&amp;LEFT($C$5,2)&amp;"输出",标准坦克设计!$B$23:$U$23,0)))*(VLOOKUP($B129,INDIRECT($B$5&amp;"生成成长"),3))*(VLOOKUP($B$5,标准坦克设计!$B$14:$K$20,9)/30))</f>
        <v>5.7516052818377226</v>
      </c>
      <c r="DM129" s="173">
        <f ca="1">(VLOOKUP(DM$72,INDIRECT($C$5&amp;"生成成长"),2))/((VLOOKUP($B129,INDIRECT($B$5&amp;"生成成长"),4))/(VLOOKUP(DM$72,INDIRECT($C$5&amp;"生成成长"),5))*(VLOOKUP($B$5,标准坦克设计!$B$24:$U$30,MATCH("对"&amp;LEFT($C$5,2)&amp;"输出",标准坦克设计!$B$23:$U$23,0)))*(VLOOKUP($B129,INDIRECT($B$5&amp;"生成成长"),3))*(VLOOKUP($B$5,标准坦克设计!$B$14:$K$20,9)/30))</f>
        <v>6.3882435802719817</v>
      </c>
      <c r="DN129" s="173">
        <f ca="1">(VLOOKUP(DN$72,INDIRECT($C$5&amp;"生成成长"),2))/((VLOOKUP($B129,INDIRECT($B$5&amp;"生成成长"),4))/(VLOOKUP(DN$72,INDIRECT($C$5&amp;"生成成长"),5))*(VLOOKUP($B$5,标准坦克设计!$B$24:$U$30,MATCH("对"&amp;LEFT($C$5,2)&amp;"输出",标准坦克设计!$B$23:$U$23,0)))*(VLOOKUP($B129,INDIRECT($B$5&amp;"生成成长"),3))*(VLOOKUP($B$5,标准坦克设计!$B$14:$K$20,9)/30))</f>
        <v>7.0582914687115377</v>
      </c>
      <c r="DO129" s="173">
        <f ca="1">(VLOOKUP(DO$72,INDIRECT($C$5&amp;"生成成长"),2))/((VLOOKUP($B129,INDIRECT($B$5&amp;"生成成长"),4))/(VLOOKUP(DO$72,INDIRECT($C$5&amp;"生成成长"),5))*(VLOOKUP($B$5,标准坦克设计!$B$24:$U$30,MATCH("对"&amp;LEFT($C$5,2)&amp;"输出",标准坦克设计!$B$23:$U$23,0)))*(VLOOKUP($B129,INDIRECT($B$5&amp;"生成成长"),3))*(VLOOKUP($B$5,标准坦克设计!$B$14:$K$20,9)/30))</f>
        <v>7.7617489471563905</v>
      </c>
      <c r="DP129" s="173">
        <f ca="1">(VLOOKUP(DP$72,INDIRECT($C$5&amp;"生成成长"),2))/((VLOOKUP($B129,INDIRECT($B$5&amp;"生成成长"),4))/(VLOOKUP(DP$72,INDIRECT($C$5&amp;"生成成长"),5))*(VLOOKUP($B$5,标准坦克设计!$B$24:$U$30,MATCH("对"&amp;LEFT($C$5,2)&amp;"输出",标准坦克设计!$B$23:$U$23,0)))*(VLOOKUP($B129,INDIRECT($B$5&amp;"生成成长"),3))*(VLOOKUP($B$5,标准坦克设计!$B$14:$K$20,9)/30))</f>
        <v>8.4986160156065367</v>
      </c>
      <c r="DQ129" s="173">
        <f ca="1">(VLOOKUP(DQ$72,INDIRECT($C$5&amp;"生成成长"),2))/((VLOOKUP($B129,INDIRECT($B$5&amp;"生成成长"),4))/(VLOOKUP(DQ$72,INDIRECT($C$5&amp;"生成成长"),5))*(VLOOKUP($B$5,标准坦克设计!$B$24:$U$30,MATCH("对"&amp;LEFT($C$5,2)&amp;"输出",标准坦克设计!$B$23:$U$23,0)))*(VLOOKUP($B129,INDIRECT($B$5&amp;"生成成长"),3))*(VLOOKUP($B$5,标准坦克设计!$B$14:$K$20,9)/30))</f>
        <v>9.2688926740619806</v>
      </c>
      <c r="DR129" s="173">
        <f ca="1">(VLOOKUP(DR$72,INDIRECT($C$5&amp;"生成成长"),2))/((VLOOKUP($B129,INDIRECT($B$5&amp;"生成成长"),4))/(VLOOKUP(DR$72,INDIRECT($C$5&amp;"生成成长"),5))*(VLOOKUP($B$5,标准坦克设计!$B$24:$U$30,MATCH("对"&amp;LEFT($C$5,2)&amp;"输出",标准坦克设计!$B$23:$U$23,0)))*(VLOOKUP($B129,INDIRECT($B$5&amp;"生成成长"),3))*(VLOOKUP($B$5,标准坦克设计!$B$14:$K$20,9)/30))</f>
        <v>10.072578922522723</v>
      </c>
      <c r="DS129" s="173">
        <f ca="1">(VLOOKUP(DS$72,INDIRECT($C$5&amp;"生成成长"),2))/((VLOOKUP($B129,INDIRECT($B$5&amp;"生成成长"),4))/(VLOOKUP(DS$72,INDIRECT($C$5&amp;"生成成长"),5))*(VLOOKUP($B$5,标准坦克设计!$B$24:$U$30,MATCH("对"&amp;LEFT($C$5,2)&amp;"输出",标准坦克设计!$B$23:$U$23,0)))*(VLOOKUP($B129,INDIRECT($B$5&amp;"生成成长"),3))*(VLOOKUP($B$5,标准坦克设计!$B$14:$K$20,9)/30))</f>
        <v>10.909674760988761</v>
      </c>
      <c r="DT129" s="173">
        <f ca="1">(VLOOKUP(DT$72,INDIRECT($C$5&amp;"生成成长"),2))/((VLOOKUP($B129,INDIRECT($B$5&amp;"生成成长"),4))/(VLOOKUP(DT$72,INDIRECT($C$5&amp;"生成成长"),5))*(VLOOKUP($B$5,标准坦克设计!$B$24:$U$30,MATCH("对"&amp;LEFT($C$5,2)&amp;"输出",标准坦克设计!$B$23:$U$23,0)))*(VLOOKUP($B129,INDIRECT($B$5&amp;"生成成长"),3))*(VLOOKUP($B$5,标准坦克设计!$B$14:$K$20,9)/30))</f>
        <v>11.978162945047035</v>
      </c>
      <c r="DU129" s="173">
        <f ca="1">(VLOOKUP(DU$72,INDIRECT($C$5&amp;"生成成长"),2))/((VLOOKUP($B129,INDIRECT($B$5&amp;"生成成长"),4))/(VLOOKUP(DU$72,INDIRECT($C$5&amp;"生成成长"),5))*(VLOOKUP($B$5,标准坦克设计!$B$24:$U$30,MATCH("对"&amp;LEFT($C$5,2)&amp;"输出",标准坦克设计!$B$23:$U$23,0)))*(VLOOKUP($B129,INDIRECT($B$5&amp;"生成成长"),3))*(VLOOKUP($B$5,标准坦克设计!$B$14:$K$20,9)/30))</f>
        <v>13.096559282076186</v>
      </c>
      <c r="DV129" s="173">
        <f ca="1">(VLOOKUP(DV$72,INDIRECT($C$5&amp;"生成成长"),2))/((VLOOKUP($B129,INDIRECT($B$5&amp;"生成成长"),4))/(VLOOKUP(DV$72,INDIRECT($C$5&amp;"生成成长"),5))*(VLOOKUP($B$5,标准坦克设计!$B$24:$U$30,MATCH("对"&amp;LEFT($C$5,2)&amp;"输出",标准坦克设计!$B$23:$U$23,0)))*(VLOOKUP($B129,INDIRECT($B$5&amp;"生成成长"),3))*(VLOOKUP($B$5,标准坦克设计!$B$14:$K$20,9)/30))</f>
        <v>14.264863772076207</v>
      </c>
      <c r="DW129" s="173">
        <f ca="1">(VLOOKUP(DW$72,INDIRECT($C$5&amp;"生成成长"),2))/((VLOOKUP($B129,INDIRECT($B$5&amp;"生成成长"),4))/(VLOOKUP(DW$72,INDIRECT($C$5&amp;"生成成长"),5))*(VLOOKUP($B$5,标准坦克设计!$B$24:$U$30,MATCH("对"&amp;LEFT($C$5,2)&amp;"输出",标准坦克设计!$B$23:$U$23,0)))*(VLOOKUP($B129,INDIRECT($B$5&amp;"生成成长"),3))*(VLOOKUP($B$5,标准坦克设计!$B$14:$K$20,9)/30))</f>
        <v>15.483076415047114</v>
      </c>
      <c r="DX129" s="173">
        <f ca="1">(VLOOKUP(DX$72,INDIRECT($C$5&amp;"生成成长"),2))/((VLOOKUP($B129,INDIRECT($B$5&amp;"生成成长"),4))/(VLOOKUP(DX$72,INDIRECT($C$5&amp;"生成成长"),5))*(VLOOKUP($B$5,标准坦克设计!$B$24:$U$30,MATCH("对"&amp;LEFT($C$5,2)&amp;"输出",标准坦克设计!$B$23:$U$23,0)))*(VLOOKUP($B129,INDIRECT($B$5&amp;"生成成长"),3))*(VLOOKUP($B$5,标准坦克设计!$B$14:$K$20,9)/30))</f>
        <v>16.751197210988884</v>
      </c>
      <c r="DY129" s="173">
        <f ca="1">(VLOOKUP(DY$72,INDIRECT($C$5&amp;"生成成长"),2))/((VLOOKUP($B129,INDIRECT($B$5&amp;"生成成长"),4))/(VLOOKUP(DY$72,INDIRECT($C$5&amp;"生成成长"),5))*(VLOOKUP($B$5,标准坦克设计!$B$24:$U$30,MATCH("对"&amp;LEFT($C$5,2)&amp;"输出",标准坦克设计!$B$23:$U$23,0)))*(VLOOKUP($B129,INDIRECT($B$5&amp;"生成成长"),3))*(VLOOKUP($B$5,标准坦克设计!$B$14:$K$20,9)/30))</f>
        <v>7.523550944340851</v>
      </c>
      <c r="DZ129" s="173">
        <f ca="1">(VLOOKUP(DZ$72,INDIRECT($C$5&amp;"生成成长"),2))/((VLOOKUP($B129,INDIRECT($B$5&amp;"生成成长"),4))/(VLOOKUP(DZ$72,INDIRECT($C$5&amp;"生成成长"),5))*(VLOOKUP($B$5,标准坦克设计!$B$24:$U$30,MATCH("对"&amp;LEFT($C$5,2)&amp;"输出",标准坦克设计!$B$23:$U$23,0)))*(VLOOKUP($B129,INDIRECT($B$5&amp;"生成成长"),3))*(VLOOKUP($B$5,标准坦克设计!$B$14:$K$20,9)/30))</f>
        <v>8.3319805296541958</v>
      </c>
      <c r="EA129" s="173">
        <f ca="1">(VLOOKUP(EA$72,INDIRECT($C$5&amp;"生成成长"),2))/((VLOOKUP($B129,INDIRECT($B$5&amp;"生成成长"),4))/(VLOOKUP(EA$72,INDIRECT($C$5&amp;"生成成长"),5))*(VLOOKUP($B$5,标准坦克设计!$B$24:$U$30,MATCH("对"&amp;LEFT($C$5,2)&amp;"输出",标准坦克设计!$B$23:$U$23,0)))*(VLOOKUP($B129,INDIRECT($B$5&amp;"生成成长"),3))*(VLOOKUP($B$5,标准坦克设计!$B$14:$K$20,9)/30))</f>
        <v>9.1816565223814859</v>
      </c>
      <c r="EB129" s="173">
        <f ca="1">(VLOOKUP(EB$72,INDIRECT($C$5&amp;"生成成长"),2))/((VLOOKUP($B129,INDIRECT($B$5&amp;"生成成长"),4))/(VLOOKUP(EB$72,INDIRECT($C$5&amp;"生成成长"),5))*(VLOOKUP($B$5,标准坦克设计!$B$24:$U$30,MATCH("对"&amp;LEFT($C$5,2)&amp;"输出",标准坦克设计!$B$23:$U$23,0)))*(VLOOKUP($B129,INDIRECT($B$5&amp;"生成成长"),3))*(VLOOKUP($B$5,标准坦克设计!$B$14:$K$20,9)/30))</f>
        <v>10.072578922522723</v>
      </c>
      <c r="EC129" s="173">
        <f ca="1">(VLOOKUP(EC$72,INDIRECT($C$5&amp;"生成成长"),2))/((VLOOKUP($B129,INDIRECT($B$5&amp;"生成成长"),4))/(VLOOKUP(EC$72,INDIRECT($C$5&amp;"生成成长"),5))*(VLOOKUP($B$5,标准坦克设计!$B$24:$U$30,MATCH("对"&amp;LEFT($C$5,2)&amp;"输出",标准坦克设计!$B$23:$U$23,0)))*(VLOOKUP($B129,INDIRECT($B$5&amp;"生成成长"),3))*(VLOOKUP($B$5,标准坦克设计!$B$14:$K$20,9)/30))</f>
        <v>11.004747730077906</v>
      </c>
      <c r="ED129" s="173">
        <f ca="1">(VLOOKUP(ED$72,INDIRECT($C$5&amp;"生成成长"),2))/((VLOOKUP($B129,INDIRECT($B$5&amp;"生成成长"),4))/(VLOOKUP(ED$72,INDIRECT($C$5&amp;"生成成长"),5))*(VLOOKUP($B$5,标准坦克设计!$B$24:$U$30,MATCH("对"&amp;LEFT($C$5,2)&amp;"输出",标准坦克设计!$B$23:$U$23,0)))*(VLOOKUP($B129,INDIRECT($B$5&amp;"生成成长"),3))*(VLOOKUP($B$5,标准坦克设计!$B$14:$K$20,9)/30))</f>
        <v>11.978162945047035</v>
      </c>
      <c r="EE129" s="173">
        <f ca="1">(VLOOKUP(EE$72,INDIRECT($C$5&amp;"生成成长"),2))/((VLOOKUP($B129,INDIRECT($B$5&amp;"生成成长"),4))/(VLOOKUP(EE$72,INDIRECT($C$5&amp;"生成成长"),5))*(VLOOKUP($B$5,标准坦克设计!$B$24:$U$30,MATCH("对"&amp;LEFT($C$5,2)&amp;"输出",标准坦克设计!$B$23:$U$23,0)))*(VLOOKUP($B129,INDIRECT($B$5&amp;"生成成长"),3))*(VLOOKUP($B$5,标准坦克设计!$B$14:$K$20,9)/30))</f>
        <v>12.992824567430109</v>
      </c>
      <c r="EF129" s="173">
        <f ca="1">(VLOOKUP(EF$72,INDIRECT($C$5&amp;"生成成长"),2))/((VLOOKUP($B129,INDIRECT($B$5&amp;"生成成长"),4))/(VLOOKUP(EF$72,INDIRECT($C$5&amp;"生成成长"),5))*(VLOOKUP($B$5,标准坦克设计!$B$24:$U$30,MATCH("对"&amp;LEFT($C$5,2)&amp;"输出",标准坦克设计!$B$23:$U$23,0)))*(VLOOKUP($B129,INDIRECT($B$5&amp;"生成成长"),3))*(VLOOKUP($B$5,标准坦克设计!$B$14:$K$20,9)/30))</f>
        <v>14.048732597227133</v>
      </c>
      <c r="EG129" s="173">
        <f ca="1">(VLOOKUP(EG$72,INDIRECT($C$5&amp;"生成成长"),2))/((VLOOKUP($B129,INDIRECT($B$5&amp;"生成成长"),4))/(VLOOKUP(EG$72,INDIRECT($C$5&amp;"生成成长"),5))*(VLOOKUP($B$5,标准坦克设计!$B$24:$U$30,MATCH("对"&amp;LEFT($C$5,2)&amp;"输出",标准坦克设计!$B$23:$U$23,0)))*(VLOOKUP($B129,INDIRECT($B$5&amp;"生成成长"),3))*(VLOOKUP($B$5,标准坦克设计!$B$14:$K$20,9)/30))</f>
        <v>15.1458870344381</v>
      </c>
      <c r="EH129" s="173">
        <f ca="1">(VLOOKUP(EH$72,INDIRECT($C$5&amp;"生成成长"),2))/((VLOOKUP($B129,INDIRECT($B$5&amp;"生成成长"),4))/(VLOOKUP(EH$72,INDIRECT($C$5&amp;"生成成长"),5))*(VLOOKUP($B$5,标准坦克设计!$B$24:$U$30,MATCH("对"&amp;LEFT($C$5,2)&amp;"输出",标准坦克设计!$B$23:$U$23,0)))*(VLOOKUP($B129,INDIRECT($B$5&amp;"生成成长"),3))*(VLOOKUP($B$5,标准坦克设计!$B$14:$K$20,9)/30))</f>
        <v>16.284287879063019</v>
      </c>
      <c r="EI129" s="173">
        <f ca="1">(VLOOKUP(EI$72,INDIRECT($C$5&amp;"生成成长"),2))/((VLOOKUP($B129,INDIRECT($B$5&amp;"生成成长"),4))/(VLOOKUP(EI$72,INDIRECT($C$5&amp;"生成成长"),5))*(VLOOKUP($B$5,标准坦克设计!$B$24:$U$30,MATCH("对"&amp;LEFT($C$5,2)&amp;"输出",标准坦克设计!$B$23:$U$23,0)))*(VLOOKUP($B129,INDIRECT($B$5&amp;"生成成长"),3))*(VLOOKUP($B$5,标准坦克设计!$B$14:$K$20,9)/30))</f>
        <v>17.463935131101877</v>
      </c>
      <c r="EJ129" s="173">
        <f ca="1">(VLOOKUP(EJ$72,INDIRECT($C$5&amp;"生成成长"),2))/((VLOOKUP($B129,INDIRECT($B$5&amp;"生成成长"),4))/(VLOOKUP(EJ$72,INDIRECT($C$5&amp;"生成成长"),5))*(VLOOKUP($B$5,标准坦克设计!$B$24:$U$30,MATCH("对"&amp;LEFT($C$5,2)&amp;"输出",标准坦克设计!$B$23:$U$23,0)))*(VLOOKUP($B129,INDIRECT($B$5&amp;"生成成长"),3))*(VLOOKUP($B$5,标准坦克设计!$B$14:$K$20,9)/30))</f>
        <v>18.684828790554683</v>
      </c>
      <c r="EK129" s="173">
        <f ca="1">(VLOOKUP(EK$72,INDIRECT($C$5&amp;"生成成长"),2))/((VLOOKUP($B129,INDIRECT($B$5&amp;"生成成长"),4))/(VLOOKUP(EK$72,INDIRECT($C$5&amp;"生成成长"),5))*(VLOOKUP($B$5,标准坦克设计!$B$24:$U$30,MATCH("对"&amp;LEFT($C$5,2)&amp;"输出",标准坦克设计!$B$23:$U$23,0)))*(VLOOKUP($B129,INDIRECT($B$5&amp;"生成成长"),3))*(VLOOKUP($B$5,标准坦克设计!$B$14:$K$20,9)/30))</f>
        <v>20.204346439684457</v>
      </c>
      <c r="EL129" s="173">
        <f ca="1">(VLOOKUP(EL$72,INDIRECT($C$5&amp;"生成成长"),2))/((VLOOKUP($B129,INDIRECT($B$5&amp;"生成成长"),4))/(VLOOKUP(EL$72,INDIRECT($C$5&amp;"生成成长"),5))*(VLOOKUP($B$5,标准坦克设计!$B$24:$U$30,MATCH("对"&amp;LEFT($C$5,2)&amp;"输出",标准坦克设计!$B$23:$U$23,0)))*(VLOOKUP($B129,INDIRECT($B$5&amp;"生成成长"),3))*(VLOOKUP($B$5,标准坦克设计!$B$14:$K$20,9)/30))</f>
        <v>21.783258915490318</v>
      </c>
      <c r="EM129" s="173">
        <f ca="1">(VLOOKUP(EM$72,INDIRECT($C$5&amp;"生成成长"),2))/((VLOOKUP($B129,INDIRECT($B$5&amp;"生成成长"),4))/(VLOOKUP(EM$72,INDIRECT($C$5&amp;"生成成长"),5))*(VLOOKUP($B$5,标准坦克设计!$B$24:$U$30,MATCH("对"&amp;LEFT($C$5,2)&amp;"输出",标准坦克设计!$B$23:$U$23,0)))*(VLOOKUP($B129,INDIRECT($B$5&amp;"生成成长"),3))*(VLOOKUP($B$5,标准坦克设计!$B$14:$K$20,9)/30))</f>
        <v>23.421566217972263</v>
      </c>
      <c r="EN129" s="173">
        <f ca="1">(VLOOKUP(EN$72,INDIRECT($C$5&amp;"生成成长"),2))/((VLOOKUP($B129,INDIRECT($B$5&amp;"生成成长"),4))/(VLOOKUP(EN$72,INDIRECT($C$5&amp;"生成成长"),5))*(VLOOKUP($B$5,标准坦克设计!$B$24:$U$30,MATCH("对"&amp;LEFT($C$5,2)&amp;"输出",标准坦克设计!$B$23:$U$23,0)))*(VLOOKUP($B129,INDIRECT($B$5&amp;"生成成长"),3))*(VLOOKUP($B$5,标准坦克设计!$B$14:$K$20,9)/30))</f>
        <v>25.119268347130284</v>
      </c>
      <c r="EO129" s="173">
        <f ca="1">(VLOOKUP(EO$72,INDIRECT($C$5&amp;"生成成长"),2))/((VLOOKUP($B129,INDIRECT($B$5&amp;"生成成长"),4))/(VLOOKUP(EO$72,INDIRECT($C$5&amp;"生成成长"),5))*(VLOOKUP($B$5,标准坦克设计!$B$24:$U$30,MATCH("对"&amp;LEFT($C$5,2)&amp;"输出",标准坦克设计!$B$23:$U$23,0)))*(VLOOKUP($B129,INDIRECT($B$5&amp;"生成成长"),3))*(VLOOKUP($B$5,标准坦克设计!$B$14:$K$20,9)/30))</f>
        <v>26.876365302964391</v>
      </c>
      <c r="EP129" s="173">
        <f ca="1">(VLOOKUP(EP$72,INDIRECT($C$5&amp;"生成成长"),2))/((VLOOKUP($B129,INDIRECT($B$5&amp;"生成成长"),4))/(VLOOKUP(EP$72,INDIRECT($C$5&amp;"生成成长"),5))*(VLOOKUP($B$5,标准坦克设计!$B$24:$U$30,MATCH("对"&amp;LEFT($C$5,2)&amp;"输出",标准坦克设计!$B$23:$U$23,0)))*(VLOOKUP($B129,INDIRECT($B$5&amp;"生成成长"),3))*(VLOOKUP($B$5,标准坦克设计!$B$14:$K$20,9)/30))</f>
        <v>28.692857085474575</v>
      </c>
      <c r="EQ129" s="173">
        <f ca="1">(VLOOKUP(EQ$72,INDIRECT($C$5&amp;"生成成长"),2))/((VLOOKUP($B129,INDIRECT($B$5&amp;"生成成长"),4))/(VLOOKUP(EQ$72,INDIRECT($C$5&amp;"生成成长"),5))*(VLOOKUP($B$5,标准坦克设计!$B$24:$U$30,MATCH("对"&amp;LEFT($C$5,2)&amp;"输出",标准坦克设计!$B$23:$U$23,0)))*(VLOOKUP($B129,INDIRECT($B$5&amp;"生成成长"),3))*(VLOOKUP($B$5,标准坦克设计!$B$14:$K$20,9)/30))</f>
        <v>12.684095207936725</v>
      </c>
      <c r="ER129" s="173">
        <f ca="1">(VLOOKUP(ER$72,INDIRECT($C$5&amp;"生成成长"),2))/((VLOOKUP($B129,INDIRECT($B$5&amp;"生成成长"),4))/(VLOOKUP(ER$72,INDIRECT($C$5&amp;"生成成长"),5))*(VLOOKUP($B$5,标准坦克设计!$B$24:$U$30,MATCH("对"&amp;LEFT($C$5,2)&amp;"输出",标准坦克设计!$B$23:$U$23,0)))*(VLOOKUP($B129,INDIRECT($B$5&amp;"生成成长"),3))*(VLOOKUP($B$5,标准坦克设计!$B$14:$K$20,9)/30))</f>
        <v>13.834251278674614</v>
      </c>
      <c r="ES129" s="173">
        <f ca="1">(VLOOKUP(ES$72,INDIRECT($C$5&amp;"生成成长"),2))/((VLOOKUP($B129,INDIRECT($B$5&amp;"生成成长"),4))/(VLOOKUP(ES$72,INDIRECT($C$5&amp;"生成成长"),5))*(VLOOKUP($B$5,标准坦克设计!$B$24:$U$30,MATCH("对"&amp;LEFT($C$5,2)&amp;"输出",标准坦克设计!$B$23:$U$23,0)))*(VLOOKUP($B129,INDIRECT($B$5&amp;"生成成长"),3))*(VLOOKUP($B$5,标准坦克设计!$B$14:$K$20,9)/30))</f>
        <v>15.034315502383377</v>
      </c>
      <c r="ET129" s="173">
        <f ca="1">(VLOOKUP(ET$72,INDIRECT($C$5&amp;"生成成长"),2))/((VLOOKUP($B129,INDIRECT($B$5&amp;"生成成长"),4))/(VLOOKUP(ET$72,INDIRECT($C$5&amp;"生成成长"),5))*(VLOOKUP($B$5,标准坦克设计!$B$24:$U$30,MATCH("对"&amp;LEFT($C$5,2)&amp;"输出",标准坦克设计!$B$23:$U$23,0)))*(VLOOKUP($B129,INDIRECT($B$5&amp;"生成成长"),3))*(VLOOKUP($B$5,标准坦克设计!$B$14:$K$20,9)/30))</f>
        <v>16.284287879063019</v>
      </c>
      <c r="EU129" s="173">
        <f ca="1">(VLOOKUP(EU$72,INDIRECT($C$5&amp;"生成成长"),2))/((VLOOKUP($B129,INDIRECT($B$5&amp;"生成成长"),4))/(VLOOKUP(EU$72,INDIRECT($C$5&amp;"生成成长"),5))*(VLOOKUP($B$5,标准坦克设计!$B$24:$U$30,MATCH("对"&amp;LEFT($C$5,2)&amp;"输出",标准坦克设计!$B$23:$U$23,0)))*(VLOOKUP($B129,INDIRECT($B$5&amp;"生成成长"),3))*(VLOOKUP($B$5,标准坦克设计!$B$14:$K$20,9)/30))</f>
        <v>17.584168408713531</v>
      </c>
      <c r="EV129" s="173">
        <f ca="1">(VLOOKUP(EV$72,INDIRECT($C$5&amp;"生成成长"),2))/((VLOOKUP($B129,INDIRECT($B$5&amp;"生成成长"),4))/(VLOOKUP(EV$72,INDIRECT($C$5&amp;"生成成长"),5))*(VLOOKUP($B$5,标准坦克设计!$B$24:$U$30,MATCH("对"&amp;LEFT($C$5,2)&amp;"输出",标准坦克设计!$B$23:$U$23,0)))*(VLOOKUP($B129,INDIRECT($B$5&amp;"生成成长"),3))*(VLOOKUP($B$5,标准坦克设计!$B$14:$K$20,9)/30))</f>
        <v>18.933957091334921</v>
      </c>
      <c r="EW129" s="173">
        <f ca="1">(VLOOKUP(EW$72,INDIRECT($C$5&amp;"生成成长"),2))/((VLOOKUP($B129,INDIRECT($B$5&amp;"生成成长"),4))/(VLOOKUP(EW$72,INDIRECT($C$5&amp;"生成成长"),5))*(VLOOKUP($B$5,标准坦克设计!$B$24:$U$30,MATCH("对"&amp;LEFT($C$5,2)&amp;"输出",标准坦克设计!$B$23:$U$23,0)))*(VLOOKUP($B129,INDIRECT($B$5&amp;"生成成长"),3))*(VLOOKUP($B$5,标准坦克设计!$B$14:$K$20,9)/30))</f>
        <v>20.333653926927184</v>
      </c>
      <c r="EX129" s="173">
        <f ca="1">(VLOOKUP(EX$72,INDIRECT($C$5&amp;"生成成长"),2))/((VLOOKUP($B129,INDIRECT($B$5&amp;"生成成长"),4))/(VLOOKUP(EX$72,INDIRECT($C$5&amp;"生成成长"),5))*(VLOOKUP($B$5,标准坦克设计!$B$24:$U$30,MATCH("对"&amp;LEFT($C$5,2)&amp;"输出",标准坦克设计!$B$23:$U$23,0)))*(VLOOKUP($B129,INDIRECT($B$5&amp;"生成成长"),3))*(VLOOKUP($B$5,标准坦克设计!$B$14:$K$20,9)/30))</f>
        <v>21.783258915490318</v>
      </c>
      <c r="EY129" s="173">
        <f ca="1">(VLOOKUP(EY$72,INDIRECT($C$5&amp;"生成成长"),2))/((VLOOKUP($B129,INDIRECT($B$5&amp;"生成成长"),4))/(VLOOKUP(EY$72,INDIRECT($C$5&amp;"生成成长"),5))*(VLOOKUP($B$5,标准坦克设计!$B$24:$U$30,MATCH("对"&amp;LEFT($C$5,2)&amp;"输出",标准坦克设计!$B$23:$U$23,0)))*(VLOOKUP($B129,INDIRECT($B$5&amp;"生成成长"),3))*(VLOOKUP($B$5,标准坦克设计!$B$14:$K$20,9)/30))</f>
        <v>23.282772057024335</v>
      </c>
      <c r="EZ129" s="173">
        <f ca="1">(VLOOKUP(EZ$72,INDIRECT($C$5&amp;"生成成长"),2))/((VLOOKUP($B129,INDIRECT($B$5&amp;"生成成长"),4))/(VLOOKUP(EZ$72,INDIRECT($C$5&amp;"生成成长"),5))*(VLOOKUP($B$5,标准坦克设计!$B$24:$U$30,MATCH("对"&amp;LEFT($C$5,2)&amp;"输出",标准坦克设计!$B$23:$U$23,0)))*(VLOOKUP($B129,INDIRECT($B$5&amp;"生成成长"),3))*(VLOOKUP($B$5,标准坦克设计!$B$14:$K$20,9)/30))</f>
        <v>24.832193351529217</v>
      </c>
      <c r="FA129" s="173">
        <f ca="1">(VLOOKUP(FA$72,INDIRECT($C$5&amp;"生成成长"),2))/((VLOOKUP($B129,INDIRECT($B$5&amp;"生成成长"),4))/(VLOOKUP(FA$72,INDIRECT($C$5&amp;"生成成长"),5))*(VLOOKUP($B$5,标准坦克设计!$B$24:$U$30,MATCH("对"&amp;LEFT($C$5,2)&amp;"输出",标准坦克设计!$B$23:$U$23,0)))*(VLOOKUP($B129,INDIRECT($B$5&amp;"生成成长"),3))*(VLOOKUP($B$5,标准坦克设计!$B$14:$K$20,9)/30))</f>
        <v>26.431522799004984</v>
      </c>
      <c r="FB129" s="173">
        <f ca="1">(VLOOKUP(FB$72,INDIRECT($C$5&amp;"生成成长"),2))/((VLOOKUP($B129,INDIRECT($B$5&amp;"生成成长"),4))/(VLOOKUP(FB$72,INDIRECT($C$5&amp;"生成成长"),5))*(VLOOKUP($B$5,标准坦克设计!$B$24:$U$30,MATCH("对"&amp;LEFT($C$5,2)&amp;"输出",标准坦克设计!$B$23:$U$23,0)))*(VLOOKUP($B129,INDIRECT($B$5&amp;"生成成长"),3))*(VLOOKUP($B$5,标准坦克设计!$B$14:$K$20,9)/30))</f>
        <v>28.08076039945162</v>
      </c>
      <c r="FC129" s="173">
        <f ca="1">(VLOOKUP(FC$72,INDIRECT($C$5&amp;"生成成长"),2))/((VLOOKUP($B129,INDIRECT($B$5&amp;"生成成长"),4))/(VLOOKUP(FC$72,INDIRECT($C$5&amp;"生成成长"),5))*(VLOOKUP($B$5,标准坦克设计!$B$24:$U$30,MATCH("对"&amp;LEFT($C$5,2)&amp;"输出",标准坦克设计!$B$23:$U$23,0)))*(VLOOKUP($B129,INDIRECT($B$5&amp;"生成成长"),3))*(VLOOKUP($B$5,标准坦克设计!$B$14:$K$20,9)/30))</f>
        <v>29.779906152869135</v>
      </c>
      <c r="FD129" s="173">
        <f ca="1">(VLOOKUP(FD$72,INDIRECT($C$5&amp;"生成成长"),2))/((VLOOKUP($B129,INDIRECT($B$5&amp;"生成成长"),4))/(VLOOKUP(FD$72,INDIRECT($C$5&amp;"生成成长"),5))*(VLOOKUP($B$5,标准坦克设计!$B$24:$U$30,MATCH("对"&amp;LEFT($C$5,2)&amp;"输出",标准坦克设计!$B$23:$U$23,0)))*(VLOOKUP($B129,INDIRECT($B$5&amp;"生成成长"),3))*(VLOOKUP($B$5,标准坦克设计!$B$14:$K$20,9)/30))</f>
        <v>31.528960059257521</v>
      </c>
      <c r="FE129" s="173">
        <f ca="1">(VLOOKUP(FE$72,INDIRECT($C$5&amp;"生成成长"),2))/((VLOOKUP($B129,INDIRECT($B$5&amp;"生成成长"),4))/(VLOOKUP(FE$72,INDIRECT($C$5&amp;"生成成长"),5))*(VLOOKUP($B$5,标准坦克设计!$B$24:$U$30,MATCH("对"&amp;LEFT($C$5,2)&amp;"输出",标准坦克设计!$B$23:$U$23,0)))*(VLOOKUP($B129,INDIRECT($B$5&amp;"生成成长"),3))*(VLOOKUP($B$5,标准坦克设计!$B$14:$K$20,9)/30))</f>
        <v>33.660368162373189</v>
      </c>
      <c r="FF129" s="173">
        <f ca="1">(VLOOKUP(FF$72,INDIRECT($C$5&amp;"生成成长"),2))/((VLOOKUP($B129,INDIRECT($B$5&amp;"生成成长"),4))/(VLOOKUP(FF$72,INDIRECT($C$5&amp;"生成成长"),5))*(VLOOKUP($B$5,标准坦克设计!$B$24:$U$30,MATCH("对"&amp;LEFT($C$5,2)&amp;"输出",标准坦克设计!$B$23:$U$23,0)))*(VLOOKUP($B129,INDIRECT($B$5&amp;"生成成长"),3))*(VLOOKUP($B$5,标准坦克设计!$B$14:$K$20,9)/30))</f>
        <v>35.86148269401842</v>
      </c>
      <c r="FG129" s="173">
        <f ca="1">(VLOOKUP(FG$72,INDIRECT($C$5&amp;"生成成长"),2))/((VLOOKUP($B129,INDIRECT($B$5&amp;"生成成长"),4))/(VLOOKUP(FG$72,INDIRECT($C$5&amp;"生成成长"),5))*(VLOOKUP($B$5,标准坦克设计!$B$24:$U$30,MATCH("对"&amp;LEFT($C$5,2)&amp;"输出",标准坦克设计!$B$23:$U$23,0)))*(VLOOKUP($B129,INDIRECT($B$5&amp;"生成成长"),3))*(VLOOKUP($B$5,标准坦克设计!$B$14:$K$20,9)/30))</f>
        <v>38.132303654193237</v>
      </c>
      <c r="FH129" s="173">
        <f ca="1">(VLOOKUP(FH$72,INDIRECT($C$5&amp;"生成成长"),2))/((VLOOKUP($B129,INDIRECT($B$5&amp;"生成成长"),4))/(VLOOKUP(FH$72,INDIRECT($C$5&amp;"生成成长"),5))*(VLOOKUP($B$5,标准坦克设计!$B$24:$U$30,MATCH("对"&amp;LEFT($C$5,2)&amp;"输出",标准坦克设计!$B$23:$U$23,0)))*(VLOOKUP($B129,INDIRECT($B$5&amp;"生成成长"),3))*(VLOOKUP($B$5,标准坦克设计!$B$14:$K$20,9)/30))</f>
        <v>40.47283104289761</v>
      </c>
      <c r="FI129" s="173">
        <f ca="1">(VLOOKUP(FI$72,INDIRECT($C$5&amp;"生成成长"),2))/((VLOOKUP($B129,INDIRECT($B$5&amp;"生成成长"),4))/(VLOOKUP(FI$72,INDIRECT($C$5&amp;"生成成长"),5))*(VLOOKUP($B$5,标准坦克设计!$B$24:$U$30,MATCH("对"&amp;LEFT($C$5,2)&amp;"输出",标准坦克设计!$B$23:$U$23,0)))*(VLOOKUP($B129,INDIRECT($B$5&amp;"生成成长"),3))*(VLOOKUP($B$5,标准坦克设计!$B$14:$K$20,9)/30))</f>
        <v>42.883064860131547</v>
      </c>
      <c r="FJ129" s="173">
        <f ca="1">(VLOOKUP(FJ$72,INDIRECT($C$5&amp;"生成成长"),2))/((VLOOKUP($B129,INDIRECT($B$5&amp;"生成成长"),4))/(VLOOKUP(FJ$72,INDIRECT($C$5&amp;"生成成长"),5))*(VLOOKUP($B$5,标准坦克设计!$B$24:$U$30,MATCH("对"&amp;LEFT($C$5,2)&amp;"输出",标准坦克设计!$B$23:$U$23,0)))*(VLOOKUP($B129,INDIRECT($B$5&amp;"生成成长"),3))*(VLOOKUP($B$5,标准坦克设计!$B$14:$K$20,9)/30))</f>
        <v>45.363005105895063</v>
      </c>
      <c r="FK129" s="173">
        <f ca="1">(VLOOKUP(FK$72,INDIRECT($C$5&amp;"生成成长"),2))/((VLOOKUP($B129,INDIRECT($B$5&amp;"生成成长"),4))/(VLOOKUP(FK$72,INDIRECT($C$5&amp;"生成成长"),5))*(VLOOKUP($B$5,标准坦克设计!$B$24:$U$30,MATCH("对"&amp;LEFT($C$5,2)&amp;"输出",标准坦克设计!$B$23:$U$23,0)))*(VLOOKUP($B129,INDIRECT($B$5&amp;"生成成长"),3))*(VLOOKUP($B$5,标准坦克设计!$B$14:$K$20,9)/30))</f>
        <v>47.912651780188142</v>
      </c>
    </row>
    <row r="130" spans="1:167" x14ac:dyDescent="0.15">
      <c r="A130" s="171" t="str">
        <f t="shared" si="11"/>
        <v>T3中品质1级</v>
      </c>
      <c r="B130" s="172">
        <v>20301</v>
      </c>
      <c r="C130" s="173">
        <f ca="1">(VLOOKUP(C$72,INDIRECT($C$5&amp;"生成成长"),2))/((VLOOKUP($B130,INDIRECT($B$5&amp;"生成成长"),4))/(VLOOKUP(C$72,INDIRECT($C$5&amp;"生成成长"),5))*(VLOOKUP($B$5,标准坦克设计!$B$24:$U$30,MATCH("对"&amp;LEFT($C$5,2)&amp;"输出",标准坦克设计!$B$23:$U$23,0)))*(VLOOKUP($B130,INDIRECT($B$5&amp;"生成成长"),3))*(VLOOKUP($B$5,标准坦克设计!$B$14:$K$20,9)/30))</f>
        <v>4.2705228743714336</v>
      </c>
      <c r="D130" s="173">
        <f ca="1">(VLOOKUP(D$72,INDIRECT($C$5&amp;"生成成长"),2))/((VLOOKUP($B130,INDIRECT($B$5&amp;"生成成长"),4))/(VLOOKUP(D$72,INDIRECT($C$5&amp;"生成成长"),5))*(VLOOKUP($B$5,标准坦克设计!$B$24:$U$30,MATCH("对"&amp;LEFT($C$5,2)&amp;"输出",标准坦克设计!$B$23:$U$23,0)))*(VLOOKUP($B130,INDIRECT($B$5&amp;"生成成长"),3))*(VLOOKUP($B$5,标准坦克设计!$B$14:$K$20,9)/30))</f>
        <v>4.7983595016437439</v>
      </c>
      <c r="E130" s="173">
        <f ca="1">(VLOOKUP(E$72,INDIRECT($C$5&amp;"生成成长"),2))/((VLOOKUP($B130,INDIRECT($B$5&amp;"生成成长"),4))/(VLOOKUP(E$72,INDIRECT($C$5&amp;"生成成长"),5))*(VLOOKUP($B$5,标准坦克设计!$B$24:$U$30,MATCH("对"&amp;LEFT($C$5,2)&amp;"输出",标准坦克设计!$B$23:$U$23,0)))*(VLOOKUP($B130,INDIRECT($B$5&amp;"生成成长"),3))*(VLOOKUP($B$5,标准坦克设计!$B$14:$K$20,9)/30))</f>
        <v>5.3569438936115263</v>
      </c>
      <c r="F130" s="173">
        <f ca="1">(VLOOKUP(F$72,INDIRECT($C$5&amp;"生成成长"),2))/((VLOOKUP($B130,INDIRECT($B$5&amp;"生成成长"),4))/(VLOOKUP(F$72,INDIRECT($C$5&amp;"生成成长"),5))*(VLOOKUP($B$5,标准坦克设计!$B$24:$U$30,MATCH("对"&amp;LEFT($C$5,2)&amp;"输出",标准坦克设计!$B$23:$U$23,0)))*(VLOOKUP($B130,INDIRECT($B$5&amp;"生成成长"),3))*(VLOOKUP($B$5,标准坦克设计!$B$14:$K$20,9)/30))</f>
        <v>5.9462760502747836</v>
      </c>
      <c r="G130" s="173">
        <f ca="1">(VLOOKUP(G$72,INDIRECT($C$5&amp;"生成成长"),2))/((VLOOKUP($B130,INDIRECT($B$5&amp;"生成成长"),4))/(VLOOKUP(G$72,INDIRECT($C$5&amp;"生成成长"),5))*(VLOOKUP($B$5,标准坦克设计!$B$24:$U$30,MATCH("对"&amp;LEFT($C$5,2)&amp;"输出",标准坦克设计!$B$23:$U$23,0)))*(VLOOKUP($B130,INDIRECT($B$5&amp;"生成成长"),3))*(VLOOKUP($B$5,标准坦克设计!$B$14:$K$20,9)/30))</f>
        <v>6.5663559716335174</v>
      </c>
      <c r="H130" s="173">
        <f ca="1">(VLOOKUP(H$72,INDIRECT($C$5&amp;"生成成长"),2))/((VLOOKUP($B130,INDIRECT($B$5&amp;"生成成长"),4))/(VLOOKUP(H$72,INDIRECT($C$5&amp;"生成成长"),5))*(VLOOKUP($B$5,标准坦克设计!$B$24:$U$30,MATCH("对"&amp;LEFT($C$5,2)&amp;"输出",标准坦克设计!$B$23:$U$23,0)))*(VLOOKUP($B130,INDIRECT($B$5&amp;"生成成长"),3))*(VLOOKUP($B$5,标准坦克设计!$B$14:$K$20,9)/30))</f>
        <v>5.7464155797542018</v>
      </c>
      <c r="I130" s="173">
        <f ca="1">(VLOOKUP(I$72,INDIRECT($C$5&amp;"生成成长"),2))/((VLOOKUP($B130,INDIRECT($B$5&amp;"生成成长"),4))/(VLOOKUP(I$72,INDIRECT($C$5&amp;"生成成长"),5))*(VLOOKUP($B$5,标准坦克设计!$B$24:$U$30,MATCH("对"&amp;LEFT($C$5,2)&amp;"输出",标准坦克设计!$B$23:$U$23,0)))*(VLOOKUP($B130,INDIRECT($B$5&amp;"生成成长"),3))*(VLOOKUP($B$5,标准坦克设计!$B$14:$K$20,9)/30))</f>
        <v>6.5663559716335174</v>
      </c>
      <c r="J130" s="173">
        <f ca="1">(VLOOKUP(J$72,INDIRECT($C$5&amp;"生成成长"),2))/((VLOOKUP($B130,INDIRECT($B$5&amp;"生成成长"),4))/(VLOOKUP(J$72,INDIRECT($C$5&amp;"生成成长"),5))*(VLOOKUP($B$5,标准坦克设计!$B$24:$U$30,MATCH("对"&amp;LEFT($C$5,2)&amp;"输出",标准坦克设计!$B$23:$U$23,0)))*(VLOOKUP($B130,INDIRECT($B$5&amp;"生成成长"),3))*(VLOOKUP($B$5,标准坦克设计!$B$14:$K$20,9)/30))</f>
        <v>7.4409590563047869</v>
      </c>
      <c r="K130" s="173">
        <f ca="1">(VLOOKUP(K$72,INDIRECT($C$5&amp;"生成成长"),2))/((VLOOKUP($B130,INDIRECT($B$5&amp;"生成成长"),4))/(VLOOKUP(K$72,INDIRECT($C$5&amp;"生成成长"),5))*(VLOOKUP($B$5,标准坦克设计!$B$24:$U$30,MATCH("对"&amp;LEFT($C$5,2)&amp;"输出",标准坦克设计!$B$23:$U$23,0)))*(VLOOKUP($B130,INDIRECT($B$5&amp;"生成成长"),3))*(VLOOKUP($B$5,标准坦克设计!$B$14:$K$20,9)/30))</f>
        <v>8.3702248337680096</v>
      </c>
      <c r="L130" s="173">
        <f ca="1">(VLOOKUP(L$72,INDIRECT($C$5&amp;"生成成长"),2))/((VLOOKUP($B130,INDIRECT($B$5&amp;"生成成长"),4))/(VLOOKUP(L$72,INDIRECT($C$5&amp;"生成成长"),5))*(VLOOKUP($B$5,标准坦克设计!$B$24:$U$30,MATCH("对"&amp;LEFT($C$5,2)&amp;"输出",标准坦克设计!$B$23:$U$23,0)))*(VLOOKUP($B130,INDIRECT($B$5&amp;"生成成长"),3))*(VLOOKUP($B$5,标准坦克设计!$B$14:$K$20,9)/30))</f>
        <v>9.3541533040231872</v>
      </c>
      <c r="M130" s="173">
        <f ca="1">(VLOOKUP(M$72,INDIRECT($C$5&amp;"生成成长"),2))/((VLOOKUP($B130,INDIRECT($B$5&amp;"生成成长"),4))/(VLOOKUP(M$72,INDIRECT($C$5&amp;"生成成长"),5))*(VLOOKUP($B$5,标准坦克设计!$B$24:$U$30,MATCH("对"&amp;LEFT($C$5,2)&amp;"输出",标准坦克设计!$B$23:$U$23,0)))*(VLOOKUP($B130,INDIRECT($B$5&amp;"生成成长"),3))*(VLOOKUP($B$5,标准坦克设计!$B$14:$K$20,9)/30))</f>
        <v>10.392744467070321</v>
      </c>
      <c r="N130" s="173">
        <f ca="1">(VLOOKUP(N$72,INDIRECT($C$5&amp;"生成成长"),2))/((VLOOKUP($B130,INDIRECT($B$5&amp;"生成成长"),4))/(VLOOKUP(N$72,INDIRECT($C$5&amp;"生成成长"),5))*(VLOOKUP($B$5,标准坦克设计!$B$24:$U$30,MATCH("对"&amp;LEFT($C$5,2)&amp;"输出",标准坦克设计!$B$23:$U$23,0)))*(VLOOKUP($B130,INDIRECT($B$5&amp;"生成成长"),3))*(VLOOKUP($B$5,标准坦克设计!$B$14:$K$20,9)/30))</f>
        <v>11.485998322909406</v>
      </c>
      <c r="O130" s="173">
        <f ca="1">(VLOOKUP(O$72,INDIRECT($C$5&amp;"生成成长"),2))/((VLOOKUP($B130,INDIRECT($B$5&amp;"生成成长"),4))/(VLOOKUP(O$72,INDIRECT($C$5&amp;"生成成长"),5))*(VLOOKUP($B$5,标准坦克设计!$B$24:$U$30,MATCH("对"&amp;LEFT($C$5,2)&amp;"输出",标准坦克设计!$B$23:$U$23,0)))*(VLOOKUP($B130,INDIRECT($B$5&amp;"生成成长"),3))*(VLOOKUP($B$5,标准坦克设计!$B$14:$K$20,9)/30))</f>
        <v>8.7327922258021431</v>
      </c>
      <c r="P130" s="173">
        <f ca="1">(VLOOKUP(P$72,INDIRECT($C$5&amp;"生成成长"),2))/((VLOOKUP($B130,INDIRECT($B$5&amp;"生成成长"),4))/(VLOOKUP(P$72,INDIRECT($C$5&amp;"生成成长"),5))*(VLOOKUP($B$5,标准坦克设计!$B$24:$U$30,MATCH("对"&amp;LEFT($C$5,2)&amp;"输出",标准坦克设计!$B$23:$U$23,0)))*(VLOOKUP($B130,INDIRECT($B$5&amp;"生成成长"),3))*(VLOOKUP($B$5,标准坦克设计!$B$14:$K$20,9)/30))</f>
        <v>9.8666160489477601</v>
      </c>
      <c r="Q130" s="173">
        <f ca="1">(VLOOKUP(Q$72,INDIRECT($C$5&amp;"生成成长"),2))/((VLOOKUP($B130,INDIRECT($B$5&amp;"生成成长"),4))/(VLOOKUP(Q$72,INDIRECT($C$5&amp;"生成成长"),5))*(VLOOKUP($B$5,标准坦克设计!$B$24:$U$30,MATCH("对"&amp;LEFT($C$5,2)&amp;"输出",标准坦克设计!$B$23:$U$23,0)))*(VLOOKUP($B130,INDIRECT($B$5&amp;"生成成长"),3))*(VLOOKUP($B$5,标准坦克设计!$B$14:$K$20,9)/30))</f>
        <v>11.069622342658191</v>
      </c>
      <c r="R130" s="173">
        <f ca="1">(VLOOKUP(R$72,INDIRECT($C$5&amp;"生成成长"),2))/((VLOOKUP($B130,INDIRECT($B$5&amp;"生成成长"),4))/(VLOOKUP(R$72,INDIRECT($C$5&amp;"生成成长"),5))*(VLOOKUP($B$5,标准坦克设计!$B$24:$U$30,MATCH("对"&amp;LEFT($C$5,2)&amp;"输出",标准坦克设计!$B$23:$U$23,0)))*(VLOOKUP($B130,INDIRECT($B$5&amp;"生成成长"),3))*(VLOOKUP($B$5,标准坦克设计!$B$14:$K$20,9)/30))</f>
        <v>12.341811106933445</v>
      </c>
      <c r="S130" s="173">
        <f ca="1">(VLOOKUP(S$72,INDIRECT($C$5&amp;"生成成长"),2))/((VLOOKUP($B130,INDIRECT($B$5&amp;"生成成长"),4))/(VLOOKUP(S$72,INDIRECT($C$5&amp;"生成成长"),5))*(VLOOKUP($B$5,标准坦克设计!$B$24:$U$30,MATCH("对"&amp;LEFT($C$5,2)&amp;"输出",标准坦克设计!$B$23:$U$23,0)))*(VLOOKUP($B130,INDIRECT($B$5&amp;"生成成长"),3))*(VLOOKUP($B$5,标准坦克设计!$B$14:$K$20,9)/30))</f>
        <v>13.683182341773511</v>
      </c>
      <c r="T130" s="173">
        <f ca="1">(VLOOKUP(T$72,INDIRECT($C$5&amp;"生成成长"),2))/((VLOOKUP($B130,INDIRECT($B$5&amp;"生成成长"),4))/(VLOOKUP(T$72,INDIRECT($C$5&amp;"生成成长"),5))*(VLOOKUP($B$5,标准坦克设计!$B$24:$U$30,MATCH("对"&amp;LEFT($C$5,2)&amp;"输出",标准坦克设计!$B$23:$U$23,0)))*(VLOOKUP($B130,INDIRECT($B$5&amp;"生成成长"),3))*(VLOOKUP($B$5,标准坦克设计!$B$14:$K$20,9)/30))</f>
        <v>15.093736047178396</v>
      </c>
      <c r="U130" s="173">
        <f ca="1">(VLOOKUP(U$72,INDIRECT($C$5&amp;"生成成长"),2))/((VLOOKUP($B130,INDIRECT($B$5&amp;"生成成长"),4))/(VLOOKUP(U$72,INDIRECT($C$5&amp;"生成成长"),5))*(VLOOKUP($B$5,标准坦克设计!$B$24:$U$30,MATCH("对"&amp;LEFT($C$5,2)&amp;"输出",标准坦克设计!$B$23:$U$23,0)))*(VLOOKUP($B130,INDIRECT($B$5&amp;"生成成长"),3))*(VLOOKUP($B$5,标准坦克设计!$B$14:$K$20,9)/30))</f>
        <v>16.573472223148098</v>
      </c>
      <c r="V130" s="173">
        <f ca="1">(VLOOKUP(V$72,INDIRECT($C$5&amp;"生成成长"),2))/((VLOOKUP($B130,INDIRECT($B$5&amp;"生成成长"),4))/(VLOOKUP(V$72,INDIRECT($C$5&amp;"生成成长"),5))*(VLOOKUP($B$5,标准坦克设计!$B$24:$U$30,MATCH("对"&amp;LEFT($C$5,2)&amp;"输出",标准坦克设计!$B$23:$U$23,0)))*(VLOOKUP($B130,INDIRECT($B$5&amp;"生成成长"),3))*(VLOOKUP($B$5,标准坦克设计!$B$14:$K$20,9)/30))</f>
        <v>18.122390869682615</v>
      </c>
      <c r="W130" s="173">
        <f ca="1">(VLOOKUP(W$72,INDIRECT($C$5&amp;"生成成长"),2))/((VLOOKUP($B130,INDIRECT($B$5&amp;"生成成长"),4))/(VLOOKUP(W$72,INDIRECT($C$5&amp;"生成成长"),5))*(VLOOKUP($B$5,标准坦克设计!$B$24:$U$30,MATCH("对"&amp;LEFT($C$5,2)&amp;"输出",标准坦克设计!$B$23:$U$23,0)))*(VLOOKUP($B130,INDIRECT($B$5&amp;"生成成长"),3))*(VLOOKUP($B$5,标准坦克设计!$B$14:$K$20,9)/30))</f>
        <v>19.740491986781951</v>
      </c>
      <c r="X130" s="173">
        <f ca="1">(VLOOKUP(X$72,INDIRECT($C$5&amp;"生成成长"),2))/((VLOOKUP($B130,INDIRECT($B$5&amp;"生成成长"),4))/(VLOOKUP(X$72,INDIRECT($C$5&amp;"生成成长"),5))*(VLOOKUP($B$5,标准坦克设计!$B$24:$U$30,MATCH("对"&amp;LEFT($C$5,2)&amp;"输出",标准坦克设计!$B$23:$U$23,0)))*(VLOOKUP($B130,INDIRECT($B$5&amp;"生成成长"),3))*(VLOOKUP($B$5,标准坦克设计!$B$14:$K$20,9)/30))</f>
        <v>14.301554053982494</v>
      </c>
      <c r="Y130" s="173">
        <f ca="1">(VLOOKUP(Y$72,INDIRECT($C$5&amp;"生成成长"),2))/((VLOOKUP($B130,INDIRECT($B$5&amp;"生成成长"),4))/(VLOOKUP(Y$72,INDIRECT($C$5&amp;"生成成长"),5))*(VLOOKUP($B$5,标准坦克设计!$B$24:$U$30,MATCH("对"&amp;LEFT($C$5,2)&amp;"输出",标准坦克设计!$B$23:$U$23,0)))*(VLOOKUP($B130,INDIRECT($B$5&amp;"生成成长"),3))*(VLOOKUP($B$5,标准坦克设计!$B$14:$K$20,9)/30))</f>
        <v>15.907270654746153</v>
      </c>
      <c r="Z130" s="173">
        <f ca="1">(VLOOKUP(Z$72,INDIRECT($C$5&amp;"生成成长"),2))/((VLOOKUP($B130,INDIRECT($B$5&amp;"生成成长"),4))/(VLOOKUP(Z$72,INDIRECT($C$5&amp;"生成成长"),5))*(VLOOKUP($B$5,标准坦克设计!$B$24:$U$30,MATCH("对"&amp;LEFT($C$5,2)&amp;"输出",标准坦克设计!$B$23:$U$23,0)))*(VLOOKUP($B130,INDIRECT($B$5&amp;"生成成长"),3))*(VLOOKUP($B$5,标准坦克设计!$B$14:$K$20,9)/30))</f>
        <v>17.59839771299724</v>
      </c>
      <c r="AA130" s="173">
        <f ca="1">(VLOOKUP(AA$72,INDIRECT($C$5&amp;"生成成长"),2))/((VLOOKUP($B130,INDIRECT($B$5&amp;"生成成长"),4))/(VLOOKUP(AA$72,INDIRECT($C$5&amp;"生成成长"),5))*(VLOOKUP($B$5,标准坦克设计!$B$24:$U$30,MATCH("对"&amp;LEFT($C$5,2)&amp;"输出",标准坦克设计!$B$23:$U$23,0)))*(VLOOKUP($B130,INDIRECT($B$5&amp;"生成成长"),3))*(VLOOKUP($B$5,标准坦克设计!$B$14:$K$20,9)/30))</f>
        <v>19.374935228735758</v>
      </c>
      <c r="AB130" s="173">
        <f ca="1">(VLOOKUP(AB$72,INDIRECT($C$5&amp;"生成成长"),2))/((VLOOKUP($B130,INDIRECT($B$5&amp;"生成成长"),4))/(VLOOKUP(AB$72,INDIRECT($C$5&amp;"生成成长"),5))*(VLOOKUP($B$5,标准坦克设计!$B$24:$U$30,MATCH("对"&amp;LEFT($C$5,2)&amp;"输出",标准坦克设计!$B$23:$U$23,0)))*(VLOOKUP($B130,INDIRECT($B$5&amp;"生成成长"),3))*(VLOOKUP($B$5,标准坦克设计!$B$14:$K$20,9)/30))</f>
        <v>21.236883201961703</v>
      </c>
      <c r="AC130" s="173">
        <f ca="1">(VLOOKUP(AC$72,INDIRECT($C$5&amp;"生成成长"),2))/((VLOOKUP($B130,INDIRECT($B$5&amp;"生成成长"),4))/(VLOOKUP(AC$72,INDIRECT($C$5&amp;"生成成长"),5))*(VLOOKUP($B$5,标准坦克设计!$B$24:$U$30,MATCH("对"&amp;LEFT($C$5,2)&amp;"输出",标准坦克设计!$B$23:$U$23,0)))*(VLOOKUP($B130,INDIRECT($B$5&amp;"生成成长"),3))*(VLOOKUP($B$5,标准坦克设计!$B$14:$K$20,9)/30))</f>
        <v>23.184241632675079</v>
      </c>
      <c r="AD130" s="173">
        <f ca="1">(VLOOKUP(AD$72,INDIRECT($C$5&amp;"生成成长"),2))/((VLOOKUP($B130,INDIRECT($B$5&amp;"生成成长"),4))/(VLOOKUP(AD$72,INDIRECT($C$5&amp;"生成成长"),5))*(VLOOKUP($B$5,标准坦克设计!$B$24:$U$30,MATCH("对"&amp;LEFT($C$5,2)&amp;"输出",标准坦克设计!$B$23:$U$23,0)))*(VLOOKUP($B130,INDIRECT($B$5&amp;"生成成长"),3))*(VLOOKUP($B$5,标准坦克设计!$B$14:$K$20,9)/30))</f>
        <v>25.217010520875878</v>
      </c>
      <c r="AE130" s="173">
        <f ca="1">(VLOOKUP(AE$72,INDIRECT($C$5&amp;"生成成长"),2))/((VLOOKUP($B130,INDIRECT($B$5&amp;"生成成长"),4))/(VLOOKUP(AE$72,INDIRECT($C$5&amp;"生成成长"),5))*(VLOOKUP($B$5,标准坦克设计!$B$24:$U$30,MATCH("对"&amp;LEFT($C$5,2)&amp;"输出",标准坦克设计!$B$23:$U$23,0)))*(VLOOKUP($B130,INDIRECT($B$5&amp;"生成成长"),3))*(VLOOKUP($B$5,标准坦克设计!$B$14:$K$20,9)/30))</f>
        <v>27.335189866564111</v>
      </c>
      <c r="AF130" s="173">
        <f ca="1">(VLOOKUP(AF$72,INDIRECT($C$5&amp;"生成成长"),2))/((VLOOKUP($B130,INDIRECT($B$5&amp;"生成成长"),4))/(VLOOKUP(AF$72,INDIRECT($C$5&amp;"生成成长"),5))*(VLOOKUP($B$5,标准坦克设计!$B$24:$U$30,MATCH("对"&amp;LEFT($C$5,2)&amp;"输出",标准坦克设计!$B$23:$U$23,0)))*(VLOOKUP($B130,INDIRECT($B$5&amp;"生成成长"),3))*(VLOOKUP($B$5,标准坦克设计!$B$14:$K$20,9)/30))</f>
        <v>29.538779669739771</v>
      </c>
      <c r="AG130" s="173">
        <f ca="1">(VLOOKUP(AG$72,INDIRECT($C$5&amp;"生成成长"),2))/((VLOOKUP($B130,INDIRECT($B$5&amp;"生成成长"),4))/(VLOOKUP(AG$72,INDIRECT($C$5&amp;"生成成长"),5))*(VLOOKUP($B$5,标准坦克设计!$B$24:$U$30,MATCH("对"&amp;LEFT($C$5,2)&amp;"输出",标准坦克设计!$B$23:$U$23,0)))*(VLOOKUP($B130,INDIRECT($B$5&amp;"生成成长"),3))*(VLOOKUP($B$5,标准坦克设计!$B$14:$K$20,9)/30))</f>
        <v>31.827779930402858</v>
      </c>
      <c r="AH130" s="173">
        <f ca="1">(VLOOKUP(AH$72,INDIRECT($C$5&amp;"生成成长"),2))/((VLOOKUP($B130,INDIRECT($B$5&amp;"生成成长"),4))/(VLOOKUP(AH$72,INDIRECT($C$5&amp;"生成成长"),5))*(VLOOKUP($B$5,标准坦克设计!$B$24:$U$30,MATCH("对"&amp;LEFT($C$5,2)&amp;"输出",标准坦克设计!$B$23:$U$23,0)))*(VLOOKUP($B130,INDIRECT($B$5&amp;"生成成长"),3))*(VLOOKUP($B$5,标准坦克设计!$B$14:$K$20,9)/30))</f>
        <v>34.202190648553376</v>
      </c>
      <c r="AI130" s="173">
        <f ca="1">(VLOOKUP(AI$72,INDIRECT($C$5&amp;"生成成长"),2))/((VLOOKUP($B130,INDIRECT($B$5&amp;"生成成长"),4))/(VLOOKUP(AI$72,INDIRECT($C$5&amp;"生成成长"),5))*(VLOOKUP($B$5,标准坦克设计!$B$24:$U$30,MATCH("对"&amp;LEFT($C$5,2)&amp;"输出",标准坦克设计!$B$23:$U$23,0)))*(VLOOKUP($B130,INDIRECT($B$5&amp;"生成成长"),3))*(VLOOKUP($B$5,标准坦克设计!$B$14:$K$20,9)/30))</f>
        <v>24.189949769589546</v>
      </c>
      <c r="AJ130" s="173">
        <f ca="1">(VLOOKUP(AJ$72,INDIRECT($C$5&amp;"生成成长"),2))/((VLOOKUP($B130,INDIRECT($B$5&amp;"生成成长"),4))/(VLOOKUP(AJ$72,INDIRECT($C$5&amp;"生成成长"),5))*(VLOOKUP($B$5,标准坦克设计!$B$24:$U$30,MATCH("对"&amp;LEFT($C$5,2)&amp;"输出",标准坦克设计!$B$23:$U$23,0)))*(VLOOKUP($B130,INDIRECT($B$5&amp;"生成成长"),3))*(VLOOKUP($B$5,标准坦克设计!$B$14:$K$20,9)/30))</f>
        <v>26.477668873390328</v>
      </c>
      <c r="AK130" s="173">
        <f ca="1">(VLOOKUP(AK$72,INDIRECT($C$5&amp;"生成成长"),2))/((VLOOKUP($B130,INDIRECT($B$5&amp;"生成成长"),4))/(VLOOKUP(AK$72,INDIRECT($C$5&amp;"生成成长"),5))*(VLOOKUP($B$5,标准坦克设计!$B$24:$U$30,MATCH("对"&amp;LEFT($C$5,2)&amp;"输出",标准坦克设计!$B$23:$U$23,0)))*(VLOOKUP($B130,INDIRECT($B$5&amp;"生成成长"),3))*(VLOOKUP($B$5,标准坦克设计!$B$14:$K$20,9)/30))</f>
        <v>28.868734630750886</v>
      </c>
      <c r="AL130" s="173">
        <f ca="1">(VLOOKUP(AL$72,INDIRECT($C$5&amp;"生成成长"),2))/((VLOOKUP($B130,INDIRECT($B$5&amp;"生成成长"),4))/(VLOOKUP(AL$72,INDIRECT($C$5&amp;"生成成长"),5))*(VLOOKUP($B$5,标准坦克设计!$B$24:$U$30,MATCH("对"&amp;LEFT($C$5,2)&amp;"输出",标准坦克设计!$B$23:$U$23,0)))*(VLOOKUP($B130,INDIRECT($B$5&amp;"生成成长"),3))*(VLOOKUP($B$5,标准坦克设计!$B$14:$K$20,9)/30))</f>
        <v>31.363147041671251</v>
      </c>
      <c r="AM130" s="173">
        <f ca="1">(VLOOKUP(AM$72,INDIRECT($C$5&amp;"生成成长"),2))/((VLOOKUP($B130,INDIRECT($B$5&amp;"生成成长"),4))/(VLOOKUP(AM$72,INDIRECT($C$5&amp;"生成成长"),5))*(VLOOKUP($B$5,标准坦克设计!$B$24:$U$30,MATCH("对"&amp;LEFT($C$5,2)&amp;"输出",标准坦克设计!$B$23:$U$23,0)))*(VLOOKUP($B130,INDIRECT($B$5&amp;"生成成长"),3))*(VLOOKUP($B$5,标准坦克设计!$B$14:$K$20,9)/30))</f>
        <v>33.960906106151391</v>
      </c>
      <c r="AN130" s="173">
        <f ca="1">(VLOOKUP(AN$72,INDIRECT($C$5&amp;"生成成长"),2))/((VLOOKUP($B130,INDIRECT($B$5&amp;"生成成长"),4))/(VLOOKUP(AN$72,INDIRECT($C$5&amp;"生成成长"),5))*(VLOOKUP($B$5,标准坦克设计!$B$24:$U$30,MATCH("对"&amp;LEFT($C$5,2)&amp;"输出",标准坦克设计!$B$23:$U$23,0)))*(VLOOKUP($B130,INDIRECT($B$5&amp;"生成成长"),3))*(VLOOKUP($B$5,标准坦克设计!$B$14:$K$20,9)/30))</f>
        <v>36.662011824191325</v>
      </c>
      <c r="AO130" s="173">
        <f ca="1">(VLOOKUP(AO$72,INDIRECT($C$5&amp;"生成成长"),2))/((VLOOKUP($B130,INDIRECT($B$5&amp;"生成成长"),4))/(VLOOKUP(AO$72,INDIRECT($C$5&amp;"生成成长"),5))*(VLOOKUP($B$5,标准坦克设计!$B$24:$U$30,MATCH("对"&amp;LEFT($C$5,2)&amp;"输出",标准坦克设计!$B$23:$U$23,0)))*(VLOOKUP($B130,INDIRECT($B$5&amp;"生成成长"),3))*(VLOOKUP($B$5,标准坦克设计!$B$14:$K$20,9)/30))</f>
        <v>39.46646419579104</v>
      </c>
      <c r="AP130" s="173">
        <f ca="1">(VLOOKUP(AP$72,INDIRECT($C$5&amp;"生成成长"),2))/((VLOOKUP($B130,INDIRECT($B$5&amp;"生成成长"),4))/(VLOOKUP(AP$72,INDIRECT($C$5&amp;"生成成长"),5))*(VLOOKUP($B$5,标准坦克设计!$B$24:$U$30,MATCH("对"&amp;LEFT($C$5,2)&amp;"输出",标准坦克设计!$B$23:$U$23,0)))*(VLOOKUP($B130,INDIRECT($B$5&amp;"生成成长"),3))*(VLOOKUP($B$5,标准坦克设计!$B$14:$K$20,9)/30))</f>
        <v>42.374263220950546</v>
      </c>
      <c r="AQ130" s="173">
        <f ca="1">(VLOOKUP(AQ$72,INDIRECT($C$5&amp;"生成成长"),2))/((VLOOKUP($B130,INDIRECT($B$5&amp;"生成成长"),4))/(VLOOKUP(AQ$72,INDIRECT($C$5&amp;"生成成长"),5))*(VLOOKUP($B$5,标准坦克设计!$B$24:$U$30,MATCH("对"&amp;LEFT($C$5,2)&amp;"输出",标准坦克设计!$B$23:$U$23,0)))*(VLOOKUP($B130,INDIRECT($B$5&amp;"生成成长"),3))*(VLOOKUP($B$5,标准坦克设计!$B$14:$K$20,9)/30))</f>
        <v>45.385408899669848</v>
      </c>
      <c r="AR130" s="173">
        <f ca="1">(VLOOKUP(AR$72,INDIRECT($C$5&amp;"生成成长"),2))/((VLOOKUP($B130,INDIRECT($B$5&amp;"生成成长"),4))/(VLOOKUP(AR$72,INDIRECT($C$5&amp;"生成成长"),5))*(VLOOKUP($B$5,标准坦克设计!$B$24:$U$30,MATCH("对"&amp;LEFT($C$5,2)&amp;"输出",标准坦克设计!$B$23:$U$23,0)))*(VLOOKUP($B130,INDIRECT($B$5&amp;"生成成长"),3))*(VLOOKUP($B$5,标准坦克设计!$B$14:$K$20,9)/30))</f>
        <v>48.499901231948925</v>
      </c>
      <c r="AS130" s="173">
        <f ca="1">(VLOOKUP(AS$72,INDIRECT($C$5&amp;"生成成长"),2))/((VLOOKUP($B130,INDIRECT($B$5&amp;"生成成长"),4))/(VLOOKUP(AS$72,INDIRECT($C$5&amp;"生成成长"),5))*(VLOOKUP($B$5,标准坦克设计!$B$24:$U$30,MATCH("对"&amp;LEFT($C$5,2)&amp;"输出",标准坦克设计!$B$23:$U$23,0)))*(VLOOKUP($B130,INDIRECT($B$5&amp;"生成成长"),3))*(VLOOKUP($B$5,标准坦克设计!$B$14:$K$20,9)/30))</f>
        <v>51.717740217787814</v>
      </c>
      <c r="AT130" s="173">
        <f ca="1">(VLOOKUP(AT$72,INDIRECT($C$5&amp;"生成成长"),2))/((VLOOKUP($B130,INDIRECT($B$5&amp;"生成成长"),4))/(VLOOKUP(AT$72,INDIRECT($C$5&amp;"生成成长"),5))*(VLOOKUP($B$5,标准坦克设计!$B$24:$U$30,MATCH("对"&amp;LEFT($C$5,2)&amp;"输出",标准坦克设计!$B$23:$U$23,0)))*(VLOOKUP($B130,INDIRECT($B$5&amp;"生成成长"),3))*(VLOOKUP($B$5,标准坦克设计!$B$14:$K$20,9)/30))</f>
        <v>55.038925857186463</v>
      </c>
      <c r="AU130" s="173">
        <f ca="1">(VLOOKUP(AU$72,INDIRECT($C$5&amp;"生成成长"),2))/((VLOOKUP($B130,INDIRECT($B$5&amp;"生成成长"),4))/(VLOOKUP(AU$72,INDIRECT($C$5&amp;"生成成长"),5))*(VLOOKUP($B$5,标准坦克设计!$B$24:$U$30,MATCH("对"&amp;LEFT($C$5,2)&amp;"输出",标准坦克设计!$B$23:$U$23,0)))*(VLOOKUP($B130,INDIRECT($B$5&amp;"生成成长"),3))*(VLOOKUP($B$5,标准坦克设计!$B$14:$K$20,9)/30))</f>
        <v>58.463458150144923</v>
      </c>
      <c r="AV130" s="173">
        <f ca="1">(VLOOKUP(AV$72,INDIRECT($C$5&amp;"生成成长"),2))/((VLOOKUP($B130,INDIRECT($B$5&amp;"生成成长"),4))/(VLOOKUP(AV$72,INDIRECT($C$5&amp;"生成成长"),5))*(VLOOKUP($B$5,标准坦克设计!$B$24:$U$30,MATCH("对"&amp;LEFT($C$5,2)&amp;"输出",标准坦克设计!$B$23:$U$23,0)))*(VLOOKUP($B130,INDIRECT($B$5&amp;"生成成长"),3))*(VLOOKUP($B$5,标准坦克设计!$B$14:$K$20,9)/30))</f>
        <v>5.9462760502747836</v>
      </c>
      <c r="AW130" s="173">
        <f ca="1">(VLOOKUP(AW$72,INDIRECT($C$5&amp;"生成成长"),2))/((VLOOKUP($B130,INDIRECT($B$5&amp;"生成成长"),4))/(VLOOKUP(AW$72,INDIRECT($C$5&amp;"生成成长"),5))*(VLOOKUP($B$5,标准坦克设计!$B$24:$U$30,MATCH("对"&amp;LEFT($C$5,2)&amp;"输出",标准坦克设计!$B$23:$U$23,0)))*(VLOOKUP($B130,INDIRECT($B$5&amp;"生成成长"),3))*(VLOOKUP($B$5,标准坦克设计!$B$14:$K$20,9)/30))</f>
        <v>6.7798821153520885</v>
      </c>
      <c r="AX130" s="173">
        <f ca="1">(VLOOKUP(AX$72,INDIRECT($C$5&amp;"生成成长"),2))/((VLOOKUP($B130,INDIRECT($B$5&amp;"生成成长"),4))/(VLOOKUP(AX$72,INDIRECT($C$5&amp;"生成成长"),5))*(VLOOKUP($B$5,标准坦克设计!$B$24:$U$30,MATCH("对"&amp;LEFT($C$5,2)&amp;"输出",标准坦克设计!$B$23:$U$23,0)))*(VLOOKUP($B130,INDIRECT($B$5&amp;"生成成长"),3))*(VLOOKUP($B$5,标准坦克设计!$B$14:$K$20,9)/30))</f>
        <v>7.6681508732213457</v>
      </c>
      <c r="AY130" s="173">
        <f ca="1">(VLOOKUP(AY$72,INDIRECT($C$5&amp;"生成成长"),2))/((VLOOKUP($B130,INDIRECT($B$5&amp;"生成成长"),4))/(VLOOKUP(AY$72,INDIRECT($C$5&amp;"生成成长"),5))*(VLOOKUP($B$5,标准坦克设计!$B$24:$U$30,MATCH("对"&amp;LEFT($C$5,2)&amp;"输出",标准坦克设计!$B$23:$U$23,0)))*(VLOOKUP($B130,INDIRECT($B$5&amp;"生成成长"),3))*(VLOOKUP($B$5,标准坦克设计!$B$14:$K$20,9)/30))</f>
        <v>8.6110823238825596</v>
      </c>
      <c r="AZ130" s="173">
        <f ca="1">(VLOOKUP(AZ$72,INDIRECT($C$5&amp;"生成成长"),2))/((VLOOKUP($B130,INDIRECT($B$5&amp;"生成成长"),4))/(VLOOKUP(AZ$72,INDIRECT($C$5&amp;"生成成长"),5))*(VLOOKUP($B$5,标准坦克设计!$B$24:$U$30,MATCH("对"&amp;LEFT($C$5,2)&amp;"输出",标准坦克设计!$B$23:$U$23,0)))*(VLOOKUP($B130,INDIRECT($B$5&amp;"生成成长"),3))*(VLOOKUP($B$5,标准坦克设计!$B$14:$K$20,9)/30))</f>
        <v>9.6086764673357266</v>
      </c>
      <c r="BA130" s="173">
        <f ca="1">(VLOOKUP(BA$72,INDIRECT($C$5&amp;"生成成长"),2))/((VLOOKUP($B130,INDIRECT($B$5&amp;"生成成长"),4))/(VLOOKUP(BA$72,INDIRECT($C$5&amp;"生成成长"),5))*(VLOOKUP($B$5,标准坦克设计!$B$24:$U$30,MATCH("对"&amp;LEFT($C$5,2)&amp;"输出",标准坦克设计!$B$23:$U$23,0)))*(VLOOKUP($B130,INDIRECT($B$5&amp;"生成成长"),3))*(VLOOKUP($B$5,标准坦克设计!$B$14:$K$20,9)/30))</f>
        <v>10.660933303580848</v>
      </c>
      <c r="BB130" s="173">
        <f ca="1">(VLOOKUP(BB$72,INDIRECT($C$5&amp;"生成成长"),2))/((VLOOKUP($B130,INDIRECT($B$5&amp;"生成成长"),4))/(VLOOKUP(BB$72,INDIRECT($C$5&amp;"生成成长"),5))*(VLOOKUP($B$5,标准坦克设计!$B$24:$U$30,MATCH("对"&amp;LEFT($C$5,2)&amp;"输出",标准坦克设计!$B$23:$U$23,0)))*(VLOOKUP($B130,INDIRECT($B$5&amp;"生成成长"),3))*(VLOOKUP($B$5,标准坦克设计!$B$14:$K$20,9)/30))</f>
        <v>11.767852832617923</v>
      </c>
      <c r="BC130" s="173">
        <f ca="1">(VLOOKUP(BC$72,INDIRECT($C$5&amp;"生成成长"),2))/((VLOOKUP($B130,INDIRECT($B$5&amp;"生成成长"),4))/(VLOOKUP(BC$72,INDIRECT($C$5&amp;"生成成长"),5))*(VLOOKUP($B$5,标准坦克设计!$B$24:$U$30,MATCH("对"&amp;LEFT($C$5,2)&amp;"输出",标准坦克设计!$B$23:$U$23,0)))*(VLOOKUP($B130,INDIRECT($B$5&amp;"生成成长"),3))*(VLOOKUP($B$5,标准坦克设计!$B$14:$K$20,9)/30))</f>
        <v>12.929435054446953</v>
      </c>
      <c r="BD130" s="173">
        <f ca="1">(VLOOKUP(BD$72,INDIRECT($C$5&amp;"生成成长"),2))/((VLOOKUP($B130,INDIRECT($B$5&amp;"生成成长"),4))/(VLOOKUP(BD$72,INDIRECT($C$5&amp;"生成成长"),5))*(VLOOKUP($B$5,标准坦克设计!$B$24:$U$30,MATCH("对"&amp;LEFT($C$5,2)&amp;"输出",标准坦克设计!$B$23:$U$23,0)))*(VLOOKUP($B130,INDIRECT($B$5&amp;"生成成长"),3))*(VLOOKUP($B$5,标准坦克设计!$B$14:$K$20,9)/30))</f>
        <v>14.301554053982494</v>
      </c>
      <c r="BE130" s="173">
        <f ca="1">(VLOOKUP(BE$72,INDIRECT($C$5&amp;"生成成长"),2))/((VLOOKUP($B130,INDIRECT($B$5&amp;"生成成长"),4))/(VLOOKUP(BE$72,INDIRECT($C$5&amp;"生成成长"),5))*(VLOOKUP($B$5,标准坦克设计!$B$24:$U$30,MATCH("对"&amp;LEFT($C$5,2)&amp;"输出",标准坦克设计!$B$23:$U$23,0)))*(VLOOKUP($B130,INDIRECT($B$5&amp;"生成成长"),3))*(VLOOKUP($B$5,标准坦克设计!$B$14:$K$20,9)/30))</f>
        <v>15.742855524082854</v>
      </c>
      <c r="BF130" s="173">
        <f ca="1">(VLOOKUP(BF$72,INDIRECT($C$5&amp;"生成成长"),2))/((VLOOKUP($B130,INDIRECT($B$5&amp;"生成成长"),4))/(VLOOKUP(BF$72,INDIRECT($C$5&amp;"生成成长"),5))*(VLOOKUP($B$5,标准坦克设计!$B$24:$U$30,MATCH("对"&amp;LEFT($C$5,2)&amp;"输出",标准坦克设计!$B$23:$U$23,0)))*(VLOOKUP($B130,INDIRECT($B$5&amp;"生成成长"),3))*(VLOOKUP($B$5,标准坦克设计!$B$14:$K$20,9)/30))</f>
        <v>17.253339464748031</v>
      </c>
      <c r="BG130" s="173">
        <f ca="1">(VLOOKUP(BG$72,INDIRECT($C$5&amp;"生成成长"),2))/((VLOOKUP($B130,INDIRECT($B$5&amp;"生成成长"),4))/(VLOOKUP(BG$72,INDIRECT($C$5&amp;"生成成长"),5))*(VLOOKUP($B$5,标准坦克设计!$B$24:$U$30,MATCH("对"&amp;LEFT($C$5,2)&amp;"输出",标准坦克设计!$B$23:$U$23,0)))*(VLOOKUP($B130,INDIRECT($B$5&amp;"生成成长"),3))*(VLOOKUP($B$5,标准坦克设计!$B$14:$K$20,9)/30))</f>
        <v>18.833005875978024</v>
      </c>
      <c r="BH130" s="173">
        <f ca="1">(VLOOKUP(BH$72,INDIRECT($C$5&amp;"生成成长"),2))/((VLOOKUP($B130,INDIRECT($B$5&amp;"生成成长"),4))/(VLOOKUP(BH$72,INDIRECT($C$5&amp;"生成成长"),5))*(VLOOKUP($B$5,标准坦克设计!$B$24:$U$30,MATCH("对"&amp;LEFT($C$5,2)&amp;"输出",标准坦克设计!$B$23:$U$23,0)))*(VLOOKUP($B130,INDIRECT($B$5&amp;"生成成长"),3))*(VLOOKUP($B$5,标准坦克设计!$B$14:$K$20,9)/30))</f>
        <v>9.1030465590101475</v>
      </c>
      <c r="BI130" s="173">
        <f ca="1">(VLOOKUP(BI$72,INDIRECT($C$5&amp;"生成成长"),2))/((VLOOKUP($B130,INDIRECT($B$5&amp;"生成成长"),4))/(VLOOKUP(BI$72,INDIRECT($C$5&amp;"生成成长"),5))*(VLOOKUP($B$5,标准坦克设计!$B$24:$U$30,MATCH("对"&amp;LEFT($C$5,2)&amp;"输出",标准坦克设计!$B$23:$U$23,0)))*(VLOOKUP($B130,INDIRECT($B$5&amp;"生成成长"),3))*(VLOOKUP($B$5,标准坦克设计!$B$14:$K$20,9)/30))</f>
        <v>10.259931205677368</v>
      </c>
      <c r="BJ130" s="173">
        <f ca="1">(VLOOKUP(BJ$72,INDIRECT($C$5&amp;"生成成长"),2))/((VLOOKUP($B130,INDIRECT($B$5&amp;"生成成长"),4))/(VLOOKUP(BJ$72,INDIRECT($C$5&amp;"生成成长"),5))*(VLOOKUP($B$5,标准坦克设计!$B$24:$U$30,MATCH("对"&amp;LEFT($C$5,2)&amp;"输出",标准坦克设计!$B$23:$U$23,0)))*(VLOOKUP($B130,INDIRECT($B$5&amp;"生成成长"),3))*(VLOOKUP($B$5,标准坦克设计!$B$14:$K$20,9)/30))</f>
        <v>11.485998322909406</v>
      </c>
      <c r="BK130" s="173">
        <f ca="1">(VLOOKUP(BK$72,INDIRECT($C$5&amp;"生成成长"),2))/((VLOOKUP($B130,INDIRECT($B$5&amp;"生成成长"),4))/(VLOOKUP(BK$72,INDIRECT($C$5&amp;"生成成长"),5))*(VLOOKUP($B$5,标准坦克设计!$B$24:$U$30,MATCH("对"&amp;LEFT($C$5,2)&amp;"输出",标准坦克设计!$B$23:$U$23,0)))*(VLOOKUP($B130,INDIRECT($B$5&amp;"生成成长"),3))*(VLOOKUP($B$5,标准坦克设计!$B$14:$K$20,9)/30))</f>
        <v>12.781247910706265</v>
      </c>
      <c r="BL130" s="173">
        <f ca="1">(VLOOKUP(BL$72,INDIRECT($C$5&amp;"生成成长"),2))/((VLOOKUP($B130,INDIRECT($B$5&amp;"生成成长"),4))/(VLOOKUP(BL$72,INDIRECT($C$5&amp;"生成成长"),5))*(VLOOKUP($B$5,标准坦克设计!$B$24:$U$30,MATCH("对"&amp;LEFT($C$5,2)&amp;"输出",标准坦克设计!$B$23:$U$23,0)))*(VLOOKUP($B130,INDIRECT($B$5&amp;"生成成长"),3))*(VLOOKUP($B$5,标准坦克设计!$B$14:$K$20,9)/30))</f>
        <v>14.145679969067935</v>
      </c>
      <c r="BM130" s="173">
        <f ca="1">(VLOOKUP(BM$72,INDIRECT($C$5&amp;"生成成长"),2))/((VLOOKUP($B130,INDIRECT($B$5&amp;"生成成长"),4))/(VLOOKUP(BM$72,INDIRECT($C$5&amp;"生成成长"),5))*(VLOOKUP($B$5,标准坦克设计!$B$24:$U$30,MATCH("对"&amp;LEFT($C$5,2)&amp;"输出",标准坦克设计!$B$23:$U$23,0)))*(VLOOKUP($B130,INDIRECT($B$5&amp;"生成成长"),3))*(VLOOKUP($B$5,标准坦克设计!$B$14:$K$20,9)/30))</f>
        <v>15.579294497994429</v>
      </c>
      <c r="BN130" s="173">
        <f ca="1">(VLOOKUP(BN$72,INDIRECT($C$5&amp;"生成成长"),2))/((VLOOKUP($B130,INDIRECT($B$5&amp;"生成成长"),4))/(VLOOKUP(BN$72,INDIRECT($C$5&amp;"生成成长"),5))*(VLOOKUP($B$5,标准坦克设计!$B$24:$U$30,MATCH("对"&amp;LEFT($C$5,2)&amp;"输出",标准坦克设计!$B$23:$U$23,0)))*(VLOOKUP($B130,INDIRECT($B$5&amp;"生成成长"),3))*(VLOOKUP($B$5,标准坦克设计!$B$14:$K$20,9)/30))</f>
        <v>17.082091497485735</v>
      </c>
      <c r="BO130" s="173">
        <f ca="1">(VLOOKUP(BO$72,INDIRECT($C$5&amp;"生成成长"),2))/((VLOOKUP($B130,INDIRECT($B$5&amp;"生成成长"),4))/(VLOOKUP(BO$72,INDIRECT($C$5&amp;"生成成长"),5))*(VLOOKUP($B$5,标准坦克设计!$B$24:$U$30,MATCH("对"&amp;LEFT($C$5,2)&amp;"输出",标准坦克设计!$B$23:$U$23,0)))*(VLOOKUP($B130,INDIRECT($B$5&amp;"生成成长"),3))*(VLOOKUP($B$5,标准坦克设计!$B$14:$K$20,9)/30))</f>
        <v>18.654070967541863</v>
      </c>
      <c r="BP130" s="173">
        <f ca="1">(VLOOKUP(BP$72,INDIRECT($C$5&amp;"生成成长"),2))/((VLOOKUP($B130,INDIRECT($B$5&amp;"生成成长"),4))/(VLOOKUP(BP$72,INDIRECT($C$5&amp;"生成成长"),5))*(VLOOKUP($B$5,标准坦克设计!$B$24:$U$30,MATCH("对"&amp;LEFT($C$5,2)&amp;"输出",标准坦克设计!$B$23:$U$23,0)))*(VLOOKUP($B130,INDIRECT($B$5&amp;"生成成长"),3))*(VLOOKUP($B$5,标准坦克设计!$B$14:$K$20,9)/30))</f>
        <v>20.295232908162799</v>
      </c>
      <c r="BQ130" s="173">
        <f ca="1">(VLOOKUP(BQ$72,INDIRECT($C$5&amp;"生成成长"),2))/((VLOOKUP($B130,INDIRECT($B$5&amp;"生成成长"),4))/(VLOOKUP(BQ$72,INDIRECT($C$5&amp;"生成成长"),5))*(VLOOKUP($B$5,标准坦克设计!$B$24:$U$30,MATCH("对"&amp;LEFT($C$5,2)&amp;"输出",标准坦克设计!$B$23:$U$23,0)))*(VLOOKUP($B130,INDIRECT($B$5&amp;"生成成长"),3))*(VLOOKUP($B$5,标准坦克设计!$B$14:$K$20,9)/30))</f>
        <v>22.005577319348561</v>
      </c>
      <c r="BR130" s="173">
        <f ca="1">(VLOOKUP(BR$72,INDIRECT($C$5&amp;"生成成长"),2))/((VLOOKUP($B130,INDIRECT($B$5&amp;"生成成长"),4))/(VLOOKUP(BR$72,INDIRECT($C$5&amp;"生成成长"),5))*(VLOOKUP($B$5,标准坦克设计!$B$24:$U$30,MATCH("对"&amp;LEFT($C$5,2)&amp;"输出",标准坦克设计!$B$23:$U$23,0)))*(VLOOKUP($B130,INDIRECT($B$5&amp;"生成成长"),3))*(VLOOKUP($B$5,标准坦克设计!$B$14:$K$20,9)/30))</f>
        <v>23.9870999330569</v>
      </c>
      <c r="BS130" s="173">
        <f ca="1">(VLOOKUP(BS$72,INDIRECT($C$5&amp;"生成成长"),2))/((VLOOKUP($B130,INDIRECT($B$5&amp;"生成成长"),4))/(VLOOKUP(BS$72,INDIRECT($C$5&amp;"生成成长"),5))*(VLOOKUP($B$5,标准坦克设计!$B$24:$U$30,MATCH("对"&amp;LEFT($C$5,2)&amp;"输出",标准坦克设计!$B$23:$U$23,0)))*(VLOOKUP($B130,INDIRECT($B$5&amp;"生成成长"),3))*(VLOOKUP($B$5,标准坦克设计!$B$14:$K$20,9)/30))</f>
        <v>26.054033004252677</v>
      </c>
      <c r="BT130" s="173">
        <f ca="1">(VLOOKUP(BT$72,INDIRECT($C$5&amp;"生成成长"),2))/((VLOOKUP($B130,INDIRECT($B$5&amp;"生成成长"),4))/(VLOOKUP(BT$72,INDIRECT($C$5&amp;"生成成长"),5))*(VLOOKUP($B$5,标准坦克设计!$B$24:$U$30,MATCH("对"&amp;LEFT($C$5,2)&amp;"输出",标准坦克设计!$B$23:$U$23,0)))*(VLOOKUP($B130,INDIRECT($B$5&amp;"生成成长"),3))*(VLOOKUP($B$5,标准坦克设计!$B$14:$K$20,9)/30))</f>
        <v>28.206376532935884</v>
      </c>
      <c r="BU130" s="173">
        <f ca="1">(VLOOKUP(BU$72,INDIRECT($C$5&amp;"生成成长"),2))/((VLOOKUP($B130,INDIRECT($B$5&amp;"生成成长"),4))/(VLOOKUP(BU$72,INDIRECT($C$5&amp;"生成成长"),5))*(VLOOKUP($B$5,标准坦克设计!$B$24:$U$30,MATCH("对"&amp;LEFT($C$5,2)&amp;"输出",标准坦克设计!$B$23:$U$23,0)))*(VLOOKUP($B130,INDIRECT($B$5&amp;"生成成长"),3))*(VLOOKUP($B$5,标准坦克设计!$B$14:$K$20,9)/30))</f>
        <v>30.444130519106508</v>
      </c>
      <c r="BV130" s="173">
        <f ca="1">(VLOOKUP(BV$72,INDIRECT($C$5&amp;"生成成长"),2))/((VLOOKUP($B130,INDIRECT($B$5&amp;"生成成长"),4))/(VLOOKUP(BV$72,INDIRECT($C$5&amp;"生成成长"),5))*(VLOOKUP($B$5,标准坦克设计!$B$24:$U$30,MATCH("对"&amp;LEFT($C$5,2)&amp;"输出",标准坦克设计!$B$23:$U$23,0)))*(VLOOKUP($B130,INDIRECT($B$5&amp;"生成成长"),3))*(VLOOKUP($B$5,标准坦克设计!$B$14:$K$20,9)/30))</f>
        <v>32.767294962764566</v>
      </c>
      <c r="BW130" s="173">
        <f ca="1">(VLOOKUP(BW$72,INDIRECT($C$5&amp;"生成成长"),2))/((VLOOKUP($B130,INDIRECT($B$5&amp;"生成成长"),4))/(VLOOKUP(BW$72,INDIRECT($C$5&amp;"生成成长"),5))*(VLOOKUP($B$5,标准坦克设计!$B$24:$U$30,MATCH("对"&amp;LEFT($C$5,2)&amp;"输出",标准坦克设计!$B$23:$U$23,0)))*(VLOOKUP($B130,INDIRECT($B$5&amp;"生成成长"),3))*(VLOOKUP($B$5,标准坦克设计!$B$14:$K$20,9)/30))</f>
        <v>14.933591439389467</v>
      </c>
      <c r="BX130" s="173">
        <f ca="1">(VLOOKUP(BX$72,INDIRECT($C$5&amp;"生成成长"),2))/((VLOOKUP($B130,INDIRECT($B$5&amp;"生成成长"),4))/(VLOOKUP(BX$72,INDIRECT($C$5&amp;"生成成长"),5))*(VLOOKUP($B$5,标准坦克设计!$B$24:$U$30,MATCH("对"&amp;LEFT($C$5,2)&amp;"输出",标准坦克设计!$B$23:$U$23,0)))*(VLOOKUP($B130,INDIRECT($B$5&amp;"生成成长"),3))*(VLOOKUP($B$5,标准坦克设计!$B$14:$K$20,9)/30))</f>
        <v>16.573472223148098</v>
      </c>
      <c r="BY130" s="173">
        <f ca="1">(VLOOKUP(BY$72,INDIRECT($C$5&amp;"生成成长"),2))/((VLOOKUP($B130,INDIRECT($B$5&amp;"生成成长"),4))/(VLOOKUP(BY$72,INDIRECT($C$5&amp;"生成成长"),5))*(VLOOKUP($B$5,标准坦克设计!$B$24:$U$30,MATCH("对"&amp;LEFT($C$5,2)&amp;"输出",标准坦克设计!$B$23:$U$23,0)))*(VLOOKUP($B130,INDIRECT($B$5&amp;"生成成长"),3))*(VLOOKUP($B$5,标准坦克设计!$B$14:$K$20,9)/30))</f>
        <v>18.298763464394153</v>
      </c>
      <c r="BZ130" s="173">
        <f ca="1">(VLOOKUP(BZ$72,INDIRECT($C$5&amp;"生成成长"),2))/((VLOOKUP($B130,INDIRECT($B$5&amp;"生成成长"),4))/(VLOOKUP(BZ$72,INDIRECT($C$5&amp;"生成成长"),5))*(VLOOKUP($B$5,标准坦克设计!$B$24:$U$30,MATCH("对"&amp;LEFT($C$5,2)&amp;"输出",标准坦克设计!$B$23:$U$23,0)))*(VLOOKUP($B130,INDIRECT($B$5&amp;"生成成长"),3))*(VLOOKUP($B$5,标准坦克设计!$B$14:$K$20,9)/30))</f>
        <v>20.109465163127645</v>
      </c>
      <c r="CA130" s="173">
        <f ca="1">(VLOOKUP(CA$72,INDIRECT($C$5&amp;"生成成长"),2))/((VLOOKUP($B130,INDIRECT($B$5&amp;"生成成长"),4))/(VLOOKUP(CA$72,INDIRECT($C$5&amp;"生成成长"),5))*(VLOOKUP($B$5,标准坦克设计!$B$24:$U$30,MATCH("对"&amp;LEFT($C$5,2)&amp;"输出",标准坦克设计!$B$23:$U$23,0)))*(VLOOKUP($B130,INDIRECT($B$5&amp;"生成成长"),3))*(VLOOKUP($B$5,标准坦克设计!$B$14:$K$20,9)/30))</f>
        <v>22.005577319348561</v>
      </c>
      <c r="CB130" s="173">
        <f ca="1">(VLOOKUP(CB$72,INDIRECT($C$5&amp;"生成成长"),2))/((VLOOKUP($B130,INDIRECT($B$5&amp;"生成成长"),4))/(VLOOKUP(CB$72,INDIRECT($C$5&amp;"生成成长"),5))*(VLOOKUP($B$5,标准坦克设计!$B$24:$U$30,MATCH("对"&amp;LEFT($C$5,2)&amp;"输出",标准坦克设计!$B$23:$U$23,0)))*(VLOOKUP($B130,INDIRECT($B$5&amp;"生成成长"),3))*(VLOOKUP($B$5,标准坦克设计!$B$14:$K$20,9)/30))</f>
        <v>23.9870999330569</v>
      </c>
      <c r="CC130" s="173">
        <f ca="1">(VLOOKUP(CC$72,INDIRECT($C$5&amp;"生成成长"),2))/((VLOOKUP($B130,INDIRECT($B$5&amp;"生成成长"),4))/(VLOOKUP(CC$72,INDIRECT($C$5&amp;"生成成长"),5))*(VLOOKUP($B$5,标准坦克设计!$B$24:$U$30,MATCH("对"&amp;LEFT($C$5,2)&amp;"输出",标准坦克设计!$B$23:$U$23,0)))*(VLOOKUP($B130,INDIRECT($B$5&amp;"生成成长"),3))*(VLOOKUP($B$5,标准坦克设计!$B$14:$K$20,9)/30))</f>
        <v>26.054033004252677</v>
      </c>
      <c r="CD130" s="173">
        <f ca="1">(VLOOKUP(CD$72,INDIRECT($C$5&amp;"生成成长"),2))/((VLOOKUP($B130,INDIRECT($B$5&amp;"生成成长"),4))/(VLOOKUP(CD$72,INDIRECT($C$5&amp;"生成成长"),5))*(VLOOKUP($B$5,标准坦克设计!$B$24:$U$30,MATCH("对"&amp;LEFT($C$5,2)&amp;"输出",标准坦克设计!$B$23:$U$23,0)))*(VLOOKUP($B130,INDIRECT($B$5&amp;"生成成长"),3))*(VLOOKUP($B$5,标准坦克设计!$B$14:$K$20,9)/30))</f>
        <v>28.206376532935884</v>
      </c>
      <c r="CE130" s="173">
        <f ca="1">(VLOOKUP(CE$72,INDIRECT($C$5&amp;"生成成长"),2))/((VLOOKUP($B130,INDIRECT($B$5&amp;"生成成长"),4))/(VLOOKUP(CE$72,INDIRECT($C$5&amp;"生成成长"),5))*(VLOOKUP($B$5,标准坦克设计!$B$24:$U$30,MATCH("对"&amp;LEFT($C$5,2)&amp;"输出",标准坦克设计!$B$23:$U$23,0)))*(VLOOKUP($B130,INDIRECT($B$5&amp;"生成成长"),3))*(VLOOKUP($B$5,标准坦克设计!$B$14:$K$20,9)/30))</f>
        <v>30.444130519106508</v>
      </c>
      <c r="CF130" s="173">
        <f ca="1">(VLOOKUP(CF$72,INDIRECT($C$5&amp;"生成成长"),2))/((VLOOKUP($B130,INDIRECT($B$5&amp;"生成成长"),4))/(VLOOKUP(CF$72,INDIRECT($C$5&amp;"生成成长"),5))*(VLOOKUP($B$5,标准坦克设计!$B$24:$U$30,MATCH("对"&amp;LEFT($C$5,2)&amp;"输出",标准坦克设计!$B$23:$U$23,0)))*(VLOOKUP($B130,INDIRECT($B$5&amp;"生成成长"),3))*(VLOOKUP($B$5,标准坦克设计!$B$14:$K$20,9)/30))</f>
        <v>32.767294962764566</v>
      </c>
      <c r="CG130" s="173">
        <f ca="1">(VLOOKUP(CG$72,INDIRECT($C$5&amp;"生成成长"),2))/((VLOOKUP($B130,INDIRECT($B$5&amp;"生成成长"),4))/(VLOOKUP(CG$72,INDIRECT($C$5&amp;"生成成长"),5))*(VLOOKUP($B$5,标准坦克设计!$B$24:$U$30,MATCH("对"&amp;LEFT($C$5,2)&amp;"输出",标准坦克设计!$B$23:$U$23,0)))*(VLOOKUP($B130,INDIRECT($B$5&amp;"生成成长"),3))*(VLOOKUP($B$5,标准坦克设计!$B$14:$K$20,9)/30))</f>
        <v>35.175869863910059</v>
      </c>
      <c r="CH130" s="173">
        <f ca="1">(VLOOKUP(CH$72,INDIRECT($C$5&amp;"生成成长"),2))/((VLOOKUP($B130,INDIRECT($B$5&amp;"生成成长"),4))/(VLOOKUP(CH$72,INDIRECT($C$5&amp;"生成成长"),5))*(VLOOKUP($B$5,标准坦克设计!$B$24:$U$30,MATCH("对"&amp;LEFT($C$5,2)&amp;"输出",标准坦克设计!$B$23:$U$23,0)))*(VLOOKUP($B130,INDIRECT($B$5&amp;"生成成长"),3))*(VLOOKUP($B$5,标准坦克设计!$B$14:$K$20,9)/30))</f>
        <v>37.669855222542985</v>
      </c>
      <c r="CI130" s="173">
        <f ca="1">(VLOOKUP(CI$72,INDIRECT($C$5&amp;"生成成长"),2))/((VLOOKUP($B130,INDIRECT($B$5&amp;"生成成长"),4))/(VLOOKUP(CI$72,INDIRECT($C$5&amp;"生成成长"),5))*(VLOOKUP($B$5,标准坦克设计!$B$24:$U$30,MATCH("对"&amp;LEFT($C$5,2)&amp;"输出",标准坦克设计!$B$23:$U$23,0)))*(VLOOKUP($B130,INDIRECT($B$5&amp;"生成成长"),3))*(VLOOKUP($B$5,标准坦克设计!$B$14:$K$20,9)/30))</f>
        <v>40.511888195437166</v>
      </c>
      <c r="CJ130" s="173">
        <f ca="1">(VLOOKUP(CJ$72,INDIRECT($C$5&amp;"生成成长"),2))/((VLOOKUP($B130,INDIRECT($B$5&amp;"生成成长"),4))/(VLOOKUP(CJ$72,INDIRECT($C$5&amp;"生成成长"),5))*(VLOOKUP($B$5,标准坦克设计!$B$24:$U$30,MATCH("对"&amp;LEFT($C$5,2)&amp;"输出",标准坦克设计!$B$23:$U$23,0)))*(VLOOKUP($B130,INDIRECT($B$5&amp;"生成成长"),3))*(VLOOKUP($B$5,标准坦克设计!$B$14:$K$20,9)/30))</f>
        <v>43.457267821891143</v>
      </c>
      <c r="CK130" s="173">
        <f ca="1">(VLOOKUP(CK$72,INDIRECT($C$5&amp;"生成成长"),2))/((VLOOKUP($B130,INDIRECT($B$5&amp;"生成成长"),4))/(VLOOKUP(CK$72,INDIRECT($C$5&amp;"生成成长"),5))*(VLOOKUP($B$5,标准坦克设计!$B$24:$U$30,MATCH("对"&amp;LEFT($C$5,2)&amp;"输出",标准坦克设计!$B$23:$U$23,0)))*(VLOOKUP($B130,INDIRECT($B$5&amp;"生成成长"),3))*(VLOOKUP($B$5,标准坦克设计!$B$14:$K$20,9)/30))</f>
        <v>46.505994101904918</v>
      </c>
      <c r="CL130" s="173">
        <f ca="1">(VLOOKUP(CL$72,INDIRECT($C$5&amp;"生成成长"),2))/((VLOOKUP($B130,INDIRECT($B$5&amp;"生成成长"),4))/(VLOOKUP(CL$72,INDIRECT($C$5&amp;"生成成长"),5))*(VLOOKUP($B$5,标准坦克设计!$B$24:$U$30,MATCH("对"&amp;LEFT($C$5,2)&amp;"输出",标准坦克设计!$B$23:$U$23,0)))*(VLOOKUP($B130,INDIRECT($B$5&amp;"生成成长"),3))*(VLOOKUP($B$5,标准坦克设计!$B$14:$K$20,9)/30))</f>
        <v>49.658067035478467</v>
      </c>
      <c r="CM130" s="173">
        <f ca="1">(VLOOKUP(CM$72,INDIRECT($C$5&amp;"生成成长"),2))/((VLOOKUP($B130,INDIRECT($B$5&amp;"生成成长"),4))/(VLOOKUP(CM$72,INDIRECT($C$5&amp;"生成成长"),5))*(VLOOKUP($B$5,标准坦克设计!$B$24:$U$30,MATCH("对"&amp;LEFT($C$5,2)&amp;"输出",标准坦克设计!$B$23:$U$23,0)))*(VLOOKUP($B130,INDIRECT($B$5&amp;"生成成长"),3))*(VLOOKUP($B$5,标准坦克设计!$B$14:$K$20,9)/30))</f>
        <v>52.913486622611813</v>
      </c>
      <c r="CN130" s="173">
        <f ca="1">(VLOOKUP(CN$72,INDIRECT($C$5&amp;"生成成长"),2))/((VLOOKUP($B130,INDIRECT($B$5&amp;"生成成长"),4))/(VLOOKUP(CN$72,INDIRECT($C$5&amp;"生成成长"),5))*(VLOOKUP($B$5,标准坦克设计!$B$24:$U$30,MATCH("对"&amp;LEFT($C$5,2)&amp;"输出",标准坦克设计!$B$23:$U$23,0)))*(VLOOKUP($B130,INDIRECT($B$5&amp;"生成成长"),3))*(VLOOKUP($B$5,标准坦克设计!$B$14:$K$20,9)/30))</f>
        <v>56.272252863304942</v>
      </c>
      <c r="CO130" s="173">
        <f ca="1">(VLOOKUP(CO$72,INDIRECT($C$5&amp;"生成成长"),2))/((VLOOKUP($B130,INDIRECT($B$5&amp;"生成成长"),4))/(VLOOKUP(CO$72,INDIRECT($C$5&amp;"生成成长"),5))*(VLOOKUP($B$5,标准坦克设计!$B$24:$U$30,MATCH("对"&amp;LEFT($C$5,2)&amp;"输出",标准坦克设计!$B$23:$U$23,0)))*(VLOOKUP($B130,INDIRECT($B$5&amp;"生成成长"),3))*(VLOOKUP($B$5,标准坦克设计!$B$14:$K$20,9)/30))</f>
        <v>25.217010520875878</v>
      </c>
      <c r="CP130" s="173">
        <f ca="1">(VLOOKUP(CP$72,INDIRECT($C$5&amp;"生成成长"),2))/((VLOOKUP($B130,INDIRECT($B$5&amp;"生成成长"),4))/(VLOOKUP(CP$72,INDIRECT($C$5&amp;"生成成长"),5))*(VLOOKUP($B$5,标准坦克设计!$B$24:$U$30,MATCH("对"&amp;LEFT($C$5,2)&amp;"输出",标准坦克设计!$B$23:$U$23,0)))*(VLOOKUP($B130,INDIRECT($B$5&amp;"生成成长"),3))*(VLOOKUP($B$5,标准坦克设计!$B$14:$K$20,9)/30))</f>
        <v>27.551705376294745</v>
      </c>
      <c r="CQ130" s="173">
        <f ca="1">(VLOOKUP(CQ$72,INDIRECT($C$5&amp;"生成成长"),2))/((VLOOKUP($B130,INDIRECT($B$5&amp;"生成成长"),4))/(VLOOKUP(CQ$72,INDIRECT($C$5&amp;"生成成长"),5))*(VLOOKUP($B$5,标准坦克设计!$B$24:$U$30,MATCH("对"&amp;LEFT($C$5,2)&amp;"输出",标准坦克设计!$B$23:$U$23,0)))*(VLOOKUP($B130,INDIRECT($B$5&amp;"生成成长"),3))*(VLOOKUP($B$5,标准坦克设计!$B$14:$K$20,9)/30))</f>
        <v>29.989746885273391</v>
      </c>
      <c r="CR130" s="173">
        <f ca="1">(VLOOKUP(CR$72,INDIRECT($C$5&amp;"生成成长"),2))/((VLOOKUP($B130,INDIRECT($B$5&amp;"生成成长"),4))/(VLOOKUP(CR$72,INDIRECT($C$5&amp;"生成成长"),5))*(VLOOKUP($B$5,标准坦克设计!$B$24:$U$30,MATCH("对"&amp;LEFT($C$5,2)&amp;"输出",标准坦克设计!$B$23:$U$23,0)))*(VLOOKUP($B130,INDIRECT($B$5&amp;"生成成长"),3))*(VLOOKUP($B$5,标准坦克设计!$B$14:$K$20,9)/30))</f>
        <v>32.53113504781183</v>
      </c>
      <c r="CS130" s="173">
        <f ca="1">(VLOOKUP(CS$72,INDIRECT($C$5&amp;"生成成长"),2))/((VLOOKUP($B130,INDIRECT($B$5&amp;"生成成长"),4))/(VLOOKUP(CS$72,INDIRECT($C$5&amp;"生成成长"),5))*(VLOOKUP($B$5,标准坦克设计!$B$24:$U$30,MATCH("对"&amp;LEFT($C$5,2)&amp;"输出",标准坦克设计!$B$23:$U$23,0)))*(VLOOKUP($B130,INDIRECT($B$5&amp;"生成成长"),3))*(VLOOKUP($B$5,标准坦克设计!$B$14:$K$20,9)/30))</f>
        <v>35.175869863910059</v>
      </c>
      <c r="CT130" s="173">
        <f ca="1">(VLOOKUP(CT$72,INDIRECT($C$5&amp;"生成成长"),2))/((VLOOKUP($B130,INDIRECT($B$5&amp;"生成成长"),4))/(VLOOKUP(CT$72,INDIRECT($C$5&amp;"生成成长"),5))*(VLOOKUP($B$5,标准坦克设计!$B$24:$U$30,MATCH("对"&amp;LEFT($C$5,2)&amp;"输出",标准坦克设计!$B$23:$U$23,0)))*(VLOOKUP($B130,INDIRECT($B$5&amp;"生成成长"),3))*(VLOOKUP($B$5,标准坦克设计!$B$14:$K$20,9)/30))</f>
        <v>37.923951333568077</v>
      </c>
      <c r="CU130" s="173">
        <f ca="1">(VLOOKUP(CU$72,INDIRECT($C$5&amp;"生成成长"),2))/((VLOOKUP($B130,INDIRECT($B$5&amp;"生成成长"),4))/(VLOOKUP(CU$72,INDIRECT($C$5&amp;"生成成长"),5))*(VLOOKUP($B$5,标准坦克设计!$B$24:$U$30,MATCH("对"&amp;LEFT($C$5,2)&amp;"输出",标准坦克设计!$B$23:$U$23,0)))*(VLOOKUP($B130,INDIRECT($B$5&amp;"生成成长"),3))*(VLOOKUP($B$5,标准坦克设计!$B$14:$K$20,9)/30))</f>
        <v>40.775379456785878</v>
      </c>
      <c r="CV130" s="173">
        <f ca="1">(VLOOKUP(CV$72,INDIRECT($C$5&amp;"生成成长"),2))/((VLOOKUP($B130,INDIRECT($B$5&amp;"生成成长"),4))/(VLOOKUP(CV$72,INDIRECT($C$5&amp;"生成成长"),5))*(VLOOKUP($B$5,标准坦克设计!$B$24:$U$30,MATCH("对"&amp;LEFT($C$5,2)&amp;"输出",标准坦克设计!$B$23:$U$23,0)))*(VLOOKUP($B130,INDIRECT($B$5&amp;"生成成长"),3))*(VLOOKUP($B$5,标准坦克设计!$B$14:$K$20,9)/30))</f>
        <v>43.730154233563489</v>
      </c>
      <c r="CW130" s="173">
        <f ca="1">(VLOOKUP(CW$72,INDIRECT($C$5&amp;"生成成长"),2))/((VLOOKUP($B130,INDIRECT($B$5&amp;"生成成长"),4))/(VLOOKUP(CW$72,INDIRECT($C$5&amp;"生成成长"),5))*(VLOOKUP($B$5,标准坦克设计!$B$24:$U$30,MATCH("对"&amp;LEFT($C$5,2)&amp;"输出",标准坦克设计!$B$23:$U$23,0)))*(VLOOKUP($B130,INDIRECT($B$5&amp;"生成成长"),3))*(VLOOKUP($B$5,标准坦克设计!$B$14:$K$20,9)/30))</f>
        <v>46.788275663900869</v>
      </c>
      <c r="CX130" s="173">
        <f ca="1">(VLOOKUP(CX$72,INDIRECT($C$5&amp;"生成成长"),2))/((VLOOKUP($B130,INDIRECT($B$5&amp;"生成成长"),4))/(VLOOKUP(CX$72,INDIRECT($C$5&amp;"生成成长"),5))*(VLOOKUP($B$5,标准坦克设计!$B$24:$U$30,MATCH("对"&amp;LEFT($C$5,2)&amp;"输出",标准坦克设计!$B$23:$U$23,0)))*(VLOOKUP($B130,INDIRECT($B$5&amp;"生成成长"),3))*(VLOOKUP($B$5,标准坦克设计!$B$14:$K$20,9)/30))</f>
        <v>49.949743747798045</v>
      </c>
      <c r="CY130" s="173">
        <f ca="1">(VLOOKUP(CY$72,INDIRECT($C$5&amp;"生成成长"),2))/((VLOOKUP($B130,INDIRECT($B$5&amp;"生成成长"),4))/(VLOOKUP(CY$72,INDIRECT($C$5&amp;"生成成长"),5))*(VLOOKUP($B$5,标准坦克设计!$B$24:$U$30,MATCH("对"&amp;LEFT($C$5,2)&amp;"输出",标准坦克设计!$B$23:$U$23,0)))*(VLOOKUP($B130,INDIRECT($B$5&amp;"生成成长"),3))*(VLOOKUP($B$5,标准坦克设计!$B$14:$K$20,9)/30))</f>
        <v>53.214558485255004</v>
      </c>
      <c r="CZ130" s="173">
        <f ca="1">(VLOOKUP(CZ$72,INDIRECT($C$5&amp;"生成成长"),2))/((VLOOKUP($B130,INDIRECT($B$5&amp;"生成成长"),4))/(VLOOKUP(CZ$72,INDIRECT($C$5&amp;"生成成长"),5))*(VLOOKUP($B$5,标准坦克设计!$B$24:$U$30,MATCH("对"&amp;LEFT($C$5,2)&amp;"输出",标准坦克设计!$B$23:$U$23,0)))*(VLOOKUP($B130,INDIRECT($B$5&amp;"生成成长"),3))*(VLOOKUP($B$5,标准坦克设计!$B$14:$K$20,9)/30))</f>
        <v>56.582719876271739</v>
      </c>
      <c r="DA130" s="173">
        <f ca="1">(VLOOKUP(DA$72,INDIRECT($C$5&amp;"生成成长"),2))/((VLOOKUP($B130,INDIRECT($B$5&amp;"生成成长"),4))/(VLOOKUP(DA$72,INDIRECT($C$5&amp;"生成成长"),5))*(VLOOKUP($B$5,标准坦克设计!$B$24:$U$30,MATCH("对"&amp;LEFT($C$5,2)&amp;"输出",标准坦克设计!$B$23:$U$23,0)))*(VLOOKUP($B130,INDIRECT($B$5&amp;"生成成长"),3))*(VLOOKUP($B$5,标准坦克设计!$B$14:$K$20,9)/30))</f>
        <v>60.054227920848284</v>
      </c>
      <c r="DB130" s="173">
        <f ca="1">(VLOOKUP(DB$72,INDIRECT($C$5&amp;"生成成长"),2))/((VLOOKUP($B130,INDIRECT($B$5&amp;"生成成长"),4))/(VLOOKUP(DB$72,INDIRECT($C$5&amp;"生成成长"),5))*(VLOOKUP($B$5,标准坦克设计!$B$24:$U$30,MATCH("对"&amp;LEFT($C$5,2)&amp;"输出",标准坦克设计!$B$23:$U$23,0)))*(VLOOKUP($B130,INDIRECT($B$5&amp;"生成成长"),3))*(VLOOKUP($B$5,标准坦克设计!$B$14:$K$20,9)/30))</f>
        <v>63.629082618984611</v>
      </c>
      <c r="DC130" s="173">
        <f ca="1">(VLOOKUP(DC$72,INDIRECT($C$5&amp;"生成成长"),2))/((VLOOKUP($B130,INDIRECT($B$5&amp;"生成成长"),4))/(VLOOKUP(DC$72,INDIRECT($C$5&amp;"生成成长"),5))*(VLOOKUP($B$5,标准坦克设计!$B$24:$U$30,MATCH("对"&amp;LEFT($C$5,2)&amp;"输出",标准坦克设计!$B$23:$U$23,0)))*(VLOOKUP($B130,INDIRECT($B$5&amp;"生成成长"),3))*(VLOOKUP($B$5,标准坦克设计!$B$14:$K$20,9)/30))</f>
        <v>67.646790539193262</v>
      </c>
      <c r="DD130" s="173">
        <f ca="1">(VLOOKUP(DD$72,INDIRECT($C$5&amp;"生成成长"),2))/((VLOOKUP($B130,INDIRECT($B$5&amp;"生成成长"),4))/(VLOOKUP(DD$72,INDIRECT($C$5&amp;"生成成长"),5))*(VLOOKUP($B$5,标准坦克设计!$B$24:$U$30,MATCH("对"&amp;LEFT($C$5,2)&amp;"输出",标准坦克设计!$B$23:$U$23,0)))*(VLOOKUP($B130,INDIRECT($B$5&amp;"生成成长"),3))*(VLOOKUP($B$5,标准坦克设计!$B$14:$K$20,9)/30))</f>
        <v>71.787489518183804</v>
      </c>
      <c r="DE130" s="173">
        <f ca="1">(VLOOKUP(DE$72,INDIRECT($C$5&amp;"生成成长"),2))/((VLOOKUP($B130,INDIRECT($B$5&amp;"生成成长"),4))/(VLOOKUP(DE$72,INDIRECT($C$5&amp;"生成成长"),5))*(VLOOKUP($B$5,标准坦克设计!$B$24:$U$30,MATCH("对"&amp;LEFT($C$5,2)&amp;"输出",标准坦克设计!$B$23:$U$23,0)))*(VLOOKUP($B130,INDIRECT($B$5&amp;"生成成长"),3))*(VLOOKUP($B$5,标准坦克设计!$B$14:$K$20,9)/30))</f>
        <v>76.051179555956224</v>
      </c>
      <c r="DF130" s="173">
        <f ca="1">(VLOOKUP(DF$72,INDIRECT($C$5&amp;"生成成长"),2))/((VLOOKUP($B130,INDIRECT($B$5&amp;"生成成长"),4))/(VLOOKUP(DF$72,INDIRECT($C$5&amp;"生成成长"),5))*(VLOOKUP($B$5,标准坦克设计!$B$24:$U$30,MATCH("对"&amp;LEFT($C$5,2)&amp;"输出",标准坦克设计!$B$23:$U$23,0)))*(VLOOKUP($B130,INDIRECT($B$5&amp;"生成成长"),3))*(VLOOKUP($B$5,标准坦克设计!$B$14:$K$20,9)/30))</f>
        <v>80.437860652510579</v>
      </c>
      <c r="DG130" s="173">
        <f ca="1">(VLOOKUP(DG$72,INDIRECT($C$5&amp;"生成成长"),2))/((VLOOKUP($B130,INDIRECT($B$5&amp;"生成成长"),4))/(VLOOKUP(DG$72,INDIRECT($C$5&amp;"生成成长"),5))*(VLOOKUP($B$5,标准坦克设计!$B$24:$U$30,MATCH("对"&amp;LEFT($C$5,2)&amp;"输出",标准坦克设计!$B$23:$U$23,0)))*(VLOOKUP($B130,INDIRECT($B$5&amp;"生成成长"),3))*(VLOOKUP($B$5,标准坦克设计!$B$14:$K$20,9)/30))</f>
        <v>84.947532807846812</v>
      </c>
      <c r="DH130" s="173">
        <f ca="1">(VLOOKUP(DH$72,INDIRECT($C$5&amp;"生成成长"),2))/((VLOOKUP($B130,INDIRECT($B$5&amp;"生成成长"),4))/(VLOOKUP(DH$72,INDIRECT($C$5&amp;"生成成长"),5))*(VLOOKUP($B$5,标准坦克设计!$B$24:$U$30,MATCH("对"&amp;LEFT($C$5,2)&amp;"输出",标准坦克设计!$B$23:$U$23,0)))*(VLOOKUP($B130,INDIRECT($B$5&amp;"生成成长"),3))*(VLOOKUP($B$5,标准坦克设计!$B$14:$K$20,9)/30))</f>
        <v>89.580196021964937</v>
      </c>
      <c r="DI130" s="173">
        <f ca="1">(VLOOKUP(DI$72,INDIRECT($C$5&amp;"生成成长"),2))/((VLOOKUP($B130,INDIRECT($B$5&amp;"生成成长"),4))/(VLOOKUP(DI$72,INDIRECT($C$5&amp;"生成成长"),5))*(VLOOKUP($B$5,标准坦克设计!$B$24:$U$30,MATCH("对"&amp;LEFT($C$5,2)&amp;"输出",标准坦克设计!$B$23:$U$23,0)))*(VLOOKUP($B130,INDIRECT($B$5&amp;"生成成长"),3))*(VLOOKUP($B$5,标准坦克设计!$B$14:$K$20,9)/30))</f>
        <v>94.335850294864969</v>
      </c>
      <c r="DJ130" s="173">
        <f ca="1">(VLOOKUP(DJ$72,INDIRECT($C$5&amp;"生成成长"),2))/((VLOOKUP($B130,INDIRECT($B$5&amp;"生成成长"),4))/(VLOOKUP(DJ$72,INDIRECT($C$5&amp;"生成成长"),5))*(VLOOKUP($B$5,标准坦克设计!$B$24:$U$30,MATCH("对"&amp;LEFT($C$5,2)&amp;"输出",标准坦克设计!$B$23:$U$23,0)))*(VLOOKUP($B130,INDIRECT($B$5&amp;"生成成长"),3))*(VLOOKUP($B$5,标准坦克设计!$B$14:$K$20,9)/30))</f>
        <v>9.4809878333920192</v>
      </c>
      <c r="DK130" s="173">
        <f ca="1">(VLOOKUP(DK$72,INDIRECT($C$5&amp;"生成成长"),2))/((VLOOKUP($B130,INDIRECT($B$5&amp;"生成成长"),4))/(VLOOKUP(DK$72,INDIRECT($C$5&amp;"生成成长"),5))*(VLOOKUP($B$5,标准坦克设计!$B$24:$U$30,MATCH("对"&amp;LEFT($C$5,2)&amp;"输出",标准坦克设计!$B$23:$U$23,0)))*(VLOOKUP($B130,INDIRECT($B$5&amp;"生成成长"),3))*(VLOOKUP($B$5,标准坦克设计!$B$14:$K$20,9)/30))</f>
        <v>10.660933303580848</v>
      </c>
      <c r="DL130" s="173">
        <f ca="1">(VLOOKUP(DL$72,INDIRECT($C$5&amp;"生成成长"),2))/((VLOOKUP($B130,INDIRECT($B$5&amp;"生成成长"),4))/(VLOOKUP(DL$72,INDIRECT($C$5&amp;"生成成长"),5))*(VLOOKUP($B$5,标准坦克设计!$B$24:$U$30,MATCH("对"&amp;LEFT($C$5,2)&amp;"输出",标准坦克设计!$B$23:$U$23,0)))*(VLOOKUP($B130,INDIRECT($B$5&amp;"生成成长"),3))*(VLOOKUP($B$5,标准坦克设计!$B$14:$K$20,9)/30))</f>
        <v>11.910061244334493</v>
      </c>
      <c r="DM130" s="173">
        <f ca="1">(VLOOKUP(DM$72,INDIRECT($C$5&amp;"生成成长"),2))/((VLOOKUP($B130,INDIRECT($B$5&amp;"生成成长"),4))/(VLOOKUP(DM$72,INDIRECT($C$5&amp;"生成成长"),5))*(VLOOKUP($B$5,标准坦克设计!$B$24:$U$30,MATCH("对"&amp;LEFT($C$5,2)&amp;"输出",标准坦克设计!$B$23:$U$23,0)))*(VLOOKUP($B130,INDIRECT($B$5&amp;"生成成长"),3))*(VLOOKUP($B$5,标准坦克设计!$B$14:$K$20,9)/30))</f>
        <v>13.228371655652953</v>
      </c>
      <c r="DN130" s="173">
        <f ca="1">(VLOOKUP(DN$72,INDIRECT($C$5&amp;"生成成长"),2))/((VLOOKUP($B130,INDIRECT($B$5&amp;"生成成长"),4))/(VLOOKUP(DN$72,INDIRECT($C$5&amp;"生成成长"),5))*(VLOOKUP($B$5,标准坦克设计!$B$24:$U$30,MATCH("对"&amp;LEFT($C$5,2)&amp;"输出",标准坦克设计!$B$23:$U$23,0)))*(VLOOKUP($B130,INDIRECT($B$5&amp;"生成成长"),3))*(VLOOKUP($B$5,标准坦克设计!$B$14:$K$20,9)/30))</f>
        <v>14.615864537536231</v>
      </c>
      <c r="DO130" s="173">
        <f ca="1">(VLOOKUP(DO$72,INDIRECT($C$5&amp;"生成成长"),2))/((VLOOKUP($B130,INDIRECT($B$5&amp;"生成成长"),4))/(VLOOKUP(DO$72,INDIRECT($C$5&amp;"生成成长"),5))*(VLOOKUP($B$5,标准坦克设计!$B$24:$U$30,MATCH("对"&amp;LEFT($C$5,2)&amp;"输出",标准坦克设计!$B$23:$U$23,0)))*(VLOOKUP($B130,INDIRECT($B$5&amp;"生成成长"),3))*(VLOOKUP($B$5,标准坦克设计!$B$14:$K$20,9)/30))</f>
        <v>16.072539889984327</v>
      </c>
      <c r="DP130" s="173">
        <f ca="1">(VLOOKUP(DP$72,INDIRECT($C$5&amp;"生成成长"),2))/((VLOOKUP($B130,INDIRECT($B$5&amp;"生成成长"),4))/(VLOOKUP(DP$72,INDIRECT($C$5&amp;"生成成长"),5))*(VLOOKUP($B$5,标准坦克设计!$B$24:$U$30,MATCH("对"&amp;LEFT($C$5,2)&amp;"输出",标准坦克设计!$B$23:$U$23,0)))*(VLOOKUP($B130,INDIRECT($B$5&amp;"生成成长"),3))*(VLOOKUP($B$5,标准坦克设计!$B$14:$K$20,9)/30))</f>
        <v>17.59839771299724</v>
      </c>
      <c r="DQ130" s="173">
        <f ca="1">(VLOOKUP(DQ$72,INDIRECT($C$5&amp;"生成成长"),2))/((VLOOKUP($B130,INDIRECT($B$5&amp;"生成成长"),4))/(VLOOKUP(DQ$72,INDIRECT($C$5&amp;"生成成长"),5))*(VLOOKUP($B$5,标准坦克设计!$B$24:$U$30,MATCH("对"&amp;LEFT($C$5,2)&amp;"输出",标准坦克设计!$B$23:$U$23,0)))*(VLOOKUP($B130,INDIRECT($B$5&amp;"生成成长"),3))*(VLOOKUP($B$5,标准坦克设计!$B$14:$K$20,9)/30))</f>
        <v>19.193438006574976</v>
      </c>
      <c r="DR130" s="173">
        <f ca="1">(VLOOKUP(DR$72,INDIRECT($C$5&amp;"生成成长"),2))/((VLOOKUP($B130,INDIRECT($B$5&amp;"生成成长"),4))/(VLOOKUP(DR$72,INDIRECT($C$5&amp;"生成成长"),5))*(VLOOKUP($B$5,标准坦克设计!$B$24:$U$30,MATCH("对"&amp;LEFT($C$5,2)&amp;"输出",标准坦克设计!$B$23:$U$23,0)))*(VLOOKUP($B130,INDIRECT($B$5&amp;"生成成长"),3))*(VLOOKUP($B$5,标准坦克设计!$B$14:$K$20,9)/30))</f>
        <v>20.857660770717523</v>
      </c>
      <c r="DS130" s="173">
        <f ca="1">(VLOOKUP(DS$72,INDIRECT($C$5&amp;"生成成长"),2))/((VLOOKUP($B130,INDIRECT($B$5&amp;"生成成长"),4))/(VLOOKUP(DS$72,INDIRECT($C$5&amp;"生成成长"),5))*(VLOOKUP($B$5,标准坦克设计!$B$24:$U$30,MATCH("对"&amp;LEFT($C$5,2)&amp;"输出",标准坦克设计!$B$23:$U$23,0)))*(VLOOKUP($B130,INDIRECT($B$5&amp;"生成成长"),3))*(VLOOKUP($B$5,标准坦克设计!$B$14:$K$20,9)/30))</f>
        <v>22.591066005424889</v>
      </c>
      <c r="DT130" s="173">
        <f ca="1">(VLOOKUP(DT$72,INDIRECT($C$5&amp;"生成成长"),2))/((VLOOKUP($B130,INDIRECT($B$5&amp;"生成成长"),4))/(VLOOKUP(DT$72,INDIRECT($C$5&amp;"生成成长"),5))*(VLOOKUP($B$5,标准坦克设计!$B$24:$U$30,MATCH("对"&amp;LEFT($C$5,2)&amp;"输出",标准坦克设计!$B$23:$U$23,0)))*(VLOOKUP($B130,INDIRECT($B$5&amp;"生成成长"),3))*(VLOOKUP($B$5,标准坦克设计!$B$14:$K$20,9)/30))</f>
        <v>24.803623906636727</v>
      </c>
      <c r="DU130" s="173">
        <f ca="1">(VLOOKUP(DU$72,INDIRECT($C$5&amp;"生成成长"),2))/((VLOOKUP($B130,INDIRECT($B$5&amp;"生成成长"),4))/(VLOOKUP(DU$72,INDIRECT($C$5&amp;"生成成长"),5))*(VLOOKUP($B$5,标准坦克设计!$B$24:$U$30,MATCH("对"&amp;LEFT($C$5,2)&amp;"输出",标准坦克设计!$B$23:$U$23,0)))*(VLOOKUP($B130,INDIRECT($B$5&amp;"生成成长"),3))*(VLOOKUP($B$5,标准坦克设计!$B$14:$K$20,9)/30))</f>
        <v>27.119528461408354</v>
      </c>
      <c r="DV130" s="173">
        <f ca="1">(VLOOKUP(DV$72,INDIRECT($C$5&amp;"生成成长"),2))/((VLOOKUP($B130,INDIRECT($B$5&amp;"生成成长"),4))/(VLOOKUP(DV$72,INDIRECT($C$5&amp;"生成成长"),5))*(VLOOKUP($B$5,标准坦克设计!$B$24:$U$30,MATCH("对"&amp;LEFT($C$5,2)&amp;"输出",标准坦克设计!$B$23:$U$23,0)))*(VLOOKUP($B130,INDIRECT($B$5&amp;"生成成长"),3))*(VLOOKUP($B$5,标准坦克设计!$B$14:$K$20,9)/30))</f>
        <v>29.538779669739771</v>
      </c>
      <c r="DW130" s="173">
        <f ca="1">(VLOOKUP(DW$72,INDIRECT($C$5&amp;"生成成长"),2))/((VLOOKUP($B130,INDIRECT($B$5&amp;"生成成长"),4))/(VLOOKUP(DW$72,INDIRECT($C$5&amp;"生成成长"),5))*(VLOOKUP($B$5,标准坦克设计!$B$24:$U$30,MATCH("对"&amp;LEFT($C$5,2)&amp;"输出",标准坦克设计!$B$23:$U$23,0)))*(VLOOKUP($B130,INDIRECT($B$5&amp;"生成成长"),3))*(VLOOKUP($B$5,标准坦克设计!$B$14:$K$20,9)/30))</f>
        <v>32.061377531630974</v>
      </c>
      <c r="DX130" s="173">
        <f ca="1">(VLOOKUP(DX$72,INDIRECT($C$5&amp;"生成成长"),2))/((VLOOKUP($B130,INDIRECT($B$5&amp;"生成成长"),4))/(VLOOKUP(DX$72,INDIRECT($C$5&amp;"生成成长"),5))*(VLOOKUP($B$5,标准坦克设计!$B$24:$U$30,MATCH("对"&amp;LEFT($C$5,2)&amp;"输出",标准坦克设计!$B$23:$U$23,0)))*(VLOOKUP($B130,INDIRECT($B$5&amp;"生成成长"),3))*(VLOOKUP($B$5,标准坦克设计!$B$14:$K$20,9)/30))</f>
        <v>34.687322047081963</v>
      </c>
      <c r="DY130" s="173">
        <f ca="1">(VLOOKUP(DY$72,INDIRECT($C$5&amp;"生成成长"),2))/((VLOOKUP($B130,INDIRECT($B$5&amp;"生成成长"),4))/(VLOOKUP(DY$72,INDIRECT($C$5&amp;"生成成长"),5))*(VLOOKUP($B$5,标准坦克设计!$B$24:$U$30,MATCH("对"&amp;LEFT($C$5,2)&amp;"输出",标准坦克设计!$B$23:$U$23,0)))*(VLOOKUP($B130,INDIRECT($B$5&amp;"生成成长"),3))*(VLOOKUP($B$5,标准坦克设计!$B$14:$K$20,9)/30))</f>
        <v>15.579294497994429</v>
      </c>
      <c r="DZ130" s="173">
        <f ca="1">(VLOOKUP(DZ$72,INDIRECT($C$5&amp;"生成成长"),2))/((VLOOKUP($B130,INDIRECT($B$5&amp;"生成成长"),4))/(VLOOKUP(DZ$72,INDIRECT($C$5&amp;"生成成长"),5))*(VLOOKUP($B$5,标准坦克设计!$B$24:$U$30,MATCH("对"&amp;LEFT($C$5,2)&amp;"输出",标准坦克设计!$B$23:$U$23,0)))*(VLOOKUP($B130,INDIRECT($B$5&amp;"生成成长"),3))*(VLOOKUP($B$5,标准坦克设计!$B$14:$K$20,9)/30))</f>
        <v>17.253339464748031</v>
      </c>
      <c r="EA130" s="173">
        <f ca="1">(VLOOKUP(EA$72,INDIRECT($C$5&amp;"生成成长"),2))/((VLOOKUP($B130,INDIRECT($B$5&amp;"生成成长"),4))/(VLOOKUP(EA$72,INDIRECT($C$5&amp;"生成成长"),5))*(VLOOKUP($B$5,标准坦克设计!$B$24:$U$30,MATCH("对"&amp;LEFT($C$5,2)&amp;"输出",标准坦克设计!$B$23:$U$23,0)))*(VLOOKUP($B130,INDIRECT($B$5&amp;"生成成长"),3))*(VLOOKUP($B$5,标准坦克设计!$B$14:$K$20,9)/30))</f>
        <v>19.012794888989056</v>
      </c>
      <c r="EB130" s="173">
        <f ca="1">(VLOOKUP(EB$72,INDIRECT($C$5&amp;"生成成长"),2))/((VLOOKUP($B130,INDIRECT($B$5&amp;"生成成长"),4))/(VLOOKUP(EB$72,INDIRECT($C$5&amp;"生成成长"),5))*(VLOOKUP($B$5,标准坦克设计!$B$24:$U$30,MATCH("对"&amp;LEFT($C$5,2)&amp;"输出",标准坦克设计!$B$23:$U$23,0)))*(VLOOKUP($B130,INDIRECT($B$5&amp;"生成成长"),3))*(VLOOKUP($B$5,标准坦克设计!$B$14:$K$20,9)/30))</f>
        <v>20.857660770717523</v>
      </c>
      <c r="EC130" s="173">
        <f ca="1">(VLOOKUP(EC$72,INDIRECT($C$5&amp;"生成成长"),2))/((VLOOKUP($B130,INDIRECT($B$5&amp;"生成成长"),4))/(VLOOKUP(EC$72,INDIRECT($C$5&amp;"生成成长"),5))*(VLOOKUP($B$5,标准坦克设计!$B$24:$U$30,MATCH("对"&amp;LEFT($C$5,2)&amp;"输出",标准坦克设计!$B$23:$U$23,0)))*(VLOOKUP($B130,INDIRECT($B$5&amp;"生成成长"),3))*(VLOOKUP($B$5,标准坦克设计!$B$14:$K$20,9)/30))</f>
        <v>22.787937109933406</v>
      </c>
      <c r="ED130" s="173">
        <f ca="1">(VLOOKUP(ED$72,INDIRECT($C$5&amp;"生成成长"),2))/((VLOOKUP($B130,INDIRECT($B$5&amp;"生成成长"),4))/(VLOOKUP(ED$72,INDIRECT($C$5&amp;"生成成长"),5))*(VLOOKUP($B$5,标准坦克设计!$B$24:$U$30,MATCH("对"&amp;LEFT($C$5,2)&amp;"输出",标准坦克设计!$B$23:$U$23,0)))*(VLOOKUP($B130,INDIRECT($B$5&amp;"生成成长"),3))*(VLOOKUP($B$5,标准坦克设计!$B$14:$K$20,9)/30))</f>
        <v>24.803623906636727</v>
      </c>
      <c r="EE130" s="173">
        <f ca="1">(VLOOKUP(EE$72,INDIRECT($C$5&amp;"生成成长"),2))/((VLOOKUP($B130,INDIRECT($B$5&amp;"生成成长"),4))/(VLOOKUP(EE$72,INDIRECT($C$5&amp;"生成成长"),5))*(VLOOKUP($B$5,标准坦克设计!$B$24:$U$30,MATCH("对"&amp;LEFT($C$5,2)&amp;"输出",标准坦克设计!$B$23:$U$23,0)))*(VLOOKUP($B130,INDIRECT($B$5&amp;"生成成长"),3))*(VLOOKUP($B$5,标准坦克设计!$B$14:$K$20,9)/30))</f>
        <v>26.904721160827467</v>
      </c>
      <c r="EF130" s="173">
        <f ca="1">(VLOOKUP(EF$72,INDIRECT($C$5&amp;"生成成长"),2))/((VLOOKUP($B130,INDIRECT($B$5&amp;"生成成长"),4))/(VLOOKUP(EF$72,INDIRECT($C$5&amp;"生成成长"),5))*(VLOOKUP($B$5,标准坦克设计!$B$24:$U$30,MATCH("对"&amp;LEFT($C$5,2)&amp;"输出",标准坦克设计!$B$23:$U$23,0)))*(VLOOKUP($B130,INDIRECT($B$5&amp;"生成成长"),3))*(VLOOKUP($B$5,标准坦克设计!$B$14:$K$20,9)/30))</f>
        <v>29.091228872505646</v>
      </c>
      <c r="EG130" s="173">
        <f ca="1">(VLOOKUP(EG$72,INDIRECT($C$5&amp;"生成成长"),2))/((VLOOKUP($B130,INDIRECT($B$5&amp;"生成成长"),4))/(VLOOKUP(EG$72,INDIRECT($C$5&amp;"生成成长"),5))*(VLOOKUP($B$5,标准坦克设计!$B$24:$U$30,MATCH("对"&amp;LEFT($C$5,2)&amp;"输出",标准坦克设计!$B$23:$U$23,0)))*(VLOOKUP($B130,INDIRECT($B$5&amp;"生成成长"),3))*(VLOOKUP($B$5,标准坦克设计!$B$14:$K$20,9)/30))</f>
        <v>31.363147041671251</v>
      </c>
      <c r="EH130" s="173">
        <f ca="1">(VLOOKUP(EH$72,INDIRECT($C$5&amp;"生成成长"),2))/((VLOOKUP($B130,INDIRECT($B$5&amp;"生成成长"),4))/(VLOOKUP(EH$72,INDIRECT($C$5&amp;"生成成长"),5))*(VLOOKUP($B$5,标准坦克设计!$B$24:$U$30,MATCH("对"&amp;LEFT($C$5,2)&amp;"输出",标准坦克设计!$B$23:$U$23,0)))*(VLOOKUP($B130,INDIRECT($B$5&amp;"生成成长"),3))*(VLOOKUP($B$5,标准坦克设计!$B$14:$K$20,9)/30))</f>
        <v>33.720475668324276</v>
      </c>
      <c r="EI130" s="173">
        <f ca="1">(VLOOKUP(EI$72,INDIRECT($C$5&amp;"生成成长"),2))/((VLOOKUP($B130,INDIRECT($B$5&amp;"生成成长"),4))/(VLOOKUP(EI$72,INDIRECT($C$5&amp;"生成成长"),5))*(VLOOKUP($B$5,标准坦克设计!$B$24:$U$30,MATCH("对"&amp;LEFT($C$5,2)&amp;"输出",标准坦克设计!$B$23:$U$23,0)))*(VLOOKUP($B130,INDIRECT($B$5&amp;"生成成长"),3))*(VLOOKUP($B$5,标准坦克设计!$B$14:$K$20,9)/30))</f>
        <v>36.163214752464732</v>
      </c>
      <c r="EJ130" s="173">
        <f ca="1">(VLOOKUP(EJ$72,INDIRECT($C$5&amp;"生成成长"),2))/((VLOOKUP($B130,INDIRECT($B$5&amp;"生成成长"),4))/(VLOOKUP(EJ$72,INDIRECT($C$5&amp;"生成成长"),5))*(VLOOKUP($B$5,标准坦克设计!$B$24:$U$30,MATCH("对"&amp;LEFT($C$5,2)&amp;"输出",标准坦克设计!$B$23:$U$23,0)))*(VLOOKUP($B130,INDIRECT($B$5&amp;"生成成长"),3))*(VLOOKUP($B$5,标准坦克设计!$B$14:$K$20,9)/30))</f>
        <v>38.691364294092622</v>
      </c>
      <c r="EK130" s="173">
        <f ca="1">(VLOOKUP(EK$72,INDIRECT($C$5&amp;"生成成长"),2))/((VLOOKUP($B130,INDIRECT($B$5&amp;"生成成长"),4))/(VLOOKUP(EK$72,INDIRECT($C$5&amp;"生成成长"),5))*(VLOOKUP($B$5,标准坦克设计!$B$24:$U$30,MATCH("对"&amp;LEFT($C$5,2)&amp;"输出",标准坦克设计!$B$23:$U$23,0)))*(VLOOKUP($B130,INDIRECT($B$5&amp;"生成成长"),3))*(VLOOKUP($B$5,标准坦克设计!$B$14:$K$20,9)/30))</f>
        <v>41.837885547929503</v>
      </c>
      <c r="EL130" s="173">
        <f ca="1">(VLOOKUP(EL$72,INDIRECT($C$5&amp;"生成成长"),2))/((VLOOKUP($B130,INDIRECT($B$5&amp;"生成成长"),4))/(VLOOKUP(EL$72,INDIRECT($C$5&amp;"生成成长"),5))*(VLOOKUP($B$5,标准坦克设计!$B$24:$U$30,MATCH("对"&amp;LEFT($C$5,2)&amp;"输出",标准坦克设计!$B$23:$U$23,0)))*(VLOOKUP($B130,INDIRECT($B$5&amp;"生成成长"),3))*(VLOOKUP($B$5,标准坦克设计!$B$14:$K$20,9)/30))</f>
        <v>45.107397860548275</v>
      </c>
      <c r="EM130" s="173">
        <f ca="1">(VLOOKUP(EM$72,INDIRECT($C$5&amp;"生成成长"),2))/((VLOOKUP($B130,INDIRECT($B$5&amp;"生成成长"),4))/(VLOOKUP(EM$72,INDIRECT($C$5&amp;"生成成长"),5))*(VLOOKUP($B$5,标准坦克设计!$B$24:$U$30,MATCH("对"&amp;LEFT($C$5,2)&amp;"输出",标准坦克设计!$B$23:$U$23,0)))*(VLOOKUP($B130,INDIRECT($B$5&amp;"生成成长"),3))*(VLOOKUP($B$5,标准坦克设计!$B$14:$K$20,9)/30))</f>
        <v>48.499901231948925</v>
      </c>
      <c r="EN130" s="173">
        <f ca="1">(VLOOKUP(EN$72,INDIRECT($C$5&amp;"生成成长"),2))/((VLOOKUP($B130,INDIRECT($B$5&amp;"生成成长"),4))/(VLOOKUP(EN$72,INDIRECT($C$5&amp;"生成成长"),5))*(VLOOKUP($B$5,标准坦克设计!$B$24:$U$30,MATCH("对"&amp;LEFT($C$5,2)&amp;"输出",标准坦克设计!$B$23:$U$23,0)))*(VLOOKUP($B130,INDIRECT($B$5&amp;"生成成长"),3))*(VLOOKUP($B$5,标准坦克设计!$B$14:$K$20,9)/30))</f>
        <v>52.015395662131503</v>
      </c>
      <c r="EO130" s="173">
        <f ca="1">(VLOOKUP(EO$72,INDIRECT($C$5&amp;"生成成长"),2))/((VLOOKUP($B130,INDIRECT($B$5&amp;"生成成长"),4))/(VLOOKUP(EO$72,INDIRECT($C$5&amp;"生成成长"),5))*(VLOOKUP($B$5,标准坦克设计!$B$24:$U$30,MATCH("对"&amp;LEFT($C$5,2)&amp;"输出",标准坦克设计!$B$23:$U$23,0)))*(VLOOKUP($B130,INDIRECT($B$5&amp;"生成成长"),3))*(VLOOKUP($B$5,标准坦克设计!$B$14:$K$20,9)/30))</f>
        <v>55.653881151095966</v>
      </c>
      <c r="EP130" s="173">
        <f ca="1">(VLOOKUP(EP$72,INDIRECT($C$5&amp;"生成成长"),2))/((VLOOKUP($B130,INDIRECT($B$5&amp;"生成成长"),4))/(VLOOKUP(EP$72,INDIRECT($C$5&amp;"生成成长"),5))*(VLOOKUP($B$5,标准坦克设计!$B$24:$U$30,MATCH("对"&amp;LEFT($C$5,2)&amp;"输出",标准坦克设计!$B$23:$U$23,0)))*(VLOOKUP($B130,INDIRECT($B$5&amp;"生成成长"),3))*(VLOOKUP($B$5,标准坦克设计!$B$14:$K$20,9)/30))</f>
        <v>59.415357698842314</v>
      </c>
      <c r="EQ130" s="173">
        <f ca="1">(VLOOKUP(EQ$72,INDIRECT($C$5&amp;"生成成长"),2))/((VLOOKUP($B130,INDIRECT($B$5&amp;"生成成长"),4))/(VLOOKUP(EQ$72,INDIRECT($C$5&amp;"生成成长"),5))*(VLOOKUP($B$5,标准坦克设计!$B$24:$U$30,MATCH("对"&amp;LEFT($C$5,2)&amp;"输出",标准坦克设计!$B$23:$U$23,0)))*(VLOOKUP($B130,INDIRECT($B$5&amp;"生成成长"),3))*(VLOOKUP($B$5,标准坦克设计!$B$14:$K$20,9)/30))</f>
        <v>26.265423886534069</v>
      </c>
      <c r="ER130" s="173">
        <f ca="1">(VLOOKUP(ER$72,INDIRECT($C$5&amp;"生成成长"),2))/((VLOOKUP($B130,INDIRECT($B$5&amp;"生成成长"),4))/(VLOOKUP(ER$72,INDIRECT($C$5&amp;"生成成长"),5))*(VLOOKUP($B$5,标准坦克设计!$B$24:$U$30,MATCH("对"&amp;LEFT($C$5,2)&amp;"输出",标准坦克设计!$B$23:$U$23,0)))*(VLOOKUP($B130,INDIRECT($B$5&amp;"生成成长"),3))*(VLOOKUP($B$5,标准坦克设计!$B$14:$K$20,9)/30))</f>
        <v>28.647094493571011</v>
      </c>
      <c r="ES130" s="173">
        <f ca="1">(VLOOKUP(ES$72,INDIRECT($C$5&amp;"生成成长"),2))/((VLOOKUP($B130,INDIRECT($B$5&amp;"生成成长"),4))/(VLOOKUP(ES$72,INDIRECT($C$5&amp;"生成成长"),5))*(VLOOKUP($B$5,标准坦克设计!$B$24:$U$30,MATCH("对"&amp;LEFT($C$5,2)&amp;"输出",标准坦克设计!$B$23:$U$23,0)))*(VLOOKUP($B130,INDIRECT($B$5&amp;"生成成长"),3))*(VLOOKUP($B$5,标准坦克设计!$B$14:$K$20,9)/30))</f>
        <v>31.132111754167745</v>
      </c>
      <c r="ET130" s="173">
        <f ca="1">(VLOOKUP(ET$72,INDIRECT($C$5&amp;"生成成长"),2))/((VLOOKUP($B130,INDIRECT($B$5&amp;"生成成长"),4))/(VLOOKUP(ET$72,INDIRECT($C$5&amp;"生成成长"),5))*(VLOOKUP($B$5,标准坦克设计!$B$24:$U$30,MATCH("对"&amp;LEFT($C$5,2)&amp;"输出",标准坦克设计!$B$23:$U$23,0)))*(VLOOKUP($B130,INDIRECT($B$5&amp;"生成成长"),3))*(VLOOKUP($B$5,标准坦克设计!$B$14:$K$20,9)/30))</f>
        <v>33.720475668324276</v>
      </c>
      <c r="EU130" s="173">
        <f ca="1">(VLOOKUP(EU$72,INDIRECT($C$5&amp;"生成成长"),2))/((VLOOKUP($B130,INDIRECT($B$5&amp;"生成成长"),4))/(VLOOKUP(EU$72,INDIRECT($C$5&amp;"生成成长"),5))*(VLOOKUP($B$5,标准坦克设计!$B$24:$U$30,MATCH("对"&amp;LEFT($C$5,2)&amp;"输出",标准坦克设计!$B$23:$U$23,0)))*(VLOOKUP($B130,INDIRECT($B$5&amp;"生成成长"),3))*(VLOOKUP($B$5,标准坦克设计!$B$14:$K$20,9)/30))</f>
        <v>36.41218623604059</v>
      </c>
      <c r="EV130" s="173">
        <f ca="1">(VLOOKUP(EV$72,INDIRECT($C$5&amp;"生成成长"),2))/((VLOOKUP($B130,INDIRECT($B$5&amp;"生成成长"),4))/(VLOOKUP(EV$72,INDIRECT($C$5&amp;"生成成长"),5))*(VLOOKUP($B$5,标准坦克设计!$B$24:$U$30,MATCH("对"&amp;LEFT($C$5,2)&amp;"输出",标准坦克设计!$B$23:$U$23,0)))*(VLOOKUP($B130,INDIRECT($B$5&amp;"生成成长"),3))*(VLOOKUP($B$5,标准坦克设计!$B$14:$K$20,9)/30))</f>
        <v>39.2072434573167</v>
      </c>
      <c r="EW130" s="173">
        <f ca="1">(VLOOKUP(EW$72,INDIRECT($C$5&amp;"生成成长"),2))/((VLOOKUP($B130,INDIRECT($B$5&amp;"生成成长"),4))/(VLOOKUP(EW$72,INDIRECT($C$5&amp;"生成成长"),5))*(VLOOKUP($B$5,标准坦克设计!$B$24:$U$30,MATCH("对"&amp;LEFT($C$5,2)&amp;"输出",标准坦克设计!$B$23:$U$23,0)))*(VLOOKUP($B130,INDIRECT($B$5&amp;"生成成长"),3))*(VLOOKUP($B$5,标准坦克设计!$B$14:$K$20,9)/30))</f>
        <v>42.105647332152586</v>
      </c>
      <c r="EX130" s="173">
        <f ca="1">(VLOOKUP(EX$72,INDIRECT($C$5&amp;"生成成长"),2))/((VLOOKUP($B130,INDIRECT($B$5&amp;"生成成长"),4))/(VLOOKUP(EX$72,INDIRECT($C$5&amp;"生成成长"),5))*(VLOOKUP($B$5,标准坦克设计!$B$24:$U$30,MATCH("对"&amp;LEFT($C$5,2)&amp;"输出",标准坦克设计!$B$23:$U$23,0)))*(VLOOKUP($B130,INDIRECT($B$5&amp;"生成成长"),3))*(VLOOKUP($B$5,标准坦克设计!$B$14:$K$20,9)/30))</f>
        <v>45.107397860548275</v>
      </c>
      <c r="EY130" s="173">
        <f ca="1">(VLOOKUP(EY$72,INDIRECT($C$5&amp;"生成成长"),2))/((VLOOKUP($B130,INDIRECT($B$5&amp;"生成成长"),4))/(VLOOKUP(EY$72,INDIRECT($C$5&amp;"生成成长"),5))*(VLOOKUP($B$5,标准坦克设计!$B$24:$U$30,MATCH("对"&amp;LEFT($C$5,2)&amp;"输出",标准坦克设计!$B$23:$U$23,0)))*(VLOOKUP($B130,INDIRECT($B$5&amp;"生成成长"),3))*(VLOOKUP($B$5,标准坦克设计!$B$14:$K$20,9)/30))</f>
        <v>48.21249504250374</v>
      </c>
      <c r="EZ130" s="173">
        <f ca="1">(VLOOKUP(EZ$72,INDIRECT($C$5&amp;"生成成长"),2))/((VLOOKUP($B130,INDIRECT($B$5&amp;"生成成长"),4))/(VLOOKUP(EZ$72,INDIRECT($C$5&amp;"生成成长"),5))*(VLOOKUP($B$5,标准坦克设计!$B$24:$U$30,MATCH("对"&amp;LEFT($C$5,2)&amp;"输出",标准坦克设计!$B$23:$U$23,0)))*(VLOOKUP($B130,INDIRECT($B$5&amp;"生成成长"),3))*(VLOOKUP($B$5,标准坦克设计!$B$14:$K$20,9)/30))</f>
        <v>51.420938878019001</v>
      </c>
      <c r="FA130" s="173">
        <f ca="1">(VLOOKUP(FA$72,INDIRECT($C$5&amp;"生成成长"),2))/((VLOOKUP($B130,INDIRECT($B$5&amp;"生成成长"),4))/(VLOOKUP(FA$72,INDIRECT($C$5&amp;"生成成长"),5))*(VLOOKUP($B$5,标准坦克设计!$B$24:$U$30,MATCH("对"&amp;LEFT($C$5,2)&amp;"输出",标准坦克设计!$B$23:$U$23,0)))*(VLOOKUP($B130,INDIRECT($B$5&amp;"生成成长"),3))*(VLOOKUP($B$5,标准坦克设计!$B$14:$K$20,9)/30))</f>
        <v>54.732729367094045</v>
      </c>
      <c r="FB130" s="173">
        <f ca="1">(VLOOKUP(FB$72,INDIRECT($C$5&amp;"生成成长"),2))/((VLOOKUP($B130,INDIRECT($B$5&amp;"生成成长"),4))/(VLOOKUP(FB$72,INDIRECT($C$5&amp;"生成成长"),5))*(VLOOKUP($B$5,标准坦克设计!$B$24:$U$30,MATCH("对"&amp;LEFT($C$5,2)&amp;"输出",标准坦克设计!$B$23:$U$23,0)))*(VLOOKUP($B130,INDIRECT($B$5&amp;"生成成长"),3))*(VLOOKUP($B$5,标准坦克设计!$B$14:$K$20,9)/30))</f>
        <v>58.147866509728878</v>
      </c>
      <c r="FC130" s="173">
        <f ca="1">(VLOOKUP(FC$72,INDIRECT($C$5&amp;"生成成长"),2))/((VLOOKUP($B130,INDIRECT($B$5&amp;"生成成长"),4))/(VLOOKUP(FC$72,INDIRECT($C$5&amp;"生成成长"),5))*(VLOOKUP($B$5,标准坦克设计!$B$24:$U$30,MATCH("对"&amp;LEFT($C$5,2)&amp;"输出",标准坦克设计!$B$23:$U$23,0)))*(VLOOKUP($B130,INDIRECT($B$5&amp;"生成成长"),3))*(VLOOKUP($B$5,标准坦克设计!$B$14:$K$20,9)/30))</f>
        <v>61.666350305923508</v>
      </c>
      <c r="FD130" s="173">
        <f ca="1">(VLOOKUP(FD$72,INDIRECT($C$5&amp;"生成成长"),2))/((VLOOKUP($B130,INDIRECT($B$5&amp;"生成成长"),4))/(VLOOKUP(FD$72,INDIRECT($C$5&amp;"生成成长"),5))*(VLOOKUP($B$5,标准坦克设计!$B$24:$U$30,MATCH("对"&amp;LEFT($C$5,2)&amp;"输出",标准坦克设计!$B$23:$U$23,0)))*(VLOOKUP($B130,INDIRECT($B$5&amp;"生成成长"),3))*(VLOOKUP($B$5,标准坦克设计!$B$14:$K$20,9)/30))</f>
        <v>65.288180755677914</v>
      </c>
      <c r="FE130" s="173">
        <f ca="1">(VLOOKUP(FE$72,INDIRECT($C$5&amp;"生成成长"),2))/((VLOOKUP($B130,INDIRECT($B$5&amp;"生成成长"),4))/(VLOOKUP(FE$72,INDIRECT($C$5&amp;"生成成长"),5))*(VLOOKUP($B$5,标准坦克设计!$B$24:$U$30,MATCH("对"&amp;LEFT($C$5,2)&amp;"输出",标准坦克设计!$B$23:$U$23,0)))*(VLOOKUP($B130,INDIRECT($B$5&amp;"生成成长"),3))*(VLOOKUP($B$5,标准坦克设计!$B$14:$K$20,9)/30))</f>
        <v>69.701766146340802</v>
      </c>
      <c r="FF130" s="173">
        <f ca="1">(VLOOKUP(FF$72,INDIRECT($C$5&amp;"生成成长"),2))/((VLOOKUP($B130,INDIRECT($B$5&amp;"生成成长"),4))/(VLOOKUP(FF$72,INDIRECT($C$5&amp;"生成成长"),5))*(VLOOKUP($B$5,标准坦克设计!$B$24:$U$30,MATCH("对"&amp;LEFT($C$5,2)&amp;"输出",标准坦克设计!$B$23:$U$23,0)))*(VLOOKUP($B130,INDIRECT($B$5&amp;"生成成长"),3))*(VLOOKUP($B$5,标准坦克设计!$B$14:$K$20,9)/30))</f>
        <v>74.259695210157432</v>
      </c>
      <c r="FG130" s="173">
        <f ca="1">(VLOOKUP(FG$72,INDIRECT($C$5&amp;"生成成长"),2))/((VLOOKUP($B130,INDIRECT($B$5&amp;"生成成长"),4))/(VLOOKUP(FG$72,INDIRECT($C$5&amp;"生成成长"),5))*(VLOOKUP($B$5,标准坦克设计!$B$24:$U$30,MATCH("对"&amp;LEFT($C$5,2)&amp;"输出",标准坦克设计!$B$23:$U$23,0)))*(VLOOKUP($B130,INDIRECT($B$5&amp;"生成成长"),3))*(VLOOKUP($B$5,标准坦克设计!$B$14:$K$20,9)/30))</f>
        <v>78.961967947127803</v>
      </c>
      <c r="FH130" s="173">
        <f ca="1">(VLOOKUP(FH$72,INDIRECT($C$5&amp;"生成成长"),2))/((VLOOKUP($B130,INDIRECT($B$5&amp;"生成成长"),4))/(VLOOKUP(FH$72,INDIRECT($C$5&amp;"生成成长"),5))*(VLOOKUP($B$5,标准坦克设计!$B$24:$U$30,MATCH("对"&amp;LEFT($C$5,2)&amp;"输出",标准坦克设计!$B$23:$U$23,0)))*(VLOOKUP($B130,INDIRECT($B$5&amp;"生成成长"),3))*(VLOOKUP($B$5,标准坦克设计!$B$14:$K$20,9)/30))</f>
        <v>83.808584357251959</v>
      </c>
      <c r="FI130" s="173">
        <f ca="1">(VLOOKUP(FI$72,INDIRECT($C$5&amp;"生成成长"),2))/((VLOOKUP($B130,INDIRECT($B$5&amp;"生成成长"),4))/(VLOOKUP(FI$72,INDIRECT($C$5&amp;"生成成长"),5))*(VLOOKUP($B$5,标准坦克设计!$B$24:$U$30,MATCH("对"&amp;LEFT($C$5,2)&amp;"输出",标准坦克设计!$B$23:$U$23,0)))*(VLOOKUP($B130,INDIRECT($B$5&amp;"生成成长"),3))*(VLOOKUP($B$5,标准坦克设计!$B$14:$K$20,9)/30))</f>
        <v>88.799544440529857</v>
      </c>
      <c r="FJ130" s="173">
        <f ca="1">(VLOOKUP(FJ$72,INDIRECT($C$5&amp;"生成成长"),2))/((VLOOKUP($B130,INDIRECT($B$5&amp;"生成成长"),4))/(VLOOKUP(FJ$72,INDIRECT($C$5&amp;"生成成长"),5))*(VLOOKUP($B$5,标准坦克设计!$B$24:$U$30,MATCH("对"&amp;LEFT($C$5,2)&amp;"输出",标准坦克设计!$B$23:$U$23,0)))*(VLOOKUP($B130,INDIRECT($B$5&amp;"生成成长"),3))*(VLOOKUP($B$5,标准坦克设计!$B$14:$K$20,9)/30))</f>
        <v>93.934848196961482</v>
      </c>
      <c r="FK130" s="173">
        <f ca="1">(VLOOKUP(FK$72,INDIRECT($C$5&amp;"生成成长"),2))/((VLOOKUP($B130,INDIRECT($B$5&amp;"生成成长"),4))/(VLOOKUP(FK$72,INDIRECT($C$5&amp;"生成成长"),5))*(VLOOKUP($B$5,标准坦克设计!$B$24:$U$30,MATCH("对"&amp;LEFT($C$5,2)&amp;"输出",标准坦克设计!$B$23:$U$23,0)))*(VLOOKUP($B130,INDIRECT($B$5&amp;"生成成长"),3))*(VLOOKUP($B$5,标准坦克设计!$B$14:$K$20,9)/30))</f>
        <v>99.214495626546906</v>
      </c>
    </row>
    <row r="131" spans="1:167" x14ac:dyDescent="0.15">
      <c r="A131" s="171" t="str">
        <f t="shared" si="11"/>
        <v>T3中品质2级</v>
      </c>
      <c r="B131" s="172">
        <v>20302</v>
      </c>
      <c r="C131" s="173">
        <f ca="1">(VLOOKUP(C$72,INDIRECT($C$5&amp;"生成成长"),2))/((VLOOKUP($B131,INDIRECT($B$5&amp;"生成成长"),4))/(VLOOKUP(C$72,INDIRECT($C$5&amp;"生成成长"),5))*(VLOOKUP($B$5,标准坦克设计!$B$24:$U$30,MATCH("对"&amp;LEFT($C$5,2)&amp;"输出",标准坦克设计!$B$23:$U$23,0)))*(VLOOKUP($B131,INDIRECT($B$5&amp;"生成成长"),3))*(VLOOKUP($B$5,标准坦克设计!$B$14:$K$20,9)/30))</f>
        <v>3.7630372216625698</v>
      </c>
      <c r="D131" s="173">
        <f ca="1">(VLOOKUP(D$72,INDIRECT($C$5&amp;"生成成长"),2))/((VLOOKUP($B131,INDIRECT($B$5&amp;"生成成长"),4))/(VLOOKUP(D$72,INDIRECT($C$5&amp;"生成成长"),5))*(VLOOKUP($B$5,标准坦克设计!$B$24:$U$30,MATCH("对"&amp;LEFT($C$5,2)&amp;"输出",标准坦克设计!$B$23:$U$23,0)))*(VLOOKUP($B131,INDIRECT($B$5&amp;"生成成长"),3))*(VLOOKUP($B$5,标准坦克设计!$B$14:$K$20,9)/30))</f>
        <v>4.2281486222600639</v>
      </c>
      <c r="E131" s="173">
        <f ca="1">(VLOOKUP(E$72,INDIRECT($C$5&amp;"生成成长"),2))/((VLOOKUP($B131,INDIRECT($B$5&amp;"生成成长"),4))/(VLOOKUP(E$72,INDIRECT($C$5&amp;"生成成长"),5))*(VLOOKUP($B$5,标准坦克设计!$B$24:$U$30,MATCH("对"&amp;LEFT($C$5,2)&amp;"输出",标准坦克设计!$B$23:$U$23,0)))*(VLOOKUP($B131,INDIRECT($B$5&amp;"生成成长"),3))*(VLOOKUP($B$5,标准坦克设计!$B$14:$K$20,9)/30))</f>
        <v>4.7203538908535281</v>
      </c>
      <c r="F131" s="173">
        <f ca="1">(VLOOKUP(F$72,INDIRECT($C$5&amp;"生成成长"),2))/((VLOOKUP($B131,INDIRECT($B$5&amp;"生成成长"),4))/(VLOOKUP(F$72,INDIRECT($C$5&amp;"生成成长"),5))*(VLOOKUP($B$5,标准坦克设计!$B$24:$U$30,MATCH("对"&amp;LEFT($C$5,2)&amp;"输出",标准坦克设计!$B$23:$U$23,0)))*(VLOOKUP($B131,INDIRECT($B$5&amp;"生成成长"),3))*(VLOOKUP($B$5,标准坦克设计!$B$14:$K$20,9)/30))</f>
        <v>5.2396530274429622</v>
      </c>
      <c r="G131" s="173">
        <f ca="1">(VLOOKUP(G$72,INDIRECT($C$5&amp;"生成成长"),2))/((VLOOKUP($B131,INDIRECT($B$5&amp;"生成成长"),4))/(VLOOKUP(G$72,INDIRECT($C$5&amp;"生成成长"),5))*(VLOOKUP($B$5,标准坦克设计!$B$24:$U$30,MATCH("对"&amp;LEFT($C$5,2)&amp;"输出",标准坦克设计!$B$23:$U$23,0)))*(VLOOKUP($B131,INDIRECT($B$5&amp;"生成成长"),3))*(VLOOKUP($B$5,标准坦克设计!$B$14:$K$20,9)/30))</f>
        <v>5.7860460320283682</v>
      </c>
      <c r="H131" s="173">
        <f ca="1">(VLOOKUP(H$72,INDIRECT($C$5&amp;"生成成长"),2))/((VLOOKUP($B131,INDIRECT($B$5&amp;"生成成长"),4))/(VLOOKUP(H$72,INDIRECT($C$5&amp;"生成成长"),5))*(VLOOKUP($B$5,标准坦克设计!$B$24:$U$30,MATCH("对"&amp;LEFT($C$5,2)&amp;"输出",标准坦克设计!$B$23:$U$23,0)))*(VLOOKUP($B131,INDIRECT($B$5&amp;"生成成长"),3))*(VLOOKUP($B$5,标准坦克设计!$B$14:$K$20,9)/30))</f>
        <v>5.0635428854691549</v>
      </c>
      <c r="I131" s="173">
        <f ca="1">(VLOOKUP(I$72,INDIRECT($C$5&amp;"生成成长"),2))/((VLOOKUP($B131,INDIRECT($B$5&amp;"生成成长"),4))/(VLOOKUP(I$72,INDIRECT($C$5&amp;"生成成长"),5))*(VLOOKUP($B$5,标准坦克设计!$B$24:$U$30,MATCH("对"&amp;LEFT($C$5,2)&amp;"输出",标准坦克设计!$B$23:$U$23,0)))*(VLOOKUP($B131,INDIRECT($B$5&amp;"生成成长"),3))*(VLOOKUP($B$5,标准坦克设计!$B$14:$K$20,9)/30))</f>
        <v>5.7860460320283682</v>
      </c>
      <c r="J131" s="173">
        <f ca="1">(VLOOKUP(J$72,INDIRECT($C$5&amp;"生成成长"),2))/((VLOOKUP($B131,INDIRECT($B$5&amp;"生成成长"),4))/(VLOOKUP(J$72,INDIRECT($C$5&amp;"生成成长"),5))*(VLOOKUP($B$5,标准坦克设计!$B$24:$U$30,MATCH("对"&amp;LEFT($C$5,2)&amp;"输出",标准坦克设计!$B$23:$U$23,0)))*(VLOOKUP($B131,INDIRECT($B$5&amp;"生成成长"),3))*(VLOOKUP($B$5,标准坦克设计!$B$14:$K$20,9)/30))</f>
        <v>6.5567160550248618</v>
      </c>
      <c r="K131" s="173">
        <f ca="1">(VLOOKUP(K$72,INDIRECT($C$5&amp;"生成成长"),2))/((VLOOKUP($B131,INDIRECT($B$5&amp;"生成成长"),4))/(VLOOKUP(K$72,INDIRECT($C$5&amp;"生成成长"),5))*(VLOOKUP($B$5,标准坦克设计!$B$24:$U$30,MATCH("对"&amp;LEFT($C$5,2)&amp;"输出",标准坦克设计!$B$23:$U$23,0)))*(VLOOKUP($B131,INDIRECT($B$5&amp;"生成成长"),3))*(VLOOKUP($B$5,标准坦克设计!$B$14:$K$20,9)/30))</f>
        <v>7.3755529544586365</v>
      </c>
      <c r="L131" s="173">
        <f ca="1">(VLOOKUP(L$72,INDIRECT($C$5&amp;"生成成长"),2))/((VLOOKUP($B131,INDIRECT($B$5&amp;"生成成长"),4))/(VLOOKUP(L$72,INDIRECT($C$5&amp;"生成成长"),5))*(VLOOKUP($B$5,标准坦克设计!$B$24:$U$30,MATCH("对"&amp;LEFT($C$5,2)&amp;"输出",标准坦克设计!$B$23:$U$23,0)))*(VLOOKUP($B131,INDIRECT($B$5&amp;"生成成长"),3))*(VLOOKUP($B$5,标准坦克设计!$B$14:$K$20,9)/30))</f>
        <v>8.242556730329694</v>
      </c>
      <c r="M131" s="173">
        <f ca="1">(VLOOKUP(M$72,INDIRECT($C$5&amp;"生成成长"),2))/((VLOOKUP($B131,INDIRECT($B$5&amp;"生成成长"),4))/(VLOOKUP(M$72,INDIRECT($C$5&amp;"生成成长"),5))*(VLOOKUP($B$5,标准坦克设计!$B$24:$U$30,MATCH("对"&amp;LEFT($C$5,2)&amp;"输出",标准坦克设计!$B$23:$U$23,0)))*(VLOOKUP($B131,INDIRECT($B$5&amp;"生成成长"),3))*(VLOOKUP($B$5,标准坦克设计!$B$14:$K$20,9)/30))</f>
        <v>9.157727382638031</v>
      </c>
      <c r="N131" s="173">
        <f ca="1">(VLOOKUP(N$72,INDIRECT($C$5&amp;"生成成长"),2))/((VLOOKUP($B131,INDIRECT($B$5&amp;"生成成长"),4))/(VLOOKUP(N$72,INDIRECT($C$5&amp;"生成成长"),5))*(VLOOKUP($B$5,标准坦克设计!$B$24:$U$30,MATCH("对"&amp;LEFT($C$5,2)&amp;"输出",标准坦克设计!$B$23:$U$23,0)))*(VLOOKUP($B131,INDIRECT($B$5&amp;"生成成长"),3))*(VLOOKUP($B$5,标准坦克设计!$B$14:$K$20,9)/30))</f>
        <v>10.12106491138365</v>
      </c>
      <c r="O131" s="173">
        <f ca="1">(VLOOKUP(O$72,INDIRECT($C$5&amp;"生成成长"),2))/((VLOOKUP($B131,INDIRECT($B$5&amp;"生成成长"),4))/(VLOOKUP(O$72,INDIRECT($C$5&amp;"生成成长"),5))*(VLOOKUP($B$5,标准坦克设计!$B$24:$U$30,MATCH("对"&amp;LEFT($C$5,2)&amp;"输出",标准坦克设计!$B$23:$U$23,0)))*(VLOOKUP($B131,INDIRECT($B$5&amp;"生成成长"),3))*(VLOOKUP($B$5,标准坦克设计!$B$14:$K$20,9)/30))</f>
        <v>7.6950348145777889</v>
      </c>
      <c r="P131" s="173">
        <f ca="1">(VLOOKUP(P$72,INDIRECT($C$5&amp;"生成成长"),2))/((VLOOKUP($B131,INDIRECT($B$5&amp;"生成成长"),4))/(VLOOKUP(P$72,INDIRECT($C$5&amp;"生成成长"),5))*(VLOOKUP($B$5,标准坦克设计!$B$24:$U$30,MATCH("对"&amp;LEFT($C$5,2)&amp;"输出",标准坦克设计!$B$23:$U$23,0)))*(VLOOKUP($B131,INDIRECT($B$5&amp;"生成成长"),3))*(VLOOKUP($B$5,标准坦克设计!$B$14:$K$20,9)/30))</f>
        <v>8.6941211969292045</v>
      </c>
      <c r="Q131" s="173">
        <f ca="1">(VLOOKUP(Q$72,INDIRECT($C$5&amp;"生成成长"),2))/((VLOOKUP($B131,INDIRECT($B$5&amp;"生成成长"),4))/(VLOOKUP(Q$72,INDIRECT($C$5&amp;"生成成长"),5))*(VLOOKUP($B$5,标准坦克设计!$B$24:$U$30,MATCH("对"&amp;LEFT($C$5,2)&amp;"输出",标准坦克设计!$B$23:$U$23,0)))*(VLOOKUP($B131,INDIRECT($B$5&amp;"生成成长"),3))*(VLOOKUP($B$5,标准坦克设计!$B$14:$K$20,9)/30))</f>
        <v>9.7541687822715488</v>
      </c>
      <c r="R131" s="173">
        <f ca="1">(VLOOKUP(R$72,INDIRECT($C$5&amp;"生成成长"),2))/((VLOOKUP($B131,INDIRECT($B$5&amp;"生成成长"),4))/(VLOOKUP(R$72,INDIRECT($C$5&amp;"生成成长"),5))*(VLOOKUP($B$5,标准坦克设计!$B$24:$U$30,MATCH("对"&amp;LEFT($C$5,2)&amp;"输出",标准坦克设计!$B$23:$U$23,0)))*(VLOOKUP($B131,INDIRECT($B$5&amp;"生成成长"),3))*(VLOOKUP($B$5,标准坦克设计!$B$14:$K$20,9)/30))</f>
        <v>10.875177570604828</v>
      </c>
      <c r="S131" s="173">
        <f ca="1">(VLOOKUP(S$72,INDIRECT($C$5&amp;"生成成长"),2))/((VLOOKUP($B131,INDIRECT($B$5&amp;"生成成长"),4))/(VLOOKUP(S$72,INDIRECT($C$5&amp;"生成成长"),5))*(VLOOKUP($B$5,标准坦克设计!$B$24:$U$30,MATCH("对"&amp;LEFT($C$5,2)&amp;"输出",标准坦克设计!$B$23:$U$23,0)))*(VLOOKUP($B131,INDIRECT($B$5&amp;"生成成长"),3))*(VLOOKUP($B$5,标准坦克设计!$B$14:$K$20,9)/30))</f>
        <v>12.057147561929041</v>
      </c>
      <c r="T131" s="173">
        <f ca="1">(VLOOKUP(T$72,INDIRECT($C$5&amp;"生成成长"),2))/((VLOOKUP($B131,INDIRECT($B$5&amp;"生成成长"),4))/(VLOOKUP(T$72,INDIRECT($C$5&amp;"生成成长"),5))*(VLOOKUP($B$5,标准坦克设计!$B$24:$U$30,MATCH("对"&amp;LEFT($C$5,2)&amp;"输出",标准坦克设计!$B$23:$U$23,0)))*(VLOOKUP($B131,INDIRECT($B$5&amp;"生成成长"),3))*(VLOOKUP($B$5,标准坦克设计!$B$14:$K$20,9)/30))</f>
        <v>13.300078756244186</v>
      </c>
      <c r="U131" s="173">
        <f ca="1">(VLOOKUP(U$72,INDIRECT($C$5&amp;"生成成长"),2))/((VLOOKUP($B131,INDIRECT($B$5&amp;"生成成长"),4))/(VLOOKUP(U$72,INDIRECT($C$5&amp;"生成成长"),5))*(VLOOKUP($B$5,标准坦克设计!$B$24:$U$30,MATCH("对"&amp;LEFT($C$5,2)&amp;"输出",标准坦克设计!$B$23:$U$23,0)))*(VLOOKUP($B131,INDIRECT($B$5&amp;"生成成长"),3))*(VLOOKUP($B$5,标准坦克设计!$B$14:$K$20,9)/30))</f>
        <v>14.603971153550271</v>
      </c>
      <c r="V131" s="173">
        <f ca="1">(VLOOKUP(V$72,INDIRECT($C$5&amp;"生成成长"),2))/((VLOOKUP($B131,INDIRECT($B$5&amp;"生成成长"),4))/(VLOOKUP(V$72,INDIRECT($C$5&amp;"生成成长"),5))*(VLOOKUP($B$5,标准坦克设计!$B$24:$U$30,MATCH("对"&amp;LEFT($C$5,2)&amp;"输出",标准坦克设计!$B$23:$U$23,0)))*(VLOOKUP($B131,INDIRECT($B$5&amp;"生成成长"),3))*(VLOOKUP($B$5,标准坦克设计!$B$14:$K$20,9)/30))</f>
        <v>15.968824753847283</v>
      </c>
      <c r="W131" s="173">
        <f ca="1">(VLOOKUP(W$72,INDIRECT($C$5&amp;"生成成长"),2))/((VLOOKUP($B131,INDIRECT($B$5&amp;"生成成长"),4))/(VLOOKUP(W$72,INDIRECT($C$5&amp;"生成成长"),5))*(VLOOKUP($B$5,标准坦克设计!$B$24:$U$30,MATCH("对"&amp;LEFT($C$5,2)&amp;"输出",标准坦克设计!$B$23:$U$23,0)))*(VLOOKUP($B131,INDIRECT($B$5&amp;"生成成长"),3))*(VLOOKUP($B$5,标准坦克设计!$B$14:$K$20,9)/30))</f>
        <v>17.394639557135232</v>
      </c>
      <c r="X131" s="173">
        <f ca="1">(VLOOKUP(X$72,INDIRECT($C$5&amp;"生成成长"),2))/((VLOOKUP($B131,INDIRECT($B$5&amp;"生成成长"),4))/(VLOOKUP(X$72,INDIRECT($C$5&amp;"生成成长"),5))*(VLOOKUP($B$5,标准坦克设计!$B$24:$U$30,MATCH("对"&amp;LEFT($C$5,2)&amp;"输出",标准坦克设计!$B$23:$U$23,0)))*(VLOOKUP($B131,INDIRECT($B$5&amp;"生成成长"),3))*(VLOOKUP($B$5,标准坦克设计!$B$14:$K$20,9)/30))</f>
        <v>12.602035351625782</v>
      </c>
      <c r="Y131" s="173">
        <f ca="1">(VLOOKUP(Y$72,INDIRECT($C$5&amp;"生成成长"),2))/((VLOOKUP($B131,INDIRECT($B$5&amp;"生成成长"),4))/(VLOOKUP(Y$72,INDIRECT($C$5&amp;"生成成长"),5))*(VLOOKUP($B$5,标准坦克设计!$B$24:$U$30,MATCH("对"&amp;LEFT($C$5,2)&amp;"输出",标准坦克设计!$B$23:$U$23,0)))*(VLOOKUP($B131,INDIRECT($B$5&amp;"生成成长"),3))*(VLOOKUP($B$5,标准坦克设计!$B$14:$K$20,9)/30))</f>
        <v>14.016937346970909</v>
      </c>
      <c r="Z131" s="173">
        <f ca="1">(VLOOKUP(Z$72,INDIRECT($C$5&amp;"生成成长"),2))/((VLOOKUP($B131,INDIRECT($B$5&amp;"生成成长"),4))/(VLOOKUP(Z$72,INDIRECT($C$5&amp;"生成成长"),5))*(VLOOKUP($B$5,标准坦克设计!$B$24:$U$30,MATCH("对"&amp;LEFT($C$5,2)&amp;"输出",标准坦克设计!$B$23:$U$23,0)))*(VLOOKUP($B131,INDIRECT($B$5&amp;"生成成长"),3))*(VLOOKUP($B$5,标准坦克设计!$B$14:$K$20,9)/30))</f>
        <v>15.507100086749288</v>
      </c>
      <c r="AA131" s="173">
        <f ca="1">(VLOOKUP(AA$72,INDIRECT($C$5&amp;"生成成长"),2))/((VLOOKUP($B131,INDIRECT($B$5&amp;"生成成长"),4))/(VLOOKUP(AA$72,INDIRECT($C$5&amp;"生成成长"),5))*(VLOOKUP($B$5,标准坦克设计!$B$24:$U$30,MATCH("对"&amp;LEFT($C$5,2)&amp;"输出",标准坦克设计!$B$23:$U$23,0)))*(VLOOKUP($B131,INDIRECT($B$5&amp;"生成成长"),3))*(VLOOKUP($B$5,标准坦克设计!$B$14:$K$20,9)/30))</f>
        <v>17.072523570960918</v>
      </c>
      <c r="AB131" s="173">
        <f ca="1">(VLOOKUP(AB$72,INDIRECT($C$5&amp;"生成成长"),2))/((VLOOKUP($B131,INDIRECT($B$5&amp;"生成成长"),4))/(VLOOKUP(AB$72,INDIRECT($C$5&amp;"生成成长"),5))*(VLOOKUP($B$5,标准坦克设计!$B$24:$U$30,MATCH("对"&amp;LEFT($C$5,2)&amp;"输出",标准坦克设计!$B$23:$U$23,0)))*(VLOOKUP($B131,INDIRECT($B$5&amp;"生成成长"),3))*(VLOOKUP($B$5,标准坦克设计!$B$14:$K$20,9)/30))</f>
        <v>18.713207799605797</v>
      </c>
      <c r="AC131" s="173">
        <f ca="1">(VLOOKUP(AC$72,INDIRECT($C$5&amp;"生成成长"),2))/((VLOOKUP($B131,INDIRECT($B$5&amp;"生成成长"),4))/(VLOOKUP(AC$72,INDIRECT($C$5&amp;"生成成长"),5))*(VLOOKUP($B$5,标准坦克设计!$B$24:$U$30,MATCH("对"&amp;LEFT($C$5,2)&amp;"输出",标准坦克设计!$B$23:$U$23,0)))*(VLOOKUP($B131,INDIRECT($B$5&amp;"生成成长"),3))*(VLOOKUP($B$5,标准坦克设计!$B$14:$K$20,9)/30))</f>
        <v>20.429152772683928</v>
      </c>
      <c r="AD131" s="173">
        <f ca="1">(VLOOKUP(AD$72,INDIRECT($C$5&amp;"生成成长"),2))/((VLOOKUP($B131,INDIRECT($B$5&amp;"生成成长"),4))/(VLOOKUP(AD$72,INDIRECT($C$5&amp;"生成成长"),5))*(VLOOKUP($B$5,标准坦克设计!$B$24:$U$30,MATCH("对"&amp;LEFT($C$5,2)&amp;"输出",标准坦克设计!$B$23:$U$23,0)))*(VLOOKUP($B131,INDIRECT($B$5&amp;"生成成长"),3))*(VLOOKUP($B$5,标准坦克设计!$B$14:$K$20,9)/30))</f>
        <v>22.220358490195316</v>
      </c>
      <c r="AE131" s="173">
        <f ca="1">(VLOOKUP(AE$72,INDIRECT($C$5&amp;"生成成长"),2))/((VLOOKUP($B131,INDIRECT($B$5&amp;"生成成长"),4))/(VLOOKUP(AE$72,INDIRECT($C$5&amp;"生成成长"),5))*(VLOOKUP($B$5,标准坦克设计!$B$24:$U$30,MATCH("对"&amp;LEFT($C$5,2)&amp;"输出",标准坦克设计!$B$23:$U$23,0)))*(VLOOKUP($B131,INDIRECT($B$5&amp;"生成成长"),3))*(VLOOKUP($B$5,标准坦克设计!$B$14:$K$20,9)/30))</f>
        <v>24.086824952139946</v>
      </c>
      <c r="AF131" s="173">
        <f ca="1">(VLOOKUP(AF$72,INDIRECT($C$5&amp;"生成成长"),2))/((VLOOKUP($B131,INDIRECT($B$5&amp;"生成成长"),4))/(VLOOKUP(AF$72,INDIRECT($C$5&amp;"生成成长"),5))*(VLOOKUP($B$5,标准坦克设计!$B$24:$U$30,MATCH("对"&amp;LEFT($C$5,2)&amp;"输出",标准坦克设计!$B$23:$U$23,0)))*(VLOOKUP($B131,INDIRECT($B$5&amp;"生成成长"),3))*(VLOOKUP($B$5,标准坦克设计!$B$14:$K$20,9)/30))</f>
        <v>26.028552158517833</v>
      </c>
      <c r="AG131" s="173">
        <f ca="1">(VLOOKUP(AG$72,INDIRECT($C$5&amp;"生成成长"),2))/((VLOOKUP($B131,INDIRECT($B$5&amp;"生成成长"),4))/(VLOOKUP(AG$72,INDIRECT($C$5&amp;"生成成长"),5))*(VLOOKUP($B$5,标准坦克设计!$B$24:$U$30,MATCH("对"&amp;LEFT($C$5,2)&amp;"输出",标准坦克设计!$B$23:$U$23,0)))*(VLOOKUP($B131,INDIRECT($B$5&amp;"生成成长"),3))*(VLOOKUP($B$5,标准坦克设计!$B$14:$K$20,9)/30))</f>
        <v>28.045540109328975</v>
      </c>
      <c r="AH131" s="173">
        <f ca="1">(VLOOKUP(AH$72,INDIRECT($C$5&amp;"生成成长"),2))/((VLOOKUP($B131,INDIRECT($B$5&amp;"生成成长"),4))/(VLOOKUP(AH$72,INDIRECT($C$5&amp;"生成成长"),5))*(VLOOKUP($B$5,标准坦克设计!$B$24:$U$30,MATCH("对"&amp;LEFT($C$5,2)&amp;"输出",标准坦克设计!$B$23:$U$23,0)))*(VLOOKUP($B131,INDIRECT($B$5&amp;"生成成长"),3))*(VLOOKUP($B$5,标准坦克设计!$B$14:$K$20,9)/30))</f>
        <v>30.137788804573358</v>
      </c>
      <c r="AI131" s="173">
        <f ca="1">(VLOOKUP(AI$72,INDIRECT($C$5&amp;"生成成长"),2))/((VLOOKUP($B131,INDIRECT($B$5&amp;"生成成长"),4))/(VLOOKUP(AI$72,INDIRECT($C$5&amp;"生成成长"),5))*(VLOOKUP($B$5,标准坦克设计!$B$24:$U$30,MATCH("对"&amp;LEFT($C$5,2)&amp;"输出",标准坦克设计!$B$23:$U$23,0)))*(VLOOKUP($B131,INDIRECT($B$5&amp;"生成成长"),3))*(VLOOKUP($B$5,标准坦克设计!$B$14:$K$20,9)/30))</f>
        <v>21.315348038385462</v>
      </c>
      <c r="AJ131" s="173">
        <f ca="1">(VLOOKUP(AJ$72,INDIRECT($C$5&amp;"生成成长"),2))/((VLOOKUP($B131,INDIRECT($B$5&amp;"生成成长"),4))/(VLOOKUP(AJ$72,INDIRECT($C$5&amp;"生成成长"),5))*(VLOOKUP($B$5,标准坦克设计!$B$24:$U$30,MATCH("对"&amp;LEFT($C$5,2)&amp;"输出",标准坦克设计!$B$23:$U$23,0)))*(VLOOKUP($B131,INDIRECT($B$5&amp;"生成成长"),3))*(VLOOKUP($B$5,标准坦克设计!$B$14:$K$20,9)/30))</f>
        <v>23.331207078030104</v>
      </c>
      <c r="AK131" s="173">
        <f ca="1">(VLOOKUP(AK$72,INDIRECT($C$5&amp;"生成成长"),2))/((VLOOKUP($B131,INDIRECT($B$5&amp;"生成成长"),4))/(VLOOKUP(AK$72,INDIRECT($C$5&amp;"生成成长"),5))*(VLOOKUP($B$5,标准坦克设计!$B$24:$U$30,MATCH("对"&amp;LEFT($C$5,2)&amp;"输出",标准坦克设计!$B$23:$U$23,0)))*(VLOOKUP($B131,INDIRECT($B$5&amp;"生成成长"),3))*(VLOOKUP($B$5,标准坦克设计!$B$14:$K$20,9)/30))</f>
        <v>25.438131618438977</v>
      </c>
      <c r="AL131" s="173">
        <f ca="1">(VLOOKUP(AL$72,INDIRECT($C$5&amp;"生成成长"),2))/((VLOOKUP($B131,INDIRECT($B$5&amp;"生成成长"),4))/(VLOOKUP(AL$72,INDIRECT($C$5&amp;"生成成长"),5))*(VLOOKUP($B$5,标准坦克设计!$B$24:$U$30,MATCH("对"&amp;LEFT($C$5,2)&amp;"输出",标准坦克设计!$B$23:$U$23,0)))*(VLOOKUP($B131,INDIRECT($B$5&amp;"生成成长"),3))*(VLOOKUP($B$5,标准坦克设计!$B$14:$K$20,9)/30))</f>
        <v>27.63612165961208</v>
      </c>
      <c r="AM131" s="173">
        <f ca="1">(VLOOKUP(AM$72,INDIRECT($C$5&amp;"生成成长"),2))/((VLOOKUP($B131,INDIRECT($B$5&amp;"生成成长"),4))/(VLOOKUP(AM$72,INDIRECT($C$5&amp;"生成成长"),5))*(VLOOKUP($B$5,标准坦克设计!$B$24:$U$30,MATCH("对"&amp;LEFT($C$5,2)&amp;"输出",标准坦克设计!$B$23:$U$23,0)))*(VLOOKUP($B131,INDIRECT($B$5&amp;"生成成长"),3))*(VLOOKUP($B$5,标准坦克设计!$B$14:$K$20,9)/30))</f>
        <v>29.925177201549428</v>
      </c>
      <c r="AN131" s="173">
        <f ca="1">(VLOOKUP(AN$72,INDIRECT($C$5&amp;"生成成长"),2))/((VLOOKUP($B131,INDIRECT($B$5&amp;"生成成长"),4))/(VLOOKUP(AN$72,INDIRECT($C$5&amp;"生成成长"),5))*(VLOOKUP($B$5,标准坦克设计!$B$24:$U$30,MATCH("对"&amp;LEFT($C$5,2)&amp;"输出",标准坦克设计!$B$23:$U$23,0)))*(VLOOKUP($B131,INDIRECT($B$5&amp;"生成成长"),3))*(VLOOKUP($B$5,标准坦克设计!$B$14:$K$20,9)/30))</f>
        <v>32.305298244250999</v>
      </c>
      <c r="AO131" s="173">
        <f ca="1">(VLOOKUP(AO$72,INDIRECT($C$5&amp;"生成成长"),2))/((VLOOKUP($B131,INDIRECT($B$5&amp;"生成成长"),4))/(VLOOKUP(AO$72,INDIRECT($C$5&amp;"生成成长"),5))*(VLOOKUP($B$5,标准坦克设计!$B$24:$U$30,MATCH("对"&amp;LEFT($C$5,2)&amp;"输出",标准坦克设计!$B$23:$U$23,0)))*(VLOOKUP($B131,INDIRECT($B$5&amp;"生成成长"),3))*(VLOOKUP($B$5,标准坦克设计!$B$14:$K$20,9)/30))</f>
        <v>34.776484787716818</v>
      </c>
      <c r="AP131" s="173">
        <f ca="1">(VLOOKUP(AP$72,INDIRECT($C$5&amp;"生成成长"),2))/((VLOOKUP($B131,INDIRECT($B$5&amp;"生成成长"),4))/(VLOOKUP(AP$72,INDIRECT($C$5&amp;"生成成长"),5))*(VLOOKUP($B$5,标准坦克设计!$B$24:$U$30,MATCH("对"&amp;LEFT($C$5,2)&amp;"输出",标准坦克设计!$B$23:$U$23,0)))*(VLOOKUP($B131,INDIRECT($B$5&amp;"生成成长"),3))*(VLOOKUP($B$5,标准坦克设计!$B$14:$K$20,9)/30))</f>
        <v>37.338736831946854</v>
      </c>
      <c r="AQ131" s="173">
        <f ca="1">(VLOOKUP(AQ$72,INDIRECT($C$5&amp;"生成成长"),2))/((VLOOKUP($B131,INDIRECT($B$5&amp;"生成成长"),4))/(VLOOKUP(AQ$72,INDIRECT($C$5&amp;"生成成长"),5))*(VLOOKUP($B$5,标准坦克设计!$B$24:$U$30,MATCH("对"&amp;LEFT($C$5,2)&amp;"输出",标准坦克设计!$B$23:$U$23,0)))*(VLOOKUP($B131,INDIRECT($B$5&amp;"生成成长"),3))*(VLOOKUP($B$5,标准坦克设计!$B$14:$K$20,9)/30))</f>
        <v>39.992054376941141</v>
      </c>
      <c r="AR131" s="173">
        <f ca="1">(VLOOKUP(AR$72,INDIRECT($C$5&amp;"生成成长"),2))/((VLOOKUP($B131,INDIRECT($B$5&amp;"生成成长"),4))/(VLOOKUP(AR$72,INDIRECT($C$5&amp;"生成成长"),5))*(VLOOKUP($B$5,标准坦克设计!$B$24:$U$30,MATCH("对"&amp;LEFT($C$5,2)&amp;"输出",标准坦克设计!$B$23:$U$23,0)))*(VLOOKUP($B131,INDIRECT($B$5&amp;"生成成长"),3))*(VLOOKUP($B$5,标准坦克设计!$B$14:$K$20,9)/30))</f>
        <v>42.736437422699652</v>
      </c>
      <c r="AS131" s="173">
        <f ca="1">(VLOOKUP(AS$72,INDIRECT($C$5&amp;"生成成长"),2))/((VLOOKUP($B131,INDIRECT($B$5&amp;"生成成长"),4))/(VLOOKUP(AS$72,INDIRECT($C$5&amp;"生成成长"),5))*(VLOOKUP($B$5,标准坦克设计!$B$24:$U$30,MATCH("对"&amp;LEFT($C$5,2)&amp;"输出",标准坦克设计!$B$23:$U$23,0)))*(VLOOKUP($B131,INDIRECT($B$5&amp;"生成成长"),3))*(VLOOKUP($B$5,标准坦克设计!$B$14:$K$20,9)/30))</f>
        <v>45.571885969222386</v>
      </c>
      <c r="AT131" s="173">
        <f ca="1">(VLOOKUP(AT$72,INDIRECT($C$5&amp;"生成成长"),2))/((VLOOKUP($B131,INDIRECT($B$5&amp;"生成成长"),4))/(VLOOKUP(AT$72,INDIRECT($C$5&amp;"生成成长"),5))*(VLOOKUP($B$5,标准坦克设计!$B$24:$U$30,MATCH("对"&amp;LEFT($C$5,2)&amp;"输出",标准坦克设计!$B$23:$U$23,0)))*(VLOOKUP($B131,INDIRECT($B$5&amp;"生成成长"),3))*(VLOOKUP($B$5,标准坦克设计!$B$14:$K$20,9)/30))</f>
        <v>48.498400016509372</v>
      </c>
      <c r="AU131" s="173">
        <f ca="1">(VLOOKUP(AU$72,INDIRECT($C$5&amp;"生成成长"),2))/((VLOOKUP($B131,INDIRECT($B$5&amp;"生成成长"),4))/(VLOOKUP(AU$72,INDIRECT($C$5&amp;"生成成长"),5))*(VLOOKUP($B$5,标准坦克设计!$B$24:$U$30,MATCH("对"&amp;LEFT($C$5,2)&amp;"输出",标准坦克设计!$B$23:$U$23,0)))*(VLOOKUP($B131,INDIRECT($B$5&amp;"生成成长"),3))*(VLOOKUP($B$5,标准坦克设计!$B$14:$K$20,9)/30))</f>
        <v>51.515979564560581</v>
      </c>
      <c r="AV131" s="173">
        <f ca="1">(VLOOKUP(AV$72,INDIRECT($C$5&amp;"生成成长"),2))/((VLOOKUP($B131,INDIRECT($B$5&amp;"生成成长"),4))/(VLOOKUP(AV$72,INDIRECT($C$5&amp;"生成成长"),5))*(VLOOKUP($B$5,标准坦克设计!$B$24:$U$30,MATCH("对"&amp;LEFT($C$5,2)&amp;"输出",标准坦克设计!$B$23:$U$23,0)))*(VLOOKUP($B131,INDIRECT($B$5&amp;"生成成长"),3))*(VLOOKUP($B$5,标准坦克设计!$B$14:$K$20,9)/30))</f>
        <v>5.2396530274429622</v>
      </c>
      <c r="AW131" s="173">
        <f ca="1">(VLOOKUP(AW$72,INDIRECT($C$5&amp;"生成成长"),2))/((VLOOKUP($B131,INDIRECT($B$5&amp;"生成成长"),4))/(VLOOKUP(AW$72,INDIRECT($C$5&amp;"生成成长"),5))*(VLOOKUP($B$5,标准坦克设计!$B$24:$U$30,MATCH("对"&amp;LEFT($C$5,2)&amp;"输出",标准坦克设计!$B$23:$U$23,0)))*(VLOOKUP($B131,INDIRECT($B$5&amp;"生成成长"),3))*(VLOOKUP($B$5,标准坦克设计!$B$14:$K$20,9)/30))</f>
        <v>5.9741978931114961</v>
      </c>
      <c r="AX131" s="173">
        <f ca="1">(VLOOKUP(AX$72,INDIRECT($C$5&amp;"生成成长"),2))/((VLOOKUP($B131,INDIRECT($B$5&amp;"生成成长"),4))/(VLOOKUP(AX$72,INDIRECT($C$5&amp;"生成成长"),5))*(VLOOKUP($B$5,标准坦克设计!$B$24:$U$30,MATCH("对"&amp;LEFT($C$5,2)&amp;"输出",标准坦克设计!$B$23:$U$23,0)))*(VLOOKUP($B131,INDIRECT($B$5&amp;"生成成长"),3))*(VLOOKUP($B$5,标准坦克设计!$B$14:$K$20,9)/30))</f>
        <v>6.756909635217311</v>
      </c>
      <c r="AY131" s="173">
        <f ca="1">(VLOOKUP(AY$72,INDIRECT($C$5&amp;"生成成长"),2))/((VLOOKUP($B131,INDIRECT($B$5&amp;"生成成长"),4))/(VLOOKUP(AY$72,INDIRECT($C$5&amp;"生成成长"),5))*(VLOOKUP($B$5,标准坦克设计!$B$24:$U$30,MATCH("对"&amp;LEFT($C$5,2)&amp;"输出",标准坦克设计!$B$23:$U$23,0)))*(VLOOKUP($B131,INDIRECT($B$5&amp;"生成成长"),3))*(VLOOKUP($B$5,标准坦克设计!$B$14:$K$20,9)/30))</f>
        <v>7.5877882537604053</v>
      </c>
      <c r="AZ131" s="173">
        <f ca="1">(VLOOKUP(AZ$72,INDIRECT($C$5&amp;"生成成长"),2))/((VLOOKUP($B131,INDIRECT($B$5&amp;"生成成长"),4))/(VLOOKUP(AZ$72,INDIRECT($C$5&amp;"生成成长"),5))*(VLOOKUP($B$5,标准坦克设计!$B$24:$U$30,MATCH("对"&amp;LEFT($C$5,2)&amp;"输出",标准坦克设计!$B$23:$U$23,0)))*(VLOOKUP($B131,INDIRECT($B$5&amp;"生成成长"),3))*(VLOOKUP($B$5,标准坦克设计!$B$14:$K$20,9)/30))</f>
        <v>8.4668337487407825</v>
      </c>
      <c r="BA131" s="173">
        <f ca="1">(VLOOKUP(BA$72,INDIRECT($C$5&amp;"生成成长"),2))/((VLOOKUP($B131,INDIRECT($B$5&amp;"生成成长"),4))/(VLOOKUP(BA$72,INDIRECT($C$5&amp;"生成成长"),5))*(VLOOKUP($B$5,标准坦克设计!$B$24:$U$30,MATCH("对"&amp;LEFT($C$5,2)&amp;"输出",标准坦克设计!$B$23:$U$23,0)))*(VLOOKUP($B131,INDIRECT($B$5&amp;"生成成长"),3))*(VLOOKUP($B$5,标准坦克设计!$B$14:$K$20,9)/30))</f>
        <v>9.3940461201584391</v>
      </c>
      <c r="BB131" s="173">
        <f ca="1">(VLOOKUP(BB$72,INDIRECT($C$5&amp;"生成成长"),2))/((VLOOKUP($B131,INDIRECT($B$5&amp;"生成成长"),4))/(VLOOKUP(BB$72,INDIRECT($C$5&amp;"生成成长"),5))*(VLOOKUP($B$5,标准坦克设计!$B$24:$U$30,MATCH("对"&amp;LEFT($C$5,2)&amp;"输出",标准坦克设计!$B$23:$U$23,0)))*(VLOOKUP($B131,INDIRECT($B$5&amp;"生成成长"),3))*(VLOOKUP($B$5,标准坦克设计!$B$14:$K$20,9)/30))</f>
        <v>10.369425368013379</v>
      </c>
      <c r="BC131" s="173">
        <f ca="1">(VLOOKUP(BC$72,INDIRECT($C$5&amp;"生成成长"),2))/((VLOOKUP($B131,INDIRECT($B$5&amp;"生成成长"),4))/(VLOOKUP(BC$72,INDIRECT($C$5&amp;"生成成长"),5))*(VLOOKUP($B$5,标准坦克设计!$B$24:$U$30,MATCH("对"&amp;LEFT($C$5,2)&amp;"输出",标准坦克设计!$B$23:$U$23,0)))*(VLOOKUP($B131,INDIRECT($B$5&amp;"生成成长"),3))*(VLOOKUP($B$5,标准坦克设计!$B$14:$K$20,9)/30))</f>
        <v>11.392971492305596</v>
      </c>
      <c r="BD131" s="173">
        <f ca="1">(VLOOKUP(BD$72,INDIRECT($C$5&amp;"生成成长"),2))/((VLOOKUP($B131,INDIRECT($B$5&amp;"生成成长"),4))/(VLOOKUP(BD$72,INDIRECT($C$5&amp;"生成成长"),5))*(VLOOKUP($B$5,标准坦克设计!$B$24:$U$30,MATCH("对"&amp;LEFT($C$5,2)&amp;"输出",标准坦克设计!$B$23:$U$23,0)))*(VLOOKUP($B131,INDIRECT($B$5&amp;"生成成长"),3))*(VLOOKUP($B$5,标准坦克设计!$B$14:$K$20,9)/30))</f>
        <v>12.602035351625782</v>
      </c>
      <c r="BE131" s="173">
        <f ca="1">(VLOOKUP(BE$72,INDIRECT($C$5&amp;"生成成长"),2))/((VLOOKUP($B131,INDIRECT($B$5&amp;"生成成长"),4))/(VLOOKUP(BE$72,INDIRECT($C$5&amp;"生成成长"),5))*(VLOOKUP($B$5,标准坦克设计!$B$24:$U$30,MATCH("对"&amp;LEFT($C$5,2)&amp;"输出",标准坦克设计!$B$23:$U$23,0)))*(VLOOKUP($B131,INDIRECT($B$5&amp;"生成成长"),3))*(VLOOKUP($B$5,标准坦克设计!$B$14:$K$20,9)/30))</f>
        <v>13.8720604139369</v>
      </c>
      <c r="BF131" s="173">
        <f ca="1">(VLOOKUP(BF$72,INDIRECT($C$5&amp;"生成成长"),2))/((VLOOKUP($B131,INDIRECT($B$5&amp;"生成成长"),4))/(VLOOKUP(BF$72,INDIRECT($C$5&amp;"生成成长"),5))*(VLOOKUP($B$5,标准坦克设计!$B$24:$U$30,MATCH("对"&amp;LEFT($C$5,2)&amp;"输出",标准坦克设计!$B$23:$U$23,0)))*(VLOOKUP($B131,INDIRECT($B$5&amp;"生成成长"),3))*(VLOOKUP($B$5,标准坦克设计!$B$14:$K$20,9)/30))</f>
        <v>15.20304667923895</v>
      </c>
      <c r="BG131" s="173">
        <f ca="1">(VLOOKUP(BG$72,INDIRECT($C$5&amp;"生成成长"),2))/((VLOOKUP($B131,INDIRECT($B$5&amp;"生成成长"),4))/(VLOOKUP(BG$72,INDIRECT($C$5&amp;"生成成长"),5))*(VLOOKUP($B$5,标准坦克设计!$B$24:$U$30,MATCH("对"&amp;LEFT($C$5,2)&amp;"输出",标准坦克设计!$B$23:$U$23,0)))*(VLOOKUP($B131,INDIRECT($B$5&amp;"生成成长"),3))*(VLOOKUP($B$5,标准坦克设计!$B$14:$K$20,9)/30))</f>
        <v>16.594994147531935</v>
      </c>
      <c r="BH131" s="173">
        <f ca="1">(VLOOKUP(BH$72,INDIRECT($C$5&amp;"生成成长"),2))/((VLOOKUP($B131,INDIRECT($B$5&amp;"生成成长"),4))/(VLOOKUP(BH$72,INDIRECT($C$5&amp;"生成成长"),5))*(VLOOKUP($B$5,标准坦克设计!$B$24:$U$30,MATCH("对"&amp;LEFT($C$5,2)&amp;"输出",标准坦克设计!$B$23:$U$23,0)))*(VLOOKUP($B131,INDIRECT($B$5&amp;"生成成长"),3))*(VLOOKUP($B$5,标准坦克设计!$B$14:$K$20,9)/30))</f>
        <v>8.0212901416959355</v>
      </c>
      <c r="BI131" s="173">
        <f ca="1">(VLOOKUP(BI$72,INDIRECT($C$5&amp;"生成成长"),2))/((VLOOKUP($B131,INDIRECT($B$5&amp;"生成成长"),4))/(VLOOKUP(BI$72,INDIRECT($C$5&amp;"生成成长"),5))*(VLOOKUP($B$5,标准坦克设计!$B$24:$U$30,MATCH("对"&amp;LEFT($C$5,2)&amp;"输出",标准坦克设计!$B$23:$U$23,0)))*(VLOOKUP($B131,INDIRECT($B$5&amp;"生成成长"),3))*(VLOOKUP($B$5,标准坦克设计!$B$14:$K$20,9)/30))</f>
        <v>9.0406969250443243</v>
      </c>
      <c r="BJ131" s="173">
        <f ca="1">(VLOOKUP(BJ$72,INDIRECT($C$5&amp;"生成成长"),2))/((VLOOKUP($B131,INDIRECT($B$5&amp;"生成成长"),4))/(VLOOKUP(BJ$72,INDIRECT($C$5&amp;"生成成长"),5))*(VLOOKUP($B$5,标准坦克设计!$B$24:$U$30,MATCH("对"&amp;LEFT($C$5,2)&amp;"输出",标准坦克设计!$B$23:$U$23,0)))*(VLOOKUP($B131,INDIRECT($B$5&amp;"生成成长"),3))*(VLOOKUP($B$5,标准坦克设计!$B$14:$K$20,9)/30))</f>
        <v>10.12106491138365</v>
      </c>
      <c r="BK131" s="173">
        <f ca="1">(VLOOKUP(BK$72,INDIRECT($C$5&amp;"生成成长"),2))/((VLOOKUP($B131,INDIRECT($B$5&amp;"生成成长"),4))/(VLOOKUP(BK$72,INDIRECT($C$5&amp;"生成成长"),5))*(VLOOKUP($B$5,标准坦克设计!$B$24:$U$30,MATCH("对"&amp;LEFT($C$5,2)&amp;"输出",标准坦克设计!$B$23:$U$23,0)))*(VLOOKUP($B131,INDIRECT($B$5&amp;"生成成长"),3))*(VLOOKUP($B$5,标准坦克设计!$B$14:$K$20,9)/30))</f>
        <v>11.262394100713905</v>
      </c>
      <c r="BL131" s="173">
        <f ca="1">(VLOOKUP(BL$72,INDIRECT($C$5&amp;"生成成长"),2))/((VLOOKUP($B131,INDIRECT($B$5&amp;"生成成长"),4))/(VLOOKUP(BL$72,INDIRECT($C$5&amp;"生成成长"),5))*(VLOOKUP($B$5,标准坦克设计!$B$24:$U$30,MATCH("对"&amp;LEFT($C$5,2)&amp;"输出",标准坦克设计!$B$23:$U$23,0)))*(VLOOKUP($B131,INDIRECT($B$5&amp;"生成成长"),3))*(VLOOKUP($B$5,标准坦克设计!$B$14:$K$20,9)/30))</f>
        <v>12.464684493035097</v>
      </c>
      <c r="BM131" s="173">
        <f ca="1">(VLOOKUP(BM$72,INDIRECT($C$5&amp;"生成成长"),2))/((VLOOKUP($B131,INDIRECT($B$5&amp;"生成成长"),4))/(VLOOKUP(BM$72,INDIRECT($C$5&amp;"生成成长"),5))*(VLOOKUP($B$5,标准坦克设计!$B$24:$U$30,MATCH("对"&amp;LEFT($C$5,2)&amp;"输出",标准坦克设计!$B$23:$U$23,0)))*(VLOOKUP($B131,INDIRECT($B$5&amp;"生成成长"),3))*(VLOOKUP($B$5,标准坦克设计!$B$14:$K$20,9)/30))</f>
        <v>13.727936088347223</v>
      </c>
      <c r="BN131" s="173">
        <f ca="1">(VLOOKUP(BN$72,INDIRECT($C$5&amp;"生成成长"),2))/((VLOOKUP($B131,INDIRECT($B$5&amp;"生成成长"),4))/(VLOOKUP(BN$72,INDIRECT($C$5&amp;"生成成长"),5))*(VLOOKUP($B$5,标准坦克设计!$B$24:$U$30,MATCH("对"&amp;LEFT($C$5,2)&amp;"输出",标准坦克设计!$B$23:$U$23,0)))*(VLOOKUP($B131,INDIRECT($B$5&amp;"生成成长"),3))*(VLOOKUP($B$5,标准坦克设计!$B$14:$K$20,9)/30))</f>
        <v>15.052148886650279</v>
      </c>
      <c r="BO131" s="173">
        <f ca="1">(VLOOKUP(BO$72,INDIRECT($C$5&amp;"生成成长"),2))/((VLOOKUP($B131,INDIRECT($B$5&amp;"生成成长"),4))/(VLOOKUP(BO$72,INDIRECT($C$5&amp;"生成成长"),5))*(VLOOKUP($B$5,标准坦克设计!$B$24:$U$30,MATCH("对"&amp;LEFT($C$5,2)&amp;"输出",标准坦克设计!$B$23:$U$23,0)))*(VLOOKUP($B131,INDIRECT($B$5&amp;"生成成长"),3))*(VLOOKUP($B$5,标准坦克设计!$B$14:$K$20,9)/30))</f>
        <v>16.437322887944276</v>
      </c>
      <c r="BP131" s="173">
        <f ca="1">(VLOOKUP(BP$72,INDIRECT($C$5&amp;"生成成长"),2))/((VLOOKUP($B131,INDIRECT($B$5&amp;"生成成长"),4))/(VLOOKUP(BP$72,INDIRECT($C$5&amp;"生成成长"),5))*(VLOOKUP($B$5,标准坦克设计!$B$24:$U$30,MATCH("对"&amp;LEFT($C$5,2)&amp;"输出",标准坦克设计!$B$23:$U$23,0)))*(VLOOKUP($B131,INDIRECT($B$5&amp;"生成成长"),3))*(VLOOKUP($B$5,标准坦克设计!$B$14:$K$20,9)/30))</f>
        <v>17.883458092229201</v>
      </c>
      <c r="BQ131" s="173">
        <f ca="1">(VLOOKUP(BQ$72,INDIRECT($C$5&amp;"生成成长"),2))/((VLOOKUP($B131,INDIRECT($B$5&amp;"生成成长"),4))/(VLOOKUP(BQ$72,INDIRECT($C$5&amp;"生成成长"),5))*(VLOOKUP($B$5,标准坦克设计!$B$24:$U$30,MATCH("对"&amp;LEFT($C$5,2)&amp;"输出",标准坦克设计!$B$23:$U$23,0)))*(VLOOKUP($B131,INDIRECT($B$5&amp;"生成成长"),3))*(VLOOKUP($B$5,标准坦克设计!$B$14:$K$20,9)/30))</f>
        <v>19.390554499505058</v>
      </c>
      <c r="BR131" s="173">
        <f ca="1">(VLOOKUP(BR$72,INDIRECT($C$5&amp;"生成成长"),2))/((VLOOKUP($B131,INDIRECT($B$5&amp;"生成成长"),4))/(VLOOKUP(BR$72,INDIRECT($C$5&amp;"生成成长"),5))*(VLOOKUP($B$5,标准坦克设计!$B$24:$U$30,MATCH("对"&amp;LEFT($C$5,2)&amp;"输出",标准坦克设计!$B$23:$U$23,0)))*(VLOOKUP($B131,INDIRECT($B$5&amp;"生成成长"),3))*(VLOOKUP($B$5,标准坦克设计!$B$14:$K$20,9)/30))</f>
        <v>21.136603770356491</v>
      </c>
      <c r="BS131" s="173">
        <f ca="1">(VLOOKUP(BS$72,INDIRECT($C$5&amp;"生成成长"),2))/((VLOOKUP($B131,INDIRECT($B$5&amp;"生成成长"),4))/(VLOOKUP(BS$72,INDIRECT($C$5&amp;"生成成长"),5))*(VLOOKUP($B$5,标准坦克设计!$B$24:$U$30,MATCH("对"&amp;LEFT($C$5,2)&amp;"输出",标准坦克设计!$B$23:$U$23,0)))*(VLOOKUP($B131,INDIRECT($B$5&amp;"生成成长"),3))*(VLOOKUP($B$5,标准坦克设计!$B$14:$K$20,9)/30))</f>
        <v>22.957913785641171</v>
      </c>
      <c r="BT131" s="173">
        <f ca="1">(VLOOKUP(BT$72,INDIRECT($C$5&amp;"生成成长"),2))/((VLOOKUP($B131,INDIRECT($B$5&amp;"生成成长"),4))/(VLOOKUP(BT$72,INDIRECT($C$5&amp;"生成成长"),5))*(VLOOKUP($B$5,标准坦克设计!$B$24:$U$30,MATCH("对"&amp;LEFT($C$5,2)&amp;"输出",标准坦克设计!$B$23:$U$23,0)))*(VLOOKUP($B131,INDIRECT($B$5&amp;"生成成长"),3))*(VLOOKUP($B$5,标准坦克设计!$B$14:$K$20,9)/30))</f>
        <v>24.85448454535911</v>
      </c>
      <c r="BU131" s="173">
        <f ca="1">(VLOOKUP(BU$72,INDIRECT($C$5&amp;"生成成长"),2))/((VLOOKUP($B131,INDIRECT($B$5&amp;"生成成长"),4))/(VLOOKUP(BU$72,INDIRECT($C$5&amp;"生成成长"),5))*(VLOOKUP($B$5,标准坦克设计!$B$24:$U$30,MATCH("对"&amp;LEFT($C$5,2)&amp;"输出",标准坦克设计!$B$23:$U$23,0)))*(VLOOKUP($B131,INDIRECT($B$5&amp;"生成成长"),3))*(VLOOKUP($B$5,标准坦克设计!$B$14:$K$20,9)/30))</f>
        <v>26.826316049510297</v>
      </c>
      <c r="BV131" s="173">
        <f ca="1">(VLOOKUP(BV$72,INDIRECT($C$5&amp;"生成成长"),2))/((VLOOKUP($B131,INDIRECT($B$5&amp;"生成成长"),4))/(VLOOKUP(BV$72,INDIRECT($C$5&amp;"生成成长"),5))*(VLOOKUP($B$5,标准坦克设计!$B$24:$U$30,MATCH("对"&amp;LEFT($C$5,2)&amp;"输出",标准坦克设计!$B$23:$U$23,0)))*(VLOOKUP($B131,INDIRECT($B$5&amp;"生成成长"),3))*(VLOOKUP($B$5,标准坦克设计!$B$14:$K$20,9)/30))</f>
        <v>28.873408298094741</v>
      </c>
      <c r="BW131" s="173">
        <f ca="1">(VLOOKUP(BW$72,INDIRECT($C$5&amp;"生成成长"),2))/((VLOOKUP($B131,INDIRECT($B$5&amp;"生成成长"),4))/(VLOOKUP(BW$72,INDIRECT($C$5&amp;"生成成长"),5))*(VLOOKUP($B$5,标准坦克设计!$B$24:$U$30,MATCH("对"&amp;LEFT($C$5,2)&amp;"输出",标准坦克设计!$B$23:$U$23,0)))*(VLOOKUP($B131,INDIRECT($B$5&amp;"生成成长"),3))*(VLOOKUP($B$5,标准坦克设计!$B$14:$K$20,9)/30))</f>
        <v>13.158964860431841</v>
      </c>
      <c r="BX131" s="173">
        <f ca="1">(VLOOKUP(BX$72,INDIRECT($C$5&amp;"生成成长"),2))/((VLOOKUP($B131,INDIRECT($B$5&amp;"生成成长"),4))/(VLOOKUP(BX$72,INDIRECT($C$5&amp;"生成成长"),5))*(VLOOKUP($B$5,标准坦克设计!$B$24:$U$30,MATCH("对"&amp;LEFT($C$5,2)&amp;"输出",标准坦克设计!$B$23:$U$23,0)))*(VLOOKUP($B131,INDIRECT($B$5&amp;"生成成长"),3))*(VLOOKUP($B$5,标准坦克设计!$B$14:$K$20,9)/30))</f>
        <v>14.603971153550271</v>
      </c>
      <c r="BY131" s="173">
        <f ca="1">(VLOOKUP(BY$72,INDIRECT($C$5&amp;"生成成长"),2))/((VLOOKUP($B131,INDIRECT($B$5&amp;"生成成长"),4))/(VLOOKUP(BY$72,INDIRECT($C$5&amp;"生成成长"),5))*(VLOOKUP($B$5,标准坦克设计!$B$24:$U$30,MATCH("对"&amp;LEFT($C$5,2)&amp;"输出",标准坦克设计!$B$23:$U$23,0)))*(VLOOKUP($B131,INDIRECT($B$5&amp;"生成成长"),3))*(VLOOKUP($B$5,标准坦克设计!$B$14:$K$20,9)/30))</f>
        <v>16.124238191101949</v>
      </c>
      <c r="BZ131" s="173">
        <f ca="1">(VLOOKUP(BZ$72,INDIRECT($C$5&amp;"生成成长"),2))/((VLOOKUP($B131,INDIRECT($B$5&amp;"生成成长"),4))/(VLOOKUP(BZ$72,INDIRECT($C$5&amp;"生成成长"),5))*(VLOOKUP($B$5,标准坦克设计!$B$24:$U$30,MATCH("对"&amp;LEFT($C$5,2)&amp;"输出",标准坦克设计!$B$23:$U$23,0)))*(VLOOKUP($B131,INDIRECT($B$5&amp;"生成成长"),3))*(VLOOKUP($B$5,标准坦克设计!$B$14:$K$20,9)/30))</f>
        <v>17.719765973086879</v>
      </c>
      <c r="CA131" s="173">
        <f ca="1">(VLOOKUP(CA$72,INDIRECT($C$5&amp;"生成成长"),2))/((VLOOKUP($B131,INDIRECT($B$5&amp;"生成成长"),4))/(VLOOKUP(CA$72,INDIRECT($C$5&amp;"生成成长"),5))*(VLOOKUP($B$5,标准坦克设计!$B$24:$U$30,MATCH("对"&amp;LEFT($C$5,2)&amp;"输出",标准坦克设计!$B$23:$U$23,0)))*(VLOOKUP($B131,INDIRECT($B$5&amp;"生成成长"),3))*(VLOOKUP($B$5,标准坦克设计!$B$14:$K$20,9)/30))</f>
        <v>19.390554499505058</v>
      </c>
      <c r="CB131" s="173">
        <f ca="1">(VLOOKUP(CB$72,INDIRECT($C$5&amp;"生成成长"),2))/((VLOOKUP($B131,INDIRECT($B$5&amp;"生成成长"),4))/(VLOOKUP(CB$72,INDIRECT($C$5&amp;"生成成长"),5))*(VLOOKUP($B$5,标准坦克设计!$B$24:$U$30,MATCH("对"&amp;LEFT($C$5,2)&amp;"输出",标准坦克设计!$B$23:$U$23,0)))*(VLOOKUP($B131,INDIRECT($B$5&amp;"生成成长"),3))*(VLOOKUP($B$5,标准坦克设计!$B$14:$K$20,9)/30))</f>
        <v>21.136603770356491</v>
      </c>
      <c r="CC131" s="173">
        <f ca="1">(VLOOKUP(CC$72,INDIRECT($C$5&amp;"生成成长"),2))/((VLOOKUP($B131,INDIRECT($B$5&amp;"生成成长"),4))/(VLOOKUP(CC$72,INDIRECT($C$5&amp;"生成成长"),5))*(VLOOKUP($B$5,标准坦克设计!$B$24:$U$30,MATCH("对"&amp;LEFT($C$5,2)&amp;"输出",标准坦克设计!$B$23:$U$23,0)))*(VLOOKUP($B131,INDIRECT($B$5&amp;"生成成长"),3))*(VLOOKUP($B$5,标准坦克设计!$B$14:$K$20,9)/30))</f>
        <v>22.957913785641171</v>
      </c>
      <c r="CD131" s="173">
        <f ca="1">(VLOOKUP(CD$72,INDIRECT($C$5&amp;"生成成长"),2))/((VLOOKUP($B131,INDIRECT($B$5&amp;"生成成长"),4))/(VLOOKUP(CD$72,INDIRECT($C$5&amp;"生成成长"),5))*(VLOOKUP($B$5,标准坦克设计!$B$24:$U$30,MATCH("对"&amp;LEFT($C$5,2)&amp;"输出",标准坦克设计!$B$23:$U$23,0)))*(VLOOKUP($B131,INDIRECT($B$5&amp;"生成成长"),3))*(VLOOKUP($B$5,标准坦克设计!$B$14:$K$20,9)/30))</f>
        <v>24.85448454535911</v>
      </c>
      <c r="CE131" s="173">
        <f ca="1">(VLOOKUP(CE$72,INDIRECT($C$5&amp;"生成成长"),2))/((VLOOKUP($B131,INDIRECT($B$5&amp;"生成成长"),4))/(VLOOKUP(CE$72,INDIRECT($C$5&amp;"生成成长"),5))*(VLOOKUP($B$5,标准坦克设计!$B$24:$U$30,MATCH("对"&amp;LEFT($C$5,2)&amp;"输出",标准坦克设计!$B$23:$U$23,0)))*(VLOOKUP($B131,INDIRECT($B$5&amp;"生成成长"),3))*(VLOOKUP($B$5,标准坦克设计!$B$14:$K$20,9)/30))</f>
        <v>26.826316049510297</v>
      </c>
      <c r="CF131" s="173">
        <f ca="1">(VLOOKUP(CF$72,INDIRECT($C$5&amp;"生成成长"),2))/((VLOOKUP($B131,INDIRECT($B$5&amp;"生成成长"),4))/(VLOOKUP(CF$72,INDIRECT($C$5&amp;"生成成长"),5))*(VLOOKUP($B$5,标准坦克设计!$B$24:$U$30,MATCH("对"&amp;LEFT($C$5,2)&amp;"输出",标准坦克设计!$B$23:$U$23,0)))*(VLOOKUP($B131,INDIRECT($B$5&amp;"生成成长"),3))*(VLOOKUP($B$5,标准坦克设计!$B$14:$K$20,9)/30))</f>
        <v>28.873408298094741</v>
      </c>
      <c r="CG131" s="173">
        <f ca="1">(VLOOKUP(CG$72,INDIRECT($C$5&amp;"生成成长"),2))/((VLOOKUP($B131,INDIRECT($B$5&amp;"生成成长"),4))/(VLOOKUP(CG$72,INDIRECT($C$5&amp;"生成成长"),5))*(VLOOKUP($B$5,标准坦克设计!$B$24:$U$30,MATCH("对"&amp;LEFT($C$5,2)&amp;"输出",标准坦克设计!$B$23:$U$23,0)))*(VLOOKUP($B131,INDIRECT($B$5&amp;"生成成长"),3))*(VLOOKUP($B$5,标准坦克设计!$B$14:$K$20,9)/30))</f>
        <v>30.99576129111243</v>
      </c>
      <c r="CH131" s="173">
        <f ca="1">(VLOOKUP(CH$72,INDIRECT($C$5&amp;"生成成长"),2))/((VLOOKUP($B131,INDIRECT($B$5&amp;"生成成长"),4))/(VLOOKUP(CH$72,INDIRECT($C$5&amp;"生成成长"),5))*(VLOOKUP($B$5,标准坦克设计!$B$24:$U$30,MATCH("对"&amp;LEFT($C$5,2)&amp;"输出",标准坦克设计!$B$23:$U$23,0)))*(VLOOKUP($B131,INDIRECT($B$5&amp;"生成成长"),3))*(VLOOKUP($B$5,标准坦克设计!$B$14:$K$20,9)/30))</f>
        <v>33.193375028563374</v>
      </c>
      <c r="CI131" s="173">
        <f ca="1">(VLOOKUP(CI$72,INDIRECT($C$5&amp;"生成成长"),2))/((VLOOKUP($B131,INDIRECT($B$5&amp;"生成成长"),4))/(VLOOKUP(CI$72,INDIRECT($C$5&amp;"生成成长"),5))*(VLOOKUP($B$5,标准坦克设计!$B$24:$U$30,MATCH("对"&amp;LEFT($C$5,2)&amp;"输出",标准坦克设计!$B$23:$U$23,0)))*(VLOOKUP($B131,INDIRECT($B$5&amp;"生成成长"),3))*(VLOOKUP($B$5,标准坦克设计!$B$14:$K$20,9)/30))</f>
        <v>35.697676299579804</v>
      </c>
      <c r="CJ131" s="173">
        <f ca="1">(VLOOKUP(CJ$72,INDIRECT($C$5&amp;"生成成长"),2))/((VLOOKUP($B131,INDIRECT($B$5&amp;"生成成长"),4))/(VLOOKUP(CJ$72,INDIRECT($C$5&amp;"生成成长"),5))*(VLOOKUP($B$5,标准坦克设计!$B$24:$U$30,MATCH("对"&amp;LEFT($C$5,2)&amp;"输出",标准坦克设计!$B$23:$U$23,0)))*(VLOOKUP($B131,INDIRECT($B$5&amp;"生成成长"),3))*(VLOOKUP($B$5,标准坦克设计!$B$14:$K$20,9)/30))</f>
        <v>38.293043071360486</v>
      </c>
      <c r="CK131" s="173">
        <f ca="1">(VLOOKUP(CK$72,INDIRECT($C$5&amp;"生成成长"),2))/((VLOOKUP($B131,INDIRECT($B$5&amp;"生成成长"),4))/(VLOOKUP(CK$72,INDIRECT($C$5&amp;"生成成长"),5))*(VLOOKUP($B$5,标准坦克设计!$B$24:$U$30,MATCH("对"&amp;LEFT($C$5,2)&amp;"输出",标准坦克设计!$B$23:$U$23,0)))*(VLOOKUP($B131,INDIRECT($B$5&amp;"生成成长"),3))*(VLOOKUP($B$5,标准坦克设计!$B$14:$K$20,9)/30))</f>
        <v>40.979475343905385</v>
      </c>
      <c r="CL131" s="173">
        <f ca="1">(VLOOKUP(CL$72,INDIRECT($C$5&amp;"生成成长"),2))/((VLOOKUP($B131,INDIRECT($B$5&amp;"生成成长"),4))/(VLOOKUP(CL$72,INDIRECT($C$5&amp;"生成成长"),5))*(VLOOKUP($B$5,标准坦克设计!$B$24:$U$30,MATCH("对"&amp;LEFT($C$5,2)&amp;"输出",标准坦克设计!$B$23:$U$23,0)))*(VLOOKUP($B131,INDIRECT($B$5&amp;"生成成长"),3))*(VLOOKUP($B$5,标准坦克设计!$B$14:$K$20,9)/30))</f>
        <v>43.756973117214535</v>
      </c>
      <c r="CM131" s="173">
        <f ca="1">(VLOOKUP(CM$72,INDIRECT($C$5&amp;"生成成长"),2))/((VLOOKUP($B131,INDIRECT($B$5&amp;"生成成长"),4))/(VLOOKUP(CM$72,INDIRECT($C$5&amp;"生成成长"),5))*(VLOOKUP($B$5,标准坦克设计!$B$24:$U$30,MATCH("对"&amp;LEFT($C$5,2)&amp;"输出",标准坦克设计!$B$23:$U$23,0)))*(VLOOKUP($B131,INDIRECT($B$5&amp;"生成成长"),3))*(VLOOKUP($B$5,标准坦克设计!$B$14:$K$20,9)/30))</f>
        <v>46.625536391287916</v>
      </c>
      <c r="CN131" s="173">
        <f ca="1">(VLOOKUP(CN$72,INDIRECT($C$5&amp;"生成成长"),2))/((VLOOKUP($B131,INDIRECT($B$5&amp;"生成成长"),4))/(VLOOKUP(CN$72,INDIRECT($C$5&amp;"生成成长"),5))*(VLOOKUP($B$5,标准坦克设计!$B$24:$U$30,MATCH("对"&amp;LEFT($C$5,2)&amp;"输出",标准坦克设计!$B$23:$U$23,0)))*(VLOOKUP($B131,INDIRECT($B$5&amp;"生成成长"),3))*(VLOOKUP($B$5,标准坦克设计!$B$14:$K$20,9)/30))</f>
        <v>49.58516516612552</v>
      </c>
      <c r="CO131" s="173">
        <f ca="1">(VLOOKUP(CO$72,INDIRECT($C$5&amp;"生成成长"),2))/((VLOOKUP($B131,INDIRECT($B$5&amp;"生成成长"),4))/(VLOOKUP(CO$72,INDIRECT($C$5&amp;"生成成长"),5))*(VLOOKUP($B$5,标准坦克设计!$B$24:$U$30,MATCH("对"&amp;LEFT($C$5,2)&amp;"输出",标准坦克设计!$B$23:$U$23,0)))*(VLOOKUP($B131,INDIRECT($B$5&amp;"生成成长"),3))*(VLOOKUP($B$5,标准坦克设计!$B$14:$K$20,9)/30))</f>
        <v>22.220358490195316</v>
      </c>
      <c r="CP131" s="173">
        <f ca="1">(VLOOKUP(CP$72,INDIRECT($C$5&amp;"生成成长"),2))/((VLOOKUP($B131,INDIRECT($B$5&amp;"生成成长"),4))/(VLOOKUP(CP$72,INDIRECT($C$5&amp;"生成成长"),5))*(VLOOKUP($B$5,标准坦克设计!$B$24:$U$30,MATCH("对"&amp;LEFT($C$5,2)&amp;"输出",标准坦克设计!$B$23:$U$23,0)))*(VLOOKUP($B131,INDIRECT($B$5&amp;"生成成长"),3))*(VLOOKUP($B$5,标准坦克设计!$B$14:$K$20,9)/30))</f>
        <v>24.27761093927824</v>
      </c>
      <c r="CQ131" s="173">
        <f ca="1">(VLOOKUP(CQ$72,INDIRECT($C$5&amp;"生成成长"),2))/((VLOOKUP($B131,INDIRECT($B$5&amp;"生成成长"),4))/(VLOOKUP(CQ$72,INDIRECT($C$5&amp;"生成成长"),5))*(VLOOKUP($B$5,标准坦克设计!$B$24:$U$30,MATCH("对"&amp;LEFT($C$5,2)&amp;"输出",标准坦克设计!$B$23:$U$23,0)))*(VLOOKUP($B131,INDIRECT($B$5&amp;"生成成长"),3))*(VLOOKUP($B$5,标准坦克设计!$B$14:$K$20,9)/30))</f>
        <v>26.425928889125402</v>
      </c>
      <c r="CR131" s="173">
        <f ca="1">(VLOOKUP(CR$72,INDIRECT($C$5&amp;"生成成长"),2))/((VLOOKUP($B131,INDIRECT($B$5&amp;"生成成长"),4))/(VLOOKUP(CR$72,INDIRECT($C$5&amp;"生成成长"),5))*(VLOOKUP($B$5,标准坦克设计!$B$24:$U$30,MATCH("对"&amp;LEFT($C$5,2)&amp;"输出",标准坦克设计!$B$23:$U$23,0)))*(VLOOKUP($B131,INDIRECT($B$5&amp;"生成成长"),3))*(VLOOKUP($B$5,标准坦克设计!$B$14:$K$20,9)/30))</f>
        <v>28.66531233973679</v>
      </c>
      <c r="CS131" s="173">
        <f ca="1">(VLOOKUP(CS$72,INDIRECT($C$5&amp;"生成成长"),2))/((VLOOKUP($B131,INDIRECT($B$5&amp;"生成成长"),4))/(VLOOKUP(CS$72,INDIRECT($C$5&amp;"生成成长"),5))*(VLOOKUP($B$5,标准坦克设计!$B$24:$U$30,MATCH("对"&amp;LEFT($C$5,2)&amp;"输出",标准坦克设计!$B$23:$U$23,0)))*(VLOOKUP($B131,INDIRECT($B$5&amp;"生成成长"),3))*(VLOOKUP($B$5,标准坦克设计!$B$14:$K$20,9)/30))</f>
        <v>30.99576129111243</v>
      </c>
      <c r="CT131" s="173">
        <f ca="1">(VLOOKUP(CT$72,INDIRECT($C$5&amp;"生成成长"),2))/((VLOOKUP($B131,INDIRECT($B$5&amp;"生成成长"),4))/(VLOOKUP(CT$72,INDIRECT($C$5&amp;"生成成长"),5))*(VLOOKUP($B$5,标准坦克设计!$B$24:$U$30,MATCH("对"&amp;LEFT($C$5,2)&amp;"输出",标准坦克设计!$B$23:$U$23,0)))*(VLOOKUP($B131,INDIRECT($B$5&amp;"生成成长"),3))*(VLOOKUP($B$5,标准坦克设计!$B$14:$K$20,9)/30))</f>
        <v>33.41727574325229</v>
      </c>
      <c r="CU131" s="173">
        <f ca="1">(VLOOKUP(CU$72,INDIRECT($C$5&amp;"生成成长"),2))/((VLOOKUP($B131,INDIRECT($B$5&amp;"生成成长"),4))/(VLOOKUP(CU$72,INDIRECT($C$5&amp;"生成成长"),5))*(VLOOKUP($B$5,标准坦克设计!$B$24:$U$30,MATCH("对"&amp;LEFT($C$5,2)&amp;"输出",标准坦克设计!$B$23:$U$23,0)))*(VLOOKUP($B131,INDIRECT($B$5&amp;"生成成长"),3))*(VLOOKUP($B$5,标准坦克设计!$B$14:$K$20,9)/30))</f>
        <v>35.92985569615638</v>
      </c>
      <c r="CV131" s="173">
        <f ca="1">(VLOOKUP(CV$72,INDIRECT($C$5&amp;"生成成长"),2))/((VLOOKUP($B131,INDIRECT($B$5&amp;"生成成长"),4))/(VLOOKUP(CV$72,INDIRECT($C$5&amp;"生成成长"),5))*(VLOOKUP($B$5,标准坦克设计!$B$24:$U$30,MATCH("对"&amp;LEFT($C$5,2)&amp;"输出",标准坦克设计!$B$23:$U$23,0)))*(VLOOKUP($B131,INDIRECT($B$5&amp;"生成成长"),3))*(VLOOKUP($B$5,标准坦克设计!$B$14:$K$20,9)/30))</f>
        <v>38.533501149824716</v>
      </c>
      <c r="CW131" s="173">
        <f ca="1">(VLOOKUP(CW$72,INDIRECT($C$5&amp;"生成成长"),2))/((VLOOKUP($B131,INDIRECT($B$5&amp;"生成成长"),4))/(VLOOKUP(CW$72,INDIRECT($C$5&amp;"生成成长"),5))*(VLOOKUP($B$5,标准坦克设计!$B$24:$U$30,MATCH("对"&amp;LEFT($C$5,2)&amp;"输出",标准坦克设计!$B$23:$U$23,0)))*(VLOOKUP($B131,INDIRECT($B$5&amp;"生成成长"),3))*(VLOOKUP($B$5,标准坦克设计!$B$14:$K$20,9)/30))</f>
        <v>41.228212104257288</v>
      </c>
      <c r="CX131" s="173">
        <f ca="1">(VLOOKUP(CX$72,INDIRECT($C$5&amp;"生成成长"),2))/((VLOOKUP($B131,INDIRECT($B$5&amp;"生成成长"),4))/(VLOOKUP(CX$72,INDIRECT($C$5&amp;"生成成长"),5))*(VLOOKUP($B$5,标准坦克设计!$B$24:$U$30,MATCH("对"&amp;LEFT($C$5,2)&amp;"输出",标准坦克设计!$B$23:$U$23,0)))*(VLOOKUP($B131,INDIRECT($B$5&amp;"生成成长"),3))*(VLOOKUP($B$5,标准坦克设计!$B$14:$K$20,9)/30))</f>
        <v>44.013988559454077</v>
      </c>
      <c r="CY131" s="173">
        <f ca="1">(VLOOKUP(CY$72,INDIRECT($C$5&amp;"生成成长"),2))/((VLOOKUP($B131,INDIRECT($B$5&amp;"生成成长"),4))/(VLOOKUP(CY$72,INDIRECT($C$5&amp;"生成成长"),5))*(VLOOKUP($B$5,标准坦克设计!$B$24:$U$30,MATCH("对"&amp;LEFT($C$5,2)&amp;"输出",标准坦克设计!$B$23:$U$23,0)))*(VLOOKUP($B131,INDIRECT($B$5&amp;"生成成长"),3))*(VLOOKUP($B$5,标准坦克设计!$B$14:$K$20,9)/30))</f>
        <v>46.890830515415125</v>
      </c>
      <c r="CZ131" s="173">
        <f ca="1">(VLOOKUP(CZ$72,INDIRECT($C$5&amp;"生成成长"),2))/((VLOOKUP($B131,INDIRECT($B$5&amp;"生成成长"),4))/(VLOOKUP(CZ$72,INDIRECT($C$5&amp;"生成成长"),5))*(VLOOKUP($B$5,标准坦克设计!$B$24:$U$30,MATCH("对"&amp;LEFT($C$5,2)&amp;"输出",标准坦克设计!$B$23:$U$23,0)))*(VLOOKUP($B131,INDIRECT($B$5&amp;"生成成长"),3))*(VLOOKUP($B$5,标准坦克设计!$B$14:$K$20,9)/30))</f>
        <v>49.858737972140389</v>
      </c>
      <c r="DA131" s="173">
        <f ca="1">(VLOOKUP(DA$72,INDIRECT($C$5&amp;"生成成长"),2))/((VLOOKUP($B131,INDIRECT($B$5&amp;"生成成长"),4))/(VLOOKUP(DA$72,INDIRECT($C$5&amp;"生成成长"),5))*(VLOOKUP($B$5,标准坦克设计!$B$24:$U$30,MATCH("对"&amp;LEFT($C$5,2)&amp;"输出",标准坦克设计!$B$23:$U$23,0)))*(VLOOKUP($B131,INDIRECT($B$5&amp;"生成成长"),3))*(VLOOKUP($B$5,标准坦克设计!$B$14:$K$20,9)/30))</f>
        <v>52.917710929629898</v>
      </c>
      <c r="DB131" s="173">
        <f ca="1">(VLOOKUP(DB$72,INDIRECT($C$5&amp;"生成成长"),2))/((VLOOKUP($B131,INDIRECT($B$5&amp;"生成成长"),4))/(VLOOKUP(DB$72,INDIRECT($C$5&amp;"生成成长"),5))*(VLOOKUP($B$5,标准坦克设计!$B$24:$U$30,MATCH("对"&amp;LEFT($C$5,2)&amp;"输出",标准坦克设计!$B$23:$U$23,0)))*(VLOOKUP($B131,INDIRECT($B$5&amp;"生成成长"),3))*(VLOOKUP($B$5,标准坦克设计!$B$14:$K$20,9)/30))</f>
        <v>56.067749387883637</v>
      </c>
      <c r="DC131" s="173">
        <f ca="1">(VLOOKUP(DC$72,INDIRECT($C$5&amp;"生成成长"),2))/((VLOOKUP($B131,INDIRECT($B$5&amp;"生成成长"),4))/(VLOOKUP(DC$72,INDIRECT($C$5&amp;"生成成长"),5))*(VLOOKUP($B$5,标准坦克设计!$B$24:$U$30,MATCH("对"&amp;LEFT($C$5,2)&amp;"输出",标准坦克设计!$B$23:$U$23,0)))*(VLOOKUP($B131,INDIRECT($B$5&amp;"生成成长"),3))*(VLOOKUP($B$5,标准坦克设计!$B$14:$K$20,9)/30))</f>
        <v>59.608014806023775</v>
      </c>
      <c r="DD131" s="173">
        <f ca="1">(VLOOKUP(DD$72,INDIRECT($C$5&amp;"生成成长"),2))/((VLOOKUP($B131,INDIRECT($B$5&amp;"生成成长"),4))/(VLOOKUP(DD$72,INDIRECT($C$5&amp;"生成成长"),5))*(VLOOKUP($B$5,标准坦克设计!$B$24:$U$30,MATCH("对"&amp;LEFT($C$5,2)&amp;"输出",标准坦克设计!$B$23:$U$23,0)))*(VLOOKUP($B131,INDIRECT($B$5&amp;"生成成长"),3))*(VLOOKUP($B$5,标准坦克设计!$B$14:$K$20,9)/30))</f>
        <v>63.25665569614781</v>
      </c>
      <c r="DE131" s="173">
        <f ca="1">(VLOOKUP(DE$72,INDIRECT($C$5&amp;"生成成长"),2))/((VLOOKUP($B131,INDIRECT($B$5&amp;"生成成长"),4))/(VLOOKUP(DE$72,INDIRECT($C$5&amp;"生成成长"),5))*(VLOOKUP($B$5,标准坦克设计!$B$24:$U$30,MATCH("对"&amp;LEFT($C$5,2)&amp;"输出",标准坦克设计!$B$23:$U$23,0)))*(VLOOKUP($B131,INDIRECT($B$5&amp;"生成成长"),3))*(VLOOKUP($B$5,标准坦克设计!$B$14:$K$20,9)/30))</f>
        <v>67.013672058255707</v>
      </c>
      <c r="DF131" s="173">
        <f ca="1">(VLOOKUP(DF$72,INDIRECT($C$5&amp;"生成成长"),2))/((VLOOKUP($B131,INDIRECT($B$5&amp;"生成成长"),4))/(VLOOKUP(DF$72,INDIRECT($C$5&amp;"生成成长"),5))*(VLOOKUP($B$5,标准坦克设计!$B$24:$U$30,MATCH("对"&amp;LEFT($C$5,2)&amp;"输出",标准坦克设计!$B$23:$U$23,0)))*(VLOOKUP($B131,INDIRECT($B$5&amp;"生成成长"),3))*(VLOOKUP($B$5,标准坦克设计!$B$14:$K$20,9)/30))</f>
        <v>70.879063892347517</v>
      </c>
      <c r="DG131" s="173">
        <f ca="1">(VLOOKUP(DG$72,INDIRECT($C$5&amp;"生成成长"),2))/((VLOOKUP($B131,INDIRECT($B$5&amp;"生成成长"),4))/(VLOOKUP(DG$72,INDIRECT($C$5&amp;"生成成长"),5))*(VLOOKUP($B$5,标准坦克设计!$B$24:$U$30,MATCH("对"&amp;LEFT($C$5,2)&amp;"输出",标准坦克设计!$B$23:$U$23,0)))*(VLOOKUP($B131,INDIRECT($B$5&amp;"生成成长"),3))*(VLOOKUP($B$5,标准坦克设计!$B$14:$K$20,9)/30))</f>
        <v>74.852831198423189</v>
      </c>
      <c r="DH131" s="173">
        <f ca="1">(VLOOKUP(DH$72,INDIRECT($C$5&amp;"生成成长"),2))/((VLOOKUP($B131,INDIRECT($B$5&amp;"生成成长"),4))/(VLOOKUP(DH$72,INDIRECT($C$5&amp;"生成成长"),5))*(VLOOKUP($B$5,标准坦克设计!$B$24:$U$30,MATCH("对"&amp;LEFT($C$5,2)&amp;"输出",标准坦克设计!$B$23:$U$23,0)))*(VLOOKUP($B131,INDIRECT($B$5&amp;"生成成长"),3))*(VLOOKUP($B$5,标准坦克设计!$B$14:$K$20,9)/30))</f>
        <v>78.934973976482738</v>
      </c>
      <c r="DI131" s="173">
        <f ca="1">(VLOOKUP(DI$72,INDIRECT($C$5&amp;"生成成长"),2))/((VLOOKUP($B131,INDIRECT($B$5&amp;"生成成长"),4))/(VLOOKUP(DI$72,INDIRECT($C$5&amp;"生成成长"),5))*(VLOOKUP($B$5,标准坦克设计!$B$24:$U$30,MATCH("对"&amp;LEFT($C$5,2)&amp;"输出",标准坦克设计!$B$23:$U$23,0)))*(VLOOKUP($B131,INDIRECT($B$5&amp;"生成成长"),3))*(VLOOKUP($B$5,标准坦克设计!$B$14:$K$20,9)/30))</f>
        <v>83.125492226526191</v>
      </c>
      <c r="DJ131" s="173">
        <f ca="1">(VLOOKUP(DJ$72,INDIRECT($C$5&amp;"生成成长"),2))/((VLOOKUP($B131,INDIRECT($B$5&amp;"生成成长"),4))/(VLOOKUP(DJ$72,INDIRECT($C$5&amp;"生成成长"),5))*(VLOOKUP($B$5,标准坦克设计!$B$24:$U$30,MATCH("对"&amp;LEFT($C$5,2)&amp;"输出",标准坦克设计!$B$23:$U$23,0)))*(VLOOKUP($B131,INDIRECT($B$5&amp;"生成成长"),3))*(VLOOKUP($B$5,标准坦克设计!$B$14:$K$20,9)/30))</f>
        <v>8.3543189358130725</v>
      </c>
      <c r="DK131" s="173">
        <f ca="1">(VLOOKUP(DK$72,INDIRECT($C$5&amp;"生成成长"),2))/((VLOOKUP($B131,INDIRECT($B$5&amp;"生成成长"),4))/(VLOOKUP(DK$72,INDIRECT($C$5&amp;"生成成长"),5))*(VLOOKUP($B$5,标准坦克设计!$B$24:$U$30,MATCH("对"&amp;LEFT($C$5,2)&amp;"输出",标准坦克设计!$B$23:$U$23,0)))*(VLOOKUP($B131,INDIRECT($B$5&amp;"生成成长"),3))*(VLOOKUP($B$5,标准坦克设计!$B$14:$K$20,9)/30))</f>
        <v>9.3940461201584391</v>
      </c>
      <c r="DL131" s="173">
        <f ca="1">(VLOOKUP(DL$72,INDIRECT($C$5&amp;"生成成长"),2))/((VLOOKUP($B131,INDIRECT($B$5&amp;"生成成长"),4))/(VLOOKUP(DL$72,INDIRECT($C$5&amp;"生成成长"),5))*(VLOOKUP($B$5,标准坦克设计!$B$24:$U$30,MATCH("对"&amp;LEFT($C$5,2)&amp;"输出",标准坦克设计!$B$23:$U$23,0)))*(VLOOKUP($B131,INDIRECT($B$5&amp;"生成成长"),3))*(VLOOKUP($B$5,标准坦克设计!$B$14:$K$20,9)/30))</f>
        <v>10.494734507494742</v>
      </c>
      <c r="DM131" s="173">
        <f ca="1">(VLOOKUP(DM$72,INDIRECT($C$5&amp;"生成成长"),2))/((VLOOKUP($B131,INDIRECT($B$5&amp;"生成成长"),4))/(VLOOKUP(DM$72,INDIRECT($C$5&amp;"生成成长"),5))*(VLOOKUP($B$5,标准坦克设计!$B$24:$U$30,MATCH("对"&amp;LEFT($C$5,2)&amp;"输出",标准坦克设计!$B$23:$U$23,0)))*(VLOOKUP($B131,INDIRECT($B$5&amp;"生成成长"),3))*(VLOOKUP($B$5,标准坦克设计!$B$14:$K$20,9)/30))</f>
        <v>11.656384097821979</v>
      </c>
      <c r="DN131" s="173">
        <f ca="1">(VLOOKUP(DN$72,INDIRECT($C$5&amp;"生成成长"),2))/((VLOOKUP($B131,INDIRECT($B$5&amp;"生成成长"),4))/(VLOOKUP(DN$72,INDIRECT($C$5&amp;"生成成长"),5))*(VLOOKUP($B$5,标准坦克设计!$B$24:$U$30,MATCH("对"&amp;LEFT($C$5,2)&amp;"输出",标准坦克设计!$B$23:$U$23,0)))*(VLOOKUP($B131,INDIRECT($B$5&amp;"生成成长"),3))*(VLOOKUP($B$5,标准坦克设计!$B$14:$K$20,9)/30))</f>
        <v>12.878994891140145</v>
      </c>
      <c r="DO131" s="173">
        <f ca="1">(VLOOKUP(DO$72,INDIRECT($C$5&amp;"生成成长"),2))/((VLOOKUP($B131,INDIRECT($B$5&amp;"生成成长"),4))/(VLOOKUP(DO$72,INDIRECT($C$5&amp;"生成成长"),5))*(VLOOKUP($B$5,标准坦克设计!$B$24:$U$30,MATCH("对"&amp;LEFT($C$5,2)&amp;"输出",标准坦克设计!$B$23:$U$23,0)))*(VLOOKUP($B131,INDIRECT($B$5&amp;"生成成长"),3))*(VLOOKUP($B$5,标准坦克设计!$B$14:$K$20,9)/30))</f>
        <v>14.16256688744925</v>
      </c>
      <c r="DP131" s="173">
        <f ca="1">(VLOOKUP(DP$72,INDIRECT($C$5&amp;"生成成长"),2))/((VLOOKUP($B131,INDIRECT($B$5&amp;"生成成长"),4))/(VLOOKUP(DP$72,INDIRECT($C$5&amp;"生成成长"),5))*(VLOOKUP($B$5,标准坦克设计!$B$24:$U$30,MATCH("对"&amp;LEFT($C$5,2)&amp;"输出",标准坦克设计!$B$23:$U$23,0)))*(VLOOKUP($B131,INDIRECT($B$5&amp;"生成成长"),3))*(VLOOKUP($B$5,标准坦克设计!$B$14:$K$20,9)/30))</f>
        <v>15.507100086749288</v>
      </c>
      <c r="DQ131" s="173">
        <f ca="1">(VLOOKUP(DQ$72,INDIRECT($C$5&amp;"生成成长"),2))/((VLOOKUP($B131,INDIRECT($B$5&amp;"生成成长"),4))/(VLOOKUP(DQ$72,INDIRECT($C$5&amp;"生成成长"),5))*(VLOOKUP($B$5,标准坦克设计!$B$24:$U$30,MATCH("对"&amp;LEFT($C$5,2)&amp;"输出",标准坦克设计!$B$23:$U$23,0)))*(VLOOKUP($B131,INDIRECT($B$5&amp;"生成成长"),3))*(VLOOKUP($B$5,标准坦克设计!$B$14:$K$20,9)/30))</f>
        <v>16.912594489040256</v>
      </c>
      <c r="DR131" s="173">
        <f ca="1">(VLOOKUP(DR$72,INDIRECT($C$5&amp;"生成成长"),2))/((VLOOKUP($B131,INDIRECT($B$5&amp;"生成成长"),4))/(VLOOKUP(DR$72,INDIRECT($C$5&amp;"生成成长"),5))*(VLOOKUP($B$5,标准坦克设计!$B$24:$U$30,MATCH("对"&amp;LEFT($C$5,2)&amp;"输出",标准坦克设计!$B$23:$U$23,0)))*(VLOOKUP($B131,INDIRECT($B$5&amp;"生成成长"),3))*(VLOOKUP($B$5,标准坦克设计!$B$14:$K$20,9)/30))</f>
        <v>18.379050094322164</v>
      </c>
      <c r="DS131" s="173">
        <f ca="1">(VLOOKUP(DS$72,INDIRECT($C$5&amp;"生成成长"),2))/((VLOOKUP($B131,INDIRECT($B$5&amp;"生成成长"),4))/(VLOOKUP(DS$72,INDIRECT($C$5&amp;"生成成长"),5))*(VLOOKUP($B$5,标准坦克设计!$B$24:$U$30,MATCH("对"&amp;LEFT($C$5,2)&amp;"输出",标准坦克设计!$B$23:$U$23,0)))*(VLOOKUP($B131,INDIRECT($B$5&amp;"生成成长"),3))*(VLOOKUP($B$5,标准坦克设计!$B$14:$K$20,9)/30))</f>
        <v>19.906466902594996</v>
      </c>
      <c r="DT131" s="173">
        <f ca="1">(VLOOKUP(DT$72,INDIRECT($C$5&amp;"生成成长"),2))/((VLOOKUP($B131,INDIRECT($B$5&amp;"生成成长"),4))/(VLOOKUP(DT$72,INDIRECT($C$5&amp;"生成成长"),5))*(VLOOKUP($B$5,标准坦克设计!$B$24:$U$30,MATCH("对"&amp;LEFT($C$5,2)&amp;"输出",标准坦克设计!$B$23:$U$23,0)))*(VLOOKUP($B131,INDIRECT($B$5&amp;"生成成长"),3))*(VLOOKUP($B$5,标准坦克设计!$B$14:$K$20,9)/30))</f>
        <v>21.856096487138373</v>
      </c>
      <c r="DU131" s="173">
        <f ca="1">(VLOOKUP(DU$72,INDIRECT($C$5&amp;"生成成长"),2))/((VLOOKUP($B131,INDIRECT($B$5&amp;"生成成长"),4))/(VLOOKUP(DU$72,INDIRECT($C$5&amp;"生成成长"),5))*(VLOOKUP($B$5,标准坦克设计!$B$24:$U$30,MATCH("对"&amp;LEFT($C$5,2)&amp;"输出",标准坦克设计!$B$23:$U$23,0)))*(VLOOKUP($B131,INDIRECT($B$5&amp;"生成成长"),3))*(VLOOKUP($B$5,标准坦克设计!$B$14:$K$20,9)/30))</f>
        <v>23.896791572445984</v>
      </c>
      <c r="DV131" s="173">
        <f ca="1">(VLOOKUP(DV$72,INDIRECT($C$5&amp;"生成成长"),2))/((VLOOKUP($B131,INDIRECT($B$5&amp;"生成成长"),4))/(VLOOKUP(DV$72,INDIRECT($C$5&amp;"生成成长"),5))*(VLOOKUP($B$5,标准坦克设计!$B$24:$U$30,MATCH("对"&amp;LEFT($C$5,2)&amp;"输出",标准坦克设计!$B$23:$U$23,0)))*(VLOOKUP($B131,INDIRECT($B$5&amp;"生成成长"),3))*(VLOOKUP($B$5,标准坦克设计!$B$14:$K$20,9)/30))</f>
        <v>26.028552158517833</v>
      </c>
      <c r="DW131" s="173">
        <f ca="1">(VLOOKUP(DW$72,INDIRECT($C$5&amp;"生成成长"),2))/((VLOOKUP($B131,INDIRECT($B$5&amp;"生成成长"),4))/(VLOOKUP(DW$72,INDIRECT($C$5&amp;"生成成长"),5))*(VLOOKUP($B$5,标准坦克设计!$B$24:$U$30,MATCH("对"&amp;LEFT($C$5,2)&amp;"输出",标准坦克设计!$B$23:$U$23,0)))*(VLOOKUP($B131,INDIRECT($B$5&amp;"生成成长"),3))*(VLOOKUP($B$5,标准坦克设计!$B$14:$K$20,9)/30))</f>
        <v>28.251378245353909</v>
      </c>
      <c r="DX131" s="173">
        <f ca="1">(VLOOKUP(DX$72,INDIRECT($C$5&amp;"生成成长"),2))/((VLOOKUP($B131,INDIRECT($B$5&amp;"生成成长"),4))/(VLOOKUP(DX$72,INDIRECT($C$5&amp;"生成成长"),5))*(VLOOKUP($B$5,标准坦克设计!$B$24:$U$30,MATCH("对"&amp;LEFT($C$5,2)&amp;"输出",标准坦克设计!$B$23:$U$23,0)))*(VLOOKUP($B131,INDIRECT($B$5&amp;"生成成长"),3))*(VLOOKUP($B$5,标准坦克设计!$B$14:$K$20,9)/30))</f>
        <v>30.565269832954229</v>
      </c>
      <c r="DY131" s="173">
        <f ca="1">(VLOOKUP(DY$72,INDIRECT($C$5&amp;"生成成长"),2))/((VLOOKUP($B131,INDIRECT($B$5&amp;"生成成长"),4))/(VLOOKUP(DY$72,INDIRECT($C$5&amp;"生成成长"),5))*(VLOOKUP($B$5,标准坦克设计!$B$24:$U$30,MATCH("对"&amp;LEFT($C$5,2)&amp;"输出",标准坦克设计!$B$23:$U$23,0)))*(VLOOKUP($B131,INDIRECT($B$5&amp;"生成成长"),3))*(VLOOKUP($B$5,标准坦克设计!$B$14:$K$20,9)/30))</f>
        <v>13.727936088347223</v>
      </c>
      <c r="DZ131" s="173">
        <f ca="1">(VLOOKUP(DZ$72,INDIRECT($C$5&amp;"生成成长"),2))/((VLOOKUP($B131,INDIRECT($B$5&amp;"生成成长"),4))/(VLOOKUP(DZ$72,INDIRECT($C$5&amp;"生成成长"),5))*(VLOOKUP($B$5,标准坦克设计!$B$24:$U$30,MATCH("对"&amp;LEFT($C$5,2)&amp;"输出",标准坦克设计!$B$23:$U$23,0)))*(VLOOKUP($B131,INDIRECT($B$5&amp;"生成成长"),3))*(VLOOKUP($B$5,标准坦克设计!$B$14:$K$20,9)/30))</f>
        <v>15.20304667923895</v>
      </c>
      <c r="EA131" s="173">
        <f ca="1">(VLOOKUP(EA$72,INDIRECT($C$5&amp;"生成成长"),2))/((VLOOKUP($B131,INDIRECT($B$5&amp;"生成成长"),4))/(VLOOKUP(EA$72,INDIRECT($C$5&amp;"生成成长"),5))*(VLOOKUP($B$5,标准坦克设计!$B$24:$U$30,MATCH("对"&amp;LEFT($C$5,2)&amp;"输出",标准坦克设计!$B$23:$U$23,0)))*(VLOOKUP($B131,INDIRECT($B$5&amp;"生成成长"),3))*(VLOOKUP($B$5,标准坦克设计!$B$14:$K$20,9)/30))</f>
        <v>16.753418014563927</v>
      </c>
      <c r="EB131" s="173">
        <f ca="1">(VLOOKUP(EB$72,INDIRECT($C$5&amp;"生成成长"),2))/((VLOOKUP($B131,INDIRECT($B$5&amp;"生成成长"),4))/(VLOOKUP(EB$72,INDIRECT($C$5&amp;"生成成长"),5))*(VLOOKUP($B$5,标准坦克设计!$B$24:$U$30,MATCH("对"&amp;LEFT($C$5,2)&amp;"输出",标准坦克设计!$B$23:$U$23,0)))*(VLOOKUP($B131,INDIRECT($B$5&amp;"生成成长"),3))*(VLOOKUP($B$5,标准坦克设计!$B$14:$K$20,9)/30))</f>
        <v>18.379050094322164</v>
      </c>
      <c r="EC131" s="173">
        <f ca="1">(VLOOKUP(EC$72,INDIRECT($C$5&amp;"生成成长"),2))/((VLOOKUP($B131,INDIRECT($B$5&amp;"生成成长"),4))/(VLOOKUP(EC$72,INDIRECT($C$5&amp;"生成成长"),5))*(VLOOKUP($B$5,标准坦克设计!$B$24:$U$30,MATCH("对"&amp;LEFT($C$5,2)&amp;"输出",标准坦克设计!$B$23:$U$23,0)))*(VLOOKUP($B131,INDIRECT($B$5&amp;"生成成长"),3))*(VLOOKUP($B$5,标准坦克设计!$B$14:$K$20,9)/30))</f>
        <v>20.079942918513641</v>
      </c>
      <c r="ED131" s="173">
        <f ca="1">(VLOOKUP(ED$72,INDIRECT($C$5&amp;"生成成长"),2))/((VLOOKUP($B131,INDIRECT($B$5&amp;"生成成长"),4))/(VLOOKUP(ED$72,INDIRECT($C$5&amp;"生成成长"),5))*(VLOOKUP($B$5,标准坦克设计!$B$24:$U$30,MATCH("对"&amp;LEFT($C$5,2)&amp;"输出",标准坦克设计!$B$23:$U$23,0)))*(VLOOKUP($B131,INDIRECT($B$5&amp;"生成成长"),3))*(VLOOKUP($B$5,标准坦克设计!$B$14:$K$20,9)/30))</f>
        <v>21.856096487138373</v>
      </c>
      <c r="EE131" s="173">
        <f ca="1">(VLOOKUP(EE$72,INDIRECT($C$5&amp;"生成成长"),2))/((VLOOKUP($B131,INDIRECT($B$5&amp;"生成成长"),4))/(VLOOKUP(EE$72,INDIRECT($C$5&amp;"生成成长"),5))*(VLOOKUP($B$5,标准坦克设计!$B$24:$U$30,MATCH("对"&amp;LEFT($C$5,2)&amp;"输出",标准坦克设计!$B$23:$U$23,0)))*(VLOOKUP($B131,INDIRECT($B$5&amp;"生成成长"),3))*(VLOOKUP($B$5,标准坦克设计!$B$14:$K$20,9)/30))</f>
        <v>23.70751080019636</v>
      </c>
      <c r="EF131" s="173">
        <f ca="1">(VLOOKUP(EF$72,INDIRECT($C$5&amp;"生成成长"),2))/((VLOOKUP($B131,INDIRECT($B$5&amp;"生成成长"),4))/(VLOOKUP(EF$72,INDIRECT($C$5&amp;"生成成长"),5))*(VLOOKUP($B$5,标准坦克设计!$B$24:$U$30,MATCH("对"&amp;LEFT($C$5,2)&amp;"输出",标准坦克设计!$B$23:$U$23,0)))*(VLOOKUP($B131,INDIRECT($B$5&amp;"生成成长"),3))*(VLOOKUP($B$5,标准坦克设计!$B$14:$K$20,9)/30))</f>
        <v>25.634185857687594</v>
      </c>
      <c r="EG131" s="173">
        <f ca="1">(VLOOKUP(EG$72,INDIRECT($C$5&amp;"生成成长"),2))/((VLOOKUP($B131,INDIRECT($B$5&amp;"生成成长"),4))/(VLOOKUP(EG$72,INDIRECT($C$5&amp;"生成成长"),5))*(VLOOKUP($B$5,标准坦克设计!$B$24:$U$30,MATCH("对"&amp;LEFT($C$5,2)&amp;"输出",标准坦克设计!$B$23:$U$23,0)))*(VLOOKUP($B131,INDIRECT($B$5&amp;"生成成长"),3))*(VLOOKUP($B$5,标准坦克设计!$B$14:$K$20,9)/30))</f>
        <v>27.63612165961208</v>
      </c>
      <c r="EH131" s="173">
        <f ca="1">(VLOOKUP(EH$72,INDIRECT($C$5&amp;"生成成长"),2))/((VLOOKUP($B131,INDIRECT($B$5&amp;"生成成长"),4))/(VLOOKUP(EH$72,INDIRECT($C$5&amp;"生成成长"),5))*(VLOOKUP($B$5,标准坦克设计!$B$24:$U$30,MATCH("对"&amp;LEFT($C$5,2)&amp;"输出",标准坦克设计!$B$23:$U$23,0)))*(VLOOKUP($B131,INDIRECT($B$5&amp;"生成成长"),3))*(VLOOKUP($B$5,标准坦克设计!$B$14:$K$20,9)/30))</f>
        <v>29.71331820596982</v>
      </c>
      <c r="EI131" s="173">
        <f ca="1">(VLOOKUP(EI$72,INDIRECT($C$5&amp;"生成成长"),2))/((VLOOKUP($B131,INDIRECT($B$5&amp;"生成成长"),4))/(VLOOKUP(EI$72,INDIRECT($C$5&amp;"生成成长"),5))*(VLOOKUP($B$5,标准坦克设计!$B$24:$U$30,MATCH("对"&amp;LEFT($C$5,2)&amp;"输出",标准坦克设计!$B$23:$U$23,0)))*(VLOOKUP($B131,INDIRECT($B$5&amp;"生成成长"),3))*(VLOOKUP($B$5,标准坦克设计!$B$14:$K$20,9)/30))</f>
        <v>31.865775496760811</v>
      </c>
      <c r="EJ131" s="173">
        <f ca="1">(VLOOKUP(EJ$72,INDIRECT($C$5&amp;"生成成长"),2))/((VLOOKUP($B131,INDIRECT($B$5&amp;"生成成长"),4))/(VLOOKUP(EJ$72,INDIRECT($C$5&amp;"生成成长"),5))*(VLOOKUP($B$5,标准坦克设计!$B$24:$U$30,MATCH("对"&amp;LEFT($C$5,2)&amp;"输出",标准坦克设计!$B$23:$U$23,0)))*(VLOOKUP($B131,INDIRECT($B$5&amp;"生成成长"),3))*(VLOOKUP($B$5,标准坦克设计!$B$14:$K$20,9)/30))</f>
        <v>34.093493531985054</v>
      </c>
      <c r="EK131" s="173">
        <f ca="1">(VLOOKUP(EK$72,INDIRECT($C$5&amp;"生成成长"),2))/((VLOOKUP($B131,INDIRECT($B$5&amp;"生成成长"),4))/(VLOOKUP(EK$72,INDIRECT($C$5&amp;"生成成长"),5))*(VLOOKUP($B$5,标准坦克设计!$B$24:$U$30,MATCH("对"&amp;LEFT($C$5,2)&amp;"输出",标准坦克设计!$B$23:$U$23,0)))*(VLOOKUP($B131,INDIRECT($B$5&amp;"生成成长"),3))*(VLOOKUP($B$5,标准坦克设计!$B$14:$K$20,9)/30))</f>
        <v>36.866099356906034</v>
      </c>
      <c r="EL131" s="173">
        <f ca="1">(VLOOKUP(EL$72,INDIRECT($C$5&amp;"生成成长"),2))/((VLOOKUP($B131,INDIRECT($B$5&amp;"生成成长"),4))/(VLOOKUP(EL$72,INDIRECT($C$5&amp;"生成成长"),5))*(VLOOKUP($B$5,标准坦克设计!$B$24:$U$30,MATCH("对"&amp;LEFT($C$5,2)&amp;"输出",标准坦克设计!$B$23:$U$23,0)))*(VLOOKUP($B131,INDIRECT($B$5&amp;"生成成长"),3))*(VLOOKUP($B$5,标准坦克设计!$B$14:$K$20,9)/30))</f>
        <v>39.747080653810897</v>
      </c>
      <c r="EM131" s="173">
        <f ca="1">(VLOOKUP(EM$72,INDIRECT($C$5&amp;"生成成长"),2))/((VLOOKUP($B131,INDIRECT($B$5&amp;"生成成长"),4))/(VLOOKUP(EM$72,INDIRECT($C$5&amp;"生成成长"),5))*(VLOOKUP($B$5,标准坦克设计!$B$24:$U$30,MATCH("对"&amp;LEFT($C$5,2)&amp;"输出",标准坦克设计!$B$23:$U$23,0)))*(VLOOKUP($B131,INDIRECT($B$5&amp;"生成成长"),3))*(VLOOKUP($B$5,标准坦克设计!$B$14:$K$20,9)/30))</f>
        <v>42.736437422699652</v>
      </c>
      <c r="EN131" s="173">
        <f ca="1">(VLOOKUP(EN$72,INDIRECT($C$5&amp;"生成成长"),2))/((VLOOKUP($B131,INDIRECT($B$5&amp;"生成成长"),4))/(VLOOKUP(EN$72,INDIRECT($C$5&amp;"生成成长"),5))*(VLOOKUP($B$5,标准坦克设计!$B$24:$U$30,MATCH("对"&amp;LEFT($C$5,2)&amp;"输出",标准坦克设计!$B$23:$U$23,0)))*(VLOOKUP($B131,INDIRECT($B$5&amp;"生成成长"),3))*(VLOOKUP($B$5,标准坦克设计!$B$14:$K$20,9)/30))</f>
        <v>45.834169663572276</v>
      </c>
      <c r="EO131" s="173">
        <f ca="1">(VLOOKUP(EO$72,INDIRECT($C$5&amp;"生成成长"),2))/((VLOOKUP($B131,INDIRECT($B$5&amp;"生成成长"),4))/(VLOOKUP(EO$72,INDIRECT($C$5&amp;"生成成长"),5))*(VLOOKUP($B$5,标准坦克设计!$B$24:$U$30,MATCH("对"&amp;LEFT($C$5,2)&amp;"输出",标准坦克设计!$B$23:$U$23,0)))*(VLOOKUP($B131,INDIRECT($B$5&amp;"生成成长"),3))*(VLOOKUP($B$5,标准坦克设计!$B$14:$K$20,9)/30))</f>
        <v>49.040277376428776</v>
      </c>
      <c r="EP131" s="173">
        <f ca="1">(VLOOKUP(EP$72,INDIRECT($C$5&amp;"生成成长"),2))/((VLOOKUP($B131,INDIRECT($B$5&amp;"生成成长"),4))/(VLOOKUP(EP$72,INDIRECT($C$5&amp;"生成成长"),5))*(VLOOKUP($B$5,标准坦克设计!$B$24:$U$30,MATCH("对"&amp;LEFT($C$5,2)&amp;"输出",标准坦克设计!$B$23:$U$23,0)))*(VLOOKUP($B131,INDIRECT($B$5&amp;"生成成长"),3))*(VLOOKUP($B$5,标准坦克设计!$B$14:$K$20,9)/30))</f>
        <v>52.354760561269174</v>
      </c>
      <c r="EQ131" s="173">
        <f ca="1">(VLOOKUP(EQ$72,INDIRECT($C$5&amp;"生成成长"),2))/((VLOOKUP($B131,INDIRECT($B$5&amp;"生成成长"),4))/(VLOOKUP(EQ$72,INDIRECT($C$5&amp;"生成成长"),5))*(VLOOKUP($B$5,标准坦克设计!$B$24:$U$30,MATCH("对"&amp;LEFT($C$5,2)&amp;"输出",标准坦克设计!$B$23:$U$23,0)))*(VLOOKUP($B131,INDIRECT($B$5&amp;"生成成长"),3))*(VLOOKUP($B$5,标准坦克设计!$B$14:$K$20,9)/30))</f>
        <v>23.144184128113473</v>
      </c>
      <c r="ER131" s="173">
        <f ca="1">(VLOOKUP(ER$72,INDIRECT($C$5&amp;"生成成长"),2))/((VLOOKUP($B131,INDIRECT($B$5&amp;"生成成长"),4))/(VLOOKUP(ER$72,INDIRECT($C$5&amp;"生成成长"),5))*(VLOOKUP($B$5,标准坦克设计!$B$24:$U$30,MATCH("对"&amp;LEFT($C$5,2)&amp;"输出",标准坦克设计!$B$23:$U$23,0)))*(VLOOKUP($B131,INDIRECT($B$5&amp;"生成成长"),3))*(VLOOKUP($B$5,标准坦克设计!$B$14:$K$20,9)/30))</f>
        <v>25.242829986634685</v>
      </c>
      <c r="ES131" s="173">
        <f ca="1">(VLOOKUP(ES$72,INDIRECT($C$5&amp;"生成成长"),2))/((VLOOKUP($B131,INDIRECT($B$5&amp;"生成成长"),4))/(VLOOKUP(ES$72,INDIRECT($C$5&amp;"生成成长"),5))*(VLOOKUP($B$5,标准坦克设计!$B$24:$U$30,MATCH("对"&amp;LEFT($C$5,2)&amp;"输出",标准坦克设计!$B$23:$U$23,0)))*(VLOOKUP($B131,INDIRECT($B$5&amp;"生成成长"),3))*(VLOOKUP($B$5,标准坦克设计!$B$14:$K$20,9)/30))</f>
        <v>27.432541345920143</v>
      </c>
      <c r="ET131" s="173">
        <f ca="1">(VLOOKUP(ET$72,INDIRECT($C$5&amp;"生成成长"),2))/((VLOOKUP($B131,INDIRECT($B$5&amp;"生成成长"),4))/(VLOOKUP(ET$72,INDIRECT($C$5&amp;"生成成长"),5))*(VLOOKUP($B$5,标准坦克设计!$B$24:$U$30,MATCH("对"&amp;LEFT($C$5,2)&amp;"输出",标准坦克设计!$B$23:$U$23,0)))*(VLOOKUP($B131,INDIRECT($B$5&amp;"生成成长"),3))*(VLOOKUP($B$5,标准坦克设计!$B$14:$K$20,9)/30))</f>
        <v>29.71331820596982</v>
      </c>
      <c r="EU131" s="173">
        <f ca="1">(VLOOKUP(EU$72,INDIRECT($C$5&amp;"生成成长"),2))/((VLOOKUP($B131,INDIRECT($B$5&amp;"生成成长"),4))/(VLOOKUP(EU$72,INDIRECT($C$5&amp;"生成成长"),5))*(VLOOKUP($B$5,标准坦克设计!$B$24:$U$30,MATCH("对"&amp;LEFT($C$5,2)&amp;"输出",标准坦克设计!$B$23:$U$23,0)))*(VLOOKUP($B131,INDIRECT($B$5&amp;"生成成长"),3))*(VLOOKUP($B$5,标准坦克设计!$B$14:$K$20,9)/30))</f>
        <v>32.085160566783742</v>
      </c>
      <c r="EV131" s="173">
        <f ca="1">(VLOOKUP(EV$72,INDIRECT($C$5&amp;"生成成长"),2))/((VLOOKUP($B131,INDIRECT($B$5&amp;"生成成长"),4))/(VLOOKUP(EV$72,INDIRECT($C$5&amp;"生成成长"),5))*(VLOOKUP($B$5,标准坦克设计!$B$24:$U$30,MATCH("对"&amp;LEFT($C$5,2)&amp;"输出",标准坦克设计!$B$23:$U$23,0)))*(VLOOKUP($B131,INDIRECT($B$5&amp;"生成成长"),3))*(VLOOKUP($B$5,标准坦克设计!$B$14:$K$20,9)/30))</f>
        <v>34.548068428361894</v>
      </c>
      <c r="EW131" s="173">
        <f ca="1">(VLOOKUP(EW$72,INDIRECT($C$5&amp;"生成成长"),2))/((VLOOKUP($B131,INDIRECT($B$5&amp;"生成成长"),4))/(VLOOKUP(EW$72,INDIRECT($C$5&amp;"生成成长"),5))*(VLOOKUP($B$5,标准坦克设计!$B$24:$U$30,MATCH("对"&amp;LEFT($C$5,2)&amp;"输出",标准坦克设计!$B$23:$U$23,0)))*(VLOOKUP($B131,INDIRECT($B$5&amp;"生成成长"),3))*(VLOOKUP($B$5,标准坦克设计!$B$14:$K$20,9)/30))</f>
        <v>37.102041790704277</v>
      </c>
      <c r="EX131" s="173">
        <f ca="1">(VLOOKUP(EX$72,INDIRECT($C$5&amp;"生成成长"),2))/((VLOOKUP($B131,INDIRECT($B$5&amp;"生成成长"),4))/(VLOOKUP(EX$72,INDIRECT($C$5&amp;"生成成长"),5))*(VLOOKUP($B$5,标准坦克设计!$B$24:$U$30,MATCH("对"&amp;LEFT($C$5,2)&amp;"输出",标准坦克设计!$B$23:$U$23,0)))*(VLOOKUP($B131,INDIRECT($B$5&amp;"生成成长"),3))*(VLOOKUP($B$5,标准坦克设计!$B$14:$K$20,9)/30))</f>
        <v>39.747080653810897</v>
      </c>
      <c r="EY131" s="173">
        <f ca="1">(VLOOKUP(EY$72,INDIRECT($C$5&amp;"生成成长"),2))/((VLOOKUP($B131,INDIRECT($B$5&amp;"生成成长"),4))/(VLOOKUP(EY$72,INDIRECT($C$5&amp;"生成成长"),5))*(VLOOKUP($B$5,标准坦克设计!$B$24:$U$30,MATCH("对"&amp;LEFT($C$5,2)&amp;"输出",标准坦克设计!$B$23:$U$23,0)))*(VLOOKUP($B131,INDIRECT($B$5&amp;"生成成长"),3))*(VLOOKUP($B$5,标准坦克设计!$B$14:$K$20,9)/30))</f>
        <v>42.483185017681748</v>
      </c>
      <c r="EZ131" s="173">
        <f ca="1">(VLOOKUP(EZ$72,INDIRECT($C$5&amp;"生成成长"),2))/((VLOOKUP($B131,INDIRECT($B$5&amp;"生成成长"),4))/(VLOOKUP(EZ$72,INDIRECT($C$5&amp;"生成成长"),5))*(VLOOKUP($B$5,标准坦克设计!$B$24:$U$30,MATCH("对"&amp;LEFT($C$5,2)&amp;"输出",标准坦克设计!$B$23:$U$23,0)))*(VLOOKUP($B131,INDIRECT($B$5&amp;"生成成长"),3))*(VLOOKUP($B$5,标准坦克设计!$B$14:$K$20,9)/30))</f>
        <v>45.310354882316844</v>
      </c>
      <c r="FA131" s="173">
        <f ca="1">(VLOOKUP(FA$72,INDIRECT($C$5&amp;"生成成长"),2))/((VLOOKUP($B131,INDIRECT($B$5&amp;"生成成长"),4))/(VLOOKUP(FA$72,INDIRECT($C$5&amp;"生成成长"),5))*(VLOOKUP($B$5,标准坦克设计!$B$24:$U$30,MATCH("对"&amp;LEFT($C$5,2)&amp;"输出",标准坦克设计!$B$23:$U$23,0)))*(VLOOKUP($B131,INDIRECT($B$5&amp;"生成成长"),3))*(VLOOKUP($B$5,标准坦克设计!$B$14:$K$20,9)/30))</f>
        <v>48.228590247716163</v>
      </c>
      <c r="FB131" s="173">
        <f ca="1">(VLOOKUP(FB$72,INDIRECT($C$5&amp;"生成成长"),2))/((VLOOKUP($B131,INDIRECT($B$5&amp;"生成成长"),4))/(VLOOKUP(FB$72,INDIRECT($C$5&amp;"生成成长"),5))*(VLOOKUP($B$5,标准坦克设计!$B$24:$U$30,MATCH("对"&amp;LEFT($C$5,2)&amp;"输出",标准坦克设计!$B$23:$U$23,0)))*(VLOOKUP($B131,INDIRECT($B$5&amp;"生成成长"),3))*(VLOOKUP($B$5,标准坦克设计!$B$14:$K$20,9)/30))</f>
        <v>51.237891113879719</v>
      </c>
      <c r="FC131" s="173">
        <f ca="1">(VLOOKUP(FC$72,INDIRECT($C$5&amp;"生成成长"),2))/((VLOOKUP($B131,INDIRECT($B$5&amp;"生成成长"),4))/(VLOOKUP(FC$72,INDIRECT($C$5&amp;"生成成长"),5))*(VLOOKUP($B$5,标准坦克设计!$B$24:$U$30,MATCH("对"&amp;LEFT($C$5,2)&amp;"输出",标准坦克设计!$B$23:$U$23,0)))*(VLOOKUP($B131,INDIRECT($B$5&amp;"生成成长"),3))*(VLOOKUP($B$5,标准坦克设计!$B$14:$K$20,9)/30))</f>
        <v>54.338257480807506</v>
      </c>
      <c r="FD131" s="173">
        <f ca="1">(VLOOKUP(FD$72,INDIRECT($C$5&amp;"生成成长"),2))/((VLOOKUP($B131,INDIRECT($B$5&amp;"生成成长"),4))/(VLOOKUP(FD$72,INDIRECT($C$5&amp;"生成成长"),5))*(VLOOKUP($B$5,标准坦克设计!$B$24:$U$30,MATCH("对"&amp;LEFT($C$5,2)&amp;"输出",标准坦克设计!$B$23:$U$23,0)))*(VLOOKUP($B131,INDIRECT($B$5&amp;"生成成长"),3))*(VLOOKUP($B$5,标准坦克设计!$B$14:$K$20,9)/30))</f>
        <v>57.529689348499545</v>
      </c>
      <c r="FE131" s="173">
        <f ca="1">(VLOOKUP(FE$72,INDIRECT($C$5&amp;"生成成长"),2))/((VLOOKUP($B131,INDIRECT($B$5&amp;"生成成长"),4))/(VLOOKUP(FE$72,INDIRECT($C$5&amp;"生成成长"),5))*(VLOOKUP($B$5,标准坦克设计!$B$24:$U$30,MATCH("对"&amp;LEFT($C$5,2)&amp;"输出",标准坦克设计!$B$23:$U$23,0)))*(VLOOKUP($B131,INDIRECT($B$5&amp;"生成成长"),3))*(VLOOKUP($B$5,标准坦克设计!$B$14:$K$20,9)/30))</f>
        <v>61.418788317087802</v>
      </c>
      <c r="FF131" s="173">
        <f ca="1">(VLOOKUP(FF$72,INDIRECT($C$5&amp;"生成成长"),2))/((VLOOKUP($B131,INDIRECT($B$5&amp;"生成成长"),4))/(VLOOKUP(FF$72,INDIRECT($C$5&amp;"生成成长"),5))*(VLOOKUP($B$5,标准坦克设计!$B$24:$U$30,MATCH("对"&amp;LEFT($C$5,2)&amp;"输出",标准坦克设计!$B$23:$U$23,0)))*(VLOOKUP($B131,INDIRECT($B$5&amp;"生成成长"),3))*(VLOOKUP($B$5,标准坦克设计!$B$14:$K$20,9)/30))</f>
        <v>65.435077943768277</v>
      </c>
      <c r="FG131" s="173">
        <f ca="1">(VLOOKUP(FG$72,INDIRECT($C$5&amp;"生成成长"),2))/((VLOOKUP($B131,INDIRECT($B$5&amp;"生成成长"),4))/(VLOOKUP(FG$72,INDIRECT($C$5&amp;"生成成长"),5))*(VLOOKUP($B$5,标准坦克设计!$B$24:$U$30,MATCH("对"&amp;LEFT($C$5,2)&amp;"输出",标准坦克设计!$B$23:$U$23,0)))*(VLOOKUP($B131,INDIRECT($B$5&amp;"生成成长"),3))*(VLOOKUP($B$5,标准坦克设计!$B$14:$K$20,9)/30))</f>
        <v>69.578558228540928</v>
      </c>
      <c r="FH131" s="173">
        <f ca="1">(VLOOKUP(FH$72,INDIRECT($C$5&amp;"生成成长"),2))/((VLOOKUP($B131,INDIRECT($B$5&amp;"生成成长"),4))/(VLOOKUP(FH$72,INDIRECT($C$5&amp;"生成成长"),5))*(VLOOKUP($B$5,标准坦克设计!$B$24:$U$30,MATCH("对"&amp;LEFT($C$5,2)&amp;"输出",标准坦克设计!$B$23:$U$23,0)))*(VLOOKUP($B131,INDIRECT($B$5&amp;"生成成长"),3))*(VLOOKUP($B$5,标准坦克设计!$B$14:$K$20,9)/30))</f>
        <v>73.849229171405767</v>
      </c>
      <c r="FI131" s="173">
        <f ca="1">(VLOOKUP(FI$72,INDIRECT($C$5&amp;"生成成长"),2))/((VLOOKUP($B131,INDIRECT($B$5&amp;"生成成长"),4))/(VLOOKUP(FI$72,INDIRECT($C$5&amp;"生成成长"),5))*(VLOOKUP($B$5,标准坦克设计!$B$24:$U$30,MATCH("对"&amp;LEFT($C$5,2)&amp;"输出",标准坦克设计!$B$23:$U$23,0)))*(VLOOKUP($B131,INDIRECT($B$5&amp;"生成成长"),3))*(VLOOKUP($B$5,标准坦克设计!$B$14:$K$20,9)/30))</f>
        <v>78.247090772362824</v>
      </c>
      <c r="FJ131" s="173">
        <f ca="1">(VLOOKUP(FJ$72,INDIRECT($C$5&amp;"生成成长"),2))/((VLOOKUP($B131,INDIRECT($B$5&amp;"生成成长"),4))/(VLOOKUP(FJ$72,INDIRECT($C$5&amp;"生成成长"),5))*(VLOOKUP($B$5,标准坦克设计!$B$24:$U$30,MATCH("对"&amp;LEFT($C$5,2)&amp;"输出",标准坦克设计!$B$23:$U$23,0)))*(VLOOKUP($B131,INDIRECT($B$5&amp;"生成成长"),3))*(VLOOKUP($B$5,标准坦克设计!$B$14:$K$20,9)/30))</f>
        <v>82.772143031412057</v>
      </c>
      <c r="FK131" s="173">
        <f ca="1">(VLOOKUP(FK$72,INDIRECT($C$5&amp;"生成成长"),2))/((VLOOKUP($B131,INDIRECT($B$5&amp;"生成成长"),4))/(VLOOKUP(FK$72,INDIRECT($C$5&amp;"生成成长"),5))*(VLOOKUP($B$5,标准坦克设计!$B$24:$U$30,MATCH("对"&amp;LEFT($C$5,2)&amp;"输出",标准坦克设计!$B$23:$U$23,0)))*(VLOOKUP($B131,INDIRECT($B$5&amp;"生成成长"),3))*(VLOOKUP($B$5,标准坦克设计!$B$14:$K$20,9)/30))</f>
        <v>87.424385948553493</v>
      </c>
    </row>
    <row r="132" spans="1:167" x14ac:dyDescent="0.15">
      <c r="A132" s="171" t="str">
        <f t="shared" si="11"/>
        <v>T3中品质3级</v>
      </c>
      <c r="B132" s="172">
        <v>20303</v>
      </c>
      <c r="C132" s="173">
        <f ca="1">(VLOOKUP(C$72,INDIRECT($C$5&amp;"生成成长"),2))/((VLOOKUP($B132,INDIRECT($B$5&amp;"生成成长"),4))/(VLOOKUP(C$72,INDIRECT($C$5&amp;"生成成长"),5))*(VLOOKUP($B$5,标准坦克设计!$B$24:$U$30,MATCH("对"&amp;LEFT($C$5,2)&amp;"输出",标准坦克设计!$B$23:$U$23,0)))*(VLOOKUP($B132,INDIRECT($B$5&amp;"生成成长"),3))*(VLOOKUP($B$5,标准坦克设计!$B$14:$K$20,9)/30))</f>
        <v>3.3664855427459788</v>
      </c>
      <c r="D132" s="173">
        <f ca="1">(VLOOKUP(D$72,INDIRECT($C$5&amp;"生成成长"),2))/((VLOOKUP($B132,INDIRECT($B$5&amp;"生成成长"),4))/(VLOOKUP(D$72,INDIRECT($C$5&amp;"生成成长"),5))*(VLOOKUP($B$5,标准坦克设计!$B$24:$U$30,MATCH("对"&amp;LEFT($C$5,2)&amp;"输出",标准坦克设计!$B$23:$U$23,0)))*(VLOOKUP($B132,INDIRECT($B$5&amp;"生成成长"),3))*(VLOOKUP($B$5,标准坦克设计!$B$14:$K$20,9)/30))</f>
        <v>3.7825831558293816</v>
      </c>
      <c r="E132" s="173">
        <f ca="1">(VLOOKUP(E$72,INDIRECT($C$5&amp;"生成成长"),2))/((VLOOKUP($B132,INDIRECT($B$5&amp;"生成成长"),4))/(VLOOKUP(E$72,INDIRECT($C$5&amp;"生成成长"),5))*(VLOOKUP($B$5,标准坦克设计!$B$24:$U$30,MATCH("对"&amp;LEFT($C$5,2)&amp;"输出",标准坦克设计!$B$23:$U$23,0)))*(VLOOKUP($B132,INDIRECT($B$5&amp;"生成成长"),3))*(VLOOKUP($B$5,标准坦克设计!$B$14:$K$20,9)/30))</f>
        <v>4.2229194648205555</v>
      </c>
      <c r="F132" s="173">
        <f ca="1">(VLOOKUP(F$72,INDIRECT($C$5&amp;"生成成长"),2))/((VLOOKUP($B132,INDIRECT($B$5&amp;"生成成长"),4))/(VLOOKUP(F$72,INDIRECT($C$5&amp;"生成成长"),5))*(VLOOKUP($B$5,标准坦克设计!$B$24:$U$30,MATCH("对"&amp;LEFT($C$5,2)&amp;"输出",标准坦克设计!$B$23:$U$23,0)))*(VLOOKUP($B132,INDIRECT($B$5&amp;"生成成长"),3))*(VLOOKUP($B$5,标准坦克设计!$B$14:$K$20,9)/30))</f>
        <v>4.6874944697195007</v>
      </c>
      <c r="G132" s="173">
        <f ca="1">(VLOOKUP(G$72,INDIRECT($C$5&amp;"生成成长"),2))/((VLOOKUP($B132,INDIRECT($B$5&amp;"生成成长"),4))/(VLOOKUP(G$72,INDIRECT($C$5&amp;"生成成长"),5))*(VLOOKUP($B$5,标准坦克设计!$B$24:$U$30,MATCH("对"&amp;LEFT($C$5,2)&amp;"输出",标准坦克设计!$B$23:$U$23,0)))*(VLOOKUP($B132,INDIRECT($B$5&amp;"生成成长"),3))*(VLOOKUP($B$5,标准坦克设计!$B$14:$K$20,9)/30))</f>
        <v>5.1763081705262168</v>
      </c>
      <c r="H132" s="173">
        <f ca="1">(VLOOKUP(H$72,INDIRECT($C$5&amp;"生成成长"),2))/((VLOOKUP($B132,INDIRECT($B$5&amp;"生成成长"),4))/(VLOOKUP(H$72,INDIRECT($C$5&amp;"生成成长"),5))*(VLOOKUP($B$5,标准坦克设计!$B$24:$U$30,MATCH("对"&amp;LEFT($C$5,2)&amp;"输出",标准坦克设计!$B$23:$U$23,0)))*(VLOOKUP($B132,INDIRECT($B$5&amp;"生成成长"),3))*(VLOOKUP($B$5,标准坦克设计!$B$14:$K$20,9)/30))</f>
        <v>4.5299429463189886</v>
      </c>
      <c r="I132" s="173">
        <f ca="1">(VLOOKUP(I$72,INDIRECT($C$5&amp;"生成成长"),2))/((VLOOKUP($B132,INDIRECT($B$5&amp;"生成成长"),4))/(VLOOKUP(I$72,INDIRECT($C$5&amp;"生成成长"),5))*(VLOOKUP($B$5,标准坦克设计!$B$24:$U$30,MATCH("对"&amp;LEFT($C$5,2)&amp;"输出",标准坦克设计!$B$23:$U$23,0)))*(VLOOKUP($B132,INDIRECT($B$5&amp;"生成成长"),3))*(VLOOKUP($B$5,标准坦克设计!$B$14:$K$20,9)/30))</f>
        <v>5.1763081705262168</v>
      </c>
      <c r="J132" s="173">
        <f ca="1">(VLOOKUP(J$72,INDIRECT($C$5&amp;"生成成长"),2))/((VLOOKUP($B132,INDIRECT($B$5&amp;"生成成长"),4))/(VLOOKUP(J$72,INDIRECT($C$5&amp;"生成成长"),5))*(VLOOKUP($B$5,标准坦克设计!$B$24:$U$30,MATCH("对"&amp;LEFT($C$5,2)&amp;"输出",标准坦克设计!$B$23:$U$23,0)))*(VLOOKUP($B132,INDIRECT($B$5&amp;"生成成长"),3))*(VLOOKUP($B$5,标准坦克设计!$B$14:$K$20,9)/30))</f>
        <v>5.8657644096805921</v>
      </c>
      <c r="K132" s="173">
        <f ca="1">(VLOOKUP(K$72,INDIRECT($C$5&amp;"生成成长"),2))/((VLOOKUP($B132,INDIRECT($B$5&amp;"生成成长"),4))/(VLOOKUP(K$72,INDIRECT($C$5&amp;"生成成长"),5))*(VLOOKUP($B$5,标准坦克设计!$B$24:$U$30,MATCH("对"&amp;LEFT($C$5,2)&amp;"输出",标准坦克设计!$B$23:$U$23,0)))*(VLOOKUP($B132,INDIRECT($B$5&amp;"生成成长"),3))*(VLOOKUP($B$5,标准坦克设计!$B$14:$K$20,9)/30))</f>
        <v>6.5983116637821162</v>
      </c>
      <c r="L132" s="173">
        <f ca="1">(VLOOKUP(L$72,INDIRECT($C$5&amp;"生成成长"),2))/((VLOOKUP($B132,INDIRECT($B$5&amp;"生成成长"),4))/(VLOOKUP(L$72,INDIRECT($C$5&amp;"生成成长"),5))*(VLOOKUP($B$5,标准坦克设计!$B$24:$U$30,MATCH("对"&amp;LEFT($C$5,2)&amp;"输出",标准坦克设计!$B$23:$U$23,0)))*(VLOOKUP($B132,INDIRECT($B$5&amp;"生成成长"),3))*(VLOOKUP($B$5,标准坦克设计!$B$14:$K$20,9)/30))</f>
        <v>7.3739499328307918</v>
      </c>
      <c r="M132" s="173">
        <f ca="1">(VLOOKUP(M$72,INDIRECT($C$5&amp;"生成成长"),2))/((VLOOKUP($B132,INDIRECT($B$5&amp;"生成成长"),4))/(VLOOKUP(M$72,INDIRECT($C$5&amp;"生成成长"),5))*(VLOOKUP($B$5,标准坦克设计!$B$24:$U$30,MATCH("对"&amp;LEFT($C$5,2)&amp;"输出",标准坦克设计!$B$23:$U$23,0)))*(VLOOKUP($B132,INDIRECT($B$5&amp;"生成成长"),3))*(VLOOKUP($B$5,标准坦克设计!$B$14:$K$20,9)/30))</f>
        <v>8.1926792168266136</v>
      </c>
      <c r="N132" s="173">
        <f ca="1">(VLOOKUP(N$72,INDIRECT($C$5&amp;"生成成长"),2))/((VLOOKUP($B132,INDIRECT($B$5&amp;"生成成长"),4))/(VLOOKUP(N$72,INDIRECT($C$5&amp;"生成成长"),5))*(VLOOKUP($B$5,标准坦克设计!$B$24:$U$30,MATCH("对"&amp;LEFT($C$5,2)&amp;"输出",标准坦克设计!$B$23:$U$23,0)))*(VLOOKUP($B132,INDIRECT($B$5&amp;"生成成长"),3))*(VLOOKUP($B$5,标准坦克设计!$B$14:$K$20,9)/30))</f>
        <v>9.0544995157695833</v>
      </c>
      <c r="O132" s="173">
        <f ca="1">(VLOOKUP(O$72,INDIRECT($C$5&amp;"生成成长"),2))/((VLOOKUP($B132,INDIRECT($B$5&amp;"生成成长"),4))/(VLOOKUP(O$72,INDIRECT($C$5&amp;"生成成长"),5))*(VLOOKUP($B$5,标准坦克设计!$B$24:$U$30,MATCH("对"&amp;LEFT($C$5,2)&amp;"输出",标准坦克设计!$B$23:$U$23,0)))*(VLOOKUP($B132,INDIRECT($B$5&amp;"生成成长"),3))*(VLOOKUP($B$5,标准坦克设计!$B$14:$K$20,9)/30))</f>
        <v>6.8841262863612513</v>
      </c>
      <c r="P132" s="173">
        <f ca="1">(VLOOKUP(P$72,INDIRECT($C$5&amp;"生成成长"),2))/((VLOOKUP($B132,INDIRECT($B$5&amp;"生成成长"),4))/(VLOOKUP(P$72,INDIRECT($C$5&amp;"生成成长"),5))*(VLOOKUP($B$5,标准坦克设计!$B$24:$U$30,MATCH("对"&amp;LEFT($C$5,2)&amp;"输出",标准坦克设计!$B$23:$U$23,0)))*(VLOOKUP($B132,INDIRECT($B$5&amp;"生成成长"),3))*(VLOOKUP($B$5,标准坦克设计!$B$14:$K$20,9)/30))</f>
        <v>7.7779281979603088</v>
      </c>
      <c r="Q132" s="173">
        <f ca="1">(VLOOKUP(Q$72,INDIRECT($C$5&amp;"生成成长"),2))/((VLOOKUP($B132,INDIRECT($B$5&amp;"生成成长"),4))/(VLOOKUP(Q$72,INDIRECT($C$5&amp;"生成成长"),5))*(VLOOKUP($B$5,标准坦克设计!$B$24:$U$30,MATCH("对"&amp;LEFT($C$5,2)&amp;"输出",标准坦克设计!$B$23:$U$23,0)))*(VLOOKUP($B132,INDIRECT($B$5&amp;"生成成长"),3))*(VLOOKUP($B$5,标准坦克设计!$B$14:$K$20,9)/30))</f>
        <v>8.7262671753518504</v>
      </c>
      <c r="R132" s="173">
        <f ca="1">(VLOOKUP(R$72,INDIRECT($C$5&amp;"生成成长"),2))/((VLOOKUP($B132,INDIRECT($B$5&amp;"生成成长"),4))/(VLOOKUP(R$72,INDIRECT($C$5&amp;"生成成长"),5))*(VLOOKUP($B$5,标准坦克设计!$B$24:$U$30,MATCH("对"&amp;LEFT($C$5,2)&amp;"输出",标准坦克设计!$B$23:$U$23,0)))*(VLOOKUP($B132,INDIRECT($B$5&amp;"生成成长"),3))*(VLOOKUP($B$5,标准坦克设计!$B$14:$K$20,9)/30))</f>
        <v>9.7291432185358762</v>
      </c>
      <c r="S132" s="173">
        <f ca="1">(VLOOKUP(S$72,INDIRECT($C$5&amp;"生成成长"),2))/((VLOOKUP($B132,INDIRECT($B$5&amp;"生成成长"),4))/(VLOOKUP(S$72,INDIRECT($C$5&amp;"生成成长"),5))*(VLOOKUP($B$5,标准坦克设计!$B$24:$U$30,MATCH("对"&amp;LEFT($C$5,2)&amp;"输出",标准坦克设计!$B$23:$U$23,0)))*(VLOOKUP($B132,INDIRECT($B$5&amp;"生成成长"),3))*(VLOOKUP($B$5,标准坦克设计!$B$14:$K$20,9)/30))</f>
        <v>10.786556327512388</v>
      </c>
      <c r="T132" s="173">
        <f ca="1">(VLOOKUP(T$72,INDIRECT($C$5&amp;"生成成长"),2))/((VLOOKUP($B132,INDIRECT($B$5&amp;"生成成长"),4))/(VLOOKUP(T$72,INDIRECT($C$5&amp;"生成成长"),5))*(VLOOKUP($B$5,标准坦克设计!$B$24:$U$30,MATCH("对"&amp;LEFT($C$5,2)&amp;"输出",标准坦克设计!$B$23:$U$23,0)))*(VLOOKUP($B132,INDIRECT($B$5&amp;"生成成长"),3))*(VLOOKUP($B$5,标准坦克设计!$B$14:$K$20,9)/30))</f>
        <v>11.898506502281386</v>
      </c>
      <c r="U132" s="173">
        <f ca="1">(VLOOKUP(U$72,INDIRECT($C$5&amp;"生成成长"),2))/((VLOOKUP($B132,INDIRECT($B$5&amp;"生成成长"),4))/(VLOOKUP(U$72,INDIRECT($C$5&amp;"生成成长"),5))*(VLOOKUP($B$5,标准坦克设计!$B$24:$U$30,MATCH("对"&amp;LEFT($C$5,2)&amp;"输出",标准坦克设计!$B$23:$U$23,0)))*(VLOOKUP($B132,INDIRECT($B$5&amp;"生成成长"),3))*(VLOOKUP($B$5,标准坦克设计!$B$14:$K$20,9)/30))</f>
        <v>13.064993742842868</v>
      </c>
      <c r="V132" s="173">
        <f ca="1">(VLOOKUP(V$72,INDIRECT($C$5&amp;"生成成长"),2))/((VLOOKUP($B132,INDIRECT($B$5&amp;"生成成长"),4))/(VLOOKUP(V$72,INDIRECT($C$5&amp;"生成成长"),5))*(VLOOKUP($B$5,标准坦克设计!$B$24:$U$30,MATCH("对"&amp;LEFT($C$5,2)&amp;"输出",标准坦克设计!$B$23:$U$23,0)))*(VLOOKUP($B132,INDIRECT($B$5&amp;"生成成长"),3))*(VLOOKUP($B$5,标准坦克设计!$B$14:$K$20,9)/30))</f>
        <v>14.286018049196835</v>
      </c>
      <c r="W132" s="173">
        <f ca="1">(VLOOKUP(W$72,INDIRECT($C$5&amp;"生成成长"),2))/((VLOOKUP($B132,INDIRECT($B$5&amp;"生成成长"),4))/(VLOOKUP(W$72,INDIRECT($C$5&amp;"生成成长"),5))*(VLOOKUP($B$5,标准坦克设计!$B$24:$U$30,MATCH("对"&amp;LEFT($C$5,2)&amp;"输出",标准坦克设计!$B$23:$U$23,0)))*(VLOOKUP($B132,INDIRECT($B$5&amp;"生成成长"),3))*(VLOOKUP($B$5,标准坦克设计!$B$14:$K$20,9)/30))</f>
        <v>15.561579421343284</v>
      </c>
      <c r="X132" s="173">
        <f ca="1">(VLOOKUP(X$72,INDIRECT($C$5&amp;"生成成长"),2))/((VLOOKUP($B132,INDIRECT($B$5&amp;"生成成长"),4))/(VLOOKUP(X$72,INDIRECT($C$5&amp;"生成成长"),5))*(VLOOKUP($B$5,标准坦克设计!$B$24:$U$30,MATCH("对"&amp;LEFT($C$5,2)&amp;"输出",标准坦克设计!$B$23:$U$23,0)))*(VLOOKUP($B132,INDIRECT($B$5&amp;"生成成长"),3))*(VLOOKUP($B$5,标准坦克设计!$B$14:$K$20,9)/30))</f>
        <v>11.274023434102006</v>
      </c>
      <c r="Y132" s="173">
        <f ca="1">(VLOOKUP(Y$72,INDIRECT($C$5&amp;"生成成长"),2))/((VLOOKUP($B132,INDIRECT($B$5&amp;"生成成长"),4))/(VLOOKUP(Y$72,INDIRECT($C$5&amp;"生成成长"),5))*(VLOOKUP($B$5,标准坦克设计!$B$24:$U$30,MATCH("对"&amp;LEFT($C$5,2)&amp;"输出",标准坦克设计!$B$23:$U$23,0)))*(VLOOKUP($B132,INDIRECT($B$5&amp;"生成成长"),3))*(VLOOKUP($B$5,标准坦克设计!$B$14:$K$20,9)/30))</f>
        <v>12.539821998174494</v>
      </c>
      <c r="Z132" s="173">
        <f ca="1">(VLOOKUP(Z$72,INDIRECT($C$5&amp;"生成成长"),2))/((VLOOKUP($B132,INDIRECT($B$5&amp;"生成成长"),4))/(VLOOKUP(Z$72,INDIRECT($C$5&amp;"生成成长"),5))*(VLOOKUP($B$5,标准坦克设计!$B$24:$U$30,MATCH("对"&amp;LEFT($C$5,2)&amp;"输出",标准坦克设计!$B$23:$U$23,0)))*(VLOOKUP($B132,INDIRECT($B$5&amp;"生成成长"),3))*(VLOOKUP($B$5,标准坦克设计!$B$14:$K$20,9)/30))</f>
        <v>13.872950273101901</v>
      </c>
      <c r="AA132" s="173">
        <f ca="1">(VLOOKUP(AA$72,INDIRECT($C$5&amp;"生成成长"),2))/((VLOOKUP($B132,INDIRECT($B$5&amp;"生成成长"),4))/(VLOOKUP(AA$72,INDIRECT($C$5&amp;"生成成长"),5))*(VLOOKUP($B$5,标准坦克设计!$B$24:$U$30,MATCH("对"&amp;LEFT($C$5,2)&amp;"输出",标准坦克设计!$B$23:$U$23,0)))*(VLOOKUP($B132,INDIRECT($B$5&amp;"生成成长"),3))*(VLOOKUP($B$5,标准坦克设计!$B$14:$K$20,9)/30))</f>
        <v>15.273408258884229</v>
      </c>
      <c r="AB132" s="173">
        <f ca="1">(VLOOKUP(AB$72,INDIRECT($C$5&amp;"生成成长"),2))/((VLOOKUP($B132,INDIRECT($B$5&amp;"生成成长"),4))/(VLOOKUP(AB$72,INDIRECT($C$5&amp;"生成成长"),5))*(VLOOKUP($B$5,标准坦克设计!$B$24:$U$30,MATCH("对"&amp;LEFT($C$5,2)&amp;"输出",标准坦克设计!$B$23:$U$23,0)))*(VLOOKUP($B132,INDIRECT($B$5&amp;"生成成长"),3))*(VLOOKUP($B$5,标准坦克设计!$B$14:$K$20,9)/30))</f>
        <v>16.741195955521476</v>
      </c>
      <c r="AC132" s="173">
        <f ca="1">(VLOOKUP(AC$72,INDIRECT($C$5&amp;"生成成长"),2))/((VLOOKUP($B132,INDIRECT($B$5&amp;"生成成长"),4))/(VLOOKUP(AC$72,INDIRECT($C$5&amp;"生成成长"),5))*(VLOOKUP($B$5,标准坦克设计!$B$24:$U$30,MATCH("对"&amp;LEFT($C$5,2)&amp;"输出",标准坦克设计!$B$23:$U$23,0)))*(VLOOKUP($B132,INDIRECT($B$5&amp;"生成成长"),3))*(VLOOKUP($B$5,标准坦克设计!$B$14:$K$20,9)/30))</f>
        <v>18.276313363013642</v>
      </c>
      <c r="AD132" s="173">
        <f ca="1">(VLOOKUP(AD$72,INDIRECT($C$5&amp;"生成成长"),2))/((VLOOKUP($B132,INDIRECT($B$5&amp;"生成成长"),4))/(VLOOKUP(AD$72,INDIRECT($C$5&amp;"生成成长"),5))*(VLOOKUP($B$5,标准坦克设计!$B$24:$U$30,MATCH("对"&amp;LEFT($C$5,2)&amp;"输出",标准坦克设计!$B$23:$U$23,0)))*(VLOOKUP($B132,INDIRECT($B$5&amp;"生成成长"),3))*(VLOOKUP($B$5,标准坦克设计!$B$14:$K$20,9)/30))</f>
        <v>19.878760481360725</v>
      </c>
      <c r="AE132" s="173">
        <f ca="1">(VLOOKUP(AE$72,INDIRECT($C$5&amp;"生成成长"),2))/((VLOOKUP($B132,INDIRECT($B$5&amp;"生成成长"),4))/(VLOOKUP(AE$72,INDIRECT($C$5&amp;"生成成长"),5))*(VLOOKUP($B$5,标准坦克设计!$B$24:$U$30,MATCH("对"&amp;LEFT($C$5,2)&amp;"输出",标准坦克设计!$B$23:$U$23,0)))*(VLOOKUP($B132,INDIRECT($B$5&amp;"生成成长"),3))*(VLOOKUP($B$5,标准坦克设计!$B$14:$K$20,9)/30))</f>
        <v>21.548537310562732</v>
      </c>
      <c r="AF132" s="173">
        <f ca="1">(VLOOKUP(AF$72,INDIRECT($C$5&amp;"生成成长"),2))/((VLOOKUP($B132,INDIRECT($B$5&amp;"生成成长"),4))/(VLOOKUP(AF$72,INDIRECT($C$5&amp;"生成成长"),5))*(VLOOKUP($B$5,标准坦克设计!$B$24:$U$30,MATCH("对"&amp;LEFT($C$5,2)&amp;"输出",标准坦克设计!$B$23:$U$23,0)))*(VLOOKUP($B132,INDIRECT($B$5&amp;"生成成长"),3))*(VLOOKUP($B$5,标准坦克设计!$B$14:$K$20,9)/30))</f>
        <v>23.28564385061966</v>
      </c>
      <c r="AG132" s="173">
        <f ca="1">(VLOOKUP(AG$72,INDIRECT($C$5&amp;"生成成长"),2))/((VLOOKUP($B132,INDIRECT($B$5&amp;"生成成长"),4))/(VLOOKUP(AG$72,INDIRECT($C$5&amp;"生成成长"),5))*(VLOOKUP($B$5,标准坦克设计!$B$24:$U$30,MATCH("对"&amp;LEFT($C$5,2)&amp;"输出",标准坦克设计!$B$23:$U$23,0)))*(VLOOKUP($B132,INDIRECT($B$5&amp;"生成成长"),3))*(VLOOKUP($B$5,标准坦克设计!$B$14:$K$20,9)/30))</f>
        <v>25.090080101531509</v>
      </c>
      <c r="AH132" s="173">
        <f ca="1">(VLOOKUP(AH$72,INDIRECT($C$5&amp;"生成成长"),2))/((VLOOKUP($B132,INDIRECT($B$5&amp;"生成成长"),4))/(VLOOKUP(AH$72,INDIRECT($C$5&amp;"生成成长"),5))*(VLOOKUP($B$5,标准坦克设计!$B$24:$U$30,MATCH("对"&amp;LEFT($C$5,2)&amp;"输出",标准坦克设计!$B$23:$U$23,0)))*(VLOOKUP($B132,INDIRECT($B$5&amp;"生成成长"),3))*(VLOOKUP($B$5,标准坦克设计!$B$14:$K$20,9)/30))</f>
        <v>26.961846063298267</v>
      </c>
      <c r="AI132" s="173">
        <f ca="1">(VLOOKUP(AI$72,INDIRECT($C$5&amp;"生成成长"),2))/((VLOOKUP($B132,INDIRECT($B$5&amp;"生成成长"),4))/(VLOOKUP(AI$72,INDIRECT($C$5&amp;"生成成长"),5))*(VLOOKUP($B$5,标准坦克设计!$B$24:$U$30,MATCH("对"&amp;LEFT($C$5,2)&amp;"输出",标准坦克设计!$B$23:$U$23,0)))*(VLOOKUP($B132,INDIRECT($B$5&amp;"生成成长"),3))*(VLOOKUP($B$5,标准坦克设计!$B$14:$K$20,9)/30))</f>
        <v>19.06912070833032</v>
      </c>
      <c r="AJ132" s="173">
        <f ca="1">(VLOOKUP(AJ$72,INDIRECT($C$5&amp;"生成成长"),2))/((VLOOKUP($B132,INDIRECT($B$5&amp;"生成成长"),4))/(VLOOKUP(AJ$72,INDIRECT($C$5&amp;"生成成长"),5))*(VLOOKUP($B$5,标准坦克设计!$B$24:$U$30,MATCH("对"&amp;LEFT($C$5,2)&amp;"输出",标准坦克设计!$B$23:$U$23,0)))*(VLOOKUP($B132,INDIRECT($B$5&amp;"生成成长"),3))*(VLOOKUP($B$5,标准坦克设计!$B$14:$K$20,9)/30))</f>
        <v>20.872547013579339</v>
      </c>
      <c r="AK132" s="173">
        <f ca="1">(VLOOKUP(AK$72,INDIRECT($C$5&amp;"生成成长"),2))/((VLOOKUP($B132,INDIRECT($B$5&amp;"生成成长"),4))/(VLOOKUP(AK$72,INDIRECT($C$5&amp;"生成成长"),5))*(VLOOKUP($B$5,标准坦克设计!$B$24:$U$30,MATCH("对"&amp;LEFT($C$5,2)&amp;"输出",标准坦克设计!$B$23:$U$23,0)))*(VLOOKUP($B132,INDIRECT($B$5&amp;"生成成长"),3))*(VLOOKUP($B$5,标准坦克设计!$B$14:$K$20,9)/30))</f>
        <v>22.757442268962816</v>
      </c>
      <c r="AL132" s="173">
        <f ca="1">(VLOOKUP(AL$72,INDIRECT($C$5&amp;"生成成长"),2))/((VLOOKUP($B132,INDIRECT($B$5&amp;"生成成长"),4))/(VLOOKUP(AL$72,INDIRECT($C$5&amp;"生成成长"),5))*(VLOOKUP($B$5,标准坦克设计!$B$24:$U$30,MATCH("对"&amp;LEFT($C$5,2)&amp;"输出",标准坦克设计!$B$23:$U$23,0)))*(VLOOKUP($B132,INDIRECT($B$5&amp;"生成成长"),3))*(VLOOKUP($B$5,标准坦克设计!$B$14:$K$20,9)/30))</f>
        <v>24.723806474480739</v>
      </c>
      <c r="AM132" s="173">
        <f ca="1">(VLOOKUP(AM$72,INDIRECT($C$5&amp;"生成成长"),2))/((VLOOKUP($B132,INDIRECT($B$5&amp;"生成成长"),4))/(VLOOKUP(AM$72,INDIRECT($C$5&amp;"生成成长"),5))*(VLOOKUP($B$5,标准坦克设计!$B$24:$U$30,MATCH("对"&amp;LEFT($C$5,2)&amp;"输出",标准坦克设计!$B$23:$U$23,0)))*(VLOOKUP($B132,INDIRECT($B$5&amp;"生成成长"),3))*(VLOOKUP($B$5,标准坦克设计!$B$14:$K$20,9)/30))</f>
        <v>26.771639630133123</v>
      </c>
      <c r="AN132" s="173">
        <f ca="1">(VLOOKUP(AN$72,INDIRECT($C$5&amp;"生成成长"),2))/((VLOOKUP($B132,INDIRECT($B$5&amp;"生成成长"),4))/(VLOOKUP(AN$72,INDIRECT($C$5&amp;"生成成长"),5))*(VLOOKUP($B$5,标准坦克设计!$B$24:$U$30,MATCH("对"&amp;LEFT($C$5,2)&amp;"输出",标准坦克设计!$B$23:$U$23,0)))*(VLOOKUP($B132,INDIRECT($B$5&amp;"生成成长"),3))*(VLOOKUP($B$5,标准坦克设计!$B$14:$K$20,9)/30))</f>
        <v>28.90094173591995</v>
      </c>
      <c r="AO132" s="173">
        <f ca="1">(VLOOKUP(AO$72,INDIRECT($C$5&amp;"生成成长"),2))/((VLOOKUP($B132,INDIRECT($B$5&amp;"生成成长"),4))/(VLOOKUP(AO$72,INDIRECT($C$5&amp;"生成成长"),5))*(VLOOKUP($B$5,标准坦克设计!$B$24:$U$30,MATCH("对"&amp;LEFT($C$5,2)&amp;"输出",标准坦克设计!$B$23:$U$23,0)))*(VLOOKUP($B132,INDIRECT($B$5&amp;"生成成长"),3))*(VLOOKUP($B$5,标准坦克设计!$B$14:$K$20,9)/30))</f>
        <v>31.111712791841235</v>
      </c>
      <c r="AP132" s="173">
        <f ca="1">(VLOOKUP(AP$72,INDIRECT($C$5&amp;"生成成长"),2))/((VLOOKUP($B132,INDIRECT($B$5&amp;"生成成长"),4))/(VLOOKUP(AP$72,INDIRECT($C$5&amp;"生成成长"),5))*(VLOOKUP($B$5,标准坦克设计!$B$24:$U$30,MATCH("对"&amp;LEFT($C$5,2)&amp;"输出",标准坦克设计!$B$23:$U$23,0)))*(VLOOKUP($B132,INDIRECT($B$5&amp;"生成成长"),3))*(VLOOKUP($B$5,标准坦克设计!$B$14:$K$20,9)/30))</f>
        <v>33.403952797896963</v>
      </c>
      <c r="AQ132" s="173">
        <f ca="1">(VLOOKUP(AQ$72,INDIRECT($C$5&amp;"生成成长"),2))/((VLOOKUP($B132,INDIRECT($B$5&amp;"生成成长"),4))/(VLOOKUP(AQ$72,INDIRECT($C$5&amp;"生成成长"),5))*(VLOOKUP($B$5,标准坦克设计!$B$24:$U$30,MATCH("对"&amp;LEFT($C$5,2)&amp;"输出",标准坦克设计!$B$23:$U$23,0)))*(VLOOKUP($B132,INDIRECT($B$5&amp;"生成成长"),3))*(VLOOKUP($B$5,标准坦克设计!$B$14:$K$20,9)/30))</f>
        <v>35.777661754087163</v>
      </c>
      <c r="AR132" s="173">
        <f ca="1">(VLOOKUP(AR$72,INDIRECT($C$5&amp;"生成成长"),2))/((VLOOKUP($B132,INDIRECT($B$5&amp;"生成成长"),4))/(VLOOKUP(AR$72,INDIRECT($C$5&amp;"生成成长"),5))*(VLOOKUP($B$5,标准坦克设计!$B$24:$U$30,MATCH("对"&amp;LEFT($C$5,2)&amp;"输出",标准坦克设计!$B$23:$U$23,0)))*(VLOOKUP($B132,INDIRECT($B$5&amp;"生成成长"),3))*(VLOOKUP($B$5,标准坦克设计!$B$14:$K$20,9)/30))</f>
        <v>38.232839660411798</v>
      </c>
      <c r="AS132" s="173">
        <f ca="1">(VLOOKUP(AS$72,INDIRECT($C$5&amp;"生成成长"),2))/((VLOOKUP($B132,INDIRECT($B$5&amp;"生成成长"),4))/(VLOOKUP(AS$72,INDIRECT($C$5&amp;"生成成长"),5))*(VLOOKUP($B$5,标准坦克设计!$B$24:$U$30,MATCH("对"&amp;LEFT($C$5,2)&amp;"输出",标准坦克设计!$B$23:$U$23,0)))*(VLOOKUP($B132,INDIRECT($B$5&amp;"生成成长"),3))*(VLOOKUP($B$5,标准坦克设计!$B$14:$K$20,9)/30))</f>
        <v>40.769486516870899</v>
      </c>
      <c r="AT132" s="173">
        <f ca="1">(VLOOKUP(AT$72,INDIRECT($C$5&amp;"生成成长"),2))/((VLOOKUP($B132,INDIRECT($B$5&amp;"生成成长"),4))/(VLOOKUP(AT$72,INDIRECT($C$5&amp;"生成成长"),5))*(VLOOKUP($B$5,标准坦克设计!$B$24:$U$30,MATCH("对"&amp;LEFT($C$5,2)&amp;"输出",标准坦克设计!$B$23:$U$23,0)))*(VLOOKUP($B132,INDIRECT($B$5&amp;"生成成长"),3))*(VLOOKUP($B$5,标准坦克设计!$B$14:$K$20,9)/30))</f>
        <v>43.387602323464449</v>
      </c>
      <c r="AU132" s="173">
        <f ca="1">(VLOOKUP(AU$72,INDIRECT($C$5&amp;"生成成长"),2))/((VLOOKUP($B132,INDIRECT($B$5&amp;"生成成长"),4))/(VLOOKUP(AU$72,INDIRECT($C$5&amp;"生成成长"),5))*(VLOOKUP($B$5,标准坦克设计!$B$24:$U$30,MATCH("对"&amp;LEFT($C$5,2)&amp;"输出",标准坦克设计!$B$23:$U$23,0)))*(VLOOKUP($B132,INDIRECT($B$5&amp;"生成成长"),3))*(VLOOKUP($B$5,标准坦克设计!$B$14:$K$20,9)/30))</f>
        <v>46.087187080192443</v>
      </c>
      <c r="AV132" s="173">
        <f ca="1">(VLOOKUP(AV$72,INDIRECT($C$5&amp;"生成成长"),2))/((VLOOKUP($B132,INDIRECT($B$5&amp;"生成成长"),4))/(VLOOKUP(AV$72,INDIRECT($C$5&amp;"生成成长"),5))*(VLOOKUP($B$5,标准坦克设计!$B$24:$U$30,MATCH("对"&amp;LEFT($C$5,2)&amp;"输出",标准坦克设计!$B$23:$U$23,0)))*(VLOOKUP($B132,INDIRECT($B$5&amp;"生成成长"),3))*(VLOOKUP($B$5,标准坦克设计!$B$14:$K$20,9)/30))</f>
        <v>4.6874944697195007</v>
      </c>
      <c r="AW132" s="173">
        <f ca="1">(VLOOKUP(AW$72,INDIRECT($C$5&amp;"生成成长"),2))/((VLOOKUP($B132,INDIRECT($B$5&amp;"生成成长"),4))/(VLOOKUP(AW$72,INDIRECT($C$5&amp;"生成成长"),5))*(VLOOKUP($B$5,标准坦克设计!$B$24:$U$30,MATCH("对"&amp;LEFT($C$5,2)&amp;"输出",标准坦克设计!$B$23:$U$23,0)))*(VLOOKUP($B132,INDIRECT($B$5&amp;"生成成长"),3))*(VLOOKUP($B$5,标准坦克设计!$B$14:$K$20,9)/30))</f>
        <v>5.3446324476635159</v>
      </c>
      <c r="AX132" s="173">
        <f ca="1">(VLOOKUP(AX$72,INDIRECT($C$5&amp;"生成成长"),2))/((VLOOKUP($B132,INDIRECT($B$5&amp;"生成成长"),4))/(VLOOKUP(AX$72,INDIRECT($C$5&amp;"生成成长"),5))*(VLOOKUP($B$5,标准坦克设计!$B$24:$U$30,MATCH("对"&amp;LEFT($C$5,2)&amp;"输出",标准坦克设计!$B$23:$U$23,0)))*(VLOOKUP($B132,INDIRECT($B$5&amp;"生成成长"),3))*(VLOOKUP($B$5,标准坦克设计!$B$14:$K$20,9)/30))</f>
        <v>6.0448614405546799</v>
      </c>
      <c r="AY132" s="173">
        <f ca="1">(VLOOKUP(AY$72,INDIRECT($C$5&amp;"生成成长"),2))/((VLOOKUP($B132,INDIRECT($B$5&amp;"生成成长"),4))/(VLOOKUP(AY$72,INDIRECT($C$5&amp;"生成成长"),5))*(VLOOKUP($B$5,标准坦克设计!$B$24:$U$30,MATCH("对"&amp;LEFT($C$5,2)&amp;"输出",标准坦克设计!$B$23:$U$23,0)))*(VLOOKUP($B132,INDIRECT($B$5&amp;"生成成长"),3))*(VLOOKUP($B$5,标准坦克设计!$B$14:$K$20,9)/30))</f>
        <v>6.788181448392991</v>
      </c>
      <c r="AZ132" s="173">
        <f ca="1">(VLOOKUP(AZ$72,INDIRECT($C$5&amp;"生成成长"),2))/((VLOOKUP($B132,INDIRECT($B$5&amp;"生成成长"),4))/(VLOOKUP(AZ$72,INDIRECT($C$5&amp;"生成成长"),5))*(VLOOKUP($B$5,标准坦克设计!$B$24:$U$30,MATCH("对"&amp;LEFT($C$5,2)&amp;"输出",标准坦克设计!$B$23:$U$23,0)))*(VLOOKUP($B132,INDIRECT($B$5&amp;"生成成长"),3))*(VLOOKUP($B$5,标准坦克设计!$B$14:$K$20,9)/30))</f>
        <v>7.5745924711784518</v>
      </c>
      <c r="BA132" s="173">
        <f ca="1">(VLOOKUP(BA$72,INDIRECT($C$5&amp;"生成成长"),2))/((VLOOKUP($B132,INDIRECT($B$5&amp;"生成成长"),4))/(VLOOKUP(BA$72,INDIRECT($C$5&amp;"生成成长"),5))*(VLOOKUP($B$5,标准坦克设计!$B$24:$U$30,MATCH("对"&amp;LEFT($C$5,2)&amp;"输出",标准坦克设计!$B$23:$U$23,0)))*(VLOOKUP($B132,INDIRECT($B$5&amp;"生成成长"),3))*(VLOOKUP($B$5,标准坦克设计!$B$14:$K$20,9)/30))</f>
        <v>8.4040945089110615</v>
      </c>
      <c r="BB132" s="173">
        <f ca="1">(VLOOKUP(BB$72,INDIRECT($C$5&amp;"生成成长"),2))/((VLOOKUP($B132,INDIRECT($B$5&amp;"生成成长"),4))/(VLOOKUP(BB$72,INDIRECT($C$5&amp;"生成成长"),5))*(VLOOKUP($B$5,标准坦克设计!$B$24:$U$30,MATCH("对"&amp;LEFT($C$5,2)&amp;"输出",标准坦克设计!$B$23:$U$23,0)))*(VLOOKUP($B132,INDIRECT($B$5&amp;"生成成长"),3))*(VLOOKUP($B$5,标准坦克设计!$B$14:$K$20,9)/30))</f>
        <v>9.2766875615908191</v>
      </c>
      <c r="BC132" s="173">
        <f ca="1">(VLOOKUP(BC$72,INDIRECT($C$5&amp;"生成成长"),2))/((VLOOKUP($B132,INDIRECT($B$5&amp;"生成成长"),4))/(VLOOKUP(BC$72,INDIRECT($C$5&amp;"生成成长"),5))*(VLOOKUP($B$5,标准坦克设计!$B$24:$U$30,MATCH("对"&amp;LEFT($C$5,2)&amp;"输出",标准坦克设计!$B$23:$U$23,0)))*(VLOOKUP($B132,INDIRECT($B$5&amp;"生成成长"),3))*(VLOOKUP($B$5,标准坦克设计!$B$14:$K$20,9)/30))</f>
        <v>10.192371629217725</v>
      </c>
      <c r="BD132" s="173">
        <f ca="1">(VLOOKUP(BD$72,INDIRECT($C$5&amp;"生成成长"),2))/((VLOOKUP($B132,INDIRECT($B$5&amp;"生成成长"),4))/(VLOOKUP(BD$72,INDIRECT($C$5&amp;"生成成长"),5))*(VLOOKUP($B$5,标准坦克设计!$B$24:$U$30,MATCH("对"&amp;LEFT($C$5,2)&amp;"输出",标准坦克设计!$B$23:$U$23,0)))*(VLOOKUP($B132,INDIRECT($B$5&amp;"生成成长"),3))*(VLOOKUP($B$5,标准坦克设计!$B$14:$K$20,9)/30))</f>
        <v>11.274023434102006</v>
      </c>
      <c r="BE132" s="173">
        <f ca="1">(VLOOKUP(BE$72,INDIRECT($C$5&amp;"生成成长"),2))/((VLOOKUP($B132,INDIRECT($B$5&amp;"生成成长"),4))/(VLOOKUP(BE$72,INDIRECT($C$5&amp;"生成成长"),5))*(VLOOKUP($B$5,标准坦克设计!$B$24:$U$30,MATCH("对"&amp;LEFT($C$5,2)&amp;"输出",标准坦克设计!$B$23:$U$23,0)))*(VLOOKUP($B132,INDIRECT($B$5&amp;"生成成长"),3))*(VLOOKUP($B$5,标准坦克设计!$B$14:$K$20,9)/30))</f>
        <v>12.410212304778776</v>
      </c>
      <c r="BF132" s="173">
        <f ca="1">(VLOOKUP(BF$72,INDIRECT($C$5&amp;"生成成长"),2))/((VLOOKUP($B132,INDIRECT($B$5&amp;"生成成长"),4))/(VLOOKUP(BF$72,INDIRECT($C$5&amp;"生成成长"),5))*(VLOOKUP($B$5,标准坦克设计!$B$24:$U$30,MATCH("对"&amp;LEFT($C$5,2)&amp;"输出",标准坦克设计!$B$23:$U$23,0)))*(VLOOKUP($B132,INDIRECT($B$5&amp;"生成成长"),3))*(VLOOKUP($B$5,标准坦克设计!$B$14:$K$20,9)/30))</f>
        <v>13.600938241248031</v>
      </c>
      <c r="BG132" s="173">
        <f ca="1">(VLOOKUP(BG$72,INDIRECT($C$5&amp;"生成成长"),2))/((VLOOKUP($B132,INDIRECT($B$5&amp;"生成成长"),4))/(VLOOKUP(BG$72,INDIRECT($C$5&amp;"生成成长"),5))*(VLOOKUP($B$5,标准坦克设计!$B$24:$U$30,MATCH("对"&amp;LEFT($C$5,2)&amp;"输出",标准坦克设计!$B$23:$U$23,0)))*(VLOOKUP($B132,INDIRECT($B$5&amp;"生成成长"),3))*(VLOOKUP($B$5,标准坦克设计!$B$14:$K$20,9)/30))</f>
        <v>14.846201243509764</v>
      </c>
      <c r="BH132" s="173">
        <f ca="1">(VLOOKUP(BH$72,INDIRECT($C$5&amp;"生成成长"),2))/((VLOOKUP($B132,INDIRECT($B$5&amp;"生成成长"),4))/(VLOOKUP(BH$72,INDIRECT($C$5&amp;"生成成长"),5))*(VLOOKUP($B$5,标准坦克设计!$B$24:$U$30,MATCH("对"&amp;LEFT($C$5,2)&amp;"输出",标准坦克设计!$B$23:$U$23,0)))*(VLOOKUP($B132,INDIRECT($B$5&amp;"生成成长"),3))*(VLOOKUP($B$5,标准坦克设计!$B$14:$K$20,9)/30))</f>
        <v>7.1760005829173279</v>
      </c>
      <c r="BI132" s="173">
        <f ca="1">(VLOOKUP(BI$72,INDIRECT($C$5&amp;"生成成长"),2))/((VLOOKUP($B132,INDIRECT($B$5&amp;"生成成长"),4))/(VLOOKUP(BI$72,INDIRECT($C$5&amp;"生成成长"),5))*(VLOOKUP($B$5,标准坦克设计!$B$24:$U$30,MATCH("对"&amp;LEFT($C$5,2)&amp;"输出",标准坦克设计!$B$23:$U$23,0)))*(VLOOKUP($B132,INDIRECT($B$5&amp;"生成成长"),3))*(VLOOKUP($B$5,标准坦克设计!$B$14:$K$20,9)/30))</f>
        <v>8.0879815164472131</v>
      </c>
      <c r="BJ132" s="173">
        <f ca="1">(VLOOKUP(BJ$72,INDIRECT($C$5&amp;"生成成长"),2))/((VLOOKUP($B132,INDIRECT($B$5&amp;"生成成长"),4))/(VLOOKUP(BJ$72,INDIRECT($C$5&amp;"生成成长"),5))*(VLOOKUP($B$5,标准坦克设计!$B$24:$U$30,MATCH("对"&amp;LEFT($C$5,2)&amp;"输出",标准坦克设计!$B$23:$U$23,0)))*(VLOOKUP($B132,INDIRECT($B$5&amp;"生成成长"),3))*(VLOOKUP($B$5,标准坦克设计!$B$14:$K$20,9)/30))</f>
        <v>9.0544995157695833</v>
      </c>
      <c r="BK132" s="173">
        <f ca="1">(VLOOKUP(BK$72,INDIRECT($C$5&amp;"生成成长"),2))/((VLOOKUP($B132,INDIRECT($B$5&amp;"生成成长"),4))/(VLOOKUP(BK$72,INDIRECT($C$5&amp;"生成成长"),5))*(VLOOKUP($B$5,标准坦克设计!$B$24:$U$30,MATCH("对"&amp;LEFT($C$5,2)&amp;"输出",标准坦克设计!$B$23:$U$23,0)))*(VLOOKUP($B132,INDIRECT($B$5&amp;"生成成长"),3))*(VLOOKUP($B$5,标准坦克设计!$B$14:$K$20,9)/30))</f>
        <v>10.07555458088444</v>
      </c>
      <c r="BL132" s="173">
        <f ca="1">(VLOOKUP(BL$72,INDIRECT($C$5&amp;"生成成长"),2))/((VLOOKUP($B132,INDIRECT($B$5&amp;"生成成长"),4))/(VLOOKUP(BL$72,INDIRECT($C$5&amp;"生成成长"),5))*(VLOOKUP($B$5,标准坦克设计!$B$24:$U$30,MATCH("对"&amp;LEFT($C$5,2)&amp;"输出",标准坦克设计!$B$23:$U$23,0)))*(VLOOKUP($B132,INDIRECT($B$5&amp;"生成成长"),3))*(VLOOKUP($B$5,标准坦克设计!$B$14:$K$20,9)/30))</f>
        <v>11.151146711791778</v>
      </c>
      <c r="BM132" s="173">
        <f ca="1">(VLOOKUP(BM$72,INDIRECT($C$5&amp;"生成成长"),2))/((VLOOKUP($B132,INDIRECT($B$5&amp;"生成成长"),4))/(VLOOKUP(BM$72,INDIRECT($C$5&amp;"生成成长"),5))*(VLOOKUP($B$5,标准坦克设计!$B$24:$U$30,MATCH("对"&amp;LEFT($C$5,2)&amp;"输出",标准坦克设计!$B$23:$U$23,0)))*(VLOOKUP($B132,INDIRECT($B$5&amp;"生成成长"),3))*(VLOOKUP($B$5,标准坦克设计!$B$14:$K$20,9)/30))</f>
        <v>12.281275908491603</v>
      </c>
      <c r="BN132" s="173">
        <f ca="1">(VLOOKUP(BN$72,INDIRECT($C$5&amp;"生成成长"),2))/((VLOOKUP($B132,INDIRECT($B$5&amp;"生成成长"),4))/(VLOOKUP(BN$72,INDIRECT($C$5&amp;"生成成长"),5))*(VLOOKUP($B$5,标准坦克设计!$B$24:$U$30,MATCH("对"&amp;LEFT($C$5,2)&amp;"输出",标准坦克设计!$B$23:$U$23,0)))*(VLOOKUP($B132,INDIRECT($B$5&amp;"生成成长"),3))*(VLOOKUP($B$5,标准坦克设计!$B$14:$K$20,9)/30))</f>
        <v>13.465942170983915</v>
      </c>
      <c r="BO132" s="173">
        <f ca="1">(VLOOKUP(BO$72,INDIRECT($C$5&amp;"生成成长"),2))/((VLOOKUP($B132,INDIRECT($B$5&amp;"生成成长"),4))/(VLOOKUP(BO$72,INDIRECT($C$5&amp;"生成成长"),5))*(VLOOKUP($B$5,标准坦克设计!$B$24:$U$30,MATCH("对"&amp;LEFT($C$5,2)&amp;"输出",标准坦克设计!$B$23:$U$23,0)))*(VLOOKUP($B132,INDIRECT($B$5&amp;"生成成长"),3))*(VLOOKUP($B$5,标准坦克设计!$B$14:$K$20,9)/30))</f>
        <v>14.705145499268708</v>
      </c>
      <c r="BP132" s="173">
        <f ca="1">(VLOOKUP(BP$72,INDIRECT($C$5&amp;"生成成长"),2))/((VLOOKUP($B132,INDIRECT($B$5&amp;"生成成长"),4))/(VLOOKUP(BP$72,INDIRECT($C$5&amp;"生成成长"),5))*(VLOOKUP($B$5,标准坦克设计!$B$24:$U$30,MATCH("对"&amp;LEFT($C$5,2)&amp;"输出",标准坦克设计!$B$23:$U$23,0)))*(VLOOKUP($B132,INDIRECT($B$5&amp;"生成成长"),3))*(VLOOKUP($B$5,标准坦克设计!$B$14:$K$20,9)/30))</f>
        <v>15.998885893345985</v>
      </c>
      <c r="BQ132" s="173">
        <f ca="1">(VLOOKUP(BQ$72,INDIRECT($C$5&amp;"生成成长"),2))/((VLOOKUP($B132,INDIRECT($B$5&amp;"生成成长"),4))/(VLOOKUP(BQ$72,INDIRECT($C$5&amp;"生成成长"),5))*(VLOOKUP($B$5,标准坦克设计!$B$24:$U$30,MATCH("对"&amp;LEFT($C$5,2)&amp;"输出",标准坦克设计!$B$23:$U$23,0)))*(VLOOKUP($B132,INDIRECT($B$5&amp;"生成成长"),3))*(VLOOKUP($B$5,标准坦克设计!$B$14:$K$20,9)/30))</f>
        <v>17.347163353215755</v>
      </c>
      <c r="BR132" s="173">
        <f ca="1">(VLOOKUP(BR$72,INDIRECT($C$5&amp;"生成成长"),2))/((VLOOKUP($B132,INDIRECT($B$5&amp;"生成成长"),4))/(VLOOKUP(BR$72,INDIRECT($C$5&amp;"生成成长"),5))*(VLOOKUP($B$5,标准坦克设计!$B$24:$U$30,MATCH("对"&amp;LEFT($C$5,2)&amp;"输出",标准坦克设计!$B$23:$U$23,0)))*(VLOOKUP($B132,INDIRECT($B$5&amp;"生成成长"),3))*(VLOOKUP($B$5,标准坦克设计!$B$14:$K$20,9)/30))</f>
        <v>18.909212645049884</v>
      </c>
      <c r="BS132" s="173">
        <f ca="1">(VLOOKUP(BS$72,INDIRECT($C$5&amp;"生成成长"),2))/((VLOOKUP($B132,INDIRECT($B$5&amp;"生成成长"),4))/(VLOOKUP(BS$72,INDIRECT($C$5&amp;"生成成长"),5))*(VLOOKUP($B$5,标准坦克设计!$B$24:$U$30,MATCH("对"&amp;LEFT($C$5,2)&amp;"输出",标准坦克设计!$B$23:$U$23,0)))*(VLOOKUP($B132,INDIRECT($B$5&amp;"生成成长"),3))*(VLOOKUP($B$5,标准坦克设计!$B$14:$K$20,9)/30))</f>
        <v>20.538591647738937</v>
      </c>
      <c r="BT132" s="173">
        <f ca="1">(VLOOKUP(BT$72,INDIRECT($C$5&amp;"生成成长"),2))/((VLOOKUP($B132,INDIRECT($B$5&amp;"生成成长"),4))/(VLOOKUP(BT$72,INDIRECT($C$5&amp;"生成成长"),5))*(VLOOKUP($B$5,标准坦克设计!$B$24:$U$30,MATCH("对"&amp;LEFT($C$5,2)&amp;"输出",标准坦克设计!$B$23:$U$23,0)))*(VLOOKUP($B132,INDIRECT($B$5&amp;"生成成长"),3))*(VLOOKUP($B$5,标准坦克设计!$B$14:$K$20,9)/30))</f>
        <v>22.235300361282913</v>
      </c>
      <c r="BU132" s="173">
        <f ca="1">(VLOOKUP(BU$72,INDIRECT($C$5&amp;"生成成长"),2))/((VLOOKUP($B132,INDIRECT($B$5&amp;"生成成长"),4))/(VLOOKUP(BU$72,INDIRECT($C$5&amp;"生成成长"),5))*(VLOOKUP($B$5,标准坦克设计!$B$24:$U$30,MATCH("对"&amp;LEFT($C$5,2)&amp;"输出",标准坦克设计!$B$23:$U$23,0)))*(VLOOKUP($B132,INDIRECT($B$5&amp;"生成成长"),3))*(VLOOKUP($B$5,标准坦克设计!$B$14:$K$20,9)/30))</f>
        <v>23.999338785681807</v>
      </c>
      <c r="BV132" s="173">
        <f ca="1">(VLOOKUP(BV$72,INDIRECT($C$5&amp;"生成成长"),2))/((VLOOKUP($B132,INDIRECT($B$5&amp;"生成成长"),4))/(VLOOKUP(BV$72,INDIRECT($C$5&amp;"生成成长"),5))*(VLOOKUP($B$5,标准坦克设计!$B$24:$U$30,MATCH("对"&amp;LEFT($C$5,2)&amp;"输出",标准坦克设计!$B$23:$U$23,0)))*(VLOOKUP($B132,INDIRECT($B$5&amp;"生成成长"),3))*(VLOOKUP($B$5,标准坦克设计!$B$14:$K$20,9)/30))</f>
        <v>25.830706920935615</v>
      </c>
      <c r="BW132" s="173">
        <f ca="1">(VLOOKUP(BW$72,INDIRECT($C$5&amp;"生成成长"),2))/((VLOOKUP($B132,INDIRECT($B$5&amp;"生成成长"),4))/(VLOOKUP(BW$72,INDIRECT($C$5&amp;"生成成长"),5))*(VLOOKUP($B$5,标准坦克设计!$B$24:$U$30,MATCH("对"&amp;LEFT($C$5,2)&amp;"输出",标准坦克设计!$B$23:$U$23,0)))*(VLOOKUP($B132,INDIRECT($B$5&amp;"生成成长"),3))*(VLOOKUP($B$5,标准坦克设计!$B$14:$K$20,9)/30))</f>
        <v>11.772263294428411</v>
      </c>
      <c r="BX132" s="173">
        <f ca="1">(VLOOKUP(BX$72,INDIRECT($C$5&amp;"生成成长"),2))/((VLOOKUP($B132,INDIRECT($B$5&amp;"生成成长"),4))/(VLOOKUP(BX$72,INDIRECT($C$5&amp;"生成成长"),5))*(VLOOKUP($B$5,标准坦克设计!$B$24:$U$30,MATCH("对"&amp;LEFT($C$5,2)&amp;"输出",标准坦克设计!$B$23:$U$23,0)))*(VLOOKUP($B132,INDIRECT($B$5&amp;"生成成长"),3))*(VLOOKUP($B$5,标准坦克设计!$B$14:$K$20,9)/30))</f>
        <v>13.064993742842868</v>
      </c>
      <c r="BY132" s="173">
        <f ca="1">(VLOOKUP(BY$72,INDIRECT($C$5&amp;"生成成长"),2))/((VLOOKUP($B132,INDIRECT($B$5&amp;"生成成长"),4))/(VLOOKUP(BY$72,INDIRECT($C$5&amp;"生成成长"),5))*(VLOOKUP($B$5,标准坦克设计!$B$24:$U$30,MATCH("对"&amp;LEFT($C$5,2)&amp;"输出",标准坦克设计!$B$23:$U$23,0)))*(VLOOKUP($B132,INDIRECT($B$5&amp;"生成成长"),3))*(VLOOKUP($B$5,标准坦克设计!$B$14:$K$20,9)/30))</f>
        <v>14.425053902112243</v>
      </c>
      <c r="BZ132" s="173">
        <f ca="1">(VLOOKUP(BZ$72,INDIRECT($C$5&amp;"生成成长"),2))/((VLOOKUP($B132,INDIRECT($B$5&amp;"生成成长"),4))/(VLOOKUP(BZ$72,INDIRECT($C$5&amp;"生成成长"),5))*(VLOOKUP($B$5,标准坦克设计!$B$24:$U$30,MATCH("对"&amp;LEFT($C$5,2)&amp;"输出",标准坦克设计!$B$23:$U$23,0)))*(VLOOKUP($B132,INDIRECT($B$5&amp;"生成成长"),3))*(VLOOKUP($B$5,标准坦克设计!$B$14:$K$20,9)/30))</f>
        <v>15.852443772236539</v>
      </c>
      <c r="CA132" s="173">
        <f ca="1">(VLOOKUP(CA$72,INDIRECT($C$5&amp;"生成成长"),2))/((VLOOKUP($B132,INDIRECT($B$5&amp;"生成成长"),4))/(VLOOKUP(CA$72,INDIRECT($C$5&amp;"生成成长"),5))*(VLOOKUP($B$5,标准坦克设计!$B$24:$U$30,MATCH("对"&amp;LEFT($C$5,2)&amp;"输出",标准坦克设计!$B$23:$U$23,0)))*(VLOOKUP($B132,INDIRECT($B$5&amp;"生成成长"),3))*(VLOOKUP($B$5,标准坦克设计!$B$14:$K$20,9)/30))</f>
        <v>17.347163353215755</v>
      </c>
      <c r="CB132" s="173">
        <f ca="1">(VLOOKUP(CB$72,INDIRECT($C$5&amp;"生成成长"),2))/((VLOOKUP($B132,INDIRECT($B$5&amp;"生成成长"),4))/(VLOOKUP(CB$72,INDIRECT($C$5&amp;"生成成长"),5))*(VLOOKUP($B$5,标准坦克设计!$B$24:$U$30,MATCH("对"&amp;LEFT($C$5,2)&amp;"输出",标准坦克设计!$B$23:$U$23,0)))*(VLOOKUP($B132,INDIRECT($B$5&amp;"生成成长"),3))*(VLOOKUP($B$5,标准坦克设计!$B$14:$K$20,9)/30))</f>
        <v>18.909212645049884</v>
      </c>
      <c r="CC132" s="173">
        <f ca="1">(VLOOKUP(CC$72,INDIRECT($C$5&amp;"生成成长"),2))/((VLOOKUP($B132,INDIRECT($B$5&amp;"生成成长"),4))/(VLOOKUP(CC$72,INDIRECT($C$5&amp;"生成成长"),5))*(VLOOKUP($B$5,标准坦克设计!$B$24:$U$30,MATCH("对"&amp;LEFT($C$5,2)&amp;"输出",标准坦克设计!$B$23:$U$23,0)))*(VLOOKUP($B132,INDIRECT($B$5&amp;"生成成长"),3))*(VLOOKUP($B$5,标准坦克设计!$B$14:$K$20,9)/30))</f>
        <v>20.538591647738937</v>
      </c>
      <c r="CD132" s="173">
        <f ca="1">(VLOOKUP(CD$72,INDIRECT($C$5&amp;"生成成长"),2))/((VLOOKUP($B132,INDIRECT($B$5&amp;"生成成长"),4))/(VLOOKUP(CD$72,INDIRECT($C$5&amp;"生成成长"),5))*(VLOOKUP($B$5,标准坦克设计!$B$24:$U$30,MATCH("对"&amp;LEFT($C$5,2)&amp;"输出",标准坦克设计!$B$23:$U$23,0)))*(VLOOKUP($B132,INDIRECT($B$5&amp;"生成成长"),3))*(VLOOKUP($B$5,标准坦克设计!$B$14:$K$20,9)/30))</f>
        <v>22.235300361282913</v>
      </c>
      <c r="CE132" s="173">
        <f ca="1">(VLOOKUP(CE$72,INDIRECT($C$5&amp;"生成成长"),2))/((VLOOKUP($B132,INDIRECT($B$5&amp;"生成成长"),4))/(VLOOKUP(CE$72,INDIRECT($C$5&amp;"生成成长"),5))*(VLOOKUP($B$5,标准坦克设计!$B$24:$U$30,MATCH("对"&amp;LEFT($C$5,2)&amp;"输出",标准坦克设计!$B$23:$U$23,0)))*(VLOOKUP($B132,INDIRECT($B$5&amp;"生成成长"),3))*(VLOOKUP($B$5,标准坦克设计!$B$14:$K$20,9)/30))</f>
        <v>23.999338785681807</v>
      </c>
      <c r="CF132" s="173">
        <f ca="1">(VLOOKUP(CF$72,INDIRECT($C$5&amp;"生成成长"),2))/((VLOOKUP($B132,INDIRECT($B$5&amp;"生成成长"),4))/(VLOOKUP(CF$72,INDIRECT($C$5&amp;"生成成长"),5))*(VLOOKUP($B$5,标准坦克设计!$B$24:$U$30,MATCH("对"&amp;LEFT($C$5,2)&amp;"输出",标准坦克设计!$B$23:$U$23,0)))*(VLOOKUP($B132,INDIRECT($B$5&amp;"生成成长"),3))*(VLOOKUP($B$5,标准坦克设计!$B$14:$K$20,9)/30))</f>
        <v>25.830706920935615</v>
      </c>
      <c r="CG132" s="173">
        <f ca="1">(VLOOKUP(CG$72,INDIRECT($C$5&amp;"生成成长"),2))/((VLOOKUP($B132,INDIRECT($B$5&amp;"生成成长"),4))/(VLOOKUP(CG$72,INDIRECT($C$5&amp;"生成成长"),5))*(VLOOKUP($B$5,标准坦克设计!$B$24:$U$30,MATCH("对"&amp;LEFT($C$5,2)&amp;"输出",标准坦克设计!$B$23:$U$23,0)))*(VLOOKUP($B132,INDIRECT($B$5&amp;"生成成长"),3))*(VLOOKUP($B$5,标准坦克设计!$B$14:$K$20,9)/30))</f>
        <v>27.729404767044354</v>
      </c>
      <c r="CH132" s="173">
        <f ca="1">(VLOOKUP(CH$72,INDIRECT($C$5&amp;"生成成长"),2))/((VLOOKUP($B132,INDIRECT($B$5&amp;"生成成长"),4))/(VLOOKUP(CH$72,INDIRECT($C$5&amp;"生成成长"),5))*(VLOOKUP($B$5,标准坦克设计!$B$24:$U$30,MATCH("对"&amp;LEFT($C$5,2)&amp;"输出",标准坦克设计!$B$23:$U$23,0)))*(VLOOKUP($B132,INDIRECT($B$5&amp;"生成成长"),3))*(VLOOKUP($B$5,标准坦克设计!$B$14:$K$20,9)/30))</f>
        <v>29.695432324007999</v>
      </c>
      <c r="CI132" s="173">
        <f ca="1">(VLOOKUP(CI$72,INDIRECT($C$5&amp;"生成成长"),2))/((VLOOKUP($B132,INDIRECT($B$5&amp;"生成成长"),4))/(VLOOKUP(CI$72,INDIRECT($C$5&amp;"生成成长"),5))*(VLOOKUP($B$5,标准坦克设计!$B$24:$U$30,MATCH("对"&amp;LEFT($C$5,2)&amp;"输出",标准坦克设计!$B$23:$U$23,0)))*(VLOOKUP($B132,INDIRECT($B$5&amp;"生成成长"),3))*(VLOOKUP($B$5,标准坦克设计!$B$14:$K$20,9)/30))</f>
        <v>31.935828452705451</v>
      </c>
      <c r="CJ132" s="173">
        <f ca="1">(VLOOKUP(CJ$72,INDIRECT($C$5&amp;"生成成长"),2))/((VLOOKUP($B132,INDIRECT($B$5&amp;"生成成长"),4))/(VLOOKUP(CJ$72,INDIRECT($C$5&amp;"生成成长"),5))*(VLOOKUP($B$5,标准坦克设计!$B$24:$U$30,MATCH("对"&amp;LEFT($C$5,2)&amp;"输出",标准坦克设计!$B$23:$U$23,0)))*(VLOOKUP($B132,INDIRECT($B$5&amp;"生成成长"),3))*(VLOOKUP($B$5,标准坦克设计!$B$14:$K$20,9)/30))</f>
        <v>34.257693531537349</v>
      </c>
      <c r="CK132" s="173">
        <f ca="1">(VLOOKUP(CK$72,INDIRECT($C$5&amp;"生成成长"),2))/((VLOOKUP($B132,INDIRECT($B$5&amp;"生成成长"),4))/(VLOOKUP(CK$72,INDIRECT($C$5&amp;"生成成长"),5))*(VLOOKUP($B$5,标准坦克设计!$B$24:$U$30,MATCH("对"&amp;LEFT($C$5,2)&amp;"输出",标准坦克设计!$B$23:$U$23,0)))*(VLOOKUP($B132,INDIRECT($B$5&amp;"生成成长"),3))*(VLOOKUP($B$5,标准坦克设计!$B$14:$K$20,9)/30))</f>
        <v>36.661027560503705</v>
      </c>
      <c r="CL132" s="173">
        <f ca="1">(VLOOKUP(CL$72,INDIRECT($C$5&amp;"生成成长"),2))/((VLOOKUP($B132,INDIRECT($B$5&amp;"生成成长"),4))/(VLOOKUP(CL$72,INDIRECT($C$5&amp;"生成成长"),5))*(VLOOKUP($B$5,标准坦克设计!$B$24:$U$30,MATCH("对"&amp;LEFT($C$5,2)&amp;"输出",标准坦克设计!$B$23:$U$23,0)))*(VLOOKUP($B132,INDIRECT($B$5&amp;"生成成长"),3))*(VLOOKUP($B$5,标准坦克设计!$B$14:$K$20,9)/30))</f>
        <v>39.145830539604511</v>
      </c>
      <c r="CM132" s="173">
        <f ca="1">(VLOOKUP(CM$72,INDIRECT($C$5&amp;"生成成长"),2))/((VLOOKUP($B132,INDIRECT($B$5&amp;"生成成长"),4))/(VLOOKUP(CM$72,INDIRECT($C$5&amp;"生成成长"),5))*(VLOOKUP($B$5,标准坦克设计!$B$24:$U$30,MATCH("对"&amp;LEFT($C$5,2)&amp;"输出",标准坦克设计!$B$23:$U$23,0)))*(VLOOKUP($B132,INDIRECT($B$5&amp;"生成成长"),3))*(VLOOKUP($B$5,标准坦克设计!$B$14:$K$20,9)/30))</f>
        <v>41.712102468839767</v>
      </c>
      <c r="CN132" s="173">
        <f ca="1">(VLOOKUP(CN$72,INDIRECT($C$5&amp;"生成成长"),2))/((VLOOKUP($B132,INDIRECT($B$5&amp;"生成成长"),4))/(VLOOKUP(CN$72,INDIRECT($C$5&amp;"生成成长"),5))*(VLOOKUP($B$5,标准坦克设计!$B$24:$U$30,MATCH("对"&amp;LEFT($C$5,2)&amp;"输出",标准坦克设计!$B$23:$U$23,0)))*(VLOOKUP($B132,INDIRECT($B$5&amp;"生成成长"),3))*(VLOOKUP($B$5,标准坦克设计!$B$14:$K$20,9)/30))</f>
        <v>44.359843348209495</v>
      </c>
      <c r="CO132" s="173">
        <f ca="1">(VLOOKUP(CO$72,INDIRECT($C$5&amp;"生成成长"),2))/((VLOOKUP($B132,INDIRECT($B$5&amp;"生成成长"),4))/(VLOOKUP(CO$72,INDIRECT($C$5&amp;"生成成长"),5))*(VLOOKUP($B$5,标准坦克设计!$B$24:$U$30,MATCH("对"&amp;LEFT($C$5,2)&amp;"输出",标准坦克设计!$B$23:$U$23,0)))*(VLOOKUP($B132,INDIRECT($B$5&amp;"生成成长"),3))*(VLOOKUP($B$5,标准坦克设计!$B$14:$K$20,9)/30))</f>
        <v>19.878760481360725</v>
      </c>
      <c r="CP132" s="173">
        <f ca="1">(VLOOKUP(CP$72,INDIRECT($C$5&amp;"生成成长"),2))/((VLOOKUP($B132,INDIRECT($B$5&amp;"生成成长"),4))/(VLOOKUP(CP$72,INDIRECT($C$5&amp;"生成成长"),5))*(VLOOKUP($B$5,标准坦克设计!$B$24:$U$30,MATCH("对"&amp;LEFT($C$5,2)&amp;"输出",标准坦克设计!$B$23:$U$23,0)))*(VLOOKUP($B132,INDIRECT($B$5&amp;"生成成长"),3))*(VLOOKUP($B$5,标准坦克设计!$B$14:$K$20,9)/30))</f>
        <v>21.719218127579957</v>
      </c>
      <c r="CQ132" s="173">
        <f ca="1">(VLOOKUP(CQ$72,INDIRECT($C$5&amp;"生成成长"),2))/((VLOOKUP($B132,INDIRECT($B$5&amp;"生成成长"),4))/(VLOOKUP(CQ$72,INDIRECT($C$5&amp;"生成成长"),5))*(VLOOKUP($B$5,标准坦克设计!$B$24:$U$30,MATCH("对"&amp;LEFT($C$5,2)&amp;"输出",标准坦克设计!$B$23:$U$23,0)))*(VLOOKUP($B132,INDIRECT($B$5&amp;"生成成长"),3))*(VLOOKUP($B$5,标准坦克设计!$B$14:$K$20,9)/30))</f>
        <v>23.641144723933635</v>
      </c>
      <c r="CR132" s="173">
        <f ca="1">(VLOOKUP(CR$72,INDIRECT($C$5&amp;"生成成长"),2))/((VLOOKUP($B132,INDIRECT($B$5&amp;"生成成长"),4))/(VLOOKUP(CR$72,INDIRECT($C$5&amp;"生成成长"),5))*(VLOOKUP($B$5,标准坦克设计!$B$24:$U$30,MATCH("对"&amp;LEFT($C$5,2)&amp;"输出",标准坦克设计!$B$23:$U$23,0)))*(VLOOKUP($B132,INDIRECT($B$5&amp;"生成成长"),3))*(VLOOKUP($B$5,标准坦克设计!$B$14:$K$20,9)/30))</f>
        <v>25.644540270421768</v>
      </c>
      <c r="CS132" s="173">
        <f ca="1">(VLOOKUP(CS$72,INDIRECT($C$5&amp;"生成成长"),2))/((VLOOKUP($B132,INDIRECT($B$5&amp;"生成成长"),4))/(VLOOKUP(CS$72,INDIRECT($C$5&amp;"生成成长"),5))*(VLOOKUP($B$5,标准坦克设计!$B$24:$U$30,MATCH("对"&amp;LEFT($C$5,2)&amp;"输出",标准坦克设计!$B$23:$U$23,0)))*(VLOOKUP($B132,INDIRECT($B$5&amp;"生成成长"),3))*(VLOOKUP($B$5,标准坦克设计!$B$14:$K$20,9)/30))</f>
        <v>27.729404767044354</v>
      </c>
      <c r="CT132" s="173">
        <f ca="1">(VLOOKUP(CT$72,INDIRECT($C$5&amp;"生成成长"),2))/((VLOOKUP($B132,INDIRECT($B$5&amp;"生成成长"),4))/(VLOOKUP(CT$72,INDIRECT($C$5&amp;"生成成长"),5))*(VLOOKUP($B$5,标准坦克设计!$B$24:$U$30,MATCH("对"&amp;LEFT($C$5,2)&amp;"输出",标准坦克设计!$B$23:$U$23,0)))*(VLOOKUP($B132,INDIRECT($B$5&amp;"生成成长"),3))*(VLOOKUP($B$5,标准坦克设计!$B$14:$K$20,9)/30))</f>
        <v>29.895738213801387</v>
      </c>
      <c r="CU132" s="173">
        <f ca="1">(VLOOKUP(CU$72,INDIRECT($C$5&amp;"生成成长"),2))/((VLOOKUP($B132,INDIRECT($B$5&amp;"生成成长"),4))/(VLOOKUP(CU$72,INDIRECT($C$5&amp;"生成成长"),5))*(VLOOKUP($B$5,标准坦克设计!$B$24:$U$30,MATCH("对"&amp;LEFT($C$5,2)&amp;"输出",标准坦克设计!$B$23:$U$23,0)))*(VLOOKUP($B132,INDIRECT($B$5&amp;"生成成长"),3))*(VLOOKUP($B$5,标准坦克设计!$B$14:$K$20,9)/30))</f>
        <v>32.143540610692881</v>
      </c>
      <c r="CV132" s="173">
        <f ca="1">(VLOOKUP(CV$72,INDIRECT($C$5&amp;"生成成长"),2))/((VLOOKUP($B132,INDIRECT($B$5&amp;"生成成长"),4))/(VLOOKUP(CV$72,INDIRECT($C$5&amp;"生成成长"),5))*(VLOOKUP($B$5,标准坦克设计!$B$24:$U$30,MATCH("对"&amp;LEFT($C$5,2)&amp;"输出",标准坦克设计!$B$23:$U$23,0)))*(VLOOKUP($B132,INDIRECT($B$5&amp;"生成成长"),3))*(VLOOKUP($B$5,标准坦克设计!$B$14:$K$20,9)/30))</f>
        <v>34.472811957718818</v>
      </c>
      <c r="CW132" s="173">
        <f ca="1">(VLOOKUP(CW$72,INDIRECT($C$5&amp;"生成成长"),2))/((VLOOKUP($B132,INDIRECT($B$5&amp;"生成成长"),4))/(VLOOKUP(CW$72,INDIRECT($C$5&amp;"生成成长"),5))*(VLOOKUP($B$5,标准坦克设计!$B$24:$U$30,MATCH("对"&amp;LEFT($C$5,2)&amp;"输出",标准坦克设计!$B$23:$U$23,0)))*(VLOOKUP($B132,INDIRECT($B$5&amp;"生成成长"),3))*(VLOOKUP($B$5,标准坦克设计!$B$14:$K$20,9)/30))</f>
        <v>36.883552254879213</v>
      </c>
      <c r="CX132" s="173">
        <f ca="1">(VLOOKUP(CX$72,INDIRECT($C$5&amp;"生成成长"),2))/((VLOOKUP($B132,INDIRECT($B$5&amp;"生成成长"),4))/(VLOOKUP(CX$72,INDIRECT($C$5&amp;"生成成长"),5))*(VLOOKUP($B$5,标准坦克设计!$B$24:$U$30,MATCH("对"&amp;LEFT($C$5,2)&amp;"输出",标准坦克设计!$B$23:$U$23,0)))*(VLOOKUP($B132,INDIRECT($B$5&amp;"生成成长"),3))*(VLOOKUP($B$5,标准坦克设计!$B$14:$K$20,9)/30))</f>
        <v>39.375761502174065</v>
      </c>
      <c r="CY132" s="173">
        <f ca="1">(VLOOKUP(CY$72,INDIRECT($C$5&amp;"生成成长"),2))/((VLOOKUP($B132,INDIRECT($B$5&amp;"生成成长"),4))/(VLOOKUP(CY$72,INDIRECT($C$5&amp;"生成成长"),5))*(VLOOKUP($B$5,标准坦克设计!$B$24:$U$30,MATCH("对"&amp;LEFT($C$5,2)&amp;"输出",标准坦克设计!$B$23:$U$23,0)))*(VLOOKUP($B132,INDIRECT($B$5&amp;"生成成长"),3))*(VLOOKUP($B$5,标准坦克设计!$B$14:$K$20,9)/30))</f>
        <v>41.94943969960336</v>
      </c>
      <c r="CZ132" s="173">
        <f ca="1">(VLOOKUP(CZ$72,INDIRECT($C$5&amp;"生成成长"),2))/((VLOOKUP($B132,INDIRECT($B$5&amp;"生成成长"),4))/(VLOOKUP(CZ$72,INDIRECT($C$5&amp;"生成成长"),5))*(VLOOKUP($B$5,标准坦克设计!$B$24:$U$30,MATCH("对"&amp;LEFT($C$5,2)&amp;"输出",标准坦克设计!$B$23:$U$23,0)))*(VLOOKUP($B132,INDIRECT($B$5&amp;"生成成长"),3))*(VLOOKUP($B$5,标准坦克设计!$B$14:$K$20,9)/30))</f>
        <v>44.604586847167113</v>
      </c>
      <c r="DA132" s="173">
        <f ca="1">(VLOOKUP(DA$72,INDIRECT($C$5&amp;"生成成长"),2))/((VLOOKUP($B132,INDIRECT($B$5&amp;"生成成长"),4))/(VLOOKUP(DA$72,INDIRECT($C$5&amp;"生成成长"),5))*(VLOOKUP($B$5,标准坦克设计!$B$24:$U$30,MATCH("对"&amp;LEFT($C$5,2)&amp;"输出",标准坦克设计!$B$23:$U$23,0)))*(VLOOKUP($B132,INDIRECT($B$5&amp;"生成成长"),3))*(VLOOKUP($B$5,标准坦克设计!$B$14:$K$20,9)/30))</f>
        <v>47.341202944865316</v>
      </c>
      <c r="DB132" s="173">
        <f ca="1">(VLOOKUP(DB$72,INDIRECT($C$5&amp;"生成成长"),2))/((VLOOKUP($B132,INDIRECT($B$5&amp;"生成成长"),4))/(VLOOKUP(DB$72,INDIRECT($C$5&amp;"生成成长"),5))*(VLOOKUP($B$5,标准坦克设计!$B$24:$U$30,MATCH("对"&amp;LEFT($C$5,2)&amp;"输出",标准坦克设计!$B$23:$U$23,0)))*(VLOOKUP($B132,INDIRECT($B$5&amp;"生成成长"),3))*(VLOOKUP($B$5,标准坦克设计!$B$14:$K$20,9)/30))</f>
        <v>50.159287992697976</v>
      </c>
      <c r="DC132" s="173">
        <f ca="1">(VLOOKUP(DC$72,INDIRECT($C$5&amp;"生成成长"),2))/((VLOOKUP($B132,INDIRECT($B$5&amp;"生成成长"),4))/(VLOOKUP(DC$72,INDIRECT($C$5&amp;"生成成长"),5))*(VLOOKUP($B$5,标准坦克设计!$B$24:$U$30,MATCH("对"&amp;LEFT($C$5,2)&amp;"输出",标准坦克设计!$B$23:$U$23,0)))*(VLOOKUP($B132,INDIRECT($B$5&amp;"生成成长"),3))*(VLOOKUP($B$5,标准坦克设计!$B$14:$K$20,9)/30))</f>
        <v>53.326477591313392</v>
      </c>
      <c r="DD132" s="173">
        <f ca="1">(VLOOKUP(DD$72,INDIRECT($C$5&amp;"生成成长"),2))/((VLOOKUP($B132,INDIRECT($B$5&amp;"生成成长"),4))/(VLOOKUP(DD$72,INDIRECT($C$5&amp;"生成成长"),5))*(VLOOKUP($B$5,标准坦克设计!$B$24:$U$30,MATCH("对"&amp;LEFT($C$5,2)&amp;"输出",标准坦克设计!$B$23:$U$23,0)))*(VLOOKUP($B132,INDIRECT($B$5&amp;"生成成长"),3))*(VLOOKUP($B$5,标准坦克设计!$B$14:$K$20,9)/30))</f>
        <v>56.590621973559891</v>
      </c>
      <c r="DE132" s="173">
        <f ca="1">(VLOOKUP(DE$72,INDIRECT($C$5&amp;"生成成长"),2))/((VLOOKUP($B132,INDIRECT($B$5&amp;"生成成长"),4))/(VLOOKUP(DE$72,INDIRECT($C$5&amp;"生成成长"),5))*(VLOOKUP($B$5,标准坦克设计!$B$24:$U$30,MATCH("对"&amp;LEFT($C$5,2)&amp;"输出",标准坦克设计!$B$23:$U$23,0)))*(VLOOKUP($B132,INDIRECT($B$5&amp;"生成成长"),3))*(VLOOKUP($B$5,标准坦克设计!$B$14:$K$20,9)/30))</f>
        <v>59.951721139437481</v>
      </c>
      <c r="DF132" s="173">
        <f ca="1">(VLOOKUP(DF$72,INDIRECT($C$5&amp;"生成成长"),2))/((VLOOKUP($B132,INDIRECT($B$5&amp;"生成成长"),4))/(VLOOKUP(DF$72,INDIRECT($C$5&amp;"生成成长"),5))*(VLOOKUP($B$5,标准坦克设计!$B$24:$U$30,MATCH("对"&amp;LEFT($C$5,2)&amp;"输出",标准坦克设计!$B$23:$U$23,0)))*(VLOOKUP($B132,INDIRECT($B$5&amp;"生成成长"),3))*(VLOOKUP($B$5,标准坦克设计!$B$14:$K$20,9)/30))</f>
        <v>63.409775088946155</v>
      </c>
      <c r="DG132" s="173">
        <f ca="1">(VLOOKUP(DG$72,INDIRECT($C$5&amp;"生成成长"),2))/((VLOOKUP($B132,INDIRECT($B$5&amp;"生成成长"),4))/(VLOOKUP(DG$72,INDIRECT($C$5&amp;"生成成长"),5))*(VLOOKUP($B$5,标准坦克设计!$B$24:$U$30,MATCH("对"&amp;LEFT($C$5,2)&amp;"输出",标准坦克设计!$B$23:$U$23,0)))*(VLOOKUP($B132,INDIRECT($B$5&amp;"生成成长"),3))*(VLOOKUP($B$5,标准坦克设计!$B$14:$K$20,9)/30))</f>
        <v>66.964783822085906</v>
      </c>
      <c r="DH132" s="173">
        <f ca="1">(VLOOKUP(DH$72,INDIRECT($C$5&amp;"生成成长"),2))/((VLOOKUP($B132,INDIRECT($B$5&amp;"生成成长"),4))/(VLOOKUP(DH$72,INDIRECT($C$5&amp;"生成成长"),5))*(VLOOKUP($B$5,标准坦克设计!$B$24:$U$30,MATCH("对"&amp;LEFT($C$5,2)&amp;"输出",标准坦克设计!$B$23:$U$23,0)))*(VLOOKUP($B132,INDIRECT($B$5&amp;"生成成长"),3))*(VLOOKUP($B$5,标准坦克设计!$B$14:$K$20,9)/30))</f>
        <v>70.61674733885674</v>
      </c>
      <c r="DI132" s="173">
        <f ca="1">(VLOOKUP(DI$72,INDIRECT($C$5&amp;"生成成长"),2))/((VLOOKUP($B132,INDIRECT($B$5&amp;"生成成长"),4))/(VLOOKUP(DI$72,INDIRECT($C$5&amp;"生成成长"),5))*(VLOOKUP($B$5,标准坦克设计!$B$24:$U$30,MATCH("对"&amp;LEFT($C$5,2)&amp;"输出",标准坦克设计!$B$23:$U$23,0)))*(VLOOKUP($B132,INDIRECT($B$5&amp;"生成成长"),3))*(VLOOKUP($B$5,标准坦克设计!$B$14:$K$20,9)/30))</f>
        <v>74.365665639258651</v>
      </c>
      <c r="DJ132" s="173">
        <f ca="1">(VLOOKUP(DJ$72,INDIRECT($C$5&amp;"生成成长"),2))/((VLOOKUP($B132,INDIRECT($B$5&amp;"生成成长"),4))/(VLOOKUP(DJ$72,INDIRECT($C$5&amp;"生成成长"),5))*(VLOOKUP($B$5,标准坦克设计!$B$24:$U$30,MATCH("对"&amp;LEFT($C$5,2)&amp;"输出",标准坦克设计!$B$23:$U$23,0)))*(VLOOKUP($B132,INDIRECT($B$5&amp;"生成成长"),3))*(VLOOKUP($B$5,标准坦克设计!$B$14:$K$20,9)/30))</f>
        <v>7.4739345534503467</v>
      </c>
      <c r="DK132" s="173">
        <f ca="1">(VLOOKUP(DK$72,INDIRECT($C$5&amp;"生成成长"),2))/((VLOOKUP($B132,INDIRECT($B$5&amp;"生成成长"),4))/(VLOOKUP(DK$72,INDIRECT($C$5&amp;"生成成长"),5))*(VLOOKUP($B$5,标准坦克设计!$B$24:$U$30,MATCH("对"&amp;LEFT($C$5,2)&amp;"输出",标准坦克设计!$B$23:$U$23,0)))*(VLOOKUP($B132,INDIRECT($B$5&amp;"生成成长"),3))*(VLOOKUP($B$5,标准坦克设计!$B$14:$K$20,9)/30))</f>
        <v>8.4040945089110615</v>
      </c>
      <c r="DL132" s="173">
        <f ca="1">(VLOOKUP(DL$72,INDIRECT($C$5&amp;"生成成长"),2))/((VLOOKUP($B132,INDIRECT($B$5&amp;"生成成长"),4))/(VLOOKUP(DL$72,INDIRECT($C$5&amp;"生成成长"),5))*(VLOOKUP($B$5,标准坦克设计!$B$24:$U$30,MATCH("对"&amp;LEFT($C$5,2)&amp;"输出",标准坦克设计!$B$23:$U$23,0)))*(VLOOKUP($B132,INDIRECT($B$5&amp;"生成成长"),3))*(VLOOKUP($B$5,标准坦克设计!$B$14:$K$20,9)/30))</f>
        <v>9.3887915301642604</v>
      </c>
      <c r="DM132" s="173">
        <f ca="1">(VLOOKUP(DM$72,INDIRECT($C$5&amp;"生成成长"),2))/((VLOOKUP($B132,INDIRECT($B$5&amp;"生成成长"),4))/(VLOOKUP(DM$72,INDIRECT($C$5&amp;"生成成长"),5))*(VLOOKUP($B$5,标准坦克设计!$B$24:$U$30,MATCH("对"&amp;LEFT($C$5,2)&amp;"输出",标准坦克设计!$B$23:$U$23,0)))*(VLOOKUP($B132,INDIRECT($B$5&amp;"生成成长"),3))*(VLOOKUP($B$5,标准坦克设计!$B$14:$K$20,9)/30))</f>
        <v>10.428025617209942</v>
      </c>
      <c r="DN132" s="173">
        <f ca="1">(VLOOKUP(DN$72,INDIRECT($C$5&amp;"生成成长"),2))/((VLOOKUP($B132,INDIRECT($B$5&amp;"生成成长"),4))/(VLOOKUP(DN$72,INDIRECT($C$5&amp;"生成成长"),5))*(VLOOKUP($B$5,标准坦克设计!$B$24:$U$30,MATCH("对"&amp;LEFT($C$5,2)&amp;"输出",标准坦克设计!$B$23:$U$23,0)))*(VLOOKUP($B132,INDIRECT($B$5&amp;"生成成长"),3))*(VLOOKUP($B$5,标准坦克设计!$B$14:$K$20,9)/30))</f>
        <v>11.521796770048111</v>
      </c>
      <c r="DO132" s="173">
        <f ca="1">(VLOOKUP(DO$72,INDIRECT($C$5&amp;"生成成长"),2))/((VLOOKUP($B132,INDIRECT($B$5&amp;"生成成长"),4))/(VLOOKUP(DO$72,INDIRECT($C$5&amp;"生成成长"),5))*(VLOOKUP($B$5,标准坦克设计!$B$24:$U$30,MATCH("对"&amp;LEFT($C$5,2)&amp;"输出",标准坦克设计!$B$23:$U$23,0)))*(VLOOKUP($B132,INDIRECT($B$5&amp;"生成成长"),3))*(VLOOKUP($B$5,标准坦克设计!$B$14:$K$20,9)/30))</f>
        <v>12.670104988678766</v>
      </c>
      <c r="DP132" s="173">
        <f ca="1">(VLOOKUP(DP$72,INDIRECT($C$5&amp;"生成成长"),2))/((VLOOKUP($B132,INDIRECT($B$5&amp;"生成成长"),4))/(VLOOKUP(DP$72,INDIRECT($C$5&amp;"生成成长"),5))*(VLOOKUP($B$5,标准坦克设计!$B$24:$U$30,MATCH("对"&amp;LEFT($C$5,2)&amp;"输出",标准坦克设计!$B$23:$U$23,0)))*(VLOOKUP($B132,INDIRECT($B$5&amp;"生成成长"),3))*(VLOOKUP($B$5,标准坦克设计!$B$14:$K$20,9)/30))</f>
        <v>13.872950273101901</v>
      </c>
      <c r="DQ132" s="173">
        <f ca="1">(VLOOKUP(DQ$72,INDIRECT($C$5&amp;"生成成长"),2))/((VLOOKUP($B132,INDIRECT($B$5&amp;"生成成长"),4))/(VLOOKUP(DQ$72,INDIRECT($C$5&amp;"生成成长"),5))*(VLOOKUP($B$5,标准坦克设计!$B$24:$U$30,MATCH("对"&amp;LEFT($C$5,2)&amp;"输出",标准坦克设计!$B$23:$U$23,0)))*(VLOOKUP($B132,INDIRECT($B$5&amp;"生成成长"),3))*(VLOOKUP($B$5,标准坦克设计!$B$14:$K$20,9)/30))</f>
        <v>15.130332623317527</v>
      </c>
      <c r="DR132" s="173">
        <f ca="1">(VLOOKUP(DR$72,INDIRECT($C$5&amp;"生成成长"),2))/((VLOOKUP($B132,INDIRECT($B$5&amp;"生成成长"),4))/(VLOOKUP(DR$72,INDIRECT($C$5&amp;"生成成长"),5))*(VLOOKUP($B$5,标准坦克设计!$B$24:$U$30,MATCH("对"&amp;LEFT($C$5,2)&amp;"输出",标准坦克设计!$B$23:$U$23,0)))*(VLOOKUP($B132,INDIRECT($B$5&amp;"生成成长"),3))*(VLOOKUP($B$5,标准坦克设计!$B$14:$K$20,9)/30))</f>
        <v>16.442252039325634</v>
      </c>
      <c r="DS132" s="173">
        <f ca="1">(VLOOKUP(DS$72,INDIRECT($C$5&amp;"生成成长"),2))/((VLOOKUP($B132,INDIRECT($B$5&amp;"生成成长"),4))/(VLOOKUP(DS$72,INDIRECT($C$5&amp;"生成成长"),5))*(VLOOKUP($B$5,标准坦克设计!$B$24:$U$30,MATCH("对"&amp;LEFT($C$5,2)&amp;"输出",标准坦克设计!$B$23:$U$23,0)))*(VLOOKUP($B132,INDIRECT($B$5&amp;"生成成长"),3))*(VLOOKUP($B$5,标准坦克设计!$B$14:$K$20,9)/30))</f>
        <v>17.808708521126228</v>
      </c>
      <c r="DT132" s="173">
        <f ca="1">(VLOOKUP(DT$72,INDIRECT($C$5&amp;"生成成长"),2))/((VLOOKUP($B132,INDIRECT($B$5&amp;"生成成长"),4))/(VLOOKUP(DT$72,INDIRECT($C$5&amp;"生成成长"),5))*(VLOOKUP($B$5,标准坦克设计!$B$24:$U$30,MATCH("对"&amp;LEFT($C$5,2)&amp;"输出",标准坦克设计!$B$23:$U$23,0)))*(VLOOKUP($B132,INDIRECT($B$5&amp;"生成成长"),3))*(VLOOKUP($B$5,标准坦克设计!$B$14:$K$20,9)/30))</f>
        <v>19.552884680822917</v>
      </c>
      <c r="DU132" s="173">
        <f ca="1">(VLOOKUP(DU$72,INDIRECT($C$5&amp;"生成成长"),2))/((VLOOKUP($B132,INDIRECT($B$5&amp;"生成成长"),4))/(VLOOKUP(DU$72,INDIRECT($C$5&amp;"生成成长"),5))*(VLOOKUP($B$5,标准坦克设计!$B$24:$U$30,MATCH("对"&amp;LEFT($C$5,2)&amp;"输出",标准坦克设计!$B$23:$U$23,0)))*(VLOOKUP($B132,INDIRECT($B$5&amp;"生成成长"),3))*(VLOOKUP($B$5,标准坦克设计!$B$14:$K$20,9)/30))</f>
        <v>21.378529790654063</v>
      </c>
      <c r="DV132" s="173">
        <f ca="1">(VLOOKUP(DV$72,INDIRECT($C$5&amp;"生成成长"),2))/((VLOOKUP($B132,INDIRECT($B$5&amp;"生成成长"),4))/(VLOOKUP(DV$72,INDIRECT($C$5&amp;"生成成长"),5))*(VLOOKUP($B$5,标准坦克设计!$B$24:$U$30,MATCH("对"&amp;LEFT($C$5,2)&amp;"输出",标准坦克设计!$B$23:$U$23,0)))*(VLOOKUP($B132,INDIRECT($B$5&amp;"生成成长"),3))*(VLOOKUP($B$5,标准坦克设计!$B$14:$K$20,9)/30))</f>
        <v>23.28564385061966</v>
      </c>
      <c r="DW132" s="173">
        <f ca="1">(VLOOKUP(DW$72,INDIRECT($C$5&amp;"生成成长"),2))/((VLOOKUP($B132,INDIRECT($B$5&amp;"生成成长"),4))/(VLOOKUP(DW$72,INDIRECT($C$5&amp;"生成成长"),5))*(VLOOKUP($B$5,标准坦克设计!$B$24:$U$30,MATCH("对"&amp;LEFT($C$5,2)&amp;"输出",标准坦克设计!$B$23:$U$23,0)))*(VLOOKUP($B132,INDIRECT($B$5&amp;"生成成长"),3))*(VLOOKUP($B$5,标准坦克设计!$B$14:$K$20,9)/30))</f>
        <v>25.274226860719704</v>
      </c>
      <c r="DX132" s="173">
        <f ca="1">(VLOOKUP(DX$72,INDIRECT($C$5&amp;"生成成长"),2))/((VLOOKUP($B132,INDIRECT($B$5&amp;"生成成长"),4))/(VLOOKUP(DX$72,INDIRECT($C$5&amp;"生成成长"),5))*(VLOOKUP($B$5,标准坦克设计!$B$24:$U$30,MATCH("对"&amp;LEFT($C$5,2)&amp;"输出",标准坦克设计!$B$23:$U$23,0)))*(VLOOKUP($B132,INDIRECT($B$5&amp;"生成成长"),3))*(VLOOKUP($B$5,标准坦克设计!$B$14:$K$20,9)/30))</f>
        <v>27.344278820954212</v>
      </c>
      <c r="DY132" s="173">
        <f ca="1">(VLOOKUP(DY$72,INDIRECT($C$5&amp;"生成成长"),2))/((VLOOKUP($B132,INDIRECT($B$5&amp;"生成成长"),4))/(VLOOKUP(DY$72,INDIRECT($C$5&amp;"生成成长"),5))*(VLOOKUP($B$5,标准坦克设计!$B$24:$U$30,MATCH("对"&amp;LEFT($C$5,2)&amp;"输出",标准坦克设计!$B$23:$U$23,0)))*(VLOOKUP($B132,INDIRECT($B$5&amp;"生成成长"),3))*(VLOOKUP($B$5,标准坦克设计!$B$14:$K$20,9)/30))</f>
        <v>12.281275908491603</v>
      </c>
      <c r="DZ132" s="173">
        <f ca="1">(VLOOKUP(DZ$72,INDIRECT($C$5&amp;"生成成长"),2))/((VLOOKUP($B132,INDIRECT($B$5&amp;"生成成长"),4))/(VLOOKUP(DZ$72,INDIRECT($C$5&amp;"生成成长"),5))*(VLOOKUP($B$5,标准坦克设计!$B$24:$U$30,MATCH("对"&amp;LEFT($C$5,2)&amp;"输出",标准坦克设计!$B$23:$U$23,0)))*(VLOOKUP($B132,INDIRECT($B$5&amp;"生成成长"),3))*(VLOOKUP($B$5,标准坦克设计!$B$14:$K$20,9)/30))</f>
        <v>13.600938241248031</v>
      </c>
      <c r="EA132" s="173">
        <f ca="1">(VLOOKUP(EA$72,INDIRECT($C$5&amp;"生成成长"),2))/((VLOOKUP($B132,INDIRECT($B$5&amp;"生成成长"),4))/(VLOOKUP(EA$72,INDIRECT($C$5&amp;"生成成长"),5))*(VLOOKUP($B$5,标准坦克设计!$B$24:$U$30,MATCH("对"&amp;LEFT($C$5,2)&amp;"输出",标准坦克设计!$B$23:$U$23,0)))*(VLOOKUP($B132,INDIRECT($B$5&amp;"生成成长"),3))*(VLOOKUP($B$5,标准坦克设计!$B$14:$K$20,9)/30))</f>
        <v>14.98793028485937</v>
      </c>
      <c r="EB132" s="173">
        <f ca="1">(VLOOKUP(EB$72,INDIRECT($C$5&amp;"生成成长"),2))/((VLOOKUP($B132,INDIRECT($B$5&amp;"生成成长"),4))/(VLOOKUP(EB$72,INDIRECT($C$5&amp;"生成成长"),5))*(VLOOKUP($B$5,标准坦克设计!$B$24:$U$30,MATCH("对"&amp;LEFT($C$5,2)&amp;"输出",标准坦克设计!$B$23:$U$23,0)))*(VLOOKUP($B132,INDIRECT($B$5&amp;"生成成长"),3))*(VLOOKUP($B$5,标准坦克设计!$B$14:$K$20,9)/30))</f>
        <v>16.442252039325634</v>
      </c>
      <c r="EC132" s="173">
        <f ca="1">(VLOOKUP(EC$72,INDIRECT($C$5&amp;"生成成长"),2))/((VLOOKUP($B132,INDIRECT($B$5&amp;"生成成长"),4))/(VLOOKUP(EC$72,INDIRECT($C$5&amp;"生成成长"),5))*(VLOOKUP($B$5,标准坦克设计!$B$24:$U$30,MATCH("对"&amp;LEFT($C$5,2)&amp;"输出",标准坦克设计!$B$23:$U$23,0)))*(VLOOKUP($B132,INDIRECT($B$5&amp;"生成成长"),3))*(VLOOKUP($B$5,标准坦克设计!$B$14:$K$20,9)/30))</f>
        <v>17.963903504646815</v>
      </c>
      <c r="ED132" s="173">
        <f ca="1">(VLOOKUP(ED$72,INDIRECT($C$5&amp;"生成成长"),2))/((VLOOKUP($B132,INDIRECT($B$5&amp;"生成成长"),4))/(VLOOKUP(ED$72,INDIRECT($C$5&amp;"生成成长"),5))*(VLOOKUP($B$5,标准坦克设计!$B$24:$U$30,MATCH("对"&amp;LEFT($C$5,2)&amp;"输出",标准坦克设计!$B$23:$U$23,0)))*(VLOOKUP($B132,INDIRECT($B$5&amp;"生成成长"),3))*(VLOOKUP($B$5,标准坦克设计!$B$14:$K$20,9)/30))</f>
        <v>19.552884680822917</v>
      </c>
      <c r="EE132" s="173">
        <f ca="1">(VLOOKUP(EE$72,INDIRECT($C$5&amp;"生成成长"),2))/((VLOOKUP($B132,INDIRECT($B$5&amp;"生成成长"),4))/(VLOOKUP(EE$72,INDIRECT($C$5&amp;"生成成长"),5))*(VLOOKUP($B$5,标准坦克设计!$B$24:$U$30,MATCH("对"&amp;LEFT($C$5,2)&amp;"输出",标准坦克设计!$B$23:$U$23,0)))*(VLOOKUP($B132,INDIRECT($B$5&amp;"生成成长"),3))*(VLOOKUP($B$5,标准坦克设计!$B$14:$K$20,9)/30))</f>
        <v>21.209195567853939</v>
      </c>
      <c r="EF132" s="173">
        <f ca="1">(VLOOKUP(EF$72,INDIRECT($C$5&amp;"生成成长"),2))/((VLOOKUP($B132,INDIRECT($B$5&amp;"生成成长"),4))/(VLOOKUP(EF$72,INDIRECT($C$5&amp;"生成成长"),5))*(VLOOKUP($B$5,标准坦克设计!$B$24:$U$30,MATCH("对"&amp;LEFT($C$5,2)&amp;"输出",标准坦克设计!$B$23:$U$23,0)))*(VLOOKUP($B132,INDIRECT($B$5&amp;"生成成长"),3))*(VLOOKUP($B$5,标准坦克设计!$B$14:$K$20,9)/30))</f>
        <v>22.932836165739882</v>
      </c>
      <c r="EG132" s="173">
        <f ca="1">(VLOOKUP(EG$72,INDIRECT($C$5&amp;"生成成长"),2))/((VLOOKUP($B132,INDIRECT($B$5&amp;"生成成长"),4))/(VLOOKUP(EG$72,INDIRECT($C$5&amp;"生成成长"),5))*(VLOOKUP($B$5,标准坦克设计!$B$24:$U$30,MATCH("对"&amp;LEFT($C$5,2)&amp;"输出",标准坦克设计!$B$23:$U$23,0)))*(VLOOKUP($B132,INDIRECT($B$5&amp;"生成成长"),3))*(VLOOKUP($B$5,标准坦克设计!$B$14:$K$20,9)/30))</f>
        <v>24.723806474480739</v>
      </c>
      <c r="EH132" s="173">
        <f ca="1">(VLOOKUP(EH$72,INDIRECT($C$5&amp;"生成成长"),2))/((VLOOKUP($B132,INDIRECT($B$5&amp;"生成成长"),4))/(VLOOKUP(EH$72,INDIRECT($C$5&amp;"生成成长"),5))*(VLOOKUP($B$5,标准坦克设计!$B$24:$U$30,MATCH("对"&amp;LEFT($C$5,2)&amp;"输出",标准坦克设计!$B$23:$U$23,0)))*(VLOOKUP($B132,INDIRECT($B$5&amp;"生成成长"),3))*(VLOOKUP($B$5,标准坦克设计!$B$14:$K$20,9)/30))</f>
        <v>26.582106494076523</v>
      </c>
      <c r="EI132" s="173">
        <f ca="1">(VLOOKUP(EI$72,INDIRECT($C$5&amp;"生成成长"),2))/((VLOOKUP($B132,INDIRECT($B$5&amp;"生成成长"),4))/(VLOOKUP(EI$72,INDIRECT($C$5&amp;"生成成长"),5))*(VLOOKUP($B$5,标准坦克设计!$B$24:$U$30,MATCH("对"&amp;LEFT($C$5,2)&amp;"输出",标准坦克设计!$B$23:$U$23,0)))*(VLOOKUP($B132,INDIRECT($B$5&amp;"生成成长"),3))*(VLOOKUP($B$5,标准坦克设计!$B$14:$K$20,9)/30))</f>
        <v>28.507736224527221</v>
      </c>
      <c r="EJ132" s="173">
        <f ca="1">(VLOOKUP(EJ$72,INDIRECT($C$5&amp;"生成成长"),2))/((VLOOKUP($B132,INDIRECT($B$5&amp;"生成成长"),4))/(VLOOKUP(EJ$72,INDIRECT($C$5&amp;"生成成长"),5))*(VLOOKUP($B$5,标准坦克设计!$B$24:$U$30,MATCH("对"&amp;LEFT($C$5,2)&amp;"输出",标准坦克设计!$B$23:$U$23,0)))*(VLOOKUP($B132,INDIRECT($B$5&amp;"生成成长"),3))*(VLOOKUP($B$5,标准坦克设计!$B$14:$K$20,9)/30))</f>
        <v>30.500695665832836</v>
      </c>
      <c r="EK132" s="173">
        <f ca="1">(VLOOKUP(EK$72,INDIRECT($C$5&amp;"生成成长"),2))/((VLOOKUP($B132,INDIRECT($B$5&amp;"生成成长"),4))/(VLOOKUP(EK$72,INDIRECT($C$5&amp;"生成成长"),5))*(VLOOKUP($B$5,标准坦克设计!$B$24:$U$30,MATCH("对"&amp;LEFT($C$5,2)&amp;"输出",标准坦克设计!$B$23:$U$23,0)))*(VLOOKUP($B132,INDIRECT($B$5&amp;"生成成长"),3))*(VLOOKUP($B$5,标准坦克设计!$B$14:$K$20,9)/30))</f>
        <v>32.981122213728078</v>
      </c>
      <c r="EL132" s="173">
        <f ca="1">(VLOOKUP(EL$72,INDIRECT($C$5&amp;"生成成长"),2))/((VLOOKUP($B132,INDIRECT($B$5&amp;"生成成长"),4))/(VLOOKUP(EL$72,INDIRECT($C$5&amp;"生成成长"),5))*(VLOOKUP($B$5,标准坦克设计!$B$24:$U$30,MATCH("对"&amp;LEFT($C$5,2)&amp;"输出",标准坦克设计!$B$23:$U$23,0)))*(VLOOKUP($B132,INDIRECT($B$5&amp;"生成成长"),3))*(VLOOKUP($B$5,标准坦克设计!$B$14:$K$20,9)/30))</f>
        <v>35.558503545254403</v>
      </c>
      <c r="EM132" s="173">
        <f ca="1">(VLOOKUP(EM$72,INDIRECT($C$5&amp;"生成成长"),2))/((VLOOKUP($B132,INDIRECT($B$5&amp;"生成成长"),4))/(VLOOKUP(EM$72,INDIRECT($C$5&amp;"生成成长"),5))*(VLOOKUP($B$5,标准坦克设计!$B$24:$U$30,MATCH("对"&amp;LEFT($C$5,2)&amp;"输出",标准坦克设计!$B$23:$U$23,0)))*(VLOOKUP($B132,INDIRECT($B$5&amp;"生成成长"),3))*(VLOOKUP($B$5,标准坦克设计!$B$14:$K$20,9)/30))</f>
        <v>38.232839660411798</v>
      </c>
      <c r="EN132" s="173">
        <f ca="1">(VLOOKUP(EN$72,INDIRECT($C$5&amp;"生成成长"),2))/((VLOOKUP($B132,INDIRECT($B$5&amp;"生成成长"),4))/(VLOOKUP(EN$72,INDIRECT($C$5&amp;"生成成长"),5))*(VLOOKUP($B$5,标准坦克设计!$B$24:$U$30,MATCH("对"&amp;LEFT($C$5,2)&amp;"输出",标准坦克设计!$B$23:$U$23,0)))*(VLOOKUP($B132,INDIRECT($B$5&amp;"生成成长"),3))*(VLOOKUP($B$5,标准坦克设计!$B$14:$K$20,9)/30))</f>
        <v>41.004130559200291</v>
      </c>
      <c r="EO132" s="173">
        <f ca="1">(VLOOKUP(EO$72,INDIRECT($C$5&amp;"生成成长"),2))/((VLOOKUP($B132,INDIRECT($B$5&amp;"生成成长"),4))/(VLOOKUP(EO$72,INDIRECT($C$5&amp;"生成成长"),5))*(VLOOKUP($B$5,标准坦克设计!$B$24:$U$30,MATCH("对"&amp;LEFT($C$5,2)&amp;"输出",标准坦克设计!$B$23:$U$23,0)))*(VLOOKUP($B132,INDIRECT($B$5&amp;"生成成长"),3))*(VLOOKUP($B$5,标准坦克设计!$B$14:$K$20,9)/30))</f>
        <v>43.872376241619861</v>
      </c>
      <c r="EP132" s="173">
        <f ca="1">(VLOOKUP(EP$72,INDIRECT($C$5&amp;"生成成长"),2))/((VLOOKUP($B132,INDIRECT($B$5&amp;"生成成长"),4))/(VLOOKUP(EP$72,INDIRECT($C$5&amp;"生成成长"),5))*(VLOOKUP($B$5,标准坦克设计!$B$24:$U$30,MATCH("对"&amp;LEFT($C$5,2)&amp;"输出",标准坦克设计!$B$23:$U$23,0)))*(VLOOKUP($B132,INDIRECT($B$5&amp;"生成成长"),3))*(VLOOKUP($B$5,标准坦克设计!$B$14:$K$20,9)/30))</f>
        <v>46.837576707670522</v>
      </c>
      <c r="EQ132" s="173">
        <f ca="1">(VLOOKUP(EQ$72,INDIRECT($C$5&amp;"生成成长"),2))/((VLOOKUP($B132,INDIRECT($B$5&amp;"生成成长"),4))/(VLOOKUP(EQ$72,INDIRECT($C$5&amp;"生成成长"),5))*(VLOOKUP($B$5,标准坦克设计!$B$24:$U$30,MATCH("对"&amp;LEFT($C$5,2)&amp;"输出",标准坦克设计!$B$23:$U$23,0)))*(VLOOKUP($B132,INDIRECT($B$5&amp;"生成成长"),3))*(VLOOKUP($B$5,标准坦克设计!$B$14:$K$20,9)/30))</f>
        <v>20.705232682104867</v>
      </c>
      <c r="ER132" s="173">
        <f ca="1">(VLOOKUP(ER$72,INDIRECT($C$5&amp;"生成成长"),2))/((VLOOKUP($B132,INDIRECT($B$5&amp;"生成成长"),4))/(VLOOKUP(ER$72,INDIRECT($C$5&amp;"生成成长"),5))*(VLOOKUP($B$5,标准坦克设计!$B$24:$U$30,MATCH("对"&amp;LEFT($C$5,2)&amp;"输出",标准坦克设计!$B$23:$U$23,0)))*(VLOOKUP($B132,INDIRECT($B$5&amp;"生成成长"),3))*(VLOOKUP($B$5,标准坦克设计!$B$14:$K$20,9)/30))</f>
        <v>22.582721669294301</v>
      </c>
      <c r="ES132" s="173">
        <f ca="1">(VLOOKUP(ES$72,INDIRECT($C$5&amp;"生成成长"),2))/((VLOOKUP($B132,INDIRECT($B$5&amp;"生成成长"),4))/(VLOOKUP(ES$72,INDIRECT($C$5&amp;"生成成长"),5))*(VLOOKUP($B$5,标准坦克设计!$B$24:$U$30,MATCH("对"&amp;LEFT($C$5,2)&amp;"输出",标准坦克设计!$B$23:$U$23,0)))*(VLOOKUP($B132,INDIRECT($B$5&amp;"生成成长"),3))*(VLOOKUP($B$5,标准坦克设计!$B$14:$K$20,9)/30))</f>
        <v>24.541679606618182</v>
      </c>
      <c r="ET132" s="173">
        <f ca="1">(VLOOKUP(ET$72,INDIRECT($C$5&amp;"生成成长"),2))/((VLOOKUP($B132,INDIRECT($B$5&amp;"生成成长"),4))/(VLOOKUP(ET$72,INDIRECT($C$5&amp;"生成成长"),5))*(VLOOKUP($B$5,标准坦克设计!$B$24:$U$30,MATCH("对"&amp;LEFT($C$5,2)&amp;"输出",标准坦克设计!$B$23:$U$23,0)))*(VLOOKUP($B132,INDIRECT($B$5&amp;"生成成长"),3))*(VLOOKUP($B$5,标准坦克设计!$B$14:$K$20,9)/30))</f>
        <v>26.582106494076523</v>
      </c>
      <c r="EU132" s="173">
        <f ca="1">(VLOOKUP(EU$72,INDIRECT($C$5&amp;"生成成长"),2))/((VLOOKUP($B132,INDIRECT($B$5&amp;"生成成长"),4))/(VLOOKUP(EU$72,INDIRECT($C$5&amp;"生成成长"),5))*(VLOOKUP($B$5,标准坦克设计!$B$24:$U$30,MATCH("对"&amp;LEFT($C$5,2)&amp;"输出",标准坦克设计!$B$23:$U$23,0)))*(VLOOKUP($B132,INDIRECT($B$5&amp;"生成成长"),3))*(VLOOKUP($B$5,标准坦克设计!$B$14:$K$20,9)/30))</f>
        <v>28.704002331669312</v>
      </c>
      <c r="EV132" s="173">
        <f ca="1">(VLOOKUP(EV$72,INDIRECT($C$5&amp;"生成成长"),2))/((VLOOKUP($B132,INDIRECT($B$5&amp;"生成成长"),4))/(VLOOKUP(EV$72,INDIRECT($C$5&amp;"生成成长"),5))*(VLOOKUP($B$5,标准坦克设计!$B$24:$U$30,MATCH("对"&amp;LEFT($C$5,2)&amp;"输出",标准坦克设计!$B$23:$U$23,0)))*(VLOOKUP($B132,INDIRECT($B$5&amp;"生成成长"),3))*(VLOOKUP($B$5,标准坦克设计!$B$14:$K$20,9)/30))</f>
        <v>30.907367119396557</v>
      </c>
      <c r="EW132" s="173">
        <f ca="1">(VLOOKUP(EW$72,INDIRECT($C$5&amp;"生成成长"),2))/((VLOOKUP($B132,INDIRECT($B$5&amp;"生成成长"),4))/(VLOOKUP(EW$72,INDIRECT($C$5&amp;"生成成长"),5))*(VLOOKUP($B$5,标准坦克设计!$B$24:$U$30,MATCH("对"&amp;LEFT($C$5,2)&amp;"输出",标准坦克设计!$B$23:$U$23,0)))*(VLOOKUP($B132,INDIRECT($B$5&amp;"生成成长"),3))*(VLOOKUP($B$5,标准坦克设计!$B$14:$K$20,9)/30))</f>
        <v>33.19220085725825</v>
      </c>
      <c r="EX132" s="173">
        <f ca="1">(VLOOKUP(EX$72,INDIRECT($C$5&amp;"生成成长"),2))/((VLOOKUP($B132,INDIRECT($B$5&amp;"生成成长"),4))/(VLOOKUP(EX$72,INDIRECT($C$5&amp;"生成成长"),5))*(VLOOKUP($B$5,标准坦克设计!$B$24:$U$30,MATCH("对"&amp;LEFT($C$5,2)&amp;"输出",标准坦克设计!$B$23:$U$23,0)))*(VLOOKUP($B132,INDIRECT($B$5&amp;"生成成长"),3))*(VLOOKUP($B$5,标准坦克设计!$B$14:$K$20,9)/30))</f>
        <v>35.558503545254403</v>
      </c>
      <c r="EY132" s="173">
        <f ca="1">(VLOOKUP(EY$72,INDIRECT($C$5&amp;"生成成长"),2))/((VLOOKUP($B132,INDIRECT($B$5&amp;"生成成长"),4))/(VLOOKUP(EY$72,INDIRECT($C$5&amp;"生成成长"),5))*(VLOOKUP($B$5,标准坦克设计!$B$24:$U$30,MATCH("对"&amp;LEFT($C$5,2)&amp;"输出",标准坦克设计!$B$23:$U$23,0)))*(VLOOKUP($B132,INDIRECT($B$5&amp;"生成成长"),3))*(VLOOKUP($B$5,标准坦克设计!$B$14:$K$20,9)/30))</f>
        <v>38.006275183385</v>
      </c>
      <c r="EZ132" s="173">
        <f ca="1">(VLOOKUP(EZ$72,INDIRECT($C$5&amp;"生成成长"),2))/((VLOOKUP($B132,INDIRECT($B$5&amp;"生成成长"),4))/(VLOOKUP(EZ$72,INDIRECT($C$5&amp;"生成成长"),5))*(VLOOKUP($B$5,标准坦克设计!$B$24:$U$30,MATCH("对"&amp;LEFT($C$5,2)&amp;"输出",标准坦克设计!$B$23:$U$23,0)))*(VLOOKUP($B132,INDIRECT($B$5&amp;"生成成长"),3))*(VLOOKUP($B$5,标准坦克设计!$B$14:$K$20,9)/30))</f>
        <v>40.535515771650047</v>
      </c>
      <c r="FA132" s="173">
        <f ca="1">(VLOOKUP(FA$72,INDIRECT($C$5&amp;"生成成长"),2))/((VLOOKUP($B132,INDIRECT($B$5&amp;"生成成长"),4))/(VLOOKUP(FA$72,INDIRECT($C$5&amp;"生成成长"),5))*(VLOOKUP($B$5,标准坦克设计!$B$24:$U$30,MATCH("对"&amp;LEFT($C$5,2)&amp;"输出",标准坦克设计!$B$23:$U$23,0)))*(VLOOKUP($B132,INDIRECT($B$5&amp;"生成成长"),3))*(VLOOKUP($B$5,标准坦克设计!$B$14:$K$20,9)/30))</f>
        <v>43.146225310049552</v>
      </c>
      <c r="FB132" s="173">
        <f ca="1">(VLOOKUP(FB$72,INDIRECT($C$5&amp;"生成成长"),2))/((VLOOKUP($B132,INDIRECT($B$5&amp;"生成成长"),4))/(VLOOKUP(FB$72,INDIRECT($C$5&amp;"生成成长"),5))*(VLOOKUP($B$5,标准坦克设计!$B$24:$U$30,MATCH("对"&amp;LEFT($C$5,2)&amp;"输出",标准坦克设计!$B$23:$U$23,0)))*(VLOOKUP($B132,INDIRECT($B$5&amp;"生成成长"),3))*(VLOOKUP($B$5,标准坦克设计!$B$14:$K$20,9)/30))</f>
        <v>45.838403798583528</v>
      </c>
      <c r="FC132" s="173">
        <f ca="1">(VLOOKUP(FC$72,INDIRECT($C$5&amp;"生成成长"),2))/((VLOOKUP($B132,INDIRECT($B$5&amp;"生成成长"),4))/(VLOOKUP(FC$72,INDIRECT($C$5&amp;"生成成长"),5))*(VLOOKUP($B$5,标准坦克设计!$B$24:$U$30,MATCH("对"&amp;LEFT($C$5,2)&amp;"输出",标准坦克设计!$B$23:$U$23,0)))*(VLOOKUP($B132,INDIRECT($B$5&amp;"生成成长"),3))*(VLOOKUP($B$5,标准坦克设计!$B$14:$K$20,9)/30))</f>
        <v>48.612051237251926</v>
      </c>
      <c r="FD132" s="173">
        <f ca="1">(VLOOKUP(FD$72,INDIRECT($C$5&amp;"生成成长"),2))/((VLOOKUP($B132,INDIRECT($B$5&amp;"生成成长"),4))/(VLOOKUP(FD$72,INDIRECT($C$5&amp;"生成成长"),5))*(VLOOKUP($B$5,标准坦克设计!$B$24:$U$30,MATCH("对"&amp;LEFT($C$5,2)&amp;"输出",标准坦克设计!$B$23:$U$23,0)))*(VLOOKUP($B132,INDIRECT($B$5&amp;"生成成长"),3))*(VLOOKUP($B$5,标准坦克设计!$B$14:$K$20,9)/30))</f>
        <v>51.467167626054788</v>
      </c>
      <c r="FE132" s="173">
        <f ca="1">(VLOOKUP(FE$72,INDIRECT($C$5&amp;"生成成长"),2))/((VLOOKUP($B132,INDIRECT($B$5&amp;"生成成长"),4))/(VLOOKUP(FE$72,INDIRECT($C$5&amp;"生成成长"),5))*(VLOOKUP($B$5,标准坦克设计!$B$24:$U$30,MATCH("对"&amp;LEFT($C$5,2)&amp;"输出",标准坦克设计!$B$23:$U$23,0)))*(VLOOKUP($B132,INDIRECT($B$5&amp;"生成成长"),3))*(VLOOKUP($B$5,标准坦克设计!$B$14:$K$20,9)/30))</f>
        <v>54.946430434482757</v>
      </c>
      <c r="FF132" s="173">
        <f ca="1">(VLOOKUP(FF$72,INDIRECT($C$5&amp;"生成成长"),2))/((VLOOKUP($B132,INDIRECT($B$5&amp;"生成成长"),4))/(VLOOKUP(FF$72,INDIRECT($C$5&amp;"生成成长"),5))*(VLOOKUP($B$5,标准坦克设计!$B$24:$U$30,MATCH("对"&amp;LEFT($C$5,2)&amp;"输出",标准坦克设计!$B$23:$U$23,0)))*(VLOOKUP($B132,INDIRECT($B$5&amp;"生成成长"),3))*(VLOOKUP($B$5,标准坦克设计!$B$14:$K$20,9)/30))</f>
        <v>58.539480454255546</v>
      </c>
      <c r="FG132" s="173">
        <f ca="1">(VLOOKUP(FG$72,INDIRECT($C$5&amp;"生成成长"),2))/((VLOOKUP($B132,INDIRECT($B$5&amp;"生成成长"),4))/(VLOOKUP(FG$72,INDIRECT($C$5&amp;"生成成长"),5))*(VLOOKUP($B$5,标准坦克设计!$B$24:$U$30,MATCH("对"&amp;LEFT($C$5,2)&amp;"输出",标准坦克设计!$B$23:$U$23,0)))*(VLOOKUP($B132,INDIRECT($B$5&amp;"生成成长"),3))*(VLOOKUP($B$5,标准坦克设计!$B$14:$K$20,9)/30))</f>
        <v>62.246317685373135</v>
      </c>
      <c r="FH132" s="173">
        <f ca="1">(VLOOKUP(FH$72,INDIRECT($C$5&amp;"生成成长"),2))/((VLOOKUP($B132,INDIRECT($B$5&amp;"生成成长"),4))/(VLOOKUP(FH$72,INDIRECT($C$5&amp;"生成成长"),5))*(VLOOKUP($B$5,标准坦克设计!$B$24:$U$30,MATCH("对"&amp;LEFT($C$5,2)&amp;"输出",标准坦克设计!$B$23:$U$23,0)))*(VLOOKUP($B132,INDIRECT($B$5&amp;"生成成长"),3))*(VLOOKUP($B$5,标准坦克设计!$B$14:$K$20,9)/30))</f>
        <v>66.06694212783556</v>
      </c>
      <c r="FI132" s="173">
        <f ca="1">(VLOOKUP(FI$72,INDIRECT($C$5&amp;"生成成长"),2))/((VLOOKUP($B132,INDIRECT($B$5&amp;"生成成长"),4))/(VLOOKUP(FI$72,INDIRECT($C$5&amp;"生成成长"),5))*(VLOOKUP($B$5,标准坦克设计!$B$24:$U$30,MATCH("对"&amp;LEFT($C$5,2)&amp;"输出",标准坦克设计!$B$23:$U$23,0)))*(VLOOKUP($B132,INDIRECT($B$5&amp;"生成成长"),3))*(VLOOKUP($B$5,标准坦克设计!$B$14:$K$20,9)/30))</f>
        <v>70.001353781642777</v>
      </c>
      <c r="FJ132" s="173">
        <f ca="1">(VLOOKUP(FJ$72,INDIRECT($C$5&amp;"生成成长"),2))/((VLOOKUP($B132,INDIRECT($B$5&amp;"生成成长"),4))/(VLOOKUP(FJ$72,INDIRECT($C$5&amp;"生成成长"),5))*(VLOOKUP($B$5,标准坦克设计!$B$24:$U$30,MATCH("对"&amp;LEFT($C$5,2)&amp;"输出",标准坦克设计!$B$23:$U$23,0)))*(VLOOKUP($B132,INDIRECT($B$5&amp;"生成成长"),3))*(VLOOKUP($B$5,标准坦克设计!$B$14:$K$20,9)/30))</f>
        <v>74.049552646794808</v>
      </c>
      <c r="FK132" s="173">
        <f ca="1">(VLOOKUP(FK$72,INDIRECT($C$5&amp;"生成成长"),2))/((VLOOKUP($B132,INDIRECT($B$5&amp;"生成成长"),4))/(VLOOKUP(FK$72,INDIRECT($C$5&amp;"生成成长"),5))*(VLOOKUP($B$5,标准坦克设计!$B$24:$U$30,MATCH("对"&amp;LEFT($C$5,2)&amp;"输出",标准坦克设计!$B$23:$U$23,0)))*(VLOOKUP($B132,INDIRECT($B$5&amp;"生成成长"),3))*(VLOOKUP($B$5,标准坦克设计!$B$14:$K$20,9)/30))</f>
        <v>78.211538723291667</v>
      </c>
    </row>
    <row r="133" spans="1:167" x14ac:dyDescent="0.15">
      <c r="A133" s="171" t="str">
        <f t="shared" si="11"/>
        <v>T3中品质4级</v>
      </c>
      <c r="B133" s="172">
        <v>20304</v>
      </c>
      <c r="C133" s="173">
        <f ca="1">(VLOOKUP(C$72,INDIRECT($C$5&amp;"生成成长"),2))/((VLOOKUP($B133,INDIRECT($B$5&amp;"生成成长"),4))/(VLOOKUP(C$72,INDIRECT($C$5&amp;"生成成长"),5))*(VLOOKUP($B$5,标准坦克设计!$B$24:$U$30,MATCH("对"&amp;LEFT($C$5,2)&amp;"输出",标准坦克设计!$B$23:$U$23,0)))*(VLOOKUP($B133,INDIRECT($B$5&amp;"生成成长"),3))*(VLOOKUP($B$5,标准坦克设计!$B$14:$K$20,9)/30))</f>
        <v>3.0294703610770966</v>
      </c>
      <c r="D133" s="173">
        <f ca="1">(VLOOKUP(D$72,INDIRECT($C$5&amp;"生成成长"),2))/((VLOOKUP($B133,INDIRECT($B$5&amp;"生成成长"),4))/(VLOOKUP(D$72,INDIRECT($C$5&amp;"生成成长"),5))*(VLOOKUP($B$5,标准坦克设计!$B$24:$U$30,MATCH("对"&amp;LEFT($C$5,2)&amp;"输出",标准坦克设计!$B$23:$U$23,0)))*(VLOOKUP($B133,INDIRECT($B$5&amp;"生成成长"),3))*(VLOOKUP($B$5,标准坦克设计!$B$14:$K$20,9)/30))</f>
        <v>3.4039128977062254</v>
      </c>
      <c r="E133" s="173">
        <f ca="1">(VLOOKUP(E$72,INDIRECT($C$5&amp;"生成成长"),2))/((VLOOKUP($B133,INDIRECT($B$5&amp;"生成成长"),4))/(VLOOKUP(E$72,INDIRECT($C$5&amp;"生成成长"),5))*(VLOOKUP($B$5,标准坦克设计!$B$24:$U$30,MATCH("对"&amp;LEFT($C$5,2)&amp;"输出",标准坦克设计!$B$23:$U$23,0)))*(VLOOKUP($B133,INDIRECT($B$5&amp;"生成成长"),3))*(VLOOKUP($B$5,标准坦克设计!$B$14:$K$20,9)/30))</f>
        <v>3.8001676209351092</v>
      </c>
      <c r="F133" s="173">
        <f ca="1">(VLOOKUP(F$72,INDIRECT($C$5&amp;"生成成长"),2))/((VLOOKUP($B133,INDIRECT($B$5&amp;"生成成长"),4))/(VLOOKUP(F$72,INDIRECT($C$5&amp;"生成成长"),5))*(VLOOKUP($B$5,标准坦克设计!$B$24:$U$30,MATCH("对"&amp;LEFT($C$5,2)&amp;"输出",标准坦克设计!$B$23:$U$23,0)))*(VLOOKUP($B133,INDIRECT($B$5&amp;"生成成长"),3))*(VLOOKUP($B$5,标准坦克设计!$B$14:$K$20,9)/30))</f>
        <v>4.2182345307637492</v>
      </c>
      <c r="G133" s="173">
        <f ca="1">(VLOOKUP(G$72,INDIRECT($C$5&amp;"生成成长"),2))/((VLOOKUP($B133,INDIRECT($B$5&amp;"生成成长"),4))/(VLOOKUP(G$72,INDIRECT($C$5&amp;"生成成长"),5))*(VLOOKUP($B$5,标准坦克设计!$B$24:$U$30,MATCH("对"&amp;LEFT($C$5,2)&amp;"输出",标准坦克设计!$B$23:$U$23,0)))*(VLOOKUP($B133,INDIRECT($B$5&amp;"生成成长"),3))*(VLOOKUP($B$5,标准坦克设计!$B$14:$K$20,9)/30))</f>
        <v>4.6581136271921437</v>
      </c>
      <c r="H133" s="173">
        <f ca="1">(VLOOKUP(H$72,INDIRECT($C$5&amp;"生成成长"),2))/((VLOOKUP($B133,INDIRECT($B$5&amp;"生成成长"),4))/(VLOOKUP(H$72,INDIRECT($C$5&amp;"生成成长"),5))*(VLOOKUP($B$5,标准坦克设计!$B$24:$U$30,MATCH("对"&amp;LEFT($C$5,2)&amp;"输出",标准坦克设计!$B$23:$U$23,0)))*(VLOOKUP($B133,INDIRECT($B$5&amp;"生成成长"),3))*(VLOOKUP($B$5,标准坦克设计!$B$14:$K$20,9)/30))</f>
        <v>4.0764553178653413</v>
      </c>
      <c r="I133" s="173">
        <f ca="1">(VLOOKUP(I$72,INDIRECT($C$5&amp;"生成成长"),2))/((VLOOKUP($B133,INDIRECT($B$5&amp;"生成成长"),4))/(VLOOKUP(I$72,INDIRECT($C$5&amp;"生成成长"),5))*(VLOOKUP($B$5,标准坦克设计!$B$24:$U$30,MATCH("对"&amp;LEFT($C$5,2)&amp;"输出",标准坦克设计!$B$23:$U$23,0)))*(VLOOKUP($B133,INDIRECT($B$5&amp;"生成成长"),3))*(VLOOKUP($B$5,标准坦克设计!$B$14:$K$20,9)/30))</f>
        <v>4.6581136271921437</v>
      </c>
      <c r="J133" s="173">
        <f ca="1">(VLOOKUP(J$72,INDIRECT($C$5&amp;"生成成长"),2))/((VLOOKUP($B133,INDIRECT($B$5&amp;"生成成长"),4))/(VLOOKUP(J$72,INDIRECT($C$5&amp;"生成成长"),5))*(VLOOKUP($B$5,标准坦克设计!$B$24:$U$30,MATCH("对"&amp;LEFT($C$5,2)&amp;"输出",标准坦克设计!$B$23:$U$23,0)))*(VLOOKUP($B133,INDIRECT($B$5&amp;"生成成长"),3))*(VLOOKUP($B$5,标准坦克设计!$B$14:$K$20,9)/30))</f>
        <v>5.2785491571407333</v>
      </c>
      <c r="K133" s="173">
        <f ca="1">(VLOOKUP(K$72,INDIRECT($C$5&amp;"生成成长"),2))/((VLOOKUP($B133,INDIRECT($B$5&amp;"生成成长"),4))/(VLOOKUP(K$72,INDIRECT($C$5&amp;"生成成长"),5))*(VLOOKUP($B$5,标准坦克设计!$B$24:$U$30,MATCH("对"&amp;LEFT($C$5,2)&amp;"输出",标准坦克设计!$B$23:$U$23,0)))*(VLOOKUP($B133,INDIRECT($B$5&amp;"生成成长"),3))*(VLOOKUP($B$5,标准坦克设计!$B$14:$K$20,9)/30))</f>
        <v>5.9377619077111081</v>
      </c>
      <c r="L133" s="173">
        <f ca="1">(VLOOKUP(L$72,INDIRECT($C$5&amp;"生成成长"),2))/((VLOOKUP($B133,INDIRECT($B$5&amp;"生成成长"),4))/(VLOOKUP(L$72,INDIRECT($C$5&amp;"生成成长"),5))*(VLOOKUP($B$5,标准坦克设计!$B$24:$U$30,MATCH("对"&amp;LEFT($C$5,2)&amp;"输出",标准坦克设计!$B$23:$U$23,0)))*(VLOOKUP($B133,INDIRECT($B$5&amp;"生成成长"),3))*(VLOOKUP($B$5,标准坦克设计!$B$14:$K$20,9)/30))</f>
        <v>6.6357518789032719</v>
      </c>
      <c r="M133" s="173">
        <f ca="1">(VLOOKUP(M$72,INDIRECT($C$5&amp;"生成成长"),2))/((VLOOKUP($B133,INDIRECT($B$5&amp;"生成成长"),4))/(VLOOKUP(M$72,INDIRECT($C$5&amp;"生成成长"),5))*(VLOOKUP($B$5,标准坦克设计!$B$24:$U$30,MATCH("对"&amp;LEFT($C$5,2)&amp;"输出",标准坦克设计!$B$23:$U$23,0)))*(VLOOKUP($B133,INDIRECT($B$5&amp;"生成成长"),3))*(VLOOKUP($B$5,标准坦克设计!$B$14:$K$20,9)/30))</f>
        <v>7.372519070717221</v>
      </c>
      <c r="N133" s="173">
        <f ca="1">(VLOOKUP(N$72,INDIRECT($C$5&amp;"生成成长"),2))/((VLOOKUP($B133,INDIRECT($B$5&amp;"生成成长"),4))/(VLOOKUP(N$72,INDIRECT($C$5&amp;"生成成长"),5))*(VLOOKUP($B$5,标准坦克设计!$B$24:$U$30,MATCH("对"&amp;LEFT($C$5,2)&amp;"输出",标准坦克设计!$B$23:$U$23,0)))*(VLOOKUP($B133,INDIRECT($B$5&amp;"生成成长"),3))*(VLOOKUP($B$5,标准坦克设计!$B$14:$K$20,9)/30))</f>
        <v>8.1480634831529581</v>
      </c>
      <c r="O133" s="173">
        <f ca="1">(VLOOKUP(O$72,INDIRECT($C$5&amp;"生成成长"),2))/((VLOOKUP($B133,INDIRECT($B$5&amp;"生成成长"),4))/(VLOOKUP(O$72,INDIRECT($C$5&amp;"生成成长"),5))*(VLOOKUP($B$5,标准坦克设计!$B$24:$U$30,MATCH("对"&amp;LEFT($C$5,2)&amp;"输出",标准坦克设计!$B$23:$U$23,0)))*(VLOOKUP($B133,INDIRECT($B$5&amp;"生成成长"),3))*(VLOOKUP($B$5,标准坦克设计!$B$14:$K$20,9)/30))</f>
        <v>6.1949639413665549</v>
      </c>
      <c r="P133" s="173">
        <f ca="1">(VLOOKUP(P$72,INDIRECT($C$5&amp;"生成成长"),2))/((VLOOKUP($B133,INDIRECT($B$5&amp;"生成成长"),4))/(VLOOKUP(P$72,INDIRECT($C$5&amp;"生成成长"),5))*(VLOOKUP($B$5,标准坦克设计!$B$24:$U$30,MATCH("对"&amp;LEFT($C$5,2)&amp;"输出",标准坦克设计!$B$23:$U$23,0)))*(VLOOKUP($B133,INDIRECT($B$5&amp;"生成成长"),3))*(VLOOKUP($B$5,标准坦克设计!$B$14:$K$20,9)/30))</f>
        <v>6.9992883222325242</v>
      </c>
      <c r="Q133" s="173">
        <f ca="1">(VLOOKUP(Q$72,INDIRECT($C$5&amp;"生成成长"),2))/((VLOOKUP($B133,INDIRECT($B$5&amp;"生成成长"),4))/(VLOOKUP(Q$72,INDIRECT($C$5&amp;"生成成长"),5))*(VLOOKUP($B$5,标准坦克设计!$B$24:$U$30,MATCH("对"&amp;LEFT($C$5,2)&amp;"输出",标准坦克设计!$B$23:$U$23,0)))*(VLOOKUP($B133,INDIRECT($B$5&amp;"生成成长"),3))*(VLOOKUP($B$5,标准坦克设计!$B$14:$K$20,9)/30))</f>
        <v>7.8526901229479416</v>
      </c>
      <c r="R133" s="173">
        <f ca="1">(VLOOKUP(R$72,INDIRECT($C$5&amp;"生成成长"),2))/((VLOOKUP($B133,INDIRECT($B$5&amp;"生成成长"),4))/(VLOOKUP(R$72,INDIRECT($C$5&amp;"生成成长"),5))*(VLOOKUP($B$5,标准坦克设计!$B$24:$U$30,MATCH("对"&amp;LEFT($C$5,2)&amp;"输出",标准坦克设计!$B$23:$U$23,0)))*(VLOOKUP($B133,INDIRECT($B$5&amp;"生成成长"),3))*(VLOOKUP($B$5,标准坦克设计!$B$14:$K$20,9)/30))</f>
        <v>8.7551693435128097</v>
      </c>
      <c r="S133" s="173">
        <f ca="1">(VLOOKUP(S$72,INDIRECT($C$5&amp;"生成成长"),2))/((VLOOKUP($B133,INDIRECT($B$5&amp;"生成成长"),4))/(VLOOKUP(S$72,INDIRECT($C$5&amp;"生成成长"),5))*(VLOOKUP($B$5,标准坦克设计!$B$24:$U$30,MATCH("对"&amp;LEFT($C$5,2)&amp;"输出",标准坦克设计!$B$23:$U$23,0)))*(VLOOKUP($B133,INDIRECT($B$5&amp;"生成成长"),3))*(VLOOKUP($B$5,标准坦克设计!$B$14:$K$20,9)/30))</f>
        <v>9.7067259839271234</v>
      </c>
      <c r="T133" s="173">
        <f ca="1">(VLOOKUP(T$72,INDIRECT($C$5&amp;"生成成长"),2))/((VLOOKUP($B133,INDIRECT($B$5&amp;"生成成长"),4))/(VLOOKUP(T$72,INDIRECT($C$5&amp;"生成成长"),5))*(VLOOKUP($B$5,标准坦克设计!$B$24:$U$30,MATCH("对"&amp;LEFT($C$5,2)&amp;"输出",标准坦克设计!$B$23:$U$23,0)))*(VLOOKUP($B133,INDIRECT($B$5&amp;"生成成长"),3))*(VLOOKUP($B$5,标准坦克设计!$B$14:$K$20,9)/30))</f>
        <v>10.707360044190892</v>
      </c>
      <c r="U133" s="173">
        <f ca="1">(VLOOKUP(U$72,INDIRECT($C$5&amp;"生成成长"),2))/((VLOOKUP($B133,INDIRECT($B$5&amp;"生成成长"),4))/(VLOOKUP(U$72,INDIRECT($C$5&amp;"生成成长"),5))*(VLOOKUP($B$5,标准坦克设计!$B$24:$U$30,MATCH("对"&amp;LEFT($C$5,2)&amp;"输出",标准坦克设计!$B$23:$U$23,0)))*(VLOOKUP($B133,INDIRECT($B$5&amp;"生成成长"),3))*(VLOOKUP($B$5,标准坦克设计!$B$14:$K$20,9)/30))</f>
        <v>11.757071524304104</v>
      </c>
      <c r="V133" s="173">
        <f ca="1">(VLOOKUP(V$72,INDIRECT($C$5&amp;"生成成长"),2))/((VLOOKUP($B133,INDIRECT($B$5&amp;"生成成长"),4))/(VLOOKUP(V$72,INDIRECT($C$5&amp;"生成成长"),5))*(VLOOKUP($B$5,标准坦克设计!$B$24:$U$30,MATCH("对"&amp;LEFT($C$5,2)&amp;"输出",标准坦克设计!$B$23:$U$23,0)))*(VLOOKUP($B133,INDIRECT($B$5&amp;"生成成长"),3))*(VLOOKUP($B$5,标准坦克设计!$B$14:$K$20,9)/30))</f>
        <v>12.855860424266767</v>
      </c>
      <c r="W133" s="173">
        <f ca="1">(VLOOKUP(W$72,INDIRECT($C$5&amp;"生成成长"),2))/((VLOOKUP($B133,INDIRECT($B$5&amp;"生成成长"),4))/(VLOOKUP(W$72,INDIRECT($C$5&amp;"生成成长"),5))*(VLOOKUP($B$5,标准坦克设计!$B$24:$U$30,MATCH("对"&amp;LEFT($C$5,2)&amp;"输出",标准坦克设计!$B$23:$U$23,0)))*(VLOOKUP($B133,INDIRECT($B$5&amp;"生成成长"),3))*(VLOOKUP($B$5,标准坦克设计!$B$14:$K$20,9)/30))</f>
        <v>14.003726744078881</v>
      </c>
      <c r="X133" s="173">
        <f ca="1">(VLOOKUP(X$72,INDIRECT($C$5&amp;"生成成长"),2))/((VLOOKUP($B133,INDIRECT($B$5&amp;"生成成长"),4))/(VLOOKUP(X$72,INDIRECT($C$5&amp;"生成成长"),5))*(VLOOKUP($B$5,标准坦克设计!$B$24:$U$30,MATCH("对"&amp;LEFT($C$5,2)&amp;"输出",标准坦克设计!$B$23:$U$23,0)))*(VLOOKUP($B133,INDIRECT($B$5&amp;"生成成长"),3))*(VLOOKUP($B$5,标准坦克设计!$B$14:$K$20,9)/30))</f>
        <v>10.145393292211088</v>
      </c>
      <c r="Y133" s="173">
        <f ca="1">(VLOOKUP(Y$72,INDIRECT($C$5&amp;"生成成长"),2))/((VLOOKUP($B133,INDIRECT($B$5&amp;"生成成长"),4))/(VLOOKUP(Y$72,INDIRECT($C$5&amp;"生成成长"),5))*(VLOOKUP($B$5,标准坦克设计!$B$24:$U$30,MATCH("对"&amp;LEFT($C$5,2)&amp;"输出",标准坦克设计!$B$23:$U$23,0)))*(VLOOKUP($B133,INDIRECT($B$5&amp;"生成成长"),3))*(VLOOKUP($B$5,标准坦克设计!$B$14:$K$20,9)/30))</f>
        <v>11.284474147976075</v>
      </c>
      <c r="Z133" s="173">
        <f ca="1">(VLOOKUP(Z$72,INDIRECT($C$5&amp;"生成成长"),2))/((VLOOKUP($B133,INDIRECT($B$5&amp;"生成成长"),4))/(VLOOKUP(Z$72,INDIRECT($C$5&amp;"生成成长"),5))*(VLOOKUP($B$5,标准坦克设计!$B$24:$U$30,MATCH("对"&amp;LEFT($C$5,2)&amp;"输出",标准坦克设计!$B$23:$U$23,0)))*(VLOOKUP($B133,INDIRECT($B$5&amp;"生成成长"),3))*(VLOOKUP($B$5,标准坦克设计!$B$14:$K$20,9)/30))</f>
        <v>12.484144410962607</v>
      </c>
      <c r="AA133" s="173">
        <f ca="1">(VLOOKUP(AA$72,INDIRECT($C$5&amp;"生成成长"),2))/((VLOOKUP($B133,INDIRECT($B$5&amp;"生成成长"),4))/(VLOOKUP(AA$72,INDIRECT($C$5&amp;"生成成长"),5))*(VLOOKUP($B$5,标准坦克设计!$B$24:$U$30,MATCH("对"&amp;LEFT($C$5,2)&amp;"输出",标准坦克设计!$B$23:$U$23,0)))*(VLOOKUP($B133,INDIRECT($B$5&amp;"生成成长"),3))*(VLOOKUP($B$5,标准坦克设计!$B$14:$K$20,9)/30))</f>
        <v>13.74440408117068</v>
      </c>
      <c r="AB133" s="173">
        <f ca="1">(VLOOKUP(AB$72,INDIRECT($C$5&amp;"生成成长"),2))/((VLOOKUP($B133,INDIRECT($B$5&amp;"生成成长"),4))/(VLOOKUP(AB$72,INDIRECT($C$5&amp;"生成成长"),5))*(VLOOKUP($B$5,标准坦克设计!$B$24:$U$30,MATCH("对"&amp;LEFT($C$5,2)&amp;"输出",标准坦克设计!$B$23:$U$23,0)))*(VLOOKUP($B133,INDIRECT($B$5&amp;"生成成长"),3))*(VLOOKUP($B$5,标准坦克设计!$B$14:$K$20,9)/30))</f>
        <v>15.065253158600294</v>
      </c>
      <c r="AC133" s="173">
        <f ca="1">(VLOOKUP(AC$72,INDIRECT($C$5&amp;"生成成长"),2))/((VLOOKUP($B133,INDIRECT($B$5&amp;"生成成长"),4))/(VLOOKUP(AC$72,INDIRECT($C$5&amp;"生成成长"),5))*(VLOOKUP($B$5,标准坦克设计!$B$24:$U$30,MATCH("对"&amp;LEFT($C$5,2)&amp;"输出",标准坦克设计!$B$23:$U$23,0)))*(VLOOKUP($B133,INDIRECT($B$5&amp;"生成成长"),3))*(VLOOKUP($B$5,标准坦克设计!$B$14:$K$20,9)/30))</f>
        <v>16.446691643251448</v>
      </c>
      <c r="AD133" s="173">
        <f ca="1">(VLOOKUP(AD$72,INDIRECT($C$5&amp;"生成成长"),2))/((VLOOKUP($B133,INDIRECT($B$5&amp;"生成成长"),4))/(VLOOKUP(AD$72,INDIRECT($C$5&amp;"生成成长"),5))*(VLOOKUP($B$5,标准坦克设计!$B$24:$U$30,MATCH("对"&amp;LEFT($C$5,2)&amp;"输出",标准坦克设计!$B$23:$U$23,0)))*(VLOOKUP($B133,INDIRECT($B$5&amp;"生成成长"),3))*(VLOOKUP($B$5,标准坦克设计!$B$14:$K$20,9)/30))</f>
        <v>17.888719535124146</v>
      </c>
      <c r="AE133" s="173">
        <f ca="1">(VLOOKUP(AE$72,INDIRECT($C$5&amp;"生成成长"),2))/((VLOOKUP($B133,INDIRECT($B$5&amp;"生成成长"),4))/(VLOOKUP(AE$72,INDIRECT($C$5&amp;"生成成长"),5))*(VLOOKUP($B$5,标准坦克设计!$B$24:$U$30,MATCH("对"&amp;LEFT($C$5,2)&amp;"输出",标准坦克设计!$B$23:$U$23,0)))*(VLOOKUP($B133,INDIRECT($B$5&amp;"生成成长"),3))*(VLOOKUP($B$5,标准坦克设计!$B$14:$K$20,9)/30))</f>
        <v>19.391336834218382</v>
      </c>
      <c r="AF133" s="173">
        <f ca="1">(VLOOKUP(AF$72,INDIRECT($C$5&amp;"生成成长"),2))/((VLOOKUP($B133,INDIRECT($B$5&amp;"生成成长"),4))/(VLOOKUP(AF$72,INDIRECT($C$5&amp;"生成成长"),5))*(VLOOKUP($B$5,标准坦克设计!$B$24:$U$30,MATCH("对"&amp;LEFT($C$5,2)&amp;"输出",标准坦克设计!$B$23:$U$23,0)))*(VLOOKUP($B133,INDIRECT($B$5&amp;"生成成长"),3))*(VLOOKUP($B$5,标准坦克设计!$B$14:$K$20,9)/30))</f>
        <v>20.954543540534171</v>
      </c>
      <c r="AG133" s="173">
        <f ca="1">(VLOOKUP(AG$72,INDIRECT($C$5&amp;"生成成长"),2))/((VLOOKUP($B133,INDIRECT($B$5&amp;"生成成长"),4))/(VLOOKUP(AG$72,INDIRECT($C$5&amp;"生成成长"),5))*(VLOOKUP($B$5,标准坦克设计!$B$24:$U$30,MATCH("对"&amp;LEFT($C$5,2)&amp;"输出",标准坦克设计!$B$23:$U$23,0)))*(VLOOKUP($B133,INDIRECT($B$5&amp;"生成成长"),3))*(VLOOKUP($B$5,标准坦克设计!$B$14:$K$20,9)/30))</f>
        <v>22.578339654071492</v>
      </c>
      <c r="AH133" s="173">
        <f ca="1">(VLOOKUP(AH$72,INDIRECT($C$5&amp;"生成成长"),2))/((VLOOKUP($B133,INDIRECT($B$5&amp;"生成成长"),4))/(VLOOKUP(AH$72,INDIRECT($C$5&amp;"生成成长"),5))*(VLOOKUP($B$5,标准坦克设计!$B$24:$U$30,MATCH("对"&amp;LEFT($C$5,2)&amp;"输出",标准坦克设计!$B$23:$U$23,0)))*(VLOOKUP($B133,INDIRECT($B$5&amp;"生成成长"),3))*(VLOOKUP($B$5,标准坦克设计!$B$14:$K$20,9)/30))</f>
        <v>24.262725174830358</v>
      </c>
      <c r="AI133" s="173">
        <f ca="1">(VLOOKUP(AI$72,INDIRECT($C$5&amp;"生成成长"),2))/((VLOOKUP($B133,INDIRECT($B$5&amp;"生成成长"),4))/(VLOOKUP(AI$72,INDIRECT($C$5&amp;"生成成长"),5))*(VLOOKUP($B$5,标准坦克设计!$B$24:$U$30,MATCH("对"&amp;LEFT($C$5,2)&amp;"输出",标准坦克设计!$B$23:$U$23,0)))*(VLOOKUP($B133,INDIRECT($B$5&amp;"生成成长"),3))*(VLOOKUP($B$5,标准坦克设计!$B$14:$K$20,9)/30))</f>
        <v>17.160131913285106</v>
      </c>
      <c r="AJ133" s="173">
        <f ca="1">(VLOOKUP(AJ$72,INDIRECT($C$5&amp;"生成成长"),2))/((VLOOKUP($B133,INDIRECT($B$5&amp;"生成成长"),4))/(VLOOKUP(AJ$72,INDIRECT($C$5&amp;"生成成长"),5))*(VLOOKUP($B$5,标准坦克设计!$B$24:$U$30,MATCH("对"&amp;LEFT($C$5,2)&amp;"输出",标准坦克设计!$B$23:$U$23,0)))*(VLOOKUP($B133,INDIRECT($B$5&amp;"生成成长"),3))*(VLOOKUP($B$5,标准坦克设计!$B$14:$K$20,9)/30))</f>
        <v>18.783019185714103</v>
      </c>
      <c r="AK133" s="173">
        <f ca="1">(VLOOKUP(AK$72,INDIRECT($C$5&amp;"生成成长"),2))/((VLOOKUP($B133,INDIRECT($B$5&amp;"生成成长"),4))/(VLOOKUP(AK$72,INDIRECT($C$5&amp;"生成成长"),5))*(VLOOKUP($B$5,标准坦克设计!$B$24:$U$30,MATCH("对"&amp;LEFT($C$5,2)&amp;"输出",标准坦克设计!$B$23:$U$23,0)))*(VLOOKUP($B133,INDIRECT($B$5&amp;"生成成长"),3))*(VLOOKUP($B$5,标准坦克设计!$B$14:$K$20,9)/30))</f>
        <v>20.479219640881173</v>
      </c>
      <c r="AL133" s="173">
        <f ca="1">(VLOOKUP(AL$72,INDIRECT($C$5&amp;"生成成长"),2))/((VLOOKUP($B133,INDIRECT($B$5&amp;"生成成长"),4))/(VLOOKUP(AL$72,INDIRECT($C$5&amp;"生成成长"),5))*(VLOOKUP($B$5,标准坦克设计!$B$24:$U$30,MATCH("对"&amp;LEFT($C$5,2)&amp;"输出",标准坦克设计!$B$23:$U$23,0)))*(VLOOKUP($B133,INDIRECT($B$5&amp;"生成成长"),3))*(VLOOKUP($B$5,标准坦克设计!$B$14:$K$20,9)/30))</f>
        <v>22.248733278786304</v>
      </c>
      <c r="AM133" s="173">
        <f ca="1">(VLOOKUP(AM$72,INDIRECT($C$5&amp;"生成成长"),2))/((VLOOKUP($B133,INDIRECT($B$5&amp;"生成成长"),4))/(VLOOKUP(AM$72,INDIRECT($C$5&amp;"生成成长"),5))*(VLOOKUP($B$5,标准坦克设计!$B$24:$U$30,MATCH("对"&amp;LEFT($C$5,2)&amp;"输出",标准坦克设计!$B$23:$U$23,0)))*(VLOOKUP($B133,INDIRECT($B$5&amp;"生成成长"),3))*(VLOOKUP($B$5,标准坦克设计!$B$14:$K$20,9)/30))</f>
        <v>24.0915600994295</v>
      </c>
      <c r="AN133" s="173">
        <f ca="1">(VLOOKUP(AN$72,INDIRECT($C$5&amp;"生成成长"),2))/((VLOOKUP($B133,INDIRECT($B$5&amp;"生成成长"),4))/(VLOOKUP(AN$72,INDIRECT($C$5&amp;"生成成长"),5))*(VLOOKUP($B$5,标准坦克设计!$B$24:$U$30,MATCH("对"&amp;LEFT($C$5,2)&amp;"输出",标准坦克设计!$B$23:$U$23,0)))*(VLOOKUP($B133,INDIRECT($B$5&amp;"生成成长"),3))*(VLOOKUP($B$5,标准坦克设计!$B$14:$K$20,9)/30))</f>
        <v>26.007700102810762</v>
      </c>
      <c r="AO133" s="173">
        <f ca="1">(VLOOKUP(AO$72,INDIRECT($C$5&amp;"生成成长"),2))/((VLOOKUP($B133,INDIRECT($B$5&amp;"生成成长"),4))/(VLOOKUP(AO$72,INDIRECT($C$5&amp;"生成成长"),5))*(VLOOKUP($B$5,标准坦克设计!$B$24:$U$30,MATCH("对"&amp;LEFT($C$5,2)&amp;"输出",标准坦克设计!$B$23:$U$23,0)))*(VLOOKUP($B133,INDIRECT($B$5&amp;"生成成长"),3))*(VLOOKUP($B$5,标准坦克设计!$B$14:$K$20,9)/30))</f>
        <v>27.997153288930097</v>
      </c>
      <c r="AP133" s="173">
        <f ca="1">(VLOOKUP(AP$72,INDIRECT($C$5&amp;"生成成长"),2))/((VLOOKUP($B133,INDIRECT($B$5&amp;"生成成长"),4))/(VLOOKUP(AP$72,INDIRECT($C$5&amp;"生成成长"),5))*(VLOOKUP($B$5,标准坦克设计!$B$24:$U$30,MATCH("对"&amp;LEFT($C$5,2)&amp;"输出",标准坦克设计!$B$23:$U$23,0)))*(VLOOKUP($B133,INDIRECT($B$5&amp;"生成成长"),3))*(VLOOKUP($B$5,标准坦克设计!$B$14:$K$20,9)/30))</f>
        <v>30.059919657787489</v>
      </c>
      <c r="AQ133" s="173">
        <f ca="1">(VLOOKUP(AQ$72,INDIRECT($C$5&amp;"生成成长"),2))/((VLOOKUP($B133,INDIRECT($B$5&amp;"生成成长"),4))/(VLOOKUP(AQ$72,INDIRECT($C$5&amp;"生成成长"),5))*(VLOOKUP($B$5,标准坦克设计!$B$24:$U$30,MATCH("对"&amp;LEFT($C$5,2)&amp;"输出",标准坦克设计!$B$23:$U$23,0)))*(VLOOKUP($B133,INDIRECT($B$5&amp;"生成成长"),3))*(VLOOKUP($B$5,标准坦克设计!$B$14:$K$20,9)/30))</f>
        <v>32.195999209382947</v>
      </c>
      <c r="AR133" s="173">
        <f ca="1">(VLOOKUP(AR$72,INDIRECT($C$5&amp;"生成成长"),2))/((VLOOKUP($B133,INDIRECT($B$5&amp;"生成成长"),4))/(VLOOKUP(AR$72,INDIRECT($C$5&amp;"生成成长"),5))*(VLOOKUP($B$5,标准坦克设计!$B$24:$U$30,MATCH("对"&amp;LEFT($C$5,2)&amp;"输出",标准坦克设计!$B$23:$U$23,0)))*(VLOOKUP($B133,INDIRECT($B$5&amp;"生成成长"),3))*(VLOOKUP($B$5,标准坦克设计!$B$14:$K$20,9)/30))</f>
        <v>34.405391943716481</v>
      </c>
      <c r="AS133" s="173">
        <f ca="1">(VLOOKUP(AS$72,INDIRECT($C$5&amp;"生成成长"),2))/((VLOOKUP($B133,INDIRECT($B$5&amp;"生成成长"),4))/(VLOOKUP(AS$72,INDIRECT($C$5&amp;"生成成长"),5))*(VLOOKUP($B$5,标准坦克设计!$B$24:$U$30,MATCH("对"&amp;LEFT($C$5,2)&amp;"输出",标准坦克设计!$B$23:$U$23,0)))*(VLOOKUP($B133,INDIRECT($B$5&amp;"生成成长"),3))*(VLOOKUP($B$5,标准坦克设计!$B$14:$K$20,9)/30))</f>
        <v>36.688097860788076</v>
      </c>
      <c r="AT133" s="173">
        <f ca="1">(VLOOKUP(AT$72,INDIRECT($C$5&amp;"生成成长"),2))/((VLOOKUP($B133,INDIRECT($B$5&amp;"生成成长"),4))/(VLOOKUP(AT$72,INDIRECT($C$5&amp;"生成成长"),5))*(VLOOKUP($B$5,标准坦克设计!$B$24:$U$30,MATCH("对"&amp;LEFT($C$5,2)&amp;"输出",标准坦克设计!$B$23:$U$23,0)))*(VLOOKUP($B133,INDIRECT($B$5&amp;"生成成长"),3))*(VLOOKUP($B$5,标准坦克设计!$B$14:$K$20,9)/30))</f>
        <v>39.044116960597727</v>
      </c>
      <c r="AU133" s="173">
        <f ca="1">(VLOOKUP(AU$72,INDIRECT($C$5&amp;"生成成长"),2))/((VLOOKUP($B133,INDIRECT($B$5&amp;"生成成长"),4))/(VLOOKUP(AU$72,INDIRECT($C$5&amp;"生成成长"),5))*(VLOOKUP($B$5,标准坦克设计!$B$24:$U$30,MATCH("对"&amp;LEFT($C$5,2)&amp;"输出",标准坦克设计!$B$23:$U$23,0)))*(VLOOKUP($B133,INDIRECT($B$5&amp;"生成成长"),3))*(VLOOKUP($B$5,标准坦克设计!$B$14:$K$20,9)/30))</f>
        <v>41.473449243145453</v>
      </c>
      <c r="AV133" s="173">
        <f ca="1">(VLOOKUP(AV$72,INDIRECT($C$5&amp;"生成成长"),2))/((VLOOKUP($B133,INDIRECT($B$5&amp;"生成成长"),4))/(VLOOKUP(AV$72,INDIRECT($C$5&amp;"生成成长"),5))*(VLOOKUP($B$5,标准坦克设计!$B$24:$U$30,MATCH("对"&amp;LEFT($C$5,2)&amp;"输出",标准坦克设计!$B$23:$U$23,0)))*(VLOOKUP($B133,INDIRECT($B$5&amp;"生成成长"),3))*(VLOOKUP($B$5,标准坦克设计!$B$14:$K$20,9)/30))</f>
        <v>4.2182345307637492</v>
      </c>
      <c r="AW133" s="173">
        <f ca="1">(VLOOKUP(AW$72,INDIRECT($C$5&amp;"生成成长"),2))/((VLOOKUP($B133,INDIRECT($B$5&amp;"生成成长"),4))/(VLOOKUP(AW$72,INDIRECT($C$5&amp;"生成成长"),5))*(VLOOKUP($B$5,标准坦克设计!$B$24:$U$30,MATCH("对"&amp;LEFT($C$5,2)&amp;"输出",标准坦克设计!$B$23:$U$23,0)))*(VLOOKUP($B133,INDIRECT($B$5&amp;"生成成长"),3))*(VLOOKUP($B$5,标准坦克设计!$B$14:$K$20,9)/30))</f>
        <v>4.8095871452459988</v>
      </c>
      <c r="AX133" s="173">
        <f ca="1">(VLOOKUP(AX$72,INDIRECT($C$5&amp;"生成成长"),2))/((VLOOKUP($B133,INDIRECT($B$5&amp;"生成成长"),4))/(VLOOKUP(AX$72,INDIRECT($C$5&amp;"生成成长"),5))*(VLOOKUP($B$5,标准坦克设计!$B$24:$U$30,MATCH("对"&amp;LEFT($C$5,2)&amp;"输出",标准坦克设计!$B$23:$U$23,0)))*(VLOOKUP($B133,INDIRECT($B$5&amp;"生成成长"),3))*(VLOOKUP($B$5,标准坦克设计!$B$14:$K$20,9)/30))</f>
        <v>5.4397169803500338</v>
      </c>
      <c r="AY133" s="173">
        <f ca="1">(VLOOKUP(AY$72,INDIRECT($C$5&amp;"生成成长"),2))/((VLOOKUP($B133,INDIRECT($B$5&amp;"生成成长"),4))/(VLOOKUP(AY$72,INDIRECT($C$5&amp;"生成成长"),5))*(VLOOKUP($B$5,标准坦克设计!$B$24:$U$30,MATCH("对"&amp;LEFT($C$5,2)&amp;"输出",标准坦克设计!$B$23:$U$23,0)))*(VLOOKUP($B133,INDIRECT($B$5&amp;"生成成长"),3))*(VLOOKUP($B$5,标准坦克设计!$B$14:$K$20,9)/30))</f>
        <v>6.1086240360758577</v>
      </c>
      <c r="AZ133" s="173">
        <f ca="1">(VLOOKUP(AZ$72,INDIRECT($C$5&amp;"生成成长"),2))/((VLOOKUP($B133,INDIRECT($B$5&amp;"生成成长"),4))/(VLOOKUP(AZ$72,INDIRECT($C$5&amp;"生成成长"),5))*(VLOOKUP($B$5,标准坦克设计!$B$24:$U$30,MATCH("对"&amp;LEFT($C$5,2)&amp;"输出",标准坦克设计!$B$23:$U$23,0)))*(VLOOKUP($B133,INDIRECT($B$5&amp;"生成成长"),3))*(VLOOKUP($B$5,标准坦克设计!$B$14:$K$20,9)/30))</f>
        <v>6.8163083124234669</v>
      </c>
      <c r="BA133" s="173">
        <f ca="1">(VLOOKUP(BA$72,INDIRECT($C$5&amp;"生成成长"),2))/((VLOOKUP($B133,INDIRECT($B$5&amp;"生成成长"),4))/(VLOOKUP(BA$72,INDIRECT($C$5&amp;"生成成长"),5))*(VLOOKUP($B$5,标准坦克设计!$B$24:$U$30,MATCH("对"&amp;LEFT($C$5,2)&amp;"输出",标准坦克设计!$B$23:$U$23,0)))*(VLOOKUP($B133,INDIRECT($B$5&amp;"生成成长"),3))*(VLOOKUP($B$5,标准坦克设计!$B$14:$K$20,9)/30))</f>
        <v>7.5627698093928633</v>
      </c>
      <c r="BB133" s="173">
        <f ca="1">(VLOOKUP(BB$72,INDIRECT($C$5&amp;"生成成长"),2))/((VLOOKUP($B133,INDIRECT($B$5&amp;"生成成长"),4))/(VLOOKUP(BB$72,INDIRECT($C$5&amp;"生成成长"),5))*(VLOOKUP($B$5,标准坦克设计!$B$24:$U$30,MATCH("对"&amp;LEFT($C$5,2)&amp;"输出",标准坦克设计!$B$23:$U$23,0)))*(VLOOKUP($B133,INDIRECT($B$5&amp;"生成成长"),3))*(VLOOKUP($B$5,标准坦克设计!$B$14:$K$20,9)/30))</f>
        <v>8.3480085269840441</v>
      </c>
      <c r="BC133" s="173">
        <f ca="1">(VLOOKUP(BC$72,INDIRECT($C$5&amp;"生成成长"),2))/((VLOOKUP($B133,INDIRECT($B$5&amp;"生成成长"),4))/(VLOOKUP(BC$72,INDIRECT($C$5&amp;"生成成长"),5))*(VLOOKUP($B$5,标准坦克设计!$B$24:$U$30,MATCH("对"&amp;LEFT($C$5,2)&amp;"输出",标准坦克设计!$B$23:$U$23,0)))*(VLOOKUP($B133,INDIRECT($B$5&amp;"生成成长"),3))*(VLOOKUP($B$5,标准坦克设计!$B$14:$K$20,9)/30))</f>
        <v>9.1720244651970191</v>
      </c>
      <c r="BD133" s="173">
        <f ca="1">(VLOOKUP(BD$72,INDIRECT($C$5&amp;"生成成长"),2))/((VLOOKUP($B133,INDIRECT($B$5&amp;"生成成长"),4))/(VLOOKUP(BD$72,INDIRECT($C$5&amp;"生成成长"),5))*(VLOOKUP($B$5,标准坦克设计!$B$24:$U$30,MATCH("对"&amp;LEFT($C$5,2)&amp;"输出",标准坦克设计!$B$23:$U$23,0)))*(VLOOKUP($B133,INDIRECT($B$5&amp;"生成成长"),3))*(VLOOKUP($B$5,标准坦克设计!$B$14:$K$20,9)/30))</f>
        <v>10.145393292211088</v>
      </c>
      <c r="BE133" s="173">
        <f ca="1">(VLOOKUP(BE$72,INDIRECT($C$5&amp;"生成成长"),2))/((VLOOKUP($B133,INDIRECT($B$5&amp;"生成成长"),4))/(VLOOKUP(BE$72,INDIRECT($C$5&amp;"生成成长"),5))*(VLOOKUP($B$5,标准坦克设计!$B$24:$U$30,MATCH("对"&amp;LEFT($C$5,2)&amp;"输出",标准坦克设计!$B$23:$U$23,0)))*(VLOOKUP($B133,INDIRECT($B$5&amp;"生成成长"),3))*(VLOOKUP($B$5,标准坦克设计!$B$14:$K$20,9)/30))</f>
        <v>11.167839539074608</v>
      </c>
      <c r="BF133" s="173">
        <f ca="1">(VLOOKUP(BF$72,INDIRECT($C$5&amp;"生成成长"),2))/((VLOOKUP($B133,INDIRECT($B$5&amp;"生成成长"),4))/(VLOOKUP(BF$72,INDIRECT($C$5&amp;"生成成长"),5))*(VLOOKUP($B$5,标准坦克设计!$B$24:$U$30,MATCH("对"&amp;LEFT($C$5,2)&amp;"输出",标准坦克设计!$B$23:$U$23,0)))*(VLOOKUP($B133,INDIRECT($B$5&amp;"生成成长"),3))*(VLOOKUP($B$5,标准坦克设计!$B$14:$K$20,9)/30))</f>
        <v>12.239363205787578</v>
      </c>
      <c r="BG133" s="173">
        <f ca="1">(VLOOKUP(BG$72,INDIRECT($C$5&amp;"生成成长"),2))/((VLOOKUP($B133,INDIRECT($B$5&amp;"生成成长"),4))/(VLOOKUP(BG$72,INDIRECT($C$5&amp;"生成成长"),5))*(VLOOKUP($B$5,标准坦克设计!$B$24:$U$30,MATCH("对"&amp;LEFT($C$5,2)&amp;"输出",标准坦克设计!$B$23:$U$23,0)))*(VLOOKUP($B133,INDIRECT($B$5&amp;"生成成长"),3))*(VLOOKUP($B$5,标准坦克设计!$B$14:$K$20,9)/30))</f>
        <v>13.359964292349996</v>
      </c>
      <c r="BH133" s="173">
        <f ca="1">(VLOOKUP(BH$72,INDIRECT($C$5&amp;"生成成长"),2))/((VLOOKUP($B133,INDIRECT($B$5&amp;"生成成长"),4))/(VLOOKUP(BH$72,INDIRECT($C$5&amp;"生成成长"),5))*(VLOOKUP($B$5,标准坦克设计!$B$24:$U$30,MATCH("对"&amp;LEFT($C$5,2)&amp;"输出",标准坦克设计!$B$23:$U$23,0)))*(VLOOKUP($B133,INDIRECT($B$5&amp;"生成成长"),3))*(VLOOKUP($B$5,标准坦克设计!$B$14:$K$20,9)/30))</f>
        <v>6.4576190216719382</v>
      </c>
      <c r="BI133" s="173">
        <f ca="1">(VLOOKUP(BI$72,INDIRECT($C$5&amp;"生成成长"),2))/((VLOOKUP($B133,INDIRECT($B$5&amp;"生成成长"),4))/(VLOOKUP(BI$72,INDIRECT($C$5&amp;"生成成长"),5))*(VLOOKUP($B$5,标准坦克设计!$B$24:$U$30,MATCH("对"&amp;LEFT($C$5,2)&amp;"输出",标准坦克设计!$B$23:$U$23,0)))*(VLOOKUP($B133,INDIRECT($B$5&amp;"生成成长"),3))*(VLOOKUP($B$5,标准坦克设计!$B$14:$K$20,9)/30))</f>
        <v>7.2783025424877241</v>
      </c>
      <c r="BJ133" s="173">
        <f ca="1">(VLOOKUP(BJ$72,INDIRECT($C$5&amp;"生成成长"),2))/((VLOOKUP($B133,INDIRECT($B$5&amp;"生成成长"),4))/(VLOOKUP(BJ$72,INDIRECT($C$5&amp;"生成成长"),5))*(VLOOKUP($B$5,标准坦克设计!$B$24:$U$30,MATCH("对"&amp;LEFT($C$5,2)&amp;"输出",标准坦克设计!$B$23:$U$23,0)))*(VLOOKUP($B133,INDIRECT($B$5&amp;"生成成长"),3))*(VLOOKUP($B$5,标准坦克设计!$B$14:$K$20,9)/30))</f>
        <v>8.1480634831529581</v>
      </c>
      <c r="BK133" s="173">
        <f ca="1">(VLOOKUP(BK$72,INDIRECT($C$5&amp;"生成成长"),2))/((VLOOKUP($B133,INDIRECT($B$5&amp;"生成成长"),4))/(VLOOKUP(BK$72,INDIRECT($C$5&amp;"生成成长"),5))*(VLOOKUP($B$5,标准坦克设计!$B$24:$U$30,MATCH("对"&amp;LEFT($C$5,2)&amp;"输出",标准坦克设计!$B$23:$U$23,0)))*(VLOOKUP($B133,INDIRECT($B$5&amp;"生成成长"),3))*(VLOOKUP($B$5,标准坦克设计!$B$14:$K$20,9)/30))</f>
        <v>9.0669018436676421</v>
      </c>
      <c r="BL133" s="173">
        <f ca="1">(VLOOKUP(BL$72,INDIRECT($C$5&amp;"生成成长"),2))/((VLOOKUP($B133,INDIRECT($B$5&amp;"生成成长"),4))/(VLOOKUP(BL$72,INDIRECT($C$5&amp;"生成成长"),5))*(VLOOKUP($B$5,标准坦克设计!$B$24:$U$30,MATCH("对"&amp;LEFT($C$5,2)&amp;"输出",标准坦克设计!$B$23:$U$23,0)))*(VLOOKUP($B133,INDIRECT($B$5&amp;"生成成长"),3))*(VLOOKUP($B$5,标准坦克设计!$B$14:$K$20,9)/30))</f>
        <v>10.034817624031776</v>
      </c>
      <c r="BM133" s="173">
        <f ca="1">(VLOOKUP(BM$72,INDIRECT($C$5&amp;"生成成长"),2))/((VLOOKUP($B133,INDIRECT($B$5&amp;"生成成长"),4))/(VLOOKUP(BM$72,INDIRECT($C$5&amp;"生成成长"),5))*(VLOOKUP($B$5,标准坦克设计!$B$24:$U$30,MATCH("对"&amp;LEFT($C$5,2)&amp;"输出",标准坦克设计!$B$23:$U$23,0)))*(VLOOKUP($B133,INDIRECT($B$5&amp;"生成成长"),3))*(VLOOKUP($B$5,标准坦克设计!$B$14:$K$20,9)/30))</f>
        <v>11.051810824245354</v>
      </c>
      <c r="BN133" s="173">
        <f ca="1">(VLOOKUP(BN$72,INDIRECT($C$5&amp;"生成成长"),2))/((VLOOKUP($B133,INDIRECT($B$5&amp;"生成成长"),4))/(VLOOKUP(BN$72,INDIRECT($C$5&amp;"生成成长"),5))*(VLOOKUP($B$5,标准坦克设计!$B$24:$U$30,MATCH("对"&amp;LEFT($C$5,2)&amp;"输出",标准坦克设计!$B$23:$U$23,0)))*(VLOOKUP($B133,INDIRECT($B$5&amp;"生成成长"),3))*(VLOOKUP($B$5,标准坦克设计!$B$14:$K$20,9)/30))</f>
        <v>12.117881444308386</v>
      </c>
      <c r="BO133" s="173">
        <f ca="1">(VLOOKUP(BO$72,INDIRECT($C$5&amp;"生成成长"),2))/((VLOOKUP($B133,INDIRECT($B$5&amp;"生成成长"),4))/(VLOOKUP(BO$72,INDIRECT($C$5&amp;"生成成长"),5))*(VLOOKUP($B$5,标准坦克设计!$B$24:$U$30,MATCH("对"&amp;LEFT($C$5,2)&amp;"输出",标准坦克设计!$B$23:$U$23,0)))*(VLOOKUP($B133,INDIRECT($B$5&amp;"生成成长"),3))*(VLOOKUP($B$5,标准坦克设计!$B$14:$K$20,9)/30))</f>
        <v>13.233029484220864</v>
      </c>
      <c r="BP133" s="173">
        <f ca="1">(VLOOKUP(BP$72,INDIRECT($C$5&amp;"生成成长"),2))/((VLOOKUP($B133,INDIRECT($B$5&amp;"生成成长"),4))/(VLOOKUP(BP$72,INDIRECT($C$5&amp;"生成成长"),5))*(VLOOKUP($B$5,标准坦克设计!$B$24:$U$30,MATCH("对"&amp;LEFT($C$5,2)&amp;"输出",标准坦克设计!$B$23:$U$23,0)))*(VLOOKUP($B133,INDIRECT($B$5&amp;"生成成长"),3))*(VLOOKUP($B$5,标准坦克设计!$B$14:$K$20,9)/30))</f>
        <v>14.397254943982793</v>
      </c>
      <c r="BQ133" s="173">
        <f ca="1">(VLOOKUP(BQ$72,INDIRECT($C$5&amp;"生成成长"),2))/((VLOOKUP($B133,INDIRECT($B$5&amp;"生成成长"),4))/(VLOOKUP(BQ$72,INDIRECT($C$5&amp;"生成成长"),5))*(VLOOKUP($B$5,标准坦克设计!$B$24:$U$30,MATCH("对"&amp;LEFT($C$5,2)&amp;"输出",标准坦克设计!$B$23:$U$23,0)))*(VLOOKUP($B133,INDIRECT($B$5&amp;"生成成长"),3))*(VLOOKUP($B$5,标准坦克设计!$B$14:$K$20,9)/30))</f>
        <v>15.610557823594171</v>
      </c>
      <c r="BR133" s="173">
        <f ca="1">(VLOOKUP(BR$72,INDIRECT($C$5&amp;"生成成长"),2))/((VLOOKUP($B133,INDIRECT($B$5&amp;"生成成长"),4))/(VLOOKUP(BR$72,INDIRECT($C$5&amp;"生成成长"),5))*(VLOOKUP($B$5,标准坦克设计!$B$24:$U$30,MATCH("对"&amp;LEFT($C$5,2)&amp;"输出",标准坦克设计!$B$23:$U$23,0)))*(VLOOKUP($B133,INDIRECT($B$5&amp;"生成成长"),3))*(VLOOKUP($B$5,标准坦克设计!$B$14:$K$20,9)/30))</f>
        <v>17.016232071133945</v>
      </c>
      <c r="BS133" s="173">
        <f ca="1">(VLOOKUP(BS$72,INDIRECT($C$5&amp;"生成成长"),2))/((VLOOKUP($B133,INDIRECT($B$5&amp;"生成成长"),4))/(VLOOKUP(BS$72,INDIRECT($C$5&amp;"生成成长"),5))*(VLOOKUP($B$5,标准坦克设计!$B$24:$U$30,MATCH("对"&amp;LEFT($C$5,2)&amp;"输出",标准坦克设计!$B$23:$U$23,0)))*(VLOOKUP($B133,INDIRECT($B$5&amp;"生成成长"),3))*(VLOOKUP($B$5,标准坦克设计!$B$14:$K$20,9)/30))</f>
        <v>18.482495725895259</v>
      </c>
      <c r="BT133" s="173">
        <f ca="1">(VLOOKUP(BT$72,INDIRECT($C$5&amp;"生成成长"),2))/((VLOOKUP($B133,INDIRECT($B$5&amp;"生成成长"),4))/(VLOOKUP(BT$72,INDIRECT($C$5&amp;"生成成长"),5))*(VLOOKUP($B$5,标准坦克设计!$B$24:$U$30,MATCH("对"&amp;LEFT($C$5,2)&amp;"输出",标准坦克设计!$B$23:$U$23,0)))*(VLOOKUP($B133,INDIRECT($B$5&amp;"生成成长"),3))*(VLOOKUP($B$5,标准坦克设计!$B$14:$K$20,9)/30))</f>
        <v>20.009348787878114</v>
      </c>
      <c r="BU133" s="173">
        <f ca="1">(VLOOKUP(BU$72,INDIRECT($C$5&amp;"生成成长"),2))/((VLOOKUP($B133,INDIRECT($B$5&amp;"生成成长"),4))/(VLOOKUP(BU$72,INDIRECT($C$5&amp;"生成成长"),5))*(VLOOKUP($B$5,标准坦克设计!$B$24:$U$30,MATCH("对"&amp;LEFT($C$5,2)&amp;"输出",标准坦克设计!$B$23:$U$23,0)))*(VLOOKUP($B133,INDIRECT($B$5&amp;"生成成长"),3))*(VLOOKUP($B$5,标准坦克设计!$B$14:$K$20,9)/30))</f>
        <v>21.596791257082508</v>
      </c>
      <c r="BV133" s="173">
        <f ca="1">(VLOOKUP(BV$72,INDIRECT($C$5&amp;"生成成长"),2))/((VLOOKUP($B133,INDIRECT($B$5&amp;"生成成长"),4))/(VLOOKUP(BV$72,INDIRECT($C$5&amp;"生成成长"),5))*(VLOOKUP($B$5,标准坦克设计!$B$24:$U$30,MATCH("对"&amp;LEFT($C$5,2)&amp;"输出",标准坦克设计!$B$23:$U$23,0)))*(VLOOKUP($B133,INDIRECT($B$5&amp;"生成成长"),3))*(VLOOKUP($B$5,标准坦克设计!$B$14:$K$20,9)/30))</f>
        <v>23.244823133508454</v>
      </c>
      <c r="BW133" s="173">
        <f ca="1">(VLOOKUP(BW$72,INDIRECT($C$5&amp;"生成成长"),2))/((VLOOKUP($B133,INDIRECT($B$5&amp;"生成成长"),4))/(VLOOKUP(BW$72,INDIRECT($C$5&amp;"生成成长"),5))*(VLOOKUP($B$5,标准坦克设计!$B$24:$U$30,MATCH("对"&amp;LEFT($C$5,2)&amp;"输出",标准坦克设计!$B$23:$U$23,0)))*(VLOOKUP($B133,INDIRECT($B$5&amp;"生成成长"),3))*(VLOOKUP($B$5,标准坦克设计!$B$14:$K$20,9)/30))</f>
        <v>10.593754905650497</v>
      </c>
      <c r="BX133" s="173">
        <f ca="1">(VLOOKUP(BX$72,INDIRECT($C$5&amp;"生成成长"),2))/((VLOOKUP($B133,INDIRECT($B$5&amp;"生成成长"),4))/(VLOOKUP(BX$72,INDIRECT($C$5&amp;"生成成长"),5))*(VLOOKUP($B$5,标准坦克设计!$B$24:$U$30,MATCH("对"&amp;LEFT($C$5,2)&amp;"输出",标准坦克设计!$B$23:$U$23,0)))*(VLOOKUP($B133,INDIRECT($B$5&amp;"生成成长"),3))*(VLOOKUP($B$5,标准坦克设计!$B$14:$K$20,9)/30))</f>
        <v>11.757071524304104</v>
      </c>
      <c r="BY133" s="173">
        <f ca="1">(VLOOKUP(BY$72,INDIRECT($C$5&amp;"生成成长"),2))/((VLOOKUP($B133,INDIRECT($B$5&amp;"生成成长"),4))/(VLOOKUP(BY$72,INDIRECT($C$5&amp;"生成成长"),5))*(VLOOKUP($B$5,标准坦克设计!$B$24:$U$30,MATCH("对"&amp;LEFT($C$5,2)&amp;"输出",标准坦克设计!$B$23:$U$23,0)))*(VLOOKUP($B133,INDIRECT($B$5&amp;"生成成长"),3))*(VLOOKUP($B$5,标准坦克设计!$B$14:$K$20,9)/30))</f>
        <v>12.980977550179249</v>
      </c>
      <c r="BZ133" s="173">
        <f ca="1">(VLOOKUP(BZ$72,INDIRECT($C$5&amp;"生成成长"),2))/((VLOOKUP($B133,INDIRECT($B$5&amp;"生成成长"),4))/(VLOOKUP(BZ$72,INDIRECT($C$5&amp;"生成成长"),5))*(VLOOKUP($B$5,标准坦克设计!$B$24:$U$30,MATCH("对"&amp;LEFT($C$5,2)&amp;"输出",标准坦克设计!$B$23:$U$23,0)))*(VLOOKUP($B133,INDIRECT($B$5&amp;"生成成长"),3))*(VLOOKUP($B$5,标准坦克设计!$B$14:$K$20,9)/30))</f>
        <v>14.265472983275941</v>
      </c>
      <c r="CA133" s="173">
        <f ca="1">(VLOOKUP(CA$72,INDIRECT($C$5&amp;"生成成长"),2))/((VLOOKUP($B133,INDIRECT($B$5&amp;"生成成长"),4))/(VLOOKUP(CA$72,INDIRECT($C$5&amp;"生成成长"),5))*(VLOOKUP($B$5,标准坦克设计!$B$24:$U$30,MATCH("对"&amp;LEFT($C$5,2)&amp;"输出",标准坦克设计!$B$23:$U$23,0)))*(VLOOKUP($B133,INDIRECT($B$5&amp;"生成成长"),3))*(VLOOKUP($B$5,标准坦克设计!$B$14:$K$20,9)/30))</f>
        <v>15.610557823594171</v>
      </c>
      <c r="CB133" s="173">
        <f ca="1">(VLOOKUP(CB$72,INDIRECT($C$5&amp;"生成成长"),2))/((VLOOKUP($B133,INDIRECT($B$5&amp;"生成成长"),4))/(VLOOKUP(CB$72,INDIRECT($C$5&amp;"生成成长"),5))*(VLOOKUP($B$5,标准坦克设计!$B$24:$U$30,MATCH("对"&amp;LEFT($C$5,2)&amp;"输出",标准坦克设计!$B$23:$U$23,0)))*(VLOOKUP($B133,INDIRECT($B$5&amp;"生成成长"),3))*(VLOOKUP($B$5,标准坦克设计!$B$14:$K$20,9)/30))</f>
        <v>17.016232071133945</v>
      </c>
      <c r="CC133" s="173">
        <f ca="1">(VLOOKUP(CC$72,INDIRECT($C$5&amp;"生成成长"),2))/((VLOOKUP($B133,INDIRECT($B$5&amp;"生成成长"),4))/(VLOOKUP(CC$72,INDIRECT($C$5&amp;"生成成长"),5))*(VLOOKUP($B$5,标准坦克设计!$B$24:$U$30,MATCH("对"&amp;LEFT($C$5,2)&amp;"输出",标准坦克设计!$B$23:$U$23,0)))*(VLOOKUP($B133,INDIRECT($B$5&amp;"生成成长"),3))*(VLOOKUP($B$5,标准坦克设计!$B$14:$K$20,9)/30))</f>
        <v>18.482495725895259</v>
      </c>
      <c r="CD133" s="173">
        <f ca="1">(VLOOKUP(CD$72,INDIRECT($C$5&amp;"生成成长"),2))/((VLOOKUP($B133,INDIRECT($B$5&amp;"生成成长"),4))/(VLOOKUP(CD$72,INDIRECT($C$5&amp;"生成成长"),5))*(VLOOKUP($B$5,标准坦克设计!$B$24:$U$30,MATCH("对"&amp;LEFT($C$5,2)&amp;"输出",标准坦克设计!$B$23:$U$23,0)))*(VLOOKUP($B133,INDIRECT($B$5&amp;"生成成长"),3))*(VLOOKUP($B$5,标准坦克设计!$B$14:$K$20,9)/30))</f>
        <v>20.009348787878114</v>
      </c>
      <c r="CE133" s="173">
        <f ca="1">(VLOOKUP(CE$72,INDIRECT($C$5&amp;"生成成长"),2))/((VLOOKUP($B133,INDIRECT($B$5&amp;"生成成长"),4))/(VLOOKUP(CE$72,INDIRECT($C$5&amp;"生成成长"),5))*(VLOOKUP($B$5,标准坦克设计!$B$24:$U$30,MATCH("对"&amp;LEFT($C$5,2)&amp;"输出",标准坦克设计!$B$23:$U$23,0)))*(VLOOKUP($B133,INDIRECT($B$5&amp;"生成成长"),3))*(VLOOKUP($B$5,标准坦克设计!$B$14:$K$20,9)/30))</f>
        <v>21.596791257082508</v>
      </c>
      <c r="CF133" s="173">
        <f ca="1">(VLOOKUP(CF$72,INDIRECT($C$5&amp;"生成成长"),2))/((VLOOKUP($B133,INDIRECT($B$5&amp;"生成成长"),4))/(VLOOKUP(CF$72,INDIRECT($C$5&amp;"生成成长"),5))*(VLOOKUP($B$5,标准坦克设计!$B$24:$U$30,MATCH("对"&amp;LEFT($C$5,2)&amp;"输出",标准坦克设计!$B$23:$U$23,0)))*(VLOOKUP($B133,INDIRECT($B$5&amp;"生成成长"),3))*(VLOOKUP($B$5,标准坦克设计!$B$14:$K$20,9)/30))</f>
        <v>23.244823133508454</v>
      </c>
      <c r="CG133" s="173">
        <f ca="1">(VLOOKUP(CG$72,INDIRECT($C$5&amp;"生成成长"),2))/((VLOOKUP($B133,INDIRECT($B$5&amp;"生成成长"),4))/(VLOOKUP(CG$72,INDIRECT($C$5&amp;"生成成长"),5))*(VLOOKUP($B$5,标准坦克设计!$B$24:$U$30,MATCH("对"&amp;LEFT($C$5,2)&amp;"输出",标准坦克设计!$B$23:$U$23,0)))*(VLOOKUP($B133,INDIRECT($B$5&amp;"生成成长"),3))*(VLOOKUP($B$5,标准坦克设计!$B$14:$K$20,9)/30))</f>
        <v>24.953444417155936</v>
      </c>
      <c r="CH133" s="173">
        <f ca="1">(VLOOKUP(CH$72,INDIRECT($C$5&amp;"生成成长"),2))/((VLOOKUP($B133,INDIRECT($B$5&amp;"生成成长"),4))/(VLOOKUP(CH$72,INDIRECT($C$5&amp;"生成成长"),5))*(VLOOKUP($B$5,标准坦克设计!$B$24:$U$30,MATCH("对"&amp;LEFT($C$5,2)&amp;"输出",标准坦克设计!$B$23:$U$23,0)))*(VLOOKUP($B133,INDIRECT($B$5&amp;"生成成长"),3))*(VLOOKUP($B$5,标准坦克设计!$B$14:$K$20,9)/30))</f>
        <v>26.722655108024963</v>
      </c>
      <c r="CI133" s="173">
        <f ca="1">(VLOOKUP(CI$72,INDIRECT($C$5&amp;"生成成长"),2))/((VLOOKUP($B133,INDIRECT($B$5&amp;"生成成长"),4))/(VLOOKUP(CI$72,INDIRECT($C$5&amp;"生成成长"),5))*(VLOOKUP($B$5,标准坦克设计!$B$24:$U$30,MATCH("对"&amp;LEFT($C$5,2)&amp;"输出",标准坦克设计!$B$23:$U$23,0)))*(VLOOKUP($B133,INDIRECT($B$5&amp;"生成成长"),3))*(VLOOKUP($B$5,标准坦克设计!$B$14:$K$20,9)/30))</f>
        <v>28.738767633321768</v>
      </c>
      <c r="CJ133" s="173">
        <f ca="1">(VLOOKUP(CJ$72,INDIRECT($C$5&amp;"生成成长"),2))/((VLOOKUP($B133,INDIRECT($B$5&amp;"生成成长"),4))/(VLOOKUP(CJ$72,INDIRECT($C$5&amp;"生成成长"),5))*(VLOOKUP($B$5,标准坦克设计!$B$24:$U$30,MATCH("对"&amp;LEFT($C$5,2)&amp;"输出",标准坦克设计!$B$23:$U$23,0)))*(VLOOKUP($B133,INDIRECT($B$5&amp;"生成成长"),3))*(VLOOKUP($B$5,标准坦克设计!$B$14:$K$20,9)/30))</f>
        <v>30.828193341356634</v>
      </c>
      <c r="CK133" s="173">
        <f ca="1">(VLOOKUP(CK$72,INDIRECT($C$5&amp;"生成成长"),2))/((VLOOKUP($B133,INDIRECT($B$5&amp;"生成成长"),4))/(VLOOKUP(CK$72,INDIRECT($C$5&amp;"生成成长"),5))*(VLOOKUP($B$5,标准坦克设计!$B$24:$U$30,MATCH("对"&amp;LEFT($C$5,2)&amp;"输出",标准坦克设计!$B$23:$U$23,0)))*(VLOOKUP($B133,INDIRECT($B$5&amp;"生成成长"),3))*(VLOOKUP($B$5,标准坦克设计!$B$14:$K$20,9)/30))</f>
        <v>32.99093223212958</v>
      </c>
      <c r="CL133" s="173">
        <f ca="1">(VLOOKUP(CL$72,INDIRECT($C$5&amp;"生成成长"),2))/((VLOOKUP($B133,INDIRECT($B$5&amp;"生成成长"),4))/(VLOOKUP(CL$72,INDIRECT($C$5&amp;"生成成长"),5))*(VLOOKUP($B$5,标准坦克设计!$B$24:$U$30,MATCH("对"&amp;LEFT($C$5,2)&amp;"输出",标准坦克设计!$B$23:$U$23,0)))*(VLOOKUP($B133,INDIRECT($B$5&amp;"生成成长"),3))*(VLOOKUP($B$5,标准坦克设计!$B$14:$K$20,9)/30))</f>
        <v>35.226984305640592</v>
      </c>
      <c r="CM133" s="173">
        <f ca="1">(VLOOKUP(CM$72,INDIRECT($C$5&amp;"生成成长"),2))/((VLOOKUP($B133,INDIRECT($B$5&amp;"生成成长"),4))/(VLOOKUP(CM$72,INDIRECT($C$5&amp;"生成成长"),5))*(VLOOKUP($B$5,标准坦克设计!$B$24:$U$30,MATCH("对"&amp;LEFT($C$5,2)&amp;"输出",标准坦克设计!$B$23:$U$23,0)))*(VLOOKUP($B133,INDIRECT($B$5&amp;"生成成长"),3))*(VLOOKUP($B$5,标准坦克设计!$B$14:$K$20,9)/30))</f>
        <v>37.536349561889658</v>
      </c>
      <c r="CN133" s="173">
        <f ca="1">(VLOOKUP(CN$72,INDIRECT($C$5&amp;"生成成长"),2))/((VLOOKUP($B133,INDIRECT($B$5&amp;"生成成长"),4))/(VLOOKUP(CN$72,INDIRECT($C$5&amp;"生成成长"),5))*(VLOOKUP($B$5,标准坦克设计!$B$24:$U$30,MATCH("对"&amp;LEFT($C$5,2)&amp;"输出",标准坦克设计!$B$23:$U$23,0)))*(VLOOKUP($B133,INDIRECT($B$5&amp;"生成成长"),3))*(VLOOKUP($B$5,标准坦克设计!$B$14:$K$20,9)/30))</f>
        <v>39.9190280008768</v>
      </c>
      <c r="CO133" s="173">
        <f ca="1">(VLOOKUP(CO$72,INDIRECT($C$5&amp;"生成成长"),2))/((VLOOKUP($B133,INDIRECT($B$5&amp;"生成成长"),4))/(VLOOKUP(CO$72,INDIRECT($C$5&amp;"生成成长"),5))*(VLOOKUP($B$5,标准坦克设计!$B$24:$U$30,MATCH("对"&amp;LEFT($C$5,2)&amp;"输出",标准坦克设计!$B$23:$U$23,0)))*(VLOOKUP($B133,INDIRECT($B$5&amp;"生成成长"),3))*(VLOOKUP($B$5,标准坦克设计!$B$14:$K$20,9)/30))</f>
        <v>17.888719535124146</v>
      </c>
      <c r="CP133" s="173">
        <f ca="1">(VLOOKUP(CP$72,INDIRECT($C$5&amp;"生成成长"),2))/((VLOOKUP($B133,INDIRECT($B$5&amp;"生成成长"),4))/(VLOOKUP(CP$72,INDIRECT($C$5&amp;"生成成长"),5))*(VLOOKUP($B$5,标准坦克设计!$B$24:$U$30,MATCH("对"&amp;LEFT($C$5,2)&amp;"输出",标准坦克设计!$B$23:$U$23,0)))*(VLOOKUP($B133,INDIRECT($B$5&amp;"生成成长"),3))*(VLOOKUP($B$5,标准坦克设计!$B$14:$K$20,9)/30))</f>
        <v>19.544930981524992</v>
      </c>
      <c r="CQ133" s="173">
        <f ca="1">(VLOOKUP(CQ$72,INDIRECT($C$5&amp;"生成成长"),2))/((VLOOKUP($B133,INDIRECT($B$5&amp;"生成成长"),4))/(VLOOKUP(CQ$72,INDIRECT($C$5&amp;"生成成长"),5))*(VLOOKUP($B$5,标准坦克设计!$B$24:$U$30,MATCH("对"&amp;LEFT($C$5,2)&amp;"输出",标准坦克设计!$B$23:$U$23,0)))*(VLOOKUP($B133,INDIRECT($B$5&amp;"生成成长"),3))*(VLOOKUP($B$5,标准坦克设计!$B$14:$K$20,9)/30))</f>
        <v>21.27445561066391</v>
      </c>
      <c r="CR133" s="173">
        <f ca="1">(VLOOKUP(CR$72,INDIRECT($C$5&amp;"生成成长"),2))/((VLOOKUP($B133,INDIRECT($B$5&amp;"生成成长"),4))/(VLOOKUP(CR$72,INDIRECT($C$5&amp;"生成成长"),5))*(VLOOKUP($B$5,标准坦克设计!$B$24:$U$30,MATCH("对"&amp;LEFT($C$5,2)&amp;"输出",标准坦克设计!$B$23:$U$23,0)))*(VLOOKUP($B133,INDIRECT($B$5&amp;"生成成长"),3))*(VLOOKUP($B$5,标准坦克设计!$B$14:$K$20,9)/30))</f>
        <v>23.07729342254089</v>
      </c>
      <c r="CS133" s="173">
        <f ca="1">(VLOOKUP(CS$72,INDIRECT($C$5&amp;"生成成长"),2))/((VLOOKUP($B133,INDIRECT($B$5&amp;"生成成长"),4))/(VLOOKUP(CS$72,INDIRECT($C$5&amp;"生成成长"),5))*(VLOOKUP($B$5,标准坦克设计!$B$24:$U$30,MATCH("对"&amp;LEFT($C$5,2)&amp;"输出",标准坦克设计!$B$23:$U$23,0)))*(VLOOKUP($B133,INDIRECT($B$5&amp;"生成成长"),3))*(VLOOKUP($B$5,标准坦克设计!$B$14:$K$20,9)/30))</f>
        <v>24.953444417155936</v>
      </c>
      <c r="CT133" s="173">
        <f ca="1">(VLOOKUP(CT$72,INDIRECT($C$5&amp;"生成成长"),2))/((VLOOKUP($B133,INDIRECT($B$5&amp;"生成成长"),4))/(VLOOKUP(CT$72,INDIRECT($C$5&amp;"生成成长"),5))*(VLOOKUP($B$5,标准坦克设计!$B$24:$U$30,MATCH("对"&amp;LEFT($C$5,2)&amp;"输出",标准坦克设计!$B$23:$U$23,0)))*(VLOOKUP($B133,INDIRECT($B$5&amp;"生成成长"),3))*(VLOOKUP($B$5,标准坦克设计!$B$14:$K$20,9)/30))</f>
        <v>26.902908594509046</v>
      </c>
      <c r="CU133" s="173">
        <f ca="1">(VLOOKUP(CU$72,INDIRECT($C$5&amp;"生成成长"),2))/((VLOOKUP($B133,INDIRECT($B$5&amp;"生成成长"),4))/(VLOOKUP(CU$72,INDIRECT($C$5&amp;"生成成长"),5))*(VLOOKUP($B$5,标准坦克设计!$B$24:$U$30,MATCH("对"&amp;LEFT($C$5,2)&amp;"输出",标准坦克设计!$B$23:$U$23,0)))*(VLOOKUP($B133,INDIRECT($B$5&amp;"生成成长"),3))*(VLOOKUP($B$5,标准坦克设计!$B$14:$K$20,9)/30))</f>
        <v>28.925685954600226</v>
      </c>
      <c r="CV133" s="173">
        <f ca="1">(VLOOKUP(CV$72,INDIRECT($C$5&amp;"生成成长"),2))/((VLOOKUP($B133,INDIRECT($B$5&amp;"生成成长"),4))/(VLOOKUP(CV$72,INDIRECT($C$5&amp;"生成成长"),5))*(VLOOKUP($B$5,标准坦克设计!$B$24:$U$30,MATCH("对"&amp;LEFT($C$5,2)&amp;"输出",标准坦克设计!$B$23:$U$23,0)))*(VLOOKUP($B133,INDIRECT($B$5&amp;"生成成长"),3))*(VLOOKUP($B$5,标准坦克设计!$B$14:$K$20,9)/30))</f>
        <v>31.021776497429467</v>
      </c>
      <c r="CW133" s="173">
        <f ca="1">(VLOOKUP(CW$72,INDIRECT($C$5&amp;"生成成长"),2))/((VLOOKUP($B133,INDIRECT($B$5&amp;"生成成长"),4))/(VLOOKUP(CW$72,INDIRECT($C$5&amp;"生成成长"),5))*(VLOOKUP($B$5,标准坦克设计!$B$24:$U$30,MATCH("对"&amp;LEFT($C$5,2)&amp;"输出",标准坦克设计!$B$23:$U$23,0)))*(VLOOKUP($B133,INDIRECT($B$5&amp;"生成成长"),3))*(VLOOKUP($B$5,标准坦克设计!$B$14:$K$20,9)/30))</f>
        <v>33.191180222996778</v>
      </c>
      <c r="CX133" s="173">
        <f ca="1">(VLOOKUP(CX$72,INDIRECT($C$5&amp;"生成成长"),2))/((VLOOKUP($B133,INDIRECT($B$5&amp;"生成成长"),4))/(VLOOKUP(CX$72,INDIRECT($C$5&amp;"生成成长"),5))*(VLOOKUP($B$5,标准坦克设计!$B$24:$U$30,MATCH("对"&amp;LEFT($C$5,2)&amp;"输出",标准坦克设计!$B$23:$U$23,0)))*(VLOOKUP($B133,INDIRECT($B$5&amp;"生成成长"),3))*(VLOOKUP($B$5,标准坦克设计!$B$14:$K$20,9)/30))</f>
        <v>35.433897131302146</v>
      </c>
      <c r="CY133" s="173">
        <f ca="1">(VLOOKUP(CY$72,INDIRECT($C$5&amp;"生成成长"),2))/((VLOOKUP($B133,INDIRECT($B$5&amp;"生成成长"),4))/(VLOOKUP(CY$72,INDIRECT($C$5&amp;"生成成长"),5))*(VLOOKUP($B$5,标准坦克设计!$B$24:$U$30,MATCH("对"&amp;LEFT($C$5,2)&amp;"输出",标准坦克设计!$B$23:$U$23,0)))*(VLOOKUP($B133,INDIRECT($B$5&amp;"生成成长"),3))*(VLOOKUP($B$5,标准坦克设计!$B$14:$K$20,9)/30))</f>
        <v>37.749927222345597</v>
      </c>
      <c r="CZ133" s="173">
        <f ca="1">(VLOOKUP(CZ$72,INDIRECT($C$5&amp;"生成成长"),2))/((VLOOKUP($B133,INDIRECT($B$5&amp;"生成成长"),4))/(VLOOKUP(CZ$72,INDIRECT($C$5&amp;"生成成长"),5))*(VLOOKUP($B$5,标准坦克设计!$B$24:$U$30,MATCH("对"&amp;LEFT($C$5,2)&amp;"输出",标准坦克设计!$B$23:$U$23,0)))*(VLOOKUP($B133,INDIRECT($B$5&amp;"生成成长"),3))*(VLOOKUP($B$5,标准坦克设计!$B$14:$K$20,9)/30))</f>
        <v>40.139270496127104</v>
      </c>
      <c r="DA133" s="173">
        <f ca="1">(VLOOKUP(DA$72,INDIRECT($C$5&amp;"生成成长"),2))/((VLOOKUP($B133,INDIRECT($B$5&amp;"生成成长"),4))/(VLOOKUP(DA$72,INDIRECT($C$5&amp;"生成成长"),5))*(VLOOKUP($B$5,标准坦克设计!$B$24:$U$30,MATCH("对"&amp;LEFT($C$5,2)&amp;"输出",标准坦克设计!$B$23:$U$23,0)))*(VLOOKUP($B133,INDIRECT($B$5&amp;"生成成长"),3))*(VLOOKUP($B$5,标准坦克设计!$B$14:$K$20,9)/30))</f>
        <v>42.601926952646672</v>
      </c>
      <c r="DB133" s="173">
        <f ca="1">(VLOOKUP(DB$72,INDIRECT($C$5&amp;"生成成长"),2))/((VLOOKUP($B133,INDIRECT($B$5&amp;"生成成长"),4))/(VLOOKUP(DB$72,INDIRECT($C$5&amp;"生成成长"),5))*(VLOOKUP($B$5,标准坦克设计!$B$24:$U$30,MATCH("对"&amp;LEFT($C$5,2)&amp;"输出",标准坦克设计!$B$23:$U$23,0)))*(VLOOKUP($B133,INDIRECT($B$5&amp;"生成成长"),3))*(VLOOKUP($B$5,标准坦克设计!$B$14:$K$20,9)/30))</f>
        <v>45.137896591904301</v>
      </c>
      <c r="DC133" s="173">
        <f ca="1">(VLOOKUP(DC$72,INDIRECT($C$5&amp;"生成成长"),2))/((VLOOKUP($B133,INDIRECT($B$5&amp;"生成成长"),4))/(VLOOKUP(DC$72,INDIRECT($C$5&amp;"生成成长"),5))*(VLOOKUP($B$5,标准坦克设计!$B$24:$U$30,MATCH("对"&amp;LEFT($C$5,2)&amp;"输出",标准坦克设计!$B$23:$U$23,0)))*(VLOOKUP($B133,INDIRECT($B$5&amp;"生成成长"),3))*(VLOOKUP($B$5,标准坦克设计!$B$14:$K$20,9)/30))</f>
        <v>47.98802230760564</v>
      </c>
      <c r="DD133" s="173">
        <f ca="1">(VLOOKUP(DD$72,INDIRECT($C$5&amp;"生成成长"),2))/((VLOOKUP($B133,INDIRECT($B$5&amp;"生成成长"),4))/(VLOOKUP(DD$72,INDIRECT($C$5&amp;"生成成长"),5))*(VLOOKUP($B$5,标准坦克设计!$B$24:$U$30,MATCH("对"&amp;LEFT($C$5,2)&amp;"输出",标准坦克设计!$B$23:$U$23,0)))*(VLOOKUP($B133,INDIRECT($B$5&amp;"生成成长"),3))*(VLOOKUP($B$5,标准坦克设计!$B$14:$K$20,9)/30))</f>
        <v>50.925396769705998</v>
      </c>
      <c r="DE133" s="173">
        <f ca="1">(VLOOKUP(DE$72,INDIRECT($C$5&amp;"生成成长"),2))/((VLOOKUP($B133,INDIRECT($B$5&amp;"生成成长"),4))/(VLOOKUP(DE$72,INDIRECT($C$5&amp;"生成成长"),5))*(VLOOKUP($B$5,标准坦克设计!$B$24:$U$30,MATCH("对"&amp;LEFT($C$5,2)&amp;"输出",标准坦克设计!$B$23:$U$23,0)))*(VLOOKUP($B133,INDIRECT($B$5&amp;"生成成长"),3))*(VLOOKUP($B$5,标准坦克设计!$B$14:$K$20,9)/30))</f>
        <v>53.950019978205361</v>
      </c>
      <c r="DF133" s="173">
        <f ca="1">(VLOOKUP(DF$72,INDIRECT($C$5&amp;"生成成长"),2))/((VLOOKUP($B133,INDIRECT($B$5&amp;"生成成长"),4))/(VLOOKUP(DF$72,INDIRECT($C$5&amp;"生成成长"),5))*(VLOOKUP($B$5,标准坦克设计!$B$24:$U$30,MATCH("对"&amp;LEFT($C$5,2)&amp;"输出",标准坦克设计!$B$23:$U$23,0)))*(VLOOKUP($B133,INDIRECT($B$5&amp;"生成成长"),3))*(VLOOKUP($B$5,标准坦克设计!$B$14:$K$20,9)/30))</f>
        <v>57.061891933103766</v>
      </c>
      <c r="DG133" s="173">
        <f ca="1">(VLOOKUP(DG$72,INDIRECT($C$5&amp;"生成成长"),2))/((VLOOKUP($B133,INDIRECT($B$5&amp;"生成成长"),4))/(VLOOKUP(DG$72,INDIRECT($C$5&amp;"生成成长"),5))*(VLOOKUP($B$5,标准坦克设计!$B$24:$U$30,MATCH("对"&amp;LEFT($C$5,2)&amp;"输出",标准坦克设计!$B$23:$U$23,0)))*(VLOOKUP($B133,INDIRECT($B$5&amp;"生成成长"),3))*(VLOOKUP($B$5,标准坦克设计!$B$14:$K$20,9)/30))</f>
        <v>60.261012634401176</v>
      </c>
      <c r="DH133" s="173">
        <f ca="1">(VLOOKUP(DH$72,INDIRECT($C$5&amp;"生成成长"),2))/((VLOOKUP($B133,INDIRECT($B$5&amp;"生成成长"),4))/(VLOOKUP(DH$72,INDIRECT($C$5&amp;"生成成长"),5))*(VLOOKUP($B$5,标准坦克设计!$B$24:$U$30,MATCH("对"&amp;LEFT($C$5,2)&amp;"输出",标准坦克设计!$B$23:$U$23,0)))*(VLOOKUP($B133,INDIRECT($B$5&amp;"生成成长"),3))*(VLOOKUP($B$5,标准坦克设计!$B$14:$K$20,9)/30))</f>
        <v>63.547382082097606</v>
      </c>
      <c r="DI133" s="173">
        <f ca="1">(VLOOKUP(DI$72,INDIRECT($C$5&amp;"生成成长"),2))/((VLOOKUP($B133,INDIRECT($B$5&amp;"生成成长"),4))/(VLOOKUP(DI$72,INDIRECT($C$5&amp;"生成成长"),5))*(VLOOKUP($B$5,标准坦克设计!$B$24:$U$30,MATCH("对"&amp;LEFT($C$5,2)&amp;"输出",标准坦克设计!$B$23:$U$23,0)))*(VLOOKUP($B133,INDIRECT($B$5&amp;"生成成长"),3))*(VLOOKUP($B$5,标准坦克设计!$B$14:$K$20,9)/30))</f>
        <v>66.92100027619307</v>
      </c>
      <c r="DJ133" s="173">
        <f ca="1">(VLOOKUP(DJ$72,INDIRECT($C$5&amp;"生成成长"),2))/((VLOOKUP($B133,INDIRECT($B$5&amp;"生成成长"),4))/(VLOOKUP(DJ$72,INDIRECT($C$5&amp;"生成成长"),5))*(VLOOKUP($B$5,标准坦克设计!$B$24:$U$30,MATCH("对"&amp;LEFT($C$5,2)&amp;"输出",标准坦克设计!$B$23:$U$23,0)))*(VLOOKUP($B133,INDIRECT($B$5&amp;"生成成长"),3))*(VLOOKUP($B$5,标准坦克设计!$B$14:$K$20,9)/30))</f>
        <v>6.7257271486272616</v>
      </c>
      <c r="DK133" s="173">
        <f ca="1">(VLOOKUP(DK$72,INDIRECT($C$5&amp;"生成成长"),2))/((VLOOKUP($B133,INDIRECT($B$5&amp;"生成成长"),4))/(VLOOKUP(DK$72,INDIRECT($C$5&amp;"生成成长"),5))*(VLOOKUP($B$5,标准坦克设计!$B$24:$U$30,MATCH("对"&amp;LEFT($C$5,2)&amp;"输出",标准坦克设计!$B$23:$U$23,0)))*(VLOOKUP($B133,INDIRECT($B$5&amp;"生成成长"),3))*(VLOOKUP($B$5,标准坦克设计!$B$14:$K$20,9)/30))</f>
        <v>7.5627698093928633</v>
      </c>
      <c r="DL133" s="173">
        <f ca="1">(VLOOKUP(DL$72,INDIRECT($C$5&amp;"生成成长"),2))/((VLOOKUP($B133,INDIRECT($B$5&amp;"生成成长"),4))/(VLOOKUP(DL$72,INDIRECT($C$5&amp;"生成成长"),5))*(VLOOKUP($B$5,标准坦克设计!$B$24:$U$30,MATCH("对"&amp;LEFT($C$5,2)&amp;"输出",标准坦克设计!$B$23:$U$23,0)))*(VLOOKUP($B133,INDIRECT($B$5&amp;"生成成长"),3))*(VLOOKUP($B$5,标准坦克设计!$B$14:$K$20,9)/30))</f>
        <v>8.4488898900079139</v>
      </c>
      <c r="DM133" s="173">
        <f ca="1">(VLOOKUP(DM$72,INDIRECT($C$5&amp;"生成成长"),2))/((VLOOKUP($B133,INDIRECT($B$5&amp;"生成成长"),4))/(VLOOKUP(DM$72,INDIRECT($C$5&amp;"生成成长"),5))*(VLOOKUP($B$5,标准坦克设计!$B$24:$U$30,MATCH("对"&amp;LEFT($C$5,2)&amp;"输出",标准坦克设计!$B$23:$U$23,0)))*(VLOOKUP($B133,INDIRECT($B$5&amp;"生成成长"),3))*(VLOOKUP($B$5,标准坦克设计!$B$14:$K$20,9)/30))</f>
        <v>9.3840873904724145</v>
      </c>
      <c r="DN133" s="173">
        <f ca="1">(VLOOKUP(DN$72,INDIRECT($C$5&amp;"生成成长"),2))/((VLOOKUP($B133,INDIRECT($B$5&amp;"生成成长"),4))/(VLOOKUP(DN$72,INDIRECT($C$5&amp;"生成成长"),5))*(VLOOKUP($B$5,标准坦克设计!$B$24:$U$30,MATCH("对"&amp;LEFT($C$5,2)&amp;"输出",标准坦克设计!$B$23:$U$23,0)))*(VLOOKUP($B133,INDIRECT($B$5&amp;"生成成长"),3))*(VLOOKUP($B$5,标准坦克设计!$B$14:$K$20,9)/30))</f>
        <v>10.368362310786363</v>
      </c>
      <c r="DO133" s="173">
        <f ca="1">(VLOOKUP(DO$72,INDIRECT($C$5&amp;"生成成长"),2))/((VLOOKUP($B133,INDIRECT($B$5&amp;"生成成长"),4))/(VLOOKUP(DO$72,INDIRECT($C$5&amp;"生成成长"),5))*(VLOOKUP($B$5,标准坦克设计!$B$24:$U$30,MATCH("对"&amp;LEFT($C$5,2)&amp;"输出",标准坦克设计!$B$23:$U$23,0)))*(VLOOKUP($B133,INDIRECT($B$5&amp;"生成成长"),3))*(VLOOKUP($B$5,标准坦克设计!$B$14:$K$20,9)/30))</f>
        <v>11.40171465094976</v>
      </c>
      <c r="DP133" s="173">
        <f ca="1">(VLOOKUP(DP$72,INDIRECT($C$5&amp;"生成成长"),2))/((VLOOKUP($B133,INDIRECT($B$5&amp;"生成成长"),4))/(VLOOKUP(DP$72,INDIRECT($C$5&amp;"生成成长"),5))*(VLOOKUP($B$5,标准坦克设计!$B$24:$U$30,MATCH("对"&amp;LEFT($C$5,2)&amp;"输出",标准坦克设计!$B$23:$U$23,0)))*(VLOOKUP($B133,INDIRECT($B$5&amp;"生成成长"),3))*(VLOOKUP($B$5,标准坦克设计!$B$14:$K$20,9)/30))</f>
        <v>12.484144410962607</v>
      </c>
      <c r="DQ133" s="173">
        <f ca="1">(VLOOKUP(DQ$72,INDIRECT($C$5&amp;"生成成长"),2))/((VLOOKUP($B133,INDIRECT($B$5&amp;"生成成长"),4))/(VLOOKUP(DQ$72,INDIRECT($C$5&amp;"生成成长"),5))*(VLOOKUP($B$5,标准坦克设计!$B$24:$U$30,MATCH("对"&amp;LEFT($C$5,2)&amp;"输出",标准坦克设计!$B$23:$U$23,0)))*(VLOOKUP($B133,INDIRECT($B$5&amp;"生成成长"),3))*(VLOOKUP($B$5,标准坦克设计!$B$14:$K$20,9)/30))</f>
        <v>13.615651590824902</v>
      </c>
      <c r="DR133" s="173">
        <f ca="1">(VLOOKUP(DR$72,INDIRECT($C$5&amp;"生成成长"),2))/((VLOOKUP($B133,INDIRECT($B$5&amp;"生成成长"),4))/(VLOOKUP(DR$72,INDIRECT($C$5&amp;"生成成长"),5))*(VLOOKUP($B$5,标准坦克设计!$B$24:$U$30,MATCH("对"&amp;LEFT($C$5,2)&amp;"输出",标准坦克设计!$B$23:$U$23,0)))*(VLOOKUP($B133,INDIRECT($B$5&amp;"生成成长"),3))*(VLOOKUP($B$5,标准坦克设计!$B$14:$K$20,9)/30))</f>
        <v>14.796236190536646</v>
      </c>
      <c r="DS133" s="173">
        <f ca="1">(VLOOKUP(DS$72,INDIRECT($C$5&amp;"生成成长"),2))/((VLOOKUP($B133,INDIRECT($B$5&amp;"生成成长"),4))/(VLOOKUP(DS$72,INDIRECT($C$5&amp;"生成成长"),5))*(VLOOKUP($B$5,标准坦克设计!$B$24:$U$30,MATCH("对"&amp;LEFT($C$5,2)&amp;"输出",标准坦克设计!$B$23:$U$23,0)))*(VLOOKUP($B133,INDIRECT($B$5&amp;"生成成长"),3))*(VLOOKUP($B$5,标准坦克设计!$B$14:$K$20,9)/30))</f>
        <v>16.025898210097839</v>
      </c>
      <c r="DT133" s="173">
        <f ca="1">(VLOOKUP(DT$72,INDIRECT($C$5&amp;"生成成长"),2))/((VLOOKUP($B133,INDIRECT($B$5&amp;"生成成长"),4))/(VLOOKUP(DT$72,INDIRECT($C$5&amp;"生成成长"),5))*(VLOOKUP($B$5,标准坦克设计!$B$24:$U$30,MATCH("对"&amp;LEFT($C$5,2)&amp;"输出",标准坦克设计!$B$23:$U$23,0)))*(VLOOKUP($B133,INDIRECT($B$5&amp;"生成成长"),3))*(VLOOKUP($B$5,标准坦克设计!$B$14:$K$20,9)/30))</f>
        <v>17.595466804171885</v>
      </c>
      <c r="DU133" s="173">
        <f ca="1">(VLOOKUP(DU$72,INDIRECT($C$5&amp;"生成成长"),2))/((VLOOKUP($B133,INDIRECT($B$5&amp;"生成成长"),4))/(VLOOKUP(DU$72,INDIRECT($C$5&amp;"生成成长"),5))*(VLOOKUP($B$5,标准坦克设计!$B$24:$U$30,MATCH("对"&amp;LEFT($C$5,2)&amp;"输出",标准坦克设计!$B$23:$U$23,0)))*(VLOOKUP($B133,INDIRECT($B$5&amp;"生成成长"),3))*(VLOOKUP($B$5,标准坦克设计!$B$14:$K$20,9)/30))</f>
        <v>19.238348580983995</v>
      </c>
      <c r="DV133" s="173">
        <f ca="1">(VLOOKUP(DV$72,INDIRECT($C$5&amp;"生成成长"),2))/((VLOOKUP($B133,INDIRECT($B$5&amp;"生成成长"),4))/(VLOOKUP(DV$72,INDIRECT($C$5&amp;"生成成长"),5))*(VLOOKUP($B$5,标准坦克设计!$B$24:$U$30,MATCH("对"&amp;LEFT($C$5,2)&amp;"输出",标准坦克设计!$B$23:$U$23,0)))*(VLOOKUP($B133,INDIRECT($B$5&amp;"生成成长"),3))*(VLOOKUP($B$5,标准坦克设计!$B$14:$K$20,9)/30))</f>
        <v>20.954543540534171</v>
      </c>
      <c r="DW133" s="173">
        <f ca="1">(VLOOKUP(DW$72,INDIRECT($C$5&amp;"生成成长"),2))/((VLOOKUP($B133,INDIRECT($B$5&amp;"生成成长"),4))/(VLOOKUP(DW$72,INDIRECT($C$5&amp;"生成成长"),5))*(VLOOKUP($B$5,标准坦克设计!$B$24:$U$30,MATCH("对"&amp;LEFT($C$5,2)&amp;"输出",标准坦克设计!$B$23:$U$23,0)))*(VLOOKUP($B133,INDIRECT($B$5&amp;"生成成长"),3))*(VLOOKUP($B$5,标准坦克设计!$B$14:$K$20,9)/30))</f>
        <v>22.744051682822409</v>
      </c>
      <c r="DX133" s="173">
        <f ca="1">(VLOOKUP(DX$72,INDIRECT($C$5&amp;"生成成长"),2))/((VLOOKUP($B133,INDIRECT($B$5&amp;"生成成长"),4))/(VLOOKUP(DX$72,INDIRECT($C$5&amp;"生成成长"),5))*(VLOOKUP($B$5,标准坦克设计!$B$24:$U$30,MATCH("对"&amp;LEFT($C$5,2)&amp;"输出",标准坦克设计!$B$23:$U$23,0)))*(VLOOKUP($B133,INDIRECT($B$5&amp;"生成成长"),3))*(VLOOKUP($B$5,标准坦克设计!$B$14:$K$20,9)/30))</f>
        <v>24.606873007848712</v>
      </c>
      <c r="DY133" s="173">
        <f ca="1">(VLOOKUP(DY$72,INDIRECT($C$5&amp;"生成成长"),2))/((VLOOKUP($B133,INDIRECT($B$5&amp;"生成成长"),4))/(VLOOKUP(DY$72,INDIRECT($C$5&amp;"生成成长"),5))*(VLOOKUP($B$5,标准坦克设计!$B$24:$U$30,MATCH("对"&amp;LEFT($C$5,2)&amp;"输出",标准坦克设计!$B$23:$U$23,0)))*(VLOOKUP($B133,INDIRECT($B$5&amp;"生成成长"),3))*(VLOOKUP($B$5,标准坦克设计!$B$14:$K$20,9)/30))</f>
        <v>11.051810824245354</v>
      </c>
      <c r="DZ133" s="173">
        <f ca="1">(VLOOKUP(DZ$72,INDIRECT($C$5&amp;"生成成长"),2))/((VLOOKUP($B133,INDIRECT($B$5&amp;"生成成长"),4))/(VLOOKUP(DZ$72,INDIRECT($C$5&amp;"生成成长"),5))*(VLOOKUP($B$5,标准坦克设计!$B$24:$U$30,MATCH("对"&amp;LEFT($C$5,2)&amp;"输出",标准坦克设计!$B$23:$U$23,0)))*(VLOOKUP($B133,INDIRECT($B$5&amp;"生成成长"),3))*(VLOOKUP($B$5,标准坦克设计!$B$14:$K$20,9)/30))</f>
        <v>12.239363205787578</v>
      </c>
      <c r="EA133" s="173">
        <f ca="1">(VLOOKUP(EA$72,INDIRECT($C$5&amp;"生成成长"),2))/((VLOOKUP($B133,INDIRECT($B$5&amp;"生成成长"),4))/(VLOOKUP(EA$72,INDIRECT($C$5&amp;"生成成长"),5))*(VLOOKUP($B$5,标准坦克设计!$B$24:$U$30,MATCH("对"&amp;LEFT($C$5,2)&amp;"输出",标准坦克设计!$B$23:$U$23,0)))*(VLOOKUP($B133,INDIRECT($B$5&amp;"生成成长"),3))*(VLOOKUP($B$5,标准坦克设计!$B$14:$K$20,9)/30))</f>
        <v>13.48750499455134</v>
      </c>
      <c r="EB133" s="173">
        <f ca="1">(VLOOKUP(EB$72,INDIRECT($C$5&amp;"生成成长"),2))/((VLOOKUP($B133,INDIRECT($B$5&amp;"生成成长"),4))/(VLOOKUP(EB$72,INDIRECT($C$5&amp;"生成成长"),5))*(VLOOKUP($B$5,标准坦克设计!$B$24:$U$30,MATCH("对"&amp;LEFT($C$5,2)&amp;"输出",标准坦克设计!$B$23:$U$23,0)))*(VLOOKUP($B133,INDIRECT($B$5&amp;"生成成长"),3))*(VLOOKUP($B$5,标准坦克设计!$B$14:$K$20,9)/30))</f>
        <v>14.796236190536646</v>
      </c>
      <c r="EC133" s="173">
        <f ca="1">(VLOOKUP(EC$72,INDIRECT($C$5&amp;"生成成长"),2))/((VLOOKUP($B133,INDIRECT($B$5&amp;"生成成长"),4))/(VLOOKUP(EC$72,INDIRECT($C$5&amp;"生成成长"),5))*(VLOOKUP($B$5,标准坦克设计!$B$24:$U$30,MATCH("对"&amp;LEFT($C$5,2)&amp;"输出",标准坦克设计!$B$23:$U$23,0)))*(VLOOKUP($B133,INDIRECT($B$5&amp;"生成成长"),3))*(VLOOKUP($B$5,标准坦克设计!$B$14:$K$20,9)/30))</f>
        <v>16.165556793743495</v>
      </c>
      <c r="ED133" s="173">
        <f ca="1">(VLOOKUP(ED$72,INDIRECT($C$5&amp;"生成成长"),2))/((VLOOKUP($B133,INDIRECT($B$5&amp;"生成成长"),4))/(VLOOKUP(ED$72,INDIRECT($C$5&amp;"生成成长"),5))*(VLOOKUP($B$5,标准坦克设计!$B$24:$U$30,MATCH("对"&amp;LEFT($C$5,2)&amp;"输出",标准坦克设计!$B$23:$U$23,0)))*(VLOOKUP($B133,INDIRECT($B$5&amp;"生成成长"),3))*(VLOOKUP($B$5,标准坦克设计!$B$14:$K$20,9)/30))</f>
        <v>17.595466804171885</v>
      </c>
      <c r="EE133" s="173">
        <f ca="1">(VLOOKUP(EE$72,INDIRECT($C$5&amp;"生成成长"),2))/((VLOOKUP($B133,INDIRECT($B$5&amp;"生成成长"),4))/(VLOOKUP(EE$72,INDIRECT($C$5&amp;"生成成长"),5))*(VLOOKUP($B$5,标准坦克设计!$B$24:$U$30,MATCH("对"&amp;LEFT($C$5,2)&amp;"输出",标准坦克设计!$B$23:$U$23,0)))*(VLOOKUP($B133,INDIRECT($B$5&amp;"生成成长"),3))*(VLOOKUP($B$5,标准坦克设计!$B$14:$K$20,9)/30))</f>
        <v>19.085966221821813</v>
      </c>
      <c r="EF133" s="173">
        <f ca="1">(VLOOKUP(EF$72,INDIRECT($C$5&amp;"生成成长"),2))/((VLOOKUP($B133,INDIRECT($B$5&amp;"生成成长"),4))/(VLOOKUP(EF$72,INDIRECT($C$5&amp;"生成成长"),5))*(VLOOKUP($B$5,标准坦克设计!$B$24:$U$30,MATCH("对"&amp;LEFT($C$5,2)&amp;"输出",标准坦克设计!$B$23:$U$23,0)))*(VLOOKUP($B133,INDIRECT($B$5&amp;"生成成长"),3))*(VLOOKUP($B$5,标准坦克设计!$B$14:$K$20,9)/30))</f>
        <v>20.637055046693288</v>
      </c>
      <c r="EG133" s="173">
        <f ca="1">(VLOOKUP(EG$72,INDIRECT($C$5&amp;"生成成长"),2))/((VLOOKUP($B133,INDIRECT($B$5&amp;"生成成长"),4))/(VLOOKUP(EG$72,INDIRECT($C$5&amp;"生成成长"),5))*(VLOOKUP($B$5,标准坦克设计!$B$24:$U$30,MATCH("对"&amp;LEFT($C$5,2)&amp;"输出",标准坦克设计!$B$23:$U$23,0)))*(VLOOKUP($B133,INDIRECT($B$5&amp;"生成成长"),3))*(VLOOKUP($B$5,标准坦克设计!$B$14:$K$20,9)/30))</f>
        <v>22.248733278786304</v>
      </c>
      <c r="EH133" s="173">
        <f ca="1">(VLOOKUP(EH$72,INDIRECT($C$5&amp;"生成成长"),2))/((VLOOKUP($B133,INDIRECT($B$5&amp;"生成成长"),4))/(VLOOKUP(EH$72,INDIRECT($C$5&amp;"生成成长"),5))*(VLOOKUP($B$5,标准坦克设计!$B$24:$U$30,MATCH("对"&amp;LEFT($C$5,2)&amp;"输出",标准坦克设计!$B$23:$U$23,0)))*(VLOOKUP($B133,INDIRECT($B$5&amp;"生成成长"),3))*(VLOOKUP($B$5,标准坦克设计!$B$14:$K$20,9)/30))</f>
        <v>23.921000918100862</v>
      </c>
      <c r="EI133" s="173">
        <f ca="1">(VLOOKUP(EI$72,INDIRECT($C$5&amp;"生成成长"),2))/((VLOOKUP($B133,INDIRECT($B$5&amp;"生成成长"),4))/(VLOOKUP(EI$72,INDIRECT($C$5&amp;"生成成长"),5))*(VLOOKUP($B$5,标准坦克设计!$B$24:$U$30,MATCH("对"&amp;LEFT($C$5,2)&amp;"输出",标准坦克设计!$B$23:$U$23,0)))*(VLOOKUP($B133,INDIRECT($B$5&amp;"生成成长"),3))*(VLOOKUP($B$5,标准坦克设计!$B$14:$K$20,9)/30))</f>
        <v>25.653857964636959</v>
      </c>
      <c r="EJ133" s="173">
        <f ca="1">(VLOOKUP(EJ$72,INDIRECT($C$5&amp;"生成成长"),2))/((VLOOKUP($B133,INDIRECT($B$5&amp;"生成成长"),4))/(VLOOKUP(EJ$72,INDIRECT($C$5&amp;"生成成长"),5))*(VLOOKUP($B$5,标准坦克设计!$B$24:$U$30,MATCH("对"&amp;LEFT($C$5,2)&amp;"输出",标准坦克设计!$B$23:$U$23,0)))*(VLOOKUP($B133,INDIRECT($B$5&amp;"生成成长"),3))*(VLOOKUP($B$5,标准坦克设计!$B$14:$K$20,9)/30))</f>
        <v>27.447304418394602</v>
      </c>
      <c r="EK133" s="173">
        <f ca="1">(VLOOKUP(EK$72,INDIRECT($C$5&amp;"生成成长"),2))/((VLOOKUP($B133,INDIRECT($B$5&amp;"生成成长"),4))/(VLOOKUP(EK$72,INDIRECT($C$5&amp;"生成成长"),5))*(VLOOKUP($B$5,标准坦克设计!$B$24:$U$30,MATCH("对"&amp;LEFT($C$5,2)&amp;"输出",标准坦克设计!$B$23:$U$23,0)))*(VLOOKUP($B133,INDIRECT($B$5&amp;"生成成长"),3))*(VLOOKUP($B$5,标准坦克设计!$B$14:$K$20,9)/30))</f>
        <v>29.679418180436205</v>
      </c>
      <c r="EL133" s="173">
        <f ca="1">(VLOOKUP(EL$72,INDIRECT($C$5&amp;"生成成长"),2))/((VLOOKUP($B133,INDIRECT($B$5&amp;"生成成长"),4))/(VLOOKUP(EL$72,INDIRECT($C$5&amp;"生成成长"),5))*(VLOOKUP($B$5,标准坦克设计!$B$24:$U$30,MATCH("对"&amp;LEFT($C$5,2)&amp;"输出",标准坦克设计!$B$23:$U$23,0)))*(VLOOKUP($B133,INDIRECT($B$5&amp;"生成成长"),3))*(VLOOKUP($B$5,标准坦克设计!$B$14:$K$20,9)/30))</f>
        <v>31.998780688876835</v>
      </c>
      <c r="EM133" s="173">
        <f ca="1">(VLOOKUP(EM$72,INDIRECT($C$5&amp;"生成成长"),2))/((VLOOKUP($B133,INDIRECT($B$5&amp;"生成成长"),4))/(VLOOKUP(EM$72,INDIRECT($C$5&amp;"生成成长"),5))*(VLOOKUP($B$5,标准坦克设计!$B$24:$U$30,MATCH("对"&amp;LEFT($C$5,2)&amp;"输出",标准坦克设计!$B$23:$U$23,0)))*(VLOOKUP($B133,INDIRECT($B$5&amp;"生成成长"),3))*(VLOOKUP($B$5,标准坦克设计!$B$14:$K$20,9)/30))</f>
        <v>34.405391943716481</v>
      </c>
      <c r="EN133" s="173">
        <f ca="1">(VLOOKUP(EN$72,INDIRECT($C$5&amp;"生成成长"),2))/((VLOOKUP($B133,INDIRECT($B$5&amp;"生成成长"),4))/(VLOOKUP(EN$72,INDIRECT($C$5&amp;"生成成长"),5))*(VLOOKUP($B$5,标准坦克设计!$B$24:$U$30,MATCH("对"&amp;LEFT($C$5,2)&amp;"输出",标准坦克设计!$B$23:$U$23,0)))*(VLOOKUP($B133,INDIRECT($B$5&amp;"生成成长"),3))*(VLOOKUP($B$5,标准坦克设计!$B$14:$K$20,9)/30))</f>
        <v>36.899251944955139</v>
      </c>
      <c r="EO133" s="173">
        <f ca="1">(VLOOKUP(EO$72,INDIRECT($C$5&amp;"生成成长"),2))/((VLOOKUP($B133,INDIRECT($B$5&amp;"生成成长"),4))/(VLOOKUP(EO$72,INDIRECT($C$5&amp;"生成成长"),5))*(VLOOKUP($B$5,标准坦克设计!$B$24:$U$30,MATCH("对"&amp;LEFT($C$5,2)&amp;"输出",标准坦克设计!$B$23:$U$23,0)))*(VLOOKUP($B133,INDIRECT($B$5&amp;"生成成长"),3))*(VLOOKUP($B$5,标准坦克设计!$B$14:$K$20,9)/30))</f>
        <v>39.480360692592825</v>
      </c>
      <c r="EP133" s="173">
        <f ca="1">(VLOOKUP(EP$72,INDIRECT($C$5&amp;"生成成长"),2))/((VLOOKUP($B133,INDIRECT($B$5&amp;"生成成长"),4))/(VLOOKUP(EP$72,INDIRECT($C$5&amp;"生成成长"),5))*(VLOOKUP($B$5,标准坦克设计!$B$24:$U$30,MATCH("对"&amp;LEFT($C$5,2)&amp;"输出",标准坦克设计!$B$23:$U$23,0)))*(VLOOKUP($B133,INDIRECT($B$5&amp;"生成成长"),3))*(VLOOKUP($B$5,标准坦克设计!$B$14:$K$20,9)/30))</f>
        <v>42.148718186629544</v>
      </c>
      <c r="EQ133" s="173">
        <f ca="1">(VLOOKUP(EQ$72,INDIRECT($C$5&amp;"生成成长"),2))/((VLOOKUP($B133,INDIRECT($B$5&amp;"生成成长"),4))/(VLOOKUP(EQ$72,INDIRECT($C$5&amp;"生成成长"),5))*(VLOOKUP($B$5,标准坦克设计!$B$24:$U$30,MATCH("对"&amp;LEFT($C$5,2)&amp;"输出",标准坦克设计!$B$23:$U$23,0)))*(VLOOKUP($B133,INDIRECT($B$5&amp;"生成成长"),3))*(VLOOKUP($B$5,标准坦克设计!$B$14:$K$20,9)/30))</f>
        <v>18.632454508768575</v>
      </c>
      <c r="ER133" s="173">
        <f ca="1">(VLOOKUP(ER$72,INDIRECT($C$5&amp;"生成成长"),2))/((VLOOKUP($B133,INDIRECT($B$5&amp;"生成成长"),4))/(VLOOKUP(ER$72,INDIRECT($C$5&amp;"生成成长"),5))*(VLOOKUP($B$5,标准坦克设计!$B$24:$U$30,MATCH("对"&amp;LEFT($C$5,2)&amp;"输出",标准坦克设计!$B$23:$U$23,0)))*(VLOOKUP($B133,INDIRECT($B$5&amp;"生成成长"),3))*(VLOOKUP($B$5,标准坦克设计!$B$14:$K$20,9)/30))</f>
        <v>20.32199012914127</v>
      </c>
      <c r="ES133" s="173">
        <f ca="1">(VLOOKUP(ES$72,INDIRECT($C$5&amp;"生成成长"),2))/((VLOOKUP($B133,INDIRECT($B$5&amp;"生成成长"),4))/(VLOOKUP(ES$72,INDIRECT($C$5&amp;"生成成长"),5))*(VLOOKUP($B$5,标准坦克设计!$B$24:$U$30,MATCH("对"&amp;LEFT($C$5,2)&amp;"输出",标准坦克设计!$B$23:$U$23,0)))*(VLOOKUP($B133,INDIRECT($B$5&amp;"生成成长"),3))*(VLOOKUP($B$5,标准坦克设计!$B$14:$K$20,9)/30))</f>
        <v>22.084838932252033</v>
      </c>
      <c r="ET133" s="173">
        <f ca="1">(VLOOKUP(ET$72,INDIRECT($C$5&amp;"生成成长"),2))/((VLOOKUP($B133,INDIRECT($B$5&amp;"生成成长"),4))/(VLOOKUP(ET$72,INDIRECT($C$5&amp;"生成成长"),5))*(VLOOKUP($B$5,标准坦克设计!$B$24:$U$30,MATCH("对"&amp;LEFT($C$5,2)&amp;"输出",标准坦克设计!$B$23:$U$23,0)))*(VLOOKUP($B133,INDIRECT($B$5&amp;"生成成长"),3))*(VLOOKUP($B$5,标准坦克设计!$B$14:$K$20,9)/30))</f>
        <v>23.921000918100862</v>
      </c>
      <c r="EU133" s="173">
        <f ca="1">(VLOOKUP(EU$72,INDIRECT($C$5&amp;"生成成长"),2))/((VLOOKUP($B133,INDIRECT($B$5&amp;"生成成长"),4))/(VLOOKUP(EU$72,INDIRECT($C$5&amp;"生成成长"),5))*(VLOOKUP($B$5,标准坦克设计!$B$24:$U$30,MATCH("对"&amp;LEFT($C$5,2)&amp;"输出",标准坦克设计!$B$23:$U$23,0)))*(VLOOKUP($B133,INDIRECT($B$5&amp;"生成成长"),3))*(VLOOKUP($B$5,标准坦克设计!$B$14:$K$20,9)/30))</f>
        <v>25.830476086687753</v>
      </c>
      <c r="EV133" s="173">
        <f ca="1">(VLOOKUP(EV$72,INDIRECT($C$5&amp;"生成成长"),2))/((VLOOKUP($B133,INDIRECT($B$5&amp;"生成成长"),4))/(VLOOKUP(EV$72,INDIRECT($C$5&amp;"生成成长"),5))*(VLOOKUP($B$5,标准坦克设计!$B$24:$U$30,MATCH("对"&amp;LEFT($C$5,2)&amp;"输出",标准坦克设计!$B$23:$U$23,0)))*(VLOOKUP($B133,INDIRECT($B$5&amp;"生成成长"),3))*(VLOOKUP($B$5,标准坦克设计!$B$14:$K$20,9)/30))</f>
        <v>27.813264438012716</v>
      </c>
      <c r="EW133" s="173">
        <f ca="1">(VLOOKUP(EW$72,INDIRECT($C$5&amp;"生成成长"),2))/((VLOOKUP($B133,INDIRECT($B$5&amp;"生成成长"),4))/(VLOOKUP(EW$72,INDIRECT($C$5&amp;"生成成长"),5))*(VLOOKUP($B$5,标准坦克设计!$B$24:$U$30,MATCH("对"&amp;LEFT($C$5,2)&amp;"输出",标准坦克设计!$B$23:$U$23,0)))*(VLOOKUP($B133,INDIRECT($B$5&amp;"生成成长"),3))*(VLOOKUP($B$5,标准坦克设计!$B$14:$K$20,9)/30))</f>
        <v>29.869365972075737</v>
      </c>
      <c r="EX133" s="173">
        <f ca="1">(VLOOKUP(EX$72,INDIRECT($C$5&amp;"生成成长"),2))/((VLOOKUP($B133,INDIRECT($B$5&amp;"生成成长"),4))/(VLOOKUP(EX$72,INDIRECT($C$5&amp;"生成成长"),5))*(VLOOKUP($B$5,标准坦克设计!$B$24:$U$30,MATCH("对"&amp;LEFT($C$5,2)&amp;"输出",标准坦克设计!$B$23:$U$23,0)))*(VLOOKUP($B133,INDIRECT($B$5&amp;"生成成长"),3))*(VLOOKUP($B$5,标准坦克设计!$B$14:$K$20,9)/30))</f>
        <v>31.998780688876835</v>
      </c>
      <c r="EY133" s="173">
        <f ca="1">(VLOOKUP(EY$72,INDIRECT($C$5&amp;"生成成长"),2))/((VLOOKUP($B133,INDIRECT($B$5&amp;"生成成长"),4))/(VLOOKUP(EY$72,INDIRECT($C$5&amp;"生成成长"),5))*(VLOOKUP($B$5,标准坦克设计!$B$24:$U$30,MATCH("对"&amp;LEFT($C$5,2)&amp;"输出",标准坦克设计!$B$23:$U$23,0)))*(VLOOKUP($B133,INDIRECT($B$5&amp;"生成成长"),3))*(VLOOKUP($B$5,标准坦克设计!$B$14:$K$20,9)/30))</f>
        <v>34.20150858841599</v>
      </c>
      <c r="EZ133" s="173">
        <f ca="1">(VLOOKUP(EZ$72,INDIRECT($C$5&amp;"生成成长"),2))/((VLOOKUP($B133,INDIRECT($B$5&amp;"生成成长"),4))/(VLOOKUP(EZ$72,INDIRECT($C$5&amp;"生成成长"),5))*(VLOOKUP($B$5,标准坦克设计!$B$24:$U$30,MATCH("对"&amp;LEFT($C$5,2)&amp;"输出",标准坦克设计!$B$23:$U$23,0)))*(VLOOKUP($B133,INDIRECT($B$5&amp;"生成成长"),3))*(VLOOKUP($B$5,标准坦克设计!$B$14:$K$20,9)/30))</f>
        <v>36.477549670693215</v>
      </c>
      <c r="FA133" s="173">
        <f ca="1">(VLOOKUP(FA$72,INDIRECT($C$5&amp;"生成成长"),2))/((VLOOKUP($B133,INDIRECT($B$5&amp;"生成成长"),4))/(VLOOKUP(FA$72,INDIRECT($C$5&amp;"生成成长"),5))*(VLOOKUP($B$5,标准坦克设计!$B$24:$U$30,MATCH("对"&amp;LEFT($C$5,2)&amp;"输出",标准坦克设计!$B$23:$U$23,0)))*(VLOOKUP($B133,INDIRECT($B$5&amp;"生成成长"),3))*(VLOOKUP($B$5,标准坦克设计!$B$14:$K$20,9)/30))</f>
        <v>38.826903935708494</v>
      </c>
      <c r="FB133" s="173">
        <f ca="1">(VLOOKUP(FB$72,INDIRECT($C$5&amp;"生成成长"),2))/((VLOOKUP($B133,INDIRECT($B$5&amp;"生成成长"),4))/(VLOOKUP(FB$72,INDIRECT($C$5&amp;"生成成长"),5))*(VLOOKUP($B$5,标准坦克设计!$B$24:$U$30,MATCH("对"&amp;LEFT($C$5,2)&amp;"输出",标准坦克设计!$B$23:$U$23,0)))*(VLOOKUP($B133,INDIRECT($B$5&amp;"生成成长"),3))*(VLOOKUP($B$5,标准坦克设计!$B$14:$K$20,9)/30))</f>
        <v>41.249571383461856</v>
      </c>
      <c r="FC133" s="173">
        <f ca="1">(VLOOKUP(FC$72,INDIRECT($C$5&amp;"生成成长"),2))/((VLOOKUP($B133,INDIRECT($B$5&amp;"生成成长"),4))/(VLOOKUP(FC$72,INDIRECT($C$5&amp;"生成成长"),5))*(VLOOKUP($B$5,标准坦克设计!$B$24:$U$30,MATCH("对"&amp;LEFT($C$5,2)&amp;"输出",标准坦克设计!$B$23:$U$23,0)))*(VLOOKUP($B133,INDIRECT($B$5&amp;"生成成长"),3))*(VLOOKUP($B$5,标准坦克设计!$B$14:$K$20,9)/30))</f>
        <v>43.745552013953279</v>
      </c>
      <c r="FD133" s="173">
        <f ca="1">(VLOOKUP(FD$72,INDIRECT($C$5&amp;"生成成长"),2))/((VLOOKUP($B133,INDIRECT($B$5&amp;"生成成长"),4))/(VLOOKUP(FD$72,INDIRECT($C$5&amp;"生成成长"),5))*(VLOOKUP($B$5,标准坦克设计!$B$24:$U$30,MATCH("对"&amp;LEFT($C$5,2)&amp;"输出",标准坦克设计!$B$23:$U$23,0)))*(VLOOKUP($B133,INDIRECT($B$5&amp;"生成成长"),3))*(VLOOKUP($B$5,标准坦克设计!$B$14:$K$20,9)/30))</f>
        <v>46.314845827182758</v>
      </c>
      <c r="FE133" s="173">
        <f ca="1">(VLOOKUP(FE$72,INDIRECT($C$5&amp;"生成成长"),2))/((VLOOKUP($B133,INDIRECT($B$5&amp;"生成成长"),4))/(VLOOKUP(FE$72,INDIRECT($C$5&amp;"生成成长"),5))*(VLOOKUP($B$5,标准坦克设计!$B$24:$U$30,MATCH("对"&amp;LEFT($C$5,2)&amp;"输出",标准坦克设计!$B$23:$U$23,0)))*(VLOOKUP($B133,INDIRECT($B$5&amp;"生成成长"),3))*(VLOOKUP($B$5,标准坦克设计!$B$14:$K$20,9)/30))</f>
        <v>49.445803445355942</v>
      </c>
      <c r="FF133" s="173">
        <f ca="1">(VLOOKUP(FF$72,INDIRECT($C$5&amp;"生成成长"),2))/((VLOOKUP($B133,INDIRECT($B$5&amp;"生成成长"),4))/(VLOOKUP(FF$72,INDIRECT($C$5&amp;"生成成长"),5))*(VLOOKUP($B$5,标准坦克设计!$B$24:$U$30,MATCH("对"&amp;LEFT($C$5,2)&amp;"输出",标准坦克设计!$B$23:$U$23,0)))*(VLOOKUP($B133,INDIRECT($B$5&amp;"生成成长"),3))*(VLOOKUP($B$5,标准坦克设计!$B$14:$K$20,9)/30))</f>
        <v>52.679157161733521</v>
      </c>
      <c r="FG133" s="173">
        <f ca="1">(VLOOKUP(FG$72,INDIRECT($C$5&amp;"生成成长"),2))/((VLOOKUP($B133,INDIRECT($B$5&amp;"生成成长"),4))/(VLOOKUP(FG$72,INDIRECT($C$5&amp;"生成成长"),5))*(VLOOKUP($B$5,标准坦克设计!$B$24:$U$30,MATCH("对"&amp;LEFT($C$5,2)&amp;"输出",标准坦克设计!$B$23:$U$23,0)))*(VLOOKUP($B133,INDIRECT($B$5&amp;"生成成长"),3))*(VLOOKUP($B$5,标准坦克设计!$B$14:$K$20,9)/30))</f>
        <v>56.014906976315523</v>
      </c>
      <c r="FH133" s="173">
        <f ca="1">(VLOOKUP(FH$72,INDIRECT($C$5&amp;"生成成长"),2))/((VLOOKUP($B133,INDIRECT($B$5&amp;"生成成长"),4))/(VLOOKUP(FH$72,INDIRECT($C$5&amp;"生成成长"),5))*(VLOOKUP($B$5,标准坦克设计!$B$24:$U$30,MATCH("对"&amp;LEFT($C$5,2)&amp;"输出",标准坦克设计!$B$23:$U$23,0)))*(VLOOKUP($B133,INDIRECT($B$5&amp;"生成成长"),3))*(VLOOKUP($B$5,标准坦克设计!$B$14:$K$20,9)/30))</f>
        <v>59.453052889101912</v>
      </c>
      <c r="FI133" s="173">
        <f ca="1">(VLOOKUP(FI$72,INDIRECT($C$5&amp;"生成成长"),2))/((VLOOKUP($B133,INDIRECT($B$5&amp;"生成成长"),4))/(VLOOKUP(FI$72,INDIRECT($C$5&amp;"生成成长"),5))*(VLOOKUP($B$5,标准坦克设计!$B$24:$U$30,MATCH("对"&amp;LEFT($C$5,2)&amp;"输出",标准坦克设计!$B$23:$U$23,0)))*(VLOOKUP($B133,INDIRECT($B$5&amp;"生成成长"),3))*(VLOOKUP($B$5,标准坦克设计!$B$14:$K$20,9)/30))</f>
        <v>62.993594900092702</v>
      </c>
      <c r="FJ133" s="173">
        <f ca="1">(VLOOKUP(FJ$72,INDIRECT($C$5&amp;"生成成长"),2))/((VLOOKUP($B133,INDIRECT($B$5&amp;"生成成长"),4))/(VLOOKUP(FJ$72,INDIRECT($C$5&amp;"生成成长"),5))*(VLOOKUP($B$5,标准坦克设计!$B$24:$U$30,MATCH("对"&amp;LEFT($C$5,2)&amp;"输出",标准坦克设计!$B$23:$U$23,0)))*(VLOOKUP($B133,INDIRECT($B$5&amp;"生成成长"),3))*(VLOOKUP($B$5,标准坦克设计!$B$14:$K$20,9)/30))</f>
        <v>66.63653300928793</v>
      </c>
      <c r="FK133" s="173">
        <f ca="1">(VLOOKUP(FK$72,INDIRECT($C$5&amp;"生成成长"),2))/((VLOOKUP($B133,INDIRECT($B$5&amp;"生成成长"),4))/(VLOOKUP(FK$72,INDIRECT($C$5&amp;"生成成长"),5))*(VLOOKUP($B$5,标准坦克设计!$B$24:$U$30,MATCH("对"&amp;LEFT($C$5,2)&amp;"输出",标准坦克设计!$B$23:$U$23,0)))*(VLOOKUP($B133,INDIRECT($B$5&amp;"生成成长"),3))*(VLOOKUP($B$5,标准坦克设计!$B$14:$K$20,9)/30))</f>
        <v>70.381867216687539</v>
      </c>
    </row>
    <row r="134" spans="1:167" x14ac:dyDescent="0.15">
      <c r="A134" s="171" t="str">
        <f t="shared" si="11"/>
        <v>T3中品质5级</v>
      </c>
      <c r="B134" s="172">
        <v>20305</v>
      </c>
      <c r="C134" s="173">
        <f ca="1">(VLOOKUP(C$72,INDIRECT($C$5&amp;"生成成长"),2))/((VLOOKUP($B134,INDIRECT($B$5&amp;"生成成长"),4))/(VLOOKUP(C$72,INDIRECT($C$5&amp;"生成成长"),5))*(VLOOKUP($B$5,标准坦克设计!$B$24:$U$30,MATCH("对"&amp;LEFT($C$5,2)&amp;"输出",标准坦克设计!$B$23:$U$23,0)))*(VLOOKUP($B134,INDIRECT($B$5&amp;"生成成长"),3))*(VLOOKUP($B$5,标准坦克设计!$B$14:$K$20,9)/30))</f>
        <v>2.7406432512449639</v>
      </c>
      <c r="D134" s="173">
        <f ca="1">(VLOOKUP(D$72,INDIRECT($C$5&amp;"生成成长"),2))/((VLOOKUP($B134,INDIRECT($B$5&amp;"生成成长"),4))/(VLOOKUP(D$72,INDIRECT($C$5&amp;"生成成长"),5))*(VLOOKUP($B$5,标准坦克设计!$B$24:$U$30,MATCH("对"&amp;LEFT($C$5,2)&amp;"输出",标准坦克设计!$B$23:$U$23,0)))*(VLOOKUP($B134,INDIRECT($B$5&amp;"生成成长"),3))*(VLOOKUP($B$5,标准坦克设计!$B$14:$K$20,9)/30))</f>
        <v>3.0793867570988414</v>
      </c>
      <c r="E134" s="173">
        <f ca="1">(VLOOKUP(E$72,INDIRECT($C$5&amp;"生成成长"),2))/((VLOOKUP($B134,INDIRECT($B$5&amp;"生成成长"),4))/(VLOOKUP(E$72,INDIRECT($C$5&amp;"生成成长"),5))*(VLOOKUP($B$5,标准坦克设计!$B$24:$U$30,MATCH("对"&amp;LEFT($C$5,2)&amp;"输出",标准坦克设计!$B$23:$U$23,0)))*(VLOOKUP($B134,INDIRECT($B$5&amp;"生成成长"),3))*(VLOOKUP($B$5,标准坦克设计!$B$14:$K$20,9)/30))</f>
        <v>3.4378628943616834</v>
      </c>
      <c r="F134" s="173">
        <f ca="1">(VLOOKUP(F$72,INDIRECT($C$5&amp;"生成成长"),2))/((VLOOKUP($B134,INDIRECT($B$5&amp;"生成成长"),4))/(VLOOKUP(F$72,INDIRECT($C$5&amp;"生成成长"),5))*(VLOOKUP($B$5,标准坦克设计!$B$24:$U$30,MATCH("对"&amp;LEFT($C$5,2)&amp;"输出",标准坦克设计!$B$23:$U$23,0)))*(VLOOKUP($B134,INDIRECT($B$5&amp;"生成成长"),3))*(VLOOKUP($B$5,标准坦克设计!$B$14:$K$20,9)/30))</f>
        <v>3.8160716630334881</v>
      </c>
      <c r="G134" s="173">
        <f ca="1">(VLOOKUP(G$72,INDIRECT($C$5&amp;"生成成长"),2))/((VLOOKUP($B134,INDIRECT($B$5&amp;"生成成长"),4))/(VLOOKUP(G$72,INDIRECT($C$5&amp;"生成成长"),5))*(VLOOKUP($B$5,标准坦克设计!$B$24:$U$30,MATCH("对"&amp;LEFT($C$5,2)&amp;"输出",标准坦克设计!$B$23:$U$23,0)))*(VLOOKUP($B134,INDIRECT($B$5&amp;"生成成长"),3))*(VLOOKUP($B$5,标准坦克设计!$B$14:$K$20,9)/30))</f>
        <v>4.2140130631142565</v>
      </c>
      <c r="H134" s="173">
        <f ca="1">(VLOOKUP(H$72,INDIRECT($C$5&amp;"生成成长"),2))/((VLOOKUP($B134,INDIRECT($B$5&amp;"生成成长"),4))/(VLOOKUP(H$72,INDIRECT($C$5&amp;"生成成长"),5))*(VLOOKUP($B$5,标准坦克设计!$B$24:$U$30,MATCH("对"&amp;LEFT($C$5,2)&amp;"输出",标准坦克设计!$B$23:$U$23,0)))*(VLOOKUP($B134,INDIRECT($B$5&amp;"生成成长"),3))*(VLOOKUP($B$5,标准坦克设计!$B$14:$K$20,9)/30))</f>
        <v>3.6878095588752235</v>
      </c>
      <c r="I134" s="173">
        <f ca="1">(VLOOKUP(I$72,INDIRECT($C$5&amp;"生成成长"),2))/((VLOOKUP($B134,INDIRECT($B$5&amp;"生成成长"),4))/(VLOOKUP(I$72,INDIRECT($C$5&amp;"生成成长"),5))*(VLOOKUP($B$5,标准坦克设计!$B$24:$U$30,MATCH("对"&amp;LEFT($C$5,2)&amp;"输出",标准坦克设计!$B$23:$U$23,0)))*(VLOOKUP($B134,INDIRECT($B$5&amp;"生成成长"),3))*(VLOOKUP($B$5,标准坦克设计!$B$14:$K$20,9)/30))</f>
        <v>4.2140130631142565</v>
      </c>
      <c r="J134" s="173">
        <f ca="1">(VLOOKUP(J$72,INDIRECT($C$5&amp;"生成成长"),2))/((VLOOKUP($B134,INDIRECT($B$5&amp;"生成成长"),4))/(VLOOKUP(J$72,INDIRECT($C$5&amp;"生成成长"),5))*(VLOOKUP($B$5,标准坦克设计!$B$24:$U$30,MATCH("对"&amp;LEFT($C$5,2)&amp;"输出",标准坦克设计!$B$23:$U$23,0)))*(VLOOKUP($B134,INDIRECT($B$5&amp;"生成成长"),3))*(VLOOKUP($B$5,标准坦克设计!$B$14:$K$20,9)/30))</f>
        <v>4.7752968009692252</v>
      </c>
      <c r="K134" s="173">
        <f ca="1">(VLOOKUP(K$72,INDIRECT($C$5&amp;"生成成长"),2))/((VLOOKUP($B134,INDIRECT($B$5&amp;"生成成长"),4))/(VLOOKUP(K$72,INDIRECT($C$5&amp;"生成成长"),5))*(VLOOKUP($B$5,标准坦克设计!$B$24:$U$30,MATCH("对"&amp;LEFT($C$5,2)&amp;"输出",标准坦克设计!$B$23:$U$23,0)))*(VLOOKUP($B134,INDIRECT($B$5&amp;"生成成长"),3))*(VLOOKUP($B$5,标准坦克设计!$B$14:$K$20,9)/30))</f>
        <v>5.3716607724401291</v>
      </c>
      <c r="L134" s="173">
        <f ca="1">(VLOOKUP(L$72,INDIRECT($C$5&amp;"生成成长"),2))/((VLOOKUP($B134,INDIRECT($B$5&amp;"生成成长"),4))/(VLOOKUP(L$72,INDIRECT($C$5&amp;"生成成长"),5))*(VLOOKUP($B$5,标准坦克设计!$B$24:$U$30,MATCH("对"&amp;LEFT($C$5,2)&amp;"输出",标准坦克设计!$B$23:$U$23,0)))*(VLOOKUP($B134,INDIRECT($B$5&amp;"生成成长"),3))*(VLOOKUP($B$5,标准坦克设计!$B$14:$K$20,9)/30))</f>
        <v>6.00310497752697</v>
      </c>
      <c r="M134" s="173">
        <f ca="1">(VLOOKUP(M$72,INDIRECT($C$5&amp;"生成成长"),2))/((VLOOKUP($B134,INDIRECT($B$5&amp;"生成成长"),4))/(VLOOKUP(M$72,INDIRECT($C$5&amp;"生成成长"),5))*(VLOOKUP($B$5,标准坦克设计!$B$24:$U$30,MATCH("对"&amp;LEFT($C$5,2)&amp;"输出",标准坦克设计!$B$23:$U$23,0)))*(VLOOKUP($B134,INDIRECT($B$5&amp;"生成成长"),3))*(VLOOKUP($B$5,标准坦克设计!$B$14:$K$20,9)/30))</f>
        <v>6.6696294162297436</v>
      </c>
      <c r="N134" s="173">
        <f ca="1">(VLOOKUP(N$72,INDIRECT($C$5&amp;"生成成长"),2))/((VLOOKUP($B134,INDIRECT($B$5&amp;"生成成长"),4))/(VLOOKUP(N$72,INDIRECT($C$5&amp;"生成成长"),5))*(VLOOKUP($B$5,标准坦克设计!$B$24:$U$30,MATCH("对"&amp;LEFT($C$5,2)&amp;"输出",标准坦克设计!$B$23:$U$23,0)))*(VLOOKUP($B134,INDIRECT($B$5&amp;"生成成长"),3))*(VLOOKUP($B$5,标准坦克设计!$B$14:$K$20,9)/30))</f>
        <v>7.371234088548456</v>
      </c>
      <c r="O134" s="173">
        <f ca="1">(VLOOKUP(O$72,INDIRECT($C$5&amp;"生成成长"),2))/((VLOOKUP($B134,INDIRECT($B$5&amp;"生成成长"),4))/(VLOOKUP(O$72,INDIRECT($C$5&amp;"生成成长"),5))*(VLOOKUP($B$5,标准坦克设计!$B$24:$U$30,MATCH("对"&amp;LEFT($C$5,2)&amp;"输出",标准坦克设计!$B$23:$U$23,0)))*(VLOOKUP($B134,INDIRECT($B$5&amp;"生成成长"),3))*(VLOOKUP($B$5,标准坦克设计!$B$14:$K$20,9)/30))</f>
        <v>5.6043413844708265</v>
      </c>
      <c r="P134" s="173">
        <f ca="1">(VLOOKUP(P$72,INDIRECT($C$5&amp;"生成成长"),2))/((VLOOKUP($B134,INDIRECT($B$5&amp;"生成成长"),4))/(VLOOKUP(P$72,INDIRECT($C$5&amp;"生成成长"),5))*(VLOOKUP($B$5,标准坦克设计!$B$24:$U$30,MATCH("对"&amp;LEFT($C$5,2)&amp;"输出",标准坦克设计!$B$23:$U$23,0)))*(VLOOKUP($B134,INDIRECT($B$5&amp;"生成成长"),3))*(VLOOKUP($B$5,标准坦克设计!$B$14:$K$20,9)/30))</f>
        <v>6.3319821676763652</v>
      </c>
      <c r="Q134" s="173">
        <f ca="1">(VLOOKUP(Q$72,INDIRECT($C$5&amp;"生成成长"),2))/((VLOOKUP($B134,INDIRECT($B$5&amp;"生成成长"),4))/(VLOOKUP(Q$72,INDIRECT($C$5&amp;"生成成长"),5))*(VLOOKUP($B$5,标准坦克设计!$B$24:$U$30,MATCH("对"&amp;LEFT($C$5,2)&amp;"输出",标准坦克设计!$B$23:$U$23,0)))*(VLOOKUP($B134,INDIRECT($B$5&amp;"生成成长"),3))*(VLOOKUP($B$5,标准坦克设计!$B$14:$K$20,9)/30))</f>
        <v>7.1040213715520721</v>
      </c>
      <c r="R134" s="173">
        <f ca="1">(VLOOKUP(R$72,INDIRECT($C$5&amp;"生成成长"),2))/((VLOOKUP($B134,INDIRECT($B$5&amp;"生成成长"),4))/(VLOOKUP(R$72,INDIRECT($C$5&amp;"生成成长"),5))*(VLOOKUP($B$5,标准坦克设计!$B$24:$U$30,MATCH("对"&amp;LEFT($C$5,2)&amp;"输出",标准坦克设计!$B$23:$U$23,0)))*(VLOOKUP($B134,INDIRECT($B$5&amp;"生成成长"),3))*(VLOOKUP($B$5,标准坦克设计!$B$14:$K$20,9)/30))</f>
        <v>7.9204589960979463</v>
      </c>
      <c r="S134" s="173">
        <f ca="1">(VLOOKUP(S$72,INDIRECT($C$5&amp;"生成成长"),2))/((VLOOKUP($B134,INDIRECT($B$5&amp;"生成成长"),4))/(VLOOKUP(S$72,INDIRECT($C$5&amp;"生成成长"),5))*(VLOOKUP($B$5,标准坦克设计!$B$24:$U$30,MATCH("对"&amp;LEFT($C$5,2)&amp;"输出",标准坦克设计!$B$23:$U$23,0)))*(VLOOKUP($B134,INDIRECT($B$5&amp;"生成成长"),3))*(VLOOKUP($B$5,标准坦克设计!$B$14:$K$20,9)/30))</f>
        <v>8.7812950413139905</v>
      </c>
      <c r="T134" s="173">
        <f ca="1">(VLOOKUP(T$72,INDIRECT($C$5&amp;"生成成长"),2))/((VLOOKUP($B134,INDIRECT($B$5&amp;"生成成长"),4))/(VLOOKUP(T$72,INDIRECT($C$5&amp;"生成成长"),5))*(VLOOKUP($B$5,标准坦克设计!$B$24:$U$30,MATCH("对"&amp;LEFT($C$5,2)&amp;"输出",标准坦克设计!$B$23:$U$23,0)))*(VLOOKUP($B134,INDIRECT($B$5&amp;"生成成长"),3))*(VLOOKUP($B$5,标准坦克设计!$B$14:$K$20,9)/30))</f>
        <v>9.6865295072002002</v>
      </c>
      <c r="U134" s="173">
        <f ca="1">(VLOOKUP(U$72,INDIRECT($C$5&amp;"生成成长"),2))/((VLOOKUP($B134,INDIRECT($B$5&amp;"生成成长"),4))/(VLOOKUP(U$72,INDIRECT($C$5&amp;"生成成长"),5))*(VLOOKUP($B$5,标准坦克设计!$B$24:$U$30,MATCH("对"&amp;LEFT($C$5,2)&amp;"输出",标准坦克设计!$B$23:$U$23,0)))*(VLOOKUP($B134,INDIRECT($B$5&amp;"生成成长"),3))*(VLOOKUP($B$5,标准坦克设计!$B$14:$K$20,9)/30))</f>
        <v>10.636162393756582</v>
      </c>
      <c r="V134" s="173">
        <f ca="1">(VLOOKUP(V$72,INDIRECT($C$5&amp;"生成成长"),2))/((VLOOKUP($B134,INDIRECT($B$5&amp;"生成成长"),4))/(VLOOKUP(V$72,INDIRECT($C$5&amp;"生成成长"),5))*(VLOOKUP($B$5,标准坦克设计!$B$24:$U$30,MATCH("对"&amp;LEFT($C$5,2)&amp;"输出",标准坦克设计!$B$23:$U$23,0)))*(VLOOKUP($B134,INDIRECT($B$5&amp;"生成成长"),3))*(VLOOKUP($B$5,标准坦克设计!$B$14:$K$20,9)/30))</f>
        <v>11.63019370098313</v>
      </c>
      <c r="W134" s="173">
        <f ca="1">(VLOOKUP(W$72,INDIRECT($C$5&amp;"生成成长"),2))/((VLOOKUP($B134,INDIRECT($B$5&amp;"生成成长"),4))/(VLOOKUP(W$72,INDIRECT($C$5&amp;"生成成长"),5))*(VLOOKUP($B$5,标准坦克设计!$B$24:$U$30,MATCH("对"&amp;LEFT($C$5,2)&amp;"输出",标准坦克设计!$B$23:$U$23,0)))*(VLOOKUP($B134,INDIRECT($B$5&amp;"生成成长"),3))*(VLOOKUP($B$5,标准坦克设计!$B$14:$K$20,9)/30))</f>
        <v>12.668623428879846</v>
      </c>
      <c r="X134" s="173">
        <f ca="1">(VLOOKUP(X$72,INDIRECT($C$5&amp;"生成成长"),2))/((VLOOKUP($B134,INDIRECT($B$5&amp;"生成成长"),4))/(VLOOKUP(X$72,INDIRECT($C$5&amp;"生成成长"),5))*(VLOOKUP($B$5,标准坦克设计!$B$24:$U$30,MATCH("对"&amp;LEFT($C$5,2)&amp;"输出",标准坦克设计!$B$23:$U$23,0)))*(VLOOKUP($B134,INDIRECT($B$5&amp;"生成成长"),3))*(VLOOKUP($B$5,标准坦克设计!$B$14:$K$20,9)/30))</f>
        <v>9.1781401840942607</v>
      </c>
      <c r="Y134" s="173">
        <f ca="1">(VLOOKUP(Y$72,INDIRECT($C$5&amp;"生成成长"),2))/((VLOOKUP($B134,INDIRECT($B$5&amp;"生成成长"),4))/(VLOOKUP(Y$72,INDIRECT($C$5&amp;"生成成长"),5))*(VLOOKUP($B$5,标准坦克设计!$B$24:$U$30,MATCH("对"&amp;LEFT($C$5,2)&amp;"输出",标准坦克设计!$B$23:$U$23,0)))*(VLOOKUP($B134,INDIRECT($B$5&amp;"生成成长"),3))*(VLOOKUP($B$5,标准坦克设计!$B$14:$K$20,9)/30))</f>
        <v>10.208622046562368</v>
      </c>
      <c r="Z134" s="173">
        <f ca="1">(VLOOKUP(Z$72,INDIRECT($C$5&amp;"生成成长"),2))/((VLOOKUP($B134,INDIRECT($B$5&amp;"生成成长"),4))/(VLOOKUP(Z$72,INDIRECT($C$5&amp;"生成成长"),5))*(VLOOKUP($B$5,标准坦克设计!$B$24:$U$30,MATCH("对"&amp;LEFT($C$5,2)&amp;"输出",标准坦克设计!$B$23:$U$23,0)))*(VLOOKUP($B134,INDIRECT($B$5&amp;"生成成长"),3))*(VLOOKUP($B$5,标准坦克设计!$B$14:$K$20,9)/30))</f>
        <v>11.293916774055374</v>
      </c>
      <c r="AA134" s="173">
        <f ca="1">(VLOOKUP(AA$72,INDIRECT($C$5&amp;"生成成长"),2))/((VLOOKUP($B134,INDIRECT($B$5&amp;"生成成长"),4))/(VLOOKUP(AA$72,INDIRECT($C$5&amp;"生成成长"),5))*(VLOOKUP($B$5,标准坦克设计!$B$24:$U$30,MATCH("对"&amp;LEFT($C$5,2)&amp;"输出",标准坦克设计!$B$23:$U$23,0)))*(VLOOKUP($B134,INDIRECT($B$5&amp;"生成成长"),3))*(VLOOKUP($B$5,标准坦克设计!$B$14:$K$20,9)/30))</f>
        <v>12.434024366573277</v>
      </c>
      <c r="AB134" s="173">
        <f ca="1">(VLOOKUP(AB$72,INDIRECT($C$5&amp;"生成成长"),2))/((VLOOKUP($B134,INDIRECT($B$5&amp;"生成成长"),4))/(VLOOKUP(AB$72,INDIRECT($C$5&amp;"生成成长"),5))*(VLOOKUP($B$5,标准坦克设计!$B$24:$U$30,MATCH("对"&amp;LEFT($C$5,2)&amp;"输出",标准坦克设计!$B$23:$U$23,0)))*(VLOOKUP($B134,INDIRECT($B$5&amp;"生成成长"),3))*(VLOOKUP($B$5,标准坦克设计!$B$14:$K$20,9)/30))</f>
        <v>13.628944824116081</v>
      </c>
      <c r="AC134" s="173">
        <f ca="1">(VLOOKUP(AC$72,INDIRECT($C$5&amp;"生成成长"),2))/((VLOOKUP($B134,INDIRECT($B$5&amp;"生成成长"),4))/(VLOOKUP(AC$72,INDIRECT($C$5&amp;"生成成长"),5))*(VLOOKUP($B$5,标准坦克设计!$B$24:$U$30,MATCH("对"&amp;LEFT($C$5,2)&amp;"输出",标准坦克设计!$B$23:$U$23,0)))*(VLOOKUP($B134,INDIRECT($B$5&amp;"生成成长"),3))*(VLOOKUP($B$5,标准坦克设计!$B$14:$K$20,9)/30))</f>
        <v>14.878678146683786</v>
      </c>
      <c r="AD134" s="173">
        <f ca="1">(VLOOKUP(AD$72,INDIRECT($C$5&amp;"生成成长"),2))/((VLOOKUP($B134,INDIRECT($B$5&amp;"生成成长"),4))/(VLOOKUP(AD$72,INDIRECT($C$5&amp;"生成成长"),5))*(VLOOKUP($B$5,标准坦克设计!$B$24:$U$30,MATCH("对"&amp;LEFT($C$5,2)&amp;"输出",标准坦克设计!$B$23:$U$23,0)))*(VLOOKUP($B134,INDIRECT($B$5&amp;"生成成长"),3))*(VLOOKUP($B$5,标准坦克设计!$B$14:$K$20,9)/30))</f>
        <v>16.183224334276389</v>
      </c>
      <c r="AE134" s="173">
        <f ca="1">(VLOOKUP(AE$72,INDIRECT($C$5&amp;"生成成长"),2))/((VLOOKUP($B134,INDIRECT($B$5&amp;"生成成长"),4))/(VLOOKUP(AE$72,INDIRECT($C$5&amp;"生成成长"),5))*(VLOOKUP($B$5,标准坦克设计!$B$24:$U$30,MATCH("对"&amp;LEFT($C$5,2)&amp;"输出",标准坦克设计!$B$23:$U$23,0)))*(VLOOKUP($B134,INDIRECT($B$5&amp;"生成成长"),3))*(VLOOKUP($B$5,标准坦克设计!$B$14:$K$20,9)/30))</f>
        <v>17.542583386893892</v>
      </c>
      <c r="AF134" s="173">
        <f ca="1">(VLOOKUP(AF$72,INDIRECT($C$5&amp;"生成成长"),2))/((VLOOKUP($B134,INDIRECT($B$5&amp;"生成成长"),4))/(VLOOKUP(AF$72,INDIRECT($C$5&amp;"生成成长"),5))*(VLOOKUP($B$5,标准坦克设计!$B$24:$U$30,MATCH("对"&amp;LEFT($C$5,2)&amp;"输出",标准坦克设计!$B$23:$U$23,0)))*(VLOOKUP($B134,INDIRECT($B$5&amp;"生成成长"),3))*(VLOOKUP($B$5,标准坦克设计!$B$14:$K$20,9)/30))</f>
        <v>18.956755304536294</v>
      </c>
      <c r="AG134" s="173">
        <f ca="1">(VLOOKUP(AG$72,INDIRECT($C$5&amp;"生成成长"),2))/((VLOOKUP($B134,INDIRECT($B$5&amp;"生成成长"),4))/(VLOOKUP(AG$72,INDIRECT($C$5&amp;"生成成长"),5))*(VLOOKUP($B$5,标准坦克设计!$B$24:$U$30,MATCH("对"&amp;LEFT($C$5,2)&amp;"输出",标准坦克设计!$B$23:$U$23,0)))*(VLOOKUP($B134,INDIRECT($B$5&amp;"生成成长"),3))*(VLOOKUP($B$5,标准坦克设计!$B$14:$K$20,9)/30))</f>
        <v>20.425740087203593</v>
      </c>
      <c r="AH134" s="173">
        <f ca="1">(VLOOKUP(AH$72,INDIRECT($C$5&amp;"生成成长"),2))/((VLOOKUP($B134,INDIRECT($B$5&amp;"生成成长"),4))/(VLOOKUP(AH$72,INDIRECT($C$5&amp;"生成成长"),5))*(VLOOKUP($B$5,标准坦克设计!$B$24:$U$30,MATCH("对"&amp;LEFT($C$5,2)&amp;"输出",标准坦克设计!$B$23:$U$23,0)))*(VLOOKUP($B134,INDIRECT($B$5&amp;"生成成长"),3))*(VLOOKUP($B$5,标准坦克设计!$B$14:$K$20,9)/30))</f>
        <v>21.949537734895788</v>
      </c>
      <c r="AI134" s="173">
        <f ca="1">(VLOOKUP(AI$72,INDIRECT($C$5&amp;"生成成长"),2))/((VLOOKUP($B134,INDIRECT($B$5&amp;"生成成长"),4))/(VLOOKUP(AI$72,INDIRECT($C$5&amp;"生成成长"),5))*(VLOOKUP($B$5,标准坦克设计!$B$24:$U$30,MATCH("对"&amp;LEFT($C$5,2)&amp;"输出",标准坦克设计!$B$23:$U$23,0)))*(VLOOKUP($B134,INDIRECT($B$5&amp;"生成成长"),3))*(VLOOKUP($B$5,标准坦克设计!$B$14:$K$20,9)/30))</f>
        <v>15.524099632351977</v>
      </c>
      <c r="AJ134" s="173">
        <f ca="1">(VLOOKUP(AJ$72,INDIRECT($C$5&amp;"生成成长"),2))/((VLOOKUP($B134,INDIRECT($B$5&amp;"生成成长"),4))/(VLOOKUP(AJ$72,INDIRECT($C$5&amp;"生成成长"),5))*(VLOOKUP($B$5,标准坦克设计!$B$24:$U$30,MATCH("对"&amp;LEFT($C$5,2)&amp;"输出",标准坦克设计!$B$23:$U$23,0)))*(VLOOKUP($B134,INDIRECT($B$5&amp;"生成成长"),3))*(VLOOKUP($B$5,标准坦克设计!$B$14:$K$20,9)/30))</f>
        <v>16.992262222043902</v>
      </c>
      <c r="AK134" s="173">
        <f ca="1">(VLOOKUP(AK$72,INDIRECT($C$5&amp;"生成成长"),2))/((VLOOKUP($B134,INDIRECT($B$5&amp;"生成成长"),4))/(VLOOKUP(AK$72,INDIRECT($C$5&amp;"生成成长"),5))*(VLOOKUP($B$5,标准坦克设计!$B$24:$U$30,MATCH("对"&amp;LEFT($C$5,2)&amp;"输出",标准坦克设计!$B$23:$U$23,0)))*(VLOOKUP($B134,INDIRECT($B$5&amp;"生成成长"),3))*(VLOOKUP($B$5,标准坦克设计!$B$14:$K$20,9)/30))</f>
        <v>18.526748378415959</v>
      </c>
      <c r="AL134" s="173">
        <f ca="1">(VLOOKUP(AL$72,INDIRECT($C$5&amp;"生成成长"),2))/((VLOOKUP($B134,INDIRECT($B$5&amp;"生成成长"),4))/(VLOOKUP(AL$72,INDIRECT($C$5&amp;"生成成长"),5))*(VLOOKUP($B$5,标准坦克设计!$B$24:$U$30,MATCH("对"&amp;LEFT($C$5,2)&amp;"输出",标准坦克设计!$B$23:$U$23,0)))*(VLOOKUP($B134,INDIRECT($B$5&amp;"生成成长"),3))*(VLOOKUP($B$5,标准坦克设计!$B$14:$K$20,9)/30))</f>
        <v>20.127558101468139</v>
      </c>
      <c r="AM134" s="173">
        <f ca="1">(VLOOKUP(AM$72,INDIRECT($C$5&amp;"生成成长"),2))/((VLOOKUP($B134,INDIRECT($B$5&amp;"生成成长"),4))/(VLOOKUP(AM$72,INDIRECT($C$5&amp;"生成成长"),5))*(VLOOKUP($B$5,标准坦克设计!$B$24:$U$30,MATCH("对"&amp;LEFT($C$5,2)&amp;"输出",标准坦克设计!$B$23:$U$23,0)))*(VLOOKUP($B134,INDIRECT($B$5&amp;"生成成长"),3))*(VLOOKUP($B$5,标准坦克设计!$B$14:$K$20,9)/30))</f>
        <v>21.794691391200452</v>
      </c>
      <c r="AN134" s="173">
        <f ca="1">(VLOOKUP(AN$72,INDIRECT($C$5&amp;"生成成长"),2))/((VLOOKUP($B134,INDIRECT($B$5&amp;"生成成长"),4))/(VLOOKUP(AN$72,INDIRECT($C$5&amp;"生成成长"),5))*(VLOOKUP($B$5,标准坦克设计!$B$24:$U$30,MATCH("对"&amp;LEFT($C$5,2)&amp;"输出",标准坦克设计!$B$23:$U$23,0)))*(VLOOKUP($B134,INDIRECT($B$5&amp;"生成成长"),3))*(VLOOKUP($B$5,标准坦克设计!$B$14:$K$20,9)/30))</f>
        <v>23.52814824761289</v>
      </c>
      <c r="AO134" s="173">
        <f ca="1">(VLOOKUP(AO$72,INDIRECT($C$5&amp;"生成成长"),2))/((VLOOKUP($B134,INDIRECT($B$5&amp;"生成成长"),4))/(VLOOKUP(AO$72,INDIRECT($C$5&amp;"生成成长"),5))*(VLOOKUP($B$5,标准坦克设计!$B$24:$U$30,MATCH("对"&amp;LEFT($C$5,2)&amp;"输出",标准坦克设计!$B$23:$U$23,0)))*(VLOOKUP($B134,INDIRECT($B$5&amp;"生成成长"),3))*(VLOOKUP($B$5,标准坦克设计!$B$14:$K$20,9)/30))</f>
        <v>25.327928670705461</v>
      </c>
      <c r="AP134" s="173">
        <f ca="1">(VLOOKUP(AP$72,INDIRECT($C$5&amp;"生成成长"),2))/((VLOOKUP($B134,INDIRECT($B$5&amp;"生成成长"),4))/(VLOOKUP(AP$72,INDIRECT($C$5&amp;"生成成长"),5))*(VLOOKUP($B$5,标准坦克设计!$B$24:$U$30,MATCH("对"&amp;LEFT($C$5,2)&amp;"输出",标准坦克设计!$B$23:$U$23,0)))*(VLOOKUP($B134,INDIRECT($B$5&amp;"生成成长"),3))*(VLOOKUP($B$5,标准坦克设计!$B$14:$K$20,9)/30))</f>
        <v>27.194032660478154</v>
      </c>
      <c r="AQ134" s="173">
        <f ca="1">(VLOOKUP(AQ$72,INDIRECT($C$5&amp;"生成成长"),2))/((VLOOKUP($B134,INDIRECT($B$5&amp;"生成成长"),4))/(VLOOKUP(AQ$72,INDIRECT($C$5&amp;"生成成长"),5))*(VLOOKUP($B$5,标准坦克设计!$B$24:$U$30,MATCH("对"&amp;LEFT($C$5,2)&amp;"输出",标准坦克设计!$B$23:$U$23,0)))*(VLOOKUP($B134,INDIRECT($B$5&amp;"生成成长"),3))*(VLOOKUP($B$5,标准坦克设计!$B$14:$K$20,9)/30))</f>
        <v>29.126460216930976</v>
      </c>
      <c r="AR134" s="173">
        <f ca="1">(VLOOKUP(AR$72,INDIRECT($C$5&amp;"生成成长"),2))/((VLOOKUP($B134,INDIRECT($B$5&amp;"生成成长"),4))/(VLOOKUP(AR$72,INDIRECT($C$5&amp;"生成成长"),5))*(VLOOKUP($B$5,标准坦克设计!$B$24:$U$30,MATCH("对"&amp;LEFT($C$5,2)&amp;"输出",标准坦克设计!$B$23:$U$23,0)))*(VLOOKUP($B134,INDIRECT($B$5&amp;"生成成长"),3))*(VLOOKUP($B$5,标准坦克设计!$B$14:$K$20,9)/30))</f>
        <v>31.125211340063931</v>
      </c>
      <c r="AS134" s="173">
        <f ca="1">(VLOOKUP(AS$72,INDIRECT($C$5&amp;"生成成长"),2))/((VLOOKUP($B134,INDIRECT($B$5&amp;"生成成长"),4))/(VLOOKUP(AS$72,INDIRECT($C$5&amp;"生成成长"),5))*(VLOOKUP($B$5,标准坦克设计!$B$24:$U$30,MATCH("对"&amp;LEFT($C$5,2)&amp;"输出",标准坦克设计!$B$23:$U$23,0)))*(VLOOKUP($B134,INDIRECT($B$5&amp;"生成成长"),3))*(VLOOKUP($B$5,标准坦克设计!$B$14:$K$20,9)/30))</f>
        <v>33.190286029877015</v>
      </c>
      <c r="AT134" s="173">
        <f ca="1">(VLOOKUP(AT$72,INDIRECT($C$5&amp;"生成成长"),2))/((VLOOKUP($B134,INDIRECT($B$5&amp;"生成成长"),4))/(VLOOKUP(AT$72,INDIRECT($C$5&amp;"生成成长"),5))*(VLOOKUP($B$5,标准坦克设计!$B$24:$U$30,MATCH("对"&amp;LEFT($C$5,2)&amp;"输出",标准坦克设计!$B$23:$U$23,0)))*(VLOOKUP($B134,INDIRECT($B$5&amp;"生成成长"),3))*(VLOOKUP($B$5,标准坦克设计!$B$14:$K$20,9)/30))</f>
        <v>35.321684286370221</v>
      </c>
      <c r="AU134" s="173">
        <f ca="1">(VLOOKUP(AU$72,INDIRECT($C$5&amp;"生成成长"),2))/((VLOOKUP($B134,INDIRECT($B$5&amp;"生成成长"),4))/(VLOOKUP(AU$72,INDIRECT($C$5&amp;"生成成长"),5))*(VLOOKUP($B$5,标准坦克设计!$B$24:$U$30,MATCH("对"&amp;LEFT($C$5,2)&amp;"输出",标准坦克设计!$B$23:$U$23,0)))*(VLOOKUP($B134,INDIRECT($B$5&amp;"生成成长"),3))*(VLOOKUP($B$5,标准坦克设计!$B$14:$K$20,9)/30))</f>
        <v>37.519406109543553</v>
      </c>
      <c r="AV134" s="173">
        <f ca="1">(VLOOKUP(AV$72,INDIRECT($C$5&amp;"生成成长"),2))/((VLOOKUP($B134,INDIRECT($B$5&amp;"生成成长"),4))/(VLOOKUP(AV$72,INDIRECT($C$5&amp;"生成成长"),5))*(VLOOKUP($B$5,标准坦克设计!$B$24:$U$30,MATCH("对"&amp;LEFT($C$5,2)&amp;"输出",标准坦克设计!$B$23:$U$23,0)))*(VLOOKUP($B134,INDIRECT($B$5&amp;"生成成长"),3))*(VLOOKUP($B$5,标准坦克设计!$B$14:$K$20,9)/30))</f>
        <v>3.8160716630334881</v>
      </c>
      <c r="AW134" s="173">
        <f ca="1">(VLOOKUP(AW$72,INDIRECT($C$5&amp;"生成成长"),2))/((VLOOKUP($B134,INDIRECT($B$5&amp;"生成成长"),4))/(VLOOKUP(AW$72,INDIRECT($C$5&amp;"生成成长"),5))*(VLOOKUP($B$5,标准坦克设计!$B$24:$U$30,MATCH("对"&amp;LEFT($C$5,2)&amp;"输出",标准坦克设计!$B$23:$U$23,0)))*(VLOOKUP($B134,INDIRECT($B$5&amp;"生成成长"),3))*(VLOOKUP($B$5,标准坦克设计!$B$14:$K$20,9)/30))</f>
        <v>4.3510452256765051</v>
      </c>
      <c r="AX134" s="173">
        <f ca="1">(VLOOKUP(AX$72,INDIRECT($C$5&amp;"生成成长"),2))/((VLOOKUP($B134,INDIRECT($B$5&amp;"生成成长"),4))/(VLOOKUP(AX$72,INDIRECT($C$5&amp;"生成成长"),5))*(VLOOKUP($B$5,标准坦克设计!$B$24:$U$30,MATCH("对"&amp;LEFT($C$5,2)&amp;"输出",标准坦克设计!$B$23:$U$23,0)))*(VLOOKUP($B134,INDIRECT($B$5&amp;"生成成长"),3))*(VLOOKUP($B$5,标准坦克设计!$B$14:$K$20,9)/30))</f>
        <v>4.9210990219354578</v>
      </c>
      <c r="AY134" s="173">
        <f ca="1">(VLOOKUP(AY$72,INDIRECT($C$5&amp;"生成成长"),2))/((VLOOKUP($B134,INDIRECT($B$5&amp;"生成成长"),4))/(VLOOKUP(AY$72,INDIRECT($C$5&amp;"生成成长"),5))*(VLOOKUP($B$5,标准坦克设计!$B$24:$U$30,MATCH("对"&amp;LEFT($C$5,2)&amp;"输出",标准坦克设计!$B$23:$U$23,0)))*(VLOOKUP($B134,INDIRECT($B$5&amp;"生成成长"),3))*(VLOOKUP($B$5,标准坦克设计!$B$14:$K$20,9)/30))</f>
        <v>5.5262330518103449</v>
      </c>
      <c r="AZ134" s="173">
        <f ca="1">(VLOOKUP(AZ$72,INDIRECT($C$5&amp;"生成成长"),2))/((VLOOKUP($B134,INDIRECT($B$5&amp;"生成成长"),4))/(VLOOKUP(AZ$72,INDIRECT($C$5&amp;"生成成长"),5))*(VLOOKUP($B$5,标准坦克设计!$B$24:$U$30,MATCH("对"&amp;LEFT($C$5,2)&amp;"输出",标准坦克设计!$B$23:$U$23,0)))*(VLOOKUP($B134,INDIRECT($B$5&amp;"生成成长"),3))*(VLOOKUP($B$5,标准坦克设计!$B$14:$K$20,9)/30))</f>
        <v>6.166447315301169</v>
      </c>
      <c r="BA134" s="173">
        <f ca="1">(VLOOKUP(BA$72,INDIRECT($C$5&amp;"生成成长"),2))/((VLOOKUP($B134,INDIRECT($B$5&amp;"生成成长"),4))/(VLOOKUP(BA$72,INDIRECT($C$5&amp;"生成成长"),5))*(VLOOKUP($B$5,标准坦克设计!$B$24:$U$30,MATCH("对"&amp;LEFT($C$5,2)&amp;"输出",标准坦克设计!$B$23:$U$23,0)))*(VLOOKUP($B134,INDIRECT($B$5&amp;"生成成长"),3))*(VLOOKUP($B$5,标准坦克设计!$B$14:$K$20,9)/30))</f>
        <v>6.8417418124079283</v>
      </c>
      <c r="BB134" s="173">
        <f ca="1">(VLOOKUP(BB$72,INDIRECT($C$5&amp;"生成成长"),2))/((VLOOKUP($B134,INDIRECT($B$5&amp;"生成成长"),4))/(VLOOKUP(BB$72,INDIRECT($C$5&amp;"生成成长"),5))*(VLOOKUP($B$5,标准坦克设计!$B$24:$U$30,MATCH("对"&amp;LEFT($C$5,2)&amp;"输出",标准坦克设计!$B$23:$U$23,0)))*(VLOOKUP($B134,INDIRECT($B$5&amp;"生成成长"),3))*(VLOOKUP($B$5,标准坦克设计!$B$14:$K$20,9)/30))</f>
        <v>7.552116543130623</v>
      </c>
      <c r="BC134" s="173">
        <f ca="1">(VLOOKUP(BC$72,INDIRECT($C$5&amp;"生成成长"),2))/((VLOOKUP($B134,INDIRECT($B$5&amp;"生成成长"),4))/(VLOOKUP(BC$72,INDIRECT($C$5&amp;"生成成长"),5))*(VLOOKUP($B$5,标准坦克设计!$B$24:$U$30,MATCH("对"&amp;LEFT($C$5,2)&amp;"输出",标准坦克设计!$B$23:$U$23,0)))*(VLOOKUP($B134,INDIRECT($B$5&amp;"生成成长"),3))*(VLOOKUP($B$5,标准坦克设计!$B$14:$K$20,9)/30))</f>
        <v>8.2975715074692538</v>
      </c>
      <c r="BD134" s="173">
        <f ca="1">(VLOOKUP(BD$72,INDIRECT($C$5&amp;"生成成长"),2))/((VLOOKUP($B134,INDIRECT($B$5&amp;"生成成长"),4))/(VLOOKUP(BD$72,INDIRECT($C$5&amp;"生成成长"),5))*(VLOOKUP($B$5,标准坦克设计!$B$24:$U$30,MATCH("对"&amp;LEFT($C$5,2)&amp;"输出",标准坦克设计!$B$23:$U$23,0)))*(VLOOKUP($B134,INDIRECT($B$5&amp;"生成成长"),3))*(VLOOKUP($B$5,标准坦克设计!$B$14:$K$20,9)/30))</f>
        <v>9.1781401840942607</v>
      </c>
      <c r="BE134" s="173">
        <f ca="1">(VLOOKUP(BE$72,INDIRECT($C$5&amp;"生成成长"),2))/((VLOOKUP($B134,INDIRECT($B$5&amp;"生成成长"),4))/(VLOOKUP(BE$72,INDIRECT($C$5&amp;"生成成长"),5))*(VLOOKUP($B$5,标准坦克设计!$B$24:$U$30,MATCH("对"&amp;LEFT($C$5,2)&amp;"输出",标准坦克设计!$B$23:$U$23,0)))*(VLOOKUP($B134,INDIRECT($B$5&amp;"生成成长"),3))*(VLOOKUP($B$5,标准坦克设计!$B$14:$K$20,9)/30))</f>
        <v>10.103107281389436</v>
      </c>
      <c r="BF134" s="173">
        <f ca="1">(VLOOKUP(BF$72,INDIRECT($C$5&amp;"生成成长"),2))/((VLOOKUP($B134,INDIRECT($B$5&amp;"生成成长"),4))/(VLOOKUP(BF$72,INDIRECT($C$5&amp;"生成成长"),5))*(VLOOKUP($B$5,标准坦克设计!$B$24:$U$30,MATCH("对"&amp;LEFT($C$5,2)&amp;"输出",标准坦克设计!$B$23:$U$23,0)))*(VLOOKUP($B134,INDIRECT($B$5&amp;"生成成长"),3))*(VLOOKUP($B$5,标准坦克设计!$B$14:$K$20,9)/30))</f>
        <v>11.072472799354779</v>
      </c>
      <c r="BG134" s="173">
        <f ca="1">(VLOOKUP(BG$72,INDIRECT($C$5&amp;"生成成长"),2))/((VLOOKUP($B134,INDIRECT($B$5&amp;"生成成长"),4))/(VLOOKUP(BG$72,INDIRECT($C$5&amp;"生成成长"),5))*(VLOOKUP($B$5,标准坦克设计!$B$24:$U$30,MATCH("对"&amp;LEFT($C$5,2)&amp;"输出",标准坦克设计!$B$23:$U$23,0)))*(VLOOKUP($B134,INDIRECT($B$5&amp;"生成成长"),3))*(VLOOKUP($B$5,标准坦克设计!$B$14:$K$20,9)/30))</f>
        <v>12.086236737990291</v>
      </c>
      <c r="BH134" s="173">
        <f ca="1">(VLOOKUP(BH$72,INDIRECT($C$5&amp;"生成成长"),2))/((VLOOKUP($B134,INDIRECT($B$5&amp;"生成成长"),4))/(VLOOKUP(BH$72,INDIRECT($C$5&amp;"生成成长"),5))*(VLOOKUP($B$5,标准坦克设计!$B$24:$U$30,MATCH("对"&amp;LEFT($C$5,2)&amp;"输出",标准坦克设计!$B$23:$U$23,0)))*(VLOOKUP($B134,INDIRECT($B$5&amp;"生成成长"),3))*(VLOOKUP($B$5,标准坦克设计!$B$14:$K$20,9)/30))</f>
        <v>5.8419551543537649</v>
      </c>
      <c r="BI134" s="173">
        <f ca="1">(VLOOKUP(BI$72,INDIRECT($C$5&amp;"生成成长"),2))/((VLOOKUP($B134,INDIRECT($B$5&amp;"生成成长"),4))/(VLOOKUP(BI$72,INDIRECT($C$5&amp;"生成成长"),5))*(VLOOKUP($B$5,标准坦克设计!$B$24:$U$30,MATCH("对"&amp;LEFT($C$5,2)&amp;"输出",标准坦克设计!$B$23:$U$23,0)))*(VLOOKUP($B134,INDIRECT($B$5&amp;"生成成长"),3))*(VLOOKUP($B$5,标准坦克设计!$B$14:$K$20,9)/30))</f>
        <v>6.5843954111160272</v>
      </c>
      <c r="BJ134" s="173">
        <f ca="1">(VLOOKUP(BJ$72,INDIRECT($C$5&amp;"生成成长"),2))/((VLOOKUP($B134,INDIRECT($B$5&amp;"生成成长"),4))/(VLOOKUP(BJ$72,INDIRECT($C$5&amp;"生成成长"),5))*(VLOOKUP($B$5,标准坦克设计!$B$24:$U$30,MATCH("对"&amp;LEFT($C$5,2)&amp;"输出",标准坦克设计!$B$23:$U$23,0)))*(VLOOKUP($B134,INDIRECT($B$5&amp;"生成成长"),3))*(VLOOKUP($B$5,标准坦克设计!$B$14:$K$20,9)/30))</f>
        <v>7.371234088548456</v>
      </c>
      <c r="BK134" s="173">
        <f ca="1">(VLOOKUP(BK$72,INDIRECT($C$5&amp;"生成成长"),2))/((VLOOKUP($B134,INDIRECT($B$5&amp;"生成成长"),4))/(VLOOKUP(BK$72,INDIRECT($C$5&amp;"生成成长"),5))*(VLOOKUP($B$5,标准坦克设计!$B$24:$U$30,MATCH("对"&amp;LEFT($C$5,2)&amp;"输出",标准坦克设计!$B$23:$U$23,0)))*(VLOOKUP($B134,INDIRECT($B$5&amp;"生成成长"),3))*(VLOOKUP($B$5,标准坦克设计!$B$14:$K$20,9)/30))</f>
        <v>8.2024711866510547</v>
      </c>
      <c r="BL134" s="173">
        <f ca="1">(VLOOKUP(BL$72,INDIRECT($C$5&amp;"生成成长"),2))/((VLOOKUP($B134,INDIRECT($B$5&amp;"生成成长"),4))/(VLOOKUP(BL$72,INDIRECT($C$5&amp;"生成成长"),5))*(VLOOKUP($B$5,标准坦克设计!$B$24:$U$30,MATCH("对"&amp;LEFT($C$5,2)&amp;"输出",标准坦克设计!$B$23:$U$23,0)))*(VLOOKUP($B134,INDIRECT($B$5&amp;"生成成长"),3))*(VLOOKUP($B$5,标准坦克设计!$B$14:$K$20,9)/30))</f>
        <v>9.0781067054238189</v>
      </c>
      <c r="BM134" s="173">
        <f ca="1">(VLOOKUP(BM$72,INDIRECT($C$5&amp;"生成成长"),2))/((VLOOKUP($B134,INDIRECT($B$5&amp;"生成成长"),4))/(VLOOKUP(BM$72,INDIRECT($C$5&amp;"生成成长"),5))*(VLOOKUP($B$5,标准坦克设计!$B$24:$U$30,MATCH("对"&amp;LEFT($C$5,2)&amp;"输出",标准坦克设计!$B$23:$U$23,0)))*(VLOOKUP($B134,INDIRECT($B$5&amp;"生成成长"),3))*(VLOOKUP($B$5,标准坦克设计!$B$14:$K$20,9)/30))</f>
        <v>9.9981406448667531</v>
      </c>
      <c r="BN134" s="173">
        <f ca="1">(VLOOKUP(BN$72,INDIRECT($C$5&amp;"生成成长"),2))/((VLOOKUP($B134,INDIRECT($B$5&amp;"生成成长"),4))/(VLOOKUP(BN$72,INDIRECT($C$5&amp;"生成成长"),5))*(VLOOKUP($B$5,标准坦克设计!$B$24:$U$30,MATCH("对"&amp;LEFT($C$5,2)&amp;"输出",标准坦克设计!$B$23:$U$23,0)))*(VLOOKUP($B134,INDIRECT($B$5&amp;"生成成长"),3))*(VLOOKUP($B$5,标准坦克设计!$B$14:$K$20,9)/30))</f>
        <v>10.962573004979856</v>
      </c>
      <c r="BO134" s="173">
        <f ca="1">(VLOOKUP(BO$72,INDIRECT($C$5&amp;"生成成长"),2))/((VLOOKUP($B134,INDIRECT($B$5&amp;"生成成长"),4))/(VLOOKUP(BO$72,INDIRECT($C$5&amp;"生成成长"),5))*(VLOOKUP($B$5,标准坦克设计!$B$24:$U$30,MATCH("对"&amp;LEFT($C$5,2)&amp;"输出",标准坦克设计!$B$23:$U$23,0)))*(VLOOKUP($B134,INDIRECT($B$5&amp;"生成成长"),3))*(VLOOKUP($B$5,标准坦克设计!$B$14:$K$20,9)/30))</f>
        <v>11.97140378576313</v>
      </c>
      <c r="BP134" s="173">
        <f ca="1">(VLOOKUP(BP$72,INDIRECT($C$5&amp;"生成成长"),2))/((VLOOKUP($B134,INDIRECT($B$5&amp;"生成成长"),4))/(VLOOKUP(BP$72,INDIRECT($C$5&amp;"生成成长"),5))*(VLOOKUP($B$5,标准坦克设计!$B$24:$U$30,MATCH("对"&amp;LEFT($C$5,2)&amp;"输出",标准坦克设计!$B$23:$U$23,0)))*(VLOOKUP($B134,INDIRECT($B$5&amp;"生成成长"),3))*(VLOOKUP($B$5,标准坦克设计!$B$14:$K$20,9)/30))</f>
        <v>13.02463298721657</v>
      </c>
      <c r="BQ134" s="173">
        <f ca="1">(VLOOKUP(BQ$72,INDIRECT($C$5&amp;"生成成长"),2))/((VLOOKUP($B134,INDIRECT($B$5&amp;"生成成长"),4))/(VLOOKUP(BQ$72,INDIRECT($C$5&amp;"生成成长"),5))*(VLOOKUP($B$5,标准坦克设计!$B$24:$U$30,MATCH("对"&amp;LEFT($C$5,2)&amp;"输出",标准坦克设计!$B$23:$U$23,0)))*(VLOOKUP($B134,INDIRECT($B$5&amp;"生成成长"),3))*(VLOOKUP($B$5,标准坦克设计!$B$14:$K$20,9)/30))</f>
        <v>14.122260609340177</v>
      </c>
      <c r="BR134" s="173">
        <f ca="1">(VLOOKUP(BR$72,INDIRECT($C$5&amp;"生成成长"),2))/((VLOOKUP($B134,INDIRECT($B$5&amp;"生成成长"),4))/(VLOOKUP(BR$72,INDIRECT($C$5&amp;"生成成长"),5))*(VLOOKUP($B$5,标准坦克设计!$B$24:$U$30,MATCH("对"&amp;LEFT($C$5,2)&amp;"输出",标准坦克设计!$B$23:$U$23,0)))*(VLOOKUP($B134,INDIRECT($B$5&amp;"生成成长"),3))*(VLOOKUP($B$5,标准坦克设计!$B$14:$K$20,9)/30))</f>
        <v>15.393919077917841</v>
      </c>
      <c r="BS134" s="173">
        <f ca="1">(VLOOKUP(BS$72,INDIRECT($C$5&amp;"生成成长"),2))/((VLOOKUP($B134,INDIRECT($B$5&amp;"生成成长"),4))/(VLOOKUP(BS$72,INDIRECT($C$5&amp;"生成成长"),5))*(VLOOKUP($B$5,标准坦克设计!$B$24:$U$30,MATCH("对"&amp;LEFT($C$5,2)&amp;"输出",标准坦克设计!$B$23:$U$23,0)))*(VLOOKUP($B134,INDIRECT($B$5&amp;"生成成长"),3))*(VLOOKUP($B$5,标准坦克设计!$B$14:$K$20,9)/30))</f>
        <v>16.720390411520398</v>
      </c>
      <c r="BT134" s="173">
        <f ca="1">(VLOOKUP(BT$72,INDIRECT($C$5&amp;"生成成长"),2))/((VLOOKUP($B134,INDIRECT($B$5&amp;"生成成长"),4))/(VLOOKUP(BT$72,INDIRECT($C$5&amp;"生成成长"),5))*(VLOOKUP($B$5,标准坦克设计!$B$24:$U$30,MATCH("对"&amp;LEFT($C$5,2)&amp;"输出",标准坦克设计!$B$23:$U$23,0)))*(VLOOKUP($B134,INDIRECT($B$5&amp;"生成成长"),3))*(VLOOKUP($B$5,标准坦克设计!$B$14:$K$20,9)/30))</f>
        <v>18.101674610147864</v>
      </c>
      <c r="BU134" s="173">
        <f ca="1">(VLOOKUP(BU$72,INDIRECT($C$5&amp;"生成成长"),2))/((VLOOKUP($B134,INDIRECT($B$5&amp;"生成成长"),4))/(VLOOKUP(BU$72,INDIRECT($C$5&amp;"生成成长"),5))*(VLOOKUP($B$5,标准坦克设计!$B$24:$U$30,MATCH("对"&amp;LEFT($C$5,2)&amp;"输出",标准坦克设计!$B$23:$U$23,0)))*(VLOOKUP($B134,INDIRECT($B$5&amp;"生成成长"),3))*(VLOOKUP($B$5,标准坦克设计!$B$14:$K$20,9)/30))</f>
        <v>19.537771673800222</v>
      </c>
      <c r="BV134" s="173">
        <f ca="1">(VLOOKUP(BV$72,INDIRECT($C$5&amp;"生成成长"),2))/((VLOOKUP($B134,INDIRECT($B$5&amp;"生成成长"),4))/(VLOOKUP(BV$72,INDIRECT($C$5&amp;"生成成长"),5))*(VLOOKUP($B$5,标准坦克设计!$B$24:$U$30,MATCH("对"&amp;LEFT($C$5,2)&amp;"输出",标准坦克设计!$B$23:$U$23,0)))*(VLOOKUP($B134,INDIRECT($B$5&amp;"生成成长"),3))*(VLOOKUP($B$5,标准坦克设计!$B$14:$K$20,9)/30))</f>
        <v>21.028681602477487</v>
      </c>
      <c r="BW134" s="173">
        <f ca="1">(VLOOKUP(BW$72,INDIRECT($C$5&amp;"生成成长"),2))/((VLOOKUP($B134,INDIRECT($B$5&amp;"生成成长"),4))/(VLOOKUP(BW$72,INDIRECT($C$5&amp;"生成成长"),5))*(VLOOKUP($B$5,标准坦克设计!$B$24:$U$30,MATCH("对"&amp;LEFT($C$5,2)&amp;"输出",标准坦克设计!$B$23:$U$23,0)))*(VLOOKUP($B134,INDIRECT($B$5&amp;"生成成长"),3))*(VLOOKUP($B$5,标准坦克设计!$B$14:$K$20,9)/30))</f>
        <v>9.5837553852785149</v>
      </c>
      <c r="BX134" s="173">
        <f ca="1">(VLOOKUP(BX$72,INDIRECT($C$5&amp;"生成成长"),2))/((VLOOKUP($B134,INDIRECT($B$5&amp;"生成成长"),4))/(VLOOKUP(BX$72,INDIRECT($C$5&amp;"生成成长"),5))*(VLOOKUP($B$5,标准坦克设计!$B$24:$U$30,MATCH("对"&amp;LEFT($C$5,2)&amp;"输出",标准坦克设计!$B$23:$U$23,0)))*(VLOOKUP($B134,INDIRECT($B$5&amp;"生成成长"),3))*(VLOOKUP($B$5,标准坦克设计!$B$14:$K$20,9)/30))</f>
        <v>10.636162393756582</v>
      </c>
      <c r="BY134" s="173">
        <f ca="1">(VLOOKUP(BY$72,INDIRECT($C$5&amp;"生成成长"),2))/((VLOOKUP($B134,INDIRECT($B$5&amp;"生成成长"),4))/(VLOOKUP(BY$72,INDIRECT($C$5&amp;"生成成长"),5))*(VLOOKUP($B$5,标准坦克设计!$B$24:$U$30,MATCH("对"&amp;LEFT($C$5,2)&amp;"输出",标准坦克设计!$B$23:$U$23,0)))*(VLOOKUP($B134,INDIRECT($B$5&amp;"生成成长"),3))*(VLOOKUP($B$5,标准坦克设计!$B$14:$K$20,9)/30))</f>
        <v>11.743382267259546</v>
      </c>
      <c r="BZ134" s="173">
        <f ca="1">(VLOOKUP(BZ$72,INDIRECT($C$5&amp;"生成成长"),2))/((VLOOKUP($B134,INDIRECT($B$5&amp;"生成成长"),4))/(VLOOKUP(BZ$72,INDIRECT($C$5&amp;"生成成长"),5))*(VLOOKUP($B$5,标准坦克设计!$B$24:$U$30,MATCH("对"&amp;LEFT($C$5,2)&amp;"输出",标准坦克设计!$B$23:$U$23,0)))*(VLOOKUP($B134,INDIRECT($B$5&amp;"生成成长"),3))*(VLOOKUP($B$5,标准坦克设计!$B$14:$K$20,9)/30))</f>
        <v>12.905415005787411</v>
      </c>
      <c r="CA134" s="173">
        <f ca="1">(VLOOKUP(CA$72,INDIRECT($C$5&amp;"生成成长"),2))/((VLOOKUP($B134,INDIRECT($B$5&amp;"生成成长"),4))/(VLOOKUP(CA$72,INDIRECT($C$5&amp;"生成成长"),5))*(VLOOKUP($B$5,标准坦克设计!$B$24:$U$30,MATCH("对"&amp;LEFT($C$5,2)&amp;"输出",标准坦克设计!$B$23:$U$23,0)))*(VLOOKUP($B134,INDIRECT($B$5&amp;"生成成长"),3))*(VLOOKUP($B$5,标准坦克设计!$B$14:$K$20,9)/30))</f>
        <v>14.122260609340177</v>
      </c>
      <c r="CB134" s="173">
        <f ca="1">(VLOOKUP(CB$72,INDIRECT($C$5&amp;"生成成长"),2))/((VLOOKUP($B134,INDIRECT($B$5&amp;"生成成长"),4))/(VLOOKUP(CB$72,INDIRECT($C$5&amp;"生成成长"),5))*(VLOOKUP($B$5,标准坦克设计!$B$24:$U$30,MATCH("对"&amp;LEFT($C$5,2)&amp;"输出",标准坦克设计!$B$23:$U$23,0)))*(VLOOKUP($B134,INDIRECT($B$5&amp;"生成成长"),3))*(VLOOKUP($B$5,标准坦克设计!$B$14:$K$20,9)/30))</f>
        <v>15.393919077917841</v>
      </c>
      <c r="CC134" s="173">
        <f ca="1">(VLOOKUP(CC$72,INDIRECT($C$5&amp;"生成成长"),2))/((VLOOKUP($B134,INDIRECT($B$5&amp;"生成成长"),4))/(VLOOKUP(CC$72,INDIRECT($C$5&amp;"生成成长"),5))*(VLOOKUP($B$5,标准坦克设计!$B$24:$U$30,MATCH("对"&amp;LEFT($C$5,2)&amp;"输出",标准坦克设计!$B$23:$U$23,0)))*(VLOOKUP($B134,INDIRECT($B$5&amp;"生成成长"),3))*(VLOOKUP($B$5,标准坦克设计!$B$14:$K$20,9)/30))</f>
        <v>16.720390411520398</v>
      </c>
      <c r="CD134" s="173">
        <f ca="1">(VLOOKUP(CD$72,INDIRECT($C$5&amp;"生成成长"),2))/((VLOOKUP($B134,INDIRECT($B$5&amp;"生成成长"),4))/(VLOOKUP(CD$72,INDIRECT($C$5&amp;"生成成长"),5))*(VLOOKUP($B$5,标准坦克设计!$B$24:$U$30,MATCH("对"&amp;LEFT($C$5,2)&amp;"输出",标准坦克设计!$B$23:$U$23,0)))*(VLOOKUP($B134,INDIRECT($B$5&amp;"生成成长"),3))*(VLOOKUP($B$5,标准坦克设计!$B$14:$K$20,9)/30))</f>
        <v>18.101674610147864</v>
      </c>
      <c r="CE134" s="173">
        <f ca="1">(VLOOKUP(CE$72,INDIRECT($C$5&amp;"生成成长"),2))/((VLOOKUP($B134,INDIRECT($B$5&amp;"生成成长"),4))/(VLOOKUP(CE$72,INDIRECT($C$5&amp;"生成成长"),5))*(VLOOKUP($B$5,标准坦克设计!$B$24:$U$30,MATCH("对"&amp;LEFT($C$5,2)&amp;"输出",标准坦克设计!$B$23:$U$23,0)))*(VLOOKUP($B134,INDIRECT($B$5&amp;"生成成长"),3))*(VLOOKUP($B$5,标准坦克设计!$B$14:$K$20,9)/30))</f>
        <v>19.537771673800222</v>
      </c>
      <c r="CF134" s="173">
        <f ca="1">(VLOOKUP(CF$72,INDIRECT($C$5&amp;"生成成长"),2))/((VLOOKUP($B134,INDIRECT($B$5&amp;"生成成长"),4))/(VLOOKUP(CF$72,INDIRECT($C$5&amp;"生成成长"),5))*(VLOOKUP($B$5,标准坦克设计!$B$24:$U$30,MATCH("对"&amp;LEFT($C$5,2)&amp;"输出",标准坦克设计!$B$23:$U$23,0)))*(VLOOKUP($B134,INDIRECT($B$5&amp;"生成成长"),3))*(VLOOKUP($B$5,标准坦克设计!$B$14:$K$20,9)/30))</f>
        <v>21.028681602477487</v>
      </c>
      <c r="CG134" s="173">
        <f ca="1">(VLOOKUP(CG$72,INDIRECT($C$5&amp;"生成成长"),2))/((VLOOKUP($B134,INDIRECT($B$5&amp;"生成成长"),4))/(VLOOKUP(CG$72,INDIRECT($C$5&amp;"生成成长"),5))*(VLOOKUP($B$5,标准坦克设计!$B$24:$U$30,MATCH("对"&amp;LEFT($C$5,2)&amp;"输出",标准坦克设计!$B$23:$U$23,0)))*(VLOOKUP($B134,INDIRECT($B$5&amp;"生成成长"),3))*(VLOOKUP($B$5,标准坦克设计!$B$14:$K$20,9)/30))</f>
        <v>22.574404396179645</v>
      </c>
      <c r="CH134" s="173">
        <f ca="1">(VLOOKUP(CH$72,INDIRECT($C$5&amp;"生成成长"),2))/((VLOOKUP($B134,INDIRECT($B$5&amp;"生成成长"),4))/(VLOOKUP(CH$72,INDIRECT($C$5&amp;"生成成长"),5))*(VLOOKUP($B$5,标准坦克设计!$B$24:$U$30,MATCH("对"&amp;LEFT($C$5,2)&amp;"输出",标准坦克设计!$B$23:$U$23,0)))*(VLOOKUP($B134,INDIRECT($B$5&amp;"生成成长"),3))*(VLOOKUP($B$5,标准坦克设计!$B$14:$K$20,9)/30))</f>
        <v>24.174940054906706</v>
      </c>
      <c r="CI134" s="173">
        <f ca="1">(VLOOKUP(CI$72,INDIRECT($C$5&amp;"生成成长"),2))/((VLOOKUP($B134,INDIRECT($B$5&amp;"生成成长"),4))/(VLOOKUP(CI$72,INDIRECT($C$5&amp;"生成成长"),5))*(VLOOKUP($B$5,标准坦克设计!$B$24:$U$30,MATCH("对"&amp;LEFT($C$5,2)&amp;"输出",标准坦克设计!$B$23:$U$23,0)))*(VLOOKUP($B134,INDIRECT($B$5&amp;"生成成长"),3))*(VLOOKUP($B$5,标准坦克设计!$B$14:$K$20,9)/30))</f>
        <v>25.998838138610225</v>
      </c>
      <c r="CJ134" s="173">
        <f ca="1">(VLOOKUP(CJ$72,INDIRECT($C$5&amp;"生成成长"),2))/((VLOOKUP($B134,INDIRECT($B$5&amp;"生成成长"),4))/(VLOOKUP(CJ$72,INDIRECT($C$5&amp;"生成成长"),5))*(VLOOKUP($B$5,标准坦克设计!$B$24:$U$30,MATCH("对"&amp;LEFT($C$5,2)&amp;"输出",标准坦克设计!$B$23:$U$23,0)))*(VLOOKUP($B134,INDIRECT($B$5&amp;"生成成长"),3))*(VLOOKUP($B$5,标准坦克设计!$B$14:$K$20,9)/30))</f>
        <v>27.88905978899388</v>
      </c>
      <c r="CK134" s="173">
        <f ca="1">(VLOOKUP(CK$72,INDIRECT($C$5&amp;"生成成长"),2))/((VLOOKUP($B134,INDIRECT($B$5&amp;"生成成长"),4))/(VLOOKUP(CK$72,INDIRECT($C$5&amp;"生成成长"),5))*(VLOOKUP($B$5,标准坦克设计!$B$24:$U$30,MATCH("对"&amp;LEFT($C$5,2)&amp;"输出",标准坦克设计!$B$23:$U$23,0)))*(VLOOKUP($B134,INDIRECT($B$5&amp;"生成成长"),3))*(VLOOKUP($B$5,标准坦克设计!$B$14:$K$20,9)/30))</f>
        <v>29.845605006057657</v>
      </c>
      <c r="CL134" s="173">
        <f ca="1">(VLOOKUP(CL$72,INDIRECT($C$5&amp;"生成成长"),2))/((VLOOKUP($B134,INDIRECT($B$5&amp;"生成成长"),4))/(VLOOKUP(CL$72,INDIRECT($C$5&amp;"生成成长"),5))*(VLOOKUP($B$5,标准坦克设计!$B$24:$U$30,MATCH("对"&amp;LEFT($C$5,2)&amp;"输出",标准坦克设计!$B$23:$U$23,0)))*(VLOOKUP($B134,INDIRECT($B$5&amp;"生成成长"),3))*(VLOOKUP($B$5,标准坦克设计!$B$14:$K$20,9)/30))</f>
        <v>31.868473789801566</v>
      </c>
      <c r="CM134" s="173">
        <f ca="1">(VLOOKUP(CM$72,INDIRECT($C$5&amp;"生成成长"),2))/((VLOOKUP($B134,INDIRECT($B$5&amp;"生成成长"),4))/(VLOOKUP(CM$72,INDIRECT($C$5&amp;"生成成长"),5))*(VLOOKUP($B$5,标准坦克设计!$B$24:$U$30,MATCH("对"&amp;LEFT($C$5,2)&amp;"输出",标准坦克设计!$B$23:$U$23,0)))*(VLOOKUP($B134,INDIRECT($B$5&amp;"生成成长"),3))*(VLOOKUP($B$5,标准坦克设计!$B$14:$K$20,9)/30))</f>
        <v>33.957666140225605</v>
      </c>
      <c r="CN134" s="173">
        <f ca="1">(VLOOKUP(CN$72,INDIRECT($C$5&amp;"生成成长"),2))/((VLOOKUP($B134,INDIRECT($B$5&amp;"生成成长"),4))/(VLOOKUP(CN$72,INDIRECT($C$5&amp;"生成成长"),5))*(VLOOKUP($B$5,标准坦克设计!$B$24:$U$30,MATCH("对"&amp;LEFT($C$5,2)&amp;"输出",标准坦克设计!$B$23:$U$23,0)))*(VLOOKUP($B134,INDIRECT($B$5&amp;"生成成长"),3))*(VLOOKUP($B$5,标准坦克设计!$B$14:$K$20,9)/30))</f>
        <v>36.113182057329773</v>
      </c>
      <c r="CO134" s="173">
        <f ca="1">(VLOOKUP(CO$72,INDIRECT($C$5&amp;"生成成长"),2))/((VLOOKUP($B134,INDIRECT($B$5&amp;"生成成长"),4))/(VLOOKUP(CO$72,INDIRECT($C$5&amp;"生成成长"),5))*(VLOOKUP($B$5,标准坦克设计!$B$24:$U$30,MATCH("对"&amp;LEFT($C$5,2)&amp;"输出",标准坦克设计!$B$23:$U$23,0)))*(VLOOKUP($B134,INDIRECT($B$5&amp;"生成成长"),3))*(VLOOKUP($B$5,标准坦克设计!$B$14:$K$20,9)/30))</f>
        <v>16.183224334276389</v>
      </c>
      <c r="CP134" s="173">
        <f ca="1">(VLOOKUP(CP$72,INDIRECT($C$5&amp;"生成成长"),2))/((VLOOKUP($B134,INDIRECT($B$5&amp;"生成成长"),4))/(VLOOKUP(CP$72,INDIRECT($C$5&amp;"生成成长"),5))*(VLOOKUP($B$5,标准坦克设计!$B$24:$U$30,MATCH("对"&amp;LEFT($C$5,2)&amp;"输出",标准坦克设计!$B$23:$U$23,0)))*(VLOOKUP($B134,INDIRECT($B$5&amp;"生成成长"),3))*(VLOOKUP($B$5,标准坦克设计!$B$14:$K$20,9)/30))</f>
        <v>17.681533999732011</v>
      </c>
      <c r="CQ134" s="173">
        <f ca="1">(VLOOKUP(CQ$72,INDIRECT($C$5&amp;"生成成长"),2))/((VLOOKUP($B134,INDIRECT($B$5&amp;"生成成长"),4))/(VLOOKUP(CQ$72,INDIRECT($C$5&amp;"生成成长"),5))*(VLOOKUP($B$5,标准坦克设计!$B$24:$U$30,MATCH("对"&amp;LEFT($C$5,2)&amp;"输出",标准坦克设计!$B$23:$U$23,0)))*(VLOOKUP($B134,INDIRECT($B$5&amp;"生成成长"),3))*(VLOOKUP($B$5,标准坦克设计!$B$14:$K$20,9)/30))</f>
        <v>19.246167231867762</v>
      </c>
      <c r="CR134" s="173">
        <f ca="1">(VLOOKUP(CR$72,INDIRECT($C$5&amp;"生成成长"),2))/((VLOOKUP($B134,INDIRECT($B$5&amp;"生成成长"),4))/(VLOOKUP(CR$72,INDIRECT($C$5&amp;"生成成长"),5))*(VLOOKUP($B$5,标准坦克设计!$B$24:$U$30,MATCH("对"&amp;LEFT($C$5,2)&amp;"输出",标准坦克设计!$B$23:$U$23,0)))*(VLOOKUP($B134,INDIRECT($B$5&amp;"生成成长"),3))*(VLOOKUP($B$5,标准坦克设计!$B$14:$K$20,9)/30))</f>
        <v>20.877124030683635</v>
      </c>
      <c r="CS134" s="173">
        <f ca="1">(VLOOKUP(CS$72,INDIRECT($C$5&amp;"生成成长"),2))/((VLOOKUP($B134,INDIRECT($B$5&amp;"生成成长"),4))/(VLOOKUP(CS$72,INDIRECT($C$5&amp;"生成成长"),5))*(VLOOKUP($B$5,标准坦克设计!$B$24:$U$30,MATCH("对"&amp;LEFT($C$5,2)&amp;"输出",标准坦克设计!$B$23:$U$23,0)))*(VLOOKUP($B134,INDIRECT($B$5&amp;"生成成长"),3))*(VLOOKUP($B$5,标准坦克设计!$B$14:$K$20,9)/30))</f>
        <v>22.574404396179645</v>
      </c>
      <c r="CT134" s="173">
        <f ca="1">(VLOOKUP(CT$72,INDIRECT($C$5&amp;"生成成长"),2))/((VLOOKUP($B134,INDIRECT($B$5&amp;"生成成长"),4))/(VLOOKUP(CT$72,INDIRECT($C$5&amp;"生成成长"),5))*(VLOOKUP($B$5,标准坦克设计!$B$24:$U$30,MATCH("对"&amp;LEFT($C$5,2)&amp;"输出",标准坦克设计!$B$23:$U$23,0)))*(VLOOKUP($B134,INDIRECT($B$5&amp;"生成成长"),3))*(VLOOKUP($B$5,标准坦克设计!$B$14:$K$20,9)/30))</f>
        <v>24.338008328355777</v>
      </c>
      <c r="CU134" s="173">
        <f ca="1">(VLOOKUP(CU$72,INDIRECT($C$5&amp;"生成成长"),2))/((VLOOKUP($B134,INDIRECT($B$5&amp;"生成成长"),4))/(VLOOKUP(CU$72,INDIRECT($C$5&amp;"生成成长"),5))*(VLOOKUP($B$5,标准坦克设计!$B$24:$U$30,MATCH("对"&amp;LEFT($C$5,2)&amp;"输出",标准坦克设计!$B$23:$U$23,0)))*(VLOOKUP($B134,INDIRECT($B$5&amp;"生成成长"),3))*(VLOOKUP($B$5,标准坦克设计!$B$14:$K$20,9)/30))</f>
        <v>26.167935827212041</v>
      </c>
      <c r="CV134" s="173">
        <f ca="1">(VLOOKUP(CV$72,INDIRECT($C$5&amp;"生成成长"),2))/((VLOOKUP($B134,INDIRECT($B$5&amp;"生成成长"),4))/(VLOOKUP(CV$72,INDIRECT($C$5&amp;"生成成长"),5))*(VLOOKUP($B$5,标准坦克设计!$B$24:$U$30,MATCH("对"&amp;LEFT($C$5,2)&amp;"输出",标准坦克设计!$B$23:$U$23,0)))*(VLOOKUP($B134,INDIRECT($B$5&amp;"生成成长"),3))*(VLOOKUP($B$5,标准坦克设计!$B$14:$K$20,9)/30))</f>
        <v>28.064186892748438</v>
      </c>
      <c r="CW134" s="173">
        <f ca="1">(VLOOKUP(CW$72,INDIRECT($C$5&amp;"生成成长"),2))/((VLOOKUP($B134,INDIRECT($B$5&amp;"生成成长"),4))/(VLOOKUP(CW$72,INDIRECT($C$5&amp;"生成成长"),5))*(VLOOKUP($B$5,标准坦克设计!$B$24:$U$30,MATCH("对"&amp;LEFT($C$5,2)&amp;"输出",标准坦克设计!$B$23:$U$23,0)))*(VLOOKUP($B134,INDIRECT($B$5&amp;"生成成长"),3))*(VLOOKUP($B$5,标准坦克设计!$B$14:$K$20,9)/30))</f>
        <v>30.02676152496495</v>
      </c>
      <c r="CX134" s="173">
        <f ca="1">(VLOOKUP(CX$72,INDIRECT($C$5&amp;"生成成长"),2))/((VLOOKUP($B134,INDIRECT($B$5&amp;"生成成长"),4))/(VLOOKUP(CX$72,INDIRECT($C$5&amp;"生成成长"),5))*(VLOOKUP($B$5,标准坦克设计!$B$24:$U$30,MATCH("对"&amp;LEFT($C$5,2)&amp;"输出",标准坦克设计!$B$23:$U$23,0)))*(VLOOKUP($B134,INDIRECT($B$5&amp;"生成成长"),3))*(VLOOKUP($B$5,标准坦克设计!$B$14:$K$20,9)/30))</f>
        <v>32.055659723861595</v>
      </c>
      <c r="CY134" s="173">
        <f ca="1">(VLOOKUP(CY$72,INDIRECT($C$5&amp;"生成成长"),2))/((VLOOKUP($B134,INDIRECT($B$5&amp;"生成成长"),4))/(VLOOKUP(CY$72,INDIRECT($C$5&amp;"生成成长"),5))*(VLOOKUP($B$5,标准坦克设计!$B$24:$U$30,MATCH("对"&amp;LEFT($C$5,2)&amp;"输出",标准坦克设计!$B$23:$U$23,0)))*(VLOOKUP($B134,INDIRECT($B$5&amp;"生成成长"),3))*(VLOOKUP($B$5,标准坦克设计!$B$14:$K$20,9)/30))</f>
        <v>34.150881489438376</v>
      </c>
      <c r="CZ134" s="173">
        <f ca="1">(VLOOKUP(CZ$72,INDIRECT($C$5&amp;"生成成长"),2))/((VLOOKUP($B134,INDIRECT($B$5&amp;"生成成长"),4))/(VLOOKUP(CZ$72,INDIRECT($C$5&amp;"生成成长"),5))*(VLOOKUP($B$5,标准坦克设计!$B$24:$U$30,MATCH("对"&amp;LEFT($C$5,2)&amp;"输出",标准坦克设计!$B$23:$U$23,0)))*(VLOOKUP($B134,INDIRECT($B$5&amp;"生成成长"),3))*(VLOOKUP($B$5,标准坦克设计!$B$14:$K$20,9)/30))</f>
        <v>36.312426821695276</v>
      </c>
      <c r="DA134" s="173">
        <f ca="1">(VLOOKUP(DA$72,INDIRECT($C$5&amp;"生成成长"),2))/((VLOOKUP($B134,INDIRECT($B$5&amp;"生成成长"),4))/(VLOOKUP(DA$72,INDIRECT($C$5&amp;"生成成长"),5))*(VLOOKUP($B$5,标准坦克设计!$B$24:$U$30,MATCH("对"&amp;LEFT($C$5,2)&amp;"输出",标准坦克设计!$B$23:$U$23,0)))*(VLOOKUP($B134,INDIRECT($B$5&amp;"生成成长"),3))*(VLOOKUP($B$5,标准坦克设计!$B$14:$K$20,9)/30))</f>
        <v>38.540295720632308</v>
      </c>
      <c r="DB134" s="173">
        <f ca="1">(VLOOKUP(DB$72,INDIRECT($C$5&amp;"生成成长"),2))/((VLOOKUP($B134,INDIRECT($B$5&amp;"生成成长"),4))/(VLOOKUP(DB$72,INDIRECT($C$5&amp;"生成成长"),5))*(VLOOKUP($B$5,标准坦克设计!$B$24:$U$30,MATCH("对"&amp;LEFT($C$5,2)&amp;"输出",标准坦克设计!$B$23:$U$23,0)))*(VLOOKUP($B134,INDIRECT($B$5&amp;"生成成长"),3))*(VLOOKUP($B$5,标准坦克设计!$B$14:$K$20,9)/30))</f>
        <v>40.834488186249473</v>
      </c>
      <c r="DC134" s="173">
        <f ca="1">(VLOOKUP(DC$72,INDIRECT($C$5&amp;"生成成长"),2))/((VLOOKUP($B134,INDIRECT($B$5&amp;"生成成长"),4))/(VLOOKUP(DC$72,INDIRECT($C$5&amp;"生成成长"),5))*(VLOOKUP($B$5,标准坦克设计!$B$24:$U$30,MATCH("对"&amp;LEFT($C$5,2)&amp;"输出",标准坦克设计!$B$23:$U$23,0)))*(VLOOKUP($B134,INDIRECT($B$5&amp;"生成成长"),3))*(VLOOKUP($B$5,标准坦克设计!$B$14:$K$20,9)/30))</f>
        <v>43.412885357020727</v>
      </c>
      <c r="DD134" s="173">
        <f ca="1">(VLOOKUP(DD$72,INDIRECT($C$5&amp;"生成成长"),2))/((VLOOKUP($B134,INDIRECT($B$5&amp;"生成成长"),4))/(VLOOKUP(DD$72,INDIRECT($C$5&amp;"生成成长"),5))*(VLOOKUP($B$5,标准坦克设计!$B$24:$U$30,MATCH("对"&amp;LEFT($C$5,2)&amp;"输出",标准坦克设计!$B$23:$U$23,0)))*(VLOOKUP($B134,INDIRECT($B$5&amp;"生成成长"),3))*(VLOOKUP($B$5,标准坦克设计!$B$14:$K$20,9)/30))</f>
        <v>46.07021305342785</v>
      </c>
      <c r="DE134" s="173">
        <f ca="1">(VLOOKUP(DE$72,INDIRECT($C$5&amp;"生成成长"),2))/((VLOOKUP($B134,INDIRECT($B$5&amp;"生成成长"),4))/(VLOOKUP(DE$72,INDIRECT($C$5&amp;"生成成长"),5))*(VLOOKUP($B$5,标准坦克设计!$B$24:$U$30,MATCH("对"&amp;LEFT($C$5,2)&amp;"输出",标准坦克设计!$B$23:$U$23,0)))*(VLOOKUP($B134,INDIRECT($B$5&amp;"生成成长"),3))*(VLOOKUP($B$5,标准坦克设计!$B$14:$K$20,9)/30))</f>
        <v>48.806471275470813</v>
      </c>
      <c r="DF134" s="173">
        <f ca="1">(VLOOKUP(DF$72,INDIRECT($C$5&amp;"生成成长"),2))/((VLOOKUP($B134,INDIRECT($B$5&amp;"生成成长"),4))/(VLOOKUP(DF$72,INDIRECT($C$5&amp;"生成成长"),5))*(VLOOKUP($B$5,标准坦克设计!$B$24:$U$30,MATCH("对"&amp;LEFT($C$5,2)&amp;"输出",标准坦克设计!$B$23:$U$23,0)))*(VLOOKUP($B134,INDIRECT($B$5&amp;"生成成长"),3))*(VLOOKUP($B$5,标准坦克设计!$B$14:$K$20,9)/30))</f>
        <v>51.621660023149644</v>
      </c>
      <c r="DG134" s="173">
        <f ca="1">(VLOOKUP(DG$72,INDIRECT($C$5&amp;"生成成长"),2))/((VLOOKUP($B134,INDIRECT($B$5&amp;"生成成长"),4))/(VLOOKUP(DG$72,INDIRECT($C$5&amp;"生成成长"),5))*(VLOOKUP($B$5,标准坦克设计!$B$24:$U$30,MATCH("对"&amp;LEFT($C$5,2)&amp;"输出",标准坦克设计!$B$23:$U$23,0)))*(VLOOKUP($B134,INDIRECT($B$5&amp;"生成成长"),3))*(VLOOKUP($B$5,标准坦克设计!$B$14:$K$20,9)/30))</f>
        <v>54.515779296464324</v>
      </c>
      <c r="DH134" s="173">
        <f ca="1">(VLOOKUP(DH$72,INDIRECT($C$5&amp;"生成成长"),2))/((VLOOKUP($B134,INDIRECT($B$5&amp;"生成成长"),4))/(VLOOKUP(DH$72,INDIRECT($C$5&amp;"生成成长"),5))*(VLOOKUP($B$5,标准坦克设计!$B$24:$U$30,MATCH("对"&amp;LEFT($C$5,2)&amp;"输出",标准坦克设计!$B$23:$U$23,0)))*(VLOOKUP($B134,INDIRECT($B$5&amp;"生成成长"),3))*(VLOOKUP($B$5,标准坦克设计!$B$14:$K$20,9)/30))</f>
        <v>57.488829095414857</v>
      </c>
      <c r="DI134" s="173">
        <f ca="1">(VLOOKUP(DI$72,INDIRECT($C$5&amp;"生成成长"),2))/((VLOOKUP($B134,INDIRECT($B$5&amp;"生成成长"),4))/(VLOOKUP(DI$72,INDIRECT($C$5&amp;"生成成长"),5))*(VLOOKUP($B$5,标准坦克设计!$B$24:$U$30,MATCH("对"&amp;LEFT($C$5,2)&amp;"输出",标准坦克设计!$B$23:$U$23,0)))*(VLOOKUP($B134,INDIRECT($B$5&amp;"生成成长"),3))*(VLOOKUP($B$5,标准坦克设计!$B$14:$K$20,9)/30))</f>
        <v>60.540809420001253</v>
      </c>
      <c r="DJ134" s="173">
        <f ca="1">(VLOOKUP(DJ$72,INDIRECT($C$5&amp;"生成成长"),2))/((VLOOKUP($B134,INDIRECT($B$5&amp;"生成成长"),4))/(VLOOKUP(DJ$72,INDIRECT($C$5&amp;"生成成长"),5))*(VLOOKUP($B$5,标准坦克设计!$B$24:$U$30,MATCH("对"&amp;LEFT($C$5,2)&amp;"输出",标准坦克设计!$B$23:$U$23,0)))*(VLOOKUP($B134,INDIRECT($B$5&amp;"生成成长"),3))*(VLOOKUP($B$5,标准坦克设计!$B$14:$K$20,9)/30))</f>
        <v>6.0845020820889442</v>
      </c>
      <c r="DK134" s="173">
        <f ca="1">(VLOOKUP(DK$72,INDIRECT($C$5&amp;"生成成长"),2))/((VLOOKUP($B134,INDIRECT($B$5&amp;"生成成长"),4))/(VLOOKUP(DK$72,INDIRECT($C$5&amp;"生成成长"),5))*(VLOOKUP($B$5,标准坦克设计!$B$24:$U$30,MATCH("对"&amp;LEFT($C$5,2)&amp;"输出",标准坦克设计!$B$23:$U$23,0)))*(VLOOKUP($B134,INDIRECT($B$5&amp;"生成成长"),3))*(VLOOKUP($B$5,标准坦克设计!$B$14:$K$20,9)/30))</f>
        <v>6.8417418124079283</v>
      </c>
      <c r="DL134" s="173">
        <f ca="1">(VLOOKUP(DL$72,INDIRECT($C$5&amp;"生成成长"),2))/((VLOOKUP($B134,INDIRECT($B$5&amp;"生成成长"),4))/(VLOOKUP(DL$72,INDIRECT($C$5&amp;"生成成长"),5))*(VLOOKUP($B$5,标准坦克设计!$B$24:$U$30,MATCH("对"&amp;LEFT($C$5,2)&amp;"输出",标准坦克设计!$B$23:$U$23,0)))*(VLOOKUP($B134,INDIRECT($B$5&amp;"生成成长"),3))*(VLOOKUP($B$5,标准坦克设计!$B$14:$K$20,9)/30))</f>
        <v>7.6433799633970816</v>
      </c>
      <c r="DM134" s="173">
        <f ca="1">(VLOOKUP(DM$72,INDIRECT($C$5&amp;"生成成长"),2))/((VLOOKUP($B134,INDIRECT($B$5&amp;"生成成长"),4))/(VLOOKUP(DM$72,INDIRECT($C$5&amp;"生成成长"),5))*(VLOOKUP($B$5,标准坦克设计!$B$24:$U$30,MATCH("对"&amp;LEFT($C$5,2)&amp;"输出",标准坦克设计!$B$23:$U$23,0)))*(VLOOKUP($B134,INDIRECT($B$5&amp;"生成成长"),3))*(VLOOKUP($B$5,标准坦克设计!$B$14:$K$20,9)/30))</f>
        <v>8.4894165350564013</v>
      </c>
      <c r="DN134" s="173">
        <f ca="1">(VLOOKUP(DN$72,INDIRECT($C$5&amp;"生成成长"),2))/((VLOOKUP($B134,INDIRECT($B$5&amp;"生成成长"),4))/(VLOOKUP(DN$72,INDIRECT($C$5&amp;"生成成长"),5))*(VLOOKUP($B$5,标准坦克设计!$B$24:$U$30,MATCH("对"&amp;LEFT($C$5,2)&amp;"输出",标准坦克设计!$B$23:$U$23,0)))*(VLOOKUP($B134,INDIRECT($B$5&amp;"生成成长"),3))*(VLOOKUP($B$5,标准坦克设计!$B$14:$K$20,9)/30))</f>
        <v>9.3798515273858882</v>
      </c>
      <c r="DO134" s="173">
        <f ca="1">(VLOOKUP(DO$72,INDIRECT($C$5&amp;"生成成长"),2))/((VLOOKUP($B134,INDIRECT($B$5&amp;"生成成长"),4))/(VLOOKUP(DO$72,INDIRECT($C$5&amp;"生成成长"),5))*(VLOOKUP($B$5,标准坦克设计!$B$24:$U$30,MATCH("对"&amp;LEFT($C$5,2)&amp;"输出",标准坦克设计!$B$23:$U$23,0)))*(VLOOKUP($B134,INDIRECT($B$5&amp;"生成成长"),3))*(VLOOKUP($B$5,标准坦克设计!$B$14:$K$20,9)/30))</f>
        <v>10.314684940385545</v>
      </c>
      <c r="DP134" s="173">
        <f ca="1">(VLOOKUP(DP$72,INDIRECT($C$5&amp;"生成成长"),2))/((VLOOKUP($B134,INDIRECT($B$5&amp;"生成成长"),4))/(VLOOKUP(DP$72,INDIRECT($C$5&amp;"生成成长"),5))*(VLOOKUP($B$5,标准坦克设计!$B$24:$U$30,MATCH("对"&amp;LEFT($C$5,2)&amp;"输出",标准坦克设计!$B$23:$U$23,0)))*(VLOOKUP($B134,INDIRECT($B$5&amp;"生成成长"),3))*(VLOOKUP($B$5,标准坦克设计!$B$14:$K$20,9)/30))</f>
        <v>11.293916774055374</v>
      </c>
      <c r="DQ134" s="173">
        <f ca="1">(VLOOKUP(DQ$72,INDIRECT($C$5&amp;"生成成长"),2))/((VLOOKUP($B134,INDIRECT($B$5&amp;"生成成长"),4))/(VLOOKUP(DQ$72,INDIRECT($C$5&amp;"生成成长"),5))*(VLOOKUP($B$5,标准坦克设计!$B$24:$U$30,MATCH("对"&amp;LEFT($C$5,2)&amp;"输出",标准坦克设计!$B$23:$U$23,0)))*(VLOOKUP($B134,INDIRECT($B$5&amp;"生成成长"),3))*(VLOOKUP($B$5,标准坦克设计!$B$14:$K$20,9)/30))</f>
        <v>12.317547028395365</v>
      </c>
      <c r="DR134" s="173">
        <f ca="1">(VLOOKUP(DR$72,INDIRECT($C$5&amp;"生成成长"),2))/((VLOOKUP($B134,INDIRECT($B$5&amp;"生成成长"),4))/(VLOOKUP(DR$72,INDIRECT($C$5&amp;"生成成长"),5))*(VLOOKUP($B$5,标准坦克设计!$B$24:$U$30,MATCH("对"&amp;LEFT($C$5,2)&amp;"输出",标准坦克设计!$B$23:$U$23,0)))*(VLOOKUP($B134,INDIRECT($B$5&amp;"生成成长"),3))*(VLOOKUP($B$5,标准坦克设计!$B$14:$K$20,9)/30))</f>
        <v>13.38557570340553</v>
      </c>
      <c r="DS134" s="173">
        <f ca="1">(VLOOKUP(DS$72,INDIRECT($C$5&amp;"生成成长"),2))/((VLOOKUP($B134,INDIRECT($B$5&amp;"生成成长"),4))/(VLOOKUP(DS$72,INDIRECT($C$5&amp;"生成成长"),5))*(VLOOKUP($B$5,标准坦克设计!$B$24:$U$30,MATCH("对"&amp;LEFT($C$5,2)&amp;"输出",标准坦克设计!$B$23:$U$23,0)))*(VLOOKUP($B134,INDIRECT($B$5&amp;"生成成长"),3))*(VLOOKUP($B$5,标准坦克设计!$B$14:$K$20,9)/30))</f>
        <v>14.498002799085864</v>
      </c>
      <c r="DT134" s="173">
        <f ca="1">(VLOOKUP(DT$72,INDIRECT($C$5&amp;"生成成长"),2))/((VLOOKUP($B134,INDIRECT($B$5&amp;"生成成长"),4))/(VLOOKUP(DT$72,INDIRECT($C$5&amp;"生成成长"),5))*(VLOOKUP($B$5,标准坦克设计!$B$24:$U$30,MATCH("对"&amp;LEFT($C$5,2)&amp;"输出",标准坦克设计!$B$23:$U$23,0)))*(VLOOKUP($B134,INDIRECT($B$5&amp;"生成成长"),3))*(VLOOKUP($B$5,标准坦克设计!$B$14:$K$20,9)/30))</f>
        <v>15.917930067555874</v>
      </c>
      <c r="DU134" s="173">
        <f ca="1">(VLOOKUP(DU$72,INDIRECT($C$5&amp;"生成成长"),2))/((VLOOKUP($B134,INDIRECT($B$5&amp;"生成成长"),4))/(VLOOKUP(DU$72,INDIRECT($C$5&amp;"生成成长"),5))*(VLOOKUP($B$5,标准坦克设计!$B$24:$U$30,MATCH("对"&amp;LEFT($C$5,2)&amp;"输出",标准坦克设计!$B$23:$U$23,0)))*(VLOOKUP($B134,INDIRECT($B$5&amp;"生成成长"),3))*(VLOOKUP($B$5,标准坦克设计!$B$14:$K$20,9)/30))</f>
        <v>17.40418090270602</v>
      </c>
      <c r="DV134" s="173">
        <f ca="1">(VLOOKUP(DV$72,INDIRECT($C$5&amp;"生成成长"),2))/((VLOOKUP($B134,INDIRECT($B$5&amp;"生成成长"),4))/(VLOOKUP(DV$72,INDIRECT($C$5&amp;"生成成长"),5))*(VLOOKUP($B$5,标准坦克设计!$B$24:$U$30,MATCH("对"&amp;LEFT($C$5,2)&amp;"输出",标准坦克设计!$B$23:$U$23,0)))*(VLOOKUP($B134,INDIRECT($B$5&amp;"生成成长"),3))*(VLOOKUP($B$5,标准坦克设计!$B$14:$K$20,9)/30))</f>
        <v>18.956755304536294</v>
      </c>
      <c r="DW134" s="173">
        <f ca="1">(VLOOKUP(DW$72,INDIRECT($C$5&amp;"生成成长"),2))/((VLOOKUP($B134,INDIRECT($B$5&amp;"生成成长"),4))/(VLOOKUP(DW$72,INDIRECT($C$5&amp;"生成成长"),5))*(VLOOKUP($B$5,标准坦克设计!$B$24:$U$30,MATCH("对"&amp;LEFT($C$5,2)&amp;"输出",标准坦克设计!$B$23:$U$23,0)))*(VLOOKUP($B134,INDIRECT($B$5&amp;"生成成长"),3))*(VLOOKUP($B$5,标准坦克设计!$B$14:$K$20,9)/30))</f>
        <v>20.575653273046694</v>
      </c>
      <c r="DX134" s="173">
        <f ca="1">(VLOOKUP(DX$72,INDIRECT($C$5&amp;"生成成长"),2))/((VLOOKUP($B134,INDIRECT($B$5&amp;"生成成长"),4))/(VLOOKUP(DX$72,INDIRECT($C$5&amp;"生成成长"),5))*(VLOOKUP($B$5,标准坦克设计!$B$24:$U$30,MATCH("对"&amp;LEFT($C$5,2)&amp;"输出",标准坦克设计!$B$23:$U$23,0)))*(VLOOKUP($B134,INDIRECT($B$5&amp;"生成成长"),3))*(VLOOKUP($B$5,标准坦克设计!$B$14:$K$20,9)/30))</f>
        <v>22.260874808237222</v>
      </c>
      <c r="DY134" s="173">
        <f ca="1">(VLOOKUP(DY$72,INDIRECT($C$5&amp;"生成成长"),2))/((VLOOKUP($B134,INDIRECT($B$5&amp;"生成成长"),4))/(VLOOKUP(DY$72,INDIRECT($C$5&amp;"生成成长"),5))*(VLOOKUP($B$5,标准坦克设计!$B$24:$U$30,MATCH("对"&amp;LEFT($C$5,2)&amp;"输出",标准坦克设计!$B$23:$U$23,0)))*(VLOOKUP($B134,INDIRECT($B$5&amp;"生成成长"),3))*(VLOOKUP($B$5,标准坦克设计!$B$14:$K$20,9)/30))</f>
        <v>9.9981406448667531</v>
      </c>
      <c r="DZ134" s="173">
        <f ca="1">(VLOOKUP(DZ$72,INDIRECT($C$5&amp;"生成成长"),2))/((VLOOKUP($B134,INDIRECT($B$5&amp;"生成成长"),4))/(VLOOKUP(DZ$72,INDIRECT($C$5&amp;"生成成长"),5))*(VLOOKUP($B$5,标准坦克设计!$B$24:$U$30,MATCH("对"&amp;LEFT($C$5,2)&amp;"输出",标准坦克设计!$B$23:$U$23,0)))*(VLOOKUP($B134,INDIRECT($B$5&amp;"生成成长"),3))*(VLOOKUP($B$5,标准坦克设计!$B$14:$K$20,9)/30))</f>
        <v>11.072472799354779</v>
      </c>
      <c r="EA134" s="173">
        <f ca="1">(VLOOKUP(EA$72,INDIRECT($C$5&amp;"生成成长"),2))/((VLOOKUP($B134,INDIRECT($B$5&amp;"生成成长"),4))/(VLOOKUP(EA$72,INDIRECT($C$5&amp;"生成成长"),5))*(VLOOKUP($B$5,标准坦克设计!$B$24:$U$30,MATCH("对"&amp;LEFT($C$5,2)&amp;"输出",标准坦克设计!$B$23:$U$23,0)))*(VLOOKUP($B134,INDIRECT($B$5&amp;"生成成长"),3))*(VLOOKUP($B$5,标准坦克设计!$B$14:$K$20,9)/30))</f>
        <v>12.201617818867703</v>
      </c>
      <c r="EB134" s="173">
        <f ca="1">(VLOOKUP(EB$72,INDIRECT($C$5&amp;"生成成长"),2))/((VLOOKUP($B134,INDIRECT($B$5&amp;"生成成长"),4))/(VLOOKUP(EB$72,INDIRECT($C$5&amp;"生成成长"),5))*(VLOOKUP($B$5,标准坦克设计!$B$24:$U$30,MATCH("对"&amp;LEFT($C$5,2)&amp;"输出",标准坦克设计!$B$23:$U$23,0)))*(VLOOKUP($B134,INDIRECT($B$5&amp;"生成成长"),3))*(VLOOKUP($B$5,标准坦克设计!$B$14:$K$20,9)/30))</f>
        <v>13.38557570340553</v>
      </c>
      <c r="EC134" s="173">
        <f ca="1">(VLOOKUP(EC$72,INDIRECT($C$5&amp;"生成成长"),2))/((VLOOKUP($B134,INDIRECT($B$5&amp;"生成成长"),4))/(VLOOKUP(EC$72,INDIRECT($C$5&amp;"生成成长"),5))*(VLOOKUP($B$5,标准坦克设计!$B$24:$U$30,MATCH("对"&amp;LEFT($C$5,2)&amp;"输出",标准坦克设计!$B$23:$U$23,0)))*(VLOOKUP($B134,INDIRECT($B$5&amp;"生成成长"),3))*(VLOOKUP($B$5,标准坦克设计!$B$14:$K$20,9)/30))</f>
        <v>14.624346452968252</v>
      </c>
      <c r="ED134" s="173">
        <f ca="1">(VLOOKUP(ED$72,INDIRECT($C$5&amp;"生成成长"),2))/((VLOOKUP($B134,INDIRECT($B$5&amp;"生成成长"),4))/(VLOOKUP(ED$72,INDIRECT($C$5&amp;"生成成长"),5))*(VLOOKUP($B$5,标准坦克设计!$B$24:$U$30,MATCH("对"&amp;LEFT($C$5,2)&amp;"输出",标准坦克设计!$B$23:$U$23,0)))*(VLOOKUP($B134,INDIRECT($B$5&amp;"生成成长"),3))*(VLOOKUP($B$5,标准坦克设计!$B$14:$K$20,9)/30))</f>
        <v>15.917930067555874</v>
      </c>
      <c r="EE134" s="173">
        <f ca="1">(VLOOKUP(EE$72,INDIRECT($C$5&amp;"生成成长"),2))/((VLOOKUP($B134,INDIRECT($B$5&amp;"生成成长"),4))/(VLOOKUP(EE$72,INDIRECT($C$5&amp;"生成成长"),5))*(VLOOKUP($B$5,标准坦克设计!$B$24:$U$30,MATCH("对"&amp;LEFT($C$5,2)&amp;"输出",标准坦克设计!$B$23:$U$23,0)))*(VLOOKUP($B134,INDIRECT($B$5&amp;"生成成长"),3))*(VLOOKUP($B$5,标准坦克设计!$B$14:$K$20,9)/30))</f>
        <v>17.266326547168401</v>
      </c>
      <c r="EF134" s="173">
        <f ca="1">(VLOOKUP(EF$72,INDIRECT($C$5&amp;"生成成长"),2))/((VLOOKUP($B134,INDIRECT($B$5&amp;"生成成长"),4))/(VLOOKUP(EF$72,INDIRECT($C$5&amp;"生成成长"),5))*(VLOOKUP($B$5,标准坦克设计!$B$24:$U$30,MATCH("对"&amp;LEFT($C$5,2)&amp;"输出",标准坦克设计!$B$23:$U$23,0)))*(VLOOKUP($B134,INDIRECT($B$5&amp;"生成成长"),3))*(VLOOKUP($B$5,标准坦克设计!$B$14:$K$20,9)/30))</f>
        <v>18.669535891805818</v>
      </c>
      <c r="EG134" s="173">
        <f ca="1">(VLOOKUP(EG$72,INDIRECT($C$5&amp;"生成成长"),2))/((VLOOKUP($B134,INDIRECT($B$5&amp;"生成成长"),4))/(VLOOKUP(EG$72,INDIRECT($C$5&amp;"生成成长"),5))*(VLOOKUP($B$5,标准坦克设计!$B$24:$U$30,MATCH("对"&amp;LEFT($C$5,2)&amp;"输出",标准坦克设计!$B$23:$U$23,0)))*(VLOOKUP($B134,INDIRECT($B$5&amp;"生成成长"),3))*(VLOOKUP($B$5,标准坦克设计!$B$14:$K$20,9)/30))</f>
        <v>20.127558101468139</v>
      </c>
      <c r="EH134" s="173">
        <f ca="1">(VLOOKUP(EH$72,INDIRECT($C$5&amp;"生成成长"),2))/((VLOOKUP($B134,INDIRECT($B$5&amp;"生成成长"),4))/(VLOOKUP(EH$72,INDIRECT($C$5&amp;"生成成长"),5))*(VLOOKUP($B$5,标准坦克设计!$B$24:$U$30,MATCH("对"&amp;LEFT($C$5,2)&amp;"输出",标准坦克设计!$B$23:$U$23,0)))*(VLOOKUP($B134,INDIRECT($B$5&amp;"生成成长"),3))*(VLOOKUP($B$5,标准坦克设计!$B$14:$K$20,9)/30))</f>
        <v>21.640393176155364</v>
      </c>
      <c r="EI134" s="173">
        <f ca="1">(VLOOKUP(EI$72,INDIRECT($C$5&amp;"生成成长"),2))/((VLOOKUP($B134,INDIRECT($B$5&amp;"生成成长"),4))/(VLOOKUP(EI$72,INDIRECT($C$5&amp;"生成成长"),5))*(VLOOKUP($B$5,标准坦克设计!$B$24:$U$30,MATCH("对"&amp;LEFT($C$5,2)&amp;"输出",标准坦克设计!$B$23:$U$23,0)))*(VLOOKUP($B134,INDIRECT($B$5&amp;"生成成长"),3))*(VLOOKUP($B$5,标准坦克设计!$B$14:$K$20,9)/30))</f>
        <v>23.208041115867481</v>
      </c>
      <c r="EJ134" s="173">
        <f ca="1">(VLOOKUP(EJ$72,INDIRECT($C$5&amp;"生成成长"),2))/((VLOOKUP($B134,INDIRECT($B$5&amp;"生成成长"),4))/(VLOOKUP(EJ$72,INDIRECT($C$5&amp;"生成成长"),5))*(VLOOKUP($B$5,标准坦克设计!$B$24:$U$30,MATCH("对"&amp;LEFT($C$5,2)&amp;"输出",标准坦克设计!$B$23:$U$23,0)))*(VLOOKUP($B134,INDIRECT($B$5&amp;"生成成长"),3))*(VLOOKUP($B$5,标准坦克设计!$B$14:$K$20,9)/30))</f>
        <v>24.830501920604501</v>
      </c>
      <c r="EK134" s="173">
        <f ca="1">(VLOOKUP(EK$72,INDIRECT($C$5&amp;"生成成长"),2))/((VLOOKUP($B134,INDIRECT($B$5&amp;"生成成长"),4))/(VLOOKUP(EK$72,INDIRECT($C$5&amp;"生成成长"),5))*(VLOOKUP($B$5,标准坦克设计!$B$24:$U$30,MATCH("对"&amp;LEFT($C$5,2)&amp;"输出",标准坦克设计!$B$23:$U$23,0)))*(VLOOKUP($B134,INDIRECT($B$5&amp;"生成成长"),3))*(VLOOKUP($B$5,标准坦克设计!$B$14:$K$20,9)/30))</f>
        <v>26.84980786812179</v>
      </c>
      <c r="EL134" s="173">
        <f ca="1">(VLOOKUP(EL$72,INDIRECT($C$5&amp;"生成成长"),2))/((VLOOKUP($B134,INDIRECT($B$5&amp;"生成成长"),4))/(VLOOKUP(EL$72,INDIRECT($C$5&amp;"生成成长"),5))*(VLOOKUP($B$5,标准坦克设计!$B$24:$U$30,MATCH("对"&amp;LEFT($C$5,2)&amp;"输出",标准坦克设计!$B$23:$U$23,0)))*(VLOOKUP($B134,INDIRECT($B$5&amp;"生成成长"),3))*(VLOOKUP($B$5,标准坦克设计!$B$14:$K$20,9)/30))</f>
        <v>28.94804434127493</v>
      </c>
      <c r="EM134" s="173">
        <f ca="1">(VLOOKUP(EM$72,INDIRECT($C$5&amp;"生成成长"),2))/((VLOOKUP($B134,INDIRECT($B$5&amp;"生成成长"),4))/(VLOOKUP(EM$72,INDIRECT($C$5&amp;"生成成长"),5))*(VLOOKUP($B$5,标准坦克设计!$B$24:$U$30,MATCH("对"&amp;LEFT($C$5,2)&amp;"输出",标准坦克设计!$B$23:$U$23,0)))*(VLOOKUP($B134,INDIRECT($B$5&amp;"生成成长"),3))*(VLOOKUP($B$5,标准坦克设计!$B$14:$K$20,9)/30))</f>
        <v>31.125211340063931</v>
      </c>
      <c r="EN134" s="173">
        <f ca="1">(VLOOKUP(EN$72,INDIRECT($C$5&amp;"生成成长"),2))/((VLOOKUP($B134,INDIRECT($B$5&amp;"生成成长"),4))/(VLOOKUP(EN$72,INDIRECT($C$5&amp;"生成成长"),5))*(VLOOKUP($B$5,标准坦克设计!$B$24:$U$30,MATCH("对"&amp;LEFT($C$5,2)&amp;"输出",标准坦克设计!$B$23:$U$23,0)))*(VLOOKUP($B134,INDIRECT($B$5&amp;"生成成长"),3))*(VLOOKUP($B$5,标准坦克设计!$B$14:$K$20,9)/30))</f>
        <v>33.381308864488794</v>
      </c>
      <c r="EO134" s="173">
        <f ca="1">(VLOOKUP(EO$72,INDIRECT($C$5&amp;"生成成长"),2))/((VLOOKUP($B134,INDIRECT($B$5&amp;"生成成长"),4))/(VLOOKUP(EO$72,INDIRECT($C$5&amp;"生成成长"),5))*(VLOOKUP($B$5,标准坦克设计!$B$24:$U$30,MATCH("对"&amp;LEFT($C$5,2)&amp;"输出",标准坦克设计!$B$23:$U$23,0)))*(VLOOKUP($B134,INDIRECT($B$5&amp;"生成成长"),3))*(VLOOKUP($B$5,标准坦克设计!$B$14:$K$20,9)/30))</f>
        <v>35.716336914549501</v>
      </c>
      <c r="EP134" s="173">
        <f ca="1">(VLOOKUP(EP$72,INDIRECT($C$5&amp;"生成成长"),2))/((VLOOKUP($B134,INDIRECT($B$5&amp;"生成成长"),4))/(VLOOKUP(EP$72,INDIRECT($C$5&amp;"生成成长"),5))*(VLOOKUP($B$5,标准坦克设计!$B$24:$U$30,MATCH("对"&amp;LEFT($C$5,2)&amp;"输出",标准坦克设计!$B$23:$U$23,0)))*(VLOOKUP($B134,INDIRECT($B$5&amp;"生成成长"),3))*(VLOOKUP($B$5,标准坦克设计!$B$14:$K$20,9)/30))</f>
        <v>38.130295490246063</v>
      </c>
      <c r="EQ134" s="173">
        <f ca="1">(VLOOKUP(EQ$72,INDIRECT($C$5&amp;"生成成长"),2))/((VLOOKUP($B134,INDIRECT($B$5&amp;"生成成长"),4))/(VLOOKUP(EQ$72,INDIRECT($C$5&amp;"生成成长"),5))*(VLOOKUP($B$5,标准坦克设计!$B$24:$U$30,MATCH("对"&amp;LEFT($C$5,2)&amp;"输出",标准坦克设计!$B$23:$U$23,0)))*(VLOOKUP($B134,INDIRECT($B$5&amp;"生成成长"),3))*(VLOOKUP($B$5,标准坦克设计!$B$14:$K$20,9)/30))</f>
        <v>16.856052252457026</v>
      </c>
      <c r="ER134" s="173">
        <f ca="1">(VLOOKUP(ER$72,INDIRECT($C$5&amp;"生成成长"),2))/((VLOOKUP($B134,INDIRECT($B$5&amp;"生成成长"),4))/(VLOOKUP(ER$72,INDIRECT($C$5&amp;"生成成长"),5))*(VLOOKUP($B$5,标准坦克设计!$B$24:$U$30,MATCH("对"&amp;LEFT($C$5,2)&amp;"输出",标准坦克设计!$B$23:$U$23,0)))*(VLOOKUP($B134,INDIRECT($B$5&amp;"生成成长"),3))*(VLOOKUP($B$5,标准坦克设计!$B$14:$K$20,9)/30))</f>
        <v>18.384508993676342</v>
      </c>
      <c r="ES134" s="173">
        <f ca="1">(VLOOKUP(ES$72,INDIRECT($C$5&amp;"生成成长"),2))/((VLOOKUP($B134,INDIRECT($B$5&amp;"生成成长"),4))/(VLOOKUP(ES$72,INDIRECT($C$5&amp;"生成成长"),5))*(VLOOKUP($B$5,标准坦克设计!$B$24:$U$30,MATCH("对"&amp;LEFT($C$5,2)&amp;"输出",标准坦克设计!$B$23:$U$23,0)))*(VLOOKUP($B134,INDIRECT($B$5&amp;"生成成长"),3))*(VLOOKUP($B$5,标准坦克设计!$B$14:$K$20,9)/30))</f>
        <v>19.97928930157579</v>
      </c>
      <c r="ET134" s="173">
        <f ca="1">(VLOOKUP(ET$72,INDIRECT($C$5&amp;"生成成长"),2))/((VLOOKUP($B134,INDIRECT($B$5&amp;"生成成长"),4))/(VLOOKUP(ET$72,INDIRECT($C$5&amp;"生成成长"),5))*(VLOOKUP($B$5,标准坦克设计!$B$24:$U$30,MATCH("对"&amp;LEFT($C$5,2)&amp;"输出",标准坦克设计!$B$23:$U$23,0)))*(VLOOKUP($B134,INDIRECT($B$5&amp;"生成成长"),3))*(VLOOKUP($B$5,标准坦克设计!$B$14:$K$20,9)/30))</f>
        <v>21.640393176155364</v>
      </c>
      <c r="EU134" s="173">
        <f ca="1">(VLOOKUP(EU$72,INDIRECT($C$5&amp;"生成成长"),2))/((VLOOKUP($B134,INDIRECT($B$5&amp;"生成成长"),4))/(VLOOKUP(EU$72,INDIRECT($C$5&amp;"生成成长"),5))*(VLOOKUP($B$5,标准坦克设计!$B$24:$U$30,MATCH("对"&amp;LEFT($C$5,2)&amp;"输出",标准坦克设计!$B$23:$U$23,0)))*(VLOOKUP($B134,INDIRECT($B$5&amp;"生成成长"),3))*(VLOOKUP($B$5,标准坦克设计!$B$14:$K$20,9)/30))</f>
        <v>23.36782061741506</v>
      </c>
      <c r="EV134" s="173">
        <f ca="1">(VLOOKUP(EV$72,INDIRECT($C$5&amp;"生成成长"),2))/((VLOOKUP($B134,INDIRECT($B$5&amp;"生成成长"),4))/(VLOOKUP(EV$72,INDIRECT($C$5&amp;"生成成长"),5))*(VLOOKUP($B$5,标准坦克设计!$B$24:$U$30,MATCH("对"&amp;LEFT($C$5,2)&amp;"输出",标准坦克设计!$B$23:$U$23,0)))*(VLOOKUP($B134,INDIRECT($B$5&amp;"生成成长"),3))*(VLOOKUP($B$5,标准坦克设计!$B$14:$K$20,9)/30))</f>
        <v>25.161571625354888</v>
      </c>
      <c r="EW134" s="173">
        <f ca="1">(VLOOKUP(EW$72,INDIRECT($C$5&amp;"生成成长"),2))/((VLOOKUP($B134,INDIRECT($B$5&amp;"生成成长"),4))/(VLOOKUP(EW$72,INDIRECT($C$5&amp;"生成成长"),5))*(VLOOKUP($B$5,标准坦克设计!$B$24:$U$30,MATCH("对"&amp;LEFT($C$5,2)&amp;"输出",标准坦克设计!$B$23:$U$23,0)))*(VLOOKUP($B134,INDIRECT($B$5&amp;"生成成长"),3))*(VLOOKUP($B$5,标准坦克设计!$B$14:$K$20,9)/30))</f>
        <v>27.021646199974853</v>
      </c>
      <c r="EX134" s="173">
        <f ca="1">(VLOOKUP(EX$72,INDIRECT($C$5&amp;"生成成长"),2))/((VLOOKUP($B134,INDIRECT($B$5&amp;"生成成长"),4))/(VLOOKUP(EX$72,INDIRECT($C$5&amp;"生成成长"),5))*(VLOOKUP($B$5,标准坦克设计!$B$24:$U$30,MATCH("对"&amp;LEFT($C$5,2)&amp;"输出",标准坦克设计!$B$23:$U$23,0)))*(VLOOKUP($B134,INDIRECT($B$5&amp;"生成成长"),3))*(VLOOKUP($B$5,标准坦克设计!$B$14:$K$20,9)/30))</f>
        <v>28.94804434127493</v>
      </c>
      <c r="EY134" s="173">
        <f ca="1">(VLOOKUP(EY$72,INDIRECT($C$5&amp;"生成成长"),2))/((VLOOKUP($B134,INDIRECT($B$5&amp;"生成成长"),4))/(VLOOKUP(EY$72,INDIRECT($C$5&amp;"生成成长"),5))*(VLOOKUP($B$5,标准坦克设计!$B$24:$U$30,MATCH("对"&amp;LEFT($C$5,2)&amp;"输出",标准坦克设计!$B$23:$U$23,0)))*(VLOOKUP($B134,INDIRECT($B$5&amp;"生成成长"),3))*(VLOOKUP($B$5,标准坦克设计!$B$14:$K$20,9)/30))</f>
        <v>30.940766049255146</v>
      </c>
      <c r="EZ134" s="173">
        <f ca="1">(VLOOKUP(EZ$72,INDIRECT($C$5&amp;"生成成长"),2))/((VLOOKUP($B134,INDIRECT($B$5&amp;"生成成长"),4))/(VLOOKUP(EZ$72,INDIRECT($C$5&amp;"生成成长"),5))*(VLOOKUP($B$5,标准坦克设计!$B$24:$U$30,MATCH("对"&amp;LEFT($C$5,2)&amp;"输出",标准坦克设计!$B$23:$U$23,0)))*(VLOOKUP($B134,INDIRECT($B$5&amp;"生成成长"),3))*(VLOOKUP($B$5,标准坦克设计!$B$14:$K$20,9)/30))</f>
        <v>32.999811323915488</v>
      </c>
      <c r="FA134" s="173">
        <f ca="1">(VLOOKUP(FA$72,INDIRECT($C$5&amp;"生成成长"),2))/((VLOOKUP($B134,INDIRECT($B$5&amp;"生成成长"),4))/(VLOOKUP(FA$72,INDIRECT($C$5&amp;"生成成长"),5))*(VLOOKUP($B$5,标准坦克设计!$B$24:$U$30,MATCH("对"&amp;LEFT($C$5,2)&amp;"输出",标准坦克设计!$B$23:$U$23,0)))*(VLOOKUP($B134,INDIRECT($B$5&amp;"生成成长"),3))*(VLOOKUP($B$5,标准坦克设计!$B$14:$K$20,9)/30))</f>
        <v>35.125180165255962</v>
      </c>
      <c r="FB134" s="173">
        <f ca="1">(VLOOKUP(FB$72,INDIRECT($C$5&amp;"生成成长"),2))/((VLOOKUP($B134,INDIRECT($B$5&amp;"生成成长"),4))/(VLOOKUP(FB$72,INDIRECT($C$5&amp;"生成成长"),5))*(VLOOKUP($B$5,标准坦克设计!$B$24:$U$30,MATCH("对"&amp;LEFT($C$5,2)&amp;"输出",标准坦克设计!$B$23:$U$23,0)))*(VLOOKUP($B134,INDIRECT($B$5&amp;"生成成长"),3))*(VLOOKUP($B$5,标准坦克设计!$B$14:$K$20,9)/30))</f>
        <v>37.316872573276548</v>
      </c>
      <c r="FC134" s="173">
        <f ca="1">(VLOOKUP(FC$72,INDIRECT($C$5&amp;"生成成长"),2))/((VLOOKUP($B134,INDIRECT($B$5&amp;"生成成长"),4))/(VLOOKUP(FC$72,INDIRECT($C$5&amp;"生成成长"),5))*(VLOOKUP($B$5,标准坦克设计!$B$24:$U$30,MATCH("对"&amp;LEFT($C$5,2)&amp;"输出",标准坦克设计!$B$23:$U$23,0)))*(VLOOKUP($B134,INDIRECT($B$5&amp;"生成成长"),3))*(VLOOKUP($B$5,标准坦克设计!$B$14:$K$20,9)/30))</f>
        <v>39.574888547977281</v>
      </c>
      <c r="FD134" s="173">
        <f ca="1">(VLOOKUP(FD$72,INDIRECT($C$5&amp;"生成成长"),2))/((VLOOKUP($B134,INDIRECT($B$5&amp;"生成成长"),4))/(VLOOKUP(FD$72,INDIRECT($C$5&amp;"生成成长"),5))*(VLOOKUP($B$5,标准坦克设计!$B$24:$U$30,MATCH("对"&amp;LEFT($C$5,2)&amp;"输出",标准坦克设计!$B$23:$U$23,0)))*(VLOOKUP($B134,INDIRECT($B$5&amp;"生成成长"),3))*(VLOOKUP($B$5,标准坦克设计!$B$14:$K$20,9)/30))</f>
        <v>41.899228089358132</v>
      </c>
      <c r="FE134" s="173">
        <f ca="1">(VLOOKUP(FE$72,INDIRECT($C$5&amp;"生成成长"),2))/((VLOOKUP($B134,INDIRECT($B$5&amp;"生成成长"),4))/(VLOOKUP(FE$72,INDIRECT($C$5&amp;"生成成长"),5))*(VLOOKUP($B$5,标准坦克设计!$B$24:$U$30,MATCH("对"&amp;LEFT($C$5,2)&amp;"输出",标准坦克设计!$B$23:$U$23,0)))*(VLOOKUP($B134,INDIRECT($B$5&amp;"生成成长"),3))*(VLOOKUP($B$5,标准坦克设计!$B$14:$K$20,9)/30))</f>
        <v>44.731682889519803</v>
      </c>
      <c r="FF134" s="173">
        <f ca="1">(VLOOKUP(FF$72,INDIRECT($C$5&amp;"生成成长"),2))/((VLOOKUP($B134,INDIRECT($B$5&amp;"生成成长"),4))/(VLOOKUP(FF$72,INDIRECT($C$5&amp;"生成成长"),5))*(VLOOKUP($B$5,标准坦克设计!$B$24:$U$30,MATCH("对"&amp;LEFT($C$5,2)&amp;"输出",标准坦克设计!$B$23:$U$23,0)))*(VLOOKUP($B134,INDIRECT($B$5&amp;"生成成长"),3))*(VLOOKUP($B$5,标准坦克设计!$B$14:$K$20,9)/30))</f>
        <v>47.656771431573553</v>
      </c>
      <c r="FG134" s="173">
        <f ca="1">(VLOOKUP(FG$72,INDIRECT($C$5&amp;"生成成长"),2))/((VLOOKUP($B134,INDIRECT($B$5&amp;"生成成长"),4))/(VLOOKUP(FG$72,INDIRECT($C$5&amp;"生成成长"),5))*(VLOOKUP($B$5,标准坦克设计!$B$24:$U$30,MATCH("对"&amp;LEFT($C$5,2)&amp;"输出",标准坦克设计!$B$23:$U$23,0)))*(VLOOKUP($B134,INDIRECT($B$5&amp;"生成成长"),3))*(VLOOKUP($B$5,标准坦克设计!$B$14:$K$20,9)/30))</f>
        <v>50.674493715519382</v>
      </c>
      <c r="FH134" s="173">
        <f ca="1">(VLOOKUP(FH$72,INDIRECT($C$5&amp;"生成成长"),2))/((VLOOKUP($B134,INDIRECT($B$5&amp;"生成成长"),4))/(VLOOKUP(FH$72,INDIRECT($C$5&amp;"生成成长"),5))*(VLOOKUP($B$5,标准坦克设计!$B$24:$U$30,MATCH("对"&amp;LEFT($C$5,2)&amp;"输出",标准坦克设计!$B$23:$U$23,0)))*(VLOOKUP($B134,INDIRECT($B$5&amp;"生成成长"),3))*(VLOOKUP($B$5,标准坦克设计!$B$14:$K$20,9)/30))</f>
        <v>53.784849741357299</v>
      </c>
      <c r="FI134" s="173">
        <f ca="1">(VLOOKUP(FI$72,INDIRECT($C$5&amp;"生成成长"),2))/((VLOOKUP($B134,INDIRECT($B$5&amp;"生成成长"),4))/(VLOOKUP(FI$72,INDIRECT($C$5&amp;"生成成长"),5))*(VLOOKUP($B$5,标准坦克设计!$B$24:$U$30,MATCH("对"&amp;LEFT($C$5,2)&amp;"输出",标准坦克设计!$B$23:$U$23,0)))*(VLOOKUP($B134,INDIRECT($B$5&amp;"生成成长"),3))*(VLOOKUP($B$5,标准坦克设计!$B$14:$K$20,9)/30))</f>
        <v>56.98783950908728</v>
      </c>
      <c r="FJ134" s="173">
        <f ca="1">(VLOOKUP(FJ$72,INDIRECT($C$5&amp;"生成成长"),2))/((VLOOKUP($B134,INDIRECT($B$5&amp;"生成成长"),4))/(VLOOKUP(FJ$72,INDIRECT($C$5&amp;"生成成长"),5))*(VLOOKUP($B$5,标准坦克设计!$B$24:$U$30,MATCH("对"&amp;LEFT($C$5,2)&amp;"输出",标准坦克设计!$B$23:$U$23,0)))*(VLOOKUP($B134,INDIRECT($B$5&amp;"生成成长"),3))*(VLOOKUP($B$5,标准坦克设计!$B$14:$K$20,9)/30))</f>
        <v>60.283463018709348</v>
      </c>
      <c r="FK134" s="173">
        <f ca="1">(VLOOKUP(FK$72,INDIRECT($C$5&amp;"生成成长"),2))/((VLOOKUP($B134,INDIRECT($B$5&amp;"生成成长"),4))/(VLOOKUP(FK$72,INDIRECT($C$5&amp;"生成成长"),5))*(VLOOKUP($B$5,标准坦克设计!$B$24:$U$30,MATCH("对"&amp;LEFT($C$5,2)&amp;"输出",标准坦克设计!$B$23:$U$23,0)))*(VLOOKUP($B134,INDIRECT($B$5&amp;"生成成长"),3))*(VLOOKUP($B$5,标准坦克设计!$B$14:$K$20,9)/30))</f>
        <v>63.671720270223496</v>
      </c>
    </row>
    <row r="135" spans="1:167" x14ac:dyDescent="0.15">
      <c r="A135" s="171" t="str">
        <f t="shared" si="11"/>
        <v>T3中品质6级</v>
      </c>
      <c r="B135" s="172">
        <v>20306</v>
      </c>
      <c r="C135" s="173">
        <f ca="1">(VLOOKUP(C$72,INDIRECT($C$5&amp;"生成成长"),2))/((VLOOKUP($B135,INDIRECT($B$5&amp;"生成成长"),4))/(VLOOKUP(C$72,INDIRECT($C$5&amp;"生成成长"),5))*(VLOOKUP($B$5,标准坦克设计!$B$24:$U$30,MATCH("对"&amp;LEFT($C$5,2)&amp;"输出",标准坦克设计!$B$23:$U$23,0)))*(VLOOKUP($B135,INDIRECT($B$5&amp;"生成成长"),3))*(VLOOKUP($B$5,标准坦克设计!$B$14:$K$20,9)/30))</f>
        <v>2.4912364081136196</v>
      </c>
      <c r="D135" s="173">
        <f ca="1">(VLOOKUP(D$72,INDIRECT($C$5&amp;"生成成长"),2))/((VLOOKUP($B135,INDIRECT($B$5&amp;"生成成长"),4))/(VLOOKUP(D$72,INDIRECT($C$5&amp;"生成成长"),5))*(VLOOKUP($B$5,标准坦克设计!$B$24:$U$30,MATCH("对"&amp;LEFT($C$5,2)&amp;"输出",标准坦克设计!$B$23:$U$23,0)))*(VLOOKUP($B135,INDIRECT($B$5&amp;"生成成长"),3))*(VLOOKUP($B$5,标准坦克设计!$B$14:$K$20,9)/30))</f>
        <v>2.7991532281564631</v>
      </c>
      <c r="E135" s="173">
        <f ca="1">(VLOOKUP(E$72,INDIRECT($C$5&amp;"生成成长"),2))/((VLOOKUP($B135,INDIRECT($B$5&amp;"生成成长"),4))/(VLOOKUP(E$72,INDIRECT($C$5&amp;"生成成长"),5))*(VLOOKUP($B$5,标准坦克设计!$B$24:$U$30,MATCH("对"&amp;LEFT($C$5,2)&amp;"输出",标准坦克设计!$B$23:$U$23,0)))*(VLOOKUP($B135,INDIRECT($B$5&amp;"生成成长"),3))*(VLOOKUP($B$5,标准坦克设计!$B$14:$K$20,9)/30))</f>
        <v>3.1250069503377245</v>
      </c>
      <c r="F135" s="173">
        <f ca="1">(VLOOKUP(F$72,INDIRECT($C$5&amp;"生成成长"),2))/((VLOOKUP($B135,INDIRECT($B$5&amp;"生成成长"),4))/(VLOOKUP(F$72,INDIRECT($C$5&amp;"生成成长"),5))*(VLOOKUP($B$5,标准坦克设计!$B$24:$U$30,MATCH("对"&amp;LEFT($C$5,2)&amp;"输出",标准坦克设计!$B$23:$U$23,0)))*(VLOOKUP($B135,INDIRECT($B$5&amp;"生成成长"),3))*(VLOOKUP($B$5,标准坦克设计!$B$14:$K$20,9)/30))</f>
        <v>3.4687975746574042</v>
      </c>
      <c r="G135" s="173">
        <f ca="1">(VLOOKUP(G$72,INDIRECT($C$5&amp;"生成成长"),2))/((VLOOKUP($B135,INDIRECT($B$5&amp;"生成成长"),4))/(VLOOKUP(G$72,INDIRECT($C$5&amp;"生成成长"),5))*(VLOOKUP($B$5,标准坦克设计!$B$24:$U$30,MATCH("对"&amp;LEFT($C$5,2)&amp;"输出",标准坦克设计!$B$23:$U$23,0)))*(VLOOKUP($B135,INDIRECT($B$5&amp;"生成成长"),3))*(VLOOKUP($B$5,标准坦克设计!$B$14:$K$20,9)/30))</f>
        <v>3.8305251011155015</v>
      </c>
      <c r="H135" s="173">
        <f ca="1">(VLOOKUP(H$72,INDIRECT($C$5&amp;"生成成长"),2))/((VLOOKUP($B135,INDIRECT($B$5&amp;"生成成长"),4))/(VLOOKUP(H$72,INDIRECT($C$5&amp;"生成成长"),5))*(VLOOKUP($B$5,标准坦克设计!$B$24:$U$30,MATCH("对"&amp;LEFT($C$5,2)&amp;"输出",标准坦克设计!$B$23:$U$23,0)))*(VLOOKUP($B135,INDIRECT($B$5&amp;"生成成长"),3))*(VLOOKUP($B$5,标准坦克设计!$B$14:$K$20,9)/30))</f>
        <v>3.3522077107576864</v>
      </c>
      <c r="I135" s="173">
        <f ca="1">(VLOOKUP(I$72,INDIRECT($C$5&amp;"生成成长"),2))/((VLOOKUP($B135,INDIRECT($B$5&amp;"生成成长"),4))/(VLOOKUP(I$72,INDIRECT($C$5&amp;"生成成长"),5))*(VLOOKUP($B$5,标准坦克设计!$B$24:$U$30,MATCH("对"&amp;LEFT($C$5,2)&amp;"输出",标准坦克设计!$B$23:$U$23,0)))*(VLOOKUP($B135,INDIRECT($B$5&amp;"生成成长"),3))*(VLOOKUP($B$5,标准坦克设计!$B$14:$K$20,9)/30))</f>
        <v>3.8305251011155015</v>
      </c>
      <c r="J135" s="173">
        <f ca="1">(VLOOKUP(J$72,INDIRECT($C$5&amp;"生成成长"),2))/((VLOOKUP($B135,INDIRECT($B$5&amp;"生成成长"),4))/(VLOOKUP(J$72,INDIRECT($C$5&amp;"生成成长"),5))*(VLOOKUP($B$5,标准坦克设计!$B$24:$U$30,MATCH("对"&amp;LEFT($C$5,2)&amp;"输出",标准坦克设计!$B$23:$U$23,0)))*(VLOOKUP($B135,INDIRECT($B$5&amp;"生成成长"),3))*(VLOOKUP($B$5,标准坦克设计!$B$14:$K$20,9)/30))</f>
        <v>4.3407303174971705</v>
      </c>
      <c r="K135" s="173">
        <f ca="1">(VLOOKUP(K$72,INDIRECT($C$5&amp;"生成成长"),2))/((VLOOKUP($B135,INDIRECT($B$5&amp;"生成成长"),4))/(VLOOKUP(K$72,INDIRECT($C$5&amp;"生成成长"),5))*(VLOOKUP($B$5,标准坦克设计!$B$24:$U$30,MATCH("对"&amp;LEFT($C$5,2)&amp;"输出",标准坦克设计!$B$23:$U$23,0)))*(VLOOKUP($B135,INDIRECT($B$5&amp;"生成成长"),3))*(VLOOKUP($B$5,标准坦克设计!$B$14:$K$20,9)/30))</f>
        <v>4.8828233599026936</v>
      </c>
      <c r="L135" s="173">
        <f ca="1">(VLOOKUP(L$72,INDIRECT($C$5&amp;"生成成长"),2))/((VLOOKUP($B135,INDIRECT($B$5&amp;"生成成长"),4))/(VLOOKUP(L$72,INDIRECT($C$5&amp;"生成成长"),5))*(VLOOKUP($B$5,标准坦克设计!$B$24:$U$30,MATCH("对"&amp;LEFT($C$5,2)&amp;"输出",标准坦克设计!$B$23:$U$23,0)))*(VLOOKUP($B135,INDIRECT($B$5&amp;"生成成长"),3))*(VLOOKUP($B$5,标准坦克设计!$B$14:$K$20,9)/30))</f>
        <v>5.4568042283320715</v>
      </c>
      <c r="M135" s="173">
        <f ca="1">(VLOOKUP(M$72,INDIRECT($C$5&amp;"生成成长"),2))/((VLOOKUP($B135,INDIRECT($B$5&amp;"生成成长"),4))/(VLOOKUP(M$72,INDIRECT($C$5&amp;"生成成长"),5))*(VLOOKUP($B$5,标准坦克设计!$B$24:$U$30,MATCH("对"&amp;LEFT($C$5,2)&amp;"输出",标准坦克设计!$B$23:$U$23,0)))*(VLOOKUP($B135,INDIRECT($B$5&amp;"生成成长"),3))*(VLOOKUP($B$5,标准坦克设计!$B$14:$K$20,9)/30))</f>
        <v>6.0626729227853042</v>
      </c>
      <c r="N135" s="173">
        <f ca="1">(VLOOKUP(N$72,INDIRECT($C$5&amp;"生成成长"),2))/((VLOOKUP($B135,INDIRECT($B$5&amp;"生成成长"),4))/(VLOOKUP(N$72,INDIRECT($C$5&amp;"生成成长"),5))*(VLOOKUP($B$5,标准坦克设计!$B$24:$U$30,MATCH("对"&amp;LEFT($C$5,2)&amp;"输出",标准坦克设计!$B$23:$U$23,0)))*(VLOOKUP($B135,INDIRECT($B$5&amp;"生成成长"),3))*(VLOOKUP($B$5,标准坦克设计!$B$14:$K$20,9)/30))</f>
        <v>6.7004294432623919</v>
      </c>
      <c r="O135" s="173">
        <f ca="1">(VLOOKUP(O$72,INDIRECT($C$5&amp;"生成成长"),2))/((VLOOKUP($B135,INDIRECT($B$5&amp;"生成成长"),4))/(VLOOKUP(O$72,INDIRECT($C$5&amp;"生成成长"),5))*(VLOOKUP($B$5,标准坦克设计!$B$24:$U$30,MATCH("对"&amp;LEFT($C$5,2)&amp;"输出",标准坦克设计!$B$23:$U$23,0)))*(VLOOKUP($B135,INDIRECT($B$5&amp;"生成成长"),3))*(VLOOKUP($B$5,标准坦克设计!$B$14:$K$20,9)/30))</f>
        <v>5.0943293309515409</v>
      </c>
      <c r="P135" s="173">
        <f ca="1">(VLOOKUP(P$72,INDIRECT($C$5&amp;"生成成长"),2))/((VLOOKUP($B135,INDIRECT($B$5&amp;"生成成长"),4))/(VLOOKUP(P$72,INDIRECT($C$5&amp;"生成成长"),5))*(VLOOKUP($B$5,标准坦克设计!$B$24:$U$30,MATCH("对"&amp;LEFT($C$5,2)&amp;"输出",标准坦克设计!$B$23:$U$23,0)))*(VLOOKUP($B135,INDIRECT($B$5&amp;"生成成长"),3))*(VLOOKUP($B$5,标准坦克设计!$B$14:$K$20,9)/30))</f>
        <v>5.7557525973057064</v>
      </c>
      <c r="Q135" s="173">
        <f ca="1">(VLOOKUP(Q$72,INDIRECT($C$5&amp;"生成成长"),2))/((VLOOKUP($B135,INDIRECT($B$5&amp;"生成成长"),4))/(VLOOKUP(Q$72,INDIRECT($C$5&amp;"生成成长"),5))*(VLOOKUP($B$5,标准坦克设计!$B$24:$U$30,MATCH("对"&amp;LEFT($C$5,2)&amp;"输出",标准坦克设计!$B$23:$U$23,0)))*(VLOOKUP($B135,INDIRECT($B$5&amp;"生成成长"),3))*(VLOOKUP($B$5,标准坦克设计!$B$14:$K$20,9)/30))</f>
        <v>6.4575338934713145</v>
      </c>
      <c r="R135" s="173">
        <f ca="1">(VLOOKUP(R$72,INDIRECT($C$5&amp;"生成成长"),2))/((VLOOKUP($B135,INDIRECT($B$5&amp;"生成成长"),4))/(VLOOKUP(R$72,INDIRECT($C$5&amp;"生成成长"),5))*(VLOOKUP($B$5,标准坦克设计!$B$24:$U$30,MATCH("对"&amp;LEFT($C$5,2)&amp;"输出",标准坦克设计!$B$23:$U$23,0)))*(VLOOKUP($B135,INDIRECT($B$5&amp;"生成成长"),3))*(VLOOKUP($B$5,标准坦克设计!$B$14:$K$20,9)/30))</f>
        <v>7.1996732194483597</v>
      </c>
      <c r="S135" s="173">
        <f ca="1">(VLOOKUP(S$72,INDIRECT($C$5&amp;"生成成长"),2))/((VLOOKUP($B135,INDIRECT($B$5&amp;"生成成长"),4))/(VLOOKUP(S$72,INDIRECT($C$5&amp;"生成成长"),5))*(VLOOKUP($B$5,标准坦克设计!$B$24:$U$30,MATCH("对"&amp;LEFT($C$5,2)&amp;"输出",标准坦克设计!$B$23:$U$23,0)))*(VLOOKUP($B135,INDIRECT($B$5&amp;"生成成长"),3))*(VLOOKUP($B$5,标准坦克设计!$B$14:$K$20,9)/30))</f>
        <v>7.9821705752368493</v>
      </c>
      <c r="T135" s="173">
        <f ca="1">(VLOOKUP(T$72,INDIRECT($C$5&amp;"生成成长"),2))/((VLOOKUP($B135,INDIRECT($B$5&amp;"生成成长"),4))/(VLOOKUP(T$72,INDIRECT($C$5&amp;"生成成长"),5))*(VLOOKUP($B$5,标准坦克设计!$B$24:$U$30,MATCH("对"&amp;LEFT($C$5,2)&amp;"输出",标准坦克设计!$B$23:$U$23,0)))*(VLOOKUP($B135,INDIRECT($B$5&amp;"生成成长"),3))*(VLOOKUP($B$5,标准坦克设计!$B$14:$K$20,9)/30))</f>
        <v>8.8050259608367742</v>
      </c>
      <c r="U135" s="173">
        <f ca="1">(VLOOKUP(U$72,INDIRECT($C$5&amp;"生成成长"),2))/((VLOOKUP($B135,INDIRECT($B$5&amp;"生成成长"),4))/(VLOOKUP(U$72,INDIRECT($C$5&amp;"生成成长"),5))*(VLOOKUP($B$5,标准坦克设计!$B$24:$U$30,MATCH("对"&amp;LEFT($C$5,2)&amp;"输出",标准坦克设计!$B$23:$U$23,0)))*(VLOOKUP($B135,INDIRECT($B$5&amp;"生成成长"),3))*(VLOOKUP($B$5,标准坦克设计!$B$14:$K$20,9)/30))</f>
        <v>9.6682393762481453</v>
      </c>
      <c r="V135" s="173">
        <f ca="1">(VLOOKUP(V$72,INDIRECT($C$5&amp;"生成成长"),2))/((VLOOKUP($B135,INDIRECT($B$5&amp;"生成成长"),4))/(VLOOKUP(V$72,INDIRECT($C$5&amp;"生成成长"),5))*(VLOOKUP($B$5,标准坦克设计!$B$24:$U$30,MATCH("对"&amp;LEFT($C$5,2)&amp;"输出",标准坦克设计!$B$23:$U$23,0)))*(VLOOKUP($B135,INDIRECT($B$5&amp;"生成成长"),3))*(VLOOKUP($B$5,标准坦克设计!$B$14:$K$20,9)/30))</f>
        <v>10.571810821470955</v>
      </c>
      <c r="W135" s="173">
        <f ca="1">(VLOOKUP(W$72,INDIRECT($C$5&amp;"生成成长"),2))/((VLOOKUP($B135,INDIRECT($B$5&amp;"生成成长"),4))/(VLOOKUP(W$72,INDIRECT($C$5&amp;"生成成长"),5))*(VLOOKUP($B$5,标准坦克设计!$B$24:$U$30,MATCH("对"&amp;LEFT($C$5,2)&amp;"输出",标准坦克设计!$B$23:$U$23,0)))*(VLOOKUP($B135,INDIRECT($B$5&amp;"生成成长"),3))*(VLOOKUP($B$5,标准坦克设计!$B$14:$K$20,9)/30))</f>
        <v>11.515740296505205</v>
      </c>
      <c r="X135" s="173">
        <f ca="1">(VLOOKUP(X$72,INDIRECT($C$5&amp;"生成成长"),2))/((VLOOKUP($B135,INDIRECT($B$5&amp;"生成成长"),4))/(VLOOKUP(X$72,INDIRECT($C$5&amp;"生成成长"),5))*(VLOOKUP($B$5,标准坦克设计!$B$24:$U$30,MATCH("对"&amp;LEFT($C$5,2)&amp;"输出",标准坦克设计!$B$23:$U$23,0)))*(VLOOKUP($B135,INDIRECT($B$5&amp;"生成成长"),3))*(VLOOKUP($B$5,标准坦克设计!$B$14:$K$20,9)/30))</f>
        <v>8.342901607131699</v>
      </c>
      <c r="Y135" s="173">
        <f ca="1">(VLOOKUP(Y$72,INDIRECT($C$5&amp;"生成成长"),2))/((VLOOKUP($B135,INDIRECT($B$5&amp;"生成成长"),4))/(VLOOKUP(Y$72,INDIRECT($C$5&amp;"生成成长"),5))*(VLOOKUP($B$5,标准坦克设计!$B$24:$U$30,MATCH("对"&amp;LEFT($C$5,2)&amp;"输出",标准坦克设计!$B$23:$U$23,0)))*(VLOOKUP($B135,INDIRECT($B$5&amp;"生成成长"),3))*(VLOOKUP($B$5,标准坦克设计!$B$14:$K$20,9)/30))</f>
        <v>9.2796064965824208</v>
      </c>
      <c r="Z135" s="173">
        <f ca="1">(VLOOKUP(Z$72,INDIRECT($C$5&amp;"生成成长"),2))/((VLOOKUP($B135,INDIRECT($B$5&amp;"生成成长"),4))/(VLOOKUP(Z$72,INDIRECT($C$5&amp;"生成成长"),5))*(VLOOKUP($B$5,标准坦克设计!$B$24:$U$30,MATCH("对"&amp;LEFT($C$5,2)&amp;"输出",标准坦克设计!$B$23:$U$23,0)))*(VLOOKUP($B135,INDIRECT($B$5&amp;"生成成长"),3))*(VLOOKUP($B$5,标准坦克设计!$B$14:$K$20,9)/30))</f>
        <v>10.266136114195413</v>
      </c>
      <c r="AA135" s="173">
        <f ca="1">(VLOOKUP(AA$72,INDIRECT($C$5&amp;"生成成长"),2))/((VLOOKUP($B135,INDIRECT($B$5&amp;"生成成长"),4))/(VLOOKUP(AA$72,INDIRECT($C$5&amp;"生成成长"),5))*(VLOOKUP($B$5,标准坦克设计!$B$24:$U$30,MATCH("对"&amp;LEFT($C$5,2)&amp;"输出",标准坦克设计!$B$23:$U$23,0)))*(VLOOKUP($B135,INDIRECT($B$5&amp;"生成成长"),3))*(VLOOKUP($B$5,标准坦克设计!$B$14:$K$20,9)/30))</f>
        <v>11.302490459970683</v>
      </c>
      <c r="AB135" s="173">
        <f ca="1">(VLOOKUP(AB$72,INDIRECT($C$5&amp;"生成成长"),2))/((VLOOKUP($B135,INDIRECT($B$5&amp;"生成成长"),4))/(VLOOKUP(AB$72,INDIRECT($C$5&amp;"生成成长"),5))*(VLOOKUP($B$5,标准坦克设计!$B$24:$U$30,MATCH("对"&amp;LEFT($C$5,2)&amp;"输出",标准坦克设计!$B$23:$U$23,0)))*(VLOOKUP($B135,INDIRECT($B$5&amp;"生成成长"),3))*(VLOOKUP($B$5,标准坦克设计!$B$14:$K$20,9)/30))</f>
        <v>12.388669533908217</v>
      </c>
      <c r="AC135" s="173">
        <f ca="1">(VLOOKUP(AC$72,INDIRECT($C$5&amp;"生成成长"),2))/((VLOOKUP($B135,INDIRECT($B$5&amp;"生成成长"),4))/(VLOOKUP(AC$72,INDIRECT($C$5&amp;"生成成长"),5))*(VLOOKUP($B$5,标准坦克设计!$B$24:$U$30,MATCH("对"&amp;LEFT($C$5,2)&amp;"输出",标准坦克设计!$B$23:$U$23,0)))*(VLOOKUP($B135,INDIRECT($B$5&amp;"生成成长"),3))*(VLOOKUP($B$5,标准坦克设计!$B$14:$K$20,9)/30))</f>
        <v>13.524673336008028</v>
      </c>
      <c r="AD135" s="173">
        <f ca="1">(VLOOKUP(AD$72,INDIRECT($C$5&amp;"生成成长"),2))/((VLOOKUP($B135,INDIRECT($B$5&amp;"生成成长"),4))/(VLOOKUP(AD$72,INDIRECT($C$5&amp;"生成成长"),5))*(VLOOKUP($B$5,标准坦克设计!$B$24:$U$30,MATCH("对"&amp;LEFT($C$5,2)&amp;"输出",标准坦克设计!$B$23:$U$23,0)))*(VLOOKUP($B135,INDIRECT($B$5&amp;"生成成长"),3))*(VLOOKUP($B$5,标准坦克设计!$B$14:$K$20,9)/30))</f>
        <v>14.710501866270112</v>
      </c>
      <c r="AE135" s="173">
        <f ca="1">(VLOOKUP(AE$72,INDIRECT($C$5&amp;"生成成长"),2))/((VLOOKUP($B135,INDIRECT($B$5&amp;"生成成长"),4))/(VLOOKUP(AE$72,INDIRECT($C$5&amp;"生成成长"),5))*(VLOOKUP($B$5,标准坦克设计!$B$24:$U$30,MATCH("对"&amp;LEFT($C$5,2)&amp;"输出",标准坦克设计!$B$23:$U$23,0)))*(VLOOKUP($B135,INDIRECT($B$5&amp;"生成成长"),3))*(VLOOKUP($B$5,标准坦克设计!$B$14:$K$20,9)/30))</f>
        <v>15.946155124694469</v>
      </c>
      <c r="AF135" s="173">
        <f ca="1">(VLOOKUP(AF$72,INDIRECT($C$5&amp;"生成成长"),2))/((VLOOKUP($B135,INDIRECT($B$5&amp;"生成成长"),4))/(VLOOKUP(AF$72,INDIRECT($C$5&amp;"生成成长"),5))*(VLOOKUP($B$5,标准坦克设计!$B$24:$U$30,MATCH("对"&amp;LEFT($C$5,2)&amp;"输出",标准坦克设计!$B$23:$U$23,0)))*(VLOOKUP($B135,INDIRECT($B$5&amp;"生成成长"),3))*(VLOOKUP($B$5,标准坦克设计!$B$14:$K$20,9)/30))</f>
        <v>17.231633111281095</v>
      </c>
      <c r="AG135" s="173">
        <f ca="1">(VLOOKUP(AG$72,INDIRECT($C$5&amp;"生成成长"),2))/((VLOOKUP($B135,INDIRECT($B$5&amp;"生成成长"),4))/(VLOOKUP(AG$72,INDIRECT($C$5&amp;"生成成长"),5))*(VLOOKUP($B$5,标准坦克设计!$B$24:$U$30,MATCH("对"&amp;LEFT($C$5,2)&amp;"输出",标准坦克设计!$B$23:$U$23,0)))*(VLOOKUP($B135,INDIRECT($B$5&amp;"生成成长"),3))*(VLOOKUP($B$5,标准坦克设计!$B$14:$K$20,9)/30))</f>
        <v>18.566935826029997</v>
      </c>
      <c r="AH135" s="173">
        <f ca="1">(VLOOKUP(AH$72,INDIRECT($C$5&amp;"生成成长"),2))/((VLOOKUP($B135,INDIRECT($B$5&amp;"生成成长"),4))/(VLOOKUP(AH$72,INDIRECT($C$5&amp;"生成成长"),5))*(VLOOKUP($B$5,标准坦克设计!$B$24:$U$30,MATCH("对"&amp;LEFT($C$5,2)&amp;"输出",标准坦克设计!$B$23:$U$23,0)))*(VLOOKUP($B135,INDIRECT($B$5&amp;"生成成长"),3))*(VLOOKUP($B$5,标准坦克设计!$B$14:$K$20,9)/30))</f>
        <v>19.952063268941167</v>
      </c>
      <c r="AI135" s="173">
        <f ca="1">(VLOOKUP(AI$72,INDIRECT($C$5&amp;"生成成长"),2))/((VLOOKUP($B135,INDIRECT($B$5&amp;"生成成长"),4))/(VLOOKUP(AI$72,INDIRECT($C$5&amp;"生成成长"),5))*(VLOOKUP($B$5,标准坦克设计!$B$24:$U$30,MATCH("对"&amp;LEFT($C$5,2)&amp;"输出",标准坦克设计!$B$23:$U$23,0)))*(VLOOKUP($B135,INDIRECT($B$5&amp;"生成成长"),3))*(VLOOKUP($B$5,标准坦克设计!$B$14:$K$20,9)/30))</f>
        <v>14.111359510118788</v>
      </c>
      <c r="AJ135" s="173">
        <f ca="1">(VLOOKUP(AJ$72,INDIRECT($C$5&amp;"生成成长"),2))/((VLOOKUP($B135,INDIRECT($B$5&amp;"生成成长"),4))/(VLOOKUP(AJ$72,INDIRECT($C$5&amp;"生成成长"),5))*(VLOOKUP($B$5,标准坦克设计!$B$24:$U$30,MATCH("对"&amp;LEFT($C$5,2)&amp;"输出",标准坦克设计!$B$23:$U$23,0)))*(VLOOKUP($B135,INDIRECT($B$5&amp;"生成成长"),3))*(VLOOKUP($B$5,标准坦克设计!$B$14:$K$20,9)/30))</f>
        <v>15.445914853945254</v>
      </c>
      <c r="AK135" s="173">
        <f ca="1">(VLOOKUP(AK$72,INDIRECT($C$5&amp;"生成成长"),2))/((VLOOKUP($B135,INDIRECT($B$5&amp;"生成成长"),4))/(VLOOKUP(AK$72,INDIRECT($C$5&amp;"生成成长"),5))*(VLOOKUP($B$5,标准坦克设计!$B$24:$U$30,MATCH("对"&amp;LEFT($C$5,2)&amp;"输出",标准坦克设计!$B$23:$U$23,0)))*(VLOOKUP($B135,INDIRECT($B$5&amp;"生成成长"),3))*(VLOOKUP($B$5,标准坦克设计!$B$14:$K$20,9)/30))</f>
        <v>16.840758118848068</v>
      </c>
      <c r="AL135" s="173">
        <f ca="1">(VLOOKUP(AL$72,INDIRECT($C$5&amp;"生成成长"),2))/((VLOOKUP($B135,INDIRECT($B$5&amp;"生成成长"),4))/(VLOOKUP(AL$72,INDIRECT($C$5&amp;"生成成长"),5))*(VLOOKUP($B$5,标准坦克设计!$B$24:$U$30,MATCH("对"&amp;LEFT($C$5,2)&amp;"输出",标准坦克设计!$B$23:$U$23,0)))*(VLOOKUP($B135,INDIRECT($B$5&amp;"生成成长"),3))*(VLOOKUP($B$5,标准坦克设计!$B$14:$K$20,9)/30))</f>
        <v>18.295889304827234</v>
      </c>
      <c r="AM135" s="173">
        <f ca="1">(VLOOKUP(AM$72,INDIRECT($C$5&amp;"生成成长"),2))/((VLOOKUP($B135,INDIRECT($B$5&amp;"生成成长"),4))/(VLOOKUP(AM$72,INDIRECT($C$5&amp;"生成成长"),5))*(VLOOKUP($B$5,标准坦克设计!$B$24:$U$30,MATCH("对"&amp;LEFT($C$5,2)&amp;"输出",标准坦克设计!$B$23:$U$23,0)))*(VLOOKUP($B135,INDIRECT($B$5&amp;"生成成长"),3))*(VLOOKUP($B$5,标准坦克设计!$B$14:$K$20,9)/30))</f>
        <v>19.811308411882749</v>
      </c>
      <c r="AN135" s="173">
        <f ca="1">(VLOOKUP(AN$72,INDIRECT($C$5&amp;"生成成长"),2))/((VLOOKUP($B135,INDIRECT($B$5&amp;"生成成长"),4))/(VLOOKUP(AN$72,INDIRECT($C$5&amp;"生成成长"),5))*(VLOOKUP($B$5,标准坦克设计!$B$24:$U$30,MATCH("对"&amp;LEFT($C$5,2)&amp;"输出",标准坦克设计!$B$23:$U$23,0)))*(VLOOKUP($B135,INDIRECT($B$5&amp;"生成成长"),3))*(VLOOKUP($B$5,标准坦克设计!$B$14:$K$20,9)/30))</f>
        <v>21.387015440014608</v>
      </c>
      <c r="AO135" s="173">
        <f ca="1">(VLOOKUP(AO$72,INDIRECT($C$5&amp;"生成成长"),2))/((VLOOKUP($B135,INDIRECT($B$5&amp;"生成成长"),4))/(VLOOKUP(AO$72,INDIRECT($C$5&amp;"生成成长"),5))*(VLOOKUP($B$5,标准坦克设计!$B$24:$U$30,MATCH("对"&amp;LEFT($C$5,2)&amp;"输出",标准坦克设计!$B$23:$U$23,0)))*(VLOOKUP($B135,INDIRECT($B$5&amp;"生成成长"),3))*(VLOOKUP($B$5,标准坦克设计!$B$14:$K$20,9)/30))</f>
        <v>23.023010389222826</v>
      </c>
      <c r="AP135" s="173">
        <f ca="1">(VLOOKUP(AP$72,INDIRECT($C$5&amp;"生成成长"),2))/((VLOOKUP($B135,INDIRECT($B$5&amp;"生成成长"),4))/(VLOOKUP(AP$72,INDIRECT($C$5&amp;"生成成长"),5))*(VLOOKUP($B$5,标准坦克设计!$B$24:$U$30,MATCH("对"&amp;LEFT($C$5,2)&amp;"输出",标准坦克设计!$B$23:$U$23,0)))*(VLOOKUP($B135,INDIRECT($B$5&amp;"生成成长"),3))*(VLOOKUP($B$5,标准坦克设计!$B$14:$K$20,9)/30))</f>
        <v>24.719293259507392</v>
      </c>
      <c r="AQ135" s="173">
        <f ca="1">(VLOOKUP(AQ$72,INDIRECT($C$5&amp;"生成成长"),2))/((VLOOKUP($B135,INDIRECT($B$5&amp;"生成成长"),4))/(VLOOKUP(AQ$72,INDIRECT($C$5&amp;"生成成长"),5))*(VLOOKUP($B$5,标准坦克设计!$B$24:$U$30,MATCH("对"&amp;LEFT($C$5,2)&amp;"输出",标准坦克设计!$B$23:$U$23,0)))*(VLOOKUP($B135,INDIRECT($B$5&amp;"生成成长"),3))*(VLOOKUP($B$5,标准坦克设计!$B$14:$K$20,9)/30))</f>
        <v>26.475864050868307</v>
      </c>
      <c r="AR135" s="173">
        <f ca="1">(VLOOKUP(AR$72,INDIRECT($C$5&amp;"生成成长"),2))/((VLOOKUP($B135,INDIRECT($B$5&amp;"生成成长"),4))/(VLOOKUP(AR$72,INDIRECT($C$5&amp;"生成成长"),5))*(VLOOKUP($B$5,标准坦克设计!$B$24:$U$30,MATCH("对"&amp;LEFT($C$5,2)&amp;"输出",标准坦克设计!$B$23:$U$23,0)))*(VLOOKUP($B135,INDIRECT($B$5&amp;"生成成长"),3))*(VLOOKUP($B$5,标准坦克设计!$B$14:$K$20,9)/30))</f>
        <v>28.292722763305562</v>
      </c>
      <c r="AS135" s="173">
        <f ca="1">(VLOOKUP(AS$72,INDIRECT($C$5&amp;"生成成长"),2))/((VLOOKUP($B135,INDIRECT($B$5&amp;"生成成长"),4))/(VLOOKUP(AS$72,INDIRECT($C$5&amp;"生成成长"),5))*(VLOOKUP($B$5,标准坦克设计!$B$24:$U$30,MATCH("对"&amp;LEFT($C$5,2)&amp;"输出",标准坦克设计!$B$23:$U$23,0)))*(VLOOKUP($B135,INDIRECT($B$5&amp;"生成成长"),3))*(VLOOKUP($B$5,标准坦克设计!$B$14:$K$20,9)/30))</f>
        <v>30.169869396819177</v>
      </c>
      <c r="AT135" s="173">
        <f ca="1">(VLOOKUP(AT$72,INDIRECT($C$5&amp;"生成成长"),2))/((VLOOKUP($B135,INDIRECT($B$5&amp;"生成成长"),4))/(VLOOKUP(AT$72,INDIRECT($C$5&amp;"生成成长"),5))*(VLOOKUP($B$5,标准坦克设计!$B$24:$U$30,MATCH("对"&amp;LEFT($C$5,2)&amp;"输出",标准坦克设计!$B$23:$U$23,0)))*(VLOOKUP($B135,INDIRECT($B$5&amp;"生成成长"),3))*(VLOOKUP($B$5,标准坦克设计!$B$14:$K$20,9)/30))</f>
        <v>32.107303951409136</v>
      </c>
      <c r="AU135" s="173">
        <f ca="1">(VLOOKUP(AU$72,INDIRECT($C$5&amp;"生成成长"),2))/((VLOOKUP($B135,INDIRECT($B$5&amp;"生成成长"),4))/(VLOOKUP(AU$72,INDIRECT($C$5&amp;"生成成长"),5))*(VLOOKUP($B$5,标准坦克设计!$B$24:$U$30,MATCH("对"&amp;LEFT($C$5,2)&amp;"输出",标准坦克设计!$B$23:$U$23,0)))*(VLOOKUP($B135,INDIRECT($B$5&amp;"生成成长"),3))*(VLOOKUP($B$5,标准坦克设计!$B$14:$K$20,9)/30))</f>
        <v>34.105026427075458</v>
      </c>
      <c r="AV135" s="173">
        <f ca="1">(VLOOKUP(AV$72,INDIRECT($C$5&amp;"生成成长"),2))/((VLOOKUP($B135,INDIRECT($B$5&amp;"生成成长"),4))/(VLOOKUP(AV$72,INDIRECT($C$5&amp;"生成成长"),5))*(VLOOKUP($B$5,标准坦克设计!$B$24:$U$30,MATCH("对"&amp;LEFT($C$5,2)&amp;"输出",标准坦克设计!$B$23:$U$23,0)))*(VLOOKUP($B135,INDIRECT($B$5&amp;"生成成长"),3))*(VLOOKUP($B$5,标准坦克设计!$B$14:$K$20,9)/30))</f>
        <v>3.4687975746574042</v>
      </c>
      <c r="AW135" s="173">
        <f ca="1">(VLOOKUP(AW$72,INDIRECT($C$5&amp;"生成成长"),2))/((VLOOKUP($B135,INDIRECT($B$5&amp;"生成成长"),4))/(VLOOKUP(AW$72,INDIRECT($C$5&amp;"生成成长"),5))*(VLOOKUP($B$5,标准坦克设计!$B$24:$U$30,MATCH("对"&amp;LEFT($C$5,2)&amp;"输出",标准坦克设计!$B$23:$U$23,0)))*(VLOOKUP($B135,INDIRECT($B$5&amp;"生成成长"),3))*(VLOOKUP($B$5,标准坦克设计!$B$14:$K$20,9)/30))</f>
        <v>3.9550869215211821</v>
      </c>
      <c r="AX135" s="173">
        <f ca="1">(VLOOKUP(AX$72,INDIRECT($C$5&amp;"生成成长"),2))/((VLOOKUP($B135,INDIRECT($B$5&amp;"生成成长"),4))/(VLOOKUP(AX$72,INDIRECT($C$5&amp;"生成成长"),5))*(VLOOKUP($B$5,标准坦克设计!$B$24:$U$30,MATCH("对"&amp;LEFT($C$5,2)&amp;"输出",标准坦克设计!$B$23:$U$23,0)))*(VLOOKUP($B135,INDIRECT($B$5&amp;"生成成长"),3))*(VLOOKUP($B$5,标准坦克设计!$B$14:$K$20,9)/30))</f>
        <v>4.4732640944088153</v>
      </c>
      <c r="AY135" s="173">
        <f ca="1">(VLOOKUP(AY$72,INDIRECT($C$5&amp;"生成成长"),2))/((VLOOKUP($B135,INDIRECT($B$5&amp;"生成成长"),4))/(VLOOKUP(AY$72,INDIRECT($C$5&amp;"生成成长"),5))*(VLOOKUP($B$5,标准坦克设计!$B$24:$U$30,MATCH("对"&amp;LEFT($C$5,2)&amp;"输出",标准坦克设计!$B$23:$U$23,0)))*(VLOOKUP($B135,INDIRECT($B$5&amp;"生成成长"),3))*(VLOOKUP($B$5,标准坦克设计!$B$14:$K$20,9)/30))</f>
        <v>5.0233290933203021</v>
      </c>
      <c r="AZ135" s="173">
        <f ca="1">(VLOOKUP(AZ$72,INDIRECT($C$5&amp;"生成成长"),2))/((VLOOKUP($B135,INDIRECT($B$5&amp;"生成成长"),4))/(VLOOKUP(AZ$72,INDIRECT($C$5&amp;"生成成长"),5))*(VLOOKUP($B$5,标准坦克设计!$B$24:$U$30,MATCH("对"&amp;LEFT($C$5,2)&amp;"输出",标准坦克设计!$B$23:$U$23,0)))*(VLOOKUP($B135,INDIRECT($B$5&amp;"生成成长"),3))*(VLOOKUP($B$5,标准坦克设计!$B$14:$K$20,9)/30))</f>
        <v>5.6052819182556428</v>
      </c>
      <c r="BA135" s="173">
        <f ca="1">(VLOOKUP(BA$72,INDIRECT($C$5&amp;"生成成长"),2))/((VLOOKUP($B135,INDIRECT($B$5&amp;"生成成长"),4))/(VLOOKUP(BA$72,INDIRECT($C$5&amp;"生成成长"),5))*(VLOOKUP($B$5,标准坦克设计!$B$24:$U$30,MATCH("对"&amp;LEFT($C$5,2)&amp;"输出",标准坦克设计!$B$23:$U$23,0)))*(VLOOKUP($B135,INDIRECT($B$5&amp;"生成成长"),3))*(VLOOKUP($B$5,标准坦克设计!$B$14:$K$20,9)/30))</f>
        <v>6.2191225692148402</v>
      </c>
      <c r="BB135" s="173">
        <f ca="1">(VLOOKUP(BB$72,INDIRECT($C$5&amp;"生成成长"),2))/((VLOOKUP($B135,INDIRECT($B$5&amp;"生成成长"),4))/(VLOOKUP(BB$72,INDIRECT($C$5&amp;"生成成长"),5))*(VLOOKUP($B$5,标准坦克设计!$B$24:$U$30,MATCH("对"&amp;LEFT($C$5,2)&amp;"输出",标准坦克设计!$B$23:$U$23,0)))*(VLOOKUP($B135,INDIRECT($B$5&amp;"生成成长"),3))*(VLOOKUP($B$5,标准坦克设计!$B$14:$K$20,9)/30))</f>
        <v>6.8648510461978898</v>
      </c>
      <c r="BC135" s="173">
        <f ca="1">(VLOOKUP(BC$72,INDIRECT($C$5&amp;"生成成长"),2))/((VLOOKUP($B135,INDIRECT($B$5&amp;"生成成长"),4))/(VLOOKUP(BC$72,INDIRECT($C$5&amp;"生成成长"),5))*(VLOOKUP($B$5,标准坦克设计!$B$24:$U$30,MATCH("对"&amp;LEFT($C$5,2)&amp;"输出",标准坦克设计!$B$23:$U$23,0)))*(VLOOKUP($B135,INDIRECT($B$5&amp;"生成成长"),3))*(VLOOKUP($B$5,标准坦克设计!$B$14:$K$20,9)/30))</f>
        <v>7.5424673492047942</v>
      </c>
      <c r="BD135" s="173">
        <f ca="1">(VLOOKUP(BD$72,INDIRECT($C$5&amp;"生成成长"),2))/((VLOOKUP($B135,INDIRECT($B$5&amp;"生成成长"),4))/(VLOOKUP(BD$72,INDIRECT($C$5&amp;"生成成长"),5))*(VLOOKUP($B$5,标准坦克设计!$B$24:$U$30,MATCH("对"&amp;LEFT($C$5,2)&amp;"输出",标准坦克设计!$B$23:$U$23,0)))*(VLOOKUP($B135,INDIRECT($B$5&amp;"生成成长"),3))*(VLOOKUP($B$5,标准坦克设计!$B$14:$K$20,9)/30))</f>
        <v>8.342901607131699</v>
      </c>
      <c r="BE135" s="173">
        <f ca="1">(VLOOKUP(BE$72,INDIRECT($C$5&amp;"生成成长"),2))/((VLOOKUP($B135,INDIRECT($B$5&amp;"生成成长"),4))/(VLOOKUP(BE$72,INDIRECT($C$5&amp;"生成成长"),5))*(VLOOKUP($B$5,标准坦克设计!$B$24:$U$30,MATCH("对"&amp;LEFT($C$5,2)&amp;"输出",标准坦克设计!$B$23:$U$23,0)))*(VLOOKUP($B135,INDIRECT($B$5&amp;"生成成长"),3))*(VLOOKUP($B$5,标准坦克设计!$B$14:$K$20,9)/30))</f>
        <v>9.1836938948700464</v>
      </c>
      <c r="BF135" s="173">
        <f ca="1">(VLOOKUP(BF$72,INDIRECT($C$5&amp;"生成成长"),2))/((VLOOKUP($B135,INDIRECT($B$5&amp;"生成成长"),4))/(VLOOKUP(BF$72,INDIRECT($C$5&amp;"生成成长"),5))*(VLOOKUP($B$5,标准坦克设计!$B$24:$U$30,MATCH("对"&amp;LEFT($C$5,2)&amp;"输出",标准坦克设计!$B$23:$U$23,0)))*(VLOOKUP($B135,INDIRECT($B$5&amp;"生成成长"),3))*(VLOOKUP($B$5,标准坦克设计!$B$14:$K$20,9)/30))</f>
        <v>10.064844212419834</v>
      </c>
      <c r="BG135" s="173">
        <f ca="1">(VLOOKUP(BG$72,INDIRECT($C$5&amp;"生成成长"),2))/((VLOOKUP($B135,INDIRECT($B$5&amp;"生成成长"),4))/(VLOOKUP(BG$72,INDIRECT($C$5&amp;"生成成长"),5))*(VLOOKUP($B$5,标准坦克设计!$B$24:$U$30,MATCH("对"&amp;LEFT($C$5,2)&amp;"输出",标准坦克设计!$B$23:$U$23,0)))*(VLOOKUP($B135,INDIRECT($B$5&amp;"生成成长"),3))*(VLOOKUP($B$5,标准坦克设计!$B$14:$K$20,9)/30))</f>
        <v>10.986352559781061</v>
      </c>
      <c r="BH135" s="173">
        <f ca="1">(VLOOKUP(BH$72,INDIRECT($C$5&amp;"生成成长"),2))/((VLOOKUP($B135,INDIRECT($B$5&amp;"生成成长"),4))/(VLOOKUP(BH$72,INDIRECT($C$5&amp;"生成成长"),5))*(VLOOKUP($B$5,标准坦克设计!$B$24:$U$30,MATCH("对"&amp;LEFT($C$5,2)&amp;"输出",标准坦克设计!$B$23:$U$23,0)))*(VLOOKUP($B135,INDIRECT($B$5&amp;"生成成长"),3))*(VLOOKUP($B$5,标准坦克设计!$B$14:$K$20,9)/30))</f>
        <v>5.3103195275349915</v>
      </c>
      <c r="BI135" s="173">
        <f ca="1">(VLOOKUP(BI$72,INDIRECT($C$5&amp;"生成成长"),2))/((VLOOKUP($B135,INDIRECT($B$5&amp;"生成成长"),4))/(VLOOKUP(BI$72,INDIRECT($C$5&amp;"生成成长"),5))*(VLOOKUP($B$5,标准坦克设计!$B$24:$U$30,MATCH("对"&amp;LEFT($C$5,2)&amp;"输出",标准坦克设计!$B$23:$U$23,0)))*(VLOOKUP($B135,INDIRECT($B$5&amp;"生成成长"),3))*(VLOOKUP($B$5,标准坦克设计!$B$14:$K$20,9)/30))</f>
        <v>5.9851954704929717</v>
      </c>
      <c r="BJ135" s="173">
        <f ca="1">(VLOOKUP(BJ$72,INDIRECT($C$5&amp;"生成成长"),2))/((VLOOKUP($B135,INDIRECT($B$5&amp;"生成成长"),4))/(VLOOKUP(BJ$72,INDIRECT($C$5&amp;"生成成长"),5))*(VLOOKUP($B$5,标准坦克设计!$B$24:$U$30,MATCH("对"&amp;LEFT($C$5,2)&amp;"输出",标准坦克设计!$B$23:$U$23,0)))*(VLOOKUP($B135,INDIRECT($B$5&amp;"生成成长"),3))*(VLOOKUP($B$5,标准坦克设计!$B$14:$K$20,9)/30))</f>
        <v>6.7004294432623919</v>
      </c>
      <c r="BK135" s="173">
        <f ca="1">(VLOOKUP(BK$72,INDIRECT($C$5&amp;"生成成长"),2))/((VLOOKUP($B135,INDIRECT($B$5&amp;"生成成长"),4))/(VLOOKUP(BK$72,INDIRECT($C$5&amp;"生成成长"),5))*(VLOOKUP($B$5,标准坦克设计!$B$24:$U$30,MATCH("对"&amp;LEFT($C$5,2)&amp;"输出",标准坦克设计!$B$23:$U$23,0)))*(VLOOKUP($B135,INDIRECT($B$5&amp;"生成成长"),3))*(VLOOKUP($B$5,标准坦克设计!$B$14:$K$20,9)/30))</f>
        <v>7.456021445843251</v>
      </c>
      <c r="BL135" s="173">
        <f ca="1">(VLOOKUP(BL$72,INDIRECT($C$5&amp;"生成成长"),2))/((VLOOKUP($B135,INDIRECT($B$5&amp;"生成成长"),4))/(VLOOKUP(BL$72,INDIRECT($C$5&amp;"生成成长"),5))*(VLOOKUP($B$5,标准坦克设计!$B$24:$U$30,MATCH("对"&amp;LEFT($C$5,2)&amp;"输出",标准坦克设计!$B$23:$U$23,0)))*(VLOOKUP($B135,INDIRECT($B$5&amp;"生成成长"),3))*(VLOOKUP($B$5,标准坦克设计!$B$14:$K$20,9)/30))</f>
        <v>8.2519714782355518</v>
      </c>
      <c r="BM135" s="173">
        <f ca="1">(VLOOKUP(BM$72,INDIRECT($C$5&amp;"生成成长"),2))/((VLOOKUP($B135,INDIRECT($B$5&amp;"生成成长"),4))/(VLOOKUP(BM$72,INDIRECT($C$5&amp;"生成成长"),5))*(VLOOKUP($B$5,标准坦克设计!$B$24:$U$30,MATCH("对"&amp;LEFT($C$5,2)&amp;"输出",标准坦克设计!$B$23:$U$23,0)))*(VLOOKUP($B135,INDIRECT($B$5&amp;"生成成长"),3))*(VLOOKUP($B$5,标准坦克设计!$B$14:$K$20,9)/30))</f>
        <v>9.0882795404392951</v>
      </c>
      <c r="BN135" s="173">
        <f ca="1">(VLOOKUP(BN$72,INDIRECT($C$5&amp;"生成成长"),2))/((VLOOKUP($B135,INDIRECT($B$5&amp;"生成成长"),4))/(VLOOKUP(BN$72,INDIRECT($C$5&amp;"生成成长"),5))*(VLOOKUP($B$5,标准坦克设计!$B$24:$U$30,MATCH("对"&amp;LEFT($C$5,2)&amp;"输出",标准坦克设计!$B$23:$U$23,0)))*(VLOOKUP($B135,INDIRECT($B$5&amp;"生成成长"),3))*(VLOOKUP($B$5,标准坦克设计!$B$14:$K$20,9)/30))</f>
        <v>9.9649456324544783</v>
      </c>
      <c r="BO135" s="173">
        <f ca="1">(VLOOKUP(BO$72,INDIRECT($C$5&amp;"生成成长"),2))/((VLOOKUP($B135,INDIRECT($B$5&amp;"生成成长"),4))/(VLOOKUP(BO$72,INDIRECT($C$5&amp;"生成成长"),5))*(VLOOKUP($B$5,标准坦克设计!$B$24:$U$30,MATCH("对"&amp;LEFT($C$5,2)&amp;"输出",标准坦克设计!$B$23:$U$23,0)))*(VLOOKUP($B135,INDIRECT($B$5&amp;"生成成长"),3))*(VLOOKUP($B$5,标准坦克设计!$B$14:$K$20,9)/30))</f>
        <v>10.881969754281101</v>
      </c>
      <c r="BP135" s="173">
        <f ca="1">(VLOOKUP(BP$72,INDIRECT($C$5&amp;"生成成长"),2))/((VLOOKUP($B135,INDIRECT($B$5&amp;"生成成长"),4))/(VLOOKUP(BP$72,INDIRECT($C$5&amp;"生成成长"),5))*(VLOOKUP($B$5,标准坦克设计!$B$24:$U$30,MATCH("对"&amp;LEFT($C$5,2)&amp;"输出",标准坦克设计!$B$23:$U$23,0)))*(VLOOKUP($B135,INDIRECT($B$5&amp;"生成成长"),3))*(VLOOKUP($B$5,标准坦克设计!$B$14:$K$20,9)/30))</f>
        <v>11.839351905919164</v>
      </c>
      <c r="BQ135" s="173">
        <f ca="1">(VLOOKUP(BQ$72,INDIRECT($C$5&amp;"生成成长"),2))/((VLOOKUP($B135,INDIRECT($B$5&amp;"生成成长"),4))/(VLOOKUP(BQ$72,INDIRECT($C$5&amp;"生成成长"),5))*(VLOOKUP($B$5,标准坦克设计!$B$24:$U$30,MATCH("对"&amp;LEFT($C$5,2)&amp;"输出",标准坦克设计!$B$23:$U$23,0)))*(VLOOKUP($B135,INDIRECT($B$5&amp;"生成成长"),3))*(VLOOKUP($B$5,标准坦克设计!$B$14:$K$20,9)/30))</f>
        <v>12.837092087368671</v>
      </c>
      <c r="BR135" s="173">
        <f ca="1">(VLOOKUP(BR$72,INDIRECT($C$5&amp;"生成成长"),2))/((VLOOKUP($B135,INDIRECT($B$5&amp;"生成成长"),4))/(VLOOKUP(BR$72,INDIRECT($C$5&amp;"生成成长"),5))*(VLOOKUP($B$5,标准坦克设计!$B$24:$U$30,MATCH("对"&amp;LEFT($C$5,2)&amp;"输出",标准坦克设计!$B$23:$U$23,0)))*(VLOOKUP($B135,INDIRECT($B$5&amp;"生成成长"),3))*(VLOOKUP($B$5,标准坦克设计!$B$14:$K$20,9)/30))</f>
        <v>13.993025780733388</v>
      </c>
      <c r="BS135" s="173">
        <f ca="1">(VLOOKUP(BS$72,INDIRECT($C$5&amp;"生成成长"),2))/((VLOOKUP($B135,INDIRECT($B$5&amp;"生成成长"),4))/(VLOOKUP(BS$72,INDIRECT($C$5&amp;"生成成长"),5))*(VLOOKUP($B$5,标准坦克设计!$B$24:$U$30,MATCH("对"&amp;LEFT($C$5,2)&amp;"输出",标准坦克设计!$B$23:$U$23,0)))*(VLOOKUP($B135,INDIRECT($B$5&amp;"生成成长"),3))*(VLOOKUP($B$5,标准坦克设计!$B$14:$K$20,9)/30))</f>
        <v>15.198784202260381</v>
      </c>
      <c r="BT135" s="173">
        <f ca="1">(VLOOKUP(BT$72,INDIRECT($C$5&amp;"生成成长"),2))/((VLOOKUP($B135,INDIRECT($B$5&amp;"生成成长"),4))/(VLOOKUP(BT$72,INDIRECT($C$5&amp;"生成成长"),5))*(VLOOKUP($B$5,标准坦克设计!$B$24:$U$30,MATCH("对"&amp;LEFT($C$5,2)&amp;"输出",标准坦克设计!$B$23:$U$23,0)))*(VLOOKUP($B135,INDIRECT($B$5&amp;"生成成长"),3))*(VLOOKUP($B$5,标准坦克设计!$B$14:$K$20,9)/30))</f>
        <v>16.454367351949642</v>
      </c>
      <c r="BU135" s="173">
        <f ca="1">(VLOOKUP(BU$72,INDIRECT($C$5&amp;"生成成长"),2))/((VLOOKUP($B135,INDIRECT($B$5&amp;"生成成长"),4))/(VLOOKUP(BU$72,INDIRECT($C$5&amp;"生成成长"),5))*(VLOOKUP($B$5,标准坦克设计!$B$24:$U$30,MATCH("对"&amp;LEFT($C$5,2)&amp;"输出",标准坦克设计!$B$23:$U$23,0)))*(VLOOKUP($B135,INDIRECT($B$5&amp;"生成成长"),3))*(VLOOKUP($B$5,标准坦克设计!$B$14:$K$20,9)/30))</f>
        <v>17.759775229801182</v>
      </c>
      <c r="BV135" s="173">
        <f ca="1">(VLOOKUP(BV$72,INDIRECT($C$5&amp;"生成成长"),2))/((VLOOKUP($B135,INDIRECT($B$5&amp;"生成成长"),4))/(VLOOKUP(BV$72,INDIRECT($C$5&amp;"生成成长"),5))*(VLOOKUP($B$5,标准坦克设计!$B$24:$U$30,MATCH("对"&amp;LEFT($C$5,2)&amp;"输出",标准坦克设计!$B$23:$U$23,0)))*(VLOOKUP($B135,INDIRECT($B$5&amp;"生成成长"),3))*(VLOOKUP($B$5,标准坦克设计!$B$14:$K$20,9)/30))</f>
        <v>19.115007835814989</v>
      </c>
      <c r="BW135" s="173">
        <f ca="1">(VLOOKUP(BW$72,INDIRECT($C$5&amp;"生成成长"),2))/((VLOOKUP($B135,INDIRECT($B$5&amp;"生成成长"),4))/(VLOOKUP(BW$72,INDIRECT($C$5&amp;"生成成长"),5))*(VLOOKUP($B$5,标准坦克设计!$B$24:$U$30,MATCH("对"&amp;LEFT($C$5,2)&amp;"输出",标准坦克设计!$B$23:$U$23,0)))*(VLOOKUP($B135,INDIRECT($B$5&amp;"生成成长"),3))*(VLOOKUP($B$5,标准坦克设计!$B$14:$K$20,9)/30))</f>
        <v>8.7116045955325152</v>
      </c>
      <c r="BX135" s="173">
        <f ca="1">(VLOOKUP(BX$72,INDIRECT($C$5&amp;"生成成长"),2))/((VLOOKUP($B135,INDIRECT($B$5&amp;"生成成长"),4))/(VLOOKUP(BX$72,INDIRECT($C$5&amp;"生成成长"),5))*(VLOOKUP($B$5,标准坦克设计!$B$24:$U$30,MATCH("对"&amp;LEFT($C$5,2)&amp;"输出",标准坦克设计!$B$23:$U$23,0)))*(VLOOKUP($B135,INDIRECT($B$5&amp;"生成成长"),3))*(VLOOKUP($B$5,标准坦克设计!$B$14:$K$20,9)/30))</f>
        <v>9.6682393762481453</v>
      </c>
      <c r="BY135" s="173">
        <f ca="1">(VLOOKUP(BY$72,INDIRECT($C$5&amp;"生成成长"),2))/((VLOOKUP($B135,INDIRECT($B$5&amp;"生成成长"),4))/(VLOOKUP(BY$72,INDIRECT($C$5&amp;"生成成长"),5))*(VLOOKUP($B$5,标准坦克设计!$B$24:$U$30,MATCH("对"&amp;LEFT($C$5,2)&amp;"输出",标准坦克设计!$B$23:$U$23,0)))*(VLOOKUP($B135,INDIRECT($B$5&amp;"生成成长"),3))*(VLOOKUP($B$5,标准坦克设计!$B$14:$K$20,9)/30))</f>
        <v>10.674698885126048</v>
      </c>
      <c r="BZ135" s="173">
        <f ca="1">(VLOOKUP(BZ$72,INDIRECT($C$5&amp;"生成成长"),2))/((VLOOKUP($B135,INDIRECT($B$5&amp;"生成成长"),4))/(VLOOKUP(BZ$72,INDIRECT($C$5&amp;"生成成长"),5))*(VLOOKUP($B$5,标准坦克设计!$B$24:$U$30,MATCH("对"&amp;LEFT($C$5,2)&amp;"输出",标准坦克设计!$B$23:$U$23,0)))*(VLOOKUP($B135,INDIRECT($B$5&amp;"生成成长"),3))*(VLOOKUP($B$5,标准坦克设计!$B$14:$K$20,9)/30))</f>
        <v>11.730983122166222</v>
      </c>
      <c r="CA135" s="173">
        <f ca="1">(VLOOKUP(CA$72,INDIRECT($C$5&amp;"生成成长"),2))/((VLOOKUP($B135,INDIRECT($B$5&amp;"生成成长"),4))/(VLOOKUP(CA$72,INDIRECT($C$5&amp;"生成成长"),5))*(VLOOKUP($B$5,标准坦克设计!$B$24:$U$30,MATCH("对"&amp;LEFT($C$5,2)&amp;"输出",标准坦克设计!$B$23:$U$23,0)))*(VLOOKUP($B135,INDIRECT($B$5&amp;"生成成长"),3))*(VLOOKUP($B$5,标准坦克设计!$B$14:$K$20,9)/30))</f>
        <v>12.837092087368671</v>
      </c>
      <c r="CB135" s="173">
        <f ca="1">(VLOOKUP(CB$72,INDIRECT($C$5&amp;"生成成长"),2))/((VLOOKUP($B135,INDIRECT($B$5&amp;"生成成长"),4))/(VLOOKUP(CB$72,INDIRECT($C$5&amp;"生成成长"),5))*(VLOOKUP($B$5,标准坦克设计!$B$24:$U$30,MATCH("对"&amp;LEFT($C$5,2)&amp;"输出",标准坦克设计!$B$23:$U$23,0)))*(VLOOKUP($B135,INDIRECT($B$5&amp;"生成成长"),3))*(VLOOKUP($B$5,标准坦克设计!$B$14:$K$20,9)/30))</f>
        <v>13.993025780733388</v>
      </c>
      <c r="CC135" s="173">
        <f ca="1">(VLOOKUP(CC$72,INDIRECT($C$5&amp;"生成成长"),2))/((VLOOKUP($B135,INDIRECT($B$5&amp;"生成成长"),4))/(VLOOKUP(CC$72,INDIRECT($C$5&amp;"生成成长"),5))*(VLOOKUP($B$5,标准坦克设计!$B$24:$U$30,MATCH("对"&amp;LEFT($C$5,2)&amp;"输出",标准坦克设计!$B$23:$U$23,0)))*(VLOOKUP($B135,INDIRECT($B$5&amp;"生成成长"),3))*(VLOOKUP($B$5,标准坦克设计!$B$14:$K$20,9)/30))</f>
        <v>15.198784202260381</v>
      </c>
      <c r="CD135" s="173">
        <f ca="1">(VLOOKUP(CD$72,INDIRECT($C$5&amp;"生成成长"),2))/((VLOOKUP($B135,INDIRECT($B$5&amp;"生成成长"),4))/(VLOOKUP(CD$72,INDIRECT($C$5&amp;"生成成长"),5))*(VLOOKUP($B$5,标准坦克设计!$B$24:$U$30,MATCH("对"&amp;LEFT($C$5,2)&amp;"输出",标准坦克设计!$B$23:$U$23,0)))*(VLOOKUP($B135,INDIRECT($B$5&amp;"生成成长"),3))*(VLOOKUP($B$5,标准坦克设计!$B$14:$K$20,9)/30))</f>
        <v>16.454367351949642</v>
      </c>
      <c r="CE135" s="173">
        <f ca="1">(VLOOKUP(CE$72,INDIRECT($C$5&amp;"生成成长"),2))/((VLOOKUP($B135,INDIRECT($B$5&amp;"生成成长"),4))/(VLOOKUP(CE$72,INDIRECT($C$5&amp;"生成成长"),5))*(VLOOKUP($B$5,标准坦克设计!$B$24:$U$30,MATCH("对"&amp;LEFT($C$5,2)&amp;"输出",标准坦克设计!$B$23:$U$23,0)))*(VLOOKUP($B135,INDIRECT($B$5&amp;"生成成长"),3))*(VLOOKUP($B$5,标准坦克设计!$B$14:$K$20,9)/30))</f>
        <v>17.759775229801182</v>
      </c>
      <c r="CF135" s="173">
        <f ca="1">(VLOOKUP(CF$72,INDIRECT($C$5&amp;"生成成长"),2))/((VLOOKUP($B135,INDIRECT($B$5&amp;"生成成长"),4))/(VLOOKUP(CF$72,INDIRECT($C$5&amp;"生成成长"),5))*(VLOOKUP($B$5,标准坦克设计!$B$24:$U$30,MATCH("对"&amp;LEFT($C$5,2)&amp;"输出",标准坦克设计!$B$23:$U$23,0)))*(VLOOKUP($B135,INDIRECT($B$5&amp;"生成成长"),3))*(VLOOKUP($B$5,标准坦克设计!$B$14:$K$20,9)/30))</f>
        <v>19.115007835814989</v>
      </c>
      <c r="CG135" s="173">
        <f ca="1">(VLOOKUP(CG$72,INDIRECT($C$5&amp;"生成成长"),2))/((VLOOKUP($B135,INDIRECT($B$5&amp;"生成成长"),4))/(VLOOKUP(CG$72,INDIRECT($C$5&amp;"生成成长"),5))*(VLOOKUP($B$5,标准坦克设计!$B$24:$U$30,MATCH("对"&amp;LEFT($C$5,2)&amp;"输出",标准坦克设计!$B$23:$U$23,0)))*(VLOOKUP($B135,INDIRECT($B$5&amp;"生成成长"),3))*(VLOOKUP($B$5,标准坦克设计!$B$14:$K$20,9)/30))</f>
        <v>20.520065169991074</v>
      </c>
      <c r="CH135" s="173">
        <f ca="1">(VLOOKUP(CH$72,INDIRECT($C$5&amp;"生成成长"),2))/((VLOOKUP($B135,INDIRECT($B$5&amp;"生成成长"),4))/(VLOOKUP(CH$72,INDIRECT($C$5&amp;"生成成长"),5))*(VLOOKUP($B$5,标准坦克设计!$B$24:$U$30,MATCH("对"&amp;LEFT($C$5,2)&amp;"输出",标准坦克设计!$B$23:$U$23,0)))*(VLOOKUP($B135,INDIRECT($B$5&amp;"生成成长"),3))*(VLOOKUP($B$5,标准坦克设计!$B$14:$K$20,9)/30))</f>
        <v>21.974947232329431</v>
      </c>
      <c r="CI135" s="173">
        <f ca="1">(VLOOKUP(CI$72,INDIRECT($C$5&amp;"生成成长"),2))/((VLOOKUP($B135,INDIRECT($B$5&amp;"生成成长"),4))/(VLOOKUP(CI$72,INDIRECT($C$5&amp;"生成成长"),5))*(VLOOKUP($B$5,标准坦克设计!$B$24:$U$30,MATCH("对"&amp;LEFT($C$5,2)&amp;"输出",标准坦克设计!$B$23:$U$23,0)))*(VLOOKUP($B135,INDIRECT($B$5&amp;"生成成长"),3))*(VLOOKUP($B$5,标准坦克设计!$B$14:$K$20,9)/30))</f>
        <v>23.632865061929042</v>
      </c>
      <c r="CJ135" s="173">
        <f ca="1">(VLOOKUP(CJ$72,INDIRECT($C$5&amp;"生成成长"),2))/((VLOOKUP($B135,INDIRECT($B$5&amp;"生成成长"),4))/(VLOOKUP(CJ$72,INDIRECT($C$5&amp;"生成成长"),5))*(VLOOKUP($B$5,标准坦克设计!$B$24:$U$30,MATCH("对"&amp;LEFT($C$5,2)&amp;"输出",标准坦克设计!$B$23:$U$23,0)))*(VLOOKUP($B135,INDIRECT($B$5&amp;"生成成长"),3))*(VLOOKUP($B$5,标准坦克设计!$B$14:$K$20,9)/30))</f>
        <v>25.351070812605002</v>
      </c>
      <c r="CK135" s="173">
        <f ca="1">(VLOOKUP(CK$72,INDIRECT($C$5&amp;"生成成长"),2))/((VLOOKUP($B135,INDIRECT($B$5&amp;"生成成长"),4))/(VLOOKUP(CK$72,INDIRECT($C$5&amp;"生成成长"),5))*(VLOOKUP($B$5,标准坦克设计!$B$24:$U$30,MATCH("对"&amp;LEFT($C$5,2)&amp;"输出",标准坦克设计!$B$23:$U$23,0)))*(VLOOKUP($B135,INDIRECT($B$5&amp;"生成成长"),3))*(VLOOKUP($B$5,标准坦克设计!$B$14:$K$20,9)/30))</f>
        <v>27.129564484357321</v>
      </c>
      <c r="CL135" s="173">
        <f ca="1">(VLOOKUP(CL$72,INDIRECT($C$5&amp;"生成成长"),2))/((VLOOKUP($B135,INDIRECT($B$5&amp;"生成成长"),4))/(VLOOKUP(CL$72,INDIRECT($C$5&amp;"生成成长"),5))*(VLOOKUP($B$5,标准坦克设计!$B$24:$U$30,MATCH("对"&amp;LEFT($C$5,2)&amp;"输出",标准坦克设计!$B$23:$U$23,0)))*(VLOOKUP($B135,INDIRECT($B$5&amp;"生成成长"),3))*(VLOOKUP($B$5,标准坦克设计!$B$14:$K$20,9)/30))</f>
        <v>28.968346077185981</v>
      </c>
      <c r="CM135" s="173">
        <f ca="1">(VLOOKUP(CM$72,INDIRECT($C$5&amp;"生成成长"),2))/((VLOOKUP($B135,INDIRECT($B$5&amp;"生成成长"),4))/(VLOOKUP(CM$72,INDIRECT($C$5&amp;"生成成长"),5))*(VLOOKUP($B$5,标准坦克设计!$B$24:$U$30,MATCH("对"&amp;LEFT($C$5,2)&amp;"输出",标准坦克设计!$B$23:$U$23,0)))*(VLOOKUP($B135,INDIRECT($B$5&amp;"生成成长"),3))*(VLOOKUP($B$5,标准坦克设计!$B$14:$K$20,9)/30))</f>
        <v>30.867415591090996</v>
      </c>
      <c r="CN135" s="173">
        <f ca="1">(VLOOKUP(CN$72,INDIRECT($C$5&amp;"生成成长"),2))/((VLOOKUP($B135,INDIRECT($B$5&amp;"生成成长"),4))/(VLOOKUP(CN$72,INDIRECT($C$5&amp;"生成成长"),5))*(VLOOKUP($B$5,标准坦克设计!$B$24:$U$30,MATCH("对"&amp;LEFT($C$5,2)&amp;"输出",标准坦克设计!$B$23:$U$23,0)))*(VLOOKUP($B135,INDIRECT($B$5&amp;"生成成长"),3))*(VLOOKUP($B$5,标准坦克设计!$B$14:$K$20,9)/30))</f>
        <v>32.82677302607236</v>
      </c>
      <c r="CO135" s="173">
        <f ca="1">(VLOOKUP(CO$72,INDIRECT($C$5&amp;"生成成长"),2))/((VLOOKUP($B135,INDIRECT($B$5&amp;"生成成长"),4))/(VLOOKUP(CO$72,INDIRECT($C$5&amp;"生成成长"),5))*(VLOOKUP($B$5,标准坦克设计!$B$24:$U$30,MATCH("对"&amp;LEFT($C$5,2)&amp;"输出",标准坦克设计!$B$23:$U$23,0)))*(VLOOKUP($B135,INDIRECT($B$5&amp;"生成成长"),3))*(VLOOKUP($B$5,标准坦克设计!$B$14:$K$20,9)/30))</f>
        <v>14.710501866270112</v>
      </c>
      <c r="CP135" s="173">
        <f ca="1">(VLOOKUP(CP$72,INDIRECT($C$5&amp;"生成成长"),2))/((VLOOKUP($B135,INDIRECT($B$5&amp;"生成成长"),4))/(VLOOKUP(CP$72,INDIRECT($C$5&amp;"生成成长"),5))*(VLOOKUP($B$5,标准坦克设计!$B$24:$U$30,MATCH("对"&amp;LEFT($C$5,2)&amp;"输出",标准坦克设计!$B$23:$U$23,0)))*(VLOOKUP($B135,INDIRECT($B$5&amp;"生成成长"),3))*(VLOOKUP($B$5,标准坦克设计!$B$14:$K$20,9)/30))</f>
        <v>16.072460810585831</v>
      </c>
      <c r="CQ135" s="173">
        <f ca="1">(VLOOKUP(CQ$72,INDIRECT($C$5&amp;"生成成长"),2))/((VLOOKUP($B135,INDIRECT($B$5&amp;"生成成长"),4))/(VLOOKUP(CQ$72,INDIRECT($C$5&amp;"生成成长"),5))*(VLOOKUP($B$5,标准坦克设计!$B$24:$U$30,MATCH("对"&amp;LEFT($C$5,2)&amp;"输出",标准坦克设计!$B$23:$U$23,0)))*(VLOOKUP($B135,INDIRECT($B$5&amp;"生成成长"),3))*(VLOOKUP($B$5,标准坦克设计!$B$14:$K$20,9)/30))</f>
        <v>17.494707675977896</v>
      </c>
      <c r="CR135" s="173">
        <f ca="1">(VLOOKUP(CR$72,INDIRECT($C$5&amp;"生成成长"),2))/((VLOOKUP($B135,INDIRECT($B$5&amp;"生成成长"),4))/(VLOOKUP(CR$72,INDIRECT($C$5&amp;"生成成长"),5))*(VLOOKUP($B$5,标准坦克设计!$B$24:$U$30,MATCH("对"&amp;LEFT($C$5,2)&amp;"输出",标准坦克设计!$B$23:$U$23,0)))*(VLOOKUP($B135,INDIRECT($B$5&amp;"生成成长"),3))*(VLOOKUP($B$5,标准坦克设计!$B$14:$K$20,9)/30))</f>
        <v>18.977242462446309</v>
      </c>
      <c r="CS135" s="173">
        <f ca="1">(VLOOKUP(CS$72,INDIRECT($C$5&amp;"生成成长"),2))/((VLOOKUP($B135,INDIRECT($B$5&amp;"生成成长"),4))/(VLOOKUP(CS$72,INDIRECT($C$5&amp;"生成成长"),5))*(VLOOKUP($B$5,标准坦克设计!$B$24:$U$30,MATCH("对"&amp;LEFT($C$5,2)&amp;"输出",标准坦克设计!$B$23:$U$23,0)))*(VLOOKUP($B135,INDIRECT($B$5&amp;"生成成长"),3))*(VLOOKUP($B$5,标准坦克设计!$B$14:$K$20,9)/30))</f>
        <v>20.520065169991074</v>
      </c>
      <c r="CT135" s="173">
        <f ca="1">(VLOOKUP(CT$72,INDIRECT($C$5&amp;"生成成长"),2))/((VLOOKUP($B135,INDIRECT($B$5&amp;"生成成长"),4))/(VLOOKUP(CT$72,INDIRECT($C$5&amp;"生成成长"),5))*(VLOOKUP($B$5,标准坦克设计!$B$24:$U$30,MATCH("对"&amp;LEFT($C$5,2)&amp;"输出",标准坦克设计!$B$23:$U$23,0)))*(VLOOKUP($B135,INDIRECT($B$5&amp;"生成成长"),3))*(VLOOKUP($B$5,标准坦克设计!$B$14:$K$20,9)/30))</f>
        <v>22.123175798612184</v>
      </c>
      <c r="CU135" s="173">
        <f ca="1">(VLOOKUP(CU$72,INDIRECT($C$5&amp;"生成成长"),2))/((VLOOKUP($B135,INDIRECT($B$5&amp;"生成成长"),4))/(VLOOKUP(CU$72,INDIRECT($C$5&amp;"生成成长"),5))*(VLOOKUP($B$5,标准坦克设计!$B$24:$U$30,MATCH("对"&amp;LEFT($C$5,2)&amp;"输出",标准坦克设计!$B$23:$U$23,0)))*(VLOOKUP($B135,INDIRECT($B$5&amp;"生成成长"),3))*(VLOOKUP($B$5,标准坦克设计!$B$14:$K$20,9)/30))</f>
        <v>23.786574348309653</v>
      </c>
      <c r="CV135" s="173">
        <f ca="1">(VLOOKUP(CV$72,INDIRECT($C$5&amp;"生成成长"),2))/((VLOOKUP($B135,INDIRECT($B$5&amp;"生成成长"),4))/(VLOOKUP(CV$72,INDIRECT($C$5&amp;"生成成长"),5))*(VLOOKUP($B$5,标准坦克设计!$B$24:$U$30,MATCH("对"&amp;LEFT($C$5,2)&amp;"输出",标准坦克设计!$B$23:$U$23,0)))*(VLOOKUP($B135,INDIRECT($B$5&amp;"生成成长"),3))*(VLOOKUP($B$5,标准坦克设计!$B$14:$K$20,9)/30))</f>
        <v>25.510260819083459</v>
      </c>
      <c r="CW135" s="173">
        <f ca="1">(VLOOKUP(CW$72,INDIRECT($C$5&amp;"生成成长"),2))/((VLOOKUP($B135,INDIRECT($B$5&amp;"生成成长"),4))/(VLOOKUP(CW$72,INDIRECT($C$5&amp;"生成成长"),5))*(VLOOKUP($B$5,标准坦克设计!$B$24:$U$30,MATCH("对"&amp;LEFT($C$5,2)&amp;"输出",标准坦克设计!$B$23:$U$23,0)))*(VLOOKUP($B135,INDIRECT($B$5&amp;"生成成长"),3))*(VLOOKUP($B$5,标准坦克设计!$B$14:$K$20,9)/30))</f>
        <v>27.294235210933632</v>
      </c>
      <c r="CX135" s="173">
        <f ca="1">(VLOOKUP(CX$72,INDIRECT($C$5&amp;"生成成长"),2))/((VLOOKUP($B135,INDIRECT($B$5&amp;"生成成长"),4))/(VLOOKUP(CX$72,INDIRECT($C$5&amp;"生成成长"),5))*(VLOOKUP($B$5,标准坦克设计!$B$24:$U$30,MATCH("对"&amp;LEFT($C$5,2)&amp;"输出",标准坦克设计!$B$23:$U$23,0)))*(VLOOKUP($B135,INDIRECT($B$5&amp;"生成成长"),3))*(VLOOKUP($B$5,标准坦克设计!$B$14:$K$20,9)/30))</f>
        <v>29.138497523860138</v>
      </c>
      <c r="CY135" s="173">
        <f ca="1">(VLOOKUP(CY$72,INDIRECT($C$5&amp;"生成成长"),2))/((VLOOKUP($B135,INDIRECT($B$5&amp;"生成成长"),4))/(VLOOKUP(CY$72,INDIRECT($C$5&amp;"生成成长"),5))*(VLOOKUP($B$5,标准坦克设计!$B$24:$U$30,MATCH("对"&amp;LEFT($C$5,2)&amp;"输出",标准坦克设计!$B$23:$U$23,0)))*(VLOOKUP($B135,INDIRECT($B$5&amp;"生成成长"),3))*(VLOOKUP($B$5,标准坦克设计!$B$14:$K$20,9)/30))</f>
        <v>31.043047757863004</v>
      </c>
      <c r="CZ135" s="173">
        <f ca="1">(VLOOKUP(CZ$72,INDIRECT($C$5&amp;"生成成长"),2))/((VLOOKUP($B135,INDIRECT($B$5&amp;"生成成长"),4))/(VLOOKUP(CZ$72,INDIRECT($C$5&amp;"生成成长"),5))*(VLOOKUP($B$5,标准坦克设计!$B$24:$U$30,MATCH("对"&amp;LEFT($C$5,2)&amp;"输出",标准坦克设计!$B$23:$U$23,0)))*(VLOOKUP($B135,INDIRECT($B$5&amp;"生成成长"),3))*(VLOOKUP($B$5,标准坦克设计!$B$14:$K$20,9)/30))</f>
        <v>33.007885912942207</v>
      </c>
      <c r="DA135" s="173">
        <f ca="1">(VLOOKUP(DA$72,INDIRECT($C$5&amp;"生成成长"),2))/((VLOOKUP($B135,INDIRECT($B$5&amp;"生成成长"),4))/(VLOOKUP(DA$72,INDIRECT($C$5&amp;"生成成长"),5))*(VLOOKUP($B$5,标准坦克设计!$B$24:$U$30,MATCH("对"&amp;LEFT($C$5,2)&amp;"输出",标准坦克设计!$B$23:$U$23,0)))*(VLOOKUP($B135,INDIRECT($B$5&amp;"生成成长"),3))*(VLOOKUP($B$5,标准坦克设计!$B$14:$K$20,9)/30))</f>
        <v>35.03301198909778</v>
      </c>
      <c r="DB135" s="173">
        <f ca="1">(VLOOKUP(DB$72,INDIRECT($C$5&amp;"生成成长"),2))/((VLOOKUP($B135,INDIRECT($B$5&amp;"生成成长"),4))/(VLOOKUP(DB$72,INDIRECT($C$5&amp;"生成成长"),5))*(VLOOKUP($B$5,标准坦克设计!$B$24:$U$30,MATCH("对"&amp;LEFT($C$5,2)&amp;"输出",标准坦克设计!$B$23:$U$23,0)))*(VLOOKUP($B135,INDIRECT($B$5&amp;"生成成长"),3))*(VLOOKUP($B$5,标准坦克设计!$B$14:$K$20,9)/30))</f>
        <v>37.118425986329683</v>
      </c>
      <c r="DC135" s="173">
        <f ca="1">(VLOOKUP(DC$72,INDIRECT($C$5&amp;"生成成长"),2))/((VLOOKUP($B135,INDIRECT($B$5&amp;"生成成长"),4))/(VLOOKUP(DC$72,INDIRECT($C$5&amp;"生成成长"),5))*(VLOOKUP($B$5,标准坦克设计!$B$24:$U$30,MATCH("对"&amp;LEFT($C$5,2)&amp;"输出",标准坦克设计!$B$23:$U$23,0)))*(VLOOKUP($B135,INDIRECT($B$5&amp;"生成成长"),3))*(VLOOKUP($B$5,标准坦克设计!$B$14:$K$20,9)/30))</f>
        <v>39.462181199082977</v>
      </c>
      <c r="DD135" s="173">
        <f ca="1">(VLOOKUP(DD$72,INDIRECT($C$5&amp;"生成成长"),2))/((VLOOKUP($B135,INDIRECT($B$5&amp;"生成成长"),4))/(VLOOKUP(DD$72,INDIRECT($C$5&amp;"生成成长"),5))*(VLOOKUP($B$5,标准坦克设计!$B$24:$U$30,MATCH("对"&amp;LEFT($C$5,2)&amp;"输出",标准坦克设计!$B$23:$U$23,0)))*(VLOOKUP($B135,INDIRECT($B$5&amp;"生成成长"),3))*(VLOOKUP($B$5,标准坦克设计!$B$14:$K$20,9)/30))</f>
        <v>41.877684020389943</v>
      </c>
      <c r="DE135" s="173">
        <f ca="1">(VLOOKUP(DE$72,INDIRECT($C$5&amp;"生成成长"),2))/((VLOOKUP($B135,INDIRECT($B$5&amp;"生成成长"),4))/(VLOOKUP(DE$72,INDIRECT($C$5&amp;"生成成长"),5))*(VLOOKUP($B$5,标准坦克设计!$B$24:$U$30,MATCH("对"&amp;LEFT($C$5,2)&amp;"输出",标准坦克设计!$B$23:$U$23,0)))*(VLOOKUP($B135,INDIRECT($B$5&amp;"生成成长"),3))*(VLOOKUP($B$5,标准坦克设计!$B$14:$K$20,9)/30))</f>
        <v>44.36493445025058</v>
      </c>
      <c r="DF135" s="173">
        <f ca="1">(VLOOKUP(DF$72,INDIRECT($C$5&amp;"生成成长"),2))/((VLOOKUP($B135,INDIRECT($B$5&amp;"生成成长"),4))/(VLOOKUP(DF$72,INDIRECT($C$5&amp;"生成成长"),5))*(VLOOKUP($B$5,标准坦克设计!$B$24:$U$30,MATCH("对"&amp;LEFT($C$5,2)&amp;"输出",标准坦克设计!$B$23:$U$23,0)))*(VLOOKUP($B135,INDIRECT($B$5&amp;"生成成长"),3))*(VLOOKUP($B$5,标准坦克设计!$B$14:$K$20,9)/30))</f>
        <v>46.923932488664889</v>
      </c>
      <c r="DG135" s="173">
        <f ca="1">(VLOOKUP(DG$72,INDIRECT($C$5&amp;"生成成长"),2))/((VLOOKUP($B135,INDIRECT($B$5&amp;"生成成长"),4))/(VLOOKUP(DG$72,INDIRECT($C$5&amp;"生成成长"),5))*(VLOOKUP($B$5,标准坦克设计!$B$24:$U$30,MATCH("对"&amp;LEFT($C$5,2)&amp;"输出",标准坦克设计!$B$23:$U$23,0)))*(VLOOKUP($B135,INDIRECT($B$5&amp;"生成成长"),3))*(VLOOKUP($B$5,标准坦克设计!$B$14:$K$20,9)/30))</f>
        <v>49.554678135632869</v>
      </c>
      <c r="DH135" s="173">
        <f ca="1">(VLOOKUP(DH$72,INDIRECT($C$5&amp;"生成成长"),2))/((VLOOKUP($B135,INDIRECT($B$5&amp;"生成成长"),4))/(VLOOKUP(DH$72,INDIRECT($C$5&amp;"生成成长"),5))*(VLOOKUP($B$5,标准坦克设计!$B$24:$U$30,MATCH("对"&amp;LEFT($C$5,2)&amp;"输出",标准坦克设计!$B$23:$U$23,0)))*(VLOOKUP($B135,INDIRECT($B$5&amp;"生成成长"),3))*(VLOOKUP($B$5,标准坦克设计!$B$14:$K$20,9)/30))</f>
        <v>52.257171391154536</v>
      </c>
      <c r="DI135" s="173">
        <f ca="1">(VLOOKUP(DI$72,INDIRECT($C$5&amp;"生成成长"),2))/((VLOOKUP($B135,INDIRECT($B$5&amp;"生成成长"),4))/(VLOOKUP(DI$72,INDIRECT($C$5&amp;"生成成长"),5))*(VLOOKUP($B$5,标准坦克设计!$B$24:$U$30,MATCH("对"&amp;LEFT($C$5,2)&amp;"输出",标准坦克设计!$B$23:$U$23,0)))*(VLOOKUP($B135,INDIRECT($B$5&amp;"生成成长"),3))*(VLOOKUP($B$5,标准坦克设计!$B$14:$K$20,9)/30))</f>
        <v>55.031412255229846</v>
      </c>
      <c r="DJ135" s="173">
        <f ca="1">(VLOOKUP(DJ$72,INDIRECT($C$5&amp;"生成成长"),2))/((VLOOKUP($B135,INDIRECT($B$5&amp;"生成成长"),4))/(VLOOKUP(DJ$72,INDIRECT($C$5&amp;"生成成长"),5))*(VLOOKUP($B$5,标准坦克设计!$B$24:$U$30,MATCH("对"&amp;LEFT($C$5,2)&amp;"输出",标准坦克设计!$B$23:$U$23,0)))*(VLOOKUP($B135,INDIRECT($B$5&amp;"生成成长"),3))*(VLOOKUP($B$5,标准坦克设计!$B$14:$K$20,9)/30))</f>
        <v>5.530793949653046</v>
      </c>
      <c r="DK135" s="173">
        <f ca="1">(VLOOKUP(DK$72,INDIRECT($C$5&amp;"生成成长"),2))/((VLOOKUP($B135,INDIRECT($B$5&amp;"生成成长"),4))/(VLOOKUP(DK$72,INDIRECT($C$5&amp;"生成成长"),5))*(VLOOKUP($B$5,标准坦克设计!$B$24:$U$30,MATCH("对"&amp;LEFT($C$5,2)&amp;"输出",标准坦克设计!$B$23:$U$23,0)))*(VLOOKUP($B135,INDIRECT($B$5&amp;"生成成长"),3))*(VLOOKUP($B$5,标准坦克设计!$B$14:$K$20,9)/30))</f>
        <v>6.2191225692148402</v>
      </c>
      <c r="DL135" s="173">
        <f ca="1">(VLOOKUP(DL$72,INDIRECT($C$5&amp;"生成成长"),2))/((VLOOKUP($B135,INDIRECT($B$5&amp;"生成成长"),4))/(VLOOKUP(DL$72,INDIRECT($C$5&amp;"生成成长"),5))*(VLOOKUP($B$5,标准坦克设计!$B$24:$U$30,MATCH("对"&amp;LEFT($C$5,2)&amp;"输出",标准坦克设计!$B$23:$U$23,0)))*(VLOOKUP($B135,INDIRECT($B$5&amp;"生成成长"),3))*(VLOOKUP($B$5,标准坦克设计!$B$14:$K$20,9)/30))</f>
        <v>6.9478092185880733</v>
      </c>
      <c r="DM135" s="173">
        <f ca="1">(VLOOKUP(DM$72,INDIRECT($C$5&amp;"生成成长"),2))/((VLOOKUP($B135,INDIRECT($B$5&amp;"生成成长"),4))/(VLOOKUP(DM$72,INDIRECT($C$5&amp;"生成成长"),5))*(VLOOKUP($B$5,标准坦克设计!$B$24:$U$30,MATCH("对"&amp;LEFT($C$5,2)&amp;"输出",标准坦克设计!$B$23:$U$23,0)))*(VLOOKUP($B135,INDIRECT($B$5&amp;"生成成长"),3))*(VLOOKUP($B$5,标准坦克设计!$B$14:$K$20,9)/30))</f>
        <v>7.716853897772749</v>
      </c>
      <c r="DN135" s="173">
        <f ca="1">(VLOOKUP(DN$72,INDIRECT($C$5&amp;"生成成长"),2))/((VLOOKUP($B135,INDIRECT($B$5&amp;"生成成长"),4))/(VLOOKUP(DN$72,INDIRECT($C$5&amp;"生成成长"),5))*(VLOOKUP($B$5,标准坦克设计!$B$24:$U$30,MATCH("对"&amp;LEFT($C$5,2)&amp;"输出",标准坦克设计!$B$23:$U$23,0)))*(VLOOKUP($B135,INDIRECT($B$5&amp;"生成成长"),3))*(VLOOKUP($B$5,标准坦克设计!$B$14:$K$20,9)/30))</f>
        <v>8.5262566067688645</v>
      </c>
      <c r="DO135" s="173">
        <f ca="1">(VLOOKUP(DO$72,INDIRECT($C$5&amp;"生成成长"),2))/((VLOOKUP($B135,INDIRECT($B$5&amp;"生成成长"),4))/(VLOOKUP(DO$72,INDIRECT($C$5&amp;"生成成长"),5))*(VLOOKUP($B$5,标准坦克设计!$B$24:$U$30,MATCH("对"&amp;LEFT($C$5,2)&amp;"输出",标准坦克设计!$B$23:$U$23,0)))*(VLOOKUP($B135,INDIRECT($B$5&amp;"生成成长"),3))*(VLOOKUP($B$5,标准坦克设计!$B$14:$K$20,9)/30))</f>
        <v>9.3760173455764182</v>
      </c>
      <c r="DP135" s="173">
        <f ca="1">(VLOOKUP(DP$72,INDIRECT($C$5&amp;"生成成长"),2))/((VLOOKUP($B135,INDIRECT($B$5&amp;"生成成长"),4))/(VLOOKUP(DP$72,INDIRECT($C$5&amp;"生成成长"),5))*(VLOOKUP($B$5,标准坦克设计!$B$24:$U$30,MATCH("对"&amp;LEFT($C$5,2)&amp;"输出",标准坦克设计!$B$23:$U$23,0)))*(VLOOKUP($B135,INDIRECT($B$5&amp;"生成成长"),3))*(VLOOKUP($B$5,标准坦克设计!$B$14:$K$20,9)/30))</f>
        <v>10.266136114195413</v>
      </c>
      <c r="DQ135" s="173">
        <f ca="1">(VLOOKUP(DQ$72,INDIRECT($C$5&amp;"生成成长"),2))/((VLOOKUP($B135,INDIRECT($B$5&amp;"生成成长"),4))/(VLOOKUP(DQ$72,INDIRECT($C$5&amp;"生成成长"),5))*(VLOOKUP($B$5,标准坦克设计!$B$24:$U$30,MATCH("对"&amp;LEFT($C$5,2)&amp;"输出",标准坦克设计!$B$23:$U$23,0)))*(VLOOKUP($B135,INDIRECT($B$5&amp;"生成成长"),3))*(VLOOKUP($B$5,标准坦克设计!$B$14:$K$20,9)/30))</f>
        <v>11.196612912625852</v>
      </c>
      <c r="DR135" s="173">
        <f ca="1">(VLOOKUP(DR$72,INDIRECT($C$5&amp;"生成成长"),2))/((VLOOKUP($B135,INDIRECT($B$5&amp;"生成成长"),4))/(VLOOKUP(DR$72,INDIRECT($C$5&amp;"生成成长"),5))*(VLOOKUP($B$5,标准坦克设计!$B$24:$U$30,MATCH("对"&amp;LEFT($C$5,2)&amp;"输出",标准坦克设计!$B$23:$U$23,0)))*(VLOOKUP($B135,INDIRECT($B$5&amp;"生成成长"),3))*(VLOOKUP($B$5,标准坦克设计!$B$14:$K$20,9)/30))</f>
        <v>12.167447740867727</v>
      </c>
      <c r="DS135" s="173">
        <f ca="1">(VLOOKUP(DS$72,INDIRECT($C$5&amp;"生成成长"),2))/((VLOOKUP($B135,INDIRECT($B$5&amp;"生成成长"),4))/(VLOOKUP(DS$72,INDIRECT($C$5&amp;"生成成长"),5))*(VLOOKUP($B$5,标准坦克设计!$B$24:$U$30,MATCH("对"&amp;LEFT($C$5,2)&amp;"输出",标准坦克设计!$B$23:$U$23,0)))*(VLOOKUP($B135,INDIRECT($B$5&amp;"生成成长"),3))*(VLOOKUP($B$5,标准坦克设计!$B$14:$K$20,9)/30))</f>
        <v>13.178640598921048</v>
      </c>
      <c r="DT135" s="173">
        <f ca="1">(VLOOKUP(DT$72,INDIRECT($C$5&amp;"生成成长"),2))/((VLOOKUP($B135,INDIRECT($B$5&amp;"生成成长"),4))/(VLOOKUP(DT$72,INDIRECT($C$5&amp;"生成成长"),5))*(VLOOKUP($B$5,标准坦克设计!$B$24:$U$30,MATCH("对"&amp;LEFT($C$5,2)&amp;"输出",标准坦克设计!$B$23:$U$23,0)))*(VLOOKUP($B135,INDIRECT($B$5&amp;"生成成长"),3))*(VLOOKUP($B$5,标准坦克设计!$B$14:$K$20,9)/30))</f>
        <v>14.469350181964714</v>
      </c>
      <c r="DU135" s="173">
        <f ca="1">(VLOOKUP(DU$72,INDIRECT($C$5&amp;"生成成长"),2))/((VLOOKUP($B135,INDIRECT($B$5&amp;"生成成长"),4))/(VLOOKUP(DU$72,INDIRECT($C$5&amp;"生成成长"),5))*(VLOOKUP($B$5,标准坦克设计!$B$24:$U$30,MATCH("对"&amp;LEFT($C$5,2)&amp;"输出",标准坦克设计!$B$23:$U$23,0)))*(VLOOKUP($B135,INDIRECT($B$5&amp;"生成成长"),3))*(VLOOKUP($B$5,标准坦克设计!$B$14:$K$20,9)/30))</f>
        <v>15.820347686084729</v>
      </c>
      <c r="DV135" s="173">
        <f ca="1">(VLOOKUP(DV$72,INDIRECT($C$5&amp;"生成成长"),2))/((VLOOKUP($B135,INDIRECT($B$5&amp;"生成成长"),4))/(VLOOKUP(DV$72,INDIRECT($C$5&amp;"生成成长"),5))*(VLOOKUP($B$5,标准坦克设计!$B$24:$U$30,MATCH("对"&amp;LEFT($C$5,2)&amp;"输出",标准坦克设计!$B$23:$U$23,0)))*(VLOOKUP($B135,INDIRECT($B$5&amp;"生成成长"),3))*(VLOOKUP($B$5,标准坦克设计!$B$14:$K$20,9)/30))</f>
        <v>17.231633111281095</v>
      </c>
      <c r="DW135" s="173">
        <f ca="1">(VLOOKUP(DW$72,INDIRECT($C$5&amp;"生成成长"),2))/((VLOOKUP($B135,INDIRECT($B$5&amp;"生成成长"),4))/(VLOOKUP(DW$72,INDIRECT($C$5&amp;"生成成长"),5))*(VLOOKUP($B$5,标准坦克设计!$B$24:$U$30,MATCH("对"&amp;LEFT($C$5,2)&amp;"输出",标准坦克设计!$B$23:$U$23,0)))*(VLOOKUP($B135,INDIRECT($B$5&amp;"生成成长"),3))*(VLOOKUP($B$5,标准坦克设计!$B$14:$K$20,9)/30))</f>
        <v>18.703206457553812</v>
      </c>
      <c r="DX135" s="173">
        <f ca="1">(VLOOKUP(DX$72,INDIRECT($C$5&amp;"生成成长"),2))/((VLOOKUP($B135,INDIRECT($B$5&amp;"生成成长"),4))/(VLOOKUP(DX$72,INDIRECT($C$5&amp;"生成成长"),5))*(VLOOKUP($B$5,标准坦克设计!$B$24:$U$30,MATCH("对"&amp;LEFT($C$5,2)&amp;"输出",标准坦克设计!$B$23:$U$23,0)))*(VLOOKUP($B135,INDIRECT($B$5&amp;"生成成长"),3))*(VLOOKUP($B$5,标准坦克设计!$B$14:$K$20,9)/30))</f>
        <v>20.23506772490288</v>
      </c>
      <c r="DY135" s="173">
        <f ca="1">(VLOOKUP(DY$72,INDIRECT($C$5&amp;"生成成长"),2))/((VLOOKUP($B135,INDIRECT($B$5&amp;"生成成长"),4))/(VLOOKUP(DY$72,INDIRECT($C$5&amp;"生成成长"),5))*(VLOOKUP($B$5,标准坦克设计!$B$24:$U$30,MATCH("对"&amp;LEFT($C$5,2)&amp;"输出",标准坦克设计!$B$23:$U$23,0)))*(VLOOKUP($B135,INDIRECT($B$5&amp;"生成成长"),3))*(VLOOKUP($B$5,标准坦克设计!$B$14:$K$20,9)/30))</f>
        <v>9.0882795404392951</v>
      </c>
      <c r="DZ135" s="173">
        <f ca="1">(VLOOKUP(DZ$72,INDIRECT($C$5&amp;"生成成长"),2))/((VLOOKUP($B135,INDIRECT($B$5&amp;"生成成长"),4))/(VLOOKUP(DZ$72,INDIRECT($C$5&amp;"生成成长"),5))*(VLOOKUP($B$5,标准坦克设计!$B$24:$U$30,MATCH("对"&amp;LEFT($C$5,2)&amp;"输出",标准坦克设计!$B$23:$U$23,0)))*(VLOOKUP($B135,INDIRECT($B$5&amp;"生成成长"),3))*(VLOOKUP($B$5,标准坦克设计!$B$14:$K$20,9)/30))</f>
        <v>10.064844212419834</v>
      </c>
      <c r="EA135" s="173">
        <f ca="1">(VLOOKUP(EA$72,INDIRECT($C$5&amp;"生成成长"),2))/((VLOOKUP($B135,INDIRECT($B$5&amp;"生成成长"),4))/(VLOOKUP(EA$72,INDIRECT($C$5&amp;"生成成长"),5))*(VLOOKUP($B$5,标准坦克设计!$B$24:$U$30,MATCH("对"&amp;LEFT($C$5,2)&amp;"输出",标准坦克设计!$B$23:$U$23,0)))*(VLOOKUP($B135,INDIRECT($B$5&amp;"生成成长"),3))*(VLOOKUP($B$5,标准坦克设计!$B$14:$K$20,9)/30))</f>
        <v>11.091233612562645</v>
      </c>
      <c r="EB135" s="173">
        <f ca="1">(VLOOKUP(EB$72,INDIRECT($C$5&amp;"生成成长"),2))/((VLOOKUP($B135,INDIRECT($B$5&amp;"生成成长"),4))/(VLOOKUP(EB$72,INDIRECT($C$5&amp;"生成成长"),5))*(VLOOKUP($B$5,标准坦克设计!$B$24:$U$30,MATCH("对"&amp;LEFT($C$5,2)&amp;"输出",标准坦克设计!$B$23:$U$23,0)))*(VLOOKUP($B135,INDIRECT($B$5&amp;"生成成长"),3))*(VLOOKUP($B$5,标准坦克设计!$B$14:$K$20,9)/30))</f>
        <v>12.167447740867727</v>
      </c>
      <c r="EC135" s="173">
        <f ca="1">(VLOOKUP(EC$72,INDIRECT($C$5&amp;"生成成长"),2))/((VLOOKUP($B135,INDIRECT($B$5&amp;"生成成长"),4))/(VLOOKUP(EC$72,INDIRECT($C$5&amp;"生成成长"),5))*(VLOOKUP($B$5,标准坦克设计!$B$24:$U$30,MATCH("对"&amp;LEFT($C$5,2)&amp;"输出",标准坦克设计!$B$23:$U$23,0)))*(VLOOKUP($B135,INDIRECT($B$5&amp;"生成成长"),3))*(VLOOKUP($B$5,标准坦克设计!$B$14:$K$20,9)/30))</f>
        <v>13.293486597335084</v>
      </c>
      <c r="ED135" s="173">
        <f ca="1">(VLOOKUP(ED$72,INDIRECT($C$5&amp;"生成成长"),2))/((VLOOKUP($B135,INDIRECT($B$5&amp;"生成成长"),4))/(VLOOKUP(ED$72,INDIRECT($C$5&amp;"生成成长"),5))*(VLOOKUP($B$5,标准坦克设计!$B$24:$U$30,MATCH("对"&amp;LEFT($C$5,2)&amp;"输出",标准坦克设计!$B$23:$U$23,0)))*(VLOOKUP($B135,INDIRECT($B$5&amp;"生成成长"),3))*(VLOOKUP($B$5,标准坦克设计!$B$14:$K$20,9)/30))</f>
        <v>14.469350181964714</v>
      </c>
      <c r="EE135" s="173">
        <f ca="1">(VLOOKUP(EE$72,INDIRECT($C$5&amp;"生成成长"),2))/((VLOOKUP($B135,INDIRECT($B$5&amp;"生成成长"),4))/(VLOOKUP(EE$72,INDIRECT($C$5&amp;"生成成长"),5))*(VLOOKUP($B$5,标准坦克设计!$B$24:$U$30,MATCH("对"&amp;LEFT($C$5,2)&amp;"输出",标准坦克设计!$B$23:$U$23,0)))*(VLOOKUP($B135,INDIRECT($B$5&amp;"生成成长"),3))*(VLOOKUP($B$5,标准坦克设计!$B$14:$K$20,9)/30))</f>
        <v>15.695038494756615</v>
      </c>
      <c r="EF135" s="173">
        <f ca="1">(VLOOKUP(EF$72,INDIRECT($C$5&amp;"生成成长"),2))/((VLOOKUP($B135,INDIRECT($B$5&amp;"生成成长"),4))/(VLOOKUP(EF$72,INDIRECT($C$5&amp;"生成成长"),5))*(VLOOKUP($B$5,标准坦克设计!$B$24:$U$30,MATCH("对"&amp;LEFT($C$5,2)&amp;"输出",标准坦克设计!$B$23:$U$23,0)))*(VLOOKUP($B135,INDIRECT($B$5&amp;"生成成长"),3))*(VLOOKUP($B$5,标准坦克设计!$B$14:$K$20,9)/30))</f>
        <v>16.97055153571079</v>
      </c>
      <c r="EG135" s="173">
        <f ca="1">(VLOOKUP(EG$72,INDIRECT($C$5&amp;"生成成长"),2))/((VLOOKUP($B135,INDIRECT($B$5&amp;"生成成长"),4))/(VLOOKUP(EG$72,INDIRECT($C$5&amp;"生成成长"),5))*(VLOOKUP($B$5,标准坦克设计!$B$24:$U$30,MATCH("对"&amp;LEFT($C$5,2)&amp;"输出",标准坦克设计!$B$23:$U$23,0)))*(VLOOKUP($B135,INDIRECT($B$5&amp;"生成成长"),3))*(VLOOKUP($B$5,标准坦克设计!$B$14:$K$20,9)/30))</f>
        <v>18.295889304827234</v>
      </c>
      <c r="EH135" s="173">
        <f ca="1">(VLOOKUP(EH$72,INDIRECT($C$5&amp;"生成成长"),2))/((VLOOKUP($B135,INDIRECT($B$5&amp;"生成成长"),4))/(VLOOKUP(EH$72,INDIRECT($C$5&amp;"生成成长"),5))*(VLOOKUP($B$5,标准坦克设计!$B$24:$U$30,MATCH("对"&amp;LEFT($C$5,2)&amp;"输出",标准坦克设计!$B$23:$U$23,0)))*(VLOOKUP($B135,INDIRECT($B$5&amp;"生成成长"),3))*(VLOOKUP($B$5,标准坦克设计!$B$14:$K$20,9)/30))</f>
        <v>19.67105180210595</v>
      </c>
      <c r="EI135" s="173">
        <f ca="1">(VLOOKUP(EI$72,INDIRECT($C$5&amp;"生成成长"),2))/((VLOOKUP($B135,INDIRECT($B$5&amp;"生成成长"),4))/(VLOOKUP(EI$72,INDIRECT($C$5&amp;"生成成长"),5))*(VLOOKUP($B$5,标准坦克设计!$B$24:$U$30,MATCH("对"&amp;LEFT($C$5,2)&amp;"输出",标准坦克设计!$B$23:$U$23,0)))*(VLOOKUP($B135,INDIRECT($B$5&amp;"生成成长"),3))*(VLOOKUP($B$5,标准坦克设计!$B$14:$K$20,9)/30))</f>
        <v>21.09603902754694</v>
      </c>
      <c r="EJ135" s="173">
        <f ca="1">(VLOOKUP(EJ$72,INDIRECT($C$5&amp;"生成成长"),2))/((VLOOKUP($B135,INDIRECT($B$5&amp;"生成成长"),4))/(VLOOKUP(EJ$72,INDIRECT($C$5&amp;"生成成长"),5))*(VLOOKUP($B$5,标准坦克设计!$B$24:$U$30,MATCH("对"&amp;LEFT($C$5,2)&amp;"输出",标准坦克设计!$B$23:$U$23,0)))*(VLOOKUP($B135,INDIRECT($B$5&amp;"生成成长"),3))*(VLOOKUP($B$5,标准坦克设计!$B$14:$K$20,9)/30))</f>
        <v>22.570850981150201</v>
      </c>
      <c r="EK135" s="173">
        <f ca="1">(VLOOKUP(EK$72,INDIRECT($C$5&amp;"生成成长"),2))/((VLOOKUP($B135,INDIRECT($B$5&amp;"生成成长"),4))/(VLOOKUP(EK$72,INDIRECT($C$5&amp;"生成成长"),5))*(VLOOKUP($B$5,标准坦克设计!$B$24:$U$30,MATCH("对"&amp;LEFT($C$5,2)&amp;"输出",标准坦克设计!$B$23:$U$23,0)))*(VLOOKUP($B135,INDIRECT($B$5&amp;"生成成长"),3))*(VLOOKUP($B$5,标准坦克设计!$B$14:$K$20,9)/30))</f>
        <v>24.406393966648317</v>
      </c>
      <c r="EL135" s="173">
        <f ca="1">(VLOOKUP(EL$72,INDIRECT($C$5&amp;"生成成长"),2))/((VLOOKUP($B135,INDIRECT($B$5&amp;"生成成长"),4))/(VLOOKUP(EL$72,INDIRECT($C$5&amp;"生成成长"),5))*(VLOOKUP($B$5,标准坦克设计!$B$24:$U$30,MATCH("对"&amp;LEFT($C$5,2)&amp;"输出",标准坦克设计!$B$23:$U$23,0)))*(VLOOKUP($B135,INDIRECT($B$5&amp;"生成成长"),3))*(VLOOKUP($B$5,标准坦克设计!$B$14:$K$20,9)/30))</f>
        <v>26.3136845607001</v>
      </c>
      <c r="EM135" s="173">
        <f ca="1">(VLOOKUP(EM$72,INDIRECT($C$5&amp;"生成成长"),2))/((VLOOKUP($B135,INDIRECT($B$5&amp;"生成成长"),4))/(VLOOKUP(EM$72,INDIRECT($C$5&amp;"生成成长"),5))*(VLOOKUP($B$5,标准坦克设计!$B$24:$U$30,MATCH("对"&amp;LEFT($C$5,2)&amp;"输出",标准坦克设计!$B$23:$U$23,0)))*(VLOOKUP($B135,INDIRECT($B$5&amp;"生成成长"),3))*(VLOOKUP($B$5,标准坦克设计!$B$14:$K$20,9)/30))</f>
        <v>28.292722763305562</v>
      </c>
      <c r="EN135" s="173">
        <f ca="1">(VLOOKUP(EN$72,INDIRECT($C$5&amp;"生成成长"),2))/((VLOOKUP($B135,INDIRECT($B$5&amp;"生成成长"),4))/(VLOOKUP(EN$72,INDIRECT($C$5&amp;"生成成长"),5))*(VLOOKUP($B$5,标准坦克设计!$B$24:$U$30,MATCH("对"&amp;LEFT($C$5,2)&amp;"输出",标准坦克设计!$B$23:$U$23,0)))*(VLOOKUP($B135,INDIRECT($B$5&amp;"生成成长"),3))*(VLOOKUP($B$5,标准坦克设计!$B$14:$K$20,9)/30))</f>
        <v>30.343508574464696</v>
      </c>
      <c r="EO135" s="173">
        <f ca="1">(VLOOKUP(EO$72,INDIRECT($C$5&amp;"生成成长"),2))/((VLOOKUP($B135,INDIRECT($B$5&amp;"生成成长"),4))/(VLOOKUP(EO$72,INDIRECT($C$5&amp;"生成成长"),5))*(VLOOKUP($B$5,标准坦克设计!$B$24:$U$30,MATCH("对"&amp;LEFT($C$5,2)&amp;"输出",标准坦克设计!$B$23:$U$23,0)))*(VLOOKUP($B135,INDIRECT($B$5&amp;"生成成长"),3))*(VLOOKUP($B$5,标准坦克设计!$B$14:$K$20,9)/30))</f>
        <v>32.466041994177495</v>
      </c>
      <c r="EP135" s="173">
        <f ca="1">(VLOOKUP(EP$72,INDIRECT($C$5&amp;"生成成长"),2))/((VLOOKUP($B135,INDIRECT($B$5&amp;"生成成长"),4))/(VLOOKUP(EP$72,INDIRECT($C$5&amp;"生成成长"),5))*(VLOOKUP($B$5,标准坦克设计!$B$24:$U$30,MATCH("对"&amp;LEFT($C$5,2)&amp;"输出",标准坦克设计!$B$23:$U$23,0)))*(VLOOKUP($B135,INDIRECT($B$5&amp;"生成成长"),3))*(VLOOKUP($B$5,标准坦克设计!$B$14:$K$20,9)/30))</f>
        <v>34.660323022443968</v>
      </c>
      <c r="EQ135" s="173">
        <f ca="1">(VLOOKUP(EQ$72,INDIRECT($C$5&amp;"生成成长"),2))/((VLOOKUP($B135,INDIRECT($B$5&amp;"生成成长"),4))/(VLOOKUP(EQ$72,INDIRECT($C$5&amp;"生成成长"),5))*(VLOOKUP($B$5,标准坦克设计!$B$24:$U$30,MATCH("对"&amp;LEFT($C$5,2)&amp;"输出",标准坦克设计!$B$23:$U$23,0)))*(VLOOKUP($B135,INDIRECT($B$5&amp;"生成成长"),3))*(VLOOKUP($B$5,标准坦克设计!$B$14:$K$20,9)/30))</f>
        <v>15.322100404462006</v>
      </c>
      <c r="ER135" s="173">
        <f ca="1">(VLOOKUP(ER$72,INDIRECT($C$5&amp;"生成成长"),2))/((VLOOKUP($B135,INDIRECT($B$5&amp;"生成成长"),4))/(VLOOKUP(ER$72,INDIRECT($C$5&amp;"生成成长"),5))*(VLOOKUP($B$5,标准坦克设计!$B$24:$U$30,MATCH("对"&amp;LEFT($C$5,2)&amp;"输出",标准坦克设计!$B$23:$U$23,0)))*(VLOOKUP($B135,INDIRECT($B$5&amp;"生成成长"),3))*(VLOOKUP($B$5,标准坦克设计!$B$14:$K$20,9)/30))</f>
        <v>16.71146294926697</v>
      </c>
      <c r="ES135" s="173">
        <f ca="1">(VLOOKUP(ES$72,INDIRECT($C$5&amp;"生成成长"),2))/((VLOOKUP($B135,INDIRECT($B$5&amp;"生成成长"),4))/(VLOOKUP(ES$72,INDIRECT($C$5&amp;"生成成长"),5))*(VLOOKUP($B$5,标准坦克设计!$B$24:$U$30,MATCH("对"&amp;LEFT($C$5,2)&amp;"输出",标准坦克设计!$B$23:$U$23,0)))*(VLOOKUP($B135,INDIRECT($B$5&amp;"生成成长"),3))*(VLOOKUP($B$5,标准坦克设计!$B$14:$K$20,9)/30))</f>
        <v>18.161113415148286</v>
      </c>
      <c r="ET135" s="173">
        <f ca="1">(VLOOKUP(ET$72,INDIRECT($C$5&amp;"生成成长"),2))/((VLOOKUP($B135,INDIRECT($B$5&amp;"生成成长"),4))/(VLOOKUP(ET$72,INDIRECT($C$5&amp;"生成成长"),5))*(VLOOKUP($B$5,标准坦克设计!$B$24:$U$30,MATCH("对"&amp;LEFT($C$5,2)&amp;"输出",标准坦克设计!$B$23:$U$23,0)))*(VLOOKUP($B135,INDIRECT($B$5&amp;"生成成长"),3))*(VLOOKUP($B$5,标准坦克设计!$B$14:$K$20,9)/30))</f>
        <v>19.67105180210595</v>
      </c>
      <c r="EU135" s="173">
        <f ca="1">(VLOOKUP(EU$72,INDIRECT($C$5&amp;"生成成长"),2))/((VLOOKUP($B135,INDIRECT($B$5&amp;"生成成长"),4))/(VLOOKUP(EU$72,INDIRECT($C$5&amp;"生成成长"),5))*(VLOOKUP($B$5,标准坦克设计!$B$24:$U$30,MATCH("对"&amp;LEFT($C$5,2)&amp;"输出",标准坦克设计!$B$23:$U$23,0)))*(VLOOKUP($B135,INDIRECT($B$5&amp;"生成成长"),3))*(VLOOKUP($B$5,标准坦克设计!$B$14:$K$20,9)/30))</f>
        <v>21.241278110139966</v>
      </c>
      <c r="EV135" s="173">
        <f ca="1">(VLOOKUP(EV$72,INDIRECT($C$5&amp;"生成成长"),2))/((VLOOKUP($B135,INDIRECT($B$5&amp;"生成成长"),4))/(VLOOKUP(EV$72,INDIRECT($C$5&amp;"生成成长"),5))*(VLOOKUP($B$5,标准坦克设计!$B$24:$U$30,MATCH("对"&amp;LEFT($C$5,2)&amp;"输出",标准坦克设计!$B$23:$U$23,0)))*(VLOOKUP($B135,INDIRECT($B$5&amp;"生成成长"),3))*(VLOOKUP($B$5,标准坦克设计!$B$14:$K$20,9)/30))</f>
        <v>22.87179233925033</v>
      </c>
      <c r="EW135" s="173">
        <f ca="1">(VLOOKUP(EW$72,INDIRECT($C$5&amp;"生成成长"),2))/((VLOOKUP($B135,INDIRECT($B$5&amp;"生成成长"),4))/(VLOOKUP(EW$72,INDIRECT($C$5&amp;"生成成长"),5))*(VLOOKUP($B$5,标准坦克设计!$B$24:$U$30,MATCH("对"&amp;LEFT($C$5,2)&amp;"输出",标准坦克设计!$B$23:$U$23,0)))*(VLOOKUP($B135,INDIRECT($B$5&amp;"生成成长"),3))*(VLOOKUP($B$5,标准坦克设计!$B$14:$K$20,9)/30))</f>
        <v>24.562594489437046</v>
      </c>
      <c r="EX135" s="173">
        <f ca="1">(VLOOKUP(EX$72,INDIRECT($C$5&amp;"生成成长"),2))/((VLOOKUP($B135,INDIRECT($B$5&amp;"生成成长"),4))/(VLOOKUP(EX$72,INDIRECT($C$5&amp;"生成成长"),5))*(VLOOKUP($B$5,标准坦克设计!$B$24:$U$30,MATCH("对"&amp;LEFT($C$5,2)&amp;"输出",标准坦克设计!$B$23:$U$23,0)))*(VLOOKUP($B135,INDIRECT($B$5&amp;"生成成长"),3))*(VLOOKUP($B$5,标准坦克设计!$B$14:$K$20,9)/30))</f>
        <v>26.3136845607001</v>
      </c>
      <c r="EY135" s="173">
        <f ca="1">(VLOOKUP(EY$72,INDIRECT($C$5&amp;"生成成长"),2))/((VLOOKUP($B135,INDIRECT($B$5&amp;"生成成长"),4))/(VLOOKUP(EY$72,INDIRECT($C$5&amp;"生成成长"),5))*(VLOOKUP($B$5,标准坦克设计!$B$24:$U$30,MATCH("对"&amp;LEFT($C$5,2)&amp;"输出",标准坦克设计!$B$23:$U$23,0)))*(VLOOKUP($B135,INDIRECT($B$5&amp;"生成成长"),3))*(VLOOKUP($B$5,标准坦克设计!$B$14:$K$20,9)/30))</f>
        <v>28.125062553039523</v>
      </c>
      <c r="EZ135" s="173">
        <f ca="1">(VLOOKUP(EZ$72,INDIRECT($C$5&amp;"生成成长"),2))/((VLOOKUP($B135,INDIRECT($B$5&amp;"生成成长"),4))/(VLOOKUP(EZ$72,INDIRECT($C$5&amp;"生成成长"),5))*(VLOOKUP($B$5,标准坦克设计!$B$24:$U$30,MATCH("对"&amp;LEFT($C$5,2)&amp;"输出",标准坦克设计!$B$23:$U$23,0)))*(VLOOKUP($B135,INDIRECT($B$5&amp;"生成成长"),3))*(VLOOKUP($B$5,标准坦克设计!$B$14:$K$20,9)/30))</f>
        <v>29.996728466455284</v>
      </c>
      <c r="FA135" s="173">
        <f ca="1">(VLOOKUP(FA$72,INDIRECT($C$5&amp;"生成成长"),2))/((VLOOKUP($B135,INDIRECT($B$5&amp;"生成成长"),4))/(VLOOKUP(FA$72,INDIRECT($C$5&amp;"生成成长"),5))*(VLOOKUP($B$5,标准坦克设计!$B$24:$U$30,MATCH("对"&amp;LEFT($C$5,2)&amp;"输出",标准坦克设计!$B$23:$U$23,0)))*(VLOOKUP($B135,INDIRECT($B$5&amp;"生成成长"),3))*(VLOOKUP($B$5,标准坦克设计!$B$14:$K$20,9)/30))</f>
        <v>31.928682300947397</v>
      </c>
      <c r="FB135" s="173">
        <f ca="1">(VLOOKUP(FB$72,INDIRECT($C$5&amp;"生成成长"),2))/((VLOOKUP($B135,INDIRECT($B$5&amp;"生成成长"),4))/(VLOOKUP(FB$72,INDIRECT($C$5&amp;"生成成长"),5))*(VLOOKUP($B$5,标准坦克设计!$B$24:$U$30,MATCH("对"&amp;LEFT($C$5,2)&amp;"输出",标准坦克设计!$B$23:$U$23,0)))*(VLOOKUP($B135,INDIRECT($B$5&amp;"生成成长"),3))*(VLOOKUP($B$5,标准坦克设计!$B$14:$K$20,9)/30))</f>
        <v>33.920924056515851</v>
      </c>
      <c r="FC135" s="173">
        <f ca="1">(VLOOKUP(FC$72,INDIRECT($C$5&amp;"生成成长"),2))/((VLOOKUP($B135,INDIRECT($B$5&amp;"生成成长"),4))/(VLOOKUP(FC$72,INDIRECT($C$5&amp;"生成成长"),5))*(VLOOKUP($B$5,标准坦克设计!$B$24:$U$30,MATCH("对"&amp;LEFT($C$5,2)&amp;"输出",标准坦克设计!$B$23:$U$23,0)))*(VLOOKUP($B135,INDIRECT($B$5&amp;"生成成长"),3))*(VLOOKUP($B$5,标准坦克设计!$B$14:$K$20,9)/30))</f>
        <v>35.973453733160667</v>
      </c>
      <c r="FD135" s="173">
        <f ca="1">(VLOOKUP(FD$72,INDIRECT($C$5&amp;"生成成长"),2))/((VLOOKUP($B135,INDIRECT($B$5&amp;"生成成长"),4))/(VLOOKUP(FD$72,INDIRECT($C$5&amp;"生成成长"),5))*(VLOOKUP($B$5,标准坦克设计!$B$24:$U$30,MATCH("对"&amp;LEFT($C$5,2)&amp;"输出",标准坦克设计!$B$23:$U$23,0)))*(VLOOKUP($B135,INDIRECT($B$5&amp;"生成成长"),3))*(VLOOKUP($B$5,标准坦克设计!$B$14:$K$20,9)/30))</f>
        <v>38.086271330881821</v>
      </c>
      <c r="FE135" s="173">
        <f ca="1">(VLOOKUP(FE$72,INDIRECT($C$5&amp;"生成成长"),2))/((VLOOKUP($B135,INDIRECT($B$5&amp;"生成成长"),4))/(VLOOKUP(FE$72,INDIRECT($C$5&amp;"生成成长"),5))*(VLOOKUP($B$5,标准坦克设计!$B$24:$U$30,MATCH("对"&amp;LEFT($C$5,2)&amp;"输出",标准坦克设计!$B$23:$U$23,0)))*(VLOOKUP($B135,INDIRECT($B$5&amp;"生成成长"),3))*(VLOOKUP($B$5,标准坦克设计!$B$14:$K$20,9)/30))</f>
        <v>40.660964158667255</v>
      </c>
      <c r="FF135" s="173">
        <f ca="1">(VLOOKUP(FF$72,INDIRECT($C$5&amp;"生成成长"),2))/((VLOOKUP($B135,INDIRECT($B$5&amp;"生成成长"),4))/(VLOOKUP(FF$72,INDIRECT($C$5&amp;"生成成长"),5))*(VLOOKUP($B$5,标准坦克设计!$B$24:$U$30,MATCH("对"&amp;LEFT($C$5,2)&amp;"输出",标准坦克设计!$B$23:$U$23,0)))*(VLOOKUP($B135,INDIRECT($B$5&amp;"生成成长"),3))*(VLOOKUP($B$5,标准坦克设计!$B$14:$K$20,9)/30))</f>
        <v>43.31986077704692</v>
      </c>
      <c r="FG135" s="173">
        <f ca="1">(VLOOKUP(FG$72,INDIRECT($C$5&amp;"生成成长"),2))/((VLOOKUP($B135,INDIRECT($B$5&amp;"生成成长"),4))/(VLOOKUP(FG$72,INDIRECT($C$5&amp;"生成成长"),5))*(VLOOKUP($B$5,标准坦克设计!$B$24:$U$30,MATCH("对"&amp;LEFT($C$5,2)&amp;"输出",标准坦克设计!$B$23:$U$23,0)))*(VLOOKUP($B135,INDIRECT($B$5&amp;"生成成长"),3))*(VLOOKUP($B$5,标准坦克设计!$B$14:$K$20,9)/30))</f>
        <v>46.062961186020821</v>
      </c>
      <c r="FH135" s="173">
        <f ca="1">(VLOOKUP(FH$72,INDIRECT($C$5&amp;"生成成长"),2))/((VLOOKUP($B135,INDIRECT($B$5&amp;"生成成长"),4))/(VLOOKUP(FH$72,INDIRECT($C$5&amp;"生成成长"),5))*(VLOOKUP($B$5,标准坦克设计!$B$24:$U$30,MATCH("对"&amp;LEFT($C$5,2)&amp;"输出",标准坦克设计!$B$23:$U$23,0)))*(VLOOKUP($B135,INDIRECT($B$5&amp;"生成成长"),3))*(VLOOKUP($B$5,标准坦克设计!$B$14:$K$20,9)/30))</f>
        <v>48.890265385588982</v>
      </c>
      <c r="FI135" s="173">
        <f ca="1">(VLOOKUP(FI$72,INDIRECT($C$5&amp;"生成成长"),2))/((VLOOKUP($B135,INDIRECT($B$5&amp;"生成成长"),4))/(VLOOKUP(FI$72,INDIRECT($C$5&amp;"生成成长"),5))*(VLOOKUP($B$5,标准坦克设计!$B$24:$U$30,MATCH("对"&amp;LEFT($C$5,2)&amp;"输出",标准坦克设计!$B$23:$U$23,0)))*(VLOOKUP($B135,INDIRECT($B$5&amp;"生成成长"),3))*(VLOOKUP($B$5,标准坦克设计!$B$14:$K$20,9)/30))</f>
        <v>51.80177337575136</v>
      </c>
      <c r="FJ135" s="173">
        <f ca="1">(VLOOKUP(FJ$72,INDIRECT($C$5&amp;"生成成长"),2))/((VLOOKUP($B135,INDIRECT($B$5&amp;"生成成长"),4))/(VLOOKUP(FJ$72,INDIRECT($C$5&amp;"生成成长"),5))*(VLOOKUP($B$5,标准坦克设计!$B$24:$U$30,MATCH("对"&amp;LEFT($C$5,2)&amp;"输出",标准坦克设计!$B$23:$U$23,0)))*(VLOOKUP($B135,INDIRECT($B$5&amp;"生成成长"),3))*(VLOOKUP($B$5,标准坦克设计!$B$14:$K$20,9)/30))</f>
        <v>54.797485156507989</v>
      </c>
      <c r="FK135" s="173">
        <f ca="1">(VLOOKUP(FK$72,INDIRECT($C$5&amp;"生成成长"),2))/((VLOOKUP($B135,INDIRECT($B$5&amp;"生成成长"),4))/(VLOOKUP(FK$72,INDIRECT($C$5&amp;"生成成长"),5))*(VLOOKUP($B$5,标准坦克设计!$B$24:$U$30,MATCH("对"&amp;LEFT($C$5,2)&amp;"输出",标准坦克设计!$B$23:$U$23,0)))*(VLOOKUP($B135,INDIRECT($B$5&amp;"生成成长"),3))*(VLOOKUP($B$5,标准坦克设计!$B$14:$K$20,9)/30))</f>
        <v>57.877400727858856</v>
      </c>
    </row>
    <row r="136" spans="1:167" x14ac:dyDescent="0.15">
      <c r="A136" s="171" t="str">
        <f t="shared" si="11"/>
        <v>T3中品质7级</v>
      </c>
      <c r="B136" s="172">
        <v>20307</v>
      </c>
      <c r="C136" s="173">
        <f ca="1">(VLOOKUP(C$72,INDIRECT($C$5&amp;"生成成长"),2))/((VLOOKUP($B136,INDIRECT($B$5&amp;"生成成长"),4))/(VLOOKUP(C$72,INDIRECT($C$5&amp;"生成成长"),5))*(VLOOKUP($B$5,标准坦克设计!$B$24:$U$30,MATCH("对"&amp;LEFT($C$5,2)&amp;"输出",标准坦克设计!$B$23:$U$23,0)))*(VLOOKUP($B136,INDIRECT($B$5&amp;"生成成长"),3))*(VLOOKUP($B$5,标准坦克设计!$B$14:$K$20,9)/30))</f>
        <v>2.2743891635331637</v>
      </c>
      <c r="D136" s="173">
        <f ca="1">(VLOOKUP(D$72,INDIRECT($C$5&amp;"生成成长"),2))/((VLOOKUP($B136,INDIRECT($B$5&amp;"生成成长"),4))/(VLOOKUP(D$72,INDIRECT($C$5&amp;"生成成长"),5))*(VLOOKUP($B$5,标准坦克设计!$B$24:$U$30,MATCH("对"&amp;LEFT($C$5,2)&amp;"输出",标准坦克设计!$B$23:$U$23,0)))*(VLOOKUP($B136,INDIRECT($B$5&amp;"生成成长"),3))*(VLOOKUP($B$5,标准坦克设计!$B$14:$K$20,9)/30))</f>
        <v>2.5555036641458626</v>
      </c>
      <c r="E136" s="173">
        <f ca="1">(VLOOKUP(E$72,INDIRECT($C$5&amp;"生成成长"),2))/((VLOOKUP($B136,INDIRECT($B$5&amp;"生成成长"),4))/(VLOOKUP(E$72,INDIRECT($C$5&amp;"生成成长"),5))*(VLOOKUP($B$5,标准坦克设计!$B$24:$U$30,MATCH("对"&amp;LEFT($C$5,2)&amp;"输出",标准坦克设计!$B$23:$U$23,0)))*(VLOOKUP($B136,INDIRECT($B$5&amp;"生成成长"),3))*(VLOOKUP($B$5,标准坦克设计!$B$14:$K$20,9)/30))</f>
        <v>2.8529937667360006</v>
      </c>
      <c r="F136" s="173">
        <f ca="1">(VLOOKUP(F$72,INDIRECT($C$5&amp;"生成成长"),2))/((VLOOKUP($B136,INDIRECT($B$5&amp;"生成成长"),4))/(VLOOKUP(F$72,INDIRECT($C$5&amp;"生成成长"),5))*(VLOOKUP($B$5,标准坦克设计!$B$24:$U$30,MATCH("对"&amp;LEFT($C$5,2)&amp;"输出",标准坦克设计!$B$23:$U$23,0)))*(VLOOKUP($B136,INDIRECT($B$5&amp;"生成成长"),3))*(VLOOKUP($B$5,标准坦克设计!$B$14:$K$20,9)/30))</f>
        <v>3.1668594713035767</v>
      </c>
      <c r="G136" s="173">
        <f ca="1">(VLOOKUP(G$72,INDIRECT($C$5&amp;"生成成长"),2))/((VLOOKUP($B136,INDIRECT($B$5&amp;"生成成长"),4))/(VLOOKUP(G$72,INDIRECT($C$5&amp;"生成成长"),5))*(VLOOKUP($B$5,标准坦克设计!$B$24:$U$30,MATCH("对"&amp;LEFT($C$5,2)&amp;"输出",标准坦克设计!$B$23:$U$23,0)))*(VLOOKUP($B136,INDIRECT($B$5&amp;"生成成长"),3))*(VLOOKUP($B$5,标准坦克设计!$B$14:$K$20,9)/30))</f>
        <v>3.4971007778485932</v>
      </c>
      <c r="H136" s="173">
        <f ca="1">(VLOOKUP(H$72,INDIRECT($C$5&amp;"生成成长"),2))/((VLOOKUP($B136,INDIRECT($B$5&amp;"生成成长"),4))/(VLOOKUP(H$72,INDIRECT($C$5&amp;"生成成长"),5))*(VLOOKUP($B$5,标准坦克设计!$B$24:$U$30,MATCH("对"&amp;LEFT($C$5,2)&amp;"输出",标准坦克设计!$B$23:$U$23,0)))*(VLOOKUP($B136,INDIRECT($B$5&amp;"生成成长"),3))*(VLOOKUP($B$5,标准坦克设计!$B$14:$K$20,9)/30))</f>
        <v>3.060418058450225</v>
      </c>
      <c r="I136" s="173">
        <f ca="1">(VLOOKUP(I$72,INDIRECT($C$5&amp;"生成成长"),2))/((VLOOKUP($B136,INDIRECT($B$5&amp;"生成成长"),4))/(VLOOKUP(I$72,INDIRECT($C$5&amp;"生成成长"),5))*(VLOOKUP($B$5,标准坦克设计!$B$24:$U$30,MATCH("对"&amp;LEFT($C$5,2)&amp;"输出",标准坦克设计!$B$23:$U$23,0)))*(VLOOKUP($B136,INDIRECT($B$5&amp;"生成成长"),3))*(VLOOKUP($B$5,标准坦克设计!$B$14:$K$20,9)/30))</f>
        <v>3.4971007778485932</v>
      </c>
      <c r="J136" s="173">
        <f ca="1">(VLOOKUP(J$72,INDIRECT($C$5&amp;"生成成长"),2))/((VLOOKUP($B136,INDIRECT($B$5&amp;"生成成长"),4))/(VLOOKUP(J$72,INDIRECT($C$5&amp;"生成成长"),5))*(VLOOKUP($B$5,标准坦克设计!$B$24:$U$30,MATCH("对"&amp;LEFT($C$5,2)&amp;"输出",标准坦克设计!$B$23:$U$23,0)))*(VLOOKUP($B136,INDIRECT($B$5&amp;"生成成长"),3))*(VLOOKUP($B$5,标准坦克设计!$B$14:$K$20,9)/30))</f>
        <v>3.9628956785401841</v>
      </c>
      <c r="K136" s="173">
        <f ca="1">(VLOOKUP(K$72,INDIRECT($C$5&amp;"生成成长"),2))/((VLOOKUP($B136,INDIRECT($B$5&amp;"生成成长"),4))/(VLOOKUP(K$72,INDIRECT($C$5&amp;"生成成长"),5))*(VLOOKUP($B$5,标准坦克设计!$B$24:$U$30,MATCH("对"&amp;LEFT($C$5,2)&amp;"输出",标准坦克设计!$B$23:$U$23,0)))*(VLOOKUP($B136,INDIRECT($B$5&amp;"生成成长"),3))*(VLOOKUP($B$5,标准坦克设计!$B$14:$K$20,9)/30))</f>
        <v>4.4578027605250004</v>
      </c>
      <c r="L136" s="173">
        <f ca="1">(VLOOKUP(L$72,INDIRECT($C$5&amp;"生成成长"),2))/((VLOOKUP($B136,INDIRECT($B$5&amp;"生成成长"),4))/(VLOOKUP(L$72,INDIRECT($C$5&amp;"生成成长"),5))*(VLOOKUP($B$5,标准坦克设计!$B$24:$U$30,MATCH("对"&amp;LEFT($C$5,2)&amp;"输出",标准坦克设计!$B$23:$U$23,0)))*(VLOOKUP($B136,INDIRECT($B$5&amp;"生成成长"),3))*(VLOOKUP($B$5,标准坦克设计!$B$14:$K$20,9)/30))</f>
        <v>4.9818220238030415</v>
      </c>
      <c r="M136" s="173">
        <f ca="1">(VLOOKUP(M$72,INDIRECT($C$5&amp;"生成成长"),2))/((VLOOKUP($B136,INDIRECT($B$5&amp;"生成成长"),4))/(VLOOKUP(M$72,INDIRECT($C$5&amp;"生成成长"),5))*(VLOOKUP($B$5,标准坦克设计!$B$24:$U$30,MATCH("对"&amp;LEFT($C$5,2)&amp;"输出",标准坦克设计!$B$23:$U$23,0)))*(VLOOKUP($B136,INDIRECT($B$5&amp;"生成成长"),3))*(VLOOKUP($B$5,标准坦克设计!$B$14:$K$20,9)/30))</f>
        <v>5.5349534683743062</v>
      </c>
      <c r="N136" s="173">
        <f ca="1">(VLOOKUP(N$72,INDIRECT($C$5&amp;"生成成长"),2))/((VLOOKUP($B136,INDIRECT($B$5&amp;"生成成长"),4))/(VLOOKUP(N$72,INDIRECT($C$5&amp;"生成成长"),5))*(VLOOKUP($B$5,标准坦克设计!$B$24:$U$30,MATCH("对"&amp;LEFT($C$5,2)&amp;"输出",标准坦克设计!$B$23:$U$23,0)))*(VLOOKUP($B136,INDIRECT($B$5&amp;"生成成长"),3))*(VLOOKUP($B$5,标准坦克设计!$B$14:$K$20,9)/30))</f>
        <v>6.1171970942387963</v>
      </c>
      <c r="O136" s="173">
        <f ca="1">(VLOOKUP(O$72,INDIRECT($C$5&amp;"生成成长"),2))/((VLOOKUP($B136,INDIRECT($B$5&amp;"生成成长"),4))/(VLOOKUP(O$72,INDIRECT($C$5&amp;"生成成长"),5))*(VLOOKUP($B$5,标准坦克设计!$B$24:$U$30,MATCH("对"&amp;LEFT($C$5,2)&amp;"输出",标准坦克设计!$B$23:$U$23,0)))*(VLOOKUP($B136,INDIRECT($B$5&amp;"生成成长"),3))*(VLOOKUP($B$5,标准坦克设计!$B$14:$K$20,9)/30))</f>
        <v>4.6508984005089662</v>
      </c>
      <c r="P136" s="173">
        <f ca="1">(VLOOKUP(P$72,INDIRECT($C$5&amp;"生成成长"),2))/((VLOOKUP($B136,INDIRECT($B$5&amp;"生成成长"),4))/(VLOOKUP(P$72,INDIRECT($C$5&amp;"生成成长"),5))*(VLOOKUP($B$5,标准坦克设计!$B$24:$U$30,MATCH("对"&amp;LEFT($C$5,2)&amp;"输出",标准坦克设计!$B$23:$U$23,0)))*(VLOOKUP($B136,INDIRECT($B$5&amp;"生成成长"),3))*(VLOOKUP($B$5,标准坦克设计!$B$14:$K$20,9)/30))</f>
        <v>5.2547487234270198</v>
      </c>
      <c r="Q136" s="173">
        <f ca="1">(VLOOKUP(Q$72,INDIRECT($C$5&amp;"生成成长"),2))/((VLOOKUP($B136,INDIRECT($B$5&amp;"生成成长"),4))/(VLOOKUP(Q$72,INDIRECT($C$5&amp;"生成成长"),5))*(VLOOKUP($B$5,标准坦克设计!$B$24:$U$30,MATCH("对"&amp;LEFT($C$5,2)&amp;"输出",标准坦克设计!$B$23:$U$23,0)))*(VLOOKUP($B136,INDIRECT($B$5&amp;"生成成长"),3))*(VLOOKUP($B$5,标准坦克设计!$B$14:$K$20,9)/30))</f>
        <v>5.8954441507943143</v>
      </c>
      <c r="R136" s="173">
        <f ca="1">(VLOOKUP(R$72,INDIRECT($C$5&amp;"生成成长"),2))/((VLOOKUP($B136,INDIRECT($B$5&amp;"生成成长"),4))/(VLOOKUP(R$72,INDIRECT($C$5&amp;"生成成长"),5))*(VLOOKUP($B$5,标准坦克设计!$B$24:$U$30,MATCH("对"&amp;LEFT($C$5,2)&amp;"输出",标准坦克设计!$B$23:$U$23,0)))*(VLOOKUP($B136,INDIRECT($B$5&amp;"生成成长"),3))*(VLOOKUP($B$5,标准坦克设计!$B$14:$K$20,9)/30))</f>
        <v>6.5729846826108425</v>
      </c>
      <c r="S136" s="173">
        <f ca="1">(VLOOKUP(S$72,INDIRECT($C$5&amp;"生成成长"),2))/((VLOOKUP($B136,INDIRECT($B$5&amp;"生成成长"),4))/(VLOOKUP(S$72,INDIRECT($C$5&amp;"生成成长"),5))*(VLOOKUP($B$5,标准坦克设计!$B$24:$U$30,MATCH("对"&amp;LEFT($C$5,2)&amp;"输出",标准坦克设计!$B$23:$U$23,0)))*(VLOOKUP($B136,INDIRECT($B$5&amp;"生成成长"),3))*(VLOOKUP($B$5,标准坦克设计!$B$14:$K$20,9)/30))</f>
        <v>7.2873703188766088</v>
      </c>
      <c r="T136" s="173">
        <f ca="1">(VLOOKUP(T$72,INDIRECT($C$5&amp;"生成成长"),2))/((VLOOKUP($B136,INDIRECT($B$5&amp;"生成成长"),4))/(VLOOKUP(T$72,INDIRECT($C$5&amp;"生成成长"),5))*(VLOOKUP($B$5,标准坦克设计!$B$24:$U$30,MATCH("对"&amp;LEFT($C$5,2)&amp;"输出",标准坦克设计!$B$23:$U$23,0)))*(VLOOKUP($B136,INDIRECT($B$5&amp;"生成成长"),3))*(VLOOKUP($B$5,标准坦克设计!$B$14:$K$20,9)/30))</f>
        <v>8.0386010595916133</v>
      </c>
      <c r="U136" s="173">
        <f ca="1">(VLOOKUP(U$72,INDIRECT($C$5&amp;"生成成长"),2))/((VLOOKUP($B136,INDIRECT($B$5&amp;"生成成长"),4))/(VLOOKUP(U$72,INDIRECT($C$5&amp;"生成成长"),5))*(VLOOKUP($B$5,标准坦克设计!$B$24:$U$30,MATCH("对"&amp;LEFT($C$5,2)&amp;"输出",标准坦克设计!$B$23:$U$23,0)))*(VLOOKUP($B136,INDIRECT($B$5&amp;"生成成长"),3))*(VLOOKUP($B$5,标准坦克设计!$B$14:$K$20,9)/30))</f>
        <v>8.8266769047558551</v>
      </c>
      <c r="V136" s="173">
        <f ca="1">(VLOOKUP(V$72,INDIRECT($C$5&amp;"生成成长"),2))/((VLOOKUP($B136,INDIRECT($B$5&amp;"生成成长"),4))/(VLOOKUP(V$72,INDIRECT($C$5&amp;"生成成长"),5))*(VLOOKUP($B$5,标准坦克设计!$B$24:$U$30,MATCH("对"&amp;LEFT($C$5,2)&amp;"输出",标准坦克设计!$B$23:$U$23,0)))*(VLOOKUP($B136,INDIRECT($B$5&amp;"生成成长"),3))*(VLOOKUP($B$5,标准坦克设计!$B$14:$K$20,9)/30))</f>
        <v>9.6515978543693333</v>
      </c>
      <c r="W136" s="173">
        <f ca="1">(VLOOKUP(W$72,INDIRECT($C$5&amp;"生成成长"),2))/((VLOOKUP($B136,INDIRECT($B$5&amp;"生成成长"),4))/(VLOOKUP(W$72,INDIRECT($C$5&amp;"生成成长"),5))*(VLOOKUP($B$5,标准坦克设计!$B$24:$U$30,MATCH("对"&amp;LEFT($C$5,2)&amp;"输出",标准坦克设计!$B$23:$U$23,0)))*(VLOOKUP($B136,INDIRECT($B$5&amp;"生成成长"),3))*(VLOOKUP($B$5,标准坦克设计!$B$14:$K$20,9)/30))</f>
        <v>10.51336390843205</v>
      </c>
      <c r="X136" s="173">
        <f ca="1">(VLOOKUP(X$72,INDIRECT($C$5&amp;"生成成长"),2))/((VLOOKUP($B136,INDIRECT($B$5&amp;"生成成长"),4))/(VLOOKUP(X$72,INDIRECT($C$5&amp;"生成成长"),5))*(VLOOKUP($B$5,标准坦克设计!$B$24:$U$30,MATCH("对"&amp;LEFT($C$5,2)&amp;"输出",标准坦克设计!$B$23:$U$23,0)))*(VLOOKUP($B136,INDIRECT($B$5&amp;"生成成长"),3))*(VLOOKUP($B$5,标准坦克设计!$B$14:$K$20,9)/30))</f>
        <v>7.616701869756211</v>
      </c>
      <c r="Y136" s="173">
        <f ca="1">(VLOOKUP(Y$72,INDIRECT($C$5&amp;"生成成长"),2))/((VLOOKUP($B136,INDIRECT($B$5&amp;"生成成长"),4))/(VLOOKUP(Y$72,INDIRECT($C$5&amp;"生成成长"),5))*(VLOOKUP($B$5,标准坦克设计!$B$24:$U$30,MATCH("对"&amp;LEFT($C$5,2)&amp;"输出",标准坦克设计!$B$23:$U$23,0)))*(VLOOKUP($B136,INDIRECT($B$5&amp;"生成成长"),3))*(VLOOKUP($B$5,标准坦克设计!$B$14:$K$20,9)/30))</f>
        <v>8.471872195244682</v>
      </c>
      <c r="Z136" s="173">
        <f ca="1">(VLOOKUP(Z$72,INDIRECT($C$5&amp;"生成成长"),2))/((VLOOKUP($B136,INDIRECT($B$5&amp;"生成成长"),4))/(VLOOKUP(Z$72,INDIRECT($C$5&amp;"生成成长"),5))*(VLOOKUP($B$5,标准坦克设计!$B$24:$U$30,MATCH("对"&amp;LEFT($C$5,2)&amp;"输出",标准坦克设计!$B$23:$U$23,0)))*(VLOOKUP($B136,INDIRECT($B$5&amp;"生成成长"),3))*(VLOOKUP($B$5,标准坦克设计!$B$14:$K$20,9)/30))</f>
        <v>9.3725303040038135</v>
      </c>
      <c r="AA136" s="173">
        <f ca="1">(VLOOKUP(AA$72,INDIRECT($C$5&amp;"生成成长"),2))/((VLOOKUP($B136,INDIRECT($B$5&amp;"生成成长"),4))/(VLOOKUP(AA$72,INDIRECT($C$5&amp;"生成成长"),5))*(VLOOKUP($B$5,标准坦克设计!$B$24:$U$30,MATCH("对"&amp;LEFT($C$5,2)&amp;"输出",标准坦克设计!$B$23:$U$23,0)))*(VLOOKUP($B136,INDIRECT($B$5&amp;"生成成长"),3))*(VLOOKUP($B$5,标准坦克设计!$B$14:$K$20,9)/30))</f>
        <v>10.318676196033609</v>
      </c>
      <c r="AB136" s="173">
        <f ca="1">(VLOOKUP(AB$72,INDIRECT($C$5&amp;"生成成长"),2))/((VLOOKUP($B136,INDIRECT($B$5&amp;"生成成长"),4))/(VLOOKUP(AB$72,INDIRECT($C$5&amp;"生成成长"),5))*(VLOOKUP($B$5,标准坦克设计!$B$24:$U$30,MATCH("对"&amp;LEFT($C$5,2)&amp;"输出",标准坦克设计!$B$23:$U$23,0)))*(VLOOKUP($B136,INDIRECT($B$5&amp;"生成成长"),3))*(VLOOKUP($B$5,标准坦克设计!$B$14:$K$20,9)/30))</f>
        <v>11.310309871334068</v>
      </c>
      <c r="AC136" s="173">
        <f ca="1">(VLOOKUP(AC$72,INDIRECT($C$5&amp;"生成成长"),2))/((VLOOKUP($B136,INDIRECT($B$5&amp;"生成成长"),4))/(VLOOKUP(AC$72,INDIRECT($C$5&amp;"生成成长"),5))*(VLOOKUP($B$5,标准坦克设计!$B$24:$U$30,MATCH("对"&amp;LEFT($C$5,2)&amp;"输出",标准坦克设计!$B$23:$U$23,0)))*(VLOOKUP($B136,INDIRECT($B$5&amp;"生成成长"),3))*(VLOOKUP($B$5,标准坦克设计!$B$14:$K$20,9)/30))</f>
        <v>12.347431329905191</v>
      </c>
      <c r="AD136" s="173">
        <f ca="1">(VLOOKUP(AD$72,INDIRECT($C$5&amp;"生成成长"),2))/((VLOOKUP($B136,INDIRECT($B$5&amp;"生成成长"),4))/(VLOOKUP(AD$72,INDIRECT($C$5&amp;"生成成长"),5))*(VLOOKUP($B$5,标准坦克设计!$B$24:$U$30,MATCH("对"&amp;LEFT($C$5,2)&amp;"输出",标准坦克设计!$B$23:$U$23,0)))*(VLOOKUP($B136,INDIRECT($B$5&amp;"生成成长"),3))*(VLOOKUP($B$5,标准坦克设计!$B$14:$K$20,9)/30))</f>
        <v>13.430040571746977</v>
      </c>
      <c r="AE136" s="173">
        <f ca="1">(VLOOKUP(AE$72,INDIRECT($C$5&amp;"生成成长"),2))/((VLOOKUP($B136,INDIRECT($B$5&amp;"生成成长"),4))/(VLOOKUP(AE$72,INDIRECT($C$5&amp;"生成成长"),5))*(VLOOKUP($B$5,标准坦克设计!$B$24:$U$30,MATCH("对"&amp;LEFT($C$5,2)&amp;"输出",标准坦克设计!$B$23:$U$23,0)))*(VLOOKUP($B136,INDIRECT($B$5&amp;"生成成长"),3))*(VLOOKUP($B$5,标准坦克设计!$B$14:$K$20,9)/30))</f>
        <v>14.558137596859428</v>
      </c>
      <c r="AF136" s="173">
        <f ca="1">(VLOOKUP(AF$72,INDIRECT($C$5&amp;"生成成长"),2))/((VLOOKUP($B136,INDIRECT($B$5&amp;"生成成长"),4))/(VLOOKUP(AF$72,INDIRECT($C$5&amp;"生成成长"),5))*(VLOOKUP($B$5,标准坦克设计!$B$24:$U$30,MATCH("对"&amp;LEFT($C$5,2)&amp;"输出",标准坦克设计!$B$23:$U$23,0)))*(VLOOKUP($B136,INDIRECT($B$5&amp;"生成成长"),3))*(VLOOKUP($B$5,标准坦克设计!$B$14:$K$20,9)/30))</f>
        <v>15.73172240524254</v>
      </c>
      <c r="AG136" s="173">
        <f ca="1">(VLOOKUP(AG$72,INDIRECT($C$5&amp;"生成成长"),2))/((VLOOKUP($B136,INDIRECT($B$5&amp;"生成成长"),4))/(VLOOKUP(AG$72,INDIRECT($C$5&amp;"生成成长"),5))*(VLOOKUP($B$5,标准坦克设计!$B$24:$U$30,MATCH("对"&amp;LEFT($C$5,2)&amp;"输出",标准坦克设计!$B$23:$U$23,0)))*(VLOOKUP($B136,INDIRECT($B$5&amp;"生成成长"),3))*(VLOOKUP($B$5,标准坦克设计!$B$14:$K$20,9)/30))</f>
        <v>16.950794996896317</v>
      </c>
      <c r="AH136" s="173">
        <f ca="1">(VLOOKUP(AH$72,INDIRECT($C$5&amp;"生成成长"),2))/((VLOOKUP($B136,INDIRECT($B$5&amp;"生成成长"),4))/(VLOOKUP(AH$72,INDIRECT($C$5&amp;"生成成长"),5))*(VLOOKUP($B$5,标准坦克设计!$B$24:$U$30,MATCH("对"&amp;LEFT($C$5,2)&amp;"输出",标准坦克设计!$B$23:$U$23,0)))*(VLOOKUP($B136,INDIRECT($B$5&amp;"生成成长"),3))*(VLOOKUP($B$5,标准坦克设计!$B$14:$K$20,9)/30))</f>
        <v>18.215355371820753</v>
      </c>
      <c r="AI136" s="173">
        <f ca="1">(VLOOKUP(AI$72,INDIRECT($C$5&amp;"生成成长"),2))/((VLOOKUP($B136,INDIRECT($B$5&amp;"生成成长"),4))/(VLOOKUP(AI$72,INDIRECT($C$5&amp;"生成成长"),5))*(VLOOKUP($B$5,标准坦克设计!$B$24:$U$30,MATCH("对"&amp;LEFT($C$5,2)&amp;"输出",标准坦克设计!$B$23:$U$23,0)))*(VLOOKUP($B136,INDIRECT($B$5&amp;"生成成长"),3))*(VLOOKUP($B$5,标准坦克设计!$B$14:$K$20,9)/30))</f>
        <v>12.883049977917251</v>
      </c>
      <c r="AJ136" s="173">
        <f ca="1">(VLOOKUP(AJ$72,INDIRECT($C$5&amp;"生成成长"),2))/((VLOOKUP($B136,INDIRECT($B$5&amp;"生成成长"),4))/(VLOOKUP(AJ$72,INDIRECT($C$5&amp;"生成成长"),5))*(VLOOKUP($B$5,标准坦克设计!$B$24:$U$30,MATCH("对"&amp;LEFT($C$5,2)&amp;"输出",标准坦克设计!$B$23:$U$23,0)))*(VLOOKUP($B136,INDIRECT($B$5&amp;"生成成长"),3))*(VLOOKUP($B$5,标准坦克设计!$B$14:$K$20,9)/30))</f>
        <v>14.101440252821968</v>
      </c>
      <c r="AK136" s="173">
        <f ca="1">(VLOOKUP(AK$72,INDIRECT($C$5&amp;"生成成长"),2))/((VLOOKUP($B136,INDIRECT($B$5&amp;"生成成长"),4))/(VLOOKUP(AK$72,INDIRECT($C$5&amp;"生成成长"),5))*(VLOOKUP($B$5,标准坦克设计!$B$24:$U$30,MATCH("对"&amp;LEFT($C$5,2)&amp;"输出",标准坦克设计!$B$23:$U$23,0)))*(VLOOKUP($B136,INDIRECT($B$5&amp;"生成成长"),3))*(VLOOKUP($B$5,标准坦克设计!$B$14:$K$20,9)/30))</f>
        <v>15.374870745484188</v>
      </c>
      <c r="AL136" s="173">
        <f ca="1">(VLOOKUP(AL$72,INDIRECT($C$5&amp;"生成成长"),2))/((VLOOKUP($B136,INDIRECT($B$5&amp;"生成成长"),4))/(VLOOKUP(AL$72,INDIRECT($C$5&amp;"生成成长"),5))*(VLOOKUP($B$5,标准坦克设计!$B$24:$U$30,MATCH("对"&amp;LEFT($C$5,2)&amp;"输出",标准坦克设计!$B$23:$U$23,0)))*(VLOOKUP($B136,INDIRECT($B$5&amp;"生成成长"),3))*(VLOOKUP($B$5,标准坦克设计!$B$14:$K$20,9)/30))</f>
        <v>16.703341455903907</v>
      </c>
      <c r="AM136" s="173">
        <f ca="1">(VLOOKUP(AM$72,INDIRECT($C$5&amp;"生成成长"),2))/((VLOOKUP($B136,INDIRECT($B$5&amp;"生成成长"),4))/(VLOOKUP(AM$72,INDIRECT($C$5&amp;"生成成长"),5))*(VLOOKUP($B$5,标准坦克设计!$B$24:$U$30,MATCH("对"&amp;LEFT($C$5,2)&amp;"输出",标准坦克设计!$B$23:$U$23,0)))*(VLOOKUP($B136,INDIRECT($B$5&amp;"生成成长"),3))*(VLOOKUP($B$5,标准坦克设计!$B$14:$K$20,9)/30))</f>
        <v>18.08685238408113</v>
      </c>
      <c r="AN136" s="173">
        <f ca="1">(VLOOKUP(AN$72,INDIRECT($C$5&amp;"生成成长"),2))/((VLOOKUP($B136,INDIRECT($B$5&amp;"生成成长"),4))/(VLOOKUP(AN$72,INDIRECT($C$5&amp;"生成成长"),5))*(VLOOKUP($B$5,标准坦克设计!$B$24:$U$30,MATCH("对"&amp;LEFT($C$5,2)&amp;"输出",标准坦克设计!$B$23:$U$23,0)))*(VLOOKUP($B136,INDIRECT($B$5&amp;"生成成长"),3))*(VLOOKUP($B$5,标准坦克设计!$B$14:$K$20,9)/30))</f>
        <v>19.525403530015854</v>
      </c>
      <c r="AO136" s="173">
        <f ca="1">(VLOOKUP(AO$72,INDIRECT($C$5&amp;"生成成长"),2))/((VLOOKUP($B136,INDIRECT($B$5&amp;"生成成长"),4))/(VLOOKUP(AO$72,INDIRECT($C$5&amp;"生成成长"),5))*(VLOOKUP($B$5,标准坦克设计!$B$24:$U$30,MATCH("对"&amp;LEFT($C$5,2)&amp;"输出",标准坦克设计!$B$23:$U$23,0)))*(VLOOKUP($B136,INDIRECT($B$5&amp;"生成成长"),3))*(VLOOKUP($B$5,标准坦克设计!$B$14:$K$20,9)/30))</f>
        <v>21.018994893708079</v>
      </c>
      <c r="AP136" s="173">
        <f ca="1">(VLOOKUP(AP$72,INDIRECT($C$5&amp;"生成成长"),2))/((VLOOKUP($B136,INDIRECT($B$5&amp;"生成成长"),4))/(VLOOKUP(AP$72,INDIRECT($C$5&amp;"生成成长"),5))*(VLOOKUP($B$5,标准坦克设计!$B$24:$U$30,MATCH("对"&amp;LEFT($C$5,2)&amp;"输出",标准坦克设计!$B$23:$U$23,0)))*(VLOOKUP($B136,INDIRECT($B$5&amp;"生成成长"),3))*(VLOOKUP($B$5,标准坦克设计!$B$14:$K$20,9)/30))</f>
        <v>22.567626475157816</v>
      </c>
      <c r="AQ136" s="173">
        <f ca="1">(VLOOKUP(AQ$72,INDIRECT($C$5&amp;"生成成长"),2))/((VLOOKUP($B136,INDIRECT($B$5&amp;"生成成长"),4))/(VLOOKUP(AQ$72,INDIRECT($C$5&amp;"生成成长"),5))*(VLOOKUP($B$5,标准坦克设计!$B$24:$U$30,MATCH("对"&amp;LEFT($C$5,2)&amp;"输出",标准坦克设计!$B$23:$U$23,0)))*(VLOOKUP($B136,INDIRECT($B$5&amp;"生成成长"),3))*(VLOOKUP($B$5,标准坦克设计!$B$14:$K$20,9)/30))</f>
        <v>24.171298274365046</v>
      </c>
      <c r="AR136" s="173">
        <f ca="1">(VLOOKUP(AR$72,INDIRECT($C$5&amp;"生成成长"),2))/((VLOOKUP($B136,INDIRECT($B$5&amp;"生成成长"),4))/(VLOOKUP(AR$72,INDIRECT($C$5&amp;"生成成长"),5))*(VLOOKUP($B$5,标准坦克设计!$B$24:$U$30,MATCH("对"&amp;LEFT($C$5,2)&amp;"输出",标准坦克设计!$B$23:$U$23,0)))*(VLOOKUP($B136,INDIRECT($B$5&amp;"生成成长"),3))*(VLOOKUP($B$5,标准坦克设计!$B$14:$K$20,9)/30))</f>
        <v>25.830010291329788</v>
      </c>
      <c r="AS136" s="173">
        <f ca="1">(VLOOKUP(AS$72,INDIRECT($C$5&amp;"生成成长"),2))/((VLOOKUP($B136,INDIRECT($B$5&amp;"生成成长"),4))/(VLOOKUP(AS$72,INDIRECT($C$5&amp;"生成成长"),5))*(VLOOKUP($B$5,标准坦克设计!$B$24:$U$30,MATCH("对"&amp;LEFT($C$5,2)&amp;"输出",标准坦克设计!$B$23:$U$23,0)))*(VLOOKUP($B136,INDIRECT($B$5&amp;"生成成长"),3))*(VLOOKUP($B$5,标准坦克设计!$B$14:$K$20,9)/30))</f>
        <v>27.543762526052024</v>
      </c>
      <c r="AT136" s="173">
        <f ca="1">(VLOOKUP(AT$72,INDIRECT($C$5&amp;"生成成长"),2))/((VLOOKUP($B136,INDIRECT($B$5&amp;"生成成长"),4))/(VLOOKUP(AT$72,INDIRECT($C$5&amp;"生成成长"),5))*(VLOOKUP($B$5,标准坦克设计!$B$24:$U$30,MATCH("对"&amp;LEFT($C$5,2)&amp;"输出",标准坦克设计!$B$23:$U$23,0)))*(VLOOKUP($B136,INDIRECT($B$5&amp;"生成成长"),3))*(VLOOKUP($B$5,标准坦克设计!$B$14:$K$20,9)/30))</f>
        <v>29.312554978531765</v>
      </c>
      <c r="AU136" s="173">
        <f ca="1">(VLOOKUP(AU$72,INDIRECT($C$5&amp;"生成成长"),2))/((VLOOKUP($B136,INDIRECT($B$5&amp;"生成成长"),4))/(VLOOKUP(AU$72,INDIRECT($C$5&amp;"生成成长"),5))*(VLOOKUP($B$5,标准坦克设计!$B$24:$U$30,MATCH("对"&amp;LEFT($C$5,2)&amp;"输出",标准坦克设计!$B$23:$U$23,0)))*(VLOOKUP($B136,INDIRECT($B$5&amp;"生成成长"),3))*(VLOOKUP($B$5,标准坦克设计!$B$14:$K$20,9)/30))</f>
        <v>31.136387648769009</v>
      </c>
      <c r="AV136" s="173">
        <f ca="1">(VLOOKUP(AV$72,INDIRECT($C$5&amp;"生成成长"),2))/((VLOOKUP($B136,INDIRECT($B$5&amp;"生成成长"),4))/(VLOOKUP(AV$72,INDIRECT($C$5&amp;"生成成长"),5))*(VLOOKUP($B$5,标准坦克设计!$B$24:$U$30,MATCH("对"&amp;LEFT($C$5,2)&amp;"输出",标准坦克设计!$B$23:$U$23,0)))*(VLOOKUP($B136,INDIRECT($B$5&amp;"生成成长"),3))*(VLOOKUP($B$5,标准坦克设计!$B$14:$K$20,9)/30))</f>
        <v>3.1668594713035767</v>
      </c>
      <c r="AW136" s="173">
        <f ca="1">(VLOOKUP(AW$72,INDIRECT($C$5&amp;"生成成长"),2))/((VLOOKUP($B136,INDIRECT($B$5&amp;"生成成长"),4))/(VLOOKUP(AW$72,INDIRECT($C$5&amp;"生成成长"),5))*(VLOOKUP($B$5,标准坦克设计!$B$24:$U$30,MATCH("对"&amp;LEFT($C$5,2)&amp;"输出",标准坦克设计!$B$23:$U$23,0)))*(VLOOKUP($B136,INDIRECT($B$5&amp;"生成成长"),3))*(VLOOKUP($B$5,标准坦克设计!$B$14:$K$20,9)/30))</f>
        <v>3.6108202360252504</v>
      </c>
      <c r="AX136" s="173">
        <f ca="1">(VLOOKUP(AX$72,INDIRECT($C$5&amp;"生成成长"),2))/((VLOOKUP($B136,INDIRECT($B$5&amp;"生成成长"),4))/(VLOOKUP(AX$72,INDIRECT($C$5&amp;"生成成长"),5))*(VLOOKUP($B$5,标准坦克设计!$B$24:$U$30,MATCH("对"&amp;LEFT($C$5,2)&amp;"输出",标准坦克设计!$B$23:$U$23,0)))*(VLOOKUP($B136,INDIRECT($B$5&amp;"生成成长"),3))*(VLOOKUP($B$5,标准坦克设计!$B$14:$K$20,9)/30))</f>
        <v>4.0838931820401481</v>
      </c>
      <c r="AY136" s="173">
        <f ca="1">(VLOOKUP(AY$72,INDIRECT($C$5&amp;"生成成长"),2))/((VLOOKUP($B136,INDIRECT($B$5&amp;"生成成长"),4))/(VLOOKUP(AY$72,INDIRECT($C$5&amp;"生成成长"),5))*(VLOOKUP($B$5,标准坦克设计!$B$24:$U$30,MATCH("对"&amp;LEFT($C$5,2)&amp;"输出",标准坦克设计!$B$23:$U$23,0)))*(VLOOKUP($B136,INDIRECT($B$5&amp;"生成成长"),3))*(VLOOKUP($B$5,标准坦克设计!$B$14:$K$20,9)/30))</f>
        <v>4.5860783093482711</v>
      </c>
      <c r="AZ136" s="173">
        <f ca="1">(VLOOKUP(AZ$72,INDIRECT($C$5&amp;"生成成长"),2))/((VLOOKUP($B136,INDIRECT($B$5&amp;"生成成长"),4))/(VLOOKUP(AZ$72,INDIRECT($C$5&amp;"生成成长"),5))*(VLOOKUP($B$5,标准坦克设计!$B$24:$U$30,MATCH("对"&amp;LEFT($C$5,2)&amp;"输出",标准坦克设计!$B$23:$U$23,0)))*(VLOOKUP($B136,INDIRECT($B$5&amp;"生成成长"),3))*(VLOOKUP($B$5,标准坦克设计!$B$14:$K$20,9)/30))</f>
        <v>5.1173756179496186</v>
      </c>
      <c r="BA136" s="173">
        <f ca="1">(VLOOKUP(BA$72,INDIRECT($C$5&amp;"生成成长"),2))/((VLOOKUP($B136,INDIRECT($B$5&amp;"生成成长"),4))/(VLOOKUP(BA$72,INDIRECT($C$5&amp;"生成成长"),5))*(VLOOKUP($B$5,标准坦克设计!$B$24:$U$30,MATCH("对"&amp;LEFT($C$5,2)&amp;"输出",标准坦克设计!$B$23:$U$23,0)))*(VLOOKUP($B136,INDIRECT($B$5&amp;"生成成长"),3))*(VLOOKUP($B$5,标准坦克设计!$B$14:$K$20,9)/30))</f>
        <v>5.6777851078441879</v>
      </c>
      <c r="BB136" s="173">
        <f ca="1">(VLOOKUP(BB$72,INDIRECT($C$5&amp;"生成成长"),2))/((VLOOKUP($B136,INDIRECT($B$5&amp;"生成成长"),4))/(VLOOKUP(BB$72,INDIRECT($C$5&amp;"生成成长"),5))*(VLOOKUP($B$5,标准坦克设计!$B$24:$U$30,MATCH("对"&amp;LEFT($C$5,2)&amp;"输出",标准坦克设计!$B$23:$U$23,0)))*(VLOOKUP($B136,INDIRECT($B$5&amp;"生成成长"),3))*(VLOOKUP($B$5,标准坦克设计!$B$14:$K$20,9)/30))</f>
        <v>6.2673067790319843</v>
      </c>
      <c r="BC136" s="173">
        <f ca="1">(VLOOKUP(BC$72,INDIRECT($C$5&amp;"生成成长"),2))/((VLOOKUP($B136,INDIRECT($B$5&amp;"生成成长"),4))/(VLOOKUP(BC$72,INDIRECT($C$5&amp;"生成成长"),5))*(VLOOKUP($B$5,标准坦克设计!$B$24:$U$30,MATCH("对"&amp;LEFT($C$5,2)&amp;"输出",标准坦克设计!$B$23:$U$23,0)))*(VLOOKUP($B136,INDIRECT($B$5&amp;"生成成长"),3))*(VLOOKUP($B$5,标准坦克设计!$B$14:$K$20,9)/30))</f>
        <v>6.8859406315130061</v>
      </c>
      <c r="BD136" s="173">
        <f ca="1">(VLOOKUP(BD$72,INDIRECT($C$5&amp;"生成成长"),2))/((VLOOKUP($B136,INDIRECT($B$5&amp;"生成成长"),4))/(VLOOKUP(BD$72,INDIRECT($C$5&amp;"生成成长"),5))*(VLOOKUP($B$5,标准坦克设计!$B$24:$U$30,MATCH("对"&amp;LEFT($C$5,2)&amp;"输出",标准坦克设计!$B$23:$U$23,0)))*(VLOOKUP($B136,INDIRECT($B$5&amp;"生成成长"),3))*(VLOOKUP($B$5,标准坦克设计!$B$14:$K$20,9)/30))</f>
        <v>7.616701869756211</v>
      </c>
      <c r="BE136" s="173">
        <f ca="1">(VLOOKUP(BE$72,INDIRECT($C$5&amp;"生成成长"),2))/((VLOOKUP($B136,INDIRECT($B$5&amp;"生成成长"),4))/(VLOOKUP(BE$72,INDIRECT($C$5&amp;"生成成长"),5))*(VLOOKUP($B$5,标准坦克设计!$B$24:$U$30,MATCH("对"&amp;LEFT($C$5,2)&amp;"输出",标准坦克设计!$B$23:$U$23,0)))*(VLOOKUP($B136,INDIRECT($B$5&amp;"生成成长"),3))*(VLOOKUP($B$5,标准坦克设计!$B$14:$K$20,9)/30))</f>
        <v>8.3843082124486532</v>
      </c>
      <c r="BF136" s="173">
        <f ca="1">(VLOOKUP(BF$72,INDIRECT($C$5&amp;"生成成长"),2))/((VLOOKUP($B136,INDIRECT($B$5&amp;"生成成长"),4))/(VLOOKUP(BF$72,INDIRECT($C$5&amp;"生成成长"),5))*(VLOOKUP($B$5,标准坦克设计!$B$24:$U$30,MATCH("对"&amp;LEFT($C$5,2)&amp;"输出",标准坦克设计!$B$23:$U$23,0)))*(VLOOKUP($B136,INDIRECT($B$5&amp;"生成成长"),3))*(VLOOKUP($B$5,标准坦克设计!$B$14:$K$20,9)/30))</f>
        <v>9.1887596595903336</v>
      </c>
      <c r="BG136" s="173">
        <f ca="1">(VLOOKUP(BG$72,INDIRECT($C$5&amp;"生成成长"),2))/((VLOOKUP($B136,INDIRECT($B$5&amp;"生成成长"),4))/(VLOOKUP(BG$72,INDIRECT($C$5&amp;"生成成长"),5))*(VLOOKUP($B$5,标准坦克设计!$B$24:$U$30,MATCH("对"&amp;LEFT($C$5,2)&amp;"输出",标准坦克设计!$B$23:$U$23,0)))*(VLOOKUP($B136,INDIRECT($B$5&amp;"生成成长"),3))*(VLOOKUP($B$5,标准坦克设计!$B$14:$K$20,9)/30))</f>
        <v>10.030056211181252</v>
      </c>
      <c r="BH136" s="173">
        <f ca="1">(VLOOKUP(BH$72,INDIRECT($C$5&amp;"生成成长"),2))/((VLOOKUP($B136,INDIRECT($B$5&amp;"生成成长"),4))/(VLOOKUP(BH$72,INDIRECT($C$5&amp;"生成成长"),5))*(VLOOKUP($B$5,标准坦克设计!$B$24:$U$30,MATCH("对"&amp;LEFT($C$5,2)&amp;"输出",标准坦克设计!$B$23:$U$23,0)))*(VLOOKUP($B136,INDIRECT($B$5&amp;"生成成长"),3))*(VLOOKUP($B$5,标准坦克设计!$B$14:$K$20,9)/30))</f>
        <v>4.8480879409872912</v>
      </c>
      <c r="BI136" s="173">
        <f ca="1">(VLOOKUP(BI$72,INDIRECT($C$5&amp;"生成成长"),2))/((VLOOKUP($B136,INDIRECT($B$5&amp;"生成成长"),4))/(VLOOKUP(BI$72,INDIRECT($C$5&amp;"生成成长"),5))*(VLOOKUP($B$5,标准坦克设计!$B$24:$U$30,MATCH("对"&amp;LEFT($C$5,2)&amp;"输出",标准坦克设计!$B$23:$U$23,0)))*(VLOOKUP($B136,INDIRECT($B$5&amp;"生成成长"),3))*(VLOOKUP($B$5,标准坦克设计!$B$14:$K$20,9)/30))</f>
        <v>5.4642199653884251</v>
      </c>
      <c r="BJ136" s="173">
        <f ca="1">(VLOOKUP(BJ$72,INDIRECT($C$5&amp;"生成成长"),2))/((VLOOKUP($B136,INDIRECT($B$5&amp;"生成成长"),4))/(VLOOKUP(BJ$72,INDIRECT($C$5&amp;"生成成长"),5))*(VLOOKUP($B$5,标准坦克设计!$B$24:$U$30,MATCH("对"&amp;LEFT($C$5,2)&amp;"输出",标准坦克设计!$B$23:$U$23,0)))*(VLOOKUP($B136,INDIRECT($B$5&amp;"生成成长"),3))*(VLOOKUP($B$5,标准坦克设计!$B$14:$K$20,9)/30))</f>
        <v>6.1171970942387963</v>
      </c>
      <c r="BK136" s="173">
        <f ca="1">(VLOOKUP(BK$72,INDIRECT($C$5&amp;"生成成长"),2))/((VLOOKUP($B136,INDIRECT($B$5&amp;"生成成长"),4))/(VLOOKUP(BK$72,INDIRECT($C$5&amp;"生成成长"),5))*(VLOOKUP($B$5,标准坦克设计!$B$24:$U$30,MATCH("对"&amp;LEFT($C$5,2)&amp;"输出",标准坦克设计!$B$23:$U$23,0)))*(VLOOKUP($B136,INDIRECT($B$5&amp;"生成成长"),3))*(VLOOKUP($B$5,标准坦克设计!$B$14:$K$20,9)/30))</f>
        <v>6.8070193275384039</v>
      </c>
      <c r="BL136" s="173">
        <f ca="1">(VLOOKUP(BL$72,INDIRECT($C$5&amp;"生成成长"),2))/((VLOOKUP($B136,INDIRECT($B$5&amp;"生成成长"),4))/(VLOOKUP(BL$72,INDIRECT($C$5&amp;"生成成长"),5))*(VLOOKUP($B$5,标准坦克设计!$B$24:$U$30,MATCH("对"&amp;LEFT($C$5,2)&amp;"输出",标准坦克设计!$B$23:$U$23,0)))*(VLOOKUP($B136,INDIRECT($B$5&amp;"生成成长"),3))*(VLOOKUP($B$5,标准坦克设计!$B$14:$K$20,9)/30))</f>
        <v>7.5336866652872505</v>
      </c>
      <c r="BM136" s="173">
        <f ca="1">(VLOOKUP(BM$72,INDIRECT($C$5&amp;"生成成长"),2))/((VLOOKUP($B136,INDIRECT($B$5&amp;"生成成长"),4))/(VLOOKUP(BM$72,INDIRECT($C$5&amp;"生成成长"),5))*(VLOOKUP($B$5,标准坦克设计!$B$24:$U$30,MATCH("对"&amp;LEFT($C$5,2)&amp;"输出",标准坦克设计!$B$23:$U$23,0)))*(VLOOKUP($B136,INDIRECT($B$5&amp;"生成成长"),3))*(VLOOKUP($B$5,标准坦克设计!$B$14:$K$20,9)/30))</f>
        <v>8.2971991074853335</v>
      </c>
      <c r="BN136" s="173">
        <f ca="1">(VLOOKUP(BN$72,INDIRECT($C$5&amp;"生成成长"),2))/((VLOOKUP($B136,INDIRECT($B$5&amp;"生成成长"),4))/(VLOOKUP(BN$72,INDIRECT($C$5&amp;"生成成长"),5))*(VLOOKUP($B$5,标准坦克设计!$B$24:$U$30,MATCH("对"&amp;LEFT($C$5,2)&amp;"输出",标准坦克设计!$B$23:$U$23,0)))*(VLOOKUP($B136,INDIRECT($B$5&amp;"生成成长"),3))*(VLOOKUP($B$5,标准坦克设计!$B$14:$K$20,9)/30))</f>
        <v>9.0975566541326547</v>
      </c>
      <c r="BO136" s="173">
        <f ca="1">(VLOOKUP(BO$72,INDIRECT($C$5&amp;"生成成长"),2))/((VLOOKUP($B136,INDIRECT($B$5&amp;"生成成长"),4))/(VLOOKUP(BO$72,INDIRECT($C$5&amp;"生成成长"),5))*(VLOOKUP($B$5,标准坦克设计!$B$24:$U$30,MATCH("对"&amp;LEFT($C$5,2)&amp;"输出",标准坦克设计!$B$23:$U$23,0)))*(VLOOKUP($B136,INDIRECT($B$5&amp;"生成成长"),3))*(VLOOKUP($B$5,标准坦克设计!$B$14:$K$20,9)/30))</f>
        <v>9.9347593052292122</v>
      </c>
      <c r="BP136" s="173">
        <f ca="1">(VLOOKUP(BP$72,INDIRECT($C$5&amp;"生成成长"),2))/((VLOOKUP($B136,INDIRECT($B$5&amp;"生成成长"),4))/(VLOOKUP(BP$72,INDIRECT($C$5&amp;"生成成长"),5))*(VLOOKUP($B$5,标准坦克设计!$B$24:$U$30,MATCH("对"&amp;LEFT($C$5,2)&amp;"输出",标准坦克设计!$B$23:$U$23,0)))*(VLOOKUP($B136,INDIRECT($B$5&amp;"生成成长"),3))*(VLOOKUP($B$5,标准坦克设计!$B$14:$K$20,9)/30))</f>
        <v>10.808807060775004</v>
      </c>
      <c r="BQ136" s="173">
        <f ca="1">(VLOOKUP(BQ$72,INDIRECT($C$5&amp;"生成成长"),2))/((VLOOKUP($B136,INDIRECT($B$5&amp;"生成成长"),4))/(VLOOKUP(BQ$72,INDIRECT($C$5&amp;"生成成长"),5))*(VLOOKUP($B$5,标准坦克设计!$B$24:$U$30,MATCH("对"&amp;LEFT($C$5,2)&amp;"输出",标准坦克设计!$B$23:$U$23,0)))*(VLOOKUP($B136,INDIRECT($B$5&amp;"生成成长"),3))*(VLOOKUP($B$5,标准坦克设计!$B$14:$K$20,9)/30))</f>
        <v>11.719699920770038</v>
      </c>
      <c r="BR136" s="173">
        <f ca="1">(VLOOKUP(BR$72,INDIRECT($C$5&amp;"生成成长"),2))/((VLOOKUP($B136,INDIRECT($B$5&amp;"生成成长"),4))/(VLOOKUP(BR$72,INDIRECT($C$5&amp;"生成成长"),5))*(VLOOKUP($B$5,标准坦克设计!$B$24:$U$30,MATCH("对"&amp;LEFT($C$5,2)&amp;"输出",标准坦克设计!$B$23:$U$23,0)))*(VLOOKUP($B136,INDIRECT($B$5&amp;"生成成长"),3))*(VLOOKUP($B$5,标准坦克设计!$B$14:$K$20,9)/30))</f>
        <v>12.775016492649424</v>
      </c>
      <c r="BS136" s="173">
        <f ca="1">(VLOOKUP(BS$72,INDIRECT($C$5&amp;"生成成长"),2))/((VLOOKUP($B136,INDIRECT($B$5&amp;"生成成长"),4))/(VLOOKUP(BS$72,INDIRECT($C$5&amp;"生成成长"),5))*(VLOOKUP($B$5,标准坦克设计!$B$24:$U$30,MATCH("对"&amp;LEFT($C$5,2)&amp;"输出",标准坦克设计!$B$23:$U$23,0)))*(VLOOKUP($B136,INDIRECT($B$5&amp;"生成成长"),3))*(VLOOKUP($B$5,标准坦克设计!$B$14:$K$20,9)/30))</f>
        <v>13.875820847799481</v>
      </c>
      <c r="BT136" s="173">
        <f ca="1">(VLOOKUP(BT$72,INDIRECT($C$5&amp;"生成成长"),2))/((VLOOKUP($B136,INDIRECT($B$5&amp;"生成成长"),4))/(VLOOKUP(BT$72,INDIRECT($C$5&amp;"生成成长"),5))*(VLOOKUP($B$5,标准坦克设计!$B$24:$U$30,MATCH("对"&amp;LEFT($C$5,2)&amp;"输出",标准坦克设计!$B$23:$U$23,0)))*(VLOOKUP($B136,INDIRECT($B$5&amp;"生成成长"),3))*(VLOOKUP($B$5,标准坦克设计!$B$14:$K$20,9)/30))</f>
        <v>15.022112986220193</v>
      </c>
      <c r="BU136" s="173">
        <f ca="1">(VLOOKUP(BU$72,INDIRECT($C$5&amp;"生成成长"),2))/((VLOOKUP($B136,INDIRECT($B$5&amp;"生成成长"),4))/(VLOOKUP(BU$72,INDIRECT($C$5&amp;"生成成长"),5))*(VLOOKUP($B$5,标准坦克设计!$B$24:$U$30,MATCH("对"&amp;LEFT($C$5,2)&amp;"输出",标准坦克设计!$B$23:$U$23,0)))*(VLOOKUP($B136,INDIRECT($B$5&amp;"生成成长"),3))*(VLOOKUP($B$5,标准坦克设计!$B$14:$K$20,9)/30))</f>
        <v>16.213892907911568</v>
      </c>
      <c r="BV136" s="173">
        <f ca="1">(VLOOKUP(BV$72,INDIRECT($C$5&amp;"生成成长"),2))/((VLOOKUP($B136,INDIRECT($B$5&amp;"生成成长"),4))/(VLOOKUP(BV$72,INDIRECT($C$5&amp;"生成成长"),5))*(VLOOKUP($B$5,标准坦克设计!$B$24:$U$30,MATCH("对"&amp;LEFT($C$5,2)&amp;"输出",标准坦克设计!$B$23:$U$23,0)))*(VLOOKUP($B136,INDIRECT($B$5&amp;"生成成长"),3))*(VLOOKUP($B$5,标准坦克设计!$B$14:$K$20,9)/30))</f>
        <v>17.451160612873611</v>
      </c>
      <c r="BW136" s="173">
        <f ca="1">(VLOOKUP(BW$72,INDIRECT($C$5&amp;"生成成长"),2))/((VLOOKUP($B136,INDIRECT($B$5&amp;"生成成长"),4))/(VLOOKUP(BW$72,INDIRECT($C$5&amp;"生成成长"),5))*(VLOOKUP($B$5,标准坦克设计!$B$24:$U$30,MATCH("对"&amp;LEFT($C$5,2)&amp;"输出",标准坦克设计!$B$23:$U$23,0)))*(VLOOKUP($B136,INDIRECT($B$5&amp;"生成成长"),3))*(VLOOKUP($B$5,标准坦克设计!$B$14:$K$20,9)/30))</f>
        <v>7.9533114659591195</v>
      </c>
      <c r="BX136" s="173">
        <f ca="1">(VLOOKUP(BX$72,INDIRECT($C$5&amp;"生成成长"),2))/((VLOOKUP($B136,INDIRECT($B$5&amp;"生成成长"),4))/(VLOOKUP(BX$72,INDIRECT($C$5&amp;"生成成长"),5))*(VLOOKUP($B$5,标准坦克设计!$B$24:$U$30,MATCH("对"&amp;LEFT($C$5,2)&amp;"输出",标准坦克设计!$B$23:$U$23,0)))*(VLOOKUP($B136,INDIRECT($B$5&amp;"生成成长"),3))*(VLOOKUP($B$5,标准坦克设计!$B$14:$K$20,9)/30))</f>
        <v>8.8266769047558551</v>
      </c>
      <c r="BY136" s="173">
        <f ca="1">(VLOOKUP(BY$72,INDIRECT($C$5&amp;"生成成长"),2))/((VLOOKUP($B136,INDIRECT($B$5&amp;"生成成长"),4))/(VLOOKUP(BY$72,INDIRECT($C$5&amp;"生成成长"),5))*(VLOOKUP($B$5,标准坦克设计!$B$24:$U$30,MATCH("对"&amp;LEFT($C$5,2)&amp;"输出",标准坦克设计!$B$23:$U$23,0)))*(VLOOKUP($B136,INDIRECT($B$5&amp;"生成成长"),3))*(VLOOKUP($B$5,标准坦克设计!$B$14:$K$20,9)/30))</f>
        <v>9.745530126823251</v>
      </c>
      <c r="BZ136" s="173">
        <f ca="1">(VLOOKUP(BZ$72,INDIRECT($C$5&amp;"生成成长"),2))/((VLOOKUP($B136,INDIRECT($B$5&amp;"生成成长"),4))/(VLOOKUP(BZ$72,INDIRECT($C$5&amp;"生成成长"),5))*(VLOOKUP($B$5,标准坦克设计!$B$24:$U$30,MATCH("对"&amp;LEFT($C$5,2)&amp;"输出",标准坦克设计!$B$23:$U$23,0)))*(VLOOKUP($B136,INDIRECT($B$5&amp;"生成成长"),3))*(VLOOKUP($B$5,标准坦克设计!$B$14:$K$20,9)/30))</f>
        <v>10.709871132161313</v>
      </c>
      <c r="CA136" s="173">
        <f ca="1">(VLOOKUP(CA$72,INDIRECT($C$5&amp;"生成成长"),2))/((VLOOKUP($B136,INDIRECT($B$5&amp;"生成成长"),4))/(VLOOKUP(CA$72,INDIRECT($C$5&amp;"生成成长"),5))*(VLOOKUP($B$5,标准坦克设计!$B$24:$U$30,MATCH("对"&amp;LEFT($C$5,2)&amp;"输出",标准坦克设计!$B$23:$U$23,0)))*(VLOOKUP($B136,INDIRECT($B$5&amp;"生成成长"),3))*(VLOOKUP($B$5,标准坦克设计!$B$14:$K$20,9)/30))</f>
        <v>11.719699920770038</v>
      </c>
      <c r="CB136" s="173">
        <f ca="1">(VLOOKUP(CB$72,INDIRECT($C$5&amp;"生成成长"),2))/((VLOOKUP($B136,INDIRECT($B$5&amp;"生成成长"),4))/(VLOOKUP(CB$72,INDIRECT($C$5&amp;"生成成长"),5))*(VLOOKUP($B$5,标准坦克设计!$B$24:$U$30,MATCH("对"&amp;LEFT($C$5,2)&amp;"输出",标准坦克设计!$B$23:$U$23,0)))*(VLOOKUP($B136,INDIRECT($B$5&amp;"生成成长"),3))*(VLOOKUP($B$5,标准坦克设计!$B$14:$K$20,9)/30))</f>
        <v>12.775016492649424</v>
      </c>
      <c r="CC136" s="173">
        <f ca="1">(VLOOKUP(CC$72,INDIRECT($C$5&amp;"生成成长"),2))/((VLOOKUP($B136,INDIRECT($B$5&amp;"生成成长"),4))/(VLOOKUP(CC$72,INDIRECT($C$5&amp;"生成成长"),5))*(VLOOKUP($B$5,标准坦克设计!$B$24:$U$30,MATCH("对"&amp;LEFT($C$5,2)&amp;"输出",标准坦克设计!$B$23:$U$23,0)))*(VLOOKUP($B136,INDIRECT($B$5&amp;"生成成长"),3))*(VLOOKUP($B$5,标准坦克设计!$B$14:$K$20,9)/30))</f>
        <v>13.875820847799481</v>
      </c>
      <c r="CD136" s="173">
        <f ca="1">(VLOOKUP(CD$72,INDIRECT($C$5&amp;"生成成长"),2))/((VLOOKUP($B136,INDIRECT($B$5&amp;"生成成长"),4))/(VLOOKUP(CD$72,INDIRECT($C$5&amp;"生成成长"),5))*(VLOOKUP($B$5,标准坦克设计!$B$24:$U$30,MATCH("对"&amp;LEFT($C$5,2)&amp;"输出",标准坦克设计!$B$23:$U$23,0)))*(VLOOKUP($B136,INDIRECT($B$5&amp;"生成成长"),3))*(VLOOKUP($B$5,标准坦克设计!$B$14:$K$20,9)/30))</f>
        <v>15.022112986220193</v>
      </c>
      <c r="CE136" s="173">
        <f ca="1">(VLOOKUP(CE$72,INDIRECT($C$5&amp;"生成成长"),2))/((VLOOKUP($B136,INDIRECT($B$5&amp;"生成成长"),4))/(VLOOKUP(CE$72,INDIRECT($C$5&amp;"生成成长"),5))*(VLOOKUP($B$5,标准坦克设计!$B$24:$U$30,MATCH("对"&amp;LEFT($C$5,2)&amp;"输出",标准坦克设计!$B$23:$U$23,0)))*(VLOOKUP($B136,INDIRECT($B$5&amp;"生成成长"),3))*(VLOOKUP($B$5,标准坦克设计!$B$14:$K$20,9)/30))</f>
        <v>16.213892907911568</v>
      </c>
      <c r="CF136" s="173">
        <f ca="1">(VLOOKUP(CF$72,INDIRECT($C$5&amp;"生成成长"),2))/((VLOOKUP($B136,INDIRECT($B$5&amp;"生成成长"),4))/(VLOOKUP(CF$72,INDIRECT($C$5&amp;"生成成长"),5))*(VLOOKUP($B$5,标准坦克设计!$B$24:$U$30,MATCH("对"&amp;LEFT($C$5,2)&amp;"输出",标准坦克设计!$B$23:$U$23,0)))*(VLOOKUP($B136,INDIRECT($B$5&amp;"生成成长"),3))*(VLOOKUP($B$5,标准坦克设计!$B$14:$K$20,9)/30))</f>
        <v>17.451160612873611</v>
      </c>
      <c r="CG136" s="173">
        <f ca="1">(VLOOKUP(CG$72,INDIRECT($C$5&amp;"生成成长"),2))/((VLOOKUP($B136,INDIRECT($B$5&amp;"生成成长"),4))/(VLOOKUP(CG$72,INDIRECT($C$5&amp;"生成成长"),5))*(VLOOKUP($B$5,标准坦克设计!$B$24:$U$30,MATCH("对"&amp;LEFT($C$5,2)&amp;"输出",标准坦克设计!$B$23:$U$23,0)))*(VLOOKUP($B136,INDIRECT($B$5&amp;"生成成长"),3))*(VLOOKUP($B$5,标准坦克设计!$B$14:$K$20,9)/30))</f>
        <v>18.733916101106313</v>
      </c>
      <c r="CH136" s="173">
        <f ca="1">(VLOOKUP(CH$72,INDIRECT($C$5&amp;"生成成长"),2))/((VLOOKUP($B136,INDIRECT($B$5&amp;"生成成长"),4))/(VLOOKUP(CH$72,INDIRECT($C$5&amp;"生成成长"),5))*(VLOOKUP($B$5,标准坦克设计!$B$24:$U$30,MATCH("对"&amp;LEFT($C$5,2)&amp;"输出",标准坦克设计!$B$23:$U$23,0)))*(VLOOKUP($B136,INDIRECT($B$5&amp;"生成成长"),3))*(VLOOKUP($B$5,标准坦克设计!$B$14:$K$20,9)/30))</f>
        <v>20.062159372609681</v>
      </c>
      <c r="CI136" s="173">
        <f ca="1">(VLOOKUP(CI$72,INDIRECT($C$5&amp;"生成成长"),2))/((VLOOKUP($B136,INDIRECT($B$5&amp;"生成成长"),4))/(VLOOKUP(CI$72,INDIRECT($C$5&amp;"生成成长"),5))*(VLOOKUP($B$5,标准坦克设计!$B$24:$U$30,MATCH("对"&amp;LEFT($C$5,2)&amp;"输出",标准坦克设计!$B$23:$U$23,0)))*(VLOOKUP($B136,INDIRECT($B$5&amp;"生成成长"),3))*(VLOOKUP($B$5,标准坦克设计!$B$14:$K$20,9)/30))</f>
        <v>21.575765360941002</v>
      </c>
      <c r="CJ136" s="173">
        <f ca="1">(VLOOKUP(CJ$72,INDIRECT($C$5&amp;"生成成长"),2))/((VLOOKUP($B136,INDIRECT($B$5&amp;"生成成长"),4))/(VLOOKUP(CJ$72,INDIRECT($C$5&amp;"生成成长"),5))*(VLOOKUP($B$5,标准坦克设计!$B$24:$U$30,MATCH("对"&amp;LEFT($C$5,2)&amp;"输出",标准坦克设计!$B$23:$U$23,0)))*(VLOOKUP($B136,INDIRECT($B$5&amp;"生成成长"),3))*(VLOOKUP($B$5,标准坦克设计!$B$14:$K$20,9)/30))</f>
        <v>23.144411567029824</v>
      </c>
      <c r="CK136" s="173">
        <f ca="1">(VLOOKUP(CK$72,INDIRECT($C$5&amp;"生成成长"),2))/((VLOOKUP($B136,INDIRECT($B$5&amp;"生成成长"),4))/(VLOOKUP(CK$72,INDIRECT($C$5&amp;"生成成长"),5))*(VLOOKUP($B$5,标准坦克设计!$B$24:$U$30,MATCH("对"&amp;LEFT($C$5,2)&amp;"输出",标准坦克设计!$B$23:$U$23,0)))*(VLOOKUP($B136,INDIRECT($B$5&amp;"生成成长"),3))*(VLOOKUP($B$5,标准坦克设计!$B$14:$K$20,9)/30))</f>
        <v>24.76809799087615</v>
      </c>
      <c r="CL136" s="173">
        <f ca="1">(VLOOKUP(CL$72,INDIRECT($C$5&amp;"生成成长"),2))/((VLOOKUP($B136,INDIRECT($B$5&amp;"生成成长"),4))/(VLOOKUP(CL$72,INDIRECT($C$5&amp;"生成成长"),5))*(VLOOKUP($B$5,标准坦克设计!$B$24:$U$30,MATCH("对"&amp;LEFT($C$5,2)&amp;"输出",标准坦克设计!$B$23:$U$23,0)))*(VLOOKUP($B136,INDIRECT($B$5&amp;"生成成长"),3))*(VLOOKUP($B$5,标准坦克设计!$B$14:$K$20,9)/30))</f>
        <v>26.446824632479981</v>
      </c>
      <c r="CM136" s="173">
        <f ca="1">(VLOOKUP(CM$72,INDIRECT($C$5&amp;"生成成长"),2))/((VLOOKUP($B136,INDIRECT($B$5&amp;"生成成长"),4))/(VLOOKUP(CM$72,INDIRECT($C$5&amp;"生成成长"),5))*(VLOOKUP($B$5,标准坦克设计!$B$24:$U$30,MATCH("对"&amp;LEFT($C$5,2)&amp;"输出",标准坦克设计!$B$23:$U$23,0)))*(VLOOKUP($B136,INDIRECT($B$5&amp;"生成成长"),3))*(VLOOKUP($B$5,标准坦克设计!$B$14:$K$20,9)/30))</f>
        <v>28.180591491841309</v>
      </c>
      <c r="CN136" s="173">
        <f ca="1">(VLOOKUP(CN$72,INDIRECT($C$5&amp;"生成成长"),2))/((VLOOKUP($B136,INDIRECT($B$5&amp;"生成成长"),4))/(VLOOKUP(CN$72,INDIRECT($C$5&amp;"生成成长"),5))*(VLOOKUP($B$5,标准坦克设计!$B$24:$U$30,MATCH("对"&amp;LEFT($C$5,2)&amp;"输出",标准坦克设计!$B$23:$U$23,0)))*(VLOOKUP($B136,INDIRECT($B$5&amp;"生成成长"),3))*(VLOOKUP($B$5,标准坦克设计!$B$14:$K$20,9)/30))</f>
        <v>29.969398568960141</v>
      </c>
      <c r="CO136" s="173">
        <f ca="1">(VLOOKUP(CO$72,INDIRECT($C$5&amp;"生成成长"),2))/((VLOOKUP($B136,INDIRECT($B$5&amp;"生成成长"),4))/(VLOOKUP(CO$72,INDIRECT($C$5&amp;"生成成长"),5))*(VLOOKUP($B$5,标准坦克设计!$B$24:$U$30,MATCH("对"&amp;LEFT($C$5,2)&amp;"输出",标准坦克设计!$B$23:$U$23,0)))*(VLOOKUP($B136,INDIRECT($B$5&amp;"生成成长"),3))*(VLOOKUP($B$5,标准坦克设计!$B$14:$K$20,9)/30))</f>
        <v>13.430040571746977</v>
      </c>
      <c r="CP136" s="173">
        <f ca="1">(VLOOKUP(CP$72,INDIRECT($C$5&amp;"生成成长"),2))/((VLOOKUP($B136,INDIRECT($B$5&amp;"生成成长"),4))/(VLOOKUP(CP$72,INDIRECT($C$5&amp;"生成成长"),5))*(VLOOKUP($B$5,标准坦克设计!$B$24:$U$30,MATCH("对"&amp;LEFT($C$5,2)&amp;"输出",标准坦克设计!$B$23:$U$23,0)))*(VLOOKUP($B136,INDIRECT($B$5&amp;"生成成长"),3))*(VLOOKUP($B$5,标准坦克设计!$B$14:$K$20,9)/30))</f>
        <v>14.673449127450557</v>
      </c>
      <c r="CQ136" s="173">
        <f ca="1">(VLOOKUP(CQ$72,INDIRECT($C$5&amp;"生成成长"),2))/((VLOOKUP($B136,INDIRECT($B$5&amp;"生成成长"),4))/(VLOOKUP(CQ$72,INDIRECT($C$5&amp;"生成成长"),5))*(VLOOKUP($B$5,标准坦克设计!$B$24:$U$30,MATCH("对"&amp;LEFT($C$5,2)&amp;"输出",标准坦克设计!$B$23:$U$23,0)))*(VLOOKUP($B136,INDIRECT($B$5&amp;"生成成长"),3))*(VLOOKUP($B$5,标准坦克设计!$B$14:$K$20,9)/30))</f>
        <v>15.971897900911641</v>
      </c>
      <c r="CR136" s="173">
        <f ca="1">(VLOOKUP(CR$72,INDIRECT($C$5&amp;"生成成长"),2))/((VLOOKUP($B136,INDIRECT($B$5&amp;"生成成长"),4))/(VLOOKUP(CR$72,INDIRECT($C$5&amp;"生成成长"),5))*(VLOOKUP($B$5,标准坦克设计!$B$24:$U$30,MATCH("对"&amp;LEFT($C$5,2)&amp;"输出",标准坦克设计!$B$23:$U$23,0)))*(VLOOKUP($B136,INDIRECT($B$5&amp;"生成成长"),3))*(VLOOKUP($B$5,标准坦克设计!$B$14:$K$20,9)/30))</f>
        <v>17.325386892130226</v>
      </c>
      <c r="CS136" s="173">
        <f ca="1">(VLOOKUP(CS$72,INDIRECT($C$5&amp;"生成成长"),2))/((VLOOKUP($B136,INDIRECT($B$5&amp;"生成成长"),4))/(VLOOKUP(CS$72,INDIRECT($C$5&amp;"生成成长"),5))*(VLOOKUP($B$5,标准坦克设计!$B$24:$U$30,MATCH("对"&amp;LEFT($C$5,2)&amp;"输出",标准坦克设计!$B$23:$U$23,0)))*(VLOOKUP($B136,INDIRECT($B$5&amp;"生成成长"),3))*(VLOOKUP($B$5,标准坦克设计!$B$14:$K$20,9)/30))</f>
        <v>18.733916101106313</v>
      </c>
      <c r="CT136" s="173">
        <f ca="1">(VLOOKUP(CT$72,INDIRECT($C$5&amp;"生成成长"),2))/((VLOOKUP($B136,INDIRECT($B$5&amp;"生成成长"),4))/(VLOOKUP(CT$72,INDIRECT($C$5&amp;"生成成长"),5))*(VLOOKUP($B$5,标准坦克设计!$B$24:$U$30,MATCH("对"&amp;LEFT($C$5,2)&amp;"输出",标准坦克设计!$B$23:$U$23,0)))*(VLOOKUP($B136,INDIRECT($B$5&amp;"生成成长"),3))*(VLOOKUP($B$5,标准坦克设计!$B$14:$K$20,9)/30))</f>
        <v>20.197485527839905</v>
      </c>
      <c r="CU136" s="173">
        <f ca="1">(VLOOKUP(CU$72,INDIRECT($C$5&amp;"生成成长"),2))/((VLOOKUP($B136,INDIRECT($B$5&amp;"生成成长"),4))/(VLOOKUP(CU$72,INDIRECT($C$5&amp;"生成成长"),5))*(VLOOKUP($B$5,标准坦克设计!$B$24:$U$30,MATCH("对"&amp;LEFT($C$5,2)&amp;"输出",标准坦克设计!$B$23:$U$23,0)))*(VLOOKUP($B136,INDIRECT($B$5&amp;"生成成长"),3))*(VLOOKUP($B$5,标准坦克设计!$B$14:$K$20,9)/30))</f>
        <v>21.716095172331002</v>
      </c>
      <c r="CV136" s="173">
        <f ca="1">(VLOOKUP(CV$72,INDIRECT($C$5&amp;"生成成长"),2))/((VLOOKUP($B136,INDIRECT($B$5&amp;"生成成长"),4))/(VLOOKUP(CV$72,INDIRECT($C$5&amp;"生成成长"),5))*(VLOOKUP($B$5,标准坦克设计!$B$24:$U$30,MATCH("对"&amp;LEFT($C$5,2)&amp;"输出",标准坦克设计!$B$23:$U$23,0)))*(VLOOKUP($B136,INDIRECT($B$5&amp;"生成成长"),3))*(VLOOKUP($B$5,标准坦克设计!$B$14:$K$20,9)/30))</f>
        <v>23.289745034579592</v>
      </c>
      <c r="CW136" s="173">
        <f ca="1">(VLOOKUP(CW$72,INDIRECT($C$5&amp;"生成成长"),2))/((VLOOKUP($B136,INDIRECT($B$5&amp;"生成成长"),4))/(VLOOKUP(CW$72,INDIRECT($C$5&amp;"生成成长"),5))*(VLOOKUP($B$5,标准坦克设计!$B$24:$U$30,MATCH("对"&amp;LEFT($C$5,2)&amp;"输出",标准坦克设计!$B$23:$U$23,0)))*(VLOOKUP($B136,INDIRECT($B$5&amp;"生成成长"),3))*(VLOOKUP($B$5,标准坦克设计!$B$14:$K$20,9)/30))</f>
        <v>24.918435114585694</v>
      </c>
      <c r="CX136" s="173">
        <f ca="1">(VLOOKUP(CX$72,INDIRECT($C$5&amp;"生成成长"),2))/((VLOOKUP($B136,INDIRECT($B$5&amp;"生成成长"),4))/(VLOOKUP(CX$72,INDIRECT($C$5&amp;"生成成长"),5))*(VLOOKUP($B$5,标准坦克设计!$B$24:$U$30,MATCH("对"&amp;LEFT($C$5,2)&amp;"输出",标准坦克设计!$B$23:$U$23,0)))*(VLOOKUP($B136,INDIRECT($B$5&amp;"生成成长"),3))*(VLOOKUP($B$5,标准坦克设计!$B$14:$K$20,9)/30))</f>
        <v>26.602165412349294</v>
      </c>
      <c r="CY136" s="173">
        <f ca="1">(VLOOKUP(CY$72,INDIRECT($C$5&amp;"生成成长"),2))/((VLOOKUP($B136,INDIRECT($B$5&amp;"生成成长"),4))/(VLOOKUP(CY$72,INDIRECT($C$5&amp;"生成成长"),5))*(VLOOKUP($B$5,标准坦克设计!$B$24:$U$30,MATCH("对"&amp;LEFT($C$5,2)&amp;"输出",标准坦克设计!$B$23:$U$23,0)))*(VLOOKUP($B136,INDIRECT($B$5&amp;"生成成长"),3))*(VLOOKUP($B$5,标准坦克设计!$B$14:$K$20,9)/30))</f>
        <v>28.340935927870397</v>
      </c>
      <c r="CZ136" s="173">
        <f ca="1">(VLOOKUP(CZ$72,INDIRECT($C$5&amp;"生成成长"),2))/((VLOOKUP($B136,INDIRECT($B$5&amp;"生成成长"),4))/(VLOOKUP(CZ$72,INDIRECT($C$5&amp;"生成成长"),5))*(VLOOKUP($B$5,标准坦克设计!$B$24:$U$30,MATCH("对"&amp;LEFT($C$5,2)&amp;"输出",标准坦克设计!$B$23:$U$23,0)))*(VLOOKUP($B136,INDIRECT($B$5&amp;"生成成长"),3))*(VLOOKUP($B$5,标准坦克设计!$B$14:$K$20,9)/30))</f>
        <v>30.134746661149002</v>
      </c>
      <c r="DA136" s="173">
        <f ca="1">(VLOOKUP(DA$72,INDIRECT($C$5&amp;"生成成长"),2))/((VLOOKUP($B136,INDIRECT($B$5&amp;"生成成长"),4))/(VLOOKUP(DA$72,INDIRECT($C$5&amp;"生成成长"),5))*(VLOOKUP($B$5,标准坦克设计!$B$24:$U$30,MATCH("对"&amp;LEFT($C$5,2)&amp;"输出",标准坦克设计!$B$23:$U$23,0)))*(VLOOKUP($B136,INDIRECT($B$5&amp;"生成成长"),3))*(VLOOKUP($B$5,标准坦克设计!$B$14:$K$20,9)/30))</f>
        <v>31.983597612185115</v>
      </c>
      <c r="DB136" s="173">
        <f ca="1">(VLOOKUP(DB$72,INDIRECT($C$5&amp;"生成成长"),2))/((VLOOKUP($B136,INDIRECT($B$5&amp;"生成成长"),4))/(VLOOKUP(DB$72,INDIRECT($C$5&amp;"生成成长"),5))*(VLOOKUP($B$5,标准坦克设计!$B$24:$U$30,MATCH("对"&amp;LEFT($C$5,2)&amp;"输出",标准坦克设计!$B$23:$U$23,0)))*(VLOOKUP($B136,INDIRECT($B$5&amp;"生成成长"),3))*(VLOOKUP($B$5,标准坦克设计!$B$14:$K$20,9)/30))</f>
        <v>33.887488780978728</v>
      </c>
      <c r="DC136" s="173">
        <f ca="1">(VLOOKUP(DC$72,INDIRECT($C$5&amp;"生成成长"),2))/((VLOOKUP($B136,INDIRECT($B$5&amp;"生成成长"),4))/(VLOOKUP(DC$72,INDIRECT($C$5&amp;"生成成长"),5))*(VLOOKUP($B$5,标准坦克设计!$B$24:$U$30,MATCH("对"&amp;LEFT($C$5,2)&amp;"输出",标准坦克设计!$B$23:$U$23,0)))*(VLOOKUP($B136,INDIRECT($B$5&amp;"生成成长"),3))*(VLOOKUP($B$5,标准坦克设计!$B$14:$K$20,9)/30))</f>
        <v>36.027234106030726</v>
      </c>
      <c r="DD136" s="173">
        <f ca="1">(VLOOKUP(DD$72,INDIRECT($C$5&amp;"生成成长"),2))/((VLOOKUP($B136,INDIRECT($B$5&amp;"生成成长"),4))/(VLOOKUP(DD$72,INDIRECT($C$5&amp;"生成成长"),5))*(VLOOKUP($B$5,标准坦克设计!$B$24:$U$30,MATCH("对"&amp;LEFT($C$5,2)&amp;"输出",标准坦克设计!$B$23:$U$23,0)))*(VLOOKUP($B136,INDIRECT($B$5&amp;"生成成长"),3))*(VLOOKUP($B$5,标准坦克设计!$B$14:$K$20,9)/30))</f>
        <v>38.232481838992484</v>
      </c>
      <c r="DE136" s="173">
        <f ca="1">(VLOOKUP(DE$72,INDIRECT($C$5&amp;"生成成长"),2))/((VLOOKUP($B136,INDIRECT($B$5&amp;"生成成长"),4))/(VLOOKUP(DE$72,INDIRECT($C$5&amp;"生成成长"),5))*(VLOOKUP($B$5,标准坦克设计!$B$24:$U$30,MATCH("对"&amp;LEFT($C$5,2)&amp;"输出",标准坦克设计!$B$23:$U$23,0)))*(VLOOKUP($B136,INDIRECT($B$5&amp;"生成成长"),3))*(VLOOKUP($B$5,标准坦克设计!$B$14:$K$20,9)/30))</f>
        <v>40.50323197986399</v>
      </c>
      <c r="DF136" s="173">
        <f ca="1">(VLOOKUP(DF$72,INDIRECT($C$5&amp;"生成成长"),2))/((VLOOKUP($B136,INDIRECT($B$5&amp;"生成成长"),4))/(VLOOKUP(DF$72,INDIRECT($C$5&amp;"生成成长"),5))*(VLOOKUP($B$5,标准坦克设计!$B$24:$U$30,MATCH("对"&amp;LEFT($C$5,2)&amp;"输出",标准坦克设计!$B$23:$U$23,0)))*(VLOOKUP($B136,INDIRECT($B$5&amp;"生成成长"),3))*(VLOOKUP($B$5,标准坦克设计!$B$14:$K$20,9)/30))</f>
        <v>42.839484528645251</v>
      </c>
      <c r="DG136" s="173">
        <f ca="1">(VLOOKUP(DG$72,INDIRECT($C$5&amp;"生成成长"),2))/((VLOOKUP($B136,INDIRECT($B$5&amp;"生成成长"),4))/(VLOOKUP(DG$72,INDIRECT($C$5&amp;"生成成长"),5))*(VLOOKUP($B$5,标准坦克设计!$B$24:$U$30,MATCH("对"&amp;LEFT($C$5,2)&amp;"输出",标准坦克设计!$B$23:$U$23,0)))*(VLOOKUP($B136,INDIRECT($B$5&amp;"生成成长"),3))*(VLOOKUP($B$5,标准坦克设计!$B$14:$K$20,9)/30))</f>
        <v>45.241239485336273</v>
      </c>
      <c r="DH136" s="173">
        <f ca="1">(VLOOKUP(DH$72,INDIRECT($C$5&amp;"生成成长"),2))/((VLOOKUP($B136,INDIRECT($B$5&amp;"生成成长"),4))/(VLOOKUP(DH$72,INDIRECT($C$5&amp;"生成成长"),5))*(VLOOKUP($B$5,标准坦克设计!$B$24:$U$30,MATCH("对"&amp;LEFT($C$5,2)&amp;"输出",标准坦克设计!$B$23:$U$23,0)))*(VLOOKUP($B136,INDIRECT($B$5&amp;"生成成长"),3))*(VLOOKUP($B$5,标准坦克设计!$B$14:$K$20,9)/30))</f>
        <v>47.708496849937042</v>
      </c>
      <c r="DI136" s="173">
        <f ca="1">(VLOOKUP(DI$72,INDIRECT($C$5&amp;"生成成长"),2))/((VLOOKUP($B136,INDIRECT($B$5&amp;"生成成长"),4))/(VLOOKUP(DI$72,INDIRECT($C$5&amp;"生成成长"),5))*(VLOOKUP($B$5,标准坦克设计!$B$24:$U$30,MATCH("对"&amp;LEFT($C$5,2)&amp;"输出",标准坦克设计!$B$23:$U$23,0)))*(VLOOKUP($B136,INDIRECT($B$5&amp;"生成成长"),3))*(VLOOKUP($B$5,标准坦克设计!$B$14:$K$20,9)/30))</f>
        <v>50.241256622447587</v>
      </c>
      <c r="DJ136" s="173">
        <f ca="1">(VLOOKUP(DJ$72,INDIRECT($C$5&amp;"生成成长"),2))/((VLOOKUP($B136,INDIRECT($B$5&amp;"生成成长"),4))/(VLOOKUP(DJ$72,INDIRECT($C$5&amp;"生成成长"),5))*(VLOOKUP($B$5,标准坦克设计!$B$24:$U$30,MATCH("对"&amp;LEFT($C$5,2)&amp;"输出",标准坦克设计!$B$23:$U$23,0)))*(VLOOKUP($B136,INDIRECT($B$5&amp;"生成成长"),3))*(VLOOKUP($B$5,标准坦克设计!$B$14:$K$20,9)/30))</f>
        <v>5.0493713819599764</v>
      </c>
      <c r="DK136" s="173">
        <f ca="1">(VLOOKUP(DK$72,INDIRECT($C$5&amp;"生成成长"),2))/((VLOOKUP($B136,INDIRECT($B$5&amp;"生成成长"),4))/(VLOOKUP(DK$72,INDIRECT($C$5&amp;"生成成长"),5))*(VLOOKUP($B$5,标准坦克设计!$B$24:$U$30,MATCH("对"&amp;LEFT($C$5,2)&amp;"输出",标准坦克设计!$B$23:$U$23,0)))*(VLOOKUP($B136,INDIRECT($B$5&amp;"生成成长"),3))*(VLOOKUP($B$5,标准坦克设计!$B$14:$K$20,9)/30))</f>
        <v>5.6777851078441879</v>
      </c>
      <c r="DL136" s="173">
        <f ca="1">(VLOOKUP(DL$72,INDIRECT($C$5&amp;"生成成长"),2))/((VLOOKUP($B136,INDIRECT($B$5&amp;"生成成长"),4))/(VLOOKUP(DL$72,INDIRECT($C$5&amp;"生成成长"),5))*(VLOOKUP($B$5,标准坦克设计!$B$24:$U$30,MATCH("对"&amp;LEFT($C$5,2)&amp;"输出",标准坦克设计!$B$23:$U$23,0)))*(VLOOKUP($B136,INDIRECT($B$5&amp;"生成成长"),3))*(VLOOKUP($B$5,标准坦克设计!$B$14:$K$20,9)/30))</f>
        <v>6.3430439381776402</v>
      </c>
      <c r="DM136" s="173">
        <f ca="1">(VLOOKUP(DM$72,INDIRECT($C$5&amp;"生成成长"),2))/((VLOOKUP($B136,INDIRECT($B$5&amp;"生成成长"),4))/(VLOOKUP(DM$72,INDIRECT($C$5&amp;"生成成长"),5))*(VLOOKUP($B$5,标准坦克设计!$B$24:$U$30,MATCH("对"&amp;LEFT($C$5,2)&amp;"输出",标准坦克设计!$B$23:$U$23,0)))*(VLOOKUP($B136,INDIRECT($B$5&amp;"生成成长"),3))*(VLOOKUP($B$5,标准坦克设计!$B$14:$K$20,9)/30))</f>
        <v>7.0451478729603272</v>
      </c>
      <c r="DN136" s="173">
        <f ca="1">(VLOOKUP(DN$72,INDIRECT($C$5&amp;"生成成长"),2))/((VLOOKUP($B136,INDIRECT($B$5&amp;"生成成长"),4))/(VLOOKUP(DN$72,INDIRECT($C$5&amp;"生成成长"),5))*(VLOOKUP($B$5,标准坦克设计!$B$24:$U$30,MATCH("对"&amp;LEFT($C$5,2)&amp;"输出",标准坦克设计!$B$23:$U$23,0)))*(VLOOKUP($B136,INDIRECT($B$5&amp;"生成成长"),3))*(VLOOKUP($B$5,标准坦克设计!$B$14:$K$20,9)/30))</f>
        <v>7.7840969121922523</v>
      </c>
      <c r="DO136" s="173">
        <f ca="1">(VLOOKUP(DO$72,INDIRECT($C$5&amp;"生成成长"),2))/((VLOOKUP($B136,INDIRECT($B$5&amp;"生成成长"),4))/(VLOOKUP(DO$72,INDIRECT($C$5&amp;"生成成长"),5))*(VLOOKUP($B$5,标准坦克设计!$B$24:$U$30,MATCH("对"&amp;LEFT($C$5,2)&amp;"输出",标准坦克设计!$B$23:$U$23,0)))*(VLOOKUP($B136,INDIRECT($B$5&amp;"生成成长"),3))*(VLOOKUP($B$5,标准坦克设计!$B$14:$K$20,9)/30))</f>
        <v>8.5598910558734165</v>
      </c>
      <c r="DP136" s="173">
        <f ca="1">(VLOOKUP(DP$72,INDIRECT($C$5&amp;"生成成长"),2))/((VLOOKUP($B136,INDIRECT($B$5&amp;"生成成长"),4))/(VLOOKUP(DP$72,INDIRECT($C$5&amp;"生成成长"),5))*(VLOOKUP($B$5,标准坦克设计!$B$24:$U$30,MATCH("对"&amp;LEFT($C$5,2)&amp;"输出",标准坦克设计!$B$23:$U$23,0)))*(VLOOKUP($B136,INDIRECT($B$5&amp;"生成成长"),3))*(VLOOKUP($B$5,标准坦克设计!$B$14:$K$20,9)/30))</f>
        <v>9.3725303040038135</v>
      </c>
      <c r="DQ136" s="173">
        <f ca="1">(VLOOKUP(DQ$72,INDIRECT($C$5&amp;"生成成长"),2))/((VLOOKUP($B136,INDIRECT($B$5&amp;"生成成长"),4))/(VLOOKUP(DQ$72,INDIRECT($C$5&amp;"生成成长"),5))*(VLOOKUP($B$5,标准坦克设计!$B$24:$U$30,MATCH("对"&amp;LEFT($C$5,2)&amp;"输出",标准坦克设计!$B$23:$U$23,0)))*(VLOOKUP($B136,INDIRECT($B$5&amp;"生成成长"),3))*(VLOOKUP($B$5,标准坦克设计!$B$14:$K$20,9)/30))</f>
        <v>10.22201465658345</v>
      </c>
      <c r="DR136" s="173">
        <f ca="1">(VLOOKUP(DR$72,INDIRECT($C$5&amp;"生成成长"),2))/((VLOOKUP($B136,INDIRECT($B$5&amp;"生成成长"),4))/(VLOOKUP(DR$72,INDIRECT($C$5&amp;"生成成长"),5))*(VLOOKUP($B$5,标准坦克设计!$B$24:$U$30,MATCH("对"&amp;LEFT($C$5,2)&amp;"输出",标准坦克设计!$B$23:$U$23,0)))*(VLOOKUP($B136,INDIRECT($B$5&amp;"生成成长"),3))*(VLOOKUP($B$5,标准坦克设计!$B$14:$K$20,9)/30))</f>
        <v>11.108344113612322</v>
      </c>
      <c r="DS136" s="173">
        <f ca="1">(VLOOKUP(DS$72,INDIRECT($C$5&amp;"生成成长"),2))/((VLOOKUP($B136,INDIRECT($B$5&amp;"生成成长"),4))/(VLOOKUP(DS$72,INDIRECT($C$5&amp;"生成成长"),5))*(VLOOKUP($B$5,标准坦克设计!$B$24:$U$30,MATCH("对"&amp;LEFT($C$5,2)&amp;"输出",标准坦克设计!$B$23:$U$23,0)))*(VLOOKUP($B136,INDIRECT($B$5&amp;"生成成长"),3))*(VLOOKUP($B$5,标准坦克设计!$B$14:$K$20,9)/30))</f>
        <v>12.031518675090437</v>
      </c>
      <c r="DT136" s="173">
        <f ca="1">(VLOOKUP(DT$72,INDIRECT($C$5&amp;"生成成长"),2))/((VLOOKUP($B136,INDIRECT($B$5&amp;"生成成长"),4))/(VLOOKUP(DT$72,INDIRECT($C$5&amp;"生成成长"),5))*(VLOOKUP($B$5,标准坦克设计!$B$24:$U$30,MATCH("对"&amp;LEFT($C$5,2)&amp;"输出",标准坦克设计!$B$23:$U$23,0)))*(VLOOKUP($B136,INDIRECT($B$5&amp;"生成成长"),3))*(VLOOKUP($B$5,标准坦克设计!$B$14:$K$20,9)/30))</f>
        <v>13.209879700716966</v>
      </c>
      <c r="DU136" s="173">
        <f ca="1">(VLOOKUP(DU$72,INDIRECT($C$5&amp;"生成成长"),2))/((VLOOKUP($B136,INDIRECT($B$5&amp;"生成成长"),4))/(VLOOKUP(DU$72,INDIRECT($C$5&amp;"生成成长"),5))*(VLOOKUP($B$5,标准坦克设计!$B$24:$U$30,MATCH("对"&amp;LEFT($C$5,2)&amp;"输出",标准坦克设计!$B$23:$U$23,0)))*(VLOOKUP($B136,INDIRECT($B$5&amp;"生成成长"),3))*(VLOOKUP($B$5,标准坦克设计!$B$14:$K$20,9)/30))</f>
        <v>14.443280944101001</v>
      </c>
      <c r="DV136" s="173">
        <f ca="1">(VLOOKUP(DV$72,INDIRECT($C$5&amp;"生成成长"),2))/((VLOOKUP($B136,INDIRECT($B$5&amp;"生成成长"),4))/(VLOOKUP(DV$72,INDIRECT($C$5&amp;"生成成长"),5))*(VLOOKUP($B$5,标准坦克设计!$B$24:$U$30,MATCH("对"&amp;LEFT($C$5,2)&amp;"输出",标准坦克设计!$B$23:$U$23,0)))*(VLOOKUP($B136,INDIRECT($B$5&amp;"生成成长"),3))*(VLOOKUP($B$5,标准坦克设计!$B$14:$K$20,9)/30))</f>
        <v>15.73172240524254</v>
      </c>
      <c r="DW136" s="173">
        <f ca="1">(VLOOKUP(DW$72,INDIRECT($C$5&amp;"生成成长"),2))/((VLOOKUP($B136,INDIRECT($B$5&amp;"生成成长"),4))/(VLOOKUP(DW$72,INDIRECT($C$5&amp;"生成成长"),5))*(VLOOKUP($B$5,标准坦克设计!$B$24:$U$30,MATCH("对"&amp;LEFT($C$5,2)&amp;"输出",标准坦克设计!$B$23:$U$23,0)))*(VLOOKUP($B136,INDIRECT($B$5&amp;"生成成长"),3))*(VLOOKUP($B$5,标准坦克设计!$B$14:$K$20,9)/30))</f>
        <v>17.075204084141582</v>
      </c>
      <c r="DX136" s="173">
        <f ca="1">(VLOOKUP(DX$72,INDIRECT($C$5&amp;"生成成长"),2))/((VLOOKUP($B136,INDIRECT($B$5&amp;"生成成长"),4))/(VLOOKUP(DX$72,INDIRECT($C$5&amp;"生成成长"),5))*(VLOOKUP($B$5,标准坦克设计!$B$24:$U$30,MATCH("对"&amp;LEFT($C$5,2)&amp;"输出",标准坦克设计!$B$23:$U$23,0)))*(VLOOKUP($B136,INDIRECT($B$5&amp;"生成成长"),3))*(VLOOKUP($B$5,标准坦克设计!$B$14:$K$20,9)/30))</f>
        <v>18.473725980798122</v>
      </c>
      <c r="DY136" s="173">
        <f ca="1">(VLOOKUP(DY$72,INDIRECT($C$5&amp;"生成成长"),2))/((VLOOKUP($B136,INDIRECT($B$5&amp;"生成成长"),4))/(VLOOKUP(DY$72,INDIRECT($C$5&amp;"生成成长"),5))*(VLOOKUP($B$5,标准坦克设计!$B$24:$U$30,MATCH("对"&amp;LEFT($C$5,2)&amp;"输出",标准坦克设计!$B$23:$U$23,0)))*(VLOOKUP($B136,INDIRECT($B$5&amp;"生成成长"),3))*(VLOOKUP($B$5,标准坦克设计!$B$14:$K$20,9)/30))</f>
        <v>8.2971991074853335</v>
      </c>
      <c r="DZ136" s="173">
        <f ca="1">(VLOOKUP(DZ$72,INDIRECT($C$5&amp;"生成成长"),2))/((VLOOKUP($B136,INDIRECT($B$5&amp;"生成成长"),4))/(VLOOKUP(DZ$72,INDIRECT($C$5&amp;"生成成长"),5))*(VLOOKUP($B$5,标准坦克设计!$B$24:$U$30,MATCH("对"&amp;LEFT($C$5,2)&amp;"输出",标准坦克设计!$B$23:$U$23,0)))*(VLOOKUP($B136,INDIRECT($B$5&amp;"生成成长"),3))*(VLOOKUP($B$5,标准坦克设计!$B$14:$K$20,9)/30))</f>
        <v>9.1887596595903336</v>
      </c>
      <c r="EA136" s="173">
        <f ca="1">(VLOOKUP(EA$72,INDIRECT($C$5&amp;"生成成长"),2))/((VLOOKUP($B136,INDIRECT($B$5&amp;"生成成长"),4))/(VLOOKUP(EA$72,INDIRECT($C$5&amp;"生成成长"),5))*(VLOOKUP($B$5,标准坦克设计!$B$24:$U$30,MATCH("对"&amp;LEFT($C$5,2)&amp;"输出",标准坦克设计!$B$23:$U$23,0)))*(VLOOKUP($B136,INDIRECT($B$5&amp;"生成成长"),3))*(VLOOKUP($B$5,标准坦克设计!$B$14:$K$20,9)/30))</f>
        <v>10.125807994965998</v>
      </c>
      <c r="EB136" s="173">
        <f ca="1">(VLOOKUP(EB$72,INDIRECT($C$5&amp;"生成成长"),2))/((VLOOKUP($B136,INDIRECT($B$5&amp;"生成成长"),4))/(VLOOKUP(EB$72,INDIRECT($C$5&amp;"生成成长"),5))*(VLOOKUP($B$5,标准坦克设计!$B$24:$U$30,MATCH("对"&amp;LEFT($C$5,2)&amp;"输出",标准坦克设计!$B$23:$U$23,0)))*(VLOOKUP($B136,INDIRECT($B$5&amp;"生成成长"),3))*(VLOOKUP($B$5,标准坦克设计!$B$14:$K$20,9)/30))</f>
        <v>11.108344113612322</v>
      </c>
      <c r="EC136" s="173">
        <f ca="1">(VLOOKUP(EC$72,INDIRECT($C$5&amp;"生成成长"),2))/((VLOOKUP($B136,INDIRECT($B$5&amp;"生成成长"),4))/(VLOOKUP(EC$72,INDIRECT($C$5&amp;"生成成长"),5))*(VLOOKUP($B$5,标准坦克设计!$B$24:$U$30,MATCH("对"&amp;LEFT($C$5,2)&amp;"输出",标准坦克设计!$B$23:$U$23,0)))*(VLOOKUP($B136,INDIRECT($B$5&amp;"生成成长"),3))*(VLOOKUP($B$5,标准坦克设计!$B$14:$K$20,9)/30))</f>
        <v>12.136368015529314</v>
      </c>
      <c r="ED136" s="173">
        <f ca="1">(VLOOKUP(ED$72,INDIRECT($C$5&amp;"生成成长"),2))/((VLOOKUP($B136,INDIRECT($B$5&amp;"生成成长"),4))/(VLOOKUP(ED$72,INDIRECT($C$5&amp;"生成成长"),5))*(VLOOKUP($B$5,标准坦克设计!$B$24:$U$30,MATCH("对"&amp;LEFT($C$5,2)&amp;"输出",标准坦克设计!$B$23:$U$23,0)))*(VLOOKUP($B136,INDIRECT($B$5&amp;"生成成长"),3))*(VLOOKUP($B$5,标准坦克设计!$B$14:$K$20,9)/30))</f>
        <v>13.209879700716966</v>
      </c>
      <c r="EE136" s="173">
        <f ca="1">(VLOOKUP(EE$72,INDIRECT($C$5&amp;"生成成长"),2))/((VLOOKUP($B136,INDIRECT($B$5&amp;"生成成长"),4))/(VLOOKUP(EE$72,INDIRECT($C$5&amp;"生成成长"),5))*(VLOOKUP($B$5,标准坦克设计!$B$24:$U$30,MATCH("对"&amp;LEFT($C$5,2)&amp;"输出",标准坦克设计!$B$23:$U$23,0)))*(VLOOKUP($B136,INDIRECT($B$5&amp;"生成成长"),3))*(VLOOKUP($B$5,标准坦克设计!$B$14:$K$20,9)/30))</f>
        <v>14.328879169175286</v>
      </c>
      <c r="EF136" s="173">
        <f ca="1">(VLOOKUP(EF$72,INDIRECT($C$5&amp;"生成成长"),2))/((VLOOKUP($B136,INDIRECT($B$5&amp;"生成成长"),4))/(VLOOKUP(EF$72,INDIRECT($C$5&amp;"生成成长"),5))*(VLOOKUP($B$5,标准坦克设计!$B$24:$U$30,MATCH("对"&amp;LEFT($C$5,2)&amp;"输出",标准坦克设计!$B$23:$U$23,0)))*(VLOOKUP($B136,INDIRECT($B$5&amp;"生成成长"),3))*(VLOOKUP($B$5,标准坦克设计!$B$14:$K$20,9)/30))</f>
        <v>15.493366420904264</v>
      </c>
      <c r="EG136" s="173">
        <f ca="1">(VLOOKUP(EG$72,INDIRECT($C$5&amp;"生成成长"),2))/((VLOOKUP($B136,INDIRECT($B$5&amp;"生成成长"),4))/(VLOOKUP(EG$72,INDIRECT($C$5&amp;"生成成长"),5))*(VLOOKUP($B$5,标准坦克设计!$B$24:$U$30,MATCH("对"&amp;LEFT($C$5,2)&amp;"输出",标准坦克设计!$B$23:$U$23,0)))*(VLOOKUP($B136,INDIRECT($B$5&amp;"生成成长"),3))*(VLOOKUP($B$5,标准坦克设计!$B$14:$K$20,9)/30))</f>
        <v>16.703341455903907</v>
      </c>
      <c r="EH136" s="173">
        <f ca="1">(VLOOKUP(EH$72,INDIRECT($C$5&amp;"生成成长"),2))/((VLOOKUP($B136,INDIRECT($B$5&amp;"生成成长"),4))/(VLOOKUP(EH$72,INDIRECT($C$5&amp;"生成成长"),5))*(VLOOKUP($B$5,标准坦克设计!$B$24:$U$30,MATCH("对"&amp;LEFT($C$5,2)&amp;"输出",标准坦克设计!$B$23:$U$23,0)))*(VLOOKUP($B136,INDIRECT($B$5&amp;"生成成长"),3))*(VLOOKUP($B$5,标准坦克设计!$B$14:$K$20,9)/30))</f>
        <v>17.958804274174209</v>
      </c>
      <c r="EI136" s="173">
        <f ca="1">(VLOOKUP(EI$72,INDIRECT($C$5&amp;"生成成长"),2))/((VLOOKUP($B136,INDIRECT($B$5&amp;"生成成长"),4))/(VLOOKUP(EI$72,INDIRECT($C$5&amp;"生成成长"),5))*(VLOOKUP($B$5,标准坦克设计!$B$24:$U$30,MATCH("对"&amp;LEFT($C$5,2)&amp;"输出",标准坦克设计!$B$23:$U$23,0)))*(VLOOKUP($B136,INDIRECT($B$5&amp;"生成成长"),3))*(VLOOKUP($B$5,标准坦克设计!$B$14:$K$20,9)/30))</f>
        <v>19.259754875715185</v>
      </c>
      <c r="EJ136" s="173">
        <f ca="1">(VLOOKUP(EJ$72,INDIRECT($C$5&amp;"生成成长"),2))/((VLOOKUP($B136,INDIRECT($B$5&amp;"生成成长"),4))/(VLOOKUP(EJ$72,INDIRECT($C$5&amp;"生成成长"),5))*(VLOOKUP($B$5,标准坦克设计!$B$24:$U$30,MATCH("对"&amp;LEFT($C$5,2)&amp;"输出",标准坦克设计!$B$23:$U$23,0)))*(VLOOKUP($B136,INDIRECT($B$5&amp;"生成成长"),3))*(VLOOKUP($B$5,标准坦克设计!$B$14:$K$20,9)/30))</f>
        <v>20.606193260526815</v>
      </c>
      <c r="EK136" s="173">
        <f ca="1">(VLOOKUP(EK$72,INDIRECT($C$5&amp;"生成成长"),2))/((VLOOKUP($B136,INDIRECT($B$5&amp;"生成成长"),4))/(VLOOKUP(EK$72,INDIRECT($C$5&amp;"生成成长"),5))*(VLOOKUP($B$5,标准坦克设计!$B$24:$U$30,MATCH("对"&amp;LEFT($C$5,2)&amp;"输出",标准坦克设计!$B$23:$U$23,0)))*(VLOOKUP($B136,INDIRECT($B$5&amp;"生成成长"),3))*(VLOOKUP($B$5,标准坦克设计!$B$14:$K$20,9)/30))</f>
        <v>22.281963196218051</v>
      </c>
      <c r="EL136" s="173">
        <f ca="1">(VLOOKUP(EL$72,INDIRECT($C$5&amp;"生成成长"),2))/((VLOOKUP($B136,INDIRECT($B$5&amp;"生成成长"),4))/(VLOOKUP(EL$72,INDIRECT($C$5&amp;"生成成长"),5))*(VLOOKUP($B$5,标准坦克设计!$B$24:$U$30,MATCH("对"&amp;LEFT($C$5,2)&amp;"输出",标准坦克设计!$B$23:$U$23,0)))*(VLOOKUP($B136,INDIRECT($B$5&amp;"生成成长"),3))*(VLOOKUP($B$5,标准坦克设计!$B$14:$K$20,9)/30))</f>
        <v>24.023235539819041</v>
      </c>
      <c r="EM136" s="173">
        <f ca="1">(VLOOKUP(EM$72,INDIRECT($C$5&amp;"生成成长"),2))/((VLOOKUP($B136,INDIRECT($B$5&amp;"生成成长"),4))/(VLOOKUP(EM$72,INDIRECT($C$5&amp;"生成成长"),5))*(VLOOKUP($B$5,标准坦克设计!$B$24:$U$30,MATCH("对"&amp;LEFT($C$5,2)&amp;"输出",标准坦克设计!$B$23:$U$23,0)))*(VLOOKUP($B136,INDIRECT($B$5&amp;"生成成长"),3))*(VLOOKUP($B$5,标准坦克设计!$B$14:$K$20,9)/30))</f>
        <v>25.830010291329788</v>
      </c>
      <c r="EN136" s="173">
        <f ca="1">(VLOOKUP(EN$72,INDIRECT($C$5&amp;"生成成长"),2))/((VLOOKUP($B136,INDIRECT($B$5&amp;"生成成长"),4))/(VLOOKUP(EN$72,INDIRECT($C$5&amp;"生成成长"),5))*(VLOOKUP($B$5,标准坦克设计!$B$24:$U$30,MATCH("对"&amp;LEFT($C$5,2)&amp;"输出",标准坦克设计!$B$23:$U$23,0)))*(VLOOKUP($B136,INDIRECT($B$5&amp;"生成成长"),3))*(VLOOKUP($B$5,标准坦克设计!$B$14:$K$20,9)/30))</f>
        <v>27.702287450750291</v>
      </c>
      <c r="EO136" s="173">
        <f ca="1">(VLOOKUP(EO$72,INDIRECT($C$5&amp;"生成成长"),2))/((VLOOKUP($B136,INDIRECT($B$5&amp;"生成成长"),4))/(VLOOKUP(EO$72,INDIRECT($C$5&amp;"生成成长"),5))*(VLOOKUP($B$5,标准坦克设计!$B$24:$U$30,MATCH("对"&amp;LEFT($C$5,2)&amp;"输出",标准坦克设计!$B$23:$U$23,0)))*(VLOOKUP($B136,INDIRECT($B$5&amp;"生成成长"),3))*(VLOOKUP($B$5,标准坦克设计!$B$14:$K$20,9)/30))</f>
        <v>29.64006701808054</v>
      </c>
      <c r="EP136" s="173">
        <f ca="1">(VLOOKUP(EP$72,INDIRECT($C$5&amp;"生成成长"),2))/((VLOOKUP($B136,INDIRECT($B$5&amp;"生成成长"),4))/(VLOOKUP(EP$72,INDIRECT($C$5&amp;"生成成长"),5))*(VLOOKUP($B$5,标准坦克设计!$B$24:$U$30,MATCH("对"&amp;LEFT($C$5,2)&amp;"输出",标准坦克设计!$B$23:$U$23,0)))*(VLOOKUP($B136,INDIRECT($B$5&amp;"生成成长"),3))*(VLOOKUP($B$5,标准坦克设计!$B$14:$K$20,9)/30))</f>
        <v>31.643348993320551</v>
      </c>
      <c r="EQ136" s="173">
        <f ca="1">(VLOOKUP(EQ$72,INDIRECT($C$5&amp;"生成成长"),2))/((VLOOKUP($B136,INDIRECT($B$5&amp;"生成成长"),4))/(VLOOKUP(EQ$72,INDIRECT($C$5&amp;"生成成长"),5))*(VLOOKUP($B$5,标准坦克设计!$B$24:$U$30,MATCH("对"&amp;LEFT($C$5,2)&amp;"输出",标准坦克设计!$B$23:$U$23,0)))*(VLOOKUP($B136,INDIRECT($B$5&amp;"生成成长"),3))*(VLOOKUP($B$5,标准坦克设计!$B$14:$K$20,9)/30))</f>
        <v>13.988403111394373</v>
      </c>
      <c r="ER136" s="173">
        <f ca="1">(VLOOKUP(ER$72,INDIRECT($C$5&amp;"生成成长"),2))/((VLOOKUP($B136,INDIRECT($B$5&amp;"生成成长"),4))/(VLOOKUP(ER$72,INDIRECT($C$5&amp;"生成成长"),5))*(VLOOKUP($B$5,标准坦克设计!$B$24:$U$30,MATCH("对"&amp;LEFT($C$5,2)&amp;"输出",标准坦克设计!$B$23:$U$23,0)))*(VLOOKUP($B136,INDIRECT($B$5&amp;"生成成长"),3))*(VLOOKUP($B$5,标准坦克设计!$B$14:$K$20,9)/30))</f>
        <v>15.256829947896813</v>
      </c>
      <c r="ES136" s="173">
        <f ca="1">(VLOOKUP(ES$72,INDIRECT($C$5&amp;"生成成长"),2))/((VLOOKUP($B136,INDIRECT($B$5&amp;"生成成长"),4))/(VLOOKUP(ES$72,INDIRECT($C$5&amp;"生成成长"),5))*(VLOOKUP($B$5,标准坦克设计!$B$24:$U$30,MATCH("对"&amp;LEFT($C$5,2)&amp;"输出",标准坦克设计!$B$23:$U$23,0)))*(VLOOKUP($B136,INDIRECT($B$5&amp;"生成成长"),3))*(VLOOKUP($B$5,标准坦克设计!$B$14:$K$20,9)/30))</f>
        <v>16.580297002156762</v>
      </c>
      <c r="ET136" s="173">
        <f ca="1">(VLOOKUP(ET$72,INDIRECT($C$5&amp;"生成成长"),2))/((VLOOKUP($B136,INDIRECT($B$5&amp;"生成成长"),4))/(VLOOKUP(ET$72,INDIRECT($C$5&amp;"生成成长"),5))*(VLOOKUP($B$5,标准坦克设计!$B$24:$U$30,MATCH("对"&amp;LEFT($C$5,2)&amp;"输出",标准坦克设计!$B$23:$U$23,0)))*(VLOOKUP($B136,INDIRECT($B$5&amp;"生成成长"),3))*(VLOOKUP($B$5,标准坦克设计!$B$14:$K$20,9)/30))</f>
        <v>17.958804274174209</v>
      </c>
      <c r="EU136" s="173">
        <f ca="1">(VLOOKUP(EU$72,INDIRECT($C$5&amp;"生成成长"),2))/((VLOOKUP($B136,INDIRECT($B$5&amp;"生成成长"),4))/(VLOOKUP(EU$72,INDIRECT($C$5&amp;"生成成长"),5))*(VLOOKUP($B$5,标准坦克设计!$B$24:$U$30,MATCH("对"&amp;LEFT($C$5,2)&amp;"输出",标准坦克设计!$B$23:$U$23,0)))*(VLOOKUP($B136,INDIRECT($B$5&amp;"生成成长"),3))*(VLOOKUP($B$5,标准坦克设计!$B$14:$K$20,9)/30))</f>
        <v>19.392351763949165</v>
      </c>
      <c r="EV136" s="173">
        <f ca="1">(VLOOKUP(EV$72,INDIRECT($C$5&amp;"生成成长"),2))/((VLOOKUP($B136,INDIRECT($B$5&amp;"生成成长"),4))/(VLOOKUP(EV$72,INDIRECT($C$5&amp;"生成成长"),5))*(VLOOKUP($B$5,标准坦克设计!$B$24:$U$30,MATCH("对"&amp;LEFT($C$5,2)&amp;"输出",标准坦克设计!$B$23:$U$23,0)))*(VLOOKUP($B136,INDIRECT($B$5&amp;"生成成长"),3))*(VLOOKUP($B$5,标准坦克设计!$B$14:$K$20,9)/30))</f>
        <v>20.880939471481621</v>
      </c>
      <c r="EW136" s="173">
        <f ca="1">(VLOOKUP(EW$72,INDIRECT($C$5&amp;"生成成长"),2))/((VLOOKUP($B136,INDIRECT($B$5&amp;"生成成长"),4))/(VLOOKUP(EW$72,INDIRECT($C$5&amp;"生成成长"),5))*(VLOOKUP($B$5,标准坦克设计!$B$24:$U$30,MATCH("对"&amp;LEFT($C$5,2)&amp;"输出",标准坦克设计!$B$23:$U$23,0)))*(VLOOKUP($B136,INDIRECT($B$5&amp;"生成成长"),3))*(VLOOKUP($B$5,标准坦克设计!$B$14:$K$20,9)/30))</f>
        <v>22.424567396771579</v>
      </c>
      <c r="EX136" s="173">
        <f ca="1">(VLOOKUP(EX$72,INDIRECT($C$5&amp;"生成成长"),2))/((VLOOKUP($B136,INDIRECT($B$5&amp;"生成成长"),4))/(VLOOKUP(EX$72,INDIRECT($C$5&amp;"生成成长"),5))*(VLOOKUP($B$5,标准坦克设计!$B$24:$U$30,MATCH("对"&amp;LEFT($C$5,2)&amp;"输出",标准坦克设计!$B$23:$U$23,0)))*(VLOOKUP($B136,INDIRECT($B$5&amp;"生成成长"),3))*(VLOOKUP($B$5,标准坦克设计!$B$14:$K$20,9)/30))</f>
        <v>24.023235539819041</v>
      </c>
      <c r="EY136" s="173">
        <f ca="1">(VLOOKUP(EY$72,INDIRECT($C$5&amp;"生成成长"),2))/((VLOOKUP($B136,INDIRECT($B$5&amp;"生成成长"),4))/(VLOOKUP(EY$72,INDIRECT($C$5&amp;"生成成长"),5))*(VLOOKUP($B$5,标准坦克设计!$B$24:$U$30,MATCH("对"&amp;LEFT($C$5,2)&amp;"输出",标准坦克设计!$B$23:$U$23,0)))*(VLOOKUP($B136,INDIRECT($B$5&amp;"生成成长"),3))*(VLOOKUP($B$5,标准坦克设计!$B$14:$K$20,9)/30))</f>
        <v>25.676943900624003</v>
      </c>
      <c r="EZ136" s="173">
        <f ca="1">(VLOOKUP(EZ$72,INDIRECT($C$5&amp;"生成成长"),2))/((VLOOKUP($B136,INDIRECT($B$5&amp;"生成成长"),4))/(VLOOKUP(EZ$72,INDIRECT($C$5&amp;"生成成长"),5))*(VLOOKUP($B$5,标准坦克设计!$B$24:$U$30,MATCH("对"&amp;LEFT($C$5,2)&amp;"输出",标准坦克设计!$B$23:$U$23,0)))*(VLOOKUP($B136,INDIRECT($B$5&amp;"生成成长"),3))*(VLOOKUP($B$5,标准坦克设计!$B$14:$K$20,9)/30))</f>
        <v>27.385692479186467</v>
      </c>
      <c r="FA136" s="173">
        <f ca="1">(VLOOKUP(FA$72,INDIRECT($C$5&amp;"生成成长"),2))/((VLOOKUP($B136,INDIRECT($B$5&amp;"生成成长"),4))/(VLOOKUP(FA$72,INDIRECT($C$5&amp;"生成成长"),5))*(VLOOKUP($B$5,标准坦克设计!$B$24:$U$30,MATCH("对"&amp;LEFT($C$5,2)&amp;"输出",标准坦克设计!$B$23:$U$23,0)))*(VLOOKUP($B136,INDIRECT($B$5&amp;"生成成长"),3))*(VLOOKUP($B$5,标准坦克设计!$B$14:$K$20,9)/30))</f>
        <v>29.149481275506435</v>
      </c>
      <c r="FB136" s="173">
        <f ca="1">(VLOOKUP(FB$72,INDIRECT($C$5&amp;"生成成长"),2))/((VLOOKUP($B136,INDIRECT($B$5&amp;"生成成长"),4))/(VLOOKUP(FB$72,INDIRECT($C$5&amp;"生成成长"),5))*(VLOOKUP($B$5,标准坦克设计!$B$24:$U$30,MATCH("对"&amp;LEFT($C$5,2)&amp;"输出",标准坦克设计!$B$23:$U$23,0)))*(VLOOKUP($B136,INDIRECT($B$5&amp;"生成成长"),3))*(VLOOKUP($B$5,标准坦克设计!$B$14:$K$20,9)/30))</f>
        <v>30.968310289583908</v>
      </c>
      <c r="FC136" s="173">
        <f ca="1">(VLOOKUP(FC$72,INDIRECT($C$5&amp;"生成成长"),2))/((VLOOKUP($B136,INDIRECT($B$5&amp;"生成成长"),4))/(VLOOKUP(FC$72,INDIRECT($C$5&amp;"生成成长"),5))*(VLOOKUP($B$5,标准坦克设计!$B$24:$U$30,MATCH("对"&amp;LEFT($C$5,2)&amp;"输出",标准坦克设计!$B$23:$U$23,0)))*(VLOOKUP($B136,INDIRECT($B$5&amp;"生成成长"),3))*(VLOOKUP($B$5,标准坦克设计!$B$14:$K$20,9)/30))</f>
        <v>32.842179521418878</v>
      </c>
      <c r="FD136" s="173">
        <f ca="1">(VLOOKUP(FD$72,INDIRECT($C$5&amp;"生成成长"),2))/((VLOOKUP($B136,INDIRECT($B$5&amp;"生成成长"),4))/(VLOOKUP(FD$72,INDIRECT($C$5&amp;"生成成长"),5))*(VLOOKUP($B$5,标准坦克设计!$B$24:$U$30,MATCH("对"&amp;LEFT($C$5,2)&amp;"输出",标准坦克设计!$B$23:$U$23,0)))*(VLOOKUP($B136,INDIRECT($B$5&amp;"生成成长"),3))*(VLOOKUP($B$5,标准坦克设计!$B$14:$K$20,9)/30))</f>
        <v>34.771088971011352</v>
      </c>
      <c r="FE136" s="173">
        <f ca="1">(VLOOKUP(FE$72,INDIRECT($C$5&amp;"生成成长"),2))/((VLOOKUP($B136,INDIRECT($B$5&amp;"生成成长"),4))/(VLOOKUP(FE$72,INDIRECT($C$5&amp;"生成成长"),5))*(VLOOKUP($B$5,标准坦克设计!$B$24:$U$30,MATCH("对"&amp;LEFT($C$5,2)&amp;"输出",标准坦克设计!$B$23:$U$23,0)))*(VLOOKUP($B136,INDIRECT($B$5&amp;"生成成长"),3))*(VLOOKUP($B$5,标准坦克设计!$B$14:$K$20,9)/30))</f>
        <v>37.121670171522879</v>
      </c>
      <c r="FF136" s="173">
        <f ca="1">(VLOOKUP(FF$72,INDIRECT($C$5&amp;"生成成长"),2))/((VLOOKUP($B136,INDIRECT($B$5&amp;"生成成长"),4))/(VLOOKUP(FF$72,INDIRECT($C$5&amp;"生成成长"),5))*(VLOOKUP($B$5,标准坦克设计!$B$24:$U$30,MATCH("对"&amp;LEFT($C$5,2)&amp;"输出",标准坦克设计!$B$23:$U$23,0)))*(VLOOKUP($B136,INDIRECT($B$5&amp;"生成成长"),3))*(VLOOKUP($B$5,标准坦克设计!$B$14:$K$20,9)/30))</f>
        <v>39.549125725761826</v>
      </c>
      <c r="FG136" s="173">
        <f ca="1">(VLOOKUP(FG$72,INDIRECT($C$5&amp;"生成成长"),2))/((VLOOKUP($B136,INDIRECT($B$5&amp;"生成成长"),4))/(VLOOKUP(FG$72,INDIRECT($C$5&amp;"生成成长"),5))*(VLOOKUP($B$5,标准坦克设计!$B$24:$U$30,MATCH("对"&amp;LEFT($C$5,2)&amp;"输出",标准坦克设计!$B$23:$U$23,0)))*(VLOOKUP($B136,INDIRECT($B$5&amp;"生成成长"),3))*(VLOOKUP($B$5,标准坦克设计!$B$14:$K$20,9)/30))</f>
        <v>42.053455633728198</v>
      </c>
      <c r="FH136" s="173">
        <f ca="1">(VLOOKUP(FH$72,INDIRECT($C$5&amp;"生成成长"),2))/((VLOOKUP($B136,INDIRECT($B$5&amp;"生成成长"),4))/(VLOOKUP(FH$72,INDIRECT($C$5&amp;"生成成长"),5))*(VLOOKUP($B$5,标准坦克设计!$B$24:$U$30,MATCH("对"&amp;LEFT($C$5,2)&amp;"输出",标准坦克设计!$B$23:$U$23,0)))*(VLOOKUP($B136,INDIRECT($B$5&amp;"生成成长"),3))*(VLOOKUP($B$5,标准坦克设计!$B$14:$K$20,9)/30))</f>
        <v>44.634659895421983</v>
      </c>
      <c r="FI136" s="173">
        <f ca="1">(VLOOKUP(FI$72,INDIRECT($C$5&amp;"生成成长"),2))/((VLOOKUP($B136,INDIRECT($B$5&amp;"生成成长"),4))/(VLOOKUP(FI$72,INDIRECT($C$5&amp;"生成成长"),5))*(VLOOKUP($B$5,标准坦克设计!$B$24:$U$30,MATCH("对"&amp;LEFT($C$5,2)&amp;"输出",标准坦克设计!$B$23:$U$23,0)))*(VLOOKUP($B136,INDIRECT($B$5&amp;"生成成长"),3))*(VLOOKUP($B$5,标准坦克设计!$B$14:$K$20,9)/30))</f>
        <v>47.292738510843186</v>
      </c>
      <c r="FJ136" s="173">
        <f ca="1">(VLOOKUP(FJ$72,INDIRECT($C$5&amp;"生成成长"),2))/((VLOOKUP($B136,INDIRECT($B$5&amp;"生成成长"),4))/(VLOOKUP(FJ$72,INDIRECT($C$5&amp;"生成成长"),5))*(VLOOKUP($B$5,标准坦克设计!$B$24:$U$30,MATCH("对"&amp;LEFT($C$5,2)&amp;"输出",标准坦克设计!$B$23:$U$23,0)))*(VLOOKUP($B136,INDIRECT($B$5&amp;"生成成长"),3))*(VLOOKUP($B$5,标准坦克设计!$B$14:$K$20,9)/30))</f>
        <v>50.027691479991823</v>
      </c>
      <c r="FK136" s="173">
        <f ca="1">(VLOOKUP(FK$72,INDIRECT($C$5&amp;"生成成长"),2))/((VLOOKUP($B136,INDIRECT($B$5&amp;"生成成长"),4))/(VLOOKUP(FK$72,INDIRECT($C$5&amp;"生成成长"),5))*(VLOOKUP($B$5,标准坦克设计!$B$24:$U$30,MATCH("对"&amp;LEFT($C$5,2)&amp;"输出",标准坦克设计!$B$23:$U$23,0)))*(VLOOKUP($B136,INDIRECT($B$5&amp;"生成成长"),3))*(VLOOKUP($B$5,标准坦克设计!$B$14:$K$20,9)/30))</f>
        <v>52.839518802867865</v>
      </c>
    </row>
    <row r="137" spans="1:167" x14ac:dyDescent="0.15">
      <c r="A137" s="171" t="str">
        <f t="shared" si="11"/>
        <v>T3中品质8级</v>
      </c>
      <c r="B137" s="172">
        <v>20308</v>
      </c>
      <c r="C137" s="173">
        <f ca="1">(VLOOKUP(C$72,INDIRECT($C$5&amp;"生成成长"),2))/((VLOOKUP($B137,INDIRECT($B$5&amp;"生成成长"),4))/(VLOOKUP(C$72,INDIRECT($C$5&amp;"生成成长"),5))*(VLOOKUP($B$5,标准坦克设计!$B$24:$U$30,MATCH("对"&amp;LEFT($C$5,2)&amp;"输出",标准坦克设计!$B$23:$U$23,0)))*(VLOOKUP($B137,INDIRECT($B$5&amp;"生成成长"),3))*(VLOOKUP($B$5,标准坦克设计!$B$14:$K$20,9)/30))</f>
        <v>2.0721879322795922</v>
      </c>
      <c r="D137" s="173">
        <f ca="1">(VLOOKUP(D$72,INDIRECT($C$5&amp;"生成成长"),2))/((VLOOKUP($B137,INDIRECT($B$5&amp;"生成成长"),4))/(VLOOKUP(D$72,INDIRECT($C$5&amp;"生成成长"),5))*(VLOOKUP($B$5,标准坦克设计!$B$24:$U$30,MATCH("对"&amp;LEFT($C$5,2)&amp;"输出",标准坦克设计!$B$23:$U$23,0)))*(VLOOKUP($B137,INDIRECT($B$5&amp;"生成成长"),3))*(VLOOKUP($B$5,标准坦克设计!$B$14:$K$20,9)/30))</f>
        <v>2.3283103607093496</v>
      </c>
      <c r="E137" s="173">
        <f ca="1">(VLOOKUP(E$72,INDIRECT($C$5&amp;"生成成长"),2))/((VLOOKUP($B137,INDIRECT($B$5&amp;"生成成长"),4))/(VLOOKUP(E$72,INDIRECT($C$5&amp;"生成成长"),5))*(VLOOKUP($B$5,标准坦克设计!$B$24:$U$30,MATCH("对"&amp;LEFT($C$5,2)&amp;"输出",标准坦克设计!$B$23:$U$23,0)))*(VLOOKUP($B137,INDIRECT($B$5&amp;"生成成长"),3))*(VLOOKUP($B$5,标准坦克设计!$B$14:$K$20,9)/30))</f>
        <v>2.5993525422515202</v>
      </c>
      <c r="F137" s="173">
        <f ca="1">(VLOOKUP(F$72,INDIRECT($C$5&amp;"生成成长"),2))/((VLOOKUP($B137,INDIRECT($B$5&amp;"生成成长"),4))/(VLOOKUP(F$72,INDIRECT($C$5&amp;"生成成长"),5))*(VLOOKUP($B$5,标准坦克设计!$B$24:$U$30,MATCH("对"&amp;LEFT($C$5,2)&amp;"输出",标准坦克设计!$B$23:$U$23,0)))*(VLOOKUP($B137,INDIRECT($B$5&amp;"生成成长"),3))*(VLOOKUP($B$5,标准坦克设计!$B$14:$K$20,9)/30))</f>
        <v>2.8853144769061041</v>
      </c>
      <c r="G137" s="173">
        <f ca="1">(VLOOKUP(G$72,INDIRECT($C$5&amp;"生成成长"),2))/((VLOOKUP($B137,INDIRECT($B$5&amp;"生成成长"),4))/(VLOOKUP(G$72,INDIRECT($C$5&amp;"生成成长"),5))*(VLOOKUP($B$5,标准坦克设计!$B$24:$U$30,MATCH("对"&amp;LEFT($C$5,2)&amp;"输出",标准坦克设计!$B$23:$U$23,0)))*(VLOOKUP($B137,INDIRECT($B$5&amp;"生成成长"),3))*(VLOOKUP($B$5,标准坦克设计!$B$14:$K$20,9)/30))</f>
        <v>3.1861961646731003</v>
      </c>
      <c r="H137" s="173">
        <f ca="1">(VLOOKUP(H$72,INDIRECT($C$5&amp;"生成成长"),2))/((VLOOKUP($B137,INDIRECT($B$5&amp;"生成成长"),4))/(VLOOKUP(H$72,INDIRECT($C$5&amp;"生成成长"),5))*(VLOOKUP($B$5,标准坦克设计!$B$24:$U$30,MATCH("对"&amp;LEFT($C$5,2)&amp;"输出",标准坦克设计!$B$23:$U$23,0)))*(VLOOKUP($B137,INDIRECT($B$5&amp;"生成成长"),3))*(VLOOKUP($B$5,标准坦克设计!$B$14:$K$20,9)/30))</f>
        <v>2.7883360816754186</v>
      </c>
      <c r="I137" s="173">
        <f ca="1">(VLOOKUP(I$72,INDIRECT($C$5&amp;"生成成长"),2))/((VLOOKUP($B137,INDIRECT($B$5&amp;"生成成长"),4))/(VLOOKUP(I$72,INDIRECT($C$5&amp;"生成成长"),5))*(VLOOKUP($B$5,标准坦克设计!$B$24:$U$30,MATCH("对"&amp;LEFT($C$5,2)&amp;"输出",标准坦克设计!$B$23:$U$23,0)))*(VLOOKUP($B137,INDIRECT($B$5&amp;"生成成长"),3))*(VLOOKUP($B$5,标准坦克设计!$B$14:$K$20,9)/30))</f>
        <v>3.1861961646731003</v>
      </c>
      <c r="J137" s="173">
        <f ca="1">(VLOOKUP(J$72,INDIRECT($C$5&amp;"生成成长"),2))/((VLOOKUP($B137,INDIRECT($B$5&amp;"生成成长"),4))/(VLOOKUP(J$72,INDIRECT($C$5&amp;"生成成长"),5))*(VLOOKUP($B$5,标准坦克设计!$B$24:$U$30,MATCH("对"&amp;LEFT($C$5,2)&amp;"输出",标准坦克设计!$B$23:$U$23,0)))*(VLOOKUP($B137,INDIRECT($B$5&amp;"生成成长"),3))*(VLOOKUP($B$5,标准坦克设计!$B$14:$K$20,9)/30))</f>
        <v>3.6105802532039615</v>
      </c>
      <c r="K137" s="173">
        <f ca="1">(VLOOKUP(K$72,INDIRECT($C$5&amp;"生成成长"),2))/((VLOOKUP($B137,INDIRECT($B$5&amp;"生成成长"),4))/(VLOOKUP(K$72,INDIRECT($C$5&amp;"生成成长"),5))*(VLOOKUP($B$5,标准坦克设计!$B$24:$U$30,MATCH("对"&amp;LEFT($C$5,2)&amp;"输出",标准坦克设计!$B$23:$U$23,0)))*(VLOOKUP($B137,INDIRECT($B$5&amp;"生成成长"),3))*(VLOOKUP($B$5,标准坦克设计!$B$14:$K$20,9)/30))</f>
        <v>4.0614883472680008</v>
      </c>
      <c r="L137" s="173">
        <f ca="1">(VLOOKUP(L$72,INDIRECT($C$5&amp;"生成成长"),2))/((VLOOKUP($B137,INDIRECT($B$5&amp;"生成成长"),4))/(VLOOKUP(L$72,INDIRECT($C$5&amp;"生成成长"),5))*(VLOOKUP($B$5,标准坦克设计!$B$24:$U$30,MATCH("对"&amp;LEFT($C$5,2)&amp;"输出",标准坦克设计!$B$23:$U$23,0)))*(VLOOKUP($B137,INDIRECT($B$5&amp;"生成成长"),3))*(VLOOKUP($B$5,标准坦克设计!$B$14:$K$20,9)/30))</f>
        <v>4.5389204468652187</v>
      </c>
      <c r="M137" s="173">
        <f ca="1">(VLOOKUP(M$72,INDIRECT($C$5&amp;"生成成长"),2))/((VLOOKUP($B137,INDIRECT($B$5&amp;"生成成长"),4))/(VLOOKUP(M$72,INDIRECT($C$5&amp;"生成成长"),5))*(VLOOKUP($B$5,标准坦克设计!$B$24:$U$30,MATCH("对"&amp;LEFT($C$5,2)&amp;"输出",标准坦克设计!$B$23:$U$23,0)))*(VLOOKUP($B137,INDIRECT($B$5&amp;"生成成长"),3))*(VLOOKUP($B$5,标准坦克设计!$B$14:$K$20,9)/30))</f>
        <v>5.0428765519956151</v>
      </c>
      <c r="N137" s="173">
        <f ca="1">(VLOOKUP(N$72,INDIRECT($C$5&amp;"生成成长"),2))/((VLOOKUP($B137,INDIRECT($B$5&amp;"生成成长"),4))/(VLOOKUP(N$72,INDIRECT($C$5&amp;"生成成长"),5))*(VLOOKUP($B$5,标准坦克设计!$B$24:$U$30,MATCH("对"&amp;LEFT($C$5,2)&amp;"输出",标准坦克设计!$B$23:$U$23,0)))*(VLOOKUP($B137,INDIRECT($B$5&amp;"生成成长"),3))*(VLOOKUP($B$5,标准坦克设计!$B$14:$K$20,9)/30))</f>
        <v>5.5733566626591911</v>
      </c>
      <c r="O137" s="173">
        <f ca="1">(VLOOKUP(O$72,INDIRECT($C$5&amp;"生成成长"),2))/((VLOOKUP($B137,INDIRECT($B$5&amp;"生成成长"),4))/(VLOOKUP(O$72,INDIRECT($C$5&amp;"生成成长"),5))*(VLOOKUP($B$5,标准坦克设计!$B$24:$U$30,MATCH("对"&amp;LEFT($C$5,2)&amp;"输出",标准坦克设计!$B$23:$U$23,0)))*(VLOOKUP($B137,INDIRECT($B$5&amp;"生成成长"),3))*(VLOOKUP($B$5,标准坦克设计!$B$14:$K$20,9)/30))</f>
        <v>4.2374171027185374</v>
      </c>
      <c r="P137" s="173">
        <f ca="1">(VLOOKUP(P$72,INDIRECT($C$5&amp;"生成成长"),2))/((VLOOKUP($B137,INDIRECT($B$5&amp;"生成成长"),4))/(VLOOKUP(P$72,INDIRECT($C$5&amp;"生成成长"),5))*(VLOOKUP($B$5,标准坦克设计!$B$24:$U$30,MATCH("对"&amp;LEFT($C$5,2)&amp;"输出",标准坦克设计!$B$23:$U$23,0)))*(VLOOKUP($B137,INDIRECT($B$5&amp;"生成成长"),3))*(VLOOKUP($B$5,标准坦克设计!$B$14:$K$20,9)/30))</f>
        <v>4.7875829987387695</v>
      </c>
      <c r="Q137" s="173">
        <f ca="1">(VLOOKUP(Q$72,INDIRECT($C$5&amp;"生成成长"),2))/((VLOOKUP($B137,INDIRECT($B$5&amp;"生成成长"),4))/(VLOOKUP(Q$72,INDIRECT($C$5&amp;"生成成长"),5))*(VLOOKUP($B$5,标准坦克设计!$B$24:$U$30,MATCH("对"&amp;LEFT($C$5,2)&amp;"输出",标准坦克设计!$B$23:$U$23,0)))*(VLOOKUP($B137,INDIRECT($B$5&amp;"生成成长"),3))*(VLOOKUP($B$5,标准坦克设计!$B$14:$K$20,9)/30))</f>
        <v>5.371318339261931</v>
      </c>
      <c r="R137" s="173">
        <f ca="1">(VLOOKUP(R$72,INDIRECT($C$5&amp;"生成成长"),2))/((VLOOKUP($B137,INDIRECT($B$5&amp;"生成成长"),4))/(VLOOKUP(R$72,INDIRECT($C$5&amp;"生成成长"),5))*(VLOOKUP($B$5,标准坦克设计!$B$24:$U$30,MATCH("对"&amp;LEFT($C$5,2)&amp;"输出",标准坦克设计!$B$23:$U$23,0)))*(VLOOKUP($B137,INDIRECT($B$5&amp;"生成成长"),3))*(VLOOKUP($B$5,标准坦克设计!$B$14:$K$20,9)/30))</f>
        <v>5.9886231242880203</v>
      </c>
      <c r="S137" s="173">
        <f ca="1">(VLOOKUP(S$72,INDIRECT($C$5&amp;"生成成长"),2))/((VLOOKUP($B137,INDIRECT($B$5&amp;"生成成长"),4))/(VLOOKUP(S$72,INDIRECT($C$5&amp;"生成成长"),5))*(VLOOKUP($B$5,标准坦克设计!$B$24:$U$30,MATCH("对"&amp;LEFT($C$5,2)&amp;"输出",标准坦克设计!$B$23:$U$23,0)))*(VLOOKUP($B137,INDIRECT($B$5&amp;"生成成长"),3))*(VLOOKUP($B$5,标准坦克设计!$B$14:$K$20,9)/30))</f>
        <v>6.639497353817041</v>
      </c>
      <c r="T137" s="173">
        <f ca="1">(VLOOKUP(T$72,INDIRECT($C$5&amp;"生成成长"),2))/((VLOOKUP($B137,INDIRECT($B$5&amp;"生成成长"),4))/(VLOOKUP(T$72,INDIRECT($C$5&amp;"生成成长"),5))*(VLOOKUP($B$5,标准坦克设计!$B$24:$U$30,MATCH("对"&amp;LEFT($C$5,2)&amp;"输出",标准坦克设计!$B$23:$U$23,0)))*(VLOOKUP($B137,INDIRECT($B$5&amp;"生成成长"),3))*(VLOOKUP($B$5,标准坦克设计!$B$14:$K$20,9)/30))</f>
        <v>7.3239410278489903</v>
      </c>
      <c r="U137" s="173">
        <f ca="1">(VLOOKUP(U$72,INDIRECT($C$5&amp;"生成成长"),2))/((VLOOKUP($B137,INDIRECT($B$5&amp;"生成成长"),4))/(VLOOKUP(U$72,INDIRECT($C$5&amp;"生成成长"),5))*(VLOOKUP($B$5,标准坦克设计!$B$24:$U$30,MATCH("对"&amp;LEFT($C$5,2)&amp;"输出",标准坦克设计!$B$23:$U$23,0)))*(VLOOKUP($B137,INDIRECT($B$5&amp;"生成成长"),3))*(VLOOKUP($B$5,标准坦克设计!$B$14:$K$20,9)/30))</f>
        <v>8.0419541463838691</v>
      </c>
      <c r="V137" s="173">
        <f ca="1">(VLOOKUP(V$72,INDIRECT($C$5&amp;"生成成长"),2))/((VLOOKUP($B137,INDIRECT($B$5&amp;"生成成长"),4))/(VLOOKUP(V$72,INDIRECT($C$5&amp;"生成成长"),5))*(VLOOKUP($B$5,标准坦克设计!$B$24:$U$30,MATCH("对"&amp;LEFT($C$5,2)&amp;"输出",标准坦克设计!$B$23:$U$23,0)))*(VLOOKUP($B137,INDIRECT($B$5&amp;"生成成长"),3))*(VLOOKUP($B$5,标准坦克设计!$B$14:$K$20,9)/30))</f>
        <v>8.7935367094216765</v>
      </c>
      <c r="W137" s="173">
        <f ca="1">(VLOOKUP(W$72,INDIRECT($C$5&amp;"生成成长"),2))/((VLOOKUP($B137,INDIRECT($B$5&amp;"生成成长"),4))/(VLOOKUP(W$72,INDIRECT($C$5&amp;"生成成长"),5))*(VLOOKUP($B$5,标准坦克设计!$B$24:$U$30,MATCH("对"&amp;LEFT($C$5,2)&amp;"输出",标准坦克设计!$B$23:$U$23,0)))*(VLOOKUP($B137,INDIRECT($B$5&amp;"生成成长"),3))*(VLOOKUP($B$5,标准坦克设计!$B$14:$K$20,9)/30))</f>
        <v>9.5786887169624144</v>
      </c>
      <c r="X137" s="173">
        <f ca="1">(VLOOKUP(X$72,INDIRECT($C$5&amp;"生成成长"),2))/((VLOOKUP($B137,INDIRECT($B$5&amp;"生成成长"),4))/(VLOOKUP(X$72,INDIRECT($C$5&amp;"生成成长"),5))*(VLOOKUP($B$5,标准坦克设计!$B$24:$U$30,MATCH("对"&amp;LEFT($C$5,2)&amp;"输出",标准坦克设计!$B$23:$U$23,0)))*(VLOOKUP($B137,INDIRECT($B$5&amp;"生成成长"),3))*(VLOOKUP($B$5,标准坦克设计!$B$14:$K$20,9)/30))</f>
        <v>6.9395501664111254</v>
      </c>
      <c r="Y137" s="173">
        <f ca="1">(VLOOKUP(Y$72,INDIRECT($C$5&amp;"生成成长"),2))/((VLOOKUP($B137,INDIRECT($B$5&amp;"生成成长"),4))/(VLOOKUP(Y$72,INDIRECT($C$5&amp;"生成成长"),5))*(VLOOKUP($B$5,标准坦克设计!$B$24:$U$30,MATCH("对"&amp;LEFT($C$5,2)&amp;"输出",标准坦克设计!$B$23:$U$23,0)))*(VLOOKUP($B137,INDIRECT($B$5&amp;"生成成长"),3))*(VLOOKUP($B$5,标准坦克设计!$B$14:$K$20,9)/30))</f>
        <v>7.7186928289482513</v>
      </c>
      <c r="Z137" s="173">
        <f ca="1">(VLOOKUP(Z$72,INDIRECT($C$5&amp;"生成成长"),2))/((VLOOKUP($B137,INDIRECT($B$5&amp;"生成成长"),4))/(VLOOKUP(Z$72,INDIRECT($C$5&amp;"生成成长"),5))*(VLOOKUP($B$5,标准坦克设计!$B$24:$U$30,MATCH("对"&amp;LEFT($C$5,2)&amp;"输出",标准坦克设计!$B$23:$U$23,0)))*(VLOOKUP($B137,INDIRECT($B$5&amp;"生成成长"),3))*(VLOOKUP($B$5,标准坦克设计!$B$14:$K$20,9)/30))</f>
        <v>8.5392792501309707</v>
      </c>
      <c r="AA137" s="173">
        <f ca="1">(VLOOKUP(AA$72,INDIRECT($C$5&amp;"生成成长"),2))/((VLOOKUP($B137,INDIRECT($B$5&amp;"生成成长"),4))/(VLOOKUP(AA$72,INDIRECT($C$5&amp;"生成成长"),5))*(VLOOKUP($B$5,标准坦克设计!$B$24:$U$30,MATCH("对"&amp;LEFT($C$5,2)&amp;"输出",标准坦克设计!$B$23:$U$23,0)))*(VLOOKUP($B137,INDIRECT($B$5&amp;"生成成长"),3))*(VLOOKUP($B$5,标准坦克设计!$B$14:$K$20,9)/30))</f>
        <v>9.4013094299592819</v>
      </c>
      <c r="AB137" s="173">
        <f ca="1">(VLOOKUP(AB$72,INDIRECT($C$5&amp;"生成成长"),2))/((VLOOKUP($B137,INDIRECT($B$5&amp;"生成成长"),4))/(VLOOKUP(AB$72,INDIRECT($C$5&amp;"生成成长"),5))*(VLOOKUP($B$5,标准坦克设计!$B$24:$U$30,MATCH("对"&amp;LEFT($C$5,2)&amp;"输出",标准坦克设计!$B$23:$U$23,0)))*(VLOOKUP($B137,INDIRECT($B$5&amp;"生成成长"),3))*(VLOOKUP($B$5,标准坦克设计!$B$14:$K$20,9)/30))</f>
        <v>10.304783368433183</v>
      </c>
      <c r="AC137" s="173">
        <f ca="1">(VLOOKUP(AC$72,INDIRECT($C$5&amp;"生成成长"),2))/((VLOOKUP($B137,INDIRECT($B$5&amp;"生成成长"),4))/(VLOOKUP(AC$72,INDIRECT($C$5&amp;"生成成长"),5))*(VLOOKUP($B$5,标准坦克设计!$B$24:$U$30,MATCH("对"&amp;LEFT($C$5,2)&amp;"输出",标准坦克设计!$B$23:$U$23,0)))*(VLOOKUP($B137,INDIRECT($B$5&amp;"生成成长"),3))*(VLOOKUP($B$5,标准坦克设计!$B$14:$K$20,9)/30))</f>
        <v>11.249701065552678</v>
      </c>
      <c r="AD137" s="173">
        <f ca="1">(VLOOKUP(AD$72,INDIRECT($C$5&amp;"生成成长"),2))/((VLOOKUP($B137,INDIRECT($B$5&amp;"生成成长"),4))/(VLOOKUP(AD$72,INDIRECT($C$5&amp;"生成成长"),5))*(VLOOKUP($B$5,标准坦克设计!$B$24:$U$30,MATCH("对"&amp;LEFT($C$5,2)&amp;"输出",标准坦克设计!$B$23:$U$23,0)))*(VLOOKUP($B137,INDIRECT($B$5&amp;"生成成长"),3))*(VLOOKUP($B$5,标准坦克设计!$B$14:$K$20,9)/30))</f>
        <v>12.236062521317763</v>
      </c>
      <c r="AE137" s="173">
        <f ca="1">(VLOOKUP(AE$72,INDIRECT($C$5&amp;"生成成长"),2))/((VLOOKUP($B137,INDIRECT($B$5&amp;"生成成长"),4))/(VLOOKUP(AE$72,INDIRECT($C$5&amp;"生成成长"),5))*(VLOOKUP($B$5,标准坦克设计!$B$24:$U$30,MATCH("对"&amp;LEFT($C$5,2)&amp;"输出",标准坦克设计!$B$23:$U$23,0)))*(VLOOKUP($B137,INDIRECT($B$5&amp;"生成成长"),3))*(VLOOKUP($B$5,标准坦克设计!$B$14:$K$20,9)/30))</f>
        <v>13.263867735728443</v>
      </c>
      <c r="AF137" s="173">
        <f ca="1">(VLOOKUP(AF$72,INDIRECT($C$5&amp;"生成成长"),2))/((VLOOKUP($B137,INDIRECT($B$5&amp;"生成成长"),4))/(VLOOKUP(AF$72,INDIRECT($C$5&amp;"生成成长"),5))*(VLOOKUP($B$5,标准坦克设计!$B$24:$U$30,MATCH("对"&amp;LEFT($C$5,2)&amp;"输出",标准坦克设计!$B$23:$U$23,0)))*(VLOOKUP($B137,INDIRECT($B$5&amp;"生成成长"),3))*(VLOOKUP($B$5,标准坦克设计!$B$14:$K$20,9)/30))</f>
        <v>14.333116708784713</v>
      </c>
      <c r="AG137" s="173">
        <f ca="1">(VLOOKUP(AG$72,INDIRECT($C$5&amp;"生成成长"),2))/((VLOOKUP($B137,INDIRECT($B$5&amp;"生成成长"),4))/(VLOOKUP(AG$72,INDIRECT($C$5&amp;"生成成长"),5))*(VLOOKUP($B$5,标准坦克设计!$B$24:$U$30,MATCH("对"&amp;LEFT($C$5,2)&amp;"输出",标准坦克设计!$B$23:$U$23,0)))*(VLOOKUP($B137,INDIRECT($B$5&amp;"生成成长"),3))*(VLOOKUP($B$5,标准坦克设计!$B$14:$K$20,9)/30))</f>
        <v>15.443809440486572</v>
      </c>
      <c r="AH137" s="173">
        <f ca="1">(VLOOKUP(AH$72,INDIRECT($C$5&amp;"生成成长"),2))/((VLOOKUP($B137,INDIRECT($B$5&amp;"生成成长"),4))/(VLOOKUP(AH$72,INDIRECT($C$5&amp;"生成成长"),5))*(VLOOKUP($B$5,标准坦克设计!$B$24:$U$30,MATCH("对"&amp;LEFT($C$5,2)&amp;"输出",标准坦克设计!$B$23:$U$23,0)))*(VLOOKUP($B137,INDIRECT($B$5&amp;"生成成长"),3))*(VLOOKUP($B$5,标准坦克设计!$B$14:$K$20,9)/30))</f>
        <v>16.595945930834024</v>
      </c>
      <c r="AI137" s="173">
        <f ca="1">(VLOOKUP(AI$72,INDIRECT($C$5&amp;"生成成长"),2))/((VLOOKUP($B137,INDIRECT($B$5&amp;"生成成长"),4))/(VLOOKUP(AI$72,INDIRECT($C$5&amp;"生成成长"),5))*(VLOOKUP($B$5,标准坦克设计!$B$24:$U$30,MATCH("对"&amp;LEFT($C$5,2)&amp;"输出",标准坦克设计!$B$23:$U$23,0)))*(VLOOKUP($B137,INDIRECT($B$5&amp;"生成成长"),3))*(VLOOKUP($B$5,标准坦克设计!$B$14:$K$20,9)/30))</f>
        <v>11.737701323604522</v>
      </c>
      <c r="AJ137" s="173">
        <f ca="1">(VLOOKUP(AJ$72,INDIRECT($C$5&amp;"生成成长"),2))/((VLOOKUP($B137,INDIRECT($B$5&amp;"生成成长"),4))/(VLOOKUP(AJ$72,INDIRECT($C$5&amp;"生成成长"),5))*(VLOOKUP($B$5,标准坦克设计!$B$24:$U$30,MATCH("对"&amp;LEFT($C$5,2)&amp;"输出",标准坦克设计!$B$23:$U$23,0)))*(VLOOKUP($B137,INDIRECT($B$5&amp;"生成成长"),3))*(VLOOKUP($B$5,标准坦克设计!$B$14:$K$20,9)/30))</f>
        <v>12.847772398926699</v>
      </c>
      <c r="AK137" s="173">
        <f ca="1">(VLOOKUP(AK$72,INDIRECT($C$5&amp;"生成成长"),2))/((VLOOKUP($B137,INDIRECT($B$5&amp;"生成成长"),4))/(VLOOKUP(AK$72,INDIRECT($C$5&amp;"生成成长"),5))*(VLOOKUP($B$5,标准坦克设计!$B$24:$U$30,MATCH("对"&amp;LEFT($C$5,2)&amp;"输出",标准坦克设计!$B$23:$U$23,0)))*(VLOOKUP($B137,INDIRECT($B$5&amp;"生成成长"),3))*(VLOOKUP($B$5,标准坦克设计!$B$14:$K$20,9)/30))</f>
        <v>14.007990422210042</v>
      </c>
      <c r="AL137" s="173">
        <f ca="1">(VLOOKUP(AL$72,INDIRECT($C$5&amp;"生成成长"),2))/((VLOOKUP($B137,INDIRECT($B$5&amp;"生成成长"),4))/(VLOOKUP(AL$72,INDIRECT($C$5&amp;"生成成长"),5))*(VLOOKUP($B$5,标准坦克设计!$B$24:$U$30,MATCH("对"&amp;LEFT($C$5,2)&amp;"输出",标准坦克设计!$B$23:$U$23,0)))*(VLOOKUP($B137,INDIRECT($B$5&amp;"生成成长"),3))*(VLOOKUP($B$5,标准坦克设计!$B$14:$K$20,9)/30))</f>
        <v>15.218355393454551</v>
      </c>
      <c r="AM137" s="173">
        <f ca="1">(VLOOKUP(AM$72,INDIRECT($C$5&amp;"生成成长"),2))/((VLOOKUP($B137,INDIRECT($B$5&amp;"生成成长"),4))/(VLOOKUP(AM$72,INDIRECT($C$5&amp;"生成成长"),5))*(VLOOKUP($B$5,标准坦克设计!$B$24:$U$30,MATCH("对"&amp;LEFT($C$5,2)&amp;"输出",标准坦克设计!$B$23:$U$23,0)))*(VLOOKUP($B137,INDIRECT($B$5&amp;"生成成长"),3))*(VLOOKUP($B$5,标准坦克设计!$B$14:$K$20,9)/30))</f>
        <v>16.478867312660228</v>
      </c>
      <c r="AN137" s="173">
        <f ca="1">(VLOOKUP(AN$72,INDIRECT($C$5&amp;"生成成长"),2))/((VLOOKUP($B137,INDIRECT($B$5&amp;"生成成长"),4))/(VLOOKUP(AN$72,INDIRECT($C$5&amp;"生成成长"),5))*(VLOOKUP($B$5,标准坦克设计!$B$24:$U$30,MATCH("对"&amp;LEFT($C$5,2)&amp;"输出",标准坦克设计!$B$23:$U$23,0)))*(VLOOKUP($B137,INDIRECT($B$5&amp;"生成成长"),3))*(VLOOKUP($B$5,标准坦克设计!$B$14:$K$20,9)/30))</f>
        <v>17.789526179827071</v>
      </c>
      <c r="AO137" s="173">
        <f ca="1">(VLOOKUP(AO$72,INDIRECT($C$5&amp;"生成成长"),2))/((VLOOKUP($B137,INDIRECT($B$5&amp;"生成成长"),4))/(VLOOKUP(AO$72,INDIRECT($C$5&amp;"生成成长"),5))*(VLOOKUP($B$5,标准坦克设计!$B$24:$U$30,MATCH("对"&amp;LEFT($C$5,2)&amp;"输出",标准坦克设计!$B$23:$U$23,0)))*(VLOOKUP($B137,INDIRECT($B$5&amp;"生成成长"),3))*(VLOOKUP($B$5,标准坦克设计!$B$14:$K$20,9)/30))</f>
        <v>19.150331994955078</v>
      </c>
      <c r="AP137" s="173">
        <f ca="1">(VLOOKUP(AP$72,INDIRECT($C$5&amp;"生成成长"),2))/((VLOOKUP($B137,INDIRECT($B$5&amp;"生成成长"),4))/(VLOOKUP(AP$72,INDIRECT($C$5&amp;"生成成长"),5))*(VLOOKUP($B$5,标准坦克设计!$B$24:$U$30,MATCH("对"&amp;LEFT($C$5,2)&amp;"输出",标准坦克设计!$B$23:$U$23,0)))*(VLOOKUP($B137,INDIRECT($B$5&amp;"生成成长"),3))*(VLOOKUP($B$5,标准坦克设计!$B$14:$K$20,9)/30))</f>
        <v>20.561284758044255</v>
      </c>
      <c r="AQ137" s="173">
        <f ca="1">(VLOOKUP(AQ$72,INDIRECT($C$5&amp;"生成成长"),2))/((VLOOKUP($B137,INDIRECT($B$5&amp;"生成成长"),4))/(VLOOKUP(AQ$72,INDIRECT($C$5&amp;"生成成长"),5))*(VLOOKUP($B$5,标准坦克设计!$B$24:$U$30,MATCH("对"&amp;LEFT($C$5,2)&amp;"输出",标准坦克设计!$B$23:$U$23,0)))*(VLOOKUP($B137,INDIRECT($B$5&amp;"生成成长"),3))*(VLOOKUP($B$5,标准坦克设计!$B$14:$K$20,9)/30))</f>
        <v>22.022384469094597</v>
      </c>
      <c r="AR137" s="173">
        <f ca="1">(VLOOKUP(AR$72,INDIRECT($C$5&amp;"生成成长"),2))/((VLOOKUP($B137,INDIRECT($B$5&amp;"生成成长"),4))/(VLOOKUP(AR$72,INDIRECT($C$5&amp;"生成成长"),5))*(VLOOKUP($B$5,标准坦克设计!$B$24:$U$30,MATCH("对"&amp;LEFT($C$5,2)&amp;"输出",标准坦克设计!$B$23:$U$23,0)))*(VLOOKUP($B137,INDIRECT($B$5&amp;"生成成长"),3))*(VLOOKUP($B$5,标准坦克设计!$B$14:$K$20,9)/30))</f>
        <v>23.533631128106098</v>
      </c>
      <c r="AS137" s="173">
        <f ca="1">(VLOOKUP(AS$72,INDIRECT($C$5&amp;"生成成长"),2))/((VLOOKUP($B137,INDIRECT($B$5&amp;"生成成长"),4))/(VLOOKUP(AS$72,INDIRECT($C$5&amp;"生成成长"),5))*(VLOOKUP($B$5,标准坦克设计!$B$24:$U$30,MATCH("对"&amp;LEFT($C$5,2)&amp;"输出",标准坦克设计!$B$23:$U$23,0)))*(VLOOKUP($B137,INDIRECT($B$5&amp;"生成成长"),3))*(VLOOKUP($B$5,标准坦克设计!$B$14:$K$20,9)/30))</f>
        <v>25.095024735078773</v>
      </c>
      <c r="AT137" s="173">
        <f ca="1">(VLOOKUP(AT$72,INDIRECT($C$5&amp;"生成成长"),2))/((VLOOKUP($B137,INDIRECT($B$5&amp;"生成成长"),4))/(VLOOKUP(AT$72,INDIRECT($C$5&amp;"生成成长"),5))*(VLOOKUP($B$5,标准坦克设计!$B$24:$U$30,MATCH("对"&amp;LEFT($C$5,2)&amp;"输出",标准坦克设计!$B$23:$U$23,0)))*(VLOOKUP($B137,INDIRECT($B$5&amp;"生成成长"),3))*(VLOOKUP($B$5,标准坦克设计!$B$14:$K$20,9)/30))</f>
        <v>26.706565290012609</v>
      </c>
      <c r="AU137" s="173">
        <f ca="1">(VLOOKUP(AU$72,INDIRECT($C$5&amp;"生成成长"),2))/((VLOOKUP($B137,INDIRECT($B$5&amp;"生成成长"),4))/(VLOOKUP(AU$72,INDIRECT($C$5&amp;"生成成长"),5))*(VLOOKUP($B$5,标准坦克设计!$B$24:$U$30,MATCH("对"&amp;LEFT($C$5,2)&amp;"输出",标准坦克设计!$B$23:$U$23,0)))*(VLOOKUP($B137,INDIRECT($B$5&amp;"生成成长"),3))*(VLOOKUP($B$5,标准坦克设计!$B$14:$K$20,9)/30))</f>
        <v>28.368252792907619</v>
      </c>
      <c r="AV137" s="173">
        <f ca="1">(VLOOKUP(AV$72,INDIRECT($C$5&amp;"生成成长"),2))/((VLOOKUP($B137,INDIRECT($B$5&amp;"生成成长"),4))/(VLOOKUP(AV$72,INDIRECT($C$5&amp;"生成成长"),5))*(VLOOKUP($B$5,标准坦克设计!$B$24:$U$30,MATCH("对"&amp;LEFT($C$5,2)&amp;"输出",标准坦克设计!$B$23:$U$23,0)))*(VLOOKUP($B137,INDIRECT($B$5&amp;"生成成长"),3))*(VLOOKUP($B$5,标准坦克设计!$B$14:$K$20,9)/30))</f>
        <v>2.8853144769061041</v>
      </c>
      <c r="AW137" s="173">
        <f ca="1">(VLOOKUP(AW$72,INDIRECT($C$5&amp;"生成成长"),2))/((VLOOKUP($B137,INDIRECT($B$5&amp;"生成成长"),4))/(VLOOKUP(AW$72,INDIRECT($C$5&amp;"生成成长"),5))*(VLOOKUP($B$5,标准坦克设计!$B$24:$U$30,MATCH("对"&amp;LEFT($C$5,2)&amp;"输出",标准坦克设计!$B$23:$U$23,0)))*(VLOOKUP($B137,INDIRECT($B$5&amp;"生成成长"),3))*(VLOOKUP($B$5,标准坦克设计!$B$14:$K$20,9)/30))</f>
        <v>3.2898055612870802</v>
      </c>
      <c r="AX137" s="173">
        <f ca="1">(VLOOKUP(AX$72,INDIRECT($C$5&amp;"生成成长"),2))/((VLOOKUP($B137,INDIRECT($B$5&amp;"生成成长"),4))/(VLOOKUP(AX$72,INDIRECT($C$5&amp;"生成成长"),5))*(VLOOKUP($B$5,标准坦克设计!$B$24:$U$30,MATCH("对"&amp;LEFT($C$5,2)&amp;"输出",标准坦克设计!$B$23:$U$23,0)))*(VLOOKUP($B137,INDIRECT($B$5&amp;"生成成长"),3))*(VLOOKUP($B$5,标准坦克设计!$B$14:$K$20,9)/30))</f>
        <v>3.7208206512012354</v>
      </c>
      <c r="AY137" s="173">
        <f ca="1">(VLOOKUP(AY$72,INDIRECT($C$5&amp;"生成成长"),2))/((VLOOKUP($B137,INDIRECT($B$5&amp;"生成成长"),4))/(VLOOKUP(AY$72,INDIRECT($C$5&amp;"生成成长"),5))*(VLOOKUP($B$5,标准坦克设计!$B$24:$U$30,MATCH("对"&amp;LEFT($C$5,2)&amp;"输出",标准坦克设计!$B$23:$U$23,0)))*(VLOOKUP($B137,INDIRECT($B$5&amp;"生成成长"),3))*(VLOOKUP($B$5,标准坦克设计!$B$14:$K$20,9)/30))</f>
        <v>4.1783597466485691</v>
      </c>
      <c r="AZ137" s="173">
        <f ca="1">(VLOOKUP(AZ$72,INDIRECT($C$5&amp;"生成成长"),2))/((VLOOKUP($B137,INDIRECT($B$5&amp;"生成成长"),4))/(VLOOKUP(AZ$72,INDIRECT($C$5&amp;"生成成长"),5))*(VLOOKUP($B$5,标准坦克设计!$B$24:$U$30,MATCH("对"&amp;LEFT($C$5,2)&amp;"输出",标准坦克设计!$B$23:$U$23,0)))*(VLOOKUP($B137,INDIRECT($B$5&amp;"生成成长"),3))*(VLOOKUP($B$5,标准坦克设计!$B$14:$K$20,9)/30))</f>
        <v>4.6624228476290819</v>
      </c>
      <c r="BA137" s="173">
        <f ca="1">(VLOOKUP(BA$72,INDIRECT($C$5&amp;"生成成长"),2))/((VLOOKUP($B137,INDIRECT($B$5&amp;"生成成长"),4))/(VLOOKUP(BA$72,INDIRECT($C$5&amp;"生成成长"),5))*(VLOOKUP($B$5,标准坦克设计!$B$24:$U$30,MATCH("对"&amp;LEFT($C$5,2)&amp;"输出",标准坦克设计!$B$23:$U$23,0)))*(VLOOKUP($B137,INDIRECT($B$5&amp;"生成成长"),3))*(VLOOKUP($B$5,标准坦克设计!$B$14:$K$20,9)/30))</f>
        <v>5.1730099541427741</v>
      </c>
      <c r="BB137" s="173">
        <f ca="1">(VLOOKUP(BB$72,INDIRECT($C$5&amp;"生成成长"),2))/((VLOOKUP($B137,INDIRECT($B$5&amp;"生成成长"),4))/(VLOOKUP(BB$72,INDIRECT($C$5&amp;"生成成长"),5))*(VLOOKUP($B$5,标准坦克设计!$B$24:$U$30,MATCH("对"&amp;LEFT($C$5,2)&amp;"输出",标准坦克设计!$B$23:$U$23,0)))*(VLOOKUP($B137,INDIRECT($B$5&amp;"生成成长"),3))*(VLOOKUP($B$5,标准坦克设计!$B$14:$K$20,9)/30))</f>
        <v>5.710121066189644</v>
      </c>
      <c r="BC137" s="173">
        <f ca="1">(VLOOKUP(BC$72,INDIRECT($C$5&amp;"生成成长"),2))/((VLOOKUP($B137,INDIRECT($B$5&amp;"生成成长"),4))/(VLOOKUP(BC$72,INDIRECT($C$5&amp;"生成成长"),5))*(VLOOKUP($B$5,标准坦克设计!$B$24:$U$30,MATCH("对"&amp;LEFT($C$5,2)&amp;"输出",标准坦克设计!$B$23:$U$23,0)))*(VLOOKUP($B137,INDIRECT($B$5&amp;"生成成长"),3))*(VLOOKUP($B$5,标准坦克设计!$B$14:$K$20,9)/30))</f>
        <v>6.2737561837696934</v>
      </c>
      <c r="BD137" s="173">
        <f ca="1">(VLOOKUP(BD$72,INDIRECT($C$5&amp;"生成成长"),2))/((VLOOKUP($B137,INDIRECT($B$5&amp;"生成成长"),4))/(VLOOKUP(BD$72,INDIRECT($C$5&amp;"生成成长"),5))*(VLOOKUP($B$5,标准坦克设计!$B$24:$U$30,MATCH("对"&amp;LEFT($C$5,2)&amp;"输出",标准坦克设计!$B$23:$U$23,0)))*(VLOOKUP($B137,INDIRECT($B$5&amp;"生成成长"),3))*(VLOOKUP($B$5,标准坦克设计!$B$14:$K$20,9)/30))</f>
        <v>6.9395501664111254</v>
      </c>
      <c r="BE137" s="173">
        <f ca="1">(VLOOKUP(BE$72,INDIRECT($C$5&amp;"生成成长"),2))/((VLOOKUP($B137,INDIRECT($B$5&amp;"生成成长"),4))/(VLOOKUP(BE$72,INDIRECT($C$5&amp;"生成成长"),5))*(VLOOKUP($B$5,标准坦克设计!$B$24:$U$30,MATCH("对"&amp;LEFT($C$5,2)&amp;"输出",标准坦克设计!$B$23:$U$23,0)))*(VLOOKUP($B137,INDIRECT($B$5&amp;"生成成长"),3))*(VLOOKUP($B$5,标准坦克设计!$B$14:$K$20,9)/30))</f>
        <v>7.6389135935554879</v>
      </c>
      <c r="BF137" s="173">
        <f ca="1">(VLOOKUP(BF$72,INDIRECT($C$5&amp;"生成成长"),2))/((VLOOKUP($B137,INDIRECT($B$5&amp;"生成成长"),4))/(VLOOKUP(BF$72,INDIRECT($C$5&amp;"生成成长"),5))*(VLOOKUP($B$5,标准坦克设计!$B$24:$U$30,MATCH("对"&amp;LEFT($C$5,2)&amp;"输出",标准坦克设计!$B$23:$U$23,0)))*(VLOOKUP($B137,INDIRECT($B$5&amp;"生成成长"),3))*(VLOOKUP($B$5,标准坦克设计!$B$14:$K$20,9)/30))</f>
        <v>8.3718464652027791</v>
      </c>
      <c r="BG137" s="173">
        <f ca="1">(VLOOKUP(BG$72,INDIRECT($C$5&amp;"生成成长"),2))/((VLOOKUP($B137,INDIRECT($B$5&amp;"生成成长"),4))/(VLOOKUP(BG$72,INDIRECT($C$5&amp;"生成成长"),5))*(VLOOKUP($B$5,标准坦克设计!$B$24:$U$30,MATCH("对"&amp;LEFT($C$5,2)&amp;"输出",标准坦克设计!$B$23:$U$23,0)))*(VLOOKUP($B137,INDIRECT($B$5&amp;"生成成长"),3))*(VLOOKUP($B$5,标准坦克设计!$B$14:$K$20,9)/30))</f>
        <v>9.1383487813530007</v>
      </c>
      <c r="BH137" s="173">
        <f ca="1">(VLOOKUP(BH$72,INDIRECT($C$5&amp;"生成成长"),2))/((VLOOKUP($B137,INDIRECT($B$5&amp;"生成成长"),4))/(VLOOKUP(BH$72,INDIRECT($C$5&amp;"生成成长"),5))*(VLOOKUP($B$5,标准坦克设计!$B$24:$U$30,MATCH("对"&amp;LEFT($C$5,2)&amp;"输出",标准坦克设计!$B$23:$U$23,0)))*(VLOOKUP($B137,INDIRECT($B$5&amp;"生成成长"),3))*(VLOOKUP($B$5,标准坦克设计!$B$14:$K$20,9)/30))</f>
        <v>4.417075796447179</v>
      </c>
      <c r="BI137" s="173">
        <f ca="1">(VLOOKUP(BI$72,INDIRECT($C$5&amp;"生成成长"),2))/((VLOOKUP($B137,INDIRECT($B$5&amp;"生成成长"),4))/(VLOOKUP(BI$72,INDIRECT($C$5&amp;"生成成长"),5))*(VLOOKUP($B$5,标准坦克设计!$B$24:$U$30,MATCH("对"&amp;LEFT($C$5,2)&amp;"输出",标准坦克设计!$B$23:$U$23,0)))*(VLOOKUP($B137,INDIRECT($B$5&amp;"生成成长"),3))*(VLOOKUP($B$5,标准坦克设计!$B$14:$K$20,9)/30))</f>
        <v>4.9784315073017202</v>
      </c>
      <c r="BJ137" s="173">
        <f ca="1">(VLOOKUP(BJ$72,INDIRECT($C$5&amp;"生成成长"),2))/((VLOOKUP($B137,INDIRECT($B$5&amp;"生成成长"),4))/(VLOOKUP(BJ$72,INDIRECT($C$5&amp;"生成成长"),5))*(VLOOKUP($B$5,标准坦克设计!$B$24:$U$30,MATCH("对"&amp;LEFT($C$5,2)&amp;"输出",标准坦克设计!$B$23:$U$23,0)))*(VLOOKUP($B137,INDIRECT($B$5&amp;"生成成长"),3))*(VLOOKUP($B$5,标准坦克设计!$B$14:$K$20,9)/30))</f>
        <v>5.5733566626591911</v>
      </c>
      <c r="BK137" s="173">
        <f ca="1">(VLOOKUP(BK$72,INDIRECT($C$5&amp;"生成成长"),2))/((VLOOKUP($B137,INDIRECT($B$5&amp;"生成成长"),4))/(VLOOKUP(BK$72,INDIRECT($C$5&amp;"生成成长"),5))*(VLOOKUP($B$5,标准坦克设计!$B$24:$U$30,MATCH("对"&amp;LEFT($C$5,2)&amp;"输出",标准坦克设计!$B$23:$U$23,0)))*(VLOOKUP($B137,INDIRECT($B$5&amp;"生成成长"),3))*(VLOOKUP($B$5,标准坦克设计!$B$14:$K$20,9)/30))</f>
        <v>6.2018512625195914</v>
      </c>
      <c r="BL137" s="173">
        <f ca="1">(VLOOKUP(BL$72,INDIRECT($C$5&amp;"生成成长"),2))/((VLOOKUP($B137,INDIRECT($B$5&amp;"生成成长"),4))/(VLOOKUP(BL$72,INDIRECT($C$5&amp;"生成成长"),5))*(VLOOKUP($B$5,标准坦克设计!$B$24:$U$30,MATCH("对"&amp;LEFT($C$5,2)&amp;"输出",标准坦克设计!$B$23:$U$23,0)))*(VLOOKUP($B137,INDIRECT($B$5&amp;"生成成长"),3))*(VLOOKUP($B$5,标准坦克设计!$B$14:$K$20,9)/30))</f>
        <v>6.8639153068829213</v>
      </c>
      <c r="BM137" s="173">
        <f ca="1">(VLOOKUP(BM$72,INDIRECT($C$5&amp;"生成成长"),2))/((VLOOKUP($B137,INDIRECT($B$5&amp;"生成成长"),4))/(VLOOKUP(BM$72,INDIRECT($C$5&amp;"生成成长"),5))*(VLOOKUP($B$5,标准坦克设计!$B$24:$U$30,MATCH("对"&amp;LEFT($C$5,2)&amp;"输出",标准坦克设计!$B$23:$U$23,0)))*(VLOOKUP($B137,INDIRECT($B$5&amp;"生成成长"),3))*(VLOOKUP($B$5,标准坦克设计!$B$14:$K$20,9)/30))</f>
        <v>7.5595487957491798</v>
      </c>
      <c r="BN137" s="173">
        <f ca="1">(VLOOKUP(BN$72,INDIRECT($C$5&amp;"生成成长"),2))/((VLOOKUP($B137,INDIRECT($B$5&amp;"生成成长"),4))/(VLOOKUP(BN$72,INDIRECT($C$5&amp;"生成成长"),5))*(VLOOKUP($B$5,标准坦克设计!$B$24:$U$30,MATCH("对"&amp;LEFT($C$5,2)&amp;"输出",标准坦克设计!$B$23:$U$23,0)))*(VLOOKUP($B137,INDIRECT($B$5&amp;"生成成长"),3))*(VLOOKUP($B$5,标准坦克设计!$B$14:$K$20,9)/30))</f>
        <v>8.2887517291183688</v>
      </c>
      <c r="BO137" s="173">
        <f ca="1">(VLOOKUP(BO$72,INDIRECT($C$5&amp;"生成成长"),2))/((VLOOKUP($B137,INDIRECT($B$5&amp;"生成成长"),4))/(VLOOKUP(BO$72,INDIRECT($C$5&amp;"生成成长"),5))*(VLOOKUP($B$5,标准坦克设计!$B$24:$U$30,MATCH("对"&amp;LEFT($C$5,2)&amp;"输出",标准坦克设计!$B$23:$U$23,0)))*(VLOOKUP($B137,INDIRECT($B$5&amp;"生成成长"),3))*(VLOOKUP($B$5,标准坦克设计!$B$14:$K$20,9)/30))</f>
        <v>9.0515241069904864</v>
      </c>
      <c r="BP137" s="173">
        <f ca="1">(VLOOKUP(BP$72,INDIRECT($C$5&amp;"生成成长"),2))/((VLOOKUP($B137,INDIRECT($B$5&amp;"生成成长"),4))/(VLOOKUP(BP$72,INDIRECT($C$5&amp;"生成成长"),5))*(VLOOKUP($B$5,标准坦克设计!$B$24:$U$30,MATCH("对"&amp;LEFT($C$5,2)&amp;"输出",标准坦克设计!$B$23:$U$23,0)))*(VLOOKUP($B137,INDIRECT($B$5&amp;"生成成长"),3))*(VLOOKUP($B$5,标准坦克设计!$B$14:$K$20,9)/30))</f>
        <v>9.8478659293655344</v>
      </c>
      <c r="BQ137" s="173">
        <f ca="1">(VLOOKUP(BQ$72,INDIRECT($C$5&amp;"生成成长"),2))/((VLOOKUP($B137,INDIRECT($B$5&amp;"生成成长"),4))/(VLOOKUP(BQ$72,INDIRECT($C$5&amp;"生成成长"),5))*(VLOOKUP($B$5,标准坦克设计!$B$24:$U$30,MATCH("对"&amp;LEFT($C$5,2)&amp;"输出",标准坦克设计!$B$23:$U$23,0)))*(VLOOKUP($B137,INDIRECT($B$5&amp;"生成成长"),3))*(VLOOKUP($B$5,标准坦克设计!$B$14:$K$20,9)/30))</f>
        <v>10.677777196243509</v>
      </c>
      <c r="BR137" s="173">
        <f ca="1">(VLOOKUP(BR$72,INDIRECT($C$5&amp;"生成成长"),2))/((VLOOKUP($B137,INDIRECT($B$5&amp;"生成成长"),4))/(VLOOKUP(BR$72,INDIRECT($C$5&amp;"生成成长"),5))*(VLOOKUP($B$5,标准坦克设计!$B$24:$U$30,MATCH("对"&amp;LEFT($C$5,2)&amp;"输出",标准坦克设计!$B$23:$U$23,0)))*(VLOOKUP($B137,INDIRECT($B$5&amp;"生成成长"),3))*(VLOOKUP($B$5,标准坦克设计!$B$14:$K$20,9)/30))</f>
        <v>11.639272396821239</v>
      </c>
      <c r="BS137" s="173">
        <f ca="1">(VLOOKUP(BS$72,INDIRECT($C$5&amp;"生成成长"),2))/((VLOOKUP($B137,INDIRECT($B$5&amp;"生成成长"),4))/(VLOOKUP(BS$72,INDIRECT($C$5&amp;"生成成长"),5))*(VLOOKUP($B$5,标准坦克设计!$B$24:$U$30,MATCH("对"&amp;LEFT($C$5,2)&amp;"输出",标准坦克设计!$B$23:$U$23,0)))*(VLOOKUP($B137,INDIRECT($B$5&amp;"生成成长"),3))*(VLOOKUP($B$5,标准坦克设计!$B$14:$K$20,9)/30))</f>
        <v>12.642211356044564</v>
      </c>
      <c r="BT137" s="173">
        <f ca="1">(VLOOKUP(BT$72,INDIRECT($C$5&amp;"生成成长"),2))/((VLOOKUP($B137,INDIRECT($B$5&amp;"生成成长"),4))/(VLOOKUP(BT$72,INDIRECT($C$5&amp;"生成成长"),5))*(VLOOKUP($B$5,标准坦克设计!$B$24:$U$30,MATCH("对"&amp;LEFT($C$5,2)&amp;"输出",标准坦克设计!$B$23:$U$23,0)))*(VLOOKUP($B137,INDIRECT($B$5&amp;"生成成长"),3))*(VLOOKUP($B$5,标准坦克设计!$B$14:$K$20,9)/30))</f>
        <v>13.686594073913477</v>
      </c>
      <c r="BU137" s="173">
        <f ca="1">(VLOOKUP(BU$72,INDIRECT($C$5&amp;"生成成长"),2))/((VLOOKUP($B137,INDIRECT($B$5&amp;"生成成长"),4))/(VLOOKUP(BU$72,INDIRECT($C$5&amp;"生成成长"),5))*(VLOOKUP($B$5,标准坦克设计!$B$24:$U$30,MATCH("对"&amp;LEFT($C$5,2)&amp;"输出",标准坦克设计!$B$23:$U$23,0)))*(VLOOKUP($B137,INDIRECT($B$5&amp;"生成成长"),3))*(VLOOKUP($B$5,标准坦克设计!$B$14:$K$20,9)/30))</f>
        <v>14.772420550427983</v>
      </c>
      <c r="BV137" s="173">
        <f ca="1">(VLOOKUP(BV$72,INDIRECT($C$5&amp;"生成成长"),2))/((VLOOKUP($B137,INDIRECT($B$5&amp;"生成成长"),4))/(VLOOKUP(BV$72,INDIRECT($C$5&amp;"生成成长"),5))*(VLOOKUP($B$5,标准坦克设计!$B$24:$U$30,MATCH("对"&amp;LEFT($C$5,2)&amp;"输出",标准坦克设计!$B$23:$U$23,0)))*(VLOOKUP($B137,INDIRECT($B$5&amp;"生成成长"),3))*(VLOOKUP($B$5,标准坦克设计!$B$14:$K$20,9)/30))</f>
        <v>15.899690785588085</v>
      </c>
      <c r="BW137" s="173">
        <f ca="1">(VLOOKUP(BW$72,INDIRECT($C$5&amp;"生成成长"),2))/((VLOOKUP($B137,INDIRECT($B$5&amp;"生成成长"),4))/(VLOOKUP(BW$72,INDIRECT($C$5&amp;"生成成长"),5))*(VLOOKUP($B$5,标准坦克设计!$B$24:$U$30,MATCH("对"&amp;LEFT($C$5,2)&amp;"输出",标准坦克设计!$B$23:$U$23,0)))*(VLOOKUP($B137,INDIRECT($B$5&amp;"生成成长"),3))*(VLOOKUP($B$5,标准坦克设计!$B$14:$K$20,9)/30))</f>
        <v>7.2462339803885056</v>
      </c>
      <c r="BX137" s="173">
        <f ca="1">(VLOOKUP(BX$72,INDIRECT($C$5&amp;"生成成长"),2))/((VLOOKUP($B137,INDIRECT($B$5&amp;"生成成长"),4))/(VLOOKUP(BX$72,INDIRECT($C$5&amp;"生成成长"),5))*(VLOOKUP($B$5,标准坦克设计!$B$24:$U$30,MATCH("对"&amp;LEFT($C$5,2)&amp;"输出",标准坦克设计!$B$23:$U$23,0)))*(VLOOKUP($B137,INDIRECT($B$5&amp;"生成成长"),3))*(VLOOKUP($B$5,标准坦克设计!$B$14:$K$20,9)/30))</f>
        <v>8.0419541463838691</v>
      </c>
      <c r="BY137" s="173">
        <f ca="1">(VLOOKUP(BY$72,INDIRECT($C$5&amp;"生成成长"),2))/((VLOOKUP($B137,INDIRECT($B$5&amp;"生成成长"),4))/(VLOOKUP(BY$72,INDIRECT($C$5&amp;"生成成长"),5))*(VLOOKUP($B$5,标准坦克设计!$B$24:$U$30,MATCH("对"&amp;LEFT($C$5,2)&amp;"输出",标准坦克设计!$B$23:$U$23,0)))*(VLOOKUP($B137,INDIRECT($B$5&amp;"生成成长"),3))*(VLOOKUP($B$5,标准坦克设计!$B$14:$K$20,9)/30))</f>
        <v>8.8791180710248252</v>
      </c>
      <c r="BZ137" s="173">
        <f ca="1">(VLOOKUP(BZ$72,INDIRECT($C$5&amp;"生成成长"),2))/((VLOOKUP($B137,INDIRECT($B$5&amp;"生成成长"),4))/(VLOOKUP(BZ$72,INDIRECT($C$5&amp;"生成成长"),5))*(VLOOKUP($B$5,标准坦克设计!$B$24:$U$30,MATCH("对"&amp;LEFT($C$5,2)&amp;"输出",标准坦克设计!$B$23:$U$23,0)))*(VLOOKUP($B137,INDIRECT($B$5&amp;"生成成长"),3))*(VLOOKUP($B$5,标准坦克设计!$B$14:$K$20,9)/30))</f>
        <v>9.7577257543113696</v>
      </c>
      <c r="CA137" s="173">
        <f ca="1">(VLOOKUP(CA$72,INDIRECT($C$5&amp;"生成成长"),2))/((VLOOKUP($B137,INDIRECT($B$5&amp;"生成成长"),4))/(VLOOKUP(CA$72,INDIRECT($C$5&amp;"生成成长"),5))*(VLOOKUP($B$5,标准坦克设计!$B$24:$U$30,MATCH("对"&amp;LEFT($C$5,2)&amp;"输出",标准坦克设计!$B$23:$U$23,0)))*(VLOOKUP($B137,INDIRECT($B$5&amp;"生成成长"),3))*(VLOOKUP($B$5,标准坦克设计!$B$14:$K$20,9)/30))</f>
        <v>10.677777196243509</v>
      </c>
      <c r="CB137" s="173">
        <f ca="1">(VLOOKUP(CB$72,INDIRECT($C$5&amp;"生成成长"),2))/((VLOOKUP($B137,INDIRECT($B$5&amp;"生成成长"),4))/(VLOOKUP(CB$72,INDIRECT($C$5&amp;"生成成长"),5))*(VLOOKUP($B$5,标准坦克设计!$B$24:$U$30,MATCH("对"&amp;LEFT($C$5,2)&amp;"输出",标准坦克设计!$B$23:$U$23,0)))*(VLOOKUP($B137,INDIRECT($B$5&amp;"生成成长"),3))*(VLOOKUP($B$5,标准坦克设计!$B$14:$K$20,9)/30))</f>
        <v>11.639272396821239</v>
      </c>
      <c r="CC137" s="173">
        <f ca="1">(VLOOKUP(CC$72,INDIRECT($C$5&amp;"生成成长"),2))/((VLOOKUP($B137,INDIRECT($B$5&amp;"生成成长"),4))/(VLOOKUP(CC$72,INDIRECT($C$5&amp;"生成成长"),5))*(VLOOKUP($B$5,标准坦克设计!$B$24:$U$30,MATCH("对"&amp;LEFT($C$5,2)&amp;"输出",标准坦克设计!$B$23:$U$23,0)))*(VLOOKUP($B137,INDIRECT($B$5&amp;"生成成长"),3))*(VLOOKUP($B$5,标准坦克设计!$B$14:$K$20,9)/30))</f>
        <v>12.642211356044564</v>
      </c>
      <c r="CD137" s="173">
        <f ca="1">(VLOOKUP(CD$72,INDIRECT($C$5&amp;"生成成长"),2))/((VLOOKUP($B137,INDIRECT($B$5&amp;"生成成长"),4))/(VLOOKUP(CD$72,INDIRECT($C$5&amp;"生成成长"),5))*(VLOOKUP($B$5,标准坦克设计!$B$24:$U$30,MATCH("对"&amp;LEFT($C$5,2)&amp;"输出",标准坦克设计!$B$23:$U$23,0)))*(VLOOKUP($B137,INDIRECT($B$5&amp;"生成成长"),3))*(VLOOKUP($B$5,标准坦克设计!$B$14:$K$20,9)/30))</f>
        <v>13.686594073913477</v>
      </c>
      <c r="CE137" s="173">
        <f ca="1">(VLOOKUP(CE$72,INDIRECT($C$5&amp;"生成成长"),2))/((VLOOKUP($B137,INDIRECT($B$5&amp;"生成成长"),4))/(VLOOKUP(CE$72,INDIRECT($C$5&amp;"生成成长"),5))*(VLOOKUP($B$5,标准坦克设计!$B$24:$U$30,MATCH("对"&amp;LEFT($C$5,2)&amp;"输出",标准坦克设计!$B$23:$U$23,0)))*(VLOOKUP($B137,INDIRECT($B$5&amp;"生成成长"),3))*(VLOOKUP($B$5,标准坦克设计!$B$14:$K$20,9)/30))</f>
        <v>14.772420550427983</v>
      </c>
      <c r="CF137" s="173">
        <f ca="1">(VLOOKUP(CF$72,INDIRECT($C$5&amp;"生成成长"),2))/((VLOOKUP($B137,INDIRECT($B$5&amp;"生成成长"),4))/(VLOOKUP(CF$72,INDIRECT($C$5&amp;"生成成长"),5))*(VLOOKUP($B$5,标准坦克设计!$B$24:$U$30,MATCH("对"&amp;LEFT($C$5,2)&amp;"输出",标准坦克设计!$B$23:$U$23,0)))*(VLOOKUP($B137,INDIRECT($B$5&amp;"生成成长"),3))*(VLOOKUP($B$5,标准坦克设计!$B$14:$K$20,9)/30))</f>
        <v>15.899690785588085</v>
      </c>
      <c r="CG137" s="173">
        <f ca="1">(VLOOKUP(CG$72,INDIRECT($C$5&amp;"生成成长"),2))/((VLOOKUP($B137,INDIRECT($B$5&amp;"生成成长"),4))/(VLOOKUP(CG$72,INDIRECT($C$5&amp;"生成成长"),5))*(VLOOKUP($B$5,标准坦克设计!$B$24:$U$30,MATCH("对"&amp;LEFT($C$5,2)&amp;"输出",标准坦克设计!$B$23:$U$23,0)))*(VLOOKUP($B137,INDIRECT($B$5&amp;"生成成长"),3))*(VLOOKUP($B$5,标准坦克设计!$B$14:$K$20,9)/30))</f>
        <v>17.068404779393774</v>
      </c>
      <c r="CH137" s="173">
        <f ca="1">(VLOOKUP(CH$72,INDIRECT($C$5&amp;"生成成长"),2))/((VLOOKUP($B137,INDIRECT($B$5&amp;"生成成长"),4))/(VLOOKUP(CH$72,INDIRECT($C$5&amp;"生成成长"),5))*(VLOOKUP($B$5,标准坦克设计!$B$24:$U$30,MATCH("对"&amp;LEFT($C$5,2)&amp;"输出",标准坦克设计!$B$23:$U$23,0)))*(VLOOKUP($B137,INDIRECT($B$5&amp;"生成成长"),3))*(VLOOKUP($B$5,标准坦克设计!$B$14:$K$20,9)/30))</f>
        <v>18.278562531845054</v>
      </c>
      <c r="CI137" s="173">
        <f ca="1">(VLOOKUP(CI$72,INDIRECT($C$5&amp;"生成成长"),2))/((VLOOKUP($B137,INDIRECT($B$5&amp;"生成成长"),4))/(VLOOKUP(CI$72,INDIRECT($C$5&amp;"生成成长"),5))*(VLOOKUP($B$5,标准坦克设计!$B$24:$U$30,MATCH("对"&amp;LEFT($C$5,2)&amp;"输出",标准坦克设计!$B$23:$U$23,0)))*(VLOOKUP($B137,INDIRECT($B$5&amp;"生成成长"),3))*(VLOOKUP($B$5,标准坦克设计!$B$14:$K$20,9)/30))</f>
        <v>19.657603600777122</v>
      </c>
      <c r="CJ137" s="173">
        <f ca="1">(VLOOKUP(CJ$72,INDIRECT($C$5&amp;"生成成长"),2))/((VLOOKUP($B137,INDIRECT($B$5&amp;"生成成长"),4))/(VLOOKUP(CJ$72,INDIRECT($C$5&amp;"生成成长"),5))*(VLOOKUP($B$5,标准坦克设计!$B$24:$U$30,MATCH("对"&amp;LEFT($C$5,2)&amp;"输出",标准坦克设计!$B$23:$U$23,0)))*(VLOOKUP($B137,INDIRECT($B$5&amp;"生成成长"),3))*(VLOOKUP($B$5,标准坦克设计!$B$14:$K$20,9)/30))</f>
        <v>21.086791617670354</v>
      </c>
      <c r="CK137" s="173">
        <f ca="1">(VLOOKUP(CK$72,INDIRECT($C$5&amp;"生成成长"),2))/((VLOOKUP($B137,INDIRECT($B$5&amp;"生成成长"),4))/(VLOOKUP(CK$72,INDIRECT($C$5&amp;"生成成长"),5))*(VLOOKUP($B$5,标准坦克设计!$B$24:$U$30,MATCH("对"&amp;LEFT($C$5,2)&amp;"输出",标准坦克设计!$B$23:$U$23,0)))*(VLOOKUP($B137,INDIRECT($B$5&amp;"生成成长"),3))*(VLOOKUP($B$5,标准坦克设计!$B$14:$K$20,9)/30))</f>
        <v>22.56612658252476</v>
      </c>
      <c r="CL137" s="173">
        <f ca="1">(VLOOKUP(CL$72,INDIRECT($C$5&amp;"生成成长"),2))/((VLOOKUP($B137,INDIRECT($B$5&amp;"生成成长"),4))/(VLOOKUP(CL$72,INDIRECT($C$5&amp;"生成成长"),5))*(VLOOKUP($B$5,标准坦克设计!$B$24:$U$30,MATCH("对"&amp;LEFT($C$5,2)&amp;"输出",标准坦克设计!$B$23:$U$23,0)))*(VLOOKUP($B137,INDIRECT($B$5&amp;"生成成长"),3))*(VLOOKUP($B$5,标准坦克设计!$B$14:$K$20,9)/30))</f>
        <v>24.095608495340322</v>
      </c>
      <c r="CM137" s="173">
        <f ca="1">(VLOOKUP(CM$72,INDIRECT($C$5&amp;"生成成长"),2))/((VLOOKUP($B137,INDIRECT($B$5&amp;"生成成长"),4))/(VLOOKUP(CM$72,INDIRECT($C$5&amp;"生成成长"),5))*(VLOOKUP($B$5,标准坦克设计!$B$24:$U$30,MATCH("对"&amp;LEFT($C$5,2)&amp;"输出",标准坦克设计!$B$23:$U$23,0)))*(VLOOKUP($B137,INDIRECT($B$5&amp;"生成成长"),3))*(VLOOKUP($B$5,标准坦克设计!$B$14:$K$20,9)/30))</f>
        <v>25.675237356117059</v>
      </c>
      <c r="CN137" s="173">
        <f ca="1">(VLOOKUP(CN$72,INDIRECT($C$5&amp;"生成成长"),2))/((VLOOKUP($B137,INDIRECT($B$5&amp;"生成成长"),4))/(VLOOKUP(CN$72,INDIRECT($C$5&amp;"生成成长"),5))*(VLOOKUP($B$5,标准坦克设计!$B$24:$U$30,MATCH("对"&amp;LEFT($C$5,2)&amp;"输出",标准坦克设计!$B$23:$U$23,0)))*(VLOOKUP($B137,INDIRECT($B$5&amp;"生成成长"),3))*(VLOOKUP($B$5,标准坦克设计!$B$14:$K$20,9)/30))</f>
        <v>27.305013164854955</v>
      </c>
      <c r="CO137" s="173">
        <f ca="1">(VLOOKUP(CO$72,INDIRECT($C$5&amp;"生成成长"),2))/((VLOOKUP($B137,INDIRECT($B$5&amp;"生成成长"),4))/(VLOOKUP(CO$72,INDIRECT($C$5&amp;"生成成长"),5))*(VLOOKUP($B$5,标准坦克设计!$B$24:$U$30,MATCH("对"&amp;LEFT($C$5,2)&amp;"输出",标准坦克设计!$B$23:$U$23,0)))*(VLOOKUP($B137,INDIRECT($B$5&amp;"生成成长"),3))*(VLOOKUP($B$5,标准坦克设计!$B$14:$K$20,9)/30))</f>
        <v>12.236062521317763</v>
      </c>
      <c r="CP137" s="173">
        <f ca="1">(VLOOKUP(CP$72,INDIRECT($C$5&amp;"生成成长"),2))/((VLOOKUP($B137,INDIRECT($B$5&amp;"生成成长"),4))/(VLOOKUP(CP$72,INDIRECT($C$5&amp;"生成成长"),5))*(VLOOKUP($B$5,标准坦克设计!$B$24:$U$30,MATCH("对"&amp;LEFT($C$5,2)&amp;"输出",标准坦克设计!$B$23:$U$23,0)))*(VLOOKUP($B137,INDIRECT($B$5&amp;"生成成长"),3))*(VLOOKUP($B$5,标准坦克设计!$B$14:$K$20,9)/30))</f>
        <v>13.368927663895017</v>
      </c>
      <c r="CQ137" s="173">
        <f ca="1">(VLOOKUP(CQ$72,INDIRECT($C$5&amp;"生成成长"),2))/((VLOOKUP($B137,INDIRECT($B$5&amp;"生成成长"),4))/(VLOOKUP(CQ$72,INDIRECT($C$5&amp;"生成成长"),5))*(VLOOKUP($B$5,标准坦克设计!$B$24:$U$30,MATCH("对"&amp;LEFT($C$5,2)&amp;"输出",标准坦克设计!$B$23:$U$23,0)))*(VLOOKUP($B137,INDIRECT($B$5&amp;"生成成长"),3))*(VLOOKUP($B$5,标准坦克设计!$B$14:$K$20,9)/30))</f>
        <v>14.551939754433432</v>
      </c>
      <c r="CR137" s="173">
        <f ca="1">(VLOOKUP(CR$72,INDIRECT($C$5&amp;"生成成长"),2))/((VLOOKUP($B137,INDIRECT($B$5&amp;"生成成长"),4))/(VLOOKUP(CR$72,INDIRECT($C$5&amp;"生成成长"),5))*(VLOOKUP($B$5,标准坦克设计!$B$24:$U$30,MATCH("对"&amp;LEFT($C$5,2)&amp;"输出",标准坦克设计!$B$23:$U$23,0)))*(VLOOKUP($B137,INDIRECT($B$5&amp;"生成成长"),3))*(VLOOKUP($B$5,标准坦克设计!$B$14:$K$20,9)/30))</f>
        <v>15.785098792933018</v>
      </c>
      <c r="CS137" s="173">
        <f ca="1">(VLOOKUP(CS$72,INDIRECT($C$5&amp;"生成成长"),2))/((VLOOKUP($B137,INDIRECT($B$5&amp;"生成成长"),4))/(VLOOKUP(CS$72,INDIRECT($C$5&amp;"生成成长"),5))*(VLOOKUP($B$5,标准坦克设计!$B$24:$U$30,MATCH("对"&amp;LEFT($C$5,2)&amp;"输出",标准坦克设计!$B$23:$U$23,0)))*(VLOOKUP($B137,INDIRECT($B$5&amp;"生成成长"),3))*(VLOOKUP($B$5,标准坦克设计!$B$14:$K$20,9)/30))</f>
        <v>17.068404779393774</v>
      </c>
      <c r="CT137" s="173">
        <f ca="1">(VLOOKUP(CT$72,INDIRECT($C$5&amp;"生成成长"),2))/((VLOOKUP($B137,INDIRECT($B$5&amp;"生成成长"),4))/(VLOOKUP(CT$72,INDIRECT($C$5&amp;"生成成长"),5))*(VLOOKUP($B$5,标准坦克设计!$B$24:$U$30,MATCH("对"&amp;LEFT($C$5,2)&amp;"输出",标准坦克设计!$B$23:$U$23,0)))*(VLOOKUP($B137,INDIRECT($B$5&amp;"生成成长"),3))*(VLOOKUP($B$5,标准坦克设计!$B$14:$K$20,9)/30))</f>
        <v>18.401857713815687</v>
      </c>
      <c r="CU137" s="173">
        <f ca="1">(VLOOKUP(CU$72,INDIRECT($C$5&amp;"生成成长"),2))/((VLOOKUP($B137,INDIRECT($B$5&amp;"生成成长"),4))/(VLOOKUP(CU$72,INDIRECT($C$5&amp;"生成成长"),5))*(VLOOKUP($B$5,标准坦克设计!$B$24:$U$30,MATCH("对"&amp;LEFT($C$5,2)&amp;"输出",标准坦克设计!$B$23:$U$23,0)))*(VLOOKUP($B137,INDIRECT($B$5&amp;"生成成长"),3))*(VLOOKUP($B$5,标准坦克设计!$B$14:$K$20,9)/30))</f>
        <v>19.785457596198775</v>
      </c>
      <c r="CV137" s="173">
        <f ca="1">(VLOOKUP(CV$72,INDIRECT($C$5&amp;"生成成长"),2))/((VLOOKUP($B137,INDIRECT($B$5&amp;"生成成长"),4))/(VLOOKUP(CV$72,INDIRECT($C$5&amp;"生成成长"),5))*(VLOOKUP($B$5,标准坦克设计!$B$24:$U$30,MATCH("对"&amp;LEFT($C$5,2)&amp;"输出",标准坦克设计!$B$23:$U$23,0)))*(VLOOKUP($B137,INDIRECT($B$5&amp;"生成成长"),3))*(VLOOKUP($B$5,标准坦克设计!$B$14:$K$20,9)/30))</f>
        <v>21.219204426543026</v>
      </c>
      <c r="CW137" s="173">
        <f ca="1">(VLOOKUP(CW$72,INDIRECT($C$5&amp;"生成成长"),2))/((VLOOKUP($B137,INDIRECT($B$5&amp;"生成成长"),4))/(VLOOKUP(CW$72,INDIRECT($C$5&amp;"生成成长"),5))*(VLOOKUP($B$5,标准坦克设计!$B$24:$U$30,MATCH("对"&amp;LEFT($C$5,2)&amp;"输出",标准坦克设计!$B$23:$U$23,0)))*(VLOOKUP($B137,INDIRECT($B$5&amp;"生成成长"),3))*(VLOOKUP($B$5,标准坦克设计!$B$14:$K$20,9)/30))</f>
        <v>22.703098204848438</v>
      </c>
      <c r="CX137" s="173">
        <f ca="1">(VLOOKUP(CX$72,INDIRECT($C$5&amp;"生成成长"),2))/((VLOOKUP($B137,INDIRECT($B$5&amp;"生成成长"),4))/(VLOOKUP(CX$72,INDIRECT($C$5&amp;"生成成长"),5))*(VLOOKUP($B$5,标准坦克设计!$B$24:$U$30,MATCH("对"&amp;LEFT($C$5,2)&amp;"输出",标准坦克设计!$B$23:$U$23,0)))*(VLOOKUP($B137,INDIRECT($B$5&amp;"生成成长"),3))*(VLOOKUP($B$5,标准坦克设计!$B$14:$K$20,9)/30))</f>
        <v>24.23713893111502</v>
      </c>
      <c r="CY137" s="173">
        <f ca="1">(VLOOKUP(CY$72,INDIRECT($C$5&amp;"生成成长"),2))/((VLOOKUP($B137,INDIRECT($B$5&amp;"生成成长"),4))/(VLOOKUP(CY$72,INDIRECT($C$5&amp;"生成成长"),5))*(VLOOKUP($B$5,标准坦克设计!$B$24:$U$30,MATCH("对"&amp;LEFT($C$5,2)&amp;"输出",标准坦克设计!$B$23:$U$23,0)))*(VLOOKUP($B137,INDIRECT($B$5&amp;"生成成长"),3))*(VLOOKUP($B$5,标准坦克设计!$B$14:$K$20,9)/30))</f>
        <v>25.821326605342769</v>
      </c>
      <c r="CZ137" s="173">
        <f ca="1">(VLOOKUP(CZ$72,INDIRECT($C$5&amp;"生成成长"),2))/((VLOOKUP($B137,INDIRECT($B$5&amp;"生成成长"),4))/(VLOOKUP(CZ$72,INDIRECT($C$5&amp;"生成成长"),5))*(VLOOKUP($B$5,标准坦克设计!$B$24:$U$30,MATCH("对"&amp;LEFT($C$5,2)&amp;"输出",标准坦克设计!$B$23:$U$23,0)))*(VLOOKUP($B137,INDIRECT($B$5&amp;"生成成长"),3))*(VLOOKUP($B$5,标准坦克设计!$B$14:$K$20,9)/30))</f>
        <v>27.455661227531685</v>
      </c>
      <c r="DA137" s="173">
        <f ca="1">(VLOOKUP(DA$72,INDIRECT($C$5&amp;"生成成长"),2))/((VLOOKUP($B137,INDIRECT($B$5&amp;"生成成长"),4))/(VLOOKUP(DA$72,INDIRECT($C$5&amp;"生成成长"),5))*(VLOOKUP($B$5,标准坦克设计!$B$24:$U$30,MATCH("对"&amp;LEFT($C$5,2)&amp;"输出",标准坦克设计!$B$23:$U$23,0)))*(VLOOKUP($B137,INDIRECT($B$5&amp;"生成成长"),3))*(VLOOKUP($B$5,标准坦克设计!$B$14:$K$20,9)/30))</f>
        <v>29.140142797681765</v>
      </c>
      <c r="DB137" s="173">
        <f ca="1">(VLOOKUP(DB$72,INDIRECT($C$5&amp;"生成成长"),2))/((VLOOKUP($B137,INDIRECT($B$5&amp;"生成成长"),4))/(VLOOKUP(DB$72,INDIRECT($C$5&amp;"生成成长"),5))*(VLOOKUP($B$5,标准坦克设计!$B$24:$U$30,MATCH("对"&amp;LEFT($C$5,2)&amp;"输出",标准坦克设计!$B$23:$U$23,0)))*(VLOOKUP($B137,INDIRECT($B$5&amp;"生成成长"),3))*(VLOOKUP($B$5,标准坦克设计!$B$14:$K$20,9)/30))</f>
        <v>30.874771315793005</v>
      </c>
      <c r="DC137" s="173">
        <f ca="1">(VLOOKUP(DC$72,INDIRECT($C$5&amp;"生成成长"),2))/((VLOOKUP($B137,INDIRECT($B$5&amp;"生成成长"),4))/(VLOOKUP(DC$72,INDIRECT($C$5&amp;"生成成长"),5))*(VLOOKUP($B$5,标准坦克设计!$B$24:$U$30,MATCH("对"&amp;LEFT($C$5,2)&amp;"输出",标准坦克设计!$B$23:$U$23,0)))*(VLOOKUP($B137,INDIRECT($B$5&amp;"生成成长"),3))*(VLOOKUP($B$5,标准坦克设计!$B$14:$K$20,9)/30))</f>
        <v>32.824285722481648</v>
      </c>
      <c r="DD137" s="173">
        <f ca="1">(VLOOKUP(DD$72,INDIRECT($C$5&amp;"生成成长"),2))/((VLOOKUP($B137,INDIRECT($B$5&amp;"生成成长"),4))/(VLOOKUP(DD$72,INDIRECT($C$5&amp;"生成成长"),5))*(VLOOKUP($B$5,标准坦克设计!$B$24:$U$30,MATCH("对"&amp;LEFT($C$5,2)&amp;"输出",标准坦克设计!$B$23:$U$23,0)))*(VLOOKUP($B137,INDIRECT($B$5&amp;"生成成长"),3))*(VLOOKUP($B$5,标准坦克设计!$B$14:$K$20,9)/30))</f>
        <v>34.833479141619939</v>
      </c>
      <c r="DE137" s="173">
        <f ca="1">(VLOOKUP(DE$72,INDIRECT($C$5&amp;"生成成长"),2))/((VLOOKUP($B137,INDIRECT($B$5&amp;"生成成长"),4))/(VLOOKUP(DE$72,INDIRECT($C$5&amp;"生成成长"),5))*(VLOOKUP($B$5,标准坦克设计!$B$24:$U$30,MATCH("对"&amp;LEFT($C$5,2)&amp;"输出",标准坦克设计!$B$23:$U$23,0)))*(VLOOKUP($B137,INDIRECT($B$5&amp;"生成成长"),3))*(VLOOKUP($B$5,标准坦克设计!$B$14:$K$20,9)/30))</f>
        <v>36.902351573207888</v>
      </c>
      <c r="DF137" s="173">
        <f ca="1">(VLOOKUP(DF$72,INDIRECT($C$5&amp;"生成成长"),2))/((VLOOKUP($B137,INDIRECT($B$5&amp;"生成成长"),4))/(VLOOKUP(DF$72,INDIRECT($C$5&amp;"生成成长"),5))*(VLOOKUP($B$5,标准坦克设计!$B$24:$U$30,MATCH("对"&amp;LEFT($C$5,2)&amp;"输出",标准坦克设计!$B$23:$U$23,0)))*(VLOOKUP($B137,INDIRECT($B$5&amp;"生成成长"),3))*(VLOOKUP($B$5,标准坦克设计!$B$14:$K$20,9)/30))</f>
        <v>39.030903017245478</v>
      </c>
      <c r="DG137" s="173">
        <f ca="1">(VLOOKUP(DG$72,INDIRECT($C$5&amp;"生成成长"),2))/((VLOOKUP($B137,INDIRECT($B$5&amp;"生成成长"),4))/(VLOOKUP(DG$72,INDIRECT($C$5&amp;"生成成长"),5))*(VLOOKUP($B$5,标准坦克设计!$B$24:$U$30,MATCH("对"&amp;LEFT($C$5,2)&amp;"输出",标准坦克设计!$B$23:$U$23,0)))*(VLOOKUP($B137,INDIRECT($B$5&amp;"生成成长"),3))*(VLOOKUP($B$5,标准坦克设计!$B$14:$K$20,9)/30))</f>
        <v>41.219133473732732</v>
      </c>
      <c r="DH137" s="173">
        <f ca="1">(VLOOKUP(DH$72,INDIRECT($C$5&amp;"生成成长"),2))/((VLOOKUP($B137,INDIRECT($B$5&amp;"生成成长"),4))/(VLOOKUP(DH$72,INDIRECT($C$5&amp;"生成成长"),5))*(VLOOKUP($B$5,标准坦克设计!$B$24:$U$30,MATCH("对"&amp;LEFT($C$5,2)&amp;"输出",标准坦克设计!$B$23:$U$23,0)))*(VLOOKUP($B137,INDIRECT($B$5&amp;"生成成长"),3))*(VLOOKUP($B$5,标准坦克设计!$B$14:$K$20,9)/30))</f>
        <v>43.467042942669629</v>
      </c>
      <c r="DI137" s="173">
        <f ca="1">(VLOOKUP(DI$72,INDIRECT($C$5&amp;"生成成长"),2))/((VLOOKUP($B137,INDIRECT($B$5&amp;"生成成长"),4))/(VLOOKUP(DI$72,INDIRECT($C$5&amp;"生成成长"),5))*(VLOOKUP($B$5,标准坦克设计!$B$24:$U$30,MATCH("对"&amp;LEFT($C$5,2)&amp;"输出",标准坦克设计!$B$23:$U$23,0)))*(VLOOKUP($B137,INDIRECT($B$5&amp;"生成成长"),3))*(VLOOKUP($B$5,标准坦克设计!$B$14:$K$20,9)/30))</f>
        <v>45.774631424056182</v>
      </c>
      <c r="DJ137" s="173">
        <f ca="1">(VLOOKUP(DJ$72,INDIRECT($C$5&amp;"生成成长"),2))/((VLOOKUP($B137,INDIRECT($B$5&amp;"生成成长"),4))/(VLOOKUP(DJ$72,INDIRECT($C$5&amp;"生成成长"),5))*(VLOOKUP($B$5,标准坦克设计!$B$24:$U$30,MATCH("对"&amp;LEFT($C$5,2)&amp;"输出",标准坦克设计!$B$23:$U$23,0)))*(VLOOKUP($B137,INDIRECT($B$5&amp;"生成成长"),3))*(VLOOKUP($B$5,标准坦克设计!$B$14:$K$20,9)/30))</f>
        <v>4.6004644284539218</v>
      </c>
      <c r="DK137" s="173">
        <f ca="1">(VLOOKUP(DK$72,INDIRECT($C$5&amp;"生成成长"),2))/((VLOOKUP($B137,INDIRECT($B$5&amp;"生成成长"),4))/(VLOOKUP(DK$72,INDIRECT($C$5&amp;"生成成长"),5))*(VLOOKUP($B$5,标准坦克设计!$B$24:$U$30,MATCH("对"&amp;LEFT($C$5,2)&amp;"输出",标准坦克设计!$B$23:$U$23,0)))*(VLOOKUP($B137,INDIRECT($B$5&amp;"生成成长"),3))*(VLOOKUP($B$5,标准坦克设计!$B$14:$K$20,9)/30))</f>
        <v>5.1730099541427741</v>
      </c>
      <c r="DL137" s="173">
        <f ca="1">(VLOOKUP(DL$72,INDIRECT($C$5&amp;"生成成长"),2))/((VLOOKUP($B137,INDIRECT($B$5&amp;"生成成长"),4))/(VLOOKUP(DL$72,INDIRECT($C$5&amp;"生成成长"),5))*(VLOOKUP($B$5,标准坦克设计!$B$24:$U$30,MATCH("对"&amp;LEFT($C$5,2)&amp;"输出",标准坦克设计!$B$23:$U$23,0)))*(VLOOKUP($B137,INDIRECT($B$5&amp;"生成成长"),3))*(VLOOKUP($B$5,标准坦克设计!$B$14:$K$20,9)/30))</f>
        <v>5.7791249243345559</v>
      </c>
      <c r="DM137" s="173">
        <f ca="1">(VLOOKUP(DM$72,INDIRECT($C$5&amp;"生成成长"),2))/((VLOOKUP($B137,INDIRECT($B$5&amp;"生成成长"),4))/(VLOOKUP(DM$72,INDIRECT($C$5&amp;"生成成长"),5))*(VLOOKUP($B$5,标准坦克设计!$B$24:$U$30,MATCH("对"&amp;LEFT($C$5,2)&amp;"输出",标准坦克设计!$B$23:$U$23,0)))*(VLOOKUP($B137,INDIRECT($B$5&amp;"生成成长"),3))*(VLOOKUP($B$5,标准坦克设计!$B$14:$K$20,9)/30))</f>
        <v>6.4188093390292646</v>
      </c>
      <c r="DN137" s="173">
        <f ca="1">(VLOOKUP(DN$72,INDIRECT($C$5&amp;"生成成长"),2))/((VLOOKUP($B137,INDIRECT($B$5&amp;"生成成长"),4))/(VLOOKUP(DN$72,INDIRECT($C$5&amp;"生成成长"),5))*(VLOOKUP($B$5,标准坦克设计!$B$24:$U$30,MATCH("对"&amp;LEFT($C$5,2)&amp;"输出",标准坦克设计!$B$23:$U$23,0)))*(VLOOKUP($B137,INDIRECT($B$5&amp;"生成成长"),3))*(VLOOKUP($B$5,标准坦克设计!$B$14:$K$20,9)/30))</f>
        <v>7.0920631982269047</v>
      </c>
      <c r="DO137" s="173">
        <f ca="1">(VLOOKUP(DO$72,INDIRECT($C$5&amp;"生成成长"),2))/((VLOOKUP($B137,INDIRECT($B$5&amp;"生成成长"),4))/(VLOOKUP(DO$72,INDIRECT($C$5&amp;"生成成长"),5))*(VLOOKUP($B$5,标准坦克设计!$B$24:$U$30,MATCH("对"&amp;LEFT($C$5,2)&amp;"输出",标准坦克设计!$B$23:$U$23,0)))*(VLOOKUP($B137,INDIRECT($B$5&amp;"生成成长"),3))*(VLOOKUP($B$5,标准坦克设计!$B$14:$K$20,9)/30))</f>
        <v>7.7988865019274725</v>
      </c>
      <c r="DP137" s="173">
        <f ca="1">(VLOOKUP(DP$72,INDIRECT($C$5&amp;"生成成长"),2))/((VLOOKUP($B137,INDIRECT($B$5&amp;"生成成长"),4))/(VLOOKUP(DP$72,INDIRECT($C$5&amp;"生成成长"),5))*(VLOOKUP($B$5,标准坦克设计!$B$24:$U$30,MATCH("对"&amp;LEFT($C$5,2)&amp;"输出",标准坦克设计!$B$23:$U$23,0)))*(VLOOKUP($B137,INDIRECT($B$5&amp;"生成成长"),3))*(VLOOKUP($B$5,标准坦克设计!$B$14:$K$20,9)/30))</f>
        <v>8.5392792501309707</v>
      </c>
      <c r="DQ137" s="173">
        <f ca="1">(VLOOKUP(DQ$72,INDIRECT($C$5&amp;"生成成长"),2))/((VLOOKUP($B137,INDIRECT($B$5&amp;"生成成长"),4))/(VLOOKUP(DQ$72,INDIRECT($C$5&amp;"生成成长"),5))*(VLOOKUP($B$5,标准坦克设计!$B$24:$U$30,MATCH("对"&amp;LEFT($C$5,2)&amp;"输出",标准坦克设计!$B$23:$U$23,0)))*(VLOOKUP($B137,INDIRECT($B$5&amp;"生成成长"),3))*(VLOOKUP($B$5,标准坦克设计!$B$14:$K$20,9)/30))</f>
        <v>9.3132414428373984</v>
      </c>
      <c r="DR137" s="173">
        <f ca="1">(VLOOKUP(DR$72,INDIRECT($C$5&amp;"生成成长"),2))/((VLOOKUP($B137,INDIRECT($B$5&amp;"生成成长"),4))/(VLOOKUP(DR$72,INDIRECT($C$5&amp;"生成成长"),5))*(VLOOKUP($B$5,标准坦克设计!$B$24:$U$30,MATCH("对"&amp;LEFT($C$5,2)&amp;"输出",标准坦克设计!$B$23:$U$23,0)))*(VLOOKUP($B137,INDIRECT($B$5&amp;"生成成长"),3))*(VLOOKUP($B$5,标准坦克设计!$B$14:$K$20,9)/30))</f>
        <v>10.120773080046757</v>
      </c>
      <c r="DS137" s="173">
        <f ca="1">(VLOOKUP(DS$72,INDIRECT($C$5&amp;"生成成长"),2))/((VLOOKUP($B137,INDIRECT($B$5&amp;"生成成长"),4))/(VLOOKUP(DS$72,INDIRECT($C$5&amp;"生成成长"),5))*(VLOOKUP($B$5,标准坦克设计!$B$24:$U$30,MATCH("对"&amp;LEFT($C$5,2)&amp;"输出",标准坦克设计!$B$23:$U$23,0)))*(VLOOKUP($B137,INDIRECT($B$5&amp;"生成成长"),3))*(VLOOKUP($B$5,标准坦克设计!$B$14:$K$20,9)/30))</f>
        <v>10.961874161759042</v>
      </c>
      <c r="DT137" s="173">
        <f ca="1">(VLOOKUP(DT$72,INDIRECT($C$5&amp;"生成成长"),2))/((VLOOKUP($B137,INDIRECT($B$5&amp;"生成成长"),4))/(VLOOKUP(DT$72,INDIRECT($C$5&amp;"生成成长"),5))*(VLOOKUP($B$5,标准坦克设计!$B$24:$U$30,MATCH("对"&amp;LEFT($C$5,2)&amp;"输出",标准坦克设计!$B$23:$U$23,0)))*(VLOOKUP($B137,INDIRECT($B$5&amp;"生成成长"),3))*(VLOOKUP($B$5,标准坦克设计!$B$14:$K$20,9)/30))</f>
        <v>12.035474729473098</v>
      </c>
      <c r="DU137" s="173">
        <f ca="1">(VLOOKUP(DU$72,INDIRECT($C$5&amp;"生成成长"),2))/((VLOOKUP($B137,INDIRECT($B$5&amp;"生成成长"),4))/(VLOOKUP(DU$72,INDIRECT($C$5&amp;"生成成长"),5))*(VLOOKUP($B$5,标准坦克设计!$B$24:$U$30,MATCH("对"&amp;LEFT($C$5,2)&amp;"输出",标准坦克设计!$B$23:$U$23,0)))*(VLOOKUP($B137,INDIRECT($B$5&amp;"生成成长"),3))*(VLOOKUP($B$5,标准坦克设计!$B$14:$K$20,9)/30))</f>
        <v>13.159222245148321</v>
      </c>
      <c r="DV137" s="173">
        <f ca="1">(VLOOKUP(DV$72,INDIRECT($C$5&amp;"生成成长"),2))/((VLOOKUP($B137,INDIRECT($B$5&amp;"生成成长"),4))/(VLOOKUP(DV$72,INDIRECT($C$5&amp;"生成成长"),5))*(VLOOKUP($B$5,标准坦克设计!$B$24:$U$30,MATCH("对"&amp;LEFT($C$5,2)&amp;"输出",标准坦克设计!$B$23:$U$23,0)))*(VLOOKUP($B137,INDIRECT($B$5&amp;"生成成长"),3))*(VLOOKUP($B$5,标准坦克设计!$B$14:$K$20,9)/30))</f>
        <v>14.333116708784713</v>
      </c>
      <c r="DW137" s="173">
        <f ca="1">(VLOOKUP(DW$72,INDIRECT($C$5&amp;"生成成长"),2))/((VLOOKUP($B137,INDIRECT($B$5&amp;"生成成长"),4))/(VLOOKUP(DW$72,INDIRECT($C$5&amp;"生成成长"),5))*(VLOOKUP($B$5,标准坦克设计!$B$24:$U$30,MATCH("对"&amp;LEFT($C$5,2)&amp;"输出",标准坦克设计!$B$23:$U$23,0)))*(VLOOKUP($B137,INDIRECT($B$5&amp;"生成成长"),3))*(VLOOKUP($B$5,标准坦克设计!$B$14:$K$20,9)/30))</f>
        <v>15.557158120382264</v>
      </c>
      <c r="DX137" s="173">
        <f ca="1">(VLOOKUP(DX$72,INDIRECT($C$5&amp;"生成成长"),2))/((VLOOKUP($B137,INDIRECT($B$5&amp;"生成成长"),4))/(VLOOKUP(DX$72,INDIRECT($C$5&amp;"生成成长"),5))*(VLOOKUP($B$5,标准坦克设计!$B$24:$U$30,MATCH("对"&amp;LEFT($C$5,2)&amp;"输出",标准坦克设计!$B$23:$U$23,0)))*(VLOOKUP($B137,INDIRECT($B$5&amp;"生成成长"),3))*(VLOOKUP($B$5,标准坦克设计!$B$14:$K$20,9)/30))</f>
        <v>16.831346479940986</v>
      </c>
      <c r="DY137" s="173">
        <f ca="1">(VLOOKUP(DY$72,INDIRECT($C$5&amp;"生成成长"),2))/((VLOOKUP($B137,INDIRECT($B$5&amp;"生成成长"),4))/(VLOOKUP(DY$72,INDIRECT($C$5&amp;"生成成长"),5))*(VLOOKUP($B$5,标准坦克设计!$B$24:$U$30,MATCH("对"&amp;LEFT($C$5,2)&amp;"输出",标准坦克设计!$B$23:$U$23,0)))*(VLOOKUP($B137,INDIRECT($B$5&amp;"生成成长"),3))*(VLOOKUP($B$5,标准坦克设计!$B$14:$K$20,9)/30))</f>
        <v>7.5595487957491798</v>
      </c>
      <c r="DZ137" s="173">
        <f ca="1">(VLOOKUP(DZ$72,INDIRECT($C$5&amp;"生成成长"),2))/((VLOOKUP($B137,INDIRECT($B$5&amp;"生成成长"),4))/(VLOOKUP(DZ$72,INDIRECT($C$5&amp;"生成成长"),5))*(VLOOKUP($B$5,标准坦克设计!$B$24:$U$30,MATCH("对"&amp;LEFT($C$5,2)&amp;"输出",标准坦克设计!$B$23:$U$23,0)))*(VLOOKUP($B137,INDIRECT($B$5&amp;"生成成长"),3))*(VLOOKUP($B$5,标准坦克设计!$B$14:$K$20,9)/30))</f>
        <v>8.3718464652027791</v>
      </c>
      <c r="EA137" s="173">
        <f ca="1">(VLOOKUP(EA$72,INDIRECT($C$5&amp;"生成成长"),2))/((VLOOKUP($B137,INDIRECT($B$5&amp;"生成成长"),4))/(VLOOKUP(EA$72,INDIRECT($C$5&amp;"生成成长"),5))*(VLOOKUP($B$5,标准坦克设计!$B$24:$U$30,MATCH("对"&amp;LEFT($C$5,2)&amp;"输出",标准坦克设计!$B$23:$U$23,0)))*(VLOOKUP($B137,INDIRECT($B$5&amp;"生成成长"),3))*(VLOOKUP($B$5,标准坦克设计!$B$14:$K$20,9)/30))</f>
        <v>9.2255878933019719</v>
      </c>
      <c r="EB137" s="173">
        <f ca="1">(VLOOKUP(EB$72,INDIRECT($C$5&amp;"生成成长"),2))/((VLOOKUP($B137,INDIRECT($B$5&amp;"生成成长"),4))/(VLOOKUP(EB$72,INDIRECT($C$5&amp;"生成成长"),5))*(VLOOKUP($B$5,标准坦克设计!$B$24:$U$30,MATCH("对"&amp;LEFT($C$5,2)&amp;"输出",标准坦克设计!$B$23:$U$23,0)))*(VLOOKUP($B137,INDIRECT($B$5&amp;"生成成长"),3))*(VLOOKUP($B$5,标准坦克设计!$B$14:$K$20,9)/30))</f>
        <v>10.120773080046757</v>
      </c>
      <c r="EC137" s="173">
        <f ca="1">(VLOOKUP(EC$72,INDIRECT($C$5&amp;"生成成长"),2))/((VLOOKUP($B137,INDIRECT($B$5&amp;"生成成长"),4))/(VLOOKUP(EC$72,INDIRECT($C$5&amp;"生成成长"),5))*(VLOOKUP($B$5,标准坦克设计!$B$24:$U$30,MATCH("对"&amp;LEFT($C$5,2)&amp;"输出",标准坦克设计!$B$23:$U$23,0)))*(VLOOKUP($B137,INDIRECT($B$5&amp;"生成成长"),3))*(VLOOKUP($B$5,标准坦克设计!$B$14:$K$20,9)/30))</f>
        <v>11.057402025437129</v>
      </c>
      <c r="ED137" s="173">
        <f ca="1">(VLOOKUP(ED$72,INDIRECT($C$5&amp;"生成成长"),2))/((VLOOKUP($B137,INDIRECT($B$5&amp;"生成成长"),4))/(VLOOKUP(ED$72,INDIRECT($C$5&amp;"生成成长"),5))*(VLOOKUP($B$5,标准坦克设计!$B$24:$U$30,MATCH("对"&amp;LEFT($C$5,2)&amp;"输出",标准坦克设计!$B$23:$U$23,0)))*(VLOOKUP($B137,INDIRECT($B$5&amp;"生成成长"),3))*(VLOOKUP($B$5,标准坦克设计!$B$14:$K$20,9)/30))</f>
        <v>12.035474729473098</v>
      </c>
      <c r="EE137" s="173">
        <f ca="1">(VLOOKUP(EE$72,INDIRECT($C$5&amp;"生成成长"),2))/((VLOOKUP($B137,INDIRECT($B$5&amp;"生成成长"),4))/(VLOOKUP(EE$72,INDIRECT($C$5&amp;"生成成长"),5))*(VLOOKUP($B$5,标准坦克设计!$B$24:$U$30,MATCH("对"&amp;LEFT($C$5,2)&amp;"输出",标准坦克设计!$B$23:$U$23,0)))*(VLOOKUP($B137,INDIRECT($B$5&amp;"生成成长"),3))*(VLOOKUP($B$5,标准坦克设计!$B$14:$K$20,9)/30))</f>
        <v>13.054991192154654</v>
      </c>
      <c r="EF137" s="173">
        <f ca="1">(VLOOKUP(EF$72,INDIRECT($C$5&amp;"生成成长"),2))/((VLOOKUP($B137,INDIRECT($B$5&amp;"生成成长"),4))/(VLOOKUP(EF$72,INDIRECT($C$5&amp;"生成成长"),5))*(VLOOKUP($B$5,标准坦克设计!$B$24:$U$30,MATCH("对"&amp;LEFT($C$5,2)&amp;"输出",标准坦克设计!$B$23:$U$23,0)))*(VLOOKUP($B137,INDIRECT($B$5&amp;"生成成长"),3))*(VLOOKUP($B$5,标准坦克设计!$B$14:$K$20,9)/30))</f>
        <v>14.115951413481813</v>
      </c>
      <c r="EG137" s="173">
        <f ca="1">(VLOOKUP(EG$72,INDIRECT($C$5&amp;"生成成长"),2))/((VLOOKUP($B137,INDIRECT($B$5&amp;"生成成长"),4))/(VLOOKUP(EG$72,INDIRECT($C$5&amp;"生成成长"),5))*(VLOOKUP($B$5,标准坦克设计!$B$24:$U$30,MATCH("对"&amp;LEFT($C$5,2)&amp;"输出",标准坦克设计!$B$23:$U$23,0)))*(VLOOKUP($B137,INDIRECT($B$5&amp;"生成成长"),3))*(VLOOKUP($B$5,标准坦克设计!$B$14:$K$20,9)/30))</f>
        <v>15.218355393454551</v>
      </c>
      <c r="EH137" s="173">
        <f ca="1">(VLOOKUP(EH$72,INDIRECT($C$5&amp;"生成成长"),2))/((VLOOKUP($B137,INDIRECT($B$5&amp;"生成成长"),4))/(VLOOKUP(EH$72,INDIRECT($C$5&amp;"生成成长"),5))*(VLOOKUP($B$5,标准坦克设计!$B$24:$U$30,MATCH("对"&amp;LEFT($C$5,2)&amp;"输出",标准坦克设计!$B$23:$U$23,0)))*(VLOOKUP($B137,INDIRECT($B$5&amp;"生成成长"),3))*(VLOOKUP($B$5,标准坦克设计!$B$14:$K$20,9)/30))</f>
        <v>16.362203132072885</v>
      </c>
      <c r="EI137" s="173">
        <f ca="1">(VLOOKUP(EI$72,INDIRECT($C$5&amp;"生成成长"),2))/((VLOOKUP($B137,INDIRECT($B$5&amp;"生成成长"),4))/(VLOOKUP(EI$72,INDIRECT($C$5&amp;"生成成长"),5))*(VLOOKUP($B$5,标准坦克设计!$B$24:$U$30,MATCH("对"&amp;LEFT($C$5,2)&amp;"输出",标准坦克设计!$B$23:$U$23,0)))*(VLOOKUP($B137,INDIRECT($B$5&amp;"生成成长"),3))*(VLOOKUP($B$5,标准坦克设计!$B$14:$K$20,9)/30))</f>
        <v>17.547494629336814</v>
      </c>
      <c r="EJ137" s="173">
        <f ca="1">(VLOOKUP(EJ$72,INDIRECT($C$5&amp;"生成成长"),2))/((VLOOKUP($B137,INDIRECT($B$5&amp;"生成成长"),4))/(VLOOKUP(EJ$72,INDIRECT($C$5&amp;"生成成长"),5))*(VLOOKUP($B$5,标准坦克设计!$B$24:$U$30,MATCH("对"&amp;LEFT($C$5,2)&amp;"输出",标准坦克设计!$B$23:$U$23,0)))*(VLOOKUP($B137,INDIRECT($B$5&amp;"生成成长"),3))*(VLOOKUP($B$5,标准坦克设计!$B$14:$K$20,9)/30))</f>
        <v>18.774229885246331</v>
      </c>
      <c r="EK137" s="173">
        <f ca="1">(VLOOKUP(EK$72,INDIRECT($C$5&amp;"生成成长"),2))/((VLOOKUP($B137,INDIRECT($B$5&amp;"生成成长"),4))/(VLOOKUP(EK$72,INDIRECT($C$5&amp;"生成成长"),5))*(VLOOKUP($B$5,标准坦克设计!$B$24:$U$30,MATCH("对"&amp;LEFT($C$5,2)&amp;"输出",标准坦克设计!$B$23:$U$23,0)))*(VLOOKUP($B137,INDIRECT($B$5&amp;"生成成长"),3))*(VLOOKUP($B$5,标准坦克设计!$B$14:$K$20,9)/30))</f>
        <v>20.301017953749934</v>
      </c>
      <c r="EL137" s="173">
        <f ca="1">(VLOOKUP(EL$72,INDIRECT($C$5&amp;"生成成长"),2))/((VLOOKUP($B137,INDIRECT($B$5&amp;"生成成长"),4))/(VLOOKUP(EL$72,INDIRECT($C$5&amp;"生成成长"),5))*(VLOOKUP($B$5,标准坦克设计!$B$24:$U$30,MATCH("对"&amp;LEFT($C$5,2)&amp;"输出",标准坦克设计!$B$23:$U$23,0)))*(VLOOKUP($B137,INDIRECT($B$5&amp;"生成成长"),3))*(VLOOKUP($B$5,标准坦克设计!$B$14:$K$20,9)/30))</f>
        <v>21.887485034703193</v>
      </c>
      <c r="EM137" s="173">
        <f ca="1">(VLOOKUP(EM$72,INDIRECT($C$5&amp;"生成成长"),2))/((VLOOKUP($B137,INDIRECT($B$5&amp;"生成成长"),4))/(VLOOKUP(EM$72,INDIRECT($C$5&amp;"生成成长"),5))*(VLOOKUP($B$5,标准坦克设计!$B$24:$U$30,MATCH("对"&amp;LEFT($C$5,2)&amp;"输出",标准坦克设计!$B$23:$U$23,0)))*(VLOOKUP($B137,INDIRECT($B$5&amp;"生成成长"),3))*(VLOOKUP($B$5,标准坦克设计!$B$14:$K$20,9)/30))</f>
        <v>23.533631128106098</v>
      </c>
      <c r="EN137" s="173">
        <f ca="1">(VLOOKUP(EN$72,INDIRECT($C$5&amp;"生成成长"),2))/((VLOOKUP($B137,INDIRECT($B$5&amp;"生成成长"),4))/(VLOOKUP(EN$72,INDIRECT($C$5&amp;"生成成长"),5))*(VLOOKUP($B$5,标准坦克设计!$B$24:$U$30,MATCH("对"&amp;LEFT($C$5,2)&amp;"输出",标准坦克设计!$B$23:$U$23,0)))*(VLOOKUP($B137,INDIRECT($B$5&amp;"生成成长"),3))*(VLOOKUP($B$5,标准坦克设计!$B$14:$K$20,9)/30))</f>
        <v>25.239456233958656</v>
      </c>
      <c r="EO137" s="173">
        <f ca="1">(VLOOKUP(EO$72,INDIRECT($C$5&amp;"生成成长"),2))/((VLOOKUP($B137,INDIRECT($B$5&amp;"生成成长"),4))/(VLOOKUP(EO$72,INDIRECT($C$5&amp;"生成成长"),5))*(VLOOKUP($B$5,标准坦克设计!$B$24:$U$30,MATCH("对"&amp;LEFT($C$5,2)&amp;"输出",标准坦克设计!$B$23:$U$23,0)))*(VLOOKUP($B137,INDIRECT($B$5&amp;"生成成长"),3))*(VLOOKUP($B$5,标准坦克设计!$B$14:$K$20,9)/30))</f>
        <v>27.00496035226087</v>
      </c>
      <c r="EP137" s="173">
        <f ca="1">(VLOOKUP(EP$72,INDIRECT($C$5&amp;"生成成长"),2))/((VLOOKUP($B137,INDIRECT($B$5&amp;"生成成长"),4))/(VLOOKUP(EP$72,INDIRECT($C$5&amp;"生成成长"),5))*(VLOOKUP($B$5,标准坦克设计!$B$24:$U$30,MATCH("对"&amp;LEFT($C$5,2)&amp;"输出",标准坦克设计!$B$23:$U$23,0)))*(VLOOKUP($B137,INDIRECT($B$5&amp;"生成成长"),3))*(VLOOKUP($B$5,标准坦克设计!$B$14:$K$20,9)/30))</f>
        <v>28.830143483012741</v>
      </c>
      <c r="EQ137" s="173">
        <f ca="1">(VLOOKUP(EQ$72,INDIRECT($C$5&amp;"生成成长"),2))/((VLOOKUP($B137,INDIRECT($B$5&amp;"生成成长"),4))/(VLOOKUP(EQ$72,INDIRECT($C$5&amp;"生成成长"),5))*(VLOOKUP($B$5,标准坦克设计!$B$24:$U$30,MATCH("对"&amp;LEFT($C$5,2)&amp;"输出",标准坦克设计!$B$23:$U$23,0)))*(VLOOKUP($B137,INDIRECT($B$5&amp;"生成成长"),3))*(VLOOKUP($B$5,标准坦克设计!$B$14:$K$20,9)/30))</f>
        <v>12.744784658692401</v>
      </c>
      <c r="ER137" s="173">
        <f ca="1">(VLOOKUP(ER$72,INDIRECT($C$5&amp;"生成成长"),2))/((VLOOKUP($B137,INDIRECT($B$5&amp;"生成成长"),4))/(VLOOKUP(ER$72,INDIRECT($C$5&amp;"生成成长"),5))*(VLOOKUP($B$5,标准坦克设计!$B$24:$U$30,MATCH("对"&amp;LEFT($C$5,2)&amp;"输出",标准坦克设计!$B$23:$U$23,0)))*(VLOOKUP($B137,INDIRECT($B$5&amp;"生成成长"),3))*(VLOOKUP($B$5,标准坦克设计!$B$14:$K$20,9)/30))</f>
        <v>13.90044386852473</v>
      </c>
      <c r="ES137" s="173">
        <f ca="1">(VLOOKUP(ES$72,INDIRECT($C$5&amp;"生成成长"),2))/((VLOOKUP($B137,INDIRECT($B$5&amp;"生成成长"),4))/(VLOOKUP(ES$72,INDIRECT($C$5&amp;"生成成长"),5))*(VLOOKUP($B$5,标准坦克设计!$B$24:$U$30,MATCH("对"&amp;LEFT($C$5,2)&amp;"输出",标准坦克设计!$B$23:$U$23,0)))*(VLOOKUP($B137,INDIRECT($B$5&amp;"生成成长"),3))*(VLOOKUP($B$5,标准坦克设计!$B$14:$K$20,9)/30))</f>
        <v>15.106250026318227</v>
      </c>
      <c r="ET137" s="173">
        <f ca="1">(VLOOKUP(ET$72,INDIRECT($C$5&amp;"生成成长"),2))/((VLOOKUP($B137,INDIRECT($B$5&amp;"生成成长"),4))/(VLOOKUP(ET$72,INDIRECT($C$5&amp;"生成成长"),5))*(VLOOKUP($B$5,标准坦克设计!$B$24:$U$30,MATCH("对"&amp;LEFT($C$5,2)&amp;"输出",标准坦克设计!$B$23:$U$23,0)))*(VLOOKUP($B137,INDIRECT($B$5&amp;"生成成长"),3))*(VLOOKUP($B$5,标准坦克设计!$B$14:$K$20,9)/30))</f>
        <v>16.362203132072885</v>
      </c>
      <c r="EU137" s="173">
        <f ca="1">(VLOOKUP(EU$72,INDIRECT($C$5&amp;"生成成长"),2))/((VLOOKUP($B137,INDIRECT($B$5&amp;"生成成长"),4))/(VLOOKUP(EU$72,INDIRECT($C$5&amp;"生成成长"),5))*(VLOOKUP($B$5,标准坦克设计!$B$24:$U$30,MATCH("对"&amp;LEFT($C$5,2)&amp;"输出",标准坦克设计!$B$23:$U$23,0)))*(VLOOKUP($B137,INDIRECT($B$5&amp;"生成成长"),3))*(VLOOKUP($B$5,标准坦克设计!$B$14:$K$20,9)/30))</f>
        <v>17.668303185788716</v>
      </c>
      <c r="EV137" s="173">
        <f ca="1">(VLOOKUP(EV$72,INDIRECT($C$5&amp;"生成成长"),2))/((VLOOKUP($B137,INDIRECT($B$5&amp;"生成成长"),4))/(VLOOKUP(EV$72,INDIRECT($C$5&amp;"生成成长"),5))*(VLOOKUP($B$5,标准坦克设计!$B$24:$U$30,MATCH("对"&amp;LEFT($C$5,2)&amp;"输出",标准坦克设计!$B$23:$U$23,0)))*(VLOOKUP($B137,INDIRECT($B$5&amp;"生成成长"),3))*(VLOOKUP($B$5,标准坦克设计!$B$14:$K$20,9)/30))</f>
        <v>19.024550187465707</v>
      </c>
      <c r="EW137" s="173">
        <f ca="1">(VLOOKUP(EW$72,INDIRECT($C$5&amp;"生成成长"),2))/((VLOOKUP($B137,INDIRECT($B$5&amp;"生成成长"),4))/(VLOOKUP(EW$72,INDIRECT($C$5&amp;"生成成长"),5))*(VLOOKUP($B$5,标准坦克设计!$B$24:$U$30,MATCH("对"&amp;LEFT($C$5,2)&amp;"输出",标准坦克设计!$B$23:$U$23,0)))*(VLOOKUP($B137,INDIRECT($B$5&amp;"生成成长"),3))*(VLOOKUP($B$5,标准坦克设计!$B$14:$K$20,9)/30))</f>
        <v>20.430944137103864</v>
      </c>
      <c r="EX137" s="173">
        <f ca="1">(VLOOKUP(EX$72,INDIRECT($C$5&amp;"生成成长"),2))/((VLOOKUP($B137,INDIRECT($B$5&amp;"生成成长"),4))/(VLOOKUP(EX$72,INDIRECT($C$5&amp;"生成成长"),5))*(VLOOKUP($B$5,标准坦克设计!$B$24:$U$30,MATCH("对"&amp;LEFT($C$5,2)&amp;"输出",标准坦克设计!$B$23:$U$23,0)))*(VLOOKUP($B137,INDIRECT($B$5&amp;"生成成长"),3))*(VLOOKUP($B$5,标准坦克设计!$B$14:$K$20,9)/30))</f>
        <v>21.887485034703193</v>
      </c>
      <c r="EY137" s="173">
        <f ca="1">(VLOOKUP(EY$72,INDIRECT($C$5&amp;"生成成长"),2))/((VLOOKUP($B137,INDIRECT($B$5&amp;"生成成长"),4))/(VLOOKUP(EY$72,INDIRECT($C$5&amp;"生成成长"),5))*(VLOOKUP($B$5,标准坦克设计!$B$24:$U$30,MATCH("对"&amp;LEFT($C$5,2)&amp;"输出",标准坦克设计!$B$23:$U$23,0)))*(VLOOKUP($B137,INDIRECT($B$5&amp;"生成成长"),3))*(VLOOKUP($B$5,标准坦克设计!$B$14:$K$20,9)/30))</f>
        <v>23.394172880263682</v>
      </c>
      <c r="EZ137" s="173">
        <f ca="1">(VLOOKUP(EZ$72,INDIRECT($C$5&amp;"生成成长"),2))/((VLOOKUP($B137,INDIRECT($B$5&amp;"生成成长"),4))/(VLOOKUP(EZ$72,INDIRECT($C$5&amp;"生成成长"),5))*(VLOOKUP($B$5,标准坦克设计!$B$24:$U$30,MATCH("对"&amp;LEFT($C$5,2)&amp;"输出",标准坦克设计!$B$23:$U$23,0)))*(VLOOKUP($B137,INDIRECT($B$5&amp;"生成成长"),3))*(VLOOKUP($B$5,标准坦克设计!$B$14:$K$20,9)/30))</f>
        <v>24.951007673785341</v>
      </c>
      <c r="FA137" s="173">
        <f ca="1">(VLOOKUP(FA$72,INDIRECT($C$5&amp;"生成成长"),2))/((VLOOKUP($B137,INDIRECT($B$5&amp;"生成成长"),4))/(VLOOKUP(FA$72,INDIRECT($C$5&amp;"生成成长"),5))*(VLOOKUP($B$5,标准坦克设计!$B$24:$U$30,MATCH("对"&amp;LEFT($C$5,2)&amp;"输出",标准坦克设计!$B$23:$U$23,0)))*(VLOOKUP($B137,INDIRECT($B$5&amp;"生成成长"),3))*(VLOOKUP($B$5,标准坦克设计!$B$14:$K$20,9)/30))</f>
        <v>26.557989415268164</v>
      </c>
      <c r="FB137" s="173">
        <f ca="1">(VLOOKUP(FB$72,INDIRECT($C$5&amp;"生成成长"),2))/((VLOOKUP($B137,INDIRECT($B$5&amp;"生成成长"),4))/(VLOOKUP(FB$72,INDIRECT($C$5&amp;"生成成长"),5))*(VLOOKUP($B$5,标准坦克设计!$B$24:$U$30,MATCH("对"&amp;LEFT($C$5,2)&amp;"输出",标准坦克设计!$B$23:$U$23,0)))*(VLOOKUP($B137,INDIRECT($B$5&amp;"生成成长"),3))*(VLOOKUP($B$5,标准坦克设计!$B$14:$K$20,9)/30))</f>
        <v>28.21511810471215</v>
      </c>
      <c r="FC137" s="173">
        <f ca="1">(VLOOKUP(FC$72,INDIRECT($C$5&amp;"生成成长"),2))/((VLOOKUP($B137,INDIRECT($B$5&amp;"生成成长"),4))/(VLOOKUP(FC$72,INDIRECT($C$5&amp;"生成成长"),5))*(VLOOKUP($B$5,标准坦克设计!$B$24:$U$30,MATCH("对"&amp;LEFT($C$5,2)&amp;"输出",标准坦克设计!$B$23:$U$23,0)))*(VLOOKUP($B137,INDIRECT($B$5&amp;"生成成长"),3))*(VLOOKUP($B$5,标准坦克设计!$B$14:$K$20,9)/30))</f>
        <v>29.922393742117304</v>
      </c>
      <c r="FD137" s="173">
        <f ca="1">(VLOOKUP(FD$72,INDIRECT($C$5&amp;"生成成长"),2))/((VLOOKUP($B137,INDIRECT($B$5&amp;"生成成长"),4))/(VLOOKUP(FD$72,INDIRECT($C$5&amp;"生成成长"),5))*(VLOOKUP($B$5,标准坦克设计!$B$24:$U$30,MATCH("对"&amp;LEFT($C$5,2)&amp;"输出",标准坦克设计!$B$23:$U$23,0)))*(VLOOKUP($B137,INDIRECT($B$5&amp;"生成成长"),3))*(VLOOKUP($B$5,标准坦克设计!$B$14:$K$20,9)/30))</f>
        <v>31.679816327483632</v>
      </c>
      <c r="FE137" s="173">
        <f ca="1">(VLOOKUP(FE$72,INDIRECT($C$5&amp;"生成成长"),2))/((VLOOKUP($B137,INDIRECT($B$5&amp;"生成成长"),4))/(VLOOKUP(FE$72,INDIRECT($C$5&amp;"生成成长"),5))*(VLOOKUP($B$5,标准坦克设计!$B$24:$U$30,MATCH("对"&amp;LEFT($C$5,2)&amp;"输出",标准坦克设计!$B$23:$U$23,0)))*(VLOOKUP($B137,INDIRECT($B$5&amp;"生成成长"),3))*(VLOOKUP($B$5,标准坦克设计!$B$14:$K$20,9)/30))</f>
        <v>33.821422555494593</v>
      </c>
      <c r="FF137" s="173">
        <f ca="1">(VLOOKUP(FF$72,INDIRECT($C$5&amp;"生成成长"),2))/((VLOOKUP($B137,INDIRECT($B$5&amp;"生成成长"),4))/(VLOOKUP(FF$72,INDIRECT($C$5&amp;"生成成长"),5))*(VLOOKUP($B$5,标准坦克设计!$B$24:$U$30,MATCH("对"&amp;LEFT($C$5,2)&amp;"输出",标准坦克设计!$B$23:$U$23,0)))*(VLOOKUP($B137,INDIRECT($B$5&amp;"生成成长"),3))*(VLOOKUP($B$5,标准坦克设计!$B$14:$K$20,9)/30))</f>
        <v>36.033068735616602</v>
      </c>
      <c r="FG137" s="173">
        <f ca="1">(VLOOKUP(FG$72,INDIRECT($C$5&amp;"生成成长"),2))/((VLOOKUP($B137,INDIRECT($B$5&amp;"生成成长"),4))/(VLOOKUP(FG$72,INDIRECT($C$5&amp;"生成成长"),5))*(VLOOKUP($B$5,标准坦克设计!$B$24:$U$30,MATCH("对"&amp;LEFT($C$5,2)&amp;"输出",标准坦克设计!$B$23:$U$23,0)))*(VLOOKUP($B137,INDIRECT($B$5&amp;"生成成长"),3))*(VLOOKUP($B$5,标准坦克设计!$B$14:$K$20,9)/30))</f>
        <v>38.314754867849658</v>
      </c>
      <c r="FH137" s="173">
        <f ca="1">(VLOOKUP(FH$72,INDIRECT($C$5&amp;"生成成长"),2))/((VLOOKUP($B137,INDIRECT($B$5&amp;"生成成长"),4))/(VLOOKUP(FH$72,INDIRECT($C$5&amp;"生成成长"),5))*(VLOOKUP($B$5,标准坦克设计!$B$24:$U$30,MATCH("对"&amp;LEFT($C$5,2)&amp;"输出",标准坦克设计!$B$23:$U$23,0)))*(VLOOKUP($B137,INDIRECT($B$5&amp;"生成成长"),3))*(VLOOKUP($B$5,标准坦克设计!$B$14:$K$20,9)/30))</f>
        <v>40.666480952193766</v>
      </c>
      <c r="FI137" s="173">
        <f ca="1">(VLOOKUP(FI$72,INDIRECT($C$5&amp;"生成成长"),2))/((VLOOKUP($B137,INDIRECT($B$5&amp;"生成成长"),4))/(VLOOKUP(FI$72,INDIRECT($C$5&amp;"生成成长"),5))*(VLOOKUP($B$5,标准坦克设计!$B$24:$U$30,MATCH("对"&amp;LEFT($C$5,2)&amp;"输出",标准坦克设计!$B$23:$U$23,0)))*(VLOOKUP($B137,INDIRECT($B$5&amp;"生成成长"),3))*(VLOOKUP($B$5,标准坦克设计!$B$14:$K$20,9)/30))</f>
        <v>43.088246988648926</v>
      </c>
      <c r="FJ137" s="173">
        <f ca="1">(VLOOKUP(FJ$72,INDIRECT($C$5&amp;"生成成长"),2))/((VLOOKUP($B137,INDIRECT($B$5&amp;"生成成长"),4))/(VLOOKUP(FJ$72,INDIRECT($C$5&amp;"生成成长"),5))*(VLOOKUP($B$5,标准坦克设计!$B$24:$U$30,MATCH("对"&amp;LEFT($C$5,2)&amp;"输出",标准坦克设计!$B$23:$U$23,0)))*(VLOOKUP($B137,INDIRECT($B$5&amp;"生成成长"),3))*(VLOOKUP($B$5,标准坦克设计!$B$14:$K$20,9)/30))</f>
        <v>45.580052977215132</v>
      </c>
      <c r="FK137" s="173">
        <f ca="1">(VLOOKUP(FK$72,INDIRECT($C$5&amp;"生成成长"),2))/((VLOOKUP($B137,INDIRECT($B$5&amp;"生成成长"),4))/(VLOOKUP(FK$72,INDIRECT($C$5&amp;"生成成长"),5))*(VLOOKUP($B$5,标准坦克设计!$B$24:$U$30,MATCH("对"&amp;LEFT($C$5,2)&amp;"输出",标准坦克设计!$B$23:$U$23,0)))*(VLOOKUP($B137,INDIRECT($B$5&amp;"生成成长"),3))*(VLOOKUP($B$5,标准坦克设计!$B$14:$K$20,9)/30))</f>
        <v>48.141898917892391</v>
      </c>
    </row>
    <row r="138" spans="1:167" x14ac:dyDescent="0.15">
      <c r="A138" s="171" t="str">
        <f t="shared" ref="A138:A201" si="12">"T"&amp;LEFT(RIGHT(B138,3),1)&amp;""&amp;IF(LEFT(B138,1)="1","低品质",IF(LEFT(B138,1)="2","中品质","高品质"))&amp;""&amp;IF(LEFT(RIGHT(B138,2),1)="0",RIGHT(B138,1),RIGHT(B138,2))&amp;"级"</f>
        <v>T3中品质9级</v>
      </c>
      <c r="B138" s="172">
        <v>20309</v>
      </c>
      <c r="C138" s="173">
        <f ca="1">(VLOOKUP(C$72,INDIRECT($C$5&amp;"生成成长"),2))/((VLOOKUP($B138,INDIRECT($B$5&amp;"生成成长"),4))/(VLOOKUP(C$72,INDIRECT($C$5&amp;"生成成长"),5))*(VLOOKUP($B$5,标准坦克设计!$B$24:$U$30,MATCH("对"&amp;LEFT($C$5,2)&amp;"输出",标准坦克设计!$B$23:$U$23,0)))*(VLOOKUP($B138,INDIRECT($B$5&amp;"生成成长"),3))*(VLOOKUP($B$5,标准坦克设计!$B$14:$K$20,9)/30))</f>
        <v>1.9067166350404567</v>
      </c>
      <c r="D138" s="173">
        <f ca="1">(VLOOKUP(D$72,INDIRECT($C$5&amp;"生成成长"),2))/((VLOOKUP($B138,INDIRECT($B$5&amp;"生成成长"),4))/(VLOOKUP(D$72,INDIRECT($C$5&amp;"生成成长"),5))*(VLOOKUP($B$5,标准坦克设计!$B$24:$U$30,MATCH("对"&amp;LEFT($C$5,2)&amp;"输出",标准坦克设计!$B$23:$U$23,0)))*(VLOOKUP($B138,INDIRECT($B$5&amp;"生成成长"),3))*(VLOOKUP($B$5,标准坦克设计!$B$14:$K$20,9)/30))</f>
        <v>2.1423868111314568</v>
      </c>
      <c r="E138" s="173">
        <f ca="1">(VLOOKUP(E$72,INDIRECT($C$5&amp;"生成成长"),2))/((VLOOKUP($B138,INDIRECT($B$5&amp;"生成成长"),4))/(VLOOKUP(E$72,INDIRECT($C$5&amp;"生成成长"),5))*(VLOOKUP($B$5,标准坦克设计!$B$24:$U$30,MATCH("对"&amp;LEFT($C$5,2)&amp;"输出",标准坦克设计!$B$23:$U$23,0)))*(VLOOKUP($B138,INDIRECT($B$5&amp;"生成成长"),3))*(VLOOKUP($B$5,标准坦克设计!$B$14:$K$20,9)/30))</f>
        <v>2.3917853469947485</v>
      </c>
      <c r="F138" s="173">
        <f ca="1">(VLOOKUP(F$72,INDIRECT($C$5&amp;"生成成长"),2))/((VLOOKUP($B138,INDIRECT($B$5&amp;"生成成长"),4))/(VLOOKUP(F$72,INDIRECT($C$5&amp;"生成成长"),5))*(VLOOKUP($B$5,标准坦克设计!$B$24:$U$30,MATCH("对"&amp;LEFT($C$5,2)&amp;"输出",标准坦克设计!$B$23:$U$23,0)))*(VLOOKUP($B138,INDIRECT($B$5&amp;"生成成长"),3))*(VLOOKUP($B$5,标准坦克设计!$B$14:$K$20,9)/30))</f>
        <v>2.6549122426303318</v>
      </c>
      <c r="G138" s="173">
        <f ca="1">(VLOOKUP(G$72,INDIRECT($C$5&amp;"生成成长"),2))/((VLOOKUP($B138,INDIRECT($B$5&amp;"生成成长"),4))/(VLOOKUP(G$72,INDIRECT($C$5&amp;"生成成长"),5))*(VLOOKUP($B$5,标准坦克设计!$B$24:$U$30,MATCH("对"&amp;LEFT($C$5,2)&amp;"输出",标准坦克设计!$B$23:$U$23,0)))*(VLOOKUP($B138,INDIRECT($B$5&amp;"生成成长"),3))*(VLOOKUP($B$5,标准坦克设计!$B$14:$K$20,9)/30))</f>
        <v>2.931767498038206</v>
      </c>
      <c r="H138" s="173">
        <f ca="1">(VLOOKUP(H$72,INDIRECT($C$5&amp;"生成成长"),2))/((VLOOKUP($B138,INDIRECT($B$5&amp;"生成成长"),4))/(VLOOKUP(H$72,INDIRECT($C$5&amp;"生成成长"),5))*(VLOOKUP($B$5,标准坦克设计!$B$24:$U$30,MATCH("对"&amp;LEFT($C$5,2)&amp;"输出",标准坦克设计!$B$23:$U$23,0)))*(VLOOKUP($B138,INDIRECT($B$5&amp;"生成成长"),3))*(VLOOKUP($B$5,标准坦克设计!$B$14:$K$20,9)/30))</f>
        <v>2.5656779041104385</v>
      </c>
      <c r="I138" s="173">
        <f ca="1">(VLOOKUP(I$72,INDIRECT($C$5&amp;"生成成长"),2))/((VLOOKUP($B138,INDIRECT($B$5&amp;"生成成长"),4))/(VLOOKUP(I$72,INDIRECT($C$5&amp;"生成成长"),5))*(VLOOKUP($B$5,标准坦克设计!$B$24:$U$30,MATCH("对"&amp;LEFT($C$5,2)&amp;"输出",标准坦克设计!$B$23:$U$23,0)))*(VLOOKUP($B138,INDIRECT($B$5&amp;"生成成长"),3))*(VLOOKUP($B$5,标准坦克设计!$B$14:$K$20,9)/30))</f>
        <v>2.931767498038206</v>
      </c>
      <c r="J138" s="173">
        <f ca="1">(VLOOKUP(J$72,INDIRECT($C$5&amp;"生成成长"),2))/((VLOOKUP($B138,INDIRECT($B$5&amp;"生成成长"),4))/(VLOOKUP(J$72,INDIRECT($C$5&amp;"生成成长"),5))*(VLOOKUP($B$5,标准坦克设计!$B$24:$U$30,MATCH("对"&amp;LEFT($C$5,2)&amp;"输出",标准坦克设计!$B$23:$U$23,0)))*(VLOOKUP($B138,INDIRECT($B$5&amp;"生成成长"),3))*(VLOOKUP($B$5,标准坦克设计!$B$14:$K$20,9)/30))</f>
        <v>3.322263064894492</v>
      </c>
      <c r="K138" s="173">
        <f ca="1">(VLOOKUP(K$72,INDIRECT($C$5&amp;"生成成长"),2))/((VLOOKUP($B138,INDIRECT($B$5&amp;"生成成长"),4))/(VLOOKUP(K$72,INDIRECT($C$5&amp;"生成成长"),5))*(VLOOKUP($B$5,标准坦克设计!$B$24:$U$30,MATCH("对"&amp;LEFT($C$5,2)&amp;"输出",标准坦克设计!$B$23:$U$23,0)))*(VLOOKUP($B138,INDIRECT($B$5&amp;"生成成长"),3))*(VLOOKUP($B$5,标准坦克设计!$B$14:$K$20,9)/30))</f>
        <v>3.7371646046792955</v>
      </c>
      <c r="L138" s="173">
        <f ca="1">(VLOOKUP(L$72,INDIRECT($C$5&amp;"生成成长"),2))/((VLOOKUP($B138,INDIRECT($B$5&amp;"生成成长"),4))/(VLOOKUP(L$72,INDIRECT($C$5&amp;"生成成长"),5))*(VLOOKUP($B$5,标准坦克设计!$B$24:$U$30,MATCH("对"&amp;LEFT($C$5,2)&amp;"输出",标准坦克设计!$B$23:$U$23,0)))*(VLOOKUP($B138,INDIRECT($B$5&amp;"生成成长"),3))*(VLOOKUP($B$5,标准坦克设计!$B$14:$K$20,9)/30))</f>
        <v>4.176472117392616</v>
      </c>
      <c r="M138" s="173">
        <f ca="1">(VLOOKUP(M$72,INDIRECT($C$5&amp;"生成成长"),2))/((VLOOKUP($B138,INDIRECT($B$5&amp;"生成成长"),4))/(VLOOKUP(M$72,INDIRECT($C$5&amp;"生成成长"),5))*(VLOOKUP($B$5,标准坦克设计!$B$24:$U$30,MATCH("对"&amp;LEFT($C$5,2)&amp;"输出",标准坦克设计!$B$23:$U$23,0)))*(VLOOKUP($B138,INDIRECT($B$5&amp;"生成成长"),3))*(VLOOKUP($B$5,标准坦克设计!$B$14:$K$20,9)/30))</f>
        <v>4.640185603034455</v>
      </c>
      <c r="N138" s="173">
        <f ca="1">(VLOOKUP(N$72,INDIRECT($C$5&amp;"生成成长"),2))/((VLOOKUP($B138,INDIRECT($B$5&amp;"生成成长"),4))/(VLOOKUP(N$72,INDIRECT($C$5&amp;"生成成长"),5))*(VLOOKUP($B$5,标准坦克设计!$B$24:$U$30,MATCH("对"&amp;LEFT($C$5,2)&amp;"输出",标准坦克设计!$B$23:$U$23,0)))*(VLOOKUP($B138,INDIRECT($B$5&amp;"生成成长"),3))*(VLOOKUP($B$5,标准坦克设计!$B$14:$K$20,9)/30))</f>
        <v>5.128305061604812</v>
      </c>
      <c r="O138" s="173">
        <f ca="1">(VLOOKUP(O$72,INDIRECT($C$5&amp;"生成成长"),2))/((VLOOKUP($B138,INDIRECT($B$5&amp;"生成成长"),4))/(VLOOKUP(O$72,INDIRECT($C$5&amp;"生成成长"),5))*(VLOOKUP($B$5,标准坦克设计!$B$24:$U$30,MATCH("对"&amp;LEFT($C$5,2)&amp;"输出",标准坦克设计!$B$23:$U$23,0)))*(VLOOKUP($B138,INDIRECT($B$5&amp;"生成成长"),3))*(VLOOKUP($B$5,标准坦克设计!$B$14:$K$20,9)/30))</f>
        <v>3.8990448469942307</v>
      </c>
      <c r="P138" s="173">
        <f ca="1">(VLOOKUP(P$72,INDIRECT($C$5&amp;"生成成长"),2))/((VLOOKUP($B138,INDIRECT($B$5&amp;"生成成长"),4))/(VLOOKUP(P$72,INDIRECT($C$5&amp;"生成成长"),5))*(VLOOKUP($B$5,标准坦克设计!$B$24:$U$30,MATCH("对"&amp;LEFT($C$5,2)&amp;"输出",标准坦克设计!$B$23:$U$23,0)))*(VLOOKUP($B138,INDIRECT($B$5&amp;"生成成长"),3))*(VLOOKUP($B$5,标准坦克设计!$B$14:$K$20,9)/30))</f>
        <v>4.4052781135974719</v>
      </c>
      <c r="Q138" s="173">
        <f ca="1">(VLOOKUP(Q$72,INDIRECT($C$5&amp;"生成成长"),2))/((VLOOKUP($B138,INDIRECT($B$5&amp;"生成成长"),4))/(VLOOKUP(Q$72,INDIRECT($C$5&amp;"生成成长"),5))*(VLOOKUP($B$5,标准坦克设计!$B$24:$U$30,MATCH("对"&amp;LEFT($C$5,2)&amp;"输出",标准坦克设计!$B$23:$U$23,0)))*(VLOOKUP($B138,INDIRECT($B$5&amp;"生成成长"),3))*(VLOOKUP($B$5,标准坦克设计!$B$14:$K$20,9)/30))</f>
        <v>4.9424001896883674</v>
      </c>
      <c r="R138" s="173">
        <f ca="1">(VLOOKUP(R$72,INDIRECT($C$5&amp;"生成成长"),2))/((VLOOKUP($B138,INDIRECT($B$5&amp;"生成成长"),4))/(VLOOKUP(R$72,INDIRECT($C$5&amp;"生成成长"),5))*(VLOOKUP($B$5,标准坦克设计!$B$24:$U$30,MATCH("对"&amp;LEFT($C$5,2)&amp;"输出",标准坦克设计!$B$23:$U$23,0)))*(VLOOKUP($B138,INDIRECT($B$5&amp;"生成成长"),3))*(VLOOKUP($B$5,标准坦克设计!$B$14:$K$20,9)/30))</f>
        <v>5.5104110752669202</v>
      </c>
      <c r="S138" s="173">
        <f ca="1">(VLOOKUP(S$72,INDIRECT($C$5&amp;"生成成长"),2))/((VLOOKUP($B138,INDIRECT($B$5&amp;"生成成长"),4))/(VLOOKUP(S$72,INDIRECT($C$5&amp;"生成成长"),5))*(VLOOKUP($B$5,标准坦克设计!$B$24:$U$30,MATCH("对"&amp;LEFT($C$5,2)&amp;"输出",标准坦克设计!$B$23:$U$23,0)))*(VLOOKUP($B138,INDIRECT($B$5&amp;"生成成长"),3))*(VLOOKUP($B$5,标准坦克设计!$B$14:$K$20,9)/30))</f>
        <v>6.1093107703331277</v>
      </c>
      <c r="T138" s="173">
        <f ca="1">(VLOOKUP(T$72,INDIRECT($C$5&amp;"生成成长"),2))/((VLOOKUP($B138,INDIRECT($B$5&amp;"生成成长"),4))/(VLOOKUP(T$72,INDIRECT($C$5&amp;"生成成长"),5))*(VLOOKUP($B$5,标准坦克设计!$B$24:$U$30,MATCH("对"&amp;LEFT($C$5,2)&amp;"输出",标准坦克设计!$B$23:$U$23,0)))*(VLOOKUP($B138,INDIRECT($B$5&amp;"生成成长"),3))*(VLOOKUP($B$5,标准坦克设计!$B$14:$K$20,9)/30))</f>
        <v>6.73909927488699</v>
      </c>
      <c r="U138" s="173">
        <f ca="1">(VLOOKUP(U$72,INDIRECT($C$5&amp;"生成成长"),2))/((VLOOKUP($B138,INDIRECT($B$5&amp;"生成成长"),4))/(VLOOKUP(U$72,INDIRECT($C$5&amp;"生成成长"),5))*(VLOOKUP($B$5,标准坦克设计!$B$24:$U$30,MATCH("对"&amp;LEFT($C$5,2)&amp;"输出",标准坦克设计!$B$23:$U$23,0)))*(VLOOKUP($B138,INDIRECT($B$5&amp;"生成成长"),3))*(VLOOKUP($B$5,标准坦克设计!$B$14:$K$20,9)/30))</f>
        <v>7.3997765889285079</v>
      </c>
      <c r="V138" s="173">
        <f ca="1">(VLOOKUP(V$72,INDIRECT($C$5&amp;"生成成长"),2))/((VLOOKUP($B138,INDIRECT($B$5&amp;"生成成长"),4))/(VLOOKUP(V$72,INDIRECT($C$5&amp;"生成成长"),5))*(VLOOKUP($B$5,标准坦克设计!$B$24:$U$30,MATCH("对"&amp;LEFT($C$5,2)&amp;"输出",标准坦克设计!$B$23:$U$23,0)))*(VLOOKUP($B138,INDIRECT($B$5&amp;"生成成长"),3))*(VLOOKUP($B$5,标准坦克设计!$B$14:$K$20,9)/30))</f>
        <v>8.0913427124576831</v>
      </c>
      <c r="W138" s="173">
        <f ca="1">(VLOOKUP(W$72,INDIRECT($C$5&amp;"生成成长"),2))/((VLOOKUP($B138,INDIRECT($B$5&amp;"生成成长"),4))/(VLOOKUP(W$72,INDIRECT($C$5&amp;"生成成长"),5))*(VLOOKUP($B$5,标准坦克设计!$B$24:$U$30,MATCH("对"&amp;LEFT($C$5,2)&amp;"输出",标准坦克设计!$B$23:$U$23,0)))*(VLOOKUP($B138,INDIRECT($B$5&amp;"生成成长"),3))*(VLOOKUP($B$5,标准坦克设计!$B$14:$K$20,9)/30))</f>
        <v>8.8137976454745104</v>
      </c>
      <c r="X138" s="173">
        <f ca="1">(VLOOKUP(X$72,INDIRECT($C$5&amp;"生成成长"),2))/((VLOOKUP($B138,INDIRECT($B$5&amp;"生成成长"),4))/(VLOOKUP(X$72,INDIRECT($C$5&amp;"生成成长"),5))*(VLOOKUP($B$5,标准坦克设计!$B$24:$U$30,MATCH("对"&amp;LEFT($C$5,2)&amp;"输出",标准坦克设计!$B$23:$U$23,0)))*(VLOOKUP($B138,INDIRECT($B$5&amp;"生成成长"),3))*(VLOOKUP($B$5,标准坦克设计!$B$14:$K$20,9)/30))</f>
        <v>6.3854033390869853</v>
      </c>
      <c r="Y138" s="173">
        <f ca="1">(VLOOKUP(Y$72,INDIRECT($C$5&amp;"生成成长"),2))/((VLOOKUP($B138,INDIRECT($B$5&amp;"生成成长"),4))/(VLOOKUP(Y$72,INDIRECT($C$5&amp;"生成成长"),5))*(VLOOKUP($B$5,标准坦克设计!$B$24:$U$30,MATCH("对"&amp;LEFT($C$5,2)&amp;"输出",标准坦克设计!$B$23:$U$23,0)))*(VLOOKUP($B138,INDIRECT($B$5&amp;"生成成长"),3))*(VLOOKUP($B$5,标准坦克设计!$B$14:$K$20,9)/30))</f>
        <v>7.1023287938621973</v>
      </c>
      <c r="Z138" s="173">
        <f ca="1">(VLOOKUP(Z$72,INDIRECT($C$5&amp;"生成成长"),2))/((VLOOKUP($B138,INDIRECT($B$5&amp;"生成成长"),4))/(VLOOKUP(Z$72,INDIRECT($C$5&amp;"生成成长"),5))*(VLOOKUP($B$5,标准坦克设计!$B$24:$U$30,MATCH("对"&amp;LEFT($C$5,2)&amp;"输出",标准坦克设计!$B$23:$U$23,0)))*(VLOOKUP($B138,INDIRECT($B$5&amp;"生成成长"),3))*(VLOOKUP($B$5,标准坦克设计!$B$14:$K$20,9)/30))</f>
        <v>7.8573885813382169</v>
      </c>
      <c r="AA138" s="173">
        <f ca="1">(VLOOKUP(AA$72,INDIRECT($C$5&amp;"生成成长"),2))/((VLOOKUP($B138,INDIRECT($B$5&amp;"生成成长"),4))/(VLOOKUP(AA$72,INDIRECT($C$5&amp;"生成成长"),5))*(VLOOKUP($B$5,标准坦克设计!$B$24:$U$30,MATCH("对"&amp;LEFT($C$5,2)&amp;"输出",标准坦克设计!$B$23:$U$23,0)))*(VLOOKUP($B138,INDIRECT($B$5&amp;"生成成长"),3))*(VLOOKUP($B$5,标准坦克设计!$B$14:$K$20,9)/30))</f>
        <v>8.6505827015150487</v>
      </c>
      <c r="AB138" s="173">
        <f ca="1">(VLOOKUP(AB$72,INDIRECT($C$5&amp;"生成成长"),2))/((VLOOKUP($B138,INDIRECT($B$5&amp;"生成成长"),4))/(VLOOKUP(AB$72,INDIRECT($C$5&amp;"生成成长"),5))*(VLOOKUP($B$5,标准坦克设计!$B$24:$U$30,MATCH("对"&amp;LEFT($C$5,2)&amp;"输出",标准坦克设计!$B$23:$U$23,0)))*(VLOOKUP($B138,INDIRECT($B$5&amp;"生成成长"),3))*(VLOOKUP($B$5,标准坦克设计!$B$14:$K$20,9)/30))</f>
        <v>9.4819111543926873</v>
      </c>
      <c r="AC138" s="173">
        <f ca="1">(VLOOKUP(AC$72,INDIRECT($C$5&amp;"生成成长"),2))/((VLOOKUP($B138,INDIRECT($B$5&amp;"生成成长"),4))/(VLOOKUP(AC$72,INDIRECT($C$5&amp;"生成成长"),5))*(VLOOKUP($B$5,标准坦克设计!$B$24:$U$30,MATCH("对"&amp;LEFT($C$5,2)&amp;"输出",标准坦克设计!$B$23:$U$23,0)))*(VLOOKUP($B138,INDIRECT($B$5&amp;"生成成长"),3))*(VLOOKUP($B$5,标准坦克设计!$B$14:$K$20,9)/30))</f>
        <v>10.351373939971136</v>
      </c>
      <c r="AD138" s="173">
        <f ca="1">(VLOOKUP(AD$72,INDIRECT($C$5&amp;"生成成长"),2))/((VLOOKUP($B138,INDIRECT($B$5&amp;"生成成长"),4))/(VLOOKUP(AD$72,INDIRECT($C$5&amp;"生成成长"),5))*(VLOOKUP($B$5,标准坦克设计!$B$24:$U$30,MATCH("对"&amp;LEFT($C$5,2)&amp;"输出",标准坦克设计!$B$23:$U$23,0)))*(VLOOKUP($B138,INDIRECT($B$5&amp;"生成成长"),3))*(VLOOKUP($B$5,标准坦克设计!$B$14:$K$20,9)/30))</f>
        <v>11.25897105825039</v>
      </c>
      <c r="AE138" s="173">
        <f ca="1">(VLOOKUP(AE$72,INDIRECT($C$5&amp;"生成成长"),2))/((VLOOKUP($B138,INDIRECT($B$5&amp;"生成成长"),4))/(VLOOKUP(AE$72,INDIRECT($C$5&amp;"生成成长"),5))*(VLOOKUP($B$5,标准坦克设计!$B$24:$U$30,MATCH("对"&amp;LEFT($C$5,2)&amp;"输出",标准坦克设计!$B$23:$U$23,0)))*(VLOOKUP($B138,INDIRECT($B$5&amp;"生成成长"),3))*(VLOOKUP($B$5,标准坦克设计!$B$14:$K$20,9)/30))</f>
        <v>12.204702509230458</v>
      </c>
      <c r="AF138" s="173">
        <f ca="1">(VLOOKUP(AF$72,INDIRECT($C$5&amp;"生成成长"),2))/((VLOOKUP($B138,INDIRECT($B$5&amp;"生成成长"),4))/(VLOOKUP(AF$72,INDIRECT($C$5&amp;"生成成长"),5))*(VLOOKUP($B$5,标准坦克设计!$B$24:$U$30,MATCH("对"&amp;LEFT($C$5,2)&amp;"输出",标准坦克设计!$B$23:$U$23,0)))*(VLOOKUP($B138,INDIRECT($B$5&amp;"生成成长"),3))*(VLOOKUP($B$5,标准坦克设计!$B$14:$K$20,9)/30))</f>
        <v>13.188568292911336</v>
      </c>
      <c r="AG138" s="173">
        <f ca="1">(VLOOKUP(AG$72,INDIRECT($C$5&amp;"生成成长"),2))/((VLOOKUP($B138,INDIRECT($B$5&amp;"生成成长"),4))/(VLOOKUP(AG$72,INDIRECT($C$5&amp;"生成成长"),5))*(VLOOKUP($B$5,标准坦克设计!$B$24:$U$30,MATCH("对"&amp;LEFT($C$5,2)&amp;"输出",标准坦克设计!$B$23:$U$23,0)))*(VLOOKUP($B138,INDIRECT($B$5&amp;"生成成长"),3))*(VLOOKUP($B$5,标准坦克设计!$B$14:$K$20,9)/30))</f>
        <v>14.210568409293019</v>
      </c>
      <c r="AH138" s="173">
        <f ca="1">(VLOOKUP(AH$72,INDIRECT($C$5&amp;"生成成长"),2))/((VLOOKUP($B138,INDIRECT($B$5&amp;"生成成长"),4))/(VLOOKUP(AH$72,INDIRECT($C$5&amp;"生成成长"),5))*(VLOOKUP($B$5,标准坦克设计!$B$24:$U$30,MATCH("对"&amp;LEFT($C$5,2)&amp;"输出",标准坦克设计!$B$23:$U$23,0)))*(VLOOKUP($B138,INDIRECT($B$5&amp;"生成成长"),3))*(VLOOKUP($B$5,标准坦克设计!$B$14:$K$20,9)/30))</f>
        <v>15.270702858375513</v>
      </c>
      <c r="AI138" s="173">
        <f ca="1">(VLOOKUP(AI$72,INDIRECT($C$5&amp;"生成成长"),2))/((VLOOKUP($B138,INDIRECT($B$5&amp;"生成成长"),4))/(VLOOKUP(AI$72,INDIRECT($C$5&amp;"生成成长"),5))*(VLOOKUP($B$5,标准坦克设计!$B$24:$U$30,MATCH("对"&amp;LEFT($C$5,2)&amp;"输出",标准坦克设计!$B$23:$U$23,0)))*(VLOOKUP($B138,INDIRECT($B$5&amp;"生成成长"),3))*(VLOOKUP($B$5,标准坦克设计!$B$14:$K$20,9)/30))</f>
        <v>10.800405707523161</v>
      </c>
      <c r="AJ138" s="173">
        <f ca="1">(VLOOKUP(AJ$72,INDIRECT($C$5&amp;"生成成长"),2))/((VLOOKUP($B138,INDIRECT($B$5&amp;"生成成长"),4))/(VLOOKUP(AJ$72,INDIRECT($C$5&amp;"生成成长"),5))*(VLOOKUP($B$5,标准坦克设计!$B$24:$U$30,MATCH("对"&amp;LEFT($C$5,2)&amp;"输出",标准坦克设计!$B$23:$U$23,0)))*(VLOOKUP($B138,INDIRECT($B$5&amp;"生成成长"),3))*(VLOOKUP($B$5,标准坦克设计!$B$14:$K$20,9)/30))</f>
        <v>11.821833808914334</v>
      </c>
      <c r="AK138" s="173">
        <f ca="1">(VLOOKUP(AK$72,INDIRECT($C$5&amp;"生成成长"),2))/((VLOOKUP($B138,INDIRECT($B$5&amp;"生成成长"),4))/(VLOOKUP(AK$72,INDIRECT($C$5&amp;"生成成长"),5))*(VLOOKUP($B$5,标准坦克设计!$B$24:$U$30,MATCH("对"&amp;LEFT($C$5,2)&amp;"输出",标准坦克设计!$B$23:$U$23,0)))*(VLOOKUP($B138,INDIRECT($B$5&amp;"生成成长"),3))*(VLOOKUP($B$5,标准坦克设计!$B$14:$K$20,9)/30))</f>
        <v>12.889404452873487</v>
      </c>
      <c r="AL138" s="173">
        <f ca="1">(VLOOKUP(AL$72,INDIRECT($C$5&amp;"生成成长"),2))/((VLOOKUP($B138,INDIRECT($B$5&amp;"生成成长"),4))/(VLOOKUP(AL$72,INDIRECT($C$5&amp;"生成成长"),5))*(VLOOKUP($B$5,标准坦克设计!$B$24:$U$30,MATCH("对"&amp;LEFT($C$5,2)&amp;"输出",标准坦克设计!$B$23:$U$23,0)))*(VLOOKUP($B138,INDIRECT($B$5&amp;"生成成长"),3))*(VLOOKUP($B$5,标准坦克设计!$B$14:$K$20,9)/30))</f>
        <v>14.003117639400619</v>
      </c>
      <c r="AM138" s="173">
        <f ca="1">(VLOOKUP(AM$72,INDIRECT($C$5&amp;"生成成长"),2))/((VLOOKUP($B138,INDIRECT($B$5&amp;"生成成长"),4))/(VLOOKUP(AM$72,INDIRECT($C$5&amp;"生成成长"),5))*(VLOOKUP($B$5,标准坦克设计!$B$24:$U$30,MATCH("对"&amp;LEFT($C$5,2)&amp;"输出",标准坦克设计!$B$23:$U$23,0)))*(VLOOKUP($B138,INDIRECT($B$5&amp;"生成成长"),3))*(VLOOKUP($B$5,标准坦克设计!$B$14:$K$20,9)/30))</f>
        <v>15.162973368495727</v>
      </c>
      <c r="AN138" s="173">
        <f ca="1">(VLOOKUP(AN$72,INDIRECT($C$5&amp;"生成成长"),2))/((VLOOKUP($B138,INDIRECT($B$5&amp;"生成成长"),4))/(VLOOKUP(AN$72,INDIRECT($C$5&amp;"生成成长"),5))*(VLOOKUP($B$5,标准坦克设计!$B$24:$U$30,MATCH("对"&amp;LEFT($C$5,2)&amp;"输出",标准坦克设计!$B$23:$U$23,0)))*(VLOOKUP($B138,INDIRECT($B$5&amp;"生成成长"),3))*(VLOOKUP($B$5,标准坦克设计!$B$14:$K$20,9)/30))</f>
        <v>16.368971640158819</v>
      </c>
      <c r="AO138" s="173">
        <f ca="1">(VLOOKUP(AO$72,INDIRECT($C$5&amp;"生成成长"),2))/((VLOOKUP($B138,INDIRECT($B$5&amp;"生成成长"),4))/(VLOOKUP(AO$72,INDIRECT($C$5&amp;"生成成长"),5))*(VLOOKUP($B$5,标准坦克设计!$B$24:$U$30,MATCH("对"&amp;LEFT($C$5,2)&amp;"输出",标准坦克设计!$B$23:$U$23,0)))*(VLOOKUP($B138,INDIRECT($B$5&amp;"生成成长"),3))*(VLOOKUP($B$5,标准坦克设计!$B$14:$K$20,9)/30))</f>
        <v>17.621112454389888</v>
      </c>
      <c r="AP138" s="173">
        <f ca="1">(VLOOKUP(AP$72,INDIRECT($C$5&amp;"生成成长"),2))/((VLOOKUP($B138,INDIRECT($B$5&amp;"生成成长"),4))/(VLOOKUP(AP$72,INDIRECT($C$5&amp;"生成成长"),5))*(VLOOKUP($B$5,标准坦克设计!$B$24:$U$30,MATCH("对"&amp;LEFT($C$5,2)&amp;"输出",标准坦克设计!$B$23:$U$23,0)))*(VLOOKUP($B138,INDIRECT($B$5&amp;"生成成长"),3))*(VLOOKUP($B$5,标准坦克设计!$B$14:$K$20,9)/30))</f>
        <v>18.919395811188931</v>
      </c>
      <c r="AQ138" s="173">
        <f ca="1">(VLOOKUP(AQ$72,INDIRECT($C$5&amp;"生成成长"),2))/((VLOOKUP($B138,INDIRECT($B$5&amp;"生成成长"),4))/(VLOOKUP(AQ$72,INDIRECT($C$5&amp;"生成成长"),5))*(VLOOKUP($B$5,标准坦克设计!$B$24:$U$30,MATCH("对"&amp;LEFT($C$5,2)&amp;"输出",标准坦克设计!$B$23:$U$23,0)))*(VLOOKUP($B138,INDIRECT($B$5&amp;"生成成长"),3))*(VLOOKUP($B$5,标准坦克设计!$B$14:$K$20,9)/30))</f>
        <v>20.263821710555955</v>
      </c>
      <c r="AR138" s="173">
        <f ca="1">(VLOOKUP(AR$72,INDIRECT($C$5&amp;"生成成长"),2))/((VLOOKUP($B138,INDIRECT($B$5&amp;"生成成长"),4))/(VLOOKUP(AR$72,INDIRECT($C$5&amp;"生成成长"),5))*(VLOOKUP($B$5,标准坦克设计!$B$24:$U$30,MATCH("对"&amp;LEFT($C$5,2)&amp;"输出",标准坦克设计!$B$23:$U$23,0)))*(VLOOKUP($B138,INDIRECT($B$5&amp;"生成成长"),3))*(VLOOKUP($B$5,标准坦克设计!$B$14:$K$20,9)/30))</f>
        <v>21.654390152490961</v>
      </c>
      <c r="AS138" s="173">
        <f ca="1">(VLOOKUP(AS$72,INDIRECT($C$5&amp;"生成成长"),2))/((VLOOKUP($B138,INDIRECT($B$5&amp;"生成成长"),4))/(VLOOKUP(AS$72,INDIRECT($C$5&amp;"生成成长"),5))*(VLOOKUP($B$5,标准坦克设计!$B$24:$U$30,MATCH("对"&amp;LEFT($C$5,2)&amp;"输出",标准坦克设计!$B$23:$U$23,0)))*(VLOOKUP($B138,INDIRECT($B$5&amp;"生成成长"),3))*(VLOOKUP($B$5,标准坦克设计!$B$14:$K$20,9)/30))</f>
        <v>23.091101136993949</v>
      </c>
      <c r="AT138" s="173">
        <f ca="1">(VLOOKUP(AT$72,INDIRECT($C$5&amp;"生成成长"),2))/((VLOOKUP($B138,INDIRECT($B$5&amp;"生成成长"),4))/(VLOOKUP(AT$72,INDIRECT($C$5&amp;"生成成长"),5))*(VLOOKUP($B$5,标准坦克设计!$B$24:$U$30,MATCH("对"&amp;LEFT($C$5,2)&amp;"输出",标准坦克设计!$B$23:$U$23,0)))*(VLOOKUP($B138,INDIRECT($B$5&amp;"生成成长"),3))*(VLOOKUP($B$5,标准坦克设计!$B$14:$K$20,9)/30))</f>
        <v>24.573954664064907</v>
      </c>
      <c r="AU138" s="173">
        <f ca="1">(VLOOKUP(AU$72,INDIRECT($C$5&amp;"生成成长"),2))/((VLOOKUP($B138,INDIRECT($B$5&amp;"生成成长"),4))/(VLOOKUP(AU$72,INDIRECT($C$5&amp;"生成成长"),5))*(VLOOKUP($B$5,标准坦克设计!$B$24:$U$30,MATCH("对"&amp;LEFT($C$5,2)&amp;"输出",标准坦克设计!$B$23:$U$23,0)))*(VLOOKUP($B138,INDIRECT($B$5&amp;"生成成长"),3))*(VLOOKUP($B$5,标准坦克设计!$B$14:$K$20,9)/30))</f>
        <v>26.10295073370385</v>
      </c>
      <c r="AV138" s="173">
        <f ca="1">(VLOOKUP(AV$72,INDIRECT($C$5&amp;"生成成长"),2))/((VLOOKUP($B138,INDIRECT($B$5&amp;"生成成长"),4))/(VLOOKUP(AV$72,INDIRECT($C$5&amp;"生成成长"),5))*(VLOOKUP($B$5,标准坦克设计!$B$24:$U$30,MATCH("对"&amp;LEFT($C$5,2)&amp;"输出",标准坦克设计!$B$23:$U$23,0)))*(VLOOKUP($B138,INDIRECT($B$5&amp;"生成成长"),3))*(VLOOKUP($B$5,标准坦克设计!$B$14:$K$20,9)/30))</f>
        <v>2.6549122426303318</v>
      </c>
      <c r="AW138" s="173">
        <f ca="1">(VLOOKUP(AW$72,INDIRECT($C$5&amp;"生成成长"),2))/((VLOOKUP($B138,INDIRECT($B$5&amp;"生成成长"),4))/(VLOOKUP(AW$72,INDIRECT($C$5&amp;"生成成长"),5))*(VLOOKUP($B$5,标准坦克设计!$B$24:$U$30,MATCH("对"&amp;LEFT($C$5,2)&amp;"输出",标准坦克设计!$B$23:$U$23,0)))*(VLOOKUP($B138,INDIRECT($B$5&amp;"生成成长"),3))*(VLOOKUP($B$5,标准坦克设计!$B$14:$K$20,9)/30))</f>
        <v>3.0271033297902288</v>
      </c>
      <c r="AX138" s="173">
        <f ca="1">(VLOOKUP(AX$72,INDIRECT($C$5&amp;"生成成长"),2))/((VLOOKUP($B138,INDIRECT($B$5&amp;"生成成长"),4))/(VLOOKUP(AX$72,INDIRECT($C$5&amp;"生成成长"),5))*(VLOOKUP($B$5,标准坦克设计!$B$24:$U$30,MATCH("对"&amp;LEFT($C$5,2)&amp;"输出",标准坦克设计!$B$23:$U$23,0)))*(VLOOKUP($B138,INDIRECT($B$5&amp;"生成成长"),3))*(VLOOKUP($B$5,标准坦克设计!$B$14:$K$20,9)/30))</f>
        <v>3.4237003898786442</v>
      </c>
      <c r="AY138" s="173">
        <f ca="1">(VLOOKUP(AY$72,INDIRECT($C$5&amp;"生成成长"),2))/((VLOOKUP($B138,INDIRECT($B$5&amp;"生成成长"),4))/(VLOOKUP(AY$72,INDIRECT($C$5&amp;"生成成长"),5))*(VLOOKUP($B$5,标准坦克设计!$B$24:$U$30,MATCH("对"&amp;LEFT($C$5,2)&amp;"输出",标准坦克设计!$B$23:$U$23,0)))*(VLOOKUP($B138,INDIRECT($B$5&amp;"生成成长"),3))*(VLOOKUP($B$5,标准坦克设计!$B$14:$K$20,9)/30))</f>
        <v>3.8447034228955772</v>
      </c>
      <c r="AZ138" s="173">
        <f ca="1">(VLOOKUP(AZ$72,INDIRECT($C$5&amp;"生成成长"),2))/((VLOOKUP($B138,INDIRECT($B$5&amp;"生成成长"),4))/(VLOOKUP(AZ$72,INDIRECT($C$5&amp;"生成成长"),5))*(VLOOKUP($B$5,标准坦克设计!$B$24:$U$30,MATCH("对"&amp;LEFT($C$5,2)&amp;"输出",标准坦克设计!$B$23:$U$23,0)))*(VLOOKUP($B138,INDIRECT($B$5&amp;"生成成长"),3))*(VLOOKUP($B$5,标准坦克设计!$B$14:$K$20,9)/30))</f>
        <v>4.2901124288410273</v>
      </c>
      <c r="BA138" s="173">
        <f ca="1">(VLOOKUP(BA$72,INDIRECT($C$5&amp;"生成成长"),2))/((VLOOKUP($B138,INDIRECT($B$5&amp;"生成成长"),4))/(VLOOKUP(BA$72,INDIRECT($C$5&amp;"生成成长"),5))*(VLOOKUP($B$5,标准坦克设计!$B$24:$U$30,MATCH("对"&amp;LEFT($C$5,2)&amp;"输出",标准坦克设计!$B$23:$U$23,0)))*(VLOOKUP($B138,INDIRECT($B$5&amp;"生成成长"),3))*(VLOOKUP($B$5,标准坦克设计!$B$14:$K$20,9)/30))</f>
        <v>4.7599274077149962</v>
      </c>
      <c r="BB138" s="173">
        <f ca="1">(VLOOKUP(BB$72,INDIRECT($C$5&amp;"生成成长"),2))/((VLOOKUP($B138,INDIRECT($B$5&amp;"生成成长"),4))/(VLOOKUP(BB$72,INDIRECT($C$5&amp;"生成成长"),5))*(VLOOKUP($B$5,标准坦克设计!$B$24:$U$30,MATCH("对"&amp;LEFT($C$5,2)&amp;"输出",标准坦克设计!$B$23:$U$23,0)))*(VLOOKUP($B138,INDIRECT($B$5&amp;"生成成长"),3))*(VLOOKUP($B$5,标准坦克设计!$B$14:$K$20,9)/30))</f>
        <v>5.2541483595174832</v>
      </c>
      <c r="BC138" s="173">
        <f ca="1">(VLOOKUP(BC$72,INDIRECT($C$5&amp;"生成成长"),2))/((VLOOKUP($B138,INDIRECT($B$5&amp;"生成成长"),4))/(VLOOKUP(BC$72,INDIRECT($C$5&amp;"生成成长"),5))*(VLOOKUP($B$5,标准坦克设计!$B$24:$U$30,MATCH("对"&amp;LEFT($C$5,2)&amp;"输出",标准坦克设计!$B$23:$U$23,0)))*(VLOOKUP($B138,INDIRECT($B$5&amp;"生成成长"),3))*(VLOOKUP($B$5,标准坦克设计!$B$14:$K$20,9)/30))</f>
        <v>5.7727752842484872</v>
      </c>
      <c r="BD138" s="173">
        <f ca="1">(VLOOKUP(BD$72,INDIRECT($C$5&amp;"生成成长"),2))/((VLOOKUP($B138,INDIRECT($B$5&amp;"生成成长"),4))/(VLOOKUP(BD$72,INDIRECT($C$5&amp;"生成成长"),5))*(VLOOKUP($B$5,标准坦克设计!$B$24:$U$30,MATCH("对"&amp;LEFT($C$5,2)&amp;"输出",标准坦克设计!$B$23:$U$23,0)))*(VLOOKUP($B138,INDIRECT($B$5&amp;"生成成长"),3))*(VLOOKUP($B$5,标准坦克设计!$B$14:$K$20,9)/30))</f>
        <v>6.3854033390869853</v>
      </c>
      <c r="BE138" s="173">
        <f ca="1">(VLOOKUP(BE$72,INDIRECT($C$5&amp;"生成成长"),2))/((VLOOKUP($B138,INDIRECT($B$5&amp;"生成成长"),4))/(VLOOKUP(BE$72,INDIRECT($C$5&amp;"生成成长"),5))*(VLOOKUP($B$5,标准坦克设计!$B$24:$U$30,MATCH("对"&amp;LEFT($C$5,2)&amp;"输出",标准坦克设计!$B$23:$U$23,0)))*(VLOOKUP($B138,INDIRECT($B$5&amp;"生成成长"),3))*(VLOOKUP($B$5,标准坦克设计!$B$14:$K$20,9)/30))</f>
        <v>7.0289202034131391</v>
      </c>
      <c r="BF138" s="173">
        <f ca="1">(VLOOKUP(BF$72,INDIRECT($C$5&amp;"生成成长"),2))/((VLOOKUP($B138,INDIRECT($B$5&amp;"生成成长"),4))/(VLOOKUP(BF$72,INDIRECT($C$5&amp;"生成成长"),5))*(VLOOKUP($B$5,标准坦克设计!$B$24:$U$30,MATCH("对"&amp;LEFT($C$5,2)&amp;"输出",标准坦克设计!$B$23:$U$23,0)))*(VLOOKUP($B138,INDIRECT($B$5&amp;"生成成长"),3))*(VLOOKUP($B$5,标准坦克设计!$B$14:$K$20,9)/30))</f>
        <v>7.7033258772269493</v>
      </c>
      <c r="BG138" s="173">
        <f ca="1">(VLOOKUP(BG$72,INDIRECT($C$5&amp;"生成成长"),2))/((VLOOKUP($B138,INDIRECT($B$5&amp;"生成成长"),4))/(VLOOKUP(BG$72,INDIRECT($C$5&amp;"生成成长"),5))*(VLOOKUP($B$5,标准坦克设计!$B$24:$U$30,MATCH("对"&amp;LEFT($C$5,2)&amp;"输出",标准坦克设计!$B$23:$U$23,0)))*(VLOOKUP($B138,INDIRECT($B$5&amp;"生成成长"),3))*(VLOOKUP($B$5,标准坦克设计!$B$14:$K$20,9)/30))</f>
        <v>8.4086203605284133</v>
      </c>
      <c r="BH138" s="173">
        <f ca="1">(VLOOKUP(BH$72,INDIRECT($C$5&amp;"生成成长"),2))/((VLOOKUP($B138,INDIRECT($B$5&amp;"生成成长"),4))/(VLOOKUP(BH$72,INDIRECT($C$5&amp;"生成成长"),5))*(VLOOKUP($B$5,标准坦克设计!$B$24:$U$30,MATCH("对"&amp;LEFT($C$5,2)&amp;"输出",标准坦克设计!$B$23:$U$23,0)))*(VLOOKUP($B138,INDIRECT($B$5&amp;"生成成长"),3))*(VLOOKUP($B$5,标准坦克设计!$B$14:$K$20,9)/30))</f>
        <v>4.0643571792522373</v>
      </c>
      <c r="BI138" s="173">
        <f ca="1">(VLOOKUP(BI$72,INDIRECT($C$5&amp;"生成成长"),2))/((VLOOKUP($B138,INDIRECT($B$5&amp;"生成成长"),4))/(VLOOKUP(BI$72,INDIRECT($C$5&amp;"生成成长"),5))*(VLOOKUP($B$5,标准坦克设计!$B$24:$U$30,MATCH("对"&amp;LEFT($C$5,2)&amp;"输出",标准坦克设计!$B$23:$U$23,0)))*(VLOOKUP($B138,INDIRECT($B$5&amp;"生成成长"),3))*(VLOOKUP($B$5,标准坦克设计!$B$14:$K$20,9)/30))</f>
        <v>4.580886715684696</v>
      </c>
      <c r="BJ138" s="173">
        <f ca="1">(VLOOKUP(BJ$72,INDIRECT($C$5&amp;"生成成长"),2))/((VLOOKUP($B138,INDIRECT($B$5&amp;"生成成长"),4))/(VLOOKUP(BJ$72,INDIRECT($C$5&amp;"生成成长"),5))*(VLOOKUP($B$5,标准坦克设计!$B$24:$U$30,MATCH("对"&amp;LEFT($C$5,2)&amp;"输出",标准坦克设计!$B$23:$U$23,0)))*(VLOOKUP($B138,INDIRECT($B$5&amp;"生成成长"),3))*(VLOOKUP($B$5,标准坦克设计!$B$14:$K$20,9)/30))</f>
        <v>5.128305061604812</v>
      </c>
      <c r="BK138" s="173">
        <f ca="1">(VLOOKUP(BK$72,INDIRECT($C$5&amp;"生成成长"),2))/((VLOOKUP($B138,INDIRECT($B$5&amp;"生成成长"),4))/(VLOOKUP(BK$72,INDIRECT($C$5&amp;"生成成长"),5))*(VLOOKUP($B$5,标准坦克设计!$B$24:$U$30,MATCH("对"&amp;LEFT($C$5,2)&amp;"输出",标准坦克设计!$B$23:$U$23,0)))*(VLOOKUP($B138,INDIRECT($B$5&amp;"生成成长"),3))*(VLOOKUP($B$5,标准坦克设计!$B$14:$K$20,9)/30))</f>
        <v>5.7066122170125837</v>
      </c>
      <c r="BL138" s="173">
        <f ca="1">(VLOOKUP(BL$72,INDIRECT($C$5&amp;"生成成长"),2))/((VLOOKUP($B138,INDIRECT($B$5&amp;"生成成长"),4))/(VLOOKUP(BL$72,INDIRECT($C$5&amp;"生成成长"),5))*(VLOOKUP($B$5,标准坦克设计!$B$24:$U$30,MATCH("对"&amp;LEFT($C$5,2)&amp;"输出",标准坦克设计!$B$23:$U$23,0)))*(VLOOKUP($B138,INDIRECT($B$5&amp;"生成成长"),3))*(VLOOKUP($B$5,标准坦克设计!$B$14:$K$20,9)/30))</f>
        <v>6.3158081819080092</v>
      </c>
      <c r="BM138" s="173">
        <f ca="1">(VLOOKUP(BM$72,INDIRECT($C$5&amp;"生成成长"),2))/((VLOOKUP($B138,INDIRECT($B$5&amp;"生成成长"),4))/(VLOOKUP(BM$72,INDIRECT($C$5&amp;"生成成长"),5))*(VLOOKUP($B$5,标准坦克设计!$B$24:$U$30,MATCH("对"&amp;LEFT($C$5,2)&amp;"输出",标准坦克设计!$B$23:$U$23,0)))*(VLOOKUP($B138,INDIRECT($B$5&amp;"生成成长"),3))*(VLOOKUP($B$5,标准坦克设计!$B$14:$K$20,9)/30))</f>
        <v>6.9558929562910912</v>
      </c>
      <c r="BN138" s="173">
        <f ca="1">(VLOOKUP(BN$72,INDIRECT($C$5&amp;"生成成长"),2))/((VLOOKUP($B138,INDIRECT($B$5&amp;"生成成长"),4))/(VLOOKUP(BN$72,INDIRECT($C$5&amp;"生成成长"),5))*(VLOOKUP($B$5,标准坦克设计!$B$24:$U$30,MATCH("对"&amp;LEFT($C$5,2)&amp;"输出",标准坦克设计!$B$23:$U$23,0)))*(VLOOKUP($B138,INDIRECT($B$5&amp;"生成成长"),3))*(VLOOKUP($B$5,标准坦克设计!$B$14:$K$20,9)/30))</f>
        <v>7.626866540161827</v>
      </c>
      <c r="BO138" s="173">
        <f ca="1">(VLOOKUP(BO$72,INDIRECT($C$5&amp;"生成成长"),2))/((VLOOKUP($B138,INDIRECT($B$5&amp;"生成成长"),4))/(VLOOKUP(BO$72,INDIRECT($C$5&amp;"生成成长"),5))*(VLOOKUP($B$5,标准坦克设计!$B$24:$U$30,MATCH("对"&amp;LEFT($C$5,2)&amp;"输出",标准坦克设计!$B$23:$U$23,0)))*(VLOOKUP($B138,INDIRECT($B$5&amp;"生成成长"),3))*(VLOOKUP($B$5,标准坦克设计!$B$14:$K$20,9)/30))</f>
        <v>8.3287289335202193</v>
      </c>
      <c r="BP138" s="173">
        <f ca="1">(VLOOKUP(BP$72,INDIRECT($C$5&amp;"生成成长"),2))/((VLOOKUP($B138,INDIRECT($B$5&amp;"生成成长"),4))/(VLOOKUP(BP$72,INDIRECT($C$5&amp;"生成成长"),5))*(VLOOKUP($B$5,标准坦克设计!$B$24:$U$30,MATCH("对"&amp;LEFT($C$5,2)&amp;"输出",标准坦克设计!$B$23:$U$23,0)))*(VLOOKUP($B138,INDIRECT($B$5&amp;"生成成长"),3))*(VLOOKUP($B$5,标准坦克设计!$B$14:$K$20,9)/30))</f>
        <v>9.0614801363662654</v>
      </c>
      <c r="BQ138" s="173">
        <f ca="1">(VLOOKUP(BQ$72,INDIRECT($C$5&amp;"生成成长"),2))/((VLOOKUP($B138,INDIRECT($B$5&amp;"生成成长"),4))/(VLOOKUP(BQ$72,INDIRECT($C$5&amp;"生成成长"),5))*(VLOOKUP($B$5,标准坦克设计!$B$24:$U$30,MATCH("对"&amp;LEFT($C$5,2)&amp;"输出",标准坦克设计!$B$23:$U$23,0)))*(VLOOKUP($B138,INDIRECT($B$5&amp;"生成成长"),3))*(VLOOKUP($B$5,标准坦克设计!$B$14:$K$20,9)/30))</f>
        <v>9.8251201486999697</v>
      </c>
      <c r="BR138" s="173">
        <f ca="1">(VLOOKUP(BR$72,INDIRECT($C$5&amp;"生成成长"),2))/((VLOOKUP($B138,INDIRECT($B$5&amp;"生成成长"),4))/(VLOOKUP(BR$72,INDIRECT($C$5&amp;"生成成长"),5))*(VLOOKUP($B$5,标准坦克设计!$B$24:$U$30,MATCH("对"&amp;LEFT($C$5,2)&amp;"输出",标准坦克设计!$B$23:$U$23,0)))*(VLOOKUP($B138,INDIRECT($B$5&amp;"生成成长"),3))*(VLOOKUP($B$5,标准坦克设计!$B$14:$K$20,9)/30))</f>
        <v>10.709836667358742</v>
      </c>
      <c r="BS138" s="173">
        <f ca="1">(VLOOKUP(BS$72,INDIRECT($C$5&amp;"生成成长"),2))/((VLOOKUP($B138,INDIRECT($B$5&amp;"生成成长"),4))/(VLOOKUP(BS$72,INDIRECT($C$5&amp;"生成成长"),5))*(VLOOKUP($B$5,标准坦克设计!$B$24:$U$30,MATCH("对"&amp;LEFT($C$5,2)&amp;"输出",标准坦克设计!$B$23:$U$23,0)))*(VLOOKUP($B138,INDIRECT($B$5&amp;"生成成长"),3))*(VLOOKUP($B$5,标准坦克设计!$B$14:$K$20,9)/30))</f>
        <v>11.632687518718324</v>
      </c>
      <c r="BT138" s="173">
        <f ca="1">(VLOOKUP(BT$72,INDIRECT($C$5&amp;"生成成长"),2))/((VLOOKUP($B138,INDIRECT($B$5&amp;"生成成长"),4))/(VLOOKUP(BT$72,INDIRECT($C$5&amp;"生成成长"),5))*(VLOOKUP($B$5,标准坦克设计!$B$24:$U$30,MATCH("对"&amp;LEFT($C$5,2)&amp;"输出",标准坦克设计!$B$23:$U$23,0)))*(VLOOKUP($B138,INDIRECT($B$5&amp;"生成成长"),3))*(VLOOKUP($B$5,标准坦克设计!$B$14:$K$20,9)/30))</f>
        <v>12.593672702778711</v>
      </c>
      <c r="BU138" s="173">
        <f ca="1">(VLOOKUP(BU$72,INDIRECT($C$5&amp;"生成成长"),2))/((VLOOKUP($B138,INDIRECT($B$5&amp;"生成成长"),4))/(VLOOKUP(BU$72,INDIRECT($C$5&amp;"生成成长"),5))*(VLOOKUP($B$5,标准坦克设计!$B$24:$U$30,MATCH("对"&amp;LEFT($C$5,2)&amp;"输出",标准坦克设计!$B$23:$U$23,0)))*(VLOOKUP($B138,INDIRECT($B$5&amp;"生成成长"),3))*(VLOOKUP($B$5,标准坦克设计!$B$14:$K$20,9)/30))</f>
        <v>13.592792219539911</v>
      </c>
      <c r="BV138" s="173">
        <f ca="1">(VLOOKUP(BV$72,INDIRECT($C$5&amp;"生成成长"),2))/((VLOOKUP($B138,INDIRECT($B$5&amp;"生成成长"),4))/(VLOOKUP(BV$72,INDIRECT($C$5&amp;"生成成长"),5))*(VLOOKUP($B$5,标准坦克设计!$B$24:$U$30,MATCH("对"&amp;LEFT($C$5,2)&amp;"输出",标准坦克设计!$B$23:$U$23,0)))*(VLOOKUP($B138,INDIRECT($B$5&amp;"生成成长"),3))*(VLOOKUP($B$5,标准坦克设计!$B$14:$K$20,9)/30))</f>
        <v>14.630046069001921</v>
      </c>
      <c r="BW138" s="173">
        <f ca="1">(VLOOKUP(BW$72,INDIRECT($C$5&amp;"生成成长"),2))/((VLOOKUP($B138,INDIRECT($B$5&amp;"生成成长"),4))/(VLOOKUP(BW$72,INDIRECT($C$5&amp;"生成成长"),5))*(VLOOKUP($B$5,标准坦克设计!$B$24:$U$30,MATCH("对"&amp;LEFT($C$5,2)&amp;"输出",标准坦克设计!$B$23:$U$23,0)))*(VLOOKUP($B138,INDIRECT($B$5&amp;"生成成长"),3))*(VLOOKUP($B$5,标准坦克设计!$B$14:$K$20,9)/30))</f>
        <v>6.6675974010729728</v>
      </c>
      <c r="BX138" s="173">
        <f ca="1">(VLOOKUP(BX$72,INDIRECT($C$5&amp;"生成成长"),2))/((VLOOKUP($B138,INDIRECT($B$5&amp;"生成成长"),4))/(VLOOKUP(BX$72,INDIRECT($C$5&amp;"生成成长"),5))*(VLOOKUP($B$5,标准坦克设计!$B$24:$U$30,MATCH("对"&amp;LEFT($C$5,2)&amp;"输出",标准坦克设计!$B$23:$U$23,0)))*(VLOOKUP($B138,INDIRECT($B$5&amp;"生成成长"),3))*(VLOOKUP($B$5,标准坦克设计!$B$14:$K$20,9)/30))</f>
        <v>7.3997765889285079</v>
      </c>
      <c r="BY138" s="173">
        <f ca="1">(VLOOKUP(BY$72,INDIRECT($C$5&amp;"生成成长"),2))/((VLOOKUP($B138,INDIRECT($B$5&amp;"生成成长"),4))/(VLOOKUP(BY$72,INDIRECT($C$5&amp;"生成成长"),5))*(VLOOKUP($B$5,标准坦克设计!$B$24:$U$30,MATCH("对"&amp;LEFT($C$5,2)&amp;"输出",标准坦克设计!$B$23:$U$23,0)))*(VLOOKUP($B138,INDIRECT($B$5&amp;"生成成长"),3))*(VLOOKUP($B$5,标准坦克设计!$B$14:$K$20,9)/30))</f>
        <v>8.1700901094848533</v>
      </c>
      <c r="BZ138" s="173">
        <f ca="1">(VLOOKUP(BZ$72,INDIRECT($C$5&amp;"生成成长"),2))/((VLOOKUP($B138,INDIRECT($B$5&amp;"生成成长"),4))/(VLOOKUP(BZ$72,INDIRECT($C$5&amp;"生成成长"),5))*(VLOOKUP($B$5,标准坦克设计!$B$24:$U$30,MATCH("对"&amp;LEFT($C$5,2)&amp;"输出",标准坦克设计!$B$23:$U$23,0)))*(VLOOKUP($B138,INDIRECT($B$5&amp;"生成成长"),3))*(VLOOKUP($B$5,标准坦克设计!$B$14:$K$20,9)/30))</f>
        <v>8.9785379627420046</v>
      </c>
      <c r="CA138" s="173">
        <f ca="1">(VLOOKUP(CA$72,INDIRECT($C$5&amp;"生成成长"),2))/((VLOOKUP($B138,INDIRECT($B$5&amp;"生成成长"),4))/(VLOOKUP(CA$72,INDIRECT($C$5&amp;"生成成长"),5))*(VLOOKUP($B$5,标准坦克设计!$B$24:$U$30,MATCH("对"&amp;LEFT($C$5,2)&amp;"输出",标准坦克设计!$B$23:$U$23,0)))*(VLOOKUP($B138,INDIRECT($B$5&amp;"生成成长"),3))*(VLOOKUP($B$5,标准坦克设计!$B$14:$K$20,9)/30))</f>
        <v>9.8251201486999697</v>
      </c>
      <c r="CB138" s="173">
        <f ca="1">(VLOOKUP(CB$72,INDIRECT($C$5&amp;"生成成长"),2))/((VLOOKUP($B138,INDIRECT($B$5&amp;"生成成长"),4))/(VLOOKUP(CB$72,INDIRECT($C$5&amp;"生成成长"),5))*(VLOOKUP($B$5,标准坦克设计!$B$24:$U$30,MATCH("对"&amp;LEFT($C$5,2)&amp;"输出",标准坦克设计!$B$23:$U$23,0)))*(VLOOKUP($B138,INDIRECT($B$5&amp;"生成成长"),3))*(VLOOKUP($B$5,标准坦克设计!$B$14:$K$20,9)/30))</f>
        <v>10.709836667358742</v>
      </c>
      <c r="CC138" s="173">
        <f ca="1">(VLOOKUP(CC$72,INDIRECT($C$5&amp;"生成成长"),2))/((VLOOKUP($B138,INDIRECT($B$5&amp;"生成成长"),4))/(VLOOKUP(CC$72,INDIRECT($C$5&amp;"生成成长"),5))*(VLOOKUP($B$5,标准坦克设计!$B$24:$U$30,MATCH("对"&amp;LEFT($C$5,2)&amp;"输出",标准坦克设计!$B$23:$U$23,0)))*(VLOOKUP($B138,INDIRECT($B$5&amp;"生成成长"),3))*(VLOOKUP($B$5,标准坦克设计!$B$14:$K$20,9)/30))</f>
        <v>11.632687518718324</v>
      </c>
      <c r="CD138" s="173">
        <f ca="1">(VLOOKUP(CD$72,INDIRECT($C$5&amp;"生成成长"),2))/((VLOOKUP($B138,INDIRECT($B$5&amp;"生成成长"),4))/(VLOOKUP(CD$72,INDIRECT($C$5&amp;"生成成长"),5))*(VLOOKUP($B$5,标准坦克设计!$B$24:$U$30,MATCH("对"&amp;LEFT($C$5,2)&amp;"输出",标准坦克设计!$B$23:$U$23,0)))*(VLOOKUP($B138,INDIRECT($B$5&amp;"生成成长"),3))*(VLOOKUP($B$5,标准坦克设计!$B$14:$K$20,9)/30))</f>
        <v>12.593672702778711</v>
      </c>
      <c r="CE138" s="173">
        <f ca="1">(VLOOKUP(CE$72,INDIRECT($C$5&amp;"生成成长"),2))/((VLOOKUP($B138,INDIRECT($B$5&amp;"生成成长"),4))/(VLOOKUP(CE$72,INDIRECT($C$5&amp;"生成成长"),5))*(VLOOKUP($B$5,标准坦克设计!$B$24:$U$30,MATCH("对"&amp;LEFT($C$5,2)&amp;"输出",标准坦克设计!$B$23:$U$23,0)))*(VLOOKUP($B138,INDIRECT($B$5&amp;"生成成长"),3))*(VLOOKUP($B$5,标准坦克设计!$B$14:$K$20,9)/30))</f>
        <v>13.592792219539911</v>
      </c>
      <c r="CF138" s="173">
        <f ca="1">(VLOOKUP(CF$72,INDIRECT($C$5&amp;"生成成长"),2))/((VLOOKUP($B138,INDIRECT($B$5&amp;"生成成长"),4))/(VLOOKUP(CF$72,INDIRECT($C$5&amp;"生成成长"),5))*(VLOOKUP($B$5,标准坦克设计!$B$24:$U$30,MATCH("对"&amp;LEFT($C$5,2)&amp;"输出",标准坦克设计!$B$23:$U$23,0)))*(VLOOKUP($B138,INDIRECT($B$5&amp;"生成成长"),3))*(VLOOKUP($B$5,标准坦克设计!$B$14:$K$20,9)/30))</f>
        <v>14.630046069001921</v>
      </c>
      <c r="CG138" s="173">
        <f ca="1">(VLOOKUP(CG$72,INDIRECT($C$5&amp;"生成成长"),2))/((VLOOKUP($B138,INDIRECT($B$5&amp;"生成成长"),4))/(VLOOKUP(CG$72,INDIRECT($C$5&amp;"生成成长"),5))*(VLOOKUP($B$5,标准坦克设计!$B$24:$U$30,MATCH("对"&amp;LEFT($C$5,2)&amp;"输出",标准坦克设计!$B$23:$U$23,0)))*(VLOOKUP($B138,INDIRECT($B$5&amp;"生成成长"),3))*(VLOOKUP($B$5,标准坦克设计!$B$14:$K$20,9)/30))</f>
        <v>15.705434251164739</v>
      </c>
      <c r="CH138" s="173">
        <f ca="1">(VLOOKUP(CH$72,INDIRECT($C$5&amp;"生成成长"),2))/((VLOOKUP($B138,INDIRECT($B$5&amp;"生成成长"),4))/(VLOOKUP(CH$72,INDIRECT($C$5&amp;"生成成长"),5))*(VLOOKUP($B$5,标准坦克设计!$B$24:$U$30,MATCH("对"&amp;LEFT($C$5,2)&amp;"输出",标准坦克设计!$B$23:$U$23,0)))*(VLOOKUP($B138,INDIRECT($B$5&amp;"生成成长"),3))*(VLOOKUP($B$5,标准坦克设计!$B$14:$K$20,9)/30))</f>
        <v>16.818956766028368</v>
      </c>
      <c r="CI138" s="173">
        <f ca="1">(VLOOKUP(CI$72,INDIRECT($C$5&amp;"生成成长"),2))/((VLOOKUP($B138,INDIRECT($B$5&amp;"生成成长"),4))/(VLOOKUP(CI$72,INDIRECT($C$5&amp;"生成成长"),5))*(VLOOKUP($B$5,标准坦克设计!$B$24:$U$30,MATCH("对"&amp;LEFT($C$5,2)&amp;"输出",标准坦克设计!$B$23:$U$23,0)))*(VLOOKUP($B138,INDIRECT($B$5&amp;"生成成长"),3))*(VLOOKUP($B$5,标准坦克设计!$B$14:$K$20,9)/30))</f>
        <v>18.087876686647789</v>
      </c>
      <c r="CJ138" s="173">
        <f ca="1">(VLOOKUP(CJ$72,INDIRECT($C$5&amp;"生成成长"),2))/((VLOOKUP($B138,INDIRECT($B$5&amp;"生成成长"),4))/(VLOOKUP(CJ$72,INDIRECT($C$5&amp;"生成成长"),5))*(VLOOKUP($B$5,标准坦克设计!$B$24:$U$30,MATCH("对"&amp;LEFT($C$5,2)&amp;"输出",标准坦克设计!$B$23:$U$23,0)))*(VLOOKUP($B138,INDIRECT($B$5&amp;"生成成长"),3))*(VLOOKUP($B$5,标准坦克设计!$B$14:$K$20,9)/30))</f>
        <v>19.402939149835191</v>
      </c>
      <c r="CK138" s="173">
        <f ca="1">(VLOOKUP(CK$72,INDIRECT($C$5&amp;"生成成长"),2))/((VLOOKUP($B138,INDIRECT($B$5&amp;"生成成长"),4))/(VLOOKUP(CK$72,INDIRECT($C$5&amp;"生成成长"),5))*(VLOOKUP($B$5,标准坦克设计!$B$24:$U$30,MATCH("对"&amp;LEFT($C$5,2)&amp;"输出",标准坦克设计!$B$23:$U$23,0)))*(VLOOKUP($B138,INDIRECT($B$5&amp;"生成成长"),3))*(VLOOKUP($B$5,标准坦克设计!$B$14:$K$20,9)/30))</f>
        <v>20.764144155590571</v>
      </c>
      <c r="CL138" s="173">
        <f ca="1">(VLOOKUP(CL$72,INDIRECT($C$5&amp;"生成成长"),2))/((VLOOKUP($B138,INDIRECT($B$5&amp;"生成成长"),4))/(VLOOKUP(CL$72,INDIRECT($C$5&amp;"生成成长"),5))*(VLOOKUP($B$5,标准坦克设计!$B$24:$U$30,MATCH("对"&amp;LEFT($C$5,2)&amp;"输出",标准坦克设计!$B$23:$U$23,0)))*(VLOOKUP($B138,INDIRECT($B$5&amp;"生成成长"),3))*(VLOOKUP($B$5,标准坦克设计!$B$14:$K$20,9)/30))</f>
        <v>22.171491703913933</v>
      </c>
      <c r="CM138" s="173">
        <f ca="1">(VLOOKUP(CM$72,INDIRECT($C$5&amp;"生成成长"),2))/((VLOOKUP($B138,INDIRECT($B$5&amp;"生成成长"),4))/(VLOOKUP(CM$72,INDIRECT($C$5&amp;"生成成长"),5))*(VLOOKUP($B$5,标准坦克设计!$B$24:$U$30,MATCH("对"&amp;LEFT($C$5,2)&amp;"输出",标准坦克设计!$B$23:$U$23,0)))*(VLOOKUP($B138,INDIRECT($B$5&amp;"生成成长"),3))*(VLOOKUP($B$5,标准坦克设计!$B$14:$K$20,9)/30))</f>
        <v>23.624981794805272</v>
      </c>
      <c r="CN138" s="173">
        <f ca="1">(VLOOKUP(CN$72,INDIRECT($C$5&amp;"生成成长"),2))/((VLOOKUP($B138,INDIRECT($B$5&amp;"生成成长"),4))/(VLOOKUP(CN$72,INDIRECT($C$5&amp;"生成成长"),5))*(VLOOKUP($B$5,标准坦克设计!$B$24:$U$30,MATCH("对"&amp;LEFT($C$5,2)&amp;"输出",标准坦克设计!$B$23:$U$23,0)))*(VLOOKUP($B138,INDIRECT($B$5&amp;"生成成长"),3))*(VLOOKUP($B$5,标准坦克设计!$B$14:$K$20,9)/30))</f>
        <v>25.124614428264596</v>
      </c>
      <c r="CO138" s="173">
        <f ca="1">(VLOOKUP(CO$72,INDIRECT($C$5&amp;"生成成长"),2))/((VLOOKUP($B138,INDIRECT($B$5&amp;"生成成长"),4))/(VLOOKUP(CO$72,INDIRECT($C$5&amp;"生成成长"),5))*(VLOOKUP($B$5,标准坦克设计!$B$24:$U$30,MATCH("对"&amp;LEFT($C$5,2)&amp;"输出",标准坦克设计!$B$23:$U$23,0)))*(VLOOKUP($B138,INDIRECT($B$5&amp;"生成成长"),3))*(VLOOKUP($B$5,标准坦克设计!$B$14:$K$20,9)/30))</f>
        <v>11.25897105825039</v>
      </c>
      <c r="CP138" s="173">
        <f ca="1">(VLOOKUP(CP$72,INDIRECT($C$5&amp;"生成成长"),2))/((VLOOKUP($B138,INDIRECT($B$5&amp;"生成成长"),4))/(VLOOKUP(CP$72,INDIRECT($C$5&amp;"生成成长"),5))*(VLOOKUP($B$5,标准坦克设计!$B$24:$U$30,MATCH("对"&amp;LEFT($C$5,2)&amp;"输出",标准坦克设计!$B$23:$U$23,0)))*(VLOOKUP($B138,INDIRECT($B$5&amp;"生成成长"),3))*(VLOOKUP($B$5,标准坦克设计!$B$14:$K$20,9)/30))</f>
        <v>12.301373042627008</v>
      </c>
      <c r="CQ138" s="173">
        <f ca="1">(VLOOKUP(CQ$72,INDIRECT($C$5&amp;"生成成长"),2))/((VLOOKUP($B138,INDIRECT($B$5&amp;"生成成长"),4))/(VLOOKUP(CQ$72,INDIRECT($C$5&amp;"生成成长"),5))*(VLOOKUP($B$5,标准坦克设计!$B$24:$U$30,MATCH("对"&amp;LEFT($C$5,2)&amp;"输出",标准坦克设计!$B$23:$U$23,0)))*(VLOOKUP($B138,INDIRECT($B$5&amp;"生成成长"),3))*(VLOOKUP($B$5,标准坦克设计!$B$14:$K$20,9)/30))</f>
        <v>13.389917569571605</v>
      </c>
      <c r="CR138" s="173">
        <f ca="1">(VLOOKUP(CR$72,INDIRECT($C$5&amp;"生成成长"),2))/((VLOOKUP($B138,INDIRECT($B$5&amp;"生成成长"),4))/(VLOOKUP(CR$72,INDIRECT($C$5&amp;"生成成长"),5))*(VLOOKUP($B$5,标准坦克设计!$B$24:$U$30,MATCH("对"&amp;LEFT($C$5,2)&amp;"输出",标准坦克设计!$B$23:$U$23,0)))*(VLOOKUP($B138,INDIRECT($B$5&amp;"生成成长"),3))*(VLOOKUP($B$5,标准坦克设计!$B$14:$K$20,9)/30))</f>
        <v>14.524604639084183</v>
      </c>
      <c r="CS138" s="173">
        <f ca="1">(VLOOKUP(CS$72,INDIRECT($C$5&amp;"生成成长"),2))/((VLOOKUP($B138,INDIRECT($B$5&amp;"生成成长"),4))/(VLOOKUP(CS$72,INDIRECT($C$5&amp;"生成成长"),5))*(VLOOKUP($B$5,标准坦克设计!$B$24:$U$30,MATCH("对"&amp;LEFT($C$5,2)&amp;"输出",标准坦克设计!$B$23:$U$23,0)))*(VLOOKUP($B138,INDIRECT($B$5&amp;"生成成长"),3))*(VLOOKUP($B$5,标准坦克设计!$B$14:$K$20,9)/30))</f>
        <v>15.705434251164739</v>
      </c>
      <c r="CT138" s="173">
        <f ca="1">(VLOOKUP(CT$72,INDIRECT($C$5&amp;"生成成长"),2))/((VLOOKUP($B138,INDIRECT($B$5&amp;"生成成长"),4))/(VLOOKUP(CT$72,INDIRECT($C$5&amp;"生成成长"),5))*(VLOOKUP($B$5,标准坦克设计!$B$24:$U$30,MATCH("对"&amp;LEFT($C$5,2)&amp;"输出",标准坦克设计!$B$23:$U$23,0)))*(VLOOKUP($B138,INDIRECT($B$5&amp;"生成成长"),3))*(VLOOKUP($B$5,标准坦克设计!$B$14:$K$20,9)/30))</f>
        <v>16.932406405813271</v>
      </c>
      <c r="CU138" s="173">
        <f ca="1">(VLOOKUP(CU$72,INDIRECT($C$5&amp;"生成成长"),2))/((VLOOKUP($B138,INDIRECT($B$5&amp;"生成成长"),4))/(VLOOKUP(CU$72,INDIRECT($C$5&amp;"生成成长"),5))*(VLOOKUP($B$5,标准坦克设计!$B$24:$U$30,MATCH("对"&amp;LEFT($C$5,2)&amp;"输出",标准坦克设计!$B$23:$U$23,0)))*(VLOOKUP($B138,INDIRECT($B$5&amp;"生成成长"),3))*(VLOOKUP($B$5,标准坦克设计!$B$14:$K$20,9)/30))</f>
        <v>18.205521103029788</v>
      </c>
      <c r="CV138" s="173">
        <f ca="1">(VLOOKUP(CV$72,INDIRECT($C$5&amp;"生成成长"),2))/((VLOOKUP($B138,INDIRECT($B$5&amp;"生成成长"),4))/(VLOOKUP(CV$72,INDIRECT($C$5&amp;"生成成长"),5))*(VLOOKUP($B$5,标准坦克设计!$B$24:$U$30,MATCH("对"&amp;LEFT($C$5,2)&amp;"输出",标准坦克设计!$B$23:$U$23,0)))*(VLOOKUP($B138,INDIRECT($B$5&amp;"生成成长"),3))*(VLOOKUP($B$5,标准坦克设计!$B$14:$K$20,9)/30))</f>
        <v>19.524778342814276</v>
      </c>
      <c r="CW138" s="173">
        <f ca="1">(VLOOKUP(CW$72,INDIRECT($C$5&amp;"生成成长"),2))/((VLOOKUP($B138,INDIRECT($B$5&amp;"生成成长"),4))/(VLOOKUP(CW$72,INDIRECT($C$5&amp;"生成成长"),5))*(VLOOKUP($B$5,标准坦克设计!$B$24:$U$30,MATCH("对"&amp;LEFT($C$5,2)&amp;"输出",标准坦克设计!$B$23:$U$23,0)))*(VLOOKUP($B138,INDIRECT($B$5&amp;"生成成长"),3))*(VLOOKUP($B$5,标准坦克设计!$B$14:$K$20,9)/30))</f>
        <v>20.890178125166749</v>
      </c>
      <c r="CX138" s="173">
        <f ca="1">(VLOOKUP(CX$72,INDIRECT($C$5&amp;"生成成长"),2))/((VLOOKUP($B138,INDIRECT($B$5&amp;"生成成长"),4))/(VLOOKUP(CX$72,INDIRECT($C$5&amp;"生成成长"),5))*(VLOOKUP($B$5,标准坦克设计!$B$24:$U$30,MATCH("对"&amp;LEFT($C$5,2)&amp;"输出",标准坦克设计!$B$23:$U$23,0)))*(VLOOKUP($B138,INDIRECT($B$5&amp;"生成成长"),3))*(VLOOKUP($B$5,标准坦克设计!$B$14:$K$20,9)/30))</f>
        <v>22.301720450087196</v>
      </c>
      <c r="CY138" s="173">
        <f ca="1">(VLOOKUP(CY$72,INDIRECT($C$5&amp;"生成成长"),2))/((VLOOKUP($B138,INDIRECT($B$5&amp;"生成成长"),4))/(VLOOKUP(CY$72,INDIRECT($C$5&amp;"生成成长"),5))*(VLOOKUP($B$5,标准坦克设计!$B$24:$U$30,MATCH("对"&amp;LEFT($C$5,2)&amp;"输出",标准坦克设计!$B$23:$U$23,0)))*(VLOOKUP($B138,INDIRECT($B$5&amp;"生成成长"),3))*(VLOOKUP($B$5,标准坦克设计!$B$14:$K$20,9)/30))</f>
        <v>23.759405317575624</v>
      </c>
      <c r="CZ138" s="173">
        <f ca="1">(VLOOKUP(CZ$72,INDIRECT($C$5&amp;"生成成长"),2))/((VLOOKUP($B138,INDIRECT($B$5&amp;"生成成长"),4))/(VLOOKUP(CZ$72,INDIRECT($C$5&amp;"生成成长"),5))*(VLOOKUP($B$5,标准坦克设计!$B$24:$U$30,MATCH("对"&amp;LEFT($C$5,2)&amp;"输出",标准坦克设计!$B$23:$U$23,0)))*(VLOOKUP($B138,INDIRECT($B$5&amp;"生成成长"),3))*(VLOOKUP($B$5,标准坦克设计!$B$14:$K$20,9)/30))</f>
        <v>25.263232727632037</v>
      </c>
      <c r="DA138" s="173">
        <f ca="1">(VLOOKUP(DA$72,INDIRECT($C$5&amp;"生成成长"),2))/((VLOOKUP($B138,INDIRECT($B$5&amp;"生成成长"),4))/(VLOOKUP(DA$72,INDIRECT($C$5&amp;"生成成长"),5))*(VLOOKUP($B$5,标准坦克设计!$B$24:$U$30,MATCH("对"&amp;LEFT($C$5,2)&amp;"输出",标准坦克设计!$B$23:$U$23,0)))*(VLOOKUP($B138,INDIRECT($B$5&amp;"生成成长"),3))*(VLOOKUP($B$5,标准坦克设计!$B$14:$K$20,9)/30))</f>
        <v>26.813202680256421</v>
      </c>
      <c r="DB138" s="173">
        <f ca="1">(VLOOKUP(DB$72,INDIRECT($C$5&amp;"生成成长"),2))/((VLOOKUP($B138,INDIRECT($B$5&amp;"生成成长"),4))/(VLOOKUP(DB$72,INDIRECT($C$5&amp;"生成成长"),5))*(VLOOKUP($B$5,标准坦克设计!$B$24:$U$30,MATCH("对"&amp;LEFT($C$5,2)&amp;"输出",标准坦克设计!$B$23:$U$23,0)))*(VLOOKUP($B138,INDIRECT($B$5&amp;"生成成长"),3))*(VLOOKUP($B$5,标准坦克设计!$B$14:$K$20,9)/30))</f>
        <v>28.409315175448789</v>
      </c>
      <c r="DC138" s="173">
        <f ca="1">(VLOOKUP(DC$72,INDIRECT($C$5&amp;"生成成长"),2))/((VLOOKUP($B138,INDIRECT($B$5&amp;"生成成长"),4))/(VLOOKUP(DC$72,INDIRECT($C$5&amp;"生成成长"),5))*(VLOOKUP($B$5,标准坦克设计!$B$24:$U$30,MATCH("对"&amp;LEFT($C$5,2)&amp;"输出",标准坦克设计!$B$23:$U$23,0)))*(VLOOKUP($B138,INDIRECT($B$5&amp;"生成成长"),3))*(VLOOKUP($B$5,标准坦克设计!$B$14:$K$20,9)/30))</f>
        <v>30.203154185694849</v>
      </c>
      <c r="DD138" s="173">
        <f ca="1">(VLOOKUP(DD$72,INDIRECT($C$5&amp;"生成成长"),2))/((VLOOKUP($B138,INDIRECT($B$5&amp;"生成成长"),4))/(VLOOKUP(DD$72,INDIRECT($C$5&amp;"生成成长"),5))*(VLOOKUP($B$5,标准坦克设计!$B$24:$U$30,MATCH("对"&amp;LEFT($C$5,2)&amp;"输出",标准坦克设计!$B$23:$U$23,0)))*(VLOOKUP($B138,INDIRECT($B$5&amp;"生成成长"),3))*(VLOOKUP($B$5,标准坦克设计!$B$14:$K$20,9)/30))</f>
        <v>32.051906635030072</v>
      </c>
      <c r="DE138" s="173">
        <f ca="1">(VLOOKUP(DE$72,INDIRECT($C$5&amp;"生成成长"),2))/((VLOOKUP($B138,INDIRECT($B$5&amp;"生成成长"),4))/(VLOOKUP(DE$72,INDIRECT($C$5&amp;"生成成长"),5))*(VLOOKUP($B$5,标准坦克设计!$B$24:$U$30,MATCH("对"&amp;LEFT($C$5,2)&amp;"输出",标准坦克设计!$B$23:$U$23,0)))*(VLOOKUP($B138,INDIRECT($B$5&amp;"生成成长"),3))*(VLOOKUP($B$5,标准坦克设计!$B$14:$K$20,9)/30))</f>
        <v>33.955572523454471</v>
      </c>
      <c r="DF138" s="173">
        <f ca="1">(VLOOKUP(DF$72,INDIRECT($C$5&amp;"生成成长"),2))/((VLOOKUP($B138,INDIRECT($B$5&amp;"生成成长"),4))/(VLOOKUP(DF$72,INDIRECT($C$5&amp;"生成成长"),5))*(VLOOKUP($B$5,标准坦克设计!$B$24:$U$30,MATCH("对"&amp;LEFT($C$5,2)&amp;"输出",标准坦克设计!$B$23:$U$23,0)))*(VLOOKUP($B138,INDIRECT($B$5&amp;"生成成长"),3))*(VLOOKUP($B$5,标准坦克设计!$B$14:$K$20,9)/30))</f>
        <v>35.914151850968018</v>
      </c>
      <c r="DG138" s="173">
        <f ca="1">(VLOOKUP(DG$72,INDIRECT($C$5&amp;"生成成长"),2))/((VLOOKUP($B138,INDIRECT($B$5&amp;"生成成长"),4))/(VLOOKUP(DG$72,INDIRECT($C$5&amp;"生成成长"),5))*(VLOOKUP($B$5,标准坦克设计!$B$24:$U$30,MATCH("对"&amp;LEFT($C$5,2)&amp;"输出",标准坦克设计!$B$23:$U$23,0)))*(VLOOKUP($B138,INDIRECT($B$5&amp;"生成成长"),3))*(VLOOKUP($B$5,标准坦克设计!$B$14:$K$20,9)/30))</f>
        <v>37.927644617570749</v>
      </c>
      <c r="DH138" s="173">
        <f ca="1">(VLOOKUP(DH$72,INDIRECT($C$5&amp;"生成成长"),2))/((VLOOKUP($B138,INDIRECT($B$5&amp;"生成成长"),4))/(VLOOKUP(DH$72,INDIRECT($C$5&amp;"生成成长"),5))*(VLOOKUP($B$5,标准坦克设计!$B$24:$U$30,MATCH("对"&amp;LEFT($C$5,2)&amp;"输出",标准坦克设计!$B$23:$U$23,0)))*(VLOOKUP($B138,INDIRECT($B$5&amp;"生成成长"),3))*(VLOOKUP($B$5,标准坦克设计!$B$14:$K$20,9)/30))</f>
        <v>39.996050823262635</v>
      </c>
      <c r="DI138" s="173">
        <f ca="1">(VLOOKUP(DI$72,INDIRECT($C$5&amp;"生成成长"),2))/((VLOOKUP($B138,INDIRECT($B$5&amp;"生成成长"),4))/(VLOOKUP(DI$72,INDIRECT($C$5&amp;"生成成长"),5))*(VLOOKUP($B$5,标准坦克设计!$B$24:$U$30,MATCH("对"&amp;LEFT($C$5,2)&amp;"输出",标准坦克设计!$B$23:$U$23,0)))*(VLOOKUP($B138,INDIRECT($B$5&amp;"生成成长"),3))*(VLOOKUP($B$5,标准坦克设计!$B$14:$K$20,9)/30))</f>
        <v>42.119370468043691</v>
      </c>
      <c r="DJ138" s="173">
        <f ca="1">(VLOOKUP(DJ$72,INDIRECT($C$5&amp;"生成成长"),2))/((VLOOKUP($B138,INDIRECT($B$5&amp;"生成成长"),4))/(VLOOKUP(DJ$72,INDIRECT($C$5&amp;"生成成长"),5))*(VLOOKUP($B$5,标准坦克设计!$B$24:$U$30,MATCH("对"&amp;LEFT($C$5,2)&amp;"输出",标准坦克设计!$B$23:$U$23,0)))*(VLOOKUP($B138,INDIRECT($B$5&amp;"生成成长"),3))*(VLOOKUP($B$5,标准坦克设计!$B$14:$K$20,9)/30))</f>
        <v>4.2331016014533178</v>
      </c>
      <c r="DK138" s="173">
        <f ca="1">(VLOOKUP(DK$72,INDIRECT($C$5&amp;"生成成长"),2))/((VLOOKUP($B138,INDIRECT($B$5&amp;"生成成长"),4))/(VLOOKUP(DK$72,INDIRECT($C$5&amp;"生成成长"),5))*(VLOOKUP($B$5,标准坦克设计!$B$24:$U$30,MATCH("对"&amp;LEFT($C$5,2)&amp;"输出",标准坦克设计!$B$23:$U$23,0)))*(VLOOKUP($B138,INDIRECT($B$5&amp;"生成成长"),3))*(VLOOKUP($B$5,标准坦克设计!$B$14:$K$20,9)/30))</f>
        <v>4.7599274077149962</v>
      </c>
      <c r="DL138" s="173">
        <f ca="1">(VLOOKUP(DL$72,INDIRECT($C$5&amp;"生成成长"),2))/((VLOOKUP($B138,INDIRECT($B$5&amp;"生成成长"),4))/(VLOOKUP(DL$72,INDIRECT($C$5&amp;"生成成长"),5))*(VLOOKUP($B$5,标准坦克设计!$B$24:$U$30,MATCH("对"&amp;LEFT($C$5,2)&amp;"输出",标准坦克设计!$B$23:$U$23,0)))*(VLOOKUP($B138,INDIRECT($B$5&amp;"生成成长"),3))*(VLOOKUP($B$5,标准坦克设计!$B$14:$K$20,9)/30))</f>
        <v>5.3176420234643285</v>
      </c>
      <c r="DM138" s="173">
        <f ca="1">(VLOOKUP(DM$72,INDIRECT($C$5&amp;"生成成长"),2))/((VLOOKUP($B138,INDIRECT($B$5&amp;"生成成长"),4))/(VLOOKUP(DM$72,INDIRECT($C$5&amp;"生成成长"),5))*(VLOOKUP($B$5,标准坦克设计!$B$24:$U$30,MATCH("对"&amp;LEFT($C$5,2)&amp;"输出",标准坦克设计!$B$23:$U$23,0)))*(VLOOKUP($B138,INDIRECT($B$5&amp;"生成成长"),3))*(VLOOKUP($B$5,标准坦克设计!$B$14:$K$20,9)/30))</f>
        <v>5.9062454487013181</v>
      </c>
      <c r="DN138" s="173">
        <f ca="1">(VLOOKUP(DN$72,INDIRECT($C$5&amp;"生成成长"),2))/((VLOOKUP($B138,INDIRECT($B$5&amp;"生成成长"),4))/(VLOOKUP(DN$72,INDIRECT($C$5&amp;"生成成长"),5))*(VLOOKUP($B$5,标准坦克设计!$B$24:$U$30,MATCH("对"&amp;LEFT($C$5,2)&amp;"输出",标准坦克设计!$B$23:$U$23,0)))*(VLOOKUP($B138,INDIRECT($B$5&amp;"生成成长"),3))*(VLOOKUP($B$5,标准坦克设计!$B$14:$K$20,9)/30))</f>
        <v>6.5257376834259624</v>
      </c>
      <c r="DO138" s="173">
        <f ca="1">(VLOOKUP(DO$72,INDIRECT($C$5&amp;"生成成长"),2))/((VLOOKUP($B138,INDIRECT($B$5&amp;"生成成长"),4))/(VLOOKUP(DO$72,INDIRECT($C$5&amp;"生成成长"),5))*(VLOOKUP($B$5,标准坦克设计!$B$24:$U$30,MATCH("对"&amp;LEFT($C$5,2)&amp;"输出",标准坦克设计!$B$23:$U$23,0)))*(VLOOKUP($B138,INDIRECT($B$5&amp;"生成成长"),3))*(VLOOKUP($B$5,标准坦克设计!$B$14:$K$20,9)/30))</f>
        <v>7.1761187276382632</v>
      </c>
      <c r="DP138" s="173">
        <f ca="1">(VLOOKUP(DP$72,INDIRECT($C$5&amp;"生成成长"),2))/((VLOOKUP($B138,INDIRECT($B$5&amp;"生成成长"),4))/(VLOOKUP(DP$72,INDIRECT($C$5&amp;"生成成长"),5))*(VLOOKUP($B$5,标准坦克设计!$B$24:$U$30,MATCH("对"&amp;LEFT($C$5,2)&amp;"输出",标准坦克设计!$B$23:$U$23,0)))*(VLOOKUP($B138,INDIRECT($B$5&amp;"生成成长"),3))*(VLOOKUP($B$5,标准坦克设计!$B$14:$K$20,9)/30))</f>
        <v>7.8573885813382169</v>
      </c>
      <c r="DQ138" s="173">
        <f ca="1">(VLOOKUP(DQ$72,INDIRECT($C$5&amp;"生成成长"),2))/((VLOOKUP($B138,INDIRECT($B$5&amp;"生成成长"),4))/(VLOOKUP(DQ$72,INDIRECT($C$5&amp;"生成成长"),5))*(VLOOKUP($B$5,标准坦克设计!$B$24:$U$30,MATCH("对"&amp;LEFT($C$5,2)&amp;"输出",标准坦克设计!$B$23:$U$23,0)))*(VLOOKUP($B138,INDIRECT($B$5&amp;"生成成长"),3))*(VLOOKUP($B$5,标准坦克设计!$B$14:$K$20,9)/30))</f>
        <v>8.5695472445258272</v>
      </c>
      <c r="DR138" s="173">
        <f ca="1">(VLOOKUP(DR$72,INDIRECT($C$5&amp;"生成成长"),2))/((VLOOKUP($B138,INDIRECT($B$5&amp;"生成成长"),4))/(VLOOKUP(DR$72,INDIRECT($C$5&amp;"生成成长"),5))*(VLOOKUP($B$5,标准坦克设计!$B$24:$U$30,MATCH("对"&amp;LEFT($C$5,2)&amp;"输出",标准坦克设计!$B$23:$U$23,0)))*(VLOOKUP($B138,INDIRECT($B$5&amp;"生成成长"),3))*(VLOOKUP($B$5,标准坦克设计!$B$14:$K$20,9)/30))</f>
        <v>9.3125947172010939</v>
      </c>
      <c r="DS138" s="173">
        <f ca="1">(VLOOKUP(DS$72,INDIRECT($C$5&amp;"生成成长"),2))/((VLOOKUP($B138,INDIRECT($B$5&amp;"生成成长"),4))/(VLOOKUP(DS$72,INDIRECT($C$5&amp;"生成成长"),5))*(VLOOKUP($B$5,标准坦克设计!$B$24:$U$30,MATCH("对"&amp;LEFT($C$5,2)&amp;"输出",标准坦克设计!$B$23:$U$23,0)))*(VLOOKUP($B138,INDIRECT($B$5&amp;"生成成长"),3))*(VLOOKUP($B$5,标准坦克设计!$B$14:$K$20,9)/30))</f>
        <v>10.086530999364017</v>
      </c>
      <c r="DT138" s="173">
        <f ca="1">(VLOOKUP(DT$72,INDIRECT($C$5&amp;"生成成长"),2))/((VLOOKUP($B138,INDIRECT($B$5&amp;"生成成长"),4))/(VLOOKUP(DT$72,INDIRECT($C$5&amp;"生成成长"),5))*(VLOOKUP($B$5,标准坦克设计!$B$24:$U$30,MATCH("对"&amp;LEFT($C$5,2)&amp;"输出",标准坦克设计!$B$23:$U$23,0)))*(VLOOKUP($B138,INDIRECT($B$5&amp;"生成成长"),3))*(VLOOKUP($B$5,标准坦克设计!$B$14:$K$20,9)/30))</f>
        <v>11.074400887978475</v>
      </c>
      <c r="DU138" s="173">
        <f ca="1">(VLOOKUP(DU$72,INDIRECT($C$5&amp;"生成成长"),2))/((VLOOKUP($B138,INDIRECT($B$5&amp;"生成成长"),4))/(VLOOKUP(DU$72,INDIRECT($C$5&amp;"生成成长"),5))*(VLOOKUP($B$5,标准坦克设计!$B$24:$U$30,MATCH("对"&amp;LEFT($C$5,2)&amp;"输出",标准坦克设计!$B$23:$U$23,0)))*(VLOOKUP($B138,INDIRECT($B$5&amp;"生成成长"),3))*(VLOOKUP($B$5,标准坦克设计!$B$14:$K$20,9)/30))</f>
        <v>12.108413319160915</v>
      </c>
      <c r="DV138" s="173">
        <f ca="1">(VLOOKUP(DV$72,INDIRECT($C$5&amp;"生成成长"),2))/((VLOOKUP($B138,INDIRECT($B$5&amp;"生成成长"),4))/(VLOOKUP(DV$72,INDIRECT($C$5&amp;"生成成长"),5))*(VLOOKUP($B$5,标准坦克设计!$B$24:$U$30,MATCH("对"&amp;LEFT($C$5,2)&amp;"输出",标准坦克设计!$B$23:$U$23,0)))*(VLOOKUP($B138,INDIRECT($B$5&amp;"生成成长"),3))*(VLOOKUP($B$5,标准坦克设计!$B$14:$K$20,9)/30))</f>
        <v>13.188568292911336</v>
      </c>
      <c r="DW138" s="173">
        <f ca="1">(VLOOKUP(DW$72,INDIRECT($C$5&amp;"生成成长"),2))/((VLOOKUP($B138,INDIRECT($B$5&amp;"生成成长"),4))/(VLOOKUP(DW$72,INDIRECT($C$5&amp;"生成成长"),5))*(VLOOKUP($B$5,标准坦克设计!$B$24:$U$30,MATCH("对"&amp;LEFT($C$5,2)&amp;"输出",标准坦克设计!$B$23:$U$23,0)))*(VLOOKUP($B138,INDIRECT($B$5&amp;"生成成长"),3))*(VLOOKUP($B$5,标准坦克设计!$B$14:$K$20,9)/30))</f>
        <v>14.314865809229733</v>
      </c>
      <c r="DX138" s="173">
        <f ca="1">(VLOOKUP(DX$72,INDIRECT($C$5&amp;"生成成长"),2))/((VLOOKUP($B138,INDIRECT($B$5&amp;"生成成长"),4))/(VLOOKUP(DX$72,INDIRECT($C$5&amp;"生成成长"),5))*(VLOOKUP($B$5,标准坦克设计!$B$24:$U$30,MATCH("对"&amp;LEFT($C$5,2)&amp;"输出",标准坦克设计!$B$23:$U$23,0)))*(VLOOKUP($B138,INDIRECT($B$5&amp;"生成成长"),3))*(VLOOKUP($B$5,标准坦克设计!$B$14:$K$20,9)/30))</f>
        <v>15.487305868116106</v>
      </c>
      <c r="DY138" s="173">
        <f ca="1">(VLOOKUP(DY$72,INDIRECT($C$5&amp;"生成成长"),2))/((VLOOKUP($B138,INDIRECT($B$5&amp;"生成成长"),4))/(VLOOKUP(DY$72,INDIRECT($C$5&amp;"生成成长"),5))*(VLOOKUP($B$5,标准坦克设计!$B$24:$U$30,MATCH("对"&amp;LEFT($C$5,2)&amp;"输出",标准坦克设计!$B$23:$U$23,0)))*(VLOOKUP($B138,INDIRECT($B$5&amp;"生成成长"),3))*(VLOOKUP($B$5,标准坦克设计!$B$14:$K$20,9)/30))</f>
        <v>6.9558929562910912</v>
      </c>
      <c r="DZ138" s="173">
        <f ca="1">(VLOOKUP(DZ$72,INDIRECT($C$5&amp;"生成成长"),2))/((VLOOKUP($B138,INDIRECT($B$5&amp;"生成成长"),4))/(VLOOKUP(DZ$72,INDIRECT($C$5&amp;"生成成长"),5))*(VLOOKUP($B$5,标准坦克设计!$B$24:$U$30,MATCH("对"&amp;LEFT($C$5,2)&amp;"输出",标准坦克设计!$B$23:$U$23,0)))*(VLOOKUP($B138,INDIRECT($B$5&amp;"生成成长"),3))*(VLOOKUP($B$5,标准坦克设计!$B$14:$K$20,9)/30))</f>
        <v>7.7033258772269493</v>
      </c>
      <c r="EA138" s="173">
        <f ca="1">(VLOOKUP(EA$72,INDIRECT($C$5&amp;"生成成长"),2))/((VLOOKUP($B138,INDIRECT($B$5&amp;"生成成长"),4))/(VLOOKUP(EA$72,INDIRECT($C$5&amp;"生成成长"),5))*(VLOOKUP($B$5,标准坦克设计!$B$24:$U$30,MATCH("对"&amp;LEFT($C$5,2)&amp;"输出",标准坦克设计!$B$23:$U$23,0)))*(VLOOKUP($B138,INDIRECT($B$5&amp;"生成成长"),3))*(VLOOKUP($B$5,标准坦克设计!$B$14:$K$20,9)/30))</f>
        <v>8.4888931308636177</v>
      </c>
      <c r="EB138" s="173">
        <f ca="1">(VLOOKUP(EB$72,INDIRECT($C$5&amp;"生成成长"),2))/((VLOOKUP($B138,INDIRECT($B$5&amp;"生成成长"),4))/(VLOOKUP(EB$72,INDIRECT($C$5&amp;"生成成长"),5))*(VLOOKUP($B$5,标准坦克设计!$B$24:$U$30,MATCH("对"&amp;LEFT($C$5,2)&amp;"输出",标准坦克设计!$B$23:$U$23,0)))*(VLOOKUP($B138,INDIRECT($B$5&amp;"生成成长"),3))*(VLOOKUP($B$5,标准坦克设计!$B$14:$K$20,9)/30))</f>
        <v>9.3125947172010939</v>
      </c>
      <c r="EC138" s="173">
        <f ca="1">(VLOOKUP(EC$72,INDIRECT($C$5&amp;"生成成长"),2))/((VLOOKUP($B138,INDIRECT($B$5&amp;"生成成长"),4))/(VLOOKUP(EC$72,INDIRECT($C$5&amp;"生成成长"),5))*(VLOOKUP($B$5,标准坦克设计!$B$24:$U$30,MATCH("对"&amp;LEFT($C$5,2)&amp;"输出",标准坦克设计!$B$23:$U$23,0)))*(VLOOKUP($B138,INDIRECT($B$5&amp;"生成成长"),3))*(VLOOKUP($B$5,标准坦克设计!$B$14:$K$20,9)/30))</f>
        <v>10.17443063623938</v>
      </c>
      <c r="ED138" s="173">
        <f ca="1">(VLOOKUP(ED$72,INDIRECT($C$5&amp;"生成成长"),2))/((VLOOKUP($B138,INDIRECT($B$5&amp;"生成成长"),4))/(VLOOKUP(ED$72,INDIRECT($C$5&amp;"生成成长"),5))*(VLOOKUP($B$5,标准坦克设计!$B$24:$U$30,MATCH("对"&amp;LEFT($C$5,2)&amp;"输出",标准坦克设计!$B$23:$U$23,0)))*(VLOOKUP($B138,INDIRECT($B$5&amp;"生成成长"),3))*(VLOOKUP($B$5,标准坦克设计!$B$14:$K$20,9)/30))</f>
        <v>11.074400887978475</v>
      </c>
      <c r="EE138" s="173">
        <f ca="1">(VLOOKUP(EE$72,INDIRECT($C$5&amp;"生成成长"),2))/((VLOOKUP($B138,INDIRECT($B$5&amp;"生成成长"),4))/(VLOOKUP(EE$72,INDIRECT($C$5&amp;"生成成长"),5))*(VLOOKUP($B$5,标准坦克设计!$B$24:$U$30,MATCH("对"&amp;LEFT($C$5,2)&amp;"输出",标准坦克设计!$B$23:$U$23,0)))*(VLOOKUP($B138,INDIRECT($B$5&amp;"生成成长"),3))*(VLOOKUP($B$5,标准坦克设计!$B$14:$K$20,9)/30))</f>
        <v>12.012505472418381</v>
      </c>
      <c r="EF138" s="173">
        <f ca="1">(VLOOKUP(EF$72,INDIRECT($C$5&amp;"生成成长"),2))/((VLOOKUP($B138,INDIRECT($B$5&amp;"生成成长"),4))/(VLOOKUP(EF$72,INDIRECT($C$5&amp;"生成成长"),5))*(VLOOKUP($B$5,标准坦克设计!$B$24:$U$30,MATCH("对"&amp;LEFT($C$5,2)&amp;"输出",标准坦克设计!$B$23:$U$23,0)))*(VLOOKUP($B138,INDIRECT($B$5&amp;"生成成长"),3))*(VLOOKUP($B$5,标准坦克设计!$B$14:$K$20,9)/30))</f>
        <v>12.988744389559095</v>
      </c>
      <c r="EG138" s="173">
        <f ca="1">(VLOOKUP(EG$72,INDIRECT($C$5&amp;"生成成长"),2))/((VLOOKUP($B138,INDIRECT($B$5&amp;"生成成长"),4))/(VLOOKUP(EG$72,INDIRECT($C$5&amp;"生成成长"),5))*(VLOOKUP($B$5,标准坦克设计!$B$24:$U$30,MATCH("对"&amp;LEFT($C$5,2)&amp;"输出",标准坦克设计!$B$23:$U$23,0)))*(VLOOKUP($B138,INDIRECT($B$5&amp;"生成成长"),3))*(VLOOKUP($B$5,标准坦克设计!$B$14:$K$20,9)/30))</f>
        <v>14.003117639400619</v>
      </c>
      <c r="EH138" s="173">
        <f ca="1">(VLOOKUP(EH$72,INDIRECT($C$5&amp;"生成成长"),2))/((VLOOKUP($B138,INDIRECT($B$5&amp;"生成成长"),4))/(VLOOKUP(EH$72,INDIRECT($C$5&amp;"生成成长"),5))*(VLOOKUP($B$5,标准坦克设计!$B$24:$U$30,MATCH("对"&amp;LEFT($C$5,2)&amp;"输出",标准坦克设计!$B$23:$U$23,0)))*(VLOOKUP($B138,INDIRECT($B$5&amp;"生成成长"),3))*(VLOOKUP($B$5,标准坦克设计!$B$14:$K$20,9)/30))</f>
        <v>15.05562522194295</v>
      </c>
      <c r="EI138" s="173">
        <f ca="1">(VLOOKUP(EI$72,INDIRECT($C$5&amp;"生成成长"),2))/((VLOOKUP($B138,INDIRECT($B$5&amp;"生成成长"),4))/(VLOOKUP(EI$72,INDIRECT($C$5&amp;"生成成长"),5))*(VLOOKUP($B$5,标准坦克设计!$B$24:$U$30,MATCH("对"&amp;LEFT($C$5,2)&amp;"输出",标准坦克设计!$B$23:$U$23,0)))*(VLOOKUP($B138,INDIRECT($B$5&amp;"生成成长"),3))*(VLOOKUP($B$5,标准坦克设计!$B$14:$K$20,9)/30))</f>
        <v>16.14626713718609</v>
      </c>
      <c r="EJ138" s="173">
        <f ca="1">(VLOOKUP(EJ$72,INDIRECT($C$5&amp;"生成成长"),2))/((VLOOKUP($B138,INDIRECT($B$5&amp;"生成成长"),4))/(VLOOKUP(EJ$72,INDIRECT($C$5&amp;"生成成长"),5))*(VLOOKUP($B$5,标准坦克设计!$B$24:$U$30,MATCH("对"&amp;LEFT($C$5,2)&amp;"输出",标准坦克设计!$B$23:$U$23,0)))*(VLOOKUP($B138,INDIRECT($B$5&amp;"生成成长"),3))*(VLOOKUP($B$5,标准坦克设计!$B$14:$K$20,9)/30))</f>
        <v>17.275043385130044</v>
      </c>
      <c r="EK138" s="173">
        <f ca="1">(VLOOKUP(EK$72,INDIRECT($C$5&amp;"生成成长"),2))/((VLOOKUP($B138,INDIRECT($B$5&amp;"生成成长"),4))/(VLOOKUP(EK$72,INDIRECT($C$5&amp;"生成成长"),5))*(VLOOKUP($B$5,标准坦克设计!$B$24:$U$30,MATCH("对"&amp;LEFT($C$5,2)&amp;"输出",标准坦克设计!$B$23:$U$23,0)))*(VLOOKUP($B138,INDIRECT($B$5&amp;"生成成长"),3))*(VLOOKUP($B$5,标准坦克设计!$B$14:$K$20,9)/30))</f>
        <v>18.679912201827847</v>
      </c>
      <c r="EL138" s="173">
        <f ca="1">(VLOOKUP(EL$72,INDIRECT($C$5&amp;"生成成长"),2))/((VLOOKUP($B138,INDIRECT($B$5&amp;"生成成长"),4))/(VLOOKUP(EL$72,INDIRECT($C$5&amp;"生成成长"),5))*(VLOOKUP($B$5,标准坦克设计!$B$24:$U$30,MATCH("对"&amp;LEFT($C$5,2)&amp;"输出",标准坦克设计!$B$23:$U$23,0)))*(VLOOKUP($B138,INDIRECT($B$5&amp;"生成成长"),3))*(VLOOKUP($B$5,标准坦克设计!$B$14:$K$20,9)/30))</f>
        <v>20.139694457614823</v>
      </c>
      <c r="EM138" s="173">
        <f ca="1">(VLOOKUP(EM$72,INDIRECT($C$5&amp;"生成成长"),2))/((VLOOKUP($B138,INDIRECT($B$5&amp;"生成成长"),4))/(VLOOKUP(EM$72,INDIRECT($C$5&amp;"生成成长"),5))*(VLOOKUP($B$5,标准坦克设计!$B$24:$U$30,MATCH("对"&amp;LEFT($C$5,2)&amp;"输出",标准坦克设计!$B$23:$U$23,0)))*(VLOOKUP($B138,INDIRECT($B$5&amp;"生成成长"),3))*(VLOOKUP($B$5,标准坦克设计!$B$14:$K$20,9)/30))</f>
        <v>21.654390152490961</v>
      </c>
      <c r="EN138" s="173">
        <f ca="1">(VLOOKUP(EN$72,INDIRECT($C$5&amp;"生成成长"),2))/((VLOOKUP($B138,INDIRECT($B$5&amp;"生成成长"),4))/(VLOOKUP(EN$72,INDIRECT($C$5&amp;"生成成长"),5))*(VLOOKUP($B$5,标准坦克设计!$B$24:$U$30,MATCH("对"&amp;LEFT($C$5,2)&amp;"输出",标准坦克设计!$B$23:$U$23,0)))*(VLOOKUP($B138,INDIRECT($B$5&amp;"生成成长"),3))*(VLOOKUP($B$5,标准坦克设计!$B$14:$K$20,9)/30))</f>
        <v>23.223999286456266</v>
      </c>
      <c r="EO138" s="173">
        <f ca="1">(VLOOKUP(EO$72,INDIRECT($C$5&amp;"生成成长"),2))/((VLOOKUP($B138,INDIRECT($B$5&amp;"生成成长"),4))/(VLOOKUP(EO$72,INDIRECT($C$5&amp;"生成成长"),5))*(VLOOKUP($B$5,标准坦克设计!$B$24:$U$30,MATCH("对"&amp;LEFT($C$5,2)&amp;"输出",标准坦克设计!$B$23:$U$23,0)))*(VLOOKUP($B138,INDIRECT($B$5&amp;"生成成长"),3))*(VLOOKUP($B$5,标准坦克设计!$B$14:$K$20,9)/30))</f>
        <v>24.848521859510736</v>
      </c>
      <c r="EP138" s="173">
        <f ca="1">(VLOOKUP(EP$72,INDIRECT($C$5&amp;"生成成长"),2))/((VLOOKUP($B138,INDIRECT($B$5&amp;"生成成长"),4))/(VLOOKUP(EP$72,INDIRECT($C$5&amp;"生成成长"),5))*(VLOOKUP($B$5,标准坦克设计!$B$24:$U$30,MATCH("对"&amp;LEFT($C$5,2)&amp;"输出",标准坦克设计!$B$23:$U$23,0)))*(VLOOKUP($B138,INDIRECT($B$5&amp;"生成成长"),3))*(VLOOKUP($B$5,标准坦克设计!$B$14:$K$20,9)/30))</f>
        <v>26.527957871654372</v>
      </c>
      <c r="EQ138" s="173">
        <f ca="1">(VLOOKUP(EQ$72,INDIRECT($C$5&amp;"生成成长"),2))/((VLOOKUP($B138,INDIRECT($B$5&amp;"生成成长"),4))/(VLOOKUP(EQ$72,INDIRECT($C$5&amp;"生成成长"),5))*(VLOOKUP($B$5,标准坦克设计!$B$24:$U$30,MATCH("对"&amp;LEFT($C$5,2)&amp;"输出",标准坦克设计!$B$23:$U$23,0)))*(VLOOKUP($B138,INDIRECT($B$5&amp;"生成成长"),3))*(VLOOKUP($B$5,标准坦克设计!$B$14:$K$20,9)/30))</f>
        <v>11.727069992152824</v>
      </c>
      <c r="ER138" s="173">
        <f ca="1">(VLOOKUP(ER$72,INDIRECT($C$5&amp;"生成成长"),2))/((VLOOKUP($B138,INDIRECT($B$5&amp;"生成成长"),4))/(VLOOKUP(ER$72,INDIRECT($C$5&amp;"生成成长"),5))*(VLOOKUP($B$5,标准坦克设计!$B$24:$U$30,MATCH("对"&amp;LEFT($C$5,2)&amp;"输出",标准坦克设计!$B$23:$U$23,0)))*(VLOOKUP($B138,INDIRECT($B$5&amp;"生成成长"),3))*(VLOOKUP($B$5,标准坦克设计!$B$14:$K$20,9)/30))</f>
        <v>12.790445859514888</v>
      </c>
      <c r="ES138" s="173">
        <f ca="1">(VLOOKUP(ES$72,INDIRECT($C$5&amp;"生成成长"),2))/((VLOOKUP($B138,INDIRECT($B$5&amp;"生成成长"),4))/(VLOOKUP(ES$72,INDIRECT($C$5&amp;"生成成长"),5))*(VLOOKUP($B$5,标准坦克设计!$B$24:$U$30,MATCH("对"&amp;LEFT($C$5,2)&amp;"输出",标准坦克设计!$B$23:$U$23,0)))*(VLOOKUP($B138,INDIRECT($B$5&amp;"生成成长"),3))*(VLOOKUP($B$5,标准坦克设计!$B$14:$K$20,9)/30))</f>
        <v>13.899964269444931</v>
      </c>
      <c r="ET138" s="173">
        <f ca="1">(VLOOKUP(ET$72,INDIRECT($C$5&amp;"生成成长"),2))/((VLOOKUP($B138,INDIRECT($B$5&amp;"生成成长"),4))/(VLOOKUP(ET$72,INDIRECT($C$5&amp;"生成成长"),5))*(VLOOKUP($B$5,标准坦克设计!$B$24:$U$30,MATCH("对"&amp;LEFT($C$5,2)&amp;"输出",标准坦克设计!$B$23:$U$23,0)))*(VLOOKUP($B138,INDIRECT($B$5&amp;"生成成长"),3))*(VLOOKUP($B$5,标准坦克设计!$B$14:$K$20,9)/30))</f>
        <v>15.05562522194295</v>
      </c>
      <c r="EU138" s="173">
        <f ca="1">(VLOOKUP(EU$72,INDIRECT($C$5&amp;"生成成长"),2))/((VLOOKUP($B138,INDIRECT($B$5&amp;"生成成长"),4))/(VLOOKUP(EU$72,INDIRECT($C$5&amp;"生成成长"),5))*(VLOOKUP($B$5,标准坦克设计!$B$24:$U$30,MATCH("对"&amp;LEFT($C$5,2)&amp;"输出",标准坦克设计!$B$23:$U$23,0)))*(VLOOKUP($B138,INDIRECT($B$5&amp;"生成成长"),3))*(VLOOKUP($B$5,标准坦克设计!$B$14:$K$20,9)/30))</f>
        <v>16.257428717008949</v>
      </c>
      <c r="EV138" s="173">
        <f ca="1">(VLOOKUP(EV$72,INDIRECT($C$5&amp;"生成成长"),2))/((VLOOKUP($B138,INDIRECT($B$5&amp;"生成成长"),4))/(VLOOKUP(EV$72,INDIRECT($C$5&amp;"生成成长"),5))*(VLOOKUP($B$5,标准坦克设计!$B$24:$U$30,MATCH("对"&amp;LEFT($C$5,2)&amp;"输出",标准坦克设计!$B$23:$U$23,0)))*(VLOOKUP($B138,INDIRECT($B$5&amp;"生成成长"),3))*(VLOOKUP($B$5,标准坦克设计!$B$14:$K$20,9)/30))</f>
        <v>17.505374754642929</v>
      </c>
      <c r="EW138" s="173">
        <f ca="1">(VLOOKUP(EW$72,INDIRECT($C$5&amp;"生成成长"),2))/((VLOOKUP($B138,INDIRECT($B$5&amp;"生成成长"),4))/(VLOOKUP(EW$72,INDIRECT($C$5&amp;"生成成长"),5))*(VLOOKUP($B$5,标准坦克设计!$B$24:$U$30,MATCH("对"&amp;LEFT($C$5,2)&amp;"输出",标准坦克设计!$B$23:$U$23,0)))*(VLOOKUP($B138,INDIRECT($B$5&amp;"生成成长"),3))*(VLOOKUP($B$5,标准坦克设计!$B$14:$K$20,9)/30))</f>
        <v>18.799463334844887</v>
      </c>
      <c r="EX138" s="173">
        <f ca="1">(VLOOKUP(EX$72,INDIRECT($C$5&amp;"生成成长"),2))/((VLOOKUP($B138,INDIRECT($B$5&amp;"生成成长"),4))/(VLOOKUP(EX$72,INDIRECT($C$5&amp;"生成成长"),5))*(VLOOKUP($B$5,标准坦克设计!$B$24:$U$30,MATCH("对"&amp;LEFT($C$5,2)&amp;"输出",标准坦克设计!$B$23:$U$23,0)))*(VLOOKUP($B138,INDIRECT($B$5&amp;"生成成长"),3))*(VLOOKUP($B$5,标准坦克设计!$B$14:$K$20,9)/30))</f>
        <v>20.139694457614823</v>
      </c>
      <c r="EY138" s="173">
        <f ca="1">(VLOOKUP(EY$72,INDIRECT($C$5&amp;"生成成长"),2))/((VLOOKUP($B138,INDIRECT($B$5&amp;"生成成长"),4))/(VLOOKUP(EY$72,INDIRECT($C$5&amp;"生成成长"),5))*(VLOOKUP($B$5,标准坦克设计!$B$24:$U$30,MATCH("对"&amp;LEFT($C$5,2)&amp;"输出",标准坦克设计!$B$23:$U$23,0)))*(VLOOKUP($B138,INDIRECT($B$5&amp;"生成成长"),3))*(VLOOKUP($B$5,标准坦克设计!$B$14:$K$20,9)/30))</f>
        <v>21.52606812295274</v>
      </c>
      <c r="EZ138" s="173">
        <f ca="1">(VLOOKUP(EZ$72,INDIRECT($C$5&amp;"生成成长"),2))/((VLOOKUP($B138,INDIRECT($B$5&amp;"生成成长"),4))/(VLOOKUP(EZ$72,INDIRECT($C$5&amp;"生成成长"),5))*(VLOOKUP($B$5,标准坦克设计!$B$24:$U$30,MATCH("对"&amp;LEFT($C$5,2)&amp;"输出",标准坦克设计!$B$23:$U$23,0)))*(VLOOKUP($B138,INDIRECT($B$5&amp;"生成成长"),3))*(VLOOKUP($B$5,标准坦克设计!$B$14:$K$20,9)/30))</f>
        <v>22.958584330858635</v>
      </c>
      <c r="FA138" s="173">
        <f ca="1">(VLOOKUP(FA$72,INDIRECT($C$5&amp;"生成成长"),2))/((VLOOKUP($B138,INDIRECT($B$5&amp;"生成成长"),4))/(VLOOKUP(FA$72,INDIRECT($C$5&amp;"生成成长"),5))*(VLOOKUP($B$5,标准坦克设计!$B$24:$U$30,MATCH("对"&amp;LEFT($C$5,2)&amp;"输出",标准坦克设计!$B$23:$U$23,0)))*(VLOOKUP($B138,INDIRECT($B$5&amp;"生成成长"),3))*(VLOOKUP($B$5,标准坦克设计!$B$14:$K$20,9)/30))</f>
        <v>24.437243081332511</v>
      </c>
      <c r="FB138" s="173">
        <f ca="1">(VLOOKUP(FB$72,INDIRECT($C$5&amp;"生成成长"),2))/((VLOOKUP($B138,INDIRECT($B$5&amp;"生成成长"),4))/(VLOOKUP(FB$72,INDIRECT($C$5&amp;"生成成长"),5))*(VLOOKUP($B$5,标准坦克设计!$B$24:$U$30,MATCH("对"&amp;LEFT($C$5,2)&amp;"输出",标准坦克设计!$B$23:$U$23,0)))*(VLOOKUP($B138,INDIRECT($B$5&amp;"生成成长"),3))*(VLOOKUP($B$5,标准坦克设计!$B$14:$K$20,9)/30))</f>
        <v>25.962044374374358</v>
      </c>
      <c r="FC138" s="173">
        <f ca="1">(VLOOKUP(FC$72,INDIRECT($C$5&amp;"生成成长"),2))/((VLOOKUP($B138,INDIRECT($B$5&amp;"生成成长"),4))/(VLOOKUP(FC$72,INDIRECT($C$5&amp;"生成成长"),5))*(VLOOKUP($B$5,标准坦克设计!$B$24:$U$30,MATCH("对"&amp;LEFT($C$5,2)&amp;"输出",标准坦克设计!$B$23:$U$23,0)))*(VLOOKUP($B138,INDIRECT($B$5&amp;"生成成长"),3))*(VLOOKUP($B$5,标准坦克设计!$B$14:$K$20,9)/30))</f>
        <v>27.532988209984197</v>
      </c>
      <c r="FD138" s="173">
        <f ca="1">(VLOOKUP(FD$72,INDIRECT($C$5&amp;"生成成长"),2))/((VLOOKUP($B138,INDIRECT($B$5&amp;"生成成长"),4))/(VLOOKUP(FD$72,INDIRECT($C$5&amp;"生成成长"),5))*(VLOOKUP($B$5,标准坦克设计!$B$24:$U$30,MATCH("对"&amp;LEFT($C$5,2)&amp;"输出",标准坦克设计!$B$23:$U$23,0)))*(VLOOKUP($B138,INDIRECT($B$5&amp;"生成成长"),3))*(VLOOKUP($B$5,标准坦克设计!$B$14:$K$20,9)/30))</f>
        <v>29.150074588161999</v>
      </c>
      <c r="FE138" s="173">
        <f ca="1">(VLOOKUP(FE$72,INDIRECT($C$5&amp;"生成成长"),2))/((VLOOKUP($B138,INDIRECT($B$5&amp;"生成成长"),4))/(VLOOKUP(FE$72,INDIRECT($C$5&amp;"生成成长"),5))*(VLOOKUP($B$5,标准坦克设计!$B$24:$U$30,MATCH("对"&amp;LEFT($C$5,2)&amp;"输出",标准坦克设计!$B$23:$U$23,0)))*(VLOOKUP($B138,INDIRECT($B$5&amp;"生成成长"),3))*(VLOOKUP($B$5,标准坦克设计!$B$14:$K$20,9)/30))</f>
        <v>31.120666230476314</v>
      </c>
      <c r="FF138" s="173">
        <f ca="1">(VLOOKUP(FF$72,INDIRECT($C$5&amp;"生成成长"),2))/((VLOOKUP($B138,INDIRECT($B$5&amp;"生成成长"),4))/(VLOOKUP(FF$72,INDIRECT($C$5&amp;"生成成长"),5))*(VLOOKUP($B$5,标准坦克设计!$B$24:$U$30,MATCH("对"&amp;LEFT($C$5,2)&amp;"输出",标准坦克设计!$B$23:$U$23,0)))*(VLOOKUP($B138,INDIRECT($B$5&amp;"生成成长"),3))*(VLOOKUP($B$5,标准坦克设计!$B$14:$K$20,9)/30))</f>
        <v>33.155704895055003</v>
      </c>
      <c r="FG138" s="173">
        <f ca="1">(VLOOKUP(FG$72,INDIRECT($C$5&amp;"生成成长"),2))/((VLOOKUP($B138,INDIRECT($B$5&amp;"生成成长"),4))/(VLOOKUP(FG$72,INDIRECT($C$5&amp;"生成成长"),5))*(VLOOKUP($B$5,标准坦克设计!$B$24:$U$30,MATCH("对"&amp;LEFT($C$5,2)&amp;"输出",标准坦克设计!$B$23:$U$23,0)))*(VLOOKUP($B138,INDIRECT($B$5&amp;"生成成长"),3))*(VLOOKUP($B$5,标准坦克设计!$B$14:$K$20,9)/30))</f>
        <v>35.255190581898042</v>
      </c>
      <c r="FH138" s="173">
        <f ca="1">(VLOOKUP(FH$72,INDIRECT($C$5&amp;"生成成长"),2))/((VLOOKUP($B138,INDIRECT($B$5&amp;"生成成长"),4))/(VLOOKUP(FH$72,INDIRECT($C$5&amp;"生成成长"),5))*(VLOOKUP($B$5,标准坦克设计!$B$24:$U$30,MATCH("对"&amp;LEFT($C$5,2)&amp;"输出",标准坦克设计!$B$23:$U$23,0)))*(VLOOKUP($B138,INDIRECT($B$5&amp;"生成成长"),3))*(VLOOKUP($B$5,标准坦克设计!$B$14:$K$20,9)/30))</f>
        <v>37.419123291005455</v>
      </c>
      <c r="FI138" s="173">
        <f ca="1">(VLOOKUP(FI$72,INDIRECT($C$5&amp;"生成成长"),2))/((VLOOKUP($B138,INDIRECT($B$5&amp;"生成成长"),4))/(VLOOKUP(FI$72,INDIRECT($C$5&amp;"生成成长"),5))*(VLOOKUP($B$5,标准坦克设计!$B$24:$U$30,MATCH("对"&amp;LEFT($C$5,2)&amp;"输出",标准坦克设计!$B$23:$U$23,0)))*(VLOOKUP($B138,INDIRECT($B$5&amp;"生成成长"),3))*(VLOOKUP($B$5,标准坦克设计!$B$14:$K$20,9)/30))</f>
        <v>39.647503022377244</v>
      </c>
      <c r="FJ138" s="173">
        <f ca="1">(VLOOKUP(FJ$72,INDIRECT($C$5&amp;"生成成长"),2))/((VLOOKUP($B138,INDIRECT($B$5&amp;"生成成长"),4))/(VLOOKUP(FJ$72,INDIRECT($C$5&amp;"生成成长"),5))*(VLOOKUP($B$5,标准坦克设计!$B$24:$U$30,MATCH("对"&amp;LEFT($C$5,2)&amp;"输出",标准坦克设计!$B$23:$U$23,0)))*(VLOOKUP($B138,INDIRECT($B$5&amp;"生成成长"),3))*(VLOOKUP($B$5,标准坦克设计!$B$14:$K$20,9)/30))</f>
        <v>41.940329776013392</v>
      </c>
      <c r="FK138" s="173">
        <f ca="1">(VLOOKUP(FK$72,INDIRECT($C$5&amp;"生成成长"),2))/((VLOOKUP($B138,INDIRECT($B$5&amp;"生成成长"),4))/(VLOOKUP(FK$72,INDIRECT($C$5&amp;"生成成长"),5))*(VLOOKUP($B$5,标准坦克设计!$B$24:$U$30,MATCH("对"&amp;LEFT($C$5,2)&amp;"输出",标准坦克设计!$B$23:$U$23,0)))*(VLOOKUP($B138,INDIRECT($B$5&amp;"生成成长"),3))*(VLOOKUP($B$5,标准坦克设计!$B$14:$K$20,9)/30))</f>
        <v>44.297603551913902</v>
      </c>
    </row>
    <row r="139" spans="1:167" x14ac:dyDescent="0.15">
      <c r="A139" s="171" t="str">
        <f t="shared" si="12"/>
        <v>T3中品质10级</v>
      </c>
      <c r="B139" s="172">
        <v>20310</v>
      </c>
      <c r="C139" s="173">
        <f ca="1">(VLOOKUP(C$72,INDIRECT($C$5&amp;"生成成长"),2))/((VLOOKUP($B139,INDIRECT($B$5&amp;"生成成长"),4))/(VLOOKUP(C$72,INDIRECT($C$5&amp;"生成成长"),5))*(VLOOKUP($B$5,标准坦克设计!$B$24:$U$30,MATCH("对"&amp;LEFT($C$5,2)&amp;"输出",标准坦克设计!$B$23:$U$23,0)))*(VLOOKUP($B139,INDIRECT($B$5&amp;"生成成长"),3))*(VLOOKUP($B$5,标准坦克设计!$B$14:$K$20,9)/30))</f>
        <v>1.7603031469894275</v>
      </c>
      <c r="D139" s="173">
        <f ca="1">(VLOOKUP(D$72,INDIRECT($C$5&amp;"生成成长"),2))/((VLOOKUP($B139,INDIRECT($B$5&amp;"生成成长"),4))/(VLOOKUP(D$72,INDIRECT($C$5&amp;"生成成长"),5))*(VLOOKUP($B$5,标准坦克设计!$B$24:$U$30,MATCH("对"&amp;LEFT($C$5,2)&amp;"输出",标准坦克设计!$B$23:$U$23,0)))*(VLOOKUP($B139,INDIRECT($B$5&amp;"生成成长"),3))*(VLOOKUP($B$5,标准坦克设计!$B$14:$K$20,9)/30))</f>
        <v>1.9778766159573207</v>
      </c>
      <c r="E139" s="173">
        <f ca="1">(VLOOKUP(E$72,INDIRECT($C$5&amp;"生成成长"),2))/((VLOOKUP($B139,INDIRECT($B$5&amp;"生成成长"),4))/(VLOOKUP(E$72,INDIRECT($C$5&amp;"生成成长"),5))*(VLOOKUP($B$5,标准坦克设计!$B$24:$U$30,MATCH("对"&amp;LEFT($C$5,2)&amp;"输出",标准坦克设计!$B$23:$U$23,0)))*(VLOOKUP($B139,INDIRECT($B$5&amp;"生成成长"),3))*(VLOOKUP($B$5,标准坦克设计!$B$14:$K$20,9)/30))</f>
        <v>2.2081242675835373</v>
      </c>
      <c r="F139" s="173">
        <f ca="1">(VLOOKUP(F$72,INDIRECT($C$5&amp;"生成成长"),2))/((VLOOKUP($B139,INDIRECT($B$5&amp;"生成成长"),4))/(VLOOKUP(F$72,INDIRECT($C$5&amp;"生成成长"),5))*(VLOOKUP($B$5,标准坦克设计!$B$24:$U$30,MATCH("对"&amp;LEFT($C$5,2)&amp;"输出",标准坦克设计!$B$23:$U$23,0)))*(VLOOKUP($B139,INDIRECT($B$5&amp;"生成成长"),3))*(VLOOKUP($B$5,标准坦克设计!$B$14:$K$20,9)/30))</f>
        <v>2.4510461018680787</v>
      </c>
      <c r="G139" s="173">
        <f ca="1">(VLOOKUP(G$72,INDIRECT($C$5&amp;"生成成长"),2))/((VLOOKUP($B139,INDIRECT($B$5&amp;"生成成长"),4))/(VLOOKUP(G$72,INDIRECT($C$5&amp;"生成成长"),5))*(VLOOKUP($B$5,标准坦克设计!$B$24:$U$30,MATCH("对"&amp;LEFT($C$5,2)&amp;"输出",标准坦克设计!$B$23:$U$23,0)))*(VLOOKUP($B139,INDIRECT($B$5&amp;"生成成长"),3))*(VLOOKUP($B$5,标准坦克设计!$B$14:$K$20,9)/30))</f>
        <v>2.7066421188109437</v>
      </c>
      <c r="H139" s="173">
        <f ca="1">(VLOOKUP(H$72,INDIRECT($C$5&amp;"生成成长"),2))/((VLOOKUP($B139,INDIRECT($B$5&amp;"生成成长"),4))/(VLOOKUP(H$72,INDIRECT($C$5&amp;"生成成长"),5))*(VLOOKUP($B$5,标准坦克设计!$B$24:$U$30,MATCH("对"&amp;LEFT($C$5,2)&amp;"输出",标准坦克设计!$B$23:$U$23,0)))*(VLOOKUP($B139,INDIRECT($B$5&amp;"生成成长"),3))*(VLOOKUP($B$5,标准坦克设计!$B$14:$K$20,9)/30))</f>
        <v>2.3686639145889732</v>
      </c>
      <c r="I139" s="173">
        <f ca="1">(VLOOKUP(I$72,INDIRECT($C$5&amp;"生成成长"),2))/((VLOOKUP($B139,INDIRECT($B$5&amp;"生成成长"),4))/(VLOOKUP(I$72,INDIRECT($C$5&amp;"生成成长"),5))*(VLOOKUP($B$5,标准坦克设计!$B$24:$U$30,MATCH("对"&amp;LEFT($C$5,2)&amp;"输出",标准坦克设计!$B$23:$U$23,0)))*(VLOOKUP($B139,INDIRECT($B$5&amp;"生成成长"),3))*(VLOOKUP($B$5,标准坦克设计!$B$14:$K$20,9)/30))</f>
        <v>2.7066421188109437</v>
      </c>
      <c r="J139" s="173">
        <f ca="1">(VLOOKUP(J$72,INDIRECT($C$5&amp;"生成成长"),2))/((VLOOKUP($B139,INDIRECT($B$5&amp;"生成成长"),4))/(VLOOKUP(J$72,INDIRECT($C$5&amp;"生成成长"),5))*(VLOOKUP($B$5,标准坦克设计!$B$24:$U$30,MATCH("对"&amp;LEFT($C$5,2)&amp;"输出",标准坦克设计!$B$23:$U$23,0)))*(VLOOKUP($B139,INDIRECT($B$5&amp;"生成成长"),3))*(VLOOKUP($B$5,标准坦克设计!$B$14:$K$20,9)/30))</f>
        <v>3.0671522033143783</v>
      </c>
      <c r="K139" s="173">
        <f ca="1">(VLOOKUP(K$72,INDIRECT($C$5&amp;"生成成长"),2))/((VLOOKUP($B139,INDIRECT($B$5&amp;"生成成长"),4))/(VLOOKUP(K$72,INDIRECT($C$5&amp;"生成成长"),5))*(VLOOKUP($B$5,标准坦克设计!$B$24:$U$30,MATCH("对"&amp;LEFT($C$5,2)&amp;"输出",标准坦克设计!$B$23:$U$23,0)))*(VLOOKUP($B139,INDIRECT($B$5&amp;"生成成长"),3))*(VLOOKUP($B$5,标准坦克设计!$B$14:$K$20,9)/30))</f>
        <v>3.4501941680992778</v>
      </c>
      <c r="L139" s="173">
        <f ca="1">(VLOOKUP(L$72,INDIRECT($C$5&amp;"生成成长"),2))/((VLOOKUP($B139,INDIRECT($B$5&amp;"生成成长"),4))/(VLOOKUP(L$72,INDIRECT($C$5&amp;"生成成长"),5))*(VLOOKUP($B$5,标准坦克设计!$B$24:$U$30,MATCH("对"&amp;LEFT($C$5,2)&amp;"输出",标准坦克设计!$B$23:$U$23,0)))*(VLOOKUP($B139,INDIRECT($B$5&amp;"生成成长"),3))*(VLOOKUP($B$5,标准坦克设计!$B$14:$K$20,9)/30))</f>
        <v>3.8557680131656413</v>
      </c>
      <c r="M139" s="173">
        <f ca="1">(VLOOKUP(M$72,INDIRECT($C$5&amp;"生成成长"),2))/((VLOOKUP($B139,INDIRECT($B$5&amp;"生成成长"),4))/(VLOOKUP(M$72,INDIRECT($C$5&amp;"生成成长"),5))*(VLOOKUP($B$5,标准坦克设计!$B$24:$U$30,MATCH("对"&amp;LEFT($C$5,2)&amp;"输出",标准坦克设计!$B$23:$U$23,0)))*(VLOOKUP($B139,INDIRECT($B$5&amp;"生成成长"),3))*(VLOOKUP($B$5,标准坦克设计!$B$14:$K$20,9)/30))</f>
        <v>4.2838737385134698</v>
      </c>
      <c r="N139" s="173">
        <f ca="1">(VLOOKUP(N$72,INDIRECT($C$5&amp;"生成成长"),2))/((VLOOKUP($B139,INDIRECT($B$5&amp;"生成成长"),4))/(VLOOKUP(N$72,INDIRECT($C$5&amp;"生成成长"),5))*(VLOOKUP($B$5,标准坦克设计!$B$24:$U$30,MATCH("对"&amp;LEFT($C$5,2)&amp;"输出",标准坦克设计!$B$23:$U$23,0)))*(VLOOKUP($B139,INDIRECT($B$5&amp;"生成成长"),3))*(VLOOKUP($B$5,标准坦克设计!$B$14:$K$20,9)/30))</f>
        <v>4.7345113441427644</v>
      </c>
      <c r="O139" s="173">
        <f ca="1">(VLOOKUP(O$72,INDIRECT($C$5&amp;"生成成长"),2))/((VLOOKUP($B139,INDIRECT($B$5&amp;"生成成长"),4))/(VLOOKUP(O$72,INDIRECT($C$5&amp;"生成成长"),5))*(VLOOKUP($B$5,标准坦克设计!$B$24:$U$30,MATCH("对"&amp;LEFT($C$5,2)&amp;"输出",标准坦克设计!$B$23:$U$23,0)))*(VLOOKUP($B139,INDIRECT($B$5&amp;"生成成长"),3))*(VLOOKUP($B$5,标准坦克设计!$B$14:$K$20,9)/30))</f>
        <v>3.5996439052786799</v>
      </c>
      <c r="P139" s="173">
        <f ca="1">(VLOOKUP(P$72,INDIRECT($C$5&amp;"生成成长"),2))/((VLOOKUP($B139,INDIRECT($B$5&amp;"生成成长"),4))/(VLOOKUP(P$72,INDIRECT($C$5&amp;"生成成长"),5))*(VLOOKUP($B$5,标准坦克设计!$B$24:$U$30,MATCH("对"&amp;LEFT($C$5,2)&amp;"输出",标准坦克设计!$B$23:$U$23,0)))*(VLOOKUP($B139,INDIRECT($B$5&amp;"生成成长"),3))*(VLOOKUP($B$5,标准坦克设计!$B$14:$K$20,9)/30))</f>
        <v>4.0670043908043736</v>
      </c>
      <c r="Q139" s="173">
        <f ca="1">(VLOOKUP(Q$72,INDIRECT($C$5&amp;"生成成长"),2))/((VLOOKUP($B139,INDIRECT($B$5&amp;"生成成长"),4))/(VLOOKUP(Q$72,INDIRECT($C$5&amp;"生成成长"),5))*(VLOOKUP($B$5,标准坦克设计!$B$24:$U$30,MATCH("对"&amp;LEFT($C$5,2)&amp;"输出",标准坦克设计!$B$23:$U$23,0)))*(VLOOKUP($B139,INDIRECT($B$5&amp;"生成成长"),3))*(VLOOKUP($B$5,标准坦克设计!$B$14:$K$20,9)/30))</f>
        <v>4.5628817873112952</v>
      </c>
      <c r="R139" s="173">
        <f ca="1">(VLOOKUP(R$72,INDIRECT($C$5&amp;"生成成长"),2))/((VLOOKUP($B139,INDIRECT($B$5&amp;"生成成长"),4))/(VLOOKUP(R$72,INDIRECT($C$5&amp;"生成成长"),5))*(VLOOKUP($B$5,标准坦克设计!$B$24:$U$30,MATCH("对"&amp;LEFT($C$5,2)&amp;"输出",标准坦克设计!$B$23:$U$23,0)))*(VLOOKUP($B139,INDIRECT($B$5&amp;"生成成长"),3))*(VLOOKUP($B$5,标准坦克设计!$B$14:$K$20,9)/30))</f>
        <v>5.0872760947994449</v>
      </c>
      <c r="S139" s="173">
        <f ca="1">(VLOOKUP(S$72,INDIRECT($C$5&amp;"生成成长"),2))/((VLOOKUP($B139,INDIRECT($B$5&amp;"生成成长"),4))/(VLOOKUP(S$72,INDIRECT($C$5&amp;"生成成长"),5))*(VLOOKUP($B$5,标准坦克设计!$B$24:$U$30,MATCH("对"&amp;LEFT($C$5,2)&amp;"输出",标准坦克设计!$B$23:$U$23,0)))*(VLOOKUP($B139,INDIRECT($B$5&amp;"生成成长"),3))*(VLOOKUP($B$5,标准坦克设计!$B$14:$K$20,9)/30))</f>
        <v>5.6401873132688252</v>
      </c>
      <c r="T139" s="173">
        <f ca="1">(VLOOKUP(T$72,INDIRECT($C$5&amp;"生成成长"),2))/((VLOOKUP($B139,INDIRECT($B$5&amp;"生成成长"),4))/(VLOOKUP(T$72,INDIRECT($C$5&amp;"生成成长"),5))*(VLOOKUP($B$5,标准坦克设计!$B$24:$U$30,MATCH("对"&amp;LEFT($C$5,2)&amp;"输出",标准坦克设计!$B$23:$U$23,0)))*(VLOOKUP($B139,INDIRECT($B$5&amp;"生成成长"),3))*(VLOOKUP($B$5,标准坦克设计!$B$14:$K$20,9)/30))</f>
        <v>6.2216154427194317</v>
      </c>
      <c r="U139" s="173">
        <f ca="1">(VLOOKUP(U$72,INDIRECT($C$5&amp;"生成成长"),2))/((VLOOKUP($B139,INDIRECT($B$5&amp;"生成成长"),4))/(VLOOKUP(U$72,INDIRECT($C$5&amp;"生成成长"),5))*(VLOOKUP($B$5,标准坦克设计!$B$24:$U$30,MATCH("对"&amp;LEFT($C$5,2)&amp;"输出",标准坦克设计!$B$23:$U$23,0)))*(VLOOKUP($B139,INDIRECT($B$5&amp;"生成成长"),3))*(VLOOKUP($B$5,标准坦克设计!$B$14:$K$20,9)/30))</f>
        <v>6.8315604831512688</v>
      </c>
      <c r="V139" s="173">
        <f ca="1">(VLOOKUP(V$72,INDIRECT($C$5&amp;"生成成长"),2))/((VLOOKUP($B139,INDIRECT($B$5&amp;"生成成长"),4))/(VLOOKUP(V$72,INDIRECT($C$5&amp;"生成成长"),5))*(VLOOKUP($B$5,标准坦克设计!$B$24:$U$30,MATCH("对"&amp;LEFT($C$5,2)&amp;"输出",标准坦克设计!$B$23:$U$23,0)))*(VLOOKUP($B139,INDIRECT($B$5&amp;"生成成长"),3))*(VLOOKUP($B$5,标准坦克设计!$B$14:$K$20,9)/30))</f>
        <v>7.470022434564334</v>
      </c>
      <c r="W139" s="173">
        <f ca="1">(VLOOKUP(W$72,INDIRECT($C$5&amp;"生成成长"),2))/((VLOOKUP($B139,INDIRECT($B$5&amp;"生成成长"),4))/(VLOOKUP(W$72,INDIRECT($C$5&amp;"生成成长"),5))*(VLOOKUP($B$5,标准坦克设计!$B$24:$U$30,MATCH("对"&amp;LEFT($C$5,2)&amp;"输出",标准坦克设计!$B$23:$U$23,0)))*(VLOOKUP($B139,INDIRECT($B$5&amp;"生成成长"),3))*(VLOOKUP($B$5,标准坦克设计!$B$14:$K$20,9)/30))</f>
        <v>8.1370012969586263</v>
      </c>
      <c r="X139" s="173">
        <f ca="1">(VLOOKUP(X$72,INDIRECT($C$5&amp;"生成成长"),2))/((VLOOKUP($B139,INDIRECT($B$5&amp;"生成成长"),4))/(VLOOKUP(X$72,INDIRECT($C$5&amp;"生成成长"),5))*(VLOOKUP($B$5,标准坦克设计!$B$24:$U$30,MATCH("对"&amp;LEFT($C$5,2)&amp;"输出",标准坦克设计!$B$23:$U$23,0)))*(VLOOKUP($B139,INDIRECT($B$5&amp;"生成成长"),3))*(VLOOKUP($B$5,标准坦克设计!$B$14:$K$20,9)/30))</f>
        <v>5.8950792089528932</v>
      </c>
      <c r="Y139" s="173">
        <f ca="1">(VLOOKUP(Y$72,INDIRECT($C$5&amp;"生成成长"),2))/((VLOOKUP($B139,INDIRECT($B$5&amp;"生成成长"),4))/(VLOOKUP(Y$72,INDIRECT($C$5&amp;"生成成长"),5))*(VLOOKUP($B$5,标准坦克设计!$B$24:$U$30,MATCH("对"&amp;LEFT($C$5,2)&amp;"输出",标准坦克设计!$B$23:$U$23,0)))*(VLOOKUP($B139,INDIRECT($B$5&amp;"生成成长"),3))*(VLOOKUP($B$5,标准坦克设计!$B$14:$K$20,9)/30))</f>
        <v>6.5569531922209183</v>
      </c>
      <c r="Z139" s="173">
        <f ca="1">(VLOOKUP(Z$72,INDIRECT($C$5&amp;"生成成长"),2))/((VLOOKUP($B139,INDIRECT($B$5&amp;"生成成长"),4))/(VLOOKUP(Z$72,INDIRECT($C$5&amp;"生成成长"),5))*(VLOOKUP($B$5,标准坦克设计!$B$24:$U$30,MATCH("对"&amp;LEFT($C$5,2)&amp;"输出",标准坦克设计!$B$23:$U$23,0)))*(VLOOKUP($B139,INDIRECT($B$5&amp;"生成成长"),3))*(VLOOKUP($B$5,标准坦克设计!$B$14:$K$20,9)/30))</f>
        <v>7.2540332384287316</v>
      </c>
      <c r="AA139" s="173">
        <f ca="1">(VLOOKUP(AA$72,INDIRECT($C$5&amp;"生成成长"),2))/((VLOOKUP($B139,INDIRECT($B$5&amp;"生成成长"),4))/(VLOOKUP(AA$72,INDIRECT($C$5&amp;"生成成长"),5))*(VLOOKUP($B$5,标准坦克设计!$B$24:$U$30,MATCH("对"&amp;LEFT($C$5,2)&amp;"输出",标准坦克设计!$B$23:$U$23,0)))*(VLOOKUP($B139,INDIRECT($B$5&amp;"生成成长"),3))*(VLOOKUP($B$5,标准坦克设计!$B$14:$K$20,9)/30))</f>
        <v>7.9863193475763321</v>
      </c>
      <c r="AB139" s="173">
        <f ca="1">(VLOOKUP(AB$72,INDIRECT($C$5&amp;"生成成长"),2))/((VLOOKUP($B139,INDIRECT($B$5&amp;"生成成长"),4))/(VLOOKUP(AB$72,INDIRECT($C$5&amp;"生成成长"),5))*(VLOOKUP($B$5,标准坦克设计!$B$24:$U$30,MATCH("对"&amp;LEFT($C$5,2)&amp;"输出",标准坦克设计!$B$23:$U$23,0)))*(VLOOKUP($B139,INDIRECT($B$5&amp;"生成成长"),3))*(VLOOKUP($B$5,标准坦克设计!$B$14:$K$20,9)/30))</f>
        <v>8.7538115196637225</v>
      </c>
      <c r="AC139" s="173">
        <f ca="1">(VLOOKUP(AC$72,INDIRECT($C$5&amp;"生成成长"),2))/((VLOOKUP($B139,INDIRECT($B$5&amp;"生成成长"),4))/(VLOOKUP(AC$72,INDIRECT($C$5&amp;"生成成长"),5))*(VLOOKUP($B$5,标准坦克设计!$B$24:$U$30,MATCH("对"&amp;LEFT($C$5,2)&amp;"输出",标准坦克设计!$B$23:$U$23,0)))*(VLOOKUP($B139,INDIRECT($B$5&amp;"生成成长"),3))*(VLOOKUP($B$5,标准坦克设计!$B$14:$K$20,9)/30))</f>
        <v>9.5565097546909019</v>
      </c>
      <c r="AD139" s="173">
        <f ca="1">(VLOOKUP(AD$72,INDIRECT($C$5&amp;"生成成长"),2))/((VLOOKUP($B139,INDIRECT($B$5&amp;"生成成长"),4))/(VLOOKUP(AD$72,INDIRECT($C$5&amp;"生成成长"),5))*(VLOOKUP($B$5,标准坦克设计!$B$24:$U$30,MATCH("对"&amp;LEFT($C$5,2)&amp;"输出",标准坦克设计!$B$23:$U$23,0)))*(VLOOKUP($B139,INDIRECT($B$5&amp;"生成成长"),3))*(VLOOKUP($B$5,标准坦克设计!$B$14:$K$20,9)/30))</f>
        <v>10.39441405265787</v>
      </c>
      <c r="AE139" s="173">
        <f ca="1">(VLOOKUP(AE$72,INDIRECT($C$5&amp;"生成成长"),2))/((VLOOKUP($B139,INDIRECT($B$5&amp;"生成成长"),4))/(VLOOKUP(AE$72,INDIRECT($C$5&amp;"生成成长"),5))*(VLOOKUP($B$5,标准坦克设计!$B$24:$U$30,MATCH("对"&amp;LEFT($C$5,2)&amp;"输出",标准坦克设计!$B$23:$U$23,0)))*(VLOOKUP($B139,INDIRECT($B$5&amp;"生成成长"),3))*(VLOOKUP($B$5,标准坦克设计!$B$14:$K$20,9)/30))</f>
        <v>11.267524413564626</v>
      </c>
      <c r="AF139" s="173">
        <f ca="1">(VLOOKUP(AF$72,INDIRECT($C$5&amp;"生成成长"),2))/((VLOOKUP($B139,INDIRECT($B$5&amp;"生成成长"),4))/(VLOOKUP(AF$72,INDIRECT($C$5&amp;"生成成长"),5))*(VLOOKUP($B$5,标准坦克设计!$B$24:$U$30,MATCH("对"&amp;LEFT($C$5,2)&amp;"输出",标准坦克设计!$B$23:$U$23,0)))*(VLOOKUP($B139,INDIRECT($B$5&amp;"生成成长"),3))*(VLOOKUP($B$5,标准坦克设计!$B$14:$K$20,9)/30))</f>
        <v>12.175840837411167</v>
      </c>
      <c r="AG139" s="173">
        <f ca="1">(VLOOKUP(AG$72,INDIRECT($C$5&amp;"生成成长"),2))/((VLOOKUP($B139,INDIRECT($B$5&amp;"生成成长"),4))/(VLOOKUP(AG$72,INDIRECT($C$5&amp;"生成成长"),5))*(VLOOKUP($B$5,标准坦克设计!$B$24:$U$30,MATCH("对"&amp;LEFT($C$5,2)&amp;"输出",标准坦克设计!$B$23:$U$23,0)))*(VLOOKUP($B139,INDIRECT($B$5&amp;"生成成长"),3))*(VLOOKUP($B$5,标准坦克设计!$B$14:$K$20,9)/30))</f>
        <v>13.119363324197504</v>
      </c>
      <c r="AH139" s="173">
        <f ca="1">(VLOOKUP(AH$72,INDIRECT($C$5&amp;"生成成长"),2))/((VLOOKUP($B139,INDIRECT($B$5&amp;"生成成长"),4))/(VLOOKUP(AH$72,INDIRECT($C$5&amp;"生成成长"),5))*(VLOOKUP($B$5,标准坦克设计!$B$24:$U$30,MATCH("对"&amp;LEFT($C$5,2)&amp;"输出",标准坦克设计!$B$23:$U$23,0)))*(VLOOKUP($B139,INDIRECT($B$5&amp;"生成成长"),3))*(VLOOKUP($B$5,标准坦克设计!$B$14:$K$20,9)/30))</f>
        <v>14.098091873923623</v>
      </c>
      <c r="AI139" s="173">
        <f ca="1">(VLOOKUP(AI$72,INDIRECT($C$5&amp;"生成成长"),2))/((VLOOKUP($B139,INDIRECT($B$5&amp;"生成成长"),4))/(VLOOKUP(AI$72,INDIRECT($C$5&amp;"生成成长"),5))*(VLOOKUP($B$5,标准坦克设计!$B$24:$U$30,MATCH("对"&amp;LEFT($C$5,2)&amp;"输出",标准坦克设计!$B$23:$U$23,0)))*(VLOOKUP($B139,INDIRECT($B$5&amp;"生成成长"),3))*(VLOOKUP($B$5,标准坦克设计!$B$14:$K$20,9)/30))</f>
        <v>9.9710611458069121</v>
      </c>
      <c r="AJ139" s="173">
        <f ca="1">(VLOOKUP(AJ$72,INDIRECT($C$5&amp;"生成成长"),2))/((VLOOKUP($B139,INDIRECT($B$5&amp;"生成成长"),4))/(VLOOKUP(AJ$72,INDIRECT($C$5&amp;"生成成长"),5))*(VLOOKUP($B$5,标准坦克设计!$B$24:$U$30,MATCH("对"&amp;LEFT($C$5,2)&amp;"输出",标准坦克设计!$B$23:$U$23,0)))*(VLOOKUP($B139,INDIRECT($B$5&amp;"生成成长"),3))*(VLOOKUP($B$5,标准坦克设计!$B$14:$K$20,9)/30))</f>
        <v>10.914055541649148</v>
      </c>
      <c r="AK139" s="173">
        <f ca="1">(VLOOKUP(AK$72,INDIRECT($C$5&amp;"生成成长"),2))/((VLOOKUP($B139,INDIRECT($B$5&amp;"生成成长"),4))/(VLOOKUP(AK$72,INDIRECT($C$5&amp;"生成成长"),5))*(VLOOKUP($B$5,标准坦克设计!$B$24:$U$30,MATCH("对"&amp;LEFT($C$5,2)&amp;"输出",标准坦克设计!$B$23:$U$23,0)))*(VLOOKUP($B139,INDIRECT($B$5&amp;"生成成长"),3))*(VLOOKUP($B$5,标准坦克设计!$B$14:$K$20,9)/30))</f>
        <v>11.89964927364853</v>
      </c>
      <c r="AL139" s="173">
        <f ca="1">(VLOOKUP(AL$72,INDIRECT($C$5&amp;"生成成长"),2))/((VLOOKUP($B139,INDIRECT($B$5&amp;"生成成长"),4))/(VLOOKUP(AL$72,INDIRECT($C$5&amp;"生成成长"),5))*(VLOOKUP($B$5,标准坦克设计!$B$24:$U$30,MATCH("对"&amp;LEFT($C$5,2)&amp;"输出",标准坦克设计!$B$23:$U$23,0)))*(VLOOKUP($B139,INDIRECT($B$5&amp;"生成成长"),3))*(VLOOKUP($B$5,标准坦克设计!$B$14:$K$20,9)/30))</f>
        <v>12.927842341805052</v>
      </c>
      <c r="AM139" s="173">
        <f ca="1">(VLOOKUP(AM$72,INDIRECT($C$5&amp;"生成成长"),2))/((VLOOKUP($B139,INDIRECT($B$5&amp;"生成成长"),4))/(VLOOKUP(AM$72,INDIRECT($C$5&amp;"生成成长"),5))*(VLOOKUP($B$5,标准坦克设计!$B$24:$U$30,MATCH("对"&amp;LEFT($C$5,2)&amp;"输出",标准坦克设计!$B$23:$U$23,0)))*(VLOOKUP($B139,INDIRECT($B$5&amp;"生成成长"),3))*(VLOOKUP($B$5,标准坦克设计!$B$14:$K$20,9)/30))</f>
        <v>13.998634746118721</v>
      </c>
      <c r="AN139" s="173">
        <f ca="1">(VLOOKUP(AN$72,INDIRECT($C$5&amp;"生成成长"),2))/((VLOOKUP($B139,INDIRECT($B$5&amp;"生成成长"),4))/(VLOOKUP(AN$72,INDIRECT($C$5&amp;"生成成长"),5))*(VLOOKUP($B$5,标准坦克设计!$B$24:$U$30,MATCH("对"&amp;LEFT($C$5,2)&amp;"输出",标准坦克设计!$B$23:$U$23,0)))*(VLOOKUP($B139,INDIRECT($B$5&amp;"生成成长"),3))*(VLOOKUP($B$5,标准坦克设计!$B$14:$K$20,9)/30))</f>
        <v>15.112026486589535</v>
      </c>
      <c r="AO139" s="173">
        <f ca="1">(VLOOKUP(AO$72,INDIRECT($C$5&amp;"生成成长"),2))/((VLOOKUP($B139,INDIRECT($B$5&amp;"生成成长"),4))/(VLOOKUP(AO$72,INDIRECT($C$5&amp;"生成成长"),5))*(VLOOKUP($B$5,标准坦克设计!$B$24:$U$30,MATCH("对"&amp;LEFT($C$5,2)&amp;"输出",标准坦克设计!$B$23:$U$23,0)))*(VLOOKUP($B139,INDIRECT($B$5&amp;"生成成长"),3))*(VLOOKUP($B$5,标准坦克设计!$B$14:$K$20,9)/30))</f>
        <v>16.268017563217494</v>
      </c>
      <c r="AP139" s="173">
        <f ca="1">(VLOOKUP(AP$72,INDIRECT($C$5&amp;"生成成长"),2))/((VLOOKUP($B139,INDIRECT($B$5&amp;"生成成长"),4))/(VLOOKUP(AP$72,INDIRECT($C$5&amp;"生成成长"),5))*(VLOOKUP($B$5,标准坦克设计!$B$24:$U$30,MATCH("对"&amp;LEFT($C$5,2)&amp;"输出",标准坦克设计!$B$23:$U$23,0)))*(VLOOKUP($B139,INDIRECT($B$5&amp;"生成成长"),3))*(VLOOKUP($B$5,标准坦克设计!$B$14:$K$20,9)/30))</f>
        <v>17.466607976002596</v>
      </c>
      <c r="AQ139" s="173">
        <f ca="1">(VLOOKUP(AQ$72,INDIRECT($C$5&amp;"生成成长"),2))/((VLOOKUP($B139,INDIRECT($B$5&amp;"生成成长"),4))/(VLOOKUP(AQ$72,INDIRECT($C$5&amp;"生成成长"),5))*(VLOOKUP($B$5,标准坦克设计!$B$24:$U$30,MATCH("对"&amp;LEFT($C$5,2)&amp;"输出",标准坦克设计!$B$23:$U$23,0)))*(VLOOKUP($B139,INDIRECT($B$5&amp;"生成成长"),3))*(VLOOKUP($B$5,标准坦克设计!$B$14:$K$20,9)/30))</f>
        <v>18.70779772494484</v>
      </c>
      <c r="AR139" s="173">
        <f ca="1">(VLOOKUP(AR$72,INDIRECT($C$5&amp;"生成成长"),2))/((VLOOKUP($B139,INDIRECT($B$5&amp;"生成成长"),4))/(VLOOKUP(AR$72,INDIRECT($C$5&amp;"生成成长"),5))*(VLOOKUP($B$5,标准坦克设计!$B$24:$U$30,MATCH("对"&amp;LEFT($C$5,2)&amp;"输出",标准坦克设计!$B$23:$U$23,0)))*(VLOOKUP($B139,INDIRECT($B$5&amp;"生成成长"),3))*(VLOOKUP($B$5,标准坦克设计!$B$14:$K$20,9)/30))</f>
        <v>19.991586810044225</v>
      </c>
      <c r="AS139" s="173">
        <f ca="1">(VLOOKUP(AS$72,INDIRECT($C$5&amp;"生成成长"),2))/((VLOOKUP($B139,INDIRECT($B$5&amp;"生成成长"),4))/(VLOOKUP(AS$72,INDIRECT($C$5&amp;"生成成长"),5))*(VLOOKUP($B$5,标准坦克设计!$B$24:$U$30,MATCH("对"&amp;LEFT($C$5,2)&amp;"输出",标准坦克设计!$B$23:$U$23,0)))*(VLOOKUP($B139,INDIRECT($B$5&amp;"生成成长"),3))*(VLOOKUP($B$5,标准坦克设计!$B$14:$K$20,9)/30))</f>
        <v>21.317975231300764</v>
      </c>
      <c r="AT139" s="173">
        <f ca="1">(VLOOKUP(AT$72,INDIRECT($C$5&amp;"生成成长"),2))/((VLOOKUP($B139,INDIRECT($B$5&amp;"生成成长"),4))/(VLOOKUP(AT$72,INDIRECT($C$5&amp;"生成成长"),5))*(VLOOKUP($B$5,标准坦克设计!$B$24:$U$30,MATCH("对"&amp;LEFT($C$5,2)&amp;"输出",标准坦克设计!$B$23:$U$23,0)))*(VLOOKUP($B139,INDIRECT($B$5&amp;"生成成长"),3))*(VLOOKUP($B$5,标准坦克设计!$B$14:$K$20,9)/30))</f>
        <v>22.686962988714434</v>
      </c>
      <c r="AU139" s="173">
        <f ca="1">(VLOOKUP(AU$72,INDIRECT($C$5&amp;"生成成长"),2))/((VLOOKUP($B139,INDIRECT($B$5&amp;"生成成长"),4))/(VLOOKUP(AU$72,INDIRECT($C$5&amp;"生成成长"),5))*(VLOOKUP($B$5,标准坦克设计!$B$24:$U$30,MATCH("对"&amp;LEFT($C$5,2)&amp;"输出",标准坦克设计!$B$23:$U$23,0)))*(VLOOKUP($B139,INDIRECT($B$5&amp;"生成成长"),3))*(VLOOKUP($B$5,标准坦克设计!$B$14:$K$20,9)/30))</f>
        <v>24.098550082285261</v>
      </c>
      <c r="AV139" s="173">
        <f ca="1">(VLOOKUP(AV$72,INDIRECT($C$5&amp;"生成成长"),2))/((VLOOKUP($B139,INDIRECT($B$5&amp;"生成成长"),4))/(VLOOKUP(AV$72,INDIRECT($C$5&amp;"生成成长"),5))*(VLOOKUP($B$5,标准坦克设计!$B$24:$U$30,MATCH("对"&amp;LEFT($C$5,2)&amp;"输出",标准坦克设计!$B$23:$U$23,0)))*(VLOOKUP($B139,INDIRECT($B$5&amp;"生成成长"),3))*(VLOOKUP($B$5,标准坦克设计!$B$14:$K$20,9)/30))</f>
        <v>2.4510461018680787</v>
      </c>
      <c r="AW139" s="173">
        <f ca="1">(VLOOKUP(AW$72,INDIRECT($C$5&amp;"生成成长"),2))/((VLOOKUP($B139,INDIRECT($B$5&amp;"生成成长"),4))/(VLOOKUP(AW$72,INDIRECT($C$5&amp;"生成成长"),5))*(VLOOKUP($B$5,标准坦克设计!$B$24:$U$30,MATCH("对"&amp;LEFT($C$5,2)&amp;"输出",标准坦克设计!$B$23:$U$23,0)))*(VLOOKUP($B139,INDIRECT($B$5&amp;"生成成长"),3))*(VLOOKUP($B$5,标准坦克设计!$B$14:$K$20,9)/30))</f>
        <v>2.7946572761604149</v>
      </c>
      <c r="AX139" s="173">
        <f ca="1">(VLOOKUP(AX$72,INDIRECT($C$5&amp;"生成成长"),2))/((VLOOKUP($B139,INDIRECT($B$5&amp;"生成成长"),4))/(VLOOKUP(AX$72,INDIRECT($C$5&amp;"生成成长"),5))*(VLOOKUP($B$5,标准坦克设计!$B$24:$U$30,MATCH("对"&amp;LEFT($C$5,2)&amp;"输出",标准坦克设计!$B$23:$U$23,0)))*(VLOOKUP($B139,INDIRECT($B$5&amp;"生成成长"),3))*(VLOOKUP($B$5,标准坦克设计!$B$14:$K$20,9)/30))</f>
        <v>3.1608003307342156</v>
      </c>
      <c r="AY139" s="173">
        <f ca="1">(VLOOKUP(AY$72,INDIRECT($C$5&amp;"生成成长"),2))/((VLOOKUP($B139,INDIRECT($B$5&amp;"生成成长"),4))/(VLOOKUP(AY$72,INDIRECT($C$5&amp;"生成成长"),5))*(VLOOKUP($B$5,标准坦克设计!$B$24:$U$30,MATCH("对"&amp;LEFT($C$5,2)&amp;"输出",标准坦克设计!$B$23:$U$23,0)))*(VLOOKUP($B139,INDIRECT($B$5&amp;"生成成长"),3))*(VLOOKUP($B$5,标准坦克设计!$B$14:$K$20,9)/30))</f>
        <v>3.5494752655894803</v>
      </c>
      <c r="AZ139" s="173">
        <f ca="1">(VLOOKUP(AZ$72,INDIRECT($C$5&amp;"生成成长"),2))/((VLOOKUP($B139,INDIRECT($B$5&amp;"生成成长"),4))/(VLOOKUP(AZ$72,INDIRECT($C$5&amp;"生成成长"),5))*(VLOOKUP($B$5,标准坦克设计!$B$24:$U$30,MATCH("对"&amp;LEFT($C$5,2)&amp;"输出",标准坦克设计!$B$23:$U$23,0)))*(VLOOKUP($B139,INDIRECT($B$5&amp;"生成成长"),3))*(VLOOKUP($B$5,标准坦克设计!$B$14:$K$20,9)/30))</f>
        <v>3.9606820807262118</v>
      </c>
      <c r="BA139" s="173">
        <f ca="1">(VLOOKUP(BA$72,INDIRECT($C$5&amp;"生成成长"),2))/((VLOOKUP($B139,INDIRECT($B$5&amp;"生成成长"),4))/(VLOOKUP(BA$72,INDIRECT($C$5&amp;"生成成长"),5))*(VLOOKUP($B$5,标准坦克设计!$B$24:$U$30,MATCH("对"&amp;LEFT($C$5,2)&amp;"输出",标准坦克设计!$B$23:$U$23,0)))*(VLOOKUP($B139,INDIRECT($B$5&amp;"生成成长"),3))*(VLOOKUP($B$5,标准坦克设计!$B$14:$K$20,9)/30))</f>
        <v>4.3944207761444058</v>
      </c>
      <c r="BB139" s="173">
        <f ca="1">(VLOOKUP(BB$72,INDIRECT($C$5&amp;"生成成长"),2))/((VLOOKUP($B139,INDIRECT($B$5&amp;"生成成长"),4))/(VLOOKUP(BB$72,INDIRECT($C$5&amp;"生成成长"),5))*(VLOOKUP($B$5,标准坦克设计!$B$24:$U$30,MATCH("对"&amp;LEFT($C$5,2)&amp;"输出",标准坦克设计!$B$23:$U$23,0)))*(VLOOKUP($B139,INDIRECT($B$5&amp;"生成成长"),3))*(VLOOKUP($B$5,标准坦克设计!$B$14:$K$20,9)/30))</f>
        <v>4.8506913518440662</v>
      </c>
      <c r="BC139" s="173">
        <f ca="1">(VLOOKUP(BC$72,INDIRECT($C$5&amp;"生成成长"),2))/((VLOOKUP($B139,INDIRECT($B$5&amp;"生成成长"),4))/(VLOOKUP(BC$72,INDIRECT($C$5&amp;"生成成长"),5))*(VLOOKUP($B$5,标准坦克设计!$B$24:$U$30,MATCH("对"&amp;LEFT($C$5,2)&amp;"输出",标准坦克设计!$B$23:$U$23,0)))*(VLOOKUP($B139,INDIRECT($B$5&amp;"生成成长"),3))*(VLOOKUP($B$5,标准坦克设计!$B$14:$K$20,9)/30))</f>
        <v>5.329493807825191</v>
      </c>
      <c r="BD139" s="173">
        <f ca="1">(VLOOKUP(BD$72,INDIRECT($C$5&amp;"生成成长"),2))/((VLOOKUP($B139,INDIRECT($B$5&amp;"生成成长"),4))/(VLOOKUP(BD$72,INDIRECT($C$5&amp;"生成成长"),5))*(VLOOKUP($B$5,标准坦克设计!$B$24:$U$30,MATCH("对"&amp;LEFT($C$5,2)&amp;"输出",标准坦克设计!$B$23:$U$23,0)))*(VLOOKUP($B139,INDIRECT($B$5&amp;"生成成长"),3))*(VLOOKUP($B$5,标准坦克设计!$B$14:$K$20,9)/30))</f>
        <v>5.8950792089528932</v>
      </c>
      <c r="BE139" s="173">
        <f ca="1">(VLOOKUP(BE$72,INDIRECT($C$5&amp;"生成成长"),2))/((VLOOKUP($B139,INDIRECT($B$5&amp;"生成成长"),4))/(VLOOKUP(BE$72,INDIRECT($C$5&amp;"生成成长"),5))*(VLOOKUP($B$5,标准坦克设计!$B$24:$U$30,MATCH("对"&amp;LEFT($C$5,2)&amp;"输出",标准坦克设计!$B$23:$U$23,0)))*(VLOOKUP($B139,INDIRECT($B$5&amp;"生成成长"),3))*(VLOOKUP($B$5,标准坦克设计!$B$14:$K$20,9)/30))</f>
        <v>6.4891815210618242</v>
      </c>
      <c r="BF139" s="173">
        <f ca="1">(VLOOKUP(BF$72,INDIRECT($C$5&amp;"生成成长"),2))/((VLOOKUP($B139,INDIRECT($B$5&amp;"生成成长"),4))/(VLOOKUP(BF$72,INDIRECT($C$5&amp;"生成成长"),5))*(VLOOKUP($B$5,标准坦克设计!$B$24:$U$30,MATCH("对"&amp;LEFT($C$5,2)&amp;"输出",标准坦克设计!$B$23:$U$23,0)))*(VLOOKUP($B139,INDIRECT($B$5&amp;"生成成长"),3))*(VLOOKUP($B$5,标准坦克设计!$B$14:$K$20,9)/30))</f>
        <v>7.1118007441519859</v>
      </c>
      <c r="BG139" s="173">
        <f ca="1">(VLOOKUP(BG$72,INDIRECT($C$5&amp;"生成成长"),2))/((VLOOKUP($B139,INDIRECT($B$5&amp;"生成成长"),4))/(VLOOKUP(BG$72,INDIRECT($C$5&amp;"生成成长"),5))*(VLOOKUP($B$5,标准坦克设计!$B$24:$U$30,MATCH("对"&amp;LEFT($C$5,2)&amp;"输出",标准坦克设计!$B$23:$U$23,0)))*(VLOOKUP($B139,INDIRECT($B$5&amp;"生成成长"),3))*(VLOOKUP($B$5,标准坦克设计!$B$14:$K$20,9)/30))</f>
        <v>7.7629368782233756</v>
      </c>
      <c r="BH139" s="173">
        <f ca="1">(VLOOKUP(BH$72,INDIRECT($C$5&amp;"生成成长"),2))/((VLOOKUP($B139,INDIRECT($B$5&amp;"生成成长"),4))/(VLOOKUP(BH$72,INDIRECT($C$5&amp;"生成成长"),5))*(VLOOKUP($B$5,标准坦克设计!$B$24:$U$30,MATCH("对"&amp;LEFT($C$5,2)&amp;"输出",标准坦克设计!$B$23:$U$23,0)))*(VLOOKUP($B139,INDIRECT($B$5&amp;"生成成长"),3))*(VLOOKUP($B$5,标准坦克设计!$B$14:$K$20,9)/30))</f>
        <v>3.7522621881226632</v>
      </c>
      <c r="BI139" s="173">
        <f ca="1">(VLOOKUP(BI$72,INDIRECT($C$5&amp;"生成成长"),2))/((VLOOKUP($B139,INDIRECT($B$5&amp;"生成成长"),4))/(VLOOKUP(BI$72,INDIRECT($C$5&amp;"生成成长"),5))*(VLOOKUP($B$5,标准坦克设计!$B$24:$U$30,MATCH("对"&amp;LEFT($C$5,2)&amp;"输出",标准坦克设计!$B$23:$U$23,0)))*(VLOOKUP($B139,INDIRECT($B$5&amp;"生成成长"),3))*(VLOOKUP($B$5,标准坦克设计!$B$14:$K$20,9)/30))</f>
        <v>4.2291283106420989</v>
      </c>
      <c r="BJ139" s="173">
        <f ca="1">(VLOOKUP(BJ$72,INDIRECT($C$5&amp;"生成成长"),2))/((VLOOKUP($B139,INDIRECT($B$5&amp;"生成成长"),4))/(VLOOKUP(BJ$72,INDIRECT($C$5&amp;"生成成长"),5))*(VLOOKUP($B$5,标准坦克设计!$B$24:$U$30,MATCH("对"&amp;LEFT($C$5,2)&amp;"输出",标准坦克设计!$B$23:$U$23,0)))*(VLOOKUP($B139,INDIRECT($B$5&amp;"生成成长"),3))*(VLOOKUP($B$5,标准坦克设计!$B$14:$K$20,9)/30))</f>
        <v>4.7345113441427644</v>
      </c>
      <c r="BK139" s="173">
        <f ca="1">(VLOOKUP(BK$72,INDIRECT($C$5&amp;"生成成长"),2))/((VLOOKUP($B139,INDIRECT($B$5&amp;"生成成长"),4))/(VLOOKUP(BK$72,INDIRECT($C$5&amp;"生成成长"),5))*(VLOOKUP($B$5,标准坦克设计!$B$24:$U$30,MATCH("对"&amp;LEFT($C$5,2)&amp;"输出",标准坦克设计!$B$23:$U$23,0)))*(VLOOKUP($B139,INDIRECT($B$5&amp;"生成成长"),3))*(VLOOKUP($B$5,标准坦克设计!$B$14:$K$20,9)/30))</f>
        <v>5.268411288624657</v>
      </c>
      <c r="BL139" s="173">
        <f ca="1">(VLOOKUP(BL$72,INDIRECT($C$5&amp;"生成成长"),2))/((VLOOKUP($B139,INDIRECT($B$5&amp;"生成成长"),4))/(VLOOKUP(BL$72,INDIRECT($C$5&amp;"生成成长"),5))*(VLOOKUP($B$5,标准坦克设计!$B$24:$U$30,MATCH("对"&amp;LEFT($C$5,2)&amp;"输出",标准坦克设计!$B$23:$U$23,0)))*(VLOOKUP($B139,INDIRECT($B$5&amp;"生成成长"),3))*(VLOOKUP($B$5,标准坦克设计!$B$14:$K$20,9)/30))</f>
        <v>5.8308281440877785</v>
      </c>
      <c r="BM139" s="173">
        <f ca="1">(VLOOKUP(BM$72,INDIRECT($C$5&amp;"生成成长"),2))/((VLOOKUP($B139,INDIRECT($B$5&amp;"生成成长"),4))/(VLOOKUP(BM$72,INDIRECT($C$5&amp;"生成成长"),5))*(VLOOKUP($B$5,标准坦克设计!$B$24:$U$30,MATCH("对"&amp;LEFT($C$5,2)&amp;"输出",标准坦克设计!$B$23:$U$23,0)))*(VLOOKUP($B139,INDIRECT($B$5&amp;"生成成长"),3))*(VLOOKUP($B$5,标准坦克设计!$B$14:$K$20,9)/30))</f>
        <v>6.4217619105321297</v>
      </c>
      <c r="BN139" s="173">
        <f ca="1">(VLOOKUP(BN$72,INDIRECT($C$5&amp;"生成成长"),2))/((VLOOKUP($B139,INDIRECT($B$5&amp;"生成成长"),4))/(VLOOKUP(BN$72,INDIRECT($C$5&amp;"生成成长"),5))*(VLOOKUP($B$5,标准坦克设计!$B$24:$U$30,MATCH("对"&amp;LEFT($C$5,2)&amp;"输出",标准坦克设计!$B$23:$U$23,0)))*(VLOOKUP($B139,INDIRECT($B$5&amp;"生成成长"),3))*(VLOOKUP($B$5,标准坦克设计!$B$14:$K$20,9)/30))</f>
        <v>7.0412125879577099</v>
      </c>
      <c r="BO139" s="173">
        <f ca="1">(VLOOKUP(BO$72,INDIRECT($C$5&amp;"生成成长"),2))/((VLOOKUP($B139,INDIRECT($B$5&amp;"生成成长"),4))/(VLOOKUP(BO$72,INDIRECT($C$5&amp;"生成成长"),5))*(VLOOKUP($B$5,标准坦克设计!$B$24:$U$30,MATCH("对"&amp;LEFT($C$5,2)&amp;"输出",标准坦克设计!$B$23:$U$23,0)))*(VLOOKUP($B139,INDIRECT($B$5&amp;"生成成长"),3))*(VLOOKUP($B$5,标准坦克设计!$B$14:$K$20,9)/30))</f>
        <v>7.689180176364518</v>
      </c>
      <c r="BP139" s="173">
        <f ca="1">(VLOOKUP(BP$72,INDIRECT($C$5&amp;"生成成长"),2))/((VLOOKUP($B139,INDIRECT($B$5&amp;"生成成长"),4))/(VLOOKUP(BP$72,INDIRECT($C$5&amp;"生成成长"),5))*(VLOOKUP($B$5,标准坦克设计!$B$24:$U$30,MATCH("对"&amp;LEFT($C$5,2)&amp;"输出",标准坦克设计!$B$23:$U$23,0)))*(VLOOKUP($B139,INDIRECT($B$5&amp;"生成成长"),3))*(VLOOKUP($B$5,标准坦克设计!$B$14:$K$20,9)/30))</f>
        <v>8.365664675752555</v>
      </c>
      <c r="BQ139" s="173">
        <f ca="1">(VLOOKUP(BQ$72,INDIRECT($C$5&amp;"生成成长"),2))/((VLOOKUP($B139,INDIRECT($B$5&amp;"生成成长"),4))/(VLOOKUP(BQ$72,INDIRECT($C$5&amp;"生成成长"),5))*(VLOOKUP($B$5,标准坦克设计!$B$24:$U$30,MATCH("对"&amp;LEFT($C$5,2)&amp;"输出",标准坦克设计!$B$23:$U$23,0)))*(VLOOKUP($B139,INDIRECT($B$5&amp;"生成成长"),3))*(VLOOKUP($B$5,标准坦克设计!$B$14:$K$20,9)/30))</f>
        <v>9.07066608612182</v>
      </c>
      <c r="BR139" s="173">
        <f ca="1">(VLOOKUP(BR$72,INDIRECT($C$5&amp;"生成成长"),2))/((VLOOKUP($B139,INDIRECT($B$5&amp;"生成成长"),4))/(VLOOKUP(BR$72,INDIRECT($C$5&amp;"生成成长"),5))*(VLOOKUP($B$5,标准坦克设计!$B$24:$U$30,MATCH("对"&amp;LEFT($C$5,2)&amp;"输出",标准坦克设计!$B$23:$U$23,0)))*(VLOOKUP($B139,INDIRECT($B$5&amp;"生成成长"),3))*(VLOOKUP($B$5,标准坦克设计!$B$14:$K$20,9)/30))</f>
        <v>9.8874467463249136</v>
      </c>
      <c r="BS139" s="173">
        <f ca="1">(VLOOKUP(BS$72,INDIRECT($C$5&amp;"生成成长"),2))/((VLOOKUP($B139,INDIRECT($B$5&amp;"生成成长"),4))/(VLOOKUP(BS$72,INDIRECT($C$5&amp;"生成成长"),5))*(VLOOKUP($B$5,标准坦克设计!$B$24:$U$30,MATCH("对"&amp;LEFT($C$5,2)&amp;"输出",标准坦克设计!$B$23:$U$23,0)))*(VLOOKUP($B139,INDIRECT($B$5&amp;"生成成长"),3))*(VLOOKUP($B$5,标准坦克设计!$B$14:$K$20,9)/30))</f>
        <v>10.739433469467796</v>
      </c>
      <c r="BT139" s="173">
        <f ca="1">(VLOOKUP(BT$72,INDIRECT($C$5&amp;"生成成长"),2))/((VLOOKUP($B139,INDIRECT($B$5&amp;"生成成长"),4))/(VLOOKUP(BT$72,INDIRECT($C$5&amp;"生成成长"),5))*(VLOOKUP($B$5,标准坦克设计!$B$24:$U$30,MATCH("对"&amp;LEFT($C$5,2)&amp;"输出",标准坦克设计!$B$23:$U$23,0)))*(VLOOKUP($B139,INDIRECT($B$5&amp;"生成成长"),3))*(VLOOKUP($B$5,标准坦克设计!$B$14:$K$20,9)/30))</f>
        <v>11.626626255550468</v>
      </c>
      <c r="BU139" s="173">
        <f ca="1">(VLOOKUP(BU$72,INDIRECT($C$5&amp;"生成成长"),2))/((VLOOKUP($B139,INDIRECT($B$5&amp;"生成成长"),4))/(VLOOKUP(BU$72,INDIRECT($C$5&amp;"生成成长"),5))*(VLOOKUP($B$5,标准坦克设计!$B$24:$U$30,MATCH("对"&amp;LEFT($C$5,2)&amp;"输出",标准坦克设计!$B$23:$U$23,0)))*(VLOOKUP($B139,INDIRECT($B$5&amp;"生成成长"),3))*(VLOOKUP($B$5,标准坦克设计!$B$14:$K$20,9)/30))</f>
        <v>12.549025104572928</v>
      </c>
      <c r="BV139" s="173">
        <f ca="1">(VLOOKUP(BV$72,INDIRECT($C$5&amp;"生成成长"),2))/((VLOOKUP($B139,INDIRECT($B$5&amp;"生成成长"),4))/(VLOOKUP(BV$72,INDIRECT($C$5&amp;"生成成长"),5))*(VLOOKUP($B$5,标准坦克设计!$B$24:$U$30,MATCH("对"&amp;LEFT($C$5,2)&amp;"输出",标准坦克设计!$B$23:$U$23,0)))*(VLOOKUP($B139,INDIRECT($B$5&amp;"生成成长"),3))*(VLOOKUP($B$5,标准坦克设计!$B$14:$K$20,9)/30))</f>
        <v>13.506630016535176</v>
      </c>
      <c r="BW139" s="173">
        <f ca="1">(VLOOKUP(BW$72,INDIRECT($C$5&amp;"生成成长"),2))/((VLOOKUP($B139,INDIRECT($B$5&amp;"生成成长"),4))/(VLOOKUP(BW$72,INDIRECT($C$5&amp;"生成成长"),5))*(VLOOKUP($B$5,标准坦克设计!$B$24:$U$30,MATCH("对"&amp;LEFT($C$5,2)&amp;"输出",标准坦克设计!$B$23:$U$23,0)))*(VLOOKUP($B139,INDIRECT($B$5&amp;"生成成长"),3))*(VLOOKUP($B$5,标准坦克设计!$B$14:$K$20,9)/30))</f>
        <v>6.1556040747073286</v>
      </c>
      <c r="BX139" s="173">
        <f ca="1">(VLOOKUP(BX$72,INDIRECT($C$5&amp;"生成成长"),2))/((VLOOKUP($B139,INDIRECT($B$5&amp;"生成成长"),4))/(VLOOKUP(BX$72,INDIRECT($C$5&amp;"生成成长"),5))*(VLOOKUP($B$5,标准坦克设计!$B$24:$U$30,MATCH("对"&amp;LEFT($C$5,2)&amp;"输出",标准坦克设计!$B$23:$U$23,0)))*(VLOOKUP($B139,INDIRECT($B$5&amp;"生成成长"),3))*(VLOOKUP($B$5,标准坦克设计!$B$14:$K$20,9)/30))</f>
        <v>6.8315604831512688</v>
      </c>
      <c r="BY139" s="173">
        <f ca="1">(VLOOKUP(BY$72,INDIRECT($C$5&amp;"生成成长"),2))/((VLOOKUP($B139,INDIRECT($B$5&amp;"生成成长"),4))/(VLOOKUP(BY$72,INDIRECT($C$5&amp;"生成成长"),5))*(VLOOKUP($B$5,标准坦克设计!$B$24:$U$30,MATCH("对"&amp;LEFT($C$5,2)&amp;"输出",标准坦克设计!$B$23:$U$23,0)))*(VLOOKUP($B139,INDIRECT($B$5&amp;"生成成长"),3))*(VLOOKUP($B$5,标准坦克设计!$B$14:$K$20,9)/30))</f>
        <v>7.5427229545349972</v>
      </c>
      <c r="BZ139" s="173">
        <f ca="1">(VLOOKUP(BZ$72,INDIRECT($C$5&amp;"生成成长"),2))/((VLOOKUP($B139,INDIRECT($B$5&amp;"生成成长"),4))/(VLOOKUP(BZ$72,INDIRECT($C$5&amp;"生成成长"),5))*(VLOOKUP($B$5,标准坦克设计!$B$24:$U$30,MATCH("对"&amp;LEFT($C$5,2)&amp;"输出",标准坦克设计!$B$23:$U$23,0)))*(VLOOKUP($B139,INDIRECT($B$5&amp;"生成成长"),3))*(VLOOKUP($B$5,标准坦克设计!$B$14:$K$20,9)/30))</f>
        <v>8.2890914888585137</v>
      </c>
      <c r="CA139" s="173">
        <f ca="1">(VLOOKUP(CA$72,INDIRECT($C$5&amp;"生成成长"),2))/((VLOOKUP($B139,INDIRECT($B$5&amp;"生成成长"),4))/(VLOOKUP(CA$72,INDIRECT($C$5&amp;"生成成长"),5))*(VLOOKUP($B$5,标准坦克设计!$B$24:$U$30,MATCH("对"&amp;LEFT($C$5,2)&amp;"输出",标准坦克设计!$B$23:$U$23,0)))*(VLOOKUP($B139,INDIRECT($B$5&amp;"生成成长"),3))*(VLOOKUP($B$5,标准坦克设计!$B$14:$K$20,9)/30))</f>
        <v>9.07066608612182</v>
      </c>
      <c r="CB139" s="173">
        <f ca="1">(VLOOKUP(CB$72,INDIRECT($C$5&amp;"生成成长"),2))/((VLOOKUP($B139,INDIRECT($B$5&amp;"生成成长"),4))/(VLOOKUP(CB$72,INDIRECT($C$5&amp;"生成成长"),5))*(VLOOKUP($B$5,标准坦克设计!$B$24:$U$30,MATCH("对"&amp;LEFT($C$5,2)&amp;"输出",标准坦克设计!$B$23:$U$23,0)))*(VLOOKUP($B139,INDIRECT($B$5&amp;"生成成长"),3))*(VLOOKUP($B$5,标准坦克设计!$B$14:$K$20,9)/30))</f>
        <v>9.8874467463249136</v>
      </c>
      <c r="CC139" s="173">
        <f ca="1">(VLOOKUP(CC$72,INDIRECT($C$5&amp;"生成成长"),2))/((VLOOKUP($B139,INDIRECT($B$5&amp;"生成成长"),4))/(VLOOKUP(CC$72,INDIRECT($C$5&amp;"生成成长"),5))*(VLOOKUP($B$5,标准坦克设计!$B$24:$U$30,MATCH("对"&amp;LEFT($C$5,2)&amp;"输出",标准坦克设计!$B$23:$U$23,0)))*(VLOOKUP($B139,INDIRECT($B$5&amp;"生成成长"),3))*(VLOOKUP($B$5,标准坦克设计!$B$14:$K$20,9)/30))</f>
        <v>10.739433469467796</v>
      </c>
      <c r="CD139" s="173">
        <f ca="1">(VLOOKUP(CD$72,INDIRECT($C$5&amp;"生成成长"),2))/((VLOOKUP($B139,INDIRECT($B$5&amp;"生成成长"),4))/(VLOOKUP(CD$72,INDIRECT($C$5&amp;"生成成长"),5))*(VLOOKUP($B$5,标准坦克设计!$B$24:$U$30,MATCH("对"&amp;LEFT($C$5,2)&amp;"输出",标准坦克设计!$B$23:$U$23,0)))*(VLOOKUP($B139,INDIRECT($B$5&amp;"生成成长"),3))*(VLOOKUP($B$5,标准坦克设计!$B$14:$K$20,9)/30))</f>
        <v>11.626626255550468</v>
      </c>
      <c r="CE139" s="173">
        <f ca="1">(VLOOKUP(CE$72,INDIRECT($C$5&amp;"生成成长"),2))/((VLOOKUP($B139,INDIRECT($B$5&amp;"生成成长"),4))/(VLOOKUP(CE$72,INDIRECT($C$5&amp;"生成成长"),5))*(VLOOKUP($B$5,标准坦克设计!$B$24:$U$30,MATCH("对"&amp;LEFT($C$5,2)&amp;"输出",标准坦克设计!$B$23:$U$23,0)))*(VLOOKUP($B139,INDIRECT($B$5&amp;"生成成长"),3))*(VLOOKUP($B$5,标准坦克设计!$B$14:$K$20,9)/30))</f>
        <v>12.549025104572928</v>
      </c>
      <c r="CF139" s="173">
        <f ca="1">(VLOOKUP(CF$72,INDIRECT($C$5&amp;"生成成长"),2))/((VLOOKUP($B139,INDIRECT($B$5&amp;"生成成长"),4))/(VLOOKUP(CF$72,INDIRECT($C$5&amp;"生成成长"),5))*(VLOOKUP($B$5,标准坦克设计!$B$24:$U$30,MATCH("对"&amp;LEFT($C$5,2)&amp;"输出",标准坦克设计!$B$23:$U$23,0)))*(VLOOKUP($B139,INDIRECT($B$5&amp;"生成成长"),3))*(VLOOKUP($B$5,标准坦克设计!$B$14:$K$20,9)/30))</f>
        <v>13.506630016535176</v>
      </c>
      <c r="CG139" s="173">
        <f ca="1">(VLOOKUP(CG$72,INDIRECT($C$5&amp;"生成成长"),2))/((VLOOKUP($B139,INDIRECT($B$5&amp;"生成成长"),4))/(VLOOKUP(CG$72,INDIRECT($C$5&amp;"生成成长"),5))*(VLOOKUP($B$5,标准坦克设计!$B$24:$U$30,MATCH("对"&amp;LEFT($C$5,2)&amp;"输出",标准坦克设计!$B$23:$U$23,0)))*(VLOOKUP($B139,INDIRECT($B$5&amp;"生成成长"),3))*(VLOOKUP($B$5,标准坦克设计!$B$14:$K$20,9)/30))</f>
        <v>14.49944099143721</v>
      </c>
      <c r="CH139" s="173">
        <f ca="1">(VLOOKUP(CH$72,INDIRECT($C$5&amp;"生成成长"),2))/((VLOOKUP($B139,INDIRECT($B$5&amp;"生成成长"),4))/(VLOOKUP(CH$72,INDIRECT($C$5&amp;"生成成长"),5))*(VLOOKUP($B$5,标准坦克设计!$B$24:$U$30,MATCH("对"&amp;LEFT($C$5,2)&amp;"输出",标准坦克设计!$B$23:$U$23,0)))*(VLOOKUP($B139,INDIRECT($B$5&amp;"生成成长"),3))*(VLOOKUP($B$5,标准坦克设计!$B$14:$K$20,9)/30))</f>
        <v>15.527458029279041</v>
      </c>
      <c r="CI139" s="173">
        <f ca="1">(VLOOKUP(CI$72,INDIRECT($C$5&amp;"生成成长"),2))/((VLOOKUP($B139,INDIRECT($B$5&amp;"生成成长"),4))/(VLOOKUP(CI$72,INDIRECT($C$5&amp;"生成成长"),5))*(VLOOKUP($B$5,标准坦克设计!$B$24:$U$30,MATCH("对"&amp;LEFT($C$5,2)&amp;"输出",标准坦克设计!$B$23:$U$23,0)))*(VLOOKUP($B139,INDIRECT($B$5&amp;"生成成长"),3))*(VLOOKUP($B$5,标准坦克设计!$B$14:$K$20,9)/30))</f>
        <v>16.698939773600504</v>
      </c>
      <c r="CJ139" s="173">
        <f ca="1">(VLOOKUP(CJ$72,INDIRECT($C$5&amp;"生成成长"),2))/((VLOOKUP($B139,INDIRECT($B$5&amp;"生成成长"),4))/(VLOOKUP(CJ$72,INDIRECT($C$5&amp;"生成成长"),5))*(VLOOKUP($B$5,标准坦克设计!$B$24:$U$30,MATCH("对"&amp;LEFT($C$5,2)&amp;"输出",标准坦克设计!$B$23:$U$23,0)))*(VLOOKUP($B139,INDIRECT($B$5&amp;"生成成长"),3))*(VLOOKUP($B$5,标准坦克设计!$B$14:$K$20,9)/30))</f>
        <v>17.913020854079107</v>
      </c>
      <c r="CK139" s="173">
        <f ca="1">(VLOOKUP(CK$72,INDIRECT($C$5&amp;"生成成长"),2))/((VLOOKUP($B139,INDIRECT($B$5&amp;"生成成长"),4))/(VLOOKUP(CK$72,INDIRECT($C$5&amp;"生成成长"),5))*(VLOOKUP($B$5,标准坦克设计!$B$24:$U$30,MATCH("对"&amp;LEFT($C$5,2)&amp;"输出",标准坦克设计!$B$23:$U$23,0)))*(VLOOKUP($B139,INDIRECT($B$5&amp;"生成成长"),3))*(VLOOKUP($B$5,标准坦克设计!$B$14:$K$20,9)/30))</f>
        <v>19.169701270714864</v>
      </c>
      <c r="CL139" s="173">
        <f ca="1">(VLOOKUP(CL$72,INDIRECT($C$5&amp;"生成成长"),2))/((VLOOKUP($B139,INDIRECT($B$5&amp;"生成成长"),4))/(VLOOKUP(CL$72,INDIRECT($C$5&amp;"生成成长"),5))*(VLOOKUP($B$5,标准坦克设计!$B$24:$U$30,MATCH("对"&amp;LEFT($C$5,2)&amp;"输出",标准坦克设计!$B$23:$U$23,0)))*(VLOOKUP($B139,INDIRECT($B$5&amp;"生成成长"),3))*(VLOOKUP($B$5,标准坦克设计!$B$14:$K$20,9)/30))</f>
        <v>20.468981023507762</v>
      </c>
      <c r="CM139" s="173">
        <f ca="1">(VLOOKUP(CM$72,INDIRECT($C$5&amp;"生成成长"),2))/((VLOOKUP($B139,INDIRECT($B$5&amp;"生成成长"),4))/(VLOOKUP(CM$72,INDIRECT($C$5&amp;"生成成长"),5))*(VLOOKUP($B$5,标准坦克设计!$B$24:$U$30,MATCH("对"&amp;LEFT($C$5,2)&amp;"输出",标准坦克设计!$B$23:$U$23,0)))*(VLOOKUP($B139,INDIRECT($B$5&amp;"生成成长"),3))*(VLOOKUP($B$5,标准坦克设计!$B$14:$K$20,9)/30))</f>
        <v>21.810860112457799</v>
      </c>
      <c r="CN139" s="173">
        <f ca="1">(VLOOKUP(CN$72,INDIRECT($C$5&amp;"生成成长"),2))/((VLOOKUP($B139,INDIRECT($B$5&amp;"生成成长"),4))/(VLOOKUP(CN$72,INDIRECT($C$5&amp;"生成成长"),5))*(VLOOKUP($B$5,标准坦克设计!$B$24:$U$30,MATCH("对"&amp;LEFT($C$5,2)&amp;"输出",标准坦克设计!$B$23:$U$23,0)))*(VLOOKUP($B139,INDIRECT($B$5&amp;"生成成长"),3))*(VLOOKUP($B$5,标准坦克设计!$B$14:$K$20,9)/30))</f>
        <v>23.195338537564989</v>
      </c>
      <c r="CO139" s="173">
        <f ca="1">(VLOOKUP(CO$72,INDIRECT($C$5&amp;"生成成长"),2))/((VLOOKUP($B139,INDIRECT($B$5&amp;"生成成长"),4))/(VLOOKUP(CO$72,INDIRECT($C$5&amp;"生成成长"),5))*(VLOOKUP($B$5,标准坦克设计!$B$24:$U$30,MATCH("对"&amp;LEFT($C$5,2)&amp;"输出",标准坦克设计!$B$23:$U$23,0)))*(VLOOKUP($B139,INDIRECT($B$5&amp;"生成成长"),3))*(VLOOKUP($B$5,标准坦克设计!$B$14:$K$20,9)/30))</f>
        <v>10.39441405265787</v>
      </c>
      <c r="CP139" s="173">
        <f ca="1">(VLOOKUP(CP$72,INDIRECT($C$5&amp;"生成成长"),2))/((VLOOKUP($B139,INDIRECT($B$5&amp;"生成成长"),4))/(VLOOKUP(CP$72,INDIRECT($C$5&amp;"生成成长"),5))*(VLOOKUP($B$5,标准坦克设计!$B$24:$U$30,MATCH("对"&amp;LEFT($C$5,2)&amp;"输出",标准坦克设计!$B$23:$U$23,0)))*(VLOOKUP($B139,INDIRECT($B$5&amp;"生成成长"),3))*(VLOOKUP($B$5,标准坦克设计!$B$14:$K$20,9)/30))</f>
        <v>11.356771783116992</v>
      </c>
      <c r="CQ139" s="173">
        <f ca="1">(VLOOKUP(CQ$72,INDIRECT($C$5&amp;"生成成长"),2))/((VLOOKUP($B139,INDIRECT($B$5&amp;"生成成长"),4))/(VLOOKUP(CQ$72,INDIRECT($C$5&amp;"生成成长"),5))*(VLOOKUP($B$5,标准坦克设计!$B$24:$U$30,MATCH("对"&amp;LEFT($C$5,2)&amp;"输出",标准坦克设计!$B$23:$U$23,0)))*(VLOOKUP($B139,INDIRECT($B$5&amp;"生成成长"),3))*(VLOOKUP($B$5,标准坦克设计!$B$14:$K$20,9)/30))</f>
        <v>12.361728849733252</v>
      </c>
      <c r="CR139" s="173">
        <f ca="1">(VLOOKUP(CR$72,INDIRECT($C$5&amp;"生成成长"),2))/((VLOOKUP($B139,INDIRECT($B$5&amp;"生成成长"),4))/(VLOOKUP(CR$72,INDIRECT($C$5&amp;"生成成长"),5))*(VLOOKUP($B$5,标准坦克设计!$B$24:$U$30,MATCH("对"&amp;LEFT($C$5,2)&amp;"输出",标准坦克设计!$B$23:$U$23,0)))*(VLOOKUP($B139,INDIRECT($B$5&amp;"生成成长"),3))*(VLOOKUP($B$5,标准坦克设计!$B$14:$K$20,9)/30))</f>
        <v>13.409285252506663</v>
      </c>
      <c r="CS139" s="173">
        <f ca="1">(VLOOKUP(CS$72,INDIRECT($C$5&amp;"生成成长"),2))/((VLOOKUP($B139,INDIRECT($B$5&amp;"生成成长"),4))/(VLOOKUP(CS$72,INDIRECT($C$5&amp;"生成成长"),5))*(VLOOKUP($B$5,标准坦克设计!$B$24:$U$30,MATCH("对"&amp;LEFT($C$5,2)&amp;"输出",标准坦克设计!$B$23:$U$23,0)))*(VLOOKUP($B139,INDIRECT($B$5&amp;"生成成长"),3))*(VLOOKUP($B$5,标准坦克设计!$B$14:$K$20,9)/30))</f>
        <v>14.49944099143721</v>
      </c>
      <c r="CT139" s="173">
        <f ca="1">(VLOOKUP(CT$72,INDIRECT($C$5&amp;"生成成长"),2))/((VLOOKUP($B139,INDIRECT($B$5&amp;"生成成长"),4))/(VLOOKUP(CT$72,INDIRECT($C$5&amp;"生成成长"),5))*(VLOOKUP($B$5,标准坦克设计!$B$24:$U$30,MATCH("对"&amp;LEFT($C$5,2)&amp;"输出",标准坦克设计!$B$23:$U$23,0)))*(VLOOKUP($B139,INDIRECT($B$5&amp;"生成成长"),3))*(VLOOKUP($B$5,标准坦克设计!$B$14:$K$20,9)/30))</f>
        <v>15.632196066524912</v>
      </c>
      <c r="CU139" s="173">
        <f ca="1">(VLOOKUP(CU$72,INDIRECT($C$5&amp;"生成成长"),2))/((VLOOKUP($B139,INDIRECT($B$5&amp;"生成成长"),4))/(VLOOKUP(CU$72,INDIRECT($C$5&amp;"生成成长"),5))*(VLOOKUP($B$5,标准坦克设计!$B$24:$U$30,MATCH("对"&amp;LEFT($C$5,2)&amp;"输出",标准坦克设计!$B$23:$U$23,0)))*(VLOOKUP($B139,INDIRECT($B$5&amp;"生成成长"),3))*(VLOOKUP($B$5,标准坦克设计!$B$14:$K$20,9)/30))</f>
        <v>16.807550477769748</v>
      </c>
      <c r="CV139" s="173">
        <f ca="1">(VLOOKUP(CV$72,INDIRECT($C$5&amp;"生成成长"),2))/((VLOOKUP($B139,INDIRECT($B$5&amp;"生成成长"),4))/(VLOOKUP(CV$72,INDIRECT($C$5&amp;"生成成长"),5))*(VLOOKUP($B$5,标准坦克设计!$B$24:$U$30,MATCH("对"&amp;LEFT($C$5,2)&amp;"输出",标准坦克设计!$B$23:$U$23,0)))*(VLOOKUP($B139,INDIRECT($B$5&amp;"生成成长"),3))*(VLOOKUP($B$5,标准坦克设计!$B$14:$K$20,9)/30))</f>
        <v>18.025504225171737</v>
      </c>
      <c r="CW139" s="173">
        <f ca="1">(VLOOKUP(CW$72,INDIRECT($C$5&amp;"生成成长"),2))/((VLOOKUP($B139,INDIRECT($B$5&amp;"生成成长"),4))/(VLOOKUP(CW$72,INDIRECT($C$5&amp;"生成成长"),5))*(VLOOKUP($B$5,标准坦克设计!$B$24:$U$30,MATCH("对"&amp;LEFT($C$5,2)&amp;"输出",标准坦克设计!$B$23:$U$23,0)))*(VLOOKUP($B139,INDIRECT($B$5&amp;"生成成长"),3))*(VLOOKUP($B$5,标准坦克设计!$B$14:$K$20,9)/30))</f>
        <v>19.286057308730868</v>
      </c>
      <c r="CX139" s="173">
        <f ca="1">(VLOOKUP(CX$72,INDIRECT($C$5&amp;"生成成长"),2))/((VLOOKUP($B139,INDIRECT($B$5&amp;"生成成长"),4))/(VLOOKUP(CX$72,INDIRECT($C$5&amp;"生成成长"),5))*(VLOOKUP($B$5,标准坦克设计!$B$24:$U$30,MATCH("对"&amp;LEFT($C$5,2)&amp;"输出",标准坦克设计!$B$23:$U$23,0)))*(VLOOKUP($B139,INDIRECT($B$5&amp;"生成成长"),3))*(VLOOKUP($B$5,标准坦克设计!$B$14:$K$20,9)/30))</f>
        <v>20.589209728447138</v>
      </c>
      <c r="CY139" s="173">
        <f ca="1">(VLOOKUP(CY$72,INDIRECT($C$5&amp;"生成成长"),2))/((VLOOKUP($B139,INDIRECT($B$5&amp;"生成成长"),4))/(VLOOKUP(CY$72,INDIRECT($C$5&amp;"生成成长"),5))*(VLOOKUP($B$5,标准坦克设计!$B$24:$U$30,MATCH("对"&amp;LEFT($C$5,2)&amp;"输出",标准坦克设计!$B$23:$U$23,0)))*(VLOOKUP($B139,INDIRECT($B$5&amp;"生成成长"),3))*(VLOOKUP($B$5,标准坦克设计!$B$14:$K$20,9)/30))</f>
        <v>21.934961484320553</v>
      </c>
      <c r="CZ139" s="173">
        <f ca="1">(VLOOKUP(CZ$72,INDIRECT($C$5&amp;"生成成长"),2))/((VLOOKUP($B139,INDIRECT($B$5&amp;"生成成长"),4))/(VLOOKUP(CZ$72,INDIRECT($C$5&amp;"生成成长"),5))*(VLOOKUP($B$5,标准坦克设计!$B$24:$U$30,MATCH("对"&amp;LEFT($C$5,2)&amp;"输出",标准坦克设计!$B$23:$U$23,0)))*(VLOOKUP($B139,INDIRECT($B$5&amp;"生成成长"),3))*(VLOOKUP($B$5,标准坦克设计!$B$14:$K$20,9)/30))</f>
        <v>23.323312576351114</v>
      </c>
      <c r="DA139" s="173">
        <f ca="1">(VLOOKUP(DA$72,INDIRECT($C$5&amp;"生成成长"),2))/((VLOOKUP($B139,INDIRECT($B$5&amp;"生成成长"),4))/(VLOOKUP(DA$72,INDIRECT($C$5&amp;"生成成长"),5))*(VLOOKUP($B$5,标准坦克设计!$B$24:$U$30,MATCH("对"&amp;LEFT($C$5,2)&amp;"输出",标准坦克设计!$B$23:$U$23,0)))*(VLOOKUP($B139,INDIRECT($B$5&amp;"生成成长"),3))*(VLOOKUP($B$5,标准坦克设计!$B$14:$K$20,9)/30))</f>
        <v>24.754263004538824</v>
      </c>
      <c r="DB139" s="173">
        <f ca="1">(VLOOKUP(DB$72,INDIRECT($C$5&amp;"生成成长"),2))/((VLOOKUP($B139,INDIRECT($B$5&amp;"生成成长"),4))/(VLOOKUP(DB$72,INDIRECT($C$5&amp;"生成成长"),5))*(VLOOKUP($B$5,标准坦克设计!$B$24:$U$30,MATCH("对"&amp;LEFT($C$5,2)&amp;"输出",标准坦克设计!$B$23:$U$23,0)))*(VLOOKUP($B139,INDIRECT($B$5&amp;"生成成长"),3))*(VLOOKUP($B$5,标准坦克设计!$B$14:$K$20,9)/30))</f>
        <v>26.227812768883673</v>
      </c>
      <c r="DC139" s="173">
        <f ca="1">(VLOOKUP(DC$72,INDIRECT($C$5&amp;"生成成长"),2))/((VLOOKUP($B139,INDIRECT($B$5&amp;"生成成长"),4))/(VLOOKUP(DC$72,INDIRECT($C$5&amp;"生成成长"),5))*(VLOOKUP($B$5,标准坦克设计!$B$24:$U$30,MATCH("对"&amp;LEFT($C$5,2)&amp;"输出",标准坦克设计!$B$23:$U$23,0)))*(VLOOKUP($B139,INDIRECT($B$5&amp;"生成成长"),3))*(VLOOKUP($B$5,标准坦克设计!$B$14:$K$20,9)/30))</f>
        <v>27.883905969571327</v>
      </c>
      <c r="DD139" s="173">
        <f ca="1">(VLOOKUP(DD$72,INDIRECT($C$5&amp;"生成成长"),2))/((VLOOKUP($B139,INDIRECT($B$5&amp;"生成成长"),4))/(VLOOKUP(DD$72,INDIRECT($C$5&amp;"生成成长"),5))*(VLOOKUP($B$5,标准坦克设计!$B$24:$U$30,MATCH("对"&amp;LEFT($C$5,2)&amp;"输出",标准坦克设计!$B$23:$U$23,0)))*(VLOOKUP($B139,INDIRECT($B$5&amp;"生成成长"),3))*(VLOOKUP($B$5,标准坦克设计!$B$14:$K$20,9)/30))</f>
        <v>29.590695900892275</v>
      </c>
      <c r="DE139" s="173">
        <f ca="1">(VLOOKUP(DE$72,INDIRECT($C$5&amp;"生成成长"),2))/((VLOOKUP($B139,INDIRECT($B$5&amp;"生成成长"),4))/(VLOOKUP(DE$72,INDIRECT($C$5&amp;"生成成长"),5))*(VLOOKUP($B$5,标准坦克设计!$B$24:$U$30,MATCH("对"&amp;LEFT($C$5,2)&amp;"输出",标准坦克设计!$B$23:$U$23,0)))*(VLOOKUP($B139,INDIRECT($B$5&amp;"生成成长"),3))*(VLOOKUP($B$5,标准坦克设计!$B$14:$K$20,9)/30))</f>
        <v>31.348182562846521</v>
      </c>
      <c r="DF139" s="173">
        <f ca="1">(VLOOKUP(DF$72,INDIRECT($C$5&amp;"生成成长"),2))/((VLOOKUP($B139,INDIRECT($B$5&amp;"生成成长"),4))/(VLOOKUP(DF$72,INDIRECT($C$5&amp;"生成成长"),5))*(VLOOKUP($B$5,标准坦克设计!$B$24:$U$30,MATCH("对"&amp;LEFT($C$5,2)&amp;"输出",标准坦克设计!$B$23:$U$23,0)))*(VLOOKUP($B139,INDIRECT($B$5&amp;"生成成长"),3))*(VLOOKUP($B$5,标准坦克设计!$B$14:$K$20,9)/30))</f>
        <v>33.156365955434055</v>
      </c>
      <c r="DG139" s="173">
        <f ca="1">(VLOOKUP(DG$72,INDIRECT($C$5&amp;"生成成长"),2))/((VLOOKUP($B139,INDIRECT($B$5&amp;"生成成长"),4))/(VLOOKUP(DG$72,INDIRECT($C$5&amp;"生成成长"),5))*(VLOOKUP($B$5,标准坦克设计!$B$24:$U$30,MATCH("对"&amp;LEFT($C$5,2)&amp;"输出",标准坦克设计!$B$23:$U$23,0)))*(VLOOKUP($B139,INDIRECT($B$5&amp;"生成成长"),3))*(VLOOKUP($B$5,标准坦克设计!$B$14:$K$20,9)/30))</f>
        <v>35.01524607865489</v>
      </c>
      <c r="DH139" s="173">
        <f ca="1">(VLOOKUP(DH$72,INDIRECT($C$5&amp;"生成成长"),2))/((VLOOKUP($B139,INDIRECT($B$5&amp;"生成成长"),4))/(VLOOKUP(DH$72,INDIRECT($C$5&amp;"生成成长"),5))*(VLOOKUP($B$5,标准坦克设计!$B$24:$U$30,MATCH("对"&amp;LEFT($C$5,2)&amp;"输出",标准坦克设计!$B$23:$U$23,0)))*(VLOOKUP($B139,INDIRECT($B$5&amp;"生成成长"),3))*(VLOOKUP($B$5,标准坦克设计!$B$14:$K$20,9)/30))</f>
        <v>36.924822932509024</v>
      </c>
      <c r="DI139" s="173">
        <f ca="1">(VLOOKUP(DI$72,INDIRECT($C$5&amp;"生成成长"),2))/((VLOOKUP($B139,INDIRECT($B$5&amp;"生成成长"),4))/(VLOOKUP(DI$72,INDIRECT($C$5&amp;"生成成长"),5))*(VLOOKUP($B$5,标准坦克设计!$B$24:$U$30,MATCH("对"&amp;LEFT($C$5,2)&amp;"输出",标准坦克设计!$B$23:$U$23,0)))*(VLOOKUP($B139,INDIRECT($B$5&amp;"生成成长"),3))*(VLOOKUP($B$5,标准坦克设计!$B$14:$K$20,9)/30))</f>
        <v>38.885096516996448</v>
      </c>
      <c r="DJ139" s="173">
        <f ca="1">(VLOOKUP(DJ$72,INDIRECT($C$5&amp;"生成成长"),2))/((VLOOKUP($B139,INDIRECT($B$5&amp;"生成成长"),4))/(VLOOKUP(DJ$72,INDIRECT($C$5&amp;"生成成长"),5))*(VLOOKUP($B$5,标准坦克设计!$B$24:$U$30,MATCH("对"&amp;LEFT($C$5,2)&amp;"输出",标准坦克设计!$B$23:$U$23,0)))*(VLOOKUP($B139,INDIRECT($B$5&amp;"生成成长"),3))*(VLOOKUP($B$5,标准坦克设计!$B$14:$K$20,9)/30))</f>
        <v>3.9080490166312281</v>
      </c>
      <c r="DK139" s="173">
        <f ca="1">(VLOOKUP(DK$72,INDIRECT($C$5&amp;"生成成长"),2))/((VLOOKUP($B139,INDIRECT($B$5&amp;"生成成长"),4))/(VLOOKUP(DK$72,INDIRECT($C$5&amp;"生成成长"),5))*(VLOOKUP($B$5,标准坦克设计!$B$24:$U$30,MATCH("对"&amp;LEFT($C$5,2)&amp;"输出",标准坦克设计!$B$23:$U$23,0)))*(VLOOKUP($B139,INDIRECT($B$5&amp;"生成成长"),3))*(VLOOKUP($B$5,标准坦克设计!$B$14:$K$20,9)/30))</f>
        <v>4.3944207761444058</v>
      </c>
      <c r="DL139" s="173">
        <f ca="1">(VLOOKUP(DL$72,INDIRECT($C$5&amp;"生成成长"),2))/((VLOOKUP($B139,INDIRECT($B$5&amp;"生成成长"),4))/(VLOOKUP(DL$72,INDIRECT($C$5&amp;"生成成长"),5))*(VLOOKUP($B$5,标准坦克设计!$B$24:$U$30,MATCH("对"&amp;LEFT($C$5,2)&amp;"输出",标准坦克设计!$B$23:$U$23,0)))*(VLOOKUP($B139,INDIRECT($B$5&amp;"生成成长"),3))*(VLOOKUP($B$5,标准坦克设计!$B$14:$K$20,9)/30))</f>
        <v>4.9093094466388143</v>
      </c>
      <c r="DM139" s="173">
        <f ca="1">(VLOOKUP(DM$72,INDIRECT($C$5&amp;"生成成长"),2))/((VLOOKUP($B139,INDIRECT($B$5&amp;"生成成长"),4))/(VLOOKUP(DM$72,INDIRECT($C$5&amp;"生成成长"),5))*(VLOOKUP($B$5,标准坦克设计!$B$24:$U$30,MATCH("对"&amp;LEFT($C$5,2)&amp;"输出",标准坦克设计!$B$23:$U$23,0)))*(VLOOKUP($B139,INDIRECT($B$5&amp;"生成成长"),3))*(VLOOKUP($B$5,标准坦克设计!$B$14:$K$20,9)/30))</f>
        <v>5.4527150281144499</v>
      </c>
      <c r="DN139" s="173">
        <f ca="1">(VLOOKUP(DN$72,INDIRECT($C$5&amp;"生成成长"),2))/((VLOOKUP($B139,INDIRECT($B$5&amp;"生成成长"),4))/(VLOOKUP(DN$72,INDIRECT($C$5&amp;"生成成长"),5))*(VLOOKUP($B$5,标准坦克设计!$B$24:$U$30,MATCH("对"&amp;LEFT($C$5,2)&amp;"输出",标准坦克设计!$B$23:$U$23,0)))*(VLOOKUP($B139,INDIRECT($B$5&amp;"生成成长"),3))*(VLOOKUP($B$5,标准坦克设计!$B$14:$K$20,9)/30))</f>
        <v>6.0246375205713152</v>
      </c>
      <c r="DO139" s="173">
        <f ca="1">(VLOOKUP(DO$72,INDIRECT($C$5&amp;"生成成长"),2))/((VLOOKUP($B139,INDIRECT($B$5&amp;"生成成长"),4))/(VLOOKUP(DO$72,INDIRECT($C$5&amp;"生成成长"),5))*(VLOOKUP($B$5,标准坦克设计!$B$24:$U$30,MATCH("对"&amp;LEFT($C$5,2)&amp;"输出",标准坦克设计!$B$23:$U$23,0)))*(VLOOKUP($B139,INDIRECT($B$5&amp;"生成成长"),3))*(VLOOKUP($B$5,标准坦克设计!$B$14:$K$20,9)/30))</f>
        <v>6.6250769240094085</v>
      </c>
      <c r="DP139" s="173">
        <f ca="1">(VLOOKUP(DP$72,INDIRECT($C$5&amp;"生成成长"),2))/((VLOOKUP($B139,INDIRECT($B$5&amp;"生成成长"),4))/(VLOOKUP(DP$72,INDIRECT($C$5&amp;"生成成长"),5))*(VLOOKUP($B$5,标准坦克设计!$B$24:$U$30,MATCH("对"&amp;LEFT($C$5,2)&amp;"输出",标准坦克设计!$B$23:$U$23,0)))*(VLOOKUP($B139,INDIRECT($B$5&amp;"生成成长"),3))*(VLOOKUP($B$5,标准坦克设计!$B$14:$K$20,9)/30))</f>
        <v>7.2540332384287316</v>
      </c>
      <c r="DQ139" s="173">
        <f ca="1">(VLOOKUP(DQ$72,INDIRECT($C$5&amp;"生成成长"),2))/((VLOOKUP($B139,INDIRECT($B$5&amp;"生成成长"),4))/(VLOOKUP(DQ$72,INDIRECT($C$5&amp;"生成成长"),5))*(VLOOKUP($B$5,标准坦克设计!$B$24:$U$30,MATCH("对"&amp;LEFT($C$5,2)&amp;"输出",标准坦克设计!$B$23:$U$23,0)))*(VLOOKUP($B139,INDIRECT($B$5&amp;"生成成长"),3))*(VLOOKUP($B$5,标准坦克设计!$B$14:$K$20,9)/30))</f>
        <v>7.9115064638292827</v>
      </c>
      <c r="DR139" s="173">
        <f ca="1">(VLOOKUP(DR$72,INDIRECT($C$5&amp;"生成成长"),2))/((VLOOKUP($B139,INDIRECT($B$5&amp;"生成成长"),4))/(VLOOKUP(DR$72,INDIRECT($C$5&amp;"生成成长"),5))*(VLOOKUP($B$5,标准坦克设计!$B$24:$U$30,MATCH("对"&amp;LEFT($C$5,2)&amp;"输出",标准坦克设计!$B$23:$U$23,0)))*(VLOOKUP($B139,INDIRECT($B$5&amp;"生成成长"),3))*(VLOOKUP($B$5,标准坦克设计!$B$14:$K$20,9)/30))</f>
        <v>8.5974966002110627</v>
      </c>
      <c r="DS139" s="173">
        <f ca="1">(VLOOKUP(DS$72,INDIRECT($C$5&amp;"生成成长"),2))/((VLOOKUP($B139,INDIRECT($B$5&amp;"生成成长"),4))/(VLOOKUP(DS$72,INDIRECT($C$5&amp;"生成成长"),5))*(VLOOKUP($B$5,标准坦克设计!$B$24:$U$30,MATCH("对"&amp;LEFT($C$5,2)&amp;"输出",标准坦克设计!$B$23:$U$23,0)))*(VLOOKUP($B139,INDIRECT($B$5&amp;"生成成长"),3))*(VLOOKUP($B$5,标准坦克设计!$B$14:$K$20,9)/30))</f>
        <v>9.3120036475740697</v>
      </c>
      <c r="DT139" s="173">
        <f ca="1">(VLOOKUP(DT$72,INDIRECT($C$5&amp;"生成成长"),2))/((VLOOKUP($B139,INDIRECT($B$5&amp;"生成成长"),4))/(VLOOKUP(DT$72,INDIRECT($C$5&amp;"生成成长"),5))*(VLOOKUP($B$5,标准坦克设计!$B$24:$U$30,MATCH("对"&amp;LEFT($C$5,2)&amp;"输出",标准坦克设计!$B$23:$U$23,0)))*(VLOOKUP($B139,INDIRECT($B$5&amp;"生成成长"),3))*(VLOOKUP($B$5,标准坦克设计!$B$14:$K$20,9)/30))</f>
        <v>10.224016708029295</v>
      </c>
      <c r="DU139" s="173">
        <f ca="1">(VLOOKUP(DU$72,INDIRECT($C$5&amp;"生成成长"),2))/((VLOOKUP($B139,INDIRECT($B$5&amp;"生成成长"),4))/(VLOOKUP(DU$72,INDIRECT($C$5&amp;"生成成长"),5))*(VLOOKUP($B$5,标准坦克设计!$B$24:$U$30,MATCH("对"&amp;LEFT($C$5,2)&amp;"输出",标准坦克设计!$B$23:$U$23,0)))*(VLOOKUP($B139,INDIRECT($B$5&amp;"生成成长"),3))*(VLOOKUP($B$5,标准坦克设计!$B$14:$K$20,9)/30))</f>
        <v>11.17862910464166</v>
      </c>
      <c r="DV139" s="173">
        <f ca="1">(VLOOKUP(DV$72,INDIRECT($C$5&amp;"生成成长"),2))/((VLOOKUP($B139,INDIRECT($B$5&amp;"生成成长"),4))/(VLOOKUP(DV$72,INDIRECT($C$5&amp;"生成成长"),5))*(VLOOKUP($B$5,标准坦克设计!$B$24:$U$30,MATCH("对"&amp;LEFT($C$5,2)&amp;"输出",标准坦克设计!$B$23:$U$23,0)))*(VLOOKUP($B139,INDIRECT($B$5&amp;"生成成长"),3))*(VLOOKUP($B$5,标准坦克设计!$B$14:$K$20,9)/30))</f>
        <v>12.175840837411167</v>
      </c>
      <c r="DW139" s="173">
        <f ca="1">(VLOOKUP(DW$72,INDIRECT($C$5&amp;"生成成长"),2))/((VLOOKUP($B139,INDIRECT($B$5&amp;"生成成长"),4))/(VLOOKUP(DW$72,INDIRECT($C$5&amp;"生成成长"),5))*(VLOOKUP($B$5,标准坦克设计!$B$24:$U$30,MATCH("对"&amp;LEFT($C$5,2)&amp;"输出",标准坦克设计!$B$23:$U$23,0)))*(VLOOKUP($B139,INDIRECT($B$5&amp;"生成成长"),3))*(VLOOKUP($B$5,标准坦克设计!$B$14:$K$20,9)/30))</f>
        <v>13.215651906337824</v>
      </c>
      <c r="DX139" s="173">
        <f ca="1">(VLOOKUP(DX$72,INDIRECT($C$5&amp;"生成成长"),2))/((VLOOKUP($B139,INDIRECT($B$5&amp;"生成成长"),4))/(VLOOKUP(DX$72,INDIRECT($C$5&amp;"生成成长"),5))*(VLOOKUP($B$5,标准坦克设计!$B$24:$U$30,MATCH("对"&amp;LEFT($C$5,2)&amp;"输出",标准坦克设计!$B$23:$U$23,0)))*(VLOOKUP($B139,INDIRECT($B$5&amp;"生成成长"),3))*(VLOOKUP($B$5,标准坦克设计!$B$14:$K$20,9)/30))</f>
        <v>14.298062311421624</v>
      </c>
      <c r="DY139" s="173">
        <f ca="1">(VLOOKUP(DY$72,INDIRECT($C$5&amp;"生成成长"),2))/((VLOOKUP($B139,INDIRECT($B$5&amp;"生成成长"),4))/(VLOOKUP(DY$72,INDIRECT($C$5&amp;"生成成长"),5))*(VLOOKUP($B$5,标准坦克设计!$B$24:$U$30,MATCH("对"&amp;LEFT($C$5,2)&amp;"输出",标准坦克设计!$B$23:$U$23,0)))*(VLOOKUP($B139,INDIRECT($B$5&amp;"生成成长"),3))*(VLOOKUP($B$5,标准坦克设计!$B$14:$K$20,9)/30))</f>
        <v>6.4217619105321297</v>
      </c>
      <c r="DZ139" s="173">
        <f ca="1">(VLOOKUP(DZ$72,INDIRECT($C$5&amp;"生成成长"),2))/((VLOOKUP($B139,INDIRECT($B$5&amp;"生成成长"),4))/(VLOOKUP(DZ$72,INDIRECT($C$5&amp;"生成成长"),5))*(VLOOKUP($B$5,标准坦克设计!$B$24:$U$30,MATCH("对"&amp;LEFT($C$5,2)&amp;"输出",标准坦克设计!$B$23:$U$23,0)))*(VLOOKUP($B139,INDIRECT($B$5&amp;"生成成长"),3))*(VLOOKUP($B$5,标准坦克设计!$B$14:$K$20,9)/30))</f>
        <v>7.1118007441519859</v>
      </c>
      <c r="EA139" s="173">
        <f ca="1">(VLOOKUP(EA$72,INDIRECT($C$5&amp;"生成成长"),2))/((VLOOKUP($B139,INDIRECT($B$5&amp;"生成成长"),4))/(VLOOKUP(EA$72,INDIRECT($C$5&amp;"生成成长"),5))*(VLOOKUP($B$5,标准坦克设计!$B$24:$U$30,MATCH("对"&amp;LEFT($C$5,2)&amp;"输出",标准坦克设计!$B$23:$U$23,0)))*(VLOOKUP($B139,INDIRECT($B$5&amp;"生成成长"),3))*(VLOOKUP($B$5,标准坦克设计!$B$14:$K$20,9)/30))</f>
        <v>7.8370456407116302</v>
      </c>
      <c r="EB139" s="173">
        <f ca="1">(VLOOKUP(EB$72,INDIRECT($C$5&amp;"生成成长"),2))/((VLOOKUP($B139,INDIRECT($B$5&amp;"生成成长"),4))/(VLOOKUP(EB$72,INDIRECT($C$5&amp;"生成成长"),5))*(VLOOKUP($B$5,标准坦克设计!$B$24:$U$30,MATCH("对"&amp;LEFT($C$5,2)&amp;"输出",标准坦克设计!$B$23:$U$23,0)))*(VLOOKUP($B139,INDIRECT($B$5&amp;"生成成长"),3))*(VLOOKUP($B$5,标准坦克设计!$B$14:$K$20,9)/30))</f>
        <v>8.5974966002110627</v>
      </c>
      <c r="EC139" s="173">
        <f ca="1">(VLOOKUP(EC$72,INDIRECT($C$5&amp;"生成成长"),2))/((VLOOKUP($B139,INDIRECT($B$5&amp;"生成成长"),4))/(VLOOKUP(EC$72,INDIRECT($C$5&amp;"生成成长"),5))*(VLOOKUP($B$5,标准坦克设计!$B$24:$U$30,MATCH("对"&amp;LEFT($C$5,2)&amp;"输出",标准坦克设计!$B$23:$U$23,0)))*(VLOOKUP($B139,INDIRECT($B$5&amp;"生成成长"),3))*(VLOOKUP($B$5,标准坦克设计!$B$14:$K$20,9)/30))</f>
        <v>9.3931536226502814</v>
      </c>
      <c r="ED139" s="173">
        <f ca="1">(VLOOKUP(ED$72,INDIRECT($C$5&amp;"生成成长"),2))/((VLOOKUP($B139,INDIRECT($B$5&amp;"生成成长"),4))/(VLOOKUP(ED$72,INDIRECT($C$5&amp;"生成成长"),5))*(VLOOKUP($B$5,标准坦克设计!$B$24:$U$30,MATCH("对"&amp;LEFT($C$5,2)&amp;"输出",标准坦克设计!$B$23:$U$23,0)))*(VLOOKUP($B139,INDIRECT($B$5&amp;"生成成长"),3))*(VLOOKUP($B$5,标准坦克设计!$B$14:$K$20,9)/30))</f>
        <v>10.224016708029295</v>
      </c>
      <c r="EE139" s="173">
        <f ca="1">(VLOOKUP(EE$72,INDIRECT($C$5&amp;"生成成长"),2))/((VLOOKUP($B139,INDIRECT($B$5&amp;"生成成长"),4))/(VLOOKUP(EE$72,INDIRECT($C$5&amp;"生成成长"),5))*(VLOOKUP($B$5,标准坦克设计!$B$24:$U$30,MATCH("对"&amp;LEFT($C$5,2)&amp;"输出",标准坦克设计!$B$23:$U$23,0)))*(VLOOKUP($B139,INDIRECT($B$5&amp;"生成成长"),3))*(VLOOKUP($B$5,标准坦克设计!$B$14:$K$20,9)/30))</f>
        <v>11.09008585634809</v>
      </c>
      <c r="EF139" s="173">
        <f ca="1">(VLOOKUP(EF$72,INDIRECT($C$5&amp;"生成成长"),2))/((VLOOKUP($B139,INDIRECT($B$5&amp;"生成成长"),4))/(VLOOKUP(EF$72,INDIRECT($C$5&amp;"生成成长"),5))*(VLOOKUP($B$5,标准坦克设计!$B$24:$U$30,MATCH("对"&amp;LEFT($C$5,2)&amp;"输出",标准坦克设计!$B$23:$U$23,0)))*(VLOOKUP($B139,INDIRECT($B$5&amp;"生成成长"),3))*(VLOOKUP($B$5,标准坦克设计!$B$14:$K$20,9)/30))</f>
        <v>11.991361067606677</v>
      </c>
      <c r="EG139" s="173">
        <f ca="1">(VLOOKUP(EG$72,INDIRECT($C$5&amp;"生成成长"),2))/((VLOOKUP($B139,INDIRECT($B$5&amp;"生成成长"),4))/(VLOOKUP(EG$72,INDIRECT($C$5&amp;"生成成长"),5))*(VLOOKUP($B$5,标准坦克设计!$B$24:$U$30,MATCH("对"&amp;LEFT($C$5,2)&amp;"输出",标准坦克设计!$B$23:$U$23,0)))*(VLOOKUP($B139,INDIRECT($B$5&amp;"生成成长"),3))*(VLOOKUP($B$5,标准坦克设计!$B$14:$K$20,9)/30))</f>
        <v>12.927842341805052</v>
      </c>
      <c r="EH139" s="173">
        <f ca="1">(VLOOKUP(EH$72,INDIRECT($C$5&amp;"生成成长"),2))/((VLOOKUP($B139,INDIRECT($B$5&amp;"生成成长"),4))/(VLOOKUP(EH$72,INDIRECT($C$5&amp;"生成成长"),5))*(VLOOKUP($B$5,标准坦克设计!$B$24:$U$30,MATCH("对"&amp;LEFT($C$5,2)&amp;"输出",标准坦克设计!$B$23:$U$23,0)))*(VLOOKUP($B139,INDIRECT($B$5&amp;"生成成长"),3))*(VLOOKUP($B$5,标准坦克设计!$B$14:$K$20,9)/30))</f>
        <v>13.899529678943217</v>
      </c>
      <c r="EI139" s="173">
        <f ca="1">(VLOOKUP(EI$72,INDIRECT($C$5&amp;"生成成长"),2))/((VLOOKUP($B139,INDIRECT($B$5&amp;"生成成长"),4))/(VLOOKUP(EI$72,INDIRECT($C$5&amp;"生成成长"),5))*(VLOOKUP($B$5,标准坦克设计!$B$24:$U$30,MATCH("对"&amp;LEFT($C$5,2)&amp;"输出",标准坦克设计!$B$23:$U$23,0)))*(VLOOKUP($B139,INDIRECT($B$5&amp;"生成成长"),3))*(VLOOKUP($B$5,标准坦克设计!$B$14:$K$20,9)/30))</f>
        <v>14.90642307902117</v>
      </c>
      <c r="EJ139" s="173">
        <f ca="1">(VLOOKUP(EJ$72,INDIRECT($C$5&amp;"生成成长"),2))/((VLOOKUP($B139,INDIRECT($B$5&amp;"生成成长"),4))/(VLOOKUP(EJ$72,INDIRECT($C$5&amp;"生成成长"),5))*(VLOOKUP($B$5,标准坦克设计!$B$24:$U$30,MATCH("对"&amp;LEFT($C$5,2)&amp;"输出",标准坦克设计!$B$23:$U$23,0)))*(VLOOKUP($B139,INDIRECT($B$5&amp;"生成成长"),3))*(VLOOKUP($B$5,标准坦克设计!$B$14:$K$20,9)/30))</f>
        <v>15.94852254203891</v>
      </c>
      <c r="EK139" s="173">
        <f ca="1">(VLOOKUP(EK$72,INDIRECT($C$5&amp;"生成成长"),2))/((VLOOKUP($B139,INDIRECT($B$5&amp;"生成成长"),4))/(VLOOKUP(EK$72,INDIRECT($C$5&amp;"生成成长"),5))*(VLOOKUP($B$5,标准坦克设计!$B$24:$U$30,MATCH("对"&amp;LEFT($C$5,2)&amp;"输出",标准坦克设计!$B$23:$U$23,0)))*(VLOOKUP($B139,INDIRECT($B$5&amp;"生成成长"),3))*(VLOOKUP($B$5,标准坦克设计!$B$14:$K$20,9)/30))</f>
        <v>17.245513900740722</v>
      </c>
      <c r="EL139" s="173">
        <f ca="1">(VLOOKUP(EL$72,INDIRECT($C$5&amp;"生成成长"),2))/((VLOOKUP($B139,INDIRECT($B$5&amp;"生成成长"),4))/(VLOOKUP(EL$72,INDIRECT($C$5&amp;"生成成长"),5))*(VLOOKUP($B$5,标准坦克设计!$B$24:$U$30,MATCH("对"&amp;LEFT($C$5,2)&amp;"输出",标准坦克设计!$B$23:$U$23,0)))*(VLOOKUP($B139,INDIRECT($B$5&amp;"生成成长"),3))*(VLOOKUP($B$5,标准坦克设计!$B$14:$K$20,9)/30))</f>
        <v>18.593201990075826</v>
      </c>
      <c r="EM139" s="173">
        <f ca="1">(VLOOKUP(EM$72,INDIRECT($C$5&amp;"生成成长"),2))/((VLOOKUP($B139,INDIRECT($B$5&amp;"生成成长"),4))/(VLOOKUP(EM$72,INDIRECT($C$5&amp;"生成成长"),5))*(VLOOKUP($B$5,标准坦克设计!$B$24:$U$30,MATCH("对"&amp;LEFT($C$5,2)&amp;"输出",标准坦克设计!$B$23:$U$23,0)))*(VLOOKUP($B139,INDIRECT($B$5&amp;"生成成长"),3))*(VLOOKUP($B$5,标准坦克设计!$B$14:$K$20,9)/30))</f>
        <v>19.991586810044225</v>
      </c>
      <c r="EN139" s="173">
        <f ca="1">(VLOOKUP(EN$72,INDIRECT($C$5&amp;"生成成长"),2))/((VLOOKUP($B139,INDIRECT($B$5&amp;"生成成长"),4))/(VLOOKUP(EN$72,INDIRECT($C$5&amp;"生成成长"),5))*(VLOOKUP($B$5,标准坦克设计!$B$24:$U$30,MATCH("对"&amp;LEFT($C$5,2)&amp;"输出",标准坦克设计!$B$23:$U$23,0)))*(VLOOKUP($B139,INDIRECT($B$5&amp;"生成成长"),3))*(VLOOKUP($B$5,标准坦克设计!$B$14:$K$20,9)/30))</f>
        <v>21.440668360645923</v>
      </c>
      <c r="EO139" s="173">
        <f ca="1">(VLOOKUP(EO$72,INDIRECT($C$5&amp;"生成成长"),2))/((VLOOKUP($B139,INDIRECT($B$5&amp;"生成成长"),4))/(VLOOKUP(EO$72,INDIRECT($C$5&amp;"生成成长"),5))*(VLOOKUP($B$5,标准坦克设计!$B$24:$U$30,MATCH("对"&amp;LEFT($C$5,2)&amp;"输出",标准坦克设计!$B$23:$U$23,0)))*(VLOOKUP($B139,INDIRECT($B$5&amp;"生成成长"),3))*(VLOOKUP($B$5,标准坦克设计!$B$14:$K$20,9)/30))</f>
        <v>22.940446641880918</v>
      </c>
      <c r="EP139" s="173">
        <f ca="1">(VLOOKUP(EP$72,INDIRECT($C$5&amp;"生成成长"),2))/((VLOOKUP($B139,INDIRECT($B$5&amp;"生成成长"),4))/(VLOOKUP(EP$72,INDIRECT($C$5&amp;"生成成长"),5))*(VLOOKUP($B$5,标准坦克设计!$B$24:$U$30,MATCH("对"&amp;LEFT($C$5,2)&amp;"输出",标准坦克设计!$B$23:$U$23,0)))*(VLOOKUP($B139,INDIRECT($B$5&amp;"生成成长"),3))*(VLOOKUP($B$5,标准坦克设计!$B$14:$K$20,9)/30))</f>
        <v>24.490921653749204</v>
      </c>
      <c r="EQ139" s="173">
        <f ca="1">(VLOOKUP(EQ$72,INDIRECT($C$5&amp;"生成成长"),2))/((VLOOKUP($B139,INDIRECT($B$5&amp;"生成成长"),4))/(VLOOKUP(EQ$72,INDIRECT($C$5&amp;"生成成长"),5))*(VLOOKUP($B$5,标准坦克设计!$B$24:$U$30,MATCH("对"&amp;LEFT($C$5,2)&amp;"输出",标准坦克设计!$B$23:$U$23,0)))*(VLOOKUP($B139,INDIRECT($B$5&amp;"生成成长"),3))*(VLOOKUP($B$5,标准坦克设计!$B$14:$K$20,9)/30))</f>
        <v>10.826568475243775</v>
      </c>
      <c r="ER139" s="173">
        <f ca="1">(VLOOKUP(ER$72,INDIRECT($C$5&amp;"生成成长"),2))/((VLOOKUP($B139,INDIRECT($B$5&amp;"生成成长"),4))/(VLOOKUP(ER$72,INDIRECT($C$5&amp;"生成成长"),5))*(VLOOKUP($B$5,标准坦克设计!$B$24:$U$30,MATCH("对"&amp;LEFT($C$5,2)&amp;"输出",标准坦克设计!$B$23:$U$23,0)))*(VLOOKUP($B139,INDIRECT($B$5&amp;"生成成长"),3))*(VLOOKUP($B$5,标准坦克设计!$B$14:$K$20,9)/30))</f>
        <v>11.808289540319779</v>
      </c>
      <c r="ES139" s="173">
        <f ca="1">(VLOOKUP(ES$72,INDIRECT($C$5&amp;"生成成长"),2))/((VLOOKUP($B139,INDIRECT($B$5&amp;"生成成长"),4))/(VLOOKUP(ES$72,INDIRECT($C$5&amp;"生成成长"),5))*(VLOOKUP($B$5,标准坦克设计!$B$24:$U$30,MATCH("对"&amp;LEFT($C$5,2)&amp;"输出",标准坦克设计!$B$23:$U$23,0)))*(VLOOKUP($B139,INDIRECT($B$5&amp;"生成成长"),3))*(VLOOKUP($B$5,标准坦克设计!$B$14:$K$20,9)/30))</f>
        <v>12.832609941552924</v>
      </c>
      <c r="ET139" s="173">
        <f ca="1">(VLOOKUP(ET$72,INDIRECT($C$5&amp;"生成成长"),2))/((VLOOKUP($B139,INDIRECT($B$5&amp;"生成成长"),4))/(VLOOKUP(ET$72,INDIRECT($C$5&amp;"生成成长"),5))*(VLOOKUP($B$5,标准坦克设计!$B$24:$U$30,MATCH("对"&amp;LEFT($C$5,2)&amp;"输出",标准坦克设计!$B$23:$U$23,0)))*(VLOOKUP($B139,INDIRECT($B$5&amp;"生成成长"),3))*(VLOOKUP($B$5,标准坦克设计!$B$14:$K$20,9)/30))</f>
        <v>13.899529678943217</v>
      </c>
      <c r="EU139" s="173">
        <f ca="1">(VLOOKUP(EU$72,INDIRECT($C$5&amp;"生成成长"),2))/((VLOOKUP($B139,INDIRECT($B$5&amp;"生成成长"),4))/(VLOOKUP(EU$72,INDIRECT($C$5&amp;"生成成长"),5))*(VLOOKUP($B$5,标准坦克设计!$B$24:$U$30,MATCH("对"&amp;LEFT($C$5,2)&amp;"输出",标准坦克设计!$B$23:$U$23,0)))*(VLOOKUP($B139,INDIRECT($B$5&amp;"生成成长"),3))*(VLOOKUP($B$5,标准坦克设计!$B$14:$K$20,9)/30))</f>
        <v>15.009048752490653</v>
      </c>
      <c r="EV139" s="173">
        <f ca="1">(VLOOKUP(EV$72,INDIRECT($C$5&amp;"生成成长"),2))/((VLOOKUP($B139,INDIRECT($B$5&amp;"生成成长"),4))/(VLOOKUP(EV$72,INDIRECT($C$5&amp;"生成成长"),5))*(VLOOKUP($B$5,标准坦克设计!$B$24:$U$30,MATCH("对"&amp;LEFT($C$5,2)&amp;"输出",标准坦克设计!$B$23:$U$23,0)))*(VLOOKUP($B139,INDIRECT($B$5&amp;"生成成长"),3))*(VLOOKUP($B$5,标准坦克设计!$B$14:$K$20,9)/30))</f>
        <v>16.161167162195234</v>
      </c>
      <c r="EW139" s="173">
        <f ca="1">(VLOOKUP(EW$72,INDIRECT($C$5&amp;"生成成长"),2))/((VLOOKUP($B139,INDIRECT($B$5&amp;"生成成长"),4))/(VLOOKUP(EW$72,INDIRECT($C$5&amp;"生成成长"),5))*(VLOOKUP($B$5,标准坦克设计!$B$24:$U$30,MATCH("对"&amp;LEFT($C$5,2)&amp;"输出",标准坦克设计!$B$23:$U$23,0)))*(VLOOKUP($B139,INDIRECT($B$5&amp;"生成成长"),3))*(VLOOKUP($B$5,标准坦克设计!$B$14:$K$20,9)/30))</f>
        <v>17.355884908056961</v>
      </c>
      <c r="EX139" s="173">
        <f ca="1">(VLOOKUP(EX$72,INDIRECT($C$5&amp;"生成成长"),2))/((VLOOKUP($B139,INDIRECT($B$5&amp;"生成成长"),4))/(VLOOKUP(EX$72,INDIRECT($C$5&amp;"生成成长"),5))*(VLOOKUP($B$5,标准坦克设计!$B$24:$U$30,MATCH("对"&amp;LEFT($C$5,2)&amp;"输出",标准坦克设计!$B$23:$U$23,0)))*(VLOOKUP($B139,INDIRECT($B$5&amp;"生成成长"),3))*(VLOOKUP($B$5,标准坦克设计!$B$14:$K$20,9)/30))</f>
        <v>18.593201990075826</v>
      </c>
      <c r="EY139" s="173">
        <f ca="1">(VLOOKUP(EY$72,INDIRECT($C$5&amp;"生成成长"),2))/((VLOOKUP($B139,INDIRECT($B$5&amp;"生成成长"),4))/(VLOOKUP(EY$72,INDIRECT($C$5&amp;"生成成长"),5))*(VLOOKUP($B$5,标准坦克设计!$B$24:$U$30,MATCH("对"&amp;LEFT($C$5,2)&amp;"输出",标准坦克设计!$B$23:$U$23,0)))*(VLOOKUP($B139,INDIRECT($B$5&amp;"生成成长"),3))*(VLOOKUP($B$5,标准坦克设计!$B$14:$K$20,9)/30))</f>
        <v>19.873118408251838</v>
      </c>
      <c r="EZ139" s="173">
        <f ca="1">(VLOOKUP(EZ$72,INDIRECT($C$5&amp;"生成成长"),2))/((VLOOKUP($B139,INDIRECT($B$5&amp;"生成成长"),4))/(VLOOKUP(EZ$72,INDIRECT($C$5&amp;"生成成长"),5))*(VLOOKUP($B$5,标准坦克设计!$B$24:$U$30,MATCH("对"&amp;LEFT($C$5,2)&amp;"输出",标准坦克设计!$B$23:$U$23,0)))*(VLOOKUP($B139,INDIRECT($B$5&amp;"生成成长"),3))*(VLOOKUP($B$5,标准坦克设计!$B$14:$K$20,9)/30))</f>
        <v>21.195634162584994</v>
      </c>
      <c r="FA139" s="173">
        <f ca="1">(VLOOKUP(FA$72,INDIRECT($C$5&amp;"生成成长"),2))/((VLOOKUP($B139,INDIRECT($B$5&amp;"生成成长"),4))/(VLOOKUP(FA$72,INDIRECT($C$5&amp;"生成成长"),5))*(VLOOKUP($B$5,标准坦克设计!$B$24:$U$30,MATCH("对"&amp;LEFT($C$5,2)&amp;"输出",标准坦克设计!$B$23:$U$23,0)))*(VLOOKUP($B139,INDIRECT($B$5&amp;"生成成长"),3))*(VLOOKUP($B$5,标准坦克设计!$B$14:$K$20,9)/30))</f>
        <v>22.560749253075301</v>
      </c>
      <c r="FB139" s="173">
        <f ca="1">(VLOOKUP(FB$72,INDIRECT($C$5&amp;"生成成长"),2))/((VLOOKUP($B139,INDIRECT($B$5&amp;"生成成长"),4))/(VLOOKUP(FB$72,INDIRECT($C$5&amp;"生成成长"),5))*(VLOOKUP($B$5,标准坦克设计!$B$24:$U$30,MATCH("对"&amp;LEFT($C$5,2)&amp;"输出",标准坦克设计!$B$23:$U$23,0)))*(VLOOKUP($B139,INDIRECT($B$5&amp;"生成成长"),3))*(VLOOKUP($B$5,标准坦克设计!$B$14:$K$20,9)/30))</f>
        <v>23.968463679722742</v>
      </c>
      <c r="FC139" s="173">
        <f ca="1">(VLOOKUP(FC$72,INDIRECT($C$5&amp;"生成成长"),2))/((VLOOKUP($B139,INDIRECT($B$5&amp;"生成成长"),4))/(VLOOKUP(FC$72,INDIRECT($C$5&amp;"生成成长"),5))*(VLOOKUP($B$5,标准坦克设计!$B$24:$U$30,MATCH("对"&amp;LEFT($C$5,2)&amp;"输出",标准坦克设计!$B$23:$U$23,0)))*(VLOOKUP($B139,INDIRECT($B$5&amp;"生成成长"),3))*(VLOOKUP($B$5,标准坦克设计!$B$14:$K$20,9)/30))</f>
        <v>25.418777442527333</v>
      </c>
      <c r="FD139" s="173">
        <f ca="1">(VLOOKUP(FD$72,INDIRECT($C$5&amp;"生成成长"),2))/((VLOOKUP($B139,INDIRECT($B$5&amp;"生成成长"),4))/(VLOOKUP(FD$72,INDIRECT($C$5&amp;"生成成长"),5))*(VLOOKUP($B$5,标准坦克设计!$B$24:$U$30,MATCH("对"&amp;LEFT($C$5,2)&amp;"输出",标准坦克设计!$B$23:$U$23,0)))*(VLOOKUP($B139,INDIRECT($B$5&amp;"生成成长"),3))*(VLOOKUP($B$5,标准坦克设计!$B$14:$K$20,9)/30))</f>
        <v>26.911690541489065</v>
      </c>
      <c r="FE139" s="173">
        <f ca="1">(VLOOKUP(FE$72,INDIRECT($C$5&amp;"生成成长"),2))/((VLOOKUP($B139,INDIRECT($B$5&amp;"生成成长"),4))/(VLOOKUP(FE$72,INDIRECT($C$5&amp;"生成成长"),5))*(VLOOKUP($B$5,标准坦克设计!$B$24:$U$30,MATCH("对"&amp;LEFT($C$5,2)&amp;"输出",标准坦克设计!$B$23:$U$23,0)))*(VLOOKUP($B139,INDIRECT($B$5&amp;"生成成长"),3))*(VLOOKUP($B$5,标准坦克设计!$B$14:$K$20,9)/30))</f>
        <v>28.730963843902636</v>
      </c>
      <c r="FF139" s="173">
        <f ca="1">(VLOOKUP(FF$72,INDIRECT($C$5&amp;"生成成长"),2))/((VLOOKUP($B139,INDIRECT($B$5&amp;"生成成长"),4))/(VLOOKUP(FF$72,INDIRECT($C$5&amp;"生成成长"),5))*(VLOOKUP($B$5,标准坦克设计!$B$24:$U$30,MATCH("对"&amp;LEFT($C$5,2)&amp;"输出",标准坦克设计!$B$23:$U$23,0)))*(VLOOKUP($B139,INDIRECT($B$5&amp;"生成成长"),3))*(VLOOKUP($B$5,标准坦克设计!$B$14:$K$20,9)/30))</f>
        <v>30.609735392684456</v>
      </c>
      <c r="FG139" s="173">
        <f ca="1">(VLOOKUP(FG$72,INDIRECT($C$5&amp;"生成成长"),2))/((VLOOKUP($B139,INDIRECT($B$5&amp;"生成成长"),4))/(VLOOKUP(FG$72,INDIRECT($C$5&amp;"生成成长"),5))*(VLOOKUP($B$5,标准坦克设计!$B$24:$U$30,MATCH("对"&amp;LEFT($C$5,2)&amp;"输出",标准坦克设计!$B$23:$U$23,0)))*(VLOOKUP($B139,INDIRECT($B$5&amp;"生成成长"),3))*(VLOOKUP($B$5,标准坦克设计!$B$14:$K$20,9)/30))</f>
        <v>32.548005187834505</v>
      </c>
      <c r="FH139" s="173">
        <f ca="1">(VLOOKUP(FH$72,INDIRECT($C$5&amp;"生成成长"),2))/((VLOOKUP($B139,INDIRECT($B$5&amp;"生成成长"),4))/(VLOOKUP(FH$72,INDIRECT($C$5&amp;"生成成长"),5))*(VLOOKUP($B$5,标准坦克设计!$B$24:$U$30,MATCH("对"&amp;LEFT($C$5,2)&amp;"输出",标准坦克设计!$B$23:$U$23,0)))*(VLOOKUP($B139,INDIRECT($B$5&amp;"生成成长"),3))*(VLOOKUP($B$5,标准坦克设计!$B$14:$K$20,9)/30))</f>
        <v>34.545773229352818</v>
      </c>
      <c r="FI139" s="173">
        <f ca="1">(VLOOKUP(FI$72,INDIRECT($C$5&amp;"生成成长"),2))/((VLOOKUP($B139,INDIRECT($B$5&amp;"生成成长"),4))/(VLOOKUP(FI$72,INDIRECT($C$5&amp;"生成成长"),5))*(VLOOKUP($B$5,标准坦克设计!$B$24:$U$30,MATCH("对"&amp;LEFT($C$5,2)&amp;"输出",标准坦克设计!$B$23:$U$23,0)))*(VLOOKUP($B139,INDIRECT($B$5&amp;"生成成长"),3))*(VLOOKUP($B$5,标准坦克设计!$B$14:$K$20,9)/30))</f>
        <v>36.603039517239353</v>
      </c>
      <c r="FJ139" s="173">
        <f ca="1">(VLOOKUP(FJ$72,INDIRECT($C$5&amp;"生成成长"),2))/((VLOOKUP($B139,INDIRECT($B$5&amp;"生成成长"),4))/(VLOOKUP(FJ$72,INDIRECT($C$5&amp;"生成成长"),5))*(VLOOKUP($B$5,标准坦克设计!$B$24:$U$30,MATCH("对"&amp;LEFT($C$5,2)&amp;"输出",标准坦克设计!$B$23:$U$23,0)))*(VLOOKUP($B139,INDIRECT($B$5&amp;"生成成长"),3))*(VLOOKUP($B$5,标准坦克设计!$B$14:$K$20,9)/30))</f>
        <v>38.719804051494144</v>
      </c>
      <c r="FK139" s="173">
        <f ca="1">(VLOOKUP(FK$72,INDIRECT($C$5&amp;"生成成长"),2))/((VLOOKUP($B139,INDIRECT($B$5&amp;"生成成长"),4))/(VLOOKUP(FK$72,INDIRECT($C$5&amp;"生成成长"),5))*(VLOOKUP($B$5,标准坦克设计!$B$24:$U$30,MATCH("对"&amp;LEFT($C$5,2)&amp;"输出",标准坦克设计!$B$23:$U$23,0)))*(VLOOKUP($B139,INDIRECT($B$5&amp;"生成成长"),3))*(VLOOKUP($B$5,标准坦克设计!$B$14:$K$20,9)/30))</f>
        <v>40.896066832117178</v>
      </c>
    </row>
    <row r="140" spans="1:167" x14ac:dyDescent="0.15">
      <c r="A140" s="171" t="str">
        <f t="shared" si="12"/>
        <v>T3中品质11级</v>
      </c>
      <c r="B140" s="172">
        <v>20311</v>
      </c>
      <c r="C140" s="173">
        <f ca="1">(VLOOKUP(C$72,INDIRECT($C$5&amp;"生成成长"),2))/((VLOOKUP($B140,INDIRECT($B$5&amp;"生成成长"),4))/(VLOOKUP(C$72,INDIRECT($C$5&amp;"生成成长"),5))*(VLOOKUP($B$5,标准坦克设计!$B$24:$U$30,MATCH("对"&amp;LEFT($C$5,2)&amp;"输出",标准坦克设计!$B$23:$U$23,0)))*(VLOOKUP($B140,INDIRECT($B$5&amp;"生成成长"),3))*(VLOOKUP($B$5,标准坦克设计!$B$14:$K$20,9)/30))</f>
        <v>1.6146624561952674</v>
      </c>
      <c r="D140" s="173">
        <f ca="1">(VLOOKUP(D$72,INDIRECT($C$5&amp;"生成成长"),2))/((VLOOKUP($B140,INDIRECT($B$5&amp;"生成成长"),4))/(VLOOKUP(D$72,INDIRECT($C$5&amp;"生成成长"),5))*(VLOOKUP($B$5,标准坦克设计!$B$24:$U$30,MATCH("对"&amp;LEFT($C$5,2)&amp;"输出",标准坦克设计!$B$23:$U$23,0)))*(VLOOKUP($B140,INDIRECT($B$5&amp;"生成成长"),3))*(VLOOKUP($B$5,标准坦克设计!$B$14:$K$20,9)/30))</f>
        <v>1.8142347357810023</v>
      </c>
      <c r="E140" s="173">
        <f ca="1">(VLOOKUP(E$72,INDIRECT($C$5&amp;"生成成长"),2))/((VLOOKUP($B140,INDIRECT($B$5&amp;"生成成长"),4))/(VLOOKUP(E$72,INDIRECT($C$5&amp;"生成成长"),5))*(VLOOKUP($B$5,标准坦克设计!$B$24:$U$30,MATCH("对"&amp;LEFT($C$5,2)&amp;"输出",标准坦克设计!$B$23:$U$23,0)))*(VLOOKUP($B140,INDIRECT($B$5&amp;"生成成长"),3))*(VLOOKUP($B$5,标准坦克设计!$B$14:$K$20,9)/30))</f>
        <v>2.0254325850513433</v>
      </c>
      <c r="F140" s="173">
        <f ca="1">(VLOOKUP(F$72,INDIRECT($C$5&amp;"生成成长"),2))/((VLOOKUP($B140,INDIRECT($B$5&amp;"生成成长"),4))/(VLOOKUP(F$72,INDIRECT($C$5&amp;"生成成长"),5))*(VLOOKUP($B$5,标准坦克设计!$B$24:$U$30,MATCH("对"&amp;LEFT($C$5,2)&amp;"输出",标准坦克设计!$B$23:$U$23,0)))*(VLOOKUP($B140,INDIRECT($B$5&amp;"生成成长"),3))*(VLOOKUP($B$5,标准坦克设计!$B$14:$K$20,9)/30))</f>
        <v>2.24825600400629</v>
      </c>
      <c r="G140" s="173">
        <f ca="1">(VLOOKUP(G$72,INDIRECT($C$5&amp;"生成成长"),2))/((VLOOKUP($B140,INDIRECT($B$5&amp;"生成成长"),4))/(VLOOKUP(G$72,INDIRECT($C$5&amp;"生成成长"),5))*(VLOOKUP($B$5,标准坦克设计!$B$24:$U$30,MATCH("对"&amp;LEFT($C$5,2)&amp;"输出",标准坦克设计!$B$23:$U$23,0)))*(VLOOKUP($B140,INDIRECT($B$5&amp;"生成成长"),3))*(VLOOKUP($B$5,标准坦克设计!$B$14:$K$20,9)/30))</f>
        <v>2.4827049926458424</v>
      </c>
      <c r="H140" s="173">
        <f ca="1">(VLOOKUP(H$72,INDIRECT($C$5&amp;"生成成长"),2))/((VLOOKUP($B140,INDIRECT($B$5&amp;"生成成长"),4))/(VLOOKUP(H$72,INDIRECT($C$5&amp;"生成成长"),5))*(VLOOKUP($B$5,标准坦克设计!$B$24:$U$30,MATCH("对"&amp;LEFT($C$5,2)&amp;"输出",标准坦克设计!$B$23:$U$23,0)))*(VLOOKUP($B140,INDIRECT($B$5&amp;"生成成长"),3))*(VLOOKUP($B$5,标准坦克设计!$B$14:$K$20,9)/30))</f>
        <v>2.1726898010563516</v>
      </c>
      <c r="I140" s="173">
        <f ca="1">(VLOOKUP(I$72,INDIRECT($C$5&amp;"生成成长"),2))/((VLOOKUP($B140,INDIRECT($B$5&amp;"生成成长"),4))/(VLOOKUP(I$72,INDIRECT($C$5&amp;"生成成长"),5))*(VLOOKUP($B$5,标准坦克设计!$B$24:$U$30,MATCH("对"&amp;LEFT($C$5,2)&amp;"输出",标准坦克设计!$B$23:$U$23,0)))*(VLOOKUP($B140,INDIRECT($B$5&amp;"生成成长"),3))*(VLOOKUP($B$5,标准坦克设计!$B$14:$K$20,9)/30))</f>
        <v>2.4827049926458424</v>
      </c>
      <c r="J140" s="173">
        <f ca="1">(VLOOKUP(J$72,INDIRECT($C$5&amp;"生成成长"),2))/((VLOOKUP($B140,INDIRECT($B$5&amp;"生成成长"),4))/(VLOOKUP(J$72,INDIRECT($C$5&amp;"生成成长"),5))*(VLOOKUP($B$5,标准坦克设计!$B$24:$U$30,MATCH("对"&amp;LEFT($C$5,2)&amp;"输出",标准坦克设计!$B$23:$U$23,0)))*(VLOOKUP($B140,INDIRECT($B$5&amp;"生成成长"),3))*(VLOOKUP($B$5,标准坦克设计!$B$14:$K$20,9)/30))</f>
        <v>2.8133878636746332</v>
      </c>
      <c r="K140" s="173">
        <f ca="1">(VLOOKUP(K$72,INDIRECT($C$5&amp;"生成成长"),2))/((VLOOKUP($B140,INDIRECT($B$5&amp;"生成成长"),4))/(VLOOKUP(K$72,INDIRECT($C$5&amp;"生成成长"),5))*(VLOOKUP($B$5,标准坦克设计!$B$24:$U$30,MATCH("对"&amp;LEFT($C$5,2)&amp;"输出",标准坦克设计!$B$23:$U$23,0)))*(VLOOKUP($B140,INDIRECT($B$5&amp;"生成成长"),3))*(VLOOKUP($B$5,标准坦克设计!$B$14:$K$20,9)/30))</f>
        <v>3.1647384141427239</v>
      </c>
      <c r="L140" s="173">
        <f ca="1">(VLOOKUP(L$72,INDIRECT($C$5&amp;"生成成长"),2))/((VLOOKUP($B140,INDIRECT($B$5&amp;"生成成长"),4))/(VLOOKUP(L$72,INDIRECT($C$5&amp;"生成成长"),5))*(VLOOKUP($B$5,标准坦克设计!$B$24:$U$30,MATCH("对"&amp;LEFT($C$5,2)&amp;"输出",标准坦克设计!$B$23:$U$23,0)))*(VLOOKUP($B140,INDIRECT($B$5&amp;"生成成长"),3))*(VLOOKUP($B$5,标准坦克设计!$B$14:$K$20,9)/30))</f>
        <v>3.5367566440501133</v>
      </c>
      <c r="M140" s="173">
        <f ca="1">(VLOOKUP(M$72,INDIRECT($C$5&amp;"生成成长"),2))/((VLOOKUP($B140,INDIRECT($B$5&amp;"生成成长"),4))/(VLOOKUP(M$72,INDIRECT($C$5&amp;"生成成长"),5))*(VLOOKUP($B$5,标准坦克设计!$B$24:$U$30,MATCH("对"&amp;LEFT($C$5,2)&amp;"输出",标准坦克设计!$B$23:$U$23,0)))*(VLOOKUP($B140,INDIRECT($B$5&amp;"生成成长"),3))*(VLOOKUP($B$5,标准坦克设计!$B$14:$K$20,9)/30))</f>
        <v>3.9294425533968025</v>
      </c>
      <c r="N140" s="173">
        <f ca="1">(VLOOKUP(N$72,INDIRECT($C$5&amp;"生成成长"),2))/((VLOOKUP($B140,INDIRECT($B$5&amp;"生成成长"),4))/(VLOOKUP(N$72,INDIRECT($C$5&amp;"生成成长"),5))*(VLOOKUP($B$5,标准坦克设计!$B$24:$U$30,MATCH("对"&amp;LEFT($C$5,2)&amp;"输出",标准坦克设计!$B$23:$U$23,0)))*(VLOOKUP($B140,INDIRECT($B$5&amp;"生成成长"),3))*(VLOOKUP($B$5,标准坦克设计!$B$14:$K$20,9)/30))</f>
        <v>4.3427961421827908</v>
      </c>
      <c r="O140" s="173">
        <f ca="1">(VLOOKUP(O$72,INDIRECT($C$5&amp;"生成成长"),2))/((VLOOKUP($B140,INDIRECT($B$5&amp;"生成成长"),4))/(VLOOKUP(O$72,INDIRECT($C$5&amp;"生成成长"),5))*(VLOOKUP($B$5,标准坦克设计!$B$24:$U$30,MATCH("对"&amp;LEFT($C$5,2)&amp;"输出",标准坦克设计!$B$23:$U$23,0)))*(VLOOKUP($B140,INDIRECT($B$5&amp;"生成成长"),3))*(VLOOKUP($B$5,标准坦克设计!$B$14:$K$20,9)/30))</f>
        <v>3.301823256673702</v>
      </c>
      <c r="P140" s="173">
        <f ca="1">(VLOOKUP(P$72,INDIRECT($C$5&amp;"生成成长"),2))/((VLOOKUP($B140,INDIRECT($B$5&amp;"生成成长"),4))/(VLOOKUP(P$72,INDIRECT($C$5&amp;"生成成长"),5))*(VLOOKUP($B$5,标准坦克设计!$B$24:$U$30,MATCH("对"&amp;LEFT($C$5,2)&amp;"输出",标准坦克设计!$B$23:$U$23,0)))*(VLOOKUP($B140,INDIRECT($B$5&amp;"生成成长"),3))*(VLOOKUP($B$5,标准坦克设计!$B$14:$K$20,9)/30))</f>
        <v>3.7305161387935453</v>
      </c>
      <c r="Q140" s="173">
        <f ca="1">(VLOOKUP(Q$72,INDIRECT($C$5&amp;"生成成长"),2))/((VLOOKUP($B140,INDIRECT($B$5&amp;"生成成长"),4))/(VLOOKUP(Q$72,INDIRECT($C$5&amp;"生成成长"),5))*(VLOOKUP($B$5,标准坦克设计!$B$24:$U$30,MATCH("对"&amp;LEFT($C$5,2)&amp;"输出",标准坦克设计!$B$23:$U$23,0)))*(VLOOKUP($B140,INDIRECT($B$5&amp;"生成成长"),3))*(VLOOKUP($B$5,标准坦克设计!$B$14:$K$20,9)/30))</f>
        <v>4.1853665527037514</v>
      </c>
      <c r="R140" s="173">
        <f ca="1">(VLOOKUP(R$72,INDIRECT($C$5&amp;"生成成长"),2))/((VLOOKUP($B140,INDIRECT($B$5&amp;"生成成长"),4))/(VLOOKUP(R$72,INDIRECT($C$5&amp;"生成成长"),5))*(VLOOKUP($B$5,标准坦克设计!$B$24:$U$30,MATCH("对"&amp;LEFT($C$5,2)&amp;"输出",标准坦克设计!$B$23:$U$23,0)))*(VLOOKUP($B140,INDIRECT($B$5&amp;"生成成长"),3))*(VLOOKUP($B$5,标准坦克设计!$B$14:$K$20,9)/30))</f>
        <v>4.6663744984043225</v>
      </c>
      <c r="S140" s="173">
        <f ca="1">(VLOOKUP(S$72,INDIRECT($C$5&amp;"生成成长"),2))/((VLOOKUP($B140,INDIRECT($B$5&amp;"生成成长"),4))/(VLOOKUP(S$72,INDIRECT($C$5&amp;"生成成长"),5))*(VLOOKUP($B$5,标准坦克设计!$B$24:$U$30,MATCH("对"&amp;LEFT($C$5,2)&amp;"输出",标准坦克设计!$B$23:$U$23,0)))*(VLOOKUP($B140,INDIRECT($B$5&amp;"生成成长"),3))*(VLOOKUP($B$5,标准坦克设计!$B$14:$K$20,9)/30))</f>
        <v>5.1735399758952552</v>
      </c>
      <c r="T140" s="173">
        <f ca="1">(VLOOKUP(T$72,INDIRECT($C$5&amp;"生成成长"),2))/((VLOOKUP($B140,INDIRECT($B$5&amp;"生成成长"),4))/(VLOOKUP(T$72,INDIRECT($C$5&amp;"生成成长"),5))*(VLOOKUP($B$5,标准坦克设计!$B$24:$U$30,MATCH("对"&amp;LEFT($C$5,2)&amp;"输出",标准坦克设计!$B$23:$U$23,0)))*(VLOOKUP($B140,INDIRECT($B$5&amp;"生成成长"),3))*(VLOOKUP($B$5,标准坦克设计!$B$14:$K$20,9)/30))</f>
        <v>5.7068629851765511</v>
      </c>
      <c r="U140" s="173">
        <f ca="1">(VLOOKUP(U$72,INDIRECT($C$5&amp;"生成成长"),2))/((VLOOKUP($B140,INDIRECT($B$5&amp;"生成成长"),4))/(VLOOKUP(U$72,INDIRECT($C$5&amp;"生成成长"),5))*(VLOOKUP($B$5,标准坦克设计!$B$24:$U$30,MATCH("对"&amp;LEFT($C$5,2)&amp;"输出",标准坦克设计!$B$23:$U$23,0)))*(VLOOKUP($B140,INDIRECT($B$5&amp;"生成成长"),3))*(VLOOKUP($B$5,标准坦克设计!$B$14:$K$20,9)/30))</f>
        <v>6.266343526248213</v>
      </c>
      <c r="V140" s="173">
        <f ca="1">(VLOOKUP(V$72,INDIRECT($C$5&amp;"生成成长"),2))/((VLOOKUP($B140,INDIRECT($B$5&amp;"生成成长"),4))/(VLOOKUP(V$72,INDIRECT($C$5&amp;"生成成长"),5))*(VLOOKUP($B$5,标准坦克设计!$B$24:$U$30,MATCH("对"&amp;LEFT($C$5,2)&amp;"输出",标准坦克设计!$B$23:$U$23,0)))*(VLOOKUP($B140,INDIRECT($B$5&amp;"生成成长"),3))*(VLOOKUP($B$5,标准坦克设计!$B$14:$K$20,9)/30))</f>
        <v>6.8519815991102355</v>
      </c>
      <c r="W140" s="173">
        <f ca="1">(VLOOKUP(W$72,INDIRECT($C$5&amp;"生成成长"),2))/((VLOOKUP($B140,INDIRECT($B$5&amp;"生成成长"),4))/(VLOOKUP(W$72,INDIRECT($C$5&amp;"生成成长"),5))*(VLOOKUP($B$5,标准坦克设计!$B$24:$U$30,MATCH("对"&amp;LEFT($C$5,2)&amp;"输出",标准坦克设计!$B$23:$U$23,0)))*(VLOOKUP($B140,INDIRECT($B$5&amp;"生成成长"),3))*(VLOOKUP($B$5,标准坦克设计!$B$14:$K$20,9)/30))</f>
        <v>7.4637772037626222</v>
      </c>
      <c r="X140" s="173">
        <f ca="1">(VLOOKUP(X$72,INDIRECT($C$5&amp;"生成成长"),2))/((VLOOKUP($B140,INDIRECT($B$5&amp;"生成成长"),4))/(VLOOKUP(X$72,INDIRECT($C$5&amp;"生成成长"),5))*(VLOOKUP($B$5,标准坦克设计!$B$24:$U$30,MATCH("对"&amp;LEFT($C$5,2)&amp;"输出",标准坦克设计!$B$23:$U$23,0)))*(VLOOKUP($B140,INDIRECT($B$5&amp;"生成成长"),3))*(VLOOKUP($B$5,标准坦克设计!$B$14:$K$20,9)/30))</f>
        <v>5.4073430995523299</v>
      </c>
      <c r="Y140" s="173">
        <f ca="1">(VLOOKUP(Y$72,INDIRECT($C$5&amp;"生成成长"),2))/((VLOOKUP($B140,INDIRECT($B$5&amp;"生成成长"),4))/(VLOOKUP(Y$72,INDIRECT($C$5&amp;"生成成长"),5))*(VLOOKUP($B$5,标准坦克设计!$B$24:$U$30,MATCH("对"&amp;LEFT($C$5,2)&amp;"输出",标准坦克设计!$B$23:$U$23,0)))*(VLOOKUP($B140,INDIRECT($B$5&amp;"生成成长"),3))*(VLOOKUP($B$5,标准坦克设计!$B$14:$K$20,9)/30))</f>
        <v>6.0144561830817507</v>
      </c>
      <c r="Z140" s="173">
        <f ca="1">(VLOOKUP(Z$72,INDIRECT($C$5&amp;"生成成长"),2))/((VLOOKUP($B140,INDIRECT($B$5&amp;"生成成长"),4))/(VLOOKUP(Z$72,INDIRECT($C$5&amp;"生成成长"),5))*(VLOOKUP($B$5,标准坦克设计!$B$24:$U$30,MATCH("对"&amp;LEFT($C$5,2)&amp;"输出",标准坦克设计!$B$23:$U$23,0)))*(VLOOKUP($B140,INDIRECT($B$5&amp;"生成成长"),3))*(VLOOKUP($B$5,标准坦克设计!$B$14:$K$20,9)/30))</f>
        <v>6.653862515735077</v>
      </c>
      <c r="AA140" s="173">
        <f ca="1">(VLOOKUP(AA$72,INDIRECT($C$5&amp;"生成成长"),2))/((VLOOKUP($B140,INDIRECT($B$5&amp;"生成成长"),4))/(VLOOKUP(AA$72,INDIRECT($C$5&amp;"生成成长"),5))*(VLOOKUP($B$5,标准坦克设计!$B$24:$U$30,MATCH("对"&amp;LEFT($C$5,2)&amp;"输出",标准坦克设计!$B$23:$U$23,0)))*(VLOOKUP($B140,INDIRECT($B$5&amp;"生成成长"),3))*(VLOOKUP($B$5,标准坦克设计!$B$14:$K$20,9)/30))</f>
        <v>7.3255620975123072</v>
      </c>
      <c r="AB140" s="173">
        <f ca="1">(VLOOKUP(AB$72,INDIRECT($C$5&amp;"生成成长"),2))/((VLOOKUP($B140,INDIRECT($B$5&amp;"生成成长"),4))/(VLOOKUP(AB$72,INDIRECT($C$5&amp;"生成成长"),5))*(VLOOKUP($B$5,标准坦克设计!$B$24:$U$30,MATCH("对"&amp;LEFT($C$5,2)&amp;"输出",标准坦克设计!$B$23:$U$23,0)))*(VLOOKUP($B140,INDIRECT($B$5&amp;"生成成长"),3))*(VLOOKUP($B$5,标准坦克设计!$B$14:$K$20,9)/30))</f>
        <v>8.0295549284134449</v>
      </c>
      <c r="AC140" s="173">
        <f ca="1">(VLOOKUP(AC$72,INDIRECT($C$5&amp;"生成成长"),2))/((VLOOKUP($B140,INDIRECT($B$5&amp;"生成成长"),4))/(VLOOKUP(AC$72,INDIRECT($C$5&amp;"生成成长"),5))*(VLOOKUP($B$5,标准坦克设计!$B$24:$U$30,MATCH("对"&amp;LEFT($C$5,2)&amp;"输出",标准坦克设计!$B$23:$U$23,0)))*(VLOOKUP($B140,INDIRECT($B$5&amp;"生成成长"),3))*(VLOOKUP($B$5,标准坦克设计!$B$14:$K$20,9)/30))</f>
        <v>8.7658410084384855</v>
      </c>
      <c r="AD140" s="173">
        <f ca="1">(VLOOKUP(AD$72,INDIRECT($C$5&amp;"生成成长"),2))/((VLOOKUP($B140,INDIRECT($B$5&amp;"生成成长"),4))/(VLOOKUP(AD$72,INDIRECT($C$5&amp;"生成成长"),5))*(VLOOKUP($B$5,标准坦克设计!$B$24:$U$30,MATCH("对"&amp;LEFT($C$5,2)&amp;"输出",标准坦克设计!$B$23:$U$23,0)))*(VLOOKUP($B140,INDIRECT($B$5&amp;"生成成长"),3))*(VLOOKUP($B$5,标准坦克设计!$B$14:$K$20,9)/30))</f>
        <v>9.5344203375874326</v>
      </c>
      <c r="AE140" s="173">
        <f ca="1">(VLOOKUP(AE$72,INDIRECT($C$5&amp;"生成成长"),2))/((VLOOKUP($B140,INDIRECT($B$5&amp;"生成成长"),4))/(VLOOKUP(AE$72,INDIRECT($C$5&amp;"生成成长"),5))*(VLOOKUP($B$5,标准坦克设计!$B$24:$U$30,MATCH("对"&amp;LEFT($C$5,2)&amp;"输出",标准坦克设计!$B$23:$U$23,0)))*(VLOOKUP($B140,INDIRECT($B$5&amp;"生成成长"),3))*(VLOOKUP($B$5,标准坦克设计!$B$14:$K$20,9)/30))</f>
        <v>10.335292915860284</v>
      </c>
      <c r="AF140" s="173">
        <f ca="1">(VLOOKUP(AF$72,INDIRECT($C$5&amp;"生成成长"),2))/((VLOOKUP($B140,INDIRECT($B$5&amp;"生成成长"),4))/(VLOOKUP(AF$72,INDIRECT($C$5&amp;"生成成长"),5))*(VLOOKUP($B$5,标准坦克设计!$B$24:$U$30,MATCH("对"&amp;LEFT($C$5,2)&amp;"输出",标准坦克设计!$B$23:$U$23,0)))*(VLOOKUP($B140,INDIRECT($B$5&amp;"生成成长"),3))*(VLOOKUP($B$5,标准坦克设计!$B$14:$K$20,9)/30))</f>
        <v>11.168458743257043</v>
      </c>
      <c r="AG140" s="173">
        <f ca="1">(VLOOKUP(AG$72,INDIRECT($C$5&amp;"生成成长"),2))/((VLOOKUP($B140,INDIRECT($B$5&amp;"生成成长"),4))/(VLOOKUP(AG$72,INDIRECT($C$5&amp;"生成成长"),5))*(VLOOKUP($B$5,标准坦克设计!$B$24:$U$30,MATCH("对"&amp;LEFT($C$5,2)&amp;"输出",标准坦克设计!$B$23:$U$23,0)))*(VLOOKUP($B140,INDIRECT($B$5&amp;"生成成长"),3))*(VLOOKUP($B$5,标准坦克设计!$B$14:$K$20,9)/30))</f>
        <v>12.033917819777706</v>
      </c>
      <c r="AH140" s="173">
        <f ca="1">(VLOOKUP(AH$72,INDIRECT($C$5&amp;"生成成长"),2))/((VLOOKUP($B140,INDIRECT($B$5&amp;"生成成长"),4))/(VLOOKUP(AH$72,INDIRECT($C$5&amp;"生成成长"),5))*(VLOOKUP($B$5,标准坦克设计!$B$24:$U$30,MATCH("对"&amp;LEFT($C$5,2)&amp;"输出",标准坦克设计!$B$23:$U$23,0)))*(VLOOKUP($B140,INDIRECT($B$5&amp;"生成成长"),3))*(VLOOKUP($B$5,标准坦克设计!$B$14:$K$20,9)/30))</f>
        <v>12.931670145422276</v>
      </c>
      <c r="AI140" s="173">
        <f ca="1">(VLOOKUP(AI$72,INDIRECT($C$5&amp;"生成成长"),2))/((VLOOKUP($B140,INDIRECT($B$5&amp;"生成成长"),4))/(VLOOKUP(AI$72,INDIRECT($C$5&amp;"生成成长"),5))*(VLOOKUP($B$5,标准坦克设计!$B$24:$U$30,MATCH("对"&amp;LEFT($C$5,2)&amp;"输出",标准坦克设计!$B$23:$U$23,0)))*(VLOOKUP($B140,INDIRECT($B$5&amp;"生成成长"),3))*(VLOOKUP($B$5,标准坦克设计!$B$14:$K$20,9)/30))</f>
        <v>9.1460940168724711</v>
      </c>
      <c r="AJ140" s="173">
        <f ca="1">(VLOOKUP(AJ$72,INDIRECT($C$5&amp;"生成成长"),2))/((VLOOKUP($B140,INDIRECT($B$5&amp;"生成成长"),4))/(VLOOKUP(AJ$72,INDIRECT($C$5&amp;"生成成长"),5))*(VLOOKUP($B$5,标准坦克设计!$B$24:$U$30,MATCH("对"&amp;LEFT($C$5,2)&amp;"输出",标准坦克设计!$B$23:$U$23,0)))*(VLOOKUP($B140,INDIRECT($B$5&amp;"生成成长"),3))*(VLOOKUP($B$5,标准坦克设计!$B$14:$K$20,9)/30))</f>
        <v>10.011068694656275</v>
      </c>
      <c r="AK140" s="173">
        <f ca="1">(VLOOKUP(AK$72,INDIRECT($C$5&amp;"生成成长"),2))/((VLOOKUP($B140,INDIRECT($B$5&amp;"生成成长"),4))/(VLOOKUP(AK$72,INDIRECT($C$5&amp;"生成成长"),5))*(VLOOKUP($B$5,标准坦克设计!$B$24:$U$30,MATCH("对"&amp;LEFT($C$5,2)&amp;"输出",标准坦克设计!$B$23:$U$23,0)))*(VLOOKUP($B140,INDIRECT($B$5&amp;"生成成长"),3))*(VLOOKUP($B$5,标准坦克设计!$B$14:$K$20,9)/30))</f>
        <v>10.915118203880006</v>
      </c>
      <c r="AL140" s="173">
        <f ca="1">(VLOOKUP(AL$72,INDIRECT($C$5&amp;"生成成长"),2))/((VLOOKUP($B140,INDIRECT($B$5&amp;"生成成长"),4))/(VLOOKUP(AL$72,INDIRECT($C$5&amp;"生成成长"),5))*(VLOOKUP($B$5,标准坦克设计!$B$24:$U$30,MATCH("对"&amp;LEFT($C$5,2)&amp;"输出",标准坦克设计!$B$23:$U$23,0)))*(VLOOKUP($B140,INDIRECT($B$5&amp;"生成成长"),3))*(VLOOKUP($B$5,标准坦克设计!$B$14:$K$20,9)/30))</f>
        <v>11.858242544543662</v>
      </c>
      <c r="AM140" s="173">
        <f ca="1">(VLOOKUP(AM$72,INDIRECT($C$5&amp;"生成成长"),2))/((VLOOKUP($B140,INDIRECT($B$5&amp;"生成成长"),4))/(VLOOKUP(AM$72,INDIRECT($C$5&amp;"生成成长"),5))*(VLOOKUP($B$5,标准坦克设计!$B$24:$U$30,MATCH("对"&amp;LEFT($C$5,2)&amp;"输出",标准坦克设计!$B$23:$U$23,0)))*(VLOOKUP($B140,INDIRECT($B$5&amp;"生成成长"),3))*(VLOOKUP($B$5,标准坦克设计!$B$14:$K$20,9)/30))</f>
        <v>12.840441716647243</v>
      </c>
      <c r="AN140" s="173">
        <f ca="1">(VLOOKUP(AN$72,INDIRECT($C$5&amp;"生成成长"),2))/((VLOOKUP($B140,INDIRECT($B$5&amp;"生成成长"),4))/(VLOOKUP(AN$72,INDIRECT($C$5&amp;"生成成长"),5))*(VLOOKUP($B$5,标准坦克设计!$B$24:$U$30,MATCH("对"&amp;LEFT($C$5,2)&amp;"输出",标准坦克设计!$B$23:$U$23,0)))*(VLOOKUP($B140,INDIRECT($B$5&amp;"生成成长"),3))*(VLOOKUP($B$5,标准坦克设计!$B$14:$K$20,9)/30))</f>
        <v>13.861715720190748</v>
      </c>
      <c r="AO140" s="173">
        <f ca="1">(VLOOKUP(AO$72,INDIRECT($C$5&amp;"生成成长"),2))/((VLOOKUP($B140,INDIRECT($B$5&amp;"生成成长"),4))/(VLOOKUP(AO$72,INDIRECT($C$5&amp;"生成成长"),5))*(VLOOKUP($B$5,标准坦克设计!$B$24:$U$30,MATCH("对"&amp;LEFT($C$5,2)&amp;"输出",标准坦克设计!$B$23:$U$23,0)))*(VLOOKUP($B140,INDIRECT($B$5&amp;"生成成长"),3))*(VLOOKUP($B$5,标准坦克设计!$B$14:$K$20,9)/30))</f>
        <v>14.922064555174181</v>
      </c>
      <c r="AP140" s="173">
        <f ca="1">(VLOOKUP(AP$72,INDIRECT($C$5&amp;"生成成长"),2))/((VLOOKUP($B140,INDIRECT($B$5&amp;"生成成长"),4))/(VLOOKUP(AP$72,INDIRECT($C$5&amp;"生成成长"),5))*(VLOOKUP($B$5,标准坦克设计!$B$24:$U$30,MATCH("对"&amp;LEFT($C$5,2)&amp;"输出",标准坦克设计!$B$23:$U$23,0)))*(VLOOKUP($B140,INDIRECT($B$5&amp;"生成成长"),3))*(VLOOKUP($B$5,标准坦克设计!$B$14:$K$20,9)/30))</f>
        <v>16.02148822159754</v>
      </c>
      <c r="AQ140" s="173">
        <f ca="1">(VLOOKUP(AQ$72,INDIRECT($C$5&amp;"生成成长"),2))/((VLOOKUP($B140,INDIRECT($B$5&amp;"生成成长"),4))/(VLOOKUP(AQ$72,INDIRECT($C$5&amp;"生成成长"),5))*(VLOOKUP($B$5,标准坦克设计!$B$24:$U$30,MATCH("对"&amp;LEFT($C$5,2)&amp;"输出",标准坦克设计!$B$23:$U$23,0)))*(VLOOKUP($B140,INDIRECT($B$5&amp;"生成成长"),3))*(VLOOKUP($B$5,标准坦克设计!$B$14:$K$20,9)/30))</f>
        <v>17.159986719460822</v>
      </c>
      <c r="AR140" s="173">
        <f ca="1">(VLOOKUP(AR$72,INDIRECT($C$5&amp;"生成成长"),2))/((VLOOKUP($B140,INDIRECT($B$5&amp;"生成成长"),4))/(VLOOKUP(AR$72,INDIRECT($C$5&amp;"生成成长"),5))*(VLOOKUP($B$5,标准坦克设计!$B$24:$U$30,MATCH("对"&amp;LEFT($C$5,2)&amp;"输出",标准坦克设计!$B$23:$U$23,0)))*(VLOOKUP($B140,INDIRECT($B$5&amp;"生成成长"),3))*(VLOOKUP($B$5,标准坦克设计!$B$14:$K$20,9)/30))</f>
        <v>18.337560048764029</v>
      </c>
      <c r="AS140" s="173">
        <f ca="1">(VLOOKUP(AS$72,INDIRECT($C$5&amp;"生成成长"),2))/((VLOOKUP($B140,INDIRECT($B$5&amp;"生成成长"),4))/(VLOOKUP(AS$72,INDIRECT($C$5&amp;"生成成长"),5))*(VLOOKUP($B$5,标准坦克设计!$B$24:$U$30,MATCH("对"&amp;LEFT($C$5,2)&amp;"输出",标准坦克设计!$B$23:$U$23,0)))*(VLOOKUP($B140,INDIRECT($B$5&amp;"生成成长"),3))*(VLOOKUP($B$5,标准坦克设计!$B$14:$K$20,9)/30))</f>
        <v>19.554208209507163</v>
      </c>
      <c r="AT140" s="173">
        <f ca="1">(VLOOKUP(AT$72,INDIRECT($C$5&amp;"生成成长"),2))/((VLOOKUP($B140,INDIRECT($B$5&amp;"生成成长"),4))/(VLOOKUP(AT$72,INDIRECT($C$5&amp;"生成成长"),5))*(VLOOKUP($B$5,标准坦克设计!$B$24:$U$30,MATCH("对"&amp;LEFT($C$5,2)&amp;"输出",标准坦克设计!$B$23:$U$23,0)))*(VLOOKUP($B140,INDIRECT($B$5&amp;"生成成长"),3))*(VLOOKUP($B$5,标准坦克设计!$B$14:$K$20,9)/30))</f>
        <v>20.809931201690222</v>
      </c>
      <c r="AU140" s="173">
        <f ca="1">(VLOOKUP(AU$72,INDIRECT($C$5&amp;"生成成长"),2))/((VLOOKUP($B140,INDIRECT($B$5&amp;"生成成长"),4))/(VLOOKUP(AU$72,INDIRECT($C$5&amp;"生成成长"),5))*(VLOOKUP($B$5,标准坦克设计!$B$24:$U$30,MATCH("对"&amp;LEFT($C$5,2)&amp;"输出",标准坦克设计!$B$23:$U$23,0)))*(VLOOKUP($B140,INDIRECT($B$5&amp;"生成成长"),3))*(VLOOKUP($B$5,标准坦克设计!$B$14:$K$20,9)/30))</f>
        <v>22.104729025313208</v>
      </c>
      <c r="AV140" s="173">
        <f ca="1">(VLOOKUP(AV$72,INDIRECT($C$5&amp;"生成成长"),2))/((VLOOKUP($B140,INDIRECT($B$5&amp;"生成成长"),4))/(VLOOKUP(AV$72,INDIRECT($C$5&amp;"生成成长"),5))*(VLOOKUP($B$5,标准坦克设计!$B$24:$U$30,MATCH("对"&amp;LEFT($C$5,2)&amp;"输出",标准坦克设计!$B$23:$U$23,0)))*(VLOOKUP($B140,INDIRECT($B$5&amp;"生成成长"),3))*(VLOOKUP($B$5,标准坦克设计!$B$14:$K$20,9)/30))</f>
        <v>2.24825600400629</v>
      </c>
      <c r="AW140" s="173">
        <f ca="1">(VLOOKUP(AW$72,INDIRECT($C$5&amp;"生成成长"),2))/((VLOOKUP($B140,INDIRECT($B$5&amp;"生成成长"),4))/(VLOOKUP(AW$72,INDIRECT($C$5&amp;"生成成长"),5))*(VLOOKUP($B$5,标准坦克设计!$B$24:$U$30,MATCH("对"&amp;LEFT($C$5,2)&amp;"输出",标准坦克设计!$B$23:$U$23,0)))*(VLOOKUP($B140,INDIRECT($B$5&amp;"生成成长"),3))*(VLOOKUP($B$5,标准坦克设计!$B$14:$K$20,9)/30))</f>
        <v>2.5634381154556061</v>
      </c>
      <c r="AX140" s="173">
        <f ca="1">(VLOOKUP(AX$72,INDIRECT($C$5&amp;"生成成长"),2))/((VLOOKUP($B140,INDIRECT($B$5&amp;"生成成长"),4))/(VLOOKUP(AX$72,INDIRECT($C$5&amp;"生成成长"),5))*(VLOOKUP($B$5,标准坦克设计!$B$24:$U$30,MATCH("对"&amp;LEFT($C$5,2)&amp;"输出",标准坦克设计!$B$23:$U$23,0)))*(VLOOKUP($B140,INDIRECT($B$5&amp;"生成成长"),3))*(VLOOKUP($B$5,标准坦克设计!$B$14:$K$20,9)/30))</f>
        <v>2.8992879063442221</v>
      </c>
      <c r="AY140" s="173">
        <f ca="1">(VLOOKUP(AY$72,INDIRECT($C$5&amp;"生成成长"),2))/((VLOOKUP($B140,INDIRECT($B$5&amp;"生成成长"),4))/(VLOOKUP(AY$72,INDIRECT($C$5&amp;"生成成长"),5))*(VLOOKUP($B$5,标准坦克设计!$B$24:$U$30,MATCH("对"&amp;LEFT($C$5,2)&amp;"输出",标准坦克设计!$B$23:$U$23,0)))*(VLOOKUP($B140,INDIRECT($B$5&amp;"生成成长"),3))*(VLOOKUP($B$5,标准坦克设计!$B$14:$K$20,9)/30))</f>
        <v>3.2558053766721362</v>
      </c>
      <c r="AZ140" s="173">
        <f ca="1">(VLOOKUP(AZ$72,INDIRECT($C$5&amp;"生成成长"),2))/((VLOOKUP($B140,INDIRECT($B$5&amp;"生成成长"),4))/(VLOOKUP(AZ$72,INDIRECT($C$5&amp;"生成成长"),5))*(VLOOKUP($B$5,标准坦克设计!$B$24:$U$30,MATCH("对"&amp;LEFT($C$5,2)&amp;"输出",标准坦克设计!$B$23:$U$23,0)))*(VLOOKUP($B140,INDIRECT($B$5&amp;"生成成长"),3))*(VLOOKUP($B$5,标准坦克设计!$B$14:$K$20,9)/30))</f>
        <v>3.6329905264393503</v>
      </c>
      <c r="BA140" s="173">
        <f ca="1">(VLOOKUP(BA$72,INDIRECT($C$5&amp;"生成成长"),2))/((VLOOKUP($B140,INDIRECT($B$5&amp;"生成成长"),4))/(VLOOKUP(BA$72,INDIRECT($C$5&amp;"生成成长"),5))*(VLOOKUP($B$5,标准坦克设计!$B$24:$U$30,MATCH("对"&amp;LEFT($C$5,2)&amp;"输出",标准坦克设计!$B$23:$U$23,0)))*(VLOOKUP($B140,INDIRECT($B$5&amp;"生成成长"),3))*(VLOOKUP($B$5,标准坦克设计!$B$14:$K$20,9)/30))</f>
        <v>4.0308433556458647</v>
      </c>
      <c r="BB140" s="173">
        <f ca="1">(VLOOKUP(BB$72,INDIRECT($C$5&amp;"生成成长"),2))/((VLOOKUP($B140,INDIRECT($B$5&amp;"生成成长"),4))/(VLOOKUP(BB$72,INDIRECT($C$5&amp;"生成成长"),5))*(VLOOKUP($B$5,标准坦克设计!$B$24:$U$30,MATCH("对"&amp;LEFT($C$5,2)&amp;"输出",标准坦克设计!$B$23:$U$23,0)))*(VLOOKUP($B140,INDIRECT($B$5&amp;"生成成长"),3))*(VLOOKUP($B$5,标准坦克设计!$B$14:$K$20,9)/30))</f>
        <v>4.4493638642916782</v>
      </c>
      <c r="BC140" s="173">
        <f ca="1">(VLOOKUP(BC$72,INDIRECT($C$5&amp;"生成成长"),2))/((VLOOKUP($B140,INDIRECT($B$5&amp;"生成成长"),4))/(VLOOKUP(BC$72,INDIRECT($C$5&amp;"生成成长"),5))*(VLOOKUP($B$5,标准坦克设计!$B$24:$U$30,MATCH("对"&amp;LEFT($C$5,2)&amp;"输出",标准坦克设计!$B$23:$U$23,0)))*(VLOOKUP($B140,INDIRECT($B$5&amp;"生成成长"),3))*(VLOOKUP($B$5,标准坦克设计!$B$14:$K$20,9)/30))</f>
        <v>4.8885520523767907</v>
      </c>
      <c r="BD140" s="173">
        <f ca="1">(VLOOKUP(BD$72,INDIRECT($C$5&amp;"生成成长"),2))/((VLOOKUP($B140,INDIRECT($B$5&amp;"生成成长"),4))/(VLOOKUP(BD$72,INDIRECT($C$5&amp;"生成成长"),5))*(VLOOKUP($B$5,标准坦克设计!$B$24:$U$30,MATCH("对"&amp;LEFT($C$5,2)&amp;"输出",标准坦克设计!$B$23:$U$23,0)))*(VLOOKUP($B140,INDIRECT($B$5&amp;"生成成长"),3))*(VLOOKUP($B$5,标准坦克设计!$B$14:$K$20,9)/30))</f>
        <v>5.4073430995523299</v>
      </c>
      <c r="BE140" s="173">
        <f ca="1">(VLOOKUP(BE$72,INDIRECT($C$5&amp;"生成成长"),2))/((VLOOKUP($B140,INDIRECT($B$5&amp;"生成成长"),4))/(VLOOKUP(BE$72,INDIRECT($C$5&amp;"生成成长"),5))*(VLOOKUP($B$5,标准坦克设计!$B$24:$U$30,MATCH("对"&amp;LEFT($C$5,2)&amp;"输出",标准坦克设计!$B$23:$U$23,0)))*(VLOOKUP($B140,INDIRECT($B$5&amp;"生成成长"),3))*(VLOOKUP($B$5,标准坦克设计!$B$14:$K$20,9)/30))</f>
        <v>5.9522916785182334</v>
      </c>
      <c r="BF140" s="173">
        <f ca="1">(VLOOKUP(BF$72,INDIRECT($C$5&amp;"生成成长"),2))/((VLOOKUP($B140,INDIRECT($B$5&amp;"生成成长"),4))/(VLOOKUP(BF$72,INDIRECT($C$5&amp;"生成成长"),5))*(VLOOKUP($B$5,标准坦克设计!$B$24:$U$30,MATCH("对"&amp;LEFT($C$5,2)&amp;"输出",标准坦克设计!$B$23:$U$23,0)))*(VLOOKUP($B140,INDIRECT($B$5&amp;"生成成长"),3))*(VLOOKUP($B$5,标准坦克设计!$B$14:$K$20,9)/30))</f>
        <v>6.5233977892744983</v>
      </c>
      <c r="BG140" s="173">
        <f ca="1">(VLOOKUP(BG$72,INDIRECT($C$5&amp;"生成成长"),2))/((VLOOKUP($B140,INDIRECT($B$5&amp;"生成成长"),4))/(VLOOKUP(BG$72,INDIRECT($C$5&amp;"生成成长"),5))*(VLOOKUP($B$5,标准坦克设计!$B$24:$U$30,MATCH("对"&amp;LEFT($C$5,2)&amp;"输出",标准坦克设计!$B$23:$U$23,0)))*(VLOOKUP($B140,INDIRECT($B$5&amp;"生成成长"),3))*(VLOOKUP($B$5,标准坦克设计!$B$14:$K$20,9)/30))</f>
        <v>7.1206614318211283</v>
      </c>
      <c r="BH140" s="173">
        <f ca="1">(VLOOKUP(BH$72,INDIRECT($C$5&amp;"生成成长"),2))/((VLOOKUP($B140,INDIRECT($B$5&amp;"生成成长"),4))/(VLOOKUP(BH$72,INDIRECT($C$5&amp;"生成成长"),5))*(VLOOKUP($B$5,标准坦克设计!$B$24:$U$30,MATCH("对"&amp;LEFT($C$5,2)&amp;"输出",标准坦克设计!$B$23:$U$23,0)))*(VLOOKUP($B140,INDIRECT($B$5&amp;"生成成长"),3))*(VLOOKUP($B$5,标准坦克设计!$B$14:$K$20,9)/30))</f>
        <v>3.4418144916258315</v>
      </c>
      <c r="BI140" s="173">
        <f ca="1">(VLOOKUP(BI$72,INDIRECT($C$5&amp;"生成成长"),2))/((VLOOKUP($B140,INDIRECT($B$5&amp;"生成成长"),4))/(VLOOKUP(BI$72,INDIRECT($C$5&amp;"生成成长"),5))*(VLOOKUP($B$5,标准坦克设计!$B$24:$U$30,MATCH("对"&amp;LEFT($C$5,2)&amp;"输出",标准坦克设计!$B$23:$U$23,0)))*(VLOOKUP($B140,INDIRECT($B$5&amp;"生成成长"),3))*(VLOOKUP($B$5,标准坦克设计!$B$14:$K$20,9)/30))</f>
        <v>3.8792265510091295</v>
      </c>
      <c r="BJ140" s="173">
        <f ca="1">(VLOOKUP(BJ$72,INDIRECT($C$5&amp;"生成成长"),2))/((VLOOKUP($B140,INDIRECT($B$5&amp;"生成成长"),4))/(VLOOKUP(BJ$72,INDIRECT($C$5&amp;"生成成长"),5))*(VLOOKUP($B$5,标准坦克设计!$B$24:$U$30,MATCH("对"&amp;LEFT($C$5,2)&amp;"输出",标准坦克设计!$B$23:$U$23,0)))*(VLOOKUP($B140,INDIRECT($B$5&amp;"生成成长"),3))*(VLOOKUP($B$5,标准坦克设计!$B$14:$K$20,9)/30))</f>
        <v>4.3427961421827908</v>
      </c>
      <c r="BK140" s="173">
        <f ca="1">(VLOOKUP(BK$72,INDIRECT($C$5&amp;"生成成长"),2))/((VLOOKUP($B140,INDIRECT($B$5&amp;"生成成长"),4))/(VLOOKUP(BK$72,INDIRECT($C$5&amp;"生成成长"),5))*(VLOOKUP($B$5,标准坦克设计!$B$24:$U$30,MATCH("对"&amp;LEFT($C$5,2)&amp;"输出",标准坦克设计!$B$23:$U$23,0)))*(VLOOKUP($B140,INDIRECT($B$5&amp;"生成成长"),3))*(VLOOKUP($B$5,标准坦克设计!$B$14:$K$20,9)/30))</f>
        <v>4.8325232651468149</v>
      </c>
      <c r="BL140" s="173">
        <f ca="1">(VLOOKUP(BL$72,INDIRECT($C$5&amp;"生成成长"),2))/((VLOOKUP($B140,INDIRECT($B$5&amp;"生成成长"),4))/(VLOOKUP(BL$72,INDIRECT($C$5&amp;"生成成长"),5))*(VLOOKUP($B$5,标准坦克设计!$B$24:$U$30,MATCH("对"&amp;LEFT($C$5,2)&amp;"输出",标准坦克设计!$B$23:$U$23,0)))*(VLOOKUP($B140,INDIRECT($B$5&amp;"生成成长"),3))*(VLOOKUP($B$5,标准坦克设计!$B$14:$K$20,9)/30))</f>
        <v>5.3484079199012022</v>
      </c>
      <c r="BM140" s="173">
        <f ca="1">(VLOOKUP(BM$72,INDIRECT($C$5&amp;"生成成长"),2))/((VLOOKUP($B140,INDIRECT($B$5&amp;"生成成长"),4))/(VLOOKUP(BM$72,INDIRECT($C$5&amp;"生成成长"),5))*(VLOOKUP($B$5,标准坦克设计!$B$24:$U$30,MATCH("对"&amp;LEFT($C$5,2)&amp;"输出",标准坦克设计!$B$23:$U$23,0)))*(VLOOKUP($B140,INDIRECT($B$5&amp;"生成成长"),3))*(VLOOKUP($B$5,标准坦克设计!$B$14:$K$20,9)/30))</f>
        <v>5.8904501064459556</v>
      </c>
      <c r="BN140" s="173">
        <f ca="1">(VLOOKUP(BN$72,INDIRECT($C$5&amp;"生成成长"),2))/((VLOOKUP($B140,INDIRECT($B$5&amp;"生成成长"),4))/(VLOOKUP(BN$72,INDIRECT($C$5&amp;"生成成长"),5))*(VLOOKUP($B$5,标准坦克设计!$B$24:$U$30,MATCH("对"&amp;LEFT($C$5,2)&amp;"输出",标准坦克设计!$B$23:$U$23,0)))*(VLOOKUP($B140,INDIRECT($B$5&amp;"生成成长"),3))*(VLOOKUP($B$5,标准坦克设计!$B$14:$K$20,9)/30))</f>
        <v>6.4586498247810695</v>
      </c>
      <c r="BO140" s="173">
        <f ca="1">(VLOOKUP(BO$72,INDIRECT($C$5&amp;"生成成长"),2))/((VLOOKUP($B140,INDIRECT($B$5&amp;"生成成长"),4))/(VLOOKUP(BO$72,INDIRECT($C$5&amp;"生成成长"),5))*(VLOOKUP($B$5,标准坦克设计!$B$24:$U$30,MATCH("对"&amp;LEFT($C$5,2)&amp;"输出",标准坦克设计!$B$23:$U$23,0)))*(VLOOKUP($B140,INDIRECT($B$5&amp;"生成成长"),3))*(VLOOKUP($B$5,标准坦克设计!$B$14:$K$20,9)/30))</f>
        <v>7.0530070749065468</v>
      </c>
      <c r="BP140" s="173">
        <f ca="1">(VLOOKUP(BP$72,INDIRECT($C$5&amp;"生成成长"),2))/((VLOOKUP($B140,INDIRECT($B$5&amp;"生成成长"),4))/(VLOOKUP(BP$72,INDIRECT($C$5&amp;"生成成长"),5))*(VLOOKUP($B$5,标准坦克设计!$B$24:$U$30,MATCH("对"&amp;LEFT($C$5,2)&amp;"输出",标准坦克设计!$B$23:$U$23,0)))*(VLOOKUP($B140,INDIRECT($B$5&amp;"生成成长"),3))*(VLOOKUP($B$5,标准坦克设计!$B$14:$K$20,9)/30))</f>
        <v>7.6735218568223882</v>
      </c>
      <c r="BQ140" s="173">
        <f ca="1">(VLOOKUP(BQ$72,INDIRECT($C$5&amp;"生成成长"),2))/((VLOOKUP($B140,INDIRECT($B$5&amp;"生成成长"),4))/(VLOOKUP(BQ$72,INDIRECT($C$5&amp;"生成成长"),5))*(VLOOKUP($B$5,标准坦克设计!$B$24:$U$30,MATCH("对"&amp;LEFT($C$5,2)&amp;"输出",标准坦克设计!$B$23:$U$23,0)))*(VLOOKUP($B140,INDIRECT($B$5&amp;"生成成长"),3))*(VLOOKUP($B$5,标准坦克设计!$B$14:$K$20,9)/30))</f>
        <v>8.3201941705285929</v>
      </c>
      <c r="BR140" s="173">
        <f ca="1">(VLOOKUP(BR$72,INDIRECT($C$5&amp;"生成成长"),2))/((VLOOKUP($B140,INDIRECT($B$5&amp;"生成成长"),4))/(VLOOKUP(BR$72,INDIRECT($C$5&amp;"生成成长"),5))*(VLOOKUP($B$5,标准坦克设计!$B$24:$U$30,MATCH("对"&amp;LEFT($C$5,2)&amp;"输出",标准坦克设计!$B$23:$U$23,0)))*(VLOOKUP($B140,INDIRECT($B$5&amp;"生成成长"),3))*(VLOOKUP($B$5,标准坦克设计!$B$14:$K$20,9)/30))</f>
        <v>9.0693975502031954</v>
      </c>
      <c r="BS140" s="173">
        <f ca="1">(VLOOKUP(BS$72,INDIRECT($C$5&amp;"生成成长"),2))/((VLOOKUP($B140,INDIRECT($B$5&amp;"生成成长"),4))/(VLOOKUP(BS$72,INDIRECT($C$5&amp;"生成成长"),5))*(VLOOKUP($B$5,标准坦克设计!$B$24:$U$30,MATCH("对"&amp;LEFT($C$5,2)&amp;"输出",标准坦克设计!$B$23:$U$23,0)))*(VLOOKUP($B140,INDIRECT($B$5&amp;"生成成长"),3))*(VLOOKUP($B$5,标准坦克设计!$B$14:$K$20,9)/30))</f>
        <v>9.8508941790017044</v>
      </c>
      <c r="BT140" s="173">
        <f ca="1">(VLOOKUP(BT$72,INDIRECT($C$5&amp;"生成成长"),2))/((VLOOKUP($B140,INDIRECT($B$5&amp;"生成成长"),4))/(VLOOKUP(BT$72,INDIRECT($C$5&amp;"生成成长"),5))*(VLOOKUP($B$5,标准坦克设计!$B$24:$U$30,MATCH("对"&amp;LEFT($C$5,2)&amp;"输出",标准坦克设计!$B$23:$U$23,0)))*(VLOOKUP($B140,INDIRECT($B$5&amp;"生成成长"),3))*(VLOOKUP($B$5,标准坦克设计!$B$14:$K$20,9)/30))</f>
        <v>10.66468405692412</v>
      </c>
      <c r="BU140" s="173">
        <f ca="1">(VLOOKUP(BU$72,INDIRECT($C$5&amp;"生成成长"),2))/((VLOOKUP($B140,INDIRECT($B$5&amp;"生成成长"),4))/(VLOOKUP(BU$72,INDIRECT($C$5&amp;"生成成长"),5))*(VLOOKUP($B$5,标准坦克设计!$B$24:$U$30,MATCH("对"&amp;LEFT($C$5,2)&amp;"输出",标准坦克设计!$B$23:$U$23,0)))*(VLOOKUP($B140,INDIRECT($B$5&amp;"生成成长"),3))*(VLOOKUP($B$5,标准坦克设计!$B$14:$K$20,9)/30))</f>
        <v>11.510767183970442</v>
      </c>
      <c r="BV140" s="173">
        <f ca="1">(VLOOKUP(BV$72,INDIRECT($C$5&amp;"生成成长"),2))/((VLOOKUP($B140,INDIRECT($B$5&amp;"生成成长"),4))/(VLOOKUP(BV$72,INDIRECT($C$5&amp;"生成成长"),5))*(VLOOKUP($B$5,标准坦克设计!$B$24:$U$30,MATCH("对"&amp;LEFT($C$5,2)&amp;"输出",标准坦克设计!$B$23:$U$23,0)))*(VLOOKUP($B140,INDIRECT($B$5&amp;"生成成长"),3))*(VLOOKUP($B$5,标准坦克设计!$B$14:$K$20,9)/30))</f>
        <v>12.389143560140667</v>
      </c>
      <c r="BW140" s="173">
        <f ca="1">(VLOOKUP(BW$72,INDIRECT($C$5&amp;"生成成长"),2))/((VLOOKUP($B140,INDIRECT($B$5&amp;"生成成长"),4))/(VLOOKUP(BW$72,INDIRECT($C$5&amp;"生成成长"),5))*(VLOOKUP($B$5,标准坦克设计!$B$24:$U$30,MATCH("对"&amp;LEFT($C$5,2)&amp;"输出",标准坦克设计!$B$23:$U$23,0)))*(VLOOKUP($B140,INDIRECT($B$5&amp;"生成成长"),3))*(VLOOKUP($B$5,标准坦克设计!$B$14:$K$20,9)/30))</f>
        <v>5.6463131430692295</v>
      </c>
      <c r="BX140" s="173">
        <f ca="1">(VLOOKUP(BX$72,INDIRECT($C$5&amp;"生成成长"),2))/((VLOOKUP($B140,INDIRECT($B$5&amp;"生成成长"),4))/(VLOOKUP(BX$72,INDIRECT($C$5&amp;"生成成长"),5))*(VLOOKUP($B$5,标准坦克设计!$B$24:$U$30,MATCH("对"&amp;LEFT($C$5,2)&amp;"输出",标准坦克设计!$B$23:$U$23,0)))*(VLOOKUP($B140,INDIRECT($B$5&amp;"生成成长"),3))*(VLOOKUP($B$5,标准坦克设计!$B$14:$K$20,9)/30))</f>
        <v>6.266343526248213</v>
      </c>
      <c r="BY140" s="173">
        <f ca="1">(VLOOKUP(BY$72,INDIRECT($C$5&amp;"生成成长"),2))/((VLOOKUP($B140,INDIRECT($B$5&amp;"生成成长"),4))/(VLOOKUP(BY$72,INDIRECT($C$5&amp;"生成成长"),5))*(VLOOKUP($B$5,标准坦克设计!$B$24:$U$30,MATCH("对"&amp;LEFT($C$5,2)&amp;"输出",标准坦克设计!$B$23:$U$23,0)))*(VLOOKUP($B140,INDIRECT($B$5&amp;"生成成长"),3))*(VLOOKUP($B$5,标准坦克设计!$B$14:$K$20,9)/30))</f>
        <v>6.9186671585511013</v>
      </c>
      <c r="BZ140" s="173">
        <f ca="1">(VLOOKUP(BZ$72,INDIRECT($C$5&amp;"生成成长"),2))/((VLOOKUP($B140,INDIRECT($B$5&amp;"生成成长"),4))/(VLOOKUP(BZ$72,INDIRECT($C$5&amp;"生成成长"),5))*(VLOOKUP($B$5,标准坦克设计!$B$24:$U$30,MATCH("对"&amp;LEFT($C$5,2)&amp;"输出",标准坦克设计!$B$23:$U$23,0)))*(VLOOKUP($B140,INDIRECT($B$5&amp;"生成成长"),3))*(VLOOKUP($B$5,标准坦克设计!$B$14:$K$20,9)/30))</f>
        <v>7.6032840399778934</v>
      </c>
      <c r="CA140" s="173">
        <f ca="1">(VLOOKUP(CA$72,INDIRECT($C$5&amp;"生成成长"),2))/((VLOOKUP($B140,INDIRECT($B$5&amp;"生成成长"),4))/(VLOOKUP(CA$72,INDIRECT($C$5&amp;"生成成长"),5))*(VLOOKUP($B$5,标准坦克设计!$B$24:$U$30,MATCH("对"&amp;LEFT($C$5,2)&amp;"输出",标准坦克设计!$B$23:$U$23,0)))*(VLOOKUP($B140,INDIRECT($B$5&amp;"生成成长"),3))*(VLOOKUP($B$5,标准坦克设计!$B$14:$K$20,9)/30))</f>
        <v>8.3201941705285929</v>
      </c>
      <c r="CB140" s="173">
        <f ca="1">(VLOOKUP(CB$72,INDIRECT($C$5&amp;"生成成长"),2))/((VLOOKUP($B140,INDIRECT($B$5&amp;"生成成长"),4))/(VLOOKUP(CB$72,INDIRECT($C$5&amp;"生成成长"),5))*(VLOOKUP($B$5,标准坦克设计!$B$24:$U$30,MATCH("对"&amp;LEFT($C$5,2)&amp;"输出",标准坦克设计!$B$23:$U$23,0)))*(VLOOKUP($B140,INDIRECT($B$5&amp;"生成成长"),3))*(VLOOKUP($B$5,标准坦克设计!$B$14:$K$20,9)/30))</f>
        <v>9.0693975502031954</v>
      </c>
      <c r="CC140" s="173">
        <f ca="1">(VLOOKUP(CC$72,INDIRECT($C$5&amp;"生成成长"),2))/((VLOOKUP($B140,INDIRECT($B$5&amp;"生成成长"),4))/(VLOOKUP(CC$72,INDIRECT($C$5&amp;"生成成长"),5))*(VLOOKUP($B$5,标准坦克设计!$B$24:$U$30,MATCH("对"&amp;LEFT($C$5,2)&amp;"输出",标准坦克设计!$B$23:$U$23,0)))*(VLOOKUP($B140,INDIRECT($B$5&amp;"生成成长"),3))*(VLOOKUP($B$5,标准坦克设计!$B$14:$K$20,9)/30))</f>
        <v>9.8508941790017044</v>
      </c>
      <c r="CD140" s="173">
        <f ca="1">(VLOOKUP(CD$72,INDIRECT($C$5&amp;"生成成长"),2))/((VLOOKUP($B140,INDIRECT($B$5&amp;"生成成长"),4))/(VLOOKUP(CD$72,INDIRECT($C$5&amp;"生成成长"),5))*(VLOOKUP($B$5,标准坦克设计!$B$24:$U$30,MATCH("对"&amp;LEFT($C$5,2)&amp;"输出",标准坦克设计!$B$23:$U$23,0)))*(VLOOKUP($B140,INDIRECT($B$5&amp;"生成成长"),3))*(VLOOKUP($B$5,标准坦克设计!$B$14:$K$20,9)/30))</f>
        <v>10.66468405692412</v>
      </c>
      <c r="CE140" s="173">
        <f ca="1">(VLOOKUP(CE$72,INDIRECT($C$5&amp;"生成成长"),2))/((VLOOKUP($B140,INDIRECT($B$5&amp;"生成成长"),4))/(VLOOKUP(CE$72,INDIRECT($C$5&amp;"生成成长"),5))*(VLOOKUP($B$5,标准坦克设计!$B$24:$U$30,MATCH("对"&amp;LEFT($C$5,2)&amp;"输出",标准坦克设计!$B$23:$U$23,0)))*(VLOOKUP($B140,INDIRECT($B$5&amp;"生成成长"),3))*(VLOOKUP($B$5,标准坦克设计!$B$14:$K$20,9)/30))</f>
        <v>11.510767183970442</v>
      </c>
      <c r="CF140" s="173">
        <f ca="1">(VLOOKUP(CF$72,INDIRECT($C$5&amp;"生成成长"),2))/((VLOOKUP($B140,INDIRECT($B$5&amp;"生成成长"),4))/(VLOOKUP(CF$72,INDIRECT($C$5&amp;"生成成长"),5))*(VLOOKUP($B$5,标准坦克设计!$B$24:$U$30,MATCH("对"&amp;LEFT($C$5,2)&amp;"输出",标准坦克设计!$B$23:$U$23,0)))*(VLOOKUP($B140,INDIRECT($B$5&amp;"生成成长"),3))*(VLOOKUP($B$5,标准坦克设计!$B$14:$K$20,9)/30))</f>
        <v>12.389143560140667</v>
      </c>
      <c r="CG140" s="173">
        <f ca="1">(VLOOKUP(CG$72,INDIRECT($C$5&amp;"生成成长"),2))/((VLOOKUP($B140,INDIRECT($B$5&amp;"生成成长"),4))/(VLOOKUP(CG$72,INDIRECT($C$5&amp;"生成成长"),5))*(VLOOKUP($B$5,标准坦克设计!$B$24:$U$30,MATCH("对"&amp;LEFT($C$5,2)&amp;"输出",标准坦克设计!$B$23:$U$23,0)))*(VLOOKUP($B140,INDIRECT($B$5&amp;"生成成长"),3))*(VLOOKUP($B$5,标准坦克设计!$B$14:$K$20,9)/30))</f>
        <v>13.299813185434795</v>
      </c>
      <c r="CH140" s="173">
        <f ca="1">(VLOOKUP(CH$72,INDIRECT($C$5&amp;"生成成长"),2))/((VLOOKUP($B140,INDIRECT($B$5&amp;"生成成长"),4))/(VLOOKUP(CH$72,INDIRECT($C$5&amp;"生成成长"),5))*(VLOOKUP($B$5,标准坦克设计!$B$24:$U$30,MATCH("对"&amp;LEFT($C$5,2)&amp;"输出",标准坦克设计!$B$23:$U$23,0)))*(VLOOKUP($B140,INDIRECT($B$5&amp;"生成成长"),3))*(VLOOKUP($B$5,标准坦克设计!$B$14:$K$20,9)/30))</f>
        <v>14.242776059852831</v>
      </c>
      <c r="CI140" s="173">
        <f ca="1">(VLOOKUP(CI$72,INDIRECT($C$5&amp;"生成成长"),2))/((VLOOKUP($B140,INDIRECT($B$5&amp;"生成成长"),4))/(VLOOKUP(CI$72,INDIRECT($C$5&amp;"生成成长"),5))*(VLOOKUP($B$5,标准坦克设计!$B$24:$U$30,MATCH("对"&amp;LEFT($C$5,2)&amp;"输出",标准坦克设计!$B$23:$U$23,0)))*(VLOOKUP($B140,INDIRECT($B$5&amp;"生成成长"),3))*(VLOOKUP($B$5,标准坦克设计!$B$14:$K$20,9)/30))</f>
        <v>15.317333924450782</v>
      </c>
      <c r="CJ140" s="173">
        <f ca="1">(VLOOKUP(CJ$72,INDIRECT($C$5&amp;"生成成长"),2))/((VLOOKUP($B140,INDIRECT($B$5&amp;"生成成长"),4))/(VLOOKUP(CJ$72,INDIRECT($C$5&amp;"生成成长"),5))*(VLOOKUP($B$5,标准坦克设计!$B$24:$U$30,MATCH("对"&amp;LEFT($C$5,2)&amp;"输出",标准坦克设计!$B$23:$U$23,0)))*(VLOOKUP($B140,INDIRECT($B$5&amp;"生成成长"),3))*(VLOOKUP($B$5,标准坦克设计!$B$14:$K$20,9)/30))</f>
        <v>16.430966620488658</v>
      </c>
      <c r="CK140" s="173">
        <f ca="1">(VLOOKUP(CK$72,INDIRECT($C$5&amp;"生成成长"),2))/((VLOOKUP($B140,INDIRECT($B$5&amp;"生成成长"),4))/(VLOOKUP(CK$72,INDIRECT($C$5&amp;"生成成长"),5))*(VLOOKUP($B$5,标准坦克设计!$B$24:$U$30,MATCH("对"&amp;LEFT($C$5,2)&amp;"输出",标准坦克设计!$B$23:$U$23,0)))*(VLOOKUP($B140,INDIRECT($B$5&amp;"生成成长"),3))*(VLOOKUP($B$5,标准坦克设计!$B$14:$K$20,9)/30))</f>
        <v>17.583674147966462</v>
      </c>
      <c r="CL140" s="173">
        <f ca="1">(VLOOKUP(CL$72,INDIRECT($C$5&amp;"生成成长"),2))/((VLOOKUP($B140,INDIRECT($B$5&amp;"生成成长"),4))/(VLOOKUP(CL$72,INDIRECT($C$5&amp;"生成成长"),5))*(VLOOKUP($B$5,标准坦克设计!$B$24:$U$30,MATCH("对"&amp;LEFT($C$5,2)&amp;"输出",标准坦克设计!$B$23:$U$23,0)))*(VLOOKUP($B140,INDIRECT($B$5&amp;"生成成长"),3))*(VLOOKUP($B$5,标准坦克设计!$B$14:$K$20,9)/30))</f>
        <v>18.775456506884186</v>
      </c>
      <c r="CM140" s="173">
        <f ca="1">(VLOOKUP(CM$72,INDIRECT($C$5&amp;"生成成长"),2))/((VLOOKUP($B140,INDIRECT($B$5&amp;"生成成长"),4))/(VLOOKUP(CM$72,INDIRECT($C$5&amp;"生成成长"),5))*(VLOOKUP($B$5,标准坦克设计!$B$24:$U$30,MATCH("对"&amp;LEFT($C$5,2)&amp;"输出",标准坦克设计!$B$23:$U$23,0)))*(VLOOKUP($B140,INDIRECT($B$5&amp;"生成成长"),3))*(VLOOKUP($B$5,标准坦克设计!$B$14:$K$20,9)/30))</f>
        <v>20.00631369724184</v>
      </c>
      <c r="CN140" s="173">
        <f ca="1">(VLOOKUP(CN$72,INDIRECT($C$5&amp;"生成成长"),2))/((VLOOKUP($B140,INDIRECT($B$5&amp;"生成成长"),4))/(VLOOKUP(CN$72,INDIRECT($C$5&amp;"生成成长"),5))*(VLOOKUP($B$5,标准坦克设计!$B$24:$U$30,MATCH("对"&amp;LEFT($C$5,2)&amp;"输出",标准坦克设计!$B$23:$U$23,0)))*(VLOOKUP($B140,INDIRECT($B$5&amp;"生成成长"),3))*(VLOOKUP($B$5,标准坦克设计!$B$14:$K$20,9)/30))</f>
        <v>21.276245719039412</v>
      </c>
      <c r="CO140" s="173">
        <f ca="1">(VLOOKUP(CO$72,INDIRECT($C$5&amp;"生成成长"),2))/((VLOOKUP($B140,INDIRECT($B$5&amp;"生成成长"),4))/(VLOOKUP(CO$72,INDIRECT($C$5&amp;"生成成长"),5))*(VLOOKUP($B$5,标准坦克设计!$B$24:$U$30,MATCH("对"&amp;LEFT($C$5,2)&amp;"输出",标准坦克设计!$B$23:$U$23,0)))*(VLOOKUP($B140,INDIRECT($B$5&amp;"生成成长"),3))*(VLOOKUP($B$5,标准坦克设计!$B$14:$K$20,9)/30))</f>
        <v>9.5344203375874326</v>
      </c>
      <c r="CP140" s="173">
        <f ca="1">(VLOOKUP(CP$72,INDIRECT($C$5&amp;"生成成长"),2))/((VLOOKUP($B140,INDIRECT($B$5&amp;"生成成长"),4))/(VLOOKUP(CP$72,INDIRECT($C$5&amp;"生成成长"),5))*(VLOOKUP($B$5,标准坦克设计!$B$24:$U$30,MATCH("对"&amp;LEFT($C$5,2)&amp;"输出",标准坦克设计!$B$23:$U$23,0)))*(VLOOKUP($B140,INDIRECT($B$5&amp;"生成成长"),3))*(VLOOKUP($B$5,标准坦克设计!$B$14:$K$20,9)/30))</f>
        <v>10.417156302389385</v>
      </c>
      <c r="CQ140" s="173">
        <f ca="1">(VLOOKUP(CQ$72,INDIRECT($C$5&amp;"生成成长"),2))/((VLOOKUP($B140,INDIRECT($B$5&amp;"生成成长"),4))/(VLOOKUP(CQ$72,INDIRECT($C$5&amp;"生成成长"),5))*(VLOOKUP($B$5,标准坦克设计!$B$24:$U$30,MATCH("对"&amp;LEFT($C$5,2)&amp;"输出",标准坦克设计!$B$23:$U$23,0)))*(VLOOKUP($B140,INDIRECT($B$5&amp;"生成成长"),3))*(VLOOKUP($B$5,标准坦克设计!$B$14:$K$20,9)/30))</f>
        <v>11.338967098631263</v>
      </c>
      <c r="CR140" s="173">
        <f ca="1">(VLOOKUP(CR$72,INDIRECT($C$5&amp;"生成成长"),2))/((VLOOKUP($B140,INDIRECT($B$5&amp;"生成成长"),4))/(VLOOKUP(CR$72,INDIRECT($C$5&amp;"生成成长"),5))*(VLOOKUP($B$5,标准坦克设计!$B$24:$U$30,MATCH("对"&amp;LEFT($C$5,2)&amp;"输出",标准坦克设计!$B$23:$U$23,0)))*(VLOOKUP($B140,INDIRECT($B$5&amp;"生成成长"),3))*(VLOOKUP($B$5,标准坦克设计!$B$14:$K$20,9)/30))</f>
        <v>12.299852726313066</v>
      </c>
      <c r="CS140" s="173">
        <f ca="1">(VLOOKUP(CS$72,INDIRECT($C$5&amp;"生成成长"),2))/((VLOOKUP($B140,INDIRECT($B$5&amp;"生成成长"),4))/(VLOOKUP(CS$72,INDIRECT($C$5&amp;"生成成长"),5))*(VLOOKUP($B$5,标准坦克设计!$B$24:$U$30,MATCH("对"&amp;LEFT($C$5,2)&amp;"输出",标准坦克设计!$B$23:$U$23,0)))*(VLOOKUP($B140,INDIRECT($B$5&amp;"生成成长"),3))*(VLOOKUP($B$5,标准坦克设计!$B$14:$K$20,9)/30))</f>
        <v>13.299813185434795</v>
      </c>
      <c r="CT140" s="173">
        <f ca="1">(VLOOKUP(CT$72,INDIRECT($C$5&amp;"生成成长"),2))/((VLOOKUP($B140,INDIRECT($B$5&amp;"生成成长"),4))/(VLOOKUP(CT$72,INDIRECT($C$5&amp;"生成成长"),5))*(VLOOKUP($B$5,标准坦克设计!$B$24:$U$30,MATCH("对"&amp;LEFT($C$5,2)&amp;"输出",标准坦克设计!$B$23:$U$23,0)))*(VLOOKUP($B140,INDIRECT($B$5&amp;"生成成长"),3))*(VLOOKUP($B$5,标准坦克设计!$B$14:$K$20,9)/30))</f>
        <v>14.33884847599645</v>
      </c>
      <c r="CU140" s="173">
        <f ca="1">(VLOOKUP(CU$72,INDIRECT($C$5&amp;"生成成长"),2))/((VLOOKUP($B140,INDIRECT($B$5&amp;"生成成长"),4))/(VLOOKUP(CU$72,INDIRECT($C$5&amp;"生成成长"),5))*(VLOOKUP($B$5,标准坦克设计!$B$24:$U$30,MATCH("对"&amp;LEFT($C$5,2)&amp;"输出",标准坦克设计!$B$23:$U$23,0)))*(VLOOKUP($B140,INDIRECT($B$5&amp;"生成成长"),3))*(VLOOKUP($B$5,标准坦克设计!$B$14:$K$20,9)/30))</f>
        <v>15.416958597998031</v>
      </c>
      <c r="CV140" s="173">
        <f ca="1">(VLOOKUP(CV$72,INDIRECT($C$5&amp;"生成成长"),2))/((VLOOKUP($B140,INDIRECT($B$5&amp;"生成成长"),4))/(VLOOKUP(CV$72,INDIRECT($C$5&amp;"生成成长"),5))*(VLOOKUP($B$5,标准坦克设计!$B$24:$U$30,MATCH("对"&amp;LEFT($C$5,2)&amp;"输出",标准坦克设计!$B$23:$U$23,0)))*(VLOOKUP($B140,INDIRECT($B$5&amp;"生成成长"),3))*(VLOOKUP($B$5,标准坦克设计!$B$14:$K$20,9)/30))</f>
        <v>16.534143551439534</v>
      </c>
      <c r="CW140" s="173">
        <f ca="1">(VLOOKUP(CW$72,INDIRECT($C$5&amp;"生成成长"),2))/((VLOOKUP($B140,INDIRECT($B$5&amp;"生成成长"),4))/(VLOOKUP(CW$72,INDIRECT($C$5&amp;"生成成长"),5))*(VLOOKUP($B$5,标准坦克设计!$B$24:$U$30,MATCH("对"&amp;LEFT($C$5,2)&amp;"输出",标准坦克设计!$B$23:$U$23,0)))*(VLOOKUP($B140,INDIRECT($B$5&amp;"生成成长"),3))*(VLOOKUP($B$5,标准坦克设计!$B$14:$K$20,9)/30))</f>
        <v>17.690403336320966</v>
      </c>
      <c r="CX140" s="173">
        <f ca="1">(VLOOKUP(CX$72,INDIRECT($C$5&amp;"生成成长"),2))/((VLOOKUP($B140,INDIRECT($B$5&amp;"生成成长"),4))/(VLOOKUP(CX$72,INDIRECT($C$5&amp;"生成成长"),5))*(VLOOKUP($B$5,标准坦克设计!$B$24:$U$30,MATCH("对"&amp;LEFT($C$5,2)&amp;"输出",标准坦克设计!$B$23:$U$23,0)))*(VLOOKUP($B140,INDIRECT($B$5&amp;"生成成长"),3))*(VLOOKUP($B$5,标准坦克设计!$B$14:$K$20,9)/30))</f>
        <v>18.885737952642323</v>
      </c>
      <c r="CY140" s="173">
        <f ca="1">(VLOOKUP(CY$72,INDIRECT($C$5&amp;"生成成长"),2))/((VLOOKUP($B140,INDIRECT($B$5&amp;"生成成长"),4))/(VLOOKUP(CY$72,INDIRECT($C$5&amp;"生成成长"),5))*(VLOOKUP($B$5,标准坦克设计!$B$24:$U$30,MATCH("对"&amp;LEFT($C$5,2)&amp;"输出",标准坦克设计!$B$23:$U$23,0)))*(VLOOKUP($B140,INDIRECT($B$5&amp;"生成成长"),3))*(VLOOKUP($B$5,标准坦克设计!$B$14:$K$20,9)/30))</f>
        <v>20.120147400403606</v>
      </c>
      <c r="CZ140" s="173">
        <f ca="1">(VLOOKUP(CZ$72,INDIRECT($C$5&amp;"生成成长"),2))/((VLOOKUP($B140,INDIRECT($B$5&amp;"生成成长"),4))/(VLOOKUP(CZ$72,INDIRECT($C$5&amp;"生成成长"),5))*(VLOOKUP($B$5,标准坦克设计!$B$24:$U$30,MATCH("对"&amp;LEFT($C$5,2)&amp;"输出",标准坦克设计!$B$23:$U$23,0)))*(VLOOKUP($B140,INDIRECT($B$5&amp;"生成成长"),3))*(VLOOKUP($B$5,标准坦克设计!$B$14:$K$20,9)/30))</f>
        <v>21.393631679604809</v>
      </c>
      <c r="DA140" s="173">
        <f ca="1">(VLOOKUP(DA$72,INDIRECT($C$5&amp;"生成成长"),2))/((VLOOKUP($B140,INDIRECT($B$5&amp;"生成成长"),4))/(VLOOKUP(DA$72,INDIRECT($C$5&amp;"生成成长"),5))*(VLOOKUP($B$5,标准坦克设计!$B$24:$U$30,MATCH("对"&amp;LEFT($C$5,2)&amp;"输出",标准坦克设计!$B$23:$U$23,0)))*(VLOOKUP($B140,INDIRECT($B$5&amp;"生成成长"),3))*(VLOOKUP($B$5,标准坦克设计!$B$14:$K$20,9)/30))</f>
        <v>22.706190790245948</v>
      </c>
      <c r="DB140" s="173">
        <f ca="1">(VLOOKUP(DB$72,INDIRECT($C$5&amp;"生成成长"),2))/((VLOOKUP($B140,INDIRECT($B$5&amp;"生成成长"),4))/(VLOOKUP(DB$72,INDIRECT($C$5&amp;"生成成长"),5))*(VLOOKUP($B$5,标准坦克设计!$B$24:$U$30,MATCH("对"&amp;LEFT($C$5,2)&amp;"输出",标准坦克设计!$B$23:$U$23,0)))*(VLOOKUP($B140,INDIRECT($B$5&amp;"生成成长"),3))*(VLOOKUP($B$5,标准坦克设计!$B$14:$K$20,9)/30))</f>
        <v>24.057824732327003</v>
      </c>
      <c r="DC140" s="173">
        <f ca="1">(VLOOKUP(DC$72,INDIRECT($C$5&amp;"生成成长"),2))/((VLOOKUP($B140,INDIRECT($B$5&amp;"生成成长"),4))/(VLOOKUP(DC$72,INDIRECT($C$5&amp;"生成成长"),5))*(VLOOKUP($B$5,标准坦克设计!$B$24:$U$30,MATCH("对"&amp;LEFT($C$5,2)&amp;"输出",标准坦克设计!$B$23:$U$23,0)))*(VLOOKUP($B140,INDIRECT($B$5&amp;"生成成长"),3))*(VLOOKUP($B$5,标准坦克设计!$B$14:$K$20,9)/30))</f>
        <v>25.576899171115514</v>
      </c>
      <c r="DD140" s="173">
        <f ca="1">(VLOOKUP(DD$72,INDIRECT($C$5&amp;"生成成长"),2))/((VLOOKUP($B140,INDIRECT($B$5&amp;"生成成长"),4))/(VLOOKUP(DD$72,INDIRECT($C$5&amp;"生成成长"),5))*(VLOOKUP($B$5,标准坦克设计!$B$24:$U$30,MATCH("对"&amp;LEFT($C$5,2)&amp;"输出",标准坦克设计!$B$23:$U$23,0)))*(VLOOKUP($B140,INDIRECT($B$5&amp;"生成成长"),3))*(VLOOKUP($B$5,标准坦克设计!$B$14:$K$20,9)/30))</f>
        <v>27.142475888642444</v>
      </c>
      <c r="DE140" s="173">
        <f ca="1">(VLOOKUP(DE$72,INDIRECT($C$5&amp;"生成成长"),2))/((VLOOKUP($B140,INDIRECT($B$5&amp;"生成成长"),4))/(VLOOKUP(DE$72,INDIRECT($C$5&amp;"生成成长"),5))*(VLOOKUP($B$5,标准坦克设计!$B$24:$U$30,MATCH("对"&amp;LEFT($C$5,2)&amp;"输出",标准坦克设计!$B$23:$U$23,0)))*(VLOOKUP($B140,INDIRECT($B$5&amp;"生成成长"),3))*(VLOOKUP($B$5,标准坦克设计!$B$14:$K$20,9)/30))</f>
        <v>28.754554884907797</v>
      </c>
      <c r="DF140" s="173">
        <f ca="1">(VLOOKUP(DF$72,INDIRECT($C$5&amp;"生成成长"),2))/((VLOOKUP($B140,INDIRECT($B$5&amp;"生成成长"),4))/(VLOOKUP(DF$72,INDIRECT($C$5&amp;"生成成长"),5))*(VLOOKUP($B$5,标准坦克设计!$B$24:$U$30,MATCH("对"&amp;LEFT($C$5,2)&amp;"输出",标准坦克设计!$B$23:$U$23,0)))*(VLOOKUP($B140,INDIRECT($B$5&amp;"生成成长"),3))*(VLOOKUP($B$5,标准坦克设计!$B$14:$K$20,9)/30))</f>
        <v>30.413136159911573</v>
      </c>
      <c r="DG140" s="173">
        <f ca="1">(VLOOKUP(DG$72,INDIRECT($C$5&amp;"生成成长"),2))/((VLOOKUP($B140,INDIRECT($B$5&amp;"生成成长"),4))/(VLOOKUP(DG$72,INDIRECT($C$5&amp;"生成成长"),5))*(VLOOKUP($B$5,标准坦克设计!$B$24:$U$30,MATCH("对"&amp;LEFT($C$5,2)&amp;"输出",标准坦克设计!$B$23:$U$23,0)))*(VLOOKUP($B140,INDIRECT($B$5&amp;"生成成长"),3))*(VLOOKUP($B$5,标准坦克设计!$B$14:$K$20,9)/30))</f>
        <v>32.118219713653779</v>
      </c>
      <c r="DH140" s="173">
        <f ca="1">(VLOOKUP(DH$72,INDIRECT($C$5&amp;"生成成长"),2))/((VLOOKUP($B140,INDIRECT($B$5&amp;"生成成长"),4))/(VLOOKUP(DH$72,INDIRECT($C$5&amp;"生成成长"),5))*(VLOOKUP($B$5,标准坦克设计!$B$24:$U$30,MATCH("对"&amp;LEFT($C$5,2)&amp;"输出",标准坦克设计!$B$23:$U$23,0)))*(VLOOKUP($B140,INDIRECT($B$5&amp;"生成成长"),3))*(VLOOKUP($B$5,标准坦克设计!$B$14:$K$20,9)/30))</f>
        <v>33.869805546134401</v>
      </c>
      <c r="DI140" s="173">
        <f ca="1">(VLOOKUP(DI$72,INDIRECT($C$5&amp;"生成成长"),2))/((VLOOKUP($B140,INDIRECT($B$5&amp;"生成成长"),4))/(VLOOKUP(DI$72,INDIRECT($C$5&amp;"生成成长"),5))*(VLOOKUP($B$5,标准坦克设计!$B$24:$U$30,MATCH("对"&amp;LEFT($C$5,2)&amp;"输出",标准坦克设计!$B$23:$U$23,0)))*(VLOOKUP($B140,INDIRECT($B$5&amp;"生成成长"),3))*(VLOOKUP($B$5,标准坦克设计!$B$14:$K$20,9)/30))</f>
        <v>35.667893657353446</v>
      </c>
      <c r="DJ140" s="173">
        <f ca="1">(VLOOKUP(DJ$72,INDIRECT($C$5&amp;"生成成长"),2))/((VLOOKUP($B140,INDIRECT($B$5&amp;"生成成长"),4))/(VLOOKUP(DJ$72,INDIRECT($C$5&amp;"生成成长"),5))*(VLOOKUP($B$5,标准坦克设计!$B$24:$U$30,MATCH("对"&amp;LEFT($C$5,2)&amp;"输出",标准坦克设计!$B$23:$U$23,0)))*(VLOOKUP($B140,INDIRECT($B$5&amp;"生成成长"),3))*(VLOOKUP($B$5,标准坦克设计!$B$14:$K$20,9)/30))</f>
        <v>3.5847121189991125</v>
      </c>
      <c r="DK140" s="173">
        <f ca="1">(VLOOKUP(DK$72,INDIRECT($C$5&amp;"生成成长"),2))/((VLOOKUP($B140,INDIRECT($B$5&amp;"生成成长"),4))/(VLOOKUP(DK$72,INDIRECT($C$5&amp;"生成成长"),5))*(VLOOKUP($B$5,标准坦克设计!$B$24:$U$30,MATCH("对"&amp;LEFT($C$5,2)&amp;"输出",标准坦克设计!$B$23:$U$23,0)))*(VLOOKUP($B140,INDIRECT($B$5&amp;"生成成长"),3))*(VLOOKUP($B$5,标准坦克设计!$B$14:$K$20,9)/30))</f>
        <v>4.0308433556458647</v>
      </c>
      <c r="DL140" s="173">
        <f ca="1">(VLOOKUP(DL$72,INDIRECT($C$5&amp;"生成成长"),2))/((VLOOKUP($B140,INDIRECT($B$5&amp;"生成成长"),4))/(VLOOKUP(DL$72,INDIRECT($C$5&amp;"生成成长"),5))*(VLOOKUP($B$5,标准坦克设计!$B$24:$U$30,MATCH("对"&amp;LEFT($C$5,2)&amp;"输出",标准坦克设计!$B$23:$U$23,0)))*(VLOOKUP($B140,INDIRECT($B$5&amp;"生成成长"),3))*(VLOOKUP($B$5,标准坦克设计!$B$14:$K$20,9)/30))</f>
        <v>4.5031321240829811</v>
      </c>
      <c r="DM140" s="173">
        <f ca="1">(VLOOKUP(DM$72,INDIRECT($C$5&amp;"生成成长"),2))/((VLOOKUP($B140,INDIRECT($B$5&amp;"生成成长"),4))/(VLOOKUP(DM$72,INDIRECT($C$5&amp;"生成成长"),5))*(VLOOKUP($B$5,标准坦克设计!$B$24:$U$30,MATCH("对"&amp;LEFT($C$5,2)&amp;"输出",标准坦克设计!$B$23:$U$23,0)))*(VLOOKUP($B140,INDIRECT($B$5&amp;"生成成长"),3))*(VLOOKUP($B$5,标准坦克设计!$B$14:$K$20,9)/30))</f>
        <v>5.00157842431046</v>
      </c>
      <c r="DN140" s="173">
        <f ca="1">(VLOOKUP(DN$72,INDIRECT($C$5&amp;"生成成长"),2))/((VLOOKUP($B140,INDIRECT($B$5&amp;"生成成长"),4))/(VLOOKUP(DN$72,INDIRECT($C$5&amp;"生成成长"),5))*(VLOOKUP($B$5,标准坦克设计!$B$24:$U$30,MATCH("对"&amp;LEFT($C$5,2)&amp;"输出",标准坦克设计!$B$23:$U$23,0)))*(VLOOKUP($B140,INDIRECT($B$5&amp;"生成成长"),3))*(VLOOKUP($B$5,标准坦克设计!$B$14:$K$20,9)/30))</f>
        <v>5.5261822563283021</v>
      </c>
      <c r="DO140" s="173">
        <f ca="1">(VLOOKUP(DO$72,INDIRECT($C$5&amp;"生成成长"),2))/((VLOOKUP($B140,INDIRECT($B$5&amp;"生成成长"),4))/(VLOOKUP(DO$72,INDIRECT($C$5&amp;"生成成长"),5))*(VLOOKUP($B$5,标准坦克设计!$B$24:$U$30,MATCH("对"&amp;LEFT($C$5,2)&amp;"输出",标准坦克设计!$B$23:$U$23,0)))*(VLOOKUP($B140,INDIRECT($B$5&amp;"生成成长"),3))*(VLOOKUP($B$5,标准坦克设计!$B$14:$K$20,9)/30))</f>
        <v>6.0769436201365075</v>
      </c>
      <c r="DP140" s="173">
        <f ca="1">(VLOOKUP(DP$72,INDIRECT($C$5&amp;"生成成长"),2))/((VLOOKUP($B140,INDIRECT($B$5&amp;"生成成长"),4))/(VLOOKUP(DP$72,INDIRECT($C$5&amp;"生成成长"),5))*(VLOOKUP($B$5,标准坦克设计!$B$24:$U$30,MATCH("对"&amp;LEFT($C$5,2)&amp;"输出",标准坦克设计!$B$23:$U$23,0)))*(VLOOKUP($B140,INDIRECT($B$5&amp;"生成成长"),3))*(VLOOKUP($B$5,标准坦克设计!$B$14:$K$20,9)/30))</f>
        <v>6.653862515735077</v>
      </c>
      <c r="DQ140" s="173">
        <f ca="1">(VLOOKUP(DQ$72,INDIRECT($C$5&amp;"生成成长"),2))/((VLOOKUP($B140,INDIRECT($B$5&amp;"生成成长"),4))/(VLOOKUP(DQ$72,INDIRECT($C$5&amp;"生成成长"),5))*(VLOOKUP($B$5,标准坦克设计!$B$24:$U$30,MATCH("对"&amp;LEFT($C$5,2)&amp;"输出",标准坦克设计!$B$23:$U$23,0)))*(VLOOKUP($B140,INDIRECT($B$5&amp;"生成成长"),3))*(VLOOKUP($B$5,标准坦克设计!$B$14:$K$20,9)/30))</f>
        <v>7.256938943124009</v>
      </c>
      <c r="DR140" s="173">
        <f ca="1">(VLOOKUP(DR$72,INDIRECT($C$5&amp;"生成成长"),2))/((VLOOKUP($B140,INDIRECT($B$5&amp;"生成成长"),4))/(VLOOKUP(DR$72,INDIRECT($C$5&amp;"生成成长"),5))*(VLOOKUP($B$5,标准坦克设计!$B$24:$U$30,MATCH("对"&amp;LEFT($C$5,2)&amp;"输出",标准坦克设计!$B$23:$U$23,0)))*(VLOOKUP($B140,INDIRECT($B$5&amp;"生成成长"),3))*(VLOOKUP($B$5,标准坦克设计!$B$14:$K$20,9)/30))</f>
        <v>7.8861729023033043</v>
      </c>
      <c r="DS140" s="173">
        <f ca="1">(VLOOKUP(DS$72,INDIRECT($C$5&amp;"生成成长"),2))/((VLOOKUP($B140,INDIRECT($B$5&amp;"生成成长"),4))/(VLOOKUP(DS$72,INDIRECT($C$5&amp;"生成成长"),5))*(VLOOKUP($B$5,标准坦克设计!$B$24:$U$30,MATCH("对"&amp;LEFT($C$5,2)&amp;"输出",标准坦克设计!$B$23:$U$23,0)))*(VLOOKUP($B140,INDIRECT($B$5&amp;"生成成长"),3))*(VLOOKUP($B$5,标准坦克设计!$B$14:$K$20,9)/30))</f>
        <v>8.5415643932729637</v>
      </c>
      <c r="DT140" s="173">
        <f ca="1">(VLOOKUP(DT$72,INDIRECT($C$5&amp;"生成成长"),2))/((VLOOKUP($B140,INDIRECT($B$5&amp;"生成成长"),4))/(VLOOKUP(DT$72,INDIRECT($C$5&amp;"生成成长"),5))*(VLOOKUP($B$5,标准坦克设计!$B$24:$U$30,MATCH("对"&amp;LEFT($C$5,2)&amp;"输出",标准坦克设计!$B$23:$U$23,0)))*(VLOOKUP($B140,INDIRECT($B$5&amp;"生成成长"),3))*(VLOOKUP($B$5,标准坦克设计!$B$14:$K$20,9)/30))</f>
        <v>9.3781210118277301</v>
      </c>
      <c r="DU140" s="173">
        <f ca="1">(VLOOKUP(DU$72,INDIRECT($C$5&amp;"生成成长"),2))/((VLOOKUP($B140,INDIRECT($B$5&amp;"生成成长"),4))/(VLOOKUP(DU$72,INDIRECT($C$5&amp;"生成成长"),5))*(VLOOKUP($B$5,标准坦克设计!$B$24:$U$30,MATCH("对"&amp;LEFT($C$5,2)&amp;"输出",标准坦克设计!$B$23:$U$23,0)))*(VLOOKUP($B140,INDIRECT($B$5&amp;"生成成长"),3))*(VLOOKUP($B$5,标准坦克设计!$B$14:$K$20,9)/30))</f>
        <v>10.253752461822424</v>
      </c>
      <c r="DV140" s="173">
        <f ca="1">(VLOOKUP(DV$72,INDIRECT($C$5&amp;"生成成长"),2))/((VLOOKUP($B140,INDIRECT($B$5&amp;"生成成长"),4))/(VLOOKUP(DV$72,INDIRECT($C$5&amp;"生成成长"),5))*(VLOOKUP($B$5,标准坦克设计!$B$24:$U$30,MATCH("对"&amp;LEFT($C$5,2)&amp;"输出",标准坦克设计!$B$23:$U$23,0)))*(VLOOKUP($B140,INDIRECT($B$5&amp;"生成成长"),3))*(VLOOKUP($B$5,标准坦克设计!$B$14:$K$20,9)/30))</f>
        <v>11.168458743257043</v>
      </c>
      <c r="DW140" s="173">
        <f ca="1">(VLOOKUP(DW$72,INDIRECT($C$5&amp;"生成成长"),2))/((VLOOKUP($B140,INDIRECT($B$5&amp;"生成成长"),4))/(VLOOKUP(DW$72,INDIRECT($C$5&amp;"生成成长"),5))*(VLOOKUP($B$5,标准坦克设计!$B$24:$U$30,MATCH("对"&amp;LEFT($C$5,2)&amp;"输出",标准坦克设计!$B$23:$U$23,0)))*(VLOOKUP($B140,INDIRECT($B$5&amp;"生成成长"),3))*(VLOOKUP($B$5,标准坦克设计!$B$14:$K$20,9)/30))</f>
        <v>12.122239856131589</v>
      </c>
      <c r="DX140" s="173">
        <f ca="1">(VLOOKUP(DX$72,INDIRECT($C$5&amp;"生成成长"),2))/((VLOOKUP($B140,INDIRECT($B$5&amp;"生成成长"),4))/(VLOOKUP(DX$72,INDIRECT($C$5&amp;"生成成长"),5))*(VLOOKUP($B$5,标准坦克设计!$B$24:$U$30,MATCH("对"&amp;LEFT($C$5,2)&amp;"输出",标准坦克设计!$B$23:$U$23,0)))*(VLOOKUP($B140,INDIRECT($B$5&amp;"生成成长"),3))*(VLOOKUP($B$5,标准坦克设计!$B$14:$K$20,9)/30))</f>
        <v>13.115095800446056</v>
      </c>
      <c r="DY140" s="173">
        <f ca="1">(VLOOKUP(DY$72,INDIRECT($C$5&amp;"生成成长"),2))/((VLOOKUP($B140,INDIRECT($B$5&amp;"生成成长"),4))/(VLOOKUP(DY$72,INDIRECT($C$5&amp;"生成成长"),5))*(VLOOKUP($B$5,标准坦克设计!$B$24:$U$30,MATCH("对"&amp;LEFT($C$5,2)&amp;"输出",标准坦克设计!$B$23:$U$23,0)))*(VLOOKUP($B140,INDIRECT($B$5&amp;"生成成长"),3))*(VLOOKUP($B$5,标准坦克设计!$B$14:$K$20,9)/30))</f>
        <v>5.8904501064459556</v>
      </c>
      <c r="DZ140" s="173">
        <f ca="1">(VLOOKUP(DZ$72,INDIRECT($C$5&amp;"生成成长"),2))/((VLOOKUP($B140,INDIRECT($B$5&amp;"生成成长"),4))/(VLOOKUP(DZ$72,INDIRECT($C$5&amp;"生成成长"),5))*(VLOOKUP($B$5,标准坦克设计!$B$24:$U$30,MATCH("对"&amp;LEFT($C$5,2)&amp;"输出",标准坦克设计!$B$23:$U$23,0)))*(VLOOKUP($B140,INDIRECT($B$5&amp;"生成成长"),3))*(VLOOKUP($B$5,标准坦克设计!$B$14:$K$20,9)/30))</f>
        <v>6.5233977892744983</v>
      </c>
      <c r="EA140" s="173">
        <f ca="1">(VLOOKUP(EA$72,INDIRECT($C$5&amp;"生成成长"),2))/((VLOOKUP($B140,INDIRECT($B$5&amp;"生成成长"),4))/(VLOOKUP(EA$72,INDIRECT($C$5&amp;"生成成长"),5))*(VLOOKUP($B$5,标准坦克设计!$B$24:$U$30,MATCH("对"&amp;LEFT($C$5,2)&amp;"输出",标准坦克设计!$B$23:$U$23,0)))*(VLOOKUP($B140,INDIRECT($B$5&amp;"生成成长"),3))*(VLOOKUP($B$5,标准坦克设计!$B$14:$K$20,9)/30))</f>
        <v>7.1886387212269494</v>
      </c>
      <c r="EB140" s="173">
        <f ca="1">(VLOOKUP(EB$72,INDIRECT($C$5&amp;"生成成长"),2))/((VLOOKUP($B140,INDIRECT($B$5&amp;"生成成长"),4))/(VLOOKUP(EB$72,INDIRECT($C$5&amp;"生成成长"),5))*(VLOOKUP($B$5,标准坦克设计!$B$24:$U$30,MATCH("对"&amp;LEFT($C$5,2)&amp;"输出",标准坦克设计!$B$23:$U$23,0)))*(VLOOKUP($B140,INDIRECT($B$5&amp;"生成成长"),3))*(VLOOKUP($B$5,标准坦克设计!$B$14:$K$20,9)/30))</f>
        <v>7.8861729023033043</v>
      </c>
      <c r="EC140" s="173">
        <f ca="1">(VLOOKUP(EC$72,INDIRECT($C$5&amp;"生成成长"),2))/((VLOOKUP($B140,INDIRECT($B$5&amp;"生成成长"),4))/(VLOOKUP(EC$72,INDIRECT($C$5&amp;"生成成长"),5))*(VLOOKUP($B$5,标准坦克设计!$B$24:$U$30,MATCH("对"&amp;LEFT($C$5,2)&amp;"输出",标准坦克设计!$B$23:$U$23,0)))*(VLOOKUP($B140,INDIRECT($B$5&amp;"生成成长"),3))*(VLOOKUP($B$5,标准坦克设计!$B$14:$K$20,9)/30))</f>
        <v>8.6160003325035639</v>
      </c>
      <c r="ED140" s="173">
        <f ca="1">(VLOOKUP(ED$72,INDIRECT($C$5&amp;"生成成长"),2))/((VLOOKUP($B140,INDIRECT($B$5&amp;"生成成长"),4))/(VLOOKUP(ED$72,INDIRECT($C$5&amp;"生成成长"),5))*(VLOOKUP($B$5,标准坦克设计!$B$24:$U$30,MATCH("对"&amp;LEFT($C$5,2)&amp;"输出",标准坦克设计!$B$23:$U$23,0)))*(VLOOKUP($B140,INDIRECT($B$5&amp;"生成成长"),3))*(VLOOKUP($B$5,标准坦克设计!$B$14:$K$20,9)/30))</f>
        <v>9.3781210118277301</v>
      </c>
      <c r="EE140" s="173">
        <f ca="1">(VLOOKUP(EE$72,INDIRECT($C$5&amp;"生成成长"),2))/((VLOOKUP($B140,INDIRECT($B$5&amp;"生成成长"),4))/(VLOOKUP(EE$72,INDIRECT($C$5&amp;"生成成长"),5))*(VLOOKUP($B$5,标准坦克设计!$B$24:$U$30,MATCH("对"&amp;LEFT($C$5,2)&amp;"输出",标准坦克设计!$B$23:$U$23,0)))*(VLOOKUP($B140,INDIRECT($B$5&amp;"生成成长"),3))*(VLOOKUP($B$5,标准坦克设计!$B$14:$K$20,9)/30))</f>
        <v>10.172534940275803</v>
      </c>
      <c r="EF140" s="173">
        <f ca="1">(VLOOKUP(EF$72,INDIRECT($C$5&amp;"生成成长"),2))/((VLOOKUP($B140,INDIRECT($B$5&amp;"生成成长"),4))/(VLOOKUP(EF$72,INDIRECT($C$5&amp;"生成成长"),5))*(VLOOKUP($B$5,标准坦克设计!$B$24:$U$30,MATCH("对"&amp;LEFT($C$5,2)&amp;"输出",标准坦克设计!$B$23:$U$23,0)))*(VLOOKUP($B140,INDIRECT($B$5&amp;"生成成长"),3))*(VLOOKUP($B$5,标准坦克设计!$B$14:$K$20,9)/30))</f>
        <v>10.999242117847778</v>
      </c>
      <c r="EG140" s="173">
        <f ca="1">(VLOOKUP(EG$72,INDIRECT($C$5&amp;"生成成长"),2))/((VLOOKUP($B140,INDIRECT($B$5&amp;"生成成长"),4))/(VLOOKUP(EG$72,INDIRECT($C$5&amp;"生成成长"),5))*(VLOOKUP($B$5,标准坦克设计!$B$24:$U$30,MATCH("对"&amp;LEFT($C$5,2)&amp;"输出",标准坦克设计!$B$23:$U$23,0)))*(VLOOKUP($B140,INDIRECT($B$5&amp;"生成成长"),3))*(VLOOKUP($B$5,标准坦克设计!$B$14:$K$20,9)/30))</f>
        <v>11.858242544543662</v>
      </c>
      <c r="EH140" s="173">
        <f ca="1">(VLOOKUP(EH$72,INDIRECT($C$5&amp;"生成成长"),2))/((VLOOKUP($B140,INDIRECT($B$5&amp;"生成成长"),4))/(VLOOKUP(EH$72,INDIRECT($C$5&amp;"生成成长"),5))*(VLOOKUP($B$5,标准坦克设计!$B$24:$U$30,MATCH("对"&amp;LEFT($C$5,2)&amp;"输出",标准坦克设计!$B$23:$U$23,0)))*(VLOOKUP($B140,INDIRECT($B$5&amp;"生成成长"),3))*(VLOOKUP($B$5,标准坦克设计!$B$14:$K$20,9)/30))</f>
        <v>12.749536220363451</v>
      </c>
      <c r="EI140" s="173">
        <f ca="1">(VLOOKUP(EI$72,INDIRECT($C$5&amp;"生成成长"),2))/((VLOOKUP($B140,INDIRECT($B$5&amp;"生成成长"),4))/(VLOOKUP(EI$72,INDIRECT($C$5&amp;"生成成长"),5))*(VLOOKUP($B$5,标准坦克设计!$B$24:$U$30,MATCH("对"&amp;LEFT($C$5,2)&amp;"输出",标准坦克设计!$B$23:$U$23,0)))*(VLOOKUP($B140,INDIRECT($B$5&amp;"生成成长"),3))*(VLOOKUP($B$5,标准坦克设计!$B$14:$K$20,9)/30))</f>
        <v>13.673123145307139</v>
      </c>
      <c r="EJ140" s="173">
        <f ca="1">(VLOOKUP(EJ$72,INDIRECT($C$5&amp;"生成成长"),2))/((VLOOKUP($B140,INDIRECT($B$5&amp;"生成成长"),4))/(VLOOKUP(EJ$72,INDIRECT($C$5&amp;"生成成长"),5))*(VLOOKUP($B$5,标准坦克设计!$B$24:$U$30,MATCH("对"&amp;LEFT($C$5,2)&amp;"输出",标准坦克设计!$B$23:$U$23,0)))*(VLOOKUP($B140,INDIRECT($B$5&amp;"生成成长"),3))*(VLOOKUP($B$5,标准坦克设计!$B$14:$K$20,9)/30))</f>
        <v>14.629003319374739</v>
      </c>
      <c r="EK140" s="173">
        <f ca="1">(VLOOKUP(EK$72,INDIRECT($C$5&amp;"生成成长"),2))/((VLOOKUP($B140,INDIRECT($B$5&amp;"生成成长"),4))/(VLOOKUP(EK$72,INDIRECT($C$5&amp;"生成成长"),5))*(VLOOKUP($B$5,标准坦克设计!$B$24:$U$30,MATCH("对"&amp;LEFT($C$5,2)&amp;"输出",标准坦克设计!$B$23:$U$23,0)))*(VLOOKUP($B140,INDIRECT($B$5&amp;"生成成长"),3))*(VLOOKUP($B$5,标准坦克设计!$B$14:$K$20,9)/30))</f>
        <v>15.818686617099413</v>
      </c>
      <c r="EL140" s="173">
        <f ca="1">(VLOOKUP(EL$72,INDIRECT($C$5&amp;"生成成长"),2))/((VLOOKUP($B140,INDIRECT($B$5&amp;"生成成长"),4))/(VLOOKUP(EL$72,INDIRECT($C$5&amp;"生成成长"),5))*(VLOOKUP($B$5,标准坦克设计!$B$24:$U$30,MATCH("对"&amp;LEFT($C$5,2)&amp;"输出",标准坦克设计!$B$23:$U$23,0)))*(VLOOKUP($B140,INDIRECT($B$5&amp;"生成成长"),3))*(VLOOKUP($B$5,标准坦克设计!$B$14:$K$20,9)/30))</f>
        <v>17.05487219356251</v>
      </c>
      <c r="EM140" s="173">
        <f ca="1">(VLOOKUP(EM$72,INDIRECT($C$5&amp;"生成成长"),2))/((VLOOKUP($B140,INDIRECT($B$5&amp;"生成成长"),4))/(VLOOKUP(EM$72,INDIRECT($C$5&amp;"生成成长"),5))*(VLOOKUP($B$5,标准坦克设计!$B$24:$U$30,MATCH("对"&amp;LEFT($C$5,2)&amp;"输出",标准坦克设计!$B$23:$U$23,0)))*(VLOOKUP($B140,INDIRECT($B$5&amp;"生成成长"),3))*(VLOOKUP($B$5,标准坦克设计!$B$14:$K$20,9)/30))</f>
        <v>18.337560048764029</v>
      </c>
      <c r="EN140" s="173">
        <f ca="1">(VLOOKUP(EN$72,INDIRECT($C$5&amp;"生成成长"),2))/((VLOOKUP($B140,INDIRECT($B$5&amp;"生成成长"),4))/(VLOOKUP(EN$72,INDIRECT($C$5&amp;"生成成长"),5))*(VLOOKUP($B$5,标准坦克设计!$B$24:$U$30,MATCH("对"&amp;LEFT($C$5,2)&amp;"输出",标准坦克设计!$B$23:$U$23,0)))*(VLOOKUP($B140,INDIRECT($B$5&amp;"生成成长"),3))*(VLOOKUP($B$5,标准坦克设计!$B$14:$K$20,9)/30))</f>
        <v>19.666750182703979</v>
      </c>
      <c r="EO140" s="173">
        <f ca="1">(VLOOKUP(EO$72,INDIRECT($C$5&amp;"生成成长"),2))/((VLOOKUP($B140,INDIRECT($B$5&amp;"生成成长"),4))/(VLOOKUP(EO$72,INDIRECT($C$5&amp;"生成成长"),5))*(VLOOKUP($B$5,标准坦克设计!$B$24:$U$30,MATCH("对"&amp;LEFT($C$5,2)&amp;"输出",标准坦克设计!$B$23:$U$23,0)))*(VLOOKUP($B140,INDIRECT($B$5&amp;"生成成长"),3))*(VLOOKUP($B$5,标准坦克设计!$B$14:$K$20,9)/30))</f>
        <v>21.042442595382344</v>
      </c>
      <c r="EP140" s="173">
        <f ca="1">(VLOOKUP(EP$72,INDIRECT($C$5&amp;"生成成长"),2))/((VLOOKUP($B140,INDIRECT($B$5&amp;"生成成长"),4))/(VLOOKUP(EP$72,INDIRECT($C$5&amp;"生成成长"),5))*(VLOOKUP($B$5,标准坦克设计!$B$24:$U$30,MATCH("对"&amp;LEFT($C$5,2)&amp;"输出",标准坦克设计!$B$23:$U$23,0)))*(VLOOKUP($B140,INDIRECT($B$5&amp;"生成成长"),3))*(VLOOKUP($B$5,标准坦克设计!$B$14:$K$20,9)/30))</f>
        <v>22.464637286799135</v>
      </c>
      <c r="EQ140" s="173">
        <f ca="1">(VLOOKUP(EQ$72,INDIRECT($C$5&amp;"生成成长"),2))/((VLOOKUP($B140,INDIRECT($B$5&amp;"生成成长"),4))/(VLOOKUP(EQ$72,INDIRECT($C$5&amp;"生成成长"),5))*(VLOOKUP($B$5,标准坦克设计!$B$24:$U$30,MATCH("对"&amp;LEFT($C$5,2)&amp;"输出",标准坦克设计!$B$23:$U$23,0)))*(VLOOKUP($B140,INDIRECT($B$5&amp;"生成成长"),3))*(VLOOKUP($B$5,标准坦克设计!$B$14:$K$20,9)/30))</f>
        <v>9.9308199705833697</v>
      </c>
      <c r="ER140" s="173">
        <f ca="1">(VLOOKUP(ER$72,INDIRECT($C$5&amp;"生成成长"),2))/((VLOOKUP($B140,INDIRECT($B$5&amp;"生成成长"),4))/(VLOOKUP(ER$72,INDIRECT($C$5&amp;"生成成长"),5))*(VLOOKUP($B$5,标准坦克设计!$B$24:$U$30,MATCH("对"&amp;LEFT($C$5,2)&amp;"输出",标准坦克设计!$B$23:$U$23,0)))*(VLOOKUP($B140,INDIRECT($B$5&amp;"生成成长"),3))*(VLOOKUP($B$5,标准坦克设计!$B$14:$K$20,9)/30))</f>
        <v>10.831317222403472</v>
      </c>
      <c r="ES140" s="173">
        <f ca="1">(VLOOKUP(ES$72,INDIRECT($C$5&amp;"生成成长"),2))/((VLOOKUP($B140,INDIRECT($B$5&amp;"生成成长"),4))/(VLOOKUP(ES$72,INDIRECT($C$5&amp;"生成成长"),5))*(VLOOKUP($B$5,标准坦克设计!$B$24:$U$30,MATCH("对"&amp;LEFT($C$5,2)&amp;"输出",标准坦克设计!$B$23:$U$23,0)))*(VLOOKUP($B140,INDIRECT($B$5&amp;"生成成长"),3))*(VLOOKUP($B$5,标准坦克设计!$B$14:$K$20,9)/30))</f>
        <v>11.770889305663497</v>
      </c>
      <c r="ET140" s="173">
        <f ca="1">(VLOOKUP(ET$72,INDIRECT($C$5&amp;"生成成长"),2))/((VLOOKUP($B140,INDIRECT($B$5&amp;"生成成长"),4))/(VLOOKUP(ET$72,INDIRECT($C$5&amp;"生成成长"),5))*(VLOOKUP($B$5,标准坦克设计!$B$24:$U$30,MATCH("对"&amp;LEFT($C$5,2)&amp;"输出",标准坦克设计!$B$23:$U$23,0)))*(VLOOKUP($B140,INDIRECT($B$5&amp;"生成成长"),3))*(VLOOKUP($B$5,标准坦克设计!$B$14:$K$20,9)/30))</f>
        <v>12.749536220363451</v>
      </c>
      <c r="EU140" s="173">
        <f ca="1">(VLOOKUP(EU$72,INDIRECT($C$5&amp;"生成成长"),2))/((VLOOKUP($B140,INDIRECT($B$5&amp;"生成成长"),4))/(VLOOKUP(EU$72,INDIRECT($C$5&amp;"生成成长"),5))*(VLOOKUP($B$5,标准坦克设计!$B$24:$U$30,MATCH("对"&amp;LEFT($C$5,2)&amp;"输出",标准坦克设计!$B$23:$U$23,0)))*(VLOOKUP($B140,INDIRECT($B$5&amp;"生成成长"),3))*(VLOOKUP($B$5,标准坦克设计!$B$14:$K$20,9)/30))</f>
        <v>13.767257966503326</v>
      </c>
      <c r="EV140" s="173">
        <f ca="1">(VLOOKUP(EV$72,INDIRECT($C$5&amp;"生成成长"),2))/((VLOOKUP($B140,INDIRECT($B$5&amp;"生成成长"),4))/(VLOOKUP(EV$72,INDIRECT($C$5&amp;"生成成长"),5))*(VLOOKUP($B$5,标准坦克设计!$B$24:$U$30,MATCH("对"&amp;LEFT($C$5,2)&amp;"输出",标准坦克设计!$B$23:$U$23,0)))*(VLOOKUP($B140,INDIRECT($B$5&amp;"生成成长"),3))*(VLOOKUP($B$5,标准坦克设计!$B$14:$K$20,9)/30))</f>
        <v>14.824054544083129</v>
      </c>
      <c r="EW140" s="173">
        <f ca="1">(VLOOKUP(EW$72,INDIRECT($C$5&amp;"生成成长"),2))/((VLOOKUP($B140,INDIRECT($B$5&amp;"生成成长"),4))/(VLOOKUP(EW$72,INDIRECT($C$5&amp;"生成成长"),5))*(VLOOKUP($B$5,标准坦克设计!$B$24:$U$30,MATCH("对"&amp;LEFT($C$5,2)&amp;"输出",标准坦克设计!$B$23:$U$23,0)))*(VLOOKUP($B140,INDIRECT($B$5&amp;"生成成长"),3))*(VLOOKUP($B$5,标准坦克设计!$B$14:$K$20,9)/30))</f>
        <v>15.919925953102855</v>
      </c>
      <c r="EX140" s="173">
        <f ca="1">(VLOOKUP(EX$72,INDIRECT($C$5&amp;"生成成长"),2))/((VLOOKUP($B140,INDIRECT($B$5&amp;"生成成长"),4))/(VLOOKUP(EX$72,INDIRECT($C$5&amp;"生成成长"),5))*(VLOOKUP($B$5,标准坦克设计!$B$24:$U$30,MATCH("对"&amp;LEFT($C$5,2)&amp;"输出",标准坦克设计!$B$23:$U$23,0)))*(VLOOKUP($B140,INDIRECT($B$5&amp;"生成成长"),3))*(VLOOKUP($B$5,标准坦克设计!$B$14:$K$20,9)/30))</f>
        <v>17.05487219356251</v>
      </c>
      <c r="EY140" s="173">
        <f ca="1">(VLOOKUP(EY$72,INDIRECT($C$5&amp;"生成成长"),2))/((VLOOKUP($B140,INDIRECT($B$5&amp;"生成成长"),4))/(VLOOKUP(EY$72,INDIRECT($C$5&amp;"生成成长"),5))*(VLOOKUP($B$5,标准坦克设计!$B$24:$U$30,MATCH("对"&amp;LEFT($C$5,2)&amp;"输出",标准坦克设计!$B$23:$U$23,0)))*(VLOOKUP($B140,INDIRECT($B$5&amp;"生成成长"),3))*(VLOOKUP($B$5,标准坦克设计!$B$14:$K$20,9)/30))</f>
        <v>18.228893265462087</v>
      </c>
      <c r="EZ140" s="173">
        <f ca="1">(VLOOKUP(EZ$72,INDIRECT($C$5&amp;"生成成长"),2))/((VLOOKUP($B140,INDIRECT($B$5&amp;"生成成长"),4))/(VLOOKUP(EZ$72,INDIRECT($C$5&amp;"生成成长"),5))*(VLOOKUP($B$5,标准坦克设计!$B$24:$U$30,MATCH("对"&amp;LEFT($C$5,2)&amp;"输出",标准坦克设计!$B$23:$U$23,0)))*(VLOOKUP($B140,INDIRECT($B$5&amp;"生成成长"),3))*(VLOOKUP($B$5,标准坦克设计!$B$14:$K$20,9)/30))</f>
        <v>19.441989168801594</v>
      </c>
      <c r="FA140" s="173">
        <f ca="1">(VLOOKUP(FA$72,INDIRECT($C$5&amp;"生成成长"),2))/((VLOOKUP($B140,INDIRECT($B$5&amp;"生成成长"),4))/(VLOOKUP(FA$72,INDIRECT($C$5&amp;"生成成长"),5))*(VLOOKUP($B$5,标准坦克设计!$B$24:$U$30,MATCH("对"&amp;LEFT($C$5,2)&amp;"输出",标准坦克设计!$B$23:$U$23,0)))*(VLOOKUP($B140,INDIRECT($B$5&amp;"生成成长"),3))*(VLOOKUP($B$5,标准坦克设计!$B$14:$K$20,9)/30))</f>
        <v>20.694159903581021</v>
      </c>
      <c r="FB140" s="173">
        <f ca="1">(VLOOKUP(FB$72,INDIRECT($C$5&amp;"生成成长"),2))/((VLOOKUP($B140,INDIRECT($B$5&amp;"生成成长"),4))/(VLOOKUP(FB$72,INDIRECT($C$5&amp;"生成成长"),5))*(VLOOKUP($B$5,标准坦克设计!$B$24:$U$30,MATCH("对"&amp;LEFT($C$5,2)&amp;"输出",标准坦克设计!$B$23:$U$23,0)))*(VLOOKUP($B140,INDIRECT($B$5&amp;"生成成长"),3))*(VLOOKUP($B$5,标准坦克设计!$B$14:$K$20,9)/30))</f>
        <v>21.985405469800373</v>
      </c>
      <c r="FC140" s="173">
        <f ca="1">(VLOOKUP(FC$72,INDIRECT($C$5&amp;"生成成长"),2))/((VLOOKUP($B140,INDIRECT($B$5&amp;"生成成长"),4))/(VLOOKUP(FC$72,INDIRECT($C$5&amp;"生成成长"),5))*(VLOOKUP($B$5,标准坦克设计!$B$24:$U$30,MATCH("对"&amp;LEFT($C$5,2)&amp;"输出",标准坦克设计!$B$23:$U$23,0)))*(VLOOKUP($B140,INDIRECT($B$5&amp;"生成成长"),3))*(VLOOKUP($B$5,标准坦克设计!$B$14:$K$20,9)/30))</f>
        <v>23.315725867459655</v>
      </c>
      <c r="FD140" s="173">
        <f ca="1">(VLOOKUP(FD$72,INDIRECT($C$5&amp;"生成成长"),2))/((VLOOKUP($B140,INDIRECT($B$5&amp;"生成成长"),4))/(VLOOKUP(FD$72,INDIRECT($C$5&amp;"生成成长"),5))*(VLOOKUP($B$5,标准坦克设计!$B$24:$U$30,MATCH("对"&amp;LEFT($C$5,2)&amp;"输出",标准坦克设计!$B$23:$U$23,0)))*(VLOOKUP($B140,INDIRECT($B$5&amp;"生成成长"),3))*(VLOOKUP($B$5,标准坦克设计!$B$14:$K$20,9)/30))</f>
        <v>24.685121096558863</v>
      </c>
      <c r="FE140" s="173">
        <f ca="1">(VLOOKUP(FE$72,INDIRECT($C$5&amp;"生成成长"),2))/((VLOOKUP($B140,INDIRECT($B$5&amp;"生成成长"),4))/(VLOOKUP(FE$72,INDIRECT($C$5&amp;"生成成长"),5))*(VLOOKUP($B$5,标准坦克设计!$B$24:$U$30,MATCH("对"&amp;LEFT($C$5,2)&amp;"输出",标准坦克设计!$B$23:$U$23,0)))*(VLOOKUP($B140,INDIRECT($B$5&amp;"生成成长"),3))*(VLOOKUP($B$5,标准坦克设计!$B$14:$K$20,9)/30))</f>
        <v>26.353874745036673</v>
      </c>
      <c r="FF140" s="173">
        <f ca="1">(VLOOKUP(FF$72,INDIRECT($C$5&amp;"生成成长"),2))/((VLOOKUP($B140,INDIRECT($B$5&amp;"生成成长"),4))/(VLOOKUP(FF$72,INDIRECT($C$5&amp;"生成成长"),5))*(VLOOKUP($B$5,标准坦克设计!$B$24:$U$30,MATCH("对"&amp;LEFT($C$5,2)&amp;"输出",标准坦克设计!$B$23:$U$23,0)))*(VLOOKUP($B140,INDIRECT($B$5&amp;"生成成长"),3))*(VLOOKUP($B$5,标准坦克设计!$B$14:$K$20,9)/30))</f>
        <v>28.077203984533877</v>
      </c>
      <c r="FG140" s="173">
        <f ca="1">(VLOOKUP(FG$72,INDIRECT($C$5&amp;"生成成长"),2))/((VLOOKUP($B140,INDIRECT($B$5&amp;"生成成长"),4))/(VLOOKUP(FG$72,INDIRECT($C$5&amp;"生成成长"),5))*(VLOOKUP($B$5,标准坦克设计!$B$24:$U$30,MATCH("对"&amp;LEFT($C$5,2)&amp;"输出",标准坦克设计!$B$23:$U$23,0)))*(VLOOKUP($B140,INDIRECT($B$5&amp;"生成成长"),3))*(VLOOKUP($B$5,标准坦克设计!$B$14:$K$20,9)/30))</f>
        <v>29.855108815050489</v>
      </c>
      <c r="FH140" s="173">
        <f ca="1">(VLOOKUP(FH$72,INDIRECT($C$5&amp;"生成成长"),2))/((VLOOKUP($B140,INDIRECT($B$5&amp;"生成成长"),4))/(VLOOKUP(FH$72,INDIRECT($C$5&amp;"生成成长"),5))*(VLOOKUP($B$5,标准坦克设计!$B$24:$U$30,MATCH("对"&amp;LEFT($C$5,2)&amp;"输出",标准坦克设计!$B$23:$U$23,0)))*(VLOOKUP($B140,INDIRECT($B$5&amp;"生成成长"),3))*(VLOOKUP($B$5,标准坦克设计!$B$14:$K$20,9)/30))</f>
        <v>31.687589236586497</v>
      </c>
      <c r="FI140" s="173">
        <f ca="1">(VLOOKUP(FI$72,INDIRECT($C$5&amp;"生成成长"),2))/((VLOOKUP($B140,INDIRECT($B$5&amp;"生成成长"),4))/(VLOOKUP(FI$72,INDIRECT($C$5&amp;"生成成长"),5))*(VLOOKUP($B$5,标准坦克设计!$B$24:$U$30,MATCH("对"&amp;LEFT($C$5,2)&amp;"输出",标准坦克设计!$B$23:$U$23,0)))*(VLOOKUP($B140,INDIRECT($B$5&amp;"生成成长"),3))*(VLOOKUP($B$5,标准坦克设计!$B$14:$K$20,9)/30))</f>
        <v>33.574645249141909</v>
      </c>
      <c r="FJ140" s="173">
        <f ca="1">(VLOOKUP(FJ$72,INDIRECT($C$5&amp;"生成成长"),2))/((VLOOKUP($B140,INDIRECT($B$5&amp;"生成成长"),4))/(VLOOKUP(FJ$72,INDIRECT($C$5&amp;"生成成长"),5))*(VLOOKUP($B$5,标准坦克设计!$B$24:$U$30,MATCH("对"&amp;LEFT($C$5,2)&amp;"输出",标准坦克设计!$B$23:$U$23,0)))*(VLOOKUP($B140,INDIRECT($B$5&amp;"生成成长"),3))*(VLOOKUP($B$5,标准坦克设计!$B$14:$K$20,9)/30))</f>
        <v>35.516276852716715</v>
      </c>
      <c r="FK140" s="173">
        <f ca="1">(VLOOKUP(FK$72,INDIRECT($C$5&amp;"生成成长"),2))/((VLOOKUP($B140,INDIRECT($B$5&amp;"生成成长"),4))/(VLOOKUP(FK$72,INDIRECT($C$5&amp;"生成成长"),5))*(VLOOKUP($B$5,标准坦克设计!$B$24:$U$30,MATCH("对"&amp;LEFT($C$5,2)&amp;"输出",标准坦克设计!$B$23:$U$23,0)))*(VLOOKUP($B140,INDIRECT($B$5&amp;"生成成长"),3))*(VLOOKUP($B$5,标准坦克设计!$B$14:$K$20,9)/30))</f>
        <v>37.51248404731092</v>
      </c>
    </row>
    <row r="141" spans="1:167" x14ac:dyDescent="0.15">
      <c r="A141" s="171" t="str">
        <f t="shared" si="12"/>
        <v>T3中品质12级</v>
      </c>
      <c r="B141" s="172">
        <v>20312</v>
      </c>
      <c r="C141" s="173">
        <f ca="1">(VLOOKUP(C$72,INDIRECT($C$5&amp;"生成成长"),2))/((VLOOKUP($B141,INDIRECT($B$5&amp;"生成成长"),4))/(VLOOKUP(C$72,INDIRECT($C$5&amp;"生成成长"),5))*(VLOOKUP($B$5,标准坦克设计!$B$24:$U$30,MATCH("对"&amp;LEFT($C$5,2)&amp;"输出",标准坦克设计!$B$23:$U$23,0)))*(VLOOKUP($B141,INDIRECT($B$5&amp;"生成成长"),3))*(VLOOKUP($B$5,标准坦克设计!$B$14:$K$20,9)/30))</f>
        <v>1.4863761154227295</v>
      </c>
      <c r="D141" s="173">
        <f ca="1">(VLOOKUP(D$72,INDIRECT($C$5&amp;"生成成长"),2))/((VLOOKUP($B141,INDIRECT($B$5&amp;"生成成长"),4))/(VLOOKUP(D$72,INDIRECT($C$5&amp;"生成成长"),5))*(VLOOKUP($B$5,标准坦克设计!$B$24:$U$30,MATCH("对"&amp;LEFT($C$5,2)&amp;"输出",标准坦克设计!$B$23:$U$23,0)))*(VLOOKUP($B141,INDIRECT($B$5&amp;"生成成长"),3))*(VLOOKUP($B$5,标准坦克设计!$B$14:$K$20,9)/30))</f>
        <v>1.6700922032889789</v>
      </c>
      <c r="E141" s="173">
        <f ca="1">(VLOOKUP(E$72,INDIRECT($C$5&amp;"生成成长"),2))/((VLOOKUP($B141,INDIRECT($B$5&amp;"生成成长"),4))/(VLOOKUP(E$72,INDIRECT($C$5&amp;"生成成长"),5))*(VLOOKUP($B$5,标准坦克设计!$B$24:$U$30,MATCH("对"&amp;LEFT($C$5,2)&amp;"输出",标准坦克设计!$B$23:$U$23,0)))*(VLOOKUP($B141,INDIRECT($B$5&amp;"生成成长"),3))*(VLOOKUP($B$5,标准坦克设计!$B$14:$K$20,9)/30))</f>
        <v>1.864510199186272</v>
      </c>
      <c r="F141" s="173">
        <f ca="1">(VLOOKUP(F$72,INDIRECT($C$5&amp;"生成成长"),2))/((VLOOKUP($B141,INDIRECT($B$5&amp;"生成成长"),4))/(VLOOKUP(F$72,INDIRECT($C$5&amp;"生成成长"),5))*(VLOOKUP($B$5,标准坦克设计!$B$24:$U$30,MATCH("对"&amp;LEFT($C$5,2)&amp;"输出",标准坦克设计!$B$23:$U$23,0)))*(VLOOKUP($B141,INDIRECT($B$5&amp;"生成成长"),3))*(VLOOKUP($B$5,标准坦克设计!$B$14:$K$20,9)/30))</f>
        <v>2.069630103114608</v>
      </c>
      <c r="G141" s="173">
        <f ca="1">(VLOOKUP(G$72,INDIRECT($C$5&amp;"生成成长"),2))/((VLOOKUP($B141,INDIRECT($B$5&amp;"生成成长"),4))/(VLOOKUP(G$72,INDIRECT($C$5&amp;"生成成长"),5))*(VLOOKUP($B$5,标准坦克设计!$B$24:$U$30,MATCH("对"&amp;LEFT($C$5,2)&amp;"输出",标准坦克设计!$B$23:$U$23,0)))*(VLOOKUP($B141,INDIRECT($B$5&amp;"生成成长"),3))*(VLOOKUP($B$5,标准坦克设计!$B$14:$K$20,9)/30))</f>
        <v>2.2854519150739887</v>
      </c>
      <c r="H141" s="173">
        <f ca="1">(VLOOKUP(H$72,INDIRECT($C$5&amp;"生成成长"),2))/((VLOOKUP($B141,INDIRECT($B$5&amp;"生成成长"),4))/(VLOOKUP(H$72,INDIRECT($C$5&amp;"生成成长"),5))*(VLOOKUP($B$5,标准坦克设计!$B$24:$U$30,MATCH("对"&amp;LEFT($C$5,2)&amp;"输出",标准坦克设计!$B$23:$U$23,0)))*(VLOOKUP($B141,INDIRECT($B$5&amp;"生成成长"),3))*(VLOOKUP($B$5,标准坦克设计!$B$14:$K$20,9)/30))</f>
        <v>2.0000677009128252</v>
      </c>
      <c r="I141" s="173">
        <f ca="1">(VLOOKUP(I$72,INDIRECT($C$5&amp;"生成成长"),2))/((VLOOKUP($B141,INDIRECT($B$5&amp;"生成成长"),4))/(VLOOKUP(I$72,INDIRECT($C$5&amp;"生成成长"),5))*(VLOOKUP($B$5,标准坦克设计!$B$24:$U$30,MATCH("对"&amp;LEFT($C$5,2)&amp;"输出",标准坦克设计!$B$23:$U$23,0)))*(VLOOKUP($B141,INDIRECT($B$5&amp;"生成成长"),3))*(VLOOKUP($B$5,标准坦克设计!$B$14:$K$20,9)/30))</f>
        <v>2.2854519150739887</v>
      </c>
      <c r="J141" s="173">
        <f ca="1">(VLOOKUP(J$72,INDIRECT($C$5&amp;"生成成长"),2))/((VLOOKUP($B141,INDIRECT($B$5&amp;"生成成长"),4))/(VLOOKUP(J$72,INDIRECT($C$5&amp;"生成成长"),5))*(VLOOKUP($B$5,标准坦克设计!$B$24:$U$30,MATCH("对"&amp;LEFT($C$5,2)&amp;"输出",标准坦克设计!$B$23:$U$23,0)))*(VLOOKUP($B141,INDIRECT($B$5&amp;"生成成长"),3))*(VLOOKUP($B$5,标准坦克设计!$B$14:$K$20,9)/30))</f>
        <v>2.5898617435125648</v>
      </c>
      <c r="K141" s="173">
        <f ca="1">(VLOOKUP(K$72,INDIRECT($C$5&amp;"生成成长"),2))/((VLOOKUP($B141,INDIRECT($B$5&amp;"生成成长"),4))/(VLOOKUP(K$72,INDIRECT($C$5&amp;"生成成长"),5))*(VLOOKUP($B$5,标准坦克设计!$B$24:$U$30,MATCH("对"&amp;LEFT($C$5,2)&amp;"输出",标准坦克设计!$B$23:$U$23,0)))*(VLOOKUP($B141,INDIRECT($B$5&amp;"生成成长"),3))*(VLOOKUP($B$5,标准坦克设计!$B$14:$K$20,9)/30))</f>
        <v>2.9132971862285499</v>
      </c>
      <c r="L141" s="173">
        <f ca="1">(VLOOKUP(L$72,INDIRECT($C$5&amp;"生成成长"),2))/((VLOOKUP($B141,INDIRECT($B$5&amp;"生成成长"),4))/(VLOOKUP(L$72,INDIRECT($C$5&amp;"生成成长"),5))*(VLOOKUP($B$5,标准坦克设计!$B$24:$U$30,MATCH("对"&amp;LEFT($C$5,2)&amp;"输出",标准坦克设计!$B$23:$U$23,0)))*(VLOOKUP($B141,INDIRECT($B$5&amp;"生成成长"),3))*(VLOOKUP($B$5,标准坦克设计!$B$14:$K$20,9)/30))</f>
        <v>3.2557582432219472</v>
      </c>
      <c r="M141" s="173">
        <f ca="1">(VLOOKUP(M$72,INDIRECT($C$5&amp;"生成成长"),2))/((VLOOKUP($B141,INDIRECT($B$5&amp;"生成成长"),4))/(VLOOKUP(M$72,INDIRECT($C$5&amp;"生成成长"),5))*(VLOOKUP($B$5,标准坦克设计!$B$24:$U$30,MATCH("对"&amp;LEFT($C$5,2)&amp;"输出",标准坦克设计!$B$23:$U$23,0)))*(VLOOKUP($B141,INDIRECT($B$5&amp;"生成成长"),3))*(VLOOKUP($B$5,标准坦克设计!$B$14:$K$20,9)/30))</f>
        <v>3.6172449144927548</v>
      </c>
      <c r="N141" s="173">
        <f ca="1">(VLOOKUP(N$72,INDIRECT($C$5&amp;"生成成长"),2))/((VLOOKUP($B141,INDIRECT($B$5&amp;"生成成长"),4))/(VLOOKUP(N$72,INDIRECT($C$5&amp;"生成成长"),5))*(VLOOKUP($B$5,标准坦克设计!$B$24:$U$30,MATCH("对"&amp;LEFT($C$5,2)&amp;"输出",标准坦克设计!$B$23:$U$23,0)))*(VLOOKUP($B141,INDIRECT($B$5&amp;"生成成长"),3))*(VLOOKUP($B$5,标准坦克设计!$B$14:$K$20,9)/30))</f>
        <v>3.9977572000409736</v>
      </c>
      <c r="O141" s="173">
        <f ca="1">(VLOOKUP(O$72,INDIRECT($C$5&amp;"生成成长"),2))/((VLOOKUP($B141,INDIRECT($B$5&amp;"生成成长"),4))/(VLOOKUP(O$72,INDIRECT($C$5&amp;"生成成长"),5))*(VLOOKUP($B$5,标准坦克设计!$B$24:$U$30,MATCH("对"&amp;LEFT($C$5,2)&amp;"输出",标准坦克设计!$B$23:$U$23,0)))*(VLOOKUP($B141,INDIRECT($B$5&amp;"生成成长"),3))*(VLOOKUP($B$5,标准坦克设计!$B$14:$K$20,9)/30))</f>
        <v>3.0394905184279399</v>
      </c>
      <c r="P141" s="173">
        <f ca="1">(VLOOKUP(P$72,INDIRECT($C$5&amp;"生成成长"),2))/((VLOOKUP($B141,INDIRECT($B$5&amp;"生成成长"),4))/(VLOOKUP(P$72,INDIRECT($C$5&amp;"生成成长"),5))*(VLOOKUP($B$5,标准坦克设计!$B$24:$U$30,MATCH("对"&amp;LEFT($C$5,2)&amp;"输出",标准坦克设计!$B$23:$U$23,0)))*(VLOOKUP($B141,INDIRECT($B$5&amp;"生成成长"),3))*(VLOOKUP($B$5,标准坦克设计!$B$14:$K$20,9)/30))</f>
        <v>3.4341233770726749</v>
      </c>
      <c r="Q141" s="173">
        <f ca="1">(VLOOKUP(Q$72,INDIRECT($C$5&amp;"生成成长"),2))/((VLOOKUP($B141,INDIRECT($B$5&amp;"生成成长"),4))/(VLOOKUP(Q$72,INDIRECT($C$5&amp;"生成成长"),5))*(VLOOKUP($B$5,标准坦克设计!$B$24:$U$30,MATCH("对"&amp;LEFT($C$5,2)&amp;"输出",标准坦克设计!$B$23:$U$23,0)))*(VLOOKUP($B141,INDIRECT($B$5&amp;"生成成长"),3))*(VLOOKUP($B$5,标准坦克设计!$B$14:$K$20,9)/30))</f>
        <v>3.8528355287872578</v>
      </c>
      <c r="R141" s="173">
        <f ca="1">(VLOOKUP(R$72,INDIRECT($C$5&amp;"生成成长"),2))/((VLOOKUP($B141,INDIRECT($B$5&amp;"生成成长"),4))/(VLOOKUP(R$72,INDIRECT($C$5&amp;"生成成长"),5))*(VLOOKUP($B$5,标准坦克设计!$B$24:$U$30,MATCH("对"&amp;LEFT($C$5,2)&amp;"输出",标准坦克设计!$B$23:$U$23,0)))*(VLOOKUP($B141,INDIRECT($B$5&amp;"生成成长"),3))*(VLOOKUP($B$5,标准坦克设计!$B$14:$K$20,9)/30))</f>
        <v>4.2956269735716885</v>
      </c>
      <c r="S141" s="173">
        <f ca="1">(VLOOKUP(S$72,INDIRECT($C$5&amp;"生成成长"),2))/((VLOOKUP($B141,INDIRECT($B$5&amp;"生成成长"),4))/(VLOOKUP(S$72,INDIRECT($C$5&amp;"生成成长"),5))*(VLOOKUP($B$5,标准坦克设计!$B$24:$U$30,MATCH("对"&amp;LEFT($C$5,2)&amp;"输出",标准坦克设计!$B$23:$U$23,0)))*(VLOOKUP($B141,INDIRECT($B$5&amp;"生成成长"),3))*(VLOOKUP($B$5,标准坦克设计!$B$14:$K$20,9)/30))</f>
        <v>4.7624977114259677</v>
      </c>
      <c r="T141" s="173">
        <f ca="1">(VLOOKUP(T$72,INDIRECT($C$5&amp;"生成成长"),2))/((VLOOKUP($B141,INDIRECT($B$5&amp;"生成成长"),4))/(VLOOKUP(T$72,INDIRECT($C$5&amp;"生成成长"),5))*(VLOOKUP($B$5,标准坦克设计!$B$24:$U$30,MATCH("对"&amp;LEFT($C$5,2)&amp;"输出",标准坦克设计!$B$23:$U$23,0)))*(VLOOKUP($B141,INDIRECT($B$5&amp;"生成成长"),3))*(VLOOKUP($B$5,标准坦克设计!$B$14:$K$20,9)/30))</f>
        <v>5.2534477423500956</v>
      </c>
      <c r="U141" s="173">
        <f ca="1">(VLOOKUP(U$72,INDIRECT($C$5&amp;"生成成长"),2))/((VLOOKUP($B141,INDIRECT($B$5&amp;"生成成长"),4))/(VLOOKUP(U$72,INDIRECT($C$5&amp;"生成成长"),5))*(VLOOKUP($B$5,标准坦克设计!$B$24:$U$30,MATCH("对"&amp;LEFT($C$5,2)&amp;"输出",标准坦克设计!$B$23:$U$23,0)))*(VLOOKUP($B141,INDIRECT($B$5&amp;"生成成长"),3))*(VLOOKUP($B$5,标准坦克设计!$B$14:$K$20,9)/30))</f>
        <v>5.7684770663440714</v>
      </c>
      <c r="V141" s="173">
        <f ca="1">(VLOOKUP(V$72,INDIRECT($C$5&amp;"生成成长"),2))/((VLOOKUP($B141,INDIRECT($B$5&amp;"生成成长"),4))/(VLOOKUP(V$72,INDIRECT($C$5&amp;"生成成长"),5))*(VLOOKUP($B$5,标准坦克设计!$B$24:$U$30,MATCH("对"&amp;LEFT($C$5,2)&amp;"输出",标准坦克设计!$B$23:$U$23,0)))*(VLOOKUP($B141,INDIRECT($B$5&amp;"生成成长"),3))*(VLOOKUP($B$5,标准坦克设计!$B$14:$K$20,9)/30))</f>
        <v>6.3075856834078969</v>
      </c>
      <c r="W141" s="173">
        <f ca="1">(VLOOKUP(W$72,INDIRECT($C$5&amp;"生成成长"),2))/((VLOOKUP($B141,INDIRECT($B$5&amp;"生成成长"),4))/(VLOOKUP(W$72,INDIRECT($C$5&amp;"生成成长"),5))*(VLOOKUP($B$5,标准坦克设计!$B$24:$U$30,MATCH("对"&amp;LEFT($C$5,2)&amp;"输出",标准坦克设计!$B$23:$U$23,0)))*(VLOOKUP($B141,INDIRECT($B$5&amp;"生成成长"),3))*(VLOOKUP($B$5,标准坦克设计!$B$14:$K$20,9)/30))</f>
        <v>6.8707735935415677</v>
      </c>
      <c r="X141" s="173">
        <f ca="1">(VLOOKUP(X$72,INDIRECT($C$5&amp;"生成成长"),2))/((VLOOKUP($B141,INDIRECT($B$5&amp;"生成成长"),4))/(VLOOKUP(X$72,INDIRECT($C$5&amp;"生成成长"),5))*(VLOOKUP($B$5,标准坦克设计!$B$24:$U$30,MATCH("对"&amp;LEFT($C$5,2)&amp;"输出",标准坦克设计!$B$23:$U$23,0)))*(VLOOKUP($B141,INDIRECT($B$5&amp;"生成成长"),3))*(VLOOKUP($B$5,标准坦克设计!$B$14:$K$20,9)/30))</f>
        <v>4.9777249729391801</v>
      </c>
      <c r="Y141" s="173">
        <f ca="1">(VLOOKUP(Y$72,INDIRECT($C$5&amp;"生成成长"),2))/((VLOOKUP($B141,INDIRECT($B$5&amp;"生成成长"),4))/(VLOOKUP(Y$72,INDIRECT($C$5&amp;"生成成长"),5))*(VLOOKUP($B$5,标准坦克设计!$B$24:$U$30,MATCH("对"&amp;LEFT($C$5,2)&amp;"输出",标准坦克设计!$B$23:$U$23,0)))*(VLOOKUP($B141,INDIRECT($B$5&amp;"生成成长"),3))*(VLOOKUP($B$5,标准坦克设计!$B$14:$K$20,9)/30))</f>
        <v>5.5366023923381249</v>
      </c>
      <c r="Z141" s="173">
        <f ca="1">(VLOOKUP(Z$72,INDIRECT($C$5&amp;"生成成长"),2))/((VLOOKUP($B141,INDIRECT($B$5&amp;"生成成长"),4))/(VLOOKUP(Z$72,INDIRECT($C$5&amp;"生成成长"),5))*(VLOOKUP($B$5,标准坦克设计!$B$24:$U$30,MATCH("对"&amp;LEFT($C$5,2)&amp;"输出",标准坦克设计!$B$23:$U$23,0)))*(VLOOKUP($B141,INDIRECT($B$5&amp;"生成成长"),3))*(VLOOKUP($B$5,标准坦克设计!$B$14:$K$20,9)/30))</f>
        <v>6.125207334045526</v>
      </c>
      <c r="AA141" s="173">
        <f ca="1">(VLOOKUP(AA$72,INDIRECT($C$5&amp;"生成成长"),2))/((VLOOKUP($B141,INDIRECT($B$5&amp;"生成成长"),4))/(VLOOKUP(AA$72,INDIRECT($C$5&amp;"生成成长"),5))*(VLOOKUP($B$5,标准坦克设计!$B$24:$U$30,MATCH("对"&amp;LEFT($C$5,2)&amp;"输出",标准坦克设计!$B$23:$U$23,0)))*(VLOOKUP($B141,INDIRECT($B$5&amp;"生成成长"),3))*(VLOOKUP($B$5,标准坦克设计!$B$14:$K$20,9)/30))</f>
        <v>6.7435397980613816</v>
      </c>
      <c r="AB141" s="173">
        <f ca="1">(VLOOKUP(AB$72,INDIRECT($C$5&amp;"生成成长"),2))/((VLOOKUP($B141,INDIRECT($B$5&amp;"生成成长"),4))/(VLOOKUP(AB$72,INDIRECT($C$5&amp;"生成成长"),5))*(VLOOKUP($B$5,标准坦克设计!$B$24:$U$30,MATCH("对"&amp;LEFT($C$5,2)&amp;"输出",标准坦克设计!$B$23:$U$23,0)))*(VLOOKUP($B141,INDIRECT($B$5&amp;"生成成长"),3))*(VLOOKUP($B$5,标准坦克设计!$B$14:$K$20,9)/30))</f>
        <v>7.3915997843856909</v>
      </c>
      <c r="AC141" s="173">
        <f ca="1">(VLOOKUP(AC$72,INDIRECT($C$5&amp;"生成成长"),2))/((VLOOKUP($B141,INDIRECT($B$5&amp;"生成成长"),4))/(VLOOKUP(AC$72,INDIRECT($C$5&amp;"生成成长"),5))*(VLOOKUP($B$5,标准坦克设计!$B$24:$U$30,MATCH("对"&amp;LEFT($C$5,2)&amp;"输出",标准坦克设计!$B$23:$U$23,0)))*(VLOOKUP($B141,INDIRECT($B$5&amp;"生成成长"),3))*(VLOOKUP($B$5,标准坦克设计!$B$14:$K$20,9)/30))</f>
        <v>8.0693872930184565</v>
      </c>
      <c r="AD141" s="173">
        <f ca="1">(VLOOKUP(AD$72,INDIRECT($C$5&amp;"生成成长"),2))/((VLOOKUP($B141,INDIRECT($B$5&amp;"生成成长"),4))/(VLOOKUP(AD$72,INDIRECT($C$5&amp;"生成成长"),5))*(VLOOKUP($B$5,标准坦克设计!$B$24:$U$30,MATCH("对"&amp;LEFT($C$5,2)&amp;"输出",标准坦克设计!$B$23:$U$23,0)))*(VLOOKUP($B141,INDIRECT($B$5&amp;"生成成长"),3))*(VLOOKUP($B$5,标准坦克设计!$B$14:$K$20,9)/30))</f>
        <v>8.7769023239596784</v>
      </c>
      <c r="AE141" s="173">
        <f ca="1">(VLOOKUP(AE$72,INDIRECT($C$5&amp;"生成成长"),2))/((VLOOKUP($B141,INDIRECT($B$5&amp;"生成成长"),4))/(VLOOKUP(AE$72,INDIRECT($C$5&amp;"生成成长"),5))*(VLOOKUP($B$5,标准坦克设计!$B$24:$U$30,MATCH("对"&amp;LEFT($C$5,2)&amp;"输出",标准坦克设计!$B$23:$U$23,0)))*(VLOOKUP($B141,INDIRECT($B$5&amp;"生成成长"),3))*(VLOOKUP($B$5,标准坦克设计!$B$14:$K$20,9)/30))</f>
        <v>9.5141448772093504</v>
      </c>
      <c r="AF141" s="173">
        <f ca="1">(VLOOKUP(AF$72,INDIRECT($C$5&amp;"生成成长"),2))/((VLOOKUP($B141,INDIRECT($B$5&amp;"生成成长"),4))/(VLOOKUP(AF$72,INDIRECT($C$5&amp;"生成成长"),5))*(VLOOKUP($B$5,标准坦克设计!$B$24:$U$30,MATCH("对"&amp;LEFT($C$5,2)&amp;"输出",标准坦克设计!$B$23:$U$23,0)))*(VLOOKUP($B141,INDIRECT($B$5&amp;"生成成长"),3))*(VLOOKUP($B$5,标准坦克设计!$B$14:$K$20,9)/30))</f>
        <v>10.281114952767478</v>
      </c>
      <c r="AG141" s="173">
        <f ca="1">(VLOOKUP(AG$72,INDIRECT($C$5&amp;"生成成长"),2))/((VLOOKUP($B141,INDIRECT($B$5&amp;"生成成长"),4))/(VLOOKUP(AG$72,INDIRECT($C$5&amp;"生成成长"),5))*(VLOOKUP($B$5,标准坦克设计!$B$24:$U$30,MATCH("对"&amp;LEFT($C$5,2)&amp;"输出",标准坦克设计!$B$23:$U$23,0)))*(VLOOKUP($B141,INDIRECT($B$5&amp;"生成成长"),3))*(VLOOKUP($B$5,标准坦克设计!$B$14:$K$20,9)/30))</f>
        <v>11.077812550634061</v>
      </c>
      <c r="AH141" s="173">
        <f ca="1">(VLOOKUP(AH$72,INDIRECT($C$5&amp;"生成成长"),2))/((VLOOKUP($B141,INDIRECT($B$5&amp;"生成成长"),4))/(VLOOKUP(AH$72,INDIRECT($C$5&amp;"生成成长"),5))*(VLOOKUP($B$5,标准坦克设计!$B$24:$U$30,MATCH("对"&amp;LEFT($C$5,2)&amp;"输出",标准坦克设计!$B$23:$U$23,0)))*(VLOOKUP($B141,INDIRECT($B$5&amp;"生成成长"),3))*(VLOOKUP($B$5,标准坦克设计!$B$14:$K$20,9)/30))</f>
        <v>11.904237670809101</v>
      </c>
      <c r="AI141" s="173">
        <f ca="1">(VLOOKUP(AI$72,INDIRECT($C$5&amp;"生成成长"),2))/((VLOOKUP($B141,INDIRECT($B$5&amp;"生成成长"),4))/(VLOOKUP(AI$72,INDIRECT($C$5&amp;"生成成长"),5))*(VLOOKUP($B$5,标准坦克设计!$B$24:$U$30,MATCH("对"&amp;LEFT($C$5,2)&amp;"输出",标准坦克设计!$B$23:$U$23,0)))*(VLOOKUP($B141,INDIRECT($B$5&amp;"生成成长"),3))*(VLOOKUP($B$5,标准坦克设计!$B$14:$K$20,9)/30))</f>
        <v>8.4194288682005087</v>
      </c>
      <c r="AJ141" s="173">
        <f ca="1">(VLOOKUP(AJ$72,INDIRECT($C$5&amp;"生成成长"),2))/((VLOOKUP($B141,INDIRECT($B$5&amp;"生成成长"),4))/(VLOOKUP(AJ$72,INDIRECT($C$5&amp;"生成成长"),5))*(VLOOKUP($B$5,标准坦克设计!$B$24:$U$30,MATCH("对"&amp;LEFT($C$5,2)&amp;"输出",标准坦克设计!$B$23:$U$23,0)))*(VLOOKUP($B141,INDIRECT($B$5&amp;"生成成长"),3))*(VLOOKUP($B$5,标准坦克设计!$B$14:$K$20,9)/30))</f>
        <v>9.215680553232465</v>
      </c>
      <c r="AK141" s="173">
        <f ca="1">(VLOOKUP(AK$72,INDIRECT($C$5&amp;"生成成长"),2))/((VLOOKUP($B141,INDIRECT($B$5&amp;"生成成长"),4))/(VLOOKUP(AK$72,INDIRECT($C$5&amp;"生成成长"),5))*(VLOOKUP($B$5,标准坦克设计!$B$24:$U$30,MATCH("对"&amp;LEFT($C$5,2)&amp;"输出",标准坦克设计!$B$23:$U$23,0)))*(VLOOKUP($B141,INDIRECT($B$5&amp;"生成成长"),3))*(VLOOKUP($B$5,标准坦克设计!$B$14:$K$20,9)/30))</f>
        <v>10.047902540257654</v>
      </c>
      <c r="AL141" s="173">
        <f ca="1">(VLOOKUP(AL$72,INDIRECT($C$5&amp;"生成成长"),2))/((VLOOKUP($B141,INDIRECT($B$5&amp;"生成成长"),4))/(VLOOKUP(AL$72,INDIRECT($C$5&amp;"生成成长"),5))*(VLOOKUP($B$5,标准坦克设计!$B$24:$U$30,MATCH("对"&amp;LEFT($C$5,2)&amp;"输出",标准坦克设计!$B$23:$U$23,0)))*(VLOOKUP($B141,INDIRECT($B$5&amp;"生成成长"),3))*(VLOOKUP($B$5,标准坦克设计!$B$14:$K$20,9)/30))</f>
        <v>10.916094829276071</v>
      </c>
      <c r="AM141" s="173">
        <f ca="1">(VLOOKUP(AM$72,INDIRECT($C$5&amp;"生成成长"),2))/((VLOOKUP($B141,INDIRECT($B$5&amp;"生成成长"),4))/(VLOOKUP(AM$72,INDIRECT($C$5&amp;"生成成长"),5))*(VLOOKUP($B$5,标准坦克设计!$B$24:$U$30,MATCH("对"&amp;LEFT($C$5,2)&amp;"输出",标准坦克设计!$B$23:$U$23,0)))*(VLOOKUP($B141,INDIRECT($B$5&amp;"生成成长"),3))*(VLOOKUP($B$5,标准坦克设计!$B$14:$K$20,9)/30))</f>
        <v>11.820257420287714</v>
      </c>
      <c r="AN141" s="173">
        <f ca="1">(VLOOKUP(AN$72,INDIRECT($C$5&amp;"生成成长"),2))/((VLOOKUP($B141,INDIRECT($B$5&amp;"生成成长"),4))/(VLOOKUP(AN$72,INDIRECT($C$5&amp;"生成成长"),5))*(VLOOKUP($B$5,标准坦克设计!$B$24:$U$30,MATCH("对"&amp;LEFT($C$5,2)&amp;"输出",标准坦克设计!$B$23:$U$23,0)))*(VLOOKUP($B141,INDIRECT($B$5&amp;"生成成长"),3))*(VLOOKUP($B$5,标准坦克设计!$B$14:$K$20,9)/30))</f>
        <v>12.760390313292591</v>
      </c>
      <c r="AO141" s="173">
        <f ca="1">(VLOOKUP(AO$72,INDIRECT($C$5&amp;"生成成长"),2))/((VLOOKUP($B141,INDIRECT($B$5&amp;"生成成长"),4))/(VLOOKUP(AO$72,INDIRECT($C$5&amp;"生成成长"),5))*(VLOOKUP($B$5,标准坦克设计!$B$24:$U$30,MATCH("对"&amp;LEFT($C$5,2)&amp;"输出",标准坦克设计!$B$23:$U$23,0)))*(VLOOKUP($B141,INDIRECT($B$5&amp;"生成成长"),3))*(VLOOKUP($B$5,标准坦克设计!$B$14:$K$20,9)/30))</f>
        <v>13.7364935082907</v>
      </c>
      <c r="AP141" s="173">
        <f ca="1">(VLOOKUP(AP$72,INDIRECT($C$5&amp;"生成成长"),2))/((VLOOKUP($B141,INDIRECT($B$5&amp;"生成成长"),4))/(VLOOKUP(AP$72,INDIRECT($C$5&amp;"生成成长"),5))*(VLOOKUP($B$5,标准坦克设计!$B$24:$U$30,MATCH("对"&amp;LEFT($C$5,2)&amp;"输出",标准坦克设计!$B$23:$U$23,0)))*(VLOOKUP($B141,INDIRECT($B$5&amp;"生成成长"),3))*(VLOOKUP($B$5,标准坦克设计!$B$14:$K$20,9)/30))</f>
        <v>14.748567005282032</v>
      </c>
      <c r="AQ141" s="173">
        <f ca="1">(VLOOKUP(AQ$72,INDIRECT($C$5&amp;"生成成长"),2))/((VLOOKUP($B141,INDIRECT($B$5&amp;"生成成长"),4))/(VLOOKUP(AQ$72,INDIRECT($C$5&amp;"生成成长"),5))*(VLOOKUP($B$5,标准坦克设计!$B$24:$U$30,MATCH("对"&amp;LEFT($C$5,2)&amp;"输出",标准坦克设计!$B$23:$U$23,0)))*(VLOOKUP($B141,INDIRECT($B$5&amp;"生成成长"),3))*(VLOOKUP($B$5,标准坦克设计!$B$14:$K$20,9)/30))</f>
        <v>15.796610804266603</v>
      </c>
      <c r="AR141" s="173">
        <f ca="1">(VLOOKUP(AR$72,INDIRECT($C$5&amp;"生成成长"),2))/((VLOOKUP($B141,INDIRECT($B$5&amp;"生成成长"),4))/(VLOOKUP(AR$72,INDIRECT($C$5&amp;"生成成长"),5))*(VLOOKUP($B$5,标准坦克设计!$B$24:$U$30,MATCH("对"&amp;LEFT($C$5,2)&amp;"输出",标准坦克设计!$B$23:$U$23,0)))*(VLOOKUP($B141,INDIRECT($B$5&amp;"生成成长"),3))*(VLOOKUP($B$5,标准坦克设计!$B$14:$K$20,9)/30))</f>
        <v>16.8806249052444</v>
      </c>
      <c r="AS141" s="173">
        <f ca="1">(VLOOKUP(AS$72,INDIRECT($C$5&amp;"生成成长"),2))/((VLOOKUP($B141,INDIRECT($B$5&amp;"生成成长"),4))/(VLOOKUP(AS$72,INDIRECT($C$5&amp;"生成成长"),5))*(VLOOKUP($B$5,标准坦克设计!$B$24:$U$30,MATCH("对"&amp;LEFT($C$5,2)&amp;"输出",标准坦克设计!$B$23:$U$23,0)))*(VLOOKUP($B141,INDIRECT($B$5&amp;"生成成长"),3))*(VLOOKUP($B$5,标准坦克设计!$B$14:$K$20,9)/30))</f>
        <v>18.000609308215427</v>
      </c>
      <c r="AT141" s="173">
        <f ca="1">(VLOOKUP(AT$72,INDIRECT($C$5&amp;"生成成长"),2))/((VLOOKUP($B141,INDIRECT($B$5&amp;"生成成长"),4))/(VLOOKUP(AT$72,INDIRECT($C$5&amp;"生成成长"),5))*(VLOOKUP($B$5,标准坦克设计!$B$24:$U$30,MATCH("对"&amp;LEFT($C$5,2)&amp;"输出",标准坦克设计!$B$23:$U$23,0)))*(VLOOKUP($B141,INDIRECT($B$5&amp;"生成成长"),3))*(VLOOKUP($B$5,标准坦克设计!$B$14:$K$20,9)/30))</f>
        <v>19.156564013179683</v>
      </c>
      <c r="AU141" s="173">
        <f ca="1">(VLOOKUP(AU$72,INDIRECT($C$5&amp;"生成成长"),2))/((VLOOKUP($B141,INDIRECT($B$5&amp;"生成成长"),4))/(VLOOKUP(AU$72,INDIRECT($C$5&amp;"生成成长"),5))*(VLOOKUP($B$5,标准坦克设计!$B$24:$U$30,MATCH("对"&amp;LEFT($C$5,2)&amp;"输出",标准坦克设计!$B$23:$U$23,0)))*(VLOOKUP($B141,INDIRECT($B$5&amp;"生成成长"),3))*(VLOOKUP($B$5,标准坦克设计!$B$14:$K$20,9)/30))</f>
        <v>20.348489020137169</v>
      </c>
      <c r="AV141" s="173">
        <f ca="1">(VLOOKUP(AV$72,INDIRECT($C$5&amp;"生成成长"),2))/((VLOOKUP($B141,INDIRECT($B$5&amp;"生成成长"),4))/(VLOOKUP(AV$72,INDIRECT($C$5&amp;"生成成长"),5))*(VLOOKUP($B$5,标准坦克设计!$B$24:$U$30,MATCH("对"&amp;LEFT($C$5,2)&amp;"输出",标准坦克设计!$B$23:$U$23,0)))*(VLOOKUP($B141,INDIRECT($B$5&amp;"生成成长"),3))*(VLOOKUP($B$5,标准坦克设计!$B$14:$K$20,9)/30))</f>
        <v>2.069630103114608</v>
      </c>
      <c r="AW141" s="173">
        <f ca="1">(VLOOKUP(AW$72,INDIRECT($C$5&amp;"生成成长"),2))/((VLOOKUP($B141,INDIRECT($B$5&amp;"生成成长"),4))/(VLOOKUP(AW$72,INDIRECT($C$5&amp;"生成成长"),5))*(VLOOKUP($B$5,标准坦克设计!$B$24:$U$30,MATCH("对"&amp;LEFT($C$5,2)&amp;"输出",标准坦克设计!$B$23:$U$23,0)))*(VLOOKUP($B141,INDIRECT($B$5&amp;"生成成长"),3))*(VLOOKUP($B$5,标准坦克设计!$B$14:$K$20,9)/30))</f>
        <v>2.359770720845126</v>
      </c>
      <c r="AX141" s="173">
        <f ca="1">(VLOOKUP(AX$72,INDIRECT($C$5&amp;"生成成长"),2))/((VLOOKUP($B141,INDIRECT($B$5&amp;"生成成长"),4))/(VLOOKUP(AX$72,INDIRECT($C$5&amp;"生成成长"),5))*(VLOOKUP($B$5,标准坦克设计!$B$24:$U$30,MATCH("对"&amp;LEFT($C$5,2)&amp;"输出",标准坦克设计!$B$23:$U$23,0)))*(VLOOKUP($B141,INDIRECT($B$5&amp;"生成成长"),3))*(VLOOKUP($B$5,标准坦克设计!$B$14:$K$20,9)/30))</f>
        <v>2.6689369528530533</v>
      </c>
      <c r="AY141" s="173">
        <f ca="1">(VLOOKUP(AY$72,INDIRECT($C$5&amp;"生成成长"),2))/((VLOOKUP($B141,INDIRECT($B$5&amp;"生成成长"),4))/(VLOOKUP(AY$72,INDIRECT($C$5&amp;"生成成长"),5))*(VLOOKUP($B$5,标准坦克设计!$B$24:$U$30,MATCH("对"&amp;LEFT($C$5,2)&amp;"输出",标准坦克设计!$B$23:$U$23,0)))*(VLOOKUP($B141,INDIRECT($B$5&amp;"生成成长"),3))*(VLOOKUP($B$5,标准坦克设计!$B$14:$K$20,9)/30))</f>
        <v>2.9971287991383919</v>
      </c>
      <c r="AZ141" s="173">
        <f ca="1">(VLOOKUP(AZ$72,INDIRECT($C$5&amp;"生成成长"),2))/((VLOOKUP($B141,INDIRECT($B$5&amp;"生成成长"),4))/(VLOOKUP(AZ$72,INDIRECT($C$5&amp;"生成成长"),5))*(VLOOKUP($B$5,标准坦克设计!$B$24:$U$30,MATCH("对"&amp;LEFT($C$5,2)&amp;"输出",标准坦克设计!$B$23:$U$23,0)))*(VLOOKUP($B141,INDIRECT($B$5&amp;"生成成长"),3))*(VLOOKUP($B$5,标准坦克设计!$B$14:$K$20,9)/30))</f>
        <v>3.3443462597011417</v>
      </c>
      <c r="BA141" s="173">
        <f ca="1">(VLOOKUP(BA$72,INDIRECT($C$5&amp;"生成成长"),2))/((VLOOKUP($B141,INDIRECT($B$5&amp;"生成成长"),4))/(VLOOKUP(BA$72,INDIRECT($C$5&amp;"生成成长"),5))*(VLOOKUP($B$5,标准坦克设计!$B$24:$U$30,MATCH("对"&amp;LEFT($C$5,2)&amp;"输出",标准坦克设计!$B$23:$U$23,0)))*(VLOOKUP($B141,INDIRECT($B$5&amp;"生成成长"),3))*(VLOOKUP($B$5,标准坦克设计!$B$14:$K$20,9)/30))</f>
        <v>3.7105893345413028</v>
      </c>
      <c r="BB141" s="173">
        <f ca="1">(VLOOKUP(BB$72,INDIRECT($C$5&amp;"生成成长"),2))/((VLOOKUP($B141,INDIRECT($B$5&amp;"生成成长"),4))/(VLOOKUP(BB$72,INDIRECT($C$5&amp;"生成成长"),5))*(VLOOKUP($B$5,标准坦克设计!$B$24:$U$30,MATCH("对"&amp;LEFT($C$5,2)&amp;"输出",标准坦克设计!$B$23:$U$23,0)))*(VLOOKUP($B141,INDIRECT($B$5&amp;"生成成长"),3))*(VLOOKUP($B$5,标准坦克设计!$B$14:$K$20,9)/30))</f>
        <v>4.0958580236588729</v>
      </c>
      <c r="BC141" s="173">
        <f ca="1">(VLOOKUP(BC$72,INDIRECT($C$5&amp;"生成成长"),2))/((VLOOKUP($B141,INDIRECT($B$5&amp;"生成成长"),4))/(VLOOKUP(BC$72,INDIRECT($C$5&amp;"生成成长"),5))*(VLOOKUP($B$5,标准坦克设计!$B$24:$U$30,MATCH("对"&amp;LEFT($C$5,2)&amp;"输出",标准坦克设计!$B$23:$U$23,0)))*(VLOOKUP($B141,INDIRECT($B$5&amp;"生成成长"),3))*(VLOOKUP($B$5,标准坦克设计!$B$14:$K$20,9)/30))</f>
        <v>4.5001523270538568</v>
      </c>
      <c r="BD141" s="173">
        <f ca="1">(VLOOKUP(BD$72,INDIRECT($C$5&amp;"生成成长"),2))/((VLOOKUP($B141,INDIRECT($B$5&amp;"生成成长"),4))/(VLOOKUP(BD$72,INDIRECT($C$5&amp;"生成成长"),5))*(VLOOKUP($B$5,标准坦克设计!$B$24:$U$30,MATCH("对"&amp;LEFT($C$5,2)&amp;"输出",标准坦克设计!$B$23:$U$23,0)))*(VLOOKUP($B141,INDIRECT($B$5&amp;"生成成长"),3))*(VLOOKUP($B$5,标准坦克设计!$B$14:$K$20,9)/30))</f>
        <v>4.9777249729391801</v>
      </c>
      <c r="BE141" s="173">
        <f ca="1">(VLOOKUP(BE$72,INDIRECT($C$5&amp;"生成成长"),2))/((VLOOKUP($B141,INDIRECT($B$5&amp;"生成成长"),4))/(VLOOKUP(BE$72,INDIRECT($C$5&amp;"生成成长"),5))*(VLOOKUP($B$5,标准坦克设计!$B$24:$U$30,MATCH("对"&amp;LEFT($C$5,2)&amp;"输出",标准坦克设计!$B$23:$U$23,0)))*(VLOOKUP($B141,INDIRECT($B$5&amp;"生成成长"),3))*(VLOOKUP($B$5,标准坦克设计!$B$14:$K$20,9)/30))</f>
        <v>5.4793769118943505</v>
      </c>
      <c r="BF141" s="173">
        <f ca="1">(VLOOKUP(BF$72,INDIRECT($C$5&amp;"生成成长"),2))/((VLOOKUP($B141,INDIRECT($B$5&amp;"生成成长"),4))/(VLOOKUP(BF$72,INDIRECT($C$5&amp;"生成成长"),5))*(VLOOKUP($B$5,标准坦克设计!$B$24:$U$30,MATCH("对"&amp;LEFT($C$5,2)&amp;"输出",标准坦克设计!$B$23:$U$23,0)))*(VLOOKUP($B141,INDIRECT($B$5&amp;"生成成长"),3))*(VLOOKUP($B$5,标准坦克设计!$B$14:$K$20,9)/30))</f>
        <v>6.0051081439193688</v>
      </c>
      <c r="BG141" s="173">
        <f ca="1">(VLOOKUP(BG$72,INDIRECT($C$5&amp;"生成成长"),2))/((VLOOKUP($B141,INDIRECT($B$5&amp;"生成成长"),4))/(VLOOKUP(BG$72,INDIRECT($C$5&amp;"生成成长"),5))*(VLOOKUP($B$5,标准坦克设计!$B$24:$U$30,MATCH("对"&amp;LEFT($C$5,2)&amp;"输出",标准坦克设计!$B$23:$U$23,0)))*(VLOOKUP($B141,INDIRECT($B$5&amp;"生成成长"),3))*(VLOOKUP($B$5,标准坦克设计!$B$14:$K$20,9)/30))</f>
        <v>6.5549186690142376</v>
      </c>
      <c r="BH141" s="173">
        <f ca="1">(VLOOKUP(BH$72,INDIRECT($C$5&amp;"生成成长"),2))/((VLOOKUP($B141,INDIRECT($B$5&amp;"生成成长"),4))/(VLOOKUP(BH$72,INDIRECT($C$5&amp;"生成成长"),5))*(VLOOKUP($B$5,标准坦克设计!$B$24:$U$30,MATCH("对"&amp;LEFT($C$5,2)&amp;"输出",标准坦克设计!$B$23:$U$23,0)))*(VLOOKUP($B141,INDIRECT($B$5&amp;"生成成长"),3))*(VLOOKUP($B$5,标准坦克设计!$B$14:$K$20,9)/30))</f>
        <v>3.1683593276350903</v>
      </c>
      <c r="BI141" s="173">
        <f ca="1">(VLOOKUP(BI$72,INDIRECT($C$5&amp;"生成成长"),2))/((VLOOKUP($B141,INDIRECT($B$5&amp;"生成成长"),4))/(VLOOKUP(BI$72,INDIRECT($C$5&amp;"生成成长"),5))*(VLOOKUP($B$5,标准坦克设计!$B$24:$U$30,MATCH("对"&amp;LEFT($C$5,2)&amp;"输出",标准坦克设计!$B$23:$U$23,0)))*(VLOOKUP($B141,INDIRECT($B$5&amp;"生成成长"),3))*(VLOOKUP($B$5,标准坦克设计!$B$14:$K$20,9)/30))</f>
        <v>3.5710186173031082</v>
      </c>
      <c r="BJ141" s="173">
        <f ca="1">(VLOOKUP(BJ$72,INDIRECT($C$5&amp;"生成成长"),2))/((VLOOKUP($B141,INDIRECT($B$5&amp;"生成成长"),4))/(VLOOKUP(BJ$72,INDIRECT($C$5&amp;"生成成长"),5))*(VLOOKUP($B$5,标准坦克设计!$B$24:$U$30,MATCH("对"&amp;LEFT($C$5,2)&amp;"输出",标准坦克设计!$B$23:$U$23,0)))*(VLOOKUP($B141,INDIRECT($B$5&amp;"生成成长"),3))*(VLOOKUP($B$5,标准坦克设计!$B$14:$K$20,9)/30))</f>
        <v>3.9977572000409736</v>
      </c>
      <c r="BK141" s="173">
        <f ca="1">(VLOOKUP(BK$72,INDIRECT($C$5&amp;"生成成长"),2))/((VLOOKUP($B141,INDIRECT($B$5&amp;"生成成长"),4))/(VLOOKUP(BK$72,INDIRECT($C$5&amp;"生成成长"),5))*(VLOOKUP($B$5,标准坦克设计!$B$24:$U$30,MATCH("对"&amp;LEFT($C$5,2)&amp;"输出",标准坦克设计!$B$23:$U$23,0)))*(VLOOKUP($B141,INDIRECT($B$5&amp;"生成成长"),3))*(VLOOKUP($B$5,标准坦克设计!$B$14:$K$20,9)/30))</f>
        <v>4.4485750758486882</v>
      </c>
      <c r="BL141" s="173">
        <f ca="1">(VLOOKUP(BL$72,INDIRECT($C$5&amp;"生成成长"),2))/((VLOOKUP($B141,INDIRECT($B$5&amp;"生成成长"),4))/(VLOOKUP(BL$72,INDIRECT($C$5&amp;"生成成长"),5))*(VLOOKUP($B$5,标准坦克设计!$B$24:$U$30,MATCH("对"&amp;LEFT($C$5,2)&amp;"输出",标准坦克设计!$B$23:$U$23,0)))*(VLOOKUP($B141,INDIRECT($B$5&amp;"生成成长"),3))*(VLOOKUP($B$5,标准坦克设计!$B$14:$K$20,9)/30))</f>
        <v>4.9234722447262493</v>
      </c>
      <c r="BM141" s="173">
        <f ca="1">(VLOOKUP(BM$72,INDIRECT($C$5&amp;"生成成长"),2))/((VLOOKUP($B141,INDIRECT($B$5&amp;"生成成长"),4))/(VLOOKUP(BM$72,INDIRECT($C$5&amp;"生成成长"),5))*(VLOOKUP($B$5,标准坦克设计!$B$24:$U$30,MATCH("对"&amp;LEFT($C$5,2)&amp;"输出",标准坦克设计!$B$23:$U$23,0)))*(VLOOKUP($B141,INDIRECT($B$5&amp;"生成成长"),3))*(VLOOKUP($B$5,标准坦克设计!$B$14:$K$20,9)/30))</f>
        <v>5.4224487066736593</v>
      </c>
      <c r="BN141" s="173">
        <f ca="1">(VLOOKUP(BN$72,INDIRECT($C$5&amp;"生成成长"),2))/((VLOOKUP($B141,INDIRECT($B$5&amp;"生成成长"),4))/(VLOOKUP(BN$72,INDIRECT($C$5&amp;"生成成长"),5))*(VLOOKUP($B$5,标准坦克设计!$B$24:$U$30,MATCH("对"&amp;LEFT($C$5,2)&amp;"输出",标准坦克设计!$B$23:$U$23,0)))*(VLOOKUP($B141,INDIRECT($B$5&amp;"生成成长"),3))*(VLOOKUP($B$5,标准坦克设计!$B$14:$K$20,9)/30))</f>
        <v>5.9455044616909181</v>
      </c>
      <c r="BO141" s="173">
        <f ca="1">(VLOOKUP(BO$72,INDIRECT($C$5&amp;"生成成长"),2))/((VLOOKUP($B141,INDIRECT($B$5&amp;"生成成长"),4))/(VLOOKUP(BO$72,INDIRECT($C$5&amp;"生成成长"),5))*(VLOOKUP($B$5,标准坦克设计!$B$24:$U$30,MATCH("对"&amp;LEFT($C$5,2)&amp;"输出",标准坦克设计!$B$23:$U$23,0)))*(VLOOKUP($B141,INDIRECT($B$5&amp;"生成成长"),3))*(VLOOKUP($B$5,标准坦克设计!$B$14:$K$20,9)/30))</f>
        <v>6.4926395097780247</v>
      </c>
      <c r="BP141" s="173">
        <f ca="1">(VLOOKUP(BP$72,INDIRECT($C$5&amp;"生成成长"),2))/((VLOOKUP($B141,INDIRECT($B$5&amp;"生成成长"),4))/(VLOOKUP(BP$72,INDIRECT($C$5&amp;"生成成长"),5))*(VLOOKUP($B$5,标准坦克设计!$B$24:$U$30,MATCH("对"&amp;LEFT($C$5,2)&amp;"输出",标准坦克设计!$B$23:$U$23,0)))*(VLOOKUP($B141,INDIRECT($B$5&amp;"生成成长"),3))*(VLOOKUP($B$5,标准坦克设计!$B$14:$K$20,9)/30))</f>
        <v>7.0638538509349802</v>
      </c>
      <c r="BQ141" s="173">
        <f ca="1">(VLOOKUP(BQ$72,INDIRECT($C$5&amp;"生成成长"),2))/((VLOOKUP($B141,INDIRECT($B$5&amp;"生成成长"),4))/(VLOOKUP(BQ$72,INDIRECT($C$5&amp;"生成成长"),5))*(VLOOKUP($B$5,标准坦克设计!$B$24:$U$30,MATCH("对"&amp;LEFT($C$5,2)&amp;"输出",标准坦克设计!$B$23:$U$23,0)))*(VLOOKUP($B141,INDIRECT($B$5&amp;"生成成长"),3))*(VLOOKUP($B$5,标准坦克设计!$B$14:$K$20,9)/30))</f>
        <v>7.6591474851617827</v>
      </c>
      <c r="BR141" s="173">
        <f ca="1">(VLOOKUP(BR$72,INDIRECT($C$5&amp;"生成成长"),2))/((VLOOKUP($B141,INDIRECT($B$5&amp;"生成成长"),4))/(VLOOKUP(BR$72,INDIRECT($C$5&amp;"生成成长"),5))*(VLOOKUP($B$5,标准坦克设计!$B$24:$U$30,MATCH("对"&amp;LEFT($C$5,2)&amp;"输出",标准坦克设计!$B$23:$U$23,0)))*(VLOOKUP($B141,INDIRECT($B$5&amp;"生成成长"),3))*(VLOOKUP($B$5,标准坦克设计!$B$14:$K$20,9)/30))</f>
        <v>8.3488260027179297</v>
      </c>
      <c r="BS141" s="173">
        <f ca="1">(VLOOKUP(BS$72,INDIRECT($C$5&amp;"生成成长"),2))/((VLOOKUP($B141,INDIRECT($B$5&amp;"生成成长"),4))/(VLOOKUP(BS$72,INDIRECT($C$5&amp;"生成成长"),5))*(VLOOKUP($B$5,标准坦克设计!$B$24:$U$30,MATCH("对"&amp;LEFT($C$5,2)&amp;"输出",标准坦克设计!$B$23:$U$23,0)))*(VLOOKUP($B141,INDIRECT($B$5&amp;"生成成长"),3))*(VLOOKUP($B$5,标准坦克设计!$B$14:$K$20,9)/30))</f>
        <v>9.0682320425825313</v>
      </c>
      <c r="BT141" s="173">
        <f ca="1">(VLOOKUP(BT$72,INDIRECT($C$5&amp;"生成成长"),2))/((VLOOKUP($B141,INDIRECT($B$5&amp;"生成成长"),4))/(VLOOKUP(BT$72,INDIRECT($C$5&amp;"生成成长"),5))*(VLOOKUP($B$5,标准坦克设计!$B$24:$U$30,MATCH("对"&amp;LEFT($C$5,2)&amp;"输出",标准坦克设计!$B$23:$U$23,0)))*(VLOOKUP($B141,INDIRECT($B$5&amp;"生成成长"),3))*(VLOOKUP($B$5,标准坦克设计!$B$14:$K$20,9)/30))</f>
        <v>9.8173656047555866</v>
      </c>
      <c r="BU141" s="173">
        <f ca="1">(VLOOKUP(BU$72,INDIRECT($C$5&amp;"生成成长"),2))/((VLOOKUP($B141,INDIRECT($B$5&amp;"生成成长"),4))/(VLOOKUP(BU$72,INDIRECT($C$5&amp;"生成成长"),5))*(VLOOKUP($B$5,标准坦克设计!$B$24:$U$30,MATCH("对"&amp;LEFT($C$5,2)&amp;"输出",标准坦克设计!$B$23:$U$23,0)))*(VLOOKUP($B141,INDIRECT($B$5&amp;"生成成长"),3))*(VLOOKUP($B$5,标准坦克设计!$B$14:$K$20,9)/30))</f>
        <v>10.596226689237096</v>
      </c>
      <c r="BV141" s="173">
        <f ca="1">(VLOOKUP(BV$72,INDIRECT($C$5&amp;"生成成长"),2))/((VLOOKUP($B141,INDIRECT($B$5&amp;"生成成长"),4))/(VLOOKUP(BV$72,INDIRECT($C$5&amp;"生成成长"),5))*(VLOOKUP($B$5,标准坦克设计!$B$24:$U$30,MATCH("对"&amp;LEFT($C$5,2)&amp;"输出",标准坦克设计!$B$23:$U$23,0)))*(VLOOKUP($B141,INDIRECT($B$5&amp;"生成成长"),3))*(VLOOKUP($B$5,标准坦克设计!$B$14:$K$20,9)/30))</f>
        <v>11.404815296027062</v>
      </c>
      <c r="BW141" s="173">
        <f ca="1">(VLOOKUP(BW$72,INDIRECT($C$5&amp;"生成成长"),2))/((VLOOKUP($B141,INDIRECT($B$5&amp;"生成成长"),4))/(VLOOKUP(BW$72,INDIRECT($C$5&amp;"生成成长"),5))*(VLOOKUP($B$5,标准坦克设计!$B$24:$U$30,MATCH("对"&amp;LEFT($C$5,2)&amp;"输出",标准坦克设计!$B$23:$U$23,0)))*(VLOOKUP($B141,INDIRECT($B$5&amp;"生成成长"),3))*(VLOOKUP($B$5,标准坦克设计!$B$14:$K$20,9)/30))</f>
        <v>5.1977086380217434</v>
      </c>
      <c r="BX141" s="173">
        <f ca="1">(VLOOKUP(BX$72,INDIRECT($C$5&amp;"生成成长"),2))/((VLOOKUP($B141,INDIRECT($B$5&amp;"生成成长"),4))/(VLOOKUP(BX$72,INDIRECT($C$5&amp;"生成成长"),5))*(VLOOKUP($B$5,标准坦克设计!$B$24:$U$30,MATCH("对"&amp;LEFT($C$5,2)&amp;"输出",标准坦克设计!$B$23:$U$23,0)))*(VLOOKUP($B141,INDIRECT($B$5&amp;"生成成长"),3))*(VLOOKUP($B$5,标准坦克设计!$B$14:$K$20,9)/30))</f>
        <v>5.7684770663440714</v>
      </c>
      <c r="BY141" s="173">
        <f ca="1">(VLOOKUP(BY$72,INDIRECT($C$5&amp;"生成成长"),2))/((VLOOKUP($B141,INDIRECT($B$5&amp;"生成成长"),4))/(VLOOKUP(BY$72,INDIRECT($C$5&amp;"生成成长"),5))*(VLOOKUP($B$5,标准坦克设计!$B$24:$U$30,MATCH("对"&amp;LEFT($C$5,2)&amp;"输出",标准坦克设计!$B$23:$U$23,0)))*(VLOOKUP($B141,INDIRECT($B$5&amp;"生成成长"),3))*(VLOOKUP($B$5,标准坦克设计!$B$14:$K$20,9)/30))</f>
        <v>6.3689730169748549</v>
      </c>
      <c r="BZ141" s="173">
        <f ca="1">(VLOOKUP(BZ$72,INDIRECT($C$5&amp;"生成成长"),2))/((VLOOKUP($B141,INDIRECT($B$5&amp;"生成成长"),4))/(VLOOKUP(BZ$72,INDIRECT($C$5&amp;"生成成长"),5))*(VLOOKUP($B$5,标准坦克设计!$B$24:$U$30,MATCH("对"&amp;LEFT($C$5,2)&amp;"输出",标准坦克设计!$B$23:$U$23,0)))*(VLOOKUP($B141,INDIRECT($B$5&amp;"生成成长"),3))*(VLOOKUP($B$5,标准坦克设计!$B$14:$K$20,9)/30))</f>
        <v>6.9991964899140902</v>
      </c>
      <c r="CA141" s="173">
        <f ca="1">(VLOOKUP(CA$72,INDIRECT($C$5&amp;"生成成长"),2))/((VLOOKUP($B141,INDIRECT($B$5&amp;"生成成长"),4))/(VLOOKUP(CA$72,INDIRECT($C$5&amp;"生成成长"),5))*(VLOOKUP($B$5,标准坦克设计!$B$24:$U$30,MATCH("对"&amp;LEFT($C$5,2)&amp;"输出",标准坦克设计!$B$23:$U$23,0)))*(VLOOKUP($B141,INDIRECT($B$5&amp;"生成成长"),3))*(VLOOKUP($B$5,标准坦克设计!$B$14:$K$20,9)/30))</f>
        <v>7.6591474851617827</v>
      </c>
      <c r="CB141" s="173">
        <f ca="1">(VLOOKUP(CB$72,INDIRECT($C$5&amp;"生成成长"),2))/((VLOOKUP($B141,INDIRECT($B$5&amp;"生成成长"),4))/(VLOOKUP(CB$72,INDIRECT($C$5&amp;"生成成长"),5))*(VLOOKUP($B$5,标准坦克设计!$B$24:$U$30,MATCH("对"&amp;LEFT($C$5,2)&amp;"输出",标准坦克设计!$B$23:$U$23,0)))*(VLOOKUP($B141,INDIRECT($B$5&amp;"生成成长"),3))*(VLOOKUP($B$5,标准坦克设计!$B$14:$K$20,9)/30))</f>
        <v>8.3488260027179297</v>
      </c>
      <c r="CC141" s="173">
        <f ca="1">(VLOOKUP(CC$72,INDIRECT($C$5&amp;"生成成长"),2))/((VLOOKUP($B141,INDIRECT($B$5&amp;"生成成长"),4))/(VLOOKUP(CC$72,INDIRECT($C$5&amp;"生成成长"),5))*(VLOOKUP($B$5,标准坦克设计!$B$24:$U$30,MATCH("对"&amp;LEFT($C$5,2)&amp;"输出",标准坦克设计!$B$23:$U$23,0)))*(VLOOKUP($B141,INDIRECT($B$5&amp;"生成成长"),3))*(VLOOKUP($B$5,标准坦克设计!$B$14:$K$20,9)/30))</f>
        <v>9.0682320425825313</v>
      </c>
      <c r="CD141" s="173">
        <f ca="1">(VLOOKUP(CD$72,INDIRECT($C$5&amp;"生成成长"),2))/((VLOOKUP($B141,INDIRECT($B$5&amp;"生成成长"),4))/(VLOOKUP(CD$72,INDIRECT($C$5&amp;"生成成长"),5))*(VLOOKUP($B$5,标准坦克设计!$B$24:$U$30,MATCH("对"&amp;LEFT($C$5,2)&amp;"输出",标准坦克设计!$B$23:$U$23,0)))*(VLOOKUP($B141,INDIRECT($B$5&amp;"生成成长"),3))*(VLOOKUP($B$5,标准坦克设计!$B$14:$K$20,9)/30))</f>
        <v>9.8173656047555866</v>
      </c>
      <c r="CE141" s="173">
        <f ca="1">(VLOOKUP(CE$72,INDIRECT($C$5&amp;"生成成长"),2))/((VLOOKUP($B141,INDIRECT($B$5&amp;"生成成长"),4))/(VLOOKUP(CE$72,INDIRECT($C$5&amp;"生成成长"),5))*(VLOOKUP($B$5,标准坦克设计!$B$24:$U$30,MATCH("对"&amp;LEFT($C$5,2)&amp;"输出",标准坦克设计!$B$23:$U$23,0)))*(VLOOKUP($B141,INDIRECT($B$5&amp;"生成成长"),3))*(VLOOKUP($B$5,标准坦克设计!$B$14:$K$20,9)/30))</f>
        <v>10.596226689237096</v>
      </c>
      <c r="CF141" s="173">
        <f ca="1">(VLOOKUP(CF$72,INDIRECT($C$5&amp;"生成成长"),2))/((VLOOKUP($B141,INDIRECT($B$5&amp;"生成成长"),4))/(VLOOKUP(CF$72,INDIRECT($C$5&amp;"生成成长"),5))*(VLOOKUP($B$5,标准坦克设计!$B$24:$U$30,MATCH("对"&amp;LEFT($C$5,2)&amp;"输出",标准坦克设计!$B$23:$U$23,0)))*(VLOOKUP($B141,INDIRECT($B$5&amp;"生成成长"),3))*(VLOOKUP($B$5,标准坦克设计!$B$14:$K$20,9)/30))</f>
        <v>11.404815296027062</v>
      </c>
      <c r="CG141" s="173">
        <f ca="1">(VLOOKUP(CG$72,INDIRECT($C$5&amp;"生成成长"),2))/((VLOOKUP($B141,INDIRECT($B$5&amp;"生成成长"),4))/(VLOOKUP(CG$72,INDIRECT($C$5&amp;"生成成长"),5))*(VLOOKUP($B$5,标准坦克设计!$B$24:$U$30,MATCH("对"&amp;LEFT($C$5,2)&amp;"输出",标准坦克设计!$B$23:$U$23,0)))*(VLOOKUP($B141,INDIRECT($B$5&amp;"生成成长"),3))*(VLOOKUP($B$5,标准坦克设计!$B$14:$K$20,9)/30))</f>
        <v>12.243131425125481</v>
      </c>
      <c r="CH141" s="173">
        <f ca="1">(VLOOKUP(CH$72,INDIRECT($C$5&amp;"生成成长"),2))/((VLOOKUP($B141,INDIRECT($B$5&amp;"生成成长"),4))/(VLOOKUP(CH$72,INDIRECT($C$5&amp;"生成成长"),5))*(VLOOKUP($B$5,标准坦克设计!$B$24:$U$30,MATCH("对"&amp;LEFT($C$5,2)&amp;"输出",标准坦克设计!$B$23:$U$23,0)))*(VLOOKUP($B141,INDIRECT($B$5&amp;"生成成长"),3))*(VLOOKUP($B$5,标准坦克设计!$B$14:$K$20,9)/30))</f>
        <v>13.111175076532355</v>
      </c>
      <c r="CI141" s="173">
        <f ca="1">(VLOOKUP(CI$72,INDIRECT($C$5&amp;"生成成长"),2))/((VLOOKUP($B141,INDIRECT($B$5&amp;"生成成长"),4))/(VLOOKUP(CI$72,INDIRECT($C$5&amp;"生成成长"),5))*(VLOOKUP($B$5,标准坦克设计!$B$24:$U$30,MATCH("对"&amp;LEFT($C$5,2)&amp;"输出",标准坦克设计!$B$23:$U$23,0)))*(VLOOKUP($B141,INDIRECT($B$5&amp;"生成成长"),3))*(VLOOKUP($B$5,标准坦克设计!$B$14:$K$20,9)/30))</f>
        <v>14.100358381346181</v>
      </c>
      <c r="CJ141" s="173">
        <f ca="1">(VLOOKUP(CJ$72,INDIRECT($C$5&amp;"生成成长"),2))/((VLOOKUP($B141,INDIRECT($B$5&amp;"生成成长"),4))/(VLOOKUP(CJ$72,INDIRECT($C$5&amp;"生成成长"),5))*(VLOOKUP($B$5,标准坦克设计!$B$24:$U$30,MATCH("对"&amp;LEFT($C$5,2)&amp;"输出",标准坦克设计!$B$23:$U$23,0)))*(VLOOKUP($B141,INDIRECT($B$5&amp;"生成成长"),3))*(VLOOKUP($B$5,标准坦克设计!$B$14:$K$20,9)/30))</f>
        <v>15.125511988153237</v>
      </c>
      <c r="CK141" s="173">
        <f ca="1">(VLOOKUP(CK$72,INDIRECT($C$5&amp;"生成成长"),2))/((VLOOKUP($B141,INDIRECT($B$5&amp;"生成成长"),4))/(VLOOKUP(CK$72,INDIRECT($C$5&amp;"生成成长"),5))*(VLOOKUP($B$5,标准坦克设计!$B$24:$U$30,MATCH("对"&amp;LEFT($C$5,2)&amp;"输出",标准坦克设计!$B$23:$U$23,0)))*(VLOOKUP($B141,INDIRECT($B$5&amp;"生成成长"),3))*(VLOOKUP($B$5,标准坦克设计!$B$14:$K$20,9)/30))</f>
        <v>16.186635896953526</v>
      </c>
      <c r="CL141" s="173">
        <f ca="1">(VLOOKUP(CL$72,INDIRECT($C$5&amp;"生成成长"),2))/((VLOOKUP($B141,INDIRECT($B$5&amp;"生成成长"),4))/(VLOOKUP(CL$72,INDIRECT($C$5&amp;"生成成长"),5))*(VLOOKUP($B$5,标准坦克设计!$B$24:$U$30,MATCH("对"&amp;LEFT($C$5,2)&amp;"输出",标准坦克设计!$B$23:$U$23,0)))*(VLOOKUP($B141,INDIRECT($B$5&amp;"生成成长"),3))*(VLOOKUP($B$5,标准坦克设计!$B$14:$K$20,9)/30))</f>
        <v>17.28373010774704</v>
      </c>
      <c r="CM141" s="173">
        <f ca="1">(VLOOKUP(CM$72,INDIRECT($C$5&amp;"生成成长"),2))/((VLOOKUP($B141,INDIRECT($B$5&amp;"生成成长"),4))/(VLOOKUP(CM$72,INDIRECT($C$5&amp;"生成成长"),5))*(VLOOKUP($B$5,标准坦克设计!$B$24:$U$30,MATCH("对"&amp;LEFT($C$5,2)&amp;"输出",标准坦克设计!$B$23:$U$23,0)))*(VLOOKUP($B141,INDIRECT($B$5&amp;"生成成长"),3))*(VLOOKUP($B$5,标准坦克设计!$B$14:$K$20,9)/30))</f>
        <v>18.416794620533793</v>
      </c>
      <c r="CN141" s="173">
        <f ca="1">(VLOOKUP(CN$72,INDIRECT($C$5&amp;"生成成长"),2))/((VLOOKUP($B141,INDIRECT($B$5&amp;"生成成长"),4))/(VLOOKUP(CN$72,INDIRECT($C$5&amp;"生成成长"),5))*(VLOOKUP($B$5,标准坦克设计!$B$24:$U$30,MATCH("对"&amp;LEFT($C$5,2)&amp;"输出",标准坦克设计!$B$23:$U$23,0)))*(VLOOKUP($B141,INDIRECT($B$5&amp;"生成成长"),3))*(VLOOKUP($B$5,标准坦克设计!$B$14:$K$20,9)/30))</f>
        <v>19.585829435313766</v>
      </c>
      <c r="CO141" s="173">
        <f ca="1">(VLOOKUP(CO$72,INDIRECT($C$5&amp;"生成成长"),2))/((VLOOKUP($B141,INDIRECT($B$5&amp;"生成成长"),4))/(VLOOKUP(CO$72,INDIRECT($C$5&amp;"生成成长"),5))*(VLOOKUP($B$5,标准坦克设计!$B$24:$U$30,MATCH("对"&amp;LEFT($C$5,2)&amp;"输出",标准坦克设计!$B$23:$U$23,0)))*(VLOOKUP($B141,INDIRECT($B$5&amp;"生成成长"),3))*(VLOOKUP($B$5,标准坦克设计!$B$14:$K$20,9)/30))</f>
        <v>8.7769023239596784</v>
      </c>
      <c r="CP141" s="173">
        <f ca="1">(VLOOKUP(CP$72,INDIRECT($C$5&amp;"生成成长"),2))/((VLOOKUP($B141,INDIRECT($B$5&amp;"生成成长"),4))/(VLOOKUP(CP$72,INDIRECT($C$5&amp;"生成成长"),5))*(VLOOKUP($B$5,标准坦克设计!$B$24:$U$30,MATCH("对"&amp;LEFT($C$5,2)&amp;"输出",标准坦克设计!$B$23:$U$23,0)))*(VLOOKUP($B141,INDIRECT($B$5&amp;"生成成长"),3))*(VLOOKUP($B$5,标准坦克设计!$B$14:$K$20,9)/30))</f>
        <v>9.589504146261282</v>
      </c>
      <c r="CQ141" s="173">
        <f ca="1">(VLOOKUP(CQ$72,INDIRECT($C$5&amp;"生成成长"),2))/((VLOOKUP($B141,INDIRECT($B$5&amp;"生成成长"),4))/(VLOOKUP(CQ$72,INDIRECT($C$5&amp;"生成成长"),5))*(VLOOKUP($B$5,标准坦克设计!$B$24:$U$30,MATCH("对"&amp;LEFT($C$5,2)&amp;"输出",标准坦克设计!$B$23:$U$23,0)))*(VLOOKUP($B141,INDIRECT($B$5&amp;"生成成长"),3))*(VLOOKUP($B$5,标准坦克设计!$B$14:$K$20,9)/30))</f>
        <v>10.438076270556119</v>
      </c>
      <c r="CR141" s="173">
        <f ca="1">(VLOOKUP(CR$72,INDIRECT($C$5&amp;"生成成长"),2))/((VLOOKUP($B141,INDIRECT($B$5&amp;"生成成长"),4))/(VLOOKUP(CR$72,INDIRECT($C$5&amp;"生成成长"),5))*(VLOOKUP($B$5,标准坦克设计!$B$24:$U$30,MATCH("对"&amp;LEFT($C$5,2)&amp;"输出",标准坦克设计!$B$23:$U$23,0)))*(VLOOKUP($B141,INDIRECT($B$5&amp;"生成成长"),3))*(VLOOKUP($B$5,标准坦克设计!$B$14:$K$20,9)/30))</f>
        <v>11.322618696844184</v>
      </c>
      <c r="CS141" s="173">
        <f ca="1">(VLOOKUP(CS$72,INDIRECT($C$5&amp;"生成成长"),2))/((VLOOKUP($B141,INDIRECT($B$5&amp;"生成成长"),4))/(VLOOKUP(CS$72,INDIRECT($C$5&amp;"生成成长"),5))*(VLOOKUP($B$5,标准坦克设计!$B$24:$U$30,MATCH("对"&amp;LEFT($C$5,2)&amp;"输出",标准坦克设计!$B$23:$U$23,0)))*(VLOOKUP($B141,INDIRECT($B$5&amp;"生成成长"),3))*(VLOOKUP($B$5,标准坦克设计!$B$14:$K$20,9)/30))</f>
        <v>12.243131425125481</v>
      </c>
      <c r="CT141" s="173">
        <f ca="1">(VLOOKUP(CT$72,INDIRECT($C$5&amp;"生成成长"),2))/((VLOOKUP($B141,INDIRECT($B$5&amp;"生成成长"),4))/(VLOOKUP(CT$72,INDIRECT($C$5&amp;"生成成长"),5))*(VLOOKUP($B$5,标准坦克设计!$B$24:$U$30,MATCH("对"&amp;LEFT($C$5,2)&amp;"输出",标准坦克设计!$B$23:$U$23,0)))*(VLOOKUP($B141,INDIRECT($B$5&amp;"生成成长"),3))*(VLOOKUP($B$5,标准坦克设计!$B$14:$K$20,9)/30))</f>
        <v>13.19961445540001</v>
      </c>
      <c r="CU141" s="173">
        <f ca="1">(VLOOKUP(CU$72,INDIRECT($C$5&amp;"生成成长"),2))/((VLOOKUP($B141,INDIRECT($B$5&amp;"生成成长"),4))/(VLOOKUP(CU$72,INDIRECT($C$5&amp;"生成成长"),5))*(VLOOKUP($B$5,标准坦克设计!$B$24:$U$30,MATCH("对"&amp;LEFT($C$5,2)&amp;"输出",标准坦克设计!$B$23:$U$23,0)))*(VLOOKUP($B141,INDIRECT($B$5&amp;"生成成长"),3))*(VLOOKUP($B$5,标准坦克设计!$B$14:$K$20,9)/30))</f>
        <v>14.192067787667762</v>
      </c>
      <c r="CV141" s="173">
        <f ca="1">(VLOOKUP(CV$72,INDIRECT($C$5&amp;"生成成长"),2))/((VLOOKUP($B141,INDIRECT($B$5&amp;"生成成长"),4))/(VLOOKUP(CV$72,INDIRECT($C$5&amp;"生成成长"),5))*(VLOOKUP($B$5,标准坦克设计!$B$24:$U$30,MATCH("对"&amp;LEFT($C$5,2)&amp;"输出",标准坦克设计!$B$23:$U$23,0)))*(VLOOKUP($B141,INDIRECT($B$5&amp;"生成成长"),3))*(VLOOKUP($B$5,标准坦克设计!$B$14:$K$20,9)/30))</f>
        <v>15.220491421928752</v>
      </c>
      <c r="CW141" s="173">
        <f ca="1">(VLOOKUP(CW$72,INDIRECT($C$5&amp;"生成成长"),2))/((VLOOKUP($B141,INDIRECT($B$5&amp;"生成成长"),4))/(VLOOKUP(CW$72,INDIRECT($C$5&amp;"生成成长"),5))*(VLOOKUP($B$5,标准坦克设计!$B$24:$U$30,MATCH("对"&amp;LEFT($C$5,2)&amp;"输出",标准坦克设计!$B$23:$U$23,0)))*(VLOOKUP($B141,INDIRECT($B$5&amp;"生成成长"),3))*(VLOOKUP($B$5,标准坦克设计!$B$14:$K$20,9)/30))</f>
        <v>16.284885358182965</v>
      </c>
      <c r="CX141" s="173">
        <f ca="1">(VLOOKUP(CX$72,INDIRECT($C$5&amp;"生成成长"),2))/((VLOOKUP($B141,INDIRECT($B$5&amp;"生成成长"),4))/(VLOOKUP(CX$72,INDIRECT($C$5&amp;"生成成长"),5))*(VLOOKUP($B$5,标准坦克设计!$B$24:$U$30,MATCH("对"&amp;LEFT($C$5,2)&amp;"输出",标准坦克设计!$B$23:$U$23,0)))*(VLOOKUP($B141,INDIRECT($B$5&amp;"生成成长"),3))*(VLOOKUP($B$5,标准坦克设计!$B$14:$K$20,9)/30))</f>
        <v>17.385249596430416</v>
      </c>
      <c r="CY141" s="173">
        <f ca="1">(VLOOKUP(CY$72,INDIRECT($C$5&amp;"生成成长"),2))/((VLOOKUP($B141,INDIRECT($B$5&amp;"生成成长"),4))/(VLOOKUP(CY$72,INDIRECT($C$5&amp;"生成成长"),5))*(VLOOKUP($B$5,标准坦克设计!$B$24:$U$30,MATCH("对"&amp;LEFT($C$5,2)&amp;"输出",标准坦克设计!$B$23:$U$23,0)))*(VLOOKUP($B141,INDIRECT($B$5&amp;"生成成长"),3))*(VLOOKUP($B$5,标准坦克设计!$B$14:$K$20,9)/30))</f>
        <v>18.521584136671091</v>
      </c>
      <c r="CZ141" s="173">
        <f ca="1">(VLOOKUP(CZ$72,INDIRECT($C$5&amp;"生成成长"),2))/((VLOOKUP($B141,INDIRECT($B$5&amp;"生成成长"),4))/(VLOOKUP(CZ$72,INDIRECT($C$5&amp;"生成成长"),5))*(VLOOKUP($B$5,标准坦克设计!$B$24:$U$30,MATCH("对"&amp;LEFT($C$5,2)&amp;"输出",标准坦克设计!$B$23:$U$23,0)))*(VLOOKUP($B141,INDIRECT($B$5&amp;"生成成长"),3))*(VLOOKUP($B$5,标准坦克设计!$B$14:$K$20,9)/30))</f>
        <v>19.693888978904997</v>
      </c>
      <c r="DA141" s="173">
        <f ca="1">(VLOOKUP(DA$72,INDIRECT($C$5&amp;"生成成长"),2))/((VLOOKUP($B141,INDIRECT($B$5&amp;"生成成长"),4))/(VLOOKUP(DA$72,INDIRECT($C$5&amp;"生成成长"),5))*(VLOOKUP($B$5,标准坦克设计!$B$24:$U$30,MATCH("对"&amp;LEFT($C$5,2)&amp;"输出",标准坦克设计!$B$23:$U$23,0)))*(VLOOKUP($B141,INDIRECT($B$5&amp;"生成成长"),3))*(VLOOKUP($B$5,标准坦克设计!$B$14:$K$20,9)/30))</f>
        <v>20.902164123132135</v>
      </c>
      <c r="DB141" s="173">
        <f ca="1">(VLOOKUP(DB$72,INDIRECT($C$5&amp;"生成成长"),2))/((VLOOKUP($B141,INDIRECT($B$5&amp;"生成成长"),4))/(VLOOKUP(DB$72,INDIRECT($C$5&amp;"生成成长"),5))*(VLOOKUP($B$5,标准坦克设计!$B$24:$U$30,MATCH("对"&amp;LEFT($C$5,2)&amp;"输出",标准坦克设计!$B$23:$U$23,0)))*(VLOOKUP($B141,INDIRECT($B$5&amp;"生成成长"),3))*(VLOOKUP($B$5,标准坦克设计!$B$14:$K$20,9)/30))</f>
        <v>22.1464095693525</v>
      </c>
      <c r="DC141" s="173">
        <f ca="1">(VLOOKUP(DC$72,INDIRECT($C$5&amp;"生成成长"),2))/((VLOOKUP($B141,INDIRECT($B$5&amp;"生成成长"),4))/(VLOOKUP(DC$72,INDIRECT($C$5&amp;"生成成长"),5))*(VLOOKUP($B$5,标准坦克设计!$B$24:$U$30,MATCH("对"&amp;LEFT($C$5,2)&amp;"输出",标准坦克设计!$B$23:$U$23,0)))*(VLOOKUP($B141,INDIRECT($B$5&amp;"生成成长"),3))*(VLOOKUP($B$5,标准坦克设计!$B$14:$K$20,9)/30))</f>
        <v>23.544792218742209</v>
      </c>
      <c r="DD141" s="173">
        <f ca="1">(VLOOKUP(DD$72,INDIRECT($C$5&amp;"生成成长"),2))/((VLOOKUP($B141,INDIRECT($B$5&amp;"生成成长"),4))/(VLOOKUP(DD$72,INDIRECT($C$5&amp;"生成成长"),5))*(VLOOKUP($B$5,标准坦克设计!$B$24:$U$30,MATCH("对"&amp;LEFT($C$5,2)&amp;"输出",标准坦克设计!$B$23:$U$23,0)))*(VLOOKUP($B141,INDIRECT($B$5&amp;"生成成长"),3))*(VLOOKUP($B$5,标准坦克设计!$B$14:$K$20,9)/30))</f>
        <v>24.985982500256085</v>
      </c>
      <c r="DE141" s="173">
        <f ca="1">(VLOOKUP(DE$72,INDIRECT($C$5&amp;"生成成长"),2))/((VLOOKUP($B141,INDIRECT($B$5&amp;"生成成长"),4))/(VLOOKUP(DE$72,INDIRECT($C$5&amp;"生成成长"),5))*(VLOOKUP($B$5,标准坦克设计!$B$24:$U$30,MATCH("对"&amp;LEFT($C$5,2)&amp;"输出",标准坦克设计!$B$23:$U$23,0)))*(VLOOKUP($B141,INDIRECT($B$5&amp;"生成成长"),3))*(VLOOKUP($B$5,标准坦克设计!$B$14:$K$20,9)/30))</f>
        <v>26.469980413894138</v>
      </c>
      <c r="DF141" s="173">
        <f ca="1">(VLOOKUP(DF$72,INDIRECT($C$5&amp;"生成成长"),2))/((VLOOKUP($B141,INDIRECT($B$5&amp;"生成成长"),4))/(VLOOKUP(DF$72,INDIRECT($C$5&amp;"生成成长"),5))*(VLOOKUP($B$5,标准坦克设计!$B$24:$U$30,MATCH("对"&amp;LEFT($C$5,2)&amp;"输出",标准坦克设计!$B$23:$U$23,0)))*(VLOOKUP($B141,INDIRECT($B$5&amp;"生成成长"),3))*(VLOOKUP($B$5,标准坦克设计!$B$14:$K$20,9)/30))</f>
        <v>27.996785959656361</v>
      </c>
      <c r="DG141" s="173">
        <f ca="1">(VLOOKUP(DG$72,INDIRECT($C$5&amp;"生成成长"),2))/((VLOOKUP($B141,INDIRECT($B$5&amp;"生成成长"),4))/(VLOOKUP(DG$72,INDIRECT($C$5&amp;"生成成长"),5))*(VLOOKUP($B$5,标准坦克设计!$B$24:$U$30,MATCH("对"&amp;LEFT($C$5,2)&amp;"输出",标准坦克设计!$B$23:$U$23,0)))*(VLOOKUP($B141,INDIRECT($B$5&amp;"生成成长"),3))*(VLOOKUP($B$5,标准坦克设计!$B$14:$K$20,9)/30))</f>
        <v>29.566399137542763</v>
      </c>
      <c r="DH141" s="173">
        <f ca="1">(VLOOKUP(DH$72,INDIRECT($C$5&amp;"生成成长"),2))/((VLOOKUP($B141,INDIRECT($B$5&amp;"生成成长"),4))/(VLOOKUP(DH$72,INDIRECT($C$5&amp;"生成成长"),5))*(VLOOKUP($B$5,标准坦克设计!$B$24:$U$30,MATCH("对"&amp;LEFT($C$5,2)&amp;"输出",标准坦克设计!$B$23:$U$23,0)))*(VLOOKUP($B141,INDIRECT($B$5&amp;"生成成长"),3))*(VLOOKUP($B$5,标准坦克设计!$B$14:$K$20,9)/30))</f>
        <v>31.178819947553343</v>
      </c>
      <c r="DI141" s="173">
        <f ca="1">(VLOOKUP(DI$72,INDIRECT($C$5&amp;"生成成长"),2))/((VLOOKUP($B141,INDIRECT($B$5&amp;"生成成长"),4))/(VLOOKUP(DI$72,INDIRECT($C$5&amp;"生成成长"),5))*(VLOOKUP($B$5,标准坦克设计!$B$24:$U$30,MATCH("对"&amp;LEFT($C$5,2)&amp;"输出",标准坦克设计!$B$23:$U$23,0)))*(VLOOKUP($B141,INDIRECT($B$5&amp;"生成成长"),3))*(VLOOKUP($B$5,标准坦克设计!$B$14:$K$20,9)/30))</f>
        <v>32.834048389688093</v>
      </c>
      <c r="DJ141" s="173">
        <f ca="1">(VLOOKUP(DJ$72,INDIRECT($C$5&amp;"生成成长"),2))/((VLOOKUP($B141,INDIRECT($B$5&amp;"生成成长"),4))/(VLOOKUP(DJ$72,INDIRECT($C$5&amp;"生成成长"),5))*(VLOOKUP($B$5,标准坦克设计!$B$24:$U$30,MATCH("对"&amp;LEFT($C$5,2)&amp;"输出",标准坦克设计!$B$23:$U$23,0)))*(VLOOKUP($B141,INDIRECT($B$5&amp;"生成成长"),3))*(VLOOKUP($B$5,标准坦克设计!$B$14:$K$20,9)/30))</f>
        <v>3.2999036138500024</v>
      </c>
      <c r="DK141" s="173">
        <f ca="1">(VLOOKUP(DK$72,INDIRECT($C$5&amp;"生成成长"),2))/((VLOOKUP($B141,INDIRECT($B$5&amp;"生成成长"),4))/(VLOOKUP(DK$72,INDIRECT($C$5&amp;"生成成长"),5))*(VLOOKUP($B$5,标准坦克设计!$B$24:$U$30,MATCH("对"&amp;LEFT($C$5,2)&amp;"输出",标准坦克设计!$B$23:$U$23,0)))*(VLOOKUP($B141,INDIRECT($B$5&amp;"生成成长"),3))*(VLOOKUP($B$5,标准坦克设计!$B$14:$K$20,9)/30))</f>
        <v>3.7105893345413028</v>
      </c>
      <c r="DL141" s="173">
        <f ca="1">(VLOOKUP(DL$72,INDIRECT($C$5&amp;"生成成长"),2))/((VLOOKUP($B141,INDIRECT($B$5&amp;"生成成长"),4))/(VLOOKUP(DL$72,INDIRECT($C$5&amp;"生成成长"),5))*(VLOOKUP($B$5,标准坦克设计!$B$24:$U$30,MATCH("对"&amp;LEFT($C$5,2)&amp;"输出",标准坦克设计!$B$23:$U$23,0)))*(VLOOKUP($B141,INDIRECT($B$5&amp;"生成成长"),3))*(VLOOKUP($B$5,标准坦克设计!$B$14:$K$20,9)/30))</f>
        <v>4.1453543483024511</v>
      </c>
      <c r="DM141" s="173">
        <f ca="1">(VLOOKUP(DM$72,INDIRECT($C$5&amp;"生成成长"),2))/((VLOOKUP($B141,INDIRECT($B$5&amp;"生成成长"),4))/(VLOOKUP(DM$72,INDIRECT($C$5&amp;"生成成长"),5))*(VLOOKUP($B$5,标准坦克设计!$B$24:$U$30,MATCH("对"&amp;LEFT($C$5,2)&amp;"输出",标准坦克设计!$B$23:$U$23,0)))*(VLOOKUP($B141,INDIRECT($B$5&amp;"生成成长"),3))*(VLOOKUP($B$5,标准坦克设计!$B$14:$K$20,9)/30))</f>
        <v>4.6041986551334482</v>
      </c>
      <c r="DN141" s="173">
        <f ca="1">(VLOOKUP(DN$72,INDIRECT($C$5&amp;"生成成长"),2))/((VLOOKUP($B141,INDIRECT($B$5&amp;"生成成长"),4))/(VLOOKUP(DN$72,INDIRECT($C$5&amp;"生成成长"),5))*(VLOOKUP($B$5,标准坦克设计!$B$24:$U$30,MATCH("对"&amp;LEFT($C$5,2)&amp;"输出",标准坦克设计!$B$23:$U$23,0)))*(VLOOKUP($B141,INDIRECT($B$5&amp;"生成成长"),3))*(VLOOKUP($B$5,标准坦克设计!$B$14:$K$20,9)/30))</f>
        <v>5.0871222550342923</v>
      </c>
      <c r="DO141" s="173">
        <f ca="1">(VLOOKUP(DO$72,INDIRECT($C$5&amp;"生成成长"),2))/((VLOOKUP($B141,INDIRECT($B$5&amp;"生成成长"),4))/(VLOOKUP(DO$72,INDIRECT($C$5&amp;"生成成长"),5))*(VLOOKUP($B$5,标准坦克设计!$B$24:$U$30,MATCH("对"&amp;LEFT($C$5,2)&amp;"输出",标准坦克设计!$B$23:$U$23,0)))*(VLOOKUP($B141,INDIRECT($B$5&amp;"生成成长"),3))*(VLOOKUP($B$5,标准坦克设计!$B$14:$K$20,9)/30))</f>
        <v>5.5941251480049861</v>
      </c>
      <c r="DP141" s="173">
        <f ca="1">(VLOOKUP(DP$72,INDIRECT($C$5&amp;"生成成长"),2))/((VLOOKUP($B141,INDIRECT($B$5&amp;"生成成长"),4))/(VLOOKUP(DP$72,INDIRECT($C$5&amp;"生成成长"),5))*(VLOOKUP($B$5,标准坦克设计!$B$24:$U$30,MATCH("对"&amp;LEFT($C$5,2)&amp;"输出",标准坦克设计!$B$23:$U$23,0)))*(VLOOKUP($B141,INDIRECT($B$5&amp;"生成成长"),3))*(VLOOKUP($B$5,标准坦克设计!$B$14:$K$20,9)/30))</f>
        <v>6.125207334045526</v>
      </c>
      <c r="DQ141" s="173">
        <f ca="1">(VLOOKUP(DQ$72,INDIRECT($C$5&amp;"生成成长"),2))/((VLOOKUP($B141,INDIRECT($B$5&amp;"生成成长"),4))/(VLOOKUP(DQ$72,INDIRECT($C$5&amp;"生成成长"),5))*(VLOOKUP($B$5,标准坦克设计!$B$24:$U$30,MATCH("对"&amp;LEFT($C$5,2)&amp;"输出",标准坦克设计!$B$23:$U$23,0)))*(VLOOKUP($B141,INDIRECT($B$5&amp;"生成成长"),3))*(VLOOKUP($B$5,标准坦克设计!$B$14:$K$20,9)/30))</f>
        <v>6.6803688131559156</v>
      </c>
      <c r="DR141" s="173">
        <f ca="1">(VLOOKUP(DR$72,INDIRECT($C$5&amp;"生成成长"),2))/((VLOOKUP($B141,INDIRECT($B$5&amp;"生成成长"),4))/(VLOOKUP(DR$72,INDIRECT($C$5&amp;"生成成长"),5))*(VLOOKUP($B$5,标准坦克设计!$B$24:$U$30,MATCH("对"&amp;LEFT($C$5,2)&amp;"输出",标准坦克设计!$B$23:$U$23,0)))*(VLOOKUP($B141,INDIRECT($B$5&amp;"生成成长"),3))*(VLOOKUP($B$5,标准坦克设计!$B$14:$K$20,9)/30))</f>
        <v>7.2596095853361549</v>
      </c>
      <c r="DS141" s="173">
        <f ca="1">(VLOOKUP(DS$72,INDIRECT($C$5&amp;"生成成长"),2))/((VLOOKUP($B141,INDIRECT($B$5&amp;"生成成长"),4))/(VLOOKUP(DS$72,INDIRECT($C$5&amp;"生成成长"),5))*(VLOOKUP($B$5,标准坦克设计!$B$24:$U$30,MATCH("对"&amp;LEFT($C$5,2)&amp;"输出",标准坦克设计!$B$23:$U$23,0)))*(VLOOKUP($B141,INDIRECT($B$5&amp;"生成成长"),3))*(VLOOKUP($B$5,标准坦克设计!$B$14:$K$20,9)/30))</f>
        <v>7.8629296505862394</v>
      </c>
      <c r="DT141" s="173">
        <f ca="1">(VLOOKUP(DT$72,INDIRECT($C$5&amp;"生成成长"),2))/((VLOOKUP($B141,INDIRECT($B$5&amp;"生成成长"),4))/(VLOOKUP(DT$72,INDIRECT($C$5&amp;"生成成长"),5))*(VLOOKUP($B$5,标准坦克设计!$B$24:$U$30,MATCH("对"&amp;LEFT($C$5,2)&amp;"输出",标准坦克设计!$B$23:$U$23,0)))*(VLOOKUP($B141,INDIRECT($B$5&amp;"生成成长"),3))*(VLOOKUP($B$5,标准坦克设计!$B$14:$K$20,9)/30))</f>
        <v>8.6330211159867574</v>
      </c>
      <c r="DU141" s="173">
        <f ca="1">(VLOOKUP(DU$72,INDIRECT($C$5&amp;"生成成长"),2))/((VLOOKUP($B141,INDIRECT($B$5&amp;"生成成长"),4))/(VLOOKUP(DU$72,INDIRECT($C$5&amp;"生成成长"),5))*(VLOOKUP($B$5,标准坦克设计!$B$24:$U$30,MATCH("对"&amp;LEFT($C$5,2)&amp;"输出",标准坦克设计!$B$23:$U$23,0)))*(VLOOKUP($B141,INDIRECT($B$5&amp;"生成成长"),3))*(VLOOKUP($B$5,标准坦克设计!$B$14:$K$20,9)/30))</f>
        <v>9.4390828833805038</v>
      </c>
      <c r="DV141" s="173">
        <f ca="1">(VLOOKUP(DV$72,INDIRECT($C$5&amp;"生成成长"),2))/((VLOOKUP($B141,INDIRECT($B$5&amp;"生成成长"),4))/(VLOOKUP(DV$72,INDIRECT($C$5&amp;"生成成长"),5))*(VLOOKUP($B$5,标准坦克设计!$B$24:$U$30,MATCH("对"&amp;LEFT($C$5,2)&amp;"输出",标准坦克设计!$B$23:$U$23,0)))*(VLOOKUP($B141,INDIRECT($B$5&amp;"生成成长"),3))*(VLOOKUP($B$5,标准坦克设计!$B$14:$K$20,9)/30))</f>
        <v>10.281114952767478</v>
      </c>
      <c r="DW141" s="173">
        <f ca="1">(VLOOKUP(DW$72,INDIRECT($C$5&amp;"生成成长"),2))/((VLOOKUP($B141,INDIRECT($B$5&amp;"生成成长"),4))/(VLOOKUP(DW$72,INDIRECT($C$5&amp;"生成成长"),5))*(VLOOKUP($B$5,标准坦克设计!$B$24:$U$30,MATCH("对"&amp;LEFT($C$5,2)&amp;"输出",标准坦克设计!$B$23:$U$23,0)))*(VLOOKUP($B141,INDIRECT($B$5&amp;"生成成长"),3))*(VLOOKUP($B$5,标准坦克设计!$B$14:$K$20,9)/30))</f>
        <v>11.159117324147685</v>
      </c>
      <c r="DX141" s="173">
        <f ca="1">(VLOOKUP(DX$72,INDIRECT($C$5&amp;"生成成长"),2))/((VLOOKUP($B141,INDIRECT($B$5&amp;"生成成长"),4))/(VLOOKUP(DX$72,INDIRECT($C$5&amp;"生成成长"),5))*(VLOOKUP($B$5,标准坦克设计!$B$24:$U$30,MATCH("对"&amp;LEFT($C$5,2)&amp;"输出",标准坦克设计!$B$23:$U$23,0)))*(VLOOKUP($B141,INDIRECT($B$5&amp;"生成成长"),3))*(VLOOKUP($B$5,标准坦克设计!$B$14:$K$20,9)/30))</f>
        <v>12.073089997521121</v>
      </c>
      <c r="DY141" s="173">
        <f ca="1">(VLOOKUP(DY$72,INDIRECT($C$5&amp;"生成成长"),2))/((VLOOKUP($B141,INDIRECT($B$5&amp;"生成成长"),4))/(VLOOKUP(DY$72,INDIRECT($C$5&amp;"生成成长"),5))*(VLOOKUP($B$5,标准坦克设计!$B$24:$U$30,MATCH("对"&amp;LEFT($C$5,2)&amp;"输出",标准坦克设计!$B$23:$U$23,0)))*(VLOOKUP($B141,INDIRECT($B$5&amp;"生成成长"),3))*(VLOOKUP($B$5,标准坦克设计!$B$14:$K$20,9)/30))</f>
        <v>5.4224487066736593</v>
      </c>
      <c r="DZ141" s="173">
        <f ca="1">(VLOOKUP(DZ$72,INDIRECT($C$5&amp;"生成成长"),2))/((VLOOKUP($B141,INDIRECT($B$5&amp;"生成成长"),4))/(VLOOKUP(DZ$72,INDIRECT($C$5&amp;"生成成长"),5))*(VLOOKUP($B$5,标准坦克设计!$B$24:$U$30,MATCH("对"&amp;LEFT($C$5,2)&amp;"输出",标准坦克设计!$B$23:$U$23,0)))*(VLOOKUP($B141,INDIRECT($B$5&amp;"生成成长"),3))*(VLOOKUP($B$5,标准坦克设计!$B$14:$K$20,9)/30))</f>
        <v>6.0051081439193688</v>
      </c>
      <c r="EA141" s="173">
        <f ca="1">(VLOOKUP(EA$72,INDIRECT($C$5&amp;"生成成长"),2))/((VLOOKUP($B141,INDIRECT($B$5&amp;"生成成长"),4))/(VLOOKUP(EA$72,INDIRECT($C$5&amp;"生成成长"),5))*(VLOOKUP($B$5,标准坦克设计!$B$24:$U$30,MATCH("对"&amp;LEFT($C$5,2)&amp;"输出",标准坦克设计!$B$23:$U$23,0)))*(VLOOKUP($B141,INDIRECT($B$5&amp;"生成成长"),3))*(VLOOKUP($B$5,标准坦克设计!$B$14:$K$20,9)/30))</f>
        <v>6.6174951034735345</v>
      </c>
      <c r="EB141" s="173">
        <f ca="1">(VLOOKUP(EB$72,INDIRECT($C$5&amp;"生成成长"),2))/((VLOOKUP($B141,INDIRECT($B$5&amp;"生成成长"),4))/(VLOOKUP(EB$72,INDIRECT($C$5&amp;"生成成长"),5))*(VLOOKUP($B$5,标准坦克设计!$B$24:$U$30,MATCH("对"&amp;LEFT($C$5,2)&amp;"输出",标准坦克设计!$B$23:$U$23,0)))*(VLOOKUP($B141,INDIRECT($B$5&amp;"生成成长"),3))*(VLOOKUP($B$5,标准坦克设计!$B$14:$K$20,9)/30))</f>
        <v>7.2596095853361549</v>
      </c>
      <c r="EC141" s="173">
        <f ca="1">(VLOOKUP(EC$72,INDIRECT($C$5&amp;"生成成长"),2))/((VLOOKUP($B141,INDIRECT($B$5&amp;"生成成长"),4))/(VLOOKUP(EC$72,INDIRECT($C$5&amp;"生成成长"),5))*(VLOOKUP($B$5,标准坦克设计!$B$24:$U$30,MATCH("对"&amp;LEFT($C$5,2)&amp;"输出",标准坦克设计!$B$23:$U$23,0)))*(VLOOKUP($B141,INDIRECT($B$5&amp;"生成成长"),3))*(VLOOKUP($B$5,标准坦克设计!$B$14:$K$20,9)/30))</f>
        <v>7.9314515895072271</v>
      </c>
      <c r="ED141" s="173">
        <f ca="1">(VLOOKUP(ED$72,INDIRECT($C$5&amp;"生成成长"),2))/((VLOOKUP($B141,INDIRECT($B$5&amp;"生成成长"),4))/(VLOOKUP(ED$72,INDIRECT($C$5&amp;"生成成长"),5))*(VLOOKUP($B$5,标准坦克设计!$B$24:$U$30,MATCH("对"&amp;LEFT($C$5,2)&amp;"输出",标准坦克设计!$B$23:$U$23,0)))*(VLOOKUP($B141,INDIRECT($B$5&amp;"生成成长"),3))*(VLOOKUP($B$5,标准坦克设计!$B$14:$K$20,9)/30))</f>
        <v>8.6330211159867574</v>
      </c>
      <c r="EE141" s="173">
        <f ca="1">(VLOOKUP(EE$72,INDIRECT($C$5&amp;"生成成长"),2))/((VLOOKUP($B141,INDIRECT($B$5&amp;"生成成长"),4))/(VLOOKUP(EE$72,INDIRECT($C$5&amp;"生成成长"),5))*(VLOOKUP($B$5,标准坦克设计!$B$24:$U$30,MATCH("对"&amp;LEFT($C$5,2)&amp;"输出",标准坦克设计!$B$23:$U$23,0)))*(VLOOKUP($B141,INDIRECT($B$5&amp;"生成成长"),3))*(VLOOKUP($B$5,标准坦克设计!$B$14:$K$20,9)/30))</f>
        <v>9.3643181647747387</v>
      </c>
      <c r="EF141" s="173">
        <f ca="1">(VLOOKUP(EF$72,INDIRECT($C$5&amp;"生成成长"),2))/((VLOOKUP($B141,INDIRECT($B$5&amp;"生成成长"),4))/(VLOOKUP(EF$72,INDIRECT($C$5&amp;"生成成长"),5))*(VLOOKUP($B$5,标准坦克设计!$B$24:$U$30,MATCH("对"&amp;LEFT($C$5,2)&amp;"输出",标准坦克设计!$B$23:$U$23,0)))*(VLOOKUP($B141,INDIRECT($B$5&amp;"生成成长"),3))*(VLOOKUP($B$5,标准坦克设计!$B$14:$K$20,9)/30))</f>
        <v>10.125342735871177</v>
      </c>
      <c r="EG141" s="173">
        <f ca="1">(VLOOKUP(EG$72,INDIRECT($C$5&amp;"生成成长"),2))/((VLOOKUP($B141,INDIRECT($B$5&amp;"生成成长"),4))/(VLOOKUP(EG$72,INDIRECT($C$5&amp;"生成成长"),5))*(VLOOKUP($B$5,标准坦克设计!$B$24:$U$30,MATCH("对"&amp;LEFT($C$5,2)&amp;"输出",标准坦克设计!$B$23:$U$23,0)))*(VLOOKUP($B141,INDIRECT($B$5&amp;"生成成长"),3))*(VLOOKUP($B$5,标准坦克设计!$B$14:$K$20,9)/30))</f>
        <v>10.916094829276071</v>
      </c>
      <c r="EH141" s="173">
        <f ca="1">(VLOOKUP(EH$72,INDIRECT($C$5&amp;"生成成长"),2))/((VLOOKUP($B141,INDIRECT($B$5&amp;"生成成长"),4))/(VLOOKUP(EH$72,INDIRECT($C$5&amp;"生成成长"),5))*(VLOOKUP($B$5,标准坦克设计!$B$24:$U$30,MATCH("对"&amp;LEFT($C$5,2)&amp;"输出",标准坦克设计!$B$23:$U$23,0)))*(VLOOKUP($B141,INDIRECT($B$5&amp;"生成成长"),3))*(VLOOKUP($B$5,标准坦克设计!$B$14:$K$20,9)/30))</f>
        <v>11.736574444989419</v>
      </c>
      <c r="EI141" s="173">
        <f ca="1">(VLOOKUP(EI$72,INDIRECT($C$5&amp;"生成成长"),2))/((VLOOKUP($B141,INDIRECT($B$5&amp;"生成成长"),4))/(VLOOKUP(EI$72,INDIRECT($C$5&amp;"生成成长"),5))*(VLOOKUP($B$5,标准坦克设计!$B$24:$U$30,MATCH("对"&amp;LEFT($C$5,2)&amp;"输出",标准坦克设计!$B$23:$U$23,0)))*(VLOOKUP($B141,INDIRECT($B$5&amp;"生成成长"),3))*(VLOOKUP($B$5,标准坦克设计!$B$14:$K$20,9)/30))</f>
        <v>12.586781583011216</v>
      </c>
      <c r="EJ141" s="173">
        <f ca="1">(VLOOKUP(EJ$72,INDIRECT($C$5&amp;"生成成长"),2))/((VLOOKUP($B141,INDIRECT($B$5&amp;"生成成长"),4))/(VLOOKUP(EJ$72,INDIRECT($C$5&amp;"生成成长"),5))*(VLOOKUP($B$5,标准坦克设计!$B$24:$U$30,MATCH("对"&amp;LEFT($C$5,2)&amp;"输出",标准坦克设计!$B$23:$U$23,0)))*(VLOOKUP($B141,INDIRECT($B$5&amp;"生成成长"),3))*(VLOOKUP($B$5,标准坦克设计!$B$14:$K$20,9)/30))</f>
        <v>13.466716243341471</v>
      </c>
      <c r="EK141" s="173">
        <f ca="1">(VLOOKUP(EK$72,INDIRECT($C$5&amp;"生成成长"),2))/((VLOOKUP($B141,INDIRECT($B$5&amp;"生成成长"),4))/(VLOOKUP(EK$72,INDIRECT($C$5&amp;"生成成长"),5))*(VLOOKUP($B$5,标准坦克设计!$B$24:$U$30,MATCH("对"&amp;LEFT($C$5,2)&amp;"输出",标准坦克设计!$B$23:$U$23,0)))*(VLOOKUP($B141,INDIRECT($B$5&amp;"生成成长"),3))*(VLOOKUP($B$5,标准坦克设计!$B$14:$K$20,9)/30))</f>
        <v>14.56187816518494</v>
      </c>
      <c r="EL141" s="173">
        <f ca="1">(VLOOKUP(EL$72,INDIRECT($C$5&amp;"生成成长"),2))/((VLOOKUP($B141,INDIRECT($B$5&amp;"生成成长"),4))/(VLOOKUP(EL$72,INDIRECT($C$5&amp;"生成成长"),5))*(VLOOKUP($B$5,标准坦克设计!$B$24:$U$30,MATCH("对"&amp;LEFT($C$5,2)&amp;"输出",标准坦克设计!$B$23:$U$23,0)))*(VLOOKUP($B141,INDIRECT($B$5&amp;"生成成长"),3))*(VLOOKUP($B$5,标准坦克设计!$B$14:$K$20,9)/30))</f>
        <v>15.699847719152581</v>
      </c>
      <c r="EM141" s="173">
        <f ca="1">(VLOOKUP(EM$72,INDIRECT($C$5&amp;"生成成长"),2))/((VLOOKUP($B141,INDIRECT($B$5&amp;"生成成长"),4))/(VLOOKUP(EM$72,INDIRECT($C$5&amp;"生成成长"),5))*(VLOOKUP($B$5,标准坦克设计!$B$24:$U$30,MATCH("对"&amp;LEFT($C$5,2)&amp;"输出",标准坦克设计!$B$23:$U$23,0)))*(VLOOKUP($B141,INDIRECT($B$5&amp;"生成成长"),3))*(VLOOKUP($B$5,标准坦克设计!$B$14:$K$20,9)/30))</f>
        <v>16.8806249052444</v>
      </c>
      <c r="EN141" s="173">
        <f ca="1">(VLOOKUP(EN$72,INDIRECT($C$5&amp;"生成成长"),2))/((VLOOKUP($B141,INDIRECT($B$5&amp;"生成成长"),4))/(VLOOKUP(EN$72,INDIRECT($C$5&amp;"生成成长"),5))*(VLOOKUP($B$5,标准坦克设计!$B$24:$U$30,MATCH("对"&amp;LEFT($C$5,2)&amp;"输出",标准坦克设计!$B$23:$U$23,0)))*(VLOOKUP($B141,INDIRECT($B$5&amp;"生成成长"),3))*(VLOOKUP($B$5,标准坦克设计!$B$14:$K$20,9)/30))</f>
        <v>18.104209723460389</v>
      </c>
      <c r="EO141" s="173">
        <f ca="1">(VLOOKUP(EO$72,INDIRECT($C$5&amp;"生成成长"),2))/((VLOOKUP($B141,INDIRECT($B$5&amp;"生成成长"),4))/(VLOOKUP(EO$72,INDIRECT($C$5&amp;"生成成长"),5))*(VLOOKUP($B$5,标准坦克设计!$B$24:$U$30,MATCH("对"&amp;LEFT($C$5,2)&amp;"输出",标准坦克设计!$B$23:$U$23,0)))*(VLOOKUP($B141,INDIRECT($B$5&amp;"生成成长"),3))*(VLOOKUP($B$5,标准坦克设计!$B$14:$K$20,9)/30))</f>
        <v>19.370602173800556</v>
      </c>
      <c r="EP141" s="173">
        <f ca="1">(VLOOKUP(EP$72,INDIRECT($C$5&amp;"生成成长"),2))/((VLOOKUP($B141,INDIRECT($B$5&amp;"生成成长"),4))/(VLOOKUP(EP$72,INDIRECT($C$5&amp;"生成成长"),5))*(VLOOKUP($B$5,标准坦克设计!$B$24:$U$30,MATCH("对"&amp;LEFT($C$5,2)&amp;"输出",标准坦克设计!$B$23:$U$23,0)))*(VLOOKUP($B141,INDIRECT($B$5&amp;"生成成长"),3))*(VLOOKUP($B$5,标准坦克设计!$B$14:$K$20,9)/30))</f>
        <v>20.679802256264892</v>
      </c>
      <c r="EQ141" s="173">
        <f ca="1">(VLOOKUP(EQ$72,INDIRECT($C$5&amp;"生成成长"),2))/((VLOOKUP($B141,INDIRECT($B$5&amp;"生成成长"),4))/(VLOOKUP(EQ$72,INDIRECT($C$5&amp;"生成成长"),5))*(VLOOKUP($B$5,标准坦克设计!$B$24:$U$30,MATCH("对"&amp;LEFT($C$5,2)&amp;"输出",标准坦克设计!$B$23:$U$23,0)))*(VLOOKUP($B141,INDIRECT($B$5&amp;"生成成长"),3))*(VLOOKUP($B$5,标准坦克设计!$B$14:$K$20,9)/30))</f>
        <v>9.1418076602959548</v>
      </c>
      <c r="ER141" s="173">
        <f ca="1">(VLOOKUP(ER$72,INDIRECT($C$5&amp;"生成成长"),2))/((VLOOKUP($B141,INDIRECT($B$5&amp;"生成成长"),4))/(VLOOKUP(ER$72,INDIRECT($C$5&amp;"生成成长"),5))*(VLOOKUP($B$5,标准坦克设计!$B$24:$U$30,MATCH("对"&amp;LEFT($C$5,2)&amp;"输出",标准坦克设计!$B$23:$U$23,0)))*(VLOOKUP($B141,INDIRECT($B$5&amp;"生成成长"),3))*(VLOOKUP($B$5,标准坦克设计!$B$14:$K$20,9)/30))</f>
        <v>9.9707596198672146</v>
      </c>
      <c r="ES141" s="173">
        <f ca="1">(VLOOKUP(ES$72,INDIRECT($C$5&amp;"生成成长"),2))/((VLOOKUP($B141,INDIRECT($B$5&amp;"生成成长"),4))/(VLOOKUP(ES$72,INDIRECT($C$5&amp;"生成成长"),5))*(VLOOKUP($B$5,标准坦克设计!$B$24:$U$30,MATCH("对"&amp;LEFT($C$5,2)&amp;"输出",标准坦克设计!$B$23:$U$23,0)))*(VLOOKUP($B141,INDIRECT($B$5&amp;"生成成长"),3))*(VLOOKUP($B$5,标准坦克设计!$B$14:$K$20,9)/30))</f>
        <v>10.835681881431698</v>
      </c>
      <c r="ET141" s="173">
        <f ca="1">(VLOOKUP(ET$72,INDIRECT($C$5&amp;"生成成长"),2))/((VLOOKUP($B141,INDIRECT($B$5&amp;"生成成长"),4))/(VLOOKUP(ET$72,INDIRECT($C$5&amp;"生成成长"),5))*(VLOOKUP($B$5,标准坦克设计!$B$24:$U$30,MATCH("对"&amp;LEFT($C$5,2)&amp;"输出",标准坦克设计!$B$23:$U$23,0)))*(VLOOKUP($B141,INDIRECT($B$5&amp;"生成成长"),3))*(VLOOKUP($B$5,标准坦克设计!$B$14:$K$20,9)/30))</f>
        <v>11.736574444989419</v>
      </c>
      <c r="EU141" s="173">
        <f ca="1">(VLOOKUP(EU$72,INDIRECT($C$5&amp;"生成成长"),2))/((VLOOKUP($B141,INDIRECT($B$5&amp;"生成成长"),4))/(VLOOKUP(EU$72,INDIRECT($C$5&amp;"生成成长"),5))*(VLOOKUP($B$5,标准坦克设计!$B$24:$U$30,MATCH("对"&amp;LEFT($C$5,2)&amp;"输出",标准坦克设计!$B$23:$U$23,0)))*(VLOOKUP($B141,INDIRECT($B$5&amp;"生成成长"),3))*(VLOOKUP($B$5,标准坦克设计!$B$14:$K$20,9)/30))</f>
        <v>12.673437310540361</v>
      </c>
      <c r="EV141" s="173">
        <f ca="1">(VLOOKUP(EV$72,INDIRECT($C$5&amp;"生成成长"),2))/((VLOOKUP($B141,INDIRECT($B$5&amp;"生成成长"),4))/(VLOOKUP(EV$72,INDIRECT($C$5&amp;"生成成长"),5))*(VLOOKUP($B$5,标准坦克设计!$B$24:$U$30,MATCH("对"&amp;LEFT($C$5,2)&amp;"输出",标准坦克设计!$B$23:$U$23,0)))*(VLOOKUP($B141,INDIRECT($B$5&amp;"生成成长"),3))*(VLOOKUP($B$5,标准坦克设计!$B$14:$K$20,9)/30))</f>
        <v>13.64627047808454</v>
      </c>
      <c r="EW141" s="173">
        <f ca="1">(VLOOKUP(EW$72,INDIRECT($C$5&amp;"生成成长"),2))/((VLOOKUP($B141,INDIRECT($B$5&amp;"生成成长"),4))/(VLOOKUP(EW$72,INDIRECT($C$5&amp;"生成成长"),5))*(VLOOKUP($B$5,标准坦克设计!$B$24:$U$30,MATCH("对"&amp;LEFT($C$5,2)&amp;"输出",标准坦克设计!$B$23:$U$23,0)))*(VLOOKUP($B141,INDIRECT($B$5&amp;"生成成长"),3))*(VLOOKUP($B$5,标准坦克设计!$B$14:$K$20,9)/30))</f>
        <v>14.655073947621945</v>
      </c>
      <c r="EX141" s="173">
        <f ca="1">(VLOOKUP(EX$72,INDIRECT($C$5&amp;"生成成长"),2))/((VLOOKUP($B141,INDIRECT($B$5&amp;"生成成长"),4))/(VLOOKUP(EX$72,INDIRECT($C$5&amp;"生成成长"),5))*(VLOOKUP($B$5,标准坦克设计!$B$24:$U$30,MATCH("对"&amp;LEFT($C$5,2)&amp;"输出",标准坦克设计!$B$23:$U$23,0)))*(VLOOKUP($B141,INDIRECT($B$5&amp;"生成成长"),3))*(VLOOKUP($B$5,标准坦克设计!$B$14:$K$20,9)/30))</f>
        <v>15.699847719152581</v>
      </c>
      <c r="EY141" s="173">
        <f ca="1">(VLOOKUP(EY$72,INDIRECT($C$5&amp;"生成成长"),2))/((VLOOKUP($B141,INDIRECT($B$5&amp;"生成成长"),4))/(VLOOKUP(EY$72,INDIRECT($C$5&amp;"生成成长"),5))*(VLOOKUP($B$5,标准坦克设计!$B$24:$U$30,MATCH("对"&amp;LEFT($C$5,2)&amp;"输出",标准坦克设计!$B$23:$U$23,0)))*(VLOOKUP($B141,INDIRECT($B$5&amp;"生成成长"),3))*(VLOOKUP($B$5,标准坦克设计!$B$14:$K$20,9)/30))</f>
        <v>16.780591792676447</v>
      </c>
      <c r="EZ141" s="173">
        <f ca="1">(VLOOKUP(EZ$72,INDIRECT($C$5&amp;"生成成长"),2))/((VLOOKUP($B141,INDIRECT($B$5&amp;"生成成长"),4))/(VLOOKUP(EZ$72,INDIRECT($C$5&amp;"生成成长"),5))*(VLOOKUP($B$5,标准坦克设计!$B$24:$U$30,MATCH("对"&amp;LEFT($C$5,2)&amp;"输出",标准坦克设计!$B$23:$U$23,0)))*(VLOOKUP($B141,INDIRECT($B$5&amp;"生成成长"),3))*(VLOOKUP($B$5,标准坦克设计!$B$14:$K$20,9)/30))</f>
        <v>17.897306168193541</v>
      </c>
      <c r="FA141" s="173">
        <f ca="1">(VLOOKUP(FA$72,INDIRECT($C$5&amp;"生成成长"),2))/((VLOOKUP($B141,INDIRECT($B$5&amp;"生成成长"),4))/(VLOOKUP(FA$72,INDIRECT($C$5&amp;"生成成长"),5))*(VLOOKUP($B$5,标准坦克设计!$B$24:$U$30,MATCH("对"&amp;LEFT($C$5,2)&amp;"输出",标准坦克设计!$B$23:$U$23,0)))*(VLOOKUP($B141,INDIRECT($B$5&amp;"生成成长"),3))*(VLOOKUP($B$5,标准坦克设计!$B$14:$K$20,9)/30))</f>
        <v>19.049990845703871</v>
      </c>
      <c r="FB141" s="173">
        <f ca="1">(VLOOKUP(FB$72,INDIRECT($C$5&amp;"生成成长"),2))/((VLOOKUP($B141,INDIRECT($B$5&amp;"生成成长"),4))/(VLOOKUP(FB$72,INDIRECT($C$5&amp;"生成成长"),5))*(VLOOKUP($B$5,标准坦克设计!$B$24:$U$30,MATCH("对"&amp;LEFT($C$5,2)&amp;"输出",标准坦克设计!$B$23:$U$23,0)))*(VLOOKUP($B141,INDIRECT($B$5&amp;"生成成长"),3))*(VLOOKUP($B$5,标准坦克设计!$B$14:$K$20,9)/30))</f>
        <v>20.238645825207428</v>
      </c>
      <c r="FC141" s="173">
        <f ca="1">(VLOOKUP(FC$72,INDIRECT($C$5&amp;"生成成长"),2))/((VLOOKUP($B141,INDIRECT($B$5&amp;"生成成长"),4))/(VLOOKUP(FC$72,INDIRECT($C$5&amp;"生成成长"),5))*(VLOOKUP($B$5,标准坦克设计!$B$24:$U$30,MATCH("对"&amp;LEFT($C$5,2)&amp;"输出",标准坦克设计!$B$23:$U$23,0)))*(VLOOKUP($B141,INDIRECT($B$5&amp;"生成成长"),3))*(VLOOKUP($B$5,标准坦克设计!$B$14:$K$20,9)/30))</f>
        <v>21.463271106704216</v>
      </c>
      <c r="FD141" s="173">
        <f ca="1">(VLOOKUP(FD$72,INDIRECT($C$5&amp;"生成成长"),2))/((VLOOKUP($B141,INDIRECT($B$5&amp;"生成成长"),4))/(VLOOKUP(FD$72,INDIRECT($C$5&amp;"生成成长"),5))*(VLOOKUP($B$5,标准坦克设计!$B$24:$U$30,MATCH("对"&amp;LEFT($C$5,2)&amp;"输出",标准坦克设计!$B$23:$U$23,0)))*(VLOOKUP($B141,INDIRECT($B$5&amp;"生成成长"),3))*(VLOOKUP($B$5,标准坦克设计!$B$14:$K$20,9)/30))</f>
        <v>22.723866690194235</v>
      </c>
      <c r="FE141" s="173">
        <f ca="1">(VLOOKUP(FE$72,INDIRECT($C$5&amp;"生成成长"),2))/((VLOOKUP($B141,INDIRECT($B$5&amp;"生成成长"),4))/(VLOOKUP(FE$72,INDIRECT($C$5&amp;"生成成长"),5))*(VLOOKUP($B$5,标准坦克设计!$B$24:$U$30,MATCH("对"&amp;LEFT($C$5,2)&amp;"输出",标准坦克设计!$B$23:$U$23,0)))*(VLOOKUP($B141,INDIRECT($B$5&amp;"生成成长"),3))*(VLOOKUP($B$5,标准坦克设计!$B$14:$K$20,9)/30))</f>
        <v>24.260036405483625</v>
      </c>
      <c r="FF141" s="173">
        <f ca="1">(VLOOKUP(FF$72,INDIRECT($C$5&amp;"生成成长"),2))/((VLOOKUP($B141,INDIRECT($B$5&amp;"生成成长"),4))/(VLOOKUP(FF$72,INDIRECT($C$5&amp;"生成成长"),5))*(VLOOKUP($B$5,标准坦克设计!$B$24:$U$30,MATCH("对"&amp;LEFT($C$5,2)&amp;"输出",标准坦克设计!$B$23:$U$23,0)))*(VLOOKUP($B141,INDIRECT($B$5&amp;"生成成长"),3))*(VLOOKUP($B$5,标准坦克设计!$B$14:$K$20,9)/30))</f>
        <v>25.84644563347431</v>
      </c>
      <c r="FG141" s="173">
        <f ca="1">(VLOOKUP(FG$72,INDIRECT($C$5&amp;"生成成长"),2))/((VLOOKUP($B141,INDIRECT($B$5&amp;"生成成长"),4))/(VLOOKUP(FG$72,INDIRECT($C$5&amp;"生成成长"),5))*(VLOOKUP($B$5,标准坦克设计!$B$24:$U$30,MATCH("对"&amp;LEFT($C$5,2)&amp;"输出",标准坦克设计!$B$23:$U$23,0)))*(VLOOKUP($B141,INDIRECT($B$5&amp;"生成成长"),3))*(VLOOKUP($B$5,标准坦克设计!$B$14:$K$20,9)/30))</f>
        <v>27.483094374166271</v>
      </c>
      <c r="FH141" s="173">
        <f ca="1">(VLOOKUP(FH$72,INDIRECT($C$5&amp;"生成成长"),2))/((VLOOKUP($B141,INDIRECT($B$5&amp;"生成成长"),4))/(VLOOKUP(FH$72,INDIRECT($C$5&amp;"生成成长"),5))*(VLOOKUP($B$5,标准坦克设计!$B$24:$U$30,MATCH("对"&amp;LEFT($C$5,2)&amp;"输出",标准坦克设计!$B$23:$U$23,0)))*(VLOOKUP($B141,INDIRECT($B$5&amp;"生成成长"),3))*(VLOOKUP($B$5,标准坦克设计!$B$14:$K$20,9)/30))</f>
        <v>29.169982627559524</v>
      </c>
      <c r="FI141" s="173">
        <f ca="1">(VLOOKUP(FI$72,INDIRECT($C$5&amp;"生成成长"),2))/((VLOOKUP($B141,INDIRECT($B$5&amp;"生成成长"),4))/(VLOOKUP(FI$72,INDIRECT($C$5&amp;"生成成长"),5))*(VLOOKUP($B$5,标准坦克设计!$B$24:$U$30,MATCH("对"&amp;LEFT($C$5,2)&amp;"输出",标准坦克设计!$B$23:$U$23,0)))*(VLOOKUP($B141,INDIRECT($B$5&amp;"生成成长"),3))*(VLOOKUP($B$5,标准坦克设计!$B$14:$K$20,9)/30))</f>
        <v>30.907110393654076</v>
      </c>
      <c r="FJ141" s="173">
        <f ca="1">(VLOOKUP(FJ$72,INDIRECT($C$5&amp;"生成成长"),2))/((VLOOKUP($B141,INDIRECT($B$5&amp;"生成成长"),4))/(VLOOKUP(FJ$72,INDIRECT($C$5&amp;"生成成长"),5))*(VLOOKUP($B$5,标准坦克设计!$B$24:$U$30,MATCH("对"&amp;LEFT($C$5,2)&amp;"输出",标准坦克设计!$B$23:$U$23,0)))*(VLOOKUP($B141,INDIRECT($B$5&amp;"生成成长"),3))*(VLOOKUP($B$5,标准坦克设计!$B$14:$K$20,9)/30))</f>
        <v>32.694477672449906</v>
      </c>
      <c r="FK141" s="173">
        <f ca="1">(VLOOKUP(FK$72,INDIRECT($C$5&amp;"生成成长"),2))/((VLOOKUP($B141,INDIRECT($B$5&amp;"生成成长"),4))/(VLOOKUP(FK$72,INDIRECT($C$5&amp;"生成成长"),5))*(VLOOKUP($B$5,标准坦克设计!$B$24:$U$30,MATCH("对"&amp;LEFT($C$5,2)&amp;"输出",标准坦克设计!$B$23:$U$23,0)))*(VLOOKUP($B141,INDIRECT($B$5&amp;"生成成长"),3))*(VLOOKUP($B$5,标准坦克设计!$B$14:$K$20,9)/30))</f>
        <v>34.532084463947029</v>
      </c>
    </row>
    <row r="142" spans="1:167" x14ac:dyDescent="0.15">
      <c r="A142" s="171" t="str">
        <f t="shared" si="12"/>
        <v>T3中品质13级</v>
      </c>
      <c r="B142" s="172">
        <v>20313</v>
      </c>
      <c r="C142" s="173">
        <f ca="1">(VLOOKUP(C$72,INDIRECT($C$5&amp;"生成成长"),2))/((VLOOKUP($B142,INDIRECT($B$5&amp;"生成成长"),4))/(VLOOKUP(C$72,INDIRECT($C$5&amp;"生成成长"),5))*(VLOOKUP($B$5,标准坦克设计!$B$24:$U$30,MATCH("对"&amp;LEFT($C$5,2)&amp;"输出",标准坦克设计!$B$23:$U$23,0)))*(VLOOKUP($B142,INDIRECT($B$5&amp;"生成成长"),3))*(VLOOKUP($B$5,标准坦克设计!$B$14:$K$20,9)/30))</f>
        <v>1.3727925481703445</v>
      </c>
      <c r="D142" s="173">
        <f ca="1">(VLOOKUP(D$72,INDIRECT($C$5&amp;"生成成长"),2))/((VLOOKUP($B142,INDIRECT($B$5&amp;"生成成长"),4))/(VLOOKUP(D$72,INDIRECT($C$5&amp;"生成成长"),5))*(VLOOKUP($B$5,标准坦克设计!$B$24:$U$30,MATCH("对"&amp;LEFT($C$5,2)&amp;"输出",标准坦克设计!$B$23:$U$23,0)))*(VLOOKUP($B142,INDIRECT($B$5&amp;"生成成长"),3))*(VLOOKUP($B$5,标准坦克设计!$B$14:$K$20,9)/30))</f>
        <v>1.5424697071241991</v>
      </c>
      <c r="E142" s="173">
        <f ca="1">(VLOOKUP(E$72,INDIRECT($C$5&amp;"生成成长"),2))/((VLOOKUP($B142,INDIRECT($B$5&amp;"生成成长"),4))/(VLOOKUP(E$72,INDIRECT($C$5&amp;"生成成长"),5))*(VLOOKUP($B$5,标准坦克设计!$B$24:$U$30,MATCH("对"&amp;LEFT($C$5,2)&amp;"输出",标准坦克设计!$B$23:$U$23,0)))*(VLOOKUP($B142,INDIRECT($B$5&amp;"生成成长"),3))*(VLOOKUP($B$5,标准坦克设计!$B$14:$K$20,9)/30))</f>
        <v>1.7220309724248803</v>
      </c>
      <c r="F142" s="173">
        <f ca="1">(VLOOKUP(F$72,INDIRECT($C$5&amp;"生成成长"),2))/((VLOOKUP($B142,INDIRECT($B$5&amp;"生成成长"),4))/(VLOOKUP(F$72,INDIRECT($C$5&amp;"生成成长"),5))*(VLOOKUP($B$5,标准坦克设计!$B$24:$U$30,MATCH("对"&amp;LEFT($C$5,2)&amp;"输出",标准坦克设计!$B$23:$U$23,0)))*(VLOOKUP($B142,INDIRECT($B$5&amp;"生成成长"),3))*(VLOOKUP($B$5,标准坦克设计!$B$14:$K$20,9)/30))</f>
        <v>1.9114763440723876</v>
      </c>
      <c r="G142" s="173">
        <f ca="1">(VLOOKUP(G$72,INDIRECT($C$5&amp;"生成成长"),2))/((VLOOKUP($B142,INDIRECT($B$5&amp;"生成成长"),4))/(VLOOKUP(G$72,INDIRECT($C$5&amp;"生成成长"),5))*(VLOOKUP($B$5,标准坦克设计!$B$24:$U$30,MATCH("对"&amp;LEFT($C$5,2)&amp;"输出",标准坦克设计!$B$23:$U$23,0)))*(VLOOKUP($B142,INDIRECT($B$5&amp;"生成成长"),3))*(VLOOKUP($B$5,标准坦克设计!$B$14:$K$20,9)/30))</f>
        <v>2.1108058220667214</v>
      </c>
      <c r="H142" s="173">
        <f ca="1">(VLOOKUP(H$72,INDIRECT($C$5&amp;"生成成长"),2))/((VLOOKUP($B142,INDIRECT($B$5&amp;"生成成长"),4))/(VLOOKUP(H$72,INDIRECT($C$5&amp;"生成成长"),5))*(VLOOKUP($B$5,标准坦克设计!$B$24:$U$30,MATCH("对"&amp;LEFT($C$5,2)&amp;"输出",标准坦克设计!$B$23:$U$23,0)))*(VLOOKUP($B142,INDIRECT($B$5&amp;"生成成长"),3))*(VLOOKUP($B$5,标准坦克设计!$B$14:$K$20,9)/30))</f>
        <v>1.8472296528180152</v>
      </c>
      <c r="I142" s="173">
        <f ca="1">(VLOOKUP(I$72,INDIRECT($C$5&amp;"生成成长"),2))/((VLOOKUP($B142,INDIRECT($B$5&amp;"生成成长"),4))/(VLOOKUP(I$72,INDIRECT($C$5&amp;"生成成长"),5))*(VLOOKUP($B$5,标准坦克设计!$B$24:$U$30,MATCH("对"&amp;LEFT($C$5,2)&amp;"输出",标准坦克设计!$B$23:$U$23,0)))*(VLOOKUP($B142,INDIRECT($B$5&amp;"生成成长"),3))*(VLOOKUP($B$5,标准坦克设计!$B$14:$K$20,9)/30))</f>
        <v>2.1108058220667214</v>
      </c>
      <c r="J142" s="173">
        <f ca="1">(VLOOKUP(J$72,INDIRECT($C$5&amp;"生成成长"),2))/((VLOOKUP($B142,INDIRECT($B$5&amp;"生成成长"),4))/(VLOOKUP(J$72,INDIRECT($C$5&amp;"生成成长"),5))*(VLOOKUP($B$5,标准坦克设计!$B$24:$U$30,MATCH("对"&amp;LEFT($C$5,2)&amp;"输出",标准坦克设计!$B$23:$U$23,0)))*(VLOOKUP($B142,INDIRECT($B$5&amp;"生成成长"),3))*(VLOOKUP($B$5,标准坦克设计!$B$14:$K$20,9)/30))</f>
        <v>2.3919537359320082</v>
      </c>
      <c r="K142" s="173">
        <f ca="1">(VLOOKUP(K$72,INDIRECT($C$5&amp;"生成成长"),2))/((VLOOKUP($B142,INDIRECT($B$5&amp;"生成成长"),4))/(VLOOKUP(K$72,INDIRECT($C$5&amp;"生成成长"),5))*(VLOOKUP($B$5,标准坦克设计!$B$24:$U$30,MATCH("对"&amp;LEFT($C$5,2)&amp;"输出",标准坦克设计!$B$23:$U$23,0)))*(VLOOKUP($B142,INDIRECT($B$5&amp;"生成成长"),3))*(VLOOKUP($B$5,标准坦克设计!$B$14:$K$20,9)/30))</f>
        <v>2.6906733944138752</v>
      </c>
      <c r="L142" s="173">
        <f ca="1">(VLOOKUP(L$72,INDIRECT($C$5&amp;"生成成长"),2))/((VLOOKUP($B142,INDIRECT($B$5&amp;"生成成长"),4))/(VLOOKUP(L$72,INDIRECT($C$5&amp;"生成成长"),5))*(VLOOKUP($B$5,标准坦克设计!$B$24:$U$30,MATCH("对"&amp;LEFT($C$5,2)&amp;"输出",标准坦克设计!$B$23:$U$23,0)))*(VLOOKUP($B142,INDIRECT($B$5&amp;"生成成长"),3))*(VLOOKUP($B$5,标准坦克设计!$B$14:$K$20,9)/30))</f>
        <v>3.0069647975123228</v>
      </c>
      <c r="M142" s="173">
        <f ca="1">(VLOOKUP(M$72,INDIRECT($C$5&amp;"生成成长"),2))/((VLOOKUP($B142,INDIRECT($B$5&amp;"生成成长"),4))/(VLOOKUP(M$72,INDIRECT($C$5&amp;"生成成长"),5))*(VLOOKUP($B$5,标准坦克设计!$B$24:$U$30,MATCH("对"&amp;LEFT($C$5,2)&amp;"输出",标准坦克设计!$B$23:$U$23,0)))*(VLOOKUP($B142,INDIRECT($B$5&amp;"生成成长"),3))*(VLOOKUP($B$5,标准坦克设计!$B$14:$K$20,9)/30))</f>
        <v>3.3408279452273506</v>
      </c>
      <c r="N142" s="173">
        <f ca="1">(VLOOKUP(N$72,INDIRECT($C$5&amp;"生成成长"),2))/((VLOOKUP($B142,INDIRECT($B$5&amp;"生成成长"),4))/(VLOOKUP(N$72,INDIRECT($C$5&amp;"生成成长"),5))*(VLOOKUP($B$5,标准坦克设计!$B$24:$U$30,MATCH("对"&amp;LEFT($C$5,2)&amp;"输出",标准坦克设计!$B$23:$U$23,0)))*(VLOOKUP($B142,INDIRECT($B$5&amp;"生成成长"),3))*(VLOOKUP($B$5,标准坦克设计!$B$14:$K$20,9)/30))</f>
        <v>3.6922628375589586</v>
      </c>
      <c r="O142" s="173">
        <f ca="1">(VLOOKUP(O$72,INDIRECT($C$5&amp;"生成成长"),2))/((VLOOKUP($B142,INDIRECT($B$5&amp;"生成成长"),4))/(VLOOKUP(O$72,INDIRECT($C$5&amp;"生成成长"),5))*(VLOOKUP($B$5,标准坦克设计!$B$24:$U$30,MATCH("对"&amp;LEFT($C$5,2)&amp;"输出",标准坦克设计!$B$23:$U$23,0)))*(VLOOKUP($B142,INDIRECT($B$5&amp;"生成成长"),3))*(VLOOKUP($B$5,标准坦克设计!$B$14:$K$20,9)/30))</f>
        <v>2.8072234817535375</v>
      </c>
      <c r="P142" s="173">
        <f ca="1">(VLOOKUP(P$72,INDIRECT($C$5&amp;"生成成长"),2))/((VLOOKUP($B142,INDIRECT($B$5&amp;"生成成长"),4))/(VLOOKUP(P$72,INDIRECT($C$5&amp;"生成成长"),5))*(VLOOKUP($B$5,标准坦克设计!$B$24:$U$30,MATCH("对"&amp;LEFT($C$5,2)&amp;"输出",标准坦克设计!$B$23:$U$23,0)))*(VLOOKUP($B142,INDIRECT($B$5&amp;"生成成长"),3))*(VLOOKUP($B$5,标准坦克设计!$B$14:$K$20,9)/30))</f>
        <v>3.171699903292764</v>
      </c>
      <c r="Q142" s="173">
        <f ca="1">(VLOOKUP(Q$72,INDIRECT($C$5&amp;"生成成长"),2))/((VLOOKUP($B142,INDIRECT($B$5&amp;"生成成长"),4))/(VLOOKUP(Q$72,INDIRECT($C$5&amp;"生成成长"),5))*(VLOOKUP($B$5,标准坦克设计!$B$24:$U$30,MATCH("对"&amp;LEFT($C$5,2)&amp;"输出",标准坦克设计!$B$23:$U$23,0)))*(VLOOKUP($B142,INDIRECT($B$5&amp;"生成成长"),3))*(VLOOKUP($B$5,标准坦克设计!$B$14:$K$20,9)/30))</f>
        <v>3.5584155641123498</v>
      </c>
      <c r="R142" s="173">
        <f ca="1">(VLOOKUP(R$72,INDIRECT($C$5&amp;"生成成长"),2))/((VLOOKUP($B142,INDIRECT($B$5&amp;"生成成长"),4))/(VLOOKUP(R$72,INDIRECT($C$5&amp;"生成成长"),5))*(VLOOKUP($B$5,标准坦克设计!$B$24:$U$30,MATCH("对"&amp;LEFT($C$5,2)&amp;"输出",标准坦克设计!$B$23:$U$23,0)))*(VLOOKUP($B142,INDIRECT($B$5&amp;"生成成长"),3))*(VLOOKUP($B$5,标准坦克设计!$B$14:$K$20,9)/30))</f>
        <v>3.967370464212296</v>
      </c>
      <c r="S142" s="173">
        <f ca="1">(VLOOKUP(S$72,INDIRECT($C$5&amp;"生成成长"),2))/((VLOOKUP($B142,INDIRECT($B$5&amp;"生成成长"),4))/(VLOOKUP(S$72,INDIRECT($C$5&amp;"生成成长"),5))*(VLOOKUP($B$5,标准坦克设计!$B$24:$U$30,MATCH("对"&amp;LEFT($C$5,2)&amp;"输出",标准坦克设计!$B$23:$U$23,0)))*(VLOOKUP($B142,INDIRECT($B$5&amp;"生成成长"),3))*(VLOOKUP($B$5,标准坦克设计!$B$14:$K$20,9)/30))</f>
        <v>4.3985646035926003</v>
      </c>
      <c r="T142" s="173">
        <f ca="1">(VLOOKUP(T$72,INDIRECT($C$5&amp;"生成成长"),2))/((VLOOKUP($B142,INDIRECT($B$5&amp;"生成成长"),4))/(VLOOKUP(T$72,INDIRECT($C$5&amp;"生成成长"),5))*(VLOOKUP($B$5,标准坦克设计!$B$24:$U$30,MATCH("对"&amp;LEFT($C$5,2)&amp;"输出",标准坦克设计!$B$23:$U$23,0)))*(VLOOKUP($B142,INDIRECT($B$5&amp;"生成成长"),3))*(VLOOKUP($B$5,标准坦克设计!$B$14:$K$20,9)/30))</f>
        <v>4.8519979822532662</v>
      </c>
      <c r="U142" s="173">
        <f ca="1">(VLOOKUP(U$72,INDIRECT($C$5&amp;"生成成长"),2))/((VLOOKUP($B142,INDIRECT($B$5&amp;"生成成长"),4))/(VLOOKUP(U$72,INDIRECT($C$5&amp;"生成成长"),5))*(VLOOKUP($B$5,标准坦克设计!$B$24:$U$30,MATCH("对"&amp;LEFT($C$5,2)&amp;"输出",标准坦克设计!$B$23:$U$23,0)))*(VLOOKUP($B142,INDIRECT($B$5&amp;"生成成长"),3))*(VLOOKUP($B$5,标准坦克设计!$B$14:$K$20,9)/30))</f>
        <v>5.3276706001942893</v>
      </c>
      <c r="V142" s="173">
        <f ca="1">(VLOOKUP(V$72,INDIRECT($C$5&amp;"生成成长"),2))/((VLOOKUP($B142,INDIRECT($B$5&amp;"生成成长"),4))/(VLOOKUP(V$72,INDIRECT($C$5&amp;"生成成长"),5))*(VLOOKUP($B$5,标准坦克设计!$B$24:$U$30,MATCH("对"&amp;LEFT($C$5,2)&amp;"输出",标准坦克设计!$B$23:$U$23,0)))*(VLOOKUP($B142,INDIRECT($B$5&amp;"生成成长"),3))*(VLOOKUP($B$5,标准坦克设计!$B$14:$K$20,9)/30))</f>
        <v>5.8255824574156749</v>
      </c>
      <c r="W142" s="173">
        <f ca="1">(VLOOKUP(W$72,INDIRECT($C$5&amp;"生成成长"),2))/((VLOOKUP($B142,INDIRECT($B$5&amp;"生成成长"),4))/(VLOOKUP(W$72,INDIRECT($C$5&amp;"生成成长"),5))*(VLOOKUP($B$5,标准坦克设计!$B$24:$U$30,MATCH("对"&amp;LEFT($C$5,2)&amp;"输出",标准坦克设计!$B$23:$U$23,0)))*(VLOOKUP($B142,INDIRECT($B$5&amp;"生成成长"),3))*(VLOOKUP($B$5,标准坦克设计!$B$14:$K$20,9)/30))</f>
        <v>6.3457335539174178</v>
      </c>
      <c r="X142" s="173">
        <f ca="1">(VLOOKUP(X$72,INDIRECT($C$5&amp;"生成成长"),2))/((VLOOKUP($B142,INDIRECT($B$5&amp;"生成成长"),4))/(VLOOKUP(X$72,INDIRECT($C$5&amp;"生成成长"),5))*(VLOOKUP($B$5,标准坦克设计!$B$24:$U$30,MATCH("对"&amp;LEFT($C$5,2)&amp;"输出",标准坦克设计!$B$23:$U$23,0)))*(VLOOKUP($B142,INDIRECT($B$5&amp;"生成成长"),3))*(VLOOKUP($B$5,标准坦克设计!$B$14:$K$20,9)/30))</f>
        <v>4.5973449645676672</v>
      </c>
      <c r="Y142" s="173">
        <f ca="1">(VLOOKUP(Y$72,INDIRECT($C$5&amp;"生成成长"),2))/((VLOOKUP($B142,INDIRECT($B$5&amp;"生成成长"),4))/(VLOOKUP(Y$72,INDIRECT($C$5&amp;"生成成长"),5))*(VLOOKUP($B$5,标准坦克设计!$B$24:$U$30,MATCH("对"&amp;LEFT($C$5,2)&amp;"输出",标准坦克设计!$B$23:$U$23,0)))*(VLOOKUP($B142,INDIRECT($B$5&amp;"生成成长"),3))*(VLOOKUP($B$5,标准坦克设计!$B$14:$K$20,9)/30))</f>
        <v>5.1135149626797167</v>
      </c>
      <c r="Z142" s="173">
        <f ca="1">(VLOOKUP(Z$72,INDIRECT($C$5&amp;"生成成长"),2))/((VLOOKUP($B142,INDIRECT($B$5&amp;"生成成长"),4))/(VLOOKUP(Z$72,INDIRECT($C$5&amp;"生成成长"),5))*(VLOOKUP($B$5,标准坦克设计!$B$24:$U$30,MATCH("对"&amp;LEFT($C$5,2)&amp;"输出",标准坦克设计!$B$23:$U$23,0)))*(VLOOKUP($B142,INDIRECT($B$5&amp;"生成成长"),3))*(VLOOKUP($B$5,标准坦克设计!$B$14:$K$20,9)/30))</f>
        <v>5.6571408117551734</v>
      </c>
      <c r="AA142" s="173">
        <f ca="1">(VLOOKUP(AA$72,INDIRECT($C$5&amp;"生成成长"),2))/((VLOOKUP($B142,INDIRECT($B$5&amp;"生成成长"),4))/(VLOOKUP(AA$72,INDIRECT($C$5&amp;"生成成长"),5))*(VLOOKUP($B$5,标准坦克设计!$B$24:$U$30,MATCH("对"&amp;LEFT($C$5,2)&amp;"输出",标准坦克设计!$B$23:$U$23,0)))*(VLOOKUP($B142,INDIRECT($B$5&amp;"生成成长"),3))*(VLOOKUP($B$5,标准坦克设计!$B$14:$K$20,9)/30))</f>
        <v>6.2282225117940353</v>
      </c>
      <c r="AB142" s="173">
        <f ca="1">(VLOOKUP(AB$72,INDIRECT($C$5&amp;"生成成长"),2))/((VLOOKUP($B142,INDIRECT($B$5&amp;"生成成长"),4))/(VLOOKUP(AB$72,INDIRECT($C$5&amp;"生成成长"),5))*(VLOOKUP($B$5,标准坦克设计!$B$24:$U$30,MATCH("对"&amp;LEFT($C$5,2)&amp;"输出",标准坦克设计!$B$23:$U$23,0)))*(VLOOKUP($B142,INDIRECT($B$5&amp;"生成成长"),3))*(VLOOKUP($B$5,标准坦克设计!$B$14:$K$20,9)/30))</f>
        <v>6.826760062796307</v>
      </c>
      <c r="AC142" s="173">
        <f ca="1">(VLOOKUP(AC$72,INDIRECT($C$5&amp;"生成成长"),2))/((VLOOKUP($B142,INDIRECT($B$5&amp;"生成成长"),4))/(VLOOKUP(AC$72,INDIRECT($C$5&amp;"生成成长"),5))*(VLOOKUP($B$5,标准坦克设计!$B$24:$U$30,MATCH("对"&amp;LEFT($C$5,2)&amp;"输出",标准坦克设计!$B$23:$U$23,0)))*(VLOOKUP($B142,INDIRECT($B$5&amp;"生成成长"),3))*(VLOOKUP($B$5,标准坦克设计!$B$14:$K$20,9)/30))</f>
        <v>7.4527534647619822</v>
      </c>
      <c r="AD142" s="173">
        <f ca="1">(VLOOKUP(AD$72,INDIRECT($C$5&amp;"生成成长"),2))/((VLOOKUP($B142,INDIRECT($B$5&amp;"生成成长"),4))/(VLOOKUP(AD$72,INDIRECT($C$5&amp;"生成成长"),5))*(VLOOKUP($B$5,标准坦克设计!$B$24:$U$30,MATCH("对"&amp;LEFT($C$5,2)&amp;"输出",标准坦克设计!$B$23:$U$23,0)))*(VLOOKUP($B142,INDIRECT($B$5&amp;"生成成长"),3))*(VLOOKUP($B$5,标准坦克设计!$B$14:$K$20,9)/30))</f>
        <v>8.1062027176910671</v>
      </c>
      <c r="AE142" s="173">
        <f ca="1">(VLOOKUP(AE$72,INDIRECT($C$5&amp;"生成成长"),2))/((VLOOKUP($B142,INDIRECT($B$5&amp;"生成成长"),4))/(VLOOKUP(AE$72,INDIRECT($C$5&amp;"生成成长"),5))*(VLOOKUP($B$5,标准坦克设计!$B$24:$U$30,MATCH("对"&amp;LEFT($C$5,2)&amp;"输出",标准坦克设计!$B$23:$U$23,0)))*(VLOOKUP($B142,INDIRECT($B$5&amp;"生成成长"),3))*(VLOOKUP($B$5,标准坦克设计!$B$14:$K$20,9)/30))</f>
        <v>8.7871078215835592</v>
      </c>
      <c r="AF142" s="173">
        <f ca="1">(VLOOKUP(AF$72,INDIRECT($C$5&amp;"生成成长"),2))/((VLOOKUP($B142,INDIRECT($B$5&amp;"生成成长"),4))/(VLOOKUP(AF$72,INDIRECT($C$5&amp;"生成成长"),5))*(VLOOKUP($B$5,标准坦克设计!$B$24:$U$30,MATCH("对"&amp;LEFT($C$5,2)&amp;"输出",标准坦克设计!$B$23:$U$23,0)))*(VLOOKUP($B142,INDIRECT($B$5&amp;"生成成长"),3))*(VLOOKUP($B$5,标准坦克设计!$B$14:$K$20,9)/30))</f>
        <v>9.4954687764394556</v>
      </c>
      <c r="AG142" s="173">
        <f ca="1">(VLOOKUP(AG$72,INDIRECT($C$5&amp;"生成成长"),2))/((VLOOKUP($B142,INDIRECT($B$5&amp;"生成成长"),4))/(VLOOKUP(AG$72,INDIRECT($C$5&amp;"生成成长"),5))*(VLOOKUP($B$5,标准坦克设计!$B$24:$U$30,MATCH("对"&amp;LEFT($C$5,2)&amp;"输出",标准坦克设计!$B$23:$U$23,0)))*(VLOOKUP($B142,INDIRECT($B$5&amp;"生成成长"),3))*(VLOOKUP($B$5,标准坦克设计!$B$14:$K$20,9)/30))</f>
        <v>10.231285582258762</v>
      </c>
      <c r="AH142" s="173">
        <f ca="1">(VLOOKUP(AH$72,INDIRECT($C$5&amp;"生成成长"),2))/((VLOOKUP($B142,INDIRECT($B$5&amp;"生成成长"),4))/(VLOOKUP(AH$72,INDIRECT($C$5&amp;"生成成长"),5))*(VLOOKUP($B$5,标准坦克设计!$B$24:$U$30,MATCH("对"&amp;LEFT($C$5,2)&amp;"输出",标准坦克设计!$B$23:$U$23,0)))*(VLOOKUP($B142,INDIRECT($B$5&amp;"生成成长"),3))*(VLOOKUP($B$5,标准坦克设计!$B$14:$K$20,9)/30))</f>
        <v>10.994558239041472</v>
      </c>
      <c r="AI142" s="173">
        <f ca="1">(VLOOKUP(AI$72,INDIRECT($C$5&amp;"生成成长"),2))/((VLOOKUP($B142,INDIRECT($B$5&amp;"生成成长"),4))/(VLOOKUP(AI$72,INDIRECT($C$5&amp;"生成成长"),5))*(VLOOKUP($B$5,标准坦克设计!$B$24:$U$30,MATCH("对"&amp;LEFT($C$5,2)&amp;"输出",标准坦克设计!$B$23:$U$23,0)))*(VLOOKUP($B142,INDIRECT($B$5&amp;"生成成长"),3))*(VLOOKUP($B$5,标准坦克设计!$B$14:$K$20,9)/30))</f>
        <v>7.7760461098561002</v>
      </c>
      <c r="AJ142" s="173">
        <f ca="1">(VLOOKUP(AJ$72,INDIRECT($C$5&amp;"生成成长"),2))/((VLOOKUP($B142,INDIRECT($B$5&amp;"生成成长"),4))/(VLOOKUP(AJ$72,INDIRECT($C$5&amp;"生成成长"),5))*(VLOOKUP($B$5,标准坦克设计!$B$24:$U$30,MATCH("对"&amp;LEFT($C$5,2)&amp;"输出",标准坦克设计!$B$23:$U$23,0)))*(VLOOKUP($B142,INDIRECT($B$5&amp;"生成成长"),3))*(VLOOKUP($B$5,标准坦克设计!$B$14:$K$20,9)/30))</f>
        <v>8.5114510779109533</v>
      </c>
      <c r="AK142" s="173">
        <f ca="1">(VLOOKUP(AK$72,INDIRECT($C$5&amp;"生成成长"),2))/((VLOOKUP($B142,INDIRECT($B$5&amp;"生成成长"),4))/(VLOOKUP(AK$72,INDIRECT($C$5&amp;"生成成长"),5))*(VLOOKUP($B$5,标准坦克设计!$B$24:$U$30,MATCH("对"&amp;LEFT($C$5,2)&amp;"输出",标准坦克设计!$B$23:$U$23,0)))*(VLOOKUP($B142,INDIRECT($B$5&amp;"生成成长"),3))*(VLOOKUP($B$5,标准坦克设计!$B$14:$K$20,9)/30))</f>
        <v>9.2800776256315292</v>
      </c>
      <c r="AL142" s="173">
        <f ca="1">(VLOOKUP(AL$72,INDIRECT($C$5&amp;"生成成长"),2))/((VLOOKUP($B142,INDIRECT($B$5&amp;"生成成长"),4))/(VLOOKUP(AL$72,INDIRECT($C$5&amp;"生成成长"),5))*(VLOOKUP($B$5,标准坦克设计!$B$24:$U$30,MATCH("对"&amp;LEFT($C$5,2)&amp;"输出",标准坦克设计!$B$23:$U$23,0)))*(VLOOKUP($B142,INDIRECT($B$5&amp;"生成成长"),3))*(VLOOKUP($B$5,标准坦克设计!$B$14:$K$20,9)/30))</f>
        <v>10.081925753017828</v>
      </c>
      <c r="AM142" s="173">
        <f ca="1">(VLOOKUP(AM$72,INDIRECT($C$5&amp;"生成成长"),2))/((VLOOKUP($B142,INDIRECT($B$5&amp;"生成成长"),4))/(VLOOKUP(AM$72,INDIRECT($C$5&amp;"生成成长"),5))*(VLOOKUP($B$5,标准坦克设计!$B$24:$U$30,MATCH("对"&amp;LEFT($C$5,2)&amp;"输出",标准坦克设计!$B$23:$U$23,0)))*(VLOOKUP($B142,INDIRECT($B$5&amp;"生成成长"),3))*(VLOOKUP($B$5,标准坦克设计!$B$14:$K$20,9)/30))</f>
        <v>10.916995460069847</v>
      </c>
      <c r="AN142" s="173">
        <f ca="1">(VLOOKUP(AN$72,INDIRECT($C$5&amp;"生成成长"),2))/((VLOOKUP($B142,INDIRECT($B$5&amp;"生成成长"),4))/(VLOOKUP(AN$72,INDIRECT($C$5&amp;"生成成长"),5))*(VLOOKUP($B$5,标准坦克设计!$B$24:$U$30,MATCH("对"&amp;LEFT($C$5,2)&amp;"输出",标准坦克设计!$B$23:$U$23,0)))*(VLOOKUP($B142,INDIRECT($B$5&amp;"生成成长"),3))*(VLOOKUP($B$5,标准坦克设计!$B$14:$K$20,9)/30))</f>
        <v>11.785286746787591</v>
      </c>
      <c r="AO142" s="173">
        <f ca="1">(VLOOKUP(AO$72,INDIRECT($C$5&amp;"生成成长"),2))/((VLOOKUP($B142,INDIRECT($B$5&amp;"生成成长"),4))/(VLOOKUP(AO$72,INDIRECT($C$5&amp;"生成成长"),5))*(VLOOKUP($B$5,标准坦克设计!$B$24:$U$30,MATCH("对"&amp;LEFT($C$5,2)&amp;"输出",标准坦克设计!$B$23:$U$23,0)))*(VLOOKUP($B142,INDIRECT($B$5&amp;"生成成长"),3))*(VLOOKUP($B$5,标准坦克设计!$B$14:$K$20,9)/30))</f>
        <v>12.686799613171056</v>
      </c>
      <c r="AP142" s="173">
        <f ca="1">(VLOOKUP(AP$72,INDIRECT($C$5&amp;"生成成长"),2))/((VLOOKUP($B142,INDIRECT($B$5&amp;"生成成长"),4))/(VLOOKUP(AP$72,INDIRECT($C$5&amp;"生成成长"),5))*(VLOOKUP($B$5,标准坦克设计!$B$24:$U$30,MATCH("对"&amp;LEFT($C$5,2)&amp;"输出",标准坦克设计!$B$23:$U$23,0)))*(VLOOKUP($B142,INDIRECT($B$5&amp;"生成成长"),3))*(VLOOKUP($B$5,标准坦克设计!$B$14:$K$20,9)/30))</f>
        <v>13.621534059220243</v>
      </c>
      <c r="AQ142" s="173">
        <f ca="1">(VLOOKUP(AQ$72,INDIRECT($C$5&amp;"生成成长"),2))/((VLOOKUP($B142,INDIRECT($B$5&amp;"生成成长"),4))/(VLOOKUP(AQ$72,INDIRECT($C$5&amp;"生成成长"),5))*(VLOOKUP($B$5,标准坦克设计!$B$24:$U$30,MATCH("对"&amp;LEFT($C$5,2)&amp;"输出",标准坦克设计!$B$23:$U$23,0)))*(VLOOKUP($B142,INDIRECT($B$5&amp;"生成成长"),3))*(VLOOKUP($B$5,标准坦克设计!$B$14:$K$20,9)/30))</f>
        <v>14.589490084935154</v>
      </c>
      <c r="AR142" s="173">
        <f ca="1">(VLOOKUP(AR$72,INDIRECT($C$5&amp;"生成成长"),2))/((VLOOKUP($B142,INDIRECT($B$5&amp;"生成成长"),4))/(VLOOKUP(AR$72,INDIRECT($C$5&amp;"生成成长"),5))*(VLOOKUP($B$5,标准坦克设计!$B$24:$U$30,MATCH("对"&amp;LEFT($C$5,2)&amp;"输出",标准坦克设计!$B$23:$U$23,0)))*(VLOOKUP($B142,INDIRECT($B$5&amp;"生成成长"),3))*(VLOOKUP($B$5,标准坦克设计!$B$14:$K$20,9)/30))</f>
        <v>15.590667690315785</v>
      </c>
      <c r="AS142" s="173">
        <f ca="1">(VLOOKUP(AS$72,INDIRECT($C$5&amp;"生成成长"),2))/((VLOOKUP($B142,INDIRECT($B$5&amp;"生成成长"),4))/(VLOOKUP(AS$72,INDIRECT($C$5&amp;"生成成长"),5))*(VLOOKUP($B$5,标准坦克设计!$B$24:$U$30,MATCH("对"&amp;LEFT($C$5,2)&amp;"输出",标准坦克设计!$B$23:$U$23,0)))*(VLOOKUP($B142,INDIRECT($B$5&amp;"生成成长"),3))*(VLOOKUP($B$5,标准坦克设计!$B$14:$K$20,9)/30))</f>
        <v>16.625066875362144</v>
      </c>
      <c r="AT142" s="173">
        <f ca="1">(VLOOKUP(AT$72,INDIRECT($C$5&amp;"生成成长"),2))/((VLOOKUP($B142,INDIRECT($B$5&amp;"生成成长"),4))/(VLOOKUP(AT$72,INDIRECT($C$5&amp;"生成成长"),5))*(VLOOKUP($B$5,标准坦克设计!$B$24:$U$30,MATCH("对"&amp;LEFT($C$5,2)&amp;"输出",标准坦克设计!$B$23:$U$23,0)))*(VLOOKUP($B142,INDIRECT($B$5&amp;"生成成长"),3))*(VLOOKUP($B$5,标准坦克设计!$B$14:$K$20,9)/30))</f>
        <v>17.692687640074219</v>
      </c>
      <c r="AU142" s="173">
        <f ca="1">(VLOOKUP(AU$72,INDIRECT($C$5&amp;"生成成长"),2))/((VLOOKUP($B142,INDIRECT($B$5&amp;"生成成长"),4))/(VLOOKUP(AU$72,INDIRECT($C$5&amp;"生成成长"),5))*(VLOOKUP($B$5,标准坦克设计!$B$24:$U$30,MATCH("对"&amp;LEFT($C$5,2)&amp;"输出",标准坦克设计!$B$23:$U$23,0)))*(VLOOKUP($B142,INDIRECT($B$5&amp;"生成成长"),3))*(VLOOKUP($B$5,标准坦克设计!$B$14:$K$20,9)/30))</f>
        <v>18.793529984452018</v>
      </c>
      <c r="AV142" s="173">
        <f ca="1">(VLOOKUP(AV$72,INDIRECT($C$5&amp;"生成成长"),2))/((VLOOKUP($B142,INDIRECT($B$5&amp;"生成成长"),4))/(VLOOKUP(AV$72,INDIRECT($C$5&amp;"生成成长"),5))*(VLOOKUP($B$5,标准坦克设计!$B$24:$U$30,MATCH("对"&amp;LEFT($C$5,2)&amp;"输出",标准坦克设计!$B$23:$U$23,0)))*(VLOOKUP($B142,INDIRECT($B$5&amp;"生成成长"),3))*(VLOOKUP($B$5,标准坦克设计!$B$14:$K$20,9)/30))</f>
        <v>1.9114763440723876</v>
      </c>
      <c r="AW142" s="173">
        <f ca="1">(VLOOKUP(AW$72,INDIRECT($C$5&amp;"生成成长"),2))/((VLOOKUP($B142,INDIRECT($B$5&amp;"生成成长"),4))/(VLOOKUP(AW$72,INDIRECT($C$5&amp;"生成成长"),5))*(VLOOKUP($B$5,标准坦克设计!$B$24:$U$30,MATCH("对"&amp;LEFT($C$5,2)&amp;"输出",标准坦克设计!$B$23:$U$23,0)))*(VLOOKUP($B142,INDIRECT($B$5&amp;"生成成长"),3))*(VLOOKUP($B$5,标准坦克设计!$B$14:$K$20,9)/30))</f>
        <v>2.1794454494752391</v>
      </c>
      <c r="AX142" s="173">
        <f ca="1">(VLOOKUP(AX$72,INDIRECT($C$5&amp;"生成成长"),2))/((VLOOKUP($B142,INDIRECT($B$5&amp;"生成成长"),4))/(VLOOKUP(AX$72,INDIRECT($C$5&amp;"生成成长"),5))*(VLOOKUP($B$5,标准坦克设计!$B$24:$U$30,MATCH("对"&amp;LEFT($C$5,2)&amp;"输出",标准坦克设计!$B$23:$U$23,0)))*(VLOOKUP($B142,INDIRECT($B$5&amp;"生成成长"),3))*(VLOOKUP($B$5,标准坦克设计!$B$14:$K$20,9)/30))</f>
        <v>2.4649862994946705</v>
      </c>
      <c r="AY142" s="173">
        <f ca="1">(VLOOKUP(AY$72,INDIRECT($C$5&amp;"生成成长"),2))/((VLOOKUP($B142,INDIRECT($B$5&amp;"生成成长"),4))/(VLOOKUP(AY$72,INDIRECT($C$5&amp;"生成成长"),5))*(VLOOKUP($B$5,标准坦克设计!$B$24:$U$30,MATCH("对"&amp;LEFT($C$5,2)&amp;"输出",标准坦克设计!$B$23:$U$23,0)))*(VLOOKUP($B142,INDIRECT($B$5&amp;"生成成长"),3))*(VLOOKUP($B$5,标准坦克设计!$B$14:$K$20,9)/30))</f>
        <v>2.768098894130683</v>
      </c>
      <c r="AZ142" s="173">
        <f ca="1">(VLOOKUP(AZ$72,INDIRECT($C$5&amp;"生成成长"),2))/((VLOOKUP($B142,INDIRECT($B$5&amp;"生成成长"),4))/(VLOOKUP(AZ$72,INDIRECT($C$5&amp;"生成成长"),5))*(VLOOKUP($B$5,标准坦克设计!$B$24:$U$30,MATCH("对"&amp;LEFT($C$5,2)&amp;"输出",标准坦克设计!$B$23:$U$23,0)))*(VLOOKUP($B142,INDIRECT($B$5&amp;"生成成长"),3))*(VLOOKUP($B$5,标准坦克设计!$B$14:$K$20,9)/30))</f>
        <v>3.0887832333832757</v>
      </c>
      <c r="BA142" s="173">
        <f ca="1">(VLOOKUP(BA$72,INDIRECT($C$5&amp;"生成成长"),2))/((VLOOKUP($B142,INDIRECT($B$5&amp;"生成成长"),4))/(VLOOKUP(BA$72,INDIRECT($C$5&amp;"生成成长"),5))*(VLOOKUP($B$5,标准坦克设计!$B$24:$U$30,MATCH("对"&amp;LEFT($C$5,2)&amp;"输出",标准坦克设计!$B$23:$U$23,0)))*(VLOOKUP($B142,INDIRECT($B$5&amp;"生成成长"),3))*(VLOOKUP($B$5,标准坦克设计!$B$14:$K$20,9)/30))</f>
        <v>3.4270393172524476</v>
      </c>
      <c r="BB142" s="173">
        <f ca="1">(VLOOKUP(BB$72,INDIRECT($C$5&amp;"生成成长"),2))/((VLOOKUP($B142,INDIRECT($B$5&amp;"生成成长"),4))/(VLOOKUP(BB$72,INDIRECT($C$5&amp;"生成成长"),5))*(VLOOKUP($B$5,标准坦克设计!$B$24:$U$30,MATCH("对"&amp;LEFT($C$5,2)&amp;"输出",标准坦克设计!$B$23:$U$23,0)))*(VLOOKUP($B142,INDIRECT($B$5&amp;"生成成长"),3))*(VLOOKUP($B$5,标准坦克设计!$B$14:$K$20,9)/30))</f>
        <v>3.7828671457382019</v>
      </c>
      <c r="BC142" s="173">
        <f ca="1">(VLOOKUP(BC$72,INDIRECT($C$5&amp;"生成成长"),2))/((VLOOKUP($B142,INDIRECT($B$5&amp;"生成成长"),4))/(VLOOKUP(BC$72,INDIRECT($C$5&amp;"生成成长"),5))*(VLOOKUP($B$5,标准坦克设计!$B$24:$U$30,MATCH("对"&amp;LEFT($C$5,2)&amp;"输出",标准坦克设计!$B$23:$U$23,0)))*(VLOOKUP($B142,INDIRECT($B$5&amp;"生成成长"),3))*(VLOOKUP($B$5,标准坦克设计!$B$14:$K$20,9)/30))</f>
        <v>4.156266718840536</v>
      </c>
      <c r="BD142" s="173">
        <f ca="1">(VLOOKUP(BD$72,INDIRECT($C$5&amp;"生成成长"),2))/((VLOOKUP($B142,INDIRECT($B$5&amp;"生成成长"),4))/(VLOOKUP(BD$72,INDIRECT($C$5&amp;"生成成长"),5))*(VLOOKUP($B$5,标准坦克设计!$B$24:$U$30,MATCH("对"&amp;LEFT($C$5,2)&amp;"输出",标准坦克设计!$B$23:$U$23,0)))*(VLOOKUP($B142,INDIRECT($B$5&amp;"生成成长"),3))*(VLOOKUP($B$5,标准坦克设计!$B$14:$K$20,9)/30))</f>
        <v>4.5973449645676672</v>
      </c>
      <c r="BE142" s="173">
        <f ca="1">(VLOOKUP(BE$72,INDIRECT($C$5&amp;"生成成长"),2))/((VLOOKUP($B142,INDIRECT($B$5&amp;"生成成长"),4))/(VLOOKUP(BE$72,INDIRECT($C$5&amp;"生成成长"),5))*(VLOOKUP($B$5,标准坦克设计!$B$24:$U$30,MATCH("对"&amp;LEFT($C$5,2)&amp;"输出",标准坦克设计!$B$23:$U$23,0)))*(VLOOKUP($B142,INDIRECT($B$5&amp;"生成成长"),3))*(VLOOKUP($B$5,标准坦克设计!$B$14:$K$20,9)/30))</f>
        <v>5.0606624495751582</v>
      </c>
      <c r="BF142" s="173">
        <f ca="1">(VLOOKUP(BF$72,INDIRECT($C$5&amp;"生成成长"),2))/((VLOOKUP($B142,INDIRECT($B$5&amp;"生成成长"),4))/(VLOOKUP(BF$72,INDIRECT($C$5&amp;"生成成长"),5))*(VLOOKUP($B$5,标准坦克设计!$B$24:$U$30,MATCH("对"&amp;LEFT($C$5,2)&amp;"输出",标准坦克设计!$B$23:$U$23,0)))*(VLOOKUP($B142,INDIRECT($B$5&amp;"生成成长"),3))*(VLOOKUP($B$5,标准坦克设计!$B$14:$K$20,9)/30))</f>
        <v>5.5462191738630091</v>
      </c>
      <c r="BG142" s="173">
        <f ca="1">(VLOOKUP(BG$72,INDIRECT($C$5&amp;"生成成长"),2))/((VLOOKUP($B142,INDIRECT($B$5&amp;"生成成长"),4))/(VLOOKUP(BG$72,INDIRECT($C$5&amp;"生成成长"),5))*(VLOOKUP($B$5,标准坦克设计!$B$24:$U$30,MATCH("对"&amp;LEFT($C$5,2)&amp;"输出",标准坦克设计!$B$23:$U$23,0)))*(VLOOKUP($B142,INDIRECT($B$5&amp;"生成成长"),3))*(VLOOKUP($B$5,标准坦克设计!$B$14:$K$20,9)/30))</f>
        <v>6.054015137431219</v>
      </c>
      <c r="BH142" s="173">
        <f ca="1">(VLOOKUP(BH$72,INDIRECT($C$5&amp;"生成成长"),2))/((VLOOKUP($B142,INDIRECT($B$5&amp;"生成成长"),4))/(VLOOKUP(BH$72,INDIRECT($C$5&amp;"生成成长"),5))*(VLOOKUP($B$5,标准坦克设计!$B$24:$U$30,MATCH("对"&amp;LEFT($C$5,2)&amp;"输出",标准坦克设计!$B$23:$U$23,0)))*(VLOOKUP($B142,INDIRECT($B$5&amp;"生成成长"),3))*(VLOOKUP($B$5,标准坦克设计!$B$14:$K$20,9)/30))</f>
        <v>2.9262445956799068</v>
      </c>
      <c r="BI142" s="173">
        <f ca="1">(VLOOKUP(BI$72,INDIRECT($C$5&amp;"生成成长"),2))/((VLOOKUP($B142,INDIRECT($B$5&amp;"生成成长"),4))/(VLOOKUP(BI$72,INDIRECT($C$5&amp;"生成成长"),5))*(VLOOKUP($B$5,标准坦克设计!$B$24:$U$30,MATCH("对"&amp;LEFT($C$5,2)&amp;"输出",标准坦克设计!$B$23:$U$23,0)))*(VLOOKUP($B142,INDIRECT($B$5&amp;"生成成长"),3))*(VLOOKUP($B$5,标准坦克设计!$B$14:$K$20,9)/30))</f>
        <v>3.2981340969792527</v>
      </c>
      <c r="BJ142" s="173">
        <f ca="1">(VLOOKUP(BJ$72,INDIRECT($C$5&amp;"生成成长"),2))/((VLOOKUP($B142,INDIRECT($B$5&amp;"生成成长"),4))/(VLOOKUP(BJ$72,INDIRECT($C$5&amp;"生成成长"),5))*(VLOOKUP($B$5,标准坦克设计!$B$24:$U$30,MATCH("对"&amp;LEFT($C$5,2)&amp;"输出",标准坦克设计!$B$23:$U$23,0)))*(VLOOKUP($B142,INDIRECT($B$5&amp;"生成成长"),3))*(VLOOKUP($B$5,标准坦克设计!$B$14:$K$20,9)/30))</f>
        <v>3.6922628375589586</v>
      </c>
      <c r="BK142" s="173">
        <f ca="1">(VLOOKUP(BK$72,INDIRECT($C$5&amp;"生成成长"),2))/((VLOOKUP($B142,INDIRECT($B$5&amp;"生成成长"),4))/(VLOOKUP(BK$72,INDIRECT($C$5&amp;"生成成长"),5))*(VLOOKUP($B$5,标准坦克设计!$B$24:$U$30,MATCH("对"&amp;LEFT($C$5,2)&amp;"输出",标准坦克设计!$B$23:$U$23,0)))*(VLOOKUP($B142,INDIRECT($B$5&amp;"生成成长"),3))*(VLOOKUP($B$5,标准坦克设计!$B$14:$K$20,9)/30))</f>
        <v>4.1086308174190247</v>
      </c>
      <c r="BL142" s="173">
        <f ca="1">(VLOOKUP(BL$72,INDIRECT($C$5&amp;"生成成长"),2))/((VLOOKUP($B142,INDIRECT($B$5&amp;"生成成长"),4))/(VLOOKUP(BL$72,INDIRECT($C$5&amp;"生成成长"),5))*(VLOOKUP($B$5,标准坦克设计!$B$24:$U$30,MATCH("对"&amp;LEFT($C$5,2)&amp;"输出",标准坦克设计!$B$23:$U$23,0)))*(VLOOKUP($B142,INDIRECT($B$5&amp;"生成成长"),3))*(VLOOKUP($B$5,标准坦克设计!$B$14:$K$20,9)/30))</f>
        <v>4.5472380365594489</v>
      </c>
      <c r="BM142" s="173">
        <f ca="1">(VLOOKUP(BM$72,INDIRECT($C$5&amp;"生成成长"),2))/((VLOOKUP($B142,INDIRECT($B$5&amp;"生成成长"),4))/(VLOOKUP(BM$72,INDIRECT($C$5&amp;"生成成长"),5))*(VLOOKUP($B$5,标准坦克设计!$B$24:$U$30,MATCH("对"&amp;LEFT($C$5,2)&amp;"输出",标准坦克设计!$B$23:$U$23,0)))*(VLOOKUP($B142,INDIRECT($B$5&amp;"生成成长"),3))*(VLOOKUP($B$5,标准坦克设计!$B$14:$K$20,9)/30))</f>
        <v>5.008084494980233</v>
      </c>
      <c r="BN142" s="173">
        <f ca="1">(VLOOKUP(BN$72,INDIRECT($C$5&amp;"生成成长"),2))/((VLOOKUP($B142,INDIRECT($B$5&amp;"生成成长"),4))/(VLOOKUP(BN$72,INDIRECT($C$5&amp;"生成成长"),5))*(VLOOKUP($B$5,标准坦克设计!$B$24:$U$30,MATCH("对"&amp;LEFT($C$5,2)&amp;"输出",标准坦克设计!$B$23:$U$23,0)))*(VLOOKUP($B142,INDIRECT($B$5&amp;"生成成长"),3))*(VLOOKUP($B$5,标准坦克设计!$B$14:$K$20,9)/30))</f>
        <v>5.4911701926813778</v>
      </c>
      <c r="BO142" s="173">
        <f ca="1">(VLOOKUP(BO$72,INDIRECT($C$5&amp;"生成成长"),2))/((VLOOKUP($B142,INDIRECT($B$5&amp;"生成成长"),4))/(VLOOKUP(BO$72,INDIRECT($C$5&amp;"生成成长"),5))*(VLOOKUP($B$5,标准坦克设计!$B$24:$U$30,MATCH("对"&amp;LEFT($C$5,2)&amp;"输出",标准坦克设计!$B$23:$U$23,0)))*(VLOOKUP($B142,INDIRECT($B$5&amp;"生成成长"),3))*(VLOOKUP($B$5,标准坦克设计!$B$14:$K$20,9)/30))</f>
        <v>5.9964951296628817</v>
      </c>
      <c r="BP142" s="173">
        <f ca="1">(VLOOKUP(BP$72,INDIRECT($C$5&amp;"生成成长"),2))/((VLOOKUP($B142,INDIRECT($B$5&amp;"生成成长"),4))/(VLOOKUP(BP$72,INDIRECT($C$5&amp;"生成成长"),5))*(VLOOKUP($B$5,标准坦克设计!$B$24:$U$30,MATCH("对"&amp;LEFT($C$5,2)&amp;"输出",标准坦克设计!$B$23:$U$23,0)))*(VLOOKUP($B142,INDIRECT($B$5&amp;"生成成长"),3))*(VLOOKUP($B$5,标准坦克设计!$B$14:$K$20,9)/30))</f>
        <v>6.5240593059247463</v>
      </c>
      <c r="BQ142" s="173">
        <f ca="1">(VLOOKUP(BQ$72,INDIRECT($C$5&amp;"生成成长"),2))/((VLOOKUP($B142,INDIRECT($B$5&amp;"生成成长"),4))/(VLOOKUP(BQ$72,INDIRECT($C$5&amp;"生成成长"),5))*(VLOOKUP($B$5,标准坦克设计!$B$24:$U$30,MATCH("对"&amp;LEFT($C$5,2)&amp;"输出",标准坦克设计!$B$23:$U$23,0)))*(VLOOKUP($B142,INDIRECT($B$5&amp;"生成成长"),3))*(VLOOKUP($B$5,标准坦克设计!$B$14:$K$20,9)/30))</f>
        <v>7.073862721466968</v>
      </c>
      <c r="BR142" s="173">
        <f ca="1">(VLOOKUP(BR$72,INDIRECT($C$5&amp;"生成成长"),2))/((VLOOKUP($B142,INDIRECT($B$5&amp;"生成成长"),4))/(VLOOKUP(BR$72,INDIRECT($C$5&amp;"生成成长"),5))*(VLOOKUP($B$5,标准坦克设计!$B$24:$U$30,MATCH("对"&amp;LEFT($C$5,2)&amp;"输出",标准坦克设计!$B$23:$U$23,0)))*(VLOOKUP($B142,INDIRECT($B$5&amp;"生成成长"),3))*(VLOOKUP($B$5,标准坦克设计!$B$14:$K$20,9)/30))</f>
        <v>7.7108384638180079</v>
      </c>
      <c r="BS142" s="173">
        <f ca="1">(VLOOKUP(BS$72,INDIRECT($C$5&amp;"生成成长"),2))/((VLOOKUP($B142,INDIRECT($B$5&amp;"生成成长"),4))/(VLOOKUP(BS$72,INDIRECT($C$5&amp;"生成成长"),5))*(VLOOKUP($B$5,标准坦克设计!$B$24:$U$30,MATCH("对"&amp;LEFT($C$5,2)&amp;"输出",标准坦克设计!$B$23:$U$23,0)))*(VLOOKUP($B142,INDIRECT($B$5&amp;"生成成长"),3))*(VLOOKUP($B$5,标准坦克设计!$B$14:$K$20,9)/30))</f>
        <v>8.3752700571324556</v>
      </c>
      <c r="BT142" s="173">
        <f ca="1">(VLOOKUP(BT$72,INDIRECT($C$5&amp;"生成成长"),2))/((VLOOKUP($B142,INDIRECT($B$5&amp;"生成成长"),4))/(VLOOKUP(BT$72,INDIRECT($C$5&amp;"生成成长"),5))*(VLOOKUP($B$5,标准坦克设计!$B$24:$U$30,MATCH("对"&amp;LEFT($C$5,2)&amp;"输出",标准坦克设计!$B$23:$U$23,0)))*(VLOOKUP($B142,INDIRECT($B$5&amp;"生成成长"),3))*(VLOOKUP($B$5,标准坦克设计!$B$14:$K$20,9)/30))</f>
        <v>9.0671575014103087</v>
      </c>
      <c r="BU142" s="173">
        <f ca="1">(VLOOKUP(BU$72,INDIRECT($C$5&amp;"生成成长"),2))/((VLOOKUP($B142,INDIRECT($B$5&amp;"生成成长"),4))/(VLOOKUP(BU$72,INDIRECT($C$5&amp;"生成成长"),5))*(VLOOKUP($B$5,标准坦克设计!$B$24:$U$30,MATCH("对"&amp;LEFT($C$5,2)&amp;"输出",标准坦克设计!$B$23:$U$23,0)))*(VLOOKUP($B142,INDIRECT($B$5&amp;"生成成长"),3))*(VLOOKUP($B$5,标准坦克设计!$B$14:$K$20,9)/30))</f>
        <v>9.7865007966515698</v>
      </c>
      <c r="BV142" s="173">
        <f ca="1">(VLOOKUP(BV$72,INDIRECT($C$5&amp;"生成成长"),2))/((VLOOKUP($B142,INDIRECT($B$5&amp;"生成成长"),4))/(VLOOKUP(BV$72,INDIRECT($C$5&amp;"生成成长"),5))*(VLOOKUP($B$5,标准坦克设计!$B$24:$U$30,MATCH("对"&amp;LEFT($C$5,2)&amp;"输出",标准坦克设计!$B$23:$U$23,0)))*(VLOOKUP($B142,INDIRECT($B$5&amp;"生成成长"),3))*(VLOOKUP($B$5,标准坦克设计!$B$14:$K$20,9)/30))</f>
        <v>10.533299942856237</v>
      </c>
      <c r="BW142" s="173">
        <f ca="1">(VLOOKUP(BW$72,INDIRECT($C$5&amp;"生成成长"),2))/((VLOOKUP($B142,INDIRECT($B$5&amp;"生成成长"),4))/(VLOOKUP(BW$72,INDIRECT($C$5&amp;"生成成长"),5))*(VLOOKUP($B$5,标准坦克设计!$B$24:$U$30,MATCH("对"&amp;LEFT($C$5,2)&amp;"输出",标准坦克设计!$B$23:$U$23,0)))*(VLOOKUP($B142,INDIRECT($B$5&amp;"生成成长"),3))*(VLOOKUP($B$5,标准坦克设计!$B$14:$K$20,9)/30))</f>
        <v>4.8005182616968778</v>
      </c>
      <c r="BX142" s="173">
        <f ca="1">(VLOOKUP(BX$72,INDIRECT($C$5&amp;"生成成长"),2))/((VLOOKUP($B142,INDIRECT($B$5&amp;"生成成长"),4))/(VLOOKUP(BX$72,INDIRECT($C$5&amp;"生成成长"),5))*(VLOOKUP($B$5,标准坦克设计!$B$24:$U$30,MATCH("对"&amp;LEFT($C$5,2)&amp;"输出",标准坦克设计!$B$23:$U$23,0)))*(VLOOKUP($B142,INDIRECT($B$5&amp;"生成成长"),3))*(VLOOKUP($B$5,标准坦克设计!$B$14:$K$20,9)/30))</f>
        <v>5.3276706001942893</v>
      </c>
      <c r="BY142" s="173">
        <f ca="1">(VLOOKUP(BY$72,INDIRECT($C$5&amp;"生成成长"),2))/((VLOOKUP($B142,INDIRECT($B$5&amp;"生成成长"),4))/(VLOOKUP(BY$72,INDIRECT($C$5&amp;"生成成长"),5))*(VLOOKUP($B$5,标准坦克设计!$B$24:$U$30,MATCH("对"&amp;LEFT($C$5,2)&amp;"输出",标准坦克设计!$B$23:$U$23,0)))*(VLOOKUP($B142,INDIRECT($B$5&amp;"生成成长"),3))*(VLOOKUP($B$5,标准坦克设计!$B$14:$K$20,9)/30))</f>
        <v>5.8822787896551088</v>
      </c>
      <c r="BZ142" s="173">
        <f ca="1">(VLOOKUP(BZ$72,INDIRECT($C$5&amp;"生成成长"),2))/((VLOOKUP($B142,INDIRECT($B$5&amp;"生成成长"),4))/(VLOOKUP(BZ$72,INDIRECT($C$5&amp;"生成成长"),5))*(VLOOKUP($B$5,标准坦克设计!$B$24:$U$30,MATCH("对"&amp;LEFT($C$5,2)&amp;"输出",标准坦克设计!$B$23:$U$23,0)))*(VLOOKUP($B142,INDIRECT($B$5&amp;"生成成长"),3))*(VLOOKUP($B$5,标准坦克设计!$B$14:$K$20,9)/30))</f>
        <v>6.4643428300793344</v>
      </c>
      <c r="CA142" s="173">
        <f ca="1">(VLOOKUP(CA$72,INDIRECT($C$5&amp;"生成成长"),2))/((VLOOKUP($B142,INDIRECT($B$5&amp;"生成成长"),4))/(VLOOKUP(CA$72,INDIRECT($C$5&amp;"生成成长"),5))*(VLOOKUP($B$5,标准坦克设计!$B$24:$U$30,MATCH("对"&amp;LEFT($C$5,2)&amp;"输出",标准坦克设计!$B$23:$U$23,0)))*(VLOOKUP($B142,INDIRECT($B$5&amp;"生成成长"),3))*(VLOOKUP($B$5,标准坦克设计!$B$14:$K$20,9)/30))</f>
        <v>7.073862721466968</v>
      </c>
      <c r="CB142" s="173">
        <f ca="1">(VLOOKUP(CB$72,INDIRECT($C$5&amp;"生成成长"),2))/((VLOOKUP($B142,INDIRECT($B$5&amp;"生成成长"),4))/(VLOOKUP(CB$72,INDIRECT($C$5&amp;"生成成长"),5))*(VLOOKUP($B$5,标准坦克设计!$B$24:$U$30,MATCH("对"&amp;LEFT($C$5,2)&amp;"输出",标准坦克设计!$B$23:$U$23,0)))*(VLOOKUP($B142,INDIRECT($B$5&amp;"生成成长"),3))*(VLOOKUP($B$5,标准坦克设计!$B$14:$K$20,9)/30))</f>
        <v>7.7108384638180079</v>
      </c>
      <c r="CC142" s="173">
        <f ca="1">(VLOOKUP(CC$72,INDIRECT($C$5&amp;"生成成长"),2))/((VLOOKUP($B142,INDIRECT($B$5&amp;"生成成长"),4))/(VLOOKUP(CC$72,INDIRECT($C$5&amp;"生成成长"),5))*(VLOOKUP($B$5,标准坦克设计!$B$24:$U$30,MATCH("对"&amp;LEFT($C$5,2)&amp;"输出",标准坦克设计!$B$23:$U$23,0)))*(VLOOKUP($B142,INDIRECT($B$5&amp;"生成成长"),3))*(VLOOKUP($B$5,标准坦克设计!$B$14:$K$20,9)/30))</f>
        <v>8.3752700571324556</v>
      </c>
      <c r="CD142" s="173">
        <f ca="1">(VLOOKUP(CD$72,INDIRECT($C$5&amp;"生成成长"),2))/((VLOOKUP($B142,INDIRECT($B$5&amp;"生成成长"),4))/(VLOOKUP(CD$72,INDIRECT($C$5&amp;"生成成长"),5))*(VLOOKUP($B$5,标准坦克设计!$B$24:$U$30,MATCH("对"&amp;LEFT($C$5,2)&amp;"输出",标准坦克设计!$B$23:$U$23,0)))*(VLOOKUP($B142,INDIRECT($B$5&amp;"生成成长"),3))*(VLOOKUP($B$5,标准坦克设计!$B$14:$K$20,9)/30))</f>
        <v>9.0671575014103087</v>
      </c>
      <c r="CE142" s="173">
        <f ca="1">(VLOOKUP(CE$72,INDIRECT($C$5&amp;"生成成长"),2))/((VLOOKUP($B142,INDIRECT($B$5&amp;"生成成长"),4))/(VLOOKUP(CE$72,INDIRECT($C$5&amp;"生成成长"),5))*(VLOOKUP($B$5,标准坦克设计!$B$24:$U$30,MATCH("对"&amp;LEFT($C$5,2)&amp;"输出",标准坦克设计!$B$23:$U$23,0)))*(VLOOKUP($B142,INDIRECT($B$5&amp;"生成成长"),3))*(VLOOKUP($B$5,标准坦克设计!$B$14:$K$20,9)/30))</f>
        <v>9.7865007966515698</v>
      </c>
      <c r="CF142" s="173">
        <f ca="1">(VLOOKUP(CF$72,INDIRECT($C$5&amp;"生成成长"),2))/((VLOOKUP($B142,INDIRECT($B$5&amp;"生成成长"),4))/(VLOOKUP(CF$72,INDIRECT($C$5&amp;"生成成长"),5))*(VLOOKUP($B$5,标准坦克设计!$B$24:$U$30,MATCH("对"&amp;LEFT($C$5,2)&amp;"输出",标准坦克设计!$B$23:$U$23,0)))*(VLOOKUP($B142,INDIRECT($B$5&amp;"生成成长"),3))*(VLOOKUP($B$5,标准坦克设计!$B$14:$K$20,9)/30))</f>
        <v>10.533299942856237</v>
      </c>
      <c r="CG142" s="173">
        <f ca="1">(VLOOKUP(CG$72,INDIRECT($C$5&amp;"生成成长"),2))/((VLOOKUP($B142,INDIRECT($B$5&amp;"生成成长"),4))/(VLOOKUP(CG$72,INDIRECT($C$5&amp;"生成成长"),5))*(VLOOKUP($B$5,标准坦克设计!$B$24:$U$30,MATCH("对"&amp;LEFT($C$5,2)&amp;"输出",标准坦克设计!$B$23:$U$23,0)))*(VLOOKUP($B142,INDIRECT($B$5&amp;"生成成长"),3))*(VLOOKUP($B$5,标准坦克设计!$B$14:$K$20,9)/30))</f>
        <v>11.30755494002431</v>
      </c>
      <c r="CH142" s="173">
        <f ca="1">(VLOOKUP(CH$72,INDIRECT($C$5&amp;"生成成长"),2))/((VLOOKUP($B142,INDIRECT($B$5&amp;"生成成长"),4))/(VLOOKUP(CH$72,INDIRECT($C$5&amp;"生成成长"),5))*(VLOOKUP($B$5,标准坦克设计!$B$24:$U$30,MATCH("对"&amp;LEFT($C$5,2)&amp;"输出",标准坦克设计!$B$23:$U$23,0)))*(VLOOKUP($B142,INDIRECT($B$5&amp;"生成成长"),3))*(VLOOKUP($B$5,标准坦克设计!$B$14:$K$20,9)/30))</f>
        <v>12.109265788155792</v>
      </c>
      <c r="CI142" s="173">
        <f ca="1">(VLOOKUP(CI$72,INDIRECT($C$5&amp;"生成成长"),2))/((VLOOKUP($B142,INDIRECT($B$5&amp;"生成成长"),4))/(VLOOKUP(CI$72,INDIRECT($C$5&amp;"生成成长"),5))*(VLOOKUP($B$5,标准坦克设计!$B$24:$U$30,MATCH("对"&amp;LEFT($C$5,2)&amp;"输出",标准坦克设计!$B$23:$U$23,0)))*(VLOOKUP($B142,INDIRECT($B$5&amp;"生成成长"),3))*(VLOOKUP($B$5,标准坦克设计!$B$14:$K$20,9)/30))</f>
        <v>13.022859228963158</v>
      </c>
      <c r="CJ142" s="173">
        <f ca="1">(VLOOKUP(CJ$72,INDIRECT($C$5&amp;"生成成长"),2))/((VLOOKUP($B142,INDIRECT($B$5&amp;"生成成长"),4))/(VLOOKUP(CJ$72,INDIRECT($C$5&amp;"生成成长"),5))*(VLOOKUP($B$5,标准坦克设计!$B$24:$U$30,MATCH("对"&amp;LEFT($C$5,2)&amp;"输出",标准坦克设计!$B$23:$U$23,0)))*(VLOOKUP($B142,INDIRECT($B$5&amp;"生成成长"),3))*(VLOOKUP($B$5,标准坦克设计!$B$14:$K$20,9)/30))</f>
        <v>13.969674249436244</v>
      </c>
      <c r="CK142" s="173">
        <f ca="1">(VLOOKUP(CK$72,INDIRECT($C$5&amp;"生成成长"),2))/((VLOOKUP($B142,INDIRECT($B$5&amp;"生成成长"),4))/(VLOOKUP(CK$72,INDIRECT($C$5&amp;"生成成长"),5))*(VLOOKUP($B$5,标准坦克设计!$B$24:$U$30,MATCH("对"&amp;LEFT($C$5,2)&amp;"输出",标准坦克设计!$B$23:$U$23,0)))*(VLOOKUP($B142,INDIRECT($B$5&amp;"生成成长"),3))*(VLOOKUP($B$5,标准坦克设计!$B$14:$K$20,9)/30))</f>
        <v>14.949710849575052</v>
      </c>
      <c r="CL142" s="173">
        <f ca="1">(VLOOKUP(CL$72,INDIRECT($C$5&amp;"生成成长"),2))/((VLOOKUP($B142,INDIRECT($B$5&amp;"生成成长"),4))/(VLOOKUP(CL$72,INDIRECT($C$5&amp;"生成成长"),5))*(VLOOKUP($B$5,标准坦克设计!$B$24:$U$30,MATCH("对"&amp;LEFT($C$5,2)&amp;"输出",标准坦克设计!$B$23:$U$23,0)))*(VLOOKUP($B142,INDIRECT($B$5&amp;"生成成长"),3))*(VLOOKUP($B$5,标准坦克设计!$B$14:$K$20,9)/30))</f>
        <v>15.962969029379581</v>
      </c>
      <c r="CM142" s="173">
        <f ca="1">(VLOOKUP(CM$72,INDIRECT($C$5&amp;"生成成长"),2))/((VLOOKUP($B142,INDIRECT($B$5&amp;"生成成长"),4))/(VLOOKUP(CM$72,INDIRECT($C$5&amp;"生成成长"),5))*(VLOOKUP($B$5,标准坦克设计!$B$24:$U$30,MATCH("对"&amp;LEFT($C$5,2)&amp;"输出",标准坦克设计!$B$23:$U$23,0)))*(VLOOKUP($B142,INDIRECT($B$5&amp;"生成成长"),3))*(VLOOKUP($B$5,标准坦克设计!$B$14:$K$20,9)/30))</f>
        <v>17.009448788849838</v>
      </c>
      <c r="CN142" s="173">
        <f ca="1">(VLOOKUP(CN$72,INDIRECT($C$5&amp;"生成成长"),2))/((VLOOKUP($B142,INDIRECT($B$5&amp;"生成成长"),4))/(VLOOKUP(CN$72,INDIRECT($C$5&amp;"生成成长"),5))*(VLOOKUP($B$5,标准坦克设计!$B$24:$U$30,MATCH("对"&amp;LEFT($C$5,2)&amp;"输出",标准坦克设计!$B$23:$U$23,0)))*(VLOOKUP($B142,INDIRECT($B$5&amp;"生成成长"),3))*(VLOOKUP($B$5,标准坦克设计!$B$14:$K$20,9)/30))</f>
        <v>18.089150127985814</v>
      </c>
      <c r="CO142" s="173">
        <f ca="1">(VLOOKUP(CO$72,INDIRECT($C$5&amp;"生成成长"),2))/((VLOOKUP($B142,INDIRECT($B$5&amp;"生成成长"),4))/(VLOOKUP(CO$72,INDIRECT($C$5&amp;"生成成长"),5))*(VLOOKUP($B$5,标准坦克设计!$B$24:$U$30,MATCH("对"&amp;LEFT($C$5,2)&amp;"输出",标准坦克设计!$B$23:$U$23,0)))*(VLOOKUP($B142,INDIRECT($B$5&amp;"生成成长"),3))*(VLOOKUP($B$5,标准坦克设计!$B$14:$K$20,9)/30))</f>
        <v>8.1062027176910671</v>
      </c>
      <c r="CP142" s="173">
        <f ca="1">(VLOOKUP(CP$72,INDIRECT($C$5&amp;"生成成长"),2))/((VLOOKUP($B142,INDIRECT($B$5&amp;"生成成长"),4))/(VLOOKUP(CP$72,INDIRECT($C$5&amp;"生成成长"),5))*(VLOOKUP($B$5,标准坦克设计!$B$24:$U$30,MATCH("对"&amp;LEFT($C$5,2)&amp;"输出",标准坦克设计!$B$23:$U$23,0)))*(VLOOKUP($B142,INDIRECT($B$5&amp;"生成成长"),3))*(VLOOKUP($B$5,标准坦克设计!$B$14:$K$20,9)/30))</f>
        <v>8.8567084037757944</v>
      </c>
      <c r="CQ142" s="173">
        <f ca="1">(VLOOKUP(CQ$72,INDIRECT($C$5&amp;"生成成长"),2))/((VLOOKUP($B142,INDIRECT($B$5&amp;"生成成长"),4))/(VLOOKUP(CQ$72,INDIRECT($C$5&amp;"生成成长"),5))*(VLOOKUP($B$5,标准坦克设计!$B$24:$U$30,MATCH("对"&amp;LEFT($C$5,2)&amp;"输出",标准坦克设计!$B$23:$U$23,0)))*(VLOOKUP($B142,INDIRECT($B$5&amp;"生成成长"),3))*(VLOOKUP($B$5,标准坦克设计!$B$14:$K$20,9)/30))</f>
        <v>9.6404356695262443</v>
      </c>
      <c r="CR142" s="173">
        <f ca="1">(VLOOKUP(CR$72,INDIRECT($C$5&amp;"生成成长"),2))/((VLOOKUP($B142,INDIRECT($B$5&amp;"生成成长"),4))/(VLOOKUP(CR$72,INDIRECT($C$5&amp;"生成成长"),5))*(VLOOKUP($B$5,标准坦克设计!$B$24:$U$30,MATCH("对"&amp;LEFT($C$5,2)&amp;"输出",标准坦克设计!$B$23:$U$23,0)))*(VLOOKUP($B142,INDIRECT($B$5&amp;"生成成长"),3))*(VLOOKUP($B$5,标准坦克设计!$B$14:$K$20,9)/30))</f>
        <v>10.457384514942415</v>
      </c>
      <c r="CS142" s="173">
        <f ca="1">(VLOOKUP(CS$72,INDIRECT($C$5&amp;"生成成长"),2))/((VLOOKUP($B142,INDIRECT($B$5&amp;"生成成长"),4))/(VLOOKUP(CS$72,INDIRECT($C$5&amp;"生成成长"),5))*(VLOOKUP($B$5,标准坦克设计!$B$24:$U$30,MATCH("对"&amp;LEFT($C$5,2)&amp;"输出",标准坦克设计!$B$23:$U$23,0)))*(VLOOKUP($B142,INDIRECT($B$5&amp;"生成成长"),3))*(VLOOKUP($B$5,标准坦克设计!$B$14:$K$20,9)/30))</f>
        <v>11.30755494002431</v>
      </c>
      <c r="CT142" s="173">
        <f ca="1">(VLOOKUP(CT$72,INDIRECT($C$5&amp;"生成成长"),2))/((VLOOKUP($B142,INDIRECT($B$5&amp;"生成成长"),4))/(VLOOKUP(CT$72,INDIRECT($C$5&amp;"生成成长"),5))*(VLOOKUP($B$5,标准坦克设计!$B$24:$U$30,MATCH("对"&amp;LEFT($C$5,2)&amp;"输出",标准坦克设计!$B$23:$U$23,0)))*(VLOOKUP($B142,INDIRECT($B$5&amp;"生成成长"),3))*(VLOOKUP($B$5,标准坦克设计!$B$14:$K$20,9)/30))</f>
        <v>12.190946944771927</v>
      </c>
      <c r="CU142" s="173">
        <f ca="1">(VLOOKUP(CU$72,INDIRECT($C$5&amp;"生成成长"),2))/((VLOOKUP($B142,INDIRECT($B$5&amp;"生成成长"),4))/(VLOOKUP(CU$72,INDIRECT($C$5&amp;"生成成长"),5))*(VLOOKUP($B$5,标准坦克设计!$B$24:$U$30,MATCH("对"&amp;LEFT($C$5,2)&amp;"输出",标准坦克设计!$B$23:$U$23,0)))*(VLOOKUP($B142,INDIRECT($B$5&amp;"生成成长"),3))*(VLOOKUP($B$5,标准坦克设计!$B$14:$K$20,9)/30))</f>
        <v>13.107560529185266</v>
      </c>
      <c r="CV142" s="173">
        <f ca="1">(VLOOKUP(CV$72,INDIRECT($C$5&amp;"生成成长"),2))/((VLOOKUP($B142,INDIRECT($B$5&amp;"生成成长"),4))/(VLOOKUP(CV$72,INDIRECT($C$5&amp;"生成成长"),5))*(VLOOKUP($B$5,标准坦克设计!$B$24:$U$30,MATCH("对"&amp;LEFT($C$5,2)&amp;"输出",标准坦克设计!$B$23:$U$23,0)))*(VLOOKUP($B142,INDIRECT($B$5&amp;"生成成长"),3))*(VLOOKUP($B$5,标准坦克设计!$B$14:$K$20,9)/30))</f>
        <v>14.057395693264327</v>
      </c>
      <c r="CW142" s="173">
        <f ca="1">(VLOOKUP(CW$72,INDIRECT($C$5&amp;"生成成长"),2))/((VLOOKUP($B142,INDIRECT($B$5&amp;"生成成长"),4))/(VLOOKUP(CW$72,INDIRECT($C$5&amp;"生成成长"),5))*(VLOOKUP($B$5,标准坦克设计!$B$24:$U$30,MATCH("对"&amp;LEFT($C$5,2)&amp;"输出",标准坦克设计!$B$23:$U$23,0)))*(VLOOKUP($B142,INDIRECT($B$5&amp;"生成成长"),3))*(VLOOKUP($B$5,标准坦克设计!$B$14:$K$20,9)/30))</f>
        <v>15.040452437009112</v>
      </c>
      <c r="CX142" s="173">
        <f ca="1">(VLOOKUP(CX$72,INDIRECT($C$5&amp;"生成成长"),2))/((VLOOKUP($B142,INDIRECT($B$5&amp;"生成成长"),4))/(VLOOKUP(CX$72,INDIRECT($C$5&amp;"生成成长"),5))*(VLOOKUP($B$5,标准坦克设计!$B$24:$U$30,MATCH("对"&amp;LEFT($C$5,2)&amp;"输出",标准坦克设计!$B$23:$U$23,0)))*(VLOOKUP($B142,INDIRECT($B$5&amp;"生成成长"),3))*(VLOOKUP($B$5,标准坦克设计!$B$14:$K$20,9)/30))</f>
        <v>16.056730760419615</v>
      </c>
      <c r="CY142" s="173">
        <f ca="1">(VLOOKUP(CY$72,INDIRECT($C$5&amp;"生成成长"),2))/((VLOOKUP($B142,INDIRECT($B$5&amp;"生成成长"),4))/(VLOOKUP(CY$72,INDIRECT($C$5&amp;"生成成长"),5))*(VLOOKUP($B$5,标准坦克设计!$B$24:$U$30,MATCH("对"&amp;LEFT($C$5,2)&amp;"输出",标准坦克设计!$B$23:$U$23,0)))*(VLOOKUP($B142,INDIRECT($B$5&amp;"生成成长"),3))*(VLOOKUP($B$5,标准坦克设计!$B$14:$K$20,9)/30))</f>
        <v>17.106230663495847</v>
      </c>
      <c r="CZ142" s="173">
        <f ca="1">(VLOOKUP(CZ$72,INDIRECT($C$5&amp;"生成成长"),2))/((VLOOKUP($B142,INDIRECT($B$5&amp;"生成成长"),4))/(VLOOKUP(CZ$72,INDIRECT($C$5&amp;"生成成长"),5))*(VLOOKUP($B$5,标准坦克设计!$B$24:$U$30,MATCH("对"&amp;LEFT($C$5,2)&amp;"输出",标准坦克设计!$B$23:$U$23,0)))*(VLOOKUP($B142,INDIRECT($B$5&amp;"生成成长"),3))*(VLOOKUP($B$5,标准坦克设计!$B$14:$K$20,9)/30))</f>
        <v>18.188952146237796</v>
      </c>
      <c r="DA142" s="173">
        <f ca="1">(VLOOKUP(DA$72,INDIRECT($C$5&amp;"生成成长"),2))/((VLOOKUP($B142,INDIRECT($B$5&amp;"生成成长"),4))/(VLOOKUP(DA$72,INDIRECT($C$5&amp;"生成成长"),5))*(VLOOKUP($B$5,标准坦克设计!$B$24:$U$30,MATCH("对"&amp;LEFT($C$5,2)&amp;"输出",标准坦克设计!$B$23:$U$23,0)))*(VLOOKUP($B142,INDIRECT($B$5&amp;"生成成长"),3))*(VLOOKUP($B$5,标准坦克设计!$B$14:$K$20,9)/30))</f>
        <v>19.304895208645469</v>
      </c>
      <c r="DB142" s="173">
        <f ca="1">(VLOOKUP(DB$72,INDIRECT($C$5&amp;"生成成长"),2))/((VLOOKUP($B142,INDIRECT($B$5&amp;"生成成长"),4))/(VLOOKUP(DB$72,INDIRECT($C$5&amp;"生成成长"),5))*(VLOOKUP($B$5,标准坦克设计!$B$24:$U$30,MATCH("对"&amp;LEFT($C$5,2)&amp;"输出",标准坦克设计!$B$23:$U$23,0)))*(VLOOKUP($B142,INDIRECT($B$5&amp;"生成成长"),3))*(VLOOKUP($B$5,标准坦克设计!$B$14:$K$20,9)/30))</f>
        <v>20.454059850718867</v>
      </c>
      <c r="DC142" s="173">
        <f ca="1">(VLOOKUP(DC$72,INDIRECT($C$5&amp;"生成成长"),2))/((VLOOKUP($B142,INDIRECT($B$5&amp;"生成成长"),4))/(VLOOKUP(DC$72,INDIRECT($C$5&amp;"生成成长"),5))*(VLOOKUP($B$5,标准坦克设计!$B$24:$U$30,MATCH("对"&amp;LEFT($C$5,2)&amp;"输出",标准坦克设计!$B$23:$U$23,0)))*(VLOOKUP($B142,INDIRECT($B$5&amp;"生成成长"),3))*(VLOOKUP($B$5,标准坦克设计!$B$14:$K$20,9)/30))</f>
        <v>21.745583080037527</v>
      </c>
      <c r="DD142" s="173">
        <f ca="1">(VLOOKUP(DD$72,INDIRECT($C$5&amp;"生成成长"),2))/((VLOOKUP($B142,INDIRECT($B$5&amp;"生成成长"),4))/(VLOOKUP(DD$72,INDIRECT($C$5&amp;"生成成长"),5))*(VLOOKUP($B$5,标准坦克设计!$B$24:$U$30,MATCH("对"&amp;LEFT($C$5,2)&amp;"输出",标准坦克设计!$B$23:$U$23,0)))*(VLOOKUP($B142,INDIRECT($B$5&amp;"生成成长"),3))*(VLOOKUP($B$5,标准坦克设计!$B$14:$K$20,9)/30))</f>
        <v>23.076642734743491</v>
      </c>
      <c r="DE142" s="173">
        <f ca="1">(VLOOKUP(DE$72,INDIRECT($C$5&amp;"生成成长"),2))/((VLOOKUP($B142,INDIRECT($B$5&amp;"生成成长"),4))/(VLOOKUP(DE$72,INDIRECT($C$5&amp;"生成成长"),5))*(VLOOKUP($B$5,标准坦克设计!$B$24:$U$30,MATCH("对"&amp;LEFT($C$5,2)&amp;"输出",标准坦克设计!$B$23:$U$23,0)))*(VLOOKUP($B142,INDIRECT($B$5&amp;"生成成长"),3))*(VLOOKUP($B$5,标准坦克设计!$B$14:$K$20,9)/30))</f>
        <v>24.447238814836759</v>
      </c>
      <c r="DF142" s="173">
        <f ca="1">(VLOOKUP(DF$72,INDIRECT($C$5&amp;"生成成长"),2))/((VLOOKUP($B142,INDIRECT($B$5&amp;"生成成长"),4))/(VLOOKUP(DF$72,INDIRECT($C$5&amp;"生成成长"),5))*(VLOOKUP($B$5,标准坦克设计!$B$24:$U$30,MATCH("对"&amp;LEFT($C$5,2)&amp;"输出",标准坦克设计!$B$23:$U$23,0)))*(VLOOKUP($B142,INDIRECT($B$5&amp;"生成成长"),3))*(VLOOKUP($B$5,标准坦克设计!$B$14:$K$20,9)/30))</f>
        <v>25.857371320317338</v>
      </c>
      <c r="DG142" s="173">
        <f ca="1">(VLOOKUP(DG$72,INDIRECT($C$5&amp;"生成成长"),2))/((VLOOKUP($B142,INDIRECT($B$5&amp;"生成成长"),4))/(VLOOKUP(DG$72,INDIRECT($C$5&amp;"生成成长"),5))*(VLOOKUP($B$5,标准坦克设计!$B$24:$U$30,MATCH("对"&amp;LEFT($C$5,2)&amp;"输出",标准坦克设计!$B$23:$U$23,0)))*(VLOOKUP($B142,INDIRECT($B$5&amp;"生成成长"),3))*(VLOOKUP($B$5,标准坦克设计!$B$14:$K$20,9)/30))</f>
        <v>27.307040251185228</v>
      </c>
      <c r="DH142" s="173">
        <f ca="1">(VLOOKUP(DH$72,INDIRECT($C$5&amp;"生成成长"),2))/((VLOOKUP($B142,INDIRECT($B$5&amp;"生成成长"),4))/(VLOOKUP(DH$72,INDIRECT($C$5&amp;"生成成长"),5))*(VLOOKUP($B$5,标准坦克设计!$B$24:$U$30,MATCH("对"&amp;LEFT($C$5,2)&amp;"输出",标准坦克设计!$B$23:$U$23,0)))*(VLOOKUP($B142,INDIRECT($B$5&amp;"生成成长"),3))*(VLOOKUP($B$5,标准坦克设计!$B$14:$K$20,9)/30))</f>
        <v>28.796245607440415</v>
      </c>
      <c r="DI142" s="173">
        <f ca="1">(VLOOKUP(DI$72,INDIRECT($C$5&amp;"生成成长"),2))/((VLOOKUP($B142,INDIRECT($B$5&amp;"生成成长"),4))/(VLOOKUP(DI$72,INDIRECT($C$5&amp;"生成成长"),5))*(VLOOKUP($B$5,标准坦克设计!$B$24:$U$30,MATCH("对"&amp;LEFT($C$5,2)&amp;"输出",标准坦克设计!$B$23:$U$23,0)))*(VLOOKUP($B142,INDIRECT($B$5&amp;"生成成长"),3))*(VLOOKUP($B$5,标准坦克设计!$B$14:$K$20,9)/30))</f>
        <v>30.32498738908291</v>
      </c>
      <c r="DJ142" s="173">
        <f ca="1">(VLOOKUP(DJ$72,INDIRECT($C$5&amp;"生成成长"),2))/((VLOOKUP($B142,INDIRECT($B$5&amp;"生成成长"),4))/(VLOOKUP(DJ$72,INDIRECT($C$5&amp;"生成成长"),5))*(VLOOKUP($B$5,标准坦克设计!$B$24:$U$30,MATCH("对"&amp;LEFT($C$5,2)&amp;"输出",标准坦克设计!$B$23:$U$23,0)))*(VLOOKUP($B142,INDIRECT($B$5&amp;"生成成长"),3))*(VLOOKUP($B$5,标准坦克设计!$B$14:$K$20,9)/30))</f>
        <v>3.0477367361929817</v>
      </c>
      <c r="DK142" s="173">
        <f ca="1">(VLOOKUP(DK$72,INDIRECT($C$5&amp;"生成成长"),2))/((VLOOKUP($B142,INDIRECT($B$5&amp;"生成成长"),4))/(VLOOKUP(DK$72,INDIRECT($C$5&amp;"生成成长"),5))*(VLOOKUP($B$5,标准坦克设计!$B$24:$U$30,MATCH("对"&amp;LEFT($C$5,2)&amp;"输出",标准坦克设计!$B$23:$U$23,0)))*(VLOOKUP($B142,INDIRECT($B$5&amp;"生成成长"),3))*(VLOOKUP($B$5,标准坦克设计!$B$14:$K$20,9)/30))</f>
        <v>3.4270393172524476</v>
      </c>
      <c r="DL142" s="173">
        <f ca="1">(VLOOKUP(DL$72,INDIRECT($C$5&amp;"生成成长"),2))/((VLOOKUP($B142,INDIRECT($B$5&amp;"生成成长"),4))/(VLOOKUP(DL$72,INDIRECT($C$5&amp;"生成成长"),5))*(VLOOKUP($B$5,标准坦克设计!$B$24:$U$30,MATCH("对"&amp;LEFT($C$5,2)&amp;"输出",标准坦克设计!$B$23:$U$23,0)))*(VLOOKUP($B142,INDIRECT($B$5&amp;"生成成长"),3))*(VLOOKUP($B$5,标准坦克设计!$B$14:$K$20,9)/30))</f>
        <v>3.8285811375922738</v>
      </c>
      <c r="DM142" s="173">
        <f ca="1">(VLOOKUP(DM$72,INDIRECT($C$5&amp;"生成成长"),2))/((VLOOKUP($B142,INDIRECT($B$5&amp;"生成成长"),4))/(VLOOKUP(DM$72,INDIRECT($C$5&amp;"生成成长"),5))*(VLOOKUP($B$5,标准坦克设计!$B$24:$U$30,MATCH("对"&amp;LEFT($C$5,2)&amp;"输出",标准坦克设计!$B$23:$U$23,0)))*(VLOOKUP($B142,INDIRECT($B$5&amp;"生成成长"),3))*(VLOOKUP($B$5,标准坦克设计!$B$14:$K$20,9)/30))</f>
        <v>4.2523621972124594</v>
      </c>
      <c r="DN142" s="173">
        <f ca="1">(VLOOKUP(DN$72,INDIRECT($C$5&amp;"生成成长"),2))/((VLOOKUP($B142,INDIRECT($B$5&amp;"生成成长"),4))/(VLOOKUP(DN$72,INDIRECT($C$5&amp;"生成成长"),5))*(VLOOKUP($B$5,标准坦克设计!$B$24:$U$30,MATCH("对"&amp;LEFT($C$5,2)&amp;"输出",标准坦克设计!$B$23:$U$23,0)))*(VLOOKUP($B142,INDIRECT($B$5&amp;"生成成长"),3))*(VLOOKUP($B$5,标准坦克设计!$B$14:$K$20,9)/30))</f>
        <v>4.6983824961130045</v>
      </c>
      <c r="DO142" s="173">
        <f ca="1">(VLOOKUP(DO$72,INDIRECT($C$5&amp;"生成成长"),2))/((VLOOKUP($B142,INDIRECT($B$5&amp;"生成成长"),4))/(VLOOKUP(DO$72,INDIRECT($C$5&amp;"生成成长"),5))*(VLOOKUP($B$5,标准坦克设计!$B$24:$U$30,MATCH("对"&amp;LEFT($C$5,2)&amp;"输出",标准坦克设计!$B$23:$U$23,0)))*(VLOOKUP($B142,INDIRECT($B$5&amp;"生成成长"),3))*(VLOOKUP($B$5,标准坦克设计!$B$14:$K$20,9)/30))</f>
        <v>5.1666420342939086</v>
      </c>
      <c r="DP142" s="173">
        <f ca="1">(VLOOKUP(DP$72,INDIRECT($C$5&amp;"生成成长"),2))/((VLOOKUP($B142,INDIRECT($B$5&amp;"生成成长"),4))/(VLOOKUP(DP$72,INDIRECT($C$5&amp;"生成成长"),5))*(VLOOKUP($B$5,标准坦克设计!$B$24:$U$30,MATCH("对"&amp;LEFT($C$5,2)&amp;"输出",标准坦克设计!$B$23:$U$23,0)))*(VLOOKUP($B142,INDIRECT($B$5&amp;"生成成长"),3))*(VLOOKUP($B$5,标准坦克设计!$B$14:$K$20,9)/30))</f>
        <v>5.6571408117551734</v>
      </c>
      <c r="DQ142" s="173">
        <f ca="1">(VLOOKUP(DQ$72,INDIRECT($C$5&amp;"生成成长"),2))/((VLOOKUP($B142,INDIRECT($B$5&amp;"生成成长"),4))/(VLOOKUP(DQ$72,INDIRECT($C$5&amp;"生成成长"),5))*(VLOOKUP($B$5,标准坦克设计!$B$24:$U$30,MATCH("对"&amp;LEFT($C$5,2)&amp;"输出",标准坦克设计!$B$23:$U$23,0)))*(VLOOKUP($B142,INDIRECT($B$5&amp;"生成成长"),3))*(VLOOKUP($B$5,标准坦克设计!$B$14:$K$20,9)/30))</f>
        <v>6.1698788284967963</v>
      </c>
      <c r="DR142" s="173">
        <f ca="1">(VLOOKUP(DR$72,INDIRECT($C$5&amp;"生成成长"),2))/((VLOOKUP($B142,INDIRECT($B$5&amp;"生成成长"),4))/(VLOOKUP(DR$72,INDIRECT($C$5&amp;"生成成长"),5))*(VLOOKUP($B$5,标准坦克设计!$B$24:$U$30,MATCH("对"&amp;LEFT($C$5,2)&amp;"输出",标准坦克设计!$B$23:$U$23,0)))*(VLOOKUP($B142,INDIRECT($B$5&amp;"生成成长"),3))*(VLOOKUP($B$5,标准坦克设计!$B$14:$K$20,9)/30))</f>
        <v>6.7048560845187799</v>
      </c>
      <c r="DS142" s="173">
        <f ca="1">(VLOOKUP(DS$72,INDIRECT($C$5&amp;"生成成长"),2))/((VLOOKUP($B142,INDIRECT($B$5&amp;"生成成长"),4))/(VLOOKUP(DS$72,INDIRECT($C$5&amp;"生成成长"),5))*(VLOOKUP($B$5,标准坦克设计!$B$24:$U$30,MATCH("对"&amp;LEFT($C$5,2)&amp;"输出",标准坦克设计!$B$23:$U$23,0)))*(VLOOKUP($B142,INDIRECT($B$5&amp;"生成成长"),3))*(VLOOKUP($B$5,标准坦克设计!$B$14:$K$20,9)/30))</f>
        <v>7.2620725798211234</v>
      </c>
      <c r="DT142" s="173">
        <f ca="1">(VLOOKUP(DT$72,INDIRECT($C$5&amp;"生成成长"),2))/((VLOOKUP($B142,INDIRECT($B$5&amp;"生成成长"),4))/(VLOOKUP(DT$72,INDIRECT($C$5&amp;"生成成长"),5))*(VLOOKUP($B$5,标准坦克设计!$B$24:$U$30,MATCH("对"&amp;LEFT($C$5,2)&amp;"输出",标准坦克设计!$B$23:$U$23,0)))*(VLOOKUP($B142,INDIRECT($B$5&amp;"生成成长"),3))*(VLOOKUP($B$5,标准坦克设计!$B$14:$K$20,9)/30))</f>
        <v>7.9733163990281781</v>
      </c>
      <c r="DU142" s="173">
        <f ca="1">(VLOOKUP(DU$72,INDIRECT($C$5&amp;"生成成长"),2))/((VLOOKUP($B142,INDIRECT($B$5&amp;"生成成长"),4))/(VLOOKUP(DU$72,INDIRECT($C$5&amp;"生成成长"),5))*(VLOOKUP($B$5,标准坦克设计!$B$24:$U$30,MATCH("对"&amp;LEFT($C$5,2)&amp;"输出",标准坦克设计!$B$23:$U$23,0)))*(VLOOKUP($B142,INDIRECT($B$5&amp;"生成成长"),3))*(VLOOKUP($B$5,标准坦克设计!$B$14:$K$20,9)/30))</f>
        <v>8.7177817979009564</v>
      </c>
      <c r="DV142" s="173">
        <f ca="1">(VLOOKUP(DV$72,INDIRECT($C$5&amp;"生成成长"),2))/((VLOOKUP($B142,INDIRECT($B$5&amp;"生成成长"),4))/(VLOOKUP(DV$72,INDIRECT($C$5&amp;"生成成长"),5))*(VLOOKUP($B$5,标准坦克设计!$B$24:$U$30,MATCH("对"&amp;LEFT($C$5,2)&amp;"输出",标准坦克设计!$B$23:$U$23,0)))*(VLOOKUP($B142,INDIRECT($B$5&amp;"生成成长"),3))*(VLOOKUP($B$5,标准坦克设计!$B$14:$K$20,9)/30))</f>
        <v>9.4954687764394556</v>
      </c>
      <c r="DW142" s="173">
        <f ca="1">(VLOOKUP(DW$72,INDIRECT($C$5&amp;"生成成长"),2))/((VLOOKUP($B142,INDIRECT($B$5&amp;"生成成长"),4))/(VLOOKUP(DW$72,INDIRECT($C$5&amp;"生成成长"),5))*(VLOOKUP($B$5,标准坦克设计!$B$24:$U$30,MATCH("对"&amp;LEFT($C$5,2)&amp;"输出",标准坦克设计!$B$23:$U$23,0)))*(VLOOKUP($B142,INDIRECT($B$5&amp;"生成成长"),3))*(VLOOKUP($B$5,标准坦克设计!$B$14:$K$20,9)/30))</f>
        <v>10.306377334643679</v>
      </c>
      <c r="DX142" s="173">
        <f ca="1">(VLOOKUP(DX$72,INDIRECT($C$5&amp;"生成成长"),2))/((VLOOKUP($B142,INDIRECT($B$5&amp;"生成成长"),4))/(VLOOKUP(DX$72,INDIRECT($C$5&amp;"生成成长"),5))*(VLOOKUP($B$5,标准坦克设计!$B$24:$U$30,MATCH("对"&amp;LEFT($C$5,2)&amp;"输出",标准坦克设计!$B$23:$U$23,0)))*(VLOOKUP($B142,INDIRECT($B$5&amp;"生成成长"),3))*(VLOOKUP($B$5,标准坦克设计!$B$14:$K$20,9)/30))</f>
        <v>11.150507472513622</v>
      </c>
      <c r="DY142" s="173">
        <f ca="1">(VLOOKUP(DY$72,INDIRECT($C$5&amp;"生成成长"),2))/((VLOOKUP($B142,INDIRECT($B$5&amp;"生成成长"),4))/(VLOOKUP(DY$72,INDIRECT($C$5&amp;"生成成长"),5))*(VLOOKUP($B$5,标准坦克设计!$B$24:$U$30,MATCH("对"&amp;LEFT($C$5,2)&amp;"输出",标准坦克设计!$B$23:$U$23,0)))*(VLOOKUP($B142,INDIRECT($B$5&amp;"生成成长"),3))*(VLOOKUP($B$5,标准坦克设计!$B$14:$K$20,9)/30))</f>
        <v>5.008084494980233</v>
      </c>
      <c r="DZ142" s="173">
        <f ca="1">(VLOOKUP(DZ$72,INDIRECT($C$5&amp;"生成成长"),2))/((VLOOKUP($B142,INDIRECT($B$5&amp;"生成成长"),4))/(VLOOKUP(DZ$72,INDIRECT($C$5&amp;"生成成长"),5))*(VLOOKUP($B$5,标准坦克设计!$B$24:$U$30,MATCH("对"&amp;LEFT($C$5,2)&amp;"输出",标准坦克设计!$B$23:$U$23,0)))*(VLOOKUP($B142,INDIRECT($B$5&amp;"生成成长"),3))*(VLOOKUP($B$5,标准坦克设计!$B$14:$K$20,9)/30))</f>
        <v>5.5462191738630091</v>
      </c>
      <c r="EA142" s="173">
        <f ca="1">(VLOOKUP(EA$72,INDIRECT($C$5&amp;"生成成长"),2))/((VLOOKUP($B142,INDIRECT($B$5&amp;"生成成长"),4))/(VLOOKUP(EA$72,INDIRECT($C$5&amp;"生成成长"),5))*(VLOOKUP($B$5,标准坦克设计!$B$24:$U$30,MATCH("对"&amp;LEFT($C$5,2)&amp;"输出",标准坦克设计!$B$23:$U$23,0)))*(VLOOKUP($B142,INDIRECT($B$5&amp;"生成成长"),3))*(VLOOKUP($B$5,标准坦克设计!$B$14:$K$20,9)/30))</f>
        <v>6.1118097037091896</v>
      </c>
      <c r="EB142" s="173">
        <f ca="1">(VLOOKUP(EB$72,INDIRECT($C$5&amp;"生成成长"),2))/((VLOOKUP($B142,INDIRECT($B$5&amp;"生成成长"),4))/(VLOOKUP(EB$72,INDIRECT($C$5&amp;"生成成长"),5))*(VLOOKUP($B$5,标准坦克设计!$B$24:$U$30,MATCH("对"&amp;LEFT($C$5,2)&amp;"输出",标准坦克设计!$B$23:$U$23,0)))*(VLOOKUP($B142,INDIRECT($B$5&amp;"生成成长"),3))*(VLOOKUP($B$5,标准坦克设计!$B$14:$K$20,9)/30))</f>
        <v>6.7048560845187799</v>
      </c>
      <c r="EC142" s="173">
        <f ca="1">(VLOOKUP(EC$72,INDIRECT($C$5&amp;"生成成长"),2))/((VLOOKUP($B142,INDIRECT($B$5&amp;"生成成长"),4))/(VLOOKUP(EC$72,INDIRECT($C$5&amp;"生成成长"),5))*(VLOOKUP($B$5,标准坦克设计!$B$24:$U$30,MATCH("对"&amp;LEFT($C$5,2)&amp;"输出",标准坦克设计!$B$23:$U$23,0)))*(VLOOKUP($B142,INDIRECT($B$5&amp;"生成成长"),3))*(VLOOKUP($B$5,标准坦克设计!$B$14:$K$20,9)/30))</f>
        <v>7.3253583162917746</v>
      </c>
      <c r="ED142" s="173">
        <f ca="1">(VLOOKUP(ED$72,INDIRECT($C$5&amp;"生成成长"),2))/((VLOOKUP($B142,INDIRECT($B$5&amp;"生成成长"),4))/(VLOOKUP(ED$72,INDIRECT($C$5&amp;"生成成长"),5))*(VLOOKUP($B$5,标准坦克设计!$B$24:$U$30,MATCH("对"&amp;LEFT($C$5,2)&amp;"输出",标准坦克设计!$B$23:$U$23,0)))*(VLOOKUP($B142,INDIRECT($B$5&amp;"生成成长"),3))*(VLOOKUP($B$5,标准坦克设计!$B$14:$K$20,9)/30))</f>
        <v>7.9733163990281781</v>
      </c>
      <c r="EE142" s="173">
        <f ca="1">(VLOOKUP(EE$72,INDIRECT($C$5&amp;"生成成长"),2))/((VLOOKUP($B142,INDIRECT($B$5&amp;"生成成长"),4))/(VLOOKUP(EE$72,INDIRECT($C$5&amp;"生成成长"),5))*(VLOOKUP($B$5,标准坦克设计!$B$24:$U$30,MATCH("对"&amp;LEFT($C$5,2)&amp;"输出",标准坦克设计!$B$23:$U$23,0)))*(VLOOKUP($B142,INDIRECT($B$5&amp;"生成成长"),3))*(VLOOKUP($B$5,标准坦克设计!$B$14:$K$20,9)/30))</f>
        <v>8.6487303327279879</v>
      </c>
      <c r="EF142" s="173">
        <f ca="1">(VLOOKUP(EF$72,INDIRECT($C$5&amp;"生成成长"),2))/((VLOOKUP($B142,INDIRECT($B$5&amp;"生成成长"),4))/(VLOOKUP(EF$72,INDIRECT($C$5&amp;"生成成长"),5))*(VLOOKUP($B$5,标准坦克设计!$B$24:$U$30,MATCH("对"&amp;LEFT($C$5,2)&amp;"输出",标准坦克设计!$B$23:$U$23,0)))*(VLOOKUP($B142,INDIRECT($B$5&amp;"生成成长"),3))*(VLOOKUP($B$5,标准坦克设计!$B$14:$K$20,9)/30))</f>
        <v>9.3516001173912038</v>
      </c>
      <c r="EG142" s="173">
        <f ca="1">(VLOOKUP(EG$72,INDIRECT($C$5&amp;"生成成长"),2))/((VLOOKUP($B142,INDIRECT($B$5&amp;"生成成长"),4))/(VLOOKUP(EG$72,INDIRECT($C$5&amp;"生成成长"),5))*(VLOOKUP($B$5,标准坦克设计!$B$24:$U$30,MATCH("对"&amp;LEFT($C$5,2)&amp;"输出",标准坦克设计!$B$23:$U$23,0)))*(VLOOKUP($B142,INDIRECT($B$5&amp;"生成成长"),3))*(VLOOKUP($B$5,标准坦克设计!$B$14:$K$20,9)/30))</f>
        <v>10.081925753017828</v>
      </c>
      <c r="EH142" s="173">
        <f ca="1">(VLOOKUP(EH$72,INDIRECT($C$5&amp;"生成成长"),2))/((VLOOKUP($B142,INDIRECT($B$5&amp;"生成成长"),4))/(VLOOKUP(EH$72,INDIRECT($C$5&amp;"生成成长"),5))*(VLOOKUP($B$5,标准坦克设计!$B$24:$U$30,MATCH("对"&amp;LEFT($C$5,2)&amp;"输出",标准坦克设计!$B$23:$U$23,0)))*(VLOOKUP($B142,INDIRECT($B$5&amp;"生成成长"),3))*(VLOOKUP($B$5,标准坦克设计!$B$14:$K$20,9)/30))</f>
        <v>10.839707239607858</v>
      </c>
      <c r="EI142" s="173">
        <f ca="1">(VLOOKUP(EI$72,INDIRECT($C$5&amp;"生成成长"),2))/((VLOOKUP($B142,INDIRECT($B$5&amp;"生成成长"),4))/(VLOOKUP(EI$72,INDIRECT($C$5&amp;"生成成长"),5))*(VLOOKUP($B$5,标准坦克设计!$B$24:$U$30,MATCH("对"&amp;LEFT($C$5,2)&amp;"输出",标准坦克设计!$B$23:$U$23,0)))*(VLOOKUP($B142,INDIRECT($B$5&amp;"生成成长"),3))*(VLOOKUP($B$5,标准坦克设计!$B$14:$K$20,9)/30))</f>
        <v>11.624944577161296</v>
      </c>
      <c r="EJ142" s="173">
        <f ca="1">(VLOOKUP(EJ$72,INDIRECT($C$5&amp;"生成成长"),2))/((VLOOKUP($B142,INDIRECT($B$5&amp;"生成成长"),4))/(VLOOKUP(EJ$72,INDIRECT($C$5&amp;"生成成长"),5))*(VLOOKUP($B$5,标准坦克设计!$B$24:$U$30,MATCH("对"&amp;LEFT($C$5,2)&amp;"输出",标准坦克设计!$B$23:$U$23,0)))*(VLOOKUP($B142,INDIRECT($B$5&amp;"生成成长"),3))*(VLOOKUP($B$5,标准坦克设计!$B$14:$K$20,9)/30))</f>
        <v>12.437637765678137</v>
      </c>
      <c r="EK142" s="173">
        <f ca="1">(VLOOKUP(EK$72,INDIRECT($C$5&amp;"生成成长"),2))/((VLOOKUP($B142,INDIRECT($B$5&amp;"生成成长"),4))/(VLOOKUP(EK$72,INDIRECT($C$5&amp;"生成成长"),5))*(VLOOKUP($B$5,标准坦克设计!$B$24:$U$30,MATCH("对"&amp;LEFT($C$5,2)&amp;"输出",标准坦克设计!$B$23:$U$23,0)))*(VLOOKUP($B142,INDIRECT($B$5&amp;"生成成长"),3))*(VLOOKUP($B$5,标准坦克设计!$B$14:$K$20,9)/30))</f>
        <v>13.449111315170049</v>
      </c>
      <c r="EL142" s="173">
        <f ca="1">(VLOOKUP(EL$72,INDIRECT($C$5&amp;"生成成长"),2))/((VLOOKUP($B142,INDIRECT($B$5&amp;"生成成长"),4))/(VLOOKUP(EL$72,INDIRECT($C$5&amp;"生成成长"),5))*(VLOOKUP($B$5,标准坦克设计!$B$24:$U$30,MATCH("对"&amp;LEFT($C$5,2)&amp;"输出",标准坦克设计!$B$23:$U$23,0)))*(VLOOKUP($B142,INDIRECT($B$5&amp;"生成成长"),3))*(VLOOKUP($B$5,标准坦克设计!$B$14:$K$20,9)/30))</f>
        <v>14.500121290049266</v>
      </c>
      <c r="EM142" s="173">
        <f ca="1">(VLOOKUP(EM$72,INDIRECT($C$5&amp;"生成成长"),2))/((VLOOKUP($B142,INDIRECT($B$5&amp;"生成成长"),4))/(VLOOKUP(EM$72,INDIRECT($C$5&amp;"生成成长"),5))*(VLOOKUP($B$5,标准坦克设计!$B$24:$U$30,MATCH("对"&amp;LEFT($C$5,2)&amp;"输出",标准坦克设计!$B$23:$U$23,0)))*(VLOOKUP($B142,INDIRECT($B$5&amp;"生成成长"),3))*(VLOOKUP($B$5,标准坦克设计!$B$14:$K$20,9)/30))</f>
        <v>15.590667690315785</v>
      </c>
      <c r="EN142" s="173">
        <f ca="1">(VLOOKUP(EN$72,INDIRECT($C$5&amp;"生成成长"),2))/((VLOOKUP($B142,INDIRECT($B$5&amp;"生成成长"),4))/(VLOOKUP(EN$72,INDIRECT($C$5&amp;"生成成长"),5))*(VLOOKUP($B$5,标准坦克设计!$B$24:$U$30,MATCH("对"&amp;LEFT($C$5,2)&amp;"输出",标准坦克设计!$B$23:$U$23,0)))*(VLOOKUP($B142,INDIRECT($B$5&amp;"生成成长"),3))*(VLOOKUP($B$5,标准坦克设计!$B$14:$K$20,9)/30))</f>
        <v>16.720750515969613</v>
      </c>
      <c r="EO142" s="173">
        <f ca="1">(VLOOKUP(EO$72,INDIRECT($C$5&amp;"生成成长"),2))/((VLOOKUP($B142,INDIRECT($B$5&amp;"生成成长"),4))/(VLOOKUP(EO$72,INDIRECT($C$5&amp;"生成成长"),5))*(VLOOKUP($B$5,标准坦克设计!$B$24:$U$30,MATCH("对"&amp;LEFT($C$5,2)&amp;"输出",标准坦克设计!$B$23:$U$23,0)))*(VLOOKUP($B142,INDIRECT($B$5&amp;"生成成长"),3))*(VLOOKUP($B$5,标准坦克设计!$B$14:$K$20,9)/30))</f>
        <v>17.89036976701075</v>
      </c>
      <c r="EP142" s="173">
        <f ca="1">(VLOOKUP(EP$72,INDIRECT($C$5&amp;"生成成长"),2))/((VLOOKUP($B142,INDIRECT($B$5&amp;"生成成长"),4))/(VLOOKUP(EP$72,INDIRECT($C$5&amp;"生成成长"),5))*(VLOOKUP($B$5,标准坦克设计!$B$24:$U$30,MATCH("对"&amp;LEFT($C$5,2)&amp;"输出",标准坦克设计!$B$23:$U$23,0)))*(VLOOKUP($B142,INDIRECT($B$5&amp;"生成成长"),3))*(VLOOKUP($B$5,标准坦克设计!$B$14:$K$20,9)/30))</f>
        <v>19.099525443439187</v>
      </c>
      <c r="EQ142" s="173">
        <f ca="1">(VLOOKUP(EQ$72,INDIRECT($C$5&amp;"生成成长"),2))/((VLOOKUP($B142,INDIRECT($B$5&amp;"生成成长"),4))/(VLOOKUP(EQ$72,INDIRECT($C$5&amp;"生成成长"),5))*(VLOOKUP($B$5,标准坦克设计!$B$24:$U$30,MATCH("对"&amp;LEFT($C$5,2)&amp;"输出",标准坦克设计!$B$23:$U$23,0)))*(VLOOKUP($B142,INDIRECT($B$5&amp;"生成成长"),3))*(VLOOKUP($B$5,标准坦克设计!$B$14:$K$20,9)/30))</f>
        <v>8.4432232882668856</v>
      </c>
      <c r="ER142" s="173">
        <f ca="1">(VLOOKUP(ER$72,INDIRECT($C$5&amp;"生成成长"),2))/((VLOOKUP($B142,INDIRECT($B$5&amp;"生成成长"),4))/(VLOOKUP(ER$72,INDIRECT($C$5&amp;"生成成长"),5))*(VLOOKUP($B$5,标准坦克设计!$B$24:$U$30,MATCH("对"&amp;LEFT($C$5,2)&amp;"输出",标准坦克设计!$B$23:$U$23,0)))*(VLOOKUP($B142,INDIRECT($B$5&amp;"生成成长"),3))*(VLOOKUP($B$5,标准坦克设计!$B$14:$K$20,9)/30))</f>
        <v>9.2088296923814887</v>
      </c>
      <c r="ES142" s="173">
        <f ca="1">(VLOOKUP(ES$72,INDIRECT($C$5&amp;"生成成长"),2))/((VLOOKUP($B142,INDIRECT($B$5&amp;"生成成长"),4))/(VLOOKUP(ES$72,INDIRECT($C$5&amp;"生成成长"),5))*(VLOOKUP($B$5,标准坦克设计!$B$24:$U$30,MATCH("对"&amp;LEFT($C$5,2)&amp;"输出",标准坦克设计!$B$23:$U$23,0)))*(VLOOKUP($B142,INDIRECT($B$5&amp;"生成成长"),3))*(VLOOKUP($B$5,标准坦克设计!$B$14:$K$20,9)/30))</f>
        <v>10.007657676161811</v>
      </c>
      <c r="ET142" s="173">
        <f ca="1">(VLOOKUP(ET$72,INDIRECT($C$5&amp;"生成成长"),2))/((VLOOKUP($B142,INDIRECT($B$5&amp;"生成成长"),4))/(VLOOKUP(ET$72,INDIRECT($C$5&amp;"生成成长"),5))*(VLOOKUP($B$5,标准坦克设计!$B$24:$U$30,MATCH("对"&amp;LEFT($C$5,2)&amp;"输出",标准坦克设计!$B$23:$U$23,0)))*(VLOOKUP($B142,INDIRECT($B$5&amp;"生成成长"),3))*(VLOOKUP($B$5,标准坦克设计!$B$14:$K$20,9)/30))</f>
        <v>10.839707239607858</v>
      </c>
      <c r="EU142" s="173">
        <f ca="1">(VLOOKUP(EU$72,INDIRECT($C$5&amp;"生成成长"),2))/((VLOOKUP($B142,INDIRECT($B$5&amp;"生成成长"),4))/(VLOOKUP(EU$72,INDIRECT($C$5&amp;"生成成长"),5))*(VLOOKUP($B$5,标准坦克设计!$B$24:$U$30,MATCH("对"&amp;LEFT($C$5,2)&amp;"输出",标准坦克设计!$B$23:$U$23,0)))*(VLOOKUP($B142,INDIRECT($B$5&amp;"生成成长"),3))*(VLOOKUP($B$5,标准坦克设计!$B$14:$K$20,9)/30))</f>
        <v>11.704978382719627</v>
      </c>
      <c r="EV142" s="173">
        <f ca="1">(VLOOKUP(EV$72,INDIRECT($C$5&amp;"生成成长"),2))/((VLOOKUP($B142,INDIRECT($B$5&amp;"生成成长"),4))/(VLOOKUP(EV$72,INDIRECT($C$5&amp;"生成成长"),5))*(VLOOKUP($B$5,标准坦克设计!$B$24:$U$30,MATCH("对"&amp;LEFT($C$5,2)&amp;"输出",标准坦克设计!$B$23:$U$23,0)))*(VLOOKUP($B142,INDIRECT($B$5&amp;"生成成长"),3))*(VLOOKUP($B$5,标准坦克设计!$B$14:$K$20,9)/30))</f>
        <v>12.603471105497116</v>
      </c>
      <c r="EW142" s="173">
        <f ca="1">(VLOOKUP(EW$72,INDIRECT($C$5&amp;"生成成长"),2))/((VLOOKUP($B142,INDIRECT($B$5&amp;"生成成长"),4))/(VLOOKUP(EW$72,INDIRECT($C$5&amp;"生成成长"),5))*(VLOOKUP($B$5,标准坦克设计!$B$24:$U$30,MATCH("对"&amp;LEFT($C$5,2)&amp;"输出",标准坦克设计!$B$23:$U$23,0)))*(VLOOKUP($B142,INDIRECT($B$5&amp;"生成成长"),3))*(VLOOKUP($B$5,标准坦克设计!$B$14:$K$20,9)/30))</f>
        <v>13.535185407940329</v>
      </c>
      <c r="EX142" s="173">
        <f ca="1">(VLOOKUP(EX$72,INDIRECT($C$5&amp;"生成成长"),2))/((VLOOKUP($B142,INDIRECT($B$5&amp;"生成成长"),4))/(VLOOKUP(EX$72,INDIRECT($C$5&amp;"生成成长"),5))*(VLOOKUP($B$5,标准坦克设计!$B$24:$U$30,MATCH("对"&amp;LEFT($C$5,2)&amp;"输出",标准坦克设计!$B$23:$U$23,0)))*(VLOOKUP($B142,INDIRECT($B$5&amp;"生成成长"),3))*(VLOOKUP($B$5,标准坦克设计!$B$14:$K$20,9)/30))</f>
        <v>14.500121290049266</v>
      </c>
      <c r="EY142" s="173">
        <f ca="1">(VLOOKUP(EY$72,INDIRECT($C$5&amp;"生成成长"),2))/((VLOOKUP($B142,INDIRECT($B$5&amp;"生成成长"),4))/(VLOOKUP(EY$72,INDIRECT($C$5&amp;"生成成长"),5))*(VLOOKUP($B$5,标准坦克设计!$B$24:$U$30,MATCH("对"&amp;LEFT($C$5,2)&amp;"输出",标准坦克设计!$B$23:$U$23,0)))*(VLOOKUP($B142,INDIRECT($B$5&amp;"生成成长"),3))*(VLOOKUP($B$5,标准坦克设计!$B$14:$K$20,9)/30))</f>
        <v>15.498278751823923</v>
      </c>
      <c r="EZ142" s="173">
        <f ca="1">(VLOOKUP(EZ$72,INDIRECT($C$5&amp;"生成成长"),2))/((VLOOKUP($B142,INDIRECT($B$5&amp;"生成成长"),4))/(VLOOKUP(EZ$72,INDIRECT($C$5&amp;"生成成长"),5))*(VLOOKUP($B$5,标准坦克设计!$B$24:$U$30,MATCH("对"&amp;LEFT($C$5,2)&amp;"输出",标准坦克设计!$B$23:$U$23,0)))*(VLOOKUP($B142,INDIRECT($B$5&amp;"生成成长"),3))*(VLOOKUP($B$5,标准坦克设计!$B$14:$K$20,9)/30))</f>
        <v>16.529657793264303</v>
      </c>
      <c r="FA142" s="173">
        <f ca="1">(VLOOKUP(FA$72,INDIRECT($C$5&amp;"生成成长"),2))/((VLOOKUP($B142,INDIRECT($B$5&amp;"生成成长"),4))/(VLOOKUP(FA$72,INDIRECT($C$5&amp;"生成成长"),5))*(VLOOKUP($B$5,标准坦克设计!$B$24:$U$30,MATCH("对"&amp;LEFT($C$5,2)&amp;"输出",标准坦克设计!$B$23:$U$23,0)))*(VLOOKUP($B142,INDIRECT($B$5&amp;"生成成长"),3))*(VLOOKUP($B$5,标准坦克设计!$B$14:$K$20,9)/30))</f>
        <v>17.594258414370401</v>
      </c>
      <c r="FB142" s="173">
        <f ca="1">(VLOOKUP(FB$72,INDIRECT($C$5&amp;"生成成长"),2))/((VLOOKUP($B142,INDIRECT($B$5&amp;"生成成长"),4))/(VLOOKUP(FB$72,INDIRECT($C$5&amp;"生成成长"),5))*(VLOOKUP($B$5,标准坦克设计!$B$24:$U$30,MATCH("对"&amp;LEFT($C$5,2)&amp;"输出",标准坦克设计!$B$23:$U$23,0)))*(VLOOKUP($B142,INDIRECT($B$5&amp;"生成成长"),3))*(VLOOKUP($B$5,标准坦克设计!$B$14:$K$20,9)/30))</f>
        <v>18.692080615142228</v>
      </c>
      <c r="FC142" s="173">
        <f ca="1">(VLOOKUP(FC$72,INDIRECT($C$5&amp;"生成成长"),2))/((VLOOKUP($B142,INDIRECT($B$5&amp;"生成成长"),4))/(VLOOKUP(FC$72,INDIRECT($C$5&amp;"生成成长"),5))*(VLOOKUP($B$5,标准坦克设计!$B$24:$U$30,MATCH("对"&amp;LEFT($C$5,2)&amp;"输出",标准坦克设计!$B$23:$U$23,0)))*(VLOOKUP($B142,INDIRECT($B$5&amp;"生成成长"),3))*(VLOOKUP($B$5,标准坦克设计!$B$14:$K$20,9)/30))</f>
        <v>19.823124395579775</v>
      </c>
      <c r="FD142" s="173">
        <f ca="1">(VLOOKUP(FD$72,INDIRECT($C$5&amp;"生成成长"),2))/((VLOOKUP($B142,INDIRECT($B$5&amp;"生成成长"),4))/(VLOOKUP(FD$72,INDIRECT($C$5&amp;"生成成长"),5))*(VLOOKUP($B$5,标准坦克设计!$B$24:$U$30,MATCH("对"&amp;LEFT($C$5,2)&amp;"输出",标准坦克设计!$B$23:$U$23,0)))*(VLOOKUP($B142,INDIRECT($B$5&amp;"生成成长"),3))*(VLOOKUP($B$5,标准坦克设计!$B$14:$K$20,9)/30))</f>
        <v>20.987389755683047</v>
      </c>
      <c r="FE142" s="173">
        <f ca="1">(VLOOKUP(FE$72,INDIRECT($C$5&amp;"生成成长"),2))/((VLOOKUP($B142,INDIRECT($B$5&amp;"生成成长"),4))/(VLOOKUP(FE$72,INDIRECT($C$5&amp;"生成成长"),5))*(VLOOKUP($B$5,标准坦克设计!$B$24:$U$30,MATCH("对"&amp;LEFT($C$5,2)&amp;"输出",标准坦克设计!$B$23:$U$23,0)))*(VLOOKUP($B142,INDIRECT($B$5&amp;"生成成长"),3))*(VLOOKUP($B$5,标准坦克设计!$B$14:$K$20,9)/30))</f>
        <v>22.406170854217095</v>
      </c>
      <c r="FF142" s="173">
        <f ca="1">(VLOOKUP(FF$72,INDIRECT($C$5&amp;"生成成长"),2))/((VLOOKUP($B142,INDIRECT($B$5&amp;"生成成长"),4))/(VLOOKUP(FF$72,INDIRECT($C$5&amp;"生成成长"),5))*(VLOOKUP($B$5,标准坦克设计!$B$24:$U$30,MATCH("对"&amp;LEFT($C$5,2)&amp;"输出",标准坦克设计!$B$23:$U$23,0)))*(VLOOKUP($B142,INDIRECT($B$5&amp;"生成成长"),3))*(VLOOKUP($B$5,标准坦克设计!$B$14:$K$20,9)/30))</f>
        <v>23.871352340879302</v>
      </c>
      <c r="FG142" s="173">
        <f ca="1">(VLOOKUP(FG$72,INDIRECT($C$5&amp;"生成成长"),2))/((VLOOKUP($B142,INDIRECT($B$5&amp;"生成成长"),4))/(VLOOKUP(FG$72,INDIRECT($C$5&amp;"生成成长"),5))*(VLOOKUP($B$5,标准坦克设计!$B$24:$U$30,MATCH("对"&amp;LEFT($C$5,2)&amp;"输出",标准坦克设计!$B$23:$U$23,0)))*(VLOOKUP($B142,INDIRECT($B$5&amp;"生成成长"),3))*(VLOOKUP($B$5,标准坦克设计!$B$14:$K$20,9)/30))</f>
        <v>25.382934215669671</v>
      </c>
      <c r="FH142" s="173">
        <f ca="1">(VLOOKUP(FH$72,INDIRECT($C$5&amp;"生成成长"),2))/((VLOOKUP($B142,INDIRECT($B$5&amp;"生成成长"),4))/(VLOOKUP(FH$72,INDIRECT($C$5&amp;"生成成长"),5))*(VLOOKUP($B$5,标准坦克设计!$B$24:$U$30,MATCH("对"&amp;LEFT($C$5,2)&amp;"输出",标准坦克设计!$B$23:$U$23,0)))*(VLOOKUP($B142,INDIRECT($B$5&amp;"生成成长"),3))*(VLOOKUP($B$5,标准坦克设计!$B$14:$K$20,9)/30))</f>
        <v>26.940916478588189</v>
      </c>
      <c r="FI142" s="173">
        <f ca="1">(VLOOKUP(FI$72,INDIRECT($C$5&amp;"生成成长"),2))/((VLOOKUP($B142,INDIRECT($B$5&amp;"生成成长"),4))/(VLOOKUP(FI$72,INDIRECT($C$5&amp;"生成成长"),5))*(VLOOKUP($B$5,标准坦克设计!$B$24:$U$30,MATCH("对"&amp;LEFT($C$5,2)&amp;"输出",标准坦克设计!$B$23:$U$23,0)))*(VLOOKUP($B142,INDIRECT($B$5&amp;"生成成长"),3))*(VLOOKUP($B$5,标准坦克设计!$B$14:$K$20,9)/30))</f>
        <v>28.545299129634877</v>
      </c>
      <c r="FJ142" s="173">
        <f ca="1">(VLOOKUP(FJ$72,INDIRECT($C$5&amp;"生成成长"),2))/((VLOOKUP($B142,INDIRECT($B$5&amp;"生成成长"),4))/(VLOOKUP(FJ$72,INDIRECT($C$5&amp;"生成成长"),5))*(VLOOKUP($B$5,标准坦克设计!$B$24:$U$30,MATCH("对"&amp;LEFT($C$5,2)&amp;"输出",标准坦克设计!$B$23:$U$23,0)))*(VLOOKUP($B142,INDIRECT($B$5&amp;"生成成长"),3))*(VLOOKUP($B$5,标准坦克设计!$B$14:$K$20,9)/30))</f>
        <v>30.19608216880971</v>
      </c>
      <c r="FK142" s="173">
        <f ca="1">(VLOOKUP(FK$72,INDIRECT($C$5&amp;"生成成长"),2))/((VLOOKUP($B142,INDIRECT($B$5&amp;"生成成长"),4))/(VLOOKUP(FK$72,INDIRECT($C$5&amp;"生成成长"),5))*(VLOOKUP($B$5,标准坦克设计!$B$24:$U$30,MATCH("对"&amp;LEFT($C$5,2)&amp;"输出",标准坦克设计!$B$23:$U$23,0)))*(VLOOKUP($B142,INDIRECT($B$5&amp;"生成成长"),3))*(VLOOKUP($B$5,标准坦克设计!$B$14:$K$20,9)/30))</f>
        <v>31.893265596112713</v>
      </c>
    </row>
    <row r="143" spans="1:167" x14ac:dyDescent="0.15">
      <c r="A143" s="171" t="str">
        <f t="shared" si="12"/>
        <v>T3中品质14级</v>
      </c>
      <c r="B143" s="172">
        <v>20314</v>
      </c>
      <c r="C143" s="173">
        <f ca="1">(VLOOKUP(C$72,INDIRECT($C$5&amp;"生成成长"),2))/((VLOOKUP($B143,INDIRECT($B$5&amp;"生成成长"),4))/(VLOOKUP(C$72,INDIRECT($C$5&amp;"生成成长"),5))*(VLOOKUP($B$5,标准坦克设计!$B$24:$U$30,MATCH("对"&amp;LEFT($C$5,2)&amp;"输出",标准坦克设计!$B$23:$U$23,0)))*(VLOOKUP($B143,INDIRECT($B$5&amp;"生成成长"),3))*(VLOOKUP($B$5,标准坦克设计!$B$14:$K$20,9)/30))</f>
        <v>1.2717479101889295</v>
      </c>
      <c r="D143" s="173">
        <f ca="1">(VLOOKUP(D$72,INDIRECT($C$5&amp;"生成成长"),2))/((VLOOKUP($B143,INDIRECT($B$5&amp;"生成成长"),4))/(VLOOKUP(D$72,INDIRECT($C$5&amp;"生成成长"),5))*(VLOOKUP($B$5,标准坦克设计!$B$24:$U$30,MATCH("对"&amp;LEFT($C$5,2)&amp;"输出",标准坦克设计!$B$23:$U$23,0)))*(VLOOKUP($B143,INDIRECT($B$5&amp;"生成成长"),3))*(VLOOKUP($B$5,标准坦克设计!$B$14:$K$20,9)/30))</f>
        <v>1.4289359518882809</v>
      </c>
      <c r="E143" s="173">
        <f ca="1">(VLOOKUP(E$72,INDIRECT($C$5&amp;"生成成长"),2))/((VLOOKUP($B143,INDIRECT($B$5&amp;"生成成长"),4))/(VLOOKUP(E$72,INDIRECT($C$5&amp;"生成成长"),5))*(VLOOKUP($B$5,标准坦克设计!$B$24:$U$30,MATCH("对"&amp;LEFT($C$5,2)&amp;"输出",标准坦克设计!$B$23:$U$23,0)))*(VLOOKUP($B143,INDIRECT($B$5&amp;"生成成长"),3))*(VLOOKUP($B$5,标准坦克设计!$B$14:$K$20,9)/30))</f>
        <v>1.5952805785409931</v>
      </c>
      <c r="F143" s="173">
        <f ca="1">(VLOOKUP(F$72,INDIRECT($C$5&amp;"生成成长"),2))/((VLOOKUP($B143,INDIRECT($B$5&amp;"生成成长"),4))/(VLOOKUP(F$72,INDIRECT($C$5&amp;"生成成长"),5))*(VLOOKUP($B$5,标准坦克设计!$B$24:$U$30,MATCH("对"&amp;LEFT($C$5,2)&amp;"输出",标准坦克设计!$B$23:$U$23,0)))*(VLOOKUP($B143,INDIRECT($B$5&amp;"生成成长"),3))*(VLOOKUP($B$5,标准坦克设计!$B$14:$K$20,9)/30))</f>
        <v>1.770781790147065</v>
      </c>
      <c r="G143" s="173">
        <f ca="1">(VLOOKUP(G$72,INDIRECT($C$5&amp;"生成成长"),2))/((VLOOKUP($B143,INDIRECT($B$5&amp;"生成成长"),4))/(VLOOKUP(G$72,INDIRECT($C$5&amp;"生成成长"),5))*(VLOOKUP($B$5,标准坦克设计!$B$24:$U$30,MATCH("对"&amp;LEFT($C$5,2)&amp;"输出",标准坦克设计!$B$23:$U$23,0)))*(VLOOKUP($B143,INDIRECT($B$5&amp;"生成成长"),3))*(VLOOKUP($B$5,标准坦克设计!$B$14:$K$20,9)/30))</f>
        <v>1.9554395867064978</v>
      </c>
      <c r="H143" s="173">
        <f ca="1">(VLOOKUP(H$72,INDIRECT($C$5&amp;"生成成长"),2))/((VLOOKUP($B143,INDIRECT($B$5&amp;"生成成长"),4))/(VLOOKUP(H$72,INDIRECT($C$5&amp;"生成成长"),5))*(VLOOKUP($B$5,标准坦克设计!$B$24:$U$30,MATCH("对"&amp;LEFT($C$5,2)&amp;"输出",标准坦克设计!$B$23:$U$23,0)))*(VLOOKUP($B143,INDIRECT($B$5&amp;"生成成长"),3))*(VLOOKUP($B$5,标准坦克设计!$B$14:$K$20,9)/30))</f>
        <v>1.7112639879502234</v>
      </c>
      <c r="I143" s="173">
        <f ca="1">(VLOOKUP(I$72,INDIRECT($C$5&amp;"生成成长"),2))/((VLOOKUP($B143,INDIRECT($B$5&amp;"生成成长"),4))/(VLOOKUP(I$72,INDIRECT($C$5&amp;"生成成长"),5))*(VLOOKUP($B$5,标准坦克设计!$B$24:$U$30,MATCH("对"&amp;LEFT($C$5,2)&amp;"输出",标准坦克设计!$B$23:$U$23,0)))*(VLOOKUP($B143,INDIRECT($B$5&amp;"生成成长"),3))*(VLOOKUP($B$5,标准坦克设计!$B$14:$K$20,9)/30))</f>
        <v>1.9554395867064978</v>
      </c>
      <c r="J143" s="173">
        <f ca="1">(VLOOKUP(J$72,INDIRECT($C$5&amp;"生成成长"),2))/((VLOOKUP($B143,INDIRECT($B$5&amp;"生成成长"),4))/(VLOOKUP(J$72,INDIRECT($C$5&amp;"生成成长"),5))*(VLOOKUP($B$5,标准坦克设计!$B$24:$U$30,MATCH("对"&amp;LEFT($C$5,2)&amp;"输出",标准坦克设计!$B$23:$U$23,0)))*(VLOOKUP($B143,INDIRECT($B$5&amp;"生成成长"),3))*(VLOOKUP($B$5,标准坦克设计!$B$14:$K$20,9)/30))</f>
        <v>2.2158935587131903</v>
      </c>
      <c r="K143" s="173">
        <f ca="1">(VLOOKUP(K$72,INDIRECT($C$5&amp;"生成成长"),2))/((VLOOKUP($B143,INDIRECT($B$5&amp;"生成成长"),4))/(VLOOKUP(K$72,INDIRECT($C$5&amp;"生成成长"),5))*(VLOOKUP($B$5,标准坦克设计!$B$24:$U$30,MATCH("对"&amp;LEFT($C$5,2)&amp;"输出",标准坦克设计!$B$23:$U$23,0)))*(VLOOKUP($B143,INDIRECT($B$5&amp;"生成成长"),3))*(VLOOKUP($B$5,标准坦克设计!$B$14:$K$20,9)/30))</f>
        <v>2.4926259039703011</v>
      </c>
      <c r="L143" s="173">
        <f ca="1">(VLOOKUP(L$72,INDIRECT($C$5&amp;"生成成长"),2))/((VLOOKUP($B143,INDIRECT($B$5&amp;"生成成长"),4))/(VLOOKUP(L$72,INDIRECT($C$5&amp;"生成成长"),5))*(VLOOKUP($B$5,标准坦克设计!$B$24:$U$30,MATCH("对"&amp;LEFT($C$5,2)&amp;"输出",标准坦克设计!$B$23:$U$23,0)))*(VLOOKUP($B143,INDIRECT($B$5&amp;"生成成长"),3))*(VLOOKUP($B$5,标准坦克设计!$B$14:$K$20,9)/30))</f>
        <v>2.7856366224778313</v>
      </c>
      <c r="M143" s="173">
        <f ca="1">(VLOOKUP(M$72,INDIRECT($C$5&amp;"生成成长"),2))/((VLOOKUP($B143,INDIRECT($B$5&amp;"生成成长"),4))/(VLOOKUP(M$72,INDIRECT($C$5&amp;"生成成长"),5))*(VLOOKUP($B$5,标准坦克设计!$B$24:$U$30,MATCH("对"&amp;LEFT($C$5,2)&amp;"输出",标准坦克设计!$B$23:$U$23,0)))*(VLOOKUP($B143,INDIRECT($B$5&amp;"生成成长"),3))*(VLOOKUP($B$5,标准坦克设计!$B$14:$K$20,9)/30))</f>
        <v>3.094925714235778</v>
      </c>
      <c r="N143" s="173">
        <f ca="1">(VLOOKUP(N$72,INDIRECT($C$5&amp;"生成成长"),2))/((VLOOKUP($B143,INDIRECT($B$5&amp;"生成成长"),4))/(VLOOKUP(N$72,INDIRECT($C$5&amp;"生成成长"),5))*(VLOOKUP($B$5,标准坦克设计!$B$24:$U$30,MATCH("对"&amp;LEFT($C$5,2)&amp;"输出",标准坦克设计!$B$23:$U$23,0)))*(VLOOKUP($B143,INDIRECT($B$5&amp;"生成成长"),3))*(VLOOKUP($B$5,标准坦克设计!$B$14:$K$20,9)/30))</f>
        <v>3.4204931792441444</v>
      </c>
      <c r="O143" s="173">
        <f ca="1">(VLOOKUP(O$72,INDIRECT($C$5&amp;"生成成长"),2))/((VLOOKUP($B143,INDIRECT($B$5&amp;"生成成长"),4))/(VLOOKUP(O$72,INDIRECT($C$5&amp;"生成成长"),5))*(VLOOKUP($B$5,标准坦克设计!$B$24:$U$30,MATCH("对"&amp;LEFT($C$5,2)&amp;"输出",标准坦克设计!$B$23:$U$23,0)))*(VLOOKUP($B143,INDIRECT($B$5&amp;"生成成长"),3))*(VLOOKUP($B$5,标准坦克设计!$B$14:$K$20,9)/30))</f>
        <v>2.6005973015453416</v>
      </c>
      <c r="P143" s="173">
        <f ca="1">(VLOOKUP(P$72,INDIRECT($C$5&amp;"生成成长"),2))/((VLOOKUP($B143,INDIRECT($B$5&amp;"生成成长"),4))/(VLOOKUP(P$72,INDIRECT($C$5&amp;"生成成长"),5))*(VLOOKUP($B$5,标准坦克设计!$B$24:$U$30,MATCH("对"&amp;LEFT($C$5,2)&amp;"输出",标准坦克设计!$B$23:$U$23,0)))*(VLOOKUP($B143,INDIRECT($B$5&amp;"生成成长"),3))*(VLOOKUP($B$5,标准坦克设计!$B$14:$K$20,9)/30))</f>
        <v>2.9382463717005027</v>
      </c>
      <c r="Q143" s="173">
        <f ca="1">(VLOOKUP(Q$72,INDIRECT($C$5&amp;"生成成长"),2))/((VLOOKUP($B143,INDIRECT($B$5&amp;"生成成长"),4))/(VLOOKUP(Q$72,INDIRECT($C$5&amp;"生成成长"),5))*(VLOOKUP($B$5,标准坦克设计!$B$24:$U$30,MATCH("对"&amp;LEFT($C$5,2)&amp;"输出",标准坦克设计!$B$23:$U$23,0)))*(VLOOKUP($B143,INDIRECT($B$5&amp;"生成成长"),3))*(VLOOKUP($B$5,标准坦克设计!$B$14:$K$20,9)/30))</f>
        <v>3.2964977580007235</v>
      </c>
      <c r="R143" s="173">
        <f ca="1">(VLOOKUP(R$72,INDIRECT($C$5&amp;"生成成长"),2))/((VLOOKUP($B143,INDIRECT($B$5&amp;"生成成长"),4))/(VLOOKUP(R$72,INDIRECT($C$5&amp;"生成成长"),5))*(VLOOKUP($B$5,标准坦克设计!$B$24:$U$30,MATCH("对"&amp;LEFT($C$5,2)&amp;"输出",标准坦克设计!$B$23:$U$23,0)))*(VLOOKUP($B143,INDIRECT($B$5&amp;"生成成长"),3))*(VLOOKUP($B$5,标准坦克设计!$B$14:$K$20,9)/30))</f>
        <v>3.6753514604460054</v>
      </c>
      <c r="S143" s="173">
        <f ca="1">(VLOOKUP(S$72,INDIRECT($C$5&amp;"生成成长"),2))/((VLOOKUP($B143,INDIRECT($B$5&amp;"生成成长"),4))/(VLOOKUP(S$72,INDIRECT($C$5&amp;"生成成长"),5))*(VLOOKUP($B$5,标准坦克设计!$B$24:$U$30,MATCH("对"&amp;LEFT($C$5,2)&amp;"输出",标准坦克设计!$B$23:$U$23,0)))*(VLOOKUP($B143,INDIRECT($B$5&amp;"生成成长"),3))*(VLOOKUP($B$5,标准坦克设计!$B$14:$K$20,9)/30))</f>
        <v>4.0748074790363482</v>
      </c>
      <c r="T143" s="173">
        <f ca="1">(VLOOKUP(T$72,INDIRECT($C$5&amp;"生成成长"),2))/((VLOOKUP($B143,INDIRECT($B$5&amp;"生成成长"),4))/(VLOOKUP(T$72,INDIRECT($C$5&amp;"生成成长"),5))*(VLOOKUP($B$5,标准坦克设计!$B$24:$U$30,MATCH("对"&amp;LEFT($C$5,2)&amp;"输出",标准坦克设计!$B$23:$U$23,0)))*(VLOOKUP($B143,INDIRECT($B$5&amp;"生成成长"),3))*(VLOOKUP($B$5,标准坦克设计!$B$14:$K$20,9)/30))</f>
        <v>4.4948658137717521</v>
      </c>
      <c r="U143" s="173">
        <f ca="1">(VLOOKUP(U$72,INDIRECT($C$5&amp;"生成成长"),2))/((VLOOKUP($B143,INDIRECT($B$5&amp;"生成成长"),4))/(VLOOKUP(U$72,INDIRECT($C$5&amp;"生成成长"),5))*(VLOOKUP($B$5,标准坦克设计!$B$24:$U$30,MATCH("对"&amp;LEFT($C$5,2)&amp;"输出",标准坦克设计!$B$23:$U$23,0)))*(VLOOKUP($B143,INDIRECT($B$5&amp;"生成成长"),3))*(VLOOKUP($B$5,标准坦克设计!$B$14:$K$20,9)/30))</f>
        <v>4.9355264646522157</v>
      </c>
      <c r="V143" s="173">
        <f ca="1">(VLOOKUP(V$72,INDIRECT($C$5&amp;"生成成长"),2))/((VLOOKUP($B143,INDIRECT($B$5&amp;"生成成长"),4))/(VLOOKUP(V$72,INDIRECT($C$5&amp;"生成成长"),5))*(VLOOKUP($B$5,标准坦克设计!$B$24:$U$30,MATCH("对"&amp;LEFT($C$5,2)&amp;"输出",标准坦克设计!$B$23:$U$23,0)))*(VLOOKUP($B143,INDIRECT($B$5&amp;"生成成长"),3))*(VLOOKUP($B$5,标准坦克设计!$B$14:$K$20,9)/30))</f>
        <v>5.3967894316777407</v>
      </c>
      <c r="W143" s="173">
        <f ca="1">(VLOOKUP(W$72,INDIRECT($C$5&amp;"生成成长"),2))/((VLOOKUP($B143,INDIRECT($B$5&amp;"生成成长"),4))/(VLOOKUP(W$72,INDIRECT($C$5&amp;"生成成长"),5))*(VLOOKUP($B$5,标准坦克设计!$B$24:$U$30,MATCH("对"&amp;LEFT($C$5,2)&amp;"输出",标准坦克设计!$B$23:$U$23,0)))*(VLOOKUP($B143,INDIRECT($B$5&amp;"生成成长"),3))*(VLOOKUP($B$5,标准坦克设计!$B$14:$K$20,9)/30))</f>
        <v>5.8786547148483264</v>
      </c>
      <c r="X143" s="173">
        <f ca="1">(VLOOKUP(X$72,INDIRECT($C$5&amp;"生成成长"),2))/((VLOOKUP($B143,INDIRECT($B$5&amp;"生成成长"),4))/(VLOOKUP(X$72,INDIRECT($C$5&amp;"生成成长"),5))*(VLOOKUP($B$5,标准坦克设计!$B$24:$U$30,MATCH("对"&amp;LEFT($C$5,2)&amp;"输出",标准坦克设计!$B$23:$U$23,0)))*(VLOOKUP($B143,INDIRECT($B$5&amp;"生成成长"),3))*(VLOOKUP($B$5,标准坦克设计!$B$14:$K$20,9)/30))</f>
        <v>4.2589565764317054</v>
      </c>
      <c r="Y143" s="173">
        <f ca="1">(VLOOKUP(Y$72,INDIRECT($C$5&amp;"生成成长"),2))/((VLOOKUP($B143,INDIRECT($B$5&amp;"生成成长"),4))/(VLOOKUP(Y$72,INDIRECT($C$5&amp;"生成成长"),5))*(VLOOKUP($B$5,标准坦克设计!$B$24:$U$30,MATCH("对"&amp;LEFT($C$5,2)&amp;"输出",标准坦克设计!$B$23:$U$23,0)))*(VLOOKUP($B143,INDIRECT($B$5&amp;"生成成长"),3))*(VLOOKUP($B$5,标准坦克设计!$B$14:$K$20,9)/30))</f>
        <v>4.7371337906627424</v>
      </c>
      <c r="Z143" s="173">
        <f ca="1">(VLOOKUP(Z$72,INDIRECT($C$5&amp;"生成成长"),2))/((VLOOKUP($B143,INDIRECT($B$5&amp;"生成成长"),4))/(VLOOKUP(Z$72,INDIRECT($C$5&amp;"生成成长"),5))*(VLOOKUP($B$5,标准坦克设计!$B$24:$U$30,MATCH("对"&amp;LEFT($C$5,2)&amp;"输出",标准坦克设计!$B$23:$U$23,0)))*(VLOOKUP($B143,INDIRECT($B$5&amp;"生成成长"),3))*(VLOOKUP($B$5,标准坦克设计!$B$14:$K$20,9)/30))</f>
        <v>5.2407459630975586</v>
      </c>
      <c r="AA143" s="173">
        <f ca="1">(VLOOKUP(AA$72,INDIRECT($C$5&amp;"生成成长"),2))/((VLOOKUP($B143,INDIRECT($B$5&amp;"生成成长"),4))/(VLOOKUP(AA$72,INDIRECT($C$5&amp;"生成成长"),5))*(VLOOKUP($B$5,标准坦克设计!$B$24:$U$30,MATCH("对"&amp;LEFT($C$5,2)&amp;"输出",标准坦克设计!$B$23:$U$23,0)))*(VLOOKUP($B143,INDIRECT($B$5&amp;"生成成长"),3))*(VLOOKUP($B$5,标准坦克设计!$B$14:$K$20,9)/30))</f>
        <v>5.769793093736153</v>
      </c>
      <c r="AB143" s="173">
        <f ca="1">(VLOOKUP(AB$72,INDIRECT($C$5&amp;"生成成长"),2))/((VLOOKUP($B143,INDIRECT($B$5&amp;"生成成长"),4))/(VLOOKUP(AB$72,INDIRECT($C$5&amp;"生成成长"),5))*(VLOOKUP($B$5,标准坦克设计!$B$24:$U$30,MATCH("对"&amp;LEFT($C$5,2)&amp;"输出",标准坦克设计!$B$23:$U$23,0)))*(VLOOKUP($B143,INDIRECT($B$5&amp;"生成成长"),3))*(VLOOKUP($B$5,标准坦克设计!$B$14:$K$20,9)/30))</f>
        <v>6.3242751825785266</v>
      </c>
      <c r="AC143" s="173">
        <f ca="1">(VLOOKUP(AC$72,INDIRECT($C$5&amp;"生成成长"),2))/((VLOOKUP($B143,INDIRECT($B$5&amp;"生成成长"),4))/(VLOOKUP(AC$72,INDIRECT($C$5&amp;"生成成长"),5))*(VLOOKUP($B$5,标准坦克设计!$B$24:$U$30,MATCH("对"&amp;LEFT($C$5,2)&amp;"输出",标准坦克设计!$B$23:$U$23,0)))*(VLOOKUP($B143,INDIRECT($B$5&amp;"生成成长"),3))*(VLOOKUP($B$5,标准坦克设计!$B$14:$K$20,9)/30))</f>
        <v>6.9041922296246776</v>
      </c>
      <c r="AD143" s="173">
        <f ca="1">(VLOOKUP(AD$72,INDIRECT($C$5&amp;"生成成长"),2))/((VLOOKUP($B143,INDIRECT($B$5&amp;"生成成长"),4))/(VLOOKUP(AD$72,INDIRECT($C$5&amp;"生成成长"),5))*(VLOOKUP($B$5,标准坦克设计!$B$24:$U$30,MATCH("对"&amp;LEFT($C$5,2)&amp;"输出",标准坦克设计!$B$23:$U$23,0)))*(VLOOKUP($B143,INDIRECT($B$5&amp;"生成成长"),3))*(VLOOKUP($B$5,标准坦克设计!$B$14:$K$20,9)/30))</f>
        <v>7.5095442348746104</v>
      </c>
      <c r="AE143" s="173">
        <f ca="1">(VLOOKUP(AE$72,INDIRECT($C$5&amp;"生成成长"),2))/((VLOOKUP($B143,INDIRECT($B$5&amp;"生成成长"),4))/(VLOOKUP(AE$72,INDIRECT($C$5&amp;"生成成长"),5))*(VLOOKUP($B$5,标准坦克设计!$B$24:$U$30,MATCH("对"&amp;LEFT($C$5,2)&amp;"输出",标准坦克设计!$B$23:$U$23,0)))*(VLOOKUP($B143,INDIRECT($B$5&amp;"生成成长"),3))*(VLOOKUP($B$5,标准坦克设计!$B$14:$K$20,9)/30))</f>
        <v>8.1403311983283189</v>
      </c>
      <c r="AF143" s="173">
        <f ca="1">(VLOOKUP(AF$72,INDIRECT($C$5&amp;"生成成长"),2))/((VLOOKUP($B143,INDIRECT($B$5&amp;"生成成长"),4))/(VLOOKUP(AF$72,INDIRECT($C$5&amp;"生成成长"),5))*(VLOOKUP($B$5,标准坦克设计!$B$24:$U$30,MATCH("对"&amp;LEFT($C$5,2)&amp;"输出",标准坦克设计!$B$23:$U$23,0)))*(VLOOKUP($B143,INDIRECT($B$5&amp;"生成成长"),3))*(VLOOKUP($B$5,标准坦克设计!$B$14:$K$20,9)/30))</f>
        <v>8.7965531199858056</v>
      </c>
      <c r="AG143" s="173">
        <f ca="1">(VLOOKUP(AG$72,INDIRECT($C$5&amp;"生成成长"),2))/((VLOOKUP($B143,INDIRECT($B$5&amp;"生成成长"),4))/(VLOOKUP(AG$72,INDIRECT($C$5&amp;"生成成长"),5))*(VLOOKUP($B$5,标准坦克设计!$B$24:$U$30,MATCH("对"&amp;LEFT($C$5,2)&amp;"输出",标准坦克设计!$B$23:$U$23,0)))*(VLOOKUP($B143,INDIRECT($B$5&amp;"生成成长"),3))*(VLOOKUP($B$5,标准坦克设计!$B$14:$K$20,9)/30))</f>
        <v>9.4782099998470724</v>
      </c>
      <c r="AH143" s="173">
        <f ca="1">(VLOOKUP(AH$72,INDIRECT($C$5&amp;"生成成长"),2))/((VLOOKUP($B143,INDIRECT($B$5&amp;"生成成长"),4))/(VLOOKUP(AH$72,INDIRECT($C$5&amp;"生成成长"),5))*(VLOOKUP($B$5,标准坦克设计!$B$24:$U$30,MATCH("对"&amp;LEFT($C$5,2)&amp;"输出",标准坦克设计!$B$23:$U$23,0)))*(VLOOKUP($B143,INDIRECT($B$5&amp;"生成成长"),3))*(VLOOKUP($B$5,标准坦克设计!$B$14:$K$20,9)/30))</f>
        <v>10.185301837912116</v>
      </c>
      <c r="AI143" s="173">
        <f ca="1">(VLOOKUP(AI$72,INDIRECT($C$5&amp;"生成成长"),2))/((VLOOKUP($B143,INDIRECT($B$5&amp;"生成成长"),4))/(VLOOKUP(AI$72,INDIRECT($C$5&amp;"生成成长"),5))*(VLOOKUP($B$5,标准坦克设计!$B$24:$U$30,MATCH("对"&amp;LEFT($C$5,2)&amp;"输出",标准坦克设计!$B$23:$U$23,0)))*(VLOOKUP($B143,INDIRECT($B$5&amp;"生成成长"),3))*(VLOOKUP($B$5,标准坦克设计!$B$14:$K$20,9)/30))</f>
        <v>7.2036888624741717</v>
      </c>
      <c r="AJ143" s="173">
        <f ca="1">(VLOOKUP(AJ$72,INDIRECT($C$5&amp;"生成成长"),2))/((VLOOKUP($B143,INDIRECT($B$5&amp;"生成成长"),4))/(VLOOKUP(AJ$72,INDIRECT($C$5&amp;"生成成长"),5))*(VLOOKUP($B$5,标准坦克设计!$B$24:$U$30,MATCH("对"&amp;LEFT($C$5,2)&amp;"输出",标准坦克设计!$B$23:$U$23,0)))*(VLOOKUP($B143,INDIRECT($B$5&amp;"生成成长"),3))*(VLOOKUP($B$5,标准坦克设计!$B$14:$K$20,9)/30))</f>
        <v>7.8849642179623807</v>
      </c>
      <c r="AK143" s="173">
        <f ca="1">(VLOOKUP(AK$72,INDIRECT($C$5&amp;"生成成长"),2))/((VLOOKUP($B143,INDIRECT($B$5&amp;"生成成长"),4))/(VLOOKUP(AK$72,INDIRECT($C$5&amp;"生成成长"),5))*(VLOOKUP($B$5,标准坦克设计!$B$24:$U$30,MATCH("对"&amp;LEFT($C$5,2)&amp;"输出",标准坦克设计!$B$23:$U$23,0)))*(VLOOKUP($B143,INDIRECT($B$5&amp;"生成成长"),3))*(VLOOKUP($B$5,标准坦克设计!$B$14:$K$20,9)/30))</f>
        <v>8.5970158728771633</v>
      </c>
      <c r="AL143" s="173">
        <f ca="1">(VLOOKUP(AL$72,INDIRECT($C$5&amp;"生成成长"),2))/((VLOOKUP($B143,INDIRECT($B$5&amp;"生成成长"),4))/(VLOOKUP(AL$72,INDIRECT($C$5&amp;"生成成长"),5))*(VLOOKUP($B$5,标准坦克设计!$B$24:$U$30,MATCH("对"&amp;LEFT($C$5,2)&amp;"输出",标准坦克设计!$B$23:$U$23,0)))*(VLOOKUP($B143,INDIRECT($B$5&amp;"生成成长"),3))*(VLOOKUP($B$5,标准坦克设计!$B$14:$K$20,9)/30))</f>
        <v>9.3398438272185178</v>
      </c>
      <c r="AM143" s="173">
        <f ca="1">(VLOOKUP(AM$72,INDIRECT($C$5&amp;"生成成长"),2))/((VLOOKUP($B143,INDIRECT($B$5&amp;"生成成长"),4))/(VLOOKUP(AM$72,INDIRECT($C$5&amp;"生成成长"),5))*(VLOOKUP($B$5,标准坦克设计!$B$24:$U$30,MATCH("对"&amp;LEFT($C$5,2)&amp;"输出",标准坦克设计!$B$23:$U$23,0)))*(VLOOKUP($B143,INDIRECT($B$5&amp;"生成成长"),3))*(VLOOKUP($B$5,标准坦克设计!$B$14:$K$20,9)/30))</f>
        <v>10.113448080986444</v>
      </c>
      <c r="AN143" s="173">
        <f ca="1">(VLOOKUP(AN$72,INDIRECT($C$5&amp;"生成成长"),2))/((VLOOKUP($B143,INDIRECT($B$5&amp;"生成成长"),4))/(VLOOKUP(AN$72,INDIRECT($C$5&amp;"生成成长"),5))*(VLOOKUP($B$5,标准坦克设计!$B$24:$U$30,MATCH("对"&amp;LEFT($C$5,2)&amp;"输出",标准坦克设计!$B$23:$U$23,0)))*(VLOOKUP($B143,INDIRECT($B$5&amp;"生成成长"),3))*(VLOOKUP($B$5,标准坦克设计!$B$14:$K$20,9)/30))</f>
        <v>10.917828634180941</v>
      </c>
      <c r="AO143" s="173">
        <f ca="1">(VLOOKUP(AO$72,INDIRECT($C$5&amp;"生成成长"),2))/((VLOOKUP($B143,INDIRECT($B$5&amp;"生成成长"),4))/(VLOOKUP(AO$72,INDIRECT($C$5&amp;"生成成长"),5))*(VLOOKUP($B$5,标准坦克设计!$B$24:$U$30,MATCH("对"&amp;LEFT($C$5,2)&amp;"输出",标准坦克设计!$B$23:$U$23,0)))*(VLOOKUP($B143,INDIRECT($B$5&amp;"生成成长"),3))*(VLOOKUP($B$5,标准坦克设计!$B$14:$K$20,9)/30))</f>
        <v>11.752985486802011</v>
      </c>
      <c r="AP143" s="173">
        <f ca="1">(VLOOKUP(AP$72,INDIRECT($C$5&amp;"生成成长"),2))/((VLOOKUP($B143,INDIRECT($B$5&amp;"生成成长"),4))/(VLOOKUP(AP$72,INDIRECT($C$5&amp;"生成成长"),5))*(VLOOKUP($B$5,标准坦克设计!$B$24:$U$30,MATCH("对"&amp;LEFT($C$5,2)&amp;"输出",标准坦克设计!$B$23:$U$23,0)))*(VLOOKUP($B143,INDIRECT($B$5&amp;"生成成长"),3))*(VLOOKUP($B$5,标准坦克设计!$B$14:$K$20,9)/30))</f>
        <v>12.618918638849653</v>
      </c>
      <c r="AQ143" s="173">
        <f ca="1">(VLOOKUP(AQ$72,INDIRECT($C$5&amp;"生成成长"),2))/((VLOOKUP($B143,INDIRECT($B$5&amp;"生成成长"),4))/(VLOOKUP(AQ$72,INDIRECT($C$5&amp;"生成成长"),5))*(VLOOKUP($B$5,标准坦克设计!$B$24:$U$30,MATCH("对"&amp;LEFT($C$5,2)&amp;"输出",标准坦克设计!$B$23:$U$23,0)))*(VLOOKUP($B143,INDIRECT($B$5&amp;"生成成长"),3))*(VLOOKUP($B$5,标准坦克设计!$B$14:$K$20,9)/30))</f>
        <v>13.515628090323867</v>
      </c>
      <c r="AR143" s="173">
        <f ca="1">(VLOOKUP(AR$72,INDIRECT($C$5&amp;"生成成长"),2))/((VLOOKUP($B143,INDIRECT($B$5&amp;"生成成长"),4))/(VLOOKUP(AR$72,INDIRECT($C$5&amp;"生成成长"),5))*(VLOOKUP($B$5,标准坦克设计!$B$24:$U$30,MATCH("对"&amp;LEFT($C$5,2)&amp;"输出",标准坦克设计!$B$23:$U$23,0)))*(VLOOKUP($B143,INDIRECT($B$5&amp;"生成成长"),3))*(VLOOKUP($B$5,标准坦克设计!$B$14:$K$20,9)/30))</f>
        <v>14.443113841224651</v>
      </c>
      <c r="AS143" s="173">
        <f ca="1">(VLOOKUP(AS$72,INDIRECT($C$5&amp;"生成成长"),2))/((VLOOKUP($B143,INDIRECT($B$5&amp;"生成成长"),4))/(VLOOKUP(AS$72,INDIRECT($C$5&amp;"生成成长"),5))*(VLOOKUP($B$5,标准坦克设计!$B$24:$U$30,MATCH("对"&amp;LEFT($C$5,2)&amp;"输出",标准坦克设计!$B$23:$U$23,0)))*(VLOOKUP($B143,INDIRECT($B$5&amp;"生成成长"),3))*(VLOOKUP($B$5,标准坦克设计!$B$14:$K$20,9)/30))</f>
        <v>15.401375891552011</v>
      </c>
      <c r="AT143" s="173">
        <f ca="1">(VLOOKUP(AT$72,INDIRECT($C$5&amp;"生成成长"),2))/((VLOOKUP($B143,INDIRECT($B$5&amp;"生成成长"),4))/(VLOOKUP(AT$72,INDIRECT($C$5&amp;"生成成长"),5))*(VLOOKUP($B$5,标准坦克设计!$B$24:$U$30,MATCH("对"&amp;LEFT($C$5,2)&amp;"输出",标准坦克设计!$B$23:$U$23,0)))*(VLOOKUP($B143,INDIRECT($B$5&amp;"生成成长"),3))*(VLOOKUP($B$5,标准坦克设计!$B$14:$K$20,9)/30))</f>
        <v>16.39041424130594</v>
      </c>
      <c r="AU143" s="173">
        <f ca="1">(VLOOKUP(AU$72,INDIRECT($C$5&amp;"生成成长"),2))/((VLOOKUP($B143,INDIRECT($B$5&amp;"生成成长"),4))/(VLOOKUP(AU$72,INDIRECT($C$5&amp;"生成成长"),5))*(VLOOKUP($B$5,标准坦克设计!$B$24:$U$30,MATCH("对"&amp;LEFT($C$5,2)&amp;"输出",标准坦克设计!$B$23:$U$23,0)))*(VLOOKUP($B143,INDIRECT($B$5&amp;"生成成长"),3))*(VLOOKUP($B$5,标准坦克设计!$B$14:$K$20,9)/30))</f>
        <v>17.410228890486444</v>
      </c>
      <c r="AV143" s="173">
        <f ca="1">(VLOOKUP(AV$72,INDIRECT($C$5&amp;"生成成长"),2))/((VLOOKUP($B143,INDIRECT($B$5&amp;"生成成长"),4))/(VLOOKUP(AV$72,INDIRECT($C$5&amp;"生成成长"),5))*(VLOOKUP($B$5,标准坦克设计!$B$24:$U$30,MATCH("对"&amp;LEFT($C$5,2)&amp;"输出",标准坦克设计!$B$23:$U$23,0)))*(VLOOKUP($B143,INDIRECT($B$5&amp;"生成成长"),3))*(VLOOKUP($B$5,标准坦克设计!$B$14:$K$20,9)/30))</f>
        <v>1.770781790147065</v>
      </c>
      <c r="AW143" s="173">
        <f ca="1">(VLOOKUP(AW$72,INDIRECT($C$5&amp;"生成成长"),2))/((VLOOKUP($B143,INDIRECT($B$5&amp;"生成成长"),4))/(VLOOKUP(AW$72,INDIRECT($C$5&amp;"生成成长"),5))*(VLOOKUP($B$5,标准坦克设计!$B$24:$U$30,MATCH("对"&amp;LEFT($C$5,2)&amp;"输出",标准坦克设计!$B$23:$U$23,0)))*(VLOOKUP($B143,INDIRECT($B$5&amp;"生成成长"),3))*(VLOOKUP($B$5,标准坦克设计!$B$14:$K$20,9)/30))</f>
        <v>2.0190269822159439</v>
      </c>
      <c r="AX143" s="173">
        <f ca="1">(VLOOKUP(AX$72,INDIRECT($C$5&amp;"生成成长"),2))/((VLOOKUP($B143,INDIRECT($B$5&amp;"生成成长"),4))/(VLOOKUP(AX$72,INDIRECT($C$5&amp;"生成成长"),5))*(VLOOKUP($B$5,标准坦克设计!$B$24:$U$30,MATCH("对"&amp;LEFT($C$5,2)&amp;"输出",标准坦克设计!$B$23:$U$23,0)))*(VLOOKUP($B143,INDIRECT($B$5&amp;"生成成长"),3))*(VLOOKUP($B$5,标准坦克设计!$B$14:$K$20,9)/30))</f>
        <v>2.2835505475352416</v>
      </c>
      <c r="AY143" s="173">
        <f ca="1">(VLOOKUP(AY$72,INDIRECT($C$5&amp;"生成成长"),2))/((VLOOKUP($B143,INDIRECT($B$5&amp;"生成成长"),4))/(VLOOKUP(AY$72,INDIRECT($C$5&amp;"生成成长"),5))*(VLOOKUP($B$5,标准坦克设计!$B$24:$U$30,MATCH("对"&amp;LEFT($C$5,2)&amp;"输出",标准坦克设计!$B$23:$U$23,0)))*(VLOOKUP($B143,INDIRECT($B$5&amp;"生成成长"),3))*(VLOOKUP($B$5,标准坦克设计!$B$14:$K$20,9)/30))</f>
        <v>2.5643524861049576</v>
      </c>
      <c r="AZ143" s="173">
        <f ca="1">(VLOOKUP(AZ$72,INDIRECT($C$5&amp;"生成成长"),2))/((VLOOKUP($B143,INDIRECT($B$5&amp;"生成成长"),4))/(VLOOKUP(AZ$72,INDIRECT($C$5&amp;"生成成长"),5))*(VLOOKUP($B$5,标准坦克设计!$B$24:$U$30,MATCH("对"&amp;LEFT($C$5,2)&amp;"输出",标准坦克设计!$B$23:$U$23,0)))*(VLOOKUP($B143,INDIRECT($B$5&amp;"生成成长"),3))*(VLOOKUP($B$5,标准坦克设计!$B$14:$K$20,9)/30))</f>
        <v>2.8614327979250906</v>
      </c>
      <c r="BA143" s="173">
        <f ca="1">(VLOOKUP(BA$72,INDIRECT($C$5&amp;"生成成长"),2))/((VLOOKUP($B143,INDIRECT($B$5&amp;"生成成长"),4))/(VLOOKUP(BA$72,INDIRECT($C$5&amp;"生成成长"),5))*(VLOOKUP($B$5,标准坦克设计!$B$24:$U$30,MATCH("对"&amp;LEFT($C$5,2)&amp;"输出",标准坦克设计!$B$23:$U$23,0)))*(VLOOKUP($B143,INDIRECT($B$5&amp;"生成成长"),3))*(VLOOKUP($B$5,标准坦克设计!$B$14:$K$20,9)/30))</f>
        <v>3.1747914829956438</v>
      </c>
      <c r="BB143" s="173">
        <f ca="1">(VLOOKUP(BB$72,INDIRECT($C$5&amp;"生成成长"),2))/((VLOOKUP($B143,INDIRECT($B$5&amp;"生成成长"),4))/(VLOOKUP(BB$72,INDIRECT($C$5&amp;"生成成长"),5))*(VLOOKUP($B$5,标准坦克设计!$B$24:$U$30,MATCH("对"&amp;LEFT($C$5,2)&amp;"输出",标准坦克设计!$B$23:$U$23,0)))*(VLOOKUP($B143,INDIRECT($B$5&amp;"生成成长"),3))*(VLOOKUP($B$5,标准坦克设计!$B$14:$K$20,9)/30))</f>
        <v>3.5044285413166132</v>
      </c>
      <c r="BC143" s="173">
        <f ca="1">(VLOOKUP(BC$72,INDIRECT($C$5&amp;"生成成长"),2))/((VLOOKUP($B143,INDIRECT($B$5&amp;"生成成长"),4))/(VLOOKUP(BC$72,INDIRECT($C$5&amp;"生成成长"),5))*(VLOOKUP($B$5,标准坦克设计!$B$24:$U$30,MATCH("对"&amp;LEFT($C$5,2)&amp;"输出",标准坦克设计!$B$23:$U$23,0)))*(VLOOKUP($B143,INDIRECT($B$5&amp;"生成成长"),3))*(VLOOKUP($B$5,标准坦克设计!$B$14:$K$20,9)/30))</f>
        <v>3.8503439728880027</v>
      </c>
      <c r="BD143" s="173">
        <f ca="1">(VLOOKUP(BD$72,INDIRECT($C$5&amp;"生成成长"),2))/((VLOOKUP($B143,INDIRECT($B$5&amp;"生成成长"),4))/(VLOOKUP(BD$72,INDIRECT($C$5&amp;"生成成长"),5))*(VLOOKUP($B$5,标准坦克设计!$B$24:$U$30,MATCH("对"&amp;LEFT($C$5,2)&amp;"输出",标准坦克设计!$B$23:$U$23,0)))*(VLOOKUP($B143,INDIRECT($B$5&amp;"生成成长"),3))*(VLOOKUP($B$5,标准坦克设计!$B$14:$K$20,9)/30))</f>
        <v>4.2589565764317054</v>
      </c>
      <c r="BE143" s="173">
        <f ca="1">(VLOOKUP(BE$72,INDIRECT($C$5&amp;"生成成长"),2))/((VLOOKUP($B143,INDIRECT($B$5&amp;"生成成长"),4))/(VLOOKUP(BE$72,INDIRECT($C$5&amp;"生成成长"),5))*(VLOOKUP($B$5,标准坦克设计!$B$24:$U$30,MATCH("对"&amp;LEFT($C$5,2)&amp;"输出",标准坦克设计!$B$23:$U$23,0)))*(VLOOKUP($B143,INDIRECT($B$5&amp;"生成成长"),3))*(VLOOKUP($B$5,标准坦克设计!$B$14:$K$20,9)/30))</f>
        <v>4.6881714961204688</v>
      </c>
      <c r="BF143" s="173">
        <f ca="1">(VLOOKUP(BF$72,INDIRECT($C$5&amp;"生成成长"),2))/((VLOOKUP($B143,INDIRECT($B$5&amp;"生成成长"),4))/(VLOOKUP(BF$72,INDIRECT($C$5&amp;"生成成长"),5))*(VLOOKUP($B$5,标准坦克设计!$B$24:$U$30,MATCH("对"&amp;LEFT($C$5,2)&amp;"输出",标准坦克设计!$B$23:$U$23,0)))*(VLOOKUP($B143,INDIRECT($B$5&amp;"生成成长"),3))*(VLOOKUP($B$5,标准坦克设计!$B$14:$K$20,9)/30))</f>
        <v>5.1379887319542927</v>
      </c>
      <c r="BG143" s="173">
        <f ca="1">(VLOOKUP(BG$72,INDIRECT($C$5&amp;"生成成长"),2))/((VLOOKUP($B143,INDIRECT($B$5&amp;"生成成长"),4))/(VLOOKUP(BG$72,INDIRECT($C$5&amp;"生成成长"),5))*(VLOOKUP($B$5,标准坦克设计!$B$24:$U$30,MATCH("对"&amp;LEFT($C$5,2)&amp;"输出",标准坦克设计!$B$23:$U$23,0)))*(VLOOKUP($B143,INDIRECT($B$5&amp;"生成成长"),3))*(VLOOKUP($B$5,标准坦克设计!$B$14:$K$20,9)/30))</f>
        <v>5.6084082839331799</v>
      </c>
      <c r="BH143" s="173">
        <f ca="1">(VLOOKUP(BH$72,INDIRECT($C$5&amp;"生成成长"),2))/((VLOOKUP($B143,INDIRECT($B$5&amp;"生成成长"),4))/(VLOOKUP(BH$72,INDIRECT($C$5&amp;"生成成长"),5))*(VLOOKUP($B$5,标准坦克设计!$B$24:$U$30,MATCH("对"&amp;LEFT($C$5,2)&amp;"输出",标准坦克设计!$B$23:$U$23,0)))*(VLOOKUP($B143,INDIRECT($B$5&amp;"生成成长"),3))*(VLOOKUP($B$5,标准坦克设计!$B$14:$K$20,9)/30))</f>
        <v>2.710857845358722</v>
      </c>
      <c r="BI143" s="173">
        <f ca="1">(VLOOKUP(BI$72,INDIRECT($C$5&amp;"生成成长"),2))/((VLOOKUP($B143,INDIRECT($B$5&amp;"生成成长"),4))/(VLOOKUP(BI$72,INDIRECT($C$5&amp;"生成成长"),5))*(VLOOKUP($B$5,标准坦克设计!$B$24:$U$30,MATCH("对"&amp;LEFT($C$5,2)&amp;"输出",标准坦克设计!$B$23:$U$23,0)))*(VLOOKUP($B143,INDIRECT($B$5&amp;"生成成长"),3))*(VLOOKUP($B$5,标准坦克设计!$B$14:$K$20,9)/30))</f>
        <v>3.0553743542289027</v>
      </c>
      <c r="BJ143" s="173">
        <f ca="1">(VLOOKUP(BJ$72,INDIRECT($C$5&amp;"生成成长"),2))/((VLOOKUP($B143,INDIRECT($B$5&amp;"生成成长"),4))/(VLOOKUP(BJ$72,INDIRECT($C$5&amp;"生成成长"),5))*(VLOOKUP($B$5,标准坦克设计!$B$24:$U$30,MATCH("对"&amp;LEFT($C$5,2)&amp;"输出",标准坦克设计!$B$23:$U$23,0)))*(VLOOKUP($B143,INDIRECT($B$5&amp;"生成成长"),3))*(VLOOKUP($B$5,标准坦克设计!$B$14:$K$20,9)/30))</f>
        <v>3.4204931792441444</v>
      </c>
      <c r="BK143" s="173">
        <f ca="1">(VLOOKUP(BK$72,INDIRECT($C$5&amp;"生成成长"),2))/((VLOOKUP($B143,INDIRECT($B$5&amp;"生成成长"),4))/(VLOOKUP(BK$72,INDIRECT($C$5&amp;"生成成长"),5))*(VLOOKUP($B$5,标准坦克设计!$B$24:$U$30,MATCH("对"&amp;LEFT($C$5,2)&amp;"输出",标准坦克设计!$B$23:$U$23,0)))*(VLOOKUP($B143,INDIRECT($B$5&amp;"生成成长"),3))*(VLOOKUP($B$5,标准坦克设计!$B$14:$K$20,9)/30))</f>
        <v>3.8062143204044463</v>
      </c>
      <c r="BL143" s="173">
        <f ca="1">(VLOOKUP(BL$72,INDIRECT($C$5&amp;"生成成长"),2))/((VLOOKUP($B143,INDIRECT($B$5&amp;"生成成长"),4))/(VLOOKUP(BL$72,INDIRECT($C$5&amp;"生成成长"),5))*(VLOOKUP($B$5,标准坦克设计!$B$24:$U$30,MATCH("对"&amp;LEFT($C$5,2)&amp;"输出",标准坦克设计!$B$23:$U$23,0)))*(VLOOKUP($B143,INDIRECT($B$5&amp;"生成成长"),3))*(VLOOKUP($B$5,标准坦克设计!$B$14:$K$20,9)/30))</f>
        <v>4.2125377777098105</v>
      </c>
      <c r="BM143" s="173">
        <f ca="1">(VLOOKUP(BM$72,INDIRECT($C$5&amp;"生成成长"),2))/((VLOOKUP($B143,INDIRECT($B$5&amp;"生成成长"),4))/(VLOOKUP(BM$72,INDIRECT($C$5&amp;"生成成长"),5))*(VLOOKUP($B$5,标准坦克设计!$B$24:$U$30,MATCH("对"&amp;LEFT($C$5,2)&amp;"输出",标准坦克设计!$B$23:$U$23,0)))*(VLOOKUP($B143,INDIRECT($B$5&amp;"生成成长"),3))*(VLOOKUP($B$5,标准坦克设计!$B$14:$K$20,9)/30))</f>
        <v>4.6394635511602331</v>
      </c>
      <c r="BN143" s="173">
        <f ca="1">(VLOOKUP(BN$72,INDIRECT($C$5&amp;"生成成长"),2))/((VLOOKUP($B143,INDIRECT($B$5&amp;"生成成长"),4))/(VLOOKUP(BN$72,INDIRECT($C$5&amp;"生成成长"),5))*(VLOOKUP($B$5,标准坦克设计!$B$24:$U$30,MATCH("对"&amp;LEFT($C$5,2)&amp;"输出",标准坦克设计!$B$23:$U$23,0)))*(VLOOKUP($B143,INDIRECT($B$5&amp;"生成成长"),3))*(VLOOKUP($B$5,标准坦克设计!$B$14:$K$20,9)/30))</f>
        <v>5.0869916407557181</v>
      </c>
      <c r="BO143" s="173">
        <f ca="1">(VLOOKUP(BO$72,INDIRECT($C$5&amp;"生成成长"),2))/((VLOOKUP($B143,INDIRECT($B$5&amp;"生成成长"),4))/(VLOOKUP(BO$72,INDIRECT($C$5&amp;"生成成长"),5))*(VLOOKUP($B$5,标准坦克设计!$B$24:$U$30,MATCH("对"&amp;LEFT($C$5,2)&amp;"输出",标准坦克设计!$B$23:$U$23,0)))*(VLOOKUP($B143,INDIRECT($B$5&amp;"生成成长"),3))*(VLOOKUP($B$5,标准坦克设计!$B$14:$K$20,9)/30))</f>
        <v>5.5551220464962627</v>
      </c>
      <c r="BP143" s="173">
        <f ca="1">(VLOOKUP(BP$72,INDIRECT($C$5&amp;"生成成长"),2))/((VLOOKUP($B143,INDIRECT($B$5&amp;"生成成长"),4))/(VLOOKUP(BP$72,INDIRECT($C$5&amp;"生成成长"),5))*(VLOOKUP($B$5,标准坦克设计!$B$24:$U$30,MATCH("对"&amp;LEFT($C$5,2)&amp;"输出",标准坦克设计!$B$23:$U$23,0)))*(VLOOKUP($B143,INDIRECT($B$5&amp;"生成成长"),3))*(VLOOKUP($B$5,标准坦克设计!$B$14:$K$20,9)/30))</f>
        <v>6.043854768381868</v>
      </c>
      <c r="BQ143" s="173">
        <f ca="1">(VLOOKUP(BQ$72,INDIRECT($C$5&amp;"生成成长"),2))/((VLOOKUP($B143,INDIRECT($B$5&amp;"生成成长"),4))/(VLOOKUP(BQ$72,INDIRECT($C$5&amp;"生成成长"),5))*(VLOOKUP($B$5,标准坦克设计!$B$24:$U$30,MATCH("对"&amp;LEFT($C$5,2)&amp;"输出",标准坦克设计!$B$23:$U$23,0)))*(VLOOKUP($B143,INDIRECT($B$5&amp;"生成成长"),3))*(VLOOKUP($B$5,标准坦克设计!$B$14:$K$20,9)/30))</f>
        <v>6.5531898064125347</v>
      </c>
      <c r="BR143" s="173">
        <f ca="1">(VLOOKUP(BR$72,INDIRECT($C$5&amp;"生成成长"),2))/((VLOOKUP($B143,INDIRECT($B$5&amp;"生成成长"),4))/(VLOOKUP(BR$72,INDIRECT($C$5&amp;"生成成长"),5))*(VLOOKUP($B$5,标准坦克设计!$B$24:$U$30,MATCH("对"&amp;LEFT($C$5,2)&amp;"输出",标准坦克设计!$B$23:$U$23,0)))*(VLOOKUP($B143,INDIRECT($B$5&amp;"生成成长"),3))*(VLOOKUP($B$5,标准坦克设计!$B$14:$K$20,9)/30))</f>
        <v>7.1432808367401961</v>
      </c>
      <c r="BS143" s="173">
        <f ca="1">(VLOOKUP(BS$72,INDIRECT($C$5&amp;"生成成长"),2))/((VLOOKUP($B143,INDIRECT($B$5&amp;"生成成长"),4))/(VLOOKUP(BS$72,INDIRECT($C$5&amp;"生成成长"),5))*(VLOOKUP($B$5,标准坦克设计!$B$24:$U$30,MATCH("对"&amp;LEFT($C$5,2)&amp;"输出",标准坦克设计!$B$23:$U$23,0)))*(VLOOKUP($B143,INDIRECT($B$5&amp;"生成成长"),3))*(VLOOKUP($B$5,标准坦克设计!$B$14:$K$20,9)/30))</f>
        <v>7.7588068252716385</v>
      </c>
      <c r="BT143" s="173">
        <f ca="1">(VLOOKUP(BT$72,INDIRECT($C$5&amp;"生成成长"),2))/((VLOOKUP($B143,INDIRECT($B$5&amp;"生成成长"),4))/(VLOOKUP(BT$72,INDIRECT($C$5&amp;"生成成长"),5))*(VLOOKUP($B$5,标准坦克设计!$B$24:$U$30,MATCH("对"&amp;LEFT($C$5,2)&amp;"输出",标准坦克设计!$B$23:$U$23,0)))*(VLOOKUP($B143,INDIRECT($B$5&amp;"生成成长"),3))*(VLOOKUP($B$5,标准坦克设计!$B$14:$K$20,9)/30))</f>
        <v>8.3997677720068591</v>
      </c>
      <c r="BU143" s="173">
        <f ca="1">(VLOOKUP(BU$72,INDIRECT($C$5&amp;"生成成长"),2))/((VLOOKUP($B143,INDIRECT($B$5&amp;"生成成长"),4))/(VLOOKUP(BU$72,INDIRECT($C$5&amp;"生成成长"),5))*(VLOOKUP($B$5,标准坦克设计!$B$24:$U$30,MATCH("对"&amp;LEFT($C$5,2)&amp;"输出",标准坦克设计!$B$23:$U$23,0)))*(VLOOKUP($B143,INDIRECT($B$5&amp;"生成成长"),3))*(VLOOKUP($B$5,标准坦克设计!$B$14:$K$20,9)/30))</f>
        <v>9.0661636769458589</v>
      </c>
      <c r="BV143" s="173">
        <f ca="1">(VLOOKUP(BV$72,INDIRECT($C$5&amp;"生成成长"),2))/((VLOOKUP($B143,INDIRECT($B$5&amp;"生成成长"),4))/(VLOOKUP(BV$72,INDIRECT($C$5&amp;"生成成长"),5))*(VLOOKUP($B$5,标准坦克设计!$B$24:$U$30,MATCH("对"&amp;LEFT($C$5,2)&amp;"输出",标准坦克设计!$B$23:$U$23,0)))*(VLOOKUP($B143,INDIRECT($B$5&amp;"生成成长"),3))*(VLOOKUP($B$5,标准坦克设计!$B$14:$K$20,9)/30))</f>
        <v>9.7579945400886352</v>
      </c>
      <c r="BW143" s="173">
        <f ca="1">(VLOOKUP(BW$72,INDIRECT($C$5&amp;"生成成长"),2))/((VLOOKUP($B143,INDIRECT($B$5&amp;"生成成长"),4))/(VLOOKUP(BW$72,INDIRECT($C$5&amp;"生成成长"),5))*(VLOOKUP($B$5,标准坦克设计!$B$24:$U$30,MATCH("对"&amp;LEFT($C$5,2)&amp;"输出",标准坦克设计!$B$23:$U$23,0)))*(VLOOKUP($B143,INDIRECT($B$5&amp;"生成成长"),3))*(VLOOKUP($B$5,标准坦克设计!$B$14:$K$20,9)/30))</f>
        <v>4.4471752671396674</v>
      </c>
      <c r="BX143" s="173">
        <f ca="1">(VLOOKUP(BX$72,INDIRECT($C$5&amp;"生成成长"),2))/((VLOOKUP($B143,INDIRECT($B$5&amp;"生成成长"),4))/(VLOOKUP(BX$72,INDIRECT($C$5&amp;"生成成长"),5))*(VLOOKUP($B$5,标准坦克设计!$B$24:$U$30,MATCH("对"&amp;LEFT($C$5,2)&amp;"输出",标准坦克设计!$B$23:$U$23,0)))*(VLOOKUP($B143,INDIRECT($B$5&amp;"生成成长"),3))*(VLOOKUP($B$5,标准坦克设计!$B$14:$K$20,9)/30))</f>
        <v>4.9355264646522157</v>
      </c>
      <c r="BY143" s="173">
        <f ca="1">(VLOOKUP(BY$72,INDIRECT($C$5&amp;"生成成长"),2))/((VLOOKUP($B143,INDIRECT($B$5&amp;"生成成长"),4))/(VLOOKUP(BY$72,INDIRECT($C$5&amp;"生成成长"),5))*(VLOOKUP($B$5,标准坦克设计!$B$24:$U$30,MATCH("对"&amp;LEFT($C$5,2)&amp;"输出",标准坦克设计!$B$23:$U$23,0)))*(VLOOKUP($B143,INDIRECT($B$5&amp;"生成成长"),3))*(VLOOKUP($B$5,标准坦克设计!$B$14:$K$20,9)/30))</f>
        <v>5.4493126203685431</v>
      </c>
      <c r="BZ143" s="173">
        <f ca="1">(VLOOKUP(BZ$72,INDIRECT($C$5&amp;"生成成长"),2))/((VLOOKUP($B143,INDIRECT($B$5&amp;"生成成长"),4))/(VLOOKUP(BZ$72,INDIRECT($C$5&amp;"生成成长"),5))*(VLOOKUP($B$5,标准坦克设计!$B$24:$U$30,MATCH("对"&amp;LEFT($C$5,2)&amp;"输出",标准坦克设计!$B$23:$U$23,0)))*(VLOOKUP($B143,INDIRECT($B$5&amp;"生成成长"),3))*(VLOOKUP($B$5,标准坦克设计!$B$14:$K$20,9)/30))</f>
        <v>5.9885337342886498</v>
      </c>
      <c r="CA143" s="173">
        <f ca="1">(VLOOKUP(CA$72,INDIRECT($C$5&amp;"生成成长"),2))/((VLOOKUP($B143,INDIRECT($B$5&amp;"生成成长"),4))/(VLOOKUP(CA$72,INDIRECT($C$5&amp;"生成成长"),5))*(VLOOKUP($B$5,标准坦克设计!$B$24:$U$30,MATCH("对"&amp;LEFT($C$5,2)&amp;"输出",标准坦克设计!$B$23:$U$23,0)))*(VLOOKUP($B143,INDIRECT($B$5&amp;"生成成长"),3))*(VLOOKUP($B$5,标准坦克设计!$B$14:$K$20,9)/30))</f>
        <v>6.5531898064125347</v>
      </c>
      <c r="CB143" s="173">
        <f ca="1">(VLOOKUP(CB$72,INDIRECT($C$5&amp;"生成成长"),2))/((VLOOKUP($B143,INDIRECT($B$5&amp;"生成成长"),4))/(VLOOKUP(CB$72,INDIRECT($C$5&amp;"生成成长"),5))*(VLOOKUP($B$5,标准坦克设计!$B$24:$U$30,MATCH("对"&amp;LEFT($C$5,2)&amp;"输出",标准坦克设计!$B$23:$U$23,0)))*(VLOOKUP($B143,INDIRECT($B$5&amp;"生成成长"),3))*(VLOOKUP($B$5,标准坦克设计!$B$14:$K$20,9)/30))</f>
        <v>7.1432808367401961</v>
      </c>
      <c r="CC143" s="173">
        <f ca="1">(VLOOKUP(CC$72,INDIRECT($C$5&amp;"生成成长"),2))/((VLOOKUP($B143,INDIRECT($B$5&amp;"生成成长"),4))/(VLOOKUP(CC$72,INDIRECT($C$5&amp;"生成成长"),5))*(VLOOKUP($B$5,标准坦克设计!$B$24:$U$30,MATCH("对"&amp;LEFT($C$5,2)&amp;"输出",标准坦克设计!$B$23:$U$23,0)))*(VLOOKUP($B143,INDIRECT($B$5&amp;"生成成长"),3))*(VLOOKUP($B$5,标准坦克设计!$B$14:$K$20,9)/30))</f>
        <v>7.7588068252716385</v>
      </c>
      <c r="CD143" s="173">
        <f ca="1">(VLOOKUP(CD$72,INDIRECT($C$5&amp;"生成成长"),2))/((VLOOKUP($B143,INDIRECT($B$5&amp;"生成成长"),4))/(VLOOKUP(CD$72,INDIRECT($C$5&amp;"生成成长"),5))*(VLOOKUP($B$5,标准坦克设计!$B$24:$U$30,MATCH("对"&amp;LEFT($C$5,2)&amp;"输出",标准坦克设计!$B$23:$U$23,0)))*(VLOOKUP($B143,INDIRECT($B$5&amp;"生成成长"),3))*(VLOOKUP($B$5,标准坦克设计!$B$14:$K$20,9)/30))</f>
        <v>8.3997677720068591</v>
      </c>
      <c r="CE143" s="173">
        <f ca="1">(VLOOKUP(CE$72,INDIRECT($C$5&amp;"生成成长"),2))/((VLOOKUP($B143,INDIRECT($B$5&amp;"生成成长"),4))/(VLOOKUP(CE$72,INDIRECT($C$5&amp;"生成成长"),5))*(VLOOKUP($B$5,标准坦克设计!$B$24:$U$30,MATCH("对"&amp;LEFT($C$5,2)&amp;"输出",标准坦克设计!$B$23:$U$23,0)))*(VLOOKUP($B143,INDIRECT($B$5&amp;"生成成长"),3))*(VLOOKUP($B$5,标准坦克设计!$B$14:$K$20,9)/30))</f>
        <v>9.0661636769458589</v>
      </c>
      <c r="CF143" s="173">
        <f ca="1">(VLOOKUP(CF$72,INDIRECT($C$5&amp;"生成成长"),2))/((VLOOKUP($B143,INDIRECT($B$5&amp;"生成成长"),4))/(VLOOKUP(CF$72,INDIRECT($C$5&amp;"生成成长"),5))*(VLOOKUP($B$5,标准坦克设计!$B$24:$U$30,MATCH("对"&amp;LEFT($C$5,2)&amp;"输出",标准坦克设计!$B$23:$U$23,0)))*(VLOOKUP($B143,INDIRECT($B$5&amp;"生成成长"),3))*(VLOOKUP($B$5,标准坦克设计!$B$14:$K$20,9)/30))</f>
        <v>9.7579945400886352</v>
      </c>
      <c r="CG143" s="173">
        <f ca="1">(VLOOKUP(CG$72,INDIRECT($C$5&amp;"生成成长"),2))/((VLOOKUP($B143,INDIRECT($B$5&amp;"生成成长"),4))/(VLOOKUP(CG$72,INDIRECT($C$5&amp;"生成成长"),5))*(VLOOKUP($B$5,标准坦克设计!$B$24:$U$30,MATCH("对"&amp;LEFT($C$5,2)&amp;"输出",标准坦克设计!$B$23:$U$23,0)))*(VLOOKUP($B143,INDIRECT($B$5&amp;"生成成长"),3))*(VLOOKUP($B$5,标准坦克设计!$B$14:$K$20,9)/30))</f>
        <v>10.475260361435192</v>
      </c>
      <c r="CH143" s="173">
        <f ca="1">(VLOOKUP(CH$72,INDIRECT($C$5&amp;"生成成长"),2))/((VLOOKUP($B143,INDIRECT($B$5&amp;"生成成长"),4))/(VLOOKUP(CH$72,INDIRECT($C$5&amp;"生成成长"),5))*(VLOOKUP($B$5,标准坦克设计!$B$24:$U$30,MATCH("对"&amp;LEFT($C$5,2)&amp;"输出",标准坦克设计!$B$23:$U$23,0)))*(VLOOKUP($B143,INDIRECT($B$5&amp;"生成成长"),3))*(VLOOKUP($B$5,标准坦克设计!$B$14:$K$20,9)/30))</f>
        <v>11.217961140985528</v>
      </c>
      <c r="CI143" s="173">
        <f ca="1">(VLOOKUP(CI$72,INDIRECT($C$5&amp;"生成成长"),2))/((VLOOKUP($B143,INDIRECT($B$5&amp;"生成成长"),4))/(VLOOKUP(CI$72,INDIRECT($C$5&amp;"生成成长"),5))*(VLOOKUP($B$5,标准坦克设计!$B$24:$U$30,MATCH("对"&amp;LEFT($C$5,2)&amp;"输出",标准坦克设计!$B$23:$U$23,0)))*(VLOOKUP($B143,INDIRECT($B$5&amp;"生成成长"),3))*(VLOOKUP($B$5,标准坦克设计!$B$14:$K$20,9)/30))</f>
        <v>12.06430937521626</v>
      </c>
      <c r="CJ143" s="173">
        <f ca="1">(VLOOKUP(CJ$72,INDIRECT($C$5&amp;"生成成长"),2))/((VLOOKUP($B143,INDIRECT($B$5&amp;"生成成长"),4))/(VLOOKUP(CJ$72,INDIRECT($C$5&amp;"生成成长"),5))*(VLOOKUP($B$5,标准坦克设计!$B$24:$U$30,MATCH("对"&amp;LEFT($C$5,2)&amp;"输出",标准坦克设计!$B$23:$U$23,0)))*(VLOOKUP($B143,INDIRECT($B$5&amp;"生成成长"),3))*(VLOOKUP($B$5,标准坦克设计!$B$14:$K$20,9)/30))</f>
        <v>12.941433908873565</v>
      </c>
      <c r="CK143" s="173">
        <f ca="1">(VLOOKUP(CK$72,INDIRECT($C$5&amp;"生成成长"),2))/((VLOOKUP($B143,INDIRECT($B$5&amp;"生成成长"),4))/(VLOOKUP(CK$72,INDIRECT($C$5&amp;"生成成长"),5))*(VLOOKUP($B$5,标准坦克设计!$B$24:$U$30,MATCH("对"&amp;LEFT($C$5,2)&amp;"输出",标准坦克设计!$B$23:$U$23,0)))*(VLOOKUP($B143,INDIRECT($B$5&amp;"生成成长"),3))*(VLOOKUP($B$5,标准坦克设计!$B$14:$K$20,9)/30))</f>
        <v>13.849334741957442</v>
      </c>
      <c r="CL143" s="173">
        <f ca="1">(VLOOKUP(CL$72,INDIRECT($C$5&amp;"生成成长"),2))/((VLOOKUP($B143,INDIRECT($B$5&amp;"生成成长"),4))/(VLOOKUP(CL$72,INDIRECT($C$5&amp;"生成成长"),5))*(VLOOKUP($B$5,标准坦克设计!$B$24:$U$30,MATCH("对"&amp;LEFT($C$5,2)&amp;"输出",标准坦克设计!$B$23:$U$23,0)))*(VLOOKUP($B143,INDIRECT($B$5&amp;"生成成长"),3))*(VLOOKUP($B$5,标准坦克设计!$B$14:$K$20,9)/30))</f>
        <v>14.788011874467889</v>
      </c>
      <c r="CM143" s="173">
        <f ca="1">(VLOOKUP(CM$72,INDIRECT($C$5&amp;"生成成长"),2))/((VLOOKUP($B143,INDIRECT($B$5&amp;"生成成长"),4))/(VLOOKUP(CM$72,INDIRECT($C$5&amp;"生成成长"),5))*(VLOOKUP($B$5,标准坦克设计!$B$24:$U$30,MATCH("对"&amp;LEFT($C$5,2)&amp;"输出",标准坦克设计!$B$23:$U$23,0)))*(VLOOKUP($B143,INDIRECT($B$5&amp;"生成成长"),3))*(VLOOKUP($B$5,标准坦克设计!$B$14:$K$20,9)/30))</f>
        <v>15.757465306404908</v>
      </c>
      <c r="CN143" s="173">
        <f ca="1">(VLOOKUP(CN$72,INDIRECT($C$5&amp;"生成成长"),2))/((VLOOKUP($B143,INDIRECT($B$5&amp;"生成成长"),4))/(VLOOKUP(CN$72,INDIRECT($C$5&amp;"生成成长"),5))*(VLOOKUP($B$5,标准坦克设计!$B$24:$U$30,MATCH("对"&amp;LEFT($C$5,2)&amp;"输出",标准坦克设计!$B$23:$U$23,0)))*(VLOOKUP($B143,INDIRECT($B$5&amp;"生成成长"),3))*(VLOOKUP($B$5,标准坦克设计!$B$14:$K$20,9)/30))</f>
        <v>16.757695037768503</v>
      </c>
      <c r="CO143" s="173">
        <f ca="1">(VLOOKUP(CO$72,INDIRECT($C$5&amp;"生成成长"),2))/((VLOOKUP($B143,INDIRECT($B$5&amp;"生成成长"),4))/(VLOOKUP(CO$72,INDIRECT($C$5&amp;"生成成长"),5))*(VLOOKUP($B$5,标准坦克设计!$B$24:$U$30,MATCH("对"&amp;LEFT($C$5,2)&amp;"输出",标准坦克设计!$B$23:$U$23,0)))*(VLOOKUP($B143,INDIRECT($B$5&amp;"生成成长"),3))*(VLOOKUP($B$5,标准坦克设计!$B$14:$K$20,9)/30))</f>
        <v>7.5095442348746104</v>
      </c>
      <c r="CP143" s="173">
        <f ca="1">(VLOOKUP(CP$72,INDIRECT($C$5&amp;"生成成长"),2))/((VLOOKUP($B143,INDIRECT($B$5&amp;"生成成长"),4))/(VLOOKUP(CP$72,INDIRECT($C$5&amp;"生成成长"),5))*(VLOOKUP($B$5,标准坦克设计!$B$24:$U$30,MATCH("对"&amp;LEFT($C$5,2)&amp;"输出",标准坦克设计!$B$23:$U$23,0)))*(VLOOKUP($B143,INDIRECT($B$5&amp;"生成成长"),3))*(VLOOKUP($B$5,标准坦克设计!$B$14:$K$20,9)/30))</f>
        <v>8.2048088173748965</v>
      </c>
      <c r="CQ143" s="173">
        <f ca="1">(VLOOKUP(CQ$72,INDIRECT($C$5&amp;"生成成长"),2))/((VLOOKUP($B143,INDIRECT($B$5&amp;"生成成长"),4))/(VLOOKUP(CQ$72,INDIRECT($C$5&amp;"生成成长"),5))*(VLOOKUP($B$5,标准坦克设计!$B$24:$U$30,MATCH("对"&amp;LEFT($C$5,2)&amp;"输出",标准坦克设计!$B$23:$U$23,0)))*(VLOOKUP($B143,INDIRECT($B$5&amp;"生成成长"),3))*(VLOOKUP($B$5,标准坦克设计!$B$14:$K$20,9)/30))</f>
        <v>8.9308496993017563</v>
      </c>
      <c r="CR143" s="173">
        <f ca="1">(VLOOKUP(CR$72,INDIRECT($C$5&amp;"生成成长"),2))/((VLOOKUP($B143,INDIRECT($B$5&amp;"生成成长"),4))/(VLOOKUP(CR$72,INDIRECT($C$5&amp;"生成成长"),5))*(VLOOKUP($B$5,标准坦克设计!$B$24:$U$30,MATCH("对"&amp;LEFT($C$5,2)&amp;"输出",标准坦克设计!$B$23:$U$23,0)))*(VLOOKUP($B143,INDIRECT($B$5&amp;"生成成长"),3))*(VLOOKUP($B$5,标准坦克设计!$B$14:$K$20,9)/30))</f>
        <v>9.687666880655188</v>
      </c>
      <c r="CS143" s="173">
        <f ca="1">(VLOOKUP(CS$72,INDIRECT($C$5&amp;"生成成长"),2))/((VLOOKUP($B143,INDIRECT($B$5&amp;"生成成长"),4))/(VLOOKUP(CS$72,INDIRECT($C$5&amp;"生成成长"),5))*(VLOOKUP($B$5,标准坦克设计!$B$24:$U$30,MATCH("对"&amp;LEFT($C$5,2)&amp;"输出",标准坦克设计!$B$23:$U$23,0)))*(VLOOKUP($B143,INDIRECT($B$5&amp;"生成成长"),3))*(VLOOKUP($B$5,标准坦克设计!$B$14:$K$20,9)/30))</f>
        <v>10.475260361435192</v>
      </c>
      <c r="CT143" s="173">
        <f ca="1">(VLOOKUP(CT$72,INDIRECT($C$5&amp;"生成成长"),2))/((VLOOKUP($B143,INDIRECT($B$5&amp;"生成成长"),4))/(VLOOKUP(CT$72,INDIRECT($C$5&amp;"生成成长"),5))*(VLOOKUP($B$5,标准坦克设计!$B$24:$U$30,MATCH("对"&amp;LEFT($C$5,2)&amp;"输出",标准坦克设计!$B$23:$U$23,0)))*(VLOOKUP($B143,INDIRECT($B$5&amp;"生成成长"),3))*(VLOOKUP($B$5,标准坦克设计!$B$14:$K$20,9)/30))</f>
        <v>11.293630141641769</v>
      </c>
      <c r="CU143" s="173">
        <f ca="1">(VLOOKUP(CU$72,INDIRECT($C$5&amp;"生成成长"),2))/((VLOOKUP($B143,INDIRECT($B$5&amp;"生成成长"),4))/(VLOOKUP(CU$72,INDIRECT($C$5&amp;"生成成长"),5))*(VLOOKUP($B$5,标准坦克设计!$B$24:$U$30,MATCH("对"&amp;LEFT($C$5,2)&amp;"输出",标准坦克设计!$B$23:$U$23,0)))*(VLOOKUP($B143,INDIRECT($B$5&amp;"生成成长"),3))*(VLOOKUP($B$5,标准坦克设计!$B$14:$K$20,9)/30))</f>
        <v>12.142776221274916</v>
      </c>
      <c r="CV143" s="173">
        <f ca="1">(VLOOKUP(CV$72,INDIRECT($C$5&amp;"生成成长"),2))/((VLOOKUP($B143,INDIRECT($B$5&amp;"生成成长"),4))/(VLOOKUP(CV$72,INDIRECT($C$5&amp;"生成成长"),5))*(VLOOKUP($B$5,标准坦克设计!$B$24:$U$30,MATCH("对"&amp;LEFT($C$5,2)&amp;"输出",标准坦克设计!$B$23:$U$23,0)))*(VLOOKUP($B143,INDIRECT($B$5&amp;"生成成长"),3))*(VLOOKUP($B$5,标准坦克设计!$B$14:$K$20,9)/30))</f>
        <v>13.022698600334637</v>
      </c>
      <c r="CW143" s="173">
        <f ca="1">(VLOOKUP(CW$72,INDIRECT($C$5&amp;"生成成长"),2))/((VLOOKUP($B143,INDIRECT($B$5&amp;"生成成长"),4))/(VLOOKUP(CW$72,INDIRECT($C$5&amp;"生成成长"),5))*(VLOOKUP($B$5,标准坦克设计!$B$24:$U$30,MATCH("对"&amp;LEFT($C$5,2)&amp;"输出",标准坦克设计!$B$23:$U$23,0)))*(VLOOKUP($B143,INDIRECT($B$5&amp;"生成成长"),3))*(VLOOKUP($B$5,标准坦克设计!$B$14:$K$20,9)/30))</f>
        <v>13.93339727882093</v>
      </c>
      <c r="CX143" s="173">
        <f ca="1">(VLOOKUP(CX$72,INDIRECT($C$5&amp;"生成成长"),2))/((VLOOKUP($B143,INDIRECT($B$5&amp;"生成成长"),4))/(VLOOKUP(CX$72,INDIRECT($C$5&amp;"生成成长"),5))*(VLOOKUP($B$5,标准坦克设计!$B$24:$U$30,MATCH("对"&amp;LEFT($C$5,2)&amp;"输出",标准坦克设计!$B$23:$U$23,0)))*(VLOOKUP($B143,INDIRECT($B$5&amp;"生成成长"),3))*(VLOOKUP($B$5,标准坦克设计!$B$14:$K$20,9)/30))</f>
        <v>14.874872256733793</v>
      </c>
      <c r="CY143" s="173">
        <f ca="1">(VLOOKUP(CY$72,INDIRECT($C$5&amp;"生成成长"),2))/((VLOOKUP($B143,INDIRECT($B$5&amp;"生成成长"),4))/(VLOOKUP(CY$72,INDIRECT($C$5&amp;"生成成长"),5))*(VLOOKUP($B$5,标准坦克设计!$B$24:$U$30,MATCH("对"&amp;LEFT($C$5,2)&amp;"输出",标准坦克设计!$B$23:$U$23,0)))*(VLOOKUP($B143,INDIRECT($B$5&amp;"生成成长"),3))*(VLOOKUP($B$5,标准坦克设计!$B$14:$K$20,9)/30))</f>
        <v>15.847123534073228</v>
      </c>
      <c r="CZ143" s="173">
        <f ca="1">(VLOOKUP(CZ$72,INDIRECT($C$5&amp;"生成成长"),2))/((VLOOKUP($B143,INDIRECT($B$5&amp;"生成成长"),4))/(VLOOKUP(CZ$72,INDIRECT($C$5&amp;"生成成长"),5))*(VLOOKUP($B$5,标准坦克设计!$B$24:$U$30,MATCH("对"&amp;LEFT($C$5,2)&amp;"输出",标准坦克设计!$B$23:$U$23,0)))*(VLOOKUP($B143,INDIRECT($B$5&amp;"生成成长"),3))*(VLOOKUP($B$5,标准坦克设计!$B$14:$K$20,9)/30))</f>
        <v>16.850151110839242</v>
      </c>
      <c r="DA143" s="173">
        <f ca="1">(VLOOKUP(DA$72,INDIRECT($C$5&amp;"生成成长"),2))/((VLOOKUP($B143,INDIRECT($B$5&amp;"生成成长"),4))/(VLOOKUP(DA$72,INDIRECT($C$5&amp;"生成成长"),5))*(VLOOKUP($B$5,标准坦克设计!$B$24:$U$30,MATCH("对"&amp;LEFT($C$5,2)&amp;"输出",标准坦克设计!$B$23:$U$23,0)))*(VLOOKUP($B143,INDIRECT($B$5&amp;"生成成长"),3))*(VLOOKUP($B$5,标准坦克设计!$B$14:$K$20,9)/30))</f>
        <v>17.883954987031821</v>
      </c>
      <c r="DB143" s="173">
        <f ca="1">(VLOOKUP(DB$72,INDIRECT($C$5&amp;"生成成长"),2))/((VLOOKUP($B143,INDIRECT($B$5&amp;"生成成长"),4))/(VLOOKUP(DB$72,INDIRECT($C$5&amp;"生成成长"),5))*(VLOOKUP($B$5,标准坦克设计!$B$24:$U$30,MATCH("对"&amp;LEFT($C$5,2)&amp;"输出",标准坦克设计!$B$23:$U$23,0)))*(VLOOKUP($B143,INDIRECT($B$5&amp;"生成成长"),3))*(VLOOKUP($B$5,标准坦克设计!$B$14:$K$20,9)/30))</f>
        <v>18.94853516265097</v>
      </c>
      <c r="DC143" s="173">
        <f ca="1">(VLOOKUP(DC$72,INDIRECT($C$5&amp;"生成成长"),2))/((VLOOKUP($B143,INDIRECT($B$5&amp;"生成成长"),4))/(VLOOKUP(DC$72,INDIRECT($C$5&amp;"生成成长"),5))*(VLOOKUP($B$5,标准坦克设计!$B$24:$U$30,MATCH("对"&amp;LEFT($C$5,2)&amp;"输出",标准坦克设计!$B$23:$U$23,0)))*(VLOOKUP($B143,INDIRECT($B$5&amp;"生成成长"),3))*(VLOOKUP($B$5,标准坦克设计!$B$14:$K$20,9)/30))</f>
        <v>20.144995596556715</v>
      </c>
      <c r="DD143" s="173">
        <f ca="1">(VLOOKUP(DD$72,INDIRECT($C$5&amp;"生成成长"),2))/((VLOOKUP($B143,INDIRECT($B$5&amp;"生成成长"),4))/(VLOOKUP(DD$72,INDIRECT($C$5&amp;"生成成长"),5))*(VLOOKUP($B$5,标准坦克设计!$B$24:$U$30,MATCH("对"&amp;LEFT($C$5,2)&amp;"输出",标准坦克设计!$B$23:$U$23,0)))*(VLOOKUP($B143,INDIRECT($B$5&amp;"生成成长"),3))*(VLOOKUP($B$5,标准坦克设计!$B$14:$K$20,9)/30))</f>
        <v>21.378082370275898</v>
      </c>
      <c r="DE143" s="173">
        <f ca="1">(VLOOKUP(DE$72,INDIRECT($C$5&amp;"生成成长"),2))/((VLOOKUP($B143,INDIRECT($B$5&amp;"生成成长"),4))/(VLOOKUP(DE$72,INDIRECT($C$5&amp;"生成成长"),5))*(VLOOKUP($B$5,标准坦克设计!$B$24:$U$30,MATCH("对"&amp;LEFT($C$5,2)&amp;"输出",标准坦克设计!$B$23:$U$23,0)))*(VLOOKUP($B143,INDIRECT($B$5&amp;"生成成长"),3))*(VLOOKUP($B$5,标准坦克设计!$B$14:$K$20,9)/30))</f>
        <v>22.64779548380853</v>
      </c>
      <c r="DF143" s="173">
        <f ca="1">(VLOOKUP(DF$72,INDIRECT($C$5&amp;"生成成长"),2))/((VLOOKUP($B143,INDIRECT($B$5&amp;"生成成长"),4))/(VLOOKUP(DF$72,INDIRECT($C$5&amp;"生成成长"),5))*(VLOOKUP($B$5,标准坦克设计!$B$24:$U$30,MATCH("对"&amp;LEFT($C$5,2)&amp;"输出",标准坦克设计!$B$23:$U$23,0)))*(VLOOKUP($B143,INDIRECT($B$5&amp;"生成成长"),3))*(VLOOKUP($B$5,标准坦克设计!$B$14:$K$20,9)/30))</f>
        <v>23.954134937154599</v>
      </c>
      <c r="DG143" s="173">
        <f ca="1">(VLOOKUP(DG$72,INDIRECT($C$5&amp;"生成成长"),2))/((VLOOKUP($B143,INDIRECT($B$5&amp;"生成成长"),4))/(VLOOKUP(DG$72,INDIRECT($C$5&amp;"生成成长"),5))*(VLOOKUP($B$5,标准坦克设计!$B$24:$U$30,MATCH("对"&amp;LEFT($C$5,2)&amp;"输出",标准坦克设计!$B$23:$U$23,0)))*(VLOOKUP($B143,INDIRECT($B$5&amp;"生成成长"),3))*(VLOOKUP($B$5,标准坦克设计!$B$14:$K$20,9)/30))</f>
        <v>25.297100730314106</v>
      </c>
      <c r="DH143" s="173">
        <f ca="1">(VLOOKUP(DH$72,INDIRECT($C$5&amp;"生成成长"),2))/((VLOOKUP($B143,INDIRECT($B$5&amp;"生成成长"),4))/(VLOOKUP(DH$72,INDIRECT($C$5&amp;"生成成长"),5))*(VLOOKUP($B$5,标准坦克设计!$B$24:$U$30,MATCH("对"&amp;LEFT($C$5,2)&amp;"输出",标准坦克设计!$B$23:$U$23,0)))*(VLOOKUP($B143,INDIRECT($B$5&amp;"生成成长"),3))*(VLOOKUP($B$5,标准坦克设计!$B$14:$K$20,9)/30))</f>
        <v>26.676692863287055</v>
      </c>
      <c r="DI143" s="173">
        <f ca="1">(VLOOKUP(DI$72,INDIRECT($C$5&amp;"生成成长"),2))/((VLOOKUP($B143,INDIRECT($B$5&amp;"生成成长"),4))/(VLOOKUP(DI$72,INDIRECT($C$5&amp;"生成成长"),5))*(VLOOKUP($B$5,标准坦克设计!$B$24:$U$30,MATCH("对"&amp;LEFT($C$5,2)&amp;"输出",标准坦克设计!$B$23:$U$23,0)))*(VLOOKUP($B143,INDIRECT($B$5&amp;"生成成长"),3))*(VLOOKUP($B$5,标准坦克设计!$B$14:$K$20,9)/30))</f>
        <v>28.092911336073449</v>
      </c>
      <c r="DJ143" s="173">
        <f ca="1">(VLOOKUP(DJ$72,INDIRECT($C$5&amp;"生成成长"),2))/((VLOOKUP($B143,INDIRECT($B$5&amp;"生成成长"),4))/(VLOOKUP(DJ$72,INDIRECT($C$5&amp;"生成成长"),5))*(VLOOKUP($B$5,标准坦克设计!$B$24:$U$30,MATCH("对"&amp;LEFT($C$5,2)&amp;"输出",标准坦克设计!$B$23:$U$23,0)))*(VLOOKUP($B143,INDIRECT($B$5&amp;"生成成长"),3))*(VLOOKUP($B$5,标准坦克设计!$B$14:$K$20,9)/30))</f>
        <v>2.8234075354104422</v>
      </c>
      <c r="DK143" s="173">
        <f ca="1">(VLOOKUP(DK$72,INDIRECT($C$5&amp;"生成成长"),2))/((VLOOKUP($B143,INDIRECT($B$5&amp;"生成成长"),4))/(VLOOKUP(DK$72,INDIRECT($C$5&amp;"生成成长"),5))*(VLOOKUP($B$5,标准坦克设计!$B$24:$U$30,MATCH("对"&amp;LEFT($C$5,2)&amp;"输出",标准坦克设计!$B$23:$U$23,0)))*(VLOOKUP($B143,INDIRECT($B$5&amp;"生成成长"),3))*(VLOOKUP($B$5,标准坦克设计!$B$14:$K$20,9)/30))</f>
        <v>3.1747914829956438</v>
      </c>
      <c r="DL143" s="173">
        <f ca="1">(VLOOKUP(DL$72,INDIRECT($C$5&amp;"生成成长"),2))/((VLOOKUP($B143,INDIRECT($B$5&amp;"生成成长"),4))/(VLOOKUP(DL$72,INDIRECT($C$5&amp;"生成成长"),5))*(VLOOKUP($B$5,标准坦克设计!$B$24:$U$30,MATCH("对"&amp;LEFT($C$5,2)&amp;"输出",标准坦克设计!$B$23:$U$23,0)))*(VLOOKUP($B143,INDIRECT($B$5&amp;"生成成长"),3))*(VLOOKUP($B$5,标准坦克设计!$B$14:$K$20,9)/30))</f>
        <v>3.5467777467259047</v>
      </c>
      <c r="DM143" s="173">
        <f ca="1">(VLOOKUP(DM$72,INDIRECT($C$5&amp;"生成成长"),2))/((VLOOKUP($B143,INDIRECT($B$5&amp;"生成成长"),4))/(VLOOKUP(DM$72,INDIRECT($C$5&amp;"生成成长"),5))*(VLOOKUP($B$5,标准坦克设计!$B$24:$U$30,MATCH("对"&amp;LEFT($C$5,2)&amp;"输出",标准坦克设计!$B$23:$U$23,0)))*(VLOOKUP($B143,INDIRECT($B$5&amp;"生成成长"),3))*(VLOOKUP($B$5,标准坦克设计!$B$14:$K$20,9)/30))</f>
        <v>3.9393663266012271</v>
      </c>
      <c r="DN143" s="173">
        <f ca="1">(VLOOKUP(DN$72,INDIRECT($C$5&amp;"生成成长"),2))/((VLOOKUP($B143,INDIRECT($B$5&amp;"生成成长"),4))/(VLOOKUP(DN$72,INDIRECT($C$5&amp;"生成成长"),5))*(VLOOKUP($B$5,标准坦克设计!$B$24:$U$30,MATCH("对"&amp;LEFT($C$5,2)&amp;"输出",标准坦克设计!$B$23:$U$23,0)))*(VLOOKUP($B143,INDIRECT($B$5&amp;"生成成长"),3))*(VLOOKUP($B$5,标准坦克设计!$B$14:$K$20,9)/30))</f>
        <v>4.3525572226216109</v>
      </c>
      <c r="DO143" s="173">
        <f ca="1">(VLOOKUP(DO$72,INDIRECT($C$5&amp;"生成成长"),2))/((VLOOKUP($B143,INDIRECT($B$5&amp;"生成成长"),4))/(VLOOKUP(DO$72,INDIRECT($C$5&amp;"生成成长"),5))*(VLOOKUP($B$5,标准坦克设计!$B$24:$U$30,MATCH("对"&amp;LEFT($C$5,2)&amp;"输出",标准坦克设计!$B$23:$U$23,0)))*(VLOOKUP($B143,INDIRECT($B$5&amp;"生成成长"),3))*(VLOOKUP($B$5,标准坦克设计!$B$14:$K$20,9)/30))</f>
        <v>4.7863504347870549</v>
      </c>
      <c r="DP143" s="173">
        <f ca="1">(VLOOKUP(DP$72,INDIRECT($C$5&amp;"生成成长"),2))/((VLOOKUP($B143,INDIRECT($B$5&amp;"生成成长"),4))/(VLOOKUP(DP$72,INDIRECT($C$5&amp;"生成成长"),5))*(VLOOKUP($B$5,标准坦克设计!$B$24:$U$30,MATCH("对"&amp;LEFT($C$5,2)&amp;"输出",标准坦克设计!$B$23:$U$23,0)))*(VLOOKUP($B143,INDIRECT($B$5&amp;"生成成长"),3))*(VLOOKUP($B$5,标准坦克设计!$B$14:$K$20,9)/30))</f>
        <v>5.2407459630975586</v>
      </c>
      <c r="DQ143" s="173">
        <f ca="1">(VLOOKUP(DQ$72,INDIRECT($C$5&amp;"生成成长"),2))/((VLOOKUP($B143,INDIRECT($B$5&amp;"生成成长"),4))/(VLOOKUP(DQ$72,INDIRECT($C$5&amp;"生成成长"),5))*(VLOOKUP($B$5,标准坦克设计!$B$24:$U$30,MATCH("对"&amp;LEFT($C$5,2)&amp;"输出",标准坦克设计!$B$23:$U$23,0)))*(VLOOKUP($B143,INDIRECT($B$5&amp;"生成成长"),3))*(VLOOKUP($B$5,标准坦克设计!$B$14:$K$20,9)/30))</f>
        <v>5.7157438075531237</v>
      </c>
      <c r="DR143" s="173">
        <f ca="1">(VLOOKUP(DR$72,INDIRECT($C$5&amp;"生成成长"),2))/((VLOOKUP($B143,INDIRECT($B$5&amp;"生成成长"),4))/(VLOOKUP(DR$72,INDIRECT($C$5&amp;"生成成长"),5))*(VLOOKUP($B$5,标准坦克设计!$B$24:$U$30,MATCH("对"&amp;LEFT($C$5,2)&amp;"输出",标准坦克设计!$B$23:$U$23,0)))*(VLOOKUP($B143,INDIRECT($B$5&amp;"生成成长"),3))*(VLOOKUP($B$5,标准坦克设计!$B$14:$K$20,9)/30))</f>
        <v>6.2113439681537495</v>
      </c>
      <c r="DS143" s="173">
        <f ca="1">(VLOOKUP(DS$72,INDIRECT($C$5&amp;"生成成长"),2))/((VLOOKUP($B143,INDIRECT($B$5&amp;"生成成长"),4))/(VLOOKUP(DS$72,INDIRECT($C$5&amp;"生成成长"),5))*(VLOOKUP($B$5,标准坦克设计!$B$24:$U$30,MATCH("对"&amp;LEFT($C$5,2)&amp;"输出",标准坦克设计!$B$23:$U$23,0)))*(VLOOKUP($B143,INDIRECT($B$5&amp;"生成成长"),3))*(VLOOKUP($B$5,标准坦克设计!$B$14:$K$20,9)/30))</f>
        <v>6.7275464448994367</v>
      </c>
      <c r="DT143" s="173">
        <f ca="1">(VLOOKUP(DT$72,INDIRECT($C$5&amp;"生成成长"),2))/((VLOOKUP($B143,INDIRECT($B$5&amp;"生成成长"),4))/(VLOOKUP(DT$72,INDIRECT($C$5&amp;"生成成长"),5))*(VLOOKUP($B$5,标准坦克设计!$B$24:$U$30,MATCH("对"&amp;LEFT($C$5,2)&amp;"输出",标准坦克设计!$B$23:$U$23,0)))*(VLOOKUP($B143,INDIRECT($B$5&amp;"生成成长"),3))*(VLOOKUP($B$5,标准坦克设计!$B$14:$K$20,9)/30))</f>
        <v>7.3864390371683202</v>
      </c>
      <c r="DU143" s="173">
        <f ca="1">(VLOOKUP(DU$72,INDIRECT($C$5&amp;"生成成长"),2))/((VLOOKUP($B143,INDIRECT($B$5&amp;"生成成长"),4))/(VLOOKUP(DU$72,INDIRECT($C$5&amp;"生成成长"),5))*(VLOOKUP($B$5,标准坦克设计!$B$24:$U$30,MATCH("对"&amp;LEFT($C$5,2)&amp;"输出",标准坦克设计!$B$23:$U$23,0)))*(VLOOKUP($B143,INDIRECT($B$5&amp;"生成成长"),3))*(VLOOKUP($B$5,标准坦克设计!$B$14:$K$20,9)/30))</f>
        <v>8.0761079288637756</v>
      </c>
      <c r="DV143" s="173">
        <f ca="1">(VLOOKUP(DV$72,INDIRECT($C$5&amp;"生成成长"),2))/((VLOOKUP($B143,INDIRECT($B$5&amp;"生成成长"),4))/(VLOOKUP(DV$72,INDIRECT($C$5&amp;"生成成长"),5))*(VLOOKUP($B$5,标准坦克设计!$B$24:$U$30,MATCH("对"&amp;LEFT($C$5,2)&amp;"输出",标准坦克设计!$B$23:$U$23,0)))*(VLOOKUP($B143,INDIRECT($B$5&amp;"生成成长"),3))*(VLOOKUP($B$5,标准坦克设计!$B$14:$K$20,9)/30))</f>
        <v>8.7965531199858056</v>
      </c>
      <c r="DW143" s="173">
        <f ca="1">(VLOOKUP(DW$72,INDIRECT($C$5&amp;"生成成长"),2))/((VLOOKUP($B143,INDIRECT($B$5&amp;"生成成长"),4))/(VLOOKUP(DW$72,INDIRECT($C$5&amp;"生成成长"),5))*(VLOOKUP($B$5,标准坦克设计!$B$24:$U$30,MATCH("对"&amp;LEFT($C$5,2)&amp;"输出",标准坦克设计!$B$23:$U$23,0)))*(VLOOKUP($B143,INDIRECT($B$5&amp;"生成成长"),3))*(VLOOKUP($B$5,标准坦克设计!$B$14:$K$20,9)/30))</f>
        <v>9.5477746105344057</v>
      </c>
      <c r="DX143" s="173">
        <f ca="1">(VLOOKUP(DX$72,INDIRECT($C$5&amp;"生成成长"),2))/((VLOOKUP($B143,INDIRECT($B$5&amp;"生成成长"),4))/(VLOOKUP(DX$72,INDIRECT($C$5&amp;"生成成长"),5))*(VLOOKUP($B$5,标准坦克设计!$B$24:$U$30,MATCH("对"&amp;LEFT($C$5,2)&amp;"输出",标准坦克设计!$B$23:$U$23,0)))*(VLOOKUP($B143,INDIRECT($B$5&amp;"生成成长"),3))*(VLOOKUP($B$5,标准坦克设计!$B$14:$K$20,9)/30))</f>
        <v>10.329772400509578</v>
      </c>
      <c r="DY143" s="173">
        <f ca="1">(VLOOKUP(DY$72,INDIRECT($C$5&amp;"生成成长"),2))/((VLOOKUP($B143,INDIRECT($B$5&amp;"生成成长"),4))/(VLOOKUP(DY$72,INDIRECT($C$5&amp;"生成成长"),5))*(VLOOKUP($B$5,标准坦克设计!$B$24:$U$30,MATCH("对"&amp;LEFT($C$5,2)&amp;"输出",标准坦克设计!$B$23:$U$23,0)))*(VLOOKUP($B143,INDIRECT($B$5&amp;"生成成长"),3))*(VLOOKUP($B$5,标准坦克设计!$B$14:$K$20,9)/30))</f>
        <v>4.6394635511602331</v>
      </c>
      <c r="DZ143" s="173">
        <f ca="1">(VLOOKUP(DZ$72,INDIRECT($C$5&amp;"生成成长"),2))/((VLOOKUP($B143,INDIRECT($B$5&amp;"生成成长"),4))/(VLOOKUP(DZ$72,INDIRECT($C$5&amp;"生成成长"),5))*(VLOOKUP($B$5,标准坦克设计!$B$24:$U$30,MATCH("对"&amp;LEFT($C$5,2)&amp;"输出",标准坦克设计!$B$23:$U$23,0)))*(VLOOKUP($B143,INDIRECT($B$5&amp;"生成成长"),3))*(VLOOKUP($B$5,标准坦克设计!$B$14:$K$20,9)/30))</f>
        <v>5.1379887319542927</v>
      </c>
      <c r="EA143" s="173">
        <f ca="1">(VLOOKUP(EA$72,INDIRECT($C$5&amp;"生成成长"),2))/((VLOOKUP($B143,INDIRECT($B$5&amp;"生成成长"),4))/(VLOOKUP(EA$72,INDIRECT($C$5&amp;"生成成长"),5))*(VLOOKUP($B$5,标准坦克设计!$B$24:$U$30,MATCH("对"&amp;LEFT($C$5,2)&amp;"输出",标准坦克设计!$B$23:$U$23,0)))*(VLOOKUP($B143,INDIRECT($B$5&amp;"生成成长"),3))*(VLOOKUP($B$5,标准坦克设计!$B$14:$K$20,9)/30))</f>
        <v>5.6619488709521324</v>
      </c>
      <c r="EB143" s="173">
        <f ca="1">(VLOOKUP(EB$72,INDIRECT($C$5&amp;"生成成长"),2))/((VLOOKUP($B143,INDIRECT($B$5&amp;"生成成长"),4))/(VLOOKUP(EB$72,INDIRECT($C$5&amp;"生成成长"),5))*(VLOOKUP($B$5,标准坦克设计!$B$24:$U$30,MATCH("对"&amp;LEFT($C$5,2)&amp;"输出",标准坦克设计!$B$23:$U$23,0)))*(VLOOKUP($B143,INDIRECT($B$5&amp;"生成成长"),3))*(VLOOKUP($B$5,标准坦克设计!$B$14:$K$20,9)/30))</f>
        <v>6.2113439681537495</v>
      </c>
      <c r="EC143" s="173">
        <f ca="1">(VLOOKUP(EC$72,INDIRECT($C$5&amp;"生成成长"),2))/((VLOOKUP($B143,INDIRECT($B$5&amp;"生成成长"),4))/(VLOOKUP(EC$72,INDIRECT($C$5&amp;"生成成长"),5))*(VLOOKUP($B$5,标准坦克设计!$B$24:$U$30,MATCH("对"&amp;LEFT($C$5,2)&amp;"输出",标准坦克设计!$B$23:$U$23,0)))*(VLOOKUP($B143,INDIRECT($B$5&amp;"生成成长"),3))*(VLOOKUP($B$5,标准坦克设计!$B$14:$K$20,9)/30))</f>
        <v>6.7861740235591448</v>
      </c>
      <c r="ED143" s="173">
        <f ca="1">(VLOOKUP(ED$72,INDIRECT($C$5&amp;"生成成长"),2))/((VLOOKUP($B143,INDIRECT($B$5&amp;"生成成长"),4))/(VLOOKUP(ED$72,INDIRECT($C$5&amp;"生成成长"),5))*(VLOOKUP($B$5,标准坦克设计!$B$24:$U$30,MATCH("对"&amp;LEFT($C$5,2)&amp;"输出",标准坦克设计!$B$23:$U$23,0)))*(VLOOKUP($B143,INDIRECT($B$5&amp;"生成成长"),3))*(VLOOKUP($B$5,标准坦克设计!$B$14:$K$20,9)/30))</f>
        <v>7.3864390371683202</v>
      </c>
      <c r="EE143" s="173">
        <f ca="1">(VLOOKUP(EE$72,INDIRECT($C$5&amp;"生成成长"),2))/((VLOOKUP($B143,INDIRECT($B$5&amp;"生成成长"),4))/(VLOOKUP(EE$72,INDIRECT($C$5&amp;"生成成长"),5))*(VLOOKUP($B$5,标准坦克设计!$B$24:$U$30,MATCH("对"&amp;LEFT($C$5,2)&amp;"输出",标准坦克设计!$B$23:$U$23,0)))*(VLOOKUP($B143,INDIRECT($B$5&amp;"生成成长"),3))*(VLOOKUP($B$5,标准坦克设计!$B$14:$K$20,9)/30))</f>
        <v>8.0121390089812738</v>
      </c>
      <c r="EF143" s="173">
        <f ca="1">(VLOOKUP(EF$72,INDIRECT($C$5&amp;"生成成长"),2))/((VLOOKUP($B143,INDIRECT($B$5&amp;"生成成长"),4))/(VLOOKUP(EF$72,INDIRECT($C$5&amp;"生成成长"),5))*(VLOOKUP($B$5,标准坦克设计!$B$24:$U$30,MATCH("对"&amp;LEFT($C$5,2)&amp;"输出",标准坦克设计!$B$23:$U$23,0)))*(VLOOKUP($B143,INDIRECT($B$5&amp;"生成成长"),3))*(VLOOKUP($B$5,标准坦克设计!$B$14:$K$20,9)/30))</f>
        <v>8.6632739389980049</v>
      </c>
      <c r="EG143" s="173">
        <f ca="1">(VLOOKUP(EG$72,INDIRECT($C$5&amp;"生成成长"),2))/((VLOOKUP($B143,INDIRECT($B$5&amp;"生成成长"),4))/(VLOOKUP(EG$72,INDIRECT($C$5&amp;"生成成长"),5))*(VLOOKUP($B$5,标准坦克设计!$B$24:$U$30,MATCH("对"&amp;LEFT($C$5,2)&amp;"输出",标准坦克设计!$B$23:$U$23,0)))*(VLOOKUP($B143,INDIRECT($B$5&amp;"生成成长"),3))*(VLOOKUP($B$5,标准坦克设计!$B$14:$K$20,9)/30))</f>
        <v>9.3398438272185178</v>
      </c>
      <c r="EH143" s="173">
        <f ca="1">(VLOOKUP(EH$72,INDIRECT($C$5&amp;"生成成长"),2))/((VLOOKUP($B143,INDIRECT($B$5&amp;"生成成长"),4))/(VLOOKUP(EH$72,INDIRECT($C$5&amp;"生成成长"),5))*(VLOOKUP($B$5,标准坦克设计!$B$24:$U$30,MATCH("对"&amp;LEFT($C$5,2)&amp;"输出",标准坦克设计!$B$23:$U$23,0)))*(VLOOKUP($B143,INDIRECT($B$5&amp;"生成成长"),3))*(VLOOKUP($B$5,标准坦克设计!$B$14:$K$20,9)/30))</f>
        <v>10.041848673642805</v>
      </c>
      <c r="EI143" s="173">
        <f ca="1">(VLOOKUP(EI$72,INDIRECT($C$5&amp;"生成成长"),2))/((VLOOKUP($B143,INDIRECT($B$5&amp;"生成成长"),4))/(VLOOKUP(EI$72,INDIRECT($C$5&amp;"生成成长"),5))*(VLOOKUP($B$5,标准坦克设计!$B$24:$U$30,MATCH("对"&amp;LEFT($C$5,2)&amp;"输出",标准坦克设计!$B$23:$U$23,0)))*(VLOOKUP($B143,INDIRECT($B$5&amp;"生成成长"),3))*(VLOOKUP($B$5,标准坦克设计!$B$14:$K$20,9)/30))</f>
        <v>10.769288478270873</v>
      </c>
      <c r="EJ143" s="173">
        <f ca="1">(VLOOKUP(EJ$72,INDIRECT($C$5&amp;"生成成长"),2))/((VLOOKUP($B143,INDIRECT($B$5&amp;"生成成长"),4))/(VLOOKUP(EJ$72,INDIRECT($C$5&amp;"生成成长"),5))*(VLOOKUP($B$5,标准坦克设计!$B$24:$U$30,MATCH("对"&amp;LEFT($C$5,2)&amp;"输出",标准坦克设计!$B$23:$U$23,0)))*(VLOOKUP($B143,INDIRECT($B$5&amp;"生成成长"),3))*(VLOOKUP($B$5,标准坦克设计!$B$14:$K$20,9)/30))</f>
        <v>11.522163241102719</v>
      </c>
      <c r="EK143" s="173">
        <f ca="1">(VLOOKUP(EK$72,INDIRECT($C$5&amp;"生成成长"),2))/((VLOOKUP($B143,INDIRECT($B$5&amp;"生成成长"),4))/(VLOOKUP(EK$72,INDIRECT($C$5&amp;"生成成长"),5))*(VLOOKUP($B$5,标准坦克设计!$B$24:$U$30,MATCH("对"&amp;LEFT($C$5,2)&amp;"输出",标准坦克设计!$B$23:$U$23,0)))*(VLOOKUP($B143,INDIRECT($B$5&amp;"生成成长"),3))*(VLOOKUP($B$5,标准坦克设计!$B$14:$K$20,9)/30))</f>
        <v>12.459187101329922</v>
      </c>
      <c r="EL143" s="173">
        <f ca="1">(VLOOKUP(EL$72,INDIRECT($C$5&amp;"生成成长"),2))/((VLOOKUP($B143,INDIRECT($B$5&amp;"生成成长"),4))/(VLOOKUP(EL$72,INDIRECT($C$5&amp;"生成成长"),5))*(VLOOKUP($B$5,标准坦克设计!$B$24:$U$30,MATCH("对"&amp;LEFT($C$5,2)&amp;"输出",标准坦克设计!$B$23:$U$23,0)))*(VLOOKUP($B143,INDIRECT($B$5&amp;"生成成长"),3))*(VLOOKUP($B$5,标准坦克设计!$B$14:$K$20,9)/30))</f>
        <v>13.432837301370567</v>
      </c>
      <c r="EM143" s="173">
        <f ca="1">(VLOOKUP(EM$72,INDIRECT($C$5&amp;"生成成长"),2))/((VLOOKUP($B143,INDIRECT($B$5&amp;"生成成长"),4))/(VLOOKUP(EM$72,INDIRECT($C$5&amp;"生成成长"),5))*(VLOOKUP($B$5,标准坦克设计!$B$24:$U$30,MATCH("对"&amp;LEFT($C$5,2)&amp;"输出",标准坦克设计!$B$23:$U$23,0)))*(VLOOKUP($B143,INDIRECT($B$5&amp;"生成成长"),3))*(VLOOKUP($B$5,标准坦克设计!$B$14:$K$20,9)/30))</f>
        <v>14.443113841224651</v>
      </c>
      <c r="EN143" s="173">
        <f ca="1">(VLOOKUP(EN$72,INDIRECT($C$5&amp;"生成成长"),2))/((VLOOKUP($B143,INDIRECT($B$5&amp;"生成成长"),4))/(VLOOKUP(EN$72,INDIRECT($C$5&amp;"生成成长"),5))*(VLOOKUP($B$5,标准坦克设计!$B$24:$U$30,MATCH("对"&amp;LEFT($C$5,2)&amp;"输出",标准坦克设计!$B$23:$U$23,0)))*(VLOOKUP($B143,INDIRECT($B$5&amp;"生成成长"),3))*(VLOOKUP($B$5,标准坦克设计!$B$14:$K$20,9)/30))</f>
        <v>15.490016720892177</v>
      </c>
      <c r="EO143" s="173">
        <f ca="1">(VLOOKUP(EO$72,INDIRECT($C$5&amp;"生成成长"),2))/((VLOOKUP($B143,INDIRECT($B$5&amp;"生成成长"),4))/(VLOOKUP(EO$72,INDIRECT($C$5&amp;"生成成长"),5))*(VLOOKUP($B$5,标准坦克设计!$B$24:$U$30,MATCH("对"&amp;LEFT($C$5,2)&amp;"输出",标准坦克设计!$B$23:$U$23,0)))*(VLOOKUP($B143,INDIRECT($B$5&amp;"生成成长"),3))*(VLOOKUP($B$5,标准坦克设计!$B$14:$K$20,9)/30))</f>
        <v>16.573545940373144</v>
      </c>
      <c r="EP143" s="173">
        <f ca="1">(VLOOKUP(EP$72,INDIRECT($C$5&amp;"生成成长"),2))/((VLOOKUP($B143,INDIRECT($B$5&amp;"生成成长"),4))/(VLOOKUP(EP$72,INDIRECT($C$5&amp;"生成成长"),5))*(VLOOKUP($B$5,标准坦克设计!$B$24:$U$30,MATCH("对"&amp;LEFT($C$5,2)&amp;"输出",标准坦克设计!$B$23:$U$23,0)))*(VLOOKUP($B143,INDIRECT($B$5&amp;"生成成长"),3))*(VLOOKUP($B$5,标准坦克设计!$B$14:$K$20,9)/30))</f>
        <v>17.693701499667554</v>
      </c>
      <c r="EQ143" s="173">
        <f ca="1">(VLOOKUP(EQ$72,INDIRECT($C$5&amp;"生成成长"),2))/((VLOOKUP($B143,INDIRECT($B$5&amp;"生成成长"),4))/(VLOOKUP(EQ$72,INDIRECT($C$5&amp;"生成成长"),5))*(VLOOKUP($B$5,标准坦克设计!$B$24:$U$30,MATCH("对"&amp;LEFT($C$5,2)&amp;"输出",标准坦克设计!$B$23:$U$23,0)))*(VLOOKUP($B143,INDIRECT($B$5&amp;"生成成长"),3))*(VLOOKUP($B$5,标准坦克设计!$B$14:$K$20,9)/30))</f>
        <v>7.821758346825991</v>
      </c>
      <c r="ER143" s="173">
        <f ca="1">(VLOOKUP(ER$72,INDIRECT($C$5&amp;"生成成长"),2))/((VLOOKUP($B143,INDIRECT($B$5&amp;"生成成长"),4))/(VLOOKUP(ER$72,INDIRECT($C$5&amp;"生成成长"),5))*(VLOOKUP($B$5,标准坦克设计!$B$24:$U$30,MATCH("对"&amp;LEFT($C$5,2)&amp;"输出",标准坦克设计!$B$23:$U$23,0)))*(VLOOKUP($B143,INDIRECT($B$5&amp;"生成成长"),3))*(VLOOKUP($B$5,标准坦克设计!$B$14:$K$20,9)/30))</f>
        <v>8.5310121563383561</v>
      </c>
      <c r="ES143" s="173">
        <f ca="1">(VLOOKUP(ES$72,INDIRECT($C$5&amp;"生成成长"),2))/((VLOOKUP($B143,INDIRECT($B$5&amp;"生成成长"),4))/(VLOOKUP(ES$72,INDIRECT($C$5&amp;"生成成长"),5))*(VLOOKUP($B$5,标准坦克设计!$B$24:$U$30,MATCH("对"&amp;LEFT($C$5,2)&amp;"输出",标准坦克设计!$B$23:$U$23,0)))*(VLOOKUP($B143,INDIRECT($B$5&amp;"生成成长"),3))*(VLOOKUP($B$5,标准坦克设计!$B$14:$K$20,9)/30))</f>
        <v>9.2710422652772966</v>
      </c>
      <c r="ET143" s="173">
        <f ca="1">(VLOOKUP(ET$72,INDIRECT($C$5&amp;"生成成长"),2))/((VLOOKUP($B143,INDIRECT($B$5&amp;"生成成长"),4))/(VLOOKUP(ET$72,INDIRECT($C$5&amp;"生成成长"),5))*(VLOOKUP($B$5,标准坦克设计!$B$24:$U$30,MATCH("对"&amp;LEFT($C$5,2)&amp;"输出",标准坦克设计!$B$23:$U$23,0)))*(VLOOKUP($B143,INDIRECT($B$5&amp;"生成成长"),3))*(VLOOKUP($B$5,标准坦克设计!$B$14:$K$20,9)/30))</f>
        <v>10.041848673642805</v>
      </c>
      <c r="EU143" s="173">
        <f ca="1">(VLOOKUP(EU$72,INDIRECT($C$5&amp;"生成成长"),2))/((VLOOKUP($B143,INDIRECT($B$5&amp;"生成成长"),4))/(VLOOKUP(EU$72,INDIRECT($C$5&amp;"生成成长"),5))*(VLOOKUP($B$5,标准坦克设计!$B$24:$U$30,MATCH("对"&amp;LEFT($C$5,2)&amp;"输出",标准坦克设计!$B$23:$U$23,0)))*(VLOOKUP($B143,INDIRECT($B$5&amp;"生成成长"),3))*(VLOOKUP($B$5,标准坦克设计!$B$14:$K$20,9)/30))</f>
        <v>10.843431381434888</v>
      </c>
      <c r="EV143" s="173">
        <f ca="1">(VLOOKUP(EV$72,INDIRECT($C$5&amp;"生成成长"),2))/((VLOOKUP($B143,INDIRECT($B$5&amp;"生成成长"),4))/(VLOOKUP(EV$72,INDIRECT($C$5&amp;"生成成长"),5))*(VLOOKUP($B$5,标准坦克设计!$B$24:$U$30,MATCH("对"&amp;LEFT($C$5,2)&amp;"输出",标准坦克设计!$B$23:$U$23,0)))*(VLOOKUP($B143,INDIRECT($B$5&amp;"生成成长"),3))*(VLOOKUP($B$5,标准坦克设计!$B$14:$K$20,9)/30))</f>
        <v>11.675790388653542</v>
      </c>
      <c r="EW143" s="173">
        <f ca="1">(VLOOKUP(EW$72,INDIRECT($C$5&amp;"生成成长"),2))/((VLOOKUP($B143,INDIRECT($B$5&amp;"生成成长"),4))/(VLOOKUP(EW$72,INDIRECT($C$5&amp;"生成成长"),5))*(VLOOKUP($B$5,标准坦克设计!$B$24:$U$30,MATCH("对"&amp;LEFT($C$5,2)&amp;"输出",标准坦克设计!$B$23:$U$23,0)))*(VLOOKUP($B143,INDIRECT($B$5&amp;"生成成长"),3))*(VLOOKUP($B$5,标准坦克设计!$B$14:$K$20,9)/30))</f>
        <v>12.538925695298767</v>
      </c>
      <c r="EX143" s="173">
        <f ca="1">(VLOOKUP(EX$72,INDIRECT($C$5&amp;"生成成长"),2))/((VLOOKUP($B143,INDIRECT($B$5&amp;"生成成长"),4))/(VLOOKUP(EX$72,INDIRECT($C$5&amp;"生成成长"),5))*(VLOOKUP($B$5,标准坦克设计!$B$24:$U$30,MATCH("对"&amp;LEFT($C$5,2)&amp;"输出",标准坦克设计!$B$23:$U$23,0)))*(VLOOKUP($B143,INDIRECT($B$5&amp;"生成成长"),3))*(VLOOKUP($B$5,标准坦克设计!$B$14:$K$20,9)/30))</f>
        <v>13.432837301370567</v>
      </c>
      <c r="EY143" s="173">
        <f ca="1">(VLOOKUP(EY$72,INDIRECT($C$5&amp;"生成成长"),2))/((VLOOKUP($B143,INDIRECT($B$5&amp;"生成成长"),4))/(VLOOKUP(EY$72,INDIRECT($C$5&amp;"生成成长"),5))*(VLOOKUP($B$5,标准坦克设计!$B$24:$U$30,MATCH("对"&amp;LEFT($C$5,2)&amp;"输出",标准坦克设计!$B$23:$U$23,0)))*(VLOOKUP($B143,INDIRECT($B$5&amp;"生成成长"),3))*(VLOOKUP($B$5,标准坦克设计!$B$14:$K$20,9)/30))</f>
        <v>14.357525206868939</v>
      </c>
      <c r="EZ143" s="173">
        <f ca="1">(VLOOKUP(EZ$72,INDIRECT($C$5&amp;"生成成长"),2))/((VLOOKUP($B143,INDIRECT($B$5&amp;"生成成长"),4))/(VLOOKUP(EZ$72,INDIRECT($C$5&amp;"生成成长"),5))*(VLOOKUP($B$5,标准坦克设计!$B$24:$U$30,MATCH("对"&amp;LEFT($C$5,2)&amp;"输出",标准坦克设计!$B$23:$U$23,0)))*(VLOOKUP($B143,INDIRECT($B$5&amp;"生成成长"),3))*(VLOOKUP($B$5,标准坦克设计!$B$14:$K$20,9)/30))</f>
        <v>15.312989411793879</v>
      </c>
      <c r="FA143" s="173">
        <f ca="1">(VLOOKUP(FA$72,INDIRECT($C$5&amp;"生成成长"),2))/((VLOOKUP($B143,INDIRECT($B$5&amp;"生成成长"),4))/(VLOOKUP(FA$72,INDIRECT($C$5&amp;"生成成长"),5))*(VLOOKUP($B$5,标准坦克设计!$B$24:$U$30,MATCH("对"&amp;LEFT($C$5,2)&amp;"输出",标准坦克设计!$B$23:$U$23,0)))*(VLOOKUP($B143,INDIRECT($B$5&amp;"生成成长"),3))*(VLOOKUP($B$5,标准坦克设计!$B$14:$K$20,9)/30))</f>
        <v>16.299229916145393</v>
      </c>
      <c r="FB143" s="173">
        <f ca="1">(VLOOKUP(FB$72,INDIRECT($C$5&amp;"生成成长"),2))/((VLOOKUP($B143,INDIRECT($B$5&amp;"生成成长"),4))/(VLOOKUP(FB$72,INDIRECT($C$5&amp;"生成成长"),5))*(VLOOKUP($B$5,标准坦克设计!$B$24:$U$30,MATCH("对"&amp;LEFT($C$5,2)&amp;"输出",标准坦克设计!$B$23:$U$23,0)))*(VLOOKUP($B143,INDIRECT($B$5&amp;"生成成长"),3))*(VLOOKUP($B$5,标准坦克设计!$B$14:$K$20,9)/30))</f>
        <v>17.31624671992348</v>
      </c>
      <c r="FC143" s="173">
        <f ca="1">(VLOOKUP(FC$72,INDIRECT($C$5&amp;"生成成长"),2))/((VLOOKUP($B143,INDIRECT($B$5&amp;"生成成长"),4))/(VLOOKUP(FC$72,INDIRECT($C$5&amp;"生成成长"),5))*(VLOOKUP($B$5,标准坦克设计!$B$24:$U$30,MATCH("对"&amp;LEFT($C$5,2)&amp;"输出",标准坦克设计!$B$23:$U$23,0)))*(VLOOKUP($B143,INDIRECT($B$5&amp;"生成成长"),3))*(VLOOKUP($B$5,标准坦克设计!$B$14:$K$20,9)/30))</f>
        <v>18.364039823128142</v>
      </c>
      <c r="FD143" s="173">
        <f ca="1">(VLOOKUP(FD$72,INDIRECT($C$5&amp;"生成成长"),2))/((VLOOKUP($B143,INDIRECT($B$5&amp;"生成成长"),4))/(VLOOKUP(FD$72,INDIRECT($C$5&amp;"生成成长"),5))*(VLOOKUP($B$5,标准坦克设计!$B$24:$U$30,MATCH("对"&amp;LEFT($C$5,2)&amp;"输出",标准坦克设计!$B$23:$U$23,0)))*(VLOOKUP($B143,INDIRECT($B$5&amp;"生成成长"),3))*(VLOOKUP($B$5,标准坦克设计!$B$14:$K$20,9)/30))</f>
        <v>19.442609225759373</v>
      </c>
      <c r="FE143" s="173">
        <f ca="1">(VLOOKUP(FE$72,INDIRECT($C$5&amp;"生成成长"),2))/((VLOOKUP($B143,INDIRECT($B$5&amp;"生成成长"),4))/(VLOOKUP(FE$72,INDIRECT($C$5&amp;"生成成长"),5))*(VLOOKUP($B$5,标准坦克设计!$B$24:$U$30,MATCH("对"&amp;LEFT($C$5,2)&amp;"输出",标准坦克设计!$B$23:$U$23,0)))*(VLOOKUP($B143,INDIRECT($B$5&amp;"生成成长"),3))*(VLOOKUP($B$5,标准坦克设计!$B$14:$K$20,9)/30))</f>
        <v>20.756960690939628</v>
      </c>
      <c r="FF143" s="173">
        <f ca="1">(VLOOKUP(FF$72,INDIRECT($C$5&amp;"生成成长"),2))/((VLOOKUP($B143,INDIRECT($B$5&amp;"生成成长"),4))/(VLOOKUP(FF$72,INDIRECT($C$5&amp;"生成成长"),5))*(VLOOKUP($B$5,标准坦克设计!$B$24:$U$30,MATCH("对"&amp;LEFT($C$5,2)&amp;"输出",标准坦克设计!$B$23:$U$23,0)))*(VLOOKUP($B143,INDIRECT($B$5&amp;"生成成长"),3))*(VLOOKUP($B$5,标准坦克设计!$B$14:$K$20,9)/30))</f>
        <v>22.114297235484273</v>
      </c>
      <c r="FG143" s="173">
        <f ca="1">(VLOOKUP(FG$72,INDIRECT($C$5&amp;"生成成长"),2))/((VLOOKUP($B143,INDIRECT($B$5&amp;"生成成长"),4))/(VLOOKUP(FG$72,INDIRECT($C$5&amp;"生成成长"),5))*(VLOOKUP($B$5,标准坦克设计!$B$24:$U$30,MATCH("对"&amp;LEFT($C$5,2)&amp;"输出",标准坦克设计!$B$23:$U$23,0)))*(VLOOKUP($B143,INDIRECT($B$5&amp;"生成成长"),3))*(VLOOKUP($B$5,标准坦克设计!$B$14:$K$20,9)/30))</f>
        <v>23.514618859393305</v>
      </c>
      <c r="FH143" s="173">
        <f ca="1">(VLOOKUP(FH$72,INDIRECT($C$5&amp;"生成成长"),2))/((VLOOKUP($B143,INDIRECT($B$5&amp;"生成成长"),4))/(VLOOKUP(FH$72,INDIRECT($C$5&amp;"生成成长"),5))*(VLOOKUP($B$5,标准坦克设计!$B$24:$U$30,MATCH("对"&amp;LEFT($C$5,2)&amp;"输出",标准坦克设计!$B$23:$U$23,0)))*(VLOOKUP($B143,INDIRECT($B$5&amp;"生成成长"),3))*(VLOOKUP($B$5,标准坦克设计!$B$14:$K$20,9)/30))</f>
        <v>24.957925562666723</v>
      </c>
      <c r="FI143" s="173">
        <f ca="1">(VLOOKUP(FI$72,INDIRECT($C$5&amp;"生成成长"),2))/((VLOOKUP($B143,INDIRECT($B$5&amp;"生成成长"),4))/(VLOOKUP(FI$72,INDIRECT($C$5&amp;"生成成长"),5))*(VLOOKUP($B$5,标准坦克设计!$B$24:$U$30,MATCH("对"&amp;LEFT($C$5,2)&amp;"输出",标准坦克设计!$B$23:$U$23,0)))*(VLOOKUP($B143,INDIRECT($B$5&amp;"生成成长"),3))*(VLOOKUP($B$5,标准坦克设计!$B$14:$K$20,9)/30))</f>
        <v>26.444217345304523</v>
      </c>
      <c r="FJ143" s="173">
        <f ca="1">(VLOOKUP(FJ$72,INDIRECT($C$5&amp;"生成成长"),2))/((VLOOKUP($B143,INDIRECT($B$5&amp;"生成成长"),4))/(VLOOKUP(FJ$72,INDIRECT($C$5&amp;"生成成长"),5))*(VLOOKUP($B$5,标准坦克设计!$B$24:$U$30,MATCH("对"&amp;LEFT($C$5,2)&amp;"输出",标准坦克设计!$B$23:$U$23,0)))*(VLOOKUP($B143,INDIRECT($B$5&amp;"生成成长"),3))*(VLOOKUP($B$5,标准坦克设计!$B$14:$K$20,9)/30))</f>
        <v>27.973494207306707</v>
      </c>
      <c r="FK143" s="173">
        <f ca="1">(VLOOKUP(FK$72,INDIRECT($C$5&amp;"生成成长"),2))/((VLOOKUP($B143,INDIRECT($B$5&amp;"生成成长"),4))/(VLOOKUP(FK$72,INDIRECT($C$5&amp;"生成成长"),5))*(VLOOKUP($B$5,标准坦克设计!$B$24:$U$30,MATCH("对"&amp;LEFT($C$5,2)&amp;"输出",标准坦克设计!$B$23:$U$23,0)))*(VLOOKUP($B143,INDIRECT($B$5&amp;"生成成长"),3))*(VLOOKUP($B$5,标准坦克设计!$B$14:$K$20,9)/30))</f>
        <v>29.545756148673281</v>
      </c>
    </row>
    <row r="144" spans="1:167" x14ac:dyDescent="0.15">
      <c r="A144" s="171" t="str">
        <f t="shared" si="12"/>
        <v>T3中品质15级</v>
      </c>
      <c r="B144" s="172">
        <v>20315</v>
      </c>
      <c r="C144" s="173">
        <f ca="1">(VLOOKUP(C$72,INDIRECT($C$5&amp;"生成成长"),2))/((VLOOKUP($B144,INDIRECT($B$5&amp;"生成成长"),4))/(VLOOKUP(C$72,INDIRECT($C$5&amp;"生成成长"),5))*(VLOOKUP($B$5,标准坦克设计!$B$24:$U$30,MATCH("对"&amp;LEFT($C$5,2)&amp;"输出",标准坦克设计!$B$23:$U$23,0)))*(VLOOKUP($B144,INDIRECT($B$5&amp;"生成成长"),3))*(VLOOKUP($B$5,标准坦克设计!$B$14:$K$20,9)/30))</f>
        <v>1.1814622637560581</v>
      </c>
      <c r="D144" s="173">
        <f ca="1">(VLOOKUP(D$72,INDIRECT($C$5&amp;"生成成长"),2))/((VLOOKUP($B144,INDIRECT($B$5&amp;"生成成长"),4))/(VLOOKUP(D$72,INDIRECT($C$5&amp;"生成成长"),5))*(VLOOKUP($B$5,标准坦克设计!$B$24:$U$30,MATCH("对"&amp;LEFT($C$5,2)&amp;"输出",标准坦克设计!$B$23:$U$23,0)))*(VLOOKUP($B144,INDIRECT($B$5&amp;"生成成长"),3))*(VLOOKUP($B$5,标准坦克设计!$B$14:$K$20,9)/30))</f>
        <v>1.3274909995563067</v>
      </c>
      <c r="E144" s="173">
        <f ca="1">(VLOOKUP(E$72,INDIRECT($C$5&amp;"生成成长"),2))/((VLOOKUP($B144,INDIRECT($B$5&amp;"生成成长"),4))/(VLOOKUP(E$72,INDIRECT($C$5&amp;"生成成长"),5))*(VLOOKUP($B$5,标准坦克设计!$B$24:$U$30,MATCH("对"&amp;LEFT($C$5,2)&amp;"输出",标准坦克设计!$B$23:$U$23,0)))*(VLOOKUP($B144,INDIRECT($B$5&amp;"生成成长"),3))*(VLOOKUP($B$5,标准坦克设计!$B$14:$K$20,9)/30))</f>
        <v>1.4820262636555992</v>
      </c>
      <c r="F144" s="173">
        <f ca="1">(VLOOKUP(F$72,INDIRECT($C$5&amp;"生成成长"),2))/((VLOOKUP($B144,INDIRECT($B$5&amp;"生成成长"),4))/(VLOOKUP(F$72,INDIRECT($C$5&amp;"生成成长"),5))*(VLOOKUP($B$5,标准坦克设计!$B$24:$U$30,MATCH("对"&amp;LEFT($C$5,2)&amp;"输出",标准坦克设计!$B$23:$U$23,0)))*(VLOOKUP($B144,INDIRECT($B$5&amp;"生成成长"),3))*(VLOOKUP($B$5,标准坦克设计!$B$14:$K$20,9)/30))</f>
        <v>1.6450680560539352</v>
      </c>
      <c r="G144" s="173">
        <f ca="1">(VLOOKUP(G$72,INDIRECT($C$5&amp;"生成成长"),2))/((VLOOKUP($B144,INDIRECT($B$5&amp;"生成成长"),4))/(VLOOKUP(G$72,INDIRECT($C$5&amp;"生成成长"),5))*(VLOOKUP($B$5,标准坦克设计!$B$24:$U$30,MATCH("对"&amp;LEFT($C$5,2)&amp;"输出",标准坦克设计!$B$23:$U$23,0)))*(VLOOKUP($B144,INDIRECT($B$5&amp;"生成成长"),3))*(VLOOKUP($B$5,标准坦克设计!$B$14:$K$20,9)/30))</f>
        <v>1.8166163767513148</v>
      </c>
      <c r="H144" s="173">
        <f ca="1">(VLOOKUP(H$72,INDIRECT($C$5&amp;"生成成长"),2))/((VLOOKUP($B144,INDIRECT($B$5&amp;"生成成长"),4))/(VLOOKUP(H$72,INDIRECT($C$5&amp;"生成成长"),5))*(VLOOKUP($B$5,标准坦克设计!$B$24:$U$30,MATCH("对"&amp;LEFT($C$5,2)&amp;"输出",标准坦克设计!$B$23:$U$23,0)))*(VLOOKUP($B144,INDIRECT($B$5&amp;"生成成长"),3))*(VLOOKUP($B$5,标准坦克设计!$B$14:$K$20,9)/30))</f>
        <v>1.5897756221101518</v>
      </c>
      <c r="I144" s="173">
        <f ca="1">(VLOOKUP(I$72,INDIRECT($C$5&amp;"生成成长"),2))/((VLOOKUP($B144,INDIRECT($B$5&amp;"生成成长"),4))/(VLOOKUP(I$72,INDIRECT($C$5&amp;"生成成长"),5))*(VLOOKUP($B$5,标准坦克设计!$B$24:$U$30,MATCH("对"&amp;LEFT($C$5,2)&amp;"输出",标准坦克设计!$B$23:$U$23,0)))*(VLOOKUP($B144,INDIRECT($B$5&amp;"生成成长"),3))*(VLOOKUP($B$5,标准坦克设计!$B$14:$K$20,9)/30))</f>
        <v>1.8166163767513148</v>
      </c>
      <c r="J144" s="173">
        <f ca="1">(VLOOKUP(J$72,INDIRECT($C$5&amp;"生成成长"),2))/((VLOOKUP($B144,INDIRECT($B$5&amp;"生成成长"),4))/(VLOOKUP(J$72,INDIRECT($C$5&amp;"生成成长"),5))*(VLOOKUP($B$5,标准坦克设计!$B$24:$U$30,MATCH("对"&amp;LEFT($C$5,2)&amp;"输出",标准坦克设计!$B$23:$U$23,0)))*(VLOOKUP($B144,INDIRECT($B$5&amp;"生成成长"),3))*(VLOOKUP($B$5,标准坦克设计!$B$14:$K$20,9)/30))</f>
        <v>2.0585798483685553</v>
      </c>
      <c r="K144" s="173">
        <f ca="1">(VLOOKUP(K$72,INDIRECT($C$5&amp;"生成成长"),2))/((VLOOKUP($B144,INDIRECT($B$5&amp;"生成成长"),4))/(VLOOKUP(K$72,INDIRECT($C$5&amp;"生成成长"),5))*(VLOOKUP($B$5,标准坦克设计!$B$24:$U$30,MATCH("对"&amp;LEFT($C$5,2)&amp;"输出",标准坦克设计!$B$23:$U$23,0)))*(VLOOKUP($B144,INDIRECT($B$5&amp;"生成成长"),3))*(VLOOKUP($B$5,标准坦克设计!$B$14:$K$20,9)/30))</f>
        <v>2.3156660369618738</v>
      </c>
      <c r="L144" s="173">
        <f ca="1">(VLOOKUP(L$72,INDIRECT($C$5&amp;"生成成长"),2))/((VLOOKUP($B144,INDIRECT($B$5&amp;"生成成长"),4))/(VLOOKUP(L$72,INDIRECT($C$5&amp;"生成成长"),5))*(VLOOKUP($B$5,标准坦克设计!$B$24:$U$30,MATCH("对"&amp;LEFT($C$5,2)&amp;"输出",标准坦克设计!$B$23:$U$23,0)))*(VLOOKUP($B144,INDIRECT($B$5&amp;"生成成长"),3))*(VLOOKUP($B$5,标准坦克设计!$B$14:$K$20,9)/30))</f>
        <v>2.5878749425312693</v>
      </c>
      <c r="M144" s="173">
        <f ca="1">(VLOOKUP(M$72,INDIRECT($C$5&amp;"生成成长"),2))/((VLOOKUP($B144,INDIRECT($B$5&amp;"生成成长"),4))/(VLOOKUP(M$72,INDIRECT($C$5&amp;"生成成长"),5))*(VLOOKUP($B$5,标准坦克设计!$B$24:$U$30,MATCH("对"&amp;LEFT($C$5,2)&amp;"输出",标准坦克设计!$B$23:$U$23,0)))*(VLOOKUP($B144,INDIRECT($B$5&amp;"生成成长"),3))*(VLOOKUP($B$5,标准坦克设计!$B$14:$K$20,9)/30))</f>
        <v>2.8752065650767427</v>
      </c>
      <c r="N144" s="173">
        <f ca="1">(VLOOKUP(N$72,INDIRECT($C$5&amp;"生成成长"),2))/((VLOOKUP($B144,INDIRECT($B$5&amp;"生成成长"),4))/(VLOOKUP(N$72,INDIRECT($C$5&amp;"生成成长"),5))*(VLOOKUP($B$5,标准坦克设计!$B$24:$U$30,MATCH("对"&amp;LEFT($C$5,2)&amp;"输出",标准坦克设计!$B$23:$U$23,0)))*(VLOOKUP($B144,INDIRECT($B$5&amp;"生成成长"),3))*(VLOOKUP($B$5,标准坦克设计!$B$14:$K$20,9)/30))</f>
        <v>3.1776609045982935</v>
      </c>
      <c r="O144" s="173">
        <f ca="1">(VLOOKUP(O$72,INDIRECT($C$5&amp;"生成成长"),2))/((VLOOKUP($B144,INDIRECT($B$5&amp;"生成成长"),4))/(VLOOKUP(O$72,INDIRECT($C$5&amp;"生成成长"),5))*(VLOOKUP($B$5,标准坦克设计!$B$24:$U$30,MATCH("对"&amp;LEFT($C$5,2)&amp;"输出",标准坦克设计!$B$23:$U$23,0)))*(VLOOKUP($B144,INDIRECT($B$5&amp;"生成成长"),3))*(VLOOKUP($B$5,标准坦克设计!$B$14:$K$20,9)/30))</f>
        <v>2.4159721831547629</v>
      </c>
      <c r="P144" s="173">
        <f ca="1">(VLOOKUP(P$72,INDIRECT($C$5&amp;"生成成长"),2))/((VLOOKUP($B144,INDIRECT($B$5&amp;"生成成长"),4))/(VLOOKUP(P$72,INDIRECT($C$5&amp;"生成成长"),5))*(VLOOKUP($B$5,标准坦克设计!$B$24:$U$30,MATCH("对"&amp;LEFT($C$5,2)&amp;"输出",标准坦克设计!$B$23:$U$23,0)))*(VLOOKUP($B144,INDIRECT($B$5&amp;"生成成长"),3))*(VLOOKUP($B$5,标准坦克设计!$B$14:$K$20,9)/30))</f>
        <v>2.7296504141819962</v>
      </c>
      <c r="Q144" s="173">
        <f ca="1">(VLOOKUP(Q$72,INDIRECT($C$5&amp;"生成成长"),2))/((VLOOKUP($B144,INDIRECT($B$5&amp;"生成成长"),4))/(VLOOKUP(Q$72,INDIRECT($C$5&amp;"生成成长"),5))*(VLOOKUP($B$5,标准坦克设计!$B$24:$U$30,MATCH("对"&amp;LEFT($C$5,2)&amp;"输出",标准坦克设计!$B$23:$U$23,0)))*(VLOOKUP($B144,INDIRECT($B$5&amp;"生成成长"),3))*(VLOOKUP($B$5,标准坦克设计!$B$14:$K$20,9)/30))</f>
        <v>3.062468333882078</v>
      </c>
      <c r="R144" s="173">
        <f ca="1">(VLOOKUP(R$72,INDIRECT($C$5&amp;"生成成长"),2))/((VLOOKUP($B144,INDIRECT($B$5&amp;"生成成长"),4))/(VLOOKUP(R$72,INDIRECT($C$5&amp;"生成成长"),5))*(VLOOKUP($B$5,标准坦克设计!$B$24:$U$30,MATCH("对"&amp;LEFT($C$5,2)&amp;"输出",标准坦克设计!$B$23:$U$23,0)))*(VLOOKUP($B144,INDIRECT($B$5&amp;"生成成长"),3))*(VLOOKUP($B$5,标准坦克设计!$B$14:$K$20,9)/30))</f>
        <v>3.4144259422550078</v>
      </c>
      <c r="S144" s="173">
        <f ca="1">(VLOOKUP(S$72,INDIRECT($C$5&amp;"生成成长"),2))/((VLOOKUP($B144,INDIRECT($B$5&amp;"生成成长"),4))/(VLOOKUP(S$72,INDIRECT($C$5&amp;"生成成长"),5))*(VLOOKUP($B$5,标准坦克设计!$B$24:$U$30,MATCH("对"&amp;LEFT($C$5,2)&amp;"输出",标准坦克设计!$B$23:$U$23,0)))*(VLOOKUP($B144,INDIRECT($B$5&amp;"生成成长"),3))*(VLOOKUP($B$5,标准坦克设计!$B$14:$K$20,9)/30))</f>
        <v>3.7855232393007854</v>
      </c>
      <c r="T144" s="173">
        <f ca="1">(VLOOKUP(T$72,INDIRECT($C$5&amp;"生成成长"),2))/((VLOOKUP($B144,INDIRECT($B$5&amp;"生成成长"),4))/(VLOOKUP(T$72,INDIRECT($C$5&amp;"生成成长"),5))*(VLOOKUP($B$5,标准坦克设计!$B$24:$U$30,MATCH("对"&amp;LEFT($C$5,2)&amp;"输出",标准坦克设计!$B$23:$U$23,0)))*(VLOOKUP($B144,INDIRECT($B$5&amp;"生成成长"),3))*(VLOOKUP($B$5,标准坦克设计!$B$14:$K$20,9)/30))</f>
        <v>4.1757602250194115</v>
      </c>
      <c r="U144" s="173">
        <f ca="1">(VLOOKUP(U$72,INDIRECT($C$5&amp;"生成成长"),2))/((VLOOKUP($B144,INDIRECT($B$5&amp;"生成成长"),4))/(VLOOKUP(U$72,INDIRECT($C$5&amp;"生成成长"),5))*(VLOOKUP($B$5,标准坦克设计!$B$24:$U$30,MATCH("对"&amp;LEFT($C$5,2)&amp;"输出",标准坦克设计!$B$23:$U$23,0)))*(VLOOKUP($B144,INDIRECT($B$5&amp;"生成成长"),3))*(VLOOKUP($B$5,标准坦克设计!$B$14:$K$20,9)/30))</f>
        <v>4.5851368994108848</v>
      </c>
      <c r="V144" s="173">
        <f ca="1">(VLOOKUP(V$72,INDIRECT($C$5&amp;"生成成长"),2))/((VLOOKUP($B144,INDIRECT($B$5&amp;"生成成长"),4))/(VLOOKUP(V$72,INDIRECT($C$5&amp;"生成成长"),5))*(VLOOKUP($B$5,标准坦克设计!$B$24:$U$30,MATCH("对"&amp;LEFT($C$5,2)&amp;"输出",标准坦克设计!$B$23:$U$23,0)))*(VLOOKUP($B144,INDIRECT($B$5&amp;"生成成长"),3))*(VLOOKUP($B$5,标准坦克设计!$B$14:$K$20,9)/30))</f>
        <v>5.0136532624752066</v>
      </c>
      <c r="W144" s="173">
        <f ca="1">(VLOOKUP(W$72,INDIRECT($C$5&amp;"生成成长"),2))/((VLOOKUP($B144,INDIRECT($B$5&amp;"生成成长"),4))/(VLOOKUP(W$72,INDIRECT($C$5&amp;"生成成长"),5))*(VLOOKUP($B$5,标准坦克设计!$B$24:$U$30,MATCH("对"&amp;LEFT($C$5,2)&amp;"输出",标准坦克设计!$B$23:$U$23,0)))*(VLOOKUP($B144,INDIRECT($B$5&amp;"生成成长"),3))*(VLOOKUP($B$5,标准坦克设计!$B$14:$K$20,9)/30))</f>
        <v>5.4613093142123779</v>
      </c>
      <c r="X144" s="173">
        <f ca="1">(VLOOKUP(X$72,INDIRECT($C$5&amp;"生成成长"),2))/((VLOOKUP($B144,INDIRECT($B$5&amp;"生成成长"),4))/(VLOOKUP(X$72,INDIRECT($C$5&amp;"生成成长"),5))*(VLOOKUP($B$5,标准坦克设计!$B$24:$U$30,MATCH("对"&amp;LEFT($C$5,2)&amp;"输出",标准坦克设计!$B$23:$U$23,0)))*(VLOOKUP($B144,INDIRECT($B$5&amp;"生成成长"),3))*(VLOOKUP($B$5,标准坦克设计!$B$14:$K$20,9)/30))</f>
        <v>3.9565989750926631</v>
      </c>
      <c r="Y144" s="173">
        <f ca="1">(VLOOKUP(Y$72,INDIRECT($C$5&amp;"生成成长"),2))/((VLOOKUP($B144,INDIRECT($B$5&amp;"生成成长"),4))/(VLOOKUP(Y$72,INDIRECT($C$5&amp;"生成成长"),5))*(VLOOKUP($B$5,标准坦克设计!$B$24:$U$30,MATCH("对"&amp;LEFT($C$5,2)&amp;"输出",标准坦克设计!$B$23:$U$23,0)))*(VLOOKUP($B144,INDIRECT($B$5&amp;"生成成长"),3))*(VLOOKUP($B$5,标准坦克设计!$B$14:$K$20,9)/30))</f>
        <v>4.4008287862649409</v>
      </c>
      <c r="Z144" s="173">
        <f ca="1">(VLOOKUP(Z$72,INDIRECT($C$5&amp;"生成成长"),2))/((VLOOKUP($B144,INDIRECT($B$5&amp;"生成成长"),4))/(VLOOKUP(Z$72,INDIRECT($C$5&amp;"生成成长"),5))*(VLOOKUP($B$5,标准坦克设计!$B$24:$U$30,MATCH("对"&amp;LEFT($C$5,2)&amp;"输出",标准坦克设计!$B$23:$U$23,0)))*(VLOOKUP($B144,INDIRECT($B$5&amp;"生成成长"),3))*(VLOOKUP($B$5,标准坦克设计!$B$14:$K$20,9)/30))</f>
        <v>4.8686878427123395</v>
      </c>
      <c r="AA144" s="173">
        <f ca="1">(VLOOKUP(AA$72,INDIRECT($C$5&amp;"生成成长"),2))/((VLOOKUP($B144,INDIRECT($B$5&amp;"生成成长"),4))/(VLOOKUP(AA$72,INDIRECT($C$5&amp;"生成成长"),5))*(VLOOKUP($B$5,标准坦克设计!$B$24:$U$30,MATCH("对"&amp;LEFT($C$5,2)&amp;"输出",标准坦克设计!$B$23:$U$23,0)))*(VLOOKUP($B144,INDIRECT($B$5&amp;"生成成长"),3))*(VLOOKUP($B$5,标准坦克设计!$B$14:$K$20,9)/30))</f>
        <v>5.3601761444348606</v>
      </c>
      <c r="AB144" s="173">
        <f ca="1">(VLOOKUP(AB$72,INDIRECT($C$5&amp;"生成成长"),2))/((VLOOKUP($B144,INDIRECT($B$5&amp;"生成成长"),4))/(VLOOKUP(AB$72,INDIRECT($C$5&amp;"生成成长"),5))*(VLOOKUP($B$5,标准坦克设计!$B$24:$U$30,MATCH("对"&amp;LEFT($C$5,2)&amp;"输出",标准坦克设计!$B$23:$U$23,0)))*(VLOOKUP($B144,INDIRECT($B$5&amp;"生成成长"),3))*(VLOOKUP($B$5,标准坦克设计!$B$14:$K$20,9)/30))</f>
        <v>5.8752936914325007</v>
      </c>
      <c r="AC144" s="173">
        <f ca="1">(VLOOKUP(AC$72,INDIRECT($C$5&amp;"生成成长"),2))/((VLOOKUP($B144,INDIRECT($B$5&amp;"生成成长"),4))/(VLOOKUP(AC$72,INDIRECT($C$5&amp;"生成成长"),5))*(VLOOKUP($B$5,标准坦克设计!$B$24:$U$30,MATCH("对"&amp;LEFT($C$5,2)&amp;"输出",标准坦克设计!$B$23:$U$23,0)))*(VLOOKUP($B144,INDIRECT($B$5&amp;"生成成长"),3))*(VLOOKUP($B$5,标准坦克设计!$B$14:$K$20,9)/30))</f>
        <v>6.4140404837052625</v>
      </c>
      <c r="AD144" s="173">
        <f ca="1">(VLOOKUP(AD$72,INDIRECT($C$5&amp;"生成成长"),2))/((VLOOKUP($B144,INDIRECT($B$5&amp;"生成成长"),4))/(VLOOKUP(AD$72,INDIRECT($C$5&amp;"生成成长"),5))*(VLOOKUP($B$5,标准坦克设计!$B$24:$U$30,MATCH("对"&amp;LEFT($C$5,2)&amp;"输出",标准坦克设计!$B$23:$U$23,0)))*(VLOOKUP($B144,INDIRECT($B$5&amp;"生成成长"),3))*(VLOOKUP($B$5,标准坦克设计!$B$14:$K$20,9)/30))</f>
        <v>6.9764165212531477</v>
      </c>
      <c r="AE144" s="173">
        <f ca="1">(VLOOKUP(AE$72,INDIRECT($C$5&amp;"生成成长"),2))/((VLOOKUP($B144,INDIRECT($B$5&amp;"生成成长"),4))/(VLOOKUP(AE$72,INDIRECT($C$5&amp;"生成成长"),5))*(VLOOKUP($B$5,标准坦克设计!$B$24:$U$30,MATCH("对"&amp;LEFT($C$5,2)&amp;"输出",标准坦克设计!$B$23:$U$23,0)))*(VLOOKUP($B144,INDIRECT($B$5&amp;"生成成长"),3))*(VLOOKUP($B$5,标准坦克设计!$B$14:$K$20,9)/30))</f>
        <v>7.5624218040761519</v>
      </c>
      <c r="AF144" s="173">
        <f ca="1">(VLOOKUP(AF$72,INDIRECT($C$5&amp;"生成成长"),2))/((VLOOKUP($B144,INDIRECT($B$5&amp;"生成成长"),4))/(VLOOKUP(AF$72,INDIRECT($C$5&amp;"生成成长"),5))*(VLOOKUP($B$5,标准坦克设计!$B$24:$U$30,MATCH("对"&amp;LEFT($C$5,2)&amp;"输出",标准坦克设计!$B$23:$U$23,0)))*(VLOOKUP($B144,INDIRECT($B$5&amp;"生成成长"),3))*(VLOOKUP($B$5,标准坦克设计!$B$14:$K$20,9)/30))</f>
        <v>8.172056332174277</v>
      </c>
      <c r="AG144" s="173">
        <f ca="1">(VLOOKUP(AG$72,INDIRECT($C$5&amp;"生成成长"),2))/((VLOOKUP($B144,INDIRECT($B$5&amp;"生成成长"),4))/(VLOOKUP(AG$72,INDIRECT($C$5&amp;"生成成长"),5))*(VLOOKUP($B$5,标准坦克设计!$B$24:$U$30,MATCH("对"&amp;LEFT($C$5,2)&amp;"输出",标准坦克设计!$B$23:$U$23,0)))*(VLOOKUP($B144,INDIRECT($B$5&amp;"生成成长"),3))*(VLOOKUP($B$5,标准坦克设计!$B$14:$K$20,9)/30))</f>
        <v>8.8053201055475263</v>
      </c>
      <c r="AH144" s="173">
        <f ca="1">(VLOOKUP(AH$72,INDIRECT($C$5&amp;"生成成长"),2))/((VLOOKUP($B144,INDIRECT($B$5&amp;"生成成长"),4))/(VLOOKUP(AH$72,INDIRECT($C$5&amp;"生成成长"),5))*(VLOOKUP($B$5,标准坦克设计!$B$24:$U$30,MATCH("对"&amp;LEFT($C$5,2)&amp;"输出",标准坦克设计!$B$23:$U$23,0)))*(VLOOKUP($B144,INDIRECT($B$5&amp;"生成成长"),3))*(VLOOKUP($B$5,标准坦克设计!$B$14:$K$20,9)/30))</f>
        <v>9.4622131241958947</v>
      </c>
      <c r="AI144" s="173">
        <f ca="1">(VLOOKUP(AI$72,INDIRECT($C$5&amp;"生成成长"),2))/((VLOOKUP($B144,INDIRECT($B$5&amp;"生成成长"),4))/(VLOOKUP(AI$72,INDIRECT($C$5&amp;"生成成长"),5))*(VLOOKUP($B$5,标准坦克设计!$B$24:$U$30,MATCH("对"&amp;LEFT($C$5,2)&amp;"输出",标准坦克设计!$B$23:$U$23,0)))*(VLOOKUP($B144,INDIRECT($B$5&amp;"生成成长"),3))*(VLOOKUP($B$5,标准坦克设计!$B$14:$K$20,9)/30))</f>
        <v>6.6922748468198137</v>
      </c>
      <c r="AJ144" s="173">
        <f ca="1">(VLOOKUP(AJ$72,INDIRECT($C$5&amp;"生成成长"),2))/((VLOOKUP($B144,INDIRECT($B$5&amp;"生成成长"),4))/(VLOOKUP(AJ$72,INDIRECT($C$5&amp;"生成成长"),5))*(VLOOKUP($B$5,标准坦克设计!$B$24:$U$30,MATCH("对"&amp;LEFT($C$5,2)&amp;"输出",标准坦克设计!$B$23:$U$23,0)))*(VLOOKUP($B144,INDIRECT($B$5&amp;"生成成长"),3))*(VLOOKUP($B$5,标准坦克设计!$B$14:$K$20,9)/30))</f>
        <v>7.3251841815139356</v>
      </c>
      <c r="AK144" s="173">
        <f ca="1">(VLOOKUP(AK$72,INDIRECT($C$5&amp;"生成成长"),2))/((VLOOKUP($B144,INDIRECT($B$5&amp;"生成成长"),4))/(VLOOKUP(AK$72,INDIRECT($C$5&amp;"生成成长"),5))*(VLOOKUP($B$5,标准坦克设计!$B$24:$U$30,MATCH("对"&amp;LEFT($C$5,2)&amp;"输出",标准坦克设计!$B$23:$U$23,0)))*(VLOOKUP($B144,INDIRECT($B$5&amp;"生成成长"),3))*(VLOOKUP($B$5,标准坦克设计!$B$14:$K$20,9)/30))</f>
        <v>7.9866849029909508</v>
      </c>
      <c r="AL144" s="173">
        <f ca="1">(VLOOKUP(AL$72,INDIRECT($C$5&amp;"生成成长"),2))/((VLOOKUP($B144,INDIRECT($B$5&amp;"生成成长"),4))/(VLOOKUP(AL$72,INDIRECT($C$5&amp;"生成成长"),5))*(VLOOKUP($B$5,标准坦克设计!$B$24:$U$30,MATCH("对"&amp;LEFT($C$5,2)&amp;"输出",标准坦克设计!$B$23:$U$23,0)))*(VLOOKUP($B144,INDIRECT($B$5&amp;"生成成长"),3))*(VLOOKUP($B$5,标准坦克设计!$B$14:$K$20,9)/30))</f>
        <v>8.6767770112508664</v>
      </c>
      <c r="AM144" s="173">
        <f ca="1">(VLOOKUP(AM$72,INDIRECT($C$5&amp;"生成成长"),2))/((VLOOKUP($B144,INDIRECT($B$5&amp;"生成成长"),4))/(VLOOKUP(AM$72,INDIRECT($C$5&amp;"生成成长"),5))*(VLOOKUP($B$5,标准坦克设计!$B$24:$U$30,MATCH("对"&amp;LEFT($C$5,2)&amp;"输出",标准坦克设计!$B$23:$U$23,0)))*(VLOOKUP($B144,INDIRECT($B$5&amp;"生成成长"),3))*(VLOOKUP($B$5,标准坦克设计!$B$14:$K$20,9)/30))</f>
        <v>9.3954605062936754</v>
      </c>
      <c r="AN144" s="173">
        <f ca="1">(VLOOKUP(AN$72,INDIRECT($C$5&amp;"生成成长"),2))/((VLOOKUP($B144,INDIRECT($B$5&amp;"生成成长"),4))/(VLOOKUP(AN$72,INDIRECT($C$5&amp;"生成成长"),5))*(VLOOKUP($B$5,标准坦克设计!$B$24:$U$30,MATCH("对"&amp;LEFT($C$5,2)&amp;"输出",标准坦克设计!$B$23:$U$23,0)))*(VLOOKUP($B144,INDIRECT($B$5&amp;"生成成长"),3))*(VLOOKUP($B$5,标准坦克设计!$B$14:$K$20,9)/30))</f>
        <v>10.142735388119382</v>
      </c>
      <c r="AO144" s="173">
        <f ca="1">(VLOOKUP(AO$72,INDIRECT($C$5&amp;"生成成长"),2))/((VLOOKUP($B144,INDIRECT($B$5&amp;"生成成长"),4))/(VLOOKUP(AO$72,INDIRECT($C$5&amp;"生成成长"),5))*(VLOOKUP($B$5,标准坦克设计!$B$24:$U$30,MATCH("对"&amp;LEFT($C$5,2)&amp;"输出",标准坦克设计!$B$23:$U$23,0)))*(VLOOKUP($B144,INDIRECT($B$5&amp;"生成成长"),3))*(VLOOKUP($B$5,标准坦克设计!$B$14:$K$20,9)/30))</f>
        <v>10.918601656727985</v>
      </c>
      <c r="AP144" s="173">
        <f ca="1">(VLOOKUP(AP$72,INDIRECT($C$5&amp;"生成成长"),2))/((VLOOKUP($B144,INDIRECT($B$5&amp;"生成成长"),4))/(VLOOKUP(AP$72,INDIRECT($C$5&amp;"生成成长"),5))*(VLOOKUP($B$5,标准坦克设计!$B$24:$U$30,MATCH("对"&amp;LEFT($C$5,2)&amp;"输出",标准坦克设计!$B$23:$U$23,0)))*(VLOOKUP($B144,INDIRECT($B$5&amp;"生成成长"),3))*(VLOOKUP($B$5,标准坦克设计!$B$14:$K$20,9)/30))</f>
        <v>11.723059312119485</v>
      </c>
      <c r="AQ144" s="173">
        <f ca="1">(VLOOKUP(AQ$72,INDIRECT($C$5&amp;"生成成长"),2))/((VLOOKUP($B144,INDIRECT($B$5&amp;"生成成长"),4))/(VLOOKUP(AQ$72,INDIRECT($C$5&amp;"生成成长"),5))*(VLOOKUP($B$5,标准坦克设计!$B$24:$U$30,MATCH("对"&amp;LEFT($C$5,2)&amp;"输出",标准坦克设计!$B$23:$U$23,0)))*(VLOOKUP($B144,INDIRECT($B$5&amp;"生成成长"),3))*(VLOOKUP($B$5,标准坦克设计!$B$14:$K$20,9)/30))</f>
        <v>12.556108354293885</v>
      </c>
      <c r="AR144" s="173">
        <f ca="1">(VLOOKUP(AR$72,INDIRECT($C$5&amp;"生成成长"),2))/((VLOOKUP($B144,INDIRECT($B$5&amp;"生成成长"),4))/(VLOOKUP(AR$72,INDIRECT($C$5&amp;"生成成长"),5))*(VLOOKUP($B$5,标准坦克设计!$B$24:$U$30,MATCH("对"&amp;LEFT($C$5,2)&amp;"输出",标准坦克设计!$B$23:$U$23,0)))*(VLOOKUP($B144,INDIRECT($B$5&amp;"生成成长"),3))*(VLOOKUP($B$5,标准坦克设计!$B$14:$K$20,9)/30))</f>
        <v>13.417748783251177</v>
      </c>
      <c r="AS144" s="173">
        <f ca="1">(VLOOKUP(AS$72,INDIRECT($C$5&amp;"生成成长"),2))/((VLOOKUP($B144,INDIRECT($B$5&amp;"生成成长"),4))/(VLOOKUP(AS$72,INDIRECT($C$5&amp;"生成成长"),5))*(VLOOKUP($B$5,标准坦克设计!$B$24:$U$30,MATCH("对"&amp;LEFT($C$5,2)&amp;"输出",标准坦克设计!$B$23:$U$23,0)))*(VLOOKUP($B144,INDIRECT($B$5&amp;"生成成长"),3))*(VLOOKUP($B$5,标准坦克设计!$B$14:$K$20,9)/30))</f>
        <v>14.307980598991364</v>
      </c>
      <c r="AT144" s="173">
        <f ca="1">(VLOOKUP(AT$72,INDIRECT($C$5&amp;"生成成长"),2))/((VLOOKUP($B144,INDIRECT($B$5&amp;"生成成长"),4))/(VLOOKUP(AT$72,INDIRECT($C$5&amp;"生成成长"),5))*(VLOOKUP($B$5,标准坦克设计!$B$24:$U$30,MATCH("对"&amp;LEFT($C$5,2)&amp;"输出",标准坦克设计!$B$23:$U$23,0)))*(VLOOKUP($B144,INDIRECT($B$5&amp;"生成成长"),3))*(VLOOKUP($B$5,标准坦克设计!$B$14:$K$20,9)/30))</f>
        <v>15.226803801514452</v>
      </c>
      <c r="AU144" s="173">
        <f ca="1">(VLOOKUP(AU$72,INDIRECT($C$5&amp;"生成成长"),2))/((VLOOKUP($B144,INDIRECT($B$5&amp;"生成成长"),4))/(VLOOKUP(AU$72,INDIRECT($C$5&amp;"生成成长"),5))*(VLOOKUP($B$5,标准坦克设计!$B$24:$U$30,MATCH("对"&amp;LEFT($C$5,2)&amp;"输出",标准坦克设计!$B$23:$U$23,0)))*(VLOOKUP($B144,INDIRECT($B$5&amp;"生成成长"),3))*(VLOOKUP($B$5,标准坦克设计!$B$14:$K$20,9)/30))</f>
        <v>16.174218390820432</v>
      </c>
      <c r="AV144" s="173">
        <f ca="1">(VLOOKUP(AV$72,INDIRECT($C$5&amp;"生成成长"),2))/((VLOOKUP($B144,INDIRECT($B$5&amp;"生成成长"),4))/(VLOOKUP(AV$72,INDIRECT($C$5&amp;"生成成长"),5))*(VLOOKUP($B$5,标准坦克设计!$B$24:$U$30,MATCH("对"&amp;LEFT($C$5,2)&amp;"输出",标准坦克设计!$B$23:$U$23,0)))*(VLOOKUP($B144,INDIRECT($B$5&amp;"生成成长"),3))*(VLOOKUP($B$5,标准坦克设计!$B$14:$K$20,9)/30))</f>
        <v>1.6450680560539352</v>
      </c>
      <c r="AW144" s="173">
        <f ca="1">(VLOOKUP(AW$72,INDIRECT($C$5&amp;"生成成长"),2))/((VLOOKUP($B144,INDIRECT($B$5&amp;"生成成长"),4))/(VLOOKUP(AW$72,INDIRECT($C$5&amp;"生成成长"),5))*(VLOOKUP($B$5,标准坦克设计!$B$24:$U$30,MATCH("对"&amp;LEFT($C$5,2)&amp;"输出",标准坦克设计!$B$23:$U$23,0)))*(VLOOKUP($B144,INDIRECT($B$5&amp;"生成成长"),3))*(VLOOKUP($B$5,标准坦克设计!$B$14:$K$20,9)/30))</f>
        <v>1.8756894899391174</v>
      </c>
      <c r="AX144" s="173">
        <f ca="1">(VLOOKUP(AX$72,INDIRECT($C$5&amp;"生成成长"),2))/((VLOOKUP($B144,INDIRECT($B$5&amp;"生成成长"),4))/(VLOOKUP(AX$72,INDIRECT($C$5&amp;"生成成长"),5))*(VLOOKUP($B$5,标准坦克设计!$B$24:$U$30,MATCH("对"&amp;LEFT($C$5,2)&amp;"输出",标准坦克设计!$B$23:$U$23,0)))*(VLOOKUP($B144,INDIRECT($B$5&amp;"生成成长"),3))*(VLOOKUP($B$5,标准坦克设计!$B$14:$K$20,9)/30))</f>
        <v>2.1214336408003778</v>
      </c>
      <c r="AY144" s="173">
        <f ca="1">(VLOOKUP(AY$72,INDIRECT($C$5&amp;"生成成长"),2))/((VLOOKUP($B144,INDIRECT($B$5&amp;"生成成长"),4))/(VLOOKUP(AY$72,INDIRECT($C$5&amp;"生成成长"),5))*(VLOOKUP($B$5,标准坦克设计!$B$24:$U$30,MATCH("对"&amp;LEFT($C$5,2)&amp;"输出",标准坦克设计!$B$23:$U$23,0)))*(VLOOKUP($B144,INDIRECT($B$5&amp;"生成成长"),3))*(VLOOKUP($B$5,标准坦克设计!$B$14:$K$20,9)/30))</f>
        <v>2.3823005086377154</v>
      </c>
      <c r="AZ144" s="173">
        <f ca="1">(VLOOKUP(AZ$72,INDIRECT($C$5&amp;"生成成长"),2))/((VLOOKUP($B144,INDIRECT($B$5&amp;"生成成长"),4))/(VLOOKUP(AZ$72,INDIRECT($C$5&amp;"生成成长"),5))*(VLOOKUP($B$5,标准坦克设计!$B$24:$U$30,MATCH("对"&amp;LEFT($C$5,2)&amp;"输出",标准坦克设计!$B$23:$U$23,0)))*(VLOOKUP($B144,INDIRECT($B$5&amp;"生成成长"),3))*(VLOOKUP($B$5,标准坦克设计!$B$14:$K$20,9)/30))</f>
        <v>2.6582900934511309</v>
      </c>
      <c r="BA144" s="173">
        <f ca="1">(VLOOKUP(BA$72,INDIRECT($C$5&amp;"生成成长"),2))/((VLOOKUP($B144,INDIRECT($B$5&amp;"生成成长"),4))/(VLOOKUP(BA$72,INDIRECT($C$5&amp;"生成成长"),5))*(VLOOKUP($B$5,标准坦克设计!$B$24:$U$30,MATCH("对"&amp;LEFT($C$5,2)&amp;"输出",标准坦克设计!$B$23:$U$23,0)))*(VLOOKUP($B144,INDIRECT($B$5&amp;"生成成长"),3))*(VLOOKUP($B$5,标准坦克设计!$B$14:$K$20,9)/30))</f>
        <v>2.9494023952406234</v>
      </c>
      <c r="BB144" s="173">
        <f ca="1">(VLOOKUP(BB$72,INDIRECT($C$5&amp;"生成成长"),2))/((VLOOKUP($B144,INDIRECT($B$5&amp;"生成成长"),4))/(VLOOKUP(BB$72,INDIRECT($C$5&amp;"生成成长"),5))*(VLOOKUP($B$5,标准坦克设计!$B$24:$U$30,MATCH("对"&amp;LEFT($C$5,2)&amp;"输出",标准坦克设计!$B$23:$U$23,0)))*(VLOOKUP($B144,INDIRECT($B$5&amp;"生成成长"),3))*(VLOOKUP($B$5,标准坦克设计!$B$14:$K$20,9)/30))</f>
        <v>3.255637414006193</v>
      </c>
      <c r="BC144" s="173">
        <f ca="1">(VLOOKUP(BC$72,INDIRECT($C$5&amp;"生成成长"),2))/((VLOOKUP($B144,INDIRECT($B$5&amp;"生成成长"),4))/(VLOOKUP(BC$72,INDIRECT($C$5&amp;"生成成长"),5))*(VLOOKUP($B$5,标准坦克设计!$B$24:$U$30,MATCH("对"&amp;LEFT($C$5,2)&amp;"输出",标准坦克设计!$B$23:$U$23,0)))*(VLOOKUP($B144,INDIRECT($B$5&amp;"生成成长"),3))*(VLOOKUP($B$5,标准坦克设计!$B$14:$K$20,9)/30))</f>
        <v>3.5769951497478409</v>
      </c>
      <c r="BD144" s="173">
        <f ca="1">(VLOOKUP(BD$72,INDIRECT($C$5&amp;"生成成长"),2))/((VLOOKUP($B144,INDIRECT($B$5&amp;"生成成长"),4))/(VLOOKUP(BD$72,INDIRECT($C$5&amp;"生成成长"),5))*(VLOOKUP($B$5,标准坦克设计!$B$24:$U$30,MATCH("对"&amp;LEFT($C$5,2)&amp;"输出",标准坦克设计!$B$23:$U$23,0)))*(VLOOKUP($B144,INDIRECT($B$5&amp;"生成成长"),3))*(VLOOKUP($B$5,标准坦克设计!$B$14:$K$20,9)/30))</f>
        <v>3.9565989750926631</v>
      </c>
      <c r="BE144" s="173">
        <f ca="1">(VLOOKUP(BE$72,INDIRECT($C$5&amp;"生成成长"),2))/((VLOOKUP($B144,INDIRECT($B$5&amp;"生成成长"),4))/(VLOOKUP(BE$72,INDIRECT($C$5&amp;"生成成长"),5))*(VLOOKUP($B$5,标准坦克设计!$B$24:$U$30,MATCH("对"&amp;LEFT($C$5,2)&amp;"输出",标准坦克设计!$B$23:$U$23,0)))*(VLOOKUP($B144,INDIRECT($B$5&amp;"生成成长"),3))*(VLOOKUP($B$5,标准坦克设计!$B$14:$K$20,9)/30))</f>
        <v>4.3553424891103321</v>
      </c>
      <c r="BF144" s="173">
        <f ca="1">(VLOOKUP(BF$72,INDIRECT($C$5&amp;"生成成长"),2))/((VLOOKUP($B144,INDIRECT($B$5&amp;"生成成长"),4))/(VLOOKUP(BF$72,INDIRECT($C$5&amp;"生成成长"),5))*(VLOOKUP($B$5,标准坦克设计!$B$24:$U$30,MATCH("对"&amp;LEFT($C$5,2)&amp;"输出",标准坦克设计!$B$23:$U$23,0)))*(VLOOKUP($B144,INDIRECT($B$5&amp;"生成成长"),3))*(VLOOKUP($B$5,标准坦克设计!$B$14:$K$20,9)/30))</f>
        <v>4.7732256918008495</v>
      </c>
      <c r="BG144" s="173">
        <f ca="1">(VLOOKUP(BG$72,INDIRECT($C$5&amp;"生成成长"),2))/((VLOOKUP($B144,INDIRECT($B$5&amp;"生成成长"),4))/(VLOOKUP(BG$72,INDIRECT($C$5&amp;"生成成长"),5))*(VLOOKUP($B$5,标准坦克设计!$B$24:$U$30,MATCH("对"&amp;LEFT($C$5,2)&amp;"输出",标准坦克设计!$B$23:$U$23,0)))*(VLOOKUP($B144,INDIRECT($B$5&amp;"生成成长"),3))*(VLOOKUP($B$5,标准坦克设计!$B$14:$K$20,9)/30))</f>
        <v>5.2102485831642156</v>
      </c>
      <c r="BH144" s="173">
        <f ca="1">(VLOOKUP(BH$72,INDIRECT($C$5&amp;"生成成长"),2))/((VLOOKUP($B144,INDIRECT($B$5&amp;"生成成长"),4))/(VLOOKUP(BH$72,INDIRECT($C$5&amp;"生成成长"),5))*(VLOOKUP($B$5,标准坦克设计!$B$24:$U$30,MATCH("对"&amp;LEFT($C$5,2)&amp;"输出",标准坦克设计!$B$23:$U$23,0)))*(VLOOKUP($B144,INDIRECT($B$5&amp;"生成成长"),3))*(VLOOKUP($B$5,标准坦克设计!$B$14:$K$20,9)/30))</f>
        <v>2.5184049614224131</v>
      </c>
      <c r="BI144" s="173">
        <f ca="1">(VLOOKUP(BI$72,INDIRECT($C$5&amp;"生成成长"),2))/((VLOOKUP($B144,INDIRECT($B$5&amp;"生成成长"),4))/(VLOOKUP(BI$72,INDIRECT($C$5&amp;"生成成长"),5))*(VLOOKUP($B$5,标准坦克设计!$B$24:$U$30,MATCH("对"&amp;LEFT($C$5,2)&amp;"输出",标准坦克设计!$B$23:$U$23,0)))*(VLOOKUP($B144,INDIRECT($B$5&amp;"生成成长"),3))*(VLOOKUP($B$5,标准坦克设计!$B$14:$K$20,9)/30))</f>
        <v>2.838463088673929</v>
      </c>
      <c r="BJ144" s="173">
        <f ca="1">(VLOOKUP(BJ$72,INDIRECT($C$5&amp;"生成成长"),2))/((VLOOKUP($B144,INDIRECT($B$5&amp;"生成成长"),4))/(VLOOKUP(BJ$72,INDIRECT($C$5&amp;"生成成长"),5))*(VLOOKUP($B$5,标准坦克设计!$B$24:$U$30,MATCH("对"&amp;LEFT($C$5,2)&amp;"输出",标准坦克设计!$B$23:$U$23,0)))*(VLOOKUP($B144,INDIRECT($B$5&amp;"生成成长"),3))*(VLOOKUP($B$5,标准坦克设计!$B$14:$K$20,9)/30))</f>
        <v>3.1776609045982935</v>
      </c>
      <c r="BK144" s="173">
        <f ca="1">(VLOOKUP(BK$72,INDIRECT($C$5&amp;"生成成长"),2))/((VLOOKUP($B144,INDIRECT($B$5&amp;"生成成长"),4))/(VLOOKUP(BK$72,INDIRECT($C$5&amp;"生成成长"),5))*(VLOOKUP($B$5,标准坦克设计!$B$24:$U$30,MATCH("对"&amp;LEFT($C$5,2)&amp;"输出",标准坦克设计!$B$23:$U$23,0)))*(VLOOKUP($B144,INDIRECT($B$5&amp;"生成成长"),3))*(VLOOKUP($B$5,标准坦克设计!$B$14:$K$20,9)/30))</f>
        <v>3.5359984091955061</v>
      </c>
      <c r="BL144" s="173">
        <f ca="1">(VLOOKUP(BL$72,INDIRECT($C$5&amp;"生成成长"),2))/((VLOOKUP($B144,INDIRECT($B$5&amp;"生成成长"),4))/(VLOOKUP(BL$72,INDIRECT($C$5&amp;"生成成长"),5))*(VLOOKUP($B$5,标准坦克设计!$B$24:$U$30,MATCH("对"&amp;LEFT($C$5,2)&amp;"输出",标准坦克设计!$B$23:$U$23,0)))*(VLOOKUP($B144,INDIRECT($B$5&amp;"生成成长"),3))*(VLOOKUP($B$5,标准坦克设计!$B$14:$K$20,9)/30))</f>
        <v>3.9134756024655668</v>
      </c>
      <c r="BM144" s="173">
        <f ca="1">(VLOOKUP(BM$72,INDIRECT($C$5&amp;"生成成长"),2))/((VLOOKUP($B144,INDIRECT($B$5&amp;"生成成长"),4))/(VLOOKUP(BM$72,INDIRECT($C$5&amp;"生成成长"),5))*(VLOOKUP($B$5,标准坦克设计!$B$24:$U$30,MATCH("对"&amp;LEFT($C$5,2)&amp;"输出",标准坦克设计!$B$23:$U$23,0)))*(VLOOKUP($B144,INDIRECT($B$5&amp;"生成成长"),3))*(VLOOKUP($B$5,标准坦克设计!$B$14:$K$20,9)/30))</f>
        <v>4.3100924844084751</v>
      </c>
      <c r="BN144" s="173">
        <f ca="1">(VLOOKUP(BN$72,INDIRECT($C$5&amp;"生成成长"),2))/((VLOOKUP($B144,INDIRECT($B$5&amp;"生成成长"),4))/(VLOOKUP(BN$72,INDIRECT($C$5&amp;"生成成长"),5))*(VLOOKUP($B$5,标准坦克设计!$B$24:$U$30,MATCH("对"&amp;LEFT($C$5,2)&amp;"输出",标准坦克设计!$B$23:$U$23,0)))*(VLOOKUP($B144,INDIRECT($B$5&amp;"生成成长"),3))*(VLOOKUP($B$5,标准坦克设计!$B$14:$K$20,9)/30))</f>
        <v>4.7258490550242325</v>
      </c>
      <c r="BO144" s="173">
        <f ca="1">(VLOOKUP(BO$72,INDIRECT($C$5&amp;"生成成长"),2))/((VLOOKUP($B144,INDIRECT($B$5&amp;"生成成长"),4))/(VLOOKUP(BO$72,INDIRECT($C$5&amp;"生成成长"),5))*(VLOOKUP($B$5,标准坦克设计!$B$24:$U$30,MATCH("对"&amp;LEFT($C$5,2)&amp;"输出",标准坦克设计!$B$23:$U$23,0)))*(VLOOKUP($B144,INDIRECT($B$5&amp;"生成成长"),3))*(VLOOKUP($B$5,标准坦克设计!$B$14:$K$20,9)/30))</f>
        <v>5.1607453143128375</v>
      </c>
      <c r="BP144" s="173">
        <f ca="1">(VLOOKUP(BP$72,INDIRECT($C$5&amp;"生成成长"),2))/((VLOOKUP($B144,INDIRECT($B$5&amp;"生成成长"),4))/(VLOOKUP(BP$72,INDIRECT($C$5&amp;"生成成长"),5))*(VLOOKUP($B$5,标准坦克设计!$B$24:$U$30,MATCH("对"&amp;LEFT($C$5,2)&amp;"输出",标准坦克设计!$B$23:$U$23,0)))*(VLOOKUP($B144,INDIRECT($B$5&amp;"生成成长"),3))*(VLOOKUP($B$5,标准坦克设计!$B$14:$K$20,9)/30))</f>
        <v>5.6147812622742901</v>
      </c>
      <c r="BQ144" s="173">
        <f ca="1">(VLOOKUP(BQ$72,INDIRECT($C$5&amp;"生成成长"),2))/((VLOOKUP($B144,INDIRECT($B$5&amp;"生成成长"),4))/(VLOOKUP(BQ$72,INDIRECT($C$5&amp;"生成成长"),5))*(VLOOKUP($B$5,标准坦克设计!$B$24:$U$30,MATCH("对"&amp;LEFT($C$5,2)&amp;"输出",标准坦克设计!$B$23:$U$23,0)))*(VLOOKUP($B144,INDIRECT($B$5&amp;"生成成长"),3))*(VLOOKUP($B$5,标准坦克设计!$B$14:$K$20,9)/30))</f>
        <v>6.0879568989085913</v>
      </c>
      <c r="BR144" s="173">
        <f ca="1">(VLOOKUP(BR$72,INDIRECT($C$5&amp;"生成成长"),2))/((VLOOKUP($B144,INDIRECT($B$5&amp;"生成成长"),4))/(VLOOKUP(BR$72,INDIRECT($C$5&amp;"生成成长"),5))*(VLOOKUP($B$5,标准坦克设计!$B$24:$U$30,MATCH("对"&amp;LEFT($C$5,2)&amp;"输出",标准坦克设计!$B$23:$U$23,0)))*(VLOOKUP($B144,INDIRECT($B$5&amp;"生成成长"),3))*(VLOOKUP($B$5,标准坦克设计!$B$14:$K$20,9)/30))</f>
        <v>6.6361553892914023</v>
      </c>
      <c r="BS144" s="173">
        <f ca="1">(VLOOKUP(BS$72,INDIRECT($C$5&amp;"生成成长"),2))/((VLOOKUP($B144,INDIRECT($B$5&amp;"生成成长"),4))/(VLOOKUP(BS$72,INDIRECT($C$5&amp;"生成成长"),5))*(VLOOKUP($B$5,标准坦克设计!$B$24:$U$30,MATCH("对"&amp;LEFT($C$5,2)&amp;"输出",标准坦克设计!$B$23:$U$23,0)))*(VLOOKUP($B144,INDIRECT($B$5&amp;"生成成长"),3))*(VLOOKUP($B$5,标准坦克设计!$B$14:$K$20,9)/30))</f>
        <v>7.207983124949334</v>
      </c>
      <c r="BT144" s="173">
        <f ca="1">(VLOOKUP(BT$72,INDIRECT($C$5&amp;"生成成长"),2))/((VLOOKUP($B144,INDIRECT($B$5&amp;"生成成长"),4))/(VLOOKUP(BT$72,INDIRECT($C$5&amp;"生成成长"),5))*(VLOOKUP($B$5,标准坦克设计!$B$24:$U$30,MATCH("对"&amp;LEFT($C$5,2)&amp;"输出",标准坦克设计!$B$23:$U$23,0)))*(VLOOKUP($B144,INDIRECT($B$5&amp;"生成成长"),3))*(VLOOKUP($B$5,标准坦克设计!$B$14:$K$20,9)/30))</f>
        <v>7.8034401058823866</v>
      </c>
      <c r="BU144" s="173">
        <f ca="1">(VLOOKUP(BU$72,INDIRECT($C$5&amp;"生成成长"),2))/((VLOOKUP($B144,INDIRECT($B$5&amp;"生成成长"),4))/(VLOOKUP(BU$72,INDIRECT($C$5&amp;"生成成长"),5))*(VLOOKUP($B$5,标准坦克设计!$B$24:$U$30,MATCH("对"&amp;LEFT($C$5,2)&amp;"输出",标准坦克设计!$B$23:$U$23,0)))*(VLOOKUP($B144,INDIRECT($B$5&amp;"生成成长"),3))*(VLOOKUP($B$5,标准坦克设计!$B$14:$K$20,9)/30))</f>
        <v>8.4225263320905608</v>
      </c>
      <c r="BV144" s="173">
        <f ca="1">(VLOOKUP(BV$72,INDIRECT($C$5&amp;"生成成长"),2))/((VLOOKUP($B144,INDIRECT($B$5&amp;"生成成长"),4))/(VLOOKUP(BV$72,INDIRECT($C$5&amp;"生成成长"),5))*(VLOOKUP($B$5,标准坦克设计!$B$24:$U$30,MATCH("对"&amp;LEFT($C$5,2)&amp;"输出",标准坦克设计!$B$23:$U$23,0)))*(VLOOKUP($B144,INDIRECT($B$5&amp;"生成成长"),3))*(VLOOKUP($B$5,标准坦克设计!$B$14:$K$20,9)/30))</f>
        <v>9.0652418035738567</v>
      </c>
      <c r="BW144" s="173">
        <f ca="1">(VLOOKUP(BW$72,INDIRECT($C$5&amp;"生成成长"),2))/((VLOOKUP($B144,INDIRECT($B$5&amp;"生成成长"),4))/(VLOOKUP(BW$72,INDIRECT($C$5&amp;"生成成长"),5))*(VLOOKUP($B$5,标准坦克设计!$B$24:$U$30,MATCH("对"&amp;LEFT($C$5,2)&amp;"输出",标准坦克设计!$B$23:$U$23,0)))*(VLOOKUP($B144,INDIRECT($B$5&amp;"生成成长"),3))*(VLOOKUP($B$5,标准坦克设计!$B$14:$K$20,9)/30))</f>
        <v>4.1314553901285596</v>
      </c>
      <c r="BX144" s="173">
        <f ca="1">(VLOOKUP(BX$72,INDIRECT($C$5&amp;"生成成长"),2))/((VLOOKUP($B144,INDIRECT($B$5&amp;"生成成长"),4))/(VLOOKUP(BX$72,INDIRECT($C$5&amp;"生成成长"),5))*(VLOOKUP($B$5,标准坦克设计!$B$24:$U$30,MATCH("对"&amp;LEFT($C$5,2)&amp;"输出",标准坦克设计!$B$23:$U$23,0)))*(VLOOKUP($B144,INDIRECT($B$5&amp;"生成成长"),3))*(VLOOKUP($B$5,标准坦克设计!$B$14:$K$20,9)/30))</f>
        <v>4.5851368994108848</v>
      </c>
      <c r="BY144" s="173">
        <f ca="1">(VLOOKUP(BY$72,INDIRECT($C$5&amp;"生成成长"),2))/((VLOOKUP($B144,INDIRECT($B$5&amp;"生成成长"),4))/(VLOOKUP(BY$72,INDIRECT($C$5&amp;"生成成长"),5))*(VLOOKUP($B$5,标准坦克设计!$B$24:$U$30,MATCH("对"&amp;LEFT($C$5,2)&amp;"输出",标准坦克设计!$B$23:$U$23,0)))*(VLOOKUP($B144,INDIRECT($B$5&amp;"生成成长"),3))*(VLOOKUP($B$5,标准坦克设计!$B$14:$K$20,9)/30))</f>
        <v>5.0624476539683334</v>
      </c>
      <c r="BZ144" s="173">
        <f ca="1">(VLOOKUP(BZ$72,INDIRECT($C$5&amp;"生成成长"),2))/((VLOOKUP($B144,INDIRECT($B$5&amp;"生成成长"),4))/(VLOOKUP(BZ$72,INDIRECT($C$5&amp;"生成成长"),5))*(VLOOKUP($B$5,标准坦克设计!$B$24:$U$30,MATCH("对"&amp;LEFT($C$5,2)&amp;"输出",标准坦克设计!$B$23:$U$23,0)))*(VLOOKUP($B144,INDIRECT($B$5&amp;"生成成长"),3))*(VLOOKUP($B$5,标准坦克设计!$B$14:$K$20,9)/30))</f>
        <v>5.5633876538009019</v>
      </c>
      <c r="CA144" s="173">
        <f ca="1">(VLOOKUP(CA$72,INDIRECT($C$5&amp;"生成成长"),2))/((VLOOKUP($B144,INDIRECT($B$5&amp;"生成成长"),4))/(VLOOKUP(CA$72,INDIRECT($C$5&amp;"生成成长"),5))*(VLOOKUP($B$5,标准坦克设计!$B$24:$U$30,MATCH("对"&amp;LEFT($C$5,2)&amp;"输出",标准坦克设计!$B$23:$U$23,0)))*(VLOOKUP($B144,INDIRECT($B$5&amp;"生成成长"),3))*(VLOOKUP($B$5,标准坦克设计!$B$14:$K$20,9)/30))</f>
        <v>6.0879568989085913</v>
      </c>
      <c r="CB144" s="173">
        <f ca="1">(VLOOKUP(CB$72,INDIRECT($C$5&amp;"生成成长"),2))/((VLOOKUP($B144,INDIRECT($B$5&amp;"生成成长"),4))/(VLOOKUP(CB$72,INDIRECT($C$5&amp;"生成成长"),5))*(VLOOKUP($B$5,标准坦克设计!$B$24:$U$30,MATCH("对"&amp;LEFT($C$5,2)&amp;"输出",标准坦克设计!$B$23:$U$23,0)))*(VLOOKUP($B144,INDIRECT($B$5&amp;"生成成长"),3))*(VLOOKUP($B$5,标准坦克设计!$B$14:$K$20,9)/30))</f>
        <v>6.6361553892914023</v>
      </c>
      <c r="CC144" s="173">
        <f ca="1">(VLOOKUP(CC$72,INDIRECT($C$5&amp;"生成成长"),2))/((VLOOKUP($B144,INDIRECT($B$5&amp;"生成成长"),4))/(VLOOKUP(CC$72,INDIRECT($C$5&amp;"生成成长"),5))*(VLOOKUP($B$5,标准坦克设计!$B$24:$U$30,MATCH("对"&amp;LEFT($C$5,2)&amp;"输出",标准坦克设计!$B$23:$U$23,0)))*(VLOOKUP($B144,INDIRECT($B$5&amp;"生成成长"),3))*(VLOOKUP($B$5,标准坦克设计!$B$14:$K$20,9)/30))</f>
        <v>7.207983124949334</v>
      </c>
      <c r="CD144" s="173">
        <f ca="1">(VLOOKUP(CD$72,INDIRECT($C$5&amp;"生成成长"),2))/((VLOOKUP($B144,INDIRECT($B$5&amp;"生成成长"),4))/(VLOOKUP(CD$72,INDIRECT($C$5&amp;"生成成长"),5))*(VLOOKUP($B$5,标准坦克设计!$B$24:$U$30,MATCH("对"&amp;LEFT($C$5,2)&amp;"输出",标准坦克设计!$B$23:$U$23,0)))*(VLOOKUP($B144,INDIRECT($B$5&amp;"生成成长"),3))*(VLOOKUP($B$5,标准坦克设计!$B$14:$K$20,9)/30))</f>
        <v>7.8034401058823866</v>
      </c>
      <c r="CE144" s="173">
        <f ca="1">(VLOOKUP(CE$72,INDIRECT($C$5&amp;"生成成长"),2))/((VLOOKUP($B144,INDIRECT($B$5&amp;"生成成长"),4))/(VLOOKUP(CE$72,INDIRECT($C$5&amp;"生成成长"),5))*(VLOOKUP($B$5,标准坦克设计!$B$24:$U$30,MATCH("对"&amp;LEFT($C$5,2)&amp;"输出",标准坦克设计!$B$23:$U$23,0)))*(VLOOKUP($B144,INDIRECT($B$5&amp;"生成成长"),3))*(VLOOKUP($B$5,标准坦克设计!$B$14:$K$20,9)/30))</f>
        <v>8.4225263320905608</v>
      </c>
      <c r="CF144" s="173">
        <f ca="1">(VLOOKUP(CF$72,INDIRECT($C$5&amp;"生成成长"),2))/((VLOOKUP($B144,INDIRECT($B$5&amp;"生成成长"),4))/(VLOOKUP(CF$72,INDIRECT($C$5&amp;"生成成长"),5))*(VLOOKUP($B$5,标准坦克设计!$B$24:$U$30,MATCH("对"&amp;LEFT($C$5,2)&amp;"输出",标准坦克设计!$B$23:$U$23,0)))*(VLOOKUP($B144,INDIRECT($B$5&amp;"生成成长"),3))*(VLOOKUP($B$5,标准坦克设计!$B$14:$K$20,9)/30))</f>
        <v>9.0652418035738567</v>
      </c>
      <c r="CG144" s="173">
        <f ca="1">(VLOOKUP(CG$72,INDIRECT($C$5&amp;"生成成长"),2))/((VLOOKUP($B144,INDIRECT($B$5&amp;"生成成长"),4))/(VLOOKUP(CG$72,INDIRECT($C$5&amp;"生成成长"),5))*(VLOOKUP($B$5,标准坦克设计!$B$24:$U$30,MATCH("对"&amp;LEFT($C$5,2)&amp;"输出",标准坦克设计!$B$23:$U$23,0)))*(VLOOKUP($B144,INDIRECT($B$5&amp;"生成成长"),3))*(VLOOKUP($B$5,标准坦克设计!$B$14:$K$20,9)/30))</f>
        <v>9.7315865203322751</v>
      </c>
      <c r="CH144" s="173">
        <f ca="1">(VLOOKUP(CH$72,INDIRECT($C$5&amp;"生成成长"),2))/((VLOOKUP($B144,INDIRECT($B$5&amp;"生成成长"),4))/(VLOOKUP(CH$72,INDIRECT($C$5&amp;"生成成长"),5))*(VLOOKUP($B$5,标准坦克设计!$B$24:$U$30,MATCH("对"&amp;LEFT($C$5,2)&amp;"输出",标准坦克设计!$B$23:$U$23,0)))*(VLOOKUP($B144,INDIRECT($B$5&amp;"生成成长"),3))*(VLOOKUP($B$5,标准坦克设计!$B$14:$K$20,9)/30))</f>
        <v>10.421560482365813</v>
      </c>
      <c r="CI144" s="173">
        <f ca="1">(VLOOKUP(CI$72,INDIRECT($C$5&amp;"生成成长"),2))/((VLOOKUP($B144,INDIRECT($B$5&amp;"生成成长"),4))/(VLOOKUP(CI$72,INDIRECT($C$5&amp;"生成成长"),5))*(VLOOKUP($B$5,标准坦克设计!$B$24:$U$30,MATCH("对"&amp;LEFT($C$5,2)&amp;"输出",标准坦克设计!$B$23:$U$23,0)))*(VLOOKUP($B144,INDIRECT($B$5&amp;"生成成长"),3))*(VLOOKUP($B$5,标准坦克设计!$B$14:$K$20,9)/30))</f>
        <v>11.207823618895469</v>
      </c>
      <c r="CJ144" s="173">
        <f ca="1">(VLOOKUP(CJ$72,INDIRECT($C$5&amp;"生成成长"),2))/((VLOOKUP($B144,INDIRECT($B$5&amp;"生成成长"),4))/(VLOOKUP(CJ$72,INDIRECT($C$5&amp;"生成成长"),5))*(VLOOKUP($B$5,标准坦克设计!$B$24:$U$30,MATCH("对"&amp;LEFT($C$5,2)&amp;"输出",标准坦克设计!$B$23:$U$23,0)))*(VLOOKUP($B144,INDIRECT($B$5&amp;"生成成长"),3))*(VLOOKUP($B$5,标准坦克设计!$B$14:$K$20,9)/30))</f>
        <v>12.022678142208022</v>
      </c>
      <c r="CK144" s="173">
        <f ca="1">(VLOOKUP(CK$72,INDIRECT($C$5&amp;"生成成长"),2))/((VLOOKUP($B144,INDIRECT($B$5&amp;"生成成长"),4))/(VLOOKUP(CK$72,INDIRECT($C$5&amp;"生成成长"),5))*(VLOOKUP($B$5,标准坦克设计!$B$24:$U$30,MATCH("对"&amp;LEFT($C$5,2)&amp;"输出",标准坦克设计!$B$23:$U$23,0)))*(VLOOKUP($B144,INDIRECT($B$5&amp;"生成成长"),3))*(VLOOKUP($B$5,标准坦克设计!$B$14:$K$20,9)/30))</f>
        <v>12.866124052303473</v>
      </c>
      <c r="CL144" s="173">
        <f ca="1">(VLOOKUP(CL$72,INDIRECT($C$5&amp;"生成成长"),2))/((VLOOKUP($B144,INDIRECT($B$5&amp;"生成成长"),4))/(VLOOKUP(CL$72,INDIRECT($C$5&amp;"生成成长"),5))*(VLOOKUP($B$5,标准坦克设计!$B$24:$U$30,MATCH("对"&amp;LEFT($C$5,2)&amp;"输出",标准坦克设计!$B$23:$U$23,0)))*(VLOOKUP($B144,INDIRECT($B$5&amp;"生成成长"),3))*(VLOOKUP($B$5,标准坦克设计!$B$14:$K$20,9)/30))</f>
        <v>13.738161349181818</v>
      </c>
      <c r="CM144" s="173">
        <f ca="1">(VLOOKUP(CM$72,INDIRECT($C$5&amp;"生成成长"),2))/((VLOOKUP($B144,INDIRECT($B$5&amp;"生成成长"),4))/(VLOOKUP(CM$72,INDIRECT($C$5&amp;"生成成长"),5))*(VLOOKUP($B$5,标准坦克设计!$B$24:$U$30,MATCH("对"&amp;LEFT($C$5,2)&amp;"输出",标准坦克设计!$B$23:$U$23,0)))*(VLOOKUP($B144,INDIRECT($B$5&amp;"生成成长"),3))*(VLOOKUP($B$5,标准坦克设计!$B$14:$K$20,9)/30))</f>
        <v>14.638790032843056</v>
      </c>
      <c r="CN144" s="173">
        <f ca="1">(VLOOKUP(CN$72,INDIRECT($C$5&amp;"生成成长"),2))/((VLOOKUP($B144,INDIRECT($B$5&amp;"生成成长"),4))/(VLOOKUP(CN$72,INDIRECT($C$5&amp;"生成成长"),5))*(VLOOKUP($B$5,标准坦克设计!$B$24:$U$30,MATCH("对"&amp;LEFT($C$5,2)&amp;"输出",标准坦克设计!$B$23:$U$23,0)))*(VLOOKUP($B144,INDIRECT($B$5&amp;"生成成长"),3))*(VLOOKUP($B$5,标准坦克设计!$B$14:$K$20,9)/30))</f>
        <v>15.5680101032872</v>
      </c>
      <c r="CO144" s="173">
        <f ca="1">(VLOOKUP(CO$72,INDIRECT($C$5&amp;"生成成长"),2))/((VLOOKUP($B144,INDIRECT($B$5&amp;"生成成长"),4))/(VLOOKUP(CO$72,INDIRECT($C$5&amp;"生成成长"),5))*(VLOOKUP($B$5,标准坦克设计!$B$24:$U$30,MATCH("对"&amp;LEFT($C$5,2)&amp;"输出",标准坦克设计!$B$23:$U$23,0)))*(VLOOKUP($B144,INDIRECT($B$5&amp;"生成成长"),3))*(VLOOKUP($B$5,标准坦克设计!$B$14:$K$20,9)/30))</f>
        <v>6.9764165212531477</v>
      </c>
      <c r="CP144" s="173">
        <f ca="1">(VLOOKUP(CP$72,INDIRECT($C$5&amp;"生成成长"),2))/((VLOOKUP($B144,INDIRECT($B$5&amp;"生成成长"),4))/(VLOOKUP(CP$72,INDIRECT($C$5&amp;"生成成长"),5))*(VLOOKUP($B$5,标准坦克设计!$B$24:$U$30,MATCH("对"&amp;LEFT($C$5,2)&amp;"输出",标准坦克设计!$B$23:$U$23,0)))*(VLOOKUP($B144,INDIRECT($B$5&amp;"生成成长"),3))*(VLOOKUP($B$5,标准坦克设计!$B$14:$K$20,9)/30))</f>
        <v>7.6223219408485843</v>
      </c>
      <c r="CQ144" s="173">
        <f ca="1">(VLOOKUP(CQ$72,INDIRECT($C$5&amp;"生成成长"),2))/((VLOOKUP($B144,INDIRECT($B$5&amp;"生成成长"),4))/(VLOOKUP(CQ$72,INDIRECT($C$5&amp;"生成成长"),5))*(VLOOKUP($B$5,标准坦克设计!$B$24:$U$30,MATCH("对"&amp;LEFT($C$5,2)&amp;"输出",标准坦克设计!$B$23:$U$23,0)))*(VLOOKUP($B144,INDIRECT($B$5&amp;"生成成长"),3))*(VLOOKUP($B$5,标准坦克设计!$B$14:$K$20,9)/30))</f>
        <v>8.2968187472269168</v>
      </c>
      <c r="CR144" s="173">
        <f ca="1">(VLOOKUP(CR$72,INDIRECT($C$5&amp;"生成成长"),2))/((VLOOKUP($B144,INDIRECT($B$5&amp;"生成成长"),4))/(VLOOKUP(CR$72,INDIRECT($C$5&amp;"生成成长"),5))*(VLOOKUP($B$5,标准坦克设计!$B$24:$U$30,MATCH("对"&amp;LEFT($C$5,2)&amp;"输出",标准坦克设计!$B$23:$U$23,0)))*(VLOOKUP($B144,INDIRECT($B$5&amp;"生成成长"),3))*(VLOOKUP($B$5,标准坦克设计!$B$14:$K$20,9)/30))</f>
        <v>8.9999069403881471</v>
      </c>
      <c r="CS144" s="173">
        <f ca="1">(VLOOKUP(CS$72,INDIRECT($C$5&amp;"生成成长"),2))/((VLOOKUP($B144,INDIRECT($B$5&amp;"生成成长"),4))/(VLOOKUP(CS$72,INDIRECT($C$5&amp;"生成成长"),5))*(VLOOKUP($B$5,标准坦克设计!$B$24:$U$30,MATCH("对"&amp;LEFT($C$5,2)&amp;"输出",标准坦克设计!$B$23:$U$23,0)))*(VLOOKUP($B144,INDIRECT($B$5&amp;"生成成长"),3))*(VLOOKUP($B$5,标准坦克设计!$B$14:$K$20,9)/30))</f>
        <v>9.7315865203322751</v>
      </c>
      <c r="CT144" s="173">
        <f ca="1">(VLOOKUP(CT$72,INDIRECT($C$5&amp;"生成成长"),2))/((VLOOKUP($B144,INDIRECT($B$5&amp;"生成成长"),4))/(VLOOKUP(CT$72,INDIRECT($C$5&amp;"生成成长"),5))*(VLOOKUP($B$5,标准坦克设计!$B$24:$U$30,MATCH("对"&amp;LEFT($C$5,2)&amp;"输出",标准坦克设计!$B$23:$U$23,0)))*(VLOOKUP($B144,INDIRECT($B$5&amp;"生成成长"),3))*(VLOOKUP($B$5,标准坦克设计!$B$14:$K$20,9)/30))</f>
        <v>10.491857487059296</v>
      </c>
      <c r="CU144" s="173">
        <f ca="1">(VLOOKUP(CU$72,INDIRECT($C$5&amp;"生成成长"),2))/((VLOOKUP($B144,INDIRECT($B$5&amp;"生成成长"),4))/(VLOOKUP(CU$72,INDIRECT($C$5&amp;"生成成长"),5))*(VLOOKUP($B$5,标准坦克设计!$B$24:$U$30,MATCH("对"&amp;LEFT($C$5,2)&amp;"输出",标准坦克设计!$B$23:$U$23,0)))*(VLOOKUP($B144,INDIRECT($B$5&amp;"生成成长"),3))*(VLOOKUP($B$5,标准坦克设计!$B$14:$K$20,9)/30))</f>
        <v>11.280719840569217</v>
      </c>
      <c r="CV144" s="173">
        <f ca="1">(VLOOKUP(CV$72,INDIRECT($C$5&amp;"生成成长"),2))/((VLOOKUP($B144,INDIRECT($B$5&amp;"生成成长"),4))/(VLOOKUP(CV$72,INDIRECT($C$5&amp;"生成成长"),5))*(VLOOKUP($B$5,标准坦克设计!$B$24:$U$30,MATCH("对"&amp;LEFT($C$5,2)&amp;"输出",标准坦克设计!$B$23:$U$23,0)))*(VLOOKUP($B144,INDIRECT($B$5&amp;"生成成长"),3))*(VLOOKUP($B$5,标准坦克设计!$B$14:$K$20,9)/30))</f>
        <v>12.098173580862035</v>
      </c>
      <c r="CW144" s="173">
        <f ca="1">(VLOOKUP(CW$72,INDIRECT($C$5&amp;"生成成长"),2))/((VLOOKUP($B144,INDIRECT($B$5&amp;"生成成长"),4))/(VLOOKUP(CW$72,INDIRECT($C$5&amp;"生成成长"),5))*(VLOOKUP($B$5,标准坦克设计!$B$24:$U$30,MATCH("对"&amp;LEFT($C$5,2)&amp;"输出",标准坦克设计!$B$23:$U$23,0)))*(VLOOKUP($B144,INDIRECT($B$5&amp;"生成成长"),3))*(VLOOKUP($B$5,标准坦克设计!$B$14:$K$20,9)/30))</f>
        <v>12.944218707937749</v>
      </c>
      <c r="CX144" s="173">
        <f ca="1">(VLOOKUP(CX$72,INDIRECT($C$5&amp;"生成成长"),2))/((VLOOKUP($B144,INDIRECT($B$5&amp;"生成成长"),4))/(VLOOKUP(CX$72,INDIRECT($C$5&amp;"生成成长"),5))*(VLOOKUP($B$5,标准坦克设计!$B$24:$U$30,MATCH("对"&amp;LEFT($C$5,2)&amp;"输出",标准坦克设计!$B$23:$U$23,0)))*(VLOOKUP($B144,INDIRECT($B$5&amp;"生成成长"),3))*(VLOOKUP($B$5,标准坦克设计!$B$14:$K$20,9)/30))</f>
        <v>13.818855221796358</v>
      </c>
      <c r="CY144" s="173">
        <f ca="1">(VLOOKUP(CY$72,INDIRECT($C$5&amp;"生成成长"),2))/((VLOOKUP($B144,INDIRECT($B$5&amp;"生成成长"),4))/(VLOOKUP(CY$72,INDIRECT($C$5&amp;"生成成长"),5))*(VLOOKUP($B$5,标准坦克设计!$B$24:$U$30,MATCH("对"&amp;LEFT($C$5,2)&amp;"输出",标准坦克设计!$B$23:$U$23,0)))*(VLOOKUP($B144,INDIRECT($B$5&amp;"生成成长"),3))*(VLOOKUP($B$5,标准坦克设计!$B$14:$K$20,9)/30))</f>
        <v>14.722083122437864</v>
      </c>
      <c r="CZ144" s="173">
        <f ca="1">(VLOOKUP(CZ$72,INDIRECT($C$5&amp;"生成成长"),2))/((VLOOKUP($B144,INDIRECT($B$5&amp;"生成成长"),4))/(VLOOKUP(CZ$72,INDIRECT($C$5&amp;"生成成长"),5))*(VLOOKUP($B$5,标准坦克设计!$B$24:$U$30,MATCH("对"&amp;LEFT($C$5,2)&amp;"输出",标准坦克设计!$B$23:$U$23,0)))*(VLOOKUP($B144,INDIRECT($B$5&amp;"生成成长"),3))*(VLOOKUP($B$5,标准坦克设计!$B$14:$K$20,9)/30))</f>
        <v>15.653902409862267</v>
      </c>
      <c r="DA144" s="173">
        <f ca="1">(VLOOKUP(DA$72,INDIRECT($C$5&amp;"生成成长"),2))/((VLOOKUP($B144,INDIRECT($B$5&amp;"生成成长"),4))/(VLOOKUP(DA$72,INDIRECT($C$5&amp;"生成成长"),5))*(VLOOKUP($B$5,标准坦克设计!$B$24:$U$30,MATCH("对"&amp;LEFT($C$5,2)&amp;"输出",标准坦克设计!$B$23:$U$23,0)))*(VLOOKUP($B144,INDIRECT($B$5&amp;"生成成长"),3))*(VLOOKUP($B$5,标准坦克设计!$B$14:$K$20,9)/30))</f>
        <v>16.614313084069565</v>
      </c>
      <c r="DB144" s="173">
        <f ca="1">(VLOOKUP(DB$72,INDIRECT($C$5&amp;"生成成长"),2))/((VLOOKUP($B144,INDIRECT($B$5&amp;"生成成长"),4))/(VLOOKUP(DB$72,INDIRECT($C$5&amp;"生成成长"),5))*(VLOOKUP($B$5,标准坦克设计!$B$24:$U$30,MATCH("对"&amp;LEFT($C$5,2)&amp;"输出",标准坦克设计!$B$23:$U$23,0)))*(VLOOKUP($B144,INDIRECT($B$5&amp;"生成成长"),3))*(VLOOKUP($B$5,标准坦克设计!$B$14:$K$20,9)/30))</f>
        <v>17.603315145059764</v>
      </c>
      <c r="DC144" s="173">
        <f ca="1">(VLOOKUP(DC$72,INDIRECT($C$5&amp;"生成成长"),2))/((VLOOKUP($B144,INDIRECT($B$5&amp;"生成成长"),4))/(VLOOKUP(DC$72,INDIRECT($C$5&amp;"生成成长"),5))*(VLOOKUP($B$5,标准坦克设计!$B$24:$U$30,MATCH("对"&amp;LEFT($C$5,2)&amp;"输出",标准坦克设计!$B$23:$U$23,0)))*(VLOOKUP($B144,INDIRECT($B$5&amp;"生成成长"),3))*(VLOOKUP($B$5,标准坦克设计!$B$14:$K$20,9)/30))</f>
        <v>18.714834842801462</v>
      </c>
      <c r="DD144" s="173">
        <f ca="1">(VLOOKUP(DD$72,INDIRECT($C$5&amp;"生成成长"),2))/((VLOOKUP($B144,INDIRECT($B$5&amp;"生成成长"),4))/(VLOOKUP(DD$72,INDIRECT($C$5&amp;"生成成长"),5))*(VLOOKUP($B$5,标准坦克设计!$B$24:$U$30,MATCH("对"&amp;LEFT($C$5,2)&amp;"输出",标准坦克设计!$B$23:$U$23,0)))*(VLOOKUP($B144,INDIRECT($B$5&amp;"生成成长"),3))*(VLOOKUP($B$5,标准坦克设计!$B$14:$K$20,9)/30))</f>
        <v>19.860380653739334</v>
      </c>
      <c r="DE144" s="173">
        <f ca="1">(VLOOKUP(DE$72,INDIRECT($C$5&amp;"生成成长"),2))/((VLOOKUP($B144,INDIRECT($B$5&amp;"生成成长"),4))/(VLOOKUP(DE$72,INDIRECT($C$5&amp;"生成成长"),5))*(VLOOKUP($B$5,标准坦克设计!$B$24:$U$30,MATCH("对"&amp;LEFT($C$5,2)&amp;"输出",标准坦克设计!$B$23:$U$23,0)))*(VLOOKUP($B144,INDIRECT($B$5&amp;"生成成长"),3))*(VLOOKUP($B$5,标准坦克设计!$B$14:$K$20,9)/30))</f>
        <v>21.039952577873382</v>
      </c>
      <c r="DF144" s="173">
        <f ca="1">(VLOOKUP(DF$72,INDIRECT($C$5&amp;"生成成长"),2))/((VLOOKUP($B144,INDIRECT($B$5&amp;"生成成长"),4))/(VLOOKUP(DF$72,INDIRECT($C$5&amp;"生成成长"),5))*(VLOOKUP($B$5,标准坦克设计!$B$24:$U$30,MATCH("对"&amp;LEFT($C$5,2)&amp;"输出",标准坦克设计!$B$23:$U$23,0)))*(VLOOKUP($B144,INDIRECT($B$5&amp;"生成成长"),3))*(VLOOKUP($B$5,标准坦克设计!$B$14:$K$20,9)/30))</f>
        <v>22.253550615203608</v>
      </c>
      <c r="DG144" s="173">
        <f ca="1">(VLOOKUP(DG$72,INDIRECT($C$5&amp;"生成成长"),2))/((VLOOKUP($B144,INDIRECT($B$5&amp;"生成成长"),4))/(VLOOKUP(DG$72,INDIRECT($C$5&amp;"生成成长"),5))*(VLOOKUP($B$5,标准坦克设计!$B$24:$U$30,MATCH("对"&amp;LEFT($C$5,2)&amp;"输出",标准坦克设计!$B$23:$U$23,0)))*(VLOOKUP($B144,INDIRECT($B$5&amp;"生成成长"),3))*(VLOOKUP($B$5,标准坦克设计!$B$14:$K$20,9)/30))</f>
        <v>23.501174765730003</v>
      </c>
      <c r="DH144" s="173">
        <f ca="1">(VLOOKUP(DH$72,INDIRECT($C$5&amp;"生成成长"),2))/((VLOOKUP($B144,INDIRECT($B$5&amp;"生成成长"),4))/(VLOOKUP(DH$72,INDIRECT($C$5&amp;"生成成长"),5))*(VLOOKUP($B$5,标准坦克设计!$B$24:$U$30,MATCH("对"&amp;LEFT($C$5,2)&amp;"输出",标准坦克设计!$B$23:$U$23,0)))*(VLOOKUP($B144,INDIRECT($B$5&amp;"生成成长"),3))*(VLOOKUP($B$5,标准坦克设计!$B$14:$K$20,9)/30))</f>
        <v>24.782825029452578</v>
      </c>
      <c r="DI144" s="173">
        <f ca="1">(VLOOKUP(DI$72,INDIRECT($C$5&amp;"生成成长"),2))/((VLOOKUP($B144,INDIRECT($B$5&amp;"生成成长"),4))/(VLOOKUP(DI$72,INDIRECT($C$5&amp;"生成成长"),5))*(VLOOKUP($B$5,标准坦克设计!$B$24:$U$30,MATCH("对"&amp;LEFT($C$5,2)&amp;"输出",标准坦克设计!$B$23:$U$23,0)))*(VLOOKUP($B144,INDIRECT($B$5&amp;"生成成长"),3))*(VLOOKUP($B$5,标准坦克设计!$B$14:$K$20,9)/30))</f>
        <v>26.098501406371316</v>
      </c>
      <c r="DJ144" s="173">
        <f ca="1">(VLOOKUP(DJ$72,INDIRECT($C$5&amp;"生成成长"),2))/((VLOOKUP($B144,INDIRECT($B$5&amp;"生成成长"),4))/(VLOOKUP(DJ$72,INDIRECT($C$5&amp;"生成成长"),5))*(VLOOKUP($B$5,标准坦克设计!$B$24:$U$30,MATCH("对"&amp;LEFT($C$5,2)&amp;"输出",标准坦克设计!$B$23:$U$23,0)))*(VLOOKUP($B144,INDIRECT($B$5&amp;"生成成长"),3))*(VLOOKUP($B$5,标准坦克设计!$B$14:$K$20,9)/30))</f>
        <v>2.6229643717648239</v>
      </c>
      <c r="DK144" s="173">
        <f ca="1">(VLOOKUP(DK$72,INDIRECT($C$5&amp;"生成成长"),2))/((VLOOKUP($B144,INDIRECT($B$5&amp;"生成成长"),4))/(VLOOKUP(DK$72,INDIRECT($C$5&amp;"生成成长"),5))*(VLOOKUP($B$5,标准坦克设计!$B$24:$U$30,MATCH("对"&amp;LEFT($C$5,2)&amp;"输出",标准坦克设计!$B$23:$U$23,0)))*(VLOOKUP($B144,INDIRECT($B$5&amp;"生成成长"),3))*(VLOOKUP($B$5,标准坦克设计!$B$14:$K$20,9)/30))</f>
        <v>2.9494023952406234</v>
      </c>
      <c r="DL144" s="173">
        <f ca="1">(VLOOKUP(DL$72,INDIRECT($C$5&amp;"生成成长"),2))/((VLOOKUP($B144,INDIRECT($B$5&amp;"生成成长"),4))/(VLOOKUP(DL$72,INDIRECT($C$5&amp;"生成成长"),5))*(VLOOKUP($B$5,标准坦克设计!$B$24:$U$30,MATCH("对"&amp;LEFT($C$5,2)&amp;"输出",标准坦克设计!$B$23:$U$23,0)))*(VLOOKUP($B144,INDIRECT($B$5&amp;"生成成长"),3))*(VLOOKUP($B$5,标准坦克设计!$B$14:$K$20,9)/30))</f>
        <v>3.2949801073892697</v>
      </c>
      <c r="DM144" s="173">
        <f ca="1">(VLOOKUP(DM$72,INDIRECT($C$5&amp;"生成成长"),2))/((VLOOKUP($B144,INDIRECT($B$5&amp;"生成成长"),4))/(VLOOKUP(DM$72,INDIRECT($C$5&amp;"生成成长"),5))*(VLOOKUP($B$5,标准坦克设计!$B$24:$U$30,MATCH("对"&amp;LEFT($C$5,2)&amp;"输出",标准坦克设计!$B$23:$U$23,0)))*(VLOOKUP($B144,INDIRECT($B$5&amp;"生成成长"),3))*(VLOOKUP($B$5,标准坦克设计!$B$14:$K$20,9)/30))</f>
        <v>3.6596975082107641</v>
      </c>
      <c r="DN144" s="173">
        <f ca="1">(VLOOKUP(DN$72,INDIRECT($C$5&amp;"生成成长"),2))/((VLOOKUP($B144,INDIRECT($B$5&amp;"生成成长"),4))/(VLOOKUP(DN$72,INDIRECT($C$5&amp;"生成成长"),5))*(VLOOKUP($B$5,标准坦克设计!$B$24:$U$30,MATCH("对"&amp;LEFT($C$5,2)&amp;"输出",标准坦克设计!$B$23:$U$23,0)))*(VLOOKUP($B144,INDIRECT($B$5&amp;"生成成长"),3))*(VLOOKUP($B$5,标准坦克设计!$B$14:$K$20,9)/30))</f>
        <v>4.0435545977051079</v>
      </c>
      <c r="DO144" s="173">
        <f ca="1">(VLOOKUP(DO$72,INDIRECT($C$5&amp;"生成成长"),2))/((VLOOKUP($B144,INDIRECT($B$5&amp;"生成成长"),4))/(VLOOKUP(DO$72,INDIRECT($C$5&amp;"生成成长"),5))*(VLOOKUP($B$5,标准坦克设计!$B$24:$U$30,MATCH("对"&amp;LEFT($C$5,2)&amp;"输出",标准坦克设计!$B$23:$U$23,0)))*(VLOOKUP($B144,INDIRECT($B$5&amp;"生成成长"),3))*(VLOOKUP($B$5,标准坦克设计!$B$14:$K$20,9)/30))</f>
        <v>4.4465513758722999</v>
      </c>
      <c r="DP144" s="173">
        <f ca="1">(VLOOKUP(DP$72,INDIRECT($C$5&amp;"生成成长"),2))/((VLOOKUP($B144,INDIRECT($B$5&amp;"生成成长"),4))/(VLOOKUP(DP$72,INDIRECT($C$5&amp;"生成成长"),5))*(VLOOKUP($B$5,标准坦克设计!$B$24:$U$30,MATCH("对"&amp;LEFT($C$5,2)&amp;"输出",标准坦克设计!$B$23:$U$23,0)))*(VLOOKUP($B144,INDIRECT($B$5&amp;"生成成长"),3))*(VLOOKUP($B$5,标准坦克设计!$B$14:$K$20,9)/30))</f>
        <v>4.8686878427123395</v>
      </c>
      <c r="DQ144" s="173">
        <f ca="1">(VLOOKUP(DQ$72,INDIRECT($C$5&amp;"生成成长"),2))/((VLOOKUP($B144,INDIRECT($B$5&amp;"生成成长"),4))/(VLOOKUP(DQ$72,INDIRECT($C$5&amp;"生成成长"),5))*(VLOOKUP($B$5,标准坦克设计!$B$24:$U$30,MATCH("对"&amp;LEFT($C$5,2)&amp;"输出",标准坦克设计!$B$23:$U$23,0)))*(VLOOKUP($B144,INDIRECT($B$5&amp;"生成成长"),3))*(VLOOKUP($B$5,标准坦克设计!$B$14:$K$20,9)/30))</f>
        <v>5.3099639982252267</v>
      </c>
      <c r="DR144" s="173">
        <f ca="1">(VLOOKUP(DR$72,INDIRECT($C$5&amp;"生成成长"),2))/((VLOOKUP($B144,INDIRECT($B$5&amp;"生成成长"),4))/(VLOOKUP(DR$72,INDIRECT($C$5&amp;"生成成长"),5))*(VLOOKUP($B$5,标准坦克设计!$B$24:$U$30,MATCH("对"&amp;LEFT($C$5,2)&amp;"输出",标准坦克设计!$B$23:$U$23,0)))*(VLOOKUP($B144,INDIRECT($B$5&amp;"生成成长"),3))*(VLOOKUP($B$5,标准坦克设计!$B$14:$K$20,9)/30))</f>
        <v>5.7703798424109625</v>
      </c>
      <c r="DS144" s="173">
        <f ca="1">(VLOOKUP(DS$72,INDIRECT($C$5&amp;"生成成长"),2))/((VLOOKUP($B144,INDIRECT($B$5&amp;"生成成长"),4))/(VLOOKUP(DS$72,INDIRECT($C$5&amp;"生成成长"),5))*(VLOOKUP($B$5,标准坦克设计!$B$24:$U$30,MATCH("对"&amp;LEFT($C$5,2)&amp;"输出",标准坦克设计!$B$23:$U$23,0)))*(VLOOKUP($B144,INDIRECT($B$5&amp;"生成成长"),3))*(VLOOKUP($B$5,标准坦克设计!$B$14:$K$20,9)/30))</f>
        <v>6.2499353752695486</v>
      </c>
      <c r="DT144" s="173">
        <f ca="1">(VLOOKUP(DT$72,INDIRECT($C$5&amp;"生成成长"),2))/((VLOOKUP($B144,INDIRECT($B$5&amp;"生成成长"),4))/(VLOOKUP(DT$72,INDIRECT($C$5&amp;"生成成长"),5))*(VLOOKUP($B$5,标准坦克设计!$B$24:$U$30,MATCH("对"&amp;LEFT($C$5,2)&amp;"输出",标准坦克设计!$B$23:$U$23,0)))*(VLOOKUP($B144,INDIRECT($B$5&amp;"生成成长"),3))*(VLOOKUP($B$5,标准坦克设计!$B$14:$K$20,9)/30))</f>
        <v>6.8620509741215603</v>
      </c>
      <c r="DU144" s="173">
        <f ca="1">(VLOOKUP(DU$72,INDIRECT($C$5&amp;"生成成长"),2))/((VLOOKUP($B144,INDIRECT($B$5&amp;"生成成长"),4))/(VLOOKUP(DU$72,INDIRECT($C$5&amp;"生成成长"),5))*(VLOOKUP($B$5,标准坦克设计!$B$24:$U$30,MATCH("对"&amp;LEFT($C$5,2)&amp;"输出",标准坦克设计!$B$23:$U$23,0)))*(VLOOKUP($B144,INDIRECT($B$5&amp;"生成成长"),3))*(VLOOKUP($B$5,标准坦克设计!$B$14:$K$20,9)/30))</f>
        <v>7.5027579597564698</v>
      </c>
      <c r="DV144" s="173">
        <f ca="1">(VLOOKUP(DV$72,INDIRECT($C$5&amp;"生成成长"),2))/((VLOOKUP($B144,INDIRECT($B$5&amp;"生成成长"),4))/(VLOOKUP(DV$72,INDIRECT($C$5&amp;"生成成长"),5))*(VLOOKUP($B$5,标准坦克设计!$B$24:$U$30,MATCH("对"&amp;LEFT($C$5,2)&amp;"输出",标准坦克设计!$B$23:$U$23,0)))*(VLOOKUP($B144,INDIRECT($B$5&amp;"生成成长"),3))*(VLOOKUP($B$5,标准坦克设计!$B$14:$K$20,9)/30))</f>
        <v>8.172056332174277</v>
      </c>
      <c r="DW144" s="173">
        <f ca="1">(VLOOKUP(DW$72,INDIRECT($C$5&amp;"生成成长"),2))/((VLOOKUP($B144,INDIRECT($B$5&amp;"生成成长"),4))/(VLOOKUP(DW$72,INDIRECT($C$5&amp;"生成成长"),5))*(VLOOKUP($B$5,标准坦克设计!$B$24:$U$30,MATCH("对"&amp;LEFT($C$5,2)&amp;"输出",标准坦克设计!$B$23:$U$23,0)))*(VLOOKUP($B144,INDIRECT($B$5&amp;"生成成长"),3))*(VLOOKUP($B$5,标准坦克设计!$B$14:$K$20,9)/30))</f>
        <v>8.869946091374981</v>
      </c>
      <c r="DX144" s="173">
        <f ca="1">(VLOOKUP(DX$72,INDIRECT($C$5&amp;"生成成长"),2))/((VLOOKUP($B144,INDIRECT($B$5&amp;"生成成长"),4))/(VLOOKUP(DX$72,INDIRECT($C$5&amp;"生成成长"),5))*(VLOOKUP($B$5,标准坦克设计!$B$24:$U$30,MATCH("对"&amp;LEFT($C$5,2)&amp;"输出",标准坦克设计!$B$23:$U$23,0)))*(VLOOKUP($B144,INDIRECT($B$5&amp;"生成成长"),3))*(VLOOKUP($B$5,标准坦克设计!$B$14:$K$20,9)/30))</f>
        <v>9.5964272373585811</v>
      </c>
      <c r="DY144" s="173">
        <f ca="1">(VLOOKUP(DY$72,INDIRECT($C$5&amp;"生成成长"),2))/((VLOOKUP($B144,INDIRECT($B$5&amp;"生成成长"),4))/(VLOOKUP(DY$72,INDIRECT($C$5&amp;"生成成长"),5))*(VLOOKUP($B$5,标准坦克设计!$B$24:$U$30,MATCH("对"&amp;LEFT($C$5,2)&amp;"输出",标准坦克设计!$B$23:$U$23,0)))*(VLOOKUP($B144,INDIRECT($B$5&amp;"生成成长"),3))*(VLOOKUP($B$5,标准坦克设计!$B$14:$K$20,9)/30))</f>
        <v>4.3100924844084751</v>
      </c>
      <c r="DZ144" s="173">
        <f ca="1">(VLOOKUP(DZ$72,INDIRECT($C$5&amp;"生成成长"),2))/((VLOOKUP($B144,INDIRECT($B$5&amp;"生成成长"),4))/(VLOOKUP(DZ$72,INDIRECT($C$5&amp;"生成成长"),5))*(VLOOKUP($B$5,标准坦克设计!$B$24:$U$30,MATCH("对"&amp;LEFT($C$5,2)&amp;"输出",标准坦克设计!$B$23:$U$23,0)))*(VLOOKUP($B144,INDIRECT($B$5&amp;"生成成长"),3))*(VLOOKUP($B$5,标准坦克设计!$B$14:$K$20,9)/30))</f>
        <v>4.7732256918008495</v>
      </c>
      <c r="EA144" s="173">
        <f ca="1">(VLOOKUP(EA$72,INDIRECT($C$5&amp;"生成成长"),2))/((VLOOKUP($B144,INDIRECT($B$5&amp;"生成成长"),4))/(VLOOKUP(EA$72,INDIRECT($C$5&amp;"生成成长"),5))*(VLOOKUP($B$5,标准坦克设计!$B$24:$U$30,MATCH("对"&amp;LEFT($C$5,2)&amp;"输出",标准坦克设计!$B$23:$U$23,0)))*(VLOOKUP($B144,INDIRECT($B$5&amp;"生成成长"),3))*(VLOOKUP($B$5,标准坦克设计!$B$14:$K$20,9)/30))</f>
        <v>5.2599881444683456</v>
      </c>
      <c r="EB144" s="173">
        <f ca="1">(VLOOKUP(EB$72,INDIRECT($C$5&amp;"生成成长"),2))/((VLOOKUP($B144,INDIRECT($B$5&amp;"生成成长"),4))/(VLOOKUP(EB$72,INDIRECT($C$5&amp;"生成成长"),5))*(VLOOKUP($B$5,标准坦克设计!$B$24:$U$30,MATCH("对"&amp;LEFT($C$5,2)&amp;"输出",标准坦克设计!$B$23:$U$23,0)))*(VLOOKUP($B144,INDIRECT($B$5&amp;"生成成长"),3))*(VLOOKUP($B$5,标准坦克设计!$B$14:$K$20,9)/30))</f>
        <v>5.7703798424109625</v>
      </c>
      <c r="EC144" s="173">
        <f ca="1">(VLOOKUP(EC$72,INDIRECT($C$5&amp;"生成成长"),2))/((VLOOKUP($B144,INDIRECT($B$5&amp;"生成成长"),4))/(VLOOKUP(EC$72,INDIRECT($C$5&amp;"生成成长"),5))*(VLOOKUP($B$5,标准坦克设计!$B$24:$U$30,MATCH("对"&amp;LEFT($C$5,2)&amp;"输出",标准坦克设计!$B$23:$U$23,0)))*(VLOOKUP($B144,INDIRECT($B$5&amp;"生成成长"),3))*(VLOOKUP($B$5,标准坦克设计!$B$14:$K$20,9)/30))</f>
        <v>6.304400785628701</v>
      </c>
      <c r="ED144" s="173">
        <f ca="1">(VLOOKUP(ED$72,INDIRECT($C$5&amp;"生成成长"),2))/((VLOOKUP($B144,INDIRECT($B$5&amp;"生成成长"),4))/(VLOOKUP(ED$72,INDIRECT($C$5&amp;"生成成长"),5))*(VLOOKUP($B$5,标准坦克设计!$B$24:$U$30,MATCH("对"&amp;LEFT($C$5,2)&amp;"输出",标准坦克设计!$B$23:$U$23,0)))*(VLOOKUP($B144,INDIRECT($B$5&amp;"生成成长"),3))*(VLOOKUP($B$5,标准坦克设计!$B$14:$K$20,9)/30))</f>
        <v>6.8620509741215603</v>
      </c>
      <c r="EE144" s="173">
        <f ca="1">(VLOOKUP(EE$72,INDIRECT($C$5&amp;"生成成长"),2))/((VLOOKUP($B144,INDIRECT($B$5&amp;"生成成长"),4))/(VLOOKUP(EE$72,INDIRECT($C$5&amp;"生成成长"),5))*(VLOOKUP($B$5,标准坦克设计!$B$24:$U$30,MATCH("对"&amp;LEFT($C$5,2)&amp;"输出",标准坦克设计!$B$23:$U$23,0)))*(VLOOKUP($B144,INDIRECT($B$5&amp;"生成成长"),3))*(VLOOKUP($B$5,标准坦克设计!$B$14:$K$20,9)/30))</f>
        <v>7.4433304078895404</v>
      </c>
      <c r="EF144" s="173">
        <f ca="1">(VLOOKUP(EF$72,INDIRECT($C$5&amp;"生成成长"),2))/((VLOOKUP($B144,INDIRECT($B$5&amp;"生成成长"),4))/(VLOOKUP(EF$72,INDIRECT($C$5&amp;"生成成长"),5))*(VLOOKUP($B$5,标准坦克设计!$B$24:$U$30,MATCH("对"&amp;LEFT($C$5,2)&amp;"输出",标准坦克设计!$B$23:$U$23,0)))*(VLOOKUP($B144,INDIRECT($B$5&amp;"生成成长"),3))*(VLOOKUP($B$5,标准坦克设计!$B$14:$K$20,9)/30))</f>
        <v>8.0482390869326412</v>
      </c>
      <c r="EG144" s="173">
        <f ca="1">(VLOOKUP(EG$72,INDIRECT($C$5&amp;"生成成长"),2))/((VLOOKUP($B144,INDIRECT($B$5&amp;"生成成长"),4))/(VLOOKUP(EG$72,INDIRECT($C$5&amp;"生成成长"),5))*(VLOOKUP($B$5,标准坦克设计!$B$24:$U$30,MATCH("对"&amp;LEFT($C$5,2)&amp;"输出",标准坦克设计!$B$23:$U$23,0)))*(VLOOKUP($B144,INDIRECT($B$5&amp;"生成成长"),3))*(VLOOKUP($B$5,标准坦克设计!$B$14:$K$20,9)/30))</f>
        <v>8.6767770112508664</v>
      </c>
      <c r="EH144" s="173">
        <f ca="1">(VLOOKUP(EH$72,INDIRECT($C$5&amp;"生成成长"),2))/((VLOOKUP($B144,INDIRECT($B$5&amp;"生成成长"),4))/(VLOOKUP(EH$72,INDIRECT($C$5&amp;"生成成长"),5))*(VLOOKUP($B$5,标准坦克设计!$B$24:$U$30,MATCH("对"&amp;LEFT($C$5,2)&amp;"输出",标准坦克设计!$B$23:$U$23,0)))*(VLOOKUP($B144,INDIRECT($B$5&amp;"生成成长"),3))*(VLOOKUP($B$5,标准坦克设计!$B$14:$K$20,9)/30))</f>
        <v>9.3289441808442088</v>
      </c>
      <c r="EI144" s="173">
        <f ca="1">(VLOOKUP(EI$72,INDIRECT($C$5&amp;"生成成长"),2))/((VLOOKUP($B144,INDIRECT($B$5&amp;"生成成长"),4))/(VLOOKUP(EI$72,INDIRECT($C$5&amp;"生成成长"),5))*(VLOOKUP($B$5,标准坦克设计!$B$24:$U$30,MATCH("对"&amp;LEFT($C$5,2)&amp;"输出",标准坦克设计!$B$23:$U$23,0)))*(VLOOKUP($B144,INDIRECT($B$5&amp;"生成成长"),3))*(VLOOKUP($B$5,标准坦克设计!$B$14:$K$20,9)/30))</f>
        <v>10.004740595712676</v>
      </c>
      <c r="EJ144" s="173">
        <f ca="1">(VLOOKUP(EJ$72,INDIRECT($C$5&amp;"生成成长"),2))/((VLOOKUP($B144,INDIRECT($B$5&amp;"生成成长"),4))/(VLOOKUP(EJ$72,INDIRECT($C$5&amp;"生成成长"),5))*(VLOOKUP($B$5,标准坦克设计!$B$24:$U$30,MATCH("对"&amp;LEFT($C$5,2)&amp;"输出",标准坦克设计!$B$23:$U$23,0)))*(VLOOKUP($B144,INDIRECT($B$5&amp;"生成成长"),3))*(VLOOKUP($B$5,标准坦克设计!$B$14:$K$20,9)/30))</f>
        <v>10.70416625585626</v>
      </c>
      <c r="EK144" s="173">
        <f ca="1">(VLOOKUP(EK$72,INDIRECT($C$5&amp;"生成成长"),2))/((VLOOKUP($B144,INDIRECT($B$5&amp;"生成成长"),4))/(VLOOKUP(EK$72,INDIRECT($C$5&amp;"生成成长"),5))*(VLOOKUP($B$5,标准坦克设计!$B$24:$U$30,MATCH("对"&amp;LEFT($C$5,2)&amp;"输出",标准坦克设计!$B$23:$U$23,0)))*(VLOOKUP($B144,INDIRECT($B$5&amp;"生成成长"),3))*(VLOOKUP($B$5,标准坦克设计!$B$14:$K$20,9)/30))</f>
        <v>11.574667651791726</v>
      </c>
      <c r="EL144" s="173">
        <f ca="1">(VLOOKUP(EL$72,INDIRECT($C$5&amp;"生成成长"),2))/((VLOOKUP($B144,INDIRECT($B$5&amp;"生成成长"),4))/(VLOOKUP(EL$72,INDIRECT($C$5&amp;"生成成长"),5))*(VLOOKUP($B$5,标准坦克设计!$B$24:$U$30,MATCH("对"&amp;LEFT($C$5,2)&amp;"输出",标准坦克设计!$B$23:$U$23,0)))*(VLOOKUP($B144,INDIRECT($B$5&amp;"生成成长"),3))*(VLOOKUP($B$5,标准坦克设计!$B$14:$K$20,9)/30))</f>
        <v>12.479195160923361</v>
      </c>
      <c r="EM144" s="173">
        <f ca="1">(VLOOKUP(EM$72,INDIRECT($C$5&amp;"生成成长"),2))/((VLOOKUP($B144,INDIRECT($B$5&amp;"生成成长"),4))/(VLOOKUP(EM$72,INDIRECT($C$5&amp;"生成成长"),5))*(VLOOKUP($B$5,标准坦克设计!$B$24:$U$30,MATCH("对"&amp;LEFT($C$5,2)&amp;"输出",标准坦克设计!$B$23:$U$23,0)))*(VLOOKUP($B144,INDIRECT($B$5&amp;"生成成长"),3))*(VLOOKUP($B$5,标准坦克设计!$B$14:$K$20,9)/30))</f>
        <v>13.417748783251177</v>
      </c>
      <c r="EN144" s="173">
        <f ca="1">(VLOOKUP(EN$72,INDIRECT($C$5&amp;"生成成长"),2))/((VLOOKUP($B144,INDIRECT($B$5&amp;"生成成长"),4))/(VLOOKUP(EN$72,INDIRECT($C$5&amp;"生成成长"),5))*(VLOOKUP($B$5,标准坦克设计!$B$24:$U$30,MATCH("对"&amp;LEFT($C$5,2)&amp;"输出",标准坦克设计!$B$23:$U$23,0)))*(VLOOKUP($B144,INDIRECT($B$5&amp;"生成成长"),3))*(VLOOKUP($B$5,标准坦克设计!$B$14:$K$20,9)/30))</f>
        <v>14.39032851877516</v>
      </c>
      <c r="EO144" s="173">
        <f ca="1">(VLOOKUP(EO$72,INDIRECT($C$5&amp;"生成成长"),2))/((VLOOKUP($B144,INDIRECT($B$5&amp;"生成成长"),4))/(VLOOKUP(EO$72,INDIRECT($C$5&amp;"生成成长"),5))*(VLOOKUP($B$5,标准坦克设计!$B$24:$U$30,MATCH("对"&amp;LEFT($C$5,2)&amp;"输出",标准坦克设计!$B$23:$U$23,0)))*(VLOOKUP($B144,INDIRECT($B$5&amp;"生成成长"),3))*(VLOOKUP($B$5,标准坦克设计!$B$14:$K$20,9)/30))</f>
        <v>15.396934367495321</v>
      </c>
      <c r="EP144" s="173">
        <f ca="1">(VLOOKUP(EP$72,INDIRECT($C$5&amp;"生成成长"),2))/((VLOOKUP($B144,INDIRECT($B$5&amp;"生成成长"),4))/(VLOOKUP(EP$72,INDIRECT($C$5&amp;"生成成长"),5))*(VLOOKUP($B$5,标准坦克设计!$B$24:$U$30,MATCH("对"&amp;LEFT($C$5,2)&amp;"输出",标准坦克设计!$B$23:$U$23,0)))*(VLOOKUP($B144,INDIRECT($B$5&amp;"生成成长"),3))*(VLOOKUP($B$5,标准坦克设计!$B$14:$K$20,9)/30))</f>
        <v>16.437566329411659</v>
      </c>
      <c r="EQ144" s="173">
        <f ca="1">(VLOOKUP(EQ$72,INDIRECT($C$5&amp;"生成成长"),2))/((VLOOKUP($B144,INDIRECT($B$5&amp;"生成成长"),4))/(VLOOKUP(EQ$72,INDIRECT($C$5&amp;"生成成长"),5))*(VLOOKUP($B$5,标准坦克设计!$B$24:$U$30,MATCH("对"&amp;LEFT($C$5,2)&amp;"输出",标准坦克设计!$B$23:$U$23,0)))*(VLOOKUP($B144,INDIRECT($B$5&amp;"生成成长"),3))*(VLOOKUP($B$5,标准坦克设计!$B$14:$K$20,9)/30))</f>
        <v>7.2664655070052593</v>
      </c>
      <c r="ER144" s="173">
        <f ca="1">(VLOOKUP(ER$72,INDIRECT($C$5&amp;"生成成长"),2))/((VLOOKUP($B144,INDIRECT($B$5&amp;"生成成长"),4))/(VLOOKUP(ER$72,INDIRECT($C$5&amp;"生成成长"),5))*(VLOOKUP($B$5,标准坦克设计!$B$24:$U$30,MATCH("对"&amp;LEFT($C$5,2)&amp;"输出",标准坦克设计!$B$23:$U$23,0)))*(VLOOKUP($B144,INDIRECT($B$5&amp;"生成成长"),3))*(VLOOKUP($B$5,标准坦克设计!$B$14:$K$20,9)/30))</f>
        <v>7.9253670115020123</v>
      </c>
      <c r="ES144" s="173">
        <f ca="1">(VLOOKUP(ES$72,INDIRECT($C$5&amp;"生成成长"),2))/((VLOOKUP($B144,INDIRECT($B$5&amp;"生成成长"),4))/(VLOOKUP(ES$72,INDIRECT($C$5&amp;"生成成长"),5))*(VLOOKUP($B$5,标准坦克设计!$B$24:$U$30,MATCH("对"&amp;LEFT($C$5,2)&amp;"输出",标准坦克设计!$B$23:$U$23,0)))*(VLOOKUP($B144,INDIRECT($B$5&amp;"生成成长"),3))*(VLOOKUP($B$5,标准坦克设计!$B$14:$K$20,9)/30))</f>
        <v>8.6128599027816612</v>
      </c>
      <c r="ET144" s="173">
        <f ca="1">(VLOOKUP(ET$72,INDIRECT($C$5&amp;"生成成长"),2))/((VLOOKUP($B144,INDIRECT($B$5&amp;"生成成长"),4))/(VLOOKUP(ET$72,INDIRECT($C$5&amp;"生成成长"),5))*(VLOOKUP($B$5,标准坦克设计!$B$24:$U$30,MATCH("对"&amp;LEFT($C$5,2)&amp;"输出",标准坦克设计!$B$23:$U$23,0)))*(VLOOKUP($B144,INDIRECT($B$5&amp;"生成成长"),3))*(VLOOKUP($B$5,标准坦克设计!$B$14:$K$20,9)/30))</f>
        <v>9.3289441808442088</v>
      </c>
      <c r="EU144" s="173">
        <f ca="1">(VLOOKUP(EU$72,INDIRECT($C$5&amp;"生成成长"),2))/((VLOOKUP($B144,INDIRECT($B$5&amp;"生成成长"),4))/(VLOOKUP(EU$72,INDIRECT($C$5&amp;"生成成长"),5))*(VLOOKUP($B$5,标准坦克设计!$B$24:$U$30,MATCH("对"&amp;LEFT($C$5,2)&amp;"输出",标准坦克设计!$B$23:$U$23,0)))*(VLOOKUP($B144,INDIRECT($B$5&amp;"生成成长"),3))*(VLOOKUP($B$5,标准坦克设计!$B$14:$K$20,9)/30))</f>
        <v>10.073619845689652</v>
      </c>
      <c r="EV144" s="173">
        <f ca="1">(VLOOKUP(EV$72,INDIRECT($C$5&amp;"生成成长"),2))/((VLOOKUP($B144,INDIRECT($B$5&amp;"生成成长"),4))/(VLOOKUP(EV$72,INDIRECT($C$5&amp;"生成成长"),5))*(VLOOKUP($B$5,标准坦克设计!$B$24:$U$30,MATCH("对"&amp;LEFT($C$5,2)&amp;"输出",标准坦克设计!$B$23:$U$23,0)))*(VLOOKUP($B144,INDIRECT($B$5&amp;"生成成长"),3))*(VLOOKUP($B$5,标准坦克设计!$B$14:$K$20,9)/30))</f>
        <v>10.846886897317994</v>
      </c>
      <c r="EW144" s="173">
        <f ca="1">(VLOOKUP(EW$72,INDIRECT($C$5&amp;"生成成长"),2))/((VLOOKUP($B144,INDIRECT($B$5&amp;"生成成长"),4))/(VLOOKUP(EW$72,INDIRECT($C$5&amp;"生成成长"),5))*(VLOOKUP($B$5,标准坦克设计!$B$24:$U$30,MATCH("对"&amp;LEFT($C$5,2)&amp;"输出",标准坦克设计!$B$23:$U$23,0)))*(VLOOKUP($B144,INDIRECT($B$5&amp;"生成成长"),3))*(VLOOKUP($B$5,标准坦克设计!$B$14:$K$20,9)/30))</f>
        <v>11.648745335729227</v>
      </c>
      <c r="EX144" s="173">
        <f ca="1">(VLOOKUP(EX$72,INDIRECT($C$5&amp;"生成成长"),2))/((VLOOKUP($B144,INDIRECT($B$5&amp;"生成成长"),4))/(VLOOKUP(EX$72,INDIRECT($C$5&amp;"生成成长"),5))*(VLOOKUP($B$5,标准坦克设计!$B$24:$U$30,MATCH("对"&amp;LEFT($C$5,2)&amp;"输出",标准坦克设计!$B$23:$U$23,0)))*(VLOOKUP($B144,INDIRECT($B$5&amp;"生成成长"),3))*(VLOOKUP($B$5,标准坦克设计!$B$14:$K$20,9)/30))</f>
        <v>12.479195160923361</v>
      </c>
      <c r="EY144" s="173">
        <f ca="1">(VLOOKUP(EY$72,INDIRECT($C$5&amp;"生成成长"),2))/((VLOOKUP($B144,INDIRECT($B$5&amp;"生成成长"),4))/(VLOOKUP(EY$72,INDIRECT($C$5&amp;"生成成长"),5))*(VLOOKUP($B$5,标准坦克设计!$B$24:$U$30,MATCH("对"&amp;LEFT($C$5,2)&amp;"输出",标准坦克设计!$B$23:$U$23,0)))*(VLOOKUP($B144,INDIRECT($B$5&amp;"生成成长"),3))*(VLOOKUP($B$5,标准坦克设计!$B$14:$K$20,9)/30))</f>
        <v>13.338236372900393</v>
      </c>
      <c r="EZ144" s="173">
        <f ca="1">(VLOOKUP(EZ$72,INDIRECT($C$5&amp;"生成成长"),2))/((VLOOKUP($B144,INDIRECT($B$5&amp;"生成成长"),4))/(VLOOKUP(EZ$72,INDIRECT($C$5&amp;"生成成长"),5))*(VLOOKUP($B$5,标准坦克设计!$B$24:$U$30,MATCH("对"&amp;LEFT($C$5,2)&amp;"输出",标准坦克设计!$B$23:$U$23,0)))*(VLOOKUP($B144,INDIRECT($B$5&amp;"生成成长"),3))*(VLOOKUP($B$5,标准坦克设计!$B$14:$K$20,9)/30))</f>
        <v>14.225868971660319</v>
      </c>
      <c r="FA144" s="173">
        <f ca="1">(VLOOKUP(FA$72,INDIRECT($C$5&amp;"生成成长"),2))/((VLOOKUP($B144,INDIRECT($B$5&amp;"生成成长"),4))/(VLOOKUP(FA$72,INDIRECT($C$5&amp;"生成成长"),5))*(VLOOKUP($B$5,标准坦克设计!$B$24:$U$30,MATCH("对"&amp;LEFT($C$5,2)&amp;"输出",标准坦克设计!$B$23:$U$23,0)))*(VLOOKUP($B144,INDIRECT($B$5&amp;"生成成长"),3))*(VLOOKUP($B$5,标准坦克设计!$B$14:$K$20,9)/30))</f>
        <v>15.142092957203142</v>
      </c>
      <c r="FB144" s="173">
        <f ca="1">(VLOOKUP(FB$72,INDIRECT($C$5&amp;"生成成长"),2))/((VLOOKUP($B144,INDIRECT($B$5&amp;"生成成长"),4))/(VLOOKUP(FB$72,INDIRECT($C$5&amp;"生成成长"),5))*(VLOOKUP($B$5,标准坦克设计!$B$24:$U$30,MATCH("对"&amp;LEFT($C$5,2)&amp;"输出",标准坦克设计!$B$23:$U$23,0)))*(VLOOKUP($B144,INDIRECT($B$5&amp;"生成成长"),3))*(VLOOKUP($B$5,标准坦克设计!$B$14:$K$20,9)/30))</f>
        <v>16.08690832952886</v>
      </c>
      <c r="FC144" s="173">
        <f ca="1">(VLOOKUP(FC$72,INDIRECT($C$5&amp;"生成成长"),2))/((VLOOKUP($B144,INDIRECT($B$5&amp;"生成成长"),4))/(VLOOKUP(FC$72,INDIRECT($C$5&amp;"生成成长"),5))*(VLOOKUP($B$5,标准坦克设计!$B$24:$U$30,MATCH("对"&amp;LEFT($C$5,2)&amp;"输出",标准坦克设计!$B$23:$U$23,0)))*(VLOOKUP($B144,INDIRECT($B$5&amp;"生成成长"),3))*(VLOOKUP($B$5,标准坦克设计!$B$14:$K$20,9)/30))</f>
        <v>17.060315088637477</v>
      </c>
      <c r="FD144" s="173">
        <f ca="1">(VLOOKUP(FD$72,INDIRECT($C$5&amp;"生成成长"),2))/((VLOOKUP($B144,INDIRECT($B$5&amp;"生成成长"),4))/(VLOOKUP(FD$72,INDIRECT($C$5&amp;"生成成长"),5))*(VLOOKUP($B$5,标准坦克设计!$B$24:$U$30,MATCH("对"&amp;LEFT($C$5,2)&amp;"输出",标准坦克设计!$B$23:$U$23,0)))*(VLOOKUP($B144,INDIRECT($B$5&amp;"生成成长"),3))*(VLOOKUP($B$5,标准坦克设计!$B$14:$K$20,9)/30))</f>
        <v>18.06231323452899</v>
      </c>
      <c r="FE144" s="173">
        <f ca="1">(VLOOKUP(FE$72,INDIRECT($C$5&amp;"生成成长"),2))/((VLOOKUP($B144,INDIRECT($B$5&amp;"生成成长"),4))/(VLOOKUP(FE$72,INDIRECT($C$5&amp;"生成成长"),5))*(VLOOKUP($B$5,标准坦克设计!$B$24:$U$30,MATCH("对"&amp;LEFT($C$5,2)&amp;"输出",标准坦克设计!$B$23:$U$23,0)))*(VLOOKUP($B144,INDIRECT($B$5&amp;"生成成长"),3))*(VLOOKUP($B$5,标准坦克设计!$B$14:$K$20,9)/30))</f>
        <v>19.283354484120874</v>
      </c>
      <c r="FF144" s="173">
        <f ca="1">(VLOOKUP(FF$72,INDIRECT($C$5&amp;"生成成长"),2))/((VLOOKUP($B144,INDIRECT($B$5&amp;"生成成长"),4))/(VLOOKUP(FF$72,INDIRECT($C$5&amp;"生成成长"),5))*(VLOOKUP($B$5,标准坦克设计!$B$24:$U$30,MATCH("对"&amp;LEFT($C$5,2)&amp;"输出",标准坦克设计!$B$23:$U$23,0)))*(VLOOKUP($B144,INDIRECT($B$5&amp;"生成成长"),3))*(VLOOKUP($B$5,标准坦克设计!$B$14:$K$20,9)/30))</f>
        <v>20.544329158227718</v>
      </c>
      <c r="FG144" s="173">
        <f ca="1">(VLOOKUP(FG$72,INDIRECT($C$5&amp;"生成成长"),2))/((VLOOKUP($B144,INDIRECT($B$5&amp;"生成成长"),4))/(VLOOKUP(FG$72,INDIRECT($C$5&amp;"生成成长"),5))*(VLOOKUP($B$5,标准坦克设计!$B$24:$U$30,MATCH("对"&amp;LEFT($C$5,2)&amp;"输出",标准坦克设计!$B$23:$U$23,0)))*(VLOOKUP($B144,INDIRECT($B$5&amp;"生成成长"),3))*(VLOOKUP($B$5,标准坦克设计!$B$14:$K$20,9)/30))</f>
        <v>21.845237256849511</v>
      </c>
      <c r="FH144" s="173">
        <f ca="1">(VLOOKUP(FH$72,INDIRECT($C$5&amp;"生成成长"),2))/((VLOOKUP($B144,INDIRECT($B$5&amp;"生成成长"),4))/(VLOOKUP(FH$72,INDIRECT($C$5&amp;"生成成长"),5))*(VLOOKUP($B$5,标准坦克设计!$B$24:$U$30,MATCH("对"&amp;LEFT($C$5,2)&amp;"输出",标准坦克设计!$B$23:$U$23,0)))*(VLOOKUP($B144,INDIRECT($B$5&amp;"生成成长"),3))*(VLOOKUP($B$5,标准坦克设计!$B$14:$K$20,9)/30))</f>
        <v>23.186078779986257</v>
      </c>
      <c r="FI144" s="173">
        <f ca="1">(VLOOKUP(FI$72,INDIRECT($C$5&amp;"生成成长"),2))/((VLOOKUP($B144,INDIRECT($B$5&amp;"生成成长"),4))/(VLOOKUP(FI$72,INDIRECT($C$5&amp;"生成成长"),5))*(VLOOKUP($B$5,标准坦克设计!$B$24:$U$30,MATCH("对"&amp;LEFT($C$5,2)&amp;"输出",标准坦克设计!$B$23:$U$23,0)))*(VLOOKUP($B144,INDIRECT($B$5&amp;"生成成长"),3))*(VLOOKUP($B$5,标准坦克设计!$B$14:$K$20,9)/30))</f>
        <v>24.566853727637969</v>
      </c>
      <c r="FJ144" s="173">
        <f ca="1">(VLOOKUP(FJ$72,INDIRECT($C$5&amp;"生成成长"),2))/((VLOOKUP($B144,INDIRECT($B$5&amp;"生成成长"),4))/(VLOOKUP(FJ$72,INDIRECT($C$5&amp;"生成成长"),5))*(VLOOKUP($B$5,标准坦克设计!$B$24:$U$30,MATCH("对"&amp;LEFT($C$5,2)&amp;"输出",标准坦克设计!$B$23:$U$23,0)))*(VLOOKUP($B144,INDIRECT($B$5&amp;"生成成长"),3))*(VLOOKUP($B$5,标准坦克设计!$B$14:$K$20,9)/30))</f>
        <v>25.987562099804627</v>
      </c>
      <c r="FK144" s="173">
        <f ca="1">(VLOOKUP(FK$72,INDIRECT($C$5&amp;"生成成长"),2))/((VLOOKUP($B144,INDIRECT($B$5&amp;"生成成长"),4))/(VLOOKUP(FK$72,INDIRECT($C$5&amp;"生成成长"),5))*(VLOOKUP($B$5,标准坦克设计!$B$24:$U$30,MATCH("对"&amp;LEFT($C$5,2)&amp;"输出",标准坦克设计!$B$23:$U$23,0)))*(VLOOKUP($B144,INDIRECT($B$5&amp;"生成成长"),3))*(VLOOKUP($B$5,标准坦克设计!$B$14:$K$20,9)/30))</f>
        <v>27.448203896486241</v>
      </c>
    </row>
    <row r="145" spans="1:167" x14ac:dyDescent="0.15">
      <c r="A145" s="171" t="str">
        <f t="shared" si="12"/>
        <v>T4中品质1级</v>
      </c>
      <c r="B145" s="172">
        <v>20401</v>
      </c>
      <c r="C145" s="173">
        <f ca="1">(VLOOKUP(C$72,INDIRECT($C$5&amp;"生成成长"),2))/((VLOOKUP($B145,INDIRECT($B$5&amp;"生成成长"),4))/(VLOOKUP(C$72,INDIRECT($C$5&amp;"生成成长"),5))*(VLOOKUP($B$5,标准坦克设计!$B$24:$U$30,MATCH("对"&amp;LEFT($C$5,2)&amp;"输出",标准坦克设计!$B$23:$U$23,0)))*(VLOOKUP($B145,INDIRECT($B$5&amp;"生成成长"),3))*(VLOOKUP($B$5,标准坦克设计!$B$14:$K$20,9)/30))</f>
        <v>2.595756932144945</v>
      </c>
      <c r="D145" s="173">
        <f ca="1">(VLOOKUP(D$72,INDIRECT($C$5&amp;"生成成长"),2))/((VLOOKUP($B145,INDIRECT($B$5&amp;"生成成长"),4))/(VLOOKUP(D$72,INDIRECT($C$5&amp;"生成成长"),5))*(VLOOKUP($B$5,标准坦克设计!$B$24:$U$30,MATCH("对"&amp;LEFT($C$5,2)&amp;"输出",标准坦克设计!$B$23:$U$23,0)))*(VLOOKUP($B145,INDIRECT($B$5&amp;"生成成长"),3))*(VLOOKUP($B$5,标准坦克设计!$B$14:$K$20,9)/30))</f>
        <v>2.9165924889580603</v>
      </c>
      <c r="E145" s="173">
        <f ca="1">(VLOOKUP(E$72,INDIRECT($C$5&amp;"生成成长"),2))/((VLOOKUP($B145,INDIRECT($B$5&amp;"生成成长"),4))/(VLOOKUP(E$72,INDIRECT($C$5&amp;"生成成长"),5))*(VLOOKUP($B$5,标准坦克设计!$B$24:$U$30,MATCH("对"&amp;LEFT($C$5,2)&amp;"输出",标准坦克设计!$B$23:$U$23,0)))*(VLOOKUP($B145,INDIRECT($B$5&amp;"生成成长"),3))*(VLOOKUP($B$5,标准坦克设计!$B$14:$K$20,9)/30))</f>
        <v>3.2561174956826191</v>
      </c>
      <c r="F145" s="173">
        <f ca="1">(VLOOKUP(F$72,INDIRECT($C$5&amp;"生成成长"),2))/((VLOOKUP($B145,INDIRECT($B$5&amp;"生成成长"),4))/(VLOOKUP(F$72,INDIRECT($C$5&amp;"生成成长"),5))*(VLOOKUP($B$5,标准坦克设计!$B$24:$U$30,MATCH("对"&amp;LEFT($C$5,2)&amp;"输出",标准坦克设计!$B$23:$U$23,0)))*(VLOOKUP($B145,INDIRECT($B$5&amp;"生成成长"),3))*(VLOOKUP($B$5,标准坦克设计!$B$14:$K$20,9)/30))</f>
        <v>3.6143319523186213</v>
      </c>
      <c r="G145" s="173">
        <f ca="1">(VLOOKUP(G$72,INDIRECT($C$5&amp;"生成成长"),2))/((VLOOKUP($B145,INDIRECT($B$5&amp;"生成成长"),4))/(VLOOKUP(G$72,INDIRECT($C$5&amp;"生成成长"),5))*(VLOOKUP($B$5,标准坦克设计!$B$24:$U$30,MATCH("对"&amp;LEFT($C$5,2)&amp;"输出",标准坦克设计!$B$23:$U$23,0)))*(VLOOKUP($B145,INDIRECT($B$5&amp;"生成成长"),3))*(VLOOKUP($B$5,标准坦克设计!$B$14:$K$20,9)/30))</f>
        <v>3.9912358588660672</v>
      </c>
      <c r="H145" s="173">
        <f ca="1">(VLOOKUP(H$72,INDIRECT($C$5&amp;"生成成长"),2))/((VLOOKUP($B145,INDIRECT($B$5&amp;"生成成长"),4))/(VLOOKUP(H$72,INDIRECT($C$5&amp;"生成成长"),5))*(VLOOKUP($B$5,标准坦克设计!$B$24:$U$30,MATCH("对"&amp;LEFT($C$5,2)&amp;"输出",标准坦克设计!$B$23:$U$23,0)))*(VLOOKUP($B145,INDIRECT($B$5&amp;"生成成长"),3))*(VLOOKUP($B$5,标准坦克设计!$B$14:$K$20,9)/30))</f>
        <v>3.4928505278942379</v>
      </c>
      <c r="I145" s="173">
        <f ca="1">(VLOOKUP(I$72,INDIRECT($C$5&amp;"生成成长"),2))/((VLOOKUP($B145,INDIRECT($B$5&amp;"生成成长"),4))/(VLOOKUP(I$72,INDIRECT($C$5&amp;"生成成长"),5))*(VLOOKUP($B$5,标准坦克设计!$B$24:$U$30,MATCH("对"&amp;LEFT($C$5,2)&amp;"输出",标准坦克设计!$B$23:$U$23,0)))*(VLOOKUP($B145,INDIRECT($B$5&amp;"生成成长"),3))*(VLOOKUP($B$5,标准坦克设计!$B$14:$K$20,9)/30))</f>
        <v>3.9912358588660672</v>
      </c>
      <c r="J145" s="173">
        <f ca="1">(VLOOKUP(J$72,INDIRECT($C$5&amp;"生成成长"),2))/((VLOOKUP($B145,INDIRECT($B$5&amp;"生成成长"),4))/(VLOOKUP(J$72,INDIRECT($C$5&amp;"生成成长"),5))*(VLOOKUP($B$5,标准坦克设计!$B$24:$U$30,MATCH("对"&amp;LEFT($C$5,2)&amp;"输出",标准坦克设计!$B$23:$U$23,0)))*(VLOOKUP($B145,INDIRECT($B$5&amp;"生成成长"),3))*(VLOOKUP($B$5,标准坦克设计!$B$14:$K$20,9)/30))</f>
        <v>4.5228468785693519</v>
      </c>
      <c r="K145" s="173">
        <f ca="1">(VLOOKUP(K$72,INDIRECT($C$5&amp;"生成成长"),2))/((VLOOKUP($B145,INDIRECT($B$5&amp;"生成成长"),4))/(VLOOKUP(K$72,INDIRECT($C$5&amp;"生成成长"),5))*(VLOOKUP($B$5,标准坦克设计!$B$24:$U$30,MATCH("对"&amp;LEFT($C$5,2)&amp;"输出",标准坦克设计!$B$23:$U$23,0)))*(VLOOKUP($B145,INDIRECT($B$5&amp;"生成成长"),3))*(VLOOKUP($B$5,标准坦克设计!$B$14:$K$20,9)/30))</f>
        <v>5.0876835870040926</v>
      </c>
      <c r="L145" s="173">
        <f ca="1">(VLOOKUP(L$72,INDIRECT($C$5&amp;"生成成长"),2))/((VLOOKUP($B145,INDIRECT($B$5&amp;"生成成长"),4))/(VLOOKUP(L$72,INDIRECT($C$5&amp;"生成成长"),5))*(VLOOKUP($B$5,标准坦克设计!$B$24:$U$30,MATCH("对"&amp;LEFT($C$5,2)&amp;"输出",标准坦克设计!$B$23:$U$23,0)))*(VLOOKUP($B145,INDIRECT($B$5&amp;"生成成长"),3))*(VLOOKUP($B$5,标准坦克设计!$B$14:$K$20,9)/30))</f>
        <v>5.6857459841702864</v>
      </c>
      <c r="M145" s="173">
        <f ca="1">(VLOOKUP(M$72,INDIRECT($C$5&amp;"生成成长"),2))/((VLOOKUP($B145,INDIRECT($B$5&amp;"生成成长"),4))/(VLOOKUP(M$72,INDIRECT($C$5&amp;"生成成长"),5))*(VLOOKUP($B$5,标准坦克设计!$B$24:$U$30,MATCH("对"&amp;LEFT($C$5,2)&amp;"输出",标准坦克设计!$B$23:$U$23,0)))*(VLOOKUP($B145,INDIRECT($B$5&amp;"生成成长"),3))*(VLOOKUP($B$5,标准坦克设计!$B$14:$K$20,9)/30))</f>
        <v>6.3170340700679386</v>
      </c>
      <c r="N145" s="173">
        <f ca="1">(VLOOKUP(N$72,INDIRECT($C$5&amp;"生成成长"),2))/((VLOOKUP($B145,INDIRECT($B$5&amp;"生成成长"),4))/(VLOOKUP(N$72,INDIRECT($C$5&amp;"生成成长"),5))*(VLOOKUP($B$5,标准坦克设计!$B$24:$U$30,MATCH("对"&amp;LEFT($C$5,2)&amp;"输出",标准坦克设计!$B$23:$U$23,0)))*(VLOOKUP($B145,INDIRECT($B$5&amp;"生成成长"),3))*(VLOOKUP($B$5,标准坦克设计!$B$14:$K$20,9)/30))</f>
        <v>6.9815478446970438</v>
      </c>
      <c r="O145" s="173">
        <f ca="1">(VLOOKUP(O$72,INDIRECT($C$5&amp;"生成成长"),2))/((VLOOKUP($B145,INDIRECT($B$5&amp;"生成成长"),4))/(VLOOKUP(O$72,INDIRECT($C$5&amp;"生成成长"),5))*(VLOOKUP($B$5,标准坦克设计!$B$24:$U$30,MATCH("对"&amp;LEFT($C$5,2)&amp;"输出",标准坦克设计!$B$23:$U$23,0)))*(VLOOKUP($B145,INDIRECT($B$5&amp;"生成成长"),3))*(VLOOKUP($B$5,标准坦克设计!$B$14:$K$20,9)/30))</f>
        <v>5.3080633505431978</v>
      </c>
      <c r="P145" s="173">
        <f ca="1">(VLOOKUP(P$72,INDIRECT($C$5&amp;"生成成长"),2))/((VLOOKUP($B145,INDIRECT($B$5&amp;"生成成长"),4))/(VLOOKUP(P$72,INDIRECT($C$5&amp;"生成成长"),5))*(VLOOKUP($B$5,标准坦克设计!$B$24:$U$30,MATCH("对"&amp;LEFT($C$5,2)&amp;"输出",标准坦克设计!$B$23:$U$23,0)))*(VLOOKUP($B145,INDIRECT($B$5&amp;"生成成长"),3))*(VLOOKUP($B$5,标准坦克设计!$B$14:$K$20,9)/30))</f>
        <v>5.9972368160276801</v>
      </c>
      <c r="Q145" s="173">
        <f ca="1">(VLOOKUP(Q$72,INDIRECT($C$5&amp;"生成成长"),2))/((VLOOKUP($B145,INDIRECT($B$5&amp;"生成成长"),4))/(VLOOKUP(Q$72,INDIRECT($C$5&amp;"生成成长"),5))*(VLOOKUP($B$5,标准坦克设计!$B$24:$U$30,MATCH("对"&amp;LEFT($C$5,2)&amp;"输出",标准坦克设计!$B$23:$U$23,0)))*(VLOOKUP($B145,INDIRECT($B$5&amp;"生成成长"),3))*(VLOOKUP($B$5,标准坦克设计!$B$14:$K$20,9)/30))</f>
        <v>6.7284615438129114</v>
      </c>
      <c r="R145" s="173">
        <f ca="1">(VLOOKUP(R$72,INDIRECT($C$5&amp;"生成成长"),2))/((VLOOKUP($B145,INDIRECT($B$5&amp;"生成成长"),4))/(VLOOKUP(R$72,INDIRECT($C$5&amp;"生成成长"),5))*(VLOOKUP($B$5,标准坦克设计!$B$24:$U$30,MATCH("对"&amp;LEFT($C$5,2)&amp;"输出",标准坦克设计!$B$23:$U$23,0)))*(VLOOKUP($B145,INDIRECT($B$5&amp;"生成成长"),3))*(VLOOKUP($B$5,标准坦克设计!$B$14:$K$20,9)/30))</f>
        <v>7.5017375338988908</v>
      </c>
      <c r="S145" s="173">
        <f ca="1">(VLOOKUP(S$72,INDIRECT($C$5&amp;"生成成长"),2))/((VLOOKUP($B145,INDIRECT($B$5&amp;"生成成长"),4))/(VLOOKUP(S$72,INDIRECT($C$5&amp;"生成成长"),5))*(VLOOKUP($B$5,标准坦克设计!$B$24:$U$30,MATCH("对"&amp;LEFT($C$5,2)&amp;"输出",标准坦克设计!$B$23:$U$23,0)))*(VLOOKUP($B145,INDIRECT($B$5&amp;"生成成长"),3))*(VLOOKUP($B$5,标准坦克设计!$B$14:$K$20,9)/30))</f>
        <v>8.31706478628562</v>
      </c>
      <c r="T145" s="173">
        <f ca="1">(VLOOKUP(T$72,INDIRECT($C$5&amp;"生成成长"),2))/((VLOOKUP($B145,INDIRECT($B$5&amp;"生成成长"),4))/(VLOOKUP(T$72,INDIRECT($C$5&amp;"生成成长"),5))*(VLOOKUP($B$5,标准坦克设计!$B$24:$U$30,MATCH("对"&amp;LEFT($C$5,2)&amp;"输出",标准坦克设计!$B$23:$U$23,0)))*(VLOOKUP($B145,INDIRECT($B$5&amp;"生成成长"),3))*(VLOOKUP($B$5,标准坦克设计!$B$14:$K$20,9)/30))</f>
        <v>9.1744433009730937</v>
      </c>
      <c r="U145" s="173">
        <f ca="1">(VLOOKUP(U$72,INDIRECT($C$5&amp;"生成成长"),2))/((VLOOKUP($B145,INDIRECT($B$5&amp;"生成成长"),4))/(VLOOKUP(U$72,INDIRECT($C$5&amp;"生成成长"),5))*(VLOOKUP($B$5,标准坦克设计!$B$24:$U$30,MATCH("对"&amp;LEFT($C$5,2)&amp;"输出",标准坦克设计!$B$23:$U$23,0)))*(VLOOKUP($B145,INDIRECT($B$5&amp;"生成成长"),3))*(VLOOKUP($B$5,标准坦克设计!$B$14:$K$20,9)/30))</f>
        <v>10.073873077961318</v>
      </c>
      <c r="V145" s="173">
        <f ca="1">(VLOOKUP(V$72,INDIRECT($C$5&amp;"生成成长"),2))/((VLOOKUP($B145,INDIRECT($B$5&amp;"生成成长"),4))/(VLOOKUP(V$72,INDIRECT($C$5&amp;"生成成长"),5))*(VLOOKUP($B$5,标准坦克设计!$B$24:$U$30,MATCH("对"&amp;LEFT($C$5,2)&amp;"输出",标准坦克设计!$B$23:$U$23,0)))*(VLOOKUP($B145,INDIRECT($B$5&amp;"生成成长"),3))*(VLOOKUP($B$5,标准坦克设计!$B$14:$K$20,9)/30))</f>
        <v>11.015354117250288</v>
      </c>
      <c r="W145" s="173">
        <f ca="1">(VLOOKUP(W$72,INDIRECT($C$5&amp;"生成成长"),2))/((VLOOKUP($B145,INDIRECT($B$5&amp;"生成成长"),4))/(VLOOKUP(W$72,INDIRECT($C$5&amp;"生成成长"),5))*(VLOOKUP($B$5,标准坦克设计!$B$24:$U$30,MATCH("对"&amp;LEFT($C$5,2)&amp;"输出",标准坦克设计!$B$23:$U$23,0)))*(VLOOKUP($B145,INDIRECT($B$5&amp;"生成成长"),3))*(VLOOKUP($B$5,标准坦克设计!$B$14:$K$20,9)/30))</f>
        <v>11.998886418840009</v>
      </c>
      <c r="X145" s="173">
        <f ca="1">(VLOOKUP(X$72,INDIRECT($C$5&amp;"生成成长"),2))/((VLOOKUP($B145,INDIRECT($B$5&amp;"生成成长"),4))/(VLOOKUP(X$72,INDIRECT($C$5&amp;"生成成长"),5))*(VLOOKUP($B$5,标准坦克设计!$B$24:$U$30,MATCH("对"&amp;LEFT($C$5,2)&amp;"输出",标准坦克设计!$B$23:$U$23,0)))*(VLOOKUP($B145,INDIRECT($B$5&amp;"生成成长"),3))*(VLOOKUP($B$5,标准坦克设计!$B$14:$K$20,9)/30))</f>
        <v>8.6929303900602068</v>
      </c>
      <c r="Y145" s="173">
        <f ca="1">(VLOOKUP(Y$72,INDIRECT($C$5&amp;"生成成长"),2))/((VLOOKUP($B145,INDIRECT($B$5&amp;"生成成长"),4))/(VLOOKUP(Y$72,INDIRECT($C$5&amp;"生成成长"),5))*(VLOOKUP($B$5,标准坦克设计!$B$24:$U$30,MATCH("对"&amp;LEFT($C$5,2)&amp;"输出",标准坦克设计!$B$23:$U$23,0)))*(VLOOKUP($B145,INDIRECT($B$5&amp;"生成成长"),3))*(VLOOKUP($B$5,标准坦克设计!$B$14:$K$20,9)/30))</f>
        <v>9.6689349965467066</v>
      </c>
      <c r="Z145" s="173">
        <f ca="1">(VLOOKUP(Z$72,INDIRECT($C$5&amp;"生成成长"),2))/((VLOOKUP($B145,INDIRECT($B$5&amp;"生成成长"),4))/(VLOOKUP(Z$72,INDIRECT($C$5&amp;"生成成长"),5))*(VLOOKUP($B$5,标准坦克设计!$B$24:$U$30,MATCH("对"&amp;LEFT($C$5,2)&amp;"输出",标准坦克设计!$B$23:$U$23,0)))*(VLOOKUP($B145,INDIRECT($B$5&amp;"生成成长"),3))*(VLOOKUP($B$5,标准坦克设计!$B$14:$K$20,9)/30))</f>
        <v>10.696854741676104</v>
      </c>
      <c r="AA145" s="173">
        <f ca="1">(VLOOKUP(AA$72,INDIRECT($C$5&amp;"生成成长"),2))/((VLOOKUP($B145,INDIRECT($B$5&amp;"生成成长"),4))/(VLOOKUP(AA$72,INDIRECT($C$5&amp;"生成成长"),5))*(VLOOKUP($B$5,标准坦克设计!$B$24:$U$30,MATCH("对"&amp;LEFT($C$5,2)&amp;"输出",标准坦克设计!$B$23:$U$23,0)))*(VLOOKUP($B145,INDIRECT($B$5&amp;"生成成长"),3))*(VLOOKUP($B$5,标准坦克设计!$B$14:$K$20,9)/30))</f>
        <v>11.7766896254484</v>
      </c>
      <c r="AB145" s="173">
        <f ca="1">(VLOOKUP(AB$72,INDIRECT($C$5&amp;"生成成长"),2))/((VLOOKUP($B145,INDIRECT($B$5&amp;"生成成长"),4))/(VLOOKUP(AB$72,INDIRECT($C$5&amp;"生成成长"),5))*(VLOOKUP($B$5,标准坦克设计!$B$24:$U$30,MATCH("对"&amp;LEFT($C$5,2)&amp;"输出",标准坦克设计!$B$23:$U$23,0)))*(VLOOKUP($B145,INDIRECT($B$5&amp;"生成成长"),3))*(VLOOKUP($B$5,标准坦克设计!$B$14:$K$20,9)/30))</f>
        <v>12.908439647863599</v>
      </c>
      <c r="AC145" s="173">
        <f ca="1">(VLOOKUP(AC$72,INDIRECT($C$5&amp;"生成成长"),2))/((VLOOKUP($B145,INDIRECT($B$5&amp;"生成成长"),4))/(VLOOKUP(AC$72,INDIRECT($C$5&amp;"生成成长"),5))*(VLOOKUP($B$5,标准坦克设计!$B$24:$U$30,MATCH("对"&amp;LEFT($C$5,2)&amp;"输出",标准坦克设计!$B$23:$U$23,0)))*(VLOOKUP($B145,INDIRECT($B$5&amp;"生成成长"),3))*(VLOOKUP($B$5,标准坦克设计!$B$14:$K$20,9)/30))</f>
        <v>14.09210480892169</v>
      </c>
      <c r="AD145" s="173">
        <f ca="1">(VLOOKUP(AD$72,INDIRECT($C$5&amp;"生成成长"),2))/((VLOOKUP($B145,INDIRECT($B$5&amp;"生成成长"),4))/(VLOOKUP(AD$72,INDIRECT($C$5&amp;"生成成长"),5))*(VLOOKUP($B$5,标准坦克设计!$B$24:$U$30,MATCH("对"&amp;LEFT($C$5,2)&amp;"输出",标准坦克设计!$B$23:$U$23,0)))*(VLOOKUP($B145,INDIRECT($B$5&amp;"生成成长"),3))*(VLOOKUP($B$5,标准坦克设计!$B$14:$K$20,9)/30))</f>
        <v>15.327685108622685</v>
      </c>
      <c r="AE145" s="173">
        <f ca="1">(VLOOKUP(AE$72,INDIRECT($C$5&amp;"生成成长"),2))/((VLOOKUP($B145,INDIRECT($B$5&amp;"生成成长"),4))/(VLOOKUP(AE$72,INDIRECT($C$5&amp;"生成成长"),5))*(VLOOKUP($B$5,标准坦克设计!$B$24:$U$30,MATCH("对"&amp;LEFT($C$5,2)&amp;"输出",标准坦克设计!$B$23:$U$23,0)))*(VLOOKUP($B145,INDIRECT($B$5&amp;"生成成长"),3))*(VLOOKUP($B$5,标准坦克设计!$B$14:$K$20,9)/30))</f>
        <v>16.615180546966581</v>
      </c>
      <c r="AF145" s="173">
        <f ca="1">(VLOOKUP(AF$72,INDIRECT($C$5&amp;"生成成长"),2))/((VLOOKUP($B145,INDIRECT($B$5&amp;"生成成长"),4))/(VLOOKUP(AF$72,INDIRECT($C$5&amp;"生成成长"),5))*(VLOOKUP($B$5,标准坦克设计!$B$24:$U$30,MATCH("对"&amp;LEFT($C$5,2)&amp;"输出",标准坦克设计!$B$23:$U$23,0)))*(VLOOKUP($B145,INDIRECT($B$5&amp;"生成成长"),3))*(VLOOKUP($B$5,标准坦克设计!$B$14:$K$20,9)/30))</f>
        <v>17.954591123953371</v>
      </c>
      <c r="AG145" s="173">
        <f ca="1">(VLOOKUP(AG$72,INDIRECT($C$5&amp;"生成成长"),2))/((VLOOKUP($B145,INDIRECT($B$5&amp;"生成成长"),4))/(VLOOKUP(AG$72,INDIRECT($C$5&amp;"生成成长"),5))*(VLOOKUP($B$5,标准坦克设计!$B$24:$U$30,MATCH("对"&amp;LEFT($C$5,2)&amp;"输出",标准坦克设计!$B$23:$U$23,0)))*(VLOOKUP($B145,INDIRECT($B$5&amp;"生成成长"),3))*(VLOOKUP($B$5,标准坦克设计!$B$14:$K$20,9)/30))</f>
        <v>19.345916839583062</v>
      </c>
      <c r="AH145" s="173">
        <f ca="1">(VLOOKUP(AH$72,INDIRECT($C$5&amp;"生成成长"),2))/((VLOOKUP($B145,INDIRECT($B$5&amp;"生成成长"),4))/(VLOOKUP(AH$72,INDIRECT($C$5&amp;"生成成长"),5))*(VLOOKUP($B$5,标准坦克设计!$B$24:$U$30,MATCH("对"&amp;LEFT($C$5,2)&amp;"输出",标准坦克设计!$B$23:$U$23,0)))*(VLOOKUP($B145,INDIRECT($B$5&amp;"生成成长"),3))*(VLOOKUP($B$5,标准坦克设计!$B$14:$K$20,9)/30))</f>
        <v>20.78915769385565</v>
      </c>
      <c r="AI145" s="173">
        <f ca="1">(VLOOKUP(AI$72,INDIRECT($C$5&amp;"生成成长"),2))/((VLOOKUP($B145,INDIRECT($B$5&amp;"生成成长"),4))/(VLOOKUP(AI$72,INDIRECT($C$5&amp;"生成成长"),5))*(VLOOKUP($B$5,标准坦克设计!$B$24:$U$30,MATCH("对"&amp;LEFT($C$5,2)&amp;"输出",标准坦克设计!$B$23:$U$23,0)))*(VLOOKUP($B145,INDIRECT($B$5&amp;"生成成长"),3))*(VLOOKUP($B$5,标准坦克设计!$B$14:$K$20,9)/30))</f>
        <v>14.703405566441827</v>
      </c>
      <c r="AJ145" s="173">
        <f ca="1">(VLOOKUP(AJ$72,INDIRECT($C$5&amp;"生成成长"),2))/((VLOOKUP($B145,INDIRECT($B$5&amp;"生成成长"),4))/(VLOOKUP(AJ$72,INDIRECT($C$5&amp;"生成成长"),5))*(VLOOKUP($B$5,标准坦克设计!$B$24:$U$30,MATCH("对"&amp;LEFT($C$5,2)&amp;"输出",标准坦克设计!$B$23:$U$23,0)))*(VLOOKUP($B145,INDIRECT($B$5&amp;"生成成长"),3))*(VLOOKUP($B$5,标准坦克设计!$B$14:$K$20,9)/30))</f>
        <v>16.093952554991873</v>
      </c>
      <c r="AK145" s="173">
        <f ca="1">(VLOOKUP(AK$72,INDIRECT($C$5&amp;"生成成长"),2))/((VLOOKUP($B145,INDIRECT($B$5&amp;"生成成长"),4))/(VLOOKUP(AK$72,INDIRECT($C$5&amp;"生成成长"),5))*(VLOOKUP($B$5,标准坦克设计!$B$24:$U$30,MATCH("对"&amp;LEFT($C$5,2)&amp;"输出",标准坦克设计!$B$23:$U$23,0)))*(VLOOKUP($B145,INDIRECT($B$5&amp;"生成成长"),3))*(VLOOKUP($B$5,标准坦克设计!$B$14:$K$20,9)/30))</f>
        <v>17.547316861299826</v>
      </c>
      <c r="AL145" s="173">
        <f ca="1">(VLOOKUP(AL$72,INDIRECT($C$5&amp;"生成成长"),2))/((VLOOKUP($B145,INDIRECT($B$5&amp;"生成成长"),4))/(VLOOKUP(AL$72,INDIRECT($C$5&amp;"生成成长"),5))*(VLOOKUP($B$5,标准坦克设计!$B$24:$U$30,MATCH("对"&amp;LEFT($C$5,2)&amp;"输出",标准坦克设计!$B$23:$U$23,0)))*(VLOOKUP($B145,INDIRECT($B$5&amp;"生成成长"),3))*(VLOOKUP($B$5,标准坦克设计!$B$14:$K$20,9)/30))</f>
        <v>19.063498485365688</v>
      </c>
      <c r="AM145" s="173">
        <f ca="1">(VLOOKUP(AM$72,INDIRECT($C$5&amp;"生成成长"),2))/((VLOOKUP($B145,INDIRECT($B$5&amp;"生成成长"),4))/(VLOOKUP(AM$72,INDIRECT($C$5&amp;"生成成长"),5))*(VLOOKUP($B$5,标准坦克设计!$B$24:$U$30,MATCH("对"&amp;LEFT($C$5,2)&amp;"输出",标准坦克设计!$B$23:$U$23,0)))*(VLOOKUP($B145,INDIRECT($B$5&amp;"生成成长"),3))*(VLOOKUP($B$5,标准坦克设计!$B$14:$K$20,9)/30))</f>
        <v>20.642497427189458</v>
      </c>
      <c r="AN145" s="173">
        <f ca="1">(VLOOKUP(AN$72,INDIRECT($C$5&amp;"生成成长"),2))/((VLOOKUP($B145,INDIRECT($B$5&amp;"生成成长"),4))/(VLOOKUP(AN$72,INDIRECT($C$5&amp;"生成成长"),5))*(VLOOKUP($B$5,标准坦克设计!$B$24:$U$30,MATCH("对"&amp;LEFT($C$5,2)&amp;"输出",标准坦克设计!$B$23:$U$23,0)))*(VLOOKUP($B145,INDIRECT($B$5&amp;"生成成长"),3))*(VLOOKUP($B$5,标准坦克设计!$B$14:$K$20,9)/30))</f>
        <v>22.284313686771142</v>
      </c>
      <c r="AO145" s="173">
        <f ca="1">(VLOOKUP(AO$72,INDIRECT($C$5&amp;"生成成长"),2))/((VLOOKUP($B145,INDIRECT($B$5&amp;"生成成长"),4))/(VLOOKUP(AO$72,INDIRECT($C$5&amp;"生成成长"),5))*(VLOOKUP($B$5,标准坦克设计!$B$24:$U$30,MATCH("对"&amp;LEFT($C$5,2)&amp;"输出",标准坦克设计!$B$23:$U$23,0)))*(VLOOKUP($B145,INDIRECT($B$5&amp;"生成成长"),3))*(VLOOKUP($B$5,标准坦克设计!$B$14:$K$20,9)/30))</f>
        <v>23.98894726411072</v>
      </c>
      <c r="AP145" s="173">
        <f ca="1">(VLOOKUP(AP$72,INDIRECT($C$5&amp;"生成成长"),2))/((VLOOKUP($B145,INDIRECT($B$5&amp;"生成成长"),4))/(VLOOKUP(AP$72,INDIRECT($C$5&amp;"生成成长"),5))*(VLOOKUP($B$5,标准坦克设计!$B$24:$U$30,MATCH("对"&amp;LEFT($C$5,2)&amp;"输出",标准坦克设计!$B$23:$U$23,0)))*(VLOOKUP($B145,INDIRECT($B$5&amp;"生成成长"),3))*(VLOOKUP($B$5,标准坦克设计!$B$14:$K$20,9)/30))</f>
        <v>25.756398159208221</v>
      </c>
      <c r="AQ145" s="173">
        <f ca="1">(VLOOKUP(AQ$72,INDIRECT($C$5&amp;"生成成长"),2))/((VLOOKUP($B145,INDIRECT($B$5&amp;"生成成长"),4))/(VLOOKUP(AQ$72,INDIRECT($C$5&amp;"生成成长"),5))*(VLOOKUP($B$5,标准坦克设计!$B$24:$U$30,MATCH("对"&amp;LEFT($C$5,2)&amp;"输出",标准坦克设计!$B$23:$U$23,0)))*(VLOOKUP($B145,INDIRECT($B$5&amp;"生成成长"),3))*(VLOOKUP($B$5,标准坦克设计!$B$14:$K$20,9)/30))</f>
        <v>27.586666372063618</v>
      </c>
      <c r="AR145" s="173">
        <f ca="1">(VLOOKUP(AR$72,INDIRECT($C$5&amp;"生成成长"),2))/((VLOOKUP($B145,INDIRECT($B$5&amp;"生成成长"),4))/(VLOOKUP(AR$72,INDIRECT($C$5&amp;"生成成长"),5))*(VLOOKUP($B$5,标准坦克设计!$B$24:$U$30,MATCH("对"&amp;LEFT($C$5,2)&amp;"输出",标准坦克设计!$B$23:$U$23,0)))*(VLOOKUP($B145,INDIRECT($B$5&amp;"生成成长"),3))*(VLOOKUP($B$5,标准坦克设计!$B$14:$K$20,9)/30))</f>
        <v>29.479751902676927</v>
      </c>
      <c r="AS145" s="173">
        <f ca="1">(VLOOKUP(AS$72,INDIRECT($C$5&amp;"生成成长"),2))/((VLOOKUP($B145,INDIRECT($B$5&amp;"生成成长"),4))/(VLOOKUP(AS$72,INDIRECT($C$5&amp;"生成成长"),5))*(VLOOKUP($B$5,标准坦克设计!$B$24:$U$30,MATCH("对"&amp;LEFT($C$5,2)&amp;"输出",标准坦克设计!$B$23:$U$23,0)))*(VLOOKUP($B145,INDIRECT($B$5&amp;"生成成长"),3))*(VLOOKUP($B$5,标准坦克设计!$B$14:$K$20,9)/30))</f>
        <v>31.435654751048144</v>
      </c>
      <c r="AT145" s="173">
        <f ca="1">(VLOOKUP(AT$72,INDIRECT($C$5&amp;"生成成长"),2))/((VLOOKUP($B145,INDIRECT($B$5&amp;"生成成长"),4))/(VLOOKUP(AT$72,INDIRECT($C$5&amp;"生成成长"),5))*(VLOOKUP($B$5,标准坦克设计!$B$24:$U$30,MATCH("对"&amp;LEFT($C$5,2)&amp;"输出",标准坦克设计!$B$23:$U$23,0)))*(VLOOKUP($B145,INDIRECT($B$5&amp;"生成成长"),3))*(VLOOKUP($B$5,标准坦克设计!$B$14:$K$20,9)/30))</f>
        <v>33.454374917177269</v>
      </c>
      <c r="AU145" s="173">
        <f ca="1">(VLOOKUP(AU$72,INDIRECT($C$5&amp;"生成成长"),2))/((VLOOKUP($B145,INDIRECT($B$5&amp;"生成成长"),4))/(VLOOKUP(AU$72,INDIRECT($C$5&amp;"生成成长"),5))*(VLOOKUP($B$5,标准坦克设计!$B$24:$U$30,MATCH("对"&amp;LEFT($C$5,2)&amp;"输出",标准坦克设计!$B$23:$U$23,0)))*(VLOOKUP($B145,INDIRECT($B$5&amp;"生成成长"),3))*(VLOOKUP($B$5,标准坦克设计!$B$14:$K$20,9)/30))</f>
        <v>35.535912401064301</v>
      </c>
      <c r="AV145" s="173">
        <f ca="1">(VLOOKUP(AV$72,INDIRECT($C$5&amp;"生成成长"),2))/((VLOOKUP($B145,INDIRECT($B$5&amp;"生成成长"),4))/(VLOOKUP(AV$72,INDIRECT($C$5&amp;"生成成长"),5))*(VLOOKUP($B$5,标准坦克设计!$B$24:$U$30,MATCH("对"&amp;LEFT($C$5,2)&amp;"输出",标准坦克设计!$B$23:$U$23,0)))*(VLOOKUP($B145,INDIRECT($B$5&amp;"生成成长"),3))*(VLOOKUP($B$5,标准坦克设计!$B$14:$K$20,9)/30))</f>
        <v>3.6143319523186213</v>
      </c>
      <c r="AW145" s="173">
        <f ca="1">(VLOOKUP(AW$72,INDIRECT($C$5&amp;"生成成长"),2))/((VLOOKUP($B145,INDIRECT($B$5&amp;"生成成长"),4))/(VLOOKUP(AW$72,INDIRECT($C$5&amp;"生成成长"),5))*(VLOOKUP($B$5,标准坦克设计!$B$24:$U$30,MATCH("对"&amp;LEFT($C$5,2)&amp;"输出",标准坦克设计!$B$23:$U$23,0)))*(VLOOKUP($B145,INDIRECT($B$5&amp;"生成成长"),3))*(VLOOKUP($B$5,标准坦克设计!$B$14:$K$20,9)/30))</f>
        <v>4.1210237054733145</v>
      </c>
      <c r="AX145" s="173">
        <f ca="1">(VLOOKUP(AX$72,INDIRECT($C$5&amp;"生成成长"),2))/((VLOOKUP($B145,INDIRECT($B$5&amp;"生成成长"),4))/(VLOOKUP(AX$72,INDIRECT($C$5&amp;"生成成长"),5))*(VLOOKUP($B$5,标准坦克设计!$B$24:$U$30,MATCH("对"&amp;LEFT($C$5,2)&amp;"输出",标准坦克设计!$B$23:$U$23,0)))*(VLOOKUP($B145,INDIRECT($B$5&amp;"生成成长"),3))*(VLOOKUP($B$5,标准坦克设计!$B$14:$K$20,9)/30))</f>
        <v>4.6609411473594635</v>
      </c>
      <c r="AY145" s="173">
        <f ca="1">(VLOOKUP(AY$72,INDIRECT($C$5&amp;"生成成长"),2))/((VLOOKUP($B145,INDIRECT($B$5&amp;"生成成长"),4))/(VLOOKUP(AY$72,INDIRECT($C$5&amp;"生成成长"),5))*(VLOOKUP($B$5,标准坦克设计!$B$24:$U$30,MATCH("对"&amp;LEFT($C$5,2)&amp;"输出",标准坦克设计!$B$23:$U$23,0)))*(VLOOKUP($B145,INDIRECT($B$5&amp;"生成成长"),3))*(VLOOKUP($B$5,标准坦克设计!$B$14:$K$20,9)/30))</f>
        <v>5.2340842779770673</v>
      </c>
      <c r="AZ145" s="173">
        <f ca="1">(VLOOKUP(AZ$72,INDIRECT($C$5&amp;"生成成长"),2))/((VLOOKUP($B145,INDIRECT($B$5&amp;"生成成长"),4))/(VLOOKUP(AZ$72,INDIRECT($C$5&amp;"生成成长"),5))*(VLOOKUP($B$5,标准坦克设计!$B$24:$U$30,MATCH("对"&amp;LEFT($C$5,2)&amp;"输出",标准坦克设计!$B$23:$U$23,0)))*(VLOOKUP($B145,INDIRECT($B$5&amp;"生成成长"),3))*(VLOOKUP($B$5,标准坦克设计!$B$14:$K$20,9)/30))</f>
        <v>5.8404530973261268</v>
      </c>
      <c r="BA145" s="173">
        <f ca="1">(VLOOKUP(BA$72,INDIRECT($C$5&amp;"生成成长"),2))/((VLOOKUP($B145,INDIRECT($B$5&amp;"生成成长"),4))/(VLOOKUP(BA$72,INDIRECT($C$5&amp;"生成成长"),5))*(VLOOKUP($B$5,标准坦克设计!$B$24:$U$30,MATCH("对"&amp;LEFT($C$5,2)&amp;"输出",标准坦克设计!$B$23:$U$23,0)))*(VLOOKUP($B145,INDIRECT($B$5&amp;"生成成长"),3))*(VLOOKUP($B$5,标准坦克设计!$B$14:$K$20,9)/30))</f>
        <v>6.4800476054066394</v>
      </c>
      <c r="BB145" s="173">
        <f ca="1">(VLOOKUP(BB$72,INDIRECT($C$5&amp;"生成成长"),2))/((VLOOKUP($B145,INDIRECT($B$5&amp;"生成成长"),4))/(VLOOKUP(BB$72,INDIRECT($C$5&amp;"生成成长"),5))*(VLOOKUP($B$5,标准坦克设计!$B$24:$U$30,MATCH("对"&amp;LEFT($C$5,2)&amp;"输出",标准坦克设计!$B$23:$U$23,0)))*(VLOOKUP($B145,INDIRECT($B$5&amp;"生成成长"),3))*(VLOOKUP($B$5,标准坦克设计!$B$14:$K$20,9)/30))</f>
        <v>7.1528678022186103</v>
      </c>
      <c r="BC145" s="173">
        <f ca="1">(VLOOKUP(BC$72,INDIRECT($C$5&amp;"生成成长"),2))/((VLOOKUP($B145,INDIRECT($B$5&amp;"生成成长"),4))/(VLOOKUP(BC$72,INDIRECT($C$5&amp;"生成成长"),5))*(VLOOKUP($B$5,标准坦克设计!$B$24:$U$30,MATCH("对"&amp;LEFT($C$5,2)&amp;"输出",标准坦克设计!$B$23:$U$23,0)))*(VLOOKUP($B145,INDIRECT($B$5&amp;"生成成长"),3))*(VLOOKUP($B$5,标准坦克设计!$B$14:$K$20,9)/30))</f>
        <v>7.858913687762036</v>
      </c>
      <c r="BD145" s="173">
        <f ca="1">(VLOOKUP(BD$72,INDIRECT($C$5&amp;"生成成长"),2))/((VLOOKUP($B145,INDIRECT($B$5&amp;"生成成长"),4))/(VLOOKUP(BD$72,INDIRECT($C$5&amp;"生成成长"),5))*(VLOOKUP($B$5,标准坦克设计!$B$24:$U$30,MATCH("对"&amp;LEFT($C$5,2)&amp;"输出",标准坦克设计!$B$23:$U$23,0)))*(VLOOKUP($B145,INDIRECT($B$5&amp;"生成成长"),3))*(VLOOKUP($B$5,标准坦克设计!$B$14:$K$20,9)/30))</f>
        <v>8.6929303900602068</v>
      </c>
      <c r="BE145" s="173">
        <f ca="1">(VLOOKUP(BE$72,INDIRECT($C$5&amp;"生成成长"),2))/((VLOOKUP($B145,INDIRECT($B$5&amp;"生成成长"),4))/(VLOOKUP(BE$72,INDIRECT($C$5&amp;"生成成长"),5))*(VLOOKUP($B$5,标准坦克设计!$B$24:$U$30,MATCH("对"&amp;LEFT($C$5,2)&amp;"输出",标准坦克设计!$B$23:$U$23,0)))*(VLOOKUP($B145,INDIRECT($B$5&amp;"生成成长"),3))*(VLOOKUP($B$5,标准坦克设计!$B$14:$K$20,9)/30))</f>
        <v>9.5689983546591257</v>
      </c>
      <c r="BF145" s="173">
        <f ca="1">(VLOOKUP(BF$72,INDIRECT($C$5&amp;"生成成长"),2))/((VLOOKUP($B145,INDIRECT($B$5&amp;"生成成长"),4))/(VLOOKUP(BF$72,INDIRECT($C$5&amp;"生成成长"),5))*(VLOOKUP($B$5,标准坦克设计!$B$24:$U$30,MATCH("对"&amp;LEFT($C$5,2)&amp;"输出",标准坦克设计!$B$23:$U$23,0)))*(VLOOKUP($B145,INDIRECT($B$5&amp;"生成成长"),3))*(VLOOKUP($B$5,标准坦克设计!$B$14:$K$20,9)/30))</f>
        <v>10.487117581558794</v>
      </c>
      <c r="BG145" s="173">
        <f ca="1">(VLOOKUP(BG$72,INDIRECT($C$5&amp;"生成成长"),2))/((VLOOKUP($B145,INDIRECT($B$5&amp;"生成成长"),4))/(VLOOKUP(BG$72,INDIRECT($C$5&amp;"生成成长"),5))*(VLOOKUP($B$5,标准坦克设计!$B$24:$U$30,MATCH("对"&amp;LEFT($C$5,2)&amp;"输出",标准坦克设计!$B$23:$U$23,0)))*(VLOOKUP($B145,INDIRECT($B$5&amp;"生成成长"),3))*(VLOOKUP($B$5,标准坦克设计!$B$14:$K$20,9)/30))</f>
        <v>11.447288070759207</v>
      </c>
      <c r="BH145" s="173">
        <f ca="1">(VLOOKUP(BH$72,INDIRECT($C$5&amp;"生成成长"),2))/((VLOOKUP($B145,INDIRECT($B$5&amp;"生成成长"),4))/(VLOOKUP(BH$72,INDIRECT($C$5&amp;"生成成长"),5))*(VLOOKUP($B$5,标准坦克设计!$B$24:$U$30,MATCH("对"&amp;LEFT($C$5,2)&amp;"输出",标准坦克设计!$B$23:$U$23,0)))*(VLOOKUP($B145,INDIRECT($B$5&amp;"生成成长"),3))*(VLOOKUP($B$5,标准坦克设计!$B$14:$K$20,9)/30))</f>
        <v>5.5331154765601651</v>
      </c>
      <c r="BI145" s="173">
        <f ca="1">(VLOOKUP(BI$72,INDIRECT($C$5&amp;"生成成长"),2))/((VLOOKUP($B145,INDIRECT($B$5&amp;"生成成长"),4))/(VLOOKUP(BI$72,INDIRECT($C$5&amp;"生成成长"),5))*(VLOOKUP($B$5,标准坦克设计!$B$24:$U$30,MATCH("对"&amp;LEFT($C$5,2)&amp;"输出",标准坦克设计!$B$23:$U$23,0)))*(VLOOKUP($B145,INDIRECT($B$5&amp;"生成成长"),3))*(VLOOKUP($B$5,标准坦克设计!$B$14:$K$20,9)/30))</f>
        <v>6.2363060294782295</v>
      </c>
      <c r="BJ145" s="173">
        <f ca="1">(VLOOKUP(BJ$72,INDIRECT($C$5&amp;"生成成长"),2))/((VLOOKUP($B145,INDIRECT($B$5&amp;"生成成长"),4))/(VLOOKUP(BJ$72,INDIRECT($C$5&amp;"生成成长"),5))*(VLOOKUP($B$5,标准坦克设计!$B$24:$U$30,MATCH("对"&amp;LEFT($C$5,2)&amp;"输出",标准坦克设计!$B$23:$U$23,0)))*(VLOOKUP($B145,INDIRECT($B$5&amp;"生成成长"),3))*(VLOOKUP($B$5,标准坦克设计!$B$14:$K$20,9)/30))</f>
        <v>6.9815478446970438</v>
      </c>
      <c r="BK145" s="173">
        <f ca="1">(VLOOKUP(BK$72,INDIRECT($C$5&amp;"生成成长"),2))/((VLOOKUP($B145,INDIRECT($B$5&amp;"生成成长"),4))/(VLOOKUP(BK$72,INDIRECT($C$5&amp;"生成成长"),5))*(VLOOKUP($B$5,标准坦克设计!$B$24:$U$30,MATCH("对"&amp;LEFT($C$5,2)&amp;"输出",标准坦克设计!$B$23:$U$23,0)))*(VLOOKUP($B145,INDIRECT($B$5&amp;"生成成长"),3))*(VLOOKUP($B$5,标准坦克设计!$B$14:$K$20,9)/30))</f>
        <v>7.7688409222166062</v>
      </c>
      <c r="BL145" s="173">
        <f ca="1">(VLOOKUP(BL$72,INDIRECT($C$5&amp;"生成成长"),2))/((VLOOKUP($B145,INDIRECT($B$5&amp;"生成成长"),4))/(VLOOKUP(BL$72,INDIRECT($C$5&amp;"生成成长"),5))*(VLOOKUP($B$5,标准坦克设计!$B$24:$U$30,MATCH("对"&amp;LEFT($C$5,2)&amp;"输出",标准坦克设计!$B$23:$U$23,0)))*(VLOOKUP($B145,INDIRECT($B$5&amp;"生成成长"),3))*(VLOOKUP($B$5,标准坦克设计!$B$14:$K$20,9)/30))</f>
        <v>8.5981852620369157</v>
      </c>
      <c r="BM145" s="173">
        <f ca="1">(VLOOKUP(BM$72,INDIRECT($C$5&amp;"生成成长"),2))/((VLOOKUP($B145,INDIRECT($B$5&amp;"生成成长"),4))/(VLOOKUP(BM$72,INDIRECT($C$5&amp;"生成成长"),5))*(VLOOKUP($B$5,标准坦克设计!$B$24:$U$30,MATCH("对"&amp;LEFT($C$5,2)&amp;"输出",标准坦克设计!$B$23:$U$23,0)))*(VLOOKUP($B145,INDIRECT($B$5&amp;"生成成长"),3))*(VLOOKUP($B$5,标准坦克设计!$B$14:$K$20,9)/30))</f>
        <v>9.4695808641579742</v>
      </c>
      <c r="BN145" s="173">
        <f ca="1">(VLOOKUP(BN$72,INDIRECT($C$5&amp;"生成成长"),2))/((VLOOKUP($B145,INDIRECT($B$5&amp;"生成成长"),4))/(VLOOKUP(BN$72,INDIRECT($C$5&amp;"生成成长"),5))*(VLOOKUP($B$5,标准坦克设计!$B$24:$U$30,MATCH("对"&amp;LEFT($C$5,2)&amp;"输出",标准坦克设计!$B$23:$U$23,0)))*(VLOOKUP($B145,INDIRECT($B$5&amp;"生成成长"),3))*(VLOOKUP($B$5,标准坦克设计!$B$14:$K$20,9)/30))</f>
        <v>10.38302772857978</v>
      </c>
      <c r="BO145" s="173">
        <f ca="1">(VLOOKUP(BO$72,INDIRECT($C$5&amp;"生成成长"),2))/((VLOOKUP($B145,INDIRECT($B$5&amp;"生成成长"),4))/(VLOOKUP(BO$72,INDIRECT($C$5&amp;"生成成长"),5))*(VLOOKUP($B$5,标准坦克设计!$B$24:$U$30,MATCH("对"&amp;LEFT($C$5,2)&amp;"输出",标准坦克设计!$B$23:$U$23,0)))*(VLOOKUP($B145,INDIRECT($B$5&amp;"生成成长"),3))*(VLOOKUP($B$5,标准坦克设计!$B$14:$K$20,9)/30))</f>
        <v>11.338525855302334</v>
      </c>
      <c r="BP145" s="173">
        <f ca="1">(VLOOKUP(BP$72,INDIRECT($C$5&amp;"生成成长"),2))/((VLOOKUP($B145,INDIRECT($B$5&amp;"生成成长"),4))/(VLOOKUP(BP$72,INDIRECT($C$5&amp;"生成成长"),5))*(VLOOKUP($B$5,标准坦克设计!$B$24:$U$30,MATCH("对"&amp;LEFT($C$5,2)&amp;"输出",标准坦克设计!$B$23:$U$23,0)))*(VLOOKUP($B145,INDIRECT($B$5&amp;"生成成长"),3))*(VLOOKUP($B$5,标准坦克设计!$B$14:$K$20,9)/30))</f>
        <v>12.336075244325635</v>
      </c>
      <c r="BQ145" s="173">
        <f ca="1">(VLOOKUP(BQ$72,INDIRECT($C$5&amp;"生成成长"),2))/((VLOOKUP($B145,INDIRECT($B$5&amp;"生成成长"),4))/(VLOOKUP(BQ$72,INDIRECT($C$5&amp;"生成成长"),5))*(VLOOKUP($B$5,标准坦克设计!$B$24:$U$30,MATCH("对"&amp;LEFT($C$5,2)&amp;"输出",标准坦克设计!$B$23:$U$23,0)))*(VLOOKUP($B145,INDIRECT($B$5&amp;"生成成长"),3))*(VLOOKUP($B$5,标准坦克设计!$B$14:$K$20,9)/30))</f>
        <v>13.375675895649687</v>
      </c>
      <c r="BR145" s="173">
        <f ca="1">(VLOOKUP(BR$72,INDIRECT($C$5&amp;"生成成长"),2))/((VLOOKUP($B145,INDIRECT($B$5&amp;"生成成长"),4))/(VLOOKUP(BR$72,INDIRECT($C$5&amp;"生成成长"),5))*(VLOOKUP($B$5,标准坦克设计!$B$24:$U$30,MATCH("对"&amp;LEFT($C$5,2)&amp;"输出",标准坦克设计!$B$23:$U$23,0)))*(VLOOKUP($B145,INDIRECT($B$5&amp;"生成成长"),3))*(VLOOKUP($B$5,标准坦克设计!$B$14:$K$20,9)/30))</f>
        <v>14.58010711216494</v>
      </c>
      <c r="BS145" s="173">
        <f ca="1">(VLOOKUP(BS$72,INDIRECT($C$5&amp;"生成成长"),2))/((VLOOKUP($B145,INDIRECT($B$5&amp;"生成成长"),4))/(VLOOKUP(BS$72,INDIRECT($C$5&amp;"生成成长"),5))*(VLOOKUP($B$5,标准坦克设计!$B$24:$U$30,MATCH("对"&amp;LEFT($C$5,2)&amp;"输出",标准坦克设计!$B$23:$U$23,0)))*(VLOOKUP($B145,INDIRECT($B$5&amp;"生成成长"),3))*(VLOOKUP($B$5,标准坦克设计!$B$14:$K$20,9)/30))</f>
        <v>15.836453467323095</v>
      </c>
      <c r="BT145" s="173">
        <f ca="1">(VLOOKUP(BT$72,INDIRECT($C$5&amp;"生成成长"),2))/((VLOOKUP($B145,INDIRECT($B$5&amp;"生成成长"),4))/(VLOOKUP(BT$72,INDIRECT($C$5&amp;"生成成长"),5))*(VLOOKUP($B$5,标准坦克设计!$B$24:$U$30,MATCH("对"&amp;LEFT($C$5,2)&amp;"输出",标准坦克设计!$B$23:$U$23,0)))*(VLOOKUP($B145,INDIRECT($B$5&amp;"生成成长"),3))*(VLOOKUP($B$5,标准坦克设计!$B$14:$K$20,9)/30))</f>
        <v>17.144714961124148</v>
      </c>
      <c r="BU145" s="173">
        <f ca="1">(VLOOKUP(BU$72,INDIRECT($C$5&amp;"生成成长"),2))/((VLOOKUP($B145,INDIRECT($B$5&amp;"生成成长"),4))/(VLOOKUP(BU$72,INDIRECT($C$5&amp;"生成成长"),5))*(VLOOKUP($B$5,标准坦克设计!$B$24:$U$30,MATCH("对"&amp;LEFT($C$5,2)&amp;"输出",标准坦克设计!$B$23:$U$23,0)))*(VLOOKUP($B145,INDIRECT($B$5&amp;"生成成长"),3))*(VLOOKUP($B$5,标准坦克设计!$B$14:$K$20,9)/30))</f>
        <v>18.504891593568097</v>
      </c>
      <c r="BV145" s="173">
        <f ca="1">(VLOOKUP(BV$72,INDIRECT($C$5&amp;"生成成长"),2))/((VLOOKUP($B145,INDIRECT($B$5&amp;"生成成长"),4))/(VLOOKUP(BV$72,INDIRECT($C$5&amp;"生成成长"),5))*(VLOOKUP($B$5,标准坦克设计!$B$24:$U$30,MATCH("对"&amp;LEFT($C$5,2)&amp;"输出",标准坦克设计!$B$23:$U$23,0)))*(VLOOKUP($B145,INDIRECT($B$5&amp;"生成成长"),3))*(VLOOKUP($B$5,标准坦克设计!$B$14:$K$20,9)/30))</f>
        <v>19.91698336465495</v>
      </c>
      <c r="BW145" s="173">
        <f ca="1">(VLOOKUP(BW$72,INDIRECT($C$5&amp;"生成成长"),2))/((VLOOKUP($B145,INDIRECT($B$5&amp;"生成成长"),4))/(VLOOKUP(BW$72,INDIRECT($C$5&amp;"生成成长"),5))*(VLOOKUP($B$5,标准坦克设计!$B$24:$U$30,MATCH("对"&amp;LEFT($C$5,2)&amp;"输出",标准坦克设计!$B$23:$U$23,0)))*(VLOOKUP($B145,INDIRECT($B$5&amp;"生成成长"),3))*(VLOOKUP($B$5,标准坦克设计!$B$14:$K$20,9)/30))</f>
        <v>9.0771024160176594</v>
      </c>
      <c r="BX145" s="173">
        <f ca="1">(VLOOKUP(BX$72,INDIRECT($C$5&amp;"生成成长"),2))/((VLOOKUP($B145,INDIRECT($B$5&amp;"生成成长"),4))/(VLOOKUP(BX$72,INDIRECT($C$5&amp;"生成成长"),5))*(VLOOKUP($B$5,标准坦克设计!$B$24:$U$30,MATCH("对"&amp;LEFT($C$5,2)&amp;"输出",标准坦克设计!$B$23:$U$23,0)))*(VLOOKUP($B145,INDIRECT($B$5&amp;"生成成长"),3))*(VLOOKUP($B$5,标准坦克设计!$B$14:$K$20,9)/30))</f>
        <v>10.073873077961318</v>
      </c>
      <c r="BY145" s="173">
        <f ca="1">(VLOOKUP(BY$72,INDIRECT($C$5&amp;"生成成长"),2))/((VLOOKUP($B145,INDIRECT($B$5&amp;"生成成长"),4))/(VLOOKUP(BY$72,INDIRECT($C$5&amp;"生成成长"),5))*(VLOOKUP($B$5,标准坦克设计!$B$24:$U$30,MATCH("对"&amp;LEFT($C$5,2)&amp;"输出",标准坦克设计!$B$23:$U$23,0)))*(VLOOKUP($B145,INDIRECT($B$5&amp;"生成成长"),3))*(VLOOKUP($B$5,标准坦克设计!$B$14:$K$20,9)/30))</f>
        <v>11.122558878547872</v>
      </c>
      <c r="BZ145" s="173">
        <f ca="1">(VLOOKUP(BZ$72,INDIRECT($C$5&amp;"生成成长"),2))/((VLOOKUP($B145,INDIRECT($B$5&amp;"生成成长"),4))/(VLOOKUP(BZ$72,INDIRECT($C$5&amp;"生成成长"),5))*(VLOOKUP($B$5,标准坦克设计!$B$24:$U$30,MATCH("对"&amp;LEFT($C$5,2)&amp;"输出",标准坦克设计!$B$23:$U$23,0)))*(VLOOKUP($B145,INDIRECT($B$5&amp;"生成成长"),3))*(VLOOKUP($B$5,标准坦克设计!$B$14:$K$20,9)/30))</f>
        <v>12.223159817777331</v>
      </c>
      <c r="CA145" s="173">
        <f ca="1">(VLOOKUP(CA$72,INDIRECT($C$5&amp;"生成成长"),2))/((VLOOKUP($B145,INDIRECT($B$5&amp;"生成成长"),4))/(VLOOKUP(CA$72,INDIRECT($C$5&amp;"生成成长"),5))*(VLOOKUP($B$5,标准坦克设计!$B$24:$U$30,MATCH("对"&amp;LEFT($C$5,2)&amp;"输出",标准坦克设计!$B$23:$U$23,0)))*(VLOOKUP($B145,INDIRECT($B$5&amp;"生成成长"),3))*(VLOOKUP($B$5,标准坦克设计!$B$14:$K$20,9)/30))</f>
        <v>13.375675895649687</v>
      </c>
      <c r="CB145" s="173">
        <f ca="1">(VLOOKUP(CB$72,INDIRECT($C$5&amp;"生成成长"),2))/((VLOOKUP($B145,INDIRECT($B$5&amp;"生成成长"),4))/(VLOOKUP(CB$72,INDIRECT($C$5&amp;"生成成长"),5))*(VLOOKUP($B$5,标准坦克设计!$B$24:$U$30,MATCH("对"&amp;LEFT($C$5,2)&amp;"输出",标准坦克设计!$B$23:$U$23,0)))*(VLOOKUP($B145,INDIRECT($B$5&amp;"生成成长"),3))*(VLOOKUP($B$5,标准坦克设计!$B$14:$K$20,9)/30))</f>
        <v>14.58010711216494</v>
      </c>
      <c r="CC145" s="173">
        <f ca="1">(VLOOKUP(CC$72,INDIRECT($C$5&amp;"生成成长"),2))/((VLOOKUP($B145,INDIRECT($B$5&amp;"生成成长"),4))/(VLOOKUP(CC$72,INDIRECT($C$5&amp;"生成成长"),5))*(VLOOKUP($B$5,标准坦克设计!$B$24:$U$30,MATCH("对"&amp;LEFT($C$5,2)&amp;"输出",标准坦克设计!$B$23:$U$23,0)))*(VLOOKUP($B145,INDIRECT($B$5&amp;"生成成长"),3))*(VLOOKUP($B$5,标准坦克设计!$B$14:$K$20,9)/30))</f>
        <v>15.836453467323095</v>
      </c>
      <c r="CD145" s="173">
        <f ca="1">(VLOOKUP(CD$72,INDIRECT($C$5&amp;"生成成长"),2))/((VLOOKUP($B145,INDIRECT($B$5&amp;"生成成长"),4))/(VLOOKUP(CD$72,INDIRECT($C$5&amp;"生成成长"),5))*(VLOOKUP($B$5,标准坦克设计!$B$24:$U$30,MATCH("对"&amp;LEFT($C$5,2)&amp;"输出",标准坦克设计!$B$23:$U$23,0)))*(VLOOKUP($B145,INDIRECT($B$5&amp;"生成成长"),3))*(VLOOKUP($B$5,标准坦克设计!$B$14:$K$20,9)/30))</f>
        <v>17.144714961124148</v>
      </c>
      <c r="CE145" s="173">
        <f ca="1">(VLOOKUP(CE$72,INDIRECT($C$5&amp;"生成成长"),2))/((VLOOKUP($B145,INDIRECT($B$5&amp;"生成成长"),4))/(VLOOKUP(CE$72,INDIRECT($C$5&amp;"生成成长"),5))*(VLOOKUP($B$5,标准坦克设计!$B$24:$U$30,MATCH("对"&amp;LEFT($C$5,2)&amp;"输出",标准坦克设计!$B$23:$U$23,0)))*(VLOOKUP($B145,INDIRECT($B$5&amp;"生成成长"),3))*(VLOOKUP($B$5,标准坦克设计!$B$14:$K$20,9)/30))</f>
        <v>18.504891593568097</v>
      </c>
      <c r="CF145" s="173">
        <f ca="1">(VLOOKUP(CF$72,INDIRECT($C$5&amp;"生成成长"),2))/((VLOOKUP($B145,INDIRECT($B$5&amp;"生成成长"),4))/(VLOOKUP(CF$72,INDIRECT($C$5&amp;"生成成长"),5))*(VLOOKUP($B$5,标准坦克设计!$B$24:$U$30,MATCH("对"&amp;LEFT($C$5,2)&amp;"输出",标准坦克设计!$B$23:$U$23,0)))*(VLOOKUP($B145,INDIRECT($B$5&amp;"生成成长"),3))*(VLOOKUP($B$5,标准坦克设计!$B$14:$K$20,9)/30))</f>
        <v>19.91698336465495</v>
      </c>
      <c r="CG145" s="173">
        <f ca="1">(VLOOKUP(CG$72,INDIRECT($C$5&amp;"生成成长"),2))/((VLOOKUP($B145,INDIRECT($B$5&amp;"生成成长"),4))/(VLOOKUP(CG$72,INDIRECT($C$5&amp;"生成成长"),5))*(VLOOKUP($B$5,标准坦克设计!$B$24:$U$30,MATCH("对"&amp;LEFT($C$5,2)&amp;"输出",标准坦克设计!$B$23:$U$23,0)))*(VLOOKUP($B145,INDIRECT($B$5&amp;"生成成长"),3))*(VLOOKUP($B$5,标准坦克设计!$B$14:$K$20,9)/30))</f>
        <v>21.380990274384697</v>
      </c>
      <c r="CH145" s="173">
        <f ca="1">(VLOOKUP(CH$72,INDIRECT($C$5&amp;"生成成长"),2))/((VLOOKUP($B145,INDIRECT($B$5&amp;"生成成长"),4))/(VLOOKUP(CH$72,INDIRECT($C$5&amp;"生成成长"),5))*(VLOOKUP($B$5,标准坦克设计!$B$24:$U$30,MATCH("对"&amp;LEFT($C$5,2)&amp;"输出",标准坦克设计!$B$23:$U$23,0)))*(VLOOKUP($B145,INDIRECT($B$5&amp;"生成成长"),3))*(VLOOKUP($B$5,标准坦克设计!$B$14:$K$20,9)/30))</f>
        <v>22.896912322757345</v>
      </c>
      <c r="CI145" s="173">
        <f ca="1">(VLOOKUP(CI$72,INDIRECT($C$5&amp;"生成成长"),2))/((VLOOKUP($B145,INDIRECT($B$5&amp;"生成成长"),4))/(VLOOKUP(CI$72,INDIRECT($C$5&amp;"生成成长"),5))*(VLOOKUP($B$5,标准坦克设计!$B$24:$U$30,MATCH("对"&amp;LEFT($C$5,2)&amp;"输出",标准坦克设计!$B$23:$U$23,0)))*(VLOOKUP($B145,INDIRECT($B$5&amp;"生成成长"),3))*(VLOOKUP($B$5,标准坦克设计!$B$14:$K$20,9)/30))</f>
        <v>24.624388561099806</v>
      </c>
      <c r="CJ145" s="173">
        <f ca="1">(VLOOKUP(CJ$72,INDIRECT($C$5&amp;"生成成长"),2))/((VLOOKUP($B145,INDIRECT($B$5&amp;"生成成长"),4))/(VLOOKUP(CJ$72,INDIRECT($C$5&amp;"生成成长"),5))*(VLOOKUP($B$5,标准坦克设计!$B$24:$U$30,MATCH("对"&amp;LEFT($C$5,2)&amp;"输出",标准坦克设计!$B$23:$U$23,0)))*(VLOOKUP($B145,INDIRECT($B$5&amp;"生成成长"),3))*(VLOOKUP($B$5,标准坦克设计!$B$14:$K$20,9)/30))</f>
        <v>26.414682117200176</v>
      </c>
      <c r="CK145" s="173">
        <f ca="1">(VLOOKUP(CK$72,INDIRECT($C$5&amp;"生成成长"),2))/((VLOOKUP($B145,INDIRECT($B$5&amp;"生成成长"),4))/(VLOOKUP(CK$72,INDIRECT($C$5&amp;"生成成长"),5))*(VLOOKUP($B$5,标准坦克设计!$B$24:$U$30,MATCH("对"&amp;LEFT($C$5,2)&amp;"输出",标准坦克设计!$B$23:$U$23,0)))*(VLOOKUP($B145,INDIRECT($B$5&amp;"生成成长"),3))*(VLOOKUP($B$5,标准坦克设计!$B$14:$K$20,9)/30))</f>
        <v>28.267792991058453</v>
      </c>
      <c r="CL145" s="173">
        <f ca="1">(VLOOKUP(CL$72,INDIRECT($C$5&amp;"生成成长"),2))/((VLOOKUP($B145,INDIRECT($B$5&amp;"生成成长"),4))/(VLOOKUP(CL$72,INDIRECT($C$5&amp;"生成成长"),5))*(VLOOKUP($B$5,标准坦克设计!$B$24:$U$30,MATCH("对"&amp;LEFT($C$5,2)&amp;"输出",标准坦克设计!$B$23:$U$23,0)))*(VLOOKUP($B145,INDIRECT($B$5&amp;"生成成长"),3))*(VLOOKUP($B$5,标准坦克设计!$B$14:$K$20,9)/30))</f>
        <v>30.183721182674642</v>
      </c>
      <c r="CM145" s="173">
        <f ca="1">(VLOOKUP(CM$72,INDIRECT($C$5&amp;"生成成长"),2))/((VLOOKUP($B145,INDIRECT($B$5&amp;"生成成长"),4))/(VLOOKUP(CM$72,INDIRECT($C$5&amp;"生成成长"),5))*(VLOOKUP($B$5,标准坦克设计!$B$24:$U$30,MATCH("对"&amp;LEFT($C$5,2)&amp;"输出",标准坦克设计!$B$23:$U$23,0)))*(VLOOKUP($B145,INDIRECT($B$5&amp;"生成成长"),3))*(VLOOKUP($B$5,标准坦克设计!$B$14:$K$20,9)/30))</f>
        <v>32.162466692048724</v>
      </c>
      <c r="CN145" s="173">
        <f ca="1">(VLOOKUP(CN$72,INDIRECT($C$5&amp;"生成成长"),2))/((VLOOKUP($B145,INDIRECT($B$5&amp;"生成成长"),4))/(VLOOKUP(CN$72,INDIRECT($C$5&amp;"生成成长"),5))*(VLOOKUP($B$5,标准坦克设计!$B$24:$U$30,MATCH("对"&amp;LEFT($C$5,2)&amp;"输出",标准坦克设计!$B$23:$U$23,0)))*(VLOOKUP($B145,INDIRECT($B$5&amp;"生成成长"),3))*(VLOOKUP($B$5,标准坦克设计!$B$14:$K$20,9)/30))</f>
        <v>34.204029519180729</v>
      </c>
      <c r="CO145" s="173">
        <f ca="1">(VLOOKUP(CO$72,INDIRECT($C$5&amp;"生成成长"),2))/((VLOOKUP($B145,INDIRECT($B$5&amp;"生成成长"),4))/(VLOOKUP(CO$72,INDIRECT($C$5&amp;"生成成长"),5))*(VLOOKUP($B$5,标准坦克设计!$B$24:$U$30,MATCH("对"&amp;LEFT($C$5,2)&amp;"输出",标准坦克设计!$B$23:$U$23,0)))*(VLOOKUP($B145,INDIRECT($B$5&amp;"生成成长"),3))*(VLOOKUP($B$5,标准坦克设计!$B$14:$K$20,9)/30))</f>
        <v>15.327685108622685</v>
      </c>
      <c r="CP145" s="173">
        <f ca="1">(VLOOKUP(CP$72,INDIRECT($C$5&amp;"生成成长"),2))/((VLOOKUP($B145,INDIRECT($B$5&amp;"生成成长"),4))/(VLOOKUP(CP$72,INDIRECT($C$5&amp;"生成成长"),5))*(VLOOKUP($B$5,标准坦克设计!$B$24:$U$30,MATCH("对"&amp;LEFT($C$5,2)&amp;"输出",标准坦克设计!$B$23:$U$23,0)))*(VLOOKUP($B145,INDIRECT($B$5&amp;"生成成长"),3))*(VLOOKUP($B$5,标准坦克设计!$B$14:$K$20,9)/30))</f>
        <v>16.746785423426328</v>
      </c>
      <c r="CQ145" s="173">
        <f ca="1">(VLOOKUP(CQ$72,INDIRECT($C$5&amp;"生成成长"),2))/((VLOOKUP($B145,INDIRECT($B$5&amp;"生成成长"),4))/(VLOOKUP(CQ$72,INDIRECT($C$5&amp;"生成成长"),5))*(VLOOKUP($B$5,标准坦克设计!$B$24:$U$30,MATCH("对"&amp;LEFT($C$5,2)&amp;"输出",标准坦克设计!$B$23:$U$23,0)))*(VLOOKUP($B145,INDIRECT($B$5&amp;"生成成长"),3))*(VLOOKUP($B$5,标准坦克设计!$B$14:$K$20,9)/30))</f>
        <v>18.228703055987879</v>
      </c>
      <c r="CR145" s="173">
        <f ca="1">(VLOOKUP(CR$72,INDIRECT($C$5&amp;"生成成长"),2))/((VLOOKUP($B145,INDIRECT($B$5&amp;"生成成长"),4))/(VLOOKUP(CR$72,INDIRECT($C$5&amp;"生成成长"),5))*(VLOOKUP($B$5,标准坦克设计!$B$24:$U$30,MATCH("对"&amp;LEFT($C$5,2)&amp;"输出",标准坦克设计!$B$23:$U$23,0)))*(VLOOKUP($B145,INDIRECT($B$5&amp;"生成成长"),3))*(VLOOKUP($B$5,标准坦克设计!$B$14:$K$20,9)/30))</f>
        <v>19.77343800630733</v>
      </c>
      <c r="CS145" s="173">
        <f ca="1">(VLOOKUP(CS$72,INDIRECT($C$5&amp;"生成成长"),2))/((VLOOKUP($B145,INDIRECT($B$5&amp;"生成成长"),4))/(VLOOKUP(CS$72,INDIRECT($C$5&amp;"生成成长"),5))*(VLOOKUP($B$5,标准坦克设计!$B$24:$U$30,MATCH("对"&amp;LEFT($C$5,2)&amp;"输出",标准坦克设计!$B$23:$U$23,0)))*(VLOOKUP($B145,INDIRECT($B$5&amp;"生成成长"),3))*(VLOOKUP($B$5,标准坦克设计!$B$14:$K$20,9)/30))</f>
        <v>21.380990274384697</v>
      </c>
      <c r="CT145" s="173">
        <f ca="1">(VLOOKUP(CT$72,INDIRECT($C$5&amp;"生成成长"),2))/((VLOOKUP($B145,INDIRECT($B$5&amp;"生成成长"),4))/(VLOOKUP(CT$72,INDIRECT($C$5&amp;"生成成长"),5))*(VLOOKUP($B$5,标准坦克设计!$B$24:$U$30,MATCH("对"&amp;LEFT($C$5,2)&amp;"输出",标准坦克设计!$B$23:$U$23,0)))*(VLOOKUP($B145,INDIRECT($B$5&amp;"生成成长"),3))*(VLOOKUP($B$5,标准坦克设计!$B$14:$K$20,9)/30))</f>
        <v>23.051359860219968</v>
      </c>
      <c r="CU145" s="173">
        <f ca="1">(VLOOKUP(CU$72,INDIRECT($C$5&amp;"生成成长"),2))/((VLOOKUP($B145,INDIRECT($B$5&amp;"生成成长"),4))/(VLOOKUP(CU$72,INDIRECT($C$5&amp;"生成成长"),5))*(VLOOKUP($B$5,标准坦克设计!$B$24:$U$30,MATCH("对"&amp;LEFT($C$5,2)&amp;"输出",标准坦克设计!$B$23:$U$23,0)))*(VLOOKUP($B145,INDIRECT($B$5&amp;"生成成长"),3))*(VLOOKUP($B$5,标准坦克设计!$B$14:$K$20,9)/30))</f>
        <v>24.784546763813147</v>
      </c>
      <c r="CV145" s="173">
        <f ca="1">(VLOOKUP(CV$72,INDIRECT($C$5&amp;"生成成长"),2))/((VLOOKUP($B145,INDIRECT($B$5&amp;"生成成长"),4))/(VLOOKUP(CV$72,INDIRECT($C$5&amp;"生成成长"),5))*(VLOOKUP($B$5,标准坦克设计!$B$24:$U$30,MATCH("对"&amp;LEFT($C$5,2)&amp;"输出",标准坦克设计!$B$23:$U$23,0)))*(VLOOKUP($B145,INDIRECT($B$5&amp;"生成成长"),3))*(VLOOKUP($B$5,标准坦克设计!$B$14:$K$20,9)/30))</f>
        <v>26.580550985164237</v>
      </c>
      <c r="CW145" s="173">
        <f ca="1">(VLOOKUP(CW$72,INDIRECT($C$5&amp;"生成成长"),2))/((VLOOKUP($B145,INDIRECT($B$5&amp;"生成成长"),4))/(VLOOKUP(CW$72,INDIRECT($C$5&amp;"生成成长"),5))*(VLOOKUP($B$5,标准坦克设计!$B$24:$U$30,MATCH("对"&amp;LEFT($C$5,2)&amp;"输出",标准坦克设计!$B$23:$U$23,0)))*(VLOOKUP($B145,INDIRECT($B$5&amp;"生成成长"),3))*(VLOOKUP($B$5,标准坦克设计!$B$14:$K$20,9)/30))</f>
        <v>28.439372524273232</v>
      </c>
      <c r="CX145" s="173">
        <f ca="1">(VLOOKUP(CX$72,INDIRECT($C$5&amp;"生成成长"),2))/((VLOOKUP($B145,INDIRECT($B$5&amp;"生成成长"),4))/(VLOOKUP(CX$72,INDIRECT($C$5&amp;"生成成长"),5))*(VLOOKUP($B$5,标准坦克设计!$B$24:$U$30,MATCH("对"&amp;LEFT($C$5,2)&amp;"输出",标准坦克设计!$B$23:$U$23,0)))*(VLOOKUP($B145,INDIRECT($B$5&amp;"生成成长"),3))*(VLOOKUP($B$5,标准坦克设计!$B$14:$K$20,9)/30))</f>
        <v>30.361011381140138</v>
      </c>
      <c r="CY145" s="173">
        <f ca="1">(VLOOKUP(CY$72,INDIRECT($C$5&amp;"生成成长"),2))/((VLOOKUP($B145,INDIRECT($B$5&amp;"生成成长"),4))/(VLOOKUP(CY$72,INDIRECT($C$5&amp;"生成成长"),5))*(VLOOKUP($B$5,标准坦克设计!$B$24:$U$30,MATCH("对"&amp;LEFT($C$5,2)&amp;"输出",标准坦克设计!$B$23:$U$23,0)))*(VLOOKUP($B145,INDIRECT($B$5&amp;"生成成长"),3))*(VLOOKUP($B$5,标准坦克设计!$B$14:$K$20,9)/30))</f>
        <v>32.345467555764934</v>
      </c>
      <c r="CZ145" s="173">
        <f ca="1">(VLOOKUP(CZ$72,INDIRECT($C$5&amp;"生成成长"),2))/((VLOOKUP($B145,INDIRECT($B$5&amp;"生成成长"),4))/(VLOOKUP(CZ$72,INDIRECT($C$5&amp;"生成成长"),5))*(VLOOKUP($B$5,标准坦克设计!$B$24:$U$30,MATCH("对"&amp;LEFT($C$5,2)&amp;"输出",标准坦克设计!$B$23:$U$23,0)))*(VLOOKUP($B145,INDIRECT($B$5&amp;"生成成长"),3))*(VLOOKUP($B$5,标准坦克设计!$B$14:$K$20,9)/30))</f>
        <v>34.392741048147663</v>
      </c>
      <c r="DA145" s="173">
        <f ca="1">(VLOOKUP(DA$72,INDIRECT($C$5&amp;"生成成长"),2))/((VLOOKUP($B145,INDIRECT($B$5&amp;"生成成长"),4))/(VLOOKUP(DA$72,INDIRECT($C$5&amp;"生成成长"),5))*(VLOOKUP($B$5,标准坦克设计!$B$24:$U$30,MATCH("对"&amp;LEFT($C$5,2)&amp;"输出",标准坦克设计!$B$23:$U$23,0)))*(VLOOKUP($B145,INDIRECT($B$5&amp;"生成成长"),3))*(VLOOKUP($B$5,标准坦克设计!$B$14:$K$20,9)/30))</f>
        <v>36.502831858288296</v>
      </c>
      <c r="DB145" s="173">
        <f ca="1">(VLOOKUP(DB$72,INDIRECT($C$5&amp;"生成成长"),2))/((VLOOKUP($B145,INDIRECT($B$5&amp;"生成成长"),4))/(VLOOKUP(DB$72,INDIRECT($C$5&amp;"生成成长"),5))*(VLOOKUP($B$5,标准坦克设计!$B$24:$U$30,MATCH("对"&amp;LEFT($C$5,2)&amp;"输出",标准坦克设计!$B$23:$U$23,0)))*(VLOOKUP($B145,INDIRECT($B$5&amp;"生成成长"),3))*(VLOOKUP($B$5,标准坦克设计!$B$14:$K$20,9)/30))</f>
        <v>38.675739986186827</v>
      </c>
      <c r="DC145" s="173">
        <f ca="1">(VLOOKUP(DC$72,INDIRECT($C$5&amp;"生成成长"),2))/((VLOOKUP($B145,INDIRECT($B$5&amp;"生成成长"),4))/(VLOOKUP(DC$72,INDIRECT($C$5&amp;"生成成长"),5))*(VLOOKUP($B$5,标准坦克设计!$B$24:$U$30,MATCH("对"&amp;LEFT($C$5,2)&amp;"输出",标准坦克设计!$B$23:$U$23,0)))*(VLOOKUP($B145,INDIRECT($B$5&amp;"生成成长"),3))*(VLOOKUP($B$5,标准坦克设计!$B$14:$K$20,9)/30))</f>
        <v>41.117828107948782</v>
      </c>
      <c r="DD145" s="173">
        <f ca="1">(VLOOKUP(DD$72,INDIRECT($C$5&amp;"生成成长"),2))/((VLOOKUP($B145,INDIRECT($B$5&amp;"生成成长"),4))/(VLOOKUP(DD$72,INDIRECT($C$5&amp;"生成成长"),5))*(VLOOKUP($B$5,标准坦克设计!$B$24:$U$30,MATCH("对"&amp;LEFT($C$5,2)&amp;"输出",标准坦克设计!$B$23:$U$23,0)))*(VLOOKUP($B145,INDIRECT($B$5&amp;"生成成长"),3))*(VLOOKUP($B$5,标准坦克设计!$B$14:$K$20,9)/30))</f>
        <v>43.634674029356525</v>
      </c>
      <c r="DE145" s="173">
        <f ca="1">(VLOOKUP(DE$72,INDIRECT($C$5&amp;"生成成长"),2))/((VLOOKUP($B145,INDIRECT($B$5&amp;"生成成长"),4))/(VLOOKUP(DE$72,INDIRECT($C$5&amp;"生成成长"),5))*(VLOOKUP($B$5,标准坦克设计!$B$24:$U$30,MATCH("对"&amp;LEFT($C$5,2)&amp;"输出",标准坦克设计!$B$23:$U$23,0)))*(VLOOKUP($B145,INDIRECT($B$5&amp;"生成成长"),3))*(VLOOKUP($B$5,标准坦克设计!$B$14:$K$20,9)/30))</f>
        <v>46.226277750410034</v>
      </c>
      <c r="DF145" s="173">
        <f ca="1">(VLOOKUP(DF$72,INDIRECT($C$5&amp;"生成成长"),2))/((VLOOKUP($B145,INDIRECT($B$5&amp;"生成成长"),4))/(VLOOKUP(DF$72,INDIRECT($C$5&amp;"生成成长"),5))*(VLOOKUP($B$5,标准坦克设计!$B$24:$U$30,MATCH("对"&amp;LEFT($C$5,2)&amp;"输出",标准坦克设计!$B$23:$U$23,0)))*(VLOOKUP($B145,INDIRECT($B$5&amp;"生成成长"),3))*(VLOOKUP($B$5,标准坦克设计!$B$14:$K$20,9)/30))</f>
        <v>48.892639271109324</v>
      </c>
      <c r="DG145" s="173">
        <f ca="1">(VLOOKUP(DG$72,INDIRECT($C$5&amp;"生成成长"),2))/((VLOOKUP($B145,INDIRECT($B$5&amp;"生成成长"),4))/(VLOOKUP(DG$72,INDIRECT($C$5&amp;"生成成长"),5))*(VLOOKUP($B$5,标准坦克设计!$B$24:$U$30,MATCH("对"&amp;LEFT($C$5,2)&amp;"输出",标准坦克设计!$B$23:$U$23,0)))*(VLOOKUP($B145,INDIRECT($B$5&amp;"生成成长"),3))*(VLOOKUP($B$5,标准坦克设计!$B$14:$K$20,9)/30))</f>
        <v>51.633758591454395</v>
      </c>
      <c r="DH145" s="173">
        <f ca="1">(VLOOKUP(DH$72,INDIRECT($C$5&amp;"生成成长"),2))/((VLOOKUP($B145,INDIRECT($B$5&amp;"生成成长"),4))/(VLOOKUP(DH$72,INDIRECT($C$5&amp;"生成成长"),5))*(VLOOKUP($B$5,标准坦克设计!$B$24:$U$30,MATCH("对"&amp;LEFT($C$5,2)&amp;"输出",标准坦克设计!$B$23:$U$23,0)))*(VLOOKUP($B145,INDIRECT($B$5&amp;"生成成长"),3))*(VLOOKUP($B$5,标准坦克设计!$B$14:$K$20,9)/30))</f>
        <v>54.449635711445232</v>
      </c>
      <c r="DI145" s="173">
        <f ca="1">(VLOOKUP(DI$72,INDIRECT($C$5&amp;"生成成长"),2))/((VLOOKUP($B145,INDIRECT($B$5&amp;"生成成长"),4))/(VLOOKUP(DI$72,INDIRECT($C$5&amp;"生成成长"),5))*(VLOOKUP($B$5,标准坦克设计!$B$24:$U$30,MATCH("对"&amp;LEFT($C$5,2)&amp;"输出",标准坦克设计!$B$23:$U$23,0)))*(VLOOKUP($B145,INDIRECT($B$5&amp;"生成成长"),3))*(VLOOKUP($B$5,标准坦克设计!$B$14:$K$20,9)/30))</f>
        <v>57.340270631081822</v>
      </c>
      <c r="DJ145" s="173">
        <f ca="1">(VLOOKUP(DJ$72,INDIRECT($C$5&amp;"生成成长"),2))/((VLOOKUP($B145,INDIRECT($B$5&amp;"生成成长"),4))/(VLOOKUP(DJ$72,INDIRECT($C$5&amp;"生成成长"),5))*(VLOOKUP($B$5,标准坦克设计!$B$24:$U$30,MATCH("对"&amp;LEFT($C$5,2)&amp;"输出",标准坦克设计!$B$23:$U$23,0)))*(VLOOKUP($B145,INDIRECT($B$5&amp;"生成成长"),3))*(VLOOKUP($B$5,标准坦克设计!$B$14:$K$20,9)/30))</f>
        <v>5.762839965054992</v>
      </c>
      <c r="DK145" s="173">
        <f ca="1">(VLOOKUP(DK$72,INDIRECT($C$5&amp;"生成成长"),2))/((VLOOKUP($B145,INDIRECT($B$5&amp;"生成成长"),4))/(VLOOKUP(DK$72,INDIRECT($C$5&amp;"生成成长"),5))*(VLOOKUP($B$5,标准坦克设计!$B$24:$U$30,MATCH("对"&amp;LEFT($C$5,2)&amp;"输出",标准坦克设计!$B$23:$U$23,0)))*(VLOOKUP($B145,INDIRECT($B$5&amp;"生成成长"),3))*(VLOOKUP($B$5,标准坦克设计!$B$14:$K$20,9)/30))</f>
        <v>6.4800476054066394</v>
      </c>
      <c r="DL145" s="173">
        <f ca="1">(VLOOKUP(DL$72,INDIRECT($C$5&amp;"生成成长"),2))/((VLOOKUP($B145,INDIRECT($B$5&amp;"生成成长"),4))/(VLOOKUP(DL$72,INDIRECT($C$5&amp;"生成成长"),5))*(VLOOKUP($B$5,标准坦克设计!$B$24:$U$30,MATCH("对"&amp;LEFT($C$5,2)&amp;"输出",标准坦克设计!$B$23:$U$23,0)))*(VLOOKUP($B145,INDIRECT($B$5&amp;"生成成长"),3))*(VLOOKUP($B$5,标准坦克设计!$B$14:$K$20,9)/30))</f>
        <v>7.2393065080590366</v>
      </c>
      <c r="DM145" s="173">
        <f ca="1">(VLOOKUP(DM$72,INDIRECT($C$5&amp;"生成成长"),2))/((VLOOKUP($B145,INDIRECT($B$5&amp;"生成成长"),4))/(VLOOKUP(DM$72,INDIRECT($C$5&amp;"生成成长"),5))*(VLOOKUP($B$5,标准坦克设计!$B$24:$U$30,MATCH("对"&amp;LEFT($C$5,2)&amp;"输出",标准坦克设计!$B$23:$U$23,0)))*(VLOOKUP($B145,INDIRECT($B$5&amp;"生成成长"),3))*(VLOOKUP($B$5,标准坦克设计!$B$14:$K$20,9)/30))</f>
        <v>8.0406166730121811</v>
      </c>
      <c r="DN145" s="173">
        <f ca="1">(VLOOKUP(DN$72,INDIRECT($C$5&amp;"生成成长"),2))/((VLOOKUP($B145,INDIRECT($B$5&amp;"生成成长"),4))/(VLOOKUP(DN$72,INDIRECT($C$5&amp;"生成成长"),5))*(VLOOKUP($B$5,标准坦克设计!$B$24:$U$30,MATCH("对"&amp;LEFT($C$5,2)&amp;"输出",标准坦克设计!$B$23:$U$23,0)))*(VLOOKUP($B145,INDIRECT($B$5&amp;"生成成长"),3))*(VLOOKUP($B$5,标准坦克设计!$B$14:$K$20,9)/30))</f>
        <v>8.8839781002660754</v>
      </c>
      <c r="DO145" s="173">
        <f ca="1">(VLOOKUP(DO$72,INDIRECT($C$5&amp;"生成成长"),2))/((VLOOKUP($B145,INDIRECT($B$5&amp;"生成成长"),4))/(VLOOKUP(DO$72,INDIRECT($C$5&amp;"生成成长"),5))*(VLOOKUP($B$5,标准坦克设计!$B$24:$U$30,MATCH("对"&amp;LEFT($C$5,2)&amp;"输出",标准坦克设计!$B$23:$U$23,0)))*(VLOOKUP($B145,INDIRECT($B$5&amp;"生成成长"),3))*(VLOOKUP($B$5,标准坦克设计!$B$14:$K$20,9)/30))</f>
        <v>9.7693907898207133</v>
      </c>
      <c r="DP145" s="173">
        <f ca="1">(VLOOKUP(DP$72,INDIRECT($C$5&amp;"生成成长"),2))/((VLOOKUP($B145,INDIRECT($B$5&amp;"生成成长"),4))/(VLOOKUP(DP$72,INDIRECT($C$5&amp;"生成成长"),5))*(VLOOKUP($B$5,标准坦克设计!$B$24:$U$30,MATCH("对"&amp;LEFT($C$5,2)&amp;"输出",标准坦克设计!$B$23:$U$23,0)))*(VLOOKUP($B145,INDIRECT($B$5&amp;"生成成长"),3))*(VLOOKUP($B$5,标准坦克设计!$B$14:$K$20,9)/30))</f>
        <v>10.696854741676104</v>
      </c>
      <c r="DQ145" s="173">
        <f ca="1">(VLOOKUP(DQ$72,INDIRECT($C$5&amp;"生成成长"),2))/((VLOOKUP($B145,INDIRECT($B$5&amp;"生成成长"),4))/(VLOOKUP(DQ$72,INDIRECT($C$5&amp;"生成成长"),5))*(VLOOKUP($B$5,标准坦克设计!$B$24:$U$30,MATCH("对"&amp;LEFT($C$5,2)&amp;"输出",标准坦克设计!$B$23:$U$23,0)))*(VLOOKUP($B145,INDIRECT($B$5&amp;"生成成长"),3))*(VLOOKUP($B$5,标准坦克设计!$B$14:$K$20,9)/30))</f>
        <v>11.666369955832241</v>
      </c>
      <c r="DR145" s="173">
        <f ca="1">(VLOOKUP(DR$72,INDIRECT($C$5&amp;"生成成长"),2))/((VLOOKUP($B145,INDIRECT($B$5&amp;"生成成长"),4))/(VLOOKUP(DR$72,INDIRECT($C$5&amp;"生成成长"),5))*(VLOOKUP($B$5,标准坦克设计!$B$24:$U$30,MATCH("对"&amp;LEFT($C$5,2)&amp;"输出",标准坦克设计!$B$23:$U$23,0)))*(VLOOKUP($B145,INDIRECT($B$5&amp;"生成成长"),3))*(VLOOKUP($B$5,标准坦克设计!$B$14:$K$20,9)/30))</f>
        <v>12.677936432289126</v>
      </c>
      <c r="DS145" s="173">
        <f ca="1">(VLOOKUP(DS$72,INDIRECT($C$5&amp;"生成成长"),2))/((VLOOKUP($B145,INDIRECT($B$5&amp;"生成成长"),4))/(VLOOKUP(DS$72,INDIRECT($C$5&amp;"生成成长"),5))*(VLOOKUP($B$5,标准坦克设计!$B$24:$U$30,MATCH("对"&amp;LEFT($C$5,2)&amp;"输出",标准坦克设计!$B$23:$U$23,0)))*(VLOOKUP($B145,INDIRECT($B$5&amp;"生成成长"),3))*(VLOOKUP($B$5,标准坦克设计!$B$14:$K$20,9)/30))</f>
        <v>13.731554171046758</v>
      </c>
      <c r="DT145" s="173">
        <f ca="1">(VLOOKUP(DT$72,INDIRECT($C$5&amp;"生成成长"),2))/((VLOOKUP($B145,INDIRECT($B$5&amp;"生成成长"),4))/(VLOOKUP(DT$72,INDIRECT($C$5&amp;"生成成长"),5))*(VLOOKUP($B$5,标准坦克设计!$B$24:$U$30,MATCH("对"&amp;LEFT($C$5,2)&amp;"输出",标准坦克设计!$B$23:$U$23,0)))*(VLOOKUP($B145,INDIRECT($B$5&amp;"生成成长"),3))*(VLOOKUP($B$5,标准坦克设计!$B$14:$K$20,9)/30))</f>
        <v>15.076415837591057</v>
      </c>
      <c r="DU145" s="173">
        <f ca="1">(VLOOKUP(DU$72,INDIRECT($C$5&amp;"生成成长"),2))/((VLOOKUP($B145,INDIRECT($B$5&amp;"生成成长"),4))/(VLOOKUP(DU$72,INDIRECT($C$5&amp;"生成成长"),5))*(VLOOKUP($B$5,标准坦克设计!$B$24:$U$30,MATCH("对"&amp;LEFT($C$5,2)&amp;"输出",标准坦克设计!$B$23:$U$23,0)))*(VLOOKUP($B145,INDIRECT($B$5&amp;"生成成长"),3))*(VLOOKUP($B$5,标准坦克设计!$B$14:$K$20,9)/30))</f>
        <v>16.484094821893258</v>
      </c>
      <c r="DV145" s="173">
        <f ca="1">(VLOOKUP(DV$72,INDIRECT($C$5&amp;"生成成长"),2))/((VLOOKUP($B145,INDIRECT($B$5&amp;"生成成长"),4))/(VLOOKUP(DV$72,INDIRECT($C$5&amp;"生成成长"),5))*(VLOOKUP($B$5,标准坦克设计!$B$24:$U$30,MATCH("对"&amp;LEFT($C$5,2)&amp;"输出",标准坦克设计!$B$23:$U$23,0)))*(VLOOKUP($B145,INDIRECT($B$5&amp;"生成成长"),3))*(VLOOKUP($B$5,标准坦克设计!$B$14:$K$20,9)/30))</f>
        <v>17.954591123953371</v>
      </c>
      <c r="DW145" s="173">
        <f ca="1">(VLOOKUP(DW$72,INDIRECT($C$5&amp;"生成成长"),2))/((VLOOKUP($B145,INDIRECT($B$5&amp;"生成成长"),4))/(VLOOKUP(DW$72,INDIRECT($C$5&amp;"生成成长"),5))*(VLOOKUP($B$5,标准坦克设计!$B$24:$U$30,MATCH("对"&amp;LEFT($C$5,2)&amp;"输出",标准坦克设计!$B$23:$U$23,0)))*(VLOOKUP($B145,INDIRECT($B$5&amp;"生成成长"),3))*(VLOOKUP($B$5,标准坦克设计!$B$14:$K$20,9)/30))</f>
        <v>19.487904743771388</v>
      </c>
      <c r="DX145" s="173">
        <f ca="1">(VLOOKUP(DX$72,INDIRECT($C$5&amp;"生成成长"),2))/((VLOOKUP($B145,INDIRECT($B$5&amp;"生成成长"),4))/(VLOOKUP(DX$72,INDIRECT($C$5&amp;"生成成长"),5))*(VLOOKUP($B$5,标准坦克设计!$B$24:$U$30,MATCH("对"&amp;LEFT($C$5,2)&amp;"输出",标准坦克设计!$B$23:$U$23,0)))*(VLOOKUP($B145,INDIRECT($B$5&amp;"生成成长"),3))*(VLOOKUP($B$5,标准坦克设计!$B$14:$K$20,9)/30))</f>
        <v>21.084035681347313</v>
      </c>
      <c r="DY145" s="173">
        <f ca="1">(VLOOKUP(DY$72,INDIRECT($C$5&amp;"生成成长"),2))/((VLOOKUP($B145,INDIRECT($B$5&amp;"生成成长"),4))/(VLOOKUP(DY$72,INDIRECT($C$5&amp;"生成成长"),5))*(VLOOKUP($B$5,标准坦克设计!$B$24:$U$30,MATCH("对"&amp;LEFT($C$5,2)&amp;"输出",标准坦克设计!$B$23:$U$23,0)))*(VLOOKUP($B145,INDIRECT($B$5&amp;"生成成长"),3))*(VLOOKUP($B$5,标准坦克设计!$B$14:$K$20,9)/30))</f>
        <v>9.4695808641579742</v>
      </c>
      <c r="DZ145" s="173">
        <f ca="1">(VLOOKUP(DZ$72,INDIRECT($C$5&amp;"生成成长"),2))/((VLOOKUP($B145,INDIRECT($B$5&amp;"生成成长"),4))/(VLOOKUP(DZ$72,INDIRECT($C$5&amp;"生成成长"),5))*(VLOOKUP($B$5,标准坦克设计!$B$24:$U$30,MATCH("对"&amp;LEFT($C$5,2)&amp;"输出",标准坦克设计!$B$23:$U$23,0)))*(VLOOKUP($B145,INDIRECT($B$5&amp;"生成成长"),3))*(VLOOKUP($B$5,标准坦克设计!$B$14:$K$20,9)/30))</f>
        <v>10.487117581558794</v>
      </c>
      <c r="EA145" s="173">
        <f ca="1">(VLOOKUP(EA$72,INDIRECT($C$5&amp;"生成成长"),2))/((VLOOKUP($B145,INDIRECT($B$5&amp;"生成成长"),4))/(VLOOKUP(EA$72,INDIRECT($C$5&amp;"生成成长"),5))*(VLOOKUP($B$5,标准坦克设计!$B$24:$U$30,MATCH("对"&amp;LEFT($C$5,2)&amp;"输出",标准坦克设计!$B$23:$U$23,0)))*(VLOOKUP($B145,INDIRECT($B$5&amp;"生成成长"),3))*(VLOOKUP($B$5,标准坦克设计!$B$14:$K$20,9)/30))</f>
        <v>11.556569437602509</v>
      </c>
      <c r="EB145" s="173">
        <f ca="1">(VLOOKUP(EB$72,INDIRECT($C$5&amp;"生成成长"),2))/((VLOOKUP($B145,INDIRECT($B$5&amp;"生成成长"),4))/(VLOOKUP(EB$72,INDIRECT($C$5&amp;"生成成长"),5))*(VLOOKUP($B$5,标准坦克设计!$B$24:$U$30,MATCH("对"&amp;LEFT($C$5,2)&amp;"输出",标准坦克设计!$B$23:$U$23,0)))*(VLOOKUP($B145,INDIRECT($B$5&amp;"生成成长"),3))*(VLOOKUP($B$5,标准坦克设计!$B$14:$K$20,9)/30))</f>
        <v>12.677936432289126</v>
      </c>
      <c r="EC145" s="173">
        <f ca="1">(VLOOKUP(EC$72,INDIRECT($C$5&amp;"生成成长"),2))/((VLOOKUP($B145,INDIRECT($B$5&amp;"生成成长"),4))/(VLOOKUP(EC$72,INDIRECT($C$5&amp;"生成成长"),5))*(VLOOKUP($B$5,标准坦克设计!$B$24:$U$30,MATCH("对"&amp;LEFT($C$5,2)&amp;"输出",标准坦克设计!$B$23:$U$23,0)))*(VLOOKUP($B145,INDIRECT($B$5&amp;"生成成长"),3))*(VLOOKUP($B$5,标准坦克设计!$B$14:$K$20,9)/30))</f>
        <v>13.851218565618641</v>
      </c>
      <c r="ED145" s="173">
        <f ca="1">(VLOOKUP(ED$72,INDIRECT($C$5&amp;"生成成长"),2))/((VLOOKUP($B145,INDIRECT($B$5&amp;"生成成长"),4))/(VLOOKUP(ED$72,INDIRECT($C$5&amp;"生成成长"),5))*(VLOOKUP($B$5,标准坦克设计!$B$24:$U$30,MATCH("对"&amp;LEFT($C$5,2)&amp;"输出",标准坦克设计!$B$23:$U$23,0)))*(VLOOKUP($B145,INDIRECT($B$5&amp;"生成成长"),3))*(VLOOKUP($B$5,标准坦克设计!$B$14:$K$20,9)/30))</f>
        <v>15.076415837591057</v>
      </c>
      <c r="EE145" s="173">
        <f ca="1">(VLOOKUP(EE$72,INDIRECT($C$5&amp;"生成成长"),2))/((VLOOKUP($B145,INDIRECT($B$5&amp;"生成成长"),4))/(VLOOKUP(EE$72,INDIRECT($C$5&amp;"生成成长"),5))*(VLOOKUP($B$5,标准坦克设计!$B$24:$U$30,MATCH("对"&amp;LEFT($C$5,2)&amp;"输出",标准坦克设计!$B$23:$U$23,0)))*(VLOOKUP($B145,INDIRECT($B$5&amp;"生成成长"),3))*(VLOOKUP($B$5,标准坦克设计!$B$14:$K$20,9)/30))</f>
        <v>16.35352824820637</v>
      </c>
      <c r="EF145" s="173">
        <f ca="1">(VLOOKUP(EF$72,INDIRECT($C$5&amp;"生成成长"),2))/((VLOOKUP($B145,INDIRECT($B$5&amp;"生成成长"),4))/(VLOOKUP(EF$72,INDIRECT($C$5&amp;"生成成长"),5))*(VLOOKUP($B$5,标准坦克设计!$B$24:$U$30,MATCH("对"&amp;LEFT($C$5,2)&amp;"输出",标准坦克设计!$B$23:$U$23,0)))*(VLOOKUP($B145,INDIRECT($B$5&amp;"生成成长"),3))*(VLOOKUP($B$5,标准坦克设计!$B$14:$K$20,9)/30))</f>
        <v>17.682555797464577</v>
      </c>
      <c r="EG145" s="173">
        <f ca="1">(VLOOKUP(EG$72,INDIRECT($C$5&amp;"生成成长"),2))/((VLOOKUP($B145,INDIRECT($B$5&amp;"生成成长"),4))/(VLOOKUP(EG$72,INDIRECT($C$5&amp;"生成成长"),5))*(VLOOKUP($B$5,标准坦克设计!$B$24:$U$30,MATCH("对"&amp;LEFT($C$5,2)&amp;"输出",标准坦克设计!$B$23:$U$23,0)))*(VLOOKUP($B145,INDIRECT($B$5&amp;"生成成长"),3))*(VLOOKUP($B$5,标准坦克设计!$B$14:$K$20,9)/30))</f>
        <v>19.063498485365688</v>
      </c>
      <c r="EH145" s="173">
        <f ca="1">(VLOOKUP(EH$72,INDIRECT($C$5&amp;"生成成长"),2))/((VLOOKUP($B145,INDIRECT($B$5&amp;"生成成长"),4))/(VLOOKUP(EH$72,INDIRECT($C$5&amp;"生成成长"),5))*(VLOOKUP($B$5,标准坦克设计!$B$24:$U$30,MATCH("对"&amp;LEFT($C$5,2)&amp;"输出",标准坦克设计!$B$23:$U$23,0)))*(VLOOKUP($B145,INDIRECT($B$5&amp;"生成成长"),3))*(VLOOKUP($B$5,标准坦克设计!$B$14:$K$20,9)/30))</f>
        <v>20.4963563119097</v>
      </c>
      <c r="EI145" s="173">
        <f ca="1">(VLOOKUP(EI$72,INDIRECT($C$5&amp;"生成成长"),2))/((VLOOKUP($B145,INDIRECT($B$5&amp;"生成成长"),4))/(VLOOKUP(EI$72,INDIRECT($C$5&amp;"生成成长"),5))*(VLOOKUP($B$5,标准坦克设计!$B$24:$U$30,MATCH("对"&amp;LEFT($C$5,2)&amp;"输出",标准坦克设计!$B$23:$U$23,0)))*(VLOOKUP($B145,INDIRECT($B$5&amp;"生成成长"),3))*(VLOOKUP($B$5,标准坦克设计!$B$14:$K$20,9)/30))</f>
        <v>21.981129277096606</v>
      </c>
      <c r="EJ145" s="173">
        <f ca="1">(VLOOKUP(EJ$72,INDIRECT($C$5&amp;"生成成长"),2))/((VLOOKUP($B145,INDIRECT($B$5&amp;"生成成长"),4))/(VLOOKUP(EJ$72,INDIRECT($C$5&amp;"生成成长"),5))*(VLOOKUP($B$5,标准坦克设计!$B$24:$U$30,MATCH("对"&amp;LEFT($C$5,2)&amp;"输出",标准坦克设计!$B$23:$U$23,0)))*(VLOOKUP($B145,INDIRECT($B$5&amp;"生成成长"),3))*(VLOOKUP($B$5,标准坦克设计!$B$14:$K$20,9)/30))</f>
        <v>23.517817380926417</v>
      </c>
      <c r="EK145" s="173">
        <f ca="1">(VLOOKUP(EK$72,INDIRECT($C$5&amp;"生成成长"),2))/((VLOOKUP($B145,INDIRECT($B$5&amp;"生成成长"),4))/(VLOOKUP(EK$72,INDIRECT($C$5&amp;"生成成长"),5))*(VLOOKUP($B$5,标准坦克设计!$B$24:$U$30,MATCH("对"&amp;LEFT($C$5,2)&amp;"输出",标准坦克设计!$B$23:$U$23,0)))*(VLOOKUP($B145,INDIRECT($B$5&amp;"生成成长"),3))*(VLOOKUP($B$5,标准坦克设计!$B$14:$K$20,9)/30))</f>
        <v>25.430371088530812</v>
      </c>
      <c r="EL145" s="173">
        <f ca="1">(VLOOKUP(EL$72,INDIRECT($C$5&amp;"生成成长"),2))/((VLOOKUP($B145,INDIRECT($B$5&amp;"生成成长"),4))/(VLOOKUP(EL$72,INDIRECT($C$5&amp;"生成成长"),5))*(VLOOKUP($B$5,标准坦克设计!$B$24:$U$30,MATCH("对"&amp;LEFT($C$5,2)&amp;"输出",标准坦克设计!$B$23:$U$23,0)))*(VLOOKUP($B145,INDIRECT($B$5&amp;"生成成长"),3))*(VLOOKUP($B$5,标准坦克设计!$B$14:$K$20,9)/30))</f>
        <v>27.417682595780981</v>
      </c>
      <c r="EM145" s="173">
        <f ca="1">(VLOOKUP(EM$72,INDIRECT($C$5&amp;"生成成长"),2))/((VLOOKUP($B145,INDIRECT($B$5&amp;"生成成长"),4))/(VLOOKUP(EM$72,INDIRECT($C$5&amp;"生成成长"),5))*(VLOOKUP($B$5,标准坦克设计!$B$24:$U$30,MATCH("对"&amp;LEFT($C$5,2)&amp;"输出",标准坦克设计!$B$23:$U$23,0)))*(VLOOKUP($B145,INDIRECT($B$5&amp;"生成成长"),3))*(VLOOKUP($B$5,标准坦克设计!$B$14:$K$20,9)/30))</f>
        <v>29.479751902676927</v>
      </c>
      <c r="EN145" s="173">
        <f ca="1">(VLOOKUP(EN$72,INDIRECT($C$5&amp;"生成成长"),2))/((VLOOKUP($B145,INDIRECT($B$5&amp;"生成成长"),4))/(VLOOKUP(EN$72,INDIRECT($C$5&amp;"生成成长"),5))*(VLOOKUP($B$5,标准坦克设计!$B$24:$U$30,MATCH("对"&amp;LEFT($C$5,2)&amp;"输出",标准坦克设计!$B$23:$U$23,0)))*(VLOOKUP($B145,INDIRECT($B$5&amp;"生成成长"),3))*(VLOOKUP($B$5,标准坦克设计!$B$14:$K$20,9)/30))</f>
        <v>31.61657900921864</v>
      </c>
      <c r="EO145" s="173">
        <f ca="1">(VLOOKUP(EO$72,INDIRECT($C$5&amp;"生成成长"),2))/((VLOOKUP($B145,INDIRECT($B$5&amp;"生成成长"),4))/(VLOOKUP(EO$72,INDIRECT($C$5&amp;"生成成长"),5))*(VLOOKUP($B$5,标准坦克设计!$B$24:$U$30,MATCH("对"&amp;LEFT($C$5,2)&amp;"输出",标准坦克设计!$B$23:$U$23,0)))*(VLOOKUP($B145,INDIRECT($B$5&amp;"生成成长"),3))*(VLOOKUP($B$5,标准坦克设计!$B$14:$K$20,9)/30))</f>
        <v>33.828163915406137</v>
      </c>
      <c r="EP145" s="173">
        <f ca="1">(VLOOKUP(EP$72,INDIRECT($C$5&amp;"生成成长"),2))/((VLOOKUP($B145,INDIRECT($B$5&amp;"生成成长"),4))/(VLOOKUP(EP$72,INDIRECT($C$5&amp;"生成成长"),5))*(VLOOKUP($B$5,标准坦克设计!$B$24:$U$30,MATCH("对"&amp;LEFT($C$5,2)&amp;"输出",标准坦克设计!$B$23:$U$23,0)))*(VLOOKUP($B145,INDIRECT($B$5&amp;"生成成长"),3))*(VLOOKUP($B$5,标准坦克设计!$B$14:$K$20,9)/30))</f>
        <v>36.114506621239407</v>
      </c>
      <c r="EQ145" s="173">
        <f ca="1">(VLOOKUP(EQ$72,INDIRECT($C$5&amp;"生成成长"),2))/((VLOOKUP($B145,INDIRECT($B$5&amp;"生成成长"),4))/(VLOOKUP(EQ$72,INDIRECT($C$5&amp;"生成成长"),5))*(VLOOKUP($B$5,标准坦克设计!$B$24:$U$30,MATCH("对"&amp;LEFT($C$5,2)&amp;"输出",标准坦克设计!$B$23:$U$23,0)))*(VLOOKUP($B145,INDIRECT($B$5&amp;"生成成长"),3))*(VLOOKUP($B$5,标准坦克设计!$B$14:$K$20,9)/30))</f>
        <v>15.964943435464269</v>
      </c>
      <c r="ER145" s="173">
        <f ca="1">(VLOOKUP(ER$72,INDIRECT($C$5&amp;"生成成长"),2))/((VLOOKUP($B145,INDIRECT($B$5&amp;"生成成长"),4))/(VLOOKUP(ER$72,INDIRECT($C$5&amp;"生成成长"),5))*(VLOOKUP($B$5,标准坦克设计!$B$24:$U$30,MATCH("对"&amp;LEFT($C$5,2)&amp;"输出",标准坦克设计!$B$23:$U$23,0)))*(VLOOKUP($B145,INDIRECT($B$5&amp;"生成成长"),3))*(VLOOKUP($B$5,标准坦克设计!$B$14:$K$20,9)/30))</f>
        <v>17.412597076521507</v>
      </c>
      <c r="ES145" s="173">
        <f ca="1">(VLOOKUP(ES$72,INDIRECT($C$5&amp;"生成成长"),2))/((VLOOKUP($B145,INDIRECT($B$5&amp;"生成成长"),4))/(VLOOKUP(ES$72,INDIRECT($C$5&amp;"生成成长"),5))*(VLOOKUP($B$5,标准坦克设计!$B$24:$U$30,MATCH("对"&amp;LEFT($C$5,2)&amp;"输出",标准坦克设计!$B$23:$U$23,0)))*(VLOOKUP($B145,INDIRECT($B$5&amp;"生成成长"),3))*(VLOOKUP($B$5,标准坦克设计!$B$14:$K$20,9)/30))</f>
        <v>18.923068035336652</v>
      </c>
      <c r="ET145" s="173">
        <f ca="1">(VLOOKUP(ET$72,INDIRECT($C$5&amp;"生成成长"),2))/((VLOOKUP($B145,INDIRECT($B$5&amp;"生成成长"),4))/(VLOOKUP(ET$72,INDIRECT($C$5&amp;"生成成长"),5))*(VLOOKUP($B$5,标准坦克设计!$B$24:$U$30,MATCH("对"&amp;LEFT($C$5,2)&amp;"输出",标准坦克设计!$B$23:$U$23,0)))*(VLOOKUP($B145,INDIRECT($B$5&amp;"生成成长"),3))*(VLOOKUP($B$5,标准坦克设计!$B$14:$K$20,9)/30))</f>
        <v>20.4963563119097</v>
      </c>
      <c r="EU145" s="173">
        <f ca="1">(VLOOKUP(EU$72,INDIRECT($C$5&amp;"生成成长"),2))/((VLOOKUP($B145,INDIRECT($B$5&amp;"生成成长"),4))/(VLOOKUP(EU$72,INDIRECT($C$5&amp;"生成成长"),5))*(VLOOKUP($B$5,标准坦克设计!$B$24:$U$30,MATCH("对"&amp;LEFT($C$5,2)&amp;"输出",标准坦克设计!$B$23:$U$23,0)))*(VLOOKUP($B145,INDIRECT($B$5&amp;"生成成长"),3))*(VLOOKUP($B$5,标准坦克设计!$B$14:$K$20,9)/30))</f>
        <v>22.13246190624066</v>
      </c>
      <c r="EV145" s="173">
        <f ca="1">(VLOOKUP(EV$72,INDIRECT($C$5&amp;"生成成长"),2))/((VLOOKUP($B145,INDIRECT($B$5&amp;"生成成长"),4))/(VLOOKUP(EV$72,INDIRECT($C$5&amp;"生成成长"),5))*(VLOOKUP($B$5,标准坦克设计!$B$24:$U$30,MATCH("对"&amp;LEFT($C$5,2)&amp;"输出",标准坦克设计!$B$23:$U$23,0)))*(VLOOKUP($B145,INDIRECT($B$5&amp;"生成成长"),3))*(VLOOKUP($B$5,标准坦克设计!$B$14:$K$20,9)/30))</f>
        <v>23.831384818329525</v>
      </c>
      <c r="EW145" s="173">
        <f ca="1">(VLOOKUP(EW$72,INDIRECT($C$5&amp;"生成成长"),2))/((VLOOKUP($B145,INDIRECT($B$5&amp;"生成成长"),4))/(VLOOKUP(EW$72,INDIRECT($C$5&amp;"生成成长"),5))*(VLOOKUP($B$5,标准坦克设计!$B$24:$U$30,MATCH("对"&amp;LEFT($C$5,2)&amp;"输出",标准坦克设计!$B$23:$U$23,0)))*(VLOOKUP($B145,INDIRECT($B$5&amp;"生成成长"),3))*(VLOOKUP($B$5,标准坦克设计!$B$14:$K$20,9)/30))</f>
        <v>25.593125048176297</v>
      </c>
      <c r="EX145" s="173">
        <f ca="1">(VLOOKUP(EX$72,INDIRECT($C$5&amp;"生成成长"),2))/((VLOOKUP($B145,INDIRECT($B$5&amp;"生成成长"),4))/(VLOOKUP(EX$72,INDIRECT($C$5&amp;"生成成长"),5))*(VLOOKUP($B$5,标准坦克设计!$B$24:$U$30,MATCH("对"&amp;LEFT($C$5,2)&amp;"输出",标准坦克设计!$B$23:$U$23,0)))*(VLOOKUP($B145,INDIRECT($B$5&amp;"生成成长"),3))*(VLOOKUP($B$5,标准坦克设计!$B$14:$K$20,9)/30))</f>
        <v>27.417682595780981</v>
      </c>
      <c r="EY145" s="173">
        <f ca="1">(VLOOKUP(EY$72,INDIRECT($C$5&amp;"生成成长"),2))/((VLOOKUP($B145,INDIRECT($B$5&amp;"生成成长"),4))/(VLOOKUP(EY$72,INDIRECT($C$5&amp;"生成成长"),5))*(VLOOKUP($B$5,标准坦克设计!$B$24:$U$30,MATCH("对"&amp;LEFT($C$5,2)&amp;"输出",标准坦克设计!$B$23:$U$23,0)))*(VLOOKUP($B145,INDIRECT($B$5&amp;"生成成长"),3))*(VLOOKUP($B$5,标准坦克设计!$B$14:$K$20,9)/30))</f>
        <v>29.305057461143569</v>
      </c>
      <c r="EZ145" s="173">
        <f ca="1">(VLOOKUP(EZ$72,INDIRECT($C$5&amp;"生成成长"),2))/((VLOOKUP($B145,INDIRECT($B$5&amp;"生成成长"),4))/(VLOOKUP(EZ$72,INDIRECT($C$5&amp;"生成成长"),5))*(VLOOKUP($B$5,标准坦克设计!$B$24:$U$30,MATCH("对"&amp;LEFT($C$5,2)&amp;"输出",标准坦克设计!$B$23:$U$23,0)))*(VLOOKUP($B145,INDIRECT($B$5&amp;"生成成长"),3))*(VLOOKUP($B$5,标准坦克设计!$B$14:$K$20,9)/30))</f>
        <v>31.255249644264069</v>
      </c>
      <c r="FA145" s="173">
        <f ca="1">(VLOOKUP(FA$72,INDIRECT($C$5&amp;"生成成长"),2))/((VLOOKUP($B145,INDIRECT($B$5&amp;"生成成长"),4))/(VLOOKUP(FA$72,INDIRECT($C$5&amp;"生成成长"),5))*(VLOOKUP($B$5,标准坦克设计!$B$24:$U$30,MATCH("对"&amp;LEFT($C$5,2)&amp;"输出",标准坦克设计!$B$23:$U$23,0)))*(VLOOKUP($B145,INDIRECT($B$5&amp;"生成成长"),3))*(VLOOKUP($B$5,标准坦克设计!$B$14:$K$20,9)/30))</f>
        <v>33.26825914514248</v>
      </c>
      <c r="FB145" s="173">
        <f ca="1">(VLOOKUP(FB$72,INDIRECT($C$5&amp;"生成成长"),2))/((VLOOKUP($B145,INDIRECT($B$5&amp;"生成成长"),4))/(VLOOKUP(FB$72,INDIRECT($C$5&amp;"生成成长"),5))*(VLOOKUP($B$5,标准坦克设计!$B$24:$U$30,MATCH("对"&amp;LEFT($C$5,2)&amp;"输出",标准坦克设计!$B$23:$U$23,0)))*(VLOOKUP($B145,INDIRECT($B$5&amp;"生成成长"),3))*(VLOOKUP($B$5,标准坦克设计!$B$14:$K$20,9)/30))</f>
        <v>35.344085963778788</v>
      </c>
      <c r="FC145" s="173">
        <f ca="1">(VLOOKUP(FC$72,INDIRECT($C$5&amp;"生成成长"),2))/((VLOOKUP($B145,INDIRECT($B$5&amp;"生成成长"),4))/(VLOOKUP(FC$72,INDIRECT($C$5&amp;"生成成长"),5))*(VLOOKUP($B$5,标准坦克设计!$B$24:$U$30,MATCH("对"&amp;LEFT($C$5,2)&amp;"输出",标准坦克设计!$B$23:$U$23,0)))*(VLOOKUP($B145,INDIRECT($B$5&amp;"生成成长"),3))*(VLOOKUP($B$5,标准坦克设计!$B$14:$K$20,9)/30))</f>
        <v>37.482730100173008</v>
      </c>
      <c r="FD145" s="173">
        <f ca="1">(VLOOKUP(FD$72,INDIRECT($C$5&amp;"生成成长"),2))/((VLOOKUP($B145,INDIRECT($B$5&amp;"生成成长"),4))/(VLOOKUP(FD$72,INDIRECT($C$5&amp;"生成成长"),5))*(VLOOKUP($B$5,标准坦克设计!$B$24:$U$30,MATCH("对"&amp;LEFT($C$5,2)&amp;"输出",标准坦克设计!$B$23:$U$23,0)))*(VLOOKUP($B145,INDIRECT($B$5&amp;"生成成长"),3))*(VLOOKUP($B$5,标准坦克设计!$B$14:$K$20,9)/30))</f>
        <v>39.684191554325139</v>
      </c>
      <c r="FE145" s="173">
        <f ca="1">(VLOOKUP(FE$72,INDIRECT($C$5&amp;"生成成长"),2))/((VLOOKUP($B145,INDIRECT($B$5&amp;"生成成长"),4))/(VLOOKUP(FE$72,INDIRECT($C$5&amp;"生成成长"),5))*(VLOOKUP($B$5,标准坦克设计!$B$24:$U$30,MATCH("对"&amp;LEFT($C$5,2)&amp;"输出",标准坦克设计!$B$23:$U$23,0)))*(VLOOKUP($B145,INDIRECT($B$5&amp;"生成成长"),3))*(VLOOKUP($B$5,标准坦克设计!$B$14:$K$20,9)/30))</f>
        <v>42.366906343696925</v>
      </c>
      <c r="FF145" s="173">
        <f ca="1">(VLOOKUP(FF$72,INDIRECT($C$5&amp;"生成成长"),2))/((VLOOKUP($B145,INDIRECT($B$5&amp;"生成成长"),4))/(VLOOKUP(FF$72,INDIRECT($C$5&amp;"生成成长"),5))*(VLOOKUP($B$5,标准坦克设计!$B$24:$U$30,MATCH("对"&amp;LEFT($C$5,2)&amp;"输出",标准坦克设计!$B$23:$U$23,0)))*(VLOOKUP($B145,INDIRECT($B$5&amp;"生成成长"),3))*(VLOOKUP($B$5,标准坦克设计!$B$14:$K$20,9)/30))</f>
        <v>45.137357717375238</v>
      </c>
      <c r="FG145" s="173">
        <f ca="1">(VLOOKUP(FG$72,INDIRECT($C$5&amp;"生成成长"),2))/((VLOOKUP($B145,INDIRECT($B$5&amp;"生成成长"),4))/(VLOOKUP(FG$72,INDIRECT($C$5&amp;"生成成长"),5))*(VLOOKUP($B$5,标准坦克设计!$B$24:$U$30,MATCH("对"&amp;LEFT($C$5,2)&amp;"输出",标准坦克设计!$B$23:$U$23,0)))*(VLOOKUP($B145,INDIRECT($B$5&amp;"生成成长"),3))*(VLOOKUP($B$5,标准坦克设计!$B$14:$K$20,9)/30))</f>
        <v>47.995545675360034</v>
      </c>
      <c r="FH145" s="173">
        <f ca="1">(VLOOKUP(FH$72,INDIRECT($C$5&amp;"生成成长"),2))/((VLOOKUP($B145,INDIRECT($B$5&amp;"生成成长"),4))/(VLOOKUP(FH$72,INDIRECT($C$5&amp;"生成成长"),5))*(VLOOKUP($B$5,标准坦克设计!$B$24:$U$30,MATCH("对"&amp;LEFT($C$5,2)&amp;"输出",标准坦克设计!$B$23:$U$23,0)))*(VLOOKUP($B145,INDIRECT($B$5&amp;"生成成长"),3))*(VLOOKUP($B$5,标准坦克设计!$B$14:$K$20,9)/30))</f>
        <v>50.941470217651336</v>
      </c>
      <c r="FI145" s="173">
        <f ca="1">(VLOOKUP(FI$72,INDIRECT($C$5&amp;"生成成长"),2))/((VLOOKUP($B145,INDIRECT($B$5&amp;"生成成长"),4))/(VLOOKUP(FI$72,INDIRECT($C$5&amp;"生成成长"),5))*(VLOOKUP($B$5,标准坦克设计!$B$24:$U$30,MATCH("对"&amp;LEFT($C$5,2)&amp;"输出",标准坦克设计!$B$23:$U$23,0)))*(VLOOKUP($B145,INDIRECT($B$5&amp;"生成成长"),3))*(VLOOKUP($B$5,标准坦克设计!$B$14:$K$20,9)/30))</f>
        <v>53.975131344249128</v>
      </c>
      <c r="FJ145" s="173">
        <f ca="1">(VLOOKUP(FJ$72,INDIRECT($C$5&amp;"生成成长"),2))/((VLOOKUP($B145,INDIRECT($B$5&amp;"生成成长"),4))/(VLOOKUP(FJ$72,INDIRECT($C$5&amp;"生成成长"),5))*(VLOOKUP($B$5,标准坦克设计!$B$24:$U$30,MATCH("对"&amp;LEFT($C$5,2)&amp;"输出",标准坦克设计!$B$23:$U$23,0)))*(VLOOKUP($B145,INDIRECT($B$5&amp;"生成成长"),3))*(VLOOKUP($B$5,标准坦克设计!$B$14:$K$20,9)/30))</f>
        <v>57.096529055153418</v>
      </c>
      <c r="FK145" s="173">
        <f ca="1">(VLOOKUP(FK$72,INDIRECT($C$5&amp;"生成成长"),2))/((VLOOKUP($B145,INDIRECT($B$5&amp;"生成成长"),4))/(VLOOKUP(FK$72,INDIRECT($C$5&amp;"生成成长"),5))*(VLOOKUP($B$5,标准坦克设计!$B$24:$U$30,MATCH("对"&amp;LEFT($C$5,2)&amp;"输出",标准坦克设计!$B$23:$U$23,0)))*(VLOOKUP($B145,INDIRECT($B$5&amp;"生成成长"),3))*(VLOOKUP($B$5,标准坦克设计!$B$14:$K$20,9)/30))</f>
        <v>60.305663350364227</v>
      </c>
    </row>
    <row r="146" spans="1:167" x14ac:dyDescent="0.15">
      <c r="A146" s="171" t="str">
        <f t="shared" si="12"/>
        <v>T4中品质2级</v>
      </c>
      <c r="B146" s="172">
        <v>20402</v>
      </c>
      <c r="C146" s="173">
        <f ca="1">(VLOOKUP(C$72,INDIRECT($C$5&amp;"生成成长"),2))/((VLOOKUP($B146,INDIRECT($B$5&amp;"生成成长"),4))/(VLOOKUP(C$72,INDIRECT($C$5&amp;"生成成长"),5))*(VLOOKUP($B$5,标准坦克设计!$B$24:$U$30,MATCH("对"&amp;LEFT($C$5,2)&amp;"输出",标准坦克设计!$B$23:$U$23,0)))*(VLOOKUP($B146,INDIRECT($B$5&amp;"生成成长"),3))*(VLOOKUP($B$5,标准坦克设计!$B$14:$K$20,9)/30))</f>
        <v>2.3384388567478611</v>
      </c>
      <c r="D146" s="173">
        <f ca="1">(VLOOKUP(D$72,INDIRECT($C$5&amp;"生成成长"),2))/((VLOOKUP($B146,INDIRECT($B$5&amp;"生成成长"),4))/(VLOOKUP(D$72,INDIRECT($C$5&amp;"生成成长"),5))*(VLOOKUP($B$5,标准坦克设计!$B$24:$U$30,MATCH("对"&amp;LEFT($C$5,2)&amp;"输出",标准坦克设计!$B$23:$U$23,0)))*(VLOOKUP($B146,INDIRECT($B$5&amp;"生成成长"),3))*(VLOOKUP($B$5,标准坦克设计!$B$14:$K$20,9)/30))</f>
        <v>2.6274698994418975</v>
      </c>
      <c r="E146" s="173">
        <f ca="1">(VLOOKUP(E$72,INDIRECT($C$5&amp;"生成成长"),2))/((VLOOKUP($B146,INDIRECT($B$5&amp;"生成成长"),4))/(VLOOKUP(E$72,INDIRECT($C$5&amp;"生成成长"),5))*(VLOOKUP($B$5,标准坦克设计!$B$24:$U$30,MATCH("对"&amp;LEFT($C$5,2)&amp;"输出",标准坦克设计!$B$23:$U$23,0)))*(VLOOKUP($B146,INDIRECT($B$5&amp;"生成成长"),3))*(VLOOKUP($B$5,标准坦克设计!$B$14:$K$20,9)/30))</f>
        <v>2.9333377019045175</v>
      </c>
      <c r="F146" s="173">
        <f ca="1">(VLOOKUP(F$72,INDIRECT($C$5&amp;"生成成长"),2))/((VLOOKUP($B146,INDIRECT($B$5&amp;"生成成长"),4))/(VLOOKUP(F$72,INDIRECT($C$5&amp;"生成成长"),5))*(VLOOKUP($B$5,标准坦克设计!$B$24:$U$30,MATCH("对"&amp;LEFT($C$5,2)&amp;"输出",标准坦克设计!$B$23:$U$23,0)))*(VLOOKUP($B146,INDIRECT($B$5&amp;"生成成长"),3))*(VLOOKUP($B$5,标准坦克设计!$B$14:$K$20,9)/30))</f>
        <v>3.2560422641357225</v>
      </c>
      <c r="G146" s="173">
        <f ca="1">(VLOOKUP(G$72,INDIRECT($C$5&amp;"生成成长"),2))/((VLOOKUP($B146,INDIRECT($B$5&amp;"生成成长"),4))/(VLOOKUP(G$72,INDIRECT($C$5&amp;"生成成长"),5))*(VLOOKUP($B$5,标准坦克设计!$B$24:$U$30,MATCH("对"&amp;LEFT($C$5,2)&amp;"输出",标准坦克设计!$B$23:$U$23,0)))*(VLOOKUP($B146,INDIRECT($B$5&amp;"生成成长"),3))*(VLOOKUP($B$5,标准坦克设计!$B$14:$K$20,9)/30))</f>
        <v>3.5955835861355121</v>
      </c>
      <c r="H146" s="173">
        <f ca="1">(VLOOKUP(H$72,INDIRECT($C$5&amp;"生成成长"),2))/((VLOOKUP($B146,INDIRECT($B$5&amp;"生成成长"),4))/(VLOOKUP(H$72,INDIRECT($C$5&amp;"生成成长"),5))*(VLOOKUP($B$5,标准坦克设计!$B$24:$U$30,MATCH("对"&amp;LEFT($C$5,2)&amp;"输出",标准坦克设计!$B$23:$U$23,0)))*(VLOOKUP($B146,INDIRECT($B$5&amp;"生成成长"),3))*(VLOOKUP($B$5,标准坦克设计!$B$14:$K$20,9)/30))</f>
        <v>3.1466033256399224</v>
      </c>
      <c r="I146" s="173">
        <f ca="1">(VLOOKUP(I$72,INDIRECT($C$5&amp;"生成成长"),2))/((VLOOKUP($B146,INDIRECT($B$5&amp;"生成成长"),4))/(VLOOKUP(I$72,INDIRECT($C$5&amp;"生成成长"),5))*(VLOOKUP($B$5,标准坦克设计!$B$24:$U$30,MATCH("对"&amp;LEFT($C$5,2)&amp;"输出",标准坦克设计!$B$23:$U$23,0)))*(VLOOKUP($B146,INDIRECT($B$5&amp;"生成成长"),3))*(VLOOKUP($B$5,标准坦克设计!$B$14:$K$20,9)/30))</f>
        <v>3.5955835861355121</v>
      </c>
      <c r="J146" s="173">
        <f ca="1">(VLOOKUP(J$72,INDIRECT($C$5&amp;"生成成长"),2))/((VLOOKUP($B146,INDIRECT($B$5&amp;"生成成长"),4))/(VLOOKUP(J$72,INDIRECT($C$5&amp;"生成成长"),5))*(VLOOKUP($B$5,标准坦克设计!$B$24:$U$30,MATCH("对"&amp;LEFT($C$5,2)&amp;"输出",标准坦克设计!$B$23:$U$23,0)))*(VLOOKUP($B146,INDIRECT($B$5&amp;"生成成长"),3))*(VLOOKUP($B$5,标准坦克设计!$B$14:$K$20,9)/30))</f>
        <v>4.0744958639974733</v>
      </c>
      <c r="K146" s="173">
        <f ca="1">(VLOOKUP(K$72,INDIRECT($C$5&amp;"生成成长"),2))/((VLOOKUP($B146,INDIRECT($B$5&amp;"生成成长"),4))/(VLOOKUP(K$72,INDIRECT($C$5&amp;"生成成长"),5))*(VLOOKUP($B$5,标准坦克设计!$B$24:$U$30,MATCH("对"&amp;LEFT($C$5,2)&amp;"输出",标准坦克设计!$B$23:$U$23,0)))*(VLOOKUP($B146,INDIRECT($B$5&amp;"生成成长"),3))*(VLOOKUP($B$5,标准坦克设计!$B$14:$K$20,9)/30))</f>
        <v>4.5833401592258083</v>
      </c>
      <c r="L146" s="173">
        <f ca="1">(VLOOKUP(L$72,INDIRECT($C$5&amp;"生成成长"),2))/((VLOOKUP($B146,INDIRECT($B$5&amp;"生成成长"),4))/(VLOOKUP(L$72,INDIRECT($C$5&amp;"生成成长"),5))*(VLOOKUP($B$5,标准坦克设计!$B$24:$U$30,MATCH("对"&amp;LEFT($C$5,2)&amp;"输出",标准坦克设计!$B$23:$U$23,0)))*(VLOOKUP($B146,INDIRECT($B$5&amp;"生成成长"),3))*(VLOOKUP($B$5,标准坦克设计!$B$14:$K$20,9)/30))</f>
        <v>5.1221164718205152</v>
      </c>
      <c r="M146" s="173">
        <f ca="1">(VLOOKUP(M$72,INDIRECT($C$5&amp;"生成成长"),2))/((VLOOKUP($B146,INDIRECT($B$5&amp;"生成成长"),4))/(VLOOKUP(M$72,INDIRECT($C$5&amp;"生成成长"),5))*(VLOOKUP($B$5,标准坦克设计!$B$24:$U$30,MATCH("对"&amp;LEFT($C$5,2)&amp;"输出",标准坦克设计!$B$23:$U$23,0)))*(VLOOKUP($B146,INDIRECT($B$5&amp;"生成成长"),3))*(VLOOKUP($B$5,标准坦克设计!$B$14:$K$20,9)/30))</f>
        <v>5.690824801781595</v>
      </c>
      <c r="N146" s="173">
        <f ca="1">(VLOOKUP(N$72,INDIRECT($C$5&amp;"生成成长"),2))/((VLOOKUP($B146,INDIRECT($B$5&amp;"生成成长"),4))/(VLOOKUP(N$72,INDIRECT($C$5&amp;"生成成长"),5))*(VLOOKUP($B$5,标准坦克设计!$B$24:$U$30,MATCH("对"&amp;LEFT($C$5,2)&amp;"输出",标准坦克设计!$B$23:$U$23,0)))*(VLOOKUP($B146,INDIRECT($B$5&amp;"生成成长"),3))*(VLOOKUP($B$5,标准坦克设计!$B$14:$K$20,9)/30))</f>
        <v>6.2894651491090476</v>
      </c>
      <c r="O146" s="173">
        <f ca="1">(VLOOKUP(O$72,INDIRECT($C$5&amp;"生成成长"),2))/((VLOOKUP($B146,INDIRECT($B$5&amp;"生成成长"),4))/(VLOOKUP(O$72,INDIRECT($C$5&amp;"生成成长"),5))*(VLOOKUP($B$5,标准坦克设计!$B$24:$U$30,MATCH("对"&amp;LEFT($C$5,2)&amp;"输出",标准坦克设计!$B$23:$U$23,0)))*(VLOOKUP($B146,INDIRECT($B$5&amp;"生成成长"),3))*(VLOOKUP($B$5,标准坦克设计!$B$14:$K$20,9)/30))</f>
        <v>4.7818736181637016</v>
      </c>
      <c r="P146" s="173">
        <f ca="1">(VLOOKUP(P$72,INDIRECT($C$5&amp;"生成成长"),2))/((VLOOKUP($B146,INDIRECT($B$5&amp;"生成成长"),4))/(VLOOKUP(P$72,INDIRECT($C$5&amp;"生成成长"),5))*(VLOOKUP($B$5,标准坦克设计!$B$24:$U$30,MATCH("对"&amp;LEFT($C$5,2)&amp;"输出",标准坦克设计!$B$23:$U$23,0)))*(VLOOKUP($B146,INDIRECT($B$5&amp;"生成成长"),3))*(VLOOKUP($B$5,标准坦克设计!$B$14:$K$20,9)/30))</f>
        <v>5.4027291346302588</v>
      </c>
      <c r="Q146" s="173">
        <f ca="1">(VLOOKUP(Q$72,INDIRECT($C$5&amp;"生成成长"),2))/((VLOOKUP($B146,INDIRECT($B$5&amp;"生成成长"),4))/(VLOOKUP(Q$72,INDIRECT($C$5&amp;"生成成长"),5))*(VLOOKUP($B$5,标准坦克设计!$B$24:$U$30,MATCH("对"&amp;LEFT($C$5,2)&amp;"输出",标准坦克设计!$B$23:$U$23,0)))*(VLOOKUP($B146,INDIRECT($B$5&amp;"生成成长"),3))*(VLOOKUP($B$5,标准坦克设计!$B$14:$K$20,9)/30))</f>
        <v>6.0614673605761302</v>
      </c>
      <c r="R146" s="173">
        <f ca="1">(VLOOKUP(R$72,INDIRECT($C$5&amp;"生成成长"),2))/((VLOOKUP($B146,INDIRECT($B$5&amp;"生成成长"),4))/(VLOOKUP(R$72,INDIRECT($C$5&amp;"生成成长"),5))*(VLOOKUP($B$5,标准坦克设计!$B$24:$U$30,MATCH("对"&amp;LEFT($C$5,2)&amp;"输出",标准坦克设计!$B$23:$U$23,0)))*(VLOOKUP($B146,INDIRECT($B$5&amp;"生成成长"),3))*(VLOOKUP($B$5,标准坦克设计!$B$14:$K$20,9)/30))</f>
        <v>6.7580882960013184</v>
      </c>
      <c r="S146" s="173">
        <f ca="1">(VLOOKUP(S$72,INDIRECT($C$5&amp;"生成成长"),2))/((VLOOKUP($B146,INDIRECT($B$5&amp;"生成成长"),4))/(VLOOKUP(S$72,INDIRECT($C$5&amp;"生成成长"),5))*(VLOOKUP($B$5,标准坦克设计!$B$24:$U$30,MATCH("对"&amp;LEFT($C$5,2)&amp;"输出",标准坦克设计!$B$23:$U$23,0)))*(VLOOKUP($B146,INDIRECT($B$5&amp;"生成成长"),3))*(VLOOKUP($B$5,标准坦克设计!$B$14:$K$20,9)/30))</f>
        <v>7.4925919409058226</v>
      </c>
      <c r="T146" s="173">
        <f ca="1">(VLOOKUP(T$72,INDIRECT($C$5&amp;"生成成长"),2))/((VLOOKUP($B146,INDIRECT($B$5&amp;"生成成长"),4))/(VLOOKUP(T$72,INDIRECT($C$5&amp;"生成成长"),5))*(VLOOKUP($B$5,标准坦克设计!$B$24:$U$30,MATCH("对"&amp;LEFT($C$5,2)&amp;"输出",标准坦克设计!$B$23:$U$23,0)))*(VLOOKUP($B146,INDIRECT($B$5&amp;"生成成长"),3))*(VLOOKUP($B$5,标准坦克设计!$B$14:$K$20,9)/30))</f>
        <v>8.2649782952896409</v>
      </c>
      <c r="U146" s="173">
        <f ca="1">(VLOOKUP(U$72,INDIRECT($C$5&amp;"生成成长"),2))/((VLOOKUP($B146,INDIRECT($B$5&amp;"生成成长"),4))/(VLOOKUP(U$72,INDIRECT($C$5&amp;"生成成长"),5))*(VLOOKUP($B$5,标准坦克设计!$B$24:$U$30,MATCH("对"&amp;LEFT($C$5,2)&amp;"输出",标准坦克设计!$B$23:$U$23,0)))*(VLOOKUP($B146,INDIRECT($B$5&amp;"生成成长"),3))*(VLOOKUP($B$5,标准坦克设计!$B$14:$K$20,9)/30))</f>
        <v>9.0752473591527743</v>
      </c>
      <c r="V146" s="173">
        <f ca="1">(VLOOKUP(V$72,INDIRECT($C$5&amp;"生成成长"),2))/((VLOOKUP($B146,INDIRECT($B$5&amp;"生成成长"),4))/(VLOOKUP(V$72,INDIRECT($C$5&amp;"生成成长"),5))*(VLOOKUP($B$5,标准坦克设计!$B$24:$U$30,MATCH("对"&amp;LEFT($C$5,2)&amp;"输出",标准坦克设计!$B$23:$U$23,0)))*(VLOOKUP($B146,INDIRECT($B$5&amp;"生成成长"),3))*(VLOOKUP($B$5,标准坦克设计!$B$14:$K$20,9)/30))</f>
        <v>9.9233991324952253</v>
      </c>
      <c r="W146" s="173">
        <f ca="1">(VLOOKUP(W$72,INDIRECT($C$5&amp;"生成成长"),2))/((VLOOKUP($B146,INDIRECT($B$5&amp;"生成成长"),4))/(VLOOKUP(W$72,INDIRECT($C$5&amp;"生成成长"),5))*(VLOOKUP($B$5,标准坦克设计!$B$24:$U$30,MATCH("对"&amp;LEFT($C$5,2)&amp;"输出",标准坦克设计!$B$23:$U$23,0)))*(VLOOKUP($B146,INDIRECT($B$5&amp;"生成成长"),3))*(VLOOKUP($B$5,标准坦克设计!$B$14:$K$20,9)/30))</f>
        <v>10.809433615316987</v>
      </c>
      <c r="X146" s="173">
        <f ca="1">(VLOOKUP(X$72,INDIRECT($C$5&amp;"生成成长"),2))/((VLOOKUP($B146,INDIRECT($B$5&amp;"生成成长"),4))/(VLOOKUP(X$72,INDIRECT($C$5&amp;"生成成长"),5))*(VLOOKUP($B$5,标准坦克设计!$B$24:$U$30,MATCH("对"&amp;LEFT($C$5,2)&amp;"输出",标准坦克设计!$B$23:$U$23,0)))*(VLOOKUP($B146,INDIRECT($B$5&amp;"生成成长"),3))*(VLOOKUP($B$5,标准坦克设计!$B$14:$K$20,9)/30))</f>
        <v>7.8311978873629116</v>
      </c>
      <c r="Y146" s="173">
        <f ca="1">(VLOOKUP(Y$72,INDIRECT($C$5&amp;"生成成长"),2))/((VLOOKUP($B146,INDIRECT($B$5&amp;"生成成长"),4))/(VLOOKUP(Y$72,INDIRECT($C$5&amp;"生成成长"),5))*(VLOOKUP($B$5,标准坦克设计!$B$24:$U$30,MATCH("对"&amp;LEFT($C$5,2)&amp;"输出",标准坦克设计!$B$23:$U$23,0)))*(VLOOKUP($B146,INDIRECT($B$5&amp;"生成成长"),3))*(VLOOKUP($B$5,标准坦克设计!$B$14:$K$20,9)/30))</f>
        <v>8.7104508975001096</v>
      </c>
      <c r="Z146" s="173">
        <f ca="1">(VLOOKUP(Z$72,INDIRECT($C$5&amp;"生成成长"),2))/((VLOOKUP($B146,INDIRECT($B$5&amp;"生成成长"),4))/(VLOOKUP(Z$72,INDIRECT($C$5&amp;"生成成长"),5))*(VLOOKUP($B$5,标准坦克设计!$B$24:$U$30,MATCH("对"&amp;LEFT($C$5,2)&amp;"输出",标准坦克设计!$B$23:$U$23,0)))*(VLOOKUP($B146,INDIRECT($B$5&amp;"生成成长"),3))*(VLOOKUP($B$5,标准坦克设计!$B$14:$K$20,9)/30))</f>
        <v>9.6364726847722597</v>
      </c>
      <c r="AA146" s="173">
        <f ca="1">(VLOOKUP(AA$72,INDIRECT($C$5&amp;"生成成长"),2))/((VLOOKUP($B146,INDIRECT($B$5&amp;"生成成长"),4))/(VLOOKUP(AA$72,INDIRECT($C$5&amp;"生成成长"),5))*(VLOOKUP($B$5,标准坦克设计!$B$24:$U$30,MATCH("对"&amp;LEFT($C$5,2)&amp;"输出",标准坦克设计!$B$23:$U$23,0)))*(VLOOKUP($B146,INDIRECT($B$5&amp;"生成成长"),3))*(VLOOKUP($B$5,标准坦克设计!$B$14:$K$20,9)/30))</f>
        <v>10.609263249179371</v>
      </c>
      <c r="AB146" s="173">
        <f ca="1">(VLOOKUP(AB$72,INDIRECT($C$5&amp;"生成成长"),2))/((VLOOKUP($B146,INDIRECT($B$5&amp;"生成成长"),4))/(VLOOKUP(AB$72,INDIRECT($C$5&amp;"生成成长"),5))*(VLOOKUP($B$5,标准坦克设计!$B$24:$U$30,MATCH("对"&amp;LEFT($C$5,2)&amp;"输出",标准坦克设计!$B$23:$U$23,0)))*(VLOOKUP($B146,INDIRECT($B$5&amp;"生成成长"),3))*(VLOOKUP($B$5,标准坦克设计!$B$14:$K$20,9)/30))</f>
        <v>11.628822590721439</v>
      </c>
      <c r="AC146" s="173">
        <f ca="1">(VLOOKUP(AC$72,INDIRECT($C$5&amp;"生成成长"),2))/((VLOOKUP($B146,INDIRECT($B$5&amp;"生成成长"),4))/(VLOOKUP(AC$72,INDIRECT($C$5&amp;"生成成长"),5))*(VLOOKUP($B$5,标准坦克设计!$B$24:$U$30,MATCH("对"&amp;LEFT($C$5,2)&amp;"输出",标准坦克设计!$B$23:$U$23,0)))*(VLOOKUP($B146,INDIRECT($B$5&amp;"生成成长"),3))*(VLOOKUP($B$5,标准坦克设计!$B$14:$K$20,9)/30))</f>
        <v>12.695150709398463</v>
      </c>
      <c r="AD146" s="173">
        <f ca="1">(VLOOKUP(AD$72,INDIRECT($C$5&amp;"生成成长"),2))/((VLOOKUP($B146,INDIRECT($B$5&amp;"生成成长"),4))/(VLOOKUP(AD$72,INDIRECT($C$5&amp;"生成成长"),5))*(VLOOKUP($B$5,标准坦克设计!$B$24:$U$30,MATCH("对"&amp;LEFT($C$5,2)&amp;"输出",标准坦克设计!$B$23:$U$23,0)))*(VLOOKUP($B146,INDIRECT($B$5&amp;"生成成长"),3))*(VLOOKUP($B$5,标准坦克设计!$B$14:$K$20,9)/30))</f>
        <v>13.808247605210445</v>
      </c>
      <c r="AE146" s="173">
        <f ca="1">(VLOOKUP(AE$72,INDIRECT($C$5&amp;"生成成长"),2))/((VLOOKUP($B146,INDIRECT($B$5&amp;"生成成长"),4))/(VLOOKUP(AE$72,INDIRECT($C$5&amp;"生成成长"),5))*(VLOOKUP($B$5,标准坦克设计!$B$24:$U$30,MATCH("对"&amp;LEFT($C$5,2)&amp;"输出",标准坦克设计!$B$23:$U$23,0)))*(VLOOKUP($B146,INDIRECT($B$5&amp;"生成成长"),3))*(VLOOKUP($B$5,标准坦克设计!$B$14:$K$20,9)/30))</f>
        <v>14.968113278157386</v>
      </c>
      <c r="AF146" s="173">
        <f ca="1">(VLOOKUP(AF$72,INDIRECT($C$5&amp;"生成成长"),2))/((VLOOKUP($B146,INDIRECT($B$5&amp;"生成成长"),4))/(VLOOKUP(AF$72,INDIRECT($C$5&amp;"生成成长"),5))*(VLOOKUP($B$5,标准坦克设计!$B$24:$U$30,MATCH("对"&amp;LEFT($C$5,2)&amp;"输出",标准坦克设计!$B$23:$U$23,0)))*(VLOOKUP($B146,INDIRECT($B$5&amp;"生成成长"),3))*(VLOOKUP($B$5,标准坦克设计!$B$14:$K$20,9)/30))</f>
        <v>16.174747728239282</v>
      </c>
      <c r="AG146" s="173">
        <f ca="1">(VLOOKUP(AG$72,INDIRECT($C$5&amp;"生成成长"),2))/((VLOOKUP($B146,INDIRECT($B$5&amp;"生成成长"),4))/(VLOOKUP(AG$72,INDIRECT($C$5&amp;"生成成长"),5))*(VLOOKUP($B$5,标准坦克设计!$B$24:$U$30,MATCH("对"&amp;LEFT($C$5,2)&amp;"输出",标准坦克设计!$B$23:$U$23,0)))*(VLOOKUP($B146,INDIRECT($B$5&amp;"生成成长"),3))*(VLOOKUP($B$5,标准坦克设计!$B$14:$K$20,9)/30))</f>
        <v>17.428150955456136</v>
      </c>
      <c r="AH146" s="173">
        <f ca="1">(VLOOKUP(AH$72,INDIRECT($C$5&amp;"生成成长"),2))/((VLOOKUP($B146,INDIRECT($B$5&amp;"生成成长"),4))/(VLOOKUP(AH$72,INDIRECT($C$5&amp;"生成成长"),5))*(VLOOKUP($B$5,标准坦克设计!$B$24:$U$30,MATCH("对"&amp;LEFT($C$5,2)&amp;"输出",标准坦克设计!$B$23:$U$23,0)))*(VLOOKUP($B146,INDIRECT($B$5&amp;"生成成长"),3))*(VLOOKUP($B$5,标准坦克设计!$B$14:$K$20,9)/30))</f>
        <v>18.728322959807947</v>
      </c>
      <c r="AI146" s="173">
        <f ca="1">(VLOOKUP(AI$72,INDIRECT($C$5&amp;"生成成长"),2))/((VLOOKUP($B146,INDIRECT($B$5&amp;"生成成长"),4))/(VLOOKUP(AI$72,INDIRECT($C$5&amp;"生成成长"),5))*(VLOOKUP($B$5,标准坦克设计!$B$24:$U$30,MATCH("对"&amp;LEFT($C$5,2)&amp;"输出",标准坦克设计!$B$23:$U$23,0)))*(VLOOKUP($B146,INDIRECT($B$5&amp;"生成成长"),3))*(VLOOKUP($B$5,标准坦克设计!$B$14:$K$20,9)/30))</f>
        <v>13.245853060162585</v>
      </c>
      <c r="AJ146" s="173">
        <f ca="1">(VLOOKUP(AJ$72,INDIRECT($C$5&amp;"生成成长"),2))/((VLOOKUP($B146,INDIRECT($B$5&amp;"生成成长"),4))/(VLOOKUP(AJ$72,INDIRECT($C$5&amp;"生成成长"),5))*(VLOOKUP($B$5,标准坦克设计!$B$24:$U$30,MATCH("对"&amp;LEFT($C$5,2)&amp;"输出",标准坦克设计!$B$23:$U$23,0)))*(VLOOKUP($B146,INDIRECT($B$5&amp;"生成成长"),3))*(VLOOKUP($B$5,标准坦克设计!$B$14:$K$20,9)/30))</f>
        <v>14.498554755722413</v>
      </c>
      <c r="AK146" s="173">
        <f ca="1">(VLOOKUP(AK$72,INDIRECT($C$5&amp;"生成成长"),2))/((VLOOKUP($B146,INDIRECT($B$5&amp;"生成成长"),4))/(VLOOKUP(AK$72,INDIRECT($C$5&amp;"生成成长"),5))*(VLOOKUP($B$5,标准坦克设计!$B$24:$U$30,MATCH("对"&amp;LEFT($C$5,2)&amp;"输出",标准坦克设计!$B$23:$U$23,0)))*(VLOOKUP($B146,INDIRECT($B$5&amp;"生成成长"),3))*(VLOOKUP($B$5,标准坦克设计!$B$14:$K$20,9)/30))</f>
        <v>15.807846671615545</v>
      </c>
      <c r="AL146" s="173">
        <f ca="1">(VLOOKUP(AL$72,INDIRECT($C$5&amp;"生成成长"),2))/((VLOOKUP($B146,INDIRECT($B$5&amp;"生成成长"),4))/(VLOOKUP(AL$72,INDIRECT($C$5&amp;"生成成长"),5))*(VLOOKUP($B$5,标准坦克设计!$B$24:$U$30,MATCH("对"&amp;LEFT($C$5,2)&amp;"输出",标准坦克设计!$B$23:$U$23,0)))*(VLOOKUP($B146,INDIRECT($B$5&amp;"生成成长"),3))*(VLOOKUP($B$5,标准坦克设计!$B$14:$K$20,9)/30))</f>
        <v>17.173728807841968</v>
      </c>
      <c r="AM146" s="173">
        <f ca="1">(VLOOKUP(AM$72,INDIRECT($C$5&amp;"生成成长"),2))/((VLOOKUP($B146,INDIRECT($B$5&amp;"生成成长"),4))/(VLOOKUP(AM$72,INDIRECT($C$5&amp;"生成成长"),5))*(VLOOKUP($B$5,标准坦克设计!$B$24:$U$30,MATCH("对"&amp;LEFT($C$5,2)&amp;"输出",标准坦克设计!$B$23:$U$23,0)))*(VLOOKUP($B146,INDIRECT($B$5&amp;"生成成长"),3))*(VLOOKUP($B$5,标准坦克设计!$B$14:$K$20,9)/30))</f>
        <v>18.596201164401695</v>
      </c>
      <c r="AN146" s="173">
        <f ca="1">(VLOOKUP(AN$72,INDIRECT($C$5&amp;"生成成长"),2))/((VLOOKUP($B146,INDIRECT($B$5&amp;"生成成长"),4))/(VLOOKUP(AN$72,INDIRECT($C$5&amp;"生成成长"),5))*(VLOOKUP($B$5,标准坦克设计!$B$24:$U$30,MATCH("对"&amp;LEFT($C$5,2)&amp;"输出",标准坦克设计!$B$23:$U$23,0)))*(VLOOKUP($B146,INDIRECT($B$5&amp;"生成成长"),3))*(VLOOKUP($B$5,标准坦克设计!$B$14:$K$20,9)/30))</f>
        <v>20.075263741294712</v>
      </c>
      <c r="AO146" s="173">
        <f ca="1">(VLOOKUP(AO$72,INDIRECT($C$5&amp;"生成成长"),2))/((VLOOKUP($B146,INDIRECT($B$5&amp;"生成成长"),4))/(VLOOKUP(AO$72,INDIRECT($C$5&amp;"生成成长"),5))*(VLOOKUP($B$5,标准坦克设计!$B$24:$U$30,MATCH("对"&amp;LEFT($C$5,2)&amp;"输出",标准坦克设计!$B$23:$U$23,0)))*(VLOOKUP($B146,INDIRECT($B$5&amp;"生成成长"),3))*(VLOOKUP($B$5,标准坦克设计!$B$14:$K$20,9)/30))</f>
        <v>21.610916538521035</v>
      </c>
      <c r="AP146" s="173">
        <f ca="1">(VLOOKUP(AP$72,INDIRECT($C$5&amp;"生成成长"),2))/((VLOOKUP($B146,INDIRECT($B$5&amp;"生成成长"),4))/(VLOOKUP(AP$72,INDIRECT($C$5&amp;"生成成长"),5))*(VLOOKUP($B$5,标准坦克设计!$B$24:$U$30,MATCH("对"&amp;LEFT($C$5,2)&amp;"输出",标准坦克设计!$B$23:$U$23,0)))*(VLOOKUP($B146,INDIRECT($B$5&amp;"生成成长"),3))*(VLOOKUP($B$5,标准坦克设计!$B$14:$K$20,9)/30))</f>
        <v>23.203159556080653</v>
      </c>
      <c r="AQ146" s="173">
        <f ca="1">(VLOOKUP(AQ$72,INDIRECT($C$5&amp;"生成成长"),2))/((VLOOKUP($B146,INDIRECT($B$5&amp;"生成成长"),4))/(VLOOKUP(AQ$72,INDIRECT($C$5&amp;"生成成长"),5))*(VLOOKUP($B$5,标准坦克设计!$B$24:$U$30,MATCH("对"&amp;LEFT($C$5,2)&amp;"输出",标准坦克设计!$B$23:$U$23,0)))*(VLOOKUP($B146,INDIRECT($B$5&amp;"生成成长"),3))*(VLOOKUP($B$5,标准坦克设计!$B$14:$K$20,9)/30))</f>
        <v>24.851992793973572</v>
      </c>
      <c r="AR146" s="173">
        <f ca="1">(VLOOKUP(AR$72,INDIRECT($C$5&amp;"生成成长"),2))/((VLOOKUP($B146,INDIRECT($B$5&amp;"生成成长"),4))/(VLOOKUP(AR$72,INDIRECT($C$5&amp;"生成成长"),5))*(VLOOKUP($B$5,标准坦克设计!$B$24:$U$30,MATCH("对"&amp;LEFT($C$5,2)&amp;"输出",标准坦克设计!$B$23:$U$23,0)))*(VLOOKUP($B146,INDIRECT($B$5&amp;"生成成长"),3))*(VLOOKUP($B$5,标准坦克设计!$B$14:$K$20,9)/30))</f>
        <v>26.557416252199786</v>
      </c>
      <c r="AS146" s="173">
        <f ca="1">(VLOOKUP(AS$72,INDIRECT($C$5&amp;"生成成长"),2))/((VLOOKUP($B146,INDIRECT($B$5&amp;"生成成长"),4))/(VLOOKUP(AS$72,INDIRECT($C$5&amp;"生成成长"),5))*(VLOOKUP($B$5,标准坦克设计!$B$24:$U$30,MATCH("对"&amp;LEFT($C$5,2)&amp;"输出",标准坦克设计!$B$23:$U$23,0)))*(VLOOKUP($B146,INDIRECT($B$5&amp;"生成成长"),3))*(VLOOKUP($B$5,标准坦克设计!$B$14:$K$20,9)/30))</f>
        <v>28.319429930759298</v>
      </c>
      <c r="AT146" s="173">
        <f ca="1">(VLOOKUP(AT$72,INDIRECT($C$5&amp;"生成成长"),2))/((VLOOKUP($B146,INDIRECT($B$5&amp;"生成成长"),4))/(VLOOKUP(AT$72,INDIRECT($C$5&amp;"生成成长"),5))*(VLOOKUP($B$5,标准坦克设计!$B$24:$U$30,MATCH("对"&amp;LEFT($C$5,2)&amp;"输出",标准坦克设计!$B$23:$U$23,0)))*(VLOOKUP($B146,INDIRECT($B$5&amp;"生成成长"),3))*(VLOOKUP($B$5,标准坦克设计!$B$14:$K$20,9)/30))</f>
        <v>30.138033829652112</v>
      </c>
      <c r="AU146" s="173">
        <f ca="1">(VLOOKUP(AU$72,INDIRECT($C$5&amp;"生成成长"),2))/((VLOOKUP($B146,INDIRECT($B$5&amp;"生成成长"),4))/(VLOOKUP(AU$72,INDIRECT($C$5&amp;"生成成长"),5))*(VLOOKUP($B$5,标准坦克设计!$B$24:$U$30,MATCH("对"&amp;LEFT($C$5,2)&amp;"输出",标准坦克设计!$B$23:$U$23,0)))*(VLOOKUP($B146,INDIRECT($B$5&amp;"生成成长"),3))*(VLOOKUP($B$5,标准坦克设计!$B$14:$K$20,9)/30))</f>
        <v>32.013227948878225</v>
      </c>
      <c r="AV146" s="173">
        <f ca="1">(VLOOKUP(AV$72,INDIRECT($C$5&amp;"生成成长"),2))/((VLOOKUP($B146,INDIRECT($B$5&amp;"生成成长"),4))/(VLOOKUP(AV$72,INDIRECT($C$5&amp;"生成成长"),5))*(VLOOKUP($B$5,标准坦克设计!$B$24:$U$30,MATCH("对"&amp;LEFT($C$5,2)&amp;"输出",标准坦克设计!$B$23:$U$23,0)))*(VLOOKUP($B146,INDIRECT($B$5&amp;"生成成长"),3))*(VLOOKUP($B$5,标准坦克设计!$B$14:$K$20,9)/30))</f>
        <v>3.2560422641357225</v>
      </c>
      <c r="AW146" s="173">
        <f ca="1">(VLOOKUP(AW$72,INDIRECT($C$5&amp;"生成成长"),2))/((VLOOKUP($B146,INDIRECT($B$5&amp;"生成成长"),4))/(VLOOKUP(AW$72,INDIRECT($C$5&amp;"生成成长"),5))*(VLOOKUP($B$5,标准坦克设计!$B$24:$U$30,MATCH("对"&amp;LEFT($C$5,2)&amp;"输出",标准坦克设计!$B$23:$U$23,0)))*(VLOOKUP($B146,INDIRECT($B$5&amp;"生成成长"),3))*(VLOOKUP($B$5,标准坦克设计!$B$14:$K$20,9)/30))</f>
        <v>3.7125055289729048</v>
      </c>
      <c r="AX146" s="173">
        <f ca="1">(VLOOKUP(AX$72,INDIRECT($C$5&amp;"生成成长"),2))/((VLOOKUP($B146,INDIRECT($B$5&amp;"生成成长"),4))/(VLOOKUP(AX$72,INDIRECT($C$5&amp;"生成成长"),5))*(VLOOKUP($B$5,标准坦克设计!$B$24:$U$30,MATCH("对"&amp;LEFT($C$5,2)&amp;"输出",标准坦克设计!$B$23:$U$23,0)))*(VLOOKUP($B146,INDIRECT($B$5&amp;"生成成长"),3))*(VLOOKUP($B$5,标准坦克设计!$B$14:$K$20,9)/30))</f>
        <v>4.1989008111764603</v>
      </c>
      <c r="AY146" s="173">
        <f ca="1">(VLOOKUP(AY$72,INDIRECT($C$5&amp;"生成成长"),2))/((VLOOKUP($B146,INDIRECT($B$5&amp;"生成成长"),4))/(VLOOKUP(AY$72,INDIRECT($C$5&amp;"生成成长"),5))*(VLOOKUP($B$5,标准坦克设计!$B$24:$U$30,MATCH("对"&amp;LEFT($C$5,2)&amp;"输出",标准坦克设计!$B$23:$U$23,0)))*(VLOOKUP($B146,INDIRECT($B$5&amp;"生成成长"),3))*(VLOOKUP($B$5,标准坦克设计!$B$14:$K$20,9)/30))</f>
        <v>4.7152281107463878</v>
      </c>
      <c r="AZ146" s="173">
        <f ca="1">(VLOOKUP(AZ$72,INDIRECT($C$5&amp;"生成成长"),2))/((VLOOKUP($B146,INDIRECT($B$5&amp;"生成成长"),4))/(VLOOKUP(AZ$72,INDIRECT($C$5&amp;"生成成长"),5))*(VLOOKUP($B$5,标准坦克设计!$B$24:$U$30,MATCH("对"&amp;LEFT($C$5,2)&amp;"输出",标准坦克设计!$B$23:$U$23,0)))*(VLOOKUP($B146,INDIRECT($B$5&amp;"生成成长"),3))*(VLOOKUP($B$5,标准坦克设计!$B$14:$K$20,9)/30))</f>
        <v>5.2614874276826873</v>
      </c>
      <c r="BA146" s="173">
        <f ca="1">(VLOOKUP(BA$72,INDIRECT($C$5&amp;"生成成长"),2))/((VLOOKUP($B146,INDIRECT($B$5&amp;"生成成长"),4))/(VLOOKUP(BA$72,INDIRECT($C$5&amp;"生成成长"),5))*(VLOOKUP($B$5,标准坦克设计!$B$24:$U$30,MATCH("对"&amp;LEFT($C$5,2)&amp;"输出",标准坦克设计!$B$23:$U$23,0)))*(VLOOKUP($B146,INDIRECT($B$5&amp;"生成成长"),3))*(VLOOKUP($B$5,标准坦克设计!$B$14:$K$20,9)/30))</f>
        <v>5.8376787619853614</v>
      </c>
      <c r="BB146" s="173">
        <f ca="1">(VLOOKUP(BB$72,INDIRECT($C$5&amp;"生成成长"),2))/((VLOOKUP($B146,INDIRECT($B$5&amp;"生成成长"),4))/(VLOOKUP(BB$72,INDIRECT($C$5&amp;"生成成长"),5))*(VLOOKUP($B$5,标准坦克设计!$B$24:$U$30,MATCH("对"&amp;LEFT($C$5,2)&amp;"输出",标准坦克设计!$B$23:$U$23,0)))*(VLOOKUP($B146,INDIRECT($B$5&amp;"生成成长"),3))*(VLOOKUP($B$5,标准坦克设计!$B$14:$K$20,9)/30))</f>
        <v>6.4438021136544057</v>
      </c>
      <c r="BC146" s="173">
        <f ca="1">(VLOOKUP(BC$72,INDIRECT($C$5&amp;"生成成长"),2))/((VLOOKUP($B146,INDIRECT($B$5&amp;"生成成长"),4))/(VLOOKUP(BC$72,INDIRECT($C$5&amp;"生成成长"),5))*(VLOOKUP($B$5,标准坦克设计!$B$24:$U$30,MATCH("对"&amp;LEFT($C$5,2)&amp;"输出",标准坦克设计!$B$23:$U$23,0)))*(VLOOKUP($B146,INDIRECT($B$5&amp;"生成成长"),3))*(VLOOKUP($B$5,标准坦克设计!$B$14:$K$20,9)/30))</f>
        <v>7.0798574826898246</v>
      </c>
      <c r="BD146" s="173">
        <f ca="1">(VLOOKUP(BD$72,INDIRECT($C$5&amp;"生成成长"),2))/((VLOOKUP($B146,INDIRECT($B$5&amp;"生成成长"),4))/(VLOOKUP(BD$72,INDIRECT($C$5&amp;"生成成长"),5))*(VLOOKUP($B$5,标准坦克设计!$B$24:$U$30,MATCH("对"&amp;LEFT($C$5,2)&amp;"输出",标准坦克设计!$B$23:$U$23,0)))*(VLOOKUP($B146,INDIRECT($B$5&amp;"生成成长"),3))*(VLOOKUP($B$5,标准坦克设计!$B$14:$K$20,9)/30))</f>
        <v>7.8311978873629116</v>
      </c>
      <c r="BE146" s="173">
        <f ca="1">(VLOOKUP(BE$72,INDIRECT($C$5&amp;"生成成长"),2))/((VLOOKUP($B146,INDIRECT($B$5&amp;"生成成长"),4))/(VLOOKUP(BE$72,INDIRECT($C$5&amp;"生成成长"),5))*(VLOOKUP($B$5,标准坦克设计!$B$24:$U$30,MATCH("对"&amp;LEFT($C$5,2)&amp;"输出",标准坦克设计!$B$23:$U$23,0)))*(VLOOKUP($B146,INDIRECT($B$5&amp;"生成成长"),3))*(VLOOKUP($B$5,标准坦克设计!$B$14:$K$20,9)/30))</f>
        <v>8.6204210015153162</v>
      </c>
      <c r="BF146" s="173">
        <f ca="1">(VLOOKUP(BF$72,INDIRECT($C$5&amp;"生成成长"),2))/((VLOOKUP($B146,INDIRECT($B$5&amp;"生成成长"),4))/(VLOOKUP(BF$72,INDIRECT($C$5&amp;"生成成长"),5))*(VLOOKUP($B$5,标准坦克设计!$B$24:$U$30,MATCH("对"&amp;LEFT($C$5,2)&amp;"输出",标准坦克设计!$B$23:$U$23,0)))*(VLOOKUP($B146,INDIRECT($B$5&amp;"生成成长"),3))*(VLOOKUP($B$5,标准坦克设计!$B$14:$K$20,9)/30))</f>
        <v>9.447526825147035</v>
      </c>
      <c r="BG146" s="173">
        <f ca="1">(VLOOKUP(BG$72,INDIRECT($C$5&amp;"生成成长"),2))/((VLOOKUP($B146,INDIRECT($B$5&amp;"生成成长"),4))/(VLOOKUP(BG$72,INDIRECT($C$5&amp;"生成成长"),5))*(VLOOKUP($B$5,标准坦克设计!$B$24:$U$30,MATCH("对"&amp;LEFT($C$5,2)&amp;"输出",标准坦克设计!$B$23:$U$23,0)))*(VLOOKUP($B146,INDIRECT($B$5&amp;"生成成长"),3))*(VLOOKUP($B$5,标准坦克设计!$B$14:$K$20,9)/30))</f>
        <v>10.31251535825807</v>
      </c>
      <c r="BH146" s="173">
        <f ca="1">(VLOOKUP(BH$72,INDIRECT($C$5&amp;"生成成长"),2))/((VLOOKUP($B146,INDIRECT($B$5&amp;"生成成长"),4))/(VLOOKUP(BH$72,INDIRECT($C$5&amp;"生成成长"),5))*(VLOOKUP($B$5,标准坦克设计!$B$24:$U$30,MATCH("对"&amp;LEFT($C$5,2)&amp;"输出",标准坦克设计!$B$23:$U$23,0)))*(VLOOKUP($B146,INDIRECT($B$5&amp;"生成成长"),3))*(VLOOKUP($B$5,标准坦克设计!$B$14:$K$20,9)/30))</f>
        <v>4.9846162670437408</v>
      </c>
      <c r="BI146" s="173">
        <f ca="1">(VLOOKUP(BI$72,INDIRECT($C$5&amp;"生成成长"),2))/((VLOOKUP($B146,INDIRECT($B$5&amp;"生成成长"),4))/(VLOOKUP(BI$72,INDIRECT($C$5&amp;"生成成长"),5))*(VLOOKUP($B$5,标准坦克设计!$B$24:$U$30,MATCH("对"&amp;LEFT($C$5,2)&amp;"输出",标准坦克设计!$B$23:$U$23,0)))*(VLOOKUP($B146,INDIRECT($B$5&amp;"生成成长"),3))*(VLOOKUP($B$5,标准坦克设计!$B$14:$K$20,9)/30))</f>
        <v>5.6180993533367367</v>
      </c>
      <c r="BJ146" s="173">
        <f ca="1">(VLOOKUP(BJ$72,INDIRECT($C$5&amp;"生成成长"),2))/((VLOOKUP($B146,INDIRECT($B$5&amp;"生成成长"),4))/(VLOOKUP(BJ$72,INDIRECT($C$5&amp;"生成成长"),5))*(VLOOKUP($B$5,标准坦克设计!$B$24:$U$30,MATCH("对"&amp;LEFT($C$5,2)&amp;"输出",标准坦克设计!$B$23:$U$23,0)))*(VLOOKUP($B146,INDIRECT($B$5&amp;"生成成长"),3))*(VLOOKUP($B$5,标准坦克设计!$B$14:$K$20,9)/30))</f>
        <v>6.2894651491090476</v>
      </c>
      <c r="BK146" s="173">
        <f ca="1">(VLOOKUP(BK$72,INDIRECT($C$5&amp;"生成成长"),2))/((VLOOKUP($B146,INDIRECT($B$5&amp;"生成成长"),4))/(VLOOKUP(BK$72,INDIRECT($C$5&amp;"生成成长"),5))*(VLOOKUP($B$5,标准坦克设计!$B$24:$U$30,MATCH("对"&amp;LEFT($C$5,2)&amp;"输出",标准坦克设计!$B$23:$U$23,0)))*(VLOOKUP($B146,INDIRECT($B$5&amp;"生成成长"),3))*(VLOOKUP($B$5,标准坦克设计!$B$14:$K$20,9)/30))</f>
        <v>6.9987136543606736</v>
      </c>
      <c r="BL146" s="173">
        <f ca="1">(VLOOKUP(BL$72,INDIRECT($C$5&amp;"生成成长"),2))/((VLOOKUP($B146,INDIRECT($B$5&amp;"生成成长"),4))/(VLOOKUP(BL$72,INDIRECT($C$5&amp;"生成成长"),5))*(VLOOKUP($B$5,标准坦克设计!$B$24:$U$30,MATCH("对"&amp;LEFT($C$5,2)&amp;"输出",标准坦克设计!$B$23:$U$23,0)))*(VLOOKUP($B146,INDIRECT($B$5&amp;"生成成长"),3))*(VLOOKUP($B$5,标准坦克设计!$B$14:$K$20,9)/30))</f>
        <v>7.7458448690916164</v>
      </c>
      <c r="BM146" s="173">
        <f ca="1">(VLOOKUP(BM$72,INDIRECT($C$5&amp;"生成成长"),2))/((VLOOKUP($B146,INDIRECT($B$5&amp;"生成成长"),4))/(VLOOKUP(BM$72,INDIRECT($C$5&amp;"生成成长"),5))*(VLOOKUP($B$5,标准坦克设计!$B$24:$U$30,MATCH("对"&amp;LEFT($C$5,2)&amp;"输出",标准坦克设计!$B$23:$U$23,0)))*(VLOOKUP($B146,INDIRECT($B$5&amp;"生成成长"),3))*(VLOOKUP($B$5,标准坦克设计!$B$14:$K$20,9)/30))</f>
        <v>8.5308587933018742</v>
      </c>
      <c r="BN146" s="173">
        <f ca="1">(VLOOKUP(BN$72,INDIRECT($C$5&amp;"生成成长"),2))/((VLOOKUP($B146,INDIRECT($B$5&amp;"生成成长"),4))/(VLOOKUP(BN$72,INDIRECT($C$5&amp;"生成成长"),5))*(VLOOKUP($B$5,标准坦克设计!$B$24:$U$30,MATCH("对"&amp;LEFT($C$5,2)&amp;"输出",标准坦克设计!$B$23:$U$23,0)))*(VLOOKUP($B146,INDIRECT($B$5&amp;"生成成长"),3))*(VLOOKUP($B$5,标准坦克设计!$B$14:$K$20,9)/30))</f>
        <v>9.3537554269914445</v>
      </c>
      <c r="BO146" s="173">
        <f ca="1">(VLOOKUP(BO$72,INDIRECT($C$5&amp;"生成成长"),2))/((VLOOKUP($B146,INDIRECT($B$5&amp;"生成成长"),4))/(VLOOKUP(BO$72,INDIRECT($C$5&amp;"生成成长"),5))*(VLOOKUP($B$5,标准坦克设计!$B$24:$U$30,MATCH("对"&amp;LEFT($C$5,2)&amp;"输出",标准坦克设计!$B$23:$U$23,0)))*(VLOOKUP($B146,INDIRECT($B$5&amp;"生成成长"),3))*(VLOOKUP($B$5,标准坦克设计!$B$14:$K$20,9)/30))</f>
        <v>10.214534770160332</v>
      </c>
      <c r="BP146" s="173">
        <f ca="1">(VLOOKUP(BP$72,INDIRECT($C$5&amp;"生成成长"),2))/((VLOOKUP($B146,INDIRECT($B$5&amp;"生成成长"),4))/(VLOOKUP(BP$72,INDIRECT($C$5&amp;"生成成长"),5))*(VLOOKUP($B$5,标准坦克设计!$B$24:$U$30,MATCH("对"&amp;LEFT($C$5,2)&amp;"输出",标准坦克设计!$B$23:$U$23,0)))*(VLOOKUP($B146,INDIRECT($B$5&amp;"生成成长"),3))*(VLOOKUP($B$5,标准坦克设计!$B$14:$K$20,9)/30))</f>
        <v>11.113196822808534</v>
      </c>
      <c r="BQ146" s="173">
        <f ca="1">(VLOOKUP(BQ$72,INDIRECT($C$5&amp;"生成成长"),2))/((VLOOKUP($B146,INDIRECT($B$5&amp;"生成成长"),4))/(VLOOKUP(BQ$72,INDIRECT($C$5&amp;"生成成长"),5))*(VLOOKUP($B$5,标准坦克设计!$B$24:$U$30,MATCH("对"&amp;LEFT($C$5,2)&amp;"输出",标准坦克设计!$B$23:$U$23,0)))*(VLOOKUP($B146,INDIRECT($B$5&amp;"生成成长"),3))*(VLOOKUP($B$5,标准坦克设计!$B$14:$K$20,9)/30))</f>
        <v>12.049741584936056</v>
      </c>
      <c r="BR146" s="173">
        <f ca="1">(VLOOKUP(BR$72,INDIRECT($C$5&amp;"生成成长"),2))/((VLOOKUP($B146,INDIRECT($B$5&amp;"生成成长"),4))/(VLOOKUP(BR$72,INDIRECT($C$5&amp;"生成成长"),5))*(VLOOKUP($B$5,标准坦克设计!$B$24:$U$30,MATCH("对"&amp;LEFT($C$5,2)&amp;"输出",标准坦克设计!$B$23:$U$23,0)))*(VLOOKUP($B146,INDIRECT($B$5&amp;"生成成长"),3))*(VLOOKUP($B$5,标准坦克设计!$B$14:$K$20,9)/30))</f>
        <v>13.134777214467062</v>
      </c>
      <c r="BS146" s="173">
        <f ca="1">(VLOOKUP(BS$72,INDIRECT($C$5&amp;"生成成长"),2))/((VLOOKUP($B146,INDIRECT($B$5&amp;"生成成长"),4))/(VLOOKUP(BS$72,INDIRECT($C$5&amp;"生成成长"),5))*(VLOOKUP($B$5,标准坦克设计!$B$24:$U$30,MATCH("对"&amp;LEFT($C$5,2)&amp;"输出",标准坦克设计!$B$23:$U$23,0)))*(VLOOKUP($B146,INDIRECT($B$5&amp;"生成成长"),3))*(VLOOKUP($B$5,标准坦克设计!$B$14:$K$20,9)/30))</f>
        <v>14.266581621133025</v>
      </c>
      <c r="BT146" s="173">
        <f ca="1">(VLOOKUP(BT$72,INDIRECT($C$5&amp;"生成成长"),2))/((VLOOKUP($B146,INDIRECT($B$5&amp;"生成成长"),4))/(VLOOKUP(BT$72,INDIRECT($C$5&amp;"生成成长"),5))*(VLOOKUP($B$5,标准坦克设计!$B$24:$U$30,MATCH("对"&amp;LEFT($C$5,2)&amp;"输出",标准坦克设计!$B$23:$U$23,0)))*(VLOOKUP($B146,INDIRECT($B$5&amp;"生成成长"),3))*(VLOOKUP($B$5,标准坦克设计!$B$14:$K$20,9)/30))</f>
        <v>15.445154804933948</v>
      </c>
      <c r="BU146" s="173">
        <f ca="1">(VLOOKUP(BU$72,INDIRECT($C$5&amp;"生成成长"),2))/((VLOOKUP($B146,INDIRECT($B$5&amp;"生成成长"),4))/(VLOOKUP(BU$72,INDIRECT($C$5&amp;"生成成长"),5))*(VLOOKUP($B$5,标准坦克设计!$B$24:$U$30,MATCH("对"&amp;LEFT($C$5,2)&amp;"输出",标准坦克设计!$B$23:$U$23,0)))*(VLOOKUP($B146,INDIRECT($B$5&amp;"生成成长"),3))*(VLOOKUP($B$5,标准坦克设计!$B$14:$K$20,9)/30))</f>
        <v>16.670496765869832</v>
      </c>
      <c r="BV146" s="173">
        <f ca="1">(VLOOKUP(BV$72,INDIRECT($C$5&amp;"生成成长"),2))/((VLOOKUP($B146,INDIRECT($B$5&amp;"生成成长"),4))/(VLOOKUP(BV$72,INDIRECT($C$5&amp;"生成成长"),5))*(VLOOKUP($B$5,标准坦克设计!$B$24:$U$30,MATCH("对"&amp;LEFT($C$5,2)&amp;"输出",标准坦克设计!$B$23:$U$23,0)))*(VLOOKUP($B146,INDIRECT($B$5&amp;"生成成长"),3))*(VLOOKUP($B$5,标准坦克设计!$B$14:$K$20,9)/30))</f>
        <v>17.942607503940668</v>
      </c>
      <c r="BW146" s="173">
        <f ca="1">(VLOOKUP(BW$72,INDIRECT($C$5&amp;"生成成长"),2))/((VLOOKUP($B146,INDIRECT($B$5&amp;"生成成长"),4))/(VLOOKUP(BW$72,INDIRECT($C$5&amp;"生成成长"),5))*(VLOOKUP($B$5,标准坦克设计!$B$24:$U$30,MATCH("对"&amp;LEFT($C$5,2)&amp;"输出",标准坦克设计!$B$23:$U$23,0)))*(VLOOKUP($B146,INDIRECT($B$5&amp;"生成成长"),3))*(VLOOKUP($B$5,标准坦克设计!$B$14:$K$20,9)/30))</f>
        <v>8.1772868381615957</v>
      </c>
      <c r="BX146" s="173">
        <f ca="1">(VLOOKUP(BX$72,INDIRECT($C$5&amp;"生成成长"),2))/((VLOOKUP($B146,INDIRECT($B$5&amp;"生成成长"),4))/(VLOOKUP(BX$72,INDIRECT($C$5&amp;"生成成长"),5))*(VLOOKUP($B$5,标准坦克设计!$B$24:$U$30,MATCH("对"&amp;LEFT($C$5,2)&amp;"输出",标准坦克设计!$B$23:$U$23,0)))*(VLOOKUP($B146,INDIRECT($B$5&amp;"生成成长"),3))*(VLOOKUP($B$5,标准坦克设计!$B$14:$K$20,9)/30))</f>
        <v>9.0752473591527743</v>
      </c>
      <c r="BY146" s="173">
        <f ca="1">(VLOOKUP(BY$72,INDIRECT($C$5&amp;"生成成长"),2))/((VLOOKUP($B146,INDIRECT($B$5&amp;"生成成长"),4))/(VLOOKUP(BY$72,INDIRECT($C$5&amp;"生成成长"),5))*(VLOOKUP($B$5,标准坦克设计!$B$24:$U$30,MATCH("对"&amp;LEFT($C$5,2)&amp;"输出",标准坦克设计!$B$23:$U$23,0)))*(VLOOKUP($B146,INDIRECT($B$5&amp;"生成成长"),3))*(VLOOKUP($B$5,标准坦克设计!$B$14:$K$20,9)/30))</f>
        <v>10.01997665727891</v>
      </c>
      <c r="BZ146" s="173">
        <f ca="1">(VLOOKUP(BZ$72,INDIRECT($C$5&amp;"生成成长"),2))/((VLOOKUP($B146,INDIRECT($B$5&amp;"生成成长"),4))/(VLOOKUP(BZ$72,INDIRECT($C$5&amp;"生成成长"),5))*(VLOOKUP($B$5,标准坦克设计!$B$24:$U$30,MATCH("对"&amp;LEFT($C$5,2)&amp;"输出",标准坦克设计!$B$23:$U$23,0)))*(VLOOKUP($B146,INDIRECT($B$5&amp;"生成成长"),3))*(VLOOKUP($B$5,标准坦克设计!$B$14:$K$20,9)/30))</f>
        <v>11.011474732540004</v>
      </c>
      <c r="CA146" s="173">
        <f ca="1">(VLOOKUP(CA$72,INDIRECT($C$5&amp;"生成成长"),2))/((VLOOKUP($B146,INDIRECT($B$5&amp;"生成成长"),4))/(VLOOKUP(CA$72,INDIRECT($C$5&amp;"生成成长"),5))*(VLOOKUP($B$5,标准坦克设计!$B$24:$U$30,MATCH("对"&amp;LEFT($C$5,2)&amp;"输出",标准坦克设计!$B$23:$U$23,0)))*(VLOOKUP($B146,INDIRECT($B$5&amp;"生成成长"),3))*(VLOOKUP($B$5,标准坦克设计!$B$14:$K$20,9)/30))</f>
        <v>12.049741584936056</v>
      </c>
      <c r="CB146" s="173">
        <f ca="1">(VLOOKUP(CB$72,INDIRECT($C$5&amp;"生成成长"),2))/((VLOOKUP($B146,INDIRECT($B$5&amp;"生成成长"),4))/(VLOOKUP(CB$72,INDIRECT($C$5&amp;"生成成长"),5))*(VLOOKUP($B$5,标准坦克设计!$B$24:$U$30,MATCH("对"&amp;LEFT($C$5,2)&amp;"输出",标准坦克设计!$B$23:$U$23,0)))*(VLOOKUP($B146,INDIRECT($B$5&amp;"生成成长"),3))*(VLOOKUP($B$5,标准坦克设计!$B$14:$K$20,9)/30))</f>
        <v>13.134777214467062</v>
      </c>
      <c r="CC146" s="173">
        <f ca="1">(VLOOKUP(CC$72,INDIRECT($C$5&amp;"生成成长"),2))/((VLOOKUP($B146,INDIRECT($B$5&amp;"生成成长"),4))/(VLOOKUP(CC$72,INDIRECT($C$5&amp;"生成成长"),5))*(VLOOKUP($B$5,标准坦克设计!$B$24:$U$30,MATCH("对"&amp;LEFT($C$5,2)&amp;"输出",标准坦克设计!$B$23:$U$23,0)))*(VLOOKUP($B146,INDIRECT($B$5&amp;"生成成长"),3))*(VLOOKUP($B$5,标准坦克设计!$B$14:$K$20,9)/30))</f>
        <v>14.266581621133025</v>
      </c>
      <c r="CD146" s="173">
        <f ca="1">(VLOOKUP(CD$72,INDIRECT($C$5&amp;"生成成长"),2))/((VLOOKUP($B146,INDIRECT($B$5&amp;"生成成长"),4))/(VLOOKUP(CD$72,INDIRECT($C$5&amp;"生成成长"),5))*(VLOOKUP($B$5,标准坦克设计!$B$24:$U$30,MATCH("对"&amp;LEFT($C$5,2)&amp;"输出",标准坦克设计!$B$23:$U$23,0)))*(VLOOKUP($B146,INDIRECT($B$5&amp;"生成成长"),3))*(VLOOKUP($B$5,标准坦克设计!$B$14:$K$20,9)/30))</f>
        <v>15.445154804933948</v>
      </c>
      <c r="CE146" s="173">
        <f ca="1">(VLOOKUP(CE$72,INDIRECT($C$5&amp;"生成成长"),2))/((VLOOKUP($B146,INDIRECT($B$5&amp;"生成成长"),4))/(VLOOKUP(CE$72,INDIRECT($C$5&amp;"生成成长"),5))*(VLOOKUP($B$5,标准坦克设计!$B$24:$U$30,MATCH("对"&amp;LEFT($C$5,2)&amp;"输出",标准坦克设计!$B$23:$U$23,0)))*(VLOOKUP($B146,INDIRECT($B$5&amp;"生成成长"),3))*(VLOOKUP($B$5,标准坦克设计!$B$14:$K$20,9)/30))</f>
        <v>16.670496765869832</v>
      </c>
      <c r="CF146" s="173">
        <f ca="1">(VLOOKUP(CF$72,INDIRECT($C$5&amp;"生成成长"),2))/((VLOOKUP($B146,INDIRECT($B$5&amp;"生成成长"),4))/(VLOOKUP(CF$72,INDIRECT($C$5&amp;"生成成长"),5))*(VLOOKUP($B$5,标准坦克设计!$B$24:$U$30,MATCH("对"&amp;LEFT($C$5,2)&amp;"输出",标准坦克设计!$B$23:$U$23,0)))*(VLOOKUP($B146,INDIRECT($B$5&amp;"生成成长"),3))*(VLOOKUP($B$5,标准坦克设计!$B$14:$K$20,9)/30))</f>
        <v>17.942607503940668</v>
      </c>
      <c r="CG146" s="173">
        <f ca="1">(VLOOKUP(CG$72,INDIRECT($C$5&amp;"生成成长"),2))/((VLOOKUP($B146,INDIRECT($B$5&amp;"生成成长"),4))/(VLOOKUP(CG$72,INDIRECT($C$5&amp;"生成成长"),5))*(VLOOKUP($B$5,标准坦克设计!$B$24:$U$30,MATCH("对"&amp;LEFT($C$5,2)&amp;"输出",标准坦克设计!$B$23:$U$23,0)))*(VLOOKUP($B146,INDIRECT($B$5&amp;"生成成长"),3))*(VLOOKUP($B$5,标准坦克设计!$B$14:$K$20,9)/30))</f>
        <v>19.261487019146458</v>
      </c>
      <c r="CH146" s="173">
        <f ca="1">(VLOOKUP(CH$72,INDIRECT($C$5&amp;"生成成长"),2))/((VLOOKUP($B146,INDIRECT($B$5&amp;"生成成长"),4))/(VLOOKUP(CH$72,INDIRECT($C$5&amp;"生成成长"),5))*(VLOOKUP($B$5,标准坦克设计!$B$24:$U$30,MATCH("对"&amp;LEFT($C$5,2)&amp;"输出",标准坦克设计!$B$23:$U$23,0)))*(VLOOKUP($B146,INDIRECT($B$5&amp;"生成成长"),3))*(VLOOKUP($B$5,标准坦克设计!$B$14:$K$20,9)/30))</f>
        <v>20.627135311487208</v>
      </c>
      <c r="CI146" s="173">
        <f ca="1">(VLOOKUP(CI$72,INDIRECT($C$5&amp;"生成成长"),2))/((VLOOKUP($B146,INDIRECT($B$5&amp;"生成成长"),4))/(VLOOKUP(CI$72,INDIRECT($C$5&amp;"生成成长"),5))*(VLOOKUP($B$5,标准坦克设计!$B$24:$U$30,MATCH("对"&amp;LEFT($C$5,2)&amp;"输出",标准坦克设计!$B$23:$U$23,0)))*(VLOOKUP($B146,INDIRECT($B$5&amp;"生成成长"),3))*(VLOOKUP($B$5,标准坦克设计!$B$14:$K$20,9)/30))</f>
        <v>22.183366370652909</v>
      </c>
      <c r="CJ146" s="173">
        <f ca="1">(VLOOKUP(CJ$72,INDIRECT($C$5&amp;"生成成长"),2))/((VLOOKUP($B146,INDIRECT($B$5&amp;"生成成长"),4))/(VLOOKUP(CJ$72,INDIRECT($C$5&amp;"生成成长"),5))*(VLOOKUP($B$5,标准坦克设计!$B$24:$U$30,MATCH("对"&amp;LEFT($C$5,2)&amp;"输出",标准坦克设计!$B$23:$U$23,0)))*(VLOOKUP($B146,INDIRECT($B$5&amp;"生成成长"),3))*(VLOOKUP($B$5,标准坦克设计!$B$14:$K$20,9)/30))</f>
        <v>23.796187650151911</v>
      </c>
      <c r="CK146" s="173">
        <f ca="1">(VLOOKUP(CK$72,INDIRECT($C$5&amp;"生成成长"),2))/((VLOOKUP($B146,INDIRECT($B$5&amp;"生成成长"),4))/(VLOOKUP(CK$72,INDIRECT($C$5&amp;"生成成长"),5))*(VLOOKUP($B$5,标准坦克设计!$B$24:$U$30,MATCH("对"&amp;LEFT($C$5,2)&amp;"输出",标准坦克设计!$B$23:$U$23,0)))*(VLOOKUP($B146,INDIRECT($B$5&amp;"生成成长"),3))*(VLOOKUP($B$5,标准坦克设计!$B$14:$K$20,9)/30))</f>
        <v>25.465599149984214</v>
      </c>
      <c r="CL146" s="173">
        <f ca="1">(VLOOKUP(CL$72,INDIRECT($C$5&amp;"生成成长"),2))/((VLOOKUP($B146,INDIRECT($B$5&amp;"生成成长"),4))/(VLOOKUP(CL$72,INDIRECT($C$5&amp;"生成成长"),5))*(VLOOKUP($B$5,标准坦克设计!$B$24:$U$30,MATCH("对"&amp;LEFT($C$5,2)&amp;"输出",标准坦克设计!$B$23:$U$23,0)))*(VLOOKUP($B146,INDIRECT($B$5&amp;"生成成长"),3))*(VLOOKUP($B$5,标准坦克设计!$B$14:$K$20,9)/30))</f>
        <v>27.191600870149802</v>
      </c>
      <c r="CM146" s="173">
        <f ca="1">(VLOOKUP(CM$72,INDIRECT($C$5&amp;"生成成长"),2))/((VLOOKUP($B146,INDIRECT($B$5&amp;"生成成长"),4))/(VLOOKUP(CM$72,INDIRECT($C$5&amp;"生成成长"),5))*(VLOOKUP($B$5,标准坦克设计!$B$24:$U$30,MATCH("对"&amp;LEFT($C$5,2)&amp;"输出",标准坦克设计!$B$23:$U$23,0)))*(VLOOKUP($B146,INDIRECT($B$5&amp;"生成成长"),3))*(VLOOKUP($B$5,标准坦克设计!$B$14:$K$20,9)/30))</f>
        <v>28.974192810648702</v>
      </c>
      <c r="CN146" s="173">
        <f ca="1">(VLOOKUP(CN$72,INDIRECT($C$5&amp;"生成成长"),2))/((VLOOKUP($B146,INDIRECT($B$5&amp;"生成成长"),4))/(VLOOKUP(CN$72,INDIRECT($C$5&amp;"生成成长"),5))*(VLOOKUP($B$5,标准坦克设计!$B$24:$U$30,MATCH("对"&amp;LEFT($C$5,2)&amp;"输出",标准坦克设计!$B$23:$U$23,0)))*(VLOOKUP($B146,INDIRECT($B$5&amp;"生成成长"),3))*(VLOOKUP($B$5,标准坦克设计!$B$14:$K$20,9)/30))</f>
        <v>30.813374971480894</v>
      </c>
      <c r="CO146" s="173">
        <f ca="1">(VLOOKUP(CO$72,INDIRECT($C$5&amp;"生成成长"),2))/((VLOOKUP($B146,INDIRECT($B$5&amp;"生成成长"),4))/(VLOOKUP(CO$72,INDIRECT($C$5&amp;"生成成长"),5))*(VLOOKUP($B$5,标准坦克设计!$B$24:$U$30,MATCH("对"&amp;LEFT($C$5,2)&amp;"输出",标准坦克设计!$B$23:$U$23,0)))*(VLOOKUP($B146,INDIRECT($B$5&amp;"生成成长"),3))*(VLOOKUP($B$5,标准坦克设计!$B$14:$K$20,9)/30))</f>
        <v>13.808247605210445</v>
      </c>
      <c r="CP146" s="173">
        <f ca="1">(VLOOKUP(CP$72,INDIRECT($C$5&amp;"生成成长"),2))/((VLOOKUP($B146,INDIRECT($B$5&amp;"生成成长"),4))/(VLOOKUP(CP$72,INDIRECT($C$5&amp;"生成成长"),5))*(VLOOKUP($B$5,标准坦克设计!$B$24:$U$30,MATCH("对"&amp;LEFT($C$5,2)&amp;"输出",标准坦克设计!$B$23:$U$23,0)))*(VLOOKUP($B146,INDIRECT($B$5&amp;"生成成长"),3))*(VLOOKUP($B$5,标准坦克设计!$B$14:$K$20,9)/30))</f>
        <v>15.086672128194504</v>
      </c>
      <c r="CQ146" s="173">
        <f ca="1">(VLOOKUP(CQ$72,INDIRECT($C$5&amp;"生成成长"),2))/((VLOOKUP($B146,INDIRECT($B$5&amp;"生成成长"),4))/(VLOOKUP(CQ$72,INDIRECT($C$5&amp;"生成成长"),5))*(VLOOKUP($B$5,标准坦克设计!$B$24:$U$30,MATCH("对"&amp;LEFT($C$5,2)&amp;"输出",标准坦克设计!$B$23:$U$23,0)))*(VLOOKUP($B146,INDIRECT($B$5&amp;"生成成长"),3))*(VLOOKUP($B$5,标准坦克设计!$B$14:$K$20,9)/30))</f>
        <v>16.421686871511856</v>
      </c>
      <c r="CR146" s="173">
        <f ca="1">(VLOOKUP(CR$72,INDIRECT($C$5&amp;"生成成长"),2))/((VLOOKUP($B146,INDIRECT($B$5&amp;"生成成长"),4))/(VLOOKUP(CR$72,INDIRECT($C$5&amp;"生成成长"),5))*(VLOOKUP($B$5,标准坦克设计!$B$24:$U$30,MATCH("对"&amp;LEFT($C$5,2)&amp;"输出",标准坦克设计!$B$23:$U$23,0)))*(VLOOKUP($B146,INDIRECT($B$5&amp;"生成成长"),3))*(VLOOKUP($B$5,标准坦克设计!$B$14:$K$20,9)/30))</f>
        <v>17.813291835162509</v>
      </c>
      <c r="CS146" s="173">
        <f ca="1">(VLOOKUP(CS$72,INDIRECT($C$5&amp;"生成成长"),2))/((VLOOKUP($B146,INDIRECT($B$5&amp;"生成成长"),4))/(VLOOKUP(CS$72,INDIRECT($C$5&amp;"生成成长"),5))*(VLOOKUP($B$5,标准坦克设计!$B$24:$U$30,MATCH("对"&amp;LEFT($C$5,2)&amp;"输出",标准坦克设计!$B$23:$U$23,0)))*(VLOOKUP($B146,INDIRECT($B$5&amp;"生成成长"),3))*(VLOOKUP($B$5,标准坦克设计!$B$14:$K$20,9)/30))</f>
        <v>19.261487019146458</v>
      </c>
      <c r="CT146" s="173">
        <f ca="1">(VLOOKUP(CT$72,INDIRECT($C$5&amp;"生成成长"),2))/((VLOOKUP($B146,INDIRECT($B$5&amp;"生成成长"),4))/(VLOOKUP(CT$72,INDIRECT($C$5&amp;"生成成长"),5))*(VLOOKUP($B$5,标准坦克设计!$B$24:$U$30,MATCH("对"&amp;LEFT($C$5,2)&amp;"输出",标准坦克设计!$B$23:$U$23,0)))*(VLOOKUP($B146,INDIRECT($B$5&amp;"生成成长"),3))*(VLOOKUP($B$5,标准坦克设计!$B$14:$K$20,9)/30))</f>
        <v>20.766272423463704</v>
      </c>
      <c r="CU146" s="173">
        <f ca="1">(VLOOKUP(CU$72,INDIRECT($C$5&amp;"生成成长"),2))/((VLOOKUP($B146,INDIRECT($B$5&amp;"生成成长"),4))/(VLOOKUP(CU$72,INDIRECT($C$5&amp;"生成成长"),5))*(VLOOKUP($B$5,标准坦克设计!$B$24:$U$30,MATCH("对"&amp;LEFT($C$5,2)&amp;"输出",标准坦克设计!$B$23:$U$23,0)))*(VLOOKUP($B146,INDIRECT($B$5&amp;"生成成长"),3))*(VLOOKUP($B$5,标准坦克设计!$B$14:$K$20,9)/30))</f>
        <v>22.327648048114252</v>
      </c>
      <c r="CV146" s="173">
        <f ca="1">(VLOOKUP(CV$72,INDIRECT($C$5&amp;"生成成长"),2))/((VLOOKUP($B146,INDIRECT($B$5&amp;"生成成长"),4))/(VLOOKUP(CV$72,INDIRECT($C$5&amp;"生成成长"),5))*(VLOOKUP($B$5,标准坦克设计!$B$24:$U$30,MATCH("对"&amp;LEFT($C$5,2)&amp;"输出",标准坦克设计!$B$23:$U$23,0)))*(VLOOKUP($B146,INDIRECT($B$5&amp;"生成成长"),3))*(VLOOKUP($B$5,标准坦克设计!$B$14:$K$20,9)/30))</f>
        <v>23.945613893098098</v>
      </c>
      <c r="CW146" s="173">
        <f ca="1">(VLOOKUP(CW$72,INDIRECT($C$5&amp;"生成成长"),2))/((VLOOKUP($B146,INDIRECT($B$5&amp;"生成成长"),4))/(VLOOKUP(CW$72,INDIRECT($C$5&amp;"生成成长"),5))*(VLOOKUP($B$5,标准坦克设计!$B$24:$U$30,MATCH("对"&amp;LEFT($C$5,2)&amp;"输出",标准坦克设计!$B$23:$U$23,0)))*(VLOOKUP($B146,INDIRECT($B$5&amp;"生成成长"),3))*(VLOOKUP($B$5,标准坦克设计!$B$14:$K$20,9)/30))</f>
        <v>25.620169958415239</v>
      </c>
      <c r="CX146" s="173">
        <f ca="1">(VLOOKUP(CX$72,INDIRECT($C$5&amp;"生成成长"),2))/((VLOOKUP($B146,INDIRECT($B$5&amp;"生成成长"),4))/(VLOOKUP(CX$72,INDIRECT($C$5&amp;"生成成长"),5))*(VLOOKUP($B$5,标准坦克设计!$B$24:$U$30,MATCH("对"&amp;LEFT($C$5,2)&amp;"输出",标准坦克设计!$B$23:$U$23,0)))*(VLOOKUP($B146,INDIRECT($B$5&amp;"生成成长"),3))*(VLOOKUP($B$5,标准坦克设计!$B$14:$K$20,9)/30))</f>
        <v>27.351316244065682</v>
      </c>
      <c r="CY146" s="173">
        <f ca="1">(VLOOKUP(CY$72,INDIRECT($C$5&amp;"生成成长"),2))/((VLOOKUP($B146,INDIRECT($B$5&amp;"生成成长"),4))/(VLOOKUP(CY$72,INDIRECT($C$5&amp;"生成成长"),5))*(VLOOKUP($B$5,标准坦克设计!$B$24:$U$30,MATCH("对"&amp;LEFT($C$5,2)&amp;"输出",标准坦克设计!$B$23:$U$23,0)))*(VLOOKUP($B146,INDIRECT($B$5&amp;"生成成长"),3))*(VLOOKUP($B$5,标准坦克设计!$B$14:$K$20,9)/30))</f>
        <v>29.139052750049427</v>
      </c>
      <c r="CZ146" s="173">
        <f ca="1">(VLOOKUP(CZ$72,INDIRECT($C$5&amp;"生成成长"),2))/((VLOOKUP($B146,INDIRECT($B$5&amp;"生成成长"),4))/(VLOOKUP(CZ$72,INDIRECT($C$5&amp;"生成成长"),5))*(VLOOKUP($B$5,标准坦克设计!$B$24:$U$30,MATCH("对"&amp;LEFT($C$5,2)&amp;"输出",标准坦克设计!$B$23:$U$23,0)))*(VLOOKUP($B146,INDIRECT($B$5&amp;"生成成长"),3))*(VLOOKUP($B$5,标准坦克设计!$B$14:$K$20,9)/30))</f>
        <v>30.983379476366466</v>
      </c>
      <c r="DA146" s="173">
        <f ca="1">(VLOOKUP(DA$72,INDIRECT($C$5&amp;"生成成长"),2))/((VLOOKUP($B146,INDIRECT($B$5&amp;"生成成长"),4))/(VLOOKUP(DA$72,INDIRECT($C$5&amp;"生成成长"),5))*(VLOOKUP($B$5,标准坦克设计!$B$24:$U$30,MATCH("对"&amp;LEFT($C$5,2)&amp;"输出",标准坦克设计!$B$23:$U$23,0)))*(VLOOKUP($B146,INDIRECT($B$5&amp;"生成成长"),3))*(VLOOKUP($B$5,标准坦克设计!$B$14:$K$20,9)/30))</f>
        <v>32.884296423016799</v>
      </c>
      <c r="DB146" s="173">
        <f ca="1">(VLOOKUP(DB$72,INDIRECT($C$5&amp;"生成成长"),2))/((VLOOKUP($B146,INDIRECT($B$5&amp;"生成成长"),4))/(VLOOKUP(DB$72,INDIRECT($C$5&amp;"生成成长"),5))*(VLOOKUP($B$5,标准坦克设计!$B$24:$U$30,MATCH("对"&amp;LEFT($C$5,2)&amp;"输出",标准坦克设计!$B$23:$U$23,0)))*(VLOOKUP($B146,INDIRECT($B$5&amp;"生成成长"),3))*(VLOOKUP($B$5,标准坦克设计!$B$14:$K$20,9)/30))</f>
        <v>34.841803590000438</v>
      </c>
      <c r="DC146" s="173">
        <f ca="1">(VLOOKUP(DC$72,INDIRECT($C$5&amp;"生成成长"),2))/((VLOOKUP($B146,INDIRECT($B$5&amp;"生成成长"),4))/(VLOOKUP(DC$72,INDIRECT($C$5&amp;"生成成长"),5))*(VLOOKUP($B$5,标准坦克设计!$B$24:$U$30,MATCH("对"&amp;LEFT($C$5,2)&amp;"输出",标准坦克设计!$B$23:$U$23,0)))*(VLOOKUP($B146,INDIRECT($B$5&amp;"生成成长"),3))*(VLOOKUP($B$5,标准坦克设计!$B$14:$K$20,9)/30))</f>
        <v>37.041806866428828</v>
      </c>
      <c r="DD146" s="173">
        <f ca="1">(VLOOKUP(DD$72,INDIRECT($C$5&amp;"生成成长"),2))/((VLOOKUP($B146,INDIRECT($B$5&amp;"生成成长"),4))/(VLOOKUP(DD$72,INDIRECT($C$5&amp;"生成成长"),5))*(VLOOKUP($B$5,标准坦克设计!$B$24:$U$30,MATCH("对"&amp;LEFT($C$5,2)&amp;"输出",标准坦克设计!$B$23:$U$23,0)))*(VLOOKUP($B146,INDIRECT($B$5&amp;"生成成长"),3))*(VLOOKUP($B$5,标准坦克设计!$B$14:$K$20,9)/30))</f>
        <v>39.309157181931546</v>
      </c>
      <c r="DE146" s="173">
        <f ca="1">(VLOOKUP(DE$72,INDIRECT($C$5&amp;"生成成长"),2))/((VLOOKUP($B146,INDIRECT($B$5&amp;"生成成长"),4))/(VLOOKUP(DE$72,INDIRECT($C$5&amp;"生成成长"),5))*(VLOOKUP($B$5,标准坦克设计!$B$24:$U$30,MATCH("对"&amp;LEFT($C$5,2)&amp;"输出",标准坦克设计!$B$23:$U$23,0)))*(VLOOKUP($B146,INDIRECT($B$5&amp;"生成成长"),3))*(VLOOKUP($B$5,标准坦克设计!$B$14:$K$20,9)/30))</f>
        <v>41.643854536508613</v>
      </c>
      <c r="DF146" s="173">
        <f ca="1">(VLOOKUP(DF$72,INDIRECT($C$5&amp;"生成成长"),2))/((VLOOKUP($B146,INDIRECT($B$5&amp;"生成成长"),4))/(VLOOKUP(DF$72,INDIRECT($C$5&amp;"生成成长"),5))*(VLOOKUP($B$5,标准坦克设计!$B$24:$U$30,MATCH("对"&amp;LEFT($C$5,2)&amp;"输出",标准坦克设计!$B$23:$U$23,0)))*(VLOOKUP($B146,INDIRECT($B$5&amp;"生成成长"),3))*(VLOOKUP($B$5,标准坦克设计!$B$14:$K$20,9)/30))</f>
        <v>44.045898930160014</v>
      </c>
      <c r="DG146" s="173">
        <f ca="1">(VLOOKUP(DG$72,INDIRECT($C$5&amp;"生成成长"),2))/((VLOOKUP($B146,INDIRECT($B$5&amp;"生成成长"),4))/(VLOOKUP(DG$72,INDIRECT($C$5&amp;"生成成长"),5))*(VLOOKUP($B$5,标准坦克设计!$B$24:$U$30,MATCH("对"&amp;LEFT($C$5,2)&amp;"输出",标准坦克设计!$B$23:$U$23,0)))*(VLOOKUP($B146,INDIRECT($B$5&amp;"生成成长"),3))*(VLOOKUP($B$5,标准坦克设计!$B$14:$K$20,9)/30))</f>
        <v>46.515290362885757</v>
      </c>
      <c r="DH146" s="173">
        <f ca="1">(VLOOKUP(DH$72,INDIRECT($C$5&amp;"生成成长"),2))/((VLOOKUP($B146,INDIRECT($B$5&amp;"生成成长"),4))/(VLOOKUP(DH$72,INDIRECT($C$5&amp;"生成成长"),5))*(VLOOKUP($B$5,标准坦克设计!$B$24:$U$30,MATCH("对"&amp;LEFT($C$5,2)&amp;"输出",标准坦克设计!$B$23:$U$23,0)))*(VLOOKUP($B146,INDIRECT($B$5&amp;"生成成长"),3))*(VLOOKUP($B$5,标准坦克设计!$B$14:$K$20,9)/30))</f>
        <v>49.052028834685849</v>
      </c>
      <c r="DI146" s="173">
        <f ca="1">(VLOOKUP(DI$72,INDIRECT($C$5&amp;"生成成长"),2))/((VLOOKUP($B146,INDIRECT($B$5&amp;"生成成长"),4))/(VLOOKUP(DI$72,INDIRECT($C$5&amp;"生成成长"),5))*(VLOOKUP($B$5,标准坦克设计!$B$24:$U$30,MATCH("对"&amp;LEFT($C$5,2)&amp;"输出",标准坦克设计!$B$23:$U$23,0)))*(VLOOKUP($B146,INDIRECT($B$5&amp;"生成成长"),3))*(VLOOKUP($B$5,标准坦克设计!$B$14:$K$20,9)/30))</f>
        <v>51.656114345560255</v>
      </c>
      <c r="DJ146" s="173">
        <f ca="1">(VLOOKUP(DJ$72,INDIRECT($C$5&amp;"生成成长"),2))/((VLOOKUP($B146,INDIRECT($B$5&amp;"生成成长"),4))/(VLOOKUP(DJ$72,INDIRECT($C$5&amp;"生成成长"),5))*(VLOOKUP($B$5,标准坦克设计!$B$24:$U$30,MATCH("对"&amp;LEFT($C$5,2)&amp;"输出",标准坦克设计!$B$23:$U$23,0)))*(VLOOKUP($B146,INDIRECT($B$5&amp;"生成成长"),3))*(VLOOKUP($B$5,标准坦克设计!$B$14:$K$20,9)/30))</f>
        <v>5.191568105865926</v>
      </c>
      <c r="DK146" s="173">
        <f ca="1">(VLOOKUP(DK$72,INDIRECT($C$5&amp;"生成成长"),2))/((VLOOKUP($B146,INDIRECT($B$5&amp;"生成成长"),4))/(VLOOKUP(DK$72,INDIRECT($C$5&amp;"生成成长"),5))*(VLOOKUP($B$5,标准坦克设计!$B$24:$U$30,MATCH("对"&amp;LEFT($C$5,2)&amp;"输出",标准坦克设计!$B$23:$U$23,0)))*(VLOOKUP($B146,INDIRECT($B$5&amp;"生成成长"),3))*(VLOOKUP($B$5,标准坦克设计!$B$14:$K$20,9)/30))</f>
        <v>5.8376787619853614</v>
      </c>
      <c r="DL146" s="173">
        <f ca="1">(VLOOKUP(DL$72,INDIRECT($C$5&amp;"生成成长"),2))/((VLOOKUP($B146,INDIRECT($B$5&amp;"生成成长"),4))/(VLOOKUP(DL$72,INDIRECT($C$5&amp;"生成成长"),5))*(VLOOKUP($B$5,标准坦克设计!$B$24:$U$30,MATCH("对"&amp;LEFT($C$5,2)&amp;"输出",标准坦克设计!$B$23:$U$23,0)))*(VLOOKUP($B146,INDIRECT($B$5&amp;"生成成长"),3))*(VLOOKUP($B$5,标准坦克设计!$B$14:$K$20,9)/30))</f>
        <v>6.5216721275841101</v>
      </c>
      <c r="DM146" s="173">
        <f ca="1">(VLOOKUP(DM$72,INDIRECT($C$5&amp;"生成成长"),2))/((VLOOKUP($B146,INDIRECT($B$5&amp;"生成成长"),4))/(VLOOKUP(DM$72,INDIRECT($C$5&amp;"生成成长"),5))*(VLOOKUP($B$5,标准坦克设计!$B$24:$U$30,MATCH("对"&amp;LEFT($C$5,2)&amp;"输出",标准坦克设计!$B$23:$U$23,0)))*(VLOOKUP($B146,INDIRECT($B$5&amp;"生成成长"),3))*(VLOOKUP($B$5,标准坦克设计!$B$14:$K$20,9)/30))</f>
        <v>7.2435482026621756</v>
      </c>
      <c r="DN146" s="173">
        <f ca="1">(VLOOKUP(DN$72,INDIRECT($C$5&amp;"生成成长"),2))/((VLOOKUP($B146,INDIRECT($B$5&amp;"生成成长"),4))/(VLOOKUP(DN$72,INDIRECT($C$5&amp;"生成成长"),5))*(VLOOKUP($B$5,标准坦克设计!$B$24:$U$30,MATCH("对"&amp;LEFT($C$5,2)&amp;"输出",标准坦克设计!$B$23:$U$23,0)))*(VLOOKUP($B146,INDIRECT($B$5&amp;"生成成长"),3))*(VLOOKUP($B$5,标准坦克设计!$B$14:$K$20,9)/30))</f>
        <v>8.0033069872195561</v>
      </c>
      <c r="DO146" s="173">
        <f ca="1">(VLOOKUP(DO$72,INDIRECT($C$5&amp;"生成成长"),2))/((VLOOKUP($B146,INDIRECT($B$5&amp;"生成成长"),4))/(VLOOKUP(DO$72,INDIRECT($C$5&amp;"生成成长"),5))*(VLOOKUP($B$5,标准坦克设计!$B$24:$U$30,MATCH("对"&amp;LEFT($C$5,2)&amp;"输出",标准坦克设计!$B$23:$U$23,0)))*(VLOOKUP($B146,INDIRECT($B$5&amp;"生成成长"),3))*(VLOOKUP($B$5,标准坦克设计!$B$14:$K$20,9)/30))</f>
        <v>8.8009484812562508</v>
      </c>
      <c r="DP146" s="173">
        <f ca="1">(VLOOKUP(DP$72,INDIRECT($C$5&amp;"生成成长"),2))/((VLOOKUP($B146,INDIRECT($B$5&amp;"生成成长"),4))/(VLOOKUP(DP$72,INDIRECT($C$5&amp;"生成成长"),5))*(VLOOKUP($B$5,标准坦克设计!$B$24:$U$30,MATCH("对"&amp;LEFT($C$5,2)&amp;"输出",标准坦克设计!$B$23:$U$23,0)))*(VLOOKUP($B146,INDIRECT($B$5&amp;"生成成长"),3))*(VLOOKUP($B$5,标准坦克设计!$B$14:$K$20,9)/30))</f>
        <v>9.6364726847722597</v>
      </c>
      <c r="DQ146" s="173">
        <f ca="1">(VLOOKUP(DQ$72,INDIRECT($C$5&amp;"生成成长"),2))/((VLOOKUP($B146,INDIRECT($B$5&amp;"生成成长"),4))/(VLOOKUP(DQ$72,INDIRECT($C$5&amp;"生成成长"),5))*(VLOOKUP($B$5,标准坦克设计!$B$24:$U$30,MATCH("对"&amp;LEFT($C$5,2)&amp;"输出",标准坦克设计!$B$23:$U$23,0)))*(VLOOKUP($B146,INDIRECT($B$5&amp;"生成成长"),3))*(VLOOKUP($B$5,标准坦克设计!$B$14:$K$20,9)/30))</f>
        <v>10.50987959776759</v>
      </c>
      <c r="DR146" s="173">
        <f ca="1">(VLOOKUP(DR$72,INDIRECT($C$5&amp;"生成成长"),2))/((VLOOKUP($B146,INDIRECT($B$5&amp;"生成成长"),4))/(VLOOKUP(DR$72,INDIRECT($C$5&amp;"生成成长"),5))*(VLOOKUP($B$5,标准坦克设计!$B$24:$U$30,MATCH("对"&amp;LEFT($C$5,2)&amp;"输出",标准坦克设计!$B$23:$U$23,0)))*(VLOOKUP($B146,INDIRECT($B$5&amp;"生成成长"),3))*(VLOOKUP($B$5,标准坦克设计!$B$14:$K$20,9)/30))</f>
        <v>11.421169220242227</v>
      </c>
      <c r="DS146" s="173">
        <f ca="1">(VLOOKUP(DS$72,INDIRECT($C$5&amp;"生成成长"),2))/((VLOOKUP($B146,INDIRECT($B$5&amp;"生成成长"),4))/(VLOOKUP(DS$72,INDIRECT($C$5&amp;"生成成长"),5))*(VLOOKUP($B$5,标准坦克设计!$B$24:$U$30,MATCH("对"&amp;LEFT($C$5,2)&amp;"输出",标准坦克设计!$B$23:$U$23,0)))*(VLOOKUP($B146,INDIRECT($B$5&amp;"生成成长"),3))*(VLOOKUP($B$5,标准坦克设计!$B$14:$K$20,9)/30))</f>
        <v>12.370341552196184</v>
      </c>
      <c r="DT146" s="173">
        <f ca="1">(VLOOKUP(DT$72,INDIRECT($C$5&amp;"生成成长"),2))/((VLOOKUP($B146,INDIRECT($B$5&amp;"生成成长"),4))/(VLOOKUP(DT$72,INDIRECT($C$5&amp;"生成成长"),5))*(VLOOKUP($B$5,标准坦克设计!$B$24:$U$30,MATCH("对"&amp;LEFT($C$5,2)&amp;"输出",标准坦克设计!$B$23:$U$23,0)))*(VLOOKUP($B146,INDIRECT($B$5&amp;"生成成长"),3))*(VLOOKUP($B$5,标准坦克设计!$B$14:$K$20,9)/30))</f>
        <v>13.581886723877256</v>
      </c>
      <c r="DU146" s="173">
        <f ca="1">(VLOOKUP(DU$72,INDIRECT($C$5&amp;"生成成长"),2))/((VLOOKUP($B146,INDIRECT($B$5&amp;"生成成长"),4))/(VLOOKUP(DU$72,INDIRECT($C$5&amp;"生成成长"),5))*(VLOOKUP($B$5,标准坦克设计!$B$24:$U$30,MATCH("对"&amp;LEFT($C$5,2)&amp;"输出",标准坦克设计!$B$23:$U$23,0)))*(VLOOKUP($B146,INDIRECT($B$5&amp;"生成成长"),3))*(VLOOKUP($B$5,标准坦克设计!$B$14:$K$20,9)/30))</f>
        <v>14.850022115891619</v>
      </c>
      <c r="DV146" s="173">
        <f ca="1">(VLOOKUP(DV$72,INDIRECT($C$5&amp;"生成成长"),2))/((VLOOKUP($B146,INDIRECT($B$5&amp;"生成成长"),4))/(VLOOKUP(DV$72,INDIRECT($C$5&amp;"生成成长"),5))*(VLOOKUP($B$5,标准坦克设计!$B$24:$U$30,MATCH("对"&amp;LEFT($C$5,2)&amp;"输出",标准坦克设计!$B$23:$U$23,0)))*(VLOOKUP($B146,INDIRECT($B$5&amp;"生成成长"),3))*(VLOOKUP($B$5,标准坦克设计!$B$14:$K$20,9)/30))</f>
        <v>16.174747728239282</v>
      </c>
      <c r="DW146" s="173">
        <f ca="1">(VLOOKUP(DW$72,INDIRECT($C$5&amp;"生成成长"),2))/((VLOOKUP($B146,INDIRECT($B$5&amp;"生成成长"),4))/(VLOOKUP(DW$72,INDIRECT($C$5&amp;"生成成长"),5))*(VLOOKUP($B$5,标准坦克设计!$B$24:$U$30,MATCH("对"&amp;LEFT($C$5,2)&amp;"输出",标准坦克设计!$B$23:$U$23,0)))*(VLOOKUP($B146,INDIRECT($B$5&amp;"生成成长"),3))*(VLOOKUP($B$5,标准坦克设计!$B$14:$K$20,9)/30))</f>
        <v>17.556063560920244</v>
      </c>
      <c r="DX146" s="173">
        <f ca="1">(VLOOKUP(DX$72,INDIRECT($C$5&amp;"生成成长"),2))/((VLOOKUP($B146,INDIRECT($B$5&amp;"生成成长"),4))/(VLOOKUP(DX$72,INDIRECT($C$5&amp;"生成成长"),5))*(VLOOKUP($B$5,标准坦克设计!$B$24:$U$30,MATCH("对"&amp;LEFT($C$5,2)&amp;"输出",标准坦克设计!$B$23:$U$23,0)))*(VLOOKUP($B146,INDIRECT($B$5&amp;"生成成长"),3))*(VLOOKUP($B$5,标准坦克设计!$B$14:$K$20,9)/30))</f>
        <v>18.993969613934503</v>
      </c>
      <c r="DY146" s="173">
        <f ca="1">(VLOOKUP(DY$72,INDIRECT($C$5&amp;"生成成长"),2))/((VLOOKUP($B146,INDIRECT($B$5&amp;"生成成长"),4))/(VLOOKUP(DY$72,INDIRECT($C$5&amp;"生成成长"),5))*(VLOOKUP($B$5,标准坦克设计!$B$24:$U$30,MATCH("对"&amp;LEFT($C$5,2)&amp;"输出",标准坦克设计!$B$23:$U$23,0)))*(VLOOKUP($B146,INDIRECT($B$5&amp;"生成成长"),3))*(VLOOKUP($B$5,标准坦克设计!$B$14:$K$20,9)/30))</f>
        <v>8.5308587933018742</v>
      </c>
      <c r="DZ146" s="173">
        <f ca="1">(VLOOKUP(DZ$72,INDIRECT($C$5&amp;"生成成长"),2))/((VLOOKUP($B146,INDIRECT($B$5&amp;"生成成长"),4))/(VLOOKUP(DZ$72,INDIRECT($C$5&amp;"生成成长"),5))*(VLOOKUP($B$5,标准坦克设计!$B$24:$U$30,MATCH("对"&amp;LEFT($C$5,2)&amp;"输出",标准坦克设计!$B$23:$U$23,0)))*(VLOOKUP($B146,INDIRECT($B$5&amp;"生成成长"),3))*(VLOOKUP($B$5,标准坦克设计!$B$14:$K$20,9)/30))</f>
        <v>9.447526825147035</v>
      </c>
      <c r="EA146" s="173">
        <f ca="1">(VLOOKUP(EA$72,INDIRECT($C$5&amp;"生成成长"),2))/((VLOOKUP($B146,INDIRECT($B$5&amp;"生成成长"),4))/(VLOOKUP(EA$72,INDIRECT($C$5&amp;"生成成长"),5))*(VLOOKUP($B$5,标准坦克设计!$B$24:$U$30,MATCH("对"&amp;LEFT($C$5,2)&amp;"输出",标准坦克设计!$B$23:$U$23,0)))*(VLOOKUP($B146,INDIRECT($B$5&amp;"生成成长"),3))*(VLOOKUP($B$5,标准坦克设计!$B$14:$K$20,9)/30))</f>
        <v>10.410963634127153</v>
      </c>
      <c r="EB146" s="173">
        <f ca="1">(VLOOKUP(EB$72,INDIRECT($C$5&amp;"生成成长"),2))/((VLOOKUP($B146,INDIRECT($B$5&amp;"生成成长"),4))/(VLOOKUP(EB$72,INDIRECT($C$5&amp;"生成成长"),5))*(VLOOKUP($B$5,标准坦克设计!$B$24:$U$30,MATCH("对"&amp;LEFT($C$5,2)&amp;"输出",标准坦克设计!$B$23:$U$23,0)))*(VLOOKUP($B146,INDIRECT($B$5&amp;"生成成长"),3))*(VLOOKUP($B$5,标准坦克设计!$B$14:$K$20,9)/30))</f>
        <v>11.421169220242227</v>
      </c>
      <c r="EC146" s="173">
        <f ca="1">(VLOOKUP(EC$72,INDIRECT($C$5&amp;"生成成长"),2))/((VLOOKUP($B146,INDIRECT($B$5&amp;"生成成长"),4))/(VLOOKUP(EC$72,INDIRECT($C$5&amp;"生成成长"),5))*(VLOOKUP($B$5,标准坦克设计!$B$24:$U$30,MATCH("对"&amp;LEFT($C$5,2)&amp;"输出",标准坦克设计!$B$23:$U$23,0)))*(VLOOKUP($B146,INDIRECT($B$5&amp;"生成成长"),3))*(VLOOKUP($B$5,标准坦克设计!$B$14:$K$20,9)/30))</f>
        <v>12.478143583492264</v>
      </c>
      <c r="ED146" s="173">
        <f ca="1">(VLOOKUP(ED$72,INDIRECT($C$5&amp;"生成成长"),2))/((VLOOKUP($B146,INDIRECT($B$5&amp;"生成成长"),4))/(VLOOKUP(ED$72,INDIRECT($C$5&amp;"生成成长"),5))*(VLOOKUP($B$5,标准坦克设计!$B$24:$U$30,MATCH("对"&amp;LEFT($C$5,2)&amp;"输出",标准坦克设计!$B$23:$U$23,0)))*(VLOOKUP($B146,INDIRECT($B$5&amp;"生成成长"),3))*(VLOOKUP($B$5,标准坦克设计!$B$14:$K$20,9)/30))</f>
        <v>13.581886723877256</v>
      </c>
      <c r="EE146" s="173">
        <f ca="1">(VLOOKUP(EE$72,INDIRECT($C$5&amp;"生成成长"),2))/((VLOOKUP($B146,INDIRECT($B$5&amp;"生成成长"),4))/(VLOOKUP(EE$72,INDIRECT($C$5&amp;"生成成长"),5))*(VLOOKUP($B$5,标准坦克设计!$B$24:$U$30,MATCH("对"&amp;LEFT($C$5,2)&amp;"输出",标准坦克设计!$B$23:$U$23,0)))*(VLOOKUP($B146,INDIRECT($B$5&amp;"生成成长"),3))*(VLOOKUP($B$5,标准坦克设计!$B$14:$K$20,9)/30))</f>
        <v>14.7323986413972</v>
      </c>
      <c r="EF146" s="173">
        <f ca="1">(VLOOKUP(EF$72,INDIRECT($C$5&amp;"生成成长"),2))/((VLOOKUP($B146,INDIRECT($B$5&amp;"生成成长"),4))/(VLOOKUP(EF$72,INDIRECT($C$5&amp;"生成成长"),5))*(VLOOKUP($B$5,标准坦克设计!$B$24:$U$30,MATCH("对"&amp;LEFT($C$5,2)&amp;"输出",标准坦克设计!$B$23:$U$23,0)))*(VLOOKUP($B146,INDIRECT($B$5&amp;"生成成长"),3))*(VLOOKUP($B$5,标准坦克设计!$B$14:$K$20,9)/30))</f>
        <v>15.929679336052104</v>
      </c>
      <c r="EG146" s="173">
        <f ca="1">(VLOOKUP(EG$72,INDIRECT($C$5&amp;"生成成长"),2))/((VLOOKUP($B146,INDIRECT($B$5&amp;"生成成长"),4))/(VLOOKUP(EG$72,INDIRECT($C$5&amp;"生成成长"),5))*(VLOOKUP($B$5,标准坦克设计!$B$24:$U$30,MATCH("对"&amp;LEFT($C$5,2)&amp;"输出",标准坦克设计!$B$23:$U$23,0)))*(VLOOKUP($B146,INDIRECT($B$5&amp;"生成成长"),3))*(VLOOKUP($B$5,标准坦克设计!$B$14:$K$20,9)/30))</f>
        <v>17.173728807841968</v>
      </c>
      <c r="EH146" s="173">
        <f ca="1">(VLOOKUP(EH$72,INDIRECT($C$5&amp;"生成成长"),2))/((VLOOKUP($B146,INDIRECT($B$5&amp;"生成成长"),4))/(VLOOKUP(EH$72,INDIRECT($C$5&amp;"生成成长"),5))*(VLOOKUP($B$5,标准坦克设计!$B$24:$U$30,MATCH("对"&amp;LEFT($C$5,2)&amp;"输出",标准坦克设计!$B$23:$U$23,0)))*(VLOOKUP($B146,INDIRECT($B$5&amp;"生成成长"),3))*(VLOOKUP($B$5,标准坦克设计!$B$14:$K$20,9)/30))</f>
        <v>18.46454705676679</v>
      </c>
      <c r="EI146" s="173">
        <f ca="1">(VLOOKUP(EI$72,INDIRECT($C$5&amp;"生成成长"),2))/((VLOOKUP($B146,INDIRECT($B$5&amp;"生成成长"),4))/(VLOOKUP(EI$72,INDIRECT($C$5&amp;"生成成长"),5))*(VLOOKUP($B$5,标准坦克设计!$B$24:$U$30,MATCH("对"&amp;LEFT($C$5,2)&amp;"输出",标准坦克设计!$B$23:$U$23,0)))*(VLOOKUP($B146,INDIRECT($B$5&amp;"生成成长"),3))*(VLOOKUP($B$5,标准坦克设计!$B$14:$K$20,9)/30))</f>
        <v>19.802134082826562</v>
      </c>
      <c r="EJ146" s="173">
        <f ca="1">(VLOOKUP(EJ$72,INDIRECT($C$5&amp;"生成成长"),2))/((VLOOKUP($B146,INDIRECT($B$5&amp;"生成成长"),4))/(VLOOKUP(EJ$72,INDIRECT($C$5&amp;"生成成长"),5))*(VLOOKUP($B$5,标准坦克设计!$B$24:$U$30,MATCH("对"&amp;LEFT($C$5,2)&amp;"输出",标准坦克设计!$B$23:$U$23,0)))*(VLOOKUP($B146,INDIRECT($B$5&amp;"生成成长"),3))*(VLOOKUP($B$5,标准坦克设计!$B$14:$K$20,9)/30))</f>
        <v>21.186489886021299</v>
      </c>
      <c r="EK146" s="173">
        <f ca="1">(VLOOKUP(EK$72,INDIRECT($C$5&amp;"生成成长"),2))/((VLOOKUP($B146,INDIRECT($B$5&amp;"生成成长"),4))/(VLOOKUP(EK$72,INDIRECT($C$5&amp;"生成成长"),5))*(VLOOKUP($B$5,标准坦克设计!$B$24:$U$30,MATCH("对"&amp;LEFT($C$5,2)&amp;"输出",标准坦克设计!$B$23:$U$23,0)))*(VLOOKUP($B146,INDIRECT($B$5&amp;"生成成长"),3))*(VLOOKUP($B$5,标准坦克设计!$B$14:$K$20,9)/30))</f>
        <v>22.909451635673125</v>
      </c>
      <c r="EL146" s="173">
        <f ca="1">(VLOOKUP(EL$72,INDIRECT($C$5&amp;"生成成长"),2))/((VLOOKUP($B146,INDIRECT($B$5&amp;"生成成长"),4))/(VLOOKUP(EL$72,INDIRECT($C$5&amp;"生成成长"),5))*(VLOOKUP($B$5,标准坦克设计!$B$24:$U$30,MATCH("对"&amp;LEFT($C$5,2)&amp;"输出",标准坦克设计!$B$23:$U$23,0)))*(VLOOKUP($B146,INDIRECT($B$5&amp;"生成成长"),3))*(VLOOKUP($B$5,标准坦克设计!$B$14:$K$20,9)/30))</f>
        <v>24.699760424399287</v>
      </c>
      <c r="EM146" s="173">
        <f ca="1">(VLOOKUP(EM$72,INDIRECT($C$5&amp;"生成成长"),2))/((VLOOKUP($B146,INDIRECT($B$5&amp;"生成成长"),4))/(VLOOKUP(EM$72,INDIRECT($C$5&amp;"生成成长"),5))*(VLOOKUP($B$5,标准坦克设计!$B$24:$U$30,MATCH("对"&amp;LEFT($C$5,2)&amp;"输出",标准坦克设计!$B$23:$U$23,0)))*(VLOOKUP($B146,INDIRECT($B$5&amp;"生成成长"),3))*(VLOOKUP($B$5,标准坦克设计!$B$14:$K$20,9)/30))</f>
        <v>26.557416252199786</v>
      </c>
      <c r="EN146" s="173">
        <f ca="1">(VLOOKUP(EN$72,INDIRECT($C$5&amp;"生成成长"),2))/((VLOOKUP($B146,INDIRECT($B$5&amp;"生成成长"),4))/(VLOOKUP(EN$72,INDIRECT($C$5&amp;"生成成长"),5))*(VLOOKUP($B$5,标准坦克设计!$B$24:$U$30,MATCH("对"&amp;LEFT($C$5,2)&amp;"输出",标准坦克设计!$B$23:$U$23,0)))*(VLOOKUP($B146,INDIRECT($B$5&amp;"生成成长"),3))*(VLOOKUP($B$5,标准坦克设计!$B$14:$K$20,9)/30))</f>
        <v>28.482419119074624</v>
      </c>
      <c r="EO146" s="173">
        <f ca="1">(VLOOKUP(EO$72,INDIRECT($C$5&amp;"生成成长"),2))/((VLOOKUP($B146,INDIRECT($B$5&amp;"生成成长"),4))/(VLOOKUP(EO$72,INDIRECT($C$5&amp;"生成成长"),5))*(VLOOKUP($B$5,标准坦克设计!$B$24:$U$30,MATCH("对"&amp;LEFT($C$5,2)&amp;"输出",标准坦克设计!$B$23:$U$23,0)))*(VLOOKUP($B146,INDIRECT($B$5&amp;"生成成长"),3))*(VLOOKUP($B$5,标准坦克设计!$B$14:$K$20,9)/30))</f>
        <v>30.474769025023807</v>
      </c>
      <c r="EP146" s="173">
        <f ca="1">(VLOOKUP(EP$72,INDIRECT($C$5&amp;"生成成长"),2))/((VLOOKUP($B146,INDIRECT($B$5&amp;"生成成长"),4))/(VLOOKUP(EP$72,INDIRECT($C$5&amp;"生成成长"),5))*(VLOOKUP($B$5,标准坦克设计!$B$24:$U$30,MATCH("对"&amp;LEFT($C$5,2)&amp;"输出",标准坦克设计!$B$23:$U$23,0)))*(VLOOKUP($B146,INDIRECT($B$5&amp;"生成成长"),3))*(VLOOKUP($B$5,标准坦克设计!$B$14:$K$20,9)/30))</f>
        <v>32.534465970047322</v>
      </c>
      <c r="EQ146" s="173">
        <f ca="1">(VLOOKUP(EQ$72,INDIRECT($C$5&amp;"生成成长"),2))/((VLOOKUP($B146,INDIRECT($B$5&amp;"生成成长"),4))/(VLOOKUP(EQ$72,INDIRECT($C$5&amp;"生成成长"),5))*(VLOOKUP($B$5,标准坦克设计!$B$24:$U$30,MATCH("对"&amp;LEFT($C$5,2)&amp;"输出",标准坦克设计!$B$23:$U$23,0)))*(VLOOKUP($B146,INDIRECT($B$5&amp;"生成成长"),3))*(VLOOKUP($B$5,标准坦克设计!$B$14:$K$20,9)/30))</f>
        <v>14.382334344542048</v>
      </c>
      <c r="ER146" s="173">
        <f ca="1">(VLOOKUP(ER$72,INDIRECT($C$5&amp;"生成成长"),2))/((VLOOKUP($B146,INDIRECT($B$5&amp;"生成成长"),4))/(VLOOKUP(ER$72,INDIRECT($C$5&amp;"生成成长"),5))*(VLOOKUP($B$5,标准坦克设计!$B$24:$U$30,MATCH("对"&amp;LEFT($C$5,2)&amp;"输出",标准坦克设计!$B$23:$U$23,0)))*(VLOOKUP($B146,INDIRECT($B$5&amp;"生成成长"),3))*(VLOOKUP($B$5,标准坦克设计!$B$14:$K$20,9)/30))</f>
        <v>15.686481694950327</v>
      </c>
      <c r="ES146" s="173">
        <f ca="1">(VLOOKUP(ES$72,INDIRECT($C$5&amp;"生成成长"),2))/((VLOOKUP($B146,INDIRECT($B$5&amp;"生成成长"),4))/(VLOOKUP(ES$72,INDIRECT($C$5&amp;"生成成长"),5))*(VLOOKUP($B$5,标准坦克设计!$B$24:$U$30,MATCH("对"&amp;LEFT($C$5,2)&amp;"输出",标准坦克设计!$B$23:$U$23,0)))*(VLOOKUP($B146,INDIRECT($B$5&amp;"生成成长"),3))*(VLOOKUP($B$5,标准坦克设计!$B$14:$K$20,9)/30))</f>
        <v>17.047219265691908</v>
      </c>
      <c r="ET146" s="173">
        <f ca="1">(VLOOKUP(ET$72,INDIRECT($C$5&amp;"生成成长"),2))/((VLOOKUP($B146,INDIRECT($B$5&amp;"生成成长"),4))/(VLOOKUP(ET$72,INDIRECT($C$5&amp;"生成成长"),5))*(VLOOKUP($B$5,标准坦克设计!$B$24:$U$30,MATCH("对"&amp;LEFT($C$5,2)&amp;"输出",标准坦克设计!$B$23:$U$23,0)))*(VLOOKUP($B146,INDIRECT($B$5&amp;"生成成长"),3))*(VLOOKUP($B$5,标准坦克设计!$B$14:$K$20,9)/30))</f>
        <v>18.46454705676679</v>
      </c>
      <c r="EU146" s="173">
        <f ca="1">(VLOOKUP(EU$72,INDIRECT($C$5&amp;"生成成长"),2))/((VLOOKUP($B146,INDIRECT($B$5&amp;"生成成长"),4))/(VLOOKUP(EU$72,INDIRECT($C$5&amp;"生成成长"),5))*(VLOOKUP($B$5,标准坦克设计!$B$24:$U$30,MATCH("对"&amp;LEFT($C$5,2)&amp;"输出",标准坦克设计!$B$23:$U$23,0)))*(VLOOKUP($B146,INDIRECT($B$5&amp;"生成成长"),3))*(VLOOKUP($B$5,标准坦克设计!$B$14:$K$20,9)/30))</f>
        <v>19.938465068174963</v>
      </c>
      <c r="EV146" s="173">
        <f ca="1">(VLOOKUP(EV$72,INDIRECT($C$5&amp;"生成成长"),2))/((VLOOKUP($B146,INDIRECT($B$5&amp;"生成成长"),4))/(VLOOKUP(EV$72,INDIRECT($C$5&amp;"生成成长"),5))*(VLOOKUP($B$5,标准坦克设计!$B$24:$U$30,MATCH("对"&amp;LEFT($C$5,2)&amp;"输出",标准坦克设计!$B$23:$U$23,0)))*(VLOOKUP($B146,INDIRECT($B$5&amp;"生成成长"),3))*(VLOOKUP($B$5,标准坦克设计!$B$14:$K$20,9)/30))</f>
        <v>21.468973299916442</v>
      </c>
      <c r="EW146" s="173">
        <f ca="1">(VLOOKUP(EW$72,INDIRECT($C$5&amp;"生成成长"),2))/((VLOOKUP($B146,INDIRECT($B$5&amp;"生成成长"),4))/(VLOOKUP(EW$72,INDIRECT($C$5&amp;"生成成长"),5))*(VLOOKUP($B$5,标准坦克设计!$B$24:$U$30,MATCH("对"&amp;LEFT($C$5,2)&amp;"输出",标准坦克设计!$B$23:$U$23,0)))*(VLOOKUP($B146,INDIRECT($B$5&amp;"生成成长"),3))*(VLOOKUP($B$5,标准坦克设计!$B$14:$K$20,9)/30))</f>
        <v>23.056071751991215</v>
      </c>
      <c r="EX146" s="173">
        <f ca="1">(VLOOKUP(EX$72,INDIRECT($C$5&amp;"生成成长"),2))/((VLOOKUP($B146,INDIRECT($B$5&amp;"生成成长"),4))/(VLOOKUP(EX$72,INDIRECT($C$5&amp;"生成成长"),5))*(VLOOKUP($B$5,标准坦克设计!$B$24:$U$30,MATCH("对"&amp;LEFT($C$5,2)&amp;"输出",标准坦克设计!$B$23:$U$23,0)))*(VLOOKUP($B146,INDIRECT($B$5&amp;"生成成长"),3))*(VLOOKUP($B$5,标准坦克设计!$B$14:$K$20,9)/30))</f>
        <v>24.699760424399287</v>
      </c>
      <c r="EY146" s="173">
        <f ca="1">(VLOOKUP(EY$72,INDIRECT($C$5&amp;"生成成长"),2))/((VLOOKUP($B146,INDIRECT($B$5&amp;"生成成长"),4))/(VLOOKUP(EY$72,INDIRECT($C$5&amp;"生成成长"),5))*(VLOOKUP($B$5,标准坦克设计!$B$24:$U$30,MATCH("对"&amp;LEFT($C$5,2)&amp;"输出",标准坦克设计!$B$23:$U$23,0)))*(VLOOKUP($B146,INDIRECT($B$5&amp;"生成成长"),3))*(VLOOKUP($B$5,标准坦克设计!$B$14:$K$20,9)/30))</f>
        <v>26.400039317140656</v>
      </c>
      <c r="EZ146" s="173">
        <f ca="1">(VLOOKUP(EZ$72,INDIRECT($C$5&amp;"生成成长"),2))/((VLOOKUP($B146,INDIRECT($B$5&amp;"生成成长"),4))/(VLOOKUP(EZ$72,INDIRECT($C$5&amp;"生成成长"),5))*(VLOOKUP($B$5,标准坦克设计!$B$24:$U$30,MATCH("对"&amp;LEFT($C$5,2)&amp;"输出",标准坦克设计!$B$23:$U$23,0)))*(VLOOKUP($B146,INDIRECT($B$5&amp;"生成成长"),3))*(VLOOKUP($B$5,标准坦克设计!$B$14:$K$20,9)/30))</f>
        <v>28.156908430215321</v>
      </c>
      <c r="FA146" s="173">
        <f ca="1">(VLOOKUP(FA$72,INDIRECT($C$5&amp;"生成成长"),2))/((VLOOKUP($B146,INDIRECT($B$5&amp;"生成成长"),4))/(VLOOKUP(FA$72,INDIRECT($C$5&amp;"生成成长"),5))*(VLOOKUP($B$5,标准坦克设计!$B$24:$U$30,MATCH("对"&amp;LEFT($C$5,2)&amp;"输出",标准坦克设计!$B$23:$U$23,0)))*(VLOOKUP($B146,INDIRECT($B$5&amp;"生成成长"),3))*(VLOOKUP($B$5,标准坦克设计!$B$14:$K$20,9)/30))</f>
        <v>29.97036776362329</v>
      </c>
      <c r="FB146" s="173">
        <f ca="1">(VLOOKUP(FB$72,INDIRECT($C$5&amp;"生成成长"),2))/((VLOOKUP($B146,INDIRECT($B$5&amp;"生成成长"),4))/(VLOOKUP(FB$72,INDIRECT($C$5&amp;"生成成长"),5))*(VLOOKUP($B$5,标准坦克设计!$B$24:$U$30,MATCH("对"&amp;LEFT($C$5,2)&amp;"输出",标准坦克设计!$B$23:$U$23,0)))*(VLOOKUP($B146,INDIRECT($B$5&amp;"生成成长"),3))*(VLOOKUP($B$5,标准坦克设计!$B$14:$K$20,9)/30))</f>
        <v>31.840417317364548</v>
      </c>
      <c r="FC146" s="173">
        <f ca="1">(VLOOKUP(FC$72,INDIRECT($C$5&amp;"生成成长"),2))/((VLOOKUP($B146,INDIRECT($B$5&amp;"生成成长"),4))/(VLOOKUP(FC$72,INDIRECT($C$5&amp;"生成成长"),5))*(VLOOKUP($B$5,标准坦克设计!$B$24:$U$30,MATCH("对"&amp;LEFT($C$5,2)&amp;"输出",标准坦克设计!$B$23:$U$23,0)))*(VLOOKUP($B146,INDIRECT($B$5&amp;"生成成长"),3))*(VLOOKUP($B$5,标准坦克设计!$B$14:$K$20,9)/30))</f>
        <v>33.767057091439121</v>
      </c>
      <c r="FD146" s="173">
        <f ca="1">(VLOOKUP(FD$72,INDIRECT($C$5&amp;"生成成长"),2))/((VLOOKUP($B146,INDIRECT($B$5&amp;"生成成长"),4))/(VLOOKUP(FD$72,INDIRECT($C$5&amp;"生成成长"),5))*(VLOOKUP($B$5,标准坦克设计!$B$24:$U$30,MATCH("对"&amp;LEFT($C$5,2)&amp;"输出",标准坦克设计!$B$23:$U$23,0)))*(VLOOKUP($B146,INDIRECT($B$5&amp;"生成成长"),3))*(VLOOKUP($B$5,标准坦克设计!$B$14:$K$20,9)/30))</f>
        <v>35.750287085846985</v>
      </c>
      <c r="FE146" s="173">
        <f ca="1">(VLOOKUP(FE$72,INDIRECT($C$5&amp;"生成成长"),2))/((VLOOKUP($B146,INDIRECT($B$5&amp;"生成成长"),4))/(VLOOKUP(FE$72,INDIRECT($C$5&amp;"生成成长"),5))*(VLOOKUP($B$5,标准坦克设计!$B$24:$U$30,MATCH("对"&amp;LEFT($C$5,2)&amp;"输出",标准坦克设计!$B$23:$U$23,0)))*(VLOOKUP($B146,INDIRECT($B$5&amp;"生成成长"),3))*(VLOOKUP($B$5,标准坦克设计!$B$14:$K$20,9)/30))</f>
        <v>38.167063644295894</v>
      </c>
      <c r="FF146" s="173">
        <f ca="1">(VLOOKUP(FF$72,INDIRECT($C$5&amp;"生成成长"),2))/((VLOOKUP($B146,INDIRECT($B$5&amp;"生成成长"),4))/(VLOOKUP(FF$72,INDIRECT($C$5&amp;"生成成长"),5))*(VLOOKUP($B$5,标准坦克设计!$B$24:$U$30,MATCH("对"&amp;LEFT($C$5,2)&amp;"输出",标准坦克设计!$B$23:$U$23,0)))*(VLOOKUP($B146,INDIRECT($B$5&amp;"生成成长"),3))*(VLOOKUP($B$5,标准坦克设计!$B$14:$K$20,9)/30))</f>
        <v>40.662879436102891</v>
      </c>
      <c r="FG146" s="173">
        <f ca="1">(VLOOKUP(FG$72,INDIRECT($C$5&amp;"生成成长"),2))/((VLOOKUP($B146,INDIRECT($B$5&amp;"生成成长"),4))/(VLOOKUP(FG$72,INDIRECT($C$5&amp;"生成成长"),5))*(VLOOKUP($B$5,标准坦克设计!$B$24:$U$30,MATCH("对"&amp;LEFT($C$5,2)&amp;"输出",标准坦克设计!$B$23:$U$23,0)))*(VLOOKUP($B146,INDIRECT($B$5&amp;"生成成长"),3))*(VLOOKUP($B$5,标准坦克设计!$B$14:$K$20,9)/30))</f>
        <v>43.237734461267948</v>
      </c>
      <c r="FH146" s="173">
        <f ca="1">(VLOOKUP(FH$72,INDIRECT($C$5&amp;"生成成长"),2))/((VLOOKUP($B146,INDIRECT($B$5&amp;"生成成长"),4))/(VLOOKUP(FH$72,INDIRECT($C$5&amp;"生成成长"),5))*(VLOOKUP($B$5,标准坦克设计!$B$24:$U$30,MATCH("对"&amp;LEFT($C$5,2)&amp;"输出",标准坦克设计!$B$23:$U$23,0)))*(VLOOKUP($B146,INDIRECT($B$5&amp;"生成成长"),3))*(VLOOKUP($B$5,标准坦克设计!$B$14:$K$20,9)/30))</f>
        <v>45.891628719791107</v>
      </c>
      <c r="FI146" s="173">
        <f ca="1">(VLOOKUP(FI$72,INDIRECT($C$5&amp;"生成成长"),2))/((VLOOKUP($B146,INDIRECT($B$5&amp;"生成成长"),4))/(VLOOKUP(FI$72,INDIRECT($C$5&amp;"生成成长"),5))*(VLOOKUP($B$5,标准坦克设计!$B$24:$U$30,MATCH("对"&amp;LEFT($C$5,2)&amp;"输出",标准坦克设计!$B$23:$U$23,0)))*(VLOOKUP($B146,INDIRECT($B$5&amp;"生成成长"),3))*(VLOOKUP($B$5,标准坦克设计!$B$14:$K$20,9)/30))</f>
        <v>48.624562211672327</v>
      </c>
      <c r="FJ146" s="173">
        <f ca="1">(VLOOKUP(FJ$72,INDIRECT($C$5&amp;"生成成长"),2))/((VLOOKUP($B146,INDIRECT($B$5&amp;"生成成长"),4))/(VLOOKUP(FJ$72,INDIRECT($C$5&amp;"生成成长"),5))*(VLOOKUP($B$5,标准坦克设计!$B$24:$U$30,MATCH("对"&amp;LEFT($C$5,2)&amp;"输出",标准坦克设计!$B$23:$U$23,0)))*(VLOOKUP($B146,INDIRECT($B$5&amp;"生成成长"),3))*(VLOOKUP($B$5,标准坦克设计!$B$14:$K$20,9)/30))</f>
        <v>51.436534936911634</v>
      </c>
      <c r="FK146" s="173">
        <f ca="1">(VLOOKUP(FK$72,INDIRECT($C$5&amp;"生成成长"),2))/((VLOOKUP($B146,INDIRECT($B$5&amp;"生成成长"),4))/(VLOOKUP(FK$72,INDIRECT($C$5&amp;"生成成长"),5))*(VLOOKUP($B$5,标准坦克设计!$B$24:$U$30,MATCH("对"&amp;LEFT($C$5,2)&amp;"输出",标准坦克设计!$B$23:$U$23,0)))*(VLOOKUP($B146,INDIRECT($B$5&amp;"生成成长"),3))*(VLOOKUP($B$5,标准坦克设计!$B$14:$K$20,9)/30))</f>
        <v>54.327546895509023</v>
      </c>
    </row>
    <row r="147" spans="1:167" x14ac:dyDescent="0.15">
      <c r="A147" s="171" t="str">
        <f t="shared" si="12"/>
        <v>T4中品质3级</v>
      </c>
      <c r="B147" s="172">
        <v>20403</v>
      </c>
      <c r="C147" s="173">
        <f ca="1">(VLOOKUP(C$72,INDIRECT($C$5&amp;"生成成长"),2))/((VLOOKUP($B147,INDIRECT($B$5&amp;"生成成长"),4))/(VLOOKUP(C$72,INDIRECT($C$5&amp;"生成成长"),5))*(VLOOKUP($B$5,标准坦克设计!$B$24:$U$30,MATCH("对"&amp;LEFT($C$5,2)&amp;"输出",标准坦克设计!$B$23:$U$23,0)))*(VLOOKUP($B147,INDIRECT($B$5&amp;"生成成长"),3))*(VLOOKUP($B$5,标准坦克设计!$B$14:$K$20,9)/30))</f>
        <v>2.1175691816821729</v>
      </c>
      <c r="D147" s="173">
        <f ca="1">(VLOOKUP(D$72,INDIRECT($C$5&amp;"生成成长"),2))/((VLOOKUP($B147,INDIRECT($B$5&amp;"生成成长"),4))/(VLOOKUP(D$72,INDIRECT($C$5&amp;"生成成长"),5))*(VLOOKUP($B$5,标准坦克设计!$B$24:$U$30,MATCH("对"&amp;LEFT($C$5,2)&amp;"输出",标准坦克设计!$B$23:$U$23,0)))*(VLOOKUP($B147,INDIRECT($B$5&amp;"生成成长"),3))*(VLOOKUP($B$5,标准坦克设计!$B$14:$K$20,9)/30))</f>
        <v>2.379300732538089</v>
      </c>
      <c r="E147" s="173">
        <f ca="1">(VLOOKUP(E$72,INDIRECT($C$5&amp;"生成成长"),2))/((VLOOKUP($B147,INDIRECT($B$5&amp;"生成成长"),4))/(VLOOKUP(E$72,INDIRECT($C$5&amp;"生成成长"),5))*(VLOOKUP($B$5,标准坦克设计!$B$24:$U$30,MATCH("对"&amp;LEFT($C$5,2)&amp;"输出",标准坦克设计!$B$23:$U$23,0)))*(VLOOKUP($B147,INDIRECT($B$5&amp;"生成成长"),3))*(VLOOKUP($B$5,标准坦克设计!$B$14:$K$20,9)/30))</f>
        <v>2.6562787815021172</v>
      </c>
      <c r="F147" s="173">
        <f ca="1">(VLOOKUP(F$72,INDIRECT($C$5&amp;"生成成长"),2))/((VLOOKUP($B147,INDIRECT($B$5&amp;"生成成长"),4))/(VLOOKUP(F$72,INDIRECT($C$5&amp;"生成成长"),5))*(VLOOKUP($B$5,标准坦克设计!$B$24:$U$30,MATCH("对"&amp;LEFT($C$5,2)&amp;"输出",标准坦克设计!$B$23:$U$23,0)))*(VLOOKUP($B147,INDIRECT($B$5&amp;"生成成长"),3))*(VLOOKUP($B$5,标准坦克设计!$B$14:$K$20,9)/30))</f>
        <v>2.9485033285742572</v>
      </c>
      <c r="G147" s="173">
        <f ca="1">(VLOOKUP(G$72,INDIRECT($C$5&amp;"生成成长"),2))/((VLOOKUP($B147,INDIRECT($B$5&amp;"生成成长"),4))/(VLOOKUP(G$72,INDIRECT($C$5&amp;"生成成长"),5))*(VLOOKUP($B$5,标准坦克设计!$B$24:$U$30,MATCH("对"&amp;LEFT($C$5,2)&amp;"输出",标准坦克设计!$B$23:$U$23,0)))*(VLOOKUP($B147,INDIRECT($B$5&amp;"生成成长"),3))*(VLOOKUP($B$5,标准坦克设计!$B$14:$K$20,9)/30))</f>
        <v>3.2559743737545084</v>
      </c>
      <c r="H147" s="173">
        <f ca="1">(VLOOKUP(H$72,INDIRECT($C$5&amp;"生成成长"),2))/((VLOOKUP($B147,INDIRECT($B$5&amp;"生成成长"),4))/(VLOOKUP(H$72,INDIRECT($C$5&amp;"生成成长"),5))*(VLOOKUP($B$5,标准坦克设计!$B$24:$U$30,MATCH("对"&amp;LEFT($C$5,2)&amp;"输出",标准坦克设计!$B$23:$U$23,0)))*(VLOOKUP($B147,INDIRECT($B$5&amp;"生成成长"),3))*(VLOOKUP($B$5,标准坦克设计!$B$14:$K$20,9)/30))</f>
        <v>2.8494010908715315</v>
      </c>
      <c r="I147" s="173">
        <f ca="1">(VLOOKUP(I$72,INDIRECT($C$5&amp;"生成成长"),2))/((VLOOKUP($B147,INDIRECT($B$5&amp;"生成成长"),4))/(VLOOKUP(I$72,INDIRECT($C$5&amp;"生成成长"),5))*(VLOOKUP($B$5,标准坦克设计!$B$24:$U$30,MATCH("对"&amp;LEFT($C$5,2)&amp;"输出",标准坦克设计!$B$23:$U$23,0)))*(VLOOKUP($B147,INDIRECT($B$5&amp;"生成成长"),3))*(VLOOKUP($B$5,标准坦克设计!$B$14:$K$20,9)/30))</f>
        <v>3.2559743737545084</v>
      </c>
      <c r="J147" s="173">
        <f ca="1">(VLOOKUP(J$72,INDIRECT($C$5&amp;"生成成长"),2))/((VLOOKUP($B147,INDIRECT($B$5&amp;"生成成长"),4))/(VLOOKUP(J$72,INDIRECT($C$5&amp;"生成成长"),5))*(VLOOKUP($B$5,标准坦克设计!$B$24:$U$30,MATCH("对"&amp;LEFT($C$5,2)&amp;"输出",标准坦克设计!$B$23:$U$23,0)))*(VLOOKUP($B147,INDIRECT($B$5&amp;"生成成长"),3))*(VLOOKUP($B$5,标准坦克设计!$B$14:$K$20,9)/30))</f>
        <v>3.6896525421630173</v>
      </c>
      <c r="K147" s="173">
        <f ca="1">(VLOOKUP(K$72,INDIRECT($C$5&amp;"生成成长"),2))/((VLOOKUP($B147,INDIRECT($B$5&amp;"生成成长"),4))/(VLOOKUP(K$72,INDIRECT($C$5&amp;"生成成长"),5))*(VLOOKUP($B$5,标准坦克设计!$B$24:$U$30,MATCH("对"&amp;LEFT($C$5,2)&amp;"输出",标准坦克设计!$B$23:$U$23,0)))*(VLOOKUP($B147,INDIRECT($B$5&amp;"生成成长"),3))*(VLOOKUP($B$5,标准坦克设计!$B$14:$K$20,9)/30))</f>
        <v>4.1504355960970578</v>
      </c>
      <c r="L147" s="173">
        <f ca="1">(VLOOKUP(L$72,INDIRECT($C$5&amp;"生成成长"),2))/((VLOOKUP($B147,INDIRECT($B$5&amp;"生成成长"),4))/(VLOOKUP(L$72,INDIRECT($C$5&amp;"生成成长"),5))*(VLOOKUP($B$5,标准坦克设计!$B$24:$U$30,MATCH("对"&amp;LEFT($C$5,2)&amp;"输出",标准坦克设计!$B$23:$U$23,0)))*(VLOOKUP($B147,INDIRECT($B$5&amp;"生成成长"),3))*(VLOOKUP($B$5,标准坦克设计!$B$14:$K$20,9)/30))</f>
        <v>4.6383235355566299</v>
      </c>
      <c r="M147" s="173">
        <f ca="1">(VLOOKUP(M$72,INDIRECT($C$5&amp;"生成成长"),2))/((VLOOKUP($B147,INDIRECT($B$5&amp;"生成成长"),4))/(VLOOKUP(M$72,INDIRECT($C$5&amp;"生成成长"),5))*(VLOOKUP($B$5,标准坦克设计!$B$24:$U$30,MATCH("对"&amp;LEFT($C$5,2)&amp;"输出",标准坦克设计!$B$23:$U$23,0)))*(VLOOKUP($B147,INDIRECT($B$5&amp;"生成成长"),3))*(VLOOKUP($B$5,标准坦克设计!$B$14:$K$20,9)/30))</f>
        <v>5.1533163605417354</v>
      </c>
      <c r="N147" s="173">
        <f ca="1">(VLOOKUP(N$72,INDIRECT($C$5&amp;"生成成长"),2))/((VLOOKUP($B147,INDIRECT($B$5&amp;"生成成长"),4))/(VLOOKUP(N$72,INDIRECT($C$5&amp;"生成成长"),5))*(VLOOKUP($B$5,标准坦克设计!$B$24:$U$30,MATCH("对"&amp;LEFT($C$5,2)&amp;"输出",标准坦克设计!$B$23:$U$23,0)))*(VLOOKUP($B147,INDIRECT($B$5&amp;"生成成长"),3))*(VLOOKUP($B$5,标准坦克设计!$B$14:$K$20,9)/30))</f>
        <v>5.6954140710523697</v>
      </c>
      <c r="O147" s="173">
        <f ca="1">(VLOOKUP(O$72,INDIRECT($C$5&amp;"生成成长"),2))/((VLOOKUP($B147,INDIRECT($B$5&amp;"生成成长"),4))/(VLOOKUP(O$72,INDIRECT($C$5&amp;"生成成长"),5))*(VLOOKUP($B$5,标准坦克设计!$B$24:$U$30,MATCH("对"&amp;LEFT($C$5,2)&amp;"输出",标准坦克设计!$B$23:$U$23,0)))*(VLOOKUP($B147,INDIRECT($B$5&amp;"生成成长"),3))*(VLOOKUP($B$5,标准坦克设计!$B$14:$K$20,9)/30))</f>
        <v>4.3302172196218747</v>
      </c>
      <c r="P147" s="173">
        <f ca="1">(VLOOKUP(P$72,INDIRECT($C$5&amp;"生成成长"),2))/((VLOOKUP($B147,INDIRECT($B$5&amp;"生成成长"),4))/(VLOOKUP(P$72,INDIRECT($C$5&amp;"生成成长"),5))*(VLOOKUP($B$5,标准坦克设计!$B$24:$U$30,MATCH("对"&amp;LEFT($C$5,2)&amp;"输出",标准坦克设计!$B$23:$U$23,0)))*(VLOOKUP($B147,INDIRECT($B$5&amp;"生成成长"),3))*(VLOOKUP($B$5,标准坦克设计!$B$14:$K$20,9)/30))</f>
        <v>4.8924318373584912</v>
      </c>
      <c r="Q147" s="173">
        <f ca="1">(VLOOKUP(Q$72,INDIRECT($C$5&amp;"生成成长"),2))/((VLOOKUP($B147,INDIRECT($B$5&amp;"生成成长"),4))/(VLOOKUP(Q$72,INDIRECT($C$5&amp;"生成成长"),5))*(VLOOKUP($B$5,标准坦克设计!$B$24:$U$30,MATCH("对"&amp;LEFT($C$5,2)&amp;"输出",标准坦克设计!$B$23:$U$23,0)))*(VLOOKUP($B147,INDIRECT($B$5&amp;"生成成长"),3))*(VLOOKUP($B$5,标准坦克设计!$B$14:$K$20,9)/30))</f>
        <v>5.4889510758383588</v>
      </c>
      <c r="R147" s="173">
        <f ca="1">(VLOOKUP(R$72,INDIRECT($C$5&amp;"生成成长"),2))/((VLOOKUP($B147,INDIRECT($B$5&amp;"生成成长"),4))/(VLOOKUP(R$72,INDIRECT($C$5&amp;"生成成长"),5))*(VLOOKUP($B$5,标准坦克设计!$B$24:$U$30,MATCH("对"&amp;LEFT($C$5,2)&amp;"输出",标准坦克设计!$B$23:$U$23,0)))*(VLOOKUP($B147,INDIRECT($B$5&amp;"生成成长"),3))*(VLOOKUP($B$5,标准坦克设计!$B$14:$K$20,9)/30))</f>
        <v>6.1197749350614794</v>
      </c>
      <c r="S147" s="173">
        <f ca="1">(VLOOKUP(S$72,INDIRECT($C$5&amp;"生成成长"),2))/((VLOOKUP($B147,INDIRECT($B$5&amp;"生成成长"),4))/(VLOOKUP(S$72,INDIRECT($C$5&amp;"生成成长"),5))*(VLOOKUP($B$5,标准坦克设计!$B$24:$U$30,MATCH("对"&amp;LEFT($C$5,2)&amp;"输出",标准坦克设计!$B$23:$U$23,0)))*(VLOOKUP($B147,INDIRECT($B$5&amp;"生成成长"),3))*(VLOOKUP($B$5,标准坦克设计!$B$14:$K$20,9)/30))</f>
        <v>6.7849034150278484</v>
      </c>
      <c r="T147" s="173">
        <f ca="1">(VLOOKUP(T$72,INDIRECT($C$5&amp;"生成成长"),2))/((VLOOKUP($B147,INDIRECT($B$5&amp;"生成成长"),4))/(VLOOKUP(T$72,INDIRECT($C$5&amp;"生成成长"),5))*(VLOOKUP($B$5,标准坦克设计!$B$24:$U$30,MATCH("对"&amp;LEFT($C$5,2)&amp;"输出",标准坦克设计!$B$23:$U$23,0)))*(VLOOKUP($B147,INDIRECT($B$5&amp;"生成成长"),3))*(VLOOKUP($B$5,标准坦克设计!$B$14:$K$20,9)/30))</f>
        <v>7.4843365157374713</v>
      </c>
      <c r="U147" s="173">
        <f ca="1">(VLOOKUP(U$72,INDIRECT($C$5&amp;"生成成长"),2))/((VLOOKUP($B147,INDIRECT($B$5&amp;"生成成长"),4))/(VLOOKUP(U$72,INDIRECT($C$5&amp;"生成成长"),5))*(VLOOKUP($B$5,标准坦克设计!$B$24:$U$30,MATCH("对"&amp;LEFT($C$5,2)&amp;"输出",标准坦克设计!$B$23:$U$23,0)))*(VLOOKUP($B147,INDIRECT($B$5&amp;"生成成长"),3))*(VLOOKUP($B$5,标准坦克设计!$B$14:$K$20,9)/30))</f>
        <v>8.2180742371903435</v>
      </c>
      <c r="V147" s="173">
        <f ca="1">(VLOOKUP(V$72,INDIRECT($C$5&amp;"生成成长"),2))/((VLOOKUP($B147,INDIRECT($B$5&amp;"生成成长"),4))/(VLOOKUP(V$72,INDIRECT($C$5&amp;"生成成长"),5))*(VLOOKUP($B$5,标准坦克设计!$B$24:$U$30,MATCH("对"&amp;LEFT($C$5,2)&amp;"输出",标准坦克设计!$B$23:$U$23,0)))*(VLOOKUP($B147,INDIRECT($B$5&amp;"生成成长"),3))*(VLOOKUP($B$5,标准坦克设计!$B$14:$K$20,9)/30))</f>
        <v>8.9861165793864686</v>
      </c>
      <c r="W147" s="173">
        <f ca="1">(VLOOKUP(W$72,INDIRECT($C$5&amp;"生成成长"),2))/((VLOOKUP($B147,INDIRECT($B$5&amp;"生成成长"),4))/(VLOOKUP(W$72,INDIRECT($C$5&amp;"生成成长"),5))*(VLOOKUP($B$5,标准坦克设计!$B$24:$U$30,MATCH("对"&amp;LEFT($C$5,2)&amp;"输出",标准坦克设计!$B$23:$U$23,0)))*(VLOOKUP($B147,INDIRECT($B$5&amp;"生成成长"),3))*(VLOOKUP($B$5,标准坦克设计!$B$14:$K$20,9)/30))</f>
        <v>9.7884635423258413</v>
      </c>
      <c r="X147" s="173">
        <f ca="1">(VLOOKUP(X$72,INDIRECT($C$5&amp;"生成成长"),2))/((VLOOKUP($B147,INDIRECT($B$5&amp;"生成成长"),4))/(VLOOKUP(X$72,INDIRECT($C$5&amp;"生成成长"),5))*(VLOOKUP($B$5,标准坦克设计!$B$24:$U$30,MATCH("对"&amp;LEFT($C$5,2)&amp;"输出",标准坦克设计!$B$23:$U$23,0)))*(VLOOKUP($B147,INDIRECT($B$5&amp;"生成成长"),3))*(VLOOKUP($B$5,标准坦克设计!$B$14:$K$20,9)/30))</f>
        <v>7.0915274325354281</v>
      </c>
      <c r="Y147" s="173">
        <f ca="1">(VLOOKUP(Y$72,INDIRECT($C$5&amp;"生成成长"),2))/((VLOOKUP($B147,INDIRECT($B$5&amp;"生成成长"),4))/(VLOOKUP(Y$72,INDIRECT($C$5&amp;"生成成长"),5))*(VLOOKUP($B$5,标准坦克设计!$B$24:$U$30,MATCH("对"&amp;LEFT($C$5,2)&amp;"输出",标准坦克设计!$B$23:$U$23,0)))*(VLOOKUP($B147,INDIRECT($B$5&amp;"生成成长"),3))*(VLOOKUP($B$5,标准坦克设计!$B$14:$K$20,9)/30))</f>
        <v>7.8877334448479246</v>
      </c>
      <c r="Z147" s="173">
        <f ca="1">(VLOOKUP(Z$72,INDIRECT($C$5&amp;"生成成长"),2))/((VLOOKUP($B147,INDIRECT($B$5&amp;"生成成长"),4))/(VLOOKUP(Z$72,INDIRECT($C$5&amp;"生成成长"),5))*(VLOOKUP($B$5,标准坦克设计!$B$24:$U$30,MATCH("对"&amp;LEFT($C$5,2)&amp;"输出",标准坦克设计!$B$23:$U$23,0)))*(VLOOKUP($B147,INDIRECT($B$5&amp;"生成成长"),3))*(VLOOKUP($B$5,标准坦克设计!$B$14:$K$20,9)/30))</f>
        <v>8.7262908407940643</v>
      </c>
      <c r="AA147" s="173">
        <f ca="1">(VLOOKUP(AA$72,INDIRECT($C$5&amp;"生成成长"),2))/((VLOOKUP($B147,INDIRECT($B$5&amp;"生成成长"),4))/(VLOOKUP(AA$72,INDIRECT($C$5&amp;"生成成长"),5))*(VLOOKUP($B$5,标准坦克设计!$B$24:$U$30,MATCH("对"&amp;LEFT($C$5,2)&amp;"输出",标准坦克设计!$B$23:$U$23,0)))*(VLOOKUP($B147,INDIRECT($B$5&amp;"生成成长"),3))*(VLOOKUP($B$5,标准坦克设计!$B$14:$K$20,9)/30))</f>
        <v>9.6071996203738479</v>
      </c>
      <c r="AB147" s="173">
        <f ca="1">(VLOOKUP(AB$72,INDIRECT($C$5&amp;"生成成长"),2))/((VLOOKUP($B147,INDIRECT($B$5&amp;"生成成长"),4))/(VLOOKUP(AB$72,INDIRECT($C$5&amp;"生成成长"),5))*(VLOOKUP($B$5,标准坦克设计!$B$24:$U$30,MATCH("对"&amp;LEFT($C$5,2)&amp;"输出",标准坦克设计!$B$23:$U$23,0)))*(VLOOKUP($B147,INDIRECT($B$5&amp;"生成成长"),3))*(VLOOKUP($B$5,标准坦克设计!$B$14:$K$20,9)/30))</f>
        <v>10.530459783587276</v>
      </c>
      <c r="AC147" s="173">
        <f ca="1">(VLOOKUP(AC$72,INDIRECT($C$5&amp;"生成成长"),2))/((VLOOKUP($B147,INDIRECT($B$5&amp;"生成成长"),4))/(VLOOKUP(AC$72,INDIRECT($C$5&amp;"生成成长"),5))*(VLOOKUP($B$5,标准坦克设计!$B$24:$U$30,MATCH("对"&amp;LEFT($C$5,2)&amp;"输出",标准坦克设计!$B$23:$U$23,0)))*(VLOOKUP($B147,INDIRECT($B$5&amp;"生成成长"),3))*(VLOOKUP($B$5,标准坦克设计!$B$14:$K$20,9)/30))</f>
        <v>11.496071330434347</v>
      </c>
      <c r="AD147" s="173">
        <f ca="1">(VLOOKUP(AD$72,INDIRECT($C$5&amp;"生成成长"),2))/((VLOOKUP($B147,INDIRECT($B$5&amp;"生成成长"),4))/(VLOOKUP(AD$72,INDIRECT($C$5&amp;"生成成长"),5))*(VLOOKUP($B$5,标准坦克设计!$B$24:$U$30,MATCH("对"&amp;LEFT($C$5,2)&amp;"输出",标准坦克设计!$B$23:$U$23,0)))*(VLOOKUP($B147,INDIRECT($B$5&amp;"生成成长"),3))*(VLOOKUP($B$5,标准坦克设计!$B$14:$K$20,9)/30))</f>
        <v>12.504034260915059</v>
      </c>
      <c r="AE147" s="173">
        <f ca="1">(VLOOKUP(AE$72,INDIRECT($C$5&amp;"生成成长"),2))/((VLOOKUP($B147,INDIRECT($B$5&amp;"生成成长"),4))/(VLOOKUP(AE$72,INDIRECT($C$5&amp;"生成成长"),5))*(VLOOKUP($B$5,标准坦克设计!$B$24:$U$30,MATCH("对"&amp;LEFT($C$5,2)&amp;"输出",标准坦克设计!$B$23:$U$23,0)))*(VLOOKUP($B147,INDIRECT($B$5&amp;"生成成长"),3))*(VLOOKUP($B$5,标准坦克设计!$B$14:$K$20,9)/30))</f>
        <v>13.554348575029415</v>
      </c>
      <c r="AF147" s="173">
        <f ca="1">(VLOOKUP(AF$72,INDIRECT($C$5&amp;"生成成长"),2))/((VLOOKUP($B147,INDIRECT($B$5&amp;"生成成长"),4))/(VLOOKUP(AF$72,INDIRECT($C$5&amp;"生成成长"),5))*(VLOOKUP($B$5,标准坦克设计!$B$24:$U$30,MATCH("对"&amp;LEFT($C$5,2)&amp;"输出",标准坦克设计!$B$23:$U$23,0)))*(VLOOKUP($B147,INDIRECT($B$5&amp;"生成成长"),3))*(VLOOKUP($B$5,标准坦克设计!$B$14:$K$20,9)/30))</f>
        <v>14.647014272777421</v>
      </c>
      <c r="AG147" s="173">
        <f ca="1">(VLOOKUP(AG$72,INDIRECT($C$5&amp;"生成成长"),2))/((VLOOKUP($B147,INDIRECT($B$5&amp;"生成成长"),4))/(VLOOKUP(AG$72,INDIRECT($C$5&amp;"生成成长"),5))*(VLOOKUP($B$5,标准坦克设计!$B$24:$U$30,MATCH("对"&amp;LEFT($C$5,2)&amp;"输出",标准坦克设计!$B$23:$U$23,0)))*(VLOOKUP($B147,INDIRECT($B$5&amp;"生成成长"),3))*(VLOOKUP($B$5,标准坦克设计!$B$14:$K$20,9)/30))</f>
        <v>15.782031354159065</v>
      </c>
      <c r="AH147" s="173">
        <f ca="1">(VLOOKUP(AH$72,INDIRECT($C$5&amp;"生成成长"),2))/((VLOOKUP($B147,INDIRECT($B$5&amp;"生成成长"),4))/(VLOOKUP(AH$72,INDIRECT($C$5&amp;"生成成长"),5))*(VLOOKUP($B$5,标准坦克设计!$B$24:$U$30,MATCH("对"&amp;LEFT($C$5,2)&amp;"输出",标准坦克设计!$B$23:$U$23,0)))*(VLOOKUP($B147,INDIRECT($B$5&amp;"生成成长"),3))*(VLOOKUP($B$5,标准坦克设计!$B$14:$K$20,9)/30))</f>
        <v>16.959399819174351</v>
      </c>
      <c r="AI147" s="173">
        <f ca="1">(VLOOKUP(AI$72,INDIRECT($C$5&amp;"生成成长"),2))/((VLOOKUP($B147,INDIRECT($B$5&amp;"生成成长"),4))/(VLOOKUP(AI$72,INDIRECT($C$5&amp;"生成成长"),5))*(VLOOKUP($B$5,标准坦克设计!$B$24:$U$30,MATCH("对"&amp;LEFT($C$5,2)&amp;"输出",标准坦克设计!$B$23:$U$23,0)))*(VLOOKUP($B147,INDIRECT($B$5&amp;"生成成长"),3))*(VLOOKUP($B$5,标准坦克设计!$B$14:$K$20,9)/30))</f>
        <v>11.994758872720498</v>
      </c>
      <c r="AJ147" s="173">
        <f ca="1">(VLOOKUP(AJ$72,INDIRECT($C$5&amp;"生成成长"),2))/((VLOOKUP($B147,INDIRECT($B$5&amp;"生成成长"),4))/(VLOOKUP(AJ$72,INDIRECT($C$5&amp;"生成成长"),5))*(VLOOKUP($B$5,标准坦克设计!$B$24:$U$30,MATCH("对"&amp;LEFT($C$5,2)&amp;"输出",标准坦克设计!$B$23:$U$23,0)))*(VLOOKUP($B147,INDIRECT($B$5&amp;"生成成长"),3))*(VLOOKUP($B$5,标准坦克设计!$B$14:$K$20,9)/30))</f>
        <v>13.129140683347638</v>
      </c>
      <c r="AK147" s="173">
        <f ca="1">(VLOOKUP(AK$72,INDIRECT($C$5&amp;"生成成长"),2))/((VLOOKUP($B147,INDIRECT($B$5&amp;"生成成长"),4))/(VLOOKUP(AK$72,INDIRECT($C$5&amp;"生成成长"),5))*(VLOOKUP($B$5,标准坦克设计!$B$24:$U$30,MATCH("对"&amp;LEFT($C$5,2)&amp;"输出",标准坦克设计!$B$23:$U$23,0)))*(VLOOKUP($B147,INDIRECT($B$5&amp;"生成成长"),3))*(VLOOKUP($B$5,标准坦克设计!$B$14:$K$20,9)/30))</f>
        <v>14.314767668171486</v>
      </c>
      <c r="AL147" s="173">
        <f ca="1">(VLOOKUP(AL$72,INDIRECT($C$5&amp;"生成成长"),2))/((VLOOKUP($B147,INDIRECT($B$5&amp;"生成成长"),4))/(VLOOKUP(AL$72,INDIRECT($C$5&amp;"生成成长"),5))*(VLOOKUP($B$5,标准坦克设计!$B$24:$U$30,MATCH("对"&amp;LEFT($C$5,2)&amp;"输出",标准坦克设计!$B$23:$U$23,0)))*(VLOOKUP($B147,INDIRECT($B$5&amp;"生成成长"),3))*(VLOOKUP($B$5,标准坦克设计!$B$14:$K$20,9)/30))</f>
        <v>15.551639827192043</v>
      </c>
      <c r="AM147" s="173">
        <f ca="1">(VLOOKUP(AM$72,INDIRECT($C$5&amp;"生成成长"),2))/((VLOOKUP($B147,INDIRECT($B$5&amp;"生成成长"),4))/(VLOOKUP(AM$72,INDIRECT($C$5&amp;"生成成长"),5))*(VLOOKUP($B$5,标准坦克设计!$B$24:$U$30,MATCH("对"&amp;LEFT($C$5,2)&amp;"输出",标准坦克设计!$B$23:$U$23,0)))*(VLOOKUP($B147,INDIRECT($B$5&amp;"生成成长"),3))*(VLOOKUP($B$5,标准坦克设计!$B$14:$K$20,9)/30))</f>
        <v>16.839757160409309</v>
      </c>
      <c r="AN147" s="173">
        <f ca="1">(VLOOKUP(AN$72,INDIRECT($C$5&amp;"生成成长"),2))/((VLOOKUP($B147,INDIRECT($B$5&amp;"生成成长"),4))/(VLOOKUP(AN$72,INDIRECT($C$5&amp;"生成成长"),5))*(VLOOKUP($B$5,标准坦克设计!$B$24:$U$30,MATCH("对"&amp;LEFT($C$5,2)&amp;"输出",标准坦克设计!$B$23:$U$23,0)))*(VLOOKUP($B147,INDIRECT($B$5&amp;"生成成长"),3))*(VLOOKUP($B$5,标准坦克设计!$B$14:$K$20,9)/30))</f>
        <v>18.179119667823286</v>
      </c>
      <c r="AO147" s="173">
        <f ca="1">(VLOOKUP(AO$72,INDIRECT($C$5&amp;"生成成长"),2))/((VLOOKUP($B147,INDIRECT($B$5&amp;"生成成长"),4))/(VLOOKUP(AO$72,INDIRECT($C$5&amp;"生成成长"),5))*(VLOOKUP($B$5,标准坦克设计!$B$24:$U$30,MATCH("对"&amp;LEFT($C$5,2)&amp;"输出",标准坦克设计!$B$23:$U$23,0)))*(VLOOKUP($B147,INDIRECT($B$5&amp;"生成成长"),3))*(VLOOKUP($B$5,标准坦克设计!$B$14:$K$20,9)/30))</f>
        <v>19.569727349433965</v>
      </c>
      <c r="AP147" s="173">
        <f ca="1">(VLOOKUP(AP$72,INDIRECT($C$5&amp;"生成成长"),2))/((VLOOKUP($B147,INDIRECT($B$5&amp;"生成成长"),4))/(VLOOKUP(AP$72,INDIRECT($C$5&amp;"生成成长"),5))*(VLOOKUP($B$5,标准坦克设计!$B$24:$U$30,MATCH("对"&amp;LEFT($C$5,2)&amp;"输出",标准坦克设计!$B$23:$U$23,0)))*(VLOOKUP($B147,INDIRECT($B$5&amp;"生成成长"),3))*(VLOOKUP($B$5,标准坦克设计!$B$14:$K$20,9)/30))</f>
        <v>21.011580205241358</v>
      </c>
      <c r="AQ147" s="173">
        <f ca="1">(VLOOKUP(AQ$72,INDIRECT($C$5&amp;"生成成长"),2))/((VLOOKUP($B147,INDIRECT($B$5&amp;"生成成长"),4))/(VLOOKUP(AQ$72,INDIRECT($C$5&amp;"生成成长"),5))*(VLOOKUP($B$5,标准坦克设计!$B$24:$U$30,MATCH("对"&amp;LEFT($C$5,2)&amp;"输出",标准坦克设计!$B$23:$U$23,0)))*(VLOOKUP($B147,INDIRECT($B$5&amp;"生成成长"),3))*(VLOOKUP($B$5,标准坦克设计!$B$14:$K$20,9)/30))</f>
        <v>22.504678235245457</v>
      </c>
      <c r="AR147" s="173">
        <f ca="1">(VLOOKUP(AR$72,INDIRECT($C$5&amp;"生成成长"),2))/((VLOOKUP($B147,INDIRECT($B$5&amp;"生成成长"),4))/(VLOOKUP(AR$72,INDIRECT($C$5&amp;"生成成长"),5))*(VLOOKUP($B$5,标准坦克设计!$B$24:$U$30,MATCH("对"&amp;LEFT($C$5,2)&amp;"输出",标准坦克设计!$B$23:$U$23,0)))*(VLOOKUP($B147,INDIRECT($B$5&amp;"生成成长"),3))*(VLOOKUP($B$5,标准坦克设计!$B$14:$K$20,9)/30))</f>
        <v>24.049021439446268</v>
      </c>
      <c r="AS147" s="173">
        <f ca="1">(VLOOKUP(AS$72,INDIRECT($C$5&amp;"生成成长"),2))/((VLOOKUP($B147,INDIRECT($B$5&amp;"生成成长"),4))/(VLOOKUP(AS$72,INDIRECT($C$5&amp;"生成成长"),5))*(VLOOKUP($B$5,标准坦克设计!$B$24:$U$30,MATCH("对"&amp;LEFT($C$5,2)&amp;"输出",标准坦克设计!$B$23:$U$23,0)))*(VLOOKUP($B147,INDIRECT($B$5&amp;"生成成长"),3))*(VLOOKUP($B$5,标准坦克设计!$B$14:$K$20,9)/30))</f>
        <v>25.644609817843779</v>
      </c>
      <c r="AT147" s="173">
        <f ca="1">(VLOOKUP(AT$72,INDIRECT($C$5&amp;"生成成长"),2))/((VLOOKUP($B147,INDIRECT($B$5&amp;"生成成长"),4))/(VLOOKUP(AT$72,INDIRECT($C$5&amp;"生成成长"),5))*(VLOOKUP($B$5,标准坦克设计!$B$24:$U$30,MATCH("对"&amp;LEFT($C$5,2)&amp;"输出",标准坦克设计!$B$23:$U$23,0)))*(VLOOKUP($B147,INDIRECT($B$5&amp;"生成成长"),3))*(VLOOKUP($B$5,标准坦克设计!$B$14:$K$20,9)/30))</f>
        <v>27.29144337043801</v>
      </c>
      <c r="AU147" s="173">
        <f ca="1">(VLOOKUP(AU$72,INDIRECT($C$5&amp;"生成成长"),2))/((VLOOKUP($B147,INDIRECT($B$5&amp;"生成成长"),4))/(VLOOKUP(AU$72,INDIRECT($C$5&amp;"生成成长"),5))*(VLOOKUP($B$5,标准坦克设计!$B$24:$U$30,MATCH("对"&amp;LEFT($C$5,2)&amp;"输出",标准坦克设计!$B$23:$U$23,0)))*(VLOOKUP($B147,INDIRECT($B$5&amp;"生成成长"),3))*(VLOOKUP($B$5,标准坦克设计!$B$14:$K$20,9)/30))</f>
        <v>28.989522097228946</v>
      </c>
      <c r="AV147" s="173">
        <f ca="1">(VLOOKUP(AV$72,INDIRECT($C$5&amp;"生成成长"),2))/((VLOOKUP($B147,INDIRECT($B$5&amp;"生成成长"),4))/(VLOOKUP(AV$72,INDIRECT($C$5&amp;"生成成长"),5))*(VLOOKUP($B$5,标准坦克设计!$B$24:$U$30,MATCH("对"&amp;LEFT($C$5,2)&amp;"输出",标准坦克设计!$B$23:$U$23,0)))*(VLOOKUP($B147,INDIRECT($B$5&amp;"生成成长"),3))*(VLOOKUP($B$5,标准坦克设计!$B$14:$K$20,9)/30))</f>
        <v>2.9485033285742572</v>
      </c>
      <c r="AW147" s="173">
        <f ca="1">(VLOOKUP(AW$72,INDIRECT($C$5&amp;"生成成长"),2))/((VLOOKUP($B147,INDIRECT($B$5&amp;"生成成长"),4))/(VLOOKUP(AW$72,INDIRECT($C$5&amp;"生成成长"),5))*(VLOOKUP($B$5,标准坦克设计!$B$24:$U$30,MATCH("对"&amp;LEFT($C$5,2)&amp;"输出",标准坦克设计!$B$23:$U$23,0)))*(VLOOKUP($B147,INDIRECT($B$5&amp;"生成成长"),3))*(VLOOKUP($B$5,标准坦克设计!$B$14:$K$20,9)/30))</f>
        <v>3.361852832838617</v>
      </c>
      <c r="AX147" s="173">
        <f ca="1">(VLOOKUP(AX$72,INDIRECT($C$5&amp;"生成成长"),2))/((VLOOKUP($B147,INDIRECT($B$5&amp;"生成成长"),4))/(VLOOKUP(AX$72,INDIRECT($C$5&amp;"生成成长"),5))*(VLOOKUP($B$5,标准坦克设计!$B$24:$U$30,MATCH("对"&amp;LEFT($C$5,2)&amp;"输出",标准坦克设计!$B$23:$U$23,0)))*(VLOOKUP($B147,INDIRECT($B$5&amp;"生成成长"),3))*(VLOOKUP($B$5,标准坦克设计!$B$14:$K$20,9)/30))</f>
        <v>3.8023072226285088</v>
      </c>
      <c r="AY147" s="173">
        <f ca="1">(VLOOKUP(AY$72,INDIRECT($C$5&amp;"生成成长"),2))/((VLOOKUP($B147,INDIRECT($B$5&amp;"生成成长"),4))/(VLOOKUP(AY$72,INDIRECT($C$5&amp;"生成成长"),5))*(VLOOKUP($B$5,标准坦克设计!$B$24:$U$30,MATCH("对"&amp;LEFT($C$5,2)&amp;"输出",标准坦克设计!$B$23:$U$23,0)))*(VLOOKUP($B147,INDIRECT($B$5&amp;"生成成长"),3))*(VLOOKUP($B$5,标准坦克设计!$B$14:$K$20,9)/30))</f>
        <v>4.2698664979439327</v>
      </c>
      <c r="AZ147" s="173">
        <f ca="1">(VLOOKUP(AZ$72,INDIRECT($C$5&amp;"生成成长"),2))/((VLOOKUP($B147,INDIRECT($B$5&amp;"生成成长"),4))/(VLOOKUP(AZ$72,INDIRECT($C$5&amp;"生成成长"),5))*(VLOOKUP($B$5,标准坦克设计!$B$24:$U$30,MATCH("对"&amp;LEFT($C$5,2)&amp;"输出",标准坦克设计!$B$23:$U$23,0)))*(VLOOKUP($B147,INDIRECT($B$5&amp;"生成成长"),3))*(VLOOKUP($B$5,标准坦克设计!$B$14:$K$20,9)/30))</f>
        <v>4.7645306587848895</v>
      </c>
      <c r="BA147" s="173">
        <f ca="1">(VLOOKUP(BA$72,INDIRECT($C$5&amp;"生成成长"),2))/((VLOOKUP($B147,INDIRECT($B$5&amp;"生成成长"),4))/(VLOOKUP(BA$72,INDIRECT($C$5&amp;"生成成长"),5))*(VLOOKUP($B$5,标准坦克设计!$B$24:$U$30,MATCH("对"&amp;LEFT($C$5,2)&amp;"输出",标准坦克设计!$B$23:$U$23,0)))*(VLOOKUP($B147,INDIRECT($B$5&amp;"生成成长"),3))*(VLOOKUP($B$5,标准坦克设计!$B$14:$K$20,9)/30))</f>
        <v>5.2862997051513752</v>
      </c>
      <c r="BB147" s="173">
        <f ca="1">(VLOOKUP(BB$72,INDIRECT($C$5&amp;"生成成长"),2))/((VLOOKUP($B147,INDIRECT($B$5&amp;"生成成长"),4))/(VLOOKUP(BB$72,INDIRECT($C$5&amp;"生成成长"),5))*(VLOOKUP($B$5,标准坦克设计!$B$24:$U$30,MATCH("对"&amp;LEFT($C$5,2)&amp;"输出",标准坦克设计!$B$23:$U$23,0)))*(VLOOKUP($B147,INDIRECT($B$5&amp;"生成成长"),3))*(VLOOKUP($B$5,标准坦克设计!$B$14:$K$20,9)/30))</f>
        <v>5.8351736370433942</v>
      </c>
      <c r="BC147" s="173">
        <f ca="1">(VLOOKUP(BC$72,INDIRECT($C$5&amp;"生成成长"),2))/((VLOOKUP($B147,INDIRECT($B$5&amp;"生成成长"),4))/(VLOOKUP(BC$72,INDIRECT($C$5&amp;"生成成长"),5))*(VLOOKUP($B$5,标准坦克设计!$B$24:$U$30,MATCH("对"&amp;LEFT($C$5,2)&amp;"输出",标准坦克设计!$B$23:$U$23,0)))*(VLOOKUP($B147,INDIRECT($B$5&amp;"生成成长"),3))*(VLOOKUP($B$5,标准坦克设计!$B$14:$K$20,9)/30))</f>
        <v>6.4111524544609448</v>
      </c>
      <c r="BD147" s="173">
        <f ca="1">(VLOOKUP(BD$72,INDIRECT($C$5&amp;"生成成长"),2))/((VLOOKUP($B147,INDIRECT($B$5&amp;"生成成长"),4))/(VLOOKUP(BD$72,INDIRECT($C$5&amp;"生成成长"),5))*(VLOOKUP($B$5,标准坦克设计!$B$24:$U$30,MATCH("对"&amp;LEFT($C$5,2)&amp;"输出",标准坦克设计!$B$23:$U$23,0)))*(VLOOKUP($B147,INDIRECT($B$5&amp;"生成成长"),3))*(VLOOKUP($B$5,标准坦克设计!$B$14:$K$20,9)/30))</f>
        <v>7.0915274325354281</v>
      </c>
      <c r="BE147" s="173">
        <f ca="1">(VLOOKUP(BE$72,INDIRECT($C$5&amp;"生成成长"),2))/((VLOOKUP($B147,INDIRECT($B$5&amp;"生成成长"),4))/(VLOOKUP(BE$72,INDIRECT($C$5&amp;"生成成长"),5))*(VLOOKUP($B$5,标准坦克设计!$B$24:$U$30,MATCH("对"&amp;LEFT($C$5,2)&amp;"输出",标准坦克设计!$B$23:$U$23,0)))*(VLOOKUP($B147,INDIRECT($B$5&amp;"生成成长"),3))*(VLOOKUP($B$5,标准坦克设计!$B$14:$K$20,9)/30))</f>
        <v>7.8062070313531606</v>
      </c>
      <c r="BF147" s="173">
        <f ca="1">(VLOOKUP(BF$72,INDIRECT($C$5&amp;"生成成长"),2))/((VLOOKUP($B147,INDIRECT($B$5&amp;"生成成长"),4))/(VLOOKUP(BF$72,INDIRECT($C$5&amp;"生成成长"),5))*(VLOOKUP($B$5,标准坦克设计!$B$24:$U$30,MATCH("对"&amp;LEFT($C$5,2)&amp;"输出",标准坦克设计!$B$23:$U$23,0)))*(VLOOKUP($B147,INDIRECT($B$5&amp;"生成成长"),3))*(VLOOKUP($B$5,标准坦克设计!$B$14:$K$20,9)/30))</f>
        <v>8.5551912509141435</v>
      </c>
      <c r="BG147" s="173">
        <f ca="1">(VLOOKUP(BG$72,INDIRECT($C$5&amp;"生成成长"),2))/((VLOOKUP($B147,INDIRECT($B$5&amp;"生成成长"),4))/(VLOOKUP(BG$72,INDIRECT($C$5&amp;"生成成长"),5))*(VLOOKUP($B$5,标准坦克设计!$B$24:$U$30,MATCH("对"&amp;LEFT($C$5,2)&amp;"输出",标准坦克设计!$B$23:$U$23,0)))*(VLOOKUP($B147,INDIRECT($B$5&amp;"生成成长"),3))*(VLOOKUP($B$5,标准坦克设计!$B$14:$K$20,9)/30))</f>
        <v>9.3384800912183792</v>
      </c>
      <c r="BH147" s="173">
        <f ca="1">(VLOOKUP(BH$72,INDIRECT($C$5&amp;"生成成长"),2))/((VLOOKUP($B147,INDIRECT($B$5&amp;"生成成长"),4))/(VLOOKUP(BH$72,INDIRECT($C$5&amp;"生成成长"),5))*(VLOOKUP($B$5,标准坦克设计!$B$24:$U$30,MATCH("对"&amp;LEFT($C$5,2)&amp;"输出",标准坦克设计!$B$23:$U$23,0)))*(VLOOKUP($B147,INDIRECT($B$5&amp;"生成成长"),3))*(VLOOKUP($B$5,标准坦克设计!$B$14:$K$20,9)/30))</f>
        <v>4.5138104676737196</v>
      </c>
      <c r="BI147" s="173">
        <f ca="1">(VLOOKUP(BI$72,INDIRECT($C$5&amp;"生成成长"),2))/((VLOOKUP($B147,INDIRECT($B$5&amp;"生成成长"),4))/(VLOOKUP(BI$72,INDIRECT($C$5&amp;"生成成长"),5))*(VLOOKUP($B$5,标准坦克设计!$B$24:$U$30,MATCH("对"&amp;LEFT($C$5,2)&amp;"输出",标准坦克设计!$B$23:$U$23,0)))*(VLOOKUP($B147,INDIRECT($B$5&amp;"生成成长"),3))*(VLOOKUP($B$5,标准坦克设计!$B$14:$K$20,9)/30))</f>
        <v>5.0874599589914196</v>
      </c>
      <c r="BJ147" s="173">
        <f ca="1">(VLOOKUP(BJ$72,INDIRECT($C$5&amp;"生成成长"),2))/((VLOOKUP($B147,INDIRECT($B$5&amp;"生成成长"),4))/(VLOOKUP(BJ$72,INDIRECT($C$5&amp;"生成成长"),5))*(VLOOKUP($B$5,标准坦克设计!$B$24:$U$30,MATCH("对"&amp;LEFT($C$5,2)&amp;"输出",标准坦克设计!$B$23:$U$23,0)))*(VLOOKUP($B147,INDIRECT($B$5&amp;"生成成长"),3))*(VLOOKUP($B$5,标准坦克设计!$B$14:$K$20,9)/30))</f>
        <v>5.6954140710523697</v>
      </c>
      <c r="BK147" s="173">
        <f ca="1">(VLOOKUP(BK$72,INDIRECT($C$5&amp;"生成成长"),2))/((VLOOKUP($B147,INDIRECT($B$5&amp;"生成成长"),4))/(VLOOKUP(BK$72,INDIRECT($C$5&amp;"生成成长"),5))*(VLOOKUP($B$5,标准坦克设计!$B$24:$U$30,MATCH("对"&amp;LEFT($C$5,2)&amp;"输出",标准坦克设计!$B$23:$U$23,0)))*(VLOOKUP($B147,INDIRECT($B$5&amp;"生成成长"),3))*(VLOOKUP($B$5,标准坦克设计!$B$14:$K$20,9)/30))</f>
        <v>6.3376728038565746</v>
      </c>
      <c r="BL147" s="173">
        <f ca="1">(VLOOKUP(BL$72,INDIRECT($C$5&amp;"生成成长"),2))/((VLOOKUP($B147,INDIRECT($B$5&amp;"生成成长"),4))/(VLOOKUP(BL$72,INDIRECT($C$5&amp;"生成成长"),5))*(VLOOKUP($B$5,标准坦克设计!$B$24:$U$30,MATCH("对"&amp;LEFT($C$5,2)&amp;"输出",标准坦克设计!$B$23:$U$23,0)))*(VLOOKUP($B147,INDIRECT($B$5&amp;"生成成长"),3))*(VLOOKUP($B$5,标准坦克设计!$B$14:$K$20,9)/30))</f>
        <v>7.0142361574040279</v>
      </c>
      <c r="BM147" s="173">
        <f ca="1">(VLOOKUP(BM$72,INDIRECT($C$5&amp;"生成成长"),2))/((VLOOKUP($B147,INDIRECT($B$5&amp;"生成成长"),4))/(VLOOKUP(BM$72,INDIRECT($C$5&amp;"生成成长"),5))*(VLOOKUP($B$5,标准坦克设计!$B$24:$U$30,MATCH("对"&amp;LEFT($C$5,2)&amp;"输出",标准坦克设计!$B$23:$U$23,0)))*(VLOOKUP($B147,INDIRECT($B$5&amp;"生成成长"),3))*(VLOOKUP($B$5,标准坦克设计!$B$14:$K$20,9)/30))</f>
        <v>7.7251041316947324</v>
      </c>
      <c r="BN147" s="173">
        <f ca="1">(VLOOKUP(BN$72,INDIRECT($C$5&amp;"生成成长"),2))/((VLOOKUP($B147,INDIRECT($B$5&amp;"生成成长"),4))/(VLOOKUP(BN$72,INDIRECT($C$5&amp;"生成成长"),5))*(VLOOKUP($B$5,标准坦克设计!$B$24:$U$30,MATCH("对"&amp;LEFT($C$5,2)&amp;"输出",标准坦克设计!$B$23:$U$23,0)))*(VLOOKUP($B147,INDIRECT($B$5&amp;"生成成长"),3))*(VLOOKUP($B$5,标准坦克设计!$B$14:$K$20,9)/30))</f>
        <v>8.4702767267286916</v>
      </c>
      <c r="BO147" s="173">
        <f ca="1">(VLOOKUP(BO$72,INDIRECT($C$5&amp;"生成成长"),2))/((VLOOKUP($B147,INDIRECT($B$5&amp;"生成成长"),4))/(VLOOKUP(BO$72,INDIRECT($C$5&amp;"生成成长"),5))*(VLOOKUP($B$5,标准坦克设计!$B$24:$U$30,MATCH("对"&amp;LEFT($C$5,2)&amp;"输出",标准坦克设计!$B$23:$U$23,0)))*(VLOOKUP($B147,INDIRECT($B$5&amp;"生成成长"),3))*(VLOOKUP($B$5,标准坦克设计!$B$14:$K$20,9)/30))</f>
        <v>9.2497539425058992</v>
      </c>
      <c r="BP147" s="173">
        <f ca="1">(VLOOKUP(BP$72,INDIRECT($C$5&amp;"生成成长"),2))/((VLOOKUP($B147,INDIRECT($B$5&amp;"生成成长"),4))/(VLOOKUP(BP$72,INDIRECT($C$5&amp;"生成成长"),5))*(VLOOKUP($B$5,标准坦克设计!$B$24:$U$30,MATCH("对"&amp;LEFT($C$5,2)&amp;"输出",标准坦克设计!$B$23:$U$23,0)))*(VLOOKUP($B147,INDIRECT($B$5&amp;"生成成长"),3))*(VLOOKUP($B$5,标准坦克设计!$B$14:$K$20,9)/30))</f>
        <v>10.063535779026356</v>
      </c>
      <c r="BQ147" s="173">
        <f ca="1">(VLOOKUP(BQ$72,INDIRECT($C$5&amp;"生成成长"),2))/((VLOOKUP($B147,INDIRECT($B$5&amp;"生成成长"),4))/(VLOOKUP(BQ$72,INDIRECT($C$5&amp;"生成成长"),5))*(VLOOKUP($B$5,标准坦克设计!$B$24:$U$30,MATCH("对"&amp;LEFT($C$5,2)&amp;"输出",标准坦克设计!$B$23:$U$23,0)))*(VLOOKUP($B147,INDIRECT($B$5&amp;"生成成长"),3))*(VLOOKUP($B$5,标准坦克设计!$B$14:$K$20,9)/30))</f>
        <v>10.911622236290068</v>
      </c>
      <c r="BR147" s="173">
        <f ca="1">(VLOOKUP(BR$72,INDIRECT($C$5&amp;"生成成长"),2))/((VLOOKUP($B147,INDIRECT($B$5&amp;"生成成长"),4))/(VLOOKUP(BR$72,INDIRECT($C$5&amp;"生成成长"),5))*(VLOOKUP($B$5,标准坦克设计!$B$24:$U$30,MATCH("对"&amp;LEFT($C$5,2)&amp;"输出",标准坦克设计!$B$23:$U$23,0)))*(VLOOKUP($B147,INDIRECT($B$5&amp;"生成成长"),3))*(VLOOKUP($B$5,标准坦克设计!$B$14:$K$20,9)/30))</f>
        <v>11.894174336590595</v>
      </c>
      <c r="BS147" s="173">
        <f ca="1">(VLOOKUP(BS$72,INDIRECT($C$5&amp;"生成成长"),2))/((VLOOKUP($B147,INDIRECT($B$5&amp;"生成成长"),4))/(VLOOKUP(BS$72,INDIRECT($C$5&amp;"生成成长"),5))*(VLOOKUP($B$5,标准坦克设计!$B$24:$U$30,MATCH("对"&amp;LEFT($C$5,2)&amp;"输出",标准坦克设计!$B$23:$U$23,0)))*(VLOOKUP($B147,INDIRECT($B$5&amp;"生成成长"),3))*(VLOOKUP($B$5,标准坦克设计!$B$14:$K$20,9)/30))</f>
        <v>12.919077820524766</v>
      </c>
      <c r="BT147" s="173">
        <f ca="1">(VLOOKUP(BT$72,INDIRECT($C$5&amp;"生成成长"),2))/((VLOOKUP($B147,INDIRECT($B$5&amp;"生成成长"),4))/(VLOOKUP(BT$72,INDIRECT($C$5&amp;"生成成长"),5))*(VLOOKUP($B$5,标准坦克设计!$B$24:$U$30,MATCH("对"&amp;LEFT($C$5,2)&amp;"输出",标准坦克设计!$B$23:$U$23,0)))*(VLOOKUP($B147,INDIRECT($B$5&amp;"生成成长"),3))*(VLOOKUP($B$5,标准坦克设计!$B$14:$K$20,9)/30))</f>
        <v>13.986332688092581</v>
      </c>
      <c r="BU147" s="173">
        <f ca="1">(VLOOKUP(BU$72,INDIRECT($C$5&amp;"生成成长"),2))/((VLOOKUP($B147,INDIRECT($B$5&amp;"生成成长"),4))/(VLOOKUP(BU$72,INDIRECT($C$5&amp;"生成成长"),5))*(VLOOKUP($B$5,标准坦克设计!$B$24:$U$30,MATCH("对"&amp;LEFT($C$5,2)&amp;"输出",标准坦克设计!$B$23:$U$23,0)))*(VLOOKUP($B147,INDIRECT($B$5&amp;"生成成长"),3))*(VLOOKUP($B$5,标准坦克设计!$B$14:$K$20,9)/30))</f>
        <v>15.095938939294038</v>
      </c>
      <c r="BV147" s="173">
        <f ca="1">(VLOOKUP(BV$72,INDIRECT($C$5&amp;"生成成长"),2))/((VLOOKUP($B147,INDIRECT($B$5&amp;"生成成长"),4))/(VLOOKUP(BV$72,INDIRECT($C$5&amp;"生成成长"),5))*(VLOOKUP($B$5,标准坦克设计!$B$24:$U$30,MATCH("对"&amp;LEFT($C$5,2)&amp;"输出",标准坦克设计!$B$23:$U$23,0)))*(VLOOKUP($B147,INDIRECT($B$5&amp;"生成成长"),3))*(VLOOKUP($B$5,标准坦克设计!$B$14:$K$20,9)/30))</f>
        <v>16.247896574129143</v>
      </c>
      <c r="BW147" s="173">
        <f ca="1">(VLOOKUP(BW$72,INDIRECT($C$5&amp;"生成成长"),2))/((VLOOKUP($B147,INDIRECT($B$5&amp;"生成成长"),4))/(VLOOKUP(BW$72,INDIRECT($C$5&amp;"生成成长"),5))*(VLOOKUP($B$5,标准坦克设计!$B$24:$U$30,MATCH("对"&amp;LEFT($C$5,2)&amp;"输出",标准坦克设计!$B$23:$U$23,0)))*(VLOOKUP($B147,INDIRECT($B$5&amp;"生成成长"),3))*(VLOOKUP($B$5,标准坦克设计!$B$14:$K$20,9)/30))</f>
        <v>7.4049276714243888</v>
      </c>
      <c r="BX147" s="173">
        <f ca="1">(VLOOKUP(BX$72,INDIRECT($C$5&amp;"生成成长"),2))/((VLOOKUP($B147,INDIRECT($B$5&amp;"生成成长"),4))/(VLOOKUP(BX$72,INDIRECT($C$5&amp;"生成成长"),5))*(VLOOKUP($B$5,标准坦克设计!$B$24:$U$30,MATCH("对"&amp;LEFT($C$5,2)&amp;"输出",标准坦克设计!$B$23:$U$23,0)))*(VLOOKUP($B147,INDIRECT($B$5&amp;"生成成长"),3))*(VLOOKUP($B$5,标准坦克设计!$B$14:$K$20,9)/30))</f>
        <v>8.2180742371903435</v>
      </c>
      <c r="BY147" s="173">
        <f ca="1">(VLOOKUP(BY$72,INDIRECT($C$5&amp;"生成成长"),2))/((VLOOKUP($B147,INDIRECT($B$5&amp;"生成成长"),4))/(VLOOKUP(BY$72,INDIRECT($C$5&amp;"生成成长"),5))*(VLOOKUP($B$5,标准坦克设计!$B$24:$U$30,MATCH("对"&amp;LEFT($C$5,2)&amp;"输出",标准坦克设计!$B$23:$U$23,0)))*(VLOOKUP($B147,INDIRECT($B$5&amp;"生成成长"),3))*(VLOOKUP($B$5,标准坦克设计!$B$14:$K$20,9)/30))</f>
        <v>9.0735721865899404</v>
      </c>
      <c r="BZ147" s="173">
        <f ca="1">(VLOOKUP(BZ$72,INDIRECT($C$5&amp;"生成成长"),2))/((VLOOKUP($B147,INDIRECT($B$5&amp;"生成成长"),4))/(VLOOKUP(BZ$72,INDIRECT($C$5&amp;"生成成长"),5))*(VLOOKUP($B$5,标准坦克设计!$B$24:$U$30,MATCH("对"&amp;LEFT($C$5,2)&amp;"输出",标准坦克设计!$B$23:$U$23,0)))*(VLOOKUP($B147,INDIRECT($B$5&amp;"生成成长"),3))*(VLOOKUP($B$5,标准坦克设计!$B$14:$K$20,9)/30))</f>
        <v>9.9714215196231812</v>
      </c>
      <c r="CA147" s="173">
        <f ca="1">(VLOOKUP(CA$72,INDIRECT($C$5&amp;"生成成长"),2))/((VLOOKUP($B147,INDIRECT($B$5&amp;"生成成长"),4))/(VLOOKUP(CA$72,INDIRECT($C$5&amp;"生成成长"),5))*(VLOOKUP($B$5,标准坦克设计!$B$24:$U$30,MATCH("对"&amp;LEFT($C$5,2)&amp;"输出",标准坦克设计!$B$23:$U$23,0)))*(VLOOKUP($B147,INDIRECT($B$5&amp;"生成成长"),3))*(VLOOKUP($B$5,标准坦克设计!$B$14:$K$20,9)/30))</f>
        <v>10.911622236290068</v>
      </c>
      <c r="CB147" s="173">
        <f ca="1">(VLOOKUP(CB$72,INDIRECT($C$5&amp;"生成成长"),2))/((VLOOKUP($B147,INDIRECT($B$5&amp;"生成成长"),4))/(VLOOKUP(CB$72,INDIRECT($C$5&amp;"生成成长"),5))*(VLOOKUP($B$5,标准坦克设计!$B$24:$U$30,MATCH("对"&amp;LEFT($C$5,2)&amp;"输出",标准坦克设计!$B$23:$U$23,0)))*(VLOOKUP($B147,INDIRECT($B$5&amp;"生成成长"),3))*(VLOOKUP($B$5,标准坦克设计!$B$14:$K$20,9)/30))</f>
        <v>11.894174336590595</v>
      </c>
      <c r="CC147" s="173">
        <f ca="1">(VLOOKUP(CC$72,INDIRECT($C$5&amp;"生成成长"),2))/((VLOOKUP($B147,INDIRECT($B$5&amp;"生成成长"),4))/(VLOOKUP(CC$72,INDIRECT($C$5&amp;"生成成长"),5))*(VLOOKUP($B$5,标准坦克设计!$B$24:$U$30,MATCH("对"&amp;LEFT($C$5,2)&amp;"输出",标准坦克设计!$B$23:$U$23,0)))*(VLOOKUP($B147,INDIRECT($B$5&amp;"生成成长"),3))*(VLOOKUP($B$5,标准坦克设计!$B$14:$K$20,9)/30))</f>
        <v>12.919077820524766</v>
      </c>
      <c r="CD147" s="173">
        <f ca="1">(VLOOKUP(CD$72,INDIRECT($C$5&amp;"生成成长"),2))/((VLOOKUP($B147,INDIRECT($B$5&amp;"生成成长"),4))/(VLOOKUP(CD$72,INDIRECT($C$5&amp;"生成成长"),5))*(VLOOKUP($B$5,标准坦克设计!$B$24:$U$30,MATCH("对"&amp;LEFT($C$5,2)&amp;"输出",标准坦克设计!$B$23:$U$23,0)))*(VLOOKUP($B147,INDIRECT($B$5&amp;"生成成长"),3))*(VLOOKUP($B$5,标准坦克设计!$B$14:$K$20,9)/30))</f>
        <v>13.986332688092581</v>
      </c>
      <c r="CE147" s="173">
        <f ca="1">(VLOOKUP(CE$72,INDIRECT($C$5&amp;"生成成长"),2))/((VLOOKUP($B147,INDIRECT($B$5&amp;"生成成长"),4))/(VLOOKUP(CE$72,INDIRECT($C$5&amp;"生成成长"),5))*(VLOOKUP($B$5,标准坦克设计!$B$24:$U$30,MATCH("对"&amp;LEFT($C$5,2)&amp;"输出",标准坦克设计!$B$23:$U$23,0)))*(VLOOKUP($B147,INDIRECT($B$5&amp;"生成成长"),3))*(VLOOKUP($B$5,标准坦克设计!$B$14:$K$20,9)/30))</f>
        <v>15.095938939294038</v>
      </c>
      <c r="CF147" s="173">
        <f ca="1">(VLOOKUP(CF$72,INDIRECT($C$5&amp;"生成成长"),2))/((VLOOKUP($B147,INDIRECT($B$5&amp;"生成成长"),4))/(VLOOKUP(CF$72,INDIRECT($C$5&amp;"生成成长"),5))*(VLOOKUP($B$5,标准坦克设计!$B$24:$U$30,MATCH("对"&amp;LEFT($C$5,2)&amp;"输出",标准坦克设计!$B$23:$U$23,0)))*(VLOOKUP($B147,INDIRECT($B$5&amp;"生成成长"),3))*(VLOOKUP($B$5,标准坦克设计!$B$14:$K$20,9)/30))</f>
        <v>16.247896574129143</v>
      </c>
      <c r="CG147" s="173">
        <f ca="1">(VLOOKUP(CG$72,INDIRECT($C$5&amp;"生成成长"),2))/((VLOOKUP($B147,INDIRECT($B$5&amp;"生成成长"),4))/(VLOOKUP(CG$72,INDIRECT($C$5&amp;"生成成长"),5))*(VLOOKUP($B$5,标准坦克设计!$B$24:$U$30,MATCH("对"&amp;LEFT($C$5,2)&amp;"输出",标准坦克设计!$B$23:$U$23,0)))*(VLOOKUP($B147,INDIRECT($B$5&amp;"生成成长"),3))*(VLOOKUP($B$5,标准坦克设计!$B$14:$K$20,9)/30))</f>
        <v>17.442205592597887</v>
      </c>
      <c r="CH147" s="173">
        <f ca="1">(VLOOKUP(CH$72,INDIRECT($C$5&amp;"生成成长"),2))/((VLOOKUP($B147,INDIRECT($B$5&amp;"生成成长"),4))/(VLOOKUP(CH$72,INDIRECT($C$5&amp;"生成成长"),5))*(VLOOKUP($B$5,标准坦克设计!$B$24:$U$30,MATCH("对"&amp;LEFT($C$5,2)&amp;"输出",标准坦克设计!$B$23:$U$23,0)))*(VLOOKUP($B147,INDIRECT($B$5&amp;"生成成长"),3))*(VLOOKUP($B$5,标准坦克设计!$B$14:$K$20,9)/30))</f>
        <v>18.678865994700274</v>
      </c>
      <c r="CI147" s="173">
        <f ca="1">(VLOOKUP(CI$72,INDIRECT($C$5&amp;"生成成长"),2))/((VLOOKUP($B147,INDIRECT($B$5&amp;"生成成长"),4))/(VLOOKUP(CI$72,INDIRECT($C$5&amp;"生成成长"),5))*(VLOOKUP($B$5,标准坦克设计!$B$24:$U$30,MATCH("对"&amp;LEFT($C$5,2)&amp;"输出",标准坦克设计!$B$23:$U$23,0)))*(VLOOKUP($B147,INDIRECT($B$5&amp;"生成成长"),3))*(VLOOKUP($B$5,标准坦克设计!$B$14:$K$20,9)/30))</f>
        <v>20.088108285109765</v>
      </c>
      <c r="CJ147" s="173">
        <f ca="1">(VLOOKUP(CJ$72,INDIRECT($C$5&amp;"生成成长"),2))/((VLOOKUP($B147,INDIRECT($B$5&amp;"生成成长"),4))/(VLOOKUP(CJ$72,INDIRECT($C$5&amp;"生成成长"),5))*(VLOOKUP($B$5,标准坦克设计!$B$24:$U$30,MATCH("对"&amp;LEFT($C$5,2)&amp;"输出",标准坦克设计!$B$23:$U$23,0)))*(VLOOKUP($B147,INDIRECT($B$5&amp;"生成成长"),3))*(VLOOKUP($B$5,标准坦克设计!$B$14:$K$20,9)/30))</f>
        <v>21.548595749715954</v>
      </c>
      <c r="CK147" s="173">
        <f ca="1">(VLOOKUP(CK$72,INDIRECT($C$5&amp;"生成成长"),2))/((VLOOKUP($B147,INDIRECT($B$5&amp;"生成成长"),4))/(VLOOKUP(CK$72,INDIRECT($C$5&amp;"生成成长"),5))*(VLOOKUP($B$5,标准坦克设计!$B$24:$U$30,MATCH("对"&amp;LEFT($C$5,2)&amp;"输出",标准坦克设计!$B$23:$U$23,0)))*(VLOOKUP($B147,INDIRECT($B$5&amp;"生成成长"),3))*(VLOOKUP($B$5,标准坦克设计!$B$14:$K$20,9)/30))</f>
        <v>23.060328388518855</v>
      </c>
      <c r="CL147" s="173">
        <f ca="1">(VLOOKUP(CL$72,INDIRECT($C$5&amp;"生成成长"),2))/((VLOOKUP($B147,INDIRECT($B$5&amp;"生成成长"),4))/(VLOOKUP(CL$72,INDIRECT($C$5&amp;"生成成长"),5))*(VLOOKUP($B$5,标准坦克设计!$B$24:$U$30,MATCH("对"&amp;LEFT($C$5,2)&amp;"输出",标准坦克设计!$B$23:$U$23,0)))*(VLOOKUP($B147,INDIRECT($B$5&amp;"生成成长"),3))*(VLOOKUP($B$5,标准坦克设计!$B$14:$K$20,9)/30))</f>
        <v>24.623306201518471</v>
      </c>
      <c r="CM147" s="173">
        <f ca="1">(VLOOKUP(CM$72,INDIRECT($C$5&amp;"生成成长"),2))/((VLOOKUP($B147,INDIRECT($B$5&amp;"生成成长"),4))/(VLOOKUP(CM$72,INDIRECT($C$5&amp;"生成成长"),5))*(VLOOKUP($B$5,标准坦克设计!$B$24:$U$30,MATCH("对"&amp;LEFT($C$5,2)&amp;"输出",标准坦克设计!$B$23:$U$23,0)))*(VLOOKUP($B147,INDIRECT($B$5&amp;"生成成长"),3))*(VLOOKUP($B$5,标准坦克设计!$B$14:$K$20,9)/30))</f>
        <v>26.237529188714795</v>
      </c>
      <c r="CN147" s="173">
        <f ca="1">(VLOOKUP(CN$72,INDIRECT($C$5&amp;"生成成长"),2))/((VLOOKUP($B147,INDIRECT($B$5&amp;"生成成长"),4))/(VLOOKUP(CN$72,INDIRECT($C$5&amp;"生成成长"),5))*(VLOOKUP($B$5,标准坦克设计!$B$24:$U$30,MATCH("对"&amp;LEFT($C$5,2)&amp;"输出",标准坦克设计!$B$23:$U$23,0)))*(VLOOKUP($B147,INDIRECT($B$5&amp;"生成成长"),3))*(VLOOKUP($B$5,标准坦克设计!$B$14:$K$20,9)/30))</f>
        <v>27.902997350107821</v>
      </c>
      <c r="CO147" s="173">
        <f ca="1">(VLOOKUP(CO$72,INDIRECT($C$5&amp;"生成成长"),2))/((VLOOKUP($B147,INDIRECT($B$5&amp;"生成成长"),4))/(VLOOKUP(CO$72,INDIRECT($C$5&amp;"生成成长"),5))*(VLOOKUP($B$5,标准坦克设计!$B$24:$U$30,MATCH("对"&amp;LEFT($C$5,2)&amp;"输出",标准坦克设计!$B$23:$U$23,0)))*(VLOOKUP($B147,INDIRECT($B$5&amp;"生成成长"),3))*(VLOOKUP($B$5,标准坦克设计!$B$14:$K$20,9)/30))</f>
        <v>12.504034260915059</v>
      </c>
      <c r="CP147" s="173">
        <f ca="1">(VLOOKUP(CP$72,INDIRECT($C$5&amp;"生成成长"),2))/((VLOOKUP($B147,INDIRECT($B$5&amp;"生成成长"),4))/(VLOOKUP(CP$72,INDIRECT($C$5&amp;"生成成长"),5))*(VLOOKUP($B$5,标准坦克设计!$B$24:$U$30,MATCH("对"&amp;LEFT($C$5,2)&amp;"输出",标准坦克设计!$B$23:$U$23,0)))*(VLOOKUP($B147,INDIRECT($B$5&amp;"生成成长"),3))*(VLOOKUP($B$5,标准坦克设计!$B$14:$K$20,9)/30))</f>
        <v>13.661709332540706</v>
      </c>
      <c r="CQ147" s="173">
        <f ca="1">(VLOOKUP(CQ$72,INDIRECT($C$5&amp;"生成成长"),2))/((VLOOKUP($B147,INDIRECT($B$5&amp;"生成成长"),4))/(VLOOKUP(CQ$72,INDIRECT($C$5&amp;"生成成长"),5))*(VLOOKUP($B$5,标准坦克设计!$B$24:$U$30,MATCH("对"&amp;LEFT($C$5,2)&amp;"输出",标准坦克设计!$B$23:$U$23,0)))*(VLOOKUP($B147,INDIRECT($B$5&amp;"生成成长"),3))*(VLOOKUP($B$5,标准坦克设计!$B$14:$K$20,9)/30))</f>
        <v>14.870629578363056</v>
      </c>
      <c r="CR147" s="173">
        <f ca="1">(VLOOKUP(CR$72,INDIRECT($C$5&amp;"生成成长"),2))/((VLOOKUP($B147,INDIRECT($B$5&amp;"生成成长"),4))/(VLOOKUP(CR$72,INDIRECT($C$5&amp;"生成成长"),5))*(VLOOKUP($B$5,标准坦克设计!$B$24:$U$30,MATCH("对"&amp;LEFT($C$5,2)&amp;"输出",标准坦克设计!$B$23:$U$23,0)))*(VLOOKUP($B147,INDIRECT($B$5&amp;"生成成长"),3))*(VLOOKUP($B$5,标准坦克设计!$B$14:$K$20,9)/30))</f>
        <v>16.130794998382122</v>
      </c>
      <c r="CS147" s="173">
        <f ca="1">(VLOOKUP(CS$72,INDIRECT($C$5&amp;"生成成长"),2))/((VLOOKUP($B147,INDIRECT($B$5&amp;"生成成长"),4))/(VLOOKUP(CS$72,INDIRECT($C$5&amp;"生成成长"),5))*(VLOOKUP($B$5,标准坦克设计!$B$24:$U$30,MATCH("对"&amp;LEFT($C$5,2)&amp;"输出",标准坦克设计!$B$23:$U$23,0)))*(VLOOKUP($B147,INDIRECT($B$5&amp;"生成成长"),3))*(VLOOKUP($B$5,标准坦克设计!$B$14:$K$20,9)/30))</f>
        <v>17.442205592597887</v>
      </c>
      <c r="CT147" s="173">
        <f ca="1">(VLOOKUP(CT$72,INDIRECT($C$5&amp;"生成成长"),2))/((VLOOKUP($B147,INDIRECT($B$5&amp;"生成成长"),4))/(VLOOKUP(CT$72,INDIRECT($C$5&amp;"生成成长"),5))*(VLOOKUP($B$5,标准坦克设计!$B$24:$U$30,MATCH("对"&amp;LEFT($C$5,2)&amp;"输出",标准坦克设计!$B$23:$U$23,0)))*(VLOOKUP($B147,INDIRECT($B$5&amp;"生成成长"),3))*(VLOOKUP($B$5,标准坦克设计!$B$14:$K$20,9)/30))</f>
        <v>18.80486136101036</v>
      </c>
      <c r="CU147" s="173">
        <f ca="1">(VLOOKUP(CU$72,INDIRECT($C$5&amp;"生成成长"),2))/((VLOOKUP($B147,INDIRECT($B$5&amp;"生成成长"),4))/(VLOOKUP(CU$72,INDIRECT($C$5&amp;"生成成长"),5))*(VLOOKUP($B$5,标准坦克设计!$B$24:$U$30,MATCH("对"&amp;LEFT($C$5,2)&amp;"输出",标准坦克设计!$B$23:$U$23,0)))*(VLOOKUP($B147,INDIRECT($B$5&amp;"生成成长"),3))*(VLOOKUP($B$5,标准坦克设计!$B$14:$K$20,9)/30))</f>
        <v>20.218762303619553</v>
      </c>
      <c r="CV147" s="173">
        <f ca="1">(VLOOKUP(CV$72,INDIRECT($C$5&amp;"生成成长"),2))/((VLOOKUP($B147,INDIRECT($B$5&amp;"生成成长"),4))/(VLOOKUP(CV$72,INDIRECT($C$5&amp;"生成成长"),5))*(VLOOKUP($B$5,标准坦克设计!$B$24:$U$30,MATCH("对"&amp;LEFT($C$5,2)&amp;"输出",标准坦克设计!$B$23:$U$23,0)))*(VLOOKUP($B147,INDIRECT($B$5&amp;"生成成长"),3))*(VLOOKUP($B$5,标准坦克设计!$B$14:$K$20,9)/30))</f>
        <v>21.683908420425446</v>
      </c>
      <c r="CW147" s="173">
        <f ca="1">(VLOOKUP(CW$72,INDIRECT($C$5&amp;"生成成长"),2))/((VLOOKUP($B147,INDIRECT($B$5&amp;"生成成长"),4))/(VLOOKUP(CW$72,INDIRECT($C$5&amp;"生成成长"),5))*(VLOOKUP($B$5,标准坦克设计!$B$24:$U$30,MATCH("对"&amp;LEFT($C$5,2)&amp;"输出",标准坦克设计!$B$23:$U$23,0)))*(VLOOKUP($B147,INDIRECT($B$5&amp;"生成成长"),3))*(VLOOKUP($B$5,标准坦克设计!$B$14:$K$20,9)/30))</f>
        <v>23.200299711428052</v>
      </c>
      <c r="CX147" s="173">
        <f ca="1">(VLOOKUP(CX$72,INDIRECT($C$5&amp;"生成成长"),2))/((VLOOKUP($B147,INDIRECT($B$5&amp;"生成成长"),4))/(VLOOKUP(CX$72,INDIRECT($C$5&amp;"生成成长"),5))*(VLOOKUP($B$5,标准坦克设计!$B$24:$U$30,MATCH("对"&amp;LEFT($C$5,2)&amp;"输出",标准坦克设计!$B$23:$U$23,0)))*(VLOOKUP($B147,INDIRECT($B$5&amp;"生成成长"),3))*(VLOOKUP($B$5,标准坦克设计!$B$14:$K$20,9)/30))</f>
        <v>24.767936176627359</v>
      </c>
      <c r="CY147" s="173">
        <f ca="1">(VLOOKUP(CY$72,INDIRECT($C$5&amp;"生成成长"),2))/((VLOOKUP($B147,INDIRECT($B$5&amp;"生成成长"),4))/(VLOOKUP(CY$72,INDIRECT($C$5&amp;"生成成长"),5))*(VLOOKUP($B$5,标准坦克设计!$B$24:$U$30,MATCH("对"&amp;LEFT($C$5,2)&amp;"输出",标准坦克设计!$B$23:$U$23,0)))*(VLOOKUP($B147,INDIRECT($B$5&amp;"生成成长"),3))*(VLOOKUP($B$5,标准坦克设计!$B$14:$K$20,9)/30))</f>
        <v>26.386817816023381</v>
      </c>
      <c r="CZ147" s="173">
        <f ca="1">(VLOOKUP(CZ$72,INDIRECT($C$5&amp;"生成成长"),2))/((VLOOKUP($B147,INDIRECT($B$5&amp;"生成成长"),4))/(VLOOKUP(CZ$72,INDIRECT($C$5&amp;"生成成长"),5))*(VLOOKUP($B$5,标准坦克设计!$B$24:$U$30,MATCH("对"&amp;LEFT($C$5,2)&amp;"输出",标准坦克设计!$B$23:$U$23,0)))*(VLOOKUP($B147,INDIRECT($B$5&amp;"生成成长"),3))*(VLOOKUP($B$5,标准坦克设计!$B$14:$K$20,9)/30))</f>
        <v>28.056944629616112</v>
      </c>
      <c r="DA147" s="173">
        <f ca="1">(VLOOKUP(DA$72,INDIRECT($C$5&amp;"生成成长"),2))/((VLOOKUP($B147,INDIRECT($B$5&amp;"生成成长"),4))/(VLOOKUP(DA$72,INDIRECT($C$5&amp;"生成成长"),5))*(VLOOKUP($B$5,标准坦克设计!$B$24:$U$30,MATCH("对"&amp;LEFT($C$5,2)&amp;"输出",标准坦克设计!$B$23:$U$23,0)))*(VLOOKUP($B147,INDIRECT($B$5&amp;"生成成长"),3))*(VLOOKUP($B$5,标准坦克设计!$B$14:$K$20,9)/30))</f>
        <v>29.778316617405547</v>
      </c>
      <c r="DB147" s="173">
        <f ca="1">(VLOOKUP(DB$72,INDIRECT($C$5&amp;"生成成长"),2))/((VLOOKUP($B147,INDIRECT($B$5&amp;"生成成长"),4))/(VLOOKUP(DB$72,INDIRECT($C$5&amp;"生成成长"),5))*(VLOOKUP($B$5,标准坦克设计!$B$24:$U$30,MATCH("对"&amp;LEFT($C$5,2)&amp;"输出",标准坦克设计!$B$23:$U$23,0)))*(VLOOKUP($B147,INDIRECT($B$5&amp;"生成成长"),3))*(VLOOKUP($B$5,标准坦克设计!$B$14:$K$20,9)/30))</f>
        <v>31.550933779391698</v>
      </c>
      <c r="DC147" s="173">
        <f ca="1">(VLOOKUP(DC$72,INDIRECT($C$5&amp;"生成成长"),2))/((VLOOKUP($B147,INDIRECT($B$5&amp;"生成成长"),4))/(VLOOKUP(DC$72,INDIRECT($C$5&amp;"生成成长"),5))*(VLOOKUP($B$5,标准坦克设计!$B$24:$U$30,MATCH("对"&amp;LEFT($C$5,2)&amp;"输出",标准坦克设计!$B$23:$U$23,0)))*(VLOOKUP($B147,INDIRECT($B$5&amp;"生成成长"),3))*(VLOOKUP($B$5,标准坦克设计!$B$14:$K$20,9)/30))</f>
        <v>33.543142865518284</v>
      </c>
      <c r="DD147" s="173">
        <f ca="1">(VLOOKUP(DD$72,INDIRECT($C$5&amp;"生成成长"),2))/((VLOOKUP($B147,INDIRECT($B$5&amp;"生成成长"),4))/(VLOOKUP(DD$72,INDIRECT($C$5&amp;"生成成长"),5))*(VLOOKUP($B$5,标准坦克设计!$B$24:$U$30,MATCH("对"&amp;LEFT($C$5,2)&amp;"输出",标准坦克设计!$B$23:$U$23,0)))*(VLOOKUP($B147,INDIRECT($B$5&amp;"生成成长"),3))*(VLOOKUP($B$5,标准坦克设计!$B$14:$K$20,9)/30))</f>
        <v>35.59633794407732</v>
      </c>
      <c r="DE147" s="173">
        <f ca="1">(VLOOKUP(DE$72,INDIRECT($C$5&amp;"生成成长"),2))/((VLOOKUP($B147,INDIRECT($B$5&amp;"生成成长"),4))/(VLOOKUP(DE$72,INDIRECT($C$5&amp;"生成成长"),5))*(VLOOKUP($B$5,标准坦克设计!$B$24:$U$30,MATCH("对"&amp;LEFT($C$5,2)&amp;"输出",标准坦克设计!$B$23:$U$23,0)))*(VLOOKUP($B147,INDIRECT($B$5&amp;"生成成长"),3))*(VLOOKUP($B$5,标准坦克设计!$B$14:$K$20,9)/30))</f>
        <v>37.710519015068805</v>
      </c>
      <c r="DF147" s="173">
        <f ca="1">(VLOOKUP(DF$72,INDIRECT($C$5&amp;"生成成长"),2))/((VLOOKUP($B147,INDIRECT($B$5&amp;"生成成长"),4))/(VLOOKUP(DF$72,INDIRECT($C$5&amp;"生成成长"),5))*(VLOOKUP($B$5,标准坦克设计!$B$24:$U$30,MATCH("对"&amp;LEFT($C$5,2)&amp;"输出",标准坦克设计!$B$23:$U$23,0)))*(VLOOKUP($B147,INDIRECT($B$5&amp;"生成成长"),3))*(VLOOKUP($B$5,标准坦克设计!$B$14:$K$20,9)/30))</f>
        <v>39.885686078492725</v>
      </c>
      <c r="DG147" s="173">
        <f ca="1">(VLOOKUP(DG$72,INDIRECT($C$5&amp;"生成成长"),2))/((VLOOKUP($B147,INDIRECT($B$5&amp;"生成成长"),4))/(VLOOKUP(DG$72,INDIRECT($C$5&amp;"生成成长"),5))*(VLOOKUP($B$5,标准坦克设计!$B$24:$U$30,MATCH("对"&amp;LEFT($C$5,2)&amp;"输出",标准坦克设计!$B$23:$U$23,0)))*(VLOOKUP($B147,INDIRECT($B$5&amp;"生成成长"),3))*(VLOOKUP($B$5,标准坦克设计!$B$14:$K$20,9)/30))</f>
        <v>42.121839134349102</v>
      </c>
      <c r="DH147" s="173">
        <f ca="1">(VLOOKUP(DH$72,INDIRECT($C$5&amp;"生成成长"),2))/((VLOOKUP($B147,INDIRECT($B$5&amp;"生成成长"),4))/(VLOOKUP(DH$72,INDIRECT($C$5&amp;"生成成长"),5))*(VLOOKUP($B$5,标准坦克设计!$B$24:$U$30,MATCH("对"&amp;LEFT($C$5,2)&amp;"输出",标准坦克设计!$B$23:$U$23,0)))*(VLOOKUP($B147,INDIRECT($B$5&amp;"生成成长"),3))*(VLOOKUP($B$5,标准坦克设计!$B$14:$K$20,9)/30))</f>
        <v>44.418978182637929</v>
      </c>
      <c r="DI147" s="173">
        <f ca="1">(VLOOKUP(DI$72,INDIRECT($C$5&amp;"生成成长"),2))/((VLOOKUP($B147,INDIRECT($B$5&amp;"生成成长"),4))/(VLOOKUP(DI$72,INDIRECT($C$5&amp;"生成成长"),5))*(VLOOKUP($B$5,标准坦克设计!$B$24:$U$30,MATCH("对"&amp;LEFT($C$5,2)&amp;"输出",标准坦克设计!$B$23:$U$23,0)))*(VLOOKUP($B147,INDIRECT($B$5&amp;"生成成长"),3))*(VLOOKUP($B$5,标准坦克设计!$B$14:$K$20,9)/30))</f>
        <v>46.777103223359184</v>
      </c>
      <c r="DJ147" s="173">
        <f ca="1">(VLOOKUP(DJ$72,INDIRECT($C$5&amp;"生成成长"),2))/((VLOOKUP($B147,INDIRECT($B$5&amp;"生成成长"),4))/(VLOOKUP(DJ$72,INDIRECT($C$5&amp;"生成成长"),5))*(VLOOKUP($B$5,标准坦克设计!$B$24:$U$30,MATCH("对"&amp;LEFT($C$5,2)&amp;"输出",标准坦克设计!$B$23:$U$23,0)))*(VLOOKUP($B147,INDIRECT($B$5&amp;"生成成长"),3))*(VLOOKUP($B$5,标准坦克设计!$B$14:$K$20,9)/30))</f>
        <v>4.70121534025259</v>
      </c>
      <c r="DK147" s="173">
        <f ca="1">(VLOOKUP(DK$72,INDIRECT($C$5&amp;"生成成长"),2))/((VLOOKUP($B147,INDIRECT($B$5&amp;"生成成长"),4))/(VLOOKUP(DK$72,INDIRECT($C$5&amp;"生成成长"),5))*(VLOOKUP($B$5,标准坦克设计!$B$24:$U$30,MATCH("对"&amp;LEFT($C$5,2)&amp;"输出",标准坦克设计!$B$23:$U$23,0)))*(VLOOKUP($B147,INDIRECT($B$5&amp;"生成成长"),3))*(VLOOKUP($B$5,标准坦克设计!$B$14:$K$20,9)/30))</f>
        <v>5.2862997051513752</v>
      </c>
      <c r="DL147" s="173">
        <f ca="1">(VLOOKUP(DL$72,INDIRECT($C$5&amp;"生成成长"),2))/((VLOOKUP($B147,INDIRECT($B$5&amp;"生成成长"),4))/(VLOOKUP(DL$72,INDIRECT($C$5&amp;"生成成长"),5))*(VLOOKUP($B$5,标准坦克设计!$B$24:$U$30,MATCH("对"&amp;LEFT($C$5,2)&amp;"输出",标准坦克设计!$B$23:$U$23,0)))*(VLOOKUP($B147,INDIRECT($B$5&amp;"生成成长"),3))*(VLOOKUP($B$5,标准坦克设计!$B$14:$K$20,9)/30))</f>
        <v>5.9056886907934114</v>
      </c>
      <c r="DM147" s="173">
        <f ca="1">(VLOOKUP(DM$72,INDIRECT($C$5&amp;"生成成长"),2))/((VLOOKUP($B147,INDIRECT($B$5&amp;"生成成长"),4))/(VLOOKUP(DM$72,INDIRECT($C$5&amp;"生成成长"),5))*(VLOOKUP($B$5,标准坦克设计!$B$24:$U$30,MATCH("对"&amp;LEFT($C$5,2)&amp;"输出",标准坦克设计!$B$23:$U$23,0)))*(VLOOKUP($B147,INDIRECT($B$5&amp;"生成成长"),3))*(VLOOKUP($B$5,标准坦克设计!$B$14:$K$20,9)/30))</f>
        <v>6.5593822971786988</v>
      </c>
      <c r="DN147" s="173">
        <f ca="1">(VLOOKUP(DN$72,INDIRECT($C$5&amp;"生成成长"),2))/((VLOOKUP($B147,INDIRECT($B$5&amp;"生成成长"),4))/(VLOOKUP(DN$72,INDIRECT($C$5&amp;"生成成长"),5))*(VLOOKUP($B$5,标准坦克设计!$B$24:$U$30,MATCH("对"&amp;LEFT($C$5,2)&amp;"输出",标准坦克设计!$B$23:$U$23,0)))*(VLOOKUP($B147,INDIRECT($B$5&amp;"生成成长"),3))*(VLOOKUP($B$5,标准坦克设计!$B$14:$K$20,9)/30))</f>
        <v>7.2473805243072364</v>
      </c>
      <c r="DO147" s="173">
        <f ca="1">(VLOOKUP(DO$72,INDIRECT($C$5&amp;"生成成长"),2))/((VLOOKUP($B147,INDIRECT($B$5&amp;"生成成长"),4))/(VLOOKUP(DO$72,INDIRECT($C$5&amp;"生成成长"),5))*(VLOOKUP($B$5,标准坦克设计!$B$24:$U$30,MATCH("对"&amp;LEFT($C$5,2)&amp;"输出",标准坦克设计!$B$23:$U$23,0)))*(VLOOKUP($B147,INDIRECT($B$5&amp;"生成成长"),3))*(VLOOKUP($B$5,标准坦克设计!$B$14:$K$20,9)/30))</f>
        <v>7.9696833721790243</v>
      </c>
      <c r="DP147" s="173">
        <f ca="1">(VLOOKUP(DP$72,INDIRECT($C$5&amp;"生成成长"),2))/((VLOOKUP($B147,INDIRECT($B$5&amp;"生成成长"),4))/(VLOOKUP(DP$72,INDIRECT($C$5&amp;"生成成长"),5))*(VLOOKUP($B$5,标准坦克设计!$B$24:$U$30,MATCH("对"&amp;LEFT($C$5,2)&amp;"输出",标准坦克设计!$B$23:$U$23,0)))*(VLOOKUP($B147,INDIRECT($B$5&amp;"生成成长"),3))*(VLOOKUP($B$5,标准坦克设计!$B$14:$K$20,9)/30))</f>
        <v>8.7262908407940643</v>
      </c>
      <c r="DQ147" s="173">
        <f ca="1">(VLOOKUP(DQ$72,INDIRECT($C$5&amp;"生成成长"),2))/((VLOOKUP($B147,INDIRECT($B$5&amp;"生成成长"),4))/(VLOOKUP(DQ$72,INDIRECT($C$5&amp;"生成成长"),5))*(VLOOKUP($B$5,标准坦克设计!$B$24:$U$30,MATCH("对"&amp;LEFT($C$5,2)&amp;"输出",标准坦克设计!$B$23:$U$23,0)))*(VLOOKUP($B147,INDIRECT($B$5&amp;"生成成长"),3))*(VLOOKUP($B$5,标准坦克设计!$B$14:$K$20,9)/30))</f>
        <v>9.5172029301523562</v>
      </c>
      <c r="DR147" s="173">
        <f ca="1">(VLOOKUP(DR$72,INDIRECT($C$5&amp;"生成成长"),2))/((VLOOKUP($B147,INDIRECT($B$5&amp;"生成成长"),4))/(VLOOKUP(DR$72,INDIRECT($C$5&amp;"生成成长"),5))*(VLOOKUP($B$5,标准坦克设计!$B$24:$U$30,MATCH("对"&amp;LEFT($C$5,2)&amp;"输出",标准坦克设计!$B$23:$U$23,0)))*(VLOOKUP($B147,INDIRECT($B$5&amp;"生成成长"),3))*(VLOOKUP($B$5,标准坦克设计!$B$14:$K$20,9)/30))</f>
        <v>10.342419640253899</v>
      </c>
      <c r="DS147" s="173">
        <f ca="1">(VLOOKUP(DS$72,INDIRECT($C$5&amp;"生成成长"),2))/((VLOOKUP($B147,INDIRECT($B$5&amp;"生成成长"),4))/(VLOOKUP(DS$72,INDIRECT($C$5&amp;"生成成长"),5))*(VLOOKUP($B$5,标准坦克设计!$B$24:$U$30,MATCH("对"&amp;LEFT($C$5,2)&amp;"输出",标准坦克设计!$B$23:$U$23,0)))*(VLOOKUP($B147,INDIRECT($B$5&amp;"生成成长"),3))*(VLOOKUP($B$5,标准坦克设计!$B$14:$K$20,9)/30))</f>
        <v>11.201940971098692</v>
      </c>
      <c r="DT147" s="173">
        <f ca="1">(VLOOKUP(DT$72,INDIRECT($C$5&amp;"生成成长"),2))/((VLOOKUP($B147,INDIRECT($B$5&amp;"生成成长"),4))/(VLOOKUP(DT$72,INDIRECT($C$5&amp;"生成成长"),5))*(VLOOKUP($B$5,标准坦克设计!$B$24:$U$30,MATCH("对"&amp;LEFT($C$5,2)&amp;"输出",标准坦克设计!$B$23:$U$23,0)))*(VLOOKUP($B147,INDIRECT($B$5&amp;"生成成长"),3))*(VLOOKUP($B$5,标准坦克设计!$B$14:$K$20,9)/30))</f>
        <v>12.299053564128227</v>
      </c>
      <c r="DU147" s="173">
        <f ca="1">(VLOOKUP(DU$72,INDIRECT($C$5&amp;"生成成长"),2))/((VLOOKUP($B147,INDIRECT($B$5&amp;"生成成长"),4))/(VLOOKUP(DU$72,INDIRECT($C$5&amp;"生成成长"),5))*(VLOOKUP($B$5,标准坦克设计!$B$24:$U$30,MATCH("对"&amp;LEFT($C$5,2)&amp;"输出",标准坦克设计!$B$23:$U$23,0)))*(VLOOKUP($B147,INDIRECT($B$5&amp;"生成成长"),3))*(VLOOKUP($B$5,标准坦克设计!$B$14:$K$20,9)/30))</f>
        <v>13.447411331354468</v>
      </c>
      <c r="DV147" s="173">
        <f ca="1">(VLOOKUP(DV$72,INDIRECT($C$5&amp;"生成成长"),2))/((VLOOKUP($B147,INDIRECT($B$5&amp;"生成成长"),4))/(VLOOKUP(DV$72,INDIRECT($C$5&amp;"生成成长"),5))*(VLOOKUP($B$5,标准坦克设计!$B$24:$U$30,MATCH("对"&amp;LEFT($C$5,2)&amp;"输出",标准坦克设计!$B$23:$U$23,0)))*(VLOOKUP($B147,INDIRECT($B$5&amp;"生成成长"),3))*(VLOOKUP($B$5,标准坦克设计!$B$14:$K$20,9)/30))</f>
        <v>14.647014272777421</v>
      </c>
      <c r="DW147" s="173">
        <f ca="1">(VLOOKUP(DW$72,INDIRECT($C$5&amp;"生成成长"),2))/((VLOOKUP($B147,INDIRECT($B$5&amp;"生成成长"),4))/(VLOOKUP(DW$72,INDIRECT($C$5&amp;"生成成长"),5))*(VLOOKUP($B$5,标准坦克设计!$B$24:$U$30,MATCH("对"&amp;LEFT($C$5,2)&amp;"输出",标准坦克设计!$B$23:$U$23,0)))*(VLOOKUP($B147,INDIRECT($B$5&amp;"生成成长"),3))*(VLOOKUP($B$5,标准坦克设计!$B$14:$K$20,9)/30))</f>
        <v>15.897862388397076</v>
      </c>
      <c r="DX147" s="173">
        <f ca="1">(VLOOKUP(DX$72,INDIRECT($C$5&amp;"生成成长"),2))/((VLOOKUP($B147,INDIRECT($B$5&amp;"生成成长"),4))/(VLOOKUP(DX$72,INDIRECT($C$5&amp;"生成成长"),5))*(VLOOKUP($B$5,标准坦克设计!$B$24:$U$30,MATCH("对"&amp;LEFT($C$5,2)&amp;"输出",标准坦克设计!$B$23:$U$23,0)))*(VLOOKUP($B147,INDIRECT($B$5&amp;"生成成长"),3))*(VLOOKUP($B$5,标准坦克设计!$B$14:$K$20,9)/30))</f>
        <v>17.199955678213446</v>
      </c>
      <c r="DY147" s="173">
        <f ca="1">(VLOOKUP(DY$72,INDIRECT($C$5&amp;"生成成长"),2))/((VLOOKUP($B147,INDIRECT($B$5&amp;"生成成长"),4))/(VLOOKUP(DY$72,INDIRECT($C$5&amp;"生成成长"),5))*(VLOOKUP($B$5,标准坦克设计!$B$24:$U$30,MATCH("对"&amp;LEFT($C$5,2)&amp;"输出",标准坦克设计!$B$23:$U$23,0)))*(VLOOKUP($B147,INDIRECT($B$5&amp;"生成成长"),3))*(VLOOKUP($B$5,标准坦克设计!$B$14:$K$20,9)/30))</f>
        <v>7.7251041316947324</v>
      </c>
      <c r="DZ147" s="173">
        <f ca="1">(VLOOKUP(DZ$72,INDIRECT($C$5&amp;"生成成长"),2))/((VLOOKUP($B147,INDIRECT($B$5&amp;"生成成长"),4))/(VLOOKUP(DZ$72,INDIRECT($C$5&amp;"生成成长"),5))*(VLOOKUP($B$5,标准坦克设计!$B$24:$U$30,MATCH("对"&amp;LEFT($C$5,2)&amp;"输出",标准坦克设计!$B$23:$U$23,0)))*(VLOOKUP($B147,INDIRECT($B$5&amp;"生成成长"),3))*(VLOOKUP($B$5,标准坦克设计!$B$14:$K$20,9)/30))</f>
        <v>8.5551912509141435</v>
      </c>
      <c r="EA147" s="173">
        <f ca="1">(VLOOKUP(EA$72,INDIRECT($C$5&amp;"生成成长"),2))/((VLOOKUP($B147,INDIRECT($B$5&amp;"生成成长"),4))/(VLOOKUP(EA$72,INDIRECT($C$5&amp;"生成成长"),5))*(VLOOKUP($B$5,标准坦克设计!$B$24:$U$30,MATCH("对"&amp;LEFT($C$5,2)&amp;"输出",标准坦克设计!$B$23:$U$23,0)))*(VLOOKUP($B147,INDIRECT($B$5&amp;"生成成长"),3))*(VLOOKUP($B$5,标准坦克设计!$B$14:$K$20,9)/30))</f>
        <v>9.4276297537672011</v>
      </c>
      <c r="EB147" s="173">
        <f ca="1">(VLOOKUP(EB$72,INDIRECT($C$5&amp;"生成成长"),2))/((VLOOKUP($B147,INDIRECT($B$5&amp;"生成成长"),4))/(VLOOKUP(EB$72,INDIRECT($C$5&amp;"生成成长"),5))*(VLOOKUP($B$5,标准坦克设计!$B$24:$U$30,MATCH("对"&amp;LEFT($C$5,2)&amp;"输出",标准坦克设计!$B$23:$U$23,0)))*(VLOOKUP($B147,INDIRECT($B$5&amp;"生成成长"),3))*(VLOOKUP($B$5,标准坦克设计!$B$14:$K$20,9)/30))</f>
        <v>10.342419640253899</v>
      </c>
      <c r="EC147" s="173">
        <f ca="1">(VLOOKUP(EC$72,INDIRECT($C$5&amp;"生成成长"),2))/((VLOOKUP($B147,INDIRECT($B$5&amp;"生成成长"),4))/(VLOOKUP(EC$72,INDIRECT($C$5&amp;"生成成长"),5))*(VLOOKUP($B$5,标准坦克设计!$B$24:$U$30,MATCH("对"&amp;LEFT($C$5,2)&amp;"输出",标准坦克设计!$B$23:$U$23,0)))*(VLOOKUP($B147,INDIRECT($B$5&amp;"生成成长"),3))*(VLOOKUP($B$5,标准坦克设计!$B$14:$K$20,9)/30))</f>
        <v>11.299560910374241</v>
      </c>
      <c r="ED147" s="173">
        <f ca="1">(VLOOKUP(ED$72,INDIRECT($C$5&amp;"生成成长"),2))/((VLOOKUP($B147,INDIRECT($B$5&amp;"生成成长"),4))/(VLOOKUP(ED$72,INDIRECT($C$5&amp;"生成成长"),5))*(VLOOKUP($B$5,标准坦克设计!$B$24:$U$30,MATCH("对"&amp;LEFT($C$5,2)&amp;"输出",标准坦克设计!$B$23:$U$23,0)))*(VLOOKUP($B147,INDIRECT($B$5&amp;"生成成长"),3))*(VLOOKUP($B$5,标准坦克设计!$B$14:$K$20,9)/30))</f>
        <v>12.299053564128227</v>
      </c>
      <c r="EE147" s="173">
        <f ca="1">(VLOOKUP(EE$72,INDIRECT($C$5&amp;"生成成长"),2))/((VLOOKUP($B147,INDIRECT($B$5&amp;"生成成长"),4))/(VLOOKUP(EE$72,INDIRECT($C$5&amp;"生成成长"),5))*(VLOOKUP($B$5,标准坦克设计!$B$24:$U$30,MATCH("对"&amp;LEFT($C$5,2)&amp;"输出",标准坦克设计!$B$23:$U$23,0)))*(VLOOKUP($B147,INDIRECT($B$5&amp;"生成成长"),3))*(VLOOKUP($B$5,标准坦克设计!$B$14:$K$20,9)/30))</f>
        <v>13.340897601515856</v>
      </c>
      <c r="EF147" s="173">
        <f ca="1">(VLOOKUP(EF$72,INDIRECT($C$5&amp;"生成成长"),2))/((VLOOKUP($B147,INDIRECT($B$5&amp;"生成成长"),4))/(VLOOKUP(EF$72,INDIRECT($C$5&amp;"生成成长"),5))*(VLOOKUP($B$5,标准坦克设计!$B$24:$U$30,MATCH("对"&amp;LEFT($C$5,2)&amp;"输出",标准坦克设计!$B$23:$U$23,0)))*(VLOOKUP($B147,INDIRECT($B$5&amp;"生成成长"),3))*(VLOOKUP($B$5,标准坦克设计!$B$14:$K$20,9)/30))</f>
        <v>14.425093022537126</v>
      </c>
      <c r="EG147" s="173">
        <f ca="1">(VLOOKUP(EG$72,INDIRECT($C$5&amp;"生成成长"),2))/((VLOOKUP($B147,INDIRECT($B$5&amp;"生成成长"),4))/(VLOOKUP(EG$72,INDIRECT($C$5&amp;"生成成长"),5))*(VLOOKUP($B$5,标准坦克设计!$B$24:$U$30,MATCH("对"&amp;LEFT($C$5,2)&amp;"输出",标准坦克设计!$B$23:$U$23,0)))*(VLOOKUP($B147,INDIRECT($B$5&amp;"生成成长"),3))*(VLOOKUP($B$5,标准坦克设计!$B$14:$K$20,9)/30))</f>
        <v>15.551639827192043</v>
      </c>
      <c r="EH147" s="173">
        <f ca="1">(VLOOKUP(EH$72,INDIRECT($C$5&amp;"生成成长"),2))/((VLOOKUP($B147,INDIRECT($B$5&amp;"生成成长"),4))/(VLOOKUP(EH$72,INDIRECT($C$5&amp;"生成成长"),5))*(VLOOKUP($B$5,标准坦克设计!$B$24:$U$30,MATCH("对"&amp;LEFT($C$5,2)&amp;"输出",标准坦克设计!$B$23:$U$23,0)))*(VLOOKUP($B147,INDIRECT($B$5&amp;"生成成长"),3))*(VLOOKUP($B$5,标准坦克设计!$B$14:$K$20,9)/30))</f>
        <v>16.720538015480603</v>
      </c>
      <c r="EI147" s="173">
        <f ca="1">(VLOOKUP(EI$72,INDIRECT($C$5&amp;"生成成长"),2))/((VLOOKUP($B147,INDIRECT($B$5&amp;"生成成长"),4))/(VLOOKUP(EI$72,INDIRECT($C$5&amp;"生成成长"),5))*(VLOOKUP($B$5,标准坦克设计!$B$24:$U$30,MATCH("对"&amp;LEFT($C$5,2)&amp;"输出",标准坦克设计!$B$23:$U$23,0)))*(VLOOKUP($B147,INDIRECT($B$5&amp;"生成成长"),3))*(VLOOKUP($B$5,标准坦克设计!$B$14:$K$20,9)/30))</f>
        <v>17.931787587402805</v>
      </c>
      <c r="EJ147" s="173">
        <f ca="1">(VLOOKUP(EJ$72,INDIRECT($C$5&amp;"生成成长"),2))/((VLOOKUP($B147,INDIRECT($B$5&amp;"生成成长"),4))/(VLOOKUP(EJ$72,INDIRECT($C$5&amp;"生成成长"),5))*(VLOOKUP($B$5,标准坦克设计!$B$24:$U$30,MATCH("对"&amp;LEFT($C$5,2)&amp;"输出",标准坦克设计!$B$23:$U$23,0)))*(VLOOKUP($B147,INDIRECT($B$5&amp;"生成成长"),3))*(VLOOKUP($B$5,标准坦克设计!$B$14:$K$20,9)/30))</f>
        <v>19.185388542958652</v>
      </c>
      <c r="EK147" s="173">
        <f ca="1">(VLOOKUP(EK$72,INDIRECT($C$5&amp;"生成成长"),2))/((VLOOKUP($B147,INDIRECT($B$5&amp;"生成成长"),4))/(VLOOKUP(EK$72,INDIRECT($C$5&amp;"生成成长"),5))*(VLOOKUP($B$5,标准坦克设计!$B$24:$U$30,MATCH("对"&amp;LEFT($C$5,2)&amp;"输出",标准坦克设计!$B$23:$U$23,0)))*(VLOOKUP($B147,INDIRECT($B$5&amp;"生成成长"),3))*(VLOOKUP($B$5,标准坦克设计!$B$14:$K$20,9)/30))</f>
        <v>20.745613516022075</v>
      </c>
      <c r="EL147" s="173">
        <f ca="1">(VLOOKUP(EL$72,INDIRECT($C$5&amp;"生成成长"),2))/((VLOOKUP($B147,INDIRECT($B$5&amp;"生成成长"),4))/(VLOOKUP(EL$72,INDIRECT($C$5&amp;"生成成长"),5))*(VLOOKUP($B$5,标准坦克设计!$B$24:$U$30,MATCH("对"&amp;LEFT($C$5,2)&amp;"输出",标准坦克设计!$B$23:$U$23,0)))*(VLOOKUP($B147,INDIRECT($B$5&amp;"生成成长"),3))*(VLOOKUP($B$5,标准坦克设计!$B$14:$K$20,9)/30))</f>
        <v>22.366824481517948</v>
      </c>
      <c r="EM147" s="173">
        <f ca="1">(VLOOKUP(EM$72,INDIRECT($C$5&amp;"生成成长"),2))/((VLOOKUP($B147,INDIRECT($B$5&amp;"生成成长"),4))/(VLOOKUP(EM$72,INDIRECT($C$5&amp;"生成成长"),5))*(VLOOKUP($B$5,标准坦克设计!$B$24:$U$30,MATCH("对"&amp;LEFT($C$5,2)&amp;"输出",标准坦克设计!$B$23:$U$23,0)))*(VLOOKUP($B147,INDIRECT($B$5&amp;"生成成长"),3))*(VLOOKUP($B$5,标准坦克设计!$B$14:$K$20,9)/30))</f>
        <v>24.049021439446268</v>
      </c>
      <c r="EN147" s="173">
        <f ca="1">(VLOOKUP(EN$72,INDIRECT($C$5&amp;"生成成长"),2))/((VLOOKUP($B147,INDIRECT($B$5&amp;"生成成长"),4))/(VLOOKUP(EN$72,INDIRECT($C$5&amp;"生成成长"),5))*(VLOOKUP($B$5,标准坦克设计!$B$24:$U$30,MATCH("对"&amp;LEFT($C$5,2)&amp;"输出",标准坦克设计!$B$23:$U$23,0)))*(VLOOKUP($B147,INDIRECT($B$5&amp;"生成成长"),3))*(VLOOKUP($B$5,标准坦克设计!$B$14:$K$20,9)/30))</f>
        <v>25.792204389807026</v>
      </c>
      <c r="EO147" s="173">
        <f ca="1">(VLOOKUP(EO$72,INDIRECT($C$5&amp;"生成成长"),2))/((VLOOKUP($B147,INDIRECT($B$5&amp;"生成成长"),4))/(VLOOKUP(EO$72,INDIRECT($C$5&amp;"生成成长"),5))*(VLOOKUP($B$5,标准坦克设计!$B$24:$U$30,MATCH("对"&amp;LEFT($C$5,2)&amp;"输出",标准坦克设计!$B$23:$U$23,0)))*(VLOOKUP($B147,INDIRECT($B$5&amp;"生成成长"),3))*(VLOOKUP($B$5,标准坦克设计!$B$14:$K$20,9)/30))</f>
        <v>27.596373332600244</v>
      </c>
      <c r="EP147" s="173">
        <f ca="1">(VLOOKUP(EP$72,INDIRECT($C$5&amp;"生成成长"),2))/((VLOOKUP($B147,INDIRECT($B$5&amp;"生成成长"),4))/(VLOOKUP(EP$72,INDIRECT($C$5&amp;"生成成长"),5))*(VLOOKUP($B$5,标准坦克设计!$B$24:$U$30,MATCH("对"&amp;LEFT($C$5,2)&amp;"输出",标准坦克设计!$B$23:$U$23,0)))*(VLOOKUP($B147,INDIRECT($B$5&amp;"生成成长"),3))*(VLOOKUP($B$5,标准坦克设计!$B$14:$K$20,9)/30))</f>
        <v>29.461528267825894</v>
      </c>
      <c r="EQ147" s="173">
        <f ca="1">(VLOOKUP(EQ$72,INDIRECT($C$5&amp;"生成成长"),2))/((VLOOKUP($B147,INDIRECT($B$5&amp;"生成成长"),4))/(VLOOKUP(EQ$72,INDIRECT($C$5&amp;"生成成长"),5))*(VLOOKUP($B$5,标准坦克设计!$B$24:$U$30,MATCH("对"&amp;LEFT($C$5,2)&amp;"输出",标准坦克设计!$B$23:$U$23,0)))*(VLOOKUP($B147,INDIRECT($B$5&amp;"生成成长"),3))*(VLOOKUP($B$5,标准坦克设计!$B$14:$K$20,9)/30))</f>
        <v>13.023897495018034</v>
      </c>
      <c r="ER147" s="173">
        <f ca="1">(VLOOKUP(ER$72,INDIRECT($C$5&amp;"生成成长"),2))/((VLOOKUP($B147,INDIRECT($B$5&amp;"生成成长"),4))/(VLOOKUP(ER$72,INDIRECT($C$5&amp;"生成成长"),5))*(VLOOKUP($B$5,标准坦克设计!$B$24:$U$30,MATCH("对"&amp;LEFT($C$5,2)&amp;"输出",标准坦克设计!$B$23:$U$23,0)))*(VLOOKUP($B147,INDIRECT($B$5&amp;"生成成长"),3))*(VLOOKUP($B$5,标准坦克设计!$B$14:$K$20,9)/30))</f>
        <v>14.204865827642182</v>
      </c>
      <c r="ES147" s="173">
        <f ca="1">(VLOOKUP(ES$72,INDIRECT($C$5&amp;"生成成长"),2))/((VLOOKUP($B147,INDIRECT($B$5&amp;"生成成长"),4))/(VLOOKUP(ES$72,INDIRECT($C$5&amp;"生成成长"),5))*(VLOOKUP($B$5,标准坦克设计!$B$24:$U$30,MATCH("对"&amp;LEFT($C$5,2)&amp;"输出",标准坦克设计!$B$23:$U$23,0)))*(VLOOKUP($B147,INDIRECT($B$5&amp;"生成成长"),3))*(VLOOKUP($B$5,标准坦克设计!$B$14:$K$20,9)/30))</f>
        <v>15.437079334463037</v>
      </c>
      <c r="ET147" s="173">
        <f ca="1">(VLOOKUP(ET$72,INDIRECT($C$5&amp;"生成成长"),2))/((VLOOKUP($B147,INDIRECT($B$5&amp;"生成成长"),4))/(VLOOKUP(ET$72,INDIRECT($C$5&amp;"生成成长"),5))*(VLOOKUP($B$5,标准坦克设计!$B$24:$U$30,MATCH("对"&amp;LEFT($C$5,2)&amp;"输出",标准坦克设计!$B$23:$U$23,0)))*(VLOOKUP($B147,INDIRECT($B$5&amp;"生成成长"),3))*(VLOOKUP($B$5,标准坦克设计!$B$14:$K$20,9)/30))</f>
        <v>16.720538015480603</v>
      </c>
      <c r="EU147" s="173">
        <f ca="1">(VLOOKUP(EU$72,INDIRECT($C$5&amp;"生成成长"),2))/((VLOOKUP($B147,INDIRECT($B$5&amp;"生成成长"),4))/(VLOOKUP(EU$72,INDIRECT($C$5&amp;"生成成长"),5))*(VLOOKUP($B$5,标准坦克设计!$B$24:$U$30,MATCH("对"&amp;LEFT($C$5,2)&amp;"输出",标准坦克设计!$B$23:$U$23,0)))*(VLOOKUP($B147,INDIRECT($B$5&amp;"生成成长"),3))*(VLOOKUP($B$5,标准坦克设计!$B$14:$K$20,9)/30))</f>
        <v>18.055241870694879</v>
      </c>
      <c r="EV147" s="173">
        <f ca="1">(VLOOKUP(EV$72,INDIRECT($C$5&amp;"生成成长"),2))/((VLOOKUP($B147,INDIRECT($B$5&amp;"生成成长"),4))/(VLOOKUP(EV$72,INDIRECT($C$5&amp;"生成成长"),5))*(VLOOKUP($B$5,标准坦克设计!$B$24:$U$30,MATCH("对"&amp;LEFT($C$5,2)&amp;"输出",标准坦克设计!$B$23:$U$23,0)))*(VLOOKUP($B147,INDIRECT($B$5&amp;"生成成长"),3))*(VLOOKUP($B$5,标准坦克设计!$B$14:$K$20,9)/30))</f>
        <v>19.441190900105855</v>
      </c>
      <c r="EW147" s="173">
        <f ca="1">(VLOOKUP(EW$72,INDIRECT($C$5&amp;"生成成长"),2))/((VLOOKUP($B147,INDIRECT($B$5&amp;"生成成长"),4))/(VLOOKUP(EW$72,INDIRECT($C$5&amp;"生成成长"),5))*(VLOOKUP($B$5,标准坦克设计!$B$24:$U$30,MATCH("对"&amp;LEFT($C$5,2)&amp;"输出",标准坦克设计!$B$23:$U$23,0)))*(VLOOKUP($B147,INDIRECT($B$5&amp;"生成成长"),3))*(VLOOKUP($B$5,标准坦克设计!$B$14:$K$20,9)/30))</f>
        <v>20.878385103713551</v>
      </c>
      <c r="EX147" s="173">
        <f ca="1">(VLOOKUP(EX$72,INDIRECT($C$5&amp;"生成成长"),2))/((VLOOKUP($B147,INDIRECT($B$5&amp;"生成成长"),4))/(VLOOKUP(EX$72,INDIRECT($C$5&amp;"生成成长"),5))*(VLOOKUP($B$5,标准坦克设计!$B$24:$U$30,MATCH("对"&amp;LEFT($C$5,2)&amp;"输出",标准坦克设计!$B$23:$U$23,0)))*(VLOOKUP($B147,INDIRECT($B$5&amp;"生成成长"),3))*(VLOOKUP($B$5,标准坦克设计!$B$14:$K$20,9)/30))</f>
        <v>22.366824481517948</v>
      </c>
      <c r="EY147" s="173">
        <f ca="1">(VLOOKUP(EY$72,INDIRECT($C$5&amp;"生成成长"),2))/((VLOOKUP($B147,INDIRECT($B$5&amp;"生成成长"),4))/(VLOOKUP(EY$72,INDIRECT($C$5&amp;"生成成长"),5))*(VLOOKUP($B$5,标准坦克设计!$B$24:$U$30,MATCH("对"&amp;LEFT($C$5,2)&amp;"输出",标准坦克设计!$B$23:$U$23,0)))*(VLOOKUP($B147,INDIRECT($B$5&amp;"生成成长"),3))*(VLOOKUP($B$5,标准坦克设计!$B$14:$K$20,9)/30))</f>
        <v>23.906509033519054</v>
      </c>
      <c r="EZ147" s="173">
        <f ca="1">(VLOOKUP(EZ$72,INDIRECT($C$5&amp;"生成成长"),2))/((VLOOKUP($B147,INDIRECT($B$5&amp;"生成成长"),4))/(VLOOKUP(EZ$72,INDIRECT($C$5&amp;"生成成长"),5))*(VLOOKUP($B$5,标准坦克设计!$B$24:$U$30,MATCH("对"&amp;LEFT($C$5,2)&amp;"输出",标准坦克设计!$B$23:$U$23,0)))*(VLOOKUP($B147,INDIRECT($B$5&amp;"生成成长"),3))*(VLOOKUP($B$5,标准坦克设计!$B$14:$K$20,9)/30))</f>
        <v>25.497438759716868</v>
      </c>
      <c r="FA147" s="173">
        <f ca="1">(VLOOKUP(FA$72,INDIRECT($C$5&amp;"生成成长"),2))/((VLOOKUP($B147,INDIRECT($B$5&amp;"生成成长"),4))/(VLOOKUP(FA$72,INDIRECT($C$5&amp;"生成成长"),5))*(VLOOKUP($B$5,标准坦克设计!$B$24:$U$30,MATCH("对"&amp;LEFT($C$5,2)&amp;"输出",标准坦克设计!$B$23:$U$23,0)))*(VLOOKUP($B147,INDIRECT($B$5&amp;"生成成长"),3))*(VLOOKUP($B$5,标准坦克设计!$B$14:$K$20,9)/30))</f>
        <v>27.139613660111394</v>
      </c>
      <c r="FB147" s="173">
        <f ca="1">(VLOOKUP(FB$72,INDIRECT($C$5&amp;"生成成长"),2))/((VLOOKUP($B147,INDIRECT($B$5&amp;"生成成长"),4))/(VLOOKUP(FB$72,INDIRECT($C$5&amp;"生成成长"),5))*(VLOOKUP($B$5,标准坦克设计!$B$24:$U$30,MATCH("对"&amp;LEFT($C$5,2)&amp;"输出",标准坦克设计!$B$23:$U$23,0)))*(VLOOKUP($B147,INDIRECT($B$5&amp;"生成成长"),3))*(VLOOKUP($B$5,标准坦克设计!$B$14:$K$20,9)/30))</f>
        <v>28.833033734702624</v>
      </c>
      <c r="FC147" s="173">
        <f ca="1">(VLOOKUP(FC$72,INDIRECT($C$5&amp;"生成成长"),2))/((VLOOKUP($B147,INDIRECT($B$5&amp;"生成成长"),4))/(VLOOKUP(FC$72,INDIRECT($C$5&amp;"生成成长"),5))*(VLOOKUP($B$5,标准坦克设计!$B$24:$U$30,MATCH("对"&amp;LEFT($C$5,2)&amp;"输出",标准坦克设计!$B$23:$U$23,0)))*(VLOOKUP($B147,INDIRECT($B$5&amp;"生成成长"),3))*(VLOOKUP($B$5,标准坦克设计!$B$14:$K$20,9)/30))</f>
        <v>30.577698983490571</v>
      </c>
      <c r="FD147" s="173">
        <f ca="1">(VLOOKUP(FD$72,INDIRECT($C$5&amp;"生成成长"),2))/((VLOOKUP($B147,INDIRECT($B$5&amp;"生成成长"),4))/(VLOOKUP(FD$72,INDIRECT($C$5&amp;"生成成长"),5))*(VLOOKUP($B$5,标准坦克设计!$B$24:$U$30,MATCH("对"&amp;LEFT($C$5,2)&amp;"输出",标准坦克设计!$B$23:$U$23,0)))*(VLOOKUP($B147,INDIRECT($B$5&amp;"生成成长"),3))*(VLOOKUP($B$5,标准坦克设计!$B$14:$K$20,9)/30))</f>
        <v>32.373609406475218</v>
      </c>
      <c r="FE147" s="173">
        <f ca="1">(VLOOKUP(FE$72,INDIRECT($C$5&amp;"生成成长"),2))/((VLOOKUP($B147,INDIRECT($B$5&amp;"生成成长"),4))/(VLOOKUP(FE$72,INDIRECT($C$5&amp;"生成成长"),5))*(VLOOKUP($B$5,标准坦克设计!$B$24:$U$30,MATCH("对"&amp;LEFT($C$5,2)&amp;"输出",标准坦克设计!$B$23:$U$23,0)))*(VLOOKUP($B147,INDIRECT($B$5&amp;"生成成长"),3))*(VLOOKUP($B$5,标准坦克设计!$B$14:$K$20,9)/30))</f>
        <v>34.562117155743749</v>
      </c>
      <c r="FF147" s="173">
        <f ca="1">(VLOOKUP(FF$72,INDIRECT($C$5&amp;"生成成长"),2))/((VLOOKUP($B147,INDIRECT($B$5&amp;"生成成长"),4))/(VLOOKUP(FF$72,INDIRECT($C$5&amp;"生成成长"),5))*(VLOOKUP($B$5,标准坦克设计!$B$24:$U$30,MATCH("对"&amp;LEFT($C$5,2)&amp;"输出",标准坦克设计!$B$23:$U$23,0)))*(VLOOKUP($B147,INDIRECT($B$5&amp;"生成成长"),3))*(VLOOKUP($B$5,标准坦克设计!$B$14:$K$20,9)/30))</f>
        <v>36.822198743353127</v>
      </c>
      <c r="FG147" s="173">
        <f ca="1">(VLOOKUP(FG$72,INDIRECT($C$5&amp;"生成成长"),2))/((VLOOKUP($B147,INDIRECT($B$5&amp;"生成成长"),4))/(VLOOKUP(FG$72,INDIRECT($C$5&amp;"生成成长"),5))*(VLOOKUP($B$5,标准坦克设计!$B$24:$U$30,MATCH("对"&amp;LEFT($C$5,2)&amp;"输出",标准坦克设计!$B$23:$U$23,0)))*(VLOOKUP($B147,INDIRECT($B$5&amp;"生成成长"),3))*(VLOOKUP($B$5,标准坦克设计!$B$14:$K$20,9)/30))</f>
        <v>39.153854169303365</v>
      </c>
      <c r="FH147" s="173">
        <f ca="1">(VLOOKUP(FH$72,INDIRECT($C$5&amp;"生成成长"),2))/((VLOOKUP($B147,INDIRECT($B$5&amp;"生成成长"),4))/(VLOOKUP(FH$72,INDIRECT($C$5&amp;"生成成长"),5))*(VLOOKUP($B$5,标准坦克设计!$B$24:$U$30,MATCH("对"&amp;LEFT($C$5,2)&amp;"输出",标准坦克设计!$B$23:$U$23,0)))*(VLOOKUP($B147,INDIRECT($B$5&amp;"生成成长"),3))*(VLOOKUP($B$5,标准坦克设计!$B$14:$K$20,9)/30))</f>
        <v>41.557083433594471</v>
      </c>
      <c r="FI147" s="173">
        <f ca="1">(VLOOKUP(FI$72,INDIRECT($C$5&amp;"生成成长"),2))/((VLOOKUP($B147,INDIRECT($B$5&amp;"生成成长"),4))/(VLOOKUP(FI$72,INDIRECT($C$5&amp;"生成成长"),5))*(VLOOKUP($B$5,标准坦克设计!$B$24:$U$30,MATCH("对"&amp;LEFT($C$5,2)&amp;"输出",标准坦克设计!$B$23:$U$23,0)))*(VLOOKUP($B147,INDIRECT($B$5&amp;"生成成长"),3))*(VLOOKUP($B$5,标准坦克设计!$B$14:$K$20,9)/30))</f>
        <v>44.03188653622643</v>
      </c>
      <c r="FJ147" s="173">
        <f ca="1">(VLOOKUP(FJ$72,INDIRECT($C$5&amp;"生成成长"),2))/((VLOOKUP($B147,INDIRECT($B$5&amp;"生成成长"),4))/(VLOOKUP(FJ$72,INDIRECT($C$5&amp;"生成成长"),5))*(VLOOKUP($B$5,标准坦克设计!$B$24:$U$30,MATCH("对"&amp;LEFT($C$5,2)&amp;"输出",标准坦克设计!$B$23:$U$23,0)))*(VLOOKUP($B147,INDIRECT($B$5&amp;"生成成长"),3))*(VLOOKUP($B$5,标准坦克设计!$B$14:$K$20,9)/30))</f>
        <v>46.578263477199222</v>
      </c>
      <c r="FK147" s="173">
        <f ca="1">(VLOOKUP(FK$72,INDIRECT($C$5&amp;"生成成长"),2))/((VLOOKUP($B147,INDIRECT($B$5&amp;"生成成长"),4))/(VLOOKUP(FK$72,INDIRECT($C$5&amp;"生成成长"),5))*(VLOOKUP($B$5,标准坦克设计!$B$24:$U$30,MATCH("对"&amp;LEFT($C$5,2)&amp;"输出",标准坦克设计!$B$23:$U$23,0)))*(VLOOKUP($B147,INDIRECT($B$5&amp;"生成成长"),3))*(VLOOKUP($B$5,标准坦克设计!$B$14:$K$20,9)/30))</f>
        <v>49.19621425651291</v>
      </c>
    </row>
    <row r="148" spans="1:167" x14ac:dyDescent="0.15">
      <c r="A148" s="171" t="str">
        <f t="shared" si="12"/>
        <v>T4中品质4级</v>
      </c>
      <c r="B148" s="172">
        <v>20404</v>
      </c>
      <c r="C148" s="173">
        <f ca="1">(VLOOKUP(C$72,INDIRECT($C$5&amp;"生成成长"),2))/((VLOOKUP($B148,INDIRECT($B$5&amp;"生成成长"),4))/(VLOOKUP(C$72,INDIRECT($C$5&amp;"生成成长"),5))*(VLOOKUP($B$5,标准坦克设计!$B$24:$U$30,MATCH("对"&amp;LEFT($C$5,2)&amp;"输出",标准坦克设计!$B$23:$U$23,0)))*(VLOOKUP($B148,INDIRECT($B$5&amp;"生成成长"),3))*(VLOOKUP($B$5,标准坦克设计!$B$14:$K$20,9)/30))</f>
        <v>1.9265756213301353</v>
      </c>
      <c r="D148" s="173">
        <f ca="1">(VLOOKUP(D$72,INDIRECT($C$5&amp;"生成成长"),2))/((VLOOKUP($B148,INDIRECT($B$5&amp;"生成成长"),4))/(VLOOKUP(D$72,INDIRECT($C$5&amp;"生成成长"),5))*(VLOOKUP($B$5,标准坦克设计!$B$24:$U$30,MATCH("对"&amp;LEFT($C$5,2)&amp;"输出",标准坦克设计!$B$23:$U$23,0)))*(VLOOKUP($B148,INDIRECT($B$5&amp;"生成成长"),3))*(VLOOKUP($B$5,标准坦克设计!$B$14:$K$20,9)/30))</f>
        <v>2.1647003681265398</v>
      </c>
      <c r="E148" s="173">
        <f ca="1">(VLOOKUP(E$72,INDIRECT($C$5&amp;"生成成长"),2))/((VLOOKUP($B148,INDIRECT($B$5&amp;"生成成长"),4))/(VLOOKUP(E$72,INDIRECT($C$5&amp;"生成成长"),5))*(VLOOKUP($B$5,标准坦克设计!$B$24:$U$30,MATCH("对"&amp;LEFT($C$5,2)&amp;"输出",标准坦克设计!$B$23:$U$23,0)))*(VLOOKUP($B148,INDIRECT($B$5&amp;"生成成长"),3))*(VLOOKUP($B$5,标准坦克设计!$B$14:$K$20,9)/30))</f>
        <v>2.4166964593965217</v>
      </c>
      <c r="F148" s="173">
        <f ca="1">(VLOOKUP(F$72,INDIRECT($C$5&amp;"生成成长"),2))/((VLOOKUP($B148,INDIRECT($B$5&amp;"生成成长"),4))/(VLOOKUP(F$72,INDIRECT($C$5&amp;"生成成长"),5))*(VLOOKUP($B$5,标准坦克设计!$B$24:$U$30,MATCH("对"&amp;LEFT($C$5,2)&amp;"输出",标准坦克设计!$B$23:$U$23,0)))*(VLOOKUP($B148,INDIRECT($B$5&amp;"生成成长"),3))*(VLOOKUP($B$5,标准坦克设计!$B$14:$K$20,9)/30))</f>
        <v>2.6825638951400803</v>
      </c>
      <c r="G148" s="173">
        <f ca="1">(VLOOKUP(G$72,INDIRECT($C$5&amp;"生成成长"),2))/((VLOOKUP($B148,INDIRECT($B$5&amp;"生成成长"),4))/(VLOOKUP(G$72,INDIRECT($C$5&amp;"生成成长"),5))*(VLOOKUP($B$5,标准坦克设计!$B$24:$U$30,MATCH("对"&amp;LEFT($C$5,2)&amp;"输出",标准坦克设计!$B$23:$U$23,0)))*(VLOOKUP($B148,INDIRECT($B$5&amp;"生成成长"),3))*(VLOOKUP($B$5,标准坦克设计!$B$14:$K$20,9)/30))</f>
        <v>2.9623026753572161</v>
      </c>
      <c r="H148" s="173">
        <f ca="1">(VLOOKUP(H$72,INDIRECT($C$5&amp;"生成成长"),2))/((VLOOKUP($B148,INDIRECT($B$5&amp;"生成成长"),4))/(VLOOKUP(H$72,INDIRECT($C$5&amp;"生成成长"),5))*(VLOOKUP($B$5,标准坦克设计!$B$24:$U$30,MATCH("对"&amp;LEFT($C$5,2)&amp;"输出",标准坦克设计!$B$23:$U$23,0)))*(VLOOKUP($B148,INDIRECT($B$5&amp;"生成成长"),3))*(VLOOKUP($B$5,标准坦克设计!$B$14:$K$20,9)/30))</f>
        <v>2.5924001560618297</v>
      </c>
      <c r="I148" s="173">
        <f ca="1">(VLOOKUP(I$72,INDIRECT($C$5&amp;"生成成长"),2))/((VLOOKUP($B148,INDIRECT($B$5&amp;"生成成长"),4))/(VLOOKUP(I$72,INDIRECT($C$5&amp;"生成成长"),5))*(VLOOKUP($B$5,标准坦克设计!$B$24:$U$30,MATCH("对"&amp;LEFT($C$5,2)&amp;"输出",标准坦克设计!$B$23:$U$23,0)))*(VLOOKUP($B148,INDIRECT($B$5&amp;"生成成长"),3))*(VLOOKUP($B$5,标准坦克设计!$B$14:$K$20,9)/30))</f>
        <v>2.9623026753572161</v>
      </c>
      <c r="J148" s="173">
        <f ca="1">(VLOOKUP(J$72,INDIRECT($C$5&amp;"生成成长"),2))/((VLOOKUP($B148,INDIRECT($B$5&amp;"生成成长"),4))/(VLOOKUP(J$72,INDIRECT($C$5&amp;"生成成长"),5))*(VLOOKUP($B$5,标准坦克设计!$B$24:$U$30,MATCH("对"&amp;LEFT($C$5,2)&amp;"输出",标准坦克设计!$B$23:$U$23,0)))*(VLOOKUP($B148,INDIRECT($B$5&amp;"生成成长"),3))*(VLOOKUP($B$5,标准坦克设计!$B$14:$K$20,9)/30))</f>
        <v>3.3568653626056273</v>
      </c>
      <c r="K148" s="173">
        <f ca="1">(VLOOKUP(K$72,INDIRECT($C$5&amp;"生成成长"),2))/((VLOOKUP($B148,INDIRECT($B$5&amp;"生成成长"),4))/(VLOOKUP(K$72,INDIRECT($C$5&amp;"生成成长"),5))*(VLOOKUP($B$5,标准坦克设计!$B$24:$U$30,MATCH("对"&amp;LEFT($C$5,2)&amp;"输出",标准坦克设计!$B$23:$U$23,0)))*(VLOOKUP($B148,INDIRECT($B$5&amp;"生成成长"),3))*(VLOOKUP($B$5,标准坦克设计!$B$14:$K$20,9)/30))</f>
        <v>3.7760882178070649</v>
      </c>
      <c r="L148" s="173">
        <f ca="1">(VLOOKUP(L$72,INDIRECT($C$5&amp;"生成成长"),2))/((VLOOKUP($B148,INDIRECT($B$5&amp;"生成成长"),4))/(VLOOKUP(L$72,INDIRECT($C$5&amp;"生成成长"),5))*(VLOOKUP($B$5,标准坦克设计!$B$24:$U$30,MATCH("对"&amp;LEFT($C$5,2)&amp;"输出",标准坦克设计!$B$23:$U$23,0)))*(VLOOKUP($B148,INDIRECT($B$5&amp;"生成成长"),3))*(VLOOKUP($B$5,标准坦克设计!$B$14:$K$20,9)/30))</f>
        <v>4.2199712409615282</v>
      </c>
      <c r="M148" s="173">
        <f ca="1">(VLOOKUP(M$72,INDIRECT($C$5&amp;"生成成长"),2))/((VLOOKUP($B148,INDIRECT($B$5&amp;"生成成长"),4))/(VLOOKUP(M$72,INDIRECT($C$5&amp;"生成成长"),5))*(VLOOKUP($B$5,标准坦克设计!$B$24:$U$30,MATCH("对"&amp;LEFT($C$5,2)&amp;"输出",标准坦克设计!$B$23:$U$23,0)))*(VLOOKUP($B148,INDIRECT($B$5&amp;"生成成长"),3))*(VLOOKUP($B$5,标准坦克设计!$B$14:$K$20,9)/30))</f>
        <v>4.6885144320690175</v>
      </c>
      <c r="N148" s="173">
        <f ca="1">(VLOOKUP(N$72,INDIRECT($C$5&amp;"生成成长"),2))/((VLOOKUP($B148,INDIRECT($B$5&amp;"生成成长"),4))/(VLOOKUP(N$72,INDIRECT($C$5&amp;"生成成长"),5))*(VLOOKUP($B$5,标准坦克设计!$B$24:$U$30,MATCH("对"&amp;LEFT($C$5,2)&amp;"输出",标准坦克设计!$B$23:$U$23,0)))*(VLOOKUP($B148,INDIRECT($B$5&amp;"生成成长"),3))*(VLOOKUP($B$5,标准坦克设计!$B$14:$K$20,9)/30))</f>
        <v>5.1817177911295307</v>
      </c>
      <c r="O148" s="173">
        <f ca="1">(VLOOKUP(O$72,INDIRECT($C$5&amp;"生成成长"),2))/((VLOOKUP($B148,INDIRECT($B$5&amp;"生成成长"),4))/(VLOOKUP(O$72,INDIRECT($C$5&amp;"生成成长"),5))*(VLOOKUP($B$5,标准坦克设计!$B$24:$U$30,MATCH("对"&amp;LEFT($C$5,2)&amp;"输出",标准坦克设计!$B$23:$U$23,0)))*(VLOOKUP($B148,INDIRECT($B$5&amp;"生成成长"),3))*(VLOOKUP($B$5,标准坦克设计!$B$14:$K$20,9)/30))</f>
        <v>3.9396544880579936</v>
      </c>
      <c r="P148" s="173">
        <f ca="1">(VLOOKUP(P$72,INDIRECT($C$5&amp;"生成成长"),2))/((VLOOKUP($B148,INDIRECT($B$5&amp;"生成成长"),4))/(VLOOKUP(P$72,INDIRECT($C$5&amp;"生成成长"),5))*(VLOOKUP($B$5,标准坦克设计!$B$24:$U$30,MATCH("对"&amp;LEFT($C$5,2)&amp;"输出",标准坦克设计!$B$23:$U$23,0)))*(VLOOKUP($B148,INDIRECT($B$5&amp;"生成成长"),3))*(VLOOKUP($B$5,标准坦克设计!$B$14:$K$20,9)/30))</f>
        <v>4.4511603155211441</v>
      </c>
      <c r="Q148" s="173">
        <f ca="1">(VLOOKUP(Q$72,INDIRECT($C$5&amp;"生成成长"),2))/((VLOOKUP($B148,INDIRECT($B$5&amp;"生成成长"),4))/(VLOOKUP(Q$72,INDIRECT($C$5&amp;"生成成长"),5))*(VLOOKUP($B$5,标准坦克设计!$B$24:$U$30,MATCH("对"&amp;LEFT($C$5,2)&amp;"输出",标准坦克设计!$B$23:$U$23,0)))*(VLOOKUP($B148,INDIRECT($B$5&amp;"生成成长"),3))*(VLOOKUP($B$5,标准坦克设计!$B$14:$K$20,9)/30))</f>
        <v>4.9938766680498432</v>
      </c>
      <c r="R148" s="173">
        <f ca="1">(VLOOKUP(R$72,INDIRECT($C$5&amp;"生成成长"),2))/((VLOOKUP($B148,INDIRECT($B$5&amp;"生成成长"),4))/(VLOOKUP(R$72,INDIRECT($C$5&amp;"生成成长"),5))*(VLOOKUP($B$5,标准坦克设计!$B$24:$U$30,MATCH("对"&amp;LEFT($C$5,2)&amp;"输出",标准坦克设计!$B$23:$U$23,0)))*(VLOOKUP($B148,INDIRECT($B$5&amp;"生成成长"),3))*(VLOOKUP($B$5,标准坦克设计!$B$14:$K$20,9)/30))</f>
        <v>5.5678035456440904</v>
      </c>
      <c r="S148" s="173">
        <f ca="1">(VLOOKUP(S$72,INDIRECT($C$5&amp;"生成成长"),2))/((VLOOKUP($B148,INDIRECT($B$5&amp;"生成成长"),4))/(VLOOKUP(S$72,INDIRECT($C$5&amp;"生成成长"),5))*(VLOOKUP($B$5,标准坦克设计!$B$24:$U$30,MATCH("对"&amp;LEFT($C$5,2)&amp;"输出",标准坦克设计!$B$23:$U$23,0)))*(VLOOKUP($B148,INDIRECT($B$5&amp;"生成成长"),3))*(VLOOKUP($B$5,标准坦克设计!$B$14:$K$20,9)/30))</f>
        <v>6.1729409483038848</v>
      </c>
      <c r="T148" s="173">
        <f ca="1">(VLOOKUP(T$72,INDIRECT($C$5&amp;"生成成长"),2))/((VLOOKUP($B148,INDIRECT($B$5&amp;"生成成长"),4))/(VLOOKUP(T$72,INDIRECT($C$5&amp;"生成成长"),5))*(VLOOKUP($B$5,标准坦克设计!$B$24:$U$30,MATCH("对"&amp;LEFT($C$5,2)&amp;"输出",标准坦克设计!$B$23:$U$23,0)))*(VLOOKUP($B148,INDIRECT($B$5&amp;"生成成长"),3))*(VLOOKUP($B$5,标准坦克设计!$B$14:$K$20,9)/30))</f>
        <v>6.8092888760292283</v>
      </c>
      <c r="U148" s="173">
        <f ca="1">(VLOOKUP(U$72,INDIRECT($C$5&amp;"生成成长"),2))/((VLOOKUP($B148,INDIRECT($B$5&amp;"生成成长"),4))/(VLOOKUP(U$72,INDIRECT($C$5&amp;"生成成长"),5))*(VLOOKUP($B$5,标准坦克设计!$B$24:$U$30,MATCH("对"&amp;LEFT($C$5,2)&amp;"输出",标准坦克设计!$B$23:$U$23,0)))*(VLOOKUP($B148,INDIRECT($B$5&amp;"生成成长"),3))*(VLOOKUP($B$5,标准坦克设计!$B$14:$K$20,9)/30))</f>
        <v>7.4768473288201216</v>
      </c>
      <c r="V148" s="173">
        <f ca="1">(VLOOKUP(V$72,INDIRECT($C$5&amp;"生成成长"),2))/((VLOOKUP($B148,INDIRECT($B$5&amp;"生成成长"),4))/(VLOOKUP(V$72,INDIRECT($C$5&amp;"生成成长"),5))*(VLOOKUP($B$5,标准坦克设计!$B$24:$U$30,MATCH("对"&amp;LEFT($C$5,2)&amp;"输出",标准坦克设计!$B$23:$U$23,0)))*(VLOOKUP($B148,INDIRECT($B$5&amp;"生成成长"),3))*(VLOOKUP($B$5,标准坦克设计!$B$14:$K$20,9)/30))</f>
        <v>8.1756163066765613</v>
      </c>
      <c r="W148" s="173">
        <f ca="1">(VLOOKUP(W$72,INDIRECT($C$5&amp;"生成成长"),2))/((VLOOKUP($B148,INDIRECT($B$5&amp;"生成成长"),4))/(VLOOKUP(W$72,INDIRECT($C$5&amp;"生成成长"),5))*(VLOOKUP($B$5,标准坦克设计!$B$24:$U$30,MATCH("对"&amp;LEFT($C$5,2)&amp;"输出",标准坦克设计!$B$23:$U$23,0)))*(VLOOKUP($B148,INDIRECT($B$5&amp;"生成成长"),3))*(VLOOKUP($B$5,标准坦克设计!$B$14:$K$20,9)/30))</f>
        <v>8.9055958095985499</v>
      </c>
      <c r="X148" s="173">
        <f ca="1">(VLOOKUP(X$72,INDIRECT($C$5&amp;"生成成长"),2))/((VLOOKUP($B148,INDIRECT($B$5&amp;"生成成长"),4))/(VLOOKUP(X$72,INDIRECT($C$5&amp;"生成成长"),5))*(VLOOKUP($B$5,标准坦克设计!$B$24:$U$30,MATCH("对"&amp;LEFT($C$5,2)&amp;"输出",标准坦克设计!$B$23:$U$23,0)))*(VLOOKUP($B148,INDIRECT($B$5&amp;"生成成长"),3))*(VLOOKUP($B$5,标准坦克设计!$B$14:$K$20,9)/30))</f>
        <v>6.4519090982724894</v>
      </c>
      <c r="Y148" s="173">
        <f ca="1">(VLOOKUP(Y$72,INDIRECT($C$5&amp;"生成成长"),2))/((VLOOKUP($B148,INDIRECT($B$5&amp;"生成成长"),4))/(VLOOKUP(Y$72,INDIRECT($C$5&amp;"生成成长"),5))*(VLOOKUP($B$5,标准坦克设计!$B$24:$U$30,MATCH("对"&amp;LEFT($C$5,2)&amp;"输出",标准坦克设计!$B$23:$U$23,0)))*(VLOOKUP($B148,INDIRECT($B$5&amp;"生成成长"),3))*(VLOOKUP($B$5,标准坦克设计!$B$14:$K$20,9)/30))</f>
        <v>7.1763015318926202</v>
      </c>
      <c r="Z148" s="173">
        <f ca="1">(VLOOKUP(Z$72,INDIRECT($C$5&amp;"生成成长"),2))/((VLOOKUP($B148,INDIRECT($B$5&amp;"生成成长"),4))/(VLOOKUP(Z$72,INDIRECT($C$5&amp;"生成成长"),5))*(VLOOKUP($B$5,标准坦克设计!$B$24:$U$30,MATCH("对"&amp;LEFT($C$5,2)&amp;"输出",标准坦克设计!$B$23:$U$23,0)))*(VLOOKUP($B148,INDIRECT($B$5&amp;"生成成长"),3))*(VLOOKUP($B$5,标准坦克设计!$B$14:$K$20,9)/30))</f>
        <v>7.9392254779393543</v>
      </c>
      <c r="AA148" s="173">
        <f ca="1">(VLOOKUP(AA$72,INDIRECT($C$5&amp;"生成成长"),2))/((VLOOKUP($B148,INDIRECT($B$5&amp;"生成成长"),4))/(VLOOKUP(AA$72,INDIRECT($C$5&amp;"生成成长"),5))*(VLOOKUP($B$5,标准坦克设计!$B$24:$U$30,MATCH("对"&amp;LEFT($C$5,2)&amp;"输出",标准坦克设计!$B$23:$U$23,0)))*(VLOOKUP($B148,INDIRECT($B$5&amp;"生成成长"),3))*(VLOOKUP($B$5,标准坦克设计!$B$14:$K$20,9)/30))</f>
        <v>8.740680936412689</v>
      </c>
      <c r="AB148" s="173">
        <f ca="1">(VLOOKUP(AB$72,INDIRECT($C$5&amp;"生成成长"),2))/((VLOOKUP($B148,INDIRECT($B$5&amp;"生成成长"),4))/(VLOOKUP(AB$72,INDIRECT($C$5&amp;"生成成长"),5))*(VLOOKUP($B$5,标准坦克设计!$B$24:$U$30,MATCH("对"&amp;LEFT($C$5,2)&amp;"输出",标准坦克设计!$B$23:$U$23,0)))*(VLOOKUP($B148,INDIRECT($B$5&amp;"生成成长"),3))*(VLOOKUP($B$5,标准坦克设计!$B$14:$K$20,9)/30))</f>
        <v>9.5806679073126286</v>
      </c>
      <c r="AC148" s="173">
        <f ca="1">(VLOOKUP(AC$72,INDIRECT($C$5&amp;"生成成长"),2))/((VLOOKUP($B148,INDIRECT($B$5&amp;"生成成长"),4))/(VLOOKUP(AC$72,INDIRECT($C$5&amp;"生成成长"),5))*(VLOOKUP($B$5,标准坦克设计!$B$24:$U$30,MATCH("对"&amp;LEFT($C$5,2)&amp;"输出",标准坦克设计!$B$23:$U$23,0)))*(VLOOKUP($B148,INDIRECT($B$5&amp;"生成成长"),3))*(VLOOKUP($B$5,标准坦克设计!$B$14:$K$20,9)/30))</f>
        <v>10.459186390639172</v>
      </c>
      <c r="AD148" s="173">
        <f ca="1">(VLOOKUP(AD$72,INDIRECT($C$5&amp;"生成成长"),2))/((VLOOKUP($B148,INDIRECT($B$5&amp;"生成成长"),4))/(VLOOKUP(AD$72,INDIRECT($C$5&amp;"生成成长"),5))*(VLOOKUP($B$5,标准坦克设计!$B$24:$U$30,MATCH("对"&amp;LEFT($C$5,2)&amp;"输出",标准坦克设计!$B$23:$U$23,0)))*(VLOOKUP($B148,INDIRECT($B$5&amp;"生成成长"),3))*(VLOOKUP($B$5,标准坦克设计!$B$14:$K$20,9)/30))</f>
        <v>11.376236386392314</v>
      </c>
      <c r="AE148" s="173">
        <f ca="1">(VLOOKUP(AE$72,INDIRECT($C$5&amp;"生成成长"),2))/((VLOOKUP($B148,INDIRECT($B$5&amp;"生成成长"),4))/(VLOOKUP(AE$72,INDIRECT($C$5&amp;"生成成长"),5))*(VLOOKUP($B$5,标准坦克设计!$B$24:$U$30,MATCH("对"&amp;LEFT($C$5,2)&amp;"输出",标准坦克设计!$B$23:$U$23,0)))*(VLOOKUP($B148,INDIRECT($B$5&amp;"生成成长"),3))*(VLOOKUP($B$5,标准坦克设计!$B$14:$K$20,9)/30))</f>
        <v>12.331817894572062</v>
      </c>
      <c r="AF148" s="173">
        <f ca="1">(VLOOKUP(AF$72,INDIRECT($C$5&amp;"生成成长"),2))/((VLOOKUP($B148,INDIRECT($B$5&amp;"生成成长"),4))/(VLOOKUP(AF$72,INDIRECT($C$5&amp;"生成成长"),5))*(VLOOKUP($B$5,标准坦克设计!$B$24:$U$30,MATCH("对"&amp;LEFT($C$5,2)&amp;"输出",标准坦克设计!$B$23:$U$23,0)))*(VLOOKUP($B148,INDIRECT($B$5&amp;"生成成长"),3))*(VLOOKUP($B$5,标准坦克设计!$B$14:$K$20,9)/30))</f>
        <v>13.325930915178411</v>
      </c>
      <c r="AG148" s="173">
        <f ca="1">(VLOOKUP(AG$72,INDIRECT($C$5&amp;"生成成长"),2))/((VLOOKUP($B148,INDIRECT($B$5&amp;"生成成长"),4))/(VLOOKUP(AG$72,INDIRECT($C$5&amp;"生成成长"),5))*(VLOOKUP($B$5,标准坦克设计!$B$24:$U$30,MATCH("对"&amp;LEFT($C$5,2)&amp;"输出",标准坦克设计!$B$23:$U$23,0)))*(VLOOKUP($B148,INDIRECT($B$5&amp;"生成成长"),3))*(VLOOKUP($B$5,标准坦克设计!$B$14:$K$20,9)/30))</f>
        <v>14.358575448211365</v>
      </c>
      <c r="AH148" s="173">
        <f ca="1">(VLOOKUP(AH$72,INDIRECT($C$5&amp;"生成成长"),2))/((VLOOKUP($B148,INDIRECT($B$5&amp;"生成成长"),4))/(VLOOKUP(AH$72,INDIRECT($C$5&amp;"生成成长"),5))*(VLOOKUP($B$5,标准坦克设计!$B$24:$U$30,MATCH("对"&amp;LEFT($C$5,2)&amp;"输出",标准坦克设计!$B$23:$U$23,0)))*(VLOOKUP($B148,INDIRECT($B$5&amp;"生成成长"),3))*(VLOOKUP($B$5,标准坦克设计!$B$14:$K$20,9)/30))</f>
        <v>15.429751493670919</v>
      </c>
      <c r="AI148" s="173">
        <f ca="1">(VLOOKUP(AI$72,INDIRECT($C$5&amp;"生成成长"),2))/((VLOOKUP($B148,INDIRECT($B$5&amp;"生成成长"),4))/(VLOOKUP(AI$72,INDIRECT($C$5&amp;"生成成长"),5))*(VLOOKUP($B$5,标准坦克设计!$B$24:$U$30,MATCH("对"&amp;LEFT($C$5,2)&amp;"输出",标准坦克设计!$B$23:$U$23,0)))*(VLOOKUP($B148,INDIRECT($B$5&amp;"生成成长"),3))*(VLOOKUP($B$5,标准坦克设计!$B$14:$K$20,9)/30))</f>
        <v>10.912894949462416</v>
      </c>
      <c r="AJ148" s="173">
        <f ca="1">(VLOOKUP(AJ$72,INDIRECT($C$5&amp;"生成成长"),2))/((VLOOKUP($B148,INDIRECT($B$5&amp;"生成成长"),4))/(VLOOKUP(AJ$72,INDIRECT($C$5&amp;"生成成长"),5))*(VLOOKUP($B$5,标准坦克设计!$B$24:$U$30,MATCH("对"&amp;LEFT($C$5,2)&amp;"输出",标准坦克设计!$B$23:$U$23,0)))*(VLOOKUP($B148,INDIRECT($B$5&amp;"生成成长"),3))*(VLOOKUP($B$5,标准坦克设计!$B$14:$K$20,9)/30))</f>
        <v>11.944961509808971</v>
      </c>
      <c r="AK148" s="173">
        <f ca="1">(VLOOKUP(AK$72,INDIRECT($C$5&amp;"生成成长"),2))/((VLOOKUP($B148,INDIRECT($B$5&amp;"生成成长"),4))/(VLOOKUP(AK$72,INDIRECT($C$5&amp;"生成成长"),5))*(VLOOKUP($B$5,标准坦克设计!$B$24:$U$30,MATCH("对"&amp;LEFT($C$5,2)&amp;"输出",标准坦克设计!$B$23:$U$23,0)))*(VLOOKUP($B148,INDIRECT($B$5&amp;"生成成长"),3))*(VLOOKUP($B$5,标准坦克设计!$B$14:$K$20,9)/30))</f>
        <v>13.02365120019171</v>
      </c>
      <c r="AL148" s="173">
        <f ca="1">(VLOOKUP(AL$72,INDIRECT($C$5&amp;"生成成长"),2))/((VLOOKUP($B148,INDIRECT($B$5&amp;"生成成长"),4))/(VLOOKUP(AL$72,INDIRECT($C$5&amp;"生成成长"),5))*(VLOOKUP($B$5,标准坦克设计!$B$24:$U$30,MATCH("对"&amp;LEFT($C$5,2)&amp;"输出",标准坦克设计!$B$23:$U$23,0)))*(VLOOKUP($B148,INDIRECT($B$5&amp;"生成成长"),3))*(VLOOKUP($B$5,标准坦克设计!$B$14:$K$20,9)/30))</f>
        <v>14.148964020610645</v>
      </c>
      <c r="AM148" s="173">
        <f ca="1">(VLOOKUP(AM$72,INDIRECT($C$5&amp;"生成成长"),2))/((VLOOKUP($B148,INDIRECT($B$5&amp;"生成成长"),4))/(VLOOKUP(AM$72,INDIRECT($C$5&amp;"生成成长"),5))*(VLOOKUP($B$5,标准坦克设计!$B$24:$U$30,MATCH("对"&amp;LEFT($C$5,2)&amp;"输出",标准坦克设计!$B$23:$U$23,0)))*(VLOOKUP($B148,INDIRECT($B$5&amp;"生成成长"),3))*(VLOOKUP($B$5,标准坦克设计!$B$14:$K$20,9)/30))</f>
        <v>15.320899971065767</v>
      </c>
      <c r="AN148" s="173">
        <f ca="1">(VLOOKUP(AN$72,INDIRECT($C$5&amp;"生成成长"),2))/((VLOOKUP($B148,INDIRECT($B$5&amp;"生成成长"),4))/(VLOOKUP(AN$72,INDIRECT($C$5&amp;"生成成长"),5))*(VLOOKUP($B$5,标准坦克设计!$B$24:$U$30,MATCH("对"&amp;LEFT($C$5,2)&amp;"输出",标准坦克设计!$B$23:$U$23,0)))*(VLOOKUP($B148,INDIRECT($B$5&amp;"生成成长"),3))*(VLOOKUP($B$5,标准坦克设计!$B$14:$K$20,9)/30))</f>
        <v>16.539459051557074</v>
      </c>
      <c r="AO148" s="173">
        <f ca="1">(VLOOKUP(AO$72,INDIRECT($C$5&amp;"生成成长"),2))/((VLOOKUP($B148,INDIRECT($B$5&amp;"生成成长"),4))/(VLOOKUP(AO$72,INDIRECT($C$5&amp;"生成成长"),5))*(VLOOKUP($B$5,标准坦克设计!$B$24:$U$30,MATCH("对"&amp;LEFT($C$5,2)&amp;"输出",标准坦克设计!$B$23:$U$23,0)))*(VLOOKUP($B148,INDIRECT($B$5&amp;"生成成长"),3))*(VLOOKUP($B$5,标准坦克设计!$B$14:$K$20,9)/30))</f>
        <v>17.804641262084576</v>
      </c>
      <c r="AP148" s="173">
        <f ca="1">(VLOOKUP(AP$72,INDIRECT($C$5&amp;"生成成长"),2))/((VLOOKUP($B148,INDIRECT($B$5&amp;"生成成长"),4))/(VLOOKUP(AP$72,INDIRECT($C$5&amp;"生成成长"),5))*(VLOOKUP($B$5,标准坦克设计!$B$24:$U$30,MATCH("对"&amp;LEFT($C$5,2)&amp;"输出",标准坦克设计!$B$23:$U$23,0)))*(VLOOKUP($B148,INDIRECT($B$5&amp;"生成成长"),3))*(VLOOKUP($B$5,标准坦克设计!$B$14:$K$20,9)/30))</f>
        <v>19.116446602648264</v>
      </c>
      <c r="AQ148" s="173">
        <f ca="1">(VLOOKUP(AQ$72,INDIRECT($C$5&amp;"生成成长"),2))/((VLOOKUP($B148,INDIRECT($B$5&amp;"生成成长"),4))/(VLOOKUP(AQ$72,INDIRECT($C$5&amp;"生成成长"),5))*(VLOOKUP($B$5,标准坦克设计!$B$24:$U$30,MATCH("对"&amp;LEFT($C$5,2)&amp;"输出",标准坦克设计!$B$23:$U$23,0)))*(VLOOKUP($B148,INDIRECT($B$5&amp;"生成成长"),3))*(VLOOKUP($B$5,标准坦克设计!$B$14:$K$20,9)/30))</f>
        <v>20.474875073248143</v>
      </c>
      <c r="AR148" s="173">
        <f ca="1">(VLOOKUP(AR$72,INDIRECT($C$5&amp;"生成成长"),2))/((VLOOKUP($B148,INDIRECT($B$5&amp;"生成成长"),4))/(VLOOKUP(AR$72,INDIRECT($C$5&amp;"生成成长"),5))*(VLOOKUP($B$5,标准坦克设计!$B$24:$U$30,MATCH("对"&amp;LEFT($C$5,2)&amp;"输出",标准坦克设计!$B$23:$U$23,0)))*(VLOOKUP($B148,INDIRECT($B$5&amp;"生成成长"),3))*(VLOOKUP($B$5,标准坦克设计!$B$14:$K$20,9)/30))</f>
        <v>21.87992667388421</v>
      </c>
      <c r="AS148" s="173">
        <f ca="1">(VLOOKUP(AS$72,INDIRECT($C$5&amp;"生成成长"),2))/((VLOOKUP($B148,INDIRECT($B$5&amp;"生成成长"),4))/(VLOOKUP(AS$72,INDIRECT($C$5&amp;"生成成长"),5))*(VLOOKUP($B$5,标准坦克设计!$B$24:$U$30,MATCH("对"&amp;LEFT($C$5,2)&amp;"输出",标准坦克设计!$B$23:$U$23,0)))*(VLOOKUP($B148,INDIRECT($B$5&amp;"生成成长"),3))*(VLOOKUP($B$5,标准坦克设计!$B$14:$K$20,9)/30))</f>
        <v>23.331601404556466</v>
      </c>
      <c r="AT148" s="173">
        <f ca="1">(VLOOKUP(AT$72,INDIRECT($C$5&amp;"生成成长"),2))/((VLOOKUP($B148,INDIRECT($B$5&amp;"生成成长"),4))/(VLOOKUP(AT$72,INDIRECT($C$5&amp;"生成成长"),5))*(VLOOKUP($B$5,标准坦克设计!$B$24:$U$30,MATCH("对"&amp;LEFT($C$5,2)&amp;"输出",标准坦克设计!$B$23:$U$23,0)))*(VLOOKUP($B148,INDIRECT($B$5&amp;"生成成长"),3))*(VLOOKUP($B$5,标准坦克设计!$B$14:$K$20,9)/30))</f>
        <v>24.829899265264913</v>
      </c>
      <c r="AU148" s="173">
        <f ca="1">(VLOOKUP(AU$72,INDIRECT($C$5&amp;"生成成长"),2))/((VLOOKUP($B148,INDIRECT($B$5&amp;"生成成长"),4))/(VLOOKUP(AU$72,INDIRECT($C$5&amp;"生成成长"),5))*(VLOOKUP($B$5,标准坦克设计!$B$24:$U$30,MATCH("对"&amp;LEFT($C$5,2)&amp;"输出",标准坦克设计!$B$23:$U$23,0)))*(VLOOKUP($B148,INDIRECT($B$5&amp;"生成成长"),3))*(VLOOKUP($B$5,标准坦克设计!$B$14:$K$20,9)/30))</f>
        <v>26.374820256009553</v>
      </c>
      <c r="AV148" s="173">
        <f ca="1">(VLOOKUP(AV$72,INDIRECT($C$5&amp;"生成成长"),2))/((VLOOKUP($B148,INDIRECT($B$5&amp;"生成成长"),4))/(VLOOKUP(AV$72,INDIRECT($C$5&amp;"生成成长"),5))*(VLOOKUP($B$5,标准坦克设计!$B$24:$U$30,MATCH("对"&amp;LEFT($C$5,2)&amp;"输出",标准坦克设计!$B$23:$U$23,0)))*(VLOOKUP($B148,INDIRECT($B$5&amp;"生成成长"),3))*(VLOOKUP($B$5,标准坦克设计!$B$14:$K$20,9)/30))</f>
        <v>2.6825638951400803</v>
      </c>
      <c r="AW148" s="173">
        <f ca="1">(VLOOKUP(AW$72,INDIRECT($C$5&amp;"生成成长"),2))/((VLOOKUP($B148,INDIRECT($B$5&amp;"生成成长"),4))/(VLOOKUP(AW$72,INDIRECT($C$5&amp;"生成成长"),5))*(VLOOKUP($B$5,标准坦克设计!$B$24:$U$30,MATCH("对"&amp;LEFT($C$5,2)&amp;"输出",标准坦克设计!$B$23:$U$23,0)))*(VLOOKUP($B148,INDIRECT($B$5&amp;"生成成长"),3))*(VLOOKUP($B$5,标准坦克设计!$B$14:$K$20,9)/30))</f>
        <v>3.058631456423722</v>
      </c>
      <c r="AX148" s="173">
        <f ca="1">(VLOOKUP(AX$72,INDIRECT($C$5&amp;"生成成长"),2))/((VLOOKUP($B148,INDIRECT($B$5&amp;"生成成长"),4))/(VLOOKUP(AX$72,INDIRECT($C$5&amp;"生成成长"),5))*(VLOOKUP($B$5,标准坦克设计!$B$24:$U$30,MATCH("对"&amp;LEFT($C$5,2)&amp;"输出",标准坦克设计!$B$23:$U$23,0)))*(VLOOKUP($B148,INDIRECT($B$5&amp;"生成成长"),3))*(VLOOKUP($B$5,标准坦克设计!$B$14:$K$20,9)/30))</f>
        <v>3.4593591856603911</v>
      </c>
      <c r="AY148" s="173">
        <f ca="1">(VLOOKUP(AY$72,INDIRECT($C$5&amp;"生成成长"),2))/((VLOOKUP($B148,INDIRECT($B$5&amp;"生成成长"),4))/(VLOOKUP(AY$72,INDIRECT($C$5&amp;"生成成长"),5))*(VLOOKUP($B$5,标准坦克设计!$B$24:$U$30,MATCH("对"&amp;LEFT($C$5,2)&amp;"输出",标准坦克设计!$B$23:$U$23,0)))*(VLOOKUP($B148,INDIRECT($B$5&amp;"生成成长"),3))*(VLOOKUP($B$5,标准坦克设计!$B$14:$K$20,9)/30))</f>
        <v>3.8847470828500845</v>
      </c>
      <c r="AZ148" s="173">
        <f ca="1">(VLOOKUP(AZ$72,INDIRECT($C$5&amp;"生成成长"),2))/((VLOOKUP($B148,INDIRECT($B$5&amp;"生成成长"),4))/(VLOOKUP(AZ$72,INDIRECT($C$5&amp;"生成成长"),5))*(VLOOKUP($B$5,标准坦克设计!$B$24:$U$30,MATCH("对"&amp;LEFT($C$5,2)&amp;"输出",标准坦克设计!$B$23:$U$23,0)))*(VLOOKUP($B148,INDIRECT($B$5&amp;"生成成长"),3))*(VLOOKUP($B$5,标准坦克设计!$B$14:$K$20,9)/30))</f>
        <v>4.3347951479928035</v>
      </c>
      <c r="BA148" s="173">
        <f ca="1">(VLOOKUP(BA$72,INDIRECT($C$5&amp;"生成成长"),2))/((VLOOKUP($B148,INDIRECT($B$5&amp;"生成成长"),4))/(VLOOKUP(BA$72,INDIRECT($C$5&amp;"生成成长"),5))*(VLOOKUP($B$5,标准坦克设计!$B$24:$U$30,MATCH("对"&amp;LEFT($C$5,2)&amp;"输出",标准坦克设计!$B$23:$U$23,0)))*(VLOOKUP($B148,INDIRECT($B$5&amp;"生成成长"),3))*(VLOOKUP($B$5,标准坦克设计!$B$14:$K$20,9)/30))</f>
        <v>4.8095033810885486</v>
      </c>
      <c r="BB148" s="173">
        <f ca="1">(VLOOKUP(BB$72,INDIRECT($C$5&amp;"生成成长"),2))/((VLOOKUP($B148,INDIRECT($B$5&amp;"生成成长"),4))/(VLOOKUP(BB$72,INDIRECT($C$5&amp;"生成成长"),5))*(VLOOKUP($B$5,标准坦克设计!$B$24:$U$30,MATCH("对"&amp;LEFT($C$5,2)&amp;"输出",标准坦克设计!$B$23:$U$23,0)))*(VLOOKUP($B148,INDIRECT($B$5&amp;"生成成长"),3))*(VLOOKUP($B$5,标准坦克设计!$B$14:$K$20,9)/30))</f>
        <v>5.3088717821373201</v>
      </c>
      <c r="BC148" s="173">
        <f ca="1">(VLOOKUP(BC$72,INDIRECT($C$5&amp;"生成成长"),2))/((VLOOKUP($B148,INDIRECT($B$5&amp;"生成成长"),4))/(VLOOKUP(BC$72,INDIRECT($C$5&amp;"生成成长"),5))*(VLOOKUP($B$5,标准坦克设计!$B$24:$U$30,MATCH("对"&amp;LEFT($C$5,2)&amp;"输出",标准坦克设计!$B$23:$U$23,0)))*(VLOOKUP($B148,INDIRECT($B$5&amp;"生成成长"),3))*(VLOOKUP($B$5,标准坦克设计!$B$14:$K$20,9)/30))</f>
        <v>5.8329003511391164</v>
      </c>
      <c r="BD148" s="173">
        <f ca="1">(VLOOKUP(BD$72,INDIRECT($C$5&amp;"生成成长"),2))/((VLOOKUP($B148,INDIRECT($B$5&amp;"生成成长"),4))/(VLOOKUP(BD$72,INDIRECT($C$5&amp;"生成成长"),5))*(VLOOKUP($B$5,标准坦克设计!$B$24:$U$30,MATCH("对"&amp;LEFT($C$5,2)&amp;"输出",标准坦克设计!$B$23:$U$23,0)))*(VLOOKUP($B148,INDIRECT($B$5&amp;"生成成长"),3))*(VLOOKUP($B$5,标准坦克设计!$B$14:$K$20,9)/30))</f>
        <v>6.4519090982724894</v>
      </c>
      <c r="BE148" s="173">
        <f ca="1">(VLOOKUP(BE$72,INDIRECT($C$5&amp;"生成成长"),2))/((VLOOKUP($B148,INDIRECT($B$5&amp;"生成成长"),4))/(VLOOKUP(BE$72,INDIRECT($C$5&amp;"生成成长"),5))*(VLOOKUP($B$5,标准坦克设计!$B$24:$U$30,MATCH("对"&amp;LEFT($C$5,2)&amp;"输出",标准坦克设计!$B$23:$U$23,0)))*(VLOOKUP($B148,INDIRECT($B$5&amp;"生成成长"),3))*(VLOOKUP($B$5,标准坦克设计!$B$14:$K$20,9)/30))</f>
        <v>7.1021283704714104</v>
      </c>
      <c r="BF148" s="173">
        <f ca="1">(VLOOKUP(BF$72,INDIRECT($C$5&amp;"生成成长"),2))/((VLOOKUP($B148,INDIRECT($B$5&amp;"生成成长"),4))/(VLOOKUP(BF$72,INDIRECT($C$5&amp;"生成成长"),5))*(VLOOKUP($B$5,标准坦克设计!$B$24:$U$30,MATCH("对"&amp;LEFT($C$5,2)&amp;"输出",标准坦克设计!$B$23:$U$23,0)))*(VLOOKUP($B148,INDIRECT($B$5&amp;"生成成长"),3))*(VLOOKUP($B$5,标准坦克设计!$B$14:$K$20,9)/30))</f>
        <v>7.7835581677358778</v>
      </c>
      <c r="BG148" s="173">
        <f ca="1">(VLOOKUP(BG$72,INDIRECT($C$5&amp;"生成成长"),2))/((VLOOKUP($B148,INDIRECT($B$5&amp;"生成成长"),4))/(VLOOKUP(BG$72,INDIRECT($C$5&amp;"生成成长"),5))*(VLOOKUP($B$5,标准坦克设计!$B$24:$U$30,MATCH("对"&amp;LEFT($C$5,2)&amp;"输出",标准坦克设计!$B$23:$U$23,0)))*(VLOOKUP($B148,INDIRECT($B$5&amp;"生成成长"),3))*(VLOOKUP($B$5,标准坦克设计!$B$14:$K$20,9)/30))</f>
        <v>8.4961984900658951</v>
      </c>
      <c r="BH148" s="173">
        <f ca="1">(VLOOKUP(BH$72,INDIRECT($C$5&amp;"生成成长"),2))/((VLOOKUP($B148,INDIRECT($B$5&amp;"生成成长"),4))/(VLOOKUP(BH$72,INDIRECT($C$5&amp;"生成成长"),5))*(VLOOKUP($B$5,标准坦克设计!$B$24:$U$30,MATCH("对"&amp;LEFT($C$5,2)&amp;"输出",标准坦克设计!$B$23:$U$23,0)))*(VLOOKUP($B148,INDIRECT($B$5&amp;"生成成长"),3))*(VLOOKUP($B$5,标准坦克设计!$B$14:$K$20,9)/30))</f>
        <v>4.1066885944273164</v>
      </c>
      <c r="BI148" s="173">
        <f ca="1">(VLOOKUP(BI$72,INDIRECT($C$5&amp;"生成成长"),2))/((VLOOKUP($B148,INDIRECT($B$5&amp;"生成成长"),4))/(VLOOKUP(BI$72,INDIRECT($C$5&amp;"生成成长"),5))*(VLOOKUP($B$5,标准坦克设计!$B$24:$U$30,MATCH("对"&amp;LEFT($C$5,2)&amp;"输出",标准坦克设计!$B$23:$U$23,0)))*(VLOOKUP($B148,INDIRECT($B$5&amp;"生成成长"),3))*(VLOOKUP($B$5,标准坦克设计!$B$14:$K$20,9)/30))</f>
        <v>4.6285979302456512</v>
      </c>
      <c r="BJ148" s="173">
        <f ca="1">(VLOOKUP(BJ$72,INDIRECT($C$5&amp;"生成成长"),2))/((VLOOKUP($B148,INDIRECT($B$5&amp;"生成成长"),4))/(VLOOKUP(BJ$72,INDIRECT($C$5&amp;"生成成长"),5))*(VLOOKUP($B$5,标准坦克设计!$B$24:$U$30,MATCH("对"&amp;LEFT($C$5,2)&amp;"输出",标准坦克设计!$B$23:$U$23,0)))*(VLOOKUP($B148,INDIRECT($B$5&amp;"生成成长"),3))*(VLOOKUP($B$5,标准坦克设计!$B$14:$K$20,9)/30))</f>
        <v>5.1817177911295307</v>
      </c>
      <c r="BK148" s="173">
        <f ca="1">(VLOOKUP(BK$72,INDIRECT($C$5&amp;"生成成长"),2))/((VLOOKUP($B148,INDIRECT($B$5&amp;"生成成长"),4))/(VLOOKUP(BK$72,INDIRECT($C$5&amp;"生成成长"),5))*(VLOOKUP($B$5,标准坦克设计!$B$24:$U$30,MATCH("对"&amp;LEFT($C$5,2)&amp;"输出",标准坦克设计!$B$23:$U$23,0)))*(VLOOKUP($B148,INDIRECT($B$5&amp;"生成成长"),3))*(VLOOKUP($B$5,标准坦克设计!$B$14:$K$20,9)/30))</f>
        <v>5.7660481770789609</v>
      </c>
      <c r="BL148" s="173">
        <f ca="1">(VLOOKUP(BL$72,INDIRECT($C$5&amp;"生成成长"),2))/((VLOOKUP($B148,INDIRECT($B$5&amp;"生成成长"),4))/(VLOOKUP(BL$72,INDIRECT($C$5&amp;"生成成长"),5))*(VLOOKUP($B$5,标准坦克设计!$B$24:$U$30,MATCH("对"&amp;LEFT($C$5,2)&amp;"输出",标准坦克设计!$B$23:$U$23,0)))*(VLOOKUP($B148,INDIRECT($B$5&amp;"生成成长"),3))*(VLOOKUP($B$5,标准坦克设计!$B$14:$K$20,9)/30))</f>
        <v>6.3815890880939401</v>
      </c>
      <c r="BM148" s="173">
        <f ca="1">(VLOOKUP(BM$72,INDIRECT($C$5&amp;"生成成长"),2))/((VLOOKUP($B148,INDIRECT($B$5&amp;"生成成长"),4))/(VLOOKUP(BM$72,INDIRECT($C$5&amp;"生成成长"),5))*(VLOOKUP($B$5,标准坦克设计!$B$24:$U$30,MATCH("对"&amp;LEFT($C$5,2)&amp;"输出",标准坦克设计!$B$23:$U$23,0)))*(VLOOKUP($B148,INDIRECT($B$5&amp;"生成成长"),3))*(VLOOKUP($B$5,标准坦克设计!$B$14:$K$20,9)/30))</f>
        <v>7.0283405241744656</v>
      </c>
      <c r="BN148" s="173">
        <f ca="1">(VLOOKUP(BN$72,INDIRECT($C$5&amp;"生成成长"),2))/((VLOOKUP($B148,INDIRECT($B$5&amp;"生成成长"),4))/(VLOOKUP(BN$72,INDIRECT($C$5&amp;"生成成长"),5))*(VLOOKUP($B$5,标准坦克设计!$B$24:$U$30,MATCH("对"&amp;LEFT($C$5,2)&amp;"输出",标准坦克设计!$B$23:$U$23,0)))*(VLOOKUP($B148,INDIRECT($B$5&amp;"生成成长"),3))*(VLOOKUP($B$5,标准坦克设计!$B$14:$K$20,9)/30))</f>
        <v>7.7063024853205411</v>
      </c>
      <c r="BO148" s="173">
        <f ca="1">(VLOOKUP(BO$72,INDIRECT($C$5&amp;"生成成长"),2))/((VLOOKUP($B148,INDIRECT($B$5&amp;"生成成长"),4))/(VLOOKUP(BO$72,INDIRECT($C$5&amp;"生成成长"),5))*(VLOOKUP($B$5,标准坦克设计!$B$24:$U$30,MATCH("对"&amp;LEFT($C$5,2)&amp;"输出",标准坦克设计!$B$23:$U$23,0)))*(VLOOKUP($B148,INDIRECT($B$5&amp;"生成成长"),3))*(VLOOKUP($B$5,标准坦克设计!$B$14:$K$20,9)/30))</f>
        <v>8.4154749715321628</v>
      </c>
      <c r="BP148" s="173">
        <f ca="1">(VLOOKUP(BP$72,INDIRECT($C$5&amp;"生成成长"),2))/((VLOOKUP($B148,INDIRECT($B$5&amp;"生成成长"),4))/(VLOOKUP(BP$72,INDIRECT($C$5&amp;"生成成长"),5))*(VLOOKUP($B$5,标准坦克设计!$B$24:$U$30,MATCH("对"&amp;LEFT($C$5,2)&amp;"输出",标准坦克设计!$B$23:$U$23,0)))*(VLOOKUP($B148,INDIRECT($B$5&amp;"生成成长"),3))*(VLOOKUP($B$5,标准坦克设计!$B$14:$K$20,9)/30))</f>
        <v>9.1558579828093336</v>
      </c>
      <c r="BQ148" s="173">
        <f ca="1">(VLOOKUP(BQ$72,INDIRECT($C$5&amp;"生成成长"),2))/((VLOOKUP($B148,INDIRECT($B$5&amp;"生成成长"),4))/(VLOOKUP(BQ$72,INDIRECT($C$5&amp;"生成成长"),5))*(VLOOKUP($B$5,标准坦克设计!$B$24:$U$30,MATCH("对"&amp;LEFT($C$5,2)&amp;"输出",标准坦克设计!$B$23:$U$23,0)))*(VLOOKUP($B148,INDIRECT($B$5&amp;"生成成长"),3))*(VLOOKUP($B$5,标准坦克设计!$B$14:$K$20,9)/30))</f>
        <v>9.9274515191520525</v>
      </c>
      <c r="BR148" s="173">
        <f ca="1">(VLOOKUP(BR$72,INDIRECT($C$5&amp;"生成成长"),2))/((VLOOKUP($B148,INDIRECT($B$5&amp;"生成成长"),4))/(VLOOKUP(BR$72,INDIRECT($C$5&amp;"生成成长"),5))*(VLOOKUP($B$5,标准坦克设计!$B$24:$U$30,MATCH("对"&amp;LEFT($C$5,2)&amp;"输出",标准坦克设计!$B$23:$U$23,0)))*(VLOOKUP($B148,INDIRECT($B$5&amp;"生成成长"),3))*(VLOOKUP($B$5,标准坦克设计!$B$14:$K$20,9)/30))</f>
        <v>10.821382607449234</v>
      </c>
      <c r="BS148" s="173">
        <f ca="1">(VLOOKUP(BS$72,INDIRECT($C$5&amp;"生成成长"),2))/((VLOOKUP($B148,INDIRECT($B$5&amp;"生成成长"),4))/(VLOOKUP(BS$72,INDIRECT($C$5&amp;"生成成长"),5))*(VLOOKUP($B$5,标准坦克设计!$B$24:$U$30,MATCH("对"&amp;LEFT($C$5,2)&amp;"输出",标准坦克设计!$B$23:$U$23,0)))*(VLOOKUP($B148,INDIRECT($B$5&amp;"生成成长"),3))*(VLOOKUP($B$5,标准坦克设计!$B$14:$K$20,9)/30))</f>
        <v>11.75384520817302</v>
      </c>
      <c r="BT148" s="173">
        <f ca="1">(VLOOKUP(BT$72,INDIRECT($C$5&amp;"生成成长"),2))/((VLOOKUP($B148,INDIRECT($B$5&amp;"生成成长"),4))/(VLOOKUP(BT$72,INDIRECT($C$5&amp;"生成成长"),5))*(VLOOKUP($B$5,标准坦克设计!$B$24:$U$30,MATCH("对"&amp;LEFT($C$5,2)&amp;"输出",标准坦克设计!$B$23:$U$23,0)))*(VLOOKUP($B148,INDIRECT($B$5&amp;"生成成长"),3))*(VLOOKUP($B$5,标准坦克设计!$B$14:$K$20,9)/30))</f>
        <v>12.72483932132341</v>
      </c>
      <c r="BU148" s="173">
        <f ca="1">(VLOOKUP(BU$72,INDIRECT($C$5&amp;"生成成长"),2))/((VLOOKUP($B148,INDIRECT($B$5&amp;"生成成长"),4))/(VLOOKUP(BU$72,INDIRECT($C$5&amp;"生成成长"),5))*(VLOOKUP($B$5,标准坦克设计!$B$24:$U$30,MATCH("对"&amp;LEFT($C$5,2)&amp;"输出",标准坦克设计!$B$23:$U$23,0)))*(VLOOKUP($B148,INDIRECT($B$5&amp;"生成成长"),3))*(VLOOKUP($B$5,标准坦克设计!$B$14:$K$20,9)/30))</f>
        <v>13.734364946900401</v>
      </c>
      <c r="BV148" s="173">
        <f ca="1">(VLOOKUP(BV$72,INDIRECT($C$5&amp;"生成成长"),2))/((VLOOKUP($B148,INDIRECT($B$5&amp;"生成成长"),4))/(VLOOKUP(BV$72,INDIRECT($C$5&amp;"生成成长"),5))*(VLOOKUP($B$5,标准坦克设计!$B$24:$U$30,MATCH("对"&amp;LEFT($C$5,2)&amp;"输出",标准坦克设计!$B$23:$U$23,0)))*(VLOOKUP($B148,INDIRECT($B$5&amp;"生成成长"),3))*(VLOOKUP($B$5,标准坦克设计!$B$14:$K$20,9)/30))</f>
        <v>14.782422084903992</v>
      </c>
      <c r="BW148" s="173">
        <f ca="1">(VLOOKUP(BW$72,INDIRECT($C$5&amp;"生成成长"),2))/((VLOOKUP($B148,INDIRECT($B$5&amp;"生成成长"),4))/(VLOOKUP(BW$72,INDIRECT($C$5&amp;"生成成长"),5))*(VLOOKUP($B$5,标准坦克设计!$B$24:$U$30,MATCH("对"&amp;LEFT($C$5,2)&amp;"输出",标准坦克设计!$B$23:$U$23,0)))*(VLOOKUP($B148,INDIRECT($B$5&amp;"生成成长"),3))*(VLOOKUP($B$5,标准坦克设计!$B$14:$K$20,9)/30))</f>
        <v>6.7370422902293505</v>
      </c>
      <c r="BX148" s="173">
        <f ca="1">(VLOOKUP(BX$72,INDIRECT($C$5&amp;"生成成长"),2))/((VLOOKUP($B148,INDIRECT($B$5&amp;"生成成长"),4))/(VLOOKUP(BX$72,INDIRECT($C$5&amp;"生成成长"),5))*(VLOOKUP($B$5,标准坦克设计!$B$24:$U$30,MATCH("对"&amp;LEFT($C$5,2)&amp;"输出",标准坦克设计!$B$23:$U$23,0)))*(VLOOKUP($B148,INDIRECT($B$5&amp;"生成成长"),3))*(VLOOKUP($B$5,标准坦克设计!$B$14:$K$20,9)/30))</f>
        <v>7.4768473288201216</v>
      </c>
      <c r="BY148" s="173">
        <f ca="1">(VLOOKUP(BY$72,INDIRECT($C$5&amp;"生成成长"),2))/((VLOOKUP($B148,INDIRECT($B$5&amp;"生成成长"),4))/(VLOOKUP(BY$72,INDIRECT($C$5&amp;"生成成长"),5))*(VLOOKUP($B$5,标准坦克设计!$B$24:$U$30,MATCH("对"&amp;LEFT($C$5,2)&amp;"输出",标准坦克设计!$B$23:$U$23,0)))*(VLOOKUP($B148,INDIRECT($B$5&amp;"生成成长"),3))*(VLOOKUP($B$5,标准坦克设计!$B$14:$K$20,9)/30))</f>
        <v>8.2551838798374959</v>
      </c>
      <c r="BZ148" s="173">
        <f ca="1">(VLOOKUP(BZ$72,INDIRECT($C$5&amp;"生成成长"),2))/((VLOOKUP($B148,INDIRECT($B$5&amp;"生成成长"),4))/(VLOOKUP(BZ$72,INDIRECT($C$5&amp;"生成成长"),5))*(VLOOKUP($B$5,标准坦克设计!$B$24:$U$30,MATCH("对"&amp;LEFT($C$5,2)&amp;"输出",标准坦克设计!$B$23:$U$23,0)))*(VLOOKUP($B148,INDIRECT($B$5&amp;"生成成长"),3))*(VLOOKUP($B$5,标准坦克设计!$B$14:$K$20,9)/30))</f>
        <v>9.0720519432814726</v>
      </c>
      <c r="CA148" s="173">
        <f ca="1">(VLOOKUP(CA$72,INDIRECT($C$5&amp;"生成成长"),2))/((VLOOKUP($B148,INDIRECT($B$5&amp;"生成成长"),4))/(VLOOKUP(CA$72,INDIRECT($C$5&amp;"生成成长"),5))*(VLOOKUP($B$5,标准坦克设计!$B$24:$U$30,MATCH("对"&amp;LEFT($C$5,2)&amp;"输出",标准坦克设计!$B$23:$U$23,0)))*(VLOOKUP($B148,INDIRECT($B$5&amp;"生成成长"),3))*(VLOOKUP($B$5,标准坦克设计!$B$14:$K$20,9)/30))</f>
        <v>9.9274515191520525</v>
      </c>
      <c r="CB148" s="173">
        <f ca="1">(VLOOKUP(CB$72,INDIRECT($C$5&amp;"生成成长"),2))/((VLOOKUP($B148,INDIRECT($B$5&amp;"生成成长"),4))/(VLOOKUP(CB$72,INDIRECT($C$5&amp;"生成成长"),5))*(VLOOKUP($B$5,标准坦克设计!$B$24:$U$30,MATCH("对"&amp;LEFT($C$5,2)&amp;"输出",标准坦克设计!$B$23:$U$23,0)))*(VLOOKUP($B148,INDIRECT($B$5&amp;"生成成长"),3))*(VLOOKUP($B$5,标准坦克设计!$B$14:$K$20,9)/30))</f>
        <v>10.821382607449234</v>
      </c>
      <c r="CC148" s="173">
        <f ca="1">(VLOOKUP(CC$72,INDIRECT($C$5&amp;"生成成长"),2))/((VLOOKUP($B148,INDIRECT($B$5&amp;"生成成长"),4))/(VLOOKUP(CC$72,INDIRECT($C$5&amp;"生成成长"),5))*(VLOOKUP($B$5,标准坦克设计!$B$24:$U$30,MATCH("对"&amp;LEFT($C$5,2)&amp;"输出",标准坦克设计!$B$23:$U$23,0)))*(VLOOKUP($B148,INDIRECT($B$5&amp;"生成成长"),3))*(VLOOKUP($B$5,标准坦克设计!$B$14:$K$20,9)/30))</f>
        <v>11.75384520817302</v>
      </c>
      <c r="CD148" s="173">
        <f ca="1">(VLOOKUP(CD$72,INDIRECT($C$5&amp;"生成成长"),2))/((VLOOKUP($B148,INDIRECT($B$5&amp;"生成成长"),4))/(VLOOKUP(CD$72,INDIRECT($C$5&amp;"生成成长"),5))*(VLOOKUP($B$5,标准坦克设计!$B$24:$U$30,MATCH("对"&amp;LEFT($C$5,2)&amp;"输出",标准坦克设计!$B$23:$U$23,0)))*(VLOOKUP($B148,INDIRECT($B$5&amp;"生成成长"),3))*(VLOOKUP($B$5,标准坦克设计!$B$14:$K$20,9)/30))</f>
        <v>12.72483932132341</v>
      </c>
      <c r="CE148" s="173">
        <f ca="1">(VLOOKUP(CE$72,INDIRECT($C$5&amp;"生成成长"),2))/((VLOOKUP($B148,INDIRECT($B$5&amp;"生成成长"),4))/(VLOOKUP(CE$72,INDIRECT($C$5&amp;"生成成长"),5))*(VLOOKUP($B$5,标准坦克设计!$B$24:$U$30,MATCH("对"&amp;LEFT($C$5,2)&amp;"输出",标准坦克设计!$B$23:$U$23,0)))*(VLOOKUP($B148,INDIRECT($B$5&amp;"生成成长"),3))*(VLOOKUP($B$5,标准坦克设计!$B$14:$K$20,9)/30))</f>
        <v>13.734364946900401</v>
      </c>
      <c r="CF148" s="173">
        <f ca="1">(VLOOKUP(CF$72,INDIRECT($C$5&amp;"生成成长"),2))/((VLOOKUP($B148,INDIRECT($B$5&amp;"生成成长"),4))/(VLOOKUP(CF$72,INDIRECT($C$5&amp;"生成成长"),5))*(VLOOKUP($B$5,标准坦克设计!$B$24:$U$30,MATCH("对"&amp;LEFT($C$5,2)&amp;"输出",标准坦克设计!$B$23:$U$23,0)))*(VLOOKUP($B148,INDIRECT($B$5&amp;"生成成长"),3))*(VLOOKUP($B$5,标准坦克设计!$B$14:$K$20,9)/30))</f>
        <v>14.782422084903992</v>
      </c>
      <c r="CG148" s="173">
        <f ca="1">(VLOOKUP(CG$72,INDIRECT($C$5&amp;"生成成长"),2))/((VLOOKUP($B148,INDIRECT($B$5&amp;"生成成长"),4))/(VLOOKUP(CG$72,INDIRECT($C$5&amp;"生成成长"),5))*(VLOOKUP($B$5,标准坦克设计!$B$24:$U$30,MATCH("对"&amp;LEFT($C$5,2)&amp;"输出",标准坦克设计!$B$23:$U$23,0)))*(VLOOKUP($B148,INDIRECT($B$5&amp;"生成成长"),3))*(VLOOKUP($B$5,标准坦克设计!$B$14:$K$20,9)/30))</f>
        <v>15.869010735334189</v>
      </c>
      <c r="CH148" s="173">
        <f ca="1">(VLOOKUP(CH$72,INDIRECT($C$5&amp;"生成成长"),2))/((VLOOKUP($B148,INDIRECT($B$5&amp;"生成成长"),4))/(VLOOKUP(CH$72,INDIRECT($C$5&amp;"生成成长"),5))*(VLOOKUP($B$5,标准坦克设计!$B$24:$U$30,MATCH("对"&amp;LEFT($C$5,2)&amp;"输出",标准坦克设计!$B$23:$U$23,0)))*(VLOOKUP($B148,INDIRECT($B$5&amp;"生成成长"),3))*(VLOOKUP($B$5,标准坦克设计!$B$14:$K$20,9)/30))</f>
        <v>16.994130898190988</v>
      </c>
      <c r="CI148" s="173">
        <f ca="1">(VLOOKUP(CI$72,INDIRECT($C$5&amp;"生成成长"),2))/((VLOOKUP($B148,INDIRECT($B$5&amp;"生成成长"),4))/(VLOOKUP(CI$72,INDIRECT($C$5&amp;"生成成长"),5))*(VLOOKUP($B$5,标准坦克设计!$B$24:$U$30,MATCH("对"&amp;LEFT($C$5,2)&amp;"输出",标准坦克设计!$B$23:$U$23,0)))*(VLOOKUP($B148,INDIRECT($B$5&amp;"生成成长"),3))*(VLOOKUP($B$5,标准坦克设计!$B$14:$K$20,9)/30))</f>
        <v>18.276266974186193</v>
      </c>
      <c r="CJ148" s="173">
        <f ca="1">(VLOOKUP(CJ$72,INDIRECT($C$5&amp;"生成成长"),2))/((VLOOKUP($B148,INDIRECT($B$5&amp;"生成成长"),4))/(VLOOKUP(CJ$72,INDIRECT($C$5&amp;"生成成长"),5))*(VLOOKUP($B$5,标准坦克设计!$B$24:$U$30,MATCH("对"&amp;LEFT($C$5,2)&amp;"输出",标准坦克设计!$B$23:$U$23,0)))*(VLOOKUP($B148,INDIRECT($B$5&amp;"生成成长"),3))*(VLOOKUP($B$5,标准坦克设计!$B$14:$K$20,9)/30))</f>
        <v>19.605026180217592</v>
      </c>
      <c r="CK148" s="173">
        <f ca="1">(VLOOKUP(CK$72,INDIRECT($C$5&amp;"生成成长"),2))/((VLOOKUP($B148,INDIRECT($B$5&amp;"生成成长"),4))/(VLOOKUP(CK$72,INDIRECT($C$5&amp;"生成成长"),5))*(VLOOKUP($B$5,标准坦克设计!$B$24:$U$30,MATCH("对"&amp;LEFT($C$5,2)&amp;"输出",标准坦克设计!$B$23:$U$23,0)))*(VLOOKUP($B148,INDIRECT($B$5&amp;"生成成长"),3))*(VLOOKUP($B$5,标准坦克设计!$B$14:$K$20,9)/30))</f>
        <v>20.980408516285173</v>
      </c>
      <c r="CL148" s="173">
        <f ca="1">(VLOOKUP(CL$72,INDIRECT($C$5&amp;"生成成长"),2))/((VLOOKUP($B148,INDIRECT($B$5&amp;"生成成长"),4))/(VLOOKUP(CL$72,INDIRECT($C$5&amp;"生成成长"),5))*(VLOOKUP($B$5,标准坦克设计!$B$24:$U$30,MATCH("对"&amp;LEFT($C$5,2)&amp;"输出",标准坦克设计!$B$23:$U$23,0)))*(VLOOKUP($B148,INDIRECT($B$5&amp;"生成成长"),3))*(VLOOKUP($B$5,标准坦克设计!$B$14:$K$20,9)/30))</f>
        <v>22.402413982388946</v>
      </c>
      <c r="CM148" s="173">
        <f ca="1">(VLOOKUP(CM$72,INDIRECT($C$5&amp;"生成成长"),2))/((VLOOKUP($B148,INDIRECT($B$5&amp;"生成成长"),4))/(VLOOKUP(CM$72,INDIRECT($C$5&amp;"生成成长"),5))*(VLOOKUP($B$5,标准坦克设计!$B$24:$U$30,MATCH("对"&amp;LEFT($C$5,2)&amp;"输出",标准坦克设计!$B$23:$U$23,0)))*(VLOOKUP($B148,INDIRECT($B$5&amp;"生成成长"),3))*(VLOOKUP($B$5,标准坦克设计!$B$14:$K$20,9)/30))</f>
        <v>23.871042578528911</v>
      </c>
      <c r="CN148" s="173">
        <f ca="1">(VLOOKUP(CN$72,INDIRECT($C$5&amp;"生成成长"),2))/((VLOOKUP($B148,INDIRECT($B$5&amp;"生成成长"),4))/(VLOOKUP(CN$72,INDIRECT($C$5&amp;"生成成长"),5))*(VLOOKUP($B$5,标准坦克设计!$B$24:$U$30,MATCH("对"&amp;LEFT($C$5,2)&amp;"输出",标准坦克设计!$B$23:$U$23,0)))*(VLOOKUP($B148,INDIRECT($B$5&amp;"生成成长"),3))*(VLOOKUP($B$5,标准坦克设计!$B$14:$K$20,9)/30))</f>
        <v>25.386294304705054</v>
      </c>
      <c r="CO148" s="173">
        <f ca="1">(VLOOKUP(CO$72,INDIRECT($C$5&amp;"生成成长"),2))/((VLOOKUP($B148,INDIRECT($B$5&amp;"生成成长"),4))/(VLOOKUP(CO$72,INDIRECT($C$5&amp;"生成成长"),5))*(VLOOKUP($B$5,标准坦克设计!$B$24:$U$30,MATCH("对"&amp;LEFT($C$5,2)&amp;"输出",标准坦克设计!$B$23:$U$23,0)))*(VLOOKUP($B148,INDIRECT($B$5&amp;"生成成长"),3))*(VLOOKUP($B$5,标准坦克设计!$B$14:$K$20,9)/30))</f>
        <v>11.376236386392314</v>
      </c>
      <c r="CP148" s="173">
        <f ca="1">(VLOOKUP(CP$72,INDIRECT($C$5&amp;"生成成长"),2))/((VLOOKUP($B148,INDIRECT($B$5&amp;"生成成长"),4))/(VLOOKUP(CP$72,INDIRECT($C$5&amp;"生成成长"),5))*(VLOOKUP($B$5,标准坦克设计!$B$24:$U$30,MATCH("对"&amp;LEFT($C$5,2)&amp;"输出",标准坦克设计!$B$23:$U$23,0)))*(VLOOKUP($B148,INDIRECT($B$5&amp;"生成成长"),3))*(VLOOKUP($B$5,标准坦克设计!$B$14:$K$20,9)/30))</f>
        <v>12.4294952785735</v>
      </c>
      <c r="CQ148" s="173">
        <f ca="1">(VLOOKUP(CQ$72,INDIRECT($C$5&amp;"生成成长"),2))/((VLOOKUP($B148,INDIRECT($B$5&amp;"生成成长"),4))/(VLOOKUP(CQ$72,INDIRECT($C$5&amp;"生成成长"),5))*(VLOOKUP($B$5,标准坦克设计!$B$24:$U$30,MATCH("对"&amp;LEFT($C$5,2)&amp;"输出",标准坦克设计!$B$23:$U$23,0)))*(VLOOKUP($B148,INDIRECT($B$5&amp;"生成成长"),3))*(VLOOKUP($B$5,标准坦克设计!$B$14:$K$20,9)/30))</f>
        <v>13.529377300790875</v>
      </c>
      <c r="CR148" s="173">
        <f ca="1">(VLOOKUP(CR$72,INDIRECT($C$5&amp;"生成成长"),2))/((VLOOKUP($B148,INDIRECT($B$5&amp;"生成成长"),4))/(VLOOKUP(CR$72,INDIRECT($C$5&amp;"生成成长"),5))*(VLOOKUP($B$5,标准坦克设计!$B$24:$U$30,MATCH("对"&amp;LEFT($C$5,2)&amp;"输出",标准坦克设计!$B$23:$U$23,0)))*(VLOOKUP($B148,INDIRECT($B$5&amp;"生成成长"),3))*(VLOOKUP($B$5,标准坦克设计!$B$14:$K$20,9)/30))</f>
        <v>14.675882453044435</v>
      </c>
      <c r="CS148" s="173">
        <f ca="1">(VLOOKUP(CS$72,INDIRECT($C$5&amp;"生成成长"),2))/((VLOOKUP($B148,INDIRECT($B$5&amp;"生成成长"),4))/(VLOOKUP(CS$72,INDIRECT($C$5&amp;"生成成长"),5))*(VLOOKUP($B$5,标准坦克设计!$B$24:$U$30,MATCH("对"&amp;LEFT($C$5,2)&amp;"输出",标准坦克设计!$B$23:$U$23,0)))*(VLOOKUP($B148,INDIRECT($B$5&amp;"生成成长"),3))*(VLOOKUP($B$5,标准坦克设计!$B$14:$K$20,9)/30))</f>
        <v>15.869010735334189</v>
      </c>
      <c r="CT148" s="173">
        <f ca="1">(VLOOKUP(CT$72,INDIRECT($C$5&amp;"生成成长"),2))/((VLOOKUP($B148,INDIRECT($B$5&amp;"生成成长"),4))/(VLOOKUP(CT$72,INDIRECT($C$5&amp;"生成成长"),5))*(VLOOKUP($B$5,标准坦克设计!$B$24:$U$30,MATCH("对"&amp;LEFT($C$5,2)&amp;"输出",标准坦克设计!$B$23:$U$23,0)))*(VLOOKUP($B148,INDIRECT($B$5&amp;"生成成长"),3))*(VLOOKUP($B$5,标准坦克设计!$B$14:$K$20,9)/30))</f>
        <v>17.108762147660133</v>
      </c>
      <c r="CU148" s="173">
        <f ca="1">(VLOOKUP(CU$72,INDIRECT($C$5&amp;"生成成长"),2))/((VLOOKUP($B148,INDIRECT($B$5&amp;"生成成长"),4))/(VLOOKUP(CU$72,INDIRECT($C$5&amp;"生成成长"),5))*(VLOOKUP($B$5,标准坦克设计!$B$24:$U$30,MATCH("对"&amp;LEFT($C$5,2)&amp;"输出",标准坦克设计!$B$23:$U$23,0)))*(VLOOKUP($B148,INDIRECT($B$5&amp;"生成成长"),3))*(VLOOKUP($B$5,标准坦克设计!$B$14:$K$20,9)/30))</f>
        <v>18.395136690022266</v>
      </c>
      <c r="CV148" s="173">
        <f ca="1">(VLOOKUP(CV$72,INDIRECT($C$5&amp;"生成成长"),2))/((VLOOKUP($B148,INDIRECT($B$5&amp;"生成成长"),4))/(VLOOKUP(CV$72,INDIRECT($C$5&amp;"生成成长"),5))*(VLOOKUP($B$5,标准坦克设计!$B$24:$U$30,MATCH("对"&amp;LEFT($C$5,2)&amp;"输出",标准坦克设计!$B$23:$U$23,0)))*(VLOOKUP($B148,INDIRECT($B$5&amp;"生成成长"),3))*(VLOOKUP($B$5,标准坦克设计!$B$14:$K$20,9)/30))</f>
        <v>19.72813436242058</v>
      </c>
      <c r="CW148" s="173">
        <f ca="1">(VLOOKUP(CW$72,INDIRECT($C$5&amp;"生成成长"),2))/((VLOOKUP($B148,INDIRECT($B$5&amp;"生成成长"),4))/(VLOOKUP(CW$72,INDIRECT($C$5&amp;"生成成长"),5))*(VLOOKUP($B$5,标准坦克设计!$B$24:$U$30,MATCH("对"&amp;LEFT($C$5,2)&amp;"输出",标准坦克设计!$B$23:$U$23,0)))*(VLOOKUP($B148,INDIRECT($B$5&amp;"生成成长"),3))*(VLOOKUP($B$5,标准坦克设计!$B$14:$K$20,9)/30))</f>
        <v>21.107755164855096</v>
      </c>
      <c r="CX148" s="173">
        <f ca="1">(VLOOKUP(CX$72,INDIRECT($C$5&amp;"生成成长"),2))/((VLOOKUP($B148,INDIRECT($B$5&amp;"生成成长"),4))/(VLOOKUP(CX$72,INDIRECT($C$5&amp;"生成成长"),5))*(VLOOKUP($B$5,标准坦克设计!$B$24:$U$30,MATCH("对"&amp;LEFT($C$5,2)&amp;"输出",标准坦克设计!$B$23:$U$23,0)))*(VLOOKUP($B148,INDIRECT($B$5&amp;"生成成长"),3))*(VLOOKUP($B$5,标准坦克设计!$B$14:$K$20,9)/30))</f>
        <v>22.53399909732579</v>
      </c>
      <c r="CY148" s="173">
        <f ca="1">(VLOOKUP(CY$72,INDIRECT($C$5&amp;"生成成长"),2))/((VLOOKUP($B148,INDIRECT($B$5&amp;"生成成长"),4))/(VLOOKUP(CY$72,INDIRECT($C$5&amp;"生成成长"),5))*(VLOOKUP($B$5,标准坦克设计!$B$24:$U$30,MATCH("对"&amp;LEFT($C$5,2)&amp;"输出",标准坦克设计!$B$23:$U$23,0)))*(VLOOKUP($B148,INDIRECT($B$5&amp;"生成成长"),3))*(VLOOKUP($B$5,标准坦克设计!$B$14:$K$20,9)/30))</f>
        <v>24.006866159832679</v>
      </c>
      <c r="CZ148" s="173">
        <f ca="1">(VLOOKUP(CZ$72,INDIRECT($C$5&amp;"生成成长"),2))/((VLOOKUP($B148,INDIRECT($B$5&amp;"生成成长"),4))/(VLOOKUP(CZ$72,INDIRECT($C$5&amp;"生成成长"),5))*(VLOOKUP($B$5,标准坦克设计!$B$24:$U$30,MATCH("对"&amp;LEFT($C$5,2)&amp;"输出",标准坦克设计!$B$23:$U$23,0)))*(VLOOKUP($B148,INDIRECT($B$5&amp;"生成成长"),3))*(VLOOKUP($B$5,标准坦克设计!$B$14:$K$20,9)/30))</f>
        <v>25.52635635237576</v>
      </c>
      <c r="DA148" s="173">
        <f ca="1">(VLOOKUP(DA$72,INDIRECT($C$5&amp;"生成成长"),2))/((VLOOKUP($B148,INDIRECT($B$5&amp;"生成成长"),4))/(VLOOKUP(DA$72,INDIRECT($C$5&amp;"生成成长"),5))*(VLOOKUP($B$5,标准坦克设计!$B$24:$U$30,MATCH("对"&amp;LEFT($C$5,2)&amp;"输出",标准坦克设计!$B$23:$U$23,0)))*(VLOOKUP($B148,INDIRECT($B$5&amp;"生成成长"),3))*(VLOOKUP($B$5,标准坦克设计!$B$14:$K$20,9)/30))</f>
        <v>27.09246967495503</v>
      </c>
      <c r="DB148" s="173">
        <f ca="1">(VLOOKUP(DB$72,INDIRECT($C$5&amp;"生成成长"),2))/((VLOOKUP($B148,INDIRECT($B$5&amp;"生成成长"),4))/(VLOOKUP(DB$72,INDIRECT($C$5&amp;"生成成长"),5))*(VLOOKUP($B$5,标准坦克设计!$B$24:$U$30,MATCH("对"&amp;LEFT($C$5,2)&amp;"输出",标准坦克设计!$B$23:$U$23,0)))*(VLOOKUP($B148,INDIRECT($B$5&amp;"生成成长"),3))*(VLOOKUP($B$5,标准坦克设计!$B$14:$K$20,9)/30))</f>
        <v>28.705206127570481</v>
      </c>
      <c r="DC148" s="173">
        <f ca="1">(VLOOKUP(DC$72,INDIRECT($C$5&amp;"生成成长"),2))/((VLOOKUP($B148,INDIRECT($B$5&amp;"生成成长"),4))/(VLOOKUP(DC$72,INDIRECT($C$5&amp;"生成成长"),5))*(VLOOKUP($B$5,标准坦克设计!$B$24:$U$30,MATCH("对"&amp;LEFT($C$5,2)&amp;"输出",标准坦克设计!$B$23:$U$23,0)))*(VLOOKUP($B148,INDIRECT($B$5&amp;"生成成长"),3))*(VLOOKUP($B$5,标准坦克设计!$B$14:$K$20,9)/30))</f>
        <v>30.517728472117877</v>
      </c>
      <c r="DD148" s="173">
        <f ca="1">(VLOOKUP(DD$72,INDIRECT($C$5&amp;"生成成长"),2))/((VLOOKUP($B148,INDIRECT($B$5&amp;"生成成长"),4))/(VLOOKUP(DD$72,INDIRECT($C$5&amp;"生成成长"),5))*(VLOOKUP($B$5,标准坦克设计!$B$24:$U$30,MATCH("对"&amp;LEFT($C$5,2)&amp;"输出",标准坦克设计!$B$23:$U$23,0)))*(VLOOKUP($B148,INDIRECT($B$5&amp;"生成成长"),3))*(VLOOKUP($B$5,标准坦克设计!$B$14:$K$20,9)/30))</f>
        <v>32.38573619455957</v>
      </c>
      <c r="DE148" s="173">
        <f ca="1">(VLOOKUP(DE$72,INDIRECT($C$5&amp;"生成成长"),2))/((VLOOKUP($B148,INDIRECT($B$5&amp;"生成成长"),4))/(VLOOKUP(DE$72,INDIRECT($C$5&amp;"生成成长"),5))*(VLOOKUP($B$5,标准坦克设计!$B$24:$U$30,MATCH("对"&amp;LEFT($C$5,2)&amp;"输出",标准坦克设计!$B$23:$U$23,0)))*(VLOOKUP($B148,INDIRECT($B$5&amp;"生成成长"),3))*(VLOOKUP($B$5,标准坦克设计!$B$14:$K$20,9)/30))</f>
        <v>34.309229294895573</v>
      </c>
      <c r="DF148" s="173">
        <f ca="1">(VLOOKUP(DF$72,INDIRECT($C$5&amp;"生成成长"),2))/((VLOOKUP($B148,INDIRECT($B$5&amp;"生成成长"),4))/(VLOOKUP(DF$72,INDIRECT($C$5&amp;"生成成长"),5))*(VLOOKUP($B$5,标准坦克设计!$B$24:$U$30,MATCH("对"&amp;LEFT($C$5,2)&amp;"输出",标准坦克设计!$B$23:$U$23,0)))*(VLOOKUP($B148,INDIRECT($B$5&amp;"生成成长"),3))*(VLOOKUP($B$5,标准坦克设计!$B$14:$K$20,9)/30))</f>
        <v>36.28820777312589</v>
      </c>
      <c r="DG148" s="173">
        <f ca="1">(VLOOKUP(DG$72,INDIRECT($C$5&amp;"生成成长"),2))/((VLOOKUP($B148,INDIRECT($B$5&amp;"生成成长"),4))/(VLOOKUP(DG$72,INDIRECT($C$5&amp;"生成成长"),5))*(VLOOKUP($B$5,标准坦克设计!$B$24:$U$30,MATCH("对"&amp;LEFT($C$5,2)&amp;"输出",标准坦克设计!$B$23:$U$23,0)))*(VLOOKUP($B148,INDIRECT($B$5&amp;"生成成长"),3))*(VLOOKUP($B$5,标准坦克设计!$B$14:$K$20,9)/30))</f>
        <v>38.322671629250515</v>
      </c>
      <c r="DH148" s="173">
        <f ca="1">(VLOOKUP(DH$72,INDIRECT($C$5&amp;"生成成长"),2))/((VLOOKUP($B148,INDIRECT($B$5&amp;"生成成长"),4))/(VLOOKUP(DH$72,INDIRECT($C$5&amp;"生成成长"),5))*(VLOOKUP($B$5,标准坦克设计!$B$24:$U$30,MATCH("对"&amp;LEFT($C$5,2)&amp;"输出",标准坦克设计!$B$23:$U$23,0)))*(VLOOKUP($B148,INDIRECT($B$5&amp;"生成成长"),3))*(VLOOKUP($B$5,标准坦克设计!$B$14:$K$20,9)/30))</f>
        <v>40.412620863269453</v>
      </c>
      <c r="DI148" s="173">
        <f ca="1">(VLOOKUP(DI$72,INDIRECT($C$5&amp;"生成成长"),2))/((VLOOKUP($B148,INDIRECT($B$5&amp;"生成成长"),4))/(VLOOKUP(DI$72,INDIRECT($C$5&amp;"生成成长"),5))*(VLOOKUP($B$5,标准坦克设计!$B$24:$U$30,MATCH("对"&amp;LEFT($C$5,2)&amp;"输出",标准坦克设计!$B$23:$U$23,0)))*(VLOOKUP($B148,INDIRECT($B$5&amp;"生成成长"),3))*(VLOOKUP($B$5,标准坦克设计!$B$14:$K$20,9)/30))</f>
        <v>42.558055475182677</v>
      </c>
      <c r="DJ148" s="173">
        <f ca="1">(VLOOKUP(DJ$72,INDIRECT($C$5&amp;"生成成长"),2))/((VLOOKUP($B148,INDIRECT($B$5&amp;"生成成长"),4))/(VLOOKUP(DJ$72,INDIRECT($C$5&amp;"生成成长"),5))*(VLOOKUP($B$5,标准坦克设计!$B$24:$U$30,MATCH("对"&amp;LEFT($C$5,2)&amp;"输出",标准坦克设计!$B$23:$U$23,0)))*(VLOOKUP($B148,INDIRECT($B$5&amp;"生成成长"),3))*(VLOOKUP($B$5,标准坦克设计!$B$14:$K$20,9)/30))</f>
        <v>4.2771905369150334</v>
      </c>
      <c r="DK148" s="173">
        <f ca="1">(VLOOKUP(DK$72,INDIRECT($C$5&amp;"生成成长"),2))/((VLOOKUP($B148,INDIRECT($B$5&amp;"生成成长"),4))/(VLOOKUP(DK$72,INDIRECT($C$5&amp;"生成成长"),5))*(VLOOKUP($B$5,标准坦克设计!$B$24:$U$30,MATCH("对"&amp;LEFT($C$5,2)&amp;"输出",标准坦克设计!$B$23:$U$23,0)))*(VLOOKUP($B148,INDIRECT($B$5&amp;"生成成长"),3))*(VLOOKUP($B$5,标准坦克设计!$B$14:$K$20,9)/30))</f>
        <v>4.8095033810885486</v>
      </c>
      <c r="DL148" s="173">
        <f ca="1">(VLOOKUP(DL$72,INDIRECT($C$5&amp;"生成成长"),2))/((VLOOKUP($B148,INDIRECT($B$5&amp;"生成成长"),4))/(VLOOKUP(DL$72,INDIRECT($C$5&amp;"生成成长"),5))*(VLOOKUP($B$5,标准坦克设计!$B$24:$U$30,MATCH("对"&amp;LEFT($C$5,2)&amp;"输出",标准坦克设计!$B$23:$U$23,0)))*(VLOOKUP($B148,INDIRECT($B$5&amp;"生成成长"),3))*(VLOOKUP($B$5,标准坦克设计!$B$14:$K$20,9)/30))</f>
        <v>5.3730267503276137</v>
      </c>
      <c r="DM148" s="173">
        <f ca="1">(VLOOKUP(DM$72,INDIRECT($C$5&amp;"生成成长"),2))/((VLOOKUP($B148,INDIRECT($B$5&amp;"生成成长"),4))/(VLOOKUP(DM$72,INDIRECT($C$5&amp;"生成成长"),5))*(VLOOKUP($B$5,标准坦克设计!$B$24:$U$30,MATCH("对"&amp;LEFT($C$5,2)&amp;"输出",标准坦克设计!$B$23:$U$23,0)))*(VLOOKUP($B148,INDIRECT($B$5&amp;"生成成长"),3))*(VLOOKUP($B$5,标准坦克设计!$B$14:$K$20,9)/30))</f>
        <v>5.9677606446322278</v>
      </c>
      <c r="DN148" s="173">
        <f ca="1">(VLOOKUP(DN$72,INDIRECT($C$5&amp;"生成成长"),2))/((VLOOKUP($B148,INDIRECT($B$5&amp;"生成成长"),4))/(VLOOKUP(DN$72,INDIRECT($C$5&amp;"生成成长"),5))*(VLOOKUP($B$5,标准坦克设计!$B$24:$U$30,MATCH("对"&amp;LEFT($C$5,2)&amp;"输出",标准坦克设计!$B$23:$U$23,0)))*(VLOOKUP($B148,INDIRECT($B$5&amp;"生成成长"),3))*(VLOOKUP($B$5,标准坦克设计!$B$14:$K$20,9)/30))</f>
        <v>6.5937050640023882</v>
      </c>
      <c r="DO148" s="173">
        <f ca="1">(VLOOKUP(DO$72,INDIRECT($C$5&amp;"生成成长"),2))/((VLOOKUP($B148,INDIRECT($B$5&amp;"生成成长"),4))/(VLOOKUP(DO$72,INDIRECT($C$5&amp;"生成成长"),5))*(VLOOKUP($B$5,标准坦克设计!$B$24:$U$30,MATCH("对"&amp;LEFT($C$5,2)&amp;"输出",标准坦克设计!$B$23:$U$23,0)))*(VLOOKUP($B148,INDIRECT($B$5&amp;"生成成长"),3))*(VLOOKUP($B$5,标准坦克设计!$B$14:$K$20,9)/30))</f>
        <v>7.2508600084380959</v>
      </c>
      <c r="DP148" s="173">
        <f ca="1">(VLOOKUP(DP$72,INDIRECT($C$5&amp;"生成成长"),2))/((VLOOKUP($B148,INDIRECT($B$5&amp;"生成成长"),4))/(VLOOKUP(DP$72,INDIRECT($C$5&amp;"生成成长"),5))*(VLOOKUP($B$5,标准坦克设计!$B$24:$U$30,MATCH("对"&amp;LEFT($C$5,2)&amp;"输出",标准坦克设计!$B$23:$U$23,0)))*(VLOOKUP($B148,INDIRECT($B$5&amp;"生成成长"),3))*(VLOOKUP($B$5,标准坦克设计!$B$14:$K$20,9)/30))</f>
        <v>7.9392254779393543</v>
      </c>
      <c r="DQ148" s="173">
        <f ca="1">(VLOOKUP(DQ$72,INDIRECT($C$5&amp;"生成成长"),2))/((VLOOKUP($B148,INDIRECT($B$5&amp;"生成成长"),4))/(VLOOKUP(DQ$72,INDIRECT($C$5&amp;"生成成长"),5))*(VLOOKUP($B$5,标准坦克设计!$B$24:$U$30,MATCH("对"&amp;LEFT($C$5,2)&amp;"输出",标准坦克设计!$B$23:$U$23,0)))*(VLOOKUP($B148,INDIRECT($B$5&amp;"生成成长"),3))*(VLOOKUP($B$5,标准坦克设计!$B$14:$K$20,9)/30))</f>
        <v>8.6588014725061591</v>
      </c>
      <c r="DR148" s="173">
        <f ca="1">(VLOOKUP(DR$72,INDIRECT($C$5&amp;"生成成长"),2))/((VLOOKUP($B148,INDIRECT($B$5&amp;"生成成长"),4))/(VLOOKUP(DR$72,INDIRECT($C$5&amp;"生成成长"),5))*(VLOOKUP($B$5,标准坦克设计!$B$24:$U$30,MATCH("对"&amp;LEFT($C$5,2)&amp;"输出",标准坦克设计!$B$23:$U$23,0)))*(VLOOKUP($B148,INDIRECT($B$5&amp;"生成成长"),3))*(VLOOKUP($B$5,标准坦克设计!$B$14:$K$20,9)/30))</f>
        <v>9.4095879921385119</v>
      </c>
      <c r="DS148" s="173">
        <f ca="1">(VLOOKUP(DS$72,INDIRECT($C$5&amp;"生成成长"),2))/((VLOOKUP($B148,INDIRECT($B$5&amp;"生成成长"),4))/(VLOOKUP(DS$72,INDIRECT($C$5&amp;"生成成长"),5))*(VLOOKUP($B$5,标准坦克设计!$B$24:$U$30,MATCH("对"&amp;LEFT($C$5,2)&amp;"输出",标准坦克设计!$B$23:$U$23,0)))*(VLOOKUP($B148,INDIRECT($B$5&amp;"生成成长"),3))*(VLOOKUP($B$5,标准坦克设计!$B$14:$K$20,9)/30))</f>
        <v>10.191585036836415</v>
      </c>
      <c r="DT148" s="173">
        <f ca="1">(VLOOKUP(DT$72,INDIRECT($C$5&amp;"生成成长"),2))/((VLOOKUP($B148,INDIRECT($B$5&amp;"生成成长"),4))/(VLOOKUP(DT$72,INDIRECT($C$5&amp;"生成成长"),5))*(VLOOKUP($B$5,标准坦克设计!$B$24:$U$30,MATCH("对"&amp;LEFT($C$5,2)&amp;"输出",标准坦克设计!$B$23:$U$23,0)))*(VLOOKUP($B148,INDIRECT($B$5&amp;"生成成长"),3))*(VLOOKUP($B$5,标准坦克设计!$B$14:$K$20,9)/30))</f>
        <v>11.189743866247557</v>
      </c>
      <c r="DU148" s="173">
        <f ca="1">(VLOOKUP(DU$72,INDIRECT($C$5&amp;"生成成长"),2))/((VLOOKUP($B148,INDIRECT($B$5&amp;"生成成长"),4))/(VLOOKUP(DU$72,INDIRECT($C$5&amp;"生成成长"),5))*(VLOOKUP($B$5,标准坦克设计!$B$24:$U$30,MATCH("对"&amp;LEFT($C$5,2)&amp;"输出",标准坦克设计!$B$23:$U$23,0)))*(VLOOKUP($B148,INDIRECT($B$5&amp;"生成成长"),3))*(VLOOKUP($B$5,标准坦克设计!$B$14:$K$20,9)/30))</f>
        <v>12.234525825694888</v>
      </c>
      <c r="DV148" s="173">
        <f ca="1">(VLOOKUP(DV$72,INDIRECT($C$5&amp;"生成成长"),2))/((VLOOKUP($B148,INDIRECT($B$5&amp;"生成成长"),4))/(VLOOKUP(DV$72,INDIRECT($C$5&amp;"生成成长"),5))*(VLOOKUP($B$5,标准坦克设计!$B$24:$U$30,MATCH("对"&amp;LEFT($C$5,2)&amp;"输出",标准坦克设计!$B$23:$U$23,0)))*(VLOOKUP($B148,INDIRECT($B$5&amp;"生成成长"),3))*(VLOOKUP($B$5,标准坦克设计!$B$14:$K$20,9)/30))</f>
        <v>13.325930915178411</v>
      </c>
      <c r="DW148" s="173">
        <f ca="1">(VLOOKUP(DW$72,INDIRECT($C$5&amp;"生成成长"),2))/((VLOOKUP($B148,INDIRECT($B$5&amp;"生成成长"),4))/(VLOOKUP(DW$72,INDIRECT($C$5&amp;"生成成长"),5))*(VLOOKUP($B$5,标准坦克设计!$B$24:$U$30,MATCH("对"&amp;LEFT($C$5,2)&amp;"输出",标准坦克设计!$B$23:$U$23,0)))*(VLOOKUP($B148,INDIRECT($B$5&amp;"生成成长"),3))*(VLOOKUP($B$5,标准坦克设计!$B$14:$K$20,9)/30))</f>
        <v>14.463959134698126</v>
      </c>
      <c r="DX148" s="173">
        <f ca="1">(VLOOKUP(DX$72,INDIRECT($C$5&amp;"生成成长"),2))/((VLOOKUP($B148,INDIRECT($B$5&amp;"生成成长"),4))/(VLOOKUP(DX$72,INDIRECT($C$5&amp;"生成成长"),5))*(VLOOKUP($B$5,标准坦克设计!$B$24:$U$30,MATCH("对"&amp;LEFT($C$5,2)&amp;"输出",标准坦克设计!$B$23:$U$23,0)))*(VLOOKUP($B148,INDIRECT($B$5&amp;"生成成长"),3))*(VLOOKUP($B$5,标准坦克设计!$B$14:$K$20,9)/30))</f>
        <v>15.64861048425402</v>
      </c>
      <c r="DY148" s="173">
        <f ca="1">(VLOOKUP(DY$72,INDIRECT($C$5&amp;"生成成长"),2))/((VLOOKUP($B148,INDIRECT($B$5&amp;"生成成长"),4))/(VLOOKUP(DY$72,INDIRECT($C$5&amp;"生成成长"),5))*(VLOOKUP($B$5,标准坦克设计!$B$24:$U$30,MATCH("对"&amp;LEFT($C$5,2)&amp;"输出",标准坦克设计!$B$23:$U$23,0)))*(VLOOKUP($B148,INDIRECT($B$5&amp;"生成成长"),3))*(VLOOKUP($B$5,标准坦克设计!$B$14:$K$20,9)/30))</f>
        <v>7.0283405241744656</v>
      </c>
      <c r="DZ148" s="173">
        <f ca="1">(VLOOKUP(DZ$72,INDIRECT($C$5&amp;"生成成长"),2))/((VLOOKUP($B148,INDIRECT($B$5&amp;"生成成长"),4))/(VLOOKUP(DZ$72,INDIRECT($C$5&amp;"生成成长"),5))*(VLOOKUP($B$5,标准坦克设计!$B$24:$U$30,MATCH("对"&amp;LEFT($C$5,2)&amp;"输出",标准坦克设计!$B$23:$U$23,0)))*(VLOOKUP($B148,INDIRECT($B$5&amp;"生成成长"),3))*(VLOOKUP($B$5,标准坦克设计!$B$14:$K$20,9)/30))</f>
        <v>7.7835581677358778</v>
      </c>
      <c r="EA148" s="173">
        <f ca="1">(VLOOKUP(EA$72,INDIRECT($C$5&amp;"生成成长"),2))/((VLOOKUP($B148,INDIRECT($B$5&amp;"生成成长"),4))/(VLOOKUP(EA$72,INDIRECT($C$5&amp;"生成成长"),5))*(VLOOKUP($B$5,标准坦克设计!$B$24:$U$30,MATCH("对"&amp;LEFT($C$5,2)&amp;"输出",标准坦克设计!$B$23:$U$23,0)))*(VLOOKUP($B148,INDIRECT($B$5&amp;"生成成长"),3))*(VLOOKUP($B$5,标准坦克设计!$B$14:$K$20,9)/30))</f>
        <v>8.5773073237238933</v>
      </c>
      <c r="EB148" s="173">
        <f ca="1">(VLOOKUP(EB$72,INDIRECT($C$5&amp;"生成成长"),2))/((VLOOKUP($B148,INDIRECT($B$5&amp;"生成成长"),4))/(VLOOKUP(EB$72,INDIRECT($C$5&amp;"生成成长"),5))*(VLOOKUP($B$5,标准坦克设计!$B$24:$U$30,MATCH("对"&amp;LEFT($C$5,2)&amp;"输出",标准坦克设计!$B$23:$U$23,0)))*(VLOOKUP($B148,INDIRECT($B$5&amp;"生成成长"),3))*(VLOOKUP($B$5,标准坦克设计!$B$14:$K$20,9)/30))</f>
        <v>9.4095879921385119</v>
      </c>
      <c r="EC148" s="173">
        <f ca="1">(VLOOKUP(EC$72,INDIRECT($C$5&amp;"生成成长"),2))/((VLOOKUP($B148,INDIRECT($B$5&amp;"生成成长"),4))/(VLOOKUP(EC$72,INDIRECT($C$5&amp;"生成成长"),5))*(VLOOKUP($B$5,标准坦克设计!$B$24:$U$30,MATCH("对"&amp;LEFT($C$5,2)&amp;"输出",标准坦克设计!$B$23:$U$23,0)))*(VLOOKUP($B148,INDIRECT($B$5&amp;"生成成长"),3))*(VLOOKUP($B$5,标准坦克设计!$B$14:$K$20,9)/30))</f>
        <v>10.280400172979732</v>
      </c>
      <c r="ED148" s="173">
        <f ca="1">(VLOOKUP(ED$72,INDIRECT($C$5&amp;"生成成长"),2))/((VLOOKUP($B148,INDIRECT($B$5&amp;"生成成长"),4))/(VLOOKUP(ED$72,INDIRECT($C$5&amp;"生成成长"),5))*(VLOOKUP($B$5,标准坦克设计!$B$24:$U$30,MATCH("对"&amp;LEFT($C$5,2)&amp;"输出",标准坦克设计!$B$23:$U$23,0)))*(VLOOKUP($B148,INDIRECT($B$5&amp;"生成成长"),3))*(VLOOKUP($B$5,标准坦克设计!$B$14:$K$20,9)/30))</f>
        <v>11.189743866247557</v>
      </c>
      <c r="EE148" s="173">
        <f ca="1">(VLOOKUP(EE$72,INDIRECT($C$5&amp;"生成成长"),2))/((VLOOKUP($B148,INDIRECT($B$5&amp;"生成成长"),4))/(VLOOKUP(EE$72,INDIRECT($C$5&amp;"生成成长"),5))*(VLOOKUP($B$5,标准坦克设计!$B$24:$U$30,MATCH("对"&amp;LEFT($C$5,2)&amp;"输出",标准坦克设计!$B$23:$U$23,0)))*(VLOOKUP($B148,INDIRECT($B$5&amp;"生成成长"),3))*(VLOOKUP($B$5,标准坦克设计!$B$14:$K$20,9)/30))</f>
        <v>12.137619071941984</v>
      </c>
      <c r="EF148" s="173">
        <f ca="1">(VLOOKUP(EF$72,INDIRECT($C$5&amp;"生成成长"),2))/((VLOOKUP($B148,INDIRECT($B$5&amp;"生成成长"),4))/(VLOOKUP(EF$72,INDIRECT($C$5&amp;"生成成长"),5))*(VLOOKUP($B$5,标准坦克设计!$B$24:$U$30,MATCH("对"&amp;LEFT($C$5,2)&amp;"输出",标准坦克设计!$B$23:$U$23,0)))*(VLOOKUP($B148,INDIRECT($B$5&amp;"生成成长"),3))*(VLOOKUP($B$5,标准坦克设计!$B$14:$K$20,9)/30))</f>
        <v>13.124025790063012</v>
      </c>
      <c r="EG148" s="173">
        <f ca="1">(VLOOKUP(EG$72,INDIRECT($C$5&amp;"生成成长"),2))/((VLOOKUP($B148,INDIRECT($B$5&amp;"生成成长"),4))/(VLOOKUP(EG$72,INDIRECT($C$5&amp;"生成成长"),5))*(VLOOKUP($B$5,标准坦克设计!$B$24:$U$30,MATCH("对"&amp;LEFT($C$5,2)&amp;"输出",标准坦克设计!$B$23:$U$23,0)))*(VLOOKUP($B148,INDIRECT($B$5&amp;"生成成长"),3))*(VLOOKUP($B$5,标准坦克设计!$B$14:$K$20,9)/30))</f>
        <v>14.148964020610645</v>
      </c>
      <c r="EH148" s="173">
        <f ca="1">(VLOOKUP(EH$72,INDIRECT($C$5&amp;"生成成长"),2))/((VLOOKUP($B148,INDIRECT($B$5&amp;"生成成长"),4))/(VLOOKUP(EH$72,INDIRECT($C$5&amp;"生成成长"),5))*(VLOOKUP($B$5,标准坦克设计!$B$24:$U$30,MATCH("对"&amp;LEFT($C$5,2)&amp;"输出",标准坦克设计!$B$23:$U$23,0)))*(VLOOKUP($B148,INDIRECT($B$5&amp;"生成成长"),3))*(VLOOKUP($B$5,标准坦克设计!$B$14:$K$20,9)/30))</f>
        <v>15.212433763584881</v>
      </c>
      <c r="EI148" s="173">
        <f ca="1">(VLOOKUP(EI$72,INDIRECT($C$5&amp;"生成成长"),2))/((VLOOKUP($B148,INDIRECT($B$5&amp;"生成成长"),4))/(VLOOKUP(EI$72,INDIRECT($C$5&amp;"生成成长"),5))*(VLOOKUP($B$5,标准坦克设计!$B$24:$U$30,MATCH("对"&amp;LEFT($C$5,2)&amp;"输出",标准坦克设计!$B$23:$U$23,0)))*(VLOOKUP($B148,INDIRECT($B$5&amp;"生成成长"),3))*(VLOOKUP($B$5,标准坦克设计!$B$14:$K$20,9)/30))</f>
        <v>16.314435018985712</v>
      </c>
      <c r="EJ148" s="173">
        <f ca="1">(VLOOKUP(EJ$72,INDIRECT($C$5&amp;"生成成长"),2))/((VLOOKUP($B148,INDIRECT($B$5&amp;"生成成长"),4))/(VLOOKUP(EJ$72,INDIRECT($C$5&amp;"生成成长"),5))*(VLOOKUP($B$5,标准坦克设计!$B$24:$U$30,MATCH("对"&amp;LEFT($C$5,2)&amp;"输出",标准坦克设计!$B$23:$U$23,0)))*(VLOOKUP($B148,INDIRECT($B$5&amp;"生成成长"),3))*(VLOOKUP($B$5,标准坦克设计!$B$14:$K$20,9)/30))</f>
        <v>17.45496778681316</v>
      </c>
      <c r="EK148" s="173">
        <f ca="1">(VLOOKUP(EK$72,INDIRECT($C$5&amp;"生成成长"),2))/((VLOOKUP($B148,INDIRECT($B$5&amp;"生成成长"),4))/(VLOOKUP(EK$72,INDIRECT($C$5&amp;"生成成长"),5))*(VLOOKUP($B$5,标准坦克设计!$B$24:$U$30,MATCH("对"&amp;LEFT($C$5,2)&amp;"输出",标准坦克设计!$B$23:$U$23,0)))*(VLOOKUP($B148,INDIRECT($B$5&amp;"生成成长"),3))*(VLOOKUP($B$5,标准坦克设计!$B$14:$K$20,9)/30))</f>
        <v>18.874468704609196</v>
      </c>
      <c r="EL148" s="173">
        <f ca="1">(VLOOKUP(EL$72,INDIRECT($C$5&amp;"生成成长"),2))/((VLOOKUP($B148,INDIRECT($B$5&amp;"生成成长"),4))/(VLOOKUP(EL$72,INDIRECT($C$5&amp;"生成成长"),5))*(VLOOKUP($B$5,标准坦克设计!$B$24:$U$30,MATCH("对"&amp;LEFT($C$5,2)&amp;"输出",标准坦克设计!$B$23:$U$23,0)))*(VLOOKUP($B148,INDIRECT($B$5&amp;"生成成长"),3))*(VLOOKUP($B$5,标准坦克设计!$B$14:$K$20,9)/30))</f>
        <v>20.349455000299553</v>
      </c>
      <c r="EM148" s="173">
        <f ca="1">(VLOOKUP(EM$72,INDIRECT($C$5&amp;"生成成长"),2))/((VLOOKUP($B148,INDIRECT($B$5&amp;"生成成长"),4))/(VLOOKUP(EM$72,INDIRECT($C$5&amp;"生成成长"),5))*(VLOOKUP($B$5,标准坦克设计!$B$24:$U$30,MATCH("对"&amp;LEFT($C$5,2)&amp;"输出",标准坦克设计!$B$23:$U$23,0)))*(VLOOKUP($B148,INDIRECT($B$5&amp;"生成成长"),3))*(VLOOKUP($B$5,标准坦克设计!$B$14:$K$20,9)/30))</f>
        <v>21.87992667388421</v>
      </c>
      <c r="EN148" s="173">
        <f ca="1">(VLOOKUP(EN$72,INDIRECT($C$5&amp;"生成成长"),2))/((VLOOKUP($B148,INDIRECT($B$5&amp;"生成成长"),4))/(VLOOKUP(EN$72,INDIRECT($C$5&amp;"生成成长"),5))*(VLOOKUP($B$5,标准坦克设计!$B$24:$U$30,MATCH("对"&amp;LEFT($C$5,2)&amp;"输出",标准坦克设计!$B$23:$U$23,0)))*(VLOOKUP($B148,INDIRECT($B$5&amp;"生成成长"),3))*(VLOOKUP($B$5,标准坦克设计!$B$14:$K$20,9)/30))</f>
        <v>23.465883725363177</v>
      </c>
      <c r="EO148" s="173">
        <f ca="1">(VLOOKUP(EO$72,INDIRECT($C$5&amp;"生成成长"),2))/((VLOOKUP($B148,INDIRECT($B$5&amp;"生成成长"),4))/(VLOOKUP(EO$72,INDIRECT($C$5&amp;"生成成长"),5))*(VLOOKUP($B$5,标准坦克设计!$B$24:$U$30,MATCH("对"&amp;LEFT($C$5,2)&amp;"输出",标准坦克设计!$B$23:$U$23,0)))*(VLOOKUP($B148,INDIRECT($B$5&amp;"生成成长"),3))*(VLOOKUP($B$5,标准坦克设计!$B$14:$K$20,9)/30))</f>
        <v>25.107326154736459</v>
      </c>
      <c r="EP148" s="173">
        <f ca="1">(VLOOKUP(EP$72,INDIRECT($C$5&amp;"生成成长"),2))/((VLOOKUP($B148,INDIRECT($B$5&amp;"生成成长"),4))/(VLOOKUP(EP$72,INDIRECT($C$5&amp;"生成成长"),5))*(VLOOKUP($B$5,标准坦克设计!$B$24:$U$30,MATCH("对"&amp;LEFT($C$5,2)&amp;"输出",标准坦克设计!$B$23:$U$23,0)))*(VLOOKUP($B148,INDIRECT($B$5&amp;"生成成长"),3))*(VLOOKUP($B$5,标准坦克设计!$B$14:$K$20,9)/30))</f>
        <v>26.804253962004033</v>
      </c>
      <c r="EQ148" s="173">
        <f ca="1">(VLOOKUP(EQ$72,INDIRECT($C$5&amp;"生成成长"),2))/((VLOOKUP($B148,INDIRECT($B$5&amp;"生成成长"),4))/(VLOOKUP(EQ$72,INDIRECT($C$5&amp;"生成成长"),5))*(VLOOKUP($B$5,标准坦克设计!$B$24:$U$30,MATCH("对"&amp;LEFT($C$5,2)&amp;"输出",标准坦克设计!$B$23:$U$23,0)))*(VLOOKUP($B148,INDIRECT($B$5&amp;"生成成长"),3))*(VLOOKUP($B$5,标准坦克设计!$B$14:$K$20,9)/30))</f>
        <v>11.849210701428865</v>
      </c>
      <c r="ER148" s="173">
        <f ca="1">(VLOOKUP(ER$72,INDIRECT($C$5&amp;"生成成长"),2))/((VLOOKUP($B148,INDIRECT($B$5&amp;"生成成长"),4))/(VLOOKUP(ER$72,INDIRECT($C$5&amp;"生成成长"),5))*(VLOOKUP($B$5,标准坦克设计!$B$24:$U$30,MATCH("对"&amp;LEFT($C$5,2)&amp;"输出",标准坦克设计!$B$23:$U$23,0)))*(VLOOKUP($B148,INDIRECT($B$5&amp;"生成成长"),3))*(VLOOKUP($B$5,标准坦克设计!$B$14:$K$20,9)/30))</f>
        <v>12.923661925444678</v>
      </c>
      <c r="ES148" s="173">
        <f ca="1">(VLOOKUP(ES$72,INDIRECT($C$5&amp;"生成成长"),2))/((VLOOKUP($B148,INDIRECT($B$5&amp;"生成成长"),4))/(VLOOKUP(ES$72,INDIRECT($C$5&amp;"生成成长"),5))*(VLOOKUP($B$5,标准坦克设计!$B$24:$U$30,MATCH("对"&amp;LEFT($C$5,2)&amp;"输出",标准坦克设计!$B$23:$U$23,0)))*(VLOOKUP($B148,INDIRECT($B$5&amp;"生成成长"),3))*(VLOOKUP($B$5,标准坦克设计!$B$14:$K$20,9)/30))</f>
        <v>14.044736279496686</v>
      </c>
      <c r="ET148" s="173">
        <f ca="1">(VLOOKUP(ET$72,INDIRECT($C$5&amp;"生成成长"),2))/((VLOOKUP($B148,INDIRECT($B$5&amp;"生成成长"),4))/(VLOOKUP(ET$72,INDIRECT($C$5&amp;"生成成长"),5))*(VLOOKUP($B$5,标准坦克设计!$B$24:$U$30,MATCH("对"&amp;LEFT($C$5,2)&amp;"输出",标准坦克设计!$B$23:$U$23,0)))*(VLOOKUP($B148,INDIRECT($B$5&amp;"生成成长"),3))*(VLOOKUP($B$5,标准坦克设计!$B$14:$K$20,9)/30))</f>
        <v>15.212433763584881</v>
      </c>
      <c r="EU148" s="173">
        <f ca="1">(VLOOKUP(EU$72,INDIRECT($C$5&amp;"生成成长"),2))/((VLOOKUP($B148,INDIRECT($B$5&amp;"生成成长"),4))/(VLOOKUP(EU$72,INDIRECT($C$5&amp;"生成成长"),5))*(VLOOKUP($B$5,标准坦克设计!$B$24:$U$30,MATCH("对"&amp;LEFT($C$5,2)&amp;"输出",标准坦克设计!$B$23:$U$23,0)))*(VLOOKUP($B148,INDIRECT($B$5&amp;"生成成长"),3))*(VLOOKUP($B$5,标准坦克设计!$B$14:$K$20,9)/30))</f>
        <v>16.426754377709265</v>
      </c>
      <c r="EV148" s="173">
        <f ca="1">(VLOOKUP(EV$72,INDIRECT($C$5&amp;"生成成长"),2))/((VLOOKUP($B148,INDIRECT($B$5&amp;"生成成长"),4))/(VLOOKUP(EV$72,INDIRECT($C$5&amp;"生成成长"),5))*(VLOOKUP($B$5,标准坦克设计!$B$24:$U$30,MATCH("对"&amp;LEFT($C$5,2)&amp;"输出",标准坦克设计!$B$23:$U$23,0)))*(VLOOKUP($B148,INDIRECT($B$5&amp;"生成成长"),3))*(VLOOKUP($B$5,标准坦克设计!$B$14:$K$20,9)/30))</f>
        <v>17.687698121869836</v>
      </c>
      <c r="EW148" s="173">
        <f ca="1">(VLOOKUP(EW$72,INDIRECT($C$5&amp;"生成成长"),2))/((VLOOKUP($B148,INDIRECT($B$5&amp;"生成成长"),4))/(VLOOKUP(EW$72,INDIRECT($C$5&amp;"生成成长"),5))*(VLOOKUP($B$5,标准坦克设计!$B$24:$U$30,MATCH("对"&amp;LEFT($C$5,2)&amp;"输出",标准坦克设计!$B$23:$U$23,0)))*(VLOOKUP($B148,INDIRECT($B$5&amp;"生成成长"),3))*(VLOOKUP($B$5,标准坦克设计!$B$14:$K$20,9)/30))</f>
        <v>18.995264996066602</v>
      </c>
      <c r="EX148" s="173">
        <f ca="1">(VLOOKUP(EX$72,INDIRECT($C$5&amp;"生成成长"),2))/((VLOOKUP($B148,INDIRECT($B$5&amp;"生成成长"),4))/(VLOOKUP(EX$72,INDIRECT($C$5&amp;"生成成长"),5))*(VLOOKUP($B$5,标准坦克设计!$B$24:$U$30,MATCH("对"&amp;LEFT($C$5,2)&amp;"输出",标准坦克设计!$B$23:$U$23,0)))*(VLOOKUP($B148,INDIRECT($B$5&amp;"生成成长"),3))*(VLOOKUP($B$5,标准坦克设计!$B$14:$K$20,9)/30))</f>
        <v>20.349455000299553</v>
      </c>
      <c r="EY148" s="173">
        <f ca="1">(VLOOKUP(EY$72,INDIRECT($C$5&amp;"生成成长"),2))/((VLOOKUP($B148,INDIRECT($B$5&amp;"生成成长"),4))/(VLOOKUP(EY$72,INDIRECT($C$5&amp;"生成成长"),5))*(VLOOKUP($B$5,标准坦克设计!$B$24:$U$30,MATCH("对"&amp;LEFT($C$5,2)&amp;"输出",标准坦克设计!$B$23:$U$23,0)))*(VLOOKUP($B148,INDIRECT($B$5&amp;"生成成长"),3))*(VLOOKUP($B$5,标准坦克设计!$B$14:$K$20,9)/30))</f>
        <v>21.750268134568692</v>
      </c>
      <c r="EZ148" s="173">
        <f ca="1">(VLOOKUP(EZ$72,INDIRECT($C$5&amp;"生成成长"),2))/((VLOOKUP($B148,INDIRECT($B$5&amp;"生成成长"),4))/(VLOOKUP(EZ$72,INDIRECT($C$5&amp;"生成成长"),5))*(VLOOKUP($B$5,标准坦克设计!$B$24:$U$30,MATCH("对"&amp;LEFT($C$5,2)&amp;"输出",标准坦克设计!$B$23:$U$23,0)))*(VLOOKUP($B148,INDIRECT($B$5&amp;"生成成长"),3))*(VLOOKUP($B$5,标准坦克设计!$B$14:$K$20,9)/30))</f>
        <v>23.197704398874023</v>
      </c>
      <c r="FA148" s="173">
        <f ca="1">(VLOOKUP(FA$72,INDIRECT($C$5&amp;"生成成长"),2))/((VLOOKUP($B148,INDIRECT($B$5&amp;"生成成长"),4))/(VLOOKUP(FA$72,INDIRECT($C$5&amp;"生成成长"),5))*(VLOOKUP($B$5,标准坦克设计!$B$24:$U$30,MATCH("对"&amp;LEFT($C$5,2)&amp;"输出",标准坦克设计!$B$23:$U$23,0)))*(VLOOKUP($B148,INDIRECT($B$5&amp;"生成成长"),3))*(VLOOKUP($B$5,标准坦克设计!$B$14:$K$20,9)/30))</f>
        <v>24.691763793215539</v>
      </c>
      <c r="FB148" s="173">
        <f ca="1">(VLOOKUP(FB$72,INDIRECT($C$5&amp;"生成成长"),2))/((VLOOKUP($B148,INDIRECT($B$5&amp;"生成成长"),4))/(VLOOKUP(FB$72,INDIRECT($C$5&amp;"生成成长"),5))*(VLOOKUP($B$5,标准坦克设计!$B$24:$U$30,MATCH("对"&amp;LEFT($C$5,2)&amp;"输出",标准坦克设计!$B$23:$U$23,0)))*(VLOOKUP($B148,INDIRECT($B$5&amp;"生成成长"),3))*(VLOOKUP($B$5,标准坦克设计!$B$14:$K$20,9)/30))</f>
        <v>26.232446317593254</v>
      </c>
      <c r="FC148" s="173">
        <f ca="1">(VLOOKUP(FC$72,INDIRECT($C$5&amp;"生成成长"),2))/((VLOOKUP($B148,INDIRECT($B$5&amp;"生成成长"),4))/(VLOOKUP(FC$72,INDIRECT($C$5&amp;"生成成长"),5))*(VLOOKUP($B$5,标准坦克设计!$B$24:$U$30,MATCH("对"&amp;LEFT($C$5,2)&amp;"输出",标准坦克设计!$B$23:$U$23,0)))*(VLOOKUP($B148,INDIRECT($B$5&amp;"生成成长"),3))*(VLOOKUP($B$5,标准坦克设计!$B$14:$K$20,9)/30))</f>
        <v>27.81975197200715</v>
      </c>
      <c r="FD148" s="173">
        <f ca="1">(VLOOKUP(FD$72,INDIRECT($C$5&amp;"生成成长"),2))/((VLOOKUP($B148,INDIRECT($B$5&amp;"生成成长"),4))/(VLOOKUP(FD$72,INDIRECT($C$5&amp;"生成成长"),5))*(VLOOKUP($B$5,标准坦克设计!$B$24:$U$30,MATCH("对"&amp;LEFT($C$5,2)&amp;"输出",标准坦克设计!$B$23:$U$23,0)))*(VLOOKUP($B148,INDIRECT($B$5&amp;"生成成长"),3))*(VLOOKUP($B$5,标准坦克设计!$B$14:$K$20,9)/30))</f>
        <v>29.453680756457238</v>
      </c>
      <c r="FE148" s="173">
        <f ca="1">(VLOOKUP(FE$72,INDIRECT($C$5&amp;"生成成长"),2))/((VLOOKUP($B148,INDIRECT($B$5&amp;"生成成长"),4))/(VLOOKUP(FE$72,INDIRECT($C$5&amp;"生成成长"),5))*(VLOOKUP($B$5,标准坦克设计!$B$24:$U$30,MATCH("对"&amp;LEFT($C$5,2)&amp;"输出",标准坦克设计!$B$23:$U$23,0)))*(VLOOKUP($B148,INDIRECT($B$5&amp;"生成成长"),3))*(VLOOKUP($B$5,标准坦克设计!$B$14:$K$20,9)/30))</f>
        <v>31.444796661101933</v>
      </c>
      <c r="FF148" s="173">
        <f ca="1">(VLOOKUP(FF$72,INDIRECT($C$5&amp;"生成成长"),2))/((VLOOKUP($B148,INDIRECT($B$5&amp;"生成成长"),4))/(VLOOKUP(FF$72,INDIRECT($C$5&amp;"生成成长"),5))*(VLOOKUP($B$5,标准坦克设计!$B$24:$U$30,MATCH("对"&amp;LEFT($C$5,2)&amp;"输出",标准坦克设计!$B$23:$U$23,0)))*(VLOOKUP($B148,INDIRECT($B$5&amp;"生成成长"),3))*(VLOOKUP($B$5,标准坦克设计!$B$14:$K$20,9)/30))</f>
        <v>33.501030821747591</v>
      </c>
      <c r="FG148" s="173">
        <f ca="1">(VLOOKUP(FG$72,INDIRECT($C$5&amp;"生成成长"),2))/((VLOOKUP($B148,INDIRECT($B$5&amp;"生成成长"),4))/(VLOOKUP(FG$72,INDIRECT($C$5&amp;"生成成长"),5))*(VLOOKUP($B$5,标准坦克设计!$B$24:$U$30,MATCH("对"&amp;LEFT($C$5,2)&amp;"输出",标准坦克设计!$B$23:$U$23,0)))*(VLOOKUP($B148,INDIRECT($B$5&amp;"生成成长"),3))*(VLOOKUP($B$5,标准坦克设计!$B$14:$K$20,9)/30))</f>
        <v>35.6223832383942</v>
      </c>
      <c r="FH148" s="173">
        <f ca="1">(VLOOKUP(FH$72,INDIRECT($C$5&amp;"生成成长"),2))/((VLOOKUP($B148,INDIRECT($B$5&amp;"生成成长"),4))/(VLOOKUP(FH$72,INDIRECT($C$5&amp;"生成成长"),5))*(VLOOKUP($B$5,标准坦克设计!$B$24:$U$30,MATCH("对"&amp;LEFT($C$5,2)&amp;"输出",标准坦克设计!$B$23:$U$23,0)))*(VLOOKUP($B148,INDIRECT($B$5&amp;"生成成长"),3))*(VLOOKUP($B$5,标准坦克设计!$B$14:$K$20,9)/30))</f>
        <v>37.808853911041766</v>
      </c>
      <c r="FI148" s="173">
        <f ca="1">(VLOOKUP(FI$72,INDIRECT($C$5&amp;"生成成长"),2))/((VLOOKUP($B148,INDIRECT($B$5&amp;"生成成长"),4))/(VLOOKUP(FI$72,INDIRECT($C$5&amp;"生成成长"),5))*(VLOOKUP($B$5,标准坦克设计!$B$24:$U$30,MATCH("对"&amp;LEFT($C$5,2)&amp;"输出",标准坦克设计!$B$23:$U$23,0)))*(VLOOKUP($B148,INDIRECT($B$5&amp;"生成成长"),3))*(VLOOKUP($B$5,标准坦克设计!$B$14:$K$20,9)/30))</f>
        <v>40.060442839690296</v>
      </c>
      <c r="FJ148" s="173">
        <f ca="1">(VLOOKUP(FJ$72,INDIRECT($C$5&amp;"生成成长"),2))/((VLOOKUP($B148,INDIRECT($B$5&amp;"生成成长"),4))/(VLOOKUP(FJ$72,INDIRECT($C$5&amp;"生成成长"),5))*(VLOOKUP($B$5,标准坦克设计!$B$24:$U$30,MATCH("对"&amp;LEFT($C$5,2)&amp;"输出",标准坦克设计!$B$23:$U$23,0)))*(VLOOKUP($B148,INDIRECT($B$5&amp;"生成成长"),3))*(VLOOKUP($B$5,标准坦克设计!$B$14:$K$20,9)/30))</f>
        <v>42.377150024339777</v>
      </c>
      <c r="FK148" s="173">
        <f ca="1">(VLOOKUP(FK$72,INDIRECT($C$5&amp;"生成成长"),2))/((VLOOKUP($B148,INDIRECT($B$5&amp;"生成成长"),4))/(VLOOKUP(FK$72,INDIRECT($C$5&amp;"生成成长"),5))*(VLOOKUP($B$5,标准坦克设计!$B$24:$U$30,MATCH("对"&amp;LEFT($C$5,2)&amp;"输出",标准坦克设计!$B$23:$U$23,0)))*(VLOOKUP($B148,INDIRECT($B$5&amp;"生成成长"),3))*(VLOOKUP($B$5,标准坦克设计!$B$14:$K$20,9)/30))</f>
        <v>44.758975464990229</v>
      </c>
    </row>
    <row r="149" spans="1:167" x14ac:dyDescent="0.15">
      <c r="A149" s="171" t="str">
        <f t="shared" si="12"/>
        <v>T4中品质5级</v>
      </c>
      <c r="B149" s="172">
        <v>20405</v>
      </c>
      <c r="C149" s="173">
        <f ca="1">(VLOOKUP(C$72,INDIRECT($C$5&amp;"生成成长"),2))/((VLOOKUP($B149,INDIRECT($B$5&amp;"生成成长"),4))/(VLOOKUP(C$72,INDIRECT($C$5&amp;"生成成长"),5))*(VLOOKUP($B$5,标准坦克设计!$B$24:$U$30,MATCH("对"&amp;LEFT($C$5,2)&amp;"输出",标准坦克设计!$B$23:$U$23,0)))*(VLOOKUP($B149,INDIRECT($B$5&amp;"生成成长"),3))*(VLOOKUP($B$5,标准坦克设计!$B$14:$K$20,9)/30))</f>
        <v>1.7603031469894275</v>
      </c>
      <c r="D149" s="173">
        <f ca="1">(VLOOKUP(D$72,INDIRECT($C$5&amp;"生成成长"),2))/((VLOOKUP($B149,INDIRECT($B$5&amp;"生成成长"),4))/(VLOOKUP(D$72,INDIRECT($C$5&amp;"生成成长"),5))*(VLOOKUP($B$5,标准坦克设计!$B$24:$U$30,MATCH("对"&amp;LEFT($C$5,2)&amp;"输出",标准坦克设计!$B$23:$U$23,0)))*(VLOOKUP($B149,INDIRECT($B$5&amp;"生成成长"),3))*(VLOOKUP($B$5,标准坦克设计!$B$14:$K$20,9)/30))</f>
        <v>1.9778766159573207</v>
      </c>
      <c r="E149" s="173">
        <f ca="1">(VLOOKUP(E$72,INDIRECT($C$5&amp;"生成成长"),2))/((VLOOKUP($B149,INDIRECT($B$5&amp;"生成成长"),4))/(VLOOKUP(E$72,INDIRECT($C$5&amp;"生成成长"),5))*(VLOOKUP($B$5,标准坦克设计!$B$24:$U$30,MATCH("对"&amp;LEFT($C$5,2)&amp;"输出",标准坦克设计!$B$23:$U$23,0)))*(VLOOKUP($B149,INDIRECT($B$5&amp;"生成成长"),3))*(VLOOKUP($B$5,标准坦克设计!$B$14:$K$20,9)/30))</f>
        <v>2.2081242675835373</v>
      </c>
      <c r="F149" s="173">
        <f ca="1">(VLOOKUP(F$72,INDIRECT($C$5&amp;"生成成长"),2))/((VLOOKUP($B149,INDIRECT($B$5&amp;"生成成长"),4))/(VLOOKUP(F$72,INDIRECT($C$5&amp;"生成成长"),5))*(VLOOKUP($B$5,标准坦克设计!$B$24:$U$30,MATCH("对"&amp;LEFT($C$5,2)&amp;"输出",标准坦克设计!$B$23:$U$23,0)))*(VLOOKUP($B149,INDIRECT($B$5&amp;"生成成长"),3))*(VLOOKUP($B$5,标准坦克设计!$B$14:$K$20,9)/30))</f>
        <v>2.4510461018680787</v>
      </c>
      <c r="G149" s="173">
        <f ca="1">(VLOOKUP(G$72,INDIRECT($C$5&amp;"生成成长"),2))/((VLOOKUP($B149,INDIRECT($B$5&amp;"生成成长"),4))/(VLOOKUP(G$72,INDIRECT($C$5&amp;"生成成长"),5))*(VLOOKUP($B$5,标准坦克设计!$B$24:$U$30,MATCH("对"&amp;LEFT($C$5,2)&amp;"输出",标准坦克设计!$B$23:$U$23,0)))*(VLOOKUP($B149,INDIRECT($B$5&amp;"生成成长"),3))*(VLOOKUP($B$5,标准坦克设计!$B$14:$K$20,9)/30))</f>
        <v>2.7066421188109437</v>
      </c>
      <c r="H149" s="173">
        <f ca="1">(VLOOKUP(H$72,INDIRECT($C$5&amp;"生成成长"),2))/((VLOOKUP($B149,INDIRECT($B$5&amp;"生成成长"),4))/(VLOOKUP(H$72,INDIRECT($C$5&amp;"生成成长"),5))*(VLOOKUP($B$5,标准坦克设计!$B$24:$U$30,MATCH("对"&amp;LEFT($C$5,2)&amp;"输出",标准坦克设计!$B$23:$U$23,0)))*(VLOOKUP($B149,INDIRECT($B$5&amp;"生成成长"),3))*(VLOOKUP($B$5,标准坦克设计!$B$14:$K$20,9)/30))</f>
        <v>2.3686639145889732</v>
      </c>
      <c r="I149" s="173">
        <f ca="1">(VLOOKUP(I$72,INDIRECT($C$5&amp;"生成成长"),2))/((VLOOKUP($B149,INDIRECT($B$5&amp;"生成成长"),4))/(VLOOKUP(I$72,INDIRECT($C$5&amp;"生成成长"),5))*(VLOOKUP($B$5,标准坦克设计!$B$24:$U$30,MATCH("对"&amp;LEFT($C$5,2)&amp;"输出",标准坦克设计!$B$23:$U$23,0)))*(VLOOKUP($B149,INDIRECT($B$5&amp;"生成成长"),3))*(VLOOKUP($B$5,标准坦克设计!$B$14:$K$20,9)/30))</f>
        <v>2.7066421188109437</v>
      </c>
      <c r="J149" s="173">
        <f ca="1">(VLOOKUP(J$72,INDIRECT($C$5&amp;"生成成长"),2))/((VLOOKUP($B149,INDIRECT($B$5&amp;"生成成长"),4))/(VLOOKUP(J$72,INDIRECT($C$5&amp;"生成成长"),5))*(VLOOKUP($B$5,标准坦克设计!$B$24:$U$30,MATCH("对"&amp;LEFT($C$5,2)&amp;"输出",标准坦克设计!$B$23:$U$23,0)))*(VLOOKUP($B149,INDIRECT($B$5&amp;"生成成长"),3))*(VLOOKUP($B$5,标准坦克设计!$B$14:$K$20,9)/30))</f>
        <v>3.0671522033143783</v>
      </c>
      <c r="K149" s="173">
        <f ca="1">(VLOOKUP(K$72,INDIRECT($C$5&amp;"生成成长"),2))/((VLOOKUP($B149,INDIRECT($B$5&amp;"生成成长"),4))/(VLOOKUP(K$72,INDIRECT($C$5&amp;"生成成长"),5))*(VLOOKUP($B$5,标准坦克设计!$B$24:$U$30,MATCH("对"&amp;LEFT($C$5,2)&amp;"输出",标准坦克设计!$B$23:$U$23,0)))*(VLOOKUP($B149,INDIRECT($B$5&amp;"生成成长"),3))*(VLOOKUP($B$5,标准坦克设计!$B$14:$K$20,9)/30))</f>
        <v>3.4501941680992778</v>
      </c>
      <c r="L149" s="173">
        <f ca="1">(VLOOKUP(L$72,INDIRECT($C$5&amp;"生成成长"),2))/((VLOOKUP($B149,INDIRECT($B$5&amp;"生成成长"),4))/(VLOOKUP(L$72,INDIRECT($C$5&amp;"生成成长"),5))*(VLOOKUP($B$5,标准坦克设计!$B$24:$U$30,MATCH("对"&amp;LEFT($C$5,2)&amp;"输出",标准坦克设计!$B$23:$U$23,0)))*(VLOOKUP($B149,INDIRECT($B$5&amp;"生成成长"),3))*(VLOOKUP($B$5,标准坦克设计!$B$14:$K$20,9)/30))</f>
        <v>3.8557680131656413</v>
      </c>
      <c r="M149" s="173">
        <f ca="1">(VLOOKUP(M$72,INDIRECT($C$5&amp;"生成成长"),2))/((VLOOKUP($B149,INDIRECT($B$5&amp;"生成成长"),4))/(VLOOKUP(M$72,INDIRECT($C$5&amp;"生成成长"),5))*(VLOOKUP($B$5,标准坦克设计!$B$24:$U$30,MATCH("对"&amp;LEFT($C$5,2)&amp;"输出",标准坦克设计!$B$23:$U$23,0)))*(VLOOKUP($B149,INDIRECT($B$5&amp;"生成成长"),3))*(VLOOKUP($B$5,标准坦克设计!$B$14:$K$20,9)/30))</f>
        <v>4.2838737385134698</v>
      </c>
      <c r="N149" s="173">
        <f ca="1">(VLOOKUP(N$72,INDIRECT($C$5&amp;"生成成长"),2))/((VLOOKUP($B149,INDIRECT($B$5&amp;"生成成长"),4))/(VLOOKUP(N$72,INDIRECT($C$5&amp;"生成成长"),5))*(VLOOKUP($B$5,标准坦克设计!$B$24:$U$30,MATCH("对"&amp;LEFT($C$5,2)&amp;"输出",标准坦克设计!$B$23:$U$23,0)))*(VLOOKUP($B149,INDIRECT($B$5&amp;"生成成长"),3))*(VLOOKUP($B$5,标准坦克设计!$B$14:$K$20,9)/30))</f>
        <v>4.7345113441427644</v>
      </c>
      <c r="O149" s="173">
        <f ca="1">(VLOOKUP(O$72,INDIRECT($C$5&amp;"生成成长"),2))/((VLOOKUP($B149,INDIRECT($B$5&amp;"生成成长"),4))/(VLOOKUP(O$72,INDIRECT($C$5&amp;"生成成长"),5))*(VLOOKUP($B$5,标准坦克设计!$B$24:$U$30,MATCH("对"&amp;LEFT($C$5,2)&amp;"输出",标准坦克设计!$B$23:$U$23,0)))*(VLOOKUP($B149,INDIRECT($B$5&amp;"生成成长"),3))*(VLOOKUP($B$5,标准坦克设计!$B$14:$K$20,9)/30))</f>
        <v>3.5996439052786799</v>
      </c>
      <c r="P149" s="173">
        <f ca="1">(VLOOKUP(P$72,INDIRECT($C$5&amp;"生成成长"),2))/((VLOOKUP($B149,INDIRECT($B$5&amp;"生成成长"),4))/(VLOOKUP(P$72,INDIRECT($C$5&amp;"生成成长"),5))*(VLOOKUP($B$5,标准坦克设计!$B$24:$U$30,MATCH("对"&amp;LEFT($C$5,2)&amp;"输出",标准坦克设计!$B$23:$U$23,0)))*(VLOOKUP($B149,INDIRECT($B$5&amp;"生成成长"),3))*(VLOOKUP($B$5,标准坦克设计!$B$14:$K$20,9)/30))</f>
        <v>4.0670043908043736</v>
      </c>
      <c r="Q149" s="173">
        <f ca="1">(VLOOKUP(Q$72,INDIRECT($C$5&amp;"生成成长"),2))/((VLOOKUP($B149,INDIRECT($B$5&amp;"生成成长"),4))/(VLOOKUP(Q$72,INDIRECT($C$5&amp;"生成成长"),5))*(VLOOKUP($B$5,标准坦克设计!$B$24:$U$30,MATCH("对"&amp;LEFT($C$5,2)&amp;"输出",标准坦克设计!$B$23:$U$23,0)))*(VLOOKUP($B149,INDIRECT($B$5&amp;"生成成长"),3))*(VLOOKUP($B$5,标准坦克设计!$B$14:$K$20,9)/30))</f>
        <v>4.5628817873112952</v>
      </c>
      <c r="R149" s="173">
        <f ca="1">(VLOOKUP(R$72,INDIRECT($C$5&amp;"生成成长"),2))/((VLOOKUP($B149,INDIRECT($B$5&amp;"生成成长"),4))/(VLOOKUP(R$72,INDIRECT($C$5&amp;"生成成长"),5))*(VLOOKUP($B$5,标准坦克设计!$B$24:$U$30,MATCH("对"&amp;LEFT($C$5,2)&amp;"输出",标准坦克设计!$B$23:$U$23,0)))*(VLOOKUP($B149,INDIRECT($B$5&amp;"生成成长"),3))*(VLOOKUP($B$5,标准坦克设计!$B$14:$K$20,9)/30))</f>
        <v>5.0872760947994449</v>
      </c>
      <c r="S149" s="173">
        <f ca="1">(VLOOKUP(S$72,INDIRECT($C$5&amp;"生成成长"),2))/((VLOOKUP($B149,INDIRECT($B$5&amp;"生成成长"),4))/(VLOOKUP(S$72,INDIRECT($C$5&amp;"生成成长"),5))*(VLOOKUP($B$5,标准坦克设计!$B$24:$U$30,MATCH("对"&amp;LEFT($C$5,2)&amp;"输出",标准坦克设计!$B$23:$U$23,0)))*(VLOOKUP($B149,INDIRECT($B$5&amp;"生成成长"),3))*(VLOOKUP($B$5,标准坦克设计!$B$14:$K$20,9)/30))</f>
        <v>5.6401873132688252</v>
      </c>
      <c r="T149" s="173">
        <f ca="1">(VLOOKUP(T$72,INDIRECT($C$5&amp;"生成成长"),2))/((VLOOKUP($B149,INDIRECT($B$5&amp;"生成成长"),4))/(VLOOKUP(T$72,INDIRECT($C$5&amp;"生成成长"),5))*(VLOOKUP($B$5,标准坦克设计!$B$24:$U$30,MATCH("对"&amp;LEFT($C$5,2)&amp;"输出",标准坦克设计!$B$23:$U$23,0)))*(VLOOKUP($B149,INDIRECT($B$5&amp;"生成成长"),3))*(VLOOKUP($B$5,标准坦克设计!$B$14:$K$20,9)/30))</f>
        <v>6.2216154427194317</v>
      </c>
      <c r="U149" s="173">
        <f ca="1">(VLOOKUP(U$72,INDIRECT($C$5&amp;"生成成长"),2))/((VLOOKUP($B149,INDIRECT($B$5&amp;"生成成长"),4))/(VLOOKUP(U$72,INDIRECT($C$5&amp;"生成成长"),5))*(VLOOKUP($B$5,标准坦克设计!$B$24:$U$30,MATCH("对"&amp;LEFT($C$5,2)&amp;"输出",标准坦克设计!$B$23:$U$23,0)))*(VLOOKUP($B149,INDIRECT($B$5&amp;"生成成长"),3))*(VLOOKUP($B$5,标准坦克设计!$B$14:$K$20,9)/30))</f>
        <v>6.8315604831512688</v>
      </c>
      <c r="V149" s="173">
        <f ca="1">(VLOOKUP(V$72,INDIRECT($C$5&amp;"生成成长"),2))/((VLOOKUP($B149,INDIRECT($B$5&amp;"生成成长"),4))/(VLOOKUP(V$72,INDIRECT($C$5&amp;"生成成长"),5))*(VLOOKUP($B$5,标准坦克设计!$B$24:$U$30,MATCH("对"&amp;LEFT($C$5,2)&amp;"输出",标准坦克设计!$B$23:$U$23,0)))*(VLOOKUP($B149,INDIRECT($B$5&amp;"生成成长"),3))*(VLOOKUP($B$5,标准坦克设计!$B$14:$K$20,9)/30))</f>
        <v>7.470022434564334</v>
      </c>
      <c r="W149" s="173">
        <f ca="1">(VLOOKUP(W$72,INDIRECT($C$5&amp;"生成成长"),2))/((VLOOKUP($B149,INDIRECT($B$5&amp;"生成成长"),4))/(VLOOKUP(W$72,INDIRECT($C$5&amp;"生成成长"),5))*(VLOOKUP($B$5,标准坦克设计!$B$24:$U$30,MATCH("对"&amp;LEFT($C$5,2)&amp;"输出",标准坦克设计!$B$23:$U$23,0)))*(VLOOKUP($B149,INDIRECT($B$5&amp;"生成成长"),3))*(VLOOKUP($B$5,标准坦克设计!$B$14:$K$20,9)/30))</f>
        <v>8.1370012969586263</v>
      </c>
      <c r="X149" s="173">
        <f ca="1">(VLOOKUP(X$72,INDIRECT($C$5&amp;"生成成长"),2))/((VLOOKUP($B149,INDIRECT($B$5&amp;"生成成长"),4))/(VLOOKUP(X$72,INDIRECT($C$5&amp;"生成成长"),5))*(VLOOKUP($B$5,标准坦克设计!$B$24:$U$30,MATCH("对"&amp;LEFT($C$5,2)&amp;"输出",标准坦克设计!$B$23:$U$23,0)))*(VLOOKUP($B149,INDIRECT($B$5&amp;"生成成长"),3))*(VLOOKUP($B$5,标准坦克设计!$B$14:$K$20,9)/30))</f>
        <v>5.8950792089528932</v>
      </c>
      <c r="Y149" s="173">
        <f ca="1">(VLOOKUP(Y$72,INDIRECT($C$5&amp;"生成成长"),2))/((VLOOKUP($B149,INDIRECT($B$5&amp;"生成成长"),4))/(VLOOKUP(Y$72,INDIRECT($C$5&amp;"生成成长"),5))*(VLOOKUP($B$5,标准坦克设计!$B$24:$U$30,MATCH("对"&amp;LEFT($C$5,2)&amp;"输出",标准坦克设计!$B$23:$U$23,0)))*(VLOOKUP($B149,INDIRECT($B$5&amp;"生成成长"),3))*(VLOOKUP($B$5,标准坦克设计!$B$14:$K$20,9)/30))</f>
        <v>6.5569531922209183</v>
      </c>
      <c r="Z149" s="173">
        <f ca="1">(VLOOKUP(Z$72,INDIRECT($C$5&amp;"生成成长"),2))/((VLOOKUP($B149,INDIRECT($B$5&amp;"生成成长"),4))/(VLOOKUP(Z$72,INDIRECT($C$5&amp;"生成成长"),5))*(VLOOKUP($B$5,标准坦克设计!$B$24:$U$30,MATCH("对"&amp;LEFT($C$5,2)&amp;"输出",标准坦克设计!$B$23:$U$23,0)))*(VLOOKUP($B149,INDIRECT($B$5&amp;"生成成长"),3))*(VLOOKUP($B$5,标准坦克设计!$B$14:$K$20,9)/30))</f>
        <v>7.2540332384287316</v>
      </c>
      <c r="AA149" s="173">
        <f ca="1">(VLOOKUP(AA$72,INDIRECT($C$5&amp;"生成成长"),2))/((VLOOKUP($B149,INDIRECT($B$5&amp;"生成成长"),4))/(VLOOKUP(AA$72,INDIRECT($C$5&amp;"生成成长"),5))*(VLOOKUP($B$5,标准坦克设计!$B$24:$U$30,MATCH("对"&amp;LEFT($C$5,2)&amp;"输出",标准坦克设计!$B$23:$U$23,0)))*(VLOOKUP($B149,INDIRECT($B$5&amp;"生成成长"),3))*(VLOOKUP($B$5,标准坦克设计!$B$14:$K$20,9)/30))</f>
        <v>7.9863193475763321</v>
      </c>
      <c r="AB149" s="173">
        <f ca="1">(VLOOKUP(AB$72,INDIRECT($C$5&amp;"生成成长"),2))/((VLOOKUP($B149,INDIRECT($B$5&amp;"生成成长"),4))/(VLOOKUP(AB$72,INDIRECT($C$5&amp;"生成成长"),5))*(VLOOKUP($B$5,标准坦克设计!$B$24:$U$30,MATCH("对"&amp;LEFT($C$5,2)&amp;"输出",标准坦克设计!$B$23:$U$23,0)))*(VLOOKUP($B149,INDIRECT($B$5&amp;"生成成长"),3))*(VLOOKUP($B$5,标准坦克设计!$B$14:$K$20,9)/30))</f>
        <v>8.7538115196637225</v>
      </c>
      <c r="AC149" s="173">
        <f ca="1">(VLOOKUP(AC$72,INDIRECT($C$5&amp;"生成成长"),2))/((VLOOKUP($B149,INDIRECT($B$5&amp;"生成成长"),4))/(VLOOKUP(AC$72,INDIRECT($C$5&amp;"生成成长"),5))*(VLOOKUP($B$5,标准坦克设计!$B$24:$U$30,MATCH("对"&amp;LEFT($C$5,2)&amp;"输出",标准坦克设计!$B$23:$U$23,0)))*(VLOOKUP($B149,INDIRECT($B$5&amp;"生成成长"),3))*(VLOOKUP($B$5,标准坦克设计!$B$14:$K$20,9)/30))</f>
        <v>9.5565097546909019</v>
      </c>
      <c r="AD149" s="173">
        <f ca="1">(VLOOKUP(AD$72,INDIRECT($C$5&amp;"生成成长"),2))/((VLOOKUP($B149,INDIRECT($B$5&amp;"生成成长"),4))/(VLOOKUP(AD$72,INDIRECT($C$5&amp;"生成成长"),5))*(VLOOKUP($B$5,标准坦克设计!$B$24:$U$30,MATCH("对"&amp;LEFT($C$5,2)&amp;"输出",标准坦克设计!$B$23:$U$23,0)))*(VLOOKUP($B149,INDIRECT($B$5&amp;"生成成长"),3))*(VLOOKUP($B$5,标准坦克设计!$B$14:$K$20,9)/30))</f>
        <v>10.39441405265787</v>
      </c>
      <c r="AE149" s="173">
        <f ca="1">(VLOOKUP(AE$72,INDIRECT($C$5&amp;"生成成长"),2))/((VLOOKUP($B149,INDIRECT($B$5&amp;"生成成长"),4))/(VLOOKUP(AE$72,INDIRECT($C$5&amp;"生成成长"),5))*(VLOOKUP($B$5,标准坦克设计!$B$24:$U$30,MATCH("对"&amp;LEFT($C$5,2)&amp;"输出",标准坦克设计!$B$23:$U$23,0)))*(VLOOKUP($B149,INDIRECT($B$5&amp;"生成成长"),3))*(VLOOKUP($B$5,标准坦克设计!$B$14:$K$20,9)/30))</f>
        <v>11.267524413564626</v>
      </c>
      <c r="AF149" s="173">
        <f ca="1">(VLOOKUP(AF$72,INDIRECT($C$5&amp;"生成成长"),2))/((VLOOKUP($B149,INDIRECT($B$5&amp;"生成成长"),4))/(VLOOKUP(AF$72,INDIRECT($C$5&amp;"生成成长"),5))*(VLOOKUP($B$5,标准坦克设计!$B$24:$U$30,MATCH("对"&amp;LEFT($C$5,2)&amp;"输出",标准坦克设计!$B$23:$U$23,0)))*(VLOOKUP($B149,INDIRECT($B$5&amp;"生成成长"),3))*(VLOOKUP($B$5,标准坦克设计!$B$14:$K$20,9)/30))</f>
        <v>12.175840837411167</v>
      </c>
      <c r="AG149" s="173">
        <f ca="1">(VLOOKUP(AG$72,INDIRECT($C$5&amp;"生成成长"),2))/((VLOOKUP($B149,INDIRECT($B$5&amp;"生成成长"),4))/(VLOOKUP(AG$72,INDIRECT($C$5&amp;"生成成长"),5))*(VLOOKUP($B$5,标准坦克设计!$B$24:$U$30,MATCH("对"&amp;LEFT($C$5,2)&amp;"输出",标准坦克设计!$B$23:$U$23,0)))*(VLOOKUP($B149,INDIRECT($B$5&amp;"生成成长"),3))*(VLOOKUP($B$5,标准坦克设计!$B$14:$K$20,9)/30))</f>
        <v>13.119363324197504</v>
      </c>
      <c r="AH149" s="173">
        <f ca="1">(VLOOKUP(AH$72,INDIRECT($C$5&amp;"生成成长"),2))/((VLOOKUP($B149,INDIRECT($B$5&amp;"生成成长"),4))/(VLOOKUP(AH$72,INDIRECT($C$5&amp;"生成成长"),5))*(VLOOKUP($B$5,标准坦克设计!$B$24:$U$30,MATCH("对"&amp;LEFT($C$5,2)&amp;"输出",标准坦克设计!$B$23:$U$23,0)))*(VLOOKUP($B149,INDIRECT($B$5&amp;"生成成长"),3))*(VLOOKUP($B$5,标准坦克设计!$B$14:$K$20,9)/30))</f>
        <v>14.098091873923623</v>
      </c>
      <c r="AI149" s="173">
        <f ca="1">(VLOOKUP(AI$72,INDIRECT($C$5&amp;"生成成长"),2))/((VLOOKUP($B149,INDIRECT($B$5&amp;"生成成长"),4))/(VLOOKUP(AI$72,INDIRECT($C$5&amp;"生成成长"),5))*(VLOOKUP($B$5,标准坦克设计!$B$24:$U$30,MATCH("对"&amp;LEFT($C$5,2)&amp;"输出",标准坦克设计!$B$23:$U$23,0)))*(VLOOKUP($B149,INDIRECT($B$5&amp;"生成成长"),3))*(VLOOKUP($B$5,标准坦克设计!$B$14:$K$20,9)/30))</f>
        <v>9.9710611458069121</v>
      </c>
      <c r="AJ149" s="173">
        <f ca="1">(VLOOKUP(AJ$72,INDIRECT($C$5&amp;"生成成长"),2))/((VLOOKUP($B149,INDIRECT($B$5&amp;"生成成长"),4))/(VLOOKUP(AJ$72,INDIRECT($C$5&amp;"生成成长"),5))*(VLOOKUP($B$5,标准坦克设计!$B$24:$U$30,MATCH("对"&amp;LEFT($C$5,2)&amp;"输出",标准坦克设计!$B$23:$U$23,0)))*(VLOOKUP($B149,INDIRECT($B$5&amp;"生成成长"),3))*(VLOOKUP($B$5,标准坦克设计!$B$14:$K$20,9)/30))</f>
        <v>10.914055541649148</v>
      </c>
      <c r="AK149" s="173">
        <f ca="1">(VLOOKUP(AK$72,INDIRECT($C$5&amp;"生成成长"),2))/((VLOOKUP($B149,INDIRECT($B$5&amp;"生成成长"),4))/(VLOOKUP(AK$72,INDIRECT($C$5&amp;"生成成长"),5))*(VLOOKUP($B$5,标准坦克设计!$B$24:$U$30,MATCH("对"&amp;LEFT($C$5,2)&amp;"输出",标准坦克设计!$B$23:$U$23,0)))*(VLOOKUP($B149,INDIRECT($B$5&amp;"生成成长"),3))*(VLOOKUP($B$5,标准坦克设计!$B$14:$K$20,9)/30))</f>
        <v>11.89964927364853</v>
      </c>
      <c r="AL149" s="173">
        <f ca="1">(VLOOKUP(AL$72,INDIRECT($C$5&amp;"生成成长"),2))/((VLOOKUP($B149,INDIRECT($B$5&amp;"生成成长"),4))/(VLOOKUP(AL$72,INDIRECT($C$5&amp;"生成成长"),5))*(VLOOKUP($B$5,标准坦克设计!$B$24:$U$30,MATCH("对"&amp;LEFT($C$5,2)&amp;"输出",标准坦克设计!$B$23:$U$23,0)))*(VLOOKUP($B149,INDIRECT($B$5&amp;"生成成长"),3))*(VLOOKUP($B$5,标准坦克设计!$B$14:$K$20,9)/30))</f>
        <v>12.927842341805052</v>
      </c>
      <c r="AM149" s="173">
        <f ca="1">(VLOOKUP(AM$72,INDIRECT($C$5&amp;"生成成长"),2))/((VLOOKUP($B149,INDIRECT($B$5&amp;"生成成长"),4))/(VLOOKUP(AM$72,INDIRECT($C$5&amp;"生成成长"),5))*(VLOOKUP($B$5,标准坦克设计!$B$24:$U$30,MATCH("对"&amp;LEFT($C$5,2)&amp;"输出",标准坦克设计!$B$23:$U$23,0)))*(VLOOKUP($B149,INDIRECT($B$5&amp;"生成成长"),3))*(VLOOKUP($B$5,标准坦克设计!$B$14:$K$20,9)/30))</f>
        <v>13.998634746118721</v>
      </c>
      <c r="AN149" s="173">
        <f ca="1">(VLOOKUP(AN$72,INDIRECT($C$5&amp;"生成成长"),2))/((VLOOKUP($B149,INDIRECT($B$5&amp;"生成成长"),4))/(VLOOKUP(AN$72,INDIRECT($C$5&amp;"生成成长"),5))*(VLOOKUP($B$5,标准坦克设计!$B$24:$U$30,MATCH("对"&amp;LEFT($C$5,2)&amp;"输出",标准坦克设计!$B$23:$U$23,0)))*(VLOOKUP($B149,INDIRECT($B$5&amp;"生成成长"),3))*(VLOOKUP($B$5,标准坦克设计!$B$14:$K$20,9)/30))</f>
        <v>15.112026486589535</v>
      </c>
      <c r="AO149" s="173">
        <f ca="1">(VLOOKUP(AO$72,INDIRECT($C$5&amp;"生成成长"),2))/((VLOOKUP($B149,INDIRECT($B$5&amp;"生成成长"),4))/(VLOOKUP(AO$72,INDIRECT($C$5&amp;"生成成长"),5))*(VLOOKUP($B$5,标准坦克设计!$B$24:$U$30,MATCH("对"&amp;LEFT($C$5,2)&amp;"输出",标准坦克设计!$B$23:$U$23,0)))*(VLOOKUP($B149,INDIRECT($B$5&amp;"生成成长"),3))*(VLOOKUP($B$5,标准坦克设计!$B$14:$K$20,9)/30))</f>
        <v>16.268017563217494</v>
      </c>
      <c r="AP149" s="173">
        <f ca="1">(VLOOKUP(AP$72,INDIRECT($C$5&amp;"生成成长"),2))/((VLOOKUP($B149,INDIRECT($B$5&amp;"生成成长"),4))/(VLOOKUP(AP$72,INDIRECT($C$5&amp;"生成成长"),5))*(VLOOKUP($B$5,标准坦克设计!$B$24:$U$30,MATCH("对"&amp;LEFT($C$5,2)&amp;"输出",标准坦克设计!$B$23:$U$23,0)))*(VLOOKUP($B149,INDIRECT($B$5&amp;"生成成长"),3))*(VLOOKUP($B$5,标准坦克设计!$B$14:$K$20,9)/30))</f>
        <v>17.466607976002596</v>
      </c>
      <c r="AQ149" s="173">
        <f ca="1">(VLOOKUP(AQ$72,INDIRECT($C$5&amp;"生成成长"),2))/((VLOOKUP($B149,INDIRECT($B$5&amp;"生成成长"),4))/(VLOOKUP(AQ$72,INDIRECT($C$5&amp;"生成成长"),5))*(VLOOKUP($B$5,标准坦克设计!$B$24:$U$30,MATCH("对"&amp;LEFT($C$5,2)&amp;"输出",标准坦克设计!$B$23:$U$23,0)))*(VLOOKUP($B149,INDIRECT($B$5&amp;"生成成长"),3))*(VLOOKUP($B$5,标准坦克设计!$B$14:$K$20,9)/30))</f>
        <v>18.70779772494484</v>
      </c>
      <c r="AR149" s="173">
        <f ca="1">(VLOOKUP(AR$72,INDIRECT($C$5&amp;"生成成长"),2))/((VLOOKUP($B149,INDIRECT($B$5&amp;"生成成长"),4))/(VLOOKUP(AR$72,INDIRECT($C$5&amp;"生成成长"),5))*(VLOOKUP($B$5,标准坦克设计!$B$24:$U$30,MATCH("对"&amp;LEFT($C$5,2)&amp;"输出",标准坦克设计!$B$23:$U$23,0)))*(VLOOKUP($B149,INDIRECT($B$5&amp;"生成成长"),3))*(VLOOKUP($B$5,标准坦克设计!$B$14:$K$20,9)/30))</f>
        <v>19.991586810044225</v>
      </c>
      <c r="AS149" s="173">
        <f ca="1">(VLOOKUP(AS$72,INDIRECT($C$5&amp;"生成成长"),2))/((VLOOKUP($B149,INDIRECT($B$5&amp;"生成成长"),4))/(VLOOKUP(AS$72,INDIRECT($C$5&amp;"生成成长"),5))*(VLOOKUP($B$5,标准坦克设计!$B$24:$U$30,MATCH("对"&amp;LEFT($C$5,2)&amp;"输出",标准坦克设计!$B$23:$U$23,0)))*(VLOOKUP($B149,INDIRECT($B$5&amp;"生成成长"),3))*(VLOOKUP($B$5,标准坦克设计!$B$14:$K$20,9)/30))</f>
        <v>21.317975231300764</v>
      </c>
      <c r="AT149" s="173">
        <f ca="1">(VLOOKUP(AT$72,INDIRECT($C$5&amp;"生成成长"),2))/((VLOOKUP($B149,INDIRECT($B$5&amp;"生成成长"),4))/(VLOOKUP(AT$72,INDIRECT($C$5&amp;"生成成长"),5))*(VLOOKUP($B$5,标准坦克设计!$B$24:$U$30,MATCH("对"&amp;LEFT($C$5,2)&amp;"输出",标准坦克设计!$B$23:$U$23,0)))*(VLOOKUP($B149,INDIRECT($B$5&amp;"生成成长"),3))*(VLOOKUP($B$5,标准坦克设计!$B$14:$K$20,9)/30))</f>
        <v>22.686962988714434</v>
      </c>
      <c r="AU149" s="173">
        <f ca="1">(VLOOKUP(AU$72,INDIRECT($C$5&amp;"生成成长"),2))/((VLOOKUP($B149,INDIRECT($B$5&amp;"生成成长"),4))/(VLOOKUP(AU$72,INDIRECT($C$5&amp;"生成成长"),5))*(VLOOKUP($B$5,标准坦克设计!$B$24:$U$30,MATCH("对"&amp;LEFT($C$5,2)&amp;"输出",标准坦克设计!$B$23:$U$23,0)))*(VLOOKUP($B149,INDIRECT($B$5&amp;"生成成长"),3))*(VLOOKUP($B$5,标准坦克设计!$B$14:$K$20,9)/30))</f>
        <v>24.098550082285261</v>
      </c>
      <c r="AV149" s="173">
        <f ca="1">(VLOOKUP(AV$72,INDIRECT($C$5&amp;"生成成长"),2))/((VLOOKUP($B149,INDIRECT($B$5&amp;"生成成长"),4))/(VLOOKUP(AV$72,INDIRECT($C$5&amp;"生成成长"),5))*(VLOOKUP($B$5,标准坦克设计!$B$24:$U$30,MATCH("对"&amp;LEFT($C$5,2)&amp;"输出",标准坦克设计!$B$23:$U$23,0)))*(VLOOKUP($B149,INDIRECT($B$5&amp;"生成成长"),3))*(VLOOKUP($B$5,标准坦克设计!$B$14:$K$20,9)/30))</f>
        <v>2.4510461018680787</v>
      </c>
      <c r="AW149" s="173">
        <f ca="1">(VLOOKUP(AW$72,INDIRECT($C$5&amp;"生成成长"),2))/((VLOOKUP($B149,INDIRECT($B$5&amp;"生成成长"),4))/(VLOOKUP(AW$72,INDIRECT($C$5&amp;"生成成长"),5))*(VLOOKUP($B$5,标准坦克设计!$B$24:$U$30,MATCH("对"&amp;LEFT($C$5,2)&amp;"输出",标准坦克设计!$B$23:$U$23,0)))*(VLOOKUP($B149,INDIRECT($B$5&amp;"生成成长"),3))*(VLOOKUP($B$5,标准坦克设计!$B$14:$K$20,9)/30))</f>
        <v>2.7946572761604149</v>
      </c>
      <c r="AX149" s="173">
        <f ca="1">(VLOOKUP(AX$72,INDIRECT($C$5&amp;"生成成长"),2))/((VLOOKUP($B149,INDIRECT($B$5&amp;"生成成长"),4))/(VLOOKUP(AX$72,INDIRECT($C$5&amp;"生成成长"),5))*(VLOOKUP($B$5,标准坦克设计!$B$24:$U$30,MATCH("对"&amp;LEFT($C$5,2)&amp;"输出",标准坦克设计!$B$23:$U$23,0)))*(VLOOKUP($B149,INDIRECT($B$5&amp;"生成成长"),3))*(VLOOKUP($B$5,标准坦克设计!$B$14:$K$20,9)/30))</f>
        <v>3.1608003307342156</v>
      </c>
      <c r="AY149" s="173">
        <f ca="1">(VLOOKUP(AY$72,INDIRECT($C$5&amp;"生成成长"),2))/((VLOOKUP($B149,INDIRECT($B$5&amp;"生成成长"),4))/(VLOOKUP(AY$72,INDIRECT($C$5&amp;"生成成长"),5))*(VLOOKUP($B$5,标准坦克设计!$B$24:$U$30,MATCH("对"&amp;LEFT($C$5,2)&amp;"输出",标准坦克设计!$B$23:$U$23,0)))*(VLOOKUP($B149,INDIRECT($B$5&amp;"生成成长"),3))*(VLOOKUP($B$5,标准坦克设计!$B$14:$K$20,9)/30))</f>
        <v>3.5494752655894803</v>
      </c>
      <c r="AZ149" s="173">
        <f ca="1">(VLOOKUP(AZ$72,INDIRECT($C$5&amp;"生成成长"),2))/((VLOOKUP($B149,INDIRECT($B$5&amp;"生成成长"),4))/(VLOOKUP(AZ$72,INDIRECT($C$5&amp;"生成成长"),5))*(VLOOKUP($B$5,标准坦克设计!$B$24:$U$30,MATCH("对"&amp;LEFT($C$5,2)&amp;"输出",标准坦克设计!$B$23:$U$23,0)))*(VLOOKUP($B149,INDIRECT($B$5&amp;"生成成长"),3))*(VLOOKUP($B$5,标准坦克设计!$B$14:$K$20,9)/30))</f>
        <v>3.9606820807262118</v>
      </c>
      <c r="BA149" s="173">
        <f ca="1">(VLOOKUP(BA$72,INDIRECT($C$5&amp;"生成成长"),2))/((VLOOKUP($B149,INDIRECT($B$5&amp;"生成成长"),4))/(VLOOKUP(BA$72,INDIRECT($C$5&amp;"生成成长"),5))*(VLOOKUP($B$5,标准坦克设计!$B$24:$U$30,MATCH("对"&amp;LEFT($C$5,2)&amp;"输出",标准坦克设计!$B$23:$U$23,0)))*(VLOOKUP($B149,INDIRECT($B$5&amp;"生成成长"),3))*(VLOOKUP($B$5,标准坦克设计!$B$14:$K$20,9)/30))</f>
        <v>4.3944207761444058</v>
      </c>
      <c r="BB149" s="173">
        <f ca="1">(VLOOKUP(BB$72,INDIRECT($C$5&amp;"生成成长"),2))/((VLOOKUP($B149,INDIRECT($B$5&amp;"生成成长"),4))/(VLOOKUP(BB$72,INDIRECT($C$5&amp;"生成成长"),5))*(VLOOKUP($B$5,标准坦克设计!$B$24:$U$30,MATCH("对"&amp;LEFT($C$5,2)&amp;"输出",标准坦克设计!$B$23:$U$23,0)))*(VLOOKUP($B149,INDIRECT($B$5&amp;"生成成长"),3))*(VLOOKUP($B$5,标准坦克设计!$B$14:$K$20,9)/30))</f>
        <v>4.8506913518440662</v>
      </c>
      <c r="BC149" s="173">
        <f ca="1">(VLOOKUP(BC$72,INDIRECT($C$5&amp;"生成成长"),2))/((VLOOKUP($B149,INDIRECT($B$5&amp;"生成成长"),4))/(VLOOKUP(BC$72,INDIRECT($C$5&amp;"生成成长"),5))*(VLOOKUP($B$5,标准坦克设计!$B$24:$U$30,MATCH("对"&amp;LEFT($C$5,2)&amp;"输出",标准坦克设计!$B$23:$U$23,0)))*(VLOOKUP($B149,INDIRECT($B$5&amp;"生成成长"),3))*(VLOOKUP($B$5,标准坦克设计!$B$14:$K$20,9)/30))</f>
        <v>5.329493807825191</v>
      </c>
      <c r="BD149" s="173">
        <f ca="1">(VLOOKUP(BD$72,INDIRECT($C$5&amp;"生成成长"),2))/((VLOOKUP($B149,INDIRECT($B$5&amp;"生成成长"),4))/(VLOOKUP(BD$72,INDIRECT($C$5&amp;"生成成长"),5))*(VLOOKUP($B$5,标准坦克设计!$B$24:$U$30,MATCH("对"&amp;LEFT($C$5,2)&amp;"输出",标准坦克设计!$B$23:$U$23,0)))*(VLOOKUP($B149,INDIRECT($B$5&amp;"生成成长"),3))*(VLOOKUP($B$5,标准坦克设计!$B$14:$K$20,9)/30))</f>
        <v>5.8950792089528932</v>
      </c>
      <c r="BE149" s="173">
        <f ca="1">(VLOOKUP(BE$72,INDIRECT($C$5&amp;"生成成长"),2))/((VLOOKUP($B149,INDIRECT($B$5&amp;"生成成长"),4))/(VLOOKUP(BE$72,INDIRECT($C$5&amp;"生成成长"),5))*(VLOOKUP($B$5,标准坦克设计!$B$24:$U$30,MATCH("对"&amp;LEFT($C$5,2)&amp;"输出",标准坦克设计!$B$23:$U$23,0)))*(VLOOKUP($B149,INDIRECT($B$5&amp;"生成成长"),3))*(VLOOKUP($B$5,标准坦克设计!$B$14:$K$20,9)/30))</f>
        <v>6.4891815210618242</v>
      </c>
      <c r="BF149" s="173">
        <f ca="1">(VLOOKUP(BF$72,INDIRECT($C$5&amp;"生成成长"),2))/((VLOOKUP($B149,INDIRECT($B$5&amp;"生成成长"),4))/(VLOOKUP(BF$72,INDIRECT($C$5&amp;"生成成长"),5))*(VLOOKUP($B$5,标准坦克设计!$B$24:$U$30,MATCH("对"&amp;LEFT($C$5,2)&amp;"输出",标准坦克设计!$B$23:$U$23,0)))*(VLOOKUP($B149,INDIRECT($B$5&amp;"生成成长"),3))*(VLOOKUP($B$5,标准坦克设计!$B$14:$K$20,9)/30))</f>
        <v>7.1118007441519859</v>
      </c>
      <c r="BG149" s="173">
        <f ca="1">(VLOOKUP(BG$72,INDIRECT($C$5&amp;"生成成长"),2))/((VLOOKUP($B149,INDIRECT($B$5&amp;"生成成长"),4))/(VLOOKUP(BG$72,INDIRECT($C$5&amp;"生成成长"),5))*(VLOOKUP($B$5,标准坦克设计!$B$24:$U$30,MATCH("对"&amp;LEFT($C$5,2)&amp;"输出",标准坦克设计!$B$23:$U$23,0)))*(VLOOKUP($B149,INDIRECT($B$5&amp;"生成成长"),3))*(VLOOKUP($B$5,标准坦克设计!$B$14:$K$20,9)/30))</f>
        <v>7.7629368782233756</v>
      </c>
      <c r="BH149" s="173">
        <f ca="1">(VLOOKUP(BH$72,INDIRECT($C$5&amp;"生成成长"),2))/((VLOOKUP($B149,INDIRECT($B$5&amp;"生成成长"),4))/(VLOOKUP(BH$72,INDIRECT($C$5&amp;"生成成长"),5))*(VLOOKUP($B$5,标准坦克设计!$B$24:$U$30,MATCH("对"&amp;LEFT($C$5,2)&amp;"输出",标准坦克设计!$B$23:$U$23,0)))*(VLOOKUP($B149,INDIRECT($B$5&amp;"生成成长"),3))*(VLOOKUP($B$5,标准坦克设计!$B$14:$K$20,9)/30))</f>
        <v>3.7522621881226632</v>
      </c>
      <c r="BI149" s="173">
        <f ca="1">(VLOOKUP(BI$72,INDIRECT($C$5&amp;"生成成长"),2))/((VLOOKUP($B149,INDIRECT($B$5&amp;"生成成长"),4))/(VLOOKUP(BI$72,INDIRECT($C$5&amp;"生成成长"),5))*(VLOOKUP($B$5,标准坦克设计!$B$24:$U$30,MATCH("对"&amp;LEFT($C$5,2)&amp;"输出",标准坦克设计!$B$23:$U$23,0)))*(VLOOKUP($B149,INDIRECT($B$5&amp;"生成成长"),3))*(VLOOKUP($B$5,标准坦克设计!$B$14:$K$20,9)/30))</f>
        <v>4.2291283106420989</v>
      </c>
      <c r="BJ149" s="173">
        <f ca="1">(VLOOKUP(BJ$72,INDIRECT($C$5&amp;"生成成长"),2))/((VLOOKUP($B149,INDIRECT($B$5&amp;"生成成长"),4))/(VLOOKUP(BJ$72,INDIRECT($C$5&amp;"生成成长"),5))*(VLOOKUP($B$5,标准坦克设计!$B$24:$U$30,MATCH("对"&amp;LEFT($C$5,2)&amp;"输出",标准坦克设计!$B$23:$U$23,0)))*(VLOOKUP($B149,INDIRECT($B$5&amp;"生成成长"),3))*(VLOOKUP($B$5,标准坦克设计!$B$14:$K$20,9)/30))</f>
        <v>4.7345113441427644</v>
      </c>
      <c r="BK149" s="173">
        <f ca="1">(VLOOKUP(BK$72,INDIRECT($C$5&amp;"生成成长"),2))/((VLOOKUP($B149,INDIRECT($B$5&amp;"生成成长"),4))/(VLOOKUP(BK$72,INDIRECT($C$5&amp;"生成成长"),5))*(VLOOKUP($B$5,标准坦克设计!$B$24:$U$30,MATCH("对"&amp;LEFT($C$5,2)&amp;"输出",标准坦克设计!$B$23:$U$23,0)))*(VLOOKUP($B149,INDIRECT($B$5&amp;"生成成长"),3))*(VLOOKUP($B$5,标准坦克设计!$B$14:$K$20,9)/30))</f>
        <v>5.268411288624657</v>
      </c>
      <c r="BL149" s="173">
        <f ca="1">(VLOOKUP(BL$72,INDIRECT($C$5&amp;"生成成长"),2))/((VLOOKUP($B149,INDIRECT($B$5&amp;"生成成长"),4))/(VLOOKUP(BL$72,INDIRECT($C$5&amp;"生成成长"),5))*(VLOOKUP($B$5,标准坦克设计!$B$24:$U$30,MATCH("对"&amp;LEFT($C$5,2)&amp;"输出",标准坦克设计!$B$23:$U$23,0)))*(VLOOKUP($B149,INDIRECT($B$5&amp;"生成成长"),3))*(VLOOKUP($B$5,标准坦克设计!$B$14:$K$20,9)/30))</f>
        <v>5.8308281440877785</v>
      </c>
      <c r="BM149" s="173">
        <f ca="1">(VLOOKUP(BM$72,INDIRECT($C$5&amp;"生成成长"),2))/((VLOOKUP($B149,INDIRECT($B$5&amp;"生成成长"),4))/(VLOOKUP(BM$72,INDIRECT($C$5&amp;"生成成长"),5))*(VLOOKUP($B$5,标准坦克设计!$B$24:$U$30,MATCH("对"&amp;LEFT($C$5,2)&amp;"输出",标准坦克设计!$B$23:$U$23,0)))*(VLOOKUP($B149,INDIRECT($B$5&amp;"生成成长"),3))*(VLOOKUP($B$5,标准坦克设计!$B$14:$K$20,9)/30))</f>
        <v>6.4217619105321297</v>
      </c>
      <c r="BN149" s="173">
        <f ca="1">(VLOOKUP(BN$72,INDIRECT($C$5&amp;"生成成长"),2))/((VLOOKUP($B149,INDIRECT($B$5&amp;"生成成长"),4))/(VLOOKUP(BN$72,INDIRECT($C$5&amp;"生成成长"),5))*(VLOOKUP($B$5,标准坦克设计!$B$24:$U$30,MATCH("对"&amp;LEFT($C$5,2)&amp;"输出",标准坦克设计!$B$23:$U$23,0)))*(VLOOKUP($B149,INDIRECT($B$5&amp;"生成成长"),3))*(VLOOKUP($B$5,标准坦克设计!$B$14:$K$20,9)/30))</f>
        <v>7.0412125879577099</v>
      </c>
      <c r="BO149" s="173">
        <f ca="1">(VLOOKUP(BO$72,INDIRECT($C$5&amp;"生成成长"),2))/((VLOOKUP($B149,INDIRECT($B$5&amp;"生成成长"),4))/(VLOOKUP(BO$72,INDIRECT($C$5&amp;"生成成长"),5))*(VLOOKUP($B$5,标准坦克设计!$B$24:$U$30,MATCH("对"&amp;LEFT($C$5,2)&amp;"输出",标准坦克设计!$B$23:$U$23,0)))*(VLOOKUP($B149,INDIRECT($B$5&amp;"生成成长"),3))*(VLOOKUP($B$5,标准坦克设计!$B$14:$K$20,9)/30))</f>
        <v>7.689180176364518</v>
      </c>
      <c r="BP149" s="173">
        <f ca="1">(VLOOKUP(BP$72,INDIRECT($C$5&amp;"生成成长"),2))/((VLOOKUP($B149,INDIRECT($B$5&amp;"生成成长"),4))/(VLOOKUP(BP$72,INDIRECT($C$5&amp;"生成成长"),5))*(VLOOKUP($B$5,标准坦克设计!$B$24:$U$30,MATCH("对"&amp;LEFT($C$5,2)&amp;"输出",标准坦克设计!$B$23:$U$23,0)))*(VLOOKUP($B149,INDIRECT($B$5&amp;"生成成长"),3))*(VLOOKUP($B$5,标准坦克设计!$B$14:$K$20,9)/30))</f>
        <v>8.365664675752555</v>
      </c>
      <c r="BQ149" s="173">
        <f ca="1">(VLOOKUP(BQ$72,INDIRECT($C$5&amp;"生成成长"),2))/((VLOOKUP($B149,INDIRECT($B$5&amp;"生成成长"),4))/(VLOOKUP(BQ$72,INDIRECT($C$5&amp;"生成成长"),5))*(VLOOKUP($B$5,标准坦克设计!$B$24:$U$30,MATCH("对"&amp;LEFT($C$5,2)&amp;"输出",标准坦克设计!$B$23:$U$23,0)))*(VLOOKUP($B149,INDIRECT($B$5&amp;"生成成长"),3))*(VLOOKUP($B$5,标准坦克设计!$B$14:$K$20,9)/30))</f>
        <v>9.07066608612182</v>
      </c>
      <c r="BR149" s="173">
        <f ca="1">(VLOOKUP(BR$72,INDIRECT($C$5&amp;"生成成长"),2))/((VLOOKUP($B149,INDIRECT($B$5&amp;"生成成长"),4))/(VLOOKUP(BR$72,INDIRECT($C$5&amp;"生成成长"),5))*(VLOOKUP($B$5,标准坦克设计!$B$24:$U$30,MATCH("对"&amp;LEFT($C$5,2)&amp;"输出",标准坦克设计!$B$23:$U$23,0)))*(VLOOKUP($B149,INDIRECT($B$5&amp;"生成成长"),3))*(VLOOKUP($B$5,标准坦克设计!$B$14:$K$20,9)/30))</f>
        <v>9.8874467463249136</v>
      </c>
      <c r="BS149" s="173">
        <f ca="1">(VLOOKUP(BS$72,INDIRECT($C$5&amp;"生成成长"),2))/((VLOOKUP($B149,INDIRECT($B$5&amp;"生成成长"),4))/(VLOOKUP(BS$72,INDIRECT($C$5&amp;"生成成长"),5))*(VLOOKUP($B$5,标准坦克设计!$B$24:$U$30,MATCH("对"&amp;LEFT($C$5,2)&amp;"输出",标准坦克设计!$B$23:$U$23,0)))*(VLOOKUP($B149,INDIRECT($B$5&amp;"生成成长"),3))*(VLOOKUP($B$5,标准坦克设计!$B$14:$K$20,9)/30))</f>
        <v>10.739433469467796</v>
      </c>
      <c r="BT149" s="173">
        <f ca="1">(VLOOKUP(BT$72,INDIRECT($C$5&amp;"生成成长"),2))/((VLOOKUP($B149,INDIRECT($B$5&amp;"生成成长"),4))/(VLOOKUP(BT$72,INDIRECT($C$5&amp;"生成成长"),5))*(VLOOKUP($B$5,标准坦克设计!$B$24:$U$30,MATCH("对"&amp;LEFT($C$5,2)&amp;"输出",标准坦克设计!$B$23:$U$23,0)))*(VLOOKUP($B149,INDIRECT($B$5&amp;"生成成长"),3))*(VLOOKUP($B$5,标准坦克设计!$B$14:$K$20,9)/30))</f>
        <v>11.626626255550468</v>
      </c>
      <c r="BU149" s="173">
        <f ca="1">(VLOOKUP(BU$72,INDIRECT($C$5&amp;"生成成长"),2))/((VLOOKUP($B149,INDIRECT($B$5&amp;"生成成长"),4))/(VLOOKUP(BU$72,INDIRECT($C$5&amp;"生成成长"),5))*(VLOOKUP($B$5,标准坦克设计!$B$24:$U$30,MATCH("对"&amp;LEFT($C$5,2)&amp;"输出",标准坦克设计!$B$23:$U$23,0)))*(VLOOKUP($B149,INDIRECT($B$5&amp;"生成成长"),3))*(VLOOKUP($B$5,标准坦克设计!$B$14:$K$20,9)/30))</f>
        <v>12.549025104572928</v>
      </c>
      <c r="BV149" s="173">
        <f ca="1">(VLOOKUP(BV$72,INDIRECT($C$5&amp;"生成成长"),2))/((VLOOKUP($B149,INDIRECT($B$5&amp;"生成成长"),4))/(VLOOKUP(BV$72,INDIRECT($C$5&amp;"生成成长"),5))*(VLOOKUP($B$5,标准坦克设计!$B$24:$U$30,MATCH("对"&amp;LEFT($C$5,2)&amp;"输出",标准坦克设计!$B$23:$U$23,0)))*(VLOOKUP($B149,INDIRECT($B$5&amp;"生成成长"),3))*(VLOOKUP($B$5,标准坦克设计!$B$14:$K$20,9)/30))</f>
        <v>13.506630016535176</v>
      </c>
      <c r="BW149" s="173">
        <f ca="1">(VLOOKUP(BW$72,INDIRECT($C$5&amp;"生成成长"),2))/((VLOOKUP($B149,INDIRECT($B$5&amp;"生成成长"),4))/(VLOOKUP(BW$72,INDIRECT($C$5&amp;"生成成长"),5))*(VLOOKUP($B$5,标准坦克设计!$B$24:$U$30,MATCH("对"&amp;LEFT($C$5,2)&amp;"输出",标准坦克设计!$B$23:$U$23,0)))*(VLOOKUP($B149,INDIRECT($B$5&amp;"生成成长"),3))*(VLOOKUP($B$5,标准坦克设计!$B$14:$K$20,9)/30))</f>
        <v>6.1556040747073286</v>
      </c>
      <c r="BX149" s="173">
        <f ca="1">(VLOOKUP(BX$72,INDIRECT($C$5&amp;"生成成长"),2))/((VLOOKUP($B149,INDIRECT($B$5&amp;"生成成长"),4))/(VLOOKUP(BX$72,INDIRECT($C$5&amp;"生成成长"),5))*(VLOOKUP($B$5,标准坦克设计!$B$24:$U$30,MATCH("对"&amp;LEFT($C$5,2)&amp;"输出",标准坦克设计!$B$23:$U$23,0)))*(VLOOKUP($B149,INDIRECT($B$5&amp;"生成成长"),3))*(VLOOKUP($B$5,标准坦克设计!$B$14:$K$20,9)/30))</f>
        <v>6.8315604831512688</v>
      </c>
      <c r="BY149" s="173">
        <f ca="1">(VLOOKUP(BY$72,INDIRECT($C$5&amp;"生成成长"),2))/((VLOOKUP($B149,INDIRECT($B$5&amp;"生成成长"),4))/(VLOOKUP(BY$72,INDIRECT($C$5&amp;"生成成长"),5))*(VLOOKUP($B$5,标准坦克设计!$B$24:$U$30,MATCH("对"&amp;LEFT($C$5,2)&amp;"输出",标准坦克设计!$B$23:$U$23,0)))*(VLOOKUP($B149,INDIRECT($B$5&amp;"生成成长"),3))*(VLOOKUP($B$5,标准坦克设计!$B$14:$K$20,9)/30))</f>
        <v>7.5427229545349972</v>
      </c>
      <c r="BZ149" s="173">
        <f ca="1">(VLOOKUP(BZ$72,INDIRECT($C$5&amp;"生成成长"),2))/((VLOOKUP($B149,INDIRECT($B$5&amp;"生成成长"),4))/(VLOOKUP(BZ$72,INDIRECT($C$5&amp;"生成成长"),5))*(VLOOKUP($B$5,标准坦克设计!$B$24:$U$30,MATCH("对"&amp;LEFT($C$5,2)&amp;"输出",标准坦克设计!$B$23:$U$23,0)))*(VLOOKUP($B149,INDIRECT($B$5&amp;"生成成长"),3))*(VLOOKUP($B$5,标准坦克设计!$B$14:$K$20,9)/30))</f>
        <v>8.2890914888585137</v>
      </c>
      <c r="CA149" s="173">
        <f ca="1">(VLOOKUP(CA$72,INDIRECT($C$5&amp;"生成成长"),2))/((VLOOKUP($B149,INDIRECT($B$5&amp;"生成成长"),4))/(VLOOKUP(CA$72,INDIRECT($C$5&amp;"生成成长"),5))*(VLOOKUP($B$5,标准坦克设计!$B$24:$U$30,MATCH("对"&amp;LEFT($C$5,2)&amp;"输出",标准坦克设计!$B$23:$U$23,0)))*(VLOOKUP($B149,INDIRECT($B$5&amp;"生成成长"),3))*(VLOOKUP($B$5,标准坦克设计!$B$14:$K$20,9)/30))</f>
        <v>9.07066608612182</v>
      </c>
      <c r="CB149" s="173">
        <f ca="1">(VLOOKUP(CB$72,INDIRECT($C$5&amp;"生成成长"),2))/((VLOOKUP($B149,INDIRECT($B$5&amp;"生成成长"),4))/(VLOOKUP(CB$72,INDIRECT($C$5&amp;"生成成长"),5))*(VLOOKUP($B$5,标准坦克设计!$B$24:$U$30,MATCH("对"&amp;LEFT($C$5,2)&amp;"输出",标准坦克设计!$B$23:$U$23,0)))*(VLOOKUP($B149,INDIRECT($B$5&amp;"生成成长"),3))*(VLOOKUP($B$5,标准坦克设计!$B$14:$K$20,9)/30))</f>
        <v>9.8874467463249136</v>
      </c>
      <c r="CC149" s="173">
        <f ca="1">(VLOOKUP(CC$72,INDIRECT($C$5&amp;"生成成长"),2))/((VLOOKUP($B149,INDIRECT($B$5&amp;"生成成长"),4))/(VLOOKUP(CC$72,INDIRECT($C$5&amp;"生成成长"),5))*(VLOOKUP($B$5,标准坦克设计!$B$24:$U$30,MATCH("对"&amp;LEFT($C$5,2)&amp;"输出",标准坦克设计!$B$23:$U$23,0)))*(VLOOKUP($B149,INDIRECT($B$5&amp;"生成成长"),3))*(VLOOKUP($B$5,标准坦克设计!$B$14:$K$20,9)/30))</f>
        <v>10.739433469467796</v>
      </c>
      <c r="CD149" s="173">
        <f ca="1">(VLOOKUP(CD$72,INDIRECT($C$5&amp;"生成成长"),2))/((VLOOKUP($B149,INDIRECT($B$5&amp;"生成成长"),4))/(VLOOKUP(CD$72,INDIRECT($C$5&amp;"生成成长"),5))*(VLOOKUP($B$5,标准坦克设计!$B$24:$U$30,MATCH("对"&amp;LEFT($C$5,2)&amp;"输出",标准坦克设计!$B$23:$U$23,0)))*(VLOOKUP($B149,INDIRECT($B$5&amp;"生成成长"),3))*(VLOOKUP($B$5,标准坦克设计!$B$14:$K$20,9)/30))</f>
        <v>11.626626255550468</v>
      </c>
      <c r="CE149" s="173">
        <f ca="1">(VLOOKUP(CE$72,INDIRECT($C$5&amp;"生成成长"),2))/((VLOOKUP($B149,INDIRECT($B$5&amp;"生成成长"),4))/(VLOOKUP(CE$72,INDIRECT($C$5&amp;"生成成长"),5))*(VLOOKUP($B$5,标准坦克设计!$B$24:$U$30,MATCH("对"&amp;LEFT($C$5,2)&amp;"输出",标准坦克设计!$B$23:$U$23,0)))*(VLOOKUP($B149,INDIRECT($B$5&amp;"生成成长"),3))*(VLOOKUP($B$5,标准坦克设计!$B$14:$K$20,9)/30))</f>
        <v>12.549025104572928</v>
      </c>
      <c r="CF149" s="173">
        <f ca="1">(VLOOKUP(CF$72,INDIRECT($C$5&amp;"生成成长"),2))/((VLOOKUP($B149,INDIRECT($B$5&amp;"生成成长"),4))/(VLOOKUP(CF$72,INDIRECT($C$5&amp;"生成成长"),5))*(VLOOKUP($B$5,标准坦克设计!$B$24:$U$30,MATCH("对"&amp;LEFT($C$5,2)&amp;"输出",标准坦克设计!$B$23:$U$23,0)))*(VLOOKUP($B149,INDIRECT($B$5&amp;"生成成长"),3))*(VLOOKUP($B$5,标准坦克设计!$B$14:$K$20,9)/30))</f>
        <v>13.506630016535176</v>
      </c>
      <c r="CG149" s="173">
        <f ca="1">(VLOOKUP(CG$72,INDIRECT($C$5&amp;"生成成长"),2))/((VLOOKUP($B149,INDIRECT($B$5&amp;"生成成长"),4))/(VLOOKUP(CG$72,INDIRECT($C$5&amp;"生成成长"),5))*(VLOOKUP($B$5,标准坦克设计!$B$24:$U$30,MATCH("对"&amp;LEFT($C$5,2)&amp;"输出",标准坦克设计!$B$23:$U$23,0)))*(VLOOKUP($B149,INDIRECT($B$5&amp;"生成成长"),3))*(VLOOKUP($B$5,标准坦克设计!$B$14:$K$20,9)/30))</f>
        <v>14.49944099143721</v>
      </c>
      <c r="CH149" s="173">
        <f ca="1">(VLOOKUP(CH$72,INDIRECT($C$5&amp;"生成成长"),2))/((VLOOKUP($B149,INDIRECT($B$5&amp;"生成成长"),4))/(VLOOKUP(CH$72,INDIRECT($C$5&amp;"生成成长"),5))*(VLOOKUP($B$5,标准坦克设计!$B$24:$U$30,MATCH("对"&amp;LEFT($C$5,2)&amp;"输出",标准坦克设计!$B$23:$U$23,0)))*(VLOOKUP($B149,INDIRECT($B$5&amp;"生成成长"),3))*(VLOOKUP($B$5,标准坦克设计!$B$14:$K$20,9)/30))</f>
        <v>15.527458029279041</v>
      </c>
      <c r="CI149" s="173">
        <f ca="1">(VLOOKUP(CI$72,INDIRECT($C$5&amp;"生成成长"),2))/((VLOOKUP($B149,INDIRECT($B$5&amp;"生成成长"),4))/(VLOOKUP(CI$72,INDIRECT($C$5&amp;"生成成长"),5))*(VLOOKUP($B$5,标准坦克设计!$B$24:$U$30,MATCH("对"&amp;LEFT($C$5,2)&amp;"输出",标准坦克设计!$B$23:$U$23,0)))*(VLOOKUP($B149,INDIRECT($B$5&amp;"生成成长"),3))*(VLOOKUP($B$5,标准坦克设计!$B$14:$K$20,9)/30))</f>
        <v>16.698939773600504</v>
      </c>
      <c r="CJ149" s="173">
        <f ca="1">(VLOOKUP(CJ$72,INDIRECT($C$5&amp;"生成成长"),2))/((VLOOKUP($B149,INDIRECT($B$5&amp;"生成成长"),4))/(VLOOKUP(CJ$72,INDIRECT($C$5&amp;"生成成长"),5))*(VLOOKUP($B$5,标准坦克设计!$B$24:$U$30,MATCH("对"&amp;LEFT($C$5,2)&amp;"输出",标准坦克设计!$B$23:$U$23,0)))*(VLOOKUP($B149,INDIRECT($B$5&amp;"生成成长"),3))*(VLOOKUP($B$5,标准坦克设计!$B$14:$K$20,9)/30))</f>
        <v>17.913020854079107</v>
      </c>
      <c r="CK149" s="173">
        <f ca="1">(VLOOKUP(CK$72,INDIRECT($C$5&amp;"生成成长"),2))/((VLOOKUP($B149,INDIRECT($B$5&amp;"生成成长"),4))/(VLOOKUP(CK$72,INDIRECT($C$5&amp;"生成成长"),5))*(VLOOKUP($B$5,标准坦克设计!$B$24:$U$30,MATCH("对"&amp;LEFT($C$5,2)&amp;"输出",标准坦克设计!$B$23:$U$23,0)))*(VLOOKUP($B149,INDIRECT($B$5&amp;"生成成长"),3))*(VLOOKUP($B$5,标准坦克设计!$B$14:$K$20,9)/30))</f>
        <v>19.169701270714864</v>
      </c>
      <c r="CL149" s="173">
        <f ca="1">(VLOOKUP(CL$72,INDIRECT($C$5&amp;"生成成长"),2))/((VLOOKUP($B149,INDIRECT($B$5&amp;"生成成长"),4))/(VLOOKUP(CL$72,INDIRECT($C$5&amp;"生成成长"),5))*(VLOOKUP($B$5,标准坦克设计!$B$24:$U$30,MATCH("对"&amp;LEFT($C$5,2)&amp;"输出",标准坦克设计!$B$23:$U$23,0)))*(VLOOKUP($B149,INDIRECT($B$5&amp;"生成成长"),3))*(VLOOKUP($B$5,标准坦克设计!$B$14:$K$20,9)/30))</f>
        <v>20.468981023507762</v>
      </c>
      <c r="CM149" s="173">
        <f ca="1">(VLOOKUP(CM$72,INDIRECT($C$5&amp;"生成成长"),2))/((VLOOKUP($B149,INDIRECT($B$5&amp;"生成成长"),4))/(VLOOKUP(CM$72,INDIRECT($C$5&amp;"生成成长"),5))*(VLOOKUP($B$5,标准坦克设计!$B$24:$U$30,MATCH("对"&amp;LEFT($C$5,2)&amp;"输出",标准坦克设计!$B$23:$U$23,0)))*(VLOOKUP($B149,INDIRECT($B$5&amp;"生成成长"),3))*(VLOOKUP($B$5,标准坦克设计!$B$14:$K$20,9)/30))</f>
        <v>21.810860112457799</v>
      </c>
      <c r="CN149" s="173">
        <f ca="1">(VLOOKUP(CN$72,INDIRECT($C$5&amp;"生成成长"),2))/((VLOOKUP($B149,INDIRECT($B$5&amp;"生成成长"),4))/(VLOOKUP(CN$72,INDIRECT($C$5&amp;"生成成长"),5))*(VLOOKUP($B$5,标准坦克设计!$B$24:$U$30,MATCH("对"&amp;LEFT($C$5,2)&amp;"输出",标准坦克设计!$B$23:$U$23,0)))*(VLOOKUP($B149,INDIRECT($B$5&amp;"生成成长"),3))*(VLOOKUP($B$5,标准坦克设计!$B$14:$K$20,9)/30))</f>
        <v>23.195338537564989</v>
      </c>
      <c r="CO149" s="173">
        <f ca="1">(VLOOKUP(CO$72,INDIRECT($C$5&amp;"生成成长"),2))/((VLOOKUP($B149,INDIRECT($B$5&amp;"生成成长"),4))/(VLOOKUP(CO$72,INDIRECT($C$5&amp;"生成成长"),5))*(VLOOKUP($B$5,标准坦克设计!$B$24:$U$30,MATCH("对"&amp;LEFT($C$5,2)&amp;"输出",标准坦克设计!$B$23:$U$23,0)))*(VLOOKUP($B149,INDIRECT($B$5&amp;"生成成长"),3))*(VLOOKUP($B$5,标准坦克设计!$B$14:$K$20,9)/30))</f>
        <v>10.39441405265787</v>
      </c>
      <c r="CP149" s="173">
        <f ca="1">(VLOOKUP(CP$72,INDIRECT($C$5&amp;"生成成长"),2))/((VLOOKUP($B149,INDIRECT($B$5&amp;"生成成长"),4))/(VLOOKUP(CP$72,INDIRECT($C$5&amp;"生成成长"),5))*(VLOOKUP($B$5,标准坦克设计!$B$24:$U$30,MATCH("对"&amp;LEFT($C$5,2)&amp;"输出",标准坦克设计!$B$23:$U$23,0)))*(VLOOKUP($B149,INDIRECT($B$5&amp;"生成成长"),3))*(VLOOKUP($B$5,标准坦克设计!$B$14:$K$20,9)/30))</f>
        <v>11.356771783116992</v>
      </c>
      <c r="CQ149" s="173">
        <f ca="1">(VLOOKUP(CQ$72,INDIRECT($C$5&amp;"生成成长"),2))/((VLOOKUP($B149,INDIRECT($B$5&amp;"生成成长"),4))/(VLOOKUP(CQ$72,INDIRECT($C$5&amp;"生成成长"),5))*(VLOOKUP($B$5,标准坦克设计!$B$24:$U$30,MATCH("对"&amp;LEFT($C$5,2)&amp;"输出",标准坦克设计!$B$23:$U$23,0)))*(VLOOKUP($B149,INDIRECT($B$5&amp;"生成成长"),3))*(VLOOKUP($B$5,标准坦克设计!$B$14:$K$20,9)/30))</f>
        <v>12.361728849733252</v>
      </c>
      <c r="CR149" s="173">
        <f ca="1">(VLOOKUP(CR$72,INDIRECT($C$5&amp;"生成成长"),2))/((VLOOKUP($B149,INDIRECT($B$5&amp;"生成成长"),4))/(VLOOKUP(CR$72,INDIRECT($C$5&amp;"生成成长"),5))*(VLOOKUP($B$5,标准坦克设计!$B$24:$U$30,MATCH("对"&amp;LEFT($C$5,2)&amp;"输出",标准坦克设计!$B$23:$U$23,0)))*(VLOOKUP($B149,INDIRECT($B$5&amp;"生成成长"),3))*(VLOOKUP($B$5,标准坦克设计!$B$14:$K$20,9)/30))</f>
        <v>13.409285252506663</v>
      </c>
      <c r="CS149" s="173">
        <f ca="1">(VLOOKUP(CS$72,INDIRECT($C$5&amp;"生成成长"),2))/((VLOOKUP($B149,INDIRECT($B$5&amp;"生成成长"),4))/(VLOOKUP(CS$72,INDIRECT($C$5&amp;"生成成长"),5))*(VLOOKUP($B$5,标准坦克设计!$B$24:$U$30,MATCH("对"&amp;LEFT($C$5,2)&amp;"输出",标准坦克设计!$B$23:$U$23,0)))*(VLOOKUP($B149,INDIRECT($B$5&amp;"生成成长"),3))*(VLOOKUP($B$5,标准坦克设计!$B$14:$K$20,9)/30))</f>
        <v>14.49944099143721</v>
      </c>
      <c r="CT149" s="173">
        <f ca="1">(VLOOKUP(CT$72,INDIRECT($C$5&amp;"生成成长"),2))/((VLOOKUP($B149,INDIRECT($B$5&amp;"生成成长"),4))/(VLOOKUP(CT$72,INDIRECT($C$5&amp;"生成成长"),5))*(VLOOKUP($B$5,标准坦克设计!$B$24:$U$30,MATCH("对"&amp;LEFT($C$5,2)&amp;"输出",标准坦克设计!$B$23:$U$23,0)))*(VLOOKUP($B149,INDIRECT($B$5&amp;"生成成长"),3))*(VLOOKUP($B$5,标准坦克设计!$B$14:$K$20,9)/30))</f>
        <v>15.632196066524912</v>
      </c>
      <c r="CU149" s="173">
        <f ca="1">(VLOOKUP(CU$72,INDIRECT($C$5&amp;"生成成长"),2))/((VLOOKUP($B149,INDIRECT($B$5&amp;"生成成长"),4))/(VLOOKUP(CU$72,INDIRECT($C$5&amp;"生成成长"),5))*(VLOOKUP($B$5,标准坦克设计!$B$24:$U$30,MATCH("对"&amp;LEFT($C$5,2)&amp;"输出",标准坦克设计!$B$23:$U$23,0)))*(VLOOKUP($B149,INDIRECT($B$5&amp;"生成成长"),3))*(VLOOKUP($B$5,标准坦克设计!$B$14:$K$20,9)/30))</f>
        <v>16.807550477769748</v>
      </c>
      <c r="CV149" s="173">
        <f ca="1">(VLOOKUP(CV$72,INDIRECT($C$5&amp;"生成成长"),2))/((VLOOKUP($B149,INDIRECT($B$5&amp;"生成成长"),4))/(VLOOKUP(CV$72,INDIRECT($C$5&amp;"生成成长"),5))*(VLOOKUP($B$5,标准坦克设计!$B$24:$U$30,MATCH("对"&amp;LEFT($C$5,2)&amp;"输出",标准坦克设计!$B$23:$U$23,0)))*(VLOOKUP($B149,INDIRECT($B$5&amp;"生成成长"),3))*(VLOOKUP($B$5,标准坦克设计!$B$14:$K$20,9)/30))</f>
        <v>18.025504225171737</v>
      </c>
      <c r="CW149" s="173">
        <f ca="1">(VLOOKUP(CW$72,INDIRECT($C$5&amp;"生成成长"),2))/((VLOOKUP($B149,INDIRECT($B$5&amp;"生成成长"),4))/(VLOOKUP(CW$72,INDIRECT($C$5&amp;"生成成长"),5))*(VLOOKUP($B$5,标准坦克设计!$B$24:$U$30,MATCH("对"&amp;LEFT($C$5,2)&amp;"输出",标准坦克设计!$B$23:$U$23,0)))*(VLOOKUP($B149,INDIRECT($B$5&amp;"生成成长"),3))*(VLOOKUP($B$5,标准坦克设计!$B$14:$K$20,9)/30))</f>
        <v>19.286057308730868</v>
      </c>
      <c r="CX149" s="173">
        <f ca="1">(VLOOKUP(CX$72,INDIRECT($C$5&amp;"生成成长"),2))/((VLOOKUP($B149,INDIRECT($B$5&amp;"生成成长"),4))/(VLOOKUP(CX$72,INDIRECT($C$5&amp;"生成成长"),5))*(VLOOKUP($B$5,标准坦克设计!$B$24:$U$30,MATCH("对"&amp;LEFT($C$5,2)&amp;"输出",标准坦克设计!$B$23:$U$23,0)))*(VLOOKUP($B149,INDIRECT($B$5&amp;"生成成长"),3))*(VLOOKUP($B$5,标准坦克设计!$B$14:$K$20,9)/30))</f>
        <v>20.589209728447138</v>
      </c>
      <c r="CY149" s="173">
        <f ca="1">(VLOOKUP(CY$72,INDIRECT($C$5&amp;"生成成长"),2))/((VLOOKUP($B149,INDIRECT($B$5&amp;"生成成长"),4))/(VLOOKUP(CY$72,INDIRECT($C$5&amp;"生成成长"),5))*(VLOOKUP($B$5,标准坦克设计!$B$24:$U$30,MATCH("对"&amp;LEFT($C$5,2)&amp;"输出",标准坦克设计!$B$23:$U$23,0)))*(VLOOKUP($B149,INDIRECT($B$5&amp;"生成成长"),3))*(VLOOKUP($B$5,标准坦克设计!$B$14:$K$20,9)/30))</f>
        <v>21.934961484320553</v>
      </c>
      <c r="CZ149" s="173">
        <f ca="1">(VLOOKUP(CZ$72,INDIRECT($C$5&amp;"生成成长"),2))/((VLOOKUP($B149,INDIRECT($B$5&amp;"生成成长"),4))/(VLOOKUP(CZ$72,INDIRECT($C$5&amp;"生成成长"),5))*(VLOOKUP($B$5,标准坦克设计!$B$24:$U$30,MATCH("对"&amp;LEFT($C$5,2)&amp;"输出",标准坦克设计!$B$23:$U$23,0)))*(VLOOKUP($B149,INDIRECT($B$5&amp;"生成成长"),3))*(VLOOKUP($B$5,标准坦克设计!$B$14:$K$20,9)/30))</f>
        <v>23.323312576351114</v>
      </c>
      <c r="DA149" s="173">
        <f ca="1">(VLOOKUP(DA$72,INDIRECT($C$5&amp;"生成成长"),2))/((VLOOKUP($B149,INDIRECT($B$5&amp;"生成成长"),4))/(VLOOKUP(DA$72,INDIRECT($C$5&amp;"生成成长"),5))*(VLOOKUP($B$5,标准坦克设计!$B$24:$U$30,MATCH("对"&amp;LEFT($C$5,2)&amp;"输出",标准坦克设计!$B$23:$U$23,0)))*(VLOOKUP($B149,INDIRECT($B$5&amp;"生成成长"),3))*(VLOOKUP($B$5,标准坦克设计!$B$14:$K$20,9)/30))</f>
        <v>24.754263004538824</v>
      </c>
      <c r="DB149" s="173">
        <f ca="1">(VLOOKUP(DB$72,INDIRECT($C$5&amp;"生成成长"),2))/((VLOOKUP($B149,INDIRECT($B$5&amp;"生成成长"),4))/(VLOOKUP(DB$72,INDIRECT($C$5&amp;"生成成长"),5))*(VLOOKUP($B$5,标准坦克设计!$B$24:$U$30,MATCH("对"&amp;LEFT($C$5,2)&amp;"输出",标准坦克设计!$B$23:$U$23,0)))*(VLOOKUP($B149,INDIRECT($B$5&amp;"生成成长"),3))*(VLOOKUP($B$5,标准坦克设计!$B$14:$K$20,9)/30))</f>
        <v>26.227812768883673</v>
      </c>
      <c r="DC149" s="173">
        <f ca="1">(VLOOKUP(DC$72,INDIRECT($C$5&amp;"生成成长"),2))/((VLOOKUP($B149,INDIRECT($B$5&amp;"生成成长"),4))/(VLOOKUP(DC$72,INDIRECT($C$5&amp;"生成成长"),5))*(VLOOKUP($B$5,标准坦克设计!$B$24:$U$30,MATCH("对"&amp;LEFT($C$5,2)&amp;"输出",标准坦克设计!$B$23:$U$23,0)))*(VLOOKUP($B149,INDIRECT($B$5&amp;"生成成长"),3))*(VLOOKUP($B$5,标准坦克设计!$B$14:$K$20,9)/30))</f>
        <v>27.883905969571327</v>
      </c>
      <c r="DD149" s="173">
        <f ca="1">(VLOOKUP(DD$72,INDIRECT($C$5&amp;"生成成长"),2))/((VLOOKUP($B149,INDIRECT($B$5&amp;"生成成长"),4))/(VLOOKUP(DD$72,INDIRECT($C$5&amp;"生成成长"),5))*(VLOOKUP($B$5,标准坦克设计!$B$24:$U$30,MATCH("对"&amp;LEFT($C$5,2)&amp;"输出",标准坦克设计!$B$23:$U$23,0)))*(VLOOKUP($B149,INDIRECT($B$5&amp;"生成成长"),3))*(VLOOKUP($B$5,标准坦克设计!$B$14:$K$20,9)/30))</f>
        <v>29.590695900892275</v>
      </c>
      <c r="DE149" s="173">
        <f ca="1">(VLOOKUP(DE$72,INDIRECT($C$5&amp;"生成成长"),2))/((VLOOKUP($B149,INDIRECT($B$5&amp;"生成成长"),4))/(VLOOKUP(DE$72,INDIRECT($C$5&amp;"生成成长"),5))*(VLOOKUP($B$5,标准坦克设计!$B$24:$U$30,MATCH("对"&amp;LEFT($C$5,2)&amp;"输出",标准坦克设计!$B$23:$U$23,0)))*(VLOOKUP($B149,INDIRECT($B$5&amp;"生成成长"),3))*(VLOOKUP($B$5,标准坦克设计!$B$14:$K$20,9)/30))</f>
        <v>31.348182562846521</v>
      </c>
      <c r="DF149" s="173">
        <f ca="1">(VLOOKUP(DF$72,INDIRECT($C$5&amp;"生成成长"),2))/((VLOOKUP($B149,INDIRECT($B$5&amp;"生成成长"),4))/(VLOOKUP(DF$72,INDIRECT($C$5&amp;"生成成长"),5))*(VLOOKUP($B$5,标准坦克设计!$B$24:$U$30,MATCH("对"&amp;LEFT($C$5,2)&amp;"输出",标准坦克设计!$B$23:$U$23,0)))*(VLOOKUP($B149,INDIRECT($B$5&amp;"生成成长"),3))*(VLOOKUP($B$5,标准坦克设计!$B$14:$K$20,9)/30))</f>
        <v>33.156365955434055</v>
      </c>
      <c r="DG149" s="173">
        <f ca="1">(VLOOKUP(DG$72,INDIRECT($C$5&amp;"生成成长"),2))/((VLOOKUP($B149,INDIRECT($B$5&amp;"生成成长"),4))/(VLOOKUP(DG$72,INDIRECT($C$5&amp;"生成成长"),5))*(VLOOKUP($B$5,标准坦克设计!$B$24:$U$30,MATCH("对"&amp;LEFT($C$5,2)&amp;"输出",标准坦克设计!$B$23:$U$23,0)))*(VLOOKUP($B149,INDIRECT($B$5&amp;"生成成长"),3))*(VLOOKUP($B$5,标准坦克设计!$B$14:$K$20,9)/30))</f>
        <v>35.01524607865489</v>
      </c>
      <c r="DH149" s="173">
        <f ca="1">(VLOOKUP(DH$72,INDIRECT($C$5&amp;"生成成长"),2))/((VLOOKUP($B149,INDIRECT($B$5&amp;"生成成长"),4))/(VLOOKUP(DH$72,INDIRECT($C$5&amp;"生成成长"),5))*(VLOOKUP($B$5,标准坦克设计!$B$24:$U$30,MATCH("对"&amp;LEFT($C$5,2)&amp;"输出",标准坦克设计!$B$23:$U$23,0)))*(VLOOKUP($B149,INDIRECT($B$5&amp;"生成成长"),3))*(VLOOKUP($B$5,标准坦克设计!$B$14:$K$20,9)/30))</f>
        <v>36.924822932509024</v>
      </c>
      <c r="DI149" s="173">
        <f ca="1">(VLOOKUP(DI$72,INDIRECT($C$5&amp;"生成成长"),2))/((VLOOKUP($B149,INDIRECT($B$5&amp;"生成成长"),4))/(VLOOKUP(DI$72,INDIRECT($C$5&amp;"生成成长"),5))*(VLOOKUP($B$5,标准坦克设计!$B$24:$U$30,MATCH("对"&amp;LEFT($C$5,2)&amp;"输出",标准坦克设计!$B$23:$U$23,0)))*(VLOOKUP($B149,INDIRECT($B$5&amp;"生成成长"),3))*(VLOOKUP($B$5,标准坦克设计!$B$14:$K$20,9)/30))</f>
        <v>38.885096516996448</v>
      </c>
      <c r="DJ149" s="173">
        <f ca="1">(VLOOKUP(DJ$72,INDIRECT($C$5&amp;"生成成长"),2))/((VLOOKUP($B149,INDIRECT($B$5&amp;"生成成长"),4))/(VLOOKUP(DJ$72,INDIRECT($C$5&amp;"生成成长"),5))*(VLOOKUP($B$5,标准坦克设计!$B$24:$U$30,MATCH("对"&amp;LEFT($C$5,2)&amp;"输出",标准坦克设计!$B$23:$U$23,0)))*(VLOOKUP($B149,INDIRECT($B$5&amp;"生成成长"),3))*(VLOOKUP($B$5,标准坦克设计!$B$14:$K$20,9)/30))</f>
        <v>3.9080490166312281</v>
      </c>
      <c r="DK149" s="173">
        <f ca="1">(VLOOKUP(DK$72,INDIRECT($C$5&amp;"生成成长"),2))/((VLOOKUP($B149,INDIRECT($B$5&amp;"生成成长"),4))/(VLOOKUP(DK$72,INDIRECT($C$5&amp;"生成成长"),5))*(VLOOKUP($B$5,标准坦克设计!$B$24:$U$30,MATCH("对"&amp;LEFT($C$5,2)&amp;"输出",标准坦克设计!$B$23:$U$23,0)))*(VLOOKUP($B149,INDIRECT($B$5&amp;"生成成长"),3))*(VLOOKUP($B$5,标准坦克设计!$B$14:$K$20,9)/30))</f>
        <v>4.3944207761444058</v>
      </c>
      <c r="DL149" s="173">
        <f ca="1">(VLOOKUP(DL$72,INDIRECT($C$5&amp;"生成成长"),2))/((VLOOKUP($B149,INDIRECT($B$5&amp;"生成成长"),4))/(VLOOKUP(DL$72,INDIRECT($C$5&amp;"生成成长"),5))*(VLOOKUP($B$5,标准坦克设计!$B$24:$U$30,MATCH("对"&amp;LEFT($C$5,2)&amp;"输出",标准坦克设计!$B$23:$U$23,0)))*(VLOOKUP($B149,INDIRECT($B$5&amp;"生成成长"),3))*(VLOOKUP($B$5,标准坦克设计!$B$14:$K$20,9)/30))</f>
        <v>4.9093094466388143</v>
      </c>
      <c r="DM149" s="173">
        <f ca="1">(VLOOKUP(DM$72,INDIRECT($C$5&amp;"生成成长"),2))/((VLOOKUP($B149,INDIRECT($B$5&amp;"生成成长"),4))/(VLOOKUP(DM$72,INDIRECT($C$5&amp;"生成成长"),5))*(VLOOKUP($B$5,标准坦克设计!$B$24:$U$30,MATCH("对"&amp;LEFT($C$5,2)&amp;"输出",标准坦克设计!$B$23:$U$23,0)))*(VLOOKUP($B149,INDIRECT($B$5&amp;"生成成长"),3))*(VLOOKUP($B$5,标准坦克设计!$B$14:$K$20,9)/30))</f>
        <v>5.4527150281144499</v>
      </c>
      <c r="DN149" s="173">
        <f ca="1">(VLOOKUP(DN$72,INDIRECT($C$5&amp;"生成成长"),2))/((VLOOKUP($B149,INDIRECT($B$5&amp;"生成成长"),4))/(VLOOKUP(DN$72,INDIRECT($C$5&amp;"生成成长"),5))*(VLOOKUP($B$5,标准坦克设计!$B$24:$U$30,MATCH("对"&amp;LEFT($C$5,2)&amp;"输出",标准坦克设计!$B$23:$U$23,0)))*(VLOOKUP($B149,INDIRECT($B$5&amp;"生成成长"),3))*(VLOOKUP($B$5,标准坦克设计!$B$14:$K$20,9)/30))</f>
        <v>6.0246375205713152</v>
      </c>
      <c r="DO149" s="173">
        <f ca="1">(VLOOKUP(DO$72,INDIRECT($C$5&amp;"生成成长"),2))/((VLOOKUP($B149,INDIRECT($B$5&amp;"生成成长"),4))/(VLOOKUP(DO$72,INDIRECT($C$5&amp;"生成成长"),5))*(VLOOKUP($B$5,标准坦克设计!$B$24:$U$30,MATCH("对"&amp;LEFT($C$5,2)&amp;"输出",标准坦克设计!$B$23:$U$23,0)))*(VLOOKUP($B149,INDIRECT($B$5&amp;"生成成长"),3))*(VLOOKUP($B$5,标准坦克设计!$B$14:$K$20,9)/30))</f>
        <v>6.6250769240094085</v>
      </c>
      <c r="DP149" s="173">
        <f ca="1">(VLOOKUP(DP$72,INDIRECT($C$5&amp;"生成成长"),2))/((VLOOKUP($B149,INDIRECT($B$5&amp;"生成成长"),4))/(VLOOKUP(DP$72,INDIRECT($C$5&amp;"生成成长"),5))*(VLOOKUP($B$5,标准坦克设计!$B$24:$U$30,MATCH("对"&amp;LEFT($C$5,2)&amp;"输出",标准坦克设计!$B$23:$U$23,0)))*(VLOOKUP($B149,INDIRECT($B$5&amp;"生成成长"),3))*(VLOOKUP($B$5,标准坦克设计!$B$14:$K$20,9)/30))</f>
        <v>7.2540332384287316</v>
      </c>
      <c r="DQ149" s="173">
        <f ca="1">(VLOOKUP(DQ$72,INDIRECT($C$5&amp;"生成成长"),2))/((VLOOKUP($B149,INDIRECT($B$5&amp;"生成成长"),4))/(VLOOKUP(DQ$72,INDIRECT($C$5&amp;"生成成长"),5))*(VLOOKUP($B$5,标准坦克设计!$B$24:$U$30,MATCH("对"&amp;LEFT($C$5,2)&amp;"输出",标准坦克设计!$B$23:$U$23,0)))*(VLOOKUP($B149,INDIRECT($B$5&amp;"生成成长"),3))*(VLOOKUP($B$5,标准坦克设计!$B$14:$K$20,9)/30))</f>
        <v>7.9115064638292827</v>
      </c>
      <c r="DR149" s="173">
        <f ca="1">(VLOOKUP(DR$72,INDIRECT($C$5&amp;"生成成长"),2))/((VLOOKUP($B149,INDIRECT($B$5&amp;"生成成长"),4))/(VLOOKUP(DR$72,INDIRECT($C$5&amp;"生成成长"),5))*(VLOOKUP($B$5,标准坦克设计!$B$24:$U$30,MATCH("对"&amp;LEFT($C$5,2)&amp;"输出",标准坦克设计!$B$23:$U$23,0)))*(VLOOKUP($B149,INDIRECT($B$5&amp;"生成成长"),3))*(VLOOKUP($B$5,标准坦克设计!$B$14:$K$20,9)/30))</f>
        <v>8.5974966002110627</v>
      </c>
      <c r="DS149" s="173">
        <f ca="1">(VLOOKUP(DS$72,INDIRECT($C$5&amp;"生成成长"),2))/((VLOOKUP($B149,INDIRECT($B$5&amp;"生成成长"),4))/(VLOOKUP(DS$72,INDIRECT($C$5&amp;"生成成长"),5))*(VLOOKUP($B$5,标准坦克设计!$B$24:$U$30,MATCH("对"&amp;LEFT($C$5,2)&amp;"输出",标准坦克设计!$B$23:$U$23,0)))*(VLOOKUP($B149,INDIRECT($B$5&amp;"生成成长"),3))*(VLOOKUP($B$5,标准坦克设计!$B$14:$K$20,9)/30))</f>
        <v>9.3120036475740697</v>
      </c>
      <c r="DT149" s="173">
        <f ca="1">(VLOOKUP(DT$72,INDIRECT($C$5&amp;"生成成长"),2))/((VLOOKUP($B149,INDIRECT($B$5&amp;"生成成长"),4))/(VLOOKUP(DT$72,INDIRECT($C$5&amp;"生成成长"),5))*(VLOOKUP($B$5,标准坦克设计!$B$24:$U$30,MATCH("对"&amp;LEFT($C$5,2)&amp;"输出",标准坦克设计!$B$23:$U$23,0)))*(VLOOKUP($B149,INDIRECT($B$5&amp;"生成成长"),3))*(VLOOKUP($B$5,标准坦克设计!$B$14:$K$20,9)/30))</f>
        <v>10.224016708029295</v>
      </c>
      <c r="DU149" s="173">
        <f ca="1">(VLOOKUP(DU$72,INDIRECT($C$5&amp;"生成成长"),2))/((VLOOKUP($B149,INDIRECT($B$5&amp;"生成成长"),4))/(VLOOKUP(DU$72,INDIRECT($C$5&amp;"生成成长"),5))*(VLOOKUP($B$5,标准坦克设计!$B$24:$U$30,MATCH("对"&amp;LEFT($C$5,2)&amp;"输出",标准坦克设计!$B$23:$U$23,0)))*(VLOOKUP($B149,INDIRECT($B$5&amp;"生成成长"),3))*(VLOOKUP($B$5,标准坦克设计!$B$14:$K$20,9)/30))</f>
        <v>11.17862910464166</v>
      </c>
      <c r="DV149" s="173">
        <f ca="1">(VLOOKUP(DV$72,INDIRECT($C$5&amp;"生成成长"),2))/((VLOOKUP($B149,INDIRECT($B$5&amp;"生成成长"),4))/(VLOOKUP(DV$72,INDIRECT($C$5&amp;"生成成长"),5))*(VLOOKUP($B$5,标准坦克设计!$B$24:$U$30,MATCH("对"&amp;LEFT($C$5,2)&amp;"输出",标准坦克设计!$B$23:$U$23,0)))*(VLOOKUP($B149,INDIRECT($B$5&amp;"生成成长"),3))*(VLOOKUP($B$5,标准坦克设计!$B$14:$K$20,9)/30))</f>
        <v>12.175840837411167</v>
      </c>
      <c r="DW149" s="173">
        <f ca="1">(VLOOKUP(DW$72,INDIRECT($C$5&amp;"生成成长"),2))/((VLOOKUP($B149,INDIRECT($B$5&amp;"生成成长"),4))/(VLOOKUP(DW$72,INDIRECT($C$5&amp;"生成成长"),5))*(VLOOKUP($B$5,标准坦克设计!$B$24:$U$30,MATCH("对"&amp;LEFT($C$5,2)&amp;"输出",标准坦克设计!$B$23:$U$23,0)))*(VLOOKUP($B149,INDIRECT($B$5&amp;"生成成长"),3))*(VLOOKUP($B$5,标准坦克设计!$B$14:$K$20,9)/30))</f>
        <v>13.215651906337824</v>
      </c>
      <c r="DX149" s="173">
        <f ca="1">(VLOOKUP(DX$72,INDIRECT($C$5&amp;"生成成长"),2))/((VLOOKUP($B149,INDIRECT($B$5&amp;"生成成长"),4))/(VLOOKUP(DX$72,INDIRECT($C$5&amp;"生成成长"),5))*(VLOOKUP($B$5,标准坦克设计!$B$24:$U$30,MATCH("对"&amp;LEFT($C$5,2)&amp;"输出",标准坦克设计!$B$23:$U$23,0)))*(VLOOKUP($B149,INDIRECT($B$5&amp;"生成成长"),3))*(VLOOKUP($B$5,标准坦克设计!$B$14:$K$20,9)/30))</f>
        <v>14.298062311421624</v>
      </c>
      <c r="DY149" s="173">
        <f ca="1">(VLOOKUP(DY$72,INDIRECT($C$5&amp;"生成成长"),2))/((VLOOKUP($B149,INDIRECT($B$5&amp;"生成成长"),4))/(VLOOKUP(DY$72,INDIRECT($C$5&amp;"生成成长"),5))*(VLOOKUP($B$5,标准坦克设计!$B$24:$U$30,MATCH("对"&amp;LEFT($C$5,2)&amp;"输出",标准坦克设计!$B$23:$U$23,0)))*(VLOOKUP($B149,INDIRECT($B$5&amp;"生成成长"),3))*(VLOOKUP($B$5,标准坦克设计!$B$14:$K$20,9)/30))</f>
        <v>6.4217619105321297</v>
      </c>
      <c r="DZ149" s="173">
        <f ca="1">(VLOOKUP(DZ$72,INDIRECT($C$5&amp;"生成成长"),2))/((VLOOKUP($B149,INDIRECT($B$5&amp;"生成成长"),4))/(VLOOKUP(DZ$72,INDIRECT($C$5&amp;"生成成长"),5))*(VLOOKUP($B$5,标准坦克设计!$B$24:$U$30,MATCH("对"&amp;LEFT($C$5,2)&amp;"输出",标准坦克设计!$B$23:$U$23,0)))*(VLOOKUP($B149,INDIRECT($B$5&amp;"生成成长"),3))*(VLOOKUP($B$5,标准坦克设计!$B$14:$K$20,9)/30))</f>
        <v>7.1118007441519859</v>
      </c>
      <c r="EA149" s="173">
        <f ca="1">(VLOOKUP(EA$72,INDIRECT($C$5&amp;"生成成长"),2))/((VLOOKUP($B149,INDIRECT($B$5&amp;"生成成长"),4))/(VLOOKUP(EA$72,INDIRECT($C$5&amp;"生成成长"),5))*(VLOOKUP($B$5,标准坦克设计!$B$24:$U$30,MATCH("对"&amp;LEFT($C$5,2)&amp;"输出",标准坦克设计!$B$23:$U$23,0)))*(VLOOKUP($B149,INDIRECT($B$5&amp;"生成成长"),3))*(VLOOKUP($B$5,标准坦克设计!$B$14:$K$20,9)/30))</f>
        <v>7.8370456407116302</v>
      </c>
      <c r="EB149" s="173">
        <f ca="1">(VLOOKUP(EB$72,INDIRECT($C$5&amp;"生成成长"),2))/((VLOOKUP($B149,INDIRECT($B$5&amp;"生成成长"),4))/(VLOOKUP(EB$72,INDIRECT($C$5&amp;"生成成长"),5))*(VLOOKUP($B$5,标准坦克设计!$B$24:$U$30,MATCH("对"&amp;LEFT($C$5,2)&amp;"输出",标准坦克设计!$B$23:$U$23,0)))*(VLOOKUP($B149,INDIRECT($B$5&amp;"生成成长"),3))*(VLOOKUP($B$5,标准坦克设计!$B$14:$K$20,9)/30))</f>
        <v>8.5974966002110627</v>
      </c>
      <c r="EC149" s="173">
        <f ca="1">(VLOOKUP(EC$72,INDIRECT($C$5&amp;"生成成长"),2))/((VLOOKUP($B149,INDIRECT($B$5&amp;"生成成长"),4))/(VLOOKUP(EC$72,INDIRECT($C$5&amp;"生成成长"),5))*(VLOOKUP($B$5,标准坦克设计!$B$24:$U$30,MATCH("对"&amp;LEFT($C$5,2)&amp;"输出",标准坦克设计!$B$23:$U$23,0)))*(VLOOKUP($B149,INDIRECT($B$5&amp;"生成成长"),3))*(VLOOKUP($B$5,标准坦克设计!$B$14:$K$20,9)/30))</f>
        <v>9.3931536226502814</v>
      </c>
      <c r="ED149" s="173">
        <f ca="1">(VLOOKUP(ED$72,INDIRECT($C$5&amp;"生成成长"),2))/((VLOOKUP($B149,INDIRECT($B$5&amp;"生成成长"),4))/(VLOOKUP(ED$72,INDIRECT($C$5&amp;"生成成长"),5))*(VLOOKUP($B$5,标准坦克设计!$B$24:$U$30,MATCH("对"&amp;LEFT($C$5,2)&amp;"输出",标准坦克设计!$B$23:$U$23,0)))*(VLOOKUP($B149,INDIRECT($B$5&amp;"生成成长"),3))*(VLOOKUP($B$5,标准坦克设计!$B$14:$K$20,9)/30))</f>
        <v>10.224016708029295</v>
      </c>
      <c r="EE149" s="173">
        <f ca="1">(VLOOKUP(EE$72,INDIRECT($C$5&amp;"生成成长"),2))/((VLOOKUP($B149,INDIRECT($B$5&amp;"生成成长"),4))/(VLOOKUP(EE$72,INDIRECT($C$5&amp;"生成成长"),5))*(VLOOKUP($B$5,标准坦克设计!$B$24:$U$30,MATCH("对"&amp;LEFT($C$5,2)&amp;"输出",标准坦克设计!$B$23:$U$23,0)))*(VLOOKUP($B149,INDIRECT($B$5&amp;"生成成长"),3))*(VLOOKUP($B$5,标准坦克设计!$B$14:$K$20,9)/30))</f>
        <v>11.09008585634809</v>
      </c>
      <c r="EF149" s="173">
        <f ca="1">(VLOOKUP(EF$72,INDIRECT($C$5&amp;"生成成长"),2))/((VLOOKUP($B149,INDIRECT($B$5&amp;"生成成长"),4))/(VLOOKUP(EF$72,INDIRECT($C$5&amp;"生成成长"),5))*(VLOOKUP($B$5,标准坦克设计!$B$24:$U$30,MATCH("对"&amp;LEFT($C$5,2)&amp;"输出",标准坦克设计!$B$23:$U$23,0)))*(VLOOKUP($B149,INDIRECT($B$5&amp;"生成成长"),3))*(VLOOKUP($B$5,标准坦克设计!$B$14:$K$20,9)/30))</f>
        <v>11.991361067606677</v>
      </c>
      <c r="EG149" s="173">
        <f ca="1">(VLOOKUP(EG$72,INDIRECT($C$5&amp;"生成成长"),2))/((VLOOKUP($B149,INDIRECT($B$5&amp;"生成成长"),4))/(VLOOKUP(EG$72,INDIRECT($C$5&amp;"生成成长"),5))*(VLOOKUP($B$5,标准坦克设计!$B$24:$U$30,MATCH("对"&amp;LEFT($C$5,2)&amp;"输出",标准坦克设计!$B$23:$U$23,0)))*(VLOOKUP($B149,INDIRECT($B$5&amp;"生成成长"),3))*(VLOOKUP($B$5,标准坦克设计!$B$14:$K$20,9)/30))</f>
        <v>12.927842341805052</v>
      </c>
      <c r="EH149" s="173">
        <f ca="1">(VLOOKUP(EH$72,INDIRECT($C$5&amp;"生成成长"),2))/((VLOOKUP($B149,INDIRECT($B$5&amp;"生成成长"),4))/(VLOOKUP(EH$72,INDIRECT($C$5&amp;"生成成长"),5))*(VLOOKUP($B$5,标准坦克设计!$B$24:$U$30,MATCH("对"&amp;LEFT($C$5,2)&amp;"输出",标准坦克设计!$B$23:$U$23,0)))*(VLOOKUP($B149,INDIRECT($B$5&amp;"生成成长"),3))*(VLOOKUP($B$5,标准坦克设计!$B$14:$K$20,9)/30))</f>
        <v>13.899529678943217</v>
      </c>
      <c r="EI149" s="173">
        <f ca="1">(VLOOKUP(EI$72,INDIRECT($C$5&amp;"生成成长"),2))/((VLOOKUP($B149,INDIRECT($B$5&amp;"生成成长"),4))/(VLOOKUP(EI$72,INDIRECT($C$5&amp;"生成成长"),5))*(VLOOKUP($B$5,标准坦克设计!$B$24:$U$30,MATCH("对"&amp;LEFT($C$5,2)&amp;"输出",标准坦克设计!$B$23:$U$23,0)))*(VLOOKUP($B149,INDIRECT($B$5&amp;"生成成长"),3))*(VLOOKUP($B$5,标准坦克设计!$B$14:$K$20,9)/30))</f>
        <v>14.90642307902117</v>
      </c>
      <c r="EJ149" s="173">
        <f ca="1">(VLOOKUP(EJ$72,INDIRECT($C$5&amp;"生成成长"),2))/((VLOOKUP($B149,INDIRECT($B$5&amp;"生成成长"),4))/(VLOOKUP(EJ$72,INDIRECT($C$5&amp;"生成成长"),5))*(VLOOKUP($B$5,标准坦克设计!$B$24:$U$30,MATCH("对"&amp;LEFT($C$5,2)&amp;"输出",标准坦克设计!$B$23:$U$23,0)))*(VLOOKUP($B149,INDIRECT($B$5&amp;"生成成长"),3))*(VLOOKUP($B$5,标准坦克设计!$B$14:$K$20,9)/30))</f>
        <v>15.94852254203891</v>
      </c>
      <c r="EK149" s="173">
        <f ca="1">(VLOOKUP(EK$72,INDIRECT($C$5&amp;"生成成长"),2))/((VLOOKUP($B149,INDIRECT($B$5&amp;"生成成长"),4))/(VLOOKUP(EK$72,INDIRECT($C$5&amp;"生成成长"),5))*(VLOOKUP($B$5,标准坦克设计!$B$24:$U$30,MATCH("对"&amp;LEFT($C$5,2)&amp;"输出",标准坦克设计!$B$23:$U$23,0)))*(VLOOKUP($B149,INDIRECT($B$5&amp;"生成成长"),3))*(VLOOKUP($B$5,标准坦克设计!$B$14:$K$20,9)/30))</f>
        <v>17.245513900740722</v>
      </c>
      <c r="EL149" s="173">
        <f ca="1">(VLOOKUP(EL$72,INDIRECT($C$5&amp;"生成成长"),2))/((VLOOKUP($B149,INDIRECT($B$5&amp;"生成成长"),4))/(VLOOKUP(EL$72,INDIRECT($C$5&amp;"生成成长"),5))*(VLOOKUP($B$5,标准坦克设计!$B$24:$U$30,MATCH("对"&amp;LEFT($C$5,2)&amp;"输出",标准坦克设计!$B$23:$U$23,0)))*(VLOOKUP($B149,INDIRECT($B$5&amp;"生成成长"),3))*(VLOOKUP($B$5,标准坦克设计!$B$14:$K$20,9)/30))</f>
        <v>18.593201990075826</v>
      </c>
      <c r="EM149" s="173">
        <f ca="1">(VLOOKUP(EM$72,INDIRECT($C$5&amp;"生成成长"),2))/((VLOOKUP($B149,INDIRECT($B$5&amp;"生成成长"),4))/(VLOOKUP(EM$72,INDIRECT($C$5&amp;"生成成长"),5))*(VLOOKUP($B$5,标准坦克设计!$B$24:$U$30,MATCH("对"&amp;LEFT($C$5,2)&amp;"输出",标准坦克设计!$B$23:$U$23,0)))*(VLOOKUP($B149,INDIRECT($B$5&amp;"生成成长"),3))*(VLOOKUP($B$5,标准坦克设计!$B$14:$K$20,9)/30))</f>
        <v>19.991586810044225</v>
      </c>
      <c r="EN149" s="173">
        <f ca="1">(VLOOKUP(EN$72,INDIRECT($C$5&amp;"生成成长"),2))/((VLOOKUP($B149,INDIRECT($B$5&amp;"生成成长"),4))/(VLOOKUP(EN$72,INDIRECT($C$5&amp;"生成成长"),5))*(VLOOKUP($B$5,标准坦克设计!$B$24:$U$30,MATCH("对"&amp;LEFT($C$5,2)&amp;"输出",标准坦克设计!$B$23:$U$23,0)))*(VLOOKUP($B149,INDIRECT($B$5&amp;"生成成长"),3))*(VLOOKUP($B$5,标准坦克设计!$B$14:$K$20,9)/30))</f>
        <v>21.440668360645923</v>
      </c>
      <c r="EO149" s="173">
        <f ca="1">(VLOOKUP(EO$72,INDIRECT($C$5&amp;"生成成长"),2))/((VLOOKUP($B149,INDIRECT($B$5&amp;"生成成长"),4))/(VLOOKUP(EO$72,INDIRECT($C$5&amp;"生成成长"),5))*(VLOOKUP($B$5,标准坦克设计!$B$24:$U$30,MATCH("对"&amp;LEFT($C$5,2)&amp;"输出",标准坦克设计!$B$23:$U$23,0)))*(VLOOKUP($B149,INDIRECT($B$5&amp;"生成成长"),3))*(VLOOKUP($B$5,标准坦克设计!$B$14:$K$20,9)/30))</f>
        <v>22.940446641880918</v>
      </c>
      <c r="EP149" s="173">
        <f ca="1">(VLOOKUP(EP$72,INDIRECT($C$5&amp;"生成成长"),2))/((VLOOKUP($B149,INDIRECT($B$5&amp;"生成成长"),4))/(VLOOKUP(EP$72,INDIRECT($C$5&amp;"生成成长"),5))*(VLOOKUP($B$5,标准坦克设计!$B$24:$U$30,MATCH("对"&amp;LEFT($C$5,2)&amp;"输出",标准坦克设计!$B$23:$U$23,0)))*(VLOOKUP($B149,INDIRECT($B$5&amp;"生成成长"),3))*(VLOOKUP($B$5,标准坦克设计!$B$14:$K$20,9)/30))</f>
        <v>24.490921653749204</v>
      </c>
      <c r="EQ149" s="173">
        <f ca="1">(VLOOKUP(EQ$72,INDIRECT($C$5&amp;"生成成长"),2))/((VLOOKUP($B149,INDIRECT($B$5&amp;"生成成长"),4))/(VLOOKUP(EQ$72,INDIRECT($C$5&amp;"生成成长"),5))*(VLOOKUP($B$5,标准坦克设计!$B$24:$U$30,MATCH("对"&amp;LEFT($C$5,2)&amp;"输出",标准坦克设计!$B$23:$U$23,0)))*(VLOOKUP($B149,INDIRECT($B$5&amp;"生成成长"),3))*(VLOOKUP($B$5,标准坦克设计!$B$14:$K$20,9)/30))</f>
        <v>10.826568475243775</v>
      </c>
      <c r="ER149" s="173">
        <f ca="1">(VLOOKUP(ER$72,INDIRECT($C$5&amp;"生成成长"),2))/((VLOOKUP($B149,INDIRECT($B$5&amp;"生成成长"),4))/(VLOOKUP(ER$72,INDIRECT($C$5&amp;"生成成长"),5))*(VLOOKUP($B$5,标准坦克设计!$B$24:$U$30,MATCH("对"&amp;LEFT($C$5,2)&amp;"输出",标准坦克设计!$B$23:$U$23,0)))*(VLOOKUP($B149,INDIRECT($B$5&amp;"生成成长"),3))*(VLOOKUP($B$5,标准坦克设计!$B$14:$K$20,9)/30))</f>
        <v>11.808289540319779</v>
      </c>
      <c r="ES149" s="173">
        <f ca="1">(VLOOKUP(ES$72,INDIRECT($C$5&amp;"生成成长"),2))/((VLOOKUP($B149,INDIRECT($B$5&amp;"生成成长"),4))/(VLOOKUP(ES$72,INDIRECT($C$5&amp;"生成成长"),5))*(VLOOKUP($B$5,标准坦克设计!$B$24:$U$30,MATCH("对"&amp;LEFT($C$5,2)&amp;"输出",标准坦克设计!$B$23:$U$23,0)))*(VLOOKUP($B149,INDIRECT($B$5&amp;"生成成长"),3))*(VLOOKUP($B$5,标准坦克设计!$B$14:$K$20,9)/30))</f>
        <v>12.832609941552924</v>
      </c>
      <c r="ET149" s="173">
        <f ca="1">(VLOOKUP(ET$72,INDIRECT($C$5&amp;"生成成长"),2))/((VLOOKUP($B149,INDIRECT($B$5&amp;"生成成长"),4))/(VLOOKUP(ET$72,INDIRECT($C$5&amp;"生成成长"),5))*(VLOOKUP($B$5,标准坦克设计!$B$24:$U$30,MATCH("对"&amp;LEFT($C$5,2)&amp;"输出",标准坦克设计!$B$23:$U$23,0)))*(VLOOKUP($B149,INDIRECT($B$5&amp;"生成成长"),3))*(VLOOKUP($B$5,标准坦克设计!$B$14:$K$20,9)/30))</f>
        <v>13.899529678943217</v>
      </c>
      <c r="EU149" s="173">
        <f ca="1">(VLOOKUP(EU$72,INDIRECT($C$5&amp;"生成成长"),2))/((VLOOKUP($B149,INDIRECT($B$5&amp;"生成成长"),4))/(VLOOKUP(EU$72,INDIRECT($C$5&amp;"生成成长"),5))*(VLOOKUP($B$5,标准坦克设计!$B$24:$U$30,MATCH("对"&amp;LEFT($C$5,2)&amp;"输出",标准坦克设计!$B$23:$U$23,0)))*(VLOOKUP($B149,INDIRECT($B$5&amp;"生成成长"),3))*(VLOOKUP($B$5,标准坦克设计!$B$14:$K$20,9)/30))</f>
        <v>15.009048752490653</v>
      </c>
      <c r="EV149" s="173">
        <f ca="1">(VLOOKUP(EV$72,INDIRECT($C$5&amp;"生成成长"),2))/((VLOOKUP($B149,INDIRECT($B$5&amp;"生成成长"),4))/(VLOOKUP(EV$72,INDIRECT($C$5&amp;"生成成长"),5))*(VLOOKUP($B$5,标准坦克设计!$B$24:$U$30,MATCH("对"&amp;LEFT($C$5,2)&amp;"输出",标准坦克设计!$B$23:$U$23,0)))*(VLOOKUP($B149,INDIRECT($B$5&amp;"生成成长"),3))*(VLOOKUP($B$5,标准坦克设计!$B$14:$K$20,9)/30))</f>
        <v>16.161167162195234</v>
      </c>
      <c r="EW149" s="173">
        <f ca="1">(VLOOKUP(EW$72,INDIRECT($C$5&amp;"生成成长"),2))/((VLOOKUP($B149,INDIRECT($B$5&amp;"生成成长"),4))/(VLOOKUP(EW$72,INDIRECT($C$5&amp;"生成成长"),5))*(VLOOKUP($B$5,标准坦克设计!$B$24:$U$30,MATCH("对"&amp;LEFT($C$5,2)&amp;"输出",标准坦克设计!$B$23:$U$23,0)))*(VLOOKUP($B149,INDIRECT($B$5&amp;"生成成长"),3))*(VLOOKUP($B$5,标准坦克设计!$B$14:$K$20,9)/30))</f>
        <v>17.355884908056961</v>
      </c>
      <c r="EX149" s="173">
        <f ca="1">(VLOOKUP(EX$72,INDIRECT($C$5&amp;"生成成长"),2))/((VLOOKUP($B149,INDIRECT($B$5&amp;"生成成长"),4))/(VLOOKUP(EX$72,INDIRECT($C$5&amp;"生成成长"),5))*(VLOOKUP($B$5,标准坦克设计!$B$24:$U$30,MATCH("对"&amp;LEFT($C$5,2)&amp;"输出",标准坦克设计!$B$23:$U$23,0)))*(VLOOKUP($B149,INDIRECT($B$5&amp;"生成成长"),3))*(VLOOKUP($B$5,标准坦克设计!$B$14:$K$20,9)/30))</f>
        <v>18.593201990075826</v>
      </c>
      <c r="EY149" s="173">
        <f ca="1">(VLOOKUP(EY$72,INDIRECT($C$5&amp;"生成成长"),2))/((VLOOKUP($B149,INDIRECT($B$5&amp;"生成成长"),4))/(VLOOKUP(EY$72,INDIRECT($C$5&amp;"生成成长"),5))*(VLOOKUP($B$5,标准坦克设计!$B$24:$U$30,MATCH("对"&amp;LEFT($C$5,2)&amp;"输出",标准坦克设计!$B$23:$U$23,0)))*(VLOOKUP($B149,INDIRECT($B$5&amp;"生成成长"),3))*(VLOOKUP($B$5,标准坦克设计!$B$14:$K$20,9)/30))</f>
        <v>19.873118408251838</v>
      </c>
      <c r="EZ149" s="173">
        <f ca="1">(VLOOKUP(EZ$72,INDIRECT($C$5&amp;"生成成长"),2))/((VLOOKUP($B149,INDIRECT($B$5&amp;"生成成长"),4))/(VLOOKUP(EZ$72,INDIRECT($C$5&amp;"生成成长"),5))*(VLOOKUP($B$5,标准坦克设计!$B$24:$U$30,MATCH("对"&amp;LEFT($C$5,2)&amp;"输出",标准坦克设计!$B$23:$U$23,0)))*(VLOOKUP($B149,INDIRECT($B$5&amp;"生成成长"),3))*(VLOOKUP($B$5,标准坦克设计!$B$14:$K$20,9)/30))</f>
        <v>21.195634162584994</v>
      </c>
      <c r="FA149" s="173">
        <f ca="1">(VLOOKUP(FA$72,INDIRECT($C$5&amp;"生成成长"),2))/((VLOOKUP($B149,INDIRECT($B$5&amp;"生成成长"),4))/(VLOOKUP(FA$72,INDIRECT($C$5&amp;"生成成长"),5))*(VLOOKUP($B$5,标准坦克设计!$B$24:$U$30,MATCH("对"&amp;LEFT($C$5,2)&amp;"输出",标准坦克设计!$B$23:$U$23,0)))*(VLOOKUP($B149,INDIRECT($B$5&amp;"生成成长"),3))*(VLOOKUP($B$5,标准坦克设计!$B$14:$K$20,9)/30))</f>
        <v>22.560749253075301</v>
      </c>
      <c r="FB149" s="173">
        <f ca="1">(VLOOKUP(FB$72,INDIRECT($C$5&amp;"生成成长"),2))/((VLOOKUP($B149,INDIRECT($B$5&amp;"生成成长"),4))/(VLOOKUP(FB$72,INDIRECT($C$5&amp;"生成成长"),5))*(VLOOKUP($B$5,标准坦克设计!$B$24:$U$30,MATCH("对"&amp;LEFT($C$5,2)&amp;"输出",标准坦克设计!$B$23:$U$23,0)))*(VLOOKUP($B149,INDIRECT($B$5&amp;"生成成长"),3))*(VLOOKUP($B$5,标准坦克设计!$B$14:$K$20,9)/30))</f>
        <v>23.968463679722742</v>
      </c>
      <c r="FC149" s="173">
        <f ca="1">(VLOOKUP(FC$72,INDIRECT($C$5&amp;"生成成长"),2))/((VLOOKUP($B149,INDIRECT($B$5&amp;"生成成长"),4))/(VLOOKUP(FC$72,INDIRECT($C$5&amp;"生成成长"),5))*(VLOOKUP($B$5,标准坦克设计!$B$24:$U$30,MATCH("对"&amp;LEFT($C$5,2)&amp;"输出",标准坦克设计!$B$23:$U$23,0)))*(VLOOKUP($B149,INDIRECT($B$5&amp;"生成成长"),3))*(VLOOKUP($B$5,标准坦克设计!$B$14:$K$20,9)/30))</f>
        <v>25.418777442527333</v>
      </c>
      <c r="FD149" s="173">
        <f ca="1">(VLOOKUP(FD$72,INDIRECT($C$5&amp;"生成成长"),2))/((VLOOKUP($B149,INDIRECT($B$5&amp;"生成成长"),4))/(VLOOKUP(FD$72,INDIRECT($C$5&amp;"生成成长"),5))*(VLOOKUP($B$5,标准坦克设计!$B$24:$U$30,MATCH("对"&amp;LEFT($C$5,2)&amp;"输出",标准坦克设计!$B$23:$U$23,0)))*(VLOOKUP($B149,INDIRECT($B$5&amp;"生成成长"),3))*(VLOOKUP($B$5,标准坦克设计!$B$14:$K$20,9)/30))</f>
        <v>26.911690541489065</v>
      </c>
      <c r="FE149" s="173">
        <f ca="1">(VLOOKUP(FE$72,INDIRECT($C$5&amp;"生成成长"),2))/((VLOOKUP($B149,INDIRECT($B$5&amp;"生成成长"),4))/(VLOOKUP(FE$72,INDIRECT($C$5&amp;"生成成长"),5))*(VLOOKUP($B$5,标准坦克设计!$B$24:$U$30,MATCH("对"&amp;LEFT($C$5,2)&amp;"输出",标准坦克设计!$B$23:$U$23,0)))*(VLOOKUP($B149,INDIRECT($B$5&amp;"生成成长"),3))*(VLOOKUP($B$5,标准坦克设计!$B$14:$K$20,9)/30))</f>
        <v>28.730963843902636</v>
      </c>
      <c r="FF149" s="173">
        <f ca="1">(VLOOKUP(FF$72,INDIRECT($C$5&amp;"生成成长"),2))/((VLOOKUP($B149,INDIRECT($B$5&amp;"生成成长"),4))/(VLOOKUP(FF$72,INDIRECT($C$5&amp;"生成成长"),5))*(VLOOKUP($B$5,标准坦克设计!$B$24:$U$30,MATCH("对"&amp;LEFT($C$5,2)&amp;"输出",标准坦克设计!$B$23:$U$23,0)))*(VLOOKUP($B149,INDIRECT($B$5&amp;"生成成长"),3))*(VLOOKUP($B$5,标准坦克设计!$B$14:$K$20,9)/30))</f>
        <v>30.609735392684456</v>
      </c>
      <c r="FG149" s="173">
        <f ca="1">(VLOOKUP(FG$72,INDIRECT($C$5&amp;"生成成长"),2))/((VLOOKUP($B149,INDIRECT($B$5&amp;"生成成长"),4))/(VLOOKUP(FG$72,INDIRECT($C$5&amp;"生成成长"),5))*(VLOOKUP($B$5,标准坦克设计!$B$24:$U$30,MATCH("对"&amp;LEFT($C$5,2)&amp;"输出",标准坦克设计!$B$23:$U$23,0)))*(VLOOKUP($B149,INDIRECT($B$5&amp;"生成成长"),3))*(VLOOKUP($B$5,标准坦克设计!$B$14:$K$20,9)/30))</f>
        <v>32.548005187834505</v>
      </c>
      <c r="FH149" s="173">
        <f ca="1">(VLOOKUP(FH$72,INDIRECT($C$5&amp;"生成成长"),2))/((VLOOKUP($B149,INDIRECT($B$5&amp;"生成成长"),4))/(VLOOKUP(FH$72,INDIRECT($C$5&amp;"生成成长"),5))*(VLOOKUP($B$5,标准坦克设计!$B$24:$U$30,MATCH("对"&amp;LEFT($C$5,2)&amp;"输出",标准坦克设计!$B$23:$U$23,0)))*(VLOOKUP($B149,INDIRECT($B$5&amp;"生成成长"),3))*(VLOOKUP($B$5,标准坦克设计!$B$14:$K$20,9)/30))</f>
        <v>34.545773229352818</v>
      </c>
      <c r="FI149" s="173">
        <f ca="1">(VLOOKUP(FI$72,INDIRECT($C$5&amp;"生成成长"),2))/((VLOOKUP($B149,INDIRECT($B$5&amp;"生成成长"),4))/(VLOOKUP(FI$72,INDIRECT($C$5&amp;"生成成长"),5))*(VLOOKUP($B$5,标准坦克设计!$B$24:$U$30,MATCH("对"&amp;LEFT($C$5,2)&amp;"输出",标准坦克设计!$B$23:$U$23,0)))*(VLOOKUP($B149,INDIRECT($B$5&amp;"生成成长"),3))*(VLOOKUP($B$5,标准坦克设计!$B$14:$K$20,9)/30))</f>
        <v>36.603039517239353</v>
      </c>
      <c r="FJ149" s="173">
        <f ca="1">(VLOOKUP(FJ$72,INDIRECT($C$5&amp;"生成成长"),2))/((VLOOKUP($B149,INDIRECT($B$5&amp;"生成成长"),4))/(VLOOKUP(FJ$72,INDIRECT($C$5&amp;"生成成长"),5))*(VLOOKUP($B$5,标准坦克设计!$B$24:$U$30,MATCH("对"&amp;LEFT($C$5,2)&amp;"输出",标准坦克设计!$B$23:$U$23,0)))*(VLOOKUP($B149,INDIRECT($B$5&amp;"生成成长"),3))*(VLOOKUP($B$5,标准坦克设计!$B$14:$K$20,9)/30))</f>
        <v>38.719804051494144</v>
      </c>
      <c r="FK149" s="173">
        <f ca="1">(VLOOKUP(FK$72,INDIRECT($C$5&amp;"生成成长"),2))/((VLOOKUP($B149,INDIRECT($B$5&amp;"生成成长"),4))/(VLOOKUP(FK$72,INDIRECT($C$5&amp;"生成成长"),5))*(VLOOKUP($B$5,标准坦克设计!$B$24:$U$30,MATCH("对"&amp;LEFT($C$5,2)&amp;"输出",标准坦克设计!$B$23:$U$23,0)))*(VLOOKUP($B149,INDIRECT($B$5&amp;"生成成长"),3))*(VLOOKUP($B$5,标准坦克设计!$B$14:$K$20,9)/30))</f>
        <v>40.896066832117178</v>
      </c>
    </row>
    <row r="150" spans="1:167" x14ac:dyDescent="0.15">
      <c r="A150" s="171" t="str">
        <f t="shared" si="12"/>
        <v>T4中品质6级</v>
      </c>
      <c r="B150" s="172">
        <v>20406</v>
      </c>
      <c r="C150" s="173">
        <f ca="1">(VLOOKUP(C$72,INDIRECT($C$5&amp;"生成成长"),2))/((VLOOKUP($B150,INDIRECT($B$5&amp;"生成成长"),4))/(VLOOKUP(C$72,INDIRECT($C$5&amp;"生成成长"),5))*(VLOOKUP($B$5,标准坦克设计!$B$24:$U$30,MATCH("对"&amp;LEFT($C$5,2)&amp;"输出",标准坦克设计!$B$23:$U$23,0)))*(VLOOKUP($B150,INDIRECT($B$5&amp;"生成成长"),3))*(VLOOKUP($B$5,标准坦克设计!$B$14:$K$20,9)/30))</f>
        <v>1.6146624561952674</v>
      </c>
      <c r="D150" s="173">
        <f ca="1">(VLOOKUP(D$72,INDIRECT($C$5&amp;"生成成长"),2))/((VLOOKUP($B150,INDIRECT($B$5&amp;"生成成长"),4))/(VLOOKUP(D$72,INDIRECT($C$5&amp;"生成成长"),5))*(VLOOKUP($B$5,标准坦克设计!$B$24:$U$30,MATCH("对"&amp;LEFT($C$5,2)&amp;"输出",标准坦克设计!$B$23:$U$23,0)))*(VLOOKUP($B150,INDIRECT($B$5&amp;"生成成长"),3))*(VLOOKUP($B$5,标准坦克设计!$B$14:$K$20,9)/30))</f>
        <v>1.8142347357810023</v>
      </c>
      <c r="E150" s="173">
        <f ca="1">(VLOOKUP(E$72,INDIRECT($C$5&amp;"生成成长"),2))/((VLOOKUP($B150,INDIRECT($B$5&amp;"生成成长"),4))/(VLOOKUP(E$72,INDIRECT($C$5&amp;"生成成长"),5))*(VLOOKUP($B$5,标准坦克设计!$B$24:$U$30,MATCH("对"&amp;LEFT($C$5,2)&amp;"输出",标准坦克设计!$B$23:$U$23,0)))*(VLOOKUP($B150,INDIRECT($B$5&amp;"生成成长"),3))*(VLOOKUP($B$5,标准坦克设计!$B$14:$K$20,9)/30))</f>
        <v>2.0254325850513433</v>
      </c>
      <c r="F150" s="173">
        <f ca="1">(VLOOKUP(F$72,INDIRECT($C$5&amp;"生成成长"),2))/((VLOOKUP($B150,INDIRECT($B$5&amp;"生成成长"),4))/(VLOOKUP(F$72,INDIRECT($C$5&amp;"生成成长"),5))*(VLOOKUP($B$5,标准坦克设计!$B$24:$U$30,MATCH("对"&amp;LEFT($C$5,2)&amp;"输出",标准坦克设计!$B$23:$U$23,0)))*(VLOOKUP($B150,INDIRECT($B$5&amp;"生成成长"),3))*(VLOOKUP($B$5,标准坦克设计!$B$14:$K$20,9)/30))</f>
        <v>2.24825600400629</v>
      </c>
      <c r="G150" s="173">
        <f ca="1">(VLOOKUP(G$72,INDIRECT($C$5&amp;"生成成长"),2))/((VLOOKUP($B150,INDIRECT($B$5&amp;"生成成长"),4))/(VLOOKUP(G$72,INDIRECT($C$5&amp;"生成成长"),5))*(VLOOKUP($B$5,标准坦克设计!$B$24:$U$30,MATCH("对"&amp;LEFT($C$5,2)&amp;"输出",标准坦克设计!$B$23:$U$23,0)))*(VLOOKUP($B150,INDIRECT($B$5&amp;"生成成长"),3))*(VLOOKUP($B$5,标准坦克设计!$B$14:$K$20,9)/30))</f>
        <v>2.4827049926458424</v>
      </c>
      <c r="H150" s="173">
        <f ca="1">(VLOOKUP(H$72,INDIRECT($C$5&amp;"生成成长"),2))/((VLOOKUP($B150,INDIRECT($B$5&amp;"生成成长"),4))/(VLOOKUP(H$72,INDIRECT($C$5&amp;"生成成长"),5))*(VLOOKUP($B$5,标准坦克设计!$B$24:$U$30,MATCH("对"&amp;LEFT($C$5,2)&amp;"输出",标准坦克设计!$B$23:$U$23,0)))*(VLOOKUP($B150,INDIRECT($B$5&amp;"生成成长"),3))*(VLOOKUP($B$5,标准坦克设计!$B$14:$K$20,9)/30))</f>
        <v>2.1726898010563516</v>
      </c>
      <c r="I150" s="173">
        <f ca="1">(VLOOKUP(I$72,INDIRECT($C$5&amp;"生成成长"),2))/((VLOOKUP($B150,INDIRECT($B$5&amp;"生成成长"),4))/(VLOOKUP(I$72,INDIRECT($C$5&amp;"生成成长"),5))*(VLOOKUP($B$5,标准坦克设计!$B$24:$U$30,MATCH("对"&amp;LEFT($C$5,2)&amp;"输出",标准坦克设计!$B$23:$U$23,0)))*(VLOOKUP($B150,INDIRECT($B$5&amp;"生成成长"),3))*(VLOOKUP($B$5,标准坦克设计!$B$14:$K$20,9)/30))</f>
        <v>2.4827049926458424</v>
      </c>
      <c r="J150" s="173">
        <f ca="1">(VLOOKUP(J$72,INDIRECT($C$5&amp;"生成成长"),2))/((VLOOKUP($B150,INDIRECT($B$5&amp;"生成成长"),4))/(VLOOKUP(J$72,INDIRECT($C$5&amp;"生成成长"),5))*(VLOOKUP($B$5,标准坦克设计!$B$24:$U$30,MATCH("对"&amp;LEFT($C$5,2)&amp;"输出",标准坦克设计!$B$23:$U$23,0)))*(VLOOKUP($B150,INDIRECT($B$5&amp;"生成成长"),3))*(VLOOKUP($B$5,标准坦克设计!$B$14:$K$20,9)/30))</f>
        <v>2.8133878636746332</v>
      </c>
      <c r="K150" s="173">
        <f ca="1">(VLOOKUP(K$72,INDIRECT($C$5&amp;"生成成长"),2))/((VLOOKUP($B150,INDIRECT($B$5&amp;"生成成长"),4))/(VLOOKUP(K$72,INDIRECT($C$5&amp;"生成成长"),5))*(VLOOKUP($B$5,标准坦克设计!$B$24:$U$30,MATCH("对"&amp;LEFT($C$5,2)&amp;"输出",标准坦克设计!$B$23:$U$23,0)))*(VLOOKUP($B150,INDIRECT($B$5&amp;"生成成长"),3))*(VLOOKUP($B$5,标准坦克设计!$B$14:$K$20,9)/30))</f>
        <v>3.1647384141427239</v>
      </c>
      <c r="L150" s="173">
        <f ca="1">(VLOOKUP(L$72,INDIRECT($C$5&amp;"生成成长"),2))/((VLOOKUP($B150,INDIRECT($B$5&amp;"生成成长"),4))/(VLOOKUP(L$72,INDIRECT($C$5&amp;"生成成长"),5))*(VLOOKUP($B$5,标准坦克设计!$B$24:$U$30,MATCH("对"&amp;LEFT($C$5,2)&amp;"输出",标准坦克设计!$B$23:$U$23,0)))*(VLOOKUP($B150,INDIRECT($B$5&amp;"生成成长"),3))*(VLOOKUP($B$5,标准坦克设计!$B$14:$K$20,9)/30))</f>
        <v>3.5367566440501133</v>
      </c>
      <c r="M150" s="173">
        <f ca="1">(VLOOKUP(M$72,INDIRECT($C$5&amp;"生成成长"),2))/((VLOOKUP($B150,INDIRECT($B$5&amp;"生成成长"),4))/(VLOOKUP(M$72,INDIRECT($C$5&amp;"生成成长"),5))*(VLOOKUP($B$5,标准坦克设计!$B$24:$U$30,MATCH("对"&amp;LEFT($C$5,2)&amp;"输出",标准坦克设计!$B$23:$U$23,0)))*(VLOOKUP($B150,INDIRECT($B$5&amp;"生成成长"),3))*(VLOOKUP($B$5,标准坦克设计!$B$14:$K$20,9)/30))</f>
        <v>3.9294425533968025</v>
      </c>
      <c r="N150" s="173">
        <f ca="1">(VLOOKUP(N$72,INDIRECT($C$5&amp;"生成成长"),2))/((VLOOKUP($B150,INDIRECT($B$5&amp;"生成成长"),4))/(VLOOKUP(N$72,INDIRECT($C$5&amp;"生成成长"),5))*(VLOOKUP($B$5,标准坦克设计!$B$24:$U$30,MATCH("对"&amp;LEFT($C$5,2)&amp;"输出",标准坦克设计!$B$23:$U$23,0)))*(VLOOKUP($B150,INDIRECT($B$5&amp;"生成成长"),3))*(VLOOKUP($B$5,标准坦克设计!$B$14:$K$20,9)/30))</f>
        <v>4.3427961421827908</v>
      </c>
      <c r="O150" s="173">
        <f ca="1">(VLOOKUP(O$72,INDIRECT($C$5&amp;"生成成长"),2))/((VLOOKUP($B150,INDIRECT($B$5&amp;"生成成长"),4))/(VLOOKUP(O$72,INDIRECT($C$5&amp;"生成成长"),5))*(VLOOKUP($B$5,标准坦克设计!$B$24:$U$30,MATCH("对"&amp;LEFT($C$5,2)&amp;"输出",标准坦克设计!$B$23:$U$23,0)))*(VLOOKUP($B150,INDIRECT($B$5&amp;"生成成长"),3))*(VLOOKUP($B$5,标准坦克设计!$B$14:$K$20,9)/30))</f>
        <v>3.301823256673702</v>
      </c>
      <c r="P150" s="173">
        <f ca="1">(VLOOKUP(P$72,INDIRECT($C$5&amp;"生成成长"),2))/((VLOOKUP($B150,INDIRECT($B$5&amp;"生成成长"),4))/(VLOOKUP(P$72,INDIRECT($C$5&amp;"生成成长"),5))*(VLOOKUP($B$5,标准坦克设计!$B$24:$U$30,MATCH("对"&amp;LEFT($C$5,2)&amp;"输出",标准坦克设计!$B$23:$U$23,0)))*(VLOOKUP($B150,INDIRECT($B$5&amp;"生成成长"),3))*(VLOOKUP($B$5,标准坦克设计!$B$14:$K$20,9)/30))</f>
        <v>3.7305161387935453</v>
      </c>
      <c r="Q150" s="173">
        <f ca="1">(VLOOKUP(Q$72,INDIRECT($C$5&amp;"生成成长"),2))/((VLOOKUP($B150,INDIRECT($B$5&amp;"生成成长"),4))/(VLOOKUP(Q$72,INDIRECT($C$5&amp;"生成成长"),5))*(VLOOKUP($B$5,标准坦克设计!$B$24:$U$30,MATCH("对"&amp;LEFT($C$5,2)&amp;"输出",标准坦克设计!$B$23:$U$23,0)))*(VLOOKUP($B150,INDIRECT($B$5&amp;"生成成长"),3))*(VLOOKUP($B$5,标准坦克设计!$B$14:$K$20,9)/30))</f>
        <v>4.1853665527037514</v>
      </c>
      <c r="R150" s="173">
        <f ca="1">(VLOOKUP(R$72,INDIRECT($C$5&amp;"生成成长"),2))/((VLOOKUP($B150,INDIRECT($B$5&amp;"生成成长"),4))/(VLOOKUP(R$72,INDIRECT($C$5&amp;"生成成长"),5))*(VLOOKUP($B$5,标准坦克设计!$B$24:$U$30,MATCH("对"&amp;LEFT($C$5,2)&amp;"输出",标准坦克设计!$B$23:$U$23,0)))*(VLOOKUP($B150,INDIRECT($B$5&amp;"生成成长"),3))*(VLOOKUP($B$5,标准坦克设计!$B$14:$K$20,9)/30))</f>
        <v>4.6663744984043225</v>
      </c>
      <c r="S150" s="173">
        <f ca="1">(VLOOKUP(S$72,INDIRECT($C$5&amp;"生成成长"),2))/((VLOOKUP($B150,INDIRECT($B$5&amp;"生成成长"),4))/(VLOOKUP(S$72,INDIRECT($C$5&amp;"生成成长"),5))*(VLOOKUP($B$5,标准坦克设计!$B$24:$U$30,MATCH("对"&amp;LEFT($C$5,2)&amp;"输出",标准坦克设计!$B$23:$U$23,0)))*(VLOOKUP($B150,INDIRECT($B$5&amp;"生成成长"),3))*(VLOOKUP($B$5,标准坦克设计!$B$14:$K$20,9)/30))</f>
        <v>5.1735399758952552</v>
      </c>
      <c r="T150" s="173">
        <f ca="1">(VLOOKUP(T$72,INDIRECT($C$5&amp;"生成成长"),2))/((VLOOKUP($B150,INDIRECT($B$5&amp;"生成成长"),4))/(VLOOKUP(T$72,INDIRECT($C$5&amp;"生成成长"),5))*(VLOOKUP($B$5,标准坦克设计!$B$24:$U$30,MATCH("对"&amp;LEFT($C$5,2)&amp;"输出",标准坦克设计!$B$23:$U$23,0)))*(VLOOKUP($B150,INDIRECT($B$5&amp;"生成成长"),3))*(VLOOKUP($B$5,标准坦克设计!$B$14:$K$20,9)/30))</f>
        <v>5.7068629851765511</v>
      </c>
      <c r="U150" s="173">
        <f ca="1">(VLOOKUP(U$72,INDIRECT($C$5&amp;"生成成长"),2))/((VLOOKUP($B150,INDIRECT($B$5&amp;"生成成长"),4))/(VLOOKUP(U$72,INDIRECT($C$5&amp;"生成成长"),5))*(VLOOKUP($B$5,标准坦克设计!$B$24:$U$30,MATCH("对"&amp;LEFT($C$5,2)&amp;"输出",标准坦克设计!$B$23:$U$23,0)))*(VLOOKUP($B150,INDIRECT($B$5&amp;"生成成长"),3))*(VLOOKUP($B$5,标准坦克设计!$B$14:$K$20,9)/30))</f>
        <v>6.266343526248213</v>
      </c>
      <c r="V150" s="173">
        <f ca="1">(VLOOKUP(V$72,INDIRECT($C$5&amp;"生成成长"),2))/((VLOOKUP($B150,INDIRECT($B$5&amp;"生成成长"),4))/(VLOOKUP(V$72,INDIRECT($C$5&amp;"生成成长"),5))*(VLOOKUP($B$5,标准坦克设计!$B$24:$U$30,MATCH("对"&amp;LEFT($C$5,2)&amp;"输出",标准坦克设计!$B$23:$U$23,0)))*(VLOOKUP($B150,INDIRECT($B$5&amp;"生成成长"),3))*(VLOOKUP($B$5,标准坦克设计!$B$14:$K$20,9)/30))</f>
        <v>6.8519815991102355</v>
      </c>
      <c r="W150" s="173">
        <f ca="1">(VLOOKUP(W$72,INDIRECT($C$5&amp;"生成成长"),2))/((VLOOKUP($B150,INDIRECT($B$5&amp;"生成成长"),4))/(VLOOKUP(W$72,INDIRECT($C$5&amp;"生成成长"),5))*(VLOOKUP($B$5,标准坦克设计!$B$24:$U$30,MATCH("对"&amp;LEFT($C$5,2)&amp;"输出",标准坦克设计!$B$23:$U$23,0)))*(VLOOKUP($B150,INDIRECT($B$5&amp;"生成成长"),3))*(VLOOKUP($B$5,标准坦克设计!$B$14:$K$20,9)/30))</f>
        <v>7.4637772037626222</v>
      </c>
      <c r="X150" s="173">
        <f ca="1">(VLOOKUP(X$72,INDIRECT($C$5&amp;"生成成长"),2))/((VLOOKUP($B150,INDIRECT($B$5&amp;"生成成长"),4))/(VLOOKUP(X$72,INDIRECT($C$5&amp;"生成成长"),5))*(VLOOKUP($B$5,标准坦克设计!$B$24:$U$30,MATCH("对"&amp;LEFT($C$5,2)&amp;"输出",标准坦克设计!$B$23:$U$23,0)))*(VLOOKUP($B150,INDIRECT($B$5&amp;"生成成长"),3))*(VLOOKUP($B$5,标准坦克设计!$B$14:$K$20,9)/30))</f>
        <v>5.4073430995523299</v>
      </c>
      <c r="Y150" s="173">
        <f ca="1">(VLOOKUP(Y$72,INDIRECT($C$5&amp;"生成成长"),2))/((VLOOKUP($B150,INDIRECT($B$5&amp;"生成成长"),4))/(VLOOKUP(Y$72,INDIRECT($C$5&amp;"生成成长"),5))*(VLOOKUP($B$5,标准坦克设计!$B$24:$U$30,MATCH("对"&amp;LEFT($C$5,2)&amp;"输出",标准坦克设计!$B$23:$U$23,0)))*(VLOOKUP($B150,INDIRECT($B$5&amp;"生成成长"),3))*(VLOOKUP($B$5,标准坦克设计!$B$14:$K$20,9)/30))</f>
        <v>6.0144561830817507</v>
      </c>
      <c r="Z150" s="173">
        <f ca="1">(VLOOKUP(Z$72,INDIRECT($C$5&amp;"生成成长"),2))/((VLOOKUP($B150,INDIRECT($B$5&amp;"生成成长"),4))/(VLOOKUP(Z$72,INDIRECT($C$5&amp;"生成成长"),5))*(VLOOKUP($B$5,标准坦克设计!$B$24:$U$30,MATCH("对"&amp;LEFT($C$5,2)&amp;"输出",标准坦克设计!$B$23:$U$23,0)))*(VLOOKUP($B150,INDIRECT($B$5&amp;"生成成长"),3))*(VLOOKUP($B$5,标准坦克设计!$B$14:$K$20,9)/30))</f>
        <v>6.653862515735077</v>
      </c>
      <c r="AA150" s="173">
        <f ca="1">(VLOOKUP(AA$72,INDIRECT($C$5&amp;"生成成长"),2))/((VLOOKUP($B150,INDIRECT($B$5&amp;"生成成长"),4))/(VLOOKUP(AA$72,INDIRECT($C$5&amp;"生成成长"),5))*(VLOOKUP($B$5,标准坦克设计!$B$24:$U$30,MATCH("对"&amp;LEFT($C$5,2)&amp;"输出",标准坦克设计!$B$23:$U$23,0)))*(VLOOKUP($B150,INDIRECT($B$5&amp;"生成成长"),3))*(VLOOKUP($B$5,标准坦克设计!$B$14:$K$20,9)/30))</f>
        <v>7.3255620975123072</v>
      </c>
      <c r="AB150" s="173">
        <f ca="1">(VLOOKUP(AB$72,INDIRECT($C$5&amp;"生成成长"),2))/((VLOOKUP($B150,INDIRECT($B$5&amp;"生成成长"),4))/(VLOOKUP(AB$72,INDIRECT($C$5&amp;"生成成长"),5))*(VLOOKUP($B$5,标准坦克设计!$B$24:$U$30,MATCH("对"&amp;LEFT($C$5,2)&amp;"输出",标准坦克设计!$B$23:$U$23,0)))*(VLOOKUP($B150,INDIRECT($B$5&amp;"生成成长"),3))*(VLOOKUP($B$5,标准坦克设计!$B$14:$K$20,9)/30))</f>
        <v>8.0295549284134449</v>
      </c>
      <c r="AC150" s="173">
        <f ca="1">(VLOOKUP(AC$72,INDIRECT($C$5&amp;"生成成长"),2))/((VLOOKUP($B150,INDIRECT($B$5&amp;"生成成长"),4))/(VLOOKUP(AC$72,INDIRECT($C$5&amp;"生成成长"),5))*(VLOOKUP($B$5,标准坦克设计!$B$24:$U$30,MATCH("对"&amp;LEFT($C$5,2)&amp;"输出",标准坦克设计!$B$23:$U$23,0)))*(VLOOKUP($B150,INDIRECT($B$5&amp;"生成成长"),3))*(VLOOKUP($B$5,标准坦克设计!$B$14:$K$20,9)/30))</f>
        <v>8.7658410084384855</v>
      </c>
      <c r="AD150" s="173">
        <f ca="1">(VLOOKUP(AD$72,INDIRECT($C$5&amp;"生成成长"),2))/((VLOOKUP($B150,INDIRECT($B$5&amp;"生成成长"),4))/(VLOOKUP(AD$72,INDIRECT($C$5&amp;"生成成长"),5))*(VLOOKUP($B$5,标准坦克设计!$B$24:$U$30,MATCH("对"&amp;LEFT($C$5,2)&amp;"输出",标准坦克设计!$B$23:$U$23,0)))*(VLOOKUP($B150,INDIRECT($B$5&amp;"生成成长"),3))*(VLOOKUP($B$5,标准坦克设计!$B$14:$K$20,9)/30))</f>
        <v>9.5344203375874326</v>
      </c>
      <c r="AE150" s="173">
        <f ca="1">(VLOOKUP(AE$72,INDIRECT($C$5&amp;"生成成长"),2))/((VLOOKUP($B150,INDIRECT($B$5&amp;"生成成长"),4))/(VLOOKUP(AE$72,INDIRECT($C$5&amp;"生成成长"),5))*(VLOOKUP($B$5,标准坦克设计!$B$24:$U$30,MATCH("对"&amp;LEFT($C$5,2)&amp;"输出",标准坦克设计!$B$23:$U$23,0)))*(VLOOKUP($B150,INDIRECT($B$5&amp;"生成成长"),3))*(VLOOKUP($B$5,标准坦克设计!$B$14:$K$20,9)/30))</f>
        <v>10.335292915860284</v>
      </c>
      <c r="AF150" s="173">
        <f ca="1">(VLOOKUP(AF$72,INDIRECT($C$5&amp;"生成成长"),2))/((VLOOKUP($B150,INDIRECT($B$5&amp;"生成成长"),4))/(VLOOKUP(AF$72,INDIRECT($C$5&amp;"生成成长"),5))*(VLOOKUP($B$5,标准坦克设计!$B$24:$U$30,MATCH("对"&amp;LEFT($C$5,2)&amp;"输出",标准坦克设计!$B$23:$U$23,0)))*(VLOOKUP($B150,INDIRECT($B$5&amp;"生成成长"),3))*(VLOOKUP($B$5,标准坦克设计!$B$14:$K$20,9)/30))</f>
        <v>11.168458743257043</v>
      </c>
      <c r="AG150" s="173">
        <f ca="1">(VLOOKUP(AG$72,INDIRECT($C$5&amp;"生成成长"),2))/((VLOOKUP($B150,INDIRECT($B$5&amp;"生成成长"),4))/(VLOOKUP(AG$72,INDIRECT($C$5&amp;"生成成长"),5))*(VLOOKUP($B$5,标准坦克设计!$B$24:$U$30,MATCH("对"&amp;LEFT($C$5,2)&amp;"输出",标准坦克设计!$B$23:$U$23,0)))*(VLOOKUP($B150,INDIRECT($B$5&amp;"生成成长"),3))*(VLOOKUP($B$5,标准坦克设计!$B$14:$K$20,9)/30))</f>
        <v>12.033917819777706</v>
      </c>
      <c r="AH150" s="173">
        <f ca="1">(VLOOKUP(AH$72,INDIRECT($C$5&amp;"生成成长"),2))/((VLOOKUP($B150,INDIRECT($B$5&amp;"生成成长"),4))/(VLOOKUP(AH$72,INDIRECT($C$5&amp;"生成成长"),5))*(VLOOKUP($B$5,标准坦克设计!$B$24:$U$30,MATCH("对"&amp;LEFT($C$5,2)&amp;"输出",标准坦克设计!$B$23:$U$23,0)))*(VLOOKUP($B150,INDIRECT($B$5&amp;"生成成长"),3))*(VLOOKUP($B$5,标准坦克设计!$B$14:$K$20,9)/30))</f>
        <v>12.931670145422276</v>
      </c>
      <c r="AI150" s="173">
        <f ca="1">(VLOOKUP(AI$72,INDIRECT($C$5&amp;"生成成长"),2))/((VLOOKUP($B150,INDIRECT($B$5&amp;"生成成长"),4))/(VLOOKUP(AI$72,INDIRECT($C$5&amp;"生成成长"),5))*(VLOOKUP($B$5,标准坦克设计!$B$24:$U$30,MATCH("对"&amp;LEFT($C$5,2)&amp;"输出",标准坦克设计!$B$23:$U$23,0)))*(VLOOKUP($B150,INDIRECT($B$5&amp;"生成成长"),3))*(VLOOKUP($B$5,标准坦克设计!$B$14:$K$20,9)/30))</f>
        <v>9.1460940168724711</v>
      </c>
      <c r="AJ150" s="173">
        <f ca="1">(VLOOKUP(AJ$72,INDIRECT($C$5&amp;"生成成长"),2))/((VLOOKUP($B150,INDIRECT($B$5&amp;"生成成长"),4))/(VLOOKUP(AJ$72,INDIRECT($C$5&amp;"生成成长"),5))*(VLOOKUP($B$5,标准坦克设计!$B$24:$U$30,MATCH("对"&amp;LEFT($C$5,2)&amp;"输出",标准坦克设计!$B$23:$U$23,0)))*(VLOOKUP($B150,INDIRECT($B$5&amp;"生成成长"),3))*(VLOOKUP($B$5,标准坦克设计!$B$14:$K$20,9)/30))</f>
        <v>10.011068694656275</v>
      </c>
      <c r="AK150" s="173">
        <f ca="1">(VLOOKUP(AK$72,INDIRECT($C$5&amp;"生成成长"),2))/((VLOOKUP($B150,INDIRECT($B$5&amp;"生成成长"),4))/(VLOOKUP(AK$72,INDIRECT($C$5&amp;"生成成长"),5))*(VLOOKUP($B$5,标准坦克设计!$B$24:$U$30,MATCH("对"&amp;LEFT($C$5,2)&amp;"输出",标准坦克设计!$B$23:$U$23,0)))*(VLOOKUP($B150,INDIRECT($B$5&amp;"生成成长"),3))*(VLOOKUP($B$5,标准坦克设计!$B$14:$K$20,9)/30))</f>
        <v>10.915118203880006</v>
      </c>
      <c r="AL150" s="173">
        <f ca="1">(VLOOKUP(AL$72,INDIRECT($C$5&amp;"生成成长"),2))/((VLOOKUP($B150,INDIRECT($B$5&amp;"生成成长"),4))/(VLOOKUP(AL$72,INDIRECT($C$5&amp;"生成成长"),5))*(VLOOKUP($B$5,标准坦克设计!$B$24:$U$30,MATCH("对"&amp;LEFT($C$5,2)&amp;"输出",标准坦克设计!$B$23:$U$23,0)))*(VLOOKUP($B150,INDIRECT($B$5&amp;"生成成长"),3))*(VLOOKUP($B$5,标准坦克设计!$B$14:$K$20,9)/30))</f>
        <v>11.858242544543662</v>
      </c>
      <c r="AM150" s="173">
        <f ca="1">(VLOOKUP(AM$72,INDIRECT($C$5&amp;"生成成长"),2))/((VLOOKUP($B150,INDIRECT($B$5&amp;"生成成长"),4))/(VLOOKUP(AM$72,INDIRECT($C$5&amp;"生成成长"),5))*(VLOOKUP($B$5,标准坦克设计!$B$24:$U$30,MATCH("对"&amp;LEFT($C$5,2)&amp;"输出",标准坦克设计!$B$23:$U$23,0)))*(VLOOKUP($B150,INDIRECT($B$5&amp;"生成成长"),3))*(VLOOKUP($B$5,标准坦克设计!$B$14:$K$20,9)/30))</f>
        <v>12.840441716647243</v>
      </c>
      <c r="AN150" s="173">
        <f ca="1">(VLOOKUP(AN$72,INDIRECT($C$5&amp;"生成成长"),2))/((VLOOKUP($B150,INDIRECT($B$5&amp;"生成成长"),4))/(VLOOKUP(AN$72,INDIRECT($C$5&amp;"生成成长"),5))*(VLOOKUP($B$5,标准坦克设计!$B$24:$U$30,MATCH("对"&amp;LEFT($C$5,2)&amp;"输出",标准坦克设计!$B$23:$U$23,0)))*(VLOOKUP($B150,INDIRECT($B$5&amp;"生成成长"),3))*(VLOOKUP($B$5,标准坦克设计!$B$14:$K$20,9)/30))</f>
        <v>13.861715720190748</v>
      </c>
      <c r="AO150" s="173">
        <f ca="1">(VLOOKUP(AO$72,INDIRECT($C$5&amp;"生成成长"),2))/((VLOOKUP($B150,INDIRECT($B$5&amp;"生成成长"),4))/(VLOOKUP(AO$72,INDIRECT($C$5&amp;"生成成长"),5))*(VLOOKUP($B$5,标准坦克设计!$B$24:$U$30,MATCH("对"&amp;LEFT($C$5,2)&amp;"输出",标准坦克设计!$B$23:$U$23,0)))*(VLOOKUP($B150,INDIRECT($B$5&amp;"生成成长"),3))*(VLOOKUP($B$5,标准坦克设计!$B$14:$K$20,9)/30))</f>
        <v>14.922064555174181</v>
      </c>
      <c r="AP150" s="173">
        <f ca="1">(VLOOKUP(AP$72,INDIRECT($C$5&amp;"生成成长"),2))/((VLOOKUP($B150,INDIRECT($B$5&amp;"生成成长"),4))/(VLOOKUP(AP$72,INDIRECT($C$5&amp;"生成成长"),5))*(VLOOKUP($B$5,标准坦克设计!$B$24:$U$30,MATCH("对"&amp;LEFT($C$5,2)&amp;"输出",标准坦克设计!$B$23:$U$23,0)))*(VLOOKUP($B150,INDIRECT($B$5&amp;"生成成长"),3))*(VLOOKUP($B$5,标准坦克设计!$B$14:$K$20,9)/30))</f>
        <v>16.02148822159754</v>
      </c>
      <c r="AQ150" s="173">
        <f ca="1">(VLOOKUP(AQ$72,INDIRECT($C$5&amp;"生成成长"),2))/((VLOOKUP($B150,INDIRECT($B$5&amp;"生成成长"),4))/(VLOOKUP(AQ$72,INDIRECT($C$5&amp;"生成成长"),5))*(VLOOKUP($B$5,标准坦克设计!$B$24:$U$30,MATCH("对"&amp;LEFT($C$5,2)&amp;"输出",标准坦克设计!$B$23:$U$23,0)))*(VLOOKUP($B150,INDIRECT($B$5&amp;"生成成长"),3))*(VLOOKUP($B$5,标准坦克设计!$B$14:$K$20,9)/30))</f>
        <v>17.159986719460822</v>
      </c>
      <c r="AR150" s="173">
        <f ca="1">(VLOOKUP(AR$72,INDIRECT($C$5&amp;"生成成长"),2))/((VLOOKUP($B150,INDIRECT($B$5&amp;"生成成长"),4))/(VLOOKUP(AR$72,INDIRECT($C$5&amp;"生成成长"),5))*(VLOOKUP($B$5,标准坦克设计!$B$24:$U$30,MATCH("对"&amp;LEFT($C$5,2)&amp;"输出",标准坦克设计!$B$23:$U$23,0)))*(VLOOKUP($B150,INDIRECT($B$5&amp;"生成成长"),3))*(VLOOKUP($B$5,标准坦克设计!$B$14:$K$20,9)/30))</f>
        <v>18.337560048764029</v>
      </c>
      <c r="AS150" s="173">
        <f ca="1">(VLOOKUP(AS$72,INDIRECT($C$5&amp;"生成成长"),2))/((VLOOKUP($B150,INDIRECT($B$5&amp;"生成成长"),4))/(VLOOKUP(AS$72,INDIRECT($C$5&amp;"生成成长"),5))*(VLOOKUP($B$5,标准坦克设计!$B$24:$U$30,MATCH("对"&amp;LEFT($C$5,2)&amp;"输出",标准坦克设计!$B$23:$U$23,0)))*(VLOOKUP($B150,INDIRECT($B$5&amp;"生成成长"),3))*(VLOOKUP($B$5,标准坦克设计!$B$14:$K$20,9)/30))</f>
        <v>19.554208209507163</v>
      </c>
      <c r="AT150" s="173">
        <f ca="1">(VLOOKUP(AT$72,INDIRECT($C$5&amp;"生成成长"),2))/((VLOOKUP($B150,INDIRECT($B$5&amp;"生成成长"),4))/(VLOOKUP(AT$72,INDIRECT($C$5&amp;"生成成长"),5))*(VLOOKUP($B$5,标准坦克设计!$B$24:$U$30,MATCH("对"&amp;LEFT($C$5,2)&amp;"输出",标准坦克设计!$B$23:$U$23,0)))*(VLOOKUP($B150,INDIRECT($B$5&amp;"生成成长"),3))*(VLOOKUP($B$5,标准坦克设计!$B$14:$K$20,9)/30))</f>
        <v>20.809931201690222</v>
      </c>
      <c r="AU150" s="173">
        <f ca="1">(VLOOKUP(AU$72,INDIRECT($C$5&amp;"生成成长"),2))/((VLOOKUP($B150,INDIRECT($B$5&amp;"生成成长"),4))/(VLOOKUP(AU$72,INDIRECT($C$5&amp;"生成成长"),5))*(VLOOKUP($B$5,标准坦克设计!$B$24:$U$30,MATCH("对"&amp;LEFT($C$5,2)&amp;"输出",标准坦克设计!$B$23:$U$23,0)))*(VLOOKUP($B150,INDIRECT($B$5&amp;"生成成长"),3))*(VLOOKUP($B$5,标准坦克设计!$B$14:$K$20,9)/30))</f>
        <v>22.104729025313208</v>
      </c>
      <c r="AV150" s="173">
        <f ca="1">(VLOOKUP(AV$72,INDIRECT($C$5&amp;"生成成长"),2))/((VLOOKUP($B150,INDIRECT($B$5&amp;"生成成长"),4))/(VLOOKUP(AV$72,INDIRECT($C$5&amp;"生成成长"),5))*(VLOOKUP($B$5,标准坦克设计!$B$24:$U$30,MATCH("对"&amp;LEFT($C$5,2)&amp;"输出",标准坦克设计!$B$23:$U$23,0)))*(VLOOKUP($B150,INDIRECT($B$5&amp;"生成成长"),3))*(VLOOKUP($B$5,标准坦克设计!$B$14:$K$20,9)/30))</f>
        <v>2.24825600400629</v>
      </c>
      <c r="AW150" s="173">
        <f ca="1">(VLOOKUP(AW$72,INDIRECT($C$5&amp;"生成成长"),2))/((VLOOKUP($B150,INDIRECT($B$5&amp;"生成成长"),4))/(VLOOKUP(AW$72,INDIRECT($C$5&amp;"生成成长"),5))*(VLOOKUP($B$5,标准坦克设计!$B$24:$U$30,MATCH("对"&amp;LEFT($C$5,2)&amp;"输出",标准坦克设计!$B$23:$U$23,0)))*(VLOOKUP($B150,INDIRECT($B$5&amp;"生成成长"),3))*(VLOOKUP($B$5,标准坦克设计!$B$14:$K$20,9)/30))</f>
        <v>2.5634381154556061</v>
      </c>
      <c r="AX150" s="173">
        <f ca="1">(VLOOKUP(AX$72,INDIRECT($C$5&amp;"生成成长"),2))/((VLOOKUP($B150,INDIRECT($B$5&amp;"生成成长"),4))/(VLOOKUP(AX$72,INDIRECT($C$5&amp;"生成成长"),5))*(VLOOKUP($B$5,标准坦克设计!$B$24:$U$30,MATCH("对"&amp;LEFT($C$5,2)&amp;"输出",标准坦克设计!$B$23:$U$23,0)))*(VLOOKUP($B150,INDIRECT($B$5&amp;"生成成长"),3))*(VLOOKUP($B$5,标准坦克设计!$B$14:$K$20,9)/30))</f>
        <v>2.8992879063442221</v>
      </c>
      <c r="AY150" s="173">
        <f ca="1">(VLOOKUP(AY$72,INDIRECT($C$5&amp;"生成成长"),2))/((VLOOKUP($B150,INDIRECT($B$5&amp;"生成成长"),4))/(VLOOKUP(AY$72,INDIRECT($C$5&amp;"生成成长"),5))*(VLOOKUP($B$5,标准坦克设计!$B$24:$U$30,MATCH("对"&amp;LEFT($C$5,2)&amp;"输出",标准坦克设计!$B$23:$U$23,0)))*(VLOOKUP($B150,INDIRECT($B$5&amp;"生成成长"),3))*(VLOOKUP($B$5,标准坦克设计!$B$14:$K$20,9)/30))</f>
        <v>3.2558053766721362</v>
      </c>
      <c r="AZ150" s="173">
        <f ca="1">(VLOOKUP(AZ$72,INDIRECT($C$5&amp;"生成成长"),2))/((VLOOKUP($B150,INDIRECT($B$5&amp;"生成成长"),4))/(VLOOKUP(AZ$72,INDIRECT($C$5&amp;"生成成长"),5))*(VLOOKUP($B$5,标准坦克设计!$B$24:$U$30,MATCH("对"&amp;LEFT($C$5,2)&amp;"输出",标准坦克设计!$B$23:$U$23,0)))*(VLOOKUP($B150,INDIRECT($B$5&amp;"生成成长"),3))*(VLOOKUP($B$5,标准坦克设计!$B$14:$K$20,9)/30))</f>
        <v>3.6329905264393503</v>
      </c>
      <c r="BA150" s="173">
        <f ca="1">(VLOOKUP(BA$72,INDIRECT($C$5&amp;"生成成长"),2))/((VLOOKUP($B150,INDIRECT($B$5&amp;"生成成长"),4))/(VLOOKUP(BA$72,INDIRECT($C$5&amp;"生成成长"),5))*(VLOOKUP($B$5,标准坦克设计!$B$24:$U$30,MATCH("对"&amp;LEFT($C$5,2)&amp;"输出",标准坦克设计!$B$23:$U$23,0)))*(VLOOKUP($B150,INDIRECT($B$5&amp;"生成成长"),3))*(VLOOKUP($B$5,标准坦克设计!$B$14:$K$20,9)/30))</f>
        <v>4.0308433556458647</v>
      </c>
      <c r="BB150" s="173">
        <f ca="1">(VLOOKUP(BB$72,INDIRECT($C$5&amp;"生成成长"),2))/((VLOOKUP($B150,INDIRECT($B$5&amp;"生成成长"),4))/(VLOOKUP(BB$72,INDIRECT($C$5&amp;"生成成长"),5))*(VLOOKUP($B$5,标准坦克设计!$B$24:$U$30,MATCH("对"&amp;LEFT($C$5,2)&amp;"输出",标准坦克设计!$B$23:$U$23,0)))*(VLOOKUP($B150,INDIRECT($B$5&amp;"生成成长"),3))*(VLOOKUP($B$5,标准坦克设计!$B$14:$K$20,9)/30))</f>
        <v>4.4493638642916782</v>
      </c>
      <c r="BC150" s="173">
        <f ca="1">(VLOOKUP(BC$72,INDIRECT($C$5&amp;"生成成长"),2))/((VLOOKUP($B150,INDIRECT($B$5&amp;"生成成长"),4))/(VLOOKUP(BC$72,INDIRECT($C$5&amp;"生成成长"),5))*(VLOOKUP($B$5,标准坦克设计!$B$24:$U$30,MATCH("对"&amp;LEFT($C$5,2)&amp;"输出",标准坦克设计!$B$23:$U$23,0)))*(VLOOKUP($B150,INDIRECT($B$5&amp;"生成成长"),3))*(VLOOKUP($B$5,标准坦克设计!$B$14:$K$20,9)/30))</f>
        <v>4.8885520523767907</v>
      </c>
      <c r="BD150" s="173">
        <f ca="1">(VLOOKUP(BD$72,INDIRECT($C$5&amp;"生成成长"),2))/((VLOOKUP($B150,INDIRECT($B$5&amp;"生成成长"),4))/(VLOOKUP(BD$72,INDIRECT($C$5&amp;"生成成长"),5))*(VLOOKUP($B$5,标准坦克设计!$B$24:$U$30,MATCH("对"&amp;LEFT($C$5,2)&amp;"输出",标准坦克设计!$B$23:$U$23,0)))*(VLOOKUP($B150,INDIRECT($B$5&amp;"生成成长"),3))*(VLOOKUP($B$5,标准坦克设计!$B$14:$K$20,9)/30))</f>
        <v>5.4073430995523299</v>
      </c>
      <c r="BE150" s="173">
        <f ca="1">(VLOOKUP(BE$72,INDIRECT($C$5&amp;"生成成长"),2))/((VLOOKUP($B150,INDIRECT($B$5&amp;"生成成长"),4))/(VLOOKUP(BE$72,INDIRECT($C$5&amp;"生成成长"),5))*(VLOOKUP($B$5,标准坦克设计!$B$24:$U$30,MATCH("对"&amp;LEFT($C$5,2)&amp;"输出",标准坦克设计!$B$23:$U$23,0)))*(VLOOKUP($B150,INDIRECT($B$5&amp;"生成成长"),3))*(VLOOKUP($B$5,标准坦克设计!$B$14:$K$20,9)/30))</f>
        <v>5.9522916785182334</v>
      </c>
      <c r="BF150" s="173">
        <f ca="1">(VLOOKUP(BF$72,INDIRECT($C$5&amp;"生成成长"),2))/((VLOOKUP($B150,INDIRECT($B$5&amp;"生成成长"),4))/(VLOOKUP(BF$72,INDIRECT($C$5&amp;"生成成长"),5))*(VLOOKUP($B$5,标准坦克设计!$B$24:$U$30,MATCH("对"&amp;LEFT($C$5,2)&amp;"输出",标准坦克设计!$B$23:$U$23,0)))*(VLOOKUP($B150,INDIRECT($B$5&amp;"生成成长"),3))*(VLOOKUP($B$5,标准坦克设计!$B$14:$K$20,9)/30))</f>
        <v>6.5233977892744983</v>
      </c>
      <c r="BG150" s="173">
        <f ca="1">(VLOOKUP(BG$72,INDIRECT($C$5&amp;"生成成长"),2))/((VLOOKUP($B150,INDIRECT($B$5&amp;"生成成长"),4))/(VLOOKUP(BG$72,INDIRECT($C$5&amp;"生成成长"),5))*(VLOOKUP($B$5,标准坦克设计!$B$24:$U$30,MATCH("对"&amp;LEFT($C$5,2)&amp;"输出",标准坦克设计!$B$23:$U$23,0)))*(VLOOKUP($B150,INDIRECT($B$5&amp;"生成成长"),3))*(VLOOKUP($B$5,标准坦克设计!$B$14:$K$20,9)/30))</f>
        <v>7.1206614318211283</v>
      </c>
      <c r="BH150" s="173">
        <f ca="1">(VLOOKUP(BH$72,INDIRECT($C$5&amp;"生成成长"),2))/((VLOOKUP($B150,INDIRECT($B$5&amp;"生成成长"),4))/(VLOOKUP(BH$72,INDIRECT($C$5&amp;"生成成长"),5))*(VLOOKUP($B$5,标准坦克设计!$B$24:$U$30,MATCH("对"&amp;LEFT($C$5,2)&amp;"输出",标准坦克设计!$B$23:$U$23,0)))*(VLOOKUP($B150,INDIRECT($B$5&amp;"生成成长"),3))*(VLOOKUP($B$5,标准坦克设计!$B$14:$K$20,9)/30))</f>
        <v>3.4418144916258315</v>
      </c>
      <c r="BI150" s="173">
        <f ca="1">(VLOOKUP(BI$72,INDIRECT($C$5&amp;"生成成长"),2))/((VLOOKUP($B150,INDIRECT($B$5&amp;"生成成长"),4))/(VLOOKUP(BI$72,INDIRECT($C$5&amp;"生成成长"),5))*(VLOOKUP($B$5,标准坦克设计!$B$24:$U$30,MATCH("对"&amp;LEFT($C$5,2)&amp;"输出",标准坦克设计!$B$23:$U$23,0)))*(VLOOKUP($B150,INDIRECT($B$5&amp;"生成成长"),3))*(VLOOKUP($B$5,标准坦克设计!$B$14:$K$20,9)/30))</f>
        <v>3.8792265510091295</v>
      </c>
      <c r="BJ150" s="173">
        <f ca="1">(VLOOKUP(BJ$72,INDIRECT($C$5&amp;"生成成长"),2))/((VLOOKUP($B150,INDIRECT($B$5&amp;"生成成长"),4))/(VLOOKUP(BJ$72,INDIRECT($C$5&amp;"生成成长"),5))*(VLOOKUP($B$5,标准坦克设计!$B$24:$U$30,MATCH("对"&amp;LEFT($C$5,2)&amp;"输出",标准坦克设计!$B$23:$U$23,0)))*(VLOOKUP($B150,INDIRECT($B$5&amp;"生成成长"),3))*(VLOOKUP($B$5,标准坦克设计!$B$14:$K$20,9)/30))</f>
        <v>4.3427961421827908</v>
      </c>
      <c r="BK150" s="173">
        <f ca="1">(VLOOKUP(BK$72,INDIRECT($C$5&amp;"生成成长"),2))/((VLOOKUP($B150,INDIRECT($B$5&amp;"生成成长"),4))/(VLOOKUP(BK$72,INDIRECT($C$5&amp;"生成成长"),5))*(VLOOKUP($B$5,标准坦克设计!$B$24:$U$30,MATCH("对"&amp;LEFT($C$5,2)&amp;"输出",标准坦克设计!$B$23:$U$23,0)))*(VLOOKUP($B150,INDIRECT($B$5&amp;"生成成长"),3))*(VLOOKUP($B$5,标准坦克设计!$B$14:$K$20,9)/30))</f>
        <v>4.8325232651468149</v>
      </c>
      <c r="BL150" s="173">
        <f ca="1">(VLOOKUP(BL$72,INDIRECT($C$5&amp;"生成成长"),2))/((VLOOKUP($B150,INDIRECT($B$5&amp;"生成成长"),4))/(VLOOKUP(BL$72,INDIRECT($C$5&amp;"生成成长"),5))*(VLOOKUP($B$5,标准坦克设计!$B$24:$U$30,MATCH("对"&amp;LEFT($C$5,2)&amp;"输出",标准坦克设计!$B$23:$U$23,0)))*(VLOOKUP($B150,INDIRECT($B$5&amp;"生成成长"),3))*(VLOOKUP($B$5,标准坦克设计!$B$14:$K$20,9)/30))</f>
        <v>5.3484079199012022</v>
      </c>
      <c r="BM150" s="173">
        <f ca="1">(VLOOKUP(BM$72,INDIRECT($C$5&amp;"生成成长"),2))/((VLOOKUP($B150,INDIRECT($B$5&amp;"生成成长"),4))/(VLOOKUP(BM$72,INDIRECT($C$5&amp;"生成成长"),5))*(VLOOKUP($B$5,标准坦克设计!$B$24:$U$30,MATCH("对"&amp;LEFT($C$5,2)&amp;"输出",标准坦克设计!$B$23:$U$23,0)))*(VLOOKUP($B150,INDIRECT($B$5&amp;"生成成长"),3))*(VLOOKUP($B$5,标准坦克设计!$B$14:$K$20,9)/30))</f>
        <v>5.8904501064459556</v>
      </c>
      <c r="BN150" s="173">
        <f ca="1">(VLOOKUP(BN$72,INDIRECT($C$5&amp;"生成成长"),2))/((VLOOKUP($B150,INDIRECT($B$5&amp;"生成成长"),4))/(VLOOKUP(BN$72,INDIRECT($C$5&amp;"生成成长"),5))*(VLOOKUP($B$5,标准坦克设计!$B$24:$U$30,MATCH("对"&amp;LEFT($C$5,2)&amp;"输出",标准坦克设计!$B$23:$U$23,0)))*(VLOOKUP($B150,INDIRECT($B$5&amp;"生成成长"),3))*(VLOOKUP($B$5,标准坦克设计!$B$14:$K$20,9)/30))</f>
        <v>6.4586498247810695</v>
      </c>
      <c r="BO150" s="173">
        <f ca="1">(VLOOKUP(BO$72,INDIRECT($C$5&amp;"生成成长"),2))/((VLOOKUP($B150,INDIRECT($B$5&amp;"生成成长"),4))/(VLOOKUP(BO$72,INDIRECT($C$5&amp;"生成成长"),5))*(VLOOKUP($B$5,标准坦克设计!$B$24:$U$30,MATCH("对"&amp;LEFT($C$5,2)&amp;"输出",标准坦克设计!$B$23:$U$23,0)))*(VLOOKUP($B150,INDIRECT($B$5&amp;"生成成长"),3))*(VLOOKUP($B$5,标准坦克设计!$B$14:$K$20,9)/30))</f>
        <v>7.0530070749065468</v>
      </c>
      <c r="BP150" s="173">
        <f ca="1">(VLOOKUP(BP$72,INDIRECT($C$5&amp;"生成成长"),2))/((VLOOKUP($B150,INDIRECT($B$5&amp;"生成成长"),4))/(VLOOKUP(BP$72,INDIRECT($C$5&amp;"生成成长"),5))*(VLOOKUP($B$5,标准坦克设计!$B$24:$U$30,MATCH("对"&amp;LEFT($C$5,2)&amp;"输出",标准坦克设计!$B$23:$U$23,0)))*(VLOOKUP($B150,INDIRECT($B$5&amp;"生成成长"),3))*(VLOOKUP($B$5,标准坦克设计!$B$14:$K$20,9)/30))</f>
        <v>7.6735218568223882</v>
      </c>
      <c r="BQ150" s="173">
        <f ca="1">(VLOOKUP(BQ$72,INDIRECT($C$5&amp;"生成成长"),2))/((VLOOKUP($B150,INDIRECT($B$5&amp;"生成成长"),4))/(VLOOKUP(BQ$72,INDIRECT($C$5&amp;"生成成长"),5))*(VLOOKUP($B$5,标准坦克设计!$B$24:$U$30,MATCH("对"&amp;LEFT($C$5,2)&amp;"输出",标准坦克设计!$B$23:$U$23,0)))*(VLOOKUP($B150,INDIRECT($B$5&amp;"生成成长"),3))*(VLOOKUP($B$5,标准坦克设计!$B$14:$K$20,9)/30))</f>
        <v>8.3201941705285929</v>
      </c>
      <c r="BR150" s="173">
        <f ca="1">(VLOOKUP(BR$72,INDIRECT($C$5&amp;"生成成长"),2))/((VLOOKUP($B150,INDIRECT($B$5&amp;"生成成长"),4))/(VLOOKUP(BR$72,INDIRECT($C$5&amp;"生成成长"),5))*(VLOOKUP($B$5,标准坦克设计!$B$24:$U$30,MATCH("对"&amp;LEFT($C$5,2)&amp;"输出",标准坦克设计!$B$23:$U$23,0)))*(VLOOKUP($B150,INDIRECT($B$5&amp;"生成成长"),3))*(VLOOKUP($B$5,标准坦克设计!$B$14:$K$20,9)/30))</f>
        <v>9.0693975502031954</v>
      </c>
      <c r="BS150" s="173">
        <f ca="1">(VLOOKUP(BS$72,INDIRECT($C$5&amp;"生成成长"),2))/((VLOOKUP($B150,INDIRECT($B$5&amp;"生成成长"),4))/(VLOOKUP(BS$72,INDIRECT($C$5&amp;"生成成长"),5))*(VLOOKUP($B$5,标准坦克设计!$B$24:$U$30,MATCH("对"&amp;LEFT($C$5,2)&amp;"输出",标准坦克设计!$B$23:$U$23,0)))*(VLOOKUP($B150,INDIRECT($B$5&amp;"生成成长"),3))*(VLOOKUP($B$5,标准坦克设计!$B$14:$K$20,9)/30))</f>
        <v>9.8508941790017044</v>
      </c>
      <c r="BT150" s="173">
        <f ca="1">(VLOOKUP(BT$72,INDIRECT($C$5&amp;"生成成长"),2))/((VLOOKUP($B150,INDIRECT($B$5&amp;"生成成长"),4))/(VLOOKUP(BT$72,INDIRECT($C$5&amp;"生成成长"),5))*(VLOOKUP($B$5,标准坦克设计!$B$24:$U$30,MATCH("对"&amp;LEFT($C$5,2)&amp;"输出",标准坦克设计!$B$23:$U$23,0)))*(VLOOKUP($B150,INDIRECT($B$5&amp;"生成成长"),3))*(VLOOKUP($B$5,标准坦克设计!$B$14:$K$20,9)/30))</f>
        <v>10.66468405692412</v>
      </c>
      <c r="BU150" s="173">
        <f ca="1">(VLOOKUP(BU$72,INDIRECT($C$5&amp;"生成成长"),2))/((VLOOKUP($B150,INDIRECT($B$5&amp;"生成成长"),4))/(VLOOKUP(BU$72,INDIRECT($C$5&amp;"生成成长"),5))*(VLOOKUP($B$5,标准坦克设计!$B$24:$U$30,MATCH("对"&amp;LEFT($C$5,2)&amp;"输出",标准坦克设计!$B$23:$U$23,0)))*(VLOOKUP($B150,INDIRECT($B$5&amp;"生成成长"),3))*(VLOOKUP($B$5,标准坦克设计!$B$14:$K$20,9)/30))</f>
        <v>11.510767183970442</v>
      </c>
      <c r="BV150" s="173">
        <f ca="1">(VLOOKUP(BV$72,INDIRECT($C$5&amp;"生成成长"),2))/((VLOOKUP($B150,INDIRECT($B$5&amp;"生成成长"),4))/(VLOOKUP(BV$72,INDIRECT($C$5&amp;"生成成长"),5))*(VLOOKUP($B$5,标准坦克设计!$B$24:$U$30,MATCH("对"&amp;LEFT($C$5,2)&amp;"输出",标准坦克设计!$B$23:$U$23,0)))*(VLOOKUP($B150,INDIRECT($B$5&amp;"生成成长"),3))*(VLOOKUP($B$5,标准坦克设计!$B$14:$K$20,9)/30))</f>
        <v>12.389143560140667</v>
      </c>
      <c r="BW150" s="173">
        <f ca="1">(VLOOKUP(BW$72,INDIRECT($C$5&amp;"生成成长"),2))/((VLOOKUP($B150,INDIRECT($B$5&amp;"生成成长"),4))/(VLOOKUP(BW$72,INDIRECT($C$5&amp;"生成成长"),5))*(VLOOKUP($B$5,标准坦克设计!$B$24:$U$30,MATCH("对"&amp;LEFT($C$5,2)&amp;"输出",标准坦克设计!$B$23:$U$23,0)))*(VLOOKUP($B150,INDIRECT($B$5&amp;"生成成长"),3))*(VLOOKUP($B$5,标准坦克设计!$B$14:$K$20,9)/30))</f>
        <v>5.6463131430692295</v>
      </c>
      <c r="BX150" s="173">
        <f ca="1">(VLOOKUP(BX$72,INDIRECT($C$5&amp;"生成成长"),2))/((VLOOKUP($B150,INDIRECT($B$5&amp;"生成成长"),4))/(VLOOKUP(BX$72,INDIRECT($C$5&amp;"生成成长"),5))*(VLOOKUP($B$5,标准坦克设计!$B$24:$U$30,MATCH("对"&amp;LEFT($C$5,2)&amp;"输出",标准坦克设计!$B$23:$U$23,0)))*(VLOOKUP($B150,INDIRECT($B$5&amp;"生成成长"),3))*(VLOOKUP($B$5,标准坦克设计!$B$14:$K$20,9)/30))</f>
        <v>6.266343526248213</v>
      </c>
      <c r="BY150" s="173">
        <f ca="1">(VLOOKUP(BY$72,INDIRECT($C$5&amp;"生成成长"),2))/((VLOOKUP($B150,INDIRECT($B$5&amp;"生成成长"),4))/(VLOOKUP(BY$72,INDIRECT($C$5&amp;"生成成长"),5))*(VLOOKUP($B$5,标准坦克设计!$B$24:$U$30,MATCH("对"&amp;LEFT($C$5,2)&amp;"输出",标准坦克设计!$B$23:$U$23,0)))*(VLOOKUP($B150,INDIRECT($B$5&amp;"生成成长"),3))*(VLOOKUP($B$5,标准坦克设计!$B$14:$K$20,9)/30))</f>
        <v>6.9186671585511013</v>
      </c>
      <c r="BZ150" s="173">
        <f ca="1">(VLOOKUP(BZ$72,INDIRECT($C$5&amp;"生成成长"),2))/((VLOOKUP($B150,INDIRECT($B$5&amp;"生成成长"),4))/(VLOOKUP(BZ$72,INDIRECT($C$5&amp;"生成成长"),5))*(VLOOKUP($B$5,标准坦克设计!$B$24:$U$30,MATCH("对"&amp;LEFT($C$5,2)&amp;"输出",标准坦克设计!$B$23:$U$23,0)))*(VLOOKUP($B150,INDIRECT($B$5&amp;"生成成长"),3))*(VLOOKUP($B$5,标准坦克设计!$B$14:$K$20,9)/30))</f>
        <v>7.6032840399778934</v>
      </c>
      <c r="CA150" s="173">
        <f ca="1">(VLOOKUP(CA$72,INDIRECT($C$5&amp;"生成成长"),2))/((VLOOKUP($B150,INDIRECT($B$5&amp;"生成成长"),4))/(VLOOKUP(CA$72,INDIRECT($C$5&amp;"生成成长"),5))*(VLOOKUP($B$5,标准坦克设计!$B$24:$U$30,MATCH("对"&amp;LEFT($C$5,2)&amp;"输出",标准坦克设计!$B$23:$U$23,0)))*(VLOOKUP($B150,INDIRECT($B$5&amp;"生成成长"),3))*(VLOOKUP($B$5,标准坦克设计!$B$14:$K$20,9)/30))</f>
        <v>8.3201941705285929</v>
      </c>
      <c r="CB150" s="173">
        <f ca="1">(VLOOKUP(CB$72,INDIRECT($C$5&amp;"生成成长"),2))/((VLOOKUP($B150,INDIRECT($B$5&amp;"生成成长"),4))/(VLOOKUP(CB$72,INDIRECT($C$5&amp;"生成成长"),5))*(VLOOKUP($B$5,标准坦克设计!$B$24:$U$30,MATCH("对"&amp;LEFT($C$5,2)&amp;"输出",标准坦克设计!$B$23:$U$23,0)))*(VLOOKUP($B150,INDIRECT($B$5&amp;"生成成长"),3))*(VLOOKUP($B$5,标准坦克设计!$B$14:$K$20,9)/30))</f>
        <v>9.0693975502031954</v>
      </c>
      <c r="CC150" s="173">
        <f ca="1">(VLOOKUP(CC$72,INDIRECT($C$5&amp;"生成成长"),2))/((VLOOKUP($B150,INDIRECT($B$5&amp;"生成成长"),4))/(VLOOKUP(CC$72,INDIRECT($C$5&amp;"生成成长"),5))*(VLOOKUP($B$5,标准坦克设计!$B$24:$U$30,MATCH("对"&amp;LEFT($C$5,2)&amp;"输出",标准坦克设计!$B$23:$U$23,0)))*(VLOOKUP($B150,INDIRECT($B$5&amp;"生成成长"),3))*(VLOOKUP($B$5,标准坦克设计!$B$14:$K$20,9)/30))</f>
        <v>9.8508941790017044</v>
      </c>
      <c r="CD150" s="173">
        <f ca="1">(VLOOKUP(CD$72,INDIRECT($C$5&amp;"生成成长"),2))/((VLOOKUP($B150,INDIRECT($B$5&amp;"生成成长"),4))/(VLOOKUP(CD$72,INDIRECT($C$5&amp;"生成成长"),5))*(VLOOKUP($B$5,标准坦克设计!$B$24:$U$30,MATCH("对"&amp;LEFT($C$5,2)&amp;"输出",标准坦克设计!$B$23:$U$23,0)))*(VLOOKUP($B150,INDIRECT($B$5&amp;"生成成长"),3))*(VLOOKUP($B$5,标准坦克设计!$B$14:$K$20,9)/30))</f>
        <v>10.66468405692412</v>
      </c>
      <c r="CE150" s="173">
        <f ca="1">(VLOOKUP(CE$72,INDIRECT($C$5&amp;"生成成长"),2))/((VLOOKUP($B150,INDIRECT($B$5&amp;"生成成长"),4))/(VLOOKUP(CE$72,INDIRECT($C$5&amp;"生成成长"),5))*(VLOOKUP($B$5,标准坦克设计!$B$24:$U$30,MATCH("对"&amp;LEFT($C$5,2)&amp;"输出",标准坦克设计!$B$23:$U$23,0)))*(VLOOKUP($B150,INDIRECT($B$5&amp;"生成成长"),3))*(VLOOKUP($B$5,标准坦克设计!$B$14:$K$20,9)/30))</f>
        <v>11.510767183970442</v>
      </c>
      <c r="CF150" s="173">
        <f ca="1">(VLOOKUP(CF$72,INDIRECT($C$5&amp;"生成成长"),2))/((VLOOKUP($B150,INDIRECT($B$5&amp;"生成成长"),4))/(VLOOKUP(CF$72,INDIRECT($C$5&amp;"生成成长"),5))*(VLOOKUP($B$5,标准坦克设计!$B$24:$U$30,MATCH("对"&amp;LEFT($C$5,2)&amp;"输出",标准坦克设计!$B$23:$U$23,0)))*(VLOOKUP($B150,INDIRECT($B$5&amp;"生成成长"),3))*(VLOOKUP($B$5,标准坦克设计!$B$14:$K$20,9)/30))</f>
        <v>12.389143560140667</v>
      </c>
      <c r="CG150" s="173">
        <f ca="1">(VLOOKUP(CG$72,INDIRECT($C$5&amp;"生成成长"),2))/((VLOOKUP($B150,INDIRECT($B$5&amp;"生成成长"),4))/(VLOOKUP(CG$72,INDIRECT($C$5&amp;"生成成长"),5))*(VLOOKUP($B$5,标准坦克设计!$B$24:$U$30,MATCH("对"&amp;LEFT($C$5,2)&amp;"输出",标准坦克设计!$B$23:$U$23,0)))*(VLOOKUP($B150,INDIRECT($B$5&amp;"生成成长"),3))*(VLOOKUP($B$5,标准坦克设计!$B$14:$K$20,9)/30))</f>
        <v>13.299813185434795</v>
      </c>
      <c r="CH150" s="173">
        <f ca="1">(VLOOKUP(CH$72,INDIRECT($C$5&amp;"生成成长"),2))/((VLOOKUP($B150,INDIRECT($B$5&amp;"生成成长"),4))/(VLOOKUP(CH$72,INDIRECT($C$5&amp;"生成成长"),5))*(VLOOKUP($B$5,标准坦克设计!$B$24:$U$30,MATCH("对"&amp;LEFT($C$5,2)&amp;"输出",标准坦克设计!$B$23:$U$23,0)))*(VLOOKUP($B150,INDIRECT($B$5&amp;"生成成长"),3))*(VLOOKUP($B$5,标准坦克设计!$B$14:$K$20,9)/30))</f>
        <v>14.242776059852831</v>
      </c>
      <c r="CI150" s="173">
        <f ca="1">(VLOOKUP(CI$72,INDIRECT($C$5&amp;"生成成长"),2))/((VLOOKUP($B150,INDIRECT($B$5&amp;"生成成长"),4))/(VLOOKUP(CI$72,INDIRECT($C$5&amp;"生成成长"),5))*(VLOOKUP($B$5,标准坦克设计!$B$24:$U$30,MATCH("对"&amp;LEFT($C$5,2)&amp;"输出",标准坦克设计!$B$23:$U$23,0)))*(VLOOKUP($B150,INDIRECT($B$5&amp;"生成成长"),3))*(VLOOKUP($B$5,标准坦克设计!$B$14:$K$20,9)/30))</f>
        <v>15.317333924450782</v>
      </c>
      <c r="CJ150" s="173">
        <f ca="1">(VLOOKUP(CJ$72,INDIRECT($C$5&amp;"生成成长"),2))/((VLOOKUP($B150,INDIRECT($B$5&amp;"生成成长"),4))/(VLOOKUP(CJ$72,INDIRECT($C$5&amp;"生成成长"),5))*(VLOOKUP($B$5,标准坦克设计!$B$24:$U$30,MATCH("对"&amp;LEFT($C$5,2)&amp;"输出",标准坦克设计!$B$23:$U$23,0)))*(VLOOKUP($B150,INDIRECT($B$5&amp;"生成成长"),3))*(VLOOKUP($B$5,标准坦克设计!$B$14:$K$20,9)/30))</f>
        <v>16.430966620488658</v>
      </c>
      <c r="CK150" s="173">
        <f ca="1">(VLOOKUP(CK$72,INDIRECT($C$5&amp;"生成成长"),2))/((VLOOKUP($B150,INDIRECT($B$5&amp;"生成成长"),4))/(VLOOKUP(CK$72,INDIRECT($C$5&amp;"生成成长"),5))*(VLOOKUP($B$5,标准坦克设计!$B$24:$U$30,MATCH("对"&amp;LEFT($C$5,2)&amp;"输出",标准坦克设计!$B$23:$U$23,0)))*(VLOOKUP($B150,INDIRECT($B$5&amp;"生成成长"),3))*(VLOOKUP($B$5,标准坦克设计!$B$14:$K$20,9)/30))</f>
        <v>17.583674147966462</v>
      </c>
      <c r="CL150" s="173">
        <f ca="1">(VLOOKUP(CL$72,INDIRECT($C$5&amp;"生成成长"),2))/((VLOOKUP($B150,INDIRECT($B$5&amp;"生成成长"),4))/(VLOOKUP(CL$72,INDIRECT($C$5&amp;"生成成长"),5))*(VLOOKUP($B$5,标准坦克设计!$B$24:$U$30,MATCH("对"&amp;LEFT($C$5,2)&amp;"输出",标准坦克设计!$B$23:$U$23,0)))*(VLOOKUP($B150,INDIRECT($B$5&amp;"生成成长"),3))*(VLOOKUP($B$5,标准坦克设计!$B$14:$K$20,9)/30))</f>
        <v>18.775456506884186</v>
      </c>
      <c r="CM150" s="173">
        <f ca="1">(VLOOKUP(CM$72,INDIRECT($C$5&amp;"生成成长"),2))/((VLOOKUP($B150,INDIRECT($B$5&amp;"生成成长"),4))/(VLOOKUP(CM$72,INDIRECT($C$5&amp;"生成成长"),5))*(VLOOKUP($B$5,标准坦克设计!$B$24:$U$30,MATCH("对"&amp;LEFT($C$5,2)&amp;"输出",标准坦克设计!$B$23:$U$23,0)))*(VLOOKUP($B150,INDIRECT($B$5&amp;"生成成长"),3))*(VLOOKUP($B$5,标准坦克设计!$B$14:$K$20,9)/30))</f>
        <v>20.00631369724184</v>
      </c>
      <c r="CN150" s="173">
        <f ca="1">(VLOOKUP(CN$72,INDIRECT($C$5&amp;"生成成长"),2))/((VLOOKUP($B150,INDIRECT($B$5&amp;"生成成长"),4))/(VLOOKUP(CN$72,INDIRECT($C$5&amp;"生成成长"),5))*(VLOOKUP($B$5,标准坦克设计!$B$24:$U$30,MATCH("对"&amp;LEFT($C$5,2)&amp;"输出",标准坦克设计!$B$23:$U$23,0)))*(VLOOKUP($B150,INDIRECT($B$5&amp;"生成成长"),3))*(VLOOKUP($B$5,标准坦克设计!$B$14:$K$20,9)/30))</f>
        <v>21.276245719039412</v>
      </c>
      <c r="CO150" s="173">
        <f ca="1">(VLOOKUP(CO$72,INDIRECT($C$5&amp;"生成成长"),2))/((VLOOKUP($B150,INDIRECT($B$5&amp;"生成成长"),4))/(VLOOKUP(CO$72,INDIRECT($C$5&amp;"生成成长"),5))*(VLOOKUP($B$5,标准坦克设计!$B$24:$U$30,MATCH("对"&amp;LEFT($C$5,2)&amp;"输出",标准坦克设计!$B$23:$U$23,0)))*(VLOOKUP($B150,INDIRECT($B$5&amp;"生成成长"),3))*(VLOOKUP($B$5,标准坦克设计!$B$14:$K$20,9)/30))</f>
        <v>9.5344203375874326</v>
      </c>
      <c r="CP150" s="173">
        <f ca="1">(VLOOKUP(CP$72,INDIRECT($C$5&amp;"生成成长"),2))/((VLOOKUP($B150,INDIRECT($B$5&amp;"生成成长"),4))/(VLOOKUP(CP$72,INDIRECT($C$5&amp;"生成成长"),5))*(VLOOKUP($B$5,标准坦克设计!$B$24:$U$30,MATCH("对"&amp;LEFT($C$5,2)&amp;"输出",标准坦克设计!$B$23:$U$23,0)))*(VLOOKUP($B150,INDIRECT($B$5&amp;"生成成长"),3))*(VLOOKUP($B$5,标准坦克设计!$B$14:$K$20,9)/30))</f>
        <v>10.417156302389385</v>
      </c>
      <c r="CQ150" s="173">
        <f ca="1">(VLOOKUP(CQ$72,INDIRECT($C$5&amp;"生成成长"),2))/((VLOOKUP($B150,INDIRECT($B$5&amp;"生成成长"),4))/(VLOOKUP(CQ$72,INDIRECT($C$5&amp;"生成成长"),5))*(VLOOKUP($B$5,标准坦克设计!$B$24:$U$30,MATCH("对"&amp;LEFT($C$5,2)&amp;"输出",标准坦克设计!$B$23:$U$23,0)))*(VLOOKUP($B150,INDIRECT($B$5&amp;"生成成长"),3))*(VLOOKUP($B$5,标准坦克设计!$B$14:$K$20,9)/30))</f>
        <v>11.338967098631263</v>
      </c>
      <c r="CR150" s="173">
        <f ca="1">(VLOOKUP(CR$72,INDIRECT($C$5&amp;"生成成长"),2))/((VLOOKUP($B150,INDIRECT($B$5&amp;"生成成长"),4))/(VLOOKUP(CR$72,INDIRECT($C$5&amp;"生成成长"),5))*(VLOOKUP($B$5,标准坦克设计!$B$24:$U$30,MATCH("对"&amp;LEFT($C$5,2)&amp;"输出",标准坦克设计!$B$23:$U$23,0)))*(VLOOKUP($B150,INDIRECT($B$5&amp;"生成成长"),3))*(VLOOKUP($B$5,标准坦克设计!$B$14:$K$20,9)/30))</f>
        <v>12.299852726313066</v>
      </c>
      <c r="CS150" s="173">
        <f ca="1">(VLOOKUP(CS$72,INDIRECT($C$5&amp;"生成成长"),2))/((VLOOKUP($B150,INDIRECT($B$5&amp;"生成成长"),4))/(VLOOKUP(CS$72,INDIRECT($C$5&amp;"生成成长"),5))*(VLOOKUP($B$5,标准坦克设计!$B$24:$U$30,MATCH("对"&amp;LEFT($C$5,2)&amp;"输出",标准坦克设计!$B$23:$U$23,0)))*(VLOOKUP($B150,INDIRECT($B$5&amp;"生成成长"),3))*(VLOOKUP($B$5,标准坦克设计!$B$14:$K$20,9)/30))</f>
        <v>13.299813185434795</v>
      </c>
      <c r="CT150" s="173">
        <f ca="1">(VLOOKUP(CT$72,INDIRECT($C$5&amp;"生成成长"),2))/((VLOOKUP($B150,INDIRECT($B$5&amp;"生成成长"),4))/(VLOOKUP(CT$72,INDIRECT($C$5&amp;"生成成长"),5))*(VLOOKUP($B$5,标准坦克设计!$B$24:$U$30,MATCH("对"&amp;LEFT($C$5,2)&amp;"输出",标准坦克设计!$B$23:$U$23,0)))*(VLOOKUP($B150,INDIRECT($B$5&amp;"生成成长"),3))*(VLOOKUP($B$5,标准坦克设计!$B$14:$K$20,9)/30))</f>
        <v>14.33884847599645</v>
      </c>
      <c r="CU150" s="173">
        <f ca="1">(VLOOKUP(CU$72,INDIRECT($C$5&amp;"生成成长"),2))/((VLOOKUP($B150,INDIRECT($B$5&amp;"生成成长"),4))/(VLOOKUP(CU$72,INDIRECT($C$5&amp;"生成成长"),5))*(VLOOKUP($B$5,标准坦克设计!$B$24:$U$30,MATCH("对"&amp;LEFT($C$5,2)&amp;"输出",标准坦克设计!$B$23:$U$23,0)))*(VLOOKUP($B150,INDIRECT($B$5&amp;"生成成长"),3))*(VLOOKUP($B$5,标准坦克设计!$B$14:$K$20,9)/30))</f>
        <v>15.416958597998031</v>
      </c>
      <c r="CV150" s="173">
        <f ca="1">(VLOOKUP(CV$72,INDIRECT($C$5&amp;"生成成长"),2))/((VLOOKUP($B150,INDIRECT($B$5&amp;"生成成长"),4))/(VLOOKUP(CV$72,INDIRECT($C$5&amp;"生成成长"),5))*(VLOOKUP($B$5,标准坦克设计!$B$24:$U$30,MATCH("对"&amp;LEFT($C$5,2)&amp;"输出",标准坦克设计!$B$23:$U$23,0)))*(VLOOKUP($B150,INDIRECT($B$5&amp;"生成成长"),3))*(VLOOKUP($B$5,标准坦克设计!$B$14:$K$20,9)/30))</f>
        <v>16.534143551439534</v>
      </c>
      <c r="CW150" s="173">
        <f ca="1">(VLOOKUP(CW$72,INDIRECT($C$5&amp;"生成成长"),2))/((VLOOKUP($B150,INDIRECT($B$5&amp;"生成成长"),4))/(VLOOKUP(CW$72,INDIRECT($C$5&amp;"生成成长"),5))*(VLOOKUP($B$5,标准坦克设计!$B$24:$U$30,MATCH("对"&amp;LEFT($C$5,2)&amp;"输出",标准坦克设计!$B$23:$U$23,0)))*(VLOOKUP($B150,INDIRECT($B$5&amp;"生成成长"),3))*(VLOOKUP($B$5,标准坦克设计!$B$14:$K$20,9)/30))</f>
        <v>17.690403336320966</v>
      </c>
      <c r="CX150" s="173">
        <f ca="1">(VLOOKUP(CX$72,INDIRECT($C$5&amp;"生成成长"),2))/((VLOOKUP($B150,INDIRECT($B$5&amp;"生成成长"),4))/(VLOOKUP(CX$72,INDIRECT($C$5&amp;"生成成长"),5))*(VLOOKUP($B$5,标准坦克设计!$B$24:$U$30,MATCH("对"&amp;LEFT($C$5,2)&amp;"输出",标准坦克设计!$B$23:$U$23,0)))*(VLOOKUP($B150,INDIRECT($B$5&amp;"生成成长"),3))*(VLOOKUP($B$5,标准坦克设计!$B$14:$K$20,9)/30))</f>
        <v>18.885737952642323</v>
      </c>
      <c r="CY150" s="173">
        <f ca="1">(VLOOKUP(CY$72,INDIRECT($C$5&amp;"生成成长"),2))/((VLOOKUP($B150,INDIRECT($B$5&amp;"生成成长"),4))/(VLOOKUP(CY$72,INDIRECT($C$5&amp;"生成成长"),5))*(VLOOKUP($B$5,标准坦克设计!$B$24:$U$30,MATCH("对"&amp;LEFT($C$5,2)&amp;"输出",标准坦克设计!$B$23:$U$23,0)))*(VLOOKUP($B150,INDIRECT($B$5&amp;"生成成长"),3))*(VLOOKUP($B$5,标准坦克设计!$B$14:$K$20,9)/30))</f>
        <v>20.120147400403606</v>
      </c>
      <c r="CZ150" s="173">
        <f ca="1">(VLOOKUP(CZ$72,INDIRECT($C$5&amp;"生成成长"),2))/((VLOOKUP($B150,INDIRECT($B$5&amp;"生成成长"),4))/(VLOOKUP(CZ$72,INDIRECT($C$5&amp;"生成成长"),5))*(VLOOKUP($B$5,标准坦克设计!$B$24:$U$30,MATCH("对"&amp;LEFT($C$5,2)&amp;"输出",标准坦克设计!$B$23:$U$23,0)))*(VLOOKUP($B150,INDIRECT($B$5&amp;"生成成长"),3))*(VLOOKUP($B$5,标准坦克设计!$B$14:$K$20,9)/30))</f>
        <v>21.393631679604809</v>
      </c>
      <c r="DA150" s="173">
        <f ca="1">(VLOOKUP(DA$72,INDIRECT($C$5&amp;"生成成长"),2))/((VLOOKUP($B150,INDIRECT($B$5&amp;"生成成长"),4))/(VLOOKUP(DA$72,INDIRECT($C$5&amp;"生成成长"),5))*(VLOOKUP($B$5,标准坦克设计!$B$24:$U$30,MATCH("对"&amp;LEFT($C$5,2)&amp;"输出",标准坦克设计!$B$23:$U$23,0)))*(VLOOKUP($B150,INDIRECT($B$5&amp;"生成成长"),3))*(VLOOKUP($B$5,标准坦克设计!$B$14:$K$20,9)/30))</f>
        <v>22.706190790245948</v>
      </c>
      <c r="DB150" s="173">
        <f ca="1">(VLOOKUP(DB$72,INDIRECT($C$5&amp;"生成成长"),2))/((VLOOKUP($B150,INDIRECT($B$5&amp;"生成成长"),4))/(VLOOKUP(DB$72,INDIRECT($C$5&amp;"生成成长"),5))*(VLOOKUP($B$5,标准坦克设计!$B$24:$U$30,MATCH("对"&amp;LEFT($C$5,2)&amp;"输出",标准坦克设计!$B$23:$U$23,0)))*(VLOOKUP($B150,INDIRECT($B$5&amp;"生成成长"),3))*(VLOOKUP($B$5,标准坦克设计!$B$14:$K$20,9)/30))</f>
        <v>24.057824732327003</v>
      </c>
      <c r="DC150" s="173">
        <f ca="1">(VLOOKUP(DC$72,INDIRECT($C$5&amp;"生成成长"),2))/((VLOOKUP($B150,INDIRECT($B$5&amp;"生成成长"),4))/(VLOOKUP(DC$72,INDIRECT($C$5&amp;"生成成长"),5))*(VLOOKUP($B$5,标准坦克设计!$B$24:$U$30,MATCH("对"&amp;LEFT($C$5,2)&amp;"输出",标准坦克设计!$B$23:$U$23,0)))*(VLOOKUP($B150,INDIRECT($B$5&amp;"生成成长"),3))*(VLOOKUP($B$5,标准坦克设计!$B$14:$K$20,9)/30))</f>
        <v>25.576899171115514</v>
      </c>
      <c r="DD150" s="173">
        <f ca="1">(VLOOKUP(DD$72,INDIRECT($C$5&amp;"生成成长"),2))/((VLOOKUP($B150,INDIRECT($B$5&amp;"生成成长"),4))/(VLOOKUP(DD$72,INDIRECT($C$5&amp;"生成成长"),5))*(VLOOKUP($B$5,标准坦克设计!$B$24:$U$30,MATCH("对"&amp;LEFT($C$5,2)&amp;"输出",标准坦克设计!$B$23:$U$23,0)))*(VLOOKUP($B150,INDIRECT($B$5&amp;"生成成长"),3))*(VLOOKUP($B$5,标准坦克设计!$B$14:$K$20,9)/30))</f>
        <v>27.142475888642444</v>
      </c>
      <c r="DE150" s="173">
        <f ca="1">(VLOOKUP(DE$72,INDIRECT($C$5&amp;"生成成长"),2))/((VLOOKUP($B150,INDIRECT($B$5&amp;"生成成长"),4))/(VLOOKUP(DE$72,INDIRECT($C$5&amp;"生成成长"),5))*(VLOOKUP($B$5,标准坦克设计!$B$24:$U$30,MATCH("对"&amp;LEFT($C$5,2)&amp;"输出",标准坦克设计!$B$23:$U$23,0)))*(VLOOKUP($B150,INDIRECT($B$5&amp;"生成成长"),3))*(VLOOKUP($B$5,标准坦克设计!$B$14:$K$20,9)/30))</f>
        <v>28.754554884907797</v>
      </c>
      <c r="DF150" s="173">
        <f ca="1">(VLOOKUP(DF$72,INDIRECT($C$5&amp;"生成成长"),2))/((VLOOKUP($B150,INDIRECT($B$5&amp;"生成成长"),4))/(VLOOKUP(DF$72,INDIRECT($C$5&amp;"生成成长"),5))*(VLOOKUP($B$5,标准坦克设计!$B$24:$U$30,MATCH("对"&amp;LEFT($C$5,2)&amp;"输出",标准坦克设计!$B$23:$U$23,0)))*(VLOOKUP($B150,INDIRECT($B$5&amp;"生成成长"),3))*(VLOOKUP($B$5,标准坦克设计!$B$14:$K$20,9)/30))</f>
        <v>30.413136159911573</v>
      </c>
      <c r="DG150" s="173">
        <f ca="1">(VLOOKUP(DG$72,INDIRECT($C$5&amp;"生成成长"),2))/((VLOOKUP($B150,INDIRECT($B$5&amp;"生成成长"),4))/(VLOOKUP(DG$72,INDIRECT($C$5&amp;"生成成长"),5))*(VLOOKUP($B$5,标准坦克设计!$B$24:$U$30,MATCH("对"&amp;LEFT($C$5,2)&amp;"输出",标准坦克设计!$B$23:$U$23,0)))*(VLOOKUP($B150,INDIRECT($B$5&amp;"生成成长"),3))*(VLOOKUP($B$5,标准坦克设计!$B$14:$K$20,9)/30))</f>
        <v>32.118219713653779</v>
      </c>
      <c r="DH150" s="173">
        <f ca="1">(VLOOKUP(DH$72,INDIRECT($C$5&amp;"生成成长"),2))/((VLOOKUP($B150,INDIRECT($B$5&amp;"生成成长"),4))/(VLOOKUP(DH$72,INDIRECT($C$5&amp;"生成成长"),5))*(VLOOKUP($B$5,标准坦克设计!$B$24:$U$30,MATCH("对"&amp;LEFT($C$5,2)&amp;"输出",标准坦克设计!$B$23:$U$23,0)))*(VLOOKUP($B150,INDIRECT($B$5&amp;"生成成长"),3))*(VLOOKUP($B$5,标准坦克设计!$B$14:$K$20,9)/30))</f>
        <v>33.869805546134401</v>
      </c>
      <c r="DI150" s="173">
        <f ca="1">(VLOOKUP(DI$72,INDIRECT($C$5&amp;"生成成长"),2))/((VLOOKUP($B150,INDIRECT($B$5&amp;"生成成长"),4))/(VLOOKUP(DI$72,INDIRECT($C$5&amp;"生成成长"),5))*(VLOOKUP($B$5,标准坦克设计!$B$24:$U$30,MATCH("对"&amp;LEFT($C$5,2)&amp;"输出",标准坦克设计!$B$23:$U$23,0)))*(VLOOKUP($B150,INDIRECT($B$5&amp;"生成成长"),3))*(VLOOKUP($B$5,标准坦克设计!$B$14:$K$20,9)/30))</f>
        <v>35.667893657353446</v>
      </c>
      <c r="DJ150" s="173">
        <f ca="1">(VLOOKUP(DJ$72,INDIRECT($C$5&amp;"生成成长"),2))/((VLOOKUP($B150,INDIRECT($B$5&amp;"生成成长"),4))/(VLOOKUP(DJ$72,INDIRECT($C$5&amp;"生成成长"),5))*(VLOOKUP($B$5,标准坦克设计!$B$24:$U$30,MATCH("对"&amp;LEFT($C$5,2)&amp;"输出",标准坦克设计!$B$23:$U$23,0)))*(VLOOKUP($B150,INDIRECT($B$5&amp;"生成成长"),3))*(VLOOKUP($B$5,标准坦克设计!$B$14:$K$20,9)/30))</f>
        <v>3.5847121189991125</v>
      </c>
      <c r="DK150" s="173">
        <f ca="1">(VLOOKUP(DK$72,INDIRECT($C$5&amp;"生成成长"),2))/((VLOOKUP($B150,INDIRECT($B$5&amp;"生成成长"),4))/(VLOOKUP(DK$72,INDIRECT($C$5&amp;"生成成长"),5))*(VLOOKUP($B$5,标准坦克设计!$B$24:$U$30,MATCH("对"&amp;LEFT($C$5,2)&amp;"输出",标准坦克设计!$B$23:$U$23,0)))*(VLOOKUP($B150,INDIRECT($B$5&amp;"生成成长"),3))*(VLOOKUP($B$5,标准坦克设计!$B$14:$K$20,9)/30))</f>
        <v>4.0308433556458647</v>
      </c>
      <c r="DL150" s="173">
        <f ca="1">(VLOOKUP(DL$72,INDIRECT($C$5&amp;"生成成长"),2))/((VLOOKUP($B150,INDIRECT($B$5&amp;"生成成长"),4))/(VLOOKUP(DL$72,INDIRECT($C$5&amp;"生成成长"),5))*(VLOOKUP($B$5,标准坦克设计!$B$24:$U$30,MATCH("对"&amp;LEFT($C$5,2)&amp;"输出",标准坦克设计!$B$23:$U$23,0)))*(VLOOKUP($B150,INDIRECT($B$5&amp;"生成成长"),3))*(VLOOKUP($B$5,标准坦克设计!$B$14:$K$20,9)/30))</f>
        <v>4.5031321240829811</v>
      </c>
      <c r="DM150" s="173">
        <f ca="1">(VLOOKUP(DM$72,INDIRECT($C$5&amp;"生成成长"),2))/((VLOOKUP($B150,INDIRECT($B$5&amp;"生成成长"),4))/(VLOOKUP(DM$72,INDIRECT($C$5&amp;"生成成长"),5))*(VLOOKUP($B$5,标准坦克设计!$B$24:$U$30,MATCH("对"&amp;LEFT($C$5,2)&amp;"输出",标准坦克设计!$B$23:$U$23,0)))*(VLOOKUP($B150,INDIRECT($B$5&amp;"生成成长"),3))*(VLOOKUP($B$5,标准坦克设计!$B$14:$K$20,9)/30))</f>
        <v>5.00157842431046</v>
      </c>
      <c r="DN150" s="173">
        <f ca="1">(VLOOKUP(DN$72,INDIRECT($C$5&amp;"生成成长"),2))/((VLOOKUP($B150,INDIRECT($B$5&amp;"生成成长"),4))/(VLOOKUP(DN$72,INDIRECT($C$5&amp;"生成成长"),5))*(VLOOKUP($B$5,标准坦克设计!$B$24:$U$30,MATCH("对"&amp;LEFT($C$5,2)&amp;"输出",标准坦克设计!$B$23:$U$23,0)))*(VLOOKUP($B150,INDIRECT($B$5&amp;"生成成长"),3))*(VLOOKUP($B$5,标准坦克设计!$B$14:$K$20,9)/30))</f>
        <v>5.5261822563283021</v>
      </c>
      <c r="DO150" s="173">
        <f ca="1">(VLOOKUP(DO$72,INDIRECT($C$5&amp;"生成成长"),2))/((VLOOKUP($B150,INDIRECT($B$5&amp;"生成成长"),4))/(VLOOKUP(DO$72,INDIRECT($C$5&amp;"生成成长"),5))*(VLOOKUP($B$5,标准坦克设计!$B$24:$U$30,MATCH("对"&amp;LEFT($C$5,2)&amp;"输出",标准坦克设计!$B$23:$U$23,0)))*(VLOOKUP($B150,INDIRECT($B$5&amp;"生成成长"),3))*(VLOOKUP($B$5,标准坦克设计!$B$14:$K$20,9)/30))</f>
        <v>6.0769436201365075</v>
      </c>
      <c r="DP150" s="173">
        <f ca="1">(VLOOKUP(DP$72,INDIRECT($C$5&amp;"生成成长"),2))/((VLOOKUP($B150,INDIRECT($B$5&amp;"生成成长"),4))/(VLOOKUP(DP$72,INDIRECT($C$5&amp;"生成成长"),5))*(VLOOKUP($B$5,标准坦克设计!$B$24:$U$30,MATCH("对"&amp;LEFT($C$5,2)&amp;"输出",标准坦克设计!$B$23:$U$23,0)))*(VLOOKUP($B150,INDIRECT($B$5&amp;"生成成长"),3))*(VLOOKUP($B$5,标准坦克设计!$B$14:$K$20,9)/30))</f>
        <v>6.653862515735077</v>
      </c>
      <c r="DQ150" s="173">
        <f ca="1">(VLOOKUP(DQ$72,INDIRECT($C$5&amp;"生成成长"),2))/((VLOOKUP($B150,INDIRECT($B$5&amp;"生成成长"),4))/(VLOOKUP(DQ$72,INDIRECT($C$5&amp;"生成成长"),5))*(VLOOKUP($B$5,标准坦克设计!$B$24:$U$30,MATCH("对"&amp;LEFT($C$5,2)&amp;"输出",标准坦克设计!$B$23:$U$23,0)))*(VLOOKUP($B150,INDIRECT($B$5&amp;"生成成长"),3))*(VLOOKUP($B$5,标准坦克设计!$B$14:$K$20,9)/30))</f>
        <v>7.256938943124009</v>
      </c>
      <c r="DR150" s="173">
        <f ca="1">(VLOOKUP(DR$72,INDIRECT($C$5&amp;"生成成长"),2))/((VLOOKUP($B150,INDIRECT($B$5&amp;"生成成长"),4))/(VLOOKUP(DR$72,INDIRECT($C$5&amp;"生成成长"),5))*(VLOOKUP($B$5,标准坦克设计!$B$24:$U$30,MATCH("对"&amp;LEFT($C$5,2)&amp;"输出",标准坦克设计!$B$23:$U$23,0)))*(VLOOKUP($B150,INDIRECT($B$5&amp;"生成成长"),3))*(VLOOKUP($B$5,标准坦克设计!$B$14:$K$20,9)/30))</f>
        <v>7.8861729023033043</v>
      </c>
      <c r="DS150" s="173">
        <f ca="1">(VLOOKUP(DS$72,INDIRECT($C$5&amp;"生成成长"),2))/((VLOOKUP($B150,INDIRECT($B$5&amp;"生成成长"),4))/(VLOOKUP(DS$72,INDIRECT($C$5&amp;"生成成长"),5))*(VLOOKUP($B$5,标准坦克设计!$B$24:$U$30,MATCH("对"&amp;LEFT($C$5,2)&amp;"输出",标准坦克设计!$B$23:$U$23,0)))*(VLOOKUP($B150,INDIRECT($B$5&amp;"生成成长"),3))*(VLOOKUP($B$5,标准坦克设计!$B$14:$K$20,9)/30))</f>
        <v>8.5415643932729637</v>
      </c>
      <c r="DT150" s="173">
        <f ca="1">(VLOOKUP(DT$72,INDIRECT($C$5&amp;"生成成长"),2))/((VLOOKUP($B150,INDIRECT($B$5&amp;"生成成长"),4))/(VLOOKUP(DT$72,INDIRECT($C$5&amp;"生成成长"),5))*(VLOOKUP($B$5,标准坦克设计!$B$24:$U$30,MATCH("对"&amp;LEFT($C$5,2)&amp;"输出",标准坦克设计!$B$23:$U$23,0)))*(VLOOKUP($B150,INDIRECT($B$5&amp;"生成成长"),3))*(VLOOKUP($B$5,标准坦克设计!$B$14:$K$20,9)/30))</f>
        <v>9.3781210118277301</v>
      </c>
      <c r="DU150" s="173">
        <f ca="1">(VLOOKUP(DU$72,INDIRECT($C$5&amp;"生成成长"),2))/((VLOOKUP($B150,INDIRECT($B$5&amp;"生成成长"),4))/(VLOOKUP(DU$72,INDIRECT($C$5&amp;"生成成长"),5))*(VLOOKUP($B$5,标准坦克设计!$B$24:$U$30,MATCH("对"&amp;LEFT($C$5,2)&amp;"输出",标准坦克设计!$B$23:$U$23,0)))*(VLOOKUP($B150,INDIRECT($B$5&amp;"生成成长"),3))*(VLOOKUP($B$5,标准坦克设计!$B$14:$K$20,9)/30))</f>
        <v>10.253752461822424</v>
      </c>
      <c r="DV150" s="173">
        <f ca="1">(VLOOKUP(DV$72,INDIRECT($C$5&amp;"生成成长"),2))/((VLOOKUP($B150,INDIRECT($B$5&amp;"生成成长"),4))/(VLOOKUP(DV$72,INDIRECT($C$5&amp;"生成成长"),5))*(VLOOKUP($B$5,标准坦克设计!$B$24:$U$30,MATCH("对"&amp;LEFT($C$5,2)&amp;"输出",标准坦克设计!$B$23:$U$23,0)))*(VLOOKUP($B150,INDIRECT($B$5&amp;"生成成长"),3))*(VLOOKUP($B$5,标准坦克设计!$B$14:$K$20,9)/30))</f>
        <v>11.168458743257043</v>
      </c>
      <c r="DW150" s="173">
        <f ca="1">(VLOOKUP(DW$72,INDIRECT($C$5&amp;"生成成长"),2))/((VLOOKUP($B150,INDIRECT($B$5&amp;"生成成长"),4))/(VLOOKUP(DW$72,INDIRECT($C$5&amp;"生成成长"),5))*(VLOOKUP($B$5,标准坦克设计!$B$24:$U$30,MATCH("对"&amp;LEFT($C$5,2)&amp;"输出",标准坦克设计!$B$23:$U$23,0)))*(VLOOKUP($B150,INDIRECT($B$5&amp;"生成成长"),3))*(VLOOKUP($B$5,标准坦克设计!$B$14:$K$20,9)/30))</f>
        <v>12.122239856131589</v>
      </c>
      <c r="DX150" s="173">
        <f ca="1">(VLOOKUP(DX$72,INDIRECT($C$5&amp;"生成成长"),2))/((VLOOKUP($B150,INDIRECT($B$5&amp;"生成成长"),4))/(VLOOKUP(DX$72,INDIRECT($C$5&amp;"生成成长"),5))*(VLOOKUP($B$5,标准坦克设计!$B$24:$U$30,MATCH("对"&amp;LEFT($C$5,2)&amp;"输出",标准坦克设计!$B$23:$U$23,0)))*(VLOOKUP($B150,INDIRECT($B$5&amp;"生成成长"),3))*(VLOOKUP($B$5,标准坦克设计!$B$14:$K$20,9)/30))</f>
        <v>13.115095800446056</v>
      </c>
      <c r="DY150" s="173">
        <f ca="1">(VLOOKUP(DY$72,INDIRECT($C$5&amp;"生成成长"),2))/((VLOOKUP($B150,INDIRECT($B$5&amp;"生成成长"),4))/(VLOOKUP(DY$72,INDIRECT($C$5&amp;"生成成长"),5))*(VLOOKUP($B$5,标准坦克设计!$B$24:$U$30,MATCH("对"&amp;LEFT($C$5,2)&amp;"输出",标准坦克设计!$B$23:$U$23,0)))*(VLOOKUP($B150,INDIRECT($B$5&amp;"生成成长"),3))*(VLOOKUP($B$5,标准坦克设计!$B$14:$K$20,9)/30))</f>
        <v>5.8904501064459556</v>
      </c>
      <c r="DZ150" s="173">
        <f ca="1">(VLOOKUP(DZ$72,INDIRECT($C$5&amp;"生成成长"),2))/((VLOOKUP($B150,INDIRECT($B$5&amp;"生成成长"),4))/(VLOOKUP(DZ$72,INDIRECT($C$5&amp;"生成成长"),5))*(VLOOKUP($B$5,标准坦克设计!$B$24:$U$30,MATCH("对"&amp;LEFT($C$5,2)&amp;"输出",标准坦克设计!$B$23:$U$23,0)))*(VLOOKUP($B150,INDIRECT($B$5&amp;"生成成长"),3))*(VLOOKUP($B$5,标准坦克设计!$B$14:$K$20,9)/30))</f>
        <v>6.5233977892744983</v>
      </c>
      <c r="EA150" s="173">
        <f ca="1">(VLOOKUP(EA$72,INDIRECT($C$5&amp;"生成成长"),2))/((VLOOKUP($B150,INDIRECT($B$5&amp;"生成成长"),4))/(VLOOKUP(EA$72,INDIRECT($C$5&amp;"生成成长"),5))*(VLOOKUP($B$5,标准坦克设计!$B$24:$U$30,MATCH("对"&amp;LEFT($C$5,2)&amp;"输出",标准坦克设计!$B$23:$U$23,0)))*(VLOOKUP($B150,INDIRECT($B$5&amp;"生成成长"),3))*(VLOOKUP($B$5,标准坦克设计!$B$14:$K$20,9)/30))</f>
        <v>7.1886387212269494</v>
      </c>
      <c r="EB150" s="173">
        <f ca="1">(VLOOKUP(EB$72,INDIRECT($C$5&amp;"生成成长"),2))/((VLOOKUP($B150,INDIRECT($B$5&amp;"生成成长"),4))/(VLOOKUP(EB$72,INDIRECT($C$5&amp;"生成成长"),5))*(VLOOKUP($B$5,标准坦克设计!$B$24:$U$30,MATCH("对"&amp;LEFT($C$5,2)&amp;"输出",标准坦克设计!$B$23:$U$23,0)))*(VLOOKUP($B150,INDIRECT($B$5&amp;"生成成长"),3))*(VLOOKUP($B$5,标准坦克设计!$B$14:$K$20,9)/30))</f>
        <v>7.8861729023033043</v>
      </c>
      <c r="EC150" s="173">
        <f ca="1">(VLOOKUP(EC$72,INDIRECT($C$5&amp;"生成成长"),2))/((VLOOKUP($B150,INDIRECT($B$5&amp;"生成成长"),4))/(VLOOKUP(EC$72,INDIRECT($C$5&amp;"生成成长"),5))*(VLOOKUP($B$5,标准坦克设计!$B$24:$U$30,MATCH("对"&amp;LEFT($C$5,2)&amp;"输出",标准坦克设计!$B$23:$U$23,0)))*(VLOOKUP($B150,INDIRECT($B$5&amp;"生成成长"),3))*(VLOOKUP($B$5,标准坦克设计!$B$14:$K$20,9)/30))</f>
        <v>8.6160003325035639</v>
      </c>
      <c r="ED150" s="173">
        <f ca="1">(VLOOKUP(ED$72,INDIRECT($C$5&amp;"生成成长"),2))/((VLOOKUP($B150,INDIRECT($B$5&amp;"生成成长"),4))/(VLOOKUP(ED$72,INDIRECT($C$5&amp;"生成成长"),5))*(VLOOKUP($B$5,标准坦克设计!$B$24:$U$30,MATCH("对"&amp;LEFT($C$5,2)&amp;"输出",标准坦克设计!$B$23:$U$23,0)))*(VLOOKUP($B150,INDIRECT($B$5&amp;"生成成长"),3))*(VLOOKUP($B$5,标准坦克设计!$B$14:$K$20,9)/30))</f>
        <v>9.3781210118277301</v>
      </c>
      <c r="EE150" s="173">
        <f ca="1">(VLOOKUP(EE$72,INDIRECT($C$5&amp;"生成成长"),2))/((VLOOKUP($B150,INDIRECT($B$5&amp;"生成成长"),4))/(VLOOKUP(EE$72,INDIRECT($C$5&amp;"生成成长"),5))*(VLOOKUP($B$5,标准坦克设计!$B$24:$U$30,MATCH("对"&amp;LEFT($C$5,2)&amp;"输出",标准坦克设计!$B$23:$U$23,0)))*(VLOOKUP($B150,INDIRECT($B$5&amp;"生成成长"),3))*(VLOOKUP($B$5,标准坦克设计!$B$14:$K$20,9)/30))</f>
        <v>10.172534940275803</v>
      </c>
      <c r="EF150" s="173">
        <f ca="1">(VLOOKUP(EF$72,INDIRECT($C$5&amp;"生成成长"),2))/((VLOOKUP($B150,INDIRECT($B$5&amp;"生成成长"),4))/(VLOOKUP(EF$72,INDIRECT($C$5&amp;"生成成长"),5))*(VLOOKUP($B$5,标准坦克设计!$B$24:$U$30,MATCH("对"&amp;LEFT($C$5,2)&amp;"输出",标准坦克设计!$B$23:$U$23,0)))*(VLOOKUP($B150,INDIRECT($B$5&amp;"生成成长"),3))*(VLOOKUP($B$5,标准坦克设计!$B$14:$K$20,9)/30))</f>
        <v>10.999242117847778</v>
      </c>
      <c r="EG150" s="173">
        <f ca="1">(VLOOKUP(EG$72,INDIRECT($C$5&amp;"生成成长"),2))/((VLOOKUP($B150,INDIRECT($B$5&amp;"生成成长"),4))/(VLOOKUP(EG$72,INDIRECT($C$5&amp;"生成成长"),5))*(VLOOKUP($B$5,标准坦克设计!$B$24:$U$30,MATCH("对"&amp;LEFT($C$5,2)&amp;"输出",标准坦克设计!$B$23:$U$23,0)))*(VLOOKUP($B150,INDIRECT($B$5&amp;"生成成长"),3))*(VLOOKUP($B$5,标准坦克设计!$B$14:$K$20,9)/30))</f>
        <v>11.858242544543662</v>
      </c>
      <c r="EH150" s="173">
        <f ca="1">(VLOOKUP(EH$72,INDIRECT($C$5&amp;"生成成长"),2))/((VLOOKUP($B150,INDIRECT($B$5&amp;"生成成长"),4))/(VLOOKUP(EH$72,INDIRECT($C$5&amp;"生成成长"),5))*(VLOOKUP($B$5,标准坦克设计!$B$24:$U$30,MATCH("对"&amp;LEFT($C$5,2)&amp;"输出",标准坦克设计!$B$23:$U$23,0)))*(VLOOKUP($B150,INDIRECT($B$5&amp;"生成成长"),3))*(VLOOKUP($B$5,标准坦克设计!$B$14:$K$20,9)/30))</f>
        <v>12.749536220363451</v>
      </c>
      <c r="EI150" s="173">
        <f ca="1">(VLOOKUP(EI$72,INDIRECT($C$5&amp;"生成成长"),2))/((VLOOKUP($B150,INDIRECT($B$5&amp;"生成成长"),4))/(VLOOKUP(EI$72,INDIRECT($C$5&amp;"生成成长"),5))*(VLOOKUP($B$5,标准坦克设计!$B$24:$U$30,MATCH("对"&amp;LEFT($C$5,2)&amp;"输出",标准坦克设计!$B$23:$U$23,0)))*(VLOOKUP($B150,INDIRECT($B$5&amp;"生成成长"),3))*(VLOOKUP($B$5,标准坦克设计!$B$14:$K$20,9)/30))</f>
        <v>13.673123145307139</v>
      </c>
      <c r="EJ150" s="173">
        <f ca="1">(VLOOKUP(EJ$72,INDIRECT($C$5&amp;"生成成长"),2))/((VLOOKUP($B150,INDIRECT($B$5&amp;"生成成长"),4))/(VLOOKUP(EJ$72,INDIRECT($C$5&amp;"生成成长"),5))*(VLOOKUP($B$5,标准坦克设计!$B$24:$U$30,MATCH("对"&amp;LEFT($C$5,2)&amp;"输出",标准坦克设计!$B$23:$U$23,0)))*(VLOOKUP($B150,INDIRECT($B$5&amp;"生成成长"),3))*(VLOOKUP($B$5,标准坦克设计!$B$14:$K$20,9)/30))</f>
        <v>14.629003319374739</v>
      </c>
      <c r="EK150" s="173">
        <f ca="1">(VLOOKUP(EK$72,INDIRECT($C$5&amp;"生成成长"),2))/((VLOOKUP($B150,INDIRECT($B$5&amp;"生成成长"),4))/(VLOOKUP(EK$72,INDIRECT($C$5&amp;"生成成长"),5))*(VLOOKUP($B$5,标准坦克设计!$B$24:$U$30,MATCH("对"&amp;LEFT($C$5,2)&amp;"输出",标准坦克设计!$B$23:$U$23,0)))*(VLOOKUP($B150,INDIRECT($B$5&amp;"生成成长"),3))*(VLOOKUP($B$5,标准坦克设计!$B$14:$K$20,9)/30))</f>
        <v>15.818686617099413</v>
      </c>
      <c r="EL150" s="173">
        <f ca="1">(VLOOKUP(EL$72,INDIRECT($C$5&amp;"生成成长"),2))/((VLOOKUP($B150,INDIRECT($B$5&amp;"生成成长"),4))/(VLOOKUP(EL$72,INDIRECT($C$5&amp;"生成成长"),5))*(VLOOKUP($B$5,标准坦克设计!$B$24:$U$30,MATCH("对"&amp;LEFT($C$5,2)&amp;"输出",标准坦克设计!$B$23:$U$23,0)))*(VLOOKUP($B150,INDIRECT($B$5&amp;"生成成长"),3))*(VLOOKUP($B$5,标准坦克设计!$B$14:$K$20,9)/30))</f>
        <v>17.05487219356251</v>
      </c>
      <c r="EM150" s="173">
        <f ca="1">(VLOOKUP(EM$72,INDIRECT($C$5&amp;"生成成长"),2))/((VLOOKUP($B150,INDIRECT($B$5&amp;"生成成长"),4))/(VLOOKUP(EM$72,INDIRECT($C$5&amp;"生成成长"),5))*(VLOOKUP($B$5,标准坦克设计!$B$24:$U$30,MATCH("对"&amp;LEFT($C$5,2)&amp;"输出",标准坦克设计!$B$23:$U$23,0)))*(VLOOKUP($B150,INDIRECT($B$5&amp;"生成成长"),3))*(VLOOKUP($B$5,标准坦克设计!$B$14:$K$20,9)/30))</f>
        <v>18.337560048764029</v>
      </c>
      <c r="EN150" s="173">
        <f ca="1">(VLOOKUP(EN$72,INDIRECT($C$5&amp;"生成成长"),2))/((VLOOKUP($B150,INDIRECT($B$5&amp;"生成成长"),4))/(VLOOKUP(EN$72,INDIRECT($C$5&amp;"生成成长"),5))*(VLOOKUP($B$5,标准坦克设计!$B$24:$U$30,MATCH("对"&amp;LEFT($C$5,2)&amp;"输出",标准坦克设计!$B$23:$U$23,0)))*(VLOOKUP($B150,INDIRECT($B$5&amp;"生成成长"),3))*(VLOOKUP($B$5,标准坦克设计!$B$14:$K$20,9)/30))</f>
        <v>19.666750182703979</v>
      </c>
      <c r="EO150" s="173">
        <f ca="1">(VLOOKUP(EO$72,INDIRECT($C$5&amp;"生成成长"),2))/((VLOOKUP($B150,INDIRECT($B$5&amp;"生成成长"),4))/(VLOOKUP(EO$72,INDIRECT($C$5&amp;"生成成长"),5))*(VLOOKUP($B$5,标准坦克设计!$B$24:$U$30,MATCH("对"&amp;LEFT($C$5,2)&amp;"输出",标准坦克设计!$B$23:$U$23,0)))*(VLOOKUP($B150,INDIRECT($B$5&amp;"生成成长"),3))*(VLOOKUP($B$5,标准坦克设计!$B$14:$K$20,9)/30))</f>
        <v>21.042442595382344</v>
      </c>
      <c r="EP150" s="173">
        <f ca="1">(VLOOKUP(EP$72,INDIRECT($C$5&amp;"生成成长"),2))/((VLOOKUP($B150,INDIRECT($B$5&amp;"生成成长"),4))/(VLOOKUP(EP$72,INDIRECT($C$5&amp;"生成成长"),5))*(VLOOKUP($B$5,标准坦克设计!$B$24:$U$30,MATCH("对"&amp;LEFT($C$5,2)&amp;"输出",标准坦克设计!$B$23:$U$23,0)))*(VLOOKUP($B150,INDIRECT($B$5&amp;"生成成长"),3))*(VLOOKUP($B$5,标准坦克设计!$B$14:$K$20,9)/30))</f>
        <v>22.464637286799135</v>
      </c>
      <c r="EQ150" s="173">
        <f ca="1">(VLOOKUP(EQ$72,INDIRECT($C$5&amp;"生成成长"),2))/((VLOOKUP($B150,INDIRECT($B$5&amp;"生成成长"),4))/(VLOOKUP(EQ$72,INDIRECT($C$5&amp;"生成成长"),5))*(VLOOKUP($B$5,标准坦克设计!$B$24:$U$30,MATCH("对"&amp;LEFT($C$5,2)&amp;"输出",标准坦克设计!$B$23:$U$23,0)))*(VLOOKUP($B150,INDIRECT($B$5&amp;"生成成长"),3))*(VLOOKUP($B$5,标准坦克设计!$B$14:$K$20,9)/30))</f>
        <v>9.9308199705833697</v>
      </c>
      <c r="ER150" s="173">
        <f ca="1">(VLOOKUP(ER$72,INDIRECT($C$5&amp;"生成成长"),2))/((VLOOKUP($B150,INDIRECT($B$5&amp;"生成成长"),4))/(VLOOKUP(ER$72,INDIRECT($C$5&amp;"生成成长"),5))*(VLOOKUP($B$5,标准坦克设计!$B$24:$U$30,MATCH("对"&amp;LEFT($C$5,2)&amp;"输出",标准坦克设计!$B$23:$U$23,0)))*(VLOOKUP($B150,INDIRECT($B$5&amp;"生成成长"),3))*(VLOOKUP($B$5,标准坦克设计!$B$14:$K$20,9)/30))</f>
        <v>10.831317222403472</v>
      </c>
      <c r="ES150" s="173">
        <f ca="1">(VLOOKUP(ES$72,INDIRECT($C$5&amp;"生成成长"),2))/((VLOOKUP($B150,INDIRECT($B$5&amp;"生成成长"),4))/(VLOOKUP(ES$72,INDIRECT($C$5&amp;"生成成长"),5))*(VLOOKUP($B$5,标准坦克设计!$B$24:$U$30,MATCH("对"&amp;LEFT($C$5,2)&amp;"输出",标准坦克设计!$B$23:$U$23,0)))*(VLOOKUP($B150,INDIRECT($B$5&amp;"生成成长"),3))*(VLOOKUP($B$5,标准坦克设计!$B$14:$K$20,9)/30))</f>
        <v>11.770889305663497</v>
      </c>
      <c r="ET150" s="173">
        <f ca="1">(VLOOKUP(ET$72,INDIRECT($C$5&amp;"生成成长"),2))/((VLOOKUP($B150,INDIRECT($B$5&amp;"生成成长"),4))/(VLOOKUP(ET$72,INDIRECT($C$5&amp;"生成成长"),5))*(VLOOKUP($B$5,标准坦克设计!$B$24:$U$30,MATCH("对"&amp;LEFT($C$5,2)&amp;"输出",标准坦克设计!$B$23:$U$23,0)))*(VLOOKUP($B150,INDIRECT($B$5&amp;"生成成长"),3))*(VLOOKUP($B$5,标准坦克设计!$B$14:$K$20,9)/30))</f>
        <v>12.749536220363451</v>
      </c>
      <c r="EU150" s="173">
        <f ca="1">(VLOOKUP(EU$72,INDIRECT($C$5&amp;"生成成长"),2))/((VLOOKUP($B150,INDIRECT($B$5&amp;"生成成长"),4))/(VLOOKUP(EU$72,INDIRECT($C$5&amp;"生成成长"),5))*(VLOOKUP($B$5,标准坦克设计!$B$24:$U$30,MATCH("对"&amp;LEFT($C$5,2)&amp;"输出",标准坦克设计!$B$23:$U$23,0)))*(VLOOKUP($B150,INDIRECT($B$5&amp;"生成成长"),3))*(VLOOKUP($B$5,标准坦克设计!$B$14:$K$20,9)/30))</f>
        <v>13.767257966503326</v>
      </c>
      <c r="EV150" s="173">
        <f ca="1">(VLOOKUP(EV$72,INDIRECT($C$5&amp;"生成成长"),2))/((VLOOKUP($B150,INDIRECT($B$5&amp;"生成成长"),4))/(VLOOKUP(EV$72,INDIRECT($C$5&amp;"生成成长"),5))*(VLOOKUP($B$5,标准坦克设计!$B$24:$U$30,MATCH("对"&amp;LEFT($C$5,2)&amp;"输出",标准坦克设计!$B$23:$U$23,0)))*(VLOOKUP($B150,INDIRECT($B$5&amp;"生成成长"),3))*(VLOOKUP($B$5,标准坦克设计!$B$14:$K$20,9)/30))</f>
        <v>14.824054544083129</v>
      </c>
      <c r="EW150" s="173">
        <f ca="1">(VLOOKUP(EW$72,INDIRECT($C$5&amp;"生成成长"),2))/((VLOOKUP($B150,INDIRECT($B$5&amp;"生成成长"),4))/(VLOOKUP(EW$72,INDIRECT($C$5&amp;"生成成长"),5))*(VLOOKUP($B$5,标准坦克设计!$B$24:$U$30,MATCH("对"&amp;LEFT($C$5,2)&amp;"输出",标准坦克设计!$B$23:$U$23,0)))*(VLOOKUP($B150,INDIRECT($B$5&amp;"生成成长"),3))*(VLOOKUP($B$5,标准坦克设计!$B$14:$K$20,9)/30))</f>
        <v>15.919925953102855</v>
      </c>
      <c r="EX150" s="173">
        <f ca="1">(VLOOKUP(EX$72,INDIRECT($C$5&amp;"生成成长"),2))/((VLOOKUP($B150,INDIRECT($B$5&amp;"生成成长"),4))/(VLOOKUP(EX$72,INDIRECT($C$5&amp;"生成成长"),5))*(VLOOKUP($B$5,标准坦克设计!$B$24:$U$30,MATCH("对"&amp;LEFT($C$5,2)&amp;"输出",标准坦克设计!$B$23:$U$23,0)))*(VLOOKUP($B150,INDIRECT($B$5&amp;"生成成长"),3))*(VLOOKUP($B$5,标准坦克设计!$B$14:$K$20,9)/30))</f>
        <v>17.05487219356251</v>
      </c>
      <c r="EY150" s="173">
        <f ca="1">(VLOOKUP(EY$72,INDIRECT($C$5&amp;"生成成长"),2))/((VLOOKUP($B150,INDIRECT($B$5&amp;"生成成长"),4))/(VLOOKUP(EY$72,INDIRECT($C$5&amp;"生成成长"),5))*(VLOOKUP($B$5,标准坦克设计!$B$24:$U$30,MATCH("对"&amp;LEFT($C$5,2)&amp;"输出",标准坦克设计!$B$23:$U$23,0)))*(VLOOKUP($B150,INDIRECT($B$5&amp;"生成成长"),3))*(VLOOKUP($B$5,标准坦克设计!$B$14:$K$20,9)/30))</f>
        <v>18.228893265462087</v>
      </c>
      <c r="EZ150" s="173">
        <f ca="1">(VLOOKUP(EZ$72,INDIRECT($C$5&amp;"生成成长"),2))/((VLOOKUP($B150,INDIRECT($B$5&amp;"生成成长"),4))/(VLOOKUP(EZ$72,INDIRECT($C$5&amp;"生成成长"),5))*(VLOOKUP($B$5,标准坦克设计!$B$24:$U$30,MATCH("对"&amp;LEFT($C$5,2)&amp;"输出",标准坦克设计!$B$23:$U$23,0)))*(VLOOKUP($B150,INDIRECT($B$5&amp;"生成成长"),3))*(VLOOKUP($B$5,标准坦克设计!$B$14:$K$20,9)/30))</f>
        <v>19.441989168801594</v>
      </c>
      <c r="FA150" s="173">
        <f ca="1">(VLOOKUP(FA$72,INDIRECT($C$5&amp;"生成成长"),2))/((VLOOKUP($B150,INDIRECT($B$5&amp;"生成成长"),4))/(VLOOKUP(FA$72,INDIRECT($C$5&amp;"生成成长"),5))*(VLOOKUP($B$5,标准坦克设计!$B$24:$U$30,MATCH("对"&amp;LEFT($C$5,2)&amp;"输出",标准坦克设计!$B$23:$U$23,0)))*(VLOOKUP($B150,INDIRECT($B$5&amp;"生成成长"),3))*(VLOOKUP($B$5,标准坦克设计!$B$14:$K$20,9)/30))</f>
        <v>20.694159903581021</v>
      </c>
      <c r="FB150" s="173">
        <f ca="1">(VLOOKUP(FB$72,INDIRECT($C$5&amp;"生成成长"),2))/((VLOOKUP($B150,INDIRECT($B$5&amp;"生成成长"),4))/(VLOOKUP(FB$72,INDIRECT($C$5&amp;"生成成长"),5))*(VLOOKUP($B$5,标准坦克设计!$B$24:$U$30,MATCH("对"&amp;LEFT($C$5,2)&amp;"输出",标准坦克设计!$B$23:$U$23,0)))*(VLOOKUP($B150,INDIRECT($B$5&amp;"生成成长"),3))*(VLOOKUP($B$5,标准坦克设计!$B$14:$K$20,9)/30))</f>
        <v>21.985405469800373</v>
      </c>
      <c r="FC150" s="173">
        <f ca="1">(VLOOKUP(FC$72,INDIRECT($C$5&amp;"生成成长"),2))/((VLOOKUP($B150,INDIRECT($B$5&amp;"生成成长"),4))/(VLOOKUP(FC$72,INDIRECT($C$5&amp;"生成成长"),5))*(VLOOKUP($B$5,标准坦克设计!$B$24:$U$30,MATCH("对"&amp;LEFT($C$5,2)&amp;"输出",标准坦克设计!$B$23:$U$23,0)))*(VLOOKUP($B150,INDIRECT($B$5&amp;"生成成长"),3))*(VLOOKUP($B$5,标准坦克设计!$B$14:$K$20,9)/30))</f>
        <v>23.315725867459655</v>
      </c>
      <c r="FD150" s="173">
        <f ca="1">(VLOOKUP(FD$72,INDIRECT($C$5&amp;"生成成长"),2))/((VLOOKUP($B150,INDIRECT($B$5&amp;"生成成长"),4))/(VLOOKUP(FD$72,INDIRECT($C$5&amp;"生成成长"),5))*(VLOOKUP($B$5,标准坦克设计!$B$24:$U$30,MATCH("对"&amp;LEFT($C$5,2)&amp;"输出",标准坦克设计!$B$23:$U$23,0)))*(VLOOKUP($B150,INDIRECT($B$5&amp;"生成成长"),3))*(VLOOKUP($B$5,标准坦克设计!$B$14:$K$20,9)/30))</f>
        <v>24.685121096558863</v>
      </c>
      <c r="FE150" s="173">
        <f ca="1">(VLOOKUP(FE$72,INDIRECT($C$5&amp;"生成成长"),2))/((VLOOKUP($B150,INDIRECT($B$5&amp;"生成成长"),4))/(VLOOKUP(FE$72,INDIRECT($C$5&amp;"生成成长"),5))*(VLOOKUP($B$5,标准坦克设计!$B$24:$U$30,MATCH("对"&amp;LEFT($C$5,2)&amp;"输出",标准坦克设计!$B$23:$U$23,0)))*(VLOOKUP($B150,INDIRECT($B$5&amp;"生成成长"),3))*(VLOOKUP($B$5,标准坦克设计!$B$14:$K$20,9)/30))</f>
        <v>26.353874745036673</v>
      </c>
      <c r="FF150" s="173">
        <f ca="1">(VLOOKUP(FF$72,INDIRECT($C$5&amp;"生成成长"),2))/((VLOOKUP($B150,INDIRECT($B$5&amp;"生成成长"),4))/(VLOOKUP(FF$72,INDIRECT($C$5&amp;"生成成长"),5))*(VLOOKUP($B$5,标准坦克设计!$B$24:$U$30,MATCH("对"&amp;LEFT($C$5,2)&amp;"输出",标准坦克设计!$B$23:$U$23,0)))*(VLOOKUP($B150,INDIRECT($B$5&amp;"生成成长"),3))*(VLOOKUP($B$5,标准坦克设计!$B$14:$K$20,9)/30))</f>
        <v>28.077203984533877</v>
      </c>
      <c r="FG150" s="173">
        <f ca="1">(VLOOKUP(FG$72,INDIRECT($C$5&amp;"生成成长"),2))/((VLOOKUP($B150,INDIRECT($B$5&amp;"生成成长"),4))/(VLOOKUP(FG$72,INDIRECT($C$5&amp;"生成成长"),5))*(VLOOKUP($B$5,标准坦克设计!$B$24:$U$30,MATCH("对"&amp;LEFT($C$5,2)&amp;"输出",标准坦克设计!$B$23:$U$23,0)))*(VLOOKUP($B150,INDIRECT($B$5&amp;"生成成长"),3))*(VLOOKUP($B$5,标准坦克设计!$B$14:$K$20,9)/30))</f>
        <v>29.855108815050489</v>
      </c>
      <c r="FH150" s="173">
        <f ca="1">(VLOOKUP(FH$72,INDIRECT($C$5&amp;"生成成长"),2))/((VLOOKUP($B150,INDIRECT($B$5&amp;"生成成长"),4))/(VLOOKUP(FH$72,INDIRECT($C$5&amp;"生成成长"),5))*(VLOOKUP($B$5,标准坦克设计!$B$24:$U$30,MATCH("对"&amp;LEFT($C$5,2)&amp;"输出",标准坦克设计!$B$23:$U$23,0)))*(VLOOKUP($B150,INDIRECT($B$5&amp;"生成成长"),3))*(VLOOKUP($B$5,标准坦克设计!$B$14:$K$20,9)/30))</f>
        <v>31.687589236586497</v>
      </c>
      <c r="FI150" s="173">
        <f ca="1">(VLOOKUP(FI$72,INDIRECT($C$5&amp;"生成成长"),2))/((VLOOKUP($B150,INDIRECT($B$5&amp;"生成成长"),4))/(VLOOKUP(FI$72,INDIRECT($C$5&amp;"生成成长"),5))*(VLOOKUP($B$5,标准坦克设计!$B$24:$U$30,MATCH("对"&amp;LEFT($C$5,2)&amp;"输出",标准坦克设计!$B$23:$U$23,0)))*(VLOOKUP($B150,INDIRECT($B$5&amp;"生成成长"),3))*(VLOOKUP($B$5,标准坦克设计!$B$14:$K$20,9)/30))</f>
        <v>33.574645249141909</v>
      </c>
      <c r="FJ150" s="173">
        <f ca="1">(VLOOKUP(FJ$72,INDIRECT($C$5&amp;"生成成长"),2))/((VLOOKUP($B150,INDIRECT($B$5&amp;"生成成长"),4))/(VLOOKUP(FJ$72,INDIRECT($C$5&amp;"生成成长"),5))*(VLOOKUP($B$5,标准坦克设计!$B$24:$U$30,MATCH("对"&amp;LEFT($C$5,2)&amp;"输出",标准坦克设计!$B$23:$U$23,0)))*(VLOOKUP($B150,INDIRECT($B$5&amp;"生成成长"),3))*(VLOOKUP($B$5,标准坦克设计!$B$14:$K$20,9)/30))</f>
        <v>35.516276852716715</v>
      </c>
      <c r="FK150" s="173">
        <f ca="1">(VLOOKUP(FK$72,INDIRECT($C$5&amp;"生成成长"),2))/((VLOOKUP($B150,INDIRECT($B$5&amp;"生成成长"),4))/(VLOOKUP(FK$72,INDIRECT($C$5&amp;"生成成长"),5))*(VLOOKUP($B$5,标准坦克设计!$B$24:$U$30,MATCH("对"&amp;LEFT($C$5,2)&amp;"输出",标准坦克设计!$B$23:$U$23,0)))*(VLOOKUP($B150,INDIRECT($B$5&amp;"生成成长"),3))*(VLOOKUP($B$5,标准坦克设计!$B$14:$K$20,9)/30))</f>
        <v>37.51248404731092</v>
      </c>
    </row>
    <row r="151" spans="1:167" x14ac:dyDescent="0.15">
      <c r="A151" s="171" t="str">
        <f t="shared" si="12"/>
        <v>T4中品质7级</v>
      </c>
      <c r="B151" s="172">
        <v>20407</v>
      </c>
      <c r="C151" s="173">
        <f ca="1">(VLOOKUP(C$72,INDIRECT($C$5&amp;"生成成长"),2))/((VLOOKUP($B151,INDIRECT($B$5&amp;"生成成长"),4))/(VLOOKUP(C$72,INDIRECT($C$5&amp;"生成成长"),5))*(VLOOKUP($B$5,标准坦克设计!$B$24:$U$30,MATCH("对"&amp;LEFT($C$5,2)&amp;"输出",标准坦克设计!$B$23:$U$23,0)))*(VLOOKUP($B151,INDIRECT($B$5&amp;"生成成长"),3))*(VLOOKUP($B$5,标准坦克设计!$B$14:$K$20,9)/30))</f>
        <v>1.4863761154227295</v>
      </c>
      <c r="D151" s="173">
        <f ca="1">(VLOOKUP(D$72,INDIRECT($C$5&amp;"生成成长"),2))/((VLOOKUP($B151,INDIRECT($B$5&amp;"生成成长"),4))/(VLOOKUP(D$72,INDIRECT($C$5&amp;"生成成长"),5))*(VLOOKUP($B$5,标准坦克设计!$B$24:$U$30,MATCH("对"&amp;LEFT($C$5,2)&amp;"输出",标准坦克设计!$B$23:$U$23,0)))*(VLOOKUP($B151,INDIRECT($B$5&amp;"生成成长"),3))*(VLOOKUP($B$5,标准坦克设计!$B$14:$K$20,9)/30))</f>
        <v>1.6700922032889789</v>
      </c>
      <c r="E151" s="173">
        <f ca="1">(VLOOKUP(E$72,INDIRECT($C$5&amp;"生成成长"),2))/((VLOOKUP($B151,INDIRECT($B$5&amp;"生成成长"),4))/(VLOOKUP(E$72,INDIRECT($C$5&amp;"生成成长"),5))*(VLOOKUP($B$5,标准坦克设计!$B$24:$U$30,MATCH("对"&amp;LEFT($C$5,2)&amp;"输出",标准坦克设计!$B$23:$U$23,0)))*(VLOOKUP($B151,INDIRECT($B$5&amp;"生成成长"),3))*(VLOOKUP($B$5,标准坦克设计!$B$14:$K$20,9)/30))</f>
        <v>1.864510199186272</v>
      </c>
      <c r="F151" s="173">
        <f ca="1">(VLOOKUP(F$72,INDIRECT($C$5&amp;"生成成长"),2))/((VLOOKUP($B151,INDIRECT($B$5&amp;"生成成长"),4))/(VLOOKUP(F$72,INDIRECT($C$5&amp;"生成成长"),5))*(VLOOKUP($B$5,标准坦克设计!$B$24:$U$30,MATCH("对"&amp;LEFT($C$5,2)&amp;"输出",标准坦克设计!$B$23:$U$23,0)))*(VLOOKUP($B151,INDIRECT($B$5&amp;"生成成长"),3))*(VLOOKUP($B$5,标准坦克设计!$B$14:$K$20,9)/30))</f>
        <v>2.069630103114608</v>
      </c>
      <c r="G151" s="173">
        <f ca="1">(VLOOKUP(G$72,INDIRECT($C$5&amp;"生成成长"),2))/((VLOOKUP($B151,INDIRECT($B$5&amp;"生成成长"),4))/(VLOOKUP(G$72,INDIRECT($C$5&amp;"生成成长"),5))*(VLOOKUP($B$5,标准坦克设计!$B$24:$U$30,MATCH("对"&amp;LEFT($C$5,2)&amp;"输出",标准坦克设计!$B$23:$U$23,0)))*(VLOOKUP($B151,INDIRECT($B$5&amp;"生成成长"),3))*(VLOOKUP($B$5,标准坦克设计!$B$14:$K$20,9)/30))</f>
        <v>2.2854519150739887</v>
      </c>
      <c r="H151" s="173">
        <f ca="1">(VLOOKUP(H$72,INDIRECT($C$5&amp;"生成成长"),2))/((VLOOKUP($B151,INDIRECT($B$5&amp;"生成成长"),4))/(VLOOKUP(H$72,INDIRECT($C$5&amp;"生成成长"),5))*(VLOOKUP($B$5,标准坦克设计!$B$24:$U$30,MATCH("对"&amp;LEFT($C$5,2)&amp;"输出",标准坦克设计!$B$23:$U$23,0)))*(VLOOKUP($B151,INDIRECT($B$5&amp;"生成成长"),3))*(VLOOKUP($B$5,标准坦克设计!$B$14:$K$20,9)/30))</f>
        <v>2.0000677009128252</v>
      </c>
      <c r="I151" s="173">
        <f ca="1">(VLOOKUP(I$72,INDIRECT($C$5&amp;"生成成长"),2))/((VLOOKUP($B151,INDIRECT($B$5&amp;"生成成长"),4))/(VLOOKUP(I$72,INDIRECT($C$5&amp;"生成成长"),5))*(VLOOKUP($B$5,标准坦克设计!$B$24:$U$30,MATCH("对"&amp;LEFT($C$5,2)&amp;"输出",标准坦克设计!$B$23:$U$23,0)))*(VLOOKUP($B151,INDIRECT($B$5&amp;"生成成长"),3))*(VLOOKUP($B$5,标准坦克设计!$B$14:$K$20,9)/30))</f>
        <v>2.2854519150739887</v>
      </c>
      <c r="J151" s="173">
        <f ca="1">(VLOOKUP(J$72,INDIRECT($C$5&amp;"生成成长"),2))/((VLOOKUP($B151,INDIRECT($B$5&amp;"生成成长"),4))/(VLOOKUP(J$72,INDIRECT($C$5&amp;"生成成长"),5))*(VLOOKUP($B$5,标准坦克设计!$B$24:$U$30,MATCH("对"&amp;LEFT($C$5,2)&amp;"输出",标准坦克设计!$B$23:$U$23,0)))*(VLOOKUP($B151,INDIRECT($B$5&amp;"生成成长"),3))*(VLOOKUP($B$5,标准坦克设计!$B$14:$K$20,9)/30))</f>
        <v>2.5898617435125648</v>
      </c>
      <c r="K151" s="173">
        <f ca="1">(VLOOKUP(K$72,INDIRECT($C$5&amp;"生成成长"),2))/((VLOOKUP($B151,INDIRECT($B$5&amp;"生成成长"),4))/(VLOOKUP(K$72,INDIRECT($C$5&amp;"生成成长"),5))*(VLOOKUP($B$5,标准坦克设计!$B$24:$U$30,MATCH("对"&amp;LEFT($C$5,2)&amp;"输出",标准坦克设计!$B$23:$U$23,0)))*(VLOOKUP($B151,INDIRECT($B$5&amp;"生成成长"),3))*(VLOOKUP($B$5,标准坦克设计!$B$14:$K$20,9)/30))</f>
        <v>2.9132971862285499</v>
      </c>
      <c r="L151" s="173">
        <f ca="1">(VLOOKUP(L$72,INDIRECT($C$5&amp;"生成成长"),2))/((VLOOKUP($B151,INDIRECT($B$5&amp;"生成成长"),4))/(VLOOKUP(L$72,INDIRECT($C$5&amp;"生成成长"),5))*(VLOOKUP($B$5,标准坦克设计!$B$24:$U$30,MATCH("对"&amp;LEFT($C$5,2)&amp;"输出",标准坦克设计!$B$23:$U$23,0)))*(VLOOKUP($B151,INDIRECT($B$5&amp;"生成成长"),3))*(VLOOKUP($B$5,标准坦克设计!$B$14:$K$20,9)/30))</f>
        <v>3.2557582432219472</v>
      </c>
      <c r="M151" s="173">
        <f ca="1">(VLOOKUP(M$72,INDIRECT($C$5&amp;"生成成长"),2))/((VLOOKUP($B151,INDIRECT($B$5&amp;"生成成长"),4))/(VLOOKUP(M$72,INDIRECT($C$5&amp;"生成成长"),5))*(VLOOKUP($B$5,标准坦克设计!$B$24:$U$30,MATCH("对"&amp;LEFT($C$5,2)&amp;"输出",标准坦克设计!$B$23:$U$23,0)))*(VLOOKUP($B151,INDIRECT($B$5&amp;"生成成长"),3))*(VLOOKUP($B$5,标准坦克设计!$B$14:$K$20,9)/30))</f>
        <v>3.6172449144927548</v>
      </c>
      <c r="N151" s="173">
        <f ca="1">(VLOOKUP(N$72,INDIRECT($C$5&amp;"生成成长"),2))/((VLOOKUP($B151,INDIRECT($B$5&amp;"生成成长"),4))/(VLOOKUP(N$72,INDIRECT($C$5&amp;"生成成长"),5))*(VLOOKUP($B$5,标准坦克设计!$B$24:$U$30,MATCH("对"&amp;LEFT($C$5,2)&amp;"输出",标准坦克设计!$B$23:$U$23,0)))*(VLOOKUP($B151,INDIRECT($B$5&amp;"生成成长"),3))*(VLOOKUP($B$5,标准坦克设计!$B$14:$K$20,9)/30))</f>
        <v>3.9977572000409736</v>
      </c>
      <c r="O151" s="173">
        <f ca="1">(VLOOKUP(O$72,INDIRECT($C$5&amp;"生成成长"),2))/((VLOOKUP($B151,INDIRECT($B$5&amp;"生成成长"),4))/(VLOOKUP(O$72,INDIRECT($C$5&amp;"生成成长"),5))*(VLOOKUP($B$5,标准坦克设计!$B$24:$U$30,MATCH("对"&amp;LEFT($C$5,2)&amp;"输出",标准坦克设计!$B$23:$U$23,0)))*(VLOOKUP($B151,INDIRECT($B$5&amp;"生成成长"),3))*(VLOOKUP($B$5,标准坦克设计!$B$14:$K$20,9)/30))</f>
        <v>3.0394905184279399</v>
      </c>
      <c r="P151" s="173">
        <f ca="1">(VLOOKUP(P$72,INDIRECT($C$5&amp;"生成成长"),2))/((VLOOKUP($B151,INDIRECT($B$5&amp;"生成成长"),4))/(VLOOKUP(P$72,INDIRECT($C$5&amp;"生成成长"),5))*(VLOOKUP($B$5,标准坦克设计!$B$24:$U$30,MATCH("对"&amp;LEFT($C$5,2)&amp;"输出",标准坦克设计!$B$23:$U$23,0)))*(VLOOKUP($B151,INDIRECT($B$5&amp;"生成成长"),3))*(VLOOKUP($B$5,标准坦克设计!$B$14:$K$20,9)/30))</f>
        <v>3.4341233770726749</v>
      </c>
      <c r="Q151" s="173">
        <f ca="1">(VLOOKUP(Q$72,INDIRECT($C$5&amp;"生成成长"),2))/((VLOOKUP($B151,INDIRECT($B$5&amp;"生成成长"),4))/(VLOOKUP(Q$72,INDIRECT($C$5&amp;"生成成长"),5))*(VLOOKUP($B$5,标准坦克设计!$B$24:$U$30,MATCH("对"&amp;LEFT($C$5,2)&amp;"输出",标准坦克设计!$B$23:$U$23,0)))*(VLOOKUP($B151,INDIRECT($B$5&amp;"生成成长"),3))*(VLOOKUP($B$5,标准坦克设计!$B$14:$K$20,9)/30))</f>
        <v>3.8528355287872578</v>
      </c>
      <c r="R151" s="173">
        <f ca="1">(VLOOKUP(R$72,INDIRECT($C$5&amp;"生成成长"),2))/((VLOOKUP($B151,INDIRECT($B$5&amp;"生成成长"),4))/(VLOOKUP(R$72,INDIRECT($C$5&amp;"生成成长"),5))*(VLOOKUP($B$5,标准坦克设计!$B$24:$U$30,MATCH("对"&amp;LEFT($C$5,2)&amp;"输出",标准坦克设计!$B$23:$U$23,0)))*(VLOOKUP($B151,INDIRECT($B$5&amp;"生成成长"),3))*(VLOOKUP($B$5,标准坦克设计!$B$14:$K$20,9)/30))</f>
        <v>4.2956269735716885</v>
      </c>
      <c r="S151" s="173">
        <f ca="1">(VLOOKUP(S$72,INDIRECT($C$5&amp;"生成成长"),2))/((VLOOKUP($B151,INDIRECT($B$5&amp;"生成成长"),4))/(VLOOKUP(S$72,INDIRECT($C$5&amp;"生成成长"),5))*(VLOOKUP($B$5,标准坦克设计!$B$24:$U$30,MATCH("对"&amp;LEFT($C$5,2)&amp;"输出",标准坦克设计!$B$23:$U$23,0)))*(VLOOKUP($B151,INDIRECT($B$5&amp;"生成成长"),3))*(VLOOKUP($B$5,标准坦克设计!$B$14:$K$20,9)/30))</f>
        <v>4.7624977114259677</v>
      </c>
      <c r="T151" s="173">
        <f ca="1">(VLOOKUP(T$72,INDIRECT($C$5&amp;"生成成长"),2))/((VLOOKUP($B151,INDIRECT($B$5&amp;"生成成长"),4))/(VLOOKUP(T$72,INDIRECT($C$5&amp;"生成成长"),5))*(VLOOKUP($B$5,标准坦克设计!$B$24:$U$30,MATCH("对"&amp;LEFT($C$5,2)&amp;"输出",标准坦克设计!$B$23:$U$23,0)))*(VLOOKUP($B151,INDIRECT($B$5&amp;"生成成长"),3))*(VLOOKUP($B$5,标准坦克设计!$B$14:$K$20,9)/30))</f>
        <v>5.2534477423500956</v>
      </c>
      <c r="U151" s="173">
        <f ca="1">(VLOOKUP(U$72,INDIRECT($C$5&amp;"生成成长"),2))/((VLOOKUP($B151,INDIRECT($B$5&amp;"生成成长"),4))/(VLOOKUP(U$72,INDIRECT($C$5&amp;"生成成长"),5))*(VLOOKUP($B$5,标准坦克设计!$B$24:$U$30,MATCH("对"&amp;LEFT($C$5,2)&amp;"输出",标准坦克设计!$B$23:$U$23,0)))*(VLOOKUP($B151,INDIRECT($B$5&amp;"生成成长"),3))*(VLOOKUP($B$5,标准坦克设计!$B$14:$K$20,9)/30))</f>
        <v>5.7684770663440714</v>
      </c>
      <c r="V151" s="173">
        <f ca="1">(VLOOKUP(V$72,INDIRECT($C$5&amp;"生成成长"),2))/((VLOOKUP($B151,INDIRECT($B$5&amp;"生成成长"),4))/(VLOOKUP(V$72,INDIRECT($C$5&amp;"生成成长"),5))*(VLOOKUP($B$5,标准坦克设计!$B$24:$U$30,MATCH("对"&amp;LEFT($C$5,2)&amp;"输出",标准坦克设计!$B$23:$U$23,0)))*(VLOOKUP($B151,INDIRECT($B$5&amp;"生成成长"),3))*(VLOOKUP($B$5,标准坦克设计!$B$14:$K$20,9)/30))</f>
        <v>6.3075856834078969</v>
      </c>
      <c r="W151" s="173">
        <f ca="1">(VLOOKUP(W$72,INDIRECT($C$5&amp;"生成成长"),2))/((VLOOKUP($B151,INDIRECT($B$5&amp;"生成成长"),4))/(VLOOKUP(W$72,INDIRECT($C$5&amp;"生成成长"),5))*(VLOOKUP($B$5,标准坦克设计!$B$24:$U$30,MATCH("对"&amp;LEFT($C$5,2)&amp;"输出",标准坦克设计!$B$23:$U$23,0)))*(VLOOKUP($B151,INDIRECT($B$5&amp;"生成成长"),3))*(VLOOKUP($B$5,标准坦克设计!$B$14:$K$20,9)/30))</f>
        <v>6.8707735935415677</v>
      </c>
      <c r="X151" s="173">
        <f ca="1">(VLOOKUP(X$72,INDIRECT($C$5&amp;"生成成长"),2))/((VLOOKUP($B151,INDIRECT($B$5&amp;"生成成长"),4))/(VLOOKUP(X$72,INDIRECT($C$5&amp;"生成成长"),5))*(VLOOKUP($B$5,标准坦克设计!$B$24:$U$30,MATCH("对"&amp;LEFT($C$5,2)&amp;"输出",标准坦克设计!$B$23:$U$23,0)))*(VLOOKUP($B151,INDIRECT($B$5&amp;"生成成长"),3))*(VLOOKUP($B$5,标准坦克设计!$B$14:$K$20,9)/30))</f>
        <v>4.9777249729391801</v>
      </c>
      <c r="Y151" s="173">
        <f ca="1">(VLOOKUP(Y$72,INDIRECT($C$5&amp;"生成成长"),2))/((VLOOKUP($B151,INDIRECT($B$5&amp;"生成成长"),4))/(VLOOKUP(Y$72,INDIRECT($C$5&amp;"生成成长"),5))*(VLOOKUP($B$5,标准坦克设计!$B$24:$U$30,MATCH("对"&amp;LEFT($C$5,2)&amp;"输出",标准坦克设计!$B$23:$U$23,0)))*(VLOOKUP($B151,INDIRECT($B$5&amp;"生成成长"),3))*(VLOOKUP($B$5,标准坦克设计!$B$14:$K$20,9)/30))</f>
        <v>5.5366023923381249</v>
      </c>
      <c r="Z151" s="173">
        <f ca="1">(VLOOKUP(Z$72,INDIRECT($C$5&amp;"生成成长"),2))/((VLOOKUP($B151,INDIRECT($B$5&amp;"生成成长"),4))/(VLOOKUP(Z$72,INDIRECT($C$5&amp;"生成成长"),5))*(VLOOKUP($B$5,标准坦克设计!$B$24:$U$30,MATCH("对"&amp;LEFT($C$5,2)&amp;"输出",标准坦克设计!$B$23:$U$23,0)))*(VLOOKUP($B151,INDIRECT($B$5&amp;"生成成长"),3))*(VLOOKUP($B$5,标准坦克设计!$B$14:$K$20,9)/30))</f>
        <v>6.125207334045526</v>
      </c>
      <c r="AA151" s="173">
        <f ca="1">(VLOOKUP(AA$72,INDIRECT($C$5&amp;"生成成长"),2))/((VLOOKUP($B151,INDIRECT($B$5&amp;"生成成长"),4))/(VLOOKUP(AA$72,INDIRECT($C$5&amp;"生成成长"),5))*(VLOOKUP($B$5,标准坦克设计!$B$24:$U$30,MATCH("对"&amp;LEFT($C$5,2)&amp;"输出",标准坦克设计!$B$23:$U$23,0)))*(VLOOKUP($B151,INDIRECT($B$5&amp;"生成成长"),3))*(VLOOKUP($B$5,标准坦克设计!$B$14:$K$20,9)/30))</f>
        <v>6.7435397980613816</v>
      </c>
      <c r="AB151" s="173">
        <f ca="1">(VLOOKUP(AB$72,INDIRECT($C$5&amp;"生成成长"),2))/((VLOOKUP($B151,INDIRECT($B$5&amp;"生成成长"),4))/(VLOOKUP(AB$72,INDIRECT($C$5&amp;"生成成长"),5))*(VLOOKUP($B$5,标准坦克设计!$B$24:$U$30,MATCH("对"&amp;LEFT($C$5,2)&amp;"输出",标准坦克设计!$B$23:$U$23,0)))*(VLOOKUP($B151,INDIRECT($B$5&amp;"生成成长"),3))*(VLOOKUP($B$5,标准坦克设计!$B$14:$K$20,9)/30))</f>
        <v>7.3915997843856909</v>
      </c>
      <c r="AC151" s="173">
        <f ca="1">(VLOOKUP(AC$72,INDIRECT($C$5&amp;"生成成长"),2))/((VLOOKUP($B151,INDIRECT($B$5&amp;"生成成长"),4))/(VLOOKUP(AC$72,INDIRECT($C$5&amp;"生成成长"),5))*(VLOOKUP($B$5,标准坦克设计!$B$24:$U$30,MATCH("对"&amp;LEFT($C$5,2)&amp;"输出",标准坦克设计!$B$23:$U$23,0)))*(VLOOKUP($B151,INDIRECT($B$5&amp;"生成成长"),3))*(VLOOKUP($B$5,标准坦克设计!$B$14:$K$20,9)/30))</f>
        <v>8.0693872930184565</v>
      </c>
      <c r="AD151" s="173">
        <f ca="1">(VLOOKUP(AD$72,INDIRECT($C$5&amp;"生成成长"),2))/((VLOOKUP($B151,INDIRECT($B$5&amp;"生成成长"),4))/(VLOOKUP(AD$72,INDIRECT($C$5&amp;"生成成长"),5))*(VLOOKUP($B$5,标准坦克设计!$B$24:$U$30,MATCH("对"&amp;LEFT($C$5,2)&amp;"输出",标准坦克设计!$B$23:$U$23,0)))*(VLOOKUP($B151,INDIRECT($B$5&amp;"生成成长"),3))*(VLOOKUP($B$5,标准坦克设计!$B$14:$K$20,9)/30))</f>
        <v>8.7769023239596784</v>
      </c>
      <c r="AE151" s="173">
        <f ca="1">(VLOOKUP(AE$72,INDIRECT($C$5&amp;"生成成长"),2))/((VLOOKUP($B151,INDIRECT($B$5&amp;"生成成长"),4))/(VLOOKUP(AE$72,INDIRECT($C$5&amp;"生成成长"),5))*(VLOOKUP($B$5,标准坦克设计!$B$24:$U$30,MATCH("对"&amp;LEFT($C$5,2)&amp;"输出",标准坦克设计!$B$23:$U$23,0)))*(VLOOKUP($B151,INDIRECT($B$5&amp;"生成成长"),3))*(VLOOKUP($B$5,标准坦克设计!$B$14:$K$20,9)/30))</f>
        <v>9.5141448772093504</v>
      </c>
      <c r="AF151" s="173">
        <f ca="1">(VLOOKUP(AF$72,INDIRECT($C$5&amp;"生成成长"),2))/((VLOOKUP($B151,INDIRECT($B$5&amp;"生成成长"),4))/(VLOOKUP(AF$72,INDIRECT($C$5&amp;"生成成长"),5))*(VLOOKUP($B$5,标准坦克设计!$B$24:$U$30,MATCH("对"&amp;LEFT($C$5,2)&amp;"输出",标准坦克设计!$B$23:$U$23,0)))*(VLOOKUP($B151,INDIRECT($B$5&amp;"生成成长"),3))*(VLOOKUP($B$5,标准坦克设计!$B$14:$K$20,9)/30))</f>
        <v>10.281114952767478</v>
      </c>
      <c r="AG151" s="173">
        <f ca="1">(VLOOKUP(AG$72,INDIRECT($C$5&amp;"生成成长"),2))/((VLOOKUP($B151,INDIRECT($B$5&amp;"生成成长"),4))/(VLOOKUP(AG$72,INDIRECT($C$5&amp;"生成成长"),5))*(VLOOKUP($B$5,标准坦克设计!$B$24:$U$30,MATCH("对"&amp;LEFT($C$5,2)&amp;"输出",标准坦克设计!$B$23:$U$23,0)))*(VLOOKUP($B151,INDIRECT($B$5&amp;"生成成长"),3))*(VLOOKUP($B$5,标准坦克设计!$B$14:$K$20,9)/30))</f>
        <v>11.077812550634061</v>
      </c>
      <c r="AH151" s="173">
        <f ca="1">(VLOOKUP(AH$72,INDIRECT($C$5&amp;"生成成长"),2))/((VLOOKUP($B151,INDIRECT($B$5&amp;"生成成长"),4))/(VLOOKUP(AH$72,INDIRECT($C$5&amp;"生成成长"),5))*(VLOOKUP($B$5,标准坦克设计!$B$24:$U$30,MATCH("对"&amp;LEFT($C$5,2)&amp;"输出",标准坦克设计!$B$23:$U$23,0)))*(VLOOKUP($B151,INDIRECT($B$5&amp;"生成成长"),3))*(VLOOKUP($B$5,标准坦克设计!$B$14:$K$20,9)/30))</f>
        <v>11.904237670809101</v>
      </c>
      <c r="AI151" s="173">
        <f ca="1">(VLOOKUP(AI$72,INDIRECT($C$5&amp;"生成成长"),2))/((VLOOKUP($B151,INDIRECT($B$5&amp;"生成成长"),4))/(VLOOKUP(AI$72,INDIRECT($C$5&amp;"生成成长"),5))*(VLOOKUP($B$5,标准坦克设计!$B$24:$U$30,MATCH("对"&amp;LEFT($C$5,2)&amp;"输出",标准坦克设计!$B$23:$U$23,0)))*(VLOOKUP($B151,INDIRECT($B$5&amp;"生成成长"),3))*(VLOOKUP($B$5,标准坦克设计!$B$14:$K$20,9)/30))</f>
        <v>8.4194288682005087</v>
      </c>
      <c r="AJ151" s="173">
        <f ca="1">(VLOOKUP(AJ$72,INDIRECT($C$5&amp;"生成成长"),2))/((VLOOKUP($B151,INDIRECT($B$5&amp;"生成成长"),4))/(VLOOKUP(AJ$72,INDIRECT($C$5&amp;"生成成长"),5))*(VLOOKUP($B$5,标准坦克设计!$B$24:$U$30,MATCH("对"&amp;LEFT($C$5,2)&amp;"输出",标准坦克设计!$B$23:$U$23,0)))*(VLOOKUP($B151,INDIRECT($B$5&amp;"生成成长"),3))*(VLOOKUP($B$5,标准坦克设计!$B$14:$K$20,9)/30))</f>
        <v>9.215680553232465</v>
      </c>
      <c r="AK151" s="173">
        <f ca="1">(VLOOKUP(AK$72,INDIRECT($C$5&amp;"生成成长"),2))/((VLOOKUP($B151,INDIRECT($B$5&amp;"生成成长"),4))/(VLOOKUP(AK$72,INDIRECT($C$5&amp;"生成成长"),5))*(VLOOKUP($B$5,标准坦克设计!$B$24:$U$30,MATCH("对"&amp;LEFT($C$5,2)&amp;"输出",标准坦克设计!$B$23:$U$23,0)))*(VLOOKUP($B151,INDIRECT($B$5&amp;"生成成长"),3))*(VLOOKUP($B$5,标准坦克设计!$B$14:$K$20,9)/30))</f>
        <v>10.047902540257654</v>
      </c>
      <c r="AL151" s="173">
        <f ca="1">(VLOOKUP(AL$72,INDIRECT($C$5&amp;"生成成长"),2))/((VLOOKUP($B151,INDIRECT($B$5&amp;"生成成长"),4))/(VLOOKUP(AL$72,INDIRECT($C$5&amp;"生成成长"),5))*(VLOOKUP($B$5,标准坦克设计!$B$24:$U$30,MATCH("对"&amp;LEFT($C$5,2)&amp;"输出",标准坦克设计!$B$23:$U$23,0)))*(VLOOKUP($B151,INDIRECT($B$5&amp;"生成成长"),3))*(VLOOKUP($B$5,标准坦克设计!$B$14:$K$20,9)/30))</f>
        <v>10.916094829276071</v>
      </c>
      <c r="AM151" s="173">
        <f ca="1">(VLOOKUP(AM$72,INDIRECT($C$5&amp;"生成成长"),2))/((VLOOKUP($B151,INDIRECT($B$5&amp;"生成成长"),4))/(VLOOKUP(AM$72,INDIRECT($C$5&amp;"生成成长"),5))*(VLOOKUP($B$5,标准坦克设计!$B$24:$U$30,MATCH("对"&amp;LEFT($C$5,2)&amp;"输出",标准坦克设计!$B$23:$U$23,0)))*(VLOOKUP($B151,INDIRECT($B$5&amp;"生成成长"),3))*(VLOOKUP($B$5,标准坦克设计!$B$14:$K$20,9)/30))</f>
        <v>11.820257420287714</v>
      </c>
      <c r="AN151" s="173">
        <f ca="1">(VLOOKUP(AN$72,INDIRECT($C$5&amp;"生成成长"),2))/((VLOOKUP($B151,INDIRECT($B$5&amp;"生成成长"),4))/(VLOOKUP(AN$72,INDIRECT($C$5&amp;"生成成长"),5))*(VLOOKUP($B$5,标准坦克设计!$B$24:$U$30,MATCH("对"&amp;LEFT($C$5,2)&amp;"输出",标准坦克设计!$B$23:$U$23,0)))*(VLOOKUP($B151,INDIRECT($B$5&amp;"生成成长"),3))*(VLOOKUP($B$5,标准坦克设计!$B$14:$K$20,9)/30))</f>
        <v>12.760390313292591</v>
      </c>
      <c r="AO151" s="173">
        <f ca="1">(VLOOKUP(AO$72,INDIRECT($C$5&amp;"生成成长"),2))/((VLOOKUP($B151,INDIRECT($B$5&amp;"生成成长"),4))/(VLOOKUP(AO$72,INDIRECT($C$5&amp;"生成成长"),5))*(VLOOKUP($B$5,标准坦克设计!$B$24:$U$30,MATCH("对"&amp;LEFT($C$5,2)&amp;"输出",标准坦克设计!$B$23:$U$23,0)))*(VLOOKUP($B151,INDIRECT($B$5&amp;"生成成长"),3))*(VLOOKUP($B$5,标准坦克设计!$B$14:$K$20,9)/30))</f>
        <v>13.7364935082907</v>
      </c>
      <c r="AP151" s="173">
        <f ca="1">(VLOOKUP(AP$72,INDIRECT($C$5&amp;"生成成长"),2))/((VLOOKUP($B151,INDIRECT($B$5&amp;"生成成长"),4))/(VLOOKUP(AP$72,INDIRECT($C$5&amp;"生成成长"),5))*(VLOOKUP($B$5,标准坦克设计!$B$24:$U$30,MATCH("对"&amp;LEFT($C$5,2)&amp;"输出",标准坦克设计!$B$23:$U$23,0)))*(VLOOKUP($B151,INDIRECT($B$5&amp;"生成成长"),3))*(VLOOKUP($B$5,标准坦克设计!$B$14:$K$20,9)/30))</f>
        <v>14.748567005282032</v>
      </c>
      <c r="AQ151" s="173">
        <f ca="1">(VLOOKUP(AQ$72,INDIRECT($C$5&amp;"生成成长"),2))/((VLOOKUP($B151,INDIRECT($B$5&amp;"生成成长"),4))/(VLOOKUP(AQ$72,INDIRECT($C$5&amp;"生成成长"),5))*(VLOOKUP($B$5,标准坦克设计!$B$24:$U$30,MATCH("对"&amp;LEFT($C$5,2)&amp;"输出",标准坦克设计!$B$23:$U$23,0)))*(VLOOKUP($B151,INDIRECT($B$5&amp;"生成成长"),3))*(VLOOKUP($B$5,标准坦克设计!$B$14:$K$20,9)/30))</f>
        <v>15.796610804266603</v>
      </c>
      <c r="AR151" s="173">
        <f ca="1">(VLOOKUP(AR$72,INDIRECT($C$5&amp;"生成成长"),2))/((VLOOKUP($B151,INDIRECT($B$5&amp;"生成成长"),4))/(VLOOKUP(AR$72,INDIRECT($C$5&amp;"生成成长"),5))*(VLOOKUP($B$5,标准坦克设计!$B$24:$U$30,MATCH("对"&amp;LEFT($C$5,2)&amp;"输出",标准坦克设计!$B$23:$U$23,0)))*(VLOOKUP($B151,INDIRECT($B$5&amp;"生成成长"),3))*(VLOOKUP($B$5,标准坦克设计!$B$14:$K$20,9)/30))</f>
        <v>16.8806249052444</v>
      </c>
      <c r="AS151" s="173">
        <f ca="1">(VLOOKUP(AS$72,INDIRECT($C$5&amp;"生成成长"),2))/((VLOOKUP($B151,INDIRECT($B$5&amp;"生成成长"),4))/(VLOOKUP(AS$72,INDIRECT($C$5&amp;"生成成长"),5))*(VLOOKUP($B$5,标准坦克设计!$B$24:$U$30,MATCH("对"&amp;LEFT($C$5,2)&amp;"输出",标准坦克设计!$B$23:$U$23,0)))*(VLOOKUP($B151,INDIRECT($B$5&amp;"生成成长"),3))*(VLOOKUP($B$5,标准坦克设计!$B$14:$K$20,9)/30))</f>
        <v>18.000609308215427</v>
      </c>
      <c r="AT151" s="173">
        <f ca="1">(VLOOKUP(AT$72,INDIRECT($C$5&amp;"生成成长"),2))/((VLOOKUP($B151,INDIRECT($B$5&amp;"生成成长"),4))/(VLOOKUP(AT$72,INDIRECT($C$5&amp;"生成成长"),5))*(VLOOKUP($B$5,标准坦克设计!$B$24:$U$30,MATCH("对"&amp;LEFT($C$5,2)&amp;"输出",标准坦克设计!$B$23:$U$23,0)))*(VLOOKUP($B151,INDIRECT($B$5&amp;"生成成长"),3))*(VLOOKUP($B$5,标准坦克设计!$B$14:$K$20,9)/30))</f>
        <v>19.156564013179683</v>
      </c>
      <c r="AU151" s="173">
        <f ca="1">(VLOOKUP(AU$72,INDIRECT($C$5&amp;"生成成长"),2))/((VLOOKUP($B151,INDIRECT($B$5&amp;"生成成长"),4))/(VLOOKUP(AU$72,INDIRECT($C$5&amp;"生成成长"),5))*(VLOOKUP($B$5,标准坦克设计!$B$24:$U$30,MATCH("对"&amp;LEFT($C$5,2)&amp;"输出",标准坦克设计!$B$23:$U$23,0)))*(VLOOKUP($B151,INDIRECT($B$5&amp;"生成成长"),3))*(VLOOKUP($B$5,标准坦克设计!$B$14:$K$20,9)/30))</f>
        <v>20.348489020137169</v>
      </c>
      <c r="AV151" s="173">
        <f ca="1">(VLOOKUP(AV$72,INDIRECT($C$5&amp;"生成成长"),2))/((VLOOKUP($B151,INDIRECT($B$5&amp;"生成成长"),4))/(VLOOKUP(AV$72,INDIRECT($C$5&amp;"生成成长"),5))*(VLOOKUP($B$5,标准坦克设计!$B$24:$U$30,MATCH("对"&amp;LEFT($C$5,2)&amp;"输出",标准坦克设计!$B$23:$U$23,0)))*(VLOOKUP($B151,INDIRECT($B$5&amp;"生成成长"),3))*(VLOOKUP($B$5,标准坦克设计!$B$14:$K$20,9)/30))</f>
        <v>2.069630103114608</v>
      </c>
      <c r="AW151" s="173">
        <f ca="1">(VLOOKUP(AW$72,INDIRECT($C$5&amp;"生成成长"),2))/((VLOOKUP($B151,INDIRECT($B$5&amp;"生成成长"),4))/(VLOOKUP(AW$72,INDIRECT($C$5&amp;"生成成长"),5))*(VLOOKUP($B$5,标准坦克设计!$B$24:$U$30,MATCH("对"&amp;LEFT($C$5,2)&amp;"输出",标准坦克设计!$B$23:$U$23,0)))*(VLOOKUP($B151,INDIRECT($B$5&amp;"生成成长"),3))*(VLOOKUP($B$5,标准坦克设计!$B$14:$K$20,9)/30))</f>
        <v>2.359770720845126</v>
      </c>
      <c r="AX151" s="173">
        <f ca="1">(VLOOKUP(AX$72,INDIRECT($C$5&amp;"生成成长"),2))/((VLOOKUP($B151,INDIRECT($B$5&amp;"生成成长"),4))/(VLOOKUP(AX$72,INDIRECT($C$5&amp;"生成成长"),5))*(VLOOKUP($B$5,标准坦克设计!$B$24:$U$30,MATCH("对"&amp;LEFT($C$5,2)&amp;"输出",标准坦克设计!$B$23:$U$23,0)))*(VLOOKUP($B151,INDIRECT($B$5&amp;"生成成长"),3))*(VLOOKUP($B$5,标准坦克设计!$B$14:$K$20,9)/30))</f>
        <v>2.6689369528530533</v>
      </c>
      <c r="AY151" s="173">
        <f ca="1">(VLOOKUP(AY$72,INDIRECT($C$5&amp;"生成成长"),2))/((VLOOKUP($B151,INDIRECT($B$5&amp;"生成成长"),4))/(VLOOKUP(AY$72,INDIRECT($C$5&amp;"生成成长"),5))*(VLOOKUP($B$5,标准坦克设计!$B$24:$U$30,MATCH("对"&amp;LEFT($C$5,2)&amp;"输出",标准坦克设计!$B$23:$U$23,0)))*(VLOOKUP($B151,INDIRECT($B$5&amp;"生成成长"),3))*(VLOOKUP($B$5,标准坦克设计!$B$14:$K$20,9)/30))</f>
        <v>2.9971287991383919</v>
      </c>
      <c r="AZ151" s="173">
        <f ca="1">(VLOOKUP(AZ$72,INDIRECT($C$5&amp;"生成成长"),2))/((VLOOKUP($B151,INDIRECT($B$5&amp;"生成成长"),4))/(VLOOKUP(AZ$72,INDIRECT($C$5&amp;"生成成长"),5))*(VLOOKUP($B$5,标准坦克设计!$B$24:$U$30,MATCH("对"&amp;LEFT($C$5,2)&amp;"输出",标准坦克设计!$B$23:$U$23,0)))*(VLOOKUP($B151,INDIRECT($B$5&amp;"生成成长"),3))*(VLOOKUP($B$5,标准坦克设计!$B$14:$K$20,9)/30))</f>
        <v>3.3443462597011417</v>
      </c>
      <c r="BA151" s="173">
        <f ca="1">(VLOOKUP(BA$72,INDIRECT($C$5&amp;"生成成长"),2))/((VLOOKUP($B151,INDIRECT($B$5&amp;"生成成长"),4))/(VLOOKUP(BA$72,INDIRECT($C$5&amp;"生成成长"),5))*(VLOOKUP($B$5,标准坦克设计!$B$24:$U$30,MATCH("对"&amp;LEFT($C$5,2)&amp;"输出",标准坦克设计!$B$23:$U$23,0)))*(VLOOKUP($B151,INDIRECT($B$5&amp;"生成成长"),3))*(VLOOKUP($B$5,标准坦克设计!$B$14:$K$20,9)/30))</f>
        <v>3.7105893345413028</v>
      </c>
      <c r="BB151" s="173">
        <f ca="1">(VLOOKUP(BB$72,INDIRECT($C$5&amp;"生成成长"),2))/((VLOOKUP($B151,INDIRECT($B$5&amp;"生成成长"),4))/(VLOOKUP(BB$72,INDIRECT($C$5&amp;"生成成长"),5))*(VLOOKUP($B$5,标准坦克设计!$B$24:$U$30,MATCH("对"&amp;LEFT($C$5,2)&amp;"输出",标准坦克设计!$B$23:$U$23,0)))*(VLOOKUP($B151,INDIRECT($B$5&amp;"生成成长"),3))*(VLOOKUP($B$5,标准坦克设计!$B$14:$K$20,9)/30))</f>
        <v>4.0958580236588729</v>
      </c>
      <c r="BC151" s="173">
        <f ca="1">(VLOOKUP(BC$72,INDIRECT($C$5&amp;"生成成长"),2))/((VLOOKUP($B151,INDIRECT($B$5&amp;"生成成长"),4))/(VLOOKUP(BC$72,INDIRECT($C$5&amp;"生成成长"),5))*(VLOOKUP($B$5,标准坦克设计!$B$24:$U$30,MATCH("对"&amp;LEFT($C$5,2)&amp;"输出",标准坦克设计!$B$23:$U$23,0)))*(VLOOKUP($B151,INDIRECT($B$5&amp;"生成成长"),3))*(VLOOKUP($B$5,标准坦克设计!$B$14:$K$20,9)/30))</f>
        <v>4.5001523270538568</v>
      </c>
      <c r="BD151" s="173">
        <f ca="1">(VLOOKUP(BD$72,INDIRECT($C$5&amp;"生成成长"),2))/((VLOOKUP($B151,INDIRECT($B$5&amp;"生成成长"),4))/(VLOOKUP(BD$72,INDIRECT($C$5&amp;"生成成长"),5))*(VLOOKUP($B$5,标准坦克设计!$B$24:$U$30,MATCH("对"&amp;LEFT($C$5,2)&amp;"输出",标准坦克设计!$B$23:$U$23,0)))*(VLOOKUP($B151,INDIRECT($B$5&amp;"生成成长"),3))*(VLOOKUP($B$5,标准坦克设计!$B$14:$K$20,9)/30))</f>
        <v>4.9777249729391801</v>
      </c>
      <c r="BE151" s="173">
        <f ca="1">(VLOOKUP(BE$72,INDIRECT($C$5&amp;"生成成长"),2))/((VLOOKUP($B151,INDIRECT($B$5&amp;"生成成长"),4))/(VLOOKUP(BE$72,INDIRECT($C$5&amp;"生成成长"),5))*(VLOOKUP($B$5,标准坦克设计!$B$24:$U$30,MATCH("对"&amp;LEFT($C$5,2)&amp;"输出",标准坦克设计!$B$23:$U$23,0)))*(VLOOKUP($B151,INDIRECT($B$5&amp;"生成成长"),3))*(VLOOKUP($B$5,标准坦克设计!$B$14:$K$20,9)/30))</f>
        <v>5.4793769118943505</v>
      </c>
      <c r="BF151" s="173">
        <f ca="1">(VLOOKUP(BF$72,INDIRECT($C$5&amp;"生成成长"),2))/((VLOOKUP($B151,INDIRECT($B$5&amp;"生成成长"),4))/(VLOOKUP(BF$72,INDIRECT($C$5&amp;"生成成长"),5))*(VLOOKUP($B$5,标准坦克设计!$B$24:$U$30,MATCH("对"&amp;LEFT($C$5,2)&amp;"输出",标准坦克设计!$B$23:$U$23,0)))*(VLOOKUP($B151,INDIRECT($B$5&amp;"生成成长"),3))*(VLOOKUP($B$5,标准坦克设计!$B$14:$K$20,9)/30))</f>
        <v>6.0051081439193688</v>
      </c>
      <c r="BG151" s="173">
        <f ca="1">(VLOOKUP(BG$72,INDIRECT($C$5&amp;"生成成长"),2))/((VLOOKUP($B151,INDIRECT($B$5&amp;"生成成长"),4))/(VLOOKUP(BG$72,INDIRECT($C$5&amp;"生成成长"),5))*(VLOOKUP($B$5,标准坦克设计!$B$24:$U$30,MATCH("对"&amp;LEFT($C$5,2)&amp;"输出",标准坦克设计!$B$23:$U$23,0)))*(VLOOKUP($B151,INDIRECT($B$5&amp;"生成成长"),3))*(VLOOKUP($B$5,标准坦克设计!$B$14:$K$20,9)/30))</f>
        <v>6.5549186690142376</v>
      </c>
      <c r="BH151" s="173">
        <f ca="1">(VLOOKUP(BH$72,INDIRECT($C$5&amp;"生成成长"),2))/((VLOOKUP($B151,INDIRECT($B$5&amp;"生成成长"),4))/(VLOOKUP(BH$72,INDIRECT($C$5&amp;"生成成长"),5))*(VLOOKUP($B$5,标准坦克设计!$B$24:$U$30,MATCH("对"&amp;LEFT($C$5,2)&amp;"输出",标准坦克设计!$B$23:$U$23,0)))*(VLOOKUP($B151,INDIRECT($B$5&amp;"生成成长"),3))*(VLOOKUP($B$5,标准坦克设计!$B$14:$K$20,9)/30))</f>
        <v>3.1683593276350903</v>
      </c>
      <c r="BI151" s="173">
        <f ca="1">(VLOOKUP(BI$72,INDIRECT($C$5&amp;"生成成长"),2))/((VLOOKUP($B151,INDIRECT($B$5&amp;"生成成长"),4))/(VLOOKUP(BI$72,INDIRECT($C$5&amp;"生成成长"),5))*(VLOOKUP($B$5,标准坦克设计!$B$24:$U$30,MATCH("对"&amp;LEFT($C$5,2)&amp;"输出",标准坦克设计!$B$23:$U$23,0)))*(VLOOKUP($B151,INDIRECT($B$5&amp;"生成成长"),3))*(VLOOKUP($B$5,标准坦克设计!$B$14:$K$20,9)/30))</f>
        <v>3.5710186173031082</v>
      </c>
      <c r="BJ151" s="173">
        <f ca="1">(VLOOKUP(BJ$72,INDIRECT($C$5&amp;"生成成长"),2))/((VLOOKUP($B151,INDIRECT($B$5&amp;"生成成长"),4))/(VLOOKUP(BJ$72,INDIRECT($C$5&amp;"生成成长"),5))*(VLOOKUP($B$5,标准坦克设计!$B$24:$U$30,MATCH("对"&amp;LEFT($C$5,2)&amp;"输出",标准坦克设计!$B$23:$U$23,0)))*(VLOOKUP($B151,INDIRECT($B$5&amp;"生成成长"),3))*(VLOOKUP($B$5,标准坦克设计!$B$14:$K$20,9)/30))</f>
        <v>3.9977572000409736</v>
      </c>
      <c r="BK151" s="173">
        <f ca="1">(VLOOKUP(BK$72,INDIRECT($C$5&amp;"生成成长"),2))/((VLOOKUP($B151,INDIRECT($B$5&amp;"生成成长"),4))/(VLOOKUP(BK$72,INDIRECT($C$5&amp;"生成成长"),5))*(VLOOKUP($B$5,标准坦克设计!$B$24:$U$30,MATCH("对"&amp;LEFT($C$5,2)&amp;"输出",标准坦克设计!$B$23:$U$23,0)))*(VLOOKUP($B151,INDIRECT($B$5&amp;"生成成长"),3))*(VLOOKUP($B$5,标准坦克设计!$B$14:$K$20,9)/30))</f>
        <v>4.4485750758486882</v>
      </c>
      <c r="BL151" s="173">
        <f ca="1">(VLOOKUP(BL$72,INDIRECT($C$5&amp;"生成成长"),2))/((VLOOKUP($B151,INDIRECT($B$5&amp;"生成成长"),4))/(VLOOKUP(BL$72,INDIRECT($C$5&amp;"生成成长"),5))*(VLOOKUP($B$5,标准坦克设计!$B$24:$U$30,MATCH("对"&amp;LEFT($C$5,2)&amp;"输出",标准坦克设计!$B$23:$U$23,0)))*(VLOOKUP($B151,INDIRECT($B$5&amp;"生成成长"),3))*(VLOOKUP($B$5,标准坦克设计!$B$14:$K$20,9)/30))</f>
        <v>4.9234722447262493</v>
      </c>
      <c r="BM151" s="173">
        <f ca="1">(VLOOKUP(BM$72,INDIRECT($C$5&amp;"生成成长"),2))/((VLOOKUP($B151,INDIRECT($B$5&amp;"生成成长"),4))/(VLOOKUP(BM$72,INDIRECT($C$5&amp;"生成成长"),5))*(VLOOKUP($B$5,标准坦克设计!$B$24:$U$30,MATCH("对"&amp;LEFT($C$5,2)&amp;"输出",标准坦克设计!$B$23:$U$23,0)))*(VLOOKUP($B151,INDIRECT($B$5&amp;"生成成长"),3))*(VLOOKUP($B$5,标准坦克设计!$B$14:$K$20,9)/30))</f>
        <v>5.4224487066736593</v>
      </c>
      <c r="BN151" s="173">
        <f ca="1">(VLOOKUP(BN$72,INDIRECT($C$5&amp;"生成成长"),2))/((VLOOKUP($B151,INDIRECT($B$5&amp;"生成成长"),4))/(VLOOKUP(BN$72,INDIRECT($C$5&amp;"生成成长"),5))*(VLOOKUP($B$5,标准坦克设计!$B$24:$U$30,MATCH("对"&amp;LEFT($C$5,2)&amp;"输出",标准坦克设计!$B$23:$U$23,0)))*(VLOOKUP($B151,INDIRECT($B$5&amp;"生成成长"),3))*(VLOOKUP($B$5,标准坦克设计!$B$14:$K$20,9)/30))</f>
        <v>5.9455044616909181</v>
      </c>
      <c r="BO151" s="173">
        <f ca="1">(VLOOKUP(BO$72,INDIRECT($C$5&amp;"生成成长"),2))/((VLOOKUP($B151,INDIRECT($B$5&amp;"生成成长"),4))/(VLOOKUP(BO$72,INDIRECT($C$5&amp;"生成成长"),5))*(VLOOKUP($B$5,标准坦克设计!$B$24:$U$30,MATCH("对"&amp;LEFT($C$5,2)&amp;"输出",标准坦克设计!$B$23:$U$23,0)))*(VLOOKUP($B151,INDIRECT($B$5&amp;"生成成长"),3))*(VLOOKUP($B$5,标准坦克设计!$B$14:$K$20,9)/30))</f>
        <v>6.4926395097780247</v>
      </c>
      <c r="BP151" s="173">
        <f ca="1">(VLOOKUP(BP$72,INDIRECT($C$5&amp;"生成成长"),2))/((VLOOKUP($B151,INDIRECT($B$5&amp;"生成成长"),4))/(VLOOKUP(BP$72,INDIRECT($C$5&amp;"生成成长"),5))*(VLOOKUP($B$5,标准坦克设计!$B$24:$U$30,MATCH("对"&amp;LEFT($C$5,2)&amp;"输出",标准坦克设计!$B$23:$U$23,0)))*(VLOOKUP($B151,INDIRECT($B$5&amp;"生成成长"),3))*(VLOOKUP($B$5,标准坦克设计!$B$14:$K$20,9)/30))</f>
        <v>7.0638538509349802</v>
      </c>
      <c r="BQ151" s="173">
        <f ca="1">(VLOOKUP(BQ$72,INDIRECT($C$5&amp;"生成成长"),2))/((VLOOKUP($B151,INDIRECT($B$5&amp;"生成成长"),4))/(VLOOKUP(BQ$72,INDIRECT($C$5&amp;"生成成长"),5))*(VLOOKUP($B$5,标准坦克设计!$B$24:$U$30,MATCH("对"&amp;LEFT($C$5,2)&amp;"输出",标准坦克设计!$B$23:$U$23,0)))*(VLOOKUP($B151,INDIRECT($B$5&amp;"生成成长"),3))*(VLOOKUP($B$5,标准坦克设计!$B$14:$K$20,9)/30))</f>
        <v>7.6591474851617827</v>
      </c>
      <c r="BR151" s="173">
        <f ca="1">(VLOOKUP(BR$72,INDIRECT($C$5&amp;"生成成长"),2))/((VLOOKUP($B151,INDIRECT($B$5&amp;"生成成长"),4))/(VLOOKUP(BR$72,INDIRECT($C$5&amp;"生成成长"),5))*(VLOOKUP($B$5,标准坦克设计!$B$24:$U$30,MATCH("对"&amp;LEFT($C$5,2)&amp;"输出",标准坦克设计!$B$23:$U$23,0)))*(VLOOKUP($B151,INDIRECT($B$5&amp;"生成成长"),3))*(VLOOKUP($B$5,标准坦克设计!$B$14:$K$20,9)/30))</f>
        <v>8.3488260027179297</v>
      </c>
      <c r="BS151" s="173">
        <f ca="1">(VLOOKUP(BS$72,INDIRECT($C$5&amp;"生成成长"),2))/((VLOOKUP($B151,INDIRECT($B$5&amp;"生成成长"),4))/(VLOOKUP(BS$72,INDIRECT($C$5&amp;"生成成长"),5))*(VLOOKUP($B$5,标准坦克设计!$B$24:$U$30,MATCH("对"&amp;LEFT($C$5,2)&amp;"输出",标准坦克设计!$B$23:$U$23,0)))*(VLOOKUP($B151,INDIRECT($B$5&amp;"生成成长"),3))*(VLOOKUP($B$5,标准坦克设计!$B$14:$K$20,9)/30))</f>
        <v>9.0682320425825313</v>
      </c>
      <c r="BT151" s="173">
        <f ca="1">(VLOOKUP(BT$72,INDIRECT($C$5&amp;"生成成长"),2))/((VLOOKUP($B151,INDIRECT($B$5&amp;"生成成长"),4))/(VLOOKUP(BT$72,INDIRECT($C$5&amp;"生成成长"),5))*(VLOOKUP($B$5,标准坦克设计!$B$24:$U$30,MATCH("对"&amp;LEFT($C$5,2)&amp;"输出",标准坦克设计!$B$23:$U$23,0)))*(VLOOKUP($B151,INDIRECT($B$5&amp;"生成成长"),3))*(VLOOKUP($B$5,标准坦克设计!$B$14:$K$20,9)/30))</f>
        <v>9.8173656047555866</v>
      </c>
      <c r="BU151" s="173">
        <f ca="1">(VLOOKUP(BU$72,INDIRECT($C$5&amp;"生成成长"),2))/((VLOOKUP($B151,INDIRECT($B$5&amp;"生成成长"),4))/(VLOOKUP(BU$72,INDIRECT($C$5&amp;"生成成长"),5))*(VLOOKUP($B$5,标准坦克设计!$B$24:$U$30,MATCH("对"&amp;LEFT($C$5,2)&amp;"输出",标准坦克设计!$B$23:$U$23,0)))*(VLOOKUP($B151,INDIRECT($B$5&amp;"生成成长"),3))*(VLOOKUP($B$5,标准坦克设计!$B$14:$K$20,9)/30))</f>
        <v>10.596226689237096</v>
      </c>
      <c r="BV151" s="173">
        <f ca="1">(VLOOKUP(BV$72,INDIRECT($C$5&amp;"生成成长"),2))/((VLOOKUP($B151,INDIRECT($B$5&amp;"生成成长"),4))/(VLOOKUP(BV$72,INDIRECT($C$5&amp;"生成成长"),5))*(VLOOKUP($B$5,标准坦克设计!$B$24:$U$30,MATCH("对"&amp;LEFT($C$5,2)&amp;"输出",标准坦克设计!$B$23:$U$23,0)))*(VLOOKUP($B151,INDIRECT($B$5&amp;"生成成长"),3))*(VLOOKUP($B$5,标准坦克设计!$B$14:$K$20,9)/30))</f>
        <v>11.404815296027062</v>
      </c>
      <c r="BW151" s="173">
        <f ca="1">(VLOOKUP(BW$72,INDIRECT($C$5&amp;"生成成长"),2))/((VLOOKUP($B151,INDIRECT($B$5&amp;"生成成长"),4))/(VLOOKUP(BW$72,INDIRECT($C$5&amp;"生成成长"),5))*(VLOOKUP($B$5,标准坦克设计!$B$24:$U$30,MATCH("对"&amp;LEFT($C$5,2)&amp;"输出",标准坦克设计!$B$23:$U$23,0)))*(VLOOKUP($B151,INDIRECT($B$5&amp;"生成成长"),3))*(VLOOKUP($B$5,标准坦克设计!$B$14:$K$20,9)/30))</f>
        <v>5.1977086380217434</v>
      </c>
      <c r="BX151" s="173">
        <f ca="1">(VLOOKUP(BX$72,INDIRECT($C$5&amp;"生成成长"),2))/((VLOOKUP($B151,INDIRECT($B$5&amp;"生成成长"),4))/(VLOOKUP(BX$72,INDIRECT($C$5&amp;"生成成长"),5))*(VLOOKUP($B$5,标准坦克设计!$B$24:$U$30,MATCH("对"&amp;LEFT($C$5,2)&amp;"输出",标准坦克设计!$B$23:$U$23,0)))*(VLOOKUP($B151,INDIRECT($B$5&amp;"生成成长"),3))*(VLOOKUP($B$5,标准坦克设计!$B$14:$K$20,9)/30))</f>
        <v>5.7684770663440714</v>
      </c>
      <c r="BY151" s="173">
        <f ca="1">(VLOOKUP(BY$72,INDIRECT($C$5&amp;"生成成长"),2))/((VLOOKUP($B151,INDIRECT($B$5&amp;"生成成长"),4))/(VLOOKUP(BY$72,INDIRECT($C$5&amp;"生成成长"),5))*(VLOOKUP($B$5,标准坦克设计!$B$24:$U$30,MATCH("对"&amp;LEFT($C$5,2)&amp;"输出",标准坦克设计!$B$23:$U$23,0)))*(VLOOKUP($B151,INDIRECT($B$5&amp;"生成成长"),3))*(VLOOKUP($B$5,标准坦克设计!$B$14:$K$20,9)/30))</f>
        <v>6.3689730169748549</v>
      </c>
      <c r="BZ151" s="173">
        <f ca="1">(VLOOKUP(BZ$72,INDIRECT($C$5&amp;"生成成长"),2))/((VLOOKUP($B151,INDIRECT($B$5&amp;"生成成长"),4))/(VLOOKUP(BZ$72,INDIRECT($C$5&amp;"生成成长"),5))*(VLOOKUP($B$5,标准坦克设计!$B$24:$U$30,MATCH("对"&amp;LEFT($C$5,2)&amp;"输出",标准坦克设计!$B$23:$U$23,0)))*(VLOOKUP($B151,INDIRECT($B$5&amp;"生成成长"),3))*(VLOOKUP($B$5,标准坦克设计!$B$14:$K$20,9)/30))</f>
        <v>6.9991964899140902</v>
      </c>
      <c r="CA151" s="173">
        <f ca="1">(VLOOKUP(CA$72,INDIRECT($C$5&amp;"生成成长"),2))/((VLOOKUP($B151,INDIRECT($B$5&amp;"生成成长"),4))/(VLOOKUP(CA$72,INDIRECT($C$5&amp;"生成成长"),5))*(VLOOKUP($B$5,标准坦克设计!$B$24:$U$30,MATCH("对"&amp;LEFT($C$5,2)&amp;"输出",标准坦克设计!$B$23:$U$23,0)))*(VLOOKUP($B151,INDIRECT($B$5&amp;"生成成长"),3))*(VLOOKUP($B$5,标准坦克设计!$B$14:$K$20,9)/30))</f>
        <v>7.6591474851617827</v>
      </c>
      <c r="CB151" s="173">
        <f ca="1">(VLOOKUP(CB$72,INDIRECT($C$5&amp;"生成成长"),2))/((VLOOKUP($B151,INDIRECT($B$5&amp;"生成成长"),4))/(VLOOKUP(CB$72,INDIRECT($C$5&amp;"生成成长"),5))*(VLOOKUP($B$5,标准坦克设计!$B$24:$U$30,MATCH("对"&amp;LEFT($C$5,2)&amp;"输出",标准坦克设计!$B$23:$U$23,0)))*(VLOOKUP($B151,INDIRECT($B$5&amp;"生成成长"),3))*(VLOOKUP($B$5,标准坦克设计!$B$14:$K$20,9)/30))</f>
        <v>8.3488260027179297</v>
      </c>
      <c r="CC151" s="173">
        <f ca="1">(VLOOKUP(CC$72,INDIRECT($C$5&amp;"生成成长"),2))/((VLOOKUP($B151,INDIRECT($B$5&amp;"生成成长"),4))/(VLOOKUP(CC$72,INDIRECT($C$5&amp;"生成成长"),5))*(VLOOKUP($B$5,标准坦克设计!$B$24:$U$30,MATCH("对"&amp;LEFT($C$5,2)&amp;"输出",标准坦克设计!$B$23:$U$23,0)))*(VLOOKUP($B151,INDIRECT($B$5&amp;"生成成长"),3))*(VLOOKUP($B$5,标准坦克设计!$B$14:$K$20,9)/30))</f>
        <v>9.0682320425825313</v>
      </c>
      <c r="CD151" s="173">
        <f ca="1">(VLOOKUP(CD$72,INDIRECT($C$5&amp;"生成成长"),2))/((VLOOKUP($B151,INDIRECT($B$5&amp;"生成成长"),4))/(VLOOKUP(CD$72,INDIRECT($C$5&amp;"生成成长"),5))*(VLOOKUP($B$5,标准坦克设计!$B$24:$U$30,MATCH("对"&amp;LEFT($C$5,2)&amp;"输出",标准坦克设计!$B$23:$U$23,0)))*(VLOOKUP($B151,INDIRECT($B$5&amp;"生成成长"),3))*(VLOOKUP($B$5,标准坦克设计!$B$14:$K$20,9)/30))</f>
        <v>9.8173656047555866</v>
      </c>
      <c r="CE151" s="173">
        <f ca="1">(VLOOKUP(CE$72,INDIRECT($C$5&amp;"生成成长"),2))/((VLOOKUP($B151,INDIRECT($B$5&amp;"生成成长"),4))/(VLOOKUP(CE$72,INDIRECT($C$5&amp;"生成成长"),5))*(VLOOKUP($B$5,标准坦克设计!$B$24:$U$30,MATCH("对"&amp;LEFT($C$5,2)&amp;"输出",标准坦克设计!$B$23:$U$23,0)))*(VLOOKUP($B151,INDIRECT($B$5&amp;"生成成长"),3))*(VLOOKUP($B$5,标准坦克设计!$B$14:$K$20,9)/30))</f>
        <v>10.596226689237096</v>
      </c>
      <c r="CF151" s="173">
        <f ca="1">(VLOOKUP(CF$72,INDIRECT($C$5&amp;"生成成长"),2))/((VLOOKUP($B151,INDIRECT($B$5&amp;"生成成长"),4))/(VLOOKUP(CF$72,INDIRECT($C$5&amp;"生成成长"),5))*(VLOOKUP($B$5,标准坦克设计!$B$24:$U$30,MATCH("对"&amp;LEFT($C$5,2)&amp;"输出",标准坦克设计!$B$23:$U$23,0)))*(VLOOKUP($B151,INDIRECT($B$5&amp;"生成成长"),3))*(VLOOKUP($B$5,标准坦克设计!$B$14:$K$20,9)/30))</f>
        <v>11.404815296027062</v>
      </c>
      <c r="CG151" s="173">
        <f ca="1">(VLOOKUP(CG$72,INDIRECT($C$5&amp;"生成成长"),2))/((VLOOKUP($B151,INDIRECT($B$5&amp;"生成成长"),4))/(VLOOKUP(CG$72,INDIRECT($C$5&amp;"生成成长"),5))*(VLOOKUP($B$5,标准坦克设计!$B$24:$U$30,MATCH("对"&amp;LEFT($C$5,2)&amp;"输出",标准坦克设计!$B$23:$U$23,0)))*(VLOOKUP($B151,INDIRECT($B$5&amp;"生成成长"),3))*(VLOOKUP($B$5,标准坦克设计!$B$14:$K$20,9)/30))</f>
        <v>12.243131425125481</v>
      </c>
      <c r="CH151" s="173">
        <f ca="1">(VLOOKUP(CH$72,INDIRECT($C$5&amp;"生成成长"),2))/((VLOOKUP($B151,INDIRECT($B$5&amp;"生成成长"),4))/(VLOOKUP(CH$72,INDIRECT($C$5&amp;"生成成长"),5))*(VLOOKUP($B$5,标准坦克设计!$B$24:$U$30,MATCH("对"&amp;LEFT($C$5,2)&amp;"输出",标准坦克设计!$B$23:$U$23,0)))*(VLOOKUP($B151,INDIRECT($B$5&amp;"生成成长"),3))*(VLOOKUP($B$5,标准坦克设计!$B$14:$K$20,9)/30))</f>
        <v>13.111175076532355</v>
      </c>
      <c r="CI151" s="173">
        <f ca="1">(VLOOKUP(CI$72,INDIRECT($C$5&amp;"生成成长"),2))/((VLOOKUP($B151,INDIRECT($B$5&amp;"生成成长"),4))/(VLOOKUP(CI$72,INDIRECT($C$5&amp;"生成成长"),5))*(VLOOKUP($B$5,标准坦克设计!$B$24:$U$30,MATCH("对"&amp;LEFT($C$5,2)&amp;"输出",标准坦克设计!$B$23:$U$23,0)))*(VLOOKUP($B151,INDIRECT($B$5&amp;"生成成长"),3))*(VLOOKUP($B$5,标准坦克设计!$B$14:$K$20,9)/30))</f>
        <v>14.100358381346181</v>
      </c>
      <c r="CJ151" s="173">
        <f ca="1">(VLOOKUP(CJ$72,INDIRECT($C$5&amp;"生成成长"),2))/((VLOOKUP($B151,INDIRECT($B$5&amp;"生成成长"),4))/(VLOOKUP(CJ$72,INDIRECT($C$5&amp;"生成成长"),5))*(VLOOKUP($B$5,标准坦克设计!$B$24:$U$30,MATCH("对"&amp;LEFT($C$5,2)&amp;"输出",标准坦克设计!$B$23:$U$23,0)))*(VLOOKUP($B151,INDIRECT($B$5&amp;"生成成长"),3))*(VLOOKUP($B$5,标准坦克设计!$B$14:$K$20,9)/30))</f>
        <v>15.125511988153237</v>
      </c>
      <c r="CK151" s="173">
        <f ca="1">(VLOOKUP(CK$72,INDIRECT($C$5&amp;"生成成长"),2))/((VLOOKUP($B151,INDIRECT($B$5&amp;"生成成长"),4))/(VLOOKUP(CK$72,INDIRECT($C$5&amp;"生成成长"),5))*(VLOOKUP($B$5,标准坦克设计!$B$24:$U$30,MATCH("对"&amp;LEFT($C$5,2)&amp;"输出",标准坦克设计!$B$23:$U$23,0)))*(VLOOKUP($B151,INDIRECT($B$5&amp;"生成成长"),3))*(VLOOKUP($B$5,标准坦克设计!$B$14:$K$20,9)/30))</f>
        <v>16.186635896953526</v>
      </c>
      <c r="CL151" s="173">
        <f ca="1">(VLOOKUP(CL$72,INDIRECT($C$5&amp;"生成成长"),2))/((VLOOKUP($B151,INDIRECT($B$5&amp;"生成成长"),4))/(VLOOKUP(CL$72,INDIRECT($C$5&amp;"生成成长"),5))*(VLOOKUP($B$5,标准坦克设计!$B$24:$U$30,MATCH("对"&amp;LEFT($C$5,2)&amp;"输出",标准坦克设计!$B$23:$U$23,0)))*(VLOOKUP($B151,INDIRECT($B$5&amp;"生成成长"),3))*(VLOOKUP($B$5,标准坦克设计!$B$14:$K$20,9)/30))</f>
        <v>17.28373010774704</v>
      </c>
      <c r="CM151" s="173">
        <f ca="1">(VLOOKUP(CM$72,INDIRECT($C$5&amp;"生成成长"),2))/((VLOOKUP($B151,INDIRECT($B$5&amp;"生成成长"),4))/(VLOOKUP(CM$72,INDIRECT($C$5&amp;"生成成长"),5))*(VLOOKUP($B$5,标准坦克设计!$B$24:$U$30,MATCH("对"&amp;LEFT($C$5,2)&amp;"输出",标准坦克设计!$B$23:$U$23,0)))*(VLOOKUP($B151,INDIRECT($B$5&amp;"生成成长"),3))*(VLOOKUP($B$5,标准坦克设计!$B$14:$K$20,9)/30))</f>
        <v>18.416794620533793</v>
      </c>
      <c r="CN151" s="173">
        <f ca="1">(VLOOKUP(CN$72,INDIRECT($C$5&amp;"生成成长"),2))/((VLOOKUP($B151,INDIRECT($B$5&amp;"生成成长"),4))/(VLOOKUP(CN$72,INDIRECT($C$5&amp;"生成成长"),5))*(VLOOKUP($B$5,标准坦克设计!$B$24:$U$30,MATCH("对"&amp;LEFT($C$5,2)&amp;"输出",标准坦克设计!$B$23:$U$23,0)))*(VLOOKUP($B151,INDIRECT($B$5&amp;"生成成长"),3))*(VLOOKUP($B$5,标准坦克设计!$B$14:$K$20,9)/30))</f>
        <v>19.585829435313766</v>
      </c>
      <c r="CO151" s="173">
        <f ca="1">(VLOOKUP(CO$72,INDIRECT($C$5&amp;"生成成长"),2))/((VLOOKUP($B151,INDIRECT($B$5&amp;"生成成长"),4))/(VLOOKUP(CO$72,INDIRECT($C$5&amp;"生成成长"),5))*(VLOOKUP($B$5,标准坦克设计!$B$24:$U$30,MATCH("对"&amp;LEFT($C$5,2)&amp;"输出",标准坦克设计!$B$23:$U$23,0)))*(VLOOKUP($B151,INDIRECT($B$5&amp;"生成成长"),3))*(VLOOKUP($B$5,标准坦克设计!$B$14:$K$20,9)/30))</f>
        <v>8.7769023239596784</v>
      </c>
      <c r="CP151" s="173">
        <f ca="1">(VLOOKUP(CP$72,INDIRECT($C$5&amp;"生成成长"),2))/((VLOOKUP($B151,INDIRECT($B$5&amp;"生成成长"),4))/(VLOOKUP(CP$72,INDIRECT($C$5&amp;"生成成长"),5))*(VLOOKUP($B$5,标准坦克设计!$B$24:$U$30,MATCH("对"&amp;LEFT($C$5,2)&amp;"输出",标准坦克设计!$B$23:$U$23,0)))*(VLOOKUP($B151,INDIRECT($B$5&amp;"生成成长"),3))*(VLOOKUP($B$5,标准坦克设计!$B$14:$K$20,9)/30))</f>
        <v>9.589504146261282</v>
      </c>
      <c r="CQ151" s="173">
        <f ca="1">(VLOOKUP(CQ$72,INDIRECT($C$5&amp;"生成成长"),2))/((VLOOKUP($B151,INDIRECT($B$5&amp;"生成成长"),4))/(VLOOKUP(CQ$72,INDIRECT($C$5&amp;"生成成长"),5))*(VLOOKUP($B$5,标准坦克设计!$B$24:$U$30,MATCH("对"&amp;LEFT($C$5,2)&amp;"输出",标准坦克设计!$B$23:$U$23,0)))*(VLOOKUP($B151,INDIRECT($B$5&amp;"生成成长"),3))*(VLOOKUP($B$5,标准坦克设计!$B$14:$K$20,9)/30))</f>
        <v>10.438076270556119</v>
      </c>
      <c r="CR151" s="173">
        <f ca="1">(VLOOKUP(CR$72,INDIRECT($C$5&amp;"生成成长"),2))/((VLOOKUP($B151,INDIRECT($B$5&amp;"生成成长"),4))/(VLOOKUP(CR$72,INDIRECT($C$5&amp;"生成成长"),5))*(VLOOKUP($B$5,标准坦克设计!$B$24:$U$30,MATCH("对"&amp;LEFT($C$5,2)&amp;"输出",标准坦克设计!$B$23:$U$23,0)))*(VLOOKUP($B151,INDIRECT($B$5&amp;"生成成长"),3))*(VLOOKUP($B$5,标准坦克设计!$B$14:$K$20,9)/30))</f>
        <v>11.322618696844184</v>
      </c>
      <c r="CS151" s="173">
        <f ca="1">(VLOOKUP(CS$72,INDIRECT($C$5&amp;"生成成长"),2))/((VLOOKUP($B151,INDIRECT($B$5&amp;"生成成长"),4))/(VLOOKUP(CS$72,INDIRECT($C$5&amp;"生成成长"),5))*(VLOOKUP($B$5,标准坦克设计!$B$24:$U$30,MATCH("对"&amp;LEFT($C$5,2)&amp;"输出",标准坦克设计!$B$23:$U$23,0)))*(VLOOKUP($B151,INDIRECT($B$5&amp;"生成成长"),3))*(VLOOKUP($B$5,标准坦克设计!$B$14:$K$20,9)/30))</f>
        <v>12.243131425125481</v>
      </c>
      <c r="CT151" s="173">
        <f ca="1">(VLOOKUP(CT$72,INDIRECT($C$5&amp;"生成成长"),2))/((VLOOKUP($B151,INDIRECT($B$5&amp;"生成成长"),4))/(VLOOKUP(CT$72,INDIRECT($C$5&amp;"生成成长"),5))*(VLOOKUP($B$5,标准坦克设计!$B$24:$U$30,MATCH("对"&amp;LEFT($C$5,2)&amp;"输出",标准坦克设计!$B$23:$U$23,0)))*(VLOOKUP($B151,INDIRECT($B$5&amp;"生成成长"),3))*(VLOOKUP($B$5,标准坦克设计!$B$14:$K$20,9)/30))</f>
        <v>13.19961445540001</v>
      </c>
      <c r="CU151" s="173">
        <f ca="1">(VLOOKUP(CU$72,INDIRECT($C$5&amp;"生成成长"),2))/((VLOOKUP($B151,INDIRECT($B$5&amp;"生成成长"),4))/(VLOOKUP(CU$72,INDIRECT($C$5&amp;"生成成长"),5))*(VLOOKUP($B$5,标准坦克设计!$B$24:$U$30,MATCH("对"&amp;LEFT($C$5,2)&amp;"输出",标准坦克设计!$B$23:$U$23,0)))*(VLOOKUP($B151,INDIRECT($B$5&amp;"生成成长"),3))*(VLOOKUP($B$5,标准坦克设计!$B$14:$K$20,9)/30))</f>
        <v>14.192067787667762</v>
      </c>
      <c r="CV151" s="173">
        <f ca="1">(VLOOKUP(CV$72,INDIRECT($C$5&amp;"生成成长"),2))/((VLOOKUP($B151,INDIRECT($B$5&amp;"生成成长"),4))/(VLOOKUP(CV$72,INDIRECT($C$5&amp;"生成成长"),5))*(VLOOKUP($B$5,标准坦克设计!$B$24:$U$30,MATCH("对"&amp;LEFT($C$5,2)&amp;"输出",标准坦克设计!$B$23:$U$23,0)))*(VLOOKUP($B151,INDIRECT($B$5&amp;"生成成长"),3))*(VLOOKUP($B$5,标准坦克设计!$B$14:$K$20,9)/30))</f>
        <v>15.220491421928752</v>
      </c>
      <c r="CW151" s="173">
        <f ca="1">(VLOOKUP(CW$72,INDIRECT($C$5&amp;"生成成长"),2))/((VLOOKUP($B151,INDIRECT($B$5&amp;"生成成长"),4))/(VLOOKUP(CW$72,INDIRECT($C$5&amp;"生成成长"),5))*(VLOOKUP($B$5,标准坦克设计!$B$24:$U$30,MATCH("对"&amp;LEFT($C$5,2)&amp;"输出",标准坦克设计!$B$23:$U$23,0)))*(VLOOKUP($B151,INDIRECT($B$5&amp;"生成成长"),3))*(VLOOKUP($B$5,标准坦克设计!$B$14:$K$20,9)/30))</f>
        <v>16.284885358182965</v>
      </c>
      <c r="CX151" s="173">
        <f ca="1">(VLOOKUP(CX$72,INDIRECT($C$5&amp;"生成成长"),2))/((VLOOKUP($B151,INDIRECT($B$5&amp;"生成成长"),4))/(VLOOKUP(CX$72,INDIRECT($C$5&amp;"生成成长"),5))*(VLOOKUP($B$5,标准坦克设计!$B$24:$U$30,MATCH("对"&amp;LEFT($C$5,2)&amp;"输出",标准坦克设计!$B$23:$U$23,0)))*(VLOOKUP($B151,INDIRECT($B$5&amp;"生成成长"),3))*(VLOOKUP($B$5,标准坦克设计!$B$14:$K$20,9)/30))</f>
        <v>17.385249596430416</v>
      </c>
      <c r="CY151" s="173">
        <f ca="1">(VLOOKUP(CY$72,INDIRECT($C$5&amp;"生成成长"),2))/((VLOOKUP($B151,INDIRECT($B$5&amp;"生成成长"),4))/(VLOOKUP(CY$72,INDIRECT($C$5&amp;"生成成长"),5))*(VLOOKUP($B$5,标准坦克设计!$B$24:$U$30,MATCH("对"&amp;LEFT($C$5,2)&amp;"输出",标准坦克设计!$B$23:$U$23,0)))*(VLOOKUP($B151,INDIRECT($B$5&amp;"生成成长"),3))*(VLOOKUP($B$5,标准坦克设计!$B$14:$K$20,9)/30))</f>
        <v>18.521584136671091</v>
      </c>
      <c r="CZ151" s="173">
        <f ca="1">(VLOOKUP(CZ$72,INDIRECT($C$5&amp;"生成成长"),2))/((VLOOKUP($B151,INDIRECT($B$5&amp;"生成成长"),4))/(VLOOKUP(CZ$72,INDIRECT($C$5&amp;"生成成长"),5))*(VLOOKUP($B$5,标准坦克设计!$B$24:$U$30,MATCH("对"&amp;LEFT($C$5,2)&amp;"输出",标准坦克设计!$B$23:$U$23,0)))*(VLOOKUP($B151,INDIRECT($B$5&amp;"生成成长"),3))*(VLOOKUP($B$5,标准坦克设计!$B$14:$K$20,9)/30))</f>
        <v>19.693888978904997</v>
      </c>
      <c r="DA151" s="173">
        <f ca="1">(VLOOKUP(DA$72,INDIRECT($C$5&amp;"生成成长"),2))/((VLOOKUP($B151,INDIRECT($B$5&amp;"生成成长"),4))/(VLOOKUP(DA$72,INDIRECT($C$5&amp;"生成成长"),5))*(VLOOKUP($B$5,标准坦克设计!$B$24:$U$30,MATCH("对"&amp;LEFT($C$5,2)&amp;"输出",标准坦克设计!$B$23:$U$23,0)))*(VLOOKUP($B151,INDIRECT($B$5&amp;"生成成长"),3))*(VLOOKUP($B$5,标准坦克设计!$B$14:$K$20,9)/30))</f>
        <v>20.902164123132135</v>
      </c>
      <c r="DB151" s="173">
        <f ca="1">(VLOOKUP(DB$72,INDIRECT($C$5&amp;"生成成长"),2))/((VLOOKUP($B151,INDIRECT($B$5&amp;"生成成长"),4))/(VLOOKUP(DB$72,INDIRECT($C$5&amp;"生成成长"),5))*(VLOOKUP($B$5,标准坦克设计!$B$24:$U$30,MATCH("对"&amp;LEFT($C$5,2)&amp;"输出",标准坦克设计!$B$23:$U$23,0)))*(VLOOKUP($B151,INDIRECT($B$5&amp;"生成成长"),3))*(VLOOKUP($B$5,标准坦克设计!$B$14:$K$20,9)/30))</f>
        <v>22.1464095693525</v>
      </c>
      <c r="DC151" s="173">
        <f ca="1">(VLOOKUP(DC$72,INDIRECT($C$5&amp;"生成成长"),2))/((VLOOKUP($B151,INDIRECT($B$5&amp;"生成成长"),4))/(VLOOKUP(DC$72,INDIRECT($C$5&amp;"生成成长"),5))*(VLOOKUP($B$5,标准坦克设计!$B$24:$U$30,MATCH("对"&amp;LEFT($C$5,2)&amp;"输出",标准坦克设计!$B$23:$U$23,0)))*(VLOOKUP($B151,INDIRECT($B$5&amp;"生成成长"),3))*(VLOOKUP($B$5,标准坦克设计!$B$14:$K$20,9)/30))</f>
        <v>23.544792218742209</v>
      </c>
      <c r="DD151" s="173">
        <f ca="1">(VLOOKUP(DD$72,INDIRECT($C$5&amp;"生成成长"),2))/((VLOOKUP($B151,INDIRECT($B$5&amp;"生成成长"),4))/(VLOOKUP(DD$72,INDIRECT($C$5&amp;"生成成长"),5))*(VLOOKUP($B$5,标准坦克设计!$B$24:$U$30,MATCH("对"&amp;LEFT($C$5,2)&amp;"输出",标准坦克设计!$B$23:$U$23,0)))*(VLOOKUP($B151,INDIRECT($B$5&amp;"生成成长"),3))*(VLOOKUP($B$5,标准坦克设计!$B$14:$K$20,9)/30))</f>
        <v>24.985982500256085</v>
      </c>
      <c r="DE151" s="173">
        <f ca="1">(VLOOKUP(DE$72,INDIRECT($C$5&amp;"生成成长"),2))/((VLOOKUP($B151,INDIRECT($B$5&amp;"生成成长"),4))/(VLOOKUP(DE$72,INDIRECT($C$5&amp;"生成成长"),5))*(VLOOKUP($B$5,标准坦克设计!$B$24:$U$30,MATCH("对"&amp;LEFT($C$5,2)&amp;"输出",标准坦克设计!$B$23:$U$23,0)))*(VLOOKUP($B151,INDIRECT($B$5&amp;"生成成长"),3))*(VLOOKUP($B$5,标准坦克设计!$B$14:$K$20,9)/30))</f>
        <v>26.469980413894138</v>
      </c>
      <c r="DF151" s="173">
        <f ca="1">(VLOOKUP(DF$72,INDIRECT($C$5&amp;"生成成长"),2))/((VLOOKUP($B151,INDIRECT($B$5&amp;"生成成长"),4))/(VLOOKUP(DF$72,INDIRECT($C$5&amp;"生成成长"),5))*(VLOOKUP($B$5,标准坦克设计!$B$24:$U$30,MATCH("对"&amp;LEFT($C$5,2)&amp;"输出",标准坦克设计!$B$23:$U$23,0)))*(VLOOKUP($B151,INDIRECT($B$5&amp;"生成成长"),3))*(VLOOKUP($B$5,标准坦克设计!$B$14:$K$20,9)/30))</f>
        <v>27.996785959656361</v>
      </c>
      <c r="DG151" s="173">
        <f ca="1">(VLOOKUP(DG$72,INDIRECT($C$5&amp;"生成成长"),2))/((VLOOKUP($B151,INDIRECT($B$5&amp;"生成成长"),4))/(VLOOKUP(DG$72,INDIRECT($C$5&amp;"生成成长"),5))*(VLOOKUP($B$5,标准坦克设计!$B$24:$U$30,MATCH("对"&amp;LEFT($C$5,2)&amp;"输出",标准坦克设计!$B$23:$U$23,0)))*(VLOOKUP($B151,INDIRECT($B$5&amp;"生成成长"),3))*(VLOOKUP($B$5,标准坦克设计!$B$14:$K$20,9)/30))</f>
        <v>29.566399137542763</v>
      </c>
      <c r="DH151" s="173">
        <f ca="1">(VLOOKUP(DH$72,INDIRECT($C$5&amp;"生成成长"),2))/((VLOOKUP($B151,INDIRECT($B$5&amp;"生成成长"),4))/(VLOOKUP(DH$72,INDIRECT($C$5&amp;"生成成长"),5))*(VLOOKUP($B$5,标准坦克设计!$B$24:$U$30,MATCH("对"&amp;LEFT($C$5,2)&amp;"输出",标准坦克设计!$B$23:$U$23,0)))*(VLOOKUP($B151,INDIRECT($B$5&amp;"生成成长"),3))*(VLOOKUP($B$5,标准坦克设计!$B$14:$K$20,9)/30))</f>
        <v>31.178819947553343</v>
      </c>
      <c r="DI151" s="173">
        <f ca="1">(VLOOKUP(DI$72,INDIRECT($C$5&amp;"生成成长"),2))/((VLOOKUP($B151,INDIRECT($B$5&amp;"生成成长"),4))/(VLOOKUP(DI$72,INDIRECT($C$5&amp;"生成成长"),5))*(VLOOKUP($B$5,标准坦克设计!$B$24:$U$30,MATCH("对"&amp;LEFT($C$5,2)&amp;"输出",标准坦克设计!$B$23:$U$23,0)))*(VLOOKUP($B151,INDIRECT($B$5&amp;"生成成长"),3))*(VLOOKUP($B$5,标准坦克设计!$B$14:$K$20,9)/30))</f>
        <v>32.834048389688093</v>
      </c>
      <c r="DJ151" s="173">
        <f ca="1">(VLOOKUP(DJ$72,INDIRECT($C$5&amp;"生成成长"),2))/((VLOOKUP($B151,INDIRECT($B$5&amp;"生成成长"),4))/(VLOOKUP(DJ$72,INDIRECT($C$5&amp;"生成成长"),5))*(VLOOKUP($B$5,标准坦克设计!$B$24:$U$30,MATCH("对"&amp;LEFT($C$5,2)&amp;"输出",标准坦克设计!$B$23:$U$23,0)))*(VLOOKUP($B151,INDIRECT($B$5&amp;"生成成长"),3))*(VLOOKUP($B$5,标准坦克设计!$B$14:$K$20,9)/30))</f>
        <v>3.2999036138500024</v>
      </c>
      <c r="DK151" s="173">
        <f ca="1">(VLOOKUP(DK$72,INDIRECT($C$5&amp;"生成成长"),2))/((VLOOKUP($B151,INDIRECT($B$5&amp;"生成成长"),4))/(VLOOKUP(DK$72,INDIRECT($C$5&amp;"生成成长"),5))*(VLOOKUP($B$5,标准坦克设计!$B$24:$U$30,MATCH("对"&amp;LEFT($C$5,2)&amp;"输出",标准坦克设计!$B$23:$U$23,0)))*(VLOOKUP($B151,INDIRECT($B$5&amp;"生成成长"),3))*(VLOOKUP($B$5,标准坦克设计!$B$14:$K$20,9)/30))</f>
        <v>3.7105893345413028</v>
      </c>
      <c r="DL151" s="173">
        <f ca="1">(VLOOKUP(DL$72,INDIRECT($C$5&amp;"生成成长"),2))/((VLOOKUP($B151,INDIRECT($B$5&amp;"生成成长"),4))/(VLOOKUP(DL$72,INDIRECT($C$5&amp;"生成成长"),5))*(VLOOKUP($B$5,标准坦克设计!$B$24:$U$30,MATCH("对"&amp;LEFT($C$5,2)&amp;"输出",标准坦克设计!$B$23:$U$23,0)))*(VLOOKUP($B151,INDIRECT($B$5&amp;"生成成长"),3))*(VLOOKUP($B$5,标准坦克设计!$B$14:$K$20,9)/30))</f>
        <v>4.1453543483024511</v>
      </c>
      <c r="DM151" s="173">
        <f ca="1">(VLOOKUP(DM$72,INDIRECT($C$5&amp;"生成成长"),2))/((VLOOKUP($B151,INDIRECT($B$5&amp;"生成成长"),4))/(VLOOKUP(DM$72,INDIRECT($C$5&amp;"生成成长"),5))*(VLOOKUP($B$5,标准坦克设计!$B$24:$U$30,MATCH("对"&amp;LEFT($C$5,2)&amp;"输出",标准坦克设计!$B$23:$U$23,0)))*(VLOOKUP($B151,INDIRECT($B$5&amp;"生成成长"),3))*(VLOOKUP($B$5,标准坦克设计!$B$14:$K$20,9)/30))</f>
        <v>4.6041986551334482</v>
      </c>
      <c r="DN151" s="173">
        <f ca="1">(VLOOKUP(DN$72,INDIRECT($C$5&amp;"生成成长"),2))/((VLOOKUP($B151,INDIRECT($B$5&amp;"生成成长"),4))/(VLOOKUP(DN$72,INDIRECT($C$5&amp;"生成成长"),5))*(VLOOKUP($B$5,标准坦克设计!$B$24:$U$30,MATCH("对"&amp;LEFT($C$5,2)&amp;"输出",标准坦克设计!$B$23:$U$23,0)))*(VLOOKUP($B151,INDIRECT($B$5&amp;"生成成长"),3))*(VLOOKUP($B$5,标准坦克设计!$B$14:$K$20,9)/30))</f>
        <v>5.0871222550342923</v>
      </c>
      <c r="DO151" s="173">
        <f ca="1">(VLOOKUP(DO$72,INDIRECT($C$5&amp;"生成成长"),2))/((VLOOKUP($B151,INDIRECT($B$5&amp;"生成成长"),4))/(VLOOKUP(DO$72,INDIRECT($C$5&amp;"生成成长"),5))*(VLOOKUP($B$5,标准坦克设计!$B$24:$U$30,MATCH("对"&amp;LEFT($C$5,2)&amp;"输出",标准坦克设计!$B$23:$U$23,0)))*(VLOOKUP($B151,INDIRECT($B$5&amp;"生成成长"),3))*(VLOOKUP($B$5,标准坦克设计!$B$14:$K$20,9)/30))</f>
        <v>5.5941251480049861</v>
      </c>
      <c r="DP151" s="173">
        <f ca="1">(VLOOKUP(DP$72,INDIRECT($C$5&amp;"生成成长"),2))/((VLOOKUP($B151,INDIRECT($B$5&amp;"生成成长"),4))/(VLOOKUP(DP$72,INDIRECT($C$5&amp;"生成成长"),5))*(VLOOKUP($B$5,标准坦克设计!$B$24:$U$30,MATCH("对"&amp;LEFT($C$5,2)&amp;"输出",标准坦克设计!$B$23:$U$23,0)))*(VLOOKUP($B151,INDIRECT($B$5&amp;"生成成长"),3))*(VLOOKUP($B$5,标准坦克设计!$B$14:$K$20,9)/30))</f>
        <v>6.125207334045526</v>
      </c>
      <c r="DQ151" s="173">
        <f ca="1">(VLOOKUP(DQ$72,INDIRECT($C$5&amp;"生成成长"),2))/((VLOOKUP($B151,INDIRECT($B$5&amp;"生成成长"),4))/(VLOOKUP(DQ$72,INDIRECT($C$5&amp;"生成成长"),5))*(VLOOKUP($B$5,标准坦克设计!$B$24:$U$30,MATCH("对"&amp;LEFT($C$5,2)&amp;"输出",标准坦克设计!$B$23:$U$23,0)))*(VLOOKUP($B151,INDIRECT($B$5&amp;"生成成长"),3))*(VLOOKUP($B$5,标准坦克设计!$B$14:$K$20,9)/30))</f>
        <v>6.6803688131559156</v>
      </c>
      <c r="DR151" s="173">
        <f ca="1">(VLOOKUP(DR$72,INDIRECT($C$5&amp;"生成成长"),2))/((VLOOKUP($B151,INDIRECT($B$5&amp;"生成成长"),4))/(VLOOKUP(DR$72,INDIRECT($C$5&amp;"生成成长"),5))*(VLOOKUP($B$5,标准坦克设计!$B$24:$U$30,MATCH("对"&amp;LEFT($C$5,2)&amp;"输出",标准坦克设计!$B$23:$U$23,0)))*(VLOOKUP($B151,INDIRECT($B$5&amp;"生成成长"),3))*(VLOOKUP($B$5,标准坦克设计!$B$14:$K$20,9)/30))</f>
        <v>7.2596095853361549</v>
      </c>
      <c r="DS151" s="173">
        <f ca="1">(VLOOKUP(DS$72,INDIRECT($C$5&amp;"生成成长"),2))/((VLOOKUP($B151,INDIRECT($B$5&amp;"生成成长"),4))/(VLOOKUP(DS$72,INDIRECT($C$5&amp;"生成成长"),5))*(VLOOKUP($B$5,标准坦克设计!$B$24:$U$30,MATCH("对"&amp;LEFT($C$5,2)&amp;"输出",标准坦克设计!$B$23:$U$23,0)))*(VLOOKUP($B151,INDIRECT($B$5&amp;"生成成长"),3))*(VLOOKUP($B$5,标准坦克设计!$B$14:$K$20,9)/30))</f>
        <v>7.8629296505862394</v>
      </c>
      <c r="DT151" s="173">
        <f ca="1">(VLOOKUP(DT$72,INDIRECT($C$5&amp;"生成成长"),2))/((VLOOKUP($B151,INDIRECT($B$5&amp;"生成成长"),4))/(VLOOKUP(DT$72,INDIRECT($C$5&amp;"生成成长"),5))*(VLOOKUP($B$5,标准坦克设计!$B$24:$U$30,MATCH("对"&amp;LEFT($C$5,2)&amp;"输出",标准坦克设计!$B$23:$U$23,0)))*(VLOOKUP($B151,INDIRECT($B$5&amp;"生成成长"),3))*(VLOOKUP($B$5,标准坦克设计!$B$14:$K$20,9)/30))</f>
        <v>8.6330211159867574</v>
      </c>
      <c r="DU151" s="173">
        <f ca="1">(VLOOKUP(DU$72,INDIRECT($C$5&amp;"生成成长"),2))/((VLOOKUP($B151,INDIRECT($B$5&amp;"生成成长"),4))/(VLOOKUP(DU$72,INDIRECT($C$5&amp;"生成成长"),5))*(VLOOKUP($B$5,标准坦克设计!$B$24:$U$30,MATCH("对"&amp;LEFT($C$5,2)&amp;"输出",标准坦克设计!$B$23:$U$23,0)))*(VLOOKUP($B151,INDIRECT($B$5&amp;"生成成长"),3))*(VLOOKUP($B$5,标准坦克设计!$B$14:$K$20,9)/30))</f>
        <v>9.4390828833805038</v>
      </c>
      <c r="DV151" s="173">
        <f ca="1">(VLOOKUP(DV$72,INDIRECT($C$5&amp;"生成成长"),2))/((VLOOKUP($B151,INDIRECT($B$5&amp;"生成成长"),4))/(VLOOKUP(DV$72,INDIRECT($C$5&amp;"生成成长"),5))*(VLOOKUP($B$5,标准坦克设计!$B$24:$U$30,MATCH("对"&amp;LEFT($C$5,2)&amp;"输出",标准坦克设计!$B$23:$U$23,0)))*(VLOOKUP($B151,INDIRECT($B$5&amp;"生成成长"),3))*(VLOOKUP($B$5,标准坦克设计!$B$14:$K$20,9)/30))</f>
        <v>10.281114952767478</v>
      </c>
      <c r="DW151" s="173">
        <f ca="1">(VLOOKUP(DW$72,INDIRECT($C$5&amp;"生成成长"),2))/((VLOOKUP($B151,INDIRECT($B$5&amp;"生成成长"),4))/(VLOOKUP(DW$72,INDIRECT($C$5&amp;"生成成长"),5))*(VLOOKUP($B$5,标准坦克设计!$B$24:$U$30,MATCH("对"&amp;LEFT($C$5,2)&amp;"输出",标准坦克设计!$B$23:$U$23,0)))*(VLOOKUP($B151,INDIRECT($B$5&amp;"生成成长"),3))*(VLOOKUP($B$5,标准坦克设计!$B$14:$K$20,9)/30))</f>
        <v>11.159117324147685</v>
      </c>
      <c r="DX151" s="173">
        <f ca="1">(VLOOKUP(DX$72,INDIRECT($C$5&amp;"生成成长"),2))/((VLOOKUP($B151,INDIRECT($B$5&amp;"生成成长"),4))/(VLOOKUP(DX$72,INDIRECT($C$5&amp;"生成成长"),5))*(VLOOKUP($B$5,标准坦克设计!$B$24:$U$30,MATCH("对"&amp;LEFT($C$5,2)&amp;"输出",标准坦克设计!$B$23:$U$23,0)))*(VLOOKUP($B151,INDIRECT($B$5&amp;"生成成长"),3))*(VLOOKUP($B$5,标准坦克设计!$B$14:$K$20,9)/30))</f>
        <v>12.073089997521121</v>
      </c>
      <c r="DY151" s="173">
        <f ca="1">(VLOOKUP(DY$72,INDIRECT($C$5&amp;"生成成长"),2))/((VLOOKUP($B151,INDIRECT($B$5&amp;"生成成长"),4))/(VLOOKUP(DY$72,INDIRECT($C$5&amp;"生成成长"),5))*(VLOOKUP($B$5,标准坦克设计!$B$24:$U$30,MATCH("对"&amp;LEFT($C$5,2)&amp;"输出",标准坦克设计!$B$23:$U$23,0)))*(VLOOKUP($B151,INDIRECT($B$5&amp;"生成成长"),3))*(VLOOKUP($B$5,标准坦克设计!$B$14:$K$20,9)/30))</f>
        <v>5.4224487066736593</v>
      </c>
      <c r="DZ151" s="173">
        <f ca="1">(VLOOKUP(DZ$72,INDIRECT($C$5&amp;"生成成长"),2))/((VLOOKUP($B151,INDIRECT($B$5&amp;"生成成长"),4))/(VLOOKUP(DZ$72,INDIRECT($C$5&amp;"生成成长"),5))*(VLOOKUP($B$5,标准坦克设计!$B$24:$U$30,MATCH("对"&amp;LEFT($C$5,2)&amp;"输出",标准坦克设计!$B$23:$U$23,0)))*(VLOOKUP($B151,INDIRECT($B$5&amp;"生成成长"),3))*(VLOOKUP($B$5,标准坦克设计!$B$14:$K$20,9)/30))</f>
        <v>6.0051081439193688</v>
      </c>
      <c r="EA151" s="173">
        <f ca="1">(VLOOKUP(EA$72,INDIRECT($C$5&amp;"生成成长"),2))/((VLOOKUP($B151,INDIRECT($B$5&amp;"生成成长"),4))/(VLOOKUP(EA$72,INDIRECT($C$5&amp;"生成成长"),5))*(VLOOKUP($B$5,标准坦克设计!$B$24:$U$30,MATCH("对"&amp;LEFT($C$5,2)&amp;"输出",标准坦克设计!$B$23:$U$23,0)))*(VLOOKUP($B151,INDIRECT($B$5&amp;"生成成长"),3))*(VLOOKUP($B$5,标准坦克设计!$B$14:$K$20,9)/30))</f>
        <v>6.6174951034735345</v>
      </c>
      <c r="EB151" s="173">
        <f ca="1">(VLOOKUP(EB$72,INDIRECT($C$5&amp;"生成成长"),2))/((VLOOKUP($B151,INDIRECT($B$5&amp;"生成成长"),4))/(VLOOKUP(EB$72,INDIRECT($C$5&amp;"生成成长"),5))*(VLOOKUP($B$5,标准坦克设计!$B$24:$U$30,MATCH("对"&amp;LEFT($C$5,2)&amp;"输出",标准坦克设计!$B$23:$U$23,0)))*(VLOOKUP($B151,INDIRECT($B$5&amp;"生成成长"),3))*(VLOOKUP($B$5,标准坦克设计!$B$14:$K$20,9)/30))</f>
        <v>7.2596095853361549</v>
      </c>
      <c r="EC151" s="173">
        <f ca="1">(VLOOKUP(EC$72,INDIRECT($C$5&amp;"生成成长"),2))/((VLOOKUP($B151,INDIRECT($B$5&amp;"生成成长"),4))/(VLOOKUP(EC$72,INDIRECT($C$5&amp;"生成成长"),5))*(VLOOKUP($B$5,标准坦克设计!$B$24:$U$30,MATCH("对"&amp;LEFT($C$5,2)&amp;"输出",标准坦克设计!$B$23:$U$23,0)))*(VLOOKUP($B151,INDIRECT($B$5&amp;"生成成长"),3))*(VLOOKUP($B$5,标准坦克设计!$B$14:$K$20,9)/30))</f>
        <v>7.9314515895072271</v>
      </c>
      <c r="ED151" s="173">
        <f ca="1">(VLOOKUP(ED$72,INDIRECT($C$5&amp;"生成成长"),2))/((VLOOKUP($B151,INDIRECT($B$5&amp;"生成成长"),4))/(VLOOKUP(ED$72,INDIRECT($C$5&amp;"生成成长"),5))*(VLOOKUP($B$5,标准坦克设计!$B$24:$U$30,MATCH("对"&amp;LEFT($C$5,2)&amp;"输出",标准坦克设计!$B$23:$U$23,0)))*(VLOOKUP($B151,INDIRECT($B$5&amp;"生成成长"),3))*(VLOOKUP($B$5,标准坦克设计!$B$14:$K$20,9)/30))</f>
        <v>8.6330211159867574</v>
      </c>
      <c r="EE151" s="173">
        <f ca="1">(VLOOKUP(EE$72,INDIRECT($C$5&amp;"生成成长"),2))/((VLOOKUP($B151,INDIRECT($B$5&amp;"生成成长"),4))/(VLOOKUP(EE$72,INDIRECT($C$5&amp;"生成成长"),5))*(VLOOKUP($B$5,标准坦克设计!$B$24:$U$30,MATCH("对"&amp;LEFT($C$5,2)&amp;"输出",标准坦克设计!$B$23:$U$23,0)))*(VLOOKUP($B151,INDIRECT($B$5&amp;"生成成长"),3))*(VLOOKUP($B$5,标准坦克设计!$B$14:$K$20,9)/30))</f>
        <v>9.3643181647747387</v>
      </c>
      <c r="EF151" s="173">
        <f ca="1">(VLOOKUP(EF$72,INDIRECT($C$5&amp;"生成成长"),2))/((VLOOKUP($B151,INDIRECT($B$5&amp;"生成成长"),4))/(VLOOKUP(EF$72,INDIRECT($C$5&amp;"生成成长"),5))*(VLOOKUP($B$5,标准坦克设计!$B$24:$U$30,MATCH("对"&amp;LEFT($C$5,2)&amp;"输出",标准坦克设计!$B$23:$U$23,0)))*(VLOOKUP($B151,INDIRECT($B$5&amp;"生成成长"),3))*(VLOOKUP($B$5,标准坦克设计!$B$14:$K$20,9)/30))</f>
        <v>10.125342735871177</v>
      </c>
      <c r="EG151" s="173">
        <f ca="1">(VLOOKUP(EG$72,INDIRECT($C$5&amp;"生成成长"),2))/((VLOOKUP($B151,INDIRECT($B$5&amp;"生成成长"),4))/(VLOOKUP(EG$72,INDIRECT($C$5&amp;"生成成长"),5))*(VLOOKUP($B$5,标准坦克设计!$B$24:$U$30,MATCH("对"&amp;LEFT($C$5,2)&amp;"输出",标准坦克设计!$B$23:$U$23,0)))*(VLOOKUP($B151,INDIRECT($B$5&amp;"生成成长"),3))*(VLOOKUP($B$5,标准坦克设计!$B$14:$K$20,9)/30))</f>
        <v>10.916094829276071</v>
      </c>
      <c r="EH151" s="173">
        <f ca="1">(VLOOKUP(EH$72,INDIRECT($C$5&amp;"生成成长"),2))/((VLOOKUP($B151,INDIRECT($B$5&amp;"生成成长"),4))/(VLOOKUP(EH$72,INDIRECT($C$5&amp;"生成成长"),5))*(VLOOKUP($B$5,标准坦克设计!$B$24:$U$30,MATCH("对"&amp;LEFT($C$5,2)&amp;"输出",标准坦克设计!$B$23:$U$23,0)))*(VLOOKUP($B151,INDIRECT($B$5&amp;"生成成长"),3))*(VLOOKUP($B$5,标准坦克设计!$B$14:$K$20,9)/30))</f>
        <v>11.736574444989419</v>
      </c>
      <c r="EI151" s="173">
        <f ca="1">(VLOOKUP(EI$72,INDIRECT($C$5&amp;"生成成长"),2))/((VLOOKUP($B151,INDIRECT($B$5&amp;"生成成长"),4))/(VLOOKUP(EI$72,INDIRECT($C$5&amp;"生成成长"),5))*(VLOOKUP($B$5,标准坦克设计!$B$24:$U$30,MATCH("对"&amp;LEFT($C$5,2)&amp;"输出",标准坦克设计!$B$23:$U$23,0)))*(VLOOKUP($B151,INDIRECT($B$5&amp;"生成成长"),3))*(VLOOKUP($B$5,标准坦克设计!$B$14:$K$20,9)/30))</f>
        <v>12.586781583011216</v>
      </c>
      <c r="EJ151" s="173">
        <f ca="1">(VLOOKUP(EJ$72,INDIRECT($C$5&amp;"生成成长"),2))/((VLOOKUP($B151,INDIRECT($B$5&amp;"生成成长"),4))/(VLOOKUP(EJ$72,INDIRECT($C$5&amp;"生成成长"),5))*(VLOOKUP($B$5,标准坦克设计!$B$24:$U$30,MATCH("对"&amp;LEFT($C$5,2)&amp;"输出",标准坦克设计!$B$23:$U$23,0)))*(VLOOKUP($B151,INDIRECT($B$5&amp;"生成成长"),3))*(VLOOKUP($B$5,标准坦克设计!$B$14:$K$20,9)/30))</f>
        <v>13.466716243341471</v>
      </c>
      <c r="EK151" s="173">
        <f ca="1">(VLOOKUP(EK$72,INDIRECT($C$5&amp;"生成成长"),2))/((VLOOKUP($B151,INDIRECT($B$5&amp;"生成成长"),4))/(VLOOKUP(EK$72,INDIRECT($C$5&amp;"生成成长"),5))*(VLOOKUP($B$5,标准坦克设计!$B$24:$U$30,MATCH("对"&amp;LEFT($C$5,2)&amp;"输出",标准坦克设计!$B$23:$U$23,0)))*(VLOOKUP($B151,INDIRECT($B$5&amp;"生成成长"),3))*(VLOOKUP($B$5,标准坦克设计!$B$14:$K$20,9)/30))</f>
        <v>14.56187816518494</v>
      </c>
      <c r="EL151" s="173">
        <f ca="1">(VLOOKUP(EL$72,INDIRECT($C$5&amp;"生成成长"),2))/((VLOOKUP($B151,INDIRECT($B$5&amp;"生成成长"),4))/(VLOOKUP(EL$72,INDIRECT($C$5&amp;"生成成长"),5))*(VLOOKUP($B$5,标准坦克设计!$B$24:$U$30,MATCH("对"&amp;LEFT($C$5,2)&amp;"输出",标准坦克设计!$B$23:$U$23,0)))*(VLOOKUP($B151,INDIRECT($B$5&amp;"生成成长"),3))*(VLOOKUP($B$5,标准坦克设计!$B$14:$K$20,9)/30))</f>
        <v>15.699847719152581</v>
      </c>
      <c r="EM151" s="173">
        <f ca="1">(VLOOKUP(EM$72,INDIRECT($C$5&amp;"生成成长"),2))/((VLOOKUP($B151,INDIRECT($B$5&amp;"生成成长"),4))/(VLOOKUP(EM$72,INDIRECT($C$5&amp;"生成成长"),5))*(VLOOKUP($B$5,标准坦克设计!$B$24:$U$30,MATCH("对"&amp;LEFT($C$5,2)&amp;"输出",标准坦克设计!$B$23:$U$23,0)))*(VLOOKUP($B151,INDIRECT($B$5&amp;"生成成长"),3))*(VLOOKUP($B$5,标准坦克设计!$B$14:$K$20,9)/30))</f>
        <v>16.8806249052444</v>
      </c>
      <c r="EN151" s="173">
        <f ca="1">(VLOOKUP(EN$72,INDIRECT($C$5&amp;"生成成长"),2))/((VLOOKUP($B151,INDIRECT($B$5&amp;"生成成长"),4))/(VLOOKUP(EN$72,INDIRECT($C$5&amp;"生成成长"),5))*(VLOOKUP($B$5,标准坦克设计!$B$24:$U$30,MATCH("对"&amp;LEFT($C$5,2)&amp;"输出",标准坦克设计!$B$23:$U$23,0)))*(VLOOKUP($B151,INDIRECT($B$5&amp;"生成成长"),3))*(VLOOKUP($B$5,标准坦克设计!$B$14:$K$20,9)/30))</f>
        <v>18.104209723460389</v>
      </c>
      <c r="EO151" s="173">
        <f ca="1">(VLOOKUP(EO$72,INDIRECT($C$5&amp;"生成成长"),2))/((VLOOKUP($B151,INDIRECT($B$5&amp;"生成成长"),4))/(VLOOKUP(EO$72,INDIRECT($C$5&amp;"生成成长"),5))*(VLOOKUP($B$5,标准坦克设计!$B$24:$U$30,MATCH("对"&amp;LEFT($C$5,2)&amp;"输出",标准坦克设计!$B$23:$U$23,0)))*(VLOOKUP($B151,INDIRECT($B$5&amp;"生成成长"),3))*(VLOOKUP($B$5,标准坦克设计!$B$14:$K$20,9)/30))</f>
        <v>19.370602173800556</v>
      </c>
      <c r="EP151" s="173">
        <f ca="1">(VLOOKUP(EP$72,INDIRECT($C$5&amp;"生成成长"),2))/((VLOOKUP($B151,INDIRECT($B$5&amp;"生成成长"),4))/(VLOOKUP(EP$72,INDIRECT($C$5&amp;"生成成长"),5))*(VLOOKUP($B$5,标准坦克设计!$B$24:$U$30,MATCH("对"&amp;LEFT($C$5,2)&amp;"输出",标准坦克设计!$B$23:$U$23,0)))*(VLOOKUP($B151,INDIRECT($B$5&amp;"生成成长"),3))*(VLOOKUP($B$5,标准坦克设计!$B$14:$K$20,9)/30))</f>
        <v>20.679802256264892</v>
      </c>
      <c r="EQ151" s="173">
        <f ca="1">(VLOOKUP(EQ$72,INDIRECT($C$5&amp;"生成成长"),2))/((VLOOKUP($B151,INDIRECT($B$5&amp;"生成成长"),4))/(VLOOKUP(EQ$72,INDIRECT($C$5&amp;"生成成长"),5))*(VLOOKUP($B$5,标准坦克设计!$B$24:$U$30,MATCH("对"&amp;LEFT($C$5,2)&amp;"输出",标准坦克设计!$B$23:$U$23,0)))*(VLOOKUP($B151,INDIRECT($B$5&amp;"生成成长"),3))*(VLOOKUP($B$5,标准坦克设计!$B$14:$K$20,9)/30))</f>
        <v>9.1418076602959548</v>
      </c>
      <c r="ER151" s="173">
        <f ca="1">(VLOOKUP(ER$72,INDIRECT($C$5&amp;"生成成长"),2))/((VLOOKUP($B151,INDIRECT($B$5&amp;"生成成长"),4))/(VLOOKUP(ER$72,INDIRECT($C$5&amp;"生成成长"),5))*(VLOOKUP($B$5,标准坦克设计!$B$24:$U$30,MATCH("对"&amp;LEFT($C$5,2)&amp;"输出",标准坦克设计!$B$23:$U$23,0)))*(VLOOKUP($B151,INDIRECT($B$5&amp;"生成成长"),3))*(VLOOKUP($B$5,标准坦克设计!$B$14:$K$20,9)/30))</f>
        <v>9.9707596198672146</v>
      </c>
      <c r="ES151" s="173">
        <f ca="1">(VLOOKUP(ES$72,INDIRECT($C$5&amp;"生成成长"),2))/((VLOOKUP($B151,INDIRECT($B$5&amp;"生成成长"),4))/(VLOOKUP(ES$72,INDIRECT($C$5&amp;"生成成长"),5))*(VLOOKUP($B$5,标准坦克设计!$B$24:$U$30,MATCH("对"&amp;LEFT($C$5,2)&amp;"输出",标准坦克设计!$B$23:$U$23,0)))*(VLOOKUP($B151,INDIRECT($B$5&amp;"生成成长"),3))*(VLOOKUP($B$5,标准坦克设计!$B$14:$K$20,9)/30))</f>
        <v>10.835681881431698</v>
      </c>
      <c r="ET151" s="173">
        <f ca="1">(VLOOKUP(ET$72,INDIRECT($C$5&amp;"生成成长"),2))/((VLOOKUP($B151,INDIRECT($B$5&amp;"生成成长"),4))/(VLOOKUP(ET$72,INDIRECT($C$5&amp;"生成成长"),5))*(VLOOKUP($B$5,标准坦克设计!$B$24:$U$30,MATCH("对"&amp;LEFT($C$5,2)&amp;"输出",标准坦克设计!$B$23:$U$23,0)))*(VLOOKUP($B151,INDIRECT($B$5&amp;"生成成长"),3))*(VLOOKUP($B$5,标准坦克设计!$B$14:$K$20,9)/30))</f>
        <v>11.736574444989419</v>
      </c>
      <c r="EU151" s="173">
        <f ca="1">(VLOOKUP(EU$72,INDIRECT($C$5&amp;"生成成长"),2))/((VLOOKUP($B151,INDIRECT($B$5&amp;"生成成长"),4))/(VLOOKUP(EU$72,INDIRECT($C$5&amp;"生成成长"),5))*(VLOOKUP($B$5,标准坦克设计!$B$24:$U$30,MATCH("对"&amp;LEFT($C$5,2)&amp;"输出",标准坦克设计!$B$23:$U$23,0)))*(VLOOKUP($B151,INDIRECT($B$5&amp;"生成成长"),3))*(VLOOKUP($B$5,标准坦克设计!$B$14:$K$20,9)/30))</f>
        <v>12.673437310540361</v>
      </c>
      <c r="EV151" s="173">
        <f ca="1">(VLOOKUP(EV$72,INDIRECT($C$5&amp;"生成成长"),2))/((VLOOKUP($B151,INDIRECT($B$5&amp;"生成成长"),4))/(VLOOKUP(EV$72,INDIRECT($C$5&amp;"生成成长"),5))*(VLOOKUP($B$5,标准坦克设计!$B$24:$U$30,MATCH("对"&amp;LEFT($C$5,2)&amp;"输出",标准坦克设计!$B$23:$U$23,0)))*(VLOOKUP($B151,INDIRECT($B$5&amp;"生成成长"),3))*(VLOOKUP($B$5,标准坦克设计!$B$14:$K$20,9)/30))</f>
        <v>13.64627047808454</v>
      </c>
      <c r="EW151" s="173">
        <f ca="1">(VLOOKUP(EW$72,INDIRECT($C$5&amp;"生成成长"),2))/((VLOOKUP($B151,INDIRECT($B$5&amp;"生成成长"),4))/(VLOOKUP(EW$72,INDIRECT($C$5&amp;"生成成长"),5))*(VLOOKUP($B$5,标准坦克设计!$B$24:$U$30,MATCH("对"&amp;LEFT($C$5,2)&amp;"输出",标准坦克设计!$B$23:$U$23,0)))*(VLOOKUP($B151,INDIRECT($B$5&amp;"生成成长"),3))*(VLOOKUP($B$5,标准坦克设计!$B$14:$K$20,9)/30))</f>
        <v>14.655073947621945</v>
      </c>
      <c r="EX151" s="173">
        <f ca="1">(VLOOKUP(EX$72,INDIRECT($C$5&amp;"生成成长"),2))/((VLOOKUP($B151,INDIRECT($B$5&amp;"生成成长"),4))/(VLOOKUP(EX$72,INDIRECT($C$5&amp;"生成成长"),5))*(VLOOKUP($B$5,标准坦克设计!$B$24:$U$30,MATCH("对"&amp;LEFT($C$5,2)&amp;"输出",标准坦克设计!$B$23:$U$23,0)))*(VLOOKUP($B151,INDIRECT($B$5&amp;"生成成长"),3))*(VLOOKUP($B$5,标准坦克设计!$B$14:$K$20,9)/30))</f>
        <v>15.699847719152581</v>
      </c>
      <c r="EY151" s="173">
        <f ca="1">(VLOOKUP(EY$72,INDIRECT($C$5&amp;"生成成长"),2))/((VLOOKUP($B151,INDIRECT($B$5&amp;"生成成长"),4))/(VLOOKUP(EY$72,INDIRECT($C$5&amp;"生成成长"),5))*(VLOOKUP($B$5,标准坦克设计!$B$24:$U$30,MATCH("对"&amp;LEFT($C$5,2)&amp;"输出",标准坦克设计!$B$23:$U$23,0)))*(VLOOKUP($B151,INDIRECT($B$5&amp;"生成成长"),3))*(VLOOKUP($B$5,标准坦克设计!$B$14:$K$20,9)/30))</f>
        <v>16.780591792676447</v>
      </c>
      <c r="EZ151" s="173">
        <f ca="1">(VLOOKUP(EZ$72,INDIRECT($C$5&amp;"生成成长"),2))/((VLOOKUP($B151,INDIRECT($B$5&amp;"生成成长"),4))/(VLOOKUP(EZ$72,INDIRECT($C$5&amp;"生成成长"),5))*(VLOOKUP($B$5,标准坦克设计!$B$24:$U$30,MATCH("对"&amp;LEFT($C$5,2)&amp;"输出",标准坦克设计!$B$23:$U$23,0)))*(VLOOKUP($B151,INDIRECT($B$5&amp;"生成成长"),3))*(VLOOKUP($B$5,标准坦克设计!$B$14:$K$20,9)/30))</f>
        <v>17.897306168193541</v>
      </c>
      <c r="FA151" s="173">
        <f ca="1">(VLOOKUP(FA$72,INDIRECT($C$5&amp;"生成成长"),2))/((VLOOKUP($B151,INDIRECT($B$5&amp;"生成成长"),4))/(VLOOKUP(FA$72,INDIRECT($C$5&amp;"生成成长"),5))*(VLOOKUP($B$5,标准坦克设计!$B$24:$U$30,MATCH("对"&amp;LEFT($C$5,2)&amp;"输出",标准坦克设计!$B$23:$U$23,0)))*(VLOOKUP($B151,INDIRECT($B$5&amp;"生成成长"),3))*(VLOOKUP($B$5,标准坦克设计!$B$14:$K$20,9)/30))</f>
        <v>19.049990845703871</v>
      </c>
      <c r="FB151" s="173">
        <f ca="1">(VLOOKUP(FB$72,INDIRECT($C$5&amp;"生成成长"),2))/((VLOOKUP($B151,INDIRECT($B$5&amp;"生成成长"),4))/(VLOOKUP(FB$72,INDIRECT($C$5&amp;"生成成长"),5))*(VLOOKUP($B$5,标准坦克设计!$B$24:$U$30,MATCH("对"&amp;LEFT($C$5,2)&amp;"输出",标准坦克设计!$B$23:$U$23,0)))*(VLOOKUP($B151,INDIRECT($B$5&amp;"生成成长"),3))*(VLOOKUP($B$5,标准坦克设计!$B$14:$K$20,9)/30))</f>
        <v>20.238645825207428</v>
      </c>
      <c r="FC151" s="173">
        <f ca="1">(VLOOKUP(FC$72,INDIRECT($C$5&amp;"生成成长"),2))/((VLOOKUP($B151,INDIRECT($B$5&amp;"生成成长"),4))/(VLOOKUP(FC$72,INDIRECT($C$5&amp;"生成成长"),5))*(VLOOKUP($B$5,标准坦克设计!$B$24:$U$30,MATCH("对"&amp;LEFT($C$5,2)&amp;"输出",标准坦克设计!$B$23:$U$23,0)))*(VLOOKUP($B151,INDIRECT($B$5&amp;"生成成长"),3))*(VLOOKUP($B$5,标准坦克设计!$B$14:$K$20,9)/30))</f>
        <v>21.463271106704216</v>
      </c>
      <c r="FD151" s="173">
        <f ca="1">(VLOOKUP(FD$72,INDIRECT($C$5&amp;"生成成长"),2))/((VLOOKUP($B151,INDIRECT($B$5&amp;"生成成长"),4))/(VLOOKUP(FD$72,INDIRECT($C$5&amp;"生成成长"),5))*(VLOOKUP($B$5,标准坦克设计!$B$24:$U$30,MATCH("对"&amp;LEFT($C$5,2)&amp;"输出",标准坦克设计!$B$23:$U$23,0)))*(VLOOKUP($B151,INDIRECT($B$5&amp;"生成成长"),3))*(VLOOKUP($B$5,标准坦克设计!$B$14:$K$20,9)/30))</f>
        <v>22.723866690194235</v>
      </c>
      <c r="FE151" s="173">
        <f ca="1">(VLOOKUP(FE$72,INDIRECT($C$5&amp;"生成成长"),2))/((VLOOKUP($B151,INDIRECT($B$5&amp;"生成成长"),4))/(VLOOKUP(FE$72,INDIRECT($C$5&amp;"生成成长"),5))*(VLOOKUP($B$5,标准坦克设计!$B$24:$U$30,MATCH("对"&amp;LEFT($C$5,2)&amp;"输出",标准坦克设计!$B$23:$U$23,0)))*(VLOOKUP($B151,INDIRECT($B$5&amp;"生成成长"),3))*(VLOOKUP($B$5,标准坦克设计!$B$14:$K$20,9)/30))</f>
        <v>24.260036405483625</v>
      </c>
      <c r="FF151" s="173">
        <f ca="1">(VLOOKUP(FF$72,INDIRECT($C$5&amp;"生成成长"),2))/((VLOOKUP($B151,INDIRECT($B$5&amp;"生成成长"),4))/(VLOOKUP(FF$72,INDIRECT($C$5&amp;"生成成长"),5))*(VLOOKUP($B$5,标准坦克设计!$B$24:$U$30,MATCH("对"&amp;LEFT($C$5,2)&amp;"输出",标准坦克设计!$B$23:$U$23,0)))*(VLOOKUP($B151,INDIRECT($B$5&amp;"生成成长"),3))*(VLOOKUP($B$5,标准坦克设计!$B$14:$K$20,9)/30))</f>
        <v>25.84644563347431</v>
      </c>
      <c r="FG151" s="173">
        <f ca="1">(VLOOKUP(FG$72,INDIRECT($C$5&amp;"生成成长"),2))/((VLOOKUP($B151,INDIRECT($B$5&amp;"生成成长"),4))/(VLOOKUP(FG$72,INDIRECT($C$5&amp;"生成成长"),5))*(VLOOKUP($B$5,标准坦克设计!$B$24:$U$30,MATCH("对"&amp;LEFT($C$5,2)&amp;"输出",标准坦克设计!$B$23:$U$23,0)))*(VLOOKUP($B151,INDIRECT($B$5&amp;"生成成长"),3))*(VLOOKUP($B$5,标准坦克设计!$B$14:$K$20,9)/30))</f>
        <v>27.483094374166271</v>
      </c>
      <c r="FH151" s="173">
        <f ca="1">(VLOOKUP(FH$72,INDIRECT($C$5&amp;"生成成长"),2))/((VLOOKUP($B151,INDIRECT($B$5&amp;"生成成长"),4))/(VLOOKUP(FH$72,INDIRECT($C$5&amp;"生成成长"),5))*(VLOOKUP($B$5,标准坦克设计!$B$24:$U$30,MATCH("对"&amp;LEFT($C$5,2)&amp;"输出",标准坦克设计!$B$23:$U$23,0)))*(VLOOKUP($B151,INDIRECT($B$5&amp;"生成成长"),3))*(VLOOKUP($B$5,标准坦克设计!$B$14:$K$20,9)/30))</f>
        <v>29.169982627559524</v>
      </c>
      <c r="FI151" s="173">
        <f ca="1">(VLOOKUP(FI$72,INDIRECT($C$5&amp;"生成成长"),2))/((VLOOKUP($B151,INDIRECT($B$5&amp;"生成成长"),4))/(VLOOKUP(FI$72,INDIRECT($C$5&amp;"生成成长"),5))*(VLOOKUP($B$5,标准坦克设计!$B$24:$U$30,MATCH("对"&amp;LEFT($C$5,2)&amp;"输出",标准坦克设计!$B$23:$U$23,0)))*(VLOOKUP($B151,INDIRECT($B$5&amp;"生成成长"),3))*(VLOOKUP($B$5,标准坦克设计!$B$14:$K$20,9)/30))</f>
        <v>30.907110393654076</v>
      </c>
      <c r="FJ151" s="173">
        <f ca="1">(VLOOKUP(FJ$72,INDIRECT($C$5&amp;"生成成长"),2))/((VLOOKUP($B151,INDIRECT($B$5&amp;"生成成长"),4))/(VLOOKUP(FJ$72,INDIRECT($C$5&amp;"生成成长"),5))*(VLOOKUP($B$5,标准坦克设计!$B$24:$U$30,MATCH("对"&amp;LEFT($C$5,2)&amp;"输出",标准坦克设计!$B$23:$U$23,0)))*(VLOOKUP($B151,INDIRECT($B$5&amp;"生成成长"),3))*(VLOOKUP($B$5,标准坦克设计!$B$14:$K$20,9)/30))</f>
        <v>32.694477672449906</v>
      </c>
      <c r="FK151" s="173">
        <f ca="1">(VLOOKUP(FK$72,INDIRECT($C$5&amp;"生成成长"),2))/((VLOOKUP($B151,INDIRECT($B$5&amp;"生成成长"),4))/(VLOOKUP(FK$72,INDIRECT($C$5&amp;"生成成长"),5))*(VLOOKUP($B$5,标准坦克设计!$B$24:$U$30,MATCH("对"&amp;LEFT($C$5,2)&amp;"输出",标准坦克设计!$B$23:$U$23,0)))*(VLOOKUP($B151,INDIRECT($B$5&amp;"生成成长"),3))*(VLOOKUP($B$5,标准坦克设计!$B$14:$K$20,9)/30))</f>
        <v>34.532084463947029</v>
      </c>
    </row>
    <row r="152" spans="1:167" x14ac:dyDescent="0.15">
      <c r="A152" s="171" t="str">
        <f t="shared" si="12"/>
        <v>T4中品质8级</v>
      </c>
      <c r="B152" s="172">
        <v>20408</v>
      </c>
      <c r="C152" s="173">
        <f ca="1">(VLOOKUP(C$72,INDIRECT($C$5&amp;"生成成长"),2))/((VLOOKUP($B152,INDIRECT($B$5&amp;"生成成长"),4))/(VLOOKUP(C$72,INDIRECT($C$5&amp;"生成成长"),5))*(VLOOKUP($B$5,标准坦克设计!$B$24:$U$30,MATCH("对"&amp;LEFT($C$5,2)&amp;"输出",标准坦克设计!$B$23:$U$23,0)))*(VLOOKUP($B152,INDIRECT($B$5&amp;"生成成长"),3))*(VLOOKUP($B$5,标准坦克设计!$B$14:$K$20,9)/30))</f>
        <v>1.3727925481703445</v>
      </c>
      <c r="D152" s="173">
        <f ca="1">(VLOOKUP(D$72,INDIRECT($C$5&amp;"生成成长"),2))/((VLOOKUP($B152,INDIRECT($B$5&amp;"生成成长"),4))/(VLOOKUP(D$72,INDIRECT($C$5&amp;"生成成长"),5))*(VLOOKUP($B$5,标准坦克设计!$B$24:$U$30,MATCH("对"&amp;LEFT($C$5,2)&amp;"输出",标准坦克设计!$B$23:$U$23,0)))*(VLOOKUP($B152,INDIRECT($B$5&amp;"生成成长"),3))*(VLOOKUP($B$5,标准坦克设计!$B$14:$K$20,9)/30))</f>
        <v>1.5424697071241991</v>
      </c>
      <c r="E152" s="173">
        <f ca="1">(VLOOKUP(E$72,INDIRECT($C$5&amp;"生成成长"),2))/((VLOOKUP($B152,INDIRECT($B$5&amp;"生成成长"),4))/(VLOOKUP(E$72,INDIRECT($C$5&amp;"生成成长"),5))*(VLOOKUP($B$5,标准坦克设计!$B$24:$U$30,MATCH("对"&amp;LEFT($C$5,2)&amp;"输出",标准坦克设计!$B$23:$U$23,0)))*(VLOOKUP($B152,INDIRECT($B$5&amp;"生成成长"),3))*(VLOOKUP($B$5,标准坦克设计!$B$14:$K$20,9)/30))</f>
        <v>1.7220309724248803</v>
      </c>
      <c r="F152" s="173">
        <f ca="1">(VLOOKUP(F$72,INDIRECT($C$5&amp;"生成成长"),2))/((VLOOKUP($B152,INDIRECT($B$5&amp;"生成成长"),4))/(VLOOKUP(F$72,INDIRECT($C$5&amp;"生成成长"),5))*(VLOOKUP($B$5,标准坦克设计!$B$24:$U$30,MATCH("对"&amp;LEFT($C$5,2)&amp;"输出",标准坦克设计!$B$23:$U$23,0)))*(VLOOKUP($B152,INDIRECT($B$5&amp;"生成成长"),3))*(VLOOKUP($B$5,标准坦克设计!$B$14:$K$20,9)/30))</f>
        <v>1.9114763440723876</v>
      </c>
      <c r="G152" s="173">
        <f ca="1">(VLOOKUP(G$72,INDIRECT($C$5&amp;"生成成长"),2))/((VLOOKUP($B152,INDIRECT($B$5&amp;"生成成长"),4))/(VLOOKUP(G$72,INDIRECT($C$5&amp;"生成成长"),5))*(VLOOKUP($B$5,标准坦克设计!$B$24:$U$30,MATCH("对"&amp;LEFT($C$5,2)&amp;"输出",标准坦克设计!$B$23:$U$23,0)))*(VLOOKUP($B152,INDIRECT($B$5&amp;"生成成长"),3))*(VLOOKUP($B$5,标准坦克设计!$B$14:$K$20,9)/30))</f>
        <v>2.1108058220667214</v>
      </c>
      <c r="H152" s="173">
        <f ca="1">(VLOOKUP(H$72,INDIRECT($C$5&amp;"生成成长"),2))/((VLOOKUP($B152,INDIRECT($B$5&amp;"生成成长"),4))/(VLOOKUP(H$72,INDIRECT($C$5&amp;"生成成长"),5))*(VLOOKUP($B$5,标准坦克设计!$B$24:$U$30,MATCH("对"&amp;LEFT($C$5,2)&amp;"输出",标准坦克设计!$B$23:$U$23,0)))*(VLOOKUP($B152,INDIRECT($B$5&amp;"生成成长"),3))*(VLOOKUP($B$5,标准坦克设计!$B$14:$K$20,9)/30))</f>
        <v>1.8472296528180152</v>
      </c>
      <c r="I152" s="173">
        <f ca="1">(VLOOKUP(I$72,INDIRECT($C$5&amp;"生成成长"),2))/((VLOOKUP($B152,INDIRECT($B$5&amp;"生成成长"),4))/(VLOOKUP(I$72,INDIRECT($C$5&amp;"生成成长"),5))*(VLOOKUP($B$5,标准坦克设计!$B$24:$U$30,MATCH("对"&amp;LEFT($C$5,2)&amp;"输出",标准坦克设计!$B$23:$U$23,0)))*(VLOOKUP($B152,INDIRECT($B$5&amp;"生成成长"),3))*(VLOOKUP($B$5,标准坦克设计!$B$14:$K$20,9)/30))</f>
        <v>2.1108058220667214</v>
      </c>
      <c r="J152" s="173">
        <f ca="1">(VLOOKUP(J$72,INDIRECT($C$5&amp;"生成成长"),2))/((VLOOKUP($B152,INDIRECT($B$5&amp;"生成成长"),4))/(VLOOKUP(J$72,INDIRECT($C$5&amp;"生成成长"),5))*(VLOOKUP($B$5,标准坦克设计!$B$24:$U$30,MATCH("对"&amp;LEFT($C$5,2)&amp;"输出",标准坦克设计!$B$23:$U$23,0)))*(VLOOKUP($B152,INDIRECT($B$5&amp;"生成成长"),3))*(VLOOKUP($B$5,标准坦克设计!$B$14:$K$20,9)/30))</f>
        <v>2.3919537359320082</v>
      </c>
      <c r="K152" s="173">
        <f ca="1">(VLOOKUP(K$72,INDIRECT($C$5&amp;"生成成长"),2))/((VLOOKUP($B152,INDIRECT($B$5&amp;"生成成长"),4))/(VLOOKUP(K$72,INDIRECT($C$5&amp;"生成成长"),5))*(VLOOKUP($B$5,标准坦克设计!$B$24:$U$30,MATCH("对"&amp;LEFT($C$5,2)&amp;"输出",标准坦克设计!$B$23:$U$23,0)))*(VLOOKUP($B152,INDIRECT($B$5&amp;"生成成长"),3))*(VLOOKUP($B$5,标准坦克设计!$B$14:$K$20,9)/30))</f>
        <v>2.6906733944138752</v>
      </c>
      <c r="L152" s="173">
        <f ca="1">(VLOOKUP(L$72,INDIRECT($C$5&amp;"生成成长"),2))/((VLOOKUP($B152,INDIRECT($B$5&amp;"生成成长"),4))/(VLOOKUP(L$72,INDIRECT($C$5&amp;"生成成长"),5))*(VLOOKUP($B$5,标准坦克设计!$B$24:$U$30,MATCH("对"&amp;LEFT($C$5,2)&amp;"输出",标准坦克设计!$B$23:$U$23,0)))*(VLOOKUP($B152,INDIRECT($B$5&amp;"生成成长"),3))*(VLOOKUP($B$5,标准坦克设计!$B$14:$K$20,9)/30))</f>
        <v>3.0069647975123228</v>
      </c>
      <c r="M152" s="173">
        <f ca="1">(VLOOKUP(M$72,INDIRECT($C$5&amp;"生成成长"),2))/((VLOOKUP($B152,INDIRECT($B$5&amp;"生成成长"),4))/(VLOOKUP(M$72,INDIRECT($C$5&amp;"生成成长"),5))*(VLOOKUP($B$5,标准坦克设计!$B$24:$U$30,MATCH("对"&amp;LEFT($C$5,2)&amp;"输出",标准坦克设计!$B$23:$U$23,0)))*(VLOOKUP($B152,INDIRECT($B$5&amp;"生成成长"),3))*(VLOOKUP($B$5,标准坦克设计!$B$14:$K$20,9)/30))</f>
        <v>3.3408279452273506</v>
      </c>
      <c r="N152" s="173">
        <f ca="1">(VLOOKUP(N$72,INDIRECT($C$5&amp;"生成成长"),2))/((VLOOKUP($B152,INDIRECT($B$5&amp;"生成成长"),4))/(VLOOKUP(N$72,INDIRECT($C$5&amp;"生成成长"),5))*(VLOOKUP($B$5,标准坦克设计!$B$24:$U$30,MATCH("对"&amp;LEFT($C$5,2)&amp;"输出",标准坦克设计!$B$23:$U$23,0)))*(VLOOKUP($B152,INDIRECT($B$5&amp;"生成成长"),3))*(VLOOKUP($B$5,标准坦克设计!$B$14:$K$20,9)/30))</f>
        <v>3.6922628375589586</v>
      </c>
      <c r="O152" s="173">
        <f ca="1">(VLOOKUP(O$72,INDIRECT($C$5&amp;"生成成长"),2))/((VLOOKUP($B152,INDIRECT($B$5&amp;"生成成长"),4))/(VLOOKUP(O$72,INDIRECT($C$5&amp;"生成成长"),5))*(VLOOKUP($B$5,标准坦克设计!$B$24:$U$30,MATCH("对"&amp;LEFT($C$5,2)&amp;"输出",标准坦克设计!$B$23:$U$23,0)))*(VLOOKUP($B152,INDIRECT($B$5&amp;"生成成长"),3))*(VLOOKUP($B$5,标准坦克设计!$B$14:$K$20,9)/30))</f>
        <v>2.8072234817535375</v>
      </c>
      <c r="P152" s="173">
        <f ca="1">(VLOOKUP(P$72,INDIRECT($C$5&amp;"生成成长"),2))/((VLOOKUP($B152,INDIRECT($B$5&amp;"生成成长"),4))/(VLOOKUP(P$72,INDIRECT($C$5&amp;"生成成长"),5))*(VLOOKUP($B$5,标准坦克设计!$B$24:$U$30,MATCH("对"&amp;LEFT($C$5,2)&amp;"输出",标准坦克设计!$B$23:$U$23,0)))*(VLOOKUP($B152,INDIRECT($B$5&amp;"生成成长"),3))*(VLOOKUP($B$5,标准坦克设计!$B$14:$K$20,9)/30))</f>
        <v>3.171699903292764</v>
      </c>
      <c r="Q152" s="173">
        <f ca="1">(VLOOKUP(Q$72,INDIRECT($C$5&amp;"生成成长"),2))/((VLOOKUP($B152,INDIRECT($B$5&amp;"生成成长"),4))/(VLOOKUP(Q$72,INDIRECT($C$5&amp;"生成成长"),5))*(VLOOKUP($B$5,标准坦克设计!$B$24:$U$30,MATCH("对"&amp;LEFT($C$5,2)&amp;"输出",标准坦克设计!$B$23:$U$23,0)))*(VLOOKUP($B152,INDIRECT($B$5&amp;"生成成长"),3))*(VLOOKUP($B$5,标准坦克设计!$B$14:$K$20,9)/30))</f>
        <v>3.5584155641123498</v>
      </c>
      <c r="R152" s="173">
        <f ca="1">(VLOOKUP(R$72,INDIRECT($C$5&amp;"生成成长"),2))/((VLOOKUP($B152,INDIRECT($B$5&amp;"生成成长"),4))/(VLOOKUP(R$72,INDIRECT($C$5&amp;"生成成长"),5))*(VLOOKUP($B$5,标准坦克设计!$B$24:$U$30,MATCH("对"&amp;LEFT($C$5,2)&amp;"输出",标准坦克设计!$B$23:$U$23,0)))*(VLOOKUP($B152,INDIRECT($B$5&amp;"生成成长"),3))*(VLOOKUP($B$5,标准坦克设计!$B$14:$K$20,9)/30))</f>
        <v>3.967370464212296</v>
      </c>
      <c r="S152" s="173">
        <f ca="1">(VLOOKUP(S$72,INDIRECT($C$5&amp;"生成成长"),2))/((VLOOKUP($B152,INDIRECT($B$5&amp;"生成成长"),4))/(VLOOKUP(S$72,INDIRECT($C$5&amp;"生成成长"),5))*(VLOOKUP($B$5,标准坦克设计!$B$24:$U$30,MATCH("对"&amp;LEFT($C$5,2)&amp;"输出",标准坦克设计!$B$23:$U$23,0)))*(VLOOKUP($B152,INDIRECT($B$5&amp;"生成成长"),3))*(VLOOKUP($B$5,标准坦克设计!$B$14:$K$20,9)/30))</f>
        <v>4.3985646035926003</v>
      </c>
      <c r="T152" s="173">
        <f ca="1">(VLOOKUP(T$72,INDIRECT($C$5&amp;"生成成长"),2))/((VLOOKUP($B152,INDIRECT($B$5&amp;"生成成长"),4))/(VLOOKUP(T$72,INDIRECT($C$5&amp;"生成成长"),5))*(VLOOKUP($B$5,标准坦克设计!$B$24:$U$30,MATCH("对"&amp;LEFT($C$5,2)&amp;"输出",标准坦克设计!$B$23:$U$23,0)))*(VLOOKUP($B152,INDIRECT($B$5&amp;"生成成长"),3))*(VLOOKUP($B$5,标准坦克设计!$B$14:$K$20,9)/30))</f>
        <v>4.8519979822532662</v>
      </c>
      <c r="U152" s="173">
        <f ca="1">(VLOOKUP(U$72,INDIRECT($C$5&amp;"生成成长"),2))/((VLOOKUP($B152,INDIRECT($B$5&amp;"生成成长"),4))/(VLOOKUP(U$72,INDIRECT($C$5&amp;"生成成长"),5))*(VLOOKUP($B$5,标准坦克设计!$B$24:$U$30,MATCH("对"&amp;LEFT($C$5,2)&amp;"输出",标准坦克设计!$B$23:$U$23,0)))*(VLOOKUP($B152,INDIRECT($B$5&amp;"生成成长"),3))*(VLOOKUP($B$5,标准坦克设计!$B$14:$K$20,9)/30))</f>
        <v>5.3276706001942893</v>
      </c>
      <c r="V152" s="173">
        <f ca="1">(VLOOKUP(V$72,INDIRECT($C$5&amp;"生成成长"),2))/((VLOOKUP($B152,INDIRECT($B$5&amp;"生成成长"),4))/(VLOOKUP(V$72,INDIRECT($C$5&amp;"生成成长"),5))*(VLOOKUP($B$5,标准坦克设计!$B$24:$U$30,MATCH("对"&amp;LEFT($C$5,2)&amp;"输出",标准坦克设计!$B$23:$U$23,0)))*(VLOOKUP($B152,INDIRECT($B$5&amp;"生成成长"),3))*(VLOOKUP($B$5,标准坦克设计!$B$14:$K$20,9)/30))</f>
        <v>5.8255824574156749</v>
      </c>
      <c r="W152" s="173">
        <f ca="1">(VLOOKUP(W$72,INDIRECT($C$5&amp;"生成成长"),2))/((VLOOKUP($B152,INDIRECT($B$5&amp;"生成成长"),4))/(VLOOKUP(W$72,INDIRECT($C$5&amp;"生成成长"),5))*(VLOOKUP($B$5,标准坦克设计!$B$24:$U$30,MATCH("对"&amp;LEFT($C$5,2)&amp;"输出",标准坦克设计!$B$23:$U$23,0)))*(VLOOKUP($B152,INDIRECT($B$5&amp;"生成成长"),3))*(VLOOKUP($B$5,标准坦克设计!$B$14:$K$20,9)/30))</f>
        <v>6.3457335539174178</v>
      </c>
      <c r="X152" s="173">
        <f ca="1">(VLOOKUP(X$72,INDIRECT($C$5&amp;"生成成长"),2))/((VLOOKUP($B152,INDIRECT($B$5&amp;"生成成长"),4))/(VLOOKUP(X$72,INDIRECT($C$5&amp;"生成成长"),5))*(VLOOKUP($B$5,标准坦克设计!$B$24:$U$30,MATCH("对"&amp;LEFT($C$5,2)&amp;"输出",标准坦克设计!$B$23:$U$23,0)))*(VLOOKUP($B152,INDIRECT($B$5&amp;"生成成长"),3))*(VLOOKUP($B$5,标准坦克设计!$B$14:$K$20,9)/30))</f>
        <v>4.5973449645676672</v>
      </c>
      <c r="Y152" s="173">
        <f ca="1">(VLOOKUP(Y$72,INDIRECT($C$5&amp;"生成成长"),2))/((VLOOKUP($B152,INDIRECT($B$5&amp;"生成成长"),4))/(VLOOKUP(Y$72,INDIRECT($C$5&amp;"生成成长"),5))*(VLOOKUP($B$5,标准坦克设计!$B$24:$U$30,MATCH("对"&amp;LEFT($C$5,2)&amp;"输出",标准坦克设计!$B$23:$U$23,0)))*(VLOOKUP($B152,INDIRECT($B$5&amp;"生成成长"),3))*(VLOOKUP($B$5,标准坦克设计!$B$14:$K$20,9)/30))</f>
        <v>5.1135149626797167</v>
      </c>
      <c r="Z152" s="173">
        <f ca="1">(VLOOKUP(Z$72,INDIRECT($C$5&amp;"生成成长"),2))/((VLOOKUP($B152,INDIRECT($B$5&amp;"生成成长"),4))/(VLOOKUP(Z$72,INDIRECT($C$5&amp;"生成成长"),5))*(VLOOKUP($B$5,标准坦克设计!$B$24:$U$30,MATCH("对"&amp;LEFT($C$5,2)&amp;"输出",标准坦克设计!$B$23:$U$23,0)))*(VLOOKUP($B152,INDIRECT($B$5&amp;"生成成长"),3))*(VLOOKUP($B$5,标准坦克设计!$B$14:$K$20,9)/30))</f>
        <v>5.6571408117551734</v>
      </c>
      <c r="AA152" s="173">
        <f ca="1">(VLOOKUP(AA$72,INDIRECT($C$5&amp;"生成成长"),2))/((VLOOKUP($B152,INDIRECT($B$5&amp;"生成成长"),4))/(VLOOKUP(AA$72,INDIRECT($C$5&amp;"生成成长"),5))*(VLOOKUP($B$5,标准坦克设计!$B$24:$U$30,MATCH("对"&amp;LEFT($C$5,2)&amp;"输出",标准坦克设计!$B$23:$U$23,0)))*(VLOOKUP($B152,INDIRECT($B$5&amp;"生成成长"),3))*(VLOOKUP($B$5,标准坦克设计!$B$14:$K$20,9)/30))</f>
        <v>6.2282225117940353</v>
      </c>
      <c r="AB152" s="173">
        <f ca="1">(VLOOKUP(AB$72,INDIRECT($C$5&amp;"生成成长"),2))/((VLOOKUP($B152,INDIRECT($B$5&amp;"生成成长"),4))/(VLOOKUP(AB$72,INDIRECT($C$5&amp;"生成成长"),5))*(VLOOKUP($B$5,标准坦克设计!$B$24:$U$30,MATCH("对"&amp;LEFT($C$5,2)&amp;"输出",标准坦克设计!$B$23:$U$23,0)))*(VLOOKUP($B152,INDIRECT($B$5&amp;"生成成长"),3))*(VLOOKUP($B$5,标准坦克设计!$B$14:$K$20,9)/30))</f>
        <v>6.826760062796307</v>
      </c>
      <c r="AC152" s="173">
        <f ca="1">(VLOOKUP(AC$72,INDIRECT($C$5&amp;"生成成长"),2))/((VLOOKUP($B152,INDIRECT($B$5&amp;"生成成长"),4))/(VLOOKUP(AC$72,INDIRECT($C$5&amp;"生成成长"),5))*(VLOOKUP($B$5,标准坦克设计!$B$24:$U$30,MATCH("对"&amp;LEFT($C$5,2)&amp;"输出",标准坦克设计!$B$23:$U$23,0)))*(VLOOKUP($B152,INDIRECT($B$5&amp;"生成成长"),3))*(VLOOKUP($B$5,标准坦克设计!$B$14:$K$20,9)/30))</f>
        <v>7.4527534647619822</v>
      </c>
      <c r="AD152" s="173">
        <f ca="1">(VLOOKUP(AD$72,INDIRECT($C$5&amp;"生成成长"),2))/((VLOOKUP($B152,INDIRECT($B$5&amp;"生成成长"),4))/(VLOOKUP(AD$72,INDIRECT($C$5&amp;"生成成长"),5))*(VLOOKUP($B$5,标准坦克设计!$B$24:$U$30,MATCH("对"&amp;LEFT($C$5,2)&amp;"输出",标准坦克设计!$B$23:$U$23,0)))*(VLOOKUP($B152,INDIRECT($B$5&amp;"生成成长"),3))*(VLOOKUP($B$5,标准坦克设计!$B$14:$K$20,9)/30))</f>
        <v>8.1062027176910671</v>
      </c>
      <c r="AE152" s="173">
        <f ca="1">(VLOOKUP(AE$72,INDIRECT($C$5&amp;"生成成长"),2))/((VLOOKUP($B152,INDIRECT($B$5&amp;"生成成长"),4))/(VLOOKUP(AE$72,INDIRECT($C$5&amp;"生成成长"),5))*(VLOOKUP($B$5,标准坦克设计!$B$24:$U$30,MATCH("对"&amp;LEFT($C$5,2)&amp;"输出",标准坦克设计!$B$23:$U$23,0)))*(VLOOKUP($B152,INDIRECT($B$5&amp;"生成成长"),3))*(VLOOKUP($B$5,标准坦克设计!$B$14:$K$20,9)/30))</f>
        <v>8.7871078215835592</v>
      </c>
      <c r="AF152" s="173">
        <f ca="1">(VLOOKUP(AF$72,INDIRECT($C$5&amp;"生成成长"),2))/((VLOOKUP($B152,INDIRECT($B$5&amp;"生成成长"),4))/(VLOOKUP(AF$72,INDIRECT($C$5&amp;"生成成长"),5))*(VLOOKUP($B$5,标准坦克设计!$B$24:$U$30,MATCH("对"&amp;LEFT($C$5,2)&amp;"输出",标准坦克设计!$B$23:$U$23,0)))*(VLOOKUP($B152,INDIRECT($B$5&amp;"生成成长"),3))*(VLOOKUP($B$5,标准坦克设计!$B$14:$K$20,9)/30))</f>
        <v>9.4954687764394556</v>
      </c>
      <c r="AG152" s="173">
        <f ca="1">(VLOOKUP(AG$72,INDIRECT($C$5&amp;"生成成长"),2))/((VLOOKUP($B152,INDIRECT($B$5&amp;"生成成长"),4))/(VLOOKUP(AG$72,INDIRECT($C$5&amp;"生成成长"),5))*(VLOOKUP($B$5,标准坦克设计!$B$24:$U$30,MATCH("对"&amp;LEFT($C$5,2)&amp;"输出",标准坦克设计!$B$23:$U$23,0)))*(VLOOKUP($B152,INDIRECT($B$5&amp;"生成成长"),3))*(VLOOKUP($B$5,标准坦克设计!$B$14:$K$20,9)/30))</f>
        <v>10.231285582258762</v>
      </c>
      <c r="AH152" s="173">
        <f ca="1">(VLOOKUP(AH$72,INDIRECT($C$5&amp;"生成成长"),2))/((VLOOKUP($B152,INDIRECT($B$5&amp;"生成成长"),4))/(VLOOKUP(AH$72,INDIRECT($C$5&amp;"生成成长"),5))*(VLOOKUP($B$5,标准坦克设计!$B$24:$U$30,MATCH("对"&amp;LEFT($C$5,2)&amp;"输出",标准坦克设计!$B$23:$U$23,0)))*(VLOOKUP($B152,INDIRECT($B$5&amp;"生成成长"),3))*(VLOOKUP($B$5,标准坦克设计!$B$14:$K$20,9)/30))</f>
        <v>10.994558239041472</v>
      </c>
      <c r="AI152" s="173">
        <f ca="1">(VLOOKUP(AI$72,INDIRECT($C$5&amp;"生成成长"),2))/((VLOOKUP($B152,INDIRECT($B$5&amp;"生成成长"),4))/(VLOOKUP(AI$72,INDIRECT($C$5&amp;"生成成长"),5))*(VLOOKUP($B$5,标准坦克设计!$B$24:$U$30,MATCH("对"&amp;LEFT($C$5,2)&amp;"输出",标准坦克设计!$B$23:$U$23,0)))*(VLOOKUP($B152,INDIRECT($B$5&amp;"生成成长"),3))*(VLOOKUP($B$5,标准坦克设计!$B$14:$K$20,9)/30))</f>
        <v>7.7760461098561002</v>
      </c>
      <c r="AJ152" s="173">
        <f ca="1">(VLOOKUP(AJ$72,INDIRECT($C$5&amp;"生成成长"),2))/((VLOOKUP($B152,INDIRECT($B$5&amp;"生成成长"),4))/(VLOOKUP(AJ$72,INDIRECT($C$5&amp;"生成成长"),5))*(VLOOKUP($B$5,标准坦克设计!$B$24:$U$30,MATCH("对"&amp;LEFT($C$5,2)&amp;"输出",标准坦克设计!$B$23:$U$23,0)))*(VLOOKUP($B152,INDIRECT($B$5&amp;"生成成长"),3))*(VLOOKUP($B$5,标准坦克设计!$B$14:$K$20,9)/30))</f>
        <v>8.5114510779109533</v>
      </c>
      <c r="AK152" s="173">
        <f ca="1">(VLOOKUP(AK$72,INDIRECT($C$5&amp;"生成成长"),2))/((VLOOKUP($B152,INDIRECT($B$5&amp;"生成成长"),4))/(VLOOKUP(AK$72,INDIRECT($C$5&amp;"生成成长"),5))*(VLOOKUP($B$5,标准坦克设计!$B$24:$U$30,MATCH("对"&amp;LEFT($C$5,2)&amp;"输出",标准坦克设计!$B$23:$U$23,0)))*(VLOOKUP($B152,INDIRECT($B$5&amp;"生成成长"),3))*(VLOOKUP($B$5,标准坦克设计!$B$14:$K$20,9)/30))</f>
        <v>9.2800776256315292</v>
      </c>
      <c r="AL152" s="173">
        <f ca="1">(VLOOKUP(AL$72,INDIRECT($C$5&amp;"生成成长"),2))/((VLOOKUP($B152,INDIRECT($B$5&amp;"生成成长"),4))/(VLOOKUP(AL$72,INDIRECT($C$5&amp;"生成成长"),5))*(VLOOKUP($B$5,标准坦克设计!$B$24:$U$30,MATCH("对"&amp;LEFT($C$5,2)&amp;"输出",标准坦克设计!$B$23:$U$23,0)))*(VLOOKUP($B152,INDIRECT($B$5&amp;"生成成长"),3))*(VLOOKUP($B$5,标准坦克设计!$B$14:$K$20,9)/30))</f>
        <v>10.081925753017828</v>
      </c>
      <c r="AM152" s="173">
        <f ca="1">(VLOOKUP(AM$72,INDIRECT($C$5&amp;"生成成长"),2))/((VLOOKUP($B152,INDIRECT($B$5&amp;"生成成长"),4))/(VLOOKUP(AM$72,INDIRECT($C$5&amp;"生成成长"),5))*(VLOOKUP($B$5,标准坦克设计!$B$24:$U$30,MATCH("对"&amp;LEFT($C$5,2)&amp;"输出",标准坦克设计!$B$23:$U$23,0)))*(VLOOKUP($B152,INDIRECT($B$5&amp;"生成成长"),3))*(VLOOKUP($B$5,标准坦克设计!$B$14:$K$20,9)/30))</f>
        <v>10.916995460069847</v>
      </c>
      <c r="AN152" s="173">
        <f ca="1">(VLOOKUP(AN$72,INDIRECT($C$5&amp;"生成成长"),2))/((VLOOKUP($B152,INDIRECT($B$5&amp;"生成成长"),4))/(VLOOKUP(AN$72,INDIRECT($C$5&amp;"生成成长"),5))*(VLOOKUP($B$5,标准坦克设计!$B$24:$U$30,MATCH("对"&amp;LEFT($C$5,2)&amp;"输出",标准坦克设计!$B$23:$U$23,0)))*(VLOOKUP($B152,INDIRECT($B$5&amp;"生成成长"),3))*(VLOOKUP($B$5,标准坦克设计!$B$14:$K$20,9)/30))</f>
        <v>11.785286746787591</v>
      </c>
      <c r="AO152" s="173">
        <f ca="1">(VLOOKUP(AO$72,INDIRECT($C$5&amp;"生成成长"),2))/((VLOOKUP($B152,INDIRECT($B$5&amp;"生成成长"),4))/(VLOOKUP(AO$72,INDIRECT($C$5&amp;"生成成长"),5))*(VLOOKUP($B$5,标准坦克设计!$B$24:$U$30,MATCH("对"&amp;LEFT($C$5,2)&amp;"输出",标准坦克设计!$B$23:$U$23,0)))*(VLOOKUP($B152,INDIRECT($B$5&amp;"生成成长"),3))*(VLOOKUP($B$5,标准坦克设计!$B$14:$K$20,9)/30))</f>
        <v>12.686799613171056</v>
      </c>
      <c r="AP152" s="173">
        <f ca="1">(VLOOKUP(AP$72,INDIRECT($C$5&amp;"生成成长"),2))/((VLOOKUP($B152,INDIRECT($B$5&amp;"生成成长"),4))/(VLOOKUP(AP$72,INDIRECT($C$5&amp;"生成成长"),5))*(VLOOKUP($B$5,标准坦克设计!$B$24:$U$30,MATCH("对"&amp;LEFT($C$5,2)&amp;"输出",标准坦克设计!$B$23:$U$23,0)))*(VLOOKUP($B152,INDIRECT($B$5&amp;"生成成长"),3))*(VLOOKUP($B$5,标准坦克设计!$B$14:$K$20,9)/30))</f>
        <v>13.621534059220243</v>
      </c>
      <c r="AQ152" s="173">
        <f ca="1">(VLOOKUP(AQ$72,INDIRECT($C$5&amp;"生成成长"),2))/((VLOOKUP($B152,INDIRECT($B$5&amp;"生成成长"),4))/(VLOOKUP(AQ$72,INDIRECT($C$5&amp;"生成成长"),5))*(VLOOKUP($B$5,标准坦克设计!$B$24:$U$30,MATCH("对"&amp;LEFT($C$5,2)&amp;"输出",标准坦克设计!$B$23:$U$23,0)))*(VLOOKUP($B152,INDIRECT($B$5&amp;"生成成长"),3))*(VLOOKUP($B$5,标准坦克设计!$B$14:$K$20,9)/30))</f>
        <v>14.589490084935154</v>
      </c>
      <c r="AR152" s="173">
        <f ca="1">(VLOOKUP(AR$72,INDIRECT($C$5&amp;"生成成长"),2))/((VLOOKUP($B152,INDIRECT($B$5&amp;"生成成长"),4))/(VLOOKUP(AR$72,INDIRECT($C$5&amp;"生成成长"),5))*(VLOOKUP($B$5,标准坦克设计!$B$24:$U$30,MATCH("对"&amp;LEFT($C$5,2)&amp;"输出",标准坦克设计!$B$23:$U$23,0)))*(VLOOKUP($B152,INDIRECT($B$5&amp;"生成成长"),3))*(VLOOKUP($B$5,标准坦克设计!$B$14:$K$20,9)/30))</f>
        <v>15.590667690315785</v>
      </c>
      <c r="AS152" s="173">
        <f ca="1">(VLOOKUP(AS$72,INDIRECT($C$5&amp;"生成成长"),2))/((VLOOKUP($B152,INDIRECT($B$5&amp;"生成成长"),4))/(VLOOKUP(AS$72,INDIRECT($C$5&amp;"生成成长"),5))*(VLOOKUP($B$5,标准坦克设计!$B$24:$U$30,MATCH("对"&amp;LEFT($C$5,2)&amp;"输出",标准坦克设计!$B$23:$U$23,0)))*(VLOOKUP($B152,INDIRECT($B$5&amp;"生成成长"),3))*(VLOOKUP($B$5,标准坦克设计!$B$14:$K$20,9)/30))</f>
        <v>16.625066875362144</v>
      </c>
      <c r="AT152" s="173">
        <f ca="1">(VLOOKUP(AT$72,INDIRECT($C$5&amp;"生成成长"),2))/((VLOOKUP($B152,INDIRECT($B$5&amp;"生成成长"),4))/(VLOOKUP(AT$72,INDIRECT($C$5&amp;"生成成长"),5))*(VLOOKUP($B$5,标准坦克设计!$B$24:$U$30,MATCH("对"&amp;LEFT($C$5,2)&amp;"输出",标准坦克设计!$B$23:$U$23,0)))*(VLOOKUP($B152,INDIRECT($B$5&amp;"生成成长"),3))*(VLOOKUP($B$5,标准坦克设计!$B$14:$K$20,9)/30))</f>
        <v>17.692687640074219</v>
      </c>
      <c r="AU152" s="173">
        <f ca="1">(VLOOKUP(AU$72,INDIRECT($C$5&amp;"生成成长"),2))/((VLOOKUP($B152,INDIRECT($B$5&amp;"生成成长"),4))/(VLOOKUP(AU$72,INDIRECT($C$5&amp;"生成成长"),5))*(VLOOKUP($B$5,标准坦克设计!$B$24:$U$30,MATCH("对"&amp;LEFT($C$5,2)&amp;"输出",标准坦克设计!$B$23:$U$23,0)))*(VLOOKUP($B152,INDIRECT($B$5&amp;"生成成长"),3))*(VLOOKUP($B$5,标准坦克设计!$B$14:$K$20,9)/30))</f>
        <v>18.793529984452018</v>
      </c>
      <c r="AV152" s="173">
        <f ca="1">(VLOOKUP(AV$72,INDIRECT($C$5&amp;"生成成长"),2))/((VLOOKUP($B152,INDIRECT($B$5&amp;"生成成长"),4))/(VLOOKUP(AV$72,INDIRECT($C$5&amp;"生成成长"),5))*(VLOOKUP($B$5,标准坦克设计!$B$24:$U$30,MATCH("对"&amp;LEFT($C$5,2)&amp;"输出",标准坦克设计!$B$23:$U$23,0)))*(VLOOKUP($B152,INDIRECT($B$5&amp;"生成成长"),3))*(VLOOKUP($B$5,标准坦克设计!$B$14:$K$20,9)/30))</f>
        <v>1.9114763440723876</v>
      </c>
      <c r="AW152" s="173">
        <f ca="1">(VLOOKUP(AW$72,INDIRECT($C$5&amp;"生成成长"),2))/((VLOOKUP($B152,INDIRECT($B$5&amp;"生成成长"),4))/(VLOOKUP(AW$72,INDIRECT($C$5&amp;"生成成长"),5))*(VLOOKUP($B$5,标准坦克设计!$B$24:$U$30,MATCH("对"&amp;LEFT($C$5,2)&amp;"输出",标准坦克设计!$B$23:$U$23,0)))*(VLOOKUP($B152,INDIRECT($B$5&amp;"生成成长"),3))*(VLOOKUP($B$5,标准坦克设计!$B$14:$K$20,9)/30))</f>
        <v>2.1794454494752391</v>
      </c>
      <c r="AX152" s="173">
        <f ca="1">(VLOOKUP(AX$72,INDIRECT($C$5&amp;"生成成长"),2))/((VLOOKUP($B152,INDIRECT($B$5&amp;"生成成长"),4))/(VLOOKUP(AX$72,INDIRECT($C$5&amp;"生成成长"),5))*(VLOOKUP($B$5,标准坦克设计!$B$24:$U$30,MATCH("对"&amp;LEFT($C$5,2)&amp;"输出",标准坦克设计!$B$23:$U$23,0)))*(VLOOKUP($B152,INDIRECT($B$5&amp;"生成成长"),3))*(VLOOKUP($B$5,标准坦克设计!$B$14:$K$20,9)/30))</f>
        <v>2.4649862994946705</v>
      </c>
      <c r="AY152" s="173">
        <f ca="1">(VLOOKUP(AY$72,INDIRECT($C$5&amp;"生成成长"),2))/((VLOOKUP($B152,INDIRECT($B$5&amp;"生成成长"),4))/(VLOOKUP(AY$72,INDIRECT($C$5&amp;"生成成长"),5))*(VLOOKUP($B$5,标准坦克设计!$B$24:$U$30,MATCH("对"&amp;LEFT($C$5,2)&amp;"输出",标准坦克设计!$B$23:$U$23,0)))*(VLOOKUP($B152,INDIRECT($B$5&amp;"生成成长"),3))*(VLOOKUP($B$5,标准坦克设计!$B$14:$K$20,9)/30))</f>
        <v>2.768098894130683</v>
      </c>
      <c r="AZ152" s="173">
        <f ca="1">(VLOOKUP(AZ$72,INDIRECT($C$5&amp;"生成成长"),2))/((VLOOKUP($B152,INDIRECT($B$5&amp;"生成成长"),4))/(VLOOKUP(AZ$72,INDIRECT($C$5&amp;"生成成长"),5))*(VLOOKUP($B$5,标准坦克设计!$B$24:$U$30,MATCH("对"&amp;LEFT($C$5,2)&amp;"输出",标准坦克设计!$B$23:$U$23,0)))*(VLOOKUP($B152,INDIRECT($B$5&amp;"生成成长"),3))*(VLOOKUP($B$5,标准坦克设计!$B$14:$K$20,9)/30))</f>
        <v>3.0887832333832757</v>
      </c>
      <c r="BA152" s="173">
        <f ca="1">(VLOOKUP(BA$72,INDIRECT($C$5&amp;"生成成长"),2))/((VLOOKUP($B152,INDIRECT($B$5&amp;"生成成长"),4))/(VLOOKUP(BA$72,INDIRECT($C$5&amp;"生成成长"),5))*(VLOOKUP($B$5,标准坦克设计!$B$24:$U$30,MATCH("对"&amp;LEFT($C$5,2)&amp;"输出",标准坦克设计!$B$23:$U$23,0)))*(VLOOKUP($B152,INDIRECT($B$5&amp;"生成成长"),3))*(VLOOKUP($B$5,标准坦克设计!$B$14:$K$20,9)/30))</f>
        <v>3.4270393172524476</v>
      </c>
      <c r="BB152" s="173">
        <f ca="1">(VLOOKUP(BB$72,INDIRECT($C$5&amp;"生成成长"),2))/((VLOOKUP($B152,INDIRECT($B$5&amp;"生成成长"),4))/(VLOOKUP(BB$72,INDIRECT($C$5&amp;"生成成长"),5))*(VLOOKUP($B$5,标准坦克设计!$B$24:$U$30,MATCH("对"&amp;LEFT($C$5,2)&amp;"输出",标准坦克设计!$B$23:$U$23,0)))*(VLOOKUP($B152,INDIRECT($B$5&amp;"生成成长"),3))*(VLOOKUP($B$5,标准坦克设计!$B$14:$K$20,9)/30))</f>
        <v>3.7828671457382019</v>
      </c>
      <c r="BC152" s="173">
        <f ca="1">(VLOOKUP(BC$72,INDIRECT($C$5&amp;"生成成长"),2))/((VLOOKUP($B152,INDIRECT($B$5&amp;"生成成长"),4))/(VLOOKUP(BC$72,INDIRECT($C$5&amp;"生成成长"),5))*(VLOOKUP($B$5,标准坦克设计!$B$24:$U$30,MATCH("对"&amp;LEFT($C$5,2)&amp;"输出",标准坦克设计!$B$23:$U$23,0)))*(VLOOKUP($B152,INDIRECT($B$5&amp;"生成成长"),3))*(VLOOKUP($B$5,标准坦克设计!$B$14:$K$20,9)/30))</f>
        <v>4.156266718840536</v>
      </c>
      <c r="BD152" s="173">
        <f ca="1">(VLOOKUP(BD$72,INDIRECT($C$5&amp;"生成成长"),2))/((VLOOKUP($B152,INDIRECT($B$5&amp;"生成成长"),4))/(VLOOKUP(BD$72,INDIRECT($C$5&amp;"生成成长"),5))*(VLOOKUP($B$5,标准坦克设计!$B$24:$U$30,MATCH("对"&amp;LEFT($C$5,2)&amp;"输出",标准坦克设计!$B$23:$U$23,0)))*(VLOOKUP($B152,INDIRECT($B$5&amp;"生成成长"),3))*(VLOOKUP($B$5,标准坦克设计!$B$14:$K$20,9)/30))</f>
        <v>4.5973449645676672</v>
      </c>
      <c r="BE152" s="173">
        <f ca="1">(VLOOKUP(BE$72,INDIRECT($C$5&amp;"生成成长"),2))/((VLOOKUP($B152,INDIRECT($B$5&amp;"生成成长"),4))/(VLOOKUP(BE$72,INDIRECT($C$5&amp;"生成成长"),5))*(VLOOKUP($B$5,标准坦克设计!$B$24:$U$30,MATCH("对"&amp;LEFT($C$5,2)&amp;"输出",标准坦克设计!$B$23:$U$23,0)))*(VLOOKUP($B152,INDIRECT($B$5&amp;"生成成长"),3))*(VLOOKUP($B$5,标准坦克设计!$B$14:$K$20,9)/30))</f>
        <v>5.0606624495751582</v>
      </c>
      <c r="BF152" s="173">
        <f ca="1">(VLOOKUP(BF$72,INDIRECT($C$5&amp;"生成成长"),2))/((VLOOKUP($B152,INDIRECT($B$5&amp;"生成成长"),4))/(VLOOKUP(BF$72,INDIRECT($C$5&amp;"生成成长"),5))*(VLOOKUP($B$5,标准坦克设计!$B$24:$U$30,MATCH("对"&amp;LEFT($C$5,2)&amp;"输出",标准坦克设计!$B$23:$U$23,0)))*(VLOOKUP($B152,INDIRECT($B$5&amp;"生成成长"),3))*(VLOOKUP($B$5,标准坦克设计!$B$14:$K$20,9)/30))</f>
        <v>5.5462191738630091</v>
      </c>
      <c r="BG152" s="173">
        <f ca="1">(VLOOKUP(BG$72,INDIRECT($C$5&amp;"生成成长"),2))/((VLOOKUP($B152,INDIRECT($B$5&amp;"生成成长"),4))/(VLOOKUP(BG$72,INDIRECT($C$5&amp;"生成成长"),5))*(VLOOKUP($B$5,标准坦克设计!$B$24:$U$30,MATCH("对"&amp;LEFT($C$5,2)&amp;"输出",标准坦克设计!$B$23:$U$23,0)))*(VLOOKUP($B152,INDIRECT($B$5&amp;"生成成长"),3))*(VLOOKUP($B$5,标准坦克设计!$B$14:$K$20,9)/30))</f>
        <v>6.054015137431219</v>
      </c>
      <c r="BH152" s="173">
        <f ca="1">(VLOOKUP(BH$72,INDIRECT($C$5&amp;"生成成长"),2))/((VLOOKUP($B152,INDIRECT($B$5&amp;"生成成长"),4))/(VLOOKUP(BH$72,INDIRECT($C$5&amp;"生成成长"),5))*(VLOOKUP($B$5,标准坦克设计!$B$24:$U$30,MATCH("对"&amp;LEFT($C$5,2)&amp;"输出",标准坦克设计!$B$23:$U$23,0)))*(VLOOKUP($B152,INDIRECT($B$5&amp;"生成成长"),3))*(VLOOKUP($B$5,标准坦克设计!$B$14:$K$20,9)/30))</f>
        <v>2.9262445956799068</v>
      </c>
      <c r="BI152" s="173">
        <f ca="1">(VLOOKUP(BI$72,INDIRECT($C$5&amp;"生成成长"),2))/((VLOOKUP($B152,INDIRECT($B$5&amp;"生成成长"),4))/(VLOOKUP(BI$72,INDIRECT($C$5&amp;"生成成长"),5))*(VLOOKUP($B$5,标准坦克设计!$B$24:$U$30,MATCH("对"&amp;LEFT($C$5,2)&amp;"输出",标准坦克设计!$B$23:$U$23,0)))*(VLOOKUP($B152,INDIRECT($B$5&amp;"生成成长"),3))*(VLOOKUP($B$5,标准坦克设计!$B$14:$K$20,9)/30))</f>
        <v>3.2981340969792527</v>
      </c>
      <c r="BJ152" s="173">
        <f ca="1">(VLOOKUP(BJ$72,INDIRECT($C$5&amp;"生成成长"),2))/((VLOOKUP($B152,INDIRECT($B$5&amp;"生成成长"),4))/(VLOOKUP(BJ$72,INDIRECT($C$5&amp;"生成成长"),5))*(VLOOKUP($B$5,标准坦克设计!$B$24:$U$30,MATCH("对"&amp;LEFT($C$5,2)&amp;"输出",标准坦克设计!$B$23:$U$23,0)))*(VLOOKUP($B152,INDIRECT($B$5&amp;"生成成长"),3))*(VLOOKUP($B$5,标准坦克设计!$B$14:$K$20,9)/30))</f>
        <v>3.6922628375589586</v>
      </c>
      <c r="BK152" s="173">
        <f ca="1">(VLOOKUP(BK$72,INDIRECT($C$5&amp;"生成成长"),2))/((VLOOKUP($B152,INDIRECT($B$5&amp;"生成成长"),4))/(VLOOKUP(BK$72,INDIRECT($C$5&amp;"生成成长"),5))*(VLOOKUP($B$5,标准坦克设计!$B$24:$U$30,MATCH("对"&amp;LEFT($C$5,2)&amp;"输出",标准坦克设计!$B$23:$U$23,0)))*(VLOOKUP($B152,INDIRECT($B$5&amp;"生成成长"),3))*(VLOOKUP($B$5,标准坦克设计!$B$14:$K$20,9)/30))</f>
        <v>4.1086308174190247</v>
      </c>
      <c r="BL152" s="173">
        <f ca="1">(VLOOKUP(BL$72,INDIRECT($C$5&amp;"生成成长"),2))/((VLOOKUP($B152,INDIRECT($B$5&amp;"生成成长"),4))/(VLOOKUP(BL$72,INDIRECT($C$5&amp;"生成成长"),5))*(VLOOKUP($B$5,标准坦克设计!$B$24:$U$30,MATCH("对"&amp;LEFT($C$5,2)&amp;"输出",标准坦克设计!$B$23:$U$23,0)))*(VLOOKUP($B152,INDIRECT($B$5&amp;"生成成长"),3))*(VLOOKUP($B$5,标准坦克设计!$B$14:$K$20,9)/30))</f>
        <v>4.5472380365594489</v>
      </c>
      <c r="BM152" s="173">
        <f ca="1">(VLOOKUP(BM$72,INDIRECT($C$5&amp;"生成成长"),2))/((VLOOKUP($B152,INDIRECT($B$5&amp;"生成成长"),4))/(VLOOKUP(BM$72,INDIRECT($C$5&amp;"生成成长"),5))*(VLOOKUP($B$5,标准坦克设计!$B$24:$U$30,MATCH("对"&amp;LEFT($C$5,2)&amp;"输出",标准坦克设计!$B$23:$U$23,0)))*(VLOOKUP($B152,INDIRECT($B$5&amp;"生成成长"),3))*(VLOOKUP($B$5,标准坦克设计!$B$14:$K$20,9)/30))</f>
        <v>5.008084494980233</v>
      </c>
      <c r="BN152" s="173">
        <f ca="1">(VLOOKUP(BN$72,INDIRECT($C$5&amp;"生成成长"),2))/((VLOOKUP($B152,INDIRECT($B$5&amp;"生成成长"),4))/(VLOOKUP(BN$72,INDIRECT($C$5&amp;"生成成长"),5))*(VLOOKUP($B$5,标准坦克设计!$B$24:$U$30,MATCH("对"&amp;LEFT($C$5,2)&amp;"输出",标准坦克设计!$B$23:$U$23,0)))*(VLOOKUP($B152,INDIRECT($B$5&amp;"生成成长"),3))*(VLOOKUP($B$5,标准坦克设计!$B$14:$K$20,9)/30))</f>
        <v>5.4911701926813778</v>
      </c>
      <c r="BO152" s="173">
        <f ca="1">(VLOOKUP(BO$72,INDIRECT($C$5&amp;"生成成长"),2))/((VLOOKUP($B152,INDIRECT($B$5&amp;"生成成长"),4))/(VLOOKUP(BO$72,INDIRECT($C$5&amp;"生成成长"),5))*(VLOOKUP($B$5,标准坦克设计!$B$24:$U$30,MATCH("对"&amp;LEFT($C$5,2)&amp;"输出",标准坦克设计!$B$23:$U$23,0)))*(VLOOKUP($B152,INDIRECT($B$5&amp;"生成成长"),3))*(VLOOKUP($B$5,标准坦克设计!$B$14:$K$20,9)/30))</f>
        <v>5.9964951296628817</v>
      </c>
      <c r="BP152" s="173">
        <f ca="1">(VLOOKUP(BP$72,INDIRECT($C$5&amp;"生成成长"),2))/((VLOOKUP($B152,INDIRECT($B$5&amp;"生成成长"),4))/(VLOOKUP(BP$72,INDIRECT($C$5&amp;"生成成长"),5))*(VLOOKUP($B$5,标准坦克设计!$B$24:$U$30,MATCH("对"&amp;LEFT($C$5,2)&amp;"输出",标准坦克设计!$B$23:$U$23,0)))*(VLOOKUP($B152,INDIRECT($B$5&amp;"生成成长"),3))*(VLOOKUP($B$5,标准坦克设计!$B$14:$K$20,9)/30))</f>
        <v>6.5240593059247463</v>
      </c>
      <c r="BQ152" s="173">
        <f ca="1">(VLOOKUP(BQ$72,INDIRECT($C$5&amp;"生成成长"),2))/((VLOOKUP($B152,INDIRECT($B$5&amp;"生成成长"),4))/(VLOOKUP(BQ$72,INDIRECT($C$5&amp;"生成成长"),5))*(VLOOKUP($B$5,标准坦克设计!$B$24:$U$30,MATCH("对"&amp;LEFT($C$5,2)&amp;"输出",标准坦克设计!$B$23:$U$23,0)))*(VLOOKUP($B152,INDIRECT($B$5&amp;"生成成长"),3))*(VLOOKUP($B$5,标准坦克设计!$B$14:$K$20,9)/30))</f>
        <v>7.073862721466968</v>
      </c>
      <c r="BR152" s="173">
        <f ca="1">(VLOOKUP(BR$72,INDIRECT($C$5&amp;"生成成长"),2))/((VLOOKUP($B152,INDIRECT($B$5&amp;"生成成长"),4))/(VLOOKUP(BR$72,INDIRECT($C$5&amp;"生成成长"),5))*(VLOOKUP($B$5,标准坦克设计!$B$24:$U$30,MATCH("对"&amp;LEFT($C$5,2)&amp;"输出",标准坦克设计!$B$23:$U$23,0)))*(VLOOKUP($B152,INDIRECT($B$5&amp;"生成成长"),3))*(VLOOKUP($B$5,标准坦克设计!$B$14:$K$20,9)/30))</f>
        <v>7.7108384638180079</v>
      </c>
      <c r="BS152" s="173">
        <f ca="1">(VLOOKUP(BS$72,INDIRECT($C$5&amp;"生成成长"),2))/((VLOOKUP($B152,INDIRECT($B$5&amp;"生成成长"),4))/(VLOOKUP(BS$72,INDIRECT($C$5&amp;"生成成长"),5))*(VLOOKUP($B$5,标准坦克设计!$B$24:$U$30,MATCH("对"&amp;LEFT($C$5,2)&amp;"输出",标准坦克设计!$B$23:$U$23,0)))*(VLOOKUP($B152,INDIRECT($B$5&amp;"生成成长"),3))*(VLOOKUP($B$5,标准坦克设计!$B$14:$K$20,9)/30))</f>
        <v>8.3752700571324556</v>
      </c>
      <c r="BT152" s="173">
        <f ca="1">(VLOOKUP(BT$72,INDIRECT($C$5&amp;"生成成长"),2))/((VLOOKUP($B152,INDIRECT($B$5&amp;"生成成长"),4))/(VLOOKUP(BT$72,INDIRECT($C$5&amp;"生成成长"),5))*(VLOOKUP($B$5,标准坦克设计!$B$24:$U$30,MATCH("对"&amp;LEFT($C$5,2)&amp;"输出",标准坦克设计!$B$23:$U$23,0)))*(VLOOKUP($B152,INDIRECT($B$5&amp;"生成成长"),3))*(VLOOKUP($B$5,标准坦克设计!$B$14:$K$20,9)/30))</f>
        <v>9.0671575014103087</v>
      </c>
      <c r="BU152" s="173">
        <f ca="1">(VLOOKUP(BU$72,INDIRECT($C$5&amp;"生成成长"),2))/((VLOOKUP($B152,INDIRECT($B$5&amp;"生成成长"),4))/(VLOOKUP(BU$72,INDIRECT($C$5&amp;"生成成长"),5))*(VLOOKUP($B$5,标准坦克设计!$B$24:$U$30,MATCH("对"&amp;LEFT($C$5,2)&amp;"输出",标准坦克设计!$B$23:$U$23,0)))*(VLOOKUP($B152,INDIRECT($B$5&amp;"生成成长"),3))*(VLOOKUP($B$5,标准坦克设计!$B$14:$K$20,9)/30))</f>
        <v>9.7865007966515698</v>
      </c>
      <c r="BV152" s="173">
        <f ca="1">(VLOOKUP(BV$72,INDIRECT($C$5&amp;"生成成长"),2))/((VLOOKUP($B152,INDIRECT($B$5&amp;"生成成长"),4))/(VLOOKUP(BV$72,INDIRECT($C$5&amp;"生成成长"),5))*(VLOOKUP($B$5,标准坦克设计!$B$24:$U$30,MATCH("对"&amp;LEFT($C$5,2)&amp;"输出",标准坦克设计!$B$23:$U$23,0)))*(VLOOKUP($B152,INDIRECT($B$5&amp;"生成成长"),3))*(VLOOKUP($B$5,标准坦克设计!$B$14:$K$20,9)/30))</f>
        <v>10.533299942856237</v>
      </c>
      <c r="BW152" s="173">
        <f ca="1">(VLOOKUP(BW$72,INDIRECT($C$5&amp;"生成成长"),2))/((VLOOKUP($B152,INDIRECT($B$5&amp;"生成成长"),4))/(VLOOKUP(BW$72,INDIRECT($C$5&amp;"生成成长"),5))*(VLOOKUP($B$5,标准坦克设计!$B$24:$U$30,MATCH("对"&amp;LEFT($C$5,2)&amp;"输出",标准坦克设计!$B$23:$U$23,0)))*(VLOOKUP($B152,INDIRECT($B$5&amp;"生成成长"),3))*(VLOOKUP($B$5,标准坦克设计!$B$14:$K$20,9)/30))</f>
        <v>4.8005182616968778</v>
      </c>
      <c r="BX152" s="173">
        <f ca="1">(VLOOKUP(BX$72,INDIRECT($C$5&amp;"生成成长"),2))/((VLOOKUP($B152,INDIRECT($B$5&amp;"生成成长"),4))/(VLOOKUP(BX$72,INDIRECT($C$5&amp;"生成成长"),5))*(VLOOKUP($B$5,标准坦克设计!$B$24:$U$30,MATCH("对"&amp;LEFT($C$5,2)&amp;"输出",标准坦克设计!$B$23:$U$23,0)))*(VLOOKUP($B152,INDIRECT($B$5&amp;"生成成长"),3))*(VLOOKUP($B$5,标准坦克设计!$B$14:$K$20,9)/30))</f>
        <v>5.3276706001942893</v>
      </c>
      <c r="BY152" s="173">
        <f ca="1">(VLOOKUP(BY$72,INDIRECT($C$5&amp;"生成成长"),2))/((VLOOKUP($B152,INDIRECT($B$5&amp;"生成成长"),4))/(VLOOKUP(BY$72,INDIRECT($C$5&amp;"生成成长"),5))*(VLOOKUP($B$5,标准坦克设计!$B$24:$U$30,MATCH("对"&amp;LEFT($C$5,2)&amp;"输出",标准坦克设计!$B$23:$U$23,0)))*(VLOOKUP($B152,INDIRECT($B$5&amp;"生成成长"),3))*(VLOOKUP($B$5,标准坦克设计!$B$14:$K$20,9)/30))</f>
        <v>5.8822787896551088</v>
      </c>
      <c r="BZ152" s="173">
        <f ca="1">(VLOOKUP(BZ$72,INDIRECT($C$5&amp;"生成成长"),2))/((VLOOKUP($B152,INDIRECT($B$5&amp;"生成成长"),4))/(VLOOKUP(BZ$72,INDIRECT($C$5&amp;"生成成长"),5))*(VLOOKUP($B$5,标准坦克设计!$B$24:$U$30,MATCH("对"&amp;LEFT($C$5,2)&amp;"输出",标准坦克设计!$B$23:$U$23,0)))*(VLOOKUP($B152,INDIRECT($B$5&amp;"生成成长"),3))*(VLOOKUP($B$5,标准坦克设计!$B$14:$K$20,9)/30))</f>
        <v>6.4643428300793344</v>
      </c>
      <c r="CA152" s="173">
        <f ca="1">(VLOOKUP(CA$72,INDIRECT($C$5&amp;"生成成长"),2))/((VLOOKUP($B152,INDIRECT($B$5&amp;"生成成长"),4))/(VLOOKUP(CA$72,INDIRECT($C$5&amp;"生成成长"),5))*(VLOOKUP($B$5,标准坦克设计!$B$24:$U$30,MATCH("对"&amp;LEFT($C$5,2)&amp;"输出",标准坦克设计!$B$23:$U$23,0)))*(VLOOKUP($B152,INDIRECT($B$5&amp;"生成成长"),3))*(VLOOKUP($B$5,标准坦克设计!$B$14:$K$20,9)/30))</f>
        <v>7.073862721466968</v>
      </c>
      <c r="CB152" s="173">
        <f ca="1">(VLOOKUP(CB$72,INDIRECT($C$5&amp;"生成成长"),2))/((VLOOKUP($B152,INDIRECT($B$5&amp;"生成成长"),4))/(VLOOKUP(CB$72,INDIRECT($C$5&amp;"生成成长"),5))*(VLOOKUP($B$5,标准坦克设计!$B$24:$U$30,MATCH("对"&amp;LEFT($C$5,2)&amp;"输出",标准坦克设计!$B$23:$U$23,0)))*(VLOOKUP($B152,INDIRECT($B$5&amp;"生成成长"),3))*(VLOOKUP($B$5,标准坦克设计!$B$14:$K$20,9)/30))</f>
        <v>7.7108384638180079</v>
      </c>
      <c r="CC152" s="173">
        <f ca="1">(VLOOKUP(CC$72,INDIRECT($C$5&amp;"生成成长"),2))/((VLOOKUP($B152,INDIRECT($B$5&amp;"生成成长"),4))/(VLOOKUP(CC$72,INDIRECT($C$5&amp;"生成成长"),5))*(VLOOKUP($B$5,标准坦克设计!$B$24:$U$30,MATCH("对"&amp;LEFT($C$5,2)&amp;"输出",标准坦克设计!$B$23:$U$23,0)))*(VLOOKUP($B152,INDIRECT($B$5&amp;"生成成长"),3))*(VLOOKUP($B$5,标准坦克设计!$B$14:$K$20,9)/30))</f>
        <v>8.3752700571324556</v>
      </c>
      <c r="CD152" s="173">
        <f ca="1">(VLOOKUP(CD$72,INDIRECT($C$5&amp;"生成成长"),2))/((VLOOKUP($B152,INDIRECT($B$5&amp;"生成成长"),4))/(VLOOKUP(CD$72,INDIRECT($C$5&amp;"生成成长"),5))*(VLOOKUP($B$5,标准坦克设计!$B$24:$U$30,MATCH("对"&amp;LEFT($C$5,2)&amp;"输出",标准坦克设计!$B$23:$U$23,0)))*(VLOOKUP($B152,INDIRECT($B$5&amp;"生成成长"),3))*(VLOOKUP($B$5,标准坦克设计!$B$14:$K$20,9)/30))</f>
        <v>9.0671575014103087</v>
      </c>
      <c r="CE152" s="173">
        <f ca="1">(VLOOKUP(CE$72,INDIRECT($C$5&amp;"生成成长"),2))/((VLOOKUP($B152,INDIRECT($B$5&amp;"生成成长"),4))/(VLOOKUP(CE$72,INDIRECT($C$5&amp;"生成成长"),5))*(VLOOKUP($B$5,标准坦克设计!$B$24:$U$30,MATCH("对"&amp;LEFT($C$5,2)&amp;"输出",标准坦克设计!$B$23:$U$23,0)))*(VLOOKUP($B152,INDIRECT($B$5&amp;"生成成长"),3))*(VLOOKUP($B$5,标准坦克设计!$B$14:$K$20,9)/30))</f>
        <v>9.7865007966515698</v>
      </c>
      <c r="CF152" s="173">
        <f ca="1">(VLOOKUP(CF$72,INDIRECT($C$5&amp;"生成成长"),2))/((VLOOKUP($B152,INDIRECT($B$5&amp;"生成成长"),4))/(VLOOKUP(CF$72,INDIRECT($C$5&amp;"生成成长"),5))*(VLOOKUP($B$5,标准坦克设计!$B$24:$U$30,MATCH("对"&amp;LEFT($C$5,2)&amp;"输出",标准坦克设计!$B$23:$U$23,0)))*(VLOOKUP($B152,INDIRECT($B$5&amp;"生成成长"),3))*(VLOOKUP($B$5,标准坦克设计!$B$14:$K$20,9)/30))</f>
        <v>10.533299942856237</v>
      </c>
      <c r="CG152" s="173">
        <f ca="1">(VLOOKUP(CG$72,INDIRECT($C$5&amp;"生成成长"),2))/((VLOOKUP($B152,INDIRECT($B$5&amp;"生成成长"),4))/(VLOOKUP(CG$72,INDIRECT($C$5&amp;"生成成长"),5))*(VLOOKUP($B$5,标准坦克设计!$B$24:$U$30,MATCH("对"&amp;LEFT($C$5,2)&amp;"输出",标准坦克设计!$B$23:$U$23,0)))*(VLOOKUP($B152,INDIRECT($B$5&amp;"生成成长"),3))*(VLOOKUP($B$5,标准坦克设计!$B$14:$K$20,9)/30))</f>
        <v>11.30755494002431</v>
      </c>
      <c r="CH152" s="173">
        <f ca="1">(VLOOKUP(CH$72,INDIRECT($C$5&amp;"生成成长"),2))/((VLOOKUP($B152,INDIRECT($B$5&amp;"生成成长"),4))/(VLOOKUP(CH$72,INDIRECT($C$5&amp;"生成成长"),5))*(VLOOKUP($B$5,标准坦克设计!$B$24:$U$30,MATCH("对"&amp;LEFT($C$5,2)&amp;"输出",标准坦克设计!$B$23:$U$23,0)))*(VLOOKUP($B152,INDIRECT($B$5&amp;"生成成长"),3))*(VLOOKUP($B$5,标准坦克设计!$B$14:$K$20,9)/30))</f>
        <v>12.109265788155792</v>
      </c>
      <c r="CI152" s="173">
        <f ca="1">(VLOOKUP(CI$72,INDIRECT($C$5&amp;"生成成长"),2))/((VLOOKUP($B152,INDIRECT($B$5&amp;"生成成长"),4))/(VLOOKUP(CI$72,INDIRECT($C$5&amp;"生成成长"),5))*(VLOOKUP($B$5,标准坦克设计!$B$24:$U$30,MATCH("对"&amp;LEFT($C$5,2)&amp;"输出",标准坦克设计!$B$23:$U$23,0)))*(VLOOKUP($B152,INDIRECT($B$5&amp;"生成成长"),3))*(VLOOKUP($B$5,标准坦克设计!$B$14:$K$20,9)/30))</f>
        <v>13.022859228963158</v>
      </c>
      <c r="CJ152" s="173">
        <f ca="1">(VLOOKUP(CJ$72,INDIRECT($C$5&amp;"生成成长"),2))/((VLOOKUP($B152,INDIRECT($B$5&amp;"生成成长"),4))/(VLOOKUP(CJ$72,INDIRECT($C$5&amp;"生成成长"),5))*(VLOOKUP($B$5,标准坦克设计!$B$24:$U$30,MATCH("对"&amp;LEFT($C$5,2)&amp;"输出",标准坦克设计!$B$23:$U$23,0)))*(VLOOKUP($B152,INDIRECT($B$5&amp;"生成成长"),3))*(VLOOKUP($B$5,标准坦克设计!$B$14:$K$20,9)/30))</f>
        <v>13.969674249436244</v>
      </c>
      <c r="CK152" s="173">
        <f ca="1">(VLOOKUP(CK$72,INDIRECT($C$5&amp;"生成成长"),2))/((VLOOKUP($B152,INDIRECT($B$5&amp;"生成成长"),4))/(VLOOKUP(CK$72,INDIRECT($C$5&amp;"生成成长"),5))*(VLOOKUP($B$5,标准坦克设计!$B$24:$U$30,MATCH("对"&amp;LEFT($C$5,2)&amp;"输出",标准坦克设计!$B$23:$U$23,0)))*(VLOOKUP($B152,INDIRECT($B$5&amp;"生成成长"),3))*(VLOOKUP($B$5,标准坦克设计!$B$14:$K$20,9)/30))</f>
        <v>14.949710849575052</v>
      </c>
      <c r="CL152" s="173">
        <f ca="1">(VLOOKUP(CL$72,INDIRECT($C$5&amp;"生成成长"),2))/((VLOOKUP($B152,INDIRECT($B$5&amp;"生成成长"),4))/(VLOOKUP(CL$72,INDIRECT($C$5&amp;"生成成长"),5))*(VLOOKUP($B$5,标准坦克设计!$B$24:$U$30,MATCH("对"&amp;LEFT($C$5,2)&amp;"输出",标准坦克设计!$B$23:$U$23,0)))*(VLOOKUP($B152,INDIRECT($B$5&amp;"生成成长"),3))*(VLOOKUP($B$5,标准坦克设计!$B$14:$K$20,9)/30))</f>
        <v>15.962969029379581</v>
      </c>
      <c r="CM152" s="173">
        <f ca="1">(VLOOKUP(CM$72,INDIRECT($C$5&amp;"生成成长"),2))/((VLOOKUP($B152,INDIRECT($B$5&amp;"生成成长"),4))/(VLOOKUP(CM$72,INDIRECT($C$5&amp;"生成成长"),5))*(VLOOKUP($B$5,标准坦克设计!$B$24:$U$30,MATCH("对"&amp;LEFT($C$5,2)&amp;"输出",标准坦克设计!$B$23:$U$23,0)))*(VLOOKUP($B152,INDIRECT($B$5&amp;"生成成长"),3))*(VLOOKUP($B$5,标准坦克设计!$B$14:$K$20,9)/30))</f>
        <v>17.009448788849838</v>
      </c>
      <c r="CN152" s="173">
        <f ca="1">(VLOOKUP(CN$72,INDIRECT($C$5&amp;"生成成长"),2))/((VLOOKUP($B152,INDIRECT($B$5&amp;"生成成长"),4))/(VLOOKUP(CN$72,INDIRECT($C$5&amp;"生成成长"),5))*(VLOOKUP($B$5,标准坦克设计!$B$24:$U$30,MATCH("对"&amp;LEFT($C$5,2)&amp;"输出",标准坦克设计!$B$23:$U$23,0)))*(VLOOKUP($B152,INDIRECT($B$5&amp;"生成成长"),3))*(VLOOKUP($B$5,标准坦克设计!$B$14:$K$20,9)/30))</f>
        <v>18.089150127985814</v>
      </c>
      <c r="CO152" s="173">
        <f ca="1">(VLOOKUP(CO$72,INDIRECT($C$5&amp;"生成成长"),2))/((VLOOKUP($B152,INDIRECT($B$5&amp;"生成成长"),4))/(VLOOKUP(CO$72,INDIRECT($C$5&amp;"生成成长"),5))*(VLOOKUP($B$5,标准坦克设计!$B$24:$U$30,MATCH("对"&amp;LEFT($C$5,2)&amp;"输出",标准坦克设计!$B$23:$U$23,0)))*(VLOOKUP($B152,INDIRECT($B$5&amp;"生成成长"),3))*(VLOOKUP($B$5,标准坦克设计!$B$14:$K$20,9)/30))</f>
        <v>8.1062027176910671</v>
      </c>
      <c r="CP152" s="173">
        <f ca="1">(VLOOKUP(CP$72,INDIRECT($C$5&amp;"生成成长"),2))/((VLOOKUP($B152,INDIRECT($B$5&amp;"生成成长"),4))/(VLOOKUP(CP$72,INDIRECT($C$5&amp;"生成成长"),5))*(VLOOKUP($B$5,标准坦克设计!$B$24:$U$30,MATCH("对"&amp;LEFT($C$5,2)&amp;"输出",标准坦克设计!$B$23:$U$23,0)))*(VLOOKUP($B152,INDIRECT($B$5&amp;"生成成长"),3))*(VLOOKUP($B$5,标准坦克设计!$B$14:$K$20,9)/30))</f>
        <v>8.8567084037757944</v>
      </c>
      <c r="CQ152" s="173">
        <f ca="1">(VLOOKUP(CQ$72,INDIRECT($C$5&amp;"生成成长"),2))/((VLOOKUP($B152,INDIRECT($B$5&amp;"生成成长"),4))/(VLOOKUP(CQ$72,INDIRECT($C$5&amp;"生成成长"),5))*(VLOOKUP($B$5,标准坦克设计!$B$24:$U$30,MATCH("对"&amp;LEFT($C$5,2)&amp;"输出",标准坦克设计!$B$23:$U$23,0)))*(VLOOKUP($B152,INDIRECT($B$5&amp;"生成成长"),3))*(VLOOKUP($B$5,标准坦克设计!$B$14:$K$20,9)/30))</f>
        <v>9.6404356695262443</v>
      </c>
      <c r="CR152" s="173">
        <f ca="1">(VLOOKUP(CR$72,INDIRECT($C$5&amp;"生成成长"),2))/((VLOOKUP($B152,INDIRECT($B$5&amp;"生成成长"),4))/(VLOOKUP(CR$72,INDIRECT($C$5&amp;"生成成长"),5))*(VLOOKUP($B$5,标准坦克设计!$B$24:$U$30,MATCH("对"&amp;LEFT($C$5,2)&amp;"输出",标准坦克设计!$B$23:$U$23,0)))*(VLOOKUP($B152,INDIRECT($B$5&amp;"生成成长"),3))*(VLOOKUP($B$5,标准坦克设计!$B$14:$K$20,9)/30))</f>
        <v>10.457384514942415</v>
      </c>
      <c r="CS152" s="173">
        <f ca="1">(VLOOKUP(CS$72,INDIRECT($C$5&amp;"生成成长"),2))/((VLOOKUP($B152,INDIRECT($B$5&amp;"生成成长"),4))/(VLOOKUP(CS$72,INDIRECT($C$5&amp;"生成成长"),5))*(VLOOKUP($B$5,标准坦克设计!$B$24:$U$30,MATCH("对"&amp;LEFT($C$5,2)&amp;"输出",标准坦克设计!$B$23:$U$23,0)))*(VLOOKUP($B152,INDIRECT($B$5&amp;"生成成长"),3))*(VLOOKUP($B$5,标准坦克设计!$B$14:$K$20,9)/30))</f>
        <v>11.30755494002431</v>
      </c>
      <c r="CT152" s="173">
        <f ca="1">(VLOOKUP(CT$72,INDIRECT($C$5&amp;"生成成长"),2))/((VLOOKUP($B152,INDIRECT($B$5&amp;"生成成长"),4))/(VLOOKUP(CT$72,INDIRECT($C$5&amp;"生成成长"),5))*(VLOOKUP($B$5,标准坦克设计!$B$24:$U$30,MATCH("对"&amp;LEFT($C$5,2)&amp;"输出",标准坦克设计!$B$23:$U$23,0)))*(VLOOKUP($B152,INDIRECT($B$5&amp;"生成成长"),3))*(VLOOKUP($B$5,标准坦克设计!$B$14:$K$20,9)/30))</f>
        <v>12.190946944771927</v>
      </c>
      <c r="CU152" s="173">
        <f ca="1">(VLOOKUP(CU$72,INDIRECT($C$5&amp;"生成成长"),2))/((VLOOKUP($B152,INDIRECT($B$5&amp;"生成成长"),4))/(VLOOKUP(CU$72,INDIRECT($C$5&amp;"生成成长"),5))*(VLOOKUP($B$5,标准坦克设计!$B$24:$U$30,MATCH("对"&amp;LEFT($C$5,2)&amp;"输出",标准坦克设计!$B$23:$U$23,0)))*(VLOOKUP($B152,INDIRECT($B$5&amp;"生成成长"),3))*(VLOOKUP($B$5,标准坦克设计!$B$14:$K$20,9)/30))</f>
        <v>13.107560529185266</v>
      </c>
      <c r="CV152" s="173">
        <f ca="1">(VLOOKUP(CV$72,INDIRECT($C$5&amp;"生成成长"),2))/((VLOOKUP($B152,INDIRECT($B$5&amp;"生成成长"),4))/(VLOOKUP(CV$72,INDIRECT($C$5&amp;"生成成长"),5))*(VLOOKUP($B$5,标准坦克设计!$B$24:$U$30,MATCH("对"&amp;LEFT($C$5,2)&amp;"输出",标准坦克设计!$B$23:$U$23,0)))*(VLOOKUP($B152,INDIRECT($B$5&amp;"生成成长"),3))*(VLOOKUP($B$5,标准坦克设计!$B$14:$K$20,9)/30))</f>
        <v>14.057395693264327</v>
      </c>
      <c r="CW152" s="173">
        <f ca="1">(VLOOKUP(CW$72,INDIRECT($C$5&amp;"生成成长"),2))/((VLOOKUP($B152,INDIRECT($B$5&amp;"生成成长"),4))/(VLOOKUP(CW$72,INDIRECT($C$5&amp;"生成成长"),5))*(VLOOKUP($B$5,标准坦克设计!$B$24:$U$30,MATCH("对"&amp;LEFT($C$5,2)&amp;"输出",标准坦克设计!$B$23:$U$23,0)))*(VLOOKUP($B152,INDIRECT($B$5&amp;"生成成长"),3))*(VLOOKUP($B$5,标准坦克设计!$B$14:$K$20,9)/30))</f>
        <v>15.040452437009112</v>
      </c>
      <c r="CX152" s="173">
        <f ca="1">(VLOOKUP(CX$72,INDIRECT($C$5&amp;"生成成长"),2))/((VLOOKUP($B152,INDIRECT($B$5&amp;"生成成长"),4))/(VLOOKUP(CX$72,INDIRECT($C$5&amp;"生成成长"),5))*(VLOOKUP($B$5,标准坦克设计!$B$24:$U$30,MATCH("对"&amp;LEFT($C$5,2)&amp;"输出",标准坦克设计!$B$23:$U$23,0)))*(VLOOKUP($B152,INDIRECT($B$5&amp;"生成成长"),3))*(VLOOKUP($B$5,标准坦克设计!$B$14:$K$20,9)/30))</f>
        <v>16.056730760419615</v>
      </c>
      <c r="CY152" s="173">
        <f ca="1">(VLOOKUP(CY$72,INDIRECT($C$5&amp;"生成成长"),2))/((VLOOKUP($B152,INDIRECT($B$5&amp;"生成成长"),4))/(VLOOKUP(CY$72,INDIRECT($C$5&amp;"生成成长"),5))*(VLOOKUP($B$5,标准坦克设计!$B$24:$U$30,MATCH("对"&amp;LEFT($C$5,2)&amp;"输出",标准坦克设计!$B$23:$U$23,0)))*(VLOOKUP($B152,INDIRECT($B$5&amp;"生成成长"),3))*(VLOOKUP($B$5,标准坦克设计!$B$14:$K$20,9)/30))</f>
        <v>17.106230663495847</v>
      </c>
      <c r="CZ152" s="173">
        <f ca="1">(VLOOKUP(CZ$72,INDIRECT($C$5&amp;"生成成长"),2))/((VLOOKUP($B152,INDIRECT($B$5&amp;"生成成长"),4))/(VLOOKUP(CZ$72,INDIRECT($C$5&amp;"生成成长"),5))*(VLOOKUP($B$5,标准坦克设计!$B$24:$U$30,MATCH("对"&amp;LEFT($C$5,2)&amp;"输出",标准坦克设计!$B$23:$U$23,0)))*(VLOOKUP($B152,INDIRECT($B$5&amp;"生成成长"),3))*(VLOOKUP($B$5,标准坦克设计!$B$14:$K$20,9)/30))</f>
        <v>18.188952146237796</v>
      </c>
      <c r="DA152" s="173">
        <f ca="1">(VLOOKUP(DA$72,INDIRECT($C$5&amp;"生成成长"),2))/((VLOOKUP($B152,INDIRECT($B$5&amp;"生成成长"),4))/(VLOOKUP(DA$72,INDIRECT($C$5&amp;"生成成长"),5))*(VLOOKUP($B$5,标准坦克设计!$B$24:$U$30,MATCH("对"&amp;LEFT($C$5,2)&amp;"输出",标准坦克设计!$B$23:$U$23,0)))*(VLOOKUP($B152,INDIRECT($B$5&amp;"生成成长"),3))*(VLOOKUP($B$5,标准坦克设计!$B$14:$K$20,9)/30))</f>
        <v>19.304895208645469</v>
      </c>
      <c r="DB152" s="173">
        <f ca="1">(VLOOKUP(DB$72,INDIRECT($C$5&amp;"生成成长"),2))/((VLOOKUP($B152,INDIRECT($B$5&amp;"生成成长"),4))/(VLOOKUP(DB$72,INDIRECT($C$5&amp;"生成成长"),5))*(VLOOKUP($B$5,标准坦克设计!$B$24:$U$30,MATCH("对"&amp;LEFT($C$5,2)&amp;"输出",标准坦克设计!$B$23:$U$23,0)))*(VLOOKUP($B152,INDIRECT($B$5&amp;"生成成长"),3))*(VLOOKUP($B$5,标准坦克设计!$B$14:$K$20,9)/30))</f>
        <v>20.454059850718867</v>
      </c>
      <c r="DC152" s="173">
        <f ca="1">(VLOOKUP(DC$72,INDIRECT($C$5&amp;"生成成长"),2))/((VLOOKUP($B152,INDIRECT($B$5&amp;"生成成长"),4))/(VLOOKUP(DC$72,INDIRECT($C$5&amp;"生成成长"),5))*(VLOOKUP($B$5,标准坦克设计!$B$24:$U$30,MATCH("对"&amp;LEFT($C$5,2)&amp;"输出",标准坦克设计!$B$23:$U$23,0)))*(VLOOKUP($B152,INDIRECT($B$5&amp;"生成成长"),3))*(VLOOKUP($B$5,标准坦克设计!$B$14:$K$20,9)/30))</f>
        <v>21.745583080037527</v>
      </c>
      <c r="DD152" s="173">
        <f ca="1">(VLOOKUP(DD$72,INDIRECT($C$5&amp;"生成成长"),2))/((VLOOKUP($B152,INDIRECT($B$5&amp;"生成成长"),4))/(VLOOKUP(DD$72,INDIRECT($C$5&amp;"生成成长"),5))*(VLOOKUP($B$5,标准坦克设计!$B$24:$U$30,MATCH("对"&amp;LEFT($C$5,2)&amp;"输出",标准坦克设计!$B$23:$U$23,0)))*(VLOOKUP($B152,INDIRECT($B$5&amp;"生成成长"),3))*(VLOOKUP($B$5,标准坦克设计!$B$14:$K$20,9)/30))</f>
        <v>23.076642734743491</v>
      </c>
      <c r="DE152" s="173">
        <f ca="1">(VLOOKUP(DE$72,INDIRECT($C$5&amp;"生成成长"),2))/((VLOOKUP($B152,INDIRECT($B$5&amp;"生成成长"),4))/(VLOOKUP(DE$72,INDIRECT($C$5&amp;"生成成长"),5))*(VLOOKUP($B$5,标准坦克设计!$B$24:$U$30,MATCH("对"&amp;LEFT($C$5,2)&amp;"输出",标准坦克设计!$B$23:$U$23,0)))*(VLOOKUP($B152,INDIRECT($B$5&amp;"生成成长"),3))*(VLOOKUP($B$5,标准坦克设计!$B$14:$K$20,9)/30))</f>
        <v>24.447238814836759</v>
      </c>
      <c r="DF152" s="173">
        <f ca="1">(VLOOKUP(DF$72,INDIRECT($C$5&amp;"生成成长"),2))/((VLOOKUP($B152,INDIRECT($B$5&amp;"生成成长"),4))/(VLOOKUP(DF$72,INDIRECT($C$5&amp;"生成成长"),5))*(VLOOKUP($B$5,标准坦克设计!$B$24:$U$30,MATCH("对"&amp;LEFT($C$5,2)&amp;"输出",标准坦克设计!$B$23:$U$23,0)))*(VLOOKUP($B152,INDIRECT($B$5&amp;"生成成长"),3))*(VLOOKUP($B$5,标准坦克设计!$B$14:$K$20,9)/30))</f>
        <v>25.857371320317338</v>
      </c>
      <c r="DG152" s="173">
        <f ca="1">(VLOOKUP(DG$72,INDIRECT($C$5&amp;"生成成长"),2))/((VLOOKUP($B152,INDIRECT($B$5&amp;"生成成长"),4))/(VLOOKUP(DG$72,INDIRECT($C$5&amp;"生成成长"),5))*(VLOOKUP($B$5,标准坦克设计!$B$24:$U$30,MATCH("对"&amp;LEFT($C$5,2)&amp;"输出",标准坦克设计!$B$23:$U$23,0)))*(VLOOKUP($B152,INDIRECT($B$5&amp;"生成成长"),3))*(VLOOKUP($B$5,标准坦克设计!$B$14:$K$20,9)/30))</f>
        <v>27.307040251185228</v>
      </c>
      <c r="DH152" s="173">
        <f ca="1">(VLOOKUP(DH$72,INDIRECT($C$5&amp;"生成成长"),2))/((VLOOKUP($B152,INDIRECT($B$5&amp;"生成成长"),4))/(VLOOKUP(DH$72,INDIRECT($C$5&amp;"生成成长"),5))*(VLOOKUP($B$5,标准坦克设计!$B$24:$U$30,MATCH("对"&amp;LEFT($C$5,2)&amp;"输出",标准坦克设计!$B$23:$U$23,0)))*(VLOOKUP($B152,INDIRECT($B$5&amp;"生成成长"),3))*(VLOOKUP($B$5,标准坦克设计!$B$14:$K$20,9)/30))</f>
        <v>28.796245607440415</v>
      </c>
      <c r="DI152" s="173">
        <f ca="1">(VLOOKUP(DI$72,INDIRECT($C$5&amp;"生成成长"),2))/((VLOOKUP($B152,INDIRECT($B$5&amp;"生成成长"),4))/(VLOOKUP(DI$72,INDIRECT($C$5&amp;"生成成长"),5))*(VLOOKUP($B$5,标准坦克设计!$B$24:$U$30,MATCH("对"&amp;LEFT($C$5,2)&amp;"输出",标准坦克设计!$B$23:$U$23,0)))*(VLOOKUP($B152,INDIRECT($B$5&amp;"生成成长"),3))*(VLOOKUP($B$5,标准坦克设计!$B$14:$K$20,9)/30))</f>
        <v>30.32498738908291</v>
      </c>
      <c r="DJ152" s="173">
        <f ca="1">(VLOOKUP(DJ$72,INDIRECT($C$5&amp;"生成成长"),2))/((VLOOKUP($B152,INDIRECT($B$5&amp;"生成成长"),4))/(VLOOKUP(DJ$72,INDIRECT($C$5&amp;"生成成长"),5))*(VLOOKUP($B$5,标准坦克设计!$B$24:$U$30,MATCH("对"&amp;LEFT($C$5,2)&amp;"输出",标准坦克设计!$B$23:$U$23,0)))*(VLOOKUP($B152,INDIRECT($B$5&amp;"生成成长"),3))*(VLOOKUP($B$5,标准坦克设计!$B$14:$K$20,9)/30))</f>
        <v>3.0477367361929817</v>
      </c>
      <c r="DK152" s="173">
        <f ca="1">(VLOOKUP(DK$72,INDIRECT($C$5&amp;"生成成长"),2))/((VLOOKUP($B152,INDIRECT($B$5&amp;"生成成长"),4))/(VLOOKUP(DK$72,INDIRECT($C$5&amp;"生成成长"),5))*(VLOOKUP($B$5,标准坦克设计!$B$24:$U$30,MATCH("对"&amp;LEFT($C$5,2)&amp;"输出",标准坦克设计!$B$23:$U$23,0)))*(VLOOKUP($B152,INDIRECT($B$5&amp;"生成成长"),3))*(VLOOKUP($B$5,标准坦克设计!$B$14:$K$20,9)/30))</f>
        <v>3.4270393172524476</v>
      </c>
      <c r="DL152" s="173">
        <f ca="1">(VLOOKUP(DL$72,INDIRECT($C$5&amp;"生成成长"),2))/((VLOOKUP($B152,INDIRECT($B$5&amp;"生成成长"),4))/(VLOOKUP(DL$72,INDIRECT($C$5&amp;"生成成长"),5))*(VLOOKUP($B$5,标准坦克设计!$B$24:$U$30,MATCH("对"&amp;LEFT($C$5,2)&amp;"输出",标准坦克设计!$B$23:$U$23,0)))*(VLOOKUP($B152,INDIRECT($B$5&amp;"生成成长"),3))*(VLOOKUP($B$5,标准坦克设计!$B$14:$K$20,9)/30))</f>
        <v>3.8285811375922738</v>
      </c>
      <c r="DM152" s="173">
        <f ca="1">(VLOOKUP(DM$72,INDIRECT($C$5&amp;"生成成长"),2))/((VLOOKUP($B152,INDIRECT($B$5&amp;"生成成长"),4))/(VLOOKUP(DM$72,INDIRECT($C$5&amp;"生成成长"),5))*(VLOOKUP($B$5,标准坦克设计!$B$24:$U$30,MATCH("对"&amp;LEFT($C$5,2)&amp;"输出",标准坦克设计!$B$23:$U$23,0)))*(VLOOKUP($B152,INDIRECT($B$5&amp;"生成成长"),3))*(VLOOKUP($B$5,标准坦克设计!$B$14:$K$20,9)/30))</f>
        <v>4.2523621972124594</v>
      </c>
      <c r="DN152" s="173">
        <f ca="1">(VLOOKUP(DN$72,INDIRECT($C$5&amp;"生成成长"),2))/((VLOOKUP($B152,INDIRECT($B$5&amp;"生成成长"),4))/(VLOOKUP(DN$72,INDIRECT($C$5&amp;"生成成长"),5))*(VLOOKUP($B$5,标准坦克设计!$B$24:$U$30,MATCH("对"&amp;LEFT($C$5,2)&amp;"输出",标准坦克设计!$B$23:$U$23,0)))*(VLOOKUP($B152,INDIRECT($B$5&amp;"生成成长"),3))*(VLOOKUP($B$5,标准坦克设计!$B$14:$K$20,9)/30))</f>
        <v>4.6983824961130045</v>
      </c>
      <c r="DO152" s="173">
        <f ca="1">(VLOOKUP(DO$72,INDIRECT($C$5&amp;"生成成长"),2))/((VLOOKUP($B152,INDIRECT($B$5&amp;"生成成长"),4))/(VLOOKUP(DO$72,INDIRECT($C$5&amp;"生成成长"),5))*(VLOOKUP($B$5,标准坦克设计!$B$24:$U$30,MATCH("对"&amp;LEFT($C$5,2)&amp;"输出",标准坦克设计!$B$23:$U$23,0)))*(VLOOKUP($B152,INDIRECT($B$5&amp;"生成成长"),3))*(VLOOKUP($B$5,标准坦克设计!$B$14:$K$20,9)/30))</f>
        <v>5.1666420342939086</v>
      </c>
      <c r="DP152" s="173">
        <f ca="1">(VLOOKUP(DP$72,INDIRECT($C$5&amp;"生成成长"),2))/((VLOOKUP($B152,INDIRECT($B$5&amp;"生成成长"),4))/(VLOOKUP(DP$72,INDIRECT($C$5&amp;"生成成长"),5))*(VLOOKUP($B$5,标准坦克设计!$B$24:$U$30,MATCH("对"&amp;LEFT($C$5,2)&amp;"输出",标准坦克设计!$B$23:$U$23,0)))*(VLOOKUP($B152,INDIRECT($B$5&amp;"生成成长"),3))*(VLOOKUP($B$5,标准坦克设计!$B$14:$K$20,9)/30))</f>
        <v>5.6571408117551734</v>
      </c>
      <c r="DQ152" s="173">
        <f ca="1">(VLOOKUP(DQ$72,INDIRECT($C$5&amp;"生成成长"),2))/((VLOOKUP($B152,INDIRECT($B$5&amp;"生成成长"),4))/(VLOOKUP(DQ$72,INDIRECT($C$5&amp;"生成成长"),5))*(VLOOKUP($B$5,标准坦克设计!$B$24:$U$30,MATCH("对"&amp;LEFT($C$5,2)&amp;"输出",标准坦克设计!$B$23:$U$23,0)))*(VLOOKUP($B152,INDIRECT($B$5&amp;"生成成长"),3))*(VLOOKUP($B$5,标准坦克设计!$B$14:$K$20,9)/30))</f>
        <v>6.1698788284967963</v>
      </c>
      <c r="DR152" s="173">
        <f ca="1">(VLOOKUP(DR$72,INDIRECT($C$5&amp;"生成成长"),2))/((VLOOKUP($B152,INDIRECT($B$5&amp;"生成成长"),4))/(VLOOKUP(DR$72,INDIRECT($C$5&amp;"生成成长"),5))*(VLOOKUP($B$5,标准坦克设计!$B$24:$U$30,MATCH("对"&amp;LEFT($C$5,2)&amp;"输出",标准坦克设计!$B$23:$U$23,0)))*(VLOOKUP($B152,INDIRECT($B$5&amp;"生成成长"),3))*(VLOOKUP($B$5,标准坦克设计!$B$14:$K$20,9)/30))</f>
        <v>6.7048560845187799</v>
      </c>
      <c r="DS152" s="173">
        <f ca="1">(VLOOKUP(DS$72,INDIRECT($C$5&amp;"生成成长"),2))/((VLOOKUP($B152,INDIRECT($B$5&amp;"生成成长"),4))/(VLOOKUP(DS$72,INDIRECT($C$5&amp;"生成成长"),5))*(VLOOKUP($B$5,标准坦克设计!$B$24:$U$30,MATCH("对"&amp;LEFT($C$5,2)&amp;"输出",标准坦克设计!$B$23:$U$23,0)))*(VLOOKUP($B152,INDIRECT($B$5&amp;"生成成长"),3))*(VLOOKUP($B$5,标准坦克设计!$B$14:$K$20,9)/30))</f>
        <v>7.2620725798211234</v>
      </c>
      <c r="DT152" s="173">
        <f ca="1">(VLOOKUP(DT$72,INDIRECT($C$5&amp;"生成成长"),2))/((VLOOKUP($B152,INDIRECT($B$5&amp;"生成成长"),4))/(VLOOKUP(DT$72,INDIRECT($C$5&amp;"生成成长"),5))*(VLOOKUP($B$5,标准坦克设计!$B$24:$U$30,MATCH("对"&amp;LEFT($C$5,2)&amp;"输出",标准坦克设计!$B$23:$U$23,0)))*(VLOOKUP($B152,INDIRECT($B$5&amp;"生成成长"),3))*(VLOOKUP($B$5,标准坦克设计!$B$14:$K$20,9)/30))</f>
        <v>7.9733163990281781</v>
      </c>
      <c r="DU152" s="173">
        <f ca="1">(VLOOKUP(DU$72,INDIRECT($C$5&amp;"生成成长"),2))/((VLOOKUP($B152,INDIRECT($B$5&amp;"生成成长"),4))/(VLOOKUP(DU$72,INDIRECT($C$5&amp;"生成成长"),5))*(VLOOKUP($B$5,标准坦克设计!$B$24:$U$30,MATCH("对"&amp;LEFT($C$5,2)&amp;"输出",标准坦克设计!$B$23:$U$23,0)))*(VLOOKUP($B152,INDIRECT($B$5&amp;"生成成长"),3))*(VLOOKUP($B$5,标准坦克设计!$B$14:$K$20,9)/30))</f>
        <v>8.7177817979009564</v>
      </c>
      <c r="DV152" s="173">
        <f ca="1">(VLOOKUP(DV$72,INDIRECT($C$5&amp;"生成成长"),2))/((VLOOKUP($B152,INDIRECT($B$5&amp;"生成成长"),4))/(VLOOKUP(DV$72,INDIRECT($C$5&amp;"生成成长"),5))*(VLOOKUP($B$5,标准坦克设计!$B$24:$U$30,MATCH("对"&amp;LEFT($C$5,2)&amp;"输出",标准坦克设计!$B$23:$U$23,0)))*(VLOOKUP($B152,INDIRECT($B$5&amp;"生成成长"),3))*(VLOOKUP($B$5,标准坦克设计!$B$14:$K$20,9)/30))</f>
        <v>9.4954687764394556</v>
      </c>
      <c r="DW152" s="173">
        <f ca="1">(VLOOKUP(DW$72,INDIRECT($C$5&amp;"生成成长"),2))/((VLOOKUP($B152,INDIRECT($B$5&amp;"生成成长"),4))/(VLOOKUP(DW$72,INDIRECT($C$5&amp;"生成成长"),5))*(VLOOKUP($B$5,标准坦克设计!$B$24:$U$30,MATCH("对"&amp;LEFT($C$5,2)&amp;"输出",标准坦克设计!$B$23:$U$23,0)))*(VLOOKUP($B152,INDIRECT($B$5&amp;"生成成长"),3))*(VLOOKUP($B$5,标准坦克设计!$B$14:$K$20,9)/30))</f>
        <v>10.306377334643679</v>
      </c>
      <c r="DX152" s="173">
        <f ca="1">(VLOOKUP(DX$72,INDIRECT($C$5&amp;"生成成长"),2))/((VLOOKUP($B152,INDIRECT($B$5&amp;"生成成长"),4))/(VLOOKUP(DX$72,INDIRECT($C$5&amp;"生成成长"),5))*(VLOOKUP($B$5,标准坦克设计!$B$24:$U$30,MATCH("对"&amp;LEFT($C$5,2)&amp;"输出",标准坦克设计!$B$23:$U$23,0)))*(VLOOKUP($B152,INDIRECT($B$5&amp;"生成成长"),3))*(VLOOKUP($B$5,标准坦克设计!$B$14:$K$20,9)/30))</f>
        <v>11.150507472513622</v>
      </c>
      <c r="DY152" s="173">
        <f ca="1">(VLOOKUP(DY$72,INDIRECT($C$5&amp;"生成成长"),2))/((VLOOKUP($B152,INDIRECT($B$5&amp;"生成成长"),4))/(VLOOKUP(DY$72,INDIRECT($C$5&amp;"生成成长"),5))*(VLOOKUP($B$5,标准坦克设计!$B$24:$U$30,MATCH("对"&amp;LEFT($C$5,2)&amp;"输出",标准坦克设计!$B$23:$U$23,0)))*(VLOOKUP($B152,INDIRECT($B$5&amp;"生成成长"),3))*(VLOOKUP($B$5,标准坦克设计!$B$14:$K$20,9)/30))</f>
        <v>5.008084494980233</v>
      </c>
      <c r="DZ152" s="173">
        <f ca="1">(VLOOKUP(DZ$72,INDIRECT($C$5&amp;"生成成长"),2))/((VLOOKUP($B152,INDIRECT($B$5&amp;"生成成长"),4))/(VLOOKUP(DZ$72,INDIRECT($C$5&amp;"生成成长"),5))*(VLOOKUP($B$5,标准坦克设计!$B$24:$U$30,MATCH("对"&amp;LEFT($C$5,2)&amp;"输出",标准坦克设计!$B$23:$U$23,0)))*(VLOOKUP($B152,INDIRECT($B$5&amp;"生成成长"),3))*(VLOOKUP($B$5,标准坦克设计!$B$14:$K$20,9)/30))</f>
        <v>5.5462191738630091</v>
      </c>
      <c r="EA152" s="173">
        <f ca="1">(VLOOKUP(EA$72,INDIRECT($C$5&amp;"生成成长"),2))/((VLOOKUP($B152,INDIRECT($B$5&amp;"生成成长"),4))/(VLOOKUP(EA$72,INDIRECT($C$5&amp;"生成成长"),5))*(VLOOKUP($B$5,标准坦克设计!$B$24:$U$30,MATCH("对"&amp;LEFT($C$5,2)&amp;"输出",标准坦克设计!$B$23:$U$23,0)))*(VLOOKUP($B152,INDIRECT($B$5&amp;"生成成长"),3))*(VLOOKUP($B$5,标准坦克设计!$B$14:$K$20,9)/30))</f>
        <v>6.1118097037091896</v>
      </c>
      <c r="EB152" s="173">
        <f ca="1">(VLOOKUP(EB$72,INDIRECT($C$5&amp;"生成成长"),2))/((VLOOKUP($B152,INDIRECT($B$5&amp;"生成成长"),4))/(VLOOKUP(EB$72,INDIRECT($C$5&amp;"生成成长"),5))*(VLOOKUP($B$5,标准坦克设计!$B$24:$U$30,MATCH("对"&amp;LEFT($C$5,2)&amp;"输出",标准坦克设计!$B$23:$U$23,0)))*(VLOOKUP($B152,INDIRECT($B$5&amp;"生成成长"),3))*(VLOOKUP($B$5,标准坦克设计!$B$14:$K$20,9)/30))</f>
        <v>6.7048560845187799</v>
      </c>
      <c r="EC152" s="173">
        <f ca="1">(VLOOKUP(EC$72,INDIRECT($C$5&amp;"生成成长"),2))/((VLOOKUP($B152,INDIRECT($B$5&amp;"生成成长"),4))/(VLOOKUP(EC$72,INDIRECT($C$5&amp;"生成成长"),5))*(VLOOKUP($B$5,标准坦克设计!$B$24:$U$30,MATCH("对"&amp;LEFT($C$5,2)&amp;"输出",标准坦克设计!$B$23:$U$23,0)))*(VLOOKUP($B152,INDIRECT($B$5&amp;"生成成长"),3))*(VLOOKUP($B$5,标准坦克设计!$B$14:$K$20,9)/30))</f>
        <v>7.3253583162917746</v>
      </c>
      <c r="ED152" s="173">
        <f ca="1">(VLOOKUP(ED$72,INDIRECT($C$5&amp;"生成成长"),2))/((VLOOKUP($B152,INDIRECT($B$5&amp;"生成成长"),4))/(VLOOKUP(ED$72,INDIRECT($C$5&amp;"生成成长"),5))*(VLOOKUP($B$5,标准坦克设计!$B$24:$U$30,MATCH("对"&amp;LEFT($C$5,2)&amp;"输出",标准坦克设计!$B$23:$U$23,0)))*(VLOOKUP($B152,INDIRECT($B$5&amp;"生成成长"),3))*(VLOOKUP($B$5,标准坦克设计!$B$14:$K$20,9)/30))</f>
        <v>7.9733163990281781</v>
      </c>
      <c r="EE152" s="173">
        <f ca="1">(VLOOKUP(EE$72,INDIRECT($C$5&amp;"生成成长"),2))/((VLOOKUP($B152,INDIRECT($B$5&amp;"生成成长"),4))/(VLOOKUP(EE$72,INDIRECT($C$5&amp;"生成成长"),5))*(VLOOKUP($B$5,标准坦克设计!$B$24:$U$30,MATCH("对"&amp;LEFT($C$5,2)&amp;"输出",标准坦克设计!$B$23:$U$23,0)))*(VLOOKUP($B152,INDIRECT($B$5&amp;"生成成长"),3))*(VLOOKUP($B$5,标准坦克设计!$B$14:$K$20,9)/30))</f>
        <v>8.6487303327279879</v>
      </c>
      <c r="EF152" s="173">
        <f ca="1">(VLOOKUP(EF$72,INDIRECT($C$5&amp;"生成成长"),2))/((VLOOKUP($B152,INDIRECT($B$5&amp;"生成成长"),4))/(VLOOKUP(EF$72,INDIRECT($C$5&amp;"生成成长"),5))*(VLOOKUP($B$5,标准坦克设计!$B$24:$U$30,MATCH("对"&amp;LEFT($C$5,2)&amp;"输出",标准坦克设计!$B$23:$U$23,0)))*(VLOOKUP($B152,INDIRECT($B$5&amp;"生成成长"),3))*(VLOOKUP($B$5,标准坦克设计!$B$14:$K$20,9)/30))</f>
        <v>9.3516001173912038</v>
      </c>
      <c r="EG152" s="173">
        <f ca="1">(VLOOKUP(EG$72,INDIRECT($C$5&amp;"生成成长"),2))/((VLOOKUP($B152,INDIRECT($B$5&amp;"生成成长"),4))/(VLOOKUP(EG$72,INDIRECT($C$5&amp;"生成成长"),5))*(VLOOKUP($B$5,标准坦克设计!$B$24:$U$30,MATCH("对"&amp;LEFT($C$5,2)&amp;"输出",标准坦克设计!$B$23:$U$23,0)))*(VLOOKUP($B152,INDIRECT($B$5&amp;"生成成长"),3))*(VLOOKUP($B$5,标准坦克设计!$B$14:$K$20,9)/30))</f>
        <v>10.081925753017828</v>
      </c>
      <c r="EH152" s="173">
        <f ca="1">(VLOOKUP(EH$72,INDIRECT($C$5&amp;"生成成长"),2))/((VLOOKUP($B152,INDIRECT($B$5&amp;"生成成长"),4))/(VLOOKUP(EH$72,INDIRECT($C$5&amp;"生成成长"),5))*(VLOOKUP($B$5,标准坦克设计!$B$24:$U$30,MATCH("对"&amp;LEFT($C$5,2)&amp;"输出",标准坦克设计!$B$23:$U$23,0)))*(VLOOKUP($B152,INDIRECT($B$5&amp;"生成成长"),3))*(VLOOKUP($B$5,标准坦克设计!$B$14:$K$20,9)/30))</f>
        <v>10.839707239607858</v>
      </c>
      <c r="EI152" s="173">
        <f ca="1">(VLOOKUP(EI$72,INDIRECT($C$5&amp;"生成成长"),2))/((VLOOKUP($B152,INDIRECT($B$5&amp;"生成成长"),4))/(VLOOKUP(EI$72,INDIRECT($C$5&amp;"生成成长"),5))*(VLOOKUP($B$5,标准坦克设计!$B$24:$U$30,MATCH("对"&amp;LEFT($C$5,2)&amp;"输出",标准坦克设计!$B$23:$U$23,0)))*(VLOOKUP($B152,INDIRECT($B$5&amp;"生成成长"),3))*(VLOOKUP($B$5,标准坦克设计!$B$14:$K$20,9)/30))</f>
        <v>11.624944577161296</v>
      </c>
      <c r="EJ152" s="173">
        <f ca="1">(VLOOKUP(EJ$72,INDIRECT($C$5&amp;"生成成长"),2))/((VLOOKUP($B152,INDIRECT($B$5&amp;"生成成长"),4))/(VLOOKUP(EJ$72,INDIRECT($C$5&amp;"生成成长"),5))*(VLOOKUP($B$5,标准坦克设计!$B$24:$U$30,MATCH("对"&amp;LEFT($C$5,2)&amp;"输出",标准坦克设计!$B$23:$U$23,0)))*(VLOOKUP($B152,INDIRECT($B$5&amp;"生成成长"),3))*(VLOOKUP($B$5,标准坦克设计!$B$14:$K$20,9)/30))</f>
        <v>12.437637765678137</v>
      </c>
      <c r="EK152" s="173">
        <f ca="1">(VLOOKUP(EK$72,INDIRECT($C$5&amp;"生成成长"),2))/((VLOOKUP($B152,INDIRECT($B$5&amp;"生成成长"),4))/(VLOOKUP(EK$72,INDIRECT($C$5&amp;"生成成长"),5))*(VLOOKUP($B$5,标准坦克设计!$B$24:$U$30,MATCH("对"&amp;LEFT($C$5,2)&amp;"输出",标准坦克设计!$B$23:$U$23,0)))*(VLOOKUP($B152,INDIRECT($B$5&amp;"生成成长"),3))*(VLOOKUP($B$5,标准坦克设计!$B$14:$K$20,9)/30))</f>
        <v>13.449111315170049</v>
      </c>
      <c r="EL152" s="173">
        <f ca="1">(VLOOKUP(EL$72,INDIRECT($C$5&amp;"生成成长"),2))/((VLOOKUP($B152,INDIRECT($B$5&amp;"生成成长"),4))/(VLOOKUP(EL$72,INDIRECT($C$5&amp;"生成成长"),5))*(VLOOKUP($B$5,标准坦克设计!$B$24:$U$30,MATCH("对"&amp;LEFT($C$5,2)&amp;"输出",标准坦克设计!$B$23:$U$23,0)))*(VLOOKUP($B152,INDIRECT($B$5&amp;"生成成长"),3))*(VLOOKUP($B$5,标准坦克设计!$B$14:$K$20,9)/30))</f>
        <v>14.500121290049266</v>
      </c>
      <c r="EM152" s="173">
        <f ca="1">(VLOOKUP(EM$72,INDIRECT($C$5&amp;"生成成长"),2))/((VLOOKUP($B152,INDIRECT($B$5&amp;"生成成长"),4))/(VLOOKUP(EM$72,INDIRECT($C$5&amp;"生成成长"),5))*(VLOOKUP($B$5,标准坦克设计!$B$24:$U$30,MATCH("对"&amp;LEFT($C$5,2)&amp;"输出",标准坦克设计!$B$23:$U$23,0)))*(VLOOKUP($B152,INDIRECT($B$5&amp;"生成成长"),3))*(VLOOKUP($B$5,标准坦克设计!$B$14:$K$20,9)/30))</f>
        <v>15.590667690315785</v>
      </c>
      <c r="EN152" s="173">
        <f ca="1">(VLOOKUP(EN$72,INDIRECT($C$5&amp;"生成成长"),2))/((VLOOKUP($B152,INDIRECT($B$5&amp;"生成成长"),4))/(VLOOKUP(EN$72,INDIRECT($C$5&amp;"生成成长"),5))*(VLOOKUP($B$5,标准坦克设计!$B$24:$U$30,MATCH("对"&amp;LEFT($C$5,2)&amp;"输出",标准坦克设计!$B$23:$U$23,0)))*(VLOOKUP($B152,INDIRECT($B$5&amp;"生成成长"),3))*(VLOOKUP($B$5,标准坦克设计!$B$14:$K$20,9)/30))</f>
        <v>16.720750515969613</v>
      </c>
      <c r="EO152" s="173">
        <f ca="1">(VLOOKUP(EO$72,INDIRECT($C$5&amp;"生成成长"),2))/((VLOOKUP($B152,INDIRECT($B$5&amp;"生成成长"),4))/(VLOOKUP(EO$72,INDIRECT($C$5&amp;"生成成长"),5))*(VLOOKUP($B$5,标准坦克设计!$B$24:$U$30,MATCH("对"&amp;LEFT($C$5,2)&amp;"输出",标准坦克设计!$B$23:$U$23,0)))*(VLOOKUP($B152,INDIRECT($B$5&amp;"生成成长"),3))*(VLOOKUP($B$5,标准坦克设计!$B$14:$K$20,9)/30))</f>
        <v>17.89036976701075</v>
      </c>
      <c r="EP152" s="173">
        <f ca="1">(VLOOKUP(EP$72,INDIRECT($C$5&amp;"生成成长"),2))/((VLOOKUP($B152,INDIRECT($B$5&amp;"生成成长"),4))/(VLOOKUP(EP$72,INDIRECT($C$5&amp;"生成成长"),5))*(VLOOKUP($B$5,标准坦克设计!$B$24:$U$30,MATCH("对"&amp;LEFT($C$5,2)&amp;"输出",标准坦克设计!$B$23:$U$23,0)))*(VLOOKUP($B152,INDIRECT($B$5&amp;"生成成长"),3))*(VLOOKUP($B$5,标准坦克设计!$B$14:$K$20,9)/30))</f>
        <v>19.099525443439187</v>
      </c>
      <c r="EQ152" s="173">
        <f ca="1">(VLOOKUP(EQ$72,INDIRECT($C$5&amp;"生成成长"),2))/((VLOOKUP($B152,INDIRECT($B$5&amp;"生成成长"),4))/(VLOOKUP(EQ$72,INDIRECT($C$5&amp;"生成成长"),5))*(VLOOKUP($B$5,标准坦克设计!$B$24:$U$30,MATCH("对"&amp;LEFT($C$5,2)&amp;"输出",标准坦克设计!$B$23:$U$23,0)))*(VLOOKUP($B152,INDIRECT($B$5&amp;"生成成长"),3))*(VLOOKUP($B$5,标准坦克设计!$B$14:$K$20,9)/30))</f>
        <v>8.4432232882668856</v>
      </c>
      <c r="ER152" s="173">
        <f ca="1">(VLOOKUP(ER$72,INDIRECT($C$5&amp;"生成成长"),2))/((VLOOKUP($B152,INDIRECT($B$5&amp;"生成成长"),4))/(VLOOKUP(ER$72,INDIRECT($C$5&amp;"生成成长"),5))*(VLOOKUP($B$5,标准坦克设计!$B$24:$U$30,MATCH("对"&amp;LEFT($C$5,2)&amp;"输出",标准坦克设计!$B$23:$U$23,0)))*(VLOOKUP($B152,INDIRECT($B$5&amp;"生成成长"),3))*(VLOOKUP($B$5,标准坦克设计!$B$14:$K$20,9)/30))</f>
        <v>9.2088296923814887</v>
      </c>
      <c r="ES152" s="173">
        <f ca="1">(VLOOKUP(ES$72,INDIRECT($C$5&amp;"生成成长"),2))/((VLOOKUP($B152,INDIRECT($B$5&amp;"生成成长"),4))/(VLOOKUP(ES$72,INDIRECT($C$5&amp;"生成成长"),5))*(VLOOKUP($B$5,标准坦克设计!$B$24:$U$30,MATCH("对"&amp;LEFT($C$5,2)&amp;"输出",标准坦克设计!$B$23:$U$23,0)))*(VLOOKUP($B152,INDIRECT($B$5&amp;"生成成长"),3))*(VLOOKUP($B$5,标准坦克设计!$B$14:$K$20,9)/30))</f>
        <v>10.007657676161811</v>
      </c>
      <c r="ET152" s="173">
        <f ca="1">(VLOOKUP(ET$72,INDIRECT($C$5&amp;"生成成长"),2))/((VLOOKUP($B152,INDIRECT($B$5&amp;"生成成长"),4))/(VLOOKUP(ET$72,INDIRECT($C$5&amp;"生成成长"),5))*(VLOOKUP($B$5,标准坦克设计!$B$24:$U$30,MATCH("对"&amp;LEFT($C$5,2)&amp;"输出",标准坦克设计!$B$23:$U$23,0)))*(VLOOKUP($B152,INDIRECT($B$5&amp;"生成成长"),3))*(VLOOKUP($B$5,标准坦克设计!$B$14:$K$20,9)/30))</f>
        <v>10.839707239607858</v>
      </c>
      <c r="EU152" s="173">
        <f ca="1">(VLOOKUP(EU$72,INDIRECT($C$5&amp;"生成成长"),2))/((VLOOKUP($B152,INDIRECT($B$5&amp;"生成成长"),4))/(VLOOKUP(EU$72,INDIRECT($C$5&amp;"生成成长"),5))*(VLOOKUP($B$5,标准坦克设计!$B$24:$U$30,MATCH("对"&amp;LEFT($C$5,2)&amp;"输出",标准坦克设计!$B$23:$U$23,0)))*(VLOOKUP($B152,INDIRECT($B$5&amp;"生成成长"),3))*(VLOOKUP($B$5,标准坦克设计!$B$14:$K$20,9)/30))</f>
        <v>11.704978382719627</v>
      </c>
      <c r="EV152" s="173">
        <f ca="1">(VLOOKUP(EV$72,INDIRECT($C$5&amp;"生成成长"),2))/((VLOOKUP($B152,INDIRECT($B$5&amp;"生成成长"),4))/(VLOOKUP(EV$72,INDIRECT($C$5&amp;"生成成长"),5))*(VLOOKUP($B$5,标准坦克设计!$B$24:$U$30,MATCH("对"&amp;LEFT($C$5,2)&amp;"输出",标准坦克设计!$B$23:$U$23,0)))*(VLOOKUP($B152,INDIRECT($B$5&amp;"生成成长"),3))*(VLOOKUP($B$5,标准坦克设计!$B$14:$K$20,9)/30))</f>
        <v>12.603471105497116</v>
      </c>
      <c r="EW152" s="173">
        <f ca="1">(VLOOKUP(EW$72,INDIRECT($C$5&amp;"生成成长"),2))/((VLOOKUP($B152,INDIRECT($B$5&amp;"生成成长"),4))/(VLOOKUP(EW$72,INDIRECT($C$5&amp;"生成成长"),5))*(VLOOKUP($B$5,标准坦克设计!$B$24:$U$30,MATCH("对"&amp;LEFT($C$5,2)&amp;"输出",标准坦克设计!$B$23:$U$23,0)))*(VLOOKUP($B152,INDIRECT($B$5&amp;"生成成长"),3))*(VLOOKUP($B$5,标准坦克设计!$B$14:$K$20,9)/30))</f>
        <v>13.535185407940329</v>
      </c>
      <c r="EX152" s="173">
        <f ca="1">(VLOOKUP(EX$72,INDIRECT($C$5&amp;"生成成长"),2))/((VLOOKUP($B152,INDIRECT($B$5&amp;"生成成长"),4))/(VLOOKUP(EX$72,INDIRECT($C$5&amp;"生成成长"),5))*(VLOOKUP($B$5,标准坦克设计!$B$24:$U$30,MATCH("对"&amp;LEFT($C$5,2)&amp;"输出",标准坦克设计!$B$23:$U$23,0)))*(VLOOKUP($B152,INDIRECT($B$5&amp;"生成成长"),3))*(VLOOKUP($B$5,标准坦克设计!$B$14:$K$20,9)/30))</f>
        <v>14.500121290049266</v>
      </c>
      <c r="EY152" s="173">
        <f ca="1">(VLOOKUP(EY$72,INDIRECT($C$5&amp;"生成成长"),2))/((VLOOKUP($B152,INDIRECT($B$5&amp;"生成成长"),4))/(VLOOKUP(EY$72,INDIRECT($C$5&amp;"生成成长"),5))*(VLOOKUP($B$5,标准坦克设计!$B$24:$U$30,MATCH("对"&amp;LEFT($C$5,2)&amp;"输出",标准坦克设计!$B$23:$U$23,0)))*(VLOOKUP($B152,INDIRECT($B$5&amp;"生成成长"),3))*(VLOOKUP($B$5,标准坦克设计!$B$14:$K$20,9)/30))</f>
        <v>15.498278751823923</v>
      </c>
      <c r="EZ152" s="173">
        <f ca="1">(VLOOKUP(EZ$72,INDIRECT($C$5&amp;"生成成长"),2))/((VLOOKUP($B152,INDIRECT($B$5&amp;"生成成长"),4))/(VLOOKUP(EZ$72,INDIRECT($C$5&amp;"生成成长"),5))*(VLOOKUP($B$5,标准坦克设计!$B$24:$U$30,MATCH("对"&amp;LEFT($C$5,2)&amp;"输出",标准坦克设计!$B$23:$U$23,0)))*(VLOOKUP($B152,INDIRECT($B$5&amp;"生成成长"),3))*(VLOOKUP($B$5,标准坦克设计!$B$14:$K$20,9)/30))</f>
        <v>16.529657793264303</v>
      </c>
      <c r="FA152" s="173">
        <f ca="1">(VLOOKUP(FA$72,INDIRECT($C$5&amp;"生成成长"),2))/((VLOOKUP($B152,INDIRECT($B$5&amp;"生成成长"),4))/(VLOOKUP(FA$72,INDIRECT($C$5&amp;"生成成长"),5))*(VLOOKUP($B$5,标准坦克设计!$B$24:$U$30,MATCH("对"&amp;LEFT($C$5,2)&amp;"输出",标准坦克设计!$B$23:$U$23,0)))*(VLOOKUP($B152,INDIRECT($B$5&amp;"生成成长"),3))*(VLOOKUP($B$5,标准坦克设计!$B$14:$K$20,9)/30))</f>
        <v>17.594258414370401</v>
      </c>
      <c r="FB152" s="173">
        <f ca="1">(VLOOKUP(FB$72,INDIRECT($C$5&amp;"生成成长"),2))/((VLOOKUP($B152,INDIRECT($B$5&amp;"生成成长"),4))/(VLOOKUP(FB$72,INDIRECT($C$5&amp;"生成成长"),5))*(VLOOKUP($B$5,标准坦克设计!$B$24:$U$30,MATCH("对"&amp;LEFT($C$5,2)&amp;"输出",标准坦克设计!$B$23:$U$23,0)))*(VLOOKUP($B152,INDIRECT($B$5&amp;"生成成长"),3))*(VLOOKUP($B$5,标准坦克设计!$B$14:$K$20,9)/30))</f>
        <v>18.692080615142228</v>
      </c>
      <c r="FC152" s="173">
        <f ca="1">(VLOOKUP(FC$72,INDIRECT($C$5&amp;"生成成长"),2))/((VLOOKUP($B152,INDIRECT($B$5&amp;"生成成长"),4))/(VLOOKUP(FC$72,INDIRECT($C$5&amp;"生成成长"),5))*(VLOOKUP($B$5,标准坦克设计!$B$24:$U$30,MATCH("对"&amp;LEFT($C$5,2)&amp;"输出",标准坦克设计!$B$23:$U$23,0)))*(VLOOKUP($B152,INDIRECT($B$5&amp;"生成成长"),3))*(VLOOKUP($B$5,标准坦克设计!$B$14:$K$20,9)/30))</f>
        <v>19.823124395579775</v>
      </c>
      <c r="FD152" s="173">
        <f ca="1">(VLOOKUP(FD$72,INDIRECT($C$5&amp;"生成成长"),2))/((VLOOKUP($B152,INDIRECT($B$5&amp;"生成成长"),4))/(VLOOKUP(FD$72,INDIRECT($C$5&amp;"生成成长"),5))*(VLOOKUP($B$5,标准坦克设计!$B$24:$U$30,MATCH("对"&amp;LEFT($C$5,2)&amp;"输出",标准坦克设计!$B$23:$U$23,0)))*(VLOOKUP($B152,INDIRECT($B$5&amp;"生成成长"),3))*(VLOOKUP($B$5,标准坦克设计!$B$14:$K$20,9)/30))</f>
        <v>20.987389755683047</v>
      </c>
      <c r="FE152" s="173">
        <f ca="1">(VLOOKUP(FE$72,INDIRECT($C$5&amp;"生成成长"),2))/((VLOOKUP($B152,INDIRECT($B$5&amp;"生成成长"),4))/(VLOOKUP(FE$72,INDIRECT($C$5&amp;"生成成长"),5))*(VLOOKUP($B$5,标准坦克设计!$B$24:$U$30,MATCH("对"&amp;LEFT($C$5,2)&amp;"输出",标准坦克设计!$B$23:$U$23,0)))*(VLOOKUP($B152,INDIRECT($B$5&amp;"生成成长"),3))*(VLOOKUP($B$5,标准坦克设计!$B$14:$K$20,9)/30))</f>
        <v>22.406170854217095</v>
      </c>
      <c r="FF152" s="173">
        <f ca="1">(VLOOKUP(FF$72,INDIRECT($C$5&amp;"生成成长"),2))/((VLOOKUP($B152,INDIRECT($B$5&amp;"生成成长"),4))/(VLOOKUP(FF$72,INDIRECT($C$5&amp;"生成成长"),5))*(VLOOKUP($B$5,标准坦克设计!$B$24:$U$30,MATCH("对"&amp;LEFT($C$5,2)&amp;"输出",标准坦克设计!$B$23:$U$23,0)))*(VLOOKUP($B152,INDIRECT($B$5&amp;"生成成长"),3))*(VLOOKUP($B$5,标准坦克设计!$B$14:$K$20,9)/30))</f>
        <v>23.871352340879302</v>
      </c>
      <c r="FG152" s="173">
        <f ca="1">(VLOOKUP(FG$72,INDIRECT($C$5&amp;"生成成长"),2))/((VLOOKUP($B152,INDIRECT($B$5&amp;"生成成长"),4))/(VLOOKUP(FG$72,INDIRECT($C$5&amp;"生成成长"),5))*(VLOOKUP($B$5,标准坦克设计!$B$24:$U$30,MATCH("对"&amp;LEFT($C$5,2)&amp;"输出",标准坦克设计!$B$23:$U$23,0)))*(VLOOKUP($B152,INDIRECT($B$5&amp;"生成成长"),3))*(VLOOKUP($B$5,标准坦克设计!$B$14:$K$20,9)/30))</f>
        <v>25.382934215669671</v>
      </c>
      <c r="FH152" s="173">
        <f ca="1">(VLOOKUP(FH$72,INDIRECT($C$5&amp;"生成成长"),2))/((VLOOKUP($B152,INDIRECT($B$5&amp;"生成成长"),4))/(VLOOKUP(FH$72,INDIRECT($C$5&amp;"生成成长"),5))*(VLOOKUP($B$5,标准坦克设计!$B$24:$U$30,MATCH("对"&amp;LEFT($C$5,2)&amp;"输出",标准坦克设计!$B$23:$U$23,0)))*(VLOOKUP($B152,INDIRECT($B$5&amp;"生成成长"),3))*(VLOOKUP($B$5,标准坦克设计!$B$14:$K$20,9)/30))</f>
        <v>26.940916478588189</v>
      </c>
      <c r="FI152" s="173">
        <f ca="1">(VLOOKUP(FI$72,INDIRECT($C$5&amp;"生成成长"),2))/((VLOOKUP($B152,INDIRECT($B$5&amp;"生成成长"),4))/(VLOOKUP(FI$72,INDIRECT($C$5&amp;"生成成长"),5))*(VLOOKUP($B$5,标准坦克设计!$B$24:$U$30,MATCH("对"&amp;LEFT($C$5,2)&amp;"输出",标准坦克设计!$B$23:$U$23,0)))*(VLOOKUP($B152,INDIRECT($B$5&amp;"生成成长"),3))*(VLOOKUP($B$5,标准坦克设计!$B$14:$K$20,9)/30))</f>
        <v>28.545299129634877</v>
      </c>
      <c r="FJ152" s="173">
        <f ca="1">(VLOOKUP(FJ$72,INDIRECT($C$5&amp;"生成成长"),2))/((VLOOKUP($B152,INDIRECT($B$5&amp;"生成成长"),4))/(VLOOKUP(FJ$72,INDIRECT($C$5&amp;"生成成长"),5))*(VLOOKUP($B$5,标准坦克设计!$B$24:$U$30,MATCH("对"&amp;LEFT($C$5,2)&amp;"输出",标准坦克设计!$B$23:$U$23,0)))*(VLOOKUP($B152,INDIRECT($B$5&amp;"生成成长"),3))*(VLOOKUP($B$5,标准坦克设计!$B$14:$K$20,9)/30))</f>
        <v>30.19608216880971</v>
      </c>
      <c r="FK152" s="173">
        <f ca="1">(VLOOKUP(FK$72,INDIRECT($C$5&amp;"生成成长"),2))/((VLOOKUP($B152,INDIRECT($B$5&amp;"生成成长"),4))/(VLOOKUP(FK$72,INDIRECT($C$5&amp;"生成成长"),5))*(VLOOKUP($B$5,标准坦克设计!$B$24:$U$30,MATCH("对"&amp;LEFT($C$5,2)&amp;"输出",标准坦克设计!$B$23:$U$23,0)))*(VLOOKUP($B152,INDIRECT($B$5&amp;"生成成长"),3))*(VLOOKUP($B$5,标准坦克设计!$B$14:$K$20,9)/30))</f>
        <v>31.893265596112713</v>
      </c>
    </row>
    <row r="153" spans="1:167" x14ac:dyDescent="0.15">
      <c r="A153" s="171" t="str">
        <f t="shared" si="12"/>
        <v>T4中品质9级</v>
      </c>
      <c r="B153" s="172">
        <v>20409</v>
      </c>
      <c r="C153" s="173">
        <f ca="1">(VLOOKUP(C$72,INDIRECT($C$5&amp;"生成成长"),2))/((VLOOKUP($B153,INDIRECT($B$5&amp;"生成成长"),4))/(VLOOKUP(C$72,INDIRECT($C$5&amp;"生成成长"),5))*(VLOOKUP($B$5,标准坦克设计!$B$24:$U$30,MATCH("对"&amp;LEFT($C$5,2)&amp;"输出",标准坦克设计!$B$23:$U$23,0)))*(VLOOKUP($B153,INDIRECT($B$5&amp;"生成成长"),3))*(VLOOKUP($B$5,标准坦克设计!$B$14:$K$20,9)/30))</f>
        <v>1.2717479101889295</v>
      </c>
      <c r="D153" s="173">
        <f ca="1">(VLOOKUP(D$72,INDIRECT($C$5&amp;"生成成长"),2))/((VLOOKUP($B153,INDIRECT($B$5&amp;"生成成长"),4))/(VLOOKUP(D$72,INDIRECT($C$5&amp;"生成成长"),5))*(VLOOKUP($B$5,标准坦克设计!$B$24:$U$30,MATCH("对"&amp;LEFT($C$5,2)&amp;"输出",标准坦克设计!$B$23:$U$23,0)))*(VLOOKUP($B153,INDIRECT($B$5&amp;"生成成长"),3))*(VLOOKUP($B$5,标准坦克设计!$B$14:$K$20,9)/30))</f>
        <v>1.4289359518882809</v>
      </c>
      <c r="E153" s="173">
        <f ca="1">(VLOOKUP(E$72,INDIRECT($C$5&amp;"生成成长"),2))/((VLOOKUP($B153,INDIRECT($B$5&amp;"生成成长"),4))/(VLOOKUP(E$72,INDIRECT($C$5&amp;"生成成长"),5))*(VLOOKUP($B$5,标准坦克设计!$B$24:$U$30,MATCH("对"&amp;LEFT($C$5,2)&amp;"输出",标准坦克设计!$B$23:$U$23,0)))*(VLOOKUP($B153,INDIRECT($B$5&amp;"生成成长"),3))*(VLOOKUP($B$5,标准坦克设计!$B$14:$K$20,9)/30))</f>
        <v>1.5952805785409931</v>
      </c>
      <c r="F153" s="173">
        <f ca="1">(VLOOKUP(F$72,INDIRECT($C$5&amp;"生成成长"),2))/((VLOOKUP($B153,INDIRECT($B$5&amp;"生成成长"),4))/(VLOOKUP(F$72,INDIRECT($C$5&amp;"生成成长"),5))*(VLOOKUP($B$5,标准坦克设计!$B$24:$U$30,MATCH("对"&amp;LEFT($C$5,2)&amp;"输出",标准坦克设计!$B$23:$U$23,0)))*(VLOOKUP($B153,INDIRECT($B$5&amp;"生成成长"),3))*(VLOOKUP($B$5,标准坦克设计!$B$14:$K$20,9)/30))</f>
        <v>1.770781790147065</v>
      </c>
      <c r="G153" s="173">
        <f ca="1">(VLOOKUP(G$72,INDIRECT($C$5&amp;"生成成长"),2))/((VLOOKUP($B153,INDIRECT($B$5&amp;"生成成长"),4))/(VLOOKUP(G$72,INDIRECT($C$5&amp;"生成成长"),5))*(VLOOKUP($B$5,标准坦克设计!$B$24:$U$30,MATCH("对"&amp;LEFT($C$5,2)&amp;"输出",标准坦克设计!$B$23:$U$23,0)))*(VLOOKUP($B153,INDIRECT($B$5&amp;"生成成长"),3))*(VLOOKUP($B$5,标准坦克设计!$B$14:$K$20,9)/30))</f>
        <v>1.9554395867064978</v>
      </c>
      <c r="H153" s="173">
        <f ca="1">(VLOOKUP(H$72,INDIRECT($C$5&amp;"生成成长"),2))/((VLOOKUP($B153,INDIRECT($B$5&amp;"生成成长"),4))/(VLOOKUP(H$72,INDIRECT($C$5&amp;"生成成长"),5))*(VLOOKUP($B$5,标准坦克设计!$B$24:$U$30,MATCH("对"&amp;LEFT($C$5,2)&amp;"输出",标准坦克设计!$B$23:$U$23,0)))*(VLOOKUP($B153,INDIRECT($B$5&amp;"生成成长"),3))*(VLOOKUP($B$5,标准坦克设计!$B$14:$K$20,9)/30))</f>
        <v>1.7112639879502234</v>
      </c>
      <c r="I153" s="173">
        <f ca="1">(VLOOKUP(I$72,INDIRECT($C$5&amp;"生成成长"),2))/((VLOOKUP($B153,INDIRECT($B$5&amp;"生成成长"),4))/(VLOOKUP(I$72,INDIRECT($C$5&amp;"生成成长"),5))*(VLOOKUP($B$5,标准坦克设计!$B$24:$U$30,MATCH("对"&amp;LEFT($C$5,2)&amp;"输出",标准坦克设计!$B$23:$U$23,0)))*(VLOOKUP($B153,INDIRECT($B$5&amp;"生成成长"),3))*(VLOOKUP($B$5,标准坦克设计!$B$14:$K$20,9)/30))</f>
        <v>1.9554395867064978</v>
      </c>
      <c r="J153" s="173">
        <f ca="1">(VLOOKUP(J$72,INDIRECT($C$5&amp;"生成成长"),2))/((VLOOKUP($B153,INDIRECT($B$5&amp;"生成成长"),4))/(VLOOKUP(J$72,INDIRECT($C$5&amp;"生成成长"),5))*(VLOOKUP($B$5,标准坦克设计!$B$24:$U$30,MATCH("对"&amp;LEFT($C$5,2)&amp;"输出",标准坦克设计!$B$23:$U$23,0)))*(VLOOKUP($B153,INDIRECT($B$5&amp;"生成成长"),3))*(VLOOKUP($B$5,标准坦克设计!$B$14:$K$20,9)/30))</f>
        <v>2.2158935587131903</v>
      </c>
      <c r="K153" s="173">
        <f ca="1">(VLOOKUP(K$72,INDIRECT($C$5&amp;"生成成长"),2))/((VLOOKUP($B153,INDIRECT($B$5&amp;"生成成长"),4))/(VLOOKUP(K$72,INDIRECT($C$5&amp;"生成成长"),5))*(VLOOKUP($B$5,标准坦克设计!$B$24:$U$30,MATCH("对"&amp;LEFT($C$5,2)&amp;"输出",标准坦克设计!$B$23:$U$23,0)))*(VLOOKUP($B153,INDIRECT($B$5&amp;"生成成长"),3))*(VLOOKUP($B$5,标准坦克设计!$B$14:$K$20,9)/30))</f>
        <v>2.4926259039703011</v>
      </c>
      <c r="L153" s="173">
        <f ca="1">(VLOOKUP(L$72,INDIRECT($C$5&amp;"生成成长"),2))/((VLOOKUP($B153,INDIRECT($B$5&amp;"生成成长"),4))/(VLOOKUP(L$72,INDIRECT($C$5&amp;"生成成长"),5))*(VLOOKUP($B$5,标准坦克设计!$B$24:$U$30,MATCH("对"&amp;LEFT($C$5,2)&amp;"输出",标准坦克设计!$B$23:$U$23,0)))*(VLOOKUP($B153,INDIRECT($B$5&amp;"生成成长"),3))*(VLOOKUP($B$5,标准坦克设计!$B$14:$K$20,9)/30))</f>
        <v>2.7856366224778313</v>
      </c>
      <c r="M153" s="173">
        <f ca="1">(VLOOKUP(M$72,INDIRECT($C$5&amp;"生成成长"),2))/((VLOOKUP($B153,INDIRECT($B$5&amp;"生成成长"),4))/(VLOOKUP(M$72,INDIRECT($C$5&amp;"生成成长"),5))*(VLOOKUP($B$5,标准坦克设计!$B$24:$U$30,MATCH("对"&amp;LEFT($C$5,2)&amp;"输出",标准坦克设计!$B$23:$U$23,0)))*(VLOOKUP($B153,INDIRECT($B$5&amp;"生成成长"),3))*(VLOOKUP($B$5,标准坦克设计!$B$14:$K$20,9)/30))</f>
        <v>3.094925714235778</v>
      </c>
      <c r="N153" s="173">
        <f ca="1">(VLOOKUP(N$72,INDIRECT($C$5&amp;"生成成长"),2))/((VLOOKUP($B153,INDIRECT($B$5&amp;"生成成长"),4))/(VLOOKUP(N$72,INDIRECT($C$5&amp;"生成成长"),5))*(VLOOKUP($B$5,标准坦克设计!$B$24:$U$30,MATCH("对"&amp;LEFT($C$5,2)&amp;"输出",标准坦克设计!$B$23:$U$23,0)))*(VLOOKUP($B153,INDIRECT($B$5&amp;"生成成长"),3))*(VLOOKUP($B$5,标准坦克设计!$B$14:$K$20,9)/30))</f>
        <v>3.4204931792441444</v>
      </c>
      <c r="O153" s="173">
        <f ca="1">(VLOOKUP(O$72,INDIRECT($C$5&amp;"生成成长"),2))/((VLOOKUP($B153,INDIRECT($B$5&amp;"生成成长"),4))/(VLOOKUP(O$72,INDIRECT($C$5&amp;"生成成长"),5))*(VLOOKUP($B$5,标准坦克设计!$B$24:$U$30,MATCH("对"&amp;LEFT($C$5,2)&amp;"输出",标准坦克设计!$B$23:$U$23,0)))*(VLOOKUP($B153,INDIRECT($B$5&amp;"生成成长"),3))*(VLOOKUP($B$5,标准坦克设计!$B$14:$K$20,9)/30))</f>
        <v>2.6005973015453416</v>
      </c>
      <c r="P153" s="173">
        <f ca="1">(VLOOKUP(P$72,INDIRECT($C$5&amp;"生成成长"),2))/((VLOOKUP($B153,INDIRECT($B$5&amp;"生成成长"),4))/(VLOOKUP(P$72,INDIRECT($C$5&amp;"生成成长"),5))*(VLOOKUP($B$5,标准坦克设计!$B$24:$U$30,MATCH("对"&amp;LEFT($C$5,2)&amp;"输出",标准坦克设计!$B$23:$U$23,0)))*(VLOOKUP($B153,INDIRECT($B$5&amp;"生成成长"),3))*(VLOOKUP($B$5,标准坦克设计!$B$14:$K$20,9)/30))</f>
        <v>2.9382463717005027</v>
      </c>
      <c r="Q153" s="173">
        <f ca="1">(VLOOKUP(Q$72,INDIRECT($C$5&amp;"生成成长"),2))/((VLOOKUP($B153,INDIRECT($B$5&amp;"生成成长"),4))/(VLOOKUP(Q$72,INDIRECT($C$5&amp;"生成成长"),5))*(VLOOKUP($B$5,标准坦克设计!$B$24:$U$30,MATCH("对"&amp;LEFT($C$5,2)&amp;"输出",标准坦克设计!$B$23:$U$23,0)))*(VLOOKUP($B153,INDIRECT($B$5&amp;"生成成长"),3))*(VLOOKUP($B$5,标准坦克设计!$B$14:$K$20,9)/30))</f>
        <v>3.2964977580007235</v>
      </c>
      <c r="R153" s="173">
        <f ca="1">(VLOOKUP(R$72,INDIRECT($C$5&amp;"生成成长"),2))/((VLOOKUP($B153,INDIRECT($B$5&amp;"生成成长"),4))/(VLOOKUP(R$72,INDIRECT($C$5&amp;"生成成长"),5))*(VLOOKUP($B$5,标准坦克设计!$B$24:$U$30,MATCH("对"&amp;LEFT($C$5,2)&amp;"输出",标准坦克设计!$B$23:$U$23,0)))*(VLOOKUP($B153,INDIRECT($B$5&amp;"生成成长"),3))*(VLOOKUP($B$5,标准坦克设计!$B$14:$K$20,9)/30))</f>
        <v>3.6753514604460054</v>
      </c>
      <c r="S153" s="173">
        <f ca="1">(VLOOKUP(S$72,INDIRECT($C$5&amp;"生成成长"),2))/((VLOOKUP($B153,INDIRECT($B$5&amp;"生成成长"),4))/(VLOOKUP(S$72,INDIRECT($C$5&amp;"生成成长"),5))*(VLOOKUP($B$5,标准坦克设计!$B$24:$U$30,MATCH("对"&amp;LEFT($C$5,2)&amp;"输出",标准坦克设计!$B$23:$U$23,0)))*(VLOOKUP($B153,INDIRECT($B$5&amp;"生成成长"),3))*(VLOOKUP($B$5,标准坦克设计!$B$14:$K$20,9)/30))</f>
        <v>4.0748074790363482</v>
      </c>
      <c r="T153" s="173">
        <f ca="1">(VLOOKUP(T$72,INDIRECT($C$5&amp;"生成成长"),2))/((VLOOKUP($B153,INDIRECT($B$5&amp;"生成成长"),4))/(VLOOKUP(T$72,INDIRECT($C$5&amp;"生成成长"),5))*(VLOOKUP($B$5,标准坦克设计!$B$24:$U$30,MATCH("对"&amp;LEFT($C$5,2)&amp;"输出",标准坦克设计!$B$23:$U$23,0)))*(VLOOKUP($B153,INDIRECT($B$5&amp;"生成成长"),3))*(VLOOKUP($B$5,标准坦克设计!$B$14:$K$20,9)/30))</f>
        <v>4.4948658137717521</v>
      </c>
      <c r="U153" s="173">
        <f ca="1">(VLOOKUP(U$72,INDIRECT($C$5&amp;"生成成长"),2))/((VLOOKUP($B153,INDIRECT($B$5&amp;"生成成长"),4))/(VLOOKUP(U$72,INDIRECT($C$5&amp;"生成成长"),5))*(VLOOKUP($B$5,标准坦克设计!$B$24:$U$30,MATCH("对"&amp;LEFT($C$5,2)&amp;"输出",标准坦克设计!$B$23:$U$23,0)))*(VLOOKUP($B153,INDIRECT($B$5&amp;"生成成长"),3))*(VLOOKUP($B$5,标准坦克设计!$B$14:$K$20,9)/30))</f>
        <v>4.9355264646522157</v>
      </c>
      <c r="V153" s="173">
        <f ca="1">(VLOOKUP(V$72,INDIRECT($C$5&amp;"生成成长"),2))/((VLOOKUP($B153,INDIRECT($B$5&amp;"生成成长"),4))/(VLOOKUP(V$72,INDIRECT($C$5&amp;"生成成长"),5))*(VLOOKUP($B$5,标准坦克设计!$B$24:$U$30,MATCH("对"&amp;LEFT($C$5,2)&amp;"输出",标准坦克设计!$B$23:$U$23,0)))*(VLOOKUP($B153,INDIRECT($B$5&amp;"生成成长"),3))*(VLOOKUP($B$5,标准坦克设计!$B$14:$K$20,9)/30))</f>
        <v>5.3967894316777407</v>
      </c>
      <c r="W153" s="173">
        <f ca="1">(VLOOKUP(W$72,INDIRECT($C$5&amp;"生成成长"),2))/((VLOOKUP($B153,INDIRECT($B$5&amp;"生成成长"),4))/(VLOOKUP(W$72,INDIRECT($C$5&amp;"生成成长"),5))*(VLOOKUP($B$5,标准坦克设计!$B$24:$U$30,MATCH("对"&amp;LEFT($C$5,2)&amp;"输出",标准坦克设计!$B$23:$U$23,0)))*(VLOOKUP($B153,INDIRECT($B$5&amp;"生成成长"),3))*(VLOOKUP($B$5,标准坦克设计!$B$14:$K$20,9)/30))</f>
        <v>5.8786547148483264</v>
      </c>
      <c r="X153" s="173">
        <f ca="1">(VLOOKUP(X$72,INDIRECT($C$5&amp;"生成成长"),2))/((VLOOKUP($B153,INDIRECT($B$5&amp;"生成成长"),4))/(VLOOKUP(X$72,INDIRECT($C$5&amp;"生成成长"),5))*(VLOOKUP($B$5,标准坦克设计!$B$24:$U$30,MATCH("对"&amp;LEFT($C$5,2)&amp;"输出",标准坦克设计!$B$23:$U$23,0)))*(VLOOKUP($B153,INDIRECT($B$5&amp;"生成成长"),3))*(VLOOKUP($B$5,标准坦克设计!$B$14:$K$20,9)/30))</f>
        <v>4.2589565764317054</v>
      </c>
      <c r="Y153" s="173">
        <f ca="1">(VLOOKUP(Y$72,INDIRECT($C$5&amp;"生成成长"),2))/((VLOOKUP($B153,INDIRECT($B$5&amp;"生成成长"),4))/(VLOOKUP(Y$72,INDIRECT($C$5&amp;"生成成长"),5))*(VLOOKUP($B$5,标准坦克设计!$B$24:$U$30,MATCH("对"&amp;LEFT($C$5,2)&amp;"输出",标准坦克设计!$B$23:$U$23,0)))*(VLOOKUP($B153,INDIRECT($B$5&amp;"生成成长"),3))*(VLOOKUP($B$5,标准坦克设计!$B$14:$K$20,9)/30))</f>
        <v>4.7371337906627424</v>
      </c>
      <c r="Z153" s="173">
        <f ca="1">(VLOOKUP(Z$72,INDIRECT($C$5&amp;"生成成长"),2))/((VLOOKUP($B153,INDIRECT($B$5&amp;"生成成长"),4))/(VLOOKUP(Z$72,INDIRECT($C$5&amp;"生成成长"),5))*(VLOOKUP($B$5,标准坦克设计!$B$24:$U$30,MATCH("对"&amp;LEFT($C$5,2)&amp;"输出",标准坦克设计!$B$23:$U$23,0)))*(VLOOKUP($B153,INDIRECT($B$5&amp;"生成成长"),3))*(VLOOKUP($B$5,标准坦克设计!$B$14:$K$20,9)/30))</f>
        <v>5.2407459630975586</v>
      </c>
      <c r="AA153" s="173">
        <f ca="1">(VLOOKUP(AA$72,INDIRECT($C$5&amp;"生成成长"),2))/((VLOOKUP($B153,INDIRECT($B$5&amp;"生成成长"),4))/(VLOOKUP(AA$72,INDIRECT($C$5&amp;"生成成长"),5))*(VLOOKUP($B$5,标准坦克设计!$B$24:$U$30,MATCH("对"&amp;LEFT($C$5,2)&amp;"输出",标准坦克设计!$B$23:$U$23,0)))*(VLOOKUP($B153,INDIRECT($B$5&amp;"生成成长"),3))*(VLOOKUP($B$5,标准坦克设计!$B$14:$K$20,9)/30))</f>
        <v>5.769793093736153</v>
      </c>
      <c r="AB153" s="173">
        <f ca="1">(VLOOKUP(AB$72,INDIRECT($C$5&amp;"生成成长"),2))/((VLOOKUP($B153,INDIRECT($B$5&amp;"生成成长"),4))/(VLOOKUP(AB$72,INDIRECT($C$5&amp;"生成成长"),5))*(VLOOKUP($B$5,标准坦克设计!$B$24:$U$30,MATCH("对"&amp;LEFT($C$5,2)&amp;"输出",标准坦克设计!$B$23:$U$23,0)))*(VLOOKUP($B153,INDIRECT($B$5&amp;"生成成长"),3))*(VLOOKUP($B$5,标准坦克设计!$B$14:$K$20,9)/30))</f>
        <v>6.3242751825785266</v>
      </c>
      <c r="AC153" s="173">
        <f ca="1">(VLOOKUP(AC$72,INDIRECT($C$5&amp;"生成成长"),2))/((VLOOKUP($B153,INDIRECT($B$5&amp;"生成成长"),4))/(VLOOKUP(AC$72,INDIRECT($C$5&amp;"生成成长"),5))*(VLOOKUP($B$5,标准坦克设计!$B$24:$U$30,MATCH("对"&amp;LEFT($C$5,2)&amp;"输出",标准坦克设计!$B$23:$U$23,0)))*(VLOOKUP($B153,INDIRECT($B$5&amp;"生成成长"),3))*(VLOOKUP($B$5,标准坦克设计!$B$14:$K$20,9)/30))</f>
        <v>6.9041922296246776</v>
      </c>
      <c r="AD153" s="173">
        <f ca="1">(VLOOKUP(AD$72,INDIRECT($C$5&amp;"生成成长"),2))/((VLOOKUP($B153,INDIRECT($B$5&amp;"生成成长"),4))/(VLOOKUP(AD$72,INDIRECT($C$5&amp;"生成成长"),5))*(VLOOKUP($B$5,标准坦克设计!$B$24:$U$30,MATCH("对"&amp;LEFT($C$5,2)&amp;"输出",标准坦克设计!$B$23:$U$23,0)))*(VLOOKUP($B153,INDIRECT($B$5&amp;"生成成长"),3))*(VLOOKUP($B$5,标准坦克设计!$B$14:$K$20,9)/30))</f>
        <v>7.5095442348746104</v>
      </c>
      <c r="AE153" s="173">
        <f ca="1">(VLOOKUP(AE$72,INDIRECT($C$5&amp;"生成成长"),2))/((VLOOKUP($B153,INDIRECT($B$5&amp;"生成成长"),4))/(VLOOKUP(AE$72,INDIRECT($C$5&amp;"生成成长"),5))*(VLOOKUP($B$5,标准坦克设计!$B$24:$U$30,MATCH("对"&amp;LEFT($C$5,2)&amp;"输出",标准坦克设计!$B$23:$U$23,0)))*(VLOOKUP($B153,INDIRECT($B$5&amp;"生成成长"),3))*(VLOOKUP($B$5,标准坦克设计!$B$14:$K$20,9)/30))</f>
        <v>8.1403311983283189</v>
      </c>
      <c r="AF153" s="173">
        <f ca="1">(VLOOKUP(AF$72,INDIRECT($C$5&amp;"生成成长"),2))/((VLOOKUP($B153,INDIRECT($B$5&amp;"生成成长"),4))/(VLOOKUP(AF$72,INDIRECT($C$5&amp;"生成成长"),5))*(VLOOKUP($B$5,标准坦克设计!$B$24:$U$30,MATCH("对"&amp;LEFT($C$5,2)&amp;"输出",标准坦克设计!$B$23:$U$23,0)))*(VLOOKUP($B153,INDIRECT($B$5&amp;"生成成长"),3))*(VLOOKUP($B$5,标准坦克设计!$B$14:$K$20,9)/30))</f>
        <v>8.7965531199858056</v>
      </c>
      <c r="AG153" s="173">
        <f ca="1">(VLOOKUP(AG$72,INDIRECT($C$5&amp;"生成成长"),2))/((VLOOKUP($B153,INDIRECT($B$5&amp;"生成成长"),4))/(VLOOKUP(AG$72,INDIRECT($C$5&amp;"生成成长"),5))*(VLOOKUP($B$5,标准坦克设计!$B$24:$U$30,MATCH("对"&amp;LEFT($C$5,2)&amp;"输出",标准坦克设计!$B$23:$U$23,0)))*(VLOOKUP($B153,INDIRECT($B$5&amp;"生成成长"),3))*(VLOOKUP($B$5,标准坦克设计!$B$14:$K$20,9)/30))</f>
        <v>9.4782099998470724</v>
      </c>
      <c r="AH153" s="173">
        <f ca="1">(VLOOKUP(AH$72,INDIRECT($C$5&amp;"生成成长"),2))/((VLOOKUP($B153,INDIRECT($B$5&amp;"生成成长"),4))/(VLOOKUP(AH$72,INDIRECT($C$5&amp;"生成成长"),5))*(VLOOKUP($B$5,标准坦克设计!$B$24:$U$30,MATCH("对"&amp;LEFT($C$5,2)&amp;"输出",标准坦克设计!$B$23:$U$23,0)))*(VLOOKUP($B153,INDIRECT($B$5&amp;"生成成长"),3))*(VLOOKUP($B$5,标准坦克设计!$B$14:$K$20,9)/30))</f>
        <v>10.185301837912116</v>
      </c>
      <c r="AI153" s="173">
        <f ca="1">(VLOOKUP(AI$72,INDIRECT($C$5&amp;"生成成长"),2))/((VLOOKUP($B153,INDIRECT($B$5&amp;"生成成长"),4))/(VLOOKUP(AI$72,INDIRECT($C$5&amp;"生成成长"),5))*(VLOOKUP($B$5,标准坦克设计!$B$24:$U$30,MATCH("对"&amp;LEFT($C$5,2)&amp;"输出",标准坦克设计!$B$23:$U$23,0)))*(VLOOKUP($B153,INDIRECT($B$5&amp;"生成成长"),3))*(VLOOKUP($B$5,标准坦克设计!$B$14:$K$20,9)/30))</f>
        <v>7.2036888624741717</v>
      </c>
      <c r="AJ153" s="173">
        <f ca="1">(VLOOKUP(AJ$72,INDIRECT($C$5&amp;"生成成长"),2))/((VLOOKUP($B153,INDIRECT($B$5&amp;"生成成长"),4))/(VLOOKUP(AJ$72,INDIRECT($C$5&amp;"生成成长"),5))*(VLOOKUP($B$5,标准坦克设计!$B$24:$U$30,MATCH("对"&amp;LEFT($C$5,2)&amp;"输出",标准坦克设计!$B$23:$U$23,0)))*(VLOOKUP($B153,INDIRECT($B$5&amp;"生成成长"),3))*(VLOOKUP($B$5,标准坦克设计!$B$14:$K$20,9)/30))</f>
        <v>7.8849642179623807</v>
      </c>
      <c r="AK153" s="173">
        <f ca="1">(VLOOKUP(AK$72,INDIRECT($C$5&amp;"生成成长"),2))/((VLOOKUP($B153,INDIRECT($B$5&amp;"生成成长"),4))/(VLOOKUP(AK$72,INDIRECT($C$5&amp;"生成成长"),5))*(VLOOKUP($B$5,标准坦克设计!$B$24:$U$30,MATCH("对"&amp;LEFT($C$5,2)&amp;"输出",标准坦克设计!$B$23:$U$23,0)))*(VLOOKUP($B153,INDIRECT($B$5&amp;"生成成长"),3))*(VLOOKUP($B$5,标准坦克设计!$B$14:$K$20,9)/30))</f>
        <v>8.5970158728771633</v>
      </c>
      <c r="AL153" s="173">
        <f ca="1">(VLOOKUP(AL$72,INDIRECT($C$5&amp;"生成成长"),2))/((VLOOKUP($B153,INDIRECT($B$5&amp;"生成成长"),4))/(VLOOKUP(AL$72,INDIRECT($C$5&amp;"生成成长"),5))*(VLOOKUP($B$5,标准坦克设计!$B$24:$U$30,MATCH("对"&amp;LEFT($C$5,2)&amp;"输出",标准坦克设计!$B$23:$U$23,0)))*(VLOOKUP($B153,INDIRECT($B$5&amp;"生成成长"),3))*(VLOOKUP($B$5,标准坦克设计!$B$14:$K$20,9)/30))</f>
        <v>9.3398438272185178</v>
      </c>
      <c r="AM153" s="173">
        <f ca="1">(VLOOKUP(AM$72,INDIRECT($C$5&amp;"生成成长"),2))/((VLOOKUP($B153,INDIRECT($B$5&amp;"生成成长"),4))/(VLOOKUP(AM$72,INDIRECT($C$5&amp;"生成成长"),5))*(VLOOKUP($B$5,标准坦克设计!$B$24:$U$30,MATCH("对"&amp;LEFT($C$5,2)&amp;"输出",标准坦克设计!$B$23:$U$23,0)))*(VLOOKUP($B153,INDIRECT($B$5&amp;"生成成长"),3))*(VLOOKUP($B$5,标准坦克设计!$B$14:$K$20,9)/30))</f>
        <v>10.113448080986444</v>
      </c>
      <c r="AN153" s="173">
        <f ca="1">(VLOOKUP(AN$72,INDIRECT($C$5&amp;"生成成长"),2))/((VLOOKUP($B153,INDIRECT($B$5&amp;"生成成长"),4))/(VLOOKUP(AN$72,INDIRECT($C$5&amp;"生成成长"),5))*(VLOOKUP($B$5,标准坦克设计!$B$24:$U$30,MATCH("对"&amp;LEFT($C$5,2)&amp;"输出",标准坦克设计!$B$23:$U$23,0)))*(VLOOKUP($B153,INDIRECT($B$5&amp;"生成成长"),3))*(VLOOKUP($B$5,标准坦克设计!$B$14:$K$20,9)/30))</f>
        <v>10.917828634180941</v>
      </c>
      <c r="AO153" s="173">
        <f ca="1">(VLOOKUP(AO$72,INDIRECT($C$5&amp;"生成成长"),2))/((VLOOKUP($B153,INDIRECT($B$5&amp;"生成成长"),4))/(VLOOKUP(AO$72,INDIRECT($C$5&amp;"生成成长"),5))*(VLOOKUP($B$5,标准坦克设计!$B$24:$U$30,MATCH("对"&amp;LEFT($C$5,2)&amp;"输出",标准坦克设计!$B$23:$U$23,0)))*(VLOOKUP($B153,INDIRECT($B$5&amp;"生成成长"),3))*(VLOOKUP($B$5,标准坦克设计!$B$14:$K$20,9)/30))</f>
        <v>11.752985486802011</v>
      </c>
      <c r="AP153" s="173">
        <f ca="1">(VLOOKUP(AP$72,INDIRECT($C$5&amp;"生成成长"),2))/((VLOOKUP($B153,INDIRECT($B$5&amp;"生成成长"),4))/(VLOOKUP(AP$72,INDIRECT($C$5&amp;"生成成长"),5))*(VLOOKUP($B$5,标准坦克设计!$B$24:$U$30,MATCH("对"&amp;LEFT($C$5,2)&amp;"输出",标准坦克设计!$B$23:$U$23,0)))*(VLOOKUP($B153,INDIRECT($B$5&amp;"生成成长"),3))*(VLOOKUP($B$5,标准坦克设计!$B$14:$K$20,9)/30))</f>
        <v>12.618918638849653</v>
      </c>
      <c r="AQ153" s="173">
        <f ca="1">(VLOOKUP(AQ$72,INDIRECT($C$5&amp;"生成成长"),2))/((VLOOKUP($B153,INDIRECT($B$5&amp;"生成成长"),4))/(VLOOKUP(AQ$72,INDIRECT($C$5&amp;"生成成长"),5))*(VLOOKUP($B$5,标准坦克设计!$B$24:$U$30,MATCH("对"&amp;LEFT($C$5,2)&amp;"输出",标准坦克设计!$B$23:$U$23,0)))*(VLOOKUP($B153,INDIRECT($B$5&amp;"生成成长"),3))*(VLOOKUP($B$5,标准坦克设计!$B$14:$K$20,9)/30))</f>
        <v>13.515628090323867</v>
      </c>
      <c r="AR153" s="173">
        <f ca="1">(VLOOKUP(AR$72,INDIRECT($C$5&amp;"生成成长"),2))/((VLOOKUP($B153,INDIRECT($B$5&amp;"生成成长"),4))/(VLOOKUP(AR$72,INDIRECT($C$5&amp;"生成成长"),5))*(VLOOKUP($B$5,标准坦克设计!$B$24:$U$30,MATCH("对"&amp;LEFT($C$5,2)&amp;"输出",标准坦克设计!$B$23:$U$23,0)))*(VLOOKUP($B153,INDIRECT($B$5&amp;"生成成长"),3))*(VLOOKUP($B$5,标准坦克设计!$B$14:$K$20,9)/30))</f>
        <v>14.443113841224651</v>
      </c>
      <c r="AS153" s="173">
        <f ca="1">(VLOOKUP(AS$72,INDIRECT($C$5&amp;"生成成长"),2))/((VLOOKUP($B153,INDIRECT($B$5&amp;"生成成长"),4))/(VLOOKUP(AS$72,INDIRECT($C$5&amp;"生成成长"),5))*(VLOOKUP($B$5,标准坦克设计!$B$24:$U$30,MATCH("对"&amp;LEFT($C$5,2)&amp;"输出",标准坦克设计!$B$23:$U$23,0)))*(VLOOKUP($B153,INDIRECT($B$5&amp;"生成成长"),3))*(VLOOKUP($B$5,标准坦克设计!$B$14:$K$20,9)/30))</f>
        <v>15.401375891552011</v>
      </c>
      <c r="AT153" s="173">
        <f ca="1">(VLOOKUP(AT$72,INDIRECT($C$5&amp;"生成成长"),2))/((VLOOKUP($B153,INDIRECT($B$5&amp;"生成成长"),4))/(VLOOKUP(AT$72,INDIRECT($C$5&amp;"生成成长"),5))*(VLOOKUP($B$5,标准坦克设计!$B$24:$U$30,MATCH("对"&amp;LEFT($C$5,2)&amp;"输出",标准坦克设计!$B$23:$U$23,0)))*(VLOOKUP($B153,INDIRECT($B$5&amp;"生成成长"),3))*(VLOOKUP($B$5,标准坦克设计!$B$14:$K$20,9)/30))</f>
        <v>16.39041424130594</v>
      </c>
      <c r="AU153" s="173">
        <f ca="1">(VLOOKUP(AU$72,INDIRECT($C$5&amp;"生成成长"),2))/((VLOOKUP($B153,INDIRECT($B$5&amp;"生成成长"),4))/(VLOOKUP(AU$72,INDIRECT($C$5&amp;"生成成长"),5))*(VLOOKUP($B$5,标准坦克设计!$B$24:$U$30,MATCH("对"&amp;LEFT($C$5,2)&amp;"输出",标准坦克设计!$B$23:$U$23,0)))*(VLOOKUP($B153,INDIRECT($B$5&amp;"生成成长"),3))*(VLOOKUP($B$5,标准坦克设计!$B$14:$K$20,9)/30))</f>
        <v>17.410228890486444</v>
      </c>
      <c r="AV153" s="173">
        <f ca="1">(VLOOKUP(AV$72,INDIRECT($C$5&amp;"生成成长"),2))/((VLOOKUP($B153,INDIRECT($B$5&amp;"生成成长"),4))/(VLOOKUP(AV$72,INDIRECT($C$5&amp;"生成成长"),5))*(VLOOKUP($B$5,标准坦克设计!$B$24:$U$30,MATCH("对"&amp;LEFT($C$5,2)&amp;"输出",标准坦克设计!$B$23:$U$23,0)))*(VLOOKUP($B153,INDIRECT($B$5&amp;"生成成长"),3))*(VLOOKUP($B$5,标准坦克设计!$B$14:$K$20,9)/30))</f>
        <v>1.770781790147065</v>
      </c>
      <c r="AW153" s="173">
        <f ca="1">(VLOOKUP(AW$72,INDIRECT($C$5&amp;"生成成长"),2))/((VLOOKUP($B153,INDIRECT($B$5&amp;"生成成长"),4))/(VLOOKUP(AW$72,INDIRECT($C$5&amp;"生成成长"),5))*(VLOOKUP($B$5,标准坦克设计!$B$24:$U$30,MATCH("对"&amp;LEFT($C$5,2)&amp;"输出",标准坦克设计!$B$23:$U$23,0)))*(VLOOKUP($B153,INDIRECT($B$5&amp;"生成成长"),3))*(VLOOKUP($B$5,标准坦克设计!$B$14:$K$20,9)/30))</f>
        <v>2.0190269822159439</v>
      </c>
      <c r="AX153" s="173">
        <f ca="1">(VLOOKUP(AX$72,INDIRECT($C$5&amp;"生成成长"),2))/((VLOOKUP($B153,INDIRECT($B$5&amp;"生成成长"),4))/(VLOOKUP(AX$72,INDIRECT($C$5&amp;"生成成长"),5))*(VLOOKUP($B$5,标准坦克设计!$B$24:$U$30,MATCH("对"&amp;LEFT($C$5,2)&amp;"输出",标准坦克设计!$B$23:$U$23,0)))*(VLOOKUP($B153,INDIRECT($B$5&amp;"生成成长"),3))*(VLOOKUP($B$5,标准坦克设计!$B$14:$K$20,9)/30))</f>
        <v>2.2835505475352416</v>
      </c>
      <c r="AY153" s="173">
        <f ca="1">(VLOOKUP(AY$72,INDIRECT($C$5&amp;"生成成长"),2))/((VLOOKUP($B153,INDIRECT($B$5&amp;"生成成长"),4))/(VLOOKUP(AY$72,INDIRECT($C$5&amp;"生成成长"),5))*(VLOOKUP($B$5,标准坦克设计!$B$24:$U$30,MATCH("对"&amp;LEFT($C$5,2)&amp;"输出",标准坦克设计!$B$23:$U$23,0)))*(VLOOKUP($B153,INDIRECT($B$5&amp;"生成成长"),3))*(VLOOKUP($B$5,标准坦克设计!$B$14:$K$20,9)/30))</f>
        <v>2.5643524861049576</v>
      </c>
      <c r="AZ153" s="173">
        <f ca="1">(VLOOKUP(AZ$72,INDIRECT($C$5&amp;"生成成长"),2))/((VLOOKUP($B153,INDIRECT($B$5&amp;"生成成长"),4))/(VLOOKUP(AZ$72,INDIRECT($C$5&amp;"生成成长"),5))*(VLOOKUP($B$5,标准坦克设计!$B$24:$U$30,MATCH("对"&amp;LEFT($C$5,2)&amp;"输出",标准坦克设计!$B$23:$U$23,0)))*(VLOOKUP($B153,INDIRECT($B$5&amp;"生成成长"),3))*(VLOOKUP($B$5,标准坦克设计!$B$14:$K$20,9)/30))</f>
        <v>2.8614327979250906</v>
      </c>
      <c r="BA153" s="173">
        <f ca="1">(VLOOKUP(BA$72,INDIRECT($C$5&amp;"生成成长"),2))/((VLOOKUP($B153,INDIRECT($B$5&amp;"生成成长"),4))/(VLOOKUP(BA$72,INDIRECT($C$5&amp;"生成成长"),5))*(VLOOKUP($B$5,标准坦克设计!$B$24:$U$30,MATCH("对"&amp;LEFT($C$5,2)&amp;"输出",标准坦克设计!$B$23:$U$23,0)))*(VLOOKUP($B153,INDIRECT($B$5&amp;"生成成长"),3))*(VLOOKUP($B$5,标准坦克设计!$B$14:$K$20,9)/30))</f>
        <v>3.1747914829956438</v>
      </c>
      <c r="BB153" s="173">
        <f ca="1">(VLOOKUP(BB$72,INDIRECT($C$5&amp;"生成成长"),2))/((VLOOKUP($B153,INDIRECT($B$5&amp;"生成成长"),4))/(VLOOKUP(BB$72,INDIRECT($C$5&amp;"生成成长"),5))*(VLOOKUP($B$5,标准坦克设计!$B$24:$U$30,MATCH("对"&amp;LEFT($C$5,2)&amp;"输出",标准坦克设计!$B$23:$U$23,0)))*(VLOOKUP($B153,INDIRECT($B$5&amp;"生成成长"),3))*(VLOOKUP($B$5,标准坦克设计!$B$14:$K$20,9)/30))</f>
        <v>3.5044285413166132</v>
      </c>
      <c r="BC153" s="173">
        <f ca="1">(VLOOKUP(BC$72,INDIRECT($C$5&amp;"生成成长"),2))/((VLOOKUP($B153,INDIRECT($B$5&amp;"生成成长"),4))/(VLOOKUP(BC$72,INDIRECT($C$5&amp;"生成成长"),5))*(VLOOKUP($B$5,标准坦克设计!$B$24:$U$30,MATCH("对"&amp;LEFT($C$5,2)&amp;"输出",标准坦克设计!$B$23:$U$23,0)))*(VLOOKUP($B153,INDIRECT($B$5&amp;"生成成长"),3))*(VLOOKUP($B$5,标准坦克设计!$B$14:$K$20,9)/30))</f>
        <v>3.8503439728880027</v>
      </c>
      <c r="BD153" s="173">
        <f ca="1">(VLOOKUP(BD$72,INDIRECT($C$5&amp;"生成成长"),2))/((VLOOKUP($B153,INDIRECT($B$5&amp;"生成成长"),4))/(VLOOKUP(BD$72,INDIRECT($C$5&amp;"生成成长"),5))*(VLOOKUP($B$5,标准坦克设计!$B$24:$U$30,MATCH("对"&amp;LEFT($C$5,2)&amp;"输出",标准坦克设计!$B$23:$U$23,0)))*(VLOOKUP($B153,INDIRECT($B$5&amp;"生成成长"),3))*(VLOOKUP($B$5,标准坦克设计!$B$14:$K$20,9)/30))</f>
        <v>4.2589565764317054</v>
      </c>
      <c r="BE153" s="173">
        <f ca="1">(VLOOKUP(BE$72,INDIRECT($C$5&amp;"生成成长"),2))/((VLOOKUP($B153,INDIRECT($B$5&amp;"生成成长"),4))/(VLOOKUP(BE$72,INDIRECT($C$5&amp;"生成成长"),5))*(VLOOKUP($B$5,标准坦克设计!$B$24:$U$30,MATCH("对"&amp;LEFT($C$5,2)&amp;"输出",标准坦克设计!$B$23:$U$23,0)))*(VLOOKUP($B153,INDIRECT($B$5&amp;"生成成长"),3))*(VLOOKUP($B$5,标准坦克设计!$B$14:$K$20,9)/30))</f>
        <v>4.6881714961204688</v>
      </c>
      <c r="BF153" s="173">
        <f ca="1">(VLOOKUP(BF$72,INDIRECT($C$5&amp;"生成成长"),2))/((VLOOKUP($B153,INDIRECT($B$5&amp;"生成成长"),4))/(VLOOKUP(BF$72,INDIRECT($C$5&amp;"生成成长"),5))*(VLOOKUP($B$5,标准坦克设计!$B$24:$U$30,MATCH("对"&amp;LEFT($C$5,2)&amp;"输出",标准坦克设计!$B$23:$U$23,0)))*(VLOOKUP($B153,INDIRECT($B$5&amp;"生成成长"),3))*(VLOOKUP($B$5,标准坦克设计!$B$14:$K$20,9)/30))</f>
        <v>5.1379887319542927</v>
      </c>
      <c r="BG153" s="173">
        <f ca="1">(VLOOKUP(BG$72,INDIRECT($C$5&amp;"生成成长"),2))/((VLOOKUP($B153,INDIRECT($B$5&amp;"生成成长"),4))/(VLOOKUP(BG$72,INDIRECT($C$5&amp;"生成成长"),5))*(VLOOKUP($B$5,标准坦克设计!$B$24:$U$30,MATCH("对"&amp;LEFT($C$5,2)&amp;"输出",标准坦克设计!$B$23:$U$23,0)))*(VLOOKUP($B153,INDIRECT($B$5&amp;"生成成长"),3))*(VLOOKUP($B$5,标准坦克设计!$B$14:$K$20,9)/30))</f>
        <v>5.6084082839331799</v>
      </c>
      <c r="BH153" s="173">
        <f ca="1">(VLOOKUP(BH$72,INDIRECT($C$5&amp;"生成成长"),2))/((VLOOKUP($B153,INDIRECT($B$5&amp;"生成成长"),4))/(VLOOKUP(BH$72,INDIRECT($C$5&amp;"生成成长"),5))*(VLOOKUP($B$5,标准坦克设计!$B$24:$U$30,MATCH("对"&amp;LEFT($C$5,2)&amp;"输出",标准坦克设计!$B$23:$U$23,0)))*(VLOOKUP($B153,INDIRECT($B$5&amp;"生成成长"),3))*(VLOOKUP($B$5,标准坦克设计!$B$14:$K$20,9)/30))</f>
        <v>2.710857845358722</v>
      </c>
      <c r="BI153" s="173">
        <f ca="1">(VLOOKUP(BI$72,INDIRECT($C$5&amp;"生成成长"),2))/((VLOOKUP($B153,INDIRECT($B$5&amp;"生成成长"),4))/(VLOOKUP(BI$72,INDIRECT($C$5&amp;"生成成长"),5))*(VLOOKUP($B$5,标准坦克设计!$B$24:$U$30,MATCH("对"&amp;LEFT($C$5,2)&amp;"输出",标准坦克设计!$B$23:$U$23,0)))*(VLOOKUP($B153,INDIRECT($B$5&amp;"生成成长"),3))*(VLOOKUP($B$5,标准坦克设计!$B$14:$K$20,9)/30))</f>
        <v>3.0553743542289027</v>
      </c>
      <c r="BJ153" s="173">
        <f ca="1">(VLOOKUP(BJ$72,INDIRECT($C$5&amp;"生成成长"),2))/((VLOOKUP($B153,INDIRECT($B$5&amp;"生成成长"),4))/(VLOOKUP(BJ$72,INDIRECT($C$5&amp;"生成成长"),5))*(VLOOKUP($B$5,标准坦克设计!$B$24:$U$30,MATCH("对"&amp;LEFT($C$5,2)&amp;"输出",标准坦克设计!$B$23:$U$23,0)))*(VLOOKUP($B153,INDIRECT($B$5&amp;"生成成长"),3))*(VLOOKUP($B$5,标准坦克设计!$B$14:$K$20,9)/30))</f>
        <v>3.4204931792441444</v>
      </c>
      <c r="BK153" s="173">
        <f ca="1">(VLOOKUP(BK$72,INDIRECT($C$5&amp;"生成成长"),2))/((VLOOKUP($B153,INDIRECT($B$5&amp;"生成成长"),4))/(VLOOKUP(BK$72,INDIRECT($C$5&amp;"生成成长"),5))*(VLOOKUP($B$5,标准坦克设计!$B$24:$U$30,MATCH("对"&amp;LEFT($C$5,2)&amp;"输出",标准坦克设计!$B$23:$U$23,0)))*(VLOOKUP($B153,INDIRECT($B$5&amp;"生成成长"),3))*(VLOOKUP($B$5,标准坦克设计!$B$14:$K$20,9)/30))</f>
        <v>3.8062143204044463</v>
      </c>
      <c r="BL153" s="173">
        <f ca="1">(VLOOKUP(BL$72,INDIRECT($C$5&amp;"生成成长"),2))/((VLOOKUP($B153,INDIRECT($B$5&amp;"生成成长"),4))/(VLOOKUP(BL$72,INDIRECT($C$5&amp;"生成成长"),5))*(VLOOKUP($B$5,标准坦克设计!$B$24:$U$30,MATCH("对"&amp;LEFT($C$5,2)&amp;"输出",标准坦克设计!$B$23:$U$23,0)))*(VLOOKUP($B153,INDIRECT($B$5&amp;"生成成长"),3))*(VLOOKUP($B$5,标准坦克设计!$B$14:$K$20,9)/30))</f>
        <v>4.2125377777098105</v>
      </c>
      <c r="BM153" s="173">
        <f ca="1">(VLOOKUP(BM$72,INDIRECT($C$5&amp;"生成成长"),2))/((VLOOKUP($B153,INDIRECT($B$5&amp;"生成成长"),4))/(VLOOKUP(BM$72,INDIRECT($C$5&amp;"生成成长"),5))*(VLOOKUP($B$5,标准坦克设计!$B$24:$U$30,MATCH("对"&amp;LEFT($C$5,2)&amp;"输出",标准坦克设计!$B$23:$U$23,0)))*(VLOOKUP($B153,INDIRECT($B$5&amp;"生成成长"),3))*(VLOOKUP($B$5,标准坦克设计!$B$14:$K$20,9)/30))</f>
        <v>4.6394635511602331</v>
      </c>
      <c r="BN153" s="173">
        <f ca="1">(VLOOKUP(BN$72,INDIRECT($C$5&amp;"生成成长"),2))/((VLOOKUP($B153,INDIRECT($B$5&amp;"生成成长"),4))/(VLOOKUP(BN$72,INDIRECT($C$5&amp;"生成成长"),5))*(VLOOKUP($B$5,标准坦克设计!$B$24:$U$30,MATCH("对"&amp;LEFT($C$5,2)&amp;"输出",标准坦克设计!$B$23:$U$23,0)))*(VLOOKUP($B153,INDIRECT($B$5&amp;"生成成长"),3))*(VLOOKUP($B$5,标准坦克设计!$B$14:$K$20,9)/30))</f>
        <v>5.0869916407557181</v>
      </c>
      <c r="BO153" s="173">
        <f ca="1">(VLOOKUP(BO$72,INDIRECT($C$5&amp;"生成成长"),2))/((VLOOKUP($B153,INDIRECT($B$5&amp;"生成成长"),4))/(VLOOKUP(BO$72,INDIRECT($C$5&amp;"生成成长"),5))*(VLOOKUP($B$5,标准坦克设计!$B$24:$U$30,MATCH("对"&amp;LEFT($C$5,2)&amp;"输出",标准坦克设计!$B$23:$U$23,0)))*(VLOOKUP($B153,INDIRECT($B$5&amp;"生成成长"),3))*(VLOOKUP($B$5,标准坦克设计!$B$14:$K$20,9)/30))</f>
        <v>5.5551220464962627</v>
      </c>
      <c r="BP153" s="173">
        <f ca="1">(VLOOKUP(BP$72,INDIRECT($C$5&amp;"生成成长"),2))/((VLOOKUP($B153,INDIRECT($B$5&amp;"生成成长"),4))/(VLOOKUP(BP$72,INDIRECT($C$5&amp;"生成成长"),5))*(VLOOKUP($B$5,标准坦克设计!$B$24:$U$30,MATCH("对"&amp;LEFT($C$5,2)&amp;"输出",标准坦克设计!$B$23:$U$23,0)))*(VLOOKUP($B153,INDIRECT($B$5&amp;"生成成长"),3))*(VLOOKUP($B$5,标准坦克设计!$B$14:$K$20,9)/30))</f>
        <v>6.043854768381868</v>
      </c>
      <c r="BQ153" s="173">
        <f ca="1">(VLOOKUP(BQ$72,INDIRECT($C$5&amp;"生成成长"),2))/((VLOOKUP($B153,INDIRECT($B$5&amp;"生成成长"),4))/(VLOOKUP(BQ$72,INDIRECT($C$5&amp;"生成成长"),5))*(VLOOKUP($B$5,标准坦克设计!$B$24:$U$30,MATCH("对"&amp;LEFT($C$5,2)&amp;"输出",标准坦克设计!$B$23:$U$23,0)))*(VLOOKUP($B153,INDIRECT($B$5&amp;"生成成长"),3))*(VLOOKUP($B$5,标准坦克设计!$B$14:$K$20,9)/30))</f>
        <v>6.5531898064125347</v>
      </c>
      <c r="BR153" s="173">
        <f ca="1">(VLOOKUP(BR$72,INDIRECT($C$5&amp;"生成成长"),2))/((VLOOKUP($B153,INDIRECT($B$5&amp;"生成成长"),4))/(VLOOKUP(BR$72,INDIRECT($C$5&amp;"生成成长"),5))*(VLOOKUP($B$5,标准坦克设计!$B$24:$U$30,MATCH("对"&amp;LEFT($C$5,2)&amp;"输出",标准坦克设计!$B$23:$U$23,0)))*(VLOOKUP($B153,INDIRECT($B$5&amp;"生成成长"),3))*(VLOOKUP($B$5,标准坦克设计!$B$14:$K$20,9)/30))</f>
        <v>7.1432808367401961</v>
      </c>
      <c r="BS153" s="173">
        <f ca="1">(VLOOKUP(BS$72,INDIRECT($C$5&amp;"生成成长"),2))/((VLOOKUP($B153,INDIRECT($B$5&amp;"生成成长"),4))/(VLOOKUP(BS$72,INDIRECT($C$5&amp;"生成成长"),5))*(VLOOKUP($B$5,标准坦克设计!$B$24:$U$30,MATCH("对"&amp;LEFT($C$5,2)&amp;"输出",标准坦克设计!$B$23:$U$23,0)))*(VLOOKUP($B153,INDIRECT($B$5&amp;"生成成长"),3))*(VLOOKUP($B$5,标准坦克设计!$B$14:$K$20,9)/30))</f>
        <v>7.7588068252716385</v>
      </c>
      <c r="BT153" s="173">
        <f ca="1">(VLOOKUP(BT$72,INDIRECT($C$5&amp;"生成成长"),2))/((VLOOKUP($B153,INDIRECT($B$5&amp;"生成成长"),4))/(VLOOKUP(BT$72,INDIRECT($C$5&amp;"生成成长"),5))*(VLOOKUP($B$5,标准坦克设计!$B$24:$U$30,MATCH("对"&amp;LEFT($C$5,2)&amp;"输出",标准坦克设计!$B$23:$U$23,0)))*(VLOOKUP($B153,INDIRECT($B$5&amp;"生成成长"),3))*(VLOOKUP($B$5,标准坦克设计!$B$14:$K$20,9)/30))</f>
        <v>8.3997677720068591</v>
      </c>
      <c r="BU153" s="173">
        <f ca="1">(VLOOKUP(BU$72,INDIRECT($C$5&amp;"生成成长"),2))/((VLOOKUP($B153,INDIRECT($B$5&amp;"生成成长"),4))/(VLOOKUP(BU$72,INDIRECT($C$5&amp;"生成成长"),5))*(VLOOKUP($B$5,标准坦克设计!$B$24:$U$30,MATCH("对"&amp;LEFT($C$5,2)&amp;"输出",标准坦克设计!$B$23:$U$23,0)))*(VLOOKUP($B153,INDIRECT($B$5&amp;"生成成长"),3))*(VLOOKUP($B$5,标准坦克设计!$B$14:$K$20,9)/30))</f>
        <v>9.0661636769458589</v>
      </c>
      <c r="BV153" s="173">
        <f ca="1">(VLOOKUP(BV$72,INDIRECT($C$5&amp;"生成成长"),2))/((VLOOKUP($B153,INDIRECT($B$5&amp;"生成成长"),4))/(VLOOKUP(BV$72,INDIRECT($C$5&amp;"生成成长"),5))*(VLOOKUP($B$5,标准坦克设计!$B$24:$U$30,MATCH("对"&amp;LEFT($C$5,2)&amp;"输出",标准坦克设计!$B$23:$U$23,0)))*(VLOOKUP($B153,INDIRECT($B$5&amp;"生成成长"),3))*(VLOOKUP($B$5,标准坦克设计!$B$14:$K$20,9)/30))</f>
        <v>9.7579945400886352</v>
      </c>
      <c r="BW153" s="173">
        <f ca="1">(VLOOKUP(BW$72,INDIRECT($C$5&amp;"生成成长"),2))/((VLOOKUP($B153,INDIRECT($B$5&amp;"生成成长"),4))/(VLOOKUP(BW$72,INDIRECT($C$5&amp;"生成成长"),5))*(VLOOKUP($B$5,标准坦克设计!$B$24:$U$30,MATCH("对"&amp;LEFT($C$5,2)&amp;"输出",标准坦克设计!$B$23:$U$23,0)))*(VLOOKUP($B153,INDIRECT($B$5&amp;"生成成长"),3))*(VLOOKUP($B$5,标准坦克设计!$B$14:$K$20,9)/30))</f>
        <v>4.4471752671396674</v>
      </c>
      <c r="BX153" s="173">
        <f ca="1">(VLOOKUP(BX$72,INDIRECT($C$5&amp;"生成成长"),2))/((VLOOKUP($B153,INDIRECT($B$5&amp;"生成成长"),4))/(VLOOKUP(BX$72,INDIRECT($C$5&amp;"生成成长"),5))*(VLOOKUP($B$5,标准坦克设计!$B$24:$U$30,MATCH("对"&amp;LEFT($C$5,2)&amp;"输出",标准坦克设计!$B$23:$U$23,0)))*(VLOOKUP($B153,INDIRECT($B$5&amp;"生成成长"),3))*(VLOOKUP($B$5,标准坦克设计!$B$14:$K$20,9)/30))</f>
        <v>4.9355264646522157</v>
      </c>
      <c r="BY153" s="173">
        <f ca="1">(VLOOKUP(BY$72,INDIRECT($C$5&amp;"生成成长"),2))/((VLOOKUP($B153,INDIRECT($B$5&amp;"生成成长"),4))/(VLOOKUP(BY$72,INDIRECT($C$5&amp;"生成成长"),5))*(VLOOKUP($B$5,标准坦克设计!$B$24:$U$30,MATCH("对"&amp;LEFT($C$5,2)&amp;"输出",标准坦克设计!$B$23:$U$23,0)))*(VLOOKUP($B153,INDIRECT($B$5&amp;"生成成长"),3))*(VLOOKUP($B$5,标准坦克设计!$B$14:$K$20,9)/30))</f>
        <v>5.4493126203685431</v>
      </c>
      <c r="BZ153" s="173">
        <f ca="1">(VLOOKUP(BZ$72,INDIRECT($C$5&amp;"生成成长"),2))/((VLOOKUP($B153,INDIRECT($B$5&amp;"生成成长"),4))/(VLOOKUP(BZ$72,INDIRECT($C$5&amp;"生成成长"),5))*(VLOOKUP($B$5,标准坦克设计!$B$24:$U$30,MATCH("对"&amp;LEFT($C$5,2)&amp;"输出",标准坦克设计!$B$23:$U$23,0)))*(VLOOKUP($B153,INDIRECT($B$5&amp;"生成成长"),3))*(VLOOKUP($B$5,标准坦克设计!$B$14:$K$20,9)/30))</f>
        <v>5.9885337342886498</v>
      </c>
      <c r="CA153" s="173">
        <f ca="1">(VLOOKUP(CA$72,INDIRECT($C$5&amp;"生成成长"),2))/((VLOOKUP($B153,INDIRECT($B$5&amp;"生成成长"),4))/(VLOOKUP(CA$72,INDIRECT($C$5&amp;"生成成长"),5))*(VLOOKUP($B$5,标准坦克设计!$B$24:$U$30,MATCH("对"&amp;LEFT($C$5,2)&amp;"输出",标准坦克设计!$B$23:$U$23,0)))*(VLOOKUP($B153,INDIRECT($B$5&amp;"生成成长"),3))*(VLOOKUP($B$5,标准坦克设计!$B$14:$K$20,9)/30))</f>
        <v>6.5531898064125347</v>
      </c>
      <c r="CB153" s="173">
        <f ca="1">(VLOOKUP(CB$72,INDIRECT($C$5&amp;"生成成长"),2))/((VLOOKUP($B153,INDIRECT($B$5&amp;"生成成长"),4))/(VLOOKUP(CB$72,INDIRECT($C$5&amp;"生成成长"),5))*(VLOOKUP($B$5,标准坦克设计!$B$24:$U$30,MATCH("对"&amp;LEFT($C$5,2)&amp;"输出",标准坦克设计!$B$23:$U$23,0)))*(VLOOKUP($B153,INDIRECT($B$5&amp;"生成成长"),3))*(VLOOKUP($B$5,标准坦克设计!$B$14:$K$20,9)/30))</f>
        <v>7.1432808367401961</v>
      </c>
      <c r="CC153" s="173">
        <f ca="1">(VLOOKUP(CC$72,INDIRECT($C$5&amp;"生成成长"),2))/((VLOOKUP($B153,INDIRECT($B$5&amp;"生成成长"),4))/(VLOOKUP(CC$72,INDIRECT($C$5&amp;"生成成长"),5))*(VLOOKUP($B$5,标准坦克设计!$B$24:$U$30,MATCH("对"&amp;LEFT($C$5,2)&amp;"输出",标准坦克设计!$B$23:$U$23,0)))*(VLOOKUP($B153,INDIRECT($B$5&amp;"生成成长"),3))*(VLOOKUP($B$5,标准坦克设计!$B$14:$K$20,9)/30))</f>
        <v>7.7588068252716385</v>
      </c>
      <c r="CD153" s="173">
        <f ca="1">(VLOOKUP(CD$72,INDIRECT($C$5&amp;"生成成长"),2))/((VLOOKUP($B153,INDIRECT($B$5&amp;"生成成长"),4))/(VLOOKUP(CD$72,INDIRECT($C$5&amp;"生成成长"),5))*(VLOOKUP($B$5,标准坦克设计!$B$24:$U$30,MATCH("对"&amp;LEFT($C$5,2)&amp;"输出",标准坦克设计!$B$23:$U$23,0)))*(VLOOKUP($B153,INDIRECT($B$5&amp;"生成成长"),3))*(VLOOKUP($B$5,标准坦克设计!$B$14:$K$20,9)/30))</f>
        <v>8.3997677720068591</v>
      </c>
      <c r="CE153" s="173">
        <f ca="1">(VLOOKUP(CE$72,INDIRECT($C$5&amp;"生成成长"),2))/((VLOOKUP($B153,INDIRECT($B$5&amp;"生成成长"),4))/(VLOOKUP(CE$72,INDIRECT($C$5&amp;"生成成长"),5))*(VLOOKUP($B$5,标准坦克设计!$B$24:$U$30,MATCH("对"&amp;LEFT($C$5,2)&amp;"输出",标准坦克设计!$B$23:$U$23,0)))*(VLOOKUP($B153,INDIRECT($B$5&amp;"生成成长"),3))*(VLOOKUP($B$5,标准坦克设计!$B$14:$K$20,9)/30))</f>
        <v>9.0661636769458589</v>
      </c>
      <c r="CF153" s="173">
        <f ca="1">(VLOOKUP(CF$72,INDIRECT($C$5&amp;"生成成长"),2))/((VLOOKUP($B153,INDIRECT($B$5&amp;"生成成长"),4))/(VLOOKUP(CF$72,INDIRECT($C$5&amp;"生成成长"),5))*(VLOOKUP($B$5,标准坦克设计!$B$24:$U$30,MATCH("对"&amp;LEFT($C$5,2)&amp;"输出",标准坦克设计!$B$23:$U$23,0)))*(VLOOKUP($B153,INDIRECT($B$5&amp;"生成成长"),3))*(VLOOKUP($B$5,标准坦克设计!$B$14:$K$20,9)/30))</f>
        <v>9.7579945400886352</v>
      </c>
      <c r="CG153" s="173">
        <f ca="1">(VLOOKUP(CG$72,INDIRECT($C$5&amp;"生成成长"),2))/((VLOOKUP($B153,INDIRECT($B$5&amp;"生成成长"),4))/(VLOOKUP(CG$72,INDIRECT($C$5&amp;"生成成长"),5))*(VLOOKUP($B$5,标准坦克设计!$B$24:$U$30,MATCH("对"&amp;LEFT($C$5,2)&amp;"输出",标准坦克设计!$B$23:$U$23,0)))*(VLOOKUP($B153,INDIRECT($B$5&amp;"生成成长"),3))*(VLOOKUP($B$5,标准坦克设计!$B$14:$K$20,9)/30))</f>
        <v>10.475260361435192</v>
      </c>
      <c r="CH153" s="173">
        <f ca="1">(VLOOKUP(CH$72,INDIRECT($C$5&amp;"生成成长"),2))/((VLOOKUP($B153,INDIRECT($B$5&amp;"生成成长"),4))/(VLOOKUP(CH$72,INDIRECT($C$5&amp;"生成成长"),5))*(VLOOKUP($B$5,标准坦克设计!$B$24:$U$30,MATCH("对"&amp;LEFT($C$5,2)&amp;"输出",标准坦克设计!$B$23:$U$23,0)))*(VLOOKUP($B153,INDIRECT($B$5&amp;"生成成长"),3))*(VLOOKUP($B$5,标准坦克设计!$B$14:$K$20,9)/30))</f>
        <v>11.217961140985528</v>
      </c>
      <c r="CI153" s="173">
        <f ca="1">(VLOOKUP(CI$72,INDIRECT($C$5&amp;"生成成长"),2))/((VLOOKUP($B153,INDIRECT($B$5&amp;"生成成长"),4))/(VLOOKUP(CI$72,INDIRECT($C$5&amp;"生成成长"),5))*(VLOOKUP($B$5,标准坦克设计!$B$24:$U$30,MATCH("对"&amp;LEFT($C$5,2)&amp;"输出",标准坦克设计!$B$23:$U$23,0)))*(VLOOKUP($B153,INDIRECT($B$5&amp;"生成成长"),3))*(VLOOKUP($B$5,标准坦克设计!$B$14:$K$20,9)/30))</f>
        <v>12.06430937521626</v>
      </c>
      <c r="CJ153" s="173">
        <f ca="1">(VLOOKUP(CJ$72,INDIRECT($C$5&amp;"生成成长"),2))/((VLOOKUP($B153,INDIRECT($B$5&amp;"生成成长"),4))/(VLOOKUP(CJ$72,INDIRECT($C$5&amp;"生成成长"),5))*(VLOOKUP($B$5,标准坦克设计!$B$24:$U$30,MATCH("对"&amp;LEFT($C$5,2)&amp;"输出",标准坦克设计!$B$23:$U$23,0)))*(VLOOKUP($B153,INDIRECT($B$5&amp;"生成成长"),3))*(VLOOKUP($B$5,标准坦克设计!$B$14:$K$20,9)/30))</f>
        <v>12.941433908873565</v>
      </c>
      <c r="CK153" s="173">
        <f ca="1">(VLOOKUP(CK$72,INDIRECT($C$5&amp;"生成成长"),2))/((VLOOKUP($B153,INDIRECT($B$5&amp;"生成成长"),4))/(VLOOKUP(CK$72,INDIRECT($C$5&amp;"生成成长"),5))*(VLOOKUP($B$5,标准坦克设计!$B$24:$U$30,MATCH("对"&amp;LEFT($C$5,2)&amp;"输出",标准坦克设计!$B$23:$U$23,0)))*(VLOOKUP($B153,INDIRECT($B$5&amp;"生成成长"),3))*(VLOOKUP($B$5,标准坦克设计!$B$14:$K$20,9)/30))</f>
        <v>13.849334741957442</v>
      </c>
      <c r="CL153" s="173">
        <f ca="1">(VLOOKUP(CL$72,INDIRECT($C$5&amp;"生成成长"),2))/((VLOOKUP($B153,INDIRECT($B$5&amp;"生成成长"),4))/(VLOOKUP(CL$72,INDIRECT($C$5&amp;"生成成长"),5))*(VLOOKUP($B$5,标准坦克设计!$B$24:$U$30,MATCH("对"&amp;LEFT($C$5,2)&amp;"输出",标准坦克设计!$B$23:$U$23,0)))*(VLOOKUP($B153,INDIRECT($B$5&amp;"生成成长"),3))*(VLOOKUP($B$5,标准坦克设计!$B$14:$K$20,9)/30))</f>
        <v>14.788011874467889</v>
      </c>
      <c r="CM153" s="173">
        <f ca="1">(VLOOKUP(CM$72,INDIRECT($C$5&amp;"生成成长"),2))/((VLOOKUP($B153,INDIRECT($B$5&amp;"生成成长"),4))/(VLOOKUP(CM$72,INDIRECT($C$5&amp;"生成成长"),5))*(VLOOKUP($B$5,标准坦克设计!$B$24:$U$30,MATCH("对"&amp;LEFT($C$5,2)&amp;"输出",标准坦克设计!$B$23:$U$23,0)))*(VLOOKUP($B153,INDIRECT($B$5&amp;"生成成长"),3))*(VLOOKUP($B$5,标准坦克设计!$B$14:$K$20,9)/30))</f>
        <v>15.757465306404908</v>
      </c>
      <c r="CN153" s="173">
        <f ca="1">(VLOOKUP(CN$72,INDIRECT($C$5&amp;"生成成长"),2))/((VLOOKUP($B153,INDIRECT($B$5&amp;"生成成长"),4))/(VLOOKUP(CN$72,INDIRECT($C$5&amp;"生成成长"),5))*(VLOOKUP($B$5,标准坦克设计!$B$24:$U$30,MATCH("对"&amp;LEFT($C$5,2)&amp;"输出",标准坦克设计!$B$23:$U$23,0)))*(VLOOKUP($B153,INDIRECT($B$5&amp;"生成成长"),3))*(VLOOKUP($B$5,标准坦克设计!$B$14:$K$20,9)/30))</f>
        <v>16.757695037768503</v>
      </c>
      <c r="CO153" s="173">
        <f ca="1">(VLOOKUP(CO$72,INDIRECT($C$5&amp;"生成成长"),2))/((VLOOKUP($B153,INDIRECT($B$5&amp;"生成成长"),4))/(VLOOKUP(CO$72,INDIRECT($C$5&amp;"生成成长"),5))*(VLOOKUP($B$5,标准坦克设计!$B$24:$U$30,MATCH("对"&amp;LEFT($C$5,2)&amp;"输出",标准坦克设计!$B$23:$U$23,0)))*(VLOOKUP($B153,INDIRECT($B$5&amp;"生成成长"),3))*(VLOOKUP($B$5,标准坦克设计!$B$14:$K$20,9)/30))</f>
        <v>7.5095442348746104</v>
      </c>
      <c r="CP153" s="173">
        <f ca="1">(VLOOKUP(CP$72,INDIRECT($C$5&amp;"生成成长"),2))/((VLOOKUP($B153,INDIRECT($B$5&amp;"生成成长"),4))/(VLOOKUP(CP$72,INDIRECT($C$5&amp;"生成成长"),5))*(VLOOKUP($B$5,标准坦克设计!$B$24:$U$30,MATCH("对"&amp;LEFT($C$5,2)&amp;"输出",标准坦克设计!$B$23:$U$23,0)))*(VLOOKUP($B153,INDIRECT($B$5&amp;"生成成长"),3))*(VLOOKUP($B$5,标准坦克设计!$B$14:$K$20,9)/30))</f>
        <v>8.2048088173748965</v>
      </c>
      <c r="CQ153" s="173">
        <f ca="1">(VLOOKUP(CQ$72,INDIRECT($C$5&amp;"生成成长"),2))/((VLOOKUP($B153,INDIRECT($B$5&amp;"生成成长"),4))/(VLOOKUP(CQ$72,INDIRECT($C$5&amp;"生成成长"),5))*(VLOOKUP($B$5,标准坦克设计!$B$24:$U$30,MATCH("对"&amp;LEFT($C$5,2)&amp;"输出",标准坦克设计!$B$23:$U$23,0)))*(VLOOKUP($B153,INDIRECT($B$5&amp;"生成成长"),3))*(VLOOKUP($B$5,标准坦克设计!$B$14:$K$20,9)/30))</f>
        <v>8.9308496993017563</v>
      </c>
      <c r="CR153" s="173">
        <f ca="1">(VLOOKUP(CR$72,INDIRECT($C$5&amp;"生成成长"),2))/((VLOOKUP($B153,INDIRECT($B$5&amp;"生成成长"),4))/(VLOOKUP(CR$72,INDIRECT($C$5&amp;"生成成长"),5))*(VLOOKUP($B$5,标准坦克设计!$B$24:$U$30,MATCH("对"&amp;LEFT($C$5,2)&amp;"输出",标准坦克设计!$B$23:$U$23,0)))*(VLOOKUP($B153,INDIRECT($B$5&amp;"生成成长"),3))*(VLOOKUP($B$5,标准坦克设计!$B$14:$K$20,9)/30))</f>
        <v>9.687666880655188</v>
      </c>
      <c r="CS153" s="173">
        <f ca="1">(VLOOKUP(CS$72,INDIRECT($C$5&amp;"生成成长"),2))/((VLOOKUP($B153,INDIRECT($B$5&amp;"生成成长"),4))/(VLOOKUP(CS$72,INDIRECT($C$5&amp;"生成成长"),5))*(VLOOKUP($B$5,标准坦克设计!$B$24:$U$30,MATCH("对"&amp;LEFT($C$5,2)&amp;"输出",标准坦克设计!$B$23:$U$23,0)))*(VLOOKUP($B153,INDIRECT($B$5&amp;"生成成长"),3))*(VLOOKUP($B$5,标准坦克设计!$B$14:$K$20,9)/30))</f>
        <v>10.475260361435192</v>
      </c>
      <c r="CT153" s="173">
        <f ca="1">(VLOOKUP(CT$72,INDIRECT($C$5&amp;"生成成长"),2))/((VLOOKUP($B153,INDIRECT($B$5&amp;"生成成长"),4))/(VLOOKUP(CT$72,INDIRECT($C$5&amp;"生成成长"),5))*(VLOOKUP($B$5,标准坦克设计!$B$24:$U$30,MATCH("对"&amp;LEFT($C$5,2)&amp;"输出",标准坦克设计!$B$23:$U$23,0)))*(VLOOKUP($B153,INDIRECT($B$5&amp;"生成成长"),3))*(VLOOKUP($B$5,标准坦克设计!$B$14:$K$20,9)/30))</f>
        <v>11.293630141641769</v>
      </c>
      <c r="CU153" s="173">
        <f ca="1">(VLOOKUP(CU$72,INDIRECT($C$5&amp;"生成成长"),2))/((VLOOKUP($B153,INDIRECT($B$5&amp;"生成成长"),4))/(VLOOKUP(CU$72,INDIRECT($C$5&amp;"生成成长"),5))*(VLOOKUP($B$5,标准坦克设计!$B$24:$U$30,MATCH("对"&amp;LEFT($C$5,2)&amp;"输出",标准坦克设计!$B$23:$U$23,0)))*(VLOOKUP($B153,INDIRECT($B$5&amp;"生成成长"),3))*(VLOOKUP($B$5,标准坦克设计!$B$14:$K$20,9)/30))</f>
        <v>12.142776221274916</v>
      </c>
      <c r="CV153" s="173">
        <f ca="1">(VLOOKUP(CV$72,INDIRECT($C$5&amp;"生成成长"),2))/((VLOOKUP($B153,INDIRECT($B$5&amp;"生成成长"),4))/(VLOOKUP(CV$72,INDIRECT($C$5&amp;"生成成长"),5))*(VLOOKUP($B$5,标准坦克设计!$B$24:$U$30,MATCH("对"&amp;LEFT($C$5,2)&amp;"输出",标准坦克设计!$B$23:$U$23,0)))*(VLOOKUP($B153,INDIRECT($B$5&amp;"生成成长"),3))*(VLOOKUP($B$5,标准坦克设计!$B$14:$K$20,9)/30))</f>
        <v>13.022698600334637</v>
      </c>
      <c r="CW153" s="173">
        <f ca="1">(VLOOKUP(CW$72,INDIRECT($C$5&amp;"生成成长"),2))/((VLOOKUP($B153,INDIRECT($B$5&amp;"生成成长"),4))/(VLOOKUP(CW$72,INDIRECT($C$5&amp;"生成成长"),5))*(VLOOKUP($B$5,标准坦克设计!$B$24:$U$30,MATCH("对"&amp;LEFT($C$5,2)&amp;"输出",标准坦克设计!$B$23:$U$23,0)))*(VLOOKUP($B153,INDIRECT($B$5&amp;"生成成长"),3))*(VLOOKUP($B$5,标准坦克设计!$B$14:$K$20,9)/30))</f>
        <v>13.93339727882093</v>
      </c>
      <c r="CX153" s="173">
        <f ca="1">(VLOOKUP(CX$72,INDIRECT($C$5&amp;"生成成长"),2))/((VLOOKUP($B153,INDIRECT($B$5&amp;"生成成长"),4))/(VLOOKUP(CX$72,INDIRECT($C$5&amp;"生成成长"),5))*(VLOOKUP($B$5,标准坦克设计!$B$24:$U$30,MATCH("对"&amp;LEFT($C$5,2)&amp;"输出",标准坦克设计!$B$23:$U$23,0)))*(VLOOKUP($B153,INDIRECT($B$5&amp;"生成成长"),3))*(VLOOKUP($B$5,标准坦克设计!$B$14:$K$20,9)/30))</f>
        <v>14.874872256733793</v>
      </c>
      <c r="CY153" s="173">
        <f ca="1">(VLOOKUP(CY$72,INDIRECT($C$5&amp;"生成成长"),2))/((VLOOKUP($B153,INDIRECT($B$5&amp;"生成成长"),4))/(VLOOKUP(CY$72,INDIRECT($C$5&amp;"生成成长"),5))*(VLOOKUP($B$5,标准坦克设计!$B$24:$U$30,MATCH("对"&amp;LEFT($C$5,2)&amp;"输出",标准坦克设计!$B$23:$U$23,0)))*(VLOOKUP($B153,INDIRECT($B$5&amp;"生成成长"),3))*(VLOOKUP($B$5,标准坦克设计!$B$14:$K$20,9)/30))</f>
        <v>15.847123534073228</v>
      </c>
      <c r="CZ153" s="173">
        <f ca="1">(VLOOKUP(CZ$72,INDIRECT($C$5&amp;"生成成长"),2))/((VLOOKUP($B153,INDIRECT($B$5&amp;"生成成长"),4))/(VLOOKUP(CZ$72,INDIRECT($C$5&amp;"生成成长"),5))*(VLOOKUP($B$5,标准坦克设计!$B$24:$U$30,MATCH("对"&amp;LEFT($C$5,2)&amp;"输出",标准坦克设计!$B$23:$U$23,0)))*(VLOOKUP($B153,INDIRECT($B$5&amp;"生成成长"),3))*(VLOOKUP($B$5,标准坦克设计!$B$14:$K$20,9)/30))</f>
        <v>16.850151110839242</v>
      </c>
      <c r="DA153" s="173">
        <f ca="1">(VLOOKUP(DA$72,INDIRECT($C$5&amp;"生成成长"),2))/((VLOOKUP($B153,INDIRECT($B$5&amp;"生成成长"),4))/(VLOOKUP(DA$72,INDIRECT($C$5&amp;"生成成长"),5))*(VLOOKUP($B$5,标准坦克设计!$B$24:$U$30,MATCH("对"&amp;LEFT($C$5,2)&amp;"输出",标准坦克设计!$B$23:$U$23,0)))*(VLOOKUP($B153,INDIRECT($B$5&amp;"生成成长"),3))*(VLOOKUP($B$5,标准坦克设计!$B$14:$K$20,9)/30))</f>
        <v>17.883954987031821</v>
      </c>
      <c r="DB153" s="173">
        <f ca="1">(VLOOKUP(DB$72,INDIRECT($C$5&amp;"生成成长"),2))/((VLOOKUP($B153,INDIRECT($B$5&amp;"生成成长"),4))/(VLOOKUP(DB$72,INDIRECT($C$5&amp;"生成成长"),5))*(VLOOKUP($B$5,标准坦克设计!$B$24:$U$30,MATCH("对"&amp;LEFT($C$5,2)&amp;"输出",标准坦克设计!$B$23:$U$23,0)))*(VLOOKUP($B153,INDIRECT($B$5&amp;"生成成长"),3))*(VLOOKUP($B$5,标准坦克设计!$B$14:$K$20,9)/30))</f>
        <v>18.94853516265097</v>
      </c>
      <c r="DC153" s="173">
        <f ca="1">(VLOOKUP(DC$72,INDIRECT($C$5&amp;"生成成长"),2))/((VLOOKUP($B153,INDIRECT($B$5&amp;"生成成长"),4))/(VLOOKUP(DC$72,INDIRECT($C$5&amp;"生成成长"),5))*(VLOOKUP($B$5,标准坦克设计!$B$24:$U$30,MATCH("对"&amp;LEFT($C$5,2)&amp;"输出",标准坦克设计!$B$23:$U$23,0)))*(VLOOKUP($B153,INDIRECT($B$5&amp;"生成成长"),3))*(VLOOKUP($B$5,标准坦克设计!$B$14:$K$20,9)/30))</f>
        <v>20.144995596556715</v>
      </c>
      <c r="DD153" s="173">
        <f ca="1">(VLOOKUP(DD$72,INDIRECT($C$5&amp;"生成成长"),2))/((VLOOKUP($B153,INDIRECT($B$5&amp;"生成成长"),4))/(VLOOKUP(DD$72,INDIRECT($C$5&amp;"生成成长"),5))*(VLOOKUP($B$5,标准坦克设计!$B$24:$U$30,MATCH("对"&amp;LEFT($C$5,2)&amp;"输出",标准坦克设计!$B$23:$U$23,0)))*(VLOOKUP($B153,INDIRECT($B$5&amp;"生成成长"),3))*(VLOOKUP($B$5,标准坦克设计!$B$14:$K$20,9)/30))</f>
        <v>21.378082370275898</v>
      </c>
      <c r="DE153" s="173">
        <f ca="1">(VLOOKUP(DE$72,INDIRECT($C$5&amp;"生成成长"),2))/((VLOOKUP($B153,INDIRECT($B$5&amp;"生成成长"),4))/(VLOOKUP(DE$72,INDIRECT($C$5&amp;"生成成长"),5))*(VLOOKUP($B$5,标准坦克设计!$B$24:$U$30,MATCH("对"&amp;LEFT($C$5,2)&amp;"输出",标准坦克设计!$B$23:$U$23,0)))*(VLOOKUP($B153,INDIRECT($B$5&amp;"生成成长"),3))*(VLOOKUP($B$5,标准坦克设计!$B$14:$K$20,9)/30))</f>
        <v>22.64779548380853</v>
      </c>
      <c r="DF153" s="173">
        <f ca="1">(VLOOKUP(DF$72,INDIRECT($C$5&amp;"生成成长"),2))/((VLOOKUP($B153,INDIRECT($B$5&amp;"生成成长"),4))/(VLOOKUP(DF$72,INDIRECT($C$5&amp;"生成成长"),5))*(VLOOKUP($B$5,标准坦克设计!$B$24:$U$30,MATCH("对"&amp;LEFT($C$5,2)&amp;"输出",标准坦克设计!$B$23:$U$23,0)))*(VLOOKUP($B153,INDIRECT($B$5&amp;"生成成长"),3))*(VLOOKUP($B$5,标准坦克设计!$B$14:$K$20,9)/30))</f>
        <v>23.954134937154599</v>
      </c>
      <c r="DG153" s="173">
        <f ca="1">(VLOOKUP(DG$72,INDIRECT($C$5&amp;"生成成长"),2))/((VLOOKUP($B153,INDIRECT($B$5&amp;"生成成长"),4))/(VLOOKUP(DG$72,INDIRECT($C$5&amp;"生成成长"),5))*(VLOOKUP($B$5,标准坦克设计!$B$24:$U$30,MATCH("对"&amp;LEFT($C$5,2)&amp;"输出",标准坦克设计!$B$23:$U$23,0)))*(VLOOKUP($B153,INDIRECT($B$5&amp;"生成成长"),3))*(VLOOKUP($B$5,标准坦克设计!$B$14:$K$20,9)/30))</f>
        <v>25.297100730314106</v>
      </c>
      <c r="DH153" s="173">
        <f ca="1">(VLOOKUP(DH$72,INDIRECT($C$5&amp;"生成成长"),2))/((VLOOKUP($B153,INDIRECT($B$5&amp;"生成成长"),4))/(VLOOKUP(DH$72,INDIRECT($C$5&amp;"生成成长"),5))*(VLOOKUP($B$5,标准坦克设计!$B$24:$U$30,MATCH("对"&amp;LEFT($C$5,2)&amp;"输出",标准坦克设计!$B$23:$U$23,0)))*(VLOOKUP($B153,INDIRECT($B$5&amp;"生成成长"),3))*(VLOOKUP($B$5,标准坦克设计!$B$14:$K$20,9)/30))</f>
        <v>26.676692863287055</v>
      </c>
      <c r="DI153" s="173">
        <f ca="1">(VLOOKUP(DI$72,INDIRECT($C$5&amp;"生成成长"),2))/((VLOOKUP($B153,INDIRECT($B$5&amp;"生成成长"),4))/(VLOOKUP(DI$72,INDIRECT($C$5&amp;"生成成长"),5))*(VLOOKUP($B$5,标准坦克设计!$B$24:$U$30,MATCH("对"&amp;LEFT($C$5,2)&amp;"输出",标准坦克设计!$B$23:$U$23,0)))*(VLOOKUP($B153,INDIRECT($B$5&amp;"生成成长"),3))*(VLOOKUP($B$5,标准坦克设计!$B$14:$K$20,9)/30))</f>
        <v>28.092911336073449</v>
      </c>
      <c r="DJ153" s="173">
        <f ca="1">(VLOOKUP(DJ$72,INDIRECT($C$5&amp;"生成成长"),2))/((VLOOKUP($B153,INDIRECT($B$5&amp;"生成成长"),4))/(VLOOKUP(DJ$72,INDIRECT($C$5&amp;"生成成长"),5))*(VLOOKUP($B$5,标准坦克设计!$B$24:$U$30,MATCH("对"&amp;LEFT($C$5,2)&amp;"输出",标准坦克设计!$B$23:$U$23,0)))*(VLOOKUP($B153,INDIRECT($B$5&amp;"生成成长"),3))*(VLOOKUP($B$5,标准坦克设计!$B$14:$K$20,9)/30))</f>
        <v>2.8234075354104422</v>
      </c>
      <c r="DK153" s="173">
        <f ca="1">(VLOOKUP(DK$72,INDIRECT($C$5&amp;"生成成长"),2))/((VLOOKUP($B153,INDIRECT($B$5&amp;"生成成长"),4))/(VLOOKUP(DK$72,INDIRECT($C$5&amp;"生成成长"),5))*(VLOOKUP($B$5,标准坦克设计!$B$24:$U$30,MATCH("对"&amp;LEFT($C$5,2)&amp;"输出",标准坦克设计!$B$23:$U$23,0)))*(VLOOKUP($B153,INDIRECT($B$5&amp;"生成成长"),3))*(VLOOKUP($B$5,标准坦克设计!$B$14:$K$20,9)/30))</f>
        <v>3.1747914829956438</v>
      </c>
      <c r="DL153" s="173">
        <f ca="1">(VLOOKUP(DL$72,INDIRECT($C$5&amp;"生成成长"),2))/((VLOOKUP($B153,INDIRECT($B$5&amp;"生成成长"),4))/(VLOOKUP(DL$72,INDIRECT($C$5&amp;"生成成长"),5))*(VLOOKUP($B$5,标准坦克设计!$B$24:$U$30,MATCH("对"&amp;LEFT($C$5,2)&amp;"输出",标准坦克设计!$B$23:$U$23,0)))*(VLOOKUP($B153,INDIRECT($B$5&amp;"生成成长"),3))*(VLOOKUP($B$5,标准坦克设计!$B$14:$K$20,9)/30))</f>
        <v>3.5467777467259047</v>
      </c>
      <c r="DM153" s="173">
        <f ca="1">(VLOOKUP(DM$72,INDIRECT($C$5&amp;"生成成长"),2))/((VLOOKUP($B153,INDIRECT($B$5&amp;"生成成长"),4))/(VLOOKUP(DM$72,INDIRECT($C$5&amp;"生成成长"),5))*(VLOOKUP($B$5,标准坦克设计!$B$24:$U$30,MATCH("对"&amp;LEFT($C$5,2)&amp;"输出",标准坦克设计!$B$23:$U$23,0)))*(VLOOKUP($B153,INDIRECT($B$5&amp;"生成成长"),3))*(VLOOKUP($B$5,标准坦克设计!$B$14:$K$20,9)/30))</f>
        <v>3.9393663266012271</v>
      </c>
      <c r="DN153" s="173">
        <f ca="1">(VLOOKUP(DN$72,INDIRECT($C$5&amp;"生成成长"),2))/((VLOOKUP($B153,INDIRECT($B$5&amp;"生成成长"),4))/(VLOOKUP(DN$72,INDIRECT($C$5&amp;"生成成长"),5))*(VLOOKUP($B$5,标准坦克设计!$B$24:$U$30,MATCH("对"&amp;LEFT($C$5,2)&amp;"输出",标准坦克设计!$B$23:$U$23,0)))*(VLOOKUP($B153,INDIRECT($B$5&amp;"生成成长"),3))*(VLOOKUP($B$5,标准坦克设计!$B$14:$K$20,9)/30))</f>
        <v>4.3525572226216109</v>
      </c>
      <c r="DO153" s="173">
        <f ca="1">(VLOOKUP(DO$72,INDIRECT($C$5&amp;"生成成长"),2))/((VLOOKUP($B153,INDIRECT($B$5&amp;"生成成长"),4))/(VLOOKUP(DO$72,INDIRECT($C$5&amp;"生成成长"),5))*(VLOOKUP($B$5,标准坦克设计!$B$24:$U$30,MATCH("对"&amp;LEFT($C$5,2)&amp;"输出",标准坦克设计!$B$23:$U$23,0)))*(VLOOKUP($B153,INDIRECT($B$5&amp;"生成成长"),3))*(VLOOKUP($B$5,标准坦克设计!$B$14:$K$20,9)/30))</f>
        <v>4.7863504347870549</v>
      </c>
      <c r="DP153" s="173">
        <f ca="1">(VLOOKUP(DP$72,INDIRECT($C$5&amp;"生成成长"),2))/((VLOOKUP($B153,INDIRECT($B$5&amp;"生成成长"),4))/(VLOOKUP(DP$72,INDIRECT($C$5&amp;"生成成长"),5))*(VLOOKUP($B$5,标准坦克设计!$B$24:$U$30,MATCH("对"&amp;LEFT($C$5,2)&amp;"输出",标准坦克设计!$B$23:$U$23,0)))*(VLOOKUP($B153,INDIRECT($B$5&amp;"生成成长"),3))*(VLOOKUP($B$5,标准坦克设计!$B$14:$K$20,9)/30))</f>
        <v>5.2407459630975586</v>
      </c>
      <c r="DQ153" s="173">
        <f ca="1">(VLOOKUP(DQ$72,INDIRECT($C$5&amp;"生成成长"),2))/((VLOOKUP($B153,INDIRECT($B$5&amp;"生成成长"),4))/(VLOOKUP(DQ$72,INDIRECT($C$5&amp;"生成成长"),5))*(VLOOKUP($B$5,标准坦克设计!$B$24:$U$30,MATCH("对"&amp;LEFT($C$5,2)&amp;"输出",标准坦克设计!$B$23:$U$23,0)))*(VLOOKUP($B153,INDIRECT($B$5&amp;"生成成长"),3))*(VLOOKUP($B$5,标准坦克设计!$B$14:$K$20,9)/30))</f>
        <v>5.7157438075531237</v>
      </c>
      <c r="DR153" s="173">
        <f ca="1">(VLOOKUP(DR$72,INDIRECT($C$5&amp;"生成成长"),2))/((VLOOKUP($B153,INDIRECT($B$5&amp;"生成成长"),4))/(VLOOKUP(DR$72,INDIRECT($C$5&amp;"生成成长"),5))*(VLOOKUP($B$5,标准坦克设计!$B$24:$U$30,MATCH("对"&amp;LEFT($C$5,2)&amp;"输出",标准坦克设计!$B$23:$U$23,0)))*(VLOOKUP($B153,INDIRECT($B$5&amp;"生成成长"),3))*(VLOOKUP($B$5,标准坦克设计!$B$14:$K$20,9)/30))</f>
        <v>6.2113439681537495</v>
      </c>
      <c r="DS153" s="173">
        <f ca="1">(VLOOKUP(DS$72,INDIRECT($C$5&amp;"生成成长"),2))/((VLOOKUP($B153,INDIRECT($B$5&amp;"生成成长"),4))/(VLOOKUP(DS$72,INDIRECT($C$5&amp;"生成成长"),5))*(VLOOKUP($B$5,标准坦克设计!$B$24:$U$30,MATCH("对"&amp;LEFT($C$5,2)&amp;"输出",标准坦克设计!$B$23:$U$23,0)))*(VLOOKUP($B153,INDIRECT($B$5&amp;"生成成长"),3))*(VLOOKUP($B$5,标准坦克设计!$B$14:$K$20,9)/30))</f>
        <v>6.7275464448994367</v>
      </c>
      <c r="DT153" s="173">
        <f ca="1">(VLOOKUP(DT$72,INDIRECT($C$5&amp;"生成成长"),2))/((VLOOKUP($B153,INDIRECT($B$5&amp;"生成成长"),4))/(VLOOKUP(DT$72,INDIRECT($C$5&amp;"生成成长"),5))*(VLOOKUP($B$5,标准坦克设计!$B$24:$U$30,MATCH("对"&amp;LEFT($C$5,2)&amp;"输出",标准坦克设计!$B$23:$U$23,0)))*(VLOOKUP($B153,INDIRECT($B$5&amp;"生成成长"),3))*(VLOOKUP($B$5,标准坦克设计!$B$14:$K$20,9)/30))</f>
        <v>7.3864390371683202</v>
      </c>
      <c r="DU153" s="173">
        <f ca="1">(VLOOKUP(DU$72,INDIRECT($C$5&amp;"生成成长"),2))/((VLOOKUP($B153,INDIRECT($B$5&amp;"生成成长"),4))/(VLOOKUP(DU$72,INDIRECT($C$5&amp;"生成成长"),5))*(VLOOKUP($B$5,标准坦克设计!$B$24:$U$30,MATCH("对"&amp;LEFT($C$5,2)&amp;"输出",标准坦克设计!$B$23:$U$23,0)))*(VLOOKUP($B153,INDIRECT($B$5&amp;"生成成长"),3))*(VLOOKUP($B$5,标准坦克设计!$B$14:$K$20,9)/30))</f>
        <v>8.0761079288637756</v>
      </c>
      <c r="DV153" s="173">
        <f ca="1">(VLOOKUP(DV$72,INDIRECT($C$5&amp;"生成成长"),2))/((VLOOKUP($B153,INDIRECT($B$5&amp;"生成成长"),4))/(VLOOKUP(DV$72,INDIRECT($C$5&amp;"生成成长"),5))*(VLOOKUP($B$5,标准坦克设计!$B$24:$U$30,MATCH("对"&amp;LEFT($C$5,2)&amp;"输出",标准坦克设计!$B$23:$U$23,0)))*(VLOOKUP($B153,INDIRECT($B$5&amp;"生成成长"),3))*(VLOOKUP($B$5,标准坦克设计!$B$14:$K$20,9)/30))</f>
        <v>8.7965531199858056</v>
      </c>
      <c r="DW153" s="173">
        <f ca="1">(VLOOKUP(DW$72,INDIRECT($C$5&amp;"生成成长"),2))/((VLOOKUP($B153,INDIRECT($B$5&amp;"生成成长"),4))/(VLOOKUP(DW$72,INDIRECT($C$5&amp;"生成成长"),5))*(VLOOKUP($B$5,标准坦克设计!$B$24:$U$30,MATCH("对"&amp;LEFT($C$5,2)&amp;"输出",标准坦克设计!$B$23:$U$23,0)))*(VLOOKUP($B153,INDIRECT($B$5&amp;"生成成长"),3))*(VLOOKUP($B$5,标准坦克设计!$B$14:$K$20,9)/30))</f>
        <v>9.5477746105344057</v>
      </c>
      <c r="DX153" s="173">
        <f ca="1">(VLOOKUP(DX$72,INDIRECT($C$5&amp;"生成成长"),2))/((VLOOKUP($B153,INDIRECT($B$5&amp;"生成成长"),4))/(VLOOKUP(DX$72,INDIRECT($C$5&amp;"生成成长"),5))*(VLOOKUP($B$5,标准坦克设计!$B$24:$U$30,MATCH("对"&amp;LEFT($C$5,2)&amp;"输出",标准坦克设计!$B$23:$U$23,0)))*(VLOOKUP($B153,INDIRECT($B$5&amp;"生成成长"),3))*(VLOOKUP($B$5,标准坦克设计!$B$14:$K$20,9)/30))</f>
        <v>10.329772400509578</v>
      </c>
      <c r="DY153" s="173">
        <f ca="1">(VLOOKUP(DY$72,INDIRECT($C$5&amp;"生成成长"),2))/((VLOOKUP($B153,INDIRECT($B$5&amp;"生成成长"),4))/(VLOOKUP(DY$72,INDIRECT($C$5&amp;"生成成长"),5))*(VLOOKUP($B$5,标准坦克设计!$B$24:$U$30,MATCH("对"&amp;LEFT($C$5,2)&amp;"输出",标准坦克设计!$B$23:$U$23,0)))*(VLOOKUP($B153,INDIRECT($B$5&amp;"生成成长"),3))*(VLOOKUP($B$5,标准坦克设计!$B$14:$K$20,9)/30))</f>
        <v>4.6394635511602331</v>
      </c>
      <c r="DZ153" s="173">
        <f ca="1">(VLOOKUP(DZ$72,INDIRECT($C$5&amp;"生成成长"),2))/((VLOOKUP($B153,INDIRECT($B$5&amp;"生成成长"),4))/(VLOOKUP(DZ$72,INDIRECT($C$5&amp;"生成成长"),5))*(VLOOKUP($B$5,标准坦克设计!$B$24:$U$30,MATCH("对"&amp;LEFT($C$5,2)&amp;"输出",标准坦克设计!$B$23:$U$23,0)))*(VLOOKUP($B153,INDIRECT($B$5&amp;"生成成长"),3))*(VLOOKUP($B$5,标准坦克设计!$B$14:$K$20,9)/30))</f>
        <v>5.1379887319542927</v>
      </c>
      <c r="EA153" s="173">
        <f ca="1">(VLOOKUP(EA$72,INDIRECT($C$5&amp;"生成成长"),2))/((VLOOKUP($B153,INDIRECT($B$5&amp;"生成成长"),4))/(VLOOKUP(EA$72,INDIRECT($C$5&amp;"生成成长"),5))*(VLOOKUP($B$5,标准坦克设计!$B$24:$U$30,MATCH("对"&amp;LEFT($C$5,2)&amp;"输出",标准坦克设计!$B$23:$U$23,0)))*(VLOOKUP($B153,INDIRECT($B$5&amp;"生成成长"),3))*(VLOOKUP($B$5,标准坦克设计!$B$14:$K$20,9)/30))</f>
        <v>5.6619488709521324</v>
      </c>
      <c r="EB153" s="173">
        <f ca="1">(VLOOKUP(EB$72,INDIRECT($C$5&amp;"生成成长"),2))/((VLOOKUP($B153,INDIRECT($B$5&amp;"生成成长"),4))/(VLOOKUP(EB$72,INDIRECT($C$5&amp;"生成成长"),5))*(VLOOKUP($B$5,标准坦克设计!$B$24:$U$30,MATCH("对"&amp;LEFT($C$5,2)&amp;"输出",标准坦克设计!$B$23:$U$23,0)))*(VLOOKUP($B153,INDIRECT($B$5&amp;"生成成长"),3))*(VLOOKUP($B$5,标准坦克设计!$B$14:$K$20,9)/30))</f>
        <v>6.2113439681537495</v>
      </c>
      <c r="EC153" s="173">
        <f ca="1">(VLOOKUP(EC$72,INDIRECT($C$5&amp;"生成成长"),2))/((VLOOKUP($B153,INDIRECT($B$5&amp;"生成成长"),4))/(VLOOKUP(EC$72,INDIRECT($C$5&amp;"生成成长"),5))*(VLOOKUP($B$5,标准坦克设计!$B$24:$U$30,MATCH("对"&amp;LEFT($C$5,2)&amp;"输出",标准坦克设计!$B$23:$U$23,0)))*(VLOOKUP($B153,INDIRECT($B$5&amp;"生成成长"),3))*(VLOOKUP($B$5,标准坦克设计!$B$14:$K$20,9)/30))</f>
        <v>6.7861740235591448</v>
      </c>
      <c r="ED153" s="173">
        <f ca="1">(VLOOKUP(ED$72,INDIRECT($C$5&amp;"生成成长"),2))/((VLOOKUP($B153,INDIRECT($B$5&amp;"生成成长"),4))/(VLOOKUP(ED$72,INDIRECT($C$5&amp;"生成成长"),5))*(VLOOKUP($B$5,标准坦克设计!$B$24:$U$30,MATCH("对"&amp;LEFT($C$5,2)&amp;"输出",标准坦克设计!$B$23:$U$23,0)))*(VLOOKUP($B153,INDIRECT($B$5&amp;"生成成长"),3))*(VLOOKUP($B$5,标准坦克设计!$B$14:$K$20,9)/30))</f>
        <v>7.3864390371683202</v>
      </c>
      <c r="EE153" s="173">
        <f ca="1">(VLOOKUP(EE$72,INDIRECT($C$5&amp;"生成成长"),2))/((VLOOKUP($B153,INDIRECT($B$5&amp;"生成成长"),4))/(VLOOKUP(EE$72,INDIRECT($C$5&amp;"生成成长"),5))*(VLOOKUP($B$5,标准坦克设计!$B$24:$U$30,MATCH("对"&amp;LEFT($C$5,2)&amp;"输出",标准坦克设计!$B$23:$U$23,0)))*(VLOOKUP($B153,INDIRECT($B$5&amp;"生成成长"),3))*(VLOOKUP($B$5,标准坦克设计!$B$14:$K$20,9)/30))</f>
        <v>8.0121390089812738</v>
      </c>
      <c r="EF153" s="173">
        <f ca="1">(VLOOKUP(EF$72,INDIRECT($C$5&amp;"生成成长"),2))/((VLOOKUP($B153,INDIRECT($B$5&amp;"生成成长"),4))/(VLOOKUP(EF$72,INDIRECT($C$5&amp;"生成成长"),5))*(VLOOKUP($B$5,标准坦克设计!$B$24:$U$30,MATCH("对"&amp;LEFT($C$5,2)&amp;"输出",标准坦克设计!$B$23:$U$23,0)))*(VLOOKUP($B153,INDIRECT($B$5&amp;"生成成长"),3))*(VLOOKUP($B$5,标准坦克设计!$B$14:$K$20,9)/30))</f>
        <v>8.6632739389980049</v>
      </c>
      <c r="EG153" s="173">
        <f ca="1">(VLOOKUP(EG$72,INDIRECT($C$5&amp;"生成成长"),2))/((VLOOKUP($B153,INDIRECT($B$5&amp;"生成成长"),4))/(VLOOKUP(EG$72,INDIRECT($C$5&amp;"生成成长"),5))*(VLOOKUP($B$5,标准坦克设计!$B$24:$U$30,MATCH("对"&amp;LEFT($C$5,2)&amp;"输出",标准坦克设计!$B$23:$U$23,0)))*(VLOOKUP($B153,INDIRECT($B$5&amp;"生成成长"),3))*(VLOOKUP($B$5,标准坦克设计!$B$14:$K$20,9)/30))</f>
        <v>9.3398438272185178</v>
      </c>
      <c r="EH153" s="173">
        <f ca="1">(VLOOKUP(EH$72,INDIRECT($C$5&amp;"生成成长"),2))/((VLOOKUP($B153,INDIRECT($B$5&amp;"生成成长"),4))/(VLOOKUP(EH$72,INDIRECT($C$5&amp;"生成成长"),5))*(VLOOKUP($B$5,标准坦克设计!$B$24:$U$30,MATCH("对"&amp;LEFT($C$5,2)&amp;"输出",标准坦克设计!$B$23:$U$23,0)))*(VLOOKUP($B153,INDIRECT($B$5&amp;"生成成长"),3))*(VLOOKUP($B$5,标准坦克设计!$B$14:$K$20,9)/30))</f>
        <v>10.041848673642805</v>
      </c>
      <c r="EI153" s="173">
        <f ca="1">(VLOOKUP(EI$72,INDIRECT($C$5&amp;"生成成长"),2))/((VLOOKUP($B153,INDIRECT($B$5&amp;"生成成长"),4))/(VLOOKUP(EI$72,INDIRECT($C$5&amp;"生成成长"),5))*(VLOOKUP($B$5,标准坦克设计!$B$24:$U$30,MATCH("对"&amp;LEFT($C$5,2)&amp;"输出",标准坦克设计!$B$23:$U$23,0)))*(VLOOKUP($B153,INDIRECT($B$5&amp;"生成成长"),3))*(VLOOKUP($B$5,标准坦克设计!$B$14:$K$20,9)/30))</f>
        <v>10.769288478270873</v>
      </c>
      <c r="EJ153" s="173">
        <f ca="1">(VLOOKUP(EJ$72,INDIRECT($C$5&amp;"生成成长"),2))/((VLOOKUP($B153,INDIRECT($B$5&amp;"生成成长"),4))/(VLOOKUP(EJ$72,INDIRECT($C$5&amp;"生成成长"),5))*(VLOOKUP($B$5,标准坦克设计!$B$24:$U$30,MATCH("对"&amp;LEFT($C$5,2)&amp;"输出",标准坦克设计!$B$23:$U$23,0)))*(VLOOKUP($B153,INDIRECT($B$5&amp;"生成成长"),3))*(VLOOKUP($B$5,标准坦克设计!$B$14:$K$20,9)/30))</f>
        <v>11.522163241102719</v>
      </c>
      <c r="EK153" s="173">
        <f ca="1">(VLOOKUP(EK$72,INDIRECT($C$5&amp;"生成成长"),2))/((VLOOKUP($B153,INDIRECT($B$5&amp;"生成成长"),4))/(VLOOKUP(EK$72,INDIRECT($C$5&amp;"生成成长"),5))*(VLOOKUP($B$5,标准坦克设计!$B$24:$U$30,MATCH("对"&amp;LEFT($C$5,2)&amp;"输出",标准坦克设计!$B$23:$U$23,0)))*(VLOOKUP($B153,INDIRECT($B$5&amp;"生成成长"),3))*(VLOOKUP($B$5,标准坦克设计!$B$14:$K$20,9)/30))</f>
        <v>12.459187101329922</v>
      </c>
      <c r="EL153" s="173">
        <f ca="1">(VLOOKUP(EL$72,INDIRECT($C$5&amp;"生成成长"),2))/((VLOOKUP($B153,INDIRECT($B$5&amp;"生成成长"),4))/(VLOOKUP(EL$72,INDIRECT($C$5&amp;"生成成长"),5))*(VLOOKUP($B$5,标准坦克设计!$B$24:$U$30,MATCH("对"&amp;LEFT($C$5,2)&amp;"输出",标准坦克设计!$B$23:$U$23,0)))*(VLOOKUP($B153,INDIRECT($B$5&amp;"生成成长"),3))*(VLOOKUP($B$5,标准坦克设计!$B$14:$K$20,9)/30))</f>
        <v>13.432837301370567</v>
      </c>
      <c r="EM153" s="173">
        <f ca="1">(VLOOKUP(EM$72,INDIRECT($C$5&amp;"生成成长"),2))/((VLOOKUP($B153,INDIRECT($B$5&amp;"生成成长"),4))/(VLOOKUP(EM$72,INDIRECT($C$5&amp;"生成成长"),5))*(VLOOKUP($B$5,标准坦克设计!$B$24:$U$30,MATCH("对"&amp;LEFT($C$5,2)&amp;"输出",标准坦克设计!$B$23:$U$23,0)))*(VLOOKUP($B153,INDIRECT($B$5&amp;"生成成长"),3))*(VLOOKUP($B$5,标准坦克设计!$B$14:$K$20,9)/30))</f>
        <v>14.443113841224651</v>
      </c>
      <c r="EN153" s="173">
        <f ca="1">(VLOOKUP(EN$72,INDIRECT($C$5&amp;"生成成长"),2))/((VLOOKUP($B153,INDIRECT($B$5&amp;"生成成长"),4))/(VLOOKUP(EN$72,INDIRECT($C$5&amp;"生成成长"),5))*(VLOOKUP($B$5,标准坦克设计!$B$24:$U$30,MATCH("对"&amp;LEFT($C$5,2)&amp;"输出",标准坦克设计!$B$23:$U$23,0)))*(VLOOKUP($B153,INDIRECT($B$5&amp;"生成成长"),3))*(VLOOKUP($B$5,标准坦克设计!$B$14:$K$20,9)/30))</f>
        <v>15.490016720892177</v>
      </c>
      <c r="EO153" s="173">
        <f ca="1">(VLOOKUP(EO$72,INDIRECT($C$5&amp;"生成成长"),2))/((VLOOKUP($B153,INDIRECT($B$5&amp;"生成成长"),4))/(VLOOKUP(EO$72,INDIRECT($C$5&amp;"生成成长"),5))*(VLOOKUP($B$5,标准坦克设计!$B$24:$U$30,MATCH("对"&amp;LEFT($C$5,2)&amp;"输出",标准坦克设计!$B$23:$U$23,0)))*(VLOOKUP($B153,INDIRECT($B$5&amp;"生成成长"),3))*(VLOOKUP($B$5,标准坦克设计!$B$14:$K$20,9)/30))</f>
        <v>16.573545940373144</v>
      </c>
      <c r="EP153" s="173">
        <f ca="1">(VLOOKUP(EP$72,INDIRECT($C$5&amp;"生成成长"),2))/((VLOOKUP($B153,INDIRECT($B$5&amp;"生成成长"),4))/(VLOOKUP(EP$72,INDIRECT($C$5&amp;"生成成长"),5))*(VLOOKUP($B$5,标准坦克设计!$B$24:$U$30,MATCH("对"&amp;LEFT($C$5,2)&amp;"输出",标准坦克设计!$B$23:$U$23,0)))*(VLOOKUP($B153,INDIRECT($B$5&amp;"生成成长"),3))*(VLOOKUP($B$5,标准坦克设计!$B$14:$K$20,9)/30))</f>
        <v>17.693701499667554</v>
      </c>
      <c r="EQ153" s="173">
        <f ca="1">(VLOOKUP(EQ$72,INDIRECT($C$5&amp;"生成成长"),2))/((VLOOKUP($B153,INDIRECT($B$5&amp;"生成成长"),4))/(VLOOKUP(EQ$72,INDIRECT($C$5&amp;"生成成长"),5))*(VLOOKUP($B$5,标准坦克设计!$B$24:$U$30,MATCH("对"&amp;LEFT($C$5,2)&amp;"输出",标准坦克设计!$B$23:$U$23,0)))*(VLOOKUP($B153,INDIRECT($B$5&amp;"生成成长"),3))*(VLOOKUP($B$5,标准坦克设计!$B$14:$K$20,9)/30))</f>
        <v>7.821758346825991</v>
      </c>
      <c r="ER153" s="173">
        <f ca="1">(VLOOKUP(ER$72,INDIRECT($C$5&amp;"生成成长"),2))/((VLOOKUP($B153,INDIRECT($B$5&amp;"生成成长"),4))/(VLOOKUP(ER$72,INDIRECT($C$5&amp;"生成成长"),5))*(VLOOKUP($B$5,标准坦克设计!$B$24:$U$30,MATCH("对"&amp;LEFT($C$5,2)&amp;"输出",标准坦克设计!$B$23:$U$23,0)))*(VLOOKUP($B153,INDIRECT($B$5&amp;"生成成长"),3))*(VLOOKUP($B$5,标准坦克设计!$B$14:$K$20,9)/30))</f>
        <v>8.5310121563383561</v>
      </c>
      <c r="ES153" s="173">
        <f ca="1">(VLOOKUP(ES$72,INDIRECT($C$5&amp;"生成成长"),2))/((VLOOKUP($B153,INDIRECT($B$5&amp;"生成成长"),4))/(VLOOKUP(ES$72,INDIRECT($C$5&amp;"生成成长"),5))*(VLOOKUP($B$5,标准坦克设计!$B$24:$U$30,MATCH("对"&amp;LEFT($C$5,2)&amp;"输出",标准坦克设计!$B$23:$U$23,0)))*(VLOOKUP($B153,INDIRECT($B$5&amp;"生成成长"),3))*(VLOOKUP($B$5,标准坦克设计!$B$14:$K$20,9)/30))</f>
        <v>9.2710422652772966</v>
      </c>
      <c r="ET153" s="173">
        <f ca="1">(VLOOKUP(ET$72,INDIRECT($C$5&amp;"生成成长"),2))/((VLOOKUP($B153,INDIRECT($B$5&amp;"生成成长"),4))/(VLOOKUP(ET$72,INDIRECT($C$5&amp;"生成成长"),5))*(VLOOKUP($B$5,标准坦克设计!$B$24:$U$30,MATCH("对"&amp;LEFT($C$5,2)&amp;"输出",标准坦克设计!$B$23:$U$23,0)))*(VLOOKUP($B153,INDIRECT($B$5&amp;"生成成长"),3))*(VLOOKUP($B$5,标准坦克设计!$B$14:$K$20,9)/30))</f>
        <v>10.041848673642805</v>
      </c>
      <c r="EU153" s="173">
        <f ca="1">(VLOOKUP(EU$72,INDIRECT($C$5&amp;"生成成长"),2))/((VLOOKUP($B153,INDIRECT($B$5&amp;"生成成长"),4))/(VLOOKUP(EU$72,INDIRECT($C$5&amp;"生成成长"),5))*(VLOOKUP($B$5,标准坦克设计!$B$24:$U$30,MATCH("对"&amp;LEFT($C$5,2)&amp;"输出",标准坦克设计!$B$23:$U$23,0)))*(VLOOKUP($B153,INDIRECT($B$5&amp;"生成成长"),3))*(VLOOKUP($B$5,标准坦克设计!$B$14:$K$20,9)/30))</f>
        <v>10.843431381434888</v>
      </c>
      <c r="EV153" s="173">
        <f ca="1">(VLOOKUP(EV$72,INDIRECT($C$5&amp;"生成成长"),2))/((VLOOKUP($B153,INDIRECT($B$5&amp;"生成成长"),4))/(VLOOKUP(EV$72,INDIRECT($C$5&amp;"生成成长"),5))*(VLOOKUP($B$5,标准坦克设计!$B$24:$U$30,MATCH("对"&amp;LEFT($C$5,2)&amp;"输出",标准坦克设计!$B$23:$U$23,0)))*(VLOOKUP($B153,INDIRECT($B$5&amp;"生成成长"),3))*(VLOOKUP($B$5,标准坦克设计!$B$14:$K$20,9)/30))</f>
        <v>11.675790388653542</v>
      </c>
      <c r="EW153" s="173">
        <f ca="1">(VLOOKUP(EW$72,INDIRECT($C$5&amp;"生成成长"),2))/((VLOOKUP($B153,INDIRECT($B$5&amp;"生成成长"),4))/(VLOOKUP(EW$72,INDIRECT($C$5&amp;"生成成长"),5))*(VLOOKUP($B$5,标准坦克设计!$B$24:$U$30,MATCH("对"&amp;LEFT($C$5,2)&amp;"输出",标准坦克设计!$B$23:$U$23,0)))*(VLOOKUP($B153,INDIRECT($B$5&amp;"生成成长"),3))*(VLOOKUP($B$5,标准坦克设计!$B$14:$K$20,9)/30))</f>
        <v>12.538925695298767</v>
      </c>
      <c r="EX153" s="173">
        <f ca="1">(VLOOKUP(EX$72,INDIRECT($C$5&amp;"生成成长"),2))/((VLOOKUP($B153,INDIRECT($B$5&amp;"生成成长"),4))/(VLOOKUP(EX$72,INDIRECT($C$5&amp;"生成成长"),5))*(VLOOKUP($B$5,标准坦克设计!$B$24:$U$30,MATCH("对"&amp;LEFT($C$5,2)&amp;"输出",标准坦克设计!$B$23:$U$23,0)))*(VLOOKUP($B153,INDIRECT($B$5&amp;"生成成长"),3))*(VLOOKUP($B$5,标准坦克设计!$B$14:$K$20,9)/30))</f>
        <v>13.432837301370567</v>
      </c>
      <c r="EY153" s="173">
        <f ca="1">(VLOOKUP(EY$72,INDIRECT($C$5&amp;"生成成长"),2))/((VLOOKUP($B153,INDIRECT($B$5&amp;"生成成长"),4))/(VLOOKUP(EY$72,INDIRECT($C$5&amp;"生成成长"),5))*(VLOOKUP($B$5,标准坦克设计!$B$24:$U$30,MATCH("对"&amp;LEFT($C$5,2)&amp;"输出",标准坦克设计!$B$23:$U$23,0)))*(VLOOKUP($B153,INDIRECT($B$5&amp;"生成成长"),3))*(VLOOKUP($B$5,标准坦克设计!$B$14:$K$20,9)/30))</f>
        <v>14.357525206868939</v>
      </c>
      <c r="EZ153" s="173">
        <f ca="1">(VLOOKUP(EZ$72,INDIRECT($C$5&amp;"生成成长"),2))/((VLOOKUP($B153,INDIRECT($B$5&amp;"生成成长"),4))/(VLOOKUP(EZ$72,INDIRECT($C$5&amp;"生成成长"),5))*(VLOOKUP($B$5,标准坦克设计!$B$24:$U$30,MATCH("对"&amp;LEFT($C$5,2)&amp;"输出",标准坦克设计!$B$23:$U$23,0)))*(VLOOKUP($B153,INDIRECT($B$5&amp;"生成成长"),3))*(VLOOKUP($B$5,标准坦克设计!$B$14:$K$20,9)/30))</f>
        <v>15.312989411793879</v>
      </c>
      <c r="FA153" s="173">
        <f ca="1">(VLOOKUP(FA$72,INDIRECT($C$5&amp;"生成成长"),2))/((VLOOKUP($B153,INDIRECT($B$5&amp;"生成成长"),4))/(VLOOKUP(FA$72,INDIRECT($C$5&amp;"生成成长"),5))*(VLOOKUP($B$5,标准坦克设计!$B$24:$U$30,MATCH("对"&amp;LEFT($C$5,2)&amp;"输出",标准坦克设计!$B$23:$U$23,0)))*(VLOOKUP($B153,INDIRECT($B$5&amp;"生成成长"),3))*(VLOOKUP($B$5,标准坦克设计!$B$14:$K$20,9)/30))</f>
        <v>16.299229916145393</v>
      </c>
      <c r="FB153" s="173">
        <f ca="1">(VLOOKUP(FB$72,INDIRECT($C$5&amp;"生成成长"),2))/((VLOOKUP($B153,INDIRECT($B$5&amp;"生成成长"),4))/(VLOOKUP(FB$72,INDIRECT($C$5&amp;"生成成长"),5))*(VLOOKUP($B$5,标准坦克设计!$B$24:$U$30,MATCH("对"&amp;LEFT($C$5,2)&amp;"输出",标准坦克设计!$B$23:$U$23,0)))*(VLOOKUP($B153,INDIRECT($B$5&amp;"生成成长"),3))*(VLOOKUP($B$5,标准坦克设计!$B$14:$K$20,9)/30))</f>
        <v>17.31624671992348</v>
      </c>
      <c r="FC153" s="173">
        <f ca="1">(VLOOKUP(FC$72,INDIRECT($C$5&amp;"生成成长"),2))/((VLOOKUP($B153,INDIRECT($B$5&amp;"生成成长"),4))/(VLOOKUP(FC$72,INDIRECT($C$5&amp;"生成成长"),5))*(VLOOKUP($B$5,标准坦克设计!$B$24:$U$30,MATCH("对"&amp;LEFT($C$5,2)&amp;"输出",标准坦克设计!$B$23:$U$23,0)))*(VLOOKUP($B153,INDIRECT($B$5&amp;"生成成长"),3))*(VLOOKUP($B$5,标准坦克设计!$B$14:$K$20,9)/30))</f>
        <v>18.364039823128142</v>
      </c>
      <c r="FD153" s="173">
        <f ca="1">(VLOOKUP(FD$72,INDIRECT($C$5&amp;"生成成长"),2))/((VLOOKUP($B153,INDIRECT($B$5&amp;"生成成长"),4))/(VLOOKUP(FD$72,INDIRECT($C$5&amp;"生成成长"),5))*(VLOOKUP($B$5,标准坦克设计!$B$24:$U$30,MATCH("对"&amp;LEFT($C$5,2)&amp;"输出",标准坦克设计!$B$23:$U$23,0)))*(VLOOKUP($B153,INDIRECT($B$5&amp;"生成成长"),3))*(VLOOKUP($B$5,标准坦克设计!$B$14:$K$20,9)/30))</f>
        <v>19.442609225759373</v>
      </c>
      <c r="FE153" s="173">
        <f ca="1">(VLOOKUP(FE$72,INDIRECT($C$5&amp;"生成成长"),2))/((VLOOKUP($B153,INDIRECT($B$5&amp;"生成成长"),4))/(VLOOKUP(FE$72,INDIRECT($C$5&amp;"生成成长"),5))*(VLOOKUP($B$5,标准坦克设计!$B$24:$U$30,MATCH("对"&amp;LEFT($C$5,2)&amp;"输出",标准坦克设计!$B$23:$U$23,0)))*(VLOOKUP($B153,INDIRECT($B$5&amp;"生成成长"),3))*(VLOOKUP($B$5,标准坦克设计!$B$14:$K$20,9)/30))</f>
        <v>20.756960690939628</v>
      </c>
      <c r="FF153" s="173">
        <f ca="1">(VLOOKUP(FF$72,INDIRECT($C$5&amp;"生成成长"),2))/((VLOOKUP($B153,INDIRECT($B$5&amp;"生成成长"),4))/(VLOOKUP(FF$72,INDIRECT($C$5&amp;"生成成长"),5))*(VLOOKUP($B$5,标准坦克设计!$B$24:$U$30,MATCH("对"&amp;LEFT($C$5,2)&amp;"输出",标准坦克设计!$B$23:$U$23,0)))*(VLOOKUP($B153,INDIRECT($B$5&amp;"生成成长"),3))*(VLOOKUP($B$5,标准坦克设计!$B$14:$K$20,9)/30))</f>
        <v>22.114297235484273</v>
      </c>
      <c r="FG153" s="173">
        <f ca="1">(VLOOKUP(FG$72,INDIRECT($C$5&amp;"生成成长"),2))/((VLOOKUP($B153,INDIRECT($B$5&amp;"生成成长"),4))/(VLOOKUP(FG$72,INDIRECT($C$5&amp;"生成成长"),5))*(VLOOKUP($B$5,标准坦克设计!$B$24:$U$30,MATCH("对"&amp;LEFT($C$5,2)&amp;"输出",标准坦克设计!$B$23:$U$23,0)))*(VLOOKUP($B153,INDIRECT($B$5&amp;"生成成长"),3))*(VLOOKUP($B$5,标准坦克设计!$B$14:$K$20,9)/30))</f>
        <v>23.514618859393305</v>
      </c>
      <c r="FH153" s="173">
        <f ca="1">(VLOOKUP(FH$72,INDIRECT($C$5&amp;"生成成长"),2))/((VLOOKUP($B153,INDIRECT($B$5&amp;"生成成长"),4))/(VLOOKUP(FH$72,INDIRECT($C$5&amp;"生成成长"),5))*(VLOOKUP($B$5,标准坦克设计!$B$24:$U$30,MATCH("对"&amp;LEFT($C$5,2)&amp;"输出",标准坦克设计!$B$23:$U$23,0)))*(VLOOKUP($B153,INDIRECT($B$5&amp;"生成成长"),3))*(VLOOKUP($B$5,标准坦克设计!$B$14:$K$20,9)/30))</f>
        <v>24.957925562666723</v>
      </c>
      <c r="FI153" s="173">
        <f ca="1">(VLOOKUP(FI$72,INDIRECT($C$5&amp;"生成成长"),2))/((VLOOKUP($B153,INDIRECT($B$5&amp;"生成成长"),4))/(VLOOKUP(FI$72,INDIRECT($C$5&amp;"生成成长"),5))*(VLOOKUP($B$5,标准坦克设计!$B$24:$U$30,MATCH("对"&amp;LEFT($C$5,2)&amp;"输出",标准坦克设计!$B$23:$U$23,0)))*(VLOOKUP($B153,INDIRECT($B$5&amp;"生成成长"),3))*(VLOOKUP($B$5,标准坦克设计!$B$14:$K$20,9)/30))</f>
        <v>26.444217345304523</v>
      </c>
      <c r="FJ153" s="173">
        <f ca="1">(VLOOKUP(FJ$72,INDIRECT($C$5&amp;"生成成长"),2))/((VLOOKUP($B153,INDIRECT($B$5&amp;"生成成长"),4))/(VLOOKUP(FJ$72,INDIRECT($C$5&amp;"生成成长"),5))*(VLOOKUP($B$5,标准坦克设计!$B$24:$U$30,MATCH("对"&amp;LEFT($C$5,2)&amp;"输出",标准坦克设计!$B$23:$U$23,0)))*(VLOOKUP($B153,INDIRECT($B$5&amp;"生成成长"),3))*(VLOOKUP($B$5,标准坦克设计!$B$14:$K$20,9)/30))</f>
        <v>27.973494207306707</v>
      </c>
      <c r="FK153" s="173">
        <f ca="1">(VLOOKUP(FK$72,INDIRECT($C$5&amp;"生成成长"),2))/((VLOOKUP($B153,INDIRECT($B$5&amp;"生成成长"),4))/(VLOOKUP(FK$72,INDIRECT($C$5&amp;"生成成长"),5))*(VLOOKUP($B$5,标准坦克设计!$B$24:$U$30,MATCH("对"&amp;LEFT($C$5,2)&amp;"输出",标准坦克设计!$B$23:$U$23,0)))*(VLOOKUP($B153,INDIRECT($B$5&amp;"生成成长"),3))*(VLOOKUP($B$5,标准坦克设计!$B$14:$K$20,9)/30))</f>
        <v>29.545756148673281</v>
      </c>
    </row>
    <row r="154" spans="1:167" x14ac:dyDescent="0.15">
      <c r="A154" s="171" t="str">
        <f t="shared" si="12"/>
        <v>T4中品质10级</v>
      </c>
      <c r="B154" s="172">
        <v>20410</v>
      </c>
      <c r="C154" s="173">
        <f ca="1">(VLOOKUP(C$72,INDIRECT($C$5&amp;"生成成长"),2))/((VLOOKUP($B154,INDIRECT($B$5&amp;"生成成长"),4))/(VLOOKUP(C$72,INDIRECT($C$5&amp;"生成成长"),5))*(VLOOKUP($B$5,标准坦克设计!$B$24:$U$30,MATCH("对"&amp;LEFT($C$5,2)&amp;"输出",标准坦克设计!$B$23:$U$23,0)))*(VLOOKUP($B154,INDIRECT($B$5&amp;"生成成长"),3))*(VLOOKUP($B$5,标准坦克设计!$B$14:$K$20,9)/30))</f>
        <v>1.1814622637560581</v>
      </c>
      <c r="D154" s="173">
        <f ca="1">(VLOOKUP(D$72,INDIRECT($C$5&amp;"生成成长"),2))/((VLOOKUP($B154,INDIRECT($B$5&amp;"生成成长"),4))/(VLOOKUP(D$72,INDIRECT($C$5&amp;"生成成长"),5))*(VLOOKUP($B$5,标准坦克设计!$B$24:$U$30,MATCH("对"&amp;LEFT($C$5,2)&amp;"输出",标准坦克设计!$B$23:$U$23,0)))*(VLOOKUP($B154,INDIRECT($B$5&amp;"生成成长"),3))*(VLOOKUP($B$5,标准坦克设计!$B$14:$K$20,9)/30))</f>
        <v>1.3274909995563067</v>
      </c>
      <c r="E154" s="173">
        <f ca="1">(VLOOKUP(E$72,INDIRECT($C$5&amp;"生成成长"),2))/((VLOOKUP($B154,INDIRECT($B$5&amp;"生成成长"),4))/(VLOOKUP(E$72,INDIRECT($C$5&amp;"生成成长"),5))*(VLOOKUP($B$5,标准坦克设计!$B$24:$U$30,MATCH("对"&amp;LEFT($C$5,2)&amp;"输出",标准坦克设计!$B$23:$U$23,0)))*(VLOOKUP($B154,INDIRECT($B$5&amp;"生成成长"),3))*(VLOOKUP($B$5,标准坦克设计!$B$14:$K$20,9)/30))</f>
        <v>1.4820262636555992</v>
      </c>
      <c r="F154" s="173">
        <f ca="1">(VLOOKUP(F$72,INDIRECT($C$5&amp;"生成成长"),2))/((VLOOKUP($B154,INDIRECT($B$5&amp;"生成成长"),4))/(VLOOKUP(F$72,INDIRECT($C$5&amp;"生成成长"),5))*(VLOOKUP($B$5,标准坦克设计!$B$24:$U$30,MATCH("对"&amp;LEFT($C$5,2)&amp;"输出",标准坦克设计!$B$23:$U$23,0)))*(VLOOKUP($B154,INDIRECT($B$5&amp;"生成成长"),3))*(VLOOKUP($B$5,标准坦克设计!$B$14:$K$20,9)/30))</f>
        <v>1.6450680560539352</v>
      </c>
      <c r="G154" s="173">
        <f ca="1">(VLOOKUP(G$72,INDIRECT($C$5&amp;"生成成长"),2))/((VLOOKUP($B154,INDIRECT($B$5&amp;"生成成长"),4))/(VLOOKUP(G$72,INDIRECT($C$5&amp;"生成成长"),5))*(VLOOKUP($B$5,标准坦克设计!$B$24:$U$30,MATCH("对"&amp;LEFT($C$5,2)&amp;"输出",标准坦克设计!$B$23:$U$23,0)))*(VLOOKUP($B154,INDIRECT($B$5&amp;"生成成长"),3))*(VLOOKUP($B$5,标准坦克设计!$B$14:$K$20,9)/30))</f>
        <v>1.8166163767513148</v>
      </c>
      <c r="H154" s="173">
        <f ca="1">(VLOOKUP(H$72,INDIRECT($C$5&amp;"生成成长"),2))/((VLOOKUP($B154,INDIRECT($B$5&amp;"生成成长"),4))/(VLOOKUP(H$72,INDIRECT($C$5&amp;"生成成长"),5))*(VLOOKUP($B$5,标准坦克设计!$B$24:$U$30,MATCH("对"&amp;LEFT($C$5,2)&amp;"输出",标准坦克设计!$B$23:$U$23,0)))*(VLOOKUP($B154,INDIRECT($B$5&amp;"生成成长"),3))*(VLOOKUP($B$5,标准坦克设计!$B$14:$K$20,9)/30))</f>
        <v>1.5897756221101518</v>
      </c>
      <c r="I154" s="173">
        <f ca="1">(VLOOKUP(I$72,INDIRECT($C$5&amp;"生成成长"),2))/((VLOOKUP($B154,INDIRECT($B$5&amp;"生成成长"),4))/(VLOOKUP(I$72,INDIRECT($C$5&amp;"生成成长"),5))*(VLOOKUP($B$5,标准坦克设计!$B$24:$U$30,MATCH("对"&amp;LEFT($C$5,2)&amp;"输出",标准坦克设计!$B$23:$U$23,0)))*(VLOOKUP($B154,INDIRECT($B$5&amp;"生成成长"),3))*(VLOOKUP($B$5,标准坦克设计!$B$14:$K$20,9)/30))</f>
        <v>1.8166163767513148</v>
      </c>
      <c r="J154" s="173">
        <f ca="1">(VLOOKUP(J$72,INDIRECT($C$5&amp;"生成成长"),2))/((VLOOKUP($B154,INDIRECT($B$5&amp;"生成成长"),4))/(VLOOKUP(J$72,INDIRECT($C$5&amp;"生成成长"),5))*(VLOOKUP($B$5,标准坦克设计!$B$24:$U$30,MATCH("对"&amp;LEFT($C$5,2)&amp;"输出",标准坦克设计!$B$23:$U$23,0)))*(VLOOKUP($B154,INDIRECT($B$5&amp;"生成成长"),3))*(VLOOKUP($B$5,标准坦克设计!$B$14:$K$20,9)/30))</f>
        <v>2.0585798483685553</v>
      </c>
      <c r="K154" s="173">
        <f ca="1">(VLOOKUP(K$72,INDIRECT($C$5&amp;"生成成长"),2))/((VLOOKUP($B154,INDIRECT($B$5&amp;"生成成长"),4))/(VLOOKUP(K$72,INDIRECT($C$5&amp;"生成成长"),5))*(VLOOKUP($B$5,标准坦克设计!$B$24:$U$30,MATCH("对"&amp;LEFT($C$5,2)&amp;"输出",标准坦克设计!$B$23:$U$23,0)))*(VLOOKUP($B154,INDIRECT($B$5&amp;"生成成长"),3))*(VLOOKUP($B$5,标准坦克设计!$B$14:$K$20,9)/30))</f>
        <v>2.3156660369618738</v>
      </c>
      <c r="L154" s="173">
        <f ca="1">(VLOOKUP(L$72,INDIRECT($C$5&amp;"生成成长"),2))/((VLOOKUP($B154,INDIRECT($B$5&amp;"生成成长"),4))/(VLOOKUP(L$72,INDIRECT($C$5&amp;"生成成长"),5))*(VLOOKUP($B$5,标准坦克设计!$B$24:$U$30,MATCH("对"&amp;LEFT($C$5,2)&amp;"输出",标准坦克设计!$B$23:$U$23,0)))*(VLOOKUP($B154,INDIRECT($B$5&amp;"生成成长"),3))*(VLOOKUP($B$5,标准坦克设计!$B$14:$K$20,9)/30))</f>
        <v>2.5878749425312693</v>
      </c>
      <c r="M154" s="173">
        <f ca="1">(VLOOKUP(M$72,INDIRECT($C$5&amp;"生成成长"),2))/((VLOOKUP($B154,INDIRECT($B$5&amp;"生成成长"),4))/(VLOOKUP(M$72,INDIRECT($C$5&amp;"生成成长"),5))*(VLOOKUP($B$5,标准坦克设计!$B$24:$U$30,MATCH("对"&amp;LEFT($C$5,2)&amp;"输出",标准坦克设计!$B$23:$U$23,0)))*(VLOOKUP($B154,INDIRECT($B$5&amp;"生成成长"),3))*(VLOOKUP($B$5,标准坦克设计!$B$14:$K$20,9)/30))</f>
        <v>2.8752065650767427</v>
      </c>
      <c r="N154" s="173">
        <f ca="1">(VLOOKUP(N$72,INDIRECT($C$5&amp;"生成成长"),2))/((VLOOKUP($B154,INDIRECT($B$5&amp;"生成成长"),4))/(VLOOKUP(N$72,INDIRECT($C$5&amp;"生成成长"),5))*(VLOOKUP($B$5,标准坦克设计!$B$24:$U$30,MATCH("对"&amp;LEFT($C$5,2)&amp;"输出",标准坦克设计!$B$23:$U$23,0)))*(VLOOKUP($B154,INDIRECT($B$5&amp;"生成成长"),3))*(VLOOKUP($B$5,标准坦克设计!$B$14:$K$20,9)/30))</f>
        <v>3.1776609045982935</v>
      </c>
      <c r="O154" s="173">
        <f ca="1">(VLOOKUP(O$72,INDIRECT($C$5&amp;"生成成长"),2))/((VLOOKUP($B154,INDIRECT($B$5&amp;"生成成长"),4))/(VLOOKUP(O$72,INDIRECT($C$5&amp;"生成成长"),5))*(VLOOKUP($B$5,标准坦克设计!$B$24:$U$30,MATCH("对"&amp;LEFT($C$5,2)&amp;"输出",标准坦克设计!$B$23:$U$23,0)))*(VLOOKUP($B154,INDIRECT($B$5&amp;"生成成长"),3))*(VLOOKUP($B$5,标准坦克设计!$B$14:$K$20,9)/30))</f>
        <v>2.4159721831547629</v>
      </c>
      <c r="P154" s="173">
        <f ca="1">(VLOOKUP(P$72,INDIRECT($C$5&amp;"生成成长"),2))/((VLOOKUP($B154,INDIRECT($B$5&amp;"生成成长"),4))/(VLOOKUP(P$72,INDIRECT($C$5&amp;"生成成长"),5))*(VLOOKUP($B$5,标准坦克设计!$B$24:$U$30,MATCH("对"&amp;LEFT($C$5,2)&amp;"输出",标准坦克设计!$B$23:$U$23,0)))*(VLOOKUP($B154,INDIRECT($B$5&amp;"生成成长"),3))*(VLOOKUP($B$5,标准坦克设计!$B$14:$K$20,9)/30))</f>
        <v>2.7296504141819962</v>
      </c>
      <c r="Q154" s="173">
        <f ca="1">(VLOOKUP(Q$72,INDIRECT($C$5&amp;"生成成长"),2))/((VLOOKUP($B154,INDIRECT($B$5&amp;"生成成长"),4))/(VLOOKUP(Q$72,INDIRECT($C$5&amp;"生成成长"),5))*(VLOOKUP($B$5,标准坦克设计!$B$24:$U$30,MATCH("对"&amp;LEFT($C$5,2)&amp;"输出",标准坦克设计!$B$23:$U$23,0)))*(VLOOKUP($B154,INDIRECT($B$5&amp;"生成成长"),3))*(VLOOKUP($B$5,标准坦克设计!$B$14:$K$20,9)/30))</f>
        <v>3.062468333882078</v>
      </c>
      <c r="R154" s="173">
        <f ca="1">(VLOOKUP(R$72,INDIRECT($C$5&amp;"生成成长"),2))/((VLOOKUP($B154,INDIRECT($B$5&amp;"生成成长"),4))/(VLOOKUP(R$72,INDIRECT($C$5&amp;"生成成长"),5))*(VLOOKUP($B$5,标准坦克设计!$B$24:$U$30,MATCH("对"&amp;LEFT($C$5,2)&amp;"输出",标准坦克设计!$B$23:$U$23,0)))*(VLOOKUP($B154,INDIRECT($B$5&amp;"生成成长"),3))*(VLOOKUP($B$5,标准坦克设计!$B$14:$K$20,9)/30))</f>
        <v>3.4144259422550078</v>
      </c>
      <c r="S154" s="173">
        <f ca="1">(VLOOKUP(S$72,INDIRECT($C$5&amp;"生成成长"),2))/((VLOOKUP($B154,INDIRECT($B$5&amp;"生成成长"),4))/(VLOOKUP(S$72,INDIRECT($C$5&amp;"生成成长"),5))*(VLOOKUP($B$5,标准坦克设计!$B$24:$U$30,MATCH("对"&amp;LEFT($C$5,2)&amp;"输出",标准坦克设计!$B$23:$U$23,0)))*(VLOOKUP($B154,INDIRECT($B$5&amp;"生成成长"),3))*(VLOOKUP($B$5,标准坦克设计!$B$14:$K$20,9)/30))</f>
        <v>3.7855232393007854</v>
      </c>
      <c r="T154" s="173">
        <f ca="1">(VLOOKUP(T$72,INDIRECT($C$5&amp;"生成成长"),2))/((VLOOKUP($B154,INDIRECT($B$5&amp;"生成成长"),4))/(VLOOKUP(T$72,INDIRECT($C$5&amp;"生成成长"),5))*(VLOOKUP($B$5,标准坦克设计!$B$24:$U$30,MATCH("对"&amp;LEFT($C$5,2)&amp;"输出",标准坦克设计!$B$23:$U$23,0)))*(VLOOKUP($B154,INDIRECT($B$5&amp;"生成成长"),3))*(VLOOKUP($B$5,标准坦克设计!$B$14:$K$20,9)/30))</f>
        <v>4.1757602250194115</v>
      </c>
      <c r="U154" s="173">
        <f ca="1">(VLOOKUP(U$72,INDIRECT($C$5&amp;"生成成长"),2))/((VLOOKUP($B154,INDIRECT($B$5&amp;"生成成长"),4))/(VLOOKUP(U$72,INDIRECT($C$5&amp;"生成成长"),5))*(VLOOKUP($B$5,标准坦克设计!$B$24:$U$30,MATCH("对"&amp;LEFT($C$5,2)&amp;"输出",标准坦克设计!$B$23:$U$23,0)))*(VLOOKUP($B154,INDIRECT($B$5&amp;"生成成长"),3))*(VLOOKUP($B$5,标准坦克设计!$B$14:$K$20,9)/30))</f>
        <v>4.5851368994108848</v>
      </c>
      <c r="V154" s="173">
        <f ca="1">(VLOOKUP(V$72,INDIRECT($C$5&amp;"生成成长"),2))/((VLOOKUP($B154,INDIRECT($B$5&amp;"生成成长"),4))/(VLOOKUP(V$72,INDIRECT($C$5&amp;"生成成长"),5))*(VLOOKUP($B$5,标准坦克设计!$B$24:$U$30,MATCH("对"&amp;LEFT($C$5,2)&amp;"输出",标准坦克设计!$B$23:$U$23,0)))*(VLOOKUP($B154,INDIRECT($B$5&amp;"生成成长"),3))*(VLOOKUP($B$5,标准坦克设计!$B$14:$K$20,9)/30))</f>
        <v>5.0136532624752066</v>
      </c>
      <c r="W154" s="173">
        <f ca="1">(VLOOKUP(W$72,INDIRECT($C$5&amp;"生成成长"),2))/((VLOOKUP($B154,INDIRECT($B$5&amp;"生成成长"),4))/(VLOOKUP(W$72,INDIRECT($C$5&amp;"生成成长"),5))*(VLOOKUP($B$5,标准坦克设计!$B$24:$U$30,MATCH("对"&amp;LEFT($C$5,2)&amp;"输出",标准坦克设计!$B$23:$U$23,0)))*(VLOOKUP($B154,INDIRECT($B$5&amp;"生成成长"),3))*(VLOOKUP($B$5,标准坦克设计!$B$14:$K$20,9)/30))</f>
        <v>5.4613093142123779</v>
      </c>
      <c r="X154" s="173">
        <f ca="1">(VLOOKUP(X$72,INDIRECT($C$5&amp;"生成成长"),2))/((VLOOKUP($B154,INDIRECT($B$5&amp;"生成成长"),4))/(VLOOKUP(X$72,INDIRECT($C$5&amp;"生成成长"),5))*(VLOOKUP($B$5,标准坦克设计!$B$24:$U$30,MATCH("对"&amp;LEFT($C$5,2)&amp;"输出",标准坦克设计!$B$23:$U$23,0)))*(VLOOKUP($B154,INDIRECT($B$5&amp;"生成成长"),3))*(VLOOKUP($B$5,标准坦克设计!$B$14:$K$20,9)/30))</f>
        <v>3.9565989750926631</v>
      </c>
      <c r="Y154" s="173">
        <f ca="1">(VLOOKUP(Y$72,INDIRECT($C$5&amp;"生成成长"),2))/((VLOOKUP($B154,INDIRECT($B$5&amp;"生成成长"),4))/(VLOOKUP(Y$72,INDIRECT($C$5&amp;"生成成长"),5))*(VLOOKUP($B$5,标准坦克设计!$B$24:$U$30,MATCH("对"&amp;LEFT($C$5,2)&amp;"输出",标准坦克设计!$B$23:$U$23,0)))*(VLOOKUP($B154,INDIRECT($B$5&amp;"生成成长"),3))*(VLOOKUP($B$5,标准坦克设计!$B$14:$K$20,9)/30))</f>
        <v>4.4008287862649409</v>
      </c>
      <c r="Z154" s="173">
        <f ca="1">(VLOOKUP(Z$72,INDIRECT($C$5&amp;"生成成长"),2))/((VLOOKUP($B154,INDIRECT($B$5&amp;"生成成长"),4))/(VLOOKUP(Z$72,INDIRECT($C$5&amp;"生成成长"),5))*(VLOOKUP($B$5,标准坦克设计!$B$24:$U$30,MATCH("对"&amp;LEFT($C$5,2)&amp;"输出",标准坦克设计!$B$23:$U$23,0)))*(VLOOKUP($B154,INDIRECT($B$5&amp;"生成成长"),3))*(VLOOKUP($B$5,标准坦克设计!$B$14:$K$20,9)/30))</f>
        <v>4.8686878427123395</v>
      </c>
      <c r="AA154" s="173">
        <f ca="1">(VLOOKUP(AA$72,INDIRECT($C$5&amp;"生成成长"),2))/((VLOOKUP($B154,INDIRECT($B$5&amp;"生成成长"),4))/(VLOOKUP(AA$72,INDIRECT($C$5&amp;"生成成长"),5))*(VLOOKUP($B$5,标准坦克设计!$B$24:$U$30,MATCH("对"&amp;LEFT($C$5,2)&amp;"输出",标准坦克设计!$B$23:$U$23,0)))*(VLOOKUP($B154,INDIRECT($B$5&amp;"生成成长"),3))*(VLOOKUP($B$5,标准坦克设计!$B$14:$K$20,9)/30))</f>
        <v>5.3601761444348606</v>
      </c>
      <c r="AB154" s="173">
        <f ca="1">(VLOOKUP(AB$72,INDIRECT($C$5&amp;"生成成长"),2))/((VLOOKUP($B154,INDIRECT($B$5&amp;"生成成长"),4))/(VLOOKUP(AB$72,INDIRECT($C$5&amp;"生成成长"),5))*(VLOOKUP($B$5,标准坦克设计!$B$24:$U$30,MATCH("对"&amp;LEFT($C$5,2)&amp;"输出",标准坦克设计!$B$23:$U$23,0)))*(VLOOKUP($B154,INDIRECT($B$5&amp;"生成成长"),3))*(VLOOKUP($B$5,标准坦克设计!$B$14:$K$20,9)/30))</f>
        <v>5.8752936914325007</v>
      </c>
      <c r="AC154" s="173">
        <f ca="1">(VLOOKUP(AC$72,INDIRECT($C$5&amp;"生成成长"),2))/((VLOOKUP($B154,INDIRECT($B$5&amp;"生成成长"),4))/(VLOOKUP(AC$72,INDIRECT($C$5&amp;"生成成长"),5))*(VLOOKUP($B$5,标准坦克设计!$B$24:$U$30,MATCH("对"&amp;LEFT($C$5,2)&amp;"输出",标准坦克设计!$B$23:$U$23,0)))*(VLOOKUP($B154,INDIRECT($B$5&amp;"生成成长"),3))*(VLOOKUP($B$5,标准坦克设计!$B$14:$K$20,9)/30))</f>
        <v>6.4140404837052625</v>
      </c>
      <c r="AD154" s="173">
        <f ca="1">(VLOOKUP(AD$72,INDIRECT($C$5&amp;"生成成长"),2))/((VLOOKUP($B154,INDIRECT($B$5&amp;"生成成长"),4))/(VLOOKUP(AD$72,INDIRECT($C$5&amp;"生成成长"),5))*(VLOOKUP($B$5,标准坦克设计!$B$24:$U$30,MATCH("对"&amp;LEFT($C$5,2)&amp;"输出",标准坦克设计!$B$23:$U$23,0)))*(VLOOKUP($B154,INDIRECT($B$5&amp;"生成成长"),3))*(VLOOKUP($B$5,标准坦克设计!$B$14:$K$20,9)/30))</f>
        <v>6.9764165212531477</v>
      </c>
      <c r="AE154" s="173">
        <f ca="1">(VLOOKUP(AE$72,INDIRECT($C$5&amp;"生成成长"),2))/((VLOOKUP($B154,INDIRECT($B$5&amp;"生成成长"),4))/(VLOOKUP(AE$72,INDIRECT($C$5&amp;"生成成长"),5))*(VLOOKUP($B$5,标准坦克设计!$B$24:$U$30,MATCH("对"&amp;LEFT($C$5,2)&amp;"输出",标准坦克设计!$B$23:$U$23,0)))*(VLOOKUP($B154,INDIRECT($B$5&amp;"生成成长"),3))*(VLOOKUP($B$5,标准坦克设计!$B$14:$K$20,9)/30))</f>
        <v>7.5624218040761519</v>
      </c>
      <c r="AF154" s="173">
        <f ca="1">(VLOOKUP(AF$72,INDIRECT($C$5&amp;"生成成长"),2))/((VLOOKUP($B154,INDIRECT($B$5&amp;"生成成长"),4))/(VLOOKUP(AF$72,INDIRECT($C$5&amp;"生成成长"),5))*(VLOOKUP($B$5,标准坦克设计!$B$24:$U$30,MATCH("对"&amp;LEFT($C$5,2)&amp;"输出",标准坦克设计!$B$23:$U$23,0)))*(VLOOKUP($B154,INDIRECT($B$5&amp;"生成成长"),3))*(VLOOKUP($B$5,标准坦克设计!$B$14:$K$20,9)/30))</f>
        <v>8.172056332174277</v>
      </c>
      <c r="AG154" s="173">
        <f ca="1">(VLOOKUP(AG$72,INDIRECT($C$5&amp;"生成成长"),2))/((VLOOKUP($B154,INDIRECT($B$5&amp;"生成成长"),4))/(VLOOKUP(AG$72,INDIRECT($C$5&amp;"生成成长"),5))*(VLOOKUP($B$5,标准坦克设计!$B$24:$U$30,MATCH("对"&amp;LEFT($C$5,2)&amp;"输出",标准坦克设计!$B$23:$U$23,0)))*(VLOOKUP($B154,INDIRECT($B$5&amp;"生成成长"),3))*(VLOOKUP($B$5,标准坦克设计!$B$14:$K$20,9)/30))</f>
        <v>8.8053201055475263</v>
      </c>
      <c r="AH154" s="173">
        <f ca="1">(VLOOKUP(AH$72,INDIRECT($C$5&amp;"生成成长"),2))/((VLOOKUP($B154,INDIRECT($B$5&amp;"生成成长"),4))/(VLOOKUP(AH$72,INDIRECT($C$5&amp;"生成成长"),5))*(VLOOKUP($B$5,标准坦克设计!$B$24:$U$30,MATCH("对"&amp;LEFT($C$5,2)&amp;"输出",标准坦克设计!$B$23:$U$23,0)))*(VLOOKUP($B154,INDIRECT($B$5&amp;"生成成长"),3))*(VLOOKUP($B$5,标准坦克设计!$B$14:$K$20,9)/30))</f>
        <v>9.4622131241958947</v>
      </c>
      <c r="AI154" s="173">
        <f ca="1">(VLOOKUP(AI$72,INDIRECT($C$5&amp;"生成成长"),2))/((VLOOKUP($B154,INDIRECT($B$5&amp;"生成成长"),4))/(VLOOKUP(AI$72,INDIRECT($C$5&amp;"生成成长"),5))*(VLOOKUP($B$5,标准坦克设计!$B$24:$U$30,MATCH("对"&amp;LEFT($C$5,2)&amp;"输出",标准坦克设计!$B$23:$U$23,0)))*(VLOOKUP($B154,INDIRECT($B$5&amp;"生成成长"),3))*(VLOOKUP($B$5,标准坦克设计!$B$14:$K$20,9)/30))</f>
        <v>6.6922748468198137</v>
      </c>
      <c r="AJ154" s="173">
        <f ca="1">(VLOOKUP(AJ$72,INDIRECT($C$5&amp;"生成成长"),2))/((VLOOKUP($B154,INDIRECT($B$5&amp;"生成成长"),4))/(VLOOKUP(AJ$72,INDIRECT($C$5&amp;"生成成长"),5))*(VLOOKUP($B$5,标准坦克设计!$B$24:$U$30,MATCH("对"&amp;LEFT($C$5,2)&amp;"输出",标准坦克设计!$B$23:$U$23,0)))*(VLOOKUP($B154,INDIRECT($B$5&amp;"生成成长"),3))*(VLOOKUP($B$5,标准坦克设计!$B$14:$K$20,9)/30))</f>
        <v>7.3251841815139356</v>
      </c>
      <c r="AK154" s="173">
        <f ca="1">(VLOOKUP(AK$72,INDIRECT($C$5&amp;"生成成长"),2))/((VLOOKUP($B154,INDIRECT($B$5&amp;"生成成长"),4))/(VLOOKUP(AK$72,INDIRECT($C$5&amp;"生成成长"),5))*(VLOOKUP($B$5,标准坦克设计!$B$24:$U$30,MATCH("对"&amp;LEFT($C$5,2)&amp;"输出",标准坦克设计!$B$23:$U$23,0)))*(VLOOKUP($B154,INDIRECT($B$5&amp;"生成成长"),3))*(VLOOKUP($B$5,标准坦克设计!$B$14:$K$20,9)/30))</f>
        <v>7.9866849029909508</v>
      </c>
      <c r="AL154" s="173">
        <f ca="1">(VLOOKUP(AL$72,INDIRECT($C$5&amp;"生成成长"),2))/((VLOOKUP($B154,INDIRECT($B$5&amp;"生成成长"),4))/(VLOOKUP(AL$72,INDIRECT($C$5&amp;"生成成长"),5))*(VLOOKUP($B$5,标准坦克设计!$B$24:$U$30,MATCH("对"&amp;LEFT($C$5,2)&amp;"输出",标准坦克设计!$B$23:$U$23,0)))*(VLOOKUP($B154,INDIRECT($B$5&amp;"生成成长"),3))*(VLOOKUP($B$5,标准坦克设计!$B$14:$K$20,9)/30))</f>
        <v>8.6767770112508664</v>
      </c>
      <c r="AM154" s="173">
        <f ca="1">(VLOOKUP(AM$72,INDIRECT($C$5&amp;"生成成长"),2))/((VLOOKUP($B154,INDIRECT($B$5&amp;"生成成长"),4))/(VLOOKUP(AM$72,INDIRECT($C$5&amp;"生成成长"),5))*(VLOOKUP($B$5,标准坦克设计!$B$24:$U$30,MATCH("对"&amp;LEFT($C$5,2)&amp;"输出",标准坦克设计!$B$23:$U$23,0)))*(VLOOKUP($B154,INDIRECT($B$5&amp;"生成成长"),3))*(VLOOKUP($B$5,标准坦克设计!$B$14:$K$20,9)/30))</f>
        <v>9.3954605062936754</v>
      </c>
      <c r="AN154" s="173">
        <f ca="1">(VLOOKUP(AN$72,INDIRECT($C$5&amp;"生成成长"),2))/((VLOOKUP($B154,INDIRECT($B$5&amp;"生成成长"),4))/(VLOOKUP(AN$72,INDIRECT($C$5&amp;"生成成长"),5))*(VLOOKUP($B$5,标准坦克设计!$B$24:$U$30,MATCH("对"&amp;LEFT($C$5,2)&amp;"输出",标准坦克设计!$B$23:$U$23,0)))*(VLOOKUP($B154,INDIRECT($B$5&amp;"生成成长"),3))*(VLOOKUP($B$5,标准坦克设计!$B$14:$K$20,9)/30))</f>
        <v>10.142735388119382</v>
      </c>
      <c r="AO154" s="173">
        <f ca="1">(VLOOKUP(AO$72,INDIRECT($C$5&amp;"生成成长"),2))/((VLOOKUP($B154,INDIRECT($B$5&amp;"生成成长"),4))/(VLOOKUP(AO$72,INDIRECT($C$5&amp;"生成成长"),5))*(VLOOKUP($B$5,标准坦克设计!$B$24:$U$30,MATCH("对"&amp;LEFT($C$5,2)&amp;"输出",标准坦克设计!$B$23:$U$23,0)))*(VLOOKUP($B154,INDIRECT($B$5&amp;"生成成长"),3))*(VLOOKUP($B$5,标准坦克设计!$B$14:$K$20,9)/30))</f>
        <v>10.918601656727985</v>
      </c>
      <c r="AP154" s="173">
        <f ca="1">(VLOOKUP(AP$72,INDIRECT($C$5&amp;"生成成长"),2))/((VLOOKUP($B154,INDIRECT($B$5&amp;"生成成长"),4))/(VLOOKUP(AP$72,INDIRECT($C$5&amp;"生成成长"),5))*(VLOOKUP($B$5,标准坦克设计!$B$24:$U$30,MATCH("对"&amp;LEFT($C$5,2)&amp;"输出",标准坦克设计!$B$23:$U$23,0)))*(VLOOKUP($B154,INDIRECT($B$5&amp;"生成成长"),3))*(VLOOKUP($B$5,标准坦克设计!$B$14:$K$20,9)/30))</f>
        <v>11.723059312119485</v>
      </c>
      <c r="AQ154" s="173">
        <f ca="1">(VLOOKUP(AQ$72,INDIRECT($C$5&amp;"生成成长"),2))/((VLOOKUP($B154,INDIRECT($B$5&amp;"生成成长"),4))/(VLOOKUP(AQ$72,INDIRECT($C$5&amp;"生成成长"),5))*(VLOOKUP($B$5,标准坦克设计!$B$24:$U$30,MATCH("对"&amp;LEFT($C$5,2)&amp;"输出",标准坦克设计!$B$23:$U$23,0)))*(VLOOKUP($B154,INDIRECT($B$5&amp;"生成成长"),3))*(VLOOKUP($B$5,标准坦克设计!$B$14:$K$20,9)/30))</f>
        <v>12.556108354293885</v>
      </c>
      <c r="AR154" s="173">
        <f ca="1">(VLOOKUP(AR$72,INDIRECT($C$5&amp;"生成成长"),2))/((VLOOKUP($B154,INDIRECT($B$5&amp;"生成成长"),4))/(VLOOKUP(AR$72,INDIRECT($C$5&amp;"生成成长"),5))*(VLOOKUP($B$5,标准坦克设计!$B$24:$U$30,MATCH("对"&amp;LEFT($C$5,2)&amp;"输出",标准坦克设计!$B$23:$U$23,0)))*(VLOOKUP($B154,INDIRECT($B$5&amp;"生成成长"),3))*(VLOOKUP($B$5,标准坦克设计!$B$14:$K$20,9)/30))</f>
        <v>13.417748783251177</v>
      </c>
      <c r="AS154" s="173">
        <f ca="1">(VLOOKUP(AS$72,INDIRECT($C$5&amp;"生成成长"),2))/((VLOOKUP($B154,INDIRECT($B$5&amp;"生成成长"),4))/(VLOOKUP(AS$72,INDIRECT($C$5&amp;"生成成长"),5))*(VLOOKUP($B$5,标准坦克设计!$B$24:$U$30,MATCH("对"&amp;LEFT($C$5,2)&amp;"输出",标准坦克设计!$B$23:$U$23,0)))*(VLOOKUP($B154,INDIRECT($B$5&amp;"生成成长"),3))*(VLOOKUP($B$5,标准坦克设计!$B$14:$K$20,9)/30))</f>
        <v>14.307980598991364</v>
      </c>
      <c r="AT154" s="173">
        <f ca="1">(VLOOKUP(AT$72,INDIRECT($C$5&amp;"生成成长"),2))/((VLOOKUP($B154,INDIRECT($B$5&amp;"生成成长"),4))/(VLOOKUP(AT$72,INDIRECT($C$5&amp;"生成成长"),5))*(VLOOKUP($B$5,标准坦克设计!$B$24:$U$30,MATCH("对"&amp;LEFT($C$5,2)&amp;"输出",标准坦克设计!$B$23:$U$23,0)))*(VLOOKUP($B154,INDIRECT($B$5&amp;"生成成长"),3))*(VLOOKUP($B$5,标准坦克设计!$B$14:$K$20,9)/30))</f>
        <v>15.226803801514452</v>
      </c>
      <c r="AU154" s="173">
        <f ca="1">(VLOOKUP(AU$72,INDIRECT($C$5&amp;"生成成长"),2))/((VLOOKUP($B154,INDIRECT($B$5&amp;"生成成长"),4))/(VLOOKUP(AU$72,INDIRECT($C$5&amp;"生成成长"),5))*(VLOOKUP($B$5,标准坦克设计!$B$24:$U$30,MATCH("对"&amp;LEFT($C$5,2)&amp;"输出",标准坦克设计!$B$23:$U$23,0)))*(VLOOKUP($B154,INDIRECT($B$5&amp;"生成成长"),3))*(VLOOKUP($B$5,标准坦克设计!$B$14:$K$20,9)/30))</f>
        <v>16.174218390820432</v>
      </c>
      <c r="AV154" s="173">
        <f ca="1">(VLOOKUP(AV$72,INDIRECT($C$5&amp;"生成成长"),2))/((VLOOKUP($B154,INDIRECT($B$5&amp;"生成成长"),4))/(VLOOKUP(AV$72,INDIRECT($C$5&amp;"生成成长"),5))*(VLOOKUP($B$5,标准坦克设计!$B$24:$U$30,MATCH("对"&amp;LEFT($C$5,2)&amp;"输出",标准坦克设计!$B$23:$U$23,0)))*(VLOOKUP($B154,INDIRECT($B$5&amp;"生成成长"),3))*(VLOOKUP($B$5,标准坦克设计!$B$14:$K$20,9)/30))</f>
        <v>1.6450680560539352</v>
      </c>
      <c r="AW154" s="173">
        <f ca="1">(VLOOKUP(AW$72,INDIRECT($C$5&amp;"生成成长"),2))/((VLOOKUP($B154,INDIRECT($B$5&amp;"生成成长"),4))/(VLOOKUP(AW$72,INDIRECT($C$5&amp;"生成成长"),5))*(VLOOKUP($B$5,标准坦克设计!$B$24:$U$30,MATCH("对"&amp;LEFT($C$5,2)&amp;"输出",标准坦克设计!$B$23:$U$23,0)))*(VLOOKUP($B154,INDIRECT($B$5&amp;"生成成长"),3))*(VLOOKUP($B$5,标准坦克设计!$B$14:$K$20,9)/30))</f>
        <v>1.8756894899391174</v>
      </c>
      <c r="AX154" s="173">
        <f ca="1">(VLOOKUP(AX$72,INDIRECT($C$5&amp;"生成成长"),2))/((VLOOKUP($B154,INDIRECT($B$5&amp;"生成成长"),4))/(VLOOKUP(AX$72,INDIRECT($C$5&amp;"生成成长"),5))*(VLOOKUP($B$5,标准坦克设计!$B$24:$U$30,MATCH("对"&amp;LEFT($C$5,2)&amp;"输出",标准坦克设计!$B$23:$U$23,0)))*(VLOOKUP($B154,INDIRECT($B$5&amp;"生成成长"),3))*(VLOOKUP($B$5,标准坦克设计!$B$14:$K$20,9)/30))</f>
        <v>2.1214336408003778</v>
      </c>
      <c r="AY154" s="173">
        <f ca="1">(VLOOKUP(AY$72,INDIRECT($C$5&amp;"生成成长"),2))/((VLOOKUP($B154,INDIRECT($B$5&amp;"生成成长"),4))/(VLOOKUP(AY$72,INDIRECT($C$5&amp;"生成成长"),5))*(VLOOKUP($B$5,标准坦克设计!$B$24:$U$30,MATCH("对"&amp;LEFT($C$5,2)&amp;"输出",标准坦克设计!$B$23:$U$23,0)))*(VLOOKUP($B154,INDIRECT($B$5&amp;"生成成长"),3))*(VLOOKUP($B$5,标准坦克设计!$B$14:$K$20,9)/30))</f>
        <v>2.3823005086377154</v>
      </c>
      <c r="AZ154" s="173">
        <f ca="1">(VLOOKUP(AZ$72,INDIRECT($C$5&amp;"生成成长"),2))/((VLOOKUP($B154,INDIRECT($B$5&amp;"生成成长"),4))/(VLOOKUP(AZ$72,INDIRECT($C$5&amp;"生成成长"),5))*(VLOOKUP($B$5,标准坦克设计!$B$24:$U$30,MATCH("对"&amp;LEFT($C$5,2)&amp;"输出",标准坦克设计!$B$23:$U$23,0)))*(VLOOKUP($B154,INDIRECT($B$5&amp;"生成成长"),3))*(VLOOKUP($B$5,标准坦克设计!$B$14:$K$20,9)/30))</f>
        <v>2.6582900934511309</v>
      </c>
      <c r="BA154" s="173">
        <f ca="1">(VLOOKUP(BA$72,INDIRECT($C$5&amp;"生成成长"),2))/((VLOOKUP($B154,INDIRECT($B$5&amp;"生成成长"),4))/(VLOOKUP(BA$72,INDIRECT($C$5&amp;"生成成长"),5))*(VLOOKUP($B$5,标准坦克设计!$B$24:$U$30,MATCH("对"&amp;LEFT($C$5,2)&amp;"输出",标准坦克设计!$B$23:$U$23,0)))*(VLOOKUP($B154,INDIRECT($B$5&amp;"生成成长"),3))*(VLOOKUP($B$5,标准坦克设计!$B$14:$K$20,9)/30))</f>
        <v>2.9494023952406234</v>
      </c>
      <c r="BB154" s="173">
        <f ca="1">(VLOOKUP(BB$72,INDIRECT($C$5&amp;"生成成长"),2))/((VLOOKUP($B154,INDIRECT($B$5&amp;"生成成长"),4))/(VLOOKUP(BB$72,INDIRECT($C$5&amp;"生成成长"),5))*(VLOOKUP($B$5,标准坦克设计!$B$24:$U$30,MATCH("对"&amp;LEFT($C$5,2)&amp;"输出",标准坦克设计!$B$23:$U$23,0)))*(VLOOKUP($B154,INDIRECT($B$5&amp;"生成成长"),3))*(VLOOKUP($B$5,标准坦克设计!$B$14:$K$20,9)/30))</f>
        <v>3.255637414006193</v>
      </c>
      <c r="BC154" s="173">
        <f ca="1">(VLOOKUP(BC$72,INDIRECT($C$5&amp;"生成成长"),2))/((VLOOKUP($B154,INDIRECT($B$5&amp;"生成成长"),4))/(VLOOKUP(BC$72,INDIRECT($C$5&amp;"生成成长"),5))*(VLOOKUP($B$5,标准坦克设计!$B$24:$U$30,MATCH("对"&amp;LEFT($C$5,2)&amp;"输出",标准坦克设计!$B$23:$U$23,0)))*(VLOOKUP($B154,INDIRECT($B$5&amp;"生成成长"),3))*(VLOOKUP($B$5,标准坦克设计!$B$14:$K$20,9)/30))</f>
        <v>3.5769951497478409</v>
      </c>
      <c r="BD154" s="173">
        <f ca="1">(VLOOKUP(BD$72,INDIRECT($C$5&amp;"生成成长"),2))/((VLOOKUP($B154,INDIRECT($B$5&amp;"生成成长"),4))/(VLOOKUP(BD$72,INDIRECT($C$5&amp;"生成成长"),5))*(VLOOKUP($B$5,标准坦克设计!$B$24:$U$30,MATCH("对"&amp;LEFT($C$5,2)&amp;"输出",标准坦克设计!$B$23:$U$23,0)))*(VLOOKUP($B154,INDIRECT($B$5&amp;"生成成长"),3))*(VLOOKUP($B$5,标准坦克设计!$B$14:$K$20,9)/30))</f>
        <v>3.9565989750926631</v>
      </c>
      <c r="BE154" s="173">
        <f ca="1">(VLOOKUP(BE$72,INDIRECT($C$5&amp;"生成成长"),2))/((VLOOKUP($B154,INDIRECT($B$5&amp;"生成成长"),4))/(VLOOKUP(BE$72,INDIRECT($C$5&amp;"生成成长"),5))*(VLOOKUP($B$5,标准坦克设计!$B$24:$U$30,MATCH("对"&amp;LEFT($C$5,2)&amp;"输出",标准坦克设计!$B$23:$U$23,0)))*(VLOOKUP($B154,INDIRECT($B$5&amp;"生成成长"),3))*(VLOOKUP($B$5,标准坦克设计!$B$14:$K$20,9)/30))</f>
        <v>4.3553424891103321</v>
      </c>
      <c r="BF154" s="173">
        <f ca="1">(VLOOKUP(BF$72,INDIRECT($C$5&amp;"生成成长"),2))/((VLOOKUP($B154,INDIRECT($B$5&amp;"生成成长"),4))/(VLOOKUP(BF$72,INDIRECT($C$5&amp;"生成成长"),5))*(VLOOKUP($B$5,标准坦克设计!$B$24:$U$30,MATCH("对"&amp;LEFT($C$5,2)&amp;"输出",标准坦克设计!$B$23:$U$23,0)))*(VLOOKUP($B154,INDIRECT($B$5&amp;"生成成长"),3))*(VLOOKUP($B$5,标准坦克设计!$B$14:$K$20,9)/30))</f>
        <v>4.7732256918008495</v>
      </c>
      <c r="BG154" s="173">
        <f ca="1">(VLOOKUP(BG$72,INDIRECT($C$5&amp;"生成成长"),2))/((VLOOKUP($B154,INDIRECT($B$5&amp;"生成成长"),4))/(VLOOKUP(BG$72,INDIRECT($C$5&amp;"生成成长"),5))*(VLOOKUP($B$5,标准坦克设计!$B$24:$U$30,MATCH("对"&amp;LEFT($C$5,2)&amp;"输出",标准坦克设计!$B$23:$U$23,0)))*(VLOOKUP($B154,INDIRECT($B$5&amp;"生成成长"),3))*(VLOOKUP($B$5,标准坦克设计!$B$14:$K$20,9)/30))</f>
        <v>5.2102485831642156</v>
      </c>
      <c r="BH154" s="173">
        <f ca="1">(VLOOKUP(BH$72,INDIRECT($C$5&amp;"生成成长"),2))/((VLOOKUP($B154,INDIRECT($B$5&amp;"生成成长"),4))/(VLOOKUP(BH$72,INDIRECT($C$5&amp;"生成成长"),5))*(VLOOKUP($B$5,标准坦克设计!$B$24:$U$30,MATCH("对"&amp;LEFT($C$5,2)&amp;"输出",标准坦克设计!$B$23:$U$23,0)))*(VLOOKUP($B154,INDIRECT($B$5&amp;"生成成长"),3))*(VLOOKUP($B$5,标准坦克设计!$B$14:$K$20,9)/30))</f>
        <v>2.5184049614224131</v>
      </c>
      <c r="BI154" s="173">
        <f ca="1">(VLOOKUP(BI$72,INDIRECT($C$5&amp;"生成成长"),2))/((VLOOKUP($B154,INDIRECT($B$5&amp;"生成成长"),4))/(VLOOKUP(BI$72,INDIRECT($C$5&amp;"生成成长"),5))*(VLOOKUP($B$5,标准坦克设计!$B$24:$U$30,MATCH("对"&amp;LEFT($C$5,2)&amp;"输出",标准坦克设计!$B$23:$U$23,0)))*(VLOOKUP($B154,INDIRECT($B$5&amp;"生成成长"),3))*(VLOOKUP($B$5,标准坦克设计!$B$14:$K$20,9)/30))</f>
        <v>2.838463088673929</v>
      </c>
      <c r="BJ154" s="173">
        <f ca="1">(VLOOKUP(BJ$72,INDIRECT($C$5&amp;"生成成长"),2))/((VLOOKUP($B154,INDIRECT($B$5&amp;"生成成长"),4))/(VLOOKUP(BJ$72,INDIRECT($C$5&amp;"生成成长"),5))*(VLOOKUP($B$5,标准坦克设计!$B$24:$U$30,MATCH("对"&amp;LEFT($C$5,2)&amp;"输出",标准坦克设计!$B$23:$U$23,0)))*(VLOOKUP($B154,INDIRECT($B$5&amp;"生成成长"),3))*(VLOOKUP($B$5,标准坦克设计!$B$14:$K$20,9)/30))</f>
        <v>3.1776609045982935</v>
      </c>
      <c r="BK154" s="173">
        <f ca="1">(VLOOKUP(BK$72,INDIRECT($C$5&amp;"生成成长"),2))/((VLOOKUP($B154,INDIRECT($B$5&amp;"生成成长"),4))/(VLOOKUP(BK$72,INDIRECT($C$5&amp;"生成成长"),5))*(VLOOKUP($B$5,标准坦克设计!$B$24:$U$30,MATCH("对"&amp;LEFT($C$5,2)&amp;"输出",标准坦克设计!$B$23:$U$23,0)))*(VLOOKUP($B154,INDIRECT($B$5&amp;"生成成长"),3))*(VLOOKUP($B$5,标准坦克设计!$B$14:$K$20,9)/30))</f>
        <v>3.5359984091955061</v>
      </c>
      <c r="BL154" s="173">
        <f ca="1">(VLOOKUP(BL$72,INDIRECT($C$5&amp;"生成成长"),2))/((VLOOKUP($B154,INDIRECT($B$5&amp;"生成成长"),4))/(VLOOKUP(BL$72,INDIRECT($C$5&amp;"生成成长"),5))*(VLOOKUP($B$5,标准坦克设计!$B$24:$U$30,MATCH("对"&amp;LEFT($C$5,2)&amp;"输出",标准坦克设计!$B$23:$U$23,0)))*(VLOOKUP($B154,INDIRECT($B$5&amp;"生成成长"),3))*(VLOOKUP($B$5,标准坦克设计!$B$14:$K$20,9)/30))</f>
        <v>3.9134756024655668</v>
      </c>
      <c r="BM154" s="173">
        <f ca="1">(VLOOKUP(BM$72,INDIRECT($C$5&amp;"生成成长"),2))/((VLOOKUP($B154,INDIRECT($B$5&amp;"生成成长"),4))/(VLOOKUP(BM$72,INDIRECT($C$5&amp;"生成成长"),5))*(VLOOKUP($B$5,标准坦克设计!$B$24:$U$30,MATCH("对"&amp;LEFT($C$5,2)&amp;"输出",标准坦克设计!$B$23:$U$23,0)))*(VLOOKUP($B154,INDIRECT($B$5&amp;"生成成长"),3))*(VLOOKUP($B$5,标准坦克设计!$B$14:$K$20,9)/30))</f>
        <v>4.3100924844084751</v>
      </c>
      <c r="BN154" s="173">
        <f ca="1">(VLOOKUP(BN$72,INDIRECT($C$5&amp;"生成成长"),2))/((VLOOKUP($B154,INDIRECT($B$5&amp;"生成成长"),4))/(VLOOKUP(BN$72,INDIRECT($C$5&amp;"生成成长"),5))*(VLOOKUP($B$5,标准坦克设计!$B$24:$U$30,MATCH("对"&amp;LEFT($C$5,2)&amp;"输出",标准坦克设计!$B$23:$U$23,0)))*(VLOOKUP($B154,INDIRECT($B$5&amp;"生成成长"),3))*(VLOOKUP($B$5,标准坦克设计!$B$14:$K$20,9)/30))</f>
        <v>4.7258490550242325</v>
      </c>
      <c r="BO154" s="173">
        <f ca="1">(VLOOKUP(BO$72,INDIRECT($C$5&amp;"生成成长"),2))/((VLOOKUP($B154,INDIRECT($B$5&amp;"生成成长"),4))/(VLOOKUP(BO$72,INDIRECT($C$5&amp;"生成成长"),5))*(VLOOKUP($B$5,标准坦克设计!$B$24:$U$30,MATCH("对"&amp;LEFT($C$5,2)&amp;"输出",标准坦克设计!$B$23:$U$23,0)))*(VLOOKUP($B154,INDIRECT($B$5&amp;"生成成长"),3))*(VLOOKUP($B$5,标准坦克设计!$B$14:$K$20,9)/30))</f>
        <v>5.1607453143128375</v>
      </c>
      <c r="BP154" s="173">
        <f ca="1">(VLOOKUP(BP$72,INDIRECT($C$5&amp;"生成成长"),2))/((VLOOKUP($B154,INDIRECT($B$5&amp;"生成成长"),4))/(VLOOKUP(BP$72,INDIRECT($C$5&amp;"生成成长"),5))*(VLOOKUP($B$5,标准坦克设计!$B$24:$U$30,MATCH("对"&amp;LEFT($C$5,2)&amp;"输出",标准坦克设计!$B$23:$U$23,0)))*(VLOOKUP($B154,INDIRECT($B$5&amp;"生成成长"),3))*(VLOOKUP($B$5,标准坦克设计!$B$14:$K$20,9)/30))</f>
        <v>5.6147812622742901</v>
      </c>
      <c r="BQ154" s="173">
        <f ca="1">(VLOOKUP(BQ$72,INDIRECT($C$5&amp;"生成成长"),2))/((VLOOKUP($B154,INDIRECT($B$5&amp;"生成成长"),4))/(VLOOKUP(BQ$72,INDIRECT($C$5&amp;"生成成长"),5))*(VLOOKUP($B$5,标准坦克设计!$B$24:$U$30,MATCH("对"&amp;LEFT($C$5,2)&amp;"输出",标准坦克设计!$B$23:$U$23,0)))*(VLOOKUP($B154,INDIRECT($B$5&amp;"生成成长"),3))*(VLOOKUP($B$5,标准坦克设计!$B$14:$K$20,9)/30))</f>
        <v>6.0879568989085913</v>
      </c>
      <c r="BR154" s="173">
        <f ca="1">(VLOOKUP(BR$72,INDIRECT($C$5&amp;"生成成长"),2))/((VLOOKUP($B154,INDIRECT($B$5&amp;"生成成长"),4))/(VLOOKUP(BR$72,INDIRECT($C$5&amp;"生成成长"),5))*(VLOOKUP($B$5,标准坦克设计!$B$24:$U$30,MATCH("对"&amp;LEFT($C$5,2)&amp;"输出",标准坦克设计!$B$23:$U$23,0)))*(VLOOKUP($B154,INDIRECT($B$5&amp;"生成成长"),3))*(VLOOKUP($B$5,标准坦克设计!$B$14:$K$20,9)/30))</f>
        <v>6.6361553892914023</v>
      </c>
      <c r="BS154" s="173">
        <f ca="1">(VLOOKUP(BS$72,INDIRECT($C$5&amp;"生成成长"),2))/((VLOOKUP($B154,INDIRECT($B$5&amp;"生成成长"),4))/(VLOOKUP(BS$72,INDIRECT($C$5&amp;"生成成长"),5))*(VLOOKUP($B$5,标准坦克设计!$B$24:$U$30,MATCH("对"&amp;LEFT($C$5,2)&amp;"输出",标准坦克设计!$B$23:$U$23,0)))*(VLOOKUP($B154,INDIRECT($B$5&amp;"生成成长"),3))*(VLOOKUP($B$5,标准坦克设计!$B$14:$K$20,9)/30))</f>
        <v>7.207983124949334</v>
      </c>
      <c r="BT154" s="173">
        <f ca="1">(VLOOKUP(BT$72,INDIRECT($C$5&amp;"生成成长"),2))/((VLOOKUP($B154,INDIRECT($B$5&amp;"生成成长"),4))/(VLOOKUP(BT$72,INDIRECT($C$5&amp;"生成成长"),5))*(VLOOKUP($B$5,标准坦克设计!$B$24:$U$30,MATCH("对"&amp;LEFT($C$5,2)&amp;"输出",标准坦克设计!$B$23:$U$23,0)))*(VLOOKUP($B154,INDIRECT($B$5&amp;"生成成长"),3))*(VLOOKUP($B$5,标准坦克设计!$B$14:$K$20,9)/30))</f>
        <v>7.8034401058823866</v>
      </c>
      <c r="BU154" s="173">
        <f ca="1">(VLOOKUP(BU$72,INDIRECT($C$5&amp;"生成成长"),2))/((VLOOKUP($B154,INDIRECT($B$5&amp;"生成成长"),4))/(VLOOKUP(BU$72,INDIRECT($C$5&amp;"生成成长"),5))*(VLOOKUP($B$5,标准坦克设计!$B$24:$U$30,MATCH("对"&amp;LEFT($C$5,2)&amp;"输出",标准坦克设计!$B$23:$U$23,0)))*(VLOOKUP($B154,INDIRECT($B$5&amp;"生成成长"),3))*(VLOOKUP($B$5,标准坦克设计!$B$14:$K$20,9)/30))</f>
        <v>8.4225263320905608</v>
      </c>
      <c r="BV154" s="173">
        <f ca="1">(VLOOKUP(BV$72,INDIRECT($C$5&amp;"生成成长"),2))/((VLOOKUP($B154,INDIRECT($B$5&amp;"生成成长"),4))/(VLOOKUP(BV$72,INDIRECT($C$5&amp;"生成成长"),5))*(VLOOKUP($B$5,标准坦克设计!$B$24:$U$30,MATCH("对"&amp;LEFT($C$5,2)&amp;"输出",标准坦克设计!$B$23:$U$23,0)))*(VLOOKUP($B154,INDIRECT($B$5&amp;"生成成长"),3))*(VLOOKUP($B$5,标准坦克设计!$B$14:$K$20,9)/30))</f>
        <v>9.0652418035738567</v>
      </c>
      <c r="BW154" s="173">
        <f ca="1">(VLOOKUP(BW$72,INDIRECT($C$5&amp;"生成成长"),2))/((VLOOKUP($B154,INDIRECT($B$5&amp;"生成成长"),4))/(VLOOKUP(BW$72,INDIRECT($C$5&amp;"生成成长"),5))*(VLOOKUP($B$5,标准坦克设计!$B$24:$U$30,MATCH("对"&amp;LEFT($C$5,2)&amp;"输出",标准坦克设计!$B$23:$U$23,0)))*(VLOOKUP($B154,INDIRECT($B$5&amp;"生成成长"),3))*(VLOOKUP($B$5,标准坦克设计!$B$14:$K$20,9)/30))</f>
        <v>4.1314553901285596</v>
      </c>
      <c r="BX154" s="173">
        <f ca="1">(VLOOKUP(BX$72,INDIRECT($C$5&amp;"生成成长"),2))/((VLOOKUP($B154,INDIRECT($B$5&amp;"生成成长"),4))/(VLOOKUP(BX$72,INDIRECT($C$5&amp;"生成成长"),5))*(VLOOKUP($B$5,标准坦克设计!$B$24:$U$30,MATCH("对"&amp;LEFT($C$5,2)&amp;"输出",标准坦克设计!$B$23:$U$23,0)))*(VLOOKUP($B154,INDIRECT($B$5&amp;"生成成长"),3))*(VLOOKUP($B$5,标准坦克设计!$B$14:$K$20,9)/30))</f>
        <v>4.5851368994108848</v>
      </c>
      <c r="BY154" s="173">
        <f ca="1">(VLOOKUP(BY$72,INDIRECT($C$5&amp;"生成成长"),2))/((VLOOKUP($B154,INDIRECT($B$5&amp;"生成成长"),4))/(VLOOKUP(BY$72,INDIRECT($C$5&amp;"生成成长"),5))*(VLOOKUP($B$5,标准坦克设计!$B$24:$U$30,MATCH("对"&amp;LEFT($C$5,2)&amp;"输出",标准坦克设计!$B$23:$U$23,0)))*(VLOOKUP($B154,INDIRECT($B$5&amp;"生成成长"),3))*(VLOOKUP($B$5,标准坦克设计!$B$14:$K$20,9)/30))</f>
        <v>5.0624476539683334</v>
      </c>
      <c r="BZ154" s="173">
        <f ca="1">(VLOOKUP(BZ$72,INDIRECT($C$5&amp;"生成成长"),2))/((VLOOKUP($B154,INDIRECT($B$5&amp;"生成成长"),4))/(VLOOKUP(BZ$72,INDIRECT($C$5&amp;"生成成长"),5))*(VLOOKUP($B$5,标准坦克设计!$B$24:$U$30,MATCH("对"&amp;LEFT($C$5,2)&amp;"输出",标准坦克设计!$B$23:$U$23,0)))*(VLOOKUP($B154,INDIRECT($B$5&amp;"生成成长"),3))*(VLOOKUP($B$5,标准坦克设计!$B$14:$K$20,9)/30))</f>
        <v>5.5633876538009019</v>
      </c>
      <c r="CA154" s="173">
        <f ca="1">(VLOOKUP(CA$72,INDIRECT($C$5&amp;"生成成长"),2))/((VLOOKUP($B154,INDIRECT($B$5&amp;"生成成长"),4))/(VLOOKUP(CA$72,INDIRECT($C$5&amp;"生成成长"),5))*(VLOOKUP($B$5,标准坦克设计!$B$24:$U$30,MATCH("对"&amp;LEFT($C$5,2)&amp;"输出",标准坦克设计!$B$23:$U$23,0)))*(VLOOKUP($B154,INDIRECT($B$5&amp;"生成成长"),3))*(VLOOKUP($B$5,标准坦克设计!$B$14:$K$20,9)/30))</f>
        <v>6.0879568989085913</v>
      </c>
      <c r="CB154" s="173">
        <f ca="1">(VLOOKUP(CB$72,INDIRECT($C$5&amp;"生成成长"),2))/((VLOOKUP($B154,INDIRECT($B$5&amp;"生成成长"),4))/(VLOOKUP(CB$72,INDIRECT($C$5&amp;"生成成长"),5))*(VLOOKUP($B$5,标准坦克设计!$B$24:$U$30,MATCH("对"&amp;LEFT($C$5,2)&amp;"输出",标准坦克设计!$B$23:$U$23,0)))*(VLOOKUP($B154,INDIRECT($B$5&amp;"生成成长"),3))*(VLOOKUP($B$5,标准坦克设计!$B$14:$K$20,9)/30))</f>
        <v>6.6361553892914023</v>
      </c>
      <c r="CC154" s="173">
        <f ca="1">(VLOOKUP(CC$72,INDIRECT($C$5&amp;"生成成长"),2))/((VLOOKUP($B154,INDIRECT($B$5&amp;"生成成长"),4))/(VLOOKUP(CC$72,INDIRECT($C$5&amp;"生成成长"),5))*(VLOOKUP($B$5,标准坦克设计!$B$24:$U$30,MATCH("对"&amp;LEFT($C$5,2)&amp;"输出",标准坦克设计!$B$23:$U$23,0)))*(VLOOKUP($B154,INDIRECT($B$5&amp;"生成成长"),3))*(VLOOKUP($B$5,标准坦克设计!$B$14:$K$20,9)/30))</f>
        <v>7.207983124949334</v>
      </c>
      <c r="CD154" s="173">
        <f ca="1">(VLOOKUP(CD$72,INDIRECT($C$5&amp;"生成成长"),2))/((VLOOKUP($B154,INDIRECT($B$5&amp;"生成成长"),4))/(VLOOKUP(CD$72,INDIRECT($C$5&amp;"生成成长"),5))*(VLOOKUP($B$5,标准坦克设计!$B$24:$U$30,MATCH("对"&amp;LEFT($C$5,2)&amp;"输出",标准坦克设计!$B$23:$U$23,0)))*(VLOOKUP($B154,INDIRECT($B$5&amp;"生成成长"),3))*(VLOOKUP($B$5,标准坦克设计!$B$14:$K$20,9)/30))</f>
        <v>7.8034401058823866</v>
      </c>
      <c r="CE154" s="173">
        <f ca="1">(VLOOKUP(CE$72,INDIRECT($C$5&amp;"生成成长"),2))/((VLOOKUP($B154,INDIRECT($B$5&amp;"生成成长"),4))/(VLOOKUP(CE$72,INDIRECT($C$5&amp;"生成成长"),5))*(VLOOKUP($B$5,标准坦克设计!$B$24:$U$30,MATCH("对"&amp;LEFT($C$5,2)&amp;"输出",标准坦克设计!$B$23:$U$23,0)))*(VLOOKUP($B154,INDIRECT($B$5&amp;"生成成长"),3))*(VLOOKUP($B$5,标准坦克设计!$B$14:$K$20,9)/30))</f>
        <v>8.4225263320905608</v>
      </c>
      <c r="CF154" s="173">
        <f ca="1">(VLOOKUP(CF$72,INDIRECT($C$5&amp;"生成成长"),2))/((VLOOKUP($B154,INDIRECT($B$5&amp;"生成成长"),4))/(VLOOKUP(CF$72,INDIRECT($C$5&amp;"生成成长"),5))*(VLOOKUP($B$5,标准坦克设计!$B$24:$U$30,MATCH("对"&amp;LEFT($C$5,2)&amp;"输出",标准坦克设计!$B$23:$U$23,0)))*(VLOOKUP($B154,INDIRECT($B$5&amp;"生成成长"),3))*(VLOOKUP($B$5,标准坦克设计!$B$14:$K$20,9)/30))</f>
        <v>9.0652418035738567</v>
      </c>
      <c r="CG154" s="173">
        <f ca="1">(VLOOKUP(CG$72,INDIRECT($C$5&amp;"生成成长"),2))/((VLOOKUP($B154,INDIRECT($B$5&amp;"生成成长"),4))/(VLOOKUP(CG$72,INDIRECT($C$5&amp;"生成成长"),5))*(VLOOKUP($B$5,标准坦克设计!$B$24:$U$30,MATCH("对"&amp;LEFT($C$5,2)&amp;"输出",标准坦克设计!$B$23:$U$23,0)))*(VLOOKUP($B154,INDIRECT($B$5&amp;"生成成长"),3))*(VLOOKUP($B$5,标准坦克设计!$B$14:$K$20,9)/30))</f>
        <v>9.7315865203322751</v>
      </c>
      <c r="CH154" s="173">
        <f ca="1">(VLOOKUP(CH$72,INDIRECT($C$5&amp;"生成成长"),2))/((VLOOKUP($B154,INDIRECT($B$5&amp;"生成成长"),4))/(VLOOKUP(CH$72,INDIRECT($C$5&amp;"生成成长"),5))*(VLOOKUP($B$5,标准坦克设计!$B$24:$U$30,MATCH("对"&amp;LEFT($C$5,2)&amp;"输出",标准坦克设计!$B$23:$U$23,0)))*(VLOOKUP($B154,INDIRECT($B$5&amp;"生成成长"),3))*(VLOOKUP($B$5,标准坦克设计!$B$14:$K$20,9)/30))</f>
        <v>10.421560482365813</v>
      </c>
      <c r="CI154" s="173">
        <f ca="1">(VLOOKUP(CI$72,INDIRECT($C$5&amp;"生成成长"),2))/((VLOOKUP($B154,INDIRECT($B$5&amp;"生成成长"),4))/(VLOOKUP(CI$72,INDIRECT($C$5&amp;"生成成长"),5))*(VLOOKUP($B$5,标准坦克设计!$B$24:$U$30,MATCH("对"&amp;LEFT($C$5,2)&amp;"输出",标准坦克设计!$B$23:$U$23,0)))*(VLOOKUP($B154,INDIRECT($B$5&amp;"生成成长"),3))*(VLOOKUP($B$5,标准坦克设计!$B$14:$K$20,9)/30))</f>
        <v>11.207823618895469</v>
      </c>
      <c r="CJ154" s="173">
        <f ca="1">(VLOOKUP(CJ$72,INDIRECT($C$5&amp;"生成成长"),2))/((VLOOKUP($B154,INDIRECT($B$5&amp;"生成成长"),4))/(VLOOKUP(CJ$72,INDIRECT($C$5&amp;"生成成长"),5))*(VLOOKUP($B$5,标准坦克设计!$B$24:$U$30,MATCH("对"&amp;LEFT($C$5,2)&amp;"输出",标准坦克设计!$B$23:$U$23,0)))*(VLOOKUP($B154,INDIRECT($B$5&amp;"生成成长"),3))*(VLOOKUP($B$5,标准坦克设计!$B$14:$K$20,9)/30))</f>
        <v>12.022678142208022</v>
      </c>
      <c r="CK154" s="173">
        <f ca="1">(VLOOKUP(CK$72,INDIRECT($C$5&amp;"生成成长"),2))/((VLOOKUP($B154,INDIRECT($B$5&amp;"生成成长"),4))/(VLOOKUP(CK$72,INDIRECT($C$5&amp;"生成成长"),5))*(VLOOKUP($B$5,标准坦克设计!$B$24:$U$30,MATCH("对"&amp;LEFT($C$5,2)&amp;"输出",标准坦克设计!$B$23:$U$23,0)))*(VLOOKUP($B154,INDIRECT($B$5&amp;"生成成长"),3))*(VLOOKUP($B$5,标准坦克设计!$B$14:$K$20,9)/30))</f>
        <v>12.866124052303473</v>
      </c>
      <c r="CL154" s="173">
        <f ca="1">(VLOOKUP(CL$72,INDIRECT($C$5&amp;"生成成长"),2))/((VLOOKUP($B154,INDIRECT($B$5&amp;"生成成长"),4))/(VLOOKUP(CL$72,INDIRECT($C$5&amp;"生成成长"),5))*(VLOOKUP($B$5,标准坦克设计!$B$24:$U$30,MATCH("对"&amp;LEFT($C$5,2)&amp;"输出",标准坦克设计!$B$23:$U$23,0)))*(VLOOKUP($B154,INDIRECT($B$5&amp;"生成成长"),3))*(VLOOKUP($B$5,标准坦克设计!$B$14:$K$20,9)/30))</f>
        <v>13.738161349181818</v>
      </c>
      <c r="CM154" s="173">
        <f ca="1">(VLOOKUP(CM$72,INDIRECT($C$5&amp;"生成成长"),2))/((VLOOKUP($B154,INDIRECT($B$5&amp;"生成成长"),4))/(VLOOKUP(CM$72,INDIRECT($C$5&amp;"生成成长"),5))*(VLOOKUP($B$5,标准坦克设计!$B$24:$U$30,MATCH("对"&amp;LEFT($C$5,2)&amp;"输出",标准坦克设计!$B$23:$U$23,0)))*(VLOOKUP($B154,INDIRECT($B$5&amp;"生成成长"),3))*(VLOOKUP($B$5,标准坦克设计!$B$14:$K$20,9)/30))</f>
        <v>14.638790032843056</v>
      </c>
      <c r="CN154" s="173">
        <f ca="1">(VLOOKUP(CN$72,INDIRECT($C$5&amp;"生成成长"),2))/((VLOOKUP($B154,INDIRECT($B$5&amp;"生成成长"),4))/(VLOOKUP(CN$72,INDIRECT($C$5&amp;"生成成长"),5))*(VLOOKUP($B$5,标准坦克设计!$B$24:$U$30,MATCH("对"&amp;LEFT($C$5,2)&amp;"输出",标准坦克设计!$B$23:$U$23,0)))*(VLOOKUP($B154,INDIRECT($B$5&amp;"生成成长"),3))*(VLOOKUP($B$5,标准坦克设计!$B$14:$K$20,9)/30))</f>
        <v>15.5680101032872</v>
      </c>
      <c r="CO154" s="173">
        <f ca="1">(VLOOKUP(CO$72,INDIRECT($C$5&amp;"生成成长"),2))/((VLOOKUP($B154,INDIRECT($B$5&amp;"生成成长"),4))/(VLOOKUP(CO$72,INDIRECT($C$5&amp;"生成成长"),5))*(VLOOKUP($B$5,标准坦克设计!$B$24:$U$30,MATCH("对"&amp;LEFT($C$5,2)&amp;"输出",标准坦克设计!$B$23:$U$23,0)))*(VLOOKUP($B154,INDIRECT($B$5&amp;"生成成长"),3))*(VLOOKUP($B$5,标准坦克设计!$B$14:$K$20,9)/30))</f>
        <v>6.9764165212531477</v>
      </c>
      <c r="CP154" s="173">
        <f ca="1">(VLOOKUP(CP$72,INDIRECT($C$5&amp;"生成成长"),2))/((VLOOKUP($B154,INDIRECT($B$5&amp;"生成成长"),4))/(VLOOKUP(CP$72,INDIRECT($C$5&amp;"生成成长"),5))*(VLOOKUP($B$5,标准坦克设计!$B$24:$U$30,MATCH("对"&amp;LEFT($C$5,2)&amp;"输出",标准坦克设计!$B$23:$U$23,0)))*(VLOOKUP($B154,INDIRECT($B$5&amp;"生成成长"),3))*(VLOOKUP($B$5,标准坦克设计!$B$14:$K$20,9)/30))</f>
        <v>7.6223219408485843</v>
      </c>
      <c r="CQ154" s="173">
        <f ca="1">(VLOOKUP(CQ$72,INDIRECT($C$5&amp;"生成成长"),2))/((VLOOKUP($B154,INDIRECT($B$5&amp;"生成成长"),4))/(VLOOKUP(CQ$72,INDIRECT($C$5&amp;"生成成长"),5))*(VLOOKUP($B$5,标准坦克设计!$B$24:$U$30,MATCH("对"&amp;LEFT($C$5,2)&amp;"输出",标准坦克设计!$B$23:$U$23,0)))*(VLOOKUP($B154,INDIRECT($B$5&amp;"生成成长"),3))*(VLOOKUP($B$5,标准坦克设计!$B$14:$K$20,9)/30))</f>
        <v>8.2968187472269168</v>
      </c>
      <c r="CR154" s="173">
        <f ca="1">(VLOOKUP(CR$72,INDIRECT($C$5&amp;"生成成长"),2))/((VLOOKUP($B154,INDIRECT($B$5&amp;"生成成长"),4))/(VLOOKUP(CR$72,INDIRECT($C$5&amp;"生成成长"),5))*(VLOOKUP($B$5,标准坦克设计!$B$24:$U$30,MATCH("对"&amp;LEFT($C$5,2)&amp;"输出",标准坦克设计!$B$23:$U$23,0)))*(VLOOKUP($B154,INDIRECT($B$5&amp;"生成成长"),3))*(VLOOKUP($B$5,标准坦克设计!$B$14:$K$20,9)/30))</f>
        <v>8.9999069403881471</v>
      </c>
      <c r="CS154" s="173">
        <f ca="1">(VLOOKUP(CS$72,INDIRECT($C$5&amp;"生成成长"),2))/((VLOOKUP($B154,INDIRECT($B$5&amp;"生成成长"),4))/(VLOOKUP(CS$72,INDIRECT($C$5&amp;"生成成长"),5))*(VLOOKUP($B$5,标准坦克设计!$B$24:$U$30,MATCH("对"&amp;LEFT($C$5,2)&amp;"输出",标准坦克设计!$B$23:$U$23,0)))*(VLOOKUP($B154,INDIRECT($B$5&amp;"生成成长"),3))*(VLOOKUP($B$5,标准坦克设计!$B$14:$K$20,9)/30))</f>
        <v>9.7315865203322751</v>
      </c>
      <c r="CT154" s="173">
        <f ca="1">(VLOOKUP(CT$72,INDIRECT($C$5&amp;"生成成长"),2))/((VLOOKUP($B154,INDIRECT($B$5&amp;"生成成长"),4))/(VLOOKUP(CT$72,INDIRECT($C$5&amp;"生成成长"),5))*(VLOOKUP($B$5,标准坦克设计!$B$24:$U$30,MATCH("对"&amp;LEFT($C$5,2)&amp;"输出",标准坦克设计!$B$23:$U$23,0)))*(VLOOKUP($B154,INDIRECT($B$5&amp;"生成成长"),3))*(VLOOKUP($B$5,标准坦克设计!$B$14:$K$20,9)/30))</f>
        <v>10.491857487059296</v>
      </c>
      <c r="CU154" s="173">
        <f ca="1">(VLOOKUP(CU$72,INDIRECT($C$5&amp;"生成成长"),2))/((VLOOKUP($B154,INDIRECT($B$5&amp;"生成成长"),4))/(VLOOKUP(CU$72,INDIRECT($C$5&amp;"生成成长"),5))*(VLOOKUP($B$5,标准坦克设计!$B$24:$U$30,MATCH("对"&amp;LEFT($C$5,2)&amp;"输出",标准坦克设计!$B$23:$U$23,0)))*(VLOOKUP($B154,INDIRECT($B$5&amp;"生成成长"),3))*(VLOOKUP($B$5,标准坦克设计!$B$14:$K$20,9)/30))</f>
        <v>11.280719840569217</v>
      </c>
      <c r="CV154" s="173">
        <f ca="1">(VLOOKUP(CV$72,INDIRECT($C$5&amp;"生成成长"),2))/((VLOOKUP($B154,INDIRECT($B$5&amp;"生成成长"),4))/(VLOOKUP(CV$72,INDIRECT($C$5&amp;"生成成长"),5))*(VLOOKUP($B$5,标准坦克设计!$B$24:$U$30,MATCH("对"&amp;LEFT($C$5,2)&amp;"输出",标准坦克设计!$B$23:$U$23,0)))*(VLOOKUP($B154,INDIRECT($B$5&amp;"生成成长"),3))*(VLOOKUP($B$5,标准坦克设计!$B$14:$K$20,9)/30))</f>
        <v>12.098173580862035</v>
      </c>
      <c r="CW154" s="173">
        <f ca="1">(VLOOKUP(CW$72,INDIRECT($C$5&amp;"生成成长"),2))/((VLOOKUP($B154,INDIRECT($B$5&amp;"生成成长"),4))/(VLOOKUP(CW$72,INDIRECT($C$5&amp;"生成成长"),5))*(VLOOKUP($B$5,标准坦克设计!$B$24:$U$30,MATCH("对"&amp;LEFT($C$5,2)&amp;"输出",标准坦克设计!$B$23:$U$23,0)))*(VLOOKUP($B154,INDIRECT($B$5&amp;"生成成长"),3))*(VLOOKUP($B$5,标准坦克设计!$B$14:$K$20,9)/30))</f>
        <v>12.944218707937749</v>
      </c>
      <c r="CX154" s="173">
        <f ca="1">(VLOOKUP(CX$72,INDIRECT($C$5&amp;"生成成长"),2))/((VLOOKUP($B154,INDIRECT($B$5&amp;"生成成长"),4))/(VLOOKUP(CX$72,INDIRECT($C$5&amp;"生成成长"),5))*(VLOOKUP($B$5,标准坦克设计!$B$24:$U$30,MATCH("对"&amp;LEFT($C$5,2)&amp;"输出",标准坦克设计!$B$23:$U$23,0)))*(VLOOKUP($B154,INDIRECT($B$5&amp;"生成成长"),3))*(VLOOKUP($B$5,标准坦克设计!$B$14:$K$20,9)/30))</f>
        <v>13.818855221796358</v>
      </c>
      <c r="CY154" s="173">
        <f ca="1">(VLOOKUP(CY$72,INDIRECT($C$5&amp;"生成成长"),2))/((VLOOKUP($B154,INDIRECT($B$5&amp;"生成成长"),4))/(VLOOKUP(CY$72,INDIRECT($C$5&amp;"生成成长"),5))*(VLOOKUP($B$5,标准坦克设计!$B$24:$U$30,MATCH("对"&amp;LEFT($C$5,2)&amp;"输出",标准坦克设计!$B$23:$U$23,0)))*(VLOOKUP($B154,INDIRECT($B$5&amp;"生成成长"),3))*(VLOOKUP($B$5,标准坦克设计!$B$14:$K$20,9)/30))</f>
        <v>14.722083122437864</v>
      </c>
      <c r="CZ154" s="173">
        <f ca="1">(VLOOKUP(CZ$72,INDIRECT($C$5&amp;"生成成长"),2))/((VLOOKUP($B154,INDIRECT($B$5&amp;"生成成长"),4))/(VLOOKUP(CZ$72,INDIRECT($C$5&amp;"生成成长"),5))*(VLOOKUP($B$5,标准坦克设计!$B$24:$U$30,MATCH("对"&amp;LEFT($C$5,2)&amp;"输出",标准坦克设计!$B$23:$U$23,0)))*(VLOOKUP($B154,INDIRECT($B$5&amp;"生成成长"),3))*(VLOOKUP($B$5,标准坦克设计!$B$14:$K$20,9)/30))</f>
        <v>15.653902409862267</v>
      </c>
      <c r="DA154" s="173">
        <f ca="1">(VLOOKUP(DA$72,INDIRECT($C$5&amp;"生成成长"),2))/((VLOOKUP($B154,INDIRECT($B$5&amp;"生成成长"),4))/(VLOOKUP(DA$72,INDIRECT($C$5&amp;"生成成长"),5))*(VLOOKUP($B$5,标准坦克设计!$B$24:$U$30,MATCH("对"&amp;LEFT($C$5,2)&amp;"输出",标准坦克设计!$B$23:$U$23,0)))*(VLOOKUP($B154,INDIRECT($B$5&amp;"生成成长"),3))*(VLOOKUP($B$5,标准坦克设计!$B$14:$K$20,9)/30))</f>
        <v>16.614313084069565</v>
      </c>
      <c r="DB154" s="173">
        <f ca="1">(VLOOKUP(DB$72,INDIRECT($C$5&amp;"生成成长"),2))/((VLOOKUP($B154,INDIRECT($B$5&amp;"生成成长"),4))/(VLOOKUP(DB$72,INDIRECT($C$5&amp;"生成成长"),5))*(VLOOKUP($B$5,标准坦克设计!$B$24:$U$30,MATCH("对"&amp;LEFT($C$5,2)&amp;"输出",标准坦克设计!$B$23:$U$23,0)))*(VLOOKUP($B154,INDIRECT($B$5&amp;"生成成长"),3))*(VLOOKUP($B$5,标准坦克设计!$B$14:$K$20,9)/30))</f>
        <v>17.603315145059764</v>
      </c>
      <c r="DC154" s="173">
        <f ca="1">(VLOOKUP(DC$72,INDIRECT($C$5&amp;"生成成长"),2))/((VLOOKUP($B154,INDIRECT($B$5&amp;"生成成长"),4))/(VLOOKUP(DC$72,INDIRECT($C$5&amp;"生成成长"),5))*(VLOOKUP($B$5,标准坦克设计!$B$24:$U$30,MATCH("对"&amp;LEFT($C$5,2)&amp;"输出",标准坦克设计!$B$23:$U$23,0)))*(VLOOKUP($B154,INDIRECT($B$5&amp;"生成成长"),3))*(VLOOKUP($B$5,标准坦克设计!$B$14:$K$20,9)/30))</f>
        <v>18.714834842801462</v>
      </c>
      <c r="DD154" s="173">
        <f ca="1">(VLOOKUP(DD$72,INDIRECT($C$5&amp;"生成成长"),2))/((VLOOKUP($B154,INDIRECT($B$5&amp;"生成成长"),4))/(VLOOKUP(DD$72,INDIRECT($C$5&amp;"生成成长"),5))*(VLOOKUP($B$5,标准坦克设计!$B$24:$U$30,MATCH("对"&amp;LEFT($C$5,2)&amp;"输出",标准坦克设计!$B$23:$U$23,0)))*(VLOOKUP($B154,INDIRECT($B$5&amp;"生成成长"),3))*(VLOOKUP($B$5,标准坦克设计!$B$14:$K$20,9)/30))</f>
        <v>19.860380653739334</v>
      </c>
      <c r="DE154" s="173">
        <f ca="1">(VLOOKUP(DE$72,INDIRECT($C$5&amp;"生成成长"),2))/((VLOOKUP($B154,INDIRECT($B$5&amp;"生成成长"),4))/(VLOOKUP(DE$72,INDIRECT($C$5&amp;"生成成长"),5))*(VLOOKUP($B$5,标准坦克设计!$B$24:$U$30,MATCH("对"&amp;LEFT($C$5,2)&amp;"输出",标准坦克设计!$B$23:$U$23,0)))*(VLOOKUP($B154,INDIRECT($B$5&amp;"生成成长"),3))*(VLOOKUP($B$5,标准坦克设计!$B$14:$K$20,9)/30))</f>
        <v>21.039952577873382</v>
      </c>
      <c r="DF154" s="173">
        <f ca="1">(VLOOKUP(DF$72,INDIRECT($C$5&amp;"生成成长"),2))/((VLOOKUP($B154,INDIRECT($B$5&amp;"生成成长"),4))/(VLOOKUP(DF$72,INDIRECT($C$5&amp;"生成成长"),5))*(VLOOKUP($B$5,标准坦克设计!$B$24:$U$30,MATCH("对"&amp;LEFT($C$5,2)&amp;"输出",标准坦克设计!$B$23:$U$23,0)))*(VLOOKUP($B154,INDIRECT($B$5&amp;"生成成长"),3))*(VLOOKUP($B$5,标准坦克设计!$B$14:$K$20,9)/30))</f>
        <v>22.253550615203608</v>
      </c>
      <c r="DG154" s="173">
        <f ca="1">(VLOOKUP(DG$72,INDIRECT($C$5&amp;"生成成长"),2))/((VLOOKUP($B154,INDIRECT($B$5&amp;"生成成长"),4))/(VLOOKUP(DG$72,INDIRECT($C$5&amp;"生成成长"),5))*(VLOOKUP($B$5,标准坦克设计!$B$24:$U$30,MATCH("对"&amp;LEFT($C$5,2)&amp;"输出",标准坦克设计!$B$23:$U$23,0)))*(VLOOKUP($B154,INDIRECT($B$5&amp;"生成成长"),3))*(VLOOKUP($B$5,标准坦克设计!$B$14:$K$20,9)/30))</f>
        <v>23.501174765730003</v>
      </c>
      <c r="DH154" s="173">
        <f ca="1">(VLOOKUP(DH$72,INDIRECT($C$5&amp;"生成成长"),2))/((VLOOKUP($B154,INDIRECT($B$5&amp;"生成成长"),4))/(VLOOKUP(DH$72,INDIRECT($C$5&amp;"生成成长"),5))*(VLOOKUP($B$5,标准坦克设计!$B$24:$U$30,MATCH("对"&amp;LEFT($C$5,2)&amp;"输出",标准坦克设计!$B$23:$U$23,0)))*(VLOOKUP($B154,INDIRECT($B$5&amp;"生成成长"),3))*(VLOOKUP($B$5,标准坦克设计!$B$14:$K$20,9)/30))</f>
        <v>24.782825029452578</v>
      </c>
      <c r="DI154" s="173">
        <f ca="1">(VLOOKUP(DI$72,INDIRECT($C$5&amp;"生成成长"),2))/((VLOOKUP($B154,INDIRECT($B$5&amp;"生成成长"),4))/(VLOOKUP(DI$72,INDIRECT($C$5&amp;"生成成长"),5))*(VLOOKUP($B$5,标准坦克设计!$B$24:$U$30,MATCH("对"&amp;LEFT($C$5,2)&amp;"输出",标准坦克设计!$B$23:$U$23,0)))*(VLOOKUP($B154,INDIRECT($B$5&amp;"生成成长"),3))*(VLOOKUP($B$5,标准坦克设计!$B$14:$K$20,9)/30))</f>
        <v>26.098501406371316</v>
      </c>
      <c r="DJ154" s="173">
        <f ca="1">(VLOOKUP(DJ$72,INDIRECT($C$5&amp;"生成成长"),2))/((VLOOKUP($B154,INDIRECT($B$5&amp;"生成成长"),4))/(VLOOKUP(DJ$72,INDIRECT($C$5&amp;"生成成长"),5))*(VLOOKUP($B$5,标准坦克设计!$B$24:$U$30,MATCH("对"&amp;LEFT($C$5,2)&amp;"输出",标准坦克设计!$B$23:$U$23,0)))*(VLOOKUP($B154,INDIRECT($B$5&amp;"生成成长"),3))*(VLOOKUP($B$5,标准坦克设计!$B$14:$K$20,9)/30))</f>
        <v>2.6229643717648239</v>
      </c>
      <c r="DK154" s="173">
        <f ca="1">(VLOOKUP(DK$72,INDIRECT($C$5&amp;"生成成长"),2))/((VLOOKUP($B154,INDIRECT($B$5&amp;"生成成长"),4))/(VLOOKUP(DK$72,INDIRECT($C$5&amp;"生成成长"),5))*(VLOOKUP($B$5,标准坦克设计!$B$24:$U$30,MATCH("对"&amp;LEFT($C$5,2)&amp;"输出",标准坦克设计!$B$23:$U$23,0)))*(VLOOKUP($B154,INDIRECT($B$5&amp;"生成成长"),3))*(VLOOKUP($B$5,标准坦克设计!$B$14:$K$20,9)/30))</f>
        <v>2.9494023952406234</v>
      </c>
      <c r="DL154" s="173">
        <f ca="1">(VLOOKUP(DL$72,INDIRECT($C$5&amp;"生成成长"),2))/((VLOOKUP($B154,INDIRECT($B$5&amp;"生成成长"),4))/(VLOOKUP(DL$72,INDIRECT($C$5&amp;"生成成长"),5))*(VLOOKUP($B$5,标准坦克设计!$B$24:$U$30,MATCH("对"&amp;LEFT($C$5,2)&amp;"输出",标准坦克设计!$B$23:$U$23,0)))*(VLOOKUP($B154,INDIRECT($B$5&amp;"生成成长"),3))*(VLOOKUP($B$5,标准坦克设计!$B$14:$K$20,9)/30))</f>
        <v>3.2949801073892697</v>
      </c>
      <c r="DM154" s="173">
        <f ca="1">(VLOOKUP(DM$72,INDIRECT($C$5&amp;"生成成长"),2))/((VLOOKUP($B154,INDIRECT($B$5&amp;"生成成长"),4))/(VLOOKUP(DM$72,INDIRECT($C$5&amp;"生成成长"),5))*(VLOOKUP($B$5,标准坦克设计!$B$24:$U$30,MATCH("对"&amp;LEFT($C$5,2)&amp;"输出",标准坦克设计!$B$23:$U$23,0)))*(VLOOKUP($B154,INDIRECT($B$5&amp;"生成成长"),3))*(VLOOKUP($B$5,标准坦克设计!$B$14:$K$20,9)/30))</f>
        <v>3.6596975082107641</v>
      </c>
      <c r="DN154" s="173">
        <f ca="1">(VLOOKUP(DN$72,INDIRECT($C$5&amp;"生成成长"),2))/((VLOOKUP($B154,INDIRECT($B$5&amp;"生成成长"),4))/(VLOOKUP(DN$72,INDIRECT($C$5&amp;"生成成长"),5))*(VLOOKUP($B$5,标准坦克设计!$B$24:$U$30,MATCH("对"&amp;LEFT($C$5,2)&amp;"输出",标准坦克设计!$B$23:$U$23,0)))*(VLOOKUP($B154,INDIRECT($B$5&amp;"生成成长"),3))*(VLOOKUP($B$5,标准坦克设计!$B$14:$K$20,9)/30))</f>
        <v>4.0435545977051079</v>
      </c>
      <c r="DO154" s="173">
        <f ca="1">(VLOOKUP(DO$72,INDIRECT($C$5&amp;"生成成长"),2))/((VLOOKUP($B154,INDIRECT($B$5&amp;"生成成长"),4))/(VLOOKUP(DO$72,INDIRECT($C$5&amp;"生成成长"),5))*(VLOOKUP($B$5,标准坦克设计!$B$24:$U$30,MATCH("对"&amp;LEFT($C$5,2)&amp;"输出",标准坦克设计!$B$23:$U$23,0)))*(VLOOKUP($B154,INDIRECT($B$5&amp;"生成成长"),3))*(VLOOKUP($B$5,标准坦克设计!$B$14:$K$20,9)/30))</f>
        <v>4.4465513758722999</v>
      </c>
      <c r="DP154" s="173">
        <f ca="1">(VLOOKUP(DP$72,INDIRECT($C$5&amp;"生成成长"),2))/((VLOOKUP($B154,INDIRECT($B$5&amp;"生成成长"),4))/(VLOOKUP(DP$72,INDIRECT($C$5&amp;"生成成长"),5))*(VLOOKUP($B$5,标准坦克设计!$B$24:$U$30,MATCH("对"&amp;LEFT($C$5,2)&amp;"输出",标准坦克设计!$B$23:$U$23,0)))*(VLOOKUP($B154,INDIRECT($B$5&amp;"生成成长"),3))*(VLOOKUP($B$5,标准坦克设计!$B$14:$K$20,9)/30))</f>
        <v>4.8686878427123395</v>
      </c>
      <c r="DQ154" s="173">
        <f ca="1">(VLOOKUP(DQ$72,INDIRECT($C$5&amp;"生成成长"),2))/((VLOOKUP($B154,INDIRECT($B$5&amp;"生成成长"),4))/(VLOOKUP(DQ$72,INDIRECT($C$5&amp;"生成成长"),5))*(VLOOKUP($B$5,标准坦克设计!$B$24:$U$30,MATCH("对"&amp;LEFT($C$5,2)&amp;"输出",标准坦克设计!$B$23:$U$23,0)))*(VLOOKUP($B154,INDIRECT($B$5&amp;"生成成长"),3))*(VLOOKUP($B$5,标准坦克设计!$B$14:$K$20,9)/30))</f>
        <v>5.3099639982252267</v>
      </c>
      <c r="DR154" s="173">
        <f ca="1">(VLOOKUP(DR$72,INDIRECT($C$5&amp;"生成成长"),2))/((VLOOKUP($B154,INDIRECT($B$5&amp;"生成成长"),4))/(VLOOKUP(DR$72,INDIRECT($C$5&amp;"生成成长"),5))*(VLOOKUP($B$5,标准坦克设计!$B$24:$U$30,MATCH("对"&amp;LEFT($C$5,2)&amp;"输出",标准坦克设计!$B$23:$U$23,0)))*(VLOOKUP($B154,INDIRECT($B$5&amp;"生成成长"),3))*(VLOOKUP($B$5,标准坦克设计!$B$14:$K$20,9)/30))</f>
        <v>5.7703798424109625</v>
      </c>
      <c r="DS154" s="173">
        <f ca="1">(VLOOKUP(DS$72,INDIRECT($C$5&amp;"生成成长"),2))/((VLOOKUP($B154,INDIRECT($B$5&amp;"生成成长"),4))/(VLOOKUP(DS$72,INDIRECT($C$5&amp;"生成成长"),5))*(VLOOKUP($B$5,标准坦克设计!$B$24:$U$30,MATCH("对"&amp;LEFT($C$5,2)&amp;"输出",标准坦克设计!$B$23:$U$23,0)))*(VLOOKUP($B154,INDIRECT($B$5&amp;"生成成长"),3))*(VLOOKUP($B$5,标准坦克设计!$B$14:$K$20,9)/30))</f>
        <v>6.2499353752695486</v>
      </c>
      <c r="DT154" s="173">
        <f ca="1">(VLOOKUP(DT$72,INDIRECT($C$5&amp;"生成成长"),2))/((VLOOKUP($B154,INDIRECT($B$5&amp;"生成成长"),4))/(VLOOKUP(DT$72,INDIRECT($C$5&amp;"生成成长"),5))*(VLOOKUP($B$5,标准坦克设计!$B$24:$U$30,MATCH("对"&amp;LEFT($C$5,2)&amp;"输出",标准坦克设计!$B$23:$U$23,0)))*(VLOOKUP($B154,INDIRECT($B$5&amp;"生成成长"),3))*(VLOOKUP($B$5,标准坦克设计!$B$14:$K$20,9)/30))</f>
        <v>6.8620509741215603</v>
      </c>
      <c r="DU154" s="173">
        <f ca="1">(VLOOKUP(DU$72,INDIRECT($C$5&amp;"生成成长"),2))/((VLOOKUP($B154,INDIRECT($B$5&amp;"生成成长"),4))/(VLOOKUP(DU$72,INDIRECT($C$5&amp;"生成成长"),5))*(VLOOKUP($B$5,标准坦克设计!$B$24:$U$30,MATCH("对"&amp;LEFT($C$5,2)&amp;"输出",标准坦克设计!$B$23:$U$23,0)))*(VLOOKUP($B154,INDIRECT($B$5&amp;"生成成长"),3))*(VLOOKUP($B$5,标准坦克设计!$B$14:$K$20,9)/30))</f>
        <v>7.5027579597564698</v>
      </c>
      <c r="DV154" s="173">
        <f ca="1">(VLOOKUP(DV$72,INDIRECT($C$5&amp;"生成成长"),2))/((VLOOKUP($B154,INDIRECT($B$5&amp;"生成成长"),4))/(VLOOKUP(DV$72,INDIRECT($C$5&amp;"生成成长"),5))*(VLOOKUP($B$5,标准坦克设计!$B$24:$U$30,MATCH("对"&amp;LEFT($C$5,2)&amp;"输出",标准坦克设计!$B$23:$U$23,0)))*(VLOOKUP($B154,INDIRECT($B$5&amp;"生成成长"),3))*(VLOOKUP($B$5,标准坦克设计!$B$14:$K$20,9)/30))</f>
        <v>8.172056332174277</v>
      </c>
      <c r="DW154" s="173">
        <f ca="1">(VLOOKUP(DW$72,INDIRECT($C$5&amp;"生成成长"),2))/((VLOOKUP($B154,INDIRECT($B$5&amp;"生成成长"),4))/(VLOOKUP(DW$72,INDIRECT($C$5&amp;"生成成长"),5))*(VLOOKUP($B$5,标准坦克设计!$B$24:$U$30,MATCH("对"&amp;LEFT($C$5,2)&amp;"输出",标准坦克设计!$B$23:$U$23,0)))*(VLOOKUP($B154,INDIRECT($B$5&amp;"生成成长"),3))*(VLOOKUP($B$5,标准坦克设计!$B$14:$K$20,9)/30))</f>
        <v>8.869946091374981</v>
      </c>
      <c r="DX154" s="173">
        <f ca="1">(VLOOKUP(DX$72,INDIRECT($C$5&amp;"生成成长"),2))/((VLOOKUP($B154,INDIRECT($B$5&amp;"生成成长"),4))/(VLOOKUP(DX$72,INDIRECT($C$5&amp;"生成成长"),5))*(VLOOKUP($B$5,标准坦克设计!$B$24:$U$30,MATCH("对"&amp;LEFT($C$5,2)&amp;"输出",标准坦克设计!$B$23:$U$23,0)))*(VLOOKUP($B154,INDIRECT($B$5&amp;"生成成长"),3))*(VLOOKUP($B$5,标准坦克设计!$B$14:$K$20,9)/30))</f>
        <v>9.5964272373585811</v>
      </c>
      <c r="DY154" s="173">
        <f ca="1">(VLOOKUP(DY$72,INDIRECT($C$5&amp;"生成成长"),2))/((VLOOKUP($B154,INDIRECT($B$5&amp;"生成成长"),4))/(VLOOKUP(DY$72,INDIRECT($C$5&amp;"生成成长"),5))*(VLOOKUP($B$5,标准坦克设计!$B$24:$U$30,MATCH("对"&amp;LEFT($C$5,2)&amp;"输出",标准坦克设计!$B$23:$U$23,0)))*(VLOOKUP($B154,INDIRECT($B$5&amp;"生成成长"),3))*(VLOOKUP($B$5,标准坦克设计!$B$14:$K$20,9)/30))</f>
        <v>4.3100924844084751</v>
      </c>
      <c r="DZ154" s="173">
        <f ca="1">(VLOOKUP(DZ$72,INDIRECT($C$5&amp;"生成成长"),2))/((VLOOKUP($B154,INDIRECT($B$5&amp;"生成成长"),4))/(VLOOKUP(DZ$72,INDIRECT($C$5&amp;"生成成长"),5))*(VLOOKUP($B$5,标准坦克设计!$B$24:$U$30,MATCH("对"&amp;LEFT($C$5,2)&amp;"输出",标准坦克设计!$B$23:$U$23,0)))*(VLOOKUP($B154,INDIRECT($B$5&amp;"生成成长"),3))*(VLOOKUP($B$5,标准坦克设计!$B$14:$K$20,9)/30))</f>
        <v>4.7732256918008495</v>
      </c>
      <c r="EA154" s="173">
        <f ca="1">(VLOOKUP(EA$72,INDIRECT($C$5&amp;"生成成长"),2))/((VLOOKUP($B154,INDIRECT($B$5&amp;"生成成长"),4))/(VLOOKUP(EA$72,INDIRECT($C$5&amp;"生成成长"),5))*(VLOOKUP($B$5,标准坦克设计!$B$24:$U$30,MATCH("对"&amp;LEFT($C$5,2)&amp;"输出",标准坦克设计!$B$23:$U$23,0)))*(VLOOKUP($B154,INDIRECT($B$5&amp;"生成成长"),3))*(VLOOKUP($B$5,标准坦克设计!$B$14:$K$20,9)/30))</f>
        <v>5.2599881444683456</v>
      </c>
      <c r="EB154" s="173">
        <f ca="1">(VLOOKUP(EB$72,INDIRECT($C$5&amp;"生成成长"),2))/((VLOOKUP($B154,INDIRECT($B$5&amp;"生成成长"),4))/(VLOOKUP(EB$72,INDIRECT($C$5&amp;"生成成长"),5))*(VLOOKUP($B$5,标准坦克设计!$B$24:$U$30,MATCH("对"&amp;LEFT($C$5,2)&amp;"输出",标准坦克设计!$B$23:$U$23,0)))*(VLOOKUP($B154,INDIRECT($B$5&amp;"生成成长"),3))*(VLOOKUP($B$5,标准坦克设计!$B$14:$K$20,9)/30))</f>
        <v>5.7703798424109625</v>
      </c>
      <c r="EC154" s="173">
        <f ca="1">(VLOOKUP(EC$72,INDIRECT($C$5&amp;"生成成长"),2))/((VLOOKUP($B154,INDIRECT($B$5&amp;"生成成长"),4))/(VLOOKUP(EC$72,INDIRECT($C$5&amp;"生成成长"),5))*(VLOOKUP($B$5,标准坦克设计!$B$24:$U$30,MATCH("对"&amp;LEFT($C$5,2)&amp;"输出",标准坦克设计!$B$23:$U$23,0)))*(VLOOKUP($B154,INDIRECT($B$5&amp;"生成成长"),3))*(VLOOKUP($B$5,标准坦克设计!$B$14:$K$20,9)/30))</f>
        <v>6.304400785628701</v>
      </c>
      <c r="ED154" s="173">
        <f ca="1">(VLOOKUP(ED$72,INDIRECT($C$5&amp;"生成成长"),2))/((VLOOKUP($B154,INDIRECT($B$5&amp;"生成成长"),4))/(VLOOKUP(ED$72,INDIRECT($C$5&amp;"生成成长"),5))*(VLOOKUP($B$5,标准坦克设计!$B$24:$U$30,MATCH("对"&amp;LEFT($C$5,2)&amp;"输出",标准坦克设计!$B$23:$U$23,0)))*(VLOOKUP($B154,INDIRECT($B$5&amp;"生成成长"),3))*(VLOOKUP($B$5,标准坦克设计!$B$14:$K$20,9)/30))</f>
        <v>6.8620509741215603</v>
      </c>
      <c r="EE154" s="173">
        <f ca="1">(VLOOKUP(EE$72,INDIRECT($C$5&amp;"生成成长"),2))/((VLOOKUP($B154,INDIRECT($B$5&amp;"生成成长"),4))/(VLOOKUP(EE$72,INDIRECT($C$5&amp;"生成成长"),5))*(VLOOKUP($B$5,标准坦克设计!$B$24:$U$30,MATCH("对"&amp;LEFT($C$5,2)&amp;"输出",标准坦克设计!$B$23:$U$23,0)))*(VLOOKUP($B154,INDIRECT($B$5&amp;"生成成长"),3))*(VLOOKUP($B$5,标准坦克设计!$B$14:$K$20,9)/30))</f>
        <v>7.4433304078895404</v>
      </c>
      <c r="EF154" s="173">
        <f ca="1">(VLOOKUP(EF$72,INDIRECT($C$5&amp;"生成成长"),2))/((VLOOKUP($B154,INDIRECT($B$5&amp;"生成成长"),4))/(VLOOKUP(EF$72,INDIRECT($C$5&amp;"生成成长"),5))*(VLOOKUP($B$5,标准坦克设计!$B$24:$U$30,MATCH("对"&amp;LEFT($C$5,2)&amp;"输出",标准坦克设计!$B$23:$U$23,0)))*(VLOOKUP($B154,INDIRECT($B$5&amp;"生成成长"),3))*(VLOOKUP($B$5,标准坦克设计!$B$14:$K$20,9)/30))</f>
        <v>8.0482390869326412</v>
      </c>
      <c r="EG154" s="173">
        <f ca="1">(VLOOKUP(EG$72,INDIRECT($C$5&amp;"生成成长"),2))/((VLOOKUP($B154,INDIRECT($B$5&amp;"生成成长"),4))/(VLOOKUP(EG$72,INDIRECT($C$5&amp;"生成成长"),5))*(VLOOKUP($B$5,标准坦克设计!$B$24:$U$30,MATCH("对"&amp;LEFT($C$5,2)&amp;"输出",标准坦克设计!$B$23:$U$23,0)))*(VLOOKUP($B154,INDIRECT($B$5&amp;"生成成长"),3))*(VLOOKUP($B$5,标准坦克设计!$B$14:$K$20,9)/30))</f>
        <v>8.6767770112508664</v>
      </c>
      <c r="EH154" s="173">
        <f ca="1">(VLOOKUP(EH$72,INDIRECT($C$5&amp;"生成成长"),2))/((VLOOKUP($B154,INDIRECT($B$5&amp;"生成成长"),4))/(VLOOKUP(EH$72,INDIRECT($C$5&amp;"生成成长"),5))*(VLOOKUP($B$5,标准坦克设计!$B$24:$U$30,MATCH("对"&amp;LEFT($C$5,2)&amp;"输出",标准坦克设计!$B$23:$U$23,0)))*(VLOOKUP($B154,INDIRECT($B$5&amp;"生成成长"),3))*(VLOOKUP($B$5,标准坦克设计!$B$14:$K$20,9)/30))</f>
        <v>9.3289441808442088</v>
      </c>
      <c r="EI154" s="173">
        <f ca="1">(VLOOKUP(EI$72,INDIRECT($C$5&amp;"生成成长"),2))/((VLOOKUP($B154,INDIRECT($B$5&amp;"生成成长"),4))/(VLOOKUP(EI$72,INDIRECT($C$5&amp;"生成成长"),5))*(VLOOKUP($B$5,标准坦克设计!$B$24:$U$30,MATCH("对"&amp;LEFT($C$5,2)&amp;"输出",标准坦克设计!$B$23:$U$23,0)))*(VLOOKUP($B154,INDIRECT($B$5&amp;"生成成长"),3))*(VLOOKUP($B$5,标准坦克设计!$B$14:$K$20,9)/30))</f>
        <v>10.004740595712676</v>
      </c>
      <c r="EJ154" s="173">
        <f ca="1">(VLOOKUP(EJ$72,INDIRECT($C$5&amp;"生成成长"),2))/((VLOOKUP($B154,INDIRECT($B$5&amp;"生成成长"),4))/(VLOOKUP(EJ$72,INDIRECT($C$5&amp;"生成成长"),5))*(VLOOKUP($B$5,标准坦克设计!$B$24:$U$30,MATCH("对"&amp;LEFT($C$5,2)&amp;"输出",标准坦克设计!$B$23:$U$23,0)))*(VLOOKUP($B154,INDIRECT($B$5&amp;"生成成长"),3))*(VLOOKUP($B$5,标准坦克设计!$B$14:$K$20,9)/30))</f>
        <v>10.70416625585626</v>
      </c>
      <c r="EK154" s="173">
        <f ca="1">(VLOOKUP(EK$72,INDIRECT($C$5&amp;"生成成长"),2))/((VLOOKUP($B154,INDIRECT($B$5&amp;"生成成长"),4))/(VLOOKUP(EK$72,INDIRECT($C$5&amp;"生成成长"),5))*(VLOOKUP($B$5,标准坦克设计!$B$24:$U$30,MATCH("对"&amp;LEFT($C$5,2)&amp;"输出",标准坦克设计!$B$23:$U$23,0)))*(VLOOKUP($B154,INDIRECT($B$5&amp;"生成成长"),3))*(VLOOKUP($B$5,标准坦克设计!$B$14:$K$20,9)/30))</f>
        <v>11.574667651791726</v>
      </c>
      <c r="EL154" s="173">
        <f ca="1">(VLOOKUP(EL$72,INDIRECT($C$5&amp;"生成成长"),2))/((VLOOKUP($B154,INDIRECT($B$5&amp;"生成成长"),4))/(VLOOKUP(EL$72,INDIRECT($C$5&amp;"生成成长"),5))*(VLOOKUP($B$5,标准坦克设计!$B$24:$U$30,MATCH("对"&amp;LEFT($C$5,2)&amp;"输出",标准坦克设计!$B$23:$U$23,0)))*(VLOOKUP($B154,INDIRECT($B$5&amp;"生成成长"),3))*(VLOOKUP($B$5,标准坦克设计!$B$14:$K$20,9)/30))</f>
        <v>12.479195160923361</v>
      </c>
      <c r="EM154" s="173">
        <f ca="1">(VLOOKUP(EM$72,INDIRECT($C$5&amp;"生成成长"),2))/((VLOOKUP($B154,INDIRECT($B$5&amp;"生成成长"),4))/(VLOOKUP(EM$72,INDIRECT($C$5&amp;"生成成长"),5))*(VLOOKUP($B$5,标准坦克设计!$B$24:$U$30,MATCH("对"&amp;LEFT($C$5,2)&amp;"输出",标准坦克设计!$B$23:$U$23,0)))*(VLOOKUP($B154,INDIRECT($B$5&amp;"生成成长"),3))*(VLOOKUP($B$5,标准坦克设计!$B$14:$K$20,9)/30))</f>
        <v>13.417748783251177</v>
      </c>
      <c r="EN154" s="173">
        <f ca="1">(VLOOKUP(EN$72,INDIRECT($C$5&amp;"生成成长"),2))/((VLOOKUP($B154,INDIRECT($B$5&amp;"生成成长"),4))/(VLOOKUP(EN$72,INDIRECT($C$5&amp;"生成成长"),5))*(VLOOKUP($B$5,标准坦克设计!$B$24:$U$30,MATCH("对"&amp;LEFT($C$5,2)&amp;"输出",标准坦克设计!$B$23:$U$23,0)))*(VLOOKUP($B154,INDIRECT($B$5&amp;"生成成长"),3))*(VLOOKUP($B$5,标准坦克设计!$B$14:$K$20,9)/30))</f>
        <v>14.39032851877516</v>
      </c>
      <c r="EO154" s="173">
        <f ca="1">(VLOOKUP(EO$72,INDIRECT($C$5&amp;"生成成长"),2))/((VLOOKUP($B154,INDIRECT($B$5&amp;"生成成长"),4))/(VLOOKUP(EO$72,INDIRECT($C$5&amp;"生成成长"),5))*(VLOOKUP($B$5,标准坦克设计!$B$24:$U$30,MATCH("对"&amp;LEFT($C$5,2)&amp;"输出",标准坦克设计!$B$23:$U$23,0)))*(VLOOKUP($B154,INDIRECT($B$5&amp;"生成成长"),3))*(VLOOKUP($B$5,标准坦克设计!$B$14:$K$20,9)/30))</f>
        <v>15.396934367495321</v>
      </c>
      <c r="EP154" s="173">
        <f ca="1">(VLOOKUP(EP$72,INDIRECT($C$5&amp;"生成成长"),2))/((VLOOKUP($B154,INDIRECT($B$5&amp;"生成成长"),4))/(VLOOKUP(EP$72,INDIRECT($C$5&amp;"生成成长"),5))*(VLOOKUP($B$5,标准坦克设计!$B$24:$U$30,MATCH("对"&amp;LEFT($C$5,2)&amp;"输出",标准坦克设计!$B$23:$U$23,0)))*(VLOOKUP($B154,INDIRECT($B$5&amp;"生成成长"),3))*(VLOOKUP($B$5,标准坦克设计!$B$14:$K$20,9)/30))</f>
        <v>16.437566329411659</v>
      </c>
      <c r="EQ154" s="173">
        <f ca="1">(VLOOKUP(EQ$72,INDIRECT($C$5&amp;"生成成长"),2))/((VLOOKUP($B154,INDIRECT($B$5&amp;"生成成长"),4))/(VLOOKUP(EQ$72,INDIRECT($C$5&amp;"生成成长"),5))*(VLOOKUP($B$5,标准坦克设计!$B$24:$U$30,MATCH("对"&amp;LEFT($C$5,2)&amp;"输出",标准坦克设计!$B$23:$U$23,0)))*(VLOOKUP($B154,INDIRECT($B$5&amp;"生成成长"),3))*(VLOOKUP($B$5,标准坦克设计!$B$14:$K$20,9)/30))</f>
        <v>7.2664655070052593</v>
      </c>
      <c r="ER154" s="173">
        <f ca="1">(VLOOKUP(ER$72,INDIRECT($C$5&amp;"生成成长"),2))/((VLOOKUP($B154,INDIRECT($B$5&amp;"生成成长"),4))/(VLOOKUP(ER$72,INDIRECT($C$5&amp;"生成成长"),5))*(VLOOKUP($B$5,标准坦克设计!$B$24:$U$30,MATCH("对"&amp;LEFT($C$5,2)&amp;"输出",标准坦克设计!$B$23:$U$23,0)))*(VLOOKUP($B154,INDIRECT($B$5&amp;"生成成长"),3))*(VLOOKUP($B$5,标准坦克设计!$B$14:$K$20,9)/30))</f>
        <v>7.9253670115020123</v>
      </c>
      <c r="ES154" s="173">
        <f ca="1">(VLOOKUP(ES$72,INDIRECT($C$5&amp;"生成成长"),2))/((VLOOKUP($B154,INDIRECT($B$5&amp;"生成成长"),4))/(VLOOKUP(ES$72,INDIRECT($C$5&amp;"生成成长"),5))*(VLOOKUP($B$5,标准坦克设计!$B$24:$U$30,MATCH("对"&amp;LEFT($C$5,2)&amp;"输出",标准坦克设计!$B$23:$U$23,0)))*(VLOOKUP($B154,INDIRECT($B$5&amp;"生成成长"),3))*(VLOOKUP($B$5,标准坦克设计!$B$14:$K$20,9)/30))</f>
        <v>8.6128599027816612</v>
      </c>
      <c r="ET154" s="173">
        <f ca="1">(VLOOKUP(ET$72,INDIRECT($C$5&amp;"生成成长"),2))/((VLOOKUP($B154,INDIRECT($B$5&amp;"生成成长"),4))/(VLOOKUP(ET$72,INDIRECT($C$5&amp;"生成成长"),5))*(VLOOKUP($B$5,标准坦克设计!$B$24:$U$30,MATCH("对"&amp;LEFT($C$5,2)&amp;"输出",标准坦克设计!$B$23:$U$23,0)))*(VLOOKUP($B154,INDIRECT($B$5&amp;"生成成长"),3))*(VLOOKUP($B$5,标准坦克设计!$B$14:$K$20,9)/30))</f>
        <v>9.3289441808442088</v>
      </c>
      <c r="EU154" s="173">
        <f ca="1">(VLOOKUP(EU$72,INDIRECT($C$5&amp;"生成成长"),2))/((VLOOKUP($B154,INDIRECT($B$5&amp;"生成成长"),4))/(VLOOKUP(EU$72,INDIRECT($C$5&amp;"生成成长"),5))*(VLOOKUP($B$5,标准坦克设计!$B$24:$U$30,MATCH("对"&amp;LEFT($C$5,2)&amp;"输出",标准坦克设计!$B$23:$U$23,0)))*(VLOOKUP($B154,INDIRECT($B$5&amp;"生成成长"),3))*(VLOOKUP($B$5,标准坦克设计!$B$14:$K$20,9)/30))</f>
        <v>10.073619845689652</v>
      </c>
      <c r="EV154" s="173">
        <f ca="1">(VLOOKUP(EV$72,INDIRECT($C$5&amp;"生成成长"),2))/((VLOOKUP($B154,INDIRECT($B$5&amp;"生成成长"),4))/(VLOOKUP(EV$72,INDIRECT($C$5&amp;"生成成长"),5))*(VLOOKUP($B$5,标准坦克设计!$B$24:$U$30,MATCH("对"&amp;LEFT($C$5,2)&amp;"输出",标准坦克设计!$B$23:$U$23,0)))*(VLOOKUP($B154,INDIRECT($B$5&amp;"生成成长"),3))*(VLOOKUP($B$5,标准坦克设计!$B$14:$K$20,9)/30))</f>
        <v>10.846886897317994</v>
      </c>
      <c r="EW154" s="173">
        <f ca="1">(VLOOKUP(EW$72,INDIRECT($C$5&amp;"生成成长"),2))/((VLOOKUP($B154,INDIRECT($B$5&amp;"生成成长"),4))/(VLOOKUP(EW$72,INDIRECT($C$5&amp;"生成成长"),5))*(VLOOKUP($B$5,标准坦克设计!$B$24:$U$30,MATCH("对"&amp;LEFT($C$5,2)&amp;"输出",标准坦克设计!$B$23:$U$23,0)))*(VLOOKUP($B154,INDIRECT($B$5&amp;"生成成长"),3))*(VLOOKUP($B$5,标准坦克设计!$B$14:$K$20,9)/30))</f>
        <v>11.648745335729227</v>
      </c>
      <c r="EX154" s="173">
        <f ca="1">(VLOOKUP(EX$72,INDIRECT($C$5&amp;"生成成长"),2))/((VLOOKUP($B154,INDIRECT($B$5&amp;"生成成长"),4))/(VLOOKUP(EX$72,INDIRECT($C$5&amp;"生成成长"),5))*(VLOOKUP($B$5,标准坦克设计!$B$24:$U$30,MATCH("对"&amp;LEFT($C$5,2)&amp;"输出",标准坦克设计!$B$23:$U$23,0)))*(VLOOKUP($B154,INDIRECT($B$5&amp;"生成成长"),3))*(VLOOKUP($B$5,标准坦克设计!$B$14:$K$20,9)/30))</f>
        <v>12.479195160923361</v>
      </c>
      <c r="EY154" s="173">
        <f ca="1">(VLOOKUP(EY$72,INDIRECT($C$5&amp;"生成成长"),2))/((VLOOKUP($B154,INDIRECT($B$5&amp;"生成成长"),4))/(VLOOKUP(EY$72,INDIRECT($C$5&amp;"生成成长"),5))*(VLOOKUP($B$5,标准坦克设计!$B$24:$U$30,MATCH("对"&amp;LEFT($C$5,2)&amp;"输出",标准坦克设计!$B$23:$U$23,0)))*(VLOOKUP($B154,INDIRECT($B$5&amp;"生成成长"),3))*(VLOOKUP($B$5,标准坦克设计!$B$14:$K$20,9)/30))</f>
        <v>13.338236372900393</v>
      </c>
      <c r="EZ154" s="173">
        <f ca="1">(VLOOKUP(EZ$72,INDIRECT($C$5&amp;"生成成长"),2))/((VLOOKUP($B154,INDIRECT($B$5&amp;"生成成长"),4))/(VLOOKUP(EZ$72,INDIRECT($C$5&amp;"生成成长"),5))*(VLOOKUP($B$5,标准坦克设计!$B$24:$U$30,MATCH("对"&amp;LEFT($C$5,2)&amp;"输出",标准坦克设计!$B$23:$U$23,0)))*(VLOOKUP($B154,INDIRECT($B$5&amp;"生成成长"),3))*(VLOOKUP($B$5,标准坦克设计!$B$14:$K$20,9)/30))</f>
        <v>14.225868971660319</v>
      </c>
      <c r="FA154" s="173">
        <f ca="1">(VLOOKUP(FA$72,INDIRECT($C$5&amp;"生成成长"),2))/((VLOOKUP($B154,INDIRECT($B$5&amp;"生成成长"),4))/(VLOOKUP(FA$72,INDIRECT($C$5&amp;"生成成长"),5))*(VLOOKUP($B$5,标准坦克设计!$B$24:$U$30,MATCH("对"&amp;LEFT($C$5,2)&amp;"输出",标准坦克设计!$B$23:$U$23,0)))*(VLOOKUP($B154,INDIRECT($B$5&amp;"生成成长"),3))*(VLOOKUP($B$5,标准坦克设计!$B$14:$K$20,9)/30))</f>
        <v>15.142092957203142</v>
      </c>
      <c r="FB154" s="173">
        <f ca="1">(VLOOKUP(FB$72,INDIRECT($C$5&amp;"生成成长"),2))/((VLOOKUP($B154,INDIRECT($B$5&amp;"生成成长"),4))/(VLOOKUP(FB$72,INDIRECT($C$5&amp;"生成成长"),5))*(VLOOKUP($B$5,标准坦克设计!$B$24:$U$30,MATCH("对"&amp;LEFT($C$5,2)&amp;"输出",标准坦克设计!$B$23:$U$23,0)))*(VLOOKUP($B154,INDIRECT($B$5&amp;"生成成长"),3))*(VLOOKUP($B$5,标准坦克设计!$B$14:$K$20,9)/30))</f>
        <v>16.08690832952886</v>
      </c>
      <c r="FC154" s="173">
        <f ca="1">(VLOOKUP(FC$72,INDIRECT($C$5&amp;"生成成长"),2))/((VLOOKUP($B154,INDIRECT($B$5&amp;"生成成长"),4))/(VLOOKUP(FC$72,INDIRECT($C$5&amp;"生成成长"),5))*(VLOOKUP($B$5,标准坦克设计!$B$24:$U$30,MATCH("对"&amp;LEFT($C$5,2)&amp;"输出",标准坦克设计!$B$23:$U$23,0)))*(VLOOKUP($B154,INDIRECT($B$5&amp;"生成成长"),3))*(VLOOKUP($B$5,标准坦克设计!$B$14:$K$20,9)/30))</f>
        <v>17.060315088637477</v>
      </c>
      <c r="FD154" s="173">
        <f ca="1">(VLOOKUP(FD$72,INDIRECT($C$5&amp;"生成成长"),2))/((VLOOKUP($B154,INDIRECT($B$5&amp;"生成成长"),4))/(VLOOKUP(FD$72,INDIRECT($C$5&amp;"生成成长"),5))*(VLOOKUP($B$5,标准坦克设计!$B$24:$U$30,MATCH("对"&amp;LEFT($C$5,2)&amp;"输出",标准坦克设计!$B$23:$U$23,0)))*(VLOOKUP($B154,INDIRECT($B$5&amp;"生成成长"),3))*(VLOOKUP($B$5,标准坦克设计!$B$14:$K$20,9)/30))</f>
        <v>18.06231323452899</v>
      </c>
      <c r="FE154" s="173">
        <f ca="1">(VLOOKUP(FE$72,INDIRECT($C$5&amp;"生成成长"),2))/((VLOOKUP($B154,INDIRECT($B$5&amp;"生成成长"),4))/(VLOOKUP(FE$72,INDIRECT($C$5&amp;"生成成长"),5))*(VLOOKUP($B$5,标准坦克设计!$B$24:$U$30,MATCH("对"&amp;LEFT($C$5,2)&amp;"输出",标准坦克设计!$B$23:$U$23,0)))*(VLOOKUP($B154,INDIRECT($B$5&amp;"生成成长"),3))*(VLOOKUP($B$5,标准坦克设计!$B$14:$K$20,9)/30))</f>
        <v>19.283354484120874</v>
      </c>
      <c r="FF154" s="173">
        <f ca="1">(VLOOKUP(FF$72,INDIRECT($C$5&amp;"生成成长"),2))/((VLOOKUP($B154,INDIRECT($B$5&amp;"生成成长"),4))/(VLOOKUP(FF$72,INDIRECT($C$5&amp;"生成成长"),5))*(VLOOKUP($B$5,标准坦克设计!$B$24:$U$30,MATCH("对"&amp;LEFT($C$5,2)&amp;"输出",标准坦克设计!$B$23:$U$23,0)))*(VLOOKUP($B154,INDIRECT($B$5&amp;"生成成长"),3))*(VLOOKUP($B$5,标准坦克设计!$B$14:$K$20,9)/30))</f>
        <v>20.544329158227718</v>
      </c>
      <c r="FG154" s="173">
        <f ca="1">(VLOOKUP(FG$72,INDIRECT($C$5&amp;"生成成长"),2))/((VLOOKUP($B154,INDIRECT($B$5&amp;"生成成长"),4))/(VLOOKUP(FG$72,INDIRECT($C$5&amp;"生成成长"),5))*(VLOOKUP($B$5,标准坦克设计!$B$24:$U$30,MATCH("对"&amp;LEFT($C$5,2)&amp;"输出",标准坦克设计!$B$23:$U$23,0)))*(VLOOKUP($B154,INDIRECT($B$5&amp;"生成成长"),3))*(VLOOKUP($B$5,标准坦克设计!$B$14:$K$20,9)/30))</f>
        <v>21.845237256849511</v>
      </c>
      <c r="FH154" s="173">
        <f ca="1">(VLOOKUP(FH$72,INDIRECT($C$5&amp;"生成成长"),2))/((VLOOKUP($B154,INDIRECT($B$5&amp;"生成成长"),4))/(VLOOKUP(FH$72,INDIRECT($C$5&amp;"生成成长"),5))*(VLOOKUP($B$5,标准坦克设计!$B$24:$U$30,MATCH("对"&amp;LEFT($C$5,2)&amp;"输出",标准坦克设计!$B$23:$U$23,0)))*(VLOOKUP($B154,INDIRECT($B$5&amp;"生成成长"),3))*(VLOOKUP($B$5,标准坦克设计!$B$14:$K$20,9)/30))</f>
        <v>23.186078779986257</v>
      </c>
      <c r="FI154" s="173">
        <f ca="1">(VLOOKUP(FI$72,INDIRECT($C$5&amp;"生成成长"),2))/((VLOOKUP($B154,INDIRECT($B$5&amp;"生成成长"),4))/(VLOOKUP(FI$72,INDIRECT($C$5&amp;"生成成长"),5))*(VLOOKUP($B$5,标准坦克设计!$B$24:$U$30,MATCH("对"&amp;LEFT($C$5,2)&amp;"输出",标准坦克设计!$B$23:$U$23,0)))*(VLOOKUP($B154,INDIRECT($B$5&amp;"生成成长"),3))*(VLOOKUP($B$5,标准坦克设计!$B$14:$K$20,9)/30))</f>
        <v>24.566853727637969</v>
      </c>
      <c r="FJ154" s="173">
        <f ca="1">(VLOOKUP(FJ$72,INDIRECT($C$5&amp;"生成成长"),2))/((VLOOKUP($B154,INDIRECT($B$5&amp;"生成成长"),4))/(VLOOKUP(FJ$72,INDIRECT($C$5&amp;"生成成长"),5))*(VLOOKUP($B$5,标准坦克设计!$B$24:$U$30,MATCH("对"&amp;LEFT($C$5,2)&amp;"输出",标准坦克设计!$B$23:$U$23,0)))*(VLOOKUP($B154,INDIRECT($B$5&amp;"生成成长"),3))*(VLOOKUP($B$5,标准坦克设计!$B$14:$K$20,9)/30))</f>
        <v>25.987562099804627</v>
      </c>
      <c r="FK154" s="173">
        <f ca="1">(VLOOKUP(FK$72,INDIRECT($C$5&amp;"生成成长"),2))/((VLOOKUP($B154,INDIRECT($B$5&amp;"生成成长"),4))/(VLOOKUP(FK$72,INDIRECT($C$5&amp;"生成成长"),5))*(VLOOKUP($B$5,标准坦克设计!$B$24:$U$30,MATCH("对"&amp;LEFT($C$5,2)&amp;"输出",标准坦克设计!$B$23:$U$23,0)))*(VLOOKUP($B154,INDIRECT($B$5&amp;"生成成长"),3))*(VLOOKUP($B$5,标准坦克设计!$B$14:$K$20,9)/30))</f>
        <v>27.448203896486241</v>
      </c>
    </row>
    <row r="155" spans="1:167" x14ac:dyDescent="0.15">
      <c r="A155" s="171" t="str">
        <f t="shared" si="12"/>
        <v>T4中品质11级</v>
      </c>
      <c r="B155" s="172">
        <v>20411</v>
      </c>
      <c r="C155" s="173">
        <f ca="1">(VLOOKUP(C$72,INDIRECT($C$5&amp;"生成成长"),2))/((VLOOKUP($B155,INDIRECT($B$5&amp;"生成成长"),4))/(VLOOKUP(C$72,INDIRECT($C$5&amp;"生成成长"),5))*(VLOOKUP($B$5,标准坦克设计!$B$24:$U$30,MATCH("对"&amp;LEFT($C$5,2)&amp;"输出",标准坦克设计!$B$23:$U$23,0)))*(VLOOKUP($B155,INDIRECT($B$5&amp;"生成成长"),3))*(VLOOKUP($B$5,标准坦克设计!$B$14:$K$20,9)/30))</f>
        <v>1.1004606515276936</v>
      </c>
      <c r="D155" s="173">
        <f ca="1">(VLOOKUP(D$72,INDIRECT($C$5&amp;"生成成长"),2))/((VLOOKUP($B155,INDIRECT($B$5&amp;"生成成长"),4))/(VLOOKUP(D$72,INDIRECT($C$5&amp;"生成成长"),5))*(VLOOKUP($B$5,标准坦克设计!$B$24:$U$30,MATCH("对"&amp;LEFT($C$5,2)&amp;"输出",标准坦克设计!$B$23:$U$23,0)))*(VLOOKUP($B155,INDIRECT($B$5&amp;"生成成长"),3))*(VLOOKUP($B$5,标准坦克设计!$B$14:$K$20,9)/30))</f>
        <v>1.2364775880565164</v>
      </c>
      <c r="E155" s="173">
        <f ca="1">(VLOOKUP(E$72,INDIRECT($C$5&amp;"生成成长"),2))/((VLOOKUP($B155,INDIRECT($B$5&amp;"生成成长"),4))/(VLOOKUP(E$72,INDIRECT($C$5&amp;"生成成长"),5))*(VLOOKUP($B$5,标准坦克设计!$B$24:$U$30,MATCH("对"&amp;LEFT($C$5,2)&amp;"输出",标准坦克设计!$B$23:$U$23,0)))*(VLOOKUP($B155,INDIRECT($B$5&amp;"生成成长"),3))*(VLOOKUP($B$5,标准坦克设计!$B$14:$K$20,9)/30))</f>
        <v>1.3804178412763388</v>
      </c>
      <c r="F155" s="173">
        <f ca="1">(VLOOKUP(F$72,INDIRECT($C$5&amp;"生成成长"),2))/((VLOOKUP($B155,INDIRECT($B$5&amp;"生成成长"),4))/(VLOOKUP(F$72,INDIRECT($C$5&amp;"生成成长"),5))*(VLOOKUP($B$5,标准坦克设计!$B$24:$U$30,MATCH("对"&amp;LEFT($C$5,2)&amp;"输出",标准坦克设计!$B$23:$U$23,0)))*(VLOOKUP($B155,INDIRECT($B$5&amp;"生成成长"),3))*(VLOOKUP($B$5,标准坦克设计!$B$14:$K$20,9)/30))</f>
        <v>1.5322814111871603</v>
      </c>
      <c r="G155" s="173">
        <f ca="1">(VLOOKUP(G$72,INDIRECT($C$5&amp;"生成成长"),2))/((VLOOKUP($B155,INDIRECT($B$5&amp;"生成成长"),4))/(VLOOKUP(G$72,INDIRECT($C$5&amp;"生成成长"),5))*(VLOOKUP($B$5,标准坦克设计!$B$24:$U$30,MATCH("对"&amp;LEFT($C$5,2)&amp;"输出",标准坦克设计!$B$23:$U$23,0)))*(VLOOKUP($B155,INDIRECT($B$5&amp;"生成成长"),3))*(VLOOKUP($B$5,标准坦克设计!$B$14:$K$20,9)/30))</f>
        <v>1.6920682977889816</v>
      </c>
      <c r="H155" s="173">
        <f ca="1">(VLOOKUP(H$72,INDIRECT($C$5&amp;"生成成长"),2))/((VLOOKUP($B155,INDIRECT($B$5&amp;"生成成长"),4))/(VLOOKUP(H$72,INDIRECT($C$5&amp;"生成成长"),5))*(VLOOKUP($B$5,标准坦克设计!$B$24:$U$30,MATCH("对"&amp;LEFT($C$5,2)&amp;"输出",标准坦克设计!$B$23:$U$23,0)))*(VLOOKUP($B155,INDIRECT($B$5&amp;"生成成长"),3))*(VLOOKUP($B$5,标准坦克设计!$B$14:$K$20,9)/30))</f>
        <v>1.4807798526956644</v>
      </c>
      <c r="I155" s="173">
        <f ca="1">(VLOOKUP(I$72,INDIRECT($C$5&amp;"生成成长"),2))/((VLOOKUP($B155,INDIRECT($B$5&amp;"生成成长"),4))/(VLOOKUP(I$72,INDIRECT($C$5&amp;"生成成长"),5))*(VLOOKUP($B$5,标准坦克设计!$B$24:$U$30,MATCH("对"&amp;LEFT($C$5,2)&amp;"输出",标准坦克设计!$B$23:$U$23,0)))*(VLOOKUP($B155,INDIRECT($B$5&amp;"生成成长"),3))*(VLOOKUP($B$5,标准坦克设计!$B$14:$K$20,9)/30))</f>
        <v>1.6920682977889816</v>
      </c>
      <c r="J155" s="173">
        <f ca="1">(VLOOKUP(J$72,INDIRECT($C$5&amp;"生成成长"),2))/((VLOOKUP($B155,INDIRECT($B$5&amp;"生成成长"),4))/(VLOOKUP(J$72,INDIRECT($C$5&amp;"生成成长"),5))*(VLOOKUP($B$5,标准坦克设计!$B$24:$U$30,MATCH("对"&amp;LEFT($C$5,2)&amp;"输出",标准坦克设计!$B$23:$U$23,0)))*(VLOOKUP($B155,INDIRECT($B$5&amp;"生成成长"),3))*(VLOOKUP($B$5,标准坦克设计!$B$14:$K$20,9)/30))</f>
        <v>1.9174426392218531</v>
      </c>
      <c r="K155" s="173">
        <f ca="1">(VLOOKUP(K$72,INDIRECT($C$5&amp;"生成成长"),2))/((VLOOKUP($B155,INDIRECT($B$5&amp;"生成成长"),4))/(VLOOKUP(K$72,INDIRECT($C$5&amp;"生成成长"),5))*(VLOOKUP($B$5,标准坦克设计!$B$24:$U$30,MATCH("对"&amp;LEFT($C$5,2)&amp;"输出",标准坦克设计!$B$23:$U$23,0)))*(VLOOKUP($B155,INDIRECT($B$5&amp;"生成成长"),3))*(VLOOKUP($B$5,标准坦克设计!$B$14:$K$20,9)/30))</f>
        <v>2.1569028769942795</v>
      </c>
      <c r="L155" s="173">
        <f ca="1">(VLOOKUP(L$72,INDIRECT($C$5&amp;"生成成长"),2))/((VLOOKUP($B155,INDIRECT($B$5&amp;"生成成长"),4))/(VLOOKUP(L$72,INDIRECT($C$5&amp;"生成成长"),5))*(VLOOKUP($B$5,标准坦克设计!$B$24:$U$30,MATCH("对"&amp;LEFT($C$5,2)&amp;"输出",标准坦克设计!$B$23:$U$23,0)))*(VLOOKUP($B155,INDIRECT($B$5&amp;"生成成长"),3))*(VLOOKUP($B$5,标准坦克设计!$B$14:$K$20,9)/30))</f>
        <v>2.4104490111062602</v>
      </c>
      <c r="M155" s="173">
        <f ca="1">(VLOOKUP(M$72,INDIRECT($C$5&amp;"生成成长"),2))/((VLOOKUP($B155,INDIRECT($B$5&amp;"生成成长"),4))/(VLOOKUP(M$72,INDIRECT($C$5&amp;"生成成长"),5))*(VLOOKUP($B$5,标准坦克设计!$B$24:$U$30,MATCH("对"&amp;LEFT($C$5,2)&amp;"输出",标准坦克设计!$B$23:$U$23,0)))*(VLOOKUP($B155,INDIRECT($B$5&amp;"生成成长"),3))*(VLOOKUP($B$5,标准坦克设计!$B$14:$K$20,9)/30))</f>
        <v>2.6780810415577951</v>
      </c>
      <c r="N155" s="173">
        <f ca="1">(VLOOKUP(N$72,INDIRECT($C$5&amp;"生成成长"),2))/((VLOOKUP($B155,INDIRECT($B$5&amp;"生成成长"),4))/(VLOOKUP(N$72,INDIRECT($C$5&amp;"生成成长"),5))*(VLOOKUP($B$5,标准坦克设计!$B$24:$U$30,MATCH("对"&amp;LEFT($C$5,2)&amp;"输出",标准坦克设计!$B$23:$U$23,0)))*(VLOOKUP($B155,INDIRECT($B$5&amp;"生成成长"),3))*(VLOOKUP($B$5,标准坦克设计!$B$14:$K$20,9)/30))</f>
        <v>2.9597989683488848</v>
      </c>
      <c r="O155" s="173">
        <f ca="1">(VLOOKUP(O$72,INDIRECT($C$5&amp;"生成成长"),2))/((VLOOKUP($B155,INDIRECT($B$5&amp;"生成成长"),4))/(VLOOKUP(O$72,INDIRECT($C$5&amp;"生成成长"),5))*(VLOOKUP($B$5,标准坦克设计!$B$24:$U$30,MATCH("对"&amp;LEFT($C$5,2)&amp;"输出",标准坦克设计!$B$23:$U$23,0)))*(VLOOKUP($B155,INDIRECT($B$5&amp;"生成成长"),3))*(VLOOKUP($B$5,标准坦克设计!$B$14:$K$20,9)/30))</f>
        <v>2.2503319863089808</v>
      </c>
      <c r="P155" s="173">
        <f ca="1">(VLOOKUP(P$72,INDIRECT($C$5&amp;"生成成长"),2))/((VLOOKUP($B155,INDIRECT($B$5&amp;"生成成长"),4))/(VLOOKUP(P$72,INDIRECT($C$5&amp;"生成成长"),5))*(VLOOKUP($B$5,标准坦克设计!$B$24:$U$30,MATCH("对"&amp;LEFT($C$5,2)&amp;"输出",标准坦克设计!$B$23:$U$23,0)))*(VLOOKUP($B155,INDIRECT($B$5&amp;"生成成长"),3))*(VLOOKUP($B$5,标准坦克设计!$B$14:$K$20,9)/30))</f>
        <v>2.5425042892895835</v>
      </c>
      <c r="Q155" s="173">
        <f ca="1">(VLOOKUP(Q$72,INDIRECT($C$5&amp;"生成成长"),2))/((VLOOKUP($B155,INDIRECT($B$5&amp;"生成成长"),4))/(VLOOKUP(Q$72,INDIRECT($C$5&amp;"生成成长"),5))*(VLOOKUP($B$5,标准坦克设计!$B$24:$U$30,MATCH("对"&amp;LEFT($C$5,2)&amp;"输出",标准坦克设计!$B$23:$U$23,0)))*(VLOOKUP($B155,INDIRECT($B$5&amp;"生成成长"),3))*(VLOOKUP($B$5,标准坦克设计!$B$14:$K$20,9)/30))</f>
        <v>2.8525040548249341</v>
      </c>
      <c r="R155" s="173">
        <f ca="1">(VLOOKUP(R$72,INDIRECT($C$5&amp;"生成成长"),2))/((VLOOKUP($B155,INDIRECT($B$5&amp;"生成成长"),4))/(VLOOKUP(R$72,INDIRECT($C$5&amp;"生成成长"),5))*(VLOOKUP($B$5,标准坦克设计!$B$24:$U$30,MATCH("对"&amp;LEFT($C$5,2)&amp;"输出",标准坦克设计!$B$23:$U$23,0)))*(VLOOKUP($B155,INDIRECT($B$5&amp;"生成成长"),3))*(VLOOKUP($B$5,标准坦克设计!$B$14:$K$20,9)/30))</f>
        <v>3.1803312829150343</v>
      </c>
      <c r="S155" s="173">
        <f ca="1">(VLOOKUP(S$72,INDIRECT($C$5&amp;"生成成长"),2))/((VLOOKUP($B155,INDIRECT($B$5&amp;"生成成长"),4))/(VLOOKUP(S$72,INDIRECT($C$5&amp;"生成成长"),5))*(VLOOKUP($B$5,标准坦克设计!$B$24:$U$30,MATCH("对"&amp;LEFT($C$5,2)&amp;"输出",标准坦克设计!$B$23:$U$23,0)))*(VLOOKUP($B155,INDIRECT($B$5&amp;"生成成长"),3))*(VLOOKUP($B$5,标准坦克设计!$B$14:$K$20,9)/30))</f>
        <v>3.5259859735598824</v>
      </c>
      <c r="T155" s="173">
        <f ca="1">(VLOOKUP(T$72,INDIRECT($C$5&amp;"生成成长"),2))/((VLOOKUP($B155,INDIRECT($B$5&amp;"生成成长"),4))/(VLOOKUP(T$72,INDIRECT($C$5&amp;"生成成长"),5))*(VLOOKUP($B$5,标准坦克设计!$B$24:$U$30,MATCH("对"&amp;LEFT($C$5,2)&amp;"输出",标准坦克设计!$B$23:$U$23,0)))*(VLOOKUP($B155,INDIRECT($B$5&amp;"生成成长"),3))*(VLOOKUP($B$5,标准坦克设计!$B$14:$K$20,9)/30))</f>
        <v>3.8894681267594797</v>
      </c>
      <c r="U155" s="173">
        <f ca="1">(VLOOKUP(U$72,INDIRECT($C$5&amp;"生成成长"),2))/((VLOOKUP($B155,INDIRECT($B$5&amp;"生成成长"),4))/(VLOOKUP(U$72,INDIRECT($C$5&amp;"生成成长"),5))*(VLOOKUP($B$5,标准坦克设计!$B$24:$U$30,MATCH("对"&amp;LEFT($C$5,2)&amp;"输出",标准坦克设计!$B$23:$U$23,0)))*(VLOOKUP($B155,INDIRECT($B$5&amp;"生成成长"),3))*(VLOOKUP($B$5,标准坦克设计!$B$14:$K$20,9)/30))</f>
        <v>4.2707777425138254</v>
      </c>
      <c r="V155" s="173">
        <f ca="1">(VLOOKUP(V$72,INDIRECT($C$5&amp;"生成成长"),2))/((VLOOKUP($B155,INDIRECT($B$5&amp;"生成成长"),4))/(VLOOKUP(V$72,INDIRECT($C$5&amp;"生成成长"),5))*(VLOOKUP($B$5,标准坦克设计!$B$24:$U$30,MATCH("对"&amp;LEFT($C$5,2)&amp;"输出",标准坦克设计!$B$23:$U$23,0)))*(VLOOKUP($B155,INDIRECT($B$5&amp;"生成成长"),3))*(VLOOKUP($B$5,标准坦克设计!$B$14:$K$20,9)/30))</f>
        <v>4.6699148208229193</v>
      </c>
      <c r="W155" s="173">
        <f ca="1">(VLOOKUP(W$72,INDIRECT($C$5&amp;"生成成长"),2))/((VLOOKUP($B155,INDIRECT($B$5&amp;"生成成长"),4))/(VLOOKUP(W$72,INDIRECT($C$5&amp;"生成成长"),5))*(VLOOKUP($B$5,标准坦克设计!$B$24:$U$30,MATCH("对"&amp;LEFT($C$5,2)&amp;"输出",标准坦克设计!$B$23:$U$23,0)))*(VLOOKUP($B155,INDIRECT($B$5&amp;"生成成长"),3))*(VLOOKUP($B$5,标准坦克设计!$B$14:$K$20,9)/30))</f>
        <v>5.0868793616867629</v>
      </c>
      <c r="X155" s="173">
        <f ca="1">(VLOOKUP(X$72,INDIRECT($C$5&amp;"生成成长"),2))/((VLOOKUP($B155,INDIRECT($B$5&amp;"生成成长"),4))/(VLOOKUP(X$72,INDIRECT($C$5&amp;"生成成长"),5))*(VLOOKUP($B$5,标准坦克设计!$B$24:$U$30,MATCH("对"&amp;LEFT($C$5,2)&amp;"输出",标准坦克设计!$B$23:$U$23,0)))*(VLOOKUP($B155,INDIRECT($B$5&amp;"生成成长"),3))*(VLOOKUP($B$5,标准坦克设计!$B$14:$K$20,9)/30))</f>
        <v>3.6853326759010927</v>
      </c>
      <c r="Y155" s="173">
        <f ca="1">(VLOOKUP(Y$72,INDIRECT($C$5&amp;"生成成长"),2))/((VLOOKUP($B155,INDIRECT($B$5&amp;"生成成长"),4))/(VLOOKUP(Y$72,INDIRECT($C$5&amp;"生成成长"),5))*(VLOOKUP($B$5,标准坦克设计!$B$24:$U$30,MATCH("对"&amp;LEFT($C$5,2)&amp;"输出",标准坦克设计!$B$23:$U$23,0)))*(VLOOKUP($B155,INDIRECT($B$5&amp;"生成成长"),3))*(VLOOKUP($B$5,标准坦克设计!$B$14:$K$20,9)/30))</f>
        <v>4.0991058808755056</v>
      </c>
      <c r="Z155" s="173">
        <f ca="1">(VLOOKUP(Z$72,INDIRECT($C$5&amp;"生成成长"),2))/((VLOOKUP($B155,INDIRECT($B$5&amp;"生成成长"),4))/(VLOOKUP(Z$72,INDIRECT($C$5&amp;"生成成长"),5))*(VLOOKUP($B$5,标准坦克设计!$B$24:$U$30,MATCH("对"&amp;LEFT($C$5,2)&amp;"输出",标准坦克设计!$B$23:$U$23,0)))*(VLOOKUP($B155,INDIRECT($B$5&amp;"生成成长"),3))*(VLOOKUP($B$5,标准坦克设计!$B$14:$K$20,9)/30))</f>
        <v>4.5348882988804728</v>
      </c>
      <c r="AA155" s="173">
        <f ca="1">(VLOOKUP(AA$72,INDIRECT($C$5&amp;"生成成长"),2))/((VLOOKUP($B155,INDIRECT($B$5&amp;"生成成长"),4))/(VLOOKUP(AA$72,INDIRECT($C$5&amp;"生成成长"),5))*(VLOOKUP($B$5,标准坦克设计!$B$24:$U$30,MATCH("对"&amp;LEFT($C$5,2)&amp;"输出",标准坦克设计!$B$23:$U$23,0)))*(VLOOKUP($B155,INDIRECT($B$5&amp;"生成成长"),3))*(VLOOKUP($B$5,标准坦克设计!$B$14:$K$20,9)/30))</f>
        <v>4.992679929915993</v>
      </c>
      <c r="AB155" s="173">
        <f ca="1">(VLOOKUP(AB$72,INDIRECT($C$5&amp;"生成成长"),2))/((VLOOKUP($B155,INDIRECT($B$5&amp;"生成成长"),4))/(VLOOKUP(AB$72,INDIRECT($C$5&amp;"生成成长"),5))*(VLOOKUP($B$5,标准坦克设计!$B$24:$U$30,MATCH("对"&amp;LEFT($C$5,2)&amp;"输出",标准坦克设计!$B$23:$U$23,0)))*(VLOOKUP($B155,INDIRECT($B$5&amp;"生成成长"),3))*(VLOOKUP($B$5,标准坦克设计!$B$14:$K$20,9)/30))</f>
        <v>5.4724807739820669</v>
      </c>
      <c r="AC155" s="173">
        <f ca="1">(VLOOKUP(AC$72,INDIRECT($C$5&amp;"生成成长"),2))/((VLOOKUP($B155,INDIRECT($B$5&amp;"生成成长"),4))/(VLOOKUP(AC$72,INDIRECT($C$5&amp;"生成成长"),5))*(VLOOKUP($B$5,标准坦克设计!$B$24:$U$30,MATCH("对"&amp;LEFT($C$5,2)&amp;"输出",标准坦克设计!$B$23:$U$23,0)))*(VLOOKUP($B155,INDIRECT($B$5&amp;"生成成长"),3))*(VLOOKUP($B$5,标准坦克设计!$B$14:$K$20,9)/30))</f>
        <v>5.9742908310786955</v>
      </c>
      <c r="AD155" s="173">
        <f ca="1">(VLOOKUP(AD$72,INDIRECT($C$5&amp;"生成成长"),2))/((VLOOKUP($B155,INDIRECT($B$5&amp;"生成成长"),4))/(VLOOKUP(AD$72,INDIRECT($C$5&amp;"生成成长"),5))*(VLOOKUP($B$5,标准坦克设计!$B$24:$U$30,MATCH("对"&amp;LEFT($C$5,2)&amp;"输出",标准坦克设计!$B$23:$U$23,0)))*(VLOOKUP($B155,INDIRECT($B$5&amp;"生成成长"),3))*(VLOOKUP($B$5,标准坦克设计!$B$14:$K$20,9)/30))</f>
        <v>6.498110101205878</v>
      </c>
      <c r="AE155" s="173">
        <f ca="1">(VLOOKUP(AE$72,INDIRECT($C$5&amp;"生成成长"),2))/((VLOOKUP($B155,INDIRECT($B$5&amp;"生成成长"),4))/(VLOOKUP(AE$72,INDIRECT($C$5&amp;"生成成长"),5))*(VLOOKUP($B$5,标准坦克设计!$B$24:$U$30,MATCH("对"&amp;LEFT($C$5,2)&amp;"输出",标准坦克设计!$B$23:$U$23,0)))*(VLOOKUP($B155,INDIRECT($B$5&amp;"生成成长"),3))*(VLOOKUP($B$5,标准坦克设计!$B$14:$K$20,9)/30))</f>
        <v>7.0439385843636142</v>
      </c>
      <c r="AF155" s="173">
        <f ca="1">(VLOOKUP(AF$72,INDIRECT($C$5&amp;"生成成长"),2))/((VLOOKUP($B155,INDIRECT($B$5&amp;"生成成长"),4))/(VLOOKUP(AF$72,INDIRECT($C$5&amp;"生成成长"),5))*(VLOOKUP($B$5,标准坦克设计!$B$24:$U$30,MATCH("对"&amp;LEFT($C$5,2)&amp;"输出",标准坦克设计!$B$23:$U$23,0)))*(VLOOKUP($B155,INDIRECT($B$5&amp;"生成成长"),3))*(VLOOKUP($B$5,标准坦克设计!$B$14:$K$20,9)/30))</f>
        <v>7.6117762805519034</v>
      </c>
      <c r="AG155" s="173">
        <f ca="1">(VLOOKUP(AG$72,INDIRECT($C$5&amp;"生成成长"),2))/((VLOOKUP($B155,INDIRECT($B$5&amp;"生成成长"),4))/(VLOOKUP(AG$72,INDIRECT($C$5&amp;"生成成长"),5))*(VLOOKUP($B$5,标准坦克设计!$B$24:$U$30,MATCH("对"&amp;LEFT($C$5,2)&amp;"输出",标准坦克设计!$B$23:$U$23,0)))*(VLOOKUP($B155,INDIRECT($B$5&amp;"生成成长"),3))*(VLOOKUP($B$5,标准坦克设计!$B$14:$K$20,9)/30))</f>
        <v>8.2016231897707463</v>
      </c>
      <c r="AH155" s="173">
        <f ca="1">(VLOOKUP(AH$72,INDIRECT($C$5&amp;"生成成长"),2))/((VLOOKUP($B155,INDIRECT($B$5&amp;"生成成长"),4))/(VLOOKUP(AH$72,INDIRECT($C$5&amp;"生成成长"),5))*(VLOOKUP($B$5,标准坦克设计!$B$24:$U$30,MATCH("对"&amp;LEFT($C$5,2)&amp;"输出",标准坦克设计!$B$23:$U$23,0)))*(VLOOKUP($B155,INDIRECT($B$5&amp;"生成成长"),3))*(VLOOKUP($B$5,标准坦克设计!$B$14:$K$20,9)/30))</f>
        <v>8.8134793120201422</v>
      </c>
      <c r="AI155" s="173">
        <f ca="1">(VLOOKUP(AI$72,INDIRECT($C$5&amp;"生成成长"),2))/((VLOOKUP($B155,INDIRECT($B$5&amp;"生成成长"),4))/(VLOOKUP(AI$72,INDIRECT($C$5&amp;"生成成长"),5))*(VLOOKUP($B$5,标准坦克设计!$B$24:$U$30,MATCH("对"&amp;LEFT($C$5,2)&amp;"输出",标准坦克设计!$B$23:$U$23,0)))*(VLOOKUP($B155,INDIRECT($B$5&amp;"生成成长"),3))*(VLOOKUP($B$5,标准坦克设计!$B$14:$K$20,9)/30))</f>
        <v>6.233449314513468</v>
      </c>
      <c r="AJ155" s="173">
        <f ca="1">(VLOOKUP(AJ$72,INDIRECT($C$5&amp;"生成成长"),2))/((VLOOKUP($B155,INDIRECT($B$5&amp;"生成成长"),4))/(VLOOKUP(AJ$72,INDIRECT($C$5&amp;"生成成长"),5))*(VLOOKUP($B$5,标准坦克设计!$B$24:$U$30,MATCH("对"&amp;LEFT($C$5,2)&amp;"输出",标准坦克设计!$B$23:$U$23,0)))*(VLOOKUP($B155,INDIRECT($B$5&amp;"生成成长"),3))*(VLOOKUP($B$5,标准坦克设计!$B$14:$K$20,9)/30))</f>
        <v>6.8229660855368532</v>
      </c>
      <c r="AK155" s="173">
        <f ca="1">(VLOOKUP(AK$72,INDIRECT($C$5&amp;"生成成长"),2))/((VLOOKUP($B155,INDIRECT($B$5&amp;"生成成长"),4))/(VLOOKUP(AK$72,INDIRECT($C$5&amp;"生成成长"),5))*(VLOOKUP($B$5,标准坦克设计!$B$24:$U$30,MATCH("对"&amp;LEFT($C$5,2)&amp;"输出",标准坦克设计!$B$23:$U$23,0)))*(VLOOKUP($B155,INDIRECT($B$5&amp;"生成成长"),3))*(VLOOKUP($B$5,标准坦克设计!$B$14:$K$20,9)/30))</f>
        <v>7.439114004327207</v>
      </c>
      <c r="AL155" s="173">
        <f ca="1">(VLOOKUP(AL$72,INDIRECT($C$5&amp;"生成成长"),2))/((VLOOKUP($B155,INDIRECT($B$5&amp;"生成成长"),4))/(VLOOKUP(AL$72,INDIRECT($C$5&amp;"生成成长"),5))*(VLOOKUP($B$5,标准坦克设计!$B$24:$U$30,MATCH("对"&amp;LEFT($C$5,2)&amp;"输出",标准坦克设计!$B$23:$U$23,0)))*(VLOOKUP($B155,INDIRECT($B$5&amp;"生成成长"),3))*(VLOOKUP($B$5,标准坦克设计!$B$14:$K$20,9)/30))</f>
        <v>8.0818930708845347</v>
      </c>
      <c r="AM155" s="173">
        <f ca="1">(VLOOKUP(AM$72,INDIRECT($C$5&amp;"生成成长"),2))/((VLOOKUP($B155,INDIRECT($B$5&amp;"生成成长"),4))/(VLOOKUP(AM$72,INDIRECT($C$5&amp;"生成成长"),5))*(VLOOKUP($B$5,标准坦克设计!$B$24:$U$30,MATCH("对"&amp;LEFT($C$5,2)&amp;"输出",标准坦克设计!$B$23:$U$23,0)))*(VLOOKUP($B155,INDIRECT($B$5&amp;"生成成长"),3))*(VLOOKUP($B$5,标准坦克设计!$B$14:$K$20,9)/30))</f>
        <v>8.7513032852088291</v>
      </c>
      <c r="AN155" s="173">
        <f ca="1">(VLOOKUP(AN$72,INDIRECT($C$5&amp;"生成成长"),2))/((VLOOKUP($B155,INDIRECT($B$5&amp;"生成成长"),4))/(VLOOKUP(AN$72,INDIRECT($C$5&amp;"生成成长"),5))*(VLOOKUP($B$5,标准坦克设计!$B$24:$U$30,MATCH("对"&amp;LEFT($C$5,2)&amp;"输出",标准坦克设计!$B$23:$U$23,0)))*(VLOOKUP($B155,INDIRECT($B$5&amp;"生成成长"),3))*(VLOOKUP($B$5,标准坦克设计!$B$14:$K$20,9)/30))</f>
        <v>9.4473446473000955</v>
      </c>
      <c r="AO155" s="173">
        <f ca="1">(VLOOKUP(AO$72,INDIRECT($C$5&amp;"生成成长"),2))/((VLOOKUP($B155,INDIRECT($B$5&amp;"生成成长"),4))/(VLOOKUP(AO$72,INDIRECT($C$5&amp;"生成成长"),5))*(VLOOKUP($B$5,标准坦克设计!$B$24:$U$30,MATCH("对"&amp;LEFT($C$5,2)&amp;"输出",标准坦克设计!$B$23:$U$23,0)))*(VLOOKUP($B155,INDIRECT($B$5&amp;"生成成长"),3))*(VLOOKUP($B$5,标准坦克设计!$B$14:$K$20,9)/30))</f>
        <v>10.170017157158334</v>
      </c>
      <c r="AP155" s="173">
        <f ca="1">(VLOOKUP(AP$72,INDIRECT($C$5&amp;"生成成长"),2))/((VLOOKUP($B155,INDIRECT($B$5&amp;"生成成长"),4))/(VLOOKUP(AP$72,INDIRECT($C$5&amp;"生成成长"),5))*(VLOOKUP($B$5,标准坦克设计!$B$24:$U$30,MATCH("对"&amp;LEFT($C$5,2)&amp;"输出",标准坦克设计!$B$23:$U$23,0)))*(VLOOKUP($B155,INDIRECT($B$5&amp;"生成成长"),3))*(VLOOKUP($B$5,标准坦克设计!$B$14:$K$20,9)/30))</f>
        <v>10.919320814783539</v>
      </c>
      <c r="AQ155" s="173">
        <f ca="1">(VLOOKUP(AQ$72,INDIRECT($C$5&amp;"生成成长"),2))/((VLOOKUP($B155,INDIRECT($B$5&amp;"生成成长"),4))/(VLOOKUP(AQ$72,INDIRECT($C$5&amp;"生成成长"),5))*(VLOOKUP($B$5,标准坦克设计!$B$24:$U$30,MATCH("对"&amp;LEFT($C$5,2)&amp;"输出",标准坦克设计!$B$23:$U$23,0)))*(VLOOKUP($B155,INDIRECT($B$5&amp;"生成成长"),3))*(VLOOKUP($B$5,标准坦克设计!$B$14:$K$20,9)/30))</f>
        <v>11.695255620175715</v>
      </c>
      <c r="AR155" s="173">
        <f ca="1">(VLOOKUP(AR$72,INDIRECT($C$5&amp;"生成成长"),2))/((VLOOKUP($B155,INDIRECT($B$5&amp;"生成成长"),4))/(VLOOKUP(AR$72,INDIRECT($C$5&amp;"生成成长"),5))*(VLOOKUP($B$5,标准坦克设计!$B$24:$U$30,MATCH("对"&amp;LEFT($C$5,2)&amp;"输出",标准坦克设计!$B$23:$U$23,0)))*(VLOOKUP($B155,INDIRECT($B$5&amp;"生成成长"),3))*(VLOOKUP($B$5,标准坦克设计!$B$14:$K$20,9)/30))</f>
        <v>12.497821573334862</v>
      </c>
      <c r="AS155" s="173">
        <f ca="1">(VLOOKUP(AS$72,INDIRECT($C$5&amp;"生成成长"),2))/((VLOOKUP($B155,INDIRECT($B$5&amp;"生成成长"),4))/(VLOOKUP(AS$72,INDIRECT($C$5&amp;"生成成长"),5))*(VLOOKUP($B$5,标准坦克设计!$B$24:$U$30,MATCH("对"&amp;LEFT($C$5,2)&amp;"输出",标准坦克设计!$B$23:$U$23,0)))*(VLOOKUP($B155,INDIRECT($B$5&amp;"生成成长"),3))*(VLOOKUP($B$5,标准坦克设计!$B$14:$K$20,9)/30))</f>
        <v>13.32701867426098</v>
      </c>
      <c r="AT155" s="173">
        <f ca="1">(VLOOKUP(AT$72,INDIRECT($C$5&amp;"生成成长"),2))/((VLOOKUP($B155,INDIRECT($B$5&amp;"生成成长"),4))/(VLOOKUP(AT$72,INDIRECT($C$5&amp;"生成成长"),5))*(VLOOKUP($B$5,标准坦克设计!$B$24:$U$30,MATCH("对"&amp;LEFT($C$5,2)&amp;"输出",标准坦克设计!$B$23:$U$23,0)))*(VLOOKUP($B155,INDIRECT($B$5&amp;"生成成长"),3))*(VLOOKUP($B$5,标准坦克设计!$B$14:$K$20,9)/30))</f>
        <v>14.182846922954065</v>
      </c>
      <c r="AU155" s="173">
        <f ca="1">(VLOOKUP(AU$72,INDIRECT($C$5&amp;"生成成长"),2))/((VLOOKUP($B155,INDIRECT($B$5&amp;"生成成长"),4))/(VLOOKUP(AU$72,INDIRECT($C$5&amp;"生成成长"),5))*(VLOOKUP($B$5,标准坦克设计!$B$24:$U$30,MATCH("对"&amp;LEFT($C$5,2)&amp;"输出",标准坦克设计!$B$23:$U$23,0)))*(VLOOKUP($B155,INDIRECT($B$5&amp;"生成成长"),3))*(VLOOKUP($B$5,标准坦克设计!$B$14:$K$20,9)/30))</f>
        <v>15.065306319414127</v>
      </c>
      <c r="AV155" s="173">
        <f ca="1">(VLOOKUP(AV$72,INDIRECT($C$5&amp;"生成成长"),2))/((VLOOKUP($B155,INDIRECT($B$5&amp;"生成成长"),4))/(VLOOKUP(AV$72,INDIRECT($C$5&amp;"生成成长"),5))*(VLOOKUP($B$5,标准坦克设计!$B$24:$U$30,MATCH("对"&amp;LEFT($C$5,2)&amp;"输出",标准坦克设计!$B$23:$U$23,0)))*(VLOOKUP($B155,INDIRECT($B$5&amp;"生成成长"),3))*(VLOOKUP($B$5,标准坦克设计!$B$14:$K$20,9)/30))</f>
        <v>1.5322814111871603</v>
      </c>
      <c r="AW155" s="173">
        <f ca="1">(VLOOKUP(AW$72,INDIRECT($C$5&amp;"生成成长"),2))/((VLOOKUP($B155,INDIRECT($B$5&amp;"生成成长"),4))/(VLOOKUP(AW$72,INDIRECT($C$5&amp;"生成成长"),5))*(VLOOKUP($B$5,标准坦克设计!$B$24:$U$30,MATCH("对"&amp;LEFT($C$5,2)&amp;"输出",标准坦克设计!$B$23:$U$23,0)))*(VLOOKUP($B155,INDIRECT($B$5&amp;"生成成长"),3))*(VLOOKUP($B$5,标准坦克设计!$B$14:$K$20,9)/30))</f>
        <v>1.7470913303653663</v>
      </c>
      <c r="AX155" s="173">
        <f ca="1">(VLOOKUP(AX$72,INDIRECT($C$5&amp;"生成成长"),2))/((VLOOKUP($B155,INDIRECT($B$5&amp;"生成成长"),4))/(VLOOKUP(AX$72,INDIRECT($C$5&amp;"生成成长"),5))*(VLOOKUP($B$5,标准坦克设计!$B$24:$U$30,MATCH("对"&amp;LEFT($C$5,2)&amp;"输出",标准坦克设计!$B$23:$U$23,0)))*(VLOOKUP($B155,INDIRECT($B$5&amp;"生成成长"),3))*(VLOOKUP($B$5,标准坦克设计!$B$14:$K$20,9)/30))</f>
        <v>1.9759871458831266</v>
      </c>
      <c r="AY155" s="173">
        <f ca="1">(VLOOKUP(AY$72,INDIRECT($C$5&amp;"生成成长"),2))/((VLOOKUP($B155,INDIRECT($B$5&amp;"生成成长"),4))/(VLOOKUP(AY$72,INDIRECT($C$5&amp;"生成成长"),5))*(VLOOKUP($B$5,标准坦克设计!$B$24:$U$30,MATCH("对"&amp;LEFT($C$5,2)&amp;"输出",标准坦克设计!$B$23:$U$23,0)))*(VLOOKUP($B155,INDIRECT($B$5&amp;"生成成长"),3))*(VLOOKUP($B$5,标准坦克设计!$B$14:$K$20,9)/30))</f>
        <v>2.2189688577404412</v>
      </c>
      <c r="AZ155" s="173">
        <f ca="1">(VLOOKUP(AZ$72,INDIRECT($C$5&amp;"生成成长"),2))/((VLOOKUP($B155,INDIRECT($B$5&amp;"生成成长"),4))/(VLOOKUP(AZ$72,INDIRECT($C$5&amp;"生成成长"),5))*(VLOOKUP($B$5,标准坦克设计!$B$24:$U$30,MATCH("对"&amp;LEFT($C$5,2)&amp;"输出",标准坦克设计!$B$23:$U$23,0)))*(VLOOKUP($B155,INDIRECT($B$5&amp;"生成成长"),3))*(VLOOKUP($B$5,标准坦克设计!$B$14:$K$20,9)/30))</f>
        <v>2.4760364659373102</v>
      </c>
      <c r="BA155" s="173">
        <f ca="1">(VLOOKUP(BA$72,INDIRECT($C$5&amp;"生成成长"),2))/((VLOOKUP($B155,INDIRECT($B$5&amp;"生成成长"),4))/(VLOOKUP(BA$72,INDIRECT($C$5&amp;"生成成长"),5))*(VLOOKUP($B$5,标准坦克设计!$B$24:$U$30,MATCH("对"&amp;LEFT($C$5,2)&amp;"输出",标准坦克设计!$B$23:$U$23,0)))*(VLOOKUP($B155,INDIRECT($B$5&amp;"生成成长"),3))*(VLOOKUP($B$5,标准坦克设计!$B$14:$K$20,9)/30))</f>
        <v>2.7471899704737339</v>
      </c>
      <c r="BB155" s="173">
        <f ca="1">(VLOOKUP(BB$72,INDIRECT($C$5&amp;"生成成长"),2))/((VLOOKUP($B155,INDIRECT($B$5&amp;"生成成长"),4))/(VLOOKUP(BB$72,INDIRECT($C$5&amp;"生成成长"),5))*(VLOOKUP($B$5,标准坦克设计!$B$24:$U$30,MATCH("对"&amp;LEFT($C$5,2)&amp;"输出",标准坦克设计!$B$23:$U$23,0)))*(VLOOKUP($B155,INDIRECT($B$5&amp;"生成成长"),3))*(VLOOKUP($B$5,标准坦克设计!$B$14:$K$20,9)/30))</f>
        <v>3.0324293713497124</v>
      </c>
      <c r="BC155" s="173">
        <f ca="1">(VLOOKUP(BC$72,INDIRECT($C$5&amp;"生成成长"),2))/((VLOOKUP($B155,INDIRECT($B$5&amp;"生成成长"),4))/(VLOOKUP(BC$72,INDIRECT($C$5&amp;"生成成长"),5))*(VLOOKUP($B$5,标准坦克设计!$B$24:$U$30,MATCH("对"&amp;LEFT($C$5,2)&amp;"输出",标准坦克设计!$B$23:$U$23,0)))*(VLOOKUP($B155,INDIRECT($B$5&amp;"生成成长"),3))*(VLOOKUP($B$5,标准坦克设计!$B$14:$K$20,9)/30))</f>
        <v>3.331754668565245</v>
      </c>
      <c r="BD155" s="173">
        <f ca="1">(VLOOKUP(BD$72,INDIRECT($C$5&amp;"生成成长"),2))/((VLOOKUP($B155,INDIRECT($B$5&amp;"生成成长"),4))/(VLOOKUP(BD$72,INDIRECT($C$5&amp;"生成成长"),5))*(VLOOKUP($B$5,标准坦克设计!$B$24:$U$30,MATCH("对"&amp;LEFT($C$5,2)&amp;"输出",标准坦克设计!$B$23:$U$23,0)))*(VLOOKUP($B155,INDIRECT($B$5&amp;"生成成长"),3))*(VLOOKUP($B$5,标准坦克设计!$B$14:$K$20,9)/30))</f>
        <v>3.6853326759010927</v>
      </c>
      <c r="BE155" s="173">
        <f ca="1">(VLOOKUP(BE$72,INDIRECT($C$5&amp;"生成成长"),2))/((VLOOKUP($B155,INDIRECT($B$5&amp;"生成成长"),4))/(VLOOKUP(BE$72,INDIRECT($C$5&amp;"生成成长"),5))*(VLOOKUP($B$5,标准坦克设计!$B$24:$U$30,MATCH("对"&amp;LEFT($C$5,2)&amp;"输出",标准坦克设计!$B$23:$U$23,0)))*(VLOOKUP($B155,INDIRECT($B$5&amp;"生成成长"),3))*(VLOOKUP($B$5,标准坦克设计!$B$14:$K$20,9)/30))</f>
        <v>4.05673814579169</v>
      </c>
      <c r="BF155" s="173">
        <f ca="1">(VLOOKUP(BF$72,INDIRECT($C$5&amp;"生成成长"),2))/((VLOOKUP($B155,INDIRECT($B$5&amp;"生成成长"),4))/(VLOOKUP(BF$72,INDIRECT($C$5&amp;"生成成长"),5))*(VLOOKUP($B$5,标准坦克设计!$B$24:$U$30,MATCH("对"&amp;LEFT($C$5,2)&amp;"输出",标准坦克设计!$B$23:$U$23,0)))*(VLOOKUP($B155,INDIRECT($B$5&amp;"生成成长"),3))*(VLOOKUP($B$5,标准坦克设计!$B$14:$K$20,9)/30))</f>
        <v>4.4459710782370347</v>
      </c>
      <c r="BG155" s="173">
        <f ca="1">(VLOOKUP(BG$72,INDIRECT($C$5&amp;"生成成长"),2))/((VLOOKUP($B155,INDIRECT($B$5&amp;"生成成长"),4))/(VLOOKUP(BG$72,INDIRECT($C$5&amp;"生成成长"),5))*(VLOOKUP($B$5,标准坦克设计!$B$24:$U$30,MATCH("对"&amp;LEFT($C$5,2)&amp;"输出",标准坦克设计!$B$23:$U$23,0)))*(VLOOKUP($B155,INDIRECT($B$5&amp;"生成成长"),3))*(VLOOKUP($B$5,标准坦克设计!$B$14:$K$20,9)/30))</f>
        <v>4.8530314732371291</v>
      </c>
      <c r="BH155" s="173">
        <f ca="1">(VLOOKUP(BH$72,INDIRECT($C$5&amp;"生成成长"),2))/((VLOOKUP($B155,INDIRECT($B$5&amp;"生成成长"),4))/(VLOOKUP(BH$72,INDIRECT($C$5&amp;"生成成长"),5))*(VLOOKUP($B$5,标准坦克设计!$B$24:$U$30,MATCH("对"&amp;LEFT($C$5,2)&amp;"输出",标准坦克设计!$B$23:$U$23,0)))*(VLOOKUP($B155,INDIRECT($B$5&amp;"生成成长"),3))*(VLOOKUP($B$5,标准坦克设计!$B$14:$K$20,9)/30))</f>
        <v>2.3457419247964313</v>
      </c>
      <c r="BI155" s="173">
        <f ca="1">(VLOOKUP(BI$72,INDIRECT($C$5&amp;"生成成长"),2))/((VLOOKUP($B155,INDIRECT($B$5&amp;"生成成长"),4))/(VLOOKUP(BI$72,INDIRECT($C$5&amp;"生成成长"),5))*(VLOOKUP($B$5,标准坦克设计!$B$24:$U$30,MATCH("对"&amp;LEFT($C$5,2)&amp;"输出",标准坦克设计!$B$23:$U$23,0)))*(VLOOKUP($B155,INDIRECT($B$5&amp;"生成成长"),3))*(VLOOKUP($B$5,标准坦克设计!$B$14:$K$20,9)/30))</f>
        <v>2.6438567152952839</v>
      </c>
      <c r="BJ155" s="173">
        <f ca="1">(VLOOKUP(BJ$72,INDIRECT($C$5&amp;"生成成长"),2))/((VLOOKUP($B155,INDIRECT($B$5&amp;"生成成长"),4))/(VLOOKUP(BJ$72,INDIRECT($C$5&amp;"生成成长"),5))*(VLOOKUP($B$5,标准坦克设计!$B$24:$U$30,MATCH("对"&amp;LEFT($C$5,2)&amp;"输出",标准坦克设计!$B$23:$U$23,0)))*(VLOOKUP($B155,INDIRECT($B$5&amp;"生成成长"),3))*(VLOOKUP($B$5,标准坦克设计!$B$14:$K$20,9)/30))</f>
        <v>2.9597989683488848</v>
      </c>
      <c r="BK155" s="173">
        <f ca="1">(VLOOKUP(BK$72,INDIRECT($C$5&amp;"生成成长"),2))/((VLOOKUP($B155,INDIRECT($B$5&amp;"生成成长"),4))/(VLOOKUP(BK$72,INDIRECT($C$5&amp;"生成成长"),5))*(VLOOKUP($B$5,标准坦克设计!$B$24:$U$30,MATCH("对"&amp;LEFT($C$5,2)&amp;"输出",标准坦克设计!$B$23:$U$23,0)))*(VLOOKUP($B155,INDIRECT($B$5&amp;"生成成长"),3))*(VLOOKUP($B$5,标准坦克设计!$B$14:$K$20,9)/30))</f>
        <v>3.2935686839572336</v>
      </c>
      <c r="BL155" s="173">
        <f ca="1">(VLOOKUP(BL$72,INDIRECT($C$5&amp;"生成成长"),2))/((VLOOKUP($B155,INDIRECT($B$5&amp;"生成成长"),4))/(VLOOKUP(BL$72,INDIRECT($C$5&amp;"生成成长"),5))*(VLOOKUP($B$5,标准坦克设计!$B$24:$U$30,MATCH("对"&amp;LEFT($C$5,2)&amp;"输出",标准坦克设计!$B$23:$U$23,0)))*(VLOOKUP($B155,INDIRECT($B$5&amp;"生成成长"),3))*(VLOOKUP($B$5,标准坦克设计!$B$14:$K$20,9)/30))</f>
        <v>3.6451658621203324</v>
      </c>
      <c r="BM155" s="173">
        <f ca="1">(VLOOKUP(BM$72,INDIRECT($C$5&amp;"生成成长"),2))/((VLOOKUP($B155,INDIRECT($B$5&amp;"生成成长"),4))/(VLOOKUP(BM$72,INDIRECT($C$5&amp;"生成成长"),5))*(VLOOKUP($B$5,标准坦克设计!$B$24:$U$30,MATCH("对"&amp;LEFT($C$5,2)&amp;"输出",标准坦克设计!$B$23:$U$23,0)))*(VLOOKUP($B155,INDIRECT($B$5&amp;"生成成长"),3))*(VLOOKUP($B$5,标准坦克设计!$B$14:$K$20,9)/30))</f>
        <v>4.0145905028381783</v>
      </c>
      <c r="BN155" s="173">
        <f ca="1">(VLOOKUP(BN$72,INDIRECT($C$5&amp;"生成成长"),2))/((VLOOKUP($B155,INDIRECT($B$5&amp;"生成成长"),4))/(VLOOKUP(BN$72,INDIRECT($C$5&amp;"生成成长"),5))*(VLOOKUP($B$5,标准坦克设计!$B$24:$U$30,MATCH("对"&amp;LEFT($C$5,2)&amp;"输出",标准坦克设计!$B$23:$U$23,0)))*(VLOOKUP($B155,INDIRECT($B$5&amp;"生成成长"),3))*(VLOOKUP($B$5,标准坦克设计!$B$14:$K$20,9)/30))</f>
        <v>4.4018426061107743</v>
      </c>
      <c r="BO155" s="173">
        <f ca="1">(VLOOKUP(BO$72,INDIRECT($C$5&amp;"生成成长"),2))/((VLOOKUP($B155,INDIRECT($B$5&amp;"生成成长"),4))/(VLOOKUP(BO$72,INDIRECT($C$5&amp;"生成成长"),5))*(VLOOKUP($B$5,标准坦克设计!$B$24:$U$30,MATCH("对"&amp;LEFT($C$5,2)&amp;"输出",标准坦克设计!$B$23:$U$23,0)))*(VLOOKUP($B155,INDIRECT($B$5&amp;"生成成长"),3))*(VLOOKUP($B$5,标准坦克设计!$B$14:$K$20,9)/30))</f>
        <v>4.8069221719381181</v>
      </c>
      <c r="BP155" s="173">
        <f ca="1">(VLOOKUP(BP$72,INDIRECT($C$5&amp;"生成成长"),2))/((VLOOKUP($B155,INDIRECT($B$5&amp;"生成成长"),4))/(VLOOKUP(BP$72,INDIRECT($C$5&amp;"生成成长"),5))*(VLOOKUP($B$5,标准坦克设计!$B$24:$U$30,MATCH("对"&amp;LEFT($C$5,2)&amp;"输出",标准坦克设计!$B$23:$U$23,0)))*(VLOOKUP($B155,INDIRECT($B$5&amp;"生成成长"),3))*(VLOOKUP($B$5,标准坦克设计!$B$14:$K$20,9)/30))</f>
        <v>5.2298292003202107</v>
      </c>
      <c r="BQ155" s="173">
        <f ca="1">(VLOOKUP(BQ$72,INDIRECT($C$5&amp;"生成成长"),2))/((VLOOKUP($B155,INDIRECT($B$5&amp;"生成成长"),4))/(VLOOKUP(BQ$72,INDIRECT($C$5&amp;"生成成长"),5))*(VLOOKUP($B$5,标准坦克设计!$B$24:$U$30,MATCH("对"&amp;LEFT($C$5,2)&amp;"输出",标准坦克设计!$B$23:$U$23,0)))*(VLOOKUP($B155,INDIRECT($B$5&amp;"生成成长"),3))*(VLOOKUP($B$5,标准坦克设计!$B$14:$K$20,9)/30))</f>
        <v>5.6705636912570512</v>
      </c>
      <c r="BR155" s="173">
        <f ca="1">(VLOOKUP(BR$72,INDIRECT($C$5&amp;"生成成长"),2))/((VLOOKUP($B155,INDIRECT($B$5&amp;"生成成长"),4))/(VLOOKUP(BR$72,INDIRECT($C$5&amp;"生成成长"),5))*(VLOOKUP($B$5,标准坦克设计!$B$24:$U$30,MATCH("对"&amp;LEFT($C$5,2)&amp;"输出",标准坦克设计!$B$23:$U$23,0)))*(VLOOKUP($B155,INDIRECT($B$5&amp;"生成成长"),3))*(VLOOKUP($B$5,标准坦克设计!$B$14:$K$20,9)/30))</f>
        <v>6.1811774335659022</v>
      </c>
      <c r="BS155" s="173">
        <f ca="1">(VLOOKUP(BS$72,INDIRECT($C$5&amp;"生成成长"),2))/((VLOOKUP($B155,INDIRECT($B$5&amp;"生成成长"),4))/(VLOOKUP(BS$72,INDIRECT($C$5&amp;"生成成长"),5))*(VLOOKUP($B$5,标准坦克设计!$B$24:$U$30,MATCH("对"&amp;LEFT($C$5,2)&amp;"输出",标准坦克设计!$B$23:$U$23,0)))*(VLOOKUP($B155,INDIRECT($B$5&amp;"生成成长"),3))*(VLOOKUP($B$5,标准坦克设计!$B$14:$K$20,9)/30))</f>
        <v>6.7138003889053062</v>
      </c>
      <c r="BT155" s="173">
        <f ca="1">(VLOOKUP(BT$72,INDIRECT($C$5&amp;"生成成长"),2))/((VLOOKUP($B155,INDIRECT($B$5&amp;"生成成长"),4))/(VLOOKUP(BT$72,INDIRECT($C$5&amp;"生成成长"),5))*(VLOOKUP($B$5,标准坦克设计!$B$24:$U$30,MATCH("对"&amp;LEFT($C$5,2)&amp;"输出",标准坦克设计!$B$23:$U$23,0)))*(VLOOKUP($B155,INDIRECT($B$5&amp;"生成成长"),3))*(VLOOKUP($B$5,标准坦克设计!$B$14:$K$20,9)/30))</f>
        <v>7.2684325572752631</v>
      </c>
      <c r="BU155" s="173">
        <f ca="1">(VLOOKUP(BU$72,INDIRECT($C$5&amp;"生成成长"),2))/((VLOOKUP($B155,INDIRECT($B$5&amp;"生成成长"),4))/(VLOOKUP(BU$72,INDIRECT($C$5&amp;"生成成长"),5))*(VLOOKUP($B$5,标准坦克设计!$B$24:$U$30,MATCH("对"&amp;LEFT($C$5,2)&amp;"输出",标准坦克设计!$B$23:$U$23,0)))*(VLOOKUP($B155,INDIRECT($B$5&amp;"生成成长"),3))*(VLOOKUP($B$5,标准坦克设计!$B$14:$K$20,9)/30))</f>
        <v>7.8450739386757755</v>
      </c>
      <c r="BV155" s="173">
        <f ca="1">(VLOOKUP(BV$72,INDIRECT($C$5&amp;"生成成长"),2))/((VLOOKUP($B155,INDIRECT($B$5&amp;"生成成长"),4))/(VLOOKUP(BV$72,INDIRECT($C$5&amp;"生成成长"),5))*(VLOOKUP($B$5,标准坦克设计!$B$24:$U$30,MATCH("对"&amp;LEFT($C$5,2)&amp;"输出",标准坦克设计!$B$23:$U$23,0)))*(VLOOKUP($B155,INDIRECT($B$5&amp;"生成成长"),3))*(VLOOKUP($B$5,标准坦克设计!$B$14:$K$20,9)/30))</f>
        <v>8.4437245331068382</v>
      </c>
      <c r="BW155" s="173">
        <f ca="1">(VLOOKUP(BW$72,INDIRECT($C$5&amp;"生成成长"),2))/((VLOOKUP($B155,INDIRECT($B$5&amp;"生成成长"),4))/(VLOOKUP(BW$72,INDIRECT($C$5&amp;"生成成长"),5))*(VLOOKUP($B$5,标准坦克设计!$B$24:$U$30,MATCH("对"&amp;LEFT($C$5,2)&amp;"输出",标准坦克设计!$B$23:$U$23,0)))*(VLOOKUP($B155,INDIRECT($B$5&amp;"生成成长"),3))*(VLOOKUP($B$5,标准坦克设计!$B$14:$K$20,9)/30))</f>
        <v>3.8482008523271918</v>
      </c>
      <c r="BX155" s="173">
        <f ca="1">(VLOOKUP(BX$72,INDIRECT($C$5&amp;"生成成长"),2))/((VLOOKUP($B155,INDIRECT($B$5&amp;"生成成长"),4))/(VLOOKUP(BX$72,INDIRECT($C$5&amp;"生成成长"),5))*(VLOOKUP($B$5,标准坦克设计!$B$24:$U$30,MATCH("对"&amp;LEFT($C$5,2)&amp;"输出",标准坦克设计!$B$23:$U$23,0)))*(VLOOKUP($B155,INDIRECT($B$5&amp;"生成成长"),3))*(VLOOKUP($B$5,标准坦克设计!$B$14:$K$20,9)/30))</f>
        <v>4.2707777425138254</v>
      </c>
      <c r="BY155" s="173">
        <f ca="1">(VLOOKUP(BY$72,INDIRECT($C$5&amp;"生成成长"),2))/((VLOOKUP($B155,INDIRECT($B$5&amp;"生成成长"),4))/(VLOOKUP(BY$72,INDIRECT($C$5&amp;"生成成长"),5))*(VLOOKUP($B$5,标准坦克设计!$B$24:$U$30,MATCH("对"&amp;LEFT($C$5,2)&amp;"输出",标准坦克设计!$B$23:$U$23,0)))*(VLOOKUP($B155,INDIRECT($B$5&amp;"生成成长"),3))*(VLOOKUP($B$5,标准坦克设计!$B$14:$K$20,9)/30))</f>
        <v>4.7153638457310141</v>
      </c>
      <c r="BZ155" s="173">
        <f ca="1">(VLOOKUP(BZ$72,INDIRECT($C$5&amp;"生成成长"),2))/((VLOOKUP($B155,INDIRECT($B$5&amp;"生成成长"),4))/(VLOOKUP(BZ$72,INDIRECT($C$5&amp;"生成成长"),5))*(VLOOKUP($B$5,标准坦克设计!$B$24:$U$30,MATCH("对"&amp;LEFT($C$5,2)&amp;"输出",标准坦克设计!$B$23:$U$23,0)))*(VLOOKUP($B155,INDIRECT($B$5&amp;"生成成长"),3))*(VLOOKUP($B$5,标准坦克设计!$B$14:$K$20,9)/30))</f>
        <v>5.1819591619787566</v>
      </c>
      <c r="CA155" s="173">
        <f ca="1">(VLOOKUP(CA$72,INDIRECT($C$5&amp;"生成成长"),2))/((VLOOKUP($B155,INDIRECT($B$5&amp;"生成成长"),4))/(VLOOKUP(CA$72,INDIRECT($C$5&amp;"生成成长"),5))*(VLOOKUP($B$5,标准坦克设计!$B$24:$U$30,MATCH("对"&amp;LEFT($C$5,2)&amp;"输出",标准坦克设计!$B$23:$U$23,0)))*(VLOOKUP($B155,INDIRECT($B$5&amp;"生成成长"),3))*(VLOOKUP($B$5,标准坦克设计!$B$14:$K$20,9)/30))</f>
        <v>5.6705636912570512</v>
      </c>
      <c r="CB155" s="173">
        <f ca="1">(VLOOKUP(CB$72,INDIRECT($C$5&amp;"生成成长"),2))/((VLOOKUP($B155,INDIRECT($B$5&amp;"生成成长"),4))/(VLOOKUP(CB$72,INDIRECT($C$5&amp;"生成成长"),5))*(VLOOKUP($B$5,标准坦克设计!$B$24:$U$30,MATCH("对"&amp;LEFT($C$5,2)&amp;"输出",标准坦克设计!$B$23:$U$23,0)))*(VLOOKUP($B155,INDIRECT($B$5&amp;"生成成长"),3))*(VLOOKUP($B$5,标准坦克设计!$B$14:$K$20,9)/30))</f>
        <v>6.1811774335659022</v>
      </c>
      <c r="CC155" s="173">
        <f ca="1">(VLOOKUP(CC$72,INDIRECT($C$5&amp;"生成成长"),2))/((VLOOKUP($B155,INDIRECT($B$5&amp;"生成成长"),4))/(VLOOKUP(CC$72,INDIRECT($C$5&amp;"生成成长"),5))*(VLOOKUP($B$5,标准坦克设计!$B$24:$U$30,MATCH("对"&amp;LEFT($C$5,2)&amp;"输出",标准坦克设计!$B$23:$U$23,0)))*(VLOOKUP($B155,INDIRECT($B$5&amp;"生成成长"),3))*(VLOOKUP($B$5,标准坦克设计!$B$14:$K$20,9)/30))</f>
        <v>6.7138003889053062</v>
      </c>
      <c r="CD155" s="173">
        <f ca="1">(VLOOKUP(CD$72,INDIRECT($C$5&amp;"生成成长"),2))/((VLOOKUP($B155,INDIRECT($B$5&amp;"生成成长"),4))/(VLOOKUP(CD$72,INDIRECT($C$5&amp;"生成成长"),5))*(VLOOKUP($B$5,标准坦克设计!$B$24:$U$30,MATCH("对"&amp;LEFT($C$5,2)&amp;"输出",标准坦克设计!$B$23:$U$23,0)))*(VLOOKUP($B155,INDIRECT($B$5&amp;"生成成长"),3))*(VLOOKUP($B$5,标准坦克设计!$B$14:$K$20,9)/30))</f>
        <v>7.2684325572752631</v>
      </c>
      <c r="CE155" s="173">
        <f ca="1">(VLOOKUP(CE$72,INDIRECT($C$5&amp;"生成成长"),2))/((VLOOKUP($B155,INDIRECT($B$5&amp;"生成成长"),4))/(VLOOKUP(CE$72,INDIRECT($C$5&amp;"生成成长"),5))*(VLOOKUP($B$5,标准坦克设计!$B$24:$U$30,MATCH("对"&amp;LEFT($C$5,2)&amp;"输出",标准坦克设计!$B$23:$U$23,0)))*(VLOOKUP($B155,INDIRECT($B$5&amp;"生成成长"),3))*(VLOOKUP($B$5,标准坦克设计!$B$14:$K$20,9)/30))</f>
        <v>7.8450739386757755</v>
      </c>
      <c r="CF155" s="173">
        <f ca="1">(VLOOKUP(CF$72,INDIRECT($C$5&amp;"生成成长"),2))/((VLOOKUP($B155,INDIRECT($B$5&amp;"生成成长"),4))/(VLOOKUP(CF$72,INDIRECT($C$5&amp;"生成成长"),5))*(VLOOKUP($B$5,标准坦克设计!$B$24:$U$30,MATCH("对"&amp;LEFT($C$5,2)&amp;"输出",标准坦克设计!$B$23:$U$23,0)))*(VLOOKUP($B155,INDIRECT($B$5&amp;"生成成长"),3))*(VLOOKUP($B$5,标准坦克设计!$B$14:$K$20,9)/30))</f>
        <v>8.4437245331068382</v>
      </c>
      <c r="CG155" s="173">
        <f ca="1">(VLOOKUP(CG$72,INDIRECT($C$5&amp;"生成成长"),2))/((VLOOKUP($B155,INDIRECT($B$5&amp;"生成成长"),4))/(VLOOKUP(CG$72,INDIRECT($C$5&amp;"生成成长"),5))*(VLOOKUP($B$5,标准坦克设计!$B$24:$U$30,MATCH("对"&amp;LEFT($C$5,2)&amp;"输出",标准坦克设计!$B$23:$U$23,0)))*(VLOOKUP($B155,INDIRECT($B$5&amp;"生成成长"),3))*(VLOOKUP($B$5,标准坦克设计!$B$14:$K$20,9)/30))</f>
        <v>9.0643843405684592</v>
      </c>
      <c r="CH155" s="173">
        <f ca="1">(VLOOKUP(CH$72,INDIRECT($C$5&amp;"生成成长"),2))/((VLOOKUP($B155,INDIRECT($B$5&amp;"生成成长"),4))/(VLOOKUP(CH$72,INDIRECT($C$5&amp;"生成成长"),5))*(VLOOKUP($B$5,标准坦克设计!$B$24:$U$30,MATCH("对"&amp;LEFT($C$5,2)&amp;"输出",标准坦克设计!$B$23:$U$23,0)))*(VLOOKUP($B155,INDIRECT($B$5&amp;"生成成长"),3))*(VLOOKUP($B$5,标准坦克设计!$B$14:$K$20,9)/30))</f>
        <v>9.7070533610606304</v>
      </c>
      <c r="CI155" s="173">
        <f ca="1">(VLOOKUP(CI$72,INDIRECT($C$5&amp;"生成成长"),2))/((VLOOKUP($B155,INDIRECT($B$5&amp;"生成成长"),4))/(VLOOKUP(CI$72,INDIRECT($C$5&amp;"生成成长"),5))*(VLOOKUP($B$5,标准坦克设计!$B$24:$U$30,MATCH("对"&amp;LEFT($C$5,2)&amp;"输出",标准坦克设计!$B$23:$U$23,0)))*(VLOOKUP($B155,INDIRECT($B$5&amp;"生成成长"),3))*(VLOOKUP($B$5,标准坦克设计!$B$14:$K$20,9)/30))</f>
        <v>10.43940992465231</v>
      </c>
      <c r="CJ155" s="173">
        <f ca="1">(VLOOKUP(CJ$72,INDIRECT($C$5&amp;"生成成长"),2))/((VLOOKUP($B155,INDIRECT($B$5&amp;"生成成长"),4))/(VLOOKUP(CJ$72,INDIRECT($C$5&amp;"生成成长"),5))*(VLOOKUP($B$5,标准坦克设计!$B$24:$U$30,MATCH("对"&amp;LEFT($C$5,2)&amp;"输出",标准坦克设计!$B$23:$U$23,0)))*(VLOOKUP($B155,INDIRECT($B$5&amp;"生成成长"),3))*(VLOOKUP($B$5,标准坦克设计!$B$14:$K$20,9)/30))</f>
        <v>11.198397636010961</v>
      </c>
      <c r="CK155" s="173">
        <f ca="1">(VLOOKUP(CK$72,INDIRECT($C$5&amp;"生成成长"),2))/((VLOOKUP($B155,INDIRECT($B$5&amp;"生成成长"),4))/(VLOOKUP(CK$72,INDIRECT($C$5&amp;"生成成长"),5))*(VLOOKUP($B$5,标准坦克设计!$B$24:$U$30,MATCH("对"&amp;LEFT($C$5,2)&amp;"输出",标准坦克设计!$B$23:$U$23,0)))*(VLOOKUP($B155,INDIRECT($B$5&amp;"生成成长"),3))*(VLOOKUP($B$5,标准坦克设计!$B$14:$K$20,9)/30))</f>
        <v>11.984016495136583</v>
      </c>
      <c r="CL155" s="173">
        <f ca="1">(VLOOKUP(CL$72,INDIRECT($C$5&amp;"生成成长"),2))/((VLOOKUP($B155,INDIRECT($B$5&amp;"生成成长"),4))/(VLOOKUP(CL$72,INDIRECT($C$5&amp;"生成成长"),5))*(VLOOKUP($B$5,标准坦克设计!$B$24:$U$30,MATCH("对"&amp;LEFT($C$5,2)&amp;"输出",标准坦克设计!$B$23:$U$23,0)))*(VLOOKUP($B155,INDIRECT($B$5&amp;"生成成长"),3))*(VLOOKUP($B$5,标准坦克设计!$B$14:$K$20,9)/30))</f>
        <v>12.796266502029173</v>
      </c>
      <c r="CM155" s="173">
        <f ca="1">(VLOOKUP(CM$72,INDIRECT($C$5&amp;"生成成长"),2))/((VLOOKUP($B155,INDIRECT($B$5&amp;"生成成长"),4))/(VLOOKUP(CM$72,INDIRECT($C$5&amp;"生成成长"),5))*(VLOOKUP($B$5,标准坦克设计!$B$24:$U$30,MATCH("对"&amp;LEFT($C$5,2)&amp;"输出",标准坦克设计!$B$23:$U$23,0)))*(VLOOKUP($B155,INDIRECT($B$5&amp;"生成成长"),3))*(VLOOKUP($B$5,标准坦克设计!$B$14:$K$20,9)/30))</f>
        <v>13.635147656688735</v>
      </c>
      <c r="CN155" s="173">
        <f ca="1">(VLOOKUP(CN$72,INDIRECT($C$5&amp;"生成成长"),2))/((VLOOKUP($B155,INDIRECT($B$5&amp;"生成成长"),4))/(VLOOKUP(CN$72,INDIRECT($C$5&amp;"生成成长"),5))*(VLOOKUP($B$5,标准坦克设计!$B$24:$U$30,MATCH("对"&amp;LEFT($C$5,2)&amp;"输出",标准坦克设计!$B$23:$U$23,0)))*(VLOOKUP($B155,INDIRECT($B$5&amp;"生成成长"),3))*(VLOOKUP($B$5,标准坦克设计!$B$14:$K$20,9)/30))</f>
        <v>14.500659959115266</v>
      </c>
      <c r="CO155" s="173">
        <f ca="1">(VLOOKUP(CO$72,INDIRECT($C$5&amp;"生成成长"),2))/((VLOOKUP($B155,INDIRECT($B$5&amp;"生成成长"),4))/(VLOOKUP(CO$72,INDIRECT($C$5&amp;"生成成长"),5))*(VLOOKUP($B$5,标准坦克设计!$B$24:$U$30,MATCH("对"&amp;LEFT($C$5,2)&amp;"输出",标准坦克设计!$B$23:$U$23,0)))*(VLOOKUP($B155,INDIRECT($B$5&amp;"生成成长"),3))*(VLOOKUP($B$5,标准坦克设计!$B$14:$K$20,9)/30))</f>
        <v>6.498110101205878</v>
      </c>
      <c r="CP155" s="173">
        <f ca="1">(VLOOKUP(CP$72,INDIRECT($C$5&amp;"生成成长"),2))/((VLOOKUP($B155,INDIRECT($B$5&amp;"生成成长"),4))/(VLOOKUP(CP$72,INDIRECT($C$5&amp;"生成成长"),5))*(VLOOKUP($B$5,标准坦克设计!$B$24:$U$30,MATCH("对"&amp;LEFT($C$5,2)&amp;"输出",标准坦克设计!$B$23:$U$23,0)))*(VLOOKUP($B155,INDIRECT($B$5&amp;"生成成长"),3))*(VLOOKUP($B$5,标准坦克设计!$B$14:$K$20,9)/30))</f>
        <v>7.0997319393960687</v>
      </c>
      <c r="CQ155" s="173">
        <f ca="1">(VLOOKUP(CQ$72,INDIRECT($C$5&amp;"生成成长"),2))/((VLOOKUP($B155,INDIRECT($B$5&amp;"生成成长"),4))/(VLOOKUP(CQ$72,INDIRECT($C$5&amp;"生成成长"),5))*(VLOOKUP($B$5,标准坦克设计!$B$24:$U$30,MATCH("对"&amp;LEFT($C$5,2)&amp;"输出",标准坦克设计!$B$23:$U$23,0)))*(VLOOKUP($B155,INDIRECT($B$5&amp;"生成成长"),3))*(VLOOKUP($B$5,标准坦克设计!$B$14:$K$20,9)/30))</f>
        <v>7.7279849253532271</v>
      </c>
      <c r="CR155" s="173">
        <f ca="1">(VLOOKUP(CR$72,INDIRECT($C$5&amp;"生成成长"),2))/((VLOOKUP($B155,INDIRECT($B$5&amp;"生成成长"),4))/(VLOOKUP(CR$72,INDIRECT($C$5&amp;"生成成长"),5))*(VLOOKUP($B$5,标准坦克设计!$B$24:$U$30,MATCH("对"&amp;LEFT($C$5,2)&amp;"输出",标准坦克设计!$B$23:$U$23,0)))*(VLOOKUP($B155,INDIRECT($B$5&amp;"生成成长"),3))*(VLOOKUP($B$5,标准坦克设计!$B$14:$K$20,9)/30))</f>
        <v>8.3828690590773576</v>
      </c>
      <c r="CS155" s="173">
        <f ca="1">(VLOOKUP(CS$72,INDIRECT($C$5&amp;"生成成长"),2))/((VLOOKUP($B155,INDIRECT($B$5&amp;"生成成长"),4))/(VLOOKUP(CS$72,INDIRECT($C$5&amp;"生成成长"),5))*(VLOOKUP($B$5,标准坦克设计!$B$24:$U$30,MATCH("对"&amp;LEFT($C$5,2)&amp;"输出",标准坦克设计!$B$23:$U$23,0)))*(VLOOKUP($B155,INDIRECT($B$5&amp;"生成成长"),3))*(VLOOKUP($B$5,标准坦克设计!$B$14:$K$20,9)/30))</f>
        <v>9.0643843405684592</v>
      </c>
      <c r="CT155" s="173">
        <f ca="1">(VLOOKUP(CT$72,INDIRECT($C$5&amp;"生成成长"),2))/((VLOOKUP($B155,INDIRECT($B$5&amp;"生成成长"),4))/(VLOOKUP(CT$72,INDIRECT($C$5&amp;"生成成长"),5))*(VLOOKUP($B$5,标准坦克设计!$B$24:$U$30,MATCH("对"&amp;LEFT($C$5,2)&amp;"输出",标准坦克设计!$B$23:$U$23,0)))*(VLOOKUP($B155,INDIRECT($B$5&amp;"生成成长"),3))*(VLOOKUP($B$5,标准坦克设计!$B$14:$K$20,9)/30))</f>
        <v>9.7725307698265311</v>
      </c>
      <c r="CU155" s="173">
        <f ca="1">(VLOOKUP(CU$72,INDIRECT($C$5&amp;"生成成长"),2))/((VLOOKUP($B155,INDIRECT($B$5&amp;"生成成长"),4))/(VLOOKUP(CU$72,INDIRECT($C$5&amp;"生成成长"),5))*(VLOOKUP($B$5,标准坦克设计!$B$24:$U$30,MATCH("对"&amp;LEFT($C$5,2)&amp;"输出",标准坦克设计!$B$23:$U$23,0)))*(VLOOKUP($B155,INDIRECT($B$5&amp;"生成成长"),3))*(VLOOKUP($B$5,标准坦克设计!$B$14:$K$20,9)/30))</f>
        <v>10.50730834685157</v>
      </c>
      <c r="CV155" s="173">
        <f ca="1">(VLOOKUP(CV$72,INDIRECT($C$5&amp;"生成成长"),2))/((VLOOKUP($B155,INDIRECT($B$5&amp;"生成成长"),4))/(VLOOKUP(CV$72,INDIRECT($C$5&amp;"生成成长"),5))*(VLOOKUP($B$5,标准坦克设计!$B$24:$U$30,MATCH("对"&amp;LEFT($C$5,2)&amp;"输出",标准坦克设计!$B$23:$U$23,0)))*(VLOOKUP($B155,INDIRECT($B$5&amp;"生成成长"),3))*(VLOOKUP($B$5,标准坦克设计!$B$14:$K$20,9)/30))</f>
        <v>11.268717071643584</v>
      </c>
      <c r="CW155" s="173">
        <f ca="1">(VLOOKUP(CW$72,INDIRECT($C$5&amp;"生成成长"),2))/((VLOOKUP($B155,INDIRECT($B$5&amp;"生成成长"),4))/(VLOOKUP(CW$72,INDIRECT($C$5&amp;"生成成长"),5))*(VLOOKUP($B$5,标准坦克设计!$B$24:$U$30,MATCH("对"&amp;LEFT($C$5,2)&amp;"输出",标准坦克设计!$B$23:$U$23,0)))*(VLOOKUP($B155,INDIRECT($B$5&amp;"生成成长"),3))*(VLOOKUP($B$5,标准坦克设计!$B$14:$K$20,9)/30))</f>
        <v>12.056756944202563</v>
      </c>
      <c r="CX155" s="173">
        <f ca="1">(VLOOKUP(CX$72,INDIRECT($C$5&amp;"生成成长"),2))/((VLOOKUP($B155,INDIRECT($B$5&amp;"生成成长"),4))/(VLOOKUP(CX$72,INDIRECT($C$5&amp;"生成成长"),5))*(VLOOKUP($B$5,标准坦克设计!$B$24:$U$30,MATCH("对"&amp;LEFT($C$5,2)&amp;"输出",标准坦克设计!$B$23:$U$23,0)))*(VLOOKUP($B155,INDIRECT($B$5&amp;"生成成长"),3))*(VLOOKUP($B$5,标准坦克设计!$B$14:$K$20,9)/30))</f>
        <v>12.871427964528516</v>
      </c>
      <c r="CY155" s="173">
        <f ca="1">(VLOOKUP(CY$72,INDIRECT($C$5&amp;"生成成长"),2))/((VLOOKUP($B155,INDIRECT($B$5&amp;"生成成长"),4))/(VLOOKUP(CY$72,INDIRECT($C$5&amp;"生成成长"),5))*(VLOOKUP($B$5,标准坦克设计!$B$24:$U$30,MATCH("对"&amp;LEFT($C$5,2)&amp;"输出",标准坦克设计!$B$23:$U$23,0)))*(VLOOKUP($B155,INDIRECT($B$5&amp;"生成成长"),3))*(VLOOKUP($B$5,标准坦克设计!$B$14:$K$20,9)/30))</f>
        <v>13.712730132621434</v>
      </c>
      <c r="CZ155" s="173">
        <f ca="1">(VLOOKUP(CZ$72,INDIRECT($C$5&amp;"生成成长"),2))/((VLOOKUP($B155,INDIRECT($B$5&amp;"生成成长"),4))/(VLOOKUP(CZ$72,INDIRECT($C$5&amp;"生成成长"),5))*(VLOOKUP($B$5,标准坦克设计!$B$24:$U$30,MATCH("对"&amp;LEFT($C$5,2)&amp;"输出",标准坦克设计!$B$23:$U$23,0)))*(VLOOKUP($B155,INDIRECT($B$5&amp;"生成成长"),3))*(VLOOKUP($B$5,标准坦克设计!$B$14:$K$20,9)/30))</f>
        <v>14.58066344848133</v>
      </c>
      <c r="DA155" s="173">
        <f ca="1">(VLOOKUP(DA$72,INDIRECT($C$5&amp;"生成成长"),2))/((VLOOKUP($B155,INDIRECT($B$5&amp;"生成成长"),4))/(VLOOKUP(DA$72,INDIRECT($C$5&amp;"生成成长"),5))*(VLOOKUP($B$5,标准坦克设计!$B$24:$U$30,MATCH("对"&amp;LEFT($C$5,2)&amp;"输出",标准坦克设计!$B$23:$U$23,0)))*(VLOOKUP($B155,INDIRECT($B$5&amp;"生成成长"),3))*(VLOOKUP($B$5,标准坦克设计!$B$14:$K$20,9)/30))</f>
        <v>15.47522791210819</v>
      </c>
      <c r="DB155" s="173">
        <f ca="1">(VLOOKUP(DB$72,INDIRECT($C$5&amp;"生成成长"),2))/((VLOOKUP($B155,INDIRECT($B$5&amp;"生成成长"),4))/(VLOOKUP(DB$72,INDIRECT($C$5&amp;"生成成长"),5))*(VLOOKUP($B$5,标准坦克设计!$B$24:$U$30,MATCH("对"&amp;LEFT($C$5,2)&amp;"输出",标准坦克设计!$B$23:$U$23,0)))*(VLOOKUP($B155,INDIRECT($B$5&amp;"生成成长"),3))*(VLOOKUP($B$5,标准坦克设计!$B$14:$K$20,9)/30))</f>
        <v>16.396423523502023</v>
      </c>
      <c r="DC155" s="173">
        <f ca="1">(VLOOKUP(DC$72,INDIRECT($C$5&amp;"生成成长"),2))/((VLOOKUP($B155,INDIRECT($B$5&amp;"生成成长"),4))/(VLOOKUP(DC$72,INDIRECT($C$5&amp;"生成成长"),5))*(VLOOKUP($B$5,标准坦克设计!$B$24:$U$30,MATCH("对"&amp;LEFT($C$5,2)&amp;"输出",标准坦克设计!$B$23:$U$23,0)))*(VLOOKUP($B155,INDIRECT($B$5&amp;"生成成长"),3))*(VLOOKUP($B$5,标准坦克设计!$B$14:$K$20,9)/30))</f>
        <v>17.431736904459278</v>
      </c>
      <c r="DD155" s="173">
        <f ca="1">(VLOOKUP(DD$72,INDIRECT($C$5&amp;"生成成长"),2))/((VLOOKUP($B155,INDIRECT($B$5&amp;"生成成长"),4))/(VLOOKUP(DD$72,INDIRECT($C$5&amp;"生成成长"),5))*(VLOOKUP($B$5,标准坦克设计!$B$24:$U$30,MATCH("对"&amp;LEFT($C$5,2)&amp;"输出",标准坦克设计!$B$23:$U$23,0)))*(VLOOKUP($B155,INDIRECT($B$5&amp;"生成成长"),3))*(VLOOKUP($B$5,标准坦克设计!$B$14:$K$20,9)/30))</f>
        <v>18.498743552180532</v>
      </c>
      <c r="DE155" s="173">
        <f ca="1">(VLOOKUP(DE$72,INDIRECT($C$5&amp;"生成成长"),2))/((VLOOKUP($B155,INDIRECT($B$5&amp;"生成成长"),4))/(VLOOKUP(DE$72,INDIRECT($C$5&amp;"生成成长"),5))*(VLOOKUP($B$5,标准坦克设计!$B$24:$U$30,MATCH("对"&amp;LEFT($C$5,2)&amp;"输出",标准坦克设计!$B$23:$U$23,0)))*(VLOOKUP($B155,INDIRECT($B$5&amp;"生成成长"),3))*(VLOOKUP($B$5,标准坦克设计!$B$14:$K$20,9)/30))</f>
        <v>19.597443466665776</v>
      </c>
      <c r="DF155" s="173">
        <f ca="1">(VLOOKUP(DF$72,INDIRECT($C$5&amp;"生成成长"),2))/((VLOOKUP($B155,INDIRECT($B$5&amp;"生成成长"),4))/(VLOOKUP(DF$72,INDIRECT($C$5&amp;"生成成长"),5))*(VLOOKUP($B$5,标准坦克设计!$B$24:$U$30,MATCH("对"&amp;LEFT($C$5,2)&amp;"输出",标准坦克设计!$B$23:$U$23,0)))*(VLOOKUP($B155,INDIRECT($B$5&amp;"生成成长"),3))*(VLOOKUP($B$5,标准坦克设计!$B$14:$K$20,9)/30))</f>
        <v>20.727836647915026</v>
      </c>
      <c r="DG155" s="173">
        <f ca="1">(VLOOKUP(DG$72,INDIRECT($C$5&amp;"生成成长"),2))/((VLOOKUP($B155,INDIRECT($B$5&amp;"生成成长"),4))/(VLOOKUP(DG$72,INDIRECT($C$5&amp;"生成成长"),5))*(VLOOKUP($B$5,标准坦克设计!$B$24:$U$30,MATCH("对"&amp;LEFT($C$5,2)&amp;"输出",标准坦克设计!$B$23:$U$23,0)))*(VLOOKUP($B155,INDIRECT($B$5&amp;"生成成长"),3))*(VLOOKUP($B$5,标准坦克设计!$B$14:$K$20,9)/30))</f>
        <v>21.889923095928268</v>
      </c>
      <c r="DH155" s="173">
        <f ca="1">(VLOOKUP(DH$72,INDIRECT($C$5&amp;"生成成长"),2))/((VLOOKUP($B155,INDIRECT($B$5&amp;"生成成长"),4))/(VLOOKUP(DH$72,INDIRECT($C$5&amp;"生成成长"),5))*(VLOOKUP($B$5,标准坦克设计!$B$24:$U$30,MATCH("对"&amp;LEFT($C$5,2)&amp;"输出",标准坦克设计!$B$23:$U$23,0)))*(VLOOKUP($B155,INDIRECT($B$5&amp;"生成成长"),3))*(VLOOKUP($B$5,标准坦克设计!$B$14:$K$20,9)/30))</f>
        <v>23.08370281070551</v>
      </c>
      <c r="DI155" s="173">
        <f ca="1">(VLOOKUP(DI$72,INDIRECT($C$5&amp;"生成成长"),2))/((VLOOKUP($B155,INDIRECT($B$5&amp;"生成成长"),4))/(VLOOKUP(DI$72,INDIRECT($C$5&amp;"生成成长"),5))*(VLOOKUP($B$5,标准坦克设计!$B$24:$U$30,MATCH("对"&amp;LEFT($C$5,2)&amp;"输出",标准坦克设计!$B$23:$U$23,0)))*(VLOOKUP($B155,INDIRECT($B$5&amp;"生成成长"),3))*(VLOOKUP($B$5,标准坦克设计!$B$14:$K$20,9)/30))</f>
        <v>24.309175792246744</v>
      </c>
      <c r="DJ155" s="173">
        <f ca="1">(VLOOKUP(DJ$72,INDIRECT($C$5&amp;"生成成长"),2))/((VLOOKUP($B155,INDIRECT($B$5&amp;"生成成长"),4))/(VLOOKUP(DJ$72,INDIRECT($C$5&amp;"生成成长"),5))*(VLOOKUP($B$5,标准坦克设计!$B$24:$U$30,MATCH("对"&amp;LEFT($C$5,2)&amp;"输出",标准坦克设计!$B$23:$U$23,0)))*(VLOOKUP($B155,INDIRECT($B$5&amp;"生成成长"),3))*(VLOOKUP($B$5,标准坦克设计!$B$14:$K$20,9)/30))</f>
        <v>2.4431326924566328</v>
      </c>
      <c r="DK155" s="173">
        <f ca="1">(VLOOKUP(DK$72,INDIRECT($C$5&amp;"生成成长"),2))/((VLOOKUP($B155,INDIRECT($B$5&amp;"生成成长"),4))/(VLOOKUP(DK$72,INDIRECT($C$5&amp;"生成成长"),5))*(VLOOKUP($B$5,标准坦克设计!$B$24:$U$30,MATCH("对"&amp;LEFT($C$5,2)&amp;"输出",标准坦克设计!$B$23:$U$23,0)))*(VLOOKUP($B155,INDIRECT($B$5&amp;"生成成长"),3))*(VLOOKUP($B$5,标准坦克设计!$B$14:$K$20,9)/30))</f>
        <v>2.7471899704737339</v>
      </c>
      <c r="DL155" s="173">
        <f ca="1">(VLOOKUP(DL$72,INDIRECT($C$5&amp;"生成成长"),2))/((VLOOKUP($B155,INDIRECT($B$5&amp;"生成成长"),4))/(VLOOKUP(DL$72,INDIRECT($C$5&amp;"生成成长"),5))*(VLOOKUP($B$5,标准坦克设计!$B$24:$U$30,MATCH("对"&amp;LEFT($C$5,2)&amp;"输出",标准坦克设计!$B$23:$U$23,0)))*(VLOOKUP($B155,INDIRECT($B$5&amp;"生成成长"),3))*(VLOOKUP($B$5,标准坦克设计!$B$14:$K$20,9)/30))</f>
        <v>3.0690747110455847</v>
      </c>
      <c r="DM155" s="173">
        <f ca="1">(VLOOKUP(DM$72,INDIRECT($C$5&amp;"生成成长"),2))/((VLOOKUP($B155,INDIRECT($B$5&amp;"生成成长"),4))/(VLOOKUP(DM$72,INDIRECT($C$5&amp;"生成成长"),5))*(VLOOKUP($B$5,标准坦克设计!$B$24:$U$30,MATCH("对"&amp;LEFT($C$5,2)&amp;"输出",标准坦克设计!$B$23:$U$23,0)))*(VLOOKUP($B155,INDIRECT($B$5&amp;"生成成长"),3))*(VLOOKUP($B$5,标准坦克设计!$B$14:$K$20,9)/30))</f>
        <v>3.4087869141721838</v>
      </c>
      <c r="DN155" s="173">
        <f ca="1">(VLOOKUP(DN$72,INDIRECT($C$5&amp;"生成成长"),2))/((VLOOKUP($B155,INDIRECT($B$5&amp;"生成成长"),4))/(VLOOKUP(DN$72,INDIRECT($C$5&amp;"生成成长"),5))*(VLOOKUP($B$5,标准坦克设计!$B$24:$U$30,MATCH("对"&amp;LEFT($C$5,2)&amp;"输出",标准坦克设计!$B$23:$U$23,0)))*(VLOOKUP($B155,INDIRECT($B$5&amp;"生成成长"),3))*(VLOOKUP($B$5,标准坦克设计!$B$14:$K$20,9)/30))</f>
        <v>3.7663265798535317</v>
      </c>
      <c r="DO155" s="173">
        <f ca="1">(VLOOKUP(DO$72,INDIRECT($C$5&amp;"生成成长"),2))/((VLOOKUP($B155,INDIRECT($B$5&amp;"生成成长"),4))/(VLOOKUP(DO$72,INDIRECT($C$5&amp;"生成成长"),5))*(VLOOKUP($B$5,标准坦克设计!$B$24:$U$30,MATCH("对"&amp;LEFT($C$5,2)&amp;"输出",标准坦克设计!$B$23:$U$23,0)))*(VLOOKUP($B155,INDIRECT($B$5&amp;"生成成长"),3))*(VLOOKUP($B$5,标准坦克设计!$B$14:$K$20,9)/30))</f>
        <v>4.141693708089627</v>
      </c>
      <c r="DP155" s="173">
        <f ca="1">(VLOOKUP(DP$72,INDIRECT($C$5&amp;"生成成长"),2))/((VLOOKUP($B155,INDIRECT($B$5&amp;"生成成长"),4))/(VLOOKUP(DP$72,INDIRECT($C$5&amp;"生成成长"),5))*(VLOOKUP($B$5,标准坦克设计!$B$24:$U$30,MATCH("对"&amp;LEFT($C$5,2)&amp;"输出",标准坦克设计!$B$23:$U$23,0)))*(VLOOKUP($B155,INDIRECT($B$5&amp;"生成成长"),3))*(VLOOKUP($B$5,标准坦克设计!$B$14:$K$20,9)/30))</f>
        <v>4.5348882988804728</v>
      </c>
      <c r="DQ155" s="173">
        <f ca="1">(VLOOKUP(DQ$72,INDIRECT($C$5&amp;"生成成长"),2))/((VLOOKUP($B155,INDIRECT($B$5&amp;"生成成长"),4))/(VLOOKUP(DQ$72,INDIRECT($C$5&amp;"生成成长"),5))*(VLOOKUP($B$5,标准坦克设计!$B$24:$U$30,MATCH("对"&amp;LEFT($C$5,2)&amp;"输出",标准坦克设计!$B$23:$U$23,0)))*(VLOOKUP($B155,INDIRECT($B$5&amp;"生成成长"),3))*(VLOOKUP($B$5,标准坦克设计!$B$14:$K$20,9)/30))</f>
        <v>4.9459103522260657</v>
      </c>
      <c r="DR155" s="173">
        <f ca="1">(VLOOKUP(DR$72,INDIRECT($C$5&amp;"生成成长"),2))/((VLOOKUP($B155,INDIRECT($B$5&amp;"生成成长"),4))/(VLOOKUP(DR$72,INDIRECT($C$5&amp;"生成成长"),5))*(VLOOKUP($B$5,标准坦克设计!$B$24:$U$30,MATCH("对"&amp;LEFT($C$5,2)&amp;"输出",标准坦克设计!$B$23:$U$23,0)))*(VLOOKUP($B155,INDIRECT($B$5&amp;"生成成长"),3))*(VLOOKUP($B$5,标准坦克设计!$B$14:$K$20,9)/30))</f>
        <v>5.3747598681264082</v>
      </c>
      <c r="DS155" s="173">
        <f ca="1">(VLOOKUP(DS$72,INDIRECT($C$5&amp;"生成成长"),2))/((VLOOKUP($B155,INDIRECT($B$5&amp;"生成成长"),4))/(VLOOKUP(DS$72,INDIRECT($C$5&amp;"生成成长"),5))*(VLOOKUP($B$5,标准坦克设计!$B$24:$U$30,MATCH("对"&amp;LEFT($C$5,2)&amp;"输出",标准坦克设计!$B$23:$U$23,0)))*(VLOOKUP($B155,INDIRECT($B$5&amp;"生成成长"),3))*(VLOOKUP($B$5,标准坦克设计!$B$14:$K$20,9)/30))</f>
        <v>5.8214368465814994</v>
      </c>
      <c r="DT155" s="173">
        <f ca="1">(VLOOKUP(DT$72,INDIRECT($C$5&amp;"生成成长"),2))/((VLOOKUP($B155,INDIRECT($B$5&amp;"生成成长"),4))/(VLOOKUP(DT$72,INDIRECT($C$5&amp;"生成成长"),5))*(VLOOKUP($B$5,标准坦克设计!$B$24:$U$30,MATCH("对"&amp;LEFT($C$5,2)&amp;"输出",标准坦克设计!$B$23:$U$23,0)))*(VLOOKUP($B155,INDIRECT($B$5&amp;"生成成长"),3))*(VLOOKUP($B$5,标准坦克设计!$B$14:$K$20,9)/30))</f>
        <v>6.3915855101379968</v>
      </c>
      <c r="DU155" s="173">
        <f ca="1">(VLOOKUP(DU$72,INDIRECT($C$5&amp;"生成成长"),2))/((VLOOKUP($B155,INDIRECT($B$5&amp;"生成成长"),4))/(VLOOKUP(DU$72,INDIRECT($C$5&amp;"生成成长"),5))*(VLOOKUP($B$5,标准坦克设计!$B$24:$U$30,MATCH("对"&amp;LEFT($C$5,2)&amp;"输出",标准坦克设计!$B$23:$U$23,0)))*(VLOOKUP($B155,INDIRECT($B$5&amp;"生成成长"),3))*(VLOOKUP($B$5,标准坦克设计!$B$14:$K$20,9)/30))</f>
        <v>6.9883653214614654</v>
      </c>
      <c r="DV155" s="173">
        <f ca="1">(VLOOKUP(DV$72,INDIRECT($C$5&amp;"生成成长"),2))/((VLOOKUP($B155,INDIRECT($B$5&amp;"生成成长"),4))/(VLOOKUP(DV$72,INDIRECT($C$5&amp;"生成成长"),5))*(VLOOKUP($B$5,标准坦克设计!$B$24:$U$30,MATCH("对"&amp;LEFT($C$5,2)&amp;"输出",标准坦克设计!$B$23:$U$23,0)))*(VLOOKUP($B155,INDIRECT($B$5&amp;"生成成长"),3))*(VLOOKUP($B$5,标准坦克设计!$B$14:$K$20,9)/30))</f>
        <v>7.6117762805519034</v>
      </c>
      <c r="DW155" s="173">
        <f ca="1">(VLOOKUP(DW$72,INDIRECT($C$5&amp;"生成成长"),2))/((VLOOKUP($B155,INDIRECT($B$5&amp;"生成成长"),4))/(VLOOKUP(DW$72,INDIRECT($C$5&amp;"生成成长"),5))*(VLOOKUP($B$5,标准坦克设计!$B$24:$U$30,MATCH("对"&amp;LEFT($C$5,2)&amp;"输出",标准坦克设计!$B$23:$U$23,0)))*(VLOOKUP($B155,INDIRECT($B$5&amp;"生成成长"),3))*(VLOOKUP($B$5,标准坦克设计!$B$14:$K$20,9)/30))</f>
        <v>8.2618183874093116</v>
      </c>
      <c r="DX155" s="173">
        <f ca="1">(VLOOKUP(DX$72,INDIRECT($C$5&amp;"生成成长"),2))/((VLOOKUP($B155,INDIRECT($B$5&amp;"生成成长"),4))/(VLOOKUP(DX$72,INDIRECT($C$5&amp;"生成成长"),5))*(VLOOKUP($B$5,标准坦克设计!$B$24:$U$30,MATCH("对"&amp;LEFT($C$5,2)&amp;"输出",标准坦克设计!$B$23:$U$23,0)))*(VLOOKUP($B155,INDIRECT($B$5&amp;"生成成长"),3))*(VLOOKUP($B$5,标准坦克设计!$B$14:$K$20,9)/30))</f>
        <v>8.9384916420336893</v>
      </c>
      <c r="DY155" s="173">
        <f ca="1">(VLOOKUP(DY$72,INDIRECT($C$5&amp;"生成成长"),2))/((VLOOKUP($B155,INDIRECT($B$5&amp;"生成成长"),4))/(VLOOKUP(DY$72,INDIRECT($C$5&amp;"生成成长"),5))*(VLOOKUP($B$5,标准坦克设计!$B$24:$U$30,MATCH("对"&amp;LEFT($C$5,2)&amp;"输出",标准坦克设计!$B$23:$U$23,0)))*(VLOOKUP($B155,INDIRECT($B$5&amp;"生成成长"),3))*(VLOOKUP($B$5,标准坦克设计!$B$14:$K$20,9)/30))</f>
        <v>4.0145905028381783</v>
      </c>
      <c r="DZ155" s="173">
        <f ca="1">(VLOOKUP(DZ$72,INDIRECT($C$5&amp;"生成成长"),2))/((VLOOKUP($B155,INDIRECT($B$5&amp;"生成成长"),4))/(VLOOKUP(DZ$72,INDIRECT($C$5&amp;"生成成长"),5))*(VLOOKUP($B$5,标准坦克设计!$B$24:$U$30,MATCH("对"&amp;LEFT($C$5,2)&amp;"输出",标准坦克设计!$B$23:$U$23,0)))*(VLOOKUP($B155,INDIRECT($B$5&amp;"生成成长"),3))*(VLOOKUP($B$5,标准坦克设计!$B$14:$K$20,9)/30))</f>
        <v>4.4459710782370347</v>
      </c>
      <c r="EA155" s="173">
        <f ca="1">(VLOOKUP(EA$72,INDIRECT($C$5&amp;"生成成长"),2))/((VLOOKUP($B155,INDIRECT($B$5&amp;"生成成长"),4))/(VLOOKUP(EA$72,INDIRECT($C$5&amp;"生成成长"),5))*(VLOOKUP($B$5,标准坦克设计!$B$24:$U$30,MATCH("对"&amp;LEFT($C$5,2)&amp;"输出",标准坦克设计!$B$23:$U$23,0)))*(VLOOKUP($B155,INDIRECT($B$5&amp;"生成成长"),3))*(VLOOKUP($B$5,标准坦克设计!$B$14:$K$20,9)/30))</f>
        <v>4.8993608666664441</v>
      </c>
      <c r="EB155" s="173">
        <f ca="1">(VLOOKUP(EB$72,INDIRECT($C$5&amp;"生成成长"),2))/((VLOOKUP($B155,INDIRECT($B$5&amp;"生成成长"),4))/(VLOOKUP(EB$72,INDIRECT($C$5&amp;"生成成长"),5))*(VLOOKUP($B$5,标准坦克设计!$B$24:$U$30,MATCH("对"&amp;LEFT($C$5,2)&amp;"输出",标准坦克设计!$B$23:$U$23,0)))*(VLOOKUP($B155,INDIRECT($B$5&amp;"生成成长"),3))*(VLOOKUP($B$5,标准坦克设计!$B$14:$K$20,9)/30))</f>
        <v>5.3747598681264082</v>
      </c>
      <c r="EC155" s="173">
        <f ca="1">(VLOOKUP(EC$72,INDIRECT($C$5&amp;"生成成长"),2))/((VLOOKUP($B155,INDIRECT($B$5&amp;"生成成长"),4))/(VLOOKUP(EC$72,INDIRECT($C$5&amp;"生成成长"),5))*(VLOOKUP($B$5,标准坦克设计!$B$24:$U$30,MATCH("对"&amp;LEFT($C$5,2)&amp;"输出",标准坦克设计!$B$23:$U$23,0)))*(VLOOKUP($B155,INDIRECT($B$5&amp;"生成成长"),3))*(VLOOKUP($B$5,标准坦克设计!$B$14:$K$20,9)/30))</f>
        <v>5.872168082616926</v>
      </c>
      <c r="ED155" s="173">
        <f ca="1">(VLOOKUP(ED$72,INDIRECT($C$5&amp;"生成成长"),2))/((VLOOKUP($B155,INDIRECT($B$5&amp;"生成成长"),4))/(VLOOKUP(ED$72,INDIRECT($C$5&amp;"生成成长"),5))*(VLOOKUP($B$5,标准坦克设计!$B$24:$U$30,MATCH("对"&amp;LEFT($C$5,2)&amp;"输出",标准坦克设计!$B$23:$U$23,0)))*(VLOOKUP($B155,INDIRECT($B$5&amp;"生成成长"),3))*(VLOOKUP($B$5,标准坦克设计!$B$14:$K$20,9)/30))</f>
        <v>6.3915855101379968</v>
      </c>
      <c r="EE155" s="173">
        <f ca="1">(VLOOKUP(EE$72,INDIRECT($C$5&amp;"生成成长"),2))/((VLOOKUP($B155,INDIRECT($B$5&amp;"生成成长"),4))/(VLOOKUP(EE$72,INDIRECT($C$5&amp;"生成成长"),5))*(VLOOKUP($B$5,标准坦克设计!$B$24:$U$30,MATCH("对"&amp;LEFT($C$5,2)&amp;"输出",标准坦克设计!$B$23:$U$23,0)))*(VLOOKUP($B155,INDIRECT($B$5&amp;"生成成长"),3))*(VLOOKUP($B$5,标准坦克设计!$B$14:$K$20,9)/30))</f>
        <v>6.9330121506896214</v>
      </c>
      <c r="EF155" s="173">
        <f ca="1">(VLOOKUP(EF$72,INDIRECT($C$5&amp;"生成成长"),2))/((VLOOKUP($B155,INDIRECT($B$5&amp;"生成成长"),4))/(VLOOKUP(EF$72,INDIRECT($C$5&amp;"生成成长"),5))*(VLOOKUP($B$5,标准坦克设计!$B$24:$U$30,MATCH("对"&amp;LEFT($C$5,2)&amp;"输出",标准坦克设计!$B$23:$U$23,0)))*(VLOOKUP($B155,INDIRECT($B$5&amp;"生成成长"),3))*(VLOOKUP($B$5,标准坦克设计!$B$14:$K$20,9)/30))</f>
        <v>7.4964480042718025</v>
      </c>
      <c r="EG155" s="173">
        <f ca="1">(VLOOKUP(EG$72,INDIRECT($C$5&amp;"生成成长"),2))/((VLOOKUP($B155,INDIRECT($B$5&amp;"生成成长"),4))/(VLOOKUP(EG$72,INDIRECT($C$5&amp;"生成成长"),5))*(VLOOKUP($B$5,标准坦克设计!$B$24:$U$30,MATCH("对"&amp;LEFT($C$5,2)&amp;"输出",标准坦克设计!$B$23:$U$23,0)))*(VLOOKUP($B155,INDIRECT($B$5&amp;"生成成长"),3))*(VLOOKUP($B$5,标准坦克设计!$B$14:$K$20,9)/30))</f>
        <v>8.0818930708845347</v>
      </c>
      <c r="EH155" s="173">
        <f ca="1">(VLOOKUP(EH$72,INDIRECT($C$5&amp;"生成成长"),2))/((VLOOKUP($B155,INDIRECT($B$5&amp;"生成成长"),4))/(VLOOKUP(EH$72,INDIRECT($C$5&amp;"生成成长"),5))*(VLOOKUP($B$5,标准坦克设计!$B$24:$U$30,MATCH("对"&amp;LEFT($C$5,2)&amp;"输出",标准坦克设计!$B$23:$U$23,0)))*(VLOOKUP($B155,INDIRECT($B$5&amp;"生成成长"),3))*(VLOOKUP($B$5,标准坦克设计!$B$14:$K$20,9)/30))</f>
        <v>8.6893473505278216</v>
      </c>
      <c r="EI155" s="173">
        <f ca="1">(VLOOKUP(EI$72,INDIRECT($C$5&amp;"生成成长"),2))/((VLOOKUP($B155,INDIRECT($B$5&amp;"生成成长"),4))/(VLOOKUP(EI$72,INDIRECT($C$5&amp;"生成成长"),5))*(VLOOKUP($B$5,标准坦克设计!$B$24:$U$30,MATCH("对"&amp;LEFT($C$5,2)&amp;"输出",标准坦克设计!$B$23:$U$23,0)))*(VLOOKUP($B155,INDIRECT($B$5&amp;"生成成长"),3))*(VLOOKUP($B$5,标准坦克设计!$B$14:$K$20,9)/30))</f>
        <v>9.3188108432016605</v>
      </c>
      <c r="EJ155" s="173">
        <f ca="1">(VLOOKUP(EJ$72,INDIRECT($C$5&amp;"生成成长"),2))/((VLOOKUP($B155,INDIRECT($B$5&amp;"生成成长"),4))/(VLOOKUP(EJ$72,INDIRECT($C$5&amp;"生成成长"),5))*(VLOOKUP($B$5,标准坦克设计!$B$24:$U$30,MATCH("对"&amp;LEFT($C$5,2)&amp;"输出",标准坦克设计!$B$23:$U$23,0)))*(VLOOKUP($B155,INDIRECT($B$5&amp;"生成成长"),3))*(VLOOKUP($B$5,标准坦克设计!$B$14:$K$20,9)/30))</f>
        <v>9.9702835489060586</v>
      </c>
      <c r="EK155" s="173">
        <f ca="1">(VLOOKUP(EK$72,INDIRECT($C$5&amp;"生成成长"),2))/((VLOOKUP($B155,INDIRECT($B$5&amp;"生成成长"),4))/(VLOOKUP(EK$72,INDIRECT($C$5&amp;"生成成长"),5))*(VLOOKUP($B$5,标准坦克设计!$B$24:$U$30,MATCH("对"&amp;LEFT($C$5,2)&amp;"输出",标准坦克设计!$B$23:$U$23,0)))*(VLOOKUP($B155,INDIRECT($B$5&amp;"生成成长"),3))*(VLOOKUP($B$5,标准坦克设计!$B$14:$K$20,9)/30))</f>
        <v>10.78110295695166</v>
      </c>
      <c r="EL155" s="173">
        <f ca="1">(VLOOKUP(EL$72,INDIRECT($C$5&amp;"生成成长"),2))/((VLOOKUP($B155,INDIRECT($B$5&amp;"生成成长"),4))/(VLOOKUP(EL$72,INDIRECT($C$5&amp;"生成成长"),5))*(VLOOKUP($B$5,标准坦克设计!$B$24:$U$30,MATCH("对"&amp;LEFT($C$5,2)&amp;"输出",标准坦克设计!$B$23:$U$23,0)))*(VLOOKUP($B155,INDIRECT($B$5&amp;"生成成长"),3))*(VLOOKUP($B$5,标准坦克设计!$B$14:$K$20,9)/30))</f>
        <v>11.623615631761263</v>
      </c>
      <c r="EM155" s="173">
        <f ca="1">(VLOOKUP(EM$72,INDIRECT($C$5&amp;"生成成长"),2))/((VLOOKUP($B155,INDIRECT($B$5&amp;"生成成长"),4))/(VLOOKUP(EM$72,INDIRECT($C$5&amp;"生成成长"),5))*(VLOOKUP($B$5,标准坦克设计!$B$24:$U$30,MATCH("对"&amp;LEFT($C$5,2)&amp;"输出",标准坦克设计!$B$23:$U$23,0)))*(VLOOKUP($B155,INDIRECT($B$5&amp;"生成成长"),3))*(VLOOKUP($B$5,标准坦克设计!$B$14:$K$20,9)/30))</f>
        <v>12.497821573334862</v>
      </c>
      <c r="EN155" s="173">
        <f ca="1">(VLOOKUP(EN$72,INDIRECT($C$5&amp;"生成成长"),2))/((VLOOKUP($B155,INDIRECT($B$5&amp;"生成成长"),4))/(VLOOKUP(EN$72,INDIRECT($C$5&amp;"生成成长"),5))*(VLOOKUP($B$5,标准坦克设计!$B$24:$U$30,MATCH("对"&amp;LEFT($C$5,2)&amp;"输出",标准坦克设计!$B$23:$U$23,0)))*(VLOOKUP($B155,INDIRECT($B$5&amp;"生成成长"),3))*(VLOOKUP($B$5,标准坦克设计!$B$14:$K$20,9)/30))</f>
        <v>13.40372078167246</v>
      </c>
      <c r="EO155" s="173">
        <f ca="1">(VLOOKUP(EO$72,INDIRECT($C$5&amp;"生成成长"),2))/((VLOOKUP($B155,INDIRECT($B$5&amp;"生成成长"),4))/(VLOOKUP(EO$72,INDIRECT($C$5&amp;"生成成长"),5))*(VLOOKUP($B$5,标准坦克设计!$B$24:$U$30,MATCH("对"&amp;LEFT($C$5,2)&amp;"输出",标准坦克设计!$B$23:$U$23,0)))*(VLOOKUP($B155,INDIRECT($B$5&amp;"生成成长"),3))*(VLOOKUP($B$5,标准坦克设计!$B$14:$K$20,9)/30))</f>
        <v>14.341313256774056</v>
      </c>
      <c r="EP155" s="173">
        <f ca="1">(VLOOKUP(EP$72,INDIRECT($C$5&amp;"生成成长"),2))/((VLOOKUP($B155,INDIRECT($B$5&amp;"生成成长"),4))/(VLOOKUP(EP$72,INDIRECT($C$5&amp;"生成成长"),5))*(VLOOKUP($B$5,标准坦克设计!$B$24:$U$30,MATCH("对"&amp;LEFT($C$5,2)&amp;"输出",标准坦克设计!$B$23:$U$23,0)))*(VLOOKUP($B155,INDIRECT($B$5&amp;"生成成长"),3))*(VLOOKUP($B$5,标准坦克设计!$B$14:$K$20,9)/30))</f>
        <v>15.310598998639648</v>
      </c>
      <c r="EQ155" s="173">
        <f ca="1">(VLOOKUP(EQ$72,INDIRECT($C$5&amp;"生成成长"),2))/((VLOOKUP($B155,INDIRECT($B$5&amp;"生成成长"),4))/(VLOOKUP(EQ$72,INDIRECT($C$5&amp;"生成成长"),5))*(VLOOKUP($B$5,标准坦克设计!$B$24:$U$30,MATCH("对"&amp;LEFT($C$5,2)&amp;"输出",标准坦克设计!$B$23:$U$23,0)))*(VLOOKUP($B155,INDIRECT($B$5&amp;"生成成长"),3))*(VLOOKUP($B$5,标准坦克设计!$B$14:$K$20,9)/30))</f>
        <v>6.7682731911559264</v>
      </c>
      <c r="ER155" s="173">
        <f ca="1">(VLOOKUP(ER$72,INDIRECT($C$5&amp;"生成成长"),2))/((VLOOKUP($B155,INDIRECT($B$5&amp;"生成成长"),4))/(VLOOKUP(ER$72,INDIRECT($C$5&amp;"生成成长"),5))*(VLOOKUP($B$5,标准坦克设计!$B$24:$U$30,MATCH("对"&amp;LEFT($C$5,2)&amp;"输出",标准坦克设计!$B$23:$U$23,0)))*(VLOOKUP($B155,INDIRECT($B$5&amp;"生成成长"),3))*(VLOOKUP($B$5,标准坦克设计!$B$14:$K$20,9)/30))</f>
        <v>7.3820000965129218</v>
      </c>
      <c r="ES155" s="173">
        <f ca="1">(VLOOKUP(ES$72,INDIRECT($C$5&amp;"生成成长"),2))/((VLOOKUP($B155,INDIRECT($B$5&amp;"生成成长"),4))/(VLOOKUP(ES$72,INDIRECT($C$5&amp;"生成成长"),5))*(VLOOKUP($B$5,标准坦克设计!$B$24:$U$30,MATCH("对"&amp;LEFT($C$5,2)&amp;"输出",标准坦克设计!$B$23:$U$23,0)))*(VLOOKUP($B155,INDIRECT($B$5&amp;"生成成长"),3))*(VLOOKUP($B$5,标准坦克设计!$B$14:$K$20,9)/30))</f>
        <v>8.0223581496368865</v>
      </c>
      <c r="ET155" s="173">
        <f ca="1">(VLOOKUP(ET$72,INDIRECT($C$5&amp;"生成成长"),2))/((VLOOKUP($B155,INDIRECT($B$5&amp;"生成成长"),4))/(VLOOKUP(ET$72,INDIRECT($C$5&amp;"生成成长"),5))*(VLOOKUP($B$5,标准坦克设计!$B$24:$U$30,MATCH("对"&amp;LEFT($C$5,2)&amp;"输出",标准坦克设计!$B$23:$U$23,0)))*(VLOOKUP($B155,INDIRECT($B$5&amp;"生成成长"),3))*(VLOOKUP($B$5,标准坦克设计!$B$14:$K$20,9)/30))</f>
        <v>8.6893473505278216</v>
      </c>
      <c r="EU155" s="173">
        <f ca="1">(VLOOKUP(EU$72,INDIRECT($C$5&amp;"生成成长"),2))/((VLOOKUP($B155,INDIRECT($B$5&amp;"生成成长"),4))/(VLOOKUP(EU$72,INDIRECT($C$5&amp;"生成成长"),5))*(VLOOKUP($B$5,标准坦克设计!$B$24:$U$30,MATCH("对"&amp;LEFT($C$5,2)&amp;"输出",标准坦克设计!$B$23:$U$23,0)))*(VLOOKUP($B155,INDIRECT($B$5&amp;"生成成长"),3))*(VLOOKUP($B$5,标准坦克设计!$B$14:$K$20,9)/30))</f>
        <v>9.3829676991857252</v>
      </c>
      <c r="EV155" s="173">
        <f ca="1">(VLOOKUP(EV$72,INDIRECT($C$5&amp;"生成成长"),2))/((VLOOKUP($B155,INDIRECT($B$5&amp;"生成成长"),4))/(VLOOKUP(EV$72,INDIRECT($C$5&amp;"生成成长"),5))*(VLOOKUP($B$5,标准坦克设计!$B$24:$U$30,MATCH("对"&amp;LEFT($C$5,2)&amp;"输出",标准坦克设计!$B$23:$U$23,0)))*(VLOOKUP($B155,INDIRECT($B$5&amp;"生成成长"),3))*(VLOOKUP($B$5,标准坦克设计!$B$14:$K$20,9)/30))</f>
        <v>10.103219195610603</v>
      </c>
      <c r="EW155" s="173">
        <f ca="1">(VLOOKUP(EW$72,INDIRECT($C$5&amp;"生成成长"),2))/((VLOOKUP($B155,INDIRECT($B$5&amp;"生成成长"),4))/(VLOOKUP(EW$72,INDIRECT($C$5&amp;"生成成长"),5))*(VLOOKUP($B$5,标准坦克设计!$B$24:$U$30,MATCH("对"&amp;LEFT($C$5,2)&amp;"输出",标准坦克设计!$B$23:$U$23,0)))*(VLOOKUP($B155,INDIRECT($B$5&amp;"生成成长"),3))*(VLOOKUP($B$5,标准坦克设计!$B$14:$K$20,9)/30))</f>
        <v>10.850101839802448</v>
      </c>
      <c r="EX155" s="173">
        <f ca="1">(VLOOKUP(EX$72,INDIRECT($C$5&amp;"生成成长"),2))/((VLOOKUP($B155,INDIRECT($B$5&amp;"生成成长"),4))/(VLOOKUP(EX$72,INDIRECT($C$5&amp;"生成成长"),5))*(VLOOKUP($B$5,标准坦克设计!$B$24:$U$30,MATCH("对"&amp;LEFT($C$5,2)&amp;"输出",标准坦克设计!$B$23:$U$23,0)))*(VLOOKUP($B155,INDIRECT($B$5&amp;"生成成长"),3))*(VLOOKUP($B$5,标准坦克设计!$B$14:$K$20,9)/30))</f>
        <v>11.623615631761263</v>
      </c>
      <c r="EY155" s="173">
        <f ca="1">(VLOOKUP(EY$72,INDIRECT($C$5&amp;"生成成长"),2))/((VLOOKUP($B155,INDIRECT($B$5&amp;"生成成长"),4))/(VLOOKUP(EY$72,INDIRECT($C$5&amp;"生成成长"),5))*(VLOOKUP($B$5,标准坦克设计!$B$24:$U$30,MATCH("对"&amp;LEFT($C$5,2)&amp;"输出",标准坦克设计!$B$23:$U$23,0)))*(VLOOKUP($B155,INDIRECT($B$5&amp;"生成成长"),3))*(VLOOKUP($B$5,标准坦克设计!$B$14:$K$20,9)/30))</f>
        <v>12.423760571487049</v>
      </c>
      <c r="EZ155" s="173">
        <f ca="1">(VLOOKUP(EZ$72,INDIRECT($C$5&amp;"生成成长"),2))/((VLOOKUP($B155,INDIRECT($B$5&amp;"生成成长"),4))/(VLOOKUP(EZ$72,INDIRECT($C$5&amp;"生成成长"),5))*(VLOOKUP($B$5,标准坦克设计!$B$24:$U$30,MATCH("对"&amp;LEFT($C$5,2)&amp;"输出",标准坦克设计!$B$23:$U$23,0)))*(VLOOKUP($B155,INDIRECT($B$5&amp;"生成成长"),3))*(VLOOKUP($B$5,标准坦克设计!$B$14:$K$20,9)/30))</f>
        <v>13.250536658979806</v>
      </c>
      <c r="FA155" s="173">
        <f ca="1">(VLOOKUP(FA$72,INDIRECT($C$5&amp;"生成成长"),2))/((VLOOKUP($B155,INDIRECT($B$5&amp;"生成成长"),4))/(VLOOKUP(FA$72,INDIRECT($C$5&amp;"生成成长"),5))*(VLOOKUP($B$5,标准坦克设计!$B$24:$U$30,MATCH("对"&amp;LEFT($C$5,2)&amp;"输出",标准坦克设计!$B$23:$U$23,0)))*(VLOOKUP($B155,INDIRECT($B$5&amp;"生成成长"),3))*(VLOOKUP($B$5,标准坦克设计!$B$14:$K$20,9)/30))</f>
        <v>14.10394389423953</v>
      </c>
      <c r="FB155" s="173">
        <f ca="1">(VLOOKUP(FB$72,INDIRECT($C$5&amp;"生成成长"),2))/((VLOOKUP($B155,INDIRECT($B$5&amp;"生成成长"),4))/(VLOOKUP(FB$72,INDIRECT($C$5&amp;"生成成长"),5))*(VLOOKUP($B$5,标准坦克设计!$B$24:$U$30,MATCH("对"&amp;LEFT($C$5,2)&amp;"输出",标准坦克设计!$B$23:$U$23,0)))*(VLOOKUP($B155,INDIRECT($B$5&amp;"生成成长"),3))*(VLOOKUP($B$5,标准坦克设计!$B$14:$K$20,9)/30))</f>
        <v>14.983982277266227</v>
      </c>
      <c r="FC155" s="173">
        <f ca="1">(VLOOKUP(FC$72,INDIRECT($C$5&amp;"生成成长"),2))/((VLOOKUP($B155,INDIRECT($B$5&amp;"生成成长"),4))/(VLOOKUP(FC$72,INDIRECT($C$5&amp;"生成成长"),5))*(VLOOKUP($B$5,标准坦克设计!$B$24:$U$30,MATCH("对"&amp;LEFT($C$5,2)&amp;"输出",标准坦克设计!$B$23:$U$23,0)))*(VLOOKUP($B155,INDIRECT($B$5&amp;"生成成长"),3))*(VLOOKUP($B$5,标准坦克设计!$B$14:$K$20,9)/30))</f>
        <v>15.890651808059895</v>
      </c>
      <c r="FD155" s="173">
        <f ca="1">(VLOOKUP(FD$72,INDIRECT($C$5&amp;"生成成长"),2))/((VLOOKUP($B155,INDIRECT($B$5&amp;"生成成长"),4))/(VLOOKUP(FD$72,INDIRECT($C$5&amp;"生成成长"),5))*(VLOOKUP($B$5,标准坦克设计!$B$24:$U$30,MATCH("对"&amp;LEFT($C$5,2)&amp;"输出",标准坦克设计!$B$23:$U$23,0)))*(VLOOKUP($B155,INDIRECT($B$5&amp;"生成成长"),3))*(VLOOKUP($B$5,标准坦克设计!$B$14:$K$20,9)/30))</f>
        <v>16.823952486620534</v>
      </c>
      <c r="FE155" s="173">
        <f ca="1">(VLOOKUP(FE$72,INDIRECT($C$5&amp;"生成成长"),2))/((VLOOKUP($B155,INDIRECT($B$5&amp;"生成成长"),4))/(VLOOKUP(FE$72,INDIRECT($C$5&amp;"生成成长"),5))*(VLOOKUP($B$5,标准坦克设计!$B$24:$U$30,MATCH("对"&amp;LEFT($C$5,2)&amp;"输出",标准坦克设计!$B$23:$U$23,0)))*(VLOOKUP($B155,INDIRECT($B$5&amp;"生成成长"),3))*(VLOOKUP($B$5,标准坦克设计!$B$14:$K$20,9)/30))</f>
        <v>17.961278569974404</v>
      </c>
      <c r="FF155" s="173">
        <f ca="1">(VLOOKUP(FF$72,INDIRECT($C$5&amp;"生成成长"),2))/((VLOOKUP($B155,INDIRECT($B$5&amp;"生成成长"),4))/(VLOOKUP(FF$72,INDIRECT($C$5&amp;"生成成长"),5))*(VLOOKUP($B$5,标准坦克设计!$B$24:$U$30,MATCH("对"&amp;LEFT($C$5,2)&amp;"输出",标准坦克设计!$B$23:$U$23,0)))*(VLOOKUP($B155,INDIRECT($B$5&amp;"生成成长"),3))*(VLOOKUP($B$5,标准坦克设计!$B$14:$K$20,9)/30))</f>
        <v>19.135800223349911</v>
      </c>
      <c r="FG155" s="173">
        <f ca="1">(VLOOKUP(FG$72,INDIRECT($C$5&amp;"生成成长"),2))/((VLOOKUP($B155,INDIRECT($B$5&amp;"生成成长"),4))/(VLOOKUP(FG$72,INDIRECT($C$5&amp;"生成成长"),5))*(VLOOKUP($B$5,标准坦克设计!$B$24:$U$30,MATCH("对"&amp;LEFT($C$5,2)&amp;"输出",标准坦克设计!$B$23:$U$23,0)))*(VLOOKUP($B155,INDIRECT($B$5&amp;"生成成长"),3))*(VLOOKUP($B$5,标准坦克设计!$B$14:$K$20,9)/30))</f>
        <v>20.347517446747052</v>
      </c>
      <c r="FH155" s="173">
        <f ca="1">(VLOOKUP(FH$72,INDIRECT($C$5&amp;"生成成长"),2))/((VLOOKUP($B155,INDIRECT($B$5&amp;"生成成长"),4))/(VLOOKUP(FH$72,INDIRECT($C$5&amp;"生成成长"),5))*(VLOOKUP($B$5,标准坦克设计!$B$24:$U$30,MATCH("对"&amp;LEFT($C$5,2)&amp;"输出",标准坦克设计!$B$23:$U$23,0)))*(VLOOKUP($B155,INDIRECT($B$5&amp;"生成成长"),3))*(VLOOKUP($B$5,标准坦克设计!$B$14:$K$20,9)/30))</f>
        <v>21.596430240165834</v>
      </c>
      <c r="FI155" s="173">
        <f ca="1">(VLOOKUP(FI$72,INDIRECT($C$5&amp;"生成成长"),2))/((VLOOKUP($B155,INDIRECT($B$5&amp;"生成成长"),4))/(VLOOKUP(FI$72,INDIRECT($C$5&amp;"生成成长"),5))*(VLOOKUP($B$5,标准坦克设计!$B$24:$U$30,MATCH("对"&amp;LEFT($C$5,2)&amp;"输出",标准坦克设计!$B$23:$U$23,0)))*(VLOOKUP($B155,INDIRECT($B$5&amp;"生成成长"),3))*(VLOOKUP($B$5,标准坦克设计!$B$14:$K$20,9)/30))</f>
        <v>22.88253860360625</v>
      </c>
      <c r="FJ155" s="173">
        <f ca="1">(VLOOKUP(FJ$72,INDIRECT($C$5&amp;"生成成长"),2))/((VLOOKUP($B155,INDIRECT($B$5&amp;"生成成长"),4))/(VLOOKUP(FJ$72,INDIRECT($C$5&amp;"生成成长"),5))*(VLOOKUP($B$5,标准坦克设计!$B$24:$U$30,MATCH("对"&amp;LEFT($C$5,2)&amp;"输出",标准坦克设计!$B$23:$U$23,0)))*(VLOOKUP($B155,INDIRECT($B$5&amp;"生成成长"),3))*(VLOOKUP($B$5,标准坦克设计!$B$14:$K$20,9)/30))</f>
        <v>24.2058425370683</v>
      </c>
      <c r="FK155" s="173">
        <f ca="1">(VLOOKUP(FK$72,INDIRECT($C$5&amp;"生成成长"),2))/((VLOOKUP($B155,INDIRECT($B$5&amp;"生成成长"),4))/(VLOOKUP(FK$72,INDIRECT($C$5&amp;"生成成长"),5))*(VLOOKUP($B$5,标准坦克设计!$B$24:$U$30,MATCH("对"&amp;LEFT($C$5,2)&amp;"输出",标准坦克设计!$B$23:$U$23,0)))*(VLOOKUP($B155,INDIRECT($B$5&amp;"生成成长"),3))*(VLOOKUP($B$5,标准坦克设计!$B$14:$K$20,9)/30))</f>
        <v>25.566342040551987</v>
      </c>
    </row>
    <row r="156" spans="1:167" x14ac:dyDescent="0.15">
      <c r="A156" s="171" t="str">
        <f t="shared" si="12"/>
        <v>T4中品质12级</v>
      </c>
      <c r="B156" s="172">
        <v>20412</v>
      </c>
      <c r="C156" s="173">
        <f ca="1">(VLOOKUP(C$72,INDIRECT($C$5&amp;"生成成长"),2))/((VLOOKUP($B156,INDIRECT($B$5&amp;"生成成长"),4))/(VLOOKUP(C$72,INDIRECT($C$5&amp;"生成成长"),5))*(VLOOKUP($B$5,标准坦克设计!$B$24:$U$30,MATCH("对"&amp;LEFT($C$5,2)&amp;"输出",标准坦克设计!$B$23:$U$23,0)))*(VLOOKUP($B156,INDIRECT($B$5&amp;"生成成长"),3))*(VLOOKUP($B$5,标准坦克设计!$B$14:$K$20,9)/30))</f>
        <v>1.0275124721242608</v>
      </c>
      <c r="D156" s="173">
        <f ca="1">(VLOOKUP(D$72,INDIRECT($C$5&amp;"生成成长"),2))/((VLOOKUP($B156,INDIRECT($B$5&amp;"生成成长"),4))/(VLOOKUP(D$72,INDIRECT($C$5&amp;"生成成长"),5))*(VLOOKUP($B$5,标准坦克设计!$B$24:$U$30,MATCH("对"&amp;LEFT($C$5,2)&amp;"输出",标准坦克设计!$B$23:$U$23,0)))*(VLOOKUP($B156,INDIRECT($B$5&amp;"生成成长"),3))*(VLOOKUP($B$5,标准坦克设计!$B$14:$K$20,9)/30))</f>
        <v>1.1545130136788195</v>
      </c>
      <c r="E156" s="173">
        <f ca="1">(VLOOKUP(E$72,INDIRECT($C$5&amp;"生成成长"),2))/((VLOOKUP($B156,INDIRECT($B$5&amp;"生成成长"),4))/(VLOOKUP(E$72,INDIRECT($C$5&amp;"生成成长"),5))*(VLOOKUP($B$5,标准坦克设计!$B$24:$U$30,MATCH("对"&amp;LEFT($C$5,2)&amp;"输出",标准坦克设计!$B$23:$U$23,0)))*(VLOOKUP($B156,INDIRECT($B$5&amp;"生成成长"),3))*(VLOOKUP($B$5,标准坦克设计!$B$14:$K$20,9)/30))</f>
        <v>1.2889116450326727</v>
      </c>
      <c r="F156" s="173">
        <f ca="1">(VLOOKUP(F$72,INDIRECT($C$5&amp;"生成成长"),2))/((VLOOKUP($B156,INDIRECT($B$5&amp;"生成成长"),4))/(VLOOKUP(F$72,INDIRECT($C$5&amp;"生成成长"),5))*(VLOOKUP($B$5,标准坦克设计!$B$24:$U$30,MATCH("对"&amp;LEFT($C$5,2)&amp;"输出",标准坦克设计!$B$23:$U$23,0)))*(VLOOKUP($B156,INDIRECT($B$5&amp;"生成成长"),3))*(VLOOKUP($B$5,标准坦克设计!$B$14:$K$20,9)/30))</f>
        <v>1.4307083661858209</v>
      </c>
      <c r="G156" s="173">
        <f ca="1">(VLOOKUP(G$72,INDIRECT($C$5&amp;"生成成长"),2))/((VLOOKUP($B156,INDIRECT($B$5&amp;"生成成长"),4))/(VLOOKUP(G$72,INDIRECT($C$5&amp;"生成成长"),5))*(VLOOKUP($B$5,标准坦克设计!$B$24:$U$30,MATCH("对"&amp;LEFT($C$5,2)&amp;"输出",标准坦克设计!$B$23:$U$23,0)))*(VLOOKUP($B156,INDIRECT($B$5&amp;"生成成长"),3))*(VLOOKUP($B$5,标准坦克设计!$B$14:$K$20,9)/30))</f>
        <v>1.5799031771382634</v>
      </c>
      <c r="H156" s="173">
        <f ca="1">(VLOOKUP(H$72,INDIRECT($C$5&amp;"生成成长"),2))/((VLOOKUP($B156,INDIRECT($B$5&amp;"生成成长"),4))/(VLOOKUP(H$72,INDIRECT($C$5&amp;"生成成长"),5))*(VLOOKUP($B$5,标准坦克设计!$B$24:$U$30,MATCH("对"&amp;LEFT($C$5,2)&amp;"输出",标准坦克设计!$B$23:$U$23,0)))*(VLOOKUP($B156,INDIRECT($B$5&amp;"生成成长"),3))*(VLOOKUP($B$5,标准坦克设计!$B$14:$K$20,9)/30))</f>
        <v>1.3826207824904053</v>
      </c>
      <c r="I156" s="173">
        <f ca="1">(VLOOKUP(I$72,INDIRECT($C$5&amp;"生成成长"),2))/((VLOOKUP($B156,INDIRECT($B$5&amp;"生成成长"),4))/(VLOOKUP(I$72,INDIRECT($C$5&amp;"生成成长"),5))*(VLOOKUP($B$5,标准坦克设计!$B$24:$U$30,MATCH("对"&amp;LEFT($C$5,2)&amp;"输出",标准坦克设计!$B$23:$U$23,0)))*(VLOOKUP($B156,INDIRECT($B$5&amp;"生成成长"),3))*(VLOOKUP($B$5,标准坦克设计!$B$14:$K$20,9)/30))</f>
        <v>1.5799031771382634</v>
      </c>
      <c r="J156" s="173">
        <f ca="1">(VLOOKUP(J$72,INDIRECT($C$5&amp;"生成成长"),2))/((VLOOKUP($B156,INDIRECT($B$5&amp;"生成成长"),4))/(VLOOKUP(J$72,INDIRECT($C$5&amp;"生成成长"),5))*(VLOOKUP($B$5,标准坦克设计!$B$24:$U$30,MATCH("对"&amp;LEFT($C$5,2)&amp;"输出",标准坦克设计!$B$23:$U$23,0)))*(VLOOKUP($B156,INDIRECT($B$5&amp;"生成成长"),3))*(VLOOKUP($B$5,标准坦克设计!$B$14:$K$20,9)/30))</f>
        <v>1.7903377314293123</v>
      </c>
      <c r="K156" s="173">
        <f ca="1">(VLOOKUP(K$72,INDIRECT($C$5&amp;"生成成长"),2))/((VLOOKUP($B156,INDIRECT($B$5&amp;"生成成长"),4))/(VLOOKUP(K$72,INDIRECT($C$5&amp;"生成成长"),5))*(VLOOKUP($B$5,标准坦克设计!$B$24:$U$30,MATCH("对"&amp;LEFT($C$5,2)&amp;"输出",标准坦克设计!$B$23:$U$23,0)))*(VLOOKUP($B156,INDIRECT($B$5&amp;"生成成长"),3))*(VLOOKUP($B$5,标准坦克设计!$B$14:$K$20,9)/30))</f>
        <v>2.0139244453635516</v>
      </c>
      <c r="L156" s="173">
        <f ca="1">(VLOOKUP(L$72,INDIRECT($C$5&amp;"生成成长"),2))/((VLOOKUP($B156,INDIRECT($B$5&amp;"生成成长"),4))/(VLOOKUP(L$72,INDIRECT($C$5&amp;"生成成长"),5))*(VLOOKUP($B$5,标准坦克设计!$B$24:$U$30,MATCH("对"&amp;LEFT($C$5,2)&amp;"输出",标准坦克设计!$B$23:$U$23,0)))*(VLOOKUP($B156,INDIRECT($B$5&amp;"生成成长"),3))*(VLOOKUP($B$5,标准坦克设计!$B$14:$K$20,9)/30))</f>
        <v>2.2506633189409815</v>
      </c>
      <c r="M156" s="173">
        <f ca="1">(VLOOKUP(M$72,INDIRECT($C$5&amp;"生成成长"),2))/((VLOOKUP($B156,INDIRECT($B$5&amp;"生成成长"),4))/(VLOOKUP(M$72,INDIRECT($C$5&amp;"生成成长"),5))*(VLOOKUP($B$5,标准坦克设计!$B$24:$U$30,MATCH("对"&amp;LEFT($C$5,2)&amp;"输出",标准坦克设计!$B$23:$U$23,0)))*(VLOOKUP($B156,INDIRECT($B$5&amp;"生成成长"),3))*(VLOOKUP($B$5,标准坦克设计!$B$14:$K$20,9)/30))</f>
        <v>2.5005543521616018</v>
      </c>
      <c r="N156" s="173">
        <f ca="1">(VLOOKUP(N$72,INDIRECT($C$5&amp;"生成成长"),2))/((VLOOKUP($B156,INDIRECT($B$5&amp;"生成成长"),4))/(VLOOKUP(N$72,INDIRECT($C$5&amp;"生成成长"),5))*(VLOOKUP($B$5,标准坦克设计!$B$24:$U$30,MATCH("对"&amp;LEFT($C$5,2)&amp;"输出",标准坦克设计!$B$23:$U$23,0)))*(VLOOKUP($B156,INDIRECT($B$5&amp;"生成成长"),3))*(VLOOKUP($B$5,标准坦克设计!$B$14:$K$20,9)/30))</f>
        <v>2.7635975450254122</v>
      </c>
      <c r="O156" s="173">
        <f ca="1">(VLOOKUP(O$72,INDIRECT($C$5&amp;"生成成长"),2))/((VLOOKUP($B156,INDIRECT($B$5&amp;"生成成长"),4))/(VLOOKUP(O$72,INDIRECT($C$5&amp;"生成成长"),5))*(VLOOKUP($B$5,标准坦克设计!$B$24:$U$30,MATCH("对"&amp;LEFT($C$5,2)&amp;"输出",标准坦克设计!$B$23:$U$23,0)))*(VLOOKUP($B156,INDIRECT($B$5&amp;"生成成长"),3))*(VLOOKUP($B$5,标准坦克设计!$B$14:$K$20,9)/30))</f>
        <v>2.101160254246901</v>
      </c>
      <c r="P156" s="173">
        <f ca="1">(VLOOKUP(P$72,INDIRECT($C$5&amp;"生成成长"),2))/((VLOOKUP($B156,INDIRECT($B$5&amp;"生成成长"),4))/(VLOOKUP(P$72,INDIRECT($C$5&amp;"生成成长"),5))*(VLOOKUP($B$5,标准坦克设计!$B$24:$U$30,MATCH("对"&amp;LEFT($C$5,2)&amp;"输出",标准坦克设计!$B$23:$U$23,0)))*(VLOOKUP($B156,INDIRECT($B$5&amp;"生成成长"),3))*(VLOOKUP($B$5,标准坦克设计!$B$14:$K$20,9)/30))</f>
        <v>2.3739648155958917</v>
      </c>
      <c r="Q156" s="173">
        <f ca="1">(VLOOKUP(Q$72,INDIRECT($C$5&amp;"生成成长"),2))/((VLOOKUP($B156,INDIRECT($B$5&amp;"生成成长"),4))/(VLOOKUP(Q$72,INDIRECT($C$5&amp;"生成成长"),5))*(VLOOKUP($B$5,标准坦克设计!$B$24:$U$30,MATCH("对"&amp;LEFT($C$5,2)&amp;"输出",标准坦克设计!$B$23:$U$23,0)))*(VLOOKUP($B156,INDIRECT($B$5&amp;"生成成长"),3))*(VLOOKUP($B$5,标准坦克设计!$B$14:$K$20,9)/30))</f>
        <v>2.6634150789932973</v>
      </c>
      <c r="R156" s="173">
        <f ca="1">(VLOOKUP(R$72,INDIRECT($C$5&amp;"生成成长"),2))/((VLOOKUP($B156,INDIRECT($B$5&amp;"生成成长"),4))/(VLOOKUP(R$72,INDIRECT($C$5&amp;"生成成长"),5))*(VLOOKUP($B$5,标准坦克设计!$B$24:$U$30,MATCH("对"&amp;LEFT($C$5,2)&amp;"输出",标准坦克设计!$B$23:$U$23,0)))*(VLOOKUP($B156,INDIRECT($B$5&amp;"生成成长"),3))*(VLOOKUP($B$5,标准坦克设计!$B$14:$K$20,9)/30))</f>
        <v>2.969511044439114</v>
      </c>
      <c r="S156" s="173">
        <f ca="1">(VLOOKUP(S$72,INDIRECT($C$5&amp;"生成成长"),2))/((VLOOKUP($B156,INDIRECT($B$5&amp;"生成成长"),4))/(VLOOKUP(S$72,INDIRECT($C$5&amp;"生成成长"),5))*(VLOOKUP($B$5,标准坦克设计!$B$24:$U$30,MATCH("对"&amp;LEFT($C$5,2)&amp;"输出",标准坦克设计!$B$23:$U$23,0)))*(VLOOKUP($B156,INDIRECT($B$5&amp;"生成成长"),3))*(VLOOKUP($B$5,标准坦克设计!$B$14:$K$20,9)/30))</f>
        <v>3.2922527119333442</v>
      </c>
      <c r="T156" s="173">
        <f ca="1">(VLOOKUP(T$72,INDIRECT($C$5&amp;"生成成长"),2))/((VLOOKUP($B156,INDIRECT($B$5&amp;"生成成长"),4))/(VLOOKUP(T$72,INDIRECT($C$5&amp;"生成成长"),5))*(VLOOKUP($B$5,标准坦克设计!$B$24:$U$30,MATCH("对"&amp;LEFT($C$5,2)&amp;"输出",标准坦克设计!$B$23:$U$23,0)))*(VLOOKUP($B156,INDIRECT($B$5&amp;"生成成长"),3))*(VLOOKUP($B$5,标准坦克设计!$B$14:$K$20,9)/30))</f>
        <v>3.6316400814759873</v>
      </c>
      <c r="U156" s="173">
        <f ca="1">(VLOOKUP(U$72,INDIRECT($C$5&amp;"生成成长"),2))/((VLOOKUP($B156,INDIRECT($B$5&amp;"生成成长"),4))/(VLOOKUP(U$72,INDIRECT($C$5&amp;"生成成长"),5))*(VLOOKUP($B$5,标准坦克设计!$B$24:$U$30,MATCH("对"&amp;LEFT($C$5,2)&amp;"输出",标准坦克设计!$B$23:$U$23,0)))*(VLOOKUP($B156,INDIRECT($B$5&amp;"生成成长"),3))*(VLOOKUP($B$5,标准坦克设计!$B$14:$K$20,9)/30))</f>
        <v>3.9876731530670444</v>
      </c>
      <c r="V156" s="173">
        <f ca="1">(VLOOKUP(V$72,INDIRECT($C$5&amp;"生成成长"),2))/((VLOOKUP($B156,INDIRECT($B$5&amp;"生成成长"),4))/(VLOOKUP(V$72,INDIRECT($C$5&amp;"生成成长"),5))*(VLOOKUP($B$5,标准坦克设计!$B$24:$U$30,MATCH("对"&amp;LEFT($C$5,2)&amp;"输出",标准坦克设计!$B$23:$U$23,0)))*(VLOOKUP($B156,INDIRECT($B$5&amp;"生成成长"),3))*(VLOOKUP($B$5,标准坦克设计!$B$14:$K$20,9)/30))</f>
        <v>4.3603519267065138</v>
      </c>
      <c r="W156" s="173">
        <f ca="1">(VLOOKUP(W$72,INDIRECT($C$5&amp;"生成成长"),2))/((VLOOKUP($B156,INDIRECT($B$5&amp;"生成成长"),4))/(VLOOKUP(W$72,INDIRECT($C$5&amp;"生成成长"),5))*(VLOOKUP($B$5,标准坦克设计!$B$24:$U$30,MATCH("对"&amp;LEFT($C$5,2)&amp;"输出",标准坦克设计!$B$23:$U$23,0)))*(VLOOKUP($B156,INDIRECT($B$5&amp;"生成成长"),3))*(VLOOKUP($B$5,标准坦克设计!$B$14:$K$20,9)/30))</f>
        <v>4.749676402394396</v>
      </c>
      <c r="X156" s="173">
        <f ca="1">(VLOOKUP(X$72,INDIRECT($C$5&amp;"生成成长"),2))/((VLOOKUP($B156,INDIRECT($B$5&amp;"生成成长"),4))/(VLOOKUP(X$72,INDIRECT($C$5&amp;"生成成长"),5))*(VLOOKUP($B$5,标准坦克设计!$B$24:$U$30,MATCH("对"&amp;LEFT($C$5,2)&amp;"输出",标准坦克设计!$B$23:$U$23,0)))*(VLOOKUP($B156,INDIRECT($B$5&amp;"生成成长"),3))*(VLOOKUP($B$5,标准坦克设计!$B$14:$K$20,9)/30))</f>
        <v>3.4410365178969373</v>
      </c>
      <c r="Y156" s="173">
        <f ca="1">(VLOOKUP(Y$72,INDIRECT($C$5&amp;"生成成长"),2))/((VLOOKUP($B156,INDIRECT($B$5&amp;"生成成长"),4))/(VLOOKUP(Y$72,INDIRECT($C$5&amp;"生成成长"),5))*(VLOOKUP($B$5,标准坦克设计!$B$24:$U$30,MATCH("对"&amp;LEFT($C$5,2)&amp;"输出",标准坦克设计!$B$23:$U$23,0)))*(VLOOKUP($B156,INDIRECT($B$5&amp;"生成成长"),3))*(VLOOKUP($B$5,标准坦克设计!$B$14:$K$20,9)/30))</f>
        <v>3.8273812074156597</v>
      </c>
      <c r="Z156" s="173">
        <f ca="1">(VLOOKUP(Z$72,INDIRECT($C$5&amp;"生成成长"),2))/((VLOOKUP($B156,INDIRECT($B$5&amp;"生成成长"),4))/(VLOOKUP(Z$72,INDIRECT($C$5&amp;"生成成长"),5))*(VLOOKUP($B$5,标准坦克设计!$B$24:$U$30,MATCH("对"&amp;LEFT($C$5,2)&amp;"输出",标准坦克设计!$B$23:$U$23,0)))*(VLOOKUP($B156,INDIRECT($B$5&amp;"生成成长"),3))*(VLOOKUP($B$5,标准坦克设计!$B$14:$K$20,9)/30))</f>
        <v>4.2342761463768666</v>
      </c>
      <c r="AA156" s="173">
        <f ca="1">(VLOOKUP(AA$72,INDIRECT($C$5&amp;"生成成长"),2))/((VLOOKUP($B156,INDIRECT($B$5&amp;"生成成长"),4))/(VLOOKUP(AA$72,INDIRECT($C$5&amp;"生成成长"),5))*(VLOOKUP($B$5,标准坦克设计!$B$24:$U$30,MATCH("对"&amp;LEFT($C$5,2)&amp;"输出",标准坦克设计!$B$23:$U$23,0)))*(VLOOKUP($B156,INDIRECT($B$5&amp;"生成成长"),3))*(VLOOKUP($B$5,标准坦克设计!$B$14:$K$20,9)/30))</f>
        <v>4.6617213347805597</v>
      </c>
      <c r="AB156" s="173">
        <f ca="1">(VLOOKUP(AB$72,INDIRECT($C$5&amp;"生成成长"),2))/((VLOOKUP($B156,INDIRECT($B$5&amp;"生成成长"),4))/(VLOOKUP(AB$72,INDIRECT($C$5&amp;"生成成长"),5))*(VLOOKUP($B$5,标准坦克设计!$B$24:$U$30,MATCH("对"&amp;LEFT($C$5,2)&amp;"输出",标准坦克设计!$B$23:$U$23,0)))*(VLOOKUP($B156,INDIRECT($B$5&amp;"生成成长"),3))*(VLOOKUP($B$5,标准坦克设计!$B$14:$K$20,9)/30))</f>
        <v>5.1097167726267374</v>
      </c>
      <c r="AC156" s="173">
        <f ca="1">(VLOOKUP(AC$72,INDIRECT($C$5&amp;"生成成长"),2))/((VLOOKUP($B156,INDIRECT($B$5&amp;"生成成长"),4))/(VLOOKUP(AC$72,INDIRECT($C$5&amp;"生成成长"),5))*(VLOOKUP($B$5,标准坦克设计!$B$24:$U$30,MATCH("对"&amp;LEFT($C$5,2)&amp;"输出",标准坦克设计!$B$23:$U$23,0)))*(VLOOKUP($B156,INDIRECT($B$5&amp;"生成成长"),3))*(VLOOKUP($B$5,标准坦克设计!$B$14:$K$20,9)/30))</f>
        <v>5.5782624599153996</v>
      </c>
      <c r="AD156" s="173">
        <f ca="1">(VLOOKUP(AD$72,INDIRECT($C$5&amp;"生成成长"),2))/((VLOOKUP($B156,INDIRECT($B$5&amp;"生成成长"),4))/(VLOOKUP(AD$72,INDIRECT($C$5&amp;"生成成长"),5))*(VLOOKUP($B$5,标准坦克设计!$B$24:$U$30,MATCH("对"&amp;LEFT($C$5,2)&amp;"输出",标准坦克设计!$B$23:$U$23,0)))*(VLOOKUP($B156,INDIRECT($B$5&amp;"生成成长"),3))*(VLOOKUP($B$5,标准坦克设计!$B$14:$K$20,9)/30))</f>
        <v>6.0673583966465481</v>
      </c>
      <c r="AE156" s="173">
        <f ca="1">(VLOOKUP(AE$72,INDIRECT($C$5&amp;"生成成长"),2))/((VLOOKUP($B156,INDIRECT($B$5&amp;"生成成长"),4))/(VLOOKUP(AE$72,INDIRECT($C$5&amp;"生成成长"),5))*(VLOOKUP($B$5,标准坦克设计!$B$24:$U$30,MATCH("对"&amp;LEFT($C$5,2)&amp;"输出",标准坦克设计!$B$23:$U$23,0)))*(VLOOKUP($B156,INDIRECT($B$5&amp;"生成成长"),3))*(VLOOKUP($B$5,标准坦克设计!$B$14:$K$20,9)/30))</f>
        <v>6.5770045828201811</v>
      </c>
      <c r="AF156" s="173">
        <f ca="1">(VLOOKUP(AF$72,INDIRECT($C$5&amp;"生成成长"),2))/((VLOOKUP($B156,INDIRECT($B$5&amp;"生成成长"),4))/(VLOOKUP(AF$72,INDIRECT($C$5&amp;"生成成长"),5))*(VLOOKUP($B$5,标准坦克设计!$B$24:$U$30,MATCH("对"&amp;LEFT($C$5,2)&amp;"输出",标准坦克设计!$B$23:$U$23,0)))*(VLOOKUP($B156,INDIRECT($B$5&amp;"生成成长"),3))*(VLOOKUP($B$5,标准坦克设计!$B$14:$K$20,9)/30))</f>
        <v>7.1072010184362995</v>
      </c>
      <c r="AG156" s="173">
        <f ca="1">(VLOOKUP(AG$72,INDIRECT($C$5&amp;"生成成长"),2))/((VLOOKUP($B156,INDIRECT($B$5&amp;"生成成长"),4))/(VLOOKUP(AG$72,INDIRECT($C$5&amp;"生成成长"),5))*(VLOOKUP($B$5,标准坦克设计!$B$24:$U$30,MATCH("对"&amp;LEFT($C$5,2)&amp;"输出",标准坦克设计!$B$23:$U$23,0)))*(VLOOKUP($B156,INDIRECT($B$5&amp;"生成成长"),3))*(VLOOKUP($B$5,标准坦克设计!$B$14:$K$20,9)/30))</f>
        <v>7.6579477034949042</v>
      </c>
      <c r="AH156" s="173">
        <f ca="1">(VLOOKUP(AH$72,INDIRECT($C$5&amp;"生成成长"),2))/((VLOOKUP($B156,INDIRECT($B$5&amp;"生成成长"),4))/(VLOOKUP(AH$72,INDIRECT($C$5&amp;"生成成长"),5))*(VLOOKUP($B$5,标准坦克设计!$B$24:$U$30,MATCH("对"&amp;LEFT($C$5,2)&amp;"输出",标准坦克设计!$B$23:$U$23,0)))*(VLOOKUP($B156,INDIRECT($B$5&amp;"生成成长"),3))*(VLOOKUP($B$5,标准坦克设计!$B$14:$K$20,9)/30))</f>
        <v>8.2292446379959951</v>
      </c>
      <c r="AI156" s="173">
        <f ca="1">(VLOOKUP(AI$72,INDIRECT($C$5&amp;"生成成长"),2))/((VLOOKUP($B156,INDIRECT($B$5&amp;"生成成长"),4))/(VLOOKUP(AI$72,INDIRECT($C$5&amp;"生成成长"),5))*(VLOOKUP($B$5,标准坦克设计!$B$24:$U$30,MATCH("对"&amp;LEFT($C$5,2)&amp;"输出",标准坦克设计!$B$23:$U$23,0)))*(VLOOKUP($B156,INDIRECT($B$5&amp;"生成成长"),3))*(VLOOKUP($B$5,标准坦克设计!$B$14:$K$20,9)/30))</f>
        <v>5.8202416471006622</v>
      </c>
      <c r="AJ156" s="173">
        <f ca="1">(VLOOKUP(AJ$72,INDIRECT($C$5&amp;"生成成长"),2))/((VLOOKUP($B156,INDIRECT($B$5&amp;"生成成长"),4))/(VLOOKUP(AJ$72,INDIRECT($C$5&amp;"生成成长"),5))*(VLOOKUP($B$5,标准坦克设计!$B$24:$U$30,MATCH("对"&amp;LEFT($C$5,2)&amp;"输出",标准坦克设计!$B$23:$U$23,0)))*(VLOOKUP($B156,INDIRECT($B$5&amp;"生成成长"),3))*(VLOOKUP($B$5,标准坦克设计!$B$14:$K$20,9)/30))</f>
        <v>6.3706800784176298</v>
      </c>
      <c r="AK156" s="173">
        <f ca="1">(VLOOKUP(AK$72,INDIRECT($C$5&amp;"生成成长"),2))/((VLOOKUP($B156,INDIRECT($B$5&amp;"生成成长"),4))/(VLOOKUP(AK$72,INDIRECT($C$5&amp;"生成成长"),5))*(VLOOKUP($B$5,标准坦克设计!$B$24:$U$30,MATCH("对"&amp;LEFT($C$5,2)&amp;"输出",标准坦克设计!$B$23:$U$23,0)))*(VLOOKUP($B156,INDIRECT($B$5&amp;"生成成长"),3))*(VLOOKUP($B$5,标准坦克设计!$B$14:$K$20,9)/30))</f>
        <v>6.9459843115600055</v>
      </c>
      <c r="AL156" s="173">
        <f ca="1">(VLOOKUP(AL$72,INDIRECT($C$5&amp;"生成成长"),2))/((VLOOKUP($B156,INDIRECT($B$5&amp;"生成成长"),4))/(VLOOKUP(AL$72,INDIRECT($C$5&amp;"生成成长"),5))*(VLOOKUP($B$5,标准坦克设计!$B$24:$U$30,MATCH("对"&amp;LEFT($C$5,2)&amp;"输出",标准坦克设计!$B$23:$U$23,0)))*(VLOOKUP($B156,INDIRECT($B$5&amp;"生成成长"),3))*(VLOOKUP($B$5,标准坦克设计!$B$14:$K$20,9)/30))</f>
        <v>7.5461543465277847</v>
      </c>
      <c r="AM156" s="173">
        <f ca="1">(VLOOKUP(AM$72,INDIRECT($C$5&amp;"生成成长"),2))/((VLOOKUP($B156,INDIRECT($B$5&amp;"生成成长"),4))/(VLOOKUP(AM$72,INDIRECT($C$5&amp;"生成成长"),5))*(VLOOKUP($B$5,标准坦克设计!$B$24:$U$30,MATCH("对"&amp;LEFT($C$5,2)&amp;"输出",标准坦克设计!$B$23:$U$23,0)))*(VLOOKUP($B156,INDIRECT($B$5&amp;"生成成长"),3))*(VLOOKUP($B$5,标准坦克设计!$B$14:$K$20,9)/30))</f>
        <v>8.1711901833209737</v>
      </c>
      <c r="AN156" s="173">
        <f ca="1">(VLOOKUP(AN$72,INDIRECT($C$5&amp;"生成成长"),2))/((VLOOKUP($B156,INDIRECT($B$5&amp;"生成成长"),4))/(VLOOKUP(AN$72,INDIRECT($C$5&amp;"生成成长"),5))*(VLOOKUP($B$5,标准坦克设计!$B$24:$U$30,MATCH("对"&amp;LEFT($C$5,2)&amp;"输出",标准坦克设计!$B$23:$U$23,0)))*(VLOOKUP($B156,INDIRECT($B$5&amp;"生成成长"),3))*(VLOOKUP($B$5,标准坦克设计!$B$14:$K$20,9)/30))</f>
        <v>8.821091821939568</v>
      </c>
      <c r="AO156" s="173">
        <f ca="1">(VLOOKUP(AO$72,INDIRECT($C$5&amp;"生成成长"),2))/((VLOOKUP($B156,INDIRECT($B$5&amp;"生成成长"),4))/(VLOOKUP(AO$72,INDIRECT($C$5&amp;"生成成长"),5))*(VLOOKUP($B$5,标准坦克设计!$B$24:$U$30,MATCH("对"&amp;LEFT($C$5,2)&amp;"输出",标准坦克设计!$B$23:$U$23,0)))*(VLOOKUP($B156,INDIRECT($B$5&amp;"生成成长"),3))*(VLOOKUP($B$5,标准坦克设计!$B$14:$K$20,9)/30))</f>
        <v>9.4958592623835667</v>
      </c>
      <c r="AP156" s="173">
        <f ca="1">(VLOOKUP(AP$72,INDIRECT($C$5&amp;"生成成长"),2))/((VLOOKUP($B156,INDIRECT($B$5&amp;"生成成长"),4))/(VLOOKUP(AP$72,INDIRECT($C$5&amp;"生成成长"),5))*(VLOOKUP($B$5,标准坦克设计!$B$24:$U$30,MATCH("对"&amp;LEFT($C$5,2)&amp;"输出",标准坦克设计!$B$23:$U$23,0)))*(VLOOKUP($B156,INDIRECT($B$5&amp;"生成成长"),3))*(VLOOKUP($B$5,标准坦克设计!$B$14:$K$20,9)/30))</f>
        <v>10.195492504652981</v>
      </c>
      <c r="AQ156" s="173">
        <f ca="1">(VLOOKUP(AQ$72,INDIRECT($C$5&amp;"生成成长"),2))/((VLOOKUP($B156,INDIRECT($B$5&amp;"生成成长"),4))/(VLOOKUP(AQ$72,INDIRECT($C$5&amp;"生成成长"),5))*(VLOOKUP($B$5,标准坦克设计!$B$24:$U$30,MATCH("对"&amp;LEFT($C$5,2)&amp;"输出",标准坦克设计!$B$23:$U$23,0)))*(VLOOKUP($B156,INDIRECT($B$5&amp;"生成成长"),3))*(VLOOKUP($B$5,标准坦克设计!$B$14:$K$20,9)/30))</f>
        <v>10.919991548747795</v>
      </c>
      <c r="AR156" s="173">
        <f ca="1">(VLOOKUP(AR$72,INDIRECT($C$5&amp;"生成成长"),2))/((VLOOKUP($B156,INDIRECT($B$5&amp;"生成成长"),4))/(VLOOKUP(AR$72,INDIRECT($C$5&amp;"生成成长"),5))*(VLOOKUP($B$5,标准坦克设计!$B$24:$U$30,MATCH("对"&amp;LEFT($C$5,2)&amp;"输出",标准坦克设计!$B$23:$U$23,0)))*(VLOOKUP($B156,INDIRECT($B$5&amp;"生成成长"),3))*(VLOOKUP($B$5,标准坦克设计!$B$14:$K$20,9)/30))</f>
        <v>11.669356394668018</v>
      </c>
      <c r="AS156" s="173">
        <f ca="1">(VLOOKUP(AS$72,INDIRECT($C$5&amp;"生成成长"),2))/((VLOOKUP($B156,INDIRECT($B$5&amp;"生成成长"),4))/(VLOOKUP(AS$72,INDIRECT($C$5&amp;"生成成长"),5))*(VLOOKUP($B$5,标准坦克设计!$B$24:$U$30,MATCH("对"&amp;LEFT($C$5,2)&amp;"输出",标准坦克设计!$B$23:$U$23,0)))*(VLOOKUP($B156,INDIRECT($B$5&amp;"生成成长"),3))*(VLOOKUP($B$5,标准坦克设计!$B$14:$K$20,9)/30))</f>
        <v>12.443587042413649</v>
      </c>
      <c r="AT156" s="173">
        <f ca="1">(VLOOKUP(AT$72,INDIRECT($C$5&amp;"生成成长"),2))/((VLOOKUP($B156,INDIRECT($B$5&amp;"生成成长"),4))/(VLOOKUP(AT$72,INDIRECT($C$5&amp;"生成成长"),5))*(VLOOKUP($B$5,标准坦克设计!$B$24:$U$30,MATCH("对"&amp;LEFT($C$5,2)&amp;"输出",标准坦克设计!$B$23:$U$23,0)))*(VLOOKUP($B156,INDIRECT($B$5&amp;"生成成长"),3))*(VLOOKUP($B$5,标准坦克设计!$B$14:$K$20,9)/30))</f>
        <v>13.242683491984685</v>
      </c>
      <c r="AU156" s="173">
        <f ca="1">(VLOOKUP(AU$72,INDIRECT($C$5&amp;"生成成长"),2))/((VLOOKUP($B156,INDIRECT($B$5&amp;"生成成长"),4))/(VLOOKUP(AU$72,INDIRECT($C$5&amp;"生成成长"),5))*(VLOOKUP($B$5,标准坦克设计!$B$24:$U$30,MATCH("对"&amp;LEFT($C$5,2)&amp;"输出",标准坦克设计!$B$23:$U$23,0)))*(VLOOKUP($B156,INDIRECT($B$5&amp;"生成成长"),3))*(VLOOKUP($B$5,标准坦克设计!$B$14:$K$20,9)/30))</f>
        <v>14.066645743381132</v>
      </c>
      <c r="AV156" s="173">
        <f ca="1">(VLOOKUP(AV$72,INDIRECT($C$5&amp;"生成成长"),2))/((VLOOKUP($B156,INDIRECT($B$5&amp;"生成成长"),4))/(VLOOKUP(AV$72,INDIRECT($C$5&amp;"生成成长"),5))*(VLOOKUP($B$5,标准坦克设计!$B$24:$U$30,MATCH("对"&amp;LEFT($C$5,2)&amp;"输出",标准坦克设计!$B$23:$U$23,0)))*(VLOOKUP($B156,INDIRECT($B$5&amp;"生成成长"),3))*(VLOOKUP($B$5,标准坦克设计!$B$14:$K$20,9)/30))</f>
        <v>1.4307083661858209</v>
      </c>
      <c r="AW156" s="173">
        <f ca="1">(VLOOKUP(AW$72,INDIRECT($C$5&amp;"生成成长"),2))/((VLOOKUP($B156,INDIRECT($B$5&amp;"生成成长"),4))/(VLOOKUP(AW$72,INDIRECT($C$5&amp;"生成成长"),5))*(VLOOKUP($B$5,标准坦克设计!$B$24:$U$30,MATCH("对"&amp;LEFT($C$5,2)&amp;"输出",标准坦克设计!$B$23:$U$23,0)))*(VLOOKUP($B156,INDIRECT($B$5&amp;"生成成长"),3))*(VLOOKUP($B$5,标准坦克设计!$B$14:$K$20,9)/30))</f>
        <v>1.6312788007444765</v>
      </c>
      <c r="AX156" s="173">
        <f ca="1">(VLOOKUP(AX$72,INDIRECT($C$5&amp;"生成成长"),2))/((VLOOKUP($B156,INDIRECT($B$5&amp;"生成成长"),4))/(VLOOKUP(AX$72,INDIRECT($C$5&amp;"生成成长"),5))*(VLOOKUP($B$5,标准坦克设计!$B$24:$U$30,MATCH("对"&amp;LEFT($C$5,2)&amp;"输出",标准坦克设计!$B$23:$U$23,0)))*(VLOOKUP($B156,INDIRECT($B$5&amp;"生成成长"),3))*(VLOOKUP($B$5,标准坦克设计!$B$14:$K$20,9)/30))</f>
        <v>1.8450013949463231</v>
      </c>
      <c r="AY156" s="173">
        <f ca="1">(VLOOKUP(AY$72,INDIRECT($C$5&amp;"生成成长"),2))/((VLOOKUP($B156,INDIRECT($B$5&amp;"生成成长"),4))/(VLOOKUP(AY$72,INDIRECT($C$5&amp;"生成成长"),5))*(VLOOKUP($B$5,标准坦克设计!$B$24:$U$30,MATCH("对"&amp;LEFT($C$5,2)&amp;"输出",标准坦克设计!$B$23:$U$23,0)))*(VLOOKUP($B156,INDIRECT($B$5&amp;"生成成长"),3))*(VLOOKUP($B$5,标准坦克设计!$B$14:$K$20,9)/30))</f>
        <v>2.0718761487913597</v>
      </c>
      <c r="AZ156" s="173">
        <f ca="1">(VLOOKUP(AZ$72,INDIRECT($C$5&amp;"生成成长"),2))/((VLOOKUP($B156,INDIRECT($B$5&amp;"生成成长"),4))/(VLOOKUP(AZ$72,INDIRECT($C$5&amp;"生成成长"),5))*(VLOOKUP($B$5,标准坦克设计!$B$24:$U$30,MATCH("对"&amp;LEFT($C$5,2)&amp;"输出",标准坦克设计!$B$23:$U$23,0)))*(VLOOKUP($B156,INDIRECT($B$5&amp;"生成成长"),3))*(VLOOKUP($B$5,标准坦克设计!$B$14:$K$20,9)/30))</f>
        <v>2.3119030622795873</v>
      </c>
      <c r="BA156" s="173">
        <f ca="1">(VLOOKUP(BA$72,INDIRECT($C$5&amp;"生成成长"),2))/((VLOOKUP($B156,INDIRECT($B$5&amp;"生成成长"),4))/(VLOOKUP(BA$72,INDIRECT($C$5&amp;"生成成长"),5))*(VLOOKUP($B$5,标准坦克设计!$B$24:$U$30,MATCH("对"&amp;LEFT($C$5,2)&amp;"输出",标准坦克设计!$B$23:$U$23,0)))*(VLOOKUP($B156,INDIRECT($B$5&amp;"生成成长"),3))*(VLOOKUP($B$5,标准坦克设计!$B$14:$K$20,9)/30))</f>
        <v>2.5650821354110045</v>
      </c>
      <c r="BB156" s="173">
        <f ca="1">(VLOOKUP(BB$72,INDIRECT($C$5&amp;"生成成长"),2))/((VLOOKUP($B156,INDIRECT($B$5&amp;"生成成长"),4))/(VLOOKUP(BB$72,INDIRECT($C$5&amp;"生成成长"),5))*(VLOOKUP($B$5,标准坦克设计!$B$24:$U$30,MATCH("对"&amp;LEFT($C$5,2)&amp;"输出",标准坦克设计!$B$23:$U$23,0)))*(VLOOKUP($B156,INDIRECT($B$5&amp;"生成成长"),3))*(VLOOKUP($B$5,标准坦克设计!$B$14:$K$20,9)/30))</f>
        <v>2.8314133681856135</v>
      </c>
      <c r="BC156" s="173">
        <f ca="1">(VLOOKUP(BC$72,INDIRECT($C$5&amp;"生成成长"),2))/((VLOOKUP($B156,INDIRECT($B$5&amp;"生成成长"),4))/(VLOOKUP(BC$72,INDIRECT($C$5&amp;"生成成长"),5))*(VLOOKUP($B$5,标准坦克设计!$B$24:$U$30,MATCH("对"&amp;LEFT($C$5,2)&amp;"输出",标准坦克设计!$B$23:$U$23,0)))*(VLOOKUP($B156,INDIRECT($B$5&amp;"生成成长"),3))*(VLOOKUP($B$5,标准坦克设计!$B$14:$K$20,9)/30))</f>
        <v>3.1108967606034121</v>
      </c>
      <c r="BD156" s="173">
        <f ca="1">(VLOOKUP(BD$72,INDIRECT($C$5&amp;"生成成长"),2))/((VLOOKUP($B156,INDIRECT($B$5&amp;"生成成长"),4))/(VLOOKUP(BD$72,INDIRECT($C$5&amp;"生成成长"),5))*(VLOOKUP($B$5,标准坦克设计!$B$24:$U$30,MATCH("对"&amp;LEFT($C$5,2)&amp;"输出",标准坦克设计!$B$23:$U$23,0)))*(VLOOKUP($B156,INDIRECT($B$5&amp;"生成成长"),3))*(VLOOKUP($B$5,标准坦克设计!$B$14:$K$20,9)/30))</f>
        <v>3.4410365178969373</v>
      </c>
      <c r="BE156" s="173">
        <f ca="1">(VLOOKUP(BE$72,INDIRECT($C$5&amp;"生成成长"),2))/((VLOOKUP($B156,INDIRECT($B$5&amp;"生成成长"),4))/(VLOOKUP(BE$72,INDIRECT($C$5&amp;"生成成长"),5))*(VLOOKUP($B$5,标准坦克设计!$B$24:$U$30,MATCH("对"&amp;LEFT($C$5,2)&amp;"输出",标准坦克设计!$B$23:$U$23,0)))*(VLOOKUP($B156,INDIRECT($B$5&amp;"生成成长"),3))*(VLOOKUP($B$5,标准坦克设计!$B$14:$K$20,9)/30))</f>
        <v>3.7878219772388757</v>
      </c>
      <c r="BF156" s="173">
        <f ca="1">(VLOOKUP(BF$72,INDIRECT($C$5&amp;"生成成长"),2))/((VLOOKUP($B156,INDIRECT($B$5&amp;"生成成长"),4))/(VLOOKUP(BF$72,INDIRECT($C$5&amp;"生成成长"),5))*(VLOOKUP($B$5,标准坦克设计!$B$24:$U$30,MATCH("对"&amp;LEFT($C$5,2)&amp;"输出",标准坦克设计!$B$23:$U$23,0)))*(VLOOKUP($B156,INDIRECT($B$5&amp;"生成成长"),3))*(VLOOKUP($B$5,标准坦克设计!$B$14:$K$20,9)/30))</f>
        <v>4.151253138629226</v>
      </c>
      <c r="BG156" s="173">
        <f ca="1">(VLOOKUP(BG$72,INDIRECT($C$5&amp;"生成成长"),2))/((VLOOKUP($B156,INDIRECT($B$5&amp;"生成成长"),4))/(VLOOKUP(BG$72,INDIRECT($C$5&amp;"生成成长"),5))*(VLOOKUP($B$5,标准坦克设计!$B$24:$U$30,MATCH("对"&amp;LEFT($C$5,2)&amp;"输出",标准坦克设计!$B$23:$U$23,0)))*(VLOOKUP($B156,INDIRECT($B$5&amp;"生成成长"),3))*(VLOOKUP($B$5,标准坦克设计!$B$14:$K$20,9)/30))</f>
        <v>4.5313300020679907</v>
      </c>
      <c r="BH156" s="173">
        <f ca="1">(VLOOKUP(BH$72,INDIRECT($C$5&amp;"生成成长"),2))/((VLOOKUP($B156,INDIRECT($B$5&amp;"生成成长"),4))/(VLOOKUP(BH$72,INDIRECT($C$5&amp;"生成成长"),5))*(VLOOKUP($B$5,标准坦克设计!$B$24:$U$30,MATCH("对"&amp;LEFT($C$5,2)&amp;"输出",标准坦克设计!$B$23:$U$23,0)))*(VLOOKUP($B156,INDIRECT($B$5&amp;"生成成长"),3))*(VLOOKUP($B$5,标准坦克设计!$B$14:$K$20,9)/30))</f>
        <v>2.1902455855800746</v>
      </c>
      <c r="BI156" s="173">
        <f ca="1">(VLOOKUP(BI$72,INDIRECT($C$5&amp;"生成成长"),2))/((VLOOKUP($B156,INDIRECT($B$5&amp;"生成成长"),4))/(VLOOKUP(BI$72,INDIRECT($C$5&amp;"生成成长"),5))*(VLOOKUP($B$5,标准坦克设计!$B$24:$U$30,MATCH("对"&amp;LEFT($C$5,2)&amp;"输出",标准坦克设计!$B$23:$U$23,0)))*(VLOOKUP($B156,INDIRECT($B$5&amp;"生成成长"),3))*(VLOOKUP($B$5,标准坦克设计!$B$14:$K$20,9)/30))</f>
        <v>2.4685987142785368</v>
      </c>
      <c r="BJ156" s="173">
        <f ca="1">(VLOOKUP(BJ$72,INDIRECT($C$5&amp;"生成成长"),2))/((VLOOKUP($B156,INDIRECT($B$5&amp;"生成成长"),4))/(VLOOKUP(BJ$72,INDIRECT($C$5&amp;"生成成长"),5))*(VLOOKUP($B$5,标准坦克设计!$B$24:$U$30,MATCH("对"&amp;LEFT($C$5,2)&amp;"输出",标准坦克设计!$B$23:$U$23,0)))*(VLOOKUP($B156,INDIRECT($B$5&amp;"生成成长"),3))*(VLOOKUP($B$5,标准坦克设计!$B$14:$K$20,9)/30))</f>
        <v>2.7635975450254122</v>
      </c>
      <c r="BK156" s="173">
        <f ca="1">(VLOOKUP(BK$72,INDIRECT($C$5&amp;"生成成长"),2))/((VLOOKUP($B156,INDIRECT($B$5&amp;"生成成长"),4))/(VLOOKUP(BK$72,INDIRECT($C$5&amp;"生成成长"),5))*(VLOOKUP($B$5,标准坦克设计!$B$24:$U$30,MATCH("对"&amp;LEFT($C$5,2)&amp;"输出",标准坦克设计!$B$23:$U$23,0)))*(VLOOKUP($B156,INDIRECT($B$5&amp;"生成成长"),3))*(VLOOKUP($B$5,标准坦克设计!$B$14:$K$20,9)/30))</f>
        <v>3.0752420778207004</v>
      </c>
      <c r="BL156" s="173">
        <f ca="1">(VLOOKUP(BL$72,INDIRECT($C$5&amp;"生成成长"),2))/((VLOOKUP($B156,INDIRECT($B$5&amp;"生成成长"),4))/(VLOOKUP(BL$72,INDIRECT($C$5&amp;"生成成长"),5))*(VLOOKUP($B$5,标准坦克设计!$B$24:$U$30,MATCH("对"&amp;LEFT($C$5,2)&amp;"输出",标准坦克设计!$B$23:$U$23,0)))*(VLOOKUP($B156,INDIRECT($B$5&amp;"生成成长"),3))*(VLOOKUP($B$5,标准坦克设计!$B$14:$K$20,9)/30))</f>
        <v>3.4035323126644017</v>
      </c>
      <c r="BM156" s="173">
        <f ca="1">(VLOOKUP(BM$72,INDIRECT($C$5&amp;"生成成长"),2))/((VLOOKUP($B156,INDIRECT($B$5&amp;"生成成长"),4))/(VLOOKUP(BM$72,INDIRECT($C$5&amp;"生成成长"),5))*(VLOOKUP($B$5,标准坦克设计!$B$24:$U$30,MATCH("对"&amp;LEFT($C$5,2)&amp;"输出",标准坦克设计!$B$23:$U$23,0)))*(VLOOKUP($B156,INDIRECT($B$5&amp;"生成成长"),3))*(VLOOKUP($B$5,标准坦克设计!$B$14:$K$20,9)/30))</f>
        <v>3.7484682495565158</v>
      </c>
      <c r="BN156" s="173">
        <f ca="1">(VLOOKUP(BN$72,INDIRECT($C$5&amp;"生成成长"),2))/((VLOOKUP($B156,INDIRECT($B$5&amp;"生成成长"),4))/(VLOOKUP(BN$72,INDIRECT($C$5&amp;"生成成长"),5))*(VLOOKUP($B$5,标准坦克设计!$B$24:$U$30,MATCH("对"&amp;LEFT($C$5,2)&amp;"输出",标准坦克设计!$B$23:$U$23,0)))*(VLOOKUP($B156,INDIRECT($B$5&amp;"生成成长"),3))*(VLOOKUP($B$5,标准坦克设计!$B$14:$K$20,9)/30))</f>
        <v>4.1100498884970431</v>
      </c>
      <c r="BO156" s="173">
        <f ca="1">(VLOOKUP(BO$72,INDIRECT($C$5&amp;"生成成长"),2))/((VLOOKUP($B156,INDIRECT($B$5&amp;"生成成长"),4))/(VLOOKUP(BO$72,INDIRECT($C$5&amp;"生成成长"),5))*(VLOOKUP($B$5,标准坦克设计!$B$24:$U$30,MATCH("对"&amp;LEFT($C$5,2)&amp;"输出",标准坦克设计!$B$23:$U$23,0)))*(VLOOKUP($B156,INDIRECT($B$5&amp;"生成成长"),3))*(VLOOKUP($B$5,标准坦克设计!$B$14:$K$20,9)/30))</f>
        <v>4.4882772294859841</v>
      </c>
      <c r="BP156" s="173">
        <f ca="1">(VLOOKUP(BP$72,INDIRECT($C$5&amp;"生成成长"),2))/((VLOOKUP($B156,INDIRECT($B$5&amp;"生成成长"),4))/(VLOOKUP(BP$72,INDIRECT($C$5&amp;"生成成长"),5))*(VLOOKUP($B$5,标准坦克设计!$B$24:$U$30,MATCH("对"&amp;LEFT($C$5,2)&amp;"输出",标准坦克设计!$B$23:$U$23,0)))*(VLOOKUP($B156,INDIRECT($B$5&amp;"生成成长"),3))*(VLOOKUP($B$5,标准坦克设计!$B$14:$K$20,9)/30))</f>
        <v>4.8831502725233378</v>
      </c>
      <c r="BQ156" s="173">
        <f ca="1">(VLOOKUP(BQ$72,INDIRECT($C$5&amp;"生成成长"),2))/((VLOOKUP($B156,INDIRECT($B$5&amp;"生成成长"),4))/(VLOOKUP(BQ$72,INDIRECT($C$5&amp;"生成成长"),5))*(VLOOKUP($B$5,标准坦克设计!$B$24:$U$30,MATCH("对"&amp;LEFT($C$5,2)&amp;"输出",标准坦克设计!$B$23:$U$23,0)))*(VLOOKUP($B156,INDIRECT($B$5&amp;"生成成长"),3))*(VLOOKUP($B$5,标准坦克设计!$B$14:$K$20,9)/30))</f>
        <v>5.2946690176091051</v>
      </c>
      <c r="BR156" s="173">
        <f ca="1">(VLOOKUP(BR$72,INDIRECT($C$5&amp;"生成成长"),2))/((VLOOKUP($B156,INDIRECT($B$5&amp;"生成成长"),4))/(VLOOKUP(BR$72,INDIRECT($C$5&amp;"生成成长"),5))*(VLOOKUP($B$5,标准坦克设计!$B$24:$U$30,MATCH("对"&amp;LEFT($C$5,2)&amp;"输出",标准坦克设计!$B$23:$U$23,0)))*(VLOOKUP($B156,INDIRECT($B$5&amp;"生成成长"),3))*(VLOOKUP($B$5,标准坦克设计!$B$14:$K$20,9)/30))</f>
        <v>5.7714348046747608</v>
      </c>
      <c r="BS156" s="173">
        <f ca="1">(VLOOKUP(BS$72,INDIRECT($C$5&amp;"生成成长"),2))/((VLOOKUP($B156,INDIRECT($B$5&amp;"生成成长"),4))/(VLOOKUP(BS$72,INDIRECT($C$5&amp;"生成成长"),5))*(VLOOKUP($B$5,标准坦克设计!$B$24:$U$30,MATCH("对"&amp;LEFT($C$5,2)&amp;"输出",标准坦克设计!$B$23:$U$23,0)))*(VLOOKUP($B156,INDIRECT($B$5&amp;"生成成长"),3))*(VLOOKUP($B$5,标准坦克设计!$B$14:$K$20,9)/30))</f>
        <v>6.2687508411829027</v>
      </c>
      <c r="BT156" s="173">
        <f ca="1">(VLOOKUP(BT$72,INDIRECT($C$5&amp;"生成成长"),2))/((VLOOKUP($B156,INDIRECT($B$5&amp;"生成成长"),4))/(VLOOKUP(BT$72,INDIRECT($C$5&amp;"生成成长"),5))*(VLOOKUP($B$5,标准坦克设计!$B$24:$U$30,MATCH("对"&amp;LEFT($C$5,2)&amp;"输出",标准坦克设计!$B$23:$U$23,0)))*(VLOOKUP($B156,INDIRECT($B$5&amp;"生成成长"),3))*(VLOOKUP($B$5,标准坦克设计!$B$14:$K$20,9)/30))</f>
        <v>6.7866171271335318</v>
      </c>
      <c r="BU156" s="173">
        <f ca="1">(VLOOKUP(BU$72,INDIRECT($C$5&amp;"生成成长"),2))/((VLOOKUP($B156,INDIRECT($B$5&amp;"生成成长"),4))/(VLOOKUP(BU$72,INDIRECT($C$5&amp;"生成成长"),5))*(VLOOKUP($B$5,标准坦克设计!$B$24:$U$30,MATCH("对"&amp;LEFT($C$5,2)&amp;"输出",标准坦克设计!$B$23:$U$23,0)))*(VLOOKUP($B156,INDIRECT($B$5&amp;"生成成长"),3))*(VLOOKUP($B$5,标准坦克设计!$B$14:$K$20,9)/30))</f>
        <v>7.3250336625266428</v>
      </c>
      <c r="BV156" s="173">
        <f ca="1">(VLOOKUP(BV$72,INDIRECT($C$5&amp;"生成成长"),2))/((VLOOKUP($B156,INDIRECT($B$5&amp;"生成成长"),4))/(VLOOKUP(BV$72,INDIRECT($C$5&amp;"生成成长"),5))*(VLOOKUP($B$5,标准坦克设计!$B$24:$U$30,MATCH("对"&amp;LEFT($C$5,2)&amp;"输出",标准坦克设计!$B$23:$U$23,0)))*(VLOOKUP($B156,INDIRECT($B$5&amp;"生成成长"),3))*(VLOOKUP($B$5,标准坦克设计!$B$14:$K$20,9)/30))</f>
        <v>7.8840004473622436</v>
      </c>
      <c r="BW156" s="173">
        <f ca="1">(VLOOKUP(BW$72,INDIRECT($C$5&amp;"生成成长"),2))/((VLOOKUP($B156,INDIRECT($B$5&amp;"生成成长"),4))/(VLOOKUP(BW$72,INDIRECT($C$5&amp;"生成成长"),5))*(VLOOKUP($B$5,标准坦克设计!$B$24:$U$30,MATCH("对"&amp;LEFT($C$5,2)&amp;"输出",标准坦克设计!$B$23:$U$23,0)))*(VLOOKUP($B156,INDIRECT($B$5&amp;"生成成长"),3))*(VLOOKUP($B$5,标准坦克设计!$B$14:$K$20,9)/30))</f>
        <v>3.5931083637713281</v>
      </c>
      <c r="BX156" s="173">
        <f ca="1">(VLOOKUP(BX$72,INDIRECT($C$5&amp;"生成成长"),2))/((VLOOKUP($B156,INDIRECT($B$5&amp;"生成成长"),4))/(VLOOKUP(BX$72,INDIRECT($C$5&amp;"生成成长"),5))*(VLOOKUP($B$5,标准坦克设计!$B$24:$U$30,MATCH("对"&amp;LEFT($C$5,2)&amp;"输出",标准坦克设计!$B$23:$U$23,0)))*(VLOOKUP($B156,INDIRECT($B$5&amp;"生成成长"),3))*(VLOOKUP($B$5,标准坦克设计!$B$14:$K$20,9)/30))</f>
        <v>3.9876731530670444</v>
      </c>
      <c r="BY156" s="173">
        <f ca="1">(VLOOKUP(BY$72,INDIRECT($C$5&amp;"生成成长"),2))/((VLOOKUP($B156,INDIRECT($B$5&amp;"生成成长"),4))/(VLOOKUP(BY$72,INDIRECT($C$5&amp;"生成成长"),5))*(VLOOKUP($B$5,标准坦克设计!$B$24:$U$30,MATCH("对"&amp;LEFT($C$5,2)&amp;"输出",标准坦克设计!$B$23:$U$23,0)))*(VLOOKUP($B156,INDIRECT($B$5&amp;"生成成长"),3))*(VLOOKUP($B$5,标准坦克设计!$B$14:$K$20,9)/30))</f>
        <v>4.4027881918052456</v>
      </c>
      <c r="BZ156" s="173">
        <f ca="1">(VLOOKUP(BZ$72,INDIRECT($C$5&amp;"生成成长"),2))/((VLOOKUP($B156,INDIRECT($B$5&amp;"生成成长"),4))/(VLOOKUP(BZ$72,INDIRECT($C$5&amp;"生成成长"),5))*(VLOOKUP($B$5,标准坦克设计!$B$24:$U$30,MATCH("对"&amp;LEFT($C$5,2)&amp;"输出",标准坦克设计!$B$23:$U$23,0)))*(VLOOKUP($B156,INDIRECT($B$5&amp;"生成成长"),3))*(VLOOKUP($B$5,标准坦克设计!$B$14:$K$20,9)/30))</f>
        <v>4.8384534799859331</v>
      </c>
      <c r="CA156" s="173">
        <f ca="1">(VLOOKUP(CA$72,INDIRECT($C$5&amp;"生成成长"),2))/((VLOOKUP($B156,INDIRECT($B$5&amp;"生成成长"),4))/(VLOOKUP(CA$72,INDIRECT($C$5&amp;"生成成长"),5))*(VLOOKUP($B$5,标准坦克设计!$B$24:$U$30,MATCH("对"&amp;LEFT($C$5,2)&amp;"输出",标准坦克设计!$B$23:$U$23,0)))*(VLOOKUP($B156,INDIRECT($B$5&amp;"生成成长"),3))*(VLOOKUP($B$5,标准坦克设计!$B$14:$K$20,9)/30))</f>
        <v>5.2946690176091051</v>
      </c>
      <c r="CB156" s="173">
        <f ca="1">(VLOOKUP(CB$72,INDIRECT($C$5&amp;"生成成长"),2))/((VLOOKUP($B156,INDIRECT($B$5&amp;"生成成长"),4))/(VLOOKUP(CB$72,INDIRECT($C$5&amp;"生成成长"),5))*(VLOOKUP($B$5,标准坦克设计!$B$24:$U$30,MATCH("对"&amp;LEFT($C$5,2)&amp;"输出",标准坦克设计!$B$23:$U$23,0)))*(VLOOKUP($B156,INDIRECT($B$5&amp;"生成成长"),3))*(VLOOKUP($B$5,标准坦克设计!$B$14:$K$20,9)/30))</f>
        <v>5.7714348046747608</v>
      </c>
      <c r="CC156" s="173">
        <f ca="1">(VLOOKUP(CC$72,INDIRECT($C$5&amp;"生成成长"),2))/((VLOOKUP($B156,INDIRECT($B$5&amp;"生成成长"),4))/(VLOOKUP(CC$72,INDIRECT($C$5&amp;"生成成长"),5))*(VLOOKUP($B$5,标准坦克设计!$B$24:$U$30,MATCH("对"&amp;LEFT($C$5,2)&amp;"输出",标准坦克设计!$B$23:$U$23,0)))*(VLOOKUP($B156,INDIRECT($B$5&amp;"生成成长"),3))*(VLOOKUP($B$5,标准坦克设计!$B$14:$K$20,9)/30))</f>
        <v>6.2687508411829027</v>
      </c>
      <c r="CD156" s="173">
        <f ca="1">(VLOOKUP(CD$72,INDIRECT($C$5&amp;"生成成长"),2))/((VLOOKUP($B156,INDIRECT($B$5&amp;"生成成长"),4))/(VLOOKUP(CD$72,INDIRECT($C$5&amp;"生成成长"),5))*(VLOOKUP($B$5,标准坦克设计!$B$24:$U$30,MATCH("对"&amp;LEFT($C$5,2)&amp;"输出",标准坦克设计!$B$23:$U$23,0)))*(VLOOKUP($B156,INDIRECT($B$5&amp;"生成成长"),3))*(VLOOKUP($B$5,标准坦克设计!$B$14:$K$20,9)/30))</f>
        <v>6.7866171271335318</v>
      </c>
      <c r="CE156" s="173">
        <f ca="1">(VLOOKUP(CE$72,INDIRECT($C$5&amp;"生成成长"),2))/((VLOOKUP($B156,INDIRECT($B$5&amp;"生成成长"),4))/(VLOOKUP(CE$72,INDIRECT($C$5&amp;"生成成长"),5))*(VLOOKUP($B$5,标准坦克设计!$B$24:$U$30,MATCH("对"&amp;LEFT($C$5,2)&amp;"输出",标准坦克设计!$B$23:$U$23,0)))*(VLOOKUP($B156,INDIRECT($B$5&amp;"生成成长"),3))*(VLOOKUP($B$5,标准坦克设计!$B$14:$K$20,9)/30))</f>
        <v>7.3250336625266428</v>
      </c>
      <c r="CF156" s="173">
        <f ca="1">(VLOOKUP(CF$72,INDIRECT($C$5&amp;"生成成长"),2))/((VLOOKUP($B156,INDIRECT($B$5&amp;"生成成长"),4))/(VLOOKUP(CF$72,INDIRECT($C$5&amp;"生成成长"),5))*(VLOOKUP($B$5,标准坦克设计!$B$24:$U$30,MATCH("对"&amp;LEFT($C$5,2)&amp;"输出",标准坦克设计!$B$23:$U$23,0)))*(VLOOKUP($B156,INDIRECT($B$5&amp;"生成成长"),3))*(VLOOKUP($B$5,标准坦克设计!$B$14:$K$20,9)/30))</f>
        <v>7.8840004473622436</v>
      </c>
      <c r="CG156" s="173">
        <f ca="1">(VLOOKUP(CG$72,INDIRECT($C$5&amp;"生成成长"),2))/((VLOOKUP($B156,INDIRECT($B$5&amp;"生成成长"),4))/(VLOOKUP(CG$72,INDIRECT($C$5&amp;"生成成长"),5))*(VLOOKUP($B$5,标准坦克设计!$B$24:$U$30,MATCH("对"&amp;LEFT($C$5,2)&amp;"输出",标准坦克设计!$B$23:$U$23,0)))*(VLOOKUP($B156,INDIRECT($B$5&amp;"生成成长"),3))*(VLOOKUP($B$5,标准坦克设计!$B$14:$K$20,9)/30))</f>
        <v>8.4635174816403271</v>
      </c>
      <c r="CH156" s="173">
        <f ca="1">(VLOOKUP(CH$72,INDIRECT($C$5&amp;"生成成长"),2))/((VLOOKUP($B156,INDIRECT($B$5&amp;"生成成长"),4))/(VLOOKUP(CH$72,INDIRECT($C$5&amp;"生成成长"),5))*(VLOOKUP($B$5,标准坦克设计!$B$24:$U$30,MATCH("对"&amp;LEFT($C$5,2)&amp;"输出",标准坦克设计!$B$23:$U$23,0)))*(VLOOKUP($B156,INDIRECT($B$5&amp;"生成成长"),3))*(VLOOKUP($B$5,标准坦克设计!$B$14:$K$20,9)/30))</f>
        <v>9.0635847653608934</v>
      </c>
      <c r="CI156" s="173">
        <f ca="1">(VLOOKUP(CI$72,INDIRECT($C$5&amp;"生成成长"),2))/((VLOOKUP($B156,INDIRECT($B$5&amp;"生成成长"),4))/(VLOOKUP(CI$72,INDIRECT($C$5&amp;"生成成长"),5))*(VLOOKUP($B$5,标准坦克设计!$B$24:$U$30,MATCH("对"&amp;LEFT($C$5,2)&amp;"输出",标准坦克设计!$B$23:$U$23,0)))*(VLOOKUP($B156,INDIRECT($B$5&amp;"生成成长"),3))*(VLOOKUP($B$5,标准坦克设计!$B$14:$K$20,9)/30))</f>
        <v>9.7473943155595872</v>
      </c>
      <c r="CJ156" s="173">
        <f ca="1">(VLOOKUP(CJ$72,INDIRECT($C$5&amp;"生成成长"),2))/((VLOOKUP($B156,INDIRECT($B$5&amp;"生成成长"),4))/(VLOOKUP(CJ$72,INDIRECT($C$5&amp;"生成成长"),5))*(VLOOKUP($B$5,标准坦克设计!$B$24:$U$30,MATCH("对"&amp;LEFT($C$5,2)&amp;"输出",标准坦克设计!$B$23:$U$23,0)))*(VLOOKUP($B156,INDIRECT($B$5&amp;"生成成长"),3))*(VLOOKUP($B$5,标准坦克设计!$B$14:$K$20,9)/30))</f>
        <v>10.456069667583693</v>
      </c>
      <c r="CK156" s="173">
        <f ca="1">(VLOOKUP(CK$72,INDIRECT($C$5&amp;"生成成长"),2))/((VLOOKUP($B156,INDIRECT($B$5&amp;"生成成长"),4))/(VLOOKUP(CK$72,INDIRECT($C$5&amp;"生成成长"),5))*(VLOOKUP($B$5,标准坦克设计!$B$24:$U$30,MATCH("对"&amp;LEFT($C$5,2)&amp;"输出",标准坦克设计!$B$23:$U$23,0)))*(VLOOKUP($B156,INDIRECT($B$5&amp;"生成成长"),3))*(VLOOKUP($B$5,标准坦克设计!$B$14:$K$20,9)/30))</f>
        <v>11.189610821433199</v>
      </c>
      <c r="CL156" s="173">
        <f ca="1">(VLOOKUP(CL$72,INDIRECT($C$5&amp;"生成成长"),2))/((VLOOKUP($B156,INDIRECT($B$5&amp;"生成成长"),4))/(VLOOKUP(CL$72,INDIRECT($C$5&amp;"生成成长"),5))*(VLOOKUP($B$5,标准坦克设计!$B$24:$U$30,MATCH("对"&amp;LEFT($C$5,2)&amp;"输出",标准坦克设计!$B$23:$U$23,0)))*(VLOOKUP($B156,INDIRECT($B$5&amp;"生成成长"),3))*(VLOOKUP($B$5,标准坦克设计!$B$14:$K$20,9)/30))</f>
        <v>11.948017777108117</v>
      </c>
      <c r="CM156" s="173">
        <f ca="1">(VLOOKUP(CM$72,INDIRECT($C$5&amp;"生成成长"),2))/((VLOOKUP($B156,INDIRECT($B$5&amp;"生成成长"),4))/(VLOOKUP(CM$72,INDIRECT($C$5&amp;"生成成长"),5))*(VLOOKUP($B$5,标准坦克设计!$B$24:$U$30,MATCH("对"&amp;LEFT($C$5,2)&amp;"输出",标准坦克设计!$B$23:$U$23,0)))*(VLOOKUP($B156,INDIRECT($B$5&amp;"生成成长"),3))*(VLOOKUP($B$5,标准坦克设计!$B$14:$K$20,9)/30))</f>
        <v>12.731290534608442</v>
      </c>
      <c r="CN156" s="173">
        <f ca="1">(VLOOKUP(CN$72,INDIRECT($C$5&amp;"生成成长"),2))/((VLOOKUP($B156,INDIRECT($B$5&amp;"生成成长"),4))/(VLOOKUP(CN$72,INDIRECT($C$5&amp;"生成成长"),5))*(VLOOKUP($B$5,标准坦克设计!$B$24:$U$30,MATCH("对"&amp;LEFT($C$5,2)&amp;"输出",标准坦克设计!$B$23:$U$23,0)))*(VLOOKUP($B156,INDIRECT($B$5&amp;"生成成长"),3))*(VLOOKUP($B$5,标准坦克设计!$B$14:$K$20,9)/30))</f>
        <v>13.539429093934173</v>
      </c>
      <c r="CO156" s="173">
        <f ca="1">(VLOOKUP(CO$72,INDIRECT($C$5&amp;"生成成长"),2))/((VLOOKUP($B156,INDIRECT($B$5&amp;"生成成长"),4))/(VLOOKUP(CO$72,INDIRECT($C$5&amp;"生成成长"),5))*(VLOOKUP($B$5,标准坦克设计!$B$24:$U$30,MATCH("对"&amp;LEFT($C$5,2)&amp;"输出",标准坦克设计!$B$23:$U$23,0)))*(VLOOKUP($B156,INDIRECT($B$5&amp;"生成成长"),3))*(VLOOKUP($B$5,标准坦克设计!$B$14:$K$20,9)/30))</f>
        <v>6.0673583966465481</v>
      </c>
      <c r="CP156" s="173">
        <f ca="1">(VLOOKUP(CP$72,INDIRECT($C$5&amp;"生成成长"),2))/((VLOOKUP($B156,INDIRECT($B$5&amp;"生成成长"),4))/(VLOOKUP(CP$72,INDIRECT($C$5&amp;"生成成长"),5))*(VLOOKUP($B$5,标准坦克设计!$B$24:$U$30,MATCH("对"&amp;LEFT($C$5,2)&amp;"输出",标准坦克设计!$B$23:$U$23,0)))*(VLOOKUP($B156,INDIRECT($B$5&amp;"生成成长"),3))*(VLOOKUP($B$5,标准坦克设计!$B$14:$K$20,9)/30))</f>
        <v>6.6290994651568829</v>
      </c>
      <c r="CQ156" s="173">
        <f ca="1">(VLOOKUP(CQ$72,INDIRECT($C$5&amp;"生成成长"),2))/((VLOOKUP($B156,INDIRECT($B$5&amp;"生成成长"),4))/(VLOOKUP(CQ$72,INDIRECT($C$5&amp;"生成成长"),5))*(VLOOKUP($B$5,标准坦克设计!$B$24:$U$30,MATCH("对"&amp;LEFT($C$5,2)&amp;"输出",标准坦克设计!$B$23:$U$23,0)))*(VLOOKUP($B156,INDIRECT($B$5&amp;"生成成长"),3))*(VLOOKUP($B$5,标准坦克设计!$B$14:$K$20,9)/30))</f>
        <v>7.215706335492623</v>
      </c>
      <c r="CR156" s="173">
        <f ca="1">(VLOOKUP(CR$72,INDIRECT($C$5&amp;"生成成长"),2))/((VLOOKUP($B156,INDIRECT($B$5&amp;"生成成长"),4))/(VLOOKUP(CR$72,INDIRECT($C$5&amp;"生成成长"),5))*(VLOOKUP($B$5,标准坦克设计!$B$24:$U$30,MATCH("对"&amp;LEFT($C$5,2)&amp;"输出",标准坦克设计!$B$23:$U$23,0)))*(VLOOKUP($B156,INDIRECT($B$5&amp;"生成成长"),3))*(VLOOKUP($B$5,标准坦克设计!$B$14:$K$20,9)/30))</f>
        <v>7.8271790076537719</v>
      </c>
      <c r="CS156" s="173">
        <f ca="1">(VLOOKUP(CS$72,INDIRECT($C$5&amp;"生成成长"),2))/((VLOOKUP($B156,INDIRECT($B$5&amp;"生成成长"),4))/(VLOOKUP(CS$72,INDIRECT($C$5&amp;"生成成长"),5))*(VLOOKUP($B$5,标准坦克设计!$B$24:$U$30,MATCH("对"&amp;LEFT($C$5,2)&amp;"输出",标准坦克设计!$B$23:$U$23,0)))*(VLOOKUP($B156,INDIRECT($B$5&amp;"生成成长"),3))*(VLOOKUP($B$5,标准坦克设计!$B$14:$K$20,9)/30))</f>
        <v>8.4635174816403271</v>
      </c>
      <c r="CT156" s="173">
        <f ca="1">(VLOOKUP(CT$72,INDIRECT($C$5&amp;"生成成长"),2))/((VLOOKUP($B156,INDIRECT($B$5&amp;"生成成长"),4))/(VLOOKUP(CT$72,INDIRECT($C$5&amp;"生成成长"),5))*(VLOOKUP($B$5,标准坦克设计!$B$24:$U$30,MATCH("对"&amp;LEFT($C$5,2)&amp;"输出",标准坦克设计!$B$23:$U$23,0)))*(VLOOKUP($B156,INDIRECT($B$5&amp;"生成成长"),3))*(VLOOKUP($B$5,标准坦克设计!$B$14:$K$20,9)/30))</f>
        <v>9.1247217574522868</v>
      </c>
      <c r="CU156" s="173">
        <f ca="1">(VLOOKUP(CU$72,INDIRECT($C$5&amp;"生成成长"),2))/((VLOOKUP($B156,INDIRECT($B$5&amp;"生成成长"),4))/(VLOOKUP(CU$72,INDIRECT($C$5&amp;"生成成长"),5))*(VLOOKUP($B$5,标准坦克设计!$B$24:$U$30,MATCH("对"&amp;LEFT($C$5,2)&amp;"输出",标准坦克设计!$B$23:$U$23,0)))*(VLOOKUP($B156,INDIRECT($B$5&amp;"生成成长"),3))*(VLOOKUP($B$5,标准坦克设计!$B$14:$K$20,9)/30))</f>
        <v>9.8107918350896561</v>
      </c>
      <c r="CV156" s="173">
        <f ca="1">(VLOOKUP(CV$72,INDIRECT($C$5&amp;"生成成长"),2))/((VLOOKUP($B156,INDIRECT($B$5&amp;"生成成长"),4))/(VLOOKUP(CV$72,INDIRECT($C$5&amp;"生成成长"),5))*(VLOOKUP($B$5,标准坦克设计!$B$24:$U$30,MATCH("对"&amp;LEFT($C$5,2)&amp;"输出",标准坦克设计!$B$23:$U$23,0)))*(VLOOKUP($B156,INDIRECT($B$5&amp;"生成成长"),3))*(VLOOKUP($B$5,标准坦克设计!$B$14:$K$20,9)/30))</f>
        <v>10.52172771455243</v>
      </c>
      <c r="CW156" s="173">
        <f ca="1">(VLOOKUP(CW$72,INDIRECT($C$5&amp;"生成成长"),2))/((VLOOKUP($B156,INDIRECT($B$5&amp;"生成成长"),4))/(VLOOKUP(CW$72,INDIRECT($C$5&amp;"生成成长"),5))*(VLOOKUP($B$5,标准坦克设计!$B$24:$U$30,MATCH("对"&amp;LEFT($C$5,2)&amp;"输出",标准坦克设计!$B$23:$U$23,0)))*(VLOOKUP($B156,INDIRECT($B$5&amp;"生成成长"),3))*(VLOOKUP($B$5,标准坦克设计!$B$14:$K$20,9)/30))</f>
        <v>11.257529395840614</v>
      </c>
      <c r="CX156" s="173">
        <f ca="1">(VLOOKUP(CX$72,INDIRECT($C$5&amp;"生成成长"),2))/((VLOOKUP($B156,INDIRECT($B$5&amp;"生成成长"),4))/(VLOOKUP(CX$72,INDIRECT($C$5&amp;"生成成长"),5))*(VLOOKUP($B$5,标准坦克设计!$B$24:$U$30,MATCH("对"&amp;LEFT($C$5,2)&amp;"输出",标准坦克设计!$B$23:$U$23,0)))*(VLOOKUP($B156,INDIRECT($B$5&amp;"生成成长"),3))*(VLOOKUP($B$5,标准坦克设计!$B$14:$K$20,9)/30))</f>
        <v>12.018196878954205</v>
      </c>
      <c r="CY156" s="173">
        <f ca="1">(VLOOKUP(CY$72,INDIRECT($C$5&amp;"生成成长"),2))/((VLOOKUP($B156,INDIRECT($B$5&amp;"生成成长"),4))/(VLOOKUP(CY$72,INDIRECT($C$5&amp;"生成成长"),5))*(VLOOKUP($B$5,标准坦克设计!$B$24:$U$30,MATCH("对"&amp;LEFT($C$5,2)&amp;"输出",标准坦克设计!$B$23:$U$23,0)))*(VLOOKUP($B156,INDIRECT($B$5&amp;"生成成长"),3))*(VLOOKUP($B$5,标准坦克设计!$B$14:$K$20,9)/30))</f>
        <v>12.803730163893203</v>
      </c>
      <c r="CZ156" s="173">
        <f ca="1">(VLOOKUP(CZ$72,INDIRECT($C$5&amp;"生成成长"),2))/((VLOOKUP($B156,INDIRECT($B$5&amp;"生成成长"),4))/(VLOOKUP(CZ$72,INDIRECT($C$5&amp;"生成成长"),5))*(VLOOKUP($B$5,标准坦克设计!$B$24:$U$30,MATCH("对"&amp;LEFT($C$5,2)&amp;"输出",标准坦克设计!$B$23:$U$23,0)))*(VLOOKUP($B156,INDIRECT($B$5&amp;"生成成长"),3))*(VLOOKUP($B$5,标准坦克设计!$B$14:$K$20,9)/30))</f>
        <v>13.614129250657607</v>
      </c>
      <c r="DA156" s="173">
        <f ca="1">(VLOOKUP(DA$72,INDIRECT($C$5&amp;"生成成长"),2))/((VLOOKUP($B156,INDIRECT($B$5&amp;"生成成长"),4))/(VLOOKUP(DA$72,INDIRECT($C$5&amp;"生成成长"),5))*(VLOOKUP($B$5,标准坦克设计!$B$24:$U$30,MATCH("对"&amp;LEFT($C$5,2)&amp;"输出",标准坦克设计!$B$23:$U$23,0)))*(VLOOKUP($B156,INDIRECT($B$5&amp;"生成成长"),3))*(VLOOKUP($B$5,标准坦克设计!$B$14:$K$20,9)/30))</f>
        <v>14.449394139247421</v>
      </c>
      <c r="DB156" s="173">
        <f ca="1">(VLOOKUP(DB$72,INDIRECT($C$5&amp;"生成成长"),2))/((VLOOKUP($B156,INDIRECT($B$5&amp;"生成成长"),4))/(VLOOKUP(DB$72,INDIRECT($C$5&amp;"生成成长"),5))*(VLOOKUP($B$5,标准坦克设计!$B$24:$U$30,MATCH("对"&amp;LEFT($C$5,2)&amp;"输出",标准坦克设计!$B$23:$U$23,0)))*(VLOOKUP($B156,INDIRECT($B$5&amp;"生成成长"),3))*(VLOOKUP($B$5,标准坦克设计!$B$14:$K$20,9)/30))</f>
        <v>15.309524829662639</v>
      </c>
      <c r="DC156" s="173">
        <f ca="1">(VLOOKUP(DC$72,INDIRECT($C$5&amp;"生成成长"),2))/((VLOOKUP($B156,INDIRECT($B$5&amp;"生成成长"),4))/(VLOOKUP(DC$72,INDIRECT($C$5&amp;"生成成长"),5))*(VLOOKUP($B$5,标准坦克设计!$B$24:$U$30,MATCH("对"&amp;LEFT($C$5,2)&amp;"输出",标准坦克设计!$B$23:$U$23,0)))*(VLOOKUP($B156,INDIRECT($B$5&amp;"生成成长"),3))*(VLOOKUP($B$5,标准坦克设计!$B$14:$K$20,9)/30))</f>
        <v>16.276208563437145</v>
      </c>
      <c r="DD156" s="173">
        <f ca="1">(VLOOKUP(DD$72,INDIRECT($C$5&amp;"生成成长"),2))/((VLOOKUP($B156,INDIRECT($B$5&amp;"生成成长"),4))/(VLOOKUP(DD$72,INDIRECT($C$5&amp;"生成成长"),5))*(VLOOKUP($B$5,标准坦克设计!$B$24:$U$30,MATCH("对"&amp;LEFT($C$5,2)&amp;"输出",标准坦克设计!$B$23:$U$23,0)))*(VLOOKUP($B156,INDIRECT($B$5&amp;"生成成长"),3))*(VLOOKUP($B$5,标准坦克设计!$B$14:$K$20,9)/30))</f>
        <v>17.272484656408825</v>
      </c>
      <c r="DE156" s="173">
        <f ca="1">(VLOOKUP(DE$72,INDIRECT($C$5&amp;"生成成长"),2))/((VLOOKUP($B156,INDIRECT($B$5&amp;"生成成长"),4))/(VLOOKUP(DE$72,INDIRECT($C$5&amp;"生成成长"),5))*(VLOOKUP($B$5,标准坦克设计!$B$24:$U$30,MATCH("对"&amp;LEFT($C$5,2)&amp;"输出",标准坦克设计!$B$23:$U$23,0)))*(VLOOKUP($B156,INDIRECT($B$5&amp;"生成成长"),3))*(VLOOKUP($B$5,标准坦克设计!$B$14:$K$20,9)/30))</f>
        <v>18.29835310857769</v>
      </c>
      <c r="DF156" s="173">
        <f ca="1">(VLOOKUP(DF$72,INDIRECT($C$5&amp;"生成成长"),2))/((VLOOKUP($B156,INDIRECT($B$5&amp;"生成成长"),4))/(VLOOKUP(DF$72,INDIRECT($C$5&amp;"生成成长"),5))*(VLOOKUP($B$5,标准坦克设计!$B$24:$U$30,MATCH("对"&amp;LEFT($C$5,2)&amp;"输出",标准坦克设计!$B$23:$U$23,0)))*(VLOOKUP($B156,INDIRECT($B$5&amp;"生成成长"),3))*(VLOOKUP($B$5,标准坦克设计!$B$14:$K$20,9)/30))</f>
        <v>19.353813919943732</v>
      </c>
      <c r="DG156" s="173">
        <f ca="1">(VLOOKUP(DG$72,INDIRECT($C$5&amp;"生成成长"),2))/((VLOOKUP($B156,INDIRECT($B$5&amp;"生成成长"),4))/(VLOOKUP(DG$72,INDIRECT($C$5&amp;"生成成长"),5))*(VLOOKUP($B$5,标准坦克设计!$B$24:$U$30,MATCH("对"&amp;LEFT($C$5,2)&amp;"输出",标准坦克设计!$B$23:$U$23,0)))*(VLOOKUP($B156,INDIRECT($B$5&amp;"生成成长"),3))*(VLOOKUP($B$5,标准坦克设计!$B$14:$K$20,9)/30))</f>
        <v>20.43886709050695</v>
      </c>
      <c r="DH156" s="173">
        <f ca="1">(VLOOKUP(DH$72,INDIRECT($C$5&amp;"生成成长"),2))/((VLOOKUP($B156,INDIRECT($B$5&amp;"生成成长"),4))/(VLOOKUP(DH$72,INDIRECT($C$5&amp;"生成成长"),5))*(VLOOKUP($B$5,标准坦克设计!$B$24:$U$30,MATCH("对"&amp;LEFT($C$5,2)&amp;"输出",标准坦克设计!$B$23:$U$23,0)))*(VLOOKUP($B156,INDIRECT($B$5&amp;"生成成长"),3))*(VLOOKUP($B$5,标准坦克设计!$B$14:$K$20,9)/30))</f>
        <v>21.553512620267345</v>
      </c>
      <c r="DI156" s="173">
        <f ca="1">(VLOOKUP(DI$72,INDIRECT($C$5&amp;"生成成长"),2))/((VLOOKUP($B156,INDIRECT($B$5&amp;"生成成长"),4))/(VLOOKUP(DI$72,INDIRECT($C$5&amp;"生成成长"),5))*(VLOOKUP($B$5,标准坦克设计!$B$24:$U$30,MATCH("对"&amp;LEFT($C$5,2)&amp;"输出",标准坦克设计!$B$23:$U$23,0)))*(VLOOKUP($B156,INDIRECT($B$5&amp;"生成成长"),3))*(VLOOKUP($B$5,标准坦克设计!$B$14:$K$20,9)/30))</f>
        <v>22.697750509224925</v>
      </c>
      <c r="DJ156" s="173">
        <f ca="1">(VLOOKUP(DJ$72,INDIRECT($C$5&amp;"生成成长"),2))/((VLOOKUP($B156,INDIRECT($B$5&amp;"生成成长"),4))/(VLOOKUP(DJ$72,INDIRECT($C$5&amp;"生成成长"),5))*(VLOOKUP($B$5,标准坦克设计!$B$24:$U$30,MATCH("对"&amp;LEFT($C$5,2)&amp;"输出",标准坦克设计!$B$23:$U$23,0)))*(VLOOKUP($B156,INDIRECT($B$5&amp;"生成成长"),3))*(VLOOKUP($B$5,标准坦克设计!$B$14:$K$20,9)/30))</f>
        <v>2.2811804393630717</v>
      </c>
      <c r="DK156" s="173">
        <f ca="1">(VLOOKUP(DK$72,INDIRECT($C$5&amp;"生成成长"),2))/((VLOOKUP($B156,INDIRECT($B$5&amp;"生成成长"),4))/(VLOOKUP(DK$72,INDIRECT($C$5&amp;"生成成长"),5))*(VLOOKUP($B$5,标准坦克设计!$B$24:$U$30,MATCH("对"&amp;LEFT($C$5,2)&amp;"输出",标准坦克设计!$B$23:$U$23,0)))*(VLOOKUP($B156,INDIRECT($B$5&amp;"生成成长"),3))*(VLOOKUP($B$5,标准坦克设计!$B$14:$K$20,9)/30))</f>
        <v>2.5650821354110045</v>
      </c>
      <c r="DL156" s="173">
        <f ca="1">(VLOOKUP(DL$72,INDIRECT($C$5&amp;"生成成长"),2))/((VLOOKUP($B156,INDIRECT($B$5&amp;"生成成长"),4))/(VLOOKUP(DL$72,INDIRECT($C$5&amp;"生成成长"),5))*(VLOOKUP($B$5,标准坦克设计!$B$24:$U$30,MATCH("对"&amp;LEFT($C$5,2)&amp;"输出",标准坦克设计!$B$23:$U$23,0)))*(VLOOKUP($B156,INDIRECT($B$5&amp;"生成成长"),3))*(VLOOKUP($B$5,标准坦克设计!$B$14:$K$20,9)/30))</f>
        <v>2.8656295335073514</v>
      </c>
      <c r="DM156" s="173">
        <f ca="1">(VLOOKUP(DM$72,INDIRECT($C$5&amp;"生成成长"),2))/((VLOOKUP($B156,INDIRECT($B$5&amp;"生成成长"),4))/(VLOOKUP(DM$72,INDIRECT($C$5&amp;"生成成长"),5))*(VLOOKUP($B$5,标准坦克设计!$B$24:$U$30,MATCH("对"&amp;LEFT($C$5,2)&amp;"输出",标准坦克设计!$B$23:$U$23,0)))*(VLOOKUP($B156,INDIRECT($B$5&amp;"生成成长"),3))*(VLOOKUP($B$5,标准坦克设计!$B$14:$K$20,9)/30))</f>
        <v>3.1828226336521106</v>
      </c>
      <c r="DN156" s="173">
        <f ca="1">(VLOOKUP(DN$72,INDIRECT($C$5&amp;"生成成长"),2))/((VLOOKUP($B156,INDIRECT($B$5&amp;"生成成长"),4))/(VLOOKUP(DN$72,INDIRECT($C$5&amp;"生成成长"),5))*(VLOOKUP($B$5,标准坦克设计!$B$24:$U$30,MATCH("对"&amp;LEFT($C$5,2)&amp;"输出",标准坦克设计!$B$23:$U$23,0)))*(VLOOKUP($B156,INDIRECT($B$5&amp;"生成成长"),3))*(VLOOKUP($B$5,标准坦克设计!$B$14:$K$20,9)/30))</f>
        <v>3.516661435845283</v>
      </c>
      <c r="DO156" s="173">
        <f ca="1">(VLOOKUP(DO$72,INDIRECT($C$5&amp;"生成成长"),2))/((VLOOKUP($B156,INDIRECT($B$5&amp;"生成成长"),4))/(VLOOKUP(DO$72,INDIRECT($C$5&amp;"生成成长"),5))*(VLOOKUP($B$5,标准坦克设计!$B$24:$U$30,MATCH("对"&amp;LEFT($C$5,2)&amp;"输出",标准坦克设计!$B$23:$U$23,0)))*(VLOOKUP($B156,INDIRECT($B$5&amp;"生成成长"),3))*(VLOOKUP($B$5,标准坦克设计!$B$14:$K$20,9)/30))</f>
        <v>3.8671459400868686</v>
      </c>
      <c r="DP156" s="173">
        <f ca="1">(VLOOKUP(DP$72,INDIRECT($C$5&amp;"生成成长"),2))/((VLOOKUP($B156,INDIRECT($B$5&amp;"生成成长"),4))/(VLOOKUP(DP$72,INDIRECT($C$5&amp;"生成成长"),5))*(VLOOKUP($B$5,标准坦克设计!$B$24:$U$30,MATCH("对"&amp;LEFT($C$5,2)&amp;"输出",标准坦克设计!$B$23:$U$23,0)))*(VLOOKUP($B156,INDIRECT($B$5&amp;"生成成长"),3))*(VLOOKUP($B$5,标准坦克设计!$B$14:$K$20,9)/30))</f>
        <v>4.2342761463768666</v>
      </c>
      <c r="DQ156" s="173">
        <f ca="1">(VLOOKUP(DQ$72,INDIRECT($C$5&amp;"生成成长"),2))/((VLOOKUP($B156,INDIRECT($B$5&amp;"生成成长"),4))/(VLOOKUP(DQ$72,INDIRECT($C$5&amp;"生成成长"),5))*(VLOOKUP($B$5,标准坦克设计!$B$24:$U$30,MATCH("对"&amp;LEFT($C$5,2)&amp;"输出",标准坦克设计!$B$23:$U$23,0)))*(VLOOKUP($B156,INDIRECT($B$5&amp;"生成成长"),3))*(VLOOKUP($B$5,标准坦克设计!$B$14:$K$20,9)/30))</f>
        <v>4.6180520547152781</v>
      </c>
      <c r="DR156" s="173">
        <f ca="1">(VLOOKUP(DR$72,INDIRECT($C$5&amp;"生成成长"),2))/((VLOOKUP($B156,INDIRECT($B$5&amp;"生成成长"),4))/(VLOOKUP(DR$72,INDIRECT($C$5&amp;"生成成长"),5))*(VLOOKUP($B$5,标准坦克设计!$B$24:$U$30,MATCH("对"&amp;LEFT($C$5,2)&amp;"输出",标准坦克设计!$B$23:$U$23,0)))*(VLOOKUP($B156,INDIRECT($B$5&amp;"生成成长"),3))*(VLOOKUP($B$5,标准坦克设计!$B$14:$K$20,9)/30))</f>
        <v>5.0184736651021025</v>
      </c>
      <c r="DS156" s="173">
        <f ca="1">(VLOOKUP(DS$72,INDIRECT($C$5&amp;"生成成长"),2))/((VLOOKUP($B156,INDIRECT($B$5&amp;"生成成长"),4))/(VLOOKUP(DS$72,INDIRECT($C$5&amp;"生成成长"),5))*(VLOOKUP($B$5,标准坦克设计!$B$24:$U$30,MATCH("对"&amp;LEFT($C$5,2)&amp;"输出",标准坦克设计!$B$23:$U$23,0)))*(VLOOKUP($B156,INDIRECT($B$5&amp;"生成成长"),3))*(VLOOKUP($B$5,标准坦克设计!$B$14:$K$20,9)/30))</f>
        <v>5.4355409775373396</v>
      </c>
      <c r="DT156" s="173">
        <f ca="1">(VLOOKUP(DT$72,INDIRECT($C$5&amp;"生成成长"),2))/((VLOOKUP($B156,INDIRECT($B$5&amp;"生成成长"),4))/(VLOOKUP(DT$72,INDIRECT($C$5&amp;"生成成长"),5))*(VLOOKUP($B$5,标准坦克设计!$B$24:$U$30,MATCH("对"&amp;LEFT($C$5,2)&amp;"输出",标准坦克设计!$B$23:$U$23,0)))*(VLOOKUP($B156,INDIRECT($B$5&amp;"生成成长"),3))*(VLOOKUP($B$5,标准坦克设计!$B$14:$K$20,9)/30))</f>
        <v>5.9678951893449206</v>
      </c>
      <c r="DU156" s="173">
        <f ca="1">(VLOOKUP(DU$72,INDIRECT($C$5&amp;"生成成长"),2))/((VLOOKUP($B156,INDIRECT($B$5&amp;"生成成长"),4))/(VLOOKUP(DU$72,INDIRECT($C$5&amp;"生成成长"),5))*(VLOOKUP($B$5,标准坦克设计!$B$24:$U$30,MATCH("对"&amp;LEFT($C$5,2)&amp;"输出",标准坦克设计!$B$23:$U$23,0)))*(VLOOKUP($B156,INDIRECT($B$5&amp;"生成成长"),3))*(VLOOKUP($B$5,标准坦克设计!$B$14:$K$20,9)/30))</f>
        <v>6.525115202977906</v>
      </c>
      <c r="DV156" s="173">
        <f ca="1">(VLOOKUP(DV$72,INDIRECT($C$5&amp;"生成成长"),2))/((VLOOKUP($B156,INDIRECT($B$5&amp;"生成成长"),4))/(VLOOKUP(DV$72,INDIRECT($C$5&amp;"生成成长"),5))*(VLOOKUP($B$5,标准坦克设计!$B$24:$U$30,MATCH("对"&amp;LEFT($C$5,2)&amp;"输出",标准坦克设计!$B$23:$U$23,0)))*(VLOOKUP($B156,INDIRECT($B$5&amp;"生成成长"),3))*(VLOOKUP($B$5,标准坦克设计!$B$14:$K$20,9)/30))</f>
        <v>7.1072010184362995</v>
      </c>
      <c r="DW156" s="173">
        <f ca="1">(VLOOKUP(DW$72,INDIRECT($C$5&amp;"生成成长"),2))/((VLOOKUP($B156,INDIRECT($B$5&amp;"生成成长"),4))/(VLOOKUP(DW$72,INDIRECT($C$5&amp;"生成成长"),5))*(VLOOKUP($B$5,标准坦克设计!$B$24:$U$30,MATCH("对"&amp;LEFT($C$5,2)&amp;"输出",标准坦克设计!$B$23:$U$23,0)))*(VLOOKUP($B156,INDIRECT($B$5&amp;"生成成长"),3))*(VLOOKUP($B$5,标准坦克设计!$B$14:$K$20,9)/30))</f>
        <v>7.7141526357201018</v>
      </c>
      <c r="DX156" s="173">
        <f ca="1">(VLOOKUP(DX$72,INDIRECT($C$5&amp;"生成成长"),2))/((VLOOKUP($B156,INDIRECT($B$5&amp;"生成成长"),4))/(VLOOKUP(DX$72,INDIRECT($C$5&amp;"生成成长"),5))*(VLOOKUP($B$5,标准坦克设计!$B$24:$U$30,MATCH("对"&amp;LEFT($C$5,2)&amp;"输出",标准坦克设计!$B$23:$U$23,0)))*(VLOOKUP($B156,INDIRECT($B$5&amp;"生成成长"),3))*(VLOOKUP($B$5,标准坦克设计!$B$14:$K$20,9)/30))</f>
        <v>8.3459700548293103</v>
      </c>
      <c r="DY156" s="173">
        <f ca="1">(VLOOKUP(DY$72,INDIRECT($C$5&amp;"生成成长"),2))/((VLOOKUP($B156,INDIRECT($B$5&amp;"生成成长"),4))/(VLOOKUP(DY$72,INDIRECT($C$5&amp;"生成成长"),5))*(VLOOKUP($B$5,标准坦克设计!$B$24:$U$30,MATCH("对"&amp;LEFT($C$5,2)&amp;"输出",标准坦克设计!$B$23:$U$23,0)))*(VLOOKUP($B156,INDIRECT($B$5&amp;"生成成长"),3))*(VLOOKUP($B$5,标准坦克设计!$B$14:$K$20,9)/30))</f>
        <v>3.7484682495565158</v>
      </c>
      <c r="DZ156" s="173">
        <f ca="1">(VLOOKUP(DZ$72,INDIRECT($C$5&amp;"生成成长"),2))/((VLOOKUP($B156,INDIRECT($B$5&amp;"生成成长"),4))/(VLOOKUP(DZ$72,INDIRECT($C$5&amp;"生成成长"),5))*(VLOOKUP($B$5,标准坦克设计!$B$24:$U$30,MATCH("对"&amp;LEFT($C$5,2)&amp;"输出",标准坦克设计!$B$23:$U$23,0)))*(VLOOKUP($B156,INDIRECT($B$5&amp;"生成成长"),3))*(VLOOKUP($B$5,标准坦克设计!$B$14:$K$20,9)/30))</f>
        <v>4.151253138629226</v>
      </c>
      <c r="EA156" s="173">
        <f ca="1">(VLOOKUP(EA$72,INDIRECT($C$5&amp;"生成成长"),2))/((VLOOKUP($B156,INDIRECT($B$5&amp;"生成成长"),4))/(VLOOKUP(EA$72,INDIRECT($C$5&amp;"生成成长"),5))*(VLOOKUP($B$5,标准坦克设计!$B$24:$U$30,MATCH("对"&amp;LEFT($C$5,2)&amp;"输出",标准坦克设计!$B$23:$U$23,0)))*(VLOOKUP($B156,INDIRECT($B$5&amp;"生成成长"),3))*(VLOOKUP($B$5,标准坦克设计!$B$14:$K$20,9)/30))</f>
        <v>4.5745882771444224</v>
      </c>
      <c r="EB156" s="173">
        <f ca="1">(VLOOKUP(EB$72,INDIRECT($C$5&amp;"生成成长"),2))/((VLOOKUP($B156,INDIRECT($B$5&amp;"生成成长"),4))/(VLOOKUP(EB$72,INDIRECT($C$5&amp;"生成成长"),5))*(VLOOKUP($B$5,标准坦克设计!$B$24:$U$30,MATCH("对"&amp;LEFT($C$5,2)&amp;"输出",标准坦克设计!$B$23:$U$23,0)))*(VLOOKUP($B156,INDIRECT($B$5&amp;"生成成长"),3))*(VLOOKUP($B$5,标准坦克设计!$B$14:$K$20,9)/30))</f>
        <v>5.0184736651021025</v>
      </c>
      <c r="EC156" s="173">
        <f ca="1">(VLOOKUP(EC$72,INDIRECT($C$5&amp;"生成成长"),2))/((VLOOKUP($B156,INDIRECT($B$5&amp;"生成成长"),4))/(VLOOKUP(EC$72,INDIRECT($C$5&amp;"生成成长"),5))*(VLOOKUP($B$5,标准坦克设计!$B$24:$U$30,MATCH("对"&amp;LEFT($C$5,2)&amp;"输出",标准坦克设计!$B$23:$U$23,0)))*(VLOOKUP($B156,INDIRECT($B$5&amp;"生成成长"),3))*(VLOOKUP($B$5,标准坦克设计!$B$14:$K$20,9)/30))</f>
        <v>5.4829093025022679</v>
      </c>
      <c r="ED156" s="173">
        <f ca="1">(VLOOKUP(ED$72,INDIRECT($C$5&amp;"生成成长"),2))/((VLOOKUP($B156,INDIRECT($B$5&amp;"生成成长"),4))/(VLOOKUP(ED$72,INDIRECT($C$5&amp;"生成成长"),5))*(VLOOKUP($B$5,标准坦克设计!$B$24:$U$30,MATCH("对"&amp;LEFT($C$5,2)&amp;"输出",标准坦克设计!$B$23:$U$23,0)))*(VLOOKUP($B156,INDIRECT($B$5&amp;"生成成长"),3))*(VLOOKUP($B$5,标准坦克设计!$B$14:$K$20,9)/30))</f>
        <v>5.9678951893449206</v>
      </c>
      <c r="EE156" s="173">
        <f ca="1">(VLOOKUP(EE$72,INDIRECT($C$5&amp;"生成成长"),2))/((VLOOKUP($B156,INDIRECT($B$5&amp;"生成成长"),4))/(VLOOKUP(EE$72,INDIRECT($C$5&amp;"生成成长"),5))*(VLOOKUP($B$5,标准坦克设计!$B$24:$U$30,MATCH("对"&amp;LEFT($C$5,2)&amp;"输出",标准坦克设计!$B$23:$U$23,0)))*(VLOOKUP($B156,INDIRECT($B$5&amp;"生成成长"),3))*(VLOOKUP($B$5,标准坦克设计!$B$14:$K$20,9)/30))</f>
        <v>6.4734313256300551</v>
      </c>
      <c r="EF156" s="173">
        <f ca="1">(VLOOKUP(EF$72,INDIRECT($C$5&amp;"生成成长"),2))/((VLOOKUP($B156,INDIRECT($B$5&amp;"生成成长"),4))/(VLOOKUP(EF$72,INDIRECT($C$5&amp;"生成成长"),5))*(VLOOKUP($B$5,标准坦克设计!$B$24:$U$30,MATCH("对"&amp;LEFT($C$5,2)&amp;"输出",标准坦克设计!$B$23:$U$23,0)))*(VLOOKUP($B156,INDIRECT($B$5&amp;"生成成长"),3))*(VLOOKUP($B$5,标准坦克设计!$B$14:$K$20,9)/30))</f>
        <v>6.9995177113576768</v>
      </c>
      <c r="EG156" s="173">
        <f ca="1">(VLOOKUP(EG$72,INDIRECT($C$5&amp;"生成成长"),2))/((VLOOKUP($B156,INDIRECT($B$5&amp;"生成成长"),4))/(VLOOKUP(EG$72,INDIRECT($C$5&amp;"生成成长"),5))*(VLOOKUP($B$5,标准坦克设计!$B$24:$U$30,MATCH("对"&amp;LEFT($C$5,2)&amp;"输出",标准坦克设计!$B$23:$U$23,0)))*(VLOOKUP($B156,INDIRECT($B$5&amp;"生成成长"),3))*(VLOOKUP($B$5,标准坦克设计!$B$14:$K$20,9)/30))</f>
        <v>7.5461543465277847</v>
      </c>
      <c r="EH156" s="173">
        <f ca="1">(VLOOKUP(EH$72,INDIRECT($C$5&amp;"生成成长"),2))/((VLOOKUP($B156,INDIRECT($B$5&amp;"生成成长"),4))/(VLOOKUP(EH$72,INDIRECT($C$5&amp;"生成成长"),5))*(VLOOKUP($B$5,标准坦克设计!$B$24:$U$30,MATCH("对"&amp;LEFT($C$5,2)&amp;"输出",标准坦克设计!$B$23:$U$23,0)))*(VLOOKUP($B156,INDIRECT($B$5&amp;"生成成长"),3))*(VLOOKUP($B$5,标准坦克设计!$B$14:$K$20,9)/30))</f>
        <v>8.1133412311403763</v>
      </c>
      <c r="EI156" s="173">
        <f ca="1">(VLOOKUP(EI$72,INDIRECT($C$5&amp;"生成成长"),2))/((VLOOKUP($B156,INDIRECT($B$5&amp;"生成成长"),4))/(VLOOKUP(EI$72,INDIRECT($C$5&amp;"生成成长"),5))*(VLOOKUP($B$5,标准坦克设计!$B$24:$U$30,MATCH("对"&amp;LEFT($C$5,2)&amp;"输出",标准坦克设计!$B$23:$U$23,0)))*(VLOOKUP($B156,INDIRECT($B$5&amp;"生成成长"),3))*(VLOOKUP($B$5,标准坦克设计!$B$14:$K$20,9)/30))</f>
        <v>8.7010783651954551</v>
      </c>
      <c r="EJ156" s="173">
        <f ca="1">(VLOOKUP(EJ$72,INDIRECT($C$5&amp;"生成成长"),2))/((VLOOKUP($B156,INDIRECT($B$5&amp;"生成成长"),4))/(VLOOKUP(EJ$72,INDIRECT($C$5&amp;"生成成长"),5))*(VLOOKUP($B$5,标准坦克设计!$B$24:$U$30,MATCH("对"&amp;LEFT($C$5,2)&amp;"输出",标准坦克设计!$B$23:$U$23,0)))*(VLOOKUP($B156,INDIRECT($B$5&amp;"生成成长"),3))*(VLOOKUP($B$5,标准坦克设计!$B$14:$K$20,9)/30))</f>
        <v>9.3093657486930166</v>
      </c>
      <c r="EK156" s="173">
        <f ca="1">(VLOOKUP(EK$72,INDIRECT($C$5&amp;"生成成长"),2))/((VLOOKUP($B156,INDIRECT($B$5&amp;"生成成长"),4))/(VLOOKUP(EK$72,INDIRECT($C$5&amp;"生成成长"),5))*(VLOOKUP($B$5,标准坦克设计!$B$24:$U$30,MATCH("对"&amp;LEFT($C$5,2)&amp;"输出",标准坦克设计!$B$23:$U$23,0)))*(VLOOKUP($B156,INDIRECT($B$5&amp;"生成成长"),3))*(VLOOKUP($B$5,标准坦克设计!$B$14:$K$20,9)/30))</f>
        <v>10.066436938154171</v>
      </c>
      <c r="EL156" s="173">
        <f ca="1">(VLOOKUP(EL$72,INDIRECT($C$5&amp;"生成成长"),2))/((VLOOKUP($B156,INDIRECT($B$5&amp;"生成成长"),4))/(VLOOKUP(EL$72,INDIRECT($C$5&amp;"生成成长"),5))*(VLOOKUP($B$5,标准坦克设计!$B$24:$U$30,MATCH("对"&amp;LEFT($C$5,2)&amp;"输出",标准坦克设计!$B$23:$U$23,0)))*(VLOOKUP($B156,INDIRECT($B$5&amp;"生成成长"),3))*(VLOOKUP($B$5,标准坦克设计!$B$14:$K$20,9)/30))</f>
        <v>10.853100486812506</v>
      </c>
      <c r="EM156" s="173">
        <f ca="1">(VLOOKUP(EM$72,INDIRECT($C$5&amp;"生成成长"),2))/((VLOOKUP($B156,INDIRECT($B$5&amp;"生成成长"),4))/(VLOOKUP(EM$72,INDIRECT($C$5&amp;"生成成长"),5))*(VLOOKUP($B$5,标准坦克设计!$B$24:$U$30,MATCH("对"&amp;LEFT($C$5,2)&amp;"输出",标准坦克设计!$B$23:$U$23,0)))*(VLOOKUP($B156,INDIRECT($B$5&amp;"生成成长"),3))*(VLOOKUP($B$5,标准坦克设计!$B$14:$K$20,9)/30))</f>
        <v>11.669356394668018</v>
      </c>
      <c r="EN156" s="173">
        <f ca="1">(VLOOKUP(EN$72,INDIRECT($C$5&amp;"生成成长"),2))/((VLOOKUP($B156,INDIRECT($B$5&amp;"生成成长"),4))/(VLOOKUP(EN$72,INDIRECT($C$5&amp;"生成成长"),5))*(VLOOKUP($B$5,标准坦克设计!$B$24:$U$30,MATCH("对"&amp;LEFT($C$5,2)&amp;"输出",标准坦克设计!$B$23:$U$23,0)))*(VLOOKUP($B156,INDIRECT($B$5&amp;"生成成长"),3))*(VLOOKUP($B$5,标准坦克设计!$B$14:$K$20,9)/30))</f>
        <v>12.515204661720707</v>
      </c>
      <c r="EO156" s="173">
        <f ca="1">(VLOOKUP(EO$72,INDIRECT($C$5&amp;"生成成长"),2))/((VLOOKUP($B156,INDIRECT($B$5&amp;"生成成长"),4))/(VLOOKUP(EO$72,INDIRECT($C$5&amp;"生成成长"),5))*(VLOOKUP($B$5,标准坦克设计!$B$24:$U$30,MATCH("对"&amp;LEFT($C$5,2)&amp;"输出",标准坦克设计!$B$23:$U$23,0)))*(VLOOKUP($B156,INDIRECT($B$5&amp;"生成成长"),3))*(VLOOKUP($B$5,标准坦克设计!$B$14:$K$20,9)/30))</f>
        <v>13.39064528797058</v>
      </c>
      <c r="EP156" s="173">
        <f ca="1">(VLOOKUP(EP$72,INDIRECT($C$5&amp;"生成成长"),2))/((VLOOKUP($B156,INDIRECT($B$5&amp;"生成成长"),4))/(VLOOKUP(EP$72,INDIRECT($C$5&amp;"生成成长"),5))*(VLOOKUP($B$5,标准坦克设计!$B$24:$U$30,MATCH("对"&amp;LEFT($C$5,2)&amp;"输出",标准坦克设计!$B$23:$U$23,0)))*(VLOOKUP($B156,INDIRECT($B$5&amp;"生成成长"),3))*(VLOOKUP($B$5,标准坦克设计!$B$14:$K$20,9)/30))</f>
        <v>14.29567827341763</v>
      </c>
      <c r="EQ156" s="173">
        <f ca="1">(VLOOKUP(EQ$72,INDIRECT($C$5&amp;"生成成长"),2))/((VLOOKUP($B156,INDIRECT($B$5&amp;"生成成长"),4))/(VLOOKUP(EQ$72,INDIRECT($C$5&amp;"生成成长"),5))*(VLOOKUP($B$5,标准坦克设计!$B$24:$U$30,MATCH("对"&amp;LEFT($C$5,2)&amp;"输出",标准坦克设计!$B$23:$U$23,0)))*(VLOOKUP($B156,INDIRECT($B$5&amp;"生成成长"),3))*(VLOOKUP($B$5,标准坦克设计!$B$14:$K$20,9)/30))</f>
        <v>6.3196127085530538</v>
      </c>
      <c r="ER156" s="173">
        <f ca="1">(VLOOKUP(ER$72,INDIRECT($C$5&amp;"生成成长"),2))/((VLOOKUP($B156,INDIRECT($B$5&amp;"生成成长"),4))/(VLOOKUP(ER$72,INDIRECT($C$5&amp;"生成成长"),5))*(VLOOKUP($B$5,标准坦克设计!$B$24:$U$30,MATCH("对"&amp;LEFT($C$5,2)&amp;"输出",标准坦克设计!$B$23:$U$23,0)))*(VLOOKUP($B156,INDIRECT($B$5&amp;"生成成长"),3))*(VLOOKUP($B$5,标准坦克设计!$B$14:$K$20,9)/30))</f>
        <v>6.8926564142567548</v>
      </c>
      <c r="ES156" s="173">
        <f ca="1">(VLOOKUP(ES$72,INDIRECT($C$5&amp;"生成成长"),2))/((VLOOKUP($B156,INDIRECT($B$5&amp;"生成成长"),4))/(VLOOKUP(ES$72,INDIRECT($C$5&amp;"生成成长"),5))*(VLOOKUP($B$5,标准坦克设计!$B$24:$U$30,MATCH("对"&amp;LEFT($C$5,2)&amp;"输出",标准坦克设计!$B$23:$U$23,0)))*(VLOOKUP($B156,INDIRECT($B$5&amp;"生成成长"),3))*(VLOOKUP($B$5,标准坦克设计!$B$14:$K$20,9)/30))</f>
        <v>7.4905659217858611</v>
      </c>
      <c r="ET156" s="173">
        <f ca="1">(VLOOKUP(ET$72,INDIRECT($C$5&amp;"生成成长"),2))/((VLOOKUP($B156,INDIRECT($B$5&amp;"生成成长"),4))/(VLOOKUP(ET$72,INDIRECT($C$5&amp;"生成成长"),5))*(VLOOKUP($B$5,标准坦克设计!$B$24:$U$30,MATCH("对"&amp;LEFT($C$5,2)&amp;"输出",标准坦克设计!$B$23:$U$23,0)))*(VLOOKUP($B156,INDIRECT($B$5&amp;"生成成长"),3))*(VLOOKUP($B$5,标准坦克设计!$B$14:$K$20,9)/30))</f>
        <v>8.1133412311403763</v>
      </c>
      <c r="EU156" s="173">
        <f ca="1">(VLOOKUP(EU$72,INDIRECT($C$5&amp;"生成成长"),2))/((VLOOKUP($B156,INDIRECT($B$5&amp;"生成成长"),4))/(VLOOKUP(EU$72,INDIRECT($C$5&amp;"生成成长"),5))*(VLOOKUP($B$5,标准坦克设计!$B$24:$U$30,MATCH("对"&amp;LEFT($C$5,2)&amp;"输出",标准坦克设计!$B$23:$U$23,0)))*(VLOOKUP($B156,INDIRECT($B$5&amp;"生成成长"),3))*(VLOOKUP($B$5,标准坦克设计!$B$14:$K$20,9)/30))</f>
        <v>8.7609823423202986</v>
      </c>
      <c r="EV156" s="173">
        <f ca="1">(VLOOKUP(EV$72,INDIRECT($C$5&amp;"生成成长"),2))/((VLOOKUP($B156,INDIRECT($B$5&amp;"生成成长"),4))/(VLOOKUP(EV$72,INDIRECT($C$5&amp;"生成成长"),5))*(VLOOKUP($B$5,标准坦克设计!$B$24:$U$30,MATCH("对"&amp;LEFT($C$5,2)&amp;"输出",标准坦克设计!$B$23:$U$23,0)))*(VLOOKUP($B156,INDIRECT($B$5&amp;"生成成长"),3))*(VLOOKUP($B$5,标准坦克设计!$B$14:$K$20,9)/30))</f>
        <v>9.4334892553256289</v>
      </c>
      <c r="EW156" s="173">
        <f ca="1">(VLOOKUP(EW$72,INDIRECT($C$5&amp;"生成成长"),2))/((VLOOKUP($B156,INDIRECT($B$5&amp;"生成成长"),4))/(VLOOKUP(EW$72,INDIRECT($C$5&amp;"生成成长"),5))*(VLOOKUP($B$5,标准坦克设计!$B$24:$U$30,MATCH("对"&amp;LEFT($C$5,2)&amp;"输出",标准坦克设计!$B$23:$U$23,0)))*(VLOOKUP($B156,INDIRECT($B$5&amp;"生成成长"),3))*(VLOOKUP($B$5,标准坦克设计!$B$14:$K$20,9)/30))</f>
        <v>10.130861970156364</v>
      </c>
      <c r="EX156" s="173">
        <f ca="1">(VLOOKUP(EX$72,INDIRECT($C$5&amp;"生成成长"),2))/((VLOOKUP($B156,INDIRECT($B$5&amp;"生成成长"),4))/(VLOOKUP(EX$72,INDIRECT($C$5&amp;"生成成长"),5))*(VLOOKUP($B$5,标准坦克设计!$B$24:$U$30,MATCH("对"&amp;LEFT($C$5,2)&amp;"输出",标准坦克设计!$B$23:$U$23,0)))*(VLOOKUP($B156,INDIRECT($B$5&amp;"生成成长"),3))*(VLOOKUP($B$5,标准坦克设计!$B$14:$K$20,9)/30))</f>
        <v>10.853100486812506</v>
      </c>
      <c r="EY156" s="173">
        <f ca="1">(VLOOKUP(EY$72,INDIRECT($C$5&amp;"生成成长"),2))/((VLOOKUP($B156,INDIRECT($B$5&amp;"生成成长"),4))/(VLOOKUP(EY$72,INDIRECT($C$5&amp;"生成成长"),5))*(VLOOKUP($B$5,标准坦克设计!$B$24:$U$30,MATCH("对"&amp;LEFT($C$5,2)&amp;"输出",标准坦克设计!$B$23:$U$23,0)))*(VLOOKUP($B156,INDIRECT($B$5&amp;"生成成长"),3))*(VLOOKUP($B$5,标准坦克设计!$B$14:$K$20,9)/30))</f>
        <v>11.600204805294057</v>
      </c>
      <c r="EZ156" s="173">
        <f ca="1">(VLOOKUP(EZ$72,INDIRECT($C$5&amp;"生成成长"),2))/((VLOOKUP($B156,INDIRECT($B$5&amp;"生成成长"),4))/(VLOOKUP(EZ$72,INDIRECT($C$5&amp;"生成成长"),5))*(VLOOKUP($B$5,标准坦克设计!$B$24:$U$30,MATCH("对"&amp;LEFT($C$5,2)&amp;"输出",标准坦克设计!$B$23:$U$23,0)))*(VLOOKUP($B156,INDIRECT($B$5&amp;"生成成长"),3))*(VLOOKUP($B$5,标准坦克设计!$B$14:$K$20,9)/30))</f>
        <v>12.372174925601012</v>
      </c>
      <c r="FA156" s="173">
        <f ca="1">(VLOOKUP(FA$72,INDIRECT($C$5&amp;"生成成长"),2))/((VLOOKUP($B156,INDIRECT($B$5&amp;"生成成长"),4))/(VLOOKUP(FA$72,INDIRECT($C$5&amp;"生成成长"),5))*(VLOOKUP($B$5,标准坦克设计!$B$24:$U$30,MATCH("对"&amp;LEFT($C$5,2)&amp;"输出",标准坦克设计!$B$23:$U$23,0)))*(VLOOKUP($B156,INDIRECT($B$5&amp;"生成成长"),3))*(VLOOKUP($B$5,标准坦克设计!$B$14:$K$20,9)/30))</f>
        <v>13.169010847733377</v>
      </c>
      <c r="FB156" s="173">
        <f ca="1">(VLOOKUP(FB$72,INDIRECT($C$5&amp;"生成成长"),2))/((VLOOKUP($B156,INDIRECT($B$5&amp;"生成成长"),4))/(VLOOKUP(FB$72,INDIRECT($C$5&amp;"生成成长"),5))*(VLOOKUP($B$5,标准坦克设计!$B$24:$U$30,MATCH("对"&amp;LEFT($C$5,2)&amp;"输出",标准坦克设计!$B$23:$U$23,0)))*(VLOOKUP($B156,INDIRECT($B$5&amp;"生成成长"),3))*(VLOOKUP($B$5,标准坦克设计!$B$14:$K$20,9)/30))</f>
        <v>13.990712571691148</v>
      </c>
      <c r="FC156" s="173">
        <f ca="1">(VLOOKUP(FC$72,INDIRECT($C$5&amp;"生成成长"),2))/((VLOOKUP($B156,INDIRECT($B$5&amp;"生成成长"),4))/(VLOOKUP(FC$72,INDIRECT($C$5&amp;"生成成长"),5))*(VLOOKUP($B$5,标准坦克设计!$B$24:$U$30,MATCH("对"&amp;LEFT($C$5,2)&amp;"输出",标准坦克设计!$B$23:$U$23,0)))*(VLOOKUP($B156,INDIRECT($B$5&amp;"生成成长"),3))*(VLOOKUP($B$5,标准坦克设计!$B$14:$K$20,9)/30))</f>
        <v>14.837280097474329</v>
      </c>
      <c r="FD156" s="173">
        <f ca="1">(VLOOKUP(FD$72,INDIRECT($C$5&amp;"生成成长"),2))/((VLOOKUP($B156,INDIRECT($B$5&amp;"生成成长"),4))/(VLOOKUP(FD$72,INDIRECT($C$5&amp;"生成成长"),5))*(VLOOKUP($B$5,标准坦克设计!$B$24:$U$30,MATCH("对"&amp;LEFT($C$5,2)&amp;"输出",标准坦克设计!$B$23:$U$23,0)))*(VLOOKUP($B156,INDIRECT($B$5&amp;"生成成长"),3))*(VLOOKUP($B$5,标准坦克设计!$B$14:$K$20,9)/30))</f>
        <v>15.708713425082912</v>
      </c>
      <c r="FE156" s="173">
        <f ca="1">(VLOOKUP(FE$72,INDIRECT($C$5&amp;"生成成长"),2))/((VLOOKUP($B156,INDIRECT($B$5&amp;"生成成长"),4))/(VLOOKUP(FE$72,INDIRECT($C$5&amp;"生成成长"),5))*(VLOOKUP($B$5,标准坦克设计!$B$24:$U$30,MATCH("对"&amp;LEFT($C$5,2)&amp;"输出",标准坦克设计!$B$23:$U$23,0)))*(VLOOKUP($B156,INDIRECT($B$5&amp;"生成成长"),3))*(VLOOKUP($B$5,标准坦克设计!$B$14:$K$20,9)/30))</f>
        <v>16.770647565023339</v>
      </c>
      <c r="FF156" s="173">
        <f ca="1">(VLOOKUP(FF$72,INDIRECT($C$5&amp;"生成成长"),2))/((VLOOKUP($B156,INDIRECT($B$5&amp;"生成成长"),4))/(VLOOKUP(FF$72,INDIRECT($C$5&amp;"生成成长"),5))*(VLOOKUP($B$5,标准坦克设计!$B$24:$U$30,MATCH("对"&amp;LEFT($C$5,2)&amp;"输出",标准坦克设计!$B$23:$U$23,0)))*(VLOOKUP($B156,INDIRECT($B$5&amp;"生成成长"),3))*(VLOOKUP($B$5,标准坦克设计!$B$14:$K$20,9)/30))</f>
        <v>17.867311626521563</v>
      </c>
      <c r="FG156" s="173">
        <f ca="1">(VLOOKUP(FG$72,INDIRECT($C$5&amp;"生成成长"),2))/((VLOOKUP($B156,INDIRECT($B$5&amp;"生成成长"),4))/(VLOOKUP(FG$72,INDIRECT($C$5&amp;"生成成长"),5))*(VLOOKUP($B$5,标准坦克设计!$B$24:$U$30,MATCH("对"&amp;LEFT($C$5,2)&amp;"输出",标准坦克设计!$B$23:$U$23,0)))*(VLOOKUP($B156,INDIRECT($B$5&amp;"生成成长"),3))*(VLOOKUP($B$5,标准坦克设计!$B$14:$K$20,9)/30))</f>
        <v>18.998705609577584</v>
      </c>
      <c r="FH156" s="173">
        <f ca="1">(VLOOKUP(FH$72,INDIRECT($C$5&amp;"生成成长"),2))/((VLOOKUP($B156,INDIRECT($B$5&amp;"生成成长"),4))/(VLOOKUP(FH$72,INDIRECT($C$5&amp;"生成成长"),5))*(VLOOKUP($B$5,标准坦克设计!$B$24:$U$30,MATCH("对"&amp;LEFT($C$5,2)&amp;"输出",标准坦克设计!$B$23:$U$23,0)))*(VLOOKUP($B156,INDIRECT($B$5&amp;"生成成长"),3))*(VLOOKUP($B$5,标准坦克设计!$B$14:$K$20,9)/30))</f>
        <v>20.164829514191403</v>
      </c>
      <c r="FI156" s="173">
        <f ca="1">(VLOOKUP(FI$72,INDIRECT($C$5&amp;"生成成长"),2))/((VLOOKUP($B156,INDIRECT($B$5&amp;"生成成长"),4))/(VLOOKUP(FI$72,INDIRECT($C$5&amp;"生成成长"),5))*(VLOOKUP($B$5,标准坦克设计!$B$24:$U$30,MATCH("对"&amp;LEFT($C$5,2)&amp;"输出",标准坦克设计!$B$23:$U$23,0)))*(VLOOKUP($B156,INDIRECT($B$5&amp;"生成成长"),3))*(VLOOKUP($B$5,标准坦克设计!$B$14:$K$20,9)/30))</f>
        <v>21.365683340363034</v>
      </c>
      <c r="FJ156" s="173">
        <f ca="1">(VLOOKUP(FJ$72,INDIRECT($C$5&amp;"生成成长"),2))/((VLOOKUP($B156,INDIRECT($B$5&amp;"生成成长"),4))/(VLOOKUP(FJ$72,INDIRECT($C$5&amp;"生成成长"),5))*(VLOOKUP($B$5,标准坦克设计!$B$24:$U$30,MATCH("对"&amp;LEFT($C$5,2)&amp;"输出",标准坦克设计!$B$23:$U$23,0)))*(VLOOKUP($B156,INDIRECT($B$5&amp;"生成成长"),3))*(VLOOKUP($B$5,标准坦克设计!$B$14:$K$20,9)/30))</f>
        <v>22.601267088092456</v>
      </c>
      <c r="FK156" s="173">
        <f ca="1">(VLOOKUP(FK$72,INDIRECT($C$5&amp;"生成成长"),2))/((VLOOKUP($B156,INDIRECT($B$5&amp;"生成成长"),4))/(VLOOKUP(FK$72,INDIRECT($C$5&amp;"生成成长"),5))*(VLOOKUP($B$5,标准坦克设计!$B$24:$U$30,MATCH("对"&amp;LEFT($C$5,2)&amp;"输出",标准坦克设计!$B$23:$U$23,0)))*(VLOOKUP($B156,INDIRECT($B$5&amp;"生成成长"),3))*(VLOOKUP($B$5,标准坦克设计!$B$14:$K$20,9)/30))</f>
        <v>23.871580757379682</v>
      </c>
    </row>
    <row r="157" spans="1:167" x14ac:dyDescent="0.15">
      <c r="A157" s="171" t="str">
        <f t="shared" si="12"/>
        <v>T4中品质13级</v>
      </c>
      <c r="B157" s="172">
        <v>20413</v>
      </c>
      <c r="C157" s="173">
        <f ca="1">(VLOOKUP(C$72,INDIRECT($C$5&amp;"生成成长"),2))/((VLOOKUP($B157,INDIRECT($B$5&amp;"生成成长"),4))/(VLOOKUP(C$72,INDIRECT($C$5&amp;"生成成长"),5))*(VLOOKUP($B$5,标准坦克设计!$B$24:$U$30,MATCH("对"&amp;LEFT($C$5,2)&amp;"输出",标准坦克设计!$B$23:$U$23,0)))*(VLOOKUP($B157,INDIRECT($B$5&amp;"生成成长"),3))*(VLOOKUP($B$5,标准坦克设计!$B$14:$K$20,9)/30))</f>
        <v>0.95456624696909775</v>
      </c>
      <c r="D157" s="173">
        <f ca="1">(VLOOKUP(D$72,INDIRECT($C$5&amp;"生成成长"),2))/((VLOOKUP($B157,INDIRECT($B$5&amp;"生成成长"),4))/(VLOOKUP(D$72,INDIRECT($C$5&amp;"生成成长"),5))*(VLOOKUP($B$5,标准坦克设计!$B$24:$U$30,MATCH("对"&amp;LEFT($C$5,2)&amp;"输出",标准坦克设计!$B$23:$U$23,0)))*(VLOOKUP($B157,INDIRECT($B$5&amp;"生成成长"),3))*(VLOOKUP($B$5,标准坦克设计!$B$14:$K$20,9)/30))</f>
        <v>1.0725506350944782</v>
      </c>
      <c r="E157" s="173">
        <f ca="1">(VLOOKUP(E$72,INDIRECT($C$5&amp;"生成成长"),2))/((VLOOKUP($B157,INDIRECT($B$5&amp;"生成成长"),4))/(VLOOKUP(E$72,INDIRECT($C$5&amp;"生成成长"),5))*(VLOOKUP($B$5,标准坦克设计!$B$24:$U$30,MATCH("对"&amp;LEFT($C$5,2)&amp;"输出",标准坦克设计!$B$23:$U$23,0)))*(VLOOKUP($B157,INDIRECT($B$5&amp;"生成成长"),3))*(VLOOKUP($B$5,标准坦克设计!$B$14:$K$20,9)/30))</f>
        <v>1.1974079001980362</v>
      </c>
      <c r="F157" s="173">
        <f ca="1">(VLOOKUP(F$72,INDIRECT($C$5&amp;"生成成长"),2))/((VLOOKUP($B157,INDIRECT($B$5&amp;"生成成长"),4))/(VLOOKUP(F$72,INDIRECT($C$5&amp;"生成成长"),5))*(VLOOKUP($B$5,标准坦克设计!$B$24:$U$30,MATCH("对"&amp;LEFT($C$5,2)&amp;"输出",标准坦克设计!$B$23:$U$23,0)))*(VLOOKUP($B157,INDIRECT($B$5&amp;"生成成长"),3))*(VLOOKUP($B$5,标准坦克设计!$B$14:$K$20,9)/30))</f>
        <v>1.3291380422797718</v>
      </c>
      <c r="G157" s="173">
        <f ca="1">(VLOOKUP(G$72,INDIRECT($C$5&amp;"生成成长"),2))/((VLOOKUP($B157,INDIRECT($B$5&amp;"生成成长"),4))/(VLOOKUP(G$72,INDIRECT($C$5&amp;"生成成长"),5))*(VLOOKUP($B$5,标准坦克设计!$B$24:$U$30,MATCH("对"&amp;LEFT($C$5,2)&amp;"输出",标准坦克设计!$B$23:$U$23,0)))*(VLOOKUP($B157,INDIRECT($B$5&amp;"生成成长"),3))*(VLOOKUP($B$5,标准坦克设计!$B$14:$K$20,9)/30))</f>
        <v>1.4677410613396848</v>
      </c>
      <c r="H157" s="173">
        <f ca="1">(VLOOKUP(H$72,INDIRECT($C$5&amp;"生成成长"),2))/((VLOOKUP($B157,INDIRECT($B$5&amp;"生成成长"),4))/(VLOOKUP(H$72,INDIRECT($C$5&amp;"生成成长"),5))*(VLOOKUP($B$5,标准坦克设计!$B$24:$U$30,MATCH("对"&amp;LEFT($C$5,2)&amp;"输出",标准坦克设计!$B$23:$U$23,0)))*(VLOOKUP($B157,INDIRECT($B$5&amp;"生成成长"),3))*(VLOOKUP($B$5,标准坦克设计!$B$14:$K$20,9)/30))</f>
        <v>1.284464341921618</v>
      </c>
      <c r="I157" s="173">
        <f ca="1">(VLOOKUP(I$72,INDIRECT($C$5&amp;"生成成长"),2))/((VLOOKUP($B157,INDIRECT($B$5&amp;"生成成长"),4))/(VLOOKUP(I$72,INDIRECT($C$5&amp;"生成成长"),5))*(VLOOKUP($B$5,标准坦克设计!$B$24:$U$30,MATCH("对"&amp;LEFT($C$5,2)&amp;"输出",标准坦克设计!$B$23:$U$23,0)))*(VLOOKUP($B157,INDIRECT($B$5&amp;"生成成长"),3))*(VLOOKUP($B$5,标准坦克设计!$B$14:$K$20,9)/30))</f>
        <v>1.4677410613396848</v>
      </c>
      <c r="J157" s="173">
        <f ca="1">(VLOOKUP(J$72,INDIRECT($C$5&amp;"生成成长"),2))/((VLOOKUP($B157,INDIRECT($B$5&amp;"生成成长"),4))/(VLOOKUP(J$72,INDIRECT($C$5&amp;"生成成长"),5))*(VLOOKUP($B$5,标准坦克设计!$B$24:$U$30,MATCH("对"&amp;LEFT($C$5,2)&amp;"输出",标准坦克设计!$B$23:$U$23,0)))*(VLOOKUP($B157,INDIRECT($B$5&amp;"生成成长"),3))*(VLOOKUP($B$5,标准坦克设计!$B$14:$K$20,9)/30))</f>
        <v>1.6632362287189557</v>
      </c>
      <c r="K157" s="173">
        <f ca="1">(VLOOKUP(K$72,INDIRECT($C$5&amp;"生成成长"),2))/((VLOOKUP($B157,INDIRECT($B$5&amp;"生成成长"),4))/(VLOOKUP(K$72,INDIRECT($C$5&amp;"生成成长"),5))*(VLOOKUP($B$5,标准坦克设计!$B$24:$U$30,MATCH("对"&amp;LEFT($C$5,2)&amp;"输出",标准坦克设计!$B$23:$U$23,0)))*(VLOOKUP($B157,INDIRECT($B$5&amp;"生成成长"),3))*(VLOOKUP($B$5,标准坦克设计!$B$14:$K$20,9)/30))</f>
        <v>1.8709498440594314</v>
      </c>
      <c r="L157" s="173">
        <f ca="1">(VLOOKUP(L$72,INDIRECT($C$5&amp;"生成成长"),2))/((VLOOKUP($B157,INDIRECT($B$5&amp;"生成成长"),4))/(VLOOKUP(L$72,INDIRECT($C$5&amp;"生成成长"),5))*(VLOOKUP($B$5,标准坦克设计!$B$24:$U$30,MATCH("对"&amp;LEFT($C$5,2)&amp;"输出",标准坦克设计!$B$23:$U$23,0)))*(VLOOKUP($B157,INDIRECT($B$5&amp;"生成成长"),3))*(VLOOKUP($B$5,标准坦克设计!$B$14:$K$20,9)/30))</f>
        <v>2.090881907361112</v>
      </c>
      <c r="M157" s="173">
        <f ca="1">(VLOOKUP(M$72,INDIRECT($C$5&amp;"生成成长"),2))/((VLOOKUP($B157,INDIRECT($B$5&amp;"生成成长"),4))/(VLOOKUP(M$72,INDIRECT($C$5&amp;"生成成长"),5))*(VLOOKUP($B$5,标准坦克设计!$B$24:$U$30,MATCH("对"&amp;LEFT($C$5,2)&amp;"输出",标准坦克设计!$B$23:$U$23,0)))*(VLOOKUP($B157,INDIRECT($B$5&amp;"生成成长"),3))*(VLOOKUP($B$5,标准坦克设计!$B$14:$K$20,9)/30))</f>
        <v>2.3230324186239963</v>
      </c>
      <c r="N157" s="173">
        <f ca="1">(VLOOKUP(N$72,INDIRECT($C$5&amp;"生成成长"),2))/((VLOOKUP($B157,INDIRECT($B$5&amp;"生成成长"),4))/(VLOOKUP(N$72,INDIRECT($C$5&amp;"生成成长"),5))*(VLOOKUP($B$5,标准坦克设计!$B$24:$U$30,MATCH("对"&amp;LEFT($C$5,2)&amp;"输出",标准坦克设计!$B$23:$U$23,0)))*(VLOOKUP($B157,INDIRECT($B$5&amp;"生成成长"),3))*(VLOOKUP($B$5,标准坦克设计!$B$14:$K$20,9)/30))</f>
        <v>2.5674013778480855</v>
      </c>
      <c r="O157" s="173">
        <f ca="1">(VLOOKUP(O$72,INDIRECT($C$5&amp;"生成成长"),2))/((VLOOKUP($B157,INDIRECT($B$5&amp;"生成成长"),4))/(VLOOKUP(O$72,INDIRECT($C$5&amp;"生成成长"),5))*(VLOOKUP($B$5,标准坦克设计!$B$24:$U$30,MATCH("对"&amp;LEFT($C$5,2)&amp;"输出",标准坦克设计!$B$23:$U$23,0)))*(VLOOKUP($B157,INDIRECT($B$5&amp;"生成成长"),3))*(VLOOKUP($B$5,标准坦克设计!$B$14:$K$20,9)/30))</f>
        <v>1.9519925184271083</v>
      </c>
      <c r="P157" s="173">
        <f ca="1">(VLOOKUP(P$72,INDIRECT($C$5&amp;"生成成长"),2))/((VLOOKUP($B157,INDIRECT($B$5&amp;"生成成长"),4))/(VLOOKUP(P$72,INDIRECT($C$5&amp;"生成成长"),5))*(VLOOKUP($B$5,标准坦克设计!$B$24:$U$30,MATCH("对"&amp;LEFT($C$5,2)&amp;"输出",标准坦克设计!$B$23:$U$23,0)))*(VLOOKUP($B157,INDIRECT($B$5&amp;"生成成长"),3))*(VLOOKUP($B$5,标准坦克设计!$B$14:$K$20,9)/30))</f>
        <v>2.2054298569974038</v>
      </c>
      <c r="Q157" s="173">
        <f ca="1">(VLOOKUP(Q$72,INDIRECT($C$5&amp;"生成成长"),2))/((VLOOKUP($B157,INDIRECT($B$5&amp;"生成成长"),4))/(VLOOKUP(Q$72,INDIRECT($C$5&amp;"生成成长"),5))*(VLOOKUP($B$5,标准坦克设计!$B$24:$U$30,MATCH("对"&amp;LEFT($C$5,2)&amp;"输出",标准坦克设计!$B$23:$U$23,0)))*(VLOOKUP($B157,INDIRECT($B$5&amp;"生成成长"),3))*(VLOOKUP($B$5,标准坦克设计!$B$14:$K$20,9)/30))</f>
        <v>2.474331168768598</v>
      </c>
      <c r="R157" s="173">
        <f ca="1">(VLOOKUP(R$72,INDIRECT($C$5&amp;"生成成长"),2))/((VLOOKUP($B157,INDIRECT($B$5&amp;"生成成长"),4))/(VLOOKUP(R$72,INDIRECT($C$5&amp;"生成成长"),5))*(VLOOKUP($B$5,标准坦克设计!$B$24:$U$30,MATCH("对"&amp;LEFT($C$5,2)&amp;"输出",标准坦克设计!$B$23:$U$23,0)))*(VLOOKUP($B157,INDIRECT($B$5&amp;"生成成长"),3))*(VLOOKUP($B$5,标准坦克设计!$B$14:$K$20,9)/30))</f>
        <v>2.7586964537406926</v>
      </c>
      <c r="S157" s="173">
        <f ca="1">(VLOOKUP(S$72,INDIRECT($C$5&amp;"生成成长"),2))/((VLOOKUP($B157,INDIRECT($B$5&amp;"生成成长"),4))/(VLOOKUP(S$72,INDIRECT($C$5&amp;"生成成长"),5))*(VLOOKUP($B$5,标准坦克设计!$B$24:$U$30,MATCH("对"&amp;LEFT($C$5,2)&amp;"输出",标准坦克设计!$B$23:$U$23,0)))*(VLOOKUP($B157,INDIRECT($B$5&amp;"生成成长"),3))*(VLOOKUP($B$5,标准坦克设计!$B$14:$K$20,9)/30))</f>
        <v>3.0585257119136866</v>
      </c>
      <c r="T157" s="173">
        <f ca="1">(VLOOKUP(T$72,INDIRECT($C$5&amp;"生成成长"),2))/((VLOOKUP($B157,INDIRECT($B$5&amp;"生成成长"),4))/(VLOOKUP(T$72,INDIRECT($C$5&amp;"生成成长"),5))*(VLOOKUP($B$5,标准坦克设计!$B$24:$U$30,MATCH("对"&amp;LEFT($C$5,2)&amp;"输出",标准坦克设计!$B$23:$U$23,0)))*(VLOOKUP($B157,INDIRECT($B$5&amp;"生成成长"),3))*(VLOOKUP($B$5,标准坦克设计!$B$14:$K$20,9)/30))</f>
        <v>3.3738189432875796</v>
      </c>
      <c r="U157" s="173">
        <f ca="1">(VLOOKUP(U$72,INDIRECT($C$5&amp;"生成成长"),2))/((VLOOKUP($B157,INDIRECT($B$5&amp;"生成成长"),4))/(VLOOKUP(U$72,INDIRECT($C$5&amp;"生成成长"),5))*(VLOOKUP($B$5,标准坦克设计!$B$24:$U$30,MATCH("对"&amp;LEFT($C$5,2)&amp;"输出",标准坦克设计!$B$23:$U$23,0)))*(VLOOKUP($B157,INDIRECT($B$5&amp;"生成成长"),3))*(VLOOKUP($B$5,标准坦克设计!$B$14:$K$20,9)/30))</f>
        <v>3.704576147862372</v>
      </c>
      <c r="V157" s="173">
        <f ca="1">(VLOOKUP(V$72,INDIRECT($C$5&amp;"生成成长"),2))/((VLOOKUP($B157,INDIRECT($B$5&amp;"生成成长"),4))/(VLOOKUP(V$72,INDIRECT($C$5&amp;"生成成长"),5))*(VLOOKUP($B$5,标准坦克设计!$B$24:$U$30,MATCH("对"&amp;LEFT($C$5,2)&amp;"输出",标准坦克设计!$B$23:$U$23,0)))*(VLOOKUP($B157,INDIRECT($B$5&amp;"生成成长"),3))*(VLOOKUP($B$5,标准坦克设计!$B$14:$K$20,9)/30))</f>
        <v>4.0507973256380634</v>
      </c>
      <c r="W157" s="173">
        <f ca="1">(VLOOKUP(W$72,INDIRECT($C$5&amp;"生成成长"),2))/((VLOOKUP($B157,INDIRECT($B$5&amp;"生成成长"),4))/(VLOOKUP(W$72,INDIRECT($C$5&amp;"生成成长"),5))*(VLOOKUP($B$5,标准坦克设计!$B$24:$U$30,MATCH("对"&amp;LEFT($C$5,2)&amp;"输出",标准坦克设计!$B$23:$U$23,0)))*(VLOOKUP($B157,INDIRECT($B$5&amp;"生成成长"),3))*(VLOOKUP($B$5,标准坦克设计!$B$14:$K$20,9)/30))</f>
        <v>4.4124824766146551</v>
      </c>
      <c r="X157" s="173">
        <f ca="1">(VLOOKUP(X$72,INDIRECT($C$5&amp;"生成成长"),2))/((VLOOKUP($B157,INDIRECT($B$5&amp;"生成成长"),4))/(VLOOKUP(X$72,INDIRECT($C$5&amp;"生成成长"),5))*(VLOOKUP($B$5,标准坦克设计!$B$24:$U$30,MATCH("对"&amp;LEFT($C$5,2)&amp;"输出",标准坦克设计!$B$23:$U$23,0)))*(VLOOKUP($B157,INDIRECT($B$5&amp;"生成成长"),3))*(VLOOKUP($B$5,标准坦克设计!$B$14:$K$20,9)/30))</f>
        <v>3.1967469044748111</v>
      </c>
      <c r="Y157" s="173">
        <f ca="1">(VLOOKUP(Y$72,INDIRECT($C$5&amp;"生成成长"),2))/((VLOOKUP($B157,INDIRECT($B$5&amp;"生成成长"),4))/(VLOOKUP(Y$72,INDIRECT($C$5&amp;"生成成长"),5))*(VLOOKUP($B$5,标准坦克设计!$B$24:$U$30,MATCH("对"&amp;LEFT($C$5,2)&amp;"输出",标准坦克设计!$B$23:$U$23,0)))*(VLOOKUP($B157,INDIRECT($B$5&amp;"生成成长"),3))*(VLOOKUP($B$5,标准坦克设计!$B$14:$K$20,9)/30))</f>
        <v>3.5556638133351921</v>
      </c>
      <c r="Z157" s="173">
        <f ca="1">(VLOOKUP(Z$72,INDIRECT($C$5&amp;"生成成长"),2))/((VLOOKUP($B157,INDIRECT($B$5&amp;"生成成长"),4))/(VLOOKUP(Z$72,INDIRECT($C$5&amp;"生成成长"),5))*(VLOOKUP($B$5,标准坦克设计!$B$24:$U$30,MATCH("对"&amp;LEFT($C$5,2)&amp;"输出",标准坦克设计!$B$23:$U$23,0)))*(VLOOKUP($B157,INDIRECT($B$5&amp;"生成成长"),3))*(VLOOKUP($B$5,标准坦克设计!$B$14:$K$20,9)/30))</f>
        <v>3.9336720471349551</v>
      </c>
      <c r="AA157" s="173">
        <f ca="1">(VLOOKUP(AA$72,INDIRECT($C$5&amp;"生成成长"),2))/((VLOOKUP($B157,INDIRECT($B$5&amp;"生成成长"),4))/(VLOOKUP(AA$72,INDIRECT($C$5&amp;"生成成长"),5))*(VLOOKUP($B$5,标准坦克设计!$B$24:$U$30,MATCH("对"&amp;LEFT($C$5,2)&amp;"输出",标准坦克设计!$B$23:$U$23,0)))*(VLOOKUP($B157,INDIRECT($B$5&amp;"生成成长"),3))*(VLOOKUP($B$5,标准坦克设计!$B$14:$K$20,9)/30))</f>
        <v>4.3307716058740997</v>
      </c>
      <c r="AB157" s="173">
        <f ca="1">(VLOOKUP(AB$72,INDIRECT($C$5&amp;"生成成长"),2))/((VLOOKUP($B157,INDIRECT($B$5&amp;"生成成长"),4))/(VLOOKUP(AB$72,INDIRECT($C$5&amp;"生成成长"),5))*(VLOOKUP($B$5,标准坦克设计!$B$24:$U$30,MATCH("对"&amp;LEFT($C$5,2)&amp;"输出",标准坦克设计!$B$23:$U$23,0)))*(VLOOKUP($B157,INDIRECT($B$5&amp;"生成成长"),3))*(VLOOKUP($B$5,标准坦克设计!$B$14:$K$20,9)/30))</f>
        <v>4.7469624895526268</v>
      </c>
      <c r="AC157" s="173">
        <f ca="1">(VLOOKUP(AC$72,INDIRECT($C$5&amp;"生成成长"),2))/((VLOOKUP($B157,INDIRECT($B$5&amp;"生成成长"),4))/(VLOOKUP(AC$72,INDIRECT($C$5&amp;"生成成长"),5))*(VLOOKUP($B$5,标准坦克设计!$B$24:$U$30,MATCH("对"&amp;LEFT($C$5,2)&amp;"输出",标准坦克设计!$B$23:$U$23,0)))*(VLOOKUP($B157,INDIRECT($B$5&amp;"生成成长"),3))*(VLOOKUP($B$5,标准坦克设计!$B$14:$K$20,9)/30))</f>
        <v>5.1822446981705346</v>
      </c>
      <c r="AD157" s="173">
        <f ca="1">(VLOOKUP(AD$72,INDIRECT($C$5&amp;"生成成长"),2))/((VLOOKUP($B157,INDIRECT($B$5&amp;"生成成长"),4))/(VLOOKUP(AD$72,INDIRECT($C$5&amp;"生成成长"),5))*(VLOOKUP($B$5,标准坦克设计!$B$24:$U$30,MATCH("对"&amp;LEFT($C$5,2)&amp;"输出",标准坦克设计!$B$23:$U$23,0)))*(VLOOKUP($B157,INDIRECT($B$5&amp;"生成成长"),3))*(VLOOKUP($B$5,标准坦克设计!$B$14:$K$20,9)/30))</f>
        <v>5.6366182317278248</v>
      </c>
      <c r="AE157" s="173">
        <f ca="1">(VLOOKUP(AE$72,INDIRECT($C$5&amp;"生成成长"),2))/((VLOOKUP($B157,INDIRECT($B$5&amp;"生成成长"),4))/(VLOOKUP(AE$72,INDIRECT($C$5&amp;"生成成长"),5))*(VLOOKUP($B$5,标准坦克设计!$B$24:$U$30,MATCH("对"&amp;LEFT($C$5,2)&amp;"输出",标准坦克设计!$B$23:$U$23,0)))*(VLOOKUP($B157,INDIRECT($B$5&amp;"生成成长"),3))*(VLOOKUP($B$5,标准坦克设计!$B$14:$K$20,9)/30))</f>
        <v>6.1100830902244976</v>
      </c>
      <c r="AF157" s="173">
        <f ca="1">(VLOOKUP(AF$72,INDIRECT($C$5&amp;"生成成长"),2))/((VLOOKUP($B157,INDIRECT($B$5&amp;"生成成长"),4))/(VLOOKUP(AF$72,INDIRECT($C$5&amp;"生成成长"),5))*(VLOOKUP($B$5,标准坦克设计!$B$24:$U$30,MATCH("对"&amp;LEFT($C$5,2)&amp;"输出",标准坦克设计!$B$23:$U$23,0)))*(VLOOKUP($B157,INDIRECT($B$5&amp;"生成成长"),3))*(VLOOKUP($B$5,标准坦克设计!$B$14:$K$20,9)/30))</f>
        <v>6.6026392736605528</v>
      </c>
      <c r="AG157" s="173">
        <f ca="1">(VLOOKUP(AG$72,INDIRECT($C$5&amp;"生成成长"),2))/((VLOOKUP($B157,INDIRECT($B$5&amp;"生成成长"),4))/(VLOOKUP(AG$72,INDIRECT($C$5&amp;"生成成长"),5))*(VLOOKUP($B$5,标准坦克设计!$B$24:$U$30,MATCH("对"&amp;LEFT($C$5,2)&amp;"输出",标准坦克设计!$B$23:$U$23,0)))*(VLOOKUP($B157,INDIRECT($B$5&amp;"生成成长"),3))*(VLOOKUP($B$5,标准坦克设计!$B$14:$K$20,9)/30))</f>
        <v>7.1142867820359879</v>
      </c>
      <c r="AH157" s="173">
        <f ca="1">(VLOOKUP(AH$72,INDIRECT($C$5&amp;"生成成长"),2))/((VLOOKUP($B157,INDIRECT($B$5&amp;"生成成长"),4))/(VLOOKUP(AH$72,INDIRECT($C$5&amp;"生成成长"),5))*(VLOOKUP($B$5,标准坦克设计!$B$24:$U$30,MATCH("对"&amp;LEFT($C$5,2)&amp;"输出",标准坦克设计!$B$23:$U$23,0)))*(VLOOKUP($B157,INDIRECT($B$5&amp;"生成成长"),3))*(VLOOKUP($B$5,标准坦克设计!$B$14:$K$20,9)/30))</f>
        <v>7.6450256153508063</v>
      </c>
      <c r="AI157" s="173">
        <f ca="1">(VLOOKUP(AI$72,INDIRECT($C$5&amp;"生成成长"),2))/((VLOOKUP($B157,INDIRECT($B$5&amp;"生成成长"),4))/(VLOOKUP(AI$72,INDIRECT($C$5&amp;"生成成长"),5))*(VLOOKUP($B$5,标准坦克设计!$B$24:$U$30,MATCH("对"&amp;LEFT($C$5,2)&amp;"输出",标准坦克设计!$B$23:$U$23,0)))*(VLOOKUP($B157,INDIRECT($B$5&amp;"生成成长"),3))*(VLOOKUP($B$5,标准坦克设计!$B$14:$K$20,9)/30))</f>
        <v>5.4070450493317574</v>
      </c>
      <c r="AJ157" s="173">
        <f ca="1">(VLOOKUP(AJ$72,INDIRECT($C$5&amp;"生成成长"),2))/((VLOOKUP($B157,INDIRECT($B$5&amp;"生成成长"),4))/(VLOOKUP(AJ$72,INDIRECT($C$5&amp;"生成成长"),5))*(VLOOKUP($B$5,标准坦克设计!$B$24:$U$30,MATCH("对"&amp;LEFT($C$5,2)&amp;"输出",标准坦克设计!$B$23:$U$23,0)))*(VLOOKUP($B157,INDIRECT($B$5&amp;"生成成长"),3))*(VLOOKUP($B$5,标准坦克设计!$B$14:$K$20,9)/30))</f>
        <v>5.9184061878331038</v>
      </c>
      <c r="AK157" s="173">
        <f ca="1">(VLOOKUP(AK$72,INDIRECT($C$5&amp;"生成成长"),2))/((VLOOKUP($B157,INDIRECT($B$5&amp;"生成成长"),4))/(VLOOKUP(AK$72,INDIRECT($C$5&amp;"生成成长"),5))*(VLOOKUP($B$5,标准坦克设计!$B$24:$U$30,MATCH("对"&amp;LEFT($C$5,2)&amp;"输出",标准坦克设计!$B$23:$U$23,0)))*(VLOOKUP($B157,INDIRECT($B$5&amp;"生成成长"),3))*(VLOOKUP($B$5,标准坦克设计!$B$14:$K$20,9)/30))</f>
        <v>6.452867829511101</v>
      </c>
      <c r="AL157" s="173">
        <f ca="1">(VLOOKUP(AL$72,INDIRECT($C$5&amp;"生成成长"),2))/((VLOOKUP($B157,INDIRECT($B$5&amp;"生成成长"),4))/(VLOOKUP(AL$72,INDIRECT($C$5&amp;"生成成长"),5))*(VLOOKUP($B$5,标准坦克设计!$B$24:$U$30,MATCH("对"&amp;LEFT($C$5,2)&amp;"输出",标准坦克设计!$B$23:$U$23,0)))*(VLOOKUP($B157,INDIRECT($B$5&amp;"生成成长"),3))*(VLOOKUP($B$5,标准坦克设计!$B$14:$K$20,9)/30))</f>
        <v>7.010429974365751</v>
      </c>
      <c r="AM157" s="173">
        <f ca="1">(VLOOKUP(AM$72,INDIRECT($C$5&amp;"生成成长"),2))/((VLOOKUP($B157,INDIRECT($B$5&amp;"生成成长"),4))/(VLOOKUP(AM$72,INDIRECT($C$5&amp;"生成成长"),5))*(VLOOKUP($B$5,标准坦克设计!$B$24:$U$30,MATCH("对"&amp;LEFT($C$5,2)&amp;"输出",标准坦克设计!$B$23:$U$23,0)))*(VLOOKUP($B157,INDIRECT($B$5&amp;"生成成长"),3))*(VLOOKUP($B$5,标准坦克设计!$B$14:$K$20,9)/30))</f>
        <v>7.5910926223970536</v>
      </c>
      <c r="AN157" s="173">
        <f ca="1">(VLOOKUP(AN$72,INDIRECT($C$5&amp;"生成成长"),2))/((VLOOKUP($B157,INDIRECT($B$5&amp;"生成成长"),4))/(VLOOKUP(AN$72,INDIRECT($C$5&amp;"生成成长"),5))*(VLOOKUP($B$5,标准坦克设计!$B$24:$U$30,MATCH("对"&amp;LEFT($C$5,2)&amp;"输出",标准坦克设计!$B$23:$U$23,0)))*(VLOOKUP($B157,INDIRECT($B$5&amp;"生成成长"),3))*(VLOOKUP($B$5,标准坦克设计!$B$14:$K$20,9)/30))</f>
        <v>8.1948557736050063</v>
      </c>
      <c r="AO157" s="173">
        <f ca="1">(VLOOKUP(AO$72,INDIRECT($C$5&amp;"生成成长"),2))/((VLOOKUP($B157,INDIRECT($B$5&amp;"生成成长"),4))/(VLOOKUP(AO$72,INDIRECT($C$5&amp;"生成成长"),5))*(VLOOKUP($B$5,标准坦克设计!$B$24:$U$30,MATCH("对"&amp;LEFT($C$5,2)&amp;"输出",标准坦克设计!$B$23:$U$23,0)))*(VLOOKUP($B157,INDIRECT($B$5&amp;"生成成长"),3))*(VLOOKUP($B$5,标准坦克设计!$B$14:$K$20,9)/30))</f>
        <v>8.8217194279896152</v>
      </c>
      <c r="AP157" s="173">
        <f ca="1">(VLOOKUP(AP$72,INDIRECT($C$5&amp;"生成成长"),2))/((VLOOKUP($B157,INDIRECT($B$5&amp;"生成成长"),4))/(VLOOKUP(AP$72,INDIRECT($C$5&amp;"生成成长"),5))*(VLOOKUP($B$5,标准坦克设计!$B$24:$U$30,MATCH("对"&amp;LEFT($C$5,2)&amp;"输出",标准坦克设计!$B$23:$U$23,0)))*(VLOOKUP($B157,INDIRECT($B$5&amp;"生成成长"),3))*(VLOOKUP($B$5,标准坦克设计!$B$14:$K$20,9)/30))</f>
        <v>9.4716835855508723</v>
      </c>
      <c r="AQ157" s="173">
        <f ca="1">(VLOOKUP(AQ$72,INDIRECT($C$5&amp;"生成成长"),2))/((VLOOKUP($B157,INDIRECT($B$5&amp;"生成成长"),4))/(VLOOKUP(AQ$72,INDIRECT($C$5&amp;"生成成长"),5))*(VLOOKUP($B$5,标准坦克设计!$B$24:$U$30,MATCH("对"&amp;LEFT($C$5,2)&amp;"输出",标准坦克设计!$B$23:$U$23,0)))*(VLOOKUP($B157,INDIRECT($B$5&amp;"生成成长"),3))*(VLOOKUP($B$5,标准坦克设计!$B$14:$K$20,9)/30))</f>
        <v>10.144748246288781</v>
      </c>
      <c r="AR157" s="173">
        <f ca="1">(VLOOKUP(AR$72,INDIRECT($C$5&amp;"生成成长"),2))/((VLOOKUP($B157,INDIRECT($B$5&amp;"生成成长"),4))/(VLOOKUP(AR$72,INDIRECT($C$5&amp;"生成成长"),5))*(VLOOKUP($B$5,标准坦克设计!$B$24:$U$30,MATCH("对"&amp;LEFT($C$5,2)&amp;"输出",标准坦克设计!$B$23:$U$23,0)))*(VLOOKUP($B157,INDIRECT($B$5&amp;"生成成长"),3))*(VLOOKUP($B$5,标准坦克设计!$B$14:$K$20,9)/30))</f>
        <v>10.840913410203347</v>
      </c>
      <c r="AS157" s="173">
        <f ca="1">(VLOOKUP(AS$72,INDIRECT($C$5&amp;"生成成长"),2))/((VLOOKUP($B157,INDIRECT($B$5&amp;"生成成长"),4))/(VLOOKUP(AS$72,INDIRECT($C$5&amp;"生成成长"),5))*(VLOOKUP($B$5,标准坦克设计!$B$24:$U$30,MATCH("对"&amp;LEFT($C$5,2)&amp;"输出",标准坦克设计!$B$23:$U$23,0)))*(VLOOKUP($B157,INDIRECT($B$5&amp;"生成成长"),3))*(VLOOKUP($B$5,标准坦克设计!$B$14:$K$20,9)/30))</f>
        <v>11.560179077294562</v>
      </c>
      <c r="AT157" s="173">
        <f ca="1">(VLOOKUP(AT$72,INDIRECT($C$5&amp;"生成成长"),2))/((VLOOKUP($B157,INDIRECT($B$5&amp;"生成成长"),4))/(VLOOKUP(AT$72,INDIRECT($C$5&amp;"生成成长"),5))*(VLOOKUP($B$5,标准坦克设计!$B$24:$U$30,MATCH("对"&amp;LEFT($C$5,2)&amp;"输出",标准坦克设计!$B$23:$U$23,0)))*(VLOOKUP($B157,INDIRECT($B$5&amp;"生成成长"),3))*(VLOOKUP($B$5,标准坦克设计!$B$14:$K$20,9)/30))</f>
        <v>12.30254524756243</v>
      </c>
      <c r="AU157" s="173">
        <f ca="1">(VLOOKUP(AU$72,INDIRECT($C$5&amp;"生成成长"),2))/((VLOOKUP($B157,INDIRECT($B$5&amp;"生成成长"),4))/(VLOOKUP(AU$72,INDIRECT($C$5&amp;"生成成长"),5))*(VLOOKUP($B$5,标准坦克设计!$B$24:$U$30,MATCH("对"&amp;LEFT($C$5,2)&amp;"输出",标准坦克设计!$B$23:$U$23,0)))*(VLOOKUP($B157,INDIRECT($B$5&amp;"生成成长"),3))*(VLOOKUP($B$5,标准坦克设计!$B$14:$K$20,9)/30))</f>
        <v>13.068011921006949</v>
      </c>
      <c r="AV157" s="173">
        <f ca="1">(VLOOKUP(AV$72,INDIRECT($C$5&amp;"生成成长"),2))/((VLOOKUP($B157,INDIRECT($B$5&amp;"生成成长"),4))/(VLOOKUP(AV$72,INDIRECT($C$5&amp;"生成成长"),5))*(VLOOKUP($B$5,标准坦克设计!$B$24:$U$30,MATCH("对"&amp;LEFT($C$5,2)&amp;"输出",标准坦克设计!$B$23:$U$23,0)))*(VLOOKUP($B157,INDIRECT($B$5&amp;"生成成长"),3))*(VLOOKUP($B$5,标准坦克设计!$B$14:$K$20,9)/30))</f>
        <v>1.3291380422797718</v>
      </c>
      <c r="AW157" s="173">
        <f ca="1">(VLOOKUP(AW$72,INDIRECT($C$5&amp;"生成成长"),2))/((VLOOKUP($B157,INDIRECT($B$5&amp;"生成成长"),4))/(VLOOKUP(AW$72,INDIRECT($C$5&amp;"生成成长"),5))*(VLOOKUP($B$5,标准坦克设计!$B$24:$U$30,MATCH("对"&amp;LEFT($C$5,2)&amp;"输出",标准坦克设计!$B$23:$U$23,0)))*(VLOOKUP($B157,INDIRECT($B$5&amp;"生成成长"),3))*(VLOOKUP($B$5,标准坦克设计!$B$14:$K$20,9)/30))</f>
        <v>1.5154693736881395</v>
      </c>
      <c r="AX157" s="173">
        <f ca="1">(VLOOKUP(AX$72,INDIRECT($C$5&amp;"生成成长"),2))/((VLOOKUP($B157,INDIRECT($B$5&amp;"生成成长"),4))/(VLOOKUP(AX$72,INDIRECT($C$5&amp;"生成成长"),5))*(VLOOKUP($B$5,标准坦克设计!$B$24:$U$30,MATCH("对"&amp;LEFT($C$5,2)&amp;"输出",标准坦克设计!$B$23:$U$23,0)))*(VLOOKUP($B157,INDIRECT($B$5&amp;"生成成长"),3))*(VLOOKUP($B$5,标准坦克设计!$B$14:$K$20,9)/30))</f>
        <v>1.714019153057712</v>
      </c>
      <c r="AY157" s="173">
        <f ca="1">(VLOOKUP(AY$72,INDIRECT($C$5&amp;"生成成长"),2))/((VLOOKUP($B157,INDIRECT($B$5&amp;"生成成长"),4))/(VLOOKUP(AY$72,INDIRECT($C$5&amp;"生成成长"),5))*(VLOOKUP($B$5,标准坦克设计!$B$24:$U$30,MATCH("对"&amp;LEFT($C$5,2)&amp;"输出",标准坦克设计!$B$23:$U$23,0)))*(VLOOKUP($B157,INDIRECT($B$5&amp;"生成成长"),3))*(VLOOKUP($B$5,标准坦克设计!$B$14:$K$20,9)/30))</f>
        <v>1.9247873803884885</v>
      </c>
      <c r="AZ157" s="173">
        <f ca="1">(VLOOKUP(AZ$72,INDIRECT($C$5&amp;"生成成长"),2))/((VLOOKUP($B157,INDIRECT($B$5&amp;"生成成长"),4))/(VLOOKUP(AZ$72,INDIRECT($C$5&amp;"生成成长"),5))*(VLOOKUP($B$5,标准坦克设计!$B$24:$U$30,MATCH("对"&amp;LEFT($C$5,2)&amp;"输出",标准坦克设计!$B$23:$U$23,0)))*(VLOOKUP($B157,INDIRECT($B$5&amp;"生成成长"),3))*(VLOOKUP($B$5,标准坦克设计!$B$14:$K$20,9)/30))</f>
        <v>2.1477740556804705</v>
      </c>
      <c r="BA157" s="173">
        <f ca="1">(VLOOKUP(BA$72,INDIRECT($C$5&amp;"生成成长"),2))/((VLOOKUP($B157,INDIRECT($B$5&amp;"生成成长"),4))/(VLOOKUP(BA$72,INDIRECT($C$5&amp;"生成成长"),5))*(VLOOKUP($B$5,标准坦克设计!$B$24:$U$30,MATCH("对"&amp;LEFT($C$5,2)&amp;"输出",标准坦克设计!$B$23:$U$23,0)))*(VLOOKUP($B157,INDIRECT($B$5&amp;"生成成长"),3))*(VLOOKUP($B$5,标准坦克设计!$B$14:$K$20,9)/30))</f>
        <v>2.3829791789336561</v>
      </c>
      <c r="BB157" s="173">
        <f ca="1">(VLOOKUP(BB$72,INDIRECT($C$5&amp;"生成成长"),2))/((VLOOKUP($B157,INDIRECT($B$5&amp;"生成成长"),4))/(VLOOKUP(BB$72,INDIRECT($C$5&amp;"生成成长"),5))*(VLOOKUP($B$5,标准坦克设计!$B$24:$U$30,MATCH("对"&amp;LEFT($C$5,2)&amp;"输出",标准坦克设计!$B$23:$U$23,0)))*(VLOOKUP($B157,INDIRECT($B$5&amp;"生成成长"),3))*(VLOOKUP($B$5,标准坦克设计!$B$14:$K$20,9)/30))</f>
        <v>2.630402750148046</v>
      </c>
      <c r="BC157" s="173">
        <f ca="1">(VLOOKUP(BC$72,INDIRECT($C$5&amp;"生成成长"),2))/((VLOOKUP($B157,INDIRECT($B$5&amp;"生成成长"),4))/(VLOOKUP(BC$72,INDIRECT($C$5&amp;"生成成长"),5))*(VLOOKUP($B$5,标准坦克设计!$B$24:$U$30,MATCH("对"&amp;LEFT($C$5,2)&amp;"输出",标准坦克设计!$B$23:$U$23,0)))*(VLOOKUP($B157,INDIRECT($B$5&amp;"生成成长"),3))*(VLOOKUP($B$5,标准坦克设计!$B$14:$K$20,9)/30))</f>
        <v>2.8900447693236404</v>
      </c>
      <c r="BD157" s="173">
        <f ca="1">(VLOOKUP(BD$72,INDIRECT($C$5&amp;"生成成长"),2))/((VLOOKUP($B157,INDIRECT($B$5&amp;"生成成长"),4))/(VLOOKUP(BD$72,INDIRECT($C$5&amp;"生成成长"),5))*(VLOOKUP($B$5,标准坦克设计!$B$24:$U$30,MATCH("对"&amp;LEFT($C$5,2)&amp;"输出",标准坦克设计!$B$23:$U$23,0)))*(VLOOKUP($B157,INDIRECT($B$5&amp;"生成成长"),3))*(VLOOKUP($B$5,标准坦克设计!$B$14:$K$20,9)/30))</f>
        <v>3.1967469044748111</v>
      </c>
      <c r="BE157" s="173">
        <f ca="1">(VLOOKUP(BE$72,INDIRECT($C$5&amp;"生成成长"),2))/((VLOOKUP($B157,INDIRECT($B$5&amp;"生成成长"),4))/(VLOOKUP(BE$72,INDIRECT($C$5&amp;"生成成长"),5))*(VLOOKUP($B$5,标准坦克设计!$B$24:$U$30,MATCH("对"&amp;LEFT($C$5,2)&amp;"输出",标准坦克设计!$B$23:$U$23,0)))*(VLOOKUP($B157,INDIRECT($B$5&amp;"生成成长"),3))*(VLOOKUP($B$5,标准坦克设计!$B$14:$K$20,9)/30))</f>
        <v>3.5189130128268817</v>
      </c>
      <c r="BF157" s="173">
        <f ca="1">(VLOOKUP(BF$72,INDIRECT($C$5&amp;"生成成长"),2))/((VLOOKUP($B157,INDIRECT($B$5&amp;"生成成长"),4))/(VLOOKUP(BF$72,INDIRECT($C$5&amp;"生成成长"),5))*(VLOOKUP($B$5,标准坦克设计!$B$24:$U$30,MATCH("对"&amp;LEFT($C$5,2)&amp;"输出",标准坦克设计!$B$23:$U$23,0)))*(VLOOKUP($B157,INDIRECT($B$5&amp;"生成成长"),3))*(VLOOKUP($B$5,标准坦克设计!$B$14:$K$20,9)/30))</f>
        <v>3.8565430943798522</v>
      </c>
      <c r="BG157" s="173">
        <f ca="1">(VLOOKUP(BG$72,INDIRECT($C$5&amp;"生成成长"),2))/((VLOOKUP($B157,INDIRECT($B$5&amp;"生成成长"),4))/(VLOOKUP(BG$72,INDIRECT($C$5&amp;"生成成长"),5))*(VLOOKUP($B$5,标准坦克设计!$B$24:$U$30,MATCH("对"&amp;LEFT($C$5,2)&amp;"输出",标准坦克设计!$B$23:$U$23,0)))*(VLOOKUP($B157,INDIRECT($B$5&amp;"生成成长"),3))*(VLOOKUP($B$5,标准坦克设计!$B$14:$K$20,9)/30))</f>
        <v>4.2096371491337212</v>
      </c>
      <c r="BH157" s="173">
        <f ca="1">(VLOOKUP(BH$72,INDIRECT($C$5&amp;"生成成长"),2))/((VLOOKUP($B157,INDIRECT($B$5&amp;"生成成长"),4))/(VLOOKUP(BH$72,INDIRECT($C$5&amp;"生成成长"),5))*(VLOOKUP($B$5,标准坦克设计!$B$24:$U$30,MATCH("对"&amp;LEFT($C$5,2)&amp;"输出",标准坦克设计!$B$23:$U$23,0)))*(VLOOKUP($B157,INDIRECT($B$5&amp;"生成成长"),3))*(VLOOKUP($B$5,标准坦克设计!$B$14:$K$20,9)/30))</f>
        <v>2.0347534120393287</v>
      </c>
      <c r="BI157" s="173">
        <f ca="1">(VLOOKUP(BI$72,INDIRECT($C$5&amp;"生成成长"),2))/((VLOOKUP($B157,INDIRECT($B$5&amp;"生成成长"),4))/(VLOOKUP(BI$72,INDIRECT($C$5&amp;"生成成长"),5))*(VLOOKUP($B$5,标准坦克设计!$B$24:$U$30,MATCH("对"&amp;LEFT($C$5,2)&amp;"输出",标准坦克设计!$B$23:$U$23,0)))*(VLOOKUP($B157,INDIRECT($B$5&amp;"生成成长"),3))*(VLOOKUP($B$5,标准坦克设计!$B$14:$K$20,9)/30))</f>
        <v>2.2933454083432578</v>
      </c>
      <c r="BJ157" s="173">
        <f ca="1">(VLOOKUP(BJ$72,INDIRECT($C$5&amp;"生成成长"),2))/((VLOOKUP($B157,INDIRECT($B$5&amp;"生成成长"),4))/(VLOOKUP(BJ$72,INDIRECT($C$5&amp;"生成成长"),5))*(VLOOKUP($B$5,标准坦克设计!$B$24:$U$30,MATCH("对"&amp;LEFT($C$5,2)&amp;"输出",标准坦克设计!$B$23:$U$23,0)))*(VLOOKUP($B157,INDIRECT($B$5&amp;"生成成长"),3))*(VLOOKUP($B$5,标准坦克设计!$B$14:$K$20,9)/30))</f>
        <v>2.5674013778480855</v>
      </c>
      <c r="BK157" s="173">
        <f ca="1">(VLOOKUP(BK$72,INDIRECT($C$5&amp;"生成成长"),2))/((VLOOKUP($B157,INDIRECT($B$5&amp;"生成成长"),4))/(VLOOKUP(BK$72,INDIRECT($C$5&amp;"生成成长"),5))*(VLOOKUP($B$5,标准坦克设计!$B$24:$U$30,MATCH("对"&amp;LEFT($C$5,2)&amp;"输出",标准坦克设计!$B$23:$U$23,0)))*(VLOOKUP($B157,INDIRECT($B$5&amp;"生成成长"),3))*(VLOOKUP($B$5,标准坦克设计!$B$14:$K$20,9)/30))</f>
        <v>2.8569213205538126</v>
      </c>
      <c r="BL157" s="173">
        <f ca="1">(VLOOKUP(BL$72,INDIRECT($C$5&amp;"生成成长"),2))/((VLOOKUP($B157,INDIRECT($B$5&amp;"生成成长"),4))/(VLOOKUP(BL$72,INDIRECT($C$5&amp;"生成成长"),5))*(VLOOKUP($B$5,标准坦克设计!$B$24:$U$30,MATCH("对"&amp;LEFT($C$5,2)&amp;"输出",标准坦克设计!$B$23:$U$23,0)))*(VLOOKUP($B157,INDIRECT($B$5&amp;"生成成长"),3))*(VLOOKUP($B$5,标准坦克设计!$B$14:$K$20,9)/30))</f>
        <v>3.1619052364604396</v>
      </c>
      <c r="BM157" s="173">
        <f ca="1">(VLOOKUP(BM$72,INDIRECT($C$5&amp;"生成成长"),2))/((VLOOKUP($B157,INDIRECT($B$5&amp;"生成成长"),4))/(VLOOKUP(BM$72,INDIRECT($C$5&amp;"生成成长"),5))*(VLOOKUP($B$5,标准坦克设计!$B$24:$U$30,MATCH("对"&amp;LEFT($C$5,2)&amp;"输出",标准坦克设计!$B$23:$U$23,0)))*(VLOOKUP($B157,INDIRECT($B$5&amp;"生成成长"),3))*(VLOOKUP($B$5,标准坦克设计!$B$14:$K$20,9)/30))</f>
        <v>3.4823531255679656</v>
      </c>
      <c r="BN157" s="173">
        <f ca="1">(VLOOKUP(BN$72,INDIRECT($C$5&amp;"生成成长"),2))/((VLOOKUP($B157,INDIRECT($B$5&amp;"生成成长"),4))/(VLOOKUP(BN$72,INDIRECT($C$5&amp;"生成成长"),5))*(VLOOKUP($B$5,标准坦克设计!$B$24:$U$30,MATCH("对"&amp;LEFT($C$5,2)&amp;"输出",标准坦克设计!$B$23:$U$23,0)))*(VLOOKUP($B157,INDIRECT($B$5&amp;"生成成长"),3))*(VLOOKUP($B$5,标准坦克设计!$B$14:$K$20,9)/30))</f>
        <v>3.818264987876391</v>
      </c>
      <c r="BO157" s="173">
        <f ca="1">(VLOOKUP(BO$72,INDIRECT($C$5&amp;"生成成长"),2))/((VLOOKUP($B157,INDIRECT($B$5&amp;"生成成长"),4))/(VLOOKUP(BO$72,INDIRECT($C$5&amp;"生成成长"),5))*(VLOOKUP($B$5,标准坦克设计!$B$24:$U$30,MATCH("对"&amp;LEFT($C$5,2)&amp;"输出",标准坦克设计!$B$23:$U$23,0)))*(VLOOKUP($B157,INDIRECT($B$5&amp;"生成成长"),3))*(VLOOKUP($B$5,标准坦克设计!$B$14:$K$20,9)/30))</f>
        <v>4.1696408233857163</v>
      </c>
      <c r="BP157" s="173">
        <f ca="1">(VLOOKUP(BP$72,INDIRECT($C$5&amp;"生成成长"),2))/((VLOOKUP($B157,INDIRECT($B$5&amp;"生成成长"),4))/(VLOOKUP(BP$72,INDIRECT($C$5&amp;"生成成长"),5))*(VLOOKUP($B$5,标准坦克设计!$B$24:$U$30,MATCH("对"&amp;LEFT($C$5,2)&amp;"输出",标准坦克设计!$B$23:$U$23,0)))*(VLOOKUP($B157,INDIRECT($B$5&amp;"生成成长"),3))*(VLOOKUP($B$5,标准坦克设计!$B$14:$K$20,9)/30))</f>
        <v>4.536480632095941</v>
      </c>
      <c r="BQ157" s="173">
        <f ca="1">(VLOOKUP(BQ$72,INDIRECT($C$5&amp;"生成成长"),2))/((VLOOKUP($B157,INDIRECT($B$5&amp;"生成成长"),4))/(VLOOKUP(BQ$72,INDIRECT($C$5&amp;"生成成长"),5))*(VLOOKUP($B$5,标准坦克设计!$B$24:$U$30,MATCH("对"&amp;LEFT($C$5,2)&amp;"输出",标准坦克设计!$B$23:$U$23,0)))*(VLOOKUP($B157,INDIRECT($B$5&amp;"生成成长"),3))*(VLOOKUP($B$5,标准坦克设计!$B$14:$K$20,9)/30))</f>
        <v>4.9187844140070638</v>
      </c>
      <c r="BR157" s="173">
        <f ca="1">(VLOOKUP(BR$72,INDIRECT($C$5&amp;"生成成长"),2))/((VLOOKUP($B157,INDIRECT($B$5&amp;"生成成长"),4))/(VLOOKUP(BR$72,INDIRECT($C$5&amp;"生成成长"),5))*(VLOOKUP($B$5,标准坦克设计!$B$24:$U$30,MATCH("对"&amp;LEFT($C$5,2)&amp;"输出",标准坦克设计!$B$23:$U$23,0)))*(VLOOKUP($B157,INDIRECT($B$5&amp;"生成成长"),3))*(VLOOKUP($B$5,标准坦克设计!$B$14:$K$20,9)/30))</f>
        <v>5.3617031526007253</v>
      </c>
      <c r="BS157" s="173">
        <f ca="1">(VLOOKUP(BS$72,INDIRECT($C$5&amp;"生成成长"),2))/((VLOOKUP($B157,INDIRECT($B$5&amp;"生成成长"),4))/(VLOOKUP(BS$72,INDIRECT($C$5&amp;"生成成长"),5))*(VLOOKUP($B$5,标准坦克设计!$B$24:$U$30,MATCH("对"&amp;LEFT($C$5,2)&amp;"输出",标准坦克设计!$B$23:$U$23,0)))*(VLOOKUP($B157,INDIRECT($B$5&amp;"生成成长"),3))*(VLOOKUP($B$5,标准坦克设计!$B$14:$K$20,9)/30))</f>
        <v>5.8237132161337684</v>
      </c>
      <c r="BT157" s="173">
        <f ca="1">(VLOOKUP(BT$72,INDIRECT($C$5&amp;"生成成长"),2))/((VLOOKUP($B157,INDIRECT($B$5&amp;"生成成长"),4))/(VLOOKUP(BT$72,INDIRECT($C$5&amp;"生成成长"),5))*(VLOOKUP($B$5,标准坦克设计!$B$24:$U$30,MATCH("对"&amp;LEFT($C$5,2)&amp;"输出",标准坦克设计!$B$23:$U$23,0)))*(VLOOKUP($B157,INDIRECT($B$5&amp;"生成成长"),3))*(VLOOKUP($B$5,标准坦克设计!$B$14:$K$20,9)/30))</f>
        <v>6.3048146046061939</v>
      </c>
      <c r="BU157" s="173">
        <f ca="1">(VLOOKUP(BU$72,INDIRECT($C$5&amp;"生成成长"),2))/((VLOOKUP($B157,INDIRECT($B$5&amp;"生成成长"),4))/(VLOOKUP(BU$72,INDIRECT($C$5&amp;"生成成长"),5))*(VLOOKUP($B$5,标准坦克设计!$B$24:$U$30,MATCH("对"&amp;LEFT($C$5,2)&amp;"输出",标准坦克设计!$B$23:$U$23,0)))*(VLOOKUP($B157,INDIRECT($B$5&amp;"生成成长"),3))*(VLOOKUP($B$5,标准坦克设计!$B$14:$K$20,9)/30))</f>
        <v>6.8050073180180028</v>
      </c>
      <c r="BV157" s="173">
        <f ca="1">(VLOOKUP(BV$72,INDIRECT($C$5&amp;"生成成长"),2))/((VLOOKUP($B157,INDIRECT($B$5&amp;"生成成长"),4))/(VLOOKUP(BV$72,INDIRECT($C$5&amp;"生成成长"),5))*(VLOOKUP($B$5,标准坦克设计!$B$24:$U$30,MATCH("对"&amp;LEFT($C$5,2)&amp;"输出",标准坦克设计!$B$23:$U$23,0)))*(VLOOKUP($B157,INDIRECT($B$5&amp;"生成成长"),3))*(VLOOKUP($B$5,标准坦克设计!$B$14:$K$20,9)/30))</f>
        <v>7.3242913563691907</v>
      </c>
      <c r="BW157" s="173">
        <f ca="1">(VLOOKUP(BW$72,INDIRECT($C$5&amp;"生成成长"),2))/((VLOOKUP($B157,INDIRECT($B$5&amp;"生成成长"),4))/(VLOOKUP(BW$72,INDIRECT($C$5&amp;"生成成长"),5))*(VLOOKUP($B$5,标准坦克设计!$B$24:$U$30,MATCH("对"&amp;LEFT($C$5,2)&amp;"输出",标准坦克设计!$B$23:$U$23,0)))*(VLOOKUP($B157,INDIRECT($B$5&amp;"生成成长"),3))*(VLOOKUP($B$5,标准坦克设计!$B$14:$K$20,9)/30))</f>
        <v>3.3380227090262378</v>
      </c>
      <c r="BX157" s="173">
        <f ca="1">(VLOOKUP(BX$72,INDIRECT($C$5&amp;"生成成长"),2))/((VLOOKUP($B157,INDIRECT($B$5&amp;"生成成长"),4))/(VLOOKUP(BX$72,INDIRECT($C$5&amp;"生成成长"),5))*(VLOOKUP($B$5,标准坦克设计!$B$24:$U$30,MATCH("对"&amp;LEFT($C$5,2)&amp;"输出",标准坦克设计!$B$23:$U$23,0)))*(VLOOKUP($B157,INDIRECT($B$5&amp;"生成成长"),3))*(VLOOKUP($B$5,标准坦克设计!$B$14:$K$20,9)/30))</f>
        <v>3.704576147862372</v>
      </c>
      <c r="BY157" s="173">
        <f ca="1">(VLOOKUP(BY$72,INDIRECT($C$5&amp;"生成成长"),2))/((VLOOKUP($B157,INDIRECT($B$5&amp;"生成成长"),4))/(VLOOKUP(BY$72,INDIRECT($C$5&amp;"生成成长"),5))*(VLOOKUP($B$5,标准坦克设计!$B$24:$U$30,MATCH("对"&amp;LEFT($C$5,2)&amp;"输出",标准坦克设计!$B$23:$U$23,0)))*(VLOOKUP($B157,INDIRECT($B$5&amp;"生成成长"),3))*(VLOOKUP($B$5,标准坦克设计!$B$14:$K$20,9)/30))</f>
        <v>4.0902209116378874</v>
      </c>
      <c r="BZ157" s="173">
        <f ca="1">(VLOOKUP(BZ$72,INDIRECT($C$5&amp;"生成成长"),2))/((VLOOKUP($B157,INDIRECT($B$5&amp;"生成成长"),4))/(VLOOKUP(BZ$72,INDIRECT($C$5&amp;"生成成长"),5))*(VLOOKUP($B$5,标准坦克设计!$B$24:$U$30,MATCH("对"&amp;LEFT($C$5,2)&amp;"输出",标准坦克设计!$B$23:$U$23,0)))*(VLOOKUP($B157,INDIRECT($B$5&amp;"生成成长"),3))*(VLOOKUP($B$5,标准坦克设计!$B$14:$K$20,9)/30))</f>
        <v>4.4949570003527839</v>
      </c>
      <c r="CA157" s="173">
        <f ca="1">(VLOOKUP(CA$72,INDIRECT($C$5&amp;"生成成长"),2))/((VLOOKUP($B157,INDIRECT($B$5&amp;"生成成长"),4))/(VLOOKUP(CA$72,INDIRECT($C$5&amp;"生成成长"),5))*(VLOOKUP($B$5,标准坦克设计!$B$24:$U$30,MATCH("对"&amp;LEFT($C$5,2)&amp;"输出",标准坦克设计!$B$23:$U$23,0)))*(VLOOKUP($B157,INDIRECT($B$5&amp;"生成成长"),3))*(VLOOKUP($B$5,标准坦克设计!$B$14:$K$20,9)/30))</f>
        <v>4.9187844140070638</v>
      </c>
      <c r="CB157" s="173">
        <f ca="1">(VLOOKUP(CB$72,INDIRECT($C$5&amp;"生成成长"),2))/((VLOOKUP($B157,INDIRECT($B$5&amp;"生成成长"),4))/(VLOOKUP(CB$72,INDIRECT($C$5&amp;"生成成长"),5))*(VLOOKUP($B$5,标准坦克设计!$B$24:$U$30,MATCH("对"&amp;LEFT($C$5,2)&amp;"输出",标准坦克设计!$B$23:$U$23,0)))*(VLOOKUP($B157,INDIRECT($B$5&amp;"生成成长"),3))*(VLOOKUP($B$5,标准坦克设计!$B$14:$K$20,9)/30))</f>
        <v>5.3617031526007253</v>
      </c>
      <c r="CC157" s="173">
        <f ca="1">(VLOOKUP(CC$72,INDIRECT($C$5&amp;"生成成长"),2))/((VLOOKUP($B157,INDIRECT($B$5&amp;"生成成长"),4))/(VLOOKUP(CC$72,INDIRECT($C$5&amp;"生成成长"),5))*(VLOOKUP($B$5,标准坦克设计!$B$24:$U$30,MATCH("对"&amp;LEFT($C$5,2)&amp;"输出",标准坦克设计!$B$23:$U$23,0)))*(VLOOKUP($B157,INDIRECT($B$5&amp;"生成成长"),3))*(VLOOKUP($B$5,标准坦克设计!$B$14:$K$20,9)/30))</f>
        <v>5.8237132161337684</v>
      </c>
      <c r="CD157" s="173">
        <f ca="1">(VLOOKUP(CD$72,INDIRECT($C$5&amp;"生成成长"),2))/((VLOOKUP($B157,INDIRECT($B$5&amp;"生成成长"),4))/(VLOOKUP(CD$72,INDIRECT($C$5&amp;"生成成长"),5))*(VLOOKUP($B$5,标准坦克设计!$B$24:$U$30,MATCH("对"&amp;LEFT($C$5,2)&amp;"输出",标准坦克设计!$B$23:$U$23,0)))*(VLOOKUP($B157,INDIRECT($B$5&amp;"生成成长"),3))*(VLOOKUP($B$5,标准坦克设计!$B$14:$K$20,9)/30))</f>
        <v>6.3048146046061939</v>
      </c>
      <c r="CE157" s="173">
        <f ca="1">(VLOOKUP(CE$72,INDIRECT($C$5&amp;"生成成长"),2))/((VLOOKUP($B157,INDIRECT($B$5&amp;"生成成长"),4))/(VLOOKUP(CE$72,INDIRECT($C$5&amp;"生成成长"),5))*(VLOOKUP($B$5,标准坦克设计!$B$24:$U$30,MATCH("对"&amp;LEFT($C$5,2)&amp;"输出",标准坦克设计!$B$23:$U$23,0)))*(VLOOKUP($B157,INDIRECT($B$5&amp;"生成成长"),3))*(VLOOKUP($B$5,标准坦克设计!$B$14:$K$20,9)/30))</f>
        <v>6.8050073180180028</v>
      </c>
      <c r="CF157" s="173">
        <f ca="1">(VLOOKUP(CF$72,INDIRECT($C$5&amp;"生成成长"),2))/((VLOOKUP($B157,INDIRECT($B$5&amp;"生成成长"),4))/(VLOOKUP(CF$72,INDIRECT($C$5&amp;"生成成长"),5))*(VLOOKUP($B$5,标准坦克设计!$B$24:$U$30,MATCH("对"&amp;LEFT($C$5,2)&amp;"输出",标准坦克设计!$B$23:$U$23,0)))*(VLOOKUP($B157,INDIRECT($B$5&amp;"生成成长"),3))*(VLOOKUP($B$5,标准坦克设计!$B$14:$K$20,9)/30))</f>
        <v>7.3242913563691907</v>
      </c>
      <c r="CG157" s="173">
        <f ca="1">(VLOOKUP(CG$72,INDIRECT($C$5&amp;"生成成长"),2))/((VLOOKUP($B157,INDIRECT($B$5&amp;"生成成长"),4))/(VLOOKUP(CG$72,INDIRECT($C$5&amp;"生成成长"),5))*(VLOOKUP($B$5,标准坦克设计!$B$24:$U$30,MATCH("对"&amp;LEFT($C$5,2)&amp;"输出",标准坦克设计!$B$23:$U$23,0)))*(VLOOKUP($B157,INDIRECT($B$5&amp;"生成成长"),3))*(VLOOKUP($B$5,标准坦克设计!$B$14:$K$20,9)/30))</f>
        <v>7.8626667196597602</v>
      </c>
      <c r="CH157" s="173">
        <f ca="1">(VLOOKUP(CH$72,INDIRECT($C$5&amp;"生成成长"),2))/((VLOOKUP($B157,INDIRECT($B$5&amp;"生成成长"),4))/(VLOOKUP(CH$72,INDIRECT($C$5&amp;"生成成长"),5))*(VLOOKUP($B$5,标准坦克设计!$B$24:$U$30,MATCH("对"&amp;LEFT($C$5,2)&amp;"输出",标准坦克设计!$B$23:$U$23,0)))*(VLOOKUP($B157,INDIRECT($B$5&amp;"生成成长"),3))*(VLOOKUP($B$5,标准坦克设计!$B$14:$K$20,9)/30))</f>
        <v>8.4201334078897165</v>
      </c>
      <c r="CI157" s="173">
        <f ca="1">(VLOOKUP(CI$72,INDIRECT($C$5&amp;"生成成长"),2))/((VLOOKUP($B157,INDIRECT($B$5&amp;"生成成长"),4))/(VLOOKUP(CI$72,INDIRECT($C$5&amp;"生成成长"),5))*(VLOOKUP($B$5,标准坦克设计!$B$24:$U$30,MATCH("对"&amp;LEFT($C$5,2)&amp;"输出",标准坦克设计!$B$23:$U$23,0)))*(VLOOKUP($B157,INDIRECT($B$5&amp;"生成成长"),3))*(VLOOKUP($B$5,标准坦克设计!$B$14:$K$20,9)/30))</f>
        <v>9.0553972452476508</v>
      </c>
      <c r="CJ157" s="173">
        <f ca="1">(VLOOKUP(CJ$72,INDIRECT($C$5&amp;"生成成长"),2))/((VLOOKUP($B157,INDIRECT($B$5&amp;"生成成长"),4))/(VLOOKUP(CJ$72,INDIRECT($C$5&amp;"生成成长"),5))*(VLOOKUP($B$5,标准坦克设计!$B$24:$U$30,MATCH("对"&amp;LEFT($C$5,2)&amp;"输出",标准坦克设计!$B$23:$U$23,0)))*(VLOOKUP($B157,INDIRECT($B$5&amp;"生成成长"),3))*(VLOOKUP($B$5,标准坦克设计!$B$14:$K$20,9)/30))</f>
        <v>9.713761585782235</v>
      </c>
      <c r="CK157" s="173">
        <f ca="1">(VLOOKUP(CK$72,INDIRECT($C$5&amp;"生成成长"),2))/((VLOOKUP($B157,INDIRECT($B$5&amp;"生成成长"),4))/(VLOOKUP(CK$72,INDIRECT($C$5&amp;"生成成长"),5))*(VLOOKUP($B$5,标准坦克设计!$B$24:$U$30,MATCH("对"&amp;LEFT($C$5,2)&amp;"输出",标准坦克设计!$B$23:$U$23,0)))*(VLOOKUP($B157,INDIRECT($B$5&amp;"生成成长"),3))*(VLOOKUP($B$5,标准坦克设计!$B$14:$K$20,9)/30))</f>
        <v>10.395226429493476</v>
      </c>
      <c r="CL157" s="173">
        <f ca="1">(VLOOKUP(CL$72,INDIRECT($C$5&amp;"生成成长"),2))/((VLOOKUP($B157,INDIRECT($B$5&amp;"生成成长"),4))/(VLOOKUP(CL$72,INDIRECT($C$5&amp;"生成成长"),5))*(VLOOKUP($B$5,标准坦克设计!$B$24:$U$30,MATCH("对"&amp;LEFT($C$5,2)&amp;"输出",标准坦克设计!$B$23:$U$23,0)))*(VLOOKUP($B157,INDIRECT($B$5&amp;"生成成长"),3))*(VLOOKUP($B$5,标准坦克设计!$B$14:$K$20,9)/30))</f>
        <v>11.099791776381366</v>
      </c>
      <c r="CM157" s="173">
        <f ca="1">(VLOOKUP(CM$72,INDIRECT($C$5&amp;"生成成长"),2))/((VLOOKUP($B157,INDIRECT($B$5&amp;"生成成长"),4))/(VLOOKUP(CM$72,INDIRECT($C$5&amp;"生成成长"),5))*(VLOOKUP($B$5,标准坦克设计!$B$24:$U$30,MATCH("对"&amp;LEFT($C$5,2)&amp;"输出",标准坦克设计!$B$23:$U$23,0)))*(VLOOKUP($B157,INDIRECT($B$5&amp;"生成成长"),3))*(VLOOKUP($B$5,标准坦克设计!$B$14:$K$20,9)/30))</f>
        <v>11.827457626445911</v>
      </c>
      <c r="CN157" s="173">
        <f ca="1">(VLOOKUP(CN$72,INDIRECT($C$5&amp;"生成成长"),2))/((VLOOKUP($B157,INDIRECT($B$5&amp;"生成成长"),4))/(VLOOKUP(CN$72,INDIRECT($C$5&amp;"生成成长"),5))*(VLOOKUP($B$5,标准坦克设计!$B$24:$U$30,MATCH("对"&amp;LEFT($C$5,2)&amp;"输出",标准坦克设计!$B$23:$U$23,0)))*(VLOOKUP($B157,INDIRECT($B$5&amp;"生成成长"),3))*(VLOOKUP($B$5,标准坦克设计!$B$14:$K$20,9)/30))</f>
        <v>12.578223979687104</v>
      </c>
      <c r="CO157" s="173">
        <f ca="1">(VLOOKUP(CO$72,INDIRECT($C$5&amp;"生成成长"),2))/((VLOOKUP($B157,INDIRECT($B$5&amp;"生成成长"),4))/(VLOOKUP(CO$72,INDIRECT($C$5&amp;"生成成长"),5))*(VLOOKUP($B$5,标准坦克设计!$B$24:$U$30,MATCH("对"&amp;LEFT($C$5,2)&amp;"输出",标准坦克设计!$B$23:$U$23,0)))*(VLOOKUP($B157,INDIRECT($B$5&amp;"生成成长"),3))*(VLOOKUP($B$5,标准坦克设计!$B$14:$K$20,9)/30))</f>
        <v>5.6366182317278248</v>
      </c>
      <c r="CP157" s="173">
        <f ca="1">(VLOOKUP(CP$72,INDIRECT($C$5&amp;"生成成长"),2))/((VLOOKUP($B157,INDIRECT($B$5&amp;"生成成长"),4))/(VLOOKUP(CP$72,INDIRECT($C$5&amp;"生成成长"),5))*(VLOOKUP($B$5,标准坦克设计!$B$24:$U$30,MATCH("对"&amp;LEFT($C$5,2)&amp;"输出",标准坦克设计!$B$23:$U$23,0)))*(VLOOKUP($B157,INDIRECT($B$5&amp;"生成成长"),3))*(VLOOKUP($B$5,标准坦克设计!$B$14:$K$20,9)/30))</f>
        <v>6.1584795989458314</v>
      </c>
      <c r="CQ157" s="173">
        <f ca="1">(VLOOKUP(CQ$72,INDIRECT($C$5&amp;"生成成长"),2))/((VLOOKUP($B157,INDIRECT($B$5&amp;"生成成长"),4))/(VLOOKUP(CQ$72,INDIRECT($C$5&amp;"生成成长"),5))*(VLOOKUP($B$5,标准坦克设计!$B$24:$U$30,MATCH("对"&amp;LEFT($C$5,2)&amp;"输出",标准坦克设计!$B$23:$U$23,0)))*(VLOOKUP($B157,INDIRECT($B$5&amp;"生成成长"),3))*(VLOOKUP($B$5,标准坦克设计!$B$14:$K$20,9)/30))</f>
        <v>6.703441469340488</v>
      </c>
      <c r="CR157" s="173">
        <f ca="1">(VLOOKUP(CR$72,INDIRECT($C$5&amp;"生成成长"),2))/((VLOOKUP($B157,INDIRECT($B$5&amp;"生成成长"),4))/(VLOOKUP(CR$72,INDIRECT($C$5&amp;"生成成长"),5))*(VLOOKUP($B$5,标准坦克设计!$B$24:$U$30,MATCH("对"&amp;LEFT($C$5,2)&amp;"输出",标准坦克设计!$B$23:$U$23,0)))*(VLOOKUP($B157,INDIRECT($B$5&amp;"生成成长"),3))*(VLOOKUP($B$5,标准坦克设计!$B$14:$K$20,9)/30))</f>
        <v>7.2715038429117991</v>
      </c>
      <c r="CS157" s="173">
        <f ca="1">(VLOOKUP(CS$72,INDIRECT($C$5&amp;"生成成长"),2))/((VLOOKUP($B157,INDIRECT($B$5&amp;"生成成长"),4))/(VLOOKUP(CS$72,INDIRECT($C$5&amp;"生成成长"),5))*(VLOOKUP($B$5,标准坦克设计!$B$24:$U$30,MATCH("对"&amp;LEFT($C$5,2)&amp;"输出",标准坦克设计!$B$23:$U$23,0)))*(VLOOKUP($B157,INDIRECT($B$5&amp;"生成成长"),3))*(VLOOKUP($B$5,标准坦克设计!$B$14:$K$20,9)/30))</f>
        <v>7.8626667196597602</v>
      </c>
      <c r="CT157" s="173">
        <f ca="1">(VLOOKUP(CT$72,INDIRECT($C$5&amp;"生成成长"),2))/((VLOOKUP($B157,INDIRECT($B$5&amp;"生成成长"),4))/(VLOOKUP(CT$72,INDIRECT($C$5&amp;"生成成长"),5))*(VLOOKUP($B$5,标准坦克设计!$B$24:$U$30,MATCH("对"&amp;LEFT($C$5,2)&amp;"输出",标准坦克设计!$B$23:$U$23,0)))*(VLOOKUP($B157,INDIRECT($B$5&amp;"生成成长"),3))*(VLOOKUP($B$5,标准坦克设计!$B$14:$K$20,9)/30))</f>
        <v>8.4769300995843757</v>
      </c>
      <c r="CU157" s="173">
        <f ca="1">(VLOOKUP(CU$72,INDIRECT($C$5&amp;"生成成长"),2))/((VLOOKUP($B157,INDIRECT($B$5&amp;"生成成长"),4))/(VLOOKUP(CU$72,INDIRECT($C$5&amp;"生成成长"),5))*(VLOOKUP($B$5,标准坦克设计!$B$24:$U$30,MATCH("对"&amp;LEFT($C$5,2)&amp;"输出",标准坦克设计!$B$23:$U$23,0)))*(VLOOKUP($B157,INDIRECT($B$5&amp;"生成成长"),3))*(VLOOKUP($B$5,标准坦克设计!$B$14:$K$20,9)/30))</f>
        <v>9.1142939826856413</v>
      </c>
      <c r="CV157" s="173">
        <f ca="1">(VLOOKUP(CV$72,INDIRECT($C$5&amp;"生成成长"),2))/((VLOOKUP($B157,INDIRECT($B$5&amp;"生成成长"),4))/(VLOOKUP(CV$72,INDIRECT($C$5&amp;"生成成长"),5))*(VLOOKUP($B$5,标准坦克设计!$B$24:$U$30,MATCH("对"&amp;LEFT($C$5,2)&amp;"输出",标准坦克设计!$B$23:$U$23,0)))*(VLOOKUP($B157,INDIRECT($B$5&amp;"生成成长"),3))*(VLOOKUP($B$5,标准坦克设计!$B$14:$K$20,9)/30))</f>
        <v>9.7747583689635622</v>
      </c>
      <c r="CW157" s="173">
        <f ca="1">(VLOOKUP(CW$72,INDIRECT($C$5&amp;"生成成长"),2))/((VLOOKUP($B157,INDIRECT($B$5&amp;"生成成长"),4))/(VLOOKUP(CW$72,INDIRECT($C$5&amp;"生成成长"),5))*(VLOOKUP($B$5,标准坦克设计!$B$24:$U$30,MATCH("对"&amp;LEFT($C$5,2)&amp;"输出",标准坦克设计!$B$23:$U$23,0)))*(VLOOKUP($B157,INDIRECT($B$5&amp;"生成成长"),3))*(VLOOKUP($B$5,标准坦克设计!$B$14:$K$20,9)/30))</f>
        <v>10.458323258418131</v>
      </c>
      <c r="CX157" s="173">
        <f ca="1">(VLOOKUP(CX$72,INDIRECT($C$5&amp;"生成成长"),2))/((VLOOKUP($B157,INDIRECT($B$5&amp;"生成成长"),4))/(VLOOKUP(CX$72,INDIRECT($C$5&amp;"生成成长"),5))*(VLOOKUP($B$5,标准坦克设计!$B$24:$U$30,MATCH("对"&amp;LEFT($C$5,2)&amp;"输出",标准坦克设计!$B$23:$U$23,0)))*(VLOOKUP($B157,INDIRECT($B$5&amp;"生成成长"),3))*(VLOOKUP($B$5,标准坦克设计!$B$14:$K$20,9)/30))</f>
        <v>11.164988651049356</v>
      </c>
      <c r="CY157" s="173">
        <f ca="1">(VLOOKUP(CY$72,INDIRECT($C$5&amp;"生成成长"),2))/((VLOOKUP($B157,INDIRECT($B$5&amp;"生成成长"),4))/(VLOOKUP(CY$72,INDIRECT($C$5&amp;"生成成长"),5))*(VLOOKUP($B$5,标准坦克设计!$B$24:$U$30,MATCH("对"&amp;LEFT($C$5,2)&amp;"输出",标准坦克设计!$B$23:$U$23,0)))*(VLOOKUP($B157,INDIRECT($B$5&amp;"生成成长"),3))*(VLOOKUP($B$5,标准坦克设计!$B$14:$K$20,9)/30))</f>
        <v>11.89475454685723</v>
      </c>
      <c r="CZ157" s="173">
        <f ca="1">(VLOOKUP(CZ$72,INDIRECT($C$5&amp;"生成成长"),2))/((VLOOKUP($B157,INDIRECT($B$5&amp;"生成成长"),4))/(VLOOKUP(CZ$72,INDIRECT($C$5&amp;"生成成长"),5))*(VLOOKUP($B$5,标准坦克设计!$B$24:$U$30,MATCH("对"&amp;LEFT($C$5,2)&amp;"输出",标准坦克设计!$B$23:$U$23,0)))*(VLOOKUP($B157,INDIRECT($B$5&amp;"生成成长"),3))*(VLOOKUP($B$5,标准坦克设计!$B$14:$K$20,9)/30))</f>
        <v>12.647620945841759</v>
      </c>
      <c r="DA157" s="173">
        <f ca="1">(VLOOKUP(DA$72,INDIRECT($C$5&amp;"生成成长"),2))/((VLOOKUP($B157,INDIRECT($B$5&amp;"生成成长"),4))/(VLOOKUP(DA$72,INDIRECT($C$5&amp;"生成成长"),5))*(VLOOKUP($B$5,标准坦克设计!$B$24:$U$30,MATCH("对"&amp;LEFT($C$5,2)&amp;"输出",标准坦克设计!$B$23:$U$23,0)))*(VLOOKUP($B157,INDIRECT($B$5&amp;"生成成长"),3))*(VLOOKUP($B$5,标准坦克设计!$B$14:$K$20,9)/30))</f>
        <v>13.423587848002937</v>
      </c>
      <c r="DB157" s="173">
        <f ca="1">(VLOOKUP(DB$72,INDIRECT($C$5&amp;"生成成长"),2))/((VLOOKUP($B157,INDIRECT($B$5&amp;"生成成长"),4))/(VLOOKUP(DB$72,INDIRECT($C$5&amp;"生成成长"),5))*(VLOOKUP($B$5,标准坦克设计!$B$24:$U$30,MATCH("对"&amp;LEFT($C$5,2)&amp;"输出",标准坦克设计!$B$23:$U$23,0)))*(VLOOKUP($B157,INDIRECT($B$5&amp;"生成成长"),3))*(VLOOKUP($B$5,标准坦克设计!$B$14:$K$20,9)/30))</f>
        <v>14.222655253340768</v>
      </c>
      <c r="DC157" s="173">
        <f ca="1">(VLOOKUP(DC$72,INDIRECT($C$5&amp;"生成成长"),2))/((VLOOKUP($B157,INDIRECT($B$5&amp;"生成成长"),4))/(VLOOKUP(DC$72,INDIRECT($C$5&amp;"生成成长"),5))*(VLOOKUP($B$5,标准坦克设计!$B$24:$U$30,MATCH("对"&amp;LEFT($C$5,2)&amp;"输出",标准坦克设计!$B$23:$U$23,0)))*(VLOOKUP($B157,INDIRECT($B$5&amp;"生成成长"),3))*(VLOOKUP($B$5,标准坦克设计!$B$14:$K$20,9)/30))</f>
        <v>15.120711178489296</v>
      </c>
      <c r="DD157" s="173">
        <f ca="1">(VLOOKUP(DD$72,INDIRECT($C$5&amp;"生成成长"),2))/((VLOOKUP($B157,INDIRECT($B$5&amp;"生成成长"),4))/(VLOOKUP(DD$72,INDIRECT($C$5&amp;"生成成长"),5))*(VLOOKUP($B$5,标准坦克设计!$B$24:$U$30,MATCH("对"&amp;LEFT($C$5,2)&amp;"输出",标准坦克设计!$B$23:$U$23,0)))*(VLOOKUP($B157,INDIRECT($B$5&amp;"生成成长"),3))*(VLOOKUP($B$5,标准坦克设计!$B$14:$K$20,9)/30))</f>
        <v>16.046258611550535</v>
      </c>
      <c r="DE157" s="173">
        <f ca="1">(VLOOKUP(DE$72,INDIRECT($C$5&amp;"生成成长"),2))/((VLOOKUP($B157,INDIRECT($B$5&amp;"生成成长"),4))/(VLOOKUP(DE$72,INDIRECT($C$5&amp;"生成成长"),5))*(VLOOKUP($B$5,标准坦克设计!$B$24:$U$30,MATCH("对"&amp;LEFT($C$5,2)&amp;"输出",标准坦克设计!$B$23:$U$23,0)))*(VLOOKUP($B157,INDIRECT($B$5&amp;"生成成长"),3))*(VLOOKUP($B$5,标准坦克设计!$B$14:$K$20,9)/30))</f>
        <v>16.999297552524482</v>
      </c>
      <c r="DF157" s="173">
        <f ca="1">(VLOOKUP(DF$72,INDIRECT($C$5&amp;"生成成长"),2))/((VLOOKUP($B157,INDIRECT($B$5&amp;"生成成长"),4))/(VLOOKUP(DF$72,INDIRECT($C$5&amp;"生成成长"),5))*(VLOOKUP($B$5,标准坦克设计!$B$24:$U$30,MATCH("对"&amp;LEFT($C$5,2)&amp;"输出",标准坦克设计!$B$23:$U$23,0)))*(VLOOKUP($B157,INDIRECT($B$5&amp;"生成成长"),3))*(VLOOKUP($B$5,标准坦克设计!$B$14:$K$20,9)/30))</f>
        <v>17.979828001411136</v>
      </c>
      <c r="DG157" s="173">
        <f ca="1">(VLOOKUP(DG$72,INDIRECT($C$5&amp;"生成成长"),2))/((VLOOKUP($B157,INDIRECT($B$5&amp;"生成成长"),4))/(VLOOKUP(DG$72,INDIRECT($C$5&amp;"生成成长"),5))*(VLOOKUP($B$5,标准坦克设计!$B$24:$U$30,MATCH("对"&amp;LEFT($C$5,2)&amp;"输出",标准坦克设计!$B$23:$U$23,0)))*(VLOOKUP($B157,INDIRECT($B$5&amp;"生成成长"),3))*(VLOOKUP($B$5,标准坦克设计!$B$14:$K$20,9)/30))</f>
        <v>18.987849958210507</v>
      </c>
      <c r="DH157" s="173">
        <f ca="1">(VLOOKUP(DH$72,INDIRECT($C$5&amp;"生成成长"),2))/((VLOOKUP($B157,INDIRECT($B$5&amp;"生成成长"),4))/(VLOOKUP(DH$72,INDIRECT($C$5&amp;"生成成长"),5))*(VLOOKUP($B$5,标准坦克设计!$B$24:$U$30,MATCH("对"&amp;LEFT($C$5,2)&amp;"输出",标准坦克设计!$B$23:$U$23,0)))*(VLOOKUP($B157,INDIRECT($B$5&amp;"生成成长"),3))*(VLOOKUP($B$5,标准坦克设计!$B$14:$K$20,9)/30))</f>
        <v>20.023363422922586</v>
      </c>
      <c r="DI157" s="173">
        <f ca="1">(VLOOKUP(DI$72,INDIRECT($C$5&amp;"生成成长"),2))/((VLOOKUP($B157,INDIRECT($B$5&amp;"生成成长"),4))/(VLOOKUP(DI$72,INDIRECT($C$5&amp;"生成成长"),5))*(VLOOKUP($B$5,标准坦克设计!$B$24:$U$30,MATCH("对"&amp;LEFT($C$5,2)&amp;"输出",标准坦克设计!$B$23:$U$23,0)))*(VLOOKUP($B157,INDIRECT($B$5&amp;"生成成长"),3))*(VLOOKUP($B$5,标准坦克设计!$B$14:$K$20,9)/30))</f>
        <v>21.086368395547371</v>
      </c>
      <c r="DJ157" s="173">
        <f ca="1">(VLOOKUP(DJ$72,INDIRECT($C$5&amp;"生成成长"),2))/((VLOOKUP($B157,INDIRECT($B$5&amp;"生成成长"),4))/(VLOOKUP(DJ$72,INDIRECT($C$5&amp;"生成成长"),5))*(VLOOKUP($B$5,标准坦克设计!$B$24:$U$30,MATCH("对"&amp;LEFT($C$5,2)&amp;"输出",标准坦克设计!$B$23:$U$23,0)))*(VLOOKUP($B157,INDIRECT($B$5&amp;"生成成长"),3))*(VLOOKUP($B$5,标准坦克设计!$B$14:$K$20,9)/30))</f>
        <v>2.1192325248960939</v>
      </c>
      <c r="DK157" s="173">
        <f ca="1">(VLOOKUP(DK$72,INDIRECT($C$5&amp;"生成成长"),2))/((VLOOKUP($B157,INDIRECT($B$5&amp;"生成成长"),4))/(VLOOKUP(DK$72,INDIRECT($C$5&amp;"生成成长"),5))*(VLOOKUP($B$5,标准坦克设计!$B$24:$U$30,MATCH("对"&amp;LEFT($C$5,2)&amp;"输出",标准坦克设计!$B$23:$U$23,0)))*(VLOOKUP($B157,INDIRECT($B$5&amp;"生成成长"),3))*(VLOOKUP($B$5,标准坦克设计!$B$14:$K$20,9)/30))</f>
        <v>2.3829791789336561</v>
      </c>
      <c r="DL157" s="173">
        <f ca="1">(VLOOKUP(DL$72,INDIRECT($C$5&amp;"生成成长"),2))/((VLOOKUP($B157,INDIRECT($B$5&amp;"生成成长"),4))/(VLOOKUP(DL$72,INDIRECT($C$5&amp;"生成成长"),5))*(VLOOKUP($B$5,标准坦克设计!$B$24:$U$30,MATCH("对"&amp;LEFT($C$5,2)&amp;"输出",标准坦克设计!$B$23:$U$23,0)))*(VLOOKUP($B157,INDIRECT($B$5&amp;"生成成长"),3))*(VLOOKUP($B$5,标准坦克设计!$B$14:$K$20,9)/30))</f>
        <v>2.6621898061721163</v>
      </c>
      <c r="DM157" s="173">
        <f ca="1">(VLOOKUP(DM$72,INDIRECT($C$5&amp;"生成成长"),2))/((VLOOKUP($B157,INDIRECT($B$5&amp;"生成成长"),4))/(VLOOKUP(DM$72,INDIRECT($C$5&amp;"生成成长"),5))*(VLOOKUP($B$5,标准坦克设计!$B$24:$U$30,MATCH("对"&amp;LEFT($C$5,2)&amp;"输出",标准坦克设计!$B$23:$U$23,0)))*(VLOOKUP($B157,INDIRECT($B$5&amp;"生成成长"),3))*(VLOOKUP($B$5,标准坦克设计!$B$14:$K$20,9)/30))</f>
        <v>2.9568644066114778</v>
      </c>
      <c r="DN157" s="173">
        <f ca="1">(VLOOKUP(DN$72,INDIRECT($C$5&amp;"生成成长"),2))/((VLOOKUP($B157,INDIRECT($B$5&amp;"生成成长"),4))/(VLOOKUP(DN$72,INDIRECT($C$5&amp;"生成成长"),5))*(VLOOKUP($B$5,标准坦克设计!$B$24:$U$30,MATCH("对"&amp;LEFT($C$5,2)&amp;"输出",标准坦克设计!$B$23:$U$23,0)))*(VLOOKUP($B157,INDIRECT($B$5&amp;"生成成长"),3))*(VLOOKUP($B$5,标准坦克设计!$B$14:$K$20,9)/30))</f>
        <v>3.2670029802517373</v>
      </c>
      <c r="DO157" s="173">
        <f ca="1">(VLOOKUP(DO$72,INDIRECT($C$5&amp;"生成成长"),2))/((VLOOKUP($B157,INDIRECT($B$5&amp;"生成成长"),4))/(VLOOKUP(DO$72,INDIRECT($C$5&amp;"生成成长"),5))*(VLOOKUP($B$5,标准坦克设计!$B$24:$U$30,MATCH("对"&amp;LEFT($C$5,2)&amp;"输出",标准坦克设计!$B$23:$U$23,0)))*(VLOOKUP($B157,INDIRECT($B$5&amp;"生成成长"),3))*(VLOOKUP($B$5,标准坦克设计!$B$14:$K$20,9)/30))</f>
        <v>3.5926055270928967</v>
      </c>
      <c r="DP157" s="173">
        <f ca="1">(VLOOKUP(DP$72,INDIRECT($C$5&amp;"生成成长"),2))/((VLOOKUP($B157,INDIRECT($B$5&amp;"生成成长"),4))/(VLOOKUP(DP$72,INDIRECT($C$5&amp;"生成成长"),5))*(VLOOKUP($B$5,标准坦克设计!$B$24:$U$30,MATCH("对"&amp;LEFT($C$5,2)&amp;"输出",标准坦克设计!$B$23:$U$23,0)))*(VLOOKUP($B157,INDIRECT($B$5&amp;"生成成长"),3))*(VLOOKUP($B$5,标准坦克设计!$B$14:$K$20,9)/30))</f>
        <v>3.9336720471349551</v>
      </c>
      <c r="DQ157" s="173">
        <f ca="1">(VLOOKUP(DQ$72,INDIRECT($C$5&amp;"生成成长"),2))/((VLOOKUP($B157,INDIRECT($B$5&amp;"生成成长"),4))/(VLOOKUP(DQ$72,INDIRECT($C$5&amp;"生成成长"),5))*(VLOOKUP($B$5,标准坦克设计!$B$24:$U$30,MATCH("对"&amp;LEFT($C$5,2)&amp;"输出",标准坦克设计!$B$23:$U$23,0)))*(VLOOKUP($B157,INDIRECT($B$5&amp;"生成成长"),3))*(VLOOKUP($B$5,标准坦克设计!$B$14:$K$20,9)/30))</f>
        <v>4.2902025403779129</v>
      </c>
      <c r="DR157" s="173">
        <f ca="1">(VLOOKUP(DR$72,INDIRECT($C$5&amp;"生成成长"),2))/((VLOOKUP($B157,INDIRECT($B$5&amp;"生成成长"),4))/(VLOOKUP(DR$72,INDIRECT($C$5&amp;"生成成长"),5))*(VLOOKUP($B$5,标准坦克设计!$B$24:$U$30,MATCH("对"&amp;LEFT($C$5,2)&amp;"输出",标准坦克设计!$B$23:$U$23,0)))*(VLOOKUP($B157,INDIRECT($B$5&amp;"生成成长"),3))*(VLOOKUP($B$5,标准坦克设计!$B$14:$K$20,9)/30))</f>
        <v>4.6621970068217706</v>
      </c>
      <c r="DS157" s="173">
        <f ca="1">(VLOOKUP(DS$72,INDIRECT($C$5&amp;"生成成长"),2))/((VLOOKUP($B157,INDIRECT($B$5&amp;"生成成长"),4))/(VLOOKUP(DS$72,INDIRECT($C$5&amp;"生成成长"),5))*(VLOOKUP($B$5,标准坦克设计!$B$24:$U$30,MATCH("对"&amp;LEFT($C$5,2)&amp;"输出",标准坦克设计!$B$23:$U$23,0)))*(VLOOKUP($B157,INDIRECT($B$5&amp;"生成成长"),3))*(VLOOKUP($B$5,标准坦克设计!$B$14:$K$20,9)/30))</f>
        <v>5.0496554464665273</v>
      </c>
      <c r="DT157" s="173">
        <f ca="1">(VLOOKUP(DT$72,INDIRECT($C$5&amp;"生成成长"),2))/((VLOOKUP($B157,INDIRECT($B$5&amp;"生成成长"),4))/(VLOOKUP(DT$72,INDIRECT($C$5&amp;"生成成长"),5))*(VLOOKUP($B$5,标准坦克设计!$B$24:$U$30,MATCH("对"&amp;LEFT($C$5,2)&amp;"输出",标准坦克设计!$B$23:$U$23,0)))*(VLOOKUP($B157,INDIRECT($B$5&amp;"生成成长"),3))*(VLOOKUP($B$5,标准坦克设计!$B$14:$K$20,9)/30))</f>
        <v>5.5442162190212176</v>
      </c>
      <c r="DU157" s="173">
        <f ca="1">(VLOOKUP(DU$72,INDIRECT($C$5&amp;"生成成长"),2))/((VLOOKUP($B157,INDIRECT($B$5&amp;"生成成长"),4))/(VLOOKUP(DU$72,INDIRECT($C$5&amp;"生成成长"),5))*(VLOOKUP($B$5,标准坦克设计!$B$24:$U$30,MATCH("对"&amp;LEFT($C$5,2)&amp;"输出",标准坦克设计!$B$23:$U$23,0)))*(VLOOKUP($B157,INDIRECT($B$5&amp;"生成成长"),3))*(VLOOKUP($B$5,标准坦克设计!$B$14:$K$20,9)/30))</f>
        <v>6.061877494752558</v>
      </c>
      <c r="DV157" s="173">
        <f ca="1">(VLOOKUP(DV$72,INDIRECT($C$5&amp;"生成成长"),2))/((VLOOKUP($B157,INDIRECT($B$5&amp;"生成成长"),4))/(VLOOKUP(DV$72,INDIRECT($C$5&amp;"生成成长"),5))*(VLOOKUP($B$5,标准坦克设计!$B$24:$U$30,MATCH("对"&amp;LEFT($C$5,2)&amp;"输出",标准坦克设计!$B$23:$U$23,0)))*(VLOOKUP($B157,INDIRECT($B$5&amp;"生成成长"),3))*(VLOOKUP($B$5,标准坦克设计!$B$14:$K$20,9)/30))</f>
        <v>6.6026392736605528</v>
      </c>
      <c r="DW157" s="173">
        <f ca="1">(VLOOKUP(DW$72,INDIRECT($C$5&amp;"生成成长"),2))/((VLOOKUP($B157,INDIRECT($B$5&amp;"生成成长"),4))/(VLOOKUP(DW$72,INDIRECT($C$5&amp;"生成成长"),5))*(VLOOKUP($B$5,标准坦克设计!$B$24:$U$30,MATCH("对"&amp;LEFT($C$5,2)&amp;"输出",标准坦克设计!$B$23:$U$23,0)))*(VLOOKUP($B157,INDIRECT($B$5&amp;"生成成长"),3))*(VLOOKUP($B$5,标准坦克设计!$B$14:$K$20,9)/30))</f>
        <v>7.1665015557451994</v>
      </c>
      <c r="DX157" s="173">
        <f ca="1">(VLOOKUP(DX$72,INDIRECT($C$5&amp;"生成成长"),2))/((VLOOKUP($B157,INDIRECT($B$5&amp;"生成成长"),4))/(VLOOKUP(DX$72,INDIRECT($C$5&amp;"生成成长"),5))*(VLOOKUP($B$5,标准坦克设计!$B$24:$U$30,MATCH("对"&amp;LEFT($C$5,2)&amp;"输出",标准坦克设计!$B$23:$U$23,0)))*(VLOOKUP($B157,INDIRECT($B$5&amp;"生成成长"),3))*(VLOOKUP($B$5,标准坦克设计!$B$14:$K$20,9)/30))</f>
        <v>7.7534643410064952</v>
      </c>
      <c r="DY157" s="173">
        <f ca="1">(VLOOKUP(DY$72,INDIRECT($C$5&amp;"生成成长"),2))/((VLOOKUP($B157,INDIRECT($B$5&amp;"生成成长"),4))/(VLOOKUP(DY$72,INDIRECT($C$5&amp;"生成成长"),5))*(VLOOKUP($B$5,标准坦克设计!$B$24:$U$30,MATCH("对"&amp;LEFT($C$5,2)&amp;"输出",标准坦克设计!$B$23:$U$23,0)))*(VLOOKUP($B157,INDIRECT($B$5&amp;"生成成长"),3))*(VLOOKUP($B$5,标准坦克设计!$B$14:$K$20,9)/30))</f>
        <v>3.4823531255679656</v>
      </c>
      <c r="DZ157" s="173">
        <f ca="1">(VLOOKUP(DZ$72,INDIRECT($C$5&amp;"生成成长"),2))/((VLOOKUP($B157,INDIRECT($B$5&amp;"生成成长"),4))/(VLOOKUP(DZ$72,INDIRECT($C$5&amp;"生成成长"),5))*(VLOOKUP($B$5,标准坦克设计!$B$24:$U$30,MATCH("对"&amp;LEFT($C$5,2)&amp;"输出",标准坦克设计!$B$23:$U$23,0)))*(VLOOKUP($B157,INDIRECT($B$5&amp;"生成成长"),3))*(VLOOKUP($B$5,标准坦克设计!$B$14:$K$20,9)/30))</f>
        <v>3.8565430943798522</v>
      </c>
      <c r="EA157" s="173">
        <f ca="1">(VLOOKUP(EA$72,INDIRECT($C$5&amp;"生成成长"),2))/((VLOOKUP($B157,INDIRECT($B$5&amp;"生成成长"),4))/(VLOOKUP(EA$72,INDIRECT($C$5&amp;"生成成长"),5))*(VLOOKUP($B$5,标准坦克设计!$B$24:$U$30,MATCH("对"&amp;LEFT($C$5,2)&amp;"输出",标准坦克设计!$B$23:$U$23,0)))*(VLOOKUP($B157,INDIRECT($B$5&amp;"生成成长"),3))*(VLOOKUP($B$5,标准坦克设计!$B$14:$K$20,9)/30))</f>
        <v>4.2498243881311204</v>
      </c>
      <c r="EB157" s="173">
        <f ca="1">(VLOOKUP(EB$72,INDIRECT($C$5&amp;"生成成长"),2))/((VLOOKUP($B157,INDIRECT($B$5&amp;"生成成长"),4))/(VLOOKUP(EB$72,INDIRECT($C$5&amp;"生成成长"),5))*(VLOOKUP($B$5,标准坦克设计!$B$24:$U$30,MATCH("对"&amp;LEFT($C$5,2)&amp;"输出",标准坦克设计!$B$23:$U$23,0)))*(VLOOKUP($B157,INDIRECT($B$5&amp;"生成成长"),3))*(VLOOKUP($B$5,标准坦克设计!$B$14:$K$20,9)/30))</f>
        <v>4.6621970068217706</v>
      </c>
      <c r="EC157" s="173">
        <f ca="1">(VLOOKUP(EC$72,INDIRECT($C$5&amp;"生成成长"),2))/((VLOOKUP($B157,INDIRECT($B$5&amp;"生成成长"),4))/(VLOOKUP(EC$72,INDIRECT($C$5&amp;"生成成长"),5))*(VLOOKUP($B$5,标准坦克设计!$B$24:$U$30,MATCH("对"&amp;LEFT($C$5,2)&amp;"输出",标准坦克设计!$B$23:$U$23,0)))*(VLOOKUP($B157,INDIRECT($B$5&amp;"生成成长"),3))*(VLOOKUP($B$5,标准坦克设计!$B$14:$K$20,9)/30))</f>
        <v>5.0936609504518024</v>
      </c>
      <c r="ED157" s="173">
        <f ca="1">(VLOOKUP(ED$72,INDIRECT($C$5&amp;"生成成长"),2))/((VLOOKUP($B157,INDIRECT($B$5&amp;"生成成长"),4))/(VLOOKUP(ED$72,INDIRECT($C$5&amp;"生成成长"),5))*(VLOOKUP($B$5,标准坦克设计!$B$24:$U$30,MATCH("对"&amp;LEFT($C$5,2)&amp;"输出",标准坦克设计!$B$23:$U$23,0)))*(VLOOKUP($B157,INDIRECT($B$5&amp;"生成成长"),3))*(VLOOKUP($B$5,标准坦克设计!$B$14:$K$20,9)/30))</f>
        <v>5.5442162190212176</v>
      </c>
      <c r="EE157" s="173">
        <f ca="1">(VLOOKUP(EE$72,INDIRECT($C$5&amp;"生成成长"),2))/((VLOOKUP($B157,INDIRECT($B$5&amp;"生成成长"),4))/(VLOOKUP(EE$72,INDIRECT($C$5&amp;"生成成长"),5))*(VLOOKUP($B$5,标准坦克设计!$B$24:$U$30,MATCH("对"&amp;LEFT($C$5,2)&amp;"输出",标准坦克设计!$B$23:$U$23,0)))*(VLOOKUP($B157,INDIRECT($B$5&amp;"生成成长"),3))*(VLOOKUP($B$5,标准坦克设计!$B$14:$K$20,9)/30))</f>
        <v>6.0138628125300126</v>
      </c>
      <c r="EF157" s="173">
        <f ca="1">(VLOOKUP(EF$72,INDIRECT($C$5&amp;"生成成长"),2))/((VLOOKUP($B157,INDIRECT($B$5&amp;"生成成长"),4))/(VLOOKUP(EF$72,INDIRECT($C$5&amp;"生成成长"),5))*(VLOOKUP($B$5,标准坦克设计!$B$24:$U$30,MATCH("对"&amp;LEFT($C$5,2)&amp;"输出",标准坦克设计!$B$23:$U$23,0)))*(VLOOKUP($B157,INDIRECT($B$5&amp;"生成成长"),3))*(VLOOKUP($B$5,标准坦克设计!$B$14:$K$20,9)/30))</f>
        <v>6.5026007309781919</v>
      </c>
      <c r="EG157" s="173">
        <f ca="1">(VLOOKUP(EG$72,INDIRECT($C$5&amp;"生成成长"),2))/((VLOOKUP($B157,INDIRECT($B$5&amp;"生成成长"),4))/(VLOOKUP(EG$72,INDIRECT($C$5&amp;"生成成长"),5))*(VLOOKUP($B$5,标准坦克设计!$B$24:$U$30,MATCH("对"&amp;LEFT($C$5,2)&amp;"输出",标准坦克设计!$B$23:$U$23,0)))*(VLOOKUP($B157,INDIRECT($B$5&amp;"生成成长"),3))*(VLOOKUP($B$5,标准坦克设计!$B$14:$K$20,9)/30))</f>
        <v>7.010429974365751</v>
      </c>
      <c r="EH157" s="173">
        <f ca="1">(VLOOKUP(EH$72,INDIRECT($C$5&amp;"生成成长"),2))/((VLOOKUP($B157,INDIRECT($B$5&amp;"生成成长"),4))/(VLOOKUP(EH$72,INDIRECT($C$5&amp;"生成成长"),5))*(VLOOKUP($B$5,标准坦克设计!$B$24:$U$30,MATCH("对"&amp;LEFT($C$5,2)&amp;"输出",标准坦克设计!$B$23:$U$23,0)))*(VLOOKUP($B157,INDIRECT($B$5&amp;"生成成长"),3))*(VLOOKUP($B$5,标准坦克设计!$B$14:$K$20,9)/30))</f>
        <v>7.5373505426926926</v>
      </c>
      <c r="EI157" s="173">
        <f ca="1">(VLOOKUP(EI$72,INDIRECT($C$5&amp;"生成成长"),2))/((VLOOKUP($B157,INDIRECT($B$5&amp;"生成成长"),4))/(VLOOKUP(EI$72,INDIRECT($C$5&amp;"生成成长"),5))*(VLOOKUP($B$5,标准坦克设计!$B$24:$U$30,MATCH("对"&amp;LEFT($C$5,2)&amp;"输出",标准坦克设计!$B$23:$U$23,0)))*(VLOOKUP($B157,INDIRECT($B$5&amp;"生成成长"),3))*(VLOOKUP($B$5,标准坦克设计!$B$14:$K$20,9)/30))</f>
        <v>8.0833624359590175</v>
      </c>
      <c r="EJ157" s="173">
        <f ca="1">(VLOOKUP(EJ$72,INDIRECT($C$5&amp;"生成成长"),2))/((VLOOKUP($B157,INDIRECT($B$5&amp;"生成成长"),4))/(VLOOKUP(EJ$72,INDIRECT($C$5&amp;"生成成长"),5))*(VLOOKUP($B$5,标准坦克设计!$B$24:$U$30,MATCH("对"&amp;LEFT($C$5,2)&amp;"输出",标准坦克设计!$B$23:$U$23,0)))*(VLOOKUP($B157,INDIRECT($B$5&amp;"生成成长"),3))*(VLOOKUP($B$5,标准坦克设计!$B$14:$K$20,9)/30))</f>
        <v>8.6484656541647222</v>
      </c>
      <c r="EK157" s="173">
        <f ca="1">(VLOOKUP(EK$72,INDIRECT($C$5&amp;"生成成长"),2))/((VLOOKUP($B157,INDIRECT($B$5&amp;"生成成长"),4))/(VLOOKUP(EK$72,INDIRECT($C$5&amp;"生成成长"),5))*(VLOOKUP($B$5,标准坦克设计!$B$24:$U$30,MATCH("对"&amp;LEFT($C$5,2)&amp;"输出",标准坦克设计!$B$23:$U$23,0)))*(VLOOKUP($B157,INDIRECT($B$5&amp;"生成成长"),3))*(VLOOKUP($B$5,标准坦克设计!$B$14:$K$20,9)/30))</f>
        <v>9.3517900649315546</v>
      </c>
      <c r="EL157" s="173">
        <f ca="1">(VLOOKUP(EL$72,INDIRECT($C$5&amp;"生成成长"),2))/((VLOOKUP($B157,INDIRECT($B$5&amp;"生成成长"),4))/(VLOOKUP(EL$72,INDIRECT($C$5&amp;"生成成长"),5))*(VLOOKUP($B$5,标准坦克设计!$B$24:$U$30,MATCH("对"&amp;LEFT($C$5,2)&amp;"输出",标准坦克设计!$B$23:$U$23,0)))*(VLOOKUP($B157,INDIRECT($B$5&amp;"生成成长"),3))*(VLOOKUP($B$5,标准坦克设计!$B$14:$K$20,9)/30))</f>
        <v>10.082605983611092</v>
      </c>
      <c r="EM157" s="173">
        <f ca="1">(VLOOKUP(EM$72,INDIRECT($C$5&amp;"生成成长"),2))/((VLOOKUP($B157,INDIRECT($B$5&amp;"生成成长"),4))/(VLOOKUP(EM$72,INDIRECT($C$5&amp;"生成成长"),5))*(VLOOKUP($B$5,标准坦克设计!$B$24:$U$30,MATCH("对"&amp;LEFT($C$5,2)&amp;"输出",标准坦克设计!$B$23:$U$23,0)))*(VLOOKUP($B157,INDIRECT($B$5&amp;"生成成长"),3))*(VLOOKUP($B$5,标准坦克设计!$B$14:$K$20,9)/30))</f>
        <v>10.840913410203347</v>
      </c>
      <c r="EN157" s="173">
        <f ca="1">(VLOOKUP(EN$72,INDIRECT($C$5&amp;"生成成长"),2))/((VLOOKUP($B157,INDIRECT($B$5&amp;"生成成长"),4))/(VLOOKUP(EN$72,INDIRECT($C$5&amp;"生成成长"),5))*(VLOOKUP($B$5,标准坦克设计!$B$24:$U$30,MATCH("对"&amp;LEFT($C$5,2)&amp;"输出",标准坦克设计!$B$23:$U$23,0)))*(VLOOKUP($B157,INDIRECT($B$5&amp;"生成成长"),3))*(VLOOKUP($B$5,标准坦克设计!$B$14:$K$20,9)/30))</f>
        <v>11.626712344708308</v>
      </c>
      <c r="EO157" s="173">
        <f ca="1">(VLOOKUP(EO$72,INDIRECT($C$5&amp;"生成成长"),2))/((VLOOKUP($B157,INDIRECT($B$5&amp;"生成成长"),4))/(VLOOKUP(EO$72,INDIRECT($C$5&amp;"生成成长"),5))*(VLOOKUP($B$5,标准坦克设计!$B$24:$U$30,MATCH("对"&amp;LEFT($C$5,2)&amp;"输出",标准坦克设计!$B$23:$U$23,0)))*(VLOOKUP($B157,INDIRECT($B$5&amp;"生成成长"),3))*(VLOOKUP($B$5,标准坦克设计!$B$14:$K$20,9)/30))</f>
        <v>12.440002787125982</v>
      </c>
      <c r="EP157" s="173">
        <f ca="1">(VLOOKUP(EP$72,INDIRECT($C$5&amp;"生成成长"),2))/((VLOOKUP($B157,INDIRECT($B$5&amp;"生成成长"),4))/(VLOOKUP(EP$72,INDIRECT($C$5&amp;"生成成长"),5))*(VLOOKUP($B$5,标准坦克设计!$B$24:$U$30,MATCH("对"&amp;LEFT($C$5,2)&amp;"输出",标准坦克设计!$B$23:$U$23,0)))*(VLOOKUP($B157,INDIRECT($B$5&amp;"生成成长"),3))*(VLOOKUP($B$5,标准坦克设计!$B$14:$K$20,9)/30))</f>
        <v>13.280784737456361</v>
      </c>
      <c r="EQ157" s="173">
        <f ca="1">(VLOOKUP(EQ$72,INDIRECT($C$5&amp;"生成成长"),2))/((VLOOKUP($B157,INDIRECT($B$5&amp;"生成成长"),4))/(VLOOKUP(EQ$72,INDIRECT($C$5&amp;"生成成长"),5))*(VLOOKUP($B$5,标准坦克设计!$B$24:$U$30,MATCH("对"&amp;LEFT($C$5,2)&amp;"输出",标准坦克设计!$B$23:$U$23,0)))*(VLOOKUP($B157,INDIRECT($B$5&amp;"生成成长"),3))*(VLOOKUP($B$5,标准坦克设计!$B$14:$K$20,9)/30))</f>
        <v>5.8709642453587394</v>
      </c>
      <c r="ER157" s="173">
        <f ca="1">(VLOOKUP(ER$72,INDIRECT($C$5&amp;"生成成长"),2))/((VLOOKUP($B157,INDIRECT($B$5&amp;"生成成长"),4))/(VLOOKUP(ER$72,INDIRECT($C$5&amp;"生成成长"),5))*(VLOOKUP($B$5,标准坦克设计!$B$24:$U$30,MATCH("对"&amp;LEFT($C$5,2)&amp;"输出",标准坦克设计!$B$23:$U$23,0)))*(VLOOKUP($B157,INDIRECT($B$5&amp;"生成成长"),3))*(VLOOKUP($B$5,标准坦克设计!$B$14:$K$20,9)/30))</f>
        <v>6.4033258412934053</v>
      </c>
      <c r="ES157" s="173">
        <f ca="1">(VLOOKUP(ES$72,INDIRECT($C$5&amp;"生成成长"),2))/((VLOOKUP($B157,INDIRECT($B$5&amp;"生成成长"),4))/(VLOOKUP(ES$72,INDIRECT($C$5&amp;"生成成长"),5))*(VLOOKUP($B$5,标准坦克设计!$B$24:$U$30,MATCH("对"&amp;LEFT($C$5,2)&amp;"输出",标准坦克设计!$B$23:$U$23,0)))*(VLOOKUP($B157,INDIRECT($B$5&amp;"生成成长"),3))*(VLOOKUP($B$5,标准坦克设计!$B$14:$K$20,9)/30))</f>
        <v>6.958787940404723</v>
      </c>
      <c r="ET157" s="173">
        <f ca="1">(VLOOKUP(ET$72,INDIRECT($C$5&amp;"生成成长"),2))/((VLOOKUP($B157,INDIRECT($B$5&amp;"生成成长"),4))/(VLOOKUP(ET$72,INDIRECT($C$5&amp;"生成成长"),5))*(VLOOKUP($B$5,标准坦克设计!$B$24:$U$30,MATCH("对"&amp;LEFT($C$5,2)&amp;"输出",标准坦克设计!$B$23:$U$23,0)))*(VLOOKUP($B157,INDIRECT($B$5&amp;"生成成长"),3))*(VLOOKUP($B$5,标准坦克设计!$B$14:$K$20,9)/30))</f>
        <v>7.5373505426926926</v>
      </c>
      <c r="EU157" s="173">
        <f ca="1">(VLOOKUP(EU$72,INDIRECT($C$5&amp;"生成成长"),2))/((VLOOKUP($B157,INDIRECT($B$5&amp;"生成成长"),4))/(VLOOKUP(EU$72,INDIRECT($C$5&amp;"生成成长"),5))*(VLOOKUP($B$5,标准坦克设计!$B$24:$U$30,MATCH("对"&amp;LEFT($C$5,2)&amp;"输出",标准坦克设计!$B$23:$U$23,0)))*(VLOOKUP($B157,INDIRECT($B$5&amp;"生成成长"),3))*(VLOOKUP($B$5,标准坦克设计!$B$14:$K$20,9)/30))</f>
        <v>8.1390136481573148</v>
      </c>
      <c r="EV157" s="173">
        <f ca="1">(VLOOKUP(EV$72,INDIRECT($C$5&amp;"生成成长"),2))/((VLOOKUP($B157,INDIRECT($B$5&amp;"生成成长"),4))/(VLOOKUP(EV$72,INDIRECT($C$5&amp;"生成成长"),5))*(VLOOKUP($B$5,标准坦克设计!$B$24:$U$30,MATCH("对"&amp;LEFT($C$5,2)&amp;"输出",标准坦克设计!$B$23:$U$23,0)))*(VLOOKUP($B157,INDIRECT($B$5&amp;"生成成长"),3))*(VLOOKUP($B$5,标准坦克设计!$B$14:$K$20,9)/30))</f>
        <v>8.7637772567985888</v>
      </c>
      <c r="EW157" s="173">
        <f ca="1">(VLOOKUP(EW$72,INDIRECT($C$5&amp;"生成成长"),2))/((VLOOKUP($B157,INDIRECT($B$5&amp;"生成成长"),4))/(VLOOKUP(EW$72,INDIRECT($C$5&amp;"生成成长"),5))*(VLOOKUP($B$5,标准坦克设计!$B$24:$U$30,MATCH("对"&amp;LEFT($C$5,2)&amp;"输出",标准坦克设计!$B$23:$U$23,0)))*(VLOOKUP($B157,INDIRECT($B$5&amp;"生成成长"),3))*(VLOOKUP($B$5,标准坦克设计!$B$14:$K$20,9)/30))</f>
        <v>9.4116413686165163</v>
      </c>
      <c r="EX157" s="173">
        <f ca="1">(VLOOKUP(EX$72,INDIRECT($C$5&amp;"生成成长"),2))/((VLOOKUP($B157,INDIRECT($B$5&amp;"生成成长"),4))/(VLOOKUP(EX$72,INDIRECT($C$5&amp;"生成成长"),5))*(VLOOKUP($B$5,标准坦克设计!$B$24:$U$30,MATCH("对"&amp;LEFT($C$5,2)&amp;"输出",标准坦克设计!$B$23:$U$23,0)))*(VLOOKUP($B157,INDIRECT($B$5&amp;"生成成长"),3))*(VLOOKUP($B$5,标准坦克设计!$B$14:$K$20,9)/30))</f>
        <v>10.082605983611092</v>
      </c>
      <c r="EY157" s="173">
        <f ca="1">(VLOOKUP(EY$72,INDIRECT($C$5&amp;"生成成长"),2))/((VLOOKUP($B157,INDIRECT($B$5&amp;"生成成长"),4))/(VLOOKUP(EY$72,INDIRECT($C$5&amp;"生成成长"),5))*(VLOOKUP($B$5,标准坦克设计!$B$24:$U$30,MATCH("对"&amp;LEFT($C$5,2)&amp;"输出",标准坦克设计!$B$23:$U$23,0)))*(VLOOKUP($B157,INDIRECT($B$5&amp;"生成成长"),3))*(VLOOKUP($B$5,标准坦克设计!$B$14:$K$20,9)/30))</f>
        <v>10.776671101782327</v>
      </c>
      <c r="EZ157" s="173">
        <f ca="1">(VLOOKUP(EZ$72,INDIRECT($C$5&amp;"生成成长"),2))/((VLOOKUP($B157,INDIRECT($B$5&amp;"生成成长"),4))/(VLOOKUP(EZ$72,INDIRECT($C$5&amp;"生成成长"),5))*(VLOOKUP($B$5,标准坦克设计!$B$24:$U$30,MATCH("对"&amp;LEFT($C$5,2)&amp;"输出",标准坦克设计!$B$23:$U$23,0)))*(VLOOKUP($B157,INDIRECT($B$5&amp;"生成成长"),3))*(VLOOKUP($B$5,标准坦克设计!$B$14:$K$20,9)/30))</f>
        <v>11.493836723130208</v>
      </c>
      <c r="FA157" s="173">
        <f ca="1">(VLOOKUP(FA$72,INDIRECT($C$5&amp;"生成成长"),2))/((VLOOKUP($B157,INDIRECT($B$5&amp;"生成成长"),4))/(VLOOKUP(FA$72,INDIRECT($C$5&amp;"生成成长"),5))*(VLOOKUP($B$5,标准坦克设计!$B$24:$U$30,MATCH("对"&amp;LEFT($C$5,2)&amp;"输出",标准坦克设计!$B$23:$U$23,0)))*(VLOOKUP($B157,INDIRECT($B$5&amp;"生成成长"),3))*(VLOOKUP($B$5,标准坦克设计!$B$14:$K$20,9)/30))</f>
        <v>12.234102847654746</v>
      </c>
      <c r="FB157" s="173">
        <f ca="1">(VLOOKUP(FB$72,INDIRECT($C$5&amp;"生成成长"),2))/((VLOOKUP($B157,INDIRECT($B$5&amp;"生成成长"),4))/(VLOOKUP(FB$72,INDIRECT($C$5&amp;"生成成长"),5))*(VLOOKUP($B$5,标准坦克设计!$B$24:$U$30,MATCH("对"&amp;LEFT($C$5,2)&amp;"输出",标准坦克设计!$B$23:$U$23,0)))*(VLOOKUP($B157,INDIRECT($B$5&amp;"生成成长"),3))*(VLOOKUP($B$5,标准坦克设计!$B$14:$K$20,9)/30))</f>
        <v>12.997469475355931</v>
      </c>
      <c r="FC157" s="173">
        <f ca="1">(VLOOKUP(FC$72,INDIRECT($C$5&amp;"生成成长"),2))/((VLOOKUP($B157,INDIRECT($B$5&amp;"生成成长"),4))/(VLOOKUP(FC$72,INDIRECT($C$5&amp;"生成成长"),5))*(VLOOKUP($B$5,标准坦克设计!$B$24:$U$30,MATCH("对"&amp;LEFT($C$5,2)&amp;"输出",标准坦克设计!$B$23:$U$23,0)))*(VLOOKUP($B157,INDIRECT($B$5&amp;"生成成长"),3))*(VLOOKUP($B$5,标准坦克设计!$B$14:$K$20,9)/30))</f>
        <v>13.783936606233773</v>
      </c>
      <c r="FD157" s="173">
        <f ca="1">(VLOOKUP(FD$72,INDIRECT($C$5&amp;"生成成长"),2))/((VLOOKUP($B157,INDIRECT($B$5&amp;"生成成长"),4))/(VLOOKUP(FD$72,INDIRECT($C$5&amp;"生成成长"),5))*(VLOOKUP($B$5,标准坦克设计!$B$24:$U$30,MATCH("对"&amp;LEFT($C$5,2)&amp;"输出",标准坦克设计!$B$23:$U$23,0)))*(VLOOKUP($B157,INDIRECT($B$5&amp;"生成成长"),3))*(VLOOKUP($B$5,标准坦克设计!$B$14:$K$20,9)/30))</f>
        <v>14.593504240288265</v>
      </c>
      <c r="FE157" s="173">
        <f ca="1">(VLOOKUP(FE$72,INDIRECT($C$5&amp;"生成成长"),2))/((VLOOKUP($B157,INDIRECT($B$5&amp;"生成成长"),4))/(VLOOKUP(FE$72,INDIRECT($C$5&amp;"生成成长"),5))*(VLOOKUP($B$5,标准坦克设计!$B$24:$U$30,MATCH("对"&amp;LEFT($C$5,2)&amp;"输出",标准坦克设计!$B$23:$U$23,0)))*(VLOOKUP($B157,INDIRECT($B$5&amp;"生成成长"),3))*(VLOOKUP($B$5,标准坦克设计!$B$14:$K$20,9)/30))</f>
        <v>15.580048456530825</v>
      </c>
      <c r="FF157" s="173">
        <f ca="1">(VLOOKUP(FF$72,INDIRECT($C$5&amp;"生成成长"),2))/((VLOOKUP($B157,INDIRECT($B$5&amp;"生成成长"),4))/(VLOOKUP(FF$72,INDIRECT($C$5&amp;"生成成长"),5))*(VLOOKUP($B$5,标准坦克设计!$B$24:$U$30,MATCH("对"&amp;LEFT($C$5,2)&amp;"输出",标准坦克设计!$B$23:$U$23,0)))*(VLOOKUP($B157,INDIRECT($B$5&amp;"生成成长"),3))*(VLOOKUP($B$5,标准坦克设计!$B$14:$K$20,9)/30))</f>
        <v>16.598857011920945</v>
      </c>
      <c r="FG157" s="173">
        <f ca="1">(VLOOKUP(FG$72,INDIRECT($C$5&amp;"生成成长"),2))/((VLOOKUP($B157,INDIRECT($B$5&amp;"生成成长"),4))/(VLOOKUP(FG$72,INDIRECT($C$5&amp;"生成成长"),5))*(VLOOKUP($B$5,标准坦克设计!$B$24:$U$30,MATCH("对"&amp;LEFT($C$5,2)&amp;"输出",标准坦克设计!$B$23:$U$23,0)))*(VLOOKUP($B157,INDIRECT($B$5&amp;"生成成长"),3))*(VLOOKUP($B$5,标准坦克设计!$B$14:$K$20,9)/30))</f>
        <v>17.64992990645862</v>
      </c>
      <c r="FH157" s="173">
        <f ca="1">(VLOOKUP(FH$72,INDIRECT($C$5&amp;"生成成长"),2))/((VLOOKUP($B157,INDIRECT($B$5&amp;"生成成长"),4))/(VLOOKUP(FH$72,INDIRECT($C$5&amp;"生成成长"),5))*(VLOOKUP($B$5,标准坦克设计!$B$24:$U$30,MATCH("对"&amp;LEFT($C$5,2)&amp;"输出",标准坦克设计!$B$23:$U$23,0)))*(VLOOKUP($B157,INDIRECT($B$5&amp;"生成成长"),3))*(VLOOKUP($B$5,标准坦克设计!$B$14:$K$20,9)/30))</f>
        <v>18.733267140143845</v>
      </c>
      <c r="FI157" s="173">
        <f ca="1">(VLOOKUP(FI$72,INDIRECT($C$5&amp;"生成成长"),2))/((VLOOKUP($B157,INDIRECT($B$5&amp;"生成成长"),4))/(VLOOKUP(FI$72,INDIRECT($C$5&amp;"生成成长"),5))*(VLOOKUP($B$5,标准坦克设计!$B$24:$U$30,MATCH("对"&amp;LEFT($C$5,2)&amp;"输出",标准坦克设计!$B$23:$U$23,0)))*(VLOOKUP($B157,INDIRECT($B$5&amp;"生成成长"),3))*(VLOOKUP($B$5,标准坦克设计!$B$14:$K$20,9)/30))</f>
        <v>19.848868712976632</v>
      </c>
      <c r="FJ157" s="173">
        <f ca="1">(VLOOKUP(FJ$72,INDIRECT($C$5&amp;"生成成长"),2))/((VLOOKUP($B157,INDIRECT($B$5&amp;"生成成长"),4))/(VLOOKUP(FJ$72,INDIRECT($C$5&amp;"生成成长"),5))*(VLOOKUP($B$5,标准坦克设计!$B$24:$U$30,MATCH("对"&amp;LEFT($C$5,2)&amp;"输出",标准坦克设计!$B$23:$U$23,0)))*(VLOOKUP($B157,INDIRECT($B$5&amp;"生成成长"),3))*(VLOOKUP($B$5,标准坦克设计!$B$14:$K$20,9)/30))</f>
        <v>20.996734624956968</v>
      </c>
      <c r="FK157" s="173">
        <f ca="1">(VLOOKUP(FK$72,INDIRECT($C$5&amp;"生成成长"),2))/((VLOOKUP($B157,INDIRECT($B$5&amp;"生成成长"),4))/(VLOOKUP(FK$72,INDIRECT($C$5&amp;"生成成长"),5))*(VLOOKUP($B$5,标准坦克设计!$B$24:$U$30,MATCH("对"&amp;LEFT($C$5,2)&amp;"输出",标准坦克设计!$B$23:$U$23,0)))*(VLOOKUP($B157,INDIRECT($B$5&amp;"生成成长"),3))*(VLOOKUP($B$5,标准坦克设计!$B$14:$K$20,9)/30))</f>
        <v>22.176864876084871</v>
      </c>
    </row>
    <row r="158" spans="1:167" x14ac:dyDescent="0.15">
      <c r="A158" s="171" t="str">
        <f t="shared" si="12"/>
        <v>T4中品质14级</v>
      </c>
      <c r="B158" s="172">
        <v>20414</v>
      </c>
      <c r="C158" s="173">
        <f ca="1">(VLOOKUP(C$72,INDIRECT($C$5&amp;"生成成长"),2))/((VLOOKUP($B158,INDIRECT($B$5&amp;"生成成长"),4))/(VLOOKUP(C$72,INDIRECT($C$5&amp;"生成成长"),5))*(VLOOKUP($B$5,标准坦克设计!$B$24:$U$30,MATCH("对"&amp;LEFT($C$5,2)&amp;"输出",标准坦克设计!$B$23:$U$23,0)))*(VLOOKUP($B158,INDIRECT($B$5&amp;"生成成长"),3))*(VLOOKUP($B$5,标准坦克设计!$B$14:$K$20,9)/30))</f>
        <v>0.89262181769252591</v>
      </c>
      <c r="D158" s="173">
        <f ca="1">(VLOOKUP(D$72,INDIRECT($C$5&amp;"生成成长"),2))/((VLOOKUP($B158,INDIRECT($B$5&amp;"生成成长"),4))/(VLOOKUP(D$72,INDIRECT($C$5&amp;"生成成长"),5))*(VLOOKUP($B$5,标准坦克设计!$B$24:$U$30,MATCH("对"&amp;LEFT($C$5,2)&amp;"输出",标准坦克设计!$B$23:$U$23,0)))*(VLOOKUP($B158,INDIRECT($B$5&amp;"生成成长"),3))*(VLOOKUP($B$5,标准坦克设计!$B$14:$K$20,9)/30))</f>
        <v>1.0029498743593219</v>
      </c>
      <c r="E158" s="173">
        <f ca="1">(VLOOKUP(E$72,INDIRECT($C$5&amp;"生成成长"),2))/((VLOOKUP($B158,INDIRECT($B$5&amp;"生成成长"),4))/(VLOOKUP(E$72,INDIRECT($C$5&amp;"生成成长"),5))*(VLOOKUP($B$5,标准坦克设计!$B$24:$U$30,MATCH("对"&amp;LEFT($C$5,2)&amp;"输出",标准坦克设计!$B$23:$U$23,0)))*(VLOOKUP($B158,INDIRECT($B$5&amp;"生成成长"),3))*(VLOOKUP($B$5,标准坦克设计!$B$14:$K$20,9)/30))</f>
        <v>1.1197048081135046</v>
      </c>
      <c r="F158" s="173">
        <f ca="1">(VLOOKUP(F$72,INDIRECT($C$5&amp;"生成成长"),2))/((VLOOKUP($B158,INDIRECT($B$5&amp;"生成成长"),4))/(VLOOKUP(F$72,INDIRECT($C$5&amp;"生成成长"),5))*(VLOOKUP($B$5,标准坦克设计!$B$24:$U$30,MATCH("对"&amp;LEFT($C$5,2)&amp;"输出",标准坦克设计!$B$23:$U$23,0)))*(VLOOKUP($B158,INDIRECT($B$5&amp;"生成成长"),3))*(VLOOKUP($B$5,标准坦克设计!$B$14:$K$20,9)/30))</f>
        <v>1.2428866189550731</v>
      </c>
      <c r="G158" s="173">
        <f ca="1">(VLOOKUP(G$72,INDIRECT($C$5&amp;"生成成长"),2))/((VLOOKUP($B158,INDIRECT($B$5&amp;"生成成长"),4))/(VLOOKUP(G$72,INDIRECT($C$5&amp;"生成成长"),5))*(VLOOKUP($B$5,标准坦克设计!$B$24:$U$30,MATCH("对"&amp;LEFT($C$5,2)&amp;"输出",标准坦克设计!$B$23:$U$23,0)))*(VLOOKUP($B158,INDIRECT($B$5&amp;"生成成长"),3))*(VLOOKUP($B$5,标准坦克设计!$B$14:$K$20,9)/30))</f>
        <v>1.372495306884028</v>
      </c>
      <c r="H158" s="173">
        <f ca="1">(VLOOKUP(H$72,INDIRECT($C$5&amp;"生成成长"),2))/((VLOOKUP($B158,INDIRECT($B$5&amp;"生成成长"),4))/(VLOOKUP(H$72,INDIRECT($C$5&amp;"生成成长"),5))*(VLOOKUP($B$5,标准坦克设计!$B$24:$U$30,MATCH("对"&amp;LEFT($C$5,2)&amp;"输出",标准坦克设计!$B$23:$U$23,0)))*(VLOOKUP($B158,INDIRECT($B$5&amp;"生成成长"),3))*(VLOOKUP($B$5,标准坦克设计!$B$14:$K$20,9)/30))</f>
        <v>1.2011119178870628</v>
      </c>
      <c r="I158" s="173">
        <f ca="1">(VLOOKUP(I$72,INDIRECT($C$5&amp;"生成成长"),2))/((VLOOKUP($B158,INDIRECT($B$5&amp;"生成成长"),4))/(VLOOKUP(I$72,INDIRECT($C$5&amp;"生成成长"),5))*(VLOOKUP($B$5,标准坦克设计!$B$24:$U$30,MATCH("对"&amp;LEFT($C$5,2)&amp;"输出",标准坦克设计!$B$23:$U$23,0)))*(VLOOKUP($B158,INDIRECT($B$5&amp;"生成成长"),3))*(VLOOKUP($B$5,标准坦克设计!$B$14:$K$20,9)/30))</f>
        <v>1.372495306884028</v>
      </c>
      <c r="J158" s="173">
        <f ca="1">(VLOOKUP(J$72,INDIRECT($C$5&amp;"生成成长"),2))/((VLOOKUP($B158,INDIRECT($B$5&amp;"生成成长"),4))/(VLOOKUP(J$72,INDIRECT($C$5&amp;"生成成长"),5))*(VLOOKUP($B$5,标准坦克设计!$B$24:$U$30,MATCH("对"&amp;LEFT($C$5,2)&amp;"输出",标准坦克设计!$B$23:$U$23,0)))*(VLOOKUP($B158,INDIRECT($B$5&amp;"生成成长"),3))*(VLOOKUP($B$5,标准坦克设计!$B$14:$K$20,9)/30))</f>
        <v>1.5553042551474574</v>
      </c>
      <c r="K158" s="173">
        <f ca="1">(VLOOKUP(K$72,INDIRECT($C$5&amp;"生成成长"),2))/((VLOOKUP($B158,INDIRECT($B$5&amp;"生成成长"),4))/(VLOOKUP(K$72,INDIRECT($C$5&amp;"生成成长"),5))*(VLOOKUP($B$5,标准坦克设计!$B$24:$U$30,MATCH("对"&amp;LEFT($C$5,2)&amp;"输出",标准坦克设计!$B$23:$U$23,0)))*(VLOOKUP($B158,INDIRECT($B$5&amp;"生成成长"),3))*(VLOOKUP($B$5,标准坦克设计!$B$14:$K$20,9)/30))</f>
        <v>1.7495387626773509</v>
      </c>
      <c r="L158" s="173">
        <f ca="1">(VLOOKUP(L$72,INDIRECT($C$5&amp;"生成成长"),2))/((VLOOKUP($B158,INDIRECT($B$5&amp;"生成成长"),4))/(VLOOKUP(L$72,INDIRECT($C$5&amp;"生成成长"),5))*(VLOOKUP($B$5,标准坦克设计!$B$24:$U$30,MATCH("对"&amp;LEFT($C$5,2)&amp;"输出",标准坦克设计!$B$23:$U$23,0)))*(VLOOKUP($B158,INDIRECT($B$5&amp;"生成成长"),3))*(VLOOKUP($B$5,标准坦克设计!$B$14:$K$20,9)/30))</f>
        <v>1.9551988294737088</v>
      </c>
      <c r="M158" s="173">
        <f ca="1">(VLOOKUP(M$72,INDIRECT($C$5&amp;"生成成长"),2))/((VLOOKUP($B158,INDIRECT($B$5&amp;"生成成长"),4))/(VLOOKUP(M$72,INDIRECT($C$5&amp;"生成成长"),5))*(VLOOKUP($B$5,标准坦克设计!$B$24:$U$30,MATCH("对"&amp;LEFT($C$5,2)&amp;"输出",标准坦克设计!$B$23:$U$23,0)))*(VLOOKUP($B158,INDIRECT($B$5&amp;"生成成长"),3))*(VLOOKUP($B$5,标准坦克设计!$B$14:$K$20,9)/30))</f>
        <v>2.172284455536531</v>
      </c>
      <c r="N158" s="173">
        <f ca="1">(VLOOKUP(N$72,INDIRECT($C$5&amp;"生成成长"),2))/((VLOOKUP($B158,INDIRECT($B$5&amp;"生成成长"),4))/(VLOOKUP(N$72,INDIRECT($C$5&amp;"生成成长"),5))*(VLOOKUP($B$5,标准坦克设计!$B$24:$U$30,MATCH("对"&amp;LEFT($C$5,2)&amp;"输出",标准坦克设计!$B$23:$U$23,0)))*(VLOOKUP($B158,INDIRECT($B$5&amp;"生成成长"),3))*(VLOOKUP($B$5,标准坦克设计!$B$14:$K$20,9)/30))</f>
        <v>2.4007956408658178</v>
      </c>
      <c r="O158" s="173">
        <f ca="1">(VLOOKUP(O$72,INDIRECT($C$5&amp;"生成成长"),2))/((VLOOKUP($B158,INDIRECT($B$5&amp;"生成成长"),4))/(VLOOKUP(O$72,INDIRECT($C$5&amp;"生成成长"),5))*(VLOOKUP($B$5,标准坦克设计!$B$24:$U$30,MATCH("对"&amp;LEFT($C$5,2)&amp;"输出",标准坦克设计!$B$23:$U$23,0)))*(VLOOKUP($B158,INDIRECT($B$5&amp;"生成成长"),3))*(VLOOKUP($B$5,标准坦克设计!$B$14:$K$20,9)/30))</f>
        <v>1.8253223549994462</v>
      </c>
      <c r="P158" s="173">
        <f ca="1">(VLOOKUP(P$72,INDIRECT($C$5&amp;"生成成长"),2))/((VLOOKUP($B158,INDIRECT($B$5&amp;"生成成长"),4))/(VLOOKUP(P$72,INDIRECT($C$5&amp;"生成成长"),5))*(VLOOKUP($B$5,标准坦克设计!$B$24:$U$30,MATCH("对"&amp;LEFT($C$5,2)&amp;"输出",标准坦克设计!$B$23:$U$23,0)))*(VLOOKUP($B158,INDIRECT($B$5&amp;"生成成长"),3))*(VLOOKUP($B$5,标准坦克设计!$B$14:$K$20,9)/30))</f>
        <v>2.0623134475968112</v>
      </c>
      <c r="Q158" s="173">
        <f ca="1">(VLOOKUP(Q$72,INDIRECT($C$5&amp;"生成成长"),2))/((VLOOKUP($B158,INDIRECT($B$5&amp;"生成成长"),4))/(VLOOKUP(Q$72,INDIRECT($C$5&amp;"生成成长"),5))*(VLOOKUP($B$5,标准坦克设计!$B$24:$U$30,MATCH("对"&amp;LEFT($C$5,2)&amp;"输出",标准坦克设计!$B$23:$U$23,0)))*(VLOOKUP($B158,INDIRECT($B$5&amp;"生成成长"),3))*(VLOOKUP($B$5,标准坦克设计!$B$14:$K$20,9)/30))</f>
        <v>2.3137650136407961</v>
      </c>
      <c r="R158" s="173">
        <f ca="1">(VLOOKUP(R$72,INDIRECT($C$5&amp;"生成成长"),2))/((VLOOKUP($B158,INDIRECT($B$5&amp;"生成成长"),4))/(VLOOKUP(R$72,INDIRECT($C$5&amp;"生成成长"),5))*(VLOOKUP($B$5,标准坦克设计!$B$24:$U$30,MATCH("对"&amp;LEFT($C$5,2)&amp;"输出",标准坦克设计!$B$23:$U$23,0)))*(VLOOKUP($B158,INDIRECT($B$5&amp;"生成成长"),3))*(VLOOKUP($B$5,标准坦克设计!$B$14:$K$20,9)/30))</f>
        <v>2.5796770531313995</v>
      </c>
      <c r="S158" s="173">
        <f ca="1">(VLOOKUP(S$72,INDIRECT($C$5&amp;"生成成长"),2))/((VLOOKUP($B158,INDIRECT($B$5&amp;"生成成长"),4))/(VLOOKUP(S$72,INDIRECT($C$5&amp;"生成成长"),5))*(VLOOKUP($B$5,标准坦克设计!$B$24:$U$30,MATCH("对"&amp;LEFT($C$5,2)&amp;"输出",标准坦克设计!$B$23:$U$23,0)))*(VLOOKUP($B158,INDIRECT($B$5&amp;"生成成长"),3))*(VLOOKUP($B$5,标准坦克设计!$B$14:$K$20,9)/30))</f>
        <v>2.8600495660686223</v>
      </c>
      <c r="T158" s="173">
        <f ca="1">(VLOOKUP(T$72,INDIRECT($C$5&amp;"生成成长"),2))/((VLOOKUP($B158,INDIRECT($B$5&amp;"生成成长"),4))/(VLOOKUP(T$72,INDIRECT($C$5&amp;"生成成长"),5))*(VLOOKUP($B$5,标准坦克设计!$B$24:$U$30,MATCH("对"&amp;LEFT($C$5,2)&amp;"输出",标准坦克设计!$B$23:$U$23,0)))*(VLOOKUP($B158,INDIRECT($B$5&amp;"生成成长"),3))*(VLOOKUP($B$5,标准坦克设计!$B$14:$K$20,9)/30))</f>
        <v>3.1548825524524631</v>
      </c>
      <c r="U158" s="173">
        <f ca="1">(VLOOKUP(U$72,INDIRECT($C$5&amp;"生成成长"),2))/((VLOOKUP($B158,INDIRECT($B$5&amp;"生成成长"),4))/(VLOOKUP(U$72,INDIRECT($C$5&amp;"生成成长"),5))*(VLOOKUP($B$5,标准坦克设计!$B$24:$U$30,MATCH("对"&amp;LEFT($C$5,2)&amp;"输出",标准坦克设计!$B$23:$U$23,0)))*(VLOOKUP($B158,INDIRECT($B$5&amp;"生成成长"),3))*(VLOOKUP($B$5,标准坦克设计!$B$14:$K$20,9)/30))</f>
        <v>3.4641760122829233</v>
      </c>
      <c r="V158" s="173">
        <f ca="1">(VLOOKUP(V$72,INDIRECT($C$5&amp;"生成成长"),2))/((VLOOKUP($B158,INDIRECT($B$5&amp;"生成成长"),4))/(VLOOKUP(V$72,INDIRECT($C$5&amp;"生成成长"),5))*(VLOOKUP($B$5,标准坦克设计!$B$24:$U$30,MATCH("对"&amp;LEFT($C$5,2)&amp;"输出",标准坦克设计!$B$23:$U$23,0)))*(VLOOKUP($B158,INDIRECT($B$5&amp;"生成成长"),3))*(VLOOKUP($B$5,标准坦克设计!$B$14:$K$20,9)/30))</f>
        <v>3.7879299455600028</v>
      </c>
      <c r="W158" s="173">
        <f ca="1">(VLOOKUP(W$72,INDIRECT($C$5&amp;"生成成长"),2))/((VLOOKUP($B158,INDIRECT($B$5&amp;"生成成长"),4))/(VLOOKUP(W$72,INDIRECT($C$5&amp;"生成成长"),5))*(VLOOKUP($B$5,标准坦克设计!$B$24:$U$30,MATCH("对"&amp;LEFT($C$5,2)&amp;"输出",标准坦克设计!$B$23:$U$23,0)))*(VLOOKUP($B158,INDIRECT($B$5&amp;"生成成长"),3))*(VLOOKUP($B$5,标准坦克设计!$B$14:$K$20,9)/30))</f>
        <v>4.1261443522837009</v>
      </c>
      <c r="X158" s="173">
        <f ca="1">(VLOOKUP(X$72,INDIRECT($C$5&amp;"生成成长"),2))/((VLOOKUP($B158,INDIRECT($B$5&amp;"生成成长"),4))/(VLOOKUP(X$72,INDIRECT($C$5&amp;"生成成长"),5))*(VLOOKUP($B$5,标准坦克设计!$B$24:$U$30,MATCH("对"&amp;LEFT($C$5,2)&amp;"输出",标准坦克设计!$B$23:$U$23,0)))*(VLOOKUP($B158,INDIRECT($B$5&amp;"生成成长"),3))*(VLOOKUP($B$5,标准坦克设计!$B$14:$K$20,9)/30))</f>
        <v>2.9893012052704999</v>
      </c>
      <c r="Y158" s="173">
        <f ca="1">(VLOOKUP(Y$72,INDIRECT($C$5&amp;"生成成长"),2))/((VLOOKUP($B158,INDIRECT($B$5&amp;"生成成长"),4))/(VLOOKUP(Y$72,INDIRECT($C$5&amp;"生成成长"),5))*(VLOOKUP($B$5,标准坦克设计!$B$24:$U$30,MATCH("对"&amp;LEFT($C$5,2)&amp;"输出",标准坦克设计!$B$23:$U$23,0)))*(VLOOKUP($B158,INDIRECT($B$5&amp;"生成成长"),3))*(VLOOKUP($B$5,标准坦克设计!$B$14:$K$20,9)/30))</f>
        <v>3.3249270087228893</v>
      </c>
      <c r="Z158" s="173">
        <f ca="1">(VLOOKUP(Z$72,INDIRECT($C$5&amp;"生成成长"),2))/((VLOOKUP($B158,INDIRECT($B$5&amp;"生成成长"),4))/(VLOOKUP(Z$72,INDIRECT($C$5&amp;"生成成长"),5))*(VLOOKUP($B$5,标准坦克设计!$B$24:$U$30,MATCH("对"&amp;LEFT($C$5,2)&amp;"输出",标准坦克设计!$B$23:$U$23,0)))*(VLOOKUP($B158,INDIRECT($B$5&amp;"生成成长"),3))*(VLOOKUP($B$5,标准坦克设计!$B$14:$K$20,9)/30))</f>
        <v>3.6784052485291294</v>
      </c>
      <c r="AA158" s="173">
        <f ca="1">(VLOOKUP(AA$72,INDIRECT($C$5&amp;"生成成长"),2))/((VLOOKUP($B158,INDIRECT($B$5&amp;"生成成长"),4))/(VLOOKUP(AA$72,INDIRECT($C$5&amp;"生成成长"),5))*(VLOOKUP($B$5,标准坦克设计!$B$24:$U$30,MATCH("对"&amp;LEFT($C$5,2)&amp;"输出",标准坦克设计!$B$23:$U$23,0)))*(VLOOKUP($B158,INDIRECT($B$5&amp;"生成成长"),3))*(VLOOKUP($B$5,标准坦克设计!$B$14:$K$20,9)/30))</f>
        <v>4.0497359246892204</v>
      </c>
      <c r="AB158" s="173">
        <f ca="1">(VLOOKUP(AB$72,INDIRECT($C$5&amp;"生成成长"),2))/((VLOOKUP($B158,INDIRECT($B$5&amp;"生成成长"),4))/(VLOOKUP(AB$72,INDIRECT($C$5&amp;"生成成长"),5))*(VLOOKUP($B$5,标准坦克设计!$B$24:$U$30,MATCH("对"&amp;LEFT($C$5,2)&amp;"输出",标准坦克设计!$B$23:$U$23,0)))*(VLOOKUP($B158,INDIRECT($B$5&amp;"生成成长"),3))*(VLOOKUP($B$5,标准坦克设计!$B$14:$K$20,9)/30))</f>
        <v>4.4389190372031617</v>
      </c>
      <c r="AC158" s="173">
        <f ca="1">(VLOOKUP(AC$72,INDIRECT($C$5&amp;"生成成长"),2))/((VLOOKUP($B158,INDIRECT($B$5&amp;"生成成长"),4))/(VLOOKUP(AC$72,INDIRECT($C$5&amp;"生成成长"),5))*(VLOOKUP($B$5,标准坦克设计!$B$24:$U$30,MATCH("对"&amp;LEFT($C$5,2)&amp;"输出",标准坦克设计!$B$23:$U$23,0)))*(VLOOKUP($B158,INDIRECT($B$5&amp;"生成成长"),3))*(VLOOKUP($B$5,标准坦克设计!$B$14:$K$20,9)/30))</f>
        <v>4.8459545860709543</v>
      </c>
      <c r="AD158" s="173">
        <f ca="1">(VLOOKUP(AD$72,INDIRECT($C$5&amp;"生成成长"),2))/((VLOOKUP($B158,INDIRECT($B$5&amp;"生成成长"),4))/(VLOOKUP(AD$72,INDIRECT($C$5&amp;"生成成长"),5))*(VLOOKUP($B$5,标准坦克设计!$B$24:$U$30,MATCH("对"&amp;LEFT($C$5,2)&amp;"输出",标准坦克设计!$B$23:$U$23,0)))*(VLOOKUP($B158,INDIRECT($B$5&amp;"生成成长"),3))*(VLOOKUP($B$5,标准坦克设计!$B$14:$K$20,9)/30))</f>
        <v>5.2708425712925964</v>
      </c>
      <c r="AE158" s="173">
        <f ca="1">(VLOOKUP(AE$72,INDIRECT($C$5&amp;"生成成长"),2))/((VLOOKUP($B158,INDIRECT($B$5&amp;"生成成长"),4))/(VLOOKUP(AE$72,INDIRECT($C$5&amp;"生成成长"),5))*(VLOOKUP($B$5,标准坦克设计!$B$24:$U$30,MATCH("对"&amp;LEFT($C$5,2)&amp;"输出",标准坦克设计!$B$23:$U$23,0)))*(VLOOKUP($B158,INDIRECT($B$5&amp;"生成成长"),3))*(VLOOKUP($B$5,标准坦克设计!$B$14:$K$20,9)/30))</f>
        <v>5.7135829928680888</v>
      </c>
      <c r="AF158" s="173">
        <f ca="1">(VLOOKUP(AF$72,INDIRECT($C$5&amp;"生成成长"),2))/((VLOOKUP($B158,INDIRECT($B$5&amp;"生成成长"),4))/(VLOOKUP(AF$72,INDIRECT($C$5&amp;"生成成长"),5))*(VLOOKUP($B$5,标准坦克设计!$B$24:$U$30,MATCH("对"&amp;LEFT($C$5,2)&amp;"输出",标准坦克设计!$B$23:$U$23,0)))*(VLOOKUP($B158,INDIRECT($B$5&amp;"生成成长"),3))*(VLOOKUP($B$5,标准坦克设计!$B$14:$K$20,9)/30))</f>
        <v>6.1741758507974316</v>
      </c>
      <c r="AG158" s="173">
        <f ca="1">(VLOOKUP(AG$72,INDIRECT($C$5&amp;"生成成长"),2))/((VLOOKUP($B158,INDIRECT($B$5&amp;"生成成长"),4))/(VLOOKUP(AG$72,INDIRECT($C$5&amp;"生成成长"),5))*(VLOOKUP($B$5,标准坦克设计!$B$24:$U$30,MATCH("对"&amp;LEFT($C$5,2)&amp;"输出",标准坦克设计!$B$23:$U$23,0)))*(VLOOKUP($B158,INDIRECT($B$5&amp;"生成成长"),3))*(VLOOKUP($B$5,标准坦克设计!$B$14:$K$20,9)/30))</f>
        <v>6.6526211450806256</v>
      </c>
      <c r="AH158" s="173">
        <f ca="1">(VLOOKUP(AH$72,INDIRECT($C$5&amp;"生成成长"),2))/((VLOOKUP($B158,INDIRECT($B$5&amp;"生成成长"),4))/(VLOOKUP(AH$72,INDIRECT($C$5&amp;"生成成长"),5))*(VLOOKUP($B$5,标准坦克设计!$B$24:$U$30,MATCH("对"&amp;LEFT($C$5,2)&amp;"输出",标准坦克设计!$B$23:$U$23,0)))*(VLOOKUP($B158,INDIRECT($B$5&amp;"生成成长"),3))*(VLOOKUP($B$5,标准坦克设计!$B$14:$K$20,9)/30))</f>
        <v>7.1489188757176709</v>
      </c>
      <c r="AI158" s="173">
        <f ca="1">(VLOOKUP(AI$72,INDIRECT($C$5&amp;"生成成长"),2))/((VLOOKUP($B158,INDIRECT($B$5&amp;"生成成长"),4))/(VLOOKUP(AI$72,INDIRECT($C$5&amp;"生成成长"),5))*(VLOOKUP($B$5,标准坦克设计!$B$24:$U$30,MATCH("对"&amp;LEFT($C$5,2)&amp;"输出",标准坦克设计!$B$23:$U$23,0)))*(VLOOKUP($B158,INDIRECT($B$5&amp;"生成成长"),3))*(VLOOKUP($B$5,标准坦克设计!$B$14:$K$20,9)/30))</f>
        <v>5.0561670241375438</v>
      </c>
      <c r="AJ158" s="173">
        <f ca="1">(VLOOKUP(AJ$72,INDIRECT($C$5&amp;"生成成长"),2))/((VLOOKUP($B158,INDIRECT($B$5&amp;"生成成长"),4))/(VLOOKUP(AJ$72,INDIRECT($C$5&amp;"生成成长"),5))*(VLOOKUP($B$5,标准坦克设计!$B$24:$U$30,MATCH("对"&amp;LEFT($C$5,2)&amp;"输出",标准坦克设计!$B$23:$U$23,0)))*(VLOOKUP($B158,INDIRECT($B$5&amp;"生成成长"),3))*(VLOOKUP($B$5,标准坦克设计!$B$14:$K$20,9)/30))</f>
        <v>5.534344531875429</v>
      </c>
      <c r="AK158" s="173">
        <f ca="1">(VLOOKUP(AK$72,INDIRECT($C$5&amp;"生成成长"),2))/((VLOOKUP($B158,INDIRECT($B$5&amp;"生成成长"),4))/(VLOOKUP(AK$72,INDIRECT($C$5&amp;"生成成长"),5))*(VLOOKUP($B$5,标准坦克设计!$B$24:$U$30,MATCH("对"&amp;LEFT($C$5,2)&amp;"输出",标准坦克设计!$B$23:$U$23,0)))*(VLOOKUP($B158,INDIRECT($B$5&amp;"生成成长"),3))*(VLOOKUP($B$5,标准坦克设计!$B$14:$K$20,9)/30))</f>
        <v>6.034123487601474</v>
      </c>
      <c r="AL158" s="173">
        <f ca="1">(VLOOKUP(AL$72,INDIRECT($C$5&amp;"生成成长"),2))/((VLOOKUP($B158,INDIRECT($B$5&amp;"生成成长"),4))/(VLOOKUP(AL$72,INDIRECT($C$5&amp;"生成成长"),5))*(VLOOKUP($B$5,标准坦克设计!$B$24:$U$30,MATCH("对"&amp;LEFT($C$5,2)&amp;"输出",标准坦克设计!$B$23:$U$23,0)))*(VLOOKUP($B158,INDIRECT($B$5&amp;"生成成长"),3))*(VLOOKUP($B$5,标准坦克设计!$B$14:$K$20,9)/30))</f>
        <v>6.5555038913156798</v>
      </c>
      <c r="AM158" s="173">
        <f ca="1">(VLOOKUP(AM$72,INDIRECT($C$5&amp;"生成成长"),2))/((VLOOKUP($B158,INDIRECT($B$5&amp;"生成成长"),4))/(VLOOKUP(AM$72,INDIRECT($C$5&amp;"生成成长"),5))*(VLOOKUP($B$5,标准坦克设计!$B$24:$U$30,MATCH("对"&amp;LEFT($C$5,2)&amp;"输出",标准坦克设计!$B$23:$U$23,0)))*(VLOOKUP($B158,INDIRECT($B$5&amp;"生成成长"),3))*(VLOOKUP($B$5,标准坦克设计!$B$14:$K$20,9)/30))</f>
        <v>7.0984857430180419</v>
      </c>
      <c r="AN158" s="173">
        <f ca="1">(VLOOKUP(AN$72,INDIRECT($C$5&amp;"生成成长"),2))/((VLOOKUP($B158,INDIRECT($B$5&amp;"生成成长"),4))/(VLOOKUP(AN$72,INDIRECT($C$5&amp;"生成成长"),5))*(VLOOKUP($B$5,标准坦克设计!$B$24:$U$30,MATCH("对"&amp;LEFT($C$5,2)&amp;"输出",标准坦克设计!$B$23:$U$23,0)))*(VLOOKUP($B158,INDIRECT($B$5&amp;"生成成长"),3))*(VLOOKUP($B$5,标准坦克设计!$B$14:$K$20,9)/30))</f>
        <v>7.6630690427085648</v>
      </c>
      <c r="AO158" s="173">
        <f ca="1">(VLOOKUP(AO$72,INDIRECT($C$5&amp;"生成成长"),2))/((VLOOKUP($B158,INDIRECT($B$5&amp;"生成成长"),4))/(VLOOKUP(AO$72,INDIRECT($C$5&amp;"生成成长"),5))*(VLOOKUP($B$5,标准坦克设计!$B$24:$U$30,MATCH("对"&amp;LEFT($C$5,2)&amp;"输出",标准坦克设计!$B$23:$U$23,0)))*(VLOOKUP($B158,INDIRECT($B$5&amp;"生成成长"),3))*(VLOOKUP($B$5,标准坦克设计!$B$14:$K$20,9)/30))</f>
        <v>8.2492537903872449</v>
      </c>
      <c r="AP158" s="173">
        <f ca="1">(VLOOKUP(AP$72,INDIRECT($C$5&amp;"生成成长"),2))/((VLOOKUP($B158,INDIRECT($B$5&amp;"生成成长"),4))/(VLOOKUP(AP$72,INDIRECT($C$5&amp;"生成成长"),5))*(VLOOKUP($B$5,标准坦克设计!$B$24:$U$30,MATCH("对"&amp;LEFT($C$5,2)&amp;"输出",标准坦克设计!$B$23:$U$23,0)))*(VLOOKUP($B158,INDIRECT($B$5&amp;"生成成长"),3))*(VLOOKUP($B$5,标准坦克设计!$B$14:$K$20,9)/30))</f>
        <v>8.8570399860540885</v>
      </c>
      <c r="AQ158" s="173">
        <f ca="1">(VLOOKUP(AQ$72,INDIRECT($C$5&amp;"生成成长"),2))/((VLOOKUP($B158,INDIRECT($B$5&amp;"生成成长"),4))/(VLOOKUP(AQ$72,INDIRECT($C$5&amp;"生成成长"),5))*(VLOOKUP($B$5,标准坦克设计!$B$24:$U$30,MATCH("对"&amp;LEFT($C$5,2)&amp;"输出",标准坦克设计!$B$23:$U$23,0)))*(VLOOKUP($B158,INDIRECT($B$5&amp;"生成成长"),3))*(VLOOKUP($B$5,标准坦克设计!$B$14:$K$20,9)/30))</f>
        <v>9.4864276297090893</v>
      </c>
      <c r="AR158" s="173">
        <f ca="1">(VLOOKUP(AR$72,INDIRECT($C$5&amp;"生成成长"),2))/((VLOOKUP($B158,INDIRECT($B$5&amp;"生成成长"),4))/(VLOOKUP(AR$72,INDIRECT($C$5&amp;"生成成长"),5))*(VLOOKUP($B$5,标准坦克设计!$B$24:$U$30,MATCH("对"&amp;LEFT($C$5,2)&amp;"输出",标准坦克设计!$B$23:$U$23,0)))*(VLOOKUP($B158,INDIRECT($B$5&amp;"生成成长"),3))*(VLOOKUP($B$5,标准坦克设计!$B$14:$K$20,9)/30))</f>
        <v>10.137416721352245</v>
      </c>
      <c r="AS158" s="173">
        <f ca="1">(VLOOKUP(AS$72,INDIRECT($C$5&amp;"生成成长"),2))/((VLOOKUP($B158,INDIRECT($B$5&amp;"生成成长"),4))/(VLOOKUP(AS$72,INDIRECT($C$5&amp;"生成成长"),5))*(VLOOKUP($B$5,标准坦克设计!$B$24:$U$30,MATCH("对"&amp;LEFT($C$5,2)&amp;"输出",标准坦克设计!$B$23:$U$23,0)))*(VLOOKUP($B158,INDIRECT($B$5&amp;"生成成长"),3))*(VLOOKUP($B$5,标准坦克设计!$B$14:$K$20,9)/30))</f>
        <v>10.810007260983566</v>
      </c>
      <c r="AT158" s="173">
        <f ca="1">(VLOOKUP(AT$72,INDIRECT($C$5&amp;"生成成长"),2))/((VLOOKUP($B158,INDIRECT($B$5&amp;"生成成长"),4))/(VLOOKUP(AT$72,INDIRECT($C$5&amp;"生成成长"),5))*(VLOOKUP($B$5,标准坦克设计!$B$24:$U$30,MATCH("对"&amp;LEFT($C$5,2)&amp;"输出",标准坦克设计!$B$23:$U$23,0)))*(VLOOKUP($B158,INDIRECT($B$5&amp;"生成成长"),3))*(VLOOKUP($B$5,标准坦克设计!$B$14:$K$20,9)/30))</f>
        <v>11.504199248603046</v>
      </c>
      <c r="AU158" s="173">
        <f ca="1">(VLOOKUP(AU$72,INDIRECT($C$5&amp;"生成成长"),2))/((VLOOKUP($B158,INDIRECT($B$5&amp;"生成成长"),4))/(VLOOKUP(AU$72,INDIRECT($C$5&amp;"生成成长"),5))*(VLOOKUP($B$5,标准坦克设计!$B$24:$U$30,MATCH("对"&amp;LEFT($C$5,2)&amp;"输出",标准坦克设计!$B$23:$U$23,0)))*(VLOOKUP($B158,INDIRECT($B$5&amp;"生成成长"),3))*(VLOOKUP($B$5,标准坦克设计!$B$14:$K$20,9)/30))</f>
        <v>12.219992684210681</v>
      </c>
      <c r="AV158" s="173">
        <f ca="1">(VLOOKUP(AV$72,INDIRECT($C$5&amp;"生成成长"),2))/((VLOOKUP($B158,INDIRECT($B$5&amp;"生成成长"),4))/(VLOOKUP(AV$72,INDIRECT($C$5&amp;"生成成长"),5))*(VLOOKUP($B$5,标准坦克设计!$B$24:$U$30,MATCH("对"&amp;LEFT($C$5,2)&amp;"输出",标准坦克设计!$B$23:$U$23,0)))*(VLOOKUP($B158,INDIRECT($B$5&amp;"生成成长"),3))*(VLOOKUP($B$5,标准坦克设计!$B$14:$K$20,9)/30))</f>
        <v>1.2428866189550731</v>
      </c>
      <c r="AW158" s="173">
        <f ca="1">(VLOOKUP(AW$72,INDIRECT($C$5&amp;"生成成长"),2))/((VLOOKUP($B158,INDIRECT($B$5&amp;"生成成长"),4))/(VLOOKUP(AW$72,INDIRECT($C$5&amp;"生成成长"),5))*(VLOOKUP($B$5,标准坦克设计!$B$24:$U$30,MATCH("对"&amp;LEFT($C$5,2)&amp;"输出",标准坦克设计!$B$23:$U$23,0)))*(VLOOKUP($B158,INDIRECT($B$5&amp;"生成成长"),3))*(VLOOKUP($B$5,标准坦克设计!$B$14:$K$20,9)/30))</f>
        <v>1.4171263977686543</v>
      </c>
      <c r="AX158" s="173">
        <f ca="1">(VLOOKUP(AX$72,INDIRECT($C$5&amp;"生成成长"),2))/((VLOOKUP($B158,INDIRECT($B$5&amp;"生成成长"),4))/(VLOOKUP(AX$72,INDIRECT($C$5&amp;"生成成长"),5))*(VLOOKUP($B$5,标准坦克设计!$B$24:$U$30,MATCH("对"&amp;LEFT($C$5,2)&amp;"输出",标准坦克设计!$B$23:$U$23,0)))*(VLOOKUP($B158,INDIRECT($B$5&amp;"生成成长"),3))*(VLOOKUP($B$5,标准坦克设计!$B$14:$K$20,9)/30))</f>
        <v>1.6027917358486992</v>
      </c>
      <c r="AY158" s="173">
        <f ca="1">(VLOOKUP(AY$72,INDIRECT($C$5&amp;"生成成长"),2))/((VLOOKUP($B158,INDIRECT($B$5&amp;"生成成长"),4))/(VLOOKUP(AY$72,INDIRECT($C$5&amp;"生成成长"),5))*(VLOOKUP($B$5,标准坦克设计!$B$24:$U$30,MATCH("对"&amp;LEFT($C$5,2)&amp;"输出",标准坦克设计!$B$23:$U$23,0)))*(VLOOKUP($B158,INDIRECT($B$5&amp;"生成成长"),3))*(VLOOKUP($B$5,标准坦克设计!$B$14:$K$20,9)/30))</f>
        <v>1.7998826331952094</v>
      </c>
      <c r="AZ158" s="173">
        <f ca="1">(VLOOKUP(AZ$72,INDIRECT($C$5&amp;"生成成长"),2))/((VLOOKUP($B158,INDIRECT($B$5&amp;"生成成长"),4))/(VLOOKUP(AZ$72,INDIRECT($C$5&amp;"生成成长"),5))*(VLOOKUP($B$5,标准坦克设计!$B$24:$U$30,MATCH("对"&amp;LEFT($C$5,2)&amp;"输出",标准坦克设计!$B$23:$U$23,0)))*(VLOOKUP($B158,INDIRECT($B$5&amp;"生成成长"),3))*(VLOOKUP($B$5,标准坦克设计!$B$14:$K$20,9)/30))</f>
        <v>2.0083990898081834</v>
      </c>
      <c r="BA158" s="173">
        <f ca="1">(VLOOKUP(BA$72,INDIRECT($C$5&amp;"生成成长"),2))/((VLOOKUP($B158,INDIRECT($B$5&amp;"生成成长"),4))/(VLOOKUP(BA$72,INDIRECT($C$5&amp;"生成成长"),5))*(VLOOKUP($B$5,标准坦克设计!$B$24:$U$30,MATCH("对"&amp;LEFT($C$5,2)&amp;"输出",标准坦克设计!$B$23:$U$23,0)))*(VLOOKUP($B158,INDIRECT($B$5&amp;"生成成长"),3))*(VLOOKUP($B$5,标准坦克设计!$B$14:$K$20,9)/30))</f>
        <v>2.2283411056876217</v>
      </c>
      <c r="BB158" s="173">
        <f ca="1">(VLOOKUP(BB$72,INDIRECT($C$5&amp;"生成成长"),2))/((VLOOKUP($B158,INDIRECT($B$5&amp;"生成成长"),4))/(VLOOKUP(BB$72,INDIRECT($C$5&amp;"生成成长"),5))*(VLOOKUP($B$5,标准坦克设计!$B$24:$U$30,MATCH("对"&amp;LEFT($C$5,2)&amp;"输出",标准坦克设计!$B$23:$U$23,0)))*(VLOOKUP($B158,INDIRECT($B$5&amp;"生成成长"),3))*(VLOOKUP($B$5,标准坦克设计!$B$14:$K$20,9)/30))</f>
        <v>2.4597086808335242</v>
      </c>
      <c r="BC158" s="173">
        <f ca="1">(VLOOKUP(BC$72,INDIRECT($C$5&amp;"生成成长"),2))/((VLOOKUP($B158,INDIRECT($B$5&amp;"生成成长"),4))/(VLOOKUP(BC$72,INDIRECT($C$5&amp;"生成成长"),5))*(VLOOKUP($B$5,标准坦克设计!$B$24:$U$30,MATCH("对"&amp;LEFT($C$5,2)&amp;"输出",标准坦克设计!$B$23:$U$23,0)))*(VLOOKUP($B158,INDIRECT($B$5&amp;"生成成长"),3))*(VLOOKUP($B$5,标准坦克设计!$B$14:$K$20,9)/30))</f>
        <v>2.7025018152458915</v>
      </c>
      <c r="BD158" s="173">
        <f ca="1">(VLOOKUP(BD$72,INDIRECT($C$5&amp;"生成成长"),2))/((VLOOKUP($B158,INDIRECT($B$5&amp;"生成成长"),4))/(VLOOKUP(BD$72,INDIRECT($C$5&amp;"生成成长"),5))*(VLOOKUP($B$5,标准坦克设计!$B$24:$U$30,MATCH("对"&amp;LEFT($C$5,2)&amp;"输出",标准坦克设计!$B$23:$U$23,0)))*(VLOOKUP($B158,INDIRECT($B$5&amp;"生成成长"),3))*(VLOOKUP($B$5,标准坦克设计!$B$14:$K$20,9)/30))</f>
        <v>2.9893012052704999</v>
      </c>
      <c r="BE158" s="173">
        <f ca="1">(VLOOKUP(BE$72,INDIRECT($C$5&amp;"生成成长"),2))/((VLOOKUP($B158,INDIRECT($B$5&amp;"生成成长"),4))/(VLOOKUP(BE$72,INDIRECT($C$5&amp;"生成成长"),5))*(VLOOKUP($B$5,标准坦克设计!$B$24:$U$30,MATCH("对"&amp;LEFT($C$5,2)&amp;"输出",标准坦克设计!$B$23:$U$23,0)))*(VLOOKUP($B158,INDIRECT($B$5&amp;"生成成长"),3))*(VLOOKUP($B$5,标准坦克设计!$B$14:$K$20,9)/30))</f>
        <v>3.2905610687417277</v>
      </c>
      <c r="BF158" s="173">
        <f ca="1">(VLOOKUP(BF$72,INDIRECT($C$5&amp;"生成成长"),2))/((VLOOKUP($B158,INDIRECT($B$5&amp;"生成成长"),4))/(VLOOKUP(BF$72,INDIRECT($C$5&amp;"生成成长"),5))*(VLOOKUP($B$5,标准坦克设计!$B$24:$U$30,MATCH("对"&amp;LEFT($C$5,2)&amp;"输出",标准坦克设计!$B$23:$U$23,0)))*(VLOOKUP($B158,INDIRECT($B$5&amp;"生成成长"),3))*(VLOOKUP($B$5,标准坦克设计!$B$14:$K$20,9)/30))</f>
        <v>3.6062814056595736</v>
      </c>
      <c r="BG158" s="173">
        <f ca="1">(VLOOKUP(BG$72,INDIRECT($C$5&amp;"生成成长"),2))/((VLOOKUP($B158,INDIRECT($B$5&amp;"生成成长"),4))/(VLOOKUP(BG$72,INDIRECT($C$5&amp;"生成成长"),5))*(VLOOKUP($B$5,标准坦克设计!$B$24:$U$30,MATCH("对"&amp;LEFT($C$5,2)&amp;"输出",标准坦克设计!$B$23:$U$23,0)))*(VLOOKUP($B158,INDIRECT($B$5&amp;"生成成长"),3))*(VLOOKUP($B$5,标准坦克设计!$B$14:$K$20,9)/30))</f>
        <v>3.9364622160240392</v>
      </c>
      <c r="BH158" s="173">
        <f ca="1">(VLOOKUP(BH$72,INDIRECT($C$5&amp;"生成成长"),2))/((VLOOKUP($B158,INDIRECT($B$5&amp;"生成成长"),4))/(VLOOKUP(BH$72,INDIRECT($C$5&amp;"生成成长"),5))*(VLOOKUP($B$5,标准坦克设计!$B$24:$U$30,MATCH("对"&amp;LEFT($C$5,2)&amp;"输出",标准坦克设计!$B$23:$U$23,0)))*(VLOOKUP($B158,INDIRECT($B$5&amp;"生成成长"),3))*(VLOOKUP($B$5,标准坦克设计!$B$14:$K$20,9)/30))</f>
        <v>1.902712666593388</v>
      </c>
      <c r="BI158" s="173">
        <f ca="1">(VLOOKUP(BI$72,INDIRECT($C$5&amp;"生成成长"),2))/((VLOOKUP($B158,INDIRECT($B$5&amp;"生成成长"),4))/(VLOOKUP(BI$72,INDIRECT($C$5&amp;"生成成长"),5))*(VLOOKUP($B$5,标准坦克设计!$B$24:$U$30,MATCH("对"&amp;LEFT($C$5,2)&amp;"输出",标准坦克设计!$B$23:$U$23,0)))*(VLOOKUP($B158,INDIRECT($B$5&amp;"生成成长"),3))*(VLOOKUP($B$5,标准坦克设计!$B$14:$K$20,9)/30))</f>
        <v>2.1445239170062931</v>
      </c>
      <c r="BJ158" s="173">
        <f ca="1">(VLOOKUP(BJ$72,INDIRECT($C$5&amp;"生成成长"),2))/((VLOOKUP($B158,INDIRECT($B$5&amp;"生成成长"),4))/(VLOOKUP(BJ$72,INDIRECT($C$5&amp;"生成成长"),5))*(VLOOKUP($B$5,标准坦克设计!$B$24:$U$30,MATCH("对"&amp;LEFT($C$5,2)&amp;"输出",标准坦克设计!$B$23:$U$23,0)))*(VLOOKUP($B158,INDIRECT($B$5&amp;"生成成长"),3))*(VLOOKUP($B$5,标准坦克设计!$B$14:$K$20,9)/30))</f>
        <v>2.4007956408658178</v>
      </c>
      <c r="BK158" s="173">
        <f ca="1">(VLOOKUP(BK$72,INDIRECT($C$5&amp;"生成成长"),2))/((VLOOKUP($B158,INDIRECT($B$5&amp;"生成成长"),4))/(VLOOKUP(BK$72,INDIRECT($C$5&amp;"生成成长"),5))*(VLOOKUP($B$5,标准坦克设计!$B$24:$U$30,MATCH("对"&amp;LEFT($C$5,2)&amp;"输出",标准坦克设计!$B$23:$U$23,0)))*(VLOOKUP($B158,INDIRECT($B$5&amp;"生成成长"),3))*(VLOOKUP($B$5,标准坦克设计!$B$14:$K$20,9)/30))</f>
        <v>2.67152783817196</v>
      </c>
      <c r="BL158" s="173">
        <f ca="1">(VLOOKUP(BL$72,INDIRECT($C$5&amp;"生成成长"),2))/((VLOOKUP($B158,INDIRECT($B$5&amp;"生成成长"),4))/(VLOOKUP(BL$72,INDIRECT($C$5&amp;"生成成长"),5))*(VLOOKUP($B$5,标准坦克设计!$B$24:$U$30,MATCH("对"&amp;LEFT($C$5,2)&amp;"输出",标准坦克设计!$B$23:$U$23,0)))*(VLOOKUP($B158,INDIRECT($B$5&amp;"生成成长"),3))*(VLOOKUP($B$5,标准坦克设计!$B$14:$K$20,9)/30))</f>
        <v>2.956720508924723</v>
      </c>
      <c r="BM158" s="173">
        <f ca="1">(VLOOKUP(BM$72,INDIRECT($C$5&amp;"生成成长"),2))/((VLOOKUP($B158,INDIRECT($B$5&amp;"生成成长"),4))/(VLOOKUP(BM$72,INDIRECT($C$5&amp;"生成成长"),5))*(VLOOKUP($B$5,标准坦克设计!$B$24:$U$30,MATCH("对"&amp;LEFT($C$5,2)&amp;"输出",标准坦克设计!$B$23:$U$23,0)))*(VLOOKUP($B158,INDIRECT($B$5&amp;"生成成长"),3))*(VLOOKUP($B$5,标准坦克设计!$B$14:$K$20,9)/30))</f>
        <v>3.2563736531241037</v>
      </c>
      <c r="BN158" s="173">
        <f ca="1">(VLOOKUP(BN$72,INDIRECT($C$5&amp;"生成成长"),2))/((VLOOKUP($B158,INDIRECT($B$5&amp;"生成成长"),4))/(VLOOKUP(BN$72,INDIRECT($C$5&amp;"生成成长"),5))*(VLOOKUP($B$5,标准坦克设计!$B$24:$U$30,MATCH("对"&amp;LEFT($C$5,2)&amp;"输出",标准坦克设计!$B$23:$U$23,0)))*(VLOOKUP($B158,INDIRECT($B$5&amp;"生成成长"),3))*(VLOOKUP($B$5,标准坦克设计!$B$14:$K$20,9)/30))</f>
        <v>3.5704872707701036</v>
      </c>
      <c r="BO158" s="173">
        <f ca="1">(VLOOKUP(BO$72,INDIRECT($C$5&amp;"生成成长"),2))/((VLOOKUP($B158,INDIRECT($B$5&amp;"生成成长"),4))/(VLOOKUP(BO$72,INDIRECT($C$5&amp;"生成成长"),5))*(VLOOKUP($B$5,标准坦克设计!$B$24:$U$30,MATCH("对"&amp;LEFT($C$5,2)&amp;"输出",标准坦克设计!$B$23:$U$23,0)))*(VLOOKUP($B158,INDIRECT($B$5&amp;"生成成长"),3))*(VLOOKUP($B$5,标准坦克设计!$B$14:$K$20,9)/30))</f>
        <v>3.8990613618627221</v>
      </c>
      <c r="BP158" s="173">
        <f ca="1">(VLOOKUP(BP$72,INDIRECT($C$5&amp;"生成成长"),2))/((VLOOKUP($B158,INDIRECT($B$5&amp;"生成成长"),4))/(VLOOKUP(BP$72,INDIRECT($C$5&amp;"生成成长"),5))*(VLOOKUP($B$5,标准坦克设计!$B$24:$U$30,MATCH("对"&amp;LEFT($C$5,2)&amp;"输出",标准坦克设计!$B$23:$U$23,0)))*(VLOOKUP($B158,INDIRECT($B$5&amp;"生成成长"),3))*(VLOOKUP($B$5,标准坦克设计!$B$14:$K$20,9)/30))</f>
        <v>4.2420959264019595</v>
      </c>
      <c r="BQ158" s="173">
        <f ca="1">(VLOOKUP(BQ$72,INDIRECT($C$5&amp;"生成成长"),2))/((VLOOKUP($B158,INDIRECT($B$5&amp;"生成成长"),4))/(VLOOKUP(BQ$72,INDIRECT($C$5&amp;"生成成长"),5))*(VLOOKUP($B$5,标准坦克设计!$B$24:$U$30,MATCH("对"&amp;LEFT($C$5,2)&amp;"输出",标准坦克设计!$B$23:$U$23,0)))*(VLOOKUP($B158,INDIRECT($B$5&amp;"生成成长"),3))*(VLOOKUP($B$5,标准坦克设计!$B$14:$K$20,9)/30))</f>
        <v>4.5995909643878168</v>
      </c>
      <c r="BR158" s="173">
        <f ca="1">(VLOOKUP(BR$72,INDIRECT($C$5&amp;"生成成长"),2))/((VLOOKUP($B158,INDIRECT($B$5&amp;"生成成长"),4))/(VLOOKUP(BR$72,INDIRECT($C$5&amp;"生成成长"),5))*(VLOOKUP($B$5,标准坦克设计!$B$24:$U$30,MATCH("对"&amp;LEFT($C$5,2)&amp;"输出",标准坦克设计!$B$23:$U$23,0)))*(VLOOKUP($B158,INDIRECT($B$5&amp;"生成成长"),3))*(VLOOKUP($B$5,标准坦克设计!$B$14:$K$20,9)/30))</f>
        <v>5.0137674877971481</v>
      </c>
      <c r="BS158" s="173">
        <f ca="1">(VLOOKUP(BS$72,INDIRECT($C$5&amp;"生成成长"),2))/((VLOOKUP($B158,INDIRECT($B$5&amp;"生成成长"),4))/(VLOOKUP(BS$72,INDIRECT($C$5&amp;"生成成长"),5))*(VLOOKUP($B$5,标准坦克设计!$B$24:$U$30,MATCH("对"&amp;LEFT($C$5,2)&amp;"输出",标准坦克设计!$B$23:$U$23,0)))*(VLOOKUP($B158,INDIRECT($B$5&amp;"生成成长"),3))*(VLOOKUP($B$5,标准坦克设计!$B$14:$K$20,9)/30))</f>
        <v>5.4457964475603307</v>
      </c>
      <c r="BT158" s="173">
        <f ca="1">(VLOOKUP(BT$72,INDIRECT($C$5&amp;"生成成长"),2))/((VLOOKUP($B158,INDIRECT($B$5&amp;"生成成长"),4))/(VLOOKUP(BT$72,INDIRECT($C$5&amp;"生成成长"),5))*(VLOOKUP($B$5,标准坦克设计!$B$24:$U$30,MATCH("对"&amp;LEFT($C$5,2)&amp;"输出",标准坦克设计!$B$23:$U$23,0)))*(VLOOKUP($B158,INDIRECT($B$5&amp;"生成成长"),3))*(VLOOKUP($B$5,标准坦克设计!$B$14:$K$20,9)/30))</f>
        <v>5.8956778436773645</v>
      </c>
      <c r="BU158" s="173">
        <f ca="1">(VLOOKUP(BU$72,INDIRECT($C$5&amp;"生成成长"),2))/((VLOOKUP($B158,INDIRECT($B$5&amp;"生成成长"),4))/(VLOOKUP(BU$72,INDIRECT($C$5&amp;"生成成长"),5))*(VLOOKUP($B$5,标准坦克设计!$B$24:$U$30,MATCH("对"&amp;LEFT($C$5,2)&amp;"输出",标准坦克设计!$B$23:$U$23,0)))*(VLOOKUP($B158,INDIRECT($B$5&amp;"生成成长"),3))*(VLOOKUP($B$5,标准坦克设计!$B$14:$K$20,9)/30))</f>
        <v>6.3634116761482478</v>
      </c>
      <c r="BV158" s="173">
        <f ca="1">(VLOOKUP(BV$72,INDIRECT($C$5&amp;"生成成长"),2))/((VLOOKUP($B158,INDIRECT($B$5&amp;"生成成长"),4))/(VLOOKUP(BV$72,INDIRECT($C$5&amp;"生成成长"),5))*(VLOOKUP($B$5,标准坦克设计!$B$24:$U$30,MATCH("对"&amp;LEFT($C$5,2)&amp;"输出",标准坦克设计!$B$23:$U$23,0)))*(VLOOKUP($B158,INDIRECT($B$5&amp;"生成成长"),3))*(VLOOKUP($B$5,标准坦克设计!$B$14:$K$20,9)/30))</f>
        <v>6.8489979449729823</v>
      </c>
      <c r="BW158" s="173">
        <f ca="1">(VLOOKUP(BW$72,INDIRECT($C$5&amp;"生成成长"),2))/((VLOOKUP($B158,INDIRECT($B$5&amp;"生成成长"),4))/(VLOOKUP(BW$72,INDIRECT($C$5&amp;"生成成长"),5))*(VLOOKUP($B$5,标准坦克设计!$B$24:$U$30,MATCH("对"&amp;LEFT($C$5,2)&amp;"输出",标准坦克设计!$B$23:$U$23,0)))*(VLOOKUP($B158,INDIRECT($B$5&amp;"生成成长"),3))*(VLOOKUP($B$5,标准坦克设计!$B$14:$K$20,9)/30))</f>
        <v>3.1214092342889939</v>
      </c>
      <c r="BX158" s="173">
        <f ca="1">(VLOOKUP(BX$72,INDIRECT($C$5&amp;"生成成长"),2))/((VLOOKUP($B158,INDIRECT($B$5&amp;"生成成长"),4))/(VLOOKUP(BX$72,INDIRECT($C$5&amp;"生成成长"),5))*(VLOOKUP($B$5,标准坦克设计!$B$24:$U$30,MATCH("对"&amp;LEFT($C$5,2)&amp;"输出",标准坦克设计!$B$23:$U$23,0)))*(VLOOKUP($B158,INDIRECT($B$5&amp;"生成成长"),3))*(VLOOKUP($B$5,标准坦克设计!$B$14:$K$20,9)/30))</f>
        <v>3.4641760122829233</v>
      </c>
      <c r="BY158" s="173">
        <f ca="1">(VLOOKUP(BY$72,INDIRECT($C$5&amp;"生成成长"),2))/((VLOOKUP($B158,INDIRECT($B$5&amp;"生成成长"),4))/(VLOOKUP(BY$72,INDIRECT($C$5&amp;"生成成长"),5))*(VLOOKUP($B$5,标准坦克设计!$B$24:$U$30,MATCH("对"&amp;LEFT($C$5,2)&amp;"输出",标准坦克设计!$B$23:$U$23,0)))*(VLOOKUP($B158,INDIRECT($B$5&amp;"生成成长"),3))*(VLOOKUP($B$5,标准坦克设计!$B$14:$K$20,9)/30))</f>
        <v>3.8247952266307044</v>
      </c>
      <c r="BZ158" s="173">
        <f ca="1">(VLOOKUP(BZ$72,INDIRECT($C$5&amp;"生成成长"),2))/((VLOOKUP($B158,INDIRECT($B$5&amp;"生成成长"),4))/(VLOOKUP(BZ$72,INDIRECT($C$5&amp;"生成成长"),5))*(VLOOKUP($B$5,标准坦克设计!$B$24:$U$30,MATCH("对"&amp;LEFT($C$5,2)&amp;"输出",标准坦克设计!$B$23:$U$23,0)))*(VLOOKUP($B158,INDIRECT($B$5&amp;"生成成长"),3))*(VLOOKUP($B$5,标准坦克设计!$B$14:$K$20,9)/30))</f>
        <v>4.2032668773323349</v>
      </c>
      <c r="CA158" s="173">
        <f ca="1">(VLOOKUP(CA$72,INDIRECT($C$5&amp;"生成成长"),2))/((VLOOKUP($B158,INDIRECT($B$5&amp;"生成成长"),4))/(VLOOKUP(CA$72,INDIRECT($C$5&amp;"生成成长"),5))*(VLOOKUP($B$5,标准坦克设计!$B$24:$U$30,MATCH("对"&amp;LEFT($C$5,2)&amp;"输出",标准坦克设计!$B$23:$U$23,0)))*(VLOOKUP($B158,INDIRECT($B$5&amp;"生成成长"),3))*(VLOOKUP($B$5,标准坦克设计!$B$14:$K$20,9)/30))</f>
        <v>4.5995909643878168</v>
      </c>
      <c r="CB158" s="173">
        <f ca="1">(VLOOKUP(CB$72,INDIRECT($C$5&amp;"生成成长"),2))/((VLOOKUP($B158,INDIRECT($B$5&amp;"生成成长"),4))/(VLOOKUP(CB$72,INDIRECT($C$5&amp;"生成成长"),5))*(VLOOKUP($B$5,标准坦克设计!$B$24:$U$30,MATCH("对"&amp;LEFT($C$5,2)&amp;"输出",标准坦克设计!$B$23:$U$23,0)))*(VLOOKUP($B158,INDIRECT($B$5&amp;"生成成长"),3))*(VLOOKUP($B$5,标准坦克设计!$B$14:$K$20,9)/30))</f>
        <v>5.0137674877971481</v>
      </c>
      <c r="CC158" s="173">
        <f ca="1">(VLOOKUP(CC$72,INDIRECT($C$5&amp;"生成成长"),2))/((VLOOKUP($B158,INDIRECT($B$5&amp;"生成成长"),4))/(VLOOKUP(CC$72,INDIRECT($C$5&amp;"生成成长"),5))*(VLOOKUP($B$5,标准坦克设计!$B$24:$U$30,MATCH("对"&amp;LEFT($C$5,2)&amp;"输出",标准坦克设计!$B$23:$U$23,0)))*(VLOOKUP($B158,INDIRECT($B$5&amp;"生成成长"),3))*(VLOOKUP($B$5,标准坦克设计!$B$14:$K$20,9)/30))</f>
        <v>5.4457964475603307</v>
      </c>
      <c r="CD158" s="173">
        <f ca="1">(VLOOKUP(CD$72,INDIRECT($C$5&amp;"生成成长"),2))/((VLOOKUP($B158,INDIRECT($B$5&amp;"生成成长"),4))/(VLOOKUP(CD$72,INDIRECT($C$5&amp;"生成成长"),5))*(VLOOKUP($B$5,标准坦克设计!$B$24:$U$30,MATCH("对"&amp;LEFT($C$5,2)&amp;"输出",标准坦克设计!$B$23:$U$23,0)))*(VLOOKUP($B158,INDIRECT($B$5&amp;"生成成长"),3))*(VLOOKUP($B$5,标准坦克设计!$B$14:$K$20,9)/30))</f>
        <v>5.8956778436773645</v>
      </c>
      <c r="CE158" s="173">
        <f ca="1">(VLOOKUP(CE$72,INDIRECT($C$5&amp;"生成成长"),2))/((VLOOKUP($B158,INDIRECT($B$5&amp;"生成成长"),4))/(VLOOKUP(CE$72,INDIRECT($C$5&amp;"生成成长"),5))*(VLOOKUP($B$5,标准坦克设计!$B$24:$U$30,MATCH("对"&amp;LEFT($C$5,2)&amp;"输出",标准坦克设计!$B$23:$U$23,0)))*(VLOOKUP($B158,INDIRECT($B$5&amp;"生成成长"),3))*(VLOOKUP($B$5,标准坦克设计!$B$14:$K$20,9)/30))</f>
        <v>6.3634116761482478</v>
      </c>
      <c r="CF158" s="173">
        <f ca="1">(VLOOKUP(CF$72,INDIRECT($C$5&amp;"生成成长"),2))/((VLOOKUP($B158,INDIRECT($B$5&amp;"生成成长"),4))/(VLOOKUP(CF$72,INDIRECT($C$5&amp;"生成成长"),5))*(VLOOKUP($B$5,标准坦克设计!$B$24:$U$30,MATCH("对"&amp;LEFT($C$5,2)&amp;"输出",标准坦克设计!$B$23:$U$23,0)))*(VLOOKUP($B158,INDIRECT($B$5&amp;"生成成长"),3))*(VLOOKUP($B$5,标准坦克设计!$B$14:$K$20,9)/30))</f>
        <v>6.8489979449729823</v>
      </c>
      <c r="CG158" s="173">
        <f ca="1">(VLOOKUP(CG$72,INDIRECT($C$5&amp;"生成成长"),2))/((VLOOKUP($B158,INDIRECT($B$5&amp;"生成成长"),4))/(VLOOKUP(CG$72,INDIRECT($C$5&amp;"生成成长"),5))*(VLOOKUP($B$5,标准坦克设计!$B$24:$U$30,MATCH("对"&amp;LEFT($C$5,2)&amp;"输出",标准坦克设计!$B$23:$U$23,0)))*(VLOOKUP($B158,INDIRECT($B$5&amp;"生成成长"),3))*(VLOOKUP($B$5,标准坦克设计!$B$14:$K$20,9)/30))</f>
        <v>7.3524366501515663</v>
      </c>
      <c r="CH158" s="173">
        <f ca="1">(VLOOKUP(CH$72,INDIRECT($C$5&amp;"生成成长"),2))/((VLOOKUP($B158,INDIRECT($B$5&amp;"生成成长"),4))/(VLOOKUP(CH$72,INDIRECT($C$5&amp;"生成成长"),5))*(VLOOKUP($B$5,标准坦克设计!$B$24:$U$30,MATCH("对"&amp;LEFT($C$5,2)&amp;"输出",标准坦克设计!$B$23:$U$23,0)))*(VLOOKUP($B158,INDIRECT($B$5&amp;"生成成长"),3))*(VLOOKUP($B$5,标准坦克设计!$B$14:$K$20,9)/30))</f>
        <v>7.8737277916840007</v>
      </c>
      <c r="CI158" s="173">
        <f ca="1">(VLOOKUP(CI$72,INDIRECT($C$5&amp;"生成成长"),2))/((VLOOKUP($B158,INDIRECT($B$5&amp;"生成成长"),4))/(VLOOKUP(CI$72,INDIRECT($C$5&amp;"生成成长"),5))*(VLOOKUP($B$5,标准坦克设计!$B$24:$U$30,MATCH("对"&amp;LEFT($C$5,2)&amp;"输出",标准坦克设计!$B$23:$U$23,0)))*(VLOOKUP($B158,INDIRECT($B$5&amp;"生成成长"),3))*(VLOOKUP($B$5,标准坦克设计!$B$14:$K$20,9)/30))</f>
        <v>8.4677676113583757</v>
      </c>
      <c r="CJ158" s="173">
        <f ca="1">(VLOOKUP(CJ$72,INDIRECT($C$5&amp;"生成成长"),2))/((VLOOKUP($B158,INDIRECT($B$5&amp;"生成成长"),4))/(VLOOKUP(CJ$72,INDIRECT($C$5&amp;"生成成长"),5))*(VLOOKUP($B$5,标准坦克设计!$B$24:$U$30,MATCH("对"&amp;LEFT($C$5,2)&amp;"输出",标准坦克设计!$B$23:$U$23,0)))*(VLOOKUP($B158,INDIRECT($B$5&amp;"生成成长"),3))*(VLOOKUP($B$5,标准坦克设计!$B$14:$K$20,9)/30))</f>
        <v>9.0834088790209115</v>
      </c>
      <c r="CK158" s="173">
        <f ca="1">(VLOOKUP(CK$72,INDIRECT($C$5&amp;"生成成长"),2))/((VLOOKUP($B158,INDIRECT($B$5&amp;"生成成长"),4))/(VLOOKUP(CK$72,INDIRECT($C$5&amp;"生成成长"),5))*(VLOOKUP($B$5,标准坦克设计!$B$24:$U$30,MATCH("对"&amp;LEFT($C$5,2)&amp;"输出",标准坦克设计!$B$23:$U$23,0)))*(VLOOKUP($B158,INDIRECT($B$5&amp;"生成成长"),3))*(VLOOKUP($B$5,标准坦克设计!$B$14:$K$20,9)/30))</f>
        <v>9.7206515946716063</v>
      </c>
      <c r="CL158" s="173">
        <f ca="1">(VLOOKUP(CL$72,INDIRECT($C$5&amp;"生成成长"),2))/((VLOOKUP($B158,INDIRECT($B$5&amp;"生成成长"),4))/(VLOOKUP(CL$72,INDIRECT($C$5&amp;"生成成长"),5))*(VLOOKUP($B$5,标准坦克设计!$B$24:$U$30,MATCH("对"&amp;LEFT($C$5,2)&amp;"输出",标准坦克设计!$B$23:$U$23,0)))*(VLOOKUP($B158,INDIRECT($B$5&amp;"生成成长"),3))*(VLOOKUP($B$5,标准坦克设计!$B$14:$K$20,9)/30))</f>
        <v>10.37949575831046</v>
      </c>
      <c r="CM158" s="173">
        <f ca="1">(VLOOKUP(CM$72,INDIRECT($C$5&amp;"生成成长"),2))/((VLOOKUP($B158,INDIRECT($B$5&amp;"生成成长"),4))/(VLOOKUP(CM$72,INDIRECT($C$5&amp;"生成成长"),5))*(VLOOKUP($B$5,标准坦克设计!$B$24:$U$30,MATCH("对"&amp;LEFT($C$5,2)&amp;"输出",标准坦克设计!$B$23:$U$23,0)))*(VLOOKUP($B158,INDIRECT($B$5&amp;"生成成长"),3))*(VLOOKUP($B$5,标准坦克设计!$B$14:$K$20,9)/30))</f>
        <v>11.059941369937473</v>
      </c>
      <c r="CN158" s="173">
        <f ca="1">(VLOOKUP(CN$72,INDIRECT($C$5&amp;"生成成长"),2))/((VLOOKUP($B158,INDIRECT($B$5&amp;"生成成长"),4))/(VLOOKUP(CN$72,INDIRECT($C$5&amp;"生成成长"),5))*(VLOOKUP($B$5,标准坦克设计!$B$24:$U$30,MATCH("对"&amp;LEFT($C$5,2)&amp;"输出",标准坦克设计!$B$23:$U$23,0)))*(VLOOKUP($B158,INDIRECT($B$5&amp;"生成成长"),3))*(VLOOKUP($B$5,标准坦克设计!$B$14:$K$20,9)/30))</f>
        <v>11.761988429552645</v>
      </c>
      <c r="CO158" s="173">
        <f ca="1">(VLOOKUP(CO$72,INDIRECT($C$5&amp;"生成成长"),2))/((VLOOKUP($B158,INDIRECT($B$5&amp;"生成成长"),4))/(VLOOKUP(CO$72,INDIRECT($C$5&amp;"生成成长"),5))*(VLOOKUP($B$5,标准坦克设计!$B$24:$U$30,MATCH("对"&amp;LEFT($C$5,2)&amp;"输出",标准坦克设计!$B$23:$U$23,0)))*(VLOOKUP($B158,INDIRECT($B$5&amp;"生成成长"),3))*(VLOOKUP($B$5,标准坦克设计!$B$14:$K$20,9)/30))</f>
        <v>5.2708425712925964</v>
      </c>
      <c r="CP158" s="173">
        <f ca="1">(VLOOKUP(CP$72,INDIRECT($C$5&amp;"生成成长"),2))/((VLOOKUP($B158,INDIRECT($B$5&amp;"生成成长"),4))/(VLOOKUP(CP$72,INDIRECT($C$5&amp;"生成成长"),5))*(VLOOKUP($B$5,标准坦克设计!$B$24:$U$30,MATCH("对"&amp;LEFT($C$5,2)&amp;"输出",标准坦克设计!$B$23:$U$23,0)))*(VLOOKUP($B158,INDIRECT($B$5&amp;"生成成长"),3))*(VLOOKUP($B$5,标准坦克设计!$B$14:$K$20,9)/30))</f>
        <v>5.7588389190251004</v>
      </c>
      <c r="CQ158" s="173">
        <f ca="1">(VLOOKUP(CQ$72,INDIRECT($C$5&amp;"生成成长"),2))/((VLOOKUP($B158,INDIRECT($B$5&amp;"生成成长"),4))/(VLOOKUP(CQ$72,INDIRECT($C$5&amp;"生成成长"),5))*(VLOOKUP($B$5,标准坦克设计!$B$24:$U$30,MATCH("对"&amp;LEFT($C$5,2)&amp;"输出",标准坦克设计!$B$23:$U$23,0)))*(VLOOKUP($B158,INDIRECT($B$5&amp;"生成成长"),3))*(VLOOKUP($B$5,标准坦克设计!$B$14:$K$20,9)/30))</f>
        <v>6.2684367147457625</v>
      </c>
      <c r="CR158" s="173">
        <f ca="1">(VLOOKUP(CR$72,INDIRECT($C$5&amp;"生成成长"),2))/((VLOOKUP($B158,INDIRECT($B$5&amp;"生成成长"),4))/(VLOOKUP(CR$72,INDIRECT($C$5&amp;"生成成长"),5))*(VLOOKUP($B$5,标准坦克设计!$B$24:$U$30,MATCH("对"&amp;LEFT($C$5,2)&amp;"输出",标准坦克设计!$B$23:$U$23,0)))*(VLOOKUP($B158,INDIRECT($B$5&amp;"生成成长"),3))*(VLOOKUP($B$5,标准坦克设计!$B$14:$K$20,9)/30))</f>
        <v>6.7996359584545853</v>
      </c>
      <c r="CS158" s="173">
        <f ca="1">(VLOOKUP(CS$72,INDIRECT($C$5&amp;"生成成长"),2))/((VLOOKUP($B158,INDIRECT($B$5&amp;"生成成长"),4))/(VLOOKUP(CS$72,INDIRECT($C$5&amp;"生成成长"),5))*(VLOOKUP($B$5,标准坦克设计!$B$24:$U$30,MATCH("对"&amp;LEFT($C$5,2)&amp;"输出",标准坦克设计!$B$23:$U$23,0)))*(VLOOKUP($B158,INDIRECT($B$5&amp;"生成成长"),3))*(VLOOKUP($B$5,标准坦克设计!$B$14:$K$20,9)/30))</f>
        <v>7.3524366501515663</v>
      </c>
      <c r="CT158" s="173">
        <f ca="1">(VLOOKUP(CT$72,INDIRECT($C$5&amp;"生成成长"),2))/((VLOOKUP($B158,INDIRECT($B$5&amp;"生成成长"),4))/(VLOOKUP(CT$72,INDIRECT($C$5&amp;"生成成长"),5))*(VLOOKUP($B$5,标准坦克设计!$B$24:$U$30,MATCH("对"&amp;LEFT($C$5,2)&amp;"输出",标准坦克设计!$B$23:$U$23,0)))*(VLOOKUP($B158,INDIRECT($B$5&amp;"生成成长"),3))*(VLOOKUP($B$5,标准坦克设计!$B$14:$K$20,9)/30))</f>
        <v>7.9268387898367081</v>
      </c>
      <c r="CU158" s="173">
        <f ca="1">(VLOOKUP(CU$72,INDIRECT($C$5&amp;"生成成长"),2))/((VLOOKUP($B158,INDIRECT($B$5&amp;"生成成长"),4))/(VLOOKUP(CU$72,INDIRECT($C$5&amp;"生成成长"),5))*(VLOOKUP($B$5,标准坦克设计!$B$24:$U$30,MATCH("对"&amp;LEFT($C$5,2)&amp;"输出",标准坦克设计!$B$23:$U$23,0)))*(VLOOKUP($B158,INDIRECT($B$5&amp;"生成成长"),3))*(VLOOKUP($B$5,标准坦克设计!$B$14:$K$20,9)/30))</f>
        <v>8.5228423775100044</v>
      </c>
      <c r="CV158" s="173">
        <f ca="1">(VLOOKUP(CV$72,INDIRECT($C$5&amp;"生成成长"),2))/((VLOOKUP($B158,INDIRECT($B$5&amp;"生成成长"),4))/(VLOOKUP(CV$72,INDIRECT($C$5&amp;"生成成长"),5))*(VLOOKUP($B$5,标准坦克设计!$B$24:$U$30,MATCH("对"&amp;LEFT($C$5,2)&amp;"输出",标准坦克设计!$B$23:$U$23,0)))*(VLOOKUP($B158,INDIRECT($B$5&amp;"生成成长"),3))*(VLOOKUP($B$5,标准坦克设计!$B$14:$K$20,9)/30))</f>
        <v>9.1404474131714668</v>
      </c>
      <c r="CW158" s="173">
        <f ca="1">(VLOOKUP(CW$72,INDIRECT($C$5&amp;"生成成长"),2))/((VLOOKUP($B158,INDIRECT($B$5&amp;"生成成长"),4))/(VLOOKUP(CW$72,INDIRECT($C$5&amp;"生成成长"),5))*(VLOOKUP($B$5,标准坦克设计!$B$24:$U$30,MATCH("对"&amp;LEFT($C$5,2)&amp;"输出",标准坦克设计!$B$23:$U$23,0)))*(VLOOKUP($B158,INDIRECT($B$5&amp;"生成成长"),3))*(VLOOKUP($B$5,标准坦克设计!$B$14:$K$20,9)/30))</f>
        <v>9.7796538968210847</v>
      </c>
      <c r="CX158" s="173">
        <f ca="1">(VLOOKUP(CX$72,INDIRECT($C$5&amp;"生成成长"),2))/((VLOOKUP($B158,INDIRECT($B$5&amp;"生成成长"),4))/(VLOOKUP(CX$72,INDIRECT($C$5&amp;"生成成长"),5))*(VLOOKUP($B$5,标准坦克设计!$B$24:$U$30,MATCH("对"&amp;LEFT($C$5,2)&amp;"输出",标准坦克设计!$B$23:$U$23,0)))*(VLOOKUP($B158,INDIRECT($B$5&amp;"生成成长"),3))*(VLOOKUP($B$5,标准坦克设计!$B$14:$K$20,9)/30))</f>
        <v>10.44046182845886</v>
      </c>
      <c r="CY158" s="173">
        <f ca="1">(VLOOKUP(CY$72,INDIRECT($C$5&amp;"生成成长"),2))/((VLOOKUP($B158,INDIRECT($B$5&amp;"生成成长"),4))/(VLOOKUP(CY$72,INDIRECT($C$5&amp;"生成成长"),5))*(VLOOKUP($B$5,标准坦克设计!$B$24:$U$30,MATCH("对"&amp;LEFT($C$5,2)&amp;"输出",标准坦克设计!$B$23:$U$23,0)))*(VLOOKUP($B158,INDIRECT($B$5&amp;"生成成长"),3))*(VLOOKUP($B$5,标准坦克设计!$B$14:$K$20,9)/30))</f>
        <v>11.122871208084797</v>
      </c>
      <c r="CZ158" s="173">
        <f ca="1">(VLOOKUP(CZ$72,INDIRECT($C$5&amp;"生成成长"),2))/((VLOOKUP($B158,INDIRECT($B$5&amp;"生成成长"),4))/(VLOOKUP(CZ$72,INDIRECT($C$5&amp;"生成成长"),5))*(VLOOKUP($B$5,标准坦克设计!$B$24:$U$30,MATCH("对"&amp;LEFT($C$5,2)&amp;"输出",标准坦克设计!$B$23:$U$23,0)))*(VLOOKUP($B158,INDIRECT($B$5&amp;"生成成长"),3))*(VLOOKUP($B$5,标准坦克设计!$B$14:$K$20,9)/30))</f>
        <v>11.826882035698892</v>
      </c>
      <c r="DA158" s="173">
        <f ca="1">(VLOOKUP(DA$72,INDIRECT($C$5&amp;"生成成长"),2))/((VLOOKUP($B158,INDIRECT($B$5&amp;"生成成长"),4))/(VLOOKUP(DA$72,INDIRECT($C$5&amp;"生成成长"),5))*(VLOOKUP($B$5,标准坦克设计!$B$24:$U$30,MATCH("对"&amp;LEFT($C$5,2)&amp;"输出",标准坦克设计!$B$23:$U$23,0)))*(VLOOKUP($B158,INDIRECT($B$5&amp;"生成成长"),3))*(VLOOKUP($B$5,标准坦克设计!$B$14:$K$20,9)/30))</f>
        <v>12.552494311301144</v>
      </c>
      <c r="DB158" s="173">
        <f ca="1">(VLOOKUP(DB$72,INDIRECT($C$5&amp;"生成成长"),2))/((VLOOKUP($B158,INDIRECT($B$5&amp;"生成成长"),4))/(VLOOKUP(DB$72,INDIRECT($C$5&amp;"生成成长"),5))*(VLOOKUP($B$5,标准坦克设计!$B$24:$U$30,MATCH("对"&amp;LEFT($C$5,2)&amp;"输出",标准坦克设计!$B$23:$U$23,0)))*(VLOOKUP($B158,INDIRECT($B$5&amp;"生成成长"),3))*(VLOOKUP($B$5,标准坦克设计!$B$14:$K$20,9)/30))</f>
        <v>13.299708034891557</v>
      </c>
      <c r="DC158" s="173">
        <f ca="1">(VLOOKUP(DC$72,INDIRECT($C$5&amp;"生成成长"),2))/((VLOOKUP($B158,INDIRECT($B$5&amp;"生成成长"),4))/(VLOOKUP(DC$72,INDIRECT($C$5&amp;"生成成长"),5))*(VLOOKUP($B$5,标准坦克设计!$B$24:$U$30,MATCH("对"&amp;LEFT($C$5,2)&amp;"输出",标准坦克设计!$B$23:$U$23,0)))*(VLOOKUP($B158,INDIRECT($B$5&amp;"生成成长"),3))*(VLOOKUP($B$5,标准坦克设计!$B$14:$K$20,9)/30))</f>
        <v>14.139486640976685</v>
      </c>
      <c r="DD158" s="173">
        <f ca="1">(VLOOKUP(DD$72,INDIRECT($C$5&amp;"生成成长"),2))/((VLOOKUP($B158,INDIRECT($B$5&amp;"生成成长"),4))/(VLOOKUP(DD$72,INDIRECT($C$5&amp;"生成成长"),5))*(VLOOKUP($B$5,标准坦克设计!$B$24:$U$30,MATCH("对"&amp;LEFT($C$5,2)&amp;"输出",标准坦克设计!$B$23:$U$23,0)))*(VLOOKUP($B158,INDIRECT($B$5&amp;"生成成长"),3))*(VLOOKUP($B$5,标准坦克设计!$B$14:$K$20,9)/30))</f>
        <v>15.004972755411359</v>
      </c>
      <c r="DE158" s="173">
        <f ca="1">(VLOOKUP(DE$72,INDIRECT($C$5&amp;"生成成长"),2))/((VLOOKUP($B158,INDIRECT($B$5&amp;"生成成长"),4))/(VLOOKUP(DE$72,INDIRECT($C$5&amp;"生成成长"),5))*(VLOOKUP($B$5,标准坦克设计!$B$24:$U$30,MATCH("对"&amp;LEFT($C$5,2)&amp;"输出",标准坦克设计!$B$23:$U$23,0)))*(VLOOKUP($B158,INDIRECT($B$5&amp;"生成成长"),3))*(VLOOKUP($B$5,标准坦克设计!$B$14:$K$20,9)/30))</f>
        <v>15.896166378195579</v>
      </c>
      <c r="DF158" s="173">
        <f ca="1">(VLOOKUP(DF$72,INDIRECT($C$5&amp;"生成成长"),2))/((VLOOKUP($B158,INDIRECT($B$5&amp;"生成成长"),4))/(VLOOKUP(DF$72,INDIRECT($C$5&amp;"生成成长"),5))*(VLOOKUP($B$5,标准坦克设计!$B$24:$U$30,MATCH("对"&amp;LEFT($C$5,2)&amp;"输出",标准坦克设计!$B$23:$U$23,0)))*(VLOOKUP($B158,INDIRECT($B$5&amp;"生成成长"),3))*(VLOOKUP($B$5,标准坦克设计!$B$14:$K$20,9)/30))</f>
        <v>16.81306750932934</v>
      </c>
      <c r="DG158" s="173">
        <f ca="1">(VLOOKUP(DG$72,INDIRECT($C$5&amp;"生成成长"),2))/((VLOOKUP($B158,INDIRECT($B$5&amp;"生成成长"),4))/(VLOOKUP(DG$72,INDIRECT($C$5&amp;"生成成长"),5))*(VLOOKUP($B$5,标准坦克设计!$B$24:$U$30,MATCH("对"&amp;LEFT($C$5,2)&amp;"输出",标准坦克设计!$B$23:$U$23,0)))*(VLOOKUP($B158,INDIRECT($B$5&amp;"生成成长"),3))*(VLOOKUP($B$5,标准坦克设计!$B$14:$K$20,9)/30))</f>
        <v>17.755676148812647</v>
      </c>
      <c r="DH158" s="173">
        <f ca="1">(VLOOKUP(DH$72,INDIRECT($C$5&amp;"生成成长"),2))/((VLOOKUP($B158,INDIRECT($B$5&amp;"生成成长"),4))/(VLOOKUP(DH$72,INDIRECT($C$5&amp;"生成成长"),5))*(VLOOKUP($B$5,标准坦克设计!$B$24:$U$30,MATCH("对"&amp;LEFT($C$5,2)&amp;"输出",标准坦克设计!$B$23:$U$23,0)))*(VLOOKUP($B158,INDIRECT($B$5&amp;"生成成长"),3))*(VLOOKUP($B$5,标准坦克设计!$B$14:$K$20,9)/30))</f>
        <v>18.723992296645498</v>
      </c>
      <c r="DI158" s="173">
        <f ca="1">(VLOOKUP(DI$72,INDIRECT($C$5&amp;"生成成长"),2))/((VLOOKUP($B158,INDIRECT($B$5&amp;"生成成长"),4))/(VLOOKUP(DI$72,INDIRECT($C$5&amp;"生成成长"),5))*(VLOOKUP($B$5,标准坦克设计!$B$24:$U$30,MATCH("对"&amp;LEFT($C$5,2)&amp;"输出",标准坦克设计!$B$23:$U$23,0)))*(VLOOKUP($B158,INDIRECT($B$5&amp;"生成成长"),3))*(VLOOKUP($B$5,标准坦克设计!$B$14:$K$20,9)/30))</f>
        <v>19.718015952827894</v>
      </c>
      <c r="DJ158" s="173">
        <f ca="1">(VLOOKUP(DJ$72,INDIRECT($C$5&amp;"生成成长"),2))/((VLOOKUP($B158,INDIRECT($B$5&amp;"生成成长"),4))/(VLOOKUP(DJ$72,INDIRECT($C$5&amp;"生成成长"),5))*(VLOOKUP($B$5,标准坦克设计!$B$24:$U$30,MATCH("对"&amp;LEFT($C$5,2)&amp;"输出",标准坦克设计!$B$23:$U$23,0)))*(VLOOKUP($B158,INDIRECT($B$5&amp;"生成成长"),3))*(VLOOKUP($B$5,标准坦克设计!$B$14:$K$20,9)/30))</f>
        <v>1.981709697459177</v>
      </c>
      <c r="DK158" s="173">
        <f ca="1">(VLOOKUP(DK$72,INDIRECT($C$5&amp;"生成成长"),2))/((VLOOKUP($B158,INDIRECT($B$5&amp;"生成成长"),4))/(VLOOKUP(DK$72,INDIRECT($C$5&amp;"生成成长"),5))*(VLOOKUP($B$5,标准坦克设计!$B$24:$U$30,MATCH("对"&amp;LEFT($C$5,2)&amp;"输出",标准坦克设计!$B$23:$U$23,0)))*(VLOOKUP($B158,INDIRECT($B$5&amp;"生成成长"),3))*(VLOOKUP($B$5,标准坦克设计!$B$14:$K$20,9)/30))</f>
        <v>2.2283411056876217</v>
      </c>
      <c r="DL158" s="173">
        <f ca="1">(VLOOKUP(DL$72,INDIRECT($C$5&amp;"生成成长"),2))/((VLOOKUP($B158,INDIRECT($B$5&amp;"生成成长"),4))/(VLOOKUP(DL$72,INDIRECT($C$5&amp;"生成成长"),5))*(VLOOKUP($B$5,标准坦克设计!$B$24:$U$30,MATCH("对"&amp;LEFT($C$5,2)&amp;"输出",标准坦克设计!$B$23:$U$23,0)))*(VLOOKUP($B158,INDIRECT($B$5&amp;"生成成长"),3))*(VLOOKUP($B$5,标准坦克设计!$B$14:$K$20,9)/30))</f>
        <v>2.4894329873626853</v>
      </c>
      <c r="DM158" s="173">
        <f ca="1">(VLOOKUP(DM$72,INDIRECT($C$5&amp;"生成成长"),2))/((VLOOKUP($B158,INDIRECT($B$5&amp;"生成成长"),4))/(VLOOKUP(DM$72,INDIRECT($C$5&amp;"生成成长"),5))*(VLOOKUP($B$5,标准坦克设计!$B$24:$U$30,MATCH("对"&amp;LEFT($C$5,2)&amp;"输出",标准坦克设计!$B$23:$U$23,0)))*(VLOOKUP($B158,INDIRECT($B$5&amp;"生成成长"),3))*(VLOOKUP($B$5,标准坦克设计!$B$14:$K$20,9)/30))</f>
        <v>2.7649853424843682</v>
      </c>
      <c r="DN158" s="173">
        <f ca="1">(VLOOKUP(DN$72,INDIRECT($C$5&amp;"生成成长"),2))/((VLOOKUP($B158,INDIRECT($B$5&amp;"生成成长"),4))/(VLOOKUP(DN$72,INDIRECT($C$5&amp;"生成成长"),5))*(VLOOKUP($B$5,标准坦克设计!$B$24:$U$30,MATCH("对"&amp;LEFT($C$5,2)&amp;"输出",标准坦克设计!$B$23:$U$23,0)))*(VLOOKUP($B158,INDIRECT($B$5&amp;"生成成长"),3))*(VLOOKUP($B$5,标准坦克设计!$B$14:$K$20,9)/30))</f>
        <v>3.0549981710526701</v>
      </c>
      <c r="DO158" s="173">
        <f ca="1">(VLOOKUP(DO$72,INDIRECT($C$5&amp;"生成成长"),2))/((VLOOKUP($B158,INDIRECT($B$5&amp;"生成成长"),4))/(VLOOKUP(DO$72,INDIRECT($C$5&amp;"生成成长"),5))*(VLOOKUP($B$5,标准坦克设计!$B$24:$U$30,MATCH("对"&amp;LEFT($C$5,2)&amp;"输出",标准坦克设计!$B$23:$U$23,0)))*(VLOOKUP($B158,INDIRECT($B$5&amp;"生成成长"),3))*(VLOOKUP($B$5,标准坦克设计!$B$14:$K$20,9)/30))</f>
        <v>3.359471473067591</v>
      </c>
      <c r="DP158" s="173">
        <f ca="1">(VLOOKUP(DP$72,INDIRECT($C$5&amp;"生成成长"),2))/((VLOOKUP($B158,INDIRECT($B$5&amp;"生成成长"),4))/(VLOOKUP(DP$72,INDIRECT($C$5&amp;"生成成长"),5))*(VLOOKUP($B$5,标准坦克设计!$B$24:$U$30,MATCH("对"&amp;LEFT($C$5,2)&amp;"输出",标准坦克设计!$B$23:$U$23,0)))*(VLOOKUP($B158,INDIRECT($B$5&amp;"生成成长"),3))*(VLOOKUP($B$5,标准坦克设计!$B$14:$K$20,9)/30))</f>
        <v>3.6784052485291294</v>
      </c>
      <c r="DQ158" s="173">
        <f ca="1">(VLOOKUP(DQ$72,INDIRECT($C$5&amp;"生成成长"),2))/((VLOOKUP($B158,INDIRECT($B$5&amp;"生成成长"),4))/(VLOOKUP(DQ$72,INDIRECT($C$5&amp;"生成成长"),5))*(VLOOKUP($B$5,标准坦克设计!$B$24:$U$30,MATCH("对"&amp;LEFT($C$5,2)&amp;"输出",标准坦克设计!$B$23:$U$23,0)))*(VLOOKUP($B158,INDIRECT($B$5&amp;"生成成长"),3))*(VLOOKUP($B$5,标准坦克设计!$B$14:$K$20,9)/30))</f>
        <v>4.0117994974372877</v>
      </c>
      <c r="DR158" s="173">
        <f ca="1">(VLOOKUP(DR$72,INDIRECT($C$5&amp;"生成成长"),2))/((VLOOKUP($B158,INDIRECT($B$5&amp;"生成成长"),4))/(VLOOKUP(DR$72,INDIRECT($C$5&amp;"生成成长"),5))*(VLOOKUP($B$5,标准坦克设计!$B$24:$U$30,MATCH("对"&amp;LEFT($C$5,2)&amp;"输出",标准坦克设计!$B$23:$U$23,0)))*(VLOOKUP($B158,INDIRECT($B$5&amp;"生成成长"),3))*(VLOOKUP($B$5,标准坦克设计!$B$14:$K$20,9)/30))</f>
        <v>4.3596542197920654</v>
      </c>
      <c r="DS158" s="173">
        <f ca="1">(VLOOKUP(DS$72,INDIRECT($C$5&amp;"生成成长"),2))/((VLOOKUP($B158,INDIRECT($B$5&amp;"生成成长"),4))/(VLOOKUP(DS$72,INDIRECT($C$5&amp;"生成成长"),5))*(VLOOKUP($B$5,标准坦克设计!$B$24:$U$30,MATCH("对"&amp;LEFT($C$5,2)&amp;"输出",标准坦克设计!$B$23:$U$23,0)))*(VLOOKUP($B158,INDIRECT($B$5&amp;"生成成长"),3))*(VLOOKUP($B$5,标准坦克设计!$B$14:$K$20,9)/30))</f>
        <v>4.7219694155934615</v>
      </c>
      <c r="DT158" s="173">
        <f ca="1">(VLOOKUP(DT$72,INDIRECT($C$5&amp;"生成成长"),2))/((VLOOKUP($B158,INDIRECT($B$5&amp;"生成成长"),4))/(VLOOKUP(DT$72,INDIRECT($C$5&amp;"生成成长"),5))*(VLOOKUP($B$5,标准坦克设计!$B$24:$U$30,MATCH("对"&amp;LEFT($C$5,2)&amp;"输出",标准坦克设计!$B$23:$U$23,0)))*(VLOOKUP($B158,INDIRECT($B$5&amp;"生成成长"),3))*(VLOOKUP($B$5,标准坦克设计!$B$14:$K$20,9)/30))</f>
        <v>5.1844367793399595</v>
      </c>
      <c r="DU158" s="173">
        <f ca="1">(VLOOKUP(DU$72,INDIRECT($C$5&amp;"生成成长"),2))/((VLOOKUP($B158,INDIRECT($B$5&amp;"生成成长"),4))/(VLOOKUP(DU$72,INDIRECT($C$5&amp;"生成成长"),5))*(VLOOKUP($B$5,标准坦克设计!$B$24:$U$30,MATCH("对"&amp;LEFT($C$5,2)&amp;"输出",标准坦克设计!$B$23:$U$23,0)))*(VLOOKUP($B158,INDIRECT($B$5&amp;"生成成长"),3))*(VLOOKUP($B$5,标准坦克设计!$B$14:$K$20,9)/30))</f>
        <v>5.6685055910746174</v>
      </c>
      <c r="DV158" s="173">
        <f ca="1">(VLOOKUP(DV$72,INDIRECT($C$5&amp;"生成成长"),2))/((VLOOKUP($B158,INDIRECT($B$5&amp;"生成成长"),4))/(VLOOKUP(DV$72,INDIRECT($C$5&amp;"生成成长"),5))*(VLOOKUP($B$5,标准坦克设计!$B$24:$U$30,MATCH("对"&amp;LEFT($C$5,2)&amp;"输出",标准坦克设计!$B$23:$U$23,0)))*(VLOOKUP($B158,INDIRECT($B$5&amp;"生成成长"),3))*(VLOOKUP($B$5,标准坦克设计!$B$14:$K$20,9)/30))</f>
        <v>6.1741758507974316</v>
      </c>
      <c r="DW158" s="173">
        <f ca="1">(VLOOKUP(DW$72,INDIRECT($C$5&amp;"生成成长"),2))/((VLOOKUP($B158,INDIRECT($B$5&amp;"生成成长"),4))/(VLOOKUP(DW$72,INDIRECT($C$5&amp;"生成成长"),5))*(VLOOKUP($B$5,标准坦克设计!$B$24:$U$30,MATCH("对"&amp;LEFT($C$5,2)&amp;"输出",标准坦克设计!$B$23:$U$23,0)))*(VLOOKUP($B158,INDIRECT($B$5&amp;"生成成长"),3))*(VLOOKUP($B$5,标准坦克设计!$B$14:$K$20,9)/30))</f>
        <v>6.7014475585084075</v>
      </c>
      <c r="DX158" s="173">
        <f ca="1">(VLOOKUP(DX$72,INDIRECT($C$5&amp;"生成成长"),2))/((VLOOKUP($B158,INDIRECT($B$5&amp;"生成成长"),4))/(VLOOKUP(DX$72,INDIRECT($C$5&amp;"生成成长"),5))*(VLOOKUP($B$5,标准坦克设计!$B$24:$U$30,MATCH("对"&amp;LEFT($C$5,2)&amp;"输出",标准坦克设计!$B$23:$U$23,0)))*(VLOOKUP($B158,INDIRECT($B$5&amp;"生成成长"),3))*(VLOOKUP($B$5,标准坦克设计!$B$14:$K$20,9)/30))</f>
        <v>7.2503207142075414</v>
      </c>
      <c r="DY158" s="173">
        <f ca="1">(VLOOKUP(DY$72,INDIRECT($C$5&amp;"生成成长"),2))/((VLOOKUP($B158,INDIRECT($B$5&amp;"生成成长"),4))/(VLOOKUP(DY$72,INDIRECT($C$5&amp;"生成成长"),5))*(VLOOKUP($B$5,标准坦克设计!$B$24:$U$30,MATCH("对"&amp;LEFT($C$5,2)&amp;"输出",标准坦克设计!$B$23:$U$23,0)))*(VLOOKUP($B158,INDIRECT($B$5&amp;"生成成长"),3))*(VLOOKUP($B$5,标准坦克设计!$B$14:$K$20,9)/30))</f>
        <v>3.2563736531241037</v>
      </c>
      <c r="DZ158" s="173">
        <f ca="1">(VLOOKUP(DZ$72,INDIRECT($C$5&amp;"生成成长"),2))/((VLOOKUP($B158,INDIRECT($B$5&amp;"生成成长"),4))/(VLOOKUP(DZ$72,INDIRECT($C$5&amp;"生成成长"),5))*(VLOOKUP($B$5,标准坦克设计!$B$24:$U$30,MATCH("对"&amp;LEFT($C$5,2)&amp;"输出",标准坦克设计!$B$23:$U$23,0)))*(VLOOKUP($B158,INDIRECT($B$5&amp;"生成成长"),3))*(VLOOKUP($B$5,标准坦克设计!$B$14:$K$20,9)/30))</f>
        <v>3.6062814056595736</v>
      </c>
      <c r="EA158" s="173">
        <f ca="1">(VLOOKUP(EA$72,INDIRECT($C$5&amp;"生成成长"),2))/((VLOOKUP($B158,INDIRECT($B$5&amp;"生成成长"),4))/(VLOOKUP(EA$72,INDIRECT($C$5&amp;"生成成长"),5))*(VLOOKUP($B$5,标准坦克设计!$B$24:$U$30,MATCH("对"&amp;LEFT($C$5,2)&amp;"输出",标准坦克设计!$B$23:$U$23,0)))*(VLOOKUP($B158,INDIRECT($B$5&amp;"生成成长"),3))*(VLOOKUP($B$5,标准坦克设计!$B$14:$K$20,9)/30))</f>
        <v>3.9740415945488947</v>
      </c>
      <c r="EB158" s="173">
        <f ca="1">(VLOOKUP(EB$72,INDIRECT($C$5&amp;"生成成长"),2))/((VLOOKUP($B158,INDIRECT($B$5&amp;"生成成长"),4))/(VLOOKUP(EB$72,INDIRECT($C$5&amp;"生成成长"),5))*(VLOOKUP($B$5,标准坦克设计!$B$24:$U$30,MATCH("对"&amp;LEFT($C$5,2)&amp;"输出",标准坦克设计!$B$23:$U$23,0)))*(VLOOKUP($B158,INDIRECT($B$5&amp;"生成成长"),3))*(VLOOKUP($B$5,标准坦克设计!$B$14:$K$20,9)/30))</f>
        <v>4.3596542197920654</v>
      </c>
      <c r="EC158" s="173">
        <f ca="1">(VLOOKUP(EC$72,INDIRECT($C$5&amp;"生成成长"),2))/((VLOOKUP($B158,INDIRECT($B$5&amp;"生成成长"),4))/(VLOOKUP(EC$72,INDIRECT($C$5&amp;"生成成长"),5))*(VLOOKUP($B$5,标准坦克设计!$B$24:$U$30,MATCH("对"&amp;LEFT($C$5,2)&amp;"输出",标准坦克设计!$B$23:$U$23,0)))*(VLOOKUP($B158,INDIRECT($B$5&amp;"生成成长"),3))*(VLOOKUP($B$5,标准坦克设计!$B$14:$K$20,9)/30))</f>
        <v>4.7631192813890877</v>
      </c>
      <c r="ED158" s="173">
        <f ca="1">(VLOOKUP(ED$72,INDIRECT($C$5&amp;"生成成长"),2))/((VLOOKUP($B158,INDIRECT($B$5&amp;"生成成长"),4))/(VLOOKUP(ED$72,INDIRECT($C$5&amp;"生成成长"),5))*(VLOOKUP($B$5,标准坦克设计!$B$24:$U$30,MATCH("对"&amp;LEFT($C$5,2)&amp;"输出",标准坦克设计!$B$23:$U$23,0)))*(VLOOKUP($B158,INDIRECT($B$5&amp;"生成成长"),3))*(VLOOKUP($B$5,标准坦克设计!$B$14:$K$20,9)/30))</f>
        <v>5.1844367793399595</v>
      </c>
      <c r="EE158" s="173">
        <f ca="1">(VLOOKUP(EE$72,INDIRECT($C$5&amp;"生成成长"),2))/((VLOOKUP($B158,INDIRECT($B$5&amp;"生成成长"),4))/(VLOOKUP(EE$72,INDIRECT($C$5&amp;"生成成长"),5))*(VLOOKUP($B$5,标准坦克设计!$B$24:$U$30,MATCH("对"&amp;LEFT($C$5,2)&amp;"输出",标准坦克设计!$B$23:$U$23,0)))*(VLOOKUP($B158,INDIRECT($B$5&amp;"生成成长"),3))*(VLOOKUP($B$5,标准坦克设计!$B$14:$K$20,9)/30))</f>
        <v>5.6236067136446826</v>
      </c>
      <c r="EF158" s="173">
        <f ca="1">(VLOOKUP(EF$72,INDIRECT($C$5&amp;"生成成长"),2))/((VLOOKUP($B158,INDIRECT($B$5&amp;"生成成长"),4))/(VLOOKUP(EF$72,INDIRECT($C$5&amp;"生成成长"),5))*(VLOOKUP($B$5,标准坦克设计!$B$24:$U$30,MATCH("对"&amp;LEFT($C$5,2)&amp;"输出",标准坦克设计!$B$23:$U$23,0)))*(VLOOKUP($B158,INDIRECT($B$5&amp;"生成成长"),3))*(VLOOKUP($B$5,标准坦克设计!$B$14:$K$20,9)/30))</f>
        <v>6.0806290843032551</v>
      </c>
      <c r="EG158" s="173">
        <f ca="1">(VLOOKUP(EG$72,INDIRECT($C$5&amp;"生成成长"),2))/((VLOOKUP($B158,INDIRECT($B$5&amp;"生成成长"),4))/(VLOOKUP(EG$72,INDIRECT($C$5&amp;"生成成长"),5))*(VLOOKUP($B$5,标准坦克设计!$B$24:$U$30,MATCH("对"&amp;LEFT($C$5,2)&amp;"输出",标准坦克设计!$B$23:$U$23,0)))*(VLOOKUP($B158,INDIRECT($B$5&amp;"生成成长"),3))*(VLOOKUP($B$5,标准坦克设计!$B$14:$K$20,9)/30))</f>
        <v>6.5555038913156798</v>
      </c>
      <c r="EH158" s="173">
        <f ca="1">(VLOOKUP(EH$72,INDIRECT($C$5&amp;"生成成长"),2))/((VLOOKUP($B158,INDIRECT($B$5&amp;"生成成长"),4))/(VLOOKUP(EH$72,INDIRECT($C$5&amp;"生成成长"),5))*(VLOOKUP($B$5,标准坦克设计!$B$24:$U$30,MATCH("对"&amp;LEFT($C$5,2)&amp;"输出",标准坦克设计!$B$23:$U$23,0)))*(VLOOKUP($B158,INDIRECT($B$5&amp;"生成成长"),3))*(VLOOKUP($B$5,标准坦克设计!$B$14:$K$20,9)/30))</f>
        <v>7.0482311346819539</v>
      </c>
      <c r="EI158" s="173">
        <f ca="1">(VLOOKUP(EI$72,INDIRECT($C$5&amp;"生成成长"),2))/((VLOOKUP($B158,INDIRECT($B$5&amp;"生成成长"),4))/(VLOOKUP(EI$72,INDIRECT($C$5&amp;"生成成长"),5))*(VLOOKUP($B$5,标准坦克设计!$B$24:$U$30,MATCH("对"&amp;LEFT($C$5,2)&amp;"输出",标准坦克设计!$B$23:$U$23,0)))*(VLOOKUP($B158,INDIRECT($B$5&amp;"生成成长"),3))*(VLOOKUP($B$5,标准坦克设计!$B$14:$K$20,9)/30))</f>
        <v>7.5588108144020776</v>
      </c>
      <c r="EJ158" s="173">
        <f ca="1">(VLOOKUP(EJ$72,INDIRECT($C$5&amp;"生成成长"),2))/((VLOOKUP($B158,INDIRECT($B$5&amp;"生成成长"),4))/(VLOOKUP(EJ$72,INDIRECT($C$5&amp;"生成成长"),5))*(VLOOKUP($B$5,标准坦克设计!$B$24:$U$30,MATCH("对"&amp;LEFT($C$5,2)&amp;"输出",标准坦克设计!$B$23:$U$23,0)))*(VLOOKUP($B158,INDIRECT($B$5&amp;"生成成长"),3))*(VLOOKUP($B$5,标准坦克设计!$B$14:$K$20,9)/30))</f>
        <v>8.0872429304760534</v>
      </c>
      <c r="EK158" s="173">
        <f ca="1">(VLOOKUP(EK$72,INDIRECT($C$5&amp;"生成成长"),2))/((VLOOKUP($B158,INDIRECT($B$5&amp;"生成成长"),4))/(VLOOKUP(EK$72,INDIRECT($C$5&amp;"生成成长"),5))*(VLOOKUP($B$5,标准坦克设计!$B$24:$U$30,MATCH("对"&amp;LEFT($C$5,2)&amp;"输出",标准坦克设计!$B$23:$U$23,0)))*(VLOOKUP($B158,INDIRECT($B$5&amp;"生成成长"),3))*(VLOOKUP($B$5,标准坦克设计!$B$14:$K$20,9)/30))</f>
        <v>8.7449266857519081</v>
      </c>
      <c r="EL158" s="173">
        <f ca="1">(VLOOKUP(EL$72,INDIRECT($C$5&amp;"生成成长"),2))/((VLOOKUP($B158,INDIRECT($B$5&amp;"生成成长"),4))/(VLOOKUP(EL$72,INDIRECT($C$5&amp;"生成成长"),5))*(VLOOKUP($B$5,标准坦克设计!$B$24:$U$30,MATCH("对"&amp;LEFT($C$5,2)&amp;"输出",标准坦克设计!$B$23:$U$23,0)))*(VLOOKUP($B158,INDIRECT($B$5&amp;"生成成长"),3))*(VLOOKUP($B$5,标准坦克设计!$B$14:$K$20,9)/30))</f>
        <v>9.4283179493773037</v>
      </c>
      <c r="EM158" s="173">
        <f ca="1">(VLOOKUP(EM$72,INDIRECT($C$5&amp;"生成成长"),2))/((VLOOKUP($B158,INDIRECT($B$5&amp;"生成成长"),4))/(VLOOKUP(EM$72,INDIRECT($C$5&amp;"生成成长"),5))*(VLOOKUP($B$5,标准坦克设计!$B$24:$U$30,MATCH("对"&amp;LEFT($C$5,2)&amp;"输出",标准坦克设计!$B$23:$U$23,0)))*(VLOOKUP($B158,INDIRECT($B$5&amp;"生成成长"),3))*(VLOOKUP($B$5,标准坦克设计!$B$14:$K$20,9)/30))</f>
        <v>10.137416721352245</v>
      </c>
      <c r="EN158" s="173">
        <f ca="1">(VLOOKUP(EN$72,INDIRECT($C$5&amp;"生成成长"),2))/((VLOOKUP($B158,INDIRECT($B$5&amp;"生成成长"),4))/(VLOOKUP(EN$72,INDIRECT($C$5&amp;"生成成长"),5))*(VLOOKUP($B$5,标准坦克设计!$B$24:$U$30,MATCH("对"&amp;LEFT($C$5,2)&amp;"输出",标准坦克设计!$B$23:$U$23,0)))*(VLOOKUP($B158,INDIRECT($B$5&amp;"生成成长"),3))*(VLOOKUP($B$5,标准坦克设计!$B$14:$K$20,9)/30))</f>
        <v>10.872223001676735</v>
      </c>
      <c r="EO158" s="173">
        <f ca="1">(VLOOKUP(EO$72,INDIRECT($C$5&amp;"生成成长"),2))/((VLOOKUP($B158,INDIRECT($B$5&amp;"生成成长"),4))/(VLOOKUP(EO$72,INDIRECT($C$5&amp;"生成成长"),5))*(VLOOKUP($B$5,标准坦克设计!$B$24:$U$30,MATCH("对"&amp;LEFT($C$5,2)&amp;"输出",标准坦克设计!$B$23:$U$23,0)))*(VLOOKUP($B158,INDIRECT($B$5&amp;"生成成长"),3))*(VLOOKUP($B$5,标准坦克设计!$B$14:$K$20,9)/30))</f>
        <v>11.632736790350766</v>
      </c>
      <c r="EP158" s="173">
        <f ca="1">(VLOOKUP(EP$72,INDIRECT($C$5&amp;"生成成长"),2))/((VLOOKUP($B158,INDIRECT($B$5&amp;"生成成长"),4))/(VLOOKUP(EP$72,INDIRECT($C$5&amp;"生成成长"),5))*(VLOOKUP($B$5,标准坦克设计!$B$24:$U$30,MATCH("对"&amp;LEFT($C$5,2)&amp;"输出",标准坦克设计!$B$23:$U$23,0)))*(VLOOKUP($B158,INDIRECT($B$5&amp;"生成成长"),3))*(VLOOKUP($B$5,标准坦克设计!$B$14:$K$20,9)/30))</f>
        <v>12.418958087374344</v>
      </c>
      <c r="EQ158" s="173">
        <f ca="1">(VLOOKUP(EQ$72,INDIRECT($C$5&amp;"生成成长"),2))/((VLOOKUP($B158,INDIRECT($B$5&amp;"生成成长"),4))/(VLOOKUP(EQ$72,INDIRECT($C$5&amp;"生成成长"),5))*(VLOOKUP($B$5,标准坦克设计!$B$24:$U$30,MATCH("对"&amp;LEFT($C$5,2)&amp;"输出",标准坦克设计!$B$23:$U$23,0)))*(VLOOKUP($B158,INDIRECT($B$5&amp;"生成成长"),3))*(VLOOKUP($B$5,标准坦克设计!$B$14:$K$20,9)/30))</f>
        <v>5.489981227536112</v>
      </c>
      <c r="ER158" s="173">
        <f ca="1">(VLOOKUP(ER$72,INDIRECT($C$5&amp;"生成成长"),2))/((VLOOKUP($B158,INDIRECT($B$5&amp;"生成成长"),4))/(VLOOKUP(ER$72,INDIRECT($C$5&amp;"生成成长"),5))*(VLOOKUP($B$5,标准坦克设计!$B$24:$U$30,MATCH("对"&amp;LEFT($C$5,2)&amp;"输出",标准坦克设计!$B$23:$U$23,0)))*(VLOOKUP($B158,INDIRECT($B$5&amp;"生成成长"),3))*(VLOOKUP($B$5,标准坦克设计!$B$14:$K$20,9)/30))</f>
        <v>5.987796415263233</v>
      </c>
      <c r="ES158" s="173">
        <f ca="1">(VLOOKUP(ES$72,INDIRECT($C$5&amp;"生成成长"),2))/((VLOOKUP($B158,INDIRECT($B$5&amp;"生成成长"),4))/(VLOOKUP(ES$72,INDIRECT($C$5&amp;"生成成长"),5))*(VLOOKUP($B$5,标准坦克设计!$B$24:$U$30,MATCH("对"&amp;LEFT($C$5,2)&amp;"输出",标准坦克设计!$B$23:$U$23,0)))*(VLOOKUP($B158,INDIRECT($B$5&amp;"生成成长"),3))*(VLOOKUP($B$5,标准坦克设计!$B$14:$K$20,9)/30))</f>
        <v>6.5072130509785131</v>
      </c>
      <c r="ET158" s="173">
        <f ca="1">(VLOOKUP(ET$72,INDIRECT($C$5&amp;"生成成长"),2))/((VLOOKUP($B158,INDIRECT($B$5&amp;"生成成长"),4))/(VLOOKUP(ET$72,INDIRECT($C$5&amp;"生成成长"),5))*(VLOOKUP($B$5,标准坦克设计!$B$24:$U$30,MATCH("对"&amp;LEFT($C$5,2)&amp;"输出",标准坦克设计!$B$23:$U$23,0)))*(VLOOKUP($B158,INDIRECT($B$5&amp;"生成成长"),3))*(VLOOKUP($B$5,标准坦克设计!$B$14:$K$20,9)/30))</f>
        <v>7.0482311346819539</v>
      </c>
      <c r="EU158" s="173">
        <f ca="1">(VLOOKUP(EU$72,INDIRECT($C$5&amp;"生成成长"),2))/((VLOOKUP($B158,INDIRECT($B$5&amp;"生成成长"),4))/(VLOOKUP(EU$72,INDIRECT($C$5&amp;"生成成长"),5))*(VLOOKUP($B$5,标准坦克设计!$B$24:$U$30,MATCH("对"&amp;LEFT($C$5,2)&amp;"输出",标准坦克设计!$B$23:$U$23,0)))*(VLOOKUP($B158,INDIRECT($B$5&amp;"生成成长"),3))*(VLOOKUP($B$5,标准坦克设计!$B$14:$K$20,9)/30))</f>
        <v>7.610850666373552</v>
      </c>
      <c r="EV158" s="173">
        <f ca="1">(VLOOKUP(EV$72,INDIRECT($C$5&amp;"生成成长"),2))/((VLOOKUP($B158,INDIRECT($B$5&amp;"生成成长"),4))/(VLOOKUP(EV$72,INDIRECT($C$5&amp;"生成成长"),5))*(VLOOKUP($B$5,标准坦克设计!$B$24:$U$30,MATCH("对"&amp;LEFT($C$5,2)&amp;"输出",标准坦克设计!$B$23:$U$23,0)))*(VLOOKUP($B158,INDIRECT($B$5&amp;"生成成长"),3))*(VLOOKUP($B$5,标准坦克设计!$B$14:$K$20,9)/30))</f>
        <v>8.1950716460533108</v>
      </c>
      <c r="EW158" s="173">
        <f ca="1">(VLOOKUP(EW$72,INDIRECT($C$5&amp;"生成成长"),2))/((VLOOKUP($B158,INDIRECT($B$5&amp;"生成成长"),4))/(VLOOKUP(EW$72,INDIRECT($C$5&amp;"生成成长"),5))*(VLOOKUP($B$5,标准坦克设计!$B$24:$U$30,MATCH("对"&amp;LEFT($C$5,2)&amp;"输出",标准坦克设计!$B$23:$U$23,0)))*(VLOOKUP($B158,INDIRECT($B$5&amp;"生成成长"),3))*(VLOOKUP($B$5,标准坦克设计!$B$14:$K$20,9)/30))</f>
        <v>8.800894073721226</v>
      </c>
      <c r="EX158" s="173">
        <f ca="1">(VLOOKUP(EX$72,INDIRECT($C$5&amp;"生成成长"),2))/((VLOOKUP($B158,INDIRECT($B$5&amp;"生成成长"),4))/(VLOOKUP(EX$72,INDIRECT($C$5&amp;"生成成长"),5))*(VLOOKUP($B$5,标准坦克设计!$B$24:$U$30,MATCH("对"&amp;LEFT($C$5,2)&amp;"输出",标准坦克设计!$B$23:$U$23,0)))*(VLOOKUP($B158,INDIRECT($B$5&amp;"生成成长"),3))*(VLOOKUP($B$5,标准坦克设计!$B$14:$K$20,9)/30))</f>
        <v>9.4283179493773037</v>
      </c>
      <c r="EY158" s="173">
        <f ca="1">(VLOOKUP(EY$72,INDIRECT($C$5&amp;"生成成长"),2))/((VLOOKUP($B158,INDIRECT($B$5&amp;"生成成长"),4))/(VLOOKUP(EY$72,INDIRECT($C$5&amp;"生成成长"),5))*(VLOOKUP($B$5,标准坦克设计!$B$24:$U$30,MATCH("对"&amp;LEFT($C$5,2)&amp;"输出",标准坦克设计!$B$23:$U$23,0)))*(VLOOKUP($B158,INDIRECT($B$5&amp;"生成成长"),3))*(VLOOKUP($B$5,标准坦克设计!$B$14:$K$20,9)/30))</f>
        <v>10.07734327302154</v>
      </c>
      <c r="EZ158" s="173">
        <f ca="1">(VLOOKUP(EZ$72,INDIRECT($C$5&amp;"生成成长"),2))/((VLOOKUP($B158,INDIRECT($B$5&amp;"生成成长"),4))/(VLOOKUP(EZ$72,INDIRECT($C$5&amp;"生成成长"),5))*(VLOOKUP($B$5,标准坦克设计!$B$24:$U$30,MATCH("对"&amp;LEFT($C$5,2)&amp;"输出",标准坦克设计!$B$23:$U$23,0)))*(VLOOKUP($B158,INDIRECT($B$5&amp;"生成成长"),3))*(VLOOKUP($B$5,标准坦克设计!$B$14:$K$20,9)/30))</f>
        <v>10.747970044653933</v>
      </c>
      <c r="FA158" s="173">
        <f ca="1">(VLOOKUP(FA$72,INDIRECT($C$5&amp;"生成成长"),2))/((VLOOKUP($B158,INDIRECT($B$5&amp;"生成成长"),4))/(VLOOKUP(FA$72,INDIRECT($C$5&amp;"生成成长"),5))*(VLOOKUP($B$5,标准坦克设计!$B$24:$U$30,MATCH("对"&amp;LEFT($C$5,2)&amp;"输出",标准坦克设计!$B$23:$U$23,0)))*(VLOOKUP($B158,INDIRECT($B$5&amp;"生成成长"),3))*(VLOOKUP($B$5,标准坦克设计!$B$14:$K$20,9)/30))</f>
        <v>11.440198264274489</v>
      </c>
      <c r="FB158" s="173">
        <f ca="1">(VLOOKUP(FB$72,INDIRECT($C$5&amp;"生成成长"),2))/((VLOOKUP($B158,INDIRECT($B$5&amp;"生成成长"),4))/(VLOOKUP(FB$72,INDIRECT($C$5&amp;"生成成长"),5))*(VLOOKUP($B$5,标准坦克设计!$B$24:$U$30,MATCH("对"&amp;LEFT($C$5,2)&amp;"输出",标准坦克设计!$B$23:$U$23,0)))*(VLOOKUP($B158,INDIRECT($B$5&amp;"生成成长"),3))*(VLOOKUP($B$5,标准坦克设计!$B$14:$K$20,9)/30))</f>
        <v>12.154027931883203</v>
      </c>
      <c r="FC158" s="173">
        <f ca="1">(VLOOKUP(FC$72,INDIRECT($C$5&amp;"生成成长"),2))/((VLOOKUP($B158,INDIRECT($B$5&amp;"生成成长"),4))/(VLOOKUP(FC$72,INDIRECT($C$5&amp;"生成成长"),5))*(VLOOKUP($B$5,标准坦克设计!$B$24:$U$30,MATCH("对"&amp;LEFT($C$5,2)&amp;"输出",标准坦克设计!$B$23:$U$23,0)))*(VLOOKUP($B158,INDIRECT($B$5&amp;"生成成长"),3))*(VLOOKUP($B$5,标准坦克设计!$B$14:$K$20,9)/30))</f>
        <v>12.889459047480074</v>
      </c>
      <c r="FD158" s="173">
        <f ca="1">(VLOOKUP(FD$72,INDIRECT($C$5&amp;"生成成长"),2))/((VLOOKUP($B158,INDIRECT($B$5&amp;"生成成长"),4))/(VLOOKUP(FD$72,INDIRECT($C$5&amp;"生成成长"),5))*(VLOOKUP($B$5,标准坦克设计!$B$24:$U$30,MATCH("对"&amp;LEFT($C$5,2)&amp;"输出",标准坦克设计!$B$23:$U$23,0)))*(VLOOKUP($B158,INDIRECT($B$5&amp;"生成成长"),3))*(VLOOKUP($B$5,标准坦克设计!$B$14:$K$20,9)/30))</f>
        <v>13.646491611065105</v>
      </c>
      <c r="FE158" s="173">
        <f ca="1">(VLOOKUP(FE$72,INDIRECT($C$5&amp;"生成成长"),2))/((VLOOKUP($B158,INDIRECT($B$5&amp;"生成成长"),4))/(VLOOKUP(FE$72,INDIRECT($C$5&amp;"生成成长"),5))*(VLOOKUP($B$5,标准坦克设计!$B$24:$U$30,MATCH("对"&amp;LEFT($C$5,2)&amp;"输出",标准坦克设计!$B$23:$U$23,0)))*(VLOOKUP($B158,INDIRECT($B$5&amp;"生成成长"),3))*(VLOOKUP($B$5,标准坦克设计!$B$14:$K$20,9)/30))</f>
        <v>14.569016259650331</v>
      </c>
      <c r="FF158" s="173">
        <f ca="1">(VLOOKUP(FF$72,INDIRECT($C$5&amp;"生成成长"),2))/((VLOOKUP($B158,INDIRECT($B$5&amp;"生成成长"),4))/(VLOOKUP(FF$72,INDIRECT($C$5&amp;"生成成长"),5))*(VLOOKUP($B$5,标准坦克设计!$B$24:$U$30,MATCH("对"&amp;LEFT($C$5,2)&amp;"输出",标准坦克设计!$B$23:$U$23,0)))*(VLOOKUP($B158,INDIRECT($B$5&amp;"生成成长"),3))*(VLOOKUP($B$5,标准坦克设计!$B$14:$K$20,9)/30))</f>
        <v>15.521711525673565</v>
      </c>
      <c r="FG158" s="173">
        <f ca="1">(VLOOKUP(FG$72,INDIRECT($C$5&amp;"生成成长"),2))/((VLOOKUP($B158,INDIRECT($B$5&amp;"生成成长"),4))/(VLOOKUP(FG$72,INDIRECT($C$5&amp;"生成成长"),5))*(VLOOKUP($B$5,标准坦克设计!$B$24:$U$30,MATCH("对"&amp;LEFT($C$5,2)&amp;"输出",标准坦克设计!$B$23:$U$23,0)))*(VLOOKUP($B158,INDIRECT($B$5&amp;"生成成长"),3))*(VLOOKUP($B$5,标准坦克设计!$B$14:$K$20,9)/30))</f>
        <v>16.504577409134804</v>
      </c>
      <c r="FH158" s="173">
        <f ca="1">(VLOOKUP(FH$72,INDIRECT($C$5&amp;"生成成长"),2))/((VLOOKUP($B158,INDIRECT($B$5&amp;"生成成长"),4))/(VLOOKUP(FH$72,INDIRECT($C$5&amp;"生成成长"),5))*(VLOOKUP($B$5,标准坦克设计!$B$24:$U$30,MATCH("对"&amp;LEFT($C$5,2)&amp;"输出",标准坦克设计!$B$23:$U$23,0)))*(VLOOKUP($B158,INDIRECT($B$5&amp;"生成成长"),3))*(VLOOKUP($B$5,标准坦克设计!$B$14:$K$20,9)/30))</f>
        <v>17.517613910034054</v>
      </c>
      <c r="FI158" s="173">
        <f ca="1">(VLOOKUP(FI$72,INDIRECT($C$5&amp;"生成成长"),2))/((VLOOKUP($B158,INDIRECT($B$5&amp;"生成成长"),4))/(VLOOKUP(FI$72,INDIRECT($C$5&amp;"生成成长"),5))*(VLOOKUP($B$5,标准坦克设计!$B$24:$U$30,MATCH("对"&amp;LEFT($C$5,2)&amp;"输出",标准坦克设计!$B$23:$U$23,0)))*(VLOOKUP($B158,INDIRECT($B$5&amp;"生成成长"),3))*(VLOOKUP($B$5,标准坦克设计!$B$14:$K$20,9)/30))</f>
        <v>18.560821028371304</v>
      </c>
      <c r="FJ158" s="173">
        <f ca="1">(VLOOKUP(FJ$72,INDIRECT($C$5&amp;"生成成长"),2))/((VLOOKUP($B158,INDIRECT($B$5&amp;"生成成长"),4))/(VLOOKUP(FJ$72,INDIRECT($C$5&amp;"生成成长"),5))*(VLOOKUP($B$5,标准坦克设计!$B$24:$U$30,MATCH("对"&amp;LEFT($C$5,2)&amp;"输出",标准坦克设计!$B$23:$U$23,0)))*(VLOOKUP($B158,INDIRECT($B$5&amp;"生成成长"),3))*(VLOOKUP($B$5,标准坦克设计!$B$14:$K$20,9)/30))</f>
        <v>19.634198764146568</v>
      </c>
      <c r="FK158" s="173">
        <f ca="1">(VLOOKUP(FK$72,INDIRECT($C$5&amp;"生成成长"),2))/((VLOOKUP($B158,INDIRECT($B$5&amp;"生成成长"),4))/(VLOOKUP(FK$72,INDIRECT($C$5&amp;"生成成长"),5))*(VLOOKUP($B$5,标准坦克设计!$B$24:$U$30,MATCH("对"&amp;LEFT($C$5,2)&amp;"输出",标准坦克设计!$B$23:$U$23,0)))*(VLOOKUP($B158,INDIRECT($B$5&amp;"生成成长"),3))*(VLOOKUP($B$5,标准坦克设计!$B$14:$K$20,9)/30))</f>
        <v>20.737747117359838</v>
      </c>
    </row>
    <row r="159" spans="1:167" x14ac:dyDescent="0.15">
      <c r="A159" s="171" t="str">
        <f t="shared" si="12"/>
        <v>T4中品质15级</v>
      </c>
      <c r="B159" s="172">
        <v>20415</v>
      </c>
      <c r="C159" s="173">
        <f ca="1">(VLOOKUP(C$72,INDIRECT($C$5&amp;"生成成长"),2))/((VLOOKUP($B159,INDIRECT($B$5&amp;"生成成长"),4))/(VLOOKUP(C$72,INDIRECT($C$5&amp;"生成成长"),5))*(VLOOKUP($B$5,标准坦克设计!$B$24:$U$30,MATCH("对"&amp;LEFT($C$5,2)&amp;"输出",标准坦克设计!$B$23:$U$23,0)))*(VLOOKUP($B159,INDIRECT($B$5&amp;"生成成长"),3))*(VLOOKUP($B$5,标准坦克设计!$B$14:$K$20,9)/30))</f>
        <v>0.83333996313347858</v>
      </c>
      <c r="D159" s="173">
        <f ca="1">(VLOOKUP(D$72,INDIRECT($C$5&amp;"生成成长"),2))/((VLOOKUP($B159,INDIRECT($B$5&amp;"生成成长"),4))/(VLOOKUP(D$72,INDIRECT($C$5&amp;"生成成长"),5))*(VLOOKUP($B$5,标准坦克设计!$B$24:$U$30,MATCH("对"&amp;LEFT($C$5,2)&amp;"输出",标准坦克设计!$B$23:$U$23,0)))*(VLOOKUP($B159,INDIRECT($B$5&amp;"生成成长"),3))*(VLOOKUP($B$5,标准坦克设计!$B$14:$K$20,9)/30))</f>
        <v>0.93634078257677644</v>
      </c>
      <c r="E159" s="173">
        <f ca="1">(VLOOKUP(E$72,INDIRECT($C$5&amp;"生成成长"),2))/((VLOOKUP($B159,INDIRECT($B$5&amp;"生成成长"),4))/(VLOOKUP(E$72,INDIRECT($C$5&amp;"生成成长"),5))*(VLOOKUP($B$5,标准坦克设计!$B$24:$U$30,MATCH("对"&amp;LEFT($C$5,2)&amp;"输出",标准坦克设计!$B$23:$U$23,0)))*(VLOOKUP($B159,INDIRECT($B$5&amp;"生成成长"),3))*(VLOOKUP($B$5,标准坦克设计!$B$14:$K$20,9)/30))</f>
        <v>1.0453416497546353</v>
      </c>
      <c r="F159" s="173">
        <f ca="1">(VLOOKUP(F$72,INDIRECT($C$5&amp;"生成成长"),2))/((VLOOKUP($B159,INDIRECT($B$5&amp;"生成成长"),4))/(VLOOKUP(F$72,INDIRECT($C$5&amp;"生成成长"),5))*(VLOOKUP($B$5,标准坦克设计!$B$24:$U$30,MATCH("对"&amp;LEFT($C$5,2)&amp;"输出",标准坦克设计!$B$23:$U$23,0)))*(VLOOKUP($B159,INDIRECT($B$5&amp;"生成成长"),3))*(VLOOKUP($B$5,标准坦克设计!$B$14:$K$20,9)/30))</f>
        <v>1.1603425646670555</v>
      </c>
      <c r="G159" s="173">
        <f ca="1">(VLOOKUP(G$72,INDIRECT($C$5&amp;"生成成长"),2))/((VLOOKUP($B159,INDIRECT($B$5&amp;"生成成长"),4))/(VLOOKUP(G$72,INDIRECT($C$5&amp;"生成成长"),5))*(VLOOKUP($B$5,标准坦克设计!$B$24:$U$30,MATCH("对"&amp;LEFT($C$5,2)&amp;"输出",标准坦克设计!$B$23:$U$23,0)))*(VLOOKUP($B159,INDIRECT($B$5&amp;"生成成长"),3))*(VLOOKUP($B$5,标准坦克设计!$B$14:$K$20,9)/30))</f>
        <v>1.2813435273140368</v>
      </c>
      <c r="H159" s="173">
        <f ca="1">(VLOOKUP(H$72,INDIRECT($C$5&amp;"生成成长"),2))/((VLOOKUP($B159,INDIRECT($B$5&amp;"生成成长"),4))/(VLOOKUP(H$72,INDIRECT($C$5&amp;"生成成长"),5))*(VLOOKUP($B$5,标准坦克设计!$B$24:$U$30,MATCH("对"&amp;LEFT($C$5,2)&amp;"输出",标准坦克设计!$B$23:$U$23,0)))*(VLOOKUP($B159,INDIRECT($B$5&amp;"生成成长"),3))*(VLOOKUP($B$5,标准坦克设计!$B$14:$K$20,9)/30))</f>
        <v>1.1213422543924088</v>
      </c>
      <c r="I159" s="173">
        <f ca="1">(VLOOKUP(I$72,INDIRECT($C$5&amp;"生成成长"),2))/((VLOOKUP($B159,INDIRECT($B$5&amp;"生成成长"),4))/(VLOOKUP(I$72,INDIRECT($C$5&amp;"生成成长"),5))*(VLOOKUP($B$5,标准坦克设计!$B$24:$U$30,MATCH("对"&amp;LEFT($C$5,2)&amp;"输出",标准坦克设计!$B$23:$U$23,0)))*(VLOOKUP($B159,INDIRECT($B$5&amp;"生成成长"),3))*(VLOOKUP($B$5,标准坦克设计!$B$14:$K$20,9)/30))</f>
        <v>1.2813435273140368</v>
      </c>
      <c r="J159" s="173">
        <f ca="1">(VLOOKUP(J$72,INDIRECT($C$5&amp;"生成成长"),2))/((VLOOKUP($B159,INDIRECT($B$5&amp;"生成成长"),4))/(VLOOKUP(J$72,INDIRECT($C$5&amp;"生成成长"),5))*(VLOOKUP($B$5,标准坦克设计!$B$24:$U$30,MATCH("对"&amp;LEFT($C$5,2)&amp;"输出",标准坦克设计!$B$23:$U$23,0)))*(VLOOKUP($B159,INDIRECT($B$5&amp;"生成成长"),3))*(VLOOKUP($B$5,标准坦克设计!$B$14:$K$20,9)/30))</f>
        <v>1.4520115517637728</v>
      </c>
      <c r="K159" s="173">
        <f ca="1">(VLOOKUP(K$72,INDIRECT($C$5&amp;"生成成长"),2))/((VLOOKUP($B159,INDIRECT($B$5&amp;"生成成长"),4))/(VLOOKUP(K$72,INDIRECT($C$5&amp;"生成成长"),5))*(VLOOKUP($B$5,标准坦克设计!$B$24:$U$30,MATCH("对"&amp;LEFT($C$5,2)&amp;"输出",标准坦克设计!$B$23:$U$23,0)))*(VLOOKUP($B159,INDIRECT($B$5&amp;"生成成长"),3))*(VLOOKUP($B$5,标准坦克设计!$B$14:$K$20,9)/30))</f>
        <v>1.633346327741618</v>
      </c>
      <c r="L159" s="173">
        <f ca="1">(VLOOKUP(L$72,INDIRECT($C$5&amp;"生成成长"),2))/((VLOOKUP($B159,INDIRECT($B$5&amp;"生成成长"),4))/(VLOOKUP(L$72,INDIRECT($C$5&amp;"生成成长"),5))*(VLOOKUP($B$5,标准坦克设计!$B$24:$U$30,MATCH("对"&amp;LEFT($C$5,2)&amp;"输出",标准坦克设计!$B$23:$U$23,0)))*(VLOOKUP($B159,INDIRECT($B$5&amp;"生成成长"),3))*(VLOOKUP($B$5,标准坦克设计!$B$14:$K$20,9)/30))</f>
        <v>1.8253478552475713</v>
      </c>
      <c r="M159" s="173">
        <f ca="1">(VLOOKUP(M$72,INDIRECT($C$5&amp;"生成成长"),2))/((VLOOKUP($B159,INDIRECT($B$5&amp;"生成成长"),4))/(VLOOKUP(M$72,INDIRECT($C$5&amp;"生成成长"),5))*(VLOOKUP($B$5,标准坦克设计!$B$24:$U$30,MATCH("对"&amp;LEFT($C$5,2)&amp;"输出",标准坦克设计!$B$23:$U$23,0)))*(VLOOKUP($B159,INDIRECT($B$5&amp;"生成成长"),3))*(VLOOKUP($B$5,标准坦克设计!$B$14:$K$20,9)/30))</f>
        <v>2.0280161342816334</v>
      </c>
      <c r="N159" s="173">
        <f ca="1">(VLOOKUP(N$72,INDIRECT($C$5&amp;"生成成长"),2))/((VLOOKUP($B159,INDIRECT($B$5&amp;"生成成长"),4))/(VLOOKUP(N$72,INDIRECT($C$5&amp;"生成成长"),5))*(VLOOKUP($B$5,标准坦克设计!$B$24:$U$30,MATCH("对"&amp;LEFT($C$5,2)&amp;"输出",标准坦克设计!$B$23:$U$23,0)))*(VLOOKUP($B159,INDIRECT($B$5&amp;"生成成长"),3))*(VLOOKUP($B$5,标准坦克设计!$B$14:$K$20,9)/30))</f>
        <v>2.2413511648438043</v>
      </c>
      <c r="O159" s="173">
        <f ca="1">(VLOOKUP(O$72,INDIRECT($C$5&amp;"生成成长"),2))/((VLOOKUP($B159,INDIRECT($B$5&amp;"生成成长"),4))/(VLOOKUP(O$72,INDIRECT($C$5&amp;"生成成长"),5))*(VLOOKUP($B$5,标准坦克设计!$B$24:$U$30,MATCH("对"&amp;LEFT($C$5,2)&amp;"输出",标准坦克设计!$B$23:$U$23,0)))*(VLOOKUP($B159,INDIRECT($B$5&amp;"生成成长"),3))*(VLOOKUP($B$5,标准坦克设计!$B$14:$K$20,9)/30))</f>
        <v>1.7040968906116507</v>
      </c>
      <c r="P159" s="173">
        <f ca="1">(VLOOKUP(P$72,INDIRECT($C$5&amp;"生成成长"),2))/((VLOOKUP($B159,INDIRECT($B$5&amp;"生成成长"),4))/(VLOOKUP(P$72,INDIRECT($C$5&amp;"生成成长"),5))*(VLOOKUP($B$5,标准坦克设计!$B$24:$U$30,MATCH("对"&amp;LEFT($C$5,2)&amp;"输出",标准坦克设计!$B$23:$U$23,0)))*(VLOOKUP($B159,INDIRECT($B$5&amp;"生成成长"),3))*(VLOOKUP($B$5,标准坦克设计!$B$14:$K$20,9)/30))</f>
        <v>1.9253486508235889</v>
      </c>
      <c r="Q159" s="173">
        <f ca="1">(VLOOKUP(Q$72,INDIRECT($C$5&amp;"生成成长"),2))/((VLOOKUP($B159,INDIRECT($B$5&amp;"生成成长"),4))/(VLOOKUP(Q$72,INDIRECT($C$5&amp;"生成成长"),5))*(VLOOKUP($B$5,标准坦克设计!$B$24:$U$30,MATCH("对"&amp;LEFT($C$5,2)&amp;"输出",标准坦克设计!$B$23:$U$23,0)))*(VLOOKUP($B159,INDIRECT($B$5&amp;"生成成长"),3))*(VLOOKUP($B$5,标准坦克设计!$B$14:$K$20,9)/30))</f>
        <v>2.16010051843829</v>
      </c>
      <c r="R159" s="173">
        <f ca="1">(VLOOKUP(R$72,INDIRECT($C$5&amp;"生成成长"),2))/((VLOOKUP($B159,INDIRECT($B$5&amp;"生成成长"),4))/(VLOOKUP(R$72,INDIRECT($C$5&amp;"生成成长"),5))*(VLOOKUP($B$5,标准坦克设计!$B$24:$U$30,MATCH("对"&amp;LEFT($C$5,2)&amp;"输出",标准坦克设计!$B$23:$U$23,0)))*(VLOOKUP($B159,INDIRECT($B$5&amp;"生成成长"),3))*(VLOOKUP($B$5,标准坦克设计!$B$14:$K$20,9)/30))</f>
        <v>2.4083524934557534</v>
      </c>
      <c r="S159" s="173">
        <f ca="1">(VLOOKUP(S$72,INDIRECT($C$5&amp;"生成成长"),2))/((VLOOKUP($B159,INDIRECT($B$5&amp;"生成成长"),4))/(VLOOKUP(S$72,INDIRECT($C$5&amp;"生成成长"),5))*(VLOOKUP($B$5,标准坦克设计!$B$24:$U$30,MATCH("对"&amp;LEFT($C$5,2)&amp;"输出",标准坦克设计!$B$23:$U$23,0)))*(VLOOKUP($B159,INDIRECT($B$5&amp;"生成成长"),3))*(VLOOKUP($B$5,标准坦克设计!$B$14:$K$20,9)/30))</f>
        <v>2.6701045758759783</v>
      </c>
      <c r="T159" s="173">
        <f ca="1">(VLOOKUP(T$72,INDIRECT($C$5&amp;"生成成长"),2))/((VLOOKUP($B159,INDIRECT($B$5&amp;"生成成长"),4))/(VLOOKUP(T$72,INDIRECT($C$5&amp;"生成成长"),5))*(VLOOKUP($B$5,标准坦克设计!$B$24:$U$30,MATCH("对"&amp;LEFT($C$5,2)&amp;"输出",标准坦克设计!$B$23:$U$23,0)))*(VLOOKUP($B159,INDIRECT($B$5&amp;"生成成长"),3))*(VLOOKUP($B$5,标准坦克设计!$B$14:$K$20,9)/30))</f>
        <v>2.9453567656989663</v>
      </c>
      <c r="U159" s="173">
        <f ca="1">(VLOOKUP(U$72,INDIRECT($C$5&amp;"生成成长"),2))/((VLOOKUP($B159,INDIRECT($B$5&amp;"生成成长"),4))/(VLOOKUP(U$72,INDIRECT($C$5&amp;"生成成长"),5))*(VLOOKUP($B$5,标准坦克设计!$B$24:$U$30,MATCH("对"&amp;LEFT($C$5,2)&amp;"输出",标准坦克设计!$B$23:$U$23,0)))*(VLOOKUP($B159,INDIRECT($B$5&amp;"生成成长"),3))*(VLOOKUP($B$5,标准坦克设计!$B$14:$K$20,9)/30))</f>
        <v>3.2341090629247167</v>
      </c>
      <c r="V159" s="173">
        <f ca="1">(VLOOKUP(V$72,INDIRECT($C$5&amp;"生成成长"),2))/((VLOOKUP($B159,INDIRECT($B$5&amp;"生成成长"),4))/(VLOOKUP(V$72,INDIRECT($C$5&amp;"生成成长"),5))*(VLOOKUP($B$5,标准坦克设计!$B$24:$U$30,MATCH("对"&amp;LEFT($C$5,2)&amp;"输出",标准坦克设计!$B$23:$U$23,0)))*(VLOOKUP($B159,INDIRECT($B$5&amp;"生成成长"),3))*(VLOOKUP($B$5,标准坦克设计!$B$14:$K$20,9)/30))</f>
        <v>3.5363614675532298</v>
      </c>
      <c r="W159" s="173">
        <f ca="1">(VLOOKUP(W$72,INDIRECT($C$5&amp;"生成成长"),2))/((VLOOKUP($B159,INDIRECT($B$5&amp;"生成成长"),4))/(VLOOKUP(W$72,INDIRECT($C$5&amp;"生成成长"),5))*(VLOOKUP($B$5,标准坦克设计!$B$24:$U$30,MATCH("对"&amp;LEFT($C$5,2)&amp;"输出",标准坦克设计!$B$23:$U$23,0)))*(VLOOKUP($B159,INDIRECT($B$5&amp;"生成成长"),3))*(VLOOKUP($B$5,标准坦克设计!$B$14:$K$20,9)/30))</f>
        <v>3.8521139795845039</v>
      </c>
      <c r="X159" s="173">
        <f ca="1">(VLOOKUP(X$72,INDIRECT($C$5&amp;"生成成长"),2))/((VLOOKUP($B159,INDIRECT($B$5&amp;"生成成长"),4))/(VLOOKUP(X$72,INDIRECT($C$5&amp;"生成成长"),5))*(VLOOKUP($B$5,标准坦克设计!$B$24:$U$30,MATCH("对"&amp;LEFT($C$5,2)&amp;"输出",标准坦克设计!$B$23:$U$23,0)))*(VLOOKUP($B159,INDIRECT($B$5&amp;"生成成长"),3))*(VLOOKUP($B$5,标准坦克设计!$B$14:$K$20,9)/30))</f>
        <v>2.7907722025377057</v>
      </c>
      <c r="Y159" s="173">
        <f ca="1">(VLOOKUP(Y$72,INDIRECT($C$5&amp;"生成成长"),2))/((VLOOKUP($B159,INDIRECT($B$5&amp;"生成成长"),4))/(VLOOKUP(Y$72,INDIRECT($C$5&amp;"生成成长"),5))*(VLOOKUP($B$5,标准坦克设计!$B$24:$U$30,MATCH("对"&amp;LEFT($C$5,2)&amp;"输出",标准坦克设计!$B$23:$U$23,0)))*(VLOOKUP($B159,INDIRECT($B$5&amp;"生成成长"),3))*(VLOOKUP($B$5,标准坦克设计!$B$14:$K$20,9)/30))</f>
        <v>3.1041080286758942</v>
      </c>
      <c r="Z159" s="173">
        <f ca="1">(VLOOKUP(Z$72,INDIRECT($C$5&amp;"生成成长"),2))/((VLOOKUP($B159,INDIRECT($B$5&amp;"生成成长"),4))/(VLOOKUP(Z$72,INDIRECT($C$5&amp;"生成成长"),5))*(VLOOKUP($B$5,标准坦克设计!$B$24:$U$30,MATCH("对"&amp;LEFT($C$5,2)&amp;"输出",标准坦克设计!$B$23:$U$23,0)))*(VLOOKUP($B159,INDIRECT($B$5&amp;"生成成长"),3))*(VLOOKUP($B$5,标准坦克设计!$B$14:$K$20,9)/30))</f>
        <v>3.4341106540767519</v>
      </c>
      <c r="AA159" s="173">
        <f ca="1">(VLOOKUP(AA$72,INDIRECT($C$5&amp;"生成成长"),2))/((VLOOKUP($B159,INDIRECT($B$5&amp;"生成成长"),4))/(VLOOKUP(AA$72,INDIRECT($C$5&amp;"生成成长"),5))*(VLOOKUP($B$5,标准坦克设计!$B$24:$U$30,MATCH("对"&amp;LEFT($C$5,2)&amp;"输出",标准坦克设计!$B$23:$U$23,0)))*(VLOOKUP($B159,INDIRECT($B$5&amp;"生成成长"),3))*(VLOOKUP($B$5,标准坦克设计!$B$14:$K$20,9)/30))</f>
        <v>3.7807800787402788</v>
      </c>
      <c r="AB159" s="173">
        <f ca="1">(VLOOKUP(AB$72,INDIRECT($C$5&amp;"生成成长"),2))/((VLOOKUP($B159,INDIRECT($B$5&amp;"生成成长"),4))/(VLOOKUP(AB$72,INDIRECT($C$5&amp;"生成成长"),5))*(VLOOKUP($B$5,标准坦克设计!$B$24:$U$30,MATCH("对"&amp;LEFT($C$5,2)&amp;"输出",标准坦克设计!$B$23:$U$23,0)))*(VLOOKUP($B159,INDIRECT($B$5&amp;"生成成长"),3))*(VLOOKUP($B$5,标准坦克设计!$B$14:$K$20,9)/30))</f>
        <v>4.1441163026664753</v>
      </c>
      <c r="AC159" s="173">
        <f ca="1">(VLOOKUP(AC$72,INDIRECT($C$5&amp;"生成成长"),2))/((VLOOKUP($B159,INDIRECT($B$5&amp;"生成成长"),4))/(VLOOKUP(AC$72,INDIRECT($C$5&amp;"生成成长"),5))*(VLOOKUP($B$5,标准坦克设计!$B$24:$U$30,MATCH("对"&amp;LEFT($C$5,2)&amp;"输出",标准坦克设计!$B$23:$U$23,0)))*(VLOOKUP($B159,INDIRECT($B$5&amp;"生成成长"),3))*(VLOOKUP($B$5,标准坦克设计!$B$14:$K$20,9)/30))</f>
        <v>4.5241193258553416</v>
      </c>
      <c r="AD159" s="173">
        <f ca="1">(VLOOKUP(AD$72,INDIRECT($C$5&amp;"生成成长"),2))/((VLOOKUP($B159,INDIRECT($B$5&amp;"生成成长"),4))/(VLOOKUP(AD$72,INDIRECT($C$5&amp;"生成成长"),5))*(VLOOKUP($B$5,标准坦克设计!$B$24:$U$30,MATCH("对"&amp;LEFT($C$5,2)&amp;"输出",标准坦克设计!$B$23:$U$23,0)))*(VLOOKUP($B159,INDIRECT($B$5&amp;"生成成长"),3))*(VLOOKUP($B$5,标准坦克设计!$B$14:$K$20,9)/30))</f>
        <v>4.9207891483068771</v>
      </c>
      <c r="AE159" s="173">
        <f ca="1">(VLOOKUP(AE$72,INDIRECT($C$5&amp;"生成成长"),2))/((VLOOKUP($B159,INDIRECT($B$5&amp;"生成成长"),4))/(VLOOKUP(AE$72,INDIRECT($C$5&amp;"生成成长"),5))*(VLOOKUP($B$5,标准坦克设计!$B$24:$U$30,MATCH("对"&amp;LEFT($C$5,2)&amp;"输出",标准坦克设计!$B$23:$U$23,0)))*(VLOOKUP($B159,INDIRECT($B$5&amp;"生成成长"),3))*(VLOOKUP($B$5,标准坦克设计!$B$14:$K$20,9)/30))</f>
        <v>5.3341257700210827</v>
      </c>
      <c r="AF159" s="173">
        <f ca="1">(VLOOKUP(AF$72,INDIRECT($C$5&amp;"生成成长"),2))/((VLOOKUP($B159,INDIRECT($B$5&amp;"生成成长"),4))/(VLOOKUP(AF$72,INDIRECT($C$5&amp;"生成成长"),5))*(VLOOKUP($B$5,标准坦克设计!$B$24:$U$30,MATCH("对"&amp;LEFT($C$5,2)&amp;"输出",标准坦克设计!$B$23:$U$23,0)))*(VLOOKUP($B159,INDIRECT($B$5&amp;"生成成长"),3))*(VLOOKUP($B$5,标准坦克设计!$B$14:$K$20,9)/30))</f>
        <v>5.7641291909979575</v>
      </c>
      <c r="AG159" s="173">
        <f ca="1">(VLOOKUP(AG$72,INDIRECT($C$5&amp;"生成成长"),2))/((VLOOKUP($B159,INDIRECT($B$5&amp;"生成成长"),4))/(VLOOKUP(AG$72,INDIRECT($C$5&amp;"生成成长"),5))*(VLOOKUP($B$5,标准坦克设计!$B$24:$U$30,MATCH("对"&amp;LEFT($C$5,2)&amp;"输出",标准坦克设计!$B$23:$U$23,0)))*(VLOOKUP($B159,INDIRECT($B$5&amp;"生成成长"),3))*(VLOOKUP($B$5,标准坦克设计!$B$14:$K$20,9)/30))</f>
        <v>6.2107994112375033</v>
      </c>
      <c r="AH159" s="173">
        <f ca="1">(VLOOKUP(AH$72,INDIRECT($C$5&amp;"生成成长"),2))/((VLOOKUP($B159,INDIRECT($B$5&amp;"生成成长"),4))/(VLOOKUP(AH$72,INDIRECT($C$5&amp;"生成成长"),5))*(VLOOKUP($B$5,标准坦克设计!$B$24:$U$30,MATCH("对"&amp;LEFT($C$5,2)&amp;"输出",标准坦克设计!$B$23:$U$23,0)))*(VLOOKUP($B159,INDIRECT($B$5&amp;"生成成长"),3))*(VLOOKUP($B$5,标准坦克设计!$B$14:$K$20,9)/30))</f>
        <v>6.6741364307397166</v>
      </c>
      <c r="AI159" s="173">
        <f ca="1">(VLOOKUP(AI$72,INDIRECT($C$5&amp;"生成成长"),2))/((VLOOKUP($B159,INDIRECT($B$5&amp;"生成成长"),4))/(VLOOKUP(AI$72,INDIRECT($C$5&amp;"生成成长"),5))*(VLOOKUP($B$5,标准坦克设计!$B$24:$U$30,MATCH("对"&amp;LEFT($C$5,2)&amp;"输出",标准坦克设计!$B$23:$U$23,0)))*(VLOOKUP($B159,INDIRECT($B$5&amp;"生成成长"),3))*(VLOOKUP($B$5,标准坦克设计!$B$14:$K$20,9)/30))</f>
        <v>4.7203708871732761</v>
      </c>
      <c r="AJ159" s="173">
        <f ca="1">(VLOOKUP(AJ$72,INDIRECT($C$5&amp;"生成成长"),2))/((VLOOKUP($B159,INDIRECT($B$5&amp;"生成成长"),4))/(VLOOKUP(AJ$72,INDIRECT($C$5&amp;"生成成长"),5))*(VLOOKUP($B$5,标准坦克设计!$B$24:$U$30,MATCH("对"&amp;LEFT($C$5,2)&amp;"输出",标准坦克设计!$B$23:$U$23,0)))*(VLOOKUP($B159,INDIRECT($B$5&amp;"生成成长"),3))*(VLOOKUP($B$5,标准坦克设计!$B$14:$K$20,9)/30))</f>
        <v>5.1667911054238802</v>
      </c>
      <c r="AK159" s="173">
        <f ca="1">(VLOOKUP(AK$72,INDIRECT($C$5&amp;"生成成长"),2))/((VLOOKUP($B159,INDIRECT($B$5&amp;"生成成长"),4))/(VLOOKUP(AK$72,INDIRECT($C$5&amp;"生成成长"),5))*(VLOOKUP($B$5,标准坦克设计!$B$24:$U$30,MATCH("对"&amp;LEFT($C$5,2)&amp;"输出",标准坦克设计!$B$23:$U$23,0)))*(VLOOKUP($B159,INDIRECT($B$5&amp;"生成成长"),3))*(VLOOKUP($B$5,标准坦克设计!$B$14:$K$20,9)/30))</f>
        <v>5.633378150782316</v>
      </c>
      <c r="AL159" s="173">
        <f ca="1">(VLOOKUP(AL$72,INDIRECT($C$5&amp;"生成成长"),2))/((VLOOKUP($B159,INDIRECT($B$5&amp;"生成成长"),4))/(VLOOKUP(AL$72,INDIRECT($C$5&amp;"生成成长"),5))*(VLOOKUP($B$5,标准坦克设计!$B$24:$U$30,MATCH("对"&amp;LEFT($C$5,2)&amp;"输出",标准坦克设计!$B$23:$U$23,0)))*(VLOOKUP($B159,INDIRECT($B$5&amp;"生成成长"),3))*(VLOOKUP($B$5,标准坦克设计!$B$14:$K$20,9)/30))</f>
        <v>6.1201320232485799</v>
      </c>
      <c r="AM159" s="173">
        <f ca="1">(VLOOKUP(AM$72,INDIRECT($C$5&amp;"生成成长"),2))/((VLOOKUP($B159,INDIRECT($B$5&amp;"生成成长"),4))/(VLOOKUP(AM$72,INDIRECT($C$5&amp;"生成成长"),5))*(VLOOKUP($B$5,标准坦克设计!$B$24:$U$30,MATCH("对"&amp;LEFT($C$5,2)&amp;"输出",标准坦克设计!$B$23:$U$23,0)))*(VLOOKUP($B159,INDIRECT($B$5&amp;"生成成长"),3))*(VLOOKUP($B$5,标准坦克设计!$B$14:$K$20,9)/30))</f>
        <v>6.6270527228226754</v>
      </c>
      <c r="AN159" s="173">
        <f ca="1">(VLOOKUP(AN$72,INDIRECT($C$5&amp;"生成成长"),2))/((VLOOKUP($B159,INDIRECT($B$5&amp;"生成成长"),4))/(VLOOKUP(AN$72,INDIRECT($C$5&amp;"生成成长"),5))*(VLOOKUP($B$5,标准坦克设计!$B$24:$U$30,MATCH("对"&amp;LEFT($C$5,2)&amp;"输出",标准坦克设计!$B$23:$U$23,0)))*(VLOOKUP($B159,INDIRECT($B$5&amp;"生成成长"),3))*(VLOOKUP($B$5,标准坦克设计!$B$14:$K$20,9)/30))</f>
        <v>7.1541402495045991</v>
      </c>
      <c r="AO159" s="173">
        <f ca="1">(VLOOKUP(AO$72,INDIRECT($C$5&amp;"生成成长"),2))/((VLOOKUP($B159,INDIRECT($B$5&amp;"生成成长"),4))/(VLOOKUP(AO$72,INDIRECT($C$5&amp;"生成成长"),5))*(VLOOKUP($B$5,标准坦克设计!$B$24:$U$30,MATCH("对"&amp;LEFT($C$5,2)&amp;"输出",标准坦克设计!$B$23:$U$23,0)))*(VLOOKUP($B159,INDIRECT($B$5&amp;"生成成长"),3))*(VLOOKUP($B$5,标准坦克设计!$B$14:$K$20,9)/30))</f>
        <v>7.7013946032943554</v>
      </c>
      <c r="AP159" s="173">
        <f ca="1">(VLOOKUP(AP$72,INDIRECT($C$5&amp;"生成成长"),2))/((VLOOKUP($B159,INDIRECT($B$5&amp;"生成成长"),4))/(VLOOKUP(AP$72,INDIRECT($C$5&amp;"生成成长"),5))*(VLOOKUP($B$5,标准坦克设计!$B$24:$U$30,MATCH("对"&amp;LEFT($C$5,2)&amp;"输出",标准坦克设计!$B$23:$U$23,0)))*(VLOOKUP($B159,INDIRECT($B$5&amp;"生成成长"),3))*(VLOOKUP($B$5,标准坦克设计!$B$14:$K$20,9)/30))</f>
        <v>8.2688157841919416</v>
      </c>
      <c r="AQ159" s="173">
        <f ca="1">(VLOOKUP(AQ$72,INDIRECT($C$5&amp;"生成成长"),2))/((VLOOKUP($B159,INDIRECT($B$5&amp;"生成成长"),4))/(VLOOKUP(AQ$72,INDIRECT($C$5&amp;"生成成长"),5))*(VLOOKUP($B$5,标准坦克设计!$B$24:$U$30,MATCH("对"&amp;LEFT($C$5,2)&amp;"输出",标准坦克设计!$B$23:$U$23,0)))*(VLOOKUP($B159,INDIRECT($B$5&amp;"生成成长"),3))*(VLOOKUP($B$5,标准坦克设计!$B$14:$K$20,9)/30))</f>
        <v>8.8564037921973569</v>
      </c>
      <c r="AR159" s="173">
        <f ca="1">(VLOOKUP(AR$72,INDIRECT($C$5&amp;"生成成长"),2))/((VLOOKUP($B159,INDIRECT($B$5&amp;"生成成长"),4))/(VLOOKUP(AR$72,INDIRECT($C$5&amp;"生成成长"),5))*(VLOOKUP($B$5,标准坦克设计!$B$24:$U$30,MATCH("对"&amp;LEFT($C$5,2)&amp;"输出",标准坦克设计!$B$23:$U$23,0)))*(VLOOKUP($B159,INDIRECT($B$5&amp;"生成成长"),3))*(VLOOKUP($B$5,标准坦克设计!$B$14:$K$20,9)/30))</f>
        <v>9.4641586273106029</v>
      </c>
      <c r="AS159" s="173">
        <f ca="1">(VLOOKUP(AS$72,INDIRECT($C$5&amp;"生成成长"),2))/((VLOOKUP($B159,INDIRECT($B$5&amp;"生成成长"),4))/(VLOOKUP(AS$72,INDIRECT($C$5&amp;"生成成长"),5))*(VLOOKUP($B$5,标准坦克设计!$B$24:$U$30,MATCH("对"&amp;LEFT($C$5,2)&amp;"输出",标准坦克设计!$B$23:$U$23,0)))*(VLOOKUP($B159,INDIRECT($B$5&amp;"生成成长"),3))*(VLOOKUP($B$5,标准坦克设计!$B$14:$K$20,9)/30))</f>
        <v>10.09208028953168</v>
      </c>
      <c r="AT159" s="173">
        <f ca="1">(VLOOKUP(AT$72,INDIRECT($C$5&amp;"生成成长"),2))/((VLOOKUP($B159,INDIRECT($B$5&amp;"生成成长"),4))/(VLOOKUP(AT$72,INDIRECT($C$5&amp;"生成成长"),5))*(VLOOKUP($B$5,标准坦克设计!$B$24:$U$30,MATCH("对"&amp;LEFT($C$5,2)&amp;"输出",标准坦克设计!$B$23:$U$23,0)))*(VLOOKUP($B159,INDIRECT($B$5&amp;"生成成长"),3))*(VLOOKUP($B$5,标准坦克设计!$B$14:$K$20,9)/30))</f>
        <v>10.740168778860584</v>
      </c>
      <c r="AU159" s="173">
        <f ca="1">(VLOOKUP(AU$72,INDIRECT($C$5&amp;"生成成长"),2))/((VLOOKUP($B159,INDIRECT($B$5&amp;"生成成长"),4))/(VLOOKUP(AU$72,INDIRECT($C$5&amp;"生成成长"),5))*(VLOOKUP($B$5,标准坦克设计!$B$24:$U$30,MATCH("对"&amp;LEFT($C$5,2)&amp;"输出",标准坦克设计!$B$23:$U$23,0)))*(VLOOKUP($B159,INDIRECT($B$5&amp;"生成成长"),3))*(VLOOKUP($B$5,标准坦克设计!$B$14:$K$20,9)/30))</f>
        <v>11.40842409529732</v>
      </c>
      <c r="AV159" s="173">
        <f ca="1">(VLOOKUP(AV$72,INDIRECT($C$5&amp;"生成成长"),2))/((VLOOKUP($B159,INDIRECT($B$5&amp;"生成成长"),4))/(VLOOKUP(AV$72,INDIRECT($C$5&amp;"生成成长"),5))*(VLOOKUP($B$5,标准坦克设计!$B$24:$U$30,MATCH("对"&amp;LEFT($C$5,2)&amp;"输出",标准坦克设计!$B$23:$U$23,0)))*(VLOOKUP($B159,INDIRECT($B$5&amp;"生成成长"),3))*(VLOOKUP($B$5,标准坦克设计!$B$14:$K$20,9)/30))</f>
        <v>1.1603425646670555</v>
      </c>
      <c r="AW159" s="173">
        <f ca="1">(VLOOKUP(AW$72,INDIRECT($C$5&amp;"生成成长"),2))/((VLOOKUP($B159,INDIRECT($B$5&amp;"生成成长"),4))/(VLOOKUP(AW$72,INDIRECT($C$5&amp;"生成成长"),5))*(VLOOKUP($B$5,标准坦克设计!$B$24:$U$30,MATCH("对"&amp;LEFT($C$5,2)&amp;"输出",标准坦克设计!$B$23:$U$23,0)))*(VLOOKUP($B159,INDIRECT($B$5&amp;"生成成长"),3))*(VLOOKUP($B$5,标准坦克设计!$B$14:$K$20,9)/30))</f>
        <v>1.3230105254707105</v>
      </c>
      <c r="AX159" s="173">
        <f ca="1">(VLOOKUP(AX$72,INDIRECT($C$5&amp;"生成成长"),2))/((VLOOKUP($B159,INDIRECT($B$5&amp;"生成成长"),4))/(VLOOKUP(AX$72,INDIRECT($C$5&amp;"生成成长"),5))*(VLOOKUP($B$5,标准坦克设计!$B$24:$U$30,MATCH("对"&amp;LEFT($C$5,2)&amp;"输出",标准坦克设计!$B$23:$U$23,0)))*(VLOOKUP($B159,INDIRECT($B$5&amp;"生成成长"),3))*(VLOOKUP($B$5,标准坦克设计!$B$14:$K$20,9)/30))</f>
        <v>1.4963452378024742</v>
      </c>
      <c r="AY159" s="173">
        <f ca="1">(VLOOKUP(AY$72,INDIRECT($C$5&amp;"生成成长"),2))/((VLOOKUP($B159,INDIRECT($B$5&amp;"生成成长"),4))/(VLOOKUP(AY$72,INDIRECT($C$5&amp;"生成成长"),5))*(VLOOKUP($B$5,标准坦克设计!$B$24:$U$30,MATCH("对"&amp;LEFT($C$5,2)&amp;"输出",标准坦克设计!$B$23:$U$23,0)))*(VLOOKUP($B159,INDIRECT($B$5&amp;"生成成长"),3))*(VLOOKUP($B$5,标准坦克设计!$B$14:$K$20,9)/30))</f>
        <v>1.6803467016623463</v>
      </c>
      <c r="AZ159" s="173">
        <f ca="1">(VLOOKUP(AZ$72,INDIRECT($C$5&amp;"生成成长"),2))/((VLOOKUP($B159,INDIRECT($B$5&amp;"生成成长"),4))/(VLOOKUP(AZ$72,INDIRECT($C$5&amp;"生成成长"),5))*(VLOOKUP($B$5,标准坦克设计!$B$24:$U$30,MATCH("对"&amp;LEFT($C$5,2)&amp;"输出",标准坦克设计!$B$23:$U$23,0)))*(VLOOKUP($B159,INDIRECT($B$5&amp;"生成成长"),3))*(VLOOKUP($B$5,标准坦克设计!$B$14:$K$20,9)/30))</f>
        <v>1.8750149170503267</v>
      </c>
      <c r="BA159" s="173">
        <f ca="1">(VLOOKUP(BA$72,INDIRECT($C$5&amp;"生成成长"),2))/((VLOOKUP($B159,INDIRECT($B$5&amp;"生成成长"),4))/(VLOOKUP(BA$72,INDIRECT($C$5&amp;"生成成长"),5))*(VLOOKUP($B$5,标准坦克设计!$B$24:$U$30,MATCH("对"&amp;LEFT($C$5,2)&amp;"输出",标准坦克设计!$B$23:$U$23,0)))*(VLOOKUP($B159,INDIRECT($B$5&amp;"生成成长"),3))*(VLOOKUP($B$5,标准坦克设计!$B$14:$K$20,9)/30))</f>
        <v>2.0803498839664161</v>
      </c>
      <c r="BB159" s="173">
        <f ca="1">(VLOOKUP(BB$72,INDIRECT($C$5&amp;"生成成长"),2))/((VLOOKUP($B159,INDIRECT($B$5&amp;"生成成长"),4))/(VLOOKUP(BB$72,INDIRECT($C$5&amp;"生成成长"),5))*(VLOOKUP($B$5,标准坦克设计!$B$24:$U$30,MATCH("对"&amp;LEFT($C$5,2)&amp;"输出",标准坦克设计!$B$23:$U$23,0)))*(VLOOKUP($B159,INDIRECT($B$5&amp;"生成成长"),3))*(VLOOKUP($B$5,标准坦克设计!$B$14:$K$20,9)/30))</f>
        <v>2.2963516024106134</v>
      </c>
      <c r="BC159" s="173">
        <f ca="1">(VLOOKUP(BC$72,INDIRECT($C$5&amp;"生成成长"),2))/((VLOOKUP($B159,INDIRECT($B$5&amp;"生成成长"),4))/(VLOOKUP(BC$72,INDIRECT($C$5&amp;"生成成长"),5))*(VLOOKUP($B$5,标准坦克设计!$B$24:$U$30,MATCH("对"&amp;LEFT($C$5,2)&amp;"输出",标准坦克设计!$B$23:$U$23,0)))*(VLOOKUP($B159,INDIRECT($B$5&amp;"生成成长"),3))*(VLOOKUP($B$5,标准坦克设计!$B$14:$K$20,9)/30))</f>
        <v>2.5230200723829199</v>
      </c>
      <c r="BD159" s="173">
        <f ca="1">(VLOOKUP(BD$72,INDIRECT($C$5&amp;"生成成长"),2))/((VLOOKUP($B159,INDIRECT($B$5&amp;"生成成长"),4))/(VLOOKUP(BD$72,INDIRECT($C$5&amp;"生成成长"),5))*(VLOOKUP($B$5,标准坦克设计!$B$24:$U$30,MATCH("对"&amp;LEFT($C$5,2)&amp;"输出",标准坦克设计!$B$23:$U$23,0)))*(VLOOKUP($B159,INDIRECT($B$5&amp;"生成成长"),3))*(VLOOKUP($B$5,标准坦克设计!$B$14:$K$20,9)/30))</f>
        <v>2.7907722025377057</v>
      </c>
      <c r="BE159" s="173">
        <f ca="1">(VLOOKUP(BE$72,INDIRECT($C$5&amp;"生成成长"),2))/((VLOOKUP($B159,INDIRECT($B$5&amp;"生成成长"),4))/(VLOOKUP(BE$72,INDIRECT($C$5&amp;"生成成长"),5))*(VLOOKUP($B$5,标准坦克设计!$B$24:$U$30,MATCH("对"&amp;LEFT($C$5,2)&amp;"输出",标准坦克设计!$B$23:$U$23,0)))*(VLOOKUP($B159,INDIRECT($B$5&amp;"生成成长"),3))*(VLOOKUP($B$5,标准坦克设计!$B$14:$K$20,9)/30))</f>
        <v>3.0720244400952552</v>
      </c>
      <c r="BF159" s="173">
        <f ca="1">(VLOOKUP(BF$72,INDIRECT($C$5&amp;"生成成长"),2))/((VLOOKUP($B159,INDIRECT($B$5&amp;"生成成长"),4))/(VLOOKUP(BF$72,INDIRECT($C$5&amp;"生成成长"),5))*(VLOOKUP($B$5,标准坦克设计!$B$24:$U$30,MATCH("对"&amp;LEFT($C$5,2)&amp;"输出",标准坦克设计!$B$23:$U$23,0)))*(VLOOKUP($B159,INDIRECT($B$5&amp;"生成成长"),3))*(VLOOKUP($B$5,标准坦克设计!$B$14:$K$20,9)/30))</f>
        <v>3.3667767850555661</v>
      </c>
      <c r="BG159" s="173">
        <f ca="1">(VLOOKUP(BG$72,INDIRECT($C$5&amp;"生成成长"),2))/((VLOOKUP($B159,INDIRECT($B$5&amp;"生成成长"),4))/(VLOOKUP(BG$72,INDIRECT($C$5&amp;"生成成长"),5))*(VLOOKUP($B$5,标准坦克设计!$B$24:$U$30,MATCH("对"&amp;LEFT($C$5,2)&amp;"输出",标准坦克设计!$B$23:$U$23,0)))*(VLOOKUP($B159,INDIRECT($B$5&amp;"生成成长"),3))*(VLOOKUP($B$5,标准坦克设计!$B$14:$K$20,9)/30))</f>
        <v>3.6750292374186402</v>
      </c>
      <c r="BH159" s="173">
        <f ca="1">(VLOOKUP(BH$72,INDIRECT($C$5&amp;"生成成长"),2))/((VLOOKUP($B159,INDIRECT($B$5&amp;"生成成长"),4))/(VLOOKUP(BH$72,INDIRECT($C$5&amp;"生成成长"),5))*(VLOOKUP($B$5,标准坦克设计!$B$24:$U$30,MATCH("对"&amp;LEFT($C$5,2)&amp;"输出",标准坦克设计!$B$23:$U$23,0)))*(VLOOKUP($B159,INDIRECT($B$5&amp;"生成成长"),3))*(VLOOKUP($B$5,标准坦克设计!$B$14:$K$20,9)/30))</f>
        <v>1.7763474654153226</v>
      </c>
      <c r="BI159" s="173">
        <f ca="1">(VLOOKUP(BI$72,INDIRECT($C$5&amp;"生成成长"),2))/((VLOOKUP($B159,INDIRECT($B$5&amp;"生成成长"),4))/(VLOOKUP(BI$72,INDIRECT($C$5&amp;"生成成长"),5))*(VLOOKUP($B$5,标准坦克设计!$B$24:$U$30,MATCH("对"&amp;LEFT($C$5,2)&amp;"输出",标准坦克设计!$B$23:$U$23,0)))*(VLOOKUP($B159,INDIRECT($B$5&amp;"生成成长"),3))*(VLOOKUP($B$5,标准坦克设计!$B$14:$K$20,9)/30))</f>
        <v>2.0020992614281825</v>
      </c>
      <c r="BJ159" s="173">
        <f ca="1">(VLOOKUP(BJ$72,INDIRECT($C$5&amp;"生成成长"),2))/((VLOOKUP($B159,INDIRECT($B$5&amp;"生成成长"),4))/(VLOOKUP(BJ$72,INDIRECT($C$5&amp;"生成成长"),5))*(VLOOKUP($B$5,标准坦克设计!$B$24:$U$30,MATCH("对"&amp;LEFT($C$5,2)&amp;"输出",标准坦克设计!$B$23:$U$23,0)))*(VLOOKUP($B159,INDIRECT($B$5&amp;"生成成长"),3))*(VLOOKUP($B$5,标准坦克设计!$B$14:$K$20,9)/30))</f>
        <v>2.2413511648438043</v>
      </c>
      <c r="BK159" s="173">
        <f ca="1">(VLOOKUP(BK$72,INDIRECT($C$5&amp;"生成成长"),2))/((VLOOKUP($B159,INDIRECT($B$5&amp;"生成成长"),4))/(VLOOKUP(BK$72,INDIRECT($C$5&amp;"生成成长"),5))*(VLOOKUP($B$5,标准坦克设计!$B$24:$U$30,MATCH("对"&amp;LEFT($C$5,2)&amp;"输出",标准坦克设计!$B$23:$U$23,0)))*(VLOOKUP($B159,INDIRECT($B$5&amp;"生成成长"),3))*(VLOOKUP($B$5,标准坦克设计!$B$14:$K$20,9)/30))</f>
        <v>2.4941031756621874</v>
      </c>
      <c r="BL159" s="173">
        <f ca="1">(VLOOKUP(BL$72,INDIRECT($C$5&amp;"生成成长"),2))/((VLOOKUP($B159,INDIRECT($B$5&amp;"生成成长"),4))/(VLOOKUP(BL$72,INDIRECT($C$5&amp;"生成成长"),5))*(VLOOKUP($B$5,标准坦克设计!$B$24:$U$30,MATCH("对"&amp;LEFT($C$5,2)&amp;"输出",标准坦克设计!$B$23:$U$23,0)))*(VLOOKUP($B159,INDIRECT($B$5&amp;"生成成长"),3))*(VLOOKUP($B$5,标准坦克设计!$B$14:$K$20,9)/30))</f>
        <v>2.7603552938833342</v>
      </c>
      <c r="BM159" s="173">
        <f ca="1">(VLOOKUP(BM$72,INDIRECT($C$5&amp;"生成成长"),2))/((VLOOKUP($B159,INDIRECT($B$5&amp;"生成成长"),4))/(VLOOKUP(BM$72,INDIRECT($C$5&amp;"生成成长"),5))*(VLOOKUP($B$5,标准坦克设计!$B$24:$U$30,MATCH("对"&amp;LEFT($C$5,2)&amp;"输出",标准坦克设计!$B$23:$U$23,0)))*(VLOOKUP($B159,INDIRECT($B$5&amp;"生成成长"),3))*(VLOOKUP($B$5,标准坦克设计!$B$14:$K$20,9)/30))</f>
        <v>3.0401075195072429</v>
      </c>
      <c r="BN159" s="173">
        <f ca="1">(VLOOKUP(BN$72,INDIRECT($C$5&amp;"生成成长"),2))/((VLOOKUP($B159,INDIRECT($B$5&amp;"生成成长"),4))/(VLOOKUP(BN$72,INDIRECT($C$5&amp;"生成成长"),5))*(VLOOKUP($B$5,标准坦克设计!$B$24:$U$30,MATCH("对"&amp;LEFT($C$5,2)&amp;"输出",标准坦克设计!$B$23:$U$23,0)))*(VLOOKUP($B159,INDIRECT($B$5&amp;"生成成长"),3))*(VLOOKUP($B$5,标准坦克设计!$B$14:$K$20,9)/30))</f>
        <v>3.3333598525339143</v>
      </c>
      <c r="BO159" s="173">
        <f ca="1">(VLOOKUP(BO$72,INDIRECT($C$5&amp;"生成成长"),2))/((VLOOKUP($B159,INDIRECT($B$5&amp;"生成成长"),4))/(VLOOKUP(BO$72,INDIRECT($C$5&amp;"生成成长"),5))*(VLOOKUP($B$5,标准坦克设计!$B$24:$U$30,MATCH("对"&amp;LEFT($C$5,2)&amp;"输出",标准坦克设计!$B$23:$U$23,0)))*(VLOOKUP($B159,INDIRECT($B$5&amp;"生成成长"),3))*(VLOOKUP($B$5,标准坦克设计!$B$14:$K$20,9)/30))</f>
        <v>3.6401122929633476</v>
      </c>
      <c r="BP159" s="173">
        <f ca="1">(VLOOKUP(BP$72,INDIRECT($C$5&amp;"生成成长"),2))/((VLOOKUP($B159,INDIRECT($B$5&amp;"生成成长"),4))/(VLOOKUP(BP$72,INDIRECT($C$5&amp;"生成成长"),5))*(VLOOKUP($B$5,标准坦克设计!$B$24:$U$30,MATCH("对"&amp;LEFT($C$5,2)&amp;"输出",标准坦克设计!$B$23:$U$23,0)))*(VLOOKUP($B159,INDIRECT($B$5&amp;"生成成长"),3))*(VLOOKUP($B$5,标准坦克设计!$B$14:$K$20,9)/30))</f>
        <v>3.9603648407955436</v>
      </c>
      <c r="BQ159" s="173">
        <f ca="1">(VLOOKUP(BQ$72,INDIRECT($C$5&amp;"生成成长"),2))/((VLOOKUP($B159,INDIRECT($B$5&amp;"生成成长"),4))/(VLOOKUP(BQ$72,INDIRECT($C$5&amp;"生成成长"),5))*(VLOOKUP($B$5,标准坦克设计!$B$24:$U$30,MATCH("对"&amp;LEFT($C$5,2)&amp;"输出",标准坦克设计!$B$23:$U$23,0)))*(VLOOKUP($B159,INDIRECT($B$5&amp;"生成成长"),3))*(VLOOKUP($B$5,标准坦克设计!$B$14:$K$20,9)/30))</f>
        <v>4.294117496030502</v>
      </c>
      <c r="BR159" s="173">
        <f ca="1">(VLOOKUP(BR$72,INDIRECT($C$5&amp;"生成成长"),2))/((VLOOKUP($B159,INDIRECT($B$5&amp;"生成成长"),4))/(VLOOKUP(BR$72,INDIRECT($C$5&amp;"生成成长"),5))*(VLOOKUP($B$5,标准坦克设计!$B$24:$U$30,MATCH("对"&amp;LEFT($C$5,2)&amp;"输出",标准坦克设计!$B$23:$U$23,0)))*(VLOOKUP($B159,INDIRECT($B$5&amp;"生成成长"),3))*(VLOOKUP($B$5,标准坦克设计!$B$14:$K$20,9)/30))</f>
        <v>4.6807872389244354</v>
      </c>
      <c r="BS159" s="173">
        <f ca="1">(VLOOKUP(BS$72,INDIRECT($C$5&amp;"生成成长"),2))/((VLOOKUP($B159,INDIRECT($B$5&amp;"生成成长"),4))/(VLOOKUP(BS$72,INDIRECT($C$5&amp;"生成成长"),5))*(VLOOKUP($B$5,标准坦克设计!$B$24:$U$30,MATCH("对"&amp;LEFT($C$5,2)&amp;"输出",标准坦克设计!$B$23:$U$23,0)))*(VLOOKUP($B159,INDIRECT($B$5&amp;"生成成长"),3))*(VLOOKUP($B$5,标准坦克设计!$B$14:$K$20,9)/30))</f>
        <v>5.0841237810810389</v>
      </c>
      <c r="BT159" s="173">
        <f ca="1">(VLOOKUP(BT$72,INDIRECT($C$5&amp;"生成成长"),2))/((VLOOKUP($B159,INDIRECT($B$5&amp;"生成成长"),4))/(VLOOKUP(BT$72,INDIRECT($C$5&amp;"生成成长"),5))*(VLOOKUP($B$5,标准坦克设计!$B$24:$U$30,MATCH("对"&amp;LEFT($C$5,2)&amp;"输出",标准坦克设计!$B$23:$U$23,0)))*(VLOOKUP($B159,INDIRECT($B$5&amp;"生成成长"),3))*(VLOOKUP($B$5,标准坦克设计!$B$14:$K$20,9)/30))</f>
        <v>5.5041271225003117</v>
      </c>
      <c r="BU159" s="173">
        <f ca="1">(VLOOKUP(BU$72,INDIRECT($C$5&amp;"生成成长"),2))/((VLOOKUP($B159,INDIRECT($B$5&amp;"生成成长"),4))/(VLOOKUP(BU$72,INDIRECT($C$5&amp;"生成成长"),5))*(VLOOKUP($B$5,标准坦克设计!$B$24:$U$30,MATCH("对"&amp;LEFT($C$5,2)&amp;"输出",标准坦克设计!$B$23:$U$23,0)))*(VLOOKUP($B159,INDIRECT($B$5&amp;"生成成长"),3))*(VLOOKUP($B$5,标准坦克设计!$B$14:$K$20,9)/30))</f>
        <v>5.9407972631822563</v>
      </c>
      <c r="BV159" s="173">
        <f ca="1">(VLOOKUP(BV$72,INDIRECT($C$5&amp;"生成成长"),2))/((VLOOKUP($B159,INDIRECT($B$5&amp;"生成成长"),4))/(VLOOKUP(BV$72,INDIRECT($C$5&amp;"生成成长"),5))*(VLOOKUP($B$5,标准坦克设计!$B$24:$U$30,MATCH("对"&amp;LEFT($C$5,2)&amp;"输出",标准坦克设计!$B$23:$U$23,0)))*(VLOOKUP($B159,INDIRECT($B$5&amp;"生成成长"),3))*(VLOOKUP($B$5,标准坦克设计!$B$14:$K$20,9)/30))</f>
        <v>6.3941342031268666</v>
      </c>
      <c r="BW159" s="173">
        <f ca="1">(VLOOKUP(BW$72,INDIRECT($C$5&amp;"生成成长"),2))/((VLOOKUP($B159,INDIRECT($B$5&amp;"生成成长"),4))/(VLOOKUP(BW$72,INDIRECT($C$5&amp;"生成成长"),5))*(VLOOKUP($B$5,标准坦克设计!$B$24:$U$30,MATCH("对"&amp;LEFT($C$5,2)&amp;"输出",标准坦克设计!$B$23:$U$23,0)))*(VLOOKUP($B159,INDIRECT($B$5&amp;"生成成长"),3))*(VLOOKUP($B$5,标准坦克设计!$B$14:$K$20,9)/30))</f>
        <v>2.9141065170814606</v>
      </c>
      <c r="BX159" s="173">
        <f ca="1">(VLOOKUP(BX$72,INDIRECT($C$5&amp;"生成成长"),2))/((VLOOKUP($B159,INDIRECT($B$5&amp;"生成成长"),4))/(VLOOKUP(BX$72,INDIRECT($C$5&amp;"生成成长"),5))*(VLOOKUP($B$5,标准坦克设计!$B$24:$U$30,MATCH("对"&amp;LEFT($C$5,2)&amp;"输出",标准坦克设计!$B$23:$U$23,0)))*(VLOOKUP($B159,INDIRECT($B$5&amp;"生成成长"),3))*(VLOOKUP($B$5,标准坦克设计!$B$14:$K$20,9)/30))</f>
        <v>3.2341090629247167</v>
      </c>
      <c r="BY159" s="173">
        <f ca="1">(VLOOKUP(BY$72,INDIRECT($C$5&amp;"生成成长"),2))/((VLOOKUP($B159,INDIRECT($B$5&amp;"生成成长"),4))/(VLOOKUP(BY$72,INDIRECT($C$5&amp;"生成成长"),5))*(VLOOKUP($B$5,标准坦克设计!$B$24:$U$30,MATCH("对"&amp;LEFT($C$5,2)&amp;"输出",标准坦克设计!$B$23:$U$23,0)))*(VLOOKUP($B159,INDIRECT($B$5&amp;"生成成长"),3))*(VLOOKUP($B$5,标准坦克设计!$B$14:$K$20,9)/30))</f>
        <v>3.5707784080306424</v>
      </c>
      <c r="BZ159" s="173">
        <f ca="1">(VLOOKUP(BZ$72,INDIRECT($C$5&amp;"生成成长"),2))/((VLOOKUP($B159,INDIRECT($B$5&amp;"生成成长"),4))/(VLOOKUP(BZ$72,INDIRECT($C$5&amp;"生成成长"),5))*(VLOOKUP($B$5,标准坦克设计!$B$24:$U$30,MATCH("对"&amp;LEFT($C$5,2)&amp;"输出",标准坦克设计!$B$23:$U$23,0)))*(VLOOKUP($B159,INDIRECT($B$5&amp;"生成成长"),3))*(VLOOKUP($B$5,标准坦克设计!$B$14:$K$20,9)/30))</f>
        <v>3.9241145523992369</v>
      </c>
      <c r="CA159" s="173">
        <f ca="1">(VLOOKUP(CA$72,INDIRECT($C$5&amp;"生成成长"),2))/((VLOOKUP($B159,INDIRECT($B$5&amp;"生成成长"),4))/(VLOOKUP(CA$72,INDIRECT($C$5&amp;"生成成长"),5))*(VLOOKUP($B$5,标准坦克设计!$B$24:$U$30,MATCH("对"&amp;LEFT($C$5,2)&amp;"输出",标准坦克设计!$B$23:$U$23,0)))*(VLOOKUP($B159,INDIRECT($B$5&amp;"生成成长"),3))*(VLOOKUP($B$5,标准坦克设计!$B$14:$K$20,9)/30))</f>
        <v>4.294117496030502</v>
      </c>
      <c r="CB159" s="173">
        <f ca="1">(VLOOKUP(CB$72,INDIRECT($C$5&amp;"生成成长"),2))/((VLOOKUP($B159,INDIRECT($B$5&amp;"生成成长"),4))/(VLOOKUP(CB$72,INDIRECT($C$5&amp;"生成成长"),5))*(VLOOKUP($B$5,标准坦克设计!$B$24:$U$30,MATCH("对"&amp;LEFT($C$5,2)&amp;"输出",标准坦克设计!$B$23:$U$23,0)))*(VLOOKUP($B159,INDIRECT($B$5&amp;"生成成长"),3))*(VLOOKUP($B$5,标准坦克设计!$B$14:$K$20,9)/30))</f>
        <v>4.6807872389244354</v>
      </c>
      <c r="CC159" s="173">
        <f ca="1">(VLOOKUP(CC$72,INDIRECT($C$5&amp;"生成成长"),2))/((VLOOKUP($B159,INDIRECT($B$5&amp;"生成成长"),4))/(VLOOKUP(CC$72,INDIRECT($C$5&amp;"生成成长"),5))*(VLOOKUP($B$5,标准坦克设计!$B$24:$U$30,MATCH("对"&amp;LEFT($C$5,2)&amp;"输出",标准坦克设计!$B$23:$U$23,0)))*(VLOOKUP($B159,INDIRECT($B$5&amp;"生成成长"),3))*(VLOOKUP($B$5,标准坦克设计!$B$14:$K$20,9)/30))</f>
        <v>5.0841237810810389</v>
      </c>
      <c r="CD159" s="173">
        <f ca="1">(VLOOKUP(CD$72,INDIRECT($C$5&amp;"生成成长"),2))/((VLOOKUP($B159,INDIRECT($B$5&amp;"生成成长"),4))/(VLOOKUP(CD$72,INDIRECT($C$5&amp;"生成成长"),5))*(VLOOKUP($B$5,标准坦克设计!$B$24:$U$30,MATCH("对"&amp;LEFT($C$5,2)&amp;"输出",标准坦克设计!$B$23:$U$23,0)))*(VLOOKUP($B159,INDIRECT($B$5&amp;"生成成长"),3))*(VLOOKUP($B$5,标准坦克设计!$B$14:$K$20,9)/30))</f>
        <v>5.5041271225003117</v>
      </c>
      <c r="CE159" s="173">
        <f ca="1">(VLOOKUP(CE$72,INDIRECT($C$5&amp;"生成成长"),2))/((VLOOKUP($B159,INDIRECT($B$5&amp;"生成成长"),4))/(VLOOKUP(CE$72,INDIRECT($C$5&amp;"生成成长"),5))*(VLOOKUP($B$5,标准坦克设计!$B$24:$U$30,MATCH("对"&amp;LEFT($C$5,2)&amp;"输出",标准坦克设计!$B$23:$U$23,0)))*(VLOOKUP($B159,INDIRECT($B$5&amp;"生成成长"),3))*(VLOOKUP($B$5,标准坦克设计!$B$14:$K$20,9)/30))</f>
        <v>5.9407972631822563</v>
      </c>
      <c r="CF159" s="173">
        <f ca="1">(VLOOKUP(CF$72,INDIRECT($C$5&amp;"生成成长"),2))/((VLOOKUP($B159,INDIRECT($B$5&amp;"生成成长"),4))/(VLOOKUP(CF$72,INDIRECT($C$5&amp;"生成成长"),5))*(VLOOKUP($B$5,标准坦克设计!$B$24:$U$30,MATCH("对"&amp;LEFT($C$5,2)&amp;"输出",标准坦克设计!$B$23:$U$23,0)))*(VLOOKUP($B159,INDIRECT($B$5&amp;"生成成长"),3))*(VLOOKUP($B$5,标准坦克设计!$B$14:$K$20,9)/30))</f>
        <v>6.3941342031268666</v>
      </c>
      <c r="CG159" s="173">
        <f ca="1">(VLOOKUP(CG$72,INDIRECT($C$5&amp;"生成成长"),2))/((VLOOKUP($B159,INDIRECT($B$5&amp;"生成成长"),4))/(VLOOKUP(CG$72,INDIRECT($C$5&amp;"生成成长"),5))*(VLOOKUP($B$5,标准坦克设计!$B$24:$U$30,MATCH("对"&amp;LEFT($C$5,2)&amp;"输出",标准坦克设计!$B$23:$U$23,0)))*(VLOOKUP($B159,INDIRECT($B$5&amp;"生成成长"),3))*(VLOOKUP($B$5,标准坦克设计!$B$14:$K$20,9)/30))</f>
        <v>6.8641379423341498</v>
      </c>
      <c r="CH159" s="173">
        <f ca="1">(VLOOKUP(CH$72,INDIRECT($C$5&amp;"生成成长"),2))/((VLOOKUP($B159,INDIRECT($B$5&amp;"生成成长"),4))/(VLOOKUP(CH$72,INDIRECT($C$5&amp;"生成成长"),5))*(VLOOKUP($B$5,标准坦克设计!$B$24:$U$30,MATCH("对"&amp;LEFT($C$5,2)&amp;"输出",标准坦克设计!$B$23:$U$23,0)))*(VLOOKUP($B159,INDIRECT($B$5&amp;"生成成长"),3))*(VLOOKUP($B$5,标准坦克设计!$B$14:$K$20,9)/30))</f>
        <v>7.3508084808041003</v>
      </c>
      <c r="CI159" s="173">
        <f ca="1">(VLOOKUP(CI$72,INDIRECT($C$5&amp;"生成成长"),2))/((VLOOKUP($B159,INDIRECT($B$5&amp;"生成成长"),4))/(VLOOKUP(CI$72,INDIRECT($C$5&amp;"生成成长"),5))*(VLOOKUP($B$5,标准坦克设计!$B$24:$U$30,MATCH("对"&amp;LEFT($C$5,2)&amp;"输出",标准坦克设计!$B$23:$U$23,0)))*(VLOOKUP($B159,INDIRECT($B$5&amp;"生成成长"),3))*(VLOOKUP($B$5,标准坦克设计!$B$14:$K$20,9)/30))</f>
        <v>7.9053962262694313</v>
      </c>
      <c r="CJ159" s="173">
        <f ca="1">(VLOOKUP(CJ$72,INDIRECT($C$5&amp;"生成成长"),2))/((VLOOKUP($B159,INDIRECT($B$5&amp;"生成成长"),4))/(VLOOKUP(CJ$72,INDIRECT($C$5&amp;"生成成长"),5))*(VLOOKUP($B$5,标准坦克设计!$B$24:$U$30,MATCH("对"&amp;LEFT($C$5,2)&amp;"输出",标准坦克设计!$B$23:$U$23,0)))*(VLOOKUP($B159,INDIRECT($B$5&amp;"生成成长"),3))*(VLOOKUP($B$5,标准坦克设计!$B$14:$K$20,9)/30))</f>
        <v>8.4801507988425904</v>
      </c>
      <c r="CK159" s="173">
        <f ca="1">(VLOOKUP(CK$72,INDIRECT($C$5&amp;"生成成长"),2))/((VLOOKUP($B159,INDIRECT($B$5&amp;"生成成长"),4))/(VLOOKUP(CK$72,INDIRECT($C$5&amp;"生成成长"),5))*(VLOOKUP($B$5,标准坦克设计!$B$24:$U$30,MATCH("对"&amp;LEFT($C$5,2)&amp;"输出",标准坦克设计!$B$23:$U$23,0)))*(VLOOKUP($B159,INDIRECT($B$5&amp;"生成成长"),3))*(VLOOKUP($B$5,标准坦克设计!$B$14:$K$20,9)/30))</f>
        <v>9.0750721985235803</v>
      </c>
      <c r="CL159" s="173">
        <f ca="1">(VLOOKUP(CL$72,INDIRECT($C$5&amp;"生成成长"),2))/((VLOOKUP($B159,INDIRECT($B$5&amp;"生成成长"),4))/(VLOOKUP(CL$72,INDIRECT($C$5&amp;"生成成长"),5))*(VLOOKUP($B$5,标准坦克设计!$B$24:$U$30,MATCH("对"&amp;LEFT($C$5,2)&amp;"输出",标准坦克设计!$B$23:$U$23,0)))*(VLOOKUP($B159,INDIRECT($B$5&amp;"生成成长"),3))*(VLOOKUP($B$5,标准坦克设计!$B$14:$K$20,9)/30))</f>
        <v>9.6901604253123992</v>
      </c>
      <c r="CM159" s="173">
        <f ca="1">(VLOOKUP(CM$72,INDIRECT($C$5&amp;"生成成长"),2))/((VLOOKUP($B159,INDIRECT($B$5&amp;"生成成长"),4))/(VLOOKUP(CM$72,INDIRECT($C$5&amp;"生成成长"),5))*(VLOOKUP($B$5,标准坦克设计!$B$24:$U$30,MATCH("对"&amp;LEFT($C$5,2)&amp;"输出",标准坦克设计!$B$23:$U$23,0)))*(VLOOKUP($B159,INDIRECT($B$5&amp;"生成成长"),3))*(VLOOKUP($B$5,标准坦克设计!$B$14:$K$20,9)/30))</f>
        <v>10.325415479209051</v>
      </c>
      <c r="CN159" s="173">
        <f ca="1">(VLOOKUP(CN$72,INDIRECT($C$5&amp;"生成成长"),2))/((VLOOKUP($B159,INDIRECT($B$5&amp;"生成成长"),4))/(VLOOKUP(CN$72,INDIRECT($C$5&amp;"生成成长"),5))*(VLOOKUP($B$5,标准坦克设计!$B$24:$U$30,MATCH("对"&amp;LEFT($C$5,2)&amp;"输出",标准坦克设计!$B$23:$U$23,0)))*(VLOOKUP($B159,INDIRECT($B$5&amp;"生成成长"),3))*(VLOOKUP($B$5,标准坦克设计!$B$14:$K$20,9)/30))</f>
        <v>10.980837360213533</v>
      </c>
      <c r="CO159" s="173">
        <f ca="1">(VLOOKUP(CO$72,INDIRECT($C$5&amp;"生成成长"),2))/((VLOOKUP($B159,INDIRECT($B$5&amp;"生成成长"),4))/(VLOOKUP(CO$72,INDIRECT($C$5&amp;"生成成长"),5))*(VLOOKUP($B$5,标准坦克设计!$B$24:$U$30,MATCH("对"&amp;LEFT($C$5,2)&amp;"输出",标准坦克设计!$B$23:$U$23,0)))*(VLOOKUP($B159,INDIRECT($B$5&amp;"生成成长"),3))*(VLOOKUP($B$5,标准坦克设计!$B$14:$K$20,9)/30))</f>
        <v>4.9207891483068771</v>
      </c>
      <c r="CP159" s="173">
        <f ca="1">(VLOOKUP(CP$72,INDIRECT($C$5&amp;"生成成长"),2))/((VLOOKUP($B159,INDIRECT($B$5&amp;"生成成长"),4))/(VLOOKUP(CP$72,INDIRECT($C$5&amp;"生成成长"),5))*(VLOOKUP($B$5,标准坦克设计!$B$24:$U$30,MATCH("对"&amp;LEFT($C$5,2)&amp;"输出",标准坦克设计!$B$23:$U$23,0)))*(VLOOKUP($B159,INDIRECT($B$5&amp;"生成成长"),3))*(VLOOKUP($B$5,标准坦克设计!$B$14:$K$20,9)/30))</f>
        <v>5.3763761061519508</v>
      </c>
      <c r="CQ159" s="173">
        <f ca="1">(VLOOKUP(CQ$72,INDIRECT($C$5&amp;"生成成长"),2))/((VLOOKUP($B159,INDIRECT($B$5&amp;"生成成长"),4))/(VLOOKUP(CQ$72,INDIRECT($C$5&amp;"生成成长"),5))*(VLOOKUP($B$5,标准坦克设计!$B$24:$U$30,MATCH("对"&amp;LEFT($C$5,2)&amp;"输出",标准坦克设计!$B$23:$U$23,0)))*(VLOOKUP($B159,INDIRECT($B$5&amp;"生成成长"),3))*(VLOOKUP($B$5,标准坦克设计!$B$14:$K$20,9)/30))</f>
        <v>5.8521298911048536</v>
      </c>
      <c r="CR159" s="173">
        <f ca="1">(VLOOKUP(CR$72,INDIRECT($C$5&amp;"生成成长"),2))/((VLOOKUP($B159,INDIRECT($B$5&amp;"生成成长"),4))/(VLOOKUP(CR$72,INDIRECT($C$5&amp;"生成成长"),5))*(VLOOKUP($B$5,标准坦克设计!$B$24:$U$30,MATCH("对"&amp;LEFT($C$5,2)&amp;"输出",标准坦克设计!$B$23:$U$23,0)))*(VLOOKUP($B159,INDIRECT($B$5&amp;"生成成长"),3))*(VLOOKUP($B$5,标准坦克设计!$B$14:$K$20,9)/30))</f>
        <v>6.3480505031655863</v>
      </c>
      <c r="CS159" s="173">
        <f ca="1">(VLOOKUP(CS$72,INDIRECT($C$5&amp;"生成成长"),2))/((VLOOKUP($B159,INDIRECT($B$5&amp;"生成成长"),4))/(VLOOKUP(CS$72,INDIRECT($C$5&amp;"生成成长"),5))*(VLOOKUP($B$5,标准坦克设计!$B$24:$U$30,MATCH("对"&amp;LEFT($C$5,2)&amp;"输出",标准坦克设计!$B$23:$U$23,0)))*(VLOOKUP($B159,INDIRECT($B$5&amp;"生成成长"),3))*(VLOOKUP($B$5,标准坦克设计!$B$14:$K$20,9)/30))</f>
        <v>6.8641379423341498</v>
      </c>
      <c r="CT159" s="173">
        <f ca="1">(VLOOKUP(CT$72,INDIRECT($C$5&amp;"生成成长"),2))/((VLOOKUP($B159,INDIRECT($B$5&amp;"生成成长"),4))/(VLOOKUP(CT$72,INDIRECT($C$5&amp;"生成成长"),5))*(VLOOKUP($B$5,标准坦克设计!$B$24:$U$30,MATCH("对"&amp;LEFT($C$5,2)&amp;"输出",标准坦克设计!$B$23:$U$23,0)))*(VLOOKUP($B159,INDIRECT($B$5&amp;"生成成长"),3))*(VLOOKUP($B$5,标准坦克设计!$B$14:$K$20,9)/30))</f>
        <v>7.4003922086105431</v>
      </c>
      <c r="CU159" s="173">
        <f ca="1">(VLOOKUP(CU$72,INDIRECT($C$5&amp;"生成成长"),2))/((VLOOKUP($B159,INDIRECT($B$5&amp;"生成成长"),4))/(VLOOKUP(CU$72,INDIRECT($C$5&amp;"生成成长"),5))*(VLOOKUP($B$5,标准坦克设计!$B$24:$U$30,MATCH("对"&amp;LEFT($C$5,2)&amp;"输出",标准坦克设计!$B$23:$U$23,0)))*(VLOOKUP($B159,INDIRECT($B$5&amp;"生成成长"),3))*(VLOOKUP($B$5,标准坦克设计!$B$14:$K$20,9)/30))</f>
        <v>7.9568133019947664</v>
      </c>
      <c r="CV159" s="173">
        <f ca="1">(VLOOKUP(CV$72,INDIRECT($C$5&amp;"生成成长"),2))/((VLOOKUP($B159,INDIRECT($B$5&amp;"生成成长"),4))/(VLOOKUP(CV$72,INDIRECT($C$5&amp;"生成成长"),5))*(VLOOKUP($B$5,标准坦克设计!$B$24:$U$30,MATCH("对"&amp;LEFT($C$5,2)&amp;"输出",标准坦克设计!$B$23:$U$23,0)))*(VLOOKUP($B159,INDIRECT($B$5&amp;"生成成长"),3))*(VLOOKUP($B$5,标准坦克设计!$B$14:$K$20,9)/30))</f>
        <v>8.5334012224868196</v>
      </c>
      <c r="CW159" s="173">
        <f ca="1">(VLOOKUP(CW$72,INDIRECT($C$5&amp;"生成成长"),2))/((VLOOKUP($B159,INDIRECT($B$5&amp;"生成成长"),4))/(VLOOKUP(CW$72,INDIRECT($C$5&amp;"生成成长"),5))*(VLOOKUP($B$5,标准坦克设计!$B$24:$U$30,MATCH("对"&amp;LEFT($C$5,2)&amp;"输出",标准坦克设计!$B$23:$U$23,0)))*(VLOOKUP($B159,INDIRECT($B$5&amp;"生成成长"),3))*(VLOOKUP($B$5,标准坦克设计!$B$14:$K$20,9)/30))</f>
        <v>9.1301559700867045</v>
      </c>
      <c r="CX159" s="173">
        <f ca="1">(VLOOKUP(CX$72,INDIRECT($C$5&amp;"生成成长"),2))/((VLOOKUP($B159,INDIRECT($B$5&amp;"生成成长"),4))/(VLOOKUP(CX$72,INDIRECT($C$5&amp;"生成成长"),5))*(VLOOKUP($B$5,标准坦克设计!$B$24:$U$30,MATCH("对"&amp;LEFT($C$5,2)&amp;"输出",标准坦克设计!$B$23:$U$23,0)))*(VLOOKUP($B159,INDIRECT($B$5&amp;"生成成长"),3))*(VLOOKUP($B$5,标准坦克设计!$B$14:$K$20,9)/30))</f>
        <v>9.7470775447944185</v>
      </c>
      <c r="CY159" s="173">
        <f ca="1">(VLOOKUP(CY$72,INDIRECT($C$5&amp;"生成成长"),2))/((VLOOKUP($B159,INDIRECT($B$5&amp;"生成成长"),4))/(VLOOKUP(CY$72,INDIRECT($C$5&amp;"生成成长"),5))*(VLOOKUP($B$5,标准坦克设计!$B$24:$U$30,MATCH("对"&amp;LEFT($C$5,2)&amp;"输出",标准坦克设计!$B$23:$U$23,0)))*(VLOOKUP($B159,INDIRECT($B$5&amp;"生成成长"),3))*(VLOOKUP($B$5,标准坦克设计!$B$14:$K$20,9)/30))</f>
        <v>10.384165946609961</v>
      </c>
      <c r="CZ159" s="173">
        <f ca="1">(VLOOKUP(CZ$72,INDIRECT($C$5&amp;"生成成长"),2))/((VLOOKUP($B159,INDIRECT($B$5&amp;"生成成长"),4))/(VLOOKUP(CZ$72,INDIRECT($C$5&amp;"生成成长"),5))*(VLOOKUP($B$5,标准坦克设计!$B$24:$U$30,MATCH("对"&amp;LEFT($C$5,2)&amp;"输出",标准坦克设计!$B$23:$U$23,0)))*(VLOOKUP($B159,INDIRECT($B$5&amp;"生成成长"),3))*(VLOOKUP($B$5,标准坦克设计!$B$14:$K$20,9)/30))</f>
        <v>11.041421175533337</v>
      </c>
      <c r="DA159" s="173">
        <f ca="1">(VLOOKUP(DA$72,INDIRECT($C$5&amp;"生成成长"),2))/((VLOOKUP($B159,INDIRECT($B$5&amp;"生成成长"),4))/(VLOOKUP(DA$72,INDIRECT($C$5&amp;"生成成长"),5))*(VLOOKUP($B$5,标准坦克设计!$B$24:$U$30,MATCH("对"&amp;LEFT($C$5,2)&amp;"输出",标准坦克设计!$B$23:$U$23,0)))*(VLOOKUP($B159,INDIRECT($B$5&amp;"生成成长"),3))*(VLOOKUP($B$5,标准坦克设计!$B$14:$K$20,9)/30))</f>
        <v>11.718843231564541</v>
      </c>
      <c r="DB159" s="173">
        <f ca="1">(VLOOKUP(DB$72,INDIRECT($C$5&amp;"生成成长"),2))/((VLOOKUP($B159,INDIRECT($B$5&amp;"生成成长"),4))/(VLOOKUP(DB$72,INDIRECT($C$5&amp;"生成成长"),5))*(VLOOKUP($B$5,标准坦克设计!$B$24:$U$30,MATCH("对"&amp;LEFT($C$5,2)&amp;"输出",标准坦克设计!$B$23:$U$23,0)))*(VLOOKUP($B159,INDIRECT($B$5&amp;"生成成长"),3))*(VLOOKUP($B$5,标准坦克设计!$B$14:$K$20,9)/30))</f>
        <v>12.416432114703577</v>
      </c>
      <c r="DC159" s="173">
        <f ca="1">(VLOOKUP(DC$72,INDIRECT($C$5&amp;"生成成长"),2))/((VLOOKUP($B159,INDIRECT($B$5&amp;"生成成长"),4))/(VLOOKUP(DC$72,INDIRECT($C$5&amp;"生成成长"),5))*(VLOOKUP($B$5,标准坦克设计!$B$24:$U$30,MATCH("对"&amp;LEFT($C$5,2)&amp;"输出",标准坦克设计!$B$23:$U$23,0)))*(VLOOKUP($B159,INDIRECT($B$5&amp;"生成成长"),3))*(VLOOKUP($B$5,标准坦克设计!$B$14:$K$20,9)/30))</f>
        <v>13.200438352019553</v>
      </c>
      <c r="DD159" s="173">
        <f ca="1">(VLOOKUP(DD$72,INDIRECT($C$5&amp;"生成成长"),2))/((VLOOKUP($B159,INDIRECT($B$5&amp;"生成成长"),4))/(VLOOKUP(DD$72,INDIRECT($C$5&amp;"生成成长"),5))*(VLOOKUP($B$5,标准坦克设计!$B$24:$U$30,MATCH("对"&amp;LEFT($C$5,2)&amp;"输出",标准坦克设计!$B$23:$U$23,0)))*(VLOOKUP($B159,INDIRECT($B$5&amp;"生成成长"),3))*(VLOOKUP($B$5,标准坦克设计!$B$14:$K$20,9)/30))</f>
        <v>14.008444780273773</v>
      </c>
      <c r="DE159" s="173">
        <f ca="1">(VLOOKUP(DE$72,INDIRECT($C$5&amp;"生成成长"),2))/((VLOOKUP($B159,INDIRECT($B$5&amp;"生成成长"),4))/(VLOOKUP(DE$72,INDIRECT($C$5&amp;"生成成长"),5))*(VLOOKUP($B$5,标准坦克设计!$B$24:$U$30,MATCH("对"&amp;LEFT($C$5,2)&amp;"输出",标准坦克设计!$B$23:$U$23,0)))*(VLOOKUP($B159,INDIRECT($B$5&amp;"生成成长"),3))*(VLOOKUP($B$5,标准坦克设计!$B$14:$K$20,9)/30))</f>
        <v>14.840451399466238</v>
      </c>
      <c r="DF159" s="173">
        <f ca="1">(VLOOKUP(DF$72,INDIRECT($C$5&amp;"生成成长"),2))/((VLOOKUP($B159,INDIRECT($B$5&amp;"生成成长"),4))/(VLOOKUP(DF$72,INDIRECT($C$5&amp;"生成成长"),5))*(VLOOKUP($B$5,标准坦克设计!$B$24:$U$30,MATCH("对"&amp;LEFT($C$5,2)&amp;"输出",标准坦克设计!$B$23:$U$23,0)))*(VLOOKUP($B159,INDIRECT($B$5&amp;"生成成长"),3))*(VLOOKUP($B$5,标准坦克设计!$B$14:$K$20,9)/30))</f>
        <v>15.696458209596948</v>
      </c>
      <c r="DG159" s="173">
        <f ca="1">(VLOOKUP(DG$72,INDIRECT($C$5&amp;"生成成长"),2))/((VLOOKUP($B159,INDIRECT($B$5&amp;"生成成长"),4))/(VLOOKUP(DG$72,INDIRECT($C$5&amp;"生成成长"),5))*(VLOOKUP($B$5,标准坦克设计!$B$24:$U$30,MATCH("对"&amp;LEFT($C$5,2)&amp;"输出",标准坦克设计!$B$23:$U$23,0)))*(VLOOKUP($B159,INDIRECT($B$5&amp;"生成成长"),3))*(VLOOKUP($B$5,标准坦克设计!$B$14:$K$20,9)/30))</f>
        <v>16.576465210665901</v>
      </c>
      <c r="DH159" s="173">
        <f ca="1">(VLOOKUP(DH$72,INDIRECT($C$5&amp;"生成成长"),2))/((VLOOKUP($B159,INDIRECT($B$5&amp;"生成成长"),4))/(VLOOKUP(DH$72,INDIRECT($C$5&amp;"生成成长"),5))*(VLOOKUP($B$5,标准坦克设计!$B$24:$U$30,MATCH("对"&amp;LEFT($C$5,2)&amp;"输出",标准坦克设计!$B$23:$U$23,0)))*(VLOOKUP($B159,INDIRECT($B$5&amp;"生成成长"),3))*(VLOOKUP($B$5,标准坦克设计!$B$14:$K$20,9)/30))</f>
        <v>17.480472402673097</v>
      </c>
      <c r="DI159" s="173">
        <f ca="1">(VLOOKUP(DI$72,INDIRECT($C$5&amp;"生成成长"),2))/((VLOOKUP($B159,INDIRECT($B$5&amp;"生成成长"),4))/(VLOOKUP(DI$72,INDIRECT($C$5&amp;"生成成长"),5))*(VLOOKUP($B$5,标准坦克设计!$B$24:$U$30,MATCH("对"&amp;LEFT($C$5,2)&amp;"输出",标准坦克设计!$B$23:$U$23,0)))*(VLOOKUP($B159,INDIRECT($B$5&amp;"生成成长"),3))*(VLOOKUP($B$5,标准坦克设计!$B$14:$K$20,9)/30))</f>
        <v>18.408479785618539</v>
      </c>
      <c r="DJ159" s="173">
        <f ca="1">(VLOOKUP(DJ$72,INDIRECT($C$5&amp;"生成成长"),2))/((VLOOKUP($B159,INDIRECT($B$5&amp;"生成成长"),4))/(VLOOKUP(DJ$72,INDIRECT($C$5&amp;"生成成长"),5))*(VLOOKUP($B$5,标准坦克设计!$B$24:$U$30,MATCH("对"&amp;LEFT($C$5,2)&amp;"输出",标准坦克设计!$B$23:$U$23,0)))*(VLOOKUP($B159,INDIRECT($B$5&amp;"生成成长"),3))*(VLOOKUP($B$5,标准坦克设计!$B$14:$K$20,9)/30))</f>
        <v>1.8500980521526358</v>
      </c>
      <c r="DK159" s="173">
        <f ca="1">(VLOOKUP(DK$72,INDIRECT($C$5&amp;"生成成长"),2))/((VLOOKUP($B159,INDIRECT($B$5&amp;"生成成长"),4))/(VLOOKUP(DK$72,INDIRECT($C$5&amp;"生成成长"),5))*(VLOOKUP($B$5,标准坦克设计!$B$24:$U$30,MATCH("对"&amp;LEFT($C$5,2)&amp;"输出",标准坦克设计!$B$23:$U$23,0)))*(VLOOKUP($B159,INDIRECT($B$5&amp;"生成成长"),3))*(VLOOKUP($B$5,标准坦克设计!$B$14:$K$20,9)/30))</f>
        <v>2.0803498839664161</v>
      </c>
      <c r="DL159" s="173">
        <f ca="1">(VLOOKUP(DL$72,INDIRECT($C$5&amp;"生成成长"),2))/((VLOOKUP($B159,INDIRECT($B$5&amp;"生成成长"),4))/(VLOOKUP(DL$72,INDIRECT($C$5&amp;"生成成长"),5))*(VLOOKUP($B$5,标准坦克设计!$B$24:$U$30,MATCH("对"&amp;LEFT($C$5,2)&amp;"输出",标准坦克设计!$B$23:$U$23,0)))*(VLOOKUP($B159,INDIRECT($B$5&amp;"生成成长"),3))*(VLOOKUP($B$5,标准坦克设计!$B$14:$K$20,9)/30))</f>
        <v>2.324101823182958</v>
      </c>
      <c r="DM159" s="173">
        <f ca="1">(VLOOKUP(DM$72,INDIRECT($C$5&amp;"生成成长"),2))/((VLOOKUP($B159,INDIRECT($B$5&amp;"生成成长"),4))/(VLOOKUP(DM$72,INDIRECT($C$5&amp;"生成成长"),5))*(VLOOKUP($B$5,标准坦克设计!$B$24:$U$30,MATCH("对"&amp;LEFT($C$5,2)&amp;"输出",标准坦克设计!$B$23:$U$23,0)))*(VLOOKUP($B159,INDIRECT($B$5&amp;"生成成长"),3))*(VLOOKUP($B$5,标准坦克设计!$B$14:$K$20,9)/30))</f>
        <v>2.5813538698022627</v>
      </c>
      <c r="DN159" s="173">
        <f ca="1">(VLOOKUP(DN$72,INDIRECT($C$5&amp;"生成成长"),2))/((VLOOKUP($B159,INDIRECT($B$5&amp;"生成成长"),4))/(VLOOKUP(DN$72,INDIRECT($C$5&amp;"生成成长"),5))*(VLOOKUP($B$5,标准坦克设计!$B$24:$U$30,MATCH("对"&amp;LEFT($C$5,2)&amp;"输出",标准坦克设计!$B$23:$U$23,0)))*(VLOOKUP($B159,INDIRECT($B$5&amp;"生成成长"),3))*(VLOOKUP($B$5,标准坦克设计!$B$14:$K$20,9)/30))</f>
        <v>2.8521060238243301</v>
      </c>
      <c r="DO159" s="173">
        <f ca="1">(VLOOKUP(DO$72,INDIRECT($C$5&amp;"生成成长"),2))/((VLOOKUP($B159,INDIRECT($B$5&amp;"生成成长"),4))/(VLOOKUP(DO$72,INDIRECT($C$5&amp;"生成成长"),5))*(VLOOKUP($B$5,标准坦克设计!$B$24:$U$30,MATCH("对"&amp;LEFT($C$5,2)&amp;"输出",标准坦克设计!$B$23:$U$23,0)))*(VLOOKUP($B159,INDIRECT($B$5&amp;"生成成长"),3))*(VLOOKUP($B$5,标准坦克设计!$B$14:$K$20,9)/30))</f>
        <v>3.1363582852491598</v>
      </c>
      <c r="DP159" s="173">
        <f ca="1">(VLOOKUP(DP$72,INDIRECT($C$5&amp;"生成成长"),2))/((VLOOKUP($B159,INDIRECT($B$5&amp;"生成成长"),4))/(VLOOKUP(DP$72,INDIRECT($C$5&amp;"生成成长"),5))*(VLOOKUP($B$5,标准坦克设计!$B$24:$U$30,MATCH("对"&amp;LEFT($C$5,2)&amp;"输出",标准坦克设计!$B$23:$U$23,0)))*(VLOOKUP($B159,INDIRECT($B$5&amp;"生成成长"),3))*(VLOOKUP($B$5,标准坦克设计!$B$14:$K$20,9)/30))</f>
        <v>3.4341106540767519</v>
      </c>
      <c r="DQ159" s="173">
        <f ca="1">(VLOOKUP(DQ$72,INDIRECT($C$5&amp;"生成成长"),2))/((VLOOKUP($B159,INDIRECT($B$5&amp;"生成成长"),4))/(VLOOKUP(DQ$72,INDIRECT($C$5&amp;"生成成长"),5))*(VLOOKUP($B$5,标准坦克设计!$B$24:$U$30,MATCH("对"&amp;LEFT($C$5,2)&amp;"输出",标准坦克设计!$B$23:$U$23,0)))*(VLOOKUP($B159,INDIRECT($B$5&amp;"生成成长"),3))*(VLOOKUP($B$5,标准坦克设计!$B$14:$K$20,9)/30))</f>
        <v>3.7453631303071058</v>
      </c>
      <c r="DR159" s="173">
        <f ca="1">(VLOOKUP(DR$72,INDIRECT($C$5&amp;"生成成长"),2))/((VLOOKUP($B159,INDIRECT($B$5&amp;"生成成长"),4))/(VLOOKUP(DR$72,INDIRECT($C$5&amp;"生成成长"),5))*(VLOOKUP($B$5,标准坦克设计!$B$24:$U$30,MATCH("对"&amp;LEFT($C$5,2)&amp;"输出",标准坦克设计!$B$23:$U$23,0)))*(VLOOKUP($B159,INDIRECT($B$5&amp;"生成成长"),3))*(VLOOKUP($B$5,标准坦克设计!$B$14:$K$20,9)/30))</f>
        <v>4.070115713940222</v>
      </c>
      <c r="DS159" s="173">
        <f ca="1">(VLOOKUP(DS$72,INDIRECT($C$5&amp;"生成成长"),2))/((VLOOKUP($B159,INDIRECT($B$5&amp;"生成成长"),4))/(VLOOKUP(DS$72,INDIRECT($C$5&amp;"生成成长"),5))*(VLOOKUP($B$5,标准坦克设计!$B$24:$U$30,MATCH("对"&amp;LEFT($C$5,2)&amp;"输出",标准坦克设计!$B$23:$U$23,0)))*(VLOOKUP($B159,INDIRECT($B$5&amp;"生成成长"),3))*(VLOOKUP($B$5,标准坦克设计!$B$14:$K$20,9)/30))</f>
        <v>4.4083684049761018</v>
      </c>
      <c r="DT159" s="173">
        <f ca="1">(VLOOKUP(DT$72,INDIRECT($C$5&amp;"生成成长"),2))/((VLOOKUP($B159,INDIRECT($B$5&amp;"生成成长"),4))/(VLOOKUP(DT$72,INDIRECT($C$5&amp;"生成成长"),5))*(VLOOKUP($B$5,标准坦克设计!$B$24:$U$30,MATCH("对"&amp;LEFT($C$5,2)&amp;"输出",标准坦克设计!$B$23:$U$23,0)))*(VLOOKUP($B159,INDIRECT($B$5&amp;"生成成长"),3))*(VLOOKUP($B$5,标准坦克设计!$B$14:$K$20,9)/30))</f>
        <v>4.8401218398755566</v>
      </c>
      <c r="DU159" s="173">
        <f ca="1">(VLOOKUP(DU$72,INDIRECT($C$5&amp;"生成成长"),2))/((VLOOKUP($B159,INDIRECT($B$5&amp;"生成成长"),4))/(VLOOKUP(DU$72,INDIRECT($C$5&amp;"生成成长"),5))*(VLOOKUP($B$5,标准坦克设计!$B$24:$U$30,MATCH("对"&amp;LEFT($C$5,2)&amp;"输出",标准坦克设计!$B$23:$U$23,0)))*(VLOOKUP($B159,INDIRECT($B$5&amp;"生成成长"),3))*(VLOOKUP($B$5,标准坦克设计!$B$14:$K$20,9)/30))</f>
        <v>5.2920421018828421</v>
      </c>
      <c r="DV159" s="173">
        <f ca="1">(VLOOKUP(DV$72,INDIRECT($C$5&amp;"生成成长"),2))/((VLOOKUP($B159,INDIRECT($B$5&amp;"生成成长"),4))/(VLOOKUP(DV$72,INDIRECT($C$5&amp;"生成成长"),5))*(VLOOKUP($B$5,标准坦克设计!$B$24:$U$30,MATCH("对"&amp;LEFT($C$5,2)&amp;"输出",标准坦克设计!$B$23:$U$23,0)))*(VLOOKUP($B159,INDIRECT($B$5&amp;"生成成长"),3))*(VLOOKUP($B$5,标准坦克设计!$B$14:$K$20,9)/30))</f>
        <v>5.7641291909979575</v>
      </c>
      <c r="DW159" s="173">
        <f ca="1">(VLOOKUP(DW$72,INDIRECT($C$5&amp;"生成成长"),2))/((VLOOKUP($B159,INDIRECT($B$5&amp;"生成成长"),4))/(VLOOKUP(DW$72,INDIRECT($C$5&amp;"生成成长"),5))*(VLOOKUP($B$5,标准坦克设计!$B$24:$U$30,MATCH("对"&amp;LEFT($C$5,2)&amp;"输出",标准坦克设计!$B$23:$U$23,0)))*(VLOOKUP($B159,INDIRECT($B$5&amp;"生成成长"),3))*(VLOOKUP($B$5,标准坦克设计!$B$14:$K$20,9)/30))</f>
        <v>6.256383107220902</v>
      </c>
      <c r="DX159" s="173">
        <f ca="1">(VLOOKUP(DX$72,INDIRECT($C$5&amp;"生成成长"),2))/((VLOOKUP($B159,INDIRECT($B$5&amp;"生成成长"),4))/(VLOOKUP(DX$72,INDIRECT($C$5&amp;"生成成长"),5))*(VLOOKUP($B$5,标准坦克设计!$B$24:$U$30,MATCH("对"&amp;LEFT($C$5,2)&amp;"输出",标准坦克设计!$B$23:$U$23,0)))*(VLOOKUP($B159,INDIRECT($B$5&amp;"生成成长"),3))*(VLOOKUP($B$5,标准坦克设计!$B$14:$K$20,9)/30))</f>
        <v>6.7688038505516781</v>
      </c>
      <c r="DY159" s="173">
        <f ca="1">(VLOOKUP(DY$72,INDIRECT($C$5&amp;"生成成长"),2))/((VLOOKUP($B159,INDIRECT($B$5&amp;"生成成长"),4))/(VLOOKUP(DY$72,INDIRECT($C$5&amp;"生成成长"),5))*(VLOOKUP($B$5,标准坦克设计!$B$24:$U$30,MATCH("对"&amp;LEFT($C$5,2)&amp;"输出",标准坦克设计!$B$23:$U$23,0)))*(VLOOKUP($B159,INDIRECT($B$5&amp;"生成成长"),3))*(VLOOKUP($B$5,标准坦克设计!$B$14:$K$20,9)/30))</f>
        <v>3.0401075195072429</v>
      </c>
      <c r="DZ159" s="173">
        <f ca="1">(VLOOKUP(DZ$72,INDIRECT($C$5&amp;"生成成长"),2))/((VLOOKUP($B159,INDIRECT($B$5&amp;"生成成长"),4))/(VLOOKUP(DZ$72,INDIRECT($C$5&amp;"生成成长"),5))*(VLOOKUP($B$5,标准坦克设计!$B$24:$U$30,MATCH("对"&amp;LEFT($C$5,2)&amp;"输出",标准坦克设计!$B$23:$U$23,0)))*(VLOOKUP($B159,INDIRECT($B$5&amp;"生成成长"),3))*(VLOOKUP($B$5,标准坦克设计!$B$14:$K$20,9)/30))</f>
        <v>3.3667767850555661</v>
      </c>
      <c r="EA159" s="173">
        <f ca="1">(VLOOKUP(EA$72,INDIRECT($C$5&amp;"生成成长"),2))/((VLOOKUP($B159,INDIRECT($B$5&amp;"生成成长"),4))/(VLOOKUP(EA$72,INDIRECT($C$5&amp;"生成成长"),5))*(VLOOKUP($B$5,标准坦克设计!$B$24:$U$30,MATCH("对"&amp;LEFT($C$5,2)&amp;"输出",标准坦克设计!$B$23:$U$23,0)))*(VLOOKUP($B159,INDIRECT($B$5&amp;"生成成长"),3))*(VLOOKUP($B$5,标准坦克设计!$B$14:$K$20,9)/30))</f>
        <v>3.7101128498665594</v>
      </c>
      <c r="EB159" s="173">
        <f ca="1">(VLOOKUP(EB$72,INDIRECT($C$5&amp;"生成成长"),2))/((VLOOKUP($B159,INDIRECT($B$5&amp;"生成成长"),4))/(VLOOKUP(EB$72,INDIRECT($C$5&amp;"生成成长"),5))*(VLOOKUP($B$5,标准坦克设计!$B$24:$U$30,MATCH("对"&amp;LEFT($C$5,2)&amp;"输出",标准坦克设计!$B$23:$U$23,0)))*(VLOOKUP($B159,INDIRECT($B$5&amp;"生成成长"),3))*(VLOOKUP($B$5,标准坦克设计!$B$14:$K$20,9)/30))</f>
        <v>4.070115713940222</v>
      </c>
      <c r="EC159" s="173">
        <f ca="1">(VLOOKUP(EC$72,INDIRECT($C$5&amp;"生成成长"),2))/((VLOOKUP($B159,INDIRECT($B$5&amp;"生成成长"),4))/(VLOOKUP(EC$72,INDIRECT($C$5&amp;"生成成长"),5))*(VLOOKUP($B$5,标准坦克设计!$B$24:$U$30,MATCH("对"&amp;LEFT($C$5,2)&amp;"输出",标准坦克设计!$B$23:$U$23,0)))*(VLOOKUP($B159,INDIRECT($B$5&amp;"生成成长"),3))*(VLOOKUP($B$5,标准坦克设计!$B$14:$K$20,9)/30))</f>
        <v>4.4467853772765542</v>
      </c>
      <c r="ED159" s="173">
        <f ca="1">(VLOOKUP(ED$72,INDIRECT($C$5&amp;"生成成长"),2))/((VLOOKUP($B159,INDIRECT($B$5&amp;"生成成长"),4))/(VLOOKUP(ED$72,INDIRECT($C$5&amp;"生成成长"),5))*(VLOOKUP($B$5,标准坦克设计!$B$24:$U$30,MATCH("对"&amp;LEFT($C$5,2)&amp;"输出",标准坦克设计!$B$23:$U$23,0)))*(VLOOKUP($B159,INDIRECT($B$5&amp;"生成成长"),3))*(VLOOKUP($B$5,标准坦克设计!$B$14:$K$20,9)/30))</f>
        <v>4.8401218398755566</v>
      </c>
      <c r="EE159" s="173">
        <f ca="1">(VLOOKUP(EE$72,INDIRECT($C$5&amp;"生成成长"),2))/((VLOOKUP($B159,INDIRECT($B$5&amp;"生成成长"),4))/(VLOOKUP(EE$72,INDIRECT($C$5&amp;"生成成长"),5))*(VLOOKUP($B$5,标准坦克设计!$B$24:$U$30,MATCH("对"&amp;LEFT($C$5,2)&amp;"输出",标准坦克设计!$B$23:$U$23,0)))*(VLOOKUP($B159,INDIRECT($B$5&amp;"生成成长"),3))*(VLOOKUP($B$5,标准坦克设计!$B$14:$K$20,9)/30))</f>
        <v>5.2501251017372281</v>
      </c>
      <c r="EF159" s="173">
        <f ca="1">(VLOOKUP(EF$72,INDIRECT($C$5&amp;"生成成长"),2))/((VLOOKUP($B159,INDIRECT($B$5&amp;"生成成长"),4))/(VLOOKUP(EF$72,INDIRECT($C$5&amp;"生成成长"),5))*(VLOOKUP($B$5,标准坦克设计!$B$24:$U$30,MATCH("对"&amp;LEFT($C$5,2)&amp;"输出",标准坦克设计!$B$23:$U$23,0)))*(VLOOKUP($B159,INDIRECT($B$5&amp;"生成成长"),3))*(VLOOKUP($B$5,标准坦克设计!$B$14:$K$20,9)/30))</f>
        <v>5.6767951628615698</v>
      </c>
      <c r="EG159" s="173">
        <f ca="1">(VLOOKUP(EG$72,INDIRECT($C$5&amp;"生成成长"),2))/((VLOOKUP($B159,INDIRECT($B$5&amp;"生成成长"),4))/(VLOOKUP(EG$72,INDIRECT($C$5&amp;"生成成长"),5))*(VLOOKUP($B$5,标准坦克设计!$B$24:$U$30,MATCH("对"&amp;LEFT($C$5,2)&amp;"输出",标准坦克设计!$B$23:$U$23,0)))*(VLOOKUP($B159,INDIRECT($B$5&amp;"生成成长"),3))*(VLOOKUP($B$5,标准坦克设计!$B$14:$K$20,9)/30))</f>
        <v>6.1201320232485799</v>
      </c>
      <c r="EH159" s="173">
        <f ca="1">(VLOOKUP(EH$72,INDIRECT($C$5&amp;"生成成长"),2))/((VLOOKUP($B159,INDIRECT($B$5&amp;"生成成长"),4))/(VLOOKUP(EH$72,INDIRECT($C$5&amp;"生成成长"),5))*(VLOOKUP($B$5,标准坦克设计!$B$24:$U$30,MATCH("对"&amp;LEFT($C$5,2)&amp;"输出",标准坦克设计!$B$23:$U$23,0)))*(VLOOKUP($B159,INDIRECT($B$5&amp;"生成成长"),3))*(VLOOKUP($B$5,标准坦克设计!$B$14:$K$20,9)/30))</f>
        <v>6.58013568289826</v>
      </c>
      <c r="EI159" s="173">
        <f ca="1">(VLOOKUP(EI$72,INDIRECT($C$5&amp;"生成成长"),2))/((VLOOKUP($B159,INDIRECT($B$5&amp;"生成成长"),4))/(VLOOKUP(EI$72,INDIRECT($C$5&amp;"生成成长"),5))*(VLOOKUP($B$5,标准坦克设计!$B$24:$U$30,MATCH("对"&amp;LEFT($C$5,2)&amp;"输出",标准坦克设计!$B$23:$U$23,0)))*(VLOOKUP($B159,INDIRECT($B$5&amp;"生成成长"),3))*(VLOOKUP($B$5,标准坦克设计!$B$14:$K$20,9)/30))</f>
        <v>7.0568061418106103</v>
      </c>
      <c r="EJ159" s="173">
        <f ca="1">(VLOOKUP(EJ$72,INDIRECT($C$5&amp;"生成成长"),2))/((VLOOKUP($B159,INDIRECT($B$5&amp;"生成成长"),4))/(VLOOKUP(EJ$72,INDIRECT($C$5&amp;"生成成长"),5))*(VLOOKUP($B$5,标准坦克设计!$B$24:$U$30,MATCH("对"&amp;LEFT($C$5,2)&amp;"输出",标准坦克设计!$B$23:$U$23,0)))*(VLOOKUP($B159,INDIRECT($B$5&amp;"生成成长"),3))*(VLOOKUP($B$5,标准坦克设计!$B$14:$K$20,9)/30))</f>
        <v>7.5501433999856289</v>
      </c>
      <c r="EK159" s="173">
        <f ca="1">(VLOOKUP(EK$72,INDIRECT($C$5&amp;"生成成长"),2))/((VLOOKUP($B159,INDIRECT($B$5&amp;"生成成长"),4))/(VLOOKUP(EK$72,INDIRECT($C$5&amp;"生成成长"),5))*(VLOOKUP($B$5,标准坦克设计!$B$24:$U$30,MATCH("对"&amp;LEFT($C$5,2)&amp;"输出",标准坦克设计!$B$23:$U$23,0)))*(VLOOKUP($B159,INDIRECT($B$5&amp;"生成成长"),3))*(VLOOKUP($B$5,标准坦克设计!$B$14:$K$20,9)/30))</f>
        <v>8.1641482848223763</v>
      </c>
      <c r="EL159" s="173">
        <f ca="1">(VLOOKUP(EL$72,INDIRECT($C$5&amp;"生成成长"),2))/((VLOOKUP($B159,INDIRECT($B$5&amp;"生成成长"),4))/(VLOOKUP(EL$72,INDIRECT($C$5&amp;"生成成长"),5))*(VLOOKUP($B$5,标准坦克设计!$B$24:$U$30,MATCH("对"&amp;LEFT($C$5,2)&amp;"输出",标准坦克设计!$B$23:$U$23,0)))*(VLOOKUP($B159,INDIRECT($B$5&amp;"生成成长"),3))*(VLOOKUP($B$5,标准坦克设计!$B$14:$K$20,9)/30))</f>
        <v>8.8021533605973676</v>
      </c>
      <c r="EM159" s="173">
        <f ca="1">(VLOOKUP(EM$72,INDIRECT($C$5&amp;"生成成长"),2))/((VLOOKUP($B159,INDIRECT($B$5&amp;"生成成长"),4))/(VLOOKUP(EM$72,INDIRECT($C$5&amp;"生成成长"),5))*(VLOOKUP($B$5,标准坦克设计!$B$24:$U$30,MATCH("对"&amp;LEFT($C$5,2)&amp;"输出",标准坦克设计!$B$23:$U$23,0)))*(VLOOKUP($B159,INDIRECT($B$5&amp;"生成成长"),3))*(VLOOKUP($B$5,标准坦克设计!$B$14:$K$20,9)/30))</f>
        <v>9.4641586273106029</v>
      </c>
      <c r="EN159" s="173">
        <f ca="1">(VLOOKUP(EN$72,INDIRECT($C$5&amp;"生成成长"),2))/((VLOOKUP($B159,INDIRECT($B$5&amp;"生成成长"),4))/(VLOOKUP(EN$72,INDIRECT($C$5&amp;"生成成长"),5))*(VLOOKUP($B$5,标准坦克设计!$B$24:$U$30,MATCH("对"&amp;LEFT($C$5,2)&amp;"输出",标准坦克设计!$B$23:$U$23,0)))*(VLOOKUP($B159,INDIRECT($B$5&amp;"生成成长"),3))*(VLOOKUP($B$5,标准坦克设计!$B$14:$K$20,9)/30))</f>
        <v>10.150164084962082</v>
      </c>
      <c r="EO159" s="173">
        <f ca="1">(VLOOKUP(EO$72,INDIRECT($C$5&amp;"生成成长"),2))/((VLOOKUP($B159,INDIRECT($B$5&amp;"生成成长"),4))/(VLOOKUP(EO$72,INDIRECT($C$5&amp;"生成成长"),5))*(VLOOKUP($B$5,标准坦克设计!$B$24:$U$30,MATCH("对"&amp;LEFT($C$5,2)&amp;"输出",标准坦克设计!$B$23:$U$23,0)))*(VLOOKUP($B159,INDIRECT($B$5&amp;"生成成长"),3))*(VLOOKUP($B$5,标准坦克设计!$B$14:$K$20,9)/30))</f>
        <v>10.860169733551805</v>
      </c>
      <c r="EP159" s="173">
        <f ca="1">(VLOOKUP(EP$72,INDIRECT($C$5&amp;"生成成长"),2))/((VLOOKUP($B159,INDIRECT($B$5&amp;"生成成长"),4))/(VLOOKUP(EP$72,INDIRECT($C$5&amp;"生成成长"),5))*(VLOOKUP($B$5,标准坦克设计!$B$24:$U$30,MATCH("对"&amp;LEFT($C$5,2)&amp;"输出",标准坦克设计!$B$23:$U$23,0)))*(VLOOKUP($B159,INDIRECT($B$5&amp;"生成成长"),3))*(VLOOKUP($B$5,标准坦克设计!$B$14:$K$20,9)/30))</f>
        <v>11.594175573079774</v>
      </c>
      <c r="EQ159" s="173">
        <f ca="1">(VLOOKUP(EQ$72,INDIRECT($C$5&amp;"生成成长"),2))/((VLOOKUP($B159,INDIRECT($B$5&amp;"生成成长"),4))/(VLOOKUP(EQ$72,INDIRECT($C$5&amp;"生成成长"),5))*(VLOOKUP($B$5,标准坦克设计!$B$24:$U$30,MATCH("对"&amp;LEFT($C$5,2)&amp;"输出",标准坦克设计!$B$23:$U$23,0)))*(VLOOKUP($B159,INDIRECT($B$5&amp;"生成成长"),3))*(VLOOKUP($B$5,标准坦克设计!$B$14:$K$20,9)/30))</f>
        <v>5.1253741092561471</v>
      </c>
      <c r="ER159" s="173">
        <f ca="1">(VLOOKUP(ER$72,INDIRECT($C$5&amp;"生成成长"),2))/((VLOOKUP($B159,INDIRECT($B$5&amp;"生成成长"),4))/(VLOOKUP(ER$72,INDIRECT($C$5&amp;"生成成长"),5))*(VLOOKUP($B$5,标准坦克设计!$B$24:$U$30,MATCH("对"&amp;LEFT($C$5,2)&amp;"输出",标准坦克设计!$B$23:$U$23,0)))*(VLOOKUP($B159,INDIRECT($B$5&amp;"生成成长"),3))*(VLOOKUP($B$5,标准坦克设计!$B$14:$K$20,9)/30))</f>
        <v>5.5901278066956879</v>
      </c>
      <c r="ES159" s="173">
        <f ca="1">(VLOOKUP(ES$72,INDIRECT($C$5&amp;"生成成长"),2))/((VLOOKUP($B159,INDIRECT($B$5&amp;"生成成长"),4))/(VLOOKUP(ES$72,INDIRECT($C$5&amp;"生成成长"),5))*(VLOOKUP($B$5,标准坦克设计!$B$24:$U$30,MATCH("对"&amp;LEFT($C$5,2)&amp;"输出",标准坦克设计!$B$23:$U$23,0)))*(VLOOKUP($B159,INDIRECT($B$5&amp;"生成成长"),3))*(VLOOKUP($B$5,标准坦克设计!$B$14:$K$20,9)/30))</f>
        <v>6.0750483312430585</v>
      </c>
      <c r="ET159" s="173">
        <f ca="1">(VLOOKUP(ET$72,INDIRECT($C$5&amp;"生成成长"),2))/((VLOOKUP($B159,INDIRECT($B$5&amp;"生成成长"),4))/(VLOOKUP(ET$72,INDIRECT($C$5&amp;"生成成长"),5))*(VLOOKUP($B$5,标准坦克设计!$B$24:$U$30,MATCH("对"&amp;LEFT($C$5,2)&amp;"输出",标准坦克设计!$B$23:$U$23,0)))*(VLOOKUP($B159,INDIRECT($B$5&amp;"生成成长"),3))*(VLOOKUP($B$5,标准坦克设计!$B$14:$K$20,9)/30))</f>
        <v>6.58013568289826</v>
      </c>
      <c r="EU159" s="173">
        <f ca="1">(VLOOKUP(EU$72,INDIRECT($C$5&amp;"生成成长"),2))/((VLOOKUP($B159,INDIRECT($B$5&amp;"生成成长"),4))/(VLOOKUP(EU$72,INDIRECT($C$5&amp;"生成成长"),5))*(VLOOKUP($B$5,标准坦克设计!$B$24:$U$30,MATCH("对"&amp;LEFT($C$5,2)&amp;"输出",标准坦克设计!$B$23:$U$23,0)))*(VLOOKUP($B159,INDIRECT($B$5&amp;"生成成长"),3))*(VLOOKUP($B$5,标准坦克设计!$B$14:$K$20,9)/30))</f>
        <v>7.1053898616612905</v>
      </c>
      <c r="EV159" s="173">
        <f ca="1">(VLOOKUP(EV$72,INDIRECT($C$5&amp;"生成成长"),2))/((VLOOKUP($B159,INDIRECT($B$5&amp;"生成成长"),4))/(VLOOKUP(EV$72,INDIRECT($C$5&amp;"生成成长"),5))*(VLOOKUP($B$5,标准坦克设计!$B$24:$U$30,MATCH("对"&amp;LEFT($C$5,2)&amp;"输出",标准坦克设计!$B$23:$U$23,0)))*(VLOOKUP($B159,INDIRECT($B$5&amp;"生成成长"),3))*(VLOOKUP($B$5,标准坦克设计!$B$14:$K$20,9)/30))</f>
        <v>7.6508108675321536</v>
      </c>
      <c r="EW159" s="173">
        <f ca="1">(VLOOKUP(EW$72,INDIRECT($C$5&amp;"生成成长"),2))/((VLOOKUP($B159,INDIRECT($B$5&amp;"生成成长"),4))/(VLOOKUP(EW$72,INDIRECT($C$5&amp;"生成成长"),5))*(VLOOKUP($B$5,标准坦克设计!$B$24:$U$30,MATCH("对"&amp;LEFT($C$5,2)&amp;"输出",标准坦克设计!$B$23:$U$23,0)))*(VLOOKUP($B159,INDIRECT($B$5&amp;"生成成长"),3))*(VLOOKUP($B$5,标准坦克设计!$B$14:$K$20,9)/30))</f>
        <v>8.2163987005108456</v>
      </c>
      <c r="EX159" s="173">
        <f ca="1">(VLOOKUP(EX$72,INDIRECT($C$5&amp;"生成成长"),2))/((VLOOKUP($B159,INDIRECT($B$5&amp;"生成成长"),4))/(VLOOKUP(EX$72,INDIRECT($C$5&amp;"生成成长"),5))*(VLOOKUP($B$5,标准坦克设计!$B$24:$U$30,MATCH("对"&amp;LEFT($C$5,2)&amp;"输出",标准坦克设计!$B$23:$U$23,0)))*(VLOOKUP($B159,INDIRECT($B$5&amp;"生成成长"),3))*(VLOOKUP($B$5,标准坦克设计!$B$14:$K$20,9)/30))</f>
        <v>8.8021533605973676</v>
      </c>
      <c r="EY159" s="173">
        <f ca="1">(VLOOKUP(EY$72,INDIRECT($C$5&amp;"生成成长"),2))/((VLOOKUP($B159,INDIRECT($B$5&amp;"生成成长"),4))/(VLOOKUP(EY$72,INDIRECT($C$5&amp;"生成成长"),5))*(VLOOKUP($B$5,标准坦克设计!$B$24:$U$30,MATCH("对"&amp;LEFT($C$5,2)&amp;"输出",标准坦克设计!$B$23:$U$23,0)))*(VLOOKUP($B159,INDIRECT($B$5&amp;"生成成长"),3))*(VLOOKUP($B$5,标准坦克设计!$B$14:$K$20,9)/30))</f>
        <v>9.4080748477917204</v>
      </c>
      <c r="EZ159" s="173">
        <f ca="1">(VLOOKUP(EZ$72,INDIRECT($C$5&amp;"生成成长"),2))/((VLOOKUP($B159,INDIRECT($B$5&amp;"生成成长"),4))/(VLOOKUP(EZ$72,INDIRECT($C$5&amp;"生成成长"),5))*(VLOOKUP($B$5,标准坦克设计!$B$24:$U$30,MATCH("对"&amp;LEFT($C$5,2)&amp;"输出",标准坦克设计!$B$23:$U$23,0)))*(VLOOKUP($B159,INDIRECT($B$5&amp;"生成成长"),3))*(VLOOKUP($B$5,标准坦克设计!$B$14:$K$20,9)/30))</f>
        <v>10.034163162093902</v>
      </c>
      <c r="FA159" s="173">
        <f ca="1">(VLOOKUP(FA$72,INDIRECT($C$5&amp;"生成成长"),2))/((VLOOKUP($B159,INDIRECT($B$5&amp;"生成成长"),4))/(VLOOKUP(FA$72,INDIRECT($C$5&amp;"生成成长"),5))*(VLOOKUP($B$5,标准坦克设计!$B$24:$U$30,MATCH("对"&amp;LEFT($C$5,2)&amp;"输出",标准坦克设计!$B$23:$U$23,0)))*(VLOOKUP($B159,INDIRECT($B$5&amp;"生成成长"),3))*(VLOOKUP($B$5,标准坦克设计!$B$14:$K$20,9)/30))</f>
        <v>10.680418303503913</v>
      </c>
      <c r="FB159" s="173">
        <f ca="1">(VLOOKUP(FB$72,INDIRECT($C$5&amp;"生成成长"),2))/((VLOOKUP($B159,INDIRECT($B$5&amp;"生成成长"),4))/(VLOOKUP(FB$72,INDIRECT($C$5&amp;"生成成长"),5))*(VLOOKUP($B$5,标准坦克设计!$B$24:$U$30,MATCH("对"&amp;LEFT($C$5,2)&amp;"输出",标准坦克设计!$B$23:$U$23,0)))*(VLOOKUP($B159,INDIRECT($B$5&amp;"生成成长"),3))*(VLOOKUP($B$5,标准坦克设计!$B$14:$K$20,9)/30))</f>
        <v>11.346840272021758</v>
      </c>
      <c r="FC159" s="173">
        <f ca="1">(VLOOKUP(FC$72,INDIRECT($C$5&amp;"生成成长"),2))/((VLOOKUP($B159,INDIRECT($B$5&amp;"生成成长"),4))/(VLOOKUP(FC$72,INDIRECT($C$5&amp;"生成成长"),5))*(VLOOKUP($B$5,标准坦克设计!$B$24:$U$30,MATCH("对"&amp;LEFT($C$5,2)&amp;"输出",标准坦克设计!$B$23:$U$23,0)))*(VLOOKUP($B159,INDIRECT($B$5&amp;"生成成长"),3))*(VLOOKUP($B$5,标准坦克设计!$B$14:$K$20,9)/30))</f>
        <v>12.033429067647431</v>
      </c>
      <c r="FD159" s="173">
        <f ca="1">(VLOOKUP(FD$72,INDIRECT($C$5&amp;"生成成长"),2))/((VLOOKUP($B159,INDIRECT($B$5&amp;"生成成长"),4))/(VLOOKUP(FD$72,INDIRECT($C$5&amp;"生成成长"),5))*(VLOOKUP($B$5,标准坦克设计!$B$24:$U$30,MATCH("对"&amp;LEFT($C$5,2)&amp;"输出",标准坦克设计!$B$23:$U$23,0)))*(VLOOKUP($B159,INDIRECT($B$5&amp;"生成成长"),3))*(VLOOKUP($B$5,标准坦克设计!$B$14:$K$20,9)/30))</f>
        <v>12.740184690380932</v>
      </c>
      <c r="FE159" s="173">
        <f ca="1">(VLOOKUP(FE$72,INDIRECT($C$5&amp;"生成成长"),2))/((VLOOKUP($B159,INDIRECT($B$5&amp;"生成成长"),4))/(VLOOKUP(FE$72,INDIRECT($C$5&amp;"生成成长"),5))*(VLOOKUP($B$5,标准坦克设计!$B$24:$U$30,MATCH("对"&amp;LEFT($C$5,2)&amp;"输出",标准坦克设计!$B$23:$U$23,0)))*(VLOOKUP($B159,INDIRECT($B$5&amp;"生成成长"),3))*(VLOOKUP($B$5,标准坦克设计!$B$14:$K$20,9)/30))</f>
        <v>13.601441542279382</v>
      </c>
      <c r="FF159" s="173">
        <f ca="1">(VLOOKUP(FF$72,INDIRECT($C$5&amp;"生成成长"),2))/((VLOOKUP($B159,INDIRECT($B$5&amp;"生成成长"),4))/(VLOOKUP(FF$72,INDIRECT($C$5&amp;"生成成长"),5))*(VLOOKUP($B$5,标准坦克设计!$B$24:$U$30,MATCH("对"&amp;LEFT($C$5,2)&amp;"输出",标准坦克设计!$B$23:$U$23,0)))*(VLOOKUP($B159,INDIRECT($B$5&amp;"生成成长"),3))*(VLOOKUP($B$5,标准坦克设计!$B$14:$K$20,9)/30))</f>
        <v>14.490865284931745</v>
      </c>
      <c r="FG159" s="173">
        <f ca="1">(VLOOKUP(FG$72,INDIRECT($C$5&amp;"生成成长"),2))/((VLOOKUP($B159,INDIRECT($B$5&amp;"生成成长"),4))/(VLOOKUP(FG$72,INDIRECT($C$5&amp;"生成成长"),5))*(VLOOKUP($B$5,标准坦克设计!$B$24:$U$30,MATCH("对"&amp;LEFT($C$5,2)&amp;"输出",标准坦克设计!$B$23:$U$23,0)))*(VLOOKUP($B159,INDIRECT($B$5&amp;"生成成长"),3))*(VLOOKUP($B$5,标准坦克设计!$B$14:$K$20,9)/30))</f>
        <v>15.408455918338015</v>
      </c>
      <c r="FH159" s="173">
        <f ca="1">(VLOOKUP(FH$72,INDIRECT($C$5&amp;"生成成长"),2))/((VLOOKUP($B159,INDIRECT($B$5&amp;"生成成长"),4))/(VLOOKUP(FH$72,INDIRECT($C$5&amp;"生成成长"),5))*(VLOOKUP($B$5,标准坦克设计!$B$24:$U$30,MATCH("对"&amp;LEFT($C$5,2)&amp;"输出",标准坦克设计!$B$23:$U$23,0)))*(VLOOKUP($B159,INDIRECT($B$5&amp;"生成成长"),3))*(VLOOKUP($B$5,标准坦克设计!$B$14:$K$20,9)/30))</f>
        <v>16.354213442498203</v>
      </c>
      <c r="FI159" s="173">
        <f ca="1">(VLOOKUP(FI$72,INDIRECT($C$5&amp;"生成成长"),2))/((VLOOKUP($B159,INDIRECT($B$5&amp;"生成成长"),4))/(VLOOKUP(FI$72,INDIRECT($C$5&amp;"生成成长"),5))*(VLOOKUP($B$5,标准坦克设计!$B$24:$U$30,MATCH("对"&amp;LEFT($C$5,2)&amp;"输出",标准坦克设计!$B$23:$U$23,0)))*(VLOOKUP($B159,INDIRECT($B$5&amp;"生成成长"),3))*(VLOOKUP($B$5,标准坦克设计!$B$14:$K$20,9)/30))</f>
        <v>17.328137857412298</v>
      </c>
      <c r="FJ159" s="173">
        <f ca="1">(VLOOKUP(FJ$72,INDIRECT($C$5&amp;"生成成长"),2))/((VLOOKUP($B159,INDIRECT($B$5&amp;"生成成长"),4))/(VLOOKUP(FJ$72,INDIRECT($C$5&amp;"生成成长"),5))*(VLOOKUP($B$5,标准坦克设计!$B$24:$U$30,MATCH("对"&amp;LEFT($C$5,2)&amp;"输出",标准坦克设计!$B$23:$U$23,0)))*(VLOOKUP($B159,INDIRECT($B$5&amp;"生成成长"),3))*(VLOOKUP($B$5,标准坦克设计!$B$14:$K$20,9)/30))</f>
        <v>18.330229163080311</v>
      </c>
      <c r="FK159" s="173">
        <f ca="1">(VLOOKUP(FK$72,INDIRECT($C$5&amp;"生成成长"),2))/((VLOOKUP($B159,INDIRECT($B$5&amp;"生成成长"),4))/(VLOOKUP(FK$72,INDIRECT($C$5&amp;"生成成长"),5))*(VLOOKUP($B$5,标准坦克设计!$B$24:$U$30,MATCH("对"&amp;LEFT($C$5,2)&amp;"输出",标准坦克设计!$B$23:$U$23,0)))*(VLOOKUP($B159,INDIRECT($B$5&amp;"生成成长"),3))*(VLOOKUP($B$5,标准坦克设计!$B$14:$K$20,9)/30))</f>
        <v>19.360487359502226</v>
      </c>
    </row>
    <row r="160" spans="1:167" x14ac:dyDescent="0.15">
      <c r="A160" s="171" t="str">
        <f t="shared" si="12"/>
        <v>T4中品质16级</v>
      </c>
      <c r="B160" s="172">
        <v>20416</v>
      </c>
      <c r="C160" s="173">
        <f ca="1">(VLOOKUP(C$72,INDIRECT($C$5&amp;"生成成长"),2))/((VLOOKUP($B160,INDIRECT($B$5&amp;"生成成长"),4))/(VLOOKUP(C$72,INDIRECT($C$5&amp;"生成成长"),5))*(VLOOKUP($B$5,标准坦克设计!$B$24:$U$30,MATCH("对"&amp;LEFT($C$5,2)&amp;"输出",标准坦克设计!$B$23:$U$23,0)))*(VLOOKUP($B160,INDIRECT($B$5&amp;"生成成长"),3))*(VLOOKUP($B$5,标准坦克设计!$B$14:$K$20,9)/30))</f>
        <v>0.7797737558258</v>
      </c>
      <c r="D160" s="173">
        <f ca="1">(VLOOKUP(D$72,INDIRECT($C$5&amp;"生成成长"),2))/((VLOOKUP($B160,INDIRECT($B$5&amp;"生成成长"),4))/(VLOOKUP(D$72,INDIRECT($C$5&amp;"生成成长"),5))*(VLOOKUP($B$5,标准坦克设计!$B$24:$U$30,MATCH("对"&amp;LEFT($C$5,2)&amp;"输出",标准坦克设计!$B$23:$U$23,0)))*(VLOOKUP($B160,INDIRECT($B$5&amp;"生成成长"),3))*(VLOOKUP($B$5,标准坦克设计!$B$14:$K$20,9)/30))</f>
        <v>0.87615379204586896</v>
      </c>
      <c r="E160" s="173">
        <f ca="1">(VLOOKUP(E$72,INDIRECT($C$5&amp;"生成成长"),2))/((VLOOKUP($B160,INDIRECT($B$5&amp;"生成成长"),4))/(VLOOKUP(E$72,INDIRECT($C$5&amp;"生成成长"),5))*(VLOOKUP($B$5,标准坦克设计!$B$24:$U$30,MATCH("对"&amp;LEFT($C$5,2)&amp;"输出",标准坦克设计!$B$23:$U$23,0)))*(VLOOKUP($B160,INDIRECT($B$5&amp;"生成成长"),3))*(VLOOKUP($B$5,标准坦克设计!$B$14:$K$20,9)/30))</f>
        <v>0.97814819930788355</v>
      </c>
      <c r="F160" s="173">
        <f ca="1">(VLOOKUP(F$72,INDIRECT($C$5&amp;"生成成长"),2))/((VLOOKUP($B160,INDIRECT($B$5&amp;"生成成长"),4))/(VLOOKUP(F$72,INDIRECT($C$5&amp;"生成成长"),5))*(VLOOKUP($B$5,标准坦克设计!$B$24:$U$30,MATCH("对"&amp;LEFT($C$5,2)&amp;"输出",标准坦克设计!$B$23:$U$23,0)))*(VLOOKUP($B160,INDIRECT($B$5&amp;"生成成长"),3))*(VLOOKUP($B$5,标准坦克设计!$B$14:$K$20,9)/30))</f>
        <v>1.0857569776118439</v>
      </c>
      <c r="G160" s="173">
        <f ca="1">(VLOOKUP(G$72,INDIRECT($C$5&amp;"生成成长"),2))/((VLOOKUP($B160,INDIRECT($B$5&amp;"生成成长"),4))/(VLOOKUP(G$72,INDIRECT($C$5&amp;"生成成长"),5))*(VLOOKUP($B$5,标准坦克设计!$B$24:$U$30,MATCH("对"&amp;LEFT($C$5,2)&amp;"输出",标准坦克设计!$B$23:$U$23,0)))*(VLOOKUP($B160,INDIRECT($B$5&amp;"生成成长"),3))*(VLOOKUP($B$5,标准坦克设计!$B$14:$K$20,9)/30))</f>
        <v>1.19898012695775</v>
      </c>
      <c r="H160" s="173">
        <f ca="1">(VLOOKUP(H$72,INDIRECT($C$5&amp;"生成成长"),2))/((VLOOKUP($B160,INDIRECT($B$5&amp;"生成成长"),4))/(VLOOKUP(H$72,INDIRECT($C$5&amp;"生成成长"),5))*(VLOOKUP($B$5,标准坦克设计!$B$24:$U$30,MATCH("对"&amp;LEFT($C$5,2)&amp;"输出",标准坦克设计!$B$23:$U$23,0)))*(VLOOKUP($B160,INDIRECT($B$5&amp;"生成成长"),3))*(VLOOKUP($B$5,标准坦克设计!$B$14:$K$20,9)/30))</f>
        <v>1.0492635658391964</v>
      </c>
      <c r="I160" s="173">
        <f ca="1">(VLOOKUP(I$72,INDIRECT($C$5&amp;"生成成长"),2))/((VLOOKUP($B160,INDIRECT($B$5&amp;"生成成长"),4))/(VLOOKUP(I$72,INDIRECT($C$5&amp;"生成成长"),5))*(VLOOKUP($B$5,标准坦克设计!$B$24:$U$30,MATCH("对"&amp;LEFT($C$5,2)&amp;"输出",标准坦克设计!$B$23:$U$23,0)))*(VLOOKUP($B160,INDIRECT($B$5&amp;"生成成长"),3))*(VLOOKUP($B$5,标准坦克设计!$B$14:$K$20,9)/30))</f>
        <v>1.19898012695775</v>
      </c>
      <c r="J160" s="173">
        <f ca="1">(VLOOKUP(J$72,INDIRECT($C$5&amp;"生成成长"),2))/((VLOOKUP($B160,INDIRECT($B$5&amp;"生成成长"),4))/(VLOOKUP(J$72,INDIRECT($C$5&amp;"生成成长"),5))*(VLOOKUP($B$5,标准坦克设计!$B$24:$U$30,MATCH("对"&amp;LEFT($C$5,2)&amp;"输出",标准坦克设计!$B$23:$U$23,0)))*(VLOOKUP($B160,INDIRECT($B$5&amp;"生成成长"),3))*(VLOOKUP($B$5,标准坦克设计!$B$14:$K$20,9)/30))</f>
        <v>1.3586777921508737</v>
      </c>
      <c r="K160" s="173">
        <f ca="1">(VLOOKUP(K$72,INDIRECT($C$5&amp;"生成成长"),2))/((VLOOKUP($B160,INDIRECT($B$5&amp;"生成成长"),4))/(VLOOKUP(K$72,INDIRECT($C$5&amp;"生成成长"),5))*(VLOOKUP($B$5,标准坦克设计!$B$24:$U$30,MATCH("对"&amp;LEFT($C$5,2)&amp;"输出",标准坦克设计!$B$23:$U$23,0)))*(VLOOKUP($B160,INDIRECT($B$5&amp;"生成成长"),3))*(VLOOKUP($B$5,标准坦克设计!$B$14:$K$20,9)/30))</f>
        <v>1.5283565614185681</v>
      </c>
      <c r="L160" s="173">
        <f ca="1">(VLOOKUP(L$72,INDIRECT($C$5&amp;"生成成长"),2))/((VLOOKUP($B160,INDIRECT($B$5&amp;"生成成长"),4))/(VLOOKUP(L$72,INDIRECT($C$5&amp;"生成成长"),5))*(VLOOKUP($B$5,标准坦克设计!$B$24:$U$30,MATCH("对"&amp;LEFT($C$5,2)&amp;"输出",标准坦克设计!$B$23:$U$23,0)))*(VLOOKUP($B160,INDIRECT($B$5&amp;"生成成长"),3))*(VLOOKUP($B$5,标准坦克设计!$B$14:$K$20,9)/30))</f>
        <v>1.7080164347608324</v>
      </c>
      <c r="M160" s="173">
        <f ca="1">(VLOOKUP(M$72,INDIRECT($C$5&amp;"生成成长"),2))/((VLOOKUP($B160,INDIRECT($B$5&amp;"生成成长"),4))/(VLOOKUP(M$72,INDIRECT($C$5&amp;"生成成长"),5))*(VLOOKUP($B$5,标准坦克设计!$B$24:$U$30,MATCH("对"&amp;LEFT($C$5,2)&amp;"输出",标准坦克设计!$B$23:$U$23,0)))*(VLOOKUP($B160,INDIRECT($B$5&amp;"生成成长"),3))*(VLOOKUP($B$5,标准坦克设计!$B$14:$K$20,9)/30))</f>
        <v>1.897657412177667</v>
      </c>
      <c r="N160" s="173">
        <f ca="1">(VLOOKUP(N$72,INDIRECT($C$5&amp;"生成成长"),2))/((VLOOKUP($B160,INDIRECT($B$5&amp;"生成成长"),4))/(VLOOKUP(N$72,INDIRECT($C$5&amp;"生成成长"),5))*(VLOOKUP($B$5,标准坦克设计!$B$24:$U$30,MATCH("对"&amp;LEFT($C$5,2)&amp;"输出",标准坦克设计!$B$23:$U$23,0)))*(VLOOKUP($B160,INDIRECT($B$5&amp;"生成成长"),3))*(VLOOKUP($B$5,标准坦克设计!$B$14:$K$20,9)/30))</f>
        <v>2.0972794936690717</v>
      </c>
      <c r="O160" s="173">
        <f ca="1">(VLOOKUP(O$72,INDIRECT($C$5&amp;"生成成长"),2))/((VLOOKUP($B160,INDIRECT($B$5&amp;"生成成长"),4))/(VLOOKUP(O$72,INDIRECT($C$5&amp;"生成成长"),5))*(VLOOKUP($B$5,标准坦克设计!$B$24:$U$30,MATCH("对"&amp;LEFT($C$5,2)&amp;"输出",标准坦克设计!$B$23:$U$23,0)))*(VLOOKUP($B160,INDIRECT($B$5&amp;"生成成长"),3))*(VLOOKUP($B$5,标准坦克设计!$B$14:$K$20,9)/30))</f>
        <v>1.5945593532881785</v>
      </c>
      <c r="P160" s="173">
        <f ca="1">(VLOOKUP(P$72,INDIRECT($C$5&amp;"生成成长"),2))/((VLOOKUP($B160,INDIRECT($B$5&amp;"生成成长"),4))/(VLOOKUP(P$72,INDIRECT($C$5&amp;"生成成长"),5))*(VLOOKUP($B$5,标准坦克设计!$B$24:$U$30,MATCH("对"&amp;LEFT($C$5,2)&amp;"输出",标准坦克设计!$B$23:$U$23,0)))*(VLOOKUP($B160,INDIRECT($B$5&amp;"生成成长"),3))*(VLOOKUP($B$5,标准坦克设计!$B$14:$K$20,9)/30))</f>
        <v>1.8015892854599285</v>
      </c>
      <c r="Q160" s="173">
        <f ca="1">(VLOOKUP(Q$72,INDIRECT($C$5&amp;"生成成长"),2))/((VLOOKUP($B160,INDIRECT($B$5&amp;"生成成长"),4))/(VLOOKUP(Q$72,INDIRECT($C$5&amp;"生成成长"),5))*(VLOOKUP($B$5,标准坦克设计!$B$24:$U$30,MATCH("对"&amp;LEFT($C$5,2)&amp;"输出",标准坦克设计!$B$23:$U$23,0)))*(VLOOKUP($B160,INDIRECT($B$5&amp;"生成成长"),3))*(VLOOKUP($B$5,标准坦克设计!$B$14:$K$20,9)/30))</f>
        <v>2.0212515524760564</v>
      </c>
      <c r="R160" s="173">
        <f ca="1">(VLOOKUP(R$72,INDIRECT($C$5&amp;"生成成长"),2))/((VLOOKUP($B160,INDIRECT($B$5&amp;"生成成长"),4))/(VLOOKUP(R$72,INDIRECT($C$5&amp;"生成成长"),5))*(VLOOKUP($B$5,标准坦克设计!$B$24:$U$30,MATCH("对"&amp;LEFT($C$5,2)&amp;"输出",标准坦克设计!$B$23:$U$23,0)))*(VLOOKUP($B160,INDIRECT($B$5&amp;"生成成长"),3))*(VLOOKUP($B$5,标准坦克设计!$B$14:$K$20,9)/30))</f>
        <v>2.2535461543365622</v>
      </c>
      <c r="S160" s="173">
        <f ca="1">(VLOOKUP(S$72,INDIRECT($C$5&amp;"生成成长"),2))/((VLOOKUP($B160,INDIRECT($B$5&amp;"生成成长"),4))/(VLOOKUP(S$72,INDIRECT($C$5&amp;"生成成长"),5))*(VLOOKUP($B$5,标准坦克设计!$B$24:$U$30,MATCH("对"&amp;LEFT($C$5,2)&amp;"输出",标准坦克设计!$B$23:$U$23,0)))*(VLOOKUP($B160,INDIRECT($B$5&amp;"生成成长"),3))*(VLOOKUP($B$5,标准坦克设计!$B$14:$K$20,9)/30))</f>
        <v>2.4984730910414457</v>
      </c>
      <c r="T160" s="173">
        <f ca="1">(VLOOKUP(T$72,INDIRECT($C$5&amp;"生成成长"),2))/((VLOOKUP($B160,INDIRECT($B$5&amp;"生成成长"),4))/(VLOOKUP(T$72,INDIRECT($C$5&amp;"生成成长"),5))*(VLOOKUP($B$5,标准坦克设计!$B$24:$U$30,MATCH("对"&amp;LEFT($C$5,2)&amp;"输出",标准坦克设计!$B$23:$U$23,0)))*(VLOOKUP($B160,INDIRECT($B$5&amp;"生成成长"),3))*(VLOOKUP($B$5,标准坦克设计!$B$14:$K$20,9)/30))</f>
        <v>2.7560323625907075</v>
      </c>
      <c r="U160" s="173">
        <f ca="1">(VLOOKUP(U$72,INDIRECT($C$5&amp;"生成成长"),2))/((VLOOKUP($B160,INDIRECT($B$5&amp;"生成成长"),4))/(VLOOKUP(U$72,INDIRECT($C$5&amp;"生成成长"),5))*(VLOOKUP($B$5,标准坦克设计!$B$24:$U$30,MATCH("对"&amp;LEFT($C$5,2)&amp;"输出",标准坦克设计!$B$23:$U$23,0)))*(VLOOKUP($B160,INDIRECT($B$5&amp;"生成成长"),3))*(VLOOKUP($B$5,标准坦克设计!$B$14:$K$20,9)/30))</f>
        <v>3.0262239689843473</v>
      </c>
      <c r="V160" s="173">
        <f ca="1">(VLOOKUP(V$72,INDIRECT($C$5&amp;"生成成长"),2))/((VLOOKUP($B160,INDIRECT($B$5&amp;"生成成长"),4))/(VLOOKUP(V$72,INDIRECT($C$5&amp;"生成成长"),5))*(VLOOKUP($B$5,标准坦克设计!$B$24:$U$30,MATCH("对"&amp;LEFT($C$5,2)&amp;"输出",标准坦克设计!$B$23:$U$23,0)))*(VLOOKUP($B160,INDIRECT($B$5&amp;"生成成长"),3))*(VLOOKUP($B$5,标准坦克设计!$B$14:$K$20,9)/30))</f>
        <v>3.3090479102223656</v>
      </c>
      <c r="W160" s="173">
        <f ca="1">(VLOOKUP(W$72,INDIRECT($C$5&amp;"生成成长"),2))/((VLOOKUP($B160,INDIRECT($B$5&amp;"生成成长"),4))/(VLOOKUP(W$72,INDIRECT($C$5&amp;"生成成长"),5))*(VLOOKUP($B$5,标准坦克设计!$B$24:$U$30,MATCH("对"&amp;LEFT($C$5,2)&amp;"输出",标准坦克设计!$B$23:$U$23,0)))*(VLOOKUP($B160,INDIRECT($B$5&amp;"生成成长"),3))*(VLOOKUP($B$5,标准坦克设计!$B$14:$K$20,9)/30))</f>
        <v>3.6045041863047613</v>
      </c>
      <c r="X160" s="173">
        <f ca="1">(VLOOKUP(X$72,INDIRECT($C$5&amp;"生成成长"),2))/((VLOOKUP($B160,INDIRECT($B$5&amp;"生成成长"),4))/(VLOOKUP(X$72,INDIRECT($C$5&amp;"生成成长"),5))*(VLOOKUP($B$5,标准坦克设计!$B$24:$U$30,MATCH("对"&amp;LEFT($C$5,2)&amp;"输出",标准坦克设计!$B$23:$U$23,0)))*(VLOOKUP($B160,INDIRECT($B$5&amp;"生成成长"),3))*(VLOOKUP($B$5,标准坦克设计!$B$14:$K$20,9)/30))</f>
        <v>2.6113843308850213</v>
      </c>
      <c r="Y160" s="173">
        <f ca="1">(VLOOKUP(Y$72,INDIRECT($C$5&amp;"生成成长"),2))/((VLOOKUP($B160,INDIRECT($B$5&amp;"生成成长"),4))/(VLOOKUP(Y$72,INDIRECT($C$5&amp;"生成成长"),5))*(VLOOKUP($B$5,标准坦克设计!$B$24:$U$30,MATCH("对"&amp;LEFT($C$5,2)&amp;"输出",标准坦克设计!$B$23:$U$23,0)))*(VLOOKUP($B160,INDIRECT($B$5&amp;"生成成长"),3))*(VLOOKUP($B$5,标准坦克设计!$B$14:$K$20,9)/30))</f>
        <v>2.9045792630755223</v>
      </c>
      <c r="Z160" s="173">
        <f ca="1">(VLOOKUP(Z$72,INDIRECT($C$5&amp;"生成成长"),2))/((VLOOKUP($B160,INDIRECT($B$5&amp;"生成成长"),4))/(VLOOKUP(Z$72,INDIRECT($C$5&amp;"生成成长"),5))*(VLOOKUP($B$5,标准坦克设计!$B$24:$U$30,MATCH("对"&amp;LEFT($C$5,2)&amp;"输出",标准坦克设计!$B$23:$U$23,0)))*(VLOOKUP($B160,INDIRECT($B$5&amp;"生成成长"),3))*(VLOOKUP($B$5,标准坦克设计!$B$14:$K$20,9)/30))</f>
        <v>3.213369670382539</v>
      </c>
      <c r="AA160" s="173">
        <f ca="1">(VLOOKUP(AA$72,INDIRECT($C$5&amp;"生成成长"),2))/((VLOOKUP($B160,INDIRECT($B$5&amp;"生成成长"),4))/(VLOOKUP(AA$72,INDIRECT($C$5&amp;"生成成长"),5))*(VLOOKUP($B$5,标准坦克设计!$B$24:$U$30,MATCH("对"&amp;LEFT($C$5,2)&amp;"输出",标准坦克设计!$B$23:$U$23,0)))*(VLOOKUP($B160,INDIRECT($B$5&amp;"生成成长"),3))*(VLOOKUP($B$5,标准坦克设计!$B$14:$K$20,9)/30))</f>
        <v>3.5377555528060722</v>
      </c>
      <c r="AB160" s="173">
        <f ca="1">(VLOOKUP(AB$72,INDIRECT($C$5&amp;"生成成长"),2))/((VLOOKUP($B160,INDIRECT($B$5&amp;"生成成长"),4))/(VLOOKUP(AB$72,INDIRECT($C$5&amp;"生成成长"),5))*(VLOOKUP($B$5,标准坦克设计!$B$24:$U$30,MATCH("对"&amp;LEFT($C$5,2)&amp;"输出",标准坦克设计!$B$23:$U$23,0)))*(VLOOKUP($B160,INDIRECT($B$5&amp;"生成成长"),3))*(VLOOKUP($B$5,标准坦克设计!$B$14:$K$20,9)/30))</f>
        <v>3.8777369103461212</v>
      </c>
      <c r="AC160" s="173">
        <f ca="1">(VLOOKUP(AC$72,INDIRECT($C$5&amp;"生成成长"),2))/((VLOOKUP($B160,INDIRECT($B$5&amp;"生成成长"),4))/(VLOOKUP(AC$72,INDIRECT($C$5&amp;"生成成长"),5))*(VLOOKUP($B$5,标准坦克设计!$B$24:$U$30,MATCH("对"&amp;LEFT($C$5,2)&amp;"输出",标准坦克设计!$B$23:$U$23,0)))*(VLOOKUP($B160,INDIRECT($B$5&amp;"生成成长"),3))*(VLOOKUP($B$5,标准坦克设计!$B$14:$K$20,9)/30))</f>
        <v>4.2333137430026859</v>
      </c>
      <c r="AD160" s="173">
        <f ca="1">(VLOOKUP(AD$72,INDIRECT($C$5&amp;"生成成长"),2))/((VLOOKUP($B160,INDIRECT($B$5&amp;"生成成长"),4))/(VLOOKUP(AD$72,INDIRECT($C$5&amp;"生成成长"),5))*(VLOOKUP($B$5,标准坦克设计!$B$24:$U$30,MATCH("对"&amp;LEFT($C$5,2)&amp;"输出",标准坦克设计!$B$23:$U$23,0)))*(VLOOKUP($B160,INDIRECT($B$5&amp;"生成成长"),3))*(VLOOKUP($B$5,标准坦克设计!$B$14:$K$20,9)/30))</f>
        <v>4.6044860507757663</v>
      </c>
      <c r="AE160" s="173">
        <f ca="1">(VLOOKUP(AE$72,INDIRECT($C$5&amp;"生成成长"),2))/((VLOOKUP($B160,INDIRECT($B$5&amp;"生成成长"),4))/(VLOOKUP(AE$72,INDIRECT($C$5&amp;"生成成长"),5))*(VLOOKUP($B$5,标准坦克设计!$B$24:$U$30,MATCH("对"&amp;LEFT($C$5,2)&amp;"输出",标准坦克设计!$B$23:$U$23,0)))*(VLOOKUP($B160,INDIRECT($B$5&amp;"生成成长"),3))*(VLOOKUP($B$5,标准坦克设计!$B$14:$K$20,9)/30))</f>
        <v>4.9912538336653629</v>
      </c>
      <c r="AF160" s="173">
        <f ca="1">(VLOOKUP(AF$72,INDIRECT($C$5&amp;"生成成长"),2))/((VLOOKUP($B160,INDIRECT($B$5&amp;"生成成长"),4))/(VLOOKUP(AF$72,INDIRECT($C$5&amp;"生成成长"),5))*(VLOOKUP($B$5,标准坦克设计!$B$24:$U$30,MATCH("对"&amp;LEFT($C$5,2)&amp;"输出",标准坦克设计!$B$23:$U$23,0)))*(VLOOKUP($B160,INDIRECT($B$5&amp;"生成成长"),3))*(VLOOKUP($B$5,标准坦克设计!$B$14:$K$20,9)/30))</f>
        <v>5.3936170916714756</v>
      </c>
      <c r="AG160" s="173">
        <f ca="1">(VLOOKUP(AG$72,INDIRECT($C$5&amp;"生成成长"),2))/((VLOOKUP($B160,INDIRECT($B$5&amp;"生成成长"),4))/(VLOOKUP(AG$72,INDIRECT($C$5&amp;"生成成长"),5))*(VLOOKUP($B$5,标准坦克设计!$B$24:$U$30,MATCH("对"&amp;LEFT($C$5,2)&amp;"输出",标准坦克设计!$B$23:$U$23,0)))*(VLOOKUP($B160,INDIRECT($B$5&amp;"生成成长"),3))*(VLOOKUP($B$5,标准坦克设计!$B$14:$K$20,9)/30))</f>
        <v>5.8115758247941054</v>
      </c>
      <c r="AH160" s="173">
        <f ca="1">(VLOOKUP(AH$72,INDIRECT($C$5&amp;"生成成长"),2))/((VLOOKUP($B160,INDIRECT($B$5&amp;"生成成长"),4))/(VLOOKUP(AH$72,INDIRECT($C$5&amp;"生成成长"),5))*(VLOOKUP($B$5,标准坦克设计!$B$24:$U$30,MATCH("对"&amp;LEFT($C$5,2)&amp;"输出",标准坦克设计!$B$23:$U$23,0)))*(VLOOKUP($B160,INDIRECT($B$5&amp;"生成成长"),3))*(VLOOKUP($B$5,标准坦克设计!$B$14:$K$20,9)/30))</f>
        <v>6.2451300330332495</v>
      </c>
      <c r="AI160" s="173">
        <f ca="1">(VLOOKUP(AI$72,INDIRECT($C$5&amp;"生成成长"),2))/((VLOOKUP($B160,INDIRECT($B$5&amp;"生成成长"),4))/(VLOOKUP(AI$72,INDIRECT($C$5&amp;"生成成长"),5))*(VLOOKUP($B$5,标准坦克设计!$B$24:$U$30,MATCH("对"&amp;LEFT($C$5,2)&amp;"输出",标准坦克设计!$B$23:$U$23,0)))*(VLOOKUP($B160,INDIRECT($B$5&amp;"生成成长"),3))*(VLOOKUP($B$5,标准坦克设计!$B$14:$K$20,9)/30))</f>
        <v>4.4169504624996616</v>
      </c>
      <c r="AJ160" s="173">
        <f ca="1">(VLOOKUP(AJ$72,INDIRECT($C$5&amp;"生成成长"),2))/((VLOOKUP($B160,INDIRECT($B$5&amp;"生成成长"),4))/(VLOOKUP(AJ$72,INDIRECT($C$5&amp;"生成成长"),5))*(VLOOKUP($B$5,标准坦克设计!$B$24:$U$30,MATCH("对"&amp;LEFT($C$5,2)&amp;"输出",标准坦克设计!$B$23:$U$23,0)))*(VLOOKUP($B160,INDIRECT($B$5&amp;"生成成长"),3))*(VLOOKUP($B$5,标准坦克设计!$B$14:$K$20,9)/30))</f>
        <v>4.8346752634955426</v>
      </c>
      <c r="AK160" s="173">
        <f ca="1">(VLOOKUP(AK$72,INDIRECT($C$5&amp;"生成成长"),2))/((VLOOKUP($B160,INDIRECT($B$5&amp;"生成成长"),4))/(VLOOKUP(AK$72,INDIRECT($C$5&amp;"生成成长"),5))*(VLOOKUP($B$5,标准坦克设计!$B$24:$U$30,MATCH("对"&amp;LEFT($C$5,2)&amp;"输出",标准坦克设计!$B$23:$U$23,0)))*(VLOOKUP($B160,INDIRECT($B$5&amp;"生成成长"),3))*(VLOOKUP($B$5,标准坦克设计!$B$14:$K$20,9)/30))</f>
        <v>5.2712705893824081</v>
      </c>
      <c r="AL160" s="173">
        <f ca="1">(VLOOKUP(AL$72,INDIRECT($C$5&amp;"生成成长"),2))/((VLOOKUP($B160,INDIRECT($B$5&amp;"生成成长"),4))/(VLOOKUP(AL$72,INDIRECT($C$5&amp;"生成成长"),5))*(VLOOKUP($B$5,标准坦克设计!$B$24:$U$30,MATCH("对"&amp;LEFT($C$5,2)&amp;"输出",标准坦克设计!$B$23:$U$23,0)))*(VLOOKUP($B160,INDIRECT($B$5&amp;"生成成长"),3))*(VLOOKUP($B$5,标准坦克设计!$B$14:$K$20,9)/30))</f>
        <v>5.7267364401602574</v>
      </c>
      <c r="AM160" s="173">
        <f ca="1">(VLOOKUP(AM$72,INDIRECT($C$5&amp;"生成成长"),2))/((VLOOKUP($B160,INDIRECT($B$5&amp;"生成成长"),4))/(VLOOKUP(AM$72,INDIRECT($C$5&amp;"生成成长"),5))*(VLOOKUP($B$5,标准坦克设计!$B$24:$U$30,MATCH("对"&amp;LEFT($C$5,2)&amp;"输出",标准坦克设计!$B$23:$U$23,0)))*(VLOOKUP($B160,INDIRECT($B$5&amp;"生成成长"),3))*(VLOOKUP($B$5,标准坦克设计!$B$14:$K$20,9)/30))</f>
        <v>6.2010728158290922</v>
      </c>
      <c r="AN160" s="173">
        <f ca="1">(VLOOKUP(AN$72,INDIRECT($C$5&amp;"生成成长"),2))/((VLOOKUP($B160,INDIRECT($B$5&amp;"生成成长"),4))/(VLOOKUP(AN$72,INDIRECT($C$5&amp;"生成成长"),5))*(VLOOKUP($B$5,标准坦克设计!$B$24:$U$30,MATCH("对"&amp;LEFT($C$5,2)&amp;"输出",标准坦克设计!$B$23:$U$23,0)))*(VLOOKUP($B160,INDIRECT($B$5&amp;"生成成长"),3))*(VLOOKUP($B$5,标准坦克设计!$B$14:$K$20,9)/30))</f>
        <v>6.6942797163889098</v>
      </c>
      <c r="AO160" s="173">
        <f ca="1">(VLOOKUP(AO$72,INDIRECT($C$5&amp;"生成成长"),2))/((VLOOKUP($B160,INDIRECT($B$5&amp;"生成成长"),4))/(VLOOKUP(AO$72,INDIRECT($C$5&amp;"生成成长"),5))*(VLOOKUP($B$5,标准坦克设计!$B$24:$U$30,MATCH("对"&amp;LEFT($C$5,2)&amp;"输出",标准坦克设计!$B$23:$U$23,0)))*(VLOOKUP($B160,INDIRECT($B$5&amp;"生成成长"),3))*(VLOOKUP($B$5,标准坦克设计!$B$14:$K$20,9)/30))</f>
        <v>7.2063571418397139</v>
      </c>
      <c r="AP160" s="173">
        <f ca="1">(VLOOKUP(AP$72,INDIRECT($C$5&amp;"生成成长"),2))/((VLOOKUP($B160,INDIRECT($B$5&amp;"生成成长"),4))/(VLOOKUP(AP$72,INDIRECT($C$5&amp;"生成成长"),5))*(VLOOKUP($B$5,标准坦克设计!$B$24:$U$30,MATCH("对"&amp;LEFT($C$5,2)&amp;"输出",标准坦克设计!$B$23:$U$23,0)))*(VLOOKUP($B160,INDIRECT($B$5&amp;"生成成长"),3))*(VLOOKUP($B$5,标准坦克设计!$B$14:$K$20,9)/30))</f>
        <v>7.7373050921815016</v>
      </c>
      <c r="AQ160" s="173">
        <f ca="1">(VLOOKUP(AQ$72,INDIRECT($C$5&amp;"生成成长"),2))/((VLOOKUP($B160,INDIRECT($B$5&amp;"生成成长"),4))/(VLOOKUP(AQ$72,INDIRECT($C$5&amp;"生成成长"),5))*(VLOOKUP($B$5,标准坦克设计!$B$24:$U$30,MATCH("对"&amp;LEFT($C$5,2)&amp;"输出",标准坦克设计!$B$23:$U$23,0)))*(VLOOKUP($B160,INDIRECT($B$5&amp;"生成成长"),3))*(VLOOKUP($B$5,标准坦克设计!$B$14:$K$20,9)/30))</f>
        <v>8.2871235674142731</v>
      </c>
      <c r="AR160" s="173">
        <f ca="1">(VLOOKUP(AR$72,INDIRECT($C$5&amp;"生成成长"),2))/((VLOOKUP($B160,INDIRECT($B$5&amp;"生成成长"),4))/(VLOOKUP(AR$72,INDIRECT($C$5&amp;"生成成长"),5))*(VLOOKUP($B$5,标准坦克设计!$B$24:$U$30,MATCH("对"&amp;LEFT($C$5,2)&amp;"输出",标准坦克设计!$B$23:$U$23,0)))*(VLOOKUP($B160,INDIRECT($B$5&amp;"生成成长"),3))*(VLOOKUP($B$5,标准坦克设计!$B$14:$K$20,9)/30))</f>
        <v>8.8558125675380293</v>
      </c>
      <c r="AS160" s="173">
        <f ca="1">(VLOOKUP(AS$72,INDIRECT($C$5&amp;"生成成长"),2))/((VLOOKUP($B160,INDIRECT($B$5&amp;"生成成长"),4))/(VLOOKUP(AS$72,INDIRECT($C$5&amp;"生成成长"),5))*(VLOOKUP($B$5,标准坦克设计!$B$24:$U$30,MATCH("对"&amp;LEFT($C$5,2)&amp;"输出",标准坦克设计!$B$23:$U$23,0)))*(VLOOKUP($B160,INDIRECT($B$5&amp;"生成成长"),3))*(VLOOKUP($B$5,标准坦克设计!$B$14:$K$20,9)/30))</f>
        <v>9.4433720925527673</v>
      </c>
      <c r="AT160" s="173">
        <f ca="1">(VLOOKUP(AT$72,INDIRECT($C$5&amp;"生成成长"),2))/((VLOOKUP($B160,INDIRECT($B$5&amp;"生成成长"),4))/(VLOOKUP(AT$72,INDIRECT($C$5&amp;"生成成长"),5))*(VLOOKUP($B$5,标准坦克设计!$B$24:$U$30,MATCH("对"&amp;LEFT($C$5,2)&amp;"输出",标准坦克设计!$B$23:$U$23,0)))*(VLOOKUP($B160,INDIRECT($B$5&amp;"生成成长"),3))*(VLOOKUP($B$5,标准坦克设计!$B$14:$K$20,9)/30))</f>
        <v>10.049802142458493</v>
      </c>
      <c r="AU160" s="173">
        <f ca="1">(VLOOKUP(AU$72,INDIRECT($C$5&amp;"生成成长"),2))/((VLOOKUP($B160,INDIRECT($B$5&amp;"生成成长"),4))/(VLOOKUP(AU$72,INDIRECT($C$5&amp;"生成成长"),5))*(VLOOKUP($B$5,标准坦克设计!$B$24:$U$30,MATCH("对"&amp;LEFT($C$5,2)&amp;"输出",标准坦克设计!$B$23:$U$23,0)))*(VLOOKUP($B160,INDIRECT($B$5&amp;"生成成长"),3))*(VLOOKUP($B$5,标准坦克设计!$B$14:$K$20,9)/30))</f>
        <v>10.6751027172552</v>
      </c>
      <c r="AV160" s="173">
        <f ca="1">(VLOOKUP(AV$72,INDIRECT($C$5&amp;"生成成长"),2))/((VLOOKUP($B160,INDIRECT($B$5&amp;"生成成长"),4))/(VLOOKUP(AV$72,INDIRECT($C$5&amp;"生成成长"),5))*(VLOOKUP($B$5,标准坦克设计!$B$24:$U$30,MATCH("对"&amp;LEFT($C$5,2)&amp;"输出",标准坦克设计!$B$23:$U$23,0)))*(VLOOKUP($B160,INDIRECT($B$5&amp;"生成成长"),3))*(VLOOKUP($B$5,标准坦克设计!$B$14:$K$20,9)/30))</f>
        <v>1.0857569776118439</v>
      </c>
      <c r="AW160" s="173">
        <f ca="1">(VLOOKUP(AW$72,INDIRECT($C$5&amp;"生成成长"),2))/((VLOOKUP($B160,INDIRECT($B$5&amp;"生成成长"),4))/(VLOOKUP(AW$72,INDIRECT($C$5&amp;"生成成长"),5))*(VLOOKUP($B$5,标准坦克设计!$B$24:$U$30,MATCH("对"&amp;LEFT($C$5,2)&amp;"输出",标准坦克设计!$B$23:$U$23,0)))*(VLOOKUP($B160,INDIRECT($B$5&amp;"生成成长"),3))*(VLOOKUP($B$5,标准坦克设计!$B$14:$K$20,9)/30))</f>
        <v>1.23796881474904</v>
      </c>
      <c r="AX160" s="173">
        <f ca="1">(VLOOKUP(AX$72,INDIRECT($C$5&amp;"生成成长"),2))/((VLOOKUP($B160,INDIRECT($B$5&amp;"生成成长"),4))/(VLOOKUP(AX$72,INDIRECT($C$5&amp;"生成成长"),5))*(VLOOKUP($B$5,标准坦克设计!$B$24:$U$30,MATCH("对"&amp;LEFT($C$5,2)&amp;"输出",标准坦克设计!$B$23:$U$23,0)))*(VLOOKUP($B160,INDIRECT($B$5&amp;"生成成长"),3))*(VLOOKUP($B$5,标准坦克设计!$B$14:$K$20,9)/30))</f>
        <v>1.4001617559608066</v>
      </c>
      <c r="AY160" s="173">
        <f ca="1">(VLOOKUP(AY$72,INDIRECT($C$5&amp;"生成成长"),2))/((VLOOKUP($B160,INDIRECT($B$5&amp;"生成成长"),4))/(VLOOKUP(AY$72,INDIRECT($C$5&amp;"生成成长"),5))*(VLOOKUP($B$5,标准坦克设计!$B$24:$U$30,MATCH("对"&amp;LEFT($C$5,2)&amp;"输出",标准坦克设计!$B$23:$U$23,0)))*(VLOOKUP($B160,INDIRECT($B$5&amp;"生成成长"),3))*(VLOOKUP($B$5,标准坦克设计!$B$14:$K$20,9)/30))</f>
        <v>1.5723358012471431</v>
      </c>
      <c r="AZ160" s="173">
        <f ca="1">(VLOOKUP(AZ$72,INDIRECT($C$5&amp;"生成成长"),2))/((VLOOKUP($B160,INDIRECT($B$5&amp;"生成成长"),4))/(VLOOKUP(AZ$72,INDIRECT($C$5&amp;"生成成长"),5))*(VLOOKUP($B$5,标准坦克设计!$B$24:$U$30,MATCH("对"&amp;LEFT($C$5,2)&amp;"输出",标准坦克设计!$B$23:$U$23,0)))*(VLOOKUP($B160,INDIRECT($B$5&amp;"生成成长"),3))*(VLOOKUP($B$5,标准坦克设计!$B$14:$K$20,9)/30))</f>
        <v>1.7544909506080499</v>
      </c>
      <c r="BA160" s="173">
        <f ca="1">(VLOOKUP(BA$72,INDIRECT($C$5&amp;"生成成长"),2))/((VLOOKUP($B160,INDIRECT($B$5&amp;"生成成长"),4))/(VLOOKUP(BA$72,INDIRECT($C$5&amp;"生成成长"),5))*(VLOOKUP($B$5,标准坦克设计!$B$24:$U$30,MATCH("对"&amp;LEFT($C$5,2)&amp;"输出",标准坦克设计!$B$23:$U$23,0)))*(VLOOKUP($B160,INDIRECT($B$5&amp;"生成成长"),3))*(VLOOKUP($B$5,标准坦克设计!$B$14:$K$20,9)/30))</f>
        <v>1.9466272040435271</v>
      </c>
      <c r="BB160" s="173">
        <f ca="1">(VLOOKUP(BB$72,INDIRECT($C$5&amp;"生成成长"),2))/((VLOOKUP($B160,INDIRECT($B$5&amp;"生成成长"),4))/(VLOOKUP(BB$72,INDIRECT($C$5&amp;"生成成长"),5))*(VLOOKUP($B$5,标准坦克设计!$B$24:$U$30,MATCH("对"&amp;LEFT($C$5,2)&amp;"输出",标准坦克设计!$B$23:$U$23,0)))*(VLOOKUP($B160,INDIRECT($B$5&amp;"生成成长"),3))*(VLOOKUP($B$5,标准坦克设计!$B$14:$K$20,9)/30))</f>
        <v>2.1487445615535741</v>
      </c>
      <c r="BC160" s="173">
        <f ca="1">(VLOOKUP(BC$72,INDIRECT($C$5&amp;"生成成长"),2))/((VLOOKUP($B160,INDIRECT($B$5&amp;"生成成长"),4))/(VLOOKUP(BC$72,INDIRECT($C$5&amp;"生成成长"),5))*(VLOOKUP($B$5,标准坦克设计!$B$24:$U$30,MATCH("对"&amp;LEFT($C$5,2)&amp;"输出",标准坦克设计!$B$23:$U$23,0)))*(VLOOKUP($B160,INDIRECT($B$5&amp;"生成成长"),3))*(VLOOKUP($B$5,标准坦克设计!$B$14:$K$20,9)/30))</f>
        <v>2.3608430231381918</v>
      </c>
      <c r="BD160" s="173">
        <f ca="1">(VLOOKUP(BD$72,INDIRECT($C$5&amp;"生成成长"),2))/((VLOOKUP($B160,INDIRECT($B$5&amp;"生成成长"),4))/(VLOOKUP(BD$72,INDIRECT($C$5&amp;"生成成长"),5))*(VLOOKUP($B$5,标准坦克设计!$B$24:$U$30,MATCH("对"&amp;LEFT($C$5,2)&amp;"输出",标准坦克设计!$B$23:$U$23,0)))*(VLOOKUP($B160,INDIRECT($B$5&amp;"生成成长"),3))*(VLOOKUP($B$5,标准坦克设计!$B$14:$K$20,9)/30))</f>
        <v>2.6113843308850213</v>
      </c>
      <c r="BE160" s="173">
        <f ca="1">(VLOOKUP(BE$72,INDIRECT($C$5&amp;"生成成长"),2))/((VLOOKUP($B160,INDIRECT($B$5&amp;"生成成长"),4))/(VLOOKUP(BE$72,INDIRECT($C$5&amp;"生成成长"),5))*(VLOOKUP($B$5,标准坦克设计!$B$24:$U$30,MATCH("对"&amp;LEFT($C$5,2)&amp;"输出",标准坦克设计!$B$23:$U$23,0)))*(VLOOKUP($B160,INDIRECT($B$5&amp;"生成成长"),3))*(VLOOKUP($B$5,标准坦克设计!$B$14:$K$20,9)/30))</f>
        <v>2.8745579734762297</v>
      </c>
      <c r="BF160" s="173">
        <f ca="1">(VLOOKUP(BF$72,INDIRECT($C$5&amp;"生成成长"),2))/((VLOOKUP($B160,INDIRECT($B$5&amp;"生成成长"),4))/(VLOOKUP(BF$72,INDIRECT($C$5&amp;"生成成长"),5))*(VLOOKUP($B$5,标准坦克设计!$B$24:$U$30,MATCH("对"&amp;LEFT($C$5,2)&amp;"输出",标准坦克设计!$B$23:$U$23,0)))*(VLOOKUP($B160,INDIRECT($B$5&amp;"生成成长"),3))*(VLOOKUP($B$5,标准坦克设计!$B$14:$K$20,9)/30))</f>
        <v>3.1503639509118142</v>
      </c>
      <c r="BG160" s="173">
        <f ca="1">(VLOOKUP(BG$72,INDIRECT($C$5&amp;"生成成长"),2))/((VLOOKUP($B160,INDIRECT($B$5&amp;"生成成长"),4))/(VLOOKUP(BG$72,INDIRECT($C$5&amp;"生成成长"),5))*(VLOOKUP($B$5,标准坦克设计!$B$24:$U$30,MATCH("对"&amp;LEFT($C$5,2)&amp;"输出",标准坦克设计!$B$23:$U$23,0)))*(VLOOKUP($B160,INDIRECT($B$5&amp;"生成成长"),3))*(VLOOKUP($B$5,标准坦克设计!$B$14:$K$20,9)/30))</f>
        <v>3.4388022631917781</v>
      </c>
      <c r="BH160" s="173">
        <f ca="1">(VLOOKUP(BH$72,INDIRECT($C$5&amp;"生成成长"),2))/((VLOOKUP($B160,INDIRECT($B$5&amp;"生成成长"),4))/(VLOOKUP(BH$72,INDIRECT($C$5&amp;"生成成长"),5))*(VLOOKUP($B$5,标准坦克设计!$B$24:$U$30,MATCH("对"&amp;LEFT($C$5,2)&amp;"输出",标准坦克设计!$B$23:$U$23,0)))*(VLOOKUP($B160,INDIRECT($B$5&amp;"生成成长"),3))*(VLOOKUP($B$5,标准坦克设计!$B$14:$K$20,9)/30))</f>
        <v>1.6621657379182755</v>
      </c>
      <c r="BI160" s="173">
        <f ca="1">(VLOOKUP(BI$72,INDIRECT($C$5&amp;"生成成长"),2))/((VLOOKUP($B160,INDIRECT($B$5&amp;"生成成长"),4))/(VLOOKUP(BI$72,INDIRECT($C$5&amp;"生成成长"),5))*(VLOOKUP($B$5,标准坦克设计!$B$24:$U$30,MATCH("对"&amp;LEFT($C$5,2)&amp;"输出",标准坦克设计!$B$23:$U$23,0)))*(VLOOKUP($B160,INDIRECT($B$5&amp;"生成成长"),3))*(VLOOKUP($B$5,标准坦克设计!$B$14:$K$20,9)/30))</f>
        <v>1.8734064483714843</v>
      </c>
      <c r="BJ160" s="173">
        <f ca="1">(VLOOKUP(BJ$72,INDIRECT($C$5&amp;"生成成长"),2))/((VLOOKUP($B160,INDIRECT($B$5&amp;"生成成长"),4))/(VLOOKUP(BJ$72,INDIRECT($C$5&amp;"生成成长"),5))*(VLOOKUP($B$5,标准坦克设计!$B$24:$U$30,MATCH("对"&amp;LEFT($C$5,2)&amp;"输出",标准坦克设计!$B$23:$U$23,0)))*(VLOOKUP($B160,INDIRECT($B$5&amp;"生成成长"),3))*(VLOOKUP($B$5,标准坦克设计!$B$14:$K$20,9)/30))</f>
        <v>2.0972794936690717</v>
      </c>
      <c r="BK160" s="173">
        <f ca="1">(VLOOKUP(BK$72,INDIRECT($C$5&amp;"生成成长"),2))/((VLOOKUP($B160,INDIRECT($B$5&amp;"生成成长"),4))/(VLOOKUP(BK$72,INDIRECT($C$5&amp;"生成成长"),5))*(VLOOKUP($B$5,标准坦克设计!$B$24:$U$30,MATCH("对"&amp;LEFT($C$5,2)&amp;"输出",标准坦克设计!$B$23:$U$23,0)))*(VLOOKUP($B160,INDIRECT($B$5&amp;"生成成长"),3))*(VLOOKUP($B$5,标准坦克设计!$B$14:$K$20,9)/30))</f>
        <v>2.3337848738110369</v>
      </c>
      <c r="BL160" s="173">
        <f ca="1">(VLOOKUP(BL$72,INDIRECT($C$5&amp;"生成成长"),2))/((VLOOKUP($B160,INDIRECT($B$5&amp;"生成成长"),4))/(VLOOKUP(BL$72,INDIRECT($C$5&amp;"生成成长"),5))*(VLOOKUP($B$5,标准坦克设计!$B$24:$U$30,MATCH("对"&amp;LEFT($C$5,2)&amp;"输出",标准坦克设计!$B$23:$U$23,0)))*(VLOOKUP($B160,INDIRECT($B$5&amp;"生成成长"),3))*(VLOOKUP($B$5,标准坦克设计!$B$14:$K$20,9)/30))</f>
        <v>2.5829225887973801</v>
      </c>
      <c r="BM160" s="173">
        <f ca="1">(VLOOKUP(BM$72,INDIRECT($C$5&amp;"生成成长"),2))/((VLOOKUP($B160,INDIRECT($B$5&amp;"生成成长"),4))/(VLOOKUP(BM$72,INDIRECT($C$5&amp;"生成成长"),5))*(VLOOKUP($B$5,标准坦克设计!$B$24:$U$30,MATCH("对"&amp;LEFT($C$5,2)&amp;"输出",标准坦克设计!$B$23:$U$23,0)))*(VLOOKUP($B160,INDIRECT($B$5&amp;"生成成长"),3))*(VLOOKUP($B$5,标准坦克设计!$B$14:$K$20,9)/30))</f>
        <v>2.8446926386281004</v>
      </c>
      <c r="BN160" s="173">
        <f ca="1">(VLOOKUP(BN$72,INDIRECT($C$5&amp;"生成成长"),2))/((VLOOKUP($B160,INDIRECT($B$5&amp;"生成成长"),4))/(VLOOKUP(BN$72,INDIRECT($C$5&amp;"生成成长"),5))*(VLOOKUP($B$5,标准坦克设计!$B$24:$U$30,MATCH("对"&amp;LEFT($C$5,2)&amp;"输出",标准坦克设计!$B$23:$U$23,0)))*(VLOOKUP($B160,INDIRECT($B$5&amp;"生成成长"),3))*(VLOOKUP($B$5,标准坦克设计!$B$14:$K$20,9)/30))</f>
        <v>3.1190950233032</v>
      </c>
      <c r="BO160" s="173">
        <f ca="1">(VLOOKUP(BO$72,INDIRECT($C$5&amp;"生成成长"),2))/((VLOOKUP($B160,INDIRECT($B$5&amp;"生成成长"),4))/(VLOOKUP(BO$72,INDIRECT($C$5&amp;"生成成长"),5))*(VLOOKUP($B$5,标准坦克设计!$B$24:$U$30,MATCH("对"&amp;LEFT($C$5,2)&amp;"输出",标准坦克设计!$B$23:$U$23,0)))*(VLOOKUP($B160,INDIRECT($B$5&amp;"生成成长"),3))*(VLOOKUP($B$5,标准坦克设计!$B$14:$K$20,9)/30))</f>
        <v>3.4061297428226771</v>
      </c>
      <c r="BP160" s="173">
        <f ca="1">(VLOOKUP(BP$72,INDIRECT($C$5&amp;"生成成长"),2))/((VLOOKUP($B160,INDIRECT($B$5&amp;"生成成长"),4))/(VLOOKUP(BP$72,INDIRECT($C$5&amp;"生成成长"),5))*(VLOOKUP($B$5,标准坦克设计!$B$24:$U$30,MATCH("对"&amp;LEFT($C$5,2)&amp;"输出",标准坦克设计!$B$23:$U$23,0)))*(VLOOKUP($B160,INDIRECT($B$5&amp;"生成成长"),3))*(VLOOKUP($B$5,标准坦克设计!$B$14:$K$20,9)/30))</f>
        <v>3.7057967971865318</v>
      </c>
      <c r="BQ160" s="173">
        <f ca="1">(VLOOKUP(BQ$72,INDIRECT($C$5&amp;"生成成长"),2))/((VLOOKUP($B160,INDIRECT($B$5&amp;"生成成长"),4))/(VLOOKUP(BQ$72,INDIRECT($C$5&amp;"生成成长"),5))*(VLOOKUP($B$5,标准坦克设计!$B$24:$U$30,MATCH("对"&amp;LEFT($C$5,2)&amp;"输出",标准坦克设计!$B$23:$U$23,0)))*(VLOOKUP($B160,INDIRECT($B$5&amp;"生成成长"),3))*(VLOOKUP($B$5,标准坦克设计!$B$14:$K$20,9)/30))</f>
        <v>4.0180961863947653</v>
      </c>
      <c r="BR160" s="173">
        <f ca="1">(VLOOKUP(BR$72,INDIRECT($C$5&amp;"生成成长"),2))/((VLOOKUP($B160,INDIRECT($B$5&amp;"生成成长"),4))/(VLOOKUP(BR$72,INDIRECT($C$5&amp;"生成成长"),5))*(VLOOKUP($B$5,标准坦克设计!$B$24:$U$30,MATCH("对"&amp;LEFT($C$5,2)&amp;"输出",标准坦克设计!$B$23:$U$23,0)))*(VLOOKUP($B160,INDIRECT($B$5&amp;"生成成长"),3))*(VLOOKUP($B$5,标准坦克设计!$B$14:$K$20,9)/30))</f>
        <v>4.3799112090979362</v>
      </c>
      <c r="BS160" s="173">
        <f ca="1">(VLOOKUP(BS$72,INDIRECT($C$5&amp;"生成成长"),2))/((VLOOKUP($B160,INDIRECT($B$5&amp;"生成成长"),4))/(VLOOKUP(BS$72,INDIRECT($C$5&amp;"生成成长"),5))*(VLOOKUP($B$5,标准坦克设计!$B$24:$U$30,MATCH("对"&amp;LEFT($C$5,2)&amp;"输出",标准坦克设计!$B$23:$U$23,0)))*(VLOOKUP($B160,INDIRECT($B$5&amp;"生成成长"),3))*(VLOOKUP($B$5,标准坦克设计!$B$14:$K$20,9)/30))</f>
        <v>4.7573217069176232</v>
      </c>
      <c r="BT160" s="173">
        <f ca="1">(VLOOKUP(BT$72,INDIRECT($C$5&amp;"生成成长"),2))/((VLOOKUP($B160,INDIRECT($B$5&amp;"生成成长"),4))/(VLOOKUP(BT$72,INDIRECT($C$5&amp;"生成成长"),5))*(VLOOKUP($B$5,标准坦克设计!$B$24:$U$30,MATCH("对"&amp;LEFT($C$5,2)&amp;"输出",标准坦克设计!$B$23:$U$23,0)))*(VLOOKUP($B160,INDIRECT($B$5&amp;"生成成长"),3))*(VLOOKUP($B$5,标准坦克设计!$B$14:$K$20,9)/30))</f>
        <v>5.1503276798538264</v>
      </c>
      <c r="BU160" s="173">
        <f ca="1">(VLOOKUP(BU$72,INDIRECT($C$5&amp;"生成成长"),2))/((VLOOKUP($B160,INDIRECT($B$5&amp;"生成成长"),4))/(VLOOKUP(BU$72,INDIRECT($C$5&amp;"生成成长"),5))*(VLOOKUP($B$5,标准坦克设计!$B$24:$U$30,MATCH("对"&amp;LEFT($C$5,2)&amp;"输出",标准坦克设计!$B$23:$U$23,0)))*(VLOOKUP($B160,INDIRECT($B$5&amp;"生成成长"),3))*(VLOOKUP($B$5,标准坦克设计!$B$14:$K$20,9)/30))</f>
        <v>5.5589291279065458</v>
      </c>
      <c r="BV160" s="173">
        <f ca="1">(VLOOKUP(BV$72,INDIRECT($C$5&amp;"生成成长"),2))/((VLOOKUP($B160,INDIRECT($B$5&amp;"生成成长"),4))/(VLOOKUP(BV$72,INDIRECT($C$5&amp;"生成成长"),5))*(VLOOKUP($B$5,标准坦克设计!$B$24:$U$30,MATCH("对"&amp;LEFT($C$5,2)&amp;"输出",标准坦克设计!$B$23:$U$23,0)))*(VLOOKUP($B160,INDIRECT($B$5&amp;"生成成长"),3))*(VLOOKUP($B$5,标准坦克设计!$B$14:$K$20,9)/30))</f>
        <v>5.9831260510757813</v>
      </c>
      <c r="BW160" s="173">
        <f ca="1">(VLOOKUP(BW$72,INDIRECT($C$5&amp;"生成成长"),2))/((VLOOKUP($B160,INDIRECT($B$5&amp;"生成成长"),4))/(VLOOKUP(BW$72,INDIRECT($C$5&amp;"生成成长"),5))*(VLOOKUP($B$5,标准坦克设计!$B$24:$U$30,MATCH("对"&amp;LEFT($C$5,2)&amp;"输出",标准坦克设计!$B$23:$U$23,0)))*(VLOOKUP($B160,INDIRECT($B$5&amp;"生成成长"),3))*(VLOOKUP($B$5,标准坦克设计!$B$14:$K$20,9)/30))</f>
        <v>2.7267908467472401</v>
      </c>
      <c r="BX160" s="173">
        <f ca="1">(VLOOKUP(BX$72,INDIRECT($C$5&amp;"生成成长"),2))/((VLOOKUP($B160,INDIRECT($B$5&amp;"生成成长"),4))/(VLOOKUP(BX$72,INDIRECT($C$5&amp;"生成成长"),5))*(VLOOKUP($B$5,标准坦克设计!$B$24:$U$30,MATCH("对"&amp;LEFT($C$5,2)&amp;"输出",标准坦克设计!$B$23:$U$23,0)))*(VLOOKUP($B160,INDIRECT($B$5&amp;"生成成长"),3))*(VLOOKUP($B$5,标准坦克设计!$B$14:$K$20,9)/30))</f>
        <v>3.0262239689843473</v>
      </c>
      <c r="BY160" s="173">
        <f ca="1">(VLOOKUP(BY$72,INDIRECT($C$5&amp;"生成成长"),2))/((VLOOKUP($B160,INDIRECT($B$5&amp;"生成成长"),4))/(VLOOKUP(BY$72,INDIRECT($C$5&amp;"生成成长"),5))*(VLOOKUP($B$5,标准坦克设计!$B$24:$U$30,MATCH("对"&amp;LEFT($C$5,2)&amp;"输出",标准坦克设计!$B$23:$U$23,0)))*(VLOOKUP($B160,INDIRECT($B$5&amp;"生成成长"),3))*(VLOOKUP($B$5,标准坦克设计!$B$14:$K$20,9)/30))</f>
        <v>3.3412525663379702</v>
      </c>
      <c r="BZ160" s="173">
        <f ca="1">(VLOOKUP(BZ$72,INDIRECT($C$5&amp;"生成成长"),2))/((VLOOKUP($B160,INDIRECT($B$5&amp;"生成成长"),4))/(VLOOKUP(BZ$72,INDIRECT($C$5&amp;"生成成长"),5))*(VLOOKUP($B$5,标准坦克设计!$B$24:$U$30,MATCH("对"&amp;LEFT($C$5,2)&amp;"输出",标准坦克设计!$B$23:$U$23,0)))*(VLOOKUP($B160,INDIRECT($B$5&amp;"生成成长"),3))*(VLOOKUP($B$5,标准坦克设计!$B$14:$K$20,9)/30))</f>
        <v>3.6718766388081092</v>
      </c>
      <c r="CA160" s="173">
        <f ca="1">(VLOOKUP(CA$72,INDIRECT($C$5&amp;"生成成长"),2))/((VLOOKUP($B160,INDIRECT($B$5&amp;"生成成长"),4))/(VLOOKUP(CA$72,INDIRECT($C$5&amp;"生成成长"),5))*(VLOOKUP($B$5,标准坦克设计!$B$24:$U$30,MATCH("对"&amp;LEFT($C$5,2)&amp;"输出",标准坦克设计!$B$23:$U$23,0)))*(VLOOKUP($B160,INDIRECT($B$5&amp;"生成成长"),3))*(VLOOKUP($B$5,标准坦克设计!$B$14:$K$20,9)/30))</f>
        <v>4.0180961863947653</v>
      </c>
      <c r="CB160" s="173">
        <f ca="1">(VLOOKUP(CB$72,INDIRECT($C$5&amp;"生成成长"),2))/((VLOOKUP($B160,INDIRECT($B$5&amp;"生成成长"),4))/(VLOOKUP(CB$72,INDIRECT($C$5&amp;"生成成长"),5))*(VLOOKUP($B$5,标准坦克设计!$B$24:$U$30,MATCH("对"&amp;LEFT($C$5,2)&amp;"输出",标准坦克设计!$B$23:$U$23,0)))*(VLOOKUP($B160,INDIRECT($B$5&amp;"生成成长"),3))*(VLOOKUP($B$5,标准坦克设计!$B$14:$K$20,9)/30))</f>
        <v>4.3799112090979362</v>
      </c>
      <c r="CC160" s="173">
        <f ca="1">(VLOOKUP(CC$72,INDIRECT($C$5&amp;"生成成长"),2))/((VLOOKUP($B160,INDIRECT($B$5&amp;"生成成长"),4))/(VLOOKUP(CC$72,INDIRECT($C$5&amp;"生成成长"),5))*(VLOOKUP($B$5,标准坦克设计!$B$24:$U$30,MATCH("对"&amp;LEFT($C$5,2)&amp;"输出",标准坦克设计!$B$23:$U$23,0)))*(VLOOKUP($B160,INDIRECT($B$5&amp;"生成成长"),3))*(VLOOKUP($B$5,标准坦克设计!$B$14:$K$20,9)/30))</f>
        <v>4.7573217069176232</v>
      </c>
      <c r="CD160" s="173">
        <f ca="1">(VLOOKUP(CD$72,INDIRECT($C$5&amp;"生成成长"),2))/((VLOOKUP($B160,INDIRECT($B$5&amp;"生成成长"),4))/(VLOOKUP(CD$72,INDIRECT($C$5&amp;"生成成长"),5))*(VLOOKUP($B$5,标准坦克设计!$B$24:$U$30,MATCH("对"&amp;LEFT($C$5,2)&amp;"输出",标准坦克设计!$B$23:$U$23,0)))*(VLOOKUP($B160,INDIRECT($B$5&amp;"生成成长"),3))*(VLOOKUP($B$5,标准坦克设计!$B$14:$K$20,9)/30))</f>
        <v>5.1503276798538264</v>
      </c>
      <c r="CE160" s="173">
        <f ca="1">(VLOOKUP(CE$72,INDIRECT($C$5&amp;"生成成长"),2))/((VLOOKUP($B160,INDIRECT($B$5&amp;"生成成长"),4))/(VLOOKUP(CE$72,INDIRECT($C$5&amp;"生成成长"),5))*(VLOOKUP($B$5,标准坦克设计!$B$24:$U$30,MATCH("对"&amp;LEFT($C$5,2)&amp;"输出",标准坦克设计!$B$23:$U$23,0)))*(VLOOKUP($B160,INDIRECT($B$5&amp;"生成成长"),3))*(VLOOKUP($B$5,标准坦克设计!$B$14:$K$20,9)/30))</f>
        <v>5.5589291279065458</v>
      </c>
      <c r="CF160" s="173">
        <f ca="1">(VLOOKUP(CF$72,INDIRECT($C$5&amp;"生成成长"),2))/((VLOOKUP($B160,INDIRECT($B$5&amp;"生成成长"),4))/(VLOOKUP(CF$72,INDIRECT($C$5&amp;"生成成长"),5))*(VLOOKUP($B$5,标准坦克设计!$B$24:$U$30,MATCH("对"&amp;LEFT($C$5,2)&amp;"输出",标准坦克设计!$B$23:$U$23,0)))*(VLOOKUP($B160,INDIRECT($B$5&amp;"生成成长"),3))*(VLOOKUP($B$5,标准坦克设计!$B$14:$K$20,9)/30))</f>
        <v>5.9831260510757813</v>
      </c>
      <c r="CG160" s="173">
        <f ca="1">(VLOOKUP(CG$72,INDIRECT($C$5&amp;"生成成长"),2))/((VLOOKUP($B160,INDIRECT($B$5&amp;"生成成长"),4))/(VLOOKUP(CG$72,INDIRECT($C$5&amp;"生成成长"),5))*(VLOOKUP($B$5,标准坦克设计!$B$24:$U$30,MATCH("对"&amp;LEFT($C$5,2)&amp;"输出",标准坦克设计!$B$23:$U$23,0)))*(VLOOKUP($B160,INDIRECT($B$5&amp;"生成成长"),3))*(VLOOKUP($B$5,标准坦克设计!$B$14:$K$20,9)/30))</f>
        <v>6.4229184493615321</v>
      </c>
      <c r="CH160" s="173">
        <f ca="1">(VLOOKUP(CH$72,INDIRECT($C$5&amp;"生成成长"),2))/((VLOOKUP($B160,INDIRECT($B$5&amp;"生成成长"),4))/(VLOOKUP(CH$72,INDIRECT($C$5&amp;"生成成长"),5))*(VLOOKUP($B$5,标准坦克设计!$B$24:$U$30,MATCH("对"&amp;LEFT($C$5,2)&amp;"输出",标准坦克设计!$B$23:$U$23,0)))*(VLOOKUP($B160,INDIRECT($B$5&amp;"生成成长"),3))*(VLOOKUP($B$5,标准坦克设计!$B$14:$K$20,9)/30))</f>
        <v>6.8783063227637991</v>
      </c>
      <c r="CI160" s="173">
        <f ca="1">(VLOOKUP(CI$72,INDIRECT($C$5&amp;"生成成长"),2))/((VLOOKUP($B160,INDIRECT($B$5&amp;"生成成长"),4))/(VLOOKUP(CI$72,INDIRECT($C$5&amp;"生成成长"),5))*(VLOOKUP($B$5,标准坦克设计!$B$24:$U$30,MATCH("对"&amp;LEFT($C$5,2)&amp;"输出",标准坦克设计!$B$23:$U$23,0)))*(VLOOKUP($B160,INDIRECT($B$5&amp;"生成成长"),3))*(VLOOKUP($B$5,标准坦克设计!$B$14:$K$20,9)/30))</f>
        <v>7.3972457572658676</v>
      </c>
      <c r="CJ160" s="173">
        <f ca="1">(VLOOKUP(CJ$72,INDIRECT($C$5&amp;"生成成长"),2))/((VLOOKUP($B160,INDIRECT($B$5&amp;"生成成长"),4))/(VLOOKUP(CJ$72,INDIRECT($C$5&amp;"生成成长"),5))*(VLOOKUP($B$5,标准坦克设计!$B$24:$U$30,MATCH("对"&amp;LEFT($C$5,2)&amp;"输出",标准坦克设计!$B$23:$U$23,0)))*(VLOOKUP($B160,INDIRECT($B$5&amp;"生成成长"),3))*(VLOOKUP($B$5,标准坦克设计!$B$14:$K$20,9)/30))</f>
        <v>7.9350557166589235</v>
      </c>
      <c r="CK160" s="173">
        <f ca="1">(VLOOKUP(CK$72,INDIRECT($C$5&amp;"生成成长"),2))/((VLOOKUP($B160,INDIRECT($B$5&amp;"生成成长"),4))/(VLOOKUP(CK$72,INDIRECT($C$5&amp;"生成成长"),5))*(VLOOKUP($B$5,标准坦克设计!$B$24:$U$30,MATCH("对"&amp;LEFT($C$5,2)&amp;"输出",标准坦克设计!$B$23:$U$23,0)))*(VLOOKUP($B160,INDIRECT($B$5&amp;"生成成长"),3))*(VLOOKUP($B$5,标准坦克设计!$B$14:$K$20,9)/30))</f>
        <v>8.4917362009429631</v>
      </c>
      <c r="CL160" s="173">
        <f ca="1">(VLOOKUP(CL$72,INDIRECT($C$5&amp;"生成成长"),2))/((VLOOKUP($B160,INDIRECT($B$5&amp;"生成成长"),4))/(VLOOKUP(CL$72,INDIRECT($C$5&amp;"生成成长"),5))*(VLOOKUP($B$5,标准坦克设计!$B$24:$U$30,MATCH("对"&amp;LEFT($C$5,2)&amp;"输出",标准坦克设计!$B$23:$U$23,0)))*(VLOOKUP($B160,INDIRECT($B$5&amp;"生成成长"),3))*(VLOOKUP($B$5,标准坦克设计!$B$14:$K$20,9)/30))</f>
        <v>9.0672872101179856</v>
      </c>
      <c r="CM160" s="173">
        <f ca="1">(VLOOKUP(CM$72,INDIRECT($C$5&amp;"生成成长"),2))/((VLOOKUP($B160,INDIRECT($B$5&amp;"生成成长"),4))/(VLOOKUP(CM$72,INDIRECT($C$5&amp;"生成成长"),5))*(VLOOKUP($B$5,标准坦克设计!$B$24:$U$30,MATCH("对"&amp;LEFT($C$5,2)&amp;"输出",标准坦克设计!$B$23:$U$23,0)))*(VLOOKUP($B160,INDIRECT($B$5&amp;"生成成长"),3))*(VLOOKUP($B$5,标准坦克设计!$B$14:$K$20,9)/30))</f>
        <v>9.6617087441839917</v>
      </c>
      <c r="CN160" s="173">
        <f ca="1">(VLOOKUP(CN$72,INDIRECT($C$5&amp;"生成成长"),2))/((VLOOKUP($B160,INDIRECT($B$5&amp;"生成成长"),4))/(VLOOKUP(CN$72,INDIRECT($C$5&amp;"生成成长"),5))*(VLOOKUP($B$5,标准坦克设计!$B$24:$U$30,MATCH("对"&amp;LEFT($C$5,2)&amp;"输出",标准坦克设计!$B$23:$U$23,0)))*(VLOOKUP($B160,INDIRECT($B$5&amp;"生成成长"),3))*(VLOOKUP($B$5,标准坦克设计!$B$14:$K$20,9)/30))</f>
        <v>10.275000803140983</v>
      </c>
      <c r="CO160" s="173">
        <f ca="1">(VLOOKUP(CO$72,INDIRECT($C$5&amp;"生成成长"),2))/((VLOOKUP($B160,INDIRECT($B$5&amp;"生成成长"),4))/(VLOOKUP(CO$72,INDIRECT($C$5&amp;"生成成长"),5))*(VLOOKUP($B$5,标准坦克设计!$B$24:$U$30,MATCH("对"&amp;LEFT($C$5,2)&amp;"输出",标准坦克设计!$B$23:$U$23,0)))*(VLOOKUP($B160,INDIRECT($B$5&amp;"生成成长"),3))*(VLOOKUP($B$5,标准坦克设计!$B$14:$K$20,9)/30))</f>
        <v>4.6044860507757663</v>
      </c>
      <c r="CP160" s="173">
        <f ca="1">(VLOOKUP(CP$72,INDIRECT($C$5&amp;"生成成长"),2))/((VLOOKUP($B160,INDIRECT($B$5&amp;"生成成长"),4))/(VLOOKUP(CP$72,INDIRECT($C$5&amp;"生成成长"),5))*(VLOOKUP($B$5,标准坦克设计!$B$24:$U$30,MATCH("对"&amp;LEFT($C$5,2)&amp;"输出",标准坦克设计!$B$23:$U$23,0)))*(VLOOKUP($B160,INDIRECT($B$5&amp;"生成成长"),3))*(VLOOKUP($B$5,标准坦克设计!$B$14:$K$20,9)/30))</f>
        <v>5.0307883630857306</v>
      </c>
      <c r="CQ160" s="173">
        <f ca="1">(VLOOKUP(CQ$72,INDIRECT($C$5&amp;"生成成长"),2))/((VLOOKUP($B160,INDIRECT($B$5&amp;"生成成长"),4))/(VLOOKUP(CQ$72,INDIRECT($C$5&amp;"生成成长"),5))*(VLOOKUP($B$5,标准坦克设计!$B$24:$U$30,MATCH("对"&amp;LEFT($C$5,2)&amp;"输出",标准坦克设计!$B$23:$U$23,0)))*(VLOOKUP($B160,INDIRECT($B$5&amp;"生成成长"),3))*(VLOOKUP($B$5,标准坦克设计!$B$14:$K$20,9)/30))</f>
        <v>5.4759612002866804</v>
      </c>
      <c r="CR160" s="173">
        <f ca="1">(VLOOKUP(CR$72,INDIRECT($C$5&amp;"生成成长"),2))/((VLOOKUP($B160,INDIRECT($B$5&amp;"生成成长"),4))/(VLOOKUP(CR$72,INDIRECT($C$5&amp;"生成成长"),5))*(VLOOKUP($B$5,标准坦克设计!$B$24:$U$30,MATCH("对"&amp;LEFT($C$5,2)&amp;"输出",标准坦克设计!$B$23:$U$23,0)))*(VLOOKUP($B160,INDIRECT($B$5&amp;"生成成长"),3))*(VLOOKUP($B$5,标准坦克设计!$B$14:$K$20,9)/30))</f>
        <v>5.940004562378614</v>
      </c>
      <c r="CS160" s="173">
        <f ca="1">(VLOOKUP(CS$72,INDIRECT($C$5&amp;"生成成长"),2))/((VLOOKUP($B160,INDIRECT($B$5&amp;"生成成长"),4))/(VLOOKUP(CS$72,INDIRECT($C$5&amp;"生成成长"),5))*(VLOOKUP($B$5,标准坦克设计!$B$24:$U$30,MATCH("对"&amp;LEFT($C$5,2)&amp;"输出",标准坦克设计!$B$23:$U$23,0)))*(VLOOKUP($B160,INDIRECT($B$5&amp;"生成成长"),3))*(VLOOKUP($B$5,标准坦克设计!$B$14:$K$20,9)/30))</f>
        <v>6.4229184493615321</v>
      </c>
      <c r="CT160" s="173">
        <f ca="1">(VLOOKUP(CT$72,INDIRECT($C$5&amp;"生成成长"),2))/((VLOOKUP($B160,INDIRECT($B$5&amp;"生成成长"),4))/(VLOOKUP(CT$72,INDIRECT($C$5&amp;"生成成长"),5))*(VLOOKUP($B$5,标准坦克设计!$B$24:$U$30,MATCH("对"&amp;LEFT($C$5,2)&amp;"输出",标准坦克设计!$B$23:$U$23,0)))*(VLOOKUP($B160,INDIRECT($B$5&amp;"生成成长"),3))*(VLOOKUP($B$5,标准坦克设计!$B$14:$K$20,9)/30))</f>
        <v>6.9247028612354349</v>
      </c>
      <c r="CU160" s="173">
        <f ca="1">(VLOOKUP(CU$72,INDIRECT($C$5&amp;"生成成长"),2))/((VLOOKUP($B160,INDIRECT($B$5&amp;"生成成长"),4))/(VLOOKUP(CU$72,INDIRECT($C$5&amp;"生成成长"),5))*(VLOOKUP($B$5,标准坦克设计!$B$24:$U$30,MATCH("对"&amp;LEFT($C$5,2)&amp;"输出",标准坦克设计!$B$23:$U$23,0)))*(VLOOKUP($B160,INDIRECT($B$5&amp;"生成成长"),3))*(VLOOKUP($B$5,标准坦克设计!$B$14:$K$20,9)/30))</f>
        <v>7.4453577980003205</v>
      </c>
      <c r="CV160" s="173">
        <f ca="1">(VLOOKUP(CV$72,INDIRECT($C$5&amp;"生成成长"),2))/((VLOOKUP($B160,INDIRECT($B$5&amp;"生成成长"),4))/(VLOOKUP(CV$72,INDIRECT($C$5&amp;"生成成长"),5))*(VLOOKUP($B$5,标准坦克设计!$B$24:$U$30,MATCH("对"&amp;LEFT($C$5,2)&amp;"输出",标准坦克设计!$B$23:$U$23,0)))*(VLOOKUP($B160,INDIRECT($B$5&amp;"生成成长"),3))*(VLOOKUP($B$5,标准坦克设计!$B$14:$K$20,9)/30))</f>
        <v>7.9848832596561916</v>
      </c>
      <c r="CW160" s="173">
        <f ca="1">(VLOOKUP(CW$72,INDIRECT($C$5&amp;"生成成长"),2))/((VLOOKUP($B160,INDIRECT($B$5&amp;"生成成长"),4))/(VLOOKUP(CW$72,INDIRECT($C$5&amp;"生成成长"),5))*(VLOOKUP($B$5,标准坦克设计!$B$24:$U$30,MATCH("对"&amp;LEFT($C$5,2)&amp;"输出",标准坦克设计!$B$23:$U$23,0)))*(VLOOKUP($B160,INDIRECT($B$5&amp;"生成成长"),3))*(VLOOKUP($B$5,标准坦克设计!$B$14:$K$20,9)/30))</f>
        <v>8.5432792462030491</v>
      </c>
      <c r="CX160" s="173">
        <f ca="1">(VLOOKUP(CX$72,INDIRECT($C$5&amp;"生成成长"),2))/((VLOOKUP($B160,INDIRECT($B$5&amp;"生成成长"),4))/(VLOOKUP(CX$72,INDIRECT($C$5&amp;"生成成长"),5))*(VLOOKUP($B$5,标准坦克设计!$B$24:$U$30,MATCH("对"&amp;LEFT($C$5,2)&amp;"输出",标准坦克设计!$B$23:$U$23,0)))*(VLOOKUP($B160,INDIRECT($B$5&amp;"生成成长"),3))*(VLOOKUP($B$5,标准坦克设计!$B$14:$K$20,9)/30))</f>
        <v>9.1205457576408886</v>
      </c>
      <c r="CY160" s="173">
        <f ca="1">(VLOOKUP(CY$72,INDIRECT($C$5&amp;"生成成长"),2))/((VLOOKUP($B160,INDIRECT($B$5&amp;"生成成长"),4))/(VLOOKUP(CY$72,INDIRECT($C$5&amp;"生成成长"),5))*(VLOOKUP($B$5,标准坦克设计!$B$24:$U$30,MATCH("对"&amp;LEFT($C$5,2)&amp;"输出",标准坦克设计!$B$23:$U$23,0)))*(VLOOKUP($B160,INDIRECT($B$5&amp;"生成成长"),3))*(VLOOKUP($B$5,标准坦克设计!$B$14:$K$20,9)/30))</f>
        <v>9.7166827939697118</v>
      </c>
      <c r="CZ160" s="173">
        <f ca="1">(VLOOKUP(CZ$72,INDIRECT($C$5&amp;"生成成长"),2))/((VLOOKUP($B160,INDIRECT($B$5&amp;"生成成长"),4))/(VLOOKUP(CZ$72,INDIRECT($C$5&amp;"生成成长"),5))*(VLOOKUP($B$5,标准坦克设计!$B$24:$U$30,MATCH("对"&amp;LEFT($C$5,2)&amp;"输出",标准坦克设计!$B$23:$U$23,0)))*(VLOOKUP($B160,INDIRECT($B$5&amp;"生成成长"),3))*(VLOOKUP($B$5,标准坦克设计!$B$14:$K$20,9)/30))</f>
        <v>10.331690355189521</v>
      </c>
      <c r="DA160" s="173">
        <f ca="1">(VLOOKUP(DA$72,INDIRECT($C$5&amp;"生成成长"),2))/((VLOOKUP($B160,INDIRECT($B$5&amp;"生成成长"),4))/(VLOOKUP(DA$72,INDIRECT($C$5&amp;"生成成长"),5))*(VLOOKUP($B$5,标准坦克设计!$B$24:$U$30,MATCH("对"&amp;LEFT($C$5,2)&amp;"输出",标准坦克设计!$B$23:$U$23,0)))*(VLOOKUP($B160,INDIRECT($B$5&amp;"生成成长"),3))*(VLOOKUP($B$5,标准坦克设计!$B$14:$K$20,9)/30))</f>
        <v>10.965568441300313</v>
      </c>
      <c r="DB160" s="173">
        <f ca="1">(VLOOKUP(DB$72,INDIRECT($C$5&amp;"生成成长"),2))/((VLOOKUP($B160,INDIRECT($B$5&amp;"生成成长"),4))/(VLOOKUP(DB$72,INDIRECT($C$5&amp;"生成成长"),5))*(VLOOKUP($B$5,标准坦克设计!$B$24:$U$30,MATCH("对"&amp;LEFT($C$5,2)&amp;"输出",标准坦克设计!$B$23:$U$23,0)))*(VLOOKUP($B160,INDIRECT($B$5&amp;"生成成长"),3))*(VLOOKUP($B$5,标准坦克设计!$B$14:$K$20,9)/30))</f>
        <v>11.618317052302089</v>
      </c>
      <c r="DC160" s="173">
        <f ca="1">(VLOOKUP(DC$72,INDIRECT($C$5&amp;"生成成长"),2))/((VLOOKUP($B160,INDIRECT($B$5&amp;"生成成长"),4))/(VLOOKUP(DC$72,INDIRECT($C$5&amp;"生成成长"),5))*(VLOOKUP($B$5,标准坦克设计!$B$24:$U$30,MATCH("对"&amp;LEFT($C$5,2)&amp;"输出",标准坦克设计!$B$23:$U$23,0)))*(VLOOKUP($B160,INDIRECT($B$5&amp;"生成成长"),3))*(VLOOKUP($B$5,标准坦克设计!$B$14:$K$20,9)/30))</f>
        <v>12.351928201783004</v>
      </c>
      <c r="DD160" s="173">
        <f ca="1">(VLOOKUP(DD$72,INDIRECT($C$5&amp;"生成成长"),2))/((VLOOKUP($B160,INDIRECT($B$5&amp;"生成成长"),4))/(VLOOKUP(DD$72,INDIRECT($C$5&amp;"生成成长"),5))*(VLOOKUP($B$5,标准坦克设计!$B$24:$U$30,MATCH("对"&amp;LEFT($C$5,2)&amp;"输出",标准坦克设计!$B$23:$U$23,0)))*(VLOOKUP($B160,INDIRECT($B$5&amp;"生成成长"),3))*(VLOOKUP($B$5,标准坦克设计!$B$14:$K$20,9)/30))</f>
        <v>13.107996835431699</v>
      </c>
      <c r="DE160" s="173">
        <f ca="1">(VLOOKUP(DE$72,INDIRECT($C$5&amp;"生成成长"),2))/((VLOOKUP($B160,INDIRECT($B$5&amp;"生成成长"),4))/(VLOOKUP(DE$72,INDIRECT($C$5&amp;"生成成长"),5))*(VLOOKUP($B$5,标准坦克设计!$B$24:$U$30,MATCH("对"&amp;LEFT($C$5,2)&amp;"输出",标准坦克设计!$B$23:$U$23,0)))*(VLOOKUP($B160,INDIRECT($B$5&amp;"生成成长"),3))*(VLOOKUP($B$5,标准坦克设计!$B$14:$K$20,9)/30))</f>
        <v>13.886522953248175</v>
      </c>
      <c r="DF160" s="173">
        <f ca="1">(VLOOKUP(DF$72,INDIRECT($C$5&amp;"生成成长"),2))/((VLOOKUP($B160,INDIRECT($B$5&amp;"生成成长"),4))/(VLOOKUP(DF$72,INDIRECT($C$5&amp;"生成成长"),5))*(VLOOKUP($B$5,标准坦克设计!$B$24:$U$30,MATCH("对"&amp;LEFT($C$5,2)&amp;"输出",标准坦克设计!$B$23:$U$23,0)))*(VLOOKUP($B160,INDIRECT($B$5&amp;"生成成长"),3))*(VLOOKUP($B$5,标准坦克设计!$B$14:$K$20,9)/30))</f>
        <v>14.687506555232437</v>
      </c>
      <c r="DG160" s="173">
        <f ca="1">(VLOOKUP(DG$72,INDIRECT($C$5&amp;"生成成长"),2))/((VLOOKUP($B160,INDIRECT($B$5&amp;"生成成长"),4))/(VLOOKUP(DG$72,INDIRECT($C$5&amp;"生成成长"),5))*(VLOOKUP($B$5,标准坦克设计!$B$24:$U$30,MATCH("对"&amp;LEFT($C$5,2)&amp;"输出",标准坦克设计!$B$23:$U$23,0)))*(VLOOKUP($B160,INDIRECT($B$5&amp;"生成成长"),3))*(VLOOKUP($B$5,标准坦克设计!$B$14:$K$20,9)/30))</f>
        <v>15.510947641384485</v>
      </c>
      <c r="DH160" s="173">
        <f ca="1">(VLOOKUP(DH$72,INDIRECT($C$5&amp;"生成成长"),2))/((VLOOKUP($B160,INDIRECT($B$5&amp;"生成成长"),4))/(VLOOKUP(DH$72,INDIRECT($C$5&amp;"生成成长"),5))*(VLOOKUP($B$5,标准坦克设计!$B$24:$U$30,MATCH("对"&amp;LEFT($C$5,2)&amp;"输出",标准坦克设计!$B$23:$U$23,0)))*(VLOOKUP($B160,INDIRECT($B$5&amp;"生成成长"),3))*(VLOOKUP($B$5,标准坦克设计!$B$14:$K$20,9)/30))</f>
        <v>16.356846211704312</v>
      </c>
      <c r="DI160" s="173">
        <f ca="1">(VLOOKUP(DI$72,INDIRECT($C$5&amp;"生成成长"),2))/((VLOOKUP($B160,INDIRECT($B$5&amp;"生成成长"),4))/(VLOOKUP(DI$72,INDIRECT($C$5&amp;"生成成长"),5))*(VLOOKUP($B$5,标准坦克设计!$B$24:$U$30,MATCH("对"&amp;LEFT($C$5,2)&amp;"输出",标准坦克设计!$B$23:$U$23,0)))*(VLOOKUP($B160,INDIRECT($B$5&amp;"生成成长"),3))*(VLOOKUP($B$5,标准坦克设计!$B$14:$K$20,9)/30))</f>
        <v>17.225202266191921</v>
      </c>
      <c r="DJ160" s="173">
        <f ca="1">(VLOOKUP(DJ$72,INDIRECT($C$5&amp;"生成成长"),2))/((VLOOKUP($B160,INDIRECT($B$5&amp;"生成成长"),4))/(VLOOKUP(DJ$72,INDIRECT($C$5&amp;"生成成长"),5))*(VLOOKUP($B$5,标准坦克设计!$B$24:$U$30,MATCH("对"&amp;LEFT($C$5,2)&amp;"输出",标准坦克设计!$B$23:$U$23,0)))*(VLOOKUP($B160,INDIRECT($B$5&amp;"生成成长"),3))*(VLOOKUP($B$5,标准坦克设计!$B$14:$K$20,9)/30))</f>
        <v>1.7311757153088587</v>
      </c>
      <c r="DK160" s="173">
        <f ca="1">(VLOOKUP(DK$72,INDIRECT($C$5&amp;"生成成长"),2))/((VLOOKUP($B160,INDIRECT($B$5&amp;"生成成长"),4))/(VLOOKUP(DK$72,INDIRECT($C$5&amp;"生成成长"),5))*(VLOOKUP($B$5,标准坦克设计!$B$24:$U$30,MATCH("对"&amp;LEFT($C$5,2)&amp;"输出",标准坦克设计!$B$23:$U$23,0)))*(VLOOKUP($B160,INDIRECT($B$5&amp;"生成成长"),3))*(VLOOKUP($B$5,标准坦克设计!$B$14:$K$20,9)/30))</f>
        <v>1.9466272040435271</v>
      </c>
      <c r="DL160" s="173">
        <f ca="1">(VLOOKUP(DL$72,INDIRECT($C$5&amp;"生成成长"),2))/((VLOOKUP($B160,INDIRECT($B$5&amp;"生成成长"),4))/(VLOOKUP(DL$72,INDIRECT($C$5&amp;"生成成长"),5))*(VLOOKUP($B$5,标准坦克设计!$B$24:$U$30,MATCH("对"&amp;LEFT($C$5,2)&amp;"输出",标准坦克设计!$B$23:$U$23,0)))*(VLOOKUP($B160,INDIRECT($B$5&amp;"生成成长"),3))*(VLOOKUP($B$5,标准坦克设计!$B$14:$K$20,9)/30))</f>
        <v>2.1747110276225738</v>
      </c>
      <c r="DM160" s="173">
        <f ca="1">(VLOOKUP(DM$72,INDIRECT($C$5&amp;"生成成长"),2))/((VLOOKUP($B160,INDIRECT($B$5&amp;"生成成长"),4))/(VLOOKUP(DM$72,INDIRECT($C$5&amp;"生成成长"),5))*(VLOOKUP($B$5,标准坦克设计!$B$24:$U$30,MATCH("对"&amp;LEFT($C$5,2)&amp;"输出",标准坦克设计!$B$23:$U$23,0)))*(VLOOKUP($B160,INDIRECT($B$5&amp;"生成成长"),3))*(VLOOKUP($B$5,标准坦克设计!$B$14:$K$20,9)/30))</f>
        <v>2.4154271860459979</v>
      </c>
      <c r="DN160" s="173">
        <f ca="1">(VLOOKUP(DN$72,INDIRECT($C$5&amp;"生成成长"),2))/((VLOOKUP($B160,INDIRECT($B$5&amp;"生成成长"),4))/(VLOOKUP(DN$72,INDIRECT($C$5&amp;"生成成长"),5))*(VLOOKUP($B$5,标准坦克设计!$B$24:$U$30,MATCH("对"&amp;LEFT($C$5,2)&amp;"输出",标准坦克设计!$B$23:$U$23,0)))*(VLOOKUP($B160,INDIRECT($B$5&amp;"生成成长"),3))*(VLOOKUP($B$5,标准坦克设计!$B$14:$K$20,9)/30))</f>
        <v>2.6687756793138</v>
      </c>
      <c r="DO160" s="173">
        <f ca="1">(VLOOKUP(DO$72,INDIRECT($C$5&amp;"生成成长"),2))/((VLOOKUP($B160,INDIRECT($B$5&amp;"生成成长"),4))/(VLOOKUP(DO$72,INDIRECT($C$5&amp;"生成成长"),5))*(VLOOKUP($B$5,标准坦克设计!$B$24:$U$30,MATCH("对"&amp;LEFT($C$5,2)&amp;"输出",标准坦克设计!$B$23:$U$23,0)))*(VLOOKUP($B160,INDIRECT($B$5&amp;"生成成长"),3))*(VLOOKUP($B$5,标准坦克设计!$B$14:$K$20,9)/30))</f>
        <v>2.9347565074259809</v>
      </c>
      <c r="DP160" s="173">
        <f ca="1">(VLOOKUP(DP$72,INDIRECT($C$5&amp;"生成成长"),2))/((VLOOKUP($B160,INDIRECT($B$5&amp;"生成成长"),4))/(VLOOKUP(DP$72,INDIRECT($C$5&amp;"生成成长"),5))*(VLOOKUP($B$5,标准坦克设计!$B$24:$U$30,MATCH("对"&amp;LEFT($C$5,2)&amp;"输出",标准坦克设计!$B$23:$U$23,0)))*(VLOOKUP($B160,INDIRECT($B$5&amp;"生成成长"),3))*(VLOOKUP($B$5,标准坦克设计!$B$14:$K$20,9)/30))</f>
        <v>3.213369670382539</v>
      </c>
      <c r="DQ160" s="173">
        <f ca="1">(VLOOKUP(DQ$72,INDIRECT($C$5&amp;"生成成长"),2))/((VLOOKUP($B160,INDIRECT($B$5&amp;"生成成长"),4))/(VLOOKUP(DQ$72,INDIRECT($C$5&amp;"生成成长"),5))*(VLOOKUP($B$5,标准坦克设计!$B$24:$U$30,MATCH("对"&amp;LEFT($C$5,2)&amp;"输出",标准坦克设计!$B$23:$U$23,0)))*(VLOOKUP($B160,INDIRECT($B$5&amp;"生成成长"),3))*(VLOOKUP($B$5,标准坦克设计!$B$14:$K$20,9)/30))</f>
        <v>3.5046151681834758</v>
      </c>
      <c r="DR160" s="173">
        <f ca="1">(VLOOKUP(DR$72,INDIRECT($C$5&amp;"生成成长"),2))/((VLOOKUP($B160,INDIRECT($B$5&amp;"生成成长"),4))/(VLOOKUP(DR$72,INDIRECT($C$5&amp;"生成成长"),5))*(VLOOKUP($B$5,标准坦克设计!$B$24:$U$30,MATCH("对"&amp;LEFT($C$5,2)&amp;"输出",标准坦克设计!$B$23:$U$23,0)))*(VLOOKUP($B160,INDIRECT($B$5&amp;"生成成长"),3))*(VLOOKUP($B$5,标准坦克设计!$B$14:$K$20,9)/30))</f>
        <v>3.8084930008287894</v>
      </c>
      <c r="DS160" s="173">
        <f ca="1">(VLOOKUP(DS$72,INDIRECT($C$5&amp;"生成成长"),2))/((VLOOKUP($B160,INDIRECT($B$5&amp;"生成成长"),4))/(VLOOKUP(DS$72,INDIRECT($C$5&amp;"生成成长"),5))*(VLOOKUP($B$5,标准坦克设计!$B$24:$U$30,MATCH("对"&amp;LEFT($C$5,2)&amp;"输出",标准坦克设计!$B$23:$U$23,0)))*(VLOOKUP($B160,INDIRECT($B$5&amp;"生成成长"),3))*(VLOOKUP($B$5,标准坦克设计!$B$14:$K$20,9)/30))</f>
        <v>4.1250031683184822</v>
      </c>
      <c r="DT160" s="173">
        <f ca="1">(VLOOKUP(DT$72,INDIRECT($C$5&amp;"生成成长"),2))/((VLOOKUP($B160,INDIRECT($B$5&amp;"生成成长"),4))/(VLOOKUP(DT$72,INDIRECT($C$5&amp;"生成成长"),5))*(VLOOKUP($B$5,标准坦克设计!$B$24:$U$30,MATCH("对"&amp;LEFT($C$5,2)&amp;"输出",标准坦克设计!$B$23:$U$23,0)))*(VLOOKUP($B160,INDIRECT($B$5&amp;"生成成长"),3))*(VLOOKUP($B$5,标准坦克设计!$B$14:$K$20,9)/30))</f>
        <v>4.5290039512118287</v>
      </c>
      <c r="DU160" s="173">
        <f ca="1">(VLOOKUP(DU$72,INDIRECT($C$5&amp;"生成成长"),2))/((VLOOKUP($B160,INDIRECT($B$5&amp;"生成成长"),4))/(VLOOKUP(DU$72,INDIRECT($C$5&amp;"生成成长"),5))*(VLOOKUP($B$5,标准坦克设计!$B$24:$U$30,MATCH("对"&amp;LEFT($C$5,2)&amp;"输出",标准坦克设计!$B$23:$U$23,0)))*(VLOOKUP($B160,INDIRECT($B$5&amp;"生成成长"),3))*(VLOOKUP($B$5,标准坦克设计!$B$14:$K$20,9)/30))</f>
        <v>4.9518752589961599</v>
      </c>
      <c r="DV160" s="173">
        <f ca="1">(VLOOKUP(DV$72,INDIRECT($C$5&amp;"生成成长"),2))/((VLOOKUP($B160,INDIRECT($B$5&amp;"生成成长"),4))/(VLOOKUP(DV$72,INDIRECT($C$5&amp;"生成成长"),5))*(VLOOKUP($B$5,标准坦克设计!$B$24:$U$30,MATCH("对"&amp;LEFT($C$5,2)&amp;"输出",标准坦克设计!$B$23:$U$23,0)))*(VLOOKUP($B160,INDIRECT($B$5&amp;"生成成长"),3))*(VLOOKUP($B$5,标准坦克设计!$B$14:$K$20,9)/30))</f>
        <v>5.3936170916714756</v>
      </c>
      <c r="DW160" s="173">
        <f ca="1">(VLOOKUP(DW$72,INDIRECT($C$5&amp;"生成成长"),2))/((VLOOKUP($B160,INDIRECT($B$5&amp;"生成成长"),4))/(VLOOKUP(DW$72,INDIRECT($C$5&amp;"生成成长"),5))*(VLOOKUP($B$5,标准坦克设计!$B$24:$U$30,MATCH("对"&amp;LEFT($C$5,2)&amp;"输出",标准坦克设计!$B$23:$U$23,0)))*(VLOOKUP($B160,INDIRECT($B$5&amp;"生成成长"),3))*(VLOOKUP($B$5,标准坦克设计!$B$14:$K$20,9)/30))</f>
        <v>5.854229449237776</v>
      </c>
      <c r="DX160" s="173">
        <f ca="1">(VLOOKUP(DX$72,INDIRECT($C$5&amp;"生成成长"),2))/((VLOOKUP($B160,INDIRECT($B$5&amp;"生成成长"),4))/(VLOOKUP(DX$72,INDIRECT($C$5&amp;"生成成长"),5))*(VLOOKUP($B$5,标准坦克设计!$B$24:$U$30,MATCH("对"&amp;LEFT($C$5,2)&amp;"输出",标准坦克设计!$B$23:$U$23,0)))*(VLOOKUP($B160,INDIRECT($B$5&amp;"生成成长"),3))*(VLOOKUP($B$5,标准坦克设计!$B$14:$K$20,9)/30))</f>
        <v>6.3337123316950619</v>
      </c>
      <c r="DY160" s="173">
        <f ca="1">(VLOOKUP(DY$72,INDIRECT($C$5&amp;"生成成长"),2))/((VLOOKUP($B160,INDIRECT($B$5&amp;"生成成长"),4))/(VLOOKUP(DY$72,INDIRECT($C$5&amp;"生成成长"),5))*(VLOOKUP($B$5,标准坦克设计!$B$24:$U$30,MATCH("对"&amp;LEFT($C$5,2)&amp;"输出",标准坦克设计!$B$23:$U$23,0)))*(VLOOKUP($B160,INDIRECT($B$5&amp;"生成成长"),3))*(VLOOKUP($B$5,标准坦克设计!$B$14:$K$20,9)/30))</f>
        <v>2.8446926386281004</v>
      </c>
      <c r="DZ160" s="173">
        <f ca="1">(VLOOKUP(DZ$72,INDIRECT($C$5&amp;"生成成长"),2))/((VLOOKUP($B160,INDIRECT($B$5&amp;"生成成长"),4))/(VLOOKUP(DZ$72,INDIRECT($C$5&amp;"生成成长"),5))*(VLOOKUP($B$5,标准坦克设计!$B$24:$U$30,MATCH("对"&amp;LEFT($C$5,2)&amp;"输出",标准坦克设计!$B$23:$U$23,0)))*(VLOOKUP($B160,INDIRECT($B$5&amp;"生成成长"),3))*(VLOOKUP($B$5,标准坦克设计!$B$14:$K$20,9)/30))</f>
        <v>3.1503639509118142</v>
      </c>
      <c r="EA160" s="173">
        <f ca="1">(VLOOKUP(EA$72,INDIRECT($C$5&amp;"生成成长"),2))/((VLOOKUP($B160,INDIRECT($B$5&amp;"生成成长"),4))/(VLOOKUP(EA$72,INDIRECT($C$5&amp;"生成成长"),5))*(VLOOKUP($B$5,标准坦克设计!$B$24:$U$30,MATCH("对"&amp;LEFT($C$5,2)&amp;"输出",标准坦克设计!$B$23:$U$23,0)))*(VLOOKUP($B160,INDIRECT($B$5&amp;"生成成长"),3))*(VLOOKUP($B$5,标准坦克设计!$B$14:$K$20,9)/30))</f>
        <v>3.4716307383120437</v>
      </c>
      <c r="EB160" s="173">
        <f ca="1">(VLOOKUP(EB$72,INDIRECT($C$5&amp;"生成成长"),2))/((VLOOKUP($B160,INDIRECT($B$5&amp;"生成成长"),4))/(VLOOKUP(EB$72,INDIRECT($C$5&amp;"生成成长"),5))*(VLOOKUP($B$5,标准坦克设计!$B$24:$U$30,MATCH("对"&amp;LEFT($C$5,2)&amp;"输出",标准坦克设计!$B$23:$U$23,0)))*(VLOOKUP($B160,INDIRECT($B$5&amp;"生成成长"),3))*(VLOOKUP($B$5,标准坦克设计!$B$14:$K$20,9)/30))</f>
        <v>3.8084930008287894</v>
      </c>
      <c r="EC160" s="173">
        <f ca="1">(VLOOKUP(EC$72,INDIRECT($C$5&amp;"生成成长"),2))/((VLOOKUP($B160,INDIRECT($B$5&amp;"生成成长"),4))/(VLOOKUP(EC$72,INDIRECT($C$5&amp;"生成成长"),5))*(VLOOKUP($B$5,标准坦克设计!$B$24:$U$30,MATCH("对"&amp;LEFT($C$5,2)&amp;"输出",标准坦克设计!$B$23:$U$23,0)))*(VLOOKUP($B160,INDIRECT($B$5&amp;"生成成长"),3))*(VLOOKUP($B$5,标准坦克设计!$B$14:$K$20,9)/30))</f>
        <v>4.1609507384620512</v>
      </c>
      <c r="ED160" s="173">
        <f ca="1">(VLOOKUP(ED$72,INDIRECT($C$5&amp;"生成成长"),2))/((VLOOKUP($B160,INDIRECT($B$5&amp;"生成成长"),4))/(VLOOKUP(ED$72,INDIRECT($C$5&amp;"生成成长"),5))*(VLOOKUP($B$5,标准坦克设计!$B$24:$U$30,MATCH("对"&amp;LEFT($C$5,2)&amp;"输出",标准坦克设计!$B$23:$U$23,0)))*(VLOOKUP($B160,INDIRECT($B$5&amp;"生成成长"),3))*(VLOOKUP($B$5,标准坦克设计!$B$14:$K$20,9)/30))</f>
        <v>4.5290039512118287</v>
      </c>
      <c r="EE160" s="173">
        <f ca="1">(VLOOKUP(EE$72,INDIRECT($C$5&amp;"生成成长"),2))/((VLOOKUP($B160,INDIRECT($B$5&amp;"生成成长"),4))/(VLOOKUP(EE$72,INDIRECT($C$5&amp;"生成成长"),5))*(VLOOKUP($B$5,标准坦克设计!$B$24:$U$30,MATCH("对"&amp;LEFT($C$5,2)&amp;"输出",标准坦克设计!$B$23:$U$23,0)))*(VLOOKUP($B160,INDIRECT($B$5&amp;"生成成长"),3))*(VLOOKUP($B$5,标准坦克设计!$B$14:$K$20,9)/30))</f>
        <v>4.9126526390781233</v>
      </c>
      <c r="EF160" s="173">
        <f ca="1">(VLOOKUP(EF$72,INDIRECT($C$5&amp;"生成成长"),2))/((VLOOKUP($B160,INDIRECT($B$5&amp;"生成成长"),4))/(VLOOKUP(EF$72,INDIRECT($C$5&amp;"生成成长"),5))*(VLOOKUP($B$5,标准坦克设计!$B$24:$U$30,MATCH("对"&amp;LEFT($C$5,2)&amp;"输出",标准坦克设计!$B$23:$U$23,0)))*(VLOOKUP($B160,INDIRECT($B$5&amp;"生成成长"),3))*(VLOOKUP($B$5,标准坦克设计!$B$14:$K$20,9)/30))</f>
        <v>5.3118968020609332</v>
      </c>
      <c r="EG160" s="173">
        <f ca="1">(VLOOKUP(EG$72,INDIRECT($C$5&amp;"生成成长"),2))/((VLOOKUP($B160,INDIRECT($B$5&amp;"生成成长"),4))/(VLOOKUP(EG$72,INDIRECT($C$5&amp;"生成成长"),5))*(VLOOKUP($B$5,标准坦克设计!$B$24:$U$30,MATCH("对"&amp;LEFT($C$5,2)&amp;"输出",标准坦克设计!$B$23:$U$23,0)))*(VLOOKUP($B160,INDIRECT($B$5&amp;"生成成长"),3))*(VLOOKUP($B$5,标准坦克设计!$B$14:$K$20,9)/30))</f>
        <v>5.7267364401602574</v>
      </c>
      <c r="EH160" s="173">
        <f ca="1">(VLOOKUP(EH$72,INDIRECT($C$5&amp;"生成成长"),2))/((VLOOKUP($B160,INDIRECT($B$5&amp;"生成成长"),4))/(VLOOKUP(EH$72,INDIRECT($C$5&amp;"生成成长"),5))*(VLOOKUP($B$5,标准坦克设计!$B$24:$U$30,MATCH("对"&amp;LEFT($C$5,2)&amp;"输出",标准坦克设计!$B$23:$U$23,0)))*(VLOOKUP($B160,INDIRECT($B$5&amp;"生成成长"),3))*(VLOOKUP($B$5,标准坦克设计!$B$14:$K$20,9)/30))</f>
        <v>6.1571715533760996</v>
      </c>
      <c r="EI160" s="173">
        <f ca="1">(VLOOKUP(EI$72,INDIRECT($C$5&amp;"生成成长"),2))/((VLOOKUP($B160,INDIRECT($B$5&amp;"生成成长"),4))/(VLOOKUP(EI$72,INDIRECT($C$5&amp;"生成成长"),5))*(VLOOKUP($B$5,标准坦克设计!$B$24:$U$30,MATCH("对"&amp;LEFT($C$5,2)&amp;"输出",标准坦克设计!$B$23:$U$23,0)))*(VLOOKUP($B160,INDIRECT($B$5&amp;"生成成长"),3))*(VLOOKUP($B$5,标准坦克设计!$B$14:$K$20,9)/30))</f>
        <v>6.603202141708457</v>
      </c>
      <c r="EJ160" s="173">
        <f ca="1">(VLOOKUP(EJ$72,INDIRECT($C$5&amp;"生成成长"),2))/((VLOOKUP($B160,INDIRECT($B$5&amp;"生成成长"),4))/(VLOOKUP(EJ$72,INDIRECT($C$5&amp;"生成成长"),5))*(VLOOKUP($B$5,标准坦克设计!$B$24:$U$30,MATCH("对"&amp;LEFT($C$5,2)&amp;"输出",标准坦克设计!$B$23:$U$23,0)))*(VLOOKUP($B160,INDIRECT($B$5&amp;"生成成长"),3))*(VLOOKUP($B$5,标准坦克设计!$B$14:$K$20,9)/30))</f>
        <v>7.0648282051573315</v>
      </c>
      <c r="EK160" s="173">
        <f ca="1">(VLOOKUP(EK$72,INDIRECT($C$5&amp;"生成成长"),2))/((VLOOKUP($B160,INDIRECT($B$5&amp;"生成成长"),4))/(VLOOKUP(EK$72,INDIRECT($C$5&amp;"生成成长"),5))*(VLOOKUP($B$5,标准坦克设计!$B$24:$U$30,MATCH("对"&amp;LEFT($C$5,2)&amp;"输出",标准坦克设计!$B$23:$U$23,0)))*(VLOOKUP($B160,INDIRECT($B$5&amp;"生成成长"),3))*(VLOOKUP($B$5,标准坦克设计!$B$14:$K$20,9)/30))</f>
        <v>7.6393655084497798</v>
      </c>
      <c r="EL160" s="173">
        <f ca="1">(VLOOKUP(EL$72,INDIRECT($C$5&amp;"生成成长"),2))/((VLOOKUP($B160,INDIRECT($B$5&amp;"生成成长"),4))/(VLOOKUP(EL$72,INDIRECT($C$5&amp;"生成成长"),5))*(VLOOKUP($B$5,标准坦克设计!$B$24:$U$30,MATCH("对"&amp;LEFT($C$5,2)&amp;"输出",标准坦克设计!$B$23:$U$23,0)))*(VLOOKUP($B160,INDIRECT($B$5&amp;"生成成长"),3))*(VLOOKUP($B$5,标准坦克设计!$B$14:$K$20,9)/30))</f>
        <v>8.2363602959100124</v>
      </c>
      <c r="EM160" s="173">
        <f ca="1">(VLOOKUP(EM$72,INDIRECT($C$5&amp;"生成成长"),2))/((VLOOKUP($B160,INDIRECT($B$5&amp;"生成成长"),4))/(VLOOKUP(EM$72,INDIRECT($C$5&amp;"生成成长"),5))*(VLOOKUP($B$5,标准坦克设计!$B$24:$U$30,MATCH("对"&amp;LEFT($C$5,2)&amp;"输出",标准坦克设计!$B$23:$U$23,0)))*(VLOOKUP($B160,INDIRECT($B$5&amp;"生成成长"),3))*(VLOOKUP($B$5,标准坦克设计!$B$14:$K$20,9)/30))</f>
        <v>8.8558125675380293</v>
      </c>
      <c r="EN160" s="173">
        <f ca="1">(VLOOKUP(EN$72,INDIRECT($C$5&amp;"生成成长"),2))/((VLOOKUP($B160,INDIRECT($B$5&amp;"生成成长"),4))/(VLOOKUP(EN$72,INDIRECT($C$5&amp;"生成成长"),5))*(VLOOKUP($B$5,标准坦克设计!$B$24:$U$30,MATCH("对"&amp;LEFT($C$5,2)&amp;"输出",标准坦克设计!$B$23:$U$23,0)))*(VLOOKUP($B160,INDIRECT($B$5&amp;"生成成长"),3))*(VLOOKUP($B$5,标准坦克设计!$B$14:$K$20,9)/30))</f>
        <v>9.4977223233338268</v>
      </c>
      <c r="EO160" s="173">
        <f ca="1">(VLOOKUP(EO$72,INDIRECT($C$5&amp;"生成成长"),2))/((VLOOKUP($B160,INDIRECT($B$5&amp;"生成成长"),4))/(VLOOKUP(EO$72,INDIRECT($C$5&amp;"生成成长"),5))*(VLOOKUP($B$5,标准坦克设计!$B$24:$U$30,MATCH("对"&amp;LEFT($C$5,2)&amp;"输出",标准坦克设计!$B$23:$U$23,0)))*(VLOOKUP($B160,INDIRECT($B$5&amp;"生成成长"),3))*(VLOOKUP($B$5,标准坦克设计!$B$14:$K$20,9)/30))</f>
        <v>10.162089563297409</v>
      </c>
      <c r="EP160" s="173">
        <f ca="1">(VLOOKUP(EP$72,INDIRECT($C$5&amp;"生成成长"),2))/((VLOOKUP($B160,INDIRECT($B$5&amp;"生成成长"),4))/(VLOOKUP(EP$72,INDIRECT($C$5&amp;"生成成长"),5))*(VLOOKUP($B$5,标准坦克设计!$B$24:$U$30,MATCH("对"&amp;LEFT($C$5,2)&amp;"输出",标准坦克设计!$B$23:$U$23,0)))*(VLOOKUP($B160,INDIRECT($B$5&amp;"生成成长"),3))*(VLOOKUP($B$5,标准坦克设计!$B$14:$K$20,9)/30))</f>
        <v>10.848914287428773</v>
      </c>
      <c r="EQ160" s="173">
        <f ca="1">(VLOOKUP(EQ$72,INDIRECT($C$5&amp;"生成成长"),2))/((VLOOKUP($B160,INDIRECT($B$5&amp;"生成成长"),4))/(VLOOKUP(EQ$72,INDIRECT($C$5&amp;"生成成长"),5))*(VLOOKUP($B$5,标准坦克设计!$B$24:$U$30,MATCH("对"&amp;LEFT($C$5,2)&amp;"输出",标准坦克设计!$B$23:$U$23,0)))*(VLOOKUP($B160,INDIRECT($B$5&amp;"生成成长"),3))*(VLOOKUP($B$5,标准坦克设计!$B$14:$K$20,9)/30))</f>
        <v>4.7959205078310001</v>
      </c>
      <c r="ER160" s="173">
        <f ca="1">(VLOOKUP(ER$72,INDIRECT($C$5&amp;"生成成长"),2))/((VLOOKUP($B160,INDIRECT($B$5&amp;"生成成长"),4))/(VLOOKUP(ER$72,INDIRECT($C$5&amp;"生成成长"),5))*(VLOOKUP($B$5,标准坦克设计!$B$24:$U$30,MATCH("对"&amp;LEFT($C$5,2)&amp;"输出",标准坦克设计!$B$23:$U$23,0)))*(VLOOKUP($B160,INDIRECT($B$5&amp;"生成成长"),3))*(VLOOKUP($B$5,标准坦克设计!$B$14:$K$20,9)/30))</f>
        <v>5.2308003314550495</v>
      </c>
      <c r="ES160" s="173">
        <f ca="1">(VLOOKUP(ES$72,INDIRECT($C$5&amp;"生成成长"),2))/((VLOOKUP($B160,INDIRECT($B$5&amp;"生成成长"),4))/(VLOOKUP(ES$72,INDIRECT($C$5&amp;"生成成长"),5))*(VLOOKUP($B$5,标准坦克设计!$B$24:$U$30,MATCH("对"&amp;LEFT($C$5,2)&amp;"输出",标准坦克设计!$B$23:$U$23,0)))*(VLOOKUP($B160,INDIRECT($B$5&amp;"生成成长"),3))*(VLOOKUP($B$5,标准坦克设计!$B$14:$K$20,9)/30))</f>
        <v>5.6845506799700818</v>
      </c>
      <c r="ET160" s="173">
        <f ca="1">(VLOOKUP(ET$72,INDIRECT($C$5&amp;"生成成长"),2))/((VLOOKUP($B160,INDIRECT($B$5&amp;"生成成长"),4))/(VLOOKUP(ET$72,INDIRECT($C$5&amp;"生成成长"),5))*(VLOOKUP($B$5,标准坦克设计!$B$24:$U$30,MATCH("对"&amp;LEFT($C$5,2)&amp;"输出",标准坦克设计!$B$23:$U$23,0)))*(VLOOKUP($B160,INDIRECT($B$5&amp;"生成成长"),3))*(VLOOKUP($B$5,标准坦克设计!$B$14:$K$20,9)/30))</f>
        <v>6.1571715533760996</v>
      </c>
      <c r="EU160" s="173">
        <f ca="1">(VLOOKUP(EU$72,INDIRECT($C$5&amp;"生成成长"),2))/((VLOOKUP($B160,INDIRECT($B$5&amp;"生成成长"),4))/(VLOOKUP(EU$72,INDIRECT($C$5&amp;"生成成长"),5))*(VLOOKUP($B$5,标准坦克设计!$B$24:$U$30,MATCH("对"&amp;LEFT($C$5,2)&amp;"输出",标准坦克设计!$B$23:$U$23,0)))*(VLOOKUP($B160,INDIRECT($B$5&amp;"生成成长"),3))*(VLOOKUP($B$5,标准坦克设计!$B$14:$K$20,9)/30))</f>
        <v>6.648662951673102</v>
      </c>
      <c r="EV160" s="173">
        <f ca="1">(VLOOKUP(EV$72,INDIRECT($C$5&amp;"生成成长"),2))/((VLOOKUP($B160,INDIRECT($B$5&amp;"生成成长"),4))/(VLOOKUP(EV$72,INDIRECT($C$5&amp;"生成成长"),5))*(VLOOKUP($B$5,标准坦克设计!$B$24:$U$30,MATCH("对"&amp;LEFT($C$5,2)&amp;"输出",标准坦克设计!$B$23:$U$23,0)))*(VLOOKUP($B160,INDIRECT($B$5&amp;"生成成长"),3))*(VLOOKUP($B$5,标准坦克设计!$B$14:$K$20,9)/30))</f>
        <v>7.1590248748610881</v>
      </c>
      <c r="EW160" s="173">
        <f ca="1">(VLOOKUP(EW$72,INDIRECT($C$5&amp;"生成成长"),2))/((VLOOKUP($B160,INDIRECT($B$5&amp;"生成成长"),4))/(VLOOKUP(EW$72,INDIRECT($C$5&amp;"生成成长"),5))*(VLOOKUP($B$5,标准坦克设计!$B$24:$U$30,MATCH("对"&amp;LEFT($C$5,2)&amp;"输出",标准坦克设计!$B$23:$U$23,0)))*(VLOOKUP($B160,INDIRECT($B$5&amp;"生成成长"),3))*(VLOOKUP($B$5,标准坦克设计!$B$14:$K$20,9)/30))</f>
        <v>7.688257322940057</v>
      </c>
      <c r="EX160" s="173">
        <f ca="1">(VLOOKUP(EX$72,INDIRECT($C$5&amp;"生成成长"),2))/((VLOOKUP($B160,INDIRECT($B$5&amp;"生成成长"),4))/(VLOOKUP(EX$72,INDIRECT($C$5&amp;"生成成长"),5))*(VLOOKUP($B$5,标准坦克设计!$B$24:$U$30,MATCH("对"&amp;LEFT($C$5,2)&amp;"输出",标准坦克设计!$B$23:$U$23,0)))*(VLOOKUP($B160,INDIRECT($B$5&amp;"生成成长"),3))*(VLOOKUP($B$5,标准坦克设计!$B$14:$K$20,9)/30))</f>
        <v>8.2363602959100124</v>
      </c>
      <c r="EY160" s="173">
        <f ca="1">(VLOOKUP(EY$72,INDIRECT($C$5&amp;"生成成长"),2))/((VLOOKUP($B160,INDIRECT($B$5&amp;"生成成长"),4))/(VLOOKUP(EY$72,INDIRECT($C$5&amp;"生成成长"),5))*(VLOOKUP($B$5,标准坦克设计!$B$24:$U$30,MATCH("对"&amp;LEFT($C$5,2)&amp;"输出",标准坦克设计!$B$23:$U$23,0)))*(VLOOKUP($B160,INDIRECT($B$5&amp;"生成成长"),3))*(VLOOKUP($B$5,标准坦克设计!$B$14:$K$20,9)/30))</f>
        <v>8.8033337937709515</v>
      </c>
      <c r="EZ160" s="173">
        <f ca="1">(VLOOKUP(EZ$72,INDIRECT($C$5&amp;"生成成长"),2))/((VLOOKUP($B160,INDIRECT($B$5&amp;"生成成长"),4))/(VLOOKUP(EZ$72,INDIRECT($C$5&amp;"生成成长"),5))*(VLOOKUP($B$5,标准坦克设计!$B$24:$U$30,MATCH("对"&amp;LEFT($C$5,2)&amp;"输出",标准坦克设计!$B$23:$U$23,0)))*(VLOOKUP($B160,INDIRECT($B$5&amp;"生成成长"),3))*(VLOOKUP($B$5,标准坦克设计!$B$14:$K$20,9)/30))</f>
        <v>9.3891778165228761</v>
      </c>
      <c r="FA160" s="173">
        <f ca="1">(VLOOKUP(FA$72,INDIRECT($C$5&amp;"生成成长"),2))/((VLOOKUP($B160,INDIRECT($B$5&amp;"生成成长"),4))/(VLOOKUP(FA$72,INDIRECT($C$5&amp;"生成成长"),5))*(VLOOKUP($B$5,标准坦克设计!$B$24:$U$30,MATCH("对"&amp;LEFT($C$5,2)&amp;"输出",标准坦克设计!$B$23:$U$23,0)))*(VLOOKUP($B160,INDIRECT($B$5&amp;"生成成长"),3))*(VLOOKUP($B$5,标准坦克设计!$B$14:$K$20,9)/30))</f>
        <v>9.9938923641657826</v>
      </c>
      <c r="FB160" s="173">
        <f ca="1">(VLOOKUP(FB$72,INDIRECT($C$5&amp;"生成成长"),2))/((VLOOKUP($B160,INDIRECT($B$5&amp;"生成成长"),4))/(VLOOKUP(FB$72,INDIRECT($C$5&amp;"生成成长"),5))*(VLOOKUP($B$5,标准坦克设计!$B$24:$U$30,MATCH("对"&amp;LEFT($C$5,2)&amp;"输出",标准坦克设计!$B$23:$U$23,0)))*(VLOOKUP($B160,INDIRECT($B$5&amp;"生成成长"),3))*(VLOOKUP($B$5,标准坦克设计!$B$14:$K$20,9)/30))</f>
        <v>10.617477436699676</v>
      </c>
      <c r="FC160" s="173">
        <f ca="1">(VLOOKUP(FC$72,INDIRECT($C$5&amp;"生成成长"),2))/((VLOOKUP($B160,INDIRECT($B$5&amp;"生成成长"),4))/(VLOOKUP(FC$72,INDIRECT($C$5&amp;"生成成长"),5))*(VLOOKUP($B$5,标准坦克设计!$B$24:$U$30,MATCH("对"&amp;LEFT($C$5,2)&amp;"输出",标准坦克设计!$B$23:$U$23,0)))*(VLOOKUP($B160,INDIRECT($B$5&amp;"生成成长"),3))*(VLOOKUP($B$5,标准坦克设计!$B$14:$K$20,9)/30))</f>
        <v>11.259933034124552</v>
      </c>
      <c r="FD160" s="173">
        <f ca="1">(VLOOKUP(FD$72,INDIRECT($C$5&amp;"生成成长"),2))/((VLOOKUP($B160,INDIRECT($B$5&amp;"生成成长"),4))/(VLOOKUP(FD$72,INDIRECT($C$5&amp;"生成成长"),5))*(VLOOKUP($B$5,标准坦克设计!$B$24:$U$30,MATCH("对"&amp;LEFT($C$5,2)&amp;"输出",标准坦克设计!$B$23:$U$23,0)))*(VLOOKUP($B160,INDIRECT($B$5&amp;"生成成长"),3))*(VLOOKUP($B$5,标准坦克设计!$B$14:$K$20,9)/30))</f>
        <v>11.921259156440412</v>
      </c>
      <c r="FE160" s="173">
        <f ca="1">(VLOOKUP(FE$72,INDIRECT($C$5&amp;"生成成长"),2))/((VLOOKUP($B160,INDIRECT($B$5&amp;"生成成长"),4))/(VLOOKUP(FE$72,INDIRECT($C$5&amp;"生成成长"),5))*(VLOOKUP($B$5,标准坦克设计!$B$24:$U$30,MATCH("对"&amp;LEFT($C$5,2)&amp;"输出",标准坦克设计!$B$23:$U$23,0)))*(VLOOKUP($B160,INDIRECT($B$5&amp;"生成成长"),3))*(VLOOKUP($B$5,标准坦克设计!$B$14:$K$20,9)/30))</f>
        <v>12.727155333086376</v>
      </c>
      <c r="FF160" s="173">
        <f ca="1">(VLOOKUP(FF$72,INDIRECT($C$5&amp;"生成成长"),2))/((VLOOKUP($B160,INDIRECT($B$5&amp;"生成成长"),4))/(VLOOKUP(FF$72,INDIRECT($C$5&amp;"生成成长"),5))*(VLOOKUP($B$5,标准坦克设计!$B$24:$U$30,MATCH("对"&amp;LEFT($C$5,2)&amp;"输出",标准坦克设计!$B$23:$U$23,0)))*(VLOOKUP($B160,INDIRECT($B$5&amp;"生成成长"),3))*(VLOOKUP($B$5,标准坦克设计!$B$14:$K$20,9)/30))</f>
        <v>13.559407862679251</v>
      </c>
      <c r="FG160" s="173">
        <f ca="1">(VLOOKUP(FG$72,INDIRECT($C$5&amp;"生成成长"),2))/((VLOOKUP($B160,INDIRECT($B$5&amp;"生成成长"),4))/(VLOOKUP(FG$72,INDIRECT($C$5&amp;"生成成长"),5))*(VLOOKUP($B$5,标准坦克设计!$B$24:$U$30,MATCH("对"&amp;LEFT($C$5,2)&amp;"输出",标准坦克设计!$B$23:$U$23,0)))*(VLOOKUP($B160,INDIRECT($B$5&amp;"生成成长"),3))*(VLOOKUP($B$5,标准坦克设计!$B$14:$K$20,9)/30))</f>
        <v>14.418016745219045</v>
      </c>
      <c r="FH160" s="173">
        <f ca="1">(VLOOKUP(FH$72,INDIRECT($C$5&amp;"生成成长"),2))/((VLOOKUP($B160,INDIRECT($B$5&amp;"生成成长"),4))/(VLOOKUP(FH$72,INDIRECT($C$5&amp;"生成成长"),5))*(VLOOKUP($B$5,标准坦克设计!$B$24:$U$30,MATCH("对"&amp;LEFT($C$5,2)&amp;"输出",标准坦克设计!$B$23:$U$23,0)))*(VLOOKUP($B160,INDIRECT($B$5&amp;"生成成长"),3))*(VLOOKUP($B$5,标准坦克设计!$B$14:$K$20,9)/30))</f>
        <v>15.302981980705743</v>
      </c>
      <c r="FI160" s="173">
        <f ca="1">(VLOOKUP(FI$72,INDIRECT($C$5&amp;"生成成长"),2))/((VLOOKUP($B160,INDIRECT($B$5&amp;"生成成长"),4))/(VLOOKUP(FI$72,INDIRECT($C$5&amp;"生成成长"),5))*(VLOOKUP($B$5,标准坦克设计!$B$24:$U$30,MATCH("对"&amp;LEFT($C$5,2)&amp;"输出",标准坦克设计!$B$23:$U$23,0)))*(VLOOKUP($B160,INDIRECT($B$5&amp;"生成成长"),3))*(VLOOKUP($B$5,标准坦克设计!$B$14:$K$20,9)/30))</f>
        <v>16.214303569139354</v>
      </c>
      <c r="FJ160" s="173">
        <f ca="1">(VLOOKUP(FJ$72,INDIRECT($C$5&amp;"生成成长"),2))/((VLOOKUP($B160,INDIRECT($B$5&amp;"生成成长"),4))/(VLOOKUP(FJ$72,INDIRECT($C$5&amp;"生成成长"),5))*(VLOOKUP($B$5,标准坦克设计!$B$24:$U$30,MATCH("对"&amp;LEFT($C$5,2)&amp;"输出",标准坦克设计!$B$23:$U$23,0)))*(VLOOKUP($B160,INDIRECT($B$5&amp;"生成成长"),3))*(VLOOKUP($B$5,标准坦克设计!$B$14:$K$20,9)/30))</f>
        <v>17.151981510519882</v>
      </c>
      <c r="FK160" s="173">
        <f ca="1">(VLOOKUP(FK$72,INDIRECT($C$5&amp;"生成成长"),2))/((VLOOKUP($B160,INDIRECT($B$5&amp;"生成成长"),4))/(VLOOKUP(FK$72,INDIRECT($C$5&amp;"生成成长"),5))*(VLOOKUP($B$5,标准坦克设计!$B$24:$U$30,MATCH("对"&amp;LEFT($C$5,2)&amp;"输出",标准坦克设计!$B$23:$U$23,0)))*(VLOOKUP($B160,INDIRECT($B$5&amp;"生成成长"),3))*(VLOOKUP($B$5,标准坦克设计!$B$14:$K$20,9)/30))</f>
        <v>18.116015804847315</v>
      </c>
    </row>
    <row r="161" spans="1:167" x14ac:dyDescent="0.15">
      <c r="A161" s="171" t="str">
        <f t="shared" si="12"/>
        <v>T4中品质17级</v>
      </c>
      <c r="B161" s="172">
        <v>20417</v>
      </c>
      <c r="C161" s="173">
        <f ca="1">(VLOOKUP(C$72,INDIRECT($C$5&amp;"生成成长"),2))/((VLOOKUP($B161,INDIRECT($B$5&amp;"生成成长"),4))/(VLOOKUP(C$72,INDIRECT($C$5&amp;"生成成长"),5))*(VLOOKUP($B$5,标准坦克设计!$B$24:$U$30,MATCH("对"&amp;LEFT($C$5,2)&amp;"输出",标准坦克设计!$B$23:$U$23,0)))*(VLOOKUP($B161,INDIRECT($B$5&amp;"生成成长"),3))*(VLOOKUP($B$5,标准坦克设计!$B$14:$K$20,9)/30))</f>
        <v>0.73121133330995836</v>
      </c>
      <c r="D161" s="173">
        <f ca="1">(VLOOKUP(D$72,INDIRECT($C$5&amp;"生成成长"),2))/((VLOOKUP($B161,INDIRECT($B$5&amp;"生成成长"),4))/(VLOOKUP(D$72,INDIRECT($C$5&amp;"生成成长"),5))*(VLOOKUP($B$5,标准坦克设计!$B$24:$U$30,MATCH("对"&amp;LEFT($C$5,2)&amp;"输出",标准坦克设计!$B$23:$U$23,0)))*(VLOOKUP($B161,INDIRECT($B$5&amp;"生成成长"),3))*(VLOOKUP($B$5,标准坦克设计!$B$14:$K$20,9)/30))</f>
        <v>0.82158905410706917</v>
      </c>
      <c r="E161" s="173">
        <f ca="1">(VLOOKUP(E$72,INDIRECT($C$5&amp;"生成成长"),2))/((VLOOKUP($B161,INDIRECT($B$5&amp;"生成成长"),4))/(VLOOKUP(E$72,INDIRECT($C$5&amp;"生成成长"),5))*(VLOOKUP($B$5,标准坦克设计!$B$24:$U$30,MATCH("对"&amp;LEFT($C$5,2)&amp;"输出",标准坦克设计!$B$23:$U$23,0)))*(VLOOKUP($B161,INDIRECT($B$5&amp;"生成成长"),3))*(VLOOKUP($B$5,标准坦克设计!$B$14:$K$20,9)/30))</f>
        <v>0.9172314965040117</v>
      </c>
      <c r="F161" s="173">
        <f ca="1">(VLOOKUP(F$72,INDIRECT($C$5&amp;"生成成长"),2))/((VLOOKUP($B161,INDIRECT($B$5&amp;"生成成长"),4))/(VLOOKUP(F$72,INDIRECT($C$5&amp;"生成成长"),5))*(VLOOKUP($B$5,标准坦克设计!$B$24:$U$30,MATCH("对"&amp;LEFT($C$5,2)&amp;"输出",标准坦克设计!$B$23:$U$23,0)))*(VLOOKUP($B161,INDIRECT($B$5&amp;"生成成长"),3))*(VLOOKUP($B$5,标准坦克设计!$B$14:$K$20,9)/30))</f>
        <v>1.0181386605007861</v>
      </c>
      <c r="G161" s="173">
        <f ca="1">(VLOOKUP(G$72,INDIRECT($C$5&amp;"生成成长"),2))/((VLOOKUP($B161,INDIRECT($B$5&amp;"生成成长"),4))/(VLOOKUP(G$72,INDIRECT($C$5&amp;"生成成长"),5))*(VLOOKUP($B$5,标准坦克设计!$B$24:$U$30,MATCH("对"&amp;LEFT($C$5,2)&amp;"输出",标准坦克设计!$B$23:$U$23,0)))*(VLOOKUP($B161,INDIRECT($B$5&amp;"生成成长"),3))*(VLOOKUP($B$5,标准坦克设计!$B$14:$K$20,9)/30))</f>
        <v>1.1243105460973919</v>
      </c>
      <c r="H161" s="173">
        <f ca="1">(VLOOKUP(H$72,INDIRECT($C$5&amp;"生成成长"),2))/((VLOOKUP($B161,INDIRECT($B$5&amp;"生成成长"),4))/(VLOOKUP(H$72,INDIRECT($C$5&amp;"生成成长"),5))*(VLOOKUP($B$5,标准坦克设计!$B$24:$U$30,MATCH("对"&amp;LEFT($C$5,2)&amp;"输出",标准坦克设计!$B$23:$U$23,0)))*(VLOOKUP($B161,INDIRECT($B$5&amp;"生成成长"),3))*(VLOOKUP($B$5,标准坦克设计!$B$14:$K$20,9)/30))</f>
        <v>0.98391797010187998</v>
      </c>
      <c r="I161" s="173">
        <f ca="1">(VLOOKUP(I$72,INDIRECT($C$5&amp;"生成成长"),2))/((VLOOKUP($B161,INDIRECT($B$5&amp;"生成成长"),4))/(VLOOKUP(I$72,INDIRECT($C$5&amp;"生成成长"),5))*(VLOOKUP($B$5,标准坦克设计!$B$24:$U$30,MATCH("对"&amp;LEFT($C$5,2)&amp;"输出",标准坦克设计!$B$23:$U$23,0)))*(VLOOKUP($B161,INDIRECT($B$5&amp;"生成成长"),3))*(VLOOKUP($B$5,标准坦克设计!$B$14:$K$20,9)/30))</f>
        <v>1.1243105460973919</v>
      </c>
      <c r="J161" s="173">
        <f ca="1">(VLOOKUP(J$72,INDIRECT($C$5&amp;"生成成长"),2))/((VLOOKUP($B161,INDIRECT($B$5&amp;"生成成长"),4))/(VLOOKUP(J$72,INDIRECT($C$5&amp;"生成成长"),5))*(VLOOKUP($B$5,标准坦克设计!$B$24:$U$30,MATCH("对"&amp;LEFT($C$5,2)&amp;"输出",标准坦克设计!$B$23:$U$23,0)))*(VLOOKUP($B161,INDIRECT($B$5&amp;"生成成长"),3))*(VLOOKUP($B$5,标准坦克设计!$B$14:$K$20,9)/30))</f>
        <v>1.2740626271592717</v>
      </c>
      <c r="K161" s="173">
        <f ca="1">(VLOOKUP(K$72,INDIRECT($C$5&amp;"生成成长"),2))/((VLOOKUP($B161,INDIRECT($B$5&amp;"生成成长"),4))/(VLOOKUP(K$72,INDIRECT($C$5&amp;"生成成长"),5))*(VLOOKUP($B$5,标准坦克设计!$B$24:$U$30,MATCH("对"&amp;LEFT($C$5,2)&amp;"输出",标准坦克设计!$B$23:$U$23,0)))*(VLOOKUP($B161,INDIRECT($B$5&amp;"生成成长"),3))*(VLOOKUP($B$5,标准坦克设计!$B$14:$K$20,9)/30))</f>
        <v>1.4331742132875183</v>
      </c>
      <c r="L161" s="173">
        <f ca="1">(VLOOKUP(L$72,INDIRECT($C$5&amp;"生成成长"),2))/((VLOOKUP($B161,INDIRECT($B$5&amp;"生成成长"),4))/(VLOOKUP(L$72,INDIRECT($C$5&amp;"生成成长"),5))*(VLOOKUP($B$5,标准坦克设计!$B$24:$U$30,MATCH("对"&amp;LEFT($C$5,2)&amp;"输出",标准坦克设计!$B$23:$U$23,0)))*(VLOOKUP($B161,INDIRECT($B$5&amp;"生成成长"),3))*(VLOOKUP($B$5,标准坦克设计!$B$14:$K$20,9)/30))</f>
        <v>1.6016453044821326</v>
      </c>
      <c r="M161" s="173">
        <f ca="1">(VLOOKUP(M$72,INDIRECT($C$5&amp;"生成成长"),2))/((VLOOKUP($B161,INDIRECT($B$5&amp;"生成成长"),4))/(VLOOKUP(M$72,INDIRECT($C$5&amp;"生成成长"),5))*(VLOOKUP($B$5,标准坦克设计!$B$24:$U$30,MATCH("对"&amp;LEFT($C$5,2)&amp;"输出",标准坦克设计!$B$23:$U$23,0)))*(VLOOKUP($B161,INDIRECT($B$5&amp;"生成成长"),3))*(VLOOKUP($B$5,标准坦克设计!$B$14:$K$20,9)/30))</f>
        <v>1.7794759007431147</v>
      </c>
      <c r="N161" s="173">
        <f ca="1">(VLOOKUP(N$72,INDIRECT($C$5&amp;"生成成长"),2))/((VLOOKUP($B161,INDIRECT($B$5&amp;"生成成长"),4))/(VLOOKUP(N$72,INDIRECT($C$5&amp;"生成成长"),5))*(VLOOKUP($B$5,标准坦克设计!$B$24:$U$30,MATCH("对"&amp;LEFT($C$5,2)&amp;"输出",标准坦克设计!$B$23:$U$23,0)))*(VLOOKUP($B161,INDIRECT($B$5&amp;"生成成长"),3))*(VLOOKUP($B$5,标准坦克设计!$B$14:$K$20,9)/30))</f>
        <v>1.9666660020704638</v>
      </c>
      <c r="O161" s="173">
        <f ca="1">(VLOOKUP(O$72,INDIRECT($C$5&amp;"生成成长"),2))/((VLOOKUP($B161,INDIRECT($B$5&amp;"生成成长"),4))/(VLOOKUP(O$72,INDIRECT($C$5&amp;"生成成长"),5))*(VLOOKUP($B$5,标准坦克设计!$B$24:$U$30,MATCH("对"&amp;LEFT($C$5,2)&amp;"输出",标准坦克设计!$B$23:$U$23,0)))*(VLOOKUP($B161,INDIRECT($B$5&amp;"生成成长"),3))*(VLOOKUP($B$5,标准坦克设计!$B$14:$K$20,9)/30))</f>
        <v>1.4952540554855338</v>
      </c>
      <c r="P161" s="173">
        <f ca="1">(VLOOKUP(P$72,INDIRECT($C$5&amp;"生成成长"),2))/((VLOOKUP($B161,INDIRECT($B$5&amp;"生成成长"),4))/(VLOOKUP(P$72,INDIRECT($C$5&amp;"生成成长"),5))*(VLOOKUP($B$5,标准坦克设计!$B$24:$U$30,MATCH("对"&amp;LEFT($C$5,2)&amp;"输出",标准坦克设计!$B$23:$U$23,0)))*(VLOOKUP($B161,INDIRECT($B$5&amp;"生成成长"),3))*(VLOOKUP($B$5,标准坦克设计!$B$14:$K$20,9)/30))</f>
        <v>1.6893906644793277</v>
      </c>
      <c r="Q161" s="173">
        <f ca="1">(VLOOKUP(Q$72,INDIRECT($C$5&amp;"生成成长"),2))/((VLOOKUP($B161,INDIRECT($B$5&amp;"生成成长"),4))/(VLOOKUP(Q$72,INDIRECT($C$5&amp;"生成成长"),5))*(VLOOKUP($B$5,标准坦克设计!$B$24:$U$30,MATCH("对"&amp;LEFT($C$5,2)&amp;"输出",标准坦克设计!$B$23:$U$23,0)))*(VLOOKUP($B161,INDIRECT($B$5&amp;"生成成长"),3))*(VLOOKUP($B$5,标准坦克设计!$B$14:$K$20,9)/30))</f>
        <v>1.8953728970727428</v>
      </c>
      <c r="R161" s="173">
        <f ca="1">(VLOOKUP(R$72,INDIRECT($C$5&amp;"生成成长"),2))/((VLOOKUP($B161,INDIRECT($B$5&amp;"生成成长"),4))/(VLOOKUP(R$72,INDIRECT($C$5&amp;"生成成长"),5))*(VLOOKUP($B$5,标准坦克设计!$B$24:$U$30,MATCH("对"&amp;LEFT($C$5,2)&amp;"输出",标准坦克设计!$B$23:$U$23,0)))*(VLOOKUP($B161,INDIRECT($B$5&amp;"生成成长"),3))*(VLOOKUP($B$5,标准坦克设计!$B$14:$K$20,9)/30))</f>
        <v>2.1132007532657795</v>
      </c>
      <c r="S161" s="173">
        <f ca="1">(VLOOKUP(S$72,INDIRECT($C$5&amp;"生成成长"),2))/((VLOOKUP($B161,INDIRECT($B$5&amp;"生成成长"),4))/(VLOOKUP(S$72,INDIRECT($C$5&amp;"生成成长"),5))*(VLOOKUP($B$5,标准坦克设计!$B$24:$U$30,MATCH("对"&amp;LEFT($C$5,2)&amp;"输出",标准坦克设计!$B$23:$U$23,0)))*(VLOOKUP($B161,INDIRECT($B$5&amp;"生成成长"),3))*(VLOOKUP($B$5,标准坦克设计!$B$14:$K$20,9)/30))</f>
        <v>2.3428742330584376</v>
      </c>
      <c r="T161" s="173">
        <f ca="1">(VLOOKUP(T$72,INDIRECT($C$5&amp;"生成成长"),2))/((VLOOKUP($B161,INDIRECT($B$5&amp;"生成成长"),4))/(VLOOKUP(T$72,INDIRECT($C$5&amp;"生成成长"),5))*(VLOOKUP($B$5,标准坦克设计!$B$24:$U$30,MATCH("对"&amp;LEFT($C$5,2)&amp;"输出",标准坦克设计!$B$23:$U$23,0)))*(VLOOKUP($B161,INDIRECT($B$5&amp;"生成成长"),3))*(VLOOKUP($B$5,标准坦克设计!$B$14:$K$20,9)/30))</f>
        <v>2.584393336450717</v>
      </c>
      <c r="U161" s="173">
        <f ca="1">(VLOOKUP(U$72,INDIRECT($C$5&amp;"生成成长"),2))/((VLOOKUP($B161,INDIRECT($B$5&amp;"生成成长"),4))/(VLOOKUP(U$72,INDIRECT($C$5&amp;"生成成长"),5))*(VLOOKUP($B$5,标准坦克设计!$B$24:$U$30,MATCH("对"&amp;LEFT($C$5,2)&amp;"输出",标准坦克设计!$B$23:$U$23,0)))*(VLOOKUP($B161,INDIRECT($B$5&amp;"生成成长"),3))*(VLOOKUP($B$5,标准坦克设计!$B$14:$K$20,9)/30))</f>
        <v>2.8377580634426169</v>
      </c>
      <c r="V161" s="173">
        <f ca="1">(VLOOKUP(V$72,INDIRECT($C$5&amp;"生成成长"),2))/((VLOOKUP($B161,INDIRECT($B$5&amp;"生成成长"),4))/(VLOOKUP(V$72,INDIRECT($C$5&amp;"生成成长"),5))*(VLOOKUP($B$5,标准坦克设计!$B$24:$U$30,MATCH("对"&amp;LEFT($C$5,2)&amp;"输出",标准坦克设计!$B$23:$U$23,0)))*(VLOOKUP($B161,INDIRECT($B$5&amp;"生成成长"),3))*(VLOOKUP($B$5,标准坦克设计!$B$14:$K$20,9)/30))</f>
        <v>3.1029684140341396</v>
      </c>
      <c r="W161" s="173">
        <f ca="1">(VLOOKUP(W$72,INDIRECT($C$5&amp;"生成成长"),2))/((VLOOKUP($B161,INDIRECT($B$5&amp;"生成成长"),4))/(VLOOKUP(W$72,INDIRECT($C$5&amp;"生成成长"),5))*(VLOOKUP($B$5,标准坦克设计!$B$24:$U$30,MATCH("对"&amp;LEFT($C$5,2)&amp;"输出",标准坦克设计!$B$23:$U$23,0)))*(VLOOKUP($B161,INDIRECT($B$5&amp;"生成成长"),3))*(VLOOKUP($B$5,标准坦克设计!$B$14:$K$20,9)/30))</f>
        <v>3.3800243882252823</v>
      </c>
      <c r="X161" s="173">
        <f ca="1">(VLOOKUP(X$72,INDIRECT($C$5&amp;"生成成长"),2))/((VLOOKUP($B161,INDIRECT($B$5&amp;"生成成长"),4))/(VLOOKUP(X$72,INDIRECT($C$5&amp;"生成成长"),5))*(VLOOKUP($B$5,标准坦克设计!$B$24:$U$30,MATCH("对"&amp;LEFT($C$5,2)&amp;"输出",标准坦克设计!$B$23:$U$23,0)))*(VLOOKUP($B161,INDIRECT($B$5&amp;"生成成长"),3))*(VLOOKUP($B$5,标准坦克设计!$B$14:$K$20,9)/30))</f>
        <v>2.44875363412172</v>
      </c>
      <c r="Y161" s="173">
        <f ca="1">(VLOOKUP(Y$72,INDIRECT($C$5&amp;"生成成长"),2))/((VLOOKUP($B161,INDIRECT($B$5&amp;"生成成长"),4))/(VLOOKUP(Y$72,INDIRECT($C$5&amp;"生成成长"),5))*(VLOOKUP($B$5,标准坦克设计!$B$24:$U$30,MATCH("对"&amp;LEFT($C$5,2)&amp;"输出",标准坦克设计!$B$23:$U$23,0)))*(VLOOKUP($B161,INDIRECT($B$5&amp;"生成成长"),3))*(VLOOKUP($B$5,标准坦克设计!$B$14:$K$20,9)/30))</f>
        <v>2.7236890954462645</v>
      </c>
      <c r="Z161" s="173">
        <f ca="1">(VLOOKUP(Z$72,INDIRECT($C$5&amp;"生成成长"),2))/((VLOOKUP($B161,INDIRECT($B$5&amp;"生成成长"),4))/(VLOOKUP(Z$72,INDIRECT($C$5&amp;"生成成长"),5))*(VLOOKUP($B$5,标准坦克设计!$B$24:$U$30,MATCH("对"&amp;LEFT($C$5,2)&amp;"输出",标准坦克设计!$B$23:$U$23,0)))*(VLOOKUP($B161,INDIRECT($B$5&amp;"生成成长"),3))*(VLOOKUP($B$5,标准坦克设计!$B$14:$K$20,9)/30))</f>
        <v>3.0132487834370076</v>
      </c>
      <c r="AA161" s="173">
        <f ca="1">(VLOOKUP(AA$72,INDIRECT($C$5&amp;"生成成长"),2))/((VLOOKUP($B161,INDIRECT($B$5&amp;"生成成长"),4))/(VLOOKUP(AA$72,INDIRECT($C$5&amp;"生成成长"),5))*(VLOOKUP($B$5,标准坦克设计!$B$24:$U$30,MATCH("对"&amp;LEFT($C$5,2)&amp;"输出",标准坦克设计!$B$23:$U$23,0)))*(VLOOKUP($B161,INDIRECT($B$5&amp;"生成成长"),3))*(VLOOKUP($B$5,标准坦克设计!$B$14:$K$20,9)/30))</f>
        <v>3.3174326980939499</v>
      </c>
      <c r="AB161" s="173">
        <f ca="1">(VLOOKUP(AB$72,INDIRECT($C$5&amp;"生成成长"),2))/((VLOOKUP($B161,INDIRECT($B$5&amp;"生成成长"),4))/(VLOOKUP(AB$72,INDIRECT($C$5&amp;"生成成长"),5))*(VLOOKUP($B$5,标准坦克设计!$B$24:$U$30,MATCH("对"&amp;LEFT($C$5,2)&amp;"输出",标准坦克设计!$B$23:$U$23,0)))*(VLOOKUP($B161,INDIRECT($B$5&amp;"生成成长"),3))*(VLOOKUP($B$5,标准坦克设计!$B$14:$K$20,9)/30))</f>
        <v>3.6362408394170926</v>
      </c>
      <c r="AC161" s="173">
        <f ca="1">(VLOOKUP(AC$72,INDIRECT($C$5&amp;"生成成长"),2))/((VLOOKUP($B161,INDIRECT($B$5&amp;"生成成长"),4))/(VLOOKUP(AC$72,INDIRECT($C$5&amp;"生成成长"),5))*(VLOOKUP($B$5,标准坦克设计!$B$24:$U$30,MATCH("对"&amp;LEFT($C$5,2)&amp;"输出",标准坦克设计!$B$23:$U$23,0)))*(VLOOKUP($B161,INDIRECT($B$5&amp;"生成成长"),3))*(VLOOKUP($B$5,标准坦克设计!$B$14:$K$20,9)/30))</f>
        <v>3.9696732074064327</v>
      </c>
      <c r="AD161" s="173">
        <f ca="1">(VLOOKUP(AD$72,INDIRECT($C$5&amp;"生成成长"),2))/((VLOOKUP($B161,INDIRECT($B$5&amp;"生成成长"),4))/(VLOOKUP(AD$72,INDIRECT($C$5&amp;"生成成长"),5))*(VLOOKUP($B$5,标准坦克设计!$B$24:$U$30,MATCH("对"&amp;LEFT($C$5,2)&amp;"输出",标准坦克设计!$B$23:$U$23,0)))*(VLOOKUP($B161,INDIRECT($B$5&amp;"生成成长"),3))*(VLOOKUP($B$5,标准坦克设计!$B$14:$K$20,9)/30))</f>
        <v>4.3177298020619723</v>
      </c>
      <c r="AE161" s="173">
        <f ca="1">(VLOOKUP(AE$72,INDIRECT($C$5&amp;"生成成长"),2))/((VLOOKUP($B161,INDIRECT($B$5&amp;"生成成长"),4))/(VLOOKUP(AE$72,INDIRECT($C$5&amp;"生成成长"),5))*(VLOOKUP($B$5,标准坦克设计!$B$24:$U$30,MATCH("对"&amp;LEFT($C$5,2)&amp;"输出",标准坦克设计!$B$23:$U$23,0)))*(VLOOKUP($B161,INDIRECT($B$5&amp;"生成成长"),3))*(VLOOKUP($B$5,标准坦克设计!$B$14:$K$20,9)/30))</f>
        <v>4.6804106233837128</v>
      </c>
      <c r="AF161" s="173">
        <f ca="1">(VLOOKUP(AF$72,INDIRECT($C$5&amp;"生成成长"),2))/((VLOOKUP($B161,INDIRECT($B$5&amp;"生成成长"),4))/(VLOOKUP(AF$72,INDIRECT($C$5&amp;"生成成长"),5))*(VLOOKUP($B$5,标准坦克设计!$B$24:$U$30,MATCH("对"&amp;LEFT($C$5,2)&amp;"输出",标准坦克设计!$B$23:$U$23,0)))*(VLOOKUP($B161,INDIRECT($B$5&amp;"生成成长"),3))*(VLOOKUP($B$5,标准坦克设计!$B$14:$K$20,9)/30))</f>
        <v>5.0577156713716507</v>
      </c>
      <c r="AG161" s="173">
        <f ca="1">(VLOOKUP(AG$72,INDIRECT($C$5&amp;"生成成长"),2))/((VLOOKUP($B161,INDIRECT($B$5&amp;"生成成长"),4))/(VLOOKUP(AG$72,INDIRECT($C$5&amp;"生成成长"),5))*(VLOOKUP($B$5,标准坦克设计!$B$24:$U$30,MATCH("对"&amp;LEFT($C$5,2)&amp;"输出",标准坦克设计!$B$23:$U$23,0)))*(VLOOKUP($B161,INDIRECT($B$5&amp;"生成成长"),3))*(VLOOKUP($B$5,标准坦克设计!$B$14:$K$20,9)/30))</f>
        <v>5.4496449460257885</v>
      </c>
      <c r="AH161" s="173">
        <f ca="1">(VLOOKUP(AH$72,INDIRECT($C$5&amp;"生成成长"),2))/((VLOOKUP($B161,INDIRECT($B$5&amp;"生成成长"),4))/(VLOOKUP(AH$72,INDIRECT($C$5&amp;"生成成长"),5))*(VLOOKUP($B$5,标准坦克设计!$B$24:$U$30,MATCH("对"&amp;LEFT($C$5,2)&amp;"输出",标准坦克设计!$B$23:$U$23,0)))*(VLOOKUP($B161,INDIRECT($B$5&amp;"生成成长"),3))*(VLOOKUP($B$5,标准坦克设计!$B$14:$K$20,9)/30))</f>
        <v>5.8561984473461255</v>
      </c>
      <c r="AI161" s="173">
        <f ca="1">(VLOOKUP(AI$72,INDIRECT($C$5&amp;"生成成长"),2))/((VLOOKUP($B161,INDIRECT($B$5&amp;"生成成长"),4))/(VLOOKUP(AI$72,INDIRECT($C$5&amp;"生成成长"),5))*(VLOOKUP($B$5,标准坦克设计!$B$24:$U$30,MATCH("对"&amp;LEFT($C$5,2)&amp;"输出",标准坦克设计!$B$23:$U$23,0)))*(VLOOKUP($B161,INDIRECT($B$5&amp;"生成成长"),3))*(VLOOKUP($B$5,标准坦克设计!$B$14:$K$20,9)/30))</f>
        <v>4.141873476400928</v>
      </c>
      <c r="AJ161" s="173">
        <f ca="1">(VLOOKUP(AJ$72,INDIRECT($C$5&amp;"生成成长"),2))/((VLOOKUP($B161,INDIRECT($B$5&amp;"生成成长"),4))/(VLOOKUP(AJ$72,INDIRECT($C$5&amp;"生成成长"),5))*(VLOOKUP($B$5,标准坦克设计!$B$24:$U$30,MATCH("对"&amp;LEFT($C$5,2)&amp;"输出",标准坦克设计!$B$23:$U$23,0)))*(VLOOKUP($B161,INDIRECT($B$5&amp;"生成成长"),3))*(VLOOKUP($B$5,标准坦克设计!$B$14:$K$20,9)/30))</f>
        <v>4.5335833876550726</v>
      </c>
      <c r="AK161" s="173">
        <f ca="1">(VLOOKUP(AK$72,INDIRECT($C$5&amp;"生成成长"),2))/((VLOOKUP($B161,INDIRECT($B$5&amp;"生成成长"),4))/(VLOOKUP(AK$72,INDIRECT($C$5&amp;"生成成长"),5))*(VLOOKUP($B$5,标准坦克设计!$B$24:$U$30,MATCH("对"&amp;LEFT($C$5,2)&amp;"输出",标准坦克设计!$B$23:$U$23,0)))*(VLOOKUP($B161,INDIRECT($B$5&amp;"生成成长"),3))*(VLOOKUP($B$5,标准坦克设计!$B$14:$K$20,9)/30))</f>
        <v>4.9429886131753182</v>
      </c>
      <c r="AL161" s="173">
        <f ca="1">(VLOOKUP(AL$72,INDIRECT($C$5&amp;"生成成长"),2))/((VLOOKUP($B161,INDIRECT($B$5&amp;"生成成长"),4))/(VLOOKUP(AL$72,INDIRECT($C$5&amp;"生成成长"),5))*(VLOOKUP($B$5,标准坦克设计!$B$24:$U$30,MATCH("对"&amp;LEFT($C$5,2)&amp;"输出",标准坦克设计!$B$23:$U$23,0)))*(VLOOKUP($B161,INDIRECT($B$5&amp;"生成成长"),3))*(VLOOKUP($B$5,标准坦克设计!$B$14:$K$20,9)/30))</f>
        <v>5.3700891529616657</v>
      </c>
      <c r="AM161" s="173">
        <f ca="1">(VLOOKUP(AM$72,INDIRECT($C$5&amp;"生成成长"),2))/((VLOOKUP($B161,INDIRECT($B$5&amp;"生成成长"),4))/(VLOOKUP(AM$72,INDIRECT($C$5&amp;"生成成长"),5))*(VLOOKUP($B$5,标准坦克设计!$B$24:$U$30,MATCH("对"&amp;LEFT($C$5,2)&amp;"输出",标准坦克设计!$B$23:$U$23,0)))*(VLOOKUP($B161,INDIRECT($B$5&amp;"生成成长"),3))*(VLOOKUP($B$5,标准坦克设计!$B$14:$K$20,9)/30))</f>
        <v>5.8148850070141131</v>
      </c>
      <c r="AN161" s="173">
        <f ca="1">(VLOOKUP(AN$72,INDIRECT($C$5&amp;"生成成长"),2))/((VLOOKUP($B161,INDIRECT($B$5&amp;"生成成长"),4))/(VLOOKUP(AN$72,INDIRECT($C$5&amp;"生成成长"),5))*(VLOOKUP($B$5,标准坦克设计!$B$24:$U$30,MATCH("对"&amp;LEFT($C$5,2)&amp;"输出",标准坦克设计!$B$23:$U$23,0)))*(VLOOKUP($B161,INDIRECT($B$5&amp;"生成成长"),3))*(VLOOKUP($B$5,标准坦克设计!$B$14:$K$20,9)/30))</f>
        <v>6.2773761753326616</v>
      </c>
      <c r="AO161" s="173">
        <f ca="1">(VLOOKUP(AO$72,INDIRECT($C$5&amp;"生成成长"),2))/((VLOOKUP($B161,INDIRECT($B$5&amp;"生成成长"),4))/(VLOOKUP(AO$72,INDIRECT($C$5&amp;"生成成长"),5))*(VLOOKUP($B$5,标准坦克设计!$B$24:$U$30,MATCH("对"&amp;LEFT($C$5,2)&amp;"输出",标准坦克设计!$B$23:$U$23,0)))*(VLOOKUP($B161,INDIRECT($B$5&amp;"生成成长"),3))*(VLOOKUP($B$5,标准坦克设计!$B$14:$K$20,9)/30))</f>
        <v>6.7575626579173109</v>
      </c>
      <c r="AP161" s="173">
        <f ca="1">(VLOOKUP(AP$72,INDIRECT($C$5&amp;"生成成长"),2))/((VLOOKUP($B161,INDIRECT($B$5&amp;"生成成长"),4))/(VLOOKUP(AP$72,INDIRECT($C$5&amp;"生成成长"),5))*(VLOOKUP($B$5,标准坦克设计!$B$24:$U$30,MATCH("对"&amp;LEFT($C$5,2)&amp;"输出",标准坦克设计!$B$23:$U$23,0)))*(VLOOKUP($B161,INDIRECT($B$5&amp;"生成成长"),3))*(VLOOKUP($B$5,标准坦克设计!$B$14:$K$20,9)/30))</f>
        <v>7.2554444547680621</v>
      </c>
      <c r="AQ161" s="173">
        <f ca="1">(VLOOKUP(AQ$72,INDIRECT($C$5&amp;"生成成长"),2))/((VLOOKUP($B161,INDIRECT($B$5&amp;"生成成长"),4))/(VLOOKUP(AQ$72,INDIRECT($C$5&amp;"生成成长"),5))*(VLOOKUP($B$5,标准坦克设计!$B$24:$U$30,MATCH("对"&amp;LEFT($C$5,2)&amp;"输出",标准坦克设计!$B$23:$U$23,0)))*(VLOOKUP($B161,INDIRECT($B$5&amp;"生成成长"),3))*(VLOOKUP($B$5,标准坦克设计!$B$14:$K$20,9)/30))</f>
        <v>7.7710215658849133</v>
      </c>
      <c r="AR161" s="173">
        <f ca="1">(VLOOKUP(AR$72,INDIRECT($C$5&amp;"生成成长"),2))/((VLOOKUP($B161,INDIRECT($B$5&amp;"生成成长"),4))/(VLOOKUP(AR$72,INDIRECT($C$5&amp;"生成成长"),5))*(VLOOKUP($B$5,标准坦克设计!$B$24:$U$30,MATCH("对"&amp;LEFT($C$5,2)&amp;"输出",标准坦克设计!$B$23:$U$23,0)))*(VLOOKUP($B161,INDIRECT($B$5&amp;"生成成长"),3))*(VLOOKUP($B$5,标准坦克设计!$B$14:$K$20,9)/30))</f>
        <v>8.3042939912678655</v>
      </c>
      <c r="AS161" s="173">
        <f ca="1">(VLOOKUP(AS$72,INDIRECT($C$5&amp;"生成成长"),2))/((VLOOKUP($B161,INDIRECT($B$5&amp;"生成成长"),4))/(VLOOKUP(AS$72,INDIRECT($C$5&amp;"生成成长"),5))*(VLOOKUP($B$5,标准坦克设计!$B$24:$U$30,MATCH("对"&amp;LEFT($C$5,2)&amp;"输出",标准坦克设计!$B$23:$U$23,0)))*(VLOOKUP($B161,INDIRECT($B$5&amp;"生成成长"),3))*(VLOOKUP($B$5,标准坦克设计!$B$14:$K$20,9)/30))</f>
        <v>8.8552617309169204</v>
      </c>
      <c r="AT161" s="173">
        <f ca="1">(VLOOKUP(AT$72,INDIRECT($C$5&amp;"生成成长"),2))/((VLOOKUP($B161,INDIRECT($B$5&amp;"生成成长"),4))/(VLOOKUP(AT$72,INDIRECT($C$5&amp;"生成成长"),5))*(VLOOKUP($B$5,标准坦克设计!$B$24:$U$30,MATCH("对"&amp;LEFT($C$5,2)&amp;"输出",标准坦克设计!$B$23:$U$23,0)))*(VLOOKUP($B161,INDIRECT($B$5&amp;"生成成长"),3))*(VLOOKUP($B$5,标准坦克设计!$B$14:$K$20,9)/30))</f>
        <v>9.4239247848320762</v>
      </c>
      <c r="AU161" s="173">
        <f ca="1">(VLOOKUP(AU$72,INDIRECT($C$5&amp;"生成成长"),2))/((VLOOKUP($B161,INDIRECT($B$5&amp;"生成成长"),4))/(VLOOKUP(AU$72,INDIRECT($C$5&amp;"生成成长"),5))*(VLOOKUP($B$5,标准坦克设计!$B$24:$U$30,MATCH("对"&amp;LEFT($C$5,2)&amp;"输出",标准坦克设计!$B$23:$U$23,0)))*(VLOOKUP($B161,INDIRECT($B$5&amp;"生成成长"),3))*(VLOOKUP($B$5,标准坦克设计!$B$14:$K$20,9)/30))</f>
        <v>10.010283153013329</v>
      </c>
      <c r="AV161" s="173">
        <f ca="1">(VLOOKUP(AV$72,INDIRECT($C$5&amp;"生成成长"),2))/((VLOOKUP($B161,INDIRECT($B$5&amp;"生成成长"),4))/(VLOOKUP(AV$72,INDIRECT($C$5&amp;"生成成长"),5))*(VLOOKUP($B$5,标准坦克设计!$B$24:$U$30,MATCH("对"&amp;LEFT($C$5,2)&amp;"输出",标准坦克设计!$B$23:$U$23,0)))*(VLOOKUP($B161,INDIRECT($B$5&amp;"生成成长"),3))*(VLOOKUP($B$5,标准坦克设计!$B$14:$K$20,9)/30))</f>
        <v>1.0181386605007861</v>
      </c>
      <c r="AW161" s="173">
        <f ca="1">(VLOOKUP(AW$72,INDIRECT($C$5&amp;"生成成长"),2))/((VLOOKUP($B161,INDIRECT($B$5&amp;"生成成长"),4))/(VLOOKUP(AW$72,INDIRECT($C$5&amp;"生成成长"),5))*(VLOOKUP($B$5,标准坦克设计!$B$24:$U$30,MATCH("对"&amp;LEFT($C$5,2)&amp;"输出",标准坦克设计!$B$23:$U$23,0)))*(VLOOKUP($B161,INDIRECT($B$5&amp;"生成成长"),3))*(VLOOKUP($B$5,标准坦克设计!$B$14:$K$20,9)/30))</f>
        <v>1.1608711127628899</v>
      </c>
      <c r="AX161" s="173">
        <f ca="1">(VLOOKUP(AX$72,INDIRECT($C$5&amp;"生成成长"),2))/((VLOOKUP($B161,INDIRECT($B$5&amp;"生成成长"),4))/(VLOOKUP(AX$72,INDIRECT($C$5&amp;"生成成长"),5))*(VLOOKUP($B$5,标准坦克设计!$B$24:$U$30,MATCH("对"&amp;LEFT($C$5,2)&amp;"输出",标准坦克设计!$B$23:$U$23,0)))*(VLOOKUP($B161,INDIRECT($B$5&amp;"生成成长"),3))*(VLOOKUP($B$5,标准坦克设计!$B$14:$K$20,9)/30))</f>
        <v>1.3129630700913613</v>
      </c>
      <c r="AY161" s="173">
        <f ca="1">(VLOOKUP(AY$72,INDIRECT($C$5&amp;"生成成长"),2))/((VLOOKUP($B161,INDIRECT($B$5&amp;"生成成长"),4))/(VLOOKUP(AY$72,INDIRECT($C$5&amp;"生成成长"),5))*(VLOOKUP($B$5,标准坦克设计!$B$24:$U$30,MATCH("对"&amp;LEFT($C$5,2)&amp;"输出",标准坦克设计!$B$23:$U$23,0)))*(VLOOKUP($B161,INDIRECT($B$5&amp;"生成成长"),3))*(VLOOKUP($B$5,标准坦克设计!$B$14:$K$20,9)/30))</f>
        <v>1.4744145324861999</v>
      </c>
      <c r="AZ161" s="173">
        <f ca="1">(VLOOKUP(AZ$72,INDIRECT($C$5&amp;"生成成长"),2))/((VLOOKUP($B161,INDIRECT($B$5&amp;"生成成长"),4))/(VLOOKUP(AZ$72,INDIRECT($C$5&amp;"生成成长"),5))*(VLOOKUP($B$5,标准坦克设计!$B$24:$U$30,MATCH("对"&amp;LEFT($C$5,2)&amp;"输出",标准坦克设计!$B$23:$U$23,0)))*(VLOOKUP($B161,INDIRECT($B$5&amp;"生成成长"),3))*(VLOOKUP($B$5,标准坦克设计!$B$14:$K$20,9)/30))</f>
        <v>1.6452254999474061</v>
      </c>
      <c r="BA161" s="173">
        <f ca="1">(VLOOKUP(BA$72,INDIRECT($C$5&amp;"生成成长"),2))/((VLOOKUP($B161,INDIRECT($B$5&amp;"生成成长"),4))/(VLOOKUP(BA$72,INDIRECT($C$5&amp;"生成成长"),5))*(VLOOKUP($B$5,标准坦克设计!$B$24:$U$30,MATCH("对"&amp;LEFT($C$5,2)&amp;"输出",标准坦克设计!$B$23:$U$23,0)))*(VLOOKUP($B161,INDIRECT($B$5&amp;"生成成长"),3))*(VLOOKUP($B$5,标准坦克设计!$B$14:$K$20,9)/30))</f>
        <v>1.8253959724749802</v>
      </c>
      <c r="BB161" s="173">
        <f ca="1">(VLOOKUP(BB$72,INDIRECT($C$5&amp;"生成成长"),2))/((VLOOKUP($B161,INDIRECT($B$5&amp;"生成成长"),4))/(VLOOKUP(BB$72,INDIRECT($C$5&amp;"生成成长"),5))*(VLOOKUP($B$5,标准坦克设计!$B$24:$U$30,MATCH("对"&amp;LEFT($C$5,2)&amp;"输出",标准坦克设计!$B$23:$U$23,0)))*(VLOOKUP($B161,INDIRECT($B$5&amp;"生成成长"),3))*(VLOOKUP($B$5,标准坦克设计!$B$14:$K$20,9)/30))</f>
        <v>2.0149259500689212</v>
      </c>
      <c r="BC161" s="173">
        <f ca="1">(VLOOKUP(BC$72,INDIRECT($C$5&amp;"生成成长"),2))/((VLOOKUP($B161,INDIRECT($B$5&amp;"生成成长"),4))/(VLOOKUP(BC$72,INDIRECT($C$5&amp;"生成成长"),5))*(VLOOKUP($B$5,标准坦克设计!$B$24:$U$30,MATCH("对"&amp;LEFT($C$5,2)&amp;"输出",标准坦克设计!$B$23:$U$23,0)))*(VLOOKUP($B161,INDIRECT($B$5&amp;"生成成长"),3))*(VLOOKUP($B$5,标准坦克设计!$B$14:$K$20,9)/30))</f>
        <v>2.2138154327292301</v>
      </c>
      <c r="BD161" s="173">
        <f ca="1">(VLOOKUP(BD$72,INDIRECT($C$5&amp;"生成成长"),2))/((VLOOKUP($B161,INDIRECT($B$5&amp;"生成成长"),4))/(VLOOKUP(BD$72,INDIRECT($C$5&amp;"生成成长"),5))*(VLOOKUP($B$5,标准坦克设计!$B$24:$U$30,MATCH("对"&amp;LEFT($C$5,2)&amp;"输出",标准坦克设计!$B$23:$U$23,0)))*(VLOOKUP($B161,INDIRECT($B$5&amp;"生成成长"),3))*(VLOOKUP($B$5,标准坦克设计!$B$14:$K$20,9)/30))</f>
        <v>2.44875363412172</v>
      </c>
      <c r="BE161" s="173">
        <f ca="1">(VLOOKUP(BE$72,INDIRECT($C$5&amp;"生成成长"),2))/((VLOOKUP($B161,INDIRECT($B$5&amp;"生成成长"),4))/(VLOOKUP(BE$72,INDIRECT($C$5&amp;"生成成长"),5))*(VLOOKUP($B$5,标准坦克设计!$B$24:$U$30,MATCH("对"&amp;LEFT($C$5,2)&amp;"输出",标准坦克设计!$B$23:$U$23,0)))*(VLOOKUP($B161,INDIRECT($B$5&amp;"生成成长"),3))*(VLOOKUP($B$5,标准坦克设计!$B$14:$K$20,9)/30))</f>
        <v>2.6955374591138308</v>
      </c>
      <c r="BF161" s="173">
        <f ca="1">(VLOOKUP(BF$72,INDIRECT($C$5&amp;"生成成长"),2))/((VLOOKUP($B161,INDIRECT($B$5&amp;"生成成长"),4))/(VLOOKUP(BF$72,INDIRECT($C$5&amp;"生成成长"),5))*(VLOOKUP($B$5,标准坦克设计!$B$24:$U$30,MATCH("对"&amp;LEFT($C$5,2)&amp;"输出",标准坦克设计!$B$23:$U$23,0)))*(VLOOKUP($B161,INDIRECT($B$5&amp;"生成成长"),3))*(VLOOKUP($B$5,标准坦克设计!$B$14:$K$20,9)/30))</f>
        <v>2.9541669077055626</v>
      </c>
      <c r="BG161" s="173">
        <f ca="1">(VLOOKUP(BG$72,INDIRECT($C$5&amp;"生成成长"),2))/((VLOOKUP($B161,INDIRECT($B$5&amp;"生成成长"),4))/(VLOOKUP(BG$72,INDIRECT($C$5&amp;"生成成长"),5))*(VLOOKUP($B$5,标准坦克设计!$B$24:$U$30,MATCH("对"&amp;LEFT($C$5,2)&amp;"输出",标准坦克设计!$B$23:$U$23,0)))*(VLOOKUP($B161,INDIRECT($B$5&amp;"生成成长"),3))*(VLOOKUP($B$5,标准坦克设计!$B$14:$K$20,9)/30))</f>
        <v>3.2246419798969161</v>
      </c>
      <c r="BH161" s="173">
        <f ca="1">(VLOOKUP(BH$72,INDIRECT($C$5&amp;"生成成长"),2))/((VLOOKUP($B161,INDIRECT($B$5&amp;"生成成长"),4))/(VLOOKUP(BH$72,INDIRECT($C$5&amp;"生成成长"),5))*(VLOOKUP($B$5,标准坦克设计!$B$24:$U$30,MATCH("对"&amp;LEFT($C$5,2)&amp;"输出",标准坦克设计!$B$23:$U$23,0)))*(VLOOKUP($B161,INDIRECT($B$5&amp;"生成成长"),3))*(VLOOKUP($B$5,标准坦克设计!$B$14:$K$20,9)/30))</f>
        <v>1.5586500780835073</v>
      </c>
      <c r="BI161" s="173">
        <f ca="1">(VLOOKUP(BI$72,INDIRECT($C$5&amp;"生成成长"),2))/((VLOOKUP($B161,INDIRECT($B$5&amp;"生成成长"),4))/(VLOOKUP(BI$72,INDIRECT($C$5&amp;"生成成长"),5))*(VLOOKUP($B$5,标准坦克设计!$B$24:$U$30,MATCH("对"&amp;LEFT($C$5,2)&amp;"输出",标准坦克设计!$B$23:$U$23,0)))*(VLOOKUP($B161,INDIRECT($B$5&amp;"生成成长"),3))*(VLOOKUP($B$5,标准坦克设计!$B$14:$K$20,9)/30))</f>
        <v>1.7567352282771751</v>
      </c>
      <c r="BJ161" s="173">
        <f ca="1">(VLOOKUP(BJ$72,INDIRECT($C$5&amp;"生成成长"),2))/((VLOOKUP($B161,INDIRECT($B$5&amp;"生成成长"),4))/(VLOOKUP(BJ$72,INDIRECT($C$5&amp;"生成成长"),5))*(VLOOKUP($B$5,标准坦克设计!$B$24:$U$30,MATCH("对"&amp;LEFT($C$5,2)&amp;"输出",标准坦克设计!$B$23:$U$23,0)))*(VLOOKUP($B161,INDIRECT($B$5&amp;"生成成长"),3))*(VLOOKUP($B$5,标准坦克设计!$B$14:$K$20,9)/30))</f>
        <v>1.9666660020704638</v>
      </c>
      <c r="BK161" s="173">
        <f ca="1">(VLOOKUP(BK$72,INDIRECT($C$5&amp;"生成成长"),2))/((VLOOKUP($B161,INDIRECT($B$5&amp;"生成成长"),4))/(VLOOKUP(BK$72,INDIRECT($C$5&amp;"生成成长"),5))*(VLOOKUP($B$5,标准坦克设计!$B$24:$U$30,MATCH("对"&amp;LEFT($C$5,2)&amp;"输出",标准坦克设计!$B$23:$U$23,0)))*(VLOOKUP($B161,INDIRECT($B$5&amp;"生成成长"),3))*(VLOOKUP($B$5,标准坦克设计!$B$14:$K$20,9)/30))</f>
        <v>2.1884423994633746</v>
      </c>
      <c r="BL161" s="173">
        <f ca="1">(VLOOKUP(BL$72,INDIRECT($C$5&amp;"生成成长"),2))/((VLOOKUP($B161,INDIRECT($B$5&amp;"生成成长"),4))/(VLOOKUP(BL$72,INDIRECT($C$5&amp;"生成成长"),5))*(VLOOKUP($B$5,标准坦克设计!$B$24:$U$30,MATCH("对"&amp;LEFT($C$5,2)&amp;"输出",标准坦克设计!$B$23:$U$23,0)))*(VLOOKUP($B161,INDIRECT($B$5&amp;"生成成长"),3))*(VLOOKUP($B$5,标准坦克设计!$B$14:$K$20,9)/30))</f>
        <v>2.4220644204559059</v>
      </c>
      <c r="BM161" s="173">
        <f ca="1">(VLOOKUP(BM$72,INDIRECT($C$5&amp;"生成成长"),2))/((VLOOKUP($B161,INDIRECT($B$5&amp;"生成成长"),4))/(VLOOKUP(BM$72,INDIRECT($C$5&amp;"生成成长"),5))*(VLOOKUP($B$5,标准坦克设计!$B$24:$U$30,MATCH("对"&amp;LEFT($C$5,2)&amp;"输出",标准坦克设计!$B$23:$U$23,0)))*(VLOOKUP($B161,INDIRECT($B$5&amp;"生成成长"),3))*(VLOOKUP($B$5,标准坦克设计!$B$14:$K$20,9)/30))</f>
        <v>2.6675320650480594</v>
      </c>
      <c r="BN161" s="173">
        <f ca="1">(VLOOKUP(BN$72,INDIRECT($C$5&amp;"生成成长"),2))/((VLOOKUP($B161,INDIRECT($B$5&amp;"生成成长"),4))/(VLOOKUP(BN$72,INDIRECT($C$5&amp;"生成成长"),5))*(VLOOKUP($B$5,标准坦克设计!$B$24:$U$30,MATCH("对"&amp;LEFT($C$5,2)&amp;"输出",标准坦克设计!$B$23:$U$23,0)))*(VLOOKUP($B161,INDIRECT($B$5&amp;"生成成长"),3))*(VLOOKUP($B$5,标准坦克设计!$B$14:$K$20,9)/30))</f>
        <v>2.9248453332398334</v>
      </c>
      <c r="BO161" s="173">
        <f ca="1">(VLOOKUP(BO$72,INDIRECT($C$5&amp;"生成成长"),2))/((VLOOKUP($B161,INDIRECT($B$5&amp;"生成成长"),4))/(VLOOKUP(BO$72,INDIRECT($C$5&amp;"生成成长"),5))*(VLOOKUP($B$5,标准坦克设计!$B$24:$U$30,MATCH("对"&amp;LEFT($C$5,2)&amp;"输出",标准坦克设计!$B$23:$U$23,0)))*(VLOOKUP($B161,INDIRECT($B$5&amp;"生成成长"),3))*(VLOOKUP($B$5,标准坦克设计!$B$14:$K$20,9)/30))</f>
        <v>3.1940042250312302</v>
      </c>
      <c r="BP161" s="173">
        <f ca="1">(VLOOKUP(BP$72,INDIRECT($C$5&amp;"生成成长"),2))/((VLOOKUP($B161,INDIRECT($B$5&amp;"生成成长"),4))/(VLOOKUP(BP$72,INDIRECT($C$5&amp;"生成成长"),5))*(VLOOKUP($B$5,标准坦克设计!$B$24:$U$30,MATCH("对"&amp;LEFT($C$5,2)&amp;"输出",标准坦克设计!$B$23:$U$23,0)))*(VLOOKUP($B161,INDIRECT($B$5&amp;"生成成长"),3))*(VLOOKUP($B$5,标准坦克设计!$B$14:$K$20,9)/30))</f>
        <v>3.4750087404222461</v>
      </c>
      <c r="BQ161" s="173">
        <f ca="1">(VLOOKUP(BQ$72,INDIRECT($C$5&amp;"生成成长"),2))/((VLOOKUP($B161,INDIRECT($B$5&amp;"生成成长"),4))/(VLOOKUP(BQ$72,INDIRECT($C$5&amp;"生成成长"),5))*(VLOOKUP($B$5,标准坦克设计!$B$24:$U$30,MATCH("对"&amp;LEFT($C$5,2)&amp;"输出",标准坦克设计!$B$23:$U$23,0)))*(VLOOKUP($B161,INDIRECT($B$5&amp;"生成成长"),3))*(VLOOKUP($B$5,标准坦克设计!$B$14:$K$20,9)/30))</f>
        <v>3.7678588794128838</v>
      </c>
      <c r="BR161" s="173">
        <f ca="1">(VLOOKUP(BR$72,INDIRECT($C$5&amp;"生成成长"),2))/((VLOOKUP($B161,INDIRECT($B$5&amp;"生成成长"),4))/(VLOOKUP(BR$72,INDIRECT($C$5&amp;"生成成长"),5))*(VLOOKUP($B$5,标准坦克设计!$B$24:$U$30,MATCH("对"&amp;LEFT($C$5,2)&amp;"输出",标准坦克设计!$B$23:$U$23,0)))*(VLOOKUP($B161,INDIRECT($B$5&amp;"生成成长"),3))*(VLOOKUP($B$5,标准坦克设计!$B$14:$K$20,9)/30))</f>
        <v>4.1071409380687047</v>
      </c>
      <c r="BS161" s="173">
        <f ca="1">(VLOOKUP(BS$72,INDIRECT($C$5&amp;"生成成长"),2))/((VLOOKUP($B161,INDIRECT($B$5&amp;"生成成长"),4))/(VLOOKUP(BS$72,INDIRECT($C$5&amp;"生成成长"),5))*(VLOOKUP($B$5,标准坦克设计!$B$24:$U$30,MATCH("对"&amp;LEFT($C$5,2)&amp;"输出",标准坦克设计!$B$23:$U$23,0)))*(VLOOKUP($B161,INDIRECT($B$5&amp;"生成成长"),3))*(VLOOKUP($B$5,标准坦克设计!$B$14:$K$20,9)/30))</f>
        <v>4.4610472233907252</v>
      </c>
      <c r="BT161" s="173">
        <f ca="1">(VLOOKUP(BT$72,INDIRECT($C$5&amp;"生成成长"),2))/((VLOOKUP($B161,INDIRECT($B$5&amp;"生成成长"),4))/(VLOOKUP(BT$72,INDIRECT($C$5&amp;"生成成长"),5))*(VLOOKUP($B$5,标准坦克设计!$B$24:$U$30,MATCH("对"&amp;LEFT($C$5,2)&amp;"输出",标准坦克设计!$B$23:$U$23,0)))*(VLOOKUP($B161,INDIRECT($B$5&amp;"生成成长"),3))*(VLOOKUP($B$5,标准坦克设计!$B$14:$K$20,9)/30))</f>
        <v>4.829577735378944</v>
      </c>
      <c r="BU161" s="173">
        <f ca="1">(VLOOKUP(BU$72,INDIRECT($C$5&amp;"生成成长"),2))/((VLOOKUP($B161,INDIRECT($B$5&amp;"生成成长"),4))/(VLOOKUP(BU$72,INDIRECT($C$5&amp;"生成成长"),5))*(VLOOKUP($B$5,标准坦克设计!$B$24:$U$30,MATCH("对"&amp;LEFT($C$5,2)&amp;"输出",标准坦克设计!$B$23:$U$23,0)))*(VLOOKUP($B161,INDIRECT($B$5&amp;"生成成长"),3))*(VLOOKUP($B$5,标准坦克设计!$B$14:$K$20,9)/30))</f>
        <v>5.2127324740333627</v>
      </c>
      <c r="BV161" s="173">
        <f ca="1">(VLOOKUP(BV$72,INDIRECT($C$5&amp;"生成成长"),2))/((VLOOKUP($B161,INDIRECT($B$5&amp;"生成成长"),4))/(VLOOKUP(BV$72,INDIRECT($C$5&amp;"生成成长"),5))*(VLOOKUP($B$5,标准坦克设计!$B$24:$U$30,MATCH("对"&amp;LEFT($C$5,2)&amp;"输出",标准坦克设计!$B$23:$U$23,0)))*(VLOOKUP($B161,INDIRECT($B$5&amp;"生成成长"),3))*(VLOOKUP($B$5,标准坦克设计!$B$14:$K$20,9)/30))</f>
        <v>5.6105114393539797</v>
      </c>
      <c r="BW161" s="173">
        <f ca="1">(VLOOKUP(BW$72,INDIRECT($C$5&amp;"生成成长"),2))/((VLOOKUP($B161,INDIRECT($B$5&amp;"生成成长"),4))/(VLOOKUP(BW$72,INDIRECT($C$5&amp;"生成成长"),5))*(VLOOKUP($B$5,标准坦克设计!$B$24:$U$30,MATCH("对"&amp;LEFT($C$5,2)&amp;"输出",标准坦克设计!$B$23:$U$23,0)))*(VLOOKUP($B161,INDIRECT($B$5&amp;"生成成长"),3))*(VLOOKUP($B$5,标准坦克设计!$B$14:$K$20,9)/30))</f>
        <v>2.5569729114515933</v>
      </c>
      <c r="BX161" s="173">
        <f ca="1">(VLOOKUP(BX$72,INDIRECT($C$5&amp;"生成成长"),2))/((VLOOKUP($B161,INDIRECT($B$5&amp;"生成成长"),4))/(VLOOKUP(BX$72,INDIRECT($C$5&amp;"生成成长"),5))*(VLOOKUP($B$5,标准坦克设计!$B$24:$U$30,MATCH("对"&amp;LEFT($C$5,2)&amp;"输出",标准坦克设计!$B$23:$U$23,0)))*(VLOOKUP($B161,INDIRECT($B$5&amp;"生成成长"),3))*(VLOOKUP($B$5,标准坦克设计!$B$14:$K$20,9)/30))</f>
        <v>2.8377580634426169</v>
      </c>
      <c r="BY161" s="173">
        <f ca="1">(VLOOKUP(BY$72,INDIRECT($C$5&amp;"生成成长"),2))/((VLOOKUP($B161,INDIRECT($B$5&amp;"生成成长"),4))/(VLOOKUP(BY$72,INDIRECT($C$5&amp;"生成成长"),5))*(VLOOKUP($B$5,标准坦克设计!$B$24:$U$30,MATCH("对"&amp;LEFT($C$5,2)&amp;"输出",标准坦克设计!$B$23:$U$23,0)))*(VLOOKUP($B161,INDIRECT($B$5&amp;"生成成长"),3))*(VLOOKUP($B$5,标准坦克设计!$B$14:$K$20,9)/30))</f>
        <v>3.1331674420998405</v>
      </c>
      <c r="BZ161" s="173">
        <f ca="1">(VLOOKUP(BZ$72,INDIRECT($C$5&amp;"生成成长"),2))/((VLOOKUP($B161,INDIRECT($B$5&amp;"生成成长"),4))/(VLOOKUP(BZ$72,INDIRECT($C$5&amp;"生成成长"),5))*(VLOOKUP($B$5,标准坦克设计!$B$24:$U$30,MATCH("对"&amp;LEFT($C$5,2)&amp;"输出",标准坦克设计!$B$23:$U$23,0)))*(VLOOKUP($B161,INDIRECT($B$5&amp;"生成成长"),3))*(VLOOKUP($B$5,标准坦克设计!$B$14:$K$20,9)/30))</f>
        <v>3.4432010474232628</v>
      </c>
      <c r="CA161" s="173">
        <f ca="1">(VLOOKUP(CA$72,INDIRECT($C$5&amp;"生成成长"),2))/((VLOOKUP($B161,INDIRECT($B$5&amp;"生成成长"),4))/(VLOOKUP(CA$72,INDIRECT($C$5&amp;"生成成长"),5))*(VLOOKUP($B$5,标准坦克设计!$B$24:$U$30,MATCH("对"&amp;LEFT($C$5,2)&amp;"输出",标准坦克设计!$B$23:$U$23,0)))*(VLOOKUP($B161,INDIRECT($B$5&amp;"生成成长"),3))*(VLOOKUP($B$5,标准坦克设计!$B$14:$K$20,9)/30))</f>
        <v>3.7678588794128838</v>
      </c>
      <c r="CB161" s="173">
        <f ca="1">(VLOOKUP(CB$72,INDIRECT($C$5&amp;"生成成长"),2))/((VLOOKUP($B161,INDIRECT($B$5&amp;"生成成长"),4))/(VLOOKUP(CB$72,INDIRECT($C$5&amp;"生成成长"),5))*(VLOOKUP($B$5,标准坦克设计!$B$24:$U$30,MATCH("对"&amp;LEFT($C$5,2)&amp;"输出",标准坦克设计!$B$23:$U$23,0)))*(VLOOKUP($B161,INDIRECT($B$5&amp;"生成成长"),3))*(VLOOKUP($B$5,标准坦克设计!$B$14:$K$20,9)/30))</f>
        <v>4.1071409380687047</v>
      </c>
      <c r="CC161" s="173">
        <f ca="1">(VLOOKUP(CC$72,INDIRECT($C$5&amp;"生成成长"),2))/((VLOOKUP($B161,INDIRECT($B$5&amp;"生成成长"),4))/(VLOOKUP(CC$72,INDIRECT($C$5&amp;"生成成长"),5))*(VLOOKUP($B$5,标准坦克设计!$B$24:$U$30,MATCH("对"&amp;LEFT($C$5,2)&amp;"输出",标准坦克设计!$B$23:$U$23,0)))*(VLOOKUP($B161,INDIRECT($B$5&amp;"生成成长"),3))*(VLOOKUP($B$5,标准坦克设计!$B$14:$K$20,9)/30))</f>
        <v>4.4610472233907252</v>
      </c>
      <c r="CD161" s="173">
        <f ca="1">(VLOOKUP(CD$72,INDIRECT($C$5&amp;"生成成长"),2))/((VLOOKUP($B161,INDIRECT($B$5&amp;"生成成长"),4))/(VLOOKUP(CD$72,INDIRECT($C$5&amp;"生成成长"),5))*(VLOOKUP($B$5,标准坦克设计!$B$24:$U$30,MATCH("对"&amp;LEFT($C$5,2)&amp;"输出",标准坦克设计!$B$23:$U$23,0)))*(VLOOKUP($B161,INDIRECT($B$5&amp;"生成成长"),3))*(VLOOKUP($B$5,标准坦克设计!$B$14:$K$20,9)/30))</f>
        <v>4.829577735378944</v>
      </c>
      <c r="CE161" s="173">
        <f ca="1">(VLOOKUP(CE$72,INDIRECT($C$5&amp;"生成成长"),2))/((VLOOKUP($B161,INDIRECT($B$5&amp;"生成成长"),4))/(VLOOKUP(CE$72,INDIRECT($C$5&amp;"生成成长"),5))*(VLOOKUP($B$5,标准坦克设计!$B$24:$U$30,MATCH("对"&amp;LEFT($C$5,2)&amp;"输出",标准坦克设计!$B$23:$U$23,0)))*(VLOOKUP($B161,INDIRECT($B$5&amp;"生成成长"),3))*(VLOOKUP($B$5,标准坦克设计!$B$14:$K$20,9)/30))</f>
        <v>5.2127324740333627</v>
      </c>
      <c r="CF161" s="173">
        <f ca="1">(VLOOKUP(CF$72,INDIRECT($C$5&amp;"生成成长"),2))/((VLOOKUP($B161,INDIRECT($B$5&amp;"生成成长"),4))/(VLOOKUP(CF$72,INDIRECT($C$5&amp;"生成成长"),5))*(VLOOKUP($B$5,标准坦克设计!$B$24:$U$30,MATCH("对"&amp;LEFT($C$5,2)&amp;"输出",标准坦克设计!$B$23:$U$23,0)))*(VLOOKUP($B161,INDIRECT($B$5&amp;"生成成长"),3))*(VLOOKUP($B$5,标准坦克设计!$B$14:$K$20,9)/30))</f>
        <v>5.6105114393539797</v>
      </c>
      <c r="CG161" s="173">
        <f ca="1">(VLOOKUP(CG$72,INDIRECT($C$5&amp;"生成成长"),2))/((VLOOKUP($B161,INDIRECT($B$5&amp;"生成成长"),4))/(VLOOKUP(CG$72,INDIRECT($C$5&amp;"生成成长"),5))*(VLOOKUP($B$5,标准坦克设计!$B$24:$U$30,MATCH("对"&amp;LEFT($C$5,2)&amp;"输出",标准坦克设计!$B$23:$U$23,0)))*(VLOOKUP($B161,INDIRECT($B$5&amp;"生成成长"),3))*(VLOOKUP($B$5,标准坦克设计!$B$14:$K$20,9)/30))</f>
        <v>6.0229146313407966</v>
      </c>
      <c r="CH161" s="173">
        <f ca="1">(VLOOKUP(CH$72,INDIRECT($C$5&amp;"生成成长"),2))/((VLOOKUP($B161,INDIRECT($B$5&amp;"生成成长"),4))/(VLOOKUP(CH$72,INDIRECT($C$5&amp;"生成成长"),5))*(VLOOKUP($B$5,标准坦克设计!$B$24:$U$30,MATCH("对"&amp;LEFT($C$5,2)&amp;"输出",标准坦克设计!$B$23:$U$23,0)))*(VLOOKUP($B161,INDIRECT($B$5&amp;"生成成长"),3))*(VLOOKUP($B$5,标准坦克设计!$B$14:$K$20,9)/30))</f>
        <v>6.4499420499938118</v>
      </c>
      <c r="CI161" s="173">
        <f ca="1">(VLOOKUP(CI$72,INDIRECT($C$5&amp;"生成成长"),2))/((VLOOKUP($B161,INDIRECT($B$5&amp;"生成成长"),4))/(VLOOKUP(CI$72,INDIRECT($C$5&amp;"生成成长"),5))*(VLOOKUP($B$5,标准坦克设计!$B$24:$U$30,MATCH("对"&amp;LEFT($C$5,2)&amp;"输出",标准坦克设计!$B$23:$U$23,0)))*(VLOOKUP($B161,INDIRECT($B$5&amp;"生成成长"),3))*(VLOOKUP($B$5,标准坦克设计!$B$14:$K$20,9)/30))</f>
        <v>6.9365631923115902</v>
      </c>
      <c r="CJ161" s="173">
        <f ca="1">(VLOOKUP(CJ$72,INDIRECT($C$5&amp;"生成成长"),2))/((VLOOKUP($B161,INDIRECT($B$5&amp;"生成成长"),4))/(VLOOKUP(CJ$72,INDIRECT($C$5&amp;"生成成长"),5))*(VLOOKUP($B$5,标准坦克设计!$B$24:$U$30,MATCH("对"&amp;LEFT($C$5,2)&amp;"输出",标准坦克设计!$B$23:$U$23,0)))*(VLOOKUP($B161,INDIRECT($B$5&amp;"生成成长"),3))*(VLOOKUP($B$5,标准坦克设计!$B$14:$K$20,9)/30))</f>
        <v>7.4408796488954669</v>
      </c>
      <c r="CK161" s="173">
        <f ca="1">(VLOOKUP(CK$72,INDIRECT($C$5&amp;"生成成长"),2))/((VLOOKUP($B161,INDIRECT($B$5&amp;"生成成长"),4))/(VLOOKUP(CK$72,INDIRECT($C$5&amp;"生成成长"),5))*(VLOOKUP($B$5,标准坦克设计!$B$24:$U$30,MATCH("对"&amp;LEFT($C$5,2)&amp;"输出",标准坦克设计!$B$23:$U$23,0)))*(VLOOKUP($B161,INDIRECT($B$5&amp;"生成成长"),3))*(VLOOKUP($B$5,标准坦克设计!$B$14:$K$20,9)/30))</f>
        <v>7.9628914197454463</v>
      </c>
      <c r="CL161" s="173">
        <f ca="1">(VLOOKUP(CL$72,INDIRECT($C$5&amp;"生成成长"),2))/((VLOOKUP($B161,INDIRECT($B$5&amp;"生成成长"),4))/(VLOOKUP(CL$72,INDIRECT($C$5&amp;"生成成长"),5))*(VLOOKUP($B$5,标准坦克设计!$B$24:$U$30,MATCH("对"&amp;LEFT($C$5,2)&amp;"输出",标准坦克设计!$B$23:$U$23,0)))*(VLOOKUP($B161,INDIRECT($B$5&amp;"生成成长"),3))*(VLOOKUP($B$5,标准坦克设计!$B$14:$K$20,9)/30))</f>
        <v>8.5025985048615276</v>
      </c>
      <c r="CM161" s="173">
        <f ca="1">(VLOOKUP(CM$72,INDIRECT($C$5&amp;"生成成长"),2))/((VLOOKUP($B161,INDIRECT($B$5&amp;"生成成长"),4))/(VLOOKUP(CM$72,INDIRECT($C$5&amp;"生成成长"),5))*(VLOOKUP($B$5,标准坦克设计!$B$24:$U$30,MATCH("对"&amp;LEFT($C$5,2)&amp;"输出",标准坦克设计!$B$23:$U$23,0)))*(VLOOKUP($B161,INDIRECT($B$5&amp;"生成成长"),3))*(VLOOKUP($B$5,标准坦克设计!$B$14:$K$20,9)/30))</f>
        <v>9.060000904243708</v>
      </c>
      <c r="CN161" s="173">
        <f ca="1">(VLOOKUP(CN$72,INDIRECT($C$5&amp;"生成成长"),2))/((VLOOKUP($B161,INDIRECT($B$5&amp;"生成成长"),4))/(VLOOKUP(CN$72,INDIRECT($C$5&amp;"生成成长"),5))*(VLOOKUP($B$5,标准坦克设计!$B$24:$U$30,MATCH("对"&amp;LEFT($C$5,2)&amp;"输出",标准坦克设计!$B$23:$U$23,0)))*(VLOOKUP($B161,INDIRECT($B$5&amp;"生成成长"),3))*(VLOOKUP($B$5,标准坦克设计!$B$14:$K$20,9)/30))</f>
        <v>9.6350986178919911</v>
      </c>
      <c r="CO161" s="173">
        <f ca="1">(VLOOKUP(CO$72,INDIRECT($C$5&amp;"生成成长"),2))/((VLOOKUP($B161,INDIRECT($B$5&amp;"生成成长"),4))/(VLOOKUP(CO$72,INDIRECT($C$5&amp;"生成成长"),5))*(VLOOKUP($B$5,标准坦克设计!$B$24:$U$30,MATCH("对"&amp;LEFT($C$5,2)&amp;"输出",标准坦克设计!$B$23:$U$23,0)))*(VLOOKUP($B161,INDIRECT($B$5&amp;"生成成长"),3))*(VLOOKUP($B$5,标准坦克设计!$B$14:$K$20,9)/30))</f>
        <v>4.3177298020619723</v>
      </c>
      <c r="CP161" s="173">
        <f ca="1">(VLOOKUP(CP$72,INDIRECT($C$5&amp;"生成成长"),2))/((VLOOKUP($B161,INDIRECT($B$5&amp;"生成成长"),4))/(VLOOKUP(CP$72,INDIRECT($C$5&amp;"生成成长"),5))*(VLOOKUP($B$5,标准坦克设计!$B$24:$U$30,MATCH("对"&amp;LEFT($C$5,2)&amp;"输出",标准坦克设计!$B$23:$U$23,0)))*(VLOOKUP($B161,INDIRECT($B$5&amp;"生成成长"),3))*(VLOOKUP($B$5,标准坦克设计!$B$14:$K$20,9)/30))</f>
        <v>4.717483037982527</v>
      </c>
      <c r="CQ161" s="173">
        <f ca="1">(VLOOKUP(CQ$72,INDIRECT($C$5&amp;"生成成长"),2))/((VLOOKUP($B161,INDIRECT($B$5&amp;"生成成长"),4))/(VLOOKUP(CQ$72,INDIRECT($C$5&amp;"生成成长"),5))*(VLOOKUP($B$5,标准坦克设计!$B$24:$U$30,MATCH("对"&amp;LEFT($C$5,2)&amp;"输出",标准坦克设计!$B$23:$U$23,0)))*(VLOOKUP($B161,INDIRECT($B$5&amp;"生成成长"),3))*(VLOOKUP($B$5,标准坦克设计!$B$14:$K$20,9)/30))</f>
        <v>5.1349315881691835</v>
      </c>
      <c r="CR161" s="173">
        <f ca="1">(VLOOKUP(CR$72,INDIRECT($C$5&amp;"生成成长"),2))/((VLOOKUP($B161,INDIRECT($B$5&amp;"生成成长"),4))/(VLOOKUP(CR$72,INDIRECT($C$5&amp;"生成成长"),5))*(VLOOKUP($B$5,标准坦克设计!$B$24:$U$30,MATCH("对"&amp;LEFT($C$5,2)&amp;"输出",标准坦克设计!$B$23:$U$23,0)))*(VLOOKUP($B161,INDIRECT($B$5&amp;"生成成长"),3))*(VLOOKUP($B$5,标准坦克设计!$B$14:$K$20,9)/30))</f>
        <v>5.5700754526219391</v>
      </c>
      <c r="CS161" s="173">
        <f ca="1">(VLOOKUP(CS$72,INDIRECT($C$5&amp;"生成成长"),2))/((VLOOKUP($B161,INDIRECT($B$5&amp;"生成成长"),4))/(VLOOKUP(CS$72,INDIRECT($C$5&amp;"生成成长"),5))*(VLOOKUP($B$5,标准坦克设计!$B$24:$U$30,MATCH("对"&amp;LEFT($C$5,2)&amp;"输出",标准坦克设计!$B$23:$U$23,0)))*(VLOOKUP($B161,INDIRECT($B$5&amp;"生成成长"),3))*(VLOOKUP($B$5,标准坦克设计!$B$14:$K$20,9)/30))</f>
        <v>6.0229146313407966</v>
      </c>
      <c r="CT161" s="173">
        <f ca="1">(VLOOKUP(CT$72,INDIRECT($C$5&amp;"生成成长"),2))/((VLOOKUP($B161,INDIRECT($B$5&amp;"生成成长"),4))/(VLOOKUP(CT$72,INDIRECT($C$5&amp;"生成成长"),5))*(VLOOKUP($B$5,标准坦克设计!$B$24:$U$30,MATCH("对"&amp;LEFT($C$5,2)&amp;"输出",标准坦克设计!$B$23:$U$23,0)))*(VLOOKUP($B161,INDIRECT($B$5&amp;"生成成长"),3))*(VLOOKUP($B$5,标准坦克设计!$B$14:$K$20,9)/30))</f>
        <v>6.4934491243257533</v>
      </c>
      <c r="CU161" s="173">
        <f ca="1">(VLOOKUP(CU$72,INDIRECT($C$5&amp;"生成成长"),2))/((VLOOKUP($B161,INDIRECT($B$5&amp;"生成成长"),4))/(VLOOKUP(CU$72,INDIRECT($C$5&amp;"生成成长"),5))*(VLOOKUP($B$5,标准坦克设计!$B$24:$U$30,MATCH("对"&amp;LEFT($C$5,2)&amp;"输出",标准坦克设计!$B$23:$U$23,0)))*(VLOOKUP($B161,INDIRECT($B$5&amp;"生成成长"),3))*(VLOOKUP($B$5,标准坦克设计!$B$14:$K$20,9)/30))</f>
        <v>6.9816789315768135</v>
      </c>
      <c r="CV161" s="173">
        <f ca="1">(VLOOKUP(CV$72,INDIRECT($C$5&amp;"生成成长"),2))/((VLOOKUP($B161,INDIRECT($B$5&amp;"生成成长"),4))/(VLOOKUP(CV$72,INDIRECT($C$5&amp;"生成成长"),5))*(VLOOKUP($B$5,标准坦克设计!$B$24:$U$30,MATCH("对"&amp;LEFT($C$5,2)&amp;"输出",标准坦克设计!$B$23:$U$23,0)))*(VLOOKUP($B161,INDIRECT($B$5&amp;"生成成长"),3))*(VLOOKUP($B$5,标准坦克设计!$B$14:$K$20,9)/30))</f>
        <v>7.4876040530939729</v>
      </c>
      <c r="CW161" s="173">
        <f ca="1">(VLOOKUP(CW$72,INDIRECT($C$5&amp;"生成成长"),2))/((VLOOKUP($B161,INDIRECT($B$5&amp;"生成成长"),4))/(VLOOKUP(CW$72,INDIRECT($C$5&amp;"生成成长"),5))*(VLOOKUP($B$5,标准坦克设计!$B$24:$U$30,MATCH("对"&amp;LEFT($C$5,2)&amp;"输出",标准坦克设计!$B$23:$U$23,0)))*(VLOOKUP($B161,INDIRECT($B$5&amp;"生成成长"),3))*(VLOOKUP($B$5,标准坦克设计!$B$14:$K$20,9)/30))</f>
        <v>8.0112244888772359</v>
      </c>
      <c r="CX161" s="173">
        <f ca="1">(VLOOKUP(CX$72,INDIRECT($C$5&amp;"生成成长"),2))/((VLOOKUP($B161,INDIRECT($B$5&amp;"生成成长"),4))/(VLOOKUP(CX$72,INDIRECT($C$5&amp;"生成成长"),5))*(VLOOKUP($B$5,标准坦克设计!$B$24:$U$30,MATCH("对"&amp;LEFT($C$5,2)&amp;"输出",标准坦克设计!$B$23:$U$23,0)))*(VLOOKUP($B161,INDIRECT($B$5&amp;"生成成长"),3))*(VLOOKUP($B$5,标准坦克设计!$B$14:$K$20,9)/30))</f>
        <v>8.5525402389265981</v>
      </c>
      <c r="CY161" s="173">
        <f ca="1">(VLOOKUP(CY$72,INDIRECT($C$5&amp;"生成成长"),2))/((VLOOKUP($B161,INDIRECT($B$5&amp;"生成成长"),4))/(VLOOKUP(CY$72,INDIRECT($C$5&amp;"生成成长"),5))*(VLOOKUP($B$5,标准坦克设计!$B$24:$U$30,MATCH("对"&amp;LEFT($C$5,2)&amp;"输出",标准坦克设计!$B$23:$U$23,0)))*(VLOOKUP($B161,INDIRECT($B$5&amp;"生成成长"),3))*(VLOOKUP($B$5,标准坦克设计!$B$14:$K$20,9)/30))</f>
        <v>9.1115513032420612</v>
      </c>
      <c r="CZ161" s="173">
        <f ca="1">(VLOOKUP(CZ$72,INDIRECT($C$5&amp;"生成成长"),2))/((VLOOKUP($B161,INDIRECT($B$5&amp;"生成成长"),4))/(VLOOKUP(CZ$72,INDIRECT($C$5&amp;"生成成长"),5))*(VLOOKUP($B$5,标准坦克设计!$B$24:$U$30,MATCH("对"&amp;LEFT($C$5,2)&amp;"输出",标准坦克设计!$B$23:$U$23,0)))*(VLOOKUP($B161,INDIRECT($B$5&amp;"生成成长"),3))*(VLOOKUP($B$5,标准坦克设计!$B$14:$K$20,9)/30))</f>
        <v>9.6882576818236235</v>
      </c>
      <c r="DA161" s="173">
        <f ca="1">(VLOOKUP(DA$72,INDIRECT($C$5&amp;"生成成长"),2))/((VLOOKUP($B161,INDIRECT($B$5&amp;"生成成长"),4))/(VLOOKUP(DA$72,INDIRECT($C$5&amp;"生成成长"),5))*(VLOOKUP($B$5,标准坦克设计!$B$24:$U$30,MATCH("对"&amp;LEFT($C$5,2)&amp;"输出",标准坦克设计!$B$23:$U$23,0)))*(VLOOKUP($B161,INDIRECT($B$5&amp;"生成成长"),3))*(VLOOKUP($B$5,标准坦克设计!$B$14:$K$20,9)/30))</f>
        <v>10.28265937467129</v>
      </c>
      <c r="DB161" s="173">
        <f ca="1">(VLOOKUP(DB$72,INDIRECT($C$5&amp;"生成成长"),2))/((VLOOKUP($B161,INDIRECT($B$5&amp;"生成成长"),4))/(VLOOKUP(DB$72,INDIRECT($C$5&amp;"生成成长"),5))*(VLOOKUP($B$5,标准坦克设计!$B$24:$U$30,MATCH("对"&amp;LEFT($C$5,2)&amp;"输出",标准坦克设计!$B$23:$U$23,0)))*(VLOOKUP($B161,INDIRECT($B$5&amp;"生成成长"),3))*(VLOOKUP($B$5,标准坦克设计!$B$14:$K$20,9)/30))</f>
        <v>10.894756381785058</v>
      </c>
      <c r="DC161" s="173">
        <f ca="1">(VLOOKUP(DC$72,INDIRECT($C$5&amp;"生成成长"),2))/((VLOOKUP($B161,INDIRECT($B$5&amp;"生成成长"),4))/(VLOOKUP(DC$72,INDIRECT($C$5&amp;"生成成长"),5))*(VLOOKUP($B$5,标准坦克设计!$B$24:$U$30,MATCH("对"&amp;LEFT($C$5,2)&amp;"输出",标准坦克设计!$B$23:$U$23,0)))*(VLOOKUP($B161,INDIRECT($B$5&amp;"生成成长"),3))*(VLOOKUP($B$5,标准坦克设计!$B$14:$K$20,9)/30))</f>
        <v>11.582680004163064</v>
      </c>
      <c r="DD161" s="173">
        <f ca="1">(VLOOKUP(DD$72,INDIRECT($C$5&amp;"生成成长"),2))/((VLOOKUP($B161,INDIRECT($B$5&amp;"生成成长"),4))/(VLOOKUP(DD$72,INDIRECT($C$5&amp;"生成成长"),5))*(VLOOKUP($B$5,标准坦克设计!$B$24:$U$30,MATCH("对"&amp;LEFT($C$5,2)&amp;"输出",标准坦克设计!$B$23:$U$23,0)))*(VLOOKUP($B161,INDIRECT($B$5&amp;"生成成长"),3))*(VLOOKUP($B$5,标准坦克设计!$B$14:$K$20,9)/30))</f>
        <v>12.291662512940402</v>
      </c>
      <c r="DE161" s="173">
        <f ca="1">(VLOOKUP(DE$72,INDIRECT($C$5&amp;"生成成长"),2))/((VLOOKUP($B161,INDIRECT($B$5&amp;"生成成长"),4))/(VLOOKUP(DE$72,INDIRECT($C$5&amp;"生成成长"),5))*(VLOOKUP($B$5,标准坦克设计!$B$24:$U$30,MATCH("对"&amp;LEFT($C$5,2)&amp;"输出",标准坦克设计!$B$23:$U$23,0)))*(VLOOKUP($B161,INDIRECT($B$5&amp;"生成成长"),3))*(VLOOKUP($B$5,标准坦克设计!$B$14:$K$20,9)/30))</f>
        <v>13.021703908117063</v>
      </c>
      <c r="DF161" s="173">
        <f ca="1">(VLOOKUP(DF$72,INDIRECT($C$5&amp;"生成成长"),2))/((VLOOKUP($B161,INDIRECT($B$5&amp;"生成成长"),4))/(VLOOKUP(DF$72,INDIRECT($C$5&amp;"生成成长"),5))*(VLOOKUP($B$5,标准坦克设计!$B$24:$U$30,MATCH("对"&amp;LEFT($C$5,2)&amp;"输出",标准坦克设计!$B$23:$U$23,0)))*(VLOOKUP($B161,INDIRECT($B$5&amp;"生成成长"),3))*(VLOOKUP($B$5,标准坦克设计!$B$14:$K$20,9)/30))</f>
        <v>13.772804189693051</v>
      </c>
      <c r="DG161" s="173">
        <f ca="1">(VLOOKUP(DG$72,INDIRECT($C$5&amp;"生成成长"),2))/((VLOOKUP($B161,INDIRECT($B$5&amp;"生成成长"),4))/(VLOOKUP(DG$72,INDIRECT($C$5&amp;"生成成长"),5))*(VLOOKUP($B$5,标准坦克设计!$B$24:$U$30,MATCH("对"&amp;LEFT($C$5,2)&amp;"输出",标准坦克设计!$B$23:$U$23,0)))*(VLOOKUP($B161,INDIRECT($B$5&amp;"生成成长"),3))*(VLOOKUP($B$5,标准坦克设计!$B$14:$K$20,9)/30))</f>
        <v>14.544963357668371</v>
      </c>
      <c r="DH161" s="173">
        <f ca="1">(VLOOKUP(DH$72,INDIRECT($C$5&amp;"生成成长"),2))/((VLOOKUP($B161,INDIRECT($B$5&amp;"生成成长"),4))/(VLOOKUP(DH$72,INDIRECT($C$5&amp;"生成成长"),5))*(VLOOKUP($B$5,标准坦克设计!$B$24:$U$30,MATCH("对"&amp;LEFT($C$5,2)&amp;"输出",标准坦克设计!$B$23:$U$23,0)))*(VLOOKUP($B161,INDIRECT($B$5&amp;"生成成长"),3))*(VLOOKUP($B$5,标准坦克设计!$B$14:$K$20,9)/30))</f>
        <v>15.33818141204301</v>
      </c>
      <c r="DI161" s="173">
        <f ca="1">(VLOOKUP(DI$72,INDIRECT($C$5&amp;"生成成长"),2))/((VLOOKUP($B161,INDIRECT($B$5&amp;"生成成长"),4))/(VLOOKUP(DI$72,INDIRECT($C$5&amp;"生成成长"),5))*(VLOOKUP($B$5,标准坦克设计!$B$24:$U$30,MATCH("对"&amp;LEFT($C$5,2)&amp;"输出",标准坦克设计!$B$23:$U$23,0)))*(VLOOKUP($B161,INDIRECT($B$5&amp;"生成成长"),3))*(VLOOKUP($B$5,标准坦克设计!$B$14:$K$20,9)/30))</f>
        <v>16.152458352816979</v>
      </c>
      <c r="DJ161" s="173">
        <f ca="1">(VLOOKUP(DJ$72,INDIRECT($C$5&amp;"生成成长"),2))/((VLOOKUP($B161,INDIRECT($B$5&amp;"生成成长"),4))/(VLOOKUP(DJ$72,INDIRECT($C$5&amp;"生成成长"),5))*(VLOOKUP($B$5,标准坦克设计!$B$24:$U$30,MATCH("对"&amp;LEFT($C$5,2)&amp;"输出",标准坦克设计!$B$23:$U$23,0)))*(VLOOKUP($B161,INDIRECT($B$5&amp;"生成成长"),3))*(VLOOKUP($B$5,标准坦克设计!$B$14:$K$20,9)/30))</f>
        <v>1.6233622810814383</v>
      </c>
      <c r="DK161" s="173">
        <f ca="1">(VLOOKUP(DK$72,INDIRECT($C$5&amp;"生成成长"),2))/((VLOOKUP($B161,INDIRECT($B$5&amp;"生成成长"),4))/(VLOOKUP(DK$72,INDIRECT($C$5&amp;"生成成长"),5))*(VLOOKUP($B$5,标准坦克设计!$B$24:$U$30,MATCH("对"&amp;LEFT($C$5,2)&amp;"输出",标准坦克设计!$B$23:$U$23,0)))*(VLOOKUP($B161,INDIRECT($B$5&amp;"生成成长"),3))*(VLOOKUP($B$5,标准坦克设计!$B$14:$K$20,9)/30))</f>
        <v>1.8253959724749802</v>
      </c>
      <c r="DL161" s="173">
        <f ca="1">(VLOOKUP(DL$72,INDIRECT($C$5&amp;"生成成长"),2))/((VLOOKUP($B161,INDIRECT($B$5&amp;"生成成长"),4))/(VLOOKUP(DL$72,INDIRECT($C$5&amp;"生成成长"),5))*(VLOOKUP($B$5,标准坦克设计!$B$24:$U$30,MATCH("对"&amp;LEFT($C$5,2)&amp;"输出",标准坦克设计!$B$23:$U$23,0)))*(VLOOKUP($B161,INDIRECT($B$5&amp;"生成成长"),3))*(VLOOKUP($B$5,标准坦克设计!$B$14:$K$20,9)/30))</f>
        <v>2.039275287468143</v>
      </c>
      <c r="DM161" s="173">
        <f ca="1">(VLOOKUP(DM$72,INDIRECT($C$5&amp;"生成成长"),2))/((VLOOKUP($B161,INDIRECT($B$5&amp;"生成成长"),4))/(VLOOKUP(DM$72,INDIRECT($C$5&amp;"生成成长"),5))*(VLOOKUP($B$5,标准坦克设计!$B$24:$U$30,MATCH("对"&amp;LEFT($C$5,2)&amp;"输出",标准坦克设计!$B$23:$U$23,0)))*(VLOOKUP($B161,INDIRECT($B$5&amp;"生成成长"),3))*(VLOOKUP($B$5,标准坦克设计!$B$14:$K$20,9)/30))</f>
        <v>2.265000226060927</v>
      </c>
      <c r="DN161" s="173">
        <f ca="1">(VLOOKUP(DN$72,INDIRECT($C$5&amp;"生成成长"),2))/((VLOOKUP($B161,INDIRECT($B$5&amp;"生成成长"),4))/(VLOOKUP(DN$72,INDIRECT($C$5&amp;"生成成长"),5))*(VLOOKUP($B$5,标准坦克设计!$B$24:$U$30,MATCH("对"&amp;LEFT($C$5,2)&amp;"输出",标准坦克设计!$B$23:$U$23,0)))*(VLOOKUP($B161,INDIRECT($B$5&amp;"生成成长"),3))*(VLOOKUP($B$5,标准坦克设计!$B$14:$K$20,9)/30))</f>
        <v>2.5025707882533323</v>
      </c>
      <c r="DO161" s="173">
        <f ca="1">(VLOOKUP(DO$72,INDIRECT($C$5&amp;"生成成长"),2))/((VLOOKUP($B161,INDIRECT($B$5&amp;"生成成长"),4))/(VLOOKUP(DO$72,INDIRECT($C$5&amp;"生成成长"),5))*(VLOOKUP($B$5,标准坦克设计!$B$24:$U$30,MATCH("对"&amp;LEFT($C$5,2)&amp;"输出",标准坦克设计!$B$23:$U$23,0)))*(VLOOKUP($B161,INDIRECT($B$5&amp;"生成成长"),3))*(VLOOKUP($B$5,标准坦克设计!$B$14:$K$20,9)/30))</f>
        <v>2.7519869740453595</v>
      </c>
      <c r="DP161" s="173">
        <f ca="1">(VLOOKUP(DP$72,INDIRECT($C$5&amp;"生成成长"),2))/((VLOOKUP($B161,INDIRECT($B$5&amp;"生成成长"),4))/(VLOOKUP(DP$72,INDIRECT($C$5&amp;"生成成长"),5))*(VLOOKUP($B$5,标准坦克设计!$B$24:$U$30,MATCH("对"&amp;LEFT($C$5,2)&amp;"输出",标准坦克设计!$B$23:$U$23,0)))*(VLOOKUP($B161,INDIRECT($B$5&amp;"生成成长"),3))*(VLOOKUP($B$5,标准坦克设计!$B$14:$K$20,9)/30))</f>
        <v>3.0132487834370076</v>
      </c>
      <c r="DQ161" s="173">
        <f ca="1">(VLOOKUP(DQ$72,INDIRECT($C$5&amp;"生成成长"),2))/((VLOOKUP($B161,INDIRECT($B$5&amp;"生成成长"),4))/(VLOOKUP(DQ$72,INDIRECT($C$5&amp;"生成成长"),5))*(VLOOKUP($B$5,标准坦克设计!$B$24:$U$30,MATCH("对"&amp;LEFT($C$5,2)&amp;"输出",标准坦克设计!$B$23:$U$23,0)))*(VLOOKUP($B161,INDIRECT($B$5&amp;"生成成长"),3))*(VLOOKUP($B$5,标准坦克设计!$B$14:$K$20,9)/30))</f>
        <v>3.2863562164282767</v>
      </c>
      <c r="DR161" s="173">
        <f ca="1">(VLOOKUP(DR$72,INDIRECT($C$5&amp;"生成成长"),2))/((VLOOKUP($B161,INDIRECT($B$5&amp;"生成成长"),4))/(VLOOKUP(DR$72,INDIRECT($C$5&amp;"生成成长"),5))*(VLOOKUP($B$5,标准坦克设计!$B$24:$U$30,MATCH("对"&amp;LEFT($C$5,2)&amp;"输出",标准坦克设计!$B$23:$U$23,0)))*(VLOOKUP($B161,INDIRECT($B$5&amp;"生成成长"),3))*(VLOOKUP($B$5,标准坦克设计!$B$14:$K$20,9)/30))</f>
        <v>3.571309273019168</v>
      </c>
      <c r="DS161" s="173">
        <f ca="1">(VLOOKUP(DS$72,INDIRECT($C$5&amp;"生成成长"),2))/((VLOOKUP($B161,INDIRECT($B$5&amp;"生成成长"),4))/(VLOOKUP(DS$72,INDIRECT($C$5&amp;"生成成长"),5))*(VLOOKUP($B$5,标准坦克设计!$B$24:$U$30,MATCH("对"&amp;LEFT($C$5,2)&amp;"输出",标准坦克设计!$B$23:$U$23,0)))*(VLOOKUP($B161,INDIRECT($B$5&amp;"生成成长"),3))*(VLOOKUP($B$5,标准坦克设计!$B$14:$K$20,9)/30))</f>
        <v>3.8681079532096798</v>
      </c>
      <c r="DT161" s="173">
        <f ca="1">(VLOOKUP(DT$72,INDIRECT($C$5&amp;"生成成长"),2))/((VLOOKUP($B161,INDIRECT($B$5&amp;"生成成长"),4))/(VLOOKUP(DT$72,INDIRECT($C$5&amp;"生成成长"),5))*(VLOOKUP($B$5,标准坦克设计!$B$24:$U$30,MATCH("对"&amp;LEFT($C$5,2)&amp;"输出",标准坦克设计!$B$23:$U$23,0)))*(VLOOKUP($B161,INDIRECT($B$5&amp;"生成成长"),3))*(VLOOKUP($B$5,标准坦克设计!$B$14:$K$20,9)/30))</f>
        <v>4.2469485449975686</v>
      </c>
      <c r="DU161" s="173">
        <f ca="1">(VLOOKUP(DU$72,INDIRECT($C$5&amp;"生成成长"),2))/((VLOOKUP($B161,INDIRECT($B$5&amp;"生成成长"),4))/(VLOOKUP(DU$72,INDIRECT($C$5&amp;"生成成长"),5))*(VLOOKUP($B$5,标准坦克设计!$B$24:$U$30,MATCH("对"&amp;LEFT($C$5,2)&amp;"输出",标准坦克设计!$B$23:$U$23,0)))*(VLOOKUP($B161,INDIRECT($B$5&amp;"生成成长"),3))*(VLOOKUP($B$5,标准坦克设计!$B$14:$K$20,9)/30))</f>
        <v>4.6434844510515596</v>
      </c>
      <c r="DV161" s="173">
        <f ca="1">(VLOOKUP(DV$72,INDIRECT($C$5&amp;"生成成长"),2))/((VLOOKUP($B161,INDIRECT($B$5&amp;"生成成长"),4))/(VLOOKUP(DV$72,INDIRECT($C$5&amp;"生成成长"),5))*(VLOOKUP($B$5,标准坦克设计!$B$24:$U$30,MATCH("对"&amp;LEFT($C$5,2)&amp;"输出",标准坦克设计!$B$23:$U$23,0)))*(VLOOKUP($B161,INDIRECT($B$5&amp;"生成成长"),3))*(VLOOKUP($B$5,标准坦克设计!$B$14:$K$20,9)/30))</f>
        <v>5.0577156713716507</v>
      </c>
      <c r="DW161" s="173">
        <f ca="1">(VLOOKUP(DW$72,INDIRECT($C$5&amp;"生成成长"),2))/((VLOOKUP($B161,INDIRECT($B$5&amp;"生成成长"),4))/(VLOOKUP(DW$72,INDIRECT($C$5&amp;"生成成长"),5))*(VLOOKUP($B$5,标准坦克设计!$B$24:$U$30,MATCH("对"&amp;LEFT($C$5,2)&amp;"输出",标准坦克设计!$B$23:$U$23,0)))*(VLOOKUP($B161,INDIRECT($B$5&amp;"生成成长"),3))*(VLOOKUP($B$5,标准坦克设计!$B$14:$K$20,9)/30))</f>
        <v>5.4896422059578436</v>
      </c>
      <c r="DX161" s="173">
        <f ca="1">(VLOOKUP(DX$72,INDIRECT($C$5&amp;"生成成长"),2))/((VLOOKUP($B161,INDIRECT($B$5&amp;"生成成长"),4))/(VLOOKUP(DX$72,INDIRECT($C$5&amp;"生成成长"),5))*(VLOOKUP($B$5,标准坦克设计!$B$24:$U$30,MATCH("对"&amp;LEFT($C$5,2)&amp;"输出",标准坦克设计!$B$23:$U$23,0)))*(VLOOKUP($B161,INDIRECT($B$5&amp;"生成成长"),3))*(VLOOKUP($B$5,标准坦克设计!$B$14:$K$20,9)/30))</f>
        <v>5.9392640548101365</v>
      </c>
      <c r="DY161" s="173">
        <f ca="1">(VLOOKUP(DY$72,INDIRECT($C$5&amp;"生成成长"),2))/((VLOOKUP($B161,INDIRECT($B$5&amp;"生成成长"),4))/(VLOOKUP(DY$72,INDIRECT($C$5&amp;"生成成长"),5))*(VLOOKUP($B$5,标准坦克设计!$B$24:$U$30,MATCH("对"&amp;LEFT($C$5,2)&amp;"输出",标准坦克设计!$B$23:$U$23,0)))*(VLOOKUP($B161,INDIRECT($B$5&amp;"生成成长"),3))*(VLOOKUP($B$5,标准坦克设计!$B$14:$K$20,9)/30))</f>
        <v>2.6675320650480594</v>
      </c>
      <c r="DZ161" s="173">
        <f ca="1">(VLOOKUP(DZ$72,INDIRECT($C$5&amp;"生成成长"),2))/((VLOOKUP($B161,INDIRECT($B$5&amp;"生成成长"),4))/(VLOOKUP(DZ$72,INDIRECT($C$5&amp;"生成成长"),5))*(VLOOKUP($B$5,标准坦克设计!$B$24:$U$30,MATCH("对"&amp;LEFT($C$5,2)&amp;"输出",标准坦克设计!$B$23:$U$23,0)))*(VLOOKUP($B161,INDIRECT($B$5&amp;"生成成长"),3))*(VLOOKUP($B$5,标准坦克设计!$B$14:$K$20,9)/30))</f>
        <v>2.9541669077055626</v>
      </c>
      <c r="EA161" s="173">
        <f ca="1">(VLOOKUP(EA$72,INDIRECT($C$5&amp;"生成成长"),2))/((VLOOKUP($B161,INDIRECT($B$5&amp;"生成成长"),4))/(VLOOKUP(EA$72,INDIRECT($C$5&amp;"生成成长"),5))*(VLOOKUP($B$5,标准坦克设计!$B$24:$U$30,MATCH("对"&amp;LEFT($C$5,2)&amp;"输出",标准坦克设计!$B$23:$U$23,0)))*(VLOOKUP($B161,INDIRECT($B$5&amp;"生成成长"),3))*(VLOOKUP($B$5,标准坦克设计!$B$14:$K$20,9)/30))</f>
        <v>3.2554259770292657</v>
      </c>
      <c r="EB161" s="173">
        <f ca="1">(VLOOKUP(EB$72,INDIRECT($C$5&amp;"生成成长"),2))/((VLOOKUP($B161,INDIRECT($B$5&amp;"生成成长"),4))/(VLOOKUP(EB$72,INDIRECT($C$5&amp;"生成成长"),5))*(VLOOKUP($B$5,标准坦克设计!$B$24:$U$30,MATCH("对"&amp;LEFT($C$5,2)&amp;"输出",标准坦克设计!$B$23:$U$23,0)))*(VLOOKUP($B161,INDIRECT($B$5&amp;"生成成长"),3))*(VLOOKUP($B$5,标准坦克设计!$B$14:$K$20,9)/30))</f>
        <v>3.571309273019168</v>
      </c>
      <c r="EC161" s="173">
        <f ca="1">(VLOOKUP(EC$72,INDIRECT($C$5&amp;"生成成长"),2))/((VLOOKUP($B161,INDIRECT($B$5&amp;"生成成长"),4))/(VLOOKUP(EC$72,INDIRECT($C$5&amp;"生成成长"),5))*(VLOOKUP($B$5,标准坦克设计!$B$24:$U$30,MATCH("对"&amp;LEFT($C$5,2)&amp;"输出",标准坦克设计!$B$23:$U$23,0)))*(VLOOKUP($B161,INDIRECT($B$5&amp;"生成成长"),3))*(VLOOKUP($B$5,标准坦克设计!$B$14:$K$20,9)/30))</f>
        <v>3.901816795675269</v>
      </c>
      <c r="ED161" s="173">
        <f ca="1">(VLOOKUP(ED$72,INDIRECT($C$5&amp;"生成成长"),2))/((VLOOKUP($B161,INDIRECT($B$5&amp;"生成成长"),4))/(VLOOKUP(ED$72,INDIRECT($C$5&amp;"生成成长"),5))*(VLOOKUP($B$5,标准坦克设计!$B$24:$U$30,MATCH("对"&amp;LEFT($C$5,2)&amp;"输出",标准坦克设计!$B$23:$U$23,0)))*(VLOOKUP($B161,INDIRECT($B$5&amp;"生成成长"),3))*(VLOOKUP($B$5,标准坦克设计!$B$14:$K$20,9)/30))</f>
        <v>4.2469485449975686</v>
      </c>
      <c r="EE161" s="173">
        <f ca="1">(VLOOKUP(EE$72,INDIRECT($C$5&amp;"生成成长"),2))/((VLOOKUP($B161,INDIRECT($B$5&amp;"生成成长"),4))/(VLOOKUP(EE$72,INDIRECT($C$5&amp;"生成成长"),5))*(VLOOKUP($B$5,标准坦克设计!$B$24:$U$30,MATCH("对"&amp;LEFT($C$5,2)&amp;"输出",标准坦克设计!$B$23:$U$23,0)))*(VLOOKUP($B161,INDIRECT($B$5&amp;"生成成长"),3))*(VLOOKUP($B$5,标准坦克设计!$B$14:$K$20,9)/30))</f>
        <v>4.6067045209860682</v>
      </c>
      <c r="EF161" s="173">
        <f ca="1">(VLOOKUP(EF$72,INDIRECT($C$5&amp;"生成成长"),2))/((VLOOKUP($B161,INDIRECT($B$5&amp;"生成成长"),4))/(VLOOKUP(EF$72,INDIRECT($C$5&amp;"生成成长"),5))*(VLOOKUP($B$5,标准坦克设计!$B$24:$U$30,MATCH("对"&amp;LEFT($C$5,2)&amp;"输出",标准坦克设计!$B$23:$U$23,0)))*(VLOOKUP($B161,INDIRECT($B$5&amp;"生成成长"),3))*(VLOOKUP($B$5,标准坦克设计!$B$14:$K$20,9)/30))</f>
        <v>4.9810847236407669</v>
      </c>
      <c r="EG161" s="173">
        <f ca="1">(VLOOKUP(EG$72,INDIRECT($C$5&amp;"生成成长"),2))/((VLOOKUP($B161,INDIRECT($B$5&amp;"生成成长"),4))/(VLOOKUP(EG$72,INDIRECT($C$5&amp;"生成成长"),5))*(VLOOKUP($B$5,标准坦克设计!$B$24:$U$30,MATCH("对"&amp;LEFT($C$5,2)&amp;"输出",标准坦克设计!$B$23:$U$23,0)))*(VLOOKUP($B161,INDIRECT($B$5&amp;"生成成长"),3))*(VLOOKUP($B$5,标准坦克设计!$B$14:$K$20,9)/30))</f>
        <v>5.3700891529616657</v>
      </c>
      <c r="EH161" s="173">
        <f ca="1">(VLOOKUP(EH$72,INDIRECT($C$5&amp;"生成成长"),2))/((VLOOKUP($B161,INDIRECT($B$5&amp;"生成成长"),4))/(VLOOKUP(EH$72,INDIRECT($C$5&amp;"生成成长"),5))*(VLOOKUP($B$5,标准坦克设计!$B$24:$U$30,MATCH("对"&amp;LEFT($C$5,2)&amp;"输出",标准坦克设计!$B$23:$U$23,0)))*(VLOOKUP($B161,INDIRECT($B$5&amp;"生成成长"),3))*(VLOOKUP($B$5,标准坦克设计!$B$14:$K$20,9)/30))</f>
        <v>5.7737178089487617</v>
      </c>
      <c r="EI161" s="173">
        <f ca="1">(VLOOKUP(EI$72,INDIRECT($C$5&amp;"生成成长"),2))/((VLOOKUP($B161,INDIRECT($B$5&amp;"生成成长"),4))/(VLOOKUP(EI$72,INDIRECT($C$5&amp;"生成成长"),5))*(VLOOKUP($B$5,标准坦克设计!$B$24:$U$30,MATCH("对"&amp;LEFT($C$5,2)&amp;"输出",标准坦克设计!$B$23:$U$23,0)))*(VLOOKUP($B161,INDIRECT($B$5&amp;"生成成长"),3))*(VLOOKUP($B$5,标准坦克设计!$B$14:$K$20,9)/30))</f>
        <v>6.1919706916020578</v>
      </c>
      <c r="EJ161" s="173">
        <f ca="1">(VLOOKUP(EJ$72,INDIRECT($C$5&amp;"生成成长"),2))/((VLOOKUP($B161,INDIRECT($B$5&amp;"生成成长"),4))/(VLOOKUP(EJ$72,INDIRECT($C$5&amp;"生成成长"),5))*(VLOOKUP($B$5,标准坦克设计!$B$24:$U$30,MATCH("对"&amp;LEFT($C$5,2)&amp;"输出",标准坦克设计!$B$23:$U$23,0)))*(VLOOKUP($B161,INDIRECT($B$5&amp;"生成成长"),3))*(VLOOKUP($B$5,标准坦克设计!$B$14:$K$20,9)/30))</f>
        <v>6.624847800921553</v>
      </c>
      <c r="EK161" s="173">
        <f ca="1">(VLOOKUP(EK$72,INDIRECT($C$5&amp;"生成成长"),2))/((VLOOKUP($B161,INDIRECT($B$5&amp;"生成成长"),4))/(VLOOKUP(EK$72,INDIRECT($C$5&amp;"生成成长"),5))*(VLOOKUP($B$5,标准坦克设计!$B$24:$U$30,MATCH("对"&amp;LEFT($C$5,2)&amp;"输出",标准坦克设计!$B$23:$U$23,0)))*(VLOOKUP($B161,INDIRECT($B$5&amp;"生成成长"),3))*(VLOOKUP($B$5,标准坦克设计!$B$14:$K$20,9)/30))</f>
        <v>7.1636043113043311</v>
      </c>
      <c r="EL161" s="173">
        <f ca="1">(VLOOKUP(EL$72,INDIRECT($C$5&amp;"生成成长"),2))/((VLOOKUP($B161,INDIRECT($B$5&amp;"生成成长"),4))/(VLOOKUP(EL$72,INDIRECT($C$5&amp;"生成成长"),5))*(VLOOKUP($B$5,标准坦克设计!$B$24:$U$30,MATCH("对"&amp;LEFT($C$5,2)&amp;"输出",标准坦克设计!$B$23:$U$23,0)))*(VLOOKUP($B161,INDIRECT($B$5&amp;"生成成长"),3))*(VLOOKUP($B$5,标准坦克设计!$B$14:$K$20,9)/30))</f>
        <v>7.7234197080864355</v>
      </c>
      <c r="EM161" s="173">
        <f ca="1">(VLOOKUP(EM$72,INDIRECT($C$5&amp;"生成成长"),2))/((VLOOKUP($B161,INDIRECT($B$5&amp;"生成成长"),4))/(VLOOKUP(EM$72,INDIRECT($C$5&amp;"生成成长"),5))*(VLOOKUP($B$5,标准坦克设计!$B$24:$U$30,MATCH("对"&amp;LEFT($C$5,2)&amp;"输出",标准坦克设计!$B$23:$U$23,0)))*(VLOOKUP($B161,INDIRECT($B$5&amp;"生成成长"),3))*(VLOOKUP($B$5,标准坦克设计!$B$14:$K$20,9)/30))</f>
        <v>8.3042939912678655</v>
      </c>
      <c r="EN161" s="173">
        <f ca="1">(VLOOKUP(EN$72,INDIRECT($C$5&amp;"生成成长"),2))/((VLOOKUP($B161,INDIRECT($B$5&amp;"生成成长"),4))/(VLOOKUP(EN$72,INDIRECT($C$5&amp;"生成成长"),5))*(VLOOKUP($B$5,标准坦克设计!$B$24:$U$30,MATCH("对"&amp;LEFT($C$5,2)&amp;"输出",标准坦克设计!$B$23:$U$23,0)))*(VLOOKUP($B161,INDIRECT($B$5&amp;"生成成长"),3))*(VLOOKUP($B$5,标准坦克设计!$B$14:$K$20,9)/30))</f>
        <v>8.9062271608486245</v>
      </c>
      <c r="EO161" s="173">
        <f ca="1">(VLOOKUP(EO$72,INDIRECT($C$5&amp;"生成成长"),2))/((VLOOKUP($B161,INDIRECT($B$5&amp;"生成成长"),4))/(VLOOKUP(EO$72,INDIRECT($C$5&amp;"生成成长"),5))*(VLOOKUP($B$5,标准坦克设计!$B$24:$U$30,MATCH("对"&amp;LEFT($C$5,2)&amp;"输出",标准坦克设计!$B$23:$U$23,0)))*(VLOOKUP($B161,INDIRECT($B$5&amp;"生成成长"),3))*(VLOOKUP($B$5,标准坦克设计!$B$14:$K$20,9)/30))</f>
        <v>9.5292192168287091</v>
      </c>
      <c r="EP161" s="173">
        <f ca="1">(VLOOKUP(EP$72,INDIRECT($C$5&amp;"生成成长"),2))/((VLOOKUP($B161,INDIRECT($B$5&amp;"生成成长"),4))/(VLOOKUP(EP$72,INDIRECT($C$5&amp;"生成成长"),5))*(VLOOKUP($B$5,标准坦克设计!$B$24:$U$30,MATCH("对"&amp;LEFT($C$5,2)&amp;"输出",标准坦克设计!$B$23:$U$23,0)))*(VLOOKUP($B161,INDIRECT($B$5&amp;"生成成长"),3))*(VLOOKUP($B$5,标准坦克设计!$B$14:$K$20,9)/30))</f>
        <v>10.173270159208123</v>
      </c>
      <c r="EQ161" s="173">
        <f ca="1">(VLOOKUP(EQ$72,INDIRECT($C$5&amp;"生成成长"),2))/((VLOOKUP($B161,INDIRECT($B$5&amp;"生成成长"),4))/(VLOOKUP(EQ$72,INDIRECT($C$5&amp;"生成成长"),5))*(VLOOKUP($B$5,标准坦克设计!$B$24:$U$30,MATCH("对"&amp;LEFT($C$5,2)&amp;"输出",标准坦克设计!$B$23:$U$23,0)))*(VLOOKUP($B161,INDIRECT($B$5&amp;"生成成长"),3))*(VLOOKUP($B$5,标准坦克设计!$B$14:$K$20,9)/30))</f>
        <v>4.4972421843895676</v>
      </c>
      <c r="ER161" s="173">
        <f ca="1">(VLOOKUP(ER$72,INDIRECT($C$5&amp;"生成成长"),2))/((VLOOKUP($B161,INDIRECT($B$5&amp;"生成成长"),4))/(VLOOKUP(ER$72,INDIRECT($C$5&amp;"生成成长"),5))*(VLOOKUP($B$5,标准坦克设计!$B$24:$U$30,MATCH("对"&amp;LEFT($C$5,2)&amp;"输出",标准坦克设计!$B$23:$U$23,0)))*(VLOOKUP($B161,INDIRECT($B$5&amp;"生成成长"),3))*(VLOOKUP($B$5,标准坦克设计!$B$14:$K$20,9)/30))</f>
        <v>4.9050387449765314</v>
      </c>
      <c r="ES161" s="173">
        <f ca="1">(VLOOKUP(ES$72,INDIRECT($C$5&amp;"生成成长"),2))/((VLOOKUP($B161,INDIRECT($B$5&amp;"生成成长"),4))/(VLOOKUP(ES$72,INDIRECT($C$5&amp;"生成成长"),5))*(VLOOKUP($B$5,标准坦克设计!$B$24:$U$30,MATCH("对"&amp;LEFT($C$5,2)&amp;"输出",标准坦克设计!$B$23:$U$23,0)))*(VLOOKUP($B161,INDIRECT($B$5&amp;"生成成长"),3))*(VLOOKUP($B$5,标准坦克设计!$B$14:$K$20,9)/30))</f>
        <v>5.3305306198295961</v>
      </c>
      <c r="ET161" s="173">
        <f ca="1">(VLOOKUP(ET$72,INDIRECT($C$5&amp;"生成成长"),2))/((VLOOKUP($B161,INDIRECT($B$5&amp;"生成成长"),4))/(VLOOKUP(ET$72,INDIRECT($C$5&amp;"生成成长"),5))*(VLOOKUP($B$5,标准坦克设计!$B$24:$U$30,MATCH("对"&amp;LEFT($C$5,2)&amp;"输出",标准坦克设计!$B$23:$U$23,0)))*(VLOOKUP($B161,INDIRECT($B$5&amp;"生成成长"),3))*(VLOOKUP($B$5,标准坦克设计!$B$14:$K$20,9)/30))</f>
        <v>5.7737178089487617</v>
      </c>
      <c r="EU161" s="173">
        <f ca="1">(VLOOKUP(EU$72,INDIRECT($C$5&amp;"生成成长"),2))/((VLOOKUP($B161,INDIRECT($B$5&amp;"生成成长"),4))/(VLOOKUP(EU$72,INDIRECT($C$5&amp;"生成成长"),5))*(VLOOKUP($B$5,标准坦克设计!$B$24:$U$30,MATCH("对"&amp;LEFT($C$5,2)&amp;"输出",标准坦克设计!$B$23:$U$23,0)))*(VLOOKUP($B161,INDIRECT($B$5&amp;"生成成长"),3))*(VLOOKUP($B$5,标准坦克设计!$B$14:$K$20,9)/30))</f>
        <v>6.2346003123340292</v>
      </c>
      <c r="EV161" s="173">
        <f ca="1">(VLOOKUP(EV$72,INDIRECT($C$5&amp;"生成成长"),2))/((VLOOKUP($B161,INDIRECT($B$5&amp;"生成成长"),4))/(VLOOKUP(EV$72,INDIRECT($C$5&amp;"生成成长"),5))*(VLOOKUP($B$5,标准坦克设计!$B$24:$U$30,MATCH("对"&amp;LEFT($C$5,2)&amp;"输出",标准坦克设计!$B$23:$U$23,0)))*(VLOOKUP($B161,INDIRECT($B$5&amp;"生成成长"),3))*(VLOOKUP($B$5,标准坦克设计!$B$14:$K$20,9)/30))</f>
        <v>6.7131781299853959</v>
      </c>
      <c r="EW161" s="173">
        <f ca="1">(VLOOKUP(EW$72,INDIRECT($C$5&amp;"生成成长"),2))/((VLOOKUP($B161,INDIRECT($B$5&amp;"生成成长"),4))/(VLOOKUP(EW$72,INDIRECT($C$5&amp;"生成成长"),5))*(VLOOKUP($B$5,标准坦克设计!$B$24:$U$30,MATCH("对"&amp;LEFT($C$5,2)&amp;"输出",标准坦克设计!$B$23:$U$23,0)))*(VLOOKUP($B161,INDIRECT($B$5&amp;"生成成长"),3))*(VLOOKUP($B$5,标准坦克设计!$B$14:$K$20,9)/30))</f>
        <v>7.2094512619028661</v>
      </c>
      <c r="EX161" s="173">
        <f ca="1">(VLOOKUP(EX$72,INDIRECT($C$5&amp;"生成成长"),2))/((VLOOKUP($B161,INDIRECT($B$5&amp;"生成成长"),4))/(VLOOKUP(EX$72,INDIRECT($C$5&amp;"生成成长"),5))*(VLOOKUP($B$5,标准坦克设计!$B$24:$U$30,MATCH("对"&amp;LEFT($C$5,2)&amp;"输出",标准坦克设计!$B$23:$U$23,0)))*(VLOOKUP($B161,INDIRECT($B$5&amp;"生成成长"),3))*(VLOOKUP($B$5,标准坦克设计!$B$14:$K$20,9)/30))</f>
        <v>7.7234197080864355</v>
      </c>
      <c r="EY161" s="173">
        <f ca="1">(VLOOKUP(EY$72,INDIRECT($C$5&amp;"生成成长"),2))/((VLOOKUP($B161,INDIRECT($B$5&amp;"生成成长"),4))/(VLOOKUP(EY$72,INDIRECT($C$5&amp;"生成成长"),5))*(VLOOKUP($B$5,标准坦克设计!$B$24:$U$30,MATCH("对"&amp;LEFT($C$5,2)&amp;"输出",标准坦克设计!$B$23:$U$23,0)))*(VLOOKUP($B161,INDIRECT($B$5&amp;"生成成长"),3))*(VLOOKUP($B$5,标准坦克设计!$B$14:$K$20,9)/30))</f>
        <v>8.2550834685361067</v>
      </c>
      <c r="EZ161" s="173">
        <f ca="1">(VLOOKUP(EZ$72,INDIRECT($C$5&amp;"生成成长"),2))/((VLOOKUP($B161,INDIRECT($B$5&amp;"生成成长"),4))/(VLOOKUP(EZ$72,INDIRECT($C$5&amp;"生成成长"),5))*(VLOOKUP($B$5,标准坦克设计!$B$24:$U$30,MATCH("对"&amp;LEFT($C$5,2)&amp;"输出",标准坦克设计!$B$23:$U$23,0)))*(VLOOKUP($B161,INDIRECT($B$5&amp;"生成成长"),3))*(VLOOKUP($B$5,标准坦克设计!$B$14:$K$20,9)/30))</f>
        <v>8.8044425432518771</v>
      </c>
      <c r="FA161" s="173">
        <f ca="1">(VLOOKUP(FA$72,INDIRECT($C$5&amp;"生成成长"),2))/((VLOOKUP($B161,INDIRECT($B$5&amp;"生成成长"),4))/(VLOOKUP(FA$72,INDIRECT($C$5&amp;"生成成长"),5))*(VLOOKUP($B$5,标准坦克设计!$B$24:$U$30,MATCH("对"&amp;LEFT($C$5,2)&amp;"输出",标准坦克设计!$B$23:$U$23,0)))*(VLOOKUP($B161,INDIRECT($B$5&amp;"生成成长"),3))*(VLOOKUP($B$5,标准坦克设计!$B$14:$K$20,9)/30))</f>
        <v>9.3714969322337502</v>
      </c>
      <c r="FB161" s="173">
        <f ca="1">(VLOOKUP(FB$72,INDIRECT($C$5&amp;"生成成长"),2))/((VLOOKUP($B161,INDIRECT($B$5&amp;"生成成长"),4))/(VLOOKUP(FB$72,INDIRECT($C$5&amp;"生成成长"),5))*(VLOOKUP($B$5,标准坦克设计!$B$24:$U$30,MATCH("对"&amp;LEFT($C$5,2)&amp;"输出",标准坦克设计!$B$23:$U$23,0)))*(VLOOKUP($B161,INDIRECT($B$5&amp;"生成成长"),3))*(VLOOKUP($B$5,标准坦克设计!$B$14:$K$20,9)/30))</f>
        <v>9.9562466354817243</v>
      </c>
      <c r="FC161" s="173">
        <f ca="1">(VLOOKUP(FC$72,INDIRECT($C$5&amp;"生成成长"),2))/((VLOOKUP($B161,INDIRECT($B$5&amp;"生成成长"),4))/(VLOOKUP(FC$72,INDIRECT($C$5&amp;"生成成长"),5))*(VLOOKUP($B$5,标准坦克设计!$B$24:$U$30,MATCH("对"&amp;LEFT($C$5,2)&amp;"输出",标准坦克设计!$B$23:$U$23,0)))*(VLOOKUP($B161,INDIRECT($B$5&amp;"生成成长"),3))*(VLOOKUP($B$5,标准坦克设计!$B$14:$K$20,9)/30))</f>
        <v>10.558691652995799</v>
      </c>
      <c r="FD161" s="173">
        <f ca="1">(VLOOKUP(FD$72,INDIRECT($C$5&amp;"生成成长"),2))/((VLOOKUP($B161,INDIRECT($B$5&amp;"生成成长"),4))/(VLOOKUP(FD$72,INDIRECT($C$5&amp;"生成成长"),5))*(VLOOKUP($B$5,标准坦克设计!$B$24:$U$30,MATCH("对"&amp;LEFT($C$5,2)&amp;"输出",标准坦克设计!$B$23:$U$23,0)))*(VLOOKUP($B161,INDIRECT($B$5&amp;"生成成长"),3))*(VLOOKUP($B$5,标准坦克设计!$B$14:$K$20,9)/30))</f>
        <v>11.178831984775975</v>
      </c>
      <c r="FE161" s="173">
        <f ca="1">(VLOOKUP(FE$72,INDIRECT($C$5&amp;"生成成长"),2))/((VLOOKUP($B161,INDIRECT($B$5&amp;"生成成长"),4))/(VLOOKUP(FE$72,INDIRECT($C$5&amp;"生成成长"),5))*(VLOOKUP($B$5,标准坦克设计!$B$24:$U$30,MATCH("对"&amp;LEFT($C$5,2)&amp;"输出",标准坦克设计!$B$23:$U$23,0)))*(VLOOKUP($B161,INDIRECT($B$5&amp;"生成成长"),3))*(VLOOKUP($B$5,标准坦克设计!$B$14:$K$20,9)/30))</f>
        <v>11.934538897751816</v>
      </c>
      <c r="FF161" s="173">
        <f ca="1">(VLOOKUP(FF$72,INDIRECT($C$5&amp;"生成成长"),2))/((VLOOKUP($B161,INDIRECT($B$5&amp;"生成成长"),4))/(VLOOKUP(FF$72,INDIRECT($C$5&amp;"生成成长"),5))*(VLOOKUP($B$5,标准坦克设计!$B$24:$U$30,MATCH("对"&amp;LEFT($C$5,2)&amp;"输出",标准坦克设计!$B$23:$U$23,0)))*(VLOOKUP($B161,INDIRECT($B$5&amp;"生成成长"),3))*(VLOOKUP($B$5,标准坦克设计!$B$14:$K$20,9)/30))</f>
        <v>12.714960753793536</v>
      </c>
      <c r="FG161" s="173">
        <f ca="1">(VLOOKUP(FG$72,INDIRECT($C$5&amp;"生成成长"),2))/((VLOOKUP($B161,INDIRECT($B$5&amp;"生成成长"),4))/(VLOOKUP(FG$72,INDIRECT($C$5&amp;"生成成长"),5))*(VLOOKUP($B$5,标准坦克设计!$B$24:$U$30,MATCH("对"&amp;LEFT($C$5,2)&amp;"输出",标准坦克设计!$B$23:$U$23,0)))*(VLOOKUP($B161,INDIRECT($B$5&amp;"生成成长"),3))*(VLOOKUP($B$5,标准坦克设计!$B$14:$K$20,9)/30))</f>
        <v>13.520097552901129</v>
      </c>
      <c r="FH161" s="173">
        <f ca="1">(VLOOKUP(FH$72,INDIRECT($C$5&amp;"生成成长"),2))/((VLOOKUP($B161,INDIRECT($B$5&amp;"生成成长"),4))/(VLOOKUP(FH$72,INDIRECT($C$5&amp;"生成成长"),5))*(VLOOKUP($B$5,标准坦克设计!$B$24:$U$30,MATCH("对"&amp;LEFT($C$5,2)&amp;"输出",标准坦克设计!$B$23:$U$23,0)))*(VLOOKUP($B161,INDIRECT($B$5&amp;"生成成长"),3))*(VLOOKUP($B$5,标准坦克设计!$B$14:$K$20,9)/30))</f>
        <v>14.349949295074602</v>
      </c>
      <c r="FI161" s="173">
        <f ca="1">(VLOOKUP(FI$72,INDIRECT($C$5&amp;"生成成长"),2))/((VLOOKUP($B161,INDIRECT($B$5&amp;"生成成长"),4))/(VLOOKUP(FI$72,INDIRECT($C$5&amp;"生成成长"),5))*(VLOOKUP($B$5,标准坦克设计!$B$24:$U$30,MATCH("对"&amp;LEFT($C$5,2)&amp;"输出",标准坦克设计!$B$23:$U$23,0)))*(VLOOKUP($B161,INDIRECT($B$5&amp;"生成成长"),3))*(VLOOKUP($B$5,标准坦克设计!$B$14:$K$20,9)/30))</f>
        <v>15.204515980313953</v>
      </c>
      <c r="FJ161" s="173">
        <f ca="1">(VLOOKUP(FJ$72,INDIRECT($C$5&amp;"生成成长"),2))/((VLOOKUP($B161,INDIRECT($B$5&amp;"生成成长"),4))/(VLOOKUP(FJ$72,INDIRECT($C$5&amp;"生成成长"),5))*(VLOOKUP($B$5,标准坦克设计!$B$24:$U$30,MATCH("对"&amp;LEFT($C$5,2)&amp;"输出",标准坦克设计!$B$23:$U$23,0)))*(VLOOKUP($B161,INDIRECT($B$5&amp;"生成成长"),3))*(VLOOKUP($B$5,标准坦克设计!$B$14:$K$20,9)/30))</f>
        <v>16.083797608619175</v>
      </c>
      <c r="FK161" s="173">
        <f ca="1">(VLOOKUP(FK$72,INDIRECT($C$5&amp;"生成成长"),2))/((VLOOKUP($B161,INDIRECT($B$5&amp;"生成成长"),4))/(VLOOKUP(FK$72,INDIRECT($C$5&amp;"生成成长"),5))*(VLOOKUP($B$5,标准坦克设计!$B$24:$U$30,MATCH("对"&amp;LEFT($C$5,2)&amp;"输出",标准坦克设计!$B$23:$U$23,0)))*(VLOOKUP($B161,INDIRECT($B$5&amp;"生成成长"),3))*(VLOOKUP($B$5,标准坦克设计!$B$14:$K$20,9)/30))</f>
        <v>16.987794179990274</v>
      </c>
    </row>
    <row r="162" spans="1:167" x14ac:dyDescent="0.15">
      <c r="A162" s="171" t="str">
        <f t="shared" si="12"/>
        <v>T4中品质18级</v>
      </c>
      <c r="B162" s="172">
        <v>20418</v>
      </c>
      <c r="C162" s="173">
        <f ca="1">(VLOOKUP(C$72,INDIRECT($C$5&amp;"生成成长"),2))/((VLOOKUP($B162,INDIRECT($B$5&amp;"生成成长"),4))/(VLOOKUP(C$72,INDIRECT($C$5&amp;"生成成长"),5))*(VLOOKUP($B$5,标准坦克设计!$B$24:$U$30,MATCH("对"&amp;LEFT($C$5,2)&amp;"输出",标准坦克设计!$B$23:$U$23,0)))*(VLOOKUP($B162,INDIRECT($B$5&amp;"生成成长"),3))*(VLOOKUP($B$5,标准坦克设计!$B$14:$K$20,9)/30))</f>
        <v>0.6894256379493704</v>
      </c>
      <c r="D162" s="173">
        <f ca="1">(VLOOKUP(D$72,INDIRECT($C$5&amp;"生成成长"),2))/((VLOOKUP($B162,INDIRECT($B$5&amp;"生成成长"),4))/(VLOOKUP(D$72,INDIRECT($C$5&amp;"生成成长"),5))*(VLOOKUP($B$5,标准坦克设计!$B$24:$U$30,MATCH("对"&amp;LEFT($C$5,2)&amp;"输出",标准坦克设计!$B$23:$U$23,0)))*(VLOOKUP($B162,INDIRECT($B$5&amp;"生成成长"),3))*(VLOOKUP($B$5,标准坦克设计!$B$14:$K$20,9)/30))</f>
        <v>0.77463864679991257</v>
      </c>
      <c r="E162" s="173">
        <f ca="1">(VLOOKUP(E$72,INDIRECT($C$5&amp;"生成成长"),2))/((VLOOKUP($B162,INDIRECT($B$5&amp;"生成成长"),4))/(VLOOKUP(E$72,INDIRECT($C$5&amp;"生成成长"),5))*(VLOOKUP($B$5,标准坦克设计!$B$24:$U$30,MATCH("对"&amp;LEFT($C$5,2)&amp;"输出",标准坦克设计!$B$23:$U$23,0)))*(VLOOKUP($B162,INDIRECT($B$5&amp;"生成成长"),3))*(VLOOKUP($B$5,标准坦克设计!$B$14:$K$20,9)/30))</f>
        <v>0.86481552024369035</v>
      </c>
      <c r="F162" s="173">
        <f ca="1">(VLOOKUP(F$72,INDIRECT($C$5&amp;"生成成长"),2))/((VLOOKUP($B162,INDIRECT($B$5&amp;"生成成长"),4))/(VLOOKUP(F$72,INDIRECT($C$5&amp;"生成成长"),5))*(VLOOKUP($B$5,标准坦克设计!$B$24:$U$30,MATCH("对"&amp;LEFT($C$5,2)&amp;"输出",标准坦克设计!$B$23:$U$23,0)))*(VLOOKUP($B162,INDIRECT($B$5&amp;"生成成长"),3))*(VLOOKUP($B$5,标准坦克设计!$B$14:$K$20,9)/30))</f>
        <v>0.95995625828070352</v>
      </c>
      <c r="G162" s="173">
        <f ca="1">(VLOOKUP(G$72,INDIRECT($C$5&amp;"生成成长"),2))/((VLOOKUP($B162,INDIRECT($B$5&amp;"生成成长"),4))/(VLOOKUP(G$72,INDIRECT($C$5&amp;"生成成长"),5))*(VLOOKUP($B$5,标准坦克设计!$B$24:$U$30,MATCH("对"&amp;LEFT($C$5,2)&amp;"输出",标准坦克设计!$B$23:$U$23,0)))*(VLOOKUP($B162,INDIRECT($B$5&amp;"生成成长"),3))*(VLOOKUP($B$5,标准坦克设计!$B$14:$K$20,9)/30))</f>
        <v>1.0600608609109519</v>
      </c>
      <c r="H162" s="173">
        <f ca="1">(VLOOKUP(H$72,INDIRECT($C$5&amp;"生成成长"),2))/((VLOOKUP($B162,INDIRECT($B$5&amp;"生成成长"),4))/(VLOOKUP(H$72,INDIRECT($C$5&amp;"生成成长"),5))*(VLOOKUP($B$5,标准坦克设计!$B$24:$U$30,MATCH("对"&amp;LEFT($C$5,2)&amp;"输出",标准坦克设计!$B$23:$U$23,0)))*(VLOOKUP($B162,INDIRECT($B$5&amp;"生成成长"),3))*(VLOOKUP($B$5,标准坦克设计!$B$14:$K$20,9)/30))</f>
        <v>0.92769113842467277</v>
      </c>
      <c r="I162" s="173">
        <f ca="1">(VLOOKUP(I$72,INDIRECT($C$5&amp;"生成成长"),2))/((VLOOKUP($B162,INDIRECT($B$5&amp;"生成成长"),4))/(VLOOKUP(I$72,INDIRECT($C$5&amp;"生成成长"),5))*(VLOOKUP($B$5,标准坦克设计!$B$24:$U$30,MATCH("对"&amp;LEFT($C$5,2)&amp;"输出",标准坦克设计!$B$23:$U$23,0)))*(VLOOKUP($B162,INDIRECT($B$5&amp;"生成成长"),3))*(VLOOKUP($B$5,标准坦克设计!$B$14:$K$20,9)/30))</f>
        <v>1.0600608609109519</v>
      </c>
      <c r="J162" s="173">
        <f ca="1">(VLOOKUP(J$72,INDIRECT($C$5&amp;"生成成长"),2))/((VLOOKUP($B162,INDIRECT($B$5&amp;"生成成长"),4))/(VLOOKUP(J$72,INDIRECT($C$5&amp;"生成成长"),5))*(VLOOKUP($B$5,标准坦克设计!$B$24:$U$30,MATCH("对"&amp;LEFT($C$5,2)&amp;"输出",标准坦克设计!$B$23:$U$23,0)))*(VLOOKUP($B162,INDIRECT($B$5&amp;"生成成长"),3))*(VLOOKUP($B$5,标准坦克设计!$B$14:$K$20,9)/30))</f>
        <v>1.201255231562983</v>
      </c>
      <c r="K162" s="173">
        <f ca="1">(VLOOKUP(K$72,INDIRECT($C$5&amp;"生成成长"),2))/((VLOOKUP($B162,INDIRECT($B$5&amp;"生成成长"),4))/(VLOOKUP(K$72,INDIRECT($C$5&amp;"生成成长"),5))*(VLOOKUP($B$5,标准坦克设计!$B$24:$U$30,MATCH("对"&amp;LEFT($C$5,2)&amp;"输出",标准坦克设计!$B$23:$U$23,0)))*(VLOOKUP($B162,INDIRECT($B$5&amp;"生成成长"),3))*(VLOOKUP($B$5,标准坦克设计!$B$14:$K$20,9)/30))</f>
        <v>1.351274250380766</v>
      </c>
      <c r="L162" s="173">
        <f ca="1">(VLOOKUP(L$72,INDIRECT($C$5&amp;"生成成长"),2))/((VLOOKUP($B162,INDIRECT($B$5&amp;"生成成长"),4))/(VLOOKUP(L$72,INDIRECT($C$5&amp;"生成成长"),5))*(VLOOKUP($B$5,标准坦克设计!$B$24:$U$30,MATCH("对"&amp;LEFT($C$5,2)&amp;"输出",标准坦克设计!$B$23:$U$23,0)))*(VLOOKUP($B162,INDIRECT($B$5&amp;"生成成长"),3))*(VLOOKUP($B$5,标准坦克设计!$B$14:$K$20,9)/30))</f>
        <v>1.5101179173643011</v>
      </c>
      <c r="M162" s="173">
        <f ca="1">(VLOOKUP(M$72,INDIRECT($C$5&amp;"生成成长"),2))/((VLOOKUP($B162,INDIRECT($B$5&amp;"生成成长"),4))/(VLOOKUP(M$72,INDIRECT($C$5&amp;"生成成长"),5))*(VLOOKUP($B$5,标准坦克设计!$B$24:$U$30,MATCH("对"&amp;LEFT($C$5,2)&amp;"输出",标准坦克设计!$B$23:$U$23,0)))*(VLOOKUP($B162,INDIRECT($B$5&amp;"生成成长"),3))*(VLOOKUP($B$5,标准坦克设计!$B$14:$K$20,9)/30))</f>
        <v>1.6777862325135877</v>
      </c>
      <c r="N162" s="173">
        <f ca="1">(VLOOKUP(N$72,INDIRECT($C$5&amp;"生成成长"),2))/((VLOOKUP($B162,INDIRECT($B$5&amp;"生成成长"),4))/(VLOOKUP(N$72,INDIRECT($C$5&amp;"生成成长"),5))*(VLOOKUP($B$5,标准坦克设计!$B$24:$U$30,MATCH("对"&amp;LEFT($C$5,2)&amp;"输出",标准坦克设计!$B$23:$U$23,0)))*(VLOOKUP($B162,INDIRECT($B$5&amp;"生成成长"),3))*(VLOOKUP($B$5,标准坦克设计!$B$14:$K$20,9)/30))</f>
        <v>1.8542791958286264</v>
      </c>
      <c r="O162" s="173">
        <f ca="1">(VLOOKUP(O$72,INDIRECT($C$5&amp;"生成成长"),2))/((VLOOKUP($B162,INDIRECT($B$5&amp;"生成成长"),4))/(VLOOKUP(O$72,INDIRECT($C$5&amp;"生成成长"),5))*(VLOOKUP($B$5,标准坦克设计!$B$24:$U$30,MATCH("对"&amp;LEFT($C$5,2)&amp;"输出",标准坦克设计!$B$23:$U$23,0)))*(VLOOKUP($B162,INDIRECT($B$5&amp;"生成成长"),3))*(VLOOKUP($B$5,标准坦克设计!$B$14:$K$20,9)/30))</f>
        <v>1.4098064870426679</v>
      </c>
      <c r="P162" s="173">
        <f ca="1">(VLOOKUP(P$72,INDIRECT($C$5&amp;"生成成长"),2))/((VLOOKUP($B162,INDIRECT($B$5&amp;"生成成长"),4))/(VLOOKUP(P$72,INDIRECT($C$5&amp;"生成成长"),5))*(VLOOKUP($B$5,标准坦克设计!$B$24:$U$30,MATCH("对"&amp;LEFT($C$5,2)&amp;"输出",标准坦克设计!$B$23:$U$23,0)))*(VLOOKUP($B162,INDIRECT($B$5&amp;"生成成长"),3))*(VLOOKUP($B$5,标准坦克设计!$B$14:$K$20,9)/30))</f>
        <v>1.5928489939182253</v>
      </c>
      <c r="Q162" s="173">
        <f ca="1">(VLOOKUP(Q$72,INDIRECT($C$5&amp;"生成成长"),2))/((VLOOKUP($B162,INDIRECT($B$5&amp;"生成成长"),4))/(VLOOKUP(Q$72,INDIRECT($C$5&amp;"生成成长"),5))*(VLOOKUP($B$5,标准坦克设计!$B$24:$U$30,MATCH("对"&amp;LEFT($C$5,2)&amp;"输出",标准坦克设计!$B$23:$U$23,0)))*(VLOOKUP($B162,INDIRECT($B$5&amp;"生成成长"),3))*(VLOOKUP($B$5,标准坦克设计!$B$14:$K$20,9)/30))</f>
        <v>1.787060196128563</v>
      </c>
      <c r="R162" s="173">
        <f ca="1">(VLOOKUP(R$72,INDIRECT($C$5&amp;"生成成长"),2))/((VLOOKUP($B162,INDIRECT($B$5&amp;"生成成长"),4))/(VLOOKUP(R$72,INDIRECT($C$5&amp;"生成成长"),5))*(VLOOKUP($B$5,标准坦克设计!$B$24:$U$30,MATCH("对"&amp;LEFT($C$5,2)&amp;"输出",标准坦克设计!$B$23:$U$23,0)))*(VLOOKUP($B162,INDIRECT($B$5&amp;"生成成长"),3))*(VLOOKUP($B$5,标准坦克设计!$B$14:$K$20,9)/30))</f>
        <v>1.9924400936736806</v>
      </c>
      <c r="S162" s="173">
        <f ca="1">(VLOOKUP(S$72,INDIRECT($C$5&amp;"生成成长"),2))/((VLOOKUP($B162,INDIRECT($B$5&amp;"生成成长"),4))/(VLOOKUP(S$72,INDIRECT($C$5&amp;"生成成长"),5))*(VLOOKUP($B$5,标准坦克设计!$B$24:$U$30,MATCH("对"&amp;LEFT($C$5,2)&amp;"输出",标准坦克设计!$B$23:$U$23,0)))*(VLOOKUP($B162,INDIRECT($B$5&amp;"生成成长"),3))*(VLOOKUP($B$5,标准坦克设计!$B$14:$K$20,9)/30))</f>
        <v>2.2089886865535777</v>
      </c>
      <c r="T162" s="173">
        <f ca="1">(VLOOKUP(T$72,INDIRECT($C$5&amp;"生成成长"),2))/((VLOOKUP($B162,INDIRECT($B$5&amp;"生成成长"),4))/(VLOOKUP(T$72,INDIRECT($C$5&amp;"生成成长"),5))*(VLOOKUP($B$5,标准坦克设计!$B$24:$U$30,MATCH("对"&amp;LEFT($C$5,2)&amp;"输出",标准坦克设计!$B$23:$U$23,0)))*(VLOOKUP($B162,INDIRECT($B$5&amp;"生成成长"),3))*(VLOOKUP($B$5,标准坦克设计!$B$14:$K$20,9)/30))</f>
        <v>2.4367059747682545</v>
      </c>
      <c r="U162" s="173">
        <f ca="1">(VLOOKUP(U$72,INDIRECT($C$5&amp;"生成成长"),2))/((VLOOKUP($B162,INDIRECT($B$5&amp;"生成成长"),4))/(VLOOKUP(U$72,INDIRECT($C$5&amp;"生成成长"),5))*(VLOOKUP($B$5,标准坦克设计!$B$24:$U$30,MATCH("对"&amp;LEFT($C$5,2)&amp;"输出",标准坦克设计!$B$23:$U$23,0)))*(VLOOKUP($B162,INDIRECT($B$5&amp;"生成成长"),3))*(VLOOKUP($B$5,标准坦克设计!$B$14:$K$20,9)/30))</f>
        <v>2.6755919583177117</v>
      </c>
      <c r="V162" s="173">
        <f ca="1">(VLOOKUP(V$72,INDIRECT($C$5&amp;"生成成长"),2))/((VLOOKUP($B162,INDIRECT($B$5&amp;"生成成长"),4))/(VLOOKUP(V$72,INDIRECT($C$5&amp;"生成成长"),5))*(VLOOKUP($B$5,标准坦克设计!$B$24:$U$30,MATCH("对"&amp;LEFT($C$5,2)&amp;"输出",标准坦克设计!$B$23:$U$23,0)))*(VLOOKUP($B162,INDIRECT($B$5&amp;"生成成长"),3))*(VLOOKUP($B$5,标准坦克设计!$B$14:$K$20,9)/30))</f>
        <v>2.9256466372019485</v>
      </c>
      <c r="W162" s="173">
        <f ca="1">(VLOOKUP(W$72,INDIRECT($C$5&amp;"生成成长"),2))/((VLOOKUP($B162,INDIRECT($B$5&amp;"生成成长"),4))/(VLOOKUP(W$72,INDIRECT($C$5&amp;"生成成长"),5))*(VLOOKUP($B$5,标准坦克设计!$B$24:$U$30,MATCH("对"&amp;LEFT($C$5,2)&amp;"输出",标准坦克设计!$B$23:$U$23,0)))*(VLOOKUP($B162,INDIRECT($B$5&amp;"生成成长"),3))*(VLOOKUP($B$5,标准坦克设计!$B$14:$K$20,9)/30))</f>
        <v>3.1868700114209649</v>
      </c>
      <c r="X162" s="173">
        <f ca="1">(VLOOKUP(X$72,INDIRECT($C$5&amp;"生成成长"),2))/((VLOOKUP($B162,INDIRECT($B$5&amp;"生成成长"),4))/(VLOOKUP(X$72,INDIRECT($C$5&amp;"生成成长"),5))*(VLOOKUP($B$5,标准坦克设计!$B$24:$U$30,MATCH("对"&amp;LEFT($C$5,2)&amp;"输出",标准坦克设计!$B$23:$U$23,0)))*(VLOOKUP($B162,INDIRECT($B$5&amp;"生成成长"),3))*(VLOOKUP($B$5,标准坦克设计!$B$14:$K$20,9)/30))</f>
        <v>2.3088175189286471</v>
      </c>
      <c r="Y162" s="173">
        <f ca="1">(VLOOKUP(Y$72,INDIRECT($C$5&amp;"生成成长"),2))/((VLOOKUP($B162,INDIRECT($B$5&amp;"生成成长"),4))/(VLOOKUP(Y$72,INDIRECT($C$5&amp;"生成成长"),5))*(VLOOKUP($B$5,标准坦克设计!$B$24:$U$30,MATCH("对"&amp;LEFT($C$5,2)&amp;"输出",标准坦克设计!$B$23:$U$23,0)))*(VLOOKUP($B162,INDIRECT($B$5&amp;"生成成长"),3))*(VLOOKUP($B$5,标准坦克设计!$B$14:$K$20,9)/30))</f>
        <v>2.5680415587976095</v>
      </c>
      <c r="Z162" s="173">
        <f ca="1">(VLOOKUP(Z$72,INDIRECT($C$5&amp;"生成成长"),2))/((VLOOKUP($B162,INDIRECT($B$5&amp;"生成成长"),4))/(VLOOKUP(Z$72,INDIRECT($C$5&amp;"生成成长"),5))*(VLOOKUP($B$5,标准坦克设计!$B$24:$U$30,MATCH("对"&amp;LEFT($C$5,2)&amp;"输出",标准坦克设计!$B$23:$U$23,0)))*(VLOOKUP($B162,INDIRECT($B$5&amp;"生成成长"),3))*(VLOOKUP($B$5,标准坦克设计!$B$14:$K$20,9)/30))</f>
        <v>2.8410541114255614</v>
      </c>
      <c r="AA162" s="173">
        <f ca="1">(VLOOKUP(AA$72,INDIRECT($C$5&amp;"生成成长"),2))/((VLOOKUP($B162,INDIRECT($B$5&amp;"生成成长"),4))/(VLOOKUP(AA$72,INDIRECT($C$5&amp;"生成成长"),5))*(VLOOKUP($B$5,标准坦克设计!$B$24:$U$30,MATCH("对"&amp;LEFT($C$5,2)&amp;"输出",标准坦克设计!$B$23:$U$23,0)))*(VLOOKUP($B162,INDIRECT($B$5&amp;"生成成长"),3))*(VLOOKUP($B$5,标准坦克设计!$B$14:$K$20,9)/30))</f>
        <v>3.1278551768124987</v>
      </c>
      <c r="AB162" s="173">
        <f ca="1">(VLOOKUP(AB$72,INDIRECT($C$5&amp;"生成成长"),2))/((VLOOKUP($B162,INDIRECT($B$5&amp;"生成成长"),4))/(VLOOKUP(AB$72,INDIRECT($C$5&amp;"生成成长"),5))*(VLOOKUP($B$5,标准坦克设计!$B$24:$U$30,MATCH("对"&amp;LEFT($C$5,2)&amp;"输出",标准坦克设计!$B$23:$U$23,0)))*(VLOOKUP($B162,INDIRECT($B$5&amp;"生成成长"),3))*(VLOOKUP($B$5,标准坦克设计!$B$14:$K$20,9)/30))</f>
        <v>3.4284447549584236</v>
      </c>
      <c r="AC162" s="173">
        <f ca="1">(VLOOKUP(AC$72,INDIRECT($C$5&amp;"生成成长"),2))/((VLOOKUP($B162,INDIRECT($B$5&amp;"生成成长"),4))/(VLOOKUP(AC$72,INDIRECT($C$5&amp;"生成成长"),5))*(VLOOKUP($B$5,标准坦克设计!$B$24:$U$30,MATCH("对"&amp;LEFT($C$5,2)&amp;"输出",标准坦克设计!$B$23:$U$23,0)))*(VLOOKUP($B162,INDIRECT($B$5&amp;"生成成长"),3))*(VLOOKUP($B$5,标准坦克设计!$B$14:$K$20,9)/30))</f>
        <v>3.742822845863337</v>
      </c>
      <c r="AD162" s="173">
        <f ca="1">(VLOOKUP(AD$72,INDIRECT($C$5&amp;"生成成长"),2))/((VLOOKUP($B162,INDIRECT($B$5&amp;"生成成长"),4))/(VLOOKUP(AD$72,INDIRECT($C$5&amp;"生成成长"),5))*(VLOOKUP($B$5,标准坦克设计!$B$24:$U$30,MATCH("对"&amp;LEFT($C$5,2)&amp;"输出",标准坦克设计!$B$23:$U$23,0)))*(VLOOKUP($B162,INDIRECT($B$5&amp;"生成成长"),3))*(VLOOKUP($B$5,标准坦克设计!$B$14:$K$20,9)/30))</f>
        <v>4.0709894495272376</v>
      </c>
      <c r="AE162" s="173">
        <f ca="1">(VLOOKUP(AE$72,INDIRECT($C$5&amp;"生成成长"),2))/((VLOOKUP($B162,INDIRECT($B$5&amp;"生成成长"),4))/(VLOOKUP(AE$72,INDIRECT($C$5&amp;"生成成长"),5))*(VLOOKUP($B$5,标准坦克设计!$B$24:$U$30,MATCH("对"&amp;LEFT($C$5,2)&amp;"输出",标准坦克设计!$B$23:$U$23,0)))*(VLOOKUP($B162,INDIRECT($B$5&amp;"生成成长"),3))*(VLOOKUP($B$5,标准坦克设计!$B$14:$K$20,9)/30))</f>
        <v>4.4129445659501254</v>
      </c>
      <c r="AF162" s="173">
        <f ca="1">(VLOOKUP(AF$72,INDIRECT($C$5&amp;"生成成长"),2))/((VLOOKUP($B162,INDIRECT($B$5&amp;"生成成长"),4))/(VLOOKUP(AF$72,INDIRECT($C$5&amp;"生成成长"),5))*(VLOOKUP($B$5,标准坦克设计!$B$24:$U$30,MATCH("对"&amp;LEFT($C$5,2)&amp;"输出",标准坦克设计!$B$23:$U$23,0)))*(VLOOKUP($B162,INDIRECT($B$5&amp;"生成成长"),3))*(VLOOKUP($B$5,标准坦克设计!$B$14:$K$20,9)/30))</f>
        <v>4.7686881951320004</v>
      </c>
      <c r="AG162" s="173">
        <f ca="1">(VLOOKUP(AG$72,INDIRECT($C$5&amp;"生成成长"),2))/((VLOOKUP($B162,INDIRECT($B$5&amp;"生成成长"),4))/(VLOOKUP(AG$72,INDIRECT($C$5&amp;"生成成长"),5))*(VLOOKUP($B$5,标准坦克设计!$B$24:$U$30,MATCH("对"&amp;LEFT($C$5,2)&amp;"输出",标准坦克设计!$B$23:$U$23,0)))*(VLOOKUP($B162,INDIRECT($B$5&amp;"生成成长"),3))*(VLOOKUP($B$5,标准坦克设计!$B$14:$K$20,9)/30))</f>
        <v>5.1382203370728634</v>
      </c>
      <c r="AH162" s="173">
        <f ca="1">(VLOOKUP(AH$72,INDIRECT($C$5&amp;"生成成长"),2))/((VLOOKUP($B162,INDIRECT($B$5&amp;"生成成长"),4))/(VLOOKUP(AH$72,INDIRECT($C$5&amp;"生成成长"),5))*(VLOOKUP($B$5,标准坦克设计!$B$24:$U$30,MATCH("对"&amp;LEFT($C$5,2)&amp;"输出",标准坦克设计!$B$23:$U$23,0)))*(VLOOKUP($B162,INDIRECT($B$5&amp;"生成成长"),3))*(VLOOKUP($B$5,标准坦克设计!$B$14:$K$20,9)/30))</f>
        <v>5.5215409917727127</v>
      </c>
      <c r="AI162" s="173">
        <f ca="1">(VLOOKUP(AI$72,INDIRECT($C$5&amp;"生成成长"),2))/((VLOOKUP($B162,INDIRECT($B$5&amp;"生成成长"),4))/(VLOOKUP(AI$72,INDIRECT($C$5&amp;"生成成长"),5))*(VLOOKUP($B$5,标准坦克设计!$B$24:$U$30,MATCH("对"&amp;LEFT($C$5,2)&amp;"输出",标准坦克设计!$B$23:$U$23,0)))*(VLOOKUP($B162,INDIRECT($B$5&amp;"生成成长"),3))*(VLOOKUP($B$5,标准坦克设计!$B$14:$K$20,9)/30))</f>
        <v>3.9051825836004137</v>
      </c>
      <c r="AJ162" s="173">
        <f ca="1">(VLOOKUP(AJ$72,INDIRECT($C$5&amp;"生成成长"),2))/((VLOOKUP($B162,INDIRECT($B$5&amp;"生成成长"),4))/(VLOOKUP(AJ$72,INDIRECT($C$5&amp;"生成成长"),5))*(VLOOKUP($B$5,标准坦克设计!$B$24:$U$30,MATCH("对"&amp;LEFT($C$5,2)&amp;"输出",标准坦克设计!$B$23:$U$23,0)))*(VLOOKUP($B162,INDIRECT($B$5&amp;"生成成长"),3))*(VLOOKUP($B$5,标准坦克设计!$B$14:$K$20,9)/30))</f>
        <v>4.2745078978498912</v>
      </c>
      <c r="AK162" s="173">
        <f ca="1">(VLOOKUP(AK$72,INDIRECT($C$5&amp;"生成成长"),2))/((VLOOKUP($B162,INDIRECT($B$5&amp;"生成成长"),4))/(VLOOKUP(AK$72,INDIRECT($C$5&amp;"生成成长"),5))*(VLOOKUP($B$5,标准坦克设计!$B$24:$U$30,MATCH("对"&amp;LEFT($C$5,2)&amp;"输出",标准坦克设计!$B$23:$U$23,0)))*(VLOOKUP($B162,INDIRECT($B$5&amp;"生成成长"),3))*(VLOOKUP($B$5,标准坦克设计!$B$14:$K$20,9)/30))</f>
        <v>4.6605173125377446</v>
      </c>
      <c r="AL162" s="173">
        <f ca="1">(VLOOKUP(AL$72,INDIRECT($C$5&amp;"生成成长"),2))/((VLOOKUP($B162,INDIRECT($B$5&amp;"生成成长"),4))/(VLOOKUP(AL$72,INDIRECT($C$5&amp;"生成成长"),5))*(VLOOKUP($B$5,标准坦克设计!$B$24:$U$30,MATCH("对"&amp;LEFT($C$5,2)&amp;"输出",标准坦克设计!$B$23:$U$23,0)))*(VLOOKUP($B162,INDIRECT($B$5&amp;"生成成长"),3))*(VLOOKUP($B$5,标准坦克设计!$B$14:$K$20,9)/30))</f>
        <v>5.0632108276639718</v>
      </c>
      <c r="AM162" s="173">
        <f ca="1">(VLOOKUP(AM$72,INDIRECT($C$5&amp;"生成成长"),2))/((VLOOKUP($B162,INDIRECT($B$5&amp;"生成成长"),4))/(VLOOKUP(AM$72,INDIRECT($C$5&amp;"生成成长"),5))*(VLOOKUP($B$5,标准坦克设计!$B$24:$U$30,MATCH("对"&amp;LEFT($C$5,2)&amp;"输出",标准坦克设计!$B$23:$U$23,0)))*(VLOOKUP($B162,INDIRECT($B$5&amp;"生成成长"),3))*(VLOOKUP($B$5,标准坦克设计!$B$14:$K$20,9)/30))</f>
        <v>5.4825884432285745</v>
      </c>
      <c r="AN162" s="173">
        <f ca="1">(VLOOKUP(AN$72,INDIRECT($C$5&amp;"生成成长"),2))/((VLOOKUP($B162,INDIRECT($B$5&amp;"生成成长"),4))/(VLOOKUP(AN$72,INDIRECT($C$5&amp;"生成成长"),5))*(VLOOKUP($B$5,标准坦克设计!$B$24:$U$30,MATCH("对"&amp;LEFT($C$5,2)&amp;"输出",标准坦克设计!$B$23:$U$23,0)))*(VLOOKUP($B162,INDIRECT($B$5&amp;"生成成长"),3))*(VLOOKUP($B$5,标准坦克设计!$B$14:$K$20,9)/30))</f>
        <v>5.9186501592315501</v>
      </c>
      <c r="AO162" s="173">
        <f ca="1">(VLOOKUP(AO$72,INDIRECT($C$5&amp;"生成成长"),2))/((VLOOKUP($B162,INDIRECT($B$5&amp;"生成成长"),4))/(VLOOKUP(AO$72,INDIRECT($C$5&amp;"生成成长"),5))*(VLOOKUP($B$5,标准坦克设计!$B$24:$U$30,MATCH("对"&amp;LEFT($C$5,2)&amp;"输出",标准坦克设计!$B$23:$U$23,0)))*(VLOOKUP($B162,INDIRECT($B$5&amp;"生成成长"),3))*(VLOOKUP($B$5,标准坦克设计!$B$14:$K$20,9)/30))</f>
        <v>6.3713959756729013</v>
      </c>
      <c r="AP162" s="173">
        <f ca="1">(VLOOKUP(AP$72,INDIRECT($C$5&amp;"生成成长"),2))/((VLOOKUP($B162,INDIRECT($B$5&amp;"生成成长"),4))/(VLOOKUP(AP$72,INDIRECT($C$5&amp;"生成成长"),5))*(VLOOKUP($B$5,标准坦克设计!$B$24:$U$30,MATCH("对"&amp;LEFT($C$5,2)&amp;"输出",标准坦克设计!$B$23:$U$23,0)))*(VLOOKUP($B162,INDIRECT($B$5&amp;"生成成长"),3))*(VLOOKUP($B$5,标准坦克设计!$B$14:$K$20,9)/30))</f>
        <v>6.8408258925526289</v>
      </c>
      <c r="AQ162" s="173">
        <f ca="1">(VLOOKUP(AQ$72,INDIRECT($C$5&amp;"生成成长"),2))/((VLOOKUP($B162,INDIRECT($B$5&amp;"生成成长"),4))/(VLOOKUP(AQ$72,INDIRECT($C$5&amp;"生成成长"),5))*(VLOOKUP($B$5,标准坦克设计!$B$24:$U$30,MATCH("对"&amp;LEFT($C$5,2)&amp;"输出",标准坦克设计!$B$23:$U$23,0)))*(VLOOKUP($B162,INDIRECT($B$5&amp;"生成成长"),3))*(VLOOKUP($B$5,标准坦克设计!$B$14:$K$20,9)/30))</f>
        <v>7.3269399098707284</v>
      </c>
      <c r="AR162" s="173">
        <f ca="1">(VLOOKUP(AR$72,INDIRECT($C$5&amp;"生成成长"),2))/((VLOOKUP($B162,INDIRECT($B$5&amp;"生成成长"),4))/(VLOOKUP(AR$72,INDIRECT($C$5&amp;"生成成长"),5))*(VLOOKUP($B$5,标准坦克设计!$B$24:$U$30,MATCH("对"&amp;LEFT($C$5,2)&amp;"输出",标准坦克设计!$B$23:$U$23,0)))*(VLOOKUP($B162,INDIRECT($B$5&amp;"生成成长"),3))*(VLOOKUP($B$5,标准坦克设计!$B$14:$K$20,9)/30))</f>
        <v>7.8297380276272044</v>
      </c>
      <c r="AS162" s="173">
        <f ca="1">(VLOOKUP(AS$72,INDIRECT($C$5&amp;"生成成长"),2))/((VLOOKUP($B162,INDIRECT($B$5&amp;"生成成长"),4))/(VLOOKUP(AS$72,INDIRECT($C$5&amp;"生成成长"),5))*(VLOOKUP($B$5,标准坦克设计!$B$24:$U$30,MATCH("对"&amp;LEFT($C$5,2)&amp;"输出",标准坦克设计!$B$23:$U$23,0)))*(VLOOKUP($B162,INDIRECT($B$5&amp;"生成成长"),3))*(VLOOKUP($B$5,标准坦克设计!$B$14:$K$20,9)/30))</f>
        <v>8.3492202458220532</v>
      </c>
      <c r="AT162" s="173">
        <f ca="1">(VLOOKUP(AT$72,INDIRECT($C$5&amp;"生成成长"),2))/((VLOOKUP($B162,INDIRECT($B$5&amp;"生成成长"),4))/(VLOOKUP(AT$72,INDIRECT($C$5&amp;"生成成长"),5))*(VLOOKUP($B$5,标准坦克设计!$B$24:$U$30,MATCH("对"&amp;LEFT($C$5,2)&amp;"输出",标准坦克设计!$B$23:$U$23,0)))*(VLOOKUP($B162,INDIRECT($B$5&amp;"生成成长"),3))*(VLOOKUP($B$5,标准坦克设计!$B$14:$K$20,9)/30))</f>
        <v>8.8853865644552794</v>
      </c>
      <c r="AU162" s="173">
        <f ca="1">(VLOOKUP(AU$72,INDIRECT($C$5&amp;"生成成长"),2))/((VLOOKUP($B162,INDIRECT($B$5&amp;"生成成长"),4))/(VLOOKUP(AU$72,INDIRECT($C$5&amp;"生成成长"),5))*(VLOOKUP($B$5,标准坦克设计!$B$24:$U$30,MATCH("对"&amp;LEFT($C$5,2)&amp;"输出",标准坦克设计!$B$23:$U$23,0)))*(VLOOKUP($B162,INDIRECT($B$5&amp;"生成成长"),3))*(VLOOKUP($B$5,标准坦克设计!$B$14:$K$20,9)/30))</f>
        <v>9.4382369835268811</v>
      </c>
      <c r="AV162" s="173">
        <f ca="1">(VLOOKUP(AV$72,INDIRECT($C$5&amp;"生成成长"),2))/((VLOOKUP($B162,INDIRECT($B$5&amp;"生成成长"),4))/(VLOOKUP(AV$72,INDIRECT($C$5&amp;"生成成长"),5))*(VLOOKUP($B$5,标准坦克设计!$B$24:$U$30,MATCH("对"&amp;LEFT($C$5,2)&amp;"输出",标准坦克设计!$B$23:$U$23,0)))*(VLOOKUP($B162,INDIRECT($B$5&amp;"生成成长"),3))*(VLOOKUP($B$5,标准坦克设计!$B$14:$K$20,9)/30))</f>
        <v>0.95995625828070352</v>
      </c>
      <c r="AW162" s="173">
        <f ca="1">(VLOOKUP(AW$72,INDIRECT($C$5&amp;"生成成长"),2))/((VLOOKUP($B162,INDIRECT($B$5&amp;"生成成长"),4))/(VLOOKUP(AW$72,INDIRECT($C$5&amp;"生成成长"),5))*(VLOOKUP($B$5,标准坦克设计!$B$24:$U$30,MATCH("对"&amp;LEFT($C$5,2)&amp;"输出",标准坦克设计!$B$23:$U$23,0)))*(VLOOKUP($B162,INDIRECT($B$5&amp;"生成成长"),3))*(VLOOKUP($B$5,标准坦克设计!$B$14:$K$20,9)/30))</f>
        <v>1.0945321428084205</v>
      </c>
      <c r="AX162" s="173">
        <f ca="1">(VLOOKUP(AX$72,INDIRECT($C$5&amp;"生成成长"),2))/((VLOOKUP($B162,INDIRECT($B$5&amp;"生成成长"),4))/(VLOOKUP(AX$72,INDIRECT($C$5&amp;"生成成长"),5))*(VLOOKUP($B$5,标准坦克设计!$B$24:$U$30,MATCH("对"&amp;LEFT($C$5,2)&amp;"输出",标准坦克设计!$B$23:$U$23,0)))*(VLOOKUP($B162,INDIRECT($B$5&amp;"生成成长"),3))*(VLOOKUP($B$5,标准坦克设计!$B$14:$K$20,9)/30))</f>
        <v>1.2379326755018893</v>
      </c>
      <c r="AY162" s="173">
        <f ca="1">(VLOOKUP(AY$72,INDIRECT($C$5&amp;"生成成长"),2))/((VLOOKUP($B162,INDIRECT($B$5&amp;"生成成长"),4))/(VLOOKUP(AY$72,INDIRECT($C$5&amp;"生成成长"),5))*(VLOOKUP($B$5,标准坦克设计!$B$24:$U$30,MATCH("对"&amp;LEFT($C$5,2)&amp;"输出",标准坦克设计!$B$23:$U$23,0)))*(VLOOKUP($B162,INDIRECT($B$5&amp;"生成成长"),3))*(VLOOKUP($B$5,标准坦克设计!$B$14:$K$20,9)/30))</f>
        <v>1.3901578563611106</v>
      </c>
      <c r="AZ162" s="173">
        <f ca="1">(VLOOKUP(AZ$72,INDIRECT($C$5&amp;"生成成长"),2))/((VLOOKUP($B162,INDIRECT($B$5&amp;"生成成长"),4))/(VLOOKUP(AZ$72,INDIRECT($C$5&amp;"生成成长"),5))*(VLOOKUP($B$5,标准坦克设计!$B$24:$U$30,MATCH("对"&amp;LEFT($C$5,2)&amp;"输出",标准坦克设计!$B$23:$U$23,0)))*(VLOOKUP($B162,INDIRECT($B$5&amp;"生成成长"),3))*(VLOOKUP($B$5,标准坦克设计!$B$14:$K$20,9)/30))</f>
        <v>1.5512076853860837</v>
      </c>
      <c r="BA162" s="173">
        <f ca="1">(VLOOKUP(BA$72,INDIRECT($C$5&amp;"生成成长"),2))/((VLOOKUP($B162,INDIRECT($B$5&amp;"生成成长"),4))/(VLOOKUP(BA$72,INDIRECT($C$5&amp;"生成成长"),5))*(VLOOKUP($B$5,标准坦克设计!$B$24:$U$30,MATCH("对"&amp;LEFT($C$5,2)&amp;"输出",标准坦克设计!$B$23:$U$23,0)))*(VLOOKUP($B162,INDIRECT($B$5&amp;"生成成长"),3))*(VLOOKUP($B$5,标准坦克设计!$B$14:$K$20,9)/30))</f>
        <v>1.7210821625768085</v>
      </c>
      <c r="BB162" s="173">
        <f ca="1">(VLOOKUP(BB$72,INDIRECT($C$5&amp;"生成成长"),2))/((VLOOKUP($B162,INDIRECT($B$5&amp;"生成成长"),4))/(VLOOKUP(BB$72,INDIRECT($C$5&amp;"生成成长"),5))*(VLOOKUP($B$5,标准坦克设计!$B$24:$U$30,MATCH("对"&amp;LEFT($C$5,2)&amp;"输出",标准坦克设计!$B$23:$U$23,0)))*(VLOOKUP($B162,INDIRECT($B$5&amp;"生成成长"),3))*(VLOOKUP($B$5,标准坦克设计!$B$14:$K$20,9)/30))</f>
        <v>1.8997812879332852</v>
      </c>
      <c r="BC162" s="173">
        <f ca="1">(VLOOKUP(BC$72,INDIRECT($C$5&amp;"生成成长"),2))/((VLOOKUP($B162,INDIRECT($B$5&amp;"生成成长"),4))/(VLOOKUP(BC$72,INDIRECT($C$5&amp;"生成成长"),5))*(VLOOKUP($B$5,标准坦克设计!$B$24:$U$30,MATCH("对"&amp;LEFT($C$5,2)&amp;"输出",标准坦克设计!$B$23:$U$23,0)))*(VLOOKUP($B162,INDIRECT($B$5&amp;"生成成长"),3))*(VLOOKUP($B$5,标准坦克设计!$B$14:$K$20,9)/30))</f>
        <v>2.0873050614555133</v>
      </c>
      <c r="BD162" s="173">
        <f ca="1">(VLOOKUP(BD$72,INDIRECT($C$5&amp;"生成成长"),2))/((VLOOKUP($B162,INDIRECT($B$5&amp;"生成成长"),4))/(VLOOKUP(BD$72,INDIRECT($C$5&amp;"生成成长"),5))*(VLOOKUP($B$5,标准坦克设计!$B$24:$U$30,MATCH("对"&amp;LEFT($C$5,2)&amp;"输出",标准坦克设计!$B$23:$U$23,0)))*(VLOOKUP($B162,INDIRECT($B$5&amp;"生成成长"),3))*(VLOOKUP($B$5,标准坦克设计!$B$14:$K$20,9)/30))</f>
        <v>2.3088175189286471</v>
      </c>
      <c r="BE162" s="173">
        <f ca="1">(VLOOKUP(BE$72,INDIRECT($C$5&amp;"生成成长"),2))/((VLOOKUP($B162,INDIRECT($B$5&amp;"生成成长"),4))/(VLOOKUP(BE$72,INDIRECT($C$5&amp;"生成成长"),5))*(VLOOKUP($B$5,标准坦克设计!$B$24:$U$30,MATCH("对"&amp;LEFT($C$5,2)&amp;"输出",标准坦克设计!$B$23:$U$23,0)))*(VLOOKUP($B162,INDIRECT($B$5&amp;"生成成长"),3))*(VLOOKUP($B$5,标准坦克设计!$B$14:$K$20,9)/30))</f>
        <v>2.5414986717365591</v>
      </c>
      <c r="BF162" s="173">
        <f ca="1">(VLOOKUP(BF$72,INDIRECT($C$5&amp;"生成成长"),2))/((VLOOKUP($B162,INDIRECT($B$5&amp;"生成成长"),4))/(VLOOKUP(BF$72,INDIRECT($C$5&amp;"生成成长"),5))*(VLOOKUP($B$5,标准坦克设计!$B$24:$U$30,MATCH("对"&amp;LEFT($C$5,2)&amp;"输出",标准坦克设计!$B$23:$U$23,0)))*(VLOOKUP($B162,INDIRECT($B$5&amp;"生成成长"),3))*(VLOOKUP($B$5,标准坦克设计!$B$14:$K$20,9)/30))</f>
        <v>2.7853485198792511</v>
      </c>
      <c r="BG162" s="173">
        <f ca="1">(VLOOKUP(BG$72,INDIRECT($C$5&amp;"生成成长"),2))/((VLOOKUP($B162,INDIRECT($B$5&amp;"生成成长"),4))/(VLOOKUP(BG$72,INDIRECT($C$5&amp;"生成成长"),5))*(VLOOKUP($B$5,标准坦克设计!$B$24:$U$30,MATCH("对"&amp;LEFT($C$5,2)&amp;"输出",标准坦克设计!$B$23:$U$23,0)))*(VLOOKUP($B162,INDIRECT($B$5&amp;"生成成长"),3))*(VLOOKUP($B$5,标准坦克设计!$B$14:$K$20,9)/30))</f>
        <v>3.0403670633567237</v>
      </c>
      <c r="BH162" s="173">
        <f ca="1">(VLOOKUP(BH$72,INDIRECT($C$5&amp;"生成成长"),2))/((VLOOKUP($B162,INDIRECT($B$5&amp;"生成成长"),4))/(VLOOKUP(BH$72,INDIRECT($C$5&amp;"生成成长"),5))*(VLOOKUP($B$5,标准坦克设计!$B$24:$U$30,MATCH("对"&amp;LEFT($C$5,2)&amp;"输出",标准坦克设计!$B$23:$U$23,0)))*(VLOOKUP($B162,INDIRECT($B$5&amp;"生成成长"),3))*(VLOOKUP($B$5,标准坦克设计!$B$14:$K$20,9)/30))</f>
        <v>1.4695796898528779</v>
      </c>
      <c r="BI162" s="173">
        <f ca="1">(VLOOKUP(BI$72,INDIRECT($C$5&amp;"生成成长"),2))/((VLOOKUP($B162,INDIRECT($B$5&amp;"生成成长"),4))/(VLOOKUP(BI$72,INDIRECT($C$5&amp;"生成成长"),5))*(VLOOKUP($B$5,标准坦克设计!$B$24:$U$30,MATCH("对"&amp;LEFT($C$5,2)&amp;"输出",标准坦克设计!$B$23:$U$23,0)))*(VLOOKUP($B162,INDIRECT($B$5&amp;"生成成长"),3))*(VLOOKUP($B$5,标准坦克设计!$B$14:$K$20,9)/30))</f>
        <v>1.6563450951733625</v>
      </c>
      <c r="BJ162" s="173">
        <f ca="1">(VLOOKUP(BJ$72,INDIRECT($C$5&amp;"生成成长"),2))/((VLOOKUP($B162,INDIRECT($B$5&amp;"生成成长"),4))/(VLOOKUP(BJ$72,INDIRECT($C$5&amp;"生成成长"),5))*(VLOOKUP($B$5,标准坦克设计!$B$24:$U$30,MATCH("对"&amp;LEFT($C$5,2)&amp;"输出",标准坦克设计!$B$23:$U$23,0)))*(VLOOKUP($B162,INDIRECT($B$5&amp;"生成成长"),3))*(VLOOKUP($B$5,标准坦克设计!$B$14:$K$20,9)/30))</f>
        <v>1.8542791958286264</v>
      </c>
      <c r="BK162" s="173">
        <f ca="1">(VLOOKUP(BK$72,INDIRECT($C$5&amp;"生成成长"),2))/((VLOOKUP($B162,INDIRECT($B$5&amp;"生成成长"),4))/(VLOOKUP(BK$72,INDIRECT($C$5&amp;"生成成长"),5))*(VLOOKUP($B$5,标准坦克设计!$B$24:$U$30,MATCH("对"&amp;LEFT($C$5,2)&amp;"输出",标准坦克设计!$B$23:$U$23,0)))*(VLOOKUP($B162,INDIRECT($B$5&amp;"生成成长"),3))*(VLOOKUP($B$5,标准坦克设计!$B$14:$K$20,9)/30))</f>
        <v>2.0633819918186709</v>
      </c>
      <c r="BL162" s="173">
        <f ca="1">(VLOOKUP(BL$72,INDIRECT($C$5&amp;"生成成长"),2))/((VLOOKUP($B162,INDIRECT($B$5&amp;"生成成长"),4))/(VLOOKUP(BL$72,INDIRECT($C$5&amp;"生成成长"),5))*(VLOOKUP($B$5,标准坦克设计!$B$24:$U$30,MATCH("对"&amp;LEFT($C$5,2)&amp;"输出",标准坦克设计!$B$23:$U$23,0)))*(VLOOKUP($B162,INDIRECT($B$5&amp;"生成成长"),3))*(VLOOKUP($B$5,标准坦克设计!$B$14:$K$20,9)/30))</f>
        <v>2.2836534831434947</v>
      </c>
      <c r="BM162" s="173">
        <f ca="1">(VLOOKUP(BM$72,INDIRECT($C$5&amp;"生成成长"),2))/((VLOOKUP($B162,INDIRECT($B$5&amp;"生成成长"),4))/(VLOOKUP(BM$72,INDIRECT($C$5&amp;"生成成长"),5))*(VLOOKUP($B$5,标准坦克设计!$B$24:$U$30,MATCH("对"&amp;LEFT($C$5,2)&amp;"输出",标准坦克设计!$B$23:$U$23,0)))*(VLOOKUP($B162,INDIRECT($B$5&amp;"生成成长"),3))*(VLOOKUP($B$5,标准坦克设计!$B$14:$K$20,9)/30))</f>
        <v>2.5150936698030981</v>
      </c>
      <c r="BN162" s="173">
        <f ca="1">(VLOOKUP(BN$72,INDIRECT($C$5&amp;"生成成长"),2))/((VLOOKUP($B162,INDIRECT($B$5&amp;"生成成长"),4))/(VLOOKUP(BN$72,INDIRECT($C$5&amp;"生成成长"),5))*(VLOOKUP($B$5,标准坦克设计!$B$24:$U$30,MATCH("对"&amp;LEFT($C$5,2)&amp;"输出",标准坦克设计!$B$23:$U$23,0)))*(VLOOKUP($B162,INDIRECT($B$5&amp;"生成成长"),3))*(VLOOKUP($B$5,标准坦克设计!$B$14:$K$20,9)/30))</f>
        <v>2.7577025517974816</v>
      </c>
      <c r="BO162" s="173">
        <f ca="1">(VLOOKUP(BO$72,INDIRECT($C$5&amp;"生成成长"),2))/((VLOOKUP($B162,INDIRECT($B$5&amp;"生成成长"),4))/(VLOOKUP(BO$72,INDIRECT($C$5&amp;"生成成长"),5))*(VLOOKUP($B$5,标准坦克设计!$B$24:$U$30,MATCH("对"&amp;LEFT($C$5,2)&amp;"输出",标准坦克设计!$B$23:$U$23,0)))*(VLOOKUP($B162,INDIRECT($B$5&amp;"生成成长"),3))*(VLOOKUP($B$5,标准坦克设计!$B$14:$K$20,9)/30))</f>
        <v>3.0114801291266451</v>
      </c>
      <c r="BP162" s="173">
        <f ca="1">(VLOOKUP(BP$72,INDIRECT($C$5&amp;"生成成长"),2))/((VLOOKUP($B162,INDIRECT($B$5&amp;"生成成长"),4))/(VLOOKUP(BP$72,INDIRECT($C$5&amp;"生成成长"),5))*(VLOOKUP($B$5,标准坦克设计!$B$24:$U$30,MATCH("对"&amp;LEFT($C$5,2)&amp;"输出",标准坦克设计!$B$23:$U$23,0)))*(VLOOKUP($B162,INDIRECT($B$5&amp;"生成成长"),3))*(VLOOKUP($B$5,标准坦克设计!$B$14:$K$20,9)/30))</f>
        <v>3.2764264017905878</v>
      </c>
      <c r="BQ162" s="173">
        <f ca="1">(VLOOKUP(BQ$72,INDIRECT($C$5&amp;"生成成长"),2))/((VLOOKUP($B162,INDIRECT($B$5&amp;"生成成长"),4))/(VLOOKUP(BQ$72,INDIRECT($C$5&amp;"生成成长"),5))*(VLOOKUP($B$5,标准坦克设计!$B$24:$U$30,MATCH("对"&amp;LEFT($C$5,2)&amp;"输出",标准坦克设计!$B$23:$U$23,0)))*(VLOOKUP($B162,INDIRECT($B$5&amp;"生成成长"),3))*(VLOOKUP($B$5,标准坦克设计!$B$14:$K$20,9)/30))</f>
        <v>3.5525413697893113</v>
      </c>
      <c r="BR162" s="173">
        <f ca="1">(VLOOKUP(BR$72,INDIRECT($C$5&amp;"生成成长"),2))/((VLOOKUP($B162,INDIRECT($B$5&amp;"生成成长"),4))/(VLOOKUP(BR$72,INDIRECT($C$5&amp;"生成成长"),5))*(VLOOKUP($B$5,标准坦克设计!$B$24:$U$30,MATCH("对"&amp;LEFT($C$5,2)&amp;"输出",标准坦克设计!$B$23:$U$23,0)))*(VLOOKUP($B162,INDIRECT($B$5&amp;"生成成长"),3))*(VLOOKUP($B$5,标准坦克设计!$B$14:$K$20,9)/30))</f>
        <v>3.8724348657978189</v>
      </c>
      <c r="BS162" s="173">
        <f ca="1">(VLOOKUP(BS$72,INDIRECT($C$5&amp;"生成成长"),2))/((VLOOKUP($B162,INDIRECT($B$5&amp;"生成成长"),4))/(VLOOKUP(BS$72,INDIRECT($C$5&amp;"生成成长"),5))*(VLOOKUP($B$5,标准坦克设计!$B$24:$U$30,MATCH("对"&amp;LEFT($C$5,2)&amp;"输出",标准坦克设计!$B$23:$U$23,0)))*(VLOOKUP($B162,INDIRECT($B$5&amp;"生成成长"),3))*(VLOOKUP($B$5,标准坦克设计!$B$14:$K$20,9)/30))</f>
        <v>4.2061168745653141</v>
      </c>
      <c r="BT162" s="173">
        <f ca="1">(VLOOKUP(BT$72,INDIRECT($C$5&amp;"生成成长"),2))/((VLOOKUP($B162,INDIRECT($B$5&amp;"生成成长"),4))/(VLOOKUP(BT$72,INDIRECT($C$5&amp;"生成成长"),5))*(VLOOKUP($B$5,标准坦克设计!$B$24:$U$30,MATCH("对"&amp;LEFT($C$5,2)&amp;"输出",标准坦克设计!$B$23:$U$23,0)))*(VLOOKUP($B162,INDIRECT($B$5&amp;"生成成长"),3))*(VLOOKUP($B$5,标准坦克设计!$B$14:$K$20,9)/30))</f>
        <v>4.5535873960917961</v>
      </c>
      <c r="BU162" s="173">
        <f ca="1">(VLOOKUP(BU$72,INDIRECT($C$5&amp;"生成成长"),2))/((VLOOKUP($B162,INDIRECT($B$5&amp;"生成成长"),4))/(VLOOKUP(BU$72,INDIRECT($C$5&amp;"生成成长"),5))*(VLOOKUP($B$5,标准坦克设计!$B$24:$U$30,MATCH("对"&amp;LEFT($C$5,2)&amp;"输出",标准坦克设计!$B$23:$U$23,0)))*(VLOOKUP($B162,INDIRECT($B$5&amp;"生成成长"),3))*(VLOOKUP($B$5,标准坦克设计!$B$14:$K$20,9)/30))</f>
        <v>4.9148464303772661</v>
      </c>
      <c r="BV162" s="173">
        <f ca="1">(VLOOKUP(BV$72,INDIRECT($C$5&amp;"生成成长"),2))/((VLOOKUP($B162,INDIRECT($B$5&amp;"生成成长"),4))/(VLOOKUP(BV$72,INDIRECT($C$5&amp;"生成成长"),5))*(VLOOKUP($B$5,标准坦克设计!$B$24:$U$30,MATCH("对"&amp;LEFT($C$5,2)&amp;"输出",标准坦克设计!$B$23:$U$23,0)))*(VLOOKUP($B162,INDIRECT($B$5&amp;"生成成长"),3))*(VLOOKUP($B$5,标准坦克设计!$B$14:$K$20,9)/30))</f>
        <v>5.2898939774217242</v>
      </c>
      <c r="BW162" s="173">
        <f ca="1">(VLOOKUP(BW$72,INDIRECT($C$5&amp;"生成成长"),2))/((VLOOKUP($B162,INDIRECT($B$5&amp;"生成成长"),4))/(VLOOKUP(BW$72,INDIRECT($C$5&amp;"生成成长"),5))*(VLOOKUP($B$5,标准坦克设计!$B$24:$U$30,MATCH("对"&amp;LEFT($C$5,2)&amp;"输出",标准坦克设计!$B$23:$U$23,0)))*(VLOOKUP($B162,INDIRECT($B$5&amp;"生成成长"),3))*(VLOOKUP($B$5,标准坦克设计!$B$14:$K$20,9)/30))</f>
        <v>2.4108525133451533</v>
      </c>
      <c r="BX162" s="173">
        <f ca="1">(VLOOKUP(BX$72,INDIRECT($C$5&amp;"生成成长"),2))/((VLOOKUP($B162,INDIRECT($B$5&amp;"生成成长"),4))/(VLOOKUP(BX$72,INDIRECT($C$5&amp;"生成成长"),5))*(VLOOKUP($B$5,标准坦克设计!$B$24:$U$30,MATCH("对"&amp;LEFT($C$5,2)&amp;"输出",标准坦克设计!$B$23:$U$23,0)))*(VLOOKUP($B162,INDIRECT($B$5&amp;"生成成长"),3))*(VLOOKUP($B$5,标准坦克设计!$B$14:$K$20,9)/30))</f>
        <v>2.6755919583177117</v>
      </c>
      <c r="BY162" s="173">
        <f ca="1">(VLOOKUP(BY$72,INDIRECT($C$5&amp;"生成成长"),2))/((VLOOKUP($B162,INDIRECT($B$5&amp;"生成成长"),4))/(VLOOKUP(BY$72,INDIRECT($C$5&amp;"生成成长"),5))*(VLOOKUP($B$5,标准坦克设计!$B$24:$U$30,MATCH("对"&amp;LEFT($C$5,2)&amp;"输出",标准坦克设计!$B$23:$U$23,0)))*(VLOOKUP($B162,INDIRECT($B$5&amp;"生成成长"),3))*(VLOOKUP($B$5,标准坦克设计!$B$14:$K$20,9)/30))</f>
        <v>2.9541199160492568</v>
      </c>
      <c r="BZ162" s="173">
        <f ca="1">(VLOOKUP(BZ$72,INDIRECT($C$5&amp;"生成成长"),2))/((VLOOKUP($B162,INDIRECT($B$5&amp;"生成成长"),4))/(VLOOKUP(BZ$72,INDIRECT($C$5&amp;"生成成长"),5))*(VLOOKUP($B$5,标准坦克设计!$B$24:$U$30,MATCH("对"&amp;LEFT($C$5,2)&amp;"输出",标准坦克设计!$B$23:$U$23,0)))*(VLOOKUP($B162,INDIRECT($B$5&amp;"生成成长"),3))*(VLOOKUP($B$5,标准坦克设计!$B$14:$K$20,9)/30))</f>
        <v>3.2464363865397901</v>
      </c>
      <c r="CA162" s="173">
        <f ca="1">(VLOOKUP(CA$72,INDIRECT($C$5&amp;"生成成长"),2))/((VLOOKUP($B162,INDIRECT($B$5&amp;"生成成长"),4))/(VLOOKUP(CA$72,INDIRECT($C$5&amp;"生成成长"),5))*(VLOOKUP($B$5,标准坦克设计!$B$24:$U$30,MATCH("对"&amp;LEFT($C$5,2)&amp;"输出",标准坦克设计!$B$23:$U$23,0)))*(VLOOKUP($B162,INDIRECT($B$5&amp;"生成成长"),3))*(VLOOKUP($B$5,标准坦克设计!$B$14:$K$20,9)/30))</f>
        <v>3.5525413697893113</v>
      </c>
      <c r="CB162" s="173">
        <f ca="1">(VLOOKUP(CB$72,INDIRECT($C$5&amp;"生成成长"),2))/((VLOOKUP($B162,INDIRECT($B$5&amp;"生成成长"),4))/(VLOOKUP(CB$72,INDIRECT($C$5&amp;"生成成长"),5))*(VLOOKUP($B$5,标准坦克设计!$B$24:$U$30,MATCH("对"&amp;LEFT($C$5,2)&amp;"输出",标准坦克设计!$B$23:$U$23,0)))*(VLOOKUP($B162,INDIRECT($B$5&amp;"生成成长"),3))*(VLOOKUP($B$5,标准坦克设计!$B$14:$K$20,9)/30))</f>
        <v>3.8724348657978189</v>
      </c>
      <c r="CC162" s="173">
        <f ca="1">(VLOOKUP(CC$72,INDIRECT($C$5&amp;"生成成长"),2))/((VLOOKUP($B162,INDIRECT($B$5&amp;"生成成长"),4))/(VLOOKUP(CC$72,INDIRECT($C$5&amp;"生成成长"),5))*(VLOOKUP($B$5,标准坦克设计!$B$24:$U$30,MATCH("对"&amp;LEFT($C$5,2)&amp;"输出",标准坦克设计!$B$23:$U$23,0)))*(VLOOKUP($B162,INDIRECT($B$5&amp;"生成成长"),3))*(VLOOKUP($B$5,标准坦克设计!$B$14:$K$20,9)/30))</f>
        <v>4.2061168745653141</v>
      </c>
      <c r="CD162" s="173">
        <f ca="1">(VLOOKUP(CD$72,INDIRECT($C$5&amp;"生成成长"),2))/((VLOOKUP($B162,INDIRECT($B$5&amp;"生成成长"),4))/(VLOOKUP(CD$72,INDIRECT($C$5&amp;"生成成长"),5))*(VLOOKUP($B$5,标准坦克设计!$B$24:$U$30,MATCH("对"&amp;LEFT($C$5,2)&amp;"输出",标准坦克设计!$B$23:$U$23,0)))*(VLOOKUP($B162,INDIRECT($B$5&amp;"生成成长"),3))*(VLOOKUP($B$5,标准坦克设计!$B$14:$K$20,9)/30))</f>
        <v>4.5535873960917961</v>
      </c>
      <c r="CE162" s="173">
        <f ca="1">(VLOOKUP(CE$72,INDIRECT($C$5&amp;"生成成长"),2))/((VLOOKUP($B162,INDIRECT($B$5&amp;"生成成长"),4))/(VLOOKUP(CE$72,INDIRECT($C$5&amp;"生成成长"),5))*(VLOOKUP($B$5,标准坦克设计!$B$24:$U$30,MATCH("对"&amp;LEFT($C$5,2)&amp;"输出",标准坦克设计!$B$23:$U$23,0)))*(VLOOKUP($B162,INDIRECT($B$5&amp;"生成成长"),3))*(VLOOKUP($B$5,标准坦克设计!$B$14:$K$20,9)/30))</f>
        <v>4.9148464303772661</v>
      </c>
      <c r="CF162" s="173">
        <f ca="1">(VLOOKUP(CF$72,INDIRECT($C$5&amp;"生成成长"),2))/((VLOOKUP($B162,INDIRECT($B$5&amp;"生成成长"),4))/(VLOOKUP(CF$72,INDIRECT($C$5&amp;"生成成长"),5))*(VLOOKUP($B$5,标准坦克设计!$B$24:$U$30,MATCH("对"&amp;LEFT($C$5,2)&amp;"输出",标准坦克设计!$B$23:$U$23,0)))*(VLOOKUP($B162,INDIRECT($B$5&amp;"生成成长"),3))*(VLOOKUP($B$5,标准坦克设计!$B$14:$K$20,9)/30))</f>
        <v>5.2898939774217242</v>
      </c>
      <c r="CG162" s="173">
        <f ca="1">(VLOOKUP(CG$72,INDIRECT($C$5&amp;"生成成长"),2))/((VLOOKUP($B162,INDIRECT($B$5&amp;"生成成长"),4))/(VLOOKUP(CG$72,INDIRECT($C$5&amp;"生成成长"),5))*(VLOOKUP($B$5,标准坦克设计!$B$24:$U$30,MATCH("对"&amp;LEFT($C$5,2)&amp;"输出",标准坦克设计!$B$23:$U$23,0)))*(VLOOKUP($B162,INDIRECT($B$5&amp;"生成成长"),3))*(VLOOKUP($B$5,标准坦克设计!$B$14:$K$20,9)/30))</f>
        <v>5.6787300372251694</v>
      </c>
      <c r="CH162" s="173">
        <f ca="1">(VLOOKUP(CH$72,INDIRECT($C$5&amp;"生成成长"),2))/((VLOOKUP($B162,INDIRECT($B$5&amp;"生成成长"),4))/(VLOOKUP(CH$72,INDIRECT($C$5&amp;"生成成长"),5))*(VLOOKUP($B$5,标准坦克设计!$B$24:$U$30,MATCH("对"&amp;LEFT($C$5,2)&amp;"输出",标准坦克设计!$B$23:$U$23,0)))*(VLOOKUP($B162,INDIRECT($B$5&amp;"生成成长"),3))*(VLOOKUP($B$5,标准坦克设计!$B$14:$K$20,9)/30))</f>
        <v>6.0813546097876019</v>
      </c>
      <c r="CI162" s="173">
        <f ca="1">(VLOOKUP(CI$72,INDIRECT($C$5&amp;"生成成长"),2))/((VLOOKUP($B162,INDIRECT($B$5&amp;"生成成长"),4))/(VLOOKUP(CI$72,INDIRECT($C$5&amp;"生成成长"),5))*(VLOOKUP($B$5,标准坦克设计!$B$24:$U$30,MATCH("对"&amp;LEFT($C$5,2)&amp;"输出",标准坦克设计!$B$23:$U$23,0)))*(VLOOKUP($B162,INDIRECT($B$5&amp;"生成成长"),3))*(VLOOKUP($B$5,标准坦克设计!$B$14:$K$20,9)/30))</f>
        <v>6.5401673718429079</v>
      </c>
      <c r="CJ162" s="173">
        <f ca="1">(VLOOKUP(CJ$72,INDIRECT($C$5&amp;"生成成长"),2))/((VLOOKUP($B162,INDIRECT($B$5&amp;"生成成长"),4))/(VLOOKUP(CJ$72,INDIRECT($C$5&amp;"生成成长"),5))*(VLOOKUP($B$5,标准坦克设计!$B$24:$U$30,MATCH("对"&amp;LEFT($C$5,2)&amp;"输出",标准坦克设计!$B$23:$U$23,0)))*(VLOOKUP($B162,INDIRECT($B$5&amp;"生成成长"),3))*(VLOOKUP($B$5,标准坦克设计!$B$14:$K$20,9)/30))</f>
        <v>7.0156642343365876</v>
      </c>
      <c r="CK162" s="173">
        <f ca="1">(VLOOKUP(CK$72,INDIRECT($C$5&amp;"生成成长"),2))/((VLOOKUP($B162,INDIRECT($B$5&amp;"生成成长"),4))/(VLOOKUP(CK$72,INDIRECT($C$5&amp;"生成成长"),5))*(VLOOKUP($B$5,标准坦克设计!$B$24:$U$30,MATCH("对"&amp;LEFT($C$5,2)&amp;"输出",标准坦克设计!$B$23:$U$23,0)))*(VLOOKUP($B162,INDIRECT($B$5&amp;"生成成长"),3))*(VLOOKUP($B$5,标准坦克设计!$B$14:$K$20,9)/30))</f>
        <v>7.5078451972686437</v>
      </c>
      <c r="CL162" s="173">
        <f ca="1">(VLOOKUP(CL$72,INDIRECT($C$5&amp;"生成成长"),2))/((VLOOKUP($B162,INDIRECT($B$5&amp;"生成成长"),4))/(VLOOKUP(CL$72,INDIRECT($C$5&amp;"生成成长"),5))*(VLOOKUP($B$5,标准坦克设计!$B$24:$U$30,MATCH("对"&amp;LEFT($C$5,2)&amp;"输出",标准坦克设计!$B$23:$U$23,0)))*(VLOOKUP($B162,INDIRECT($B$5&amp;"生成成长"),3))*(VLOOKUP($B$5,标准坦克设计!$B$14:$K$20,9)/30))</f>
        <v>8.0167102606390745</v>
      </c>
      <c r="CM162" s="173">
        <f ca="1">(VLOOKUP(CM$72,INDIRECT($C$5&amp;"生成成长"),2))/((VLOOKUP($B162,INDIRECT($B$5&amp;"生成成长"),4))/(VLOOKUP(CM$72,INDIRECT($C$5&amp;"生成成长"),5))*(VLOOKUP($B$5,标准坦克设计!$B$24:$U$30,MATCH("对"&amp;LEFT($C$5,2)&amp;"输出",标准坦克设计!$B$23:$U$23,0)))*(VLOOKUP($B162,INDIRECT($B$5&amp;"生成成长"),3))*(VLOOKUP($B$5,标准坦克设计!$B$14:$K$20,9)/30))</f>
        <v>8.5422594244478809</v>
      </c>
      <c r="CN162" s="173">
        <f ca="1">(VLOOKUP(CN$72,INDIRECT($C$5&amp;"生成成长"),2))/((VLOOKUP($B162,INDIRECT($B$5&amp;"生成成长"),4))/(VLOOKUP(CN$72,INDIRECT($C$5&amp;"生成成长"),5))*(VLOOKUP($B$5,标准坦克设计!$B$24:$U$30,MATCH("对"&amp;LEFT($C$5,2)&amp;"输出",标准坦克设计!$B$23:$U$23,0)))*(VLOOKUP($B162,INDIRECT($B$5&amp;"生成成长"),3))*(VLOOKUP($B$5,标准坦克设计!$B$14:$K$20,9)/30))</f>
        <v>9.0844926886950592</v>
      </c>
      <c r="CO162" s="173">
        <f ca="1">(VLOOKUP(CO$72,INDIRECT($C$5&amp;"生成成长"),2))/((VLOOKUP($B162,INDIRECT($B$5&amp;"生成成长"),4))/(VLOOKUP(CO$72,INDIRECT($C$5&amp;"生成成长"),5))*(VLOOKUP($B$5,标准坦克设计!$B$24:$U$30,MATCH("对"&amp;LEFT($C$5,2)&amp;"输出",标准坦克设计!$B$23:$U$23,0)))*(VLOOKUP($B162,INDIRECT($B$5&amp;"生成成长"),3))*(VLOOKUP($B$5,标准坦克设计!$B$14:$K$20,9)/30))</f>
        <v>4.0709894495272376</v>
      </c>
      <c r="CP162" s="173">
        <f ca="1">(VLOOKUP(CP$72,INDIRECT($C$5&amp;"生成成长"),2))/((VLOOKUP($B162,INDIRECT($B$5&amp;"生成成长"),4))/(VLOOKUP(CP$72,INDIRECT($C$5&amp;"生成成长"),5))*(VLOOKUP($B$5,标准坦克设计!$B$24:$U$30,MATCH("对"&amp;LEFT($C$5,2)&amp;"输出",标准坦克设计!$B$23:$U$23,0)))*(VLOOKUP($B162,INDIRECT($B$5&amp;"生成成长"),3))*(VLOOKUP($B$5,标准坦克设计!$B$14:$K$20,9)/30))</f>
        <v>4.4478984457941584</v>
      </c>
      <c r="CQ162" s="173">
        <f ca="1">(VLOOKUP(CQ$72,INDIRECT($C$5&amp;"生成成长"),2))/((VLOOKUP($B162,INDIRECT($B$5&amp;"生成成长"),4))/(VLOOKUP(CQ$72,INDIRECT($C$5&amp;"生成成长"),5))*(VLOOKUP($B$5,标准坦克设计!$B$24:$U$30,MATCH("对"&amp;LEFT($C$5,2)&amp;"输出",标准坦克设计!$B$23:$U$23,0)))*(VLOOKUP($B162,INDIRECT($B$5&amp;"生成成长"),3))*(VLOOKUP($B$5,标准坦克设计!$B$14:$K$20,9)/30))</f>
        <v>4.8414915424994538</v>
      </c>
      <c r="CR162" s="173">
        <f ca="1">(VLOOKUP(CR$72,INDIRECT($C$5&amp;"生成成长"),2))/((VLOOKUP($B162,INDIRECT($B$5&amp;"生成成长"),4))/(VLOOKUP(CR$72,INDIRECT($C$5&amp;"生成成长"),5))*(VLOOKUP($B$5,标准坦克设计!$B$24:$U$30,MATCH("对"&amp;LEFT($C$5,2)&amp;"输出",标准坦克设计!$B$23:$U$23,0)))*(VLOOKUP($B162,INDIRECT($B$5&amp;"生成成长"),3))*(VLOOKUP($B$5,标准坦克设计!$B$14:$K$20,9)/30))</f>
        <v>5.251768739643123</v>
      </c>
      <c r="CS162" s="173">
        <f ca="1">(VLOOKUP(CS$72,INDIRECT($C$5&amp;"生成成长"),2))/((VLOOKUP($B162,INDIRECT($B$5&amp;"生成成长"),4))/(VLOOKUP(CS$72,INDIRECT($C$5&amp;"生成成长"),5))*(VLOOKUP($B$5,标准坦克设计!$B$24:$U$30,MATCH("对"&amp;LEFT($C$5,2)&amp;"输出",标准坦克设计!$B$23:$U$23,0)))*(VLOOKUP($B162,INDIRECT($B$5&amp;"生成成长"),3))*(VLOOKUP($B$5,标准坦克设计!$B$14:$K$20,9)/30))</f>
        <v>5.6787300372251694</v>
      </c>
      <c r="CT162" s="173">
        <f ca="1">(VLOOKUP(CT$72,INDIRECT($C$5&amp;"生成成长"),2))/((VLOOKUP($B162,INDIRECT($B$5&amp;"生成成长"),4))/(VLOOKUP(CT$72,INDIRECT($C$5&amp;"生成成长"),5))*(VLOOKUP($B$5,标准坦克设计!$B$24:$U$30,MATCH("对"&amp;LEFT($C$5,2)&amp;"输出",标准坦克设计!$B$23:$U$23,0)))*(VLOOKUP($B162,INDIRECT($B$5&amp;"生成成长"),3))*(VLOOKUP($B$5,标准坦克设计!$B$14:$K$20,9)/30))</f>
        <v>6.1223754352455888</v>
      </c>
      <c r="CU162" s="173">
        <f ca="1">(VLOOKUP(CU$72,INDIRECT($C$5&amp;"生成成长"),2))/((VLOOKUP($B162,INDIRECT($B$5&amp;"生成成长"),4))/(VLOOKUP(CU$72,INDIRECT($C$5&amp;"生成成长"),5))*(VLOOKUP($B$5,标准坦克设计!$B$24:$U$30,MATCH("对"&amp;LEFT($C$5,2)&amp;"输出",标准坦克设计!$B$23:$U$23,0)))*(VLOOKUP($B162,INDIRECT($B$5&amp;"生成成长"),3))*(VLOOKUP($B$5,标准坦克设计!$B$14:$K$20,9)/30))</f>
        <v>6.5827049337043846</v>
      </c>
      <c r="CV162" s="173">
        <f ca="1">(VLOOKUP(CV$72,INDIRECT($C$5&amp;"生成成长"),2))/((VLOOKUP($B162,INDIRECT($B$5&amp;"生成成长"),4))/(VLOOKUP(CV$72,INDIRECT($C$5&amp;"生成成长"),5))*(VLOOKUP($B$5,标准坦克设计!$B$24:$U$30,MATCH("对"&amp;LEFT($C$5,2)&amp;"输出",标准坦克设计!$B$23:$U$23,0)))*(VLOOKUP($B162,INDIRECT($B$5&amp;"生成成长"),3))*(VLOOKUP($B$5,标准坦克设计!$B$14:$K$20,9)/30))</f>
        <v>7.0597185326015541</v>
      </c>
      <c r="CW162" s="173">
        <f ca="1">(VLOOKUP(CW$72,INDIRECT($C$5&amp;"生成成长"),2))/((VLOOKUP($B162,INDIRECT($B$5&amp;"生成成长"),4))/(VLOOKUP(CW$72,INDIRECT($C$5&amp;"生成成长"),5))*(VLOOKUP($B$5,标准坦克设计!$B$24:$U$30,MATCH("对"&amp;LEFT($C$5,2)&amp;"输出",标准坦克设计!$B$23:$U$23,0)))*(VLOOKUP($B162,INDIRECT($B$5&amp;"生成成长"),3))*(VLOOKUP($B$5,标准坦克设计!$B$14:$K$20,9)/30))</f>
        <v>7.5534162319370965</v>
      </c>
      <c r="CX162" s="173">
        <f ca="1">(VLOOKUP(CX$72,INDIRECT($C$5&amp;"生成成长"),2))/((VLOOKUP($B162,INDIRECT($B$5&amp;"生成成长"),4))/(VLOOKUP(CX$72,INDIRECT($C$5&amp;"生成成长"),5))*(VLOOKUP($B$5,标准坦克设计!$B$24:$U$30,MATCH("对"&amp;LEFT($C$5,2)&amp;"输出",标准坦克设计!$B$23:$U$23,0)))*(VLOOKUP($B162,INDIRECT($B$5&amp;"生成成长"),3))*(VLOOKUP($B$5,标准坦克设计!$B$14:$K$20,9)/30))</f>
        <v>8.0637980317110163</v>
      </c>
      <c r="CY162" s="173">
        <f ca="1">(VLOOKUP(CY$72,INDIRECT($C$5&amp;"生成成长"),2))/((VLOOKUP($B162,INDIRECT($B$5&amp;"生成成长"),4))/(VLOOKUP(CY$72,INDIRECT($C$5&amp;"生成成长"),5))*(VLOOKUP($B$5,标准坦克设计!$B$24:$U$30,MATCH("对"&amp;LEFT($C$5,2)&amp;"输出",标准坦克设计!$B$23:$U$23,0)))*(VLOOKUP($B162,INDIRECT($B$5&amp;"生成成长"),3))*(VLOOKUP($B$5,标准坦克设计!$B$14:$K$20,9)/30))</f>
        <v>8.5908639319233089</v>
      </c>
      <c r="CZ162" s="173">
        <f ca="1">(VLOOKUP(CZ$72,INDIRECT($C$5&amp;"生成成长"),2))/((VLOOKUP($B162,INDIRECT($B$5&amp;"生成成长"),4))/(VLOOKUP(CZ$72,INDIRECT($C$5&amp;"生成成长"),5))*(VLOOKUP($B$5,标准坦克设计!$B$24:$U$30,MATCH("对"&amp;LEFT($C$5,2)&amp;"输出",标准坦克设计!$B$23:$U$23,0)))*(VLOOKUP($B162,INDIRECT($B$5&amp;"生成成长"),3))*(VLOOKUP($B$5,标准坦克设计!$B$14:$K$20,9)/30))</f>
        <v>9.1346139325739788</v>
      </c>
      <c r="DA162" s="173">
        <f ca="1">(VLOOKUP(DA$72,INDIRECT($C$5&amp;"生成成长"),2))/((VLOOKUP($B162,INDIRECT($B$5&amp;"生成成长"),4))/(VLOOKUP(DA$72,INDIRECT($C$5&amp;"生成成长"),5))*(VLOOKUP($B$5,标准坦克设计!$B$24:$U$30,MATCH("对"&amp;LEFT($C$5,2)&amp;"输出",标准坦克设计!$B$23:$U$23,0)))*(VLOOKUP($B162,INDIRECT($B$5&amp;"生成成长"),3))*(VLOOKUP($B$5,标准坦克设计!$B$14:$K$20,9)/30))</f>
        <v>9.6950480336630207</v>
      </c>
      <c r="DB162" s="173">
        <f ca="1">(VLOOKUP(DB$72,INDIRECT($C$5&amp;"生成成长"),2))/((VLOOKUP($B162,INDIRECT($B$5&amp;"生成成长"),4))/(VLOOKUP(DB$72,INDIRECT($C$5&amp;"生成成长"),5))*(VLOOKUP($B$5,标准坦克设计!$B$24:$U$30,MATCH("对"&amp;LEFT($C$5,2)&amp;"输出",标准坦克设计!$B$23:$U$23,0)))*(VLOOKUP($B162,INDIRECT($B$5&amp;"生成成长"),3))*(VLOOKUP($B$5,标准坦克设计!$B$14:$K$20,9)/30))</f>
        <v>10.272166235190438</v>
      </c>
      <c r="DC162" s="173">
        <f ca="1">(VLOOKUP(DC$72,INDIRECT($C$5&amp;"生成成长"),2))/((VLOOKUP($B162,INDIRECT($B$5&amp;"生成成长"),4))/(VLOOKUP(DC$72,INDIRECT($C$5&amp;"生成成长"),5))*(VLOOKUP($B$5,标准坦克设计!$B$24:$U$30,MATCH("对"&amp;LEFT($C$5,2)&amp;"输出",标准坦克设计!$B$23:$U$23,0)))*(VLOOKUP($B162,INDIRECT($B$5&amp;"生成成长"),3))*(VLOOKUP($B$5,标准坦克设计!$B$14:$K$20,9)/30))</f>
        <v>10.920777875373208</v>
      </c>
      <c r="DD162" s="173">
        <f ca="1">(VLOOKUP(DD$72,INDIRECT($C$5&amp;"生成成长"),2))/((VLOOKUP($B162,INDIRECT($B$5&amp;"生成成长"),4))/(VLOOKUP(DD$72,INDIRECT($C$5&amp;"生成成长"),5))*(VLOOKUP($B$5,标准坦克设计!$B$24:$U$30,MATCH("对"&amp;LEFT($C$5,2)&amp;"输出",标准坦克设计!$B$23:$U$23,0)))*(VLOOKUP($B162,INDIRECT($B$5&amp;"生成成长"),3))*(VLOOKUP($B$5,标准坦克设计!$B$14:$K$20,9)/30))</f>
        <v>11.589244973928917</v>
      </c>
      <c r="DE162" s="173">
        <f ca="1">(VLOOKUP(DE$72,INDIRECT($C$5&amp;"生成成长"),2))/((VLOOKUP($B162,INDIRECT($B$5&amp;"生成成长"),4))/(VLOOKUP(DE$72,INDIRECT($C$5&amp;"生成成长"),5))*(VLOOKUP($B$5,标准坦克设计!$B$24:$U$30,MATCH("对"&amp;LEFT($C$5,2)&amp;"输出",标准坦克设计!$B$23:$U$23,0)))*(VLOOKUP($B162,INDIRECT($B$5&amp;"生成成长"),3))*(VLOOKUP($B$5,标准坦克设计!$B$14:$K$20,9)/30))</f>
        <v>12.277567530857565</v>
      </c>
      <c r="DF162" s="173">
        <f ca="1">(VLOOKUP(DF$72,INDIRECT($C$5&amp;"生成成长"),2))/((VLOOKUP($B162,INDIRECT($B$5&amp;"生成成长"),4))/(VLOOKUP(DF$72,INDIRECT($C$5&amp;"生成成长"),5))*(VLOOKUP($B$5,标准坦克设计!$B$24:$U$30,MATCH("对"&amp;LEFT($C$5,2)&amp;"输出",标准坦克设计!$B$23:$U$23,0)))*(VLOOKUP($B162,INDIRECT($B$5&amp;"生成成长"),3))*(VLOOKUP($B$5,标准坦克设计!$B$14:$K$20,9)/30))</f>
        <v>12.98574554615916</v>
      </c>
      <c r="DG162" s="173">
        <f ca="1">(VLOOKUP(DG$72,INDIRECT($C$5&amp;"生成成长"),2))/((VLOOKUP($B162,INDIRECT($B$5&amp;"生成成长"),4))/(VLOOKUP(DG$72,INDIRECT($C$5&amp;"生成成长"),5))*(VLOOKUP($B$5,标准坦克设计!$B$24:$U$30,MATCH("对"&amp;LEFT($C$5,2)&amp;"输出",标准坦克设计!$B$23:$U$23,0)))*(VLOOKUP($B162,INDIRECT($B$5&amp;"生成成长"),3))*(VLOOKUP($B$5,标准坦克设计!$B$14:$K$20,9)/30))</f>
        <v>13.713779019833694</v>
      </c>
      <c r="DH162" s="173">
        <f ca="1">(VLOOKUP(DH$72,INDIRECT($C$5&amp;"生成成长"),2))/((VLOOKUP($B162,INDIRECT($B$5&amp;"生成成长"),4))/(VLOOKUP(DH$72,INDIRECT($C$5&amp;"生成成长"),5))*(VLOOKUP($B$5,标准坦克设计!$B$24:$U$30,MATCH("对"&amp;LEFT($C$5,2)&amp;"输出",标准坦克设计!$B$23:$U$23,0)))*(VLOOKUP($B162,INDIRECT($B$5&amp;"生成成长"),3))*(VLOOKUP($B$5,标准坦克设计!$B$14:$K$20,9)/30))</f>
        <v>14.461667951881171</v>
      </c>
      <c r="DI162" s="173">
        <f ca="1">(VLOOKUP(DI$72,INDIRECT($C$5&amp;"生成成长"),2))/((VLOOKUP($B162,INDIRECT($B$5&amp;"生成成长"),4))/(VLOOKUP(DI$72,INDIRECT($C$5&amp;"生成成长"),5))*(VLOOKUP($B$5,标准坦克设计!$B$24:$U$30,MATCH("对"&amp;LEFT($C$5,2)&amp;"输出",标准坦克设计!$B$23:$U$23,0)))*(VLOOKUP($B162,INDIRECT($B$5&amp;"生成成长"),3))*(VLOOKUP($B$5,标准坦克设计!$B$14:$K$20,9)/30))</f>
        <v>15.229412342301593</v>
      </c>
      <c r="DJ162" s="173">
        <f ca="1">(VLOOKUP(DJ$72,INDIRECT($C$5&amp;"生成成长"),2))/((VLOOKUP($B162,INDIRECT($B$5&amp;"生成成长"),4))/(VLOOKUP(DJ$72,INDIRECT($C$5&amp;"生成成长"),5))*(VLOOKUP($B$5,标准坦克设计!$B$24:$U$30,MATCH("对"&amp;LEFT($C$5,2)&amp;"输出",标准坦克设计!$B$23:$U$23,0)))*(VLOOKUP($B162,INDIRECT($B$5&amp;"生成成长"),3))*(VLOOKUP($B$5,标准坦克设计!$B$14:$K$20,9)/30))</f>
        <v>1.5305938588113972</v>
      </c>
      <c r="DK162" s="173">
        <f ca="1">(VLOOKUP(DK$72,INDIRECT($C$5&amp;"生成成长"),2))/((VLOOKUP($B162,INDIRECT($B$5&amp;"生成成长"),4))/(VLOOKUP(DK$72,INDIRECT($C$5&amp;"生成成长"),5))*(VLOOKUP($B$5,标准坦克设计!$B$24:$U$30,MATCH("对"&amp;LEFT($C$5,2)&amp;"输出",标准坦克设计!$B$23:$U$23,0)))*(VLOOKUP($B162,INDIRECT($B$5&amp;"生成成长"),3))*(VLOOKUP($B$5,标准坦克设计!$B$14:$K$20,9)/30))</f>
        <v>1.7210821625768085</v>
      </c>
      <c r="DL162" s="173">
        <f ca="1">(VLOOKUP(DL$72,INDIRECT($C$5&amp;"生成成长"),2))/((VLOOKUP($B162,INDIRECT($B$5&amp;"生成成长"),4))/(VLOOKUP(DL$72,INDIRECT($C$5&amp;"生成成长"),5))*(VLOOKUP($B$5,标准坦克设计!$B$24:$U$30,MATCH("对"&amp;LEFT($C$5,2)&amp;"输出",标准坦克设计!$B$23:$U$23,0)))*(VLOOKUP($B162,INDIRECT($B$5&amp;"生成成长"),3))*(VLOOKUP($B$5,标准坦克设计!$B$14:$K$20,9)/30))</f>
        <v>1.9227391616769991</v>
      </c>
      <c r="DM162" s="173">
        <f ca="1">(VLOOKUP(DM$72,INDIRECT($C$5&amp;"生成成长"),2))/((VLOOKUP($B162,INDIRECT($B$5&amp;"生成成长"),4))/(VLOOKUP(DM$72,INDIRECT($C$5&amp;"生成成长"),5))*(VLOOKUP($B$5,标准坦克设计!$B$24:$U$30,MATCH("对"&amp;LEFT($C$5,2)&amp;"输出",标准坦克设计!$B$23:$U$23,0)))*(VLOOKUP($B162,INDIRECT($B$5&amp;"生成成长"),3))*(VLOOKUP($B$5,标准坦克设计!$B$14:$K$20,9)/30))</f>
        <v>2.1355648561119702</v>
      </c>
      <c r="DN162" s="173">
        <f ca="1">(VLOOKUP(DN$72,INDIRECT($C$5&amp;"生成成长"),2))/((VLOOKUP($B162,INDIRECT($B$5&amp;"生成成长"),4))/(VLOOKUP(DN$72,INDIRECT($C$5&amp;"生成成长"),5))*(VLOOKUP($B$5,标准坦克设计!$B$24:$U$30,MATCH("对"&amp;LEFT($C$5,2)&amp;"输出",标准坦克设计!$B$23:$U$23,0)))*(VLOOKUP($B162,INDIRECT($B$5&amp;"生成成长"),3))*(VLOOKUP($B$5,标准坦克设计!$B$14:$K$20,9)/30))</f>
        <v>2.3595592458817203</v>
      </c>
      <c r="DO162" s="173">
        <f ca="1">(VLOOKUP(DO$72,INDIRECT($C$5&amp;"生成成长"),2))/((VLOOKUP($B162,INDIRECT($B$5&amp;"生成成长"),4))/(VLOOKUP(DO$72,INDIRECT($C$5&amp;"生成成长"),5))*(VLOOKUP($B$5,标准坦克设计!$B$24:$U$30,MATCH("对"&amp;LEFT($C$5,2)&amp;"输出",标准坦克设计!$B$23:$U$23,0)))*(VLOOKUP($B162,INDIRECT($B$5&amp;"生成成长"),3))*(VLOOKUP($B$5,标准坦克设计!$B$14:$K$20,9)/30))</f>
        <v>2.5947223309862504</v>
      </c>
      <c r="DP162" s="173">
        <f ca="1">(VLOOKUP(DP$72,INDIRECT($C$5&amp;"生成成长"),2))/((VLOOKUP($B162,INDIRECT($B$5&amp;"生成成长"),4))/(VLOOKUP(DP$72,INDIRECT($C$5&amp;"生成成长"),5))*(VLOOKUP($B$5,标准坦克设计!$B$24:$U$30,MATCH("对"&amp;LEFT($C$5,2)&amp;"输出",标准坦克设计!$B$23:$U$23,0)))*(VLOOKUP($B162,INDIRECT($B$5&amp;"生成成长"),3))*(VLOOKUP($B$5,标准坦克设计!$B$14:$K$20,9)/30))</f>
        <v>2.8410541114255614</v>
      </c>
      <c r="DQ162" s="173">
        <f ca="1">(VLOOKUP(DQ$72,INDIRECT($C$5&amp;"生成成长"),2))/((VLOOKUP($B162,INDIRECT($B$5&amp;"生成成长"),4))/(VLOOKUP(DQ$72,INDIRECT($C$5&amp;"生成成长"),5))*(VLOOKUP($B$5,标准坦克设计!$B$24:$U$30,MATCH("对"&amp;LEFT($C$5,2)&amp;"输出",标准坦克设计!$B$23:$U$23,0)))*(VLOOKUP($B162,INDIRECT($B$5&amp;"生成成长"),3))*(VLOOKUP($B$5,标准坦克设计!$B$14:$K$20,9)/30))</f>
        <v>3.0985545871996503</v>
      </c>
      <c r="DR162" s="173">
        <f ca="1">(VLOOKUP(DR$72,INDIRECT($C$5&amp;"生成成长"),2))/((VLOOKUP($B162,INDIRECT($B$5&amp;"生成成长"),4))/(VLOOKUP(DR$72,INDIRECT($C$5&amp;"生成成长"),5))*(VLOOKUP($B$5,标准坦克设计!$B$24:$U$30,MATCH("对"&amp;LEFT($C$5,2)&amp;"输出",标准坦克设计!$B$23:$U$23,0)))*(VLOOKUP($B162,INDIRECT($B$5&amp;"生成成长"),3))*(VLOOKUP($B$5,标准坦克设计!$B$14:$K$20,9)/30))</f>
        <v>3.3672237583085196</v>
      </c>
      <c r="DS162" s="173">
        <f ca="1">(VLOOKUP(DS$72,INDIRECT($C$5&amp;"生成成长"),2))/((VLOOKUP($B162,INDIRECT($B$5&amp;"生成成长"),4))/(VLOOKUP(DS$72,INDIRECT($C$5&amp;"生成成长"),5))*(VLOOKUP($B$5,标准坦克设计!$B$24:$U$30,MATCH("对"&amp;LEFT($C$5,2)&amp;"输出",标准坦克设计!$B$23:$U$23,0)))*(VLOOKUP($B162,INDIRECT($B$5&amp;"生成成长"),3))*(VLOOKUP($B$5,标准坦克设计!$B$14:$K$20,9)/30))</f>
        <v>3.6470616247521694</v>
      </c>
      <c r="DT162" s="173">
        <f ca="1">(VLOOKUP(DT$72,INDIRECT($C$5&amp;"生成成长"),2))/((VLOOKUP($B162,INDIRECT($B$5&amp;"生成成长"),4))/(VLOOKUP(DT$72,INDIRECT($C$5&amp;"生成成长"),5))*(VLOOKUP($B$5,标准坦克设计!$B$24:$U$30,MATCH("对"&amp;LEFT($C$5,2)&amp;"输出",标准坦克设计!$B$23:$U$23,0)))*(VLOOKUP($B162,INDIRECT($B$5&amp;"生成成长"),3))*(VLOOKUP($B$5,标准坦克设计!$B$14:$K$20,9)/30))</f>
        <v>4.0042530477737381</v>
      </c>
      <c r="DU162" s="173">
        <f ca="1">(VLOOKUP(DU$72,INDIRECT($C$5&amp;"生成成长"),2))/((VLOOKUP($B162,INDIRECT($B$5&amp;"生成成长"),4))/(VLOOKUP(DU$72,INDIRECT($C$5&amp;"生成成长"),5))*(VLOOKUP($B$5,标准坦克设计!$B$24:$U$30,MATCH("对"&amp;LEFT($C$5,2)&amp;"输出",标准坦克设计!$B$23:$U$23,0)))*(VLOOKUP($B162,INDIRECT($B$5&amp;"生成成长"),3))*(VLOOKUP($B$5,标准坦克设计!$B$14:$K$20,9)/30))</f>
        <v>4.3781285712336819</v>
      </c>
      <c r="DV162" s="173">
        <f ca="1">(VLOOKUP(DV$72,INDIRECT($C$5&amp;"生成成长"),2))/((VLOOKUP($B162,INDIRECT($B$5&amp;"生成成长"),4))/(VLOOKUP(DV$72,INDIRECT($C$5&amp;"生成成长"),5))*(VLOOKUP($B$5,标准坦克设计!$B$24:$U$30,MATCH("对"&amp;LEFT($C$5,2)&amp;"输出",标准坦克设计!$B$23:$U$23,0)))*(VLOOKUP($B162,INDIRECT($B$5&amp;"生成成长"),3))*(VLOOKUP($B$5,标准坦克设计!$B$14:$K$20,9)/30))</f>
        <v>4.7686881951320004</v>
      </c>
      <c r="DW162" s="173">
        <f ca="1">(VLOOKUP(DW$72,INDIRECT($C$5&amp;"生成成长"),2))/((VLOOKUP($B162,INDIRECT($B$5&amp;"生成成长"),4))/(VLOOKUP(DW$72,INDIRECT($C$5&amp;"生成成长"),5))*(VLOOKUP($B$5,标准坦克设计!$B$24:$U$30,MATCH("对"&amp;LEFT($C$5,2)&amp;"输出",标准坦克设计!$B$23:$U$23,0)))*(VLOOKUP($B162,INDIRECT($B$5&amp;"生成成长"),3))*(VLOOKUP($B$5,标准坦克设计!$B$14:$K$20,9)/30))</f>
        <v>5.1759319194686935</v>
      </c>
      <c r="DX162" s="173">
        <f ca="1">(VLOOKUP(DX$72,INDIRECT($C$5&amp;"生成成长"),2))/((VLOOKUP($B162,INDIRECT($B$5&amp;"生成成长"),4))/(VLOOKUP(DX$72,INDIRECT($C$5&amp;"生成成长"),5))*(VLOOKUP($B$5,标准坦克设计!$B$24:$U$30,MATCH("对"&amp;LEFT($C$5,2)&amp;"输出",标准坦克设计!$B$23:$U$23,0)))*(VLOOKUP($B162,INDIRECT($B$5&amp;"生成成长"),3))*(VLOOKUP($B$5,标准坦克设计!$B$14:$K$20,9)/30))</f>
        <v>5.5998597442437603</v>
      </c>
      <c r="DY162" s="173">
        <f ca="1">(VLOOKUP(DY$72,INDIRECT($C$5&amp;"生成成长"),2))/((VLOOKUP($B162,INDIRECT($B$5&amp;"生成成长"),4))/(VLOOKUP(DY$72,INDIRECT($C$5&amp;"生成成长"),5))*(VLOOKUP($B$5,标准坦克设计!$B$24:$U$30,MATCH("对"&amp;LEFT($C$5,2)&amp;"输出",标准坦克设计!$B$23:$U$23,0)))*(VLOOKUP($B162,INDIRECT($B$5&amp;"生成成长"),3))*(VLOOKUP($B$5,标准坦克设计!$B$14:$K$20,9)/30))</f>
        <v>2.5150936698030981</v>
      </c>
      <c r="DZ162" s="173">
        <f ca="1">(VLOOKUP(DZ$72,INDIRECT($C$5&amp;"生成成长"),2))/((VLOOKUP($B162,INDIRECT($B$5&amp;"生成成长"),4))/(VLOOKUP(DZ$72,INDIRECT($C$5&amp;"生成成长"),5))*(VLOOKUP($B$5,标准坦克设计!$B$24:$U$30,MATCH("对"&amp;LEFT($C$5,2)&amp;"输出",标准坦克设计!$B$23:$U$23,0)))*(VLOOKUP($B162,INDIRECT($B$5&amp;"生成成长"),3))*(VLOOKUP($B$5,标准坦克设计!$B$14:$K$20,9)/30))</f>
        <v>2.7853485198792511</v>
      </c>
      <c r="EA162" s="173">
        <f ca="1">(VLOOKUP(EA$72,INDIRECT($C$5&amp;"生成成长"),2))/((VLOOKUP($B162,INDIRECT($B$5&amp;"生成成长"),4))/(VLOOKUP(EA$72,INDIRECT($C$5&amp;"生成成长"),5))*(VLOOKUP($B$5,标准坦克设计!$B$24:$U$30,MATCH("对"&amp;LEFT($C$5,2)&amp;"输出",标准坦克设计!$B$23:$U$23,0)))*(VLOOKUP($B162,INDIRECT($B$5&amp;"生成成长"),3))*(VLOOKUP($B$5,标准坦克设计!$B$14:$K$20,9)/30))</f>
        <v>3.0693918827143913</v>
      </c>
      <c r="EB162" s="173">
        <f ca="1">(VLOOKUP(EB$72,INDIRECT($C$5&amp;"生成成长"),2))/((VLOOKUP($B162,INDIRECT($B$5&amp;"生成成长"),4))/(VLOOKUP(EB$72,INDIRECT($C$5&amp;"生成成长"),5))*(VLOOKUP($B$5,标准坦克设计!$B$24:$U$30,MATCH("对"&amp;LEFT($C$5,2)&amp;"输出",标准坦克设计!$B$23:$U$23,0)))*(VLOOKUP($B162,INDIRECT($B$5&amp;"生成成长"),3))*(VLOOKUP($B$5,标准坦克设计!$B$14:$K$20,9)/30))</f>
        <v>3.3672237583085196</v>
      </c>
      <c r="EC162" s="173">
        <f ca="1">(VLOOKUP(EC$72,INDIRECT($C$5&amp;"生成成长"),2))/((VLOOKUP($B162,INDIRECT($B$5&amp;"生成成长"),4))/(VLOOKUP(EC$72,INDIRECT($C$5&amp;"生成成长"),5))*(VLOOKUP($B$5,标准坦克设计!$B$24:$U$30,MATCH("对"&amp;LEFT($C$5,2)&amp;"输出",标准坦克设计!$B$23:$U$23,0)))*(VLOOKUP($B162,INDIRECT($B$5&amp;"生成成长"),3))*(VLOOKUP($B$5,标准坦克设计!$B$14:$K$20,9)/30))</f>
        <v>3.6788441466616351</v>
      </c>
      <c r="ED162" s="173">
        <f ca="1">(VLOOKUP(ED$72,INDIRECT($C$5&amp;"生成成长"),2))/((VLOOKUP($B162,INDIRECT($B$5&amp;"生成成长"),4))/(VLOOKUP(ED$72,INDIRECT($C$5&amp;"生成成长"),5))*(VLOOKUP($B$5,标准坦克设计!$B$24:$U$30,MATCH("对"&amp;LEFT($C$5,2)&amp;"输出",标准坦克设计!$B$23:$U$23,0)))*(VLOOKUP($B162,INDIRECT($B$5&amp;"生成成长"),3))*(VLOOKUP($B$5,标准坦克设计!$B$14:$K$20,9)/30))</f>
        <v>4.0042530477737381</v>
      </c>
      <c r="EE162" s="173">
        <f ca="1">(VLOOKUP(EE$72,INDIRECT($C$5&amp;"生成成长"),2))/((VLOOKUP($B162,INDIRECT($B$5&amp;"生成成长"),4))/(VLOOKUP(EE$72,INDIRECT($C$5&amp;"生成成长"),5))*(VLOOKUP($B$5,标准坦克设计!$B$24:$U$30,MATCH("对"&amp;LEFT($C$5,2)&amp;"输出",标准坦克设计!$B$23:$U$23,0)))*(VLOOKUP($B162,INDIRECT($B$5&amp;"生成成长"),3))*(VLOOKUP($B$5,标准坦克设计!$B$14:$K$20,9)/30))</f>
        <v>4.3434504616448288</v>
      </c>
      <c r="EF162" s="173">
        <f ca="1">(VLOOKUP(EF$72,INDIRECT($C$5&amp;"生成成长"),2))/((VLOOKUP($B162,INDIRECT($B$5&amp;"生成成长"),4))/(VLOOKUP(EF$72,INDIRECT($C$5&amp;"生成成长"),5))*(VLOOKUP($B$5,标准坦克设计!$B$24:$U$30,MATCH("对"&amp;LEFT($C$5,2)&amp;"输出",标准坦克设计!$B$23:$U$23,0)))*(VLOOKUP($B162,INDIRECT($B$5&amp;"生成成长"),3))*(VLOOKUP($B$5,标准坦克设计!$B$14:$K$20,9)/30))</f>
        <v>4.6964363882749058</v>
      </c>
      <c r="EG162" s="173">
        <f ca="1">(VLOOKUP(EG$72,INDIRECT($C$5&amp;"生成成长"),2))/((VLOOKUP($B162,INDIRECT($B$5&amp;"生成成长"),4))/(VLOOKUP(EG$72,INDIRECT($C$5&amp;"生成成长"),5))*(VLOOKUP($B$5,标准坦克设计!$B$24:$U$30,MATCH("对"&amp;LEFT($C$5,2)&amp;"输出",标准坦克设计!$B$23:$U$23,0)))*(VLOOKUP($B162,INDIRECT($B$5&amp;"生成成长"),3))*(VLOOKUP($B$5,标准坦克设计!$B$14:$K$20,9)/30))</f>
        <v>5.0632108276639718</v>
      </c>
      <c r="EH162" s="173">
        <f ca="1">(VLOOKUP(EH$72,INDIRECT($C$5&amp;"生成成长"),2))/((VLOOKUP($B162,INDIRECT($B$5&amp;"生成成长"),4))/(VLOOKUP(EH$72,INDIRECT($C$5&amp;"生成成长"),5))*(VLOOKUP($B$5,标准坦克设计!$B$24:$U$30,MATCH("对"&amp;LEFT($C$5,2)&amp;"输出",标准坦克设计!$B$23:$U$23,0)))*(VLOOKUP($B162,INDIRECT($B$5&amp;"生成成长"),3))*(VLOOKUP($B$5,标准坦克设计!$B$14:$K$20,9)/30))</f>
        <v>5.443773779812024</v>
      </c>
      <c r="EI162" s="173">
        <f ca="1">(VLOOKUP(EI$72,INDIRECT($C$5&amp;"生成成长"),2))/((VLOOKUP($B162,INDIRECT($B$5&amp;"生成成长"),4))/(VLOOKUP(EI$72,INDIRECT($C$5&amp;"生成成长"),5))*(VLOOKUP($B$5,标准坦克设计!$B$24:$U$30,MATCH("对"&amp;LEFT($C$5,2)&amp;"输出",标准坦克设计!$B$23:$U$23,0)))*(VLOOKUP($B162,INDIRECT($B$5&amp;"生成成长"),3))*(VLOOKUP($B$5,标准坦克设计!$B$14:$K$20,9)/30))</f>
        <v>5.8381252447190626</v>
      </c>
      <c r="EJ162" s="173">
        <f ca="1">(VLOOKUP(EJ$72,INDIRECT($C$5&amp;"生成成长"),2))/((VLOOKUP($B162,INDIRECT($B$5&amp;"生成成长"),4))/(VLOOKUP(EJ$72,INDIRECT($C$5&amp;"生成成长"),5))*(VLOOKUP($B$5,标准坦克设计!$B$24:$U$30,MATCH("对"&amp;LEFT($C$5,2)&amp;"输出",标准坦克设计!$B$23:$U$23,0)))*(VLOOKUP($B162,INDIRECT($B$5&amp;"生成成长"),3))*(VLOOKUP($B$5,标准坦克设计!$B$14:$K$20,9)/30))</f>
        <v>6.246265222385091</v>
      </c>
      <c r="EK162" s="173">
        <f ca="1">(VLOOKUP(EK$72,INDIRECT($C$5&amp;"生成成长"),2))/((VLOOKUP($B162,INDIRECT($B$5&amp;"生成成长"),4))/(VLOOKUP(EK$72,INDIRECT($C$5&amp;"生成成长"),5))*(VLOOKUP($B$5,标准坦克设计!$B$24:$U$30,MATCH("对"&amp;LEFT($C$5,2)&amp;"输出",标准坦克设计!$B$23:$U$23,0)))*(VLOOKUP($B162,INDIRECT($B$5&amp;"生成成长"),3))*(VLOOKUP($B$5,标准坦克设计!$B$14:$K$20,9)/30))</f>
        <v>6.7542340324261865</v>
      </c>
      <c r="EL162" s="173">
        <f ca="1">(VLOOKUP(EL$72,INDIRECT($C$5&amp;"生成成长"),2))/((VLOOKUP($B162,INDIRECT($B$5&amp;"生成成长"),4))/(VLOOKUP(EL$72,INDIRECT($C$5&amp;"生成成长"),5))*(VLOOKUP($B$5,标准坦克设计!$B$24:$U$30,MATCH("对"&amp;LEFT($C$5,2)&amp;"输出",标准坦克设计!$B$23:$U$23,0)))*(VLOOKUP($B162,INDIRECT($B$5&amp;"生成成长"),3))*(VLOOKUP($B$5,标准坦克设计!$B$14:$K$20,9)/30))</f>
        <v>7.2820583008402249</v>
      </c>
      <c r="EM162" s="173">
        <f ca="1">(VLOOKUP(EM$72,INDIRECT($C$5&amp;"生成成长"),2))/((VLOOKUP($B162,INDIRECT($B$5&amp;"生成成长"),4))/(VLOOKUP(EM$72,INDIRECT($C$5&amp;"生成成长"),5))*(VLOOKUP($B$5,标准坦克设计!$B$24:$U$30,MATCH("对"&amp;LEFT($C$5,2)&amp;"输出",标准坦克设计!$B$23:$U$23,0)))*(VLOOKUP($B162,INDIRECT($B$5&amp;"生成成长"),3))*(VLOOKUP($B$5,标准坦克设计!$B$14:$K$20,9)/30))</f>
        <v>7.8297380276272044</v>
      </c>
      <c r="EN162" s="173">
        <f ca="1">(VLOOKUP(EN$72,INDIRECT($C$5&amp;"生成成长"),2))/((VLOOKUP($B162,INDIRECT($B$5&amp;"生成成长"),4))/(VLOOKUP(EN$72,INDIRECT($C$5&amp;"生成成长"),5))*(VLOOKUP($B$5,标准坦克设计!$B$24:$U$30,MATCH("对"&amp;LEFT($C$5,2)&amp;"输出",标准坦克设计!$B$23:$U$23,0)))*(VLOOKUP($B162,INDIRECT($B$5&amp;"生成成长"),3))*(VLOOKUP($B$5,标准坦克设计!$B$14:$K$20,9)/30))</f>
        <v>8.3972732127871268</v>
      </c>
      <c r="EO162" s="173">
        <f ca="1">(VLOOKUP(EO$72,INDIRECT($C$5&amp;"生成成长"),2))/((VLOOKUP($B162,INDIRECT($B$5&amp;"生成成长"),4))/(VLOOKUP(EO$72,INDIRECT($C$5&amp;"生成成长"),5))*(VLOOKUP($B$5,标准坦克设计!$B$24:$U$30,MATCH("对"&amp;LEFT($C$5,2)&amp;"输出",标准坦克设计!$B$23:$U$23,0)))*(VLOOKUP($B162,INDIRECT($B$5&amp;"生成成长"),3))*(VLOOKUP($B$5,标准坦克设计!$B$14:$K$20,9)/30))</f>
        <v>8.9846638563199903</v>
      </c>
      <c r="EP162" s="173">
        <f ca="1">(VLOOKUP(EP$72,INDIRECT($C$5&amp;"生成成长"),2))/((VLOOKUP($B162,INDIRECT($B$5&amp;"生成成长"),4))/(VLOOKUP(EP$72,INDIRECT($C$5&amp;"生成成长"),5))*(VLOOKUP($B$5,标准坦克设计!$B$24:$U$30,MATCH("对"&amp;LEFT($C$5,2)&amp;"输出",标准坦克设计!$B$23:$U$23,0)))*(VLOOKUP($B162,INDIRECT($B$5&amp;"生成成长"),3))*(VLOOKUP($B$5,标准坦克设计!$B$14:$K$20,9)/30))</f>
        <v>9.591909958225795</v>
      </c>
      <c r="EQ162" s="173">
        <f ca="1">(VLOOKUP(EQ$72,INDIRECT($C$5&amp;"生成成长"),2))/((VLOOKUP($B162,INDIRECT($B$5&amp;"生成成长"),4))/(VLOOKUP(EQ$72,INDIRECT($C$5&amp;"生成成长"),5))*(VLOOKUP($B$5,标准坦克设计!$B$24:$U$30,MATCH("对"&amp;LEFT($C$5,2)&amp;"输出",标准坦克设计!$B$23:$U$23,0)))*(VLOOKUP($B162,INDIRECT($B$5&amp;"生成成长"),3))*(VLOOKUP($B$5,标准坦克设计!$B$14:$K$20,9)/30))</f>
        <v>4.2402434436438075</v>
      </c>
      <c r="ER162" s="173">
        <f ca="1">(VLOOKUP(ER$72,INDIRECT($C$5&amp;"生成成长"),2))/((VLOOKUP($B162,INDIRECT($B$5&amp;"生成成长"),4))/(VLOOKUP(ER$72,INDIRECT($C$5&amp;"生成成长"),5))*(VLOOKUP($B$5,标准坦克设计!$B$24:$U$30,MATCH("对"&amp;LEFT($C$5,2)&amp;"输出",标准坦克设计!$B$23:$U$23,0)))*(VLOOKUP($B162,INDIRECT($B$5&amp;"生成成长"),3))*(VLOOKUP($B$5,标准坦克设计!$B$14:$K$20,9)/30))</f>
        <v>4.6247361219281711</v>
      </c>
      <c r="ES162" s="173">
        <f ca="1">(VLOOKUP(ES$72,INDIRECT($C$5&amp;"生成成长"),2))/((VLOOKUP($B162,INDIRECT($B$5&amp;"生成成长"),4))/(VLOOKUP(ES$72,INDIRECT($C$5&amp;"生成成长"),5))*(VLOOKUP($B$5,标准坦克设计!$B$24:$U$30,MATCH("对"&amp;LEFT($C$5,2)&amp;"输出",标准坦克设计!$B$23:$U$23,0)))*(VLOOKUP($B162,INDIRECT($B$5&amp;"生成成长"),3))*(VLOOKUP($B$5,标准坦克设计!$B$14:$K$20,9)/30))</f>
        <v>5.0259129006509093</v>
      </c>
      <c r="ET162" s="173">
        <f ca="1">(VLOOKUP(ET$72,INDIRECT($C$5&amp;"生成成长"),2))/((VLOOKUP($B162,INDIRECT($B$5&amp;"生成成长"),4))/(VLOOKUP(ET$72,INDIRECT($C$5&amp;"生成成长"),5))*(VLOOKUP($B$5,标准坦克设计!$B$24:$U$30,MATCH("对"&amp;LEFT($C$5,2)&amp;"输出",标准坦克设计!$B$23:$U$23,0)))*(VLOOKUP($B162,INDIRECT($B$5&amp;"生成成长"),3))*(VLOOKUP($B$5,标准坦克设计!$B$14:$K$20,9)/30))</f>
        <v>5.443773779812024</v>
      </c>
      <c r="EU162" s="173">
        <f ca="1">(VLOOKUP(EU$72,INDIRECT($C$5&amp;"生成成长"),2))/((VLOOKUP($B162,INDIRECT($B$5&amp;"生成成长"),4))/(VLOOKUP(EU$72,INDIRECT($C$5&amp;"生成成长"),5))*(VLOOKUP($B$5,标准坦克设计!$B$24:$U$30,MATCH("对"&amp;LEFT($C$5,2)&amp;"输出",标准坦克设计!$B$23:$U$23,0)))*(VLOOKUP($B162,INDIRECT($B$5&amp;"生成成长"),3))*(VLOOKUP($B$5,标准坦克设计!$B$14:$K$20,9)/30))</f>
        <v>5.8783187594115116</v>
      </c>
      <c r="EV162" s="173">
        <f ca="1">(VLOOKUP(EV$72,INDIRECT($C$5&amp;"生成成长"),2))/((VLOOKUP($B162,INDIRECT($B$5&amp;"生成成长"),4))/(VLOOKUP(EV$72,INDIRECT($C$5&amp;"生成成长"),5))*(VLOOKUP($B$5,标准坦克设计!$B$24:$U$30,MATCH("对"&amp;LEFT($C$5,2)&amp;"输出",标准坦克设计!$B$23:$U$23,0)))*(VLOOKUP($B162,INDIRECT($B$5&amp;"生成成长"),3))*(VLOOKUP($B$5,标准坦克设计!$B$14:$K$20,9)/30))</f>
        <v>6.3295478394493747</v>
      </c>
      <c r="EW162" s="173">
        <f ca="1">(VLOOKUP(EW$72,INDIRECT($C$5&amp;"生成成长"),2))/((VLOOKUP($B162,INDIRECT($B$5&amp;"生成成长"),4))/(VLOOKUP(EW$72,INDIRECT($C$5&amp;"生成成长"),5))*(VLOOKUP($B$5,标准坦克设计!$B$24:$U$30,MATCH("对"&amp;LEFT($C$5,2)&amp;"输出",标准坦克设计!$B$23:$U$23,0)))*(VLOOKUP($B162,INDIRECT($B$5&amp;"生成成长"),3))*(VLOOKUP($B$5,标准坦克设计!$B$14:$K$20,9)/30))</f>
        <v>6.7974610199256116</v>
      </c>
      <c r="EX162" s="173">
        <f ca="1">(VLOOKUP(EX$72,INDIRECT($C$5&amp;"生成成长"),2))/((VLOOKUP($B162,INDIRECT($B$5&amp;"生成成长"),4))/(VLOOKUP(EX$72,INDIRECT($C$5&amp;"生成成长"),5))*(VLOOKUP($B$5,标准坦克设计!$B$24:$U$30,MATCH("对"&amp;LEFT($C$5,2)&amp;"输出",标准坦克设计!$B$23:$U$23,0)))*(VLOOKUP($B162,INDIRECT($B$5&amp;"生成成长"),3))*(VLOOKUP($B$5,标准坦克设计!$B$14:$K$20,9)/30))</f>
        <v>7.2820583008402249</v>
      </c>
      <c r="EY162" s="173">
        <f ca="1">(VLOOKUP(EY$72,INDIRECT($C$5&amp;"生成成长"),2))/((VLOOKUP($B162,INDIRECT($B$5&amp;"生成成长"),4))/(VLOOKUP(EY$72,INDIRECT($C$5&amp;"生成成长"),5))*(VLOOKUP($B$5,标准坦克设计!$B$24:$U$30,MATCH("对"&amp;LEFT($C$5,2)&amp;"输出",标准坦克设计!$B$23:$U$23,0)))*(VLOOKUP($B162,INDIRECT($B$5&amp;"生成成长"),3))*(VLOOKUP($B$5,标准坦克设计!$B$14:$K$20,9)/30))</f>
        <v>7.7833396821932119</v>
      </c>
      <c r="EZ162" s="173">
        <f ca="1">(VLOOKUP(EZ$72,INDIRECT($C$5&amp;"生成成长"),2))/((VLOOKUP($B162,INDIRECT($B$5&amp;"生成成长"),4))/(VLOOKUP(EZ$72,INDIRECT($C$5&amp;"生成成长"),5))*(VLOOKUP($B$5,标准坦克设计!$B$24:$U$30,MATCH("对"&amp;LEFT($C$5,2)&amp;"输出",标准坦克设计!$B$23:$U$23,0)))*(VLOOKUP($B162,INDIRECT($B$5&amp;"生成成长"),3))*(VLOOKUP($B$5,标准坦克设计!$B$14:$K$20,9)/30))</f>
        <v>8.3013051639845763</v>
      </c>
      <c r="FA162" s="173">
        <f ca="1">(VLOOKUP(FA$72,INDIRECT($C$5&amp;"生成成长"),2))/((VLOOKUP($B162,INDIRECT($B$5&amp;"生成成长"),4))/(VLOOKUP(FA$72,INDIRECT($C$5&amp;"生成成长"),5))*(VLOOKUP($B$5,标准坦克设计!$B$24:$U$30,MATCH("对"&amp;LEFT($C$5,2)&amp;"输出",标准坦克设计!$B$23:$U$23,0)))*(VLOOKUP($B162,INDIRECT($B$5&amp;"生成成长"),3))*(VLOOKUP($B$5,标准坦克设计!$B$14:$K$20,9)/30))</f>
        <v>8.8359547462143109</v>
      </c>
      <c r="FB162" s="173">
        <f ca="1">(VLOOKUP(FB$72,INDIRECT($C$5&amp;"生成成长"),2))/((VLOOKUP($B162,INDIRECT($B$5&amp;"生成成长"),4))/(VLOOKUP(FB$72,INDIRECT($C$5&amp;"生成成长"),5))*(VLOOKUP($B$5,标准坦克设计!$B$24:$U$30,MATCH("对"&amp;LEFT($C$5,2)&amp;"输出",标准坦克设计!$B$23:$U$23,0)))*(VLOOKUP($B162,INDIRECT($B$5&amp;"生成成长"),3))*(VLOOKUP($B$5,标准坦克设计!$B$14:$K$20,9)/30))</f>
        <v>9.387288428882421</v>
      </c>
      <c r="FC162" s="173">
        <f ca="1">(VLOOKUP(FC$72,INDIRECT($C$5&amp;"生成成长"),2))/((VLOOKUP($B162,INDIRECT($B$5&amp;"生成成长"),4))/(VLOOKUP(FC$72,INDIRECT($C$5&amp;"生成成长"),5))*(VLOOKUP($B$5,标准坦克设计!$B$24:$U$30,MATCH("对"&amp;LEFT($C$5,2)&amp;"输出",标准坦克设计!$B$23:$U$23,0)))*(VLOOKUP($B162,INDIRECT($B$5&amp;"生成成长"),3))*(VLOOKUP($B$5,标准坦克设计!$B$14:$K$20,9)/30))</f>
        <v>9.9553062119889102</v>
      </c>
      <c r="FD162" s="173">
        <f ca="1">(VLOOKUP(FD$72,INDIRECT($C$5&amp;"生成成长"),2))/((VLOOKUP($B162,INDIRECT($B$5&amp;"生成成长"),4))/(VLOOKUP(FD$72,INDIRECT($C$5&amp;"生成成长"),5))*(VLOOKUP($B$5,标准坦克设计!$B$24:$U$30,MATCH("对"&amp;LEFT($C$5,2)&amp;"输出",标准坦克设计!$B$23:$U$23,0)))*(VLOOKUP($B162,INDIRECT($B$5&amp;"生成成长"),3))*(VLOOKUP($B$5,标准坦克设计!$B$14:$K$20,9)/30))</f>
        <v>10.540008095533768</v>
      </c>
      <c r="FE162" s="173">
        <f ca="1">(VLOOKUP(FE$72,INDIRECT($C$5&amp;"生成成长"),2))/((VLOOKUP($B162,INDIRECT($B$5&amp;"生成成长"),4))/(VLOOKUP(FE$72,INDIRECT($C$5&amp;"生成成长"),5))*(VLOOKUP($B$5,标准坦克设计!$B$24:$U$30,MATCH("对"&amp;LEFT($C$5,2)&amp;"输出",标准坦克设计!$B$23:$U$23,0)))*(VLOOKUP($B162,INDIRECT($B$5&amp;"生成成长"),3))*(VLOOKUP($B$5,标准坦克设计!$B$14:$K$20,9)/30))</f>
        <v>11.252529492354444</v>
      </c>
      <c r="FF162" s="173">
        <f ca="1">(VLOOKUP(FF$72,INDIRECT($C$5&amp;"生成成长"),2))/((VLOOKUP($B162,INDIRECT($B$5&amp;"生成成长"),4))/(VLOOKUP(FF$72,INDIRECT($C$5&amp;"生成成长"),5))*(VLOOKUP($B$5,标准坦克设计!$B$24:$U$30,MATCH("对"&amp;LEFT($C$5,2)&amp;"输出",标准坦克设计!$B$23:$U$23,0)))*(VLOOKUP($B162,INDIRECT($B$5&amp;"生成成长"),3))*(VLOOKUP($B$5,标准坦克设计!$B$14:$K$20,9)/30))</f>
        <v>11.988353475737808</v>
      </c>
      <c r="FG162" s="173">
        <f ca="1">(VLOOKUP(FG$72,INDIRECT($C$5&amp;"生成成长"),2))/((VLOOKUP($B162,INDIRECT($B$5&amp;"生成成长"),4))/(VLOOKUP(FG$72,INDIRECT($C$5&amp;"生成成长"),5))*(VLOOKUP($B$5,标准坦克设计!$B$24:$U$30,MATCH("对"&amp;LEFT($C$5,2)&amp;"输出",标准坦克设计!$B$23:$U$23,0)))*(VLOOKUP($B162,INDIRECT($B$5&amp;"生成成长"),3))*(VLOOKUP($B$5,标准坦克设计!$B$14:$K$20,9)/30))</f>
        <v>12.74748004568386</v>
      </c>
      <c r="FH162" s="173">
        <f ca="1">(VLOOKUP(FH$72,INDIRECT($C$5&amp;"生成成长"),2))/((VLOOKUP($B162,INDIRECT($B$5&amp;"生成成长"),4))/(VLOOKUP(FH$72,INDIRECT($C$5&amp;"生成成长"),5))*(VLOOKUP($B$5,标准坦克设计!$B$24:$U$30,MATCH("对"&amp;LEFT($C$5,2)&amp;"输出",标准坦克设计!$B$23:$U$23,0)))*(VLOOKUP($B162,INDIRECT($B$5&amp;"生成成长"),3))*(VLOOKUP($B$5,标准坦克设计!$B$14:$K$20,9)/30))</f>
        <v>13.529909202192597</v>
      </c>
      <c r="FI162" s="173">
        <f ca="1">(VLOOKUP(FI$72,INDIRECT($C$5&amp;"生成成长"),2))/((VLOOKUP($B162,INDIRECT($B$5&amp;"生成成长"),4))/(VLOOKUP(FI$72,INDIRECT($C$5&amp;"生成成长"),5))*(VLOOKUP($B$5,标准坦克设计!$B$24:$U$30,MATCH("对"&amp;LEFT($C$5,2)&amp;"输出",标准坦克设计!$B$23:$U$23,0)))*(VLOOKUP($B162,INDIRECT($B$5&amp;"生成成长"),3))*(VLOOKUP($B$5,标准坦克设计!$B$14:$K$20,9)/30))</f>
        <v>14.335640945264027</v>
      </c>
      <c r="FJ162" s="173">
        <f ca="1">(VLOOKUP(FJ$72,INDIRECT($C$5&amp;"生成成长"),2))/((VLOOKUP($B162,INDIRECT($B$5&amp;"生成成长"),4))/(VLOOKUP(FJ$72,INDIRECT($C$5&amp;"生成成长"),5))*(VLOOKUP($B$5,标准坦克设计!$B$24:$U$30,MATCH("对"&amp;LEFT($C$5,2)&amp;"输出",标准坦克设计!$B$23:$U$23,0)))*(VLOOKUP($B162,INDIRECT($B$5&amp;"生成成长"),3))*(VLOOKUP($B$5,标准坦克设计!$B$14:$K$20,9)/30))</f>
        <v>15.164675274898146</v>
      </c>
      <c r="FK162" s="173">
        <f ca="1">(VLOOKUP(FK$72,INDIRECT($C$5&amp;"生成成长"),2))/((VLOOKUP($B162,INDIRECT($B$5&amp;"生成成长"),4))/(VLOOKUP(FK$72,INDIRECT($C$5&amp;"生成成长"),5))*(VLOOKUP($B$5,标准坦克设计!$B$24:$U$30,MATCH("对"&amp;LEFT($C$5,2)&amp;"输出",标准坦克设计!$B$23:$U$23,0)))*(VLOOKUP($B162,INDIRECT($B$5&amp;"生成成长"),3))*(VLOOKUP($B$5,标准坦克设计!$B$14:$K$20,9)/30))</f>
        <v>16.017012191094953</v>
      </c>
    </row>
    <row r="163" spans="1:167" x14ac:dyDescent="0.15">
      <c r="A163" s="171" t="str">
        <f t="shared" si="12"/>
        <v>T5中品质1级</v>
      </c>
      <c r="B163" s="172">
        <v>20501</v>
      </c>
      <c r="C163" s="173">
        <f ca="1">(VLOOKUP(C$72,INDIRECT($C$5&amp;"生成成长"),2))/((VLOOKUP($B163,INDIRECT($B$5&amp;"生成成长"),4))/(VLOOKUP(C$72,INDIRECT($C$5&amp;"生成成长"),5))*(VLOOKUP($B$5,标准坦克设计!$B$24:$U$30,MATCH("对"&amp;LEFT($C$5,2)&amp;"输出",标准坦克设计!$B$23:$U$23,0)))*(VLOOKUP($B163,INDIRECT($B$5&amp;"生成成长"),3))*(VLOOKUP($B$5,标准坦克设计!$B$14:$K$20,9)/30))</f>
        <v>1.5342067667972212</v>
      </c>
      <c r="D163" s="173">
        <f ca="1">(VLOOKUP(D$72,INDIRECT($C$5&amp;"生成成长"),2))/((VLOOKUP($B163,INDIRECT($B$5&amp;"生成成长"),4))/(VLOOKUP(D$72,INDIRECT($C$5&amp;"生成成长"),5))*(VLOOKUP($B$5,标准坦克设计!$B$24:$U$30,MATCH("对"&amp;LEFT($C$5,2)&amp;"输出",标准坦克设计!$B$23:$U$23,0)))*(VLOOKUP($B163,INDIRECT($B$5&amp;"生成成长"),3))*(VLOOKUP($B$5,标准坦克设计!$B$14:$K$20,9)/30))</f>
        <v>1.7238347231733577</v>
      </c>
      <c r="E163" s="173">
        <f ca="1">(VLOOKUP(E$72,INDIRECT($C$5&amp;"生成成长"),2))/((VLOOKUP($B163,INDIRECT($B$5&amp;"生成成长"),4))/(VLOOKUP(E$72,INDIRECT($C$5&amp;"生成成长"),5))*(VLOOKUP($B$5,标准坦克设计!$B$24:$U$30,MATCH("对"&amp;LEFT($C$5,2)&amp;"输出",标准坦克设计!$B$23:$U$23,0)))*(VLOOKUP($B163,INDIRECT($B$5&amp;"生成成长"),3))*(VLOOKUP($B$5,标准坦克设计!$B$14:$K$20,9)/30))</f>
        <v>1.9245089682704344</v>
      </c>
      <c r="F163" s="173">
        <f ca="1">(VLOOKUP(F$72,INDIRECT($C$5&amp;"生成成长"),2))/((VLOOKUP($B163,INDIRECT($B$5&amp;"生成成长"),4))/(VLOOKUP(F$72,INDIRECT($C$5&amp;"生成成长"),5))*(VLOOKUP($B$5,标准坦克设计!$B$24:$U$30,MATCH("对"&amp;LEFT($C$5,2)&amp;"输出",标准坦克设计!$B$23:$U$23,0)))*(VLOOKUP($B163,INDIRECT($B$5&amp;"生成成长"),3))*(VLOOKUP($B$5,标准坦克设计!$B$14:$K$20,9)/30))</f>
        <v>2.1362295020884514</v>
      </c>
      <c r="G163" s="173">
        <f ca="1">(VLOOKUP(G$72,INDIRECT($C$5&amp;"生成成长"),2))/((VLOOKUP($B163,INDIRECT($B$5&amp;"生成成长"),4))/(VLOOKUP(G$72,INDIRECT($C$5&amp;"生成成长"),5))*(VLOOKUP($B$5,标准坦克设计!$B$24:$U$30,MATCH("对"&amp;LEFT($C$5,2)&amp;"输出",标准坦克设计!$B$23:$U$23,0)))*(VLOOKUP($B163,INDIRECT($B$5&amp;"生成成长"),3))*(VLOOKUP($B$5,标准坦克设计!$B$14:$K$20,9)/30))</f>
        <v>2.358996324627407</v>
      </c>
      <c r="H163" s="173">
        <f ca="1">(VLOOKUP(H$72,INDIRECT($C$5&amp;"生成成长"),2))/((VLOOKUP($B163,INDIRECT($B$5&amp;"生成成长"),4))/(VLOOKUP(H$72,INDIRECT($C$5&amp;"生成成长"),5))*(VLOOKUP($B$5,标准坦克设计!$B$24:$U$30,MATCH("对"&amp;LEFT($C$5,2)&amp;"输出",标准坦克设计!$B$23:$U$23,0)))*(VLOOKUP($B163,INDIRECT($B$5&amp;"生成成长"),3))*(VLOOKUP($B$5,标准坦克设计!$B$14:$K$20,9)/30))</f>
        <v>2.064428625402341</v>
      </c>
      <c r="I163" s="173">
        <f ca="1">(VLOOKUP(I$72,INDIRECT($C$5&amp;"生成成长"),2))/((VLOOKUP($B163,INDIRECT($B$5&amp;"生成成长"),4))/(VLOOKUP(I$72,INDIRECT($C$5&amp;"生成成长"),5))*(VLOOKUP($B$5,标准坦克设计!$B$24:$U$30,MATCH("对"&amp;LEFT($C$5,2)&amp;"输出",标准坦克设计!$B$23:$U$23,0)))*(VLOOKUP($B163,INDIRECT($B$5&amp;"生成成长"),3))*(VLOOKUP($B$5,标准坦克设计!$B$14:$K$20,9)/30))</f>
        <v>2.358996324627407</v>
      </c>
      <c r="J163" s="173">
        <f ca="1">(VLOOKUP(J$72,INDIRECT($C$5&amp;"生成成长"),2))/((VLOOKUP($B163,INDIRECT($B$5&amp;"生成成长"),4))/(VLOOKUP(J$72,INDIRECT($C$5&amp;"生成成长"),5))*(VLOOKUP($B$5,标准坦克设计!$B$24:$U$30,MATCH("对"&amp;LEFT($C$5,2)&amp;"输出",标准坦克设计!$B$23:$U$23,0)))*(VLOOKUP($B163,INDIRECT($B$5&amp;"生成成长"),3))*(VLOOKUP($B$5,标准坦克设计!$B$14:$K$20,9)/30))</f>
        <v>2.6732018704674787</v>
      </c>
      <c r="K163" s="173">
        <f ca="1">(VLOOKUP(K$72,INDIRECT($C$5&amp;"生成成长"),2))/((VLOOKUP($B163,INDIRECT($B$5&amp;"生成成长"),4))/(VLOOKUP(K$72,INDIRECT($C$5&amp;"生成成长"),5))*(VLOOKUP($B$5,标准坦克设计!$B$24:$U$30,MATCH("对"&amp;LEFT($C$5,2)&amp;"输出",标准坦克设计!$B$23:$U$23,0)))*(VLOOKUP($B163,INDIRECT($B$5&amp;"生成成长"),3))*(VLOOKUP($B$5,标准坦克设计!$B$14:$K$20,9)/30))</f>
        <v>3.0070452629225533</v>
      </c>
      <c r="L163" s="173">
        <f ca="1">(VLOOKUP(L$72,INDIRECT($C$5&amp;"生成成长"),2))/((VLOOKUP($B163,INDIRECT($B$5&amp;"生成成长"),4))/(VLOOKUP(L$72,INDIRECT($C$5&amp;"生成成长"),5))*(VLOOKUP($B$5,标准坦克设计!$B$24:$U$30,MATCH("对"&amp;LEFT($C$5,2)&amp;"输出",标准坦克设计!$B$23:$U$23,0)))*(VLOOKUP($B163,INDIRECT($B$5&amp;"生成成长"),3))*(VLOOKUP($B$5,标准坦克设计!$B$14:$K$20,9)/30))</f>
        <v>3.3605265019926329</v>
      </c>
      <c r="M163" s="173">
        <f ca="1">(VLOOKUP(M$72,INDIRECT($C$5&amp;"生成成长"),2))/((VLOOKUP($B163,INDIRECT($B$5&amp;"生成成长"),4))/(VLOOKUP(M$72,INDIRECT($C$5&amp;"生成成长"),5))*(VLOOKUP($B$5,标准坦克设计!$B$24:$U$30,MATCH("对"&amp;LEFT($C$5,2)&amp;"输出",标准坦克设计!$B$23:$U$23,0)))*(VLOOKUP($B163,INDIRECT($B$5&amp;"生成成长"),3))*(VLOOKUP($B$5,标准坦克设计!$B$14:$K$20,9)/30))</f>
        <v>3.7336455876777173</v>
      </c>
      <c r="N163" s="173">
        <f ca="1">(VLOOKUP(N$72,INDIRECT($C$5&amp;"生成成长"),2))/((VLOOKUP($B163,INDIRECT($B$5&amp;"生成成长"),4))/(VLOOKUP(N$72,INDIRECT($C$5&amp;"生成成长"),5))*(VLOOKUP($B$5,标准坦克设计!$B$24:$U$30,MATCH("对"&amp;LEFT($C$5,2)&amp;"输出",标准坦克设计!$B$23:$U$23,0)))*(VLOOKUP($B163,INDIRECT($B$5&amp;"生成成长"),3))*(VLOOKUP($B$5,标准坦克设计!$B$14:$K$20,9)/30))</f>
        <v>4.1264025199778063</v>
      </c>
      <c r="O163" s="173">
        <f ca="1">(VLOOKUP(O$72,INDIRECT($C$5&amp;"生成成长"),2))/((VLOOKUP($B163,INDIRECT($B$5&amp;"生成成长"),4))/(VLOOKUP(O$72,INDIRECT($C$5&amp;"生成成长"),5))*(VLOOKUP($B$5,标准坦克设计!$B$24:$U$30,MATCH("对"&amp;LEFT($C$5,2)&amp;"输出",标准坦克设计!$B$23:$U$23,0)))*(VLOOKUP($B163,INDIRECT($B$5&amp;"生成成长"),3))*(VLOOKUP($B$5,标准坦克设计!$B$14:$K$20,9)/30))</f>
        <v>3.1372994174236379</v>
      </c>
      <c r="P163" s="173">
        <f ca="1">(VLOOKUP(P$72,INDIRECT($C$5&amp;"生成成长"),2))/((VLOOKUP($B163,INDIRECT($B$5&amp;"生成成长"),4))/(VLOOKUP(P$72,INDIRECT($C$5&amp;"生成成长"),5))*(VLOOKUP($B$5,标准坦克设计!$B$24:$U$30,MATCH("对"&amp;LEFT($C$5,2)&amp;"输出",标准坦克设计!$B$23:$U$23,0)))*(VLOOKUP($B163,INDIRECT($B$5&amp;"生成成长"),3))*(VLOOKUP($B$5,标准坦克设计!$B$14:$K$20,9)/30))</f>
        <v>3.5446313140082997</v>
      </c>
      <c r="Q163" s="173">
        <f ca="1">(VLOOKUP(Q$72,INDIRECT($C$5&amp;"生成成长"),2))/((VLOOKUP($B163,INDIRECT($B$5&amp;"生成成长"),4))/(VLOOKUP(Q$72,INDIRECT($C$5&amp;"生成成长"),5))*(VLOOKUP($B$5,标准坦克设计!$B$24:$U$30,MATCH("对"&amp;LEFT($C$5,2)&amp;"输出",标准坦克设计!$B$23:$U$23,0)))*(VLOOKUP($B163,INDIRECT($B$5&amp;"生成成长"),3))*(VLOOKUP($B$5,标准坦克设计!$B$14:$K$20,9)/30))</f>
        <v>3.9768173602150774</v>
      </c>
      <c r="R163" s="173">
        <f ca="1">(VLOOKUP(R$72,INDIRECT($C$5&amp;"生成成长"),2))/((VLOOKUP($B163,INDIRECT($B$5&amp;"生成成长"),4))/(VLOOKUP(R$72,INDIRECT($C$5&amp;"生成成长"),5))*(VLOOKUP($B$5,标准坦克设计!$B$24:$U$30,MATCH("对"&amp;LEFT($C$5,2)&amp;"输出",标准坦克设计!$B$23:$U$23,0)))*(VLOOKUP($B163,INDIRECT($B$5&amp;"生成成长"),3))*(VLOOKUP($B$5,标准坦克设计!$B$14:$K$20,9)/30))</f>
        <v>4.4338575560439688</v>
      </c>
      <c r="S163" s="173">
        <f ca="1">(VLOOKUP(S$72,INDIRECT($C$5&amp;"生成成长"),2))/((VLOOKUP($B163,INDIRECT($B$5&amp;"生成成长"),4))/(VLOOKUP(S$72,INDIRECT($C$5&amp;"生成成长"),5))*(VLOOKUP($B$5,标准坦克设计!$B$24:$U$30,MATCH("对"&amp;LEFT($C$5,2)&amp;"输出",标准坦克设计!$B$23:$U$23,0)))*(VLOOKUP($B163,INDIRECT($B$5&amp;"生成成长"),3))*(VLOOKUP($B$5,标准坦克设计!$B$14:$K$20,9)/30))</f>
        <v>4.9157519014949758</v>
      </c>
      <c r="T163" s="173">
        <f ca="1">(VLOOKUP(T$72,INDIRECT($C$5&amp;"生成成长"),2))/((VLOOKUP($B163,INDIRECT($B$5&amp;"生成成长"),4))/(VLOOKUP(T$72,INDIRECT($C$5&amp;"生成成长"),5))*(VLOOKUP($B$5,标准坦克设计!$B$24:$U$30,MATCH("对"&amp;LEFT($C$5,2)&amp;"输出",标准坦克设计!$B$23:$U$23,0)))*(VLOOKUP($B163,INDIRECT($B$5&amp;"生成成长"),3))*(VLOOKUP($B$5,标准坦克设计!$B$14:$K$20,9)/30))</f>
        <v>5.4225003965680987</v>
      </c>
      <c r="U163" s="173">
        <f ca="1">(VLOOKUP(U$72,INDIRECT($C$5&amp;"生成成长"),2))/((VLOOKUP($B163,INDIRECT($B$5&amp;"生成成长"),4))/(VLOOKUP(U$72,INDIRECT($C$5&amp;"生成成长"),5))*(VLOOKUP($B$5,标准坦克设计!$B$24:$U$30,MATCH("对"&amp;LEFT($C$5,2)&amp;"输出",标准坦克设计!$B$23:$U$23,0)))*(VLOOKUP($B163,INDIRECT($B$5&amp;"生成成长"),3))*(VLOOKUP($B$5,标准坦克设计!$B$14:$K$20,9)/30))</f>
        <v>5.9541030412633367</v>
      </c>
      <c r="V163" s="173">
        <f ca="1">(VLOOKUP(V$72,INDIRECT($C$5&amp;"生成成长"),2))/((VLOOKUP($B163,INDIRECT($B$5&amp;"生成成长"),4))/(VLOOKUP(V$72,INDIRECT($C$5&amp;"生成成长"),5))*(VLOOKUP($B$5,标准坦克设计!$B$24:$U$30,MATCH("对"&amp;LEFT($C$5,2)&amp;"输出",标准坦克设计!$B$23:$U$23,0)))*(VLOOKUP($B163,INDIRECT($B$5&amp;"生成成长"),3))*(VLOOKUP($B$5,标准坦克设计!$B$14:$K$20,9)/30))</f>
        <v>6.510559835580688</v>
      </c>
      <c r="W163" s="173">
        <f ca="1">(VLOOKUP(W$72,INDIRECT($C$5&amp;"生成成长"),2))/((VLOOKUP($B163,INDIRECT($B$5&amp;"生成成长"),4))/(VLOOKUP(W$72,INDIRECT($C$5&amp;"生成成长"),5))*(VLOOKUP($B$5,标准坦克设计!$B$24:$U$30,MATCH("对"&amp;LEFT($C$5,2)&amp;"输出",标准坦克设计!$B$23:$U$23,0)))*(VLOOKUP($B163,INDIRECT($B$5&amp;"生成成长"),3))*(VLOOKUP($B$5,标准坦克设计!$B$14:$K$20,9)/30))</f>
        <v>7.0918707795201534</v>
      </c>
      <c r="X163" s="173">
        <f ca="1">(VLOOKUP(X$72,INDIRECT($C$5&amp;"生成成长"),2))/((VLOOKUP($B163,INDIRECT($B$5&amp;"生成成长"),4))/(VLOOKUP(X$72,INDIRECT($C$5&amp;"生成成长"),5))*(VLOOKUP($B$5,标准坦克设计!$B$24:$U$30,MATCH("对"&amp;LEFT($C$5,2)&amp;"输出",标准坦克设计!$B$23:$U$23,0)))*(VLOOKUP($B163,INDIRECT($B$5&amp;"生成成长"),3))*(VLOOKUP($B$5,标准坦克设计!$B$14:$K$20,9)/30))</f>
        <v>5.1379050413272136</v>
      </c>
      <c r="Y163" s="173">
        <f ca="1">(VLOOKUP(Y$72,INDIRECT($C$5&amp;"生成成长"),2))/((VLOOKUP($B163,INDIRECT($B$5&amp;"生成成长"),4))/(VLOOKUP(Y$72,INDIRECT($C$5&amp;"生成成长"),5))*(VLOOKUP($B$5,标准坦克设计!$B$24:$U$30,MATCH("对"&amp;LEFT($C$5,2)&amp;"输出",标准坦克设计!$B$23:$U$23,0)))*(VLOOKUP($B163,INDIRECT($B$5&amp;"生成成长"),3))*(VLOOKUP($B$5,标准坦克设计!$B$14:$K$20,9)/30))</f>
        <v>5.7147667856429685</v>
      </c>
      <c r="Z163" s="173">
        <f ca="1">(VLOOKUP(Z$72,INDIRECT($C$5&amp;"生成成长"),2))/((VLOOKUP($B163,INDIRECT($B$5&amp;"生成成长"),4))/(VLOOKUP(Z$72,INDIRECT($C$5&amp;"生成成长"),5))*(VLOOKUP($B$5,标准坦克设计!$B$24:$U$30,MATCH("对"&amp;LEFT($C$5,2)&amp;"输出",标准坦克设计!$B$23:$U$23,0)))*(VLOOKUP($B163,INDIRECT($B$5&amp;"生成成长"),3))*(VLOOKUP($B$5,标准坦克设计!$B$14:$K$20,9)/30))</f>
        <v>6.3223126652946693</v>
      </c>
      <c r="AA163" s="173">
        <f ca="1">(VLOOKUP(AA$72,INDIRECT($C$5&amp;"生成成长"),2))/((VLOOKUP($B163,INDIRECT($B$5&amp;"生成成长"),4))/(VLOOKUP(AA$72,INDIRECT($C$5&amp;"生成成长"),5))*(VLOOKUP($B$5,标准坦克设计!$B$24:$U$30,MATCH("对"&amp;LEFT($C$5,2)&amp;"输出",标准坦克设计!$B$23:$U$23,0)))*(VLOOKUP($B163,INDIRECT($B$5&amp;"生成成长"),3))*(VLOOKUP($B$5,标准坦克设计!$B$14:$K$20,9)/30))</f>
        <v>6.9605426802823125</v>
      </c>
      <c r="AB163" s="173">
        <f ca="1">(VLOOKUP(AB$72,INDIRECT($C$5&amp;"生成成长"),2))/((VLOOKUP($B163,INDIRECT($B$5&amp;"生成成长"),4))/(VLOOKUP(AB$72,INDIRECT($C$5&amp;"生成成长"),5))*(VLOOKUP($B$5,标准坦克设计!$B$24:$U$30,MATCH("对"&amp;LEFT($C$5,2)&amp;"输出",标准坦克设计!$B$23:$U$23,0)))*(VLOOKUP($B163,INDIRECT($B$5&amp;"生成成长"),3))*(VLOOKUP($B$5,标准坦克设计!$B$14:$K$20,9)/30))</f>
        <v>7.6294568306059016</v>
      </c>
      <c r="AC163" s="173">
        <f ca="1">(VLOOKUP(AC$72,INDIRECT($C$5&amp;"生成成长"),2))/((VLOOKUP($B163,INDIRECT($B$5&amp;"生成成长"),4))/(VLOOKUP(AC$72,INDIRECT($C$5&amp;"生成成长"),5))*(VLOOKUP($B$5,标准坦克设计!$B$24:$U$30,MATCH("对"&amp;LEFT($C$5,2)&amp;"输出",标准坦克设计!$B$23:$U$23,0)))*(VLOOKUP($B163,INDIRECT($B$5&amp;"生成成长"),3))*(VLOOKUP($B$5,标准坦克设计!$B$14:$K$20,9)/30))</f>
        <v>8.3290551162654332</v>
      </c>
      <c r="AD163" s="173">
        <f ca="1">(VLOOKUP(AD$72,INDIRECT($C$5&amp;"生成成长"),2))/((VLOOKUP($B163,INDIRECT($B$5&amp;"生成成长"),4))/(VLOOKUP(AD$72,INDIRECT($C$5&amp;"生成成长"),5))*(VLOOKUP($B$5,标准坦克设计!$B$24:$U$30,MATCH("对"&amp;LEFT($C$5,2)&amp;"输出",标准坦克设计!$B$23:$U$23,0)))*(VLOOKUP($B163,INDIRECT($B$5&amp;"生成成长"),3))*(VLOOKUP($B$5,标准坦克设计!$B$14:$K$20,9)/30))</f>
        <v>9.0593375372609106</v>
      </c>
      <c r="AE163" s="173">
        <f ca="1">(VLOOKUP(AE$72,INDIRECT($C$5&amp;"生成成长"),2))/((VLOOKUP($B163,INDIRECT($B$5&amp;"生成成长"),4))/(VLOOKUP(AE$72,INDIRECT($C$5&amp;"生成成长"),5))*(VLOOKUP($B$5,标准坦克设计!$B$24:$U$30,MATCH("对"&amp;LEFT($C$5,2)&amp;"输出",标准坦克设计!$B$23:$U$23,0)))*(VLOOKUP($B163,INDIRECT($B$5&amp;"生成成长"),3))*(VLOOKUP($B$5,标准坦克设计!$B$14:$K$20,9)/30))</f>
        <v>9.8203040935923323</v>
      </c>
      <c r="AF163" s="173">
        <f ca="1">(VLOOKUP(AF$72,INDIRECT($C$5&amp;"生成成长"),2))/((VLOOKUP($B163,INDIRECT($B$5&amp;"生成成长"),4))/(VLOOKUP(AF$72,INDIRECT($C$5&amp;"生成成长"),5))*(VLOOKUP($B$5,标准坦克设计!$B$24:$U$30,MATCH("对"&amp;LEFT($C$5,2)&amp;"输出",标准坦克设计!$B$23:$U$23,0)))*(VLOOKUP($B163,INDIRECT($B$5&amp;"生成成长"),3))*(VLOOKUP($B$5,标准坦克设计!$B$14:$K$20,9)/30))</f>
        <v>10.6119547852597</v>
      </c>
      <c r="AG163" s="173">
        <f ca="1">(VLOOKUP(AG$72,INDIRECT($C$5&amp;"生成成长"),2))/((VLOOKUP($B163,INDIRECT($B$5&amp;"生成成长"),4))/(VLOOKUP(AG$72,INDIRECT($C$5&amp;"生成成长"),5))*(VLOOKUP($B$5,标准坦克设计!$B$24:$U$30,MATCH("对"&amp;LEFT($C$5,2)&amp;"输出",标准坦克设计!$B$23:$U$23,0)))*(VLOOKUP($B163,INDIRECT($B$5&amp;"生成成长"),3))*(VLOOKUP($B$5,标准坦克设计!$B$14:$K$20,9)/30))</f>
        <v>11.43428961226301</v>
      </c>
      <c r="AH163" s="173">
        <f ca="1">(VLOOKUP(AH$72,INDIRECT($C$5&amp;"生成成长"),2))/((VLOOKUP($B163,INDIRECT($B$5&amp;"生成成长"),4))/(VLOOKUP(AH$72,INDIRECT($C$5&amp;"生成成长"),5))*(VLOOKUP($B$5,标准坦克设计!$B$24:$U$30,MATCH("对"&amp;LEFT($C$5,2)&amp;"输出",标准坦克设计!$B$23:$U$23,0)))*(VLOOKUP($B163,INDIRECT($B$5&amp;"生成成长"),3))*(VLOOKUP($B$5,标准坦克设计!$B$14:$K$20,9)/30))</f>
        <v>12.287308574602266</v>
      </c>
      <c r="AI163" s="173">
        <f ca="1">(VLOOKUP(AI$72,INDIRECT($C$5&amp;"生成成长"),2))/((VLOOKUP($B163,INDIRECT($B$5&amp;"生成成长"),4))/(VLOOKUP(AI$72,INDIRECT($C$5&amp;"生成成长"),5))*(VLOOKUP($B$5,标准坦克设计!$B$24:$U$30,MATCH("对"&amp;LEFT($C$5,2)&amp;"输出",标准坦克设计!$B$23:$U$23,0)))*(VLOOKUP($B163,INDIRECT($B$5&amp;"生成成长"),3))*(VLOOKUP($B$5,标准坦克设计!$B$14:$K$20,9)/30))</f>
        <v>8.6903608098461795</v>
      </c>
      <c r="AJ163" s="173">
        <f ca="1">(VLOOKUP(AJ$72,INDIRECT($C$5&amp;"生成成长"),2))/((VLOOKUP($B163,INDIRECT($B$5&amp;"生成成长"),4))/(VLOOKUP(AJ$72,INDIRECT($C$5&amp;"生成成长"),5))*(VLOOKUP($B$5,标准坦克设计!$B$24:$U$30,MATCH("对"&amp;LEFT($C$5,2)&amp;"输出",标准坦克设计!$B$23:$U$23,0)))*(VLOOKUP($B163,INDIRECT($B$5&amp;"生成成长"),3))*(VLOOKUP($B$5,标准坦克设计!$B$14:$K$20,9)/30))</f>
        <v>9.5122353748194506</v>
      </c>
      <c r="AK163" s="173">
        <f ca="1">(VLOOKUP(AK$72,INDIRECT($C$5&amp;"生成成长"),2))/((VLOOKUP($B163,INDIRECT($B$5&amp;"生成成长"),4))/(VLOOKUP(AK$72,INDIRECT($C$5&amp;"生成成长"),5))*(VLOOKUP($B$5,标准坦克设计!$B$24:$U$30,MATCH("对"&amp;LEFT($C$5,2)&amp;"输出",标准坦克设计!$B$23:$U$23,0)))*(VLOOKUP($B163,INDIRECT($B$5&amp;"生成成长"),3))*(VLOOKUP($B$5,标准坦克设计!$B$14:$K$20,9)/30))</f>
        <v>10.371237743549214</v>
      </c>
      <c r="AL163" s="173">
        <f ca="1">(VLOOKUP(AL$72,INDIRECT($C$5&amp;"生成成长"),2))/((VLOOKUP($B163,INDIRECT($B$5&amp;"生成成长"),4))/(VLOOKUP(AL$72,INDIRECT($C$5&amp;"生成成长"),5))*(VLOOKUP($B$5,标准坦克设计!$B$24:$U$30,MATCH("对"&amp;LEFT($C$5,2)&amp;"输出",标准坦克设计!$B$23:$U$23,0)))*(VLOOKUP($B163,INDIRECT($B$5&amp;"生成成长"),3))*(VLOOKUP($B$5,标准坦克设计!$B$14:$K$20,9)/30))</f>
        <v>11.267367916035473</v>
      </c>
      <c r="AM163" s="173">
        <f ca="1">(VLOOKUP(AM$72,INDIRECT($C$5&amp;"生成成长"),2))/((VLOOKUP($B163,INDIRECT($B$5&amp;"生成成长"),4))/(VLOOKUP(AM$72,INDIRECT($C$5&amp;"生成成长"),5))*(VLOOKUP($B$5,标准坦克设计!$B$24:$U$30,MATCH("对"&amp;LEFT($C$5,2)&amp;"输出",标准坦克设计!$B$23:$U$23,0)))*(VLOOKUP($B163,INDIRECT($B$5&amp;"生成成长"),3))*(VLOOKUP($B$5,标准坦克设计!$B$14:$K$20,9)/30))</f>
        <v>12.200625892278222</v>
      </c>
      <c r="AN163" s="173">
        <f ca="1">(VLOOKUP(AN$72,INDIRECT($C$5&amp;"生成成长"),2))/((VLOOKUP($B163,INDIRECT($B$5&amp;"生成成长"),4))/(VLOOKUP(AN$72,INDIRECT($C$5&amp;"生成成长"),5))*(VLOOKUP($B$5,标准坦克设计!$B$24:$U$30,MATCH("对"&amp;LEFT($C$5,2)&amp;"输出",标准坦克设计!$B$23:$U$23,0)))*(VLOOKUP($B163,INDIRECT($B$5&amp;"生成成长"),3))*(VLOOKUP($B$5,标准坦克设计!$B$14:$K$20,9)/30))</f>
        <v>13.171011672277466</v>
      </c>
      <c r="AO163" s="173">
        <f ca="1">(VLOOKUP(AO$72,INDIRECT($C$5&amp;"生成成长"),2))/((VLOOKUP($B163,INDIRECT($B$5&amp;"生成成长"),4))/(VLOOKUP(AO$72,INDIRECT($C$5&amp;"生成成长"),5))*(VLOOKUP($B$5,标准坦克设计!$B$24:$U$30,MATCH("对"&amp;LEFT($C$5,2)&amp;"输出",标准坦克设计!$B$23:$U$23,0)))*(VLOOKUP($B163,INDIRECT($B$5&amp;"生成成长"),3))*(VLOOKUP($B$5,标准坦克设计!$B$14:$K$20,9)/30))</f>
        <v>14.178525256033199</v>
      </c>
      <c r="AP163" s="173">
        <f ca="1">(VLOOKUP(AP$72,INDIRECT($C$5&amp;"生成成长"),2))/((VLOOKUP($B163,INDIRECT($B$5&amp;"生成成长"),4))/(VLOOKUP(AP$72,INDIRECT($C$5&amp;"生成成长"),5))*(VLOOKUP($B$5,标准坦克设计!$B$24:$U$30,MATCH("对"&amp;LEFT($C$5,2)&amp;"输出",标准坦克设计!$B$23:$U$23,0)))*(VLOOKUP($B163,INDIRECT($B$5&amp;"生成成长"),3))*(VLOOKUP($B$5,标准坦克设计!$B$14:$K$20,9)/30))</f>
        <v>15.223166643545424</v>
      </c>
      <c r="AQ163" s="173">
        <f ca="1">(VLOOKUP(AQ$72,INDIRECT($C$5&amp;"生成成长"),2))/((VLOOKUP($B163,INDIRECT($B$5&amp;"生成成长"),4))/(VLOOKUP(AQ$72,INDIRECT($C$5&amp;"生成成长"),5))*(VLOOKUP($B$5,标准坦克设计!$B$24:$U$30,MATCH("对"&amp;LEFT($C$5,2)&amp;"输出",标准坦克设计!$B$23:$U$23,0)))*(VLOOKUP($B163,INDIRECT($B$5&amp;"生成成长"),3))*(VLOOKUP($B$5,标准坦克设计!$B$14:$K$20,9)/30))</f>
        <v>16.304935834814149</v>
      </c>
      <c r="AR163" s="173">
        <f ca="1">(VLOOKUP(AR$72,INDIRECT($C$5&amp;"生成成长"),2))/((VLOOKUP($B163,INDIRECT($B$5&amp;"生成成长"),4))/(VLOOKUP(AR$72,INDIRECT($C$5&amp;"生成成长"),5))*(VLOOKUP($B$5,标准坦克设计!$B$24:$U$30,MATCH("对"&amp;LEFT($C$5,2)&amp;"输出",标准坦克设计!$B$23:$U$23,0)))*(VLOOKUP($B163,INDIRECT($B$5&amp;"生成成长"),3))*(VLOOKUP($B$5,标准坦克设计!$B$14:$K$20,9)/30))</f>
        <v>17.423832829839366</v>
      </c>
      <c r="AS163" s="173">
        <f ca="1">(VLOOKUP(AS$72,INDIRECT($C$5&amp;"生成成长"),2))/((VLOOKUP($B163,INDIRECT($B$5&amp;"生成成长"),4))/(VLOOKUP(AS$72,INDIRECT($C$5&amp;"生成成长"),5))*(VLOOKUP($B$5,标准坦克设计!$B$24:$U$30,MATCH("对"&amp;LEFT($C$5,2)&amp;"输出",标准坦克设计!$B$23:$U$23,0)))*(VLOOKUP($B163,INDIRECT($B$5&amp;"生成成长"),3))*(VLOOKUP($B$5,标准坦克设计!$B$14:$K$20,9)/30))</f>
        <v>18.579857628621067</v>
      </c>
      <c r="AT163" s="173">
        <f ca="1">(VLOOKUP(AT$72,INDIRECT($C$5&amp;"生成成长"),2))/((VLOOKUP($B163,INDIRECT($B$5&amp;"生成成长"),4))/(VLOOKUP(AT$72,INDIRECT($C$5&amp;"生成成长"),5))*(VLOOKUP($B$5,标准坦克设计!$B$24:$U$30,MATCH("对"&amp;LEFT($C$5,2)&amp;"输出",标准坦克设计!$B$23:$U$23,0)))*(VLOOKUP($B163,INDIRECT($B$5&amp;"生成成长"),3))*(VLOOKUP($B$5,标准坦克设计!$B$14:$K$20,9)/30))</f>
        <v>19.773010231159265</v>
      </c>
      <c r="AU163" s="173">
        <f ca="1">(VLOOKUP(AU$72,INDIRECT($C$5&amp;"生成成长"),2))/((VLOOKUP($B163,INDIRECT($B$5&amp;"生成成长"),4))/(VLOOKUP(AU$72,INDIRECT($C$5&amp;"生成成长"),5))*(VLOOKUP($B$5,标准坦克设计!$B$24:$U$30,MATCH("对"&amp;LEFT($C$5,2)&amp;"输出",标准坦克设计!$B$23:$U$23,0)))*(VLOOKUP($B163,INDIRECT($B$5&amp;"生成成长"),3))*(VLOOKUP($B$5,标准坦克设计!$B$14:$K$20,9)/30))</f>
        <v>21.003290637453961</v>
      </c>
      <c r="AV163" s="173">
        <f ca="1">(VLOOKUP(AV$72,INDIRECT($C$5&amp;"生成成长"),2))/((VLOOKUP($B163,INDIRECT($B$5&amp;"生成成长"),4))/(VLOOKUP(AV$72,INDIRECT($C$5&amp;"生成成长"),5))*(VLOOKUP($B$5,标准坦克设计!$B$24:$U$30,MATCH("对"&amp;LEFT($C$5,2)&amp;"输出",标准坦克设计!$B$23:$U$23,0)))*(VLOOKUP($B163,INDIRECT($B$5&amp;"生成成长"),3))*(VLOOKUP($B$5,标准坦克设计!$B$14:$K$20,9)/30))</f>
        <v>2.1362295020884514</v>
      </c>
      <c r="AW163" s="173">
        <f ca="1">(VLOOKUP(AW$72,INDIRECT($C$5&amp;"生成成长"),2))/((VLOOKUP($B163,INDIRECT($B$5&amp;"生成成长"),4))/(VLOOKUP(AW$72,INDIRECT($C$5&amp;"生成成长"),5))*(VLOOKUP($B$5,标准坦克设计!$B$24:$U$30,MATCH("对"&amp;LEFT($C$5,2)&amp;"输出",标准坦克设计!$B$23:$U$23,0)))*(VLOOKUP($B163,INDIRECT($B$5&amp;"生成成长"),3))*(VLOOKUP($B$5,标准坦克设计!$B$14:$K$20,9)/30))</f>
        <v>2.4357066629672679</v>
      </c>
      <c r="AX163" s="173">
        <f ca="1">(VLOOKUP(AX$72,INDIRECT($C$5&amp;"生成成长"),2))/((VLOOKUP($B163,INDIRECT($B$5&amp;"生成成长"),4))/(VLOOKUP(AX$72,INDIRECT($C$5&amp;"生成成长"),5))*(VLOOKUP($B$5,标准坦克设计!$B$24:$U$30,MATCH("对"&amp;LEFT($C$5,2)&amp;"输出",标准坦克设计!$B$23:$U$23,0)))*(VLOOKUP($B163,INDIRECT($B$5&amp;"生成成长"),3))*(VLOOKUP($B$5,标准坦克设计!$B$14:$K$20,9)/30))</f>
        <v>2.7548216704610899</v>
      </c>
      <c r="AY163" s="173">
        <f ca="1">(VLOOKUP(AY$72,INDIRECT($C$5&amp;"生成成长"),2))/((VLOOKUP($B163,INDIRECT($B$5&amp;"生成成长"),4))/(VLOOKUP(AY$72,INDIRECT($C$5&amp;"生成成长"),5))*(VLOOKUP($B$5,标准坦克设计!$B$24:$U$30,MATCH("对"&amp;LEFT($C$5,2)&amp;"输出",标准坦克设计!$B$23:$U$23,0)))*(VLOOKUP($B163,INDIRECT($B$5&amp;"生成成长"),3))*(VLOOKUP($B$5,标准坦克设计!$B$14:$K$20,9)/30))</f>
        <v>3.0935745245699171</v>
      </c>
      <c r="AZ163" s="173">
        <f ca="1">(VLOOKUP(AZ$72,INDIRECT($C$5&amp;"生成成长"),2))/((VLOOKUP($B163,INDIRECT($B$5&amp;"生成成长"),4))/(VLOOKUP(AZ$72,INDIRECT($C$5&amp;"生成成长"),5))*(VLOOKUP($B$5,标准坦克设计!$B$24:$U$30,MATCH("对"&amp;LEFT($C$5,2)&amp;"输出",标准坦克设计!$B$23:$U$23,0)))*(VLOOKUP($B163,INDIRECT($B$5&amp;"生成成长"),3))*(VLOOKUP($B$5,标准坦克设计!$B$14:$K$20,9)/30))</f>
        <v>3.4519652252937472</v>
      </c>
      <c r="BA163" s="173">
        <f ca="1">(VLOOKUP(BA$72,INDIRECT($C$5&amp;"生成成长"),2))/((VLOOKUP($B163,INDIRECT($B$5&amp;"生成成长"),4))/(VLOOKUP(BA$72,INDIRECT($C$5&amp;"生成成长"),5))*(VLOOKUP($B$5,标准坦克设计!$B$24:$U$30,MATCH("对"&amp;LEFT($C$5,2)&amp;"输出",标准坦克设计!$B$23:$U$23,0)))*(VLOOKUP($B163,INDIRECT($B$5&amp;"生成成长"),3))*(VLOOKUP($B$5,标准坦克设计!$B$14:$K$20,9)/30))</f>
        <v>3.8299937726325828</v>
      </c>
      <c r="BB163" s="173">
        <f ca="1">(VLOOKUP(BB$72,INDIRECT($C$5&amp;"生成成长"),2))/((VLOOKUP($B163,INDIRECT($B$5&amp;"生成成长"),4))/(VLOOKUP(BB$72,INDIRECT($C$5&amp;"生成成长"),5))*(VLOOKUP($B$5,标准坦克设计!$B$24:$U$30,MATCH("对"&amp;LEFT($C$5,2)&amp;"输出",标准坦克设计!$B$23:$U$23,0)))*(VLOOKUP($B163,INDIRECT($B$5&amp;"生成成长"),3))*(VLOOKUP($B$5,标准坦克设计!$B$14:$K$20,9)/30))</f>
        <v>4.2276601665864222</v>
      </c>
      <c r="BC163" s="173">
        <f ca="1">(VLOOKUP(BC$72,INDIRECT($C$5&amp;"生成成长"),2))/((VLOOKUP($B163,INDIRECT($B$5&amp;"生成成长"),4))/(VLOOKUP(BC$72,INDIRECT($C$5&amp;"生成成长"),5))*(VLOOKUP($B$5,标准坦克设计!$B$24:$U$30,MATCH("对"&amp;LEFT($C$5,2)&amp;"输出",标准坦克设计!$B$23:$U$23,0)))*(VLOOKUP($B163,INDIRECT($B$5&amp;"生成成长"),3))*(VLOOKUP($B$5,标准坦克设计!$B$14:$K$20,9)/30))</f>
        <v>4.6449644071552667</v>
      </c>
      <c r="BD163" s="173">
        <f ca="1">(VLOOKUP(BD$72,INDIRECT($C$5&amp;"生成成长"),2))/((VLOOKUP($B163,INDIRECT($B$5&amp;"生成成长"),4))/(VLOOKUP(BD$72,INDIRECT($C$5&amp;"生成成长"),5))*(VLOOKUP($B$5,标准坦克设计!$B$24:$U$30,MATCH("对"&amp;LEFT($C$5,2)&amp;"输出",标准坦克设计!$B$23:$U$23,0)))*(VLOOKUP($B163,INDIRECT($B$5&amp;"生成成长"),3))*(VLOOKUP($B$5,标准坦克设计!$B$14:$K$20,9)/30))</f>
        <v>5.1379050413272136</v>
      </c>
      <c r="BE163" s="173">
        <f ca="1">(VLOOKUP(BE$72,INDIRECT($C$5&amp;"生成成长"),2))/((VLOOKUP($B163,INDIRECT($B$5&amp;"生成成长"),4))/(VLOOKUP(BE$72,INDIRECT($C$5&amp;"生成成长"),5))*(VLOOKUP($B$5,标准坦克设计!$B$24:$U$30,MATCH("对"&amp;LEFT($C$5,2)&amp;"输出",标准坦克设计!$B$23:$U$23,0)))*(VLOOKUP($B163,INDIRECT($B$5&amp;"生成成长"),3))*(VLOOKUP($B$5,标准坦克设计!$B$14:$K$20,9)/30))</f>
        <v>5.6556998251212773</v>
      </c>
      <c r="BF163" s="173">
        <f ca="1">(VLOOKUP(BF$72,INDIRECT($C$5&amp;"生成成长"),2))/((VLOOKUP($B163,INDIRECT($B$5&amp;"生成成长"),4))/(VLOOKUP(BF$72,INDIRECT($C$5&amp;"生成成长"),5))*(VLOOKUP($B$5,标准坦克设计!$B$24:$U$30,MATCH("对"&amp;LEFT($C$5,2)&amp;"输出",标准坦克设计!$B$23:$U$23,0)))*(VLOOKUP($B163,INDIRECT($B$5&amp;"生成成长"),3))*(VLOOKUP($B$5,标准坦克设计!$B$14:$K$20,9)/30))</f>
        <v>6.1983487585374526</v>
      </c>
      <c r="BG163" s="173">
        <f ca="1">(VLOOKUP(BG$72,INDIRECT($C$5&amp;"生成成长"),2))/((VLOOKUP($B163,INDIRECT($B$5&amp;"生成成长"),4))/(VLOOKUP(BG$72,INDIRECT($C$5&amp;"生成成长"),5))*(VLOOKUP($B$5,标准坦克设计!$B$24:$U$30,MATCH("对"&amp;LEFT($C$5,2)&amp;"输出",标准坦克设计!$B$23:$U$23,0)))*(VLOOKUP($B163,INDIRECT($B$5&amp;"生成成长"),3))*(VLOOKUP($B$5,标准坦克设计!$B$14:$K$20,9)/30))</f>
        <v>6.7658518415757447</v>
      </c>
      <c r="BH163" s="173">
        <f ca="1">(VLOOKUP(BH$72,INDIRECT($C$5&amp;"生成成长"),2))/((VLOOKUP($B163,INDIRECT($B$5&amp;"生成成长"),4))/(VLOOKUP(BH$72,INDIRECT($C$5&amp;"生成成长"),5))*(VLOOKUP($B$5,标准坦克设计!$B$24:$U$30,MATCH("对"&amp;LEFT($C$5,2)&amp;"输出",标准坦克设计!$B$23:$U$23,0)))*(VLOOKUP($B163,INDIRECT($B$5&amp;"生成成长"),3))*(VLOOKUP($B$5,标准坦克设计!$B$14:$K$20,9)/30))</f>
        <v>3.2703151441049569</v>
      </c>
      <c r="BI163" s="173">
        <f ca="1">(VLOOKUP(BI$72,INDIRECT($C$5&amp;"生成成长"),2))/((VLOOKUP($B163,INDIRECT($B$5&amp;"生成成长"),4))/(VLOOKUP(BI$72,INDIRECT($C$5&amp;"生成成长"),5))*(VLOOKUP($B$5,标准坦克设计!$B$24:$U$30,MATCH("对"&amp;LEFT($C$5,2)&amp;"输出",标准坦克设计!$B$23:$U$23,0)))*(VLOOKUP($B163,INDIRECT($B$5&amp;"生成成长"),3))*(VLOOKUP($B$5,标准坦克设计!$B$14:$K$20,9)/30))</f>
        <v>3.6859317572303243</v>
      </c>
      <c r="BJ163" s="173">
        <f ca="1">(VLOOKUP(BJ$72,INDIRECT($C$5&amp;"生成成长"),2))/((VLOOKUP($B163,INDIRECT($B$5&amp;"生成成长"),4))/(VLOOKUP(BJ$72,INDIRECT($C$5&amp;"生成成长"),5))*(VLOOKUP($B$5,标准坦克设计!$B$24:$U$30,MATCH("对"&amp;LEFT($C$5,2)&amp;"输出",标准坦克设计!$B$23:$U$23,0)))*(VLOOKUP($B163,INDIRECT($B$5&amp;"生成成长"),3))*(VLOOKUP($B$5,标准坦克设计!$B$14:$K$20,9)/30))</f>
        <v>4.1264025199778063</v>
      </c>
      <c r="BK163" s="173">
        <f ca="1">(VLOOKUP(BK$72,INDIRECT($C$5&amp;"生成成长"),2))/((VLOOKUP($B163,INDIRECT($B$5&amp;"生成成长"),4))/(VLOOKUP(BK$72,INDIRECT($C$5&amp;"生成成长"),5))*(VLOOKUP($B$5,标准坦克设计!$B$24:$U$30,MATCH("对"&amp;LEFT($C$5,2)&amp;"输出",标准坦克设计!$B$23:$U$23,0)))*(VLOOKUP($B163,INDIRECT($B$5&amp;"生成成长"),3))*(VLOOKUP($B$5,标准坦克设计!$B$14:$K$20,9)/30))</f>
        <v>4.5917274323474029</v>
      </c>
      <c r="BL163" s="173">
        <f ca="1">(VLOOKUP(BL$72,INDIRECT($C$5&amp;"生成成长"),2))/((VLOOKUP($B163,INDIRECT($B$5&amp;"生成成长"),4))/(VLOOKUP(BL$72,INDIRECT($C$5&amp;"生成成长"),5))*(VLOOKUP($B$5,标准坦克设计!$B$24:$U$30,MATCH("对"&amp;LEFT($C$5,2)&amp;"输出",标准坦克设计!$B$23:$U$23,0)))*(VLOOKUP($B163,INDIRECT($B$5&amp;"生成成长"),3))*(VLOOKUP($B$5,标准坦克设计!$B$14:$K$20,9)/30))</f>
        <v>5.0819064943391163</v>
      </c>
      <c r="BM163" s="173">
        <f ca="1">(VLOOKUP(BM$72,INDIRECT($C$5&amp;"生成成长"),2))/((VLOOKUP($B163,INDIRECT($B$5&amp;"生成成长"),4))/(VLOOKUP(BM$72,INDIRECT($C$5&amp;"生成成长"),5))*(VLOOKUP($B$5,标准坦克设计!$B$24:$U$30,MATCH("对"&amp;LEFT($C$5,2)&amp;"输出",标准坦克设计!$B$23:$U$23,0)))*(VLOOKUP($B163,INDIRECT($B$5&amp;"生成成长"),3))*(VLOOKUP($B$5,标准坦克设计!$B$14:$K$20,9)/30))</f>
        <v>5.5969397059529422</v>
      </c>
      <c r="BN163" s="173">
        <f ca="1">(VLOOKUP(BN$72,INDIRECT($C$5&amp;"生成成长"),2))/((VLOOKUP($B163,INDIRECT($B$5&amp;"生成成长"),4))/(VLOOKUP(BN$72,INDIRECT($C$5&amp;"生成成长"),5))*(VLOOKUP($B$5,标准坦克设计!$B$24:$U$30,MATCH("对"&amp;LEFT($C$5,2)&amp;"输出",标准坦克设计!$B$23:$U$23,0)))*(VLOOKUP($B163,INDIRECT($B$5&amp;"生成成长"),3))*(VLOOKUP($B$5,标准坦克设计!$B$14:$K$20,9)/30))</f>
        <v>6.1368270671888849</v>
      </c>
      <c r="BO163" s="173">
        <f ca="1">(VLOOKUP(BO$72,INDIRECT($C$5&amp;"生成成长"),2))/((VLOOKUP($B163,INDIRECT($B$5&amp;"生成成长"),4))/(VLOOKUP(BO$72,INDIRECT($C$5&amp;"生成成长"),5))*(VLOOKUP($B$5,标准坦克设计!$B$24:$U$30,MATCH("对"&amp;LEFT($C$5,2)&amp;"输出",标准坦克设计!$B$23:$U$23,0)))*(VLOOKUP($B163,INDIRECT($B$5&amp;"生成成长"),3))*(VLOOKUP($B$5,标准坦克设计!$B$14:$K$20,9)/30))</f>
        <v>6.7015685780469418</v>
      </c>
      <c r="BP163" s="173">
        <f ca="1">(VLOOKUP(BP$72,INDIRECT($C$5&amp;"生成成长"),2))/((VLOOKUP($B163,INDIRECT($B$5&amp;"生成成长"),4))/(VLOOKUP(BP$72,INDIRECT($C$5&amp;"生成成长"),5))*(VLOOKUP($B$5,标准坦克设计!$B$24:$U$30,MATCH("对"&amp;LEFT($C$5,2)&amp;"输出",标准坦克设计!$B$23:$U$23,0)))*(VLOOKUP($B163,INDIRECT($B$5&amp;"生成成长"),3))*(VLOOKUP($B$5,标准坦克设计!$B$14:$K$20,9)/30))</f>
        <v>7.2911642385271138</v>
      </c>
      <c r="BQ163" s="173">
        <f ca="1">(VLOOKUP(BQ$72,INDIRECT($C$5&amp;"生成成长"),2))/((VLOOKUP($B163,INDIRECT($B$5&amp;"生成成长"),4))/(VLOOKUP(BQ$72,INDIRECT($C$5&amp;"生成成长"),5))*(VLOOKUP($B$5,标准坦克设计!$B$24:$U$30,MATCH("对"&amp;LEFT($C$5,2)&amp;"输出",标准坦克设计!$B$23:$U$23,0)))*(VLOOKUP($B163,INDIRECT($B$5&amp;"生成成长"),3))*(VLOOKUP($B$5,标准坦克设计!$B$14:$K$20,9)/30))</f>
        <v>7.9056140486294018</v>
      </c>
      <c r="BR163" s="173">
        <f ca="1">(VLOOKUP(BR$72,INDIRECT($C$5&amp;"生成成长"),2))/((VLOOKUP($B163,INDIRECT($B$5&amp;"生成成长"),4))/(VLOOKUP(BR$72,INDIRECT($C$5&amp;"生成成长"),5))*(VLOOKUP($B$5,标准坦克设计!$B$24:$U$30,MATCH("对"&amp;LEFT($C$5,2)&amp;"输出",标准坦克设计!$B$23:$U$23,0)))*(VLOOKUP($B163,INDIRECT($B$5&amp;"生成成长"),3))*(VLOOKUP($B$5,标准坦克设计!$B$14:$K$20,9)/30))</f>
        <v>8.6174859884233133</v>
      </c>
      <c r="BS163" s="173">
        <f ca="1">(VLOOKUP(BS$72,INDIRECT($C$5&amp;"生成成长"),2))/((VLOOKUP($B163,INDIRECT($B$5&amp;"生成成长"),4))/(VLOOKUP(BS$72,INDIRECT($C$5&amp;"生成成长"),5))*(VLOOKUP($B$5,标准坦克设计!$B$24:$U$30,MATCH("对"&amp;LEFT($C$5,2)&amp;"输出",标准坦克设计!$B$23:$U$23,0)))*(VLOOKUP($B163,INDIRECT($B$5&amp;"生成成长"),3))*(VLOOKUP($B$5,标准坦克设计!$B$14:$K$20,9)/30))</f>
        <v>9.360042063553168</v>
      </c>
      <c r="BT163" s="173">
        <f ca="1">(VLOOKUP(BT$72,INDIRECT($C$5&amp;"生成成长"),2))/((VLOOKUP($B163,INDIRECT($B$5&amp;"生成成长"),4))/(VLOOKUP(BT$72,INDIRECT($C$5&amp;"生成成长"),5))*(VLOOKUP($B$5,标准坦克设计!$B$24:$U$30,MATCH("对"&amp;LEFT($C$5,2)&amp;"输出",标准坦克设计!$B$23:$U$23,0)))*(VLOOKUP($B163,INDIRECT($B$5&amp;"生成成长"),3))*(VLOOKUP($B$5,标准坦克设计!$B$14:$K$20,9)/30))</f>
        <v>10.133282274018967</v>
      </c>
      <c r="BU163" s="173">
        <f ca="1">(VLOOKUP(BU$72,INDIRECT($C$5&amp;"生成成长"),2))/((VLOOKUP($B163,INDIRECT($B$5&amp;"生成成长"),4))/(VLOOKUP(BU$72,INDIRECT($C$5&amp;"生成成长"),5))*(VLOOKUP($B$5,标准坦克设计!$B$24:$U$30,MATCH("对"&amp;LEFT($C$5,2)&amp;"输出",标准坦克设计!$B$23:$U$23,0)))*(VLOOKUP($B163,INDIRECT($B$5&amp;"生成成长"),3))*(VLOOKUP($B$5,标准坦克设计!$B$14:$K$20,9)/30))</f>
        <v>10.937206619820712</v>
      </c>
      <c r="BV163" s="173">
        <f ca="1">(VLOOKUP(BV$72,INDIRECT($C$5&amp;"生成成长"),2))/((VLOOKUP($B163,INDIRECT($B$5&amp;"生成成长"),4))/(VLOOKUP(BV$72,INDIRECT($C$5&amp;"生成成长"),5))*(VLOOKUP($B$5,标准坦克设计!$B$24:$U$30,MATCH("对"&amp;LEFT($C$5,2)&amp;"输出",标准坦克设计!$B$23:$U$23,0)))*(VLOOKUP($B163,INDIRECT($B$5&amp;"生成成长"),3))*(VLOOKUP($B$5,标准坦克设计!$B$14:$K$20,9)/30))</f>
        <v>11.771815100958399</v>
      </c>
      <c r="BW163" s="173">
        <f ca="1">(VLOOKUP(BW$72,INDIRECT($C$5&amp;"生成成长"),2))/((VLOOKUP($B163,INDIRECT($B$5&amp;"生成成长"),4))/(VLOOKUP(BW$72,INDIRECT($C$5&amp;"生成成长"),5))*(VLOOKUP($B$5,标准坦克设计!$B$24:$U$30,MATCH("对"&amp;LEFT($C$5,2)&amp;"输出",标准坦克设计!$B$23:$U$23,0)))*(VLOOKUP($B163,INDIRECT($B$5&amp;"生成成长"),3))*(VLOOKUP($B$5,标准坦克设计!$B$14:$K$20,9)/30))</f>
        <v>5.3649676428132027</v>
      </c>
      <c r="BX163" s="173">
        <f ca="1">(VLOOKUP(BX$72,INDIRECT($C$5&amp;"生成成长"),2))/((VLOOKUP($B163,INDIRECT($B$5&amp;"生成成长"),4))/(VLOOKUP(BX$72,INDIRECT($C$5&amp;"生成成长"),5))*(VLOOKUP($B$5,标准坦克设计!$B$24:$U$30,MATCH("对"&amp;LEFT($C$5,2)&amp;"输出",标准坦克设计!$B$23:$U$23,0)))*(VLOOKUP($B163,INDIRECT($B$5&amp;"生成成长"),3))*(VLOOKUP($B$5,标准坦克设计!$B$14:$K$20,9)/30))</f>
        <v>5.9541030412633367</v>
      </c>
      <c r="BY163" s="173">
        <f ca="1">(VLOOKUP(BY$72,INDIRECT($C$5&amp;"生成成长"),2))/((VLOOKUP($B163,INDIRECT($B$5&amp;"生成成长"),4))/(VLOOKUP(BY$72,INDIRECT($C$5&amp;"生成成长"),5))*(VLOOKUP($B$5,标准坦克设计!$B$24:$U$30,MATCH("对"&amp;LEFT($C$5,2)&amp;"输出",标准坦克设计!$B$23:$U$23,0)))*(VLOOKUP($B163,INDIRECT($B$5&amp;"生成成长"),3))*(VLOOKUP($B$5,标准坦克设计!$B$14:$K$20,9)/30))</f>
        <v>6.573922575049413</v>
      </c>
      <c r="BZ163" s="173">
        <f ca="1">(VLOOKUP(BZ$72,INDIRECT($C$5&amp;"生成成长"),2))/((VLOOKUP($B163,INDIRECT($B$5&amp;"生成成长"),4))/(VLOOKUP(BZ$72,INDIRECT($C$5&amp;"生成成长"),5))*(VLOOKUP($B$5,标准坦克设计!$B$24:$U$30,MATCH("对"&amp;LEFT($C$5,2)&amp;"输出",标准坦克设计!$B$23:$U$23,0)))*(VLOOKUP($B163,INDIRECT($B$5&amp;"生成成长"),3))*(VLOOKUP($B$5,标准坦克设计!$B$14:$K$20,9)/30))</f>
        <v>7.2244262441714353</v>
      </c>
      <c r="CA163" s="173">
        <f ca="1">(VLOOKUP(CA$72,INDIRECT($C$5&amp;"生成成长"),2))/((VLOOKUP($B163,INDIRECT($B$5&amp;"生成成长"),4))/(VLOOKUP(CA$72,INDIRECT($C$5&amp;"生成成长"),5))*(VLOOKUP($B$5,标准坦克设计!$B$24:$U$30,MATCH("对"&amp;LEFT($C$5,2)&amp;"输出",标准坦克设计!$B$23:$U$23,0)))*(VLOOKUP($B163,INDIRECT($B$5&amp;"生成成长"),3))*(VLOOKUP($B$5,标准坦克设计!$B$14:$K$20,9)/30))</f>
        <v>7.9056140486294018</v>
      </c>
      <c r="CB163" s="173">
        <f ca="1">(VLOOKUP(CB$72,INDIRECT($C$5&amp;"生成成长"),2))/((VLOOKUP($B163,INDIRECT($B$5&amp;"生成成长"),4))/(VLOOKUP(CB$72,INDIRECT($C$5&amp;"生成成长"),5))*(VLOOKUP($B$5,标准坦克设计!$B$24:$U$30,MATCH("对"&amp;LEFT($C$5,2)&amp;"输出",标准坦克设计!$B$23:$U$23,0)))*(VLOOKUP($B163,INDIRECT($B$5&amp;"生成成长"),3))*(VLOOKUP($B$5,标准坦克设计!$B$14:$K$20,9)/30))</f>
        <v>8.6174859884233133</v>
      </c>
      <c r="CC163" s="173">
        <f ca="1">(VLOOKUP(CC$72,INDIRECT($C$5&amp;"生成成长"),2))/((VLOOKUP($B163,INDIRECT($B$5&amp;"生成成长"),4))/(VLOOKUP(CC$72,INDIRECT($C$5&amp;"生成成长"),5))*(VLOOKUP($B$5,标准坦克设计!$B$24:$U$30,MATCH("对"&amp;LEFT($C$5,2)&amp;"输出",标准坦克设计!$B$23:$U$23,0)))*(VLOOKUP($B163,INDIRECT($B$5&amp;"生成成长"),3))*(VLOOKUP($B$5,标准坦克设计!$B$14:$K$20,9)/30))</f>
        <v>9.360042063553168</v>
      </c>
      <c r="CD163" s="173">
        <f ca="1">(VLOOKUP(CD$72,INDIRECT($C$5&amp;"生成成长"),2))/((VLOOKUP($B163,INDIRECT($B$5&amp;"生成成长"),4))/(VLOOKUP(CD$72,INDIRECT($C$5&amp;"生成成长"),5))*(VLOOKUP($B$5,标准坦克设计!$B$24:$U$30,MATCH("对"&amp;LEFT($C$5,2)&amp;"输出",标准坦克设计!$B$23:$U$23,0)))*(VLOOKUP($B163,INDIRECT($B$5&amp;"生成成长"),3))*(VLOOKUP($B$5,标准坦克设计!$B$14:$K$20,9)/30))</f>
        <v>10.133282274018967</v>
      </c>
      <c r="CE163" s="173">
        <f ca="1">(VLOOKUP(CE$72,INDIRECT($C$5&amp;"生成成长"),2))/((VLOOKUP($B163,INDIRECT($B$5&amp;"生成成长"),4))/(VLOOKUP(CE$72,INDIRECT($C$5&amp;"生成成长"),5))*(VLOOKUP($B$5,标准坦克设计!$B$24:$U$30,MATCH("对"&amp;LEFT($C$5,2)&amp;"输出",标准坦克设计!$B$23:$U$23,0)))*(VLOOKUP($B163,INDIRECT($B$5&amp;"生成成长"),3))*(VLOOKUP($B$5,标准坦克设计!$B$14:$K$20,9)/30))</f>
        <v>10.937206619820712</v>
      </c>
      <c r="CF163" s="173">
        <f ca="1">(VLOOKUP(CF$72,INDIRECT($C$5&amp;"生成成长"),2))/((VLOOKUP($B163,INDIRECT($B$5&amp;"生成成长"),4))/(VLOOKUP(CF$72,INDIRECT($C$5&amp;"生成成长"),5))*(VLOOKUP($B$5,标准坦克设计!$B$24:$U$30,MATCH("对"&amp;LEFT($C$5,2)&amp;"输出",标准坦克设计!$B$23:$U$23,0)))*(VLOOKUP($B163,INDIRECT($B$5&amp;"生成成长"),3))*(VLOOKUP($B$5,标准坦克设计!$B$14:$K$20,9)/30))</f>
        <v>11.771815100958399</v>
      </c>
      <c r="CG163" s="173">
        <f ca="1">(VLOOKUP(CG$72,INDIRECT($C$5&amp;"生成成长"),2))/((VLOOKUP($B163,INDIRECT($B$5&amp;"生成成长"),4))/(VLOOKUP(CG$72,INDIRECT($C$5&amp;"生成成长"),5))*(VLOOKUP($B$5,标准坦克设计!$B$24:$U$30,MATCH("对"&amp;LEFT($C$5,2)&amp;"输出",标准坦克设计!$B$23:$U$23,0)))*(VLOOKUP($B163,INDIRECT($B$5&amp;"生成成长"),3))*(VLOOKUP($B$5,标准坦克设计!$B$14:$K$20,9)/30))</f>
        <v>12.637107717432032</v>
      </c>
      <c r="CH163" s="173">
        <f ca="1">(VLOOKUP(CH$72,INDIRECT($C$5&amp;"生成成长"),2))/((VLOOKUP($B163,INDIRECT($B$5&amp;"生成成长"),4))/(VLOOKUP(CH$72,INDIRECT($C$5&amp;"生成成长"),5))*(VLOOKUP($B$5,标准坦克设计!$B$24:$U$30,MATCH("对"&amp;LEFT($C$5,2)&amp;"输出",标准坦克设计!$B$23:$U$23,0)))*(VLOOKUP($B163,INDIRECT($B$5&amp;"生成成长"),3))*(VLOOKUP($B$5,标准坦克设计!$B$14:$K$20,9)/30))</f>
        <v>13.533084469241606</v>
      </c>
      <c r="CI163" s="173">
        <f ca="1">(VLOOKUP(CI$72,INDIRECT($C$5&amp;"生成成长"),2))/((VLOOKUP($B163,INDIRECT($B$5&amp;"生成成长"),4))/(VLOOKUP(CI$72,INDIRECT($C$5&amp;"生成成长"),5))*(VLOOKUP($B$5,标准坦克设计!$B$24:$U$30,MATCH("对"&amp;LEFT($C$5,2)&amp;"输出",标准坦克设计!$B$23:$U$23,0)))*(VLOOKUP($B163,INDIRECT($B$5&amp;"生成成长"),3))*(VLOOKUP($B$5,标准坦克设计!$B$14:$K$20,9)/30))</f>
        <v>14.554099072545158</v>
      </c>
      <c r="CJ163" s="173">
        <f ca="1">(VLOOKUP(CJ$72,INDIRECT($C$5&amp;"生成成长"),2))/((VLOOKUP($B163,INDIRECT($B$5&amp;"生成成长"),4))/(VLOOKUP(CJ$72,INDIRECT($C$5&amp;"生成成长"),5))*(VLOOKUP($B$5,标准坦克设计!$B$24:$U$30,MATCH("对"&amp;LEFT($C$5,2)&amp;"输出",标准坦克设计!$B$23:$U$23,0)))*(VLOOKUP($B163,INDIRECT($B$5&amp;"生成成长"),3))*(VLOOKUP($B$5,标准坦克设计!$B$14:$K$20,9)/30))</f>
        <v>15.612241479605203</v>
      </c>
      <c r="CK163" s="173">
        <f ca="1">(VLOOKUP(CK$72,INDIRECT($C$5&amp;"生成成长"),2))/((VLOOKUP($B163,INDIRECT($B$5&amp;"生成成长"),4))/(VLOOKUP(CK$72,INDIRECT($C$5&amp;"生成成长"),5))*(VLOOKUP($B$5,标准坦克设计!$B$24:$U$30,MATCH("对"&amp;LEFT($C$5,2)&amp;"输出",标准坦克设计!$B$23:$U$23,0)))*(VLOOKUP($B163,INDIRECT($B$5&amp;"生成成长"),3))*(VLOOKUP($B$5,标准坦克设计!$B$14:$K$20,9)/30))</f>
        <v>16.70751169042174</v>
      </c>
      <c r="CL163" s="173">
        <f ca="1">(VLOOKUP(CL$72,INDIRECT($C$5&amp;"生成成长"),2))/((VLOOKUP($B163,INDIRECT($B$5&amp;"生成成长"),4))/(VLOOKUP(CL$72,INDIRECT($C$5&amp;"生成成长"),5))*(VLOOKUP($B$5,标准坦克设计!$B$24:$U$30,MATCH("对"&amp;LEFT($C$5,2)&amp;"输出",标准坦克设计!$B$23:$U$23,0)))*(VLOOKUP($B163,INDIRECT($B$5&amp;"生成成长"),3))*(VLOOKUP($B$5,标准坦克设计!$B$14:$K$20,9)/30))</f>
        <v>17.839909704994767</v>
      </c>
      <c r="CM163" s="173">
        <f ca="1">(VLOOKUP(CM$72,INDIRECT($C$5&amp;"生成成长"),2))/((VLOOKUP($B163,INDIRECT($B$5&amp;"生成成长"),4))/(VLOOKUP(CM$72,INDIRECT($C$5&amp;"生成成长"),5))*(VLOOKUP($B$5,标准坦克设计!$B$24:$U$30,MATCH("对"&amp;LEFT($C$5,2)&amp;"输出",标准坦克设计!$B$23:$U$23,0)))*(VLOOKUP($B163,INDIRECT($B$5&amp;"生成成长"),3))*(VLOOKUP($B$5,标准坦克设计!$B$14:$K$20,9)/30))</f>
        <v>19.009435523324292</v>
      </c>
      <c r="CN163" s="173">
        <f ca="1">(VLOOKUP(CN$72,INDIRECT($C$5&amp;"生成成长"),2))/((VLOOKUP($B163,INDIRECT($B$5&amp;"生成成长"),4))/(VLOOKUP(CN$72,INDIRECT($C$5&amp;"生成成长"),5))*(VLOOKUP($B$5,标准坦克设计!$B$24:$U$30,MATCH("对"&amp;LEFT($C$5,2)&amp;"输出",标准坦克设计!$B$23:$U$23,0)))*(VLOOKUP($B163,INDIRECT($B$5&amp;"生成成长"),3))*(VLOOKUP($B$5,标准坦克设计!$B$14:$K$20,9)/30))</f>
        <v>20.216089145410304</v>
      </c>
      <c r="CO163" s="173">
        <f ca="1">(VLOOKUP(CO$72,INDIRECT($C$5&amp;"生成成长"),2))/((VLOOKUP($B163,INDIRECT($B$5&amp;"生成成长"),4))/(VLOOKUP(CO$72,INDIRECT($C$5&amp;"生成成长"),5))*(VLOOKUP($B$5,标准坦克设计!$B$24:$U$30,MATCH("对"&amp;LEFT($C$5,2)&amp;"输出",标准坦克设计!$B$23:$U$23,0)))*(VLOOKUP($B163,INDIRECT($B$5&amp;"生成成长"),3))*(VLOOKUP($B$5,标准坦克设计!$B$14:$K$20,9)/30))</f>
        <v>9.0593375372609106</v>
      </c>
      <c r="CP163" s="173">
        <f ca="1">(VLOOKUP(CP$72,INDIRECT($C$5&amp;"生成成长"),2))/((VLOOKUP($B163,INDIRECT($B$5&amp;"生成成长"),4))/(VLOOKUP(CP$72,INDIRECT($C$5&amp;"生成成长"),5))*(VLOOKUP($B$5,标准坦克设计!$B$24:$U$30,MATCH("对"&amp;LEFT($C$5,2)&amp;"输出",标准坦克设计!$B$23:$U$23,0)))*(VLOOKUP($B163,INDIRECT($B$5&amp;"生成成长"),3))*(VLOOKUP($B$5,标准坦克设计!$B$14:$K$20,9)/30))</f>
        <v>9.8980883766689534</v>
      </c>
      <c r="CQ163" s="173">
        <f ca="1">(VLOOKUP(CQ$72,INDIRECT($C$5&amp;"生成成长"),2))/((VLOOKUP($B163,INDIRECT($B$5&amp;"生成成长"),4))/(VLOOKUP(CQ$72,INDIRECT($C$5&amp;"生成成长"),5))*(VLOOKUP($B$5,标准坦克设计!$B$24:$U$30,MATCH("对"&amp;LEFT($C$5,2)&amp;"输出",标准坦克设计!$B$23:$U$23,0)))*(VLOOKUP($B163,INDIRECT($B$5&amp;"生成成长"),3))*(VLOOKUP($B$5,标准坦克设计!$B$14:$K$20,9)/30))</f>
        <v>10.773967019833487</v>
      </c>
      <c r="CR163" s="173">
        <f ca="1">(VLOOKUP(CR$72,INDIRECT($C$5&amp;"生成成长"),2))/((VLOOKUP($B163,INDIRECT($B$5&amp;"生成成长"),4))/(VLOOKUP(CR$72,INDIRECT($C$5&amp;"生成成长"),5))*(VLOOKUP($B$5,标准坦克设计!$B$24:$U$30,MATCH("对"&amp;LEFT($C$5,2)&amp;"输出",标准坦克设计!$B$23:$U$23,0)))*(VLOOKUP($B163,INDIRECT($B$5&amp;"生成成长"),3))*(VLOOKUP($B$5,标准坦克设计!$B$14:$K$20,9)/30))</f>
        <v>11.686973466754512</v>
      </c>
      <c r="CS163" s="173">
        <f ca="1">(VLOOKUP(CS$72,INDIRECT($C$5&amp;"生成成长"),2))/((VLOOKUP($B163,INDIRECT($B$5&amp;"生成成长"),4))/(VLOOKUP(CS$72,INDIRECT($C$5&amp;"生成成长"),5))*(VLOOKUP($B$5,标准坦克设计!$B$24:$U$30,MATCH("对"&amp;LEFT($C$5,2)&amp;"输出",标准坦克设计!$B$23:$U$23,0)))*(VLOOKUP($B163,INDIRECT($B$5&amp;"生成成长"),3))*(VLOOKUP($B$5,标准坦克设计!$B$14:$K$20,9)/30))</f>
        <v>12.637107717432032</v>
      </c>
      <c r="CT163" s="173">
        <f ca="1">(VLOOKUP(CT$72,INDIRECT($C$5&amp;"生成成长"),2))/((VLOOKUP($B163,INDIRECT($B$5&amp;"生成成长"),4))/(VLOOKUP(CT$72,INDIRECT($C$5&amp;"生成成长"),5))*(VLOOKUP($B$5,标准坦克设计!$B$24:$U$30,MATCH("对"&amp;LEFT($C$5,2)&amp;"输出",标准坦克设计!$B$23:$U$23,0)))*(VLOOKUP($B163,INDIRECT($B$5&amp;"生成成长"),3))*(VLOOKUP($B$5,标准坦克设计!$B$14:$K$20,9)/30))</f>
        <v>13.624369771866045</v>
      </c>
      <c r="CU163" s="173">
        <f ca="1">(VLOOKUP(CU$72,INDIRECT($C$5&amp;"生成成长"),2))/((VLOOKUP($B163,INDIRECT($B$5&amp;"生成成长"),4))/(VLOOKUP(CU$72,INDIRECT($C$5&amp;"生成成长"),5))*(VLOOKUP($B$5,标准坦克设计!$B$24:$U$30,MATCH("对"&amp;LEFT($C$5,2)&amp;"输出",标准坦克设计!$B$23:$U$23,0)))*(VLOOKUP($B163,INDIRECT($B$5&amp;"生成成长"),3))*(VLOOKUP($B$5,标准坦克设计!$B$14:$K$20,9)/30))</f>
        <v>14.648759630056547</v>
      </c>
      <c r="CV163" s="173">
        <f ca="1">(VLOOKUP(CV$72,INDIRECT($C$5&amp;"生成成长"),2))/((VLOOKUP($B163,INDIRECT($B$5&amp;"生成成长"),4))/(VLOOKUP(CV$72,INDIRECT($C$5&amp;"生成成长"),5))*(VLOOKUP($B$5,标准坦克设计!$B$24:$U$30,MATCH("对"&amp;LEFT($C$5,2)&amp;"输出",标准坦克设计!$B$23:$U$23,0)))*(VLOOKUP($B163,INDIRECT($B$5&amp;"生成成长"),3))*(VLOOKUP($B$5,标准坦克设计!$B$14:$K$20,9)/30))</f>
        <v>15.710277292003546</v>
      </c>
      <c r="CW163" s="173">
        <f ca="1">(VLOOKUP(CW$72,INDIRECT($C$5&amp;"生成成长"),2))/((VLOOKUP($B163,INDIRECT($B$5&amp;"生成成长"),4))/(VLOOKUP(CW$72,INDIRECT($C$5&amp;"生成成长"),5))*(VLOOKUP($B$5,标准坦克设计!$B$24:$U$30,MATCH("对"&amp;LEFT($C$5,2)&amp;"输出",标准坦克设计!$B$23:$U$23,0)))*(VLOOKUP($B163,INDIRECT($B$5&amp;"生成成长"),3))*(VLOOKUP($B$5,标准坦克设计!$B$14:$K$20,9)/30))</f>
        <v>16.808922757707037</v>
      </c>
      <c r="CX163" s="173">
        <f ca="1">(VLOOKUP(CX$72,INDIRECT($C$5&amp;"生成成长"),2))/((VLOOKUP($B163,INDIRECT($B$5&amp;"生成成长"),4))/(VLOOKUP(CX$72,INDIRECT($C$5&amp;"生成成长"),5))*(VLOOKUP($B$5,标准坦克设计!$B$24:$U$30,MATCH("对"&amp;LEFT($C$5,2)&amp;"输出",标准坦克设计!$B$23:$U$23,0)))*(VLOOKUP($B163,INDIRECT($B$5&amp;"生成成长"),3))*(VLOOKUP($B$5,标准坦克设计!$B$14:$K$20,9)/30))</f>
        <v>17.944696027167019</v>
      </c>
      <c r="CY163" s="173">
        <f ca="1">(VLOOKUP(CY$72,INDIRECT($C$5&amp;"生成成长"),2))/((VLOOKUP($B163,INDIRECT($B$5&amp;"生成成长"),4))/(VLOOKUP(CY$72,INDIRECT($C$5&amp;"生成成长"),5))*(VLOOKUP($B$5,标准坦克设计!$B$24:$U$30,MATCH("对"&amp;LEFT($C$5,2)&amp;"输出",标准坦克设计!$B$23:$U$23,0)))*(VLOOKUP($B163,INDIRECT($B$5&amp;"生成成长"),3))*(VLOOKUP($B$5,标准坦克设计!$B$14:$K$20,9)/30))</f>
        <v>19.117597100383492</v>
      </c>
      <c r="CZ163" s="173">
        <f ca="1">(VLOOKUP(CZ$72,INDIRECT($C$5&amp;"生成成长"),2))/((VLOOKUP($B163,INDIRECT($B$5&amp;"生成成长"),4))/(VLOOKUP(CZ$72,INDIRECT($C$5&amp;"生成成长"),5))*(VLOOKUP($B$5,标准坦克设计!$B$24:$U$30,MATCH("对"&amp;LEFT($C$5,2)&amp;"输出",标准坦克设计!$B$23:$U$23,0)))*(VLOOKUP($B163,INDIRECT($B$5&amp;"生成成长"),3))*(VLOOKUP($B$5,标准坦克设计!$B$14:$K$20,9)/30))</f>
        <v>20.327625977356465</v>
      </c>
      <c r="DA163" s="173">
        <f ca="1">(VLOOKUP(DA$72,INDIRECT($C$5&amp;"生成成长"),2))/((VLOOKUP($B163,INDIRECT($B$5&amp;"生成成长"),4))/(VLOOKUP(DA$72,INDIRECT($C$5&amp;"生成成长"),5))*(VLOOKUP($B$5,标准坦克设计!$B$24:$U$30,MATCH("对"&amp;LEFT($C$5,2)&amp;"输出",标准坦克设计!$B$23:$U$23,0)))*(VLOOKUP($B163,INDIRECT($B$5&amp;"生成成长"),3))*(VLOOKUP($B$5,标准坦克设计!$B$14:$K$20,9)/30))</f>
        <v>21.574782658085919</v>
      </c>
      <c r="DB163" s="173">
        <f ca="1">(VLOOKUP(DB$72,INDIRECT($C$5&amp;"生成成长"),2))/((VLOOKUP($B163,INDIRECT($B$5&amp;"生成成长"),4))/(VLOOKUP(DB$72,INDIRECT($C$5&amp;"生成成长"),5))*(VLOOKUP($B$5,标准坦克设计!$B$24:$U$30,MATCH("对"&amp;LEFT($C$5,2)&amp;"输出",标准坦克设计!$B$23:$U$23,0)))*(VLOOKUP($B163,INDIRECT($B$5&amp;"生成成长"),3))*(VLOOKUP($B$5,标准坦克设计!$B$14:$K$20,9)/30))</f>
        <v>22.859067142571874</v>
      </c>
      <c r="DC163" s="173">
        <f ca="1">(VLOOKUP(DC$72,INDIRECT($C$5&amp;"生成成长"),2))/((VLOOKUP($B163,INDIRECT($B$5&amp;"生成成长"),4))/(VLOOKUP(DC$72,INDIRECT($C$5&amp;"生成成长"),5))*(VLOOKUP($B$5,标准坦克设计!$B$24:$U$30,MATCH("对"&amp;LEFT($C$5,2)&amp;"输出",标准坦克设计!$B$23:$U$23,0)))*(VLOOKUP($B163,INDIRECT($B$5&amp;"生成成长"),3))*(VLOOKUP($B$5,标准坦克设计!$B$14:$K$20,9)/30))</f>
        <v>24.302448868774704</v>
      </c>
      <c r="DD163" s="173">
        <f ca="1">(VLOOKUP(DD$72,INDIRECT($C$5&amp;"生成成长"),2))/((VLOOKUP($B163,INDIRECT($B$5&amp;"生成成长"),4))/(VLOOKUP(DD$72,INDIRECT($C$5&amp;"生成成长"),5))*(VLOOKUP($B$5,标准坦克设计!$B$24:$U$30,MATCH("对"&amp;LEFT($C$5,2)&amp;"输出",标准坦克设计!$B$23:$U$23,0)))*(VLOOKUP($B163,INDIRECT($B$5&amp;"生成成长"),3))*(VLOOKUP($B$5,标准坦克设计!$B$14:$K$20,9)/30))</f>
        <v>25.79001574986129</v>
      </c>
      <c r="DE163" s="173">
        <f ca="1">(VLOOKUP(DE$72,INDIRECT($C$5&amp;"生成成长"),2))/((VLOOKUP($B163,INDIRECT($B$5&amp;"生成成长"),4))/(VLOOKUP(DE$72,INDIRECT($C$5&amp;"生成成长"),5))*(VLOOKUP($B$5,标准坦克设计!$B$24:$U$30,MATCH("对"&amp;LEFT($C$5,2)&amp;"输出",标准坦克设计!$B$23:$U$23,0)))*(VLOOKUP($B163,INDIRECT($B$5&amp;"生成成长"),3))*(VLOOKUP($B$5,标准坦克设计!$B$14:$K$20,9)/30))</f>
        <v>27.321767785831632</v>
      </c>
      <c r="DF163" s="173">
        <f ca="1">(VLOOKUP(DF$72,INDIRECT($C$5&amp;"生成成长"),2))/((VLOOKUP($B163,INDIRECT($B$5&amp;"生成成长"),4))/(VLOOKUP(DF$72,INDIRECT($C$5&amp;"生成成长"),5))*(VLOOKUP($B$5,标准坦克设计!$B$24:$U$30,MATCH("对"&amp;LEFT($C$5,2)&amp;"输出",标准坦克设计!$B$23:$U$23,0)))*(VLOOKUP($B163,INDIRECT($B$5&amp;"生成成长"),3))*(VLOOKUP($B$5,标准坦克设计!$B$14:$K$20,9)/30))</f>
        <v>28.897704976685741</v>
      </c>
      <c r="DG163" s="173">
        <f ca="1">(VLOOKUP(DG$72,INDIRECT($C$5&amp;"生成成长"),2))/((VLOOKUP($B163,INDIRECT($B$5&amp;"生成成长"),4))/(VLOOKUP(DG$72,INDIRECT($C$5&amp;"生成成长"),5))*(VLOOKUP($B$5,标准坦克设计!$B$24:$U$30,MATCH("对"&amp;LEFT($C$5,2)&amp;"输出",标准坦克设计!$B$23:$U$23,0)))*(VLOOKUP($B163,INDIRECT($B$5&amp;"生成成长"),3))*(VLOOKUP($B$5,标准坦克设计!$B$14:$K$20,9)/30))</f>
        <v>30.517827322423607</v>
      </c>
      <c r="DH163" s="173">
        <f ca="1">(VLOOKUP(DH$72,INDIRECT($C$5&amp;"生成成长"),2))/((VLOOKUP($B163,INDIRECT($B$5&amp;"生成成长"),4))/(VLOOKUP(DH$72,INDIRECT($C$5&amp;"生成成长"),5))*(VLOOKUP($B$5,标准坦克设计!$B$24:$U$30,MATCH("对"&amp;LEFT($C$5,2)&amp;"输出",标准坦克设计!$B$23:$U$23,0)))*(VLOOKUP($B163,INDIRECT($B$5&amp;"生成成长"),3))*(VLOOKUP($B$5,标准坦克设计!$B$14:$K$20,9)/30))</f>
        <v>32.182134823045239</v>
      </c>
      <c r="DI163" s="173">
        <f ca="1">(VLOOKUP(DI$72,INDIRECT($C$5&amp;"生成成长"),2))/((VLOOKUP($B163,INDIRECT($B$5&amp;"生成成长"),4))/(VLOOKUP(DI$72,INDIRECT($C$5&amp;"生成成长"),5))*(VLOOKUP($B$5,标准坦克设计!$B$24:$U$30,MATCH("对"&amp;LEFT($C$5,2)&amp;"输出",标准坦克设计!$B$23:$U$23,0)))*(VLOOKUP($B163,INDIRECT($B$5&amp;"生成成长"),3))*(VLOOKUP($B$5,标准坦克设计!$B$14:$K$20,9)/30))</f>
        <v>33.89062747855062</v>
      </c>
      <c r="DJ163" s="173">
        <f ca="1">(VLOOKUP(DJ$72,INDIRECT($C$5&amp;"生成成长"),2))/((VLOOKUP($B163,INDIRECT($B$5&amp;"生成成长"),4))/(VLOOKUP(DJ$72,INDIRECT($C$5&amp;"生成成长"),5))*(VLOOKUP($B$5,标准坦克设计!$B$24:$U$30,MATCH("对"&amp;LEFT($C$5,2)&amp;"输出",标准坦克设计!$B$23:$U$23,0)))*(VLOOKUP($B163,INDIRECT($B$5&amp;"生成成长"),3))*(VLOOKUP($B$5,标准坦克设计!$B$14:$K$20,9)/30))</f>
        <v>3.4060924429665111</v>
      </c>
      <c r="DK163" s="173">
        <f ca="1">(VLOOKUP(DK$72,INDIRECT($C$5&amp;"生成成长"),2))/((VLOOKUP($B163,INDIRECT($B$5&amp;"生成成长"),4))/(VLOOKUP(DK$72,INDIRECT($C$5&amp;"生成成长"),5))*(VLOOKUP($B$5,标准坦克设计!$B$24:$U$30,MATCH("对"&amp;LEFT($C$5,2)&amp;"输出",标准坦克设计!$B$23:$U$23,0)))*(VLOOKUP($B163,INDIRECT($B$5&amp;"生成成长"),3))*(VLOOKUP($B$5,标准坦克设计!$B$14:$K$20,9)/30))</f>
        <v>3.8299937726325828</v>
      </c>
      <c r="DL163" s="173">
        <f ca="1">(VLOOKUP(DL$72,INDIRECT($C$5&amp;"生成成长"),2))/((VLOOKUP($B163,INDIRECT($B$5&amp;"生成成长"),4))/(VLOOKUP(DL$72,INDIRECT($C$5&amp;"生成成长"),5))*(VLOOKUP($B$5,标准坦克设计!$B$24:$U$30,MATCH("对"&amp;LEFT($C$5,2)&amp;"输出",标准坦克设计!$B$23:$U$23,0)))*(VLOOKUP($B163,INDIRECT($B$5&amp;"生成成长"),3))*(VLOOKUP($B$5,标准坦克设计!$B$14:$K$20,9)/30))</f>
        <v>4.2787492519207708</v>
      </c>
      <c r="DM163" s="173">
        <f ca="1">(VLOOKUP(DM$72,INDIRECT($C$5&amp;"生成成长"),2))/((VLOOKUP($B163,INDIRECT($B$5&amp;"生成成长"),4))/(VLOOKUP(DM$72,INDIRECT($C$5&amp;"生成成长"),5))*(VLOOKUP($B$5,标准坦克设计!$B$24:$U$30,MATCH("对"&amp;LEFT($C$5,2)&amp;"输出",标准坦克设计!$B$23:$U$23,0)))*(VLOOKUP($B163,INDIRECT($B$5&amp;"生成成长"),3))*(VLOOKUP($B$5,标准坦克设计!$B$14:$K$20,9)/30))</f>
        <v>4.7523588808310731</v>
      </c>
      <c r="DN163" s="173">
        <f ca="1">(VLOOKUP(DN$72,INDIRECT($C$5&amp;"生成成长"),2))/((VLOOKUP($B163,INDIRECT($B$5&amp;"生成成长"),4))/(VLOOKUP(DN$72,INDIRECT($C$5&amp;"生成成长"),5))*(VLOOKUP($B$5,标准坦克设计!$B$24:$U$30,MATCH("对"&amp;LEFT($C$5,2)&amp;"输出",标准坦克设计!$B$23:$U$23,0)))*(VLOOKUP($B163,INDIRECT($B$5&amp;"生成成长"),3))*(VLOOKUP($B$5,标准坦克设计!$B$14:$K$20,9)/30))</f>
        <v>5.2508226593634904</v>
      </c>
      <c r="DO163" s="173">
        <f ca="1">(VLOOKUP(DO$72,INDIRECT($C$5&amp;"生成成长"),2))/((VLOOKUP($B163,INDIRECT($B$5&amp;"生成成长"),4))/(VLOOKUP(DO$72,INDIRECT($C$5&amp;"生成成长"),5))*(VLOOKUP($B$5,标准坦克设计!$B$24:$U$30,MATCH("对"&amp;LEFT($C$5,2)&amp;"输出",标准坦克设计!$B$23:$U$23,0)))*(VLOOKUP($B163,INDIRECT($B$5&amp;"生成成长"),3))*(VLOOKUP($B$5,标准坦克设计!$B$14:$K$20,9)/30))</f>
        <v>5.7741405875180218</v>
      </c>
      <c r="DP163" s="173">
        <f ca="1">(VLOOKUP(DP$72,INDIRECT($C$5&amp;"生成成长"),2))/((VLOOKUP($B163,INDIRECT($B$5&amp;"生成成长"),4))/(VLOOKUP(DP$72,INDIRECT($C$5&amp;"生成成长"),5))*(VLOOKUP($B$5,标准坦克设计!$B$24:$U$30,MATCH("对"&amp;LEFT($C$5,2)&amp;"输出",标准坦克设计!$B$23:$U$23,0)))*(VLOOKUP($B163,INDIRECT($B$5&amp;"生成成长"),3))*(VLOOKUP($B$5,标准坦克设计!$B$14:$K$20,9)/30))</f>
        <v>6.3223126652946693</v>
      </c>
      <c r="DQ163" s="173">
        <f ca="1">(VLOOKUP(DQ$72,INDIRECT($C$5&amp;"生成成长"),2))/((VLOOKUP($B163,INDIRECT($B$5&amp;"生成成长"),4))/(VLOOKUP(DQ$72,INDIRECT($C$5&amp;"生成成长"),5))*(VLOOKUP($B$5,标准坦克设计!$B$24:$U$30,MATCH("对"&amp;LEFT($C$5,2)&amp;"输出",标准坦克设计!$B$23:$U$23,0)))*(VLOOKUP($B163,INDIRECT($B$5&amp;"生成成长"),3))*(VLOOKUP($B$5,标准坦克设计!$B$14:$K$20,9)/30))</f>
        <v>6.8953388926934309</v>
      </c>
      <c r="DR163" s="173">
        <f ca="1">(VLOOKUP(DR$72,INDIRECT($C$5&amp;"生成成长"),2))/((VLOOKUP($B163,INDIRECT($B$5&amp;"生成成长"),4))/(VLOOKUP(DR$72,INDIRECT($C$5&amp;"生成成长"),5))*(VLOOKUP($B$5,标准坦克设计!$B$24:$U$30,MATCH("对"&amp;LEFT($C$5,2)&amp;"输出",标准坦克设计!$B$23:$U$23,0)))*(VLOOKUP($B163,INDIRECT($B$5&amp;"生成成长"),3))*(VLOOKUP($B$5,标准坦克设计!$B$14:$K$20,9)/30))</f>
        <v>7.4932192697143076</v>
      </c>
      <c r="DS163" s="173">
        <f ca="1">(VLOOKUP(DS$72,INDIRECT($C$5&amp;"生成成长"),2))/((VLOOKUP($B163,INDIRECT($B$5&amp;"生成成长"),4))/(VLOOKUP(DS$72,INDIRECT($C$5&amp;"生成成长"),5))*(VLOOKUP($B$5,标准坦克设计!$B$24:$U$30,MATCH("对"&amp;LEFT($C$5,2)&amp;"输出",标准坦克设计!$B$23:$U$23,0)))*(VLOOKUP($B163,INDIRECT($B$5&amp;"生成成长"),3))*(VLOOKUP($B$5,标准坦克设计!$B$14:$K$20,9)/30))</f>
        <v>8.1159537963573012</v>
      </c>
      <c r="DT163" s="173">
        <f ca="1">(VLOOKUP(DT$72,INDIRECT($C$5&amp;"生成成长"),2))/((VLOOKUP($B163,INDIRECT($B$5&amp;"生成成长"),4))/(VLOOKUP(DT$72,INDIRECT($C$5&amp;"生成成长"),5))*(VLOOKUP($B$5,标准坦克设计!$B$24:$U$30,MATCH("对"&amp;LEFT($C$5,2)&amp;"输出",标准坦克设计!$B$23:$U$23,0)))*(VLOOKUP($B163,INDIRECT($B$5&amp;"生成成长"),3))*(VLOOKUP($B$5,标准坦克设计!$B$14:$K$20,9)/30))</f>
        <v>8.9108263222349411</v>
      </c>
      <c r="DU163" s="173">
        <f ca="1">(VLOOKUP(DU$72,INDIRECT($C$5&amp;"生成成长"),2))/((VLOOKUP($B163,INDIRECT($B$5&amp;"生成成长"),4))/(VLOOKUP(DU$72,INDIRECT($C$5&amp;"生成成长"),5))*(VLOOKUP($B$5,标准坦克设计!$B$24:$U$30,MATCH("对"&amp;LEFT($C$5,2)&amp;"输出",标准坦克设计!$B$23:$U$23,0)))*(VLOOKUP($B163,INDIRECT($B$5&amp;"生成成长"),3))*(VLOOKUP($B$5,标准坦克设计!$B$14:$K$20,9)/30))</f>
        <v>9.7428266518690716</v>
      </c>
      <c r="DV163" s="173">
        <f ca="1">(VLOOKUP(DV$72,INDIRECT($C$5&amp;"生成成长"),2))/((VLOOKUP($B163,INDIRECT($B$5&amp;"生成成长"),4))/(VLOOKUP(DV$72,INDIRECT($C$5&amp;"生成成长"),5))*(VLOOKUP($B$5,标准坦克设计!$B$24:$U$30,MATCH("对"&amp;LEFT($C$5,2)&amp;"输出",标准坦克设计!$B$23:$U$23,0)))*(VLOOKUP($B163,INDIRECT($B$5&amp;"生成成长"),3))*(VLOOKUP($B$5,标准坦克设计!$B$14:$K$20,9)/30))</f>
        <v>10.6119547852597</v>
      </c>
      <c r="DW163" s="173">
        <f ca="1">(VLOOKUP(DW$72,INDIRECT($C$5&amp;"生成成长"),2))/((VLOOKUP($B163,INDIRECT($B$5&amp;"生成成长"),4))/(VLOOKUP(DW$72,INDIRECT($C$5&amp;"生成成长"),5))*(VLOOKUP($B$5,标准坦克设计!$B$24:$U$30,MATCH("对"&amp;LEFT($C$5,2)&amp;"输出",标准坦克设计!$B$23:$U$23,0)))*(VLOOKUP($B163,INDIRECT($B$5&amp;"生成成长"),3))*(VLOOKUP($B$5,标准坦克设计!$B$14:$K$20,9)/30))</f>
        <v>11.51821072240682</v>
      </c>
      <c r="DX163" s="173">
        <f ca="1">(VLOOKUP(DX$72,INDIRECT($C$5&amp;"生成成长"),2))/((VLOOKUP($B163,INDIRECT($B$5&amp;"生成成长"),4))/(VLOOKUP(DX$72,INDIRECT($C$5&amp;"生成成长"),5))*(VLOOKUP($B$5,标准坦克设计!$B$24:$U$30,MATCH("对"&amp;LEFT($C$5,2)&amp;"输出",标准坦克设计!$B$23:$U$23,0)))*(VLOOKUP($B163,INDIRECT($B$5&amp;"生成成长"),3))*(VLOOKUP($B$5,标准坦克设计!$B$14:$K$20,9)/30))</f>
        <v>12.46159446331043</v>
      </c>
      <c r="DY163" s="173">
        <f ca="1">(VLOOKUP(DY$72,INDIRECT($C$5&amp;"生成成长"),2))/((VLOOKUP($B163,INDIRECT($B$5&amp;"生成成长"),4))/(VLOOKUP(DY$72,INDIRECT($C$5&amp;"生成成长"),5))*(VLOOKUP($B$5,标准坦克设计!$B$24:$U$30,MATCH("对"&amp;LEFT($C$5,2)&amp;"输出",标准坦克设计!$B$23:$U$23,0)))*(VLOOKUP($B163,INDIRECT($B$5&amp;"生成成长"),3))*(VLOOKUP($B$5,标准坦克设计!$B$14:$K$20,9)/30))</f>
        <v>5.5969397059529422</v>
      </c>
      <c r="DZ163" s="173">
        <f ca="1">(VLOOKUP(DZ$72,INDIRECT($C$5&amp;"生成成长"),2))/((VLOOKUP($B163,INDIRECT($B$5&amp;"生成成长"),4))/(VLOOKUP(DZ$72,INDIRECT($C$5&amp;"生成成长"),5))*(VLOOKUP($B$5,标准坦克设计!$B$24:$U$30,MATCH("对"&amp;LEFT($C$5,2)&amp;"输出",标准坦克设计!$B$23:$U$23,0)))*(VLOOKUP($B163,INDIRECT($B$5&amp;"生成成长"),3))*(VLOOKUP($B$5,标准坦克设计!$B$14:$K$20,9)/30))</f>
        <v>6.1983487585374526</v>
      </c>
      <c r="EA163" s="173">
        <f ca="1">(VLOOKUP(EA$72,INDIRECT($C$5&amp;"生成成长"),2))/((VLOOKUP($B163,INDIRECT($B$5&amp;"生成成长"),4))/(VLOOKUP(EA$72,INDIRECT($C$5&amp;"生成成长"),5))*(VLOOKUP($B$5,标准坦克设计!$B$24:$U$30,MATCH("对"&amp;LEFT($C$5,2)&amp;"输出",标准坦克设计!$B$23:$U$23,0)))*(VLOOKUP($B163,INDIRECT($B$5&amp;"生成成长"),3))*(VLOOKUP($B$5,标准坦克设计!$B$14:$K$20,9)/30))</f>
        <v>6.830441946457908</v>
      </c>
      <c r="EB163" s="173">
        <f ca="1">(VLOOKUP(EB$72,INDIRECT($C$5&amp;"生成成长"),2))/((VLOOKUP($B163,INDIRECT($B$5&amp;"生成成长"),4))/(VLOOKUP(EB$72,INDIRECT($C$5&amp;"生成成长"),5))*(VLOOKUP($B$5,标准坦克设计!$B$24:$U$30,MATCH("对"&amp;LEFT($C$5,2)&amp;"输出",标准坦克设计!$B$23:$U$23,0)))*(VLOOKUP($B163,INDIRECT($B$5&amp;"生成成长"),3))*(VLOOKUP($B$5,标准坦克设计!$B$14:$K$20,9)/30))</f>
        <v>7.4932192697143076</v>
      </c>
      <c r="EC163" s="173">
        <f ca="1">(VLOOKUP(EC$72,INDIRECT($C$5&amp;"生成成长"),2))/((VLOOKUP($B163,INDIRECT($B$5&amp;"生成成长"),4))/(VLOOKUP(EC$72,INDIRECT($C$5&amp;"生成成长"),5))*(VLOOKUP($B$5,标准坦克设计!$B$24:$U$30,MATCH("对"&amp;LEFT($C$5,2)&amp;"输出",标准坦克设计!$B$23:$U$23,0)))*(VLOOKUP($B163,INDIRECT($B$5&amp;"生成成长"),3))*(VLOOKUP($B$5,标准坦克设计!$B$14:$K$20,9)/30))</f>
        <v>8.1866807283066532</v>
      </c>
      <c r="ED163" s="173">
        <f ca="1">(VLOOKUP(ED$72,INDIRECT($C$5&amp;"生成成长"),2))/((VLOOKUP($B163,INDIRECT($B$5&amp;"生成成长"),4))/(VLOOKUP(ED$72,INDIRECT($C$5&amp;"生成成长"),5))*(VLOOKUP($B$5,标准坦克设计!$B$24:$U$30,MATCH("对"&amp;LEFT($C$5,2)&amp;"输出",标准坦克设计!$B$23:$U$23,0)))*(VLOOKUP($B163,INDIRECT($B$5&amp;"生成成长"),3))*(VLOOKUP($B$5,标准坦克设计!$B$14:$K$20,9)/30))</f>
        <v>8.9108263222349411</v>
      </c>
      <c r="EE163" s="173">
        <f ca="1">(VLOOKUP(EE$72,INDIRECT($C$5&amp;"生成成长"),2))/((VLOOKUP($B163,INDIRECT($B$5&amp;"生成成长"),4))/(VLOOKUP(EE$72,INDIRECT($C$5&amp;"生成成长"),5))*(VLOOKUP($B$5,标准坦克设计!$B$24:$U$30,MATCH("对"&amp;LEFT($C$5,2)&amp;"输出",标准坦克设计!$B$23:$U$23,0)))*(VLOOKUP($B163,INDIRECT($B$5&amp;"生成成长"),3))*(VLOOKUP($B$5,标准坦克设计!$B$14:$K$20,9)/30))</f>
        <v>9.6656560514991732</v>
      </c>
      <c r="EF163" s="173">
        <f ca="1">(VLOOKUP(EF$72,INDIRECT($C$5&amp;"生成成长"),2))/((VLOOKUP($B163,INDIRECT($B$5&amp;"生成成长"),4))/(VLOOKUP(EF$72,INDIRECT($C$5&amp;"生成成长"),5))*(VLOOKUP($B$5,标准坦克设计!$B$24:$U$30,MATCH("对"&amp;LEFT($C$5,2)&amp;"输出",标准坦克设计!$B$23:$U$23,0)))*(VLOOKUP($B163,INDIRECT($B$5&amp;"生成成长"),3))*(VLOOKUP($B$5,标准坦克设计!$B$14:$K$20,9)/30))</f>
        <v>10.451169916099349</v>
      </c>
      <c r="EG163" s="173">
        <f ca="1">(VLOOKUP(EG$72,INDIRECT($C$5&amp;"生成成长"),2))/((VLOOKUP($B163,INDIRECT($B$5&amp;"生成成长"),4))/(VLOOKUP(EG$72,INDIRECT($C$5&amp;"生成成长"),5))*(VLOOKUP($B$5,标准坦克设计!$B$24:$U$30,MATCH("对"&amp;LEFT($C$5,2)&amp;"输出",标准坦克设计!$B$23:$U$23,0)))*(VLOOKUP($B163,INDIRECT($B$5&amp;"生成成长"),3))*(VLOOKUP($B$5,标准坦克设计!$B$14:$K$20,9)/30))</f>
        <v>11.267367916035473</v>
      </c>
      <c r="EH163" s="173">
        <f ca="1">(VLOOKUP(EH$72,INDIRECT($C$5&amp;"生成成长"),2))/((VLOOKUP($B163,INDIRECT($B$5&amp;"生成成长"),4))/(VLOOKUP(EH$72,INDIRECT($C$5&amp;"生成成长"),5))*(VLOOKUP($B$5,标准坦克设计!$B$24:$U$30,MATCH("对"&amp;LEFT($C$5,2)&amp;"输出",标准坦克设计!$B$23:$U$23,0)))*(VLOOKUP($B163,INDIRECT($B$5&amp;"生成成长"),3))*(VLOOKUP($B$5,标准坦克设计!$B$14:$K$20,9)/30))</f>
        <v>12.114250051307538</v>
      </c>
      <c r="EI163" s="173">
        <f ca="1">(VLOOKUP(EI$72,INDIRECT($C$5&amp;"生成成长"),2))/((VLOOKUP($B163,INDIRECT($B$5&amp;"生成成长"),4))/(VLOOKUP(EI$72,INDIRECT($C$5&amp;"生成成长"),5))*(VLOOKUP($B$5,标准坦克设计!$B$24:$U$30,MATCH("对"&amp;LEFT($C$5,2)&amp;"输出",标准坦克设计!$B$23:$U$23,0)))*(VLOOKUP($B163,INDIRECT($B$5&amp;"生成成长"),3))*(VLOOKUP($B$5,标准坦克设计!$B$14:$K$20,9)/30))</f>
        <v>12.99181632191555</v>
      </c>
      <c r="EJ163" s="173">
        <f ca="1">(VLOOKUP(EJ$72,INDIRECT($C$5&amp;"生成成长"),2))/((VLOOKUP($B163,INDIRECT($B$5&amp;"生成成长"),4))/(VLOOKUP(EJ$72,INDIRECT($C$5&amp;"生成成长"),5))*(VLOOKUP($B$5,标准坦克设计!$B$24:$U$30,MATCH("对"&amp;LEFT($C$5,2)&amp;"输出",标准坦克设计!$B$23:$U$23,0)))*(VLOOKUP($B163,INDIRECT($B$5&amp;"生成成长"),3))*(VLOOKUP($B$5,标准坦克设计!$B$14:$K$20,9)/30))</f>
        <v>13.900066727859505</v>
      </c>
      <c r="EK163" s="173">
        <f ca="1">(VLOOKUP(EK$72,INDIRECT($C$5&amp;"生成成长"),2))/((VLOOKUP($B163,INDIRECT($B$5&amp;"生成成长"),4))/(VLOOKUP(EK$72,INDIRECT($C$5&amp;"生成成长"),5))*(VLOOKUP($B$5,标准坦克设计!$B$24:$U$30,MATCH("对"&amp;LEFT($C$5,2)&amp;"输出",标准坦克设计!$B$23:$U$23,0)))*(VLOOKUP($B163,INDIRECT($B$5&amp;"生成成长"),3))*(VLOOKUP($B$5,标准坦克设计!$B$14:$K$20,9)/30))</f>
        <v>15.030470273635698</v>
      </c>
      <c r="EL163" s="173">
        <f ca="1">(VLOOKUP(EL$72,INDIRECT($C$5&amp;"生成成长"),2))/((VLOOKUP($B163,INDIRECT($B$5&amp;"生成成长"),4))/(VLOOKUP(EL$72,INDIRECT($C$5&amp;"生成成长"),5))*(VLOOKUP($B$5,标准坦克设计!$B$24:$U$30,MATCH("对"&amp;LEFT($C$5,2)&amp;"输出",标准坦克设计!$B$23:$U$23,0)))*(VLOOKUP($B163,INDIRECT($B$5&amp;"生成成长"),3))*(VLOOKUP($B$5,标准坦克设计!$B$14:$K$20,9)/30))</f>
        <v>16.20505897429565</v>
      </c>
      <c r="EM163" s="173">
        <f ca="1">(VLOOKUP(EM$72,INDIRECT($C$5&amp;"生成成长"),2))/((VLOOKUP($B163,INDIRECT($B$5&amp;"生成成长"),4))/(VLOOKUP(EM$72,INDIRECT($C$5&amp;"生成成长"),5))*(VLOOKUP($B$5,标准坦克设计!$B$24:$U$30,MATCH("对"&amp;LEFT($C$5,2)&amp;"输出",标准坦克设计!$B$23:$U$23,0)))*(VLOOKUP($B163,INDIRECT($B$5&amp;"生成成长"),3))*(VLOOKUP($B$5,标准坦克设计!$B$14:$K$20,9)/30))</f>
        <v>17.423832829839366</v>
      </c>
      <c r="EN163" s="173">
        <f ca="1">(VLOOKUP(EN$72,INDIRECT($C$5&amp;"生成成长"),2))/((VLOOKUP($B163,INDIRECT($B$5&amp;"生成成长"),4))/(VLOOKUP(EN$72,INDIRECT($C$5&amp;"生成成长"),5))*(VLOOKUP($B$5,标准坦克设计!$B$24:$U$30,MATCH("对"&amp;LEFT($C$5,2)&amp;"输出",标准坦克设计!$B$23:$U$23,0)))*(VLOOKUP($B163,INDIRECT($B$5&amp;"生成成长"),3))*(VLOOKUP($B$5,标准坦克设计!$B$14:$K$20,9)/30))</f>
        <v>18.686791840266832</v>
      </c>
      <c r="EO163" s="173">
        <f ca="1">(VLOOKUP(EO$72,INDIRECT($C$5&amp;"生成成长"),2))/((VLOOKUP($B163,INDIRECT($B$5&amp;"生成成长"),4))/(VLOOKUP(EO$72,INDIRECT($C$5&amp;"生成成长"),5))*(VLOOKUP($B$5,标准坦克设计!$B$24:$U$30,MATCH("对"&amp;LEFT($C$5,2)&amp;"输出",标准坦克设计!$B$23:$U$23,0)))*(VLOOKUP($B163,INDIRECT($B$5&amp;"生成成长"),3))*(VLOOKUP($B$5,标准坦克设计!$B$14:$K$20,9)/30))</f>
        <v>19.993936005578067</v>
      </c>
      <c r="EP163" s="173">
        <f ca="1">(VLOOKUP(EP$72,INDIRECT($C$5&amp;"生成成长"),2))/((VLOOKUP($B163,INDIRECT($B$5&amp;"生成成长"),4))/(VLOOKUP(EP$72,INDIRECT($C$5&amp;"生成成长"),5))*(VLOOKUP($B$5,标准坦克设计!$B$24:$U$30,MATCH("对"&amp;LEFT($C$5,2)&amp;"输出",标准坦克设计!$B$23:$U$23,0)))*(VLOOKUP($B163,INDIRECT($B$5&amp;"生成成长"),3))*(VLOOKUP($B$5,标准坦克设计!$B$14:$K$20,9)/30))</f>
        <v>21.34526532577306</v>
      </c>
      <c r="EQ163" s="173">
        <f ca="1">(VLOOKUP(EQ$72,INDIRECT($C$5&amp;"生成成长"),2))/((VLOOKUP($B163,INDIRECT($B$5&amp;"生成成长"),4))/(VLOOKUP(EQ$72,INDIRECT($C$5&amp;"生成成长"),5))*(VLOOKUP($B$5,标准坦克设计!$B$24:$U$30,MATCH("对"&amp;LEFT($C$5,2)&amp;"输出",标准坦克设计!$B$23:$U$23,0)))*(VLOOKUP($B163,INDIRECT($B$5&amp;"生成成长"),3))*(VLOOKUP($B$5,标准坦克设计!$B$14:$K$20,9)/30))</f>
        <v>9.4359852985096282</v>
      </c>
      <c r="ER163" s="173">
        <f ca="1">(VLOOKUP(ER$72,INDIRECT($C$5&amp;"生成成长"),2))/((VLOOKUP($B163,INDIRECT($B$5&amp;"生成成长"),4))/(VLOOKUP(ER$72,INDIRECT($C$5&amp;"生成成长"),5))*(VLOOKUP($B$5,标准坦克设计!$B$24:$U$30,MATCH("对"&amp;LEFT($C$5,2)&amp;"输出",标准坦克设计!$B$23:$U$23,0)))*(VLOOKUP($B163,INDIRECT($B$5&amp;"生成成长"),3))*(VLOOKUP($B$5,标准坦克设计!$B$14:$K$20,9)/30))</f>
        <v>10.291612412352439</v>
      </c>
      <c r="ES163" s="173">
        <f ca="1">(VLOOKUP(ES$72,INDIRECT($C$5&amp;"生成成长"),2))/((VLOOKUP($B163,INDIRECT($B$5&amp;"生成成长"),4))/(VLOOKUP(ES$72,INDIRECT($C$5&amp;"生成成长"),5))*(VLOOKUP($B$5,标准坦克设计!$B$24:$U$30,MATCH("对"&amp;LEFT($C$5,2)&amp;"输出",标准坦克设计!$B$23:$U$23,0)))*(VLOOKUP($B163,INDIRECT($B$5&amp;"生成成长"),3))*(VLOOKUP($B$5,标准坦克设计!$B$14:$K$20,9)/30))</f>
        <v>11.184367329951742</v>
      </c>
      <c r="ET163" s="173">
        <f ca="1">(VLOOKUP(ET$72,INDIRECT($C$5&amp;"生成成长"),2))/((VLOOKUP($B163,INDIRECT($B$5&amp;"生成成长"),4))/(VLOOKUP(ET$72,INDIRECT($C$5&amp;"生成成长"),5))*(VLOOKUP($B$5,标准坦克设计!$B$24:$U$30,MATCH("对"&amp;LEFT($C$5,2)&amp;"输出",标准坦克设计!$B$23:$U$23,0)))*(VLOOKUP($B163,INDIRECT($B$5&amp;"生成成长"),3))*(VLOOKUP($B$5,标准坦克设计!$B$14:$K$20,9)/30))</f>
        <v>12.114250051307538</v>
      </c>
      <c r="EU163" s="173">
        <f ca="1">(VLOOKUP(EU$72,INDIRECT($C$5&amp;"生成成长"),2))/((VLOOKUP($B163,INDIRECT($B$5&amp;"生成成长"),4))/(VLOOKUP(EU$72,INDIRECT($C$5&amp;"生成成长"),5))*(VLOOKUP($B$5,标准坦克设计!$B$24:$U$30,MATCH("对"&amp;LEFT($C$5,2)&amp;"输出",标准坦克设计!$B$23:$U$23,0)))*(VLOOKUP($B163,INDIRECT($B$5&amp;"生成成长"),3))*(VLOOKUP($B$5,标准坦克设计!$B$14:$K$20,9)/30))</f>
        <v>13.081260576419828</v>
      </c>
      <c r="EV163" s="173">
        <f ca="1">(VLOOKUP(EV$72,INDIRECT($C$5&amp;"生成成长"),2))/((VLOOKUP($B163,INDIRECT($B$5&amp;"生成成长"),4))/(VLOOKUP(EV$72,INDIRECT($C$5&amp;"生成成长"),5))*(VLOOKUP($B$5,标准坦克设计!$B$24:$U$30,MATCH("对"&amp;LEFT($C$5,2)&amp;"输出",标准坦克设计!$B$23:$U$23,0)))*(VLOOKUP($B163,INDIRECT($B$5&amp;"生成成长"),3))*(VLOOKUP($B$5,标准坦克设计!$B$14:$K$20,9)/30))</f>
        <v>14.085398905288608</v>
      </c>
      <c r="EW163" s="173">
        <f ca="1">(VLOOKUP(EW$72,INDIRECT($C$5&amp;"生成成长"),2))/((VLOOKUP($B163,INDIRECT($B$5&amp;"生成成长"),4))/(VLOOKUP(EW$72,INDIRECT($C$5&amp;"生成成长"),5))*(VLOOKUP($B$5,标准坦克设计!$B$24:$U$30,MATCH("对"&amp;LEFT($C$5,2)&amp;"输出",标准坦克设计!$B$23:$U$23,0)))*(VLOOKUP($B163,INDIRECT($B$5&amp;"生成成长"),3))*(VLOOKUP($B$5,标准坦克设计!$B$14:$K$20,9)/30))</f>
        <v>15.126665037913883</v>
      </c>
      <c r="EX163" s="173">
        <f ca="1">(VLOOKUP(EX$72,INDIRECT($C$5&amp;"生成成长"),2))/((VLOOKUP($B163,INDIRECT($B$5&amp;"生成成长"),4))/(VLOOKUP(EX$72,INDIRECT($C$5&amp;"生成成长"),5))*(VLOOKUP($B$5,标准坦克设计!$B$24:$U$30,MATCH("对"&amp;LEFT($C$5,2)&amp;"输出",标准坦克设计!$B$23:$U$23,0)))*(VLOOKUP($B163,INDIRECT($B$5&amp;"生成成长"),3))*(VLOOKUP($B$5,标准坦克设计!$B$14:$K$20,9)/30))</f>
        <v>16.20505897429565</v>
      </c>
      <c r="EY163" s="173">
        <f ca="1">(VLOOKUP(EY$72,INDIRECT($C$5&amp;"生成成长"),2))/((VLOOKUP($B163,INDIRECT($B$5&amp;"生成成长"),4))/(VLOOKUP(EY$72,INDIRECT($C$5&amp;"生成成长"),5))*(VLOOKUP($B$5,标准坦克设计!$B$24:$U$30,MATCH("对"&amp;LEFT($C$5,2)&amp;"输出",标准坦克设计!$B$23:$U$23,0)))*(VLOOKUP($B163,INDIRECT($B$5&amp;"生成成长"),3))*(VLOOKUP($B$5,标准坦克设计!$B$14:$K$20,9)/30))</f>
        <v>17.320580714433909</v>
      </c>
      <c r="EZ163" s="173">
        <f ca="1">(VLOOKUP(EZ$72,INDIRECT($C$5&amp;"生成成长"),2))/((VLOOKUP($B163,INDIRECT($B$5&amp;"生成成长"),4))/(VLOOKUP(EZ$72,INDIRECT($C$5&amp;"生成成长"),5))*(VLOOKUP($B$5,标准坦克设计!$B$24:$U$30,MATCH("对"&amp;LEFT($C$5,2)&amp;"输出",标准坦克设计!$B$23:$U$23,0)))*(VLOOKUP($B163,INDIRECT($B$5&amp;"生成成长"),3))*(VLOOKUP($B$5,标准坦克设计!$B$14:$K$20,9)/30))</f>
        <v>18.473230258328659</v>
      </c>
      <c r="FA163" s="173">
        <f ca="1">(VLOOKUP(FA$72,INDIRECT($C$5&amp;"生成成长"),2))/((VLOOKUP($B163,INDIRECT($B$5&amp;"生成成长"),4))/(VLOOKUP(FA$72,INDIRECT($C$5&amp;"生成成长"),5))*(VLOOKUP($B$5,标准坦克设计!$B$24:$U$30,MATCH("对"&amp;LEFT($C$5,2)&amp;"输出",标准坦克设计!$B$23:$U$23,0)))*(VLOOKUP($B163,INDIRECT($B$5&amp;"生成成长"),3))*(VLOOKUP($B$5,标准坦克设计!$B$14:$K$20,9)/30))</f>
        <v>19.663007605979903</v>
      </c>
      <c r="FB163" s="173">
        <f ca="1">(VLOOKUP(FB$72,INDIRECT($C$5&amp;"生成成长"),2))/((VLOOKUP($B163,INDIRECT($B$5&amp;"生成成长"),4))/(VLOOKUP(FB$72,INDIRECT($C$5&amp;"生成成长"),5))*(VLOOKUP($B$5,标准坦克设计!$B$24:$U$30,MATCH("对"&amp;LEFT($C$5,2)&amp;"输出",标准坦克设计!$B$23:$U$23,0)))*(VLOOKUP($B163,INDIRECT($B$5&amp;"生成成长"),3))*(VLOOKUP($B$5,标准坦克设计!$B$14:$K$20,9)/30))</f>
        <v>20.889912757387641</v>
      </c>
      <c r="FC163" s="173">
        <f ca="1">(VLOOKUP(FC$72,INDIRECT($C$5&amp;"生成成长"),2))/((VLOOKUP($B163,INDIRECT($B$5&amp;"生成成长"),4))/(VLOOKUP(FC$72,INDIRECT($C$5&amp;"生成成长"),5))*(VLOOKUP($B$5,标准坦克设计!$B$24:$U$30,MATCH("对"&amp;LEFT($C$5,2)&amp;"输出",标准坦克设计!$B$23:$U$23,0)))*(VLOOKUP($B163,INDIRECT($B$5&amp;"生成成长"),3))*(VLOOKUP($B$5,标准坦克设计!$B$14:$K$20,9)/30))</f>
        <v>22.153945712551877</v>
      </c>
      <c r="FD163" s="173">
        <f ca="1">(VLOOKUP(FD$72,INDIRECT($C$5&amp;"生成成长"),2))/((VLOOKUP($B163,INDIRECT($B$5&amp;"生成成长"),4))/(VLOOKUP(FD$72,INDIRECT($C$5&amp;"生成成长"),5))*(VLOOKUP($B$5,标准坦克设计!$B$24:$U$30,MATCH("对"&amp;LEFT($C$5,2)&amp;"输出",标准坦克设计!$B$23:$U$23,0)))*(VLOOKUP($B163,INDIRECT($B$5&amp;"生成成长"),3))*(VLOOKUP($B$5,标准坦克设计!$B$14:$K$20,9)/30))</f>
        <v>23.455106471472593</v>
      </c>
      <c r="FE163" s="173">
        <f ca="1">(VLOOKUP(FE$72,INDIRECT($C$5&amp;"生成成长"),2))/((VLOOKUP($B163,INDIRECT($B$5&amp;"生成成长"),4))/(VLOOKUP(FE$72,INDIRECT($C$5&amp;"生成成长"),5))*(VLOOKUP($B$5,标准坦克设计!$B$24:$U$30,MATCH("对"&amp;LEFT($C$5,2)&amp;"输出",标准坦克设计!$B$23:$U$23,0)))*(VLOOKUP($B163,INDIRECT($B$5&amp;"生成成长"),3))*(VLOOKUP($B$5,标准坦克设计!$B$14:$K$20,9)/30))</f>
        <v>25.040709164957523</v>
      </c>
      <c r="FF163" s="173">
        <f ca="1">(VLOOKUP(FF$72,INDIRECT($C$5&amp;"生成成长"),2))/((VLOOKUP($B163,INDIRECT($B$5&amp;"生成成长"),4))/(VLOOKUP(FF$72,INDIRECT($C$5&amp;"生成成长"),5))*(VLOOKUP($B$5,标准坦克设计!$B$24:$U$30,MATCH("对"&amp;LEFT($C$5,2)&amp;"输出",标准坦克设计!$B$23:$U$23,0)))*(VLOOKUP($B163,INDIRECT($B$5&amp;"生成成长"),3))*(VLOOKUP($B$5,标准坦克设计!$B$14:$K$20,9)/30))</f>
        <v>26.678168047160195</v>
      </c>
      <c r="FG163" s="173">
        <f ca="1">(VLOOKUP(FG$72,INDIRECT($C$5&amp;"生成成长"),2))/((VLOOKUP($B163,INDIRECT($B$5&amp;"生成成长"),4))/(VLOOKUP(FG$72,INDIRECT($C$5&amp;"生成成长"),5))*(VLOOKUP($B$5,标准坦克设计!$B$24:$U$30,MATCH("对"&amp;LEFT($C$5,2)&amp;"输出",标准坦克设计!$B$23:$U$23,0)))*(VLOOKUP($B163,INDIRECT($B$5&amp;"生成成长"),3))*(VLOOKUP($B$5,标准坦克设计!$B$14:$K$20,9)/30))</f>
        <v>28.367483118080614</v>
      </c>
      <c r="FH163" s="173">
        <f ca="1">(VLOOKUP(FH$72,INDIRECT($C$5&amp;"生成成长"),2))/((VLOOKUP($B163,INDIRECT($B$5&amp;"生成成长"),4))/(VLOOKUP(FH$72,INDIRECT($C$5&amp;"生成成长"),5))*(VLOOKUP($B$5,标准坦克设计!$B$24:$U$30,MATCH("对"&amp;LEFT($C$5,2)&amp;"输出",标准坦克设计!$B$23:$U$23,0)))*(VLOOKUP($B163,INDIRECT($B$5&amp;"生成成长"),3))*(VLOOKUP($B$5,标准坦克设计!$B$14:$K$20,9)/30))</f>
        <v>30.108654377718782</v>
      </c>
      <c r="FI163" s="173">
        <f ca="1">(VLOOKUP(FI$72,INDIRECT($C$5&amp;"生成成长"),2))/((VLOOKUP($B163,INDIRECT($B$5&amp;"生成成长"),4))/(VLOOKUP(FI$72,INDIRECT($C$5&amp;"生成成长"),5))*(VLOOKUP($B$5,标准坦克设计!$B$24:$U$30,MATCH("对"&amp;LEFT($C$5,2)&amp;"输出",标准坦克设计!$B$23:$U$23,0)))*(VLOOKUP($B163,INDIRECT($B$5&amp;"生成成长"),3))*(VLOOKUP($B$5,标准坦克设计!$B$14:$K$20,9)/30))</f>
        <v>31.9016818260747</v>
      </c>
      <c r="FJ163" s="173">
        <f ca="1">(VLOOKUP(FJ$72,INDIRECT($C$5&amp;"生成成长"),2))/((VLOOKUP($B163,INDIRECT($B$5&amp;"生成成长"),4))/(VLOOKUP(FJ$72,INDIRECT($C$5&amp;"生成成长"),5))*(VLOOKUP($B$5,标准坦克设计!$B$24:$U$30,MATCH("对"&amp;LEFT($C$5,2)&amp;"输出",标准坦克设计!$B$23:$U$23,0)))*(VLOOKUP($B163,INDIRECT($B$5&amp;"生成成长"),3))*(VLOOKUP($B$5,标准坦克设计!$B$14:$K$20,9)/30))</f>
        <v>33.746565463148357</v>
      </c>
      <c r="FK163" s="173">
        <f ca="1">(VLOOKUP(FK$72,INDIRECT($C$5&amp;"生成成长"),2))/((VLOOKUP($B163,INDIRECT($B$5&amp;"生成成长"),4))/(VLOOKUP(FK$72,INDIRECT($C$5&amp;"生成成长"),5))*(VLOOKUP($B$5,标准坦克设计!$B$24:$U$30,MATCH("对"&amp;LEFT($C$5,2)&amp;"输出",标准坦克设计!$B$23:$U$23,0)))*(VLOOKUP($B163,INDIRECT($B$5&amp;"生成成长"),3))*(VLOOKUP($B$5,标准坦克设计!$B$14:$K$20,9)/30))</f>
        <v>35.643305288939764</v>
      </c>
    </row>
    <row r="164" spans="1:167" x14ac:dyDescent="0.15">
      <c r="A164" s="171" t="str">
        <f t="shared" si="12"/>
        <v>T5中品质2级</v>
      </c>
      <c r="B164" s="172">
        <v>20502</v>
      </c>
      <c r="C164" s="173">
        <f ca="1">(VLOOKUP(C$72,INDIRECT($C$5&amp;"生成成长"),2))/((VLOOKUP($B164,INDIRECT($B$5&amp;"生成成长"),4))/(VLOOKUP(C$72,INDIRECT($C$5&amp;"生成成长"),5))*(VLOOKUP($B$5,标准坦克设计!$B$24:$U$30,MATCH("对"&amp;LEFT($C$5,2)&amp;"输出",标准坦克设计!$B$23:$U$23,0)))*(VLOOKUP($B164,INDIRECT($B$5&amp;"生成成长"),3))*(VLOOKUP($B$5,标准坦克设计!$B$14:$K$20,9)/30))</f>
        <v>1.4096354447718602</v>
      </c>
      <c r="D164" s="173">
        <f ca="1">(VLOOKUP(D$72,INDIRECT($C$5&amp;"生成成长"),2))/((VLOOKUP($B164,INDIRECT($B$5&amp;"生成成长"),4))/(VLOOKUP(D$72,INDIRECT($C$5&amp;"生成成长"),5))*(VLOOKUP($B$5,标准坦克设计!$B$24:$U$30,MATCH("对"&amp;LEFT($C$5,2)&amp;"输出",标准坦克设计!$B$23:$U$23,0)))*(VLOOKUP($B164,INDIRECT($B$5&amp;"生成成长"),3))*(VLOOKUP($B$5,标准坦克设计!$B$14:$K$20,9)/30))</f>
        <v>1.5838663857456621</v>
      </c>
      <c r="E164" s="173">
        <f ca="1">(VLOOKUP(E$72,INDIRECT($C$5&amp;"生成成长"),2))/((VLOOKUP($B164,INDIRECT($B$5&amp;"生成成长"),4))/(VLOOKUP(E$72,INDIRECT($C$5&amp;"生成成长"),5))*(VLOOKUP($B$5,标准坦克设计!$B$24:$U$30,MATCH("对"&amp;LEFT($C$5,2)&amp;"输出",标准坦克设计!$B$23:$U$23,0)))*(VLOOKUP($B164,INDIRECT($B$5&amp;"生成成长"),3))*(VLOOKUP($B$5,标准坦克设计!$B$14:$K$20,9)/30))</f>
        <v>1.7682467019218215</v>
      </c>
      <c r="F164" s="173">
        <f ca="1">(VLOOKUP(F$72,INDIRECT($C$5&amp;"生成成长"),2))/((VLOOKUP($B164,INDIRECT($B$5&amp;"生成成长"),4))/(VLOOKUP(F$72,INDIRECT($C$5&amp;"生成成长"),5))*(VLOOKUP($B$5,标准坦克设计!$B$24:$U$30,MATCH("对"&amp;LEFT($C$5,2)&amp;"输出",标准坦克设计!$B$23:$U$23,0)))*(VLOOKUP($B164,INDIRECT($B$5&amp;"生成成长"),3))*(VLOOKUP($B$5,标准坦克设计!$B$14:$K$20,9)/30))</f>
        <v>1.9627763933003379</v>
      </c>
      <c r="G164" s="173">
        <f ca="1">(VLOOKUP(G$72,INDIRECT($C$5&amp;"生成成长"),2))/((VLOOKUP($B164,INDIRECT($B$5&amp;"生成成长"),4))/(VLOOKUP(G$72,INDIRECT($C$5&amp;"生成成长"),5))*(VLOOKUP($B$5,标准坦克设计!$B$24:$U$30,MATCH("对"&amp;LEFT($C$5,2)&amp;"输出",标准坦克设计!$B$23:$U$23,0)))*(VLOOKUP($B164,INDIRECT($B$5&amp;"生成成长"),3))*(VLOOKUP($B$5,标准坦克设计!$B$14:$K$20,9)/30))</f>
        <v>2.1674554598812121</v>
      </c>
      <c r="H164" s="173">
        <f ca="1">(VLOOKUP(H$72,INDIRECT($C$5&amp;"生成成长"),2))/((VLOOKUP($B164,INDIRECT($B$5&amp;"生成成长"),4))/(VLOOKUP(H$72,INDIRECT($C$5&amp;"生成成长"),5))*(VLOOKUP($B$5,标准坦克设计!$B$24:$U$30,MATCH("对"&amp;LEFT($C$5,2)&amp;"输出",标准坦克设计!$B$23:$U$23,0)))*(VLOOKUP($B164,INDIRECT($B$5&amp;"生成成长"),3))*(VLOOKUP($B$5,标准坦克设计!$B$14:$K$20,9)/30))</f>
        <v>1.8968054544850153</v>
      </c>
      <c r="I164" s="173">
        <f ca="1">(VLOOKUP(I$72,INDIRECT($C$5&amp;"生成成长"),2))/((VLOOKUP($B164,INDIRECT($B$5&amp;"生成成长"),4))/(VLOOKUP(I$72,INDIRECT($C$5&amp;"生成成长"),5))*(VLOOKUP($B$5,标准坦克设计!$B$24:$U$30,MATCH("对"&amp;LEFT($C$5,2)&amp;"输出",标准坦克设计!$B$23:$U$23,0)))*(VLOOKUP($B164,INDIRECT($B$5&amp;"生成成长"),3))*(VLOOKUP($B$5,标准坦克设计!$B$14:$K$20,9)/30))</f>
        <v>2.1674554598812121</v>
      </c>
      <c r="J164" s="173">
        <f ca="1">(VLOOKUP(J$72,INDIRECT($C$5&amp;"生成成长"),2))/((VLOOKUP($B164,INDIRECT($B$5&amp;"生成成长"),4))/(VLOOKUP(J$72,INDIRECT($C$5&amp;"生成成长"),5))*(VLOOKUP($B$5,标准坦克设计!$B$24:$U$30,MATCH("对"&amp;LEFT($C$5,2)&amp;"输出",标准坦克设计!$B$23:$U$23,0)))*(VLOOKUP($B164,INDIRECT($B$5&amp;"生成成长"),3))*(VLOOKUP($B$5,标准坦克设计!$B$14:$K$20,9)/30))</f>
        <v>2.4561487989704891</v>
      </c>
      <c r="K164" s="173">
        <f ca="1">(VLOOKUP(K$72,INDIRECT($C$5&amp;"生成成长"),2))/((VLOOKUP($B164,INDIRECT($B$5&amp;"生成成长"),4))/(VLOOKUP(K$72,INDIRECT($C$5&amp;"生成成长"),5))*(VLOOKUP($B$5,标准坦克设计!$B$24:$U$30,MATCH("对"&amp;LEFT($C$5,2)&amp;"输出",标准坦克设计!$B$23:$U$23,0)))*(VLOOKUP($B164,INDIRECT($B$5&amp;"生成成长"),3))*(VLOOKUP($B$5,标准坦克设计!$B$14:$K$20,9)/30))</f>
        <v>2.7628854717528459</v>
      </c>
      <c r="L164" s="173">
        <f ca="1">(VLOOKUP(L$72,INDIRECT($C$5&amp;"生成成长"),2))/((VLOOKUP($B164,INDIRECT($B$5&amp;"生成成长"),4))/(VLOOKUP(L$72,INDIRECT($C$5&amp;"生成成长"),5))*(VLOOKUP($B$5,标准坦克设计!$B$24:$U$30,MATCH("对"&amp;LEFT($C$5,2)&amp;"输出",标准坦克设计!$B$23:$U$23,0)))*(VLOOKUP($B164,INDIRECT($B$5&amp;"生成成长"),3))*(VLOOKUP($B$5,标准坦克设计!$B$14:$K$20,9)/30))</f>
        <v>3.0876654782282822</v>
      </c>
      <c r="M164" s="173">
        <f ca="1">(VLOOKUP(M$72,INDIRECT($C$5&amp;"生成成长"),2))/((VLOOKUP($B164,INDIRECT($B$5&amp;"生成成长"),4))/(VLOOKUP(M$72,INDIRECT($C$5&amp;"生成成长"),5))*(VLOOKUP($B$5,标准坦克设计!$B$24:$U$30,MATCH("对"&amp;LEFT($C$5,2)&amp;"输出",标准坦克设计!$B$23:$U$23,0)))*(VLOOKUP($B164,INDIRECT($B$5&amp;"生成成长"),3))*(VLOOKUP($B$5,标准坦克设计!$B$14:$K$20,9)/30))</f>
        <v>3.4304888183967988</v>
      </c>
      <c r="N164" s="173">
        <f ca="1">(VLOOKUP(N$72,INDIRECT($C$5&amp;"生成成长"),2))/((VLOOKUP($B164,INDIRECT($B$5&amp;"生成成长"),4))/(VLOOKUP(N$72,INDIRECT($C$5&amp;"生成成长"),5))*(VLOOKUP($B$5,标准坦克设计!$B$24:$U$30,MATCH("对"&amp;LEFT($C$5,2)&amp;"输出",标准坦克设计!$B$23:$U$23,0)))*(VLOOKUP($B164,INDIRECT($B$5&amp;"生成成长"),3))*(VLOOKUP($B$5,标准坦克设计!$B$14:$K$20,9)/30))</f>
        <v>3.7913554922583947</v>
      </c>
      <c r="O164" s="173">
        <f ca="1">(VLOOKUP(O$72,INDIRECT($C$5&amp;"生成成长"),2))/((VLOOKUP($B164,INDIRECT($B$5&amp;"生成成长"),4))/(VLOOKUP(O$72,INDIRECT($C$5&amp;"生成成长"),5))*(VLOOKUP($B$5,标准坦克设计!$B$24:$U$30,MATCH("对"&amp;LEFT($C$5,2)&amp;"输出",标准坦克设计!$B$23:$U$23,0)))*(VLOOKUP($B164,INDIRECT($B$5&amp;"生成成长"),3))*(VLOOKUP($B$5,标准坦克设计!$B$14:$K$20,9)/30))</f>
        <v>2.8825635210139771</v>
      </c>
      <c r="P164" s="173">
        <f ca="1">(VLOOKUP(P$72,INDIRECT($C$5&amp;"生成成长"),2))/((VLOOKUP($B164,INDIRECT($B$5&amp;"生成成长"),4))/(VLOOKUP(P$72,INDIRECT($C$5&amp;"生成成长"),5))*(VLOOKUP($B$5,标准坦克设计!$B$24:$U$30,MATCH("对"&amp;LEFT($C$5,2)&amp;"输出",标准坦克设计!$B$23:$U$23,0)))*(VLOOKUP($B164,INDIRECT($B$5&amp;"生成成长"),3))*(VLOOKUP($B$5,标准坦克设计!$B$14:$K$20,9)/30))</f>
        <v>3.2568217316009056</v>
      </c>
      <c r="Q164" s="173">
        <f ca="1">(VLOOKUP(Q$72,INDIRECT($C$5&amp;"生成成长"),2))/((VLOOKUP($B164,INDIRECT($B$5&amp;"生成成长"),4))/(VLOOKUP(Q$72,INDIRECT($C$5&amp;"生成成长"),5))*(VLOOKUP($B$5,标准坦克设计!$B$24:$U$30,MATCH("对"&amp;LEFT($C$5,2)&amp;"输出",标准坦克设计!$B$23:$U$23,0)))*(VLOOKUP($B164,INDIRECT($B$5&amp;"生成成长"),3))*(VLOOKUP($B$5,标准坦克设计!$B$14:$K$20,9)/30))</f>
        <v>3.6539160363931389</v>
      </c>
      <c r="R164" s="173">
        <f ca="1">(VLOOKUP(R$72,INDIRECT($C$5&amp;"生成成长"),2))/((VLOOKUP($B164,INDIRECT($B$5&amp;"生成成长"),4))/(VLOOKUP(R$72,INDIRECT($C$5&amp;"生成成长"),5))*(VLOOKUP($B$5,标准坦克设计!$B$24:$U$30,MATCH("对"&amp;LEFT($C$5,2)&amp;"输出",标准坦克设计!$B$23:$U$23,0)))*(VLOOKUP($B164,INDIRECT($B$5&amp;"生成成长"),3))*(VLOOKUP($B$5,标准坦克设计!$B$14:$K$20,9)/30))</f>
        <v>4.073846435390676</v>
      </c>
      <c r="S164" s="173">
        <f ca="1">(VLOOKUP(S$72,INDIRECT($C$5&amp;"生成成长"),2))/((VLOOKUP($B164,INDIRECT($B$5&amp;"生成成长"),4))/(VLOOKUP(S$72,INDIRECT($C$5&amp;"生成成长"),5))*(VLOOKUP($B$5,标准坦克设计!$B$24:$U$30,MATCH("对"&amp;LEFT($C$5,2)&amp;"输出",标准坦克设计!$B$23:$U$23,0)))*(VLOOKUP($B164,INDIRECT($B$5&amp;"生成成长"),3))*(VLOOKUP($B$5,标准坦克设计!$B$14:$K$20,9)/30))</f>
        <v>4.5166129285935179</v>
      </c>
      <c r="T164" s="173">
        <f ca="1">(VLOOKUP(T$72,INDIRECT($C$5&amp;"生成成长"),2))/((VLOOKUP($B164,INDIRECT($B$5&amp;"生成成长"),4))/(VLOOKUP(T$72,INDIRECT($C$5&amp;"生成成长"),5))*(VLOOKUP($B$5,标准坦克设计!$B$24:$U$30,MATCH("对"&amp;LEFT($C$5,2)&amp;"输出",标准坦克设计!$B$23:$U$23,0)))*(VLOOKUP($B164,INDIRECT($B$5&amp;"生成成长"),3))*(VLOOKUP($B$5,标准坦克设计!$B$14:$K$20,9)/30))</f>
        <v>4.9822155160016628</v>
      </c>
      <c r="U164" s="173">
        <f ca="1">(VLOOKUP(U$72,INDIRECT($C$5&amp;"生成成长"),2))/((VLOOKUP($B164,INDIRECT($B$5&amp;"生成成长"),4))/(VLOOKUP(U$72,INDIRECT($C$5&amp;"生成成长"),5))*(VLOOKUP($B$5,标准坦克设计!$B$24:$U$30,MATCH("对"&amp;LEFT($C$5,2)&amp;"输出",标准坦克设计!$B$23:$U$23,0)))*(VLOOKUP($B164,INDIRECT($B$5&amp;"生成成长"),3))*(VLOOKUP($B$5,标准坦克设计!$B$14:$K$20,9)/30))</f>
        <v>5.4706541976151115</v>
      </c>
      <c r="V164" s="173">
        <f ca="1">(VLOOKUP(V$72,INDIRECT($C$5&amp;"生成成长"),2))/((VLOOKUP($B164,INDIRECT($B$5&amp;"生成成长"),4))/(VLOOKUP(V$72,INDIRECT($C$5&amp;"生成成长"),5))*(VLOOKUP($B$5,标准坦克设计!$B$24:$U$30,MATCH("对"&amp;LEFT($C$5,2)&amp;"输出",标准坦克设计!$B$23:$U$23,0)))*(VLOOKUP($B164,INDIRECT($B$5&amp;"生成成长"),3))*(VLOOKUP($B$5,标准坦克设计!$B$14:$K$20,9)/30))</f>
        <v>5.9819289734338659</v>
      </c>
      <c r="W164" s="173">
        <f ca="1">(VLOOKUP(W$72,INDIRECT($C$5&amp;"生成成长"),2))/((VLOOKUP($B164,INDIRECT($B$5&amp;"生成成长"),4))/(VLOOKUP(W$72,INDIRECT($C$5&amp;"生成成长"),5))*(VLOOKUP($B$5,标准坦克设计!$B$24:$U$30,MATCH("对"&amp;LEFT($C$5,2)&amp;"输出",标准坦克设计!$B$23:$U$23,0)))*(VLOOKUP($B164,INDIRECT($B$5&amp;"生成成长"),3))*(VLOOKUP($B$5,标准坦克设计!$B$14:$K$20,9)/30))</f>
        <v>6.5160398434579241</v>
      </c>
      <c r="X164" s="173">
        <f ca="1">(VLOOKUP(X$72,INDIRECT($C$5&amp;"生成成长"),2))/((VLOOKUP($B164,INDIRECT($B$5&amp;"生成成长"),4))/(VLOOKUP(X$72,INDIRECT($C$5&amp;"生成成长"),5))*(VLOOKUP($B$5,标准坦克设计!$B$24:$U$30,MATCH("对"&amp;LEFT($C$5,2)&amp;"输出",标准坦克设计!$B$23:$U$23,0)))*(VLOOKUP($B164,INDIRECT($B$5&amp;"生成成长"),3))*(VLOOKUP($B$5,标准坦克设计!$B$14:$K$20,9)/30))</f>
        <v>4.7207281409964823</v>
      </c>
      <c r="Y164" s="173">
        <f ca="1">(VLOOKUP(Y$72,INDIRECT($C$5&amp;"生成成长"),2))/((VLOOKUP($B164,INDIRECT($B$5&amp;"生成成长"),4))/(VLOOKUP(Y$72,INDIRECT($C$5&amp;"生成成长"),5))*(VLOOKUP($B$5,标准坦克设计!$B$24:$U$30,MATCH("对"&amp;LEFT($C$5,2)&amp;"输出",标准坦克设计!$B$23:$U$23,0)))*(VLOOKUP($B164,INDIRECT($B$5&amp;"生成成长"),3))*(VLOOKUP($B$5,标准坦克设计!$B$14:$K$20,9)/30))</f>
        <v>5.2507510682307021</v>
      </c>
      <c r="Z164" s="173">
        <f ca="1">(VLOOKUP(Z$72,INDIRECT($C$5&amp;"生成成长"),2))/((VLOOKUP($B164,INDIRECT($B$5&amp;"生成成长"),4))/(VLOOKUP(Z$72,INDIRECT($C$5&amp;"生成成长"),5))*(VLOOKUP($B$5,标准坦克设计!$B$24:$U$30,MATCH("对"&amp;LEFT($C$5,2)&amp;"输出",标准坦克设计!$B$23:$U$23,0)))*(VLOOKUP($B164,INDIRECT($B$5&amp;"生成成长"),3))*(VLOOKUP($B$5,标准坦克设计!$B$14:$K$20,9)/30))</f>
        <v>5.8089667043603574</v>
      </c>
      <c r="AA164" s="173">
        <f ca="1">(VLOOKUP(AA$72,INDIRECT($C$5&amp;"生成成长"),2))/((VLOOKUP($B164,INDIRECT($B$5&amp;"生成成长"),4))/(VLOOKUP(AA$72,INDIRECT($C$5&amp;"生成成长"),5))*(VLOOKUP($B$5,标准坦克设计!$B$24:$U$30,MATCH("对"&amp;LEFT($C$5,2)&amp;"输出",标准坦克设计!$B$23:$U$23,0)))*(VLOOKUP($B164,INDIRECT($B$5&amp;"生成成长"),3))*(VLOOKUP($B$5,标准坦克设计!$B$14:$K$20,9)/30))</f>
        <v>6.3953750493854526</v>
      </c>
      <c r="AB164" s="173">
        <f ca="1">(VLOOKUP(AB$72,INDIRECT($C$5&amp;"生成成长"),2))/((VLOOKUP($B164,INDIRECT($B$5&amp;"生成成长"),4))/(VLOOKUP(AB$72,INDIRECT($C$5&amp;"生成成长"),5))*(VLOOKUP($B$5,标准坦克设计!$B$24:$U$30,MATCH("对"&amp;LEFT($C$5,2)&amp;"输出",标准坦克设计!$B$23:$U$23,0)))*(VLOOKUP($B164,INDIRECT($B$5&amp;"生成成长"),3))*(VLOOKUP($B$5,标准坦克设计!$B$14:$K$20,9)/30))</f>
        <v>7.0099761033059842</v>
      </c>
      <c r="AC164" s="173">
        <f ca="1">(VLOOKUP(AC$72,INDIRECT($C$5&amp;"生成成长"),2))/((VLOOKUP($B164,INDIRECT($B$5&amp;"生成成长"),4))/(VLOOKUP(AC$72,INDIRECT($C$5&amp;"生成成长"),5))*(VLOOKUP($B$5,标准坦克设计!$B$24:$U$30,MATCH("对"&amp;LEFT($C$5,2)&amp;"输出",标准坦克设计!$B$23:$U$23,0)))*(VLOOKUP($B164,INDIRECT($B$5&amp;"生成成长"),3))*(VLOOKUP($B$5,标准坦克设计!$B$14:$K$20,9)/30))</f>
        <v>7.6527698661219512</v>
      </c>
      <c r="AD164" s="173">
        <f ca="1">(VLOOKUP(AD$72,INDIRECT($C$5&amp;"生成成长"),2))/((VLOOKUP($B164,INDIRECT($B$5&amp;"生成成长"),4))/(VLOOKUP(AD$72,INDIRECT($C$5&amp;"生成成长"),5))*(VLOOKUP($B$5,标准坦克设计!$B$24:$U$30,MATCH("对"&amp;LEFT($C$5,2)&amp;"输出",标准坦克设计!$B$23:$U$23,0)))*(VLOOKUP($B164,INDIRECT($B$5&amp;"生成成长"),3))*(VLOOKUP($B$5,标准坦克设计!$B$14:$K$20,9)/30))</f>
        <v>8.323756337833359</v>
      </c>
      <c r="AE164" s="173">
        <f ca="1">(VLOOKUP(AE$72,INDIRECT($C$5&amp;"生成成长"),2))/((VLOOKUP($B164,INDIRECT($B$5&amp;"生成成长"),4))/(VLOOKUP(AE$72,INDIRECT($C$5&amp;"生成成长"),5))*(VLOOKUP($B$5,标准坦克设计!$B$24:$U$30,MATCH("对"&amp;LEFT($C$5,2)&amp;"输出",标准坦克设计!$B$23:$U$23,0)))*(VLOOKUP($B164,INDIRECT($B$5&amp;"生成成长"),3))*(VLOOKUP($B$5,标准坦克设计!$B$14:$K$20,9)/30))</f>
        <v>9.0229355184401996</v>
      </c>
      <c r="AF164" s="173">
        <f ca="1">(VLOOKUP(AF$72,INDIRECT($C$5&amp;"生成成长"),2))/((VLOOKUP($B164,INDIRECT($B$5&amp;"生成成长"),4))/(VLOOKUP(AF$72,INDIRECT($C$5&amp;"生成成长"),5))*(VLOOKUP($B$5,标准坦克设计!$B$24:$U$30,MATCH("对"&amp;LEFT($C$5,2)&amp;"输出",标准坦克设计!$B$23:$U$23,0)))*(VLOOKUP($B164,INDIRECT($B$5&amp;"生成成长"),3))*(VLOOKUP($B$5,标准坦克设计!$B$14:$K$20,9)/30))</f>
        <v>9.7503074079424792</v>
      </c>
      <c r="AG164" s="173">
        <f ca="1">(VLOOKUP(AG$72,INDIRECT($C$5&amp;"生成成长"),2))/((VLOOKUP($B164,INDIRECT($B$5&amp;"生成成长"),4))/(VLOOKUP(AG$72,INDIRECT($C$5&amp;"生成成长"),5))*(VLOOKUP($B$5,标准坦克设计!$B$24:$U$30,MATCH("对"&amp;LEFT($C$5,2)&amp;"输出",标准坦克设计!$B$23:$U$23,0)))*(VLOOKUP($B164,INDIRECT($B$5&amp;"生成成长"),3))*(VLOOKUP($B$5,标准坦克设计!$B$14:$K$20,9)/30))</f>
        <v>10.505872006340196</v>
      </c>
      <c r="AH164" s="173">
        <f ca="1">(VLOOKUP(AH$72,INDIRECT($C$5&amp;"生成成长"),2))/((VLOOKUP($B164,INDIRECT($B$5&amp;"生成成长"),4))/(VLOOKUP(AH$72,INDIRECT($C$5&amp;"生成成长"),5))*(VLOOKUP($B$5,标准坦克设计!$B$24:$U$30,MATCH("对"&amp;LEFT($C$5,2)&amp;"输出",标准坦克设计!$B$23:$U$23,0)))*(VLOOKUP($B164,INDIRECT($B$5&amp;"生成成长"),3))*(VLOOKUP($B$5,标准坦克设计!$B$14:$K$20,9)/30))</f>
        <v>11.28962931363335</v>
      </c>
      <c r="AI164" s="173">
        <f ca="1">(VLOOKUP(AI$72,INDIRECT($C$5&amp;"生成成长"),2))/((VLOOKUP($B164,INDIRECT($B$5&amp;"生成成长"),4))/(VLOOKUP(AI$72,INDIRECT($C$5&amp;"生成成长"),5))*(VLOOKUP($B$5,标准坦克设计!$B$24:$U$30,MATCH("对"&amp;LEFT($C$5,2)&amp;"输出",标准坦克设计!$B$23:$U$23,0)))*(VLOOKUP($B164,INDIRECT($B$5&amp;"生成成长"),3))*(VLOOKUP($B$5,标准坦克设计!$B$14:$K$20,9)/30))</f>
        <v>7.9847390133657248</v>
      </c>
      <c r="AJ164" s="173">
        <f ca="1">(VLOOKUP(AJ$72,INDIRECT($C$5&amp;"生成成长"),2))/((VLOOKUP($B164,INDIRECT($B$5&amp;"生成成长"),4))/(VLOOKUP(AJ$72,INDIRECT($C$5&amp;"生成成长"),5))*(VLOOKUP($B$5,标准坦克设计!$B$24:$U$30,MATCH("对"&amp;LEFT($C$5,2)&amp;"输出",标准坦克设计!$B$23:$U$23,0)))*(VLOOKUP($B164,INDIRECT($B$5&amp;"生成成长"),3))*(VLOOKUP($B$5,标准坦克设计!$B$14:$K$20,9)/30))</f>
        <v>8.7398807211300085</v>
      </c>
      <c r="AK164" s="173">
        <f ca="1">(VLOOKUP(AK$72,INDIRECT($C$5&amp;"生成成长"),2))/((VLOOKUP($B164,INDIRECT($B$5&amp;"生成成长"),4))/(VLOOKUP(AK$72,INDIRECT($C$5&amp;"生成成长"),5))*(VLOOKUP($B$5,标准坦克设计!$B$24:$U$30,MATCH("对"&amp;LEFT($C$5,2)&amp;"输出",标准坦克设计!$B$23:$U$23,0)))*(VLOOKUP($B164,INDIRECT($B$5&amp;"生成成长"),3))*(VLOOKUP($B$5,标准坦克设计!$B$14:$K$20,9)/30))</f>
        <v>9.5291356066577748</v>
      </c>
      <c r="AL164" s="173">
        <f ca="1">(VLOOKUP(AL$72,INDIRECT($C$5&amp;"生成成长"),2))/((VLOOKUP($B164,INDIRECT($B$5&amp;"生成成长"),4))/(VLOOKUP(AL$72,INDIRECT($C$5&amp;"生成成长"),5))*(VLOOKUP($B$5,标准坦克设计!$B$24:$U$30,MATCH("对"&amp;LEFT($C$5,2)&amp;"输出",标准坦克设计!$B$23:$U$23,0)))*(VLOOKUP($B164,INDIRECT($B$5&amp;"生成成长"),3))*(VLOOKUP($B$5,标准坦克设计!$B$14:$K$20,9)/30))</f>
        <v>10.352503669949019</v>
      </c>
      <c r="AM164" s="173">
        <f ca="1">(VLOOKUP(AM$72,INDIRECT($C$5&amp;"生成成长"),2))/((VLOOKUP($B164,INDIRECT($B$5&amp;"生成成长"),4))/(VLOOKUP(AM$72,INDIRECT($C$5&amp;"生成成长"),5))*(VLOOKUP($B$5,标准坦克设计!$B$24:$U$30,MATCH("对"&amp;LEFT($C$5,2)&amp;"输出",标准坦克设计!$B$23:$U$23,0)))*(VLOOKUP($B164,INDIRECT($B$5&amp;"生成成长"),3))*(VLOOKUP($B$5,标准坦克设计!$B$14:$K$20,9)/30))</f>
        <v>11.209984911003742</v>
      </c>
      <c r="AN164" s="173">
        <f ca="1">(VLOOKUP(AN$72,INDIRECT($C$5&amp;"生成成长"),2))/((VLOOKUP($B164,INDIRECT($B$5&amp;"生成成长"),4))/(VLOOKUP(AN$72,INDIRECT($C$5&amp;"生成成长"),5))*(VLOOKUP($B$5,标准坦克设计!$B$24:$U$30,MATCH("对"&amp;LEFT($C$5,2)&amp;"输出",标准坦克设计!$B$23:$U$23,0)))*(VLOOKUP($B164,INDIRECT($B$5&amp;"生成成长"),3))*(VLOOKUP($B$5,标准坦克设计!$B$14:$K$20,9)/30))</f>
        <v>12.101579329821941</v>
      </c>
      <c r="AO164" s="173">
        <f ca="1">(VLOOKUP(AO$72,INDIRECT($C$5&amp;"生成成长"),2))/((VLOOKUP($B164,INDIRECT($B$5&amp;"生成成长"),4))/(VLOOKUP(AO$72,INDIRECT($C$5&amp;"生成成长"),5))*(VLOOKUP($B$5,标准坦克设计!$B$24:$U$30,MATCH("对"&amp;LEFT($C$5,2)&amp;"输出",标准坦克设计!$B$23:$U$23,0)))*(VLOOKUP($B164,INDIRECT($B$5&amp;"生成成长"),3))*(VLOOKUP($B$5,标准坦克设计!$B$14:$K$20,9)/30))</f>
        <v>13.027286926403622</v>
      </c>
      <c r="AP164" s="173">
        <f ca="1">(VLOOKUP(AP$72,INDIRECT($C$5&amp;"生成成长"),2))/((VLOOKUP($B164,INDIRECT($B$5&amp;"生成成长"),4))/(VLOOKUP(AP$72,INDIRECT($C$5&amp;"生成成长"),5))*(VLOOKUP($B$5,标准坦克设计!$B$24:$U$30,MATCH("对"&amp;LEFT($C$5,2)&amp;"输出",标准坦克设计!$B$23:$U$23,0)))*(VLOOKUP($B164,INDIRECT($B$5&amp;"生成成长"),3))*(VLOOKUP($B$5,标准坦克设计!$B$14:$K$20,9)/30))</f>
        <v>13.987107700748783</v>
      </c>
      <c r="AQ164" s="173">
        <f ca="1">(VLOOKUP(AQ$72,INDIRECT($C$5&amp;"生成成长"),2))/((VLOOKUP($B164,INDIRECT($B$5&amp;"生成成长"),4))/(VLOOKUP(AQ$72,INDIRECT($C$5&amp;"生成成长"),5))*(VLOOKUP($B$5,标准坦克设计!$B$24:$U$30,MATCH("对"&amp;LEFT($C$5,2)&amp;"输出",标准坦克设计!$B$23:$U$23,0)))*(VLOOKUP($B164,INDIRECT($B$5&amp;"生成成长"),3))*(VLOOKUP($B$5,标准坦克设计!$B$14:$K$20,9)/30))</f>
        <v>14.981041652857419</v>
      </c>
      <c r="AR164" s="173">
        <f ca="1">(VLOOKUP(AR$72,INDIRECT($C$5&amp;"生成成长"),2))/((VLOOKUP($B164,INDIRECT($B$5&amp;"生成成长"),4))/(VLOOKUP(AR$72,INDIRECT($C$5&amp;"生成成长"),5))*(VLOOKUP($B$5,标准坦克设计!$B$24:$U$30,MATCH("对"&amp;LEFT($C$5,2)&amp;"输出",标准坦克设计!$B$23:$U$23,0)))*(VLOOKUP($B164,INDIRECT($B$5&amp;"生成成长"),3))*(VLOOKUP($B$5,标准坦克设计!$B$14:$K$20,9)/30))</f>
        <v>16.009088782729538</v>
      </c>
      <c r="AS164" s="173">
        <f ca="1">(VLOOKUP(AS$72,INDIRECT($C$5&amp;"生成成长"),2))/((VLOOKUP($B164,INDIRECT($B$5&amp;"生成成长"),4))/(VLOOKUP(AS$72,INDIRECT($C$5&amp;"生成成长"),5))*(VLOOKUP($B$5,标准坦克设计!$B$24:$U$30,MATCH("对"&amp;LEFT($C$5,2)&amp;"输出",标准坦克设计!$B$23:$U$23,0)))*(VLOOKUP($B164,INDIRECT($B$5&amp;"生成成长"),3))*(VLOOKUP($B$5,标准坦克设计!$B$14:$K$20,9)/30))</f>
        <v>17.071249090365132</v>
      </c>
      <c r="AT164" s="173">
        <f ca="1">(VLOOKUP(AT$72,INDIRECT($C$5&amp;"生成成长"),2))/((VLOOKUP($B164,INDIRECT($B$5&amp;"生成成长"),4))/(VLOOKUP(AT$72,INDIRECT($C$5&amp;"生成成长"),5))*(VLOOKUP($B$5,标准坦克设计!$B$24:$U$30,MATCH("对"&amp;LEFT($C$5,2)&amp;"输出",标准坦克设计!$B$23:$U$23,0)))*(VLOOKUP($B164,INDIRECT($B$5&amp;"生成成长"),3))*(VLOOKUP($B$5,标准坦克设计!$B$14:$K$20,9)/30))</f>
        <v>18.16752257576421</v>
      </c>
      <c r="AU164" s="173">
        <f ca="1">(VLOOKUP(AU$72,INDIRECT($C$5&amp;"生成成长"),2))/((VLOOKUP($B164,INDIRECT($B$5&amp;"生成成长"),4))/(VLOOKUP(AU$72,INDIRECT($C$5&amp;"生成成长"),5))*(VLOOKUP($B$5,标准坦克设计!$B$24:$U$30,MATCH("对"&amp;LEFT($C$5,2)&amp;"输出",标准坦克设计!$B$23:$U$23,0)))*(VLOOKUP($B164,INDIRECT($B$5&amp;"生成成长"),3))*(VLOOKUP($B$5,标准坦克设计!$B$14:$K$20,9)/30))</f>
        <v>19.297909238926767</v>
      </c>
      <c r="AV164" s="173">
        <f ca="1">(VLOOKUP(AV$72,INDIRECT($C$5&amp;"生成成长"),2))/((VLOOKUP($B164,INDIRECT($B$5&amp;"生成成长"),4))/(VLOOKUP(AV$72,INDIRECT($C$5&amp;"生成成长"),5))*(VLOOKUP($B$5,标准坦克设计!$B$24:$U$30,MATCH("对"&amp;LEFT($C$5,2)&amp;"输出",标准坦克设计!$B$23:$U$23,0)))*(VLOOKUP($B164,INDIRECT($B$5&amp;"生成成长"),3))*(VLOOKUP($B$5,标准坦克设计!$B$14:$K$20,9)/30))</f>
        <v>1.9627763933003379</v>
      </c>
      <c r="AW164" s="173">
        <f ca="1">(VLOOKUP(AW$72,INDIRECT($C$5&amp;"生成成长"),2))/((VLOOKUP($B164,INDIRECT($B$5&amp;"生成成长"),4))/(VLOOKUP(AW$72,INDIRECT($C$5&amp;"生成成长"),5))*(VLOOKUP($B$5,标准坦克设计!$B$24:$U$30,MATCH("对"&amp;LEFT($C$5,2)&amp;"输出",标准坦克设计!$B$23:$U$23,0)))*(VLOOKUP($B164,INDIRECT($B$5&amp;"生成成长"),3))*(VLOOKUP($B$5,标准坦克设计!$B$14:$K$20,9)/30))</f>
        <v>2.2379372321198052</v>
      </c>
      <c r="AX164" s="173">
        <f ca="1">(VLOOKUP(AX$72,INDIRECT($C$5&amp;"生成成长"),2))/((VLOOKUP($B164,INDIRECT($B$5&amp;"生成成长"),4))/(VLOOKUP(AX$72,INDIRECT($C$5&amp;"生成成长"),5))*(VLOOKUP($B$5,标准坦克设计!$B$24:$U$30,MATCH("对"&amp;LEFT($C$5,2)&amp;"输出",标准坦克设计!$B$23:$U$23,0)))*(VLOOKUP($B164,INDIRECT($B$5&amp;"生成成长"),3))*(VLOOKUP($B$5,标准坦克设计!$B$14:$K$20,9)/30))</f>
        <v>2.5311414046323524</v>
      </c>
      <c r="AY164" s="173">
        <f ca="1">(VLOOKUP(AY$72,INDIRECT($C$5&amp;"生成成长"),2))/((VLOOKUP($B164,INDIRECT($B$5&amp;"生成成长"),4))/(VLOOKUP(AY$72,INDIRECT($C$5&amp;"生成成长"),5))*(VLOOKUP($B$5,标准坦克设计!$B$24:$U$30,MATCH("对"&amp;LEFT($C$5,2)&amp;"输出",标准坦克设计!$B$23:$U$23,0)))*(VLOOKUP($B164,INDIRECT($B$5&amp;"生成成长"),3))*(VLOOKUP($B$5,标准坦克设计!$B$14:$K$20,9)/30))</f>
        <v>2.842388910837979</v>
      </c>
      <c r="AZ164" s="173">
        <f ca="1">(VLOOKUP(AZ$72,INDIRECT($C$5&amp;"生成成长"),2))/((VLOOKUP($B164,INDIRECT($B$5&amp;"生成成长"),4))/(VLOOKUP(AZ$72,INDIRECT($C$5&amp;"生成成长"),5))*(VLOOKUP($B$5,标准坦克设计!$B$24:$U$30,MATCH("对"&amp;LEFT($C$5,2)&amp;"输出",标准坦克设计!$B$23:$U$23,0)))*(VLOOKUP($B164,INDIRECT($B$5&amp;"生成成长"),3))*(VLOOKUP($B$5,标准坦克设计!$B$14:$K$20,9)/30))</f>
        <v>3.171679750736685</v>
      </c>
      <c r="BA164" s="173">
        <f ca="1">(VLOOKUP(BA$72,INDIRECT($C$5&amp;"生成成长"),2))/((VLOOKUP($B164,INDIRECT($B$5&amp;"生成成长"),4))/(VLOOKUP(BA$72,INDIRECT($C$5&amp;"生成成长"),5))*(VLOOKUP($B$5,标准坦克设计!$B$24:$U$30,MATCH("对"&amp;LEFT($C$5,2)&amp;"输出",标准坦克设计!$B$23:$U$23,0)))*(VLOOKUP($B164,INDIRECT($B$5&amp;"生成成长"),3))*(VLOOKUP($B$5,标准坦克设计!$B$14:$K$20,9)/30))</f>
        <v>3.5190139243284717</v>
      </c>
      <c r="BB164" s="173">
        <f ca="1">(VLOOKUP(BB$72,INDIRECT($C$5&amp;"生成成长"),2))/((VLOOKUP($B164,INDIRECT($B$5&amp;"生成成长"),4))/(VLOOKUP(BB$72,INDIRECT($C$5&amp;"生成成长"),5))*(VLOOKUP($B$5,标准坦克设计!$B$24:$U$30,MATCH("对"&amp;LEFT($C$5,2)&amp;"输出",标准坦克设计!$B$23:$U$23,0)))*(VLOOKUP($B164,INDIRECT($B$5&amp;"生成成长"),3))*(VLOOKUP($B$5,标准坦克设计!$B$14:$K$20,9)/30))</f>
        <v>3.8843914316133379</v>
      </c>
      <c r="BC164" s="173">
        <f ca="1">(VLOOKUP(BC$72,INDIRECT($C$5&amp;"生成成长"),2))/((VLOOKUP($B164,INDIRECT($B$5&amp;"生成成长"),4))/(VLOOKUP(BC$72,INDIRECT($C$5&amp;"生成成长"),5))*(VLOOKUP($B$5,标准坦克设计!$B$24:$U$30,MATCH("对"&amp;LEFT($C$5,2)&amp;"输出",标准坦克设计!$B$23:$U$23,0)))*(VLOOKUP($B164,INDIRECT($B$5&amp;"生成成长"),3))*(VLOOKUP($B$5,标准坦克设计!$B$14:$K$20,9)/30))</f>
        <v>4.267812272591283</v>
      </c>
      <c r="BD164" s="173">
        <f ca="1">(VLOOKUP(BD$72,INDIRECT($C$5&amp;"生成成长"),2))/((VLOOKUP($B164,INDIRECT($B$5&amp;"生成成长"),4))/(VLOOKUP(BD$72,INDIRECT($C$5&amp;"生成成长"),5))*(VLOOKUP($B$5,标准坦克设计!$B$24:$U$30,MATCH("对"&amp;LEFT($C$5,2)&amp;"输出",标准坦克设计!$B$23:$U$23,0)))*(VLOOKUP($B164,INDIRECT($B$5&amp;"生成成长"),3))*(VLOOKUP($B$5,标准坦克设计!$B$14:$K$20,9)/30))</f>
        <v>4.7207281409964823</v>
      </c>
      <c r="BE164" s="173">
        <f ca="1">(VLOOKUP(BE$72,INDIRECT($C$5&amp;"生成成长"),2))/((VLOOKUP($B164,INDIRECT($B$5&amp;"生成成长"),4))/(VLOOKUP(BE$72,INDIRECT($C$5&amp;"生成成长"),5))*(VLOOKUP($B$5,标准坦克设计!$B$24:$U$30,MATCH("对"&amp;LEFT($C$5,2)&amp;"输出",标准坦克设计!$B$23:$U$23,0)))*(VLOOKUP($B164,INDIRECT($B$5&amp;"生成成长"),3))*(VLOOKUP($B$5,标准坦克设计!$B$14:$K$20,9)/30))</f>
        <v>5.1964801036069845</v>
      </c>
      <c r="BF164" s="173">
        <f ca="1">(VLOOKUP(BF$72,INDIRECT($C$5&amp;"生成成长"),2))/((VLOOKUP($B164,INDIRECT($B$5&amp;"生成成长"),4))/(VLOOKUP(BF$72,INDIRECT($C$5&amp;"生成成长"),5))*(VLOOKUP($B$5,标准坦克设计!$B$24:$U$30,MATCH("对"&amp;LEFT($C$5,2)&amp;"输出",标准坦克设计!$B$23:$U$23,0)))*(VLOOKUP($B164,INDIRECT($B$5&amp;"生成成长"),3))*(VLOOKUP($B$5,标准坦克设计!$B$14:$K$20,9)/30))</f>
        <v>5.6950681604227924</v>
      </c>
      <c r="BG164" s="173">
        <f ca="1">(VLOOKUP(BG$72,INDIRECT($C$5&amp;"生成成长"),2))/((VLOOKUP($B164,INDIRECT($B$5&amp;"生成成长"),4))/(VLOOKUP(BG$72,INDIRECT($C$5&amp;"生成成长"),5))*(VLOOKUP($B$5,标准坦克设计!$B$24:$U$30,MATCH("对"&amp;LEFT($C$5,2)&amp;"输出",标准坦克设计!$B$23:$U$23,0)))*(VLOOKUP($B164,INDIRECT($B$5&amp;"生成成长"),3))*(VLOOKUP($B$5,标准坦克设计!$B$14:$K$20,9)/30))</f>
        <v>6.2164923114439041</v>
      </c>
      <c r="BH164" s="173">
        <f ca="1">(VLOOKUP(BH$72,INDIRECT($C$5&amp;"生成成长"),2))/((VLOOKUP($B164,INDIRECT($B$5&amp;"生成成长"),4))/(VLOOKUP(BH$72,INDIRECT($C$5&amp;"生成成长"),5))*(VLOOKUP($B$5,标准坦克设计!$B$24:$U$30,MATCH("对"&amp;LEFT($C$5,2)&amp;"输出",标准坦克设计!$B$23:$U$23,0)))*(VLOOKUP($B164,INDIRECT($B$5&amp;"生成成长"),3))*(VLOOKUP($B$5,标准坦克设计!$B$14:$K$20,9)/30))</f>
        <v>3.0047789140756969</v>
      </c>
      <c r="BI164" s="173">
        <f ca="1">(VLOOKUP(BI$72,INDIRECT($C$5&amp;"生成成长"),2))/((VLOOKUP($B164,INDIRECT($B$5&amp;"生成成长"),4))/(VLOOKUP(BI$72,INDIRECT($C$5&amp;"生成成长"),5))*(VLOOKUP($B$5,标准坦克设计!$B$24:$U$30,MATCH("对"&amp;LEFT($C$5,2)&amp;"输出",标准坦克设计!$B$23:$U$23,0)))*(VLOOKUP($B164,INDIRECT($B$5&amp;"生成成长"),3))*(VLOOKUP($B$5,标准坦克设计!$B$14:$K$20,9)/30))</f>
        <v>3.3866491560643945</v>
      </c>
      <c r="BJ164" s="173">
        <f ca="1">(VLOOKUP(BJ$72,INDIRECT($C$5&amp;"生成成长"),2))/((VLOOKUP($B164,INDIRECT($B$5&amp;"生成成长"),4))/(VLOOKUP(BJ$72,INDIRECT($C$5&amp;"生成成长"),5))*(VLOOKUP($B$5,标准坦克设计!$B$24:$U$30,MATCH("对"&amp;LEFT($C$5,2)&amp;"输出",标准坦克设计!$B$23:$U$23,0)))*(VLOOKUP($B164,INDIRECT($B$5&amp;"生成成长"),3))*(VLOOKUP($B$5,标准坦克设计!$B$14:$K$20,9)/30))</f>
        <v>3.7913554922583947</v>
      </c>
      <c r="BK164" s="173">
        <f ca="1">(VLOOKUP(BK$72,INDIRECT($C$5&amp;"生成成长"),2))/((VLOOKUP($B164,INDIRECT($B$5&amp;"生成成长"),4))/(VLOOKUP(BK$72,INDIRECT($C$5&amp;"生成成长"),5))*(VLOOKUP($B$5,标准坦克设计!$B$24:$U$30,MATCH("对"&amp;LEFT($C$5,2)&amp;"输出",标准坦克设计!$B$23:$U$23,0)))*(VLOOKUP($B164,INDIRECT($B$5&amp;"生成成长"),3))*(VLOOKUP($B$5,标准坦克设计!$B$14:$K$20,9)/30))</f>
        <v>4.2188979226577006</v>
      </c>
      <c r="BL164" s="173">
        <f ca="1">(VLOOKUP(BL$72,INDIRECT($C$5&amp;"生成成长"),2))/((VLOOKUP($B164,INDIRECT($B$5&amp;"生成成长"),4))/(VLOOKUP(BL$72,INDIRECT($C$5&amp;"生成成长"),5))*(VLOOKUP($B$5,标准坦克设计!$B$24:$U$30,MATCH("对"&amp;LEFT($C$5,2)&amp;"输出",标准坦克设计!$B$23:$U$23,0)))*(VLOOKUP($B164,INDIRECT($B$5&amp;"生成成长"),3))*(VLOOKUP($B$5,标准坦克设计!$B$14:$K$20,9)/30))</f>
        <v>4.6692764472623098</v>
      </c>
      <c r="BM164" s="173">
        <f ca="1">(VLOOKUP(BM$72,INDIRECT($C$5&amp;"生成成长"),2))/((VLOOKUP($B164,INDIRECT($B$5&amp;"生成成长"),4))/(VLOOKUP(BM$72,INDIRECT($C$5&amp;"生成成长"),5))*(VLOOKUP($B$5,标准坦克设计!$B$24:$U$30,MATCH("对"&amp;LEFT($C$5,2)&amp;"输出",标准坦克设计!$B$23:$U$23,0)))*(VLOOKUP($B164,INDIRECT($B$5&amp;"生成成长"),3))*(VLOOKUP($B$5,标准坦克设计!$B$14:$K$20,9)/30))</f>
        <v>5.1424910660722238</v>
      </c>
      <c r="BN164" s="173">
        <f ca="1">(VLOOKUP(BN$72,INDIRECT($C$5&amp;"生成成长"),2))/((VLOOKUP($B164,INDIRECT($B$5&amp;"生成成长"),4))/(VLOOKUP(BN$72,INDIRECT($C$5&amp;"生成成长"),5))*(VLOOKUP($B$5,标准坦克设计!$B$24:$U$30,MATCH("对"&amp;LEFT($C$5,2)&amp;"输出",标准坦克设计!$B$23:$U$23,0)))*(VLOOKUP($B164,INDIRECT($B$5&amp;"生成成长"),3))*(VLOOKUP($B$5,标准坦克设计!$B$14:$K$20,9)/30))</f>
        <v>5.6385417790874408</v>
      </c>
      <c r="BO164" s="173">
        <f ca="1">(VLOOKUP(BO$72,INDIRECT($C$5&amp;"生成成长"),2))/((VLOOKUP($B164,INDIRECT($B$5&amp;"生成成长"),4))/(VLOOKUP(BO$72,INDIRECT($C$5&amp;"生成成长"),5))*(VLOOKUP($B$5,标准坦克设计!$B$24:$U$30,MATCH("对"&amp;LEFT($C$5,2)&amp;"输出",标准坦克设计!$B$23:$U$23,0)))*(VLOOKUP($B164,INDIRECT($B$5&amp;"生成成长"),3))*(VLOOKUP($B$5,标准坦克设计!$B$14:$K$20,9)/30))</f>
        <v>6.1574285863079634</v>
      </c>
      <c r="BP164" s="173">
        <f ca="1">(VLOOKUP(BP$72,INDIRECT($C$5&amp;"生成成长"),2))/((VLOOKUP($B164,INDIRECT($B$5&amp;"生成成长"),4))/(VLOOKUP(BP$72,INDIRECT($C$5&amp;"生成成长"),5))*(VLOOKUP($B$5,标准坦克设计!$B$24:$U$30,MATCH("对"&amp;LEFT($C$5,2)&amp;"输出",标准坦克设计!$B$23:$U$23,0)))*(VLOOKUP($B164,INDIRECT($B$5&amp;"生成成长"),3))*(VLOOKUP($B$5,标准坦克设计!$B$14:$K$20,9)/30))</f>
        <v>6.699151487733789</v>
      </c>
      <c r="BQ164" s="173">
        <f ca="1">(VLOOKUP(BQ$72,INDIRECT($C$5&amp;"生成成长"),2))/((VLOOKUP($B164,INDIRECT($B$5&amp;"生成成长"),4))/(VLOOKUP(BQ$72,INDIRECT($C$5&amp;"生成成长"),5))*(VLOOKUP($B$5,标准坦克设计!$B$24:$U$30,MATCH("对"&amp;LEFT($C$5,2)&amp;"输出",标准坦克设计!$B$23:$U$23,0)))*(VLOOKUP($B164,INDIRECT($B$5&amp;"生成成长"),3))*(VLOOKUP($B$5,标准坦克设计!$B$14:$K$20,9)/30))</f>
        <v>7.2637104833649175</v>
      </c>
      <c r="BR164" s="173">
        <f ca="1">(VLOOKUP(BR$72,INDIRECT($C$5&amp;"生成成长"),2))/((VLOOKUP($B164,INDIRECT($B$5&amp;"生成成长"),4))/(VLOOKUP(BR$72,INDIRECT($C$5&amp;"生成成长"),5))*(VLOOKUP($B$5,标准坦克设计!$B$24:$U$30,MATCH("对"&amp;LEFT($C$5,2)&amp;"输出",标准坦克设计!$B$23:$U$23,0)))*(VLOOKUP($B164,INDIRECT($B$5&amp;"生成成长"),3))*(VLOOKUP($B$5,标准坦克设计!$B$14:$K$20,9)/30))</f>
        <v>7.9177813297390616</v>
      </c>
      <c r="BS164" s="173">
        <f ca="1">(VLOOKUP(BS$72,INDIRECT($C$5&amp;"生成成长"),2))/((VLOOKUP($B164,INDIRECT($B$5&amp;"生成成长"),4))/(VLOOKUP(BS$72,INDIRECT($C$5&amp;"生成成长"),5))*(VLOOKUP($B$5,标准坦克设计!$B$24:$U$30,MATCH("对"&amp;LEFT($C$5,2)&amp;"输出",标准坦克设计!$B$23:$U$23,0)))*(VLOOKUP($B164,INDIRECT($B$5&amp;"生成成长"),3))*(VLOOKUP($B$5,标准坦克设计!$B$14:$K$20,9)/30))</f>
        <v>8.6000448850086411</v>
      </c>
      <c r="BT164" s="173">
        <f ca="1">(VLOOKUP(BT$72,INDIRECT($C$5&amp;"生成成长"),2))/((VLOOKUP($B164,INDIRECT($B$5&amp;"生成成长"),4))/(VLOOKUP(BT$72,INDIRECT($C$5&amp;"生成成长"),5))*(VLOOKUP($B$5,标准坦克设计!$B$24:$U$30,MATCH("对"&amp;LEFT($C$5,2)&amp;"输出",标准坦克设计!$B$23:$U$23,0)))*(VLOOKUP($B164,INDIRECT($B$5&amp;"生成成长"),3))*(VLOOKUP($B$5,标准坦克设计!$B$14:$K$20,9)/30))</f>
        <v>9.3105011491736587</v>
      </c>
      <c r="BU164" s="173">
        <f ca="1">(VLOOKUP(BU$72,INDIRECT($C$5&amp;"生成成长"),2))/((VLOOKUP($B164,INDIRECT($B$5&amp;"生成成长"),4))/(VLOOKUP(BU$72,INDIRECT($C$5&amp;"生成成长"),5))*(VLOOKUP($B$5,标准坦克设计!$B$24:$U$30,MATCH("对"&amp;LEFT($C$5,2)&amp;"输出",标准坦克设计!$B$23:$U$23,0)))*(VLOOKUP($B164,INDIRECT($B$5&amp;"生成成长"),3))*(VLOOKUP($B$5,标准坦克设计!$B$14:$K$20,9)/30))</f>
        <v>10.049150122234114</v>
      </c>
      <c r="BV164" s="173">
        <f ca="1">(VLOOKUP(BV$72,INDIRECT($C$5&amp;"生成成长"),2))/((VLOOKUP($B164,INDIRECT($B$5&amp;"生成成长"),4))/(VLOOKUP(BV$72,INDIRECT($C$5&amp;"生成成长"),5))*(VLOOKUP($B$5,标准坦克设计!$B$24:$U$30,MATCH("对"&amp;LEFT($C$5,2)&amp;"输出",标准坦克设计!$B$23:$U$23,0)))*(VLOOKUP($B164,INDIRECT($B$5&amp;"生成成长"),3))*(VLOOKUP($B$5,标准坦克设计!$B$14:$K$20,9)/30))</f>
        <v>10.815991804190006</v>
      </c>
      <c r="BW164" s="173">
        <f ca="1">(VLOOKUP(BW$72,INDIRECT($C$5&amp;"生成成长"),2))/((VLOOKUP($B164,INDIRECT($B$5&amp;"生成成长"),4))/(VLOOKUP(BW$72,INDIRECT($C$5&amp;"生成成长"),5))*(VLOOKUP($B$5,标准坦克设计!$B$24:$U$30,MATCH("对"&amp;LEFT($C$5,2)&amp;"输出",标准坦克设计!$B$23:$U$23,0)))*(VLOOKUP($B164,INDIRECT($B$5&amp;"生成成长"),3))*(VLOOKUP($B$5,标准坦克设计!$B$14:$K$20,9)/30))</f>
        <v>4.9293541868227173</v>
      </c>
      <c r="BX164" s="173">
        <f ca="1">(VLOOKUP(BX$72,INDIRECT($C$5&amp;"生成成长"),2))/((VLOOKUP($B164,INDIRECT($B$5&amp;"生成成长"),4))/(VLOOKUP(BX$72,INDIRECT($C$5&amp;"生成成长"),5))*(VLOOKUP($B$5,标准坦克设计!$B$24:$U$30,MATCH("对"&amp;LEFT($C$5,2)&amp;"输出",标准坦克设计!$B$23:$U$23,0)))*(VLOOKUP($B164,INDIRECT($B$5&amp;"生成成长"),3))*(VLOOKUP($B$5,标准坦克设计!$B$14:$K$20,9)/30))</f>
        <v>5.4706541976151115</v>
      </c>
      <c r="BY164" s="173">
        <f ca="1">(VLOOKUP(BY$72,INDIRECT($C$5&amp;"生成成长"),2))/((VLOOKUP($B164,INDIRECT($B$5&amp;"生成成长"),4))/(VLOOKUP(BY$72,INDIRECT($C$5&amp;"生成成长"),5))*(VLOOKUP($B$5,标准坦克设计!$B$24:$U$30,MATCH("对"&amp;LEFT($C$5,2)&amp;"输出",标准坦克设计!$B$23:$U$23,0)))*(VLOOKUP($B164,INDIRECT($B$5&amp;"生成成长"),3))*(VLOOKUP($B$5,标准坦克设计!$B$14:$K$20,9)/30))</f>
        <v>6.0401469173029447</v>
      </c>
      <c r="BZ164" s="173">
        <f ca="1">(VLOOKUP(BZ$72,INDIRECT($C$5&amp;"生成成长"),2))/((VLOOKUP($B164,INDIRECT($B$5&amp;"生成成长"),4))/(VLOOKUP(BZ$72,INDIRECT($C$5&amp;"生成成长"),5))*(VLOOKUP($B$5,标准坦克设计!$B$24:$U$30,MATCH("对"&amp;LEFT($C$5,2)&amp;"输出",标准坦克设计!$B$23:$U$23,0)))*(VLOOKUP($B164,INDIRECT($B$5&amp;"生成成长"),3))*(VLOOKUP($B$5,标准坦克设计!$B$14:$K$20,9)/30))</f>
        <v>6.6378323458862116</v>
      </c>
      <c r="CA164" s="173">
        <f ca="1">(VLOOKUP(CA$72,INDIRECT($C$5&amp;"生成成长"),2))/((VLOOKUP($B164,INDIRECT($B$5&amp;"生成成长"),4))/(VLOOKUP(CA$72,INDIRECT($C$5&amp;"生成成长"),5))*(VLOOKUP($B$5,标准坦克设计!$B$24:$U$30,MATCH("对"&amp;LEFT($C$5,2)&amp;"输出",标准坦克设计!$B$23:$U$23,0)))*(VLOOKUP($B164,INDIRECT($B$5&amp;"生成成长"),3))*(VLOOKUP($B$5,标准坦克设计!$B$14:$K$20,9)/30))</f>
        <v>7.2637104833649175</v>
      </c>
      <c r="CB164" s="173">
        <f ca="1">(VLOOKUP(CB$72,INDIRECT($C$5&amp;"生成成长"),2))/((VLOOKUP($B164,INDIRECT($B$5&amp;"生成成长"),4))/(VLOOKUP(CB$72,INDIRECT($C$5&amp;"生成成长"),5))*(VLOOKUP($B$5,标准坦克设计!$B$24:$U$30,MATCH("对"&amp;LEFT($C$5,2)&amp;"输出",标准坦克设计!$B$23:$U$23,0)))*(VLOOKUP($B164,INDIRECT($B$5&amp;"生成成长"),3))*(VLOOKUP($B$5,标准坦克设计!$B$14:$K$20,9)/30))</f>
        <v>7.9177813297390616</v>
      </c>
      <c r="CC164" s="173">
        <f ca="1">(VLOOKUP(CC$72,INDIRECT($C$5&amp;"生成成长"),2))/((VLOOKUP($B164,INDIRECT($B$5&amp;"生成成长"),4))/(VLOOKUP(CC$72,INDIRECT($C$5&amp;"生成成长"),5))*(VLOOKUP($B$5,标准坦克设计!$B$24:$U$30,MATCH("对"&amp;LEFT($C$5,2)&amp;"输出",标准坦克设计!$B$23:$U$23,0)))*(VLOOKUP($B164,INDIRECT($B$5&amp;"生成成长"),3))*(VLOOKUP($B$5,标准坦克设计!$B$14:$K$20,9)/30))</f>
        <v>8.6000448850086411</v>
      </c>
      <c r="CD164" s="173">
        <f ca="1">(VLOOKUP(CD$72,INDIRECT($C$5&amp;"生成成长"),2))/((VLOOKUP($B164,INDIRECT($B$5&amp;"生成成长"),4))/(VLOOKUP(CD$72,INDIRECT($C$5&amp;"生成成长"),5))*(VLOOKUP($B$5,标准坦克设计!$B$24:$U$30,MATCH("对"&amp;LEFT($C$5,2)&amp;"输出",标准坦克设计!$B$23:$U$23,0)))*(VLOOKUP($B164,INDIRECT($B$5&amp;"生成成长"),3))*(VLOOKUP($B$5,标准坦克设计!$B$14:$K$20,9)/30))</f>
        <v>9.3105011491736587</v>
      </c>
      <c r="CE164" s="173">
        <f ca="1">(VLOOKUP(CE$72,INDIRECT($C$5&amp;"生成成长"),2))/((VLOOKUP($B164,INDIRECT($B$5&amp;"生成成长"),4))/(VLOOKUP(CE$72,INDIRECT($C$5&amp;"生成成长"),5))*(VLOOKUP($B$5,标准坦克设计!$B$24:$U$30,MATCH("对"&amp;LEFT($C$5,2)&amp;"输出",标准坦克设计!$B$23:$U$23,0)))*(VLOOKUP($B164,INDIRECT($B$5&amp;"生成成长"),3))*(VLOOKUP($B$5,标准坦克设计!$B$14:$K$20,9)/30))</f>
        <v>10.049150122234114</v>
      </c>
      <c r="CF164" s="173">
        <f ca="1">(VLOOKUP(CF$72,INDIRECT($C$5&amp;"生成成长"),2))/((VLOOKUP($B164,INDIRECT($B$5&amp;"生成成长"),4))/(VLOOKUP(CF$72,INDIRECT($C$5&amp;"生成成长"),5))*(VLOOKUP($B$5,标准坦克设计!$B$24:$U$30,MATCH("对"&amp;LEFT($C$5,2)&amp;"输出",标准坦克设计!$B$23:$U$23,0)))*(VLOOKUP($B164,INDIRECT($B$5&amp;"生成成长"),3))*(VLOOKUP($B$5,标准坦克设计!$B$14:$K$20,9)/30))</f>
        <v>10.815991804190006</v>
      </c>
      <c r="CG164" s="173">
        <f ca="1">(VLOOKUP(CG$72,INDIRECT($C$5&amp;"生成成长"),2))/((VLOOKUP($B164,INDIRECT($B$5&amp;"生成成长"),4))/(VLOOKUP(CG$72,INDIRECT($C$5&amp;"生成成长"),5))*(VLOOKUP($B$5,标准坦克设计!$B$24:$U$30,MATCH("对"&amp;LEFT($C$5,2)&amp;"输出",标准坦克设计!$B$23:$U$23,0)))*(VLOOKUP($B164,INDIRECT($B$5&amp;"生成成长"),3))*(VLOOKUP($B$5,标准坦克设计!$B$14:$K$20,9)/30))</f>
        <v>11.611026195041333</v>
      </c>
      <c r="CH164" s="173">
        <f ca="1">(VLOOKUP(CH$72,INDIRECT($C$5&amp;"生成成长"),2))/((VLOOKUP($B164,INDIRECT($B$5&amp;"生成成长"),4))/(VLOOKUP(CH$72,INDIRECT($C$5&amp;"生成成长"),5))*(VLOOKUP($B$5,标准坦克设计!$B$24:$U$30,MATCH("对"&amp;LEFT($C$5,2)&amp;"输出",标准坦克设计!$B$23:$U$23,0)))*(VLOOKUP($B164,INDIRECT($B$5&amp;"生成成长"),3))*(VLOOKUP($B$5,标准坦克设计!$B$14:$K$20,9)/30))</f>
        <v>12.434253294788101</v>
      </c>
      <c r="CI164" s="173">
        <f ca="1">(VLOOKUP(CI$72,INDIRECT($C$5&amp;"生成成长"),2))/((VLOOKUP($B164,INDIRECT($B$5&amp;"生成成长"),4))/(VLOOKUP(CI$72,INDIRECT($C$5&amp;"生成成长"),5))*(VLOOKUP($B$5,标准坦克设计!$B$24:$U$30,MATCH("对"&amp;LEFT($C$5,2)&amp;"输出",标准坦克设计!$B$23:$U$23,0)))*(VLOOKUP($B164,INDIRECT($B$5&amp;"生成成长"),3))*(VLOOKUP($B$5,标准坦克设计!$B$14:$K$20,9)/30))</f>
        <v>13.372365683283773</v>
      </c>
      <c r="CJ164" s="173">
        <f ca="1">(VLOOKUP(CJ$72,INDIRECT($C$5&amp;"生成成长"),2))/((VLOOKUP($B164,INDIRECT($B$5&amp;"生成成长"),4))/(VLOOKUP(CJ$72,INDIRECT($C$5&amp;"生成成长"),5))*(VLOOKUP($B$5,标准坦克设计!$B$24:$U$30,MATCH("对"&amp;LEFT($C$5,2)&amp;"输出",标准坦克设计!$B$23:$U$23,0)))*(VLOOKUP($B164,INDIRECT($B$5&amp;"生成成长"),3))*(VLOOKUP($B$5,标准坦克设计!$B$14:$K$20,9)/30))</f>
        <v>14.344591249542924</v>
      </c>
      <c r="CK164" s="173">
        <f ca="1">(VLOOKUP(CK$72,INDIRECT($C$5&amp;"生成成长"),2))/((VLOOKUP($B164,INDIRECT($B$5&amp;"生成成长"),4))/(VLOOKUP(CK$72,INDIRECT($C$5&amp;"生成成长"),5))*(VLOOKUP($B$5,标准坦克设计!$B$24:$U$30,MATCH("对"&amp;LEFT($C$5,2)&amp;"输出",标准坦克设计!$B$23:$U$23,0)))*(VLOOKUP($B164,INDIRECT($B$5&amp;"生成成长"),3))*(VLOOKUP($B$5,标准坦克设计!$B$14:$K$20,9)/30))</f>
        <v>15.350929993565556</v>
      </c>
      <c r="CL164" s="173">
        <f ca="1">(VLOOKUP(CL$72,INDIRECT($C$5&amp;"生成成长"),2))/((VLOOKUP($B164,INDIRECT($B$5&amp;"生成成长"),4))/(VLOOKUP(CL$72,INDIRECT($C$5&amp;"生成成长"),5))*(VLOOKUP($B$5,标准坦克设计!$B$24:$U$30,MATCH("对"&amp;LEFT($C$5,2)&amp;"输出",标准坦克设计!$B$23:$U$23,0)))*(VLOOKUP($B164,INDIRECT($B$5&amp;"生成成长"),3))*(VLOOKUP($B$5,标准坦克设计!$B$14:$K$20,9)/30))</f>
        <v>16.391381915351666</v>
      </c>
      <c r="CM164" s="173">
        <f ca="1">(VLOOKUP(CM$72,INDIRECT($C$5&amp;"生成成长"),2))/((VLOOKUP($B164,INDIRECT($B$5&amp;"生成成长"),4))/(VLOOKUP(CM$72,INDIRECT($C$5&amp;"生成成长"),5))*(VLOOKUP($B$5,标准坦克设计!$B$24:$U$30,MATCH("对"&amp;LEFT($C$5,2)&amp;"输出",标准坦克设计!$B$23:$U$23,0)))*(VLOOKUP($B164,INDIRECT($B$5&amp;"生成成长"),3))*(VLOOKUP($B$5,标准坦克设计!$B$14:$K$20,9)/30))</f>
        <v>17.465947014901257</v>
      </c>
      <c r="CN164" s="173">
        <f ca="1">(VLOOKUP(CN$72,INDIRECT($C$5&amp;"生成成长"),2))/((VLOOKUP($B164,INDIRECT($B$5&amp;"生成成长"),4))/(VLOOKUP(CN$72,INDIRECT($C$5&amp;"生成成长"),5))*(VLOOKUP($B$5,标准坦克设计!$B$24:$U$30,MATCH("对"&amp;LEFT($C$5,2)&amp;"输出",标准坦克设计!$B$23:$U$23,0)))*(VLOOKUP($B164,INDIRECT($B$5&amp;"生成成长"),3))*(VLOOKUP($B$5,标准坦克设计!$B$14:$K$20,9)/30))</f>
        <v>18.574625292214325</v>
      </c>
      <c r="CO164" s="173">
        <f ca="1">(VLOOKUP(CO$72,INDIRECT($C$5&amp;"生成成长"),2))/((VLOOKUP($B164,INDIRECT($B$5&amp;"生成成长"),4))/(VLOOKUP(CO$72,INDIRECT($C$5&amp;"生成成长"),5))*(VLOOKUP($B$5,标准坦克设计!$B$24:$U$30,MATCH("对"&amp;LEFT($C$5,2)&amp;"输出",标准坦克设计!$B$23:$U$23,0)))*(VLOOKUP($B164,INDIRECT($B$5&amp;"生成成长"),3))*(VLOOKUP($B$5,标准坦克设计!$B$14:$K$20,9)/30))</f>
        <v>8.323756337833359</v>
      </c>
      <c r="CP164" s="173">
        <f ca="1">(VLOOKUP(CP$72,INDIRECT($C$5&amp;"生成成长"),2))/((VLOOKUP($B164,INDIRECT($B$5&amp;"生成成长"),4))/(VLOOKUP(CP$72,INDIRECT($C$5&amp;"生成成长"),5))*(VLOOKUP($B$5,标准坦克设计!$B$24:$U$30,MATCH("对"&amp;LEFT($C$5,2)&amp;"输出",标准坦克设计!$B$23:$U$23,0)))*(VLOOKUP($B164,INDIRECT($B$5&amp;"生成成长"),3))*(VLOOKUP($B$5,标准坦克设计!$B$14:$K$20,9)/30))</f>
        <v>9.0944040354901325</v>
      </c>
      <c r="CQ164" s="173">
        <f ca="1">(VLOOKUP(CQ$72,INDIRECT($C$5&amp;"生成成长"),2))/((VLOOKUP($B164,INDIRECT($B$5&amp;"生成成长"),4))/(VLOOKUP(CQ$72,INDIRECT($C$5&amp;"生成成长"),5))*(VLOOKUP($B$5,标准坦克设计!$B$24:$U$30,MATCH("对"&amp;LEFT($C$5,2)&amp;"输出",标准坦克设计!$B$23:$U$23,0)))*(VLOOKUP($B164,INDIRECT($B$5&amp;"生成成长"),3))*(VLOOKUP($B$5,标准坦克设计!$B$14:$K$20,9)/30))</f>
        <v>9.8991649109103879</v>
      </c>
      <c r="CR164" s="173">
        <f ca="1">(VLOOKUP(CR$72,INDIRECT($C$5&amp;"生成成长"),2))/((VLOOKUP($B164,INDIRECT($B$5&amp;"生成成长"),4))/(VLOOKUP(CR$72,INDIRECT($C$5&amp;"生成成长"),5))*(VLOOKUP($B$5,标准坦克设计!$B$24:$U$30,MATCH("对"&amp;LEFT($C$5,2)&amp;"输出",标准坦克设计!$B$23:$U$23,0)))*(VLOOKUP($B164,INDIRECT($B$5&amp;"生成成长"),3))*(VLOOKUP($B$5,标准坦克设计!$B$14:$K$20,9)/30))</f>
        <v>10.738038964094123</v>
      </c>
      <c r="CS164" s="173">
        <f ca="1">(VLOOKUP(CS$72,INDIRECT($C$5&amp;"生成成长"),2))/((VLOOKUP($B164,INDIRECT($B$5&amp;"生成成长"),4))/(VLOOKUP(CS$72,INDIRECT($C$5&amp;"生成成长"),5))*(VLOOKUP($B$5,标准坦克设计!$B$24:$U$30,MATCH("对"&amp;LEFT($C$5,2)&amp;"输出",标准坦克设计!$B$23:$U$23,0)))*(VLOOKUP($B164,INDIRECT($B$5&amp;"生成成长"),3))*(VLOOKUP($B$5,标准坦克设计!$B$14:$K$20,9)/30))</f>
        <v>11.611026195041333</v>
      </c>
      <c r="CT164" s="173">
        <f ca="1">(VLOOKUP(CT$72,INDIRECT($C$5&amp;"生成成长"),2))/((VLOOKUP($B164,INDIRECT($B$5&amp;"生成成长"),4))/(VLOOKUP(CT$72,INDIRECT($C$5&amp;"生成成长"),5))*(VLOOKUP($B$5,标准坦克设计!$B$24:$U$30,MATCH("对"&amp;LEFT($C$5,2)&amp;"输出",标准坦克设计!$B$23:$U$23,0)))*(VLOOKUP($B164,INDIRECT($B$5&amp;"生成成长"),3))*(VLOOKUP($B$5,标准坦克设计!$B$14:$K$20,9)/30))</f>
        <v>12.518126603752025</v>
      </c>
      <c r="CU164" s="173">
        <f ca="1">(VLOOKUP(CU$72,INDIRECT($C$5&amp;"生成成长"),2))/((VLOOKUP($B164,INDIRECT($B$5&amp;"生成成长"),4))/(VLOOKUP(CU$72,INDIRECT($C$5&amp;"生成成长"),5))*(VLOOKUP($B$5,标准坦克设计!$B$24:$U$30,MATCH("对"&amp;LEFT($C$5,2)&amp;"输出",标准坦克设计!$B$23:$U$23,0)))*(VLOOKUP($B164,INDIRECT($B$5&amp;"生成成长"),3))*(VLOOKUP($B$5,标准坦克设计!$B$14:$K$20,9)/30))</f>
        <v>13.4593401902262</v>
      </c>
      <c r="CV164" s="173">
        <f ca="1">(VLOOKUP(CV$72,INDIRECT($C$5&amp;"生成成长"),2))/((VLOOKUP($B164,INDIRECT($B$5&amp;"生成成长"),4))/(VLOOKUP(CV$72,INDIRECT($C$5&amp;"生成成长"),5))*(VLOOKUP($B$5,标准坦克设计!$B$24:$U$30,MATCH("对"&amp;LEFT($C$5,2)&amp;"输出",标准坦克设计!$B$23:$U$23,0)))*(VLOOKUP($B164,INDIRECT($B$5&amp;"生成成长"),3))*(VLOOKUP($B$5,标准坦克设计!$B$14:$K$20,9)/30))</f>
        <v>14.43466695446385</v>
      </c>
      <c r="CW164" s="173">
        <f ca="1">(VLOOKUP(CW$72,INDIRECT($C$5&amp;"生成成长"),2))/((VLOOKUP($B164,INDIRECT($B$5&amp;"生成成长"),4))/(VLOOKUP(CW$72,INDIRECT($C$5&amp;"生成成长"),5))*(VLOOKUP($B$5,标准坦克设计!$B$24:$U$30,MATCH("对"&amp;LEFT($C$5,2)&amp;"输出",标准坦克设计!$B$23:$U$23,0)))*(VLOOKUP($B164,INDIRECT($B$5&amp;"生成成长"),3))*(VLOOKUP($B$5,标准坦克设计!$B$14:$K$20,9)/30))</f>
        <v>15.444106896464977</v>
      </c>
      <c r="CX164" s="173">
        <f ca="1">(VLOOKUP(CX$72,INDIRECT($C$5&amp;"生成成长"),2))/((VLOOKUP($B164,INDIRECT($B$5&amp;"生成成长"),4))/(VLOOKUP(CX$72,INDIRECT($C$5&amp;"生成成长"),5))*(VLOOKUP($B$5,标准坦克设计!$B$24:$U$30,MATCH("对"&amp;LEFT($C$5,2)&amp;"输出",标准坦克设计!$B$23:$U$23,0)))*(VLOOKUP($B164,INDIRECT($B$5&amp;"生成成长"),3))*(VLOOKUP($B$5,标准坦克设计!$B$14:$K$20,9)/30))</f>
        <v>16.487660016229583</v>
      </c>
      <c r="CY164" s="173">
        <f ca="1">(VLOOKUP(CY$72,INDIRECT($C$5&amp;"生成成长"),2))/((VLOOKUP($B164,INDIRECT($B$5&amp;"生成成长"),4))/(VLOOKUP(CY$72,INDIRECT($C$5&amp;"生成成长"),5))*(VLOOKUP($B$5,标准坦克设计!$B$24:$U$30,MATCH("对"&amp;LEFT($C$5,2)&amp;"输出",标准坦克设计!$B$23:$U$23,0)))*(VLOOKUP($B164,INDIRECT($B$5&amp;"生成成长"),3))*(VLOOKUP($B$5,标准坦克设计!$B$14:$K$20,9)/30))</f>
        <v>17.565326313757669</v>
      </c>
      <c r="CZ164" s="173">
        <f ca="1">(VLOOKUP(CZ$72,INDIRECT($C$5&amp;"生成成长"),2))/((VLOOKUP($B164,INDIRECT($B$5&amp;"生成成长"),4))/(VLOOKUP(CZ$72,INDIRECT($C$5&amp;"生成成长"),5))*(VLOOKUP($B$5,标准坦克设计!$B$24:$U$30,MATCH("对"&amp;LEFT($C$5,2)&amp;"输出",标准坦克设计!$B$23:$U$23,0)))*(VLOOKUP($B164,INDIRECT($B$5&amp;"生成成长"),3))*(VLOOKUP($B$5,标准坦克设计!$B$14:$K$20,9)/30))</f>
        <v>18.677105789049239</v>
      </c>
      <c r="DA164" s="173">
        <f ca="1">(VLOOKUP(DA$72,INDIRECT($C$5&amp;"生成成长"),2))/((VLOOKUP($B164,INDIRECT($B$5&amp;"生成成长"),4))/(VLOOKUP(DA$72,INDIRECT($C$5&amp;"生成成长"),5))*(VLOOKUP($B$5,标准坦克设计!$B$24:$U$30,MATCH("对"&amp;LEFT($C$5,2)&amp;"输出",标准坦克设计!$B$23:$U$23,0)))*(VLOOKUP($B164,INDIRECT($B$5&amp;"生成成长"),3))*(VLOOKUP($B$5,标准坦克设计!$B$14:$K$20,9)/30))</f>
        <v>19.822998442104282</v>
      </c>
      <c r="DB164" s="173">
        <f ca="1">(VLOOKUP(DB$72,INDIRECT($C$5&amp;"生成成长"),2))/((VLOOKUP($B164,INDIRECT($B$5&amp;"生成成长"),4))/(VLOOKUP(DB$72,INDIRECT($C$5&amp;"生成成长"),5))*(VLOOKUP($B$5,标准坦克设计!$B$24:$U$30,MATCH("对"&amp;LEFT($C$5,2)&amp;"输出",标准坦克设计!$B$23:$U$23,0)))*(VLOOKUP($B164,INDIRECT($B$5&amp;"生成成长"),3))*(VLOOKUP($B$5,标准坦克设计!$B$14:$K$20,9)/30))</f>
        <v>21.003004272922809</v>
      </c>
      <c r="DC164" s="173">
        <f ca="1">(VLOOKUP(DC$72,INDIRECT($C$5&amp;"生成成长"),2))/((VLOOKUP($B164,INDIRECT($B$5&amp;"生成成长"),4))/(VLOOKUP(DC$72,INDIRECT($C$5&amp;"生成成长"),5))*(VLOOKUP($B$5,标准坦克设计!$B$24:$U$30,MATCH("对"&amp;LEFT($C$5,2)&amp;"输出",标准坦克设计!$B$23:$U$23,0)))*(VLOOKUP($B164,INDIRECT($B$5&amp;"生成成长"),3))*(VLOOKUP($B$5,标准坦克设计!$B$14:$K$20,9)/30))</f>
        <v>22.329189299364177</v>
      </c>
      <c r="DD164" s="173">
        <f ca="1">(VLOOKUP(DD$72,INDIRECT($C$5&amp;"生成成长"),2))/((VLOOKUP($B164,INDIRECT($B$5&amp;"生成成长"),4))/(VLOOKUP(DD$72,INDIRECT($C$5&amp;"生成成长"),5))*(VLOOKUP($B$5,标准坦克设计!$B$24:$U$30,MATCH("对"&amp;LEFT($C$5,2)&amp;"输出",标准坦克设计!$B$23:$U$23,0)))*(VLOOKUP($B164,INDIRECT($B$5&amp;"生成成长"),3))*(VLOOKUP($B$5,标准坦克设计!$B$14:$K$20,9)/30))</f>
        <v>23.695971826614969</v>
      </c>
      <c r="DE164" s="173">
        <f ca="1">(VLOOKUP(DE$72,INDIRECT($C$5&amp;"生成成长"),2))/((VLOOKUP($B164,INDIRECT($B$5&amp;"生成成长"),4))/(VLOOKUP(DE$72,INDIRECT($C$5&amp;"生成成长"),5))*(VLOOKUP($B$5,标准坦克设计!$B$24:$U$30,MATCH("对"&amp;LEFT($C$5,2)&amp;"输出",标准坦克设计!$B$23:$U$23,0)))*(VLOOKUP($B164,INDIRECT($B$5&amp;"生成成长"),3))*(VLOOKUP($B$5,标准坦克设计!$B$14:$K$20,9)/30))</f>
        <v>25.103351854675196</v>
      </c>
      <c r="DF164" s="173">
        <f ca="1">(VLOOKUP(DF$72,INDIRECT($C$5&amp;"生成成长"),2))/((VLOOKUP($B164,INDIRECT($B$5&amp;"生成成长"),4))/(VLOOKUP(DF$72,INDIRECT($C$5&amp;"生成成长"),5))*(VLOOKUP($B$5,标准坦克设计!$B$24:$U$30,MATCH("对"&amp;LEFT($C$5,2)&amp;"输出",标准坦克设计!$B$23:$U$23,0)))*(VLOOKUP($B164,INDIRECT($B$5&amp;"生成成长"),3))*(VLOOKUP($B$5,标准坦克设计!$B$14:$K$20,9)/30))</f>
        <v>26.551329383544847</v>
      </c>
      <c r="DG164" s="173">
        <f ca="1">(VLOOKUP(DG$72,INDIRECT($C$5&amp;"生成成长"),2))/((VLOOKUP($B164,INDIRECT($B$5&amp;"生成成长"),4))/(VLOOKUP(DG$72,INDIRECT($C$5&amp;"生成成长"),5))*(VLOOKUP($B$5,标准坦克设计!$B$24:$U$30,MATCH("对"&amp;LEFT($C$5,2)&amp;"输出",标准坦克设计!$B$23:$U$23,0)))*(VLOOKUP($B164,INDIRECT($B$5&amp;"生成成长"),3))*(VLOOKUP($B$5,标准坦克设计!$B$14:$K$20,9)/30))</f>
        <v>28.039904413223937</v>
      </c>
      <c r="DH164" s="173">
        <f ca="1">(VLOOKUP(DH$72,INDIRECT($C$5&amp;"生成成长"),2))/((VLOOKUP($B164,INDIRECT($B$5&amp;"生成成长"),4))/(VLOOKUP(DH$72,INDIRECT($C$5&amp;"生成成长"),5))*(VLOOKUP($B$5,标准坦克设计!$B$24:$U$30,MATCH("对"&amp;LEFT($C$5,2)&amp;"输出",标准坦克设计!$B$23:$U$23,0)))*(VLOOKUP($B164,INDIRECT($B$5&amp;"生成成长"),3))*(VLOOKUP($B$5,标准坦克设计!$B$14:$K$20,9)/30))</f>
        <v>29.569076943712453</v>
      </c>
      <c r="DI164" s="173">
        <f ca="1">(VLOOKUP(DI$72,INDIRECT($C$5&amp;"生成成长"),2))/((VLOOKUP($B164,INDIRECT($B$5&amp;"生成成长"),4))/(VLOOKUP(DI$72,INDIRECT($C$5&amp;"生成成长"),5))*(VLOOKUP($B$5,标准坦克设计!$B$24:$U$30,MATCH("对"&amp;LEFT($C$5,2)&amp;"输出",标准坦克设计!$B$23:$U$23,0)))*(VLOOKUP($B164,INDIRECT($B$5&amp;"生成成长"),3))*(VLOOKUP($B$5,标准坦克设计!$B$14:$K$20,9)/30))</f>
        <v>31.138846975010395</v>
      </c>
      <c r="DJ164" s="173">
        <f ca="1">(VLOOKUP(DJ$72,INDIRECT($C$5&amp;"生成成长"),2))/((VLOOKUP($B164,INDIRECT($B$5&amp;"生成成长"),4))/(VLOOKUP(DJ$72,INDIRECT($C$5&amp;"生成成长"),5))*(VLOOKUP($B$5,标准坦克设计!$B$24:$U$30,MATCH("对"&amp;LEFT($C$5,2)&amp;"输出",标准坦克设计!$B$23:$U$23,0)))*(VLOOKUP($B164,INDIRECT($B$5&amp;"生成成长"),3))*(VLOOKUP($B$5,标准坦克设计!$B$14:$K$20,9)/30))</f>
        <v>3.1295316509380062</v>
      </c>
      <c r="DK164" s="173">
        <f ca="1">(VLOOKUP(DK$72,INDIRECT($C$5&amp;"生成成长"),2))/((VLOOKUP($B164,INDIRECT($B$5&amp;"生成成长"),4))/(VLOOKUP(DK$72,INDIRECT($C$5&amp;"生成成长"),5))*(VLOOKUP($B$5,标准坦克设计!$B$24:$U$30,MATCH("对"&amp;LEFT($C$5,2)&amp;"输出",标准坦克设计!$B$23:$U$23,0)))*(VLOOKUP($B164,INDIRECT($B$5&amp;"生成成长"),3))*(VLOOKUP($B$5,标准坦克设计!$B$14:$K$20,9)/30))</f>
        <v>3.5190139243284717</v>
      </c>
      <c r="DL164" s="173">
        <f ca="1">(VLOOKUP(DL$72,INDIRECT($C$5&amp;"生成成长"),2))/((VLOOKUP($B164,INDIRECT($B$5&amp;"生成成长"),4))/(VLOOKUP(DL$72,INDIRECT($C$5&amp;"生成成长"),5))*(VLOOKUP($B$5,标准坦克设计!$B$24:$U$30,MATCH("对"&amp;LEFT($C$5,2)&amp;"输出",标准坦克设计!$B$23:$U$23,0)))*(VLOOKUP($B164,INDIRECT($B$5&amp;"生成成长"),3))*(VLOOKUP($B$5,标准坦克设计!$B$14:$K$20,9)/30))</f>
        <v>3.9313322919242406</v>
      </c>
      <c r="DM164" s="173">
        <f ca="1">(VLOOKUP(DM$72,INDIRECT($C$5&amp;"生成成长"),2))/((VLOOKUP($B164,INDIRECT($B$5&amp;"生成成长"),4))/(VLOOKUP(DM$72,INDIRECT($C$5&amp;"生成成长"),5))*(VLOOKUP($B$5,标准坦克设计!$B$24:$U$30,MATCH("对"&amp;LEFT($C$5,2)&amp;"输出",标准坦克设计!$B$23:$U$23,0)))*(VLOOKUP($B164,INDIRECT($B$5&amp;"生成成长"),3))*(VLOOKUP($B$5,标准坦克设计!$B$14:$K$20,9)/30))</f>
        <v>4.3664867537253143</v>
      </c>
      <c r="DN164" s="173">
        <f ca="1">(VLOOKUP(DN$72,INDIRECT($C$5&amp;"生成成长"),2))/((VLOOKUP($B164,INDIRECT($B$5&amp;"生成成长"),4))/(VLOOKUP(DN$72,INDIRECT($C$5&amp;"生成成长"),5))*(VLOOKUP($B$5,标准坦克设计!$B$24:$U$30,MATCH("对"&amp;LEFT($C$5,2)&amp;"输出",标准坦克设计!$B$23:$U$23,0)))*(VLOOKUP($B164,INDIRECT($B$5&amp;"生成成长"),3))*(VLOOKUP($B$5,标准坦克设计!$B$14:$K$20,9)/30))</f>
        <v>4.8244773097316918</v>
      </c>
      <c r="DO164" s="173">
        <f ca="1">(VLOOKUP(DO$72,INDIRECT($C$5&amp;"生成成长"),2))/((VLOOKUP($B164,INDIRECT($B$5&amp;"生成成长"),4))/(VLOOKUP(DO$72,INDIRECT($C$5&amp;"生成成长"),5))*(VLOOKUP($B$5,标准坦克设计!$B$24:$U$30,MATCH("对"&amp;LEFT($C$5,2)&amp;"输出",标准坦克设计!$B$23:$U$23,0)))*(VLOOKUP($B164,INDIRECT($B$5&amp;"生成成长"),3))*(VLOOKUP($B$5,标准坦克设计!$B$14:$K$20,9)/30))</f>
        <v>5.3053039599433731</v>
      </c>
      <c r="DP164" s="173">
        <f ca="1">(VLOOKUP(DP$72,INDIRECT($C$5&amp;"生成成长"),2))/((VLOOKUP($B164,INDIRECT($B$5&amp;"生成成长"),4))/(VLOOKUP(DP$72,INDIRECT($C$5&amp;"生成成长"),5))*(VLOOKUP($B$5,标准坦克设计!$B$24:$U$30,MATCH("对"&amp;LEFT($C$5,2)&amp;"输出",标准坦克设计!$B$23:$U$23,0)))*(VLOOKUP($B164,INDIRECT($B$5&amp;"生成成长"),3))*(VLOOKUP($B$5,标准坦克设计!$B$14:$K$20,9)/30))</f>
        <v>5.8089667043603574</v>
      </c>
      <c r="DQ164" s="173">
        <f ca="1">(VLOOKUP(DQ$72,INDIRECT($C$5&amp;"生成成长"),2))/((VLOOKUP($B164,INDIRECT($B$5&amp;"生成成长"),4))/(VLOOKUP(DQ$72,INDIRECT($C$5&amp;"生成成长"),5))*(VLOOKUP($B$5,标准坦克设计!$B$24:$U$30,MATCH("对"&amp;LEFT($C$5,2)&amp;"输出",标准坦克设计!$B$23:$U$23,0)))*(VLOOKUP($B164,INDIRECT($B$5&amp;"生成成长"),3))*(VLOOKUP($B$5,标准坦克设计!$B$14:$K$20,9)/30))</f>
        <v>6.3354655429826483</v>
      </c>
      <c r="DR164" s="173">
        <f ca="1">(VLOOKUP(DR$72,INDIRECT($C$5&amp;"生成成长"),2))/((VLOOKUP($B164,INDIRECT($B$5&amp;"生成成长"),4))/(VLOOKUP(DR$72,INDIRECT($C$5&amp;"生成成长"),5))*(VLOOKUP($B$5,标准坦克设计!$B$24:$U$30,MATCH("对"&amp;LEFT($C$5,2)&amp;"输出",标准坦克设计!$B$23:$U$23,0)))*(VLOOKUP($B164,INDIRECT($B$5&amp;"生成成长"),3))*(VLOOKUP($B$5,标准坦克设计!$B$14:$K$20,9)/30))</f>
        <v>6.8848004758102421</v>
      </c>
      <c r="DS164" s="173">
        <f ca="1">(VLOOKUP(DS$72,INDIRECT($C$5&amp;"生成成长"),2))/((VLOOKUP($B164,INDIRECT($B$5&amp;"生成成长"),4))/(VLOOKUP(DS$72,INDIRECT($C$5&amp;"生成成长"),5))*(VLOOKUP($B$5,标准坦克设计!$B$24:$U$30,MATCH("对"&amp;LEFT($C$5,2)&amp;"输出",标准坦克设计!$B$23:$U$23,0)))*(VLOOKUP($B164,INDIRECT($B$5&amp;"生成成长"),3))*(VLOOKUP($B$5,标准坦克设计!$B$14:$K$20,9)/30))</f>
        <v>7.4569715028431398</v>
      </c>
      <c r="DT164" s="173">
        <f ca="1">(VLOOKUP(DT$72,INDIRECT($C$5&amp;"生成成长"),2))/((VLOOKUP($B164,INDIRECT($B$5&amp;"生成成长"),4))/(VLOOKUP(DT$72,INDIRECT($C$5&amp;"生成成长"),5))*(VLOOKUP($B$5,标准坦克设计!$B$24:$U$30,MATCH("对"&amp;LEFT($C$5,2)&amp;"输出",标准坦克设计!$B$23:$U$23,0)))*(VLOOKUP($B164,INDIRECT($B$5&amp;"生成成长"),3))*(VLOOKUP($B$5,标准坦克设计!$B$14:$K$20,9)/30))</f>
        <v>8.187303626779439</v>
      </c>
      <c r="DU164" s="173">
        <f ca="1">(VLOOKUP(DU$72,INDIRECT($C$5&amp;"生成成长"),2))/((VLOOKUP($B164,INDIRECT($B$5&amp;"生成成长"),4))/(VLOOKUP(DU$72,INDIRECT($C$5&amp;"生成成长"),5))*(VLOOKUP($B$5,标准坦克设计!$B$24:$U$30,MATCH("对"&amp;LEFT($C$5,2)&amp;"输出",标准坦克设计!$B$23:$U$23,0)))*(VLOOKUP($B164,INDIRECT($B$5&amp;"生成成长"),3))*(VLOOKUP($B$5,标准坦克设计!$B$14:$K$20,9)/30))</f>
        <v>8.9517489284792209</v>
      </c>
      <c r="DV164" s="173">
        <f ca="1">(VLOOKUP(DV$72,INDIRECT($C$5&amp;"生成成长"),2))/((VLOOKUP($B164,INDIRECT($B$5&amp;"生成成长"),4))/(VLOOKUP(DV$72,INDIRECT($C$5&amp;"生成成长"),5))*(VLOOKUP($B$5,标准坦克设计!$B$24:$U$30,MATCH("对"&amp;LEFT($C$5,2)&amp;"输出",标准坦克设计!$B$23:$U$23,0)))*(VLOOKUP($B164,INDIRECT($B$5&amp;"生成成长"),3))*(VLOOKUP($B$5,标准坦克设计!$B$14:$K$20,9)/30))</f>
        <v>9.7503074079424792</v>
      </c>
      <c r="DW164" s="173">
        <f ca="1">(VLOOKUP(DW$72,INDIRECT($C$5&amp;"生成成长"),2))/((VLOOKUP($B164,INDIRECT($B$5&amp;"生成成长"),4))/(VLOOKUP(DW$72,INDIRECT($C$5&amp;"生成成长"),5))*(VLOOKUP($B$5,标准坦克设计!$B$24:$U$30,MATCH("对"&amp;LEFT($C$5,2)&amp;"输出",标准坦克设计!$B$23:$U$23,0)))*(VLOOKUP($B164,INDIRECT($B$5&amp;"生成成长"),3))*(VLOOKUP($B$5,标准坦克设计!$B$14:$K$20,9)/30))</f>
        <v>10.582979065169219</v>
      </c>
      <c r="DX164" s="173">
        <f ca="1">(VLOOKUP(DX$72,INDIRECT($C$5&amp;"生成成长"),2))/((VLOOKUP($B164,INDIRECT($B$5&amp;"生成成长"),4))/(VLOOKUP(DX$72,INDIRECT($C$5&amp;"生成成长"),5))*(VLOOKUP($B$5,标准坦克设计!$B$24:$U$30,MATCH("对"&amp;LEFT($C$5,2)&amp;"输出",标准坦克设计!$B$23:$U$23,0)))*(VLOOKUP($B164,INDIRECT($B$5&amp;"生成成长"),3))*(VLOOKUP($B$5,标准坦克设计!$B$14:$K$20,9)/30))</f>
        <v>11.449763900159434</v>
      </c>
      <c r="DY164" s="173">
        <f ca="1">(VLOOKUP(DY$72,INDIRECT($C$5&amp;"生成成长"),2))/((VLOOKUP($B164,INDIRECT($B$5&amp;"生成成长"),4))/(VLOOKUP(DY$72,INDIRECT($C$5&amp;"生成成长"),5))*(VLOOKUP($B$5,标准坦克设计!$B$24:$U$30,MATCH("对"&amp;LEFT($C$5,2)&amp;"输出",标准坦克设计!$B$23:$U$23,0)))*(VLOOKUP($B164,INDIRECT($B$5&amp;"生成成长"),3))*(VLOOKUP($B$5,标准坦克设计!$B$14:$K$20,9)/30))</f>
        <v>5.1424910660722238</v>
      </c>
      <c r="DZ164" s="173">
        <f ca="1">(VLOOKUP(DZ$72,INDIRECT($C$5&amp;"生成成长"),2))/((VLOOKUP($B164,INDIRECT($B$5&amp;"生成成长"),4))/(VLOOKUP(DZ$72,INDIRECT($C$5&amp;"生成成长"),5))*(VLOOKUP($B$5,标准坦克设计!$B$24:$U$30,MATCH("对"&amp;LEFT($C$5,2)&amp;"输出",标准坦克设计!$B$23:$U$23,0)))*(VLOOKUP($B164,INDIRECT($B$5&amp;"生成成长"),3))*(VLOOKUP($B$5,标准坦克设计!$B$14:$K$20,9)/30))</f>
        <v>5.6950681604227924</v>
      </c>
      <c r="EA164" s="173">
        <f ca="1">(VLOOKUP(EA$72,INDIRECT($C$5&amp;"生成成长"),2))/((VLOOKUP($B164,INDIRECT($B$5&amp;"生成成长"),4))/(VLOOKUP(EA$72,INDIRECT($C$5&amp;"生成成长"),5))*(VLOOKUP($B$5,标准坦克设计!$B$24:$U$30,MATCH("对"&amp;LEFT($C$5,2)&amp;"输出",标准坦克设计!$B$23:$U$23,0)))*(VLOOKUP($B164,INDIRECT($B$5&amp;"生成成长"),3))*(VLOOKUP($B$5,标准坦克设计!$B$14:$K$20,9)/30))</f>
        <v>6.2758379636687991</v>
      </c>
      <c r="EB164" s="173">
        <f ca="1">(VLOOKUP(EB$72,INDIRECT($C$5&amp;"生成成长"),2))/((VLOOKUP($B164,INDIRECT($B$5&amp;"生成成长"),4))/(VLOOKUP(EB$72,INDIRECT($C$5&amp;"生成成长"),5))*(VLOOKUP($B$5,标准坦克设计!$B$24:$U$30,MATCH("对"&amp;LEFT($C$5,2)&amp;"输出",标准坦克设计!$B$23:$U$23,0)))*(VLOOKUP($B164,INDIRECT($B$5&amp;"生成成长"),3))*(VLOOKUP($B$5,标准坦克设计!$B$14:$K$20,9)/30))</f>
        <v>6.8848004758102421</v>
      </c>
      <c r="EC164" s="173">
        <f ca="1">(VLOOKUP(EC$72,INDIRECT($C$5&amp;"生成成长"),2))/((VLOOKUP($B164,INDIRECT($B$5&amp;"生成成长"),4))/(VLOOKUP(EC$72,INDIRECT($C$5&amp;"生成成长"),5))*(VLOOKUP($B$5,标准坦克设计!$B$24:$U$30,MATCH("对"&amp;LEFT($C$5,2)&amp;"输出",标准坦克设计!$B$23:$U$23,0)))*(VLOOKUP($B164,INDIRECT($B$5&amp;"生成成长"),3))*(VLOOKUP($B$5,标准坦克设计!$B$14:$K$20,9)/30))</f>
        <v>7.5219556968471224</v>
      </c>
      <c r="ED164" s="173">
        <f ca="1">(VLOOKUP(ED$72,INDIRECT($C$5&amp;"生成成长"),2))/((VLOOKUP($B164,INDIRECT($B$5&amp;"生成成长"),4))/(VLOOKUP(ED$72,INDIRECT($C$5&amp;"生成成长"),5))*(VLOOKUP($B$5,标准坦克设计!$B$24:$U$30,MATCH("对"&amp;LEFT($C$5,2)&amp;"输出",标准坦克设计!$B$23:$U$23,0)))*(VLOOKUP($B164,INDIRECT($B$5&amp;"生成成长"),3))*(VLOOKUP($B$5,标准坦克设计!$B$14:$K$20,9)/30))</f>
        <v>8.187303626779439</v>
      </c>
      <c r="EE164" s="173">
        <f ca="1">(VLOOKUP(EE$72,INDIRECT($C$5&amp;"生成成长"),2))/((VLOOKUP($B164,INDIRECT($B$5&amp;"生成成长"),4))/(VLOOKUP(EE$72,INDIRECT($C$5&amp;"生成成长"),5))*(VLOOKUP($B$5,标准坦克设计!$B$24:$U$30,MATCH("对"&amp;LEFT($C$5,2)&amp;"输出",标准坦克设计!$B$23:$U$23,0)))*(VLOOKUP($B164,INDIRECT($B$5&amp;"生成成长"),3))*(VLOOKUP($B$5,标准坦克设计!$B$14:$K$20,9)/30))</f>
        <v>8.8808442656071964</v>
      </c>
      <c r="EF164" s="173">
        <f ca="1">(VLOOKUP(EF$72,INDIRECT($C$5&amp;"生成成长"),2))/((VLOOKUP($B164,INDIRECT($B$5&amp;"生成成长"),4))/(VLOOKUP(EF$72,INDIRECT($C$5&amp;"生成成长"),5))*(VLOOKUP($B$5,标准坦克设计!$B$24:$U$30,MATCH("对"&amp;LEFT($C$5,2)&amp;"输出",标准坦克设计!$B$23:$U$23,0)))*(VLOOKUP($B164,INDIRECT($B$5&amp;"生成成长"),3))*(VLOOKUP($B$5,标准坦克设计!$B$14:$K$20,9)/30))</f>
        <v>9.6025776133303875</v>
      </c>
      <c r="EG164" s="173">
        <f ca="1">(VLOOKUP(EG$72,INDIRECT($C$5&amp;"生成成长"),2))/((VLOOKUP($B164,INDIRECT($B$5&amp;"生成成长"),4))/(VLOOKUP(EG$72,INDIRECT($C$5&amp;"生成成长"),5))*(VLOOKUP($B$5,标准坦克设计!$B$24:$U$30,MATCH("对"&amp;LEFT($C$5,2)&amp;"输出",标准坦克设计!$B$23:$U$23,0)))*(VLOOKUP($B164,INDIRECT($B$5&amp;"生成成长"),3))*(VLOOKUP($B$5,标准坦克设计!$B$14:$K$20,9)/30))</f>
        <v>10.352503669949019</v>
      </c>
      <c r="EH164" s="173">
        <f ca="1">(VLOOKUP(EH$72,INDIRECT($C$5&amp;"生成成长"),2))/((VLOOKUP($B164,INDIRECT($B$5&amp;"生成成长"),4))/(VLOOKUP(EH$72,INDIRECT($C$5&amp;"生成成长"),5))*(VLOOKUP($B$5,标准坦克设计!$B$24:$U$30,MATCH("对"&amp;LEFT($C$5,2)&amp;"输出",标准坦克设计!$B$23:$U$23,0)))*(VLOOKUP($B164,INDIRECT($B$5&amp;"生成成长"),3))*(VLOOKUP($B$5,标准坦克设计!$B$14:$K$20,9)/30))</f>
        <v>11.130622435463087</v>
      </c>
      <c r="EI164" s="173">
        <f ca="1">(VLOOKUP(EI$72,INDIRECT($C$5&amp;"生成成长"),2))/((VLOOKUP($B164,INDIRECT($B$5&amp;"生成成长"),4))/(VLOOKUP(EI$72,INDIRECT($C$5&amp;"生成成长"),5))*(VLOOKUP($B$5,标准坦克设计!$B$24:$U$30,MATCH("对"&amp;LEFT($C$5,2)&amp;"输出",标准坦克设计!$B$23:$U$23,0)))*(VLOOKUP($B164,INDIRECT($B$5&amp;"生成成长"),3))*(VLOOKUP($B$5,标准坦克设计!$B$14:$K$20,9)/30))</f>
        <v>11.93693390987259</v>
      </c>
      <c r="EJ164" s="173">
        <f ca="1">(VLOOKUP(EJ$72,INDIRECT($C$5&amp;"生成成长"),2))/((VLOOKUP($B164,INDIRECT($B$5&amp;"生成成长"),4))/(VLOOKUP(EJ$72,INDIRECT($C$5&amp;"生成成长"),5))*(VLOOKUP($B$5,标准坦克设计!$B$24:$U$30,MATCH("对"&amp;LEFT($C$5,2)&amp;"输出",标准坦克设计!$B$23:$U$23,0)))*(VLOOKUP($B164,INDIRECT($B$5&amp;"生成成长"),3))*(VLOOKUP($B$5,标准坦克设计!$B$14:$K$20,9)/30))</f>
        <v>12.771438093177531</v>
      </c>
      <c r="EK164" s="173">
        <f ca="1">(VLOOKUP(EK$72,INDIRECT($C$5&amp;"生成成长"),2))/((VLOOKUP($B164,INDIRECT($B$5&amp;"生成成长"),4))/(VLOOKUP(EK$72,INDIRECT($C$5&amp;"生成成长"),5))*(VLOOKUP($B$5,标准坦克设计!$B$24:$U$30,MATCH("对"&amp;LEFT($C$5,2)&amp;"输出",标准坦克设计!$B$23:$U$23,0)))*(VLOOKUP($B164,INDIRECT($B$5&amp;"生成成长"),3))*(VLOOKUP($B$5,标准坦克设计!$B$14:$K$20,9)/30))</f>
        <v>13.810057488885436</v>
      </c>
      <c r="EL164" s="173">
        <f ca="1">(VLOOKUP(EL$72,INDIRECT($C$5&amp;"生成成长"),2))/((VLOOKUP($B164,INDIRECT($B$5&amp;"生成成长"),4))/(VLOOKUP(EL$72,INDIRECT($C$5&amp;"生成成长"),5))*(VLOOKUP($B$5,标准坦克设计!$B$24:$U$30,MATCH("对"&amp;LEFT($C$5,2)&amp;"输出",标准坦克设计!$B$23:$U$23,0)))*(VLOOKUP($B164,INDIRECT($B$5&amp;"生成成长"),3))*(VLOOKUP($B$5,标准坦克设计!$B$14:$K$20,9)/30))</f>
        <v>14.889274385402775</v>
      </c>
      <c r="EM164" s="173">
        <f ca="1">(VLOOKUP(EM$72,INDIRECT($C$5&amp;"生成成长"),2))/((VLOOKUP($B164,INDIRECT($B$5&amp;"生成成长"),4))/(VLOOKUP(EM$72,INDIRECT($C$5&amp;"生成成长"),5))*(VLOOKUP($B$5,标准坦克设计!$B$24:$U$30,MATCH("对"&amp;LEFT($C$5,2)&amp;"输出",标准坦克设计!$B$23:$U$23,0)))*(VLOOKUP($B164,INDIRECT($B$5&amp;"生成成长"),3))*(VLOOKUP($B$5,标准坦克设计!$B$14:$K$20,9)/30))</f>
        <v>16.009088782729538</v>
      </c>
      <c r="EN164" s="173">
        <f ca="1">(VLOOKUP(EN$72,INDIRECT($C$5&amp;"生成成长"),2))/((VLOOKUP($B164,INDIRECT($B$5&amp;"生成成长"),4))/(VLOOKUP(EN$72,INDIRECT($C$5&amp;"生成成长"),5))*(VLOOKUP($B$5,标准坦克设计!$B$24:$U$30,MATCH("对"&amp;LEFT($C$5,2)&amp;"输出",标准坦克设计!$B$23:$U$23,0)))*(VLOOKUP($B164,INDIRECT($B$5&amp;"生成成长"),3))*(VLOOKUP($B$5,标准坦克设计!$B$14:$K$20,9)/30))</f>
        <v>17.169500680865735</v>
      </c>
      <c r="EO164" s="173">
        <f ca="1">(VLOOKUP(EO$72,INDIRECT($C$5&amp;"生成成长"),2))/((VLOOKUP($B164,INDIRECT($B$5&amp;"生成成长"),4))/(VLOOKUP(EO$72,INDIRECT($C$5&amp;"生成成长"),5))*(VLOOKUP($B$5,标准坦克设计!$B$24:$U$30,MATCH("对"&amp;LEFT($C$5,2)&amp;"输出",标准坦克设计!$B$23:$U$23,0)))*(VLOOKUP($B164,INDIRECT($B$5&amp;"生成成长"),3))*(VLOOKUP($B$5,标准坦克设计!$B$14:$K$20,9)/30))</f>
        <v>18.370510079811357</v>
      </c>
      <c r="EP164" s="173">
        <f ca="1">(VLOOKUP(EP$72,INDIRECT($C$5&amp;"生成成长"),2))/((VLOOKUP($B164,INDIRECT($B$5&amp;"生成成长"),4))/(VLOOKUP(EP$72,INDIRECT($C$5&amp;"生成成长"),5))*(VLOOKUP($B$5,标准坦克设计!$B$24:$U$30,MATCH("对"&amp;LEFT($C$5,2)&amp;"输出",标准坦克设计!$B$23:$U$23,0)))*(VLOOKUP($B164,INDIRECT($B$5&amp;"生成成长"),3))*(VLOOKUP($B$5,标准坦克设计!$B$14:$K$20,9)/30))</f>
        <v>19.612116979566412</v>
      </c>
      <c r="EQ164" s="173">
        <f ca="1">(VLOOKUP(EQ$72,INDIRECT($C$5&amp;"生成成长"),2))/((VLOOKUP($B164,INDIRECT($B$5&amp;"生成成长"),4))/(VLOOKUP(EQ$72,INDIRECT($C$5&amp;"生成成长"),5))*(VLOOKUP($B$5,标准坦克设计!$B$24:$U$30,MATCH("对"&amp;LEFT($C$5,2)&amp;"输出",标准坦克设计!$B$23:$U$23,0)))*(VLOOKUP($B164,INDIRECT($B$5&amp;"生成成长"),3))*(VLOOKUP($B$5,标准坦克设计!$B$14:$K$20,9)/30))</f>
        <v>8.6698218395248485</v>
      </c>
      <c r="ER164" s="173">
        <f ca="1">(VLOOKUP(ER$72,INDIRECT($C$5&amp;"生成成长"),2))/((VLOOKUP($B164,INDIRECT($B$5&amp;"生成成长"),4))/(VLOOKUP(ER$72,INDIRECT($C$5&amp;"生成成长"),5))*(VLOOKUP($B$5,标准坦克设计!$B$24:$U$30,MATCH("对"&amp;LEFT($C$5,2)&amp;"输出",标准坦克设计!$B$23:$U$23,0)))*(VLOOKUP($B164,INDIRECT($B$5&amp;"生成成长"),3))*(VLOOKUP($B$5,标准坦克设计!$B$14:$K$20,9)/30))</f>
        <v>9.4559755270741146</v>
      </c>
      <c r="ES164" s="173">
        <f ca="1">(VLOOKUP(ES$72,INDIRECT($C$5&amp;"生成成长"),2))/((VLOOKUP($B164,INDIRECT($B$5&amp;"生成成长"),4))/(VLOOKUP(ES$72,INDIRECT($C$5&amp;"生成成长"),5))*(VLOOKUP($B$5,标准坦克设计!$B$24:$U$30,MATCH("对"&amp;LEFT($C$5,2)&amp;"输出",标准坦克设计!$B$23:$U$23,0)))*(VLOOKUP($B164,INDIRECT($B$5&amp;"生成成长"),3))*(VLOOKUP($B$5,标准坦克设计!$B$14:$K$20,9)/30))</f>
        <v>10.276242392386861</v>
      </c>
      <c r="ET164" s="173">
        <f ca="1">(VLOOKUP(ET$72,INDIRECT($C$5&amp;"生成成长"),2))/((VLOOKUP($B164,INDIRECT($B$5&amp;"生成成长"),4))/(VLOOKUP(ET$72,INDIRECT($C$5&amp;"生成成长"),5))*(VLOOKUP($B$5,标准坦克设计!$B$24:$U$30,MATCH("对"&amp;LEFT($C$5,2)&amp;"输出",标准坦克设计!$B$23:$U$23,0)))*(VLOOKUP($B164,INDIRECT($B$5&amp;"生成成长"),3))*(VLOOKUP($B$5,标准坦克设计!$B$14:$K$20,9)/30))</f>
        <v>11.130622435463087</v>
      </c>
      <c r="EU164" s="173">
        <f ca="1">(VLOOKUP(EU$72,INDIRECT($C$5&amp;"生成成长"),2))/((VLOOKUP($B164,INDIRECT($B$5&amp;"生成成长"),4))/(VLOOKUP(EU$72,INDIRECT($C$5&amp;"生成成长"),5))*(VLOOKUP($B$5,标准坦克设计!$B$24:$U$30,MATCH("对"&amp;LEFT($C$5,2)&amp;"输出",标准坦克设计!$B$23:$U$23,0)))*(VLOOKUP($B164,INDIRECT($B$5&amp;"生成成长"),3))*(VLOOKUP($B$5,标准坦克设计!$B$14:$K$20,9)/30))</f>
        <v>12.019115656302787</v>
      </c>
      <c r="EV164" s="173">
        <f ca="1">(VLOOKUP(EV$72,INDIRECT($C$5&amp;"生成成长"),2))/((VLOOKUP($B164,INDIRECT($B$5&amp;"生成成长"),4))/(VLOOKUP(EV$72,INDIRECT($C$5&amp;"生成成长"),5))*(VLOOKUP($B$5,标准坦克设计!$B$24:$U$30,MATCH("对"&amp;LEFT($C$5,2)&amp;"输出",标准坦克设计!$B$23:$U$23,0)))*(VLOOKUP($B164,INDIRECT($B$5&amp;"生成成长"),3))*(VLOOKUP($B$5,标准坦克设计!$B$14:$K$20,9)/30))</f>
        <v>12.94172205490597</v>
      </c>
      <c r="EW164" s="173">
        <f ca="1">(VLOOKUP(EW$72,INDIRECT($C$5&amp;"生成成长"),2))/((VLOOKUP($B164,INDIRECT($B$5&amp;"生成成长"),4))/(VLOOKUP(EW$72,INDIRECT($C$5&amp;"生成成长"),5))*(VLOOKUP($B$5,标准坦克设计!$B$24:$U$30,MATCH("对"&amp;LEFT($C$5,2)&amp;"输出",标准坦克设计!$B$23:$U$23,0)))*(VLOOKUP($B164,INDIRECT($B$5&amp;"生成成长"),3))*(VLOOKUP($B$5,标准坦克设计!$B$14:$K$20,9)/30))</f>
        <v>13.898441631272632</v>
      </c>
      <c r="EX164" s="173">
        <f ca="1">(VLOOKUP(EX$72,INDIRECT($C$5&amp;"生成成长"),2))/((VLOOKUP($B164,INDIRECT($B$5&amp;"生成成长"),4))/(VLOOKUP(EX$72,INDIRECT($C$5&amp;"生成成长"),5))*(VLOOKUP($B$5,标准坦克设计!$B$24:$U$30,MATCH("对"&amp;LEFT($C$5,2)&amp;"输出",标准坦克设计!$B$23:$U$23,0)))*(VLOOKUP($B164,INDIRECT($B$5&amp;"生成成长"),3))*(VLOOKUP($B$5,标准坦克设计!$B$14:$K$20,9)/30))</f>
        <v>14.889274385402775</v>
      </c>
      <c r="EY164" s="173">
        <f ca="1">(VLOOKUP(EY$72,INDIRECT($C$5&amp;"生成成长"),2))/((VLOOKUP($B164,INDIRECT($B$5&amp;"生成成长"),4))/(VLOOKUP(EY$72,INDIRECT($C$5&amp;"生成成长"),5))*(VLOOKUP($B$5,标准坦克设计!$B$24:$U$30,MATCH("对"&amp;LEFT($C$5,2)&amp;"输出",标准坦克设计!$B$23:$U$23,0)))*(VLOOKUP($B164,INDIRECT($B$5&amp;"生成成长"),3))*(VLOOKUP($B$5,标准坦克设计!$B$14:$K$20,9)/30))</f>
        <v>15.914220317296392</v>
      </c>
      <c r="EZ164" s="173">
        <f ca="1">(VLOOKUP(EZ$72,INDIRECT($C$5&amp;"生成成长"),2))/((VLOOKUP($B164,INDIRECT($B$5&amp;"生成成长"),4))/(VLOOKUP(EZ$72,INDIRECT($C$5&amp;"生成成长"),5))*(VLOOKUP($B$5,标准坦克设计!$B$24:$U$30,MATCH("对"&amp;LEFT($C$5,2)&amp;"输出",标准坦克设计!$B$23:$U$23,0)))*(VLOOKUP($B164,INDIRECT($B$5&amp;"生成成长"),3))*(VLOOKUP($B$5,标准坦克设计!$B$14:$K$20,9)/30))</f>
        <v>16.973279426953489</v>
      </c>
      <c r="FA164" s="173">
        <f ca="1">(VLOOKUP(FA$72,INDIRECT($C$5&amp;"生成成长"),2))/((VLOOKUP($B164,INDIRECT($B$5&amp;"生成成长"),4))/(VLOOKUP(FA$72,INDIRECT($C$5&amp;"生成成长"),5))*(VLOOKUP($B$5,标准坦克设计!$B$24:$U$30,MATCH("对"&amp;LEFT($C$5,2)&amp;"输出",标准坦克设计!$B$23:$U$23,0)))*(VLOOKUP($B164,INDIRECT($B$5&amp;"生成成长"),3))*(VLOOKUP($B$5,标准坦克设计!$B$14:$K$20,9)/30))</f>
        <v>18.066451714374072</v>
      </c>
      <c r="FB164" s="173">
        <f ca="1">(VLOOKUP(FB$72,INDIRECT($C$5&amp;"生成成长"),2))/((VLOOKUP($B164,INDIRECT($B$5&amp;"生成成长"),4))/(VLOOKUP(FB$72,INDIRECT($C$5&amp;"生成成长"),5))*(VLOOKUP($B$5,标准坦克设计!$B$24:$U$30,MATCH("对"&amp;LEFT($C$5,2)&amp;"输出",标准坦克设计!$B$23:$U$23,0)))*(VLOOKUP($B164,INDIRECT($B$5&amp;"生成成长"),3))*(VLOOKUP($B$5,标准坦克设计!$B$14:$K$20,9)/30))</f>
        <v>19.193737179558127</v>
      </c>
      <c r="FC164" s="173">
        <f ca="1">(VLOOKUP(FC$72,INDIRECT($C$5&amp;"生成成长"),2))/((VLOOKUP($B164,INDIRECT($B$5&amp;"生成成长"),4))/(VLOOKUP(FC$72,INDIRECT($C$5&amp;"生成成长"),5))*(VLOOKUP($B$5,标准坦克设计!$B$24:$U$30,MATCH("对"&amp;LEFT($C$5,2)&amp;"输出",标准坦克设计!$B$23:$U$23,0)))*(VLOOKUP($B164,INDIRECT($B$5&amp;"生成成长"),3))*(VLOOKUP($B$5,标准坦克设计!$B$14:$K$20,9)/30))</f>
        <v>20.355135822505662</v>
      </c>
      <c r="FD164" s="173">
        <f ca="1">(VLOOKUP(FD$72,INDIRECT($C$5&amp;"生成成长"),2))/((VLOOKUP($B164,INDIRECT($B$5&amp;"生成成长"),4))/(VLOOKUP(FD$72,INDIRECT($C$5&amp;"生成成长"),5))*(VLOOKUP($B$5,标准坦克设计!$B$24:$U$30,MATCH("对"&amp;LEFT($C$5,2)&amp;"输出",标准坦克设计!$B$23:$U$23,0)))*(VLOOKUP($B164,INDIRECT($B$5&amp;"生成成长"),3))*(VLOOKUP($B$5,标准坦克设计!$B$14:$K$20,9)/30))</f>
        <v>21.550647643216674</v>
      </c>
      <c r="FE164" s="173">
        <f ca="1">(VLOOKUP(FE$72,INDIRECT($C$5&amp;"生成成长"),2))/((VLOOKUP($B164,INDIRECT($B$5&amp;"生成成长"),4))/(VLOOKUP(FE$72,INDIRECT($C$5&amp;"生成成长"),5))*(VLOOKUP($B$5,标准坦克设计!$B$24:$U$30,MATCH("对"&amp;LEFT($C$5,2)&amp;"输出",标准坦克设计!$B$23:$U$23,0)))*(VLOOKUP($B164,INDIRECT($B$5&amp;"生成成长"),3))*(VLOOKUP($B$5,标准坦克设计!$B$14:$K$20,9)/30))</f>
        <v>23.007505875388393</v>
      </c>
      <c r="FF164" s="173">
        <f ca="1">(VLOOKUP(FF$72,INDIRECT($C$5&amp;"生成成长"),2))/((VLOOKUP($B164,INDIRECT($B$5&amp;"生成成长"),4))/(VLOOKUP(FF$72,INDIRECT($C$5&amp;"生成成长"),5))*(VLOOKUP($B$5,标准坦克设计!$B$24:$U$30,MATCH("对"&amp;LEFT($C$5,2)&amp;"输出",标准坦克设计!$B$23:$U$23,0)))*(VLOOKUP($B164,INDIRECT($B$5&amp;"生成成长"),3))*(VLOOKUP($B$5,标准坦克设计!$B$14:$K$20,9)/30))</f>
        <v>24.512009785593403</v>
      </c>
      <c r="FG164" s="173">
        <f ca="1">(VLOOKUP(FG$72,INDIRECT($C$5&amp;"生成成长"),2))/((VLOOKUP($B164,INDIRECT($B$5&amp;"生成成长"),4))/(VLOOKUP(FG$72,INDIRECT($C$5&amp;"生成成长"),5))*(VLOOKUP($B$5,标准坦克设计!$B$24:$U$30,MATCH("对"&amp;LEFT($C$5,2)&amp;"输出",标准坦克设计!$B$23:$U$23,0)))*(VLOOKUP($B164,INDIRECT($B$5&amp;"生成成长"),3))*(VLOOKUP($B$5,标准坦克设计!$B$14:$K$20,9)/30))</f>
        <v>26.064159373831696</v>
      </c>
      <c r="FH164" s="173">
        <f ca="1">(VLOOKUP(FH$72,INDIRECT($C$5&amp;"生成成长"),2))/((VLOOKUP($B164,INDIRECT($B$5&amp;"生成成长"),4))/(VLOOKUP(FH$72,INDIRECT($C$5&amp;"生成成长"),5))*(VLOOKUP($B$5,标准坦克设计!$B$24:$U$30,MATCH("对"&amp;LEFT($C$5,2)&amp;"输出",标准坦克设计!$B$23:$U$23,0)))*(VLOOKUP($B164,INDIRECT($B$5&amp;"生成成长"),3))*(VLOOKUP($B$5,标准坦克设计!$B$14:$K$20,9)/30))</f>
        <v>27.663954640103277</v>
      </c>
      <c r="FI164" s="173">
        <f ca="1">(VLOOKUP(FI$72,INDIRECT($C$5&amp;"生成成长"),2))/((VLOOKUP($B164,INDIRECT($B$5&amp;"生成成长"),4))/(VLOOKUP(FI$72,INDIRECT($C$5&amp;"生成成长"),5))*(VLOOKUP($B$5,标准坦克设计!$B$24:$U$30,MATCH("对"&amp;LEFT($C$5,2)&amp;"输出",标准坦克设计!$B$23:$U$23,0)))*(VLOOKUP($B164,INDIRECT($B$5&amp;"生成成长"),3))*(VLOOKUP($B$5,标准坦克设计!$B$14:$K$20,9)/30))</f>
        <v>29.311395584408153</v>
      </c>
      <c r="FJ164" s="173">
        <f ca="1">(VLOOKUP(FJ$72,INDIRECT($C$5&amp;"生成成长"),2))/((VLOOKUP($B164,INDIRECT($B$5&amp;"生成成长"),4))/(VLOOKUP(FJ$72,INDIRECT($C$5&amp;"生成成长"),5))*(VLOOKUP($B$5,标准坦克设计!$B$24:$U$30,MATCH("对"&amp;LEFT($C$5,2)&amp;"输出",标准坦克设计!$B$23:$U$23,0)))*(VLOOKUP($B164,INDIRECT($B$5&amp;"生成成长"),3))*(VLOOKUP($B$5,标准坦克设计!$B$14:$K$20,9)/30))</f>
        <v>31.006482206746313</v>
      </c>
      <c r="FK164" s="173">
        <f ca="1">(VLOOKUP(FK$72,INDIRECT($C$5&amp;"生成成长"),2))/((VLOOKUP($B164,INDIRECT($B$5&amp;"生成成长"),4))/(VLOOKUP(FK$72,INDIRECT($C$5&amp;"生成成长"),5))*(VLOOKUP($B$5,标准坦克设计!$B$24:$U$30,MATCH("对"&amp;LEFT($C$5,2)&amp;"输出",标准坦克设计!$B$23:$U$23,0)))*(VLOOKUP($B164,INDIRECT($B$5&amp;"生成成长"),3))*(VLOOKUP($B$5,标准坦克设计!$B$14:$K$20,9)/30))</f>
        <v>32.749214507117756</v>
      </c>
    </row>
    <row r="165" spans="1:167" x14ac:dyDescent="0.15">
      <c r="A165" s="171" t="str">
        <f t="shared" si="12"/>
        <v>T5中品质3级</v>
      </c>
      <c r="B165" s="172">
        <v>20503</v>
      </c>
      <c r="C165" s="173">
        <f ca="1">(VLOOKUP(C$72,INDIRECT($C$5&amp;"生成成长"),2))/((VLOOKUP($B165,INDIRECT($B$5&amp;"生成成长"),4))/(VLOOKUP(C$72,INDIRECT($C$5&amp;"生成成长"),5))*(VLOOKUP($B$5,标准坦克设计!$B$24:$U$30,MATCH("对"&amp;LEFT($C$5,2)&amp;"输出",标准坦克设计!$B$23:$U$23,0)))*(VLOOKUP($B165,INDIRECT($B$5&amp;"生成成长"),3))*(VLOOKUP($B$5,标准坦克设计!$B$14:$K$20,9)/30))</f>
        <v>1.2934914674122258</v>
      </c>
      <c r="D165" s="173">
        <f ca="1">(VLOOKUP(D$72,INDIRECT($C$5&amp;"生成成长"),2))/((VLOOKUP($B165,INDIRECT($B$5&amp;"生成成长"),4))/(VLOOKUP(D$72,INDIRECT($C$5&amp;"生成成长"),5))*(VLOOKUP($B$5,标准坦克设计!$B$24:$U$30,MATCH("对"&amp;LEFT($C$5,2)&amp;"输出",标准坦克设计!$B$23:$U$23,0)))*(VLOOKUP($B165,INDIRECT($B$5&amp;"生成成长"),3))*(VLOOKUP($B$5,标准坦克设计!$B$14:$K$20,9)/30))</f>
        <v>1.4533670127843767</v>
      </c>
      <c r="E165" s="173">
        <f ca="1">(VLOOKUP(E$72,INDIRECT($C$5&amp;"生成成长"),2))/((VLOOKUP($B165,INDIRECT($B$5&amp;"生成成长"),4))/(VLOOKUP(E$72,INDIRECT($C$5&amp;"生成成长"),5))*(VLOOKUP($B$5,标准坦克设计!$B$24:$U$30,MATCH("对"&amp;LEFT($C$5,2)&amp;"输出",标准坦克设计!$B$23:$U$23,0)))*(VLOOKUP($B165,INDIRECT($B$5&amp;"生成成长"),3))*(VLOOKUP($B$5,标准坦克设计!$B$14:$K$20,9)/30))</f>
        <v>1.6225556967218959</v>
      </c>
      <c r="F165" s="173">
        <f ca="1">(VLOOKUP(F$72,INDIRECT($C$5&amp;"生成成长"),2))/((VLOOKUP($B165,INDIRECT($B$5&amp;"生成成长"),4))/(VLOOKUP(F$72,INDIRECT($C$5&amp;"生成成长"),5))*(VLOOKUP($B$5,标准坦克设计!$B$24:$U$30,MATCH("对"&amp;LEFT($C$5,2)&amp;"输出",标准坦克设计!$B$23:$U$23,0)))*(VLOOKUP($B165,INDIRECT($B$5&amp;"生成成长"),3))*(VLOOKUP($B$5,标准坦克设计!$B$14:$K$20,9)/30))</f>
        <v>1.8010575192247835</v>
      </c>
      <c r="G165" s="173">
        <f ca="1">(VLOOKUP(G$72,INDIRECT($C$5&amp;"生成成长"),2))/((VLOOKUP($B165,INDIRECT($B$5&amp;"生成成长"),4))/(VLOOKUP(G$72,INDIRECT($C$5&amp;"生成成长"),5))*(VLOOKUP($B$5,标准坦克设计!$B$24:$U$30,MATCH("对"&amp;LEFT($C$5,2)&amp;"输出",标准坦克设计!$B$23:$U$23,0)))*(VLOOKUP($B165,INDIRECT($B$5&amp;"生成成长"),3))*(VLOOKUP($B$5,标准坦克设计!$B$14:$K$20,9)/30))</f>
        <v>1.9888724802930384</v>
      </c>
      <c r="H165" s="173">
        <f ca="1">(VLOOKUP(H$72,INDIRECT($C$5&amp;"生成成长"),2))/((VLOOKUP($B165,INDIRECT($B$5&amp;"生成成长"),4))/(VLOOKUP(H$72,INDIRECT($C$5&amp;"生成成长"),5))*(VLOOKUP($B$5,标准坦克设计!$B$24:$U$30,MATCH("对"&amp;LEFT($C$5,2)&amp;"输出",标准坦克设计!$B$23:$U$23,0)))*(VLOOKUP($B165,INDIRECT($B$5&amp;"生成成长"),3))*(VLOOKUP($B$5,标准坦克设计!$B$14:$K$20,9)/30))</f>
        <v>1.7405221185498911</v>
      </c>
      <c r="I165" s="173">
        <f ca="1">(VLOOKUP(I$72,INDIRECT($C$5&amp;"生成成长"),2))/((VLOOKUP($B165,INDIRECT($B$5&amp;"生成成长"),4))/(VLOOKUP(I$72,INDIRECT($C$5&amp;"生成成长"),5))*(VLOOKUP($B$5,标准坦克设计!$B$24:$U$30,MATCH("对"&amp;LEFT($C$5,2)&amp;"输出",标准坦克设计!$B$23:$U$23,0)))*(VLOOKUP($B165,INDIRECT($B$5&amp;"生成成长"),3))*(VLOOKUP($B$5,标准坦克设计!$B$14:$K$20,9)/30))</f>
        <v>1.9888724802930384</v>
      </c>
      <c r="J165" s="173">
        <f ca="1">(VLOOKUP(J$72,INDIRECT($C$5&amp;"生成成长"),2))/((VLOOKUP($B165,INDIRECT($B$5&amp;"生成成长"),4))/(VLOOKUP(J$72,INDIRECT($C$5&amp;"生成成长"),5))*(VLOOKUP($B$5,标准坦克设计!$B$24:$U$30,MATCH("对"&amp;LEFT($C$5,2)&amp;"输出",标准坦克设计!$B$23:$U$23,0)))*(VLOOKUP($B165,INDIRECT($B$5&amp;"生成成长"),3))*(VLOOKUP($B$5,标准坦克设计!$B$14:$K$20,9)/30))</f>
        <v>2.253779532819062</v>
      </c>
      <c r="K165" s="173">
        <f ca="1">(VLOOKUP(K$72,INDIRECT($C$5&amp;"生成成长"),2))/((VLOOKUP($B165,INDIRECT($B$5&amp;"生成成长"),4))/(VLOOKUP(K$72,INDIRECT($C$5&amp;"生成成长"),5))*(VLOOKUP($B$5,标准坦克设计!$B$24:$U$30,MATCH("对"&amp;LEFT($C$5,2)&amp;"输出",标准坦克设计!$B$23:$U$23,0)))*(VLOOKUP($B165,INDIRECT($B$5&amp;"生成成长"),3))*(VLOOKUP($B$5,标准坦克设计!$B$14:$K$20,9)/30))</f>
        <v>2.5352432761279626</v>
      </c>
      <c r="L165" s="173">
        <f ca="1">(VLOOKUP(L$72,INDIRECT($C$5&amp;"生成成长"),2))/((VLOOKUP($B165,INDIRECT($B$5&amp;"生成成长"),4))/(VLOOKUP(L$72,INDIRECT($C$5&amp;"生成成长"),5))*(VLOOKUP($B$5,标准坦克设计!$B$24:$U$30,MATCH("对"&amp;LEFT($C$5,2)&amp;"输出",标准坦克设计!$B$23:$U$23,0)))*(VLOOKUP($B165,INDIRECT($B$5&amp;"生成成长"),3))*(VLOOKUP($B$5,标准坦克设计!$B$14:$K$20,9)/30))</f>
        <v>2.8332637102197396</v>
      </c>
      <c r="M165" s="173">
        <f ca="1">(VLOOKUP(M$72,INDIRECT($C$5&amp;"生成成长"),2))/((VLOOKUP($B165,INDIRECT($B$5&amp;"生成成长"),4))/(VLOOKUP(M$72,INDIRECT($C$5&amp;"生成成长"),5))*(VLOOKUP($B$5,标准坦克设计!$B$24:$U$30,MATCH("对"&amp;LEFT($C$5,2)&amp;"输出",标准坦克设计!$B$23:$U$23,0)))*(VLOOKUP($B165,INDIRECT($B$5&amp;"生成成长"),3))*(VLOOKUP($B$5,标准坦克设计!$B$14:$K$20,9)/30))</f>
        <v>3.1478408350943927</v>
      </c>
      <c r="N165" s="173">
        <f ca="1">(VLOOKUP(N$72,INDIRECT($C$5&amp;"生成成长"),2))/((VLOOKUP($B165,INDIRECT($B$5&amp;"生成成长"),4))/(VLOOKUP(N$72,INDIRECT($C$5&amp;"生成成长"),5))*(VLOOKUP($B$5,标准坦克设计!$B$24:$U$30,MATCH("对"&amp;LEFT($C$5,2)&amp;"输出",标准坦克设计!$B$23:$U$23,0)))*(VLOOKUP($B165,INDIRECT($B$5&amp;"生成成长"),3))*(VLOOKUP($B$5,标准坦克设计!$B$14:$K$20,9)/30))</f>
        <v>3.4789746507519221</v>
      </c>
      <c r="O165" s="173">
        <f ca="1">(VLOOKUP(O$72,INDIRECT($C$5&amp;"生成成长"),2))/((VLOOKUP($B165,INDIRECT($B$5&amp;"生成成长"),4))/(VLOOKUP(O$72,INDIRECT($C$5&amp;"生成成长"),5))*(VLOOKUP($B$5,标准坦克设计!$B$24:$U$30,MATCH("对"&amp;LEFT($C$5,2)&amp;"输出",标准坦克设计!$B$23:$U$23,0)))*(VLOOKUP($B165,INDIRECT($B$5&amp;"生成成长"),3))*(VLOOKUP($B$5,标准坦克设计!$B$14:$K$20,9)/30))</f>
        <v>2.6450607017112606</v>
      </c>
      <c r="P165" s="173">
        <f ca="1">(VLOOKUP(P$72,INDIRECT($C$5&amp;"生成成长"),2))/((VLOOKUP($B165,INDIRECT($B$5&amp;"生成成长"),4))/(VLOOKUP(P$72,INDIRECT($C$5&amp;"生成成长"),5))*(VLOOKUP($B$5,标准坦克设计!$B$24:$U$30,MATCH("对"&amp;LEFT($C$5,2)&amp;"输出",标准坦克设计!$B$23:$U$23,0)))*(VLOOKUP($B165,INDIRECT($B$5&amp;"生成成长"),3))*(VLOOKUP($B$5,标准坦克设计!$B$14:$K$20,9)/30))</f>
        <v>2.9884826863092062</v>
      </c>
      <c r="Q165" s="173">
        <f ca="1">(VLOOKUP(Q$72,INDIRECT($C$5&amp;"生成成长"),2))/((VLOOKUP($B165,INDIRECT($B$5&amp;"生成成长"),4))/(VLOOKUP(Q$72,INDIRECT($C$5&amp;"生成成长"),5))*(VLOOKUP($B$5,标准坦克设计!$B$24:$U$30,MATCH("对"&amp;LEFT($C$5,2)&amp;"输出",标准坦克设计!$B$23:$U$23,0)))*(VLOOKUP($B165,INDIRECT($B$5&amp;"生成成长"),3))*(VLOOKUP($B$5,标准坦克设计!$B$14:$K$20,9)/30))</f>
        <v>3.3528592326792297</v>
      </c>
      <c r="R165" s="173">
        <f ca="1">(VLOOKUP(R$72,INDIRECT($C$5&amp;"生成成长"),2))/((VLOOKUP($B165,INDIRECT($B$5&amp;"生成成长"),4))/(VLOOKUP(R$72,INDIRECT($C$5&amp;"生成成长"),5))*(VLOOKUP($B$5,标准坦克设计!$B$24:$U$30,MATCH("对"&amp;LEFT($C$5,2)&amp;"输出",标准坦克设计!$B$23:$U$23,0)))*(VLOOKUP($B165,INDIRECT($B$5&amp;"生成成长"),3))*(VLOOKUP($B$5,标准坦克设计!$B$14:$K$20,9)/30))</f>
        <v>3.7381903408213328</v>
      </c>
      <c r="S165" s="173">
        <f ca="1">(VLOOKUP(S$72,INDIRECT($C$5&amp;"生成成长"),2))/((VLOOKUP($B165,INDIRECT($B$5&amp;"生成成长"),4))/(VLOOKUP(S$72,INDIRECT($C$5&amp;"生成成长"),5))*(VLOOKUP($B$5,标准坦克设计!$B$24:$U$30,MATCH("对"&amp;LEFT($C$5,2)&amp;"输出",标准坦克设计!$B$23:$U$23,0)))*(VLOOKUP($B165,INDIRECT($B$5&amp;"生成成长"),3))*(VLOOKUP($B$5,标准坦克设计!$B$14:$K$20,9)/30))</f>
        <v>4.1444760107355121</v>
      </c>
      <c r="T165" s="173">
        <f ca="1">(VLOOKUP(T$72,INDIRECT($C$5&amp;"生成成长"),2))/((VLOOKUP($B165,INDIRECT($B$5&amp;"生成成长"),4))/(VLOOKUP(T$72,INDIRECT($C$5&amp;"生成成长"),5))*(VLOOKUP($B$5,标准坦克设计!$B$24:$U$30,MATCH("对"&amp;LEFT($C$5,2)&amp;"输出",标准坦克设计!$B$23:$U$23,0)))*(VLOOKUP($B165,INDIRECT($B$5&amp;"生成成长"),3))*(VLOOKUP($B$5,标准坦克设计!$B$14:$K$20,9)/30))</f>
        <v>4.5717162424217701</v>
      </c>
      <c r="U165" s="173">
        <f ca="1">(VLOOKUP(U$72,INDIRECT($C$5&amp;"生成成长"),2))/((VLOOKUP($B165,INDIRECT($B$5&amp;"生成成长"),4))/(VLOOKUP(U$72,INDIRECT($C$5&amp;"生成成长"),5))*(VLOOKUP($B$5,标准坦克设计!$B$24:$U$30,MATCH("对"&amp;LEFT($C$5,2)&amp;"输出",标准坦克设计!$B$23:$U$23,0)))*(VLOOKUP($B165,INDIRECT($B$5&amp;"生成成长"),3))*(VLOOKUP($B$5,标准坦克设计!$B$14:$K$20,9)/30))</f>
        <v>5.0199110358801073</v>
      </c>
      <c r="V165" s="173">
        <f ca="1">(VLOOKUP(V$72,INDIRECT($C$5&amp;"生成成长"),2))/((VLOOKUP($B165,INDIRECT($B$5&amp;"生成成长"),4))/(VLOOKUP(V$72,INDIRECT($C$5&amp;"生成成长"),5))*(VLOOKUP($B$5,标准坦克设计!$B$24:$U$30,MATCH("对"&amp;LEFT($C$5,2)&amp;"输出",标准坦克设计!$B$23:$U$23,0)))*(VLOOKUP($B165,INDIRECT($B$5&amp;"生成成长"),3))*(VLOOKUP($B$5,标准坦克设计!$B$14:$K$20,9)/30))</f>
        <v>5.4890603911105211</v>
      </c>
      <c r="W165" s="173">
        <f ca="1">(VLOOKUP(W$72,INDIRECT($C$5&amp;"生成成长"),2))/((VLOOKUP($B165,INDIRECT($B$5&amp;"生成成长"),4))/(VLOOKUP(W$72,INDIRECT($C$5&amp;"生成成长"),5))*(VLOOKUP($B$5,标准坦克设计!$B$24:$U$30,MATCH("对"&amp;LEFT($C$5,2)&amp;"输出",标准坦克设计!$B$23:$U$23,0)))*(VLOOKUP($B165,INDIRECT($B$5&amp;"生成成长"),3))*(VLOOKUP($B$5,标准坦克设计!$B$14:$K$20,9)/30))</f>
        <v>5.9791643081130132</v>
      </c>
      <c r="X165" s="173">
        <f ca="1">(VLOOKUP(X$72,INDIRECT($C$5&amp;"生成成长"),2))/((VLOOKUP($B165,INDIRECT($B$5&amp;"生成成长"),4))/(VLOOKUP(X$72,INDIRECT($C$5&amp;"生成成长"),5))*(VLOOKUP($B$5,标准坦克设计!$B$24:$U$30,MATCH("对"&amp;LEFT($C$5,2)&amp;"输出",标准坦克设计!$B$23:$U$23,0)))*(VLOOKUP($B165,INDIRECT($B$5&amp;"生成成长"),3))*(VLOOKUP($B$5,标准坦克设计!$B$14:$K$20,9)/30))</f>
        <v>4.3317735752168023</v>
      </c>
      <c r="Y165" s="173">
        <f ca="1">(VLOOKUP(Y$72,INDIRECT($C$5&amp;"生成成长"),2))/((VLOOKUP($B165,INDIRECT($B$5&amp;"生成成长"),4))/(VLOOKUP(Y$72,INDIRECT($C$5&amp;"生成成长"),5))*(VLOOKUP($B$5,标准坦克设计!$B$24:$U$30,MATCH("对"&amp;LEFT($C$5,2)&amp;"输出",标准坦克设计!$B$23:$U$23,0)))*(VLOOKUP($B165,INDIRECT($B$5&amp;"生成成长"),3))*(VLOOKUP($B$5,标准坦克设计!$B$14:$K$20,9)/30))</f>
        <v>4.8181263669638001</v>
      </c>
      <c r="Z165" s="173">
        <f ca="1">(VLOOKUP(Z$72,INDIRECT($C$5&amp;"生成成长"),2))/((VLOOKUP($B165,INDIRECT($B$5&amp;"生成成长"),4))/(VLOOKUP(Z$72,INDIRECT($C$5&amp;"生成成长"),5))*(VLOOKUP($B$5,标准坦克设计!$B$24:$U$30,MATCH("对"&amp;LEFT($C$5,2)&amp;"输出",标准坦克设计!$B$23:$U$23,0)))*(VLOOKUP($B165,INDIRECT($B$5&amp;"生成成长"),3))*(VLOOKUP($B$5,标准坦克设计!$B$14:$K$20,9)/30))</f>
        <v>5.3303489880590416</v>
      </c>
      <c r="AA165" s="173">
        <f ca="1">(VLOOKUP(AA$72,INDIRECT($C$5&amp;"生成成长"),2))/((VLOOKUP($B165,INDIRECT($B$5&amp;"生成成长"),4))/(VLOOKUP(AA$72,INDIRECT($C$5&amp;"生成成长"),5))*(VLOOKUP($B$5,标准坦克设计!$B$24:$U$30,MATCH("对"&amp;LEFT($C$5,2)&amp;"输出",标准坦克设计!$B$23:$U$23,0)))*(VLOOKUP($B165,INDIRECT($B$5&amp;"生成成长"),3))*(VLOOKUP($B$5,标准坦克设计!$B$14:$K$20,9)/30))</f>
        <v>5.8684414385025274</v>
      </c>
      <c r="AB165" s="173">
        <f ca="1">(VLOOKUP(AB$72,INDIRECT($C$5&amp;"生成成长"),2))/((VLOOKUP($B165,INDIRECT($B$5&amp;"生成成长"),4))/(VLOOKUP(AB$72,INDIRECT($C$5&amp;"生成成长"),5))*(VLOOKUP($B$5,标准坦克设计!$B$24:$U$30,MATCH("对"&amp;LEFT($C$5,2)&amp;"输出",标准坦克设计!$B$23:$U$23,0)))*(VLOOKUP($B165,INDIRECT($B$5&amp;"生成成长"),3))*(VLOOKUP($B$5,标准坦克设计!$B$14:$K$20,9)/30))</f>
        <v>6.4324037182942559</v>
      </c>
      <c r="AC165" s="173">
        <f ca="1">(VLOOKUP(AC$72,INDIRECT($C$5&amp;"生成成长"),2))/((VLOOKUP($B165,INDIRECT($B$5&amp;"生成成长"),4))/(VLOOKUP(AC$72,INDIRECT($C$5&amp;"生成成长"),5))*(VLOOKUP($B$5,标准坦克设计!$B$24:$U$30,MATCH("对"&amp;LEFT($C$5,2)&amp;"输出",标准坦克设计!$B$23:$U$23,0)))*(VLOOKUP($B165,INDIRECT($B$5&amp;"生成成长"),3))*(VLOOKUP($B$5,标准坦克设计!$B$14:$K$20,9)/30))</f>
        <v>7.0222358274342316</v>
      </c>
      <c r="AD165" s="173">
        <f ca="1">(VLOOKUP(AD$72,INDIRECT($C$5&amp;"生成成长"),2))/((VLOOKUP($B165,INDIRECT($B$5&amp;"生成成长"),4))/(VLOOKUP(AD$72,INDIRECT($C$5&amp;"生成成长"),5))*(VLOOKUP($B$5,标准坦克设计!$B$24:$U$30,MATCH("对"&amp;LEFT($C$5,2)&amp;"输出",标准坦克设计!$B$23:$U$23,0)))*(VLOOKUP($B165,INDIRECT($B$5&amp;"生成成长"),3))*(VLOOKUP($B$5,标准坦克设计!$B$14:$K$20,9)/30))</f>
        <v>7.6379377659224508</v>
      </c>
      <c r="AE165" s="173">
        <f ca="1">(VLOOKUP(AE$72,INDIRECT($C$5&amp;"生成成长"),2))/((VLOOKUP($B165,INDIRECT($B$5&amp;"生成成长"),4))/(VLOOKUP(AE$72,INDIRECT($C$5&amp;"生成成长"),5))*(VLOOKUP($B$5,标准坦克设计!$B$24:$U$30,MATCH("对"&amp;LEFT($C$5,2)&amp;"输出",标准坦克设计!$B$23:$U$23,0)))*(VLOOKUP($B165,INDIRECT($B$5&amp;"生成成长"),3))*(VLOOKUP($B$5,标准坦克设计!$B$14:$K$20,9)/30))</f>
        <v>8.2795095337589153</v>
      </c>
      <c r="AF165" s="173">
        <f ca="1">(VLOOKUP(AF$72,INDIRECT($C$5&amp;"生成成长"),2))/((VLOOKUP($B165,INDIRECT($B$5&amp;"生成成长"),4))/(VLOOKUP(AF$72,INDIRECT($C$5&amp;"生成成长"),5))*(VLOOKUP($B$5,标准坦克设计!$B$24:$U$30,MATCH("对"&amp;LEFT($C$5,2)&amp;"输出",标准坦克设计!$B$23:$U$23,0)))*(VLOOKUP($B165,INDIRECT($B$5&amp;"生成成长"),3))*(VLOOKUP($B$5,标准坦克设计!$B$14:$K$20,9)/30))</f>
        <v>8.9469511309436225</v>
      </c>
      <c r="AG165" s="173">
        <f ca="1">(VLOOKUP(AG$72,INDIRECT($C$5&amp;"生成成长"),2))/((VLOOKUP($B165,INDIRECT($B$5&amp;"生成成长"),4))/(VLOOKUP(AG$72,INDIRECT($C$5&amp;"生成成长"),5))*(VLOOKUP($B$5,标准坦克设计!$B$24:$U$30,MATCH("对"&amp;LEFT($C$5,2)&amp;"输出",标准坦克设计!$B$23:$U$23,0)))*(VLOOKUP($B165,INDIRECT($B$5&amp;"生成成长"),3))*(VLOOKUP($B$5,标准坦克设计!$B$14:$K$20,9)/30))</f>
        <v>9.6402625574765768</v>
      </c>
      <c r="AH165" s="173">
        <f ca="1">(VLOOKUP(AH$72,INDIRECT($C$5&amp;"生成成长"),2))/((VLOOKUP($B165,INDIRECT($B$5&amp;"生成成长"),4))/(VLOOKUP(AH$72,INDIRECT($C$5&amp;"生成成长"),5))*(VLOOKUP($B$5,标准坦克设计!$B$24:$U$30,MATCH("对"&amp;LEFT($C$5,2)&amp;"输出",标准坦克设计!$B$23:$U$23,0)))*(VLOOKUP($B165,INDIRECT($B$5&amp;"生成成长"),3))*(VLOOKUP($B$5,标准坦克设计!$B$14:$K$20,9)/30))</f>
        <v>10.359443813357775</v>
      </c>
      <c r="AI165" s="173">
        <f ca="1">(VLOOKUP(AI$72,INDIRECT($C$5&amp;"生成成长"),2))/((VLOOKUP($B165,INDIRECT($B$5&amp;"生成成长"),4))/(VLOOKUP(AI$72,INDIRECT($C$5&amp;"生成成长"),5))*(VLOOKUP($B$5,标准坦克设计!$B$24:$U$30,MATCH("对"&amp;LEFT($C$5,2)&amp;"输出",标准坦克设计!$B$23:$U$23,0)))*(VLOOKUP($B165,INDIRECT($B$5&amp;"生成成长"),3))*(VLOOKUP($B$5,标准坦克设计!$B$14:$K$20,9)/30))</f>
        <v>7.326853068009811</v>
      </c>
      <c r="AJ165" s="173">
        <f ca="1">(VLOOKUP(AJ$72,INDIRECT($C$5&amp;"生成成长"),2))/((VLOOKUP($B165,INDIRECT($B$5&amp;"生成成长"),4))/(VLOOKUP(AJ$72,INDIRECT($C$5&amp;"生成成长"),5))*(VLOOKUP($B$5,标准坦克设计!$B$24:$U$30,MATCH("对"&amp;LEFT($C$5,2)&amp;"输出",标准坦克设计!$B$23:$U$23,0)))*(VLOOKUP($B165,INDIRECT($B$5&amp;"生成成长"),3))*(VLOOKUP($B$5,标准坦克设计!$B$14:$K$20,9)/30))</f>
        <v>8.0197764471025401</v>
      </c>
      <c r="AK165" s="173">
        <f ca="1">(VLOOKUP(AK$72,INDIRECT($C$5&amp;"生成成长"),2))/((VLOOKUP($B165,INDIRECT($B$5&amp;"生成成长"),4))/(VLOOKUP(AK$72,INDIRECT($C$5&amp;"生成成长"),5))*(VLOOKUP($B$5,标准坦克设计!$B$24:$U$30,MATCH("对"&amp;LEFT($C$5,2)&amp;"输出",标准坦克设计!$B$23:$U$23,0)))*(VLOOKUP($B165,INDIRECT($B$5&amp;"生成成长"),3))*(VLOOKUP($B$5,标准坦克设计!$B$14:$K$20,9)/30))</f>
        <v>8.7440023197066452</v>
      </c>
      <c r="AL165" s="173">
        <f ca="1">(VLOOKUP(AL$72,INDIRECT($C$5&amp;"生成成长"),2))/((VLOOKUP($B165,INDIRECT($B$5&amp;"生成成长"),4))/(VLOOKUP(AL$72,INDIRECT($C$5&amp;"生成成长"),5))*(VLOOKUP($B$5,标准坦克设计!$B$24:$U$30,MATCH("对"&amp;LEFT($C$5,2)&amp;"输出",标准坦克设计!$B$23:$U$23,0)))*(VLOOKUP($B165,INDIRECT($B$5&amp;"生成成长"),3))*(VLOOKUP($B$5,标准坦克设计!$B$14:$K$20,9)/30))</f>
        <v>9.499530685822128</v>
      </c>
      <c r="AM165" s="173">
        <f ca="1">(VLOOKUP(AM$72,INDIRECT($C$5&amp;"生成成长"),2))/((VLOOKUP($B165,INDIRECT($B$5&amp;"生成成长"),4))/(VLOOKUP(AM$72,INDIRECT($C$5&amp;"生成成长"),5))*(VLOOKUP($B$5,标准坦克设计!$B$24:$U$30,MATCH("对"&amp;LEFT($C$5,2)&amp;"输出",标准坦克设计!$B$23:$U$23,0)))*(VLOOKUP($B165,INDIRECT($B$5&amp;"生成成长"),3))*(VLOOKUP($B$5,标准坦克设计!$B$14:$K$20,9)/30))</f>
        <v>10.286361545448983</v>
      </c>
      <c r="AN165" s="173">
        <f ca="1">(VLOOKUP(AN$72,INDIRECT($C$5&amp;"生成成长"),2))/((VLOOKUP($B165,INDIRECT($B$5&amp;"生成成长"),4))/(VLOOKUP(AN$72,INDIRECT($C$5&amp;"生成成长"),5))*(VLOOKUP($B$5,标准坦克设计!$B$24:$U$30,MATCH("对"&amp;LEFT($C$5,2)&amp;"输出",标准坦克设计!$B$23:$U$23,0)))*(VLOOKUP($B165,INDIRECT($B$5&amp;"生成成长"),3))*(VLOOKUP($B$5,标准坦克设计!$B$14:$K$20,9)/30))</f>
        <v>11.104494898587214</v>
      </c>
      <c r="AO165" s="173">
        <f ca="1">(VLOOKUP(AO$72,INDIRECT($C$5&amp;"生成成长"),2))/((VLOOKUP($B165,INDIRECT($B$5&amp;"生成成长"),4))/(VLOOKUP(AO$72,INDIRECT($C$5&amp;"生成成长"),5))*(VLOOKUP($B$5,标准坦克设计!$B$24:$U$30,MATCH("对"&amp;LEFT($C$5,2)&amp;"输出",标准坦克设计!$B$23:$U$23,0)))*(VLOOKUP($B165,INDIRECT($B$5&amp;"生成成长"),3))*(VLOOKUP($B$5,标准坦克设计!$B$14:$K$20,9)/30))</f>
        <v>11.953930745236825</v>
      </c>
      <c r="AP165" s="173">
        <f ca="1">(VLOOKUP(AP$72,INDIRECT($C$5&amp;"生成成长"),2))/((VLOOKUP($B165,INDIRECT($B$5&amp;"生成成长"),4))/(VLOOKUP(AP$72,INDIRECT($C$5&amp;"生成成长"),5))*(VLOOKUP($B$5,标准坦克设计!$B$24:$U$30,MATCH("对"&amp;LEFT($C$5,2)&amp;"输出",标准坦克设计!$B$23:$U$23,0)))*(VLOOKUP($B165,INDIRECT($B$5&amp;"生成成长"),3))*(VLOOKUP($B$5,标准坦克设计!$B$14:$K$20,9)/30))</f>
        <v>12.834669085397811</v>
      </c>
      <c r="AQ165" s="173">
        <f ca="1">(VLOOKUP(AQ$72,INDIRECT($C$5&amp;"生成成长"),2))/((VLOOKUP($B165,INDIRECT($B$5&amp;"生成成长"),4))/(VLOOKUP(AQ$72,INDIRECT($C$5&amp;"生成成长"),5))*(VLOOKUP($B$5,标准坦克设计!$B$24:$U$30,MATCH("对"&amp;LEFT($C$5,2)&amp;"输出",标准坦克设计!$B$23:$U$23,0)))*(VLOOKUP($B165,INDIRECT($B$5&amp;"生成成长"),3))*(VLOOKUP($B$5,标准坦克设计!$B$14:$K$20,9)/30))</f>
        <v>13.746709919070172</v>
      </c>
      <c r="AR165" s="173">
        <f ca="1">(VLOOKUP(AR$72,INDIRECT($C$5&amp;"生成成长"),2))/((VLOOKUP($B165,INDIRECT($B$5&amp;"生成成长"),4))/(VLOOKUP(AR$72,INDIRECT($C$5&amp;"生成成长"),5))*(VLOOKUP($B$5,标准坦克设计!$B$24:$U$30,MATCH("对"&amp;LEFT($C$5,2)&amp;"输出",标准坦克设计!$B$23:$U$23,0)))*(VLOOKUP($B165,INDIRECT($B$5&amp;"生成成长"),3))*(VLOOKUP($B$5,标准坦克设计!$B$14:$K$20,9)/30))</f>
        <v>14.690053246253909</v>
      </c>
      <c r="AS165" s="173">
        <f ca="1">(VLOOKUP(AS$72,INDIRECT($C$5&amp;"生成成长"),2))/((VLOOKUP($B165,INDIRECT($B$5&amp;"生成成长"),4))/(VLOOKUP(AS$72,INDIRECT($C$5&amp;"生成成长"),5))*(VLOOKUP($B$5,标准坦克设计!$B$24:$U$30,MATCH("对"&amp;LEFT($C$5,2)&amp;"输出",标准坦克设计!$B$23:$U$23,0)))*(VLOOKUP($B165,INDIRECT($B$5&amp;"生成成长"),3))*(VLOOKUP($B$5,标准坦克设计!$B$14:$K$20,9)/30))</f>
        <v>15.664699066949018</v>
      </c>
      <c r="AT165" s="173">
        <f ca="1">(VLOOKUP(AT$72,INDIRECT($C$5&amp;"生成成长"),2))/((VLOOKUP($B165,INDIRECT($B$5&amp;"生成成长"),4))/(VLOOKUP(AT$72,INDIRECT($C$5&amp;"生成成长"),5))*(VLOOKUP($B$5,标准坦克设计!$B$24:$U$30,MATCH("对"&amp;LEFT($C$5,2)&amp;"输出",标准坦克设计!$B$23:$U$23,0)))*(VLOOKUP($B165,INDIRECT($B$5&amp;"生成成长"),3))*(VLOOKUP($B$5,标准坦克设计!$B$14:$K$20,9)/30))</f>
        <v>16.670647381155508</v>
      </c>
      <c r="AU165" s="173">
        <f ca="1">(VLOOKUP(AU$72,INDIRECT($C$5&amp;"生成成长"),2))/((VLOOKUP($B165,INDIRECT($B$5&amp;"生成成长"),4))/(VLOOKUP(AU$72,INDIRECT($C$5&amp;"生成成长"),5))*(VLOOKUP($B$5,标准坦克设计!$B$24:$U$30,MATCH("对"&amp;LEFT($C$5,2)&amp;"输出",标准坦克设计!$B$23:$U$23,0)))*(VLOOKUP($B165,INDIRECT($B$5&amp;"生成成长"),3))*(VLOOKUP($B$5,标准坦克设计!$B$14:$K$20,9)/30))</f>
        <v>17.707898188873372</v>
      </c>
      <c r="AV165" s="173">
        <f ca="1">(VLOOKUP(AV$72,INDIRECT($C$5&amp;"生成成长"),2))/((VLOOKUP($B165,INDIRECT($B$5&amp;"生成成长"),4))/(VLOOKUP(AV$72,INDIRECT($C$5&amp;"生成成长"),5))*(VLOOKUP($B$5,标准坦克设计!$B$24:$U$30,MATCH("对"&amp;LEFT($C$5,2)&amp;"输出",标准坦克设计!$B$23:$U$23,0)))*(VLOOKUP($B165,INDIRECT($B$5&amp;"生成成长"),3))*(VLOOKUP($B$5,标准坦克设计!$B$14:$K$20,9)/30))</f>
        <v>1.8010575192247835</v>
      </c>
      <c r="AW165" s="173">
        <f ca="1">(VLOOKUP(AW$72,INDIRECT($C$5&amp;"生成成长"),2))/((VLOOKUP($B165,INDIRECT($B$5&amp;"生成成长"),4))/(VLOOKUP(AW$72,INDIRECT($C$5&amp;"生成成长"),5))*(VLOOKUP($B$5,标准坦克设计!$B$24:$U$30,MATCH("对"&amp;LEFT($C$5,2)&amp;"输出",标准坦克设计!$B$23:$U$23,0)))*(VLOOKUP($B165,INDIRECT($B$5&amp;"生成成长"),3))*(VLOOKUP($B$5,标准坦克设计!$B$14:$K$20,9)/30))</f>
        <v>2.0535470536636495</v>
      </c>
      <c r="AX165" s="173">
        <f ca="1">(VLOOKUP(AX$72,INDIRECT($C$5&amp;"生成成长"),2))/((VLOOKUP($B165,INDIRECT($B$5&amp;"生成成长"),4))/(VLOOKUP(AX$72,INDIRECT($C$5&amp;"生成成长"),5))*(VLOOKUP($B$5,标准坦克设计!$B$24:$U$30,MATCH("对"&amp;LEFT($C$5,2)&amp;"输出",标准坦克设计!$B$23:$U$23,0)))*(VLOOKUP($B165,INDIRECT($B$5&amp;"生成成长"),3))*(VLOOKUP($B$5,标准坦克设计!$B$14:$K$20,9)/30))</f>
        <v>2.3225932788853925</v>
      </c>
      <c r="AY165" s="173">
        <f ca="1">(VLOOKUP(AY$72,INDIRECT($C$5&amp;"生成成长"),2))/((VLOOKUP($B165,INDIRECT($B$5&amp;"生成成长"),4))/(VLOOKUP(AY$72,INDIRECT($C$5&amp;"生成成长"),5))*(VLOOKUP($B$5,标准坦克设计!$B$24:$U$30,MATCH("对"&amp;LEFT($C$5,2)&amp;"输出",标准坦克设计!$B$23:$U$23,0)))*(VLOOKUP($B165,INDIRECT($B$5&amp;"生成成长"),3))*(VLOOKUP($B$5,标准坦克设计!$B$14:$K$20,9)/30))</f>
        <v>2.6081961948900116</v>
      </c>
      <c r="AZ165" s="173">
        <f ca="1">(VLOOKUP(AZ$72,INDIRECT($C$5&amp;"生成成长"),2))/((VLOOKUP($B165,INDIRECT($B$5&amp;"生成成长"),4))/(VLOOKUP(AZ$72,INDIRECT($C$5&amp;"生成成长"),5))*(VLOOKUP($B$5,标准坦克设计!$B$24:$U$30,MATCH("对"&amp;LEFT($C$5,2)&amp;"输出",标准坦克设计!$B$23:$U$23,0)))*(VLOOKUP($B165,INDIRECT($B$5&amp;"生成成长"),3))*(VLOOKUP($B$5,标准坦克设计!$B$14:$K$20,9)/30))</f>
        <v>2.9103558016775084</v>
      </c>
      <c r="BA165" s="173">
        <f ca="1">(VLOOKUP(BA$72,INDIRECT($C$5&amp;"生成成长"),2))/((VLOOKUP($B165,INDIRECT($B$5&amp;"生成成长"),4))/(VLOOKUP(BA$72,INDIRECT($C$5&amp;"生成成长"),5))*(VLOOKUP($B$5,标准坦克设计!$B$24:$U$30,MATCH("对"&amp;LEFT($C$5,2)&amp;"输出",标准坦克设计!$B$23:$U$23,0)))*(VLOOKUP($B165,INDIRECT($B$5&amp;"生成成长"),3))*(VLOOKUP($B$5,标准坦克设计!$B$14:$K$20,9)/30))</f>
        <v>3.2290720992478801</v>
      </c>
      <c r="BB165" s="173">
        <f ca="1">(VLOOKUP(BB$72,INDIRECT($C$5&amp;"生成成长"),2))/((VLOOKUP($B165,INDIRECT($B$5&amp;"生成成长"),4))/(VLOOKUP(BB$72,INDIRECT($C$5&amp;"生成成长"),5))*(VLOOKUP($B$5,标准坦克设计!$B$24:$U$30,MATCH("对"&amp;LEFT($C$5,2)&amp;"输出",标准坦克设计!$B$23:$U$23,0)))*(VLOOKUP($B165,INDIRECT($B$5&amp;"生成成长"),3))*(VLOOKUP($B$5,标准坦克设计!$B$14:$K$20,9)/30))</f>
        <v>3.5643450876011284</v>
      </c>
      <c r="BC165" s="173">
        <f ca="1">(VLOOKUP(BC$72,INDIRECT($C$5&amp;"生成成长"),2))/((VLOOKUP($B165,INDIRECT($B$5&amp;"生成成长"),4))/(VLOOKUP(BC$72,INDIRECT($C$5&amp;"生成成长"),5))*(VLOOKUP($B$5,标准坦克设计!$B$24:$U$30,MATCH("对"&amp;LEFT($C$5,2)&amp;"输出",标准坦克设计!$B$23:$U$23,0)))*(VLOOKUP($B165,INDIRECT($B$5&amp;"生成成长"),3))*(VLOOKUP($B$5,标准坦克设计!$B$14:$K$20,9)/30))</f>
        <v>3.9161747667372544</v>
      </c>
      <c r="BD165" s="173">
        <f ca="1">(VLOOKUP(BD$72,INDIRECT($C$5&amp;"生成成长"),2))/((VLOOKUP($B165,INDIRECT($B$5&amp;"生成成长"),4))/(VLOOKUP(BD$72,INDIRECT($C$5&amp;"生成成长"),5))*(VLOOKUP($B$5,标准坦克设计!$B$24:$U$30,MATCH("对"&amp;LEFT($C$5,2)&amp;"输出",标准坦克设计!$B$23:$U$23,0)))*(VLOOKUP($B165,INDIRECT($B$5&amp;"生成成长"),3))*(VLOOKUP($B$5,标准坦克设计!$B$14:$K$20,9)/30))</f>
        <v>4.3317735752168023</v>
      </c>
      <c r="BE165" s="173">
        <f ca="1">(VLOOKUP(BE$72,INDIRECT($C$5&amp;"生成成长"),2))/((VLOOKUP($B165,INDIRECT($B$5&amp;"生成成长"),4))/(VLOOKUP(BE$72,INDIRECT($C$5&amp;"生成成长"),5))*(VLOOKUP($B$5,标准坦克设计!$B$24:$U$30,MATCH("对"&amp;LEFT($C$5,2)&amp;"输出",标准坦克设计!$B$23:$U$23,0)))*(VLOOKUP($B165,INDIRECT($B$5&amp;"生成成长"),3))*(VLOOKUP($B$5,标准坦克设计!$B$14:$K$20,9)/30))</f>
        <v>4.7683269454684298</v>
      </c>
      <c r="BF165" s="173">
        <f ca="1">(VLOOKUP(BF$72,INDIRECT($C$5&amp;"生成成长"),2))/((VLOOKUP($B165,INDIRECT($B$5&amp;"生成成长"),4))/(VLOOKUP(BF$72,INDIRECT($C$5&amp;"生成成长"),5))*(VLOOKUP($B$5,标准坦克设计!$B$24:$U$30,MATCH("对"&amp;LEFT($C$5,2)&amp;"输出",标准坦克设计!$B$23:$U$23,0)))*(VLOOKUP($B165,INDIRECT($B$5&amp;"生成成长"),3))*(VLOOKUP($B$5,标准坦克设计!$B$14:$K$20,9)/30))</f>
        <v>5.2258348774921322</v>
      </c>
      <c r="BG165" s="173">
        <f ca="1">(VLOOKUP(BG$72,INDIRECT($C$5&amp;"生成成长"),2))/((VLOOKUP($B165,INDIRECT($B$5&amp;"生成成长"),4))/(VLOOKUP(BG$72,INDIRECT($C$5&amp;"生成成长"),5))*(VLOOKUP($B$5,标准坦克设计!$B$24:$U$30,MATCH("对"&amp;LEFT($C$5,2)&amp;"输出",标准坦克设计!$B$23:$U$23,0)))*(VLOOKUP($B165,INDIRECT($B$5&amp;"生成成长"),3))*(VLOOKUP($B$5,标准坦克设计!$B$14:$K$20,9)/30))</f>
        <v>5.7042973712879155</v>
      </c>
      <c r="BH165" s="173">
        <f ca="1">(VLOOKUP(BH$72,INDIRECT($C$5&amp;"生成成长"),2))/((VLOOKUP($B165,INDIRECT($B$5&amp;"生成成长"),4))/(VLOOKUP(BH$72,INDIRECT($C$5&amp;"生成成长"),5))*(VLOOKUP($B$5,标准坦克设计!$B$24:$U$30,MATCH("对"&amp;LEFT($C$5,2)&amp;"输出",标准坦克设计!$B$23:$U$23,0)))*(VLOOKUP($B165,INDIRECT($B$5&amp;"生成成长"),3))*(VLOOKUP($B$5,标准坦克设计!$B$14:$K$20,9)/30))</f>
        <v>2.7572064119359005</v>
      </c>
      <c r="BI165" s="173">
        <f ca="1">(VLOOKUP(BI$72,INDIRECT($C$5&amp;"生成成长"),2))/((VLOOKUP($B165,INDIRECT($B$5&amp;"生成成长"),4))/(VLOOKUP(BI$72,INDIRECT($C$5&amp;"生成成长"),5))*(VLOOKUP($B$5,标准坦克设计!$B$24:$U$30,MATCH("对"&amp;LEFT($C$5,2)&amp;"输出",标准坦克设计!$B$23:$U$23,0)))*(VLOOKUP($B165,INDIRECT($B$5&amp;"生成成长"),3))*(VLOOKUP($B$5,标准坦克设计!$B$14:$K$20,9)/30))</f>
        <v>3.107613250457872</v>
      </c>
      <c r="BJ165" s="173">
        <f ca="1">(VLOOKUP(BJ$72,INDIRECT($C$5&amp;"生成成长"),2))/((VLOOKUP($B165,INDIRECT($B$5&amp;"生成成长"),4))/(VLOOKUP(BJ$72,INDIRECT($C$5&amp;"生成成长"),5))*(VLOOKUP($B$5,标准坦克设计!$B$24:$U$30,MATCH("对"&amp;LEFT($C$5,2)&amp;"输出",标准坦克设计!$B$23:$U$23,0)))*(VLOOKUP($B165,INDIRECT($B$5&amp;"生成成长"),3))*(VLOOKUP($B$5,标准坦克设计!$B$14:$K$20,9)/30))</f>
        <v>3.4789746507519221</v>
      </c>
      <c r="BK165" s="173">
        <f ca="1">(VLOOKUP(BK$72,INDIRECT($C$5&amp;"生成成长"),2))/((VLOOKUP($B165,INDIRECT($B$5&amp;"生成成长"),4))/(VLOOKUP(BK$72,INDIRECT($C$5&amp;"生成成长"),5))*(VLOOKUP($B$5,标准坦克设计!$B$24:$U$30,MATCH("对"&amp;LEFT($C$5,2)&amp;"输出",标准坦克设计!$B$23:$U$23,0)))*(VLOOKUP($B165,INDIRECT($B$5&amp;"生成成长"),3))*(VLOOKUP($B$5,标准坦克设计!$B$14:$K$20,9)/30))</f>
        <v>3.8712906128180506</v>
      </c>
      <c r="BL165" s="173">
        <f ca="1">(VLOOKUP(BL$72,INDIRECT($C$5&amp;"生成成长"),2))/((VLOOKUP($B165,INDIRECT($B$5&amp;"生成成长"),4))/(VLOOKUP(BL$72,INDIRECT($C$5&amp;"生成成长"),5))*(VLOOKUP($B$5,标准坦克设计!$B$24:$U$30,MATCH("对"&amp;LEFT($C$5,2)&amp;"输出",标准坦克设计!$B$23:$U$23,0)))*(VLOOKUP($B165,INDIRECT($B$5&amp;"生成成长"),3))*(VLOOKUP($B$5,标准坦克设计!$B$14:$K$20,9)/30))</f>
        <v>4.2845611366562562</v>
      </c>
      <c r="BM165" s="173">
        <f ca="1">(VLOOKUP(BM$72,INDIRECT($C$5&amp;"生成成长"),2))/((VLOOKUP($B165,INDIRECT($B$5&amp;"生成成长"),4))/(VLOOKUP(BM$72,INDIRECT($C$5&amp;"生成成长"),5))*(VLOOKUP($B$5,标准坦克设计!$B$24:$U$30,MATCH("对"&amp;LEFT($C$5,2)&amp;"输出",标准坦克设计!$B$23:$U$23,0)))*(VLOOKUP($B165,INDIRECT($B$5&amp;"生成成长"),3))*(VLOOKUP($B$5,标准坦克设计!$B$14:$K$20,9)/30))</f>
        <v>4.71878622226654</v>
      </c>
      <c r="BN165" s="173">
        <f ca="1">(VLOOKUP(BN$72,INDIRECT($C$5&amp;"生成成长"),2))/((VLOOKUP($B165,INDIRECT($B$5&amp;"生成成长"),4))/(VLOOKUP(BN$72,INDIRECT($C$5&amp;"生成成长"),5))*(VLOOKUP($B$5,标准坦克设计!$B$24:$U$30,MATCH("对"&amp;LEFT($C$5,2)&amp;"输出",标准坦克设计!$B$23:$U$23,0)))*(VLOOKUP($B165,INDIRECT($B$5&amp;"生成成长"),3))*(VLOOKUP($B$5,标准坦克设计!$B$14:$K$20,9)/30))</f>
        <v>5.173965869648903</v>
      </c>
      <c r="BO165" s="173">
        <f ca="1">(VLOOKUP(BO$72,INDIRECT($C$5&amp;"生成成长"),2))/((VLOOKUP($B165,INDIRECT($B$5&amp;"生成成长"),4))/(VLOOKUP(BO$72,INDIRECT($C$5&amp;"生成成长"),5))*(VLOOKUP($B$5,标准坦克设计!$B$24:$U$30,MATCH("对"&amp;LEFT($C$5,2)&amp;"输出",标准坦克设计!$B$23:$U$23,0)))*(VLOOKUP($B165,INDIRECT($B$5&amp;"生成成长"),3))*(VLOOKUP($B$5,标准坦克设计!$B$14:$K$20,9)/30))</f>
        <v>5.6501000788033426</v>
      </c>
      <c r="BP165" s="173">
        <f ca="1">(VLOOKUP(BP$72,INDIRECT($C$5&amp;"生成成长"),2))/((VLOOKUP($B165,INDIRECT($B$5&amp;"生成成长"),4))/(VLOOKUP(BP$72,INDIRECT($C$5&amp;"生成成长"),5))*(VLOOKUP($B$5,标准坦克设计!$B$24:$U$30,MATCH("对"&amp;LEFT($C$5,2)&amp;"输出",标准坦克设计!$B$23:$U$23,0)))*(VLOOKUP($B165,INDIRECT($B$5&amp;"生成成长"),3))*(VLOOKUP($B$5,标准坦克设计!$B$14:$K$20,9)/30))</f>
        <v>6.1471888497298623</v>
      </c>
      <c r="BQ165" s="173">
        <f ca="1">(VLOOKUP(BQ$72,INDIRECT($C$5&amp;"生成成长"),2))/((VLOOKUP($B165,INDIRECT($B$5&amp;"生成成长"),4))/(VLOOKUP(BQ$72,INDIRECT($C$5&amp;"生成成长"),5))*(VLOOKUP($B$5,标准坦克设计!$B$24:$U$30,MATCH("对"&amp;LEFT($C$5,2)&amp;"输出",标准坦克设计!$B$23:$U$23,0)))*(VLOOKUP($B165,INDIRECT($B$5&amp;"生成成长"),3))*(VLOOKUP($B$5,标准坦克设计!$B$14:$K$20,9)/30))</f>
        <v>6.6652321824284577</v>
      </c>
      <c r="BR165" s="173">
        <f ca="1">(VLOOKUP(BR$72,INDIRECT($C$5&amp;"生成成长"),2))/((VLOOKUP($B165,INDIRECT($B$5&amp;"生成成长"),4))/(VLOOKUP(BR$72,INDIRECT($C$5&amp;"生成成长"),5))*(VLOOKUP($B$5,标准坦克设计!$B$24:$U$30,MATCH("对"&amp;LEFT($C$5,2)&amp;"输出",标准坦克设计!$B$23:$U$23,0)))*(VLOOKUP($B165,INDIRECT($B$5&amp;"生成成长"),3))*(VLOOKUP($B$5,标准坦克设计!$B$14:$K$20,9)/30))</f>
        <v>7.265412223307731</v>
      </c>
      <c r="BS165" s="173">
        <f ca="1">(VLOOKUP(BS$72,INDIRECT($C$5&amp;"生成成长"),2))/((VLOOKUP($B165,INDIRECT($B$5&amp;"生成成长"),4))/(VLOOKUP(BS$72,INDIRECT($C$5&amp;"生成成长"),5))*(VLOOKUP($B$5,标准坦克设计!$B$24:$U$30,MATCH("对"&amp;LEFT($C$5,2)&amp;"输出",标准坦克设计!$B$23:$U$23,0)))*(VLOOKUP($B165,INDIRECT($B$5&amp;"生成成长"),3))*(VLOOKUP($B$5,标准坦克设计!$B$14:$K$20,9)/30))</f>
        <v>7.8914620935352477</v>
      </c>
      <c r="BT165" s="173">
        <f ca="1">(VLOOKUP(BT$72,INDIRECT($C$5&amp;"生成成长"),2))/((VLOOKUP($B165,INDIRECT($B$5&amp;"生成成长"),4))/(VLOOKUP(BT$72,INDIRECT($C$5&amp;"生成成长"),5))*(VLOOKUP($B$5,标准坦克设计!$B$24:$U$30,MATCH("对"&amp;LEFT($C$5,2)&amp;"输出",标准坦克设计!$B$23:$U$23,0)))*(VLOOKUP($B165,INDIRECT($B$5&amp;"生成成长"),3))*(VLOOKUP($B$5,标准坦克设计!$B$14:$K$20,9)/30))</f>
        <v>8.5433817931110116</v>
      </c>
      <c r="BU165" s="173">
        <f ca="1">(VLOOKUP(BU$72,INDIRECT($C$5&amp;"生成成长"),2))/((VLOOKUP($B165,INDIRECT($B$5&amp;"生成成长"),4))/(VLOOKUP(BU$72,INDIRECT($C$5&amp;"生成成长"),5))*(VLOOKUP($B$5,标准坦克设计!$B$24:$U$30,MATCH("对"&amp;LEFT($C$5,2)&amp;"输出",标准坦克设计!$B$23:$U$23,0)))*(VLOOKUP($B165,INDIRECT($B$5&amp;"生成成长"),3))*(VLOOKUP($B$5,标准坦克设计!$B$14:$K$20,9)/30))</f>
        <v>9.2211713220350155</v>
      </c>
      <c r="BV165" s="173">
        <f ca="1">(VLOOKUP(BV$72,INDIRECT($C$5&amp;"生成成长"),2))/((VLOOKUP($B165,INDIRECT($B$5&amp;"生成成长"),4))/(VLOOKUP(BV$72,INDIRECT($C$5&amp;"生成成长"),5))*(VLOOKUP($B$5,标准坦克设计!$B$24:$U$30,MATCH("对"&amp;LEFT($C$5,2)&amp;"输出",标准坦克设计!$B$23:$U$23,0)))*(VLOOKUP($B165,INDIRECT($B$5&amp;"生成成长"),3))*(VLOOKUP($B$5,标准坦克设计!$B$14:$K$20,9)/30))</f>
        <v>9.9248306803072666</v>
      </c>
      <c r="BW165" s="173">
        <f ca="1">(VLOOKUP(BW$72,INDIRECT($C$5&amp;"生成成长"),2))/((VLOOKUP($B165,INDIRECT($B$5&amp;"生成成长"),4))/(VLOOKUP(BW$72,INDIRECT($C$5&amp;"生成成长"),5))*(VLOOKUP($B$5,标准坦克设计!$B$24:$U$30,MATCH("对"&amp;LEFT($C$5,2)&amp;"输出",标准坦克设计!$B$23:$U$23,0)))*(VLOOKUP($B165,INDIRECT($B$5&amp;"生成成长"),3))*(VLOOKUP($B$5,标准坦克设计!$B$14:$K$20,9)/30))</f>
        <v>4.5232103123938128</v>
      </c>
      <c r="BX165" s="173">
        <f ca="1">(VLOOKUP(BX$72,INDIRECT($C$5&amp;"生成成长"),2))/((VLOOKUP($B165,INDIRECT($B$5&amp;"生成成长"),4))/(VLOOKUP(BX$72,INDIRECT($C$5&amp;"生成成长"),5))*(VLOOKUP($B$5,标准坦克设计!$B$24:$U$30,MATCH("对"&amp;LEFT($C$5,2)&amp;"输出",标准坦克设计!$B$23:$U$23,0)))*(VLOOKUP($B165,INDIRECT($B$5&amp;"生成成长"),3))*(VLOOKUP($B$5,标准坦克设计!$B$14:$K$20,9)/30))</f>
        <v>5.0199110358801073</v>
      </c>
      <c r="BY165" s="173">
        <f ca="1">(VLOOKUP(BY$72,INDIRECT($C$5&amp;"生成成长"),2))/((VLOOKUP($B165,INDIRECT($B$5&amp;"生成成长"),4))/(VLOOKUP(BY$72,INDIRECT($C$5&amp;"生成成长"),5))*(VLOOKUP($B$5,标准坦克设计!$B$24:$U$30,MATCH("对"&amp;LEFT($C$5,2)&amp;"输出",标准坦克设计!$B$23:$U$23,0)))*(VLOOKUP($B165,INDIRECT($B$5&amp;"生成成长"),3))*(VLOOKUP($B$5,标准坦克设计!$B$14:$K$20,9)/30))</f>
        <v>5.5424815887146464</v>
      </c>
      <c r="BZ165" s="173">
        <f ca="1">(VLOOKUP(BZ$72,INDIRECT($C$5&amp;"生成成长"),2))/((VLOOKUP($B165,INDIRECT($B$5&amp;"生成成长"),4))/(VLOOKUP(BZ$72,INDIRECT($C$5&amp;"生成成长"),5))*(VLOOKUP($B$5,标准坦克设计!$B$24:$U$30,MATCH("对"&amp;LEFT($C$5,2)&amp;"输出",标准坦克设计!$B$23:$U$23,0)))*(VLOOKUP($B165,INDIRECT($B$5&amp;"生成成长"),3))*(VLOOKUP($B$5,标准坦克设计!$B$14:$K$20,9)/30))</f>
        <v>6.0909219708974289</v>
      </c>
      <c r="CA165" s="173">
        <f ca="1">(VLOOKUP(CA$72,INDIRECT($C$5&amp;"生成成长"),2))/((VLOOKUP($B165,INDIRECT($B$5&amp;"生成成长"),4))/(VLOOKUP(CA$72,INDIRECT($C$5&amp;"生成成长"),5))*(VLOOKUP($B$5,标准坦克设计!$B$24:$U$30,MATCH("对"&amp;LEFT($C$5,2)&amp;"输出",标准坦克设计!$B$23:$U$23,0)))*(VLOOKUP($B165,INDIRECT($B$5&amp;"生成成长"),3))*(VLOOKUP($B$5,标准坦克设计!$B$14:$K$20,9)/30))</f>
        <v>6.6652321824284577</v>
      </c>
      <c r="CB165" s="173">
        <f ca="1">(VLOOKUP(CB$72,INDIRECT($C$5&amp;"生成成长"),2))/((VLOOKUP($B165,INDIRECT($B$5&amp;"生成成长"),4))/(VLOOKUP(CB$72,INDIRECT($C$5&amp;"生成成长"),5))*(VLOOKUP($B$5,标准坦克设计!$B$24:$U$30,MATCH("对"&amp;LEFT($C$5,2)&amp;"输出",标准坦克设计!$B$23:$U$23,0)))*(VLOOKUP($B165,INDIRECT($B$5&amp;"生成成长"),3))*(VLOOKUP($B$5,标准坦克设计!$B$14:$K$20,9)/30))</f>
        <v>7.265412223307731</v>
      </c>
      <c r="CC165" s="173">
        <f ca="1">(VLOOKUP(CC$72,INDIRECT($C$5&amp;"生成成长"),2))/((VLOOKUP($B165,INDIRECT($B$5&amp;"生成成长"),4))/(VLOOKUP(CC$72,INDIRECT($C$5&amp;"生成成长"),5))*(VLOOKUP($B$5,标准坦克设计!$B$24:$U$30,MATCH("对"&amp;LEFT($C$5,2)&amp;"输出",标准坦克设计!$B$23:$U$23,0)))*(VLOOKUP($B165,INDIRECT($B$5&amp;"生成成长"),3))*(VLOOKUP($B$5,标准坦克设计!$B$14:$K$20,9)/30))</f>
        <v>7.8914620935352477</v>
      </c>
      <c r="CD165" s="173">
        <f ca="1">(VLOOKUP(CD$72,INDIRECT($C$5&amp;"生成成长"),2))/((VLOOKUP($B165,INDIRECT($B$5&amp;"生成成长"),4))/(VLOOKUP(CD$72,INDIRECT($C$5&amp;"生成成长"),5))*(VLOOKUP($B$5,标准坦克设计!$B$24:$U$30,MATCH("对"&amp;LEFT($C$5,2)&amp;"输出",标准坦克设计!$B$23:$U$23,0)))*(VLOOKUP($B165,INDIRECT($B$5&amp;"生成成长"),3))*(VLOOKUP($B$5,标准坦克设计!$B$14:$K$20,9)/30))</f>
        <v>8.5433817931110116</v>
      </c>
      <c r="CE165" s="173">
        <f ca="1">(VLOOKUP(CE$72,INDIRECT($C$5&amp;"生成成长"),2))/((VLOOKUP($B165,INDIRECT($B$5&amp;"生成成长"),4))/(VLOOKUP(CE$72,INDIRECT($C$5&amp;"生成成长"),5))*(VLOOKUP($B$5,标准坦克设计!$B$24:$U$30,MATCH("对"&amp;LEFT($C$5,2)&amp;"输出",标准坦克设计!$B$23:$U$23,0)))*(VLOOKUP($B165,INDIRECT($B$5&amp;"生成成长"),3))*(VLOOKUP($B$5,标准坦克设计!$B$14:$K$20,9)/30))</f>
        <v>9.2211713220350155</v>
      </c>
      <c r="CF165" s="173">
        <f ca="1">(VLOOKUP(CF$72,INDIRECT($C$5&amp;"生成成长"),2))/((VLOOKUP($B165,INDIRECT($B$5&amp;"生成成长"),4))/(VLOOKUP(CF$72,INDIRECT($C$5&amp;"生成成长"),5))*(VLOOKUP($B$5,标准坦克设计!$B$24:$U$30,MATCH("对"&amp;LEFT($C$5,2)&amp;"输出",标准坦克设计!$B$23:$U$23,0)))*(VLOOKUP($B165,INDIRECT($B$5&amp;"生成成长"),3))*(VLOOKUP($B$5,标准坦克设计!$B$14:$K$20,9)/30))</f>
        <v>9.9248306803072666</v>
      </c>
      <c r="CG165" s="173">
        <f ca="1">(VLOOKUP(CG$72,INDIRECT($C$5&amp;"生成成长"),2))/((VLOOKUP($B165,INDIRECT($B$5&amp;"生成成长"),4))/(VLOOKUP(CG$72,INDIRECT($C$5&amp;"生成成长"),5))*(VLOOKUP($B$5,标准坦克设计!$B$24:$U$30,MATCH("对"&amp;LEFT($C$5,2)&amp;"输出",标准坦克设计!$B$23:$U$23,0)))*(VLOOKUP($B165,INDIRECT($B$5&amp;"生成成长"),3))*(VLOOKUP($B$5,标准坦克设计!$B$14:$K$20,9)/30))</f>
        <v>10.654359867927763</v>
      </c>
      <c r="CH165" s="173">
        <f ca="1">(VLOOKUP(CH$72,INDIRECT($C$5&amp;"生成成长"),2))/((VLOOKUP($B165,INDIRECT($B$5&amp;"生成成长"),4))/(VLOOKUP(CH$72,INDIRECT($C$5&amp;"生成成长"),5))*(VLOOKUP($B$5,标准坦克设计!$B$24:$U$30,MATCH("对"&amp;LEFT($C$5,2)&amp;"输出",标准坦克设计!$B$23:$U$23,0)))*(VLOOKUP($B165,INDIRECT($B$5&amp;"生成成长"),3))*(VLOOKUP($B$5,标准坦克设计!$B$14:$K$20,9)/30))</f>
        <v>11.409758884896501</v>
      </c>
      <c r="CI165" s="173">
        <f ca="1">(VLOOKUP(CI$72,INDIRECT($C$5&amp;"生成成长"),2))/((VLOOKUP($B165,INDIRECT($B$5&amp;"生成成长"),4))/(VLOOKUP(CI$72,INDIRECT($C$5&amp;"生成成长"),5))*(VLOOKUP($B$5,标准坦克设计!$B$24:$U$30,MATCH("对"&amp;LEFT($C$5,2)&amp;"输出",标准坦克设计!$B$23:$U$23,0)))*(VLOOKUP($B165,INDIRECT($B$5&amp;"生成成长"),3))*(VLOOKUP($B$5,标准坦克设计!$B$14:$K$20,9)/30))</f>
        <v>12.270577456459337</v>
      </c>
      <c r="CJ165" s="173">
        <f ca="1">(VLOOKUP(CJ$72,INDIRECT($C$5&amp;"生成成长"),2))/((VLOOKUP($B165,INDIRECT($B$5&amp;"生成成长"),4))/(VLOOKUP(CJ$72,INDIRECT($C$5&amp;"生成成长"),5))*(VLOOKUP($B$5,标准坦克设计!$B$24:$U$30,MATCH("对"&amp;LEFT($C$5,2)&amp;"输出",标准坦克设计!$B$23:$U$23,0)))*(VLOOKUP($B165,INDIRECT($B$5&amp;"生成成长"),3))*(VLOOKUP($B$5,标准坦克设计!$B$14:$K$20,9)/30))</f>
        <v>13.162698521533551</v>
      </c>
      <c r="CK165" s="173">
        <f ca="1">(VLOOKUP(CK$72,INDIRECT($C$5&amp;"生成成长"),2))/((VLOOKUP($B165,INDIRECT($B$5&amp;"生成成长"),4))/(VLOOKUP(CK$72,INDIRECT($C$5&amp;"生成成长"),5))*(VLOOKUP($B$5,标准坦克设计!$B$24:$U$30,MATCH("对"&amp;LEFT($C$5,2)&amp;"输出",标准坦克设计!$B$23:$U$23,0)))*(VLOOKUP($B165,INDIRECT($B$5&amp;"生成成长"),3))*(VLOOKUP($B$5,标准坦克设计!$B$14:$K$20,9)/30))</f>
        <v>14.086122080119139</v>
      </c>
      <c r="CL165" s="173">
        <f ca="1">(VLOOKUP(CL$72,INDIRECT($C$5&amp;"生成成长"),2))/((VLOOKUP($B165,INDIRECT($B$5&amp;"生成成长"),4))/(VLOOKUP(CL$72,INDIRECT($C$5&amp;"生成成长"),5))*(VLOOKUP($B$5,标准坦克设计!$B$24:$U$30,MATCH("对"&amp;LEFT($C$5,2)&amp;"输出",标准坦克设计!$B$23:$U$23,0)))*(VLOOKUP($B165,INDIRECT($B$5&amp;"生成成长"),3))*(VLOOKUP($B$5,标准坦克设计!$B$14:$K$20,9)/30))</f>
        <v>15.040848132216102</v>
      </c>
      <c r="CM165" s="173">
        <f ca="1">(VLOOKUP(CM$72,INDIRECT($C$5&amp;"生成成长"),2))/((VLOOKUP($B165,INDIRECT($B$5&amp;"生成成长"),4))/(VLOOKUP(CM$72,INDIRECT($C$5&amp;"生成成长"),5))*(VLOOKUP($B$5,标准坦克设计!$B$24:$U$30,MATCH("对"&amp;LEFT($C$5,2)&amp;"输出",标准坦克设计!$B$23:$U$23,0)))*(VLOOKUP($B165,INDIRECT($B$5&amp;"生成成长"),3))*(VLOOKUP($B$5,标准坦克设计!$B$14:$K$20,9)/30))</f>
        <v>16.026876677824443</v>
      </c>
      <c r="CN165" s="173">
        <f ca="1">(VLOOKUP(CN$72,INDIRECT($C$5&amp;"生成成长"),2))/((VLOOKUP($B165,INDIRECT($B$5&amp;"生成成长"),4))/(VLOOKUP(CN$72,INDIRECT($C$5&amp;"生成成长"),5))*(VLOOKUP($B$5,标准坦克设计!$B$24:$U$30,MATCH("对"&amp;LEFT($C$5,2)&amp;"输出",标准坦克设计!$B$23:$U$23,0)))*(VLOOKUP($B165,INDIRECT($B$5&amp;"生成成长"),3))*(VLOOKUP($B$5,标准坦克设计!$B$14:$K$20,9)/30))</f>
        <v>17.044207716944154</v>
      </c>
      <c r="CO165" s="173">
        <f ca="1">(VLOOKUP(CO$72,INDIRECT($C$5&amp;"生成成长"),2))/((VLOOKUP($B165,INDIRECT($B$5&amp;"生成成长"),4))/(VLOOKUP(CO$72,INDIRECT($C$5&amp;"生成成长"),5))*(VLOOKUP($B$5,标准坦克设计!$B$24:$U$30,MATCH("对"&amp;LEFT($C$5,2)&amp;"输出",标准坦克设计!$B$23:$U$23,0)))*(VLOOKUP($B165,INDIRECT($B$5&amp;"生成成长"),3))*(VLOOKUP($B$5,标准坦克设计!$B$14:$K$20,9)/30))</f>
        <v>7.6379377659224508</v>
      </c>
      <c r="CP165" s="173">
        <f ca="1">(VLOOKUP(CP$72,INDIRECT($C$5&amp;"生成成长"),2))/((VLOOKUP($B165,INDIRECT($B$5&amp;"生成成长"),4))/(VLOOKUP(CP$72,INDIRECT($C$5&amp;"生成成长"),5))*(VLOOKUP($B$5,标准坦克设计!$B$24:$U$30,MATCH("对"&amp;LEFT($C$5,2)&amp;"输出",标准坦克设计!$B$23:$U$23,0)))*(VLOOKUP($B165,INDIRECT($B$5&amp;"生成成长"),3))*(VLOOKUP($B$5,标准坦克设计!$B$14:$K$20,9)/30))</f>
        <v>8.3450895511567147</v>
      </c>
      <c r="CQ165" s="173">
        <f ca="1">(VLOOKUP(CQ$72,INDIRECT($C$5&amp;"生成成长"),2))/((VLOOKUP($B165,INDIRECT($B$5&amp;"生成成长"),4))/(VLOOKUP(CQ$72,INDIRECT($C$5&amp;"生成成长"),5))*(VLOOKUP($B$5,标准坦克设计!$B$24:$U$30,MATCH("对"&amp;LEFT($C$5,2)&amp;"输出",标准坦克设计!$B$23:$U$23,0)))*(VLOOKUP($B165,INDIRECT($B$5&amp;"生成成长"),3))*(VLOOKUP($B$5,标准坦克设计!$B$14:$K$20,9)/30))</f>
        <v>9.0835438299023554</v>
      </c>
      <c r="CR165" s="173">
        <f ca="1">(VLOOKUP(CR$72,INDIRECT($C$5&amp;"生成成长"),2))/((VLOOKUP($B165,INDIRECT($B$5&amp;"生成成长"),4))/(VLOOKUP(CR$72,INDIRECT($C$5&amp;"生成成长"),5))*(VLOOKUP($B$5,标准坦克设计!$B$24:$U$30,MATCH("对"&amp;LEFT($C$5,2)&amp;"输出",标准坦克设计!$B$23:$U$23,0)))*(VLOOKUP($B165,INDIRECT($B$5&amp;"生成成长"),3))*(VLOOKUP($B$5,标准坦克设计!$B$14:$K$20,9)/30))</f>
        <v>9.8533006021593685</v>
      </c>
      <c r="CS165" s="173">
        <f ca="1">(VLOOKUP(CS$72,INDIRECT($C$5&amp;"生成成长"),2))/((VLOOKUP($B165,INDIRECT($B$5&amp;"生成成长"),4))/(VLOOKUP(CS$72,INDIRECT($C$5&amp;"生成成长"),5))*(VLOOKUP($B$5,标准坦克设计!$B$24:$U$30,MATCH("对"&amp;LEFT($C$5,2)&amp;"输出",标准坦克设计!$B$23:$U$23,0)))*(VLOOKUP($B165,INDIRECT($B$5&amp;"生成成长"),3))*(VLOOKUP($B$5,标准坦克设计!$B$14:$K$20,9)/30))</f>
        <v>10.654359867927763</v>
      </c>
      <c r="CT165" s="173">
        <f ca="1">(VLOOKUP(CT$72,INDIRECT($C$5&amp;"生成成长"),2))/((VLOOKUP($B165,INDIRECT($B$5&amp;"生成成长"),4))/(VLOOKUP(CT$72,INDIRECT($C$5&amp;"生成成长"),5))*(VLOOKUP($B$5,标准坦克设计!$B$24:$U$30,MATCH("对"&amp;LEFT($C$5,2)&amp;"输出",标准坦克设计!$B$23:$U$23,0)))*(VLOOKUP($B165,INDIRECT($B$5&amp;"生成成长"),3))*(VLOOKUP($B$5,标准坦克设计!$B$14:$K$20,9)/30))</f>
        <v>11.48672162720753</v>
      </c>
      <c r="CU165" s="173">
        <f ca="1">(VLOOKUP(CU$72,INDIRECT($C$5&amp;"生成成长"),2))/((VLOOKUP($B165,INDIRECT($B$5&amp;"生成成长"),4))/(VLOOKUP(CU$72,INDIRECT($C$5&amp;"生成成长"),5))*(VLOOKUP($B$5,标准坦克设计!$B$24:$U$30,MATCH("对"&amp;LEFT($C$5,2)&amp;"输出",标准坦克设计!$B$23:$U$23,0)))*(VLOOKUP($B165,INDIRECT($B$5&amp;"生成成长"),3))*(VLOOKUP($B$5,标准坦克设计!$B$14:$K$20,9)/30))</f>
        <v>12.350385879998672</v>
      </c>
      <c r="CV165" s="173">
        <f ca="1">(VLOOKUP(CV$72,INDIRECT($C$5&amp;"生成成长"),2))/((VLOOKUP($B165,INDIRECT($B$5&amp;"生成成长"),4))/(VLOOKUP(CV$72,INDIRECT($C$5&amp;"生成成长"),5))*(VLOOKUP($B$5,标准坦克设计!$B$24:$U$30,MATCH("对"&amp;LEFT($C$5,2)&amp;"输出",标准坦克设计!$B$23:$U$23,0)))*(VLOOKUP($B165,INDIRECT($B$5&amp;"生成成长"),3))*(VLOOKUP($B$5,标准坦克设计!$B$14:$K$20,9)/30))</f>
        <v>13.245352626301193</v>
      </c>
      <c r="CW165" s="173">
        <f ca="1">(VLOOKUP(CW$72,INDIRECT($C$5&amp;"生成成长"),2))/((VLOOKUP($B165,INDIRECT($B$5&amp;"生成成长"),4))/(VLOOKUP(CW$72,INDIRECT($C$5&amp;"生成成长"),5))*(VLOOKUP($B$5,标准坦克设计!$B$24:$U$30,MATCH("对"&amp;LEFT($C$5,2)&amp;"输出",标准坦克设计!$B$23:$U$23,0)))*(VLOOKUP($B165,INDIRECT($B$5&amp;"生成成长"),3))*(VLOOKUP($B$5,标准坦克设计!$B$14:$K$20,9)/30))</f>
        <v>14.171621866115085</v>
      </c>
      <c r="CX165" s="173">
        <f ca="1">(VLOOKUP(CX$72,INDIRECT($C$5&amp;"生成成长"),2))/((VLOOKUP($B165,INDIRECT($B$5&amp;"生成成长"),4))/(VLOOKUP(CX$72,INDIRECT($C$5&amp;"生成成长"),5))*(VLOOKUP($B$5,标准坦克设计!$B$24:$U$30,MATCH("对"&amp;LEFT($C$5,2)&amp;"输出",标准坦克设计!$B$23:$U$23,0)))*(VLOOKUP($B165,INDIRECT($B$5&amp;"生成成长"),3))*(VLOOKUP($B$5,标准坦克设计!$B$14:$K$20,9)/30))</f>
        <v>15.129193599440356</v>
      </c>
      <c r="CY165" s="173">
        <f ca="1">(VLOOKUP(CY$72,INDIRECT($C$5&amp;"生成成长"),2))/((VLOOKUP($B165,INDIRECT($B$5&amp;"生成成长"),4))/(VLOOKUP(CY$72,INDIRECT($C$5&amp;"生成成长"),5))*(VLOOKUP($B$5,标准坦克设计!$B$24:$U$30,MATCH("对"&amp;LEFT($C$5,2)&amp;"输出",标准坦克设计!$B$23:$U$23,0)))*(VLOOKUP($B165,INDIRECT($B$5&amp;"生成成长"),3))*(VLOOKUP($B$5,标准坦克设计!$B$14:$K$20,9)/30))</f>
        <v>16.118067826277002</v>
      </c>
      <c r="CZ165" s="173">
        <f ca="1">(VLOOKUP(CZ$72,INDIRECT($C$5&amp;"生成成长"),2))/((VLOOKUP($B165,INDIRECT($B$5&amp;"生成成长"),4))/(VLOOKUP(CZ$72,INDIRECT($C$5&amp;"生成成长"),5))*(VLOOKUP($B$5,标准坦克设计!$B$24:$U$30,MATCH("对"&amp;LEFT($C$5,2)&amp;"输出",标准坦克设计!$B$23:$U$23,0)))*(VLOOKUP($B165,INDIRECT($B$5&amp;"生成成长"),3))*(VLOOKUP($B$5,标准坦克设计!$B$14:$K$20,9)/30))</f>
        <v>17.138244546625025</v>
      </c>
      <c r="DA165" s="173">
        <f ca="1">(VLOOKUP(DA$72,INDIRECT($C$5&amp;"生成成长"),2))/((VLOOKUP($B165,INDIRECT($B$5&amp;"生成成长"),4))/(VLOOKUP(DA$72,INDIRECT($C$5&amp;"生成成长"),5))*(VLOOKUP($B$5,标准坦克设计!$B$24:$U$30,MATCH("对"&amp;LEFT($C$5,2)&amp;"输出",标准坦克设计!$B$23:$U$23,0)))*(VLOOKUP($B165,INDIRECT($B$5&amp;"生成成长"),3))*(VLOOKUP($B$5,标准坦克设计!$B$14:$K$20,9)/30))</f>
        <v>18.189723760484423</v>
      </c>
      <c r="DB165" s="173">
        <f ca="1">(VLOOKUP(DB$72,INDIRECT($C$5&amp;"生成成长"),2))/((VLOOKUP($B165,INDIRECT($B$5&amp;"生成成长"),4))/(VLOOKUP(DB$72,INDIRECT($C$5&amp;"生成成长"),5))*(VLOOKUP($B$5,标准坦克设计!$B$24:$U$30,MATCH("对"&amp;LEFT($C$5,2)&amp;"输出",标准坦克设计!$B$23:$U$23,0)))*(VLOOKUP($B165,INDIRECT($B$5&amp;"生成成长"),3))*(VLOOKUP($B$5,标准坦克设计!$B$14:$K$20,9)/30))</f>
        <v>19.272505467855201</v>
      </c>
      <c r="DC165" s="173">
        <f ca="1">(VLOOKUP(DC$72,INDIRECT($C$5&amp;"生成成长"),2))/((VLOOKUP($B165,INDIRECT($B$5&amp;"生成成长"),4))/(VLOOKUP(DC$72,INDIRECT($C$5&amp;"生成成长"),5))*(VLOOKUP($B$5,标准坦克设计!$B$24:$U$30,MATCH("对"&amp;LEFT($C$5,2)&amp;"输出",标准坦克设计!$B$23:$U$23,0)))*(VLOOKUP($B165,INDIRECT($B$5&amp;"生成成长"),3))*(VLOOKUP($B$5,标准坦克设计!$B$14:$K$20,9)/30))</f>
        <v>20.489422240396618</v>
      </c>
      <c r="DD165" s="173">
        <f ca="1">(VLOOKUP(DD$72,INDIRECT($C$5&amp;"生成成长"),2))/((VLOOKUP($B165,INDIRECT($B$5&amp;"生成成长"),4))/(VLOOKUP(DD$72,INDIRECT($C$5&amp;"生成成长"),5))*(VLOOKUP($B$5,标准坦克设计!$B$24:$U$30,MATCH("对"&amp;LEFT($C$5,2)&amp;"输出",标准坦克设计!$B$23:$U$23,0)))*(VLOOKUP($B165,INDIRECT($B$5&amp;"生成成长"),3))*(VLOOKUP($B$5,标准坦克设计!$B$14:$K$20,9)/30))</f>
        <v>21.743591567199513</v>
      </c>
      <c r="DE165" s="173">
        <f ca="1">(VLOOKUP(DE$72,INDIRECT($C$5&amp;"生成成长"),2))/((VLOOKUP($B165,INDIRECT($B$5&amp;"生成成长"),4))/(VLOOKUP(DE$72,INDIRECT($C$5&amp;"生成成长"),5))*(VLOOKUP($B$5,标准坦克设计!$B$24:$U$30,MATCH("对"&amp;LEFT($C$5,2)&amp;"输出",标准坦克设计!$B$23:$U$23,0)))*(VLOOKUP($B165,INDIRECT($B$5&amp;"生成成长"),3))*(VLOOKUP($B$5,标准坦克设计!$B$14:$K$20,9)/30))</f>
        <v>23.035013448263879</v>
      </c>
      <c r="DF165" s="173">
        <f ca="1">(VLOOKUP(DF$72,INDIRECT($C$5&amp;"生成成长"),2))/((VLOOKUP($B165,INDIRECT($B$5&amp;"生成成长"),4))/(VLOOKUP(DF$72,INDIRECT($C$5&amp;"生成成长"),5))*(VLOOKUP($B$5,标准坦克设计!$B$24:$U$30,MATCH("对"&amp;LEFT($C$5,2)&amp;"输出",标准坦克设计!$B$23:$U$23,0)))*(VLOOKUP($B165,INDIRECT($B$5&amp;"生成成长"),3))*(VLOOKUP($B$5,标准坦克设计!$B$14:$K$20,9)/30))</f>
        <v>24.363687883589716</v>
      </c>
      <c r="DG165" s="173">
        <f ca="1">(VLOOKUP(DG$72,INDIRECT($C$5&amp;"生成成长"),2))/((VLOOKUP($B165,INDIRECT($B$5&amp;"生成成长"),4))/(VLOOKUP(DG$72,INDIRECT($C$5&amp;"生成成长"),5))*(VLOOKUP($B$5,标准坦克设计!$B$24:$U$30,MATCH("对"&amp;LEFT($C$5,2)&amp;"输出",标准坦克设计!$B$23:$U$23,0)))*(VLOOKUP($B165,INDIRECT($B$5&amp;"生成成长"),3))*(VLOOKUP($B$5,标准坦克设计!$B$14:$K$20,9)/30))</f>
        <v>25.729614873177024</v>
      </c>
      <c r="DH165" s="173">
        <f ca="1">(VLOOKUP(DH$72,INDIRECT($C$5&amp;"生成成长"),2))/((VLOOKUP($B165,INDIRECT($B$5&amp;"生成成长"),4))/(VLOOKUP(DH$72,INDIRECT($C$5&amp;"生成成长"),5))*(VLOOKUP($B$5,标准坦克设计!$B$24:$U$30,MATCH("对"&amp;LEFT($C$5,2)&amp;"输出",标准坦克设计!$B$23:$U$23,0)))*(VLOOKUP($B165,INDIRECT($B$5&amp;"生成成长"),3))*(VLOOKUP($B$5,标准坦克设计!$B$14:$K$20,9)/30))</f>
        <v>27.132794417025814</v>
      </c>
      <c r="DI165" s="173">
        <f ca="1">(VLOOKUP(DI$72,INDIRECT($C$5&amp;"生成成长"),2))/((VLOOKUP($B165,INDIRECT($B$5&amp;"生成成长"),4))/(VLOOKUP(DI$72,INDIRECT($C$5&amp;"生成成长"),5))*(VLOOKUP($B$5,标准坦克设计!$B$24:$U$30,MATCH("对"&amp;LEFT($C$5,2)&amp;"输出",标准坦克设计!$B$23:$U$23,0)))*(VLOOKUP($B165,INDIRECT($B$5&amp;"生成成长"),3))*(VLOOKUP($B$5,标准坦克设计!$B$14:$K$20,9)/30))</f>
        <v>28.573226515136067</v>
      </c>
      <c r="DJ165" s="173">
        <f ca="1">(VLOOKUP(DJ$72,INDIRECT($C$5&amp;"生成成长"),2))/((VLOOKUP($B165,INDIRECT($B$5&amp;"生成成长"),4))/(VLOOKUP(DJ$72,INDIRECT($C$5&amp;"生成成长"),5))*(VLOOKUP($B$5,标准坦克设计!$B$24:$U$30,MATCH("对"&amp;LEFT($C$5,2)&amp;"输出",标准坦克设计!$B$23:$U$23,0)))*(VLOOKUP($B165,INDIRECT($B$5&amp;"生成成长"),3))*(VLOOKUP($B$5,标准坦克设计!$B$14:$K$20,9)/30))</f>
        <v>2.8716804068018824</v>
      </c>
      <c r="DK165" s="173">
        <f ca="1">(VLOOKUP(DK$72,INDIRECT($C$5&amp;"生成成长"),2))/((VLOOKUP($B165,INDIRECT($B$5&amp;"生成成长"),4))/(VLOOKUP(DK$72,INDIRECT($C$5&amp;"生成成长"),5))*(VLOOKUP($B$5,标准坦克设计!$B$24:$U$30,MATCH("对"&amp;LEFT($C$5,2)&amp;"输出",标准坦克设计!$B$23:$U$23,0)))*(VLOOKUP($B165,INDIRECT($B$5&amp;"生成成长"),3))*(VLOOKUP($B$5,标准坦克设计!$B$14:$K$20,9)/30))</f>
        <v>3.2290720992478801</v>
      </c>
      <c r="DL165" s="173">
        <f ca="1">(VLOOKUP(DL$72,INDIRECT($C$5&amp;"生成成长"),2))/((VLOOKUP($B165,INDIRECT($B$5&amp;"生成成长"),4))/(VLOOKUP(DL$72,INDIRECT($C$5&amp;"生成成长"),5))*(VLOOKUP($B$5,标准坦克设计!$B$24:$U$30,MATCH("对"&amp;LEFT($C$5,2)&amp;"输出",标准坦克设计!$B$23:$U$23,0)))*(VLOOKUP($B165,INDIRECT($B$5&amp;"生成成长"),3))*(VLOOKUP($B$5,标准坦克设计!$B$14:$K$20,9)/30))</f>
        <v>3.607418353465957</v>
      </c>
      <c r="DM165" s="173">
        <f ca="1">(VLOOKUP(DM$72,INDIRECT($C$5&amp;"生成成长"),2))/((VLOOKUP($B165,INDIRECT($B$5&amp;"生成成长"),4))/(VLOOKUP(DM$72,INDIRECT($C$5&amp;"生成成长"),5))*(VLOOKUP($B$5,标准坦克设计!$B$24:$U$30,MATCH("对"&amp;LEFT($C$5,2)&amp;"输出",标准坦克设计!$B$23:$U$23,0)))*(VLOOKUP($B165,INDIRECT($B$5&amp;"生成成长"),3))*(VLOOKUP($B$5,标准坦克设计!$B$14:$K$20,9)/30))</f>
        <v>4.0067191694561108</v>
      </c>
      <c r="DN165" s="173">
        <f ca="1">(VLOOKUP(DN$72,INDIRECT($C$5&amp;"生成成长"),2))/((VLOOKUP($B165,INDIRECT($B$5&amp;"生成成长"),4))/(VLOOKUP(DN$72,INDIRECT($C$5&amp;"生成成长"),5))*(VLOOKUP($B$5,标准坦克设计!$B$24:$U$30,MATCH("对"&amp;LEFT($C$5,2)&amp;"输出",标准坦克设计!$B$23:$U$23,0)))*(VLOOKUP($B165,INDIRECT($B$5&amp;"生成成长"),3))*(VLOOKUP($B$5,标准坦克设计!$B$14:$K$20,9)/30))</f>
        <v>4.426974547218343</v>
      </c>
      <c r="DO165" s="173">
        <f ca="1">(VLOOKUP(DO$72,INDIRECT($C$5&amp;"生成成长"),2))/((VLOOKUP($B165,INDIRECT($B$5&amp;"生成成长"),4))/(VLOOKUP(DO$72,INDIRECT($C$5&amp;"生成成长"),5))*(VLOOKUP($B$5,标准坦克设计!$B$24:$U$30,MATCH("对"&amp;LEFT($C$5,2)&amp;"输出",标准坦克设计!$B$23:$U$23,0)))*(VLOOKUP($B165,INDIRECT($B$5&amp;"生成成长"),3))*(VLOOKUP($B$5,标准坦克设计!$B$14:$K$20,9)/30))</f>
        <v>4.8681844867526536</v>
      </c>
      <c r="DP165" s="173">
        <f ca="1">(VLOOKUP(DP$72,INDIRECT($C$5&amp;"生成成长"),2))/((VLOOKUP($B165,INDIRECT($B$5&amp;"生成成长"),4))/(VLOOKUP(DP$72,INDIRECT($C$5&amp;"生成成长"),5))*(VLOOKUP($B$5,标准坦克设计!$B$24:$U$30,MATCH("对"&amp;LEFT($C$5,2)&amp;"输出",标准坦克设计!$B$23:$U$23,0)))*(VLOOKUP($B165,INDIRECT($B$5&amp;"生成成长"),3))*(VLOOKUP($B$5,标准坦克设计!$B$14:$K$20,9)/30))</f>
        <v>5.3303489880590416</v>
      </c>
      <c r="DQ165" s="173">
        <f ca="1">(VLOOKUP(DQ$72,INDIRECT($C$5&amp;"生成成长"),2))/((VLOOKUP($B165,INDIRECT($B$5&amp;"生成成长"),4))/(VLOOKUP(DQ$72,INDIRECT($C$5&amp;"生成成长"),5))*(VLOOKUP($B$5,标准坦克设计!$B$24:$U$30,MATCH("对"&amp;LEFT($C$5,2)&amp;"输出",标准坦克设计!$B$23:$U$23,0)))*(VLOOKUP($B165,INDIRECT($B$5&amp;"生成成长"),3))*(VLOOKUP($B$5,标准坦克设计!$B$14:$K$20,9)/30))</f>
        <v>5.813468051137507</v>
      </c>
      <c r="DR165" s="173">
        <f ca="1">(VLOOKUP(DR$72,INDIRECT($C$5&amp;"生成成长"),2))/((VLOOKUP($B165,INDIRECT($B$5&amp;"生成成长"),4))/(VLOOKUP(DR$72,INDIRECT($C$5&amp;"生成成长"),5))*(VLOOKUP($B$5,标准坦克设计!$B$24:$U$30,MATCH("对"&amp;LEFT($C$5,2)&amp;"输出",标准坦克设计!$B$23:$U$23,0)))*(VLOOKUP($B165,INDIRECT($B$5&amp;"生成成长"),3))*(VLOOKUP($B$5,标准坦克设计!$B$14:$K$20,9)/30))</f>
        <v>6.3175416759880525</v>
      </c>
      <c r="DS165" s="173">
        <f ca="1">(VLOOKUP(DS$72,INDIRECT($C$5&amp;"生成成长"),2))/((VLOOKUP($B165,INDIRECT($B$5&amp;"生成成长"),4))/(VLOOKUP(DS$72,INDIRECT($C$5&amp;"生成成长"),5))*(VLOOKUP($B$5,标准坦克设计!$B$24:$U$30,MATCH("对"&amp;LEFT($C$5,2)&amp;"输出",标准坦克设计!$B$23:$U$23,0)))*(VLOOKUP($B165,INDIRECT($B$5&amp;"生成成长"),3))*(VLOOKUP($B$5,标准坦克设计!$B$14:$K$20,9)/30))</f>
        <v>6.8425698626106746</v>
      </c>
      <c r="DT165" s="173">
        <f ca="1">(VLOOKUP(DT$72,INDIRECT($C$5&amp;"生成成长"),2))/((VLOOKUP($B165,INDIRECT($B$5&amp;"生成成长"),4))/(VLOOKUP(DT$72,INDIRECT($C$5&amp;"生成成长"),5))*(VLOOKUP($B$5,标准坦克设计!$B$24:$U$30,MATCH("对"&amp;LEFT($C$5,2)&amp;"输出",标准坦克设计!$B$23:$U$23,0)))*(VLOOKUP($B165,INDIRECT($B$5&amp;"生成成长"),3))*(VLOOKUP($B$5,标准坦克设计!$B$14:$K$20,9)/30))</f>
        <v>7.5127277918769479</v>
      </c>
      <c r="DU165" s="173">
        <f ca="1">(VLOOKUP(DU$72,INDIRECT($C$5&amp;"生成成长"),2))/((VLOOKUP($B165,INDIRECT($B$5&amp;"生成成长"),4))/(VLOOKUP(DU$72,INDIRECT($C$5&amp;"生成成长"),5))*(VLOOKUP($B$5,标准坦克设计!$B$24:$U$30,MATCH("对"&amp;LEFT($C$5,2)&amp;"输出",标准坦克设计!$B$23:$U$23,0)))*(VLOOKUP($B165,INDIRECT($B$5&amp;"生成成长"),3))*(VLOOKUP($B$5,标准坦克设计!$B$14:$K$20,9)/30))</f>
        <v>8.2141882146545981</v>
      </c>
      <c r="DV165" s="173">
        <f ca="1">(VLOOKUP(DV$72,INDIRECT($C$5&amp;"生成成长"),2))/((VLOOKUP($B165,INDIRECT($B$5&amp;"生成成长"),4))/(VLOOKUP(DV$72,INDIRECT($C$5&amp;"生成成长"),5))*(VLOOKUP($B$5,标准坦克设计!$B$24:$U$30,MATCH("对"&amp;LEFT($C$5,2)&amp;"输出",标准坦克设计!$B$23:$U$23,0)))*(VLOOKUP($B165,INDIRECT($B$5&amp;"生成成长"),3))*(VLOOKUP($B$5,标准坦克设计!$B$14:$K$20,9)/30))</f>
        <v>8.9469511309436225</v>
      </c>
      <c r="DW165" s="173">
        <f ca="1">(VLOOKUP(DW$72,INDIRECT($C$5&amp;"生成成长"),2))/((VLOOKUP($B165,INDIRECT($B$5&amp;"生成成长"),4))/(VLOOKUP(DW$72,INDIRECT($C$5&amp;"生成成长"),5))*(VLOOKUP($B$5,标准坦克设计!$B$24:$U$30,MATCH("对"&amp;LEFT($C$5,2)&amp;"输出",标准坦克设计!$B$23:$U$23,0)))*(VLOOKUP($B165,INDIRECT($B$5&amp;"生成成长"),3))*(VLOOKUP($B$5,标准坦克设计!$B$14:$K$20,9)/30))</f>
        <v>9.7110165407440281</v>
      </c>
      <c r="DX165" s="173">
        <f ca="1">(VLOOKUP(DX$72,INDIRECT($C$5&amp;"生成成长"),2))/((VLOOKUP($B165,INDIRECT($B$5&amp;"生成成长"),4))/(VLOOKUP(DX$72,INDIRECT($C$5&amp;"生成成长"),5))*(VLOOKUP($B$5,标准坦克设计!$B$24:$U$30,MATCH("对"&amp;LEFT($C$5,2)&amp;"输出",标准坦克设计!$B$23:$U$23,0)))*(VLOOKUP($B165,INDIRECT($B$5&amp;"生成成长"),3))*(VLOOKUP($B$5,标准坦克设计!$B$14:$K$20,9)/30))</f>
        <v>10.506384444055804</v>
      </c>
      <c r="DY165" s="173">
        <f ca="1">(VLOOKUP(DY$72,INDIRECT($C$5&amp;"生成成长"),2))/((VLOOKUP($B165,INDIRECT($B$5&amp;"生成成长"),4))/(VLOOKUP(DY$72,INDIRECT($C$5&amp;"生成成长"),5))*(VLOOKUP($B$5,标准坦克设计!$B$24:$U$30,MATCH("对"&amp;LEFT($C$5,2)&amp;"输出",标准坦克设计!$B$23:$U$23,0)))*(VLOOKUP($B165,INDIRECT($B$5&amp;"生成成长"),3))*(VLOOKUP($B$5,标准坦克设计!$B$14:$K$20,9)/30))</f>
        <v>4.71878622226654</v>
      </c>
      <c r="DZ165" s="173">
        <f ca="1">(VLOOKUP(DZ$72,INDIRECT($C$5&amp;"生成成长"),2))/((VLOOKUP($B165,INDIRECT($B$5&amp;"生成成长"),4))/(VLOOKUP(DZ$72,INDIRECT($C$5&amp;"生成成长"),5))*(VLOOKUP($B$5,标准坦克设计!$B$24:$U$30,MATCH("对"&amp;LEFT($C$5,2)&amp;"输出",标准坦克设计!$B$23:$U$23,0)))*(VLOOKUP($B165,INDIRECT($B$5&amp;"生成成长"),3))*(VLOOKUP($B$5,标准坦克设计!$B$14:$K$20,9)/30))</f>
        <v>5.2258348774921322</v>
      </c>
      <c r="EA165" s="173">
        <f ca="1">(VLOOKUP(EA$72,INDIRECT($C$5&amp;"生成成长"),2))/((VLOOKUP($B165,INDIRECT($B$5&amp;"生成成长"),4))/(VLOOKUP(EA$72,INDIRECT($C$5&amp;"生成成长"),5))*(VLOOKUP($B$5,标准坦克设计!$B$24:$U$30,MATCH("对"&amp;LEFT($C$5,2)&amp;"输出",标准坦克设计!$B$23:$U$23,0)))*(VLOOKUP($B165,INDIRECT($B$5&amp;"生成成长"),3))*(VLOOKUP($B$5,标准坦克设计!$B$14:$K$20,9)/30))</f>
        <v>5.7587533620659697</v>
      </c>
      <c r="EB165" s="173">
        <f ca="1">(VLOOKUP(EB$72,INDIRECT($C$5&amp;"生成成长"),2))/((VLOOKUP($B165,INDIRECT($B$5&amp;"生成成长"),4))/(VLOOKUP(EB$72,INDIRECT($C$5&amp;"生成成长"),5))*(VLOOKUP($B$5,标准坦克设计!$B$24:$U$30,MATCH("对"&amp;LEFT($C$5,2)&amp;"输出",标准坦克设计!$B$23:$U$23,0)))*(VLOOKUP($B165,INDIRECT($B$5&amp;"生成成长"),3))*(VLOOKUP($B$5,标准坦克设计!$B$14:$K$20,9)/30))</f>
        <v>6.3175416759880525</v>
      </c>
      <c r="EC165" s="173">
        <f ca="1">(VLOOKUP(EC$72,INDIRECT($C$5&amp;"生成成长"),2))/((VLOOKUP($B165,INDIRECT($B$5&amp;"生成成长"),4))/(VLOOKUP(EC$72,INDIRECT($C$5&amp;"生成成长"),5))*(VLOOKUP($B$5,标准坦克设计!$B$24:$U$30,MATCH("对"&amp;LEFT($C$5,2)&amp;"输出",标准坦克设计!$B$23:$U$23,0)))*(VLOOKUP($B165,INDIRECT($B$5&amp;"生成成长"),3))*(VLOOKUP($B$5,标准坦克设计!$B$14:$K$20,9)/30))</f>
        <v>6.902199819258378</v>
      </c>
      <c r="ED165" s="173">
        <f ca="1">(VLOOKUP(ED$72,INDIRECT($C$5&amp;"生成成长"),2))/((VLOOKUP($B165,INDIRECT($B$5&amp;"生成成长"),4))/(VLOOKUP(ED$72,INDIRECT($C$5&amp;"生成成长"),5))*(VLOOKUP($B$5,标准坦克设计!$B$24:$U$30,MATCH("对"&amp;LEFT($C$5,2)&amp;"输出",标准坦克设计!$B$23:$U$23,0)))*(VLOOKUP($B165,INDIRECT($B$5&amp;"生成成长"),3))*(VLOOKUP($B$5,标准坦克设计!$B$14:$K$20,9)/30))</f>
        <v>7.5127277918769479</v>
      </c>
      <c r="EE165" s="173">
        <f ca="1">(VLOOKUP(EE$72,INDIRECT($C$5&amp;"生成成长"),2))/((VLOOKUP($B165,INDIRECT($B$5&amp;"生成成长"),4))/(VLOOKUP(EE$72,INDIRECT($C$5&amp;"生成成长"),5))*(VLOOKUP($B$5,标准坦克设计!$B$24:$U$30,MATCH("对"&amp;LEFT($C$5,2)&amp;"输出",标准坦克设计!$B$23:$U$23,0)))*(VLOOKUP($B165,INDIRECT($B$5&amp;"生成成长"),3))*(VLOOKUP($B$5,标准坦克设计!$B$14:$K$20,9)/30))</f>
        <v>8.1491255938437632</v>
      </c>
      <c r="EF165" s="173">
        <f ca="1">(VLOOKUP(EF$72,INDIRECT($C$5&amp;"生成成长"),2))/((VLOOKUP($B165,INDIRECT($B$5&amp;"生成成长"),4))/(VLOOKUP(EF$72,INDIRECT($C$5&amp;"生成成长"),5))*(VLOOKUP($B$5,标准坦克设计!$B$24:$U$30,MATCH("对"&amp;LEFT($C$5,2)&amp;"输出",标准坦克设计!$B$23:$U$23,0)))*(VLOOKUP($B165,INDIRECT($B$5&amp;"生成成长"),3))*(VLOOKUP($B$5,标准坦克设计!$B$14:$K$20,9)/30))</f>
        <v>8.8113932251588238</v>
      </c>
      <c r="EG165" s="173">
        <f ca="1">(VLOOKUP(EG$72,INDIRECT($C$5&amp;"生成成长"),2))/((VLOOKUP($B165,INDIRECT($B$5&amp;"生成成长"),4))/(VLOOKUP(EG$72,INDIRECT($C$5&amp;"生成成长"),5))*(VLOOKUP($B$5,标准坦克设计!$B$24:$U$30,MATCH("对"&amp;LEFT($C$5,2)&amp;"输出",标准坦克设计!$B$23:$U$23,0)))*(VLOOKUP($B165,INDIRECT($B$5&amp;"生成成长"),3))*(VLOOKUP($B$5,标准坦克设计!$B$14:$K$20,9)/30))</f>
        <v>9.499530685822128</v>
      </c>
      <c r="EH165" s="173">
        <f ca="1">(VLOOKUP(EH$72,INDIRECT($C$5&amp;"生成成长"),2))/((VLOOKUP($B165,INDIRECT($B$5&amp;"生成成长"),4))/(VLOOKUP(EH$72,INDIRECT($C$5&amp;"生成成长"),5))*(VLOOKUP($B$5,标准坦克设计!$B$24:$U$30,MATCH("对"&amp;LEFT($C$5,2)&amp;"输出",标准坦克设计!$B$23:$U$23,0)))*(VLOOKUP($B165,INDIRECT($B$5&amp;"生成成长"),3))*(VLOOKUP($B$5,标准坦克设计!$B$14:$K$20,9)/30))</f>
        <v>10.213537975833676</v>
      </c>
      <c r="EI165" s="173">
        <f ca="1">(VLOOKUP(EI$72,INDIRECT($C$5&amp;"生成成长"),2))/((VLOOKUP($B165,INDIRECT($B$5&amp;"生成成长"),4))/(VLOOKUP(EI$72,INDIRECT($C$5&amp;"生成成长"),5))*(VLOOKUP($B$5,标准坦克设计!$B$24:$U$30,MATCH("对"&amp;LEFT($C$5,2)&amp;"输出",标准坦克设计!$B$23:$U$23,0)))*(VLOOKUP($B165,INDIRECT($B$5&amp;"生成成长"),3))*(VLOOKUP($B$5,标准坦克设计!$B$14:$K$20,9)/30))</f>
        <v>10.953415095193469</v>
      </c>
      <c r="EJ165" s="173">
        <f ca="1">(VLOOKUP(EJ$72,INDIRECT($C$5&amp;"生成成长"),2))/((VLOOKUP($B165,INDIRECT($B$5&amp;"生成成长"),4))/(VLOOKUP(EJ$72,INDIRECT($C$5&amp;"生成成长"),5))*(VLOOKUP($B$5,标准坦克设计!$B$24:$U$30,MATCH("对"&amp;LEFT($C$5,2)&amp;"输出",标准坦克设计!$B$23:$U$23,0)))*(VLOOKUP($B165,INDIRECT($B$5&amp;"生成成长"),3))*(VLOOKUP($B$5,标准坦克设计!$B$14:$K$20,9)/30))</f>
        <v>11.719162043901507</v>
      </c>
      <c r="EK165" s="173">
        <f ca="1">(VLOOKUP(EK$72,INDIRECT($C$5&amp;"生成成长"),2))/((VLOOKUP($B165,INDIRECT($B$5&amp;"生成成长"),4))/(VLOOKUP(EK$72,INDIRECT($C$5&amp;"生成成长"),5))*(VLOOKUP($B$5,标准坦克设计!$B$24:$U$30,MATCH("对"&amp;LEFT($C$5,2)&amp;"输出",标准坦克设计!$B$23:$U$23,0)))*(VLOOKUP($B165,INDIRECT($B$5&amp;"生成成长"),3))*(VLOOKUP($B$5,标准坦克设计!$B$14:$K$20,9)/30))</f>
        <v>12.672206557090833</v>
      </c>
      <c r="EL165" s="173">
        <f ca="1">(VLOOKUP(EL$72,INDIRECT($C$5&amp;"生成成长"),2))/((VLOOKUP($B165,INDIRECT($B$5&amp;"生成成长"),4))/(VLOOKUP(EL$72,INDIRECT($C$5&amp;"生成成长"),5))*(VLOOKUP($B$5,标准坦克设计!$B$24:$U$30,MATCH("对"&amp;LEFT($C$5,2)&amp;"输出",标准坦克设计!$B$23:$U$23,0)))*(VLOOKUP($B165,INDIRECT($B$5&amp;"生成成长"),3))*(VLOOKUP($B$5,标准坦克设计!$B$14:$K$20,9)/30))</f>
        <v>13.662503624541635</v>
      </c>
      <c r="EM165" s="173">
        <f ca="1">(VLOOKUP(EM$72,INDIRECT($C$5&amp;"生成成长"),2))/((VLOOKUP($B165,INDIRECT($B$5&amp;"生成成长"),4))/(VLOOKUP(EM$72,INDIRECT($C$5&amp;"生成成长"),5))*(VLOOKUP($B$5,标准坦克设计!$B$24:$U$30,MATCH("对"&amp;LEFT($C$5,2)&amp;"输出",标准坦克设计!$B$23:$U$23,0)))*(VLOOKUP($B165,INDIRECT($B$5&amp;"生成成长"),3))*(VLOOKUP($B$5,标准坦克设计!$B$14:$K$20,9)/30))</f>
        <v>14.690053246253909</v>
      </c>
      <c r="EN165" s="173">
        <f ca="1">(VLOOKUP(EN$72,INDIRECT($C$5&amp;"生成成长"),2))/((VLOOKUP($B165,INDIRECT($B$5&amp;"生成成长"),4))/(VLOOKUP(EN$72,INDIRECT($C$5&amp;"生成成长"),5))*(VLOOKUP($B$5,标准坦克设计!$B$24:$U$30,MATCH("对"&amp;LEFT($C$5,2)&amp;"输出",标准坦克设计!$B$23:$U$23,0)))*(VLOOKUP($B165,INDIRECT($B$5&amp;"生成成长"),3))*(VLOOKUP($B$5,标准坦克设计!$B$14:$K$20,9)/30))</f>
        <v>15.754855422227649</v>
      </c>
      <c r="EO165" s="173">
        <f ca="1">(VLOOKUP(EO$72,INDIRECT($C$5&amp;"生成成长"),2))/((VLOOKUP($B165,INDIRECT($B$5&amp;"生成成长"),4))/(VLOOKUP(EO$72,INDIRECT($C$5&amp;"生成成长"),5))*(VLOOKUP($B$5,标准坦克设计!$B$24:$U$30,MATCH("对"&amp;LEFT($C$5,2)&amp;"输出",标准坦克设计!$B$23:$U$23,0)))*(VLOOKUP($B165,INDIRECT($B$5&amp;"生成成长"),3))*(VLOOKUP($B$5,标准坦克设计!$B$14:$K$20,9)/30))</f>
        <v>16.856910152462866</v>
      </c>
      <c r="EP165" s="173">
        <f ca="1">(VLOOKUP(EP$72,INDIRECT($C$5&amp;"生成成长"),2))/((VLOOKUP($B165,INDIRECT($B$5&amp;"生成成长"),4))/(VLOOKUP(EP$72,INDIRECT($C$5&amp;"生成成长"),5))*(VLOOKUP($B$5,标准坦克设计!$B$24:$U$30,MATCH("对"&amp;LEFT($C$5,2)&amp;"输出",标准坦克设计!$B$23:$U$23,0)))*(VLOOKUP($B165,INDIRECT($B$5&amp;"生成成长"),3))*(VLOOKUP($B$5,标准坦克设计!$B$14:$K$20,9)/30))</f>
        <v>17.996217436959554</v>
      </c>
      <c r="EQ165" s="173">
        <f ca="1">(VLOOKUP(EQ$72,INDIRECT($C$5&amp;"生成成长"),2))/((VLOOKUP($B165,INDIRECT($B$5&amp;"生成成长"),4))/(VLOOKUP(EQ$72,INDIRECT($C$5&amp;"生成成长"),5))*(VLOOKUP($B$5,标准坦克设计!$B$24:$U$30,MATCH("对"&amp;LEFT($C$5,2)&amp;"输出",标准坦克设计!$B$23:$U$23,0)))*(VLOOKUP($B165,INDIRECT($B$5&amp;"生成成长"),3))*(VLOOKUP($B$5,标准坦克设计!$B$14:$K$20,9)/30))</f>
        <v>7.9554899211721537</v>
      </c>
      <c r="ER165" s="173">
        <f ca="1">(VLOOKUP(ER$72,INDIRECT($C$5&amp;"生成成长"),2))/((VLOOKUP($B165,INDIRECT($B$5&amp;"生成成长"),4))/(VLOOKUP(ER$72,INDIRECT($C$5&amp;"生成成长"),5))*(VLOOKUP($B$5,标准坦克设计!$B$24:$U$30,MATCH("对"&amp;LEFT($C$5,2)&amp;"输出",标准坦克设计!$B$23:$U$23,0)))*(VLOOKUP($B165,INDIRECT($B$5&amp;"生成成长"),3))*(VLOOKUP($B$5,标准坦克设计!$B$14:$K$20,9)/30))</f>
        <v>8.6768701125479524</v>
      </c>
      <c r="ES165" s="173">
        <f ca="1">(VLOOKUP(ES$72,INDIRECT($C$5&amp;"生成成长"),2))/((VLOOKUP($B165,INDIRECT($B$5&amp;"生成成长"),4))/(VLOOKUP(ES$72,INDIRECT($C$5&amp;"生成成长"),5))*(VLOOKUP($B$5,标准坦克设计!$B$24:$U$30,MATCH("对"&amp;LEFT($C$5,2)&amp;"输出",标准坦克设计!$B$23:$U$23,0)))*(VLOOKUP($B165,INDIRECT($B$5&amp;"生成成长"),3))*(VLOOKUP($B$5,标准坦克设计!$B$14:$K$20,9)/30))</f>
        <v>9.4295527974351252</v>
      </c>
      <c r="ET165" s="173">
        <f ca="1">(VLOOKUP(ET$72,INDIRECT($C$5&amp;"生成成长"),2))/((VLOOKUP($B165,INDIRECT($B$5&amp;"生成成长"),4))/(VLOOKUP(ET$72,INDIRECT($C$5&amp;"生成成长"),5))*(VLOOKUP($B$5,标准坦克设计!$B$24:$U$30,MATCH("对"&amp;LEFT($C$5,2)&amp;"输出",标准坦克设计!$B$23:$U$23,0)))*(VLOOKUP($B165,INDIRECT($B$5&amp;"生成成长"),3))*(VLOOKUP($B$5,标准坦克设计!$B$14:$K$20,9)/30))</f>
        <v>10.213537975833676</v>
      </c>
      <c r="EU165" s="173">
        <f ca="1">(VLOOKUP(EU$72,INDIRECT($C$5&amp;"生成成长"),2))/((VLOOKUP($B165,INDIRECT($B$5&amp;"生成成长"),4))/(VLOOKUP(EU$72,INDIRECT($C$5&amp;"生成成长"),5))*(VLOOKUP($B$5,标准坦克设计!$B$24:$U$30,MATCH("对"&amp;LEFT($C$5,2)&amp;"输出",标准坦克设计!$B$23:$U$23,0)))*(VLOOKUP($B165,INDIRECT($B$5&amp;"生成成长"),3))*(VLOOKUP($B$5,标准坦克设计!$B$14:$K$20,9)/30))</f>
        <v>11.028825647743602</v>
      </c>
      <c r="EV165" s="173">
        <f ca="1">(VLOOKUP(EV$72,INDIRECT($C$5&amp;"生成成长"),2))/((VLOOKUP($B165,INDIRECT($B$5&amp;"生成成长"),4))/(VLOOKUP(EV$72,INDIRECT($C$5&amp;"生成成长"),5))*(VLOOKUP($B$5,标准坦克设计!$B$24:$U$30,MATCH("对"&amp;LEFT($C$5,2)&amp;"输出",标准坦克设计!$B$23:$U$23,0)))*(VLOOKUP($B165,INDIRECT($B$5&amp;"生成成长"),3))*(VLOOKUP($B$5,标准坦克设计!$B$14:$K$20,9)/30))</f>
        <v>11.875415813164901</v>
      </c>
      <c r="EW165" s="173">
        <f ca="1">(VLOOKUP(EW$72,INDIRECT($C$5&amp;"生成成长"),2))/((VLOOKUP($B165,INDIRECT($B$5&amp;"生成成长"),4))/(VLOOKUP(EW$72,INDIRECT($C$5&amp;"生成成长"),5))*(VLOOKUP($B$5,标准坦克设计!$B$24:$U$30,MATCH("对"&amp;LEFT($C$5,2)&amp;"输出",标准坦克设计!$B$23:$U$23,0)))*(VLOOKUP($B165,INDIRECT($B$5&amp;"生成成长"),3))*(VLOOKUP($B$5,标准坦克设计!$B$14:$K$20,9)/30))</f>
        <v>12.753308472097579</v>
      </c>
      <c r="EX165" s="173">
        <f ca="1">(VLOOKUP(EX$72,INDIRECT($C$5&amp;"生成成长"),2))/((VLOOKUP($B165,INDIRECT($B$5&amp;"生成成长"),4))/(VLOOKUP(EX$72,INDIRECT($C$5&amp;"生成成长"),5))*(VLOOKUP($B$5,标准坦克设计!$B$24:$U$30,MATCH("对"&amp;LEFT($C$5,2)&amp;"输出",标准坦克设计!$B$23:$U$23,0)))*(VLOOKUP($B165,INDIRECT($B$5&amp;"生成成长"),3))*(VLOOKUP($B$5,标准坦克设计!$B$14:$K$20,9)/30))</f>
        <v>13.662503624541635</v>
      </c>
      <c r="EY165" s="173">
        <f ca="1">(VLOOKUP(EY$72,INDIRECT($C$5&amp;"生成成长"),2))/((VLOOKUP($B165,INDIRECT($B$5&amp;"生成成长"),4))/(VLOOKUP(EY$72,INDIRECT($C$5&amp;"生成成长"),5))*(VLOOKUP($B$5,标准坦克设计!$B$24:$U$30,MATCH("对"&amp;LEFT($C$5,2)&amp;"输出",标准坦克设计!$B$23:$U$23,0)))*(VLOOKUP($B165,INDIRECT($B$5&amp;"生成成长"),3))*(VLOOKUP($B$5,标准坦克设计!$B$14:$K$20,9)/30))</f>
        <v>14.603001270497064</v>
      </c>
      <c r="EZ165" s="173">
        <f ca="1">(VLOOKUP(EZ$72,INDIRECT($C$5&amp;"生成成长"),2))/((VLOOKUP($B165,INDIRECT($B$5&amp;"生成成长"),4))/(VLOOKUP(EZ$72,INDIRECT($C$5&amp;"生成成长"),5))*(VLOOKUP($B$5,标准坦克设计!$B$24:$U$30,MATCH("对"&amp;LEFT($C$5,2)&amp;"输出",标准坦克设计!$B$23:$U$23,0)))*(VLOOKUP($B165,INDIRECT($B$5&amp;"生成成长"),3))*(VLOOKUP($B$5,标准坦克设计!$B$14:$K$20,9)/30))</f>
        <v>15.57480140996387</v>
      </c>
      <c r="FA165" s="173">
        <f ca="1">(VLOOKUP(FA$72,INDIRECT($C$5&amp;"生成成长"),2))/((VLOOKUP($B165,INDIRECT($B$5&amp;"生成成长"),4))/(VLOOKUP(FA$72,INDIRECT($C$5&amp;"生成成长"),5))*(VLOOKUP($B$5,标准坦克设计!$B$24:$U$30,MATCH("对"&amp;LEFT($C$5,2)&amp;"输出",标准坦克设计!$B$23:$U$23,0)))*(VLOOKUP($B165,INDIRECT($B$5&amp;"生成成长"),3))*(VLOOKUP($B$5,标准坦克设计!$B$14:$K$20,9)/30))</f>
        <v>16.577904042942048</v>
      </c>
      <c r="FB165" s="173">
        <f ca="1">(VLOOKUP(FB$72,INDIRECT($C$5&amp;"生成成长"),2))/((VLOOKUP($B165,INDIRECT($B$5&amp;"生成成长"),4))/(VLOOKUP(FB$72,INDIRECT($C$5&amp;"生成成长"),5))*(VLOOKUP($B$5,标准坦克设计!$B$24:$U$30,MATCH("对"&amp;LEFT($C$5,2)&amp;"输出",标准坦克设计!$B$23:$U$23,0)))*(VLOOKUP($B165,INDIRECT($B$5&amp;"生成成长"),3))*(VLOOKUP($B$5,标准坦克设计!$B$14:$K$20,9)/30))</f>
        <v>17.612309169431605</v>
      </c>
      <c r="FC165" s="173">
        <f ca="1">(VLOOKUP(FC$72,INDIRECT($C$5&amp;"生成成长"),2))/((VLOOKUP($B165,INDIRECT($B$5&amp;"生成成长"),4))/(VLOOKUP(FC$72,INDIRECT($C$5&amp;"生成成长"),5))*(VLOOKUP($B$5,标准坦克设计!$B$24:$U$30,MATCH("对"&amp;LEFT($C$5,2)&amp;"输出",标准坦克设计!$B$23:$U$23,0)))*(VLOOKUP($B165,INDIRECT($B$5&amp;"生成成长"),3))*(VLOOKUP($B$5,标准坦克设计!$B$14:$K$20,9)/30))</f>
        <v>18.67801678943254</v>
      </c>
      <c r="FD165" s="173">
        <f ca="1">(VLOOKUP(FD$72,INDIRECT($C$5&amp;"生成成长"),2))/((VLOOKUP($B165,INDIRECT($B$5&amp;"生成成长"),4))/(VLOOKUP(FD$72,INDIRECT($C$5&amp;"生成成长"),5))*(VLOOKUP($B$5,标准坦克设计!$B$24:$U$30,MATCH("对"&amp;LEFT($C$5,2)&amp;"输出",标准坦克设计!$B$23:$U$23,0)))*(VLOOKUP($B165,INDIRECT($B$5&amp;"生成成长"),3))*(VLOOKUP($B$5,标准坦克设计!$B$14:$K$20,9)/30))</f>
        <v>19.775026902944848</v>
      </c>
      <c r="FE165" s="173">
        <f ca="1">(VLOOKUP(FE$72,INDIRECT($C$5&amp;"生成成长"),2))/((VLOOKUP($B165,INDIRECT($B$5&amp;"生成成长"),4))/(VLOOKUP(FE$72,INDIRECT($C$5&amp;"生成成长"),5))*(VLOOKUP($B$5,标准坦克设计!$B$24:$U$30,MATCH("对"&amp;LEFT($C$5,2)&amp;"输出",标准坦克设计!$B$23:$U$23,0)))*(VLOOKUP($B165,INDIRECT($B$5&amp;"生成成长"),3))*(VLOOKUP($B$5,标准坦克设计!$B$14:$K$20,9)/30))</f>
        <v>21.111850334515381</v>
      </c>
      <c r="FF165" s="173">
        <f ca="1">(VLOOKUP(FF$72,INDIRECT($C$5&amp;"生成成长"),2))/((VLOOKUP($B165,INDIRECT($B$5&amp;"生成成长"),4))/(VLOOKUP(FF$72,INDIRECT($C$5&amp;"生成成长"),5))*(VLOOKUP($B$5,标准坦克设计!$B$24:$U$30,MATCH("对"&amp;LEFT($C$5,2)&amp;"输出",标准坦克设计!$B$23:$U$23,0)))*(VLOOKUP($B165,INDIRECT($B$5&amp;"生成成长"),3))*(VLOOKUP($B$5,标准坦克设计!$B$14:$K$20,9)/30))</f>
        <v>22.492393777684452</v>
      </c>
      <c r="FG165" s="173">
        <f ca="1">(VLOOKUP(FG$72,INDIRECT($C$5&amp;"生成成长"),2))/((VLOOKUP($B165,INDIRECT($B$5&amp;"生成成长"),4))/(VLOOKUP(FG$72,INDIRECT($C$5&amp;"生成成长"),5))*(VLOOKUP($B$5,标准坦克设计!$B$24:$U$30,MATCH("对"&amp;LEFT($C$5,2)&amp;"输出",标准坦克设计!$B$23:$U$23,0)))*(VLOOKUP($B165,INDIRECT($B$5&amp;"生成成长"),3))*(VLOOKUP($B$5,标准坦克设计!$B$14:$K$20,9)/30))</f>
        <v>23.916657232452053</v>
      </c>
      <c r="FH165" s="173">
        <f ca="1">(VLOOKUP(FH$72,INDIRECT($C$5&amp;"生成成长"),2))/((VLOOKUP($B165,INDIRECT($B$5&amp;"生成成长"),4))/(VLOOKUP(FH$72,INDIRECT($C$5&amp;"生成成长"),5))*(VLOOKUP($B$5,标准坦克设计!$B$24:$U$30,MATCH("对"&amp;LEFT($C$5,2)&amp;"输出",标准坦克设计!$B$23:$U$23,0)))*(VLOOKUP($B165,INDIRECT($B$5&amp;"生成成长"),3))*(VLOOKUP($B$5,标准坦克设计!$B$14:$K$20,9)/30))</f>
        <v>25.384640698818192</v>
      </c>
      <c r="FI165" s="173">
        <f ca="1">(VLOOKUP(FI$72,INDIRECT($C$5&amp;"生成成长"),2))/((VLOOKUP($B165,INDIRECT($B$5&amp;"生成成长"),4))/(VLOOKUP(FI$72,INDIRECT($C$5&amp;"生成成长"),5))*(VLOOKUP($B$5,标准坦克设计!$B$24:$U$30,MATCH("对"&amp;LEFT($C$5,2)&amp;"输出",标准坦克设计!$B$23:$U$23,0)))*(VLOOKUP($B165,INDIRECT($B$5&amp;"生成成长"),3))*(VLOOKUP($B$5,标准坦克设计!$B$14:$K$20,9)/30))</f>
        <v>26.896344176782858</v>
      </c>
      <c r="FJ165" s="173">
        <f ca="1">(VLOOKUP(FJ$72,INDIRECT($C$5&amp;"生成成长"),2))/((VLOOKUP($B165,INDIRECT($B$5&amp;"生成成长"),4))/(VLOOKUP(FJ$72,INDIRECT($C$5&amp;"生成成长"),5))*(VLOOKUP($B$5,标准坦克设计!$B$24:$U$30,MATCH("对"&amp;LEFT($C$5,2)&amp;"输出",标准坦克设计!$B$23:$U$23,0)))*(VLOOKUP($B165,INDIRECT($B$5&amp;"生成成长"),3))*(VLOOKUP($B$5,标准坦克设计!$B$14:$K$20,9)/30))</f>
        <v>28.451767666346058</v>
      </c>
      <c r="FK165" s="173">
        <f ca="1">(VLOOKUP(FK$72,INDIRECT($C$5&amp;"生成成长"),2))/((VLOOKUP($B165,INDIRECT($B$5&amp;"生成成长"),4))/(VLOOKUP(FK$72,INDIRECT($C$5&amp;"生成成长"),5))*(VLOOKUP($B$5,标准坦克设计!$B$24:$U$30,MATCH("对"&amp;LEFT($C$5,2)&amp;"输出",标准坦克设计!$B$23:$U$23,0)))*(VLOOKUP($B165,INDIRECT($B$5&amp;"生成成长"),3))*(VLOOKUP($B$5,标准坦克设计!$B$14:$K$20,9)/30))</f>
        <v>30.050911167507792</v>
      </c>
    </row>
    <row r="166" spans="1:167" x14ac:dyDescent="0.15">
      <c r="A166" s="171" t="str">
        <f t="shared" si="12"/>
        <v>T5中品质4级</v>
      </c>
      <c r="B166" s="172">
        <v>20504</v>
      </c>
      <c r="C166" s="173">
        <f ca="1">(VLOOKUP(C$72,INDIRECT($C$5&amp;"生成成长"),2))/((VLOOKUP($B166,INDIRECT($B$5&amp;"生成成长"),4))/(VLOOKUP(C$72,INDIRECT($C$5&amp;"生成成长"),5))*(VLOOKUP($B$5,标准坦克设计!$B$24:$U$30,MATCH("对"&amp;LEFT($C$5,2)&amp;"输出",标准坦克设计!$B$23:$U$23,0)))*(VLOOKUP($B166,INDIRECT($B$5&amp;"生成成长"),3))*(VLOOKUP($B$5,标准坦克设计!$B$14:$K$20,9)/30))</f>
        <v>1.1911326646962221</v>
      </c>
      <c r="D166" s="173">
        <f ca="1">(VLOOKUP(D$72,INDIRECT($C$5&amp;"生成成长"),2))/((VLOOKUP($B166,INDIRECT($B$5&amp;"生成成长"),4))/(VLOOKUP(D$72,INDIRECT($C$5&amp;"生成成长"),5))*(VLOOKUP($B$5,标准坦克设计!$B$24:$U$30,MATCH("对"&amp;LEFT($C$5,2)&amp;"输出",标准坦克设计!$B$23:$U$23,0)))*(VLOOKUP($B166,INDIRECT($B$5&amp;"生成成长"),3))*(VLOOKUP($B$5,标准坦克设计!$B$14:$K$20,9)/30))</f>
        <v>1.3383566620526752</v>
      </c>
      <c r="E166" s="173">
        <f ca="1">(VLOOKUP(E$72,INDIRECT($C$5&amp;"生成成长"),2))/((VLOOKUP($B166,INDIRECT($B$5&amp;"生成成长"),4))/(VLOOKUP(E$72,INDIRECT($C$5&amp;"生成成长"),5))*(VLOOKUP($B$5,标准坦克设计!$B$24:$U$30,MATCH("对"&amp;LEFT($C$5,2)&amp;"输出",标准坦克设计!$B$23:$U$23,0)))*(VLOOKUP($B166,INDIRECT($B$5&amp;"生成成长"),3))*(VLOOKUP($B$5,标准坦克设计!$B$14:$K$20,9)/30))</f>
        <v>1.4941568145949409</v>
      </c>
      <c r="F166" s="173">
        <f ca="1">(VLOOKUP(F$72,INDIRECT($C$5&amp;"生成成长"),2))/((VLOOKUP($B166,INDIRECT($B$5&amp;"生成成长"),4))/(VLOOKUP(F$72,INDIRECT($C$5&amp;"生成成长"),5))*(VLOOKUP($B$5,标准坦克设计!$B$24:$U$30,MATCH("对"&amp;LEFT($C$5,2)&amp;"输出",标准坦克设计!$B$23:$U$23,0)))*(VLOOKUP($B166,INDIRECT($B$5&amp;"生成成长"),3))*(VLOOKUP($B$5,标准坦克设计!$B$14:$K$20,9)/30))</f>
        <v>1.6585331223230195</v>
      </c>
      <c r="G166" s="173">
        <f ca="1">(VLOOKUP(G$72,INDIRECT($C$5&amp;"生成成长"),2))/((VLOOKUP($B166,INDIRECT($B$5&amp;"生成成长"),4))/(VLOOKUP(G$72,INDIRECT($C$5&amp;"生成成长"),5))*(VLOOKUP($B$5,标准坦克设计!$B$24:$U$30,MATCH("对"&amp;LEFT($C$5,2)&amp;"输出",标准坦克设计!$B$23:$U$23,0)))*(VLOOKUP($B166,INDIRECT($B$5&amp;"生成成长"),3))*(VLOOKUP($B$5,标准坦克设计!$B$14:$K$20,9)/30))</f>
        <v>1.8314855852369114</v>
      </c>
      <c r="H166" s="173">
        <f ca="1">(VLOOKUP(H$72,INDIRECT($C$5&amp;"生成成长"),2))/((VLOOKUP($B166,INDIRECT($B$5&amp;"生成成长"),4))/(VLOOKUP(H$72,INDIRECT($C$5&amp;"生成成长"),5))*(VLOOKUP($B$5,标准坦克设计!$B$24:$U$30,MATCH("对"&amp;LEFT($C$5,2)&amp;"输出",标准坦克设计!$B$23:$U$23,0)))*(VLOOKUP($B166,INDIRECT($B$5&amp;"生成成长"),3))*(VLOOKUP($B$5,标准坦克设计!$B$14:$K$20,9)/30))</f>
        <v>1.6027881136152364</v>
      </c>
      <c r="I166" s="173">
        <f ca="1">(VLOOKUP(I$72,INDIRECT($C$5&amp;"生成成长"),2))/((VLOOKUP($B166,INDIRECT($B$5&amp;"生成成长"),4))/(VLOOKUP(I$72,INDIRECT($C$5&amp;"生成成长"),5))*(VLOOKUP($B$5,标准坦克设计!$B$24:$U$30,MATCH("对"&amp;LEFT($C$5,2)&amp;"输出",标准坦克设计!$B$23:$U$23,0)))*(VLOOKUP($B166,INDIRECT($B$5&amp;"生成成长"),3))*(VLOOKUP($B$5,标准坦克设计!$B$14:$K$20,9)/30))</f>
        <v>1.8314855852369114</v>
      </c>
      <c r="J166" s="173">
        <f ca="1">(VLOOKUP(J$72,INDIRECT($C$5&amp;"生成成长"),2))/((VLOOKUP($B166,INDIRECT($B$5&amp;"生成成长"),4))/(VLOOKUP(J$72,INDIRECT($C$5&amp;"生成成长"),5))*(VLOOKUP($B$5,标准坦克设计!$B$24:$U$30,MATCH("对"&amp;LEFT($C$5,2)&amp;"输出",标准坦克设计!$B$23:$U$23,0)))*(VLOOKUP($B166,INDIRECT($B$5&amp;"生成成长"),3))*(VLOOKUP($B$5,标准坦克设计!$B$14:$K$20,9)/30))</f>
        <v>2.0754295549666972</v>
      </c>
      <c r="K166" s="173">
        <f ca="1">(VLOOKUP(K$72,INDIRECT($C$5&amp;"生成成长"),2))/((VLOOKUP($B166,INDIRECT($B$5&amp;"生成成长"),4))/(VLOOKUP(K$72,INDIRECT($C$5&amp;"生成成长"),5))*(VLOOKUP($B$5,标准坦克设计!$B$24:$U$30,MATCH("对"&amp;LEFT($C$5,2)&amp;"输出",标准坦克设计!$B$23:$U$23,0)))*(VLOOKUP($B166,INDIRECT($B$5&amp;"生成成长"),3))*(VLOOKUP($B$5,标准坦克设计!$B$14:$K$20,9)/30))</f>
        <v>2.3346200228045952</v>
      </c>
      <c r="L166" s="173">
        <f ca="1">(VLOOKUP(L$72,INDIRECT($C$5&amp;"生成成长"),2))/((VLOOKUP($B166,INDIRECT($B$5&amp;"生成成长"),4))/(VLOOKUP(L$72,INDIRECT($C$5&amp;"生成成长"),5))*(VLOOKUP($B$5,标准坦克设计!$B$24:$U$30,MATCH("对"&amp;LEFT($C$5,2)&amp;"输出",标准坦克设计!$B$23:$U$23,0)))*(VLOOKUP($B166,INDIRECT($B$5&amp;"生成成长"),3))*(VLOOKUP($B$5,标准坦克设计!$B$14:$K$20,9)/30))</f>
        <v>2.6090569887506048</v>
      </c>
      <c r="M166" s="173">
        <f ca="1">(VLOOKUP(M$72,INDIRECT($C$5&amp;"生成成长"),2))/((VLOOKUP($B166,INDIRECT($B$5&amp;"生成成长"),4))/(VLOOKUP(M$72,INDIRECT($C$5&amp;"生成成长"),5))*(VLOOKUP($B$5,标准坦克设计!$B$24:$U$30,MATCH("对"&amp;LEFT($C$5,2)&amp;"输出",标准坦克设计!$B$23:$U$23,0)))*(VLOOKUP($B166,INDIRECT($B$5&amp;"生成成长"),3))*(VLOOKUP($B$5,标准坦克设计!$B$14:$K$20,9)/30))</f>
        <v>2.8987404528047258</v>
      </c>
      <c r="N166" s="173">
        <f ca="1">(VLOOKUP(N$72,INDIRECT($C$5&amp;"生成成长"),2))/((VLOOKUP($B166,INDIRECT($B$5&amp;"生成成长"),4))/(VLOOKUP(N$72,INDIRECT($C$5&amp;"生成成长"),5))*(VLOOKUP($B$5,标准坦克设计!$B$24:$U$30,MATCH("对"&amp;LEFT($C$5,2)&amp;"输出",标准坦克设计!$B$23:$U$23,0)))*(VLOOKUP($B166,INDIRECT($B$5&amp;"生成成长"),3))*(VLOOKUP($B$5,标准坦克设计!$B$14:$K$20,9)/30))</f>
        <v>3.2036704149669593</v>
      </c>
      <c r="O166" s="173">
        <f ca="1">(VLOOKUP(O$72,INDIRECT($C$5&amp;"生成成长"),2))/((VLOOKUP($B166,INDIRECT($B$5&amp;"生成成长"),4))/(VLOOKUP(O$72,INDIRECT($C$5&amp;"生成成长"),5))*(VLOOKUP($B$5,标准坦克设计!$B$24:$U$30,MATCH("对"&amp;LEFT($C$5,2)&amp;"输出",标准坦克设计!$B$23:$U$23,0)))*(VLOOKUP($B166,INDIRECT($B$5&amp;"生成成长"),3))*(VLOOKUP($B$5,标准坦克设计!$B$14:$K$20,9)/30))</f>
        <v>2.4357471860373048</v>
      </c>
      <c r="P166" s="173">
        <f ca="1">(VLOOKUP(P$72,INDIRECT($C$5&amp;"生成成长"),2))/((VLOOKUP($B166,INDIRECT($B$5&amp;"生成成长"),4))/(VLOOKUP(P$72,INDIRECT($C$5&amp;"生成成长"),5))*(VLOOKUP($B$5,标准坦克设计!$B$24:$U$30,MATCH("对"&amp;LEFT($C$5,2)&amp;"输出",标准坦克设计!$B$23:$U$23,0)))*(VLOOKUP($B166,INDIRECT($B$5&amp;"生成成长"),3))*(VLOOKUP($B$5,标准坦克设计!$B$14:$K$20,9)/30))</f>
        <v>2.751992908514151</v>
      </c>
      <c r="Q166" s="173">
        <f ca="1">(VLOOKUP(Q$72,INDIRECT($C$5&amp;"生成成长"),2))/((VLOOKUP($B166,INDIRECT($B$5&amp;"生成成长"),4))/(VLOOKUP(Q$72,INDIRECT($C$5&amp;"生成成长"),5))*(VLOOKUP($B$5,标准坦克设计!$B$24:$U$30,MATCH("对"&amp;LEFT($C$5,2)&amp;"输出",标准坦克设计!$B$23:$U$23,0)))*(VLOOKUP($B166,INDIRECT($B$5&amp;"生成成长"),3))*(VLOOKUP($B$5,标准坦克设计!$B$14:$K$20,9)/30))</f>
        <v>3.0875349801590772</v>
      </c>
      <c r="R166" s="173">
        <f ca="1">(VLOOKUP(R$72,INDIRECT($C$5&amp;"生成成长"),2))/((VLOOKUP($B166,INDIRECT($B$5&amp;"生成成长"),4))/(VLOOKUP(R$72,INDIRECT($C$5&amp;"生成成长"),5))*(VLOOKUP($B$5,标准坦克设计!$B$24:$U$30,MATCH("对"&amp;LEFT($C$5,2)&amp;"输出",标准坦克设计!$B$23:$U$23,0)))*(VLOOKUP($B166,INDIRECT($B$5&amp;"生成成长"),3))*(VLOOKUP($B$5,标准坦克设计!$B$14:$K$20,9)/30))</f>
        <v>3.4423734009720817</v>
      </c>
      <c r="S166" s="173">
        <f ca="1">(VLOOKUP(S$72,INDIRECT($C$5&amp;"生成成长"),2))/((VLOOKUP($B166,INDIRECT($B$5&amp;"生成成长"),4))/(VLOOKUP(S$72,INDIRECT($C$5&amp;"生成成长"),5))*(VLOOKUP($B$5,标准坦克设计!$B$24:$U$30,MATCH("对"&amp;LEFT($C$5,2)&amp;"输出",标准坦克设计!$B$23:$U$23,0)))*(VLOOKUP($B166,INDIRECT($B$5&amp;"生成成长"),3))*(VLOOKUP($B$5,标准坦克设计!$B$14:$K$20,9)/30))</f>
        <v>3.8165081709531647</v>
      </c>
      <c r="T166" s="173">
        <f ca="1">(VLOOKUP(T$72,INDIRECT($C$5&amp;"生成成长"),2))/((VLOOKUP($B166,INDIRECT($B$5&amp;"生成成长"),4))/(VLOOKUP(T$72,INDIRECT($C$5&amp;"生成成长"),5))*(VLOOKUP($B$5,标准坦克设计!$B$24:$U$30,MATCH("对"&amp;LEFT($C$5,2)&amp;"输出",标准坦克设计!$B$23:$U$23,0)))*(VLOOKUP($B166,INDIRECT($B$5&amp;"生成成长"),3))*(VLOOKUP($B$5,标准坦克设计!$B$14:$K$20,9)/30))</f>
        <v>4.2099392901023274</v>
      </c>
      <c r="U166" s="173">
        <f ca="1">(VLOOKUP(U$72,INDIRECT($C$5&amp;"生成成长"),2))/((VLOOKUP($B166,INDIRECT($B$5&amp;"生成成长"),4))/(VLOOKUP(U$72,INDIRECT($C$5&amp;"生成成长"),5))*(VLOOKUP($B$5,标准坦克设计!$B$24:$U$30,MATCH("对"&amp;LEFT($C$5,2)&amp;"输出",标准坦克设计!$B$23:$U$23,0)))*(VLOOKUP($B166,INDIRECT($B$5&amp;"生成成长"),3))*(VLOOKUP($B$5,标准坦克设计!$B$14:$K$20,9)/30))</f>
        <v>4.6226667584195678</v>
      </c>
      <c r="V166" s="173">
        <f ca="1">(VLOOKUP(V$72,INDIRECT($C$5&amp;"生成成长"),2))/((VLOOKUP($B166,INDIRECT($B$5&amp;"生成成长"),4))/(VLOOKUP(V$72,INDIRECT($C$5&amp;"生成成长"),5))*(VLOOKUP($B$5,标准坦克设计!$B$24:$U$30,MATCH("对"&amp;LEFT($C$5,2)&amp;"输出",标准坦克设计!$B$23:$U$23,0)))*(VLOOKUP($B166,INDIRECT($B$5&amp;"生成成长"),3))*(VLOOKUP($B$5,标准坦克设计!$B$14:$K$20,9)/30))</f>
        <v>5.0546905759048881</v>
      </c>
      <c r="W166" s="173">
        <f ca="1">(VLOOKUP(W$72,INDIRECT($C$5&amp;"生成成长"),2))/((VLOOKUP($B166,INDIRECT($B$5&amp;"生成成长"),4))/(VLOOKUP(W$72,INDIRECT($C$5&amp;"生成成长"),5))*(VLOOKUP($B$5,标准坦克设计!$B$24:$U$30,MATCH("对"&amp;LEFT($C$5,2)&amp;"输出",标准坦克设计!$B$23:$U$23,0)))*(VLOOKUP($B166,INDIRECT($B$5&amp;"生成成长"),3))*(VLOOKUP($B$5,标准坦克设计!$B$14:$K$20,9)/30))</f>
        <v>5.5060107425582858</v>
      </c>
      <c r="X166" s="173">
        <f ca="1">(VLOOKUP(X$72,INDIRECT($C$5&amp;"生成成长"),2))/((VLOOKUP($B166,INDIRECT($B$5&amp;"生成成长"),4))/(VLOOKUP(X$72,INDIRECT($C$5&amp;"生成成长"),5))*(VLOOKUP($B$5,标准坦克设计!$B$24:$U$30,MATCH("对"&amp;LEFT($C$5,2)&amp;"输出",标准坦克设计!$B$23:$U$23,0)))*(VLOOKUP($B166,INDIRECT($B$5&amp;"生成成长"),3))*(VLOOKUP($B$5,标准坦克设计!$B$14:$K$20,9)/30))</f>
        <v>3.9889841808011783</v>
      </c>
      <c r="Y166" s="173">
        <f ca="1">(VLOOKUP(Y$72,INDIRECT($C$5&amp;"生成成长"),2))/((VLOOKUP($B166,INDIRECT($B$5&amp;"生成成长"),4))/(VLOOKUP(Y$72,INDIRECT($C$5&amp;"生成成长"),5))*(VLOOKUP($B$5,标准坦克设计!$B$24:$U$30,MATCH("对"&amp;LEFT($C$5,2)&amp;"输出",标准坦克设计!$B$23:$U$23,0)))*(VLOOKUP($B166,INDIRECT($B$5&amp;"生成成长"),3))*(VLOOKUP($B$5,标准坦克设计!$B$14:$K$20,9)/30))</f>
        <v>4.4368500627269567</v>
      </c>
      <c r="Z166" s="173">
        <f ca="1">(VLOOKUP(Z$72,INDIRECT($C$5&amp;"生成成长"),2))/((VLOOKUP($B166,INDIRECT($B$5&amp;"生成成长"),4))/(VLOOKUP(Z$72,INDIRECT($C$5&amp;"生成成长"),5))*(VLOOKUP($B$5,标准坦克设计!$B$24:$U$30,MATCH("对"&amp;LEFT($C$5,2)&amp;"输出",标准坦克设计!$B$23:$U$23,0)))*(VLOOKUP($B166,INDIRECT($B$5&amp;"生成成长"),3))*(VLOOKUP($B$5,标准坦克设计!$B$14:$K$20,9)/30))</f>
        <v>4.908538597946662</v>
      </c>
      <c r="AA166" s="173">
        <f ca="1">(VLOOKUP(AA$72,INDIRECT($C$5&amp;"生成成长"),2))/((VLOOKUP($B166,INDIRECT($B$5&amp;"生成成长"),4))/(VLOOKUP(AA$72,INDIRECT($C$5&amp;"生成成长"),5))*(VLOOKUP($B$5,标准坦克设计!$B$24:$U$30,MATCH("对"&amp;LEFT($C$5,2)&amp;"输出",标准坦克设计!$B$23:$U$23,0)))*(VLOOKUP($B166,INDIRECT($B$5&amp;"生成成长"),3))*(VLOOKUP($B$5,标准坦克设计!$B$14:$K$20,9)/30))</f>
        <v>5.4040497864602894</v>
      </c>
      <c r="AB166" s="173">
        <f ca="1">(VLOOKUP(AB$72,INDIRECT($C$5&amp;"生成成长"),2))/((VLOOKUP($B166,INDIRECT($B$5&amp;"生成成长"),4))/(VLOOKUP(AB$72,INDIRECT($C$5&amp;"生成成长"),5))*(VLOOKUP($B$5,标准坦克设计!$B$24:$U$30,MATCH("对"&amp;LEFT($C$5,2)&amp;"输出",标准坦克设计!$B$23:$U$23,0)))*(VLOOKUP($B166,INDIRECT($B$5&amp;"生成成长"),3))*(VLOOKUP($B$5,标准坦克设计!$B$14:$K$20,9)/30))</f>
        <v>5.9233836282678425</v>
      </c>
      <c r="AC166" s="173">
        <f ca="1">(VLOOKUP(AC$72,INDIRECT($C$5&amp;"生成成长"),2))/((VLOOKUP($B166,INDIRECT($B$5&amp;"生成成长"),4))/(VLOOKUP(AC$72,INDIRECT($C$5&amp;"生成成长"),5))*(VLOOKUP($B$5,标准坦克设计!$B$24:$U$30,MATCH("对"&amp;LEFT($C$5,2)&amp;"输出",标准坦克设计!$B$23:$U$23,0)))*(VLOOKUP($B166,INDIRECT($B$5&amp;"生成成长"),3))*(VLOOKUP($B$5,标准坦克设计!$B$14:$K$20,9)/30))</f>
        <v>6.4665401233693194</v>
      </c>
      <c r="AD166" s="173">
        <f ca="1">(VLOOKUP(AD$72,INDIRECT($C$5&amp;"生成成长"),2))/((VLOOKUP($B166,INDIRECT($B$5&amp;"生成成长"),4))/(VLOOKUP(AD$72,INDIRECT($C$5&amp;"生成成长"),5))*(VLOOKUP($B$5,标准坦克设计!$B$24:$U$30,MATCH("对"&amp;LEFT($C$5,2)&amp;"输出",标准坦克设计!$B$23:$U$23,0)))*(VLOOKUP($B166,INDIRECT($B$5&amp;"生成成长"),3))*(VLOOKUP($B$5,标准坦克设计!$B$14:$K$20,9)/30))</f>
        <v>7.0335192717647219</v>
      </c>
      <c r="AE166" s="173">
        <f ca="1">(VLOOKUP(AE$72,INDIRECT($C$5&amp;"生成成长"),2))/((VLOOKUP($B166,INDIRECT($B$5&amp;"生成成长"),4))/(VLOOKUP(AE$72,INDIRECT($C$5&amp;"生成成长"),5))*(VLOOKUP($B$5,标准坦克设计!$B$24:$U$30,MATCH("对"&amp;LEFT($C$5,2)&amp;"输出",标准坦克设计!$B$23:$U$23,0)))*(VLOOKUP($B166,INDIRECT($B$5&amp;"生成成长"),3))*(VLOOKUP($B$5,标准坦克设计!$B$14:$K$20,9)/30))</f>
        <v>7.6243210734540492</v>
      </c>
      <c r="AF166" s="173">
        <f ca="1">(VLOOKUP(AF$72,INDIRECT($C$5&amp;"生成成长"),2))/((VLOOKUP($B166,INDIRECT($B$5&amp;"生成成长"),4))/(VLOOKUP(AF$72,INDIRECT($C$5&amp;"生成成长"),5))*(VLOOKUP($B$5,标准坦克设计!$B$24:$U$30,MATCH("对"&amp;LEFT($C$5,2)&amp;"输出",标准坦克设计!$B$23:$U$23,0)))*(VLOOKUP($B166,INDIRECT($B$5&amp;"生成成长"),3))*(VLOOKUP($B$5,标准坦克设计!$B$14:$K$20,9)/30))</f>
        <v>8.2389455284372985</v>
      </c>
      <c r="AG166" s="173">
        <f ca="1">(VLOOKUP(AG$72,INDIRECT($C$5&amp;"生成成长"),2))/((VLOOKUP($B166,INDIRECT($B$5&amp;"生成成长"),4))/(VLOOKUP(AG$72,INDIRECT($C$5&amp;"生成成长"),5))*(VLOOKUP($B$5,标准坦克设计!$B$24:$U$30,MATCH("对"&amp;LEFT($C$5,2)&amp;"输出",标准坦克设计!$B$23:$U$23,0)))*(VLOOKUP($B166,INDIRECT($B$5&amp;"生成成长"),3))*(VLOOKUP($B$5,标准坦克设计!$B$14:$K$20,9)/30))</f>
        <v>8.8773926367144735</v>
      </c>
      <c r="AH166" s="173">
        <f ca="1">(VLOOKUP(AH$72,INDIRECT($C$5&amp;"生成成长"),2))/((VLOOKUP($B166,INDIRECT($B$5&amp;"生成成长"),4))/(VLOOKUP(AH$72,INDIRECT($C$5&amp;"生成成长"),5))*(VLOOKUP($B$5,标准坦克设计!$B$24:$U$30,MATCH("对"&amp;LEFT($C$5,2)&amp;"输出",标准坦克设计!$B$23:$U$23,0)))*(VLOOKUP($B166,INDIRECT($B$5&amp;"生成成长"),3))*(VLOOKUP($B$5,标准坦克设计!$B$14:$K$20,9)/30))</f>
        <v>9.5396623982855733</v>
      </c>
      <c r="AI166" s="173">
        <f ca="1">(VLOOKUP(AI$72,INDIRECT($C$5&amp;"生成成长"),2))/((VLOOKUP($B166,INDIRECT($B$5&amp;"生成成长"),4))/(VLOOKUP(AI$72,INDIRECT($C$5&amp;"生成成长"),5))*(VLOOKUP($B$5,标准坦克设计!$B$24:$U$30,MATCH("对"&amp;LEFT($C$5,2)&amp;"输出",标准坦克设计!$B$23:$U$23,0)))*(VLOOKUP($B166,INDIRECT($B$5&amp;"生成成长"),3))*(VLOOKUP($B$5,标准坦克设计!$B$14:$K$20,9)/30))</f>
        <v>6.7470518659052789</v>
      </c>
      <c r="AJ166" s="173">
        <f ca="1">(VLOOKUP(AJ$72,INDIRECT($C$5&amp;"生成成长"),2))/((VLOOKUP($B166,INDIRECT($B$5&amp;"生成成长"),4))/(VLOOKUP(AJ$72,INDIRECT($C$5&amp;"生成成长"),5))*(VLOOKUP($B$5,标准坦克设计!$B$24:$U$30,MATCH("对"&amp;LEFT($C$5,2)&amp;"输出",标准坦克设计!$B$23:$U$23,0)))*(VLOOKUP($B166,INDIRECT($B$5&amp;"生成成长"),3))*(VLOOKUP($B$5,标准坦克设计!$B$14:$K$20,9)/30))</f>
        <v>7.3851416343830456</v>
      </c>
      <c r="AK166" s="173">
        <f ca="1">(VLOOKUP(AK$72,INDIRECT($C$5&amp;"生成成长"),2))/((VLOOKUP($B166,INDIRECT($B$5&amp;"生成成长"),4))/(VLOOKUP(AK$72,INDIRECT($C$5&amp;"生成成长"),5))*(VLOOKUP($B$5,标准坦克设计!$B$24:$U$30,MATCH("对"&amp;LEFT($C$5,2)&amp;"输出",标准坦克设计!$B$23:$U$23,0)))*(VLOOKUP($B166,INDIRECT($B$5&amp;"生成成长"),3))*(VLOOKUP($B$5,标准坦克设计!$B$14:$K$20,9)/30))</f>
        <v>8.0520568133464607</v>
      </c>
      <c r="AL166" s="173">
        <f ca="1">(VLOOKUP(AL$72,INDIRECT($C$5&amp;"生成成长"),2))/((VLOOKUP($B166,INDIRECT($B$5&amp;"生成成长"),4))/(VLOOKUP(AL$72,INDIRECT($C$5&amp;"生成成长"),5))*(VLOOKUP($B$5,标准坦克设计!$B$24:$U$30,MATCH("对"&amp;LEFT($C$5,2)&amp;"输出",标准坦克设计!$B$23:$U$23,0)))*(VLOOKUP($B166,INDIRECT($B$5&amp;"生成成长"),3))*(VLOOKUP($B$5,标准坦克设计!$B$14:$K$20,9)/30))</f>
        <v>8.7477974027955252</v>
      </c>
      <c r="AM166" s="173">
        <f ca="1">(VLOOKUP(AM$72,INDIRECT($C$5&amp;"生成成长"),2))/((VLOOKUP($B166,INDIRECT($B$5&amp;"生成成长"),4))/(VLOOKUP(AM$72,INDIRECT($C$5&amp;"生成成长"),5))*(VLOOKUP($B$5,标准坦克设计!$B$24:$U$30,MATCH("对"&amp;LEFT($C$5,2)&amp;"输出",标准坦克设计!$B$23:$U$23,0)))*(VLOOKUP($B166,INDIRECT($B$5&amp;"生成成长"),3))*(VLOOKUP($B$5,标准坦克设计!$B$14:$K$20,9)/30))</f>
        <v>9.4723634027302381</v>
      </c>
      <c r="AN166" s="173">
        <f ca="1">(VLOOKUP(AN$72,INDIRECT($C$5&amp;"生成成长"),2))/((VLOOKUP($B166,INDIRECT($B$5&amp;"生成成长"),4))/(VLOOKUP(AN$72,INDIRECT($C$5&amp;"生成成长"),5))*(VLOOKUP($B$5,标准坦克设计!$B$24:$U$30,MATCH("对"&amp;LEFT($C$5,2)&amp;"输出",标准坦克设计!$B$23:$U$23,0)))*(VLOOKUP($B166,INDIRECT($B$5&amp;"生成成长"),3))*(VLOOKUP($B$5,标准坦克设计!$B$14:$K$20,9)/30))</f>
        <v>10.225754813150596</v>
      </c>
      <c r="AO166" s="173">
        <f ca="1">(VLOOKUP(AO$72,INDIRECT($C$5&amp;"生成成长"),2))/((VLOOKUP($B166,INDIRECT($B$5&amp;"生成成长"),4))/(VLOOKUP(AO$72,INDIRECT($C$5&amp;"生成成长"),5))*(VLOOKUP($B$5,标准坦克设计!$B$24:$U$30,MATCH("对"&amp;LEFT($C$5,2)&amp;"输出",标准坦克设计!$B$23:$U$23,0)))*(VLOOKUP($B166,INDIRECT($B$5&amp;"生成成长"),3))*(VLOOKUP($B$5,标准坦克设计!$B$14:$K$20,9)/30))</f>
        <v>11.007971634056604</v>
      </c>
      <c r="AP166" s="173">
        <f ca="1">(VLOOKUP(AP$72,INDIRECT($C$5&amp;"生成成长"),2))/((VLOOKUP($B166,INDIRECT($B$5&amp;"生成成长"),4))/(VLOOKUP(AP$72,INDIRECT($C$5&amp;"生成成长"),5))*(VLOOKUP($B$5,标准坦克设计!$B$24:$U$30,MATCH("对"&amp;LEFT($C$5,2)&amp;"输出",标准坦克设计!$B$23:$U$23,0)))*(VLOOKUP($B166,INDIRECT($B$5&amp;"生成成长"),3))*(VLOOKUP($B$5,标准坦克设计!$B$14:$K$20,9)/30))</f>
        <v>11.819013865448262</v>
      </c>
      <c r="AQ166" s="173">
        <f ca="1">(VLOOKUP(AQ$72,INDIRECT($C$5&amp;"生成成长"),2))/((VLOOKUP($B166,INDIRECT($B$5&amp;"生成成长"),4))/(VLOOKUP(AQ$72,INDIRECT($C$5&amp;"生成成长"),5))*(VLOOKUP($B$5,标准坦克设计!$B$24:$U$30,MATCH("对"&amp;LEFT($C$5,2)&amp;"输出",标准坦克设计!$B$23:$U$23,0)))*(VLOOKUP($B166,INDIRECT($B$5&amp;"生成成长"),3))*(VLOOKUP($B$5,标准坦克设计!$B$14:$K$20,9)/30))</f>
        <v>12.658881507325569</v>
      </c>
      <c r="AR166" s="173">
        <f ca="1">(VLOOKUP(AR$72,INDIRECT($C$5&amp;"生成成长"),2))/((VLOOKUP($B166,INDIRECT($B$5&amp;"生成成长"),4))/(VLOOKUP(AR$72,INDIRECT($C$5&amp;"生成成长"),5))*(VLOOKUP($B$5,标准坦克设计!$B$24:$U$30,MATCH("对"&amp;LEFT($C$5,2)&amp;"输出",标准坦克设计!$B$23:$U$23,0)))*(VLOOKUP($B166,INDIRECT($B$5&amp;"生成成长"),3))*(VLOOKUP($B$5,标准坦克设计!$B$14:$K$20,9)/30))</f>
        <v>13.527574559688524</v>
      </c>
      <c r="AS166" s="173">
        <f ca="1">(VLOOKUP(AS$72,INDIRECT($C$5&amp;"生成成长"),2))/((VLOOKUP($B166,INDIRECT($B$5&amp;"生成成长"),4))/(VLOOKUP(AS$72,INDIRECT($C$5&amp;"生成成长"),5))*(VLOOKUP($B$5,标准坦克设计!$B$24:$U$30,MATCH("对"&amp;LEFT($C$5,2)&amp;"输出",标准坦克设计!$B$23:$U$23,0)))*(VLOOKUP($B166,INDIRECT($B$5&amp;"生成成长"),3))*(VLOOKUP($B$5,标准坦克设计!$B$14:$K$20,9)/30))</f>
        <v>14.425093022537126</v>
      </c>
      <c r="AT166" s="173">
        <f ca="1">(VLOOKUP(AT$72,INDIRECT($C$5&amp;"生成成长"),2))/((VLOOKUP($B166,INDIRECT($B$5&amp;"生成成长"),4))/(VLOOKUP(AT$72,INDIRECT($C$5&amp;"生成成长"),5))*(VLOOKUP($B$5,标准坦克设计!$B$24:$U$30,MATCH("对"&amp;LEFT($C$5,2)&amp;"输出",标准坦克设计!$B$23:$U$23,0)))*(VLOOKUP($B166,INDIRECT($B$5&amp;"生成成长"),3))*(VLOOKUP($B$5,标准坦克设计!$B$14:$K$20,9)/30))</f>
        <v>15.351436895871378</v>
      </c>
      <c r="AU166" s="173">
        <f ca="1">(VLOOKUP(AU$72,INDIRECT($C$5&amp;"生成成长"),2))/((VLOOKUP($B166,INDIRECT($B$5&amp;"生成成长"),4))/(VLOOKUP(AU$72,INDIRECT($C$5&amp;"生成成长"),5))*(VLOOKUP($B$5,标准坦克设计!$B$24:$U$30,MATCH("对"&amp;LEFT($C$5,2)&amp;"输出",标准坦克设计!$B$23:$U$23,0)))*(VLOOKUP($B166,INDIRECT($B$5&amp;"生成成长"),3))*(VLOOKUP($B$5,标准坦克设计!$B$14:$K$20,9)/30))</f>
        <v>16.306606179691279</v>
      </c>
      <c r="AV166" s="173">
        <f ca="1">(VLOOKUP(AV$72,INDIRECT($C$5&amp;"生成成长"),2))/((VLOOKUP($B166,INDIRECT($B$5&amp;"生成成长"),4))/(VLOOKUP(AV$72,INDIRECT($C$5&amp;"生成成长"),5))*(VLOOKUP($B$5,标准坦克设计!$B$24:$U$30,MATCH("对"&amp;LEFT($C$5,2)&amp;"输出",标准坦克设计!$B$23:$U$23,0)))*(VLOOKUP($B166,INDIRECT($B$5&amp;"生成成长"),3))*(VLOOKUP($B$5,标准坦克设计!$B$14:$K$20,9)/30))</f>
        <v>1.6585331223230195</v>
      </c>
      <c r="AW166" s="173">
        <f ca="1">(VLOOKUP(AW$72,INDIRECT($C$5&amp;"生成成长"),2))/((VLOOKUP($B166,INDIRECT($B$5&amp;"生成成长"),4))/(VLOOKUP(AW$72,INDIRECT($C$5&amp;"生成成长"),5))*(VLOOKUP($B$5,标准坦克设计!$B$24:$U$30,MATCH("对"&amp;LEFT($C$5,2)&amp;"输出",标准坦克设计!$B$23:$U$23,0)))*(VLOOKUP($B166,INDIRECT($B$5&amp;"生成成长"),3))*(VLOOKUP($B$5,标准坦克设计!$B$14:$K$20,9)/30))</f>
        <v>1.8910422184717219</v>
      </c>
      <c r="AX166" s="173">
        <f ca="1">(VLOOKUP(AX$72,INDIRECT($C$5&amp;"生成成长"),2))/((VLOOKUP($B166,INDIRECT($B$5&amp;"生成成长"),4))/(VLOOKUP(AX$72,INDIRECT($C$5&amp;"生成成长"),5))*(VLOOKUP($B$5,标准坦克设计!$B$24:$U$30,MATCH("对"&amp;LEFT($C$5,2)&amp;"输出",标准坦克设计!$B$23:$U$23,0)))*(VLOOKUP($B166,INDIRECT($B$5&amp;"生成成长"),3))*(VLOOKUP($B$5,标准坦克设计!$B$14:$K$20,9)/30))</f>
        <v>2.1387978127285363</v>
      </c>
      <c r="AY166" s="173">
        <f ca="1">(VLOOKUP(AY$72,INDIRECT($C$5&amp;"生成成长"),2))/((VLOOKUP($B166,INDIRECT($B$5&amp;"生成成长"),4))/(VLOOKUP(AY$72,INDIRECT($C$5&amp;"生成成长"),5))*(VLOOKUP($B$5,标准坦克设计!$B$24:$U$30,MATCH("对"&amp;LEFT($C$5,2)&amp;"输出",标准坦克设计!$B$23:$U$23,0)))*(VLOOKUP($B166,INDIRECT($B$5&amp;"生成成长"),3))*(VLOOKUP($B$5,标准坦克设计!$B$14:$K$20,9)/30))</f>
        <v>2.401799905093462</v>
      </c>
      <c r="AZ166" s="173">
        <f ca="1">(VLOOKUP(AZ$72,INDIRECT($C$5&amp;"生成成长"),2))/((VLOOKUP($B166,INDIRECT($B$5&amp;"生成成长"),4))/(VLOOKUP(AZ$72,INDIRECT($C$5&amp;"生成成长"),5))*(VLOOKUP($B$5,标准坦克设计!$B$24:$U$30,MATCH("对"&amp;LEFT($C$5,2)&amp;"输出",标准坦克设计!$B$23:$U$23,0)))*(VLOOKUP($B166,INDIRECT($B$5&amp;"生成成长"),3))*(VLOOKUP($B$5,标准坦克设计!$B$14:$K$20,9)/30))</f>
        <v>2.6800484955664992</v>
      </c>
      <c r="BA166" s="173">
        <f ca="1">(VLOOKUP(BA$72,INDIRECT($C$5&amp;"生成成长"),2))/((VLOOKUP($B166,INDIRECT($B$5&amp;"生成成长"),4))/(VLOOKUP(BA$72,INDIRECT($C$5&amp;"生成成长"),5))*(VLOOKUP($B$5,标准坦克设计!$B$24:$U$30,MATCH("对"&amp;LEFT($C$5,2)&amp;"输出",标准坦克设计!$B$23:$U$23,0)))*(VLOOKUP($B166,INDIRECT($B$5&amp;"生成成长"),3))*(VLOOKUP($B$5,标准坦克设计!$B$14:$K$20,9)/30))</f>
        <v>2.9735435841476487</v>
      </c>
      <c r="BB166" s="173">
        <f ca="1">(VLOOKUP(BB$72,INDIRECT($C$5&amp;"生成成长"),2))/((VLOOKUP($B166,INDIRECT($B$5&amp;"生成成长"),4))/(VLOOKUP(BB$72,INDIRECT($C$5&amp;"生成成长"),5))*(VLOOKUP($B$5,标准坦克设计!$B$24:$U$30,MATCH("对"&amp;LEFT($C$5,2)&amp;"输出",标准坦克设计!$B$23:$U$23,0)))*(VLOOKUP($B166,INDIRECT($B$5&amp;"生成成长"),3))*(VLOOKUP($B$5,标准坦克设计!$B$14:$K$20,9)/30))</f>
        <v>3.2822851708369094</v>
      </c>
      <c r="BC166" s="173">
        <f ca="1">(VLOOKUP(BC$72,INDIRECT($C$5&amp;"生成成长"),2))/((VLOOKUP($B166,INDIRECT($B$5&amp;"生成成长"),4))/(VLOOKUP(BC$72,INDIRECT($C$5&amp;"生成成长"),5))*(VLOOKUP($B$5,标准坦克设计!$B$24:$U$30,MATCH("对"&amp;LEFT($C$5,2)&amp;"输出",标准坦克设计!$B$23:$U$23,0)))*(VLOOKUP($B166,INDIRECT($B$5&amp;"生成成长"),3))*(VLOOKUP($B$5,标准坦克设计!$B$14:$K$20,9)/30))</f>
        <v>3.6062732556342816</v>
      </c>
      <c r="BD166" s="173">
        <f ca="1">(VLOOKUP(BD$72,INDIRECT($C$5&amp;"生成成长"),2))/((VLOOKUP($B166,INDIRECT($B$5&amp;"生成成长"),4))/(VLOOKUP(BD$72,INDIRECT($C$5&amp;"生成成长"),5))*(VLOOKUP($B$5,标准坦克设计!$B$24:$U$30,MATCH("对"&amp;LEFT($C$5,2)&amp;"输出",标准坦克设计!$B$23:$U$23,0)))*(VLOOKUP($B166,INDIRECT($B$5&amp;"生成成长"),3))*(VLOOKUP($B$5,标准坦克设计!$B$14:$K$20,9)/30))</f>
        <v>3.9889841808011783</v>
      </c>
      <c r="BE166" s="173">
        <f ca="1">(VLOOKUP(BE$72,INDIRECT($C$5&amp;"生成成长"),2))/((VLOOKUP($B166,INDIRECT($B$5&amp;"生成成长"),4))/(VLOOKUP(BE$72,INDIRECT($C$5&amp;"生成成长"),5))*(VLOOKUP($B$5,标准坦克设计!$B$24:$U$30,MATCH("对"&amp;LEFT($C$5,2)&amp;"输出",标准坦克设计!$B$23:$U$23,0)))*(VLOOKUP($B166,INDIRECT($B$5&amp;"生成成长"),3))*(VLOOKUP($B$5,标准坦克设计!$B$14:$K$20,9)/30))</f>
        <v>4.3909914551361524</v>
      </c>
      <c r="BF166" s="173">
        <f ca="1">(VLOOKUP(BF$72,INDIRECT($C$5&amp;"生成成长"),2))/((VLOOKUP($B166,INDIRECT($B$5&amp;"生成成长"),4))/(VLOOKUP(BF$72,INDIRECT($C$5&amp;"生成成长"),5))*(VLOOKUP($B$5,标准坦克设计!$B$24:$U$30,MATCH("对"&amp;LEFT($C$5,2)&amp;"输出",标准坦克设计!$B$23:$U$23,0)))*(VLOOKUP($B166,INDIRECT($B$5&amp;"生成成长"),3))*(VLOOKUP($B$5,标准坦克设计!$B$14:$K$20,9)/30))</f>
        <v>4.8122950786392069</v>
      </c>
      <c r="BG166" s="173">
        <f ca="1">(VLOOKUP(BG$72,INDIRECT($C$5&amp;"生成成长"),2))/((VLOOKUP($B166,INDIRECT($B$5&amp;"生成成长"),4))/(VLOOKUP(BG$72,INDIRECT($C$5&amp;"生成成长"),5))*(VLOOKUP($B$5,标准坦克设计!$B$24:$U$30,MATCH("对"&amp;LEFT($C$5,2)&amp;"输出",标准坦克设计!$B$23:$U$23,0)))*(VLOOKUP($B166,INDIRECT($B$5&amp;"生成成长"),3))*(VLOOKUP($B$5,标准坦克设计!$B$14:$K$20,9)/30))</f>
        <v>5.2528950513103396</v>
      </c>
      <c r="BH166" s="173">
        <f ca="1">(VLOOKUP(BH$72,INDIRECT($C$5&amp;"生成成长"),2))/((VLOOKUP($B166,INDIRECT($B$5&amp;"生成成长"),4))/(VLOOKUP(BH$72,INDIRECT($C$5&amp;"生成成长"),5))*(VLOOKUP($B$5,标准坦克设计!$B$24:$U$30,MATCH("对"&amp;LEFT($C$5,2)&amp;"输出",标准坦克设计!$B$23:$U$23,0)))*(VLOOKUP($B166,INDIRECT($B$5&amp;"生成成长"),3))*(VLOOKUP($B$5,标准坦克设计!$B$14:$K$20,9)/30))</f>
        <v>2.5390183880664674</v>
      </c>
      <c r="BI166" s="173">
        <f ca="1">(VLOOKUP(BI$72,INDIRECT($C$5&amp;"生成成长"),2))/((VLOOKUP($B166,INDIRECT($B$5&amp;"生成成长"),4))/(VLOOKUP(BI$72,INDIRECT($C$5&amp;"生成成长"),5))*(VLOOKUP($B$5,标准坦克设计!$B$24:$U$30,MATCH("对"&amp;LEFT($C$5,2)&amp;"输出",标准坦克设计!$B$23:$U$23,0)))*(VLOOKUP($B166,INDIRECT($B$5&amp;"生成成长"),3))*(VLOOKUP($B$5,标准坦克设计!$B$14:$K$20,9)/30))</f>
        <v>2.8616962269326729</v>
      </c>
      <c r="BJ166" s="173">
        <f ca="1">(VLOOKUP(BJ$72,INDIRECT($C$5&amp;"生成成长"),2))/((VLOOKUP($B166,INDIRECT($B$5&amp;"生成成长"),4))/(VLOOKUP(BJ$72,INDIRECT($C$5&amp;"生成成长"),5))*(VLOOKUP($B$5,标准坦克设计!$B$24:$U$30,MATCH("对"&amp;LEFT($C$5,2)&amp;"输出",标准坦克设计!$B$23:$U$23,0)))*(VLOOKUP($B166,INDIRECT($B$5&amp;"生成成长"),3))*(VLOOKUP($B$5,标准坦克设计!$B$14:$K$20,9)/30))</f>
        <v>3.2036704149669593</v>
      </c>
      <c r="BK166" s="173">
        <f ca="1">(VLOOKUP(BK$72,INDIRECT($C$5&amp;"生成成长"),2))/((VLOOKUP($B166,INDIRECT($B$5&amp;"生成成长"),4))/(VLOOKUP(BK$72,INDIRECT($C$5&amp;"生成成长"),5))*(VLOOKUP($B$5,标准坦克设计!$B$24:$U$30,MATCH("对"&amp;LEFT($C$5,2)&amp;"输出",标准坦克设计!$B$23:$U$23,0)))*(VLOOKUP($B166,INDIRECT($B$5&amp;"生成成长"),3))*(VLOOKUP($B$5,标准坦克设计!$B$14:$K$20,9)/30))</f>
        <v>3.5649409521693229</v>
      </c>
      <c r="BL166" s="173">
        <f ca="1">(VLOOKUP(BL$72,INDIRECT($C$5&amp;"生成成长"),2))/((VLOOKUP($B166,INDIRECT($B$5&amp;"生成成长"),4))/(VLOOKUP(BL$72,INDIRECT($C$5&amp;"生成成长"),5))*(VLOOKUP($B$5,标准坦克设计!$B$24:$U$30,MATCH("对"&amp;LEFT($C$5,2)&amp;"输出",标准坦克设计!$B$23:$U$23,0)))*(VLOOKUP($B166,INDIRECT($B$5&amp;"生成成长"),3))*(VLOOKUP($B$5,标准坦克设计!$B$14:$K$20,9)/30))</f>
        <v>3.9455078385397666</v>
      </c>
      <c r="BM166" s="173">
        <f ca="1">(VLOOKUP(BM$72,INDIRECT($C$5&amp;"生成成长"),2))/((VLOOKUP($B166,INDIRECT($B$5&amp;"生成成长"),4))/(VLOOKUP(BM$72,INDIRECT($C$5&amp;"生成成长"),5))*(VLOOKUP($B$5,标准坦克设计!$B$24:$U$30,MATCH("对"&amp;LEFT($C$5,2)&amp;"输出",标准坦克设计!$B$23:$U$23,0)))*(VLOOKUP($B166,INDIRECT($B$5&amp;"生成成长"),3))*(VLOOKUP($B$5,标准坦克设计!$B$14:$K$20,9)/30))</f>
        <v>4.3453710740782885</v>
      </c>
      <c r="BN166" s="173">
        <f ca="1">(VLOOKUP(BN$72,INDIRECT($C$5&amp;"生成成长"),2))/((VLOOKUP($B166,INDIRECT($B$5&amp;"生成成长"),4))/(VLOOKUP(BN$72,INDIRECT($C$5&amp;"生成成长"),5))*(VLOOKUP($B$5,标准坦克设计!$B$24:$U$30,MATCH("对"&amp;LEFT($C$5,2)&amp;"输出",标准坦克设计!$B$23:$U$23,0)))*(VLOOKUP($B166,INDIRECT($B$5&amp;"生成成长"),3))*(VLOOKUP($B$5,标准坦克设计!$B$14:$K$20,9)/30))</f>
        <v>4.7645306587848886</v>
      </c>
      <c r="BO166" s="173">
        <f ca="1">(VLOOKUP(BO$72,INDIRECT($C$5&amp;"生成成长"),2))/((VLOOKUP($B166,INDIRECT($B$5&amp;"生成成长"),4))/(VLOOKUP(BO$72,INDIRECT($C$5&amp;"生成成长"),5))*(VLOOKUP($B$5,标准坦克设计!$B$24:$U$30,MATCH("对"&amp;LEFT($C$5,2)&amp;"输出",标准坦克设计!$B$23:$U$23,0)))*(VLOOKUP($B166,INDIRECT($B$5&amp;"生成成长"),3))*(VLOOKUP($B$5,标准坦克设计!$B$14:$K$20,9)/30))</f>
        <v>5.2029865926595669</v>
      </c>
      <c r="BP166" s="173">
        <f ca="1">(VLOOKUP(BP$72,INDIRECT($C$5&amp;"生成成长"),2))/((VLOOKUP($B166,INDIRECT($B$5&amp;"生成成长"),4))/(VLOOKUP(BP$72,INDIRECT($C$5&amp;"生成成长"),5))*(VLOOKUP($B$5,标准坦克设计!$B$24:$U$30,MATCH("对"&amp;LEFT($C$5,2)&amp;"输出",标准坦克设计!$B$23:$U$23,0)))*(VLOOKUP($B166,INDIRECT($B$5&amp;"生成成长"),3))*(VLOOKUP($B$5,标准坦克设计!$B$14:$K$20,9)/30))</f>
        <v>5.660738875702326</v>
      </c>
      <c r="BQ166" s="173">
        <f ca="1">(VLOOKUP(BQ$72,INDIRECT($C$5&amp;"生成成长"),2))/((VLOOKUP($B166,INDIRECT($B$5&amp;"生成成长"),4))/(VLOOKUP(BQ$72,INDIRECT($C$5&amp;"生成成长"),5))*(VLOOKUP($B$5,标准坦克设计!$B$24:$U$30,MATCH("对"&amp;LEFT($C$5,2)&amp;"输出",标准坦克设计!$B$23:$U$23,0)))*(VLOOKUP($B166,INDIRECT($B$5&amp;"生成成长"),3))*(VLOOKUP($B$5,标准坦克设计!$B$14:$K$20,9)/30))</f>
        <v>6.1377875079131625</v>
      </c>
      <c r="BR166" s="173">
        <f ca="1">(VLOOKUP(BR$72,INDIRECT($C$5&amp;"生成成长"),2))/((VLOOKUP($B166,INDIRECT($B$5&amp;"生成成长"),4))/(VLOOKUP(BR$72,INDIRECT($C$5&amp;"生成成长"),5))*(VLOOKUP($B$5,标准坦克设计!$B$24:$U$30,MATCH("对"&amp;LEFT($C$5,2)&amp;"输出",标准坦克设计!$B$23:$U$23,0)))*(VLOOKUP($B166,INDIRECT($B$5&amp;"生成成长"),3))*(VLOOKUP($B$5,标准坦克设计!$B$14:$K$20,9)/30))</f>
        <v>6.6904730643322088</v>
      </c>
      <c r="BS166" s="173">
        <f ca="1">(VLOOKUP(BS$72,INDIRECT($C$5&amp;"生成成长"),2))/((VLOOKUP($B166,INDIRECT($B$5&amp;"生成成长"),4))/(VLOOKUP(BS$72,INDIRECT($C$5&amp;"生成成长"),5))*(VLOOKUP($B$5,标准坦克设计!$B$24:$U$30,MATCH("对"&amp;LEFT($C$5,2)&amp;"输出",标准坦克设计!$B$23:$U$23,0)))*(VLOOKUP($B166,INDIRECT($B$5&amp;"生成成长"),3))*(VLOOKUP($B$5,标准坦克设计!$B$14:$K$20,9)/30))</f>
        <v>7.2669812740451807</v>
      </c>
      <c r="BT166" s="173">
        <f ca="1">(VLOOKUP(BT$72,INDIRECT($C$5&amp;"生成成长"),2))/((VLOOKUP($B166,INDIRECT($B$5&amp;"生成成长"),4))/(VLOOKUP(BT$72,INDIRECT($C$5&amp;"生成成长"),5))*(VLOOKUP($B$5,标准坦克设计!$B$24:$U$30,MATCH("对"&amp;LEFT($C$5,2)&amp;"输出",标准坦克设计!$B$23:$U$23,0)))*(VLOOKUP($B166,INDIRECT($B$5&amp;"生成成长"),3))*(VLOOKUP($B$5,标准坦克设计!$B$14:$K$20,9)/30))</f>
        <v>7.8673121370520782</v>
      </c>
      <c r="BU166" s="173">
        <f ca="1">(VLOOKUP(BU$72,INDIRECT($C$5&amp;"生成成长"),2))/((VLOOKUP($B166,INDIRECT($B$5&amp;"生成成长"),4))/(VLOOKUP(BU$72,INDIRECT($C$5&amp;"生成成长"),5))*(VLOOKUP($B$5,标准坦克设计!$B$24:$U$30,MATCH("对"&amp;LEFT($C$5,2)&amp;"输出",标准坦克设计!$B$23:$U$23,0)))*(VLOOKUP($B166,INDIRECT($B$5&amp;"生成成长"),3))*(VLOOKUP($B$5,标准坦克设计!$B$14:$K$20,9)/30))</f>
        <v>8.4914656533528969</v>
      </c>
      <c r="BV166" s="173">
        <f ca="1">(VLOOKUP(BV$72,INDIRECT($C$5&amp;"生成成长"),2))/((VLOOKUP($B166,INDIRECT($B$5&amp;"生成成长"),4))/(VLOOKUP(BV$72,INDIRECT($C$5&amp;"生成成长"),5))*(VLOOKUP($B$5,标准坦克设计!$B$24:$U$30,MATCH("对"&amp;LEFT($C$5,2)&amp;"输出",标准坦克设计!$B$23:$U$23,0)))*(VLOOKUP($B166,INDIRECT($B$5&amp;"生成成长"),3))*(VLOOKUP($B$5,标准坦克设计!$B$14:$K$20,9)/30))</f>
        <v>9.1394418229476422</v>
      </c>
      <c r="BW166" s="173">
        <f ca="1">(VLOOKUP(BW$72,INDIRECT($C$5&amp;"生成成长"),2))/((VLOOKUP($B166,INDIRECT($B$5&amp;"生成成长"),4))/(VLOOKUP(BW$72,INDIRECT($C$5&amp;"生成成长"),5))*(VLOOKUP($B$5,标准坦克设计!$B$24:$U$30,MATCH("对"&amp;LEFT($C$5,2)&amp;"输出",标准坦克设计!$B$23:$U$23,0)))*(VLOOKUP($B166,INDIRECT($B$5&amp;"生成成长"),3))*(VLOOKUP($B$5,标准坦克设计!$B$14:$K$20,9)/30))</f>
        <v>4.1652718151762187</v>
      </c>
      <c r="BX166" s="173">
        <f ca="1">(VLOOKUP(BX$72,INDIRECT($C$5&amp;"生成成长"),2))/((VLOOKUP($B166,INDIRECT($B$5&amp;"生成成长"),4))/(VLOOKUP(BX$72,INDIRECT($C$5&amp;"生成成长"),5))*(VLOOKUP($B$5,标准坦克设计!$B$24:$U$30,MATCH("对"&amp;LEFT($C$5,2)&amp;"输出",标准坦克设计!$B$23:$U$23,0)))*(VLOOKUP($B166,INDIRECT($B$5&amp;"生成成长"),3))*(VLOOKUP($B$5,标准坦克设计!$B$14:$K$20,9)/30))</f>
        <v>4.6226667584195678</v>
      </c>
      <c r="BY166" s="173">
        <f ca="1">(VLOOKUP(BY$72,INDIRECT($C$5&amp;"生成成长"),2))/((VLOOKUP($B166,INDIRECT($B$5&amp;"生成成长"),4))/(VLOOKUP(BY$72,INDIRECT($C$5&amp;"生成成长"),5))*(VLOOKUP($B$5,标准坦克设计!$B$24:$U$30,MATCH("对"&amp;LEFT($C$5,2)&amp;"输出",标准坦克设计!$B$23:$U$23,0)))*(VLOOKUP($B166,INDIRECT($B$5&amp;"生成成长"),3))*(VLOOKUP($B$5,标准坦克设计!$B$14:$K$20,9)/30))</f>
        <v>5.1038843549568425</v>
      </c>
      <c r="BZ166" s="173">
        <f ca="1">(VLOOKUP(BZ$72,INDIRECT($C$5&amp;"生成成长"),2))/((VLOOKUP($B166,INDIRECT($B$5&amp;"生成成长"),4))/(VLOOKUP(BZ$72,INDIRECT($C$5&amp;"生成成长"),5))*(VLOOKUP($B$5,标准坦克设计!$B$24:$U$30,MATCH("对"&amp;LEFT($C$5,2)&amp;"输出",标准坦克设计!$B$23:$U$23,0)))*(VLOOKUP($B166,INDIRECT($B$5&amp;"生成成长"),3))*(VLOOKUP($B$5,标准坦克设计!$B$14:$K$20,9)/30))</f>
        <v>5.6089246047880401</v>
      </c>
      <c r="CA166" s="173">
        <f ca="1">(VLOOKUP(CA$72,INDIRECT($C$5&amp;"生成成长"),2))/((VLOOKUP($B166,INDIRECT($B$5&amp;"生成成长"),4))/(VLOOKUP(CA$72,INDIRECT($C$5&amp;"生成成长"),5))*(VLOOKUP($B$5,标准坦克设计!$B$24:$U$30,MATCH("对"&amp;LEFT($C$5,2)&amp;"输出",标准坦克设计!$B$23:$U$23,0)))*(VLOOKUP($B166,INDIRECT($B$5&amp;"生成成长"),3))*(VLOOKUP($B$5,标准坦克设计!$B$14:$K$20,9)/30))</f>
        <v>6.1377875079131625</v>
      </c>
      <c r="CB166" s="173">
        <f ca="1">(VLOOKUP(CB$72,INDIRECT($C$5&amp;"生成成长"),2))/((VLOOKUP($B166,INDIRECT($B$5&amp;"生成成长"),4))/(VLOOKUP(CB$72,INDIRECT($C$5&amp;"生成成长"),5))*(VLOOKUP($B$5,标准坦克设计!$B$24:$U$30,MATCH("对"&amp;LEFT($C$5,2)&amp;"输出",标准坦克设计!$B$23:$U$23,0)))*(VLOOKUP($B166,INDIRECT($B$5&amp;"生成成长"),3))*(VLOOKUP($B$5,标准坦克设计!$B$14:$K$20,9)/30))</f>
        <v>6.6904730643322088</v>
      </c>
      <c r="CC166" s="173">
        <f ca="1">(VLOOKUP(CC$72,INDIRECT($C$5&amp;"生成成长"),2))/((VLOOKUP($B166,INDIRECT($B$5&amp;"生成成长"),4))/(VLOOKUP(CC$72,INDIRECT($C$5&amp;"生成成长"),5))*(VLOOKUP($B$5,标准坦克设计!$B$24:$U$30,MATCH("对"&amp;LEFT($C$5,2)&amp;"输出",标准坦克设计!$B$23:$U$23,0)))*(VLOOKUP($B166,INDIRECT($B$5&amp;"生成成长"),3))*(VLOOKUP($B$5,标准坦克设计!$B$14:$K$20,9)/30))</f>
        <v>7.2669812740451807</v>
      </c>
      <c r="CD166" s="173">
        <f ca="1">(VLOOKUP(CD$72,INDIRECT($C$5&amp;"生成成长"),2))/((VLOOKUP($B166,INDIRECT($B$5&amp;"生成成长"),4))/(VLOOKUP(CD$72,INDIRECT($C$5&amp;"生成成长"),5))*(VLOOKUP($B$5,标准坦克设计!$B$24:$U$30,MATCH("对"&amp;LEFT($C$5,2)&amp;"输出",标准坦克设计!$B$23:$U$23,0)))*(VLOOKUP($B166,INDIRECT($B$5&amp;"生成成长"),3))*(VLOOKUP($B$5,标准坦克设计!$B$14:$K$20,9)/30))</f>
        <v>7.8673121370520782</v>
      </c>
      <c r="CE166" s="173">
        <f ca="1">(VLOOKUP(CE$72,INDIRECT($C$5&amp;"生成成长"),2))/((VLOOKUP($B166,INDIRECT($B$5&amp;"生成成长"),4))/(VLOOKUP(CE$72,INDIRECT($C$5&amp;"生成成长"),5))*(VLOOKUP($B$5,标准坦克设计!$B$24:$U$30,MATCH("对"&amp;LEFT($C$5,2)&amp;"输出",标准坦克设计!$B$23:$U$23,0)))*(VLOOKUP($B166,INDIRECT($B$5&amp;"生成成长"),3))*(VLOOKUP($B$5,标准坦克设计!$B$14:$K$20,9)/30))</f>
        <v>8.4914656533528969</v>
      </c>
      <c r="CF166" s="173">
        <f ca="1">(VLOOKUP(CF$72,INDIRECT($C$5&amp;"生成成长"),2))/((VLOOKUP($B166,INDIRECT($B$5&amp;"生成成长"),4))/(VLOOKUP(CF$72,INDIRECT($C$5&amp;"生成成长"),5))*(VLOOKUP($B$5,标准坦克设计!$B$24:$U$30,MATCH("对"&amp;LEFT($C$5,2)&amp;"输出",标准坦克设计!$B$23:$U$23,0)))*(VLOOKUP($B166,INDIRECT($B$5&amp;"生成成长"),3))*(VLOOKUP($B$5,标准坦克设计!$B$14:$K$20,9)/30))</f>
        <v>9.1394418229476422</v>
      </c>
      <c r="CG166" s="173">
        <f ca="1">(VLOOKUP(CG$72,INDIRECT($C$5&amp;"生成成长"),2))/((VLOOKUP($B166,INDIRECT($B$5&amp;"生成成长"),4))/(VLOOKUP(CG$72,INDIRECT($C$5&amp;"生成成长"),5))*(VLOOKUP($B$5,标准坦克设计!$B$24:$U$30,MATCH("对"&amp;LEFT($C$5,2)&amp;"输出",标准坦克设计!$B$23:$U$23,0)))*(VLOOKUP($B166,INDIRECT($B$5&amp;"生成成长"),3))*(VLOOKUP($B$5,标准坦克设计!$B$14:$K$20,9)/30))</f>
        <v>9.8112406458363104</v>
      </c>
      <c r="CH166" s="173">
        <f ca="1">(VLOOKUP(CH$72,INDIRECT($C$5&amp;"生成成长"),2))/((VLOOKUP($B166,INDIRECT($B$5&amp;"生成成长"),4))/(VLOOKUP(CH$72,INDIRECT($C$5&amp;"生成成长"),5))*(VLOOKUP($B$5,标准坦克设计!$B$24:$U$30,MATCH("对"&amp;LEFT($C$5,2)&amp;"输出",标准坦克设计!$B$23:$U$23,0)))*(VLOOKUP($B166,INDIRECT($B$5&amp;"生成成长"),3))*(VLOOKUP($B$5,标准坦克设计!$B$14:$K$20,9)/30))</f>
        <v>10.506862122018905</v>
      </c>
      <c r="CI166" s="173">
        <f ca="1">(VLOOKUP(CI$72,INDIRECT($C$5&amp;"生成成长"),2))/((VLOOKUP($B166,INDIRECT($B$5&amp;"生成成长"),4))/(VLOOKUP(CI$72,INDIRECT($C$5&amp;"生成成长"),5))*(VLOOKUP($B$5,标准坦克设计!$B$24:$U$30,MATCH("对"&amp;LEFT($C$5,2)&amp;"输出",标准坦克设计!$B$23:$U$23,0)))*(VLOOKUP($B166,INDIRECT($B$5&amp;"生成成长"),3))*(VLOOKUP($B$5,标准坦克设计!$B$14:$K$20,9)/30))</f>
        <v>11.299560910374243</v>
      </c>
      <c r="CJ166" s="173">
        <f ca="1">(VLOOKUP(CJ$72,INDIRECT($C$5&amp;"生成成长"),2))/((VLOOKUP($B166,INDIRECT($B$5&amp;"生成成长"),4))/(VLOOKUP(CJ$72,INDIRECT($C$5&amp;"生成成长"),5))*(VLOOKUP($B$5,标准坦克设计!$B$24:$U$30,MATCH("对"&amp;LEFT($C$5,2)&amp;"输出",标准坦克设计!$B$23:$U$23,0)))*(VLOOKUP($B166,INDIRECT($B$5&amp;"生成成长"),3))*(VLOOKUP($B$5,标准坦克设计!$B$14:$K$20,9)/30))</f>
        <v>12.121085109215226</v>
      </c>
      <c r="CK166" s="173">
        <f ca="1">(VLOOKUP(CK$72,INDIRECT($C$5&amp;"生成成长"),2))/((VLOOKUP($B166,INDIRECT($B$5&amp;"生成成长"),4))/(VLOOKUP(CK$72,INDIRECT($C$5&amp;"生成成长"),5))*(VLOOKUP($B$5,标准坦克设计!$B$24:$U$30,MATCH("对"&amp;LEFT($C$5,2)&amp;"输出",标准坦克设计!$B$23:$U$23,0)))*(VLOOKUP($B166,INDIRECT($B$5&amp;"生成成长"),3))*(VLOOKUP($B$5,标准坦克设计!$B$14:$K$20,9)/30))</f>
        <v>12.971434718541857</v>
      </c>
      <c r="CL166" s="173">
        <f ca="1">(VLOOKUP(CL$72,INDIRECT($C$5&amp;"生成成长"),2))/((VLOOKUP($B166,INDIRECT($B$5&amp;"生成成长"),4))/(VLOOKUP(CL$72,INDIRECT($C$5&amp;"生成成长"),5))*(VLOOKUP($B$5,标准坦克设计!$B$24:$U$30,MATCH("对"&amp;LEFT($C$5,2)&amp;"输出",标准坦克设计!$B$23:$U$23,0)))*(VLOOKUP($B166,INDIRECT($B$5&amp;"生成成长"),3))*(VLOOKUP($B$5,标准坦克设计!$B$14:$K$20,9)/30))</f>
        <v>13.850609738354141</v>
      </c>
      <c r="CM166" s="173">
        <f ca="1">(VLOOKUP(CM$72,INDIRECT($C$5&amp;"生成成长"),2))/((VLOOKUP($B166,INDIRECT($B$5&amp;"生成成长"),4))/(VLOOKUP(CM$72,INDIRECT($C$5&amp;"生成成长"),5))*(VLOOKUP($B$5,标准坦克设计!$B$24:$U$30,MATCH("对"&amp;LEFT($C$5,2)&amp;"输出",标准坦克设计!$B$23:$U$23,0)))*(VLOOKUP($B166,INDIRECT($B$5&amp;"生成成长"),3))*(VLOOKUP($B$5,标准坦克设计!$B$14:$K$20,9)/30))</f>
        <v>14.758610168652069</v>
      </c>
      <c r="CN166" s="173">
        <f ca="1">(VLOOKUP(CN$72,INDIRECT($C$5&amp;"生成成长"),2))/((VLOOKUP($B166,INDIRECT($B$5&amp;"生成成长"),4))/(VLOOKUP(CN$72,INDIRECT($C$5&amp;"生成成长"),5))*(VLOOKUP($B$5,标准坦克设计!$B$24:$U$30,MATCH("对"&amp;LEFT($C$5,2)&amp;"输出",标准坦克设计!$B$23:$U$23,0)))*(VLOOKUP($B166,INDIRECT($B$5&amp;"生成成长"),3))*(VLOOKUP($B$5,标准坦克设计!$B$14:$K$20,9)/30))</f>
        <v>15.695436009435648</v>
      </c>
      <c r="CO166" s="173">
        <f ca="1">(VLOOKUP(CO$72,INDIRECT($C$5&amp;"生成成长"),2))/((VLOOKUP($B166,INDIRECT($B$5&amp;"生成成长"),4))/(VLOOKUP(CO$72,INDIRECT($C$5&amp;"生成成长"),5))*(VLOOKUP($B$5,标准坦克设计!$B$24:$U$30,MATCH("对"&amp;LEFT($C$5,2)&amp;"输出",标准坦克设计!$B$23:$U$23,0)))*(VLOOKUP($B166,INDIRECT($B$5&amp;"生成成长"),3))*(VLOOKUP($B$5,标准坦克设计!$B$14:$K$20,9)/30))</f>
        <v>7.0335192717647219</v>
      </c>
      <c r="CP166" s="173">
        <f ca="1">(VLOOKUP(CP$72,INDIRECT($C$5&amp;"生成成长"),2))/((VLOOKUP($B166,INDIRECT($B$5&amp;"生成成长"),4))/(VLOOKUP(CP$72,INDIRECT($C$5&amp;"生成成长"),5))*(VLOOKUP($B$5,标准坦克设计!$B$24:$U$30,MATCH("对"&amp;LEFT($C$5,2)&amp;"输出",标准坦克设计!$B$23:$U$23,0)))*(VLOOKUP($B166,INDIRECT($B$5&amp;"生成成长"),3))*(VLOOKUP($B$5,标准坦克设计!$B$14:$K$20,9)/30))</f>
        <v>7.6847114995541448</v>
      </c>
      <c r="CQ166" s="173">
        <f ca="1">(VLOOKUP(CQ$72,INDIRECT($C$5&amp;"生成成长"),2))/((VLOOKUP($B166,INDIRECT($B$5&amp;"生成成长"),4))/(VLOOKUP(CQ$72,INDIRECT($C$5&amp;"生成成长"),5))*(VLOOKUP($B$5,标准坦克设计!$B$24:$U$30,MATCH("对"&amp;LEFT($C$5,2)&amp;"输出",标准坦克设计!$B$23:$U$23,0)))*(VLOOKUP($B166,INDIRECT($B$5&amp;"生成成长"),3))*(VLOOKUP($B$5,标准坦克设计!$B$14:$K$20,9)/30))</f>
        <v>8.3647291378292206</v>
      </c>
      <c r="CR166" s="173">
        <f ca="1">(VLOOKUP(CR$72,INDIRECT($C$5&amp;"生成成长"),2))/((VLOOKUP($B166,INDIRECT($B$5&amp;"生成成长"),4))/(VLOOKUP(CR$72,INDIRECT($C$5&amp;"生成成长"),5))*(VLOOKUP($B$5,标准坦克设计!$B$24:$U$30,MATCH("对"&amp;LEFT($C$5,2)&amp;"输出",标准坦克设计!$B$23:$U$23,0)))*(VLOOKUP($B166,INDIRECT($B$5&amp;"生成成长"),3))*(VLOOKUP($B$5,标准坦克设计!$B$14:$K$20,9)/30))</f>
        <v>9.0735721865899404</v>
      </c>
      <c r="CS166" s="173">
        <f ca="1">(VLOOKUP(CS$72,INDIRECT($C$5&amp;"生成成长"),2))/((VLOOKUP($B166,INDIRECT($B$5&amp;"生成成长"),4))/(VLOOKUP(CS$72,INDIRECT($C$5&amp;"生成成长"),5))*(VLOOKUP($B$5,标准坦克设计!$B$24:$U$30,MATCH("对"&amp;LEFT($C$5,2)&amp;"输出",标准坦克设计!$B$23:$U$23,0)))*(VLOOKUP($B166,INDIRECT($B$5&amp;"生成成长"),3))*(VLOOKUP($B$5,标准坦克设计!$B$14:$K$20,9)/30))</f>
        <v>9.8112406458363104</v>
      </c>
      <c r="CT166" s="173">
        <f ca="1">(VLOOKUP(CT$72,INDIRECT($C$5&amp;"生成成长"),2))/((VLOOKUP($B166,INDIRECT($B$5&amp;"生成成长"),4))/(VLOOKUP(CT$72,INDIRECT($C$5&amp;"生成成长"),5))*(VLOOKUP($B$5,标准坦克设计!$B$24:$U$30,MATCH("对"&amp;LEFT($C$5,2)&amp;"输出",标准坦克设计!$B$23:$U$23,0)))*(VLOOKUP($B166,INDIRECT($B$5&amp;"生成成长"),3))*(VLOOKUP($B$5,标准坦克设计!$B$14:$K$20,9)/30))</f>
        <v>10.577734515568332</v>
      </c>
      <c r="CU166" s="173">
        <f ca="1">(VLOOKUP(CU$72,INDIRECT($C$5&amp;"生成成长"),2))/((VLOOKUP($B166,INDIRECT($B$5&amp;"生成成长"),4))/(VLOOKUP(CU$72,INDIRECT($C$5&amp;"生成成长"),5))*(VLOOKUP($B$5,标准坦克设计!$B$24:$U$30,MATCH("对"&amp;LEFT($C$5,2)&amp;"输出",标准坦克设计!$B$23:$U$23,0)))*(VLOOKUP($B166,INDIRECT($B$5&amp;"生成成长"),3))*(VLOOKUP($B$5,标准坦克设计!$B$14:$K$20,9)/30))</f>
        <v>11.373053795785996</v>
      </c>
      <c r="CV166" s="173">
        <f ca="1">(VLOOKUP(CV$72,INDIRECT($C$5&amp;"生成成长"),2))/((VLOOKUP($B166,INDIRECT($B$5&amp;"生成成长"),4))/(VLOOKUP(CV$72,INDIRECT($C$5&amp;"生成成长"),5))*(VLOOKUP($B$5,标准坦克设计!$B$24:$U$30,MATCH("对"&amp;LEFT($C$5,2)&amp;"输出",标准坦克设计!$B$23:$U$23,0)))*(VLOOKUP($B166,INDIRECT($B$5&amp;"生成成长"),3))*(VLOOKUP($B$5,标准坦克设计!$B$14:$K$20,9)/30))</f>
        <v>12.197198486489311</v>
      </c>
      <c r="CW166" s="173">
        <f ca="1">(VLOOKUP(CW$72,INDIRECT($C$5&amp;"生成成长"),2))/((VLOOKUP($B166,INDIRECT($B$5&amp;"生成成长"),4))/(VLOOKUP(CW$72,INDIRECT($C$5&amp;"生成成长"),5))*(VLOOKUP($B$5,标准坦克设计!$B$24:$U$30,MATCH("对"&amp;LEFT($C$5,2)&amp;"输出",标准坦克设计!$B$23:$U$23,0)))*(VLOOKUP($B166,INDIRECT($B$5&amp;"生成成长"),3))*(VLOOKUP($B$5,标准坦克设计!$B$14:$K$20,9)/30))</f>
        <v>13.050168587678275</v>
      </c>
      <c r="CX166" s="173">
        <f ca="1">(VLOOKUP(CX$72,INDIRECT($C$5&amp;"生成成长"),2))/((VLOOKUP($B166,INDIRECT($B$5&amp;"生成成长"),4))/(VLOOKUP(CX$72,INDIRECT($C$5&amp;"生成成长"),5))*(VLOOKUP($B$5,标准坦克设计!$B$24:$U$30,MATCH("对"&amp;LEFT($C$5,2)&amp;"输出",标准坦克设计!$B$23:$U$23,0)))*(VLOOKUP($B166,INDIRECT($B$5&amp;"生成成长"),3))*(VLOOKUP($B$5,标准坦克设计!$B$14:$K$20,9)/30))</f>
        <v>13.931964099352893</v>
      </c>
      <c r="CY166" s="173">
        <f ca="1">(VLOOKUP(CY$72,INDIRECT($C$5&amp;"生成成长"),2))/((VLOOKUP($B166,INDIRECT($B$5&amp;"生成成长"),4))/(VLOOKUP(CY$72,INDIRECT($C$5&amp;"生成成长"),5))*(VLOOKUP($B$5,标准坦克设计!$B$24:$U$30,MATCH("对"&amp;LEFT($C$5,2)&amp;"输出",标准坦克设计!$B$23:$U$23,0)))*(VLOOKUP($B166,INDIRECT($B$5&amp;"生成成长"),3))*(VLOOKUP($B$5,标准坦克设计!$B$14:$K$20,9)/30))</f>
        <v>14.84258502151315</v>
      </c>
      <c r="CZ166" s="173">
        <f ca="1">(VLOOKUP(CZ$72,INDIRECT($C$5&amp;"生成成长"),2))/((VLOOKUP($B166,INDIRECT($B$5&amp;"生成成长"),4))/(VLOOKUP(CZ$72,INDIRECT($C$5&amp;"生成成长"),5))*(VLOOKUP($B$5,标准坦克设计!$B$24:$U$30,MATCH("对"&amp;LEFT($C$5,2)&amp;"输出",标准坦克设计!$B$23:$U$23,0)))*(VLOOKUP($B166,INDIRECT($B$5&amp;"生成成长"),3))*(VLOOKUP($B$5,标准坦克设计!$B$14:$K$20,9)/30))</f>
        <v>15.782031354159066</v>
      </c>
      <c r="DA166" s="173">
        <f ca="1">(VLOOKUP(DA$72,INDIRECT($C$5&amp;"生成成长"),2))/((VLOOKUP($B166,INDIRECT($B$5&amp;"生成成长"),4))/(VLOOKUP(DA$72,INDIRECT($C$5&amp;"生成成长"),5))*(VLOOKUP($B$5,标准坦克设计!$B$24:$U$30,MATCH("对"&amp;LEFT($C$5,2)&amp;"输出",标准坦克设计!$B$23:$U$23,0)))*(VLOOKUP($B166,INDIRECT($B$5&amp;"生成成长"),3))*(VLOOKUP($B$5,标准坦克设计!$B$14:$K$20,9)/30))</f>
        <v>16.750303097290622</v>
      </c>
      <c r="DB166" s="173">
        <f ca="1">(VLOOKUP(DB$72,INDIRECT($C$5&amp;"生成成长"),2))/((VLOOKUP($B166,INDIRECT($B$5&amp;"生成成长"),4))/(VLOOKUP(DB$72,INDIRECT($C$5&amp;"生成成长"),5))*(VLOOKUP($B$5,标准坦克设计!$B$24:$U$30,MATCH("对"&amp;LEFT($C$5,2)&amp;"输出",标准坦克设计!$B$23:$U$23,0)))*(VLOOKUP($B166,INDIRECT($B$5&amp;"生成成长"),3))*(VLOOKUP($B$5,标准坦克设计!$B$14:$K$20,9)/30))</f>
        <v>17.747400250907827</v>
      </c>
      <c r="DC166" s="173">
        <f ca="1">(VLOOKUP(DC$72,INDIRECT($C$5&amp;"生成成长"),2))/((VLOOKUP($B166,INDIRECT($B$5&amp;"生成成长"),4))/(VLOOKUP(DC$72,INDIRECT($C$5&amp;"生成成长"),5))*(VLOOKUP($B$5,标准坦克设计!$B$24:$U$30,MATCH("对"&amp;LEFT($C$5,2)&amp;"输出",标准坦克设计!$B$23:$U$23,0)))*(VLOOKUP($B166,INDIRECT($B$5&amp;"生成成长"),3))*(VLOOKUP($B$5,标准坦克设计!$B$14:$K$20,9)/30))</f>
        <v>18.868017861854035</v>
      </c>
      <c r="DD166" s="173">
        <f ca="1">(VLOOKUP(DD$72,INDIRECT($C$5&amp;"生成成长"),2))/((VLOOKUP($B166,INDIRECT($B$5&amp;"生成成长"),4))/(VLOOKUP(DD$72,INDIRECT($C$5&amp;"生成成长"),5))*(VLOOKUP($B$5,标准坦克设计!$B$24:$U$30,MATCH("对"&amp;LEFT($C$5,2)&amp;"输出",标准坦克设计!$B$23:$U$23,0)))*(VLOOKUP($B166,INDIRECT($B$5&amp;"生成成长"),3))*(VLOOKUP($B$5,标准坦克设计!$B$14:$K$20,9)/30))</f>
        <v>20.022940093543493</v>
      </c>
      <c r="DE166" s="173">
        <f ca="1">(VLOOKUP(DE$72,INDIRECT($C$5&amp;"生成成长"),2))/((VLOOKUP($B166,INDIRECT($B$5&amp;"生成成长"),4))/(VLOOKUP(DE$72,INDIRECT($C$5&amp;"生成成长"),5))*(VLOOKUP($B$5,标准坦克设计!$B$24:$U$30,MATCH("对"&amp;LEFT($C$5,2)&amp;"输出",标准坦克设计!$B$23:$U$23,0)))*(VLOOKUP($B166,INDIRECT($B$5&amp;"生成成长"),3))*(VLOOKUP($B$5,标准坦克设计!$B$14:$K$20,9)/30))</f>
        <v>21.2121669459762</v>
      </c>
      <c r="DF166" s="173">
        <f ca="1">(VLOOKUP(DF$72,INDIRECT($C$5&amp;"生成成长"),2))/((VLOOKUP($B166,INDIRECT($B$5&amp;"生成成长"),4))/(VLOOKUP(DF$72,INDIRECT($C$5&amp;"生成成长"),5))*(VLOOKUP($B$5,标准坦克设计!$B$24:$U$30,MATCH("对"&amp;LEFT($C$5,2)&amp;"输出",标准坦克设计!$B$23:$U$23,0)))*(VLOOKUP($B166,INDIRECT($B$5&amp;"生成成长"),3))*(VLOOKUP($B$5,标准坦克设计!$B$14:$K$20,9)/30))</f>
        <v>22.43569841915216</v>
      </c>
      <c r="DG166" s="173">
        <f ca="1">(VLOOKUP(DG$72,INDIRECT($C$5&amp;"生成成长"),2))/((VLOOKUP($B166,INDIRECT($B$5&amp;"生成成长"),4))/(VLOOKUP(DG$72,INDIRECT($C$5&amp;"生成成长"),5))*(VLOOKUP($B$5,标准坦克设计!$B$24:$U$30,MATCH("对"&amp;LEFT($C$5,2)&amp;"输出",标准坦克设计!$B$23:$U$23,0)))*(VLOOKUP($B166,INDIRECT($B$5&amp;"生成成长"),3))*(VLOOKUP($B$5,标准坦克设计!$B$14:$K$20,9)/30))</f>
        <v>23.69353451307137</v>
      </c>
      <c r="DH166" s="173">
        <f ca="1">(VLOOKUP(DH$72,INDIRECT($C$5&amp;"生成成长"),2))/((VLOOKUP($B166,INDIRECT($B$5&amp;"生成成长"),4))/(VLOOKUP(DH$72,INDIRECT($C$5&amp;"生成成长"),5))*(VLOOKUP($B$5,标准坦克设计!$B$24:$U$30,MATCH("对"&amp;LEFT($C$5,2)&amp;"输出",标准坦克设计!$B$23:$U$23,0)))*(VLOOKUP($B166,INDIRECT($B$5&amp;"生成成长"),3))*(VLOOKUP($B$5,标准坦克设计!$B$14:$K$20,9)/30))</f>
        <v>24.985675227733832</v>
      </c>
      <c r="DI166" s="173">
        <f ca="1">(VLOOKUP(DI$72,INDIRECT($C$5&amp;"生成成长"),2))/((VLOOKUP($B166,INDIRECT($B$5&amp;"生成成长"),4))/(VLOOKUP(DI$72,INDIRECT($C$5&amp;"生成成长"),5))*(VLOOKUP($B$5,标准坦克设计!$B$24:$U$30,MATCH("对"&amp;LEFT($C$5,2)&amp;"输出",标准坦克设计!$B$23:$U$23,0)))*(VLOOKUP($B166,INDIRECT($B$5&amp;"生成成长"),3))*(VLOOKUP($B$5,标准坦克设计!$B$14:$K$20,9)/30))</f>
        <v>26.312120563139544</v>
      </c>
      <c r="DJ166" s="173">
        <f ca="1">(VLOOKUP(DJ$72,INDIRECT($C$5&amp;"生成成长"),2))/((VLOOKUP($B166,INDIRECT($B$5&amp;"生成成长"),4))/(VLOOKUP(DJ$72,INDIRECT($C$5&amp;"生成成长"),5))*(VLOOKUP($B$5,标准坦克设计!$B$24:$U$30,MATCH("对"&amp;LEFT($C$5,2)&amp;"输出",标准坦克设计!$B$23:$U$23,0)))*(VLOOKUP($B166,INDIRECT($B$5&amp;"生成成长"),3))*(VLOOKUP($B$5,标准坦克设计!$B$14:$K$20,9)/30))</f>
        <v>2.6444336288920831</v>
      </c>
      <c r="DK166" s="173">
        <f ca="1">(VLOOKUP(DK$72,INDIRECT($C$5&amp;"生成成长"),2))/((VLOOKUP($B166,INDIRECT($B$5&amp;"生成成长"),4))/(VLOOKUP(DK$72,INDIRECT($C$5&amp;"生成成长"),5))*(VLOOKUP($B$5,标准坦克设计!$B$24:$U$30,MATCH("对"&amp;LEFT($C$5,2)&amp;"输出",标准坦克设计!$B$23:$U$23,0)))*(VLOOKUP($B166,INDIRECT($B$5&amp;"生成成长"),3))*(VLOOKUP($B$5,标准坦克设计!$B$14:$K$20,9)/30))</f>
        <v>2.9735435841476487</v>
      </c>
      <c r="DL166" s="173">
        <f ca="1">(VLOOKUP(DL$72,INDIRECT($C$5&amp;"生成成长"),2))/((VLOOKUP($B166,INDIRECT($B$5&amp;"生成成长"),4))/(VLOOKUP(DL$72,INDIRECT($C$5&amp;"生成成长"),5))*(VLOOKUP($B$5,标准坦克设计!$B$24:$U$30,MATCH("对"&amp;LEFT($C$5,2)&amp;"输出",标准坦克设计!$B$23:$U$23,0)))*(VLOOKUP($B166,INDIRECT($B$5&amp;"生成成长"),3))*(VLOOKUP($B$5,标准坦克设计!$B$14:$K$20,9)/30))</f>
        <v>3.3219498885712935</v>
      </c>
      <c r="DM166" s="173">
        <f ca="1">(VLOOKUP(DM$72,INDIRECT($C$5&amp;"生成成长"),2))/((VLOOKUP($B166,INDIRECT($B$5&amp;"生成成长"),4))/(VLOOKUP(DM$72,INDIRECT($C$5&amp;"生成成长"),5))*(VLOOKUP($B$5,标准坦克设计!$B$24:$U$30,MATCH("对"&amp;LEFT($C$5,2)&amp;"输出",标准坦克设计!$B$23:$U$23,0)))*(VLOOKUP($B166,INDIRECT($B$5&amp;"生成成长"),3))*(VLOOKUP($B$5,标准坦克设计!$B$14:$K$20,9)/30))</f>
        <v>3.6896525421630173</v>
      </c>
      <c r="DN166" s="173">
        <f ca="1">(VLOOKUP(DN$72,INDIRECT($C$5&amp;"生成成长"),2))/((VLOOKUP($B166,INDIRECT($B$5&amp;"生成成长"),4))/(VLOOKUP(DN$72,INDIRECT($C$5&amp;"生成成长"),5))*(VLOOKUP($B$5,标准坦克设计!$B$24:$U$30,MATCH("对"&amp;LEFT($C$5,2)&amp;"输出",标准坦克设计!$B$23:$U$23,0)))*(VLOOKUP($B166,INDIRECT($B$5&amp;"生成成长"),3))*(VLOOKUP($B$5,标准坦克设计!$B$14:$K$20,9)/30))</f>
        <v>4.0766515449228198</v>
      </c>
      <c r="DO166" s="173">
        <f ca="1">(VLOOKUP(DO$72,INDIRECT($C$5&amp;"生成成长"),2))/((VLOOKUP($B166,INDIRECT($B$5&amp;"生成成长"),4))/(VLOOKUP(DO$72,INDIRECT($C$5&amp;"生成成长"),5))*(VLOOKUP($B$5,标准坦克设计!$B$24:$U$30,MATCH("对"&amp;LEFT($C$5,2)&amp;"输出",标准坦克设计!$B$23:$U$23,0)))*(VLOOKUP($B166,INDIRECT($B$5&amp;"生成成长"),3))*(VLOOKUP($B$5,标准坦克设计!$B$14:$K$20,9)/30))</f>
        <v>4.4829468968507014</v>
      </c>
      <c r="DP166" s="173">
        <f ca="1">(VLOOKUP(DP$72,INDIRECT($C$5&amp;"生成成长"),2))/((VLOOKUP($B166,INDIRECT($B$5&amp;"生成成长"),4))/(VLOOKUP(DP$72,INDIRECT($C$5&amp;"生成成长"),5))*(VLOOKUP($B$5,标准坦克设计!$B$24:$U$30,MATCH("对"&amp;LEFT($C$5,2)&amp;"输出",标准坦克设计!$B$23:$U$23,0)))*(VLOOKUP($B166,INDIRECT($B$5&amp;"生成成长"),3))*(VLOOKUP($B$5,标准坦克设计!$B$14:$K$20,9)/30))</f>
        <v>4.908538597946662</v>
      </c>
      <c r="DQ166" s="173">
        <f ca="1">(VLOOKUP(DQ$72,INDIRECT($C$5&amp;"生成成长"),2))/((VLOOKUP($B166,INDIRECT($B$5&amp;"生成成长"),4))/(VLOOKUP(DQ$72,INDIRECT($C$5&amp;"生成成长"),5))*(VLOOKUP($B$5,标准坦克设计!$B$24:$U$30,MATCH("对"&amp;LEFT($C$5,2)&amp;"输出",标准坦克设计!$B$23:$U$23,0)))*(VLOOKUP($B166,INDIRECT($B$5&amp;"生成成长"),3))*(VLOOKUP($B$5,标准坦克设计!$B$14:$K$20,9)/30))</f>
        <v>5.3534266482107009</v>
      </c>
      <c r="DR166" s="173">
        <f ca="1">(VLOOKUP(DR$72,INDIRECT($C$5&amp;"生成成长"),2))/((VLOOKUP($B166,INDIRECT($B$5&amp;"生成成长"),4))/(VLOOKUP(DR$72,INDIRECT($C$5&amp;"生成成长"),5))*(VLOOKUP($B$5,标准坦克设计!$B$24:$U$30,MATCH("对"&amp;LEFT($C$5,2)&amp;"输出",标准坦克设计!$B$23:$U$23,0)))*(VLOOKUP($B166,INDIRECT($B$5&amp;"生成成长"),3))*(VLOOKUP($B$5,标准坦克设计!$B$14:$K$20,9)/30))</f>
        <v>5.817611047642818</v>
      </c>
      <c r="DS166" s="173">
        <f ca="1">(VLOOKUP(DS$72,INDIRECT($C$5&amp;"生成成长"),2))/((VLOOKUP($B166,INDIRECT($B$5&amp;"生成成长"),4))/(VLOOKUP(DS$72,INDIRECT($C$5&amp;"生成成长"),5))*(VLOOKUP($B$5,标准坦克设计!$B$24:$U$30,MATCH("对"&amp;LEFT($C$5,2)&amp;"输出",标准坦克设计!$B$23:$U$23,0)))*(VLOOKUP($B166,INDIRECT($B$5&amp;"生成成长"),3))*(VLOOKUP($B$5,标准坦克设计!$B$14:$K$20,9)/30))</f>
        <v>6.3010917962430142</v>
      </c>
      <c r="DT166" s="173">
        <f ca="1">(VLOOKUP(DT$72,INDIRECT($C$5&amp;"生成成长"),2))/((VLOOKUP($B166,INDIRECT($B$5&amp;"生成成长"),4))/(VLOOKUP(DT$72,INDIRECT($C$5&amp;"生成成长"),5))*(VLOOKUP($B$5,标准坦克设计!$B$24:$U$30,MATCH("对"&amp;LEFT($C$5,2)&amp;"输出",标准坦克设计!$B$23:$U$23,0)))*(VLOOKUP($B166,INDIRECT($B$5&amp;"生成成长"),3))*(VLOOKUP($B$5,标准坦克设计!$B$14:$K$20,9)/30))</f>
        <v>6.9182176298221272</v>
      </c>
      <c r="DU166" s="173">
        <f ca="1">(VLOOKUP(DU$72,INDIRECT($C$5&amp;"生成成长"),2))/((VLOOKUP($B166,INDIRECT($B$5&amp;"生成成长"),4))/(VLOOKUP(DU$72,INDIRECT($C$5&amp;"生成成长"),5))*(VLOOKUP($B$5,标准坦克设计!$B$24:$U$30,MATCH("对"&amp;LEFT($C$5,2)&amp;"输出",标准坦克设计!$B$23:$U$23,0)))*(VLOOKUP($B166,INDIRECT($B$5&amp;"生成成长"),3))*(VLOOKUP($B$5,标准坦克设计!$B$14:$K$20,9)/30))</f>
        <v>7.5641688738868877</v>
      </c>
      <c r="DV166" s="173">
        <f ca="1">(VLOOKUP(DV$72,INDIRECT($C$5&amp;"生成成长"),2))/((VLOOKUP($B166,INDIRECT($B$5&amp;"生成成长"),4))/(VLOOKUP(DV$72,INDIRECT($C$5&amp;"生成成长"),5))*(VLOOKUP($B$5,标准坦克设计!$B$24:$U$30,MATCH("对"&amp;LEFT($C$5,2)&amp;"输出",标准坦克设计!$B$23:$U$23,0)))*(VLOOKUP($B166,INDIRECT($B$5&amp;"生成成长"),3))*(VLOOKUP($B$5,标准坦克设计!$B$14:$K$20,9)/30))</f>
        <v>8.2389455284372985</v>
      </c>
      <c r="DW166" s="173">
        <f ca="1">(VLOOKUP(DW$72,INDIRECT($C$5&amp;"生成成长"),2))/((VLOOKUP($B166,INDIRECT($B$5&amp;"生成成长"),4))/(VLOOKUP(DW$72,INDIRECT($C$5&amp;"生成成长"),5))*(VLOOKUP($B$5,标准坦克设计!$B$24:$U$30,MATCH("对"&amp;LEFT($C$5,2)&amp;"输出",标准坦克设计!$B$23:$U$23,0)))*(VLOOKUP($B166,INDIRECT($B$5&amp;"生成成长"),3))*(VLOOKUP($B$5,标准坦克设计!$B$14:$K$20,9)/30))</f>
        <v>8.9425475934733551</v>
      </c>
      <c r="DX166" s="173">
        <f ca="1">(VLOOKUP(DX$72,INDIRECT($C$5&amp;"生成成长"),2))/((VLOOKUP($B166,INDIRECT($B$5&amp;"生成成长"),4))/(VLOOKUP(DX$72,INDIRECT($C$5&amp;"生成成长"),5))*(VLOOKUP($B$5,标准坦克设计!$B$24:$U$30,MATCH("对"&amp;LEFT($C$5,2)&amp;"输出",标准坦克设计!$B$23:$U$23,0)))*(VLOOKUP($B166,INDIRECT($B$5&amp;"生成成长"),3))*(VLOOKUP($B$5,标准坦克设计!$B$14:$K$20,9)/30))</f>
        <v>9.6749750689950638</v>
      </c>
      <c r="DY166" s="173">
        <f ca="1">(VLOOKUP(DY$72,INDIRECT($C$5&amp;"生成成长"),2))/((VLOOKUP($B166,INDIRECT($B$5&amp;"生成成长"),4))/(VLOOKUP(DY$72,INDIRECT($C$5&amp;"生成成长"),5))*(VLOOKUP($B$5,标准坦克设计!$B$24:$U$30,MATCH("对"&amp;LEFT($C$5,2)&amp;"输出",标准坦克设计!$B$23:$U$23,0)))*(VLOOKUP($B166,INDIRECT($B$5&amp;"生成成长"),3))*(VLOOKUP($B$5,标准坦克设计!$B$14:$K$20,9)/30))</f>
        <v>4.3453710740782885</v>
      </c>
      <c r="DZ166" s="173">
        <f ca="1">(VLOOKUP(DZ$72,INDIRECT($C$5&amp;"生成成长"),2))/((VLOOKUP($B166,INDIRECT($B$5&amp;"生成成长"),4))/(VLOOKUP(DZ$72,INDIRECT($C$5&amp;"生成成长"),5))*(VLOOKUP($B$5,标准坦克设计!$B$24:$U$30,MATCH("对"&amp;LEFT($C$5,2)&amp;"输出",标准坦克设计!$B$23:$U$23,0)))*(VLOOKUP($B166,INDIRECT($B$5&amp;"生成成长"),3))*(VLOOKUP($B$5,标准坦克设计!$B$14:$K$20,9)/30))</f>
        <v>4.8122950786392069</v>
      </c>
      <c r="EA166" s="173">
        <f ca="1">(VLOOKUP(EA$72,INDIRECT($C$5&amp;"生成成长"),2))/((VLOOKUP($B166,INDIRECT($B$5&amp;"生成成长"),4))/(VLOOKUP(EA$72,INDIRECT($C$5&amp;"生成成长"),5))*(VLOOKUP($B$5,标准坦克设计!$B$24:$U$30,MATCH("对"&amp;LEFT($C$5,2)&amp;"输出",标准坦克设计!$B$23:$U$23,0)))*(VLOOKUP($B166,INDIRECT($B$5&amp;"生成成长"),3))*(VLOOKUP($B$5,标准坦克设计!$B$14:$K$20,9)/30))</f>
        <v>5.3030417364940501</v>
      </c>
      <c r="EB166" s="173">
        <f ca="1">(VLOOKUP(EB$72,INDIRECT($C$5&amp;"生成成长"),2))/((VLOOKUP($B166,INDIRECT($B$5&amp;"生成成长"),4))/(VLOOKUP(EB$72,INDIRECT($C$5&amp;"生成成长"),5))*(VLOOKUP($B$5,标准坦克设计!$B$24:$U$30,MATCH("对"&amp;LEFT($C$5,2)&amp;"输出",标准坦克设计!$B$23:$U$23,0)))*(VLOOKUP($B166,INDIRECT($B$5&amp;"生成成长"),3))*(VLOOKUP($B$5,标准坦克设计!$B$14:$K$20,9)/30))</f>
        <v>5.817611047642818</v>
      </c>
      <c r="EC166" s="173">
        <f ca="1">(VLOOKUP(EC$72,INDIRECT($C$5&amp;"生成成长"),2))/((VLOOKUP($B166,INDIRECT($B$5&amp;"生成成长"),4))/(VLOOKUP(EC$72,INDIRECT($C$5&amp;"生成成长"),5))*(VLOOKUP($B$5,标准坦克设计!$B$24:$U$30,MATCH("对"&amp;LEFT($C$5,2)&amp;"输出",标准坦克设计!$B$23:$U$23,0)))*(VLOOKUP($B166,INDIRECT($B$5&amp;"生成成长"),3))*(VLOOKUP($B$5,标准坦克设计!$B$14:$K$20,9)/30))</f>
        <v>6.3560030120855098</v>
      </c>
      <c r="ED166" s="173">
        <f ca="1">(VLOOKUP(ED$72,INDIRECT($C$5&amp;"生成成长"),2))/((VLOOKUP($B166,INDIRECT($B$5&amp;"生成成长"),4))/(VLOOKUP(ED$72,INDIRECT($C$5&amp;"生成成长"),5))*(VLOOKUP($B$5,标准坦克设计!$B$24:$U$30,MATCH("对"&amp;LEFT($C$5,2)&amp;"输出",标准坦克设计!$B$23:$U$23,0)))*(VLOOKUP($B166,INDIRECT($B$5&amp;"生成成长"),3))*(VLOOKUP($B$5,标准坦克设计!$B$14:$K$20,9)/30))</f>
        <v>6.9182176298221272</v>
      </c>
      <c r="EE166" s="173">
        <f ca="1">(VLOOKUP(EE$72,INDIRECT($C$5&amp;"生成成长"),2))/((VLOOKUP($B166,INDIRECT($B$5&amp;"生成成长"),4))/(VLOOKUP(EE$72,INDIRECT($C$5&amp;"生成成长"),5))*(VLOOKUP($B$5,标准坦克设计!$B$24:$U$30,MATCH("对"&amp;LEFT($C$5,2)&amp;"输出",标准坦克设计!$B$23:$U$23,0)))*(VLOOKUP($B166,INDIRECT($B$5&amp;"生成成长"),3))*(VLOOKUP($B$5,标准坦克设计!$B$14:$K$20,9)/30))</f>
        <v>7.5042549008526693</v>
      </c>
      <c r="EF166" s="173">
        <f ca="1">(VLOOKUP(EF$72,INDIRECT($C$5&amp;"生成成长"),2))/((VLOOKUP($B166,INDIRECT($B$5&amp;"生成成长"),4))/(VLOOKUP(EF$72,INDIRECT($C$5&amp;"生成成长"),5))*(VLOOKUP($B$5,标准坦克设计!$B$24:$U$30,MATCH("对"&amp;LEFT($C$5,2)&amp;"输出",标准坦克设计!$B$23:$U$23,0)))*(VLOOKUP($B166,INDIRECT($B$5&amp;"生成成长"),3))*(VLOOKUP($B$5,标准坦克设计!$B$14:$K$20,9)/30))</f>
        <v>8.1141148251771327</v>
      </c>
      <c r="EG166" s="173">
        <f ca="1">(VLOOKUP(EG$72,INDIRECT($C$5&amp;"生成成长"),2))/((VLOOKUP($B166,INDIRECT($B$5&amp;"生成成长"),4))/(VLOOKUP(EG$72,INDIRECT($C$5&amp;"生成成长"),5))*(VLOOKUP($B$5,标准坦克设计!$B$24:$U$30,MATCH("对"&amp;LEFT($C$5,2)&amp;"输出",标准坦克设计!$B$23:$U$23,0)))*(VLOOKUP($B166,INDIRECT($B$5&amp;"生成成长"),3))*(VLOOKUP($B$5,标准坦克设计!$B$14:$K$20,9)/30))</f>
        <v>8.7477974027955252</v>
      </c>
      <c r="EH166" s="173">
        <f ca="1">(VLOOKUP(EH$72,INDIRECT($C$5&amp;"生成成长"),2))/((VLOOKUP($B166,INDIRECT($B$5&amp;"生成成长"),4))/(VLOOKUP(EH$72,INDIRECT($C$5&amp;"生成成长"),5))*(VLOOKUP($B$5,标准坦克设计!$B$24:$U$30,MATCH("对"&amp;LEFT($C$5,2)&amp;"输出",标准坦克设计!$B$23:$U$23,0)))*(VLOOKUP($B166,INDIRECT($B$5&amp;"生成成长"),3))*(VLOOKUP($B$5,标准坦克设计!$B$14:$K$20,9)/30))</f>
        <v>9.4053026337078389</v>
      </c>
      <c r="EI166" s="173">
        <f ca="1">(VLOOKUP(EI$72,INDIRECT($C$5&amp;"生成成长"),2))/((VLOOKUP($B166,INDIRECT($B$5&amp;"生成成长"),4))/(VLOOKUP(EI$72,INDIRECT($C$5&amp;"生成成长"),5))*(VLOOKUP($B$5,标准坦克设计!$B$24:$U$30,MATCH("对"&amp;LEFT($C$5,2)&amp;"输出",标准坦克设计!$B$23:$U$23,0)))*(VLOOKUP($B166,INDIRECT($B$5&amp;"生成成长"),3))*(VLOOKUP($B$5,标准坦克设计!$B$14:$K$20,9)/30))</f>
        <v>10.086630517914077</v>
      </c>
      <c r="EJ166" s="173">
        <f ca="1">(VLOOKUP(EJ$72,INDIRECT($C$5&amp;"生成成长"),2))/((VLOOKUP($B166,INDIRECT($B$5&amp;"生成成长"),4))/(VLOOKUP(EJ$72,INDIRECT($C$5&amp;"生成成长"),5))*(VLOOKUP($B$5,标准坦克设计!$B$24:$U$30,MATCH("对"&amp;LEFT($C$5,2)&amp;"输出",标准坦克设计!$B$23:$U$23,0)))*(VLOOKUP($B166,INDIRECT($B$5&amp;"生成成长"),3))*(VLOOKUP($B$5,标准坦克设计!$B$14:$K$20,9)/30))</f>
        <v>10.791781055414242</v>
      </c>
      <c r="EK166" s="173">
        <f ca="1">(VLOOKUP(EK$72,INDIRECT($C$5&amp;"生成成长"),2))/((VLOOKUP($B166,INDIRECT($B$5&amp;"生成成长"),4))/(VLOOKUP(EK$72,INDIRECT($C$5&amp;"生成成长"),5))*(VLOOKUP($B$5,标准坦克设计!$B$24:$U$30,MATCH("对"&amp;LEFT($C$5,2)&amp;"输出",标准坦克设计!$B$23:$U$23,0)))*(VLOOKUP($B166,INDIRECT($B$5&amp;"生成成长"),3))*(VLOOKUP($B$5,标准坦克设计!$B$14:$K$20,9)/30))</f>
        <v>11.669407602762417</v>
      </c>
      <c r="EL166" s="173">
        <f ca="1">(VLOOKUP(EL$72,INDIRECT($C$5&amp;"生成成长"),2))/((VLOOKUP($B166,INDIRECT($B$5&amp;"生成成长"),4))/(VLOOKUP(EL$72,INDIRECT($C$5&amp;"生成成长"),5))*(VLOOKUP($B$5,标准坦克设计!$B$24:$U$30,MATCH("对"&amp;LEFT($C$5,2)&amp;"输出",标准坦克设计!$B$23:$U$23,0)))*(VLOOKUP($B166,INDIRECT($B$5&amp;"生成成长"),3))*(VLOOKUP($B$5,标准坦克设计!$B$14:$K$20,9)/30))</f>
        <v>12.581338770853845</v>
      </c>
      <c r="EM166" s="173">
        <f ca="1">(VLOOKUP(EM$72,INDIRECT($C$5&amp;"生成成长"),2))/((VLOOKUP($B166,INDIRECT($B$5&amp;"生成成长"),4))/(VLOOKUP(EM$72,INDIRECT($C$5&amp;"生成成长"),5))*(VLOOKUP($B$5,标准坦克设计!$B$24:$U$30,MATCH("对"&amp;LEFT($C$5,2)&amp;"输出",标准坦克设计!$B$23:$U$23,0)))*(VLOOKUP($B166,INDIRECT($B$5&amp;"生成成长"),3))*(VLOOKUP($B$5,标准坦克设计!$B$14:$K$20,9)/30))</f>
        <v>13.527574559688524</v>
      </c>
      <c r="EN166" s="173">
        <f ca="1">(VLOOKUP(EN$72,INDIRECT($C$5&amp;"生成成长"),2))/((VLOOKUP($B166,INDIRECT($B$5&amp;"生成成长"),4))/(VLOOKUP(EN$72,INDIRECT($C$5&amp;"生成成长"),5))*(VLOOKUP($B$5,标准坦克设计!$B$24:$U$30,MATCH("对"&amp;LEFT($C$5,2)&amp;"输出",标准坦克设计!$B$23:$U$23,0)))*(VLOOKUP($B166,INDIRECT($B$5&amp;"生成成长"),3))*(VLOOKUP($B$5,标准坦克设计!$B$14:$K$20,9)/30))</f>
        <v>14.508114969266455</v>
      </c>
      <c r="EO166" s="173">
        <f ca="1">(VLOOKUP(EO$72,INDIRECT($C$5&amp;"生成成长"),2))/((VLOOKUP($B166,INDIRECT($B$5&amp;"生成成长"),4))/(VLOOKUP(EO$72,INDIRECT($C$5&amp;"生成成长"),5))*(VLOOKUP($B$5,标准坦克设计!$B$24:$U$30,MATCH("对"&amp;LEFT($C$5,2)&amp;"输出",标准坦克设计!$B$23:$U$23,0)))*(VLOOKUP($B166,INDIRECT($B$5&amp;"生成成长"),3))*(VLOOKUP($B$5,标准坦克设计!$B$14:$K$20,9)/30))</f>
        <v>15.522959999587634</v>
      </c>
      <c r="EP166" s="173">
        <f ca="1">(VLOOKUP(EP$72,INDIRECT($C$5&amp;"生成成长"),2))/((VLOOKUP($B166,INDIRECT($B$5&amp;"生成成长"),4))/(VLOOKUP(EP$72,INDIRECT($C$5&amp;"生成成长"),5))*(VLOOKUP($B$5,标准坦克设计!$B$24:$U$30,MATCH("对"&amp;LEFT($C$5,2)&amp;"输出",标准坦克设计!$B$23:$U$23,0)))*(VLOOKUP($B166,INDIRECT($B$5&amp;"生成成长"),3))*(VLOOKUP($B$5,标准坦克设计!$B$14:$K$20,9)/30))</f>
        <v>16.572109650652067</v>
      </c>
      <c r="EQ166" s="173">
        <f ca="1">(VLOOKUP(EQ$72,INDIRECT($C$5&amp;"生成成长"),2))/((VLOOKUP($B166,INDIRECT($B$5&amp;"生成成长"),4))/(VLOOKUP(EQ$72,INDIRECT($C$5&amp;"生成成长"),5))*(VLOOKUP($B$5,标准坦克设计!$B$24:$U$30,MATCH("对"&amp;LEFT($C$5,2)&amp;"输出",标准坦克设计!$B$23:$U$23,0)))*(VLOOKUP($B166,INDIRECT($B$5&amp;"生成成长"),3))*(VLOOKUP($B$5,标准坦克设计!$B$14:$K$20,9)/30))</f>
        <v>7.3259423409476456</v>
      </c>
      <c r="ER166" s="173">
        <f ca="1">(VLOOKUP(ER$72,INDIRECT($C$5&amp;"生成成长"),2))/((VLOOKUP($B166,INDIRECT($B$5&amp;"生成成长"),4))/(VLOOKUP(ER$72,INDIRECT($C$5&amp;"生成成长"),5))*(VLOOKUP($B$5,标准坦克设计!$B$24:$U$30,MATCH("对"&amp;LEFT($C$5,2)&amp;"输出",标准坦克设计!$B$23:$U$23,0)))*(VLOOKUP($B166,INDIRECT($B$5&amp;"生成成长"),3))*(VLOOKUP($B$5,标准坦克设计!$B$14:$K$20,9)/30))</f>
        <v>7.9902370280487274</v>
      </c>
      <c r="ES166" s="173">
        <f ca="1">(VLOOKUP(ES$72,INDIRECT($C$5&amp;"生成成长"),2))/((VLOOKUP($B166,INDIRECT($B$5&amp;"生成成长"),4))/(VLOOKUP(ES$72,INDIRECT($C$5&amp;"生成成长"),5))*(VLOOKUP($B$5,标准坦克设计!$B$24:$U$30,MATCH("对"&amp;LEFT($C$5,2)&amp;"输出",标准坦克设计!$B$23:$U$23,0)))*(VLOOKUP($B166,INDIRECT($B$5&amp;"生成成长"),3))*(VLOOKUP($B$5,标准坦克设计!$B$14:$K$20,9)/30))</f>
        <v>8.6833571256354602</v>
      </c>
      <c r="ET166" s="173">
        <f ca="1">(VLOOKUP(ET$72,INDIRECT($C$5&amp;"生成成长"),2))/((VLOOKUP($B166,INDIRECT($B$5&amp;"生成成长"),4))/(VLOOKUP(ET$72,INDIRECT($C$5&amp;"生成成长"),5))*(VLOOKUP($B$5,标准坦克设计!$B$24:$U$30,MATCH("对"&amp;LEFT($C$5,2)&amp;"输出",标准坦克设计!$B$23:$U$23,0)))*(VLOOKUP($B166,INDIRECT($B$5&amp;"生成成长"),3))*(VLOOKUP($B$5,标准坦克设计!$B$14:$K$20,9)/30))</f>
        <v>9.4053026337078389</v>
      </c>
      <c r="EU166" s="173">
        <f ca="1">(VLOOKUP(EU$72,INDIRECT($C$5&amp;"生成成长"),2))/((VLOOKUP($B166,INDIRECT($B$5&amp;"生成成长"),4))/(VLOOKUP(EU$72,INDIRECT($C$5&amp;"生成成长"),5))*(VLOOKUP($B$5,标准坦克设计!$B$24:$U$30,MATCH("对"&amp;LEFT($C$5,2)&amp;"输出",标准坦克设计!$B$23:$U$23,0)))*(VLOOKUP($B166,INDIRECT($B$5&amp;"生成成长"),3))*(VLOOKUP($B$5,标准坦克设计!$B$14:$K$20,9)/30))</f>
        <v>10.15607355226587</v>
      </c>
      <c r="EV166" s="173">
        <f ca="1">(VLOOKUP(EV$72,INDIRECT($C$5&amp;"生成成长"),2))/((VLOOKUP($B166,INDIRECT($B$5&amp;"生成成长"),4))/(VLOOKUP(EV$72,INDIRECT($C$5&amp;"生成成长"),5))*(VLOOKUP($B$5,标准坦克设计!$B$24:$U$30,MATCH("对"&amp;LEFT($C$5,2)&amp;"输出",标准坦克设计!$B$23:$U$23,0)))*(VLOOKUP($B166,INDIRECT($B$5&amp;"生成成长"),3))*(VLOOKUP($B$5,标准坦克设计!$B$14:$K$20,9)/30))</f>
        <v>10.935669881309545</v>
      </c>
      <c r="EW166" s="173">
        <f ca="1">(VLOOKUP(EW$72,INDIRECT($C$5&amp;"生成成长"),2))/((VLOOKUP($B166,INDIRECT($B$5&amp;"生成成长"),4))/(VLOOKUP(EW$72,INDIRECT($C$5&amp;"生成成长"),5))*(VLOOKUP($B$5,标准坦克设计!$B$24:$U$30,MATCH("对"&amp;LEFT($C$5,2)&amp;"输出",标准坦克设计!$B$23:$U$23,0)))*(VLOOKUP($B166,INDIRECT($B$5&amp;"生成成长"),3))*(VLOOKUP($B$5,标准坦克设计!$B$14:$K$20,9)/30))</f>
        <v>11.744091620838871</v>
      </c>
      <c r="EX166" s="173">
        <f ca="1">(VLOOKUP(EX$72,INDIRECT($C$5&amp;"生成成长"),2))/((VLOOKUP($B166,INDIRECT($B$5&amp;"生成成长"),4))/(VLOOKUP(EX$72,INDIRECT($C$5&amp;"生成成长"),5))*(VLOOKUP($B$5,标准坦克设计!$B$24:$U$30,MATCH("对"&amp;LEFT($C$5,2)&amp;"输出",标准坦克设计!$B$23:$U$23,0)))*(VLOOKUP($B166,INDIRECT($B$5&amp;"生成成长"),3))*(VLOOKUP($B$5,标准坦克设计!$B$14:$K$20,9)/30))</f>
        <v>12.581338770853845</v>
      </c>
      <c r="EY166" s="173">
        <f ca="1">(VLOOKUP(EY$72,INDIRECT($C$5&amp;"生成成长"),2))/((VLOOKUP($B166,INDIRECT($B$5&amp;"生成成长"),4))/(VLOOKUP(EY$72,INDIRECT($C$5&amp;"生成成长"),5))*(VLOOKUP($B$5,标准坦克设计!$B$24:$U$30,MATCH("对"&amp;LEFT($C$5,2)&amp;"输出",标准坦克设计!$B$23:$U$23,0)))*(VLOOKUP($B166,INDIRECT($B$5&amp;"生成成长"),3))*(VLOOKUP($B$5,标准坦克设计!$B$14:$K$20,9)/30))</f>
        <v>13.447411331354468</v>
      </c>
      <c r="EZ166" s="173">
        <f ca="1">(VLOOKUP(EZ$72,INDIRECT($C$5&amp;"生成成长"),2))/((VLOOKUP($B166,INDIRECT($B$5&amp;"生成成长"),4))/(VLOOKUP(EZ$72,INDIRECT($C$5&amp;"生成成长"),5))*(VLOOKUP($B$5,标准坦克设计!$B$24:$U$30,MATCH("对"&amp;LEFT($C$5,2)&amp;"输出",标准坦克设计!$B$23:$U$23,0)))*(VLOOKUP($B166,INDIRECT($B$5&amp;"生成成长"),3))*(VLOOKUP($B$5,标准坦克设计!$B$14:$K$20,9)/30))</f>
        <v>14.342309302340739</v>
      </c>
      <c r="FA166" s="173">
        <f ca="1">(VLOOKUP(FA$72,INDIRECT($C$5&amp;"生成成长"),2))/((VLOOKUP($B166,INDIRECT($B$5&amp;"生成成长"),4))/(VLOOKUP(FA$72,INDIRECT($C$5&amp;"生成成长"),5))*(VLOOKUP($B$5,标准坦克设计!$B$24:$U$30,MATCH("对"&amp;LEFT($C$5,2)&amp;"输出",标准坦克设计!$B$23:$U$23,0)))*(VLOOKUP($B166,INDIRECT($B$5&amp;"生成成长"),3))*(VLOOKUP($B$5,标准坦克设计!$B$14:$K$20,9)/30))</f>
        <v>15.266032683812659</v>
      </c>
      <c r="FB166" s="173">
        <f ca="1">(VLOOKUP(FB$72,INDIRECT($C$5&amp;"生成成长"),2))/((VLOOKUP($B166,INDIRECT($B$5&amp;"生成成长"),4))/(VLOOKUP(FB$72,INDIRECT($C$5&amp;"生成成长"),5))*(VLOOKUP($B$5,标准坦克设计!$B$24:$U$30,MATCH("对"&amp;LEFT($C$5,2)&amp;"输出",标准坦克设计!$B$23:$U$23,0)))*(VLOOKUP($B166,INDIRECT($B$5&amp;"生成成长"),3))*(VLOOKUP($B$5,标准坦克设计!$B$14:$K$20,9)/30))</f>
        <v>16.218581475770229</v>
      </c>
      <c r="FC166" s="173">
        <f ca="1">(VLOOKUP(FC$72,INDIRECT($C$5&amp;"生成成长"),2))/((VLOOKUP($B166,INDIRECT($B$5&amp;"生成成长"),4))/(VLOOKUP(FC$72,INDIRECT($C$5&amp;"生成成长"),5))*(VLOOKUP($B$5,标准坦克设计!$B$24:$U$30,MATCH("对"&amp;LEFT($C$5,2)&amp;"输出",标准坦克设计!$B$23:$U$23,0)))*(VLOOKUP($B166,INDIRECT($B$5&amp;"生成成长"),3))*(VLOOKUP($B$5,标准坦克设计!$B$14:$K$20,9)/30))</f>
        <v>17.199955678213446</v>
      </c>
      <c r="FD166" s="173">
        <f ca="1">(VLOOKUP(FD$72,INDIRECT($C$5&amp;"生成成长"),2))/((VLOOKUP($B166,INDIRECT($B$5&amp;"生成成长"),4))/(VLOOKUP(FD$72,INDIRECT($C$5&amp;"生成成长"),5))*(VLOOKUP($B$5,标准坦克设计!$B$24:$U$30,MATCH("对"&amp;LEFT($C$5,2)&amp;"输出",标准坦克设计!$B$23:$U$23,0)))*(VLOOKUP($B166,INDIRECT($B$5&amp;"生成成长"),3))*(VLOOKUP($B$5,标准坦克设计!$B$14:$K$20,9)/30))</f>
        <v>18.210155291142311</v>
      </c>
      <c r="FE166" s="173">
        <f ca="1">(VLOOKUP(FE$72,INDIRECT($C$5&amp;"生成成长"),2))/((VLOOKUP($B166,INDIRECT($B$5&amp;"生成成长"),4))/(VLOOKUP(FE$72,INDIRECT($C$5&amp;"生成成长"),5))*(VLOOKUP($B$5,标准坦克设计!$B$24:$U$30,MATCH("对"&amp;LEFT($C$5,2)&amp;"输出",标准坦克设计!$B$23:$U$23,0)))*(VLOOKUP($B166,INDIRECT($B$5&amp;"生成成长"),3))*(VLOOKUP($B$5,标准坦克设计!$B$14:$K$20,9)/30))</f>
        <v>19.441190900105855</v>
      </c>
      <c r="FF166" s="173">
        <f ca="1">(VLOOKUP(FF$72,INDIRECT($C$5&amp;"生成成长"),2))/((VLOOKUP($B166,INDIRECT($B$5&amp;"生成成长"),4))/(VLOOKUP(FF$72,INDIRECT($C$5&amp;"生成成长"),5))*(VLOOKUP($B$5,标准坦克设计!$B$24:$U$30,MATCH("对"&amp;LEFT($C$5,2)&amp;"输出",标准坦克设计!$B$23:$U$23,0)))*(VLOOKUP($B166,INDIRECT($B$5&amp;"生成成长"),3))*(VLOOKUP($B$5,标准坦克设计!$B$14:$K$20,9)/30))</f>
        <v>20.712486793136136</v>
      </c>
      <c r="FG166" s="173">
        <f ca="1">(VLOOKUP(FG$72,INDIRECT($C$5&amp;"生成成长"),2))/((VLOOKUP($B166,INDIRECT($B$5&amp;"生成成长"),4))/(VLOOKUP(FG$72,INDIRECT($C$5&amp;"生成成长"),5))*(VLOOKUP($B$5,标准坦克设计!$B$24:$U$30,MATCH("对"&amp;LEFT($C$5,2)&amp;"输出",标准坦克设计!$B$23:$U$23,0)))*(VLOOKUP($B166,INDIRECT($B$5&amp;"生成成长"),3))*(VLOOKUP($B$5,标准坦克设计!$B$14:$K$20,9)/30))</f>
        <v>22.024042970233143</v>
      </c>
      <c r="FH166" s="173">
        <f ca="1">(VLOOKUP(FH$72,INDIRECT($C$5&amp;"生成成长"),2))/((VLOOKUP($B166,INDIRECT($B$5&amp;"生成成长"),4))/(VLOOKUP(FH$72,INDIRECT($C$5&amp;"生成成长"),5))*(VLOOKUP($B$5,标准坦克设计!$B$24:$U$30,MATCH("对"&amp;LEFT($C$5,2)&amp;"输出",标准坦克设计!$B$23:$U$23,0)))*(VLOOKUP($B166,INDIRECT($B$5&amp;"生成成长"),3))*(VLOOKUP($B$5,标准坦克设计!$B$14:$K$20,9)/30))</f>
        <v>23.375859431396886</v>
      </c>
      <c r="FI166" s="173">
        <f ca="1">(VLOOKUP(FI$72,INDIRECT($C$5&amp;"生成成长"),2))/((VLOOKUP($B166,INDIRECT($B$5&amp;"生成成长"),4))/(VLOOKUP(FI$72,INDIRECT($C$5&amp;"生成成长"),5))*(VLOOKUP($B$5,标准坦克设计!$B$24:$U$30,MATCH("对"&amp;LEFT($C$5,2)&amp;"输出",标准坦克设计!$B$23:$U$23,0)))*(VLOOKUP($B166,INDIRECT($B$5&amp;"生成成长"),3))*(VLOOKUP($B$5,标准坦克设计!$B$14:$K$20,9)/30))</f>
        <v>24.767936176627359</v>
      </c>
      <c r="FJ166" s="173">
        <f ca="1">(VLOOKUP(FJ$72,INDIRECT($C$5&amp;"生成成长"),2))/((VLOOKUP($B166,INDIRECT($B$5&amp;"生成成长"),4))/(VLOOKUP(FJ$72,INDIRECT($C$5&amp;"生成成长"),5))*(VLOOKUP($B$5,标准坦克设计!$B$24:$U$30,MATCH("对"&amp;LEFT($C$5,2)&amp;"输出",标准坦克设计!$B$23:$U$23,0)))*(VLOOKUP($B166,INDIRECT($B$5&amp;"生成成长"),3))*(VLOOKUP($B$5,标准坦克设计!$B$14:$K$20,9)/30))</f>
        <v>26.200273205924571</v>
      </c>
      <c r="FK166" s="173">
        <f ca="1">(VLOOKUP(FK$72,INDIRECT($C$5&amp;"生成成长"),2))/((VLOOKUP($B166,INDIRECT($B$5&amp;"生成成长"),4))/(VLOOKUP(FK$72,INDIRECT($C$5&amp;"生成成长"),5))*(VLOOKUP($B$5,标准坦克设计!$B$24:$U$30,MATCH("对"&amp;LEFT($C$5,2)&amp;"输出",标准坦克设计!$B$23:$U$23,0)))*(VLOOKUP($B166,INDIRECT($B$5&amp;"生成成长"),3))*(VLOOKUP($B$5,标准坦克设计!$B$14:$K$20,9)/30))</f>
        <v>27.672870519288509</v>
      </c>
    </row>
    <row r="167" spans="1:167" x14ac:dyDescent="0.15">
      <c r="A167" s="171" t="str">
        <f t="shared" si="12"/>
        <v>T5中品质5级</v>
      </c>
      <c r="B167" s="172">
        <v>20505</v>
      </c>
      <c r="C167" s="173">
        <f ca="1">(VLOOKUP(C$72,INDIRECT($C$5&amp;"生成成长"),2))/((VLOOKUP($B167,INDIRECT($B$5&amp;"生成成长"),4))/(VLOOKUP(C$72,INDIRECT($C$5&amp;"生成成长"),5))*(VLOOKUP($B$5,标准坦克设计!$B$24:$U$30,MATCH("对"&amp;LEFT($C$5,2)&amp;"输出",标准坦克设计!$B$23:$U$23,0)))*(VLOOKUP($B167,INDIRECT($B$5&amp;"生成成长"),3))*(VLOOKUP($B$5,标准坦克设计!$B$14:$K$20,9)/30))</f>
        <v>1.1004606515276936</v>
      </c>
      <c r="D167" s="173">
        <f ca="1">(VLOOKUP(D$72,INDIRECT($C$5&amp;"生成成长"),2))/((VLOOKUP($B167,INDIRECT($B$5&amp;"生成成长"),4))/(VLOOKUP(D$72,INDIRECT($C$5&amp;"生成成长"),5))*(VLOOKUP($B$5,标准坦克设计!$B$24:$U$30,MATCH("对"&amp;LEFT($C$5,2)&amp;"输出",标准坦克设计!$B$23:$U$23,0)))*(VLOOKUP($B167,INDIRECT($B$5&amp;"生成成长"),3))*(VLOOKUP($B$5,标准坦克设计!$B$14:$K$20,9)/30))</f>
        <v>1.2364775880565164</v>
      </c>
      <c r="E167" s="173">
        <f ca="1">(VLOOKUP(E$72,INDIRECT($C$5&amp;"生成成长"),2))/((VLOOKUP($B167,INDIRECT($B$5&amp;"生成成长"),4))/(VLOOKUP(E$72,INDIRECT($C$5&amp;"生成成长"),5))*(VLOOKUP($B$5,标准坦克设计!$B$24:$U$30,MATCH("对"&amp;LEFT($C$5,2)&amp;"输出",标准坦克设计!$B$23:$U$23,0)))*(VLOOKUP($B167,INDIRECT($B$5&amp;"生成成长"),3))*(VLOOKUP($B$5,标准坦克设计!$B$14:$K$20,9)/30))</f>
        <v>1.3804178412763388</v>
      </c>
      <c r="F167" s="173">
        <f ca="1">(VLOOKUP(F$72,INDIRECT($C$5&amp;"生成成长"),2))/((VLOOKUP($B167,INDIRECT($B$5&amp;"生成成长"),4))/(VLOOKUP(F$72,INDIRECT($C$5&amp;"生成成长"),5))*(VLOOKUP($B$5,标准坦克设计!$B$24:$U$30,MATCH("对"&amp;LEFT($C$5,2)&amp;"输出",标准坦克设计!$B$23:$U$23,0)))*(VLOOKUP($B167,INDIRECT($B$5&amp;"生成成长"),3))*(VLOOKUP($B$5,标准坦克设计!$B$14:$K$20,9)/30))</f>
        <v>1.5322814111871603</v>
      </c>
      <c r="G167" s="173">
        <f ca="1">(VLOOKUP(G$72,INDIRECT($C$5&amp;"生成成长"),2))/((VLOOKUP($B167,INDIRECT($B$5&amp;"生成成长"),4))/(VLOOKUP(G$72,INDIRECT($C$5&amp;"生成成长"),5))*(VLOOKUP($B$5,标准坦克设计!$B$24:$U$30,MATCH("对"&amp;LEFT($C$5,2)&amp;"输出",标准坦克设计!$B$23:$U$23,0)))*(VLOOKUP($B167,INDIRECT($B$5&amp;"生成成长"),3))*(VLOOKUP($B$5,标准坦克设计!$B$14:$K$20,9)/30))</f>
        <v>1.6920682977889816</v>
      </c>
      <c r="H167" s="173">
        <f ca="1">(VLOOKUP(H$72,INDIRECT($C$5&amp;"生成成长"),2))/((VLOOKUP($B167,INDIRECT($B$5&amp;"生成成长"),4))/(VLOOKUP(H$72,INDIRECT($C$5&amp;"生成成长"),5))*(VLOOKUP($B$5,标准坦克设计!$B$24:$U$30,MATCH("对"&amp;LEFT($C$5,2)&amp;"输出",标准坦克设计!$B$23:$U$23,0)))*(VLOOKUP($B167,INDIRECT($B$5&amp;"生成成长"),3))*(VLOOKUP($B$5,标准坦克设计!$B$14:$K$20,9)/30))</f>
        <v>1.4807798526956644</v>
      </c>
      <c r="I167" s="173">
        <f ca="1">(VLOOKUP(I$72,INDIRECT($C$5&amp;"生成成长"),2))/((VLOOKUP($B167,INDIRECT($B$5&amp;"生成成长"),4))/(VLOOKUP(I$72,INDIRECT($C$5&amp;"生成成长"),5))*(VLOOKUP($B$5,标准坦克设计!$B$24:$U$30,MATCH("对"&amp;LEFT($C$5,2)&amp;"输出",标准坦克设计!$B$23:$U$23,0)))*(VLOOKUP($B167,INDIRECT($B$5&amp;"生成成长"),3))*(VLOOKUP($B$5,标准坦克设计!$B$14:$K$20,9)/30))</f>
        <v>1.6920682977889816</v>
      </c>
      <c r="J167" s="173">
        <f ca="1">(VLOOKUP(J$72,INDIRECT($C$5&amp;"生成成长"),2))/((VLOOKUP($B167,INDIRECT($B$5&amp;"生成成长"),4))/(VLOOKUP(J$72,INDIRECT($C$5&amp;"生成成长"),5))*(VLOOKUP($B$5,标准坦克设计!$B$24:$U$30,MATCH("对"&amp;LEFT($C$5,2)&amp;"输出",标准坦克设计!$B$23:$U$23,0)))*(VLOOKUP($B167,INDIRECT($B$5&amp;"生成成长"),3))*(VLOOKUP($B$5,标准坦克设计!$B$14:$K$20,9)/30))</f>
        <v>1.9174426392218531</v>
      </c>
      <c r="K167" s="173">
        <f ca="1">(VLOOKUP(K$72,INDIRECT($C$5&amp;"生成成长"),2))/((VLOOKUP($B167,INDIRECT($B$5&amp;"生成成长"),4))/(VLOOKUP(K$72,INDIRECT($C$5&amp;"生成成长"),5))*(VLOOKUP($B$5,标准坦克设计!$B$24:$U$30,MATCH("对"&amp;LEFT($C$5,2)&amp;"输出",标准坦克设计!$B$23:$U$23,0)))*(VLOOKUP($B167,INDIRECT($B$5&amp;"生成成长"),3))*(VLOOKUP($B$5,标准坦克设计!$B$14:$K$20,9)/30))</f>
        <v>2.1569028769942795</v>
      </c>
      <c r="L167" s="173">
        <f ca="1">(VLOOKUP(L$72,INDIRECT($C$5&amp;"生成成长"),2))/((VLOOKUP($B167,INDIRECT($B$5&amp;"生成成长"),4))/(VLOOKUP(L$72,INDIRECT($C$5&amp;"生成成长"),5))*(VLOOKUP($B$5,标准坦克设计!$B$24:$U$30,MATCH("对"&amp;LEFT($C$5,2)&amp;"输出",标准坦克设计!$B$23:$U$23,0)))*(VLOOKUP($B167,INDIRECT($B$5&amp;"生成成长"),3))*(VLOOKUP($B$5,标准坦克设计!$B$14:$K$20,9)/30))</f>
        <v>2.4104490111062602</v>
      </c>
      <c r="M167" s="173">
        <f ca="1">(VLOOKUP(M$72,INDIRECT($C$5&amp;"生成成长"),2))/((VLOOKUP($B167,INDIRECT($B$5&amp;"生成成长"),4))/(VLOOKUP(M$72,INDIRECT($C$5&amp;"生成成长"),5))*(VLOOKUP($B$5,标准坦克设计!$B$24:$U$30,MATCH("对"&amp;LEFT($C$5,2)&amp;"输出",标准坦克设计!$B$23:$U$23,0)))*(VLOOKUP($B167,INDIRECT($B$5&amp;"生成成长"),3))*(VLOOKUP($B$5,标准坦克设计!$B$14:$K$20,9)/30))</f>
        <v>2.6780810415577951</v>
      </c>
      <c r="N167" s="173">
        <f ca="1">(VLOOKUP(N$72,INDIRECT($C$5&amp;"生成成长"),2))/((VLOOKUP($B167,INDIRECT($B$5&amp;"生成成长"),4))/(VLOOKUP(N$72,INDIRECT($C$5&amp;"生成成长"),5))*(VLOOKUP($B$5,标准坦克设计!$B$24:$U$30,MATCH("对"&amp;LEFT($C$5,2)&amp;"输出",标准坦克设计!$B$23:$U$23,0)))*(VLOOKUP($B167,INDIRECT($B$5&amp;"生成成长"),3))*(VLOOKUP($B$5,标准坦克设计!$B$14:$K$20,9)/30))</f>
        <v>2.9597989683488848</v>
      </c>
      <c r="O167" s="173">
        <f ca="1">(VLOOKUP(O$72,INDIRECT($C$5&amp;"生成成长"),2))/((VLOOKUP($B167,INDIRECT($B$5&amp;"生成成长"),4))/(VLOOKUP(O$72,INDIRECT($C$5&amp;"生成成长"),5))*(VLOOKUP($B$5,标准坦克设计!$B$24:$U$30,MATCH("对"&amp;LEFT($C$5,2)&amp;"输出",标准坦克设计!$B$23:$U$23,0)))*(VLOOKUP($B167,INDIRECT($B$5&amp;"生成成长"),3))*(VLOOKUP($B$5,标准坦克设计!$B$14:$K$20,9)/30))</f>
        <v>2.2503319863089808</v>
      </c>
      <c r="P167" s="173">
        <f ca="1">(VLOOKUP(P$72,INDIRECT($C$5&amp;"生成成长"),2))/((VLOOKUP($B167,INDIRECT($B$5&amp;"生成成长"),4))/(VLOOKUP(P$72,INDIRECT($C$5&amp;"生成成长"),5))*(VLOOKUP($B$5,标准坦克设计!$B$24:$U$30,MATCH("对"&amp;LEFT($C$5,2)&amp;"输出",标准坦克设计!$B$23:$U$23,0)))*(VLOOKUP($B167,INDIRECT($B$5&amp;"生成成长"),3))*(VLOOKUP($B$5,标准坦克设计!$B$14:$K$20,9)/30))</f>
        <v>2.5425042892895835</v>
      </c>
      <c r="Q167" s="173">
        <f ca="1">(VLOOKUP(Q$72,INDIRECT($C$5&amp;"生成成长"),2))/((VLOOKUP($B167,INDIRECT($B$5&amp;"生成成长"),4))/(VLOOKUP(Q$72,INDIRECT($C$5&amp;"生成成长"),5))*(VLOOKUP($B$5,标准坦克设计!$B$24:$U$30,MATCH("对"&amp;LEFT($C$5,2)&amp;"输出",标准坦克设计!$B$23:$U$23,0)))*(VLOOKUP($B167,INDIRECT($B$5&amp;"生成成长"),3))*(VLOOKUP($B$5,标准坦克设计!$B$14:$K$20,9)/30))</f>
        <v>2.8525040548249341</v>
      </c>
      <c r="R167" s="173">
        <f ca="1">(VLOOKUP(R$72,INDIRECT($C$5&amp;"生成成长"),2))/((VLOOKUP($B167,INDIRECT($B$5&amp;"生成成长"),4))/(VLOOKUP(R$72,INDIRECT($C$5&amp;"生成成长"),5))*(VLOOKUP($B$5,标准坦克设计!$B$24:$U$30,MATCH("对"&amp;LEFT($C$5,2)&amp;"输出",标准坦克设计!$B$23:$U$23,0)))*(VLOOKUP($B167,INDIRECT($B$5&amp;"生成成长"),3))*(VLOOKUP($B$5,标准坦克设计!$B$14:$K$20,9)/30))</f>
        <v>3.1803312829150343</v>
      </c>
      <c r="S167" s="173">
        <f ca="1">(VLOOKUP(S$72,INDIRECT($C$5&amp;"生成成长"),2))/((VLOOKUP($B167,INDIRECT($B$5&amp;"生成成长"),4))/(VLOOKUP(S$72,INDIRECT($C$5&amp;"生成成长"),5))*(VLOOKUP($B$5,标准坦克设计!$B$24:$U$30,MATCH("对"&amp;LEFT($C$5,2)&amp;"输出",标准坦克设计!$B$23:$U$23,0)))*(VLOOKUP($B167,INDIRECT($B$5&amp;"生成成长"),3))*(VLOOKUP($B$5,标准坦克设计!$B$14:$K$20,9)/30))</f>
        <v>3.5259859735598824</v>
      </c>
      <c r="T167" s="173">
        <f ca="1">(VLOOKUP(T$72,INDIRECT($C$5&amp;"生成成长"),2))/((VLOOKUP($B167,INDIRECT($B$5&amp;"生成成长"),4))/(VLOOKUP(T$72,INDIRECT($C$5&amp;"生成成长"),5))*(VLOOKUP($B$5,标准坦克设计!$B$24:$U$30,MATCH("对"&amp;LEFT($C$5,2)&amp;"输出",标准坦克设计!$B$23:$U$23,0)))*(VLOOKUP($B167,INDIRECT($B$5&amp;"生成成长"),3))*(VLOOKUP($B$5,标准坦克设计!$B$14:$K$20,9)/30))</f>
        <v>3.8894681267594797</v>
      </c>
      <c r="U167" s="173">
        <f ca="1">(VLOOKUP(U$72,INDIRECT($C$5&amp;"生成成长"),2))/((VLOOKUP($B167,INDIRECT($B$5&amp;"生成成长"),4))/(VLOOKUP(U$72,INDIRECT($C$5&amp;"生成成长"),5))*(VLOOKUP($B$5,标准坦克设计!$B$24:$U$30,MATCH("对"&amp;LEFT($C$5,2)&amp;"输出",标准坦克设计!$B$23:$U$23,0)))*(VLOOKUP($B167,INDIRECT($B$5&amp;"生成成长"),3))*(VLOOKUP($B$5,标准坦克设计!$B$14:$K$20,9)/30))</f>
        <v>4.2707777425138254</v>
      </c>
      <c r="V167" s="173">
        <f ca="1">(VLOOKUP(V$72,INDIRECT($C$5&amp;"生成成长"),2))/((VLOOKUP($B167,INDIRECT($B$5&amp;"生成成长"),4))/(VLOOKUP(V$72,INDIRECT($C$5&amp;"生成成长"),5))*(VLOOKUP($B$5,标准坦克设计!$B$24:$U$30,MATCH("对"&amp;LEFT($C$5,2)&amp;"输出",标准坦克设计!$B$23:$U$23,0)))*(VLOOKUP($B167,INDIRECT($B$5&amp;"生成成长"),3))*(VLOOKUP($B$5,标准坦克设计!$B$14:$K$20,9)/30))</f>
        <v>4.6699148208229193</v>
      </c>
      <c r="W167" s="173">
        <f ca="1">(VLOOKUP(W$72,INDIRECT($C$5&amp;"生成成长"),2))/((VLOOKUP($B167,INDIRECT($B$5&amp;"生成成长"),4))/(VLOOKUP(W$72,INDIRECT($C$5&amp;"生成成长"),5))*(VLOOKUP($B$5,标准坦克设计!$B$24:$U$30,MATCH("对"&amp;LEFT($C$5,2)&amp;"输出",标准坦克设计!$B$23:$U$23,0)))*(VLOOKUP($B167,INDIRECT($B$5&amp;"生成成长"),3))*(VLOOKUP($B$5,标准坦克设计!$B$14:$K$20,9)/30))</f>
        <v>5.0868793616867629</v>
      </c>
      <c r="X167" s="173">
        <f ca="1">(VLOOKUP(X$72,INDIRECT($C$5&amp;"生成成长"),2))/((VLOOKUP($B167,INDIRECT($B$5&amp;"生成成长"),4))/(VLOOKUP(X$72,INDIRECT($C$5&amp;"生成成长"),5))*(VLOOKUP($B$5,标准坦克设计!$B$24:$U$30,MATCH("对"&amp;LEFT($C$5,2)&amp;"输出",标准坦克设计!$B$23:$U$23,0)))*(VLOOKUP($B167,INDIRECT($B$5&amp;"生成成长"),3))*(VLOOKUP($B$5,标准坦克设计!$B$14:$K$20,9)/30))</f>
        <v>3.6853326759010927</v>
      </c>
      <c r="Y167" s="173">
        <f ca="1">(VLOOKUP(Y$72,INDIRECT($C$5&amp;"生成成长"),2))/((VLOOKUP($B167,INDIRECT($B$5&amp;"生成成长"),4))/(VLOOKUP(Y$72,INDIRECT($C$5&amp;"生成成长"),5))*(VLOOKUP($B$5,标准坦克设计!$B$24:$U$30,MATCH("对"&amp;LEFT($C$5,2)&amp;"输出",标准坦克设计!$B$23:$U$23,0)))*(VLOOKUP($B167,INDIRECT($B$5&amp;"生成成长"),3))*(VLOOKUP($B$5,标准坦克设计!$B$14:$K$20,9)/30))</f>
        <v>4.0991058808755056</v>
      </c>
      <c r="Z167" s="173">
        <f ca="1">(VLOOKUP(Z$72,INDIRECT($C$5&amp;"生成成长"),2))/((VLOOKUP($B167,INDIRECT($B$5&amp;"生成成长"),4))/(VLOOKUP(Z$72,INDIRECT($C$5&amp;"生成成长"),5))*(VLOOKUP($B$5,标准坦克设计!$B$24:$U$30,MATCH("对"&amp;LEFT($C$5,2)&amp;"输出",标准坦克设计!$B$23:$U$23,0)))*(VLOOKUP($B167,INDIRECT($B$5&amp;"生成成长"),3))*(VLOOKUP($B$5,标准坦克设计!$B$14:$K$20,9)/30))</f>
        <v>4.5348882988804728</v>
      </c>
      <c r="AA167" s="173">
        <f ca="1">(VLOOKUP(AA$72,INDIRECT($C$5&amp;"生成成长"),2))/((VLOOKUP($B167,INDIRECT($B$5&amp;"生成成长"),4))/(VLOOKUP(AA$72,INDIRECT($C$5&amp;"生成成长"),5))*(VLOOKUP($B$5,标准坦克设计!$B$24:$U$30,MATCH("对"&amp;LEFT($C$5,2)&amp;"输出",标准坦克设计!$B$23:$U$23,0)))*(VLOOKUP($B167,INDIRECT($B$5&amp;"生成成长"),3))*(VLOOKUP($B$5,标准坦克设计!$B$14:$K$20,9)/30))</f>
        <v>4.992679929915993</v>
      </c>
      <c r="AB167" s="173">
        <f ca="1">(VLOOKUP(AB$72,INDIRECT($C$5&amp;"生成成长"),2))/((VLOOKUP($B167,INDIRECT($B$5&amp;"生成成长"),4))/(VLOOKUP(AB$72,INDIRECT($C$5&amp;"生成成长"),5))*(VLOOKUP($B$5,标准坦克设计!$B$24:$U$30,MATCH("对"&amp;LEFT($C$5,2)&amp;"输出",标准坦克设计!$B$23:$U$23,0)))*(VLOOKUP($B167,INDIRECT($B$5&amp;"生成成长"),3))*(VLOOKUP($B$5,标准坦克设计!$B$14:$K$20,9)/30))</f>
        <v>5.4724807739820669</v>
      </c>
      <c r="AC167" s="173">
        <f ca="1">(VLOOKUP(AC$72,INDIRECT($C$5&amp;"生成成长"),2))/((VLOOKUP($B167,INDIRECT($B$5&amp;"生成成长"),4))/(VLOOKUP(AC$72,INDIRECT($C$5&amp;"生成成长"),5))*(VLOOKUP($B$5,标准坦克设计!$B$24:$U$30,MATCH("对"&amp;LEFT($C$5,2)&amp;"输出",标准坦克设计!$B$23:$U$23,0)))*(VLOOKUP($B167,INDIRECT($B$5&amp;"生成成长"),3))*(VLOOKUP($B$5,标准坦克设计!$B$14:$K$20,9)/30))</f>
        <v>5.9742908310786955</v>
      </c>
      <c r="AD167" s="173">
        <f ca="1">(VLOOKUP(AD$72,INDIRECT($C$5&amp;"生成成长"),2))/((VLOOKUP($B167,INDIRECT($B$5&amp;"生成成长"),4))/(VLOOKUP(AD$72,INDIRECT($C$5&amp;"生成成长"),5))*(VLOOKUP($B$5,标准坦克设计!$B$24:$U$30,MATCH("对"&amp;LEFT($C$5,2)&amp;"输出",标准坦克设计!$B$23:$U$23,0)))*(VLOOKUP($B167,INDIRECT($B$5&amp;"生成成长"),3))*(VLOOKUP($B$5,标准坦克设计!$B$14:$K$20,9)/30))</f>
        <v>6.498110101205878</v>
      </c>
      <c r="AE167" s="173">
        <f ca="1">(VLOOKUP(AE$72,INDIRECT($C$5&amp;"生成成长"),2))/((VLOOKUP($B167,INDIRECT($B$5&amp;"生成成长"),4))/(VLOOKUP(AE$72,INDIRECT($C$5&amp;"生成成长"),5))*(VLOOKUP($B$5,标准坦克设计!$B$24:$U$30,MATCH("对"&amp;LEFT($C$5,2)&amp;"输出",标准坦克设计!$B$23:$U$23,0)))*(VLOOKUP($B167,INDIRECT($B$5&amp;"生成成长"),3))*(VLOOKUP($B$5,标准坦克设计!$B$14:$K$20,9)/30))</f>
        <v>7.0439385843636142</v>
      </c>
      <c r="AF167" s="173">
        <f ca="1">(VLOOKUP(AF$72,INDIRECT($C$5&amp;"生成成长"),2))/((VLOOKUP($B167,INDIRECT($B$5&amp;"生成成长"),4))/(VLOOKUP(AF$72,INDIRECT($C$5&amp;"生成成长"),5))*(VLOOKUP($B$5,标准坦克设计!$B$24:$U$30,MATCH("对"&amp;LEFT($C$5,2)&amp;"输出",标准坦克设计!$B$23:$U$23,0)))*(VLOOKUP($B167,INDIRECT($B$5&amp;"生成成长"),3))*(VLOOKUP($B$5,标准坦克设计!$B$14:$K$20,9)/30))</f>
        <v>7.6117762805519034</v>
      </c>
      <c r="AG167" s="173">
        <f ca="1">(VLOOKUP(AG$72,INDIRECT($C$5&amp;"生成成长"),2))/((VLOOKUP($B167,INDIRECT($B$5&amp;"生成成长"),4))/(VLOOKUP(AG$72,INDIRECT($C$5&amp;"生成成长"),5))*(VLOOKUP($B$5,标准坦克设计!$B$24:$U$30,MATCH("对"&amp;LEFT($C$5,2)&amp;"输出",标准坦克设计!$B$23:$U$23,0)))*(VLOOKUP($B167,INDIRECT($B$5&amp;"生成成长"),3))*(VLOOKUP($B$5,标准坦克设计!$B$14:$K$20,9)/30))</f>
        <v>8.2016231897707463</v>
      </c>
      <c r="AH167" s="173">
        <f ca="1">(VLOOKUP(AH$72,INDIRECT($C$5&amp;"生成成长"),2))/((VLOOKUP($B167,INDIRECT($B$5&amp;"生成成长"),4))/(VLOOKUP(AH$72,INDIRECT($C$5&amp;"生成成长"),5))*(VLOOKUP($B$5,标准坦克设计!$B$24:$U$30,MATCH("对"&amp;LEFT($C$5,2)&amp;"输出",标准坦克设计!$B$23:$U$23,0)))*(VLOOKUP($B167,INDIRECT($B$5&amp;"生成成长"),3))*(VLOOKUP($B$5,标准坦克设计!$B$14:$K$20,9)/30))</f>
        <v>8.8134793120201422</v>
      </c>
      <c r="AI167" s="173">
        <f ca="1">(VLOOKUP(AI$72,INDIRECT($C$5&amp;"生成成长"),2))/((VLOOKUP($B167,INDIRECT($B$5&amp;"生成成长"),4))/(VLOOKUP(AI$72,INDIRECT($C$5&amp;"生成成长"),5))*(VLOOKUP($B$5,标准坦克设计!$B$24:$U$30,MATCH("对"&amp;LEFT($C$5,2)&amp;"输出",标准坦克设计!$B$23:$U$23,0)))*(VLOOKUP($B167,INDIRECT($B$5&amp;"生成成长"),3))*(VLOOKUP($B$5,标准坦克设计!$B$14:$K$20,9)/30))</f>
        <v>6.233449314513468</v>
      </c>
      <c r="AJ167" s="173">
        <f ca="1">(VLOOKUP(AJ$72,INDIRECT($C$5&amp;"生成成长"),2))/((VLOOKUP($B167,INDIRECT($B$5&amp;"生成成长"),4))/(VLOOKUP(AJ$72,INDIRECT($C$5&amp;"生成成长"),5))*(VLOOKUP($B$5,标准坦克设计!$B$24:$U$30,MATCH("对"&amp;LEFT($C$5,2)&amp;"输出",标准坦克设计!$B$23:$U$23,0)))*(VLOOKUP($B167,INDIRECT($B$5&amp;"生成成长"),3))*(VLOOKUP($B$5,标准坦克设计!$B$14:$K$20,9)/30))</f>
        <v>6.8229660855368532</v>
      </c>
      <c r="AK167" s="173">
        <f ca="1">(VLOOKUP(AK$72,INDIRECT($C$5&amp;"生成成长"),2))/((VLOOKUP($B167,INDIRECT($B$5&amp;"生成成长"),4))/(VLOOKUP(AK$72,INDIRECT($C$5&amp;"生成成长"),5))*(VLOOKUP($B$5,标准坦克设计!$B$24:$U$30,MATCH("对"&amp;LEFT($C$5,2)&amp;"输出",标准坦克设计!$B$23:$U$23,0)))*(VLOOKUP($B167,INDIRECT($B$5&amp;"生成成长"),3))*(VLOOKUP($B$5,标准坦克设计!$B$14:$K$20,9)/30))</f>
        <v>7.439114004327207</v>
      </c>
      <c r="AL167" s="173">
        <f ca="1">(VLOOKUP(AL$72,INDIRECT($C$5&amp;"生成成长"),2))/((VLOOKUP($B167,INDIRECT($B$5&amp;"生成成长"),4))/(VLOOKUP(AL$72,INDIRECT($C$5&amp;"生成成长"),5))*(VLOOKUP($B$5,标准坦克设计!$B$24:$U$30,MATCH("对"&amp;LEFT($C$5,2)&amp;"输出",标准坦克设计!$B$23:$U$23,0)))*(VLOOKUP($B167,INDIRECT($B$5&amp;"生成成长"),3))*(VLOOKUP($B$5,标准坦克设计!$B$14:$K$20,9)/30))</f>
        <v>8.0818930708845347</v>
      </c>
      <c r="AM167" s="173">
        <f ca="1">(VLOOKUP(AM$72,INDIRECT($C$5&amp;"生成成长"),2))/((VLOOKUP($B167,INDIRECT($B$5&amp;"生成成长"),4))/(VLOOKUP(AM$72,INDIRECT($C$5&amp;"生成成长"),5))*(VLOOKUP($B$5,标准坦克设计!$B$24:$U$30,MATCH("对"&amp;LEFT($C$5,2)&amp;"输出",标准坦克设计!$B$23:$U$23,0)))*(VLOOKUP($B167,INDIRECT($B$5&amp;"生成成长"),3))*(VLOOKUP($B$5,标准坦克设计!$B$14:$K$20,9)/30))</f>
        <v>8.7513032852088291</v>
      </c>
      <c r="AN167" s="173">
        <f ca="1">(VLOOKUP(AN$72,INDIRECT($C$5&amp;"生成成长"),2))/((VLOOKUP($B167,INDIRECT($B$5&amp;"生成成长"),4))/(VLOOKUP(AN$72,INDIRECT($C$5&amp;"生成成长"),5))*(VLOOKUP($B$5,标准坦克设计!$B$24:$U$30,MATCH("对"&amp;LEFT($C$5,2)&amp;"输出",标准坦克设计!$B$23:$U$23,0)))*(VLOOKUP($B167,INDIRECT($B$5&amp;"生成成长"),3))*(VLOOKUP($B$5,标准坦克设计!$B$14:$K$20,9)/30))</f>
        <v>9.4473446473000955</v>
      </c>
      <c r="AO167" s="173">
        <f ca="1">(VLOOKUP(AO$72,INDIRECT($C$5&amp;"生成成长"),2))/((VLOOKUP($B167,INDIRECT($B$5&amp;"生成成长"),4))/(VLOOKUP(AO$72,INDIRECT($C$5&amp;"生成成长"),5))*(VLOOKUP($B$5,标准坦克设计!$B$24:$U$30,MATCH("对"&amp;LEFT($C$5,2)&amp;"输出",标准坦克设计!$B$23:$U$23,0)))*(VLOOKUP($B167,INDIRECT($B$5&amp;"生成成长"),3))*(VLOOKUP($B$5,标准坦克设计!$B$14:$K$20,9)/30))</f>
        <v>10.170017157158334</v>
      </c>
      <c r="AP167" s="173">
        <f ca="1">(VLOOKUP(AP$72,INDIRECT($C$5&amp;"生成成长"),2))/((VLOOKUP($B167,INDIRECT($B$5&amp;"生成成长"),4))/(VLOOKUP(AP$72,INDIRECT($C$5&amp;"生成成长"),5))*(VLOOKUP($B$5,标准坦克设计!$B$24:$U$30,MATCH("对"&amp;LEFT($C$5,2)&amp;"输出",标准坦克设计!$B$23:$U$23,0)))*(VLOOKUP($B167,INDIRECT($B$5&amp;"生成成长"),3))*(VLOOKUP($B$5,标准坦克设计!$B$14:$K$20,9)/30))</f>
        <v>10.919320814783539</v>
      </c>
      <c r="AQ167" s="173">
        <f ca="1">(VLOOKUP(AQ$72,INDIRECT($C$5&amp;"生成成长"),2))/((VLOOKUP($B167,INDIRECT($B$5&amp;"生成成长"),4))/(VLOOKUP(AQ$72,INDIRECT($C$5&amp;"生成成长"),5))*(VLOOKUP($B$5,标准坦克设计!$B$24:$U$30,MATCH("对"&amp;LEFT($C$5,2)&amp;"输出",标准坦克设计!$B$23:$U$23,0)))*(VLOOKUP($B167,INDIRECT($B$5&amp;"生成成长"),3))*(VLOOKUP($B$5,标准坦克设计!$B$14:$K$20,9)/30))</f>
        <v>11.695255620175715</v>
      </c>
      <c r="AR167" s="173">
        <f ca="1">(VLOOKUP(AR$72,INDIRECT($C$5&amp;"生成成长"),2))/((VLOOKUP($B167,INDIRECT($B$5&amp;"生成成长"),4))/(VLOOKUP(AR$72,INDIRECT($C$5&amp;"生成成长"),5))*(VLOOKUP($B$5,标准坦克设计!$B$24:$U$30,MATCH("对"&amp;LEFT($C$5,2)&amp;"输出",标准坦克设计!$B$23:$U$23,0)))*(VLOOKUP($B167,INDIRECT($B$5&amp;"生成成长"),3))*(VLOOKUP($B$5,标准坦克设计!$B$14:$K$20,9)/30))</f>
        <v>12.497821573334862</v>
      </c>
      <c r="AS167" s="173">
        <f ca="1">(VLOOKUP(AS$72,INDIRECT($C$5&amp;"生成成长"),2))/((VLOOKUP($B167,INDIRECT($B$5&amp;"生成成长"),4))/(VLOOKUP(AS$72,INDIRECT($C$5&amp;"生成成长"),5))*(VLOOKUP($B$5,标准坦克设计!$B$24:$U$30,MATCH("对"&amp;LEFT($C$5,2)&amp;"输出",标准坦克设计!$B$23:$U$23,0)))*(VLOOKUP($B167,INDIRECT($B$5&amp;"生成成长"),3))*(VLOOKUP($B$5,标准坦克设计!$B$14:$K$20,9)/30))</f>
        <v>13.32701867426098</v>
      </c>
      <c r="AT167" s="173">
        <f ca="1">(VLOOKUP(AT$72,INDIRECT($C$5&amp;"生成成长"),2))/((VLOOKUP($B167,INDIRECT($B$5&amp;"生成成长"),4))/(VLOOKUP(AT$72,INDIRECT($C$5&amp;"生成成长"),5))*(VLOOKUP($B$5,标准坦克设计!$B$24:$U$30,MATCH("对"&amp;LEFT($C$5,2)&amp;"输出",标准坦克设计!$B$23:$U$23,0)))*(VLOOKUP($B167,INDIRECT($B$5&amp;"生成成长"),3))*(VLOOKUP($B$5,标准坦克设计!$B$14:$K$20,9)/30))</f>
        <v>14.182846922954065</v>
      </c>
      <c r="AU167" s="173">
        <f ca="1">(VLOOKUP(AU$72,INDIRECT($C$5&amp;"生成成长"),2))/((VLOOKUP($B167,INDIRECT($B$5&amp;"生成成长"),4))/(VLOOKUP(AU$72,INDIRECT($C$5&amp;"生成成长"),5))*(VLOOKUP($B$5,标准坦克设计!$B$24:$U$30,MATCH("对"&amp;LEFT($C$5,2)&amp;"输出",标准坦克设计!$B$23:$U$23,0)))*(VLOOKUP($B167,INDIRECT($B$5&amp;"生成成长"),3))*(VLOOKUP($B$5,标准坦克设计!$B$14:$K$20,9)/30))</f>
        <v>15.065306319414127</v>
      </c>
      <c r="AV167" s="173">
        <f ca="1">(VLOOKUP(AV$72,INDIRECT($C$5&amp;"生成成长"),2))/((VLOOKUP($B167,INDIRECT($B$5&amp;"生成成长"),4))/(VLOOKUP(AV$72,INDIRECT($C$5&amp;"生成成长"),5))*(VLOOKUP($B$5,标准坦克设计!$B$24:$U$30,MATCH("对"&amp;LEFT($C$5,2)&amp;"输出",标准坦克设计!$B$23:$U$23,0)))*(VLOOKUP($B167,INDIRECT($B$5&amp;"生成成长"),3))*(VLOOKUP($B$5,标准坦克设计!$B$14:$K$20,9)/30))</f>
        <v>1.5322814111871603</v>
      </c>
      <c r="AW167" s="173">
        <f ca="1">(VLOOKUP(AW$72,INDIRECT($C$5&amp;"生成成长"),2))/((VLOOKUP($B167,INDIRECT($B$5&amp;"生成成长"),4))/(VLOOKUP(AW$72,INDIRECT($C$5&amp;"生成成长"),5))*(VLOOKUP($B$5,标准坦克设计!$B$24:$U$30,MATCH("对"&amp;LEFT($C$5,2)&amp;"输出",标准坦克设计!$B$23:$U$23,0)))*(VLOOKUP($B167,INDIRECT($B$5&amp;"生成成长"),3))*(VLOOKUP($B$5,标准坦克设计!$B$14:$K$20,9)/30))</f>
        <v>1.7470913303653663</v>
      </c>
      <c r="AX167" s="173">
        <f ca="1">(VLOOKUP(AX$72,INDIRECT($C$5&amp;"生成成长"),2))/((VLOOKUP($B167,INDIRECT($B$5&amp;"生成成长"),4))/(VLOOKUP(AX$72,INDIRECT($C$5&amp;"生成成长"),5))*(VLOOKUP($B$5,标准坦克设计!$B$24:$U$30,MATCH("对"&amp;LEFT($C$5,2)&amp;"输出",标准坦克设计!$B$23:$U$23,0)))*(VLOOKUP($B167,INDIRECT($B$5&amp;"生成成长"),3))*(VLOOKUP($B$5,标准坦克设计!$B$14:$K$20,9)/30))</f>
        <v>1.9759871458831266</v>
      </c>
      <c r="AY167" s="173">
        <f ca="1">(VLOOKUP(AY$72,INDIRECT($C$5&amp;"生成成长"),2))/((VLOOKUP($B167,INDIRECT($B$5&amp;"生成成长"),4))/(VLOOKUP(AY$72,INDIRECT($C$5&amp;"生成成长"),5))*(VLOOKUP($B$5,标准坦克设计!$B$24:$U$30,MATCH("对"&amp;LEFT($C$5,2)&amp;"输出",标准坦克设计!$B$23:$U$23,0)))*(VLOOKUP($B167,INDIRECT($B$5&amp;"生成成长"),3))*(VLOOKUP($B$5,标准坦克设计!$B$14:$K$20,9)/30))</f>
        <v>2.2189688577404412</v>
      </c>
      <c r="AZ167" s="173">
        <f ca="1">(VLOOKUP(AZ$72,INDIRECT($C$5&amp;"生成成长"),2))/((VLOOKUP($B167,INDIRECT($B$5&amp;"生成成长"),4))/(VLOOKUP(AZ$72,INDIRECT($C$5&amp;"生成成长"),5))*(VLOOKUP($B$5,标准坦克设计!$B$24:$U$30,MATCH("对"&amp;LEFT($C$5,2)&amp;"输出",标准坦克设计!$B$23:$U$23,0)))*(VLOOKUP($B167,INDIRECT($B$5&amp;"生成成长"),3))*(VLOOKUP($B$5,标准坦克设计!$B$14:$K$20,9)/30))</f>
        <v>2.4760364659373102</v>
      </c>
      <c r="BA167" s="173">
        <f ca="1">(VLOOKUP(BA$72,INDIRECT($C$5&amp;"生成成长"),2))/((VLOOKUP($B167,INDIRECT($B$5&amp;"生成成长"),4))/(VLOOKUP(BA$72,INDIRECT($C$5&amp;"生成成长"),5))*(VLOOKUP($B$5,标准坦克设计!$B$24:$U$30,MATCH("对"&amp;LEFT($C$5,2)&amp;"输出",标准坦克设计!$B$23:$U$23,0)))*(VLOOKUP($B167,INDIRECT($B$5&amp;"生成成长"),3))*(VLOOKUP($B$5,标准坦克设计!$B$14:$K$20,9)/30))</f>
        <v>2.7471899704737339</v>
      </c>
      <c r="BB167" s="173">
        <f ca="1">(VLOOKUP(BB$72,INDIRECT($C$5&amp;"生成成长"),2))/((VLOOKUP($B167,INDIRECT($B$5&amp;"生成成长"),4))/(VLOOKUP(BB$72,INDIRECT($C$5&amp;"生成成长"),5))*(VLOOKUP($B$5,标准坦克设计!$B$24:$U$30,MATCH("对"&amp;LEFT($C$5,2)&amp;"输出",标准坦克设计!$B$23:$U$23,0)))*(VLOOKUP($B167,INDIRECT($B$5&amp;"生成成长"),3))*(VLOOKUP($B$5,标准坦克设计!$B$14:$K$20,9)/30))</f>
        <v>3.0324293713497124</v>
      </c>
      <c r="BC167" s="173">
        <f ca="1">(VLOOKUP(BC$72,INDIRECT($C$5&amp;"生成成长"),2))/((VLOOKUP($B167,INDIRECT($B$5&amp;"生成成长"),4))/(VLOOKUP(BC$72,INDIRECT($C$5&amp;"生成成长"),5))*(VLOOKUP($B$5,标准坦克设计!$B$24:$U$30,MATCH("对"&amp;LEFT($C$5,2)&amp;"输出",标准坦克设计!$B$23:$U$23,0)))*(VLOOKUP($B167,INDIRECT($B$5&amp;"生成成长"),3))*(VLOOKUP($B$5,标准坦克设计!$B$14:$K$20,9)/30))</f>
        <v>3.331754668565245</v>
      </c>
      <c r="BD167" s="173">
        <f ca="1">(VLOOKUP(BD$72,INDIRECT($C$5&amp;"生成成长"),2))/((VLOOKUP($B167,INDIRECT($B$5&amp;"生成成长"),4))/(VLOOKUP(BD$72,INDIRECT($C$5&amp;"生成成长"),5))*(VLOOKUP($B$5,标准坦克设计!$B$24:$U$30,MATCH("对"&amp;LEFT($C$5,2)&amp;"输出",标准坦克设计!$B$23:$U$23,0)))*(VLOOKUP($B167,INDIRECT($B$5&amp;"生成成长"),3))*(VLOOKUP($B$5,标准坦克设计!$B$14:$K$20,9)/30))</f>
        <v>3.6853326759010927</v>
      </c>
      <c r="BE167" s="173">
        <f ca="1">(VLOOKUP(BE$72,INDIRECT($C$5&amp;"生成成长"),2))/((VLOOKUP($B167,INDIRECT($B$5&amp;"生成成长"),4))/(VLOOKUP(BE$72,INDIRECT($C$5&amp;"生成成长"),5))*(VLOOKUP($B$5,标准坦克设计!$B$24:$U$30,MATCH("对"&amp;LEFT($C$5,2)&amp;"输出",标准坦克设计!$B$23:$U$23,0)))*(VLOOKUP($B167,INDIRECT($B$5&amp;"生成成长"),3))*(VLOOKUP($B$5,标准坦克设计!$B$14:$K$20,9)/30))</f>
        <v>4.05673814579169</v>
      </c>
      <c r="BF167" s="173">
        <f ca="1">(VLOOKUP(BF$72,INDIRECT($C$5&amp;"生成成长"),2))/((VLOOKUP($B167,INDIRECT($B$5&amp;"生成成长"),4))/(VLOOKUP(BF$72,INDIRECT($C$5&amp;"生成成长"),5))*(VLOOKUP($B$5,标准坦克设计!$B$24:$U$30,MATCH("对"&amp;LEFT($C$5,2)&amp;"输出",标准坦克设计!$B$23:$U$23,0)))*(VLOOKUP($B167,INDIRECT($B$5&amp;"生成成长"),3))*(VLOOKUP($B$5,标准坦克设计!$B$14:$K$20,9)/30))</f>
        <v>4.4459710782370347</v>
      </c>
      <c r="BG167" s="173">
        <f ca="1">(VLOOKUP(BG$72,INDIRECT($C$5&amp;"生成成长"),2))/((VLOOKUP($B167,INDIRECT($B$5&amp;"生成成长"),4))/(VLOOKUP(BG$72,INDIRECT($C$5&amp;"生成成长"),5))*(VLOOKUP($B$5,标准坦克设计!$B$24:$U$30,MATCH("对"&amp;LEFT($C$5,2)&amp;"输出",标准坦克设计!$B$23:$U$23,0)))*(VLOOKUP($B167,INDIRECT($B$5&amp;"生成成长"),3))*(VLOOKUP($B$5,标准坦克设计!$B$14:$K$20,9)/30))</f>
        <v>4.8530314732371291</v>
      </c>
      <c r="BH167" s="173">
        <f ca="1">(VLOOKUP(BH$72,INDIRECT($C$5&amp;"生成成长"),2))/((VLOOKUP($B167,INDIRECT($B$5&amp;"生成成长"),4))/(VLOOKUP(BH$72,INDIRECT($C$5&amp;"生成成长"),5))*(VLOOKUP($B$5,标准坦克设计!$B$24:$U$30,MATCH("对"&amp;LEFT($C$5,2)&amp;"输出",标准坦克设计!$B$23:$U$23,0)))*(VLOOKUP($B167,INDIRECT($B$5&amp;"生成成长"),3))*(VLOOKUP($B$5,标准坦克设计!$B$14:$K$20,9)/30))</f>
        <v>2.3457419247964313</v>
      </c>
      <c r="BI167" s="173">
        <f ca="1">(VLOOKUP(BI$72,INDIRECT($C$5&amp;"生成成长"),2))/((VLOOKUP($B167,INDIRECT($B$5&amp;"生成成长"),4))/(VLOOKUP(BI$72,INDIRECT($C$5&amp;"生成成长"),5))*(VLOOKUP($B$5,标准坦克设计!$B$24:$U$30,MATCH("对"&amp;LEFT($C$5,2)&amp;"输出",标准坦克设计!$B$23:$U$23,0)))*(VLOOKUP($B167,INDIRECT($B$5&amp;"生成成长"),3))*(VLOOKUP($B$5,标准坦克设计!$B$14:$K$20,9)/30))</f>
        <v>2.6438567152952839</v>
      </c>
      <c r="BJ167" s="173">
        <f ca="1">(VLOOKUP(BJ$72,INDIRECT($C$5&amp;"生成成长"),2))/((VLOOKUP($B167,INDIRECT($B$5&amp;"生成成长"),4))/(VLOOKUP(BJ$72,INDIRECT($C$5&amp;"生成成长"),5))*(VLOOKUP($B$5,标准坦克设计!$B$24:$U$30,MATCH("对"&amp;LEFT($C$5,2)&amp;"输出",标准坦克设计!$B$23:$U$23,0)))*(VLOOKUP($B167,INDIRECT($B$5&amp;"生成成长"),3))*(VLOOKUP($B$5,标准坦克设计!$B$14:$K$20,9)/30))</f>
        <v>2.9597989683488848</v>
      </c>
      <c r="BK167" s="173">
        <f ca="1">(VLOOKUP(BK$72,INDIRECT($C$5&amp;"生成成长"),2))/((VLOOKUP($B167,INDIRECT($B$5&amp;"生成成长"),4))/(VLOOKUP(BK$72,INDIRECT($C$5&amp;"生成成长"),5))*(VLOOKUP($B$5,标准坦克设计!$B$24:$U$30,MATCH("对"&amp;LEFT($C$5,2)&amp;"输出",标准坦克设计!$B$23:$U$23,0)))*(VLOOKUP($B167,INDIRECT($B$5&amp;"生成成长"),3))*(VLOOKUP($B$5,标准坦克设计!$B$14:$K$20,9)/30))</f>
        <v>3.2935686839572336</v>
      </c>
      <c r="BL167" s="173">
        <f ca="1">(VLOOKUP(BL$72,INDIRECT($C$5&amp;"生成成长"),2))/((VLOOKUP($B167,INDIRECT($B$5&amp;"生成成长"),4))/(VLOOKUP(BL$72,INDIRECT($C$5&amp;"生成成长"),5))*(VLOOKUP($B$5,标准坦克设计!$B$24:$U$30,MATCH("对"&amp;LEFT($C$5,2)&amp;"输出",标准坦克设计!$B$23:$U$23,0)))*(VLOOKUP($B167,INDIRECT($B$5&amp;"生成成长"),3))*(VLOOKUP($B$5,标准坦克设计!$B$14:$K$20,9)/30))</f>
        <v>3.6451658621203324</v>
      </c>
      <c r="BM167" s="173">
        <f ca="1">(VLOOKUP(BM$72,INDIRECT($C$5&amp;"生成成长"),2))/((VLOOKUP($B167,INDIRECT($B$5&amp;"生成成长"),4))/(VLOOKUP(BM$72,INDIRECT($C$5&amp;"生成成长"),5))*(VLOOKUP($B$5,标准坦克设计!$B$24:$U$30,MATCH("对"&amp;LEFT($C$5,2)&amp;"输出",标准坦克设计!$B$23:$U$23,0)))*(VLOOKUP($B167,INDIRECT($B$5&amp;"生成成长"),3))*(VLOOKUP($B$5,标准坦克设计!$B$14:$K$20,9)/30))</f>
        <v>4.0145905028381783</v>
      </c>
      <c r="BN167" s="173">
        <f ca="1">(VLOOKUP(BN$72,INDIRECT($C$5&amp;"生成成长"),2))/((VLOOKUP($B167,INDIRECT($B$5&amp;"生成成长"),4))/(VLOOKUP(BN$72,INDIRECT($C$5&amp;"生成成长"),5))*(VLOOKUP($B$5,标准坦克设计!$B$24:$U$30,MATCH("对"&amp;LEFT($C$5,2)&amp;"输出",标准坦克设计!$B$23:$U$23,0)))*(VLOOKUP($B167,INDIRECT($B$5&amp;"生成成长"),3))*(VLOOKUP($B$5,标准坦克设计!$B$14:$K$20,9)/30))</f>
        <v>4.4018426061107743</v>
      </c>
      <c r="BO167" s="173">
        <f ca="1">(VLOOKUP(BO$72,INDIRECT($C$5&amp;"生成成长"),2))/((VLOOKUP($B167,INDIRECT($B$5&amp;"生成成长"),4))/(VLOOKUP(BO$72,INDIRECT($C$5&amp;"生成成长"),5))*(VLOOKUP($B$5,标准坦克设计!$B$24:$U$30,MATCH("对"&amp;LEFT($C$5,2)&amp;"输出",标准坦克设计!$B$23:$U$23,0)))*(VLOOKUP($B167,INDIRECT($B$5&amp;"生成成长"),3))*(VLOOKUP($B$5,标准坦克设计!$B$14:$K$20,9)/30))</f>
        <v>4.8069221719381181</v>
      </c>
      <c r="BP167" s="173">
        <f ca="1">(VLOOKUP(BP$72,INDIRECT($C$5&amp;"生成成长"),2))/((VLOOKUP($B167,INDIRECT($B$5&amp;"生成成长"),4))/(VLOOKUP(BP$72,INDIRECT($C$5&amp;"生成成长"),5))*(VLOOKUP($B$5,标准坦克设计!$B$24:$U$30,MATCH("对"&amp;LEFT($C$5,2)&amp;"输出",标准坦克设计!$B$23:$U$23,0)))*(VLOOKUP($B167,INDIRECT($B$5&amp;"生成成长"),3))*(VLOOKUP($B$5,标准坦克设计!$B$14:$K$20,9)/30))</f>
        <v>5.2298292003202107</v>
      </c>
      <c r="BQ167" s="173">
        <f ca="1">(VLOOKUP(BQ$72,INDIRECT($C$5&amp;"生成成长"),2))/((VLOOKUP($B167,INDIRECT($B$5&amp;"生成成长"),4))/(VLOOKUP(BQ$72,INDIRECT($C$5&amp;"生成成长"),5))*(VLOOKUP($B$5,标准坦克设计!$B$24:$U$30,MATCH("对"&amp;LEFT($C$5,2)&amp;"输出",标准坦克设计!$B$23:$U$23,0)))*(VLOOKUP($B167,INDIRECT($B$5&amp;"生成成长"),3))*(VLOOKUP($B$5,标准坦克设计!$B$14:$K$20,9)/30))</f>
        <v>5.6705636912570512</v>
      </c>
      <c r="BR167" s="173">
        <f ca="1">(VLOOKUP(BR$72,INDIRECT($C$5&amp;"生成成长"),2))/((VLOOKUP($B167,INDIRECT($B$5&amp;"生成成长"),4))/(VLOOKUP(BR$72,INDIRECT($C$5&amp;"生成成长"),5))*(VLOOKUP($B$5,标准坦克设计!$B$24:$U$30,MATCH("对"&amp;LEFT($C$5,2)&amp;"输出",标准坦克设计!$B$23:$U$23,0)))*(VLOOKUP($B167,INDIRECT($B$5&amp;"生成成长"),3))*(VLOOKUP($B$5,标准坦克设计!$B$14:$K$20,9)/30))</f>
        <v>6.1811774335659022</v>
      </c>
      <c r="BS167" s="173">
        <f ca="1">(VLOOKUP(BS$72,INDIRECT($C$5&amp;"生成成长"),2))/((VLOOKUP($B167,INDIRECT($B$5&amp;"生成成长"),4))/(VLOOKUP(BS$72,INDIRECT($C$5&amp;"生成成长"),5))*(VLOOKUP($B$5,标准坦克设计!$B$24:$U$30,MATCH("对"&amp;LEFT($C$5,2)&amp;"输出",标准坦克设计!$B$23:$U$23,0)))*(VLOOKUP($B167,INDIRECT($B$5&amp;"生成成长"),3))*(VLOOKUP($B$5,标准坦克设计!$B$14:$K$20,9)/30))</f>
        <v>6.7138003889053062</v>
      </c>
      <c r="BT167" s="173">
        <f ca="1">(VLOOKUP(BT$72,INDIRECT($C$5&amp;"生成成长"),2))/((VLOOKUP($B167,INDIRECT($B$5&amp;"生成成长"),4))/(VLOOKUP(BT$72,INDIRECT($C$5&amp;"生成成长"),5))*(VLOOKUP($B$5,标准坦克设计!$B$24:$U$30,MATCH("对"&amp;LEFT($C$5,2)&amp;"输出",标准坦克设计!$B$23:$U$23,0)))*(VLOOKUP($B167,INDIRECT($B$5&amp;"生成成长"),3))*(VLOOKUP($B$5,标准坦克设计!$B$14:$K$20,9)/30))</f>
        <v>7.2684325572752631</v>
      </c>
      <c r="BU167" s="173">
        <f ca="1">(VLOOKUP(BU$72,INDIRECT($C$5&amp;"生成成长"),2))/((VLOOKUP($B167,INDIRECT($B$5&amp;"生成成长"),4))/(VLOOKUP(BU$72,INDIRECT($C$5&amp;"生成成长"),5))*(VLOOKUP($B$5,标准坦克设计!$B$24:$U$30,MATCH("对"&amp;LEFT($C$5,2)&amp;"输出",标准坦克设计!$B$23:$U$23,0)))*(VLOOKUP($B167,INDIRECT($B$5&amp;"生成成长"),3))*(VLOOKUP($B$5,标准坦克设计!$B$14:$K$20,9)/30))</f>
        <v>7.8450739386757755</v>
      </c>
      <c r="BV167" s="173">
        <f ca="1">(VLOOKUP(BV$72,INDIRECT($C$5&amp;"生成成长"),2))/((VLOOKUP($B167,INDIRECT($B$5&amp;"生成成长"),4))/(VLOOKUP(BV$72,INDIRECT($C$5&amp;"生成成长"),5))*(VLOOKUP($B$5,标准坦克设计!$B$24:$U$30,MATCH("对"&amp;LEFT($C$5,2)&amp;"输出",标准坦克设计!$B$23:$U$23,0)))*(VLOOKUP($B167,INDIRECT($B$5&amp;"生成成长"),3))*(VLOOKUP($B$5,标准坦克设计!$B$14:$K$20,9)/30))</f>
        <v>8.4437245331068382</v>
      </c>
      <c r="BW167" s="173">
        <f ca="1">(VLOOKUP(BW$72,INDIRECT($C$5&amp;"生成成长"),2))/((VLOOKUP($B167,INDIRECT($B$5&amp;"生成成长"),4))/(VLOOKUP(BW$72,INDIRECT($C$5&amp;"生成成长"),5))*(VLOOKUP($B$5,标准坦克设计!$B$24:$U$30,MATCH("对"&amp;LEFT($C$5,2)&amp;"输出",标准坦克设计!$B$23:$U$23,0)))*(VLOOKUP($B167,INDIRECT($B$5&amp;"生成成长"),3))*(VLOOKUP($B$5,标准坦克设计!$B$14:$K$20,9)/30))</f>
        <v>3.8482008523271918</v>
      </c>
      <c r="BX167" s="173">
        <f ca="1">(VLOOKUP(BX$72,INDIRECT($C$5&amp;"生成成长"),2))/((VLOOKUP($B167,INDIRECT($B$5&amp;"生成成长"),4))/(VLOOKUP(BX$72,INDIRECT($C$5&amp;"生成成长"),5))*(VLOOKUP($B$5,标准坦克设计!$B$24:$U$30,MATCH("对"&amp;LEFT($C$5,2)&amp;"输出",标准坦克设计!$B$23:$U$23,0)))*(VLOOKUP($B167,INDIRECT($B$5&amp;"生成成长"),3))*(VLOOKUP($B$5,标准坦克设计!$B$14:$K$20,9)/30))</f>
        <v>4.2707777425138254</v>
      </c>
      <c r="BY167" s="173">
        <f ca="1">(VLOOKUP(BY$72,INDIRECT($C$5&amp;"生成成长"),2))/((VLOOKUP($B167,INDIRECT($B$5&amp;"生成成长"),4))/(VLOOKUP(BY$72,INDIRECT($C$5&amp;"生成成长"),5))*(VLOOKUP($B$5,标准坦克设计!$B$24:$U$30,MATCH("对"&amp;LEFT($C$5,2)&amp;"输出",标准坦克设计!$B$23:$U$23,0)))*(VLOOKUP($B167,INDIRECT($B$5&amp;"生成成长"),3))*(VLOOKUP($B$5,标准坦克设计!$B$14:$K$20,9)/30))</f>
        <v>4.7153638457310141</v>
      </c>
      <c r="BZ167" s="173">
        <f ca="1">(VLOOKUP(BZ$72,INDIRECT($C$5&amp;"生成成长"),2))/((VLOOKUP($B167,INDIRECT($B$5&amp;"生成成长"),4))/(VLOOKUP(BZ$72,INDIRECT($C$5&amp;"生成成长"),5))*(VLOOKUP($B$5,标准坦克设计!$B$24:$U$30,MATCH("对"&amp;LEFT($C$5,2)&amp;"输出",标准坦克设计!$B$23:$U$23,0)))*(VLOOKUP($B167,INDIRECT($B$5&amp;"生成成长"),3))*(VLOOKUP($B$5,标准坦克设计!$B$14:$K$20,9)/30))</f>
        <v>5.1819591619787566</v>
      </c>
      <c r="CA167" s="173">
        <f ca="1">(VLOOKUP(CA$72,INDIRECT($C$5&amp;"生成成长"),2))/((VLOOKUP($B167,INDIRECT($B$5&amp;"生成成长"),4))/(VLOOKUP(CA$72,INDIRECT($C$5&amp;"生成成长"),5))*(VLOOKUP($B$5,标准坦克设计!$B$24:$U$30,MATCH("对"&amp;LEFT($C$5,2)&amp;"输出",标准坦克设计!$B$23:$U$23,0)))*(VLOOKUP($B167,INDIRECT($B$5&amp;"生成成长"),3))*(VLOOKUP($B$5,标准坦克设计!$B$14:$K$20,9)/30))</f>
        <v>5.6705636912570512</v>
      </c>
      <c r="CB167" s="173">
        <f ca="1">(VLOOKUP(CB$72,INDIRECT($C$5&amp;"生成成长"),2))/((VLOOKUP($B167,INDIRECT($B$5&amp;"生成成长"),4))/(VLOOKUP(CB$72,INDIRECT($C$5&amp;"生成成长"),5))*(VLOOKUP($B$5,标准坦克设计!$B$24:$U$30,MATCH("对"&amp;LEFT($C$5,2)&amp;"输出",标准坦克设计!$B$23:$U$23,0)))*(VLOOKUP($B167,INDIRECT($B$5&amp;"生成成长"),3))*(VLOOKUP($B$5,标准坦克设计!$B$14:$K$20,9)/30))</f>
        <v>6.1811774335659022</v>
      </c>
      <c r="CC167" s="173">
        <f ca="1">(VLOOKUP(CC$72,INDIRECT($C$5&amp;"生成成长"),2))/((VLOOKUP($B167,INDIRECT($B$5&amp;"生成成长"),4))/(VLOOKUP(CC$72,INDIRECT($C$5&amp;"生成成长"),5))*(VLOOKUP($B$5,标准坦克设计!$B$24:$U$30,MATCH("对"&amp;LEFT($C$5,2)&amp;"输出",标准坦克设计!$B$23:$U$23,0)))*(VLOOKUP($B167,INDIRECT($B$5&amp;"生成成长"),3))*(VLOOKUP($B$5,标准坦克设计!$B$14:$K$20,9)/30))</f>
        <v>6.7138003889053062</v>
      </c>
      <c r="CD167" s="173">
        <f ca="1">(VLOOKUP(CD$72,INDIRECT($C$5&amp;"生成成长"),2))/((VLOOKUP($B167,INDIRECT($B$5&amp;"生成成长"),4))/(VLOOKUP(CD$72,INDIRECT($C$5&amp;"生成成长"),5))*(VLOOKUP($B$5,标准坦克设计!$B$24:$U$30,MATCH("对"&amp;LEFT($C$5,2)&amp;"输出",标准坦克设计!$B$23:$U$23,0)))*(VLOOKUP($B167,INDIRECT($B$5&amp;"生成成长"),3))*(VLOOKUP($B$5,标准坦克设计!$B$14:$K$20,9)/30))</f>
        <v>7.2684325572752631</v>
      </c>
      <c r="CE167" s="173">
        <f ca="1">(VLOOKUP(CE$72,INDIRECT($C$5&amp;"生成成长"),2))/((VLOOKUP($B167,INDIRECT($B$5&amp;"生成成长"),4))/(VLOOKUP(CE$72,INDIRECT($C$5&amp;"生成成长"),5))*(VLOOKUP($B$5,标准坦克设计!$B$24:$U$30,MATCH("对"&amp;LEFT($C$5,2)&amp;"输出",标准坦克设计!$B$23:$U$23,0)))*(VLOOKUP($B167,INDIRECT($B$5&amp;"生成成长"),3))*(VLOOKUP($B$5,标准坦克设计!$B$14:$K$20,9)/30))</f>
        <v>7.8450739386757755</v>
      </c>
      <c r="CF167" s="173">
        <f ca="1">(VLOOKUP(CF$72,INDIRECT($C$5&amp;"生成成长"),2))/((VLOOKUP($B167,INDIRECT($B$5&amp;"生成成长"),4))/(VLOOKUP(CF$72,INDIRECT($C$5&amp;"生成成长"),5))*(VLOOKUP($B$5,标准坦克设计!$B$24:$U$30,MATCH("对"&amp;LEFT($C$5,2)&amp;"输出",标准坦克设计!$B$23:$U$23,0)))*(VLOOKUP($B167,INDIRECT($B$5&amp;"生成成长"),3))*(VLOOKUP($B$5,标准坦克设计!$B$14:$K$20,9)/30))</f>
        <v>8.4437245331068382</v>
      </c>
      <c r="CG167" s="173">
        <f ca="1">(VLOOKUP(CG$72,INDIRECT($C$5&amp;"生成成长"),2))/((VLOOKUP($B167,INDIRECT($B$5&amp;"生成成长"),4))/(VLOOKUP(CG$72,INDIRECT($C$5&amp;"生成成长"),5))*(VLOOKUP($B$5,标准坦克设计!$B$24:$U$30,MATCH("对"&amp;LEFT($C$5,2)&amp;"输出",标准坦克设计!$B$23:$U$23,0)))*(VLOOKUP($B167,INDIRECT($B$5&amp;"生成成长"),3))*(VLOOKUP($B$5,标准坦克设计!$B$14:$K$20,9)/30))</f>
        <v>9.0643843405684592</v>
      </c>
      <c r="CH167" s="173">
        <f ca="1">(VLOOKUP(CH$72,INDIRECT($C$5&amp;"生成成长"),2))/((VLOOKUP($B167,INDIRECT($B$5&amp;"生成成长"),4))/(VLOOKUP(CH$72,INDIRECT($C$5&amp;"生成成长"),5))*(VLOOKUP($B$5,标准坦克设计!$B$24:$U$30,MATCH("对"&amp;LEFT($C$5,2)&amp;"输出",标准坦克设计!$B$23:$U$23,0)))*(VLOOKUP($B167,INDIRECT($B$5&amp;"生成成长"),3))*(VLOOKUP($B$5,标准坦克设计!$B$14:$K$20,9)/30))</f>
        <v>9.7070533610606304</v>
      </c>
      <c r="CI167" s="173">
        <f ca="1">(VLOOKUP(CI$72,INDIRECT($C$5&amp;"生成成长"),2))/((VLOOKUP($B167,INDIRECT($B$5&amp;"生成成长"),4))/(VLOOKUP(CI$72,INDIRECT($C$5&amp;"生成成长"),5))*(VLOOKUP($B$5,标准坦克设计!$B$24:$U$30,MATCH("对"&amp;LEFT($C$5,2)&amp;"输出",标准坦克设计!$B$23:$U$23,0)))*(VLOOKUP($B167,INDIRECT($B$5&amp;"生成成长"),3))*(VLOOKUP($B$5,标准坦克设计!$B$14:$K$20,9)/30))</f>
        <v>10.43940992465231</v>
      </c>
      <c r="CJ167" s="173">
        <f ca="1">(VLOOKUP(CJ$72,INDIRECT($C$5&amp;"生成成长"),2))/((VLOOKUP($B167,INDIRECT($B$5&amp;"生成成长"),4))/(VLOOKUP(CJ$72,INDIRECT($C$5&amp;"生成成长"),5))*(VLOOKUP($B$5,标准坦克设计!$B$24:$U$30,MATCH("对"&amp;LEFT($C$5,2)&amp;"输出",标准坦克设计!$B$23:$U$23,0)))*(VLOOKUP($B167,INDIRECT($B$5&amp;"生成成长"),3))*(VLOOKUP($B$5,标准坦克设计!$B$14:$K$20,9)/30))</f>
        <v>11.198397636010961</v>
      </c>
      <c r="CK167" s="173">
        <f ca="1">(VLOOKUP(CK$72,INDIRECT($C$5&amp;"生成成长"),2))/((VLOOKUP($B167,INDIRECT($B$5&amp;"生成成长"),4))/(VLOOKUP(CK$72,INDIRECT($C$5&amp;"生成成长"),5))*(VLOOKUP($B$5,标准坦克设计!$B$24:$U$30,MATCH("对"&amp;LEFT($C$5,2)&amp;"输出",标准坦克设计!$B$23:$U$23,0)))*(VLOOKUP($B167,INDIRECT($B$5&amp;"生成成长"),3))*(VLOOKUP($B$5,标准坦克设计!$B$14:$K$20,9)/30))</f>
        <v>11.984016495136583</v>
      </c>
      <c r="CL167" s="173">
        <f ca="1">(VLOOKUP(CL$72,INDIRECT($C$5&amp;"生成成长"),2))/((VLOOKUP($B167,INDIRECT($B$5&amp;"生成成长"),4))/(VLOOKUP(CL$72,INDIRECT($C$5&amp;"生成成长"),5))*(VLOOKUP($B$5,标准坦克设计!$B$24:$U$30,MATCH("对"&amp;LEFT($C$5,2)&amp;"输出",标准坦克设计!$B$23:$U$23,0)))*(VLOOKUP($B167,INDIRECT($B$5&amp;"生成成长"),3))*(VLOOKUP($B$5,标准坦克设计!$B$14:$K$20,9)/30))</f>
        <v>12.796266502029173</v>
      </c>
      <c r="CM167" s="173">
        <f ca="1">(VLOOKUP(CM$72,INDIRECT($C$5&amp;"生成成长"),2))/((VLOOKUP($B167,INDIRECT($B$5&amp;"生成成长"),4))/(VLOOKUP(CM$72,INDIRECT($C$5&amp;"生成成长"),5))*(VLOOKUP($B$5,标准坦克设计!$B$24:$U$30,MATCH("对"&amp;LEFT($C$5,2)&amp;"输出",标准坦克设计!$B$23:$U$23,0)))*(VLOOKUP($B167,INDIRECT($B$5&amp;"生成成长"),3))*(VLOOKUP($B$5,标准坦克设计!$B$14:$K$20,9)/30))</f>
        <v>13.635147656688735</v>
      </c>
      <c r="CN167" s="173">
        <f ca="1">(VLOOKUP(CN$72,INDIRECT($C$5&amp;"生成成长"),2))/((VLOOKUP($B167,INDIRECT($B$5&amp;"生成成长"),4))/(VLOOKUP(CN$72,INDIRECT($C$5&amp;"生成成长"),5))*(VLOOKUP($B$5,标准坦克设计!$B$24:$U$30,MATCH("对"&amp;LEFT($C$5,2)&amp;"输出",标准坦克设计!$B$23:$U$23,0)))*(VLOOKUP($B167,INDIRECT($B$5&amp;"生成成长"),3))*(VLOOKUP($B$5,标准坦克设计!$B$14:$K$20,9)/30))</f>
        <v>14.500659959115266</v>
      </c>
      <c r="CO167" s="173">
        <f ca="1">(VLOOKUP(CO$72,INDIRECT($C$5&amp;"生成成长"),2))/((VLOOKUP($B167,INDIRECT($B$5&amp;"生成成长"),4))/(VLOOKUP(CO$72,INDIRECT($C$5&amp;"生成成长"),5))*(VLOOKUP($B$5,标准坦克设计!$B$24:$U$30,MATCH("对"&amp;LEFT($C$5,2)&amp;"输出",标准坦克设计!$B$23:$U$23,0)))*(VLOOKUP($B167,INDIRECT($B$5&amp;"生成成长"),3))*(VLOOKUP($B$5,标准坦克设计!$B$14:$K$20,9)/30))</f>
        <v>6.498110101205878</v>
      </c>
      <c r="CP167" s="173">
        <f ca="1">(VLOOKUP(CP$72,INDIRECT($C$5&amp;"生成成长"),2))/((VLOOKUP($B167,INDIRECT($B$5&amp;"生成成长"),4))/(VLOOKUP(CP$72,INDIRECT($C$5&amp;"生成成长"),5))*(VLOOKUP($B$5,标准坦克设计!$B$24:$U$30,MATCH("对"&amp;LEFT($C$5,2)&amp;"输出",标准坦克设计!$B$23:$U$23,0)))*(VLOOKUP($B167,INDIRECT($B$5&amp;"生成成长"),3))*(VLOOKUP($B$5,标准坦克设计!$B$14:$K$20,9)/30))</f>
        <v>7.0997319393960687</v>
      </c>
      <c r="CQ167" s="173">
        <f ca="1">(VLOOKUP(CQ$72,INDIRECT($C$5&amp;"生成成长"),2))/((VLOOKUP($B167,INDIRECT($B$5&amp;"生成成长"),4))/(VLOOKUP(CQ$72,INDIRECT($C$5&amp;"生成成长"),5))*(VLOOKUP($B$5,标准坦克设计!$B$24:$U$30,MATCH("对"&amp;LEFT($C$5,2)&amp;"输出",标准坦克设计!$B$23:$U$23,0)))*(VLOOKUP($B167,INDIRECT($B$5&amp;"生成成长"),3))*(VLOOKUP($B$5,标准坦克设计!$B$14:$K$20,9)/30))</f>
        <v>7.7279849253532271</v>
      </c>
      <c r="CR167" s="173">
        <f ca="1">(VLOOKUP(CR$72,INDIRECT($C$5&amp;"生成成长"),2))/((VLOOKUP($B167,INDIRECT($B$5&amp;"生成成长"),4))/(VLOOKUP(CR$72,INDIRECT($C$5&amp;"生成成长"),5))*(VLOOKUP($B$5,标准坦克设计!$B$24:$U$30,MATCH("对"&amp;LEFT($C$5,2)&amp;"输出",标准坦克设计!$B$23:$U$23,0)))*(VLOOKUP($B167,INDIRECT($B$5&amp;"生成成长"),3))*(VLOOKUP($B$5,标准坦克设计!$B$14:$K$20,9)/30))</f>
        <v>8.3828690590773576</v>
      </c>
      <c r="CS167" s="173">
        <f ca="1">(VLOOKUP(CS$72,INDIRECT($C$5&amp;"生成成长"),2))/((VLOOKUP($B167,INDIRECT($B$5&amp;"生成成长"),4))/(VLOOKUP(CS$72,INDIRECT($C$5&amp;"生成成长"),5))*(VLOOKUP($B$5,标准坦克设计!$B$24:$U$30,MATCH("对"&amp;LEFT($C$5,2)&amp;"输出",标准坦克设计!$B$23:$U$23,0)))*(VLOOKUP($B167,INDIRECT($B$5&amp;"生成成长"),3))*(VLOOKUP($B$5,标准坦克设计!$B$14:$K$20,9)/30))</f>
        <v>9.0643843405684592</v>
      </c>
      <c r="CT167" s="173">
        <f ca="1">(VLOOKUP(CT$72,INDIRECT($C$5&amp;"生成成长"),2))/((VLOOKUP($B167,INDIRECT($B$5&amp;"生成成长"),4))/(VLOOKUP(CT$72,INDIRECT($C$5&amp;"生成成长"),5))*(VLOOKUP($B$5,标准坦克设计!$B$24:$U$30,MATCH("对"&amp;LEFT($C$5,2)&amp;"输出",标准坦克设计!$B$23:$U$23,0)))*(VLOOKUP($B167,INDIRECT($B$5&amp;"生成成长"),3))*(VLOOKUP($B$5,标准坦克设计!$B$14:$K$20,9)/30))</f>
        <v>9.7725307698265311</v>
      </c>
      <c r="CU167" s="173">
        <f ca="1">(VLOOKUP(CU$72,INDIRECT($C$5&amp;"生成成长"),2))/((VLOOKUP($B167,INDIRECT($B$5&amp;"生成成长"),4))/(VLOOKUP(CU$72,INDIRECT($C$5&amp;"生成成长"),5))*(VLOOKUP($B$5,标准坦克设计!$B$24:$U$30,MATCH("对"&amp;LEFT($C$5,2)&amp;"输出",标准坦克设计!$B$23:$U$23,0)))*(VLOOKUP($B167,INDIRECT($B$5&amp;"生成成长"),3))*(VLOOKUP($B$5,标准坦克设计!$B$14:$K$20,9)/30))</f>
        <v>10.50730834685157</v>
      </c>
      <c r="CV167" s="173">
        <f ca="1">(VLOOKUP(CV$72,INDIRECT($C$5&amp;"生成成长"),2))/((VLOOKUP($B167,INDIRECT($B$5&amp;"生成成长"),4))/(VLOOKUP(CV$72,INDIRECT($C$5&amp;"生成成长"),5))*(VLOOKUP($B$5,标准坦克设计!$B$24:$U$30,MATCH("对"&amp;LEFT($C$5,2)&amp;"输出",标准坦克设计!$B$23:$U$23,0)))*(VLOOKUP($B167,INDIRECT($B$5&amp;"生成成长"),3))*(VLOOKUP($B$5,标准坦克设计!$B$14:$K$20,9)/30))</f>
        <v>11.268717071643584</v>
      </c>
      <c r="CW167" s="173">
        <f ca="1">(VLOOKUP(CW$72,INDIRECT($C$5&amp;"生成成长"),2))/((VLOOKUP($B167,INDIRECT($B$5&amp;"生成成长"),4))/(VLOOKUP(CW$72,INDIRECT($C$5&amp;"生成成长"),5))*(VLOOKUP($B$5,标准坦克设计!$B$24:$U$30,MATCH("对"&amp;LEFT($C$5,2)&amp;"输出",标准坦克设计!$B$23:$U$23,0)))*(VLOOKUP($B167,INDIRECT($B$5&amp;"生成成长"),3))*(VLOOKUP($B$5,标准坦克设计!$B$14:$K$20,9)/30))</f>
        <v>12.056756944202563</v>
      </c>
      <c r="CX167" s="173">
        <f ca="1">(VLOOKUP(CX$72,INDIRECT($C$5&amp;"生成成长"),2))/((VLOOKUP($B167,INDIRECT($B$5&amp;"生成成长"),4))/(VLOOKUP(CX$72,INDIRECT($C$5&amp;"生成成长"),5))*(VLOOKUP($B$5,标准坦克设计!$B$24:$U$30,MATCH("对"&amp;LEFT($C$5,2)&amp;"输出",标准坦克设计!$B$23:$U$23,0)))*(VLOOKUP($B167,INDIRECT($B$5&amp;"生成成长"),3))*(VLOOKUP($B$5,标准坦克设计!$B$14:$K$20,9)/30))</f>
        <v>12.871427964528516</v>
      </c>
      <c r="CY167" s="173">
        <f ca="1">(VLOOKUP(CY$72,INDIRECT($C$5&amp;"生成成长"),2))/((VLOOKUP($B167,INDIRECT($B$5&amp;"生成成长"),4))/(VLOOKUP(CY$72,INDIRECT($C$5&amp;"生成成长"),5))*(VLOOKUP($B$5,标准坦克设计!$B$24:$U$30,MATCH("对"&amp;LEFT($C$5,2)&amp;"输出",标准坦克设计!$B$23:$U$23,0)))*(VLOOKUP($B167,INDIRECT($B$5&amp;"生成成长"),3))*(VLOOKUP($B$5,标准坦克设计!$B$14:$K$20,9)/30))</f>
        <v>13.712730132621434</v>
      </c>
      <c r="CZ167" s="173">
        <f ca="1">(VLOOKUP(CZ$72,INDIRECT($C$5&amp;"生成成长"),2))/((VLOOKUP($B167,INDIRECT($B$5&amp;"生成成长"),4))/(VLOOKUP(CZ$72,INDIRECT($C$5&amp;"生成成长"),5))*(VLOOKUP($B$5,标准坦克设计!$B$24:$U$30,MATCH("对"&amp;LEFT($C$5,2)&amp;"输出",标准坦克设计!$B$23:$U$23,0)))*(VLOOKUP($B167,INDIRECT($B$5&amp;"生成成长"),3))*(VLOOKUP($B$5,标准坦克设计!$B$14:$K$20,9)/30))</f>
        <v>14.58066344848133</v>
      </c>
      <c r="DA167" s="173">
        <f ca="1">(VLOOKUP(DA$72,INDIRECT($C$5&amp;"生成成长"),2))/((VLOOKUP($B167,INDIRECT($B$5&amp;"生成成长"),4))/(VLOOKUP(DA$72,INDIRECT($C$5&amp;"生成成长"),5))*(VLOOKUP($B$5,标准坦克设计!$B$24:$U$30,MATCH("对"&amp;LEFT($C$5,2)&amp;"输出",标准坦克设计!$B$23:$U$23,0)))*(VLOOKUP($B167,INDIRECT($B$5&amp;"生成成长"),3))*(VLOOKUP($B$5,标准坦克设计!$B$14:$K$20,9)/30))</f>
        <v>15.47522791210819</v>
      </c>
      <c r="DB167" s="173">
        <f ca="1">(VLOOKUP(DB$72,INDIRECT($C$5&amp;"生成成长"),2))/((VLOOKUP($B167,INDIRECT($B$5&amp;"生成成长"),4))/(VLOOKUP(DB$72,INDIRECT($C$5&amp;"生成成长"),5))*(VLOOKUP($B$5,标准坦克设计!$B$24:$U$30,MATCH("对"&amp;LEFT($C$5,2)&amp;"输出",标准坦克设计!$B$23:$U$23,0)))*(VLOOKUP($B167,INDIRECT($B$5&amp;"生成成长"),3))*(VLOOKUP($B$5,标准坦克设计!$B$14:$K$20,9)/30))</f>
        <v>16.396423523502023</v>
      </c>
      <c r="DC167" s="173">
        <f ca="1">(VLOOKUP(DC$72,INDIRECT($C$5&amp;"生成成长"),2))/((VLOOKUP($B167,INDIRECT($B$5&amp;"生成成长"),4))/(VLOOKUP(DC$72,INDIRECT($C$5&amp;"生成成长"),5))*(VLOOKUP($B$5,标准坦克设计!$B$24:$U$30,MATCH("对"&amp;LEFT($C$5,2)&amp;"输出",标准坦克设计!$B$23:$U$23,0)))*(VLOOKUP($B167,INDIRECT($B$5&amp;"生成成长"),3))*(VLOOKUP($B$5,标准坦克设计!$B$14:$K$20,9)/30))</f>
        <v>17.431736904459278</v>
      </c>
      <c r="DD167" s="173">
        <f ca="1">(VLOOKUP(DD$72,INDIRECT($C$5&amp;"生成成长"),2))/((VLOOKUP($B167,INDIRECT($B$5&amp;"生成成长"),4))/(VLOOKUP(DD$72,INDIRECT($C$5&amp;"生成成长"),5))*(VLOOKUP($B$5,标准坦克设计!$B$24:$U$30,MATCH("对"&amp;LEFT($C$5,2)&amp;"输出",标准坦克设计!$B$23:$U$23,0)))*(VLOOKUP($B167,INDIRECT($B$5&amp;"生成成长"),3))*(VLOOKUP($B$5,标准坦克设计!$B$14:$K$20,9)/30))</f>
        <v>18.498743552180532</v>
      </c>
      <c r="DE167" s="173">
        <f ca="1">(VLOOKUP(DE$72,INDIRECT($C$5&amp;"生成成长"),2))/((VLOOKUP($B167,INDIRECT($B$5&amp;"生成成长"),4))/(VLOOKUP(DE$72,INDIRECT($C$5&amp;"生成成长"),5))*(VLOOKUP($B$5,标准坦克设计!$B$24:$U$30,MATCH("对"&amp;LEFT($C$5,2)&amp;"输出",标准坦克设计!$B$23:$U$23,0)))*(VLOOKUP($B167,INDIRECT($B$5&amp;"生成成长"),3))*(VLOOKUP($B$5,标准坦克设计!$B$14:$K$20,9)/30))</f>
        <v>19.597443466665776</v>
      </c>
      <c r="DF167" s="173">
        <f ca="1">(VLOOKUP(DF$72,INDIRECT($C$5&amp;"生成成长"),2))/((VLOOKUP($B167,INDIRECT($B$5&amp;"生成成长"),4))/(VLOOKUP(DF$72,INDIRECT($C$5&amp;"生成成长"),5))*(VLOOKUP($B$5,标准坦克设计!$B$24:$U$30,MATCH("对"&amp;LEFT($C$5,2)&amp;"输出",标准坦克设计!$B$23:$U$23,0)))*(VLOOKUP($B167,INDIRECT($B$5&amp;"生成成长"),3))*(VLOOKUP($B$5,标准坦克设计!$B$14:$K$20,9)/30))</f>
        <v>20.727836647915026</v>
      </c>
      <c r="DG167" s="173">
        <f ca="1">(VLOOKUP(DG$72,INDIRECT($C$5&amp;"生成成长"),2))/((VLOOKUP($B167,INDIRECT($B$5&amp;"生成成长"),4))/(VLOOKUP(DG$72,INDIRECT($C$5&amp;"生成成长"),5))*(VLOOKUP($B$5,标准坦克设计!$B$24:$U$30,MATCH("对"&amp;LEFT($C$5,2)&amp;"输出",标准坦克设计!$B$23:$U$23,0)))*(VLOOKUP($B167,INDIRECT($B$5&amp;"生成成长"),3))*(VLOOKUP($B$5,标准坦克设计!$B$14:$K$20,9)/30))</f>
        <v>21.889923095928268</v>
      </c>
      <c r="DH167" s="173">
        <f ca="1">(VLOOKUP(DH$72,INDIRECT($C$5&amp;"生成成长"),2))/((VLOOKUP($B167,INDIRECT($B$5&amp;"生成成长"),4))/(VLOOKUP(DH$72,INDIRECT($C$5&amp;"生成成长"),5))*(VLOOKUP($B$5,标准坦克设计!$B$24:$U$30,MATCH("对"&amp;LEFT($C$5,2)&amp;"输出",标准坦克设计!$B$23:$U$23,0)))*(VLOOKUP($B167,INDIRECT($B$5&amp;"生成成长"),3))*(VLOOKUP($B$5,标准坦克设计!$B$14:$K$20,9)/30))</f>
        <v>23.08370281070551</v>
      </c>
      <c r="DI167" s="173">
        <f ca="1">(VLOOKUP(DI$72,INDIRECT($C$5&amp;"生成成长"),2))/((VLOOKUP($B167,INDIRECT($B$5&amp;"生成成长"),4))/(VLOOKUP(DI$72,INDIRECT($C$5&amp;"生成成长"),5))*(VLOOKUP($B$5,标准坦克设计!$B$24:$U$30,MATCH("对"&amp;LEFT($C$5,2)&amp;"输出",标准坦克设计!$B$23:$U$23,0)))*(VLOOKUP($B167,INDIRECT($B$5&amp;"生成成长"),3))*(VLOOKUP($B$5,标准坦克设计!$B$14:$K$20,9)/30))</f>
        <v>24.309175792246744</v>
      </c>
      <c r="DJ167" s="173">
        <f ca="1">(VLOOKUP(DJ$72,INDIRECT($C$5&amp;"生成成长"),2))/((VLOOKUP($B167,INDIRECT($B$5&amp;"生成成长"),4))/(VLOOKUP(DJ$72,INDIRECT($C$5&amp;"生成成长"),5))*(VLOOKUP($B$5,标准坦克设计!$B$24:$U$30,MATCH("对"&amp;LEFT($C$5,2)&amp;"输出",标准坦克设计!$B$23:$U$23,0)))*(VLOOKUP($B167,INDIRECT($B$5&amp;"生成成长"),3))*(VLOOKUP($B$5,标准坦克设计!$B$14:$K$20,9)/30))</f>
        <v>2.4431326924566328</v>
      </c>
      <c r="DK167" s="173">
        <f ca="1">(VLOOKUP(DK$72,INDIRECT($C$5&amp;"生成成长"),2))/((VLOOKUP($B167,INDIRECT($B$5&amp;"生成成长"),4))/(VLOOKUP(DK$72,INDIRECT($C$5&amp;"生成成长"),5))*(VLOOKUP($B$5,标准坦克设计!$B$24:$U$30,MATCH("对"&amp;LEFT($C$5,2)&amp;"输出",标准坦克设计!$B$23:$U$23,0)))*(VLOOKUP($B167,INDIRECT($B$5&amp;"生成成长"),3))*(VLOOKUP($B$5,标准坦克设计!$B$14:$K$20,9)/30))</f>
        <v>2.7471899704737339</v>
      </c>
      <c r="DL167" s="173">
        <f ca="1">(VLOOKUP(DL$72,INDIRECT($C$5&amp;"生成成长"),2))/((VLOOKUP($B167,INDIRECT($B$5&amp;"生成成长"),4))/(VLOOKUP(DL$72,INDIRECT($C$5&amp;"生成成长"),5))*(VLOOKUP($B$5,标准坦克设计!$B$24:$U$30,MATCH("对"&amp;LEFT($C$5,2)&amp;"输出",标准坦克设计!$B$23:$U$23,0)))*(VLOOKUP($B167,INDIRECT($B$5&amp;"生成成长"),3))*(VLOOKUP($B$5,标准坦克设计!$B$14:$K$20,9)/30))</f>
        <v>3.0690747110455847</v>
      </c>
      <c r="DM167" s="173">
        <f ca="1">(VLOOKUP(DM$72,INDIRECT($C$5&amp;"生成成长"),2))/((VLOOKUP($B167,INDIRECT($B$5&amp;"生成成长"),4))/(VLOOKUP(DM$72,INDIRECT($C$5&amp;"生成成长"),5))*(VLOOKUP($B$5,标准坦克设计!$B$24:$U$30,MATCH("对"&amp;LEFT($C$5,2)&amp;"输出",标准坦克设计!$B$23:$U$23,0)))*(VLOOKUP($B167,INDIRECT($B$5&amp;"生成成长"),3))*(VLOOKUP($B$5,标准坦克设计!$B$14:$K$20,9)/30))</f>
        <v>3.4087869141721838</v>
      </c>
      <c r="DN167" s="173">
        <f ca="1">(VLOOKUP(DN$72,INDIRECT($C$5&amp;"生成成长"),2))/((VLOOKUP($B167,INDIRECT($B$5&amp;"生成成长"),4))/(VLOOKUP(DN$72,INDIRECT($C$5&amp;"生成成长"),5))*(VLOOKUP($B$5,标准坦克设计!$B$24:$U$30,MATCH("对"&amp;LEFT($C$5,2)&amp;"输出",标准坦克设计!$B$23:$U$23,0)))*(VLOOKUP($B167,INDIRECT($B$5&amp;"生成成长"),3))*(VLOOKUP($B$5,标准坦克设计!$B$14:$K$20,9)/30))</f>
        <v>3.7663265798535317</v>
      </c>
      <c r="DO167" s="173">
        <f ca="1">(VLOOKUP(DO$72,INDIRECT($C$5&amp;"生成成长"),2))/((VLOOKUP($B167,INDIRECT($B$5&amp;"生成成长"),4))/(VLOOKUP(DO$72,INDIRECT($C$5&amp;"生成成长"),5))*(VLOOKUP($B$5,标准坦克设计!$B$24:$U$30,MATCH("对"&amp;LEFT($C$5,2)&amp;"输出",标准坦克设计!$B$23:$U$23,0)))*(VLOOKUP($B167,INDIRECT($B$5&amp;"生成成长"),3))*(VLOOKUP($B$5,标准坦克设计!$B$14:$K$20,9)/30))</f>
        <v>4.141693708089627</v>
      </c>
      <c r="DP167" s="173">
        <f ca="1">(VLOOKUP(DP$72,INDIRECT($C$5&amp;"生成成长"),2))/((VLOOKUP($B167,INDIRECT($B$5&amp;"生成成长"),4))/(VLOOKUP(DP$72,INDIRECT($C$5&amp;"生成成长"),5))*(VLOOKUP($B$5,标准坦克设计!$B$24:$U$30,MATCH("对"&amp;LEFT($C$5,2)&amp;"输出",标准坦克设计!$B$23:$U$23,0)))*(VLOOKUP($B167,INDIRECT($B$5&amp;"生成成长"),3))*(VLOOKUP($B$5,标准坦克设计!$B$14:$K$20,9)/30))</f>
        <v>4.5348882988804728</v>
      </c>
      <c r="DQ167" s="173">
        <f ca="1">(VLOOKUP(DQ$72,INDIRECT($C$5&amp;"生成成长"),2))/((VLOOKUP($B167,INDIRECT($B$5&amp;"生成成长"),4))/(VLOOKUP(DQ$72,INDIRECT($C$5&amp;"生成成长"),5))*(VLOOKUP($B$5,标准坦克设计!$B$24:$U$30,MATCH("对"&amp;LEFT($C$5,2)&amp;"输出",标准坦克设计!$B$23:$U$23,0)))*(VLOOKUP($B167,INDIRECT($B$5&amp;"生成成长"),3))*(VLOOKUP($B$5,标准坦克设计!$B$14:$K$20,9)/30))</f>
        <v>4.9459103522260657</v>
      </c>
      <c r="DR167" s="173">
        <f ca="1">(VLOOKUP(DR$72,INDIRECT($C$5&amp;"生成成长"),2))/((VLOOKUP($B167,INDIRECT($B$5&amp;"生成成长"),4))/(VLOOKUP(DR$72,INDIRECT($C$5&amp;"生成成长"),5))*(VLOOKUP($B$5,标准坦克设计!$B$24:$U$30,MATCH("对"&amp;LEFT($C$5,2)&amp;"输出",标准坦克设计!$B$23:$U$23,0)))*(VLOOKUP($B167,INDIRECT($B$5&amp;"生成成长"),3))*(VLOOKUP($B$5,标准坦克设计!$B$14:$K$20,9)/30))</f>
        <v>5.3747598681264082</v>
      </c>
      <c r="DS167" s="173">
        <f ca="1">(VLOOKUP(DS$72,INDIRECT($C$5&amp;"生成成长"),2))/((VLOOKUP($B167,INDIRECT($B$5&amp;"生成成长"),4))/(VLOOKUP(DS$72,INDIRECT($C$5&amp;"生成成长"),5))*(VLOOKUP($B$5,标准坦克设计!$B$24:$U$30,MATCH("对"&amp;LEFT($C$5,2)&amp;"输出",标准坦克设计!$B$23:$U$23,0)))*(VLOOKUP($B167,INDIRECT($B$5&amp;"生成成长"),3))*(VLOOKUP($B$5,标准坦克设计!$B$14:$K$20,9)/30))</f>
        <v>5.8214368465814994</v>
      </c>
      <c r="DT167" s="173">
        <f ca="1">(VLOOKUP(DT$72,INDIRECT($C$5&amp;"生成成长"),2))/((VLOOKUP($B167,INDIRECT($B$5&amp;"生成成长"),4))/(VLOOKUP(DT$72,INDIRECT($C$5&amp;"生成成长"),5))*(VLOOKUP($B$5,标准坦克设计!$B$24:$U$30,MATCH("对"&amp;LEFT($C$5,2)&amp;"输出",标准坦克设计!$B$23:$U$23,0)))*(VLOOKUP($B167,INDIRECT($B$5&amp;"生成成长"),3))*(VLOOKUP($B$5,标准坦克设计!$B$14:$K$20,9)/30))</f>
        <v>6.3915855101379968</v>
      </c>
      <c r="DU167" s="173">
        <f ca="1">(VLOOKUP(DU$72,INDIRECT($C$5&amp;"生成成长"),2))/((VLOOKUP($B167,INDIRECT($B$5&amp;"生成成长"),4))/(VLOOKUP(DU$72,INDIRECT($C$5&amp;"生成成长"),5))*(VLOOKUP($B$5,标准坦克设计!$B$24:$U$30,MATCH("对"&amp;LEFT($C$5,2)&amp;"输出",标准坦克设计!$B$23:$U$23,0)))*(VLOOKUP($B167,INDIRECT($B$5&amp;"生成成长"),3))*(VLOOKUP($B$5,标准坦克设计!$B$14:$K$20,9)/30))</f>
        <v>6.9883653214614654</v>
      </c>
      <c r="DV167" s="173">
        <f ca="1">(VLOOKUP(DV$72,INDIRECT($C$5&amp;"生成成长"),2))/((VLOOKUP($B167,INDIRECT($B$5&amp;"生成成长"),4))/(VLOOKUP(DV$72,INDIRECT($C$5&amp;"生成成长"),5))*(VLOOKUP($B$5,标准坦克设计!$B$24:$U$30,MATCH("对"&amp;LEFT($C$5,2)&amp;"输出",标准坦克设计!$B$23:$U$23,0)))*(VLOOKUP($B167,INDIRECT($B$5&amp;"生成成长"),3))*(VLOOKUP($B$5,标准坦克设计!$B$14:$K$20,9)/30))</f>
        <v>7.6117762805519034</v>
      </c>
      <c r="DW167" s="173">
        <f ca="1">(VLOOKUP(DW$72,INDIRECT($C$5&amp;"生成成长"),2))/((VLOOKUP($B167,INDIRECT($B$5&amp;"生成成长"),4))/(VLOOKUP(DW$72,INDIRECT($C$5&amp;"生成成长"),5))*(VLOOKUP($B$5,标准坦克设计!$B$24:$U$30,MATCH("对"&amp;LEFT($C$5,2)&amp;"输出",标准坦克设计!$B$23:$U$23,0)))*(VLOOKUP($B167,INDIRECT($B$5&amp;"生成成长"),3))*(VLOOKUP($B$5,标准坦克设计!$B$14:$K$20,9)/30))</f>
        <v>8.2618183874093116</v>
      </c>
      <c r="DX167" s="173">
        <f ca="1">(VLOOKUP(DX$72,INDIRECT($C$5&amp;"生成成长"),2))/((VLOOKUP($B167,INDIRECT($B$5&amp;"生成成长"),4))/(VLOOKUP(DX$72,INDIRECT($C$5&amp;"生成成长"),5))*(VLOOKUP($B$5,标准坦克设计!$B$24:$U$30,MATCH("对"&amp;LEFT($C$5,2)&amp;"输出",标准坦克设计!$B$23:$U$23,0)))*(VLOOKUP($B167,INDIRECT($B$5&amp;"生成成长"),3))*(VLOOKUP($B$5,标准坦克设计!$B$14:$K$20,9)/30))</f>
        <v>8.9384916420336893</v>
      </c>
      <c r="DY167" s="173">
        <f ca="1">(VLOOKUP(DY$72,INDIRECT($C$5&amp;"生成成长"),2))/((VLOOKUP($B167,INDIRECT($B$5&amp;"生成成长"),4))/(VLOOKUP(DY$72,INDIRECT($C$5&amp;"生成成长"),5))*(VLOOKUP($B$5,标准坦克设计!$B$24:$U$30,MATCH("对"&amp;LEFT($C$5,2)&amp;"输出",标准坦克设计!$B$23:$U$23,0)))*(VLOOKUP($B167,INDIRECT($B$5&amp;"生成成长"),3))*(VLOOKUP($B$5,标准坦克设计!$B$14:$K$20,9)/30))</f>
        <v>4.0145905028381783</v>
      </c>
      <c r="DZ167" s="173">
        <f ca="1">(VLOOKUP(DZ$72,INDIRECT($C$5&amp;"生成成长"),2))/((VLOOKUP($B167,INDIRECT($B$5&amp;"生成成长"),4))/(VLOOKUP(DZ$72,INDIRECT($C$5&amp;"生成成长"),5))*(VLOOKUP($B$5,标准坦克设计!$B$24:$U$30,MATCH("对"&amp;LEFT($C$5,2)&amp;"输出",标准坦克设计!$B$23:$U$23,0)))*(VLOOKUP($B167,INDIRECT($B$5&amp;"生成成长"),3))*(VLOOKUP($B$5,标准坦克设计!$B$14:$K$20,9)/30))</f>
        <v>4.4459710782370347</v>
      </c>
      <c r="EA167" s="173">
        <f ca="1">(VLOOKUP(EA$72,INDIRECT($C$5&amp;"生成成长"),2))/((VLOOKUP($B167,INDIRECT($B$5&amp;"生成成长"),4))/(VLOOKUP(EA$72,INDIRECT($C$5&amp;"生成成长"),5))*(VLOOKUP($B$5,标准坦克设计!$B$24:$U$30,MATCH("对"&amp;LEFT($C$5,2)&amp;"输出",标准坦克设计!$B$23:$U$23,0)))*(VLOOKUP($B167,INDIRECT($B$5&amp;"生成成长"),3))*(VLOOKUP($B$5,标准坦克设计!$B$14:$K$20,9)/30))</f>
        <v>4.8993608666664441</v>
      </c>
      <c r="EB167" s="173">
        <f ca="1">(VLOOKUP(EB$72,INDIRECT($C$5&amp;"生成成长"),2))/((VLOOKUP($B167,INDIRECT($B$5&amp;"生成成长"),4))/(VLOOKUP(EB$72,INDIRECT($C$5&amp;"生成成长"),5))*(VLOOKUP($B$5,标准坦克设计!$B$24:$U$30,MATCH("对"&amp;LEFT($C$5,2)&amp;"输出",标准坦克设计!$B$23:$U$23,0)))*(VLOOKUP($B167,INDIRECT($B$5&amp;"生成成长"),3))*(VLOOKUP($B$5,标准坦克设计!$B$14:$K$20,9)/30))</f>
        <v>5.3747598681264082</v>
      </c>
      <c r="EC167" s="173">
        <f ca="1">(VLOOKUP(EC$72,INDIRECT($C$5&amp;"生成成长"),2))/((VLOOKUP($B167,INDIRECT($B$5&amp;"生成成长"),4))/(VLOOKUP(EC$72,INDIRECT($C$5&amp;"生成成长"),5))*(VLOOKUP($B$5,标准坦克设计!$B$24:$U$30,MATCH("对"&amp;LEFT($C$5,2)&amp;"输出",标准坦克设计!$B$23:$U$23,0)))*(VLOOKUP($B167,INDIRECT($B$5&amp;"生成成长"),3))*(VLOOKUP($B$5,标准坦克设计!$B$14:$K$20,9)/30))</f>
        <v>5.872168082616926</v>
      </c>
      <c r="ED167" s="173">
        <f ca="1">(VLOOKUP(ED$72,INDIRECT($C$5&amp;"生成成长"),2))/((VLOOKUP($B167,INDIRECT($B$5&amp;"生成成长"),4))/(VLOOKUP(ED$72,INDIRECT($C$5&amp;"生成成长"),5))*(VLOOKUP($B$5,标准坦克设计!$B$24:$U$30,MATCH("对"&amp;LEFT($C$5,2)&amp;"输出",标准坦克设计!$B$23:$U$23,0)))*(VLOOKUP($B167,INDIRECT($B$5&amp;"生成成长"),3))*(VLOOKUP($B$5,标准坦克设计!$B$14:$K$20,9)/30))</f>
        <v>6.3915855101379968</v>
      </c>
      <c r="EE167" s="173">
        <f ca="1">(VLOOKUP(EE$72,INDIRECT($C$5&amp;"生成成长"),2))/((VLOOKUP($B167,INDIRECT($B$5&amp;"生成成长"),4))/(VLOOKUP(EE$72,INDIRECT($C$5&amp;"生成成长"),5))*(VLOOKUP($B$5,标准坦克设计!$B$24:$U$30,MATCH("对"&amp;LEFT($C$5,2)&amp;"输出",标准坦克设计!$B$23:$U$23,0)))*(VLOOKUP($B167,INDIRECT($B$5&amp;"生成成长"),3))*(VLOOKUP($B$5,标准坦克设计!$B$14:$K$20,9)/30))</f>
        <v>6.9330121506896214</v>
      </c>
      <c r="EF167" s="173">
        <f ca="1">(VLOOKUP(EF$72,INDIRECT($C$5&amp;"生成成长"),2))/((VLOOKUP($B167,INDIRECT($B$5&amp;"生成成长"),4))/(VLOOKUP(EF$72,INDIRECT($C$5&amp;"生成成长"),5))*(VLOOKUP($B$5,标准坦克设计!$B$24:$U$30,MATCH("对"&amp;LEFT($C$5,2)&amp;"输出",标准坦克设计!$B$23:$U$23,0)))*(VLOOKUP($B167,INDIRECT($B$5&amp;"生成成长"),3))*(VLOOKUP($B$5,标准坦克设计!$B$14:$K$20,9)/30))</f>
        <v>7.4964480042718025</v>
      </c>
      <c r="EG167" s="173">
        <f ca="1">(VLOOKUP(EG$72,INDIRECT($C$5&amp;"生成成长"),2))/((VLOOKUP($B167,INDIRECT($B$5&amp;"生成成长"),4))/(VLOOKUP(EG$72,INDIRECT($C$5&amp;"生成成长"),5))*(VLOOKUP($B$5,标准坦克设计!$B$24:$U$30,MATCH("对"&amp;LEFT($C$5,2)&amp;"输出",标准坦克设计!$B$23:$U$23,0)))*(VLOOKUP($B167,INDIRECT($B$5&amp;"生成成长"),3))*(VLOOKUP($B$5,标准坦克设计!$B$14:$K$20,9)/30))</f>
        <v>8.0818930708845347</v>
      </c>
      <c r="EH167" s="173">
        <f ca="1">(VLOOKUP(EH$72,INDIRECT($C$5&amp;"生成成长"),2))/((VLOOKUP($B167,INDIRECT($B$5&amp;"生成成长"),4))/(VLOOKUP(EH$72,INDIRECT($C$5&amp;"生成成长"),5))*(VLOOKUP($B$5,标准坦克设计!$B$24:$U$30,MATCH("对"&amp;LEFT($C$5,2)&amp;"输出",标准坦克设计!$B$23:$U$23,0)))*(VLOOKUP($B167,INDIRECT($B$5&amp;"生成成长"),3))*(VLOOKUP($B$5,标准坦克设计!$B$14:$K$20,9)/30))</f>
        <v>8.6893473505278216</v>
      </c>
      <c r="EI167" s="173">
        <f ca="1">(VLOOKUP(EI$72,INDIRECT($C$5&amp;"生成成长"),2))/((VLOOKUP($B167,INDIRECT($B$5&amp;"生成成长"),4))/(VLOOKUP(EI$72,INDIRECT($C$5&amp;"生成成长"),5))*(VLOOKUP($B$5,标准坦克设计!$B$24:$U$30,MATCH("对"&amp;LEFT($C$5,2)&amp;"输出",标准坦克设计!$B$23:$U$23,0)))*(VLOOKUP($B167,INDIRECT($B$5&amp;"生成成长"),3))*(VLOOKUP($B$5,标准坦克设计!$B$14:$K$20,9)/30))</f>
        <v>9.3188108432016605</v>
      </c>
      <c r="EJ167" s="173">
        <f ca="1">(VLOOKUP(EJ$72,INDIRECT($C$5&amp;"生成成长"),2))/((VLOOKUP($B167,INDIRECT($B$5&amp;"生成成长"),4))/(VLOOKUP(EJ$72,INDIRECT($C$5&amp;"生成成长"),5))*(VLOOKUP($B$5,标准坦克设计!$B$24:$U$30,MATCH("对"&amp;LEFT($C$5,2)&amp;"输出",标准坦克设计!$B$23:$U$23,0)))*(VLOOKUP($B167,INDIRECT($B$5&amp;"生成成长"),3))*(VLOOKUP($B$5,标准坦克设计!$B$14:$K$20,9)/30))</f>
        <v>9.9702835489060586</v>
      </c>
      <c r="EK167" s="173">
        <f ca="1">(VLOOKUP(EK$72,INDIRECT($C$5&amp;"生成成长"),2))/((VLOOKUP($B167,INDIRECT($B$5&amp;"生成成长"),4))/(VLOOKUP(EK$72,INDIRECT($C$5&amp;"生成成长"),5))*(VLOOKUP($B$5,标准坦克设计!$B$24:$U$30,MATCH("对"&amp;LEFT($C$5,2)&amp;"输出",标准坦克设计!$B$23:$U$23,0)))*(VLOOKUP($B167,INDIRECT($B$5&amp;"生成成长"),3))*(VLOOKUP($B$5,标准坦克设计!$B$14:$K$20,9)/30))</f>
        <v>10.78110295695166</v>
      </c>
      <c r="EL167" s="173">
        <f ca="1">(VLOOKUP(EL$72,INDIRECT($C$5&amp;"生成成长"),2))/((VLOOKUP($B167,INDIRECT($B$5&amp;"生成成长"),4))/(VLOOKUP(EL$72,INDIRECT($C$5&amp;"生成成长"),5))*(VLOOKUP($B$5,标准坦克设计!$B$24:$U$30,MATCH("对"&amp;LEFT($C$5,2)&amp;"输出",标准坦克设计!$B$23:$U$23,0)))*(VLOOKUP($B167,INDIRECT($B$5&amp;"生成成长"),3))*(VLOOKUP($B$5,标准坦克设计!$B$14:$K$20,9)/30))</f>
        <v>11.623615631761263</v>
      </c>
      <c r="EM167" s="173">
        <f ca="1">(VLOOKUP(EM$72,INDIRECT($C$5&amp;"生成成长"),2))/((VLOOKUP($B167,INDIRECT($B$5&amp;"生成成长"),4))/(VLOOKUP(EM$72,INDIRECT($C$5&amp;"生成成长"),5))*(VLOOKUP($B$5,标准坦克设计!$B$24:$U$30,MATCH("对"&amp;LEFT($C$5,2)&amp;"输出",标准坦克设计!$B$23:$U$23,0)))*(VLOOKUP($B167,INDIRECT($B$5&amp;"生成成长"),3))*(VLOOKUP($B$5,标准坦克设计!$B$14:$K$20,9)/30))</f>
        <v>12.497821573334862</v>
      </c>
      <c r="EN167" s="173">
        <f ca="1">(VLOOKUP(EN$72,INDIRECT($C$5&amp;"生成成长"),2))/((VLOOKUP($B167,INDIRECT($B$5&amp;"生成成长"),4))/(VLOOKUP(EN$72,INDIRECT($C$5&amp;"生成成长"),5))*(VLOOKUP($B$5,标准坦克设计!$B$24:$U$30,MATCH("对"&amp;LEFT($C$5,2)&amp;"输出",标准坦克设计!$B$23:$U$23,0)))*(VLOOKUP($B167,INDIRECT($B$5&amp;"生成成长"),3))*(VLOOKUP($B$5,标准坦克设计!$B$14:$K$20,9)/30))</f>
        <v>13.40372078167246</v>
      </c>
      <c r="EO167" s="173">
        <f ca="1">(VLOOKUP(EO$72,INDIRECT($C$5&amp;"生成成长"),2))/((VLOOKUP($B167,INDIRECT($B$5&amp;"生成成长"),4))/(VLOOKUP(EO$72,INDIRECT($C$5&amp;"生成成长"),5))*(VLOOKUP($B$5,标准坦克设计!$B$24:$U$30,MATCH("对"&amp;LEFT($C$5,2)&amp;"输出",标准坦克设计!$B$23:$U$23,0)))*(VLOOKUP($B167,INDIRECT($B$5&amp;"生成成长"),3))*(VLOOKUP($B$5,标准坦克设计!$B$14:$K$20,9)/30))</f>
        <v>14.341313256774056</v>
      </c>
      <c r="EP167" s="173">
        <f ca="1">(VLOOKUP(EP$72,INDIRECT($C$5&amp;"生成成长"),2))/((VLOOKUP($B167,INDIRECT($B$5&amp;"生成成长"),4))/(VLOOKUP(EP$72,INDIRECT($C$5&amp;"生成成长"),5))*(VLOOKUP($B$5,标准坦克设计!$B$24:$U$30,MATCH("对"&amp;LEFT($C$5,2)&amp;"输出",标准坦克设计!$B$23:$U$23,0)))*(VLOOKUP($B167,INDIRECT($B$5&amp;"生成成长"),3))*(VLOOKUP($B$5,标准坦克设计!$B$14:$K$20,9)/30))</f>
        <v>15.310598998639648</v>
      </c>
      <c r="EQ167" s="173">
        <f ca="1">(VLOOKUP(EQ$72,INDIRECT($C$5&amp;"生成成长"),2))/((VLOOKUP($B167,INDIRECT($B$5&amp;"生成成长"),4))/(VLOOKUP(EQ$72,INDIRECT($C$5&amp;"生成成长"),5))*(VLOOKUP($B$5,标准坦克设计!$B$24:$U$30,MATCH("对"&amp;LEFT($C$5,2)&amp;"输出",标准坦克设计!$B$23:$U$23,0)))*(VLOOKUP($B167,INDIRECT($B$5&amp;"生成成长"),3))*(VLOOKUP($B$5,标准坦克设计!$B$14:$K$20,9)/30))</f>
        <v>6.7682731911559264</v>
      </c>
      <c r="ER167" s="173">
        <f ca="1">(VLOOKUP(ER$72,INDIRECT($C$5&amp;"生成成长"),2))/((VLOOKUP($B167,INDIRECT($B$5&amp;"生成成长"),4))/(VLOOKUP(ER$72,INDIRECT($C$5&amp;"生成成长"),5))*(VLOOKUP($B$5,标准坦克设计!$B$24:$U$30,MATCH("对"&amp;LEFT($C$5,2)&amp;"输出",标准坦克设计!$B$23:$U$23,0)))*(VLOOKUP($B167,INDIRECT($B$5&amp;"生成成长"),3))*(VLOOKUP($B$5,标准坦克设计!$B$14:$K$20,9)/30))</f>
        <v>7.3820000965129218</v>
      </c>
      <c r="ES167" s="173">
        <f ca="1">(VLOOKUP(ES$72,INDIRECT($C$5&amp;"生成成长"),2))/((VLOOKUP($B167,INDIRECT($B$5&amp;"生成成长"),4))/(VLOOKUP(ES$72,INDIRECT($C$5&amp;"生成成长"),5))*(VLOOKUP($B$5,标准坦克设计!$B$24:$U$30,MATCH("对"&amp;LEFT($C$5,2)&amp;"输出",标准坦克设计!$B$23:$U$23,0)))*(VLOOKUP($B167,INDIRECT($B$5&amp;"生成成长"),3))*(VLOOKUP($B$5,标准坦克设计!$B$14:$K$20,9)/30))</f>
        <v>8.0223581496368865</v>
      </c>
      <c r="ET167" s="173">
        <f ca="1">(VLOOKUP(ET$72,INDIRECT($C$5&amp;"生成成长"),2))/((VLOOKUP($B167,INDIRECT($B$5&amp;"生成成长"),4))/(VLOOKUP(ET$72,INDIRECT($C$5&amp;"生成成长"),5))*(VLOOKUP($B$5,标准坦克设计!$B$24:$U$30,MATCH("对"&amp;LEFT($C$5,2)&amp;"输出",标准坦克设计!$B$23:$U$23,0)))*(VLOOKUP($B167,INDIRECT($B$5&amp;"生成成长"),3))*(VLOOKUP($B$5,标准坦克设计!$B$14:$K$20,9)/30))</f>
        <v>8.6893473505278216</v>
      </c>
      <c r="EU167" s="173">
        <f ca="1">(VLOOKUP(EU$72,INDIRECT($C$5&amp;"生成成长"),2))/((VLOOKUP($B167,INDIRECT($B$5&amp;"生成成长"),4))/(VLOOKUP(EU$72,INDIRECT($C$5&amp;"生成成长"),5))*(VLOOKUP($B$5,标准坦克设计!$B$24:$U$30,MATCH("对"&amp;LEFT($C$5,2)&amp;"输出",标准坦克设计!$B$23:$U$23,0)))*(VLOOKUP($B167,INDIRECT($B$5&amp;"生成成长"),3))*(VLOOKUP($B$5,标准坦克设计!$B$14:$K$20,9)/30))</f>
        <v>9.3829676991857252</v>
      </c>
      <c r="EV167" s="173">
        <f ca="1">(VLOOKUP(EV$72,INDIRECT($C$5&amp;"生成成长"),2))/((VLOOKUP($B167,INDIRECT($B$5&amp;"生成成长"),4))/(VLOOKUP(EV$72,INDIRECT($C$5&amp;"生成成长"),5))*(VLOOKUP($B$5,标准坦克设计!$B$24:$U$30,MATCH("对"&amp;LEFT($C$5,2)&amp;"输出",标准坦克设计!$B$23:$U$23,0)))*(VLOOKUP($B167,INDIRECT($B$5&amp;"生成成长"),3))*(VLOOKUP($B$5,标准坦克设计!$B$14:$K$20,9)/30))</f>
        <v>10.103219195610603</v>
      </c>
      <c r="EW167" s="173">
        <f ca="1">(VLOOKUP(EW$72,INDIRECT($C$5&amp;"生成成长"),2))/((VLOOKUP($B167,INDIRECT($B$5&amp;"生成成长"),4))/(VLOOKUP(EW$72,INDIRECT($C$5&amp;"生成成长"),5))*(VLOOKUP($B$5,标准坦克设计!$B$24:$U$30,MATCH("对"&amp;LEFT($C$5,2)&amp;"输出",标准坦克设计!$B$23:$U$23,0)))*(VLOOKUP($B167,INDIRECT($B$5&amp;"生成成长"),3))*(VLOOKUP($B$5,标准坦克设计!$B$14:$K$20,9)/30))</f>
        <v>10.850101839802448</v>
      </c>
      <c r="EX167" s="173">
        <f ca="1">(VLOOKUP(EX$72,INDIRECT($C$5&amp;"生成成长"),2))/((VLOOKUP($B167,INDIRECT($B$5&amp;"生成成长"),4))/(VLOOKUP(EX$72,INDIRECT($C$5&amp;"生成成长"),5))*(VLOOKUP($B$5,标准坦克设计!$B$24:$U$30,MATCH("对"&amp;LEFT($C$5,2)&amp;"输出",标准坦克设计!$B$23:$U$23,0)))*(VLOOKUP($B167,INDIRECT($B$5&amp;"生成成长"),3))*(VLOOKUP($B$5,标准坦克设计!$B$14:$K$20,9)/30))</f>
        <v>11.623615631761263</v>
      </c>
      <c r="EY167" s="173">
        <f ca="1">(VLOOKUP(EY$72,INDIRECT($C$5&amp;"生成成长"),2))/((VLOOKUP($B167,INDIRECT($B$5&amp;"生成成长"),4))/(VLOOKUP(EY$72,INDIRECT($C$5&amp;"生成成长"),5))*(VLOOKUP($B$5,标准坦克设计!$B$24:$U$30,MATCH("对"&amp;LEFT($C$5,2)&amp;"输出",标准坦克设计!$B$23:$U$23,0)))*(VLOOKUP($B167,INDIRECT($B$5&amp;"生成成长"),3))*(VLOOKUP($B$5,标准坦克设计!$B$14:$K$20,9)/30))</f>
        <v>12.423760571487049</v>
      </c>
      <c r="EZ167" s="173">
        <f ca="1">(VLOOKUP(EZ$72,INDIRECT($C$5&amp;"生成成长"),2))/((VLOOKUP($B167,INDIRECT($B$5&amp;"生成成长"),4))/(VLOOKUP(EZ$72,INDIRECT($C$5&amp;"生成成长"),5))*(VLOOKUP($B$5,标准坦克设计!$B$24:$U$30,MATCH("对"&amp;LEFT($C$5,2)&amp;"输出",标准坦克设计!$B$23:$U$23,0)))*(VLOOKUP($B167,INDIRECT($B$5&amp;"生成成长"),3))*(VLOOKUP($B$5,标准坦克设计!$B$14:$K$20,9)/30))</f>
        <v>13.250536658979806</v>
      </c>
      <c r="FA167" s="173">
        <f ca="1">(VLOOKUP(FA$72,INDIRECT($C$5&amp;"生成成长"),2))/((VLOOKUP($B167,INDIRECT($B$5&amp;"生成成长"),4))/(VLOOKUP(FA$72,INDIRECT($C$5&amp;"生成成长"),5))*(VLOOKUP($B$5,标准坦克设计!$B$24:$U$30,MATCH("对"&amp;LEFT($C$5,2)&amp;"输出",标准坦克设计!$B$23:$U$23,0)))*(VLOOKUP($B167,INDIRECT($B$5&amp;"生成成长"),3))*(VLOOKUP($B$5,标准坦克设计!$B$14:$K$20,9)/30))</f>
        <v>14.10394389423953</v>
      </c>
      <c r="FB167" s="173">
        <f ca="1">(VLOOKUP(FB$72,INDIRECT($C$5&amp;"生成成长"),2))/((VLOOKUP($B167,INDIRECT($B$5&amp;"生成成长"),4))/(VLOOKUP(FB$72,INDIRECT($C$5&amp;"生成成长"),5))*(VLOOKUP($B$5,标准坦克设计!$B$24:$U$30,MATCH("对"&amp;LEFT($C$5,2)&amp;"输出",标准坦克设计!$B$23:$U$23,0)))*(VLOOKUP($B167,INDIRECT($B$5&amp;"生成成长"),3))*(VLOOKUP($B$5,标准坦克设计!$B$14:$K$20,9)/30))</f>
        <v>14.983982277266227</v>
      </c>
      <c r="FC167" s="173">
        <f ca="1">(VLOOKUP(FC$72,INDIRECT($C$5&amp;"生成成长"),2))/((VLOOKUP($B167,INDIRECT($B$5&amp;"生成成长"),4))/(VLOOKUP(FC$72,INDIRECT($C$5&amp;"生成成长"),5))*(VLOOKUP($B$5,标准坦克设计!$B$24:$U$30,MATCH("对"&amp;LEFT($C$5,2)&amp;"输出",标准坦克设计!$B$23:$U$23,0)))*(VLOOKUP($B167,INDIRECT($B$5&amp;"生成成长"),3))*(VLOOKUP($B$5,标准坦克设计!$B$14:$K$20,9)/30))</f>
        <v>15.890651808059895</v>
      </c>
      <c r="FD167" s="173">
        <f ca="1">(VLOOKUP(FD$72,INDIRECT($C$5&amp;"生成成长"),2))/((VLOOKUP($B167,INDIRECT($B$5&amp;"生成成长"),4))/(VLOOKUP(FD$72,INDIRECT($C$5&amp;"生成成长"),5))*(VLOOKUP($B$5,标准坦克设计!$B$24:$U$30,MATCH("对"&amp;LEFT($C$5,2)&amp;"输出",标准坦克设计!$B$23:$U$23,0)))*(VLOOKUP($B167,INDIRECT($B$5&amp;"生成成长"),3))*(VLOOKUP($B$5,标准坦克设计!$B$14:$K$20,9)/30))</f>
        <v>16.823952486620534</v>
      </c>
      <c r="FE167" s="173">
        <f ca="1">(VLOOKUP(FE$72,INDIRECT($C$5&amp;"生成成长"),2))/((VLOOKUP($B167,INDIRECT($B$5&amp;"生成成长"),4))/(VLOOKUP(FE$72,INDIRECT($C$5&amp;"生成成长"),5))*(VLOOKUP($B$5,标准坦克设计!$B$24:$U$30,MATCH("对"&amp;LEFT($C$5,2)&amp;"输出",标准坦克设计!$B$23:$U$23,0)))*(VLOOKUP($B167,INDIRECT($B$5&amp;"生成成长"),3))*(VLOOKUP($B$5,标准坦克设计!$B$14:$K$20,9)/30))</f>
        <v>17.961278569974404</v>
      </c>
      <c r="FF167" s="173">
        <f ca="1">(VLOOKUP(FF$72,INDIRECT($C$5&amp;"生成成长"),2))/((VLOOKUP($B167,INDIRECT($B$5&amp;"生成成长"),4))/(VLOOKUP(FF$72,INDIRECT($C$5&amp;"生成成长"),5))*(VLOOKUP($B$5,标准坦克设计!$B$24:$U$30,MATCH("对"&amp;LEFT($C$5,2)&amp;"输出",标准坦克设计!$B$23:$U$23,0)))*(VLOOKUP($B167,INDIRECT($B$5&amp;"生成成长"),3))*(VLOOKUP($B$5,标准坦克设计!$B$14:$K$20,9)/30))</f>
        <v>19.135800223349911</v>
      </c>
      <c r="FG167" s="173">
        <f ca="1">(VLOOKUP(FG$72,INDIRECT($C$5&amp;"生成成长"),2))/((VLOOKUP($B167,INDIRECT($B$5&amp;"生成成长"),4))/(VLOOKUP(FG$72,INDIRECT($C$5&amp;"生成成长"),5))*(VLOOKUP($B$5,标准坦克设计!$B$24:$U$30,MATCH("对"&amp;LEFT($C$5,2)&amp;"输出",标准坦克设计!$B$23:$U$23,0)))*(VLOOKUP($B167,INDIRECT($B$5&amp;"生成成长"),3))*(VLOOKUP($B$5,标准坦克设计!$B$14:$K$20,9)/30))</f>
        <v>20.347517446747052</v>
      </c>
      <c r="FH167" s="173">
        <f ca="1">(VLOOKUP(FH$72,INDIRECT($C$5&amp;"生成成长"),2))/((VLOOKUP($B167,INDIRECT($B$5&amp;"生成成长"),4))/(VLOOKUP(FH$72,INDIRECT($C$5&amp;"生成成长"),5))*(VLOOKUP($B$5,标准坦克设计!$B$24:$U$30,MATCH("对"&amp;LEFT($C$5,2)&amp;"输出",标准坦克设计!$B$23:$U$23,0)))*(VLOOKUP($B167,INDIRECT($B$5&amp;"生成成长"),3))*(VLOOKUP($B$5,标准坦克设计!$B$14:$K$20,9)/30))</f>
        <v>21.596430240165834</v>
      </c>
      <c r="FI167" s="173">
        <f ca="1">(VLOOKUP(FI$72,INDIRECT($C$5&amp;"生成成长"),2))/((VLOOKUP($B167,INDIRECT($B$5&amp;"生成成长"),4))/(VLOOKUP(FI$72,INDIRECT($C$5&amp;"生成成长"),5))*(VLOOKUP($B$5,标准坦克设计!$B$24:$U$30,MATCH("对"&amp;LEFT($C$5,2)&amp;"输出",标准坦克设计!$B$23:$U$23,0)))*(VLOOKUP($B167,INDIRECT($B$5&amp;"生成成长"),3))*(VLOOKUP($B$5,标准坦克设计!$B$14:$K$20,9)/30))</f>
        <v>22.88253860360625</v>
      </c>
      <c r="FJ167" s="173">
        <f ca="1">(VLOOKUP(FJ$72,INDIRECT($C$5&amp;"生成成长"),2))/((VLOOKUP($B167,INDIRECT($B$5&amp;"生成成长"),4))/(VLOOKUP(FJ$72,INDIRECT($C$5&amp;"生成成长"),5))*(VLOOKUP($B$5,标准坦克设计!$B$24:$U$30,MATCH("对"&amp;LEFT($C$5,2)&amp;"输出",标准坦克设计!$B$23:$U$23,0)))*(VLOOKUP($B167,INDIRECT($B$5&amp;"生成成长"),3))*(VLOOKUP($B$5,标准坦克设计!$B$14:$K$20,9)/30))</f>
        <v>24.2058425370683</v>
      </c>
      <c r="FK167" s="173">
        <f ca="1">(VLOOKUP(FK$72,INDIRECT($C$5&amp;"生成成长"),2))/((VLOOKUP($B167,INDIRECT($B$5&amp;"生成成长"),4))/(VLOOKUP(FK$72,INDIRECT($C$5&amp;"生成成长"),5))*(VLOOKUP($B$5,标准坦克设计!$B$24:$U$30,MATCH("对"&amp;LEFT($C$5,2)&amp;"输出",标准坦克设计!$B$23:$U$23,0)))*(VLOOKUP($B167,INDIRECT($B$5&amp;"生成成长"),3))*(VLOOKUP($B$5,标准坦克设计!$B$14:$K$20,9)/30))</f>
        <v>25.566342040551987</v>
      </c>
    </row>
    <row r="168" spans="1:167" x14ac:dyDescent="0.15">
      <c r="A168" s="171" t="str">
        <f t="shared" si="12"/>
        <v>T5中品质6级</v>
      </c>
      <c r="B168" s="172">
        <v>20506</v>
      </c>
      <c r="C168" s="173">
        <f ca="1">(VLOOKUP(C$72,INDIRECT($C$5&amp;"生成成长"),2))/((VLOOKUP($B168,INDIRECT($B$5&amp;"生成成长"),4))/(VLOOKUP(C$72,INDIRECT($C$5&amp;"生成成长"),5))*(VLOOKUP($B$5,标准坦克设计!$B$24:$U$30,MATCH("对"&amp;LEFT($C$5,2)&amp;"输出",标准坦克设计!$B$23:$U$23,0)))*(VLOOKUP($B168,INDIRECT($B$5&amp;"生成成长"),3))*(VLOOKUP($B$5,标准坦克设计!$B$14:$K$20,9)/30))</f>
        <v>1.0197616519140855</v>
      </c>
      <c r="D168" s="173">
        <f ca="1">(VLOOKUP(D$72,INDIRECT($C$5&amp;"生成成长"),2))/((VLOOKUP($B168,INDIRECT($B$5&amp;"生成成长"),4))/(VLOOKUP(D$72,INDIRECT($C$5&amp;"生成成长"),5))*(VLOOKUP($B$5,标准坦克设计!$B$24:$U$30,MATCH("对"&amp;LEFT($C$5,2)&amp;"输出",标准坦克设计!$B$23:$U$23,0)))*(VLOOKUP($B168,INDIRECT($B$5&amp;"生成成长"),3))*(VLOOKUP($B$5,标准坦克设计!$B$14:$K$20,9)/30))</f>
        <v>1.1458041920906665</v>
      </c>
      <c r="E168" s="173">
        <f ca="1">(VLOOKUP(E$72,INDIRECT($C$5&amp;"生成成长"),2))/((VLOOKUP($B168,INDIRECT($B$5&amp;"生成成长"),4))/(VLOOKUP(E$72,INDIRECT($C$5&amp;"生成成长"),5))*(VLOOKUP($B$5,标准坦克设计!$B$24:$U$30,MATCH("对"&amp;LEFT($C$5,2)&amp;"输出",标准坦克设计!$B$23:$U$23,0)))*(VLOOKUP($B168,INDIRECT($B$5&amp;"生成成长"),3))*(VLOOKUP($B$5,标准坦克设计!$B$14:$K$20,9)/30))</f>
        <v>1.2791890161610286</v>
      </c>
      <c r="F168" s="173">
        <f ca="1">(VLOOKUP(F$72,INDIRECT($C$5&amp;"生成成长"),2))/((VLOOKUP($B168,INDIRECT($B$5&amp;"生成成长"),4))/(VLOOKUP(F$72,INDIRECT($C$5&amp;"生成成长"),5))*(VLOOKUP($B$5,标准坦克设计!$B$24:$U$30,MATCH("对"&amp;LEFT($C$5,2)&amp;"输出",标准坦克设计!$B$23:$U$23,0)))*(VLOOKUP($B168,INDIRECT($B$5&amp;"生成成长"),3))*(VLOOKUP($B$5,标准坦克设计!$B$14:$K$20,9)/30))</f>
        <v>1.4199161241251725</v>
      </c>
      <c r="G168" s="173">
        <f ca="1">(VLOOKUP(G$72,INDIRECT($C$5&amp;"生成成长"),2))/((VLOOKUP($B168,INDIRECT($B$5&amp;"生成成长"),4))/(VLOOKUP(G$72,INDIRECT($C$5&amp;"生成成长"),5))*(VLOOKUP($B$5,标准坦克设计!$B$24:$U$30,MATCH("对"&amp;LEFT($C$5,2)&amp;"输出",标准坦克设计!$B$23:$U$23,0)))*(VLOOKUP($B168,INDIRECT($B$5&amp;"生成成长"),3))*(VLOOKUP($B$5,标准坦克设计!$B$14:$K$20,9)/30))</f>
        <v>1.5679855159830978</v>
      </c>
      <c r="H168" s="173">
        <f ca="1">(VLOOKUP(H$72,INDIRECT($C$5&amp;"生成成长"),2))/((VLOOKUP($B168,INDIRECT($B$5&amp;"生成成长"),4))/(VLOOKUP(H$72,INDIRECT($C$5&amp;"生成成长"),5))*(VLOOKUP($B$5,标准坦克设计!$B$24:$U$30,MATCH("对"&amp;LEFT($C$5,2)&amp;"输出",标准坦克设计!$B$23:$U$23,0)))*(VLOOKUP($B168,INDIRECT($B$5&amp;"生成成长"),3))*(VLOOKUP($B$5,标准坦克设计!$B$14:$K$20,9)/30))</f>
        <v>1.3721912788155932</v>
      </c>
      <c r="I168" s="173">
        <f ca="1">(VLOOKUP(I$72,INDIRECT($C$5&amp;"生成成长"),2))/((VLOOKUP($B168,INDIRECT($B$5&amp;"生成成长"),4))/(VLOOKUP(I$72,INDIRECT($C$5&amp;"生成成长"),5))*(VLOOKUP($B$5,标准坦克设计!$B$24:$U$30,MATCH("对"&amp;LEFT($C$5,2)&amp;"输出",标准坦克设计!$B$23:$U$23,0)))*(VLOOKUP($B168,INDIRECT($B$5&amp;"生成成长"),3))*(VLOOKUP($B$5,标准坦克设计!$B$14:$K$20,9)/30))</f>
        <v>1.5679855159830978</v>
      </c>
      <c r="J168" s="173">
        <f ca="1">(VLOOKUP(J$72,INDIRECT($C$5&amp;"生成成长"),2))/((VLOOKUP($B168,INDIRECT($B$5&amp;"生成成长"),4))/(VLOOKUP(J$72,INDIRECT($C$5&amp;"生成成长"),5))*(VLOOKUP($B$5,标准坦克设计!$B$24:$U$30,MATCH("对"&amp;LEFT($C$5,2)&amp;"输出",标准坦克设计!$B$23:$U$23,0)))*(VLOOKUP($B168,INDIRECT($B$5&amp;"生成成长"),3))*(VLOOKUP($B$5,标准坦克设计!$B$14:$K$20,9)/30))</f>
        <v>1.7768327022951025</v>
      </c>
      <c r="K168" s="173">
        <f ca="1">(VLOOKUP(K$72,INDIRECT($C$5&amp;"生成成长"),2))/((VLOOKUP($B168,INDIRECT($B$5&amp;"生成成长"),4))/(VLOOKUP(K$72,INDIRECT($C$5&amp;"生成成长"),5))*(VLOOKUP($B$5,标准坦克设计!$B$24:$U$30,MATCH("对"&amp;LEFT($C$5,2)&amp;"输出",标准坦克设计!$B$23:$U$23,0)))*(VLOOKUP($B168,INDIRECT($B$5&amp;"生成成长"),3))*(VLOOKUP($B$5,标准坦克设计!$B$14:$K$20,9)/30))</f>
        <v>1.9987328377516078</v>
      </c>
      <c r="L168" s="173">
        <f ca="1">(VLOOKUP(L$72,INDIRECT($C$5&amp;"生成成长"),2))/((VLOOKUP($B168,INDIRECT($B$5&amp;"生成成长"),4))/(VLOOKUP(L$72,INDIRECT($C$5&amp;"生成成长"),5))*(VLOOKUP($B$5,标准坦克设计!$B$24:$U$30,MATCH("对"&amp;LEFT($C$5,2)&amp;"输出",标准坦克设计!$B$23:$U$23,0)))*(VLOOKUP($B168,INDIRECT($B$5&amp;"生成成长"),3))*(VLOOKUP($B$5,标准坦克设计!$B$14:$K$20,9)/30))</f>
        <v>2.2336859223526129</v>
      </c>
      <c r="M168" s="173">
        <f ca="1">(VLOOKUP(M$72,INDIRECT($C$5&amp;"生成成长"),2))/((VLOOKUP($B168,INDIRECT($B$5&amp;"生成成长"),4))/(VLOOKUP(M$72,INDIRECT($C$5&amp;"生成成长"),5))*(VLOOKUP($B$5,标准坦克设计!$B$24:$U$30,MATCH("对"&amp;LEFT($C$5,2)&amp;"输出",标准坦克设计!$B$23:$U$23,0)))*(VLOOKUP($B168,INDIRECT($B$5&amp;"生成成长"),3))*(VLOOKUP($B$5,标准坦克设计!$B$14:$K$20,9)/30))</f>
        <v>2.4816919560981181</v>
      </c>
      <c r="N168" s="173">
        <f ca="1">(VLOOKUP(N$72,INDIRECT($C$5&amp;"生成成长"),2))/((VLOOKUP($B168,INDIRECT($B$5&amp;"生成成长"),4))/(VLOOKUP(N$72,INDIRECT($C$5&amp;"生成成长"),5))*(VLOOKUP($B$5,标准坦克设计!$B$24:$U$30,MATCH("对"&amp;LEFT($C$5,2)&amp;"输出",标准坦克设计!$B$23:$U$23,0)))*(VLOOKUP($B168,INDIRECT($B$5&amp;"生成成长"),3))*(VLOOKUP($B$5,标准坦克设计!$B$14:$K$20,9)/30))</f>
        <v>2.7427509389881242</v>
      </c>
      <c r="O168" s="173">
        <f ca="1">(VLOOKUP(O$72,INDIRECT($C$5&amp;"生成成长"),2))/((VLOOKUP($B168,INDIRECT($B$5&amp;"生成成长"),4))/(VLOOKUP(O$72,INDIRECT($C$5&amp;"生成成长"),5))*(VLOOKUP($B$5,标准坦克设计!$B$24:$U$30,MATCH("对"&amp;LEFT($C$5,2)&amp;"输出",标准坦克设计!$B$23:$U$23,0)))*(VLOOKUP($B168,INDIRECT($B$5&amp;"生成成长"),3))*(VLOOKUP($B$5,标准坦克设计!$B$14:$K$20,9)/30))</f>
        <v>2.0853106019991139</v>
      </c>
      <c r="P168" s="173">
        <f ca="1">(VLOOKUP(P$72,INDIRECT($C$5&amp;"生成成长"),2))/((VLOOKUP($B168,INDIRECT($B$5&amp;"生成成长"),4))/(VLOOKUP(P$72,INDIRECT($C$5&amp;"生成成长"),5))*(VLOOKUP($B$5,标准坦克设计!$B$24:$U$30,MATCH("对"&amp;LEFT($C$5,2)&amp;"输出",标准坦克设计!$B$23:$U$23,0)))*(VLOOKUP($B168,INDIRECT($B$5&amp;"生成成长"),3))*(VLOOKUP($B$5,标准坦克设计!$B$14:$K$20,9)/30))</f>
        <v>2.3560573205823037</v>
      </c>
      <c r="Q168" s="173">
        <f ca="1">(VLOOKUP(Q$72,INDIRECT($C$5&amp;"生成成长"),2))/((VLOOKUP($B168,INDIRECT($B$5&amp;"生成成长"),4))/(VLOOKUP(Q$72,INDIRECT($C$5&amp;"生成成长"),5))*(VLOOKUP($B$5,标准坦克设计!$B$24:$U$30,MATCH("对"&amp;LEFT($C$5,2)&amp;"输出",标准坦克设计!$B$23:$U$23,0)))*(VLOOKUP($B168,INDIRECT($B$5&amp;"生成成长"),3))*(VLOOKUP($B$5,标准坦克设计!$B$14:$K$20,9)/30))</f>
        <v>2.6433241779265009</v>
      </c>
      <c r="R168" s="173">
        <f ca="1">(VLOOKUP(R$72,INDIRECT($C$5&amp;"生成成长"),2))/((VLOOKUP($B168,INDIRECT($B$5&amp;"生成成长"),4))/(VLOOKUP(R$72,INDIRECT($C$5&amp;"生成成长"),5))*(VLOOKUP($B$5,标准坦克设计!$B$24:$U$30,MATCH("对"&amp;LEFT($C$5,2)&amp;"输出",标准坦克设计!$B$23:$U$23,0)))*(VLOOKUP($B168,INDIRECT($B$5&amp;"生成成长"),3))*(VLOOKUP($B$5,标准坦克设计!$B$14:$K$20,9)/30))</f>
        <v>2.9471111740317073</v>
      </c>
      <c r="S168" s="173">
        <f ca="1">(VLOOKUP(S$72,INDIRECT($C$5&amp;"生成成长"),2))/((VLOOKUP($B168,INDIRECT($B$5&amp;"生成成长"),4))/(VLOOKUP(S$72,INDIRECT($C$5&amp;"生成成长"),5))*(VLOOKUP($B$5,标准坦克设计!$B$24:$U$30,MATCH("对"&amp;LEFT($C$5,2)&amp;"输出",标准坦克设计!$B$23:$U$23,0)))*(VLOOKUP($B168,INDIRECT($B$5&amp;"生成成长"),3))*(VLOOKUP($B$5,标准坦克设计!$B$14:$K$20,9)/30))</f>
        <v>3.2674183088979216</v>
      </c>
      <c r="T168" s="173">
        <f ca="1">(VLOOKUP(T$72,INDIRECT($C$5&amp;"生成成长"),2))/((VLOOKUP($B168,INDIRECT($B$5&amp;"生成成长"),4))/(VLOOKUP(T$72,INDIRECT($C$5&amp;"生成成长"),5))*(VLOOKUP($B$5,标准坦克设计!$B$24:$U$30,MATCH("对"&amp;LEFT($C$5,2)&amp;"输出",标准坦克设计!$B$23:$U$23,0)))*(VLOOKUP($B168,INDIRECT($B$5&amp;"生成成长"),3))*(VLOOKUP($B$5,标准坦克设计!$B$14:$K$20,9)/30))</f>
        <v>3.6042455825251438</v>
      </c>
      <c r="U168" s="173">
        <f ca="1">(VLOOKUP(U$72,INDIRECT($C$5&amp;"生成成长"),2))/((VLOOKUP($B168,INDIRECT($B$5&amp;"生成成长"),4))/(VLOOKUP(U$72,INDIRECT($C$5&amp;"生成成长"),5))*(VLOOKUP($B$5,标准坦克设计!$B$24:$U$30,MATCH("对"&amp;LEFT($C$5,2)&amp;"输出",标准坦克设计!$B$23:$U$23,0)))*(VLOOKUP($B168,INDIRECT($B$5&amp;"生成成长"),3))*(VLOOKUP($B$5,标准坦克设计!$B$14:$K$20,9)/30))</f>
        <v>3.9575929949133739</v>
      </c>
      <c r="V168" s="173">
        <f ca="1">(VLOOKUP(V$72,INDIRECT($C$5&amp;"生成成长"),2))/((VLOOKUP($B168,INDIRECT($B$5&amp;"生成成长"),4))/(VLOOKUP(V$72,INDIRECT($C$5&amp;"生成成长"),5))*(VLOOKUP($B$5,标准坦克设计!$B$24:$U$30,MATCH("对"&amp;LEFT($C$5,2)&amp;"输出",标准坦克设计!$B$23:$U$23,0)))*(VLOOKUP($B168,INDIRECT($B$5&amp;"生成成长"),3))*(VLOOKUP($B$5,标准坦克设计!$B$14:$K$20,9)/30))</f>
        <v>4.3274605460626132</v>
      </c>
      <c r="W168" s="173">
        <f ca="1">(VLOOKUP(W$72,INDIRECT($C$5&amp;"生成成长"),2))/((VLOOKUP($B168,INDIRECT($B$5&amp;"生成成长"),4))/(VLOOKUP(W$72,INDIRECT($C$5&amp;"生成成长"),5))*(VLOOKUP($B$5,标准坦克设计!$B$24:$U$30,MATCH("对"&amp;LEFT($C$5,2)&amp;"输出",标准坦克设计!$B$23:$U$23,0)))*(VLOOKUP($B168,INDIRECT($B$5&amp;"生成成长"),3))*(VLOOKUP($B$5,标准坦克设计!$B$14:$K$20,9)/30))</f>
        <v>4.7138482359728604</v>
      </c>
      <c r="X168" s="173">
        <f ca="1">(VLOOKUP(X$72,INDIRECT($C$5&amp;"生成成长"),2))/((VLOOKUP($B168,INDIRECT($B$5&amp;"生成成长"),4))/(VLOOKUP(X$72,INDIRECT($C$5&amp;"生成成长"),5))*(VLOOKUP($B$5,标准坦克设计!$B$24:$U$30,MATCH("对"&amp;LEFT($C$5,2)&amp;"输出",标准坦克设计!$B$23:$U$23,0)))*(VLOOKUP($B168,INDIRECT($B$5&amp;"生成成长"),3))*(VLOOKUP($B$5,标准坦克设计!$B$14:$K$20,9)/30))</f>
        <v>3.4150797960950809</v>
      </c>
      <c r="Y168" s="173">
        <f ca="1">(VLOOKUP(Y$72,INDIRECT($C$5&amp;"生成成长"),2))/((VLOOKUP($B168,INDIRECT($B$5&amp;"生成成长"),4))/(VLOOKUP(Y$72,INDIRECT($C$5&amp;"生成成长"),5))*(VLOOKUP($B$5,标准坦克设计!$B$24:$U$30,MATCH("对"&amp;LEFT($C$5,2)&amp;"输出",标准坦克设计!$B$23:$U$23,0)))*(VLOOKUP($B168,INDIRECT($B$5&amp;"生成成长"),3))*(VLOOKUP($B$5,标准坦克设计!$B$14:$K$20,9)/30))</f>
        <v>3.7985101772147774</v>
      </c>
      <c r="Z168" s="173">
        <f ca="1">(VLOOKUP(Z$72,INDIRECT($C$5&amp;"生成成长"),2))/((VLOOKUP($B168,INDIRECT($B$5&amp;"生成成长"),4))/(VLOOKUP(Z$72,INDIRECT($C$5&amp;"生成成长"),5))*(VLOOKUP($B$5,标准坦克设计!$B$24:$U$30,MATCH("对"&amp;LEFT($C$5,2)&amp;"输出",标准坦克设计!$B$23:$U$23,0)))*(VLOOKUP($B168,INDIRECT($B$5&amp;"生成成长"),3))*(VLOOKUP($B$5,标准坦克设计!$B$14:$K$20,9)/30))</f>
        <v>4.2023357913727546</v>
      </c>
      <c r="AA168" s="173">
        <f ca="1">(VLOOKUP(AA$72,INDIRECT($C$5&amp;"生成成长"),2))/((VLOOKUP($B168,INDIRECT($B$5&amp;"生成成长"),4))/(VLOOKUP(AA$72,INDIRECT($C$5&amp;"生成成长"),5))*(VLOOKUP($B$5,标准坦克设计!$B$24:$U$30,MATCH("对"&amp;LEFT($C$5,2)&amp;"输出",标准坦克设计!$B$23:$U$23,0)))*(VLOOKUP($B168,INDIRECT($B$5&amp;"生成成长"),3))*(VLOOKUP($B$5,标准坦克设计!$B$14:$K$20,9)/30))</f>
        <v>4.6265566385690144</v>
      </c>
      <c r="AB168" s="173">
        <f ca="1">(VLOOKUP(AB$72,INDIRECT($C$5&amp;"生成成长"),2))/((VLOOKUP($B168,INDIRECT($B$5&amp;"生成成长"),4))/(VLOOKUP(AB$72,INDIRECT($C$5&amp;"生成成长"),5))*(VLOOKUP($B$5,标准坦克设计!$B$24:$U$30,MATCH("对"&amp;LEFT($C$5,2)&amp;"输出",标准坦克设计!$B$23:$U$23,0)))*(VLOOKUP($B168,INDIRECT($B$5&amp;"生成成长"),3))*(VLOOKUP($B$5,标准坦克设计!$B$14:$K$20,9)/30))</f>
        <v>5.071172718803556</v>
      </c>
      <c r="AC168" s="173">
        <f ca="1">(VLOOKUP(AC$72,INDIRECT($C$5&amp;"生成成长"),2))/((VLOOKUP($B168,INDIRECT($B$5&amp;"生成成长"),4))/(VLOOKUP(AC$72,INDIRECT($C$5&amp;"生成成长"),5))*(VLOOKUP($B$5,标准坦克设计!$B$24:$U$30,MATCH("对"&amp;LEFT($C$5,2)&amp;"输出",标准坦克设计!$B$23:$U$23,0)))*(VLOOKUP($B168,INDIRECT($B$5&amp;"生成成长"),3))*(VLOOKUP($B$5,标准坦克设计!$B$14:$K$20,9)/30))</f>
        <v>5.5361840320763784</v>
      </c>
      <c r="AD168" s="173">
        <f ca="1">(VLOOKUP(AD$72,INDIRECT($C$5&amp;"生成成长"),2))/((VLOOKUP($B168,INDIRECT($B$5&amp;"生成成长"),4))/(VLOOKUP(AD$72,INDIRECT($C$5&amp;"生成成长"),5))*(VLOOKUP($B$5,标准坦克设计!$B$24:$U$30,MATCH("对"&amp;LEFT($C$5,2)&amp;"输出",标准坦克设计!$B$23:$U$23,0)))*(VLOOKUP($B168,INDIRECT($B$5&amp;"生成成长"),3))*(VLOOKUP($B$5,标准坦克设计!$B$14:$K$20,9)/30))</f>
        <v>6.0215905783874835</v>
      </c>
      <c r="AE168" s="173">
        <f ca="1">(VLOOKUP(AE$72,INDIRECT($C$5&amp;"生成成长"),2))/((VLOOKUP($B168,INDIRECT($B$5&amp;"生成成长"),4))/(VLOOKUP(AE$72,INDIRECT($C$5&amp;"生成成长"),5))*(VLOOKUP($B$5,标准坦克设计!$B$24:$U$30,MATCH("对"&amp;LEFT($C$5,2)&amp;"输出",标准坦克设计!$B$23:$U$23,0)))*(VLOOKUP($B168,INDIRECT($B$5&amp;"生成成长"),3))*(VLOOKUP($B$5,标准坦克设计!$B$14:$K$20,9)/30))</f>
        <v>6.5273923577368693</v>
      </c>
      <c r="AF168" s="173">
        <f ca="1">(VLOOKUP(AF$72,INDIRECT($C$5&amp;"生成成长"),2))/((VLOOKUP($B168,INDIRECT($B$5&amp;"生成成长"),4))/(VLOOKUP(AF$72,INDIRECT($C$5&amp;"生成成长"),5))*(VLOOKUP($B$5,标准坦克设计!$B$24:$U$30,MATCH("对"&amp;LEFT($C$5,2)&amp;"输出",标准坦克设计!$B$23:$U$23,0)))*(VLOOKUP($B168,INDIRECT($B$5&amp;"生成成长"),3))*(VLOOKUP($B$5,标准坦克设计!$B$14:$K$20,9)/30))</f>
        <v>7.0535893701245387</v>
      </c>
      <c r="AG168" s="173">
        <f ca="1">(VLOOKUP(AG$72,INDIRECT($C$5&amp;"生成成长"),2))/((VLOOKUP($B168,INDIRECT($B$5&amp;"生成成长"),4))/(VLOOKUP(AG$72,INDIRECT($C$5&amp;"生成成长"),5))*(VLOOKUP($B$5,标准坦克设计!$B$24:$U$30,MATCH("对"&amp;LEFT($C$5,2)&amp;"输出",标准坦克设计!$B$23:$U$23,0)))*(VLOOKUP($B168,INDIRECT($B$5&amp;"生成成长"),3))*(VLOOKUP($B$5,标准坦克设计!$B$14:$K$20,9)/30))</f>
        <v>7.6001816155504898</v>
      </c>
      <c r="AH168" s="173">
        <f ca="1">(VLOOKUP(AH$72,INDIRECT($C$5&amp;"生成成长"),2))/((VLOOKUP($B168,INDIRECT($B$5&amp;"生成成长"),4))/(VLOOKUP(AH$72,INDIRECT($C$5&amp;"生成成长"),5))*(VLOOKUP($B$5,标准坦克设计!$B$24:$U$30,MATCH("对"&amp;LEFT($C$5,2)&amp;"输出",标准坦克设计!$B$23:$U$23,0)))*(VLOOKUP($B168,INDIRECT($B$5&amp;"生成成长"),3))*(VLOOKUP($B$5,标准坦克设计!$B$14:$K$20,9)/30))</f>
        <v>8.1671690940147208</v>
      </c>
      <c r="AI168" s="173">
        <f ca="1">(VLOOKUP(AI$72,INDIRECT($C$5&amp;"生成成长"),2))/((VLOOKUP($B168,INDIRECT($B$5&amp;"生成成长"),4))/(VLOOKUP(AI$72,INDIRECT($C$5&amp;"生成成长"),5))*(VLOOKUP($B$5,标准坦克设计!$B$24:$U$30,MATCH("对"&amp;LEFT($C$5,2)&amp;"输出",标准坦克设计!$B$23:$U$23,0)))*(VLOOKUP($B168,INDIRECT($B$5&amp;"生成成长"),3))*(VLOOKUP($B$5,标准坦克设计!$B$14:$K$20,9)/30))</f>
        <v>5.7763379011021465</v>
      </c>
      <c r="AJ168" s="173">
        <f ca="1">(VLOOKUP(AJ$72,INDIRECT($C$5&amp;"生成成长"),2))/((VLOOKUP($B168,INDIRECT($B$5&amp;"生成成长"),4))/(VLOOKUP(AJ$72,INDIRECT($C$5&amp;"生成成长"),5))*(VLOOKUP($B$5,标准坦克设计!$B$24:$U$30,MATCH("对"&amp;LEFT($C$5,2)&amp;"输出",标准坦克设计!$B$23:$U$23,0)))*(VLOOKUP($B168,INDIRECT($B$5&amp;"生成成长"),3))*(VLOOKUP($B$5,标准坦克设计!$B$14:$K$20,9)/30))</f>
        <v>6.3226242180325212</v>
      </c>
      <c r="AK168" s="173">
        <f ca="1">(VLOOKUP(AK$72,INDIRECT($C$5&amp;"生成成长"),2))/((VLOOKUP($B168,INDIRECT($B$5&amp;"生成成长"),4))/(VLOOKUP(AK$72,INDIRECT($C$5&amp;"生成成长"),5))*(VLOOKUP($B$5,标准坦克设计!$B$24:$U$30,MATCH("对"&amp;LEFT($C$5,2)&amp;"输出",标准坦克设计!$B$23:$U$23,0)))*(VLOOKUP($B168,INDIRECT($B$5&amp;"生成成长"),3))*(VLOOKUP($B$5,标准坦克设计!$B$14:$K$20,9)/30))</f>
        <v>6.8935887669392191</v>
      </c>
      <c r="AL168" s="173">
        <f ca="1">(VLOOKUP(AL$72,INDIRECT($C$5&amp;"生成成长"),2))/((VLOOKUP($B168,INDIRECT($B$5&amp;"生成成长"),4))/(VLOOKUP(AL$72,INDIRECT($C$5&amp;"生成成长"),5))*(VLOOKUP($B$5,标准坦克设计!$B$24:$U$30,MATCH("对"&amp;LEFT($C$5,2)&amp;"输出",标准坦克设计!$B$23:$U$23,0)))*(VLOOKUP($B168,INDIRECT($B$5&amp;"生成成长"),3))*(VLOOKUP($B$5,标准坦克设计!$B$14:$K$20,9)/30))</f>
        <v>7.4892315478222358</v>
      </c>
      <c r="AM168" s="173">
        <f ca="1">(VLOOKUP(AM$72,INDIRECT($C$5&amp;"生成成长"),2))/((VLOOKUP($B168,INDIRECT($B$5&amp;"生成成长"),4))/(VLOOKUP(AM$72,INDIRECT($C$5&amp;"生成成长"),5))*(VLOOKUP($B$5,标准坦克设计!$B$24:$U$30,MATCH("对"&amp;LEFT($C$5,2)&amp;"输出",标准坦克设计!$B$23:$U$23,0)))*(VLOOKUP($B168,INDIRECT($B$5&amp;"生成成长"),3))*(VLOOKUP($B$5,标准坦克设计!$B$14:$K$20,9)/30))</f>
        <v>8.109552560681573</v>
      </c>
      <c r="AN168" s="173">
        <f ca="1">(VLOOKUP(AN$72,INDIRECT($C$5&amp;"生成成长"),2))/((VLOOKUP($B168,INDIRECT($B$5&amp;"生成成长"),4))/(VLOOKUP(AN$72,INDIRECT($C$5&amp;"生成成长"),5))*(VLOOKUP($B$5,标准坦克设计!$B$24:$U$30,MATCH("对"&amp;LEFT($C$5,2)&amp;"输出",标准坦克设计!$B$23:$U$23,0)))*(VLOOKUP($B168,INDIRECT($B$5&amp;"生成成长"),3))*(VLOOKUP($B$5,标准坦克设计!$B$14:$K$20,9)/30))</f>
        <v>8.7545518055172327</v>
      </c>
      <c r="AO168" s="173">
        <f ca="1">(VLOOKUP(AO$72,INDIRECT($C$5&amp;"生成成长"),2))/((VLOOKUP($B168,INDIRECT($B$5&amp;"生成成长"),4))/(VLOOKUP(AO$72,INDIRECT($C$5&amp;"生成成长"),5))*(VLOOKUP($B$5,标准坦克设计!$B$24:$U$30,MATCH("对"&amp;LEFT($C$5,2)&amp;"输出",标准坦克设计!$B$23:$U$23,0)))*(VLOOKUP($B168,INDIRECT($B$5&amp;"生成成长"),3))*(VLOOKUP($B$5,标准坦克设计!$B$14:$K$20,9)/30))</f>
        <v>9.4242292823292146</v>
      </c>
      <c r="AP168" s="173">
        <f ca="1">(VLOOKUP(AP$72,INDIRECT($C$5&amp;"生成成长"),2))/((VLOOKUP($B168,INDIRECT($B$5&amp;"生成成长"),4))/(VLOOKUP(AP$72,INDIRECT($C$5&amp;"生成成长"),5))*(VLOOKUP($B$5,标准坦克设计!$B$24:$U$30,MATCH("对"&amp;LEFT($C$5,2)&amp;"输出",标准坦克设计!$B$23:$U$23,0)))*(VLOOKUP($B168,INDIRECT($B$5&amp;"生成成长"),3))*(VLOOKUP($B$5,标准坦克设计!$B$14:$K$20,9)/30))</f>
        <v>10.118584991117512</v>
      </c>
      <c r="AQ168" s="173">
        <f ca="1">(VLOOKUP(AQ$72,INDIRECT($C$5&amp;"生成成长"),2))/((VLOOKUP($B168,INDIRECT($B$5&amp;"生成成长"),4))/(VLOOKUP(AQ$72,INDIRECT($C$5&amp;"生成成长"),5))*(VLOOKUP($B$5,标准坦克设计!$B$24:$U$30,MATCH("对"&amp;LEFT($C$5,2)&amp;"输出",标准坦克设计!$B$23:$U$23,0)))*(VLOOKUP($B168,INDIRECT($B$5&amp;"生成成长"),3))*(VLOOKUP($B$5,标准坦克设计!$B$14:$K$20,9)/30))</f>
        <v>10.837618931882133</v>
      </c>
      <c r="AR168" s="173">
        <f ca="1">(VLOOKUP(AR$72,INDIRECT($C$5&amp;"生成成长"),2))/((VLOOKUP($B168,INDIRECT($B$5&amp;"生成成长"),4))/(VLOOKUP(AR$72,INDIRECT($C$5&amp;"生成成长"),5))*(VLOOKUP($B$5,标准坦克设计!$B$24:$U$30,MATCH("对"&amp;LEFT($C$5,2)&amp;"输出",标准坦克设计!$B$23:$U$23,0)))*(VLOOKUP($B168,INDIRECT($B$5&amp;"生成成长"),3))*(VLOOKUP($B$5,标准坦克设计!$B$14:$K$20,9)/30))</f>
        <v>11.581331104623079</v>
      </c>
      <c r="AS168" s="173">
        <f ca="1">(VLOOKUP(AS$72,INDIRECT($C$5&amp;"生成成长"),2))/((VLOOKUP($B168,INDIRECT($B$5&amp;"生成成长"),4))/(VLOOKUP(AS$72,INDIRECT($C$5&amp;"生成成长"),5))*(VLOOKUP($B$5,标准坦克设计!$B$24:$U$30,MATCH("对"&amp;LEFT($C$5,2)&amp;"输出",标准坦克设计!$B$23:$U$23,0)))*(VLOOKUP($B168,INDIRECT($B$5&amp;"生成成长"),3))*(VLOOKUP($B$5,标准坦克设计!$B$14:$K$20,9)/30))</f>
        <v>12.349721509340339</v>
      </c>
      <c r="AT168" s="173">
        <f ca="1">(VLOOKUP(AT$72,INDIRECT($C$5&amp;"生成成长"),2))/((VLOOKUP($B168,INDIRECT($B$5&amp;"生成成长"),4))/(VLOOKUP(AT$72,INDIRECT($C$5&amp;"生成成长"),5))*(VLOOKUP($B$5,标准坦克设计!$B$24:$U$30,MATCH("对"&amp;LEFT($C$5,2)&amp;"输出",标准坦克设计!$B$23:$U$23,0)))*(VLOOKUP($B168,INDIRECT($B$5&amp;"生成成长"),3))*(VLOOKUP($B$5,标准坦克设计!$B$14:$K$20,9)/30))</f>
        <v>13.142790146033926</v>
      </c>
      <c r="AU168" s="173">
        <f ca="1">(VLOOKUP(AU$72,INDIRECT($C$5&amp;"生成成长"),2))/((VLOOKUP($B168,INDIRECT($B$5&amp;"生成成长"),4))/(VLOOKUP(AU$72,INDIRECT($C$5&amp;"生成成长"),5))*(VLOOKUP($B$5,标准坦克设计!$B$24:$U$30,MATCH("对"&amp;LEFT($C$5,2)&amp;"输出",标准坦克设计!$B$23:$U$23,0)))*(VLOOKUP($B168,INDIRECT($B$5&amp;"生成成长"),3))*(VLOOKUP($B$5,标准坦克设计!$B$14:$K$20,9)/30))</f>
        <v>13.960537014703831</v>
      </c>
      <c r="AV168" s="173">
        <f ca="1">(VLOOKUP(AV$72,INDIRECT($C$5&amp;"生成成长"),2))/((VLOOKUP($B168,INDIRECT($B$5&amp;"生成成长"),4))/(VLOOKUP(AV$72,INDIRECT($C$5&amp;"生成成长"),5))*(VLOOKUP($B$5,标准坦克设计!$B$24:$U$30,MATCH("对"&amp;LEFT($C$5,2)&amp;"输出",标准坦克设计!$B$23:$U$23,0)))*(VLOOKUP($B168,INDIRECT($B$5&amp;"生成成长"),3))*(VLOOKUP($B$5,标准坦克设计!$B$14:$K$20,9)/30))</f>
        <v>1.4199161241251725</v>
      </c>
      <c r="AW168" s="173">
        <f ca="1">(VLOOKUP(AW$72,INDIRECT($C$5&amp;"生成成长"),2))/((VLOOKUP($B168,INDIRECT($B$5&amp;"生成成长"),4))/(VLOOKUP(AW$72,INDIRECT($C$5&amp;"生成成长"),5))*(VLOOKUP($B$5,标准坦克设计!$B$24:$U$30,MATCH("对"&amp;LEFT($C$5,2)&amp;"输出",标准坦克设计!$B$23:$U$23,0)))*(VLOOKUP($B168,INDIRECT($B$5&amp;"生成成长"),3))*(VLOOKUP($B$5,标准坦克设计!$B$14:$K$20,9)/30))</f>
        <v>1.6189735985788023</v>
      </c>
      <c r="AX168" s="173">
        <f ca="1">(VLOOKUP(AX$72,INDIRECT($C$5&amp;"生成成长"),2))/((VLOOKUP($B168,INDIRECT($B$5&amp;"生成成长"),4))/(VLOOKUP(AX$72,INDIRECT($C$5&amp;"生成成长"),5))*(VLOOKUP($B$5,标准坦克设计!$B$24:$U$30,MATCH("对"&amp;LEFT($C$5,2)&amp;"输出",标准坦克设计!$B$23:$U$23,0)))*(VLOOKUP($B168,INDIRECT($B$5&amp;"生成成长"),3))*(VLOOKUP($B$5,标准坦克设计!$B$14:$K$20,9)/30))</f>
        <v>1.831084022176932</v>
      </c>
      <c r="AY168" s="173">
        <f ca="1">(VLOOKUP(AY$72,INDIRECT($C$5&amp;"生成成长"),2))/((VLOOKUP($B168,INDIRECT($B$5&amp;"生成成长"),4))/(VLOOKUP(AY$72,INDIRECT($C$5&amp;"生成成长"),5))*(VLOOKUP($B$5,标准坦克设计!$B$24:$U$30,MATCH("对"&amp;LEFT($C$5,2)&amp;"输出",标准坦克设计!$B$23:$U$23,0)))*(VLOOKUP($B168,INDIRECT($B$5&amp;"生成成长"),3))*(VLOOKUP($B$5,标准坦克设计!$B$14:$K$20,9)/30))</f>
        <v>2.0562473949195619</v>
      </c>
      <c r="AZ168" s="173">
        <f ca="1">(VLOOKUP(AZ$72,INDIRECT($C$5&amp;"生成成长"),2))/((VLOOKUP($B168,INDIRECT($B$5&amp;"生成成长"),4))/(VLOOKUP(AZ$72,INDIRECT($C$5&amp;"生成成长"),5))*(VLOOKUP($B$5,标准坦克设计!$B$24:$U$30,MATCH("对"&amp;LEFT($C$5,2)&amp;"输出",标准坦克设计!$B$23:$U$23,0)))*(VLOOKUP($B168,INDIRECT($B$5&amp;"生成成长"),3))*(VLOOKUP($B$5,标准坦克设计!$B$14:$K$20,9)/30))</f>
        <v>2.2944637168066926</v>
      </c>
      <c r="BA168" s="173">
        <f ca="1">(VLOOKUP(BA$72,INDIRECT($C$5&amp;"生成成长"),2))/((VLOOKUP($B168,INDIRECT($B$5&amp;"生成成长"),4))/(VLOOKUP(BA$72,INDIRECT($C$5&amp;"生成成长"),5))*(VLOOKUP($B$5,标准坦克设计!$B$24:$U$30,MATCH("对"&amp;LEFT($C$5,2)&amp;"输出",标准坦克设计!$B$23:$U$23,0)))*(VLOOKUP($B168,INDIRECT($B$5&amp;"生成成长"),3))*(VLOOKUP($B$5,标准坦克设计!$B$14:$K$20,9)/30))</f>
        <v>2.5457329878383228</v>
      </c>
      <c r="BB168" s="173">
        <f ca="1">(VLOOKUP(BB$72,INDIRECT($C$5&amp;"生成成长"),2))/((VLOOKUP($B168,INDIRECT($B$5&amp;"生成成长"),4))/(VLOOKUP(BB$72,INDIRECT($C$5&amp;"生成成长"),5))*(VLOOKUP($B$5,标准坦克设计!$B$24:$U$30,MATCH("对"&amp;LEFT($C$5,2)&amp;"输出",标准坦克设计!$B$23:$U$23,0)))*(VLOOKUP($B168,INDIRECT($B$5&amp;"生成成长"),3))*(VLOOKUP($B$5,标准坦克设计!$B$14:$K$20,9)/30))</f>
        <v>2.8100552080144543</v>
      </c>
      <c r="BC168" s="173">
        <f ca="1">(VLOOKUP(BC$72,INDIRECT($C$5&amp;"生成成长"),2))/((VLOOKUP($B168,INDIRECT($B$5&amp;"生成成长"),4))/(VLOOKUP(BC$72,INDIRECT($C$5&amp;"生成成长"),5))*(VLOOKUP($B$5,标准坦克设计!$B$24:$U$30,MATCH("对"&amp;LEFT($C$5,2)&amp;"输出",标准坦克设计!$B$23:$U$23,0)))*(VLOOKUP($B168,INDIRECT($B$5&amp;"生成成长"),3))*(VLOOKUP($B$5,标准坦克设计!$B$14:$K$20,9)/30))</f>
        <v>3.0874303773350849</v>
      </c>
      <c r="BD168" s="173">
        <f ca="1">(VLOOKUP(BD$72,INDIRECT($C$5&amp;"生成成长"),2))/((VLOOKUP($B168,INDIRECT($B$5&amp;"生成成长"),4))/(VLOOKUP(BD$72,INDIRECT($C$5&amp;"生成成长"),5))*(VLOOKUP($B$5,标准坦克设计!$B$24:$U$30,MATCH("对"&amp;LEFT($C$5,2)&amp;"输出",标准坦克设计!$B$23:$U$23,0)))*(VLOOKUP($B168,INDIRECT($B$5&amp;"生成成长"),3))*(VLOOKUP($B$5,标准坦克设计!$B$14:$K$20,9)/30))</f>
        <v>3.4150797960950809</v>
      </c>
      <c r="BE168" s="173">
        <f ca="1">(VLOOKUP(BE$72,INDIRECT($C$5&amp;"生成成长"),2))/((VLOOKUP($B168,INDIRECT($B$5&amp;"生成成长"),4))/(VLOOKUP(BE$72,INDIRECT($C$5&amp;"生成成长"),5))*(VLOOKUP($B$5,标准坦克设计!$B$24:$U$30,MATCH("对"&amp;LEFT($C$5,2)&amp;"输出",标准坦克设计!$B$23:$U$23,0)))*(VLOOKUP($B168,INDIRECT($B$5&amp;"生成成长"),3))*(VLOOKUP($B$5,标准坦克设计!$B$14:$K$20,9)/30))</f>
        <v>3.7592493536160854</v>
      </c>
      <c r="BF168" s="173">
        <f ca="1">(VLOOKUP(BF$72,INDIRECT($C$5&amp;"生成成长"),2))/((VLOOKUP($B168,INDIRECT($B$5&amp;"生成成长"),4))/(VLOOKUP(BF$72,INDIRECT($C$5&amp;"生成成长"),5))*(VLOOKUP($B$5,标准坦克设计!$B$24:$U$30,MATCH("对"&amp;LEFT($C$5,2)&amp;"输出",标准坦克设计!$B$23:$U$23,0)))*(VLOOKUP($B168,INDIRECT($B$5&amp;"生成成长"),3))*(VLOOKUP($B$5,标准坦克设计!$B$14:$K$20,9)/30))</f>
        <v>4.1199390498980968</v>
      </c>
      <c r="BG168" s="173">
        <f ca="1">(VLOOKUP(BG$72,INDIRECT($C$5&amp;"生成成长"),2))/((VLOOKUP($B168,INDIRECT($B$5&amp;"生成成长"),4))/(VLOOKUP(BG$72,INDIRECT($C$5&amp;"生成成长"),5))*(VLOOKUP($B$5,标准坦克设计!$B$24:$U$30,MATCH("对"&amp;LEFT($C$5,2)&amp;"输出",标准坦克设计!$B$23:$U$23,0)))*(VLOOKUP($B168,INDIRECT($B$5&amp;"生成成长"),3))*(VLOOKUP($B$5,标准坦克设计!$B$14:$K$20,9)/30))</f>
        <v>4.497148884941117</v>
      </c>
      <c r="BH168" s="173">
        <f ca="1">(VLOOKUP(BH$72,INDIRECT($C$5&amp;"生成成长"),2))/((VLOOKUP($B168,INDIRECT($B$5&amp;"生成成长"),4))/(VLOOKUP(BH$72,INDIRECT($C$5&amp;"生成成长"),5))*(VLOOKUP($B$5,标准坦克设计!$B$24:$U$30,MATCH("对"&amp;LEFT($C$5,2)&amp;"输出",标准坦克设计!$B$23:$U$23,0)))*(VLOOKUP($B168,INDIRECT($B$5&amp;"生成成长"),3))*(VLOOKUP($B$5,标准坦克设计!$B$14:$K$20,9)/30))</f>
        <v>2.173723937220065</v>
      </c>
      <c r="BI168" s="173">
        <f ca="1">(VLOOKUP(BI$72,INDIRECT($C$5&amp;"生成成长"),2))/((VLOOKUP($B168,INDIRECT($B$5&amp;"生成成长"),4))/(VLOOKUP(BI$72,INDIRECT($C$5&amp;"生成成长"),5))*(VLOOKUP($B$5,标准坦克设计!$B$24:$U$30,MATCH("对"&amp;LEFT($C$5,2)&amp;"输出",标准坦克设计!$B$23:$U$23,0)))*(VLOOKUP($B168,INDIRECT($B$5&amp;"生成成长"),3))*(VLOOKUP($B$5,标准坦克设计!$B$14:$K$20,9)/30))</f>
        <v>2.4499773687235904</v>
      </c>
      <c r="BJ168" s="173">
        <f ca="1">(VLOOKUP(BJ$72,INDIRECT($C$5&amp;"生成成长"),2))/((VLOOKUP($B168,INDIRECT($B$5&amp;"生成成长"),4))/(VLOOKUP(BJ$72,INDIRECT($C$5&amp;"生成成长"),5))*(VLOOKUP($B$5,标准坦克设计!$B$24:$U$30,MATCH("对"&amp;LEFT($C$5,2)&amp;"输出",标准坦克设计!$B$23:$U$23,0)))*(VLOOKUP($B168,INDIRECT($B$5&amp;"生成成长"),3))*(VLOOKUP($B$5,标准坦克设计!$B$14:$K$20,9)/30))</f>
        <v>2.7427509389881242</v>
      </c>
      <c r="BK168" s="173">
        <f ca="1">(VLOOKUP(BK$72,INDIRECT($C$5&amp;"生成成长"),2))/((VLOOKUP($B168,INDIRECT($B$5&amp;"生成成长"),4))/(VLOOKUP(BK$72,INDIRECT($C$5&amp;"生成成长"),5))*(VLOOKUP($B$5,标准坦克设计!$B$24:$U$30,MATCH("对"&amp;LEFT($C$5,2)&amp;"输出",标准坦克设计!$B$23:$U$23,0)))*(VLOOKUP($B168,INDIRECT($B$5&amp;"生成成长"),3))*(VLOOKUP($B$5,标准坦克设计!$B$14:$K$20,9)/30))</f>
        <v>3.0520446480136671</v>
      </c>
      <c r="BL168" s="173">
        <f ca="1">(VLOOKUP(BL$72,INDIRECT($C$5&amp;"生成成长"),2))/((VLOOKUP($B168,INDIRECT($B$5&amp;"生成成长"),4))/(VLOOKUP(BL$72,INDIRECT($C$5&amp;"生成成长"),5))*(VLOOKUP($B$5,标准坦克设计!$B$24:$U$30,MATCH("对"&amp;LEFT($C$5,2)&amp;"输出",标准坦克设计!$B$23:$U$23,0)))*(VLOOKUP($B168,INDIRECT($B$5&amp;"生成成长"),3))*(VLOOKUP($B$5,标准坦克设计!$B$14:$K$20,9)/30))</f>
        <v>3.3778584958002167</v>
      </c>
      <c r="BM168" s="173">
        <f ca="1">(VLOOKUP(BM$72,INDIRECT($C$5&amp;"生成成长"),2))/((VLOOKUP($B168,INDIRECT($B$5&amp;"生成成长"),4))/(VLOOKUP(BM$72,INDIRECT($C$5&amp;"生成成长"),5))*(VLOOKUP($B$5,标准坦克设计!$B$24:$U$30,MATCH("对"&amp;LEFT($C$5,2)&amp;"输出",标准坦克设计!$B$23:$U$23,0)))*(VLOOKUP($B168,INDIRECT($B$5&amp;"生成成长"),3))*(VLOOKUP($B$5,标准坦克设计!$B$14:$K$20,9)/30))</f>
        <v>3.720192482347775</v>
      </c>
      <c r="BN168" s="173">
        <f ca="1">(VLOOKUP(BN$72,INDIRECT($C$5&amp;"生成成长"),2))/((VLOOKUP($B168,INDIRECT($B$5&amp;"生成成长"),4))/(VLOOKUP(BN$72,INDIRECT($C$5&amp;"生成成长"),5))*(VLOOKUP($B$5,标准坦克设计!$B$24:$U$30,MATCH("对"&amp;LEFT($C$5,2)&amp;"输出",标准坦克设计!$B$23:$U$23,0)))*(VLOOKUP($B168,INDIRECT($B$5&amp;"生成成长"),3))*(VLOOKUP($B$5,标准坦克设计!$B$14:$K$20,9)/30))</f>
        <v>4.0790466076563421</v>
      </c>
      <c r="BO168" s="173">
        <f ca="1">(VLOOKUP(BO$72,INDIRECT($C$5&amp;"生成成长"),2))/((VLOOKUP($B168,INDIRECT($B$5&amp;"生成成长"),4))/(VLOOKUP(BO$72,INDIRECT($C$5&amp;"生成成长"),5))*(VLOOKUP($B$5,标准坦克设计!$B$24:$U$30,MATCH("对"&amp;LEFT($C$5,2)&amp;"输出",标准坦克设计!$B$23:$U$23,0)))*(VLOOKUP($B168,INDIRECT($B$5&amp;"生成成长"),3))*(VLOOKUP($B$5,标准坦克设计!$B$14:$K$20,9)/30))</f>
        <v>4.4544208717259179</v>
      </c>
      <c r="BP168" s="173">
        <f ca="1">(VLOOKUP(BP$72,INDIRECT($C$5&amp;"生成成长"),2))/((VLOOKUP($B168,INDIRECT($B$5&amp;"生成成长"),4))/(VLOOKUP(BP$72,INDIRECT($C$5&amp;"生成成长"),5))*(VLOOKUP($B$5,标准坦克设计!$B$24:$U$30,MATCH("对"&amp;LEFT($C$5,2)&amp;"输出",标准坦克设计!$B$23:$U$23,0)))*(VLOOKUP($B168,INDIRECT($B$5&amp;"生成成长"),3))*(VLOOKUP($B$5,标准坦克设计!$B$14:$K$20,9)/30))</f>
        <v>4.8463152745564999</v>
      </c>
      <c r="BQ168" s="173">
        <f ca="1">(VLOOKUP(BQ$72,INDIRECT($C$5&amp;"生成成长"),2))/((VLOOKUP($B168,INDIRECT($B$5&amp;"生成成长"),4))/(VLOOKUP(BQ$72,INDIRECT($C$5&amp;"生成成长"),5))*(VLOOKUP($B$5,标准坦克设计!$B$24:$U$30,MATCH("对"&amp;LEFT($C$5,2)&amp;"输出",标准坦克设计!$B$23:$U$23,0)))*(VLOOKUP($B168,INDIRECT($B$5&amp;"生成成长"),3))*(VLOOKUP($B$5,标准坦克设计!$B$14:$K$20,9)/30))</f>
        <v>5.2547298161480915</v>
      </c>
      <c r="BR168" s="173">
        <f ca="1">(VLOOKUP(BR$72,INDIRECT($C$5&amp;"生成成长"),2))/((VLOOKUP($B168,INDIRECT($B$5&amp;"生成成长"),4))/(VLOOKUP(BR$72,INDIRECT($C$5&amp;"生成成长"),5))*(VLOOKUP($B$5,标准坦克设计!$B$24:$U$30,MATCH("对"&amp;LEFT($C$5,2)&amp;"输出",标准坦克设计!$B$23:$U$23,0)))*(VLOOKUP($B168,INDIRECT($B$5&amp;"生成成长"),3))*(VLOOKUP($B$5,标准坦克设计!$B$14:$K$20,9)/30))</f>
        <v>5.7278992226362275</v>
      </c>
      <c r="BS168" s="173">
        <f ca="1">(VLOOKUP(BS$72,INDIRECT($C$5&amp;"生成成长"),2))/((VLOOKUP($B168,INDIRECT($B$5&amp;"生成成长"),4))/(VLOOKUP(BS$72,INDIRECT($C$5&amp;"生成成长"),5))*(VLOOKUP($B$5,标准坦克设计!$B$24:$U$30,MATCH("对"&amp;LEFT($C$5,2)&amp;"输出",标准坦克设计!$B$23:$U$23,0)))*(VLOOKUP($B168,INDIRECT($B$5&amp;"生成成长"),3))*(VLOOKUP($B$5,标准坦克设计!$B$14:$K$20,9)/30))</f>
        <v>6.2214638621626444</v>
      </c>
      <c r="BT168" s="173">
        <f ca="1">(VLOOKUP(BT$72,INDIRECT($C$5&amp;"生成成长"),2))/((VLOOKUP($B168,INDIRECT($B$5&amp;"生成成长"),4))/(VLOOKUP(BT$72,INDIRECT($C$5&amp;"生成成长"),5))*(VLOOKUP($B$5,标准坦克设计!$B$24:$U$30,MATCH("对"&amp;LEFT($C$5,2)&amp;"输出",标准坦克设计!$B$23:$U$23,0)))*(VLOOKUP($B168,INDIRECT($B$5&amp;"生成成长"),3))*(VLOOKUP($B$5,标准坦克设计!$B$14:$K$20,9)/30))</f>
        <v>6.7354237347273429</v>
      </c>
      <c r="BU168" s="173">
        <f ca="1">(VLOOKUP(BU$72,INDIRECT($C$5&amp;"生成成长"),2))/((VLOOKUP($B168,INDIRECT($B$5&amp;"生成成长"),4))/(VLOOKUP(BU$72,INDIRECT($C$5&amp;"生成成长"),5))*(VLOOKUP($B$5,标准坦克设计!$B$24:$U$30,MATCH("对"&amp;LEFT($C$5,2)&amp;"输出",标准坦克设计!$B$23:$U$23,0)))*(VLOOKUP($B168,INDIRECT($B$5&amp;"生成成长"),3))*(VLOOKUP($B$5,标准坦克设计!$B$14:$K$20,9)/30))</f>
        <v>7.2697788403303241</v>
      </c>
      <c r="BV168" s="173">
        <f ca="1">(VLOOKUP(BV$72,INDIRECT($C$5&amp;"生成成长"),2))/((VLOOKUP($B168,INDIRECT($B$5&amp;"生成成长"),4))/(VLOOKUP(BV$72,INDIRECT($C$5&amp;"生成成长"),5))*(VLOOKUP($B$5,标准坦克设计!$B$24:$U$30,MATCH("对"&amp;LEFT($C$5,2)&amp;"输出",标准坦克设计!$B$23:$U$23,0)))*(VLOOKUP($B168,INDIRECT($B$5&amp;"生成成长"),3))*(VLOOKUP($B$5,标准坦克设计!$B$14:$K$20,9)/30))</f>
        <v>7.8245291789715878</v>
      </c>
      <c r="BW168" s="173">
        <f ca="1">(VLOOKUP(BW$72,INDIRECT($C$5&amp;"生成成长"),2))/((VLOOKUP($B168,INDIRECT($B$5&amp;"生成成长"),4))/(VLOOKUP(BW$72,INDIRECT($C$5&amp;"生成成长"),5))*(VLOOKUP($B$5,标准坦克设计!$B$24:$U$30,MATCH("对"&amp;LEFT($C$5,2)&amp;"输出",标准坦克设计!$B$23:$U$23,0)))*(VLOOKUP($B168,INDIRECT($B$5&amp;"生成成长"),3))*(VLOOKUP($B$5,标准坦克设计!$B$14:$K$20,9)/30))</f>
        <v>3.5660045205783661</v>
      </c>
      <c r="BX168" s="173">
        <f ca="1">(VLOOKUP(BX$72,INDIRECT($C$5&amp;"生成成长"),2))/((VLOOKUP($B168,INDIRECT($B$5&amp;"生成成长"),4))/(VLOOKUP(BX$72,INDIRECT($C$5&amp;"生成成长"),5))*(VLOOKUP($B$5,标准坦克设计!$B$24:$U$30,MATCH("对"&amp;LEFT($C$5,2)&amp;"输出",标准坦克设计!$B$23:$U$23,0)))*(VLOOKUP($B168,INDIRECT($B$5&amp;"生成成长"),3))*(VLOOKUP($B$5,标准坦克设计!$B$14:$K$20,9)/30))</f>
        <v>3.9575929949133739</v>
      </c>
      <c r="BY168" s="173">
        <f ca="1">(VLOOKUP(BY$72,INDIRECT($C$5&amp;"生成成长"),2))/((VLOOKUP($B168,INDIRECT($B$5&amp;"生成成长"),4))/(VLOOKUP(BY$72,INDIRECT($C$5&amp;"生成成长"),5))*(VLOOKUP($B$5,标准坦克设计!$B$24:$U$30,MATCH("对"&amp;LEFT($C$5,2)&amp;"输出",标准坦克设计!$B$23:$U$23,0)))*(VLOOKUP($B168,INDIRECT($B$5&amp;"生成成长"),3))*(VLOOKUP($B$5,标准坦克设计!$B$14:$K$20,9)/30))</f>
        <v>4.3695767022866656</v>
      </c>
      <c r="BZ168" s="173">
        <f ca="1">(VLOOKUP(BZ$72,INDIRECT($C$5&amp;"生成成长"),2))/((VLOOKUP($B168,INDIRECT($B$5&amp;"生成成长"),4))/(VLOOKUP(BZ$72,INDIRECT($C$5&amp;"生成成长"),5))*(VLOOKUP($B$5,标准坦克设计!$B$24:$U$30,MATCH("对"&amp;LEFT($C$5,2)&amp;"输出",标准坦克设计!$B$23:$U$23,0)))*(VLOOKUP($B168,INDIRECT($B$5&amp;"生成成长"),3))*(VLOOKUP($B$5,标准坦克设计!$B$14:$K$20,9)/30))</f>
        <v>4.8019556426982364</v>
      </c>
      <c r="CA168" s="173">
        <f ca="1">(VLOOKUP(CA$72,INDIRECT($C$5&amp;"生成成长"),2))/((VLOOKUP($B168,INDIRECT($B$5&amp;"生成成长"),4))/(VLOOKUP(CA$72,INDIRECT($C$5&amp;"生成成长"),5))*(VLOOKUP($B$5,标准坦克设计!$B$24:$U$30,MATCH("对"&amp;LEFT($C$5,2)&amp;"输出",标准坦克设计!$B$23:$U$23,0)))*(VLOOKUP($B168,INDIRECT($B$5&amp;"生成成长"),3))*(VLOOKUP($B$5,标准坦克设计!$B$14:$K$20,9)/30))</f>
        <v>5.2547298161480915</v>
      </c>
      <c r="CB168" s="173">
        <f ca="1">(VLOOKUP(CB$72,INDIRECT($C$5&amp;"生成成长"),2))/((VLOOKUP($B168,INDIRECT($B$5&amp;"生成成长"),4))/(VLOOKUP(CB$72,INDIRECT($C$5&amp;"生成成长"),5))*(VLOOKUP($B$5,标准坦克设计!$B$24:$U$30,MATCH("对"&amp;LEFT($C$5,2)&amp;"输出",标准坦克设计!$B$23:$U$23,0)))*(VLOOKUP($B168,INDIRECT($B$5&amp;"生成成长"),3))*(VLOOKUP($B$5,标准坦克设计!$B$14:$K$20,9)/30))</f>
        <v>5.7278992226362275</v>
      </c>
      <c r="CC168" s="173">
        <f ca="1">(VLOOKUP(CC$72,INDIRECT($C$5&amp;"生成成长"),2))/((VLOOKUP($B168,INDIRECT($B$5&amp;"生成成长"),4))/(VLOOKUP(CC$72,INDIRECT($C$5&amp;"生成成长"),5))*(VLOOKUP($B$5,标准坦克设计!$B$24:$U$30,MATCH("对"&amp;LEFT($C$5,2)&amp;"输出",标准坦克设计!$B$23:$U$23,0)))*(VLOOKUP($B168,INDIRECT($B$5&amp;"生成成长"),3))*(VLOOKUP($B$5,标准坦克设计!$B$14:$K$20,9)/30))</f>
        <v>6.2214638621626444</v>
      </c>
      <c r="CD168" s="173">
        <f ca="1">(VLOOKUP(CD$72,INDIRECT($C$5&amp;"生成成长"),2))/((VLOOKUP($B168,INDIRECT($B$5&amp;"生成成长"),4))/(VLOOKUP(CD$72,INDIRECT($C$5&amp;"生成成长"),5))*(VLOOKUP($B$5,标准坦克设计!$B$24:$U$30,MATCH("对"&amp;LEFT($C$5,2)&amp;"输出",标准坦克设计!$B$23:$U$23,0)))*(VLOOKUP($B168,INDIRECT($B$5&amp;"生成成长"),3))*(VLOOKUP($B$5,标准坦克设计!$B$14:$K$20,9)/30))</f>
        <v>6.7354237347273429</v>
      </c>
      <c r="CE168" s="173">
        <f ca="1">(VLOOKUP(CE$72,INDIRECT($C$5&amp;"生成成长"),2))/((VLOOKUP($B168,INDIRECT($B$5&amp;"生成成长"),4))/(VLOOKUP(CE$72,INDIRECT($C$5&amp;"生成成长"),5))*(VLOOKUP($B$5,标准坦克设计!$B$24:$U$30,MATCH("对"&amp;LEFT($C$5,2)&amp;"输出",标准坦克设计!$B$23:$U$23,0)))*(VLOOKUP($B168,INDIRECT($B$5&amp;"生成成长"),3))*(VLOOKUP($B$5,标准坦克设计!$B$14:$K$20,9)/30))</f>
        <v>7.2697788403303241</v>
      </c>
      <c r="CF168" s="173">
        <f ca="1">(VLOOKUP(CF$72,INDIRECT($C$5&amp;"生成成长"),2))/((VLOOKUP($B168,INDIRECT($B$5&amp;"生成成长"),4))/(VLOOKUP(CF$72,INDIRECT($C$5&amp;"生成成长"),5))*(VLOOKUP($B$5,标准坦克设计!$B$24:$U$30,MATCH("对"&amp;LEFT($C$5,2)&amp;"输出",标准坦克设计!$B$23:$U$23,0)))*(VLOOKUP($B168,INDIRECT($B$5&amp;"生成成长"),3))*(VLOOKUP($B$5,标准坦克设计!$B$14:$K$20,9)/30))</f>
        <v>7.8245291789715878</v>
      </c>
      <c r="CG168" s="173">
        <f ca="1">(VLOOKUP(CG$72,INDIRECT($C$5&amp;"生成成长"),2))/((VLOOKUP($B168,INDIRECT($B$5&amp;"生成成长"),4))/(VLOOKUP(CG$72,INDIRECT($C$5&amp;"生成成长"),5))*(VLOOKUP($B$5,标准坦克设计!$B$24:$U$30,MATCH("对"&amp;LEFT($C$5,2)&amp;"输出",标准坦克设计!$B$23:$U$23,0)))*(VLOOKUP($B168,INDIRECT($B$5&amp;"生成成长"),3))*(VLOOKUP($B$5,标准坦克设计!$B$14:$K$20,9)/30))</f>
        <v>8.3996747506511316</v>
      </c>
      <c r="CH168" s="173">
        <f ca="1">(VLOOKUP(CH$72,INDIRECT($C$5&amp;"生成成长"),2))/((VLOOKUP($B168,INDIRECT($B$5&amp;"生成成长"),4))/(VLOOKUP(CH$72,INDIRECT($C$5&amp;"生成成长"),5))*(VLOOKUP($B$5,标准坦克设计!$B$24:$U$30,MATCH("对"&amp;LEFT($C$5,2)&amp;"输出",标准坦克设计!$B$23:$U$23,0)))*(VLOOKUP($B168,INDIRECT($B$5&amp;"生成成长"),3))*(VLOOKUP($B$5,标准坦克设计!$B$14:$K$20,9)/30))</f>
        <v>8.9952155553689561</v>
      </c>
      <c r="CI168" s="173">
        <f ca="1">(VLOOKUP(CI$72,INDIRECT($C$5&amp;"生成成长"),2))/((VLOOKUP($B168,INDIRECT($B$5&amp;"生成成长"),4))/(VLOOKUP(CI$72,INDIRECT($C$5&amp;"生成成长"),5))*(VLOOKUP($B$5,标准坦克设计!$B$24:$U$30,MATCH("对"&amp;LEFT($C$5,2)&amp;"输出",标准坦克设计!$B$23:$U$23,0)))*(VLOOKUP($B168,INDIRECT($B$5&amp;"生成成长"),3))*(VLOOKUP($B$5,标准坦克设计!$B$14:$K$20,9)/30))</f>
        <v>9.6738669347177808</v>
      </c>
      <c r="CJ168" s="173">
        <f ca="1">(VLOOKUP(CJ$72,INDIRECT($C$5&amp;"生成成长"),2))/((VLOOKUP($B168,INDIRECT($B$5&amp;"生成成长"),4))/(VLOOKUP(CJ$72,INDIRECT($C$5&amp;"生成成长"),5))*(VLOOKUP($B$5,标准坦克设计!$B$24:$U$30,MATCH("对"&amp;LEFT($C$5,2)&amp;"输出",标准坦克设计!$B$23:$U$23,0)))*(VLOOKUP($B168,INDIRECT($B$5&amp;"生成成长"),3))*(VLOOKUP($B$5,标准坦克设计!$B$14:$K$20,9)/30))</f>
        <v>10.377196546042926</v>
      </c>
      <c r="CK168" s="173">
        <f ca="1">(VLOOKUP(CK$72,INDIRECT($C$5&amp;"生成成长"),2))/((VLOOKUP($B168,INDIRECT($B$5&amp;"生成成长"),4))/(VLOOKUP(CK$72,INDIRECT($C$5&amp;"生成成长"),5))*(VLOOKUP($B$5,标准坦克设计!$B$24:$U$30,MATCH("对"&amp;LEFT($C$5,2)&amp;"输出",标准坦克设计!$B$23:$U$23,0)))*(VLOOKUP($B168,INDIRECT($B$5&amp;"生成成长"),3))*(VLOOKUP($B$5,标准坦克设计!$B$14:$K$20,9)/30))</f>
        <v>11.10520438934439</v>
      </c>
      <c r="CL168" s="173">
        <f ca="1">(VLOOKUP(CL$72,INDIRECT($C$5&amp;"生成成长"),2))/((VLOOKUP($B168,INDIRECT($B$5&amp;"生成成长"),4))/(VLOOKUP(CL$72,INDIRECT($C$5&amp;"生成成长"),5))*(VLOOKUP($B$5,标准坦克设计!$B$24:$U$30,MATCH("对"&amp;LEFT($C$5,2)&amp;"输出",标准坦克设计!$B$23:$U$23,0)))*(VLOOKUP($B168,INDIRECT($B$5&amp;"生成成长"),3))*(VLOOKUP($B$5,标准坦克设计!$B$14:$K$20,9)/30))</f>
        <v>11.857890464622178</v>
      </c>
      <c r="CM168" s="173">
        <f ca="1">(VLOOKUP(CM$72,INDIRECT($C$5&amp;"生成成长"),2))/((VLOOKUP($B168,INDIRECT($B$5&amp;"生成成长"),4))/(VLOOKUP(CM$72,INDIRECT($C$5&amp;"生成成长"),5))*(VLOOKUP($B$5,标准坦克设计!$B$24:$U$30,MATCH("对"&amp;LEFT($C$5,2)&amp;"输出",标准坦克设计!$B$23:$U$23,0)))*(VLOOKUP($B168,INDIRECT($B$5&amp;"生成成长"),3))*(VLOOKUP($B$5,标准坦克设计!$B$14:$K$20,9)/30))</f>
        <v>12.635254771876287</v>
      </c>
      <c r="CN168" s="173">
        <f ca="1">(VLOOKUP(CN$72,INDIRECT($C$5&amp;"生成成长"),2))/((VLOOKUP($B168,INDIRECT($B$5&amp;"生成成长"),4))/(VLOOKUP(CN$72,INDIRECT($C$5&amp;"生成成长"),5))*(VLOOKUP($B$5,标准坦克设计!$B$24:$U$30,MATCH("对"&amp;LEFT($C$5,2)&amp;"输出",标准坦克设计!$B$23:$U$23,0)))*(VLOOKUP($B168,INDIRECT($B$5&amp;"生成成长"),3))*(VLOOKUP($B$5,标准坦克设计!$B$14:$K$20,9)/30))</f>
        <v>13.437297311106716</v>
      </c>
      <c r="CO168" s="173">
        <f ca="1">(VLOOKUP(CO$72,INDIRECT($C$5&amp;"生成成长"),2))/((VLOOKUP($B168,INDIRECT($B$5&amp;"生成成长"),4))/(VLOOKUP(CO$72,INDIRECT($C$5&amp;"生成成长"),5))*(VLOOKUP($B$5,标准坦克设计!$B$24:$U$30,MATCH("对"&amp;LEFT($C$5,2)&amp;"输出",标准坦克设计!$B$23:$U$23,0)))*(VLOOKUP($B168,INDIRECT($B$5&amp;"生成成长"),3))*(VLOOKUP($B$5,标准坦克设计!$B$14:$K$20,9)/30))</f>
        <v>6.0215905783874835</v>
      </c>
      <c r="CP168" s="173">
        <f ca="1">(VLOOKUP(CP$72,INDIRECT($C$5&amp;"生成成长"),2))/((VLOOKUP($B168,INDIRECT($B$5&amp;"生成成长"),4))/(VLOOKUP(CP$72,INDIRECT($C$5&amp;"生成成长"),5))*(VLOOKUP($B$5,标准坦克设计!$B$24:$U$30,MATCH("对"&amp;LEFT($C$5,2)&amp;"输出",标准坦克设计!$B$23:$U$23,0)))*(VLOOKUP($B168,INDIRECT($B$5&amp;"生成成长"),3))*(VLOOKUP($B$5,标准坦克设计!$B$14:$K$20,9)/30))</f>
        <v>6.5790942734889155</v>
      </c>
      <c r="CQ168" s="173">
        <f ca="1">(VLOOKUP(CQ$72,INDIRECT($C$5&amp;"生成成长"),2))/((VLOOKUP($B168,INDIRECT($B$5&amp;"生成成长"),4))/(VLOOKUP(CQ$72,INDIRECT($C$5&amp;"生成成长"),5))*(VLOOKUP($B$5,标准坦克设计!$B$24:$U$30,MATCH("对"&amp;LEFT($C$5,2)&amp;"输出",标准坦克设计!$B$23:$U$23,0)))*(VLOOKUP($B168,INDIRECT($B$5&amp;"生成成长"),3))*(VLOOKUP($B$5,标准坦克设计!$B$14:$K$20,9)/30))</f>
        <v>7.1612762005666664</v>
      </c>
      <c r="CR168" s="173">
        <f ca="1">(VLOOKUP(CR$72,INDIRECT($C$5&amp;"生成成长"),2))/((VLOOKUP($B168,INDIRECT($B$5&amp;"生成成长"),4))/(VLOOKUP(CR$72,INDIRECT($C$5&amp;"生成成长"),5))*(VLOOKUP($B$5,标准坦克设计!$B$24:$U$30,MATCH("对"&amp;LEFT($C$5,2)&amp;"输出",标准坦克设计!$B$23:$U$23,0)))*(VLOOKUP($B168,INDIRECT($B$5&amp;"生成成长"),3))*(VLOOKUP($B$5,标准坦克设计!$B$14:$K$20,9)/30))</f>
        <v>7.7681363596207396</v>
      </c>
      <c r="CS168" s="173">
        <f ca="1">(VLOOKUP(CS$72,INDIRECT($C$5&amp;"生成成长"),2))/((VLOOKUP($B168,INDIRECT($B$5&amp;"生成成长"),4))/(VLOOKUP(CS$72,INDIRECT($C$5&amp;"生成成长"),5))*(VLOOKUP($B$5,标准坦克设计!$B$24:$U$30,MATCH("对"&amp;LEFT($C$5,2)&amp;"输出",标准坦克设计!$B$23:$U$23,0)))*(VLOOKUP($B168,INDIRECT($B$5&amp;"生成成长"),3))*(VLOOKUP($B$5,标准坦克设计!$B$14:$K$20,9)/30))</f>
        <v>8.3996747506511316</v>
      </c>
      <c r="CT168" s="173">
        <f ca="1">(VLOOKUP(CT$72,INDIRECT($C$5&amp;"生成成长"),2))/((VLOOKUP($B168,INDIRECT($B$5&amp;"生成成长"),4))/(VLOOKUP(CT$72,INDIRECT($C$5&amp;"生成成长"),5))*(VLOOKUP($B$5,标准坦克设计!$B$24:$U$30,MATCH("对"&amp;LEFT($C$5,2)&amp;"输出",标准坦克设计!$B$23:$U$23,0)))*(VLOOKUP($B168,INDIRECT($B$5&amp;"生成成长"),3))*(VLOOKUP($B$5,标准坦克设计!$B$14:$K$20,9)/30))</f>
        <v>9.055891373657845</v>
      </c>
      <c r="CU168" s="173">
        <f ca="1">(VLOOKUP(CU$72,INDIRECT($C$5&amp;"生成成长"),2))/((VLOOKUP($B168,INDIRECT($B$5&amp;"生成成长"),4))/(VLOOKUP(CU$72,INDIRECT($C$5&amp;"生成成长"),5))*(VLOOKUP($B$5,标准坦克设计!$B$24:$U$30,MATCH("对"&amp;LEFT($C$5,2)&amp;"输出",标准坦克设计!$B$23:$U$23,0)))*(VLOOKUP($B168,INDIRECT($B$5&amp;"生成成长"),3))*(VLOOKUP($B$5,标准坦克设计!$B$14:$K$20,9)/30))</f>
        <v>9.7367862286408791</v>
      </c>
      <c r="CV168" s="173">
        <f ca="1">(VLOOKUP(CV$72,INDIRECT($C$5&amp;"生成成长"),2))/((VLOOKUP($B168,INDIRECT($B$5&amp;"生成成长"),4))/(VLOOKUP(CV$72,INDIRECT($C$5&amp;"生成成长"),5))*(VLOOKUP($B$5,标准坦克设计!$B$24:$U$30,MATCH("对"&amp;LEFT($C$5,2)&amp;"输出",标准坦克设计!$B$23:$U$23,0)))*(VLOOKUP($B168,INDIRECT($B$5&amp;"生成成长"),3))*(VLOOKUP($B$5,标准坦克设计!$B$14:$K$20,9)/30))</f>
        <v>10.442359315600234</v>
      </c>
      <c r="CW168" s="173">
        <f ca="1">(VLOOKUP(CW$72,INDIRECT($C$5&amp;"生成成长"),2))/((VLOOKUP($B168,INDIRECT($B$5&amp;"生成成长"),4))/(VLOOKUP(CW$72,INDIRECT($C$5&amp;"生成成长"),5))*(VLOOKUP($B$5,标准坦克设计!$B$24:$U$30,MATCH("对"&amp;LEFT($C$5,2)&amp;"输出",标准坦克设计!$B$23:$U$23,0)))*(VLOOKUP($B168,INDIRECT($B$5&amp;"生成成长"),3))*(VLOOKUP($B$5,标准坦克设计!$B$14:$K$20,9)/30))</f>
        <v>11.172610634535911</v>
      </c>
      <c r="CX168" s="173">
        <f ca="1">(VLOOKUP(CX$72,INDIRECT($C$5&amp;"生成成长"),2))/((VLOOKUP($B168,INDIRECT($B$5&amp;"生成成长"),4))/(VLOOKUP(CX$72,INDIRECT($C$5&amp;"生成成长"),5))*(VLOOKUP($B$5,标准坦克设计!$B$24:$U$30,MATCH("对"&amp;LEFT($C$5,2)&amp;"输出",标准坦克设计!$B$23:$U$23,0)))*(VLOOKUP($B168,INDIRECT($B$5&amp;"生成成长"),3))*(VLOOKUP($B$5,标准坦克设计!$B$14:$K$20,9)/30))</f>
        <v>11.92754018544791</v>
      </c>
      <c r="CY168" s="173">
        <f ca="1">(VLOOKUP(CY$72,INDIRECT($C$5&amp;"生成成长"),2))/((VLOOKUP($B168,INDIRECT($B$5&amp;"生成成长"),4))/(VLOOKUP(CY$72,INDIRECT($C$5&amp;"生成成长"),5))*(VLOOKUP($B$5,标准坦克设计!$B$24:$U$30,MATCH("对"&amp;LEFT($C$5,2)&amp;"输出",标准坦克设计!$B$23:$U$23,0)))*(VLOOKUP($B168,INDIRECT($B$5&amp;"生成成长"),3))*(VLOOKUP($B$5,标准坦克设计!$B$14:$K$20,9)/30))</f>
        <v>12.70714796833623</v>
      </c>
      <c r="CZ168" s="173">
        <f ca="1">(VLOOKUP(CZ$72,INDIRECT($C$5&amp;"生成成长"),2))/((VLOOKUP($B168,INDIRECT($B$5&amp;"生成成长"),4))/(VLOOKUP(CZ$72,INDIRECT($C$5&amp;"生成成长"),5))*(VLOOKUP($B$5,标准坦克设计!$B$24:$U$30,MATCH("对"&amp;LEFT($C$5,2)&amp;"输出",标准坦克设计!$B$23:$U$23,0)))*(VLOOKUP($B168,INDIRECT($B$5&amp;"生成成长"),3))*(VLOOKUP($B$5,标准坦克设计!$B$14:$K$20,9)/30))</f>
        <v>13.511433983200867</v>
      </c>
      <c r="DA168" s="173">
        <f ca="1">(VLOOKUP(DA$72,INDIRECT($C$5&amp;"生成成长"),2))/((VLOOKUP($B168,INDIRECT($B$5&amp;"生成成长"),4))/(VLOOKUP(DA$72,INDIRECT($C$5&amp;"生成成长"),5))*(VLOOKUP($B$5,标准坦克设计!$B$24:$U$30,MATCH("对"&amp;LEFT($C$5,2)&amp;"输出",标准坦克设计!$B$23:$U$23,0)))*(VLOOKUP($B168,INDIRECT($B$5&amp;"生成成长"),3))*(VLOOKUP($B$5,标准坦克设计!$B$14:$K$20,9)/30))</f>
        <v>14.340398230041828</v>
      </c>
      <c r="DB168" s="173">
        <f ca="1">(VLOOKUP(DB$72,INDIRECT($C$5&amp;"生成成长"),2))/((VLOOKUP($B168,INDIRECT($B$5&amp;"生成成长"),4))/(VLOOKUP(DB$72,INDIRECT($C$5&amp;"生成成长"),5))*(VLOOKUP($B$5,标准坦克设计!$B$24:$U$30,MATCH("对"&amp;LEFT($C$5,2)&amp;"输出",标准坦克设计!$B$23:$U$23,0)))*(VLOOKUP($B168,INDIRECT($B$5&amp;"生成成长"),3))*(VLOOKUP($B$5,标准坦克设计!$B$14:$K$20,9)/30))</f>
        <v>15.194040708859109</v>
      </c>
      <c r="DC168" s="173">
        <f ca="1">(VLOOKUP(DC$72,INDIRECT($C$5&amp;"生成成长"),2))/((VLOOKUP($B168,INDIRECT($B$5&amp;"生成成长"),4))/(VLOOKUP(DC$72,INDIRECT($C$5&amp;"生成成长"),5))*(VLOOKUP($B$5,标准坦克设计!$B$24:$U$30,MATCH("对"&amp;LEFT($C$5,2)&amp;"输出",标准坦克设计!$B$23:$U$23,0)))*(VLOOKUP($B168,INDIRECT($B$5&amp;"生成成长"),3))*(VLOOKUP($B$5,标准坦克设计!$B$14:$K$20,9)/30))</f>
        <v>16.15343247097988</v>
      </c>
      <c r="DD168" s="173">
        <f ca="1">(VLOOKUP(DD$72,INDIRECT($C$5&amp;"生成成长"),2))/((VLOOKUP($B168,INDIRECT($B$5&amp;"生成成长"),4))/(VLOOKUP(DD$72,INDIRECT($C$5&amp;"生成成长"),5))*(VLOOKUP($B$5,标准坦克设计!$B$24:$U$30,MATCH("对"&amp;LEFT($C$5,2)&amp;"输出",标准坦克设计!$B$23:$U$23,0)))*(VLOOKUP($B168,INDIRECT($B$5&amp;"生成成长"),3))*(VLOOKUP($B$5,标准坦克设计!$B$14:$K$20,9)/30))</f>
        <v>17.142193368675777</v>
      </c>
      <c r="DE168" s="173">
        <f ca="1">(VLOOKUP(DE$72,INDIRECT($C$5&amp;"生成成长"),2))/((VLOOKUP($B168,INDIRECT($B$5&amp;"生成成长"),4))/(VLOOKUP(DE$72,INDIRECT($C$5&amp;"生成成长"),5))*(VLOOKUP($B$5,标准坦克设计!$B$24:$U$30,MATCH("对"&amp;LEFT($C$5,2)&amp;"输出",标准坦克设计!$B$23:$U$23,0)))*(VLOOKUP($B168,INDIRECT($B$5&amp;"生成成长"),3))*(VLOOKUP($B$5,标准坦克设计!$B$14:$K$20,9)/30))</f>
        <v>18.160323401946801</v>
      </c>
      <c r="DF168" s="173">
        <f ca="1">(VLOOKUP(DF$72,INDIRECT($C$5&amp;"生成成长"),2))/((VLOOKUP($B168,INDIRECT($B$5&amp;"生成成长"),4))/(VLOOKUP(DF$72,INDIRECT($C$5&amp;"生成成长"),5))*(VLOOKUP($B$5,标准坦克设计!$B$24:$U$30,MATCH("对"&amp;LEFT($C$5,2)&amp;"输出",标准坦克设计!$B$23:$U$23,0)))*(VLOOKUP($B168,INDIRECT($B$5&amp;"生成成长"),3))*(VLOOKUP($B$5,标准坦克设计!$B$14:$K$20,9)/30))</f>
        <v>19.207822570792946</v>
      </c>
      <c r="DG168" s="173">
        <f ca="1">(VLOOKUP(DG$72,INDIRECT($C$5&amp;"生成成长"),2))/((VLOOKUP($B168,INDIRECT($B$5&amp;"生成成长"),4))/(VLOOKUP(DG$72,INDIRECT($C$5&amp;"生成成长"),5))*(VLOOKUP($B$5,标准坦克设计!$B$24:$U$30,MATCH("对"&amp;LEFT($C$5,2)&amp;"输出",标准坦克设计!$B$23:$U$23,0)))*(VLOOKUP($B168,INDIRECT($B$5&amp;"生成成长"),3))*(VLOOKUP($B$5,标准坦克设计!$B$14:$K$20,9)/30))</f>
        <v>20.284690875214224</v>
      </c>
      <c r="DH168" s="173">
        <f ca="1">(VLOOKUP(DH$72,INDIRECT($C$5&amp;"生成成长"),2))/((VLOOKUP($B168,INDIRECT($B$5&amp;"生成成长"),4))/(VLOOKUP(DH$72,INDIRECT($C$5&amp;"生成成长"),5))*(VLOOKUP($B$5,标准坦克设计!$B$24:$U$30,MATCH("对"&amp;LEFT($C$5,2)&amp;"输出",标准坦克设计!$B$23:$U$23,0)))*(VLOOKUP($B168,INDIRECT($B$5&amp;"生成成长"),3))*(VLOOKUP($B$5,标准坦克设计!$B$14:$K$20,9)/30))</f>
        <v>21.390928315210626</v>
      </c>
      <c r="DI168" s="173">
        <f ca="1">(VLOOKUP(DI$72,INDIRECT($C$5&amp;"生成成长"),2))/((VLOOKUP($B168,INDIRECT($B$5&amp;"生成成长"),4))/(VLOOKUP(DI$72,INDIRECT($C$5&amp;"生成成长"),5))*(VLOOKUP($B$5,标准坦克设计!$B$24:$U$30,MATCH("对"&amp;LEFT($C$5,2)&amp;"输出",标准坦克设计!$B$23:$U$23,0)))*(VLOOKUP($B168,INDIRECT($B$5&amp;"生成成长"),3))*(VLOOKUP($B$5,标准坦克设计!$B$14:$K$20,9)/30))</f>
        <v>22.526534890782145</v>
      </c>
      <c r="DJ168" s="173">
        <f ca="1">(VLOOKUP(DJ$72,INDIRECT($C$5&amp;"生成成长"),2))/((VLOOKUP($B168,INDIRECT($B$5&amp;"生成成长"),4))/(VLOOKUP(DJ$72,INDIRECT($C$5&amp;"生成成长"),5))*(VLOOKUP($B$5,标准坦克设计!$B$24:$U$30,MATCH("对"&amp;LEFT($C$5,2)&amp;"输出",标准坦克设计!$B$23:$U$23,0)))*(VLOOKUP($B168,INDIRECT($B$5&amp;"生成成长"),3))*(VLOOKUP($B$5,标准坦克设计!$B$14:$K$20,9)/30))</f>
        <v>2.2639728434144613</v>
      </c>
      <c r="DK168" s="173">
        <f ca="1">(VLOOKUP(DK$72,INDIRECT($C$5&amp;"生成成长"),2))/((VLOOKUP($B168,INDIRECT($B$5&amp;"生成成长"),4))/(VLOOKUP(DK$72,INDIRECT($C$5&amp;"生成成长"),5))*(VLOOKUP($B$5,标准坦克设计!$B$24:$U$30,MATCH("对"&amp;LEFT($C$5,2)&amp;"输出",标准坦克设计!$B$23:$U$23,0)))*(VLOOKUP($B168,INDIRECT($B$5&amp;"生成成长"),3))*(VLOOKUP($B$5,标准坦克设计!$B$14:$K$20,9)/30))</f>
        <v>2.5457329878383228</v>
      </c>
      <c r="DL168" s="173">
        <f ca="1">(VLOOKUP(DL$72,INDIRECT($C$5&amp;"生成成长"),2))/((VLOOKUP($B168,INDIRECT($B$5&amp;"生成成长"),4))/(VLOOKUP(DL$72,INDIRECT($C$5&amp;"生成成长"),5))*(VLOOKUP($B$5,标准坦克设计!$B$24:$U$30,MATCH("对"&amp;LEFT($C$5,2)&amp;"输出",标准坦克设计!$B$23:$U$23,0)))*(VLOOKUP($B168,INDIRECT($B$5&amp;"生成成长"),3))*(VLOOKUP($B$5,标准坦克设计!$B$14:$K$20,9)/30))</f>
        <v>2.8440132710231931</v>
      </c>
      <c r="DM168" s="173">
        <f ca="1">(VLOOKUP(DM$72,INDIRECT($C$5&amp;"生成成长"),2))/((VLOOKUP($B168,INDIRECT($B$5&amp;"生成成长"),4))/(VLOOKUP(DM$72,INDIRECT($C$5&amp;"生成成长"),5))*(VLOOKUP($B$5,标准坦克设计!$B$24:$U$30,MATCH("对"&amp;LEFT($C$5,2)&amp;"输出",标准坦克设计!$B$23:$U$23,0)))*(VLOOKUP($B168,INDIRECT($B$5&amp;"生成成长"),3))*(VLOOKUP($B$5,标准坦克设计!$B$14:$K$20,9)/30))</f>
        <v>3.1588136929690718</v>
      </c>
      <c r="DN168" s="173">
        <f ca="1">(VLOOKUP(DN$72,INDIRECT($C$5&amp;"生成成长"),2))/((VLOOKUP($B168,INDIRECT($B$5&amp;"生成成长"),4))/(VLOOKUP(DN$72,INDIRECT($C$5&amp;"生成成长"),5))*(VLOOKUP($B$5,标准坦克设计!$B$24:$U$30,MATCH("对"&amp;LEFT($C$5,2)&amp;"输出",标准坦克设计!$B$23:$U$23,0)))*(VLOOKUP($B168,INDIRECT($B$5&amp;"生成成长"),3))*(VLOOKUP($B$5,标准坦克设计!$B$14:$K$20,9)/30))</f>
        <v>3.4901342536759579</v>
      </c>
      <c r="DO168" s="173">
        <f ca="1">(VLOOKUP(DO$72,INDIRECT($C$5&amp;"生成成长"),2))/((VLOOKUP($B168,INDIRECT($B$5&amp;"生成成长"),4))/(VLOOKUP(DO$72,INDIRECT($C$5&amp;"生成成长"),5))*(VLOOKUP($B$5,标准坦克设计!$B$24:$U$30,MATCH("对"&amp;LEFT($C$5,2)&amp;"输出",标准坦克设计!$B$23:$U$23,0)))*(VLOOKUP($B168,INDIRECT($B$5&amp;"生成成长"),3))*(VLOOKUP($B$5,标准坦克设计!$B$14:$K$20,9)/30))</f>
        <v>3.8379749531438518</v>
      </c>
      <c r="DP168" s="173">
        <f ca="1">(VLOOKUP(DP$72,INDIRECT($C$5&amp;"生成成长"),2))/((VLOOKUP($B168,INDIRECT($B$5&amp;"生成成长"),4))/(VLOOKUP(DP$72,INDIRECT($C$5&amp;"生成成长"),5))*(VLOOKUP($B$5,标准坦克设计!$B$24:$U$30,MATCH("对"&amp;LEFT($C$5,2)&amp;"输出",标准坦克设计!$B$23:$U$23,0)))*(VLOOKUP($B168,INDIRECT($B$5&amp;"生成成长"),3))*(VLOOKUP($B$5,标准坦克设计!$B$14:$K$20,9)/30))</f>
        <v>4.2023357913727546</v>
      </c>
      <c r="DQ168" s="173">
        <f ca="1">(VLOOKUP(DQ$72,INDIRECT($C$5&amp;"生成成长"),2))/((VLOOKUP($B168,INDIRECT($B$5&amp;"生成成长"),4))/(VLOOKUP(DQ$72,INDIRECT($C$5&amp;"生成成长"),5))*(VLOOKUP($B$5,标准坦克设计!$B$24:$U$30,MATCH("对"&amp;LEFT($C$5,2)&amp;"输出",标准坦克设计!$B$23:$U$23,0)))*(VLOOKUP($B168,INDIRECT($B$5&amp;"生成成长"),3))*(VLOOKUP($B$5,标准坦克设计!$B$14:$K$20,9)/30))</f>
        <v>4.5832167683626661</v>
      </c>
      <c r="DR168" s="173">
        <f ca="1">(VLOOKUP(DR$72,INDIRECT($C$5&amp;"生成成长"),2))/((VLOOKUP($B168,INDIRECT($B$5&amp;"生成成长"),4))/(VLOOKUP(DR$72,INDIRECT($C$5&amp;"生成成长"),5))*(VLOOKUP($B$5,标准坦克设计!$B$24:$U$30,MATCH("对"&amp;LEFT($C$5,2)&amp;"输出",标准坦克设计!$B$23:$U$23,0)))*(VLOOKUP($B168,INDIRECT($B$5&amp;"生成成长"),3))*(VLOOKUP($B$5,标准坦克设计!$B$14:$K$20,9)/30))</f>
        <v>4.9806178841135855</v>
      </c>
      <c r="DS168" s="173">
        <f ca="1">(VLOOKUP(DS$72,INDIRECT($C$5&amp;"生成成长"),2))/((VLOOKUP($B168,INDIRECT($B$5&amp;"生成成长"),4))/(VLOOKUP(DS$72,INDIRECT($C$5&amp;"生成成长"),5))*(VLOOKUP($B$5,标准坦克设计!$B$24:$U$30,MATCH("对"&amp;LEFT($C$5,2)&amp;"输出",标准坦克设计!$B$23:$U$23,0)))*(VLOOKUP($B168,INDIRECT($B$5&amp;"生成成长"),3))*(VLOOKUP($B$5,标准坦克设计!$B$14:$K$20,9)/30))</f>
        <v>5.3945391386255128</v>
      </c>
      <c r="DT168" s="173">
        <f ca="1">(VLOOKUP(DT$72,INDIRECT($C$5&amp;"生成成长"),2))/((VLOOKUP($B168,INDIRECT($B$5&amp;"生成成长"),4))/(VLOOKUP(DT$72,INDIRECT($C$5&amp;"生成成长"),5))*(VLOOKUP($B$5,标准坦克设计!$B$24:$U$30,MATCH("对"&amp;LEFT($C$5,2)&amp;"输出",标准坦克设计!$B$23:$U$23,0)))*(VLOOKUP($B168,INDIRECT($B$5&amp;"生成成长"),3))*(VLOOKUP($B$5,标准坦克设计!$B$14:$K$20,9)/30))</f>
        <v>5.9228776504821994</v>
      </c>
      <c r="DU168" s="173">
        <f ca="1">(VLOOKUP(DU$72,INDIRECT($C$5&amp;"生成成长"),2))/((VLOOKUP($B168,INDIRECT($B$5&amp;"生成成长"),4))/(VLOOKUP(DU$72,INDIRECT($C$5&amp;"生成成长"),5))*(VLOOKUP($B$5,标准坦克设计!$B$24:$U$30,MATCH("对"&amp;LEFT($C$5,2)&amp;"输出",标准坦克设计!$B$23:$U$23,0)))*(VLOOKUP($B168,INDIRECT($B$5&amp;"生成成长"),3))*(VLOOKUP($B$5,标准坦克设计!$B$14:$K$20,9)/30))</f>
        <v>6.4758943943152092</v>
      </c>
      <c r="DV168" s="173">
        <f ca="1">(VLOOKUP(DV$72,INDIRECT($C$5&amp;"生成成长"),2))/((VLOOKUP($B168,INDIRECT($B$5&amp;"生成成长"),4))/(VLOOKUP(DV$72,INDIRECT($C$5&amp;"生成成长"),5))*(VLOOKUP($B$5,标准坦克设计!$B$24:$U$30,MATCH("对"&amp;LEFT($C$5,2)&amp;"输出",标准坦克设计!$B$23:$U$23,0)))*(VLOOKUP($B168,INDIRECT($B$5&amp;"生成成长"),3))*(VLOOKUP($B$5,标准坦克设计!$B$14:$K$20,9)/30))</f>
        <v>7.0535893701245387</v>
      </c>
      <c r="DW168" s="173">
        <f ca="1">(VLOOKUP(DW$72,INDIRECT($C$5&amp;"生成成长"),2))/((VLOOKUP($B168,INDIRECT($B$5&amp;"生成成长"),4))/(VLOOKUP(DW$72,INDIRECT($C$5&amp;"生成成长"),5))*(VLOOKUP($B$5,标准坦克设计!$B$24:$U$30,MATCH("对"&amp;LEFT($C$5,2)&amp;"输出",标准坦克设计!$B$23:$U$23,0)))*(VLOOKUP($B168,INDIRECT($B$5&amp;"生成成长"),3))*(VLOOKUP($B$5,标准坦克设计!$B$14:$K$20,9)/30))</f>
        <v>7.6559625779101896</v>
      </c>
      <c r="DX168" s="173">
        <f ca="1">(VLOOKUP(DX$72,INDIRECT($C$5&amp;"生成成长"),2))/((VLOOKUP($B168,INDIRECT($B$5&amp;"生成成长"),4))/(VLOOKUP(DX$72,INDIRECT($C$5&amp;"生成成长"),5))*(VLOOKUP($B$5,标准坦克设计!$B$24:$U$30,MATCH("对"&amp;LEFT($C$5,2)&amp;"输出",标准坦克设计!$B$23:$U$23,0)))*(VLOOKUP($B168,INDIRECT($B$5&amp;"生成成长"),3))*(VLOOKUP($B$5,标准坦克设计!$B$14:$K$20,9)/30))</f>
        <v>8.2830140176721603</v>
      </c>
      <c r="DY168" s="173">
        <f ca="1">(VLOOKUP(DY$72,INDIRECT($C$5&amp;"生成成长"),2))/((VLOOKUP($B168,INDIRECT($B$5&amp;"生成成长"),4))/(VLOOKUP(DY$72,INDIRECT($C$5&amp;"生成成长"),5))*(VLOOKUP($B$5,标准坦克设计!$B$24:$U$30,MATCH("对"&amp;LEFT($C$5,2)&amp;"输出",标准坦克设计!$B$23:$U$23,0)))*(VLOOKUP($B168,INDIRECT($B$5&amp;"生成成长"),3))*(VLOOKUP($B$5,标准坦克设计!$B$14:$K$20,9)/30))</f>
        <v>3.720192482347775</v>
      </c>
      <c r="DZ168" s="173">
        <f ca="1">(VLOOKUP(DZ$72,INDIRECT($C$5&amp;"生成成长"),2))/((VLOOKUP($B168,INDIRECT($B$5&amp;"生成成长"),4))/(VLOOKUP(DZ$72,INDIRECT($C$5&amp;"生成成长"),5))*(VLOOKUP($B$5,标准坦克设计!$B$24:$U$30,MATCH("对"&amp;LEFT($C$5,2)&amp;"输出",标准坦克设计!$B$23:$U$23,0)))*(VLOOKUP($B168,INDIRECT($B$5&amp;"生成成长"),3))*(VLOOKUP($B$5,标准坦克设计!$B$14:$K$20,9)/30))</f>
        <v>4.1199390498980968</v>
      </c>
      <c r="EA168" s="173">
        <f ca="1">(VLOOKUP(EA$72,INDIRECT($C$5&amp;"生成成长"),2))/((VLOOKUP($B168,INDIRECT($B$5&amp;"生成成长"),4))/(VLOOKUP(EA$72,INDIRECT($C$5&amp;"生成成长"),5))*(VLOOKUP($B$5,标准坦克设计!$B$24:$U$30,MATCH("对"&amp;LEFT($C$5,2)&amp;"输出",标准坦克设计!$B$23:$U$23,0)))*(VLOOKUP($B168,INDIRECT($B$5&amp;"生成成长"),3))*(VLOOKUP($B$5,标准坦克设计!$B$14:$K$20,9)/30))</f>
        <v>4.5400808504867003</v>
      </c>
      <c r="EB168" s="173">
        <f ca="1">(VLOOKUP(EB$72,INDIRECT($C$5&amp;"生成成长"),2))/((VLOOKUP($B168,INDIRECT($B$5&amp;"生成成长"),4))/(VLOOKUP(EB$72,INDIRECT($C$5&amp;"生成成长"),5))*(VLOOKUP($B$5,标准坦克设计!$B$24:$U$30,MATCH("对"&amp;LEFT($C$5,2)&amp;"输出",标准坦克设计!$B$23:$U$23,0)))*(VLOOKUP($B168,INDIRECT($B$5&amp;"生成成长"),3))*(VLOOKUP($B$5,标准坦克设计!$B$14:$K$20,9)/30))</f>
        <v>4.9806178841135855</v>
      </c>
      <c r="EC168" s="173">
        <f ca="1">(VLOOKUP(EC$72,INDIRECT($C$5&amp;"生成成长"),2))/((VLOOKUP($B168,INDIRECT($B$5&amp;"生成成长"),4))/(VLOOKUP(EC$72,INDIRECT($C$5&amp;"生成成长"),5))*(VLOOKUP($B$5,标准坦克设计!$B$24:$U$30,MATCH("对"&amp;LEFT($C$5,2)&amp;"输出",标准坦克设计!$B$23:$U$23,0)))*(VLOOKUP($B168,INDIRECT($B$5&amp;"生成成长"),3))*(VLOOKUP($B$5,标准坦克设计!$B$14:$K$20,9)/30))</f>
        <v>5.4415501507787507</v>
      </c>
      <c r="ED168" s="173">
        <f ca="1">(VLOOKUP(ED$72,INDIRECT($C$5&amp;"生成成长"),2))/((VLOOKUP($B168,INDIRECT($B$5&amp;"生成成长"),4))/(VLOOKUP(ED$72,INDIRECT($C$5&amp;"生成成长"),5))*(VLOOKUP($B$5,标准坦克设计!$B$24:$U$30,MATCH("对"&amp;LEFT($C$5,2)&amp;"输出",标准坦克设计!$B$23:$U$23,0)))*(VLOOKUP($B168,INDIRECT($B$5&amp;"生成成长"),3))*(VLOOKUP($B$5,标准坦克设计!$B$14:$K$20,9)/30))</f>
        <v>5.9228776504821994</v>
      </c>
      <c r="EE168" s="173">
        <f ca="1">(VLOOKUP(EE$72,INDIRECT($C$5&amp;"生成成长"),2))/((VLOOKUP($B168,INDIRECT($B$5&amp;"生成成长"),4))/(VLOOKUP(EE$72,INDIRECT($C$5&amp;"生成成长"),5))*(VLOOKUP($B$5,标准坦克设计!$B$24:$U$30,MATCH("对"&amp;LEFT($C$5,2)&amp;"输出",标准坦克设计!$B$23:$U$23,0)))*(VLOOKUP($B168,INDIRECT($B$5&amp;"生成成长"),3))*(VLOOKUP($B$5,标准坦克设计!$B$14:$K$20,9)/30))</f>
        <v>6.4246003832239298</v>
      </c>
      <c r="EF168" s="173">
        <f ca="1">(VLOOKUP(EF$72,INDIRECT($C$5&amp;"生成成长"),2))/((VLOOKUP($B168,INDIRECT($B$5&amp;"生成成长"),4))/(VLOOKUP(EF$72,INDIRECT($C$5&amp;"生成成长"),5))*(VLOOKUP($B$5,标准坦克设计!$B$24:$U$30,MATCH("对"&amp;LEFT($C$5,2)&amp;"输出",标准坦克设计!$B$23:$U$23,0)))*(VLOOKUP($B168,INDIRECT($B$5&amp;"生成成长"),3))*(VLOOKUP($B$5,标准坦克设计!$B$14:$K$20,9)/30))</f>
        <v>6.946718349003941</v>
      </c>
      <c r="EG168" s="173">
        <f ca="1">(VLOOKUP(EG$72,INDIRECT($C$5&amp;"生成成长"),2))/((VLOOKUP($B168,INDIRECT($B$5&amp;"生成成长"),4))/(VLOOKUP(EG$72,INDIRECT($C$5&amp;"生成成长"),5))*(VLOOKUP($B$5,标准坦克设计!$B$24:$U$30,MATCH("对"&amp;LEFT($C$5,2)&amp;"输出",标准坦克设计!$B$23:$U$23,0)))*(VLOOKUP($B168,INDIRECT($B$5&amp;"生成成长"),3))*(VLOOKUP($B$5,标准坦克设计!$B$14:$K$20,9)/30))</f>
        <v>7.4892315478222358</v>
      </c>
      <c r="EH168" s="173">
        <f ca="1">(VLOOKUP(EH$72,INDIRECT($C$5&amp;"生成成长"),2))/((VLOOKUP($B168,INDIRECT($B$5&amp;"生成成长"),4))/(VLOOKUP(EH$72,INDIRECT($C$5&amp;"生成成长"),5))*(VLOOKUP($B$5,标准坦克设计!$B$24:$U$30,MATCH("对"&amp;LEFT($C$5,2)&amp;"输出",标准坦克设计!$B$23:$U$23,0)))*(VLOOKUP($B168,INDIRECT($B$5&amp;"生成成长"),3))*(VLOOKUP($B$5,标准坦克设计!$B$14:$K$20,9)/30))</f>
        <v>8.0521399796788113</v>
      </c>
      <c r="EI168" s="173">
        <f ca="1">(VLOOKUP(EI$72,INDIRECT($C$5&amp;"生成成长"),2))/((VLOOKUP($B168,INDIRECT($B$5&amp;"生成成长"),4))/(VLOOKUP(EI$72,INDIRECT($C$5&amp;"生成成长"),5))*(VLOOKUP($B$5,标准坦克设计!$B$24:$U$30,MATCH("对"&amp;LEFT($C$5,2)&amp;"输出",标准坦克设计!$B$23:$U$23,0)))*(VLOOKUP($B168,INDIRECT($B$5&amp;"生成成长"),3))*(VLOOKUP($B$5,标准坦克设计!$B$14:$K$20,9)/30))</f>
        <v>8.6354436445736678</v>
      </c>
      <c r="EJ168" s="173">
        <f ca="1">(VLOOKUP(EJ$72,INDIRECT($C$5&amp;"生成成长"),2))/((VLOOKUP($B168,INDIRECT($B$5&amp;"生成成长"),4))/(VLOOKUP(EJ$72,INDIRECT($C$5&amp;"生成成长"),5))*(VLOOKUP($B$5,标准坦克设计!$B$24:$U$30,MATCH("对"&amp;LEFT($C$5,2)&amp;"输出",标准坦克设计!$B$23:$U$23,0)))*(VLOOKUP($B168,INDIRECT($B$5&amp;"生成成长"),3))*(VLOOKUP($B$5,标准坦克设计!$B$14:$K$20,9)/30))</f>
        <v>9.2391425425068068</v>
      </c>
      <c r="EK168" s="173">
        <f ca="1">(VLOOKUP(EK$72,INDIRECT($C$5&amp;"生成成长"),2))/((VLOOKUP($B168,INDIRECT($B$5&amp;"生成成长"),4))/(VLOOKUP(EK$72,INDIRECT($C$5&amp;"生成成长"),5))*(VLOOKUP($B$5,标准坦克设计!$B$24:$U$30,MATCH("对"&amp;LEFT($C$5,2)&amp;"输出",标准坦克设计!$B$23:$U$23,0)))*(VLOOKUP($B168,INDIRECT($B$5&amp;"生成成长"),3))*(VLOOKUP($B$5,标准坦克设计!$B$14:$K$20,9)/30))</f>
        <v>9.9905029276371042</v>
      </c>
      <c r="EL168" s="173">
        <f ca="1">(VLOOKUP(EL$72,INDIRECT($C$5&amp;"生成成长"),2))/((VLOOKUP($B168,INDIRECT($B$5&amp;"生成成长"),4))/(VLOOKUP(EL$72,INDIRECT($C$5&amp;"生成成长"),5))*(VLOOKUP($B$5,标准坦克设计!$B$24:$U$30,MATCH("对"&amp;LEFT($C$5,2)&amp;"输出",标准坦克设计!$B$23:$U$23,0)))*(VLOOKUP($B168,INDIRECT($B$5&amp;"生成成长"),3))*(VLOOKUP($B$5,标准坦克设计!$B$14:$K$20,9)/30))</f>
        <v>10.771232448342527</v>
      </c>
      <c r="EM168" s="173">
        <f ca="1">(VLOOKUP(EM$72,INDIRECT($C$5&amp;"生成成长"),2))/((VLOOKUP($B168,INDIRECT($B$5&amp;"生成成长"),4))/(VLOOKUP(EM$72,INDIRECT($C$5&amp;"生成成长"),5))*(VLOOKUP($B$5,标准坦克设计!$B$24:$U$30,MATCH("对"&amp;LEFT($C$5,2)&amp;"输出",标准坦克设计!$B$23:$U$23,0)))*(VLOOKUP($B168,INDIRECT($B$5&amp;"生成成长"),3))*(VLOOKUP($B$5,标准坦克设计!$B$14:$K$20,9)/30))</f>
        <v>11.581331104623079</v>
      </c>
      <c r="EN168" s="173">
        <f ca="1">(VLOOKUP(EN$72,INDIRECT($C$5&amp;"生成成长"),2))/((VLOOKUP($B168,INDIRECT($B$5&amp;"生成成长"),4))/(VLOOKUP(EN$72,INDIRECT($C$5&amp;"生成成长"),5))*(VLOOKUP($B$5,标准坦克设计!$B$24:$U$30,MATCH("对"&amp;LEFT($C$5,2)&amp;"输出",标准坦克设计!$B$23:$U$23,0)))*(VLOOKUP($B168,INDIRECT($B$5&amp;"生成成长"),3))*(VLOOKUP($B$5,标准坦克设计!$B$14:$K$20,9)/30))</f>
        <v>12.420798896478754</v>
      </c>
      <c r="EO168" s="173">
        <f ca="1">(VLOOKUP(EO$72,INDIRECT($C$5&amp;"生成成长"),2))/((VLOOKUP($B168,INDIRECT($B$5&amp;"生成成长"),4))/(VLOOKUP(EO$72,INDIRECT($C$5&amp;"生成成长"),5))*(VLOOKUP($B$5,标准坦克设计!$B$24:$U$30,MATCH("对"&amp;LEFT($C$5,2)&amp;"输出",标准坦克设计!$B$23:$U$23,0)))*(VLOOKUP($B168,INDIRECT($B$5&amp;"生成成长"),3))*(VLOOKUP($B$5,标准坦克设计!$B$14:$K$20,9)/30))</f>
        <v>13.289635823909554</v>
      </c>
      <c r="EP168" s="173">
        <f ca="1">(VLOOKUP(EP$72,INDIRECT($C$5&amp;"生成成长"),2))/((VLOOKUP($B168,INDIRECT($B$5&amp;"生成成长"),4))/(VLOOKUP(EP$72,INDIRECT($C$5&amp;"生成成长"),5))*(VLOOKUP($B$5,标准坦克设计!$B$24:$U$30,MATCH("对"&amp;LEFT($C$5,2)&amp;"输出",标准坦克设计!$B$23:$U$23,0)))*(VLOOKUP($B168,INDIRECT($B$5&amp;"生成成长"),3))*(VLOOKUP($B$5,标准坦克设计!$B$14:$K$20,9)/30))</f>
        <v>14.187841886915482</v>
      </c>
      <c r="EQ168" s="173">
        <f ca="1">(VLOOKUP(EQ$72,INDIRECT($C$5&amp;"生成成长"),2))/((VLOOKUP($B168,INDIRECT($B$5&amp;"生成成长"),4))/(VLOOKUP(EQ$72,INDIRECT($C$5&amp;"生成成长"),5))*(VLOOKUP($B$5,标准坦克设计!$B$24:$U$30,MATCH("对"&amp;LEFT($C$5,2)&amp;"输出",标准坦克设计!$B$23:$U$23,0)))*(VLOOKUP($B168,INDIRECT($B$5&amp;"生成成长"),3))*(VLOOKUP($B$5,标准坦克设计!$B$14:$K$20,9)/30))</f>
        <v>6.2719420639323911</v>
      </c>
      <c r="ER168" s="173">
        <f ca="1">(VLOOKUP(ER$72,INDIRECT($C$5&amp;"生成成长"),2))/((VLOOKUP($B168,INDIRECT($B$5&amp;"生成成长"),4))/(VLOOKUP(ER$72,INDIRECT($C$5&amp;"生成成长"),5))*(VLOOKUP($B$5,标准坦克设计!$B$24:$U$30,MATCH("对"&amp;LEFT($C$5,2)&amp;"输出",标准坦克设计!$B$23:$U$23,0)))*(VLOOKUP($B168,INDIRECT($B$5&amp;"生成成长"),3))*(VLOOKUP($B$5,标准坦克设计!$B$14:$K$20,9)/30))</f>
        <v>6.8406631372048787</v>
      </c>
      <c r="ES168" s="173">
        <f ca="1">(VLOOKUP(ES$72,INDIRECT($C$5&amp;"生成成长"),2))/((VLOOKUP($B168,INDIRECT($B$5&amp;"生成成长"),4))/(VLOOKUP(ES$72,INDIRECT($C$5&amp;"生成成长"),5))*(VLOOKUP($B$5,标准坦克设计!$B$24:$U$30,MATCH("对"&amp;LEFT($C$5,2)&amp;"输出",标准坦克设计!$B$23:$U$23,0)))*(VLOOKUP($B168,INDIRECT($B$5&amp;"生成成长"),3))*(VLOOKUP($B$5,标准坦克设计!$B$14:$K$20,9)/30))</f>
        <v>7.4340624424536843</v>
      </c>
      <c r="ET168" s="173">
        <f ca="1">(VLOOKUP(ET$72,INDIRECT($C$5&amp;"生成成长"),2))/((VLOOKUP($B168,INDIRECT($B$5&amp;"生成成长"),4))/(VLOOKUP(ET$72,INDIRECT($C$5&amp;"生成成长"),5))*(VLOOKUP($B$5,标准坦克设计!$B$24:$U$30,MATCH("对"&amp;LEFT($C$5,2)&amp;"输出",标准坦克设计!$B$23:$U$23,0)))*(VLOOKUP($B168,INDIRECT($B$5&amp;"生成成长"),3))*(VLOOKUP($B$5,标准坦克设计!$B$14:$K$20,9)/30))</f>
        <v>8.0521399796788113</v>
      </c>
      <c r="EU168" s="173">
        <f ca="1">(VLOOKUP(EU$72,INDIRECT($C$5&amp;"生成成长"),2))/((VLOOKUP($B168,INDIRECT($B$5&amp;"生成成长"),4))/(VLOOKUP(EU$72,INDIRECT($C$5&amp;"生成成长"),5))*(VLOOKUP($B$5,标准坦克设计!$B$24:$U$30,MATCH("对"&amp;LEFT($C$5,2)&amp;"输出",标准坦克设计!$B$23:$U$23,0)))*(VLOOKUP($B168,INDIRECT($B$5&amp;"生成成长"),3))*(VLOOKUP($B$5,标准坦克设计!$B$14:$K$20,9)/30))</f>
        <v>8.6948957488802598</v>
      </c>
      <c r="EV168" s="173">
        <f ca="1">(VLOOKUP(EV$72,INDIRECT($C$5&amp;"生成成长"),2))/((VLOOKUP($B168,INDIRECT($B$5&amp;"生成成长"),4))/(VLOOKUP(EV$72,INDIRECT($C$5&amp;"生成成长"),5))*(VLOOKUP($B$5,标准坦克设计!$B$24:$U$30,MATCH("对"&amp;LEFT($C$5,2)&amp;"输出",标准坦克设计!$B$23:$U$23,0)))*(VLOOKUP($B168,INDIRECT($B$5&amp;"生成成长"),3))*(VLOOKUP($B$5,标准坦克设计!$B$14:$K$20,9)/30))</f>
        <v>9.3623297500580289</v>
      </c>
      <c r="EW168" s="173">
        <f ca="1">(VLOOKUP(EW$72,INDIRECT($C$5&amp;"生成成长"),2))/((VLOOKUP($B168,INDIRECT($B$5&amp;"生成成长"),4))/(VLOOKUP(EW$72,INDIRECT($C$5&amp;"生成成长"),5))*(VLOOKUP($B$5,标准坦克设计!$B$24:$U$30,MATCH("对"&amp;LEFT($C$5,2)&amp;"输出",标准坦克设计!$B$23:$U$23,0)))*(VLOOKUP($B168,INDIRECT($B$5&amp;"生成成长"),3))*(VLOOKUP($B$5,标准坦克设计!$B$14:$K$20,9)/30))</f>
        <v>10.054441983212117</v>
      </c>
      <c r="EX168" s="173">
        <f ca="1">(VLOOKUP(EX$72,INDIRECT($C$5&amp;"生成成长"),2))/((VLOOKUP($B168,INDIRECT($B$5&amp;"生成成长"),4))/(VLOOKUP(EX$72,INDIRECT($C$5&amp;"生成成长"),5))*(VLOOKUP($B$5,标准坦克设计!$B$24:$U$30,MATCH("对"&amp;LEFT($C$5,2)&amp;"输出",标准坦克设计!$B$23:$U$23,0)))*(VLOOKUP($B168,INDIRECT($B$5&amp;"生成成长"),3))*(VLOOKUP($B$5,标准坦克设计!$B$14:$K$20,9)/30))</f>
        <v>10.771232448342527</v>
      </c>
      <c r="EY168" s="173">
        <f ca="1">(VLOOKUP(EY$72,INDIRECT($C$5&amp;"生成成长"),2))/((VLOOKUP($B168,INDIRECT($B$5&amp;"生成成长"),4))/(VLOOKUP(EY$72,INDIRECT($C$5&amp;"生成成长"),5))*(VLOOKUP($B$5,标准坦克设计!$B$24:$U$30,MATCH("对"&amp;LEFT($C$5,2)&amp;"输出",标准坦克设计!$B$23:$U$23,0)))*(VLOOKUP($B168,INDIRECT($B$5&amp;"生成成长"),3))*(VLOOKUP($B$5,标准坦克设计!$B$14:$K$20,9)/30))</f>
        <v>11.51270114544926</v>
      </c>
      <c r="EZ168" s="173">
        <f ca="1">(VLOOKUP(EZ$72,INDIRECT($C$5&amp;"生成成长"),2))/((VLOOKUP($B168,INDIRECT($B$5&amp;"生成成长"),4))/(VLOOKUP(EZ$72,INDIRECT($C$5&amp;"生成成长"),5))*(VLOOKUP($B$5,标准坦克设计!$B$24:$U$30,MATCH("对"&amp;LEFT($C$5,2)&amp;"输出",标准坦克设计!$B$23:$U$23,0)))*(VLOOKUP($B168,INDIRECT($B$5&amp;"生成成长"),3))*(VLOOKUP($B$5,标准坦克设计!$B$14:$K$20,9)/30))</f>
        <v>12.278848074532311</v>
      </c>
      <c r="FA168" s="173">
        <f ca="1">(VLOOKUP(FA$72,INDIRECT($C$5&amp;"生成成长"),2))/((VLOOKUP($B168,INDIRECT($B$5&amp;"生成成长"),4))/(VLOOKUP(FA$72,INDIRECT($C$5&amp;"生成成长"),5))*(VLOOKUP($B$5,标准坦克设计!$B$24:$U$30,MATCH("对"&amp;LEFT($C$5,2)&amp;"输出",标准坦克设计!$B$23:$U$23,0)))*(VLOOKUP($B168,INDIRECT($B$5&amp;"生成成长"),3))*(VLOOKUP($B$5,标准坦克设计!$B$14:$K$20,9)/30))</f>
        <v>13.069673235591686</v>
      </c>
      <c r="FB168" s="173">
        <f ca="1">(VLOOKUP(FB$72,INDIRECT($C$5&amp;"生成成长"),2))/((VLOOKUP($B168,INDIRECT($B$5&amp;"生成成长"),4))/(VLOOKUP(FB$72,INDIRECT($C$5&amp;"生成成长"),5))*(VLOOKUP($B$5,标准坦克设计!$B$24:$U$30,MATCH("对"&amp;LEFT($C$5,2)&amp;"输出",标准坦克设计!$B$23:$U$23,0)))*(VLOOKUP($B168,INDIRECT($B$5&amp;"生成成长"),3))*(VLOOKUP($B$5,标准坦克设计!$B$14:$K$20,9)/30))</f>
        <v>13.885176628627383</v>
      </c>
      <c r="FC168" s="173">
        <f ca="1">(VLOOKUP(FC$72,INDIRECT($C$5&amp;"生成成长"),2))/((VLOOKUP($B168,INDIRECT($B$5&amp;"生成成长"),4))/(VLOOKUP(FC$72,INDIRECT($C$5&amp;"生成成长"),5))*(VLOOKUP($B$5,标准坦克设计!$B$24:$U$30,MATCH("对"&amp;LEFT($C$5,2)&amp;"输出",标准坦克设计!$B$23:$U$23,0)))*(VLOOKUP($B168,INDIRECT($B$5&amp;"生成成长"),3))*(VLOOKUP($B$5,标准坦克设计!$B$14:$K$20,9)/30))</f>
        <v>14.725358253639397</v>
      </c>
      <c r="FD168" s="173">
        <f ca="1">(VLOOKUP(FD$72,INDIRECT($C$5&amp;"生成成长"),2))/((VLOOKUP($B168,INDIRECT($B$5&amp;"生成成长"),4))/(VLOOKUP(FD$72,INDIRECT($C$5&amp;"生成成长"),5))*(VLOOKUP($B$5,标准坦克设计!$B$24:$U$30,MATCH("对"&amp;LEFT($C$5,2)&amp;"输出",标准坦克设计!$B$23:$U$23,0)))*(VLOOKUP($B168,INDIRECT($B$5&amp;"生成成长"),3))*(VLOOKUP($B$5,标准坦克设计!$B$14:$K$20,9)/30))</f>
        <v>15.590218110627731</v>
      </c>
      <c r="FE168" s="173">
        <f ca="1">(VLOOKUP(FE$72,INDIRECT($C$5&amp;"生成成长"),2))/((VLOOKUP($B168,INDIRECT($B$5&amp;"生成成长"),4))/(VLOOKUP(FE$72,INDIRECT($C$5&amp;"生成成长"),5))*(VLOOKUP($B$5,标准坦克设计!$B$24:$U$30,MATCH("对"&amp;LEFT($C$5,2)&amp;"输出",标准坦克设计!$B$23:$U$23,0)))*(VLOOKUP($B168,INDIRECT($B$5&amp;"生成成长"),3))*(VLOOKUP($B$5,标准坦克设计!$B$14:$K$20,9)/30))</f>
        <v>16.64414177788094</v>
      </c>
      <c r="FF168" s="173">
        <f ca="1">(VLOOKUP(FF$72,INDIRECT($C$5&amp;"生成成长"),2))/((VLOOKUP($B168,INDIRECT($B$5&amp;"生成成长"),4))/(VLOOKUP(FF$72,INDIRECT($C$5&amp;"生成成长"),5))*(VLOOKUP($B$5,标准坦克设计!$B$24:$U$30,MATCH("对"&amp;LEFT($C$5,2)&amp;"输出",标准坦克设计!$B$23:$U$23,0)))*(VLOOKUP($B168,INDIRECT($B$5&amp;"生成成长"),3))*(VLOOKUP($B$5,标准坦克设计!$B$14:$K$20,9)/30))</f>
        <v>17.732533388968843</v>
      </c>
      <c r="FG168" s="173">
        <f ca="1">(VLOOKUP(FG$72,INDIRECT($C$5&amp;"生成成长"),2))/((VLOOKUP($B168,INDIRECT($B$5&amp;"生成成长"),4))/(VLOOKUP(FG$72,INDIRECT($C$5&amp;"生成成长"),5))*(VLOOKUP($B$5,标准坦克设计!$B$24:$U$30,MATCH("对"&amp;LEFT($C$5,2)&amp;"输出",标准坦克设计!$B$23:$U$23,0)))*(VLOOKUP($B168,INDIRECT($B$5&amp;"生成成长"),3))*(VLOOKUP($B$5,标准坦克设计!$B$14:$K$20,9)/30))</f>
        <v>18.855392943891442</v>
      </c>
      <c r="FH168" s="173">
        <f ca="1">(VLOOKUP(FH$72,INDIRECT($C$5&amp;"生成成长"),2))/((VLOOKUP($B168,INDIRECT($B$5&amp;"生成成长"),4))/(VLOOKUP(FH$72,INDIRECT($C$5&amp;"生成成长"),5))*(VLOOKUP($B$5,标准坦克设计!$B$24:$U$30,MATCH("对"&amp;LEFT($C$5,2)&amp;"输出",标准坦克设计!$B$23:$U$23,0)))*(VLOOKUP($B168,INDIRECT($B$5&amp;"生成成长"),3))*(VLOOKUP($B$5,标准坦克设计!$B$14:$K$20,9)/30))</f>
        <v>20.012720442648739</v>
      </c>
      <c r="FI168" s="173">
        <f ca="1">(VLOOKUP(FI$72,INDIRECT($C$5&amp;"生成成长"),2))/((VLOOKUP($B168,INDIRECT($B$5&amp;"生成成长"),4))/(VLOOKUP(FI$72,INDIRECT($C$5&amp;"生成成长"),5))*(VLOOKUP($B$5,标准坦克设计!$B$24:$U$30,MATCH("对"&amp;LEFT($C$5,2)&amp;"输出",标准坦克设计!$B$23:$U$23,0)))*(VLOOKUP($B168,INDIRECT($B$5&amp;"生成成长"),3))*(VLOOKUP($B$5,标准坦克设计!$B$14:$K$20,9)/30))</f>
        <v>21.204515885240728</v>
      </c>
      <c r="FJ168" s="173">
        <f ca="1">(VLOOKUP(FJ$72,INDIRECT($C$5&amp;"生成成长"),2))/((VLOOKUP($B168,INDIRECT($B$5&amp;"生成成长"),4))/(VLOOKUP(FJ$72,INDIRECT($C$5&amp;"生成成长"),5))*(VLOOKUP($B$5,标准坦克设计!$B$24:$U$30,MATCH("对"&amp;LEFT($C$5,2)&amp;"输出",标准坦克设计!$B$23:$U$23,0)))*(VLOOKUP($B168,INDIRECT($B$5&amp;"生成成长"),3))*(VLOOKUP($B$5,标准坦克设计!$B$14:$K$20,9)/30))</f>
        <v>22.430779271667415</v>
      </c>
      <c r="FK168" s="173">
        <f ca="1">(VLOOKUP(FK$72,INDIRECT($C$5&amp;"生成成长"),2))/((VLOOKUP($B168,INDIRECT($B$5&amp;"生成成长"),4))/(VLOOKUP(FK$72,INDIRECT($C$5&amp;"生成成长"),5))*(VLOOKUP($B$5,标准坦克设计!$B$24:$U$30,MATCH("对"&amp;LEFT($C$5,2)&amp;"输出",标准坦克设计!$B$23:$U$23,0)))*(VLOOKUP($B168,INDIRECT($B$5&amp;"生成成长"),3))*(VLOOKUP($B$5,标准坦克设计!$B$14:$K$20,9)/30))</f>
        <v>23.691510601928798</v>
      </c>
    </row>
    <row r="169" spans="1:167" x14ac:dyDescent="0.15">
      <c r="A169" s="171" t="str">
        <f t="shared" si="12"/>
        <v>T5中品质7级</v>
      </c>
      <c r="B169" s="172">
        <v>20507</v>
      </c>
      <c r="C169" s="173">
        <f ca="1">(VLOOKUP(C$72,INDIRECT($C$5&amp;"生成成长"),2))/((VLOOKUP($B169,INDIRECT($B$5&amp;"生成成长"),4))/(VLOOKUP(C$72,INDIRECT($C$5&amp;"生成成长"),5))*(VLOOKUP($B$5,标准坦克设计!$B$24:$U$30,MATCH("对"&amp;LEFT($C$5,2)&amp;"输出",标准坦克设计!$B$23:$U$23,0)))*(VLOOKUP($B169,INDIRECT($B$5&amp;"生成成长"),3))*(VLOOKUP($B$5,标准坦克设计!$B$14:$K$20,9)/30))</f>
        <v>0.95147703581385801</v>
      </c>
      <c r="D169" s="173">
        <f ca="1">(VLOOKUP(D$72,INDIRECT($C$5&amp;"生成成长"),2))/((VLOOKUP($B169,INDIRECT($B$5&amp;"生成成长"),4))/(VLOOKUP(D$72,INDIRECT($C$5&amp;"生成成长"),5))*(VLOOKUP($B$5,标准坦克设计!$B$24:$U$30,MATCH("对"&amp;LEFT($C$5,2)&amp;"输出",标准坦克设计!$B$23:$U$23,0)))*(VLOOKUP($B169,INDIRECT($B$5&amp;"生成成长"),3))*(VLOOKUP($B$5,标准坦克设计!$B$14:$K$20,9)/30))</f>
        <v>1.0690795974404508</v>
      </c>
      <c r="E169" s="173">
        <f ca="1">(VLOOKUP(E$72,INDIRECT($C$5&amp;"生成成长"),2))/((VLOOKUP($B169,INDIRECT($B$5&amp;"生成成长"),4))/(VLOOKUP(E$72,INDIRECT($C$5&amp;"生成成长"),5))*(VLOOKUP($B$5,标准坦克设计!$B$24:$U$30,MATCH("对"&amp;LEFT($C$5,2)&amp;"输出",标准坦克设计!$B$23:$U$23,0)))*(VLOOKUP($B169,INDIRECT($B$5&amp;"生成成长"),3))*(VLOOKUP($B$5,标准坦克设计!$B$14:$K$20,9)/30))</f>
        <v>1.1935327937249034</v>
      </c>
      <c r="F169" s="173">
        <f ca="1">(VLOOKUP(F$72,INDIRECT($C$5&amp;"生成成长"),2))/((VLOOKUP($B169,INDIRECT($B$5&amp;"生成成长"),4))/(VLOOKUP(F$72,INDIRECT($C$5&amp;"生成成长"),5))*(VLOOKUP($B$5,标准坦克设计!$B$24:$U$30,MATCH("对"&amp;LEFT($C$5,2)&amp;"输出",标准坦克设计!$B$23:$U$23,0)))*(VLOOKUP($B169,INDIRECT($B$5&amp;"生成成长"),3))*(VLOOKUP($B$5,标准坦克设计!$B$14:$K$20,9)/30))</f>
        <v>1.3248366246672161</v>
      </c>
      <c r="G169" s="173">
        <f ca="1">(VLOOKUP(G$72,INDIRECT($C$5&amp;"生成成长"),2))/((VLOOKUP($B169,INDIRECT($B$5&amp;"生成成长"),4))/(VLOOKUP(G$72,INDIRECT($C$5&amp;"生成成长"),5))*(VLOOKUP($B$5,标准坦克设计!$B$24:$U$30,MATCH("对"&amp;LEFT($C$5,2)&amp;"输出",标准坦克设计!$B$23:$U$23,0)))*(VLOOKUP($B169,INDIRECT($B$5&amp;"生成成长"),3))*(VLOOKUP($B$5,标准坦克设计!$B$14:$K$20,9)/30))</f>
        <v>1.4629910902673882</v>
      </c>
      <c r="H169" s="173">
        <f ca="1">(VLOOKUP(H$72,INDIRECT($C$5&amp;"生成成长"),2))/((VLOOKUP($B169,INDIRECT($B$5&amp;"生成成长"),4))/(VLOOKUP(H$72,INDIRECT($C$5&amp;"生成成长"),5))*(VLOOKUP($B$5,标准坦克设计!$B$24:$U$30,MATCH("对"&amp;LEFT($C$5,2)&amp;"输出",标准坦克设计!$B$23:$U$23,0)))*(VLOOKUP($B169,INDIRECT($B$5&amp;"生成成长"),3))*(VLOOKUP($B$5,标准坦克设计!$B$14:$K$20,9)/30))</f>
        <v>1.2803074993911274</v>
      </c>
      <c r="I169" s="173">
        <f ca="1">(VLOOKUP(I$72,INDIRECT($C$5&amp;"生成成长"),2))/((VLOOKUP($B169,INDIRECT($B$5&amp;"生成成长"),4))/(VLOOKUP(I$72,INDIRECT($C$5&amp;"生成成长"),5))*(VLOOKUP($B$5,标准坦克设计!$B$24:$U$30,MATCH("对"&amp;LEFT($C$5,2)&amp;"输出",标准坦克设计!$B$23:$U$23,0)))*(VLOOKUP($B169,INDIRECT($B$5&amp;"生成成长"),3))*(VLOOKUP($B$5,标准坦克设计!$B$14:$K$20,9)/30))</f>
        <v>1.4629910902673882</v>
      </c>
      <c r="J169" s="173">
        <f ca="1">(VLOOKUP(J$72,INDIRECT($C$5&amp;"生成成长"),2))/((VLOOKUP($B169,INDIRECT($B$5&amp;"生成成长"),4))/(VLOOKUP(J$72,INDIRECT($C$5&amp;"生成成长"),5))*(VLOOKUP($B$5,标准坦克设计!$B$24:$U$30,MATCH("对"&amp;LEFT($C$5,2)&amp;"输出",标准坦克设计!$B$23:$U$23,0)))*(VLOOKUP($B169,INDIRECT($B$5&amp;"生成成长"),3))*(VLOOKUP($B$5,标准坦克设计!$B$14:$K$20,9)/30))</f>
        <v>1.6578535872020661</v>
      </c>
      <c r="K169" s="173">
        <f ca="1">(VLOOKUP(K$72,INDIRECT($C$5&amp;"生成成长"),2))/((VLOOKUP($B169,INDIRECT($B$5&amp;"生成成长"),4))/(VLOOKUP(K$72,INDIRECT($C$5&amp;"生成成长"),5))*(VLOOKUP($B$5,标准坦克设计!$B$24:$U$30,MATCH("对"&amp;LEFT($C$5,2)&amp;"输出",标准坦克设计!$B$23:$U$23,0)))*(VLOOKUP($B169,INDIRECT($B$5&amp;"生成成长"),3))*(VLOOKUP($B$5,标准坦克设计!$B$14:$K$20,9)/30))</f>
        <v>1.8648949901951617</v>
      </c>
      <c r="L169" s="173">
        <f ca="1">(VLOOKUP(L$72,INDIRECT($C$5&amp;"生成成长"),2))/((VLOOKUP($B169,INDIRECT($B$5&amp;"生成成长"),4))/(VLOOKUP(L$72,INDIRECT($C$5&amp;"生成成长"),5))*(VLOOKUP($B$5,标准坦克设计!$B$24:$U$30,MATCH("对"&amp;LEFT($C$5,2)&amp;"输出",标准坦克设计!$B$23:$U$23,0)))*(VLOOKUP($B169,INDIRECT($B$5&amp;"生成成长"),3))*(VLOOKUP($B$5,标准坦克设计!$B$14:$K$20,9)/30))</f>
        <v>2.0841152992466743</v>
      </c>
      <c r="M169" s="173">
        <f ca="1">(VLOOKUP(M$72,INDIRECT($C$5&amp;"生成成长"),2))/((VLOOKUP($B169,INDIRECT($B$5&amp;"生成成长"),4))/(VLOOKUP(M$72,INDIRECT($C$5&amp;"生成成长"),5))*(VLOOKUP($B$5,标准坦克设计!$B$24:$U$30,MATCH("对"&amp;LEFT($C$5,2)&amp;"输出",标准坦克设计!$B$23:$U$23,0)))*(VLOOKUP($B169,INDIRECT($B$5&amp;"生成成长"),3))*(VLOOKUP($B$5,标准坦克设计!$B$14:$K$20,9)/30))</f>
        <v>2.3155145143566047</v>
      </c>
      <c r="N169" s="173">
        <f ca="1">(VLOOKUP(N$72,INDIRECT($C$5&amp;"生成成长"),2))/((VLOOKUP($B169,INDIRECT($B$5&amp;"生成成长"),4))/(VLOOKUP(N$72,INDIRECT($C$5&amp;"生成成长"),5))*(VLOOKUP($B$5,标准坦克设计!$B$24:$U$30,MATCH("对"&amp;LEFT($C$5,2)&amp;"输出",标准坦克设计!$B$23:$U$23,0)))*(VLOOKUP($B169,INDIRECT($B$5&amp;"生成成长"),3))*(VLOOKUP($B$5,标准坦克设计!$B$14:$K$20,9)/30))</f>
        <v>2.5590926355249524</v>
      </c>
      <c r="O169" s="173">
        <f ca="1">(VLOOKUP(O$72,INDIRECT($C$5&amp;"生成成长"),2))/((VLOOKUP($B169,INDIRECT($B$5&amp;"生成成长"),4))/(VLOOKUP(O$72,INDIRECT($C$5&amp;"生成成长"),5))*(VLOOKUP($B$5,标准坦克设计!$B$24:$U$30,MATCH("对"&amp;LEFT($C$5,2)&amp;"输出",标准坦克设计!$B$23:$U$23,0)))*(VLOOKUP($B169,INDIRECT($B$5&amp;"生成成长"),3))*(VLOOKUP($B$5,标准坦克设计!$B$14:$K$20,9)/30))</f>
        <v>1.9456753905357584</v>
      </c>
      <c r="P169" s="173">
        <f ca="1">(VLOOKUP(P$72,INDIRECT($C$5&amp;"生成成长"),2))/((VLOOKUP($B169,INDIRECT($B$5&amp;"生成成长"),4))/(VLOOKUP(P$72,INDIRECT($C$5&amp;"生成成长"),5))*(VLOOKUP($B$5,标准坦克设计!$B$24:$U$30,MATCH("对"&amp;LEFT($C$5,2)&amp;"输出",标准坦克设计!$B$23:$U$23,0)))*(VLOOKUP($B169,INDIRECT($B$5&amp;"生成成长"),3))*(VLOOKUP($B$5,标准坦克设计!$B$14:$K$20,9)/30))</f>
        <v>2.1982925435443375</v>
      </c>
      <c r="Q169" s="173">
        <f ca="1">(VLOOKUP(Q$72,INDIRECT($C$5&amp;"生成成长"),2))/((VLOOKUP($B169,INDIRECT($B$5&amp;"生成成长"),4))/(VLOOKUP(Q$72,INDIRECT($C$5&amp;"生成成长"),5))*(VLOOKUP($B$5,标准坦克设计!$B$24:$U$30,MATCH("对"&amp;LEFT($C$5,2)&amp;"输出",标准坦克设计!$B$23:$U$23,0)))*(VLOOKUP($B169,INDIRECT($B$5&amp;"生成成长"),3))*(VLOOKUP($B$5,标准坦克设计!$B$14:$K$20,9)/30))</f>
        <v>2.4663236245331013</v>
      </c>
      <c r="R169" s="173">
        <f ca="1">(VLOOKUP(R$72,INDIRECT($C$5&amp;"生成成长"),2))/((VLOOKUP($B169,INDIRECT($B$5&amp;"生成成长"),4))/(VLOOKUP(R$72,INDIRECT($C$5&amp;"生成成长"),5))*(VLOOKUP($B$5,标准坦克设计!$B$24:$U$30,MATCH("对"&amp;LEFT($C$5,2)&amp;"输出",标准坦克设计!$B$23:$U$23,0)))*(VLOOKUP($B169,INDIRECT($B$5&amp;"生成成长"),3))*(VLOOKUP($B$5,标准坦克设计!$B$14:$K$20,9)/30))</f>
        <v>2.7497686335020495</v>
      </c>
      <c r="S169" s="173">
        <f ca="1">(VLOOKUP(S$72,INDIRECT($C$5&amp;"生成成长"),2))/((VLOOKUP($B169,INDIRECT($B$5&amp;"生成成长"),4))/(VLOOKUP(S$72,INDIRECT($C$5&amp;"生成成长"),5))*(VLOOKUP($B$5,标准坦克设计!$B$24:$U$30,MATCH("对"&amp;LEFT($C$5,2)&amp;"输出",标准坦克设计!$B$23:$U$23,0)))*(VLOOKUP($B169,INDIRECT($B$5&amp;"生成成长"),3))*(VLOOKUP($B$5,标准坦克设计!$B$14:$K$20,9)/30))</f>
        <v>3.0486275704511825</v>
      </c>
      <c r="T169" s="173">
        <f ca="1">(VLOOKUP(T$72,INDIRECT($C$5&amp;"生成成长"),2))/((VLOOKUP($B169,INDIRECT($B$5&amp;"生成成长"),4))/(VLOOKUP(T$72,INDIRECT($C$5&amp;"生成成长"),5))*(VLOOKUP($B$5,标准坦克设计!$B$24:$U$30,MATCH("对"&amp;LEFT($C$5,2)&amp;"输出",标准坦克设计!$B$23:$U$23,0)))*(VLOOKUP($B169,INDIRECT($B$5&amp;"生成成长"),3))*(VLOOKUP($B$5,标准坦克设计!$B$14:$K$20,9)/30))</f>
        <v>3.3629004353804994</v>
      </c>
      <c r="U169" s="173">
        <f ca="1">(VLOOKUP(U$72,INDIRECT($C$5&amp;"生成成长"),2))/((VLOOKUP($B169,INDIRECT($B$5&amp;"生成成长"),4))/(VLOOKUP(U$72,INDIRECT($C$5&amp;"生成成长"),5))*(VLOOKUP($B$5,标准坦克设计!$B$24:$U$30,MATCH("对"&amp;LEFT($C$5,2)&amp;"输出",标准坦克设计!$B$23:$U$23,0)))*(VLOOKUP($B169,INDIRECT($B$5&amp;"生成成长"),3))*(VLOOKUP($B$5,标准坦克设计!$B$14:$K$20,9)/30))</f>
        <v>3.6925872282900016</v>
      </c>
      <c r="V169" s="173">
        <f ca="1">(VLOOKUP(V$72,INDIRECT($C$5&amp;"生成成长"),2))/((VLOOKUP($B169,INDIRECT($B$5&amp;"生成成长"),4))/(VLOOKUP(V$72,INDIRECT($C$5&amp;"生成成长"),5))*(VLOOKUP($B$5,标准坦克设计!$B$24:$U$30,MATCH("对"&amp;LEFT($C$5,2)&amp;"输出",标准坦克设计!$B$23:$U$23,0)))*(VLOOKUP($B169,INDIRECT($B$5&amp;"生成成长"),3))*(VLOOKUP($B$5,标准坦克设计!$B$14:$K$20,9)/30))</f>
        <v>4.0376879491796878</v>
      </c>
      <c r="W169" s="173">
        <f ca="1">(VLOOKUP(W$72,INDIRECT($C$5&amp;"生成成长"),2))/((VLOOKUP($B169,INDIRECT($B$5&amp;"生成成长"),4))/(VLOOKUP(W$72,INDIRECT($C$5&amp;"生成成长"),5))*(VLOOKUP($B$5,标准坦克设计!$B$24:$U$30,MATCH("对"&amp;LEFT($C$5,2)&amp;"输出",标准坦克设计!$B$23:$U$23,0)))*(VLOOKUP($B169,INDIRECT($B$5&amp;"生成成长"),3))*(VLOOKUP($B$5,标准坦克设计!$B$14:$K$20,9)/30))</f>
        <v>4.3982025980495578</v>
      </c>
      <c r="X169" s="173">
        <f ca="1">(VLOOKUP(X$72,INDIRECT($C$5&amp;"生成成长"),2))/((VLOOKUP($B169,INDIRECT($B$5&amp;"生成成长"),4))/(VLOOKUP(X$72,INDIRECT($C$5&amp;"生成成长"),5))*(VLOOKUP($B$5,标准坦克设计!$B$24:$U$30,MATCH("对"&amp;LEFT($C$5,2)&amp;"输出",标准坦克设计!$B$23:$U$23,0)))*(VLOOKUP($B169,INDIRECT($B$5&amp;"生成成长"),3))*(VLOOKUP($B$5,标准坦克设计!$B$14:$K$20,9)/30))</f>
        <v>3.1864014452370291</v>
      </c>
      <c r="Y169" s="173">
        <f ca="1">(VLOOKUP(Y$72,INDIRECT($C$5&amp;"生成成长"),2))/((VLOOKUP($B169,INDIRECT($B$5&amp;"生成成长"),4))/(VLOOKUP(Y$72,INDIRECT($C$5&amp;"生成成长"),5))*(VLOOKUP($B$5,标准坦克设计!$B$24:$U$30,MATCH("对"&amp;LEFT($C$5,2)&amp;"输出",标准坦克设计!$B$23:$U$23,0)))*(VLOOKUP($B169,INDIRECT($B$5&amp;"生成成长"),3))*(VLOOKUP($B$5,标准坦克设计!$B$14:$K$20,9)/30))</f>
        <v>3.5441568107030399</v>
      </c>
      <c r="Z169" s="173">
        <f ca="1">(VLOOKUP(Z$72,INDIRECT($C$5&amp;"生成成长"),2))/((VLOOKUP($B169,INDIRECT($B$5&amp;"生成成长"),4))/(VLOOKUP(Z$72,INDIRECT($C$5&amp;"生成成长"),5))*(VLOOKUP($B$5,标准坦克设计!$B$24:$U$30,MATCH("对"&amp;LEFT($C$5,2)&amp;"输出",标准坦克设计!$B$23:$U$23,0)))*(VLOOKUP($B169,INDIRECT($B$5&amp;"生成成长"),3))*(VLOOKUP($B$5,标准坦克设计!$B$14:$K$20,9)/30))</f>
        <v>3.9209417168853271</v>
      </c>
      <c r="AA169" s="173">
        <f ca="1">(VLOOKUP(AA$72,INDIRECT($C$5&amp;"生成成长"),2))/((VLOOKUP($B169,INDIRECT($B$5&amp;"生成成长"),4))/(VLOOKUP(AA$72,INDIRECT($C$5&amp;"生成成长"),5))*(VLOOKUP($B$5,标准坦克设计!$B$24:$U$30,MATCH("对"&amp;LEFT($C$5,2)&amp;"输出",标准坦克设计!$B$23:$U$23,0)))*(VLOOKUP($B169,INDIRECT($B$5&amp;"生成成长"),3))*(VLOOKUP($B$5,标准坦克设计!$B$14:$K$20,9)/30))</f>
        <v>4.316756163783892</v>
      </c>
      <c r="AB169" s="173">
        <f ca="1">(VLOOKUP(AB$72,INDIRECT($C$5&amp;"生成成长"),2))/((VLOOKUP($B169,INDIRECT($B$5&amp;"生成成长"),4))/(VLOOKUP(AB$72,INDIRECT($C$5&amp;"生成成长"),5))*(VLOOKUP($B$5,标准坦克设计!$B$24:$U$30,MATCH("对"&amp;LEFT($C$5,2)&amp;"输出",标准坦克设计!$B$23:$U$23,0)))*(VLOOKUP($B169,INDIRECT($B$5&amp;"生成成长"),3))*(VLOOKUP($B$5,标准坦克设计!$B$14:$K$20,9)/30))</f>
        <v>4.7316001513987347</v>
      </c>
      <c r="AC169" s="173">
        <f ca="1">(VLOOKUP(AC$72,INDIRECT($C$5&amp;"生成成长"),2))/((VLOOKUP($B169,INDIRECT($B$5&amp;"生成成长"),4))/(VLOOKUP(AC$72,INDIRECT($C$5&amp;"生成成长"),5))*(VLOOKUP($B$5,标准坦克设计!$B$24:$U$30,MATCH("对"&amp;LEFT($C$5,2)&amp;"输出",标准坦克设计!$B$23:$U$23,0)))*(VLOOKUP($B169,INDIRECT($B$5&amp;"生成成长"),3))*(VLOOKUP($B$5,标准坦克设计!$B$14:$K$20,9)/30))</f>
        <v>5.1654736797298542</v>
      </c>
      <c r="AD169" s="173">
        <f ca="1">(VLOOKUP(AD$72,INDIRECT($C$5&amp;"生成成长"),2))/((VLOOKUP($B169,INDIRECT($B$5&amp;"生成成长"),4))/(VLOOKUP(AD$72,INDIRECT($C$5&amp;"生成成长"),5))*(VLOOKUP($B$5,标准坦克设计!$B$24:$U$30,MATCH("对"&amp;LEFT($C$5,2)&amp;"输出",标准坦克设计!$B$23:$U$23,0)))*(VLOOKUP($B169,INDIRECT($B$5&amp;"生成成长"),3))*(VLOOKUP($B$5,标准坦克设计!$B$14:$K$20,9)/30))</f>
        <v>5.6183767487772496</v>
      </c>
      <c r="AE169" s="173">
        <f ca="1">(VLOOKUP(AE$72,INDIRECT($C$5&amp;"生成成长"),2))/((VLOOKUP($B169,INDIRECT($B$5&amp;"生成成长"),4))/(VLOOKUP(AE$72,INDIRECT($C$5&amp;"生成成长"),5))*(VLOOKUP($B$5,标准坦克设计!$B$24:$U$30,MATCH("对"&amp;LEFT($C$5,2)&amp;"输出",标准坦克设计!$B$23:$U$23,0)))*(VLOOKUP($B169,INDIRECT($B$5&amp;"生成成长"),3))*(VLOOKUP($B$5,标准坦克设计!$B$14:$K$20,9)/30))</f>
        <v>6.0903093585409236</v>
      </c>
      <c r="AF169" s="173">
        <f ca="1">(VLOOKUP(AF$72,INDIRECT($C$5&amp;"生成成长"),2))/((VLOOKUP($B169,INDIRECT($B$5&amp;"生成成长"),4))/(VLOOKUP(AF$72,INDIRECT($C$5&amp;"生成成长"),5))*(VLOOKUP($B$5,标准坦克设计!$B$24:$U$30,MATCH("对"&amp;LEFT($C$5,2)&amp;"输出",标准坦克设计!$B$23:$U$23,0)))*(VLOOKUP($B169,INDIRECT($B$5&amp;"生成成长"),3))*(VLOOKUP($B$5,标准坦克设计!$B$14:$K$20,9)/30))</f>
        <v>6.5812715090208744</v>
      </c>
      <c r="AG169" s="173">
        <f ca="1">(VLOOKUP(AG$72,INDIRECT($C$5&amp;"生成成长"),2))/((VLOOKUP($B169,INDIRECT($B$5&amp;"生成成长"),4))/(VLOOKUP(AG$72,INDIRECT($C$5&amp;"生成成长"),5))*(VLOOKUP($B$5,标准坦克设计!$B$24:$U$30,MATCH("对"&amp;LEFT($C$5,2)&amp;"输出",标准坦克设计!$B$23:$U$23,0)))*(VLOOKUP($B169,INDIRECT($B$5&amp;"生成成长"),3))*(VLOOKUP($B$5,标准坦克设计!$B$14:$K$20,9)/30))</f>
        <v>7.0912632002171012</v>
      </c>
      <c r="AH169" s="173">
        <f ca="1">(VLOOKUP(AH$72,INDIRECT($C$5&amp;"生成成长"),2))/((VLOOKUP($B169,INDIRECT($B$5&amp;"生成成长"),4))/(VLOOKUP(AH$72,INDIRECT($C$5&amp;"生成成长"),5))*(VLOOKUP($B$5,标准坦克设计!$B$24:$U$30,MATCH("对"&amp;LEFT($C$5,2)&amp;"输出",标准坦克设计!$B$23:$U$23,0)))*(VLOOKUP($B169,INDIRECT($B$5&amp;"生成成长"),3))*(VLOOKUP($B$5,标准坦克设计!$B$14:$K$20,9)/30))</f>
        <v>7.6202844321296075</v>
      </c>
      <c r="AI169" s="173">
        <f ca="1">(VLOOKUP(AI$72,INDIRECT($C$5&amp;"生成成长"),2))/((VLOOKUP($B169,INDIRECT($B$5&amp;"生成成长"),4))/(VLOOKUP(AI$72,INDIRECT($C$5&amp;"生成成长"),5))*(VLOOKUP($B$5,标准坦克设计!$B$24:$U$30,MATCH("对"&amp;LEFT($C$5,2)&amp;"输出",标准坦克设计!$B$23:$U$23,0)))*(VLOOKUP($B169,INDIRECT($B$5&amp;"生成成长"),3))*(VLOOKUP($B$5,标准坦克设计!$B$14:$K$20,9)/30))</f>
        <v>5.3895465216640162</v>
      </c>
      <c r="AJ169" s="173">
        <f ca="1">(VLOOKUP(AJ$72,INDIRECT($C$5&amp;"生成成长"),2))/((VLOOKUP($B169,INDIRECT($B$5&amp;"生成成长"),4))/(VLOOKUP(AJ$72,INDIRECT($C$5&amp;"生成成长"),5))*(VLOOKUP($B$5,标准坦克设计!$B$24:$U$30,MATCH("对"&amp;LEFT($C$5,2)&amp;"输出",标准坦克设计!$B$23:$U$23,0)))*(VLOOKUP($B169,INDIRECT($B$5&amp;"生成成长"),3))*(VLOOKUP($B$5,标准坦克设计!$B$14:$K$20,9)/30))</f>
        <v>5.8992527697495003</v>
      </c>
      <c r="AK169" s="173">
        <f ca="1">(VLOOKUP(AK$72,INDIRECT($C$5&amp;"生成成长"),2))/((VLOOKUP($B169,INDIRECT($B$5&amp;"生成成长"),4))/(VLOOKUP(AK$72,INDIRECT($C$5&amp;"生成成长"),5))*(VLOOKUP($B$5,标准坦克设计!$B$24:$U$30,MATCH("对"&amp;LEFT($C$5,2)&amp;"输出",标准坦克设计!$B$23:$U$23,0)))*(VLOOKUP($B169,INDIRECT($B$5&amp;"生成成长"),3))*(VLOOKUP($B$5,标准坦克设计!$B$14:$K$20,9)/30))</f>
        <v>6.4319847621016804</v>
      </c>
      <c r="AL169" s="173">
        <f ca="1">(VLOOKUP(AL$72,INDIRECT($C$5&amp;"生成成长"),2))/((VLOOKUP($B169,INDIRECT($B$5&amp;"生成成长"),4))/(VLOOKUP(AL$72,INDIRECT($C$5&amp;"生成成长"),5))*(VLOOKUP($B$5,标准坦克设计!$B$24:$U$30,MATCH("对"&amp;LEFT($C$5,2)&amp;"输出",标准坦克设计!$B$23:$U$23,0)))*(VLOOKUP($B169,INDIRECT($B$5&amp;"生成成长"),3))*(VLOOKUP($B$5,标准坦克设计!$B$14:$K$20,9)/30))</f>
        <v>6.9877424987205536</v>
      </c>
      <c r="AM169" s="173">
        <f ca="1">(VLOOKUP(AM$72,INDIRECT($C$5&amp;"生成成长"),2))/((VLOOKUP($B169,INDIRECT($B$5&amp;"生成成长"),4))/(VLOOKUP(AM$72,INDIRECT($C$5&amp;"生成成长"),5))*(VLOOKUP($B$5,标准坦克设计!$B$24:$U$30,MATCH("对"&amp;LEFT($C$5,2)&amp;"输出",标准坦克设计!$B$23:$U$23,0)))*(VLOOKUP($B169,INDIRECT($B$5&amp;"生成成长"),3))*(VLOOKUP($B$5,标准坦克设计!$B$14:$K$20,9)/30))</f>
        <v>7.5665259796061246</v>
      </c>
      <c r="AN169" s="173">
        <f ca="1">(VLOOKUP(AN$72,INDIRECT($C$5&amp;"生成成长"),2))/((VLOOKUP($B169,INDIRECT($B$5&amp;"生成成长"),4))/(VLOOKUP(AN$72,INDIRECT($C$5&amp;"生成成长"),5))*(VLOOKUP($B$5,标准坦克设计!$B$24:$U$30,MATCH("对"&amp;LEFT($C$5,2)&amp;"输出",标准坦克设计!$B$23:$U$23,0)))*(VLOOKUP($B169,INDIRECT($B$5&amp;"生成成长"),3))*(VLOOKUP($B$5,标准坦克设计!$B$14:$K$20,9)/30))</f>
        <v>8.1683352047583906</v>
      </c>
      <c r="AO169" s="173">
        <f ca="1">(VLOOKUP(AO$72,INDIRECT($C$5&amp;"生成成长"),2))/((VLOOKUP($B169,INDIRECT($B$5&amp;"生成成长"),4))/(VLOOKUP(AO$72,INDIRECT($C$5&amp;"生成成长"),5))*(VLOOKUP($B$5,标准坦克设计!$B$24:$U$30,MATCH("对"&amp;LEFT($C$5,2)&amp;"输出",标准坦克设计!$B$23:$U$23,0)))*(VLOOKUP($B169,INDIRECT($B$5&amp;"生成成长"),3))*(VLOOKUP($B$5,标准坦克设计!$B$14:$K$20,9)/30))</f>
        <v>8.7931701741773498</v>
      </c>
      <c r="AP169" s="173">
        <f ca="1">(VLOOKUP(AP$72,INDIRECT($C$5&amp;"生成成长"),2))/((VLOOKUP($B169,INDIRECT($B$5&amp;"生成成长"),4))/(VLOOKUP(AP$72,INDIRECT($C$5&amp;"生成成长"),5))*(VLOOKUP($B$5,标准坦克设计!$B$24:$U$30,MATCH("对"&amp;LEFT($C$5,2)&amp;"输出",标准坦克设计!$B$23:$U$23,0)))*(VLOOKUP($B169,INDIRECT($B$5&amp;"生成成长"),3))*(VLOOKUP($B$5,标准坦克设计!$B$14:$K$20,9)/30))</f>
        <v>9.4410308878630058</v>
      </c>
      <c r="AQ169" s="173">
        <f ca="1">(VLOOKUP(AQ$72,INDIRECT($C$5&amp;"生成成长"),2))/((VLOOKUP($B169,INDIRECT($B$5&amp;"生成成长"),4))/(VLOOKUP(AQ$72,INDIRECT($C$5&amp;"生成成长"),5))*(VLOOKUP($B$5,标准坦克设计!$B$24:$U$30,MATCH("对"&amp;LEFT($C$5,2)&amp;"输出",标准坦克设计!$B$23:$U$23,0)))*(VLOOKUP($B169,INDIRECT($B$5&amp;"生成成长"),3))*(VLOOKUP($B$5,标准坦克设计!$B$14:$K$20,9)/30))</f>
        <v>10.111917345815357</v>
      </c>
      <c r="AR169" s="173">
        <f ca="1">(VLOOKUP(AR$72,INDIRECT($C$5&amp;"生成成长"),2))/((VLOOKUP($B169,INDIRECT($B$5&amp;"生成成长"),4))/(VLOOKUP(AR$72,INDIRECT($C$5&amp;"生成成长"),5))*(VLOOKUP($B$5,标准坦克设计!$B$24:$U$30,MATCH("对"&amp;LEFT($C$5,2)&amp;"输出",标准坦克设计!$B$23:$U$23,0)))*(VLOOKUP($B169,INDIRECT($B$5&amp;"生成成长"),3))*(VLOOKUP($B$5,标准坦克设计!$B$14:$K$20,9)/30))</f>
        <v>10.805829548034401</v>
      </c>
      <c r="AS169" s="173">
        <f ca="1">(VLOOKUP(AS$72,INDIRECT($C$5&amp;"生成成长"),2))/((VLOOKUP($B169,INDIRECT($B$5&amp;"生成成长"),4))/(VLOOKUP(AS$72,INDIRECT($C$5&amp;"生成成长"),5))*(VLOOKUP($B$5,标准坦克设计!$B$24:$U$30,MATCH("对"&amp;LEFT($C$5,2)&amp;"输出",标准坦克设计!$B$23:$U$23,0)))*(VLOOKUP($B169,INDIRECT($B$5&amp;"生成成长"),3))*(VLOOKUP($B$5,标准坦克设计!$B$14:$K$20,9)/30))</f>
        <v>11.522767494520146</v>
      </c>
      <c r="AT169" s="173">
        <f ca="1">(VLOOKUP(AT$72,INDIRECT($C$5&amp;"生成成长"),2))/((VLOOKUP($B169,INDIRECT($B$5&amp;"生成成长"),4))/(VLOOKUP(AT$72,INDIRECT($C$5&amp;"生成成长"),5))*(VLOOKUP($B$5,标准坦克设计!$B$24:$U$30,MATCH("对"&amp;LEFT($C$5,2)&amp;"输出",标准坦克设计!$B$23:$U$23,0)))*(VLOOKUP($B169,INDIRECT($B$5&amp;"生成成长"),3))*(VLOOKUP($B$5,标准坦克设计!$B$14:$K$20,9)/30))</f>
        <v>12.262731185272584</v>
      </c>
      <c r="AU169" s="173">
        <f ca="1">(VLOOKUP(AU$72,INDIRECT($C$5&amp;"生成成长"),2))/((VLOOKUP($B169,INDIRECT($B$5&amp;"生成成长"),4))/(VLOOKUP(AU$72,INDIRECT($C$5&amp;"生成成长"),5))*(VLOOKUP($B$5,标准坦克设计!$B$24:$U$30,MATCH("对"&amp;LEFT($C$5,2)&amp;"输出",标准坦克设计!$B$23:$U$23,0)))*(VLOOKUP($B169,INDIRECT($B$5&amp;"生成成长"),3))*(VLOOKUP($B$5,标准坦克设计!$B$14:$K$20,9)/30))</f>
        <v>13.025720620291715</v>
      </c>
      <c r="AV169" s="173">
        <f ca="1">(VLOOKUP(AV$72,INDIRECT($C$5&amp;"生成成长"),2))/((VLOOKUP($B169,INDIRECT($B$5&amp;"生成成长"),4))/(VLOOKUP(AV$72,INDIRECT($C$5&amp;"生成成长"),5))*(VLOOKUP($B$5,标准坦克设计!$B$24:$U$30,MATCH("对"&amp;LEFT($C$5,2)&amp;"输出",标准坦克设计!$B$23:$U$23,0)))*(VLOOKUP($B169,INDIRECT($B$5&amp;"生成成长"),3))*(VLOOKUP($B$5,标准坦克设计!$B$14:$K$20,9)/30))</f>
        <v>1.3248366246672161</v>
      </c>
      <c r="AW169" s="173">
        <f ca="1">(VLOOKUP(AW$72,INDIRECT($C$5&amp;"生成成长"),2))/((VLOOKUP($B169,INDIRECT($B$5&amp;"生成成长"),4))/(VLOOKUP(AW$72,INDIRECT($C$5&amp;"生成成长"),5))*(VLOOKUP($B$5,标准坦克设计!$B$24:$U$30,MATCH("对"&amp;LEFT($C$5,2)&amp;"输出",标准坦克设计!$B$23:$U$23,0)))*(VLOOKUP($B169,INDIRECT($B$5&amp;"生成成长"),3))*(VLOOKUP($B$5,标准坦克设计!$B$14:$K$20,9)/30))</f>
        <v>1.5105649420580807</v>
      </c>
      <c r="AX169" s="173">
        <f ca="1">(VLOOKUP(AX$72,INDIRECT($C$5&amp;"生成成长"),2))/((VLOOKUP($B169,INDIRECT($B$5&amp;"生成成长"),4))/(VLOOKUP(AX$72,INDIRECT($C$5&amp;"生成成长"),5))*(VLOOKUP($B$5,标准坦克设计!$B$24:$U$30,MATCH("对"&amp;LEFT($C$5,2)&amp;"输出",标准坦克设计!$B$23:$U$23,0)))*(VLOOKUP($B169,INDIRECT($B$5&amp;"生成成长"),3))*(VLOOKUP($B$5,标准坦克设计!$B$14:$K$20,9)/30))</f>
        <v>1.7084721655073634</v>
      </c>
      <c r="AY169" s="173">
        <f ca="1">(VLOOKUP(AY$72,INDIRECT($C$5&amp;"生成成长"),2))/((VLOOKUP($B169,INDIRECT($B$5&amp;"生成成长"),4))/(VLOOKUP(AY$72,INDIRECT($C$5&amp;"生成成长"),5))*(VLOOKUP($B$5,标准坦克设计!$B$24:$U$30,MATCH("对"&amp;LEFT($C$5,2)&amp;"输出",标准坦克设计!$B$23:$U$23,0)))*(VLOOKUP($B169,INDIRECT($B$5&amp;"生成成长"),3))*(VLOOKUP($B$5,标准坦克设计!$B$14:$K$20,9)/30))</f>
        <v>1.9185582950150633</v>
      </c>
      <c r="AZ169" s="173">
        <f ca="1">(VLOOKUP(AZ$72,INDIRECT($C$5&amp;"生成成长"),2))/((VLOOKUP($B169,INDIRECT($B$5&amp;"生成成长"),4))/(VLOOKUP(AZ$72,INDIRECT($C$5&amp;"生成成长"),5))*(VLOOKUP($B$5,标准坦克设计!$B$24:$U$30,MATCH("对"&amp;LEFT($C$5,2)&amp;"输出",标准坦克设计!$B$23:$U$23,0)))*(VLOOKUP($B169,INDIRECT($B$5&amp;"生成成长"),3))*(VLOOKUP($B$5,标准坦克设计!$B$14:$K$20,9)/30))</f>
        <v>2.1408233305811799</v>
      </c>
      <c r="BA169" s="173">
        <f ca="1">(VLOOKUP(BA$72,INDIRECT($C$5&amp;"生成成长"),2))/((VLOOKUP($B169,INDIRECT($B$5&amp;"生成成长"),4))/(VLOOKUP(BA$72,INDIRECT($C$5&amp;"生成成长"),5))*(VLOOKUP($B$5,标准坦克设计!$B$24:$U$30,MATCH("对"&amp;LEFT($C$5,2)&amp;"输出",标准坦克设计!$B$23:$U$23,0)))*(VLOOKUP($B169,INDIRECT($B$5&amp;"生成成长"),3))*(VLOOKUP($B$5,标准坦克设计!$B$14:$K$20,9)/30))</f>
        <v>2.3752672722057153</v>
      </c>
      <c r="BB169" s="173">
        <f ca="1">(VLOOKUP(BB$72,INDIRECT($C$5&amp;"生成成长"),2))/((VLOOKUP($B169,INDIRECT($B$5&amp;"生成成长"),4))/(VLOOKUP(BB$72,INDIRECT($C$5&amp;"生成成长"),5))*(VLOOKUP($B$5,标准坦克设计!$B$24:$U$30,MATCH("对"&amp;LEFT($C$5,2)&amp;"输出",标准坦克设计!$B$23:$U$23,0)))*(VLOOKUP($B169,INDIRECT($B$5&amp;"生成成长"),3))*(VLOOKUP($B$5,标准坦克设计!$B$14:$K$20,9)/30))</f>
        <v>2.621890119888667</v>
      </c>
      <c r="BC169" s="173">
        <f ca="1">(VLOOKUP(BC$72,INDIRECT($C$5&amp;"生成成长"),2))/((VLOOKUP($B169,INDIRECT($B$5&amp;"生成成长"),4))/(VLOOKUP(BC$72,INDIRECT($C$5&amp;"生成成长"),5))*(VLOOKUP($B$5,标准坦克设计!$B$24:$U$30,MATCH("对"&amp;LEFT($C$5,2)&amp;"输出",标准坦克设计!$B$23:$U$23,0)))*(VLOOKUP($B169,INDIRECT($B$5&amp;"生成成长"),3))*(VLOOKUP($B$5,标准坦克设计!$B$14:$K$20,9)/30))</f>
        <v>2.8806918736300364</v>
      </c>
      <c r="BD169" s="173">
        <f ca="1">(VLOOKUP(BD$72,INDIRECT($C$5&amp;"生成成长"),2))/((VLOOKUP($B169,INDIRECT($B$5&amp;"生成成长"),4))/(VLOOKUP(BD$72,INDIRECT($C$5&amp;"生成成长"),5))*(VLOOKUP($B$5,标准坦克设计!$B$24:$U$30,MATCH("对"&amp;LEFT($C$5,2)&amp;"输出",标准坦克设计!$B$23:$U$23,0)))*(VLOOKUP($B169,INDIRECT($B$5&amp;"生成成长"),3))*(VLOOKUP($B$5,标准坦克设计!$B$14:$K$20,9)/30))</f>
        <v>3.1864014452370291</v>
      </c>
      <c r="BE169" s="173">
        <f ca="1">(VLOOKUP(BE$72,INDIRECT($C$5&amp;"生成成长"),2))/((VLOOKUP($B169,INDIRECT($B$5&amp;"生成成长"),4))/(VLOOKUP(BE$72,INDIRECT($C$5&amp;"生成成长"),5))*(VLOOKUP($B$5,标准坦克设计!$B$24:$U$30,MATCH("对"&amp;LEFT($C$5,2)&amp;"输出",标准坦克设计!$B$23:$U$23,0)))*(VLOOKUP($B169,INDIRECT($B$5&amp;"生成成长"),3))*(VLOOKUP($B$5,标准坦克设计!$B$14:$K$20,9)/30))</f>
        <v>3.5075249448242061</v>
      </c>
      <c r="BF169" s="173">
        <f ca="1">(VLOOKUP(BF$72,INDIRECT($C$5&amp;"生成成长"),2))/((VLOOKUP($B169,INDIRECT($B$5&amp;"生成成长"),4))/(VLOOKUP(BF$72,INDIRECT($C$5&amp;"生成成长"),5))*(VLOOKUP($B$5,标准坦克设计!$B$24:$U$30,MATCH("对"&amp;LEFT($C$5,2)&amp;"输出",标准坦克设计!$B$23:$U$23,0)))*(VLOOKUP($B169,INDIRECT($B$5&amp;"生成成长"),3))*(VLOOKUP($B$5,标准坦克设计!$B$14:$K$20,9)/30))</f>
        <v>3.844062372391567</v>
      </c>
      <c r="BG169" s="173">
        <f ca="1">(VLOOKUP(BG$72,INDIRECT($C$5&amp;"生成成长"),2))/((VLOOKUP($B169,INDIRECT($B$5&amp;"生成成长"),4))/(VLOOKUP(BG$72,INDIRECT($C$5&amp;"生成成长"),5))*(VLOOKUP($B$5,标准坦克设计!$B$24:$U$30,MATCH("对"&amp;LEFT($C$5,2)&amp;"输出",标准坦克设计!$B$23:$U$23,0)))*(VLOOKUP($B169,INDIRECT($B$5&amp;"生成成长"),3))*(VLOOKUP($B$5,标准坦克设计!$B$14:$K$20,9)/30))</f>
        <v>4.1960137279391132</v>
      </c>
      <c r="BH169" s="173">
        <f ca="1">(VLOOKUP(BH$72,INDIRECT($C$5&amp;"生成成长"),2))/((VLOOKUP($B169,INDIRECT($B$5&amp;"生成成长"),4))/(VLOOKUP(BH$72,INDIRECT($C$5&amp;"生成成长"),5))*(VLOOKUP($B$5,标准坦克设计!$B$24:$U$30,MATCH("对"&amp;LEFT($C$5,2)&amp;"输出",标准坦克设计!$B$23:$U$23,0)))*(VLOOKUP($B169,INDIRECT($B$5&amp;"生成成长"),3))*(VLOOKUP($B$5,标准坦克设计!$B$14:$K$20,9)/30))</f>
        <v>2.0281684495408197</v>
      </c>
      <c r="BI169" s="173">
        <f ca="1">(VLOOKUP(BI$72,INDIRECT($C$5&amp;"生成成长"),2))/((VLOOKUP($B169,INDIRECT($B$5&amp;"生成成长"),4))/(VLOOKUP(BI$72,INDIRECT($C$5&amp;"生成成长"),5))*(VLOOKUP($B$5,标准坦克设计!$B$24:$U$30,MATCH("对"&amp;LEFT($C$5,2)&amp;"输出",标准坦克设计!$B$23:$U$23,0)))*(VLOOKUP($B169,INDIRECT($B$5&amp;"生成成长"),3))*(VLOOKUP($B$5,标准坦克设计!$B$14:$K$20,9)/30))</f>
        <v>2.2859235785427936</v>
      </c>
      <c r="BJ169" s="173">
        <f ca="1">(VLOOKUP(BJ$72,INDIRECT($C$5&amp;"生成成长"),2))/((VLOOKUP($B169,INDIRECT($B$5&amp;"生成成长"),4))/(VLOOKUP(BJ$72,INDIRECT($C$5&amp;"生成成长"),5))*(VLOOKUP($B$5,标准坦克设计!$B$24:$U$30,MATCH("对"&amp;LEFT($C$5,2)&amp;"输出",标准坦克设计!$B$23:$U$23,0)))*(VLOOKUP($B169,INDIRECT($B$5&amp;"生成成长"),3))*(VLOOKUP($B$5,标准坦克设计!$B$14:$K$20,9)/30))</f>
        <v>2.5590926355249524</v>
      </c>
      <c r="BK169" s="173">
        <f ca="1">(VLOOKUP(BK$72,INDIRECT($C$5&amp;"生成成长"),2))/((VLOOKUP($B169,INDIRECT($B$5&amp;"生成成长"),4))/(VLOOKUP(BK$72,INDIRECT($C$5&amp;"生成成长"),5))*(VLOOKUP($B$5,标准坦克设计!$B$24:$U$30,MATCH("对"&amp;LEFT($C$5,2)&amp;"输出",标准坦克设计!$B$23:$U$23,0)))*(VLOOKUP($B169,INDIRECT($B$5&amp;"生成成长"),3))*(VLOOKUP($B$5,标准坦克设计!$B$14:$K$20,9)/30))</f>
        <v>2.8476756204872959</v>
      </c>
      <c r="BL169" s="173">
        <f ca="1">(VLOOKUP(BL$72,INDIRECT($C$5&amp;"生成成长"),2))/((VLOOKUP($B169,INDIRECT($B$5&amp;"生成成长"),4))/(VLOOKUP(BL$72,INDIRECT($C$5&amp;"生成成长"),5))*(VLOOKUP($B$5,标准坦克设计!$B$24:$U$30,MATCH("对"&amp;LEFT($C$5,2)&amp;"输出",标准坦克设计!$B$23:$U$23,0)))*(VLOOKUP($B169,INDIRECT($B$5&amp;"生成成长"),3))*(VLOOKUP($B$5,标准坦克设计!$B$14:$K$20,9)/30))</f>
        <v>3.151672533429823</v>
      </c>
      <c r="BM169" s="173">
        <f ca="1">(VLOOKUP(BM$72,INDIRECT($C$5&amp;"生成成长"),2))/((VLOOKUP($B169,INDIRECT($B$5&amp;"生成成长"),4))/(VLOOKUP(BM$72,INDIRECT($C$5&amp;"生成成长"),5))*(VLOOKUP($B$5,标准坦克设计!$B$24:$U$30,MATCH("对"&amp;LEFT($C$5,2)&amp;"输出",标准坦克设计!$B$23:$U$23,0)))*(VLOOKUP($B169,INDIRECT($B$5&amp;"生成成长"),3))*(VLOOKUP($B$5,标准坦克设计!$B$14:$K$20,9)/30))</f>
        <v>3.4710833743525353</v>
      </c>
      <c r="BN169" s="173">
        <f ca="1">(VLOOKUP(BN$72,INDIRECT($C$5&amp;"生成成长"),2))/((VLOOKUP($B169,INDIRECT($B$5&amp;"生成成长"),4))/(VLOOKUP(BN$72,INDIRECT($C$5&amp;"生成成长"),5))*(VLOOKUP($B$5,标准坦克设计!$B$24:$U$30,MATCH("对"&amp;LEFT($C$5,2)&amp;"输出",标准坦克设计!$B$23:$U$23,0)))*(VLOOKUP($B169,INDIRECT($B$5&amp;"生成成长"),3))*(VLOOKUP($B$5,标准坦克设计!$B$14:$K$20,9)/30))</f>
        <v>3.805908143255432</v>
      </c>
      <c r="BO169" s="173">
        <f ca="1">(VLOOKUP(BO$72,INDIRECT($C$5&amp;"生成成长"),2))/((VLOOKUP($B169,INDIRECT($B$5&amp;"生成成长"),4))/(VLOOKUP(BO$72,INDIRECT($C$5&amp;"生成成长"),5))*(VLOOKUP($B$5,标准坦克设计!$B$24:$U$30,MATCH("对"&amp;LEFT($C$5,2)&amp;"输出",标准坦克设计!$B$23:$U$23,0)))*(VLOOKUP($B169,INDIRECT($B$5&amp;"生成成长"),3))*(VLOOKUP($B$5,标准坦克设计!$B$14:$K$20,9)/30))</f>
        <v>4.1561468401385122</v>
      </c>
      <c r="BP169" s="173">
        <f ca="1">(VLOOKUP(BP$72,INDIRECT($C$5&amp;"生成成长"),2))/((VLOOKUP($B169,INDIRECT($B$5&amp;"生成成长"),4))/(VLOOKUP(BP$72,INDIRECT($C$5&amp;"生成成长"),5))*(VLOOKUP($B$5,标准坦克设计!$B$24:$U$30,MATCH("对"&amp;LEFT($C$5,2)&amp;"输出",标准坦克设计!$B$23:$U$23,0)))*(VLOOKUP($B169,INDIRECT($B$5&amp;"生成成长"),3))*(VLOOKUP($B$5,标准坦克设计!$B$14:$K$20,9)/30))</f>
        <v>4.5217994650017781</v>
      </c>
      <c r="BQ169" s="173">
        <f ca="1">(VLOOKUP(BQ$72,INDIRECT($C$5&amp;"生成成长"),2))/((VLOOKUP($B169,INDIRECT($B$5&amp;"生成成长"),4))/(VLOOKUP(BQ$72,INDIRECT($C$5&amp;"生成成长"),5))*(VLOOKUP($B$5,标准坦克设计!$B$24:$U$30,MATCH("对"&amp;LEFT($C$5,2)&amp;"输出",标准坦克设计!$B$23:$U$23,0)))*(VLOOKUP($B169,INDIRECT($B$5&amp;"生成成长"),3))*(VLOOKUP($B$5,标准坦克设计!$B$14:$K$20,9)/30))</f>
        <v>4.9028660178452279</v>
      </c>
      <c r="BR169" s="173">
        <f ca="1">(VLOOKUP(BR$72,INDIRECT($C$5&amp;"生成成长"),2))/((VLOOKUP($B169,INDIRECT($B$5&amp;"生成成长"),4))/(VLOOKUP(BR$72,INDIRECT($C$5&amp;"生成成长"),5))*(VLOOKUP($B$5,标准坦克设计!$B$24:$U$30,MATCH("对"&amp;LEFT($C$5,2)&amp;"输出",标准坦克设计!$B$23:$U$23,0)))*(VLOOKUP($B169,INDIRECT($B$5&amp;"生成成长"),3))*(VLOOKUP($B$5,标准坦克设计!$B$14:$K$20,9)/30))</f>
        <v>5.3443513624628585</v>
      </c>
      <c r="BS169" s="173">
        <f ca="1">(VLOOKUP(BS$72,INDIRECT($C$5&amp;"生成成长"),2))/((VLOOKUP($B169,INDIRECT($B$5&amp;"生成成长"),4))/(VLOOKUP(BS$72,INDIRECT($C$5&amp;"生成成长"),5))*(VLOOKUP($B$5,标准坦克设计!$B$24:$U$30,MATCH("对"&amp;LEFT($C$5,2)&amp;"输出",标准坦克设计!$B$23:$U$23,0)))*(VLOOKUP($B169,INDIRECT($B$5&amp;"生成成长"),3))*(VLOOKUP($B$5,标准坦克设计!$B$14:$K$20,9)/30))</f>
        <v>5.8048662477967667</v>
      </c>
      <c r="BT169" s="173">
        <f ca="1">(VLOOKUP(BT$72,INDIRECT($C$5&amp;"生成成长"),2))/((VLOOKUP($B169,INDIRECT($B$5&amp;"生成成长"),4))/(VLOOKUP(BT$72,INDIRECT($C$5&amp;"生成成长"),5))*(VLOOKUP($B$5,标准坦克设计!$B$24:$U$30,MATCH("对"&amp;LEFT($C$5,2)&amp;"输出",标准坦克设计!$B$23:$U$23,0)))*(VLOOKUP($B169,INDIRECT($B$5&amp;"生成成长"),3))*(VLOOKUP($B$5,标准坦克设计!$B$14:$K$20,9)/30))</f>
        <v>6.284410673846951</v>
      </c>
      <c r="BU169" s="173">
        <f ca="1">(VLOOKUP(BU$72,INDIRECT($C$5&amp;"生成成长"),2))/((VLOOKUP($B169,INDIRECT($B$5&amp;"生成成长"),4))/(VLOOKUP(BU$72,INDIRECT($C$5&amp;"生成成长"),5))*(VLOOKUP($B$5,标准坦克设计!$B$24:$U$30,MATCH("对"&amp;LEFT($C$5,2)&amp;"输出",标准坦克设计!$B$23:$U$23,0)))*(VLOOKUP($B169,INDIRECT($B$5&amp;"生成成长"),3))*(VLOOKUP($B$5,标准坦克设计!$B$14:$K$20,9)/30))</f>
        <v>6.7829846406134138</v>
      </c>
      <c r="BV169" s="173">
        <f ca="1">(VLOOKUP(BV$72,INDIRECT($C$5&amp;"生成成长"),2))/((VLOOKUP($B169,INDIRECT($B$5&amp;"生成成长"),4))/(VLOOKUP(BV$72,INDIRECT($C$5&amp;"生成成长"),5))*(VLOOKUP($B$5,标准坦克设计!$B$24:$U$30,MATCH("对"&amp;LEFT($C$5,2)&amp;"输出",标准坦克设计!$B$23:$U$23,0)))*(VLOOKUP($B169,INDIRECT($B$5&amp;"生成成长"),3))*(VLOOKUP($B$5,标准坦克设计!$B$14:$K$20,9)/30))</f>
        <v>7.3005881480961508</v>
      </c>
      <c r="BW169" s="173">
        <f ca="1">(VLOOKUP(BW$72,INDIRECT($C$5&amp;"生成成长"),2))/((VLOOKUP($B169,INDIRECT($B$5&amp;"生成成长"),4))/(VLOOKUP(BW$72,INDIRECT($C$5&amp;"生成成长"),5))*(VLOOKUP($B$5,标准坦克设计!$B$24:$U$30,MATCH("对"&amp;LEFT($C$5,2)&amp;"输出",标准坦克设计!$B$23:$U$23,0)))*(VLOOKUP($B169,INDIRECT($B$5&amp;"生成成长"),3))*(VLOOKUP($B$5,标准坦克设计!$B$14:$K$20,9)/30))</f>
        <v>3.3272200465374797</v>
      </c>
      <c r="BX169" s="173">
        <f ca="1">(VLOOKUP(BX$72,INDIRECT($C$5&amp;"生成成长"),2))/((VLOOKUP($B169,INDIRECT($B$5&amp;"生成成长"),4))/(VLOOKUP(BX$72,INDIRECT($C$5&amp;"生成成长"),5))*(VLOOKUP($B$5,标准坦克设计!$B$24:$U$30,MATCH("对"&amp;LEFT($C$5,2)&amp;"输出",标准坦克设计!$B$23:$U$23,0)))*(VLOOKUP($B169,INDIRECT($B$5&amp;"生成成长"),3))*(VLOOKUP($B$5,标准坦克设计!$B$14:$K$20,9)/30))</f>
        <v>3.6925872282900016</v>
      </c>
      <c r="BY169" s="173">
        <f ca="1">(VLOOKUP(BY$72,INDIRECT($C$5&amp;"生成成长"),2))/((VLOOKUP($B169,INDIRECT($B$5&amp;"生成成长"),4))/(VLOOKUP(BY$72,INDIRECT($C$5&amp;"生成成长"),5))*(VLOOKUP($B$5,标准坦克设计!$B$24:$U$30,MATCH("对"&amp;LEFT($C$5,2)&amp;"输出",标准坦克设计!$B$23:$U$23,0)))*(VLOOKUP($B169,INDIRECT($B$5&amp;"生成成长"),3))*(VLOOKUP($B$5,标准坦克设计!$B$14:$K$20,9)/30))</f>
        <v>4.0769839507587999</v>
      </c>
      <c r="BZ169" s="173">
        <f ca="1">(VLOOKUP(BZ$72,INDIRECT($C$5&amp;"生成成长"),2))/((VLOOKUP($B169,INDIRECT($B$5&amp;"生成成长"),4))/(VLOOKUP(BZ$72,INDIRECT($C$5&amp;"生成成长"),5))*(VLOOKUP($B$5,标准坦克设计!$B$24:$U$30,MATCH("对"&amp;LEFT($C$5,2)&amp;"输出",标准坦克设计!$B$23:$U$23,0)))*(VLOOKUP($B169,INDIRECT($B$5&amp;"生成成长"),3))*(VLOOKUP($B$5,标准坦克设计!$B$14:$K$20,9)/30))</f>
        <v>4.4804102139438768</v>
      </c>
      <c r="CA169" s="173">
        <f ca="1">(VLOOKUP(CA$72,INDIRECT($C$5&amp;"生成成长"),2))/((VLOOKUP($B169,INDIRECT($B$5&amp;"生成成长"),4))/(VLOOKUP(CA$72,INDIRECT($C$5&amp;"生成成长"),5))*(VLOOKUP($B$5,标准坦克设计!$B$24:$U$30,MATCH("对"&amp;LEFT($C$5,2)&amp;"输出",标准坦克设计!$B$23:$U$23,0)))*(VLOOKUP($B169,INDIRECT($B$5&amp;"生成成长"),3))*(VLOOKUP($B$5,标准坦克设计!$B$14:$K$20,9)/30))</f>
        <v>4.9028660178452279</v>
      </c>
      <c r="CB169" s="173">
        <f ca="1">(VLOOKUP(CB$72,INDIRECT($C$5&amp;"生成成长"),2))/((VLOOKUP($B169,INDIRECT($B$5&amp;"生成成长"),4))/(VLOOKUP(CB$72,INDIRECT($C$5&amp;"生成成长"),5))*(VLOOKUP($B$5,标准坦克设计!$B$24:$U$30,MATCH("对"&amp;LEFT($C$5,2)&amp;"输出",标准坦克设计!$B$23:$U$23,0)))*(VLOOKUP($B169,INDIRECT($B$5&amp;"生成成长"),3))*(VLOOKUP($B$5,标准坦克设计!$B$14:$K$20,9)/30))</f>
        <v>5.3443513624628585</v>
      </c>
      <c r="CC169" s="173">
        <f ca="1">(VLOOKUP(CC$72,INDIRECT($C$5&amp;"生成成长"),2))/((VLOOKUP($B169,INDIRECT($B$5&amp;"生成成长"),4))/(VLOOKUP(CC$72,INDIRECT($C$5&amp;"生成成长"),5))*(VLOOKUP($B$5,标准坦克设计!$B$24:$U$30,MATCH("对"&amp;LEFT($C$5,2)&amp;"输出",标准坦克设计!$B$23:$U$23,0)))*(VLOOKUP($B169,INDIRECT($B$5&amp;"生成成长"),3))*(VLOOKUP($B$5,标准坦克设计!$B$14:$K$20,9)/30))</f>
        <v>5.8048662477967667</v>
      </c>
      <c r="CD169" s="173">
        <f ca="1">(VLOOKUP(CD$72,INDIRECT($C$5&amp;"生成成长"),2))/((VLOOKUP($B169,INDIRECT($B$5&amp;"生成成长"),4))/(VLOOKUP(CD$72,INDIRECT($C$5&amp;"生成成长"),5))*(VLOOKUP($B$5,标准坦克设计!$B$24:$U$30,MATCH("对"&amp;LEFT($C$5,2)&amp;"输出",标准坦克设计!$B$23:$U$23,0)))*(VLOOKUP($B169,INDIRECT($B$5&amp;"生成成长"),3))*(VLOOKUP($B$5,标准坦克设计!$B$14:$K$20,9)/30))</f>
        <v>6.284410673846951</v>
      </c>
      <c r="CE169" s="173">
        <f ca="1">(VLOOKUP(CE$72,INDIRECT($C$5&amp;"生成成长"),2))/((VLOOKUP($B169,INDIRECT($B$5&amp;"生成成长"),4))/(VLOOKUP(CE$72,INDIRECT($C$5&amp;"生成成长"),5))*(VLOOKUP($B$5,标准坦克设计!$B$24:$U$30,MATCH("对"&amp;LEFT($C$5,2)&amp;"输出",标准坦克设计!$B$23:$U$23,0)))*(VLOOKUP($B169,INDIRECT($B$5&amp;"生成成长"),3))*(VLOOKUP($B$5,标准坦克设计!$B$14:$K$20,9)/30))</f>
        <v>6.7829846406134138</v>
      </c>
      <c r="CF169" s="173">
        <f ca="1">(VLOOKUP(CF$72,INDIRECT($C$5&amp;"生成成长"),2))/((VLOOKUP($B169,INDIRECT($B$5&amp;"生成成长"),4))/(VLOOKUP(CF$72,INDIRECT($C$5&amp;"生成成长"),5))*(VLOOKUP($B$5,标准坦克设计!$B$24:$U$30,MATCH("对"&amp;LEFT($C$5,2)&amp;"输出",标准坦克设计!$B$23:$U$23,0)))*(VLOOKUP($B169,INDIRECT($B$5&amp;"生成成长"),3))*(VLOOKUP($B$5,标准坦克设计!$B$14:$K$20,9)/30))</f>
        <v>7.3005881480961508</v>
      </c>
      <c r="CG169" s="173">
        <f ca="1">(VLOOKUP(CG$72,INDIRECT($C$5&amp;"生成成长"),2))/((VLOOKUP($B169,INDIRECT($B$5&amp;"生成成长"),4))/(VLOOKUP(CG$72,INDIRECT($C$5&amp;"生成成长"),5))*(VLOOKUP($B$5,标准坦克设计!$B$24:$U$30,MATCH("对"&amp;LEFT($C$5,2)&amp;"输出",标准坦克设计!$B$23:$U$23,0)))*(VLOOKUP($B169,INDIRECT($B$5&amp;"生成成长"),3))*(VLOOKUP($B$5,标准坦克设计!$B$14:$K$20,9)/30))</f>
        <v>7.8372211962951663</v>
      </c>
      <c r="CH169" s="173">
        <f ca="1">(VLOOKUP(CH$72,INDIRECT($C$5&amp;"生成成长"),2))/((VLOOKUP($B169,INDIRECT($B$5&amp;"生成成长"),4))/(VLOOKUP(CH$72,INDIRECT($C$5&amp;"生成成长"),5))*(VLOOKUP($B$5,标准坦克设计!$B$24:$U$30,MATCH("对"&amp;LEFT($C$5,2)&amp;"输出",标准坦克设计!$B$23:$U$23,0)))*(VLOOKUP($B169,INDIRECT($B$5&amp;"生成成长"),3))*(VLOOKUP($B$5,标准坦克设计!$B$14:$K$20,9)/30))</f>
        <v>8.3928837852104579</v>
      </c>
      <c r="CI169" s="173">
        <f ca="1">(VLOOKUP(CI$72,INDIRECT($C$5&amp;"生成成长"),2))/((VLOOKUP($B169,INDIRECT($B$5&amp;"生成成长"),4))/(VLOOKUP(CI$72,INDIRECT($C$5&amp;"生成成长"),5))*(VLOOKUP($B$5,标准坦克设计!$B$24:$U$30,MATCH("对"&amp;LEFT($C$5,2)&amp;"输出",标准坦克设计!$B$23:$U$23,0)))*(VLOOKUP($B169,INDIRECT($B$5&amp;"生成成长"),3))*(VLOOKUP($B$5,标准坦克设计!$B$14:$K$20,9)/30))</f>
        <v>9.0260917525445823</v>
      </c>
      <c r="CJ169" s="173">
        <f ca="1">(VLOOKUP(CJ$72,INDIRECT($C$5&amp;"生成成长"),2))/((VLOOKUP($B169,INDIRECT($B$5&amp;"生成成长"),4))/(VLOOKUP(CJ$72,INDIRECT($C$5&amp;"生成成长"),5))*(VLOOKUP($B$5,标准坦克设计!$B$24:$U$30,MATCH("对"&amp;LEFT($C$5,2)&amp;"输出",标准坦克设计!$B$23:$U$23,0)))*(VLOOKUP($B169,INDIRECT($B$5&amp;"生成成长"),3))*(VLOOKUP($B$5,标准坦克设计!$B$14:$K$20,9)/30))</f>
        <v>9.6823254641453982</v>
      </c>
      <c r="CK169" s="173">
        <f ca="1">(VLOOKUP(CK$72,INDIRECT($C$5&amp;"生成成长"),2))/((VLOOKUP($B169,INDIRECT($B$5&amp;"生成成长"),4))/(VLOOKUP(CK$72,INDIRECT($C$5&amp;"生成成长"),5))*(VLOOKUP($B$5,标准坦克设计!$B$24:$U$30,MATCH("对"&amp;LEFT($C$5,2)&amp;"输出",标准坦克设计!$B$23:$U$23,0)))*(VLOOKUP($B169,INDIRECT($B$5&amp;"生成成长"),3))*(VLOOKUP($B$5,标准坦克设计!$B$14:$K$20,9)/30))</f>
        <v>10.361584920012913</v>
      </c>
      <c r="CL169" s="173">
        <f ca="1">(VLOOKUP(CL$72,INDIRECT($C$5&amp;"生成成长"),2))/((VLOOKUP($B169,INDIRECT($B$5&amp;"生成成长"),4))/(VLOOKUP(CL$72,INDIRECT($C$5&amp;"生成成长"),5))*(VLOOKUP($B$5,标准坦克设计!$B$24:$U$30,MATCH("对"&amp;LEFT($C$5,2)&amp;"输出",标准坦克设计!$B$23:$U$23,0)))*(VLOOKUP($B169,INDIRECT($B$5&amp;"生成成长"),3))*(VLOOKUP($B$5,标准坦克设计!$B$14:$K$20,9)/30))</f>
        <v>11.063870120147122</v>
      </c>
      <c r="CM169" s="173">
        <f ca="1">(VLOOKUP(CM$72,INDIRECT($C$5&amp;"生成成长"),2))/((VLOOKUP($B169,INDIRECT($B$5&amp;"生成成长"),4))/(VLOOKUP(CM$72,INDIRECT($C$5&amp;"生成成长"),5))*(VLOOKUP($B$5,标准坦克设计!$B$24:$U$30,MATCH("对"&amp;LEFT($C$5,2)&amp;"输出",标准坦克设计!$B$23:$U$23,0)))*(VLOOKUP($B169,INDIRECT($B$5&amp;"生成成长"),3))*(VLOOKUP($B$5,标准坦克设计!$B$14:$K$20,9)/30))</f>
        <v>11.789181064548027</v>
      </c>
      <c r="CN169" s="173">
        <f ca="1">(VLOOKUP(CN$72,INDIRECT($C$5&amp;"生成成长"),2))/((VLOOKUP($B169,INDIRECT($B$5&amp;"生成成长"),4))/(VLOOKUP(CN$72,INDIRECT($C$5&amp;"生成成长"),5))*(VLOOKUP($B$5,标准坦克设计!$B$24:$U$30,MATCH("对"&amp;LEFT($C$5,2)&amp;"输出",标准坦克设计!$B$23:$U$23,0)))*(VLOOKUP($B169,INDIRECT($B$5&amp;"生成成长"),3))*(VLOOKUP($B$5,标准坦克设计!$B$14:$K$20,9)/30))</f>
        <v>12.537517753215626</v>
      </c>
      <c r="CO169" s="173">
        <f ca="1">(VLOOKUP(CO$72,INDIRECT($C$5&amp;"生成成长"),2))/((VLOOKUP($B169,INDIRECT($B$5&amp;"生成成长"),4))/(VLOOKUP(CO$72,INDIRECT($C$5&amp;"生成成长"),5))*(VLOOKUP($B$5,标准坦克设计!$B$24:$U$30,MATCH("对"&amp;LEFT($C$5,2)&amp;"输出",标准坦克设计!$B$23:$U$23,0)))*(VLOOKUP($B169,INDIRECT($B$5&amp;"生成成长"),3))*(VLOOKUP($B$5,标准坦克设计!$B$14:$K$20,9)/30))</f>
        <v>5.6183767487772496</v>
      </c>
      <c r="CP169" s="173">
        <f ca="1">(VLOOKUP(CP$72,INDIRECT($C$5&amp;"生成成长"),2))/((VLOOKUP($B169,INDIRECT($B$5&amp;"生成成长"),4))/(VLOOKUP(CP$72,INDIRECT($C$5&amp;"生成成长"),5))*(VLOOKUP($B$5,标准坦克设计!$B$24:$U$30,MATCH("对"&amp;LEFT($C$5,2)&amp;"输出",标准坦克设计!$B$23:$U$23,0)))*(VLOOKUP($B169,INDIRECT($B$5&amp;"生成成长"),3))*(VLOOKUP($B$5,标准坦克设计!$B$14:$K$20,9)/30))</f>
        <v>6.1385492442566854</v>
      </c>
      <c r="CQ169" s="173">
        <f ca="1">(VLOOKUP(CQ$72,INDIRECT($C$5&amp;"生成成长"),2))/((VLOOKUP($B169,INDIRECT($B$5&amp;"生成成长"),4))/(VLOOKUP(CQ$72,INDIRECT($C$5&amp;"生成成长"),5))*(VLOOKUP($B$5,标准坦克设计!$B$24:$U$30,MATCH("对"&amp;LEFT($C$5,2)&amp;"输出",标准坦克设计!$B$23:$U$23,0)))*(VLOOKUP($B169,INDIRECT($B$5&amp;"生成成长"),3))*(VLOOKUP($B$5,标准坦克设计!$B$14:$K$20,9)/30))</f>
        <v>6.6817474840028188</v>
      </c>
      <c r="CR169" s="173">
        <f ca="1">(VLOOKUP(CR$72,INDIRECT($C$5&amp;"生成成长"),2))/((VLOOKUP($B169,INDIRECT($B$5&amp;"生成成长"),4))/(VLOOKUP(CR$72,INDIRECT($C$5&amp;"生成成长"),5))*(VLOOKUP($B$5,标准坦克设计!$B$24:$U$30,MATCH("对"&amp;LEFT($C$5,2)&amp;"输出",标准坦克设计!$B$23:$U$23,0)))*(VLOOKUP($B169,INDIRECT($B$5&amp;"生成成长"),3))*(VLOOKUP($B$5,标准坦克设计!$B$14:$K$20,9)/30))</f>
        <v>7.2479714680156446</v>
      </c>
      <c r="CS169" s="173">
        <f ca="1">(VLOOKUP(CS$72,INDIRECT($C$5&amp;"生成成长"),2))/((VLOOKUP($B169,INDIRECT($B$5&amp;"生成成长"),4))/(VLOOKUP(CS$72,INDIRECT($C$5&amp;"生成成长"),5))*(VLOOKUP($B$5,标准坦克设计!$B$24:$U$30,MATCH("对"&amp;LEFT($C$5,2)&amp;"输出",标准坦克设计!$B$23:$U$23,0)))*(VLOOKUP($B169,INDIRECT($B$5&amp;"生成成长"),3))*(VLOOKUP($B$5,标准坦克设计!$B$14:$K$20,9)/30))</f>
        <v>7.8372211962951663</v>
      </c>
      <c r="CT169" s="173">
        <f ca="1">(VLOOKUP(CT$72,INDIRECT($C$5&amp;"生成成长"),2))/((VLOOKUP($B169,INDIRECT($B$5&amp;"生成成长"),4))/(VLOOKUP(CT$72,INDIRECT($C$5&amp;"生成成长"),5))*(VLOOKUP($B$5,标准坦克设计!$B$24:$U$30,MATCH("对"&amp;LEFT($C$5,2)&amp;"输出",标准坦克设计!$B$23:$U$23,0)))*(VLOOKUP($B169,INDIRECT($B$5&amp;"生成成长"),3))*(VLOOKUP($B$5,标准坦克设计!$B$14:$K$20,9)/30))</f>
        <v>8.4494966688413857</v>
      </c>
      <c r="CU169" s="173">
        <f ca="1">(VLOOKUP(CU$72,INDIRECT($C$5&amp;"生成成长"),2))/((VLOOKUP($B169,INDIRECT($B$5&amp;"生成成长"),4))/(VLOOKUP(CU$72,INDIRECT($C$5&amp;"生成成长"),5))*(VLOOKUP($B$5,标准坦克设计!$B$24:$U$30,MATCH("对"&amp;LEFT($C$5,2)&amp;"输出",标准坦克设计!$B$23:$U$23,0)))*(VLOOKUP($B169,INDIRECT($B$5&amp;"生成成长"),3))*(VLOOKUP($B$5,标准坦克设计!$B$14:$K$20,9)/30))</f>
        <v>9.0847978856542984</v>
      </c>
      <c r="CV169" s="173">
        <f ca="1">(VLOOKUP(CV$72,INDIRECT($C$5&amp;"生成成长"),2))/((VLOOKUP($B169,INDIRECT($B$5&amp;"生成成长"),4))/(VLOOKUP(CV$72,INDIRECT($C$5&amp;"生成成长"),5))*(VLOOKUP($B$5,标准坦克设计!$B$24:$U$30,MATCH("对"&amp;LEFT($C$5,2)&amp;"输出",标准坦克设计!$B$23:$U$23,0)))*(VLOOKUP($B169,INDIRECT($B$5&amp;"生成成长"),3))*(VLOOKUP($B$5,标准坦克设计!$B$14:$K$20,9)/30))</f>
        <v>9.743124846733906</v>
      </c>
      <c r="CW169" s="173">
        <f ca="1">(VLOOKUP(CW$72,INDIRECT($C$5&amp;"生成成长"),2))/((VLOOKUP($B169,INDIRECT($B$5&amp;"生成成长"),4))/(VLOOKUP(CW$72,INDIRECT($C$5&amp;"生成成长"),5))*(VLOOKUP($B$5,标准坦克设计!$B$24:$U$30,MATCH("对"&amp;LEFT($C$5,2)&amp;"输出",标准坦克设计!$B$23:$U$23,0)))*(VLOOKUP($B169,INDIRECT($B$5&amp;"生成成长"),3))*(VLOOKUP($B$5,标准坦克设计!$B$14:$K$20,9)/30))</f>
        <v>10.424477552080209</v>
      </c>
      <c r="CX169" s="173">
        <f ca="1">(VLOOKUP(CX$72,INDIRECT($C$5&amp;"生成成长"),2))/((VLOOKUP($B169,INDIRECT($B$5&amp;"生成成长"),4))/(VLOOKUP(CX$72,INDIRECT($C$5&amp;"生成成长"),5))*(VLOOKUP($B$5,标准坦克设计!$B$24:$U$30,MATCH("对"&amp;LEFT($C$5,2)&amp;"输出",标准坦克设计!$B$23:$U$23,0)))*(VLOOKUP($B169,INDIRECT($B$5&amp;"生成成长"),3))*(VLOOKUP($B$5,标准坦克设计!$B$14:$K$20,9)/30))</f>
        <v>11.128856001693208</v>
      </c>
      <c r="CY169" s="173">
        <f ca="1">(VLOOKUP(CY$72,INDIRECT($C$5&amp;"生成成长"),2))/((VLOOKUP($B169,INDIRECT($B$5&amp;"生成成长"),4))/(VLOOKUP(CY$72,INDIRECT($C$5&amp;"生成成长"),5))*(VLOOKUP($B$5,标准坦克设计!$B$24:$U$30,MATCH("对"&amp;LEFT($C$5,2)&amp;"输出",标准坦克设计!$B$23:$U$23,0)))*(VLOOKUP($B169,INDIRECT($B$5&amp;"生成成长"),3))*(VLOOKUP($B$5,标准坦克设计!$B$14:$K$20,9)/30))</f>
        <v>11.856260195572903</v>
      </c>
      <c r="CZ169" s="173">
        <f ca="1">(VLOOKUP(CZ$72,INDIRECT($C$5&amp;"生成成长"),2))/((VLOOKUP($B169,INDIRECT($B$5&amp;"生成成长"),4))/(VLOOKUP(CZ$72,INDIRECT($C$5&amp;"生成成长"),5))*(VLOOKUP($B$5,标准坦克设计!$B$24:$U$30,MATCH("对"&amp;LEFT($C$5,2)&amp;"输出",标准坦克设计!$B$23:$U$23,0)))*(VLOOKUP($B169,INDIRECT($B$5&amp;"生成成长"),3))*(VLOOKUP($B$5,标准坦克设计!$B$14:$K$20,9)/30))</f>
        <v>12.606690133719292</v>
      </c>
      <c r="DA169" s="173">
        <f ca="1">(VLOOKUP(DA$72,INDIRECT($C$5&amp;"生成成长"),2))/((VLOOKUP($B169,INDIRECT($B$5&amp;"生成成长"),4))/(VLOOKUP(DA$72,INDIRECT($C$5&amp;"生成成长"),5))*(VLOOKUP($B$5,标准坦克设计!$B$24:$U$30,MATCH("对"&amp;LEFT($C$5,2)&amp;"输出",标准坦克设计!$B$23:$U$23,0)))*(VLOOKUP($B169,INDIRECT($B$5&amp;"生成成长"),3))*(VLOOKUP($B$5,标准坦克设计!$B$14:$K$20,9)/30))</f>
        <v>13.380145816132378</v>
      </c>
      <c r="DB169" s="173">
        <f ca="1">(VLOOKUP(DB$72,INDIRECT($C$5&amp;"生成成长"),2))/((VLOOKUP($B169,INDIRECT($B$5&amp;"生成成长"),4))/(VLOOKUP(DB$72,INDIRECT($C$5&amp;"生成成长"),5))*(VLOOKUP($B$5,标准坦克设计!$B$24:$U$30,MATCH("对"&amp;LEFT($C$5,2)&amp;"输出",标准坦克设计!$B$23:$U$23,0)))*(VLOOKUP($B169,INDIRECT($B$5&amp;"生成成长"),3))*(VLOOKUP($B$5,标准坦克设计!$B$14:$K$20,9)/30))</f>
        <v>14.17662724281216</v>
      </c>
      <c r="DC169" s="173">
        <f ca="1">(VLOOKUP(DC$72,INDIRECT($C$5&amp;"生成成长"),2))/((VLOOKUP($B169,INDIRECT($B$5&amp;"生成成长"),4))/(VLOOKUP(DC$72,INDIRECT($C$5&amp;"生成成长"),5))*(VLOOKUP($B$5,标准坦克设计!$B$24:$U$30,MATCH("对"&amp;LEFT($C$5,2)&amp;"输出",标准坦克设计!$B$23:$U$23,0)))*(VLOOKUP($B169,INDIRECT($B$5&amp;"生成成长"),3))*(VLOOKUP($B$5,标准坦克设计!$B$14:$K$20,9)/30))</f>
        <v>15.071776838105835</v>
      </c>
      <c r="DD169" s="173">
        <f ca="1">(VLOOKUP(DD$72,INDIRECT($C$5&amp;"生成成长"),2))/((VLOOKUP($B169,INDIRECT($B$5&amp;"生成成长"),4))/(VLOOKUP(DD$72,INDIRECT($C$5&amp;"生成成长"),5))*(VLOOKUP($B$5,标准坦克设计!$B$24:$U$30,MATCH("对"&amp;LEFT($C$5,2)&amp;"输出",标准坦克设计!$B$23:$U$23,0)))*(VLOOKUP($B169,INDIRECT($B$5&amp;"生成成长"),3))*(VLOOKUP($B$5,标准坦克设计!$B$14:$K$20,9)/30))</f>
        <v>15.994328972030951</v>
      </c>
      <c r="DE169" s="173">
        <f ca="1">(VLOOKUP(DE$72,INDIRECT($C$5&amp;"生成成长"),2))/((VLOOKUP($B169,INDIRECT($B$5&amp;"生成成长"),4))/(VLOOKUP(DE$72,INDIRECT($C$5&amp;"生成成长"),5))*(VLOOKUP($B$5,标准坦克设计!$B$24:$U$30,MATCH("对"&amp;LEFT($C$5,2)&amp;"输出",标准坦克设计!$B$23:$U$23,0)))*(VLOOKUP($B169,INDIRECT($B$5&amp;"生成成长"),3))*(VLOOKUP($B$5,标准坦克设计!$B$14:$K$20,9)/30))</f>
        <v>16.944283644587511</v>
      </c>
      <c r="DF169" s="173">
        <f ca="1">(VLOOKUP(DF$72,INDIRECT($C$5&amp;"生成成长"),2))/((VLOOKUP($B169,INDIRECT($B$5&amp;"生成成长"),4))/(VLOOKUP(DF$72,INDIRECT($C$5&amp;"生成成长"),5))*(VLOOKUP($B$5,标准坦克设计!$B$24:$U$30,MATCH("对"&amp;LEFT($C$5,2)&amp;"输出",标准坦克设计!$B$23:$U$23,0)))*(VLOOKUP($B169,INDIRECT($B$5&amp;"生成成长"),3))*(VLOOKUP($B$5,标准坦克设计!$B$14:$K$20,9)/30))</f>
        <v>17.921640855775507</v>
      </c>
      <c r="DG169" s="173">
        <f ca="1">(VLOOKUP(DG$72,INDIRECT($C$5&amp;"生成成长"),2))/((VLOOKUP($B169,INDIRECT($B$5&amp;"生成成长"),4))/(VLOOKUP(DG$72,INDIRECT($C$5&amp;"生成成长"),5))*(VLOOKUP($B$5,标准坦克设计!$B$24:$U$30,MATCH("对"&amp;LEFT($C$5,2)&amp;"输出",标准坦克设计!$B$23:$U$23,0)))*(VLOOKUP($B169,INDIRECT($B$5&amp;"生成成长"),3))*(VLOOKUP($B$5,标准坦克设计!$B$14:$K$20,9)/30))</f>
        <v>18.926400605594939</v>
      </c>
      <c r="DH169" s="173">
        <f ca="1">(VLOOKUP(DH$72,INDIRECT($C$5&amp;"生成成长"),2))/((VLOOKUP($B169,INDIRECT($B$5&amp;"生成成长"),4))/(VLOOKUP(DH$72,INDIRECT($C$5&amp;"生成成长"),5))*(VLOOKUP($B$5,标准坦克设计!$B$24:$U$30,MATCH("对"&amp;LEFT($C$5,2)&amp;"输出",标准坦克设计!$B$23:$U$23,0)))*(VLOOKUP($B169,INDIRECT($B$5&amp;"生成成长"),3))*(VLOOKUP($B$5,标准坦克设计!$B$14:$K$20,9)/30))</f>
        <v>19.958562894045812</v>
      </c>
      <c r="DI169" s="173">
        <f ca="1">(VLOOKUP(DI$72,INDIRECT($C$5&amp;"生成成长"),2))/((VLOOKUP($B169,INDIRECT($B$5&amp;"生成成长"),4))/(VLOOKUP(DI$72,INDIRECT($C$5&amp;"生成成长"),5))*(VLOOKUP($B$5,标准坦克设计!$B$24:$U$30,MATCH("对"&amp;LEFT($C$5,2)&amp;"输出",标准坦克设计!$B$23:$U$23,0)))*(VLOOKUP($B169,INDIRECT($B$5&amp;"生成成长"),3))*(VLOOKUP($B$5,标准坦克设计!$B$14:$K$20,9)/30))</f>
        <v>21.018127721128121</v>
      </c>
      <c r="DJ169" s="173">
        <f ca="1">(VLOOKUP(DJ$72,INDIRECT($C$5&amp;"生成成长"),2))/((VLOOKUP($B169,INDIRECT($B$5&amp;"生成成长"),4))/(VLOOKUP(DJ$72,INDIRECT($C$5&amp;"生成成长"),5))*(VLOOKUP($B$5,标准坦克设计!$B$24:$U$30,MATCH("对"&amp;LEFT($C$5,2)&amp;"输出",标准坦克设计!$B$23:$U$23,0)))*(VLOOKUP($B169,INDIRECT($B$5&amp;"生成成长"),3))*(VLOOKUP($B$5,标准坦克设计!$B$14:$K$20,9)/30))</f>
        <v>2.1123741672103464</v>
      </c>
      <c r="DK169" s="173">
        <f ca="1">(VLOOKUP(DK$72,INDIRECT($C$5&amp;"生成成长"),2))/((VLOOKUP($B169,INDIRECT($B$5&amp;"生成成长"),4))/(VLOOKUP(DK$72,INDIRECT($C$5&amp;"生成成长"),5))*(VLOOKUP($B$5,标准坦克设计!$B$24:$U$30,MATCH("对"&amp;LEFT($C$5,2)&amp;"输出",标准坦克设计!$B$23:$U$23,0)))*(VLOOKUP($B169,INDIRECT($B$5&amp;"生成成长"),3))*(VLOOKUP($B$5,标准坦克设计!$B$14:$K$20,9)/30))</f>
        <v>2.3752672722057153</v>
      </c>
      <c r="DL169" s="173">
        <f ca="1">(VLOOKUP(DL$72,INDIRECT($C$5&amp;"生成成长"),2))/((VLOOKUP($B169,INDIRECT($B$5&amp;"生成成长"),4))/(VLOOKUP(DL$72,INDIRECT($C$5&amp;"生成成长"),5))*(VLOOKUP($B$5,标准坦克设计!$B$24:$U$30,MATCH("对"&amp;LEFT($C$5,2)&amp;"输出",标准坦克设计!$B$23:$U$23,0)))*(VLOOKUP($B169,INDIRECT($B$5&amp;"生成成长"),3))*(VLOOKUP($B$5,标准坦克设计!$B$14:$K$20,9)/30))</f>
        <v>2.6535743051812686</v>
      </c>
      <c r="DM169" s="173">
        <f ca="1">(VLOOKUP(DM$72,INDIRECT($C$5&amp;"生成成长"),2))/((VLOOKUP($B169,INDIRECT($B$5&amp;"生成成长"),4))/(VLOOKUP(DM$72,INDIRECT($C$5&amp;"生成成长"),5))*(VLOOKUP($B$5,标准坦克设计!$B$24:$U$30,MATCH("对"&amp;LEFT($C$5,2)&amp;"输出",标准坦克设计!$B$23:$U$23,0)))*(VLOOKUP($B169,INDIRECT($B$5&amp;"生成成长"),3))*(VLOOKUP($B$5,标准坦克设计!$B$14:$K$20,9)/30))</f>
        <v>2.9472952661370067</v>
      </c>
      <c r="DN169" s="173">
        <f ca="1">(VLOOKUP(DN$72,INDIRECT($C$5&amp;"生成成长"),2))/((VLOOKUP($B169,INDIRECT($B$5&amp;"生成成长"),4))/(VLOOKUP(DN$72,INDIRECT($C$5&amp;"生成成长"),5))*(VLOOKUP($B$5,标准坦克设计!$B$24:$U$30,MATCH("对"&amp;LEFT($C$5,2)&amp;"输出",标准坦克设计!$B$23:$U$23,0)))*(VLOOKUP($B169,INDIRECT($B$5&amp;"生成成长"),3))*(VLOOKUP($B$5,标准坦克设计!$B$14:$K$20,9)/30))</f>
        <v>3.2564301550729287</v>
      </c>
      <c r="DO169" s="173">
        <f ca="1">(VLOOKUP(DO$72,INDIRECT($C$5&amp;"生成成长"),2))/((VLOOKUP($B169,INDIRECT($B$5&amp;"生成成长"),4))/(VLOOKUP(DO$72,INDIRECT($C$5&amp;"生成成长"),5))*(VLOOKUP($B$5,标准坦克设计!$B$24:$U$30,MATCH("对"&amp;LEFT($C$5,2)&amp;"输出",标准坦克设计!$B$23:$U$23,0)))*(VLOOKUP($B169,INDIRECT($B$5&amp;"生成成长"),3))*(VLOOKUP($B$5,标准坦克设计!$B$14:$K$20,9)/30))</f>
        <v>3.5809789719890364</v>
      </c>
      <c r="DP169" s="173">
        <f ca="1">(VLOOKUP(DP$72,INDIRECT($C$5&amp;"生成成长"),2))/((VLOOKUP($B169,INDIRECT($B$5&amp;"生成成长"),4))/(VLOOKUP(DP$72,INDIRECT($C$5&amp;"生成成长"),5))*(VLOOKUP($B$5,标准坦克设计!$B$24:$U$30,MATCH("对"&amp;LEFT($C$5,2)&amp;"输出",标准坦克设计!$B$23:$U$23,0)))*(VLOOKUP($B169,INDIRECT($B$5&amp;"生成成长"),3))*(VLOOKUP($B$5,标准坦克设计!$B$14:$K$20,9)/30))</f>
        <v>3.9209417168853271</v>
      </c>
      <c r="DQ169" s="173">
        <f ca="1">(VLOOKUP(DQ$72,INDIRECT($C$5&amp;"生成成长"),2))/((VLOOKUP($B169,INDIRECT($B$5&amp;"生成成长"),4))/(VLOOKUP(DQ$72,INDIRECT($C$5&amp;"生成成长"),5))*(VLOOKUP($B$5,标准坦克设计!$B$24:$U$30,MATCH("对"&amp;LEFT($C$5,2)&amp;"输出",标准坦克设计!$B$23:$U$23,0)))*(VLOOKUP($B169,INDIRECT($B$5&amp;"生成成长"),3))*(VLOOKUP($B$5,标准坦克设计!$B$14:$K$20,9)/30))</f>
        <v>4.2763183897618031</v>
      </c>
      <c r="DR169" s="173">
        <f ca="1">(VLOOKUP(DR$72,INDIRECT($C$5&amp;"生成成长"),2))/((VLOOKUP($B169,INDIRECT($B$5&amp;"生成成长"),4))/(VLOOKUP(DR$72,INDIRECT($C$5&amp;"生成成长"),5))*(VLOOKUP($B$5,标准坦克设计!$B$24:$U$30,MATCH("对"&amp;LEFT($C$5,2)&amp;"输出",标准坦克设计!$B$23:$U$23,0)))*(VLOOKUP($B169,INDIRECT($B$5&amp;"生成成长"),3))*(VLOOKUP($B$5,标准坦克设计!$B$14:$K$20,9)/30))</f>
        <v>4.6471089906184648</v>
      </c>
      <c r="DS169" s="173">
        <f ca="1">(VLOOKUP(DS$72,INDIRECT($C$5&amp;"生成成长"),2))/((VLOOKUP($B169,INDIRECT($B$5&amp;"生成成长"),4))/(VLOOKUP(DS$72,INDIRECT($C$5&amp;"生成成长"),5))*(VLOOKUP($B$5,标准坦克设计!$B$24:$U$30,MATCH("对"&amp;LEFT($C$5,2)&amp;"输出",标准坦克设计!$B$23:$U$23,0)))*(VLOOKUP($B169,INDIRECT($B$5&amp;"生成成长"),3))*(VLOOKUP($B$5,标准坦克设计!$B$14:$K$20,9)/30))</f>
        <v>5.0333135194553087</v>
      </c>
      <c r="DT169" s="173">
        <f ca="1">(VLOOKUP(DT$72,INDIRECT($C$5&amp;"生成成长"),2))/((VLOOKUP($B169,INDIRECT($B$5&amp;"生成成长"),4))/(VLOOKUP(DT$72,INDIRECT($C$5&amp;"生成成长"),5))*(VLOOKUP($B$5,标准坦克设计!$B$24:$U$30,MATCH("对"&amp;LEFT($C$5,2)&amp;"输出",标准坦克设计!$B$23:$U$23,0)))*(VLOOKUP($B169,INDIRECT($B$5&amp;"生成成长"),3))*(VLOOKUP($B$5,标准坦克设计!$B$14:$K$20,9)/30))</f>
        <v>5.5262737717104686</v>
      </c>
      <c r="DU169" s="173">
        <f ca="1">(VLOOKUP(DU$72,INDIRECT($C$5&amp;"生成成长"),2))/((VLOOKUP($B169,INDIRECT($B$5&amp;"生成成长"),4))/(VLOOKUP(DU$72,INDIRECT($C$5&amp;"生成成长"),5))*(VLOOKUP($B$5,标准坦克设计!$B$24:$U$30,MATCH("对"&amp;LEFT($C$5,2)&amp;"输出",标准坦克设计!$B$23:$U$23,0)))*(VLOOKUP($B169,INDIRECT($B$5&amp;"生成成长"),3))*(VLOOKUP($B$5,标准坦克设计!$B$14:$K$20,9)/30))</f>
        <v>6.0422597682323227</v>
      </c>
      <c r="DV169" s="173">
        <f ca="1">(VLOOKUP(DV$72,INDIRECT($C$5&amp;"生成成长"),2))/((VLOOKUP($B169,INDIRECT($B$5&amp;"生成成长"),4))/(VLOOKUP(DV$72,INDIRECT($C$5&amp;"生成成长"),5))*(VLOOKUP($B$5,标准坦克设计!$B$24:$U$30,MATCH("对"&amp;LEFT($C$5,2)&amp;"输出",标准坦克设计!$B$23:$U$23,0)))*(VLOOKUP($B169,INDIRECT($B$5&amp;"生成成长"),3))*(VLOOKUP($B$5,标准坦克设计!$B$14:$K$20,9)/30))</f>
        <v>6.5812715090208744</v>
      </c>
      <c r="DW169" s="173">
        <f ca="1">(VLOOKUP(DW$72,INDIRECT($C$5&amp;"生成成长"),2))/((VLOOKUP($B169,INDIRECT($B$5&amp;"生成成长"),4))/(VLOOKUP(DW$72,INDIRECT($C$5&amp;"生成成长"),5))*(VLOOKUP($B$5,标准坦克设计!$B$24:$U$30,MATCH("对"&amp;LEFT($C$5,2)&amp;"输出",标准坦克设计!$B$23:$U$23,0)))*(VLOOKUP($B169,INDIRECT($B$5&amp;"生成成长"),3))*(VLOOKUP($B$5,标准坦克设计!$B$14:$K$20,9)/30))</f>
        <v>7.1433089940761203</v>
      </c>
      <c r="DX169" s="173">
        <f ca="1">(VLOOKUP(DX$72,INDIRECT($C$5&amp;"生成成长"),2))/((VLOOKUP($B169,INDIRECT($B$5&amp;"生成成长"),4))/(VLOOKUP(DX$72,INDIRECT($C$5&amp;"生成成长"),5))*(VLOOKUP($B$5,标准坦克设计!$B$24:$U$30,MATCH("对"&amp;LEFT($C$5,2)&amp;"输出",标准坦克设计!$B$23:$U$23,0)))*(VLOOKUP($B169,INDIRECT($B$5&amp;"生成成长"),3))*(VLOOKUP($B$5,标准坦克设计!$B$14:$K$20,9)/30))</f>
        <v>7.7283722233980612</v>
      </c>
      <c r="DY169" s="173">
        <f ca="1">(VLOOKUP(DY$72,INDIRECT($C$5&amp;"生成成长"),2))/((VLOOKUP($B169,INDIRECT($B$5&amp;"生成成长"),4))/(VLOOKUP(DY$72,INDIRECT($C$5&amp;"生成成长"),5))*(VLOOKUP($B$5,标准坦克设计!$B$24:$U$30,MATCH("对"&amp;LEFT($C$5,2)&amp;"输出",标准坦克设计!$B$23:$U$23,0)))*(VLOOKUP($B169,INDIRECT($B$5&amp;"生成成长"),3))*(VLOOKUP($B$5,标准坦克设计!$B$14:$K$20,9)/30))</f>
        <v>3.4710833743525353</v>
      </c>
      <c r="DZ169" s="173">
        <f ca="1">(VLOOKUP(DZ$72,INDIRECT($C$5&amp;"生成成长"),2))/((VLOOKUP($B169,INDIRECT($B$5&amp;"生成成长"),4))/(VLOOKUP(DZ$72,INDIRECT($C$5&amp;"生成成长"),5))*(VLOOKUP($B$5,标准坦克设计!$B$24:$U$30,MATCH("对"&amp;LEFT($C$5,2)&amp;"输出",标准坦克设计!$B$23:$U$23,0)))*(VLOOKUP($B169,INDIRECT($B$5&amp;"生成成长"),3))*(VLOOKUP($B$5,标准坦克设计!$B$14:$K$20,9)/30))</f>
        <v>3.844062372391567</v>
      </c>
      <c r="EA169" s="173">
        <f ca="1">(VLOOKUP(EA$72,INDIRECT($C$5&amp;"生成成长"),2))/((VLOOKUP($B169,INDIRECT($B$5&amp;"生成成长"),4))/(VLOOKUP(EA$72,INDIRECT($C$5&amp;"生成成长"),5))*(VLOOKUP($B$5,标准坦克设计!$B$24:$U$30,MATCH("对"&amp;LEFT($C$5,2)&amp;"输出",标准坦克设计!$B$23:$U$23,0)))*(VLOOKUP($B169,INDIRECT($B$5&amp;"生成成长"),3))*(VLOOKUP($B$5,标准坦克设计!$B$14:$K$20,9)/30))</f>
        <v>4.2360709111468777</v>
      </c>
      <c r="EB169" s="173">
        <f ca="1">(VLOOKUP(EB$72,INDIRECT($C$5&amp;"生成成长"),2))/((VLOOKUP($B169,INDIRECT($B$5&amp;"生成成长"),4))/(VLOOKUP(EB$72,INDIRECT($C$5&amp;"生成成长"),5))*(VLOOKUP($B$5,标准坦克设计!$B$24:$U$30,MATCH("对"&amp;LEFT($C$5,2)&amp;"输出",标准坦克设计!$B$23:$U$23,0)))*(VLOOKUP($B169,INDIRECT($B$5&amp;"生成成长"),3))*(VLOOKUP($B$5,标准坦克设计!$B$14:$K$20,9)/30))</f>
        <v>4.6471089906184648</v>
      </c>
      <c r="EC169" s="173">
        <f ca="1">(VLOOKUP(EC$72,INDIRECT($C$5&amp;"生成成长"),2))/((VLOOKUP($B169,INDIRECT($B$5&amp;"生成成长"),4))/(VLOOKUP(EC$72,INDIRECT($C$5&amp;"生成成长"),5))*(VLOOKUP($B$5,标准坦克设计!$B$24:$U$30,MATCH("对"&amp;LEFT($C$5,2)&amp;"输出",标准坦克设计!$B$23:$U$23,0)))*(VLOOKUP($B169,INDIRECT($B$5&amp;"生成成长"),3))*(VLOOKUP($B$5,标准坦克设计!$B$14:$K$20,9)/30))</f>
        <v>5.0771766108063279</v>
      </c>
      <c r="ED169" s="173">
        <f ca="1">(VLOOKUP(ED$72,INDIRECT($C$5&amp;"生成成长"),2))/((VLOOKUP($B169,INDIRECT($B$5&amp;"生成成长"),4))/(VLOOKUP(ED$72,INDIRECT($C$5&amp;"生成成长"),5))*(VLOOKUP($B$5,标准坦克设计!$B$24:$U$30,MATCH("对"&amp;LEFT($C$5,2)&amp;"输出",标准坦克设计!$B$23:$U$23,0)))*(VLOOKUP($B169,INDIRECT($B$5&amp;"生成成长"),3))*(VLOOKUP($B$5,标准坦克设计!$B$14:$K$20,9)/30))</f>
        <v>5.5262737717104686</v>
      </c>
      <c r="EE169" s="173">
        <f ca="1">(VLOOKUP(EE$72,INDIRECT($C$5&amp;"生成成长"),2))/((VLOOKUP($B169,INDIRECT($B$5&amp;"生成成长"),4))/(VLOOKUP(EE$72,INDIRECT($C$5&amp;"生成成长"),5))*(VLOOKUP($B$5,标准坦克设计!$B$24:$U$30,MATCH("对"&amp;LEFT($C$5,2)&amp;"输出",标准坦克设计!$B$23:$U$23,0)))*(VLOOKUP($B169,INDIRECT($B$5&amp;"生成成长"),3))*(VLOOKUP($B$5,标准坦克设计!$B$14:$K$20,9)/30))</f>
        <v>5.9944004733308862</v>
      </c>
      <c r="EF169" s="173">
        <f ca="1">(VLOOKUP(EF$72,INDIRECT($C$5&amp;"生成成长"),2))/((VLOOKUP($B169,INDIRECT($B$5&amp;"生成成长"),4))/(VLOOKUP(EF$72,INDIRECT($C$5&amp;"生成成长"),5))*(VLOOKUP($B$5,标准坦克设计!$B$24:$U$30,MATCH("对"&amp;LEFT($C$5,2)&amp;"输出",标准坦克设计!$B$23:$U$23,0)))*(VLOOKUP($B169,INDIRECT($B$5&amp;"生成成长"),3))*(VLOOKUP($B$5,标准坦克设计!$B$14:$K$20,9)/30))</f>
        <v>6.4815567156675815</v>
      </c>
      <c r="EG169" s="173">
        <f ca="1">(VLOOKUP(EG$72,INDIRECT($C$5&amp;"生成成长"),2))/((VLOOKUP($B169,INDIRECT($B$5&amp;"生成成长"),4))/(VLOOKUP(EG$72,INDIRECT($C$5&amp;"生成成长"),5))*(VLOOKUP($B$5,标准坦克设计!$B$24:$U$30,MATCH("对"&amp;LEFT($C$5,2)&amp;"输出",标准坦克设计!$B$23:$U$23,0)))*(VLOOKUP($B169,INDIRECT($B$5&amp;"生成成长"),3))*(VLOOKUP($B$5,标准坦克设计!$B$14:$K$20,9)/30))</f>
        <v>6.9877424987205536</v>
      </c>
      <c r="EH169" s="173">
        <f ca="1">(VLOOKUP(EH$72,INDIRECT($C$5&amp;"生成成长"),2))/((VLOOKUP($B169,INDIRECT($B$5&amp;"生成成长"),4))/(VLOOKUP(EH$72,INDIRECT($C$5&amp;"生成成长"),5))*(VLOOKUP($B$5,标准坦克设计!$B$24:$U$30,MATCH("对"&amp;LEFT($C$5,2)&amp;"输出",标准坦克设计!$B$23:$U$23,0)))*(VLOOKUP($B169,INDIRECT($B$5&amp;"生成成长"),3))*(VLOOKUP($B$5,标准坦克设计!$B$14:$K$20,9)/30))</f>
        <v>7.5129578224898035</v>
      </c>
      <c r="EI169" s="173">
        <f ca="1">(VLOOKUP(EI$72,INDIRECT($C$5&amp;"生成成长"),2))/((VLOOKUP($B169,INDIRECT($B$5&amp;"生成成长"),4))/(VLOOKUP(EI$72,INDIRECT($C$5&amp;"生成成长"),5))*(VLOOKUP($B$5,标准坦克设计!$B$24:$U$30,MATCH("对"&amp;LEFT($C$5,2)&amp;"输出",标准坦克设计!$B$23:$U$23,0)))*(VLOOKUP($B169,INDIRECT($B$5&amp;"生成成长"),3))*(VLOOKUP($B$5,标准坦克设计!$B$14:$K$20,9)/30))</f>
        <v>8.0572026869753319</v>
      </c>
      <c r="EJ169" s="173">
        <f ca="1">(VLOOKUP(EJ$72,INDIRECT($C$5&amp;"生成成长"),2))/((VLOOKUP($B169,INDIRECT($B$5&amp;"生成成长"),4))/(VLOOKUP(EJ$72,INDIRECT($C$5&amp;"生成成长"),5))*(VLOOKUP($B$5,标准坦克设计!$B$24:$U$30,MATCH("对"&amp;LEFT($C$5,2)&amp;"输出",标准坦克设计!$B$23:$U$23,0)))*(VLOOKUP($B169,INDIRECT($B$5&amp;"生成成长"),3))*(VLOOKUP($B$5,标准坦克设计!$B$14:$K$20,9)/30))</f>
        <v>8.6204770921771345</v>
      </c>
      <c r="EK169" s="173">
        <f ca="1">(VLOOKUP(EK$72,INDIRECT($C$5&amp;"生成成长"),2))/((VLOOKUP($B169,INDIRECT($B$5&amp;"生成成长"),4))/(VLOOKUP(EK$72,INDIRECT($C$5&amp;"生成成长"),5))*(VLOOKUP($B$5,标准坦克设计!$B$24:$U$30,MATCH("对"&amp;LEFT($C$5,2)&amp;"输出",标准坦克设计!$B$23:$U$23,0)))*(VLOOKUP($B169,INDIRECT($B$5&amp;"生成成长"),3))*(VLOOKUP($B$5,标准坦克设计!$B$14:$K$20,9)/30))</f>
        <v>9.3215253721647837</v>
      </c>
      <c r="EL169" s="173">
        <f ca="1">(VLOOKUP(EL$72,INDIRECT($C$5&amp;"生成成长"),2))/((VLOOKUP($B169,INDIRECT($B$5&amp;"生成成长"),4))/(VLOOKUP(EL$72,INDIRECT($C$5&amp;"生成成长"),5))*(VLOOKUP($B$5,标准坦克设计!$B$24:$U$30,MATCH("对"&amp;LEFT($C$5,2)&amp;"输出",标准坦克设计!$B$23:$U$23,0)))*(VLOOKUP($B169,INDIRECT($B$5&amp;"生成成长"),3))*(VLOOKUP($B$5,标准坦克设计!$B$14:$K$20,9)/30))</f>
        <v>10.049976190783877</v>
      </c>
      <c r="EM169" s="173">
        <f ca="1">(VLOOKUP(EM$72,INDIRECT($C$5&amp;"生成成长"),2))/((VLOOKUP($B169,INDIRECT($B$5&amp;"生成成长"),4))/(VLOOKUP(EM$72,INDIRECT($C$5&amp;"生成成长"),5))*(VLOOKUP($B$5,标准坦克设计!$B$24:$U$30,MATCH("对"&amp;LEFT($C$5,2)&amp;"输出",标准坦克设计!$B$23:$U$23,0)))*(VLOOKUP($B169,INDIRECT($B$5&amp;"生成成长"),3))*(VLOOKUP($B$5,标准坦克设计!$B$14:$K$20,9)/30))</f>
        <v>10.805829548034401</v>
      </c>
      <c r="EN169" s="173">
        <f ca="1">(VLOOKUP(EN$72,INDIRECT($C$5&amp;"生成成长"),2))/((VLOOKUP($B169,INDIRECT($B$5&amp;"生成成长"),4))/(VLOOKUP(EN$72,INDIRECT($C$5&amp;"生成成长"),5))*(VLOOKUP($B$5,标准坦克设计!$B$24:$U$30,MATCH("对"&amp;LEFT($C$5,2)&amp;"输出",标准坦克设计!$B$23:$U$23,0)))*(VLOOKUP($B169,INDIRECT($B$5&amp;"生成成长"),3))*(VLOOKUP($B$5,标准坦克设计!$B$14:$K$20,9)/30))</f>
        <v>11.589085443916371</v>
      </c>
      <c r="EO169" s="173">
        <f ca="1">(VLOOKUP(EO$72,INDIRECT($C$5&amp;"生成成长"),2))/((VLOOKUP($B169,INDIRECT($B$5&amp;"生成成长"),4))/(VLOOKUP(EO$72,INDIRECT($C$5&amp;"生成成长"),5))*(VLOOKUP($B$5,标准坦克设计!$B$24:$U$30,MATCH("对"&amp;LEFT($C$5,2)&amp;"输出",标准坦克设计!$B$23:$U$23,0)))*(VLOOKUP($B169,INDIRECT($B$5&amp;"生成成长"),3))*(VLOOKUP($B$5,标准坦克设计!$B$14:$K$20,9)/30))</f>
        <v>12.39974387842978</v>
      </c>
      <c r="EP169" s="173">
        <f ca="1">(VLOOKUP(EP$72,INDIRECT($C$5&amp;"生成成长"),2))/((VLOOKUP($B169,INDIRECT($B$5&amp;"生成成长"),4))/(VLOOKUP(EP$72,INDIRECT($C$5&amp;"生成成长"),5))*(VLOOKUP($B$5,标准坦克设计!$B$24:$U$30,MATCH("对"&amp;LEFT($C$5,2)&amp;"输出",标准坦克设计!$B$23:$U$23,0)))*(VLOOKUP($B169,INDIRECT($B$5&amp;"生成成长"),3))*(VLOOKUP($B$5,标准坦克设计!$B$14:$K$20,9)/30))</f>
        <v>13.237804851574623</v>
      </c>
      <c r="EQ169" s="173">
        <f ca="1">(VLOOKUP(EQ$72,INDIRECT($C$5&amp;"生成成长"),2))/((VLOOKUP($B169,INDIRECT($B$5&amp;"生成成长"),4))/(VLOOKUP(EQ$72,INDIRECT($C$5&amp;"生成成长"),5))*(VLOOKUP($B$5,标准坦克设计!$B$24:$U$30,MATCH("对"&amp;LEFT($C$5,2)&amp;"输出",标准坦克设计!$B$23:$U$23,0)))*(VLOOKUP($B169,INDIRECT($B$5&amp;"生成成长"),3))*(VLOOKUP($B$5,标准坦克设计!$B$14:$K$20,9)/30))</f>
        <v>5.8519643610695526</v>
      </c>
      <c r="ER169" s="173">
        <f ca="1">(VLOOKUP(ER$72,INDIRECT($C$5&amp;"生成成长"),2))/((VLOOKUP($B169,INDIRECT($B$5&amp;"生成成长"),4))/(VLOOKUP(ER$72,INDIRECT($C$5&amp;"生成成长"),5))*(VLOOKUP($B$5,标准坦克设计!$B$24:$U$30,MATCH("对"&amp;LEFT($C$5,2)&amp;"输出",标准坦克设计!$B$23:$U$23,0)))*(VLOOKUP($B169,INDIRECT($B$5&amp;"生成成长"),3))*(VLOOKUP($B$5,标准坦克设计!$B$14:$K$20,9)/30))</f>
        <v>6.3826031039429401</v>
      </c>
      <c r="ES169" s="173">
        <f ca="1">(VLOOKUP(ES$72,INDIRECT($C$5&amp;"生成成长"),2))/((VLOOKUP($B169,INDIRECT($B$5&amp;"生成成长"),4))/(VLOOKUP(ES$72,INDIRECT($C$5&amp;"生成成长"),5))*(VLOOKUP($B$5,标准坦克设计!$B$24:$U$30,MATCH("对"&amp;LEFT($C$5,2)&amp;"输出",标准坦克设计!$B$23:$U$23,0)))*(VLOOKUP($B169,INDIRECT($B$5&amp;"生成成长"),3))*(VLOOKUP($B$5,标准坦克设计!$B$14:$K$20,9)/30))</f>
        <v>6.9362675910830252</v>
      </c>
      <c r="ET169" s="173">
        <f ca="1">(VLOOKUP(ET$72,INDIRECT($C$5&amp;"生成成长"),2))/((VLOOKUP($B169,INDIRECT($B$5&amp;"生成成长"),4))/(VLOOKUP(ET$72,INDIRECT($C$5&amp;"生成成长"),5))*(VLOOKUP($B$5,标准坦克设计!$B$24:$U$30,MATCH("对"&amp;LEFT($C$5,2)&amp;"输出",标准坦克设计!$B$23:$U$23,0)))*(VLOOKUP($B169,INDIRECT($B$5&amp;"生成成长"),3))*(VLOOKUP($B$5,标准坦克设计!$B$14:$K$20,9)/30))</f>
        <v>7.5129578224898035</v>
      </c>
      <c r="EU169" s="173">
        <f ca="1">(VLOOKUP(EU$72,INDIRECT($C$5&amp;"生成成长"),2))/((VLOOKUP($B169,INDIRECT($B$5&amp;"生成成长"),4))/(VLOOKUP(EU$72,INDIRECT($C$5&amp;"生成成长"),5))*(VLOOKUP($B$5,标准坦克设计!$B$24:$U$30,MATCH("对"&amp;LEFT($C$5,2)&amp;"输出",标准坦克设计!$B$23:$U$23,0)))*(VLOOKUP($B169,INDIRECT($B$5&amp;"生成成长"),3))*(VLOOKUP($B$5,标准坦克设计!$B$14:$K$20,9)/30))</f>
        <v>8.1126737981632786</v>
      </c>
      <c r="EV169" s="173">
        <f ca="1">(VLOOKUP(EV$72,INDIRECT($C$5&amp;"生成成长"),2))/((VLOOKUP($B169,INDIRECT($B$5&amp;"生成成长"),4))/(VLOOKUP(EV$72,INDIRECT($C$5&amp;"生成成长"),5))*(VLOOKUP($B$5,标准坦克设计!$B$24:$U$30,MATCH("对"&amp;LEFT($C$5,2)&amp;"输出",标准坦克设计!$B$23:$U$23,0)))*(VLOOKUP($B169,INDIRECT($B$5&amp;"生成成长"),3))*(VLOOKUP($B$5,标准坦克设计!$B$14:$K$20,9)/30))</f>
        <v>8.7354155181034496</v>
      </c>
      <c r="EW169" s="173">
        <f ca="1">(VLOOKUP(EW$72,INDIRECT($C$5&amp;"生成成长"),2))/((VLOOKUP($B169,INDIRECT($B$5&amp;"生成成长"),4))/(VLOOKUP(EW$72,INDIRECT($C$5&amp;"生成成长"),5))*(VLOOKUP($B$5,标准坦克设计!$B$24:$U$30,MATCH("对"&amp;LEFT($C$5,2)&amp;"输出",标准坦克设计!$B$23:$U$23,0)))*(VLOOKUP($B169,INDIRECT($B$5&amp;"生成成长"),3))*(VLOOKUP($B$5,标准坦克设计!$B$14:$K$20,9)/30))</f>
        <v>9.3811829823103157</v>
      </c>
      <c r="EX169" s="173">
        <f ca="1">(VLOOKUP(EX$72,INDIRECT($C$5&amp;"生成成长"),2))/((VLOOKUP($B169,INDIRECT($B$5&amp;"生成成长"),4))/(VLOOKUP(EX$72,INDIRECT($C$5&amp;"生成成长"),5))*(VLOOKUP($B$5,标准坦克设计!$B$24:$U$30,MATCH("对"&amp;LEFT($C$5,2)&amp;"输出",标准坦克设计!$B$23:$U$23,0)))*(VLOOKUP($B169,INDIRECT($B$5&amp;"生成成长"),3))*(VLOOKUP($B$5,标准坦克设计!$B$14:$K$20,9)/30))</f>
        <v>10.049976190783877</v>
      </c>
      <c r="EY169" s="173">
        <f ca="1">(VLOOKUP(EY$72,INDIRECT($C$5&amp;"生成成长"),2))/((VLOOKUP($B169,INDIRECT($B$5&amp;"生成成长"),4))/(VLOOKUP(EY$72,INDIRECT($C$5&amp;"生成成长"),5))*(VLOOKUP($B$5,标准坦克设计!$B$24:$U$30,MATCH("对"&amp;LEFT($C$5,2)&amp;"输出",标准坦克设计!$B$23:$U$23,0)))*(VLOOKUP($B169,INDIRECT($B$5&amp;"生成成长"),3))*(VLOOKUP($B$5,标准坦克设计!$B$14:$K$20,9)/30))</f>
        <v>10.741795143524131</v>
      </c>
      <c r="EZ169" s="173">
        <f ca="1">(VLOOKUP(EZ$72,INDIRECT($C$5&amp;"生成成长"),2))/((VLOOKUP($B169,INDIRECT($B$5&amp;"生成成长"),4))/(VLOOKUP(EZ$72,INDIRECT($C$5&amp;"生成成长"),5))*(VLOOKUP($B$5,标准坦克设计!$B$24:$U$30,MATCH("对"&amp;LEFT($C$5,2)&amp;"输出",标准坦克设计!$B$23:$U$23,0)))*(VLOOKUP($B169,INDIRECT($B$5&amp;"生成成长"),3))*(VLOOKUP($B$5,标准坦克设计!$B$14:$K$20,9)/30))</f>
        <v>11.456639840531084</v>
      </c>
      <c r="FA169" s="173">
        <f ca="1">(VLOOKUP(FA$72,INDIRECT($C$5&amp;"生成成长"),2))/((VLOOKUP($B169,INDIRECT($B$5&amp;"生成成长"),4))/(VLOOKUP(FA$72,INDIRECT($C$5&amp;"生成成长"),5))*(VLOOKUP($B$5,标准坦克设计!$B$24:$U$30,MATCH("对"&amp;LEFT($C$5,2)&amp;"输出",标准坦克设计!$B$23:$U$23,0)))*(VLOOKUP($B169,INDIRECT($B$5&amp;"生成成长"),3))*(VLOOKUP($B$5,标准坦克设计!$B$14:$K$20,9)/30))</f>
        <v>12.19451028180473</v>
      </c>
      <c r="FB169" s="173">
        <f ca="1">(VLOOKUP(FB$72,INDIRECT($C$5&amp;"生成成长"),2))/((VLOOKUP($B169,INDIRECT($B$5&amp;"生成成长"),4))/(VLOOKUP(FB$72,INDIRECT($C$5&amp;"生成成长"),5))*(VLOOKUP($B$5,标准坦克设计!$B$24:$U$30,MATCH("对"&amp;LEFT($C$5,2)&amp;"输出",标准坦克设计!$B$23:$U$23,0)))*(VLOOKUP($B169,INDIRECT($B$5&amp;"生成成长"),3))*(VLOOKUP($B$5,标准坦克设计!$B$14:$K$20,9)/30))</f>
        <v>12.955406467345069</v>
      </c>
      <c r="FC169" s="173">
        <f ca="1">(VLOOKUP(FC$72,INDIRECT($C$5&amp;"生成成长"),2))/((VLOOKUP($B169,INDIRECT($B$5&amp;"生成成长"),4))/(VLOOKUP(FC$72,INDIRECT($C$5&amp;"生成成长"),5))*(VLOOKUP($B$5,标准坦克设计!$B$24:$U$30,MATCH("对"&amp;LEFT($C$5,2)&amp;"输出",标准坦克设计!$B$23:$U$23,0)))*(VLOOKUP($B169,INDIRECT($B$5&amp;"生成成长"),3))*(VLOOKUP($B$5,标准坦克设计!$B$14:$K$20,9)/30))</f>
        <v>13.739328397152107</v>
      </c>
      <c r="FD169" s="173">
        <f ca="1">(VLOOKUP(FD$72,INDIRECT($C$5&amp;"生成成长"),2))/((VLOOKUP($B169,INDIRECT($B$5&amp;"生成成长"),4))/(VLOOKUP(FD$72,INDIRECT($C$5&amp;"生成成长"),5))*(VLOOKUP($B$5,标准坦克设计!$B$24:$U$30,MATCH("对"&amp;LEFT($C$5,2)&amp;"输出",标准坦克设计!$B$23:$U$23,0)))*(VLOOKUP($B169,INDIRECT($B$5&amp;"生成成长"),3))*(VLOOKUP($B$5,标准坦克设计!$B$14:$K$20,9)/30))</f>
        <v>14.54627607122584</v>
      </c>
      <c r="FE169" s="173">
        <f ca="1">(VLOOKUP(FE$72,INDIRECT($C$5&amp;"生成成长"),2))/((VLOOKUP($B169,INDIRECT($B$5&amp;"生成成长"),4))/(VLOOKUP(FE$72,INDIRECT($C$5&amp;"生成成长"),5))*(VLOOKUP($B$5,标准坦克设计!$B$24:$U$30,MATCH("对"&amp;LEFT($C$5,2)&amp;"输出",标准坦克设计!$B$23:$U$23,0)))*(VLOOKUP($B169,INDIRECT($B$5&amp;"生成成长"),3))*(VLOOKUP($B$5,标准坦克设计!$B$14:$K$20,9)/30))</f>
        <v>15.529627587739464</v>
      </c>
      <c r="FF169" s="173">
        <f ca="1">(VLOOKUP(FF$72,INDIRECT($C$5&amp;"生成成长"),2))/((VLOOKUP($B169,INDIRECT($B$5&amp;"生成成长"),4))/(VLOOKUP(FF$72,INDIRECT($C$5&amp;"生成成长"),5))*(VLOOKUP($B$5,标准坦克设计!$B$24:$U$30,MATCH("对"&amp;LEFT($C$5,2)&amp;"输出",标准坦克设计!$B$23:$U$23,0)))*(VLOOKUP($B169,INDIRECT($B$5&amp;"生成成长"),3))*(VLOOKUP($B$5,标准坦克设计!$B$14:$K$20,9)/30))</f>
        <v>16.545139028063595</v>
      </c>
      <c r="FG169" s="173">
        <f ca="1">(VLOOKUP(FG$72,INDIRECT($C$5&amp;"生成成长"),2))/((VLOOKUP($B169,INDIRECT($B$5&amp;"生成成长"),4))/(VLOOKUP(FG$72,INDIRECT($C$5&amp;"生成成长"),5))*(VLOOKUP($B$5,标准坦克设计!$B$24:$U$30,MATCH("对"&amp;LEFT($C$5,2)&amp;"输出",标准坦克设计!$B$23:$U$23,0)))*(VLOOKUP($B169,INDIRECT($B$5&amp;"生成成长"),3))*(VLOOKUP($B$5,标准坦克设计!$B$14:$K$20,9)/30))</f>
        <v>17.592810392198231</v>
      </c>
      <c r="FH169" s="173">
        <f ca="1">(VLOOKUP(FH$72,INDIRECT($C$5&amp;"生成成长"),2))/((VLOOKUP($B169,INDIRECT($B$5&amp;"生成成长"),4))/(VLOOKUP(FH$72,INDIRECT($C$5&amp;"生成成长"),5))*(VLOOKUP($B$5,标准坦克设计!$B$24:$U$30,MATCH("对"&amp;LEFT($C$5,2)&amp;"输出",标准坦克设计!$B$23:$U$23,0)))*(VLOOKUP($B169,INDIRECT($B$5&amp;"生成成长"),3))*(VLOOKUP($B$5,标准坦克设计!$B$14:$K$20,9)/30))</f>
        <v>18.672641680143382</v>
      </c>
      <c r="FI169" s="173">
        <f ca="1">(VLOOKUP(FI$72,INDIRECT($C$5&amp;"生成成长"),2))/((VLOOKUP($B169,INDIRECT($B$5&amp;"生成成长"),4))/(VLOOKUP(FI$72,INDIRECT($C$5&amp;"生成成长"),5))*(VLOOKUP($B$5,标准坦克设计!$B$24:$U$30,MATCH("对"&amp;LEFT($C$5,2)&amp;"输出",标准坦克设计!$B$23:$U$23,0)))*(VLOOKUP($B169,INDIRECT($B$5&amp;"生成成长"),3))*(VLOOKUP($B$5,标准坦克设计!$B$14:$K$20,9)/30))</f>
        <v>19.784632891899033</v>
      </c>
      <c r="FJ169" s="173">
        <f ca="1">(VLOOKUP(FJ$72,INDIRECT($C$5&amp;"生成成长"),2))/((VLOOKUP($B169,INDIRECT($B$5&amp;"生成成长"),4))/(VLOOKUP(FJ$72,INDIRECT($C$5&amp;"生成成长"),5))*(VLOOKUP($B$5,标准坦克设计!$B$24:$U$30,MATCH("对"&amp;LEFT($C$5,2)&amp;"输出",标准坦克设计!$B$23:$U$23,0)))*(VLOOKUP($B169,INDIRECT($B$5&amp;"生成成长"),3))*(VLOOKUP($B$5,标准坦克设计!$B$14:$K$20,9)/30))</f>
        <v>20.928784027465202</v>
      </c>
      <c r="FK169" s="173">
        <f ca="1">(VLOOKUP(FK$72,INDIRECT($C$5&amp;"生成成长"),2))/((VLOOKUP($B169,INDIRECT($B$5&amp;"生成成长"),4))/(VLOOKUP(FK$72,INDIRECT($C$5&amp;"生成成长"),5))*(VLOOKUP($B$5,标准坦克设计!$B$24:$U$30,MATCH("对"&amp;LEFT($C$5,2)&amp;"输出",标准坦克设计!$B$23:$U$23,0)))*(VLOOKUP($B169,INDIRECT($B$5&amp;"生成成长"),3))*(VLOOKUP($B$5,标准坦克设计!$B$14:$K$20,9)/30))</f>
        <v>22.105095086841875</v>
      </c>
    </row>
    <row r="170" spans="1:167" x14ac:dyDescent="0.15">
      <c r="A170" s="171" t="str">
        <f t="shared" si="12"/>
        <v>T5中品质8级</v>
      </c>
      <c r="B170" s="172">
        <v>20508</v>
      </c>
      <c r="C170" s="173">
        <f ca="1">(VLOOKUP(C$72,INDIRECT($C$5&amp;"生成成长"),2))/((VLOOKUP($B170,INDIRECT($B$5&amp;"生成成长"),4))/(VLOOKUP(C$72,INDIRECT($C$5&amp;"生成成长"),5))*(VLOOKUP($B$5,标准坦克设计!$B$24:$U$30,MATCH("对"&amp;LEFT($C$5,2)&amp;"输出",标准坦克设计!$B$23:$U$23,0)))*(VLOOKUP($B170,INDIRECT($B$5&amp;"生成成长"),3))*(VLOOKUP($B$5,标准坦克设计!$B$14:$K$20,9)/30))</f>
        <v>0.88634283578865936</v>
      </c>
      <c r="D170" s="173">
        <f ca="1">(VLOOKUP(D$72,INDIRECT($C$5&amp;"生成成长"),2))/((VLOOKUP($B170,INDIRECT($B$5&amp;"生成成长"),4))/(VLOOKUP(D$72,INDIRECT($C$5&amp;"生成成长"),5))*(VLOOKUP($B$5,标准坦克设计!$B$24:$U$30,MATCH("对"&amp;LEFT($C$5,2)&amp;"输出",标准坦克设计!$B$23:$U$23,0)))*(VLOOKUP($B170,INDIRECT($B$5&amp;"生成成长"),3))*(VLOOKUP($B$5,标准坦克设计!$B$14:$K$20,9)/30))</f>
        <v>0.99589481029213756</v>
      </c>
      <c r="E170" s="173">
        <f ca="1">(VLOOKUP(E$72,INDIRECT($C$5&amp;"生成成长"),2))/((VLOOKUP($B170,INDIRECT($B$5&amp;"生成成长"),4))/(VLOOKUP(E$72,INDIRECT($C$5&amp;"生成成长"),5))*(VLOOKUP($B$5,标准坦克设计!$B$24:$U$30,MATCH("对"&amp;LEFT($C$5,2)&amp;"输出",标准坦克设计!$B$23:$U$23,0)))*(VLOOKUP($B170,INDIRECT($B$5&amp;"生成成长"),3))*(VLOOKUP($B$5,标准坦克设计!$B$14:$K$20,9)/30))</f>
        <v>1.1118284532132943</v>
      </c>
      <c r="F170" s="173">
        <f ca="1">(VLOOKUP(F$72,INDIRECT($C$5&amp;"生成成长"),2))/((VLOOKUP($B170,INDIRECT($B$5&amp;"生成成长"),4))/(VLOOKUP(F$72,INDIRECT($C$5&amp;"生成成长"),5))*(VLOOKUP($B$5,标准坦克设计!$B$24:$U$30,MATCH("对"&amp;LEFT($C$5,2)&amp;"输出",标准坦克设计!$B$23:$U$23,0)))*(VLOOKUP($B170,INDIRECT($B$5&amp;"生成成长"),3))*(VLOOKUP($B$5,标准坦克设计!$B$14:$K$20,9)/30))</f>
        <v>1.2341437645521294</v>
      </c>
      <c r="G170" s="173">
        <f ca="1">(VLOOKUP(G$72,INDIRECT($C$5&amp;"生成成长"),2))/((VLOOKUP($B170,INDIRECT($B$5&amp;"生成成长"),4))/(VLOOKUP(G$72,INDIRECT($C$5&amp;"生成成长"),5))*(VLOOKUP($B$5,标准坦克设计!$B$24:$U$30,MATCH("对"&amp;LEFT($C$5,2)&amp;"输出",标准坦克设计!$B$23:$U$23,0)))*(VLOOKUP($B170,INDIRECT($B$5&amp;"生成成长"),3))*(VLOOKUP($B$5,标准坦克设计!$B$14:$K$20,9)/30))</f>
        <v>1.3628407443086425</v>
      </c>
      <c r="H170" s="173">
        <f ca="1">(VLOOKUP(H$72,INDIRECT($C$5&amp;"生成成长"),2))/((VLOOKUP($B170,INDIRECT($B$5&amp;"生成成长"),4))/(VLOOKUP(H$72,INDIRECT($C$5&amp;"生成成长"),5))*(VLOOKUP($B$5,标准坦克设计!$B$24:$U$30,MATCH("对"&amp;LEFT($C$5,2)&amp;"输出",标准坦克设计!$B$23:$U$23,0)))*(VLOOKUP($B170,INDIRECT($B$5&amp;"生成成长"),3))*(VLOOKUP($B$5,标准坦克设计!$B$14:$K$20,9)/30))</f>
        <v>1.1926629198372201</v>
      </c>
      <c r="I170" s="173">
        <f ca="1">(VLOOKUP(I$72,INDIRECT($C$5&amp;"生成成长"),2))/((VLOOKUP($B170,INDIRECT($B$5&amp;"生成成长"),4))/(VLOOKUP(I$72,INDIRECT($C$5&amp;"生成成长"),5))*(VLOOKUP($B$5,标准坦克设计!$B$24:$U$30,MATCH("对"&amp;LEFT($C$5,2)&amp;"输出",标准坦克设计!$B$23:$U$23,0)))*(VLOOKUP($B170,INDIRECT($B$5&amp;"生成成长"),3))*(VLOOKUP($B$5,标准坦克设计!$B$14:$K$20,9)/30))</f>
        <v>1.3628407443086425</v>
      </c>
      <c r="J170" s="173">
        <f ca="1">(VLOOKUP(J$72,INDIRECT($C$5&amp;"生成成长"),2))/((VLOOKUP($B170,INDIRECT($B$5&amp;"生成成长"),4))/(VLOOKUP(J$72,INDIRECT($C$5&amp;"生成成长"),5))*(VLOOKUP($B$5,标准坦克设计!$B$24:$U$30,MATCH("对"&amp;LEFT($C$5,2)&amp;"输出",标准坦克设计!$B$23:$U$23,0)))*(VLOOKUP($B170,INDIRECT($B$5&amp;"生成成长"),3))*(VLOOKUP($B$5,标准坦克设计!$B$14:$K$20,9)/30))</f>
        <v>1.5443637570781599</v>
      </c>
      <c r="K170" s="173">
        <f ca="1">(VLOOKUP(K$72,INDIRECT($C$5&amp;"生成成长"),2))/((VLOOKUP($B170,INDIRECT($B$5&amp;"生成成长"),4))/(VLOOKUP(K$72,INDIRECT($C$5&amp;"生成成长"),5))*(VLOOKUP($B$5,标准坦克设计!$B$24:$U$30,MATCH("对"&amp;LEFT($C$5,2)&amp;"输出",标准坦克设计!$B$23:$U$23,0)))*(VLOOKUP($B170,INDIRECT($B$5&amp;"生成成长"),3))*(VLOOKUP($B$5,标准坦克设计!$B$14:$K$20,9)/30))</f>
        <v>1.7372319581457725</v>
      </c>
      <c r="L170" s="173">
        <f ca="1">(VLOOKUP(L$72,INDIRECT($C$5&amp;"生成成长"),2))/((VLOOKUP($B170,INDIRECT($B$5&amp;"生成成长"),4))/(VLOOKUP(L$72,INDIRECT($C$5&amp;"生成成长"),5))*(VLOOKUP($B$5,标准坦克设计!$B$24:$U$30,MATCH("对"&amp;LEFT($C$5,2)&amp;"输出",标准坦克设计!$B$23:$U$23,0)))*(VLOOKUP($B170,INDIRECT($B$5&amp;"生成成长"),3))*(VLOOKUP($B$5,标准坦克设计!$B$14:$K$20,9)/30))</f>
        <v>1.9414453475114795</v>
      </c>
      <c r="M170" s="173">
        <f ca="1">(VLOOKUP(M$72,INDIRECT($C$5&amp;"生成成长"),2))/((VLOOKUP($B170,INDIRECT($B$5&amp;"生成成长"),4))/(VLOOKUP(M$72,INDIRECT($C$5&amp;"生成成长"),5))*(VLOOKUP($B$5,标准坦克设计!$B$24:$U$30,MATCH("对"&amp;LEFT($C$5,2)&amp;"输出",标准坦克设计!$B$23:$U$23,0)))*(VLOOKUP($B170,INDIRECT($B$5&amp;"生成成长"),3))*(VLOOKUP($B$5,标准坦克设计!$B$14:$K$20,9)/30))</f>
        <v>2.1570039251752817</v>
      </c>
      <c r="N170" s="173">
        <f ca="1">(VLOOKUP(N$72,INDIRECT($C$5&amp;"生成成长"),2))/((VLOOKUP($B170,INDIRECT($B$5&amp;"生成成长"),4))/(VLOOKUP(N$72,INDIRECT($C$5&amp;"生成成长"),5))*(VLOOKUP($B$5,标准坦克设计!$B$24:$U$30,MATCH("对"&amp;LEFT($C$5,2)&amp;"输出",标准坦克设计!$B$23:$U$23,0)))*(VLOOKUP($B170,INDIRECT($B$5&amp;"生成成长"),3))*(VLOOKUP($B$5,标准坦克设计!$B$14:$K$20,9)/30))</f>
        <v>2.3839076911371784</v>
      </c>
      <c r="O170" s="173">
        <f ca="1">(VLOOKUP(O$72,INDIRECT($C$5&amp;"生成成长"),2))/((VLOOKUP($B170,INDIRECT($B$5&amp;"生成成长"),4))/(VLOOKUP(O$72,INDIRECT($C$5&amp;"生成成长"),5))*(VLOOKUP($B$5,标准坦克设计!$B$24:$U$30,MATCH("对"&amp;LEFT($C$5,2)&amp;"输出",标准坦克设计!$B$23:$U$23,0)))*(VLOOKUP($B170,INDIRECT($B$5&amp;"生成成长"),3))*(VLOOKUP($B$5,标准坦克设计!$B$14:$K$20,9)/30))</f>
        <v>1.8124824649042293</v>
      </c>
      <c r="P170" s="173">
        <f ca="1">(VLOOKUP(P$72,INDIRECT($C$5&amp;"生成成长"),2))/((VLOOKUP($B170,INDIRECT($B$5&amp;"生成成长"),4))/(VLOOKUP(P$72,INDIRECT($C$5&amp;"生成成长"),5))*(VLOOKUP($B$5,标准坦克设计!$B$24:$U$30,MATCH("对"&amp;LEFT($C$5,2)&amp;"输出",标准坦克设计!$B$23:$U$23,0)))*(VLOOKUP($B170,INDIRECT($B$5&amp;"生成成长"),3))*(VLOOKUP($B$5,标准坦克设计!$B$14:$K$20,9)/30))</f>
        <v>2.0478064878061182</v>
      </c>
      <c r="Q170" s="173">
        <f ca="1">(VLOOKUP(Q$72,INDIRECT($C$5&amp;"生成成长"),2))/((VLOOKUP($B170,INDIRECT($B$5&amp;"生成成长"),4))/(VLOOKUP(Q$72,INDIRECT($C$5&amp;"生成成长"),5))*(VLOOKUP($B$5,标准坦克设计!$B$24:$U$30,MATCH("对"&amp;LEFT($C$5,2)&amp;"输出",标准坦克设计!$B$23:$U$23,0)))*(VLOOKUP($B170,INDIRECT($B$5&amp;"生成成长"),3))*(VLOOKUP($B$5,标准坦克设计!$B$14:$K$20,9)/30))</f>
        <v>2.2974892646477838</v>
      </c>
      <c r="R170" s="173">
        <f ca="1">(VLOOKUP(R$72,INDIRECT($C$5&amp;"生成成长"),2))/((VLOOKUP($B170,INDIRECT($B$5&amp;"生成成长"),4))/(VLOOKUP(R$72,INDIRECT($C$5&amp;"生成成长"),5))*(VLOOKUP($B$5,标准坦克设计!$B$24:$U$30,MATCH("对"&amp;LEFT($C$5,2)&amp;"输出",标准坦克设计!$B$23:$U$23,0)))*(VLOOKUP($B170,INDIRECT($B$5&amp;"生成成长"),3))*(VLOOKUP($B$5,标准坦克设计!$B$14:$K$20,9)/30))</f>
        <v>2.5615307954292259</v>
      </c>
      <c r="S170" s="173">
        <f ca="1">(VLOOKUP(S$72,INDIRECT($C$5&amp;"生成成长"),2))/((VLOOKUP($B170,INDIRECT($B$5&amp;"生成成长"),4))/(VLOOKUP(S$72,INDIRECT($C$5&amp;"生成成长"),5))*(VLOOKUP($B$5,标准坦克设计!$B$24:$U$30,MATCH("对"&amp;LEFT($C$5,2)&amp;"输出",标准坦克设计!$B$23:$U$23,0)))*(VLOOKUP($B170,INDIRECT($B$5&amp;"生成成长"),3))*(VLOOKUP($B$5,标准坦克设计!$B$14:$K$20,9)/30))</f>
        <v>2.8399310801504436</v>
      </c>
      <c r="T170" s="173">
        <f ca="1">(VLOOKUP(T$72,INDIRECT($C$5&amp;"生成成长"),2))/((VLOOKUP($B170,INDIRECT($B$5&amp;"生成成长"),4))/(VLOOKUP(T$72,INDIRECT($C$5&amp;"生成成长"),5))*(VLOOKUP($B$5,标准坦克设计!$B$24:$U$30,MATCH("对"&amp;LEFT($C$5,2)&amp;"输出",标准坦克设计!$B$23:$U$23,0)))*(VLOOKUP($B170,INDIRECT($B$5&amp;"生成成长"),3))*(VLOOKUP($B$5,标准坦克设计!$B$14:$K$20,9)/30))</f>
        <v>3.1326901188114378</v>
      </c>
      <c r="U170" s="173">
        <f ca="1">(VLOOKUP(U$72,INDIRECT($C$5&amp;"生成成长"),2))/((VLOOKUP($B170,INDIRECT($B$5&amp;"生成成长"),4))/(VLOOKUP(U$72,INDIRECT($C$5&amp;"生成成长"),5))*(VLOOKUP($B$5,标准坦克设计!$B$24:$U$30,MATCH("对"&amp;LEFT($C$5,2)&amp;"输出",标准坦克设计!$B$23:$U$23,0)))*(VLOOKUP($B170,INDIRECT($B$5&amp;"生成成长"),3))*(VLOOKUP($B$5,标准坦克设计!$B$14:$K$20,9)/30))</f>
        <v>3.439807911412208</v>
      </c>
      <c r="V170" s="173">
        <f ca="1">(VLOOKUP(V$72,INDIRECT($C$5&amp;"生成成长"),2))/((VLOOKUP($B170,INDIRECT($B$5&amp;"生成成长"),4))/(VLOOKUP(V$72,INDIRECT($C$5&amp;"生成成长"),5))*(VLOOKUP($B$5,标准坦克设计!$B$24:$U$30,MATCH("对"&amp;LEFT($C$5,2)&amp;"输出",标准坦克设计!$B$23:$U$23,0)))*(VLOOKUP($B170,INDIRECT($B$5&amp;"生成成长"),3))*(VLOOKUP($B$5,标准坦克设计!$B$14:$K$20,9)/30))</f>
        <v>3.7612844579527551</v>
      </c>
      <c r="W170" s="173">
        <f ca="1">(VLOOKUP(W$72,INDIRECT($C$5&amp;"生成成长"),2))/((VLOOKUP($B170,INDIRECT($B$5&amp;"生成成长"),4))/(VLOOKUP(W$72,INDIRECT($C$5&amp;"生成成长"),5))*(VLOOKUP($B$5,标准坦克设计!$B$24:$U$30,MATCH("对"&amp;LEFT($C$5,2)&amp;"输出",标准坦克设计!$B$23:$U$23,0)))*(VLOOKUP($B170,INDIRECT($B$5&amp;"生成成长"),3))*(VLOOKUP($B$5,标准坦克设计!$B$14:$K$20,9)/30))</f>
        <v>4.0971197584330774</v>
      </c>
      <c r="X170" s="173">
        <f ca="1">(VLOOKUP(X$72,INDIRECT($C$5&amp;"生成成长"),2))/((VLOOKUP($B170,INDIRECT($B$5&amp;"生成成长"),4))/(VLOOKUP(X$72,INDIRECT($C$5&amp;"生成成长"),5))*(VLOOKUP($B$5,标准坦克设计!$B$24:$U$30,MATCH("对"&amp;LEFT($C$5,2)&amp;"输出",标准坦克设计!$B$23:$U$23,0)))*(VLOOKUP($B170,INDIRECT($B$5&amp;"生成成长"),3))*(VLOOKUP($B$5,标准坦克设计!$B$14:$K$20,9)/30))</f>
        <v>2.968273522772642</v>
      </c>
      <c r="Y170" s="173">
        <f ca="1">(VLOOKUP(Y$72,INDIRECT($C$5&amp;"生成成长"),2))/((VLOOKUP($B170,INDIRECT($B$5&amp;"生成成长"),4))/(VLOOKUP(Y$72,INDIRECT($C$5&amp;"生成成长"),5))*(VLOOKUP($B$5,标准坦克设计!$B$24:$U$30,MATCH("对"&amp;LEFT($C$5,2)&amp;"输出",标准坦克设计!$B$23:$U$23,0)))*(VLOOKUP($B170,INDIRECT($B$5&amp;"生成成长"),3))*(VLOOKUP($B$5,标准坦克设计!$B$14:$K$20,9)/30))</f>
        <v>3.3015384290291774</v>
      </c>
      <c r="Z170" s="173">
        <f ca="1">(VLOOKUP(Z$72,INDIRECT($C$5&amp;"生成成长"),2))/((VLOOKUP($B170,INDIRECT($B$5&amp;"生成成长"),4))/(VLOOKUP(Z$72,INDIRECT($C$5&amp;"生成成长"),5))*(VLOOKUP($B$5,标准坦克设计!$B$24:$U$30,MATCH("对"&amp;LEFT($C$5,2)&amp;"输出",标准坦克设计!$B$23:$U$23,0)))*(VLOOKUP($B170,INDIRECT($B$5&amp;"生成成长"),3))*(VLOOKUP($B$5,标准坦克设计!$B$14:$K$20,9)/30))</f>
        <v>3.6525301920014863</v>
      </c>
      <c r="AA170" s="173">
        <f ca="1">(VLOOKUP(AA$72,INDIRECT($C$5&amp;"生成成长"),2))/((VLOOKUP($B170,INDIRECT($B$5&amp;"生成成长"),4))/(VLOOKUP(AA$72,INDIRECT($C$5&amp;"生成成长"),5))*(VLOOKUP($B$5,标准坦克设计!$B$24:$U$30,MATCH("对"&amp;LEFT($C$5,2)&amp;"输出",标准坦克设计!$B$23:$U$23,0)))*(VLOOKUP($B170,INDIRECT($B$5&amp;"生成成长"),3))*(VLOOKUP($B$5,标准坦克设计!$B$14:$K$20,9)/30))</f>
        <v>4.0212488116895688</v>
      </c>
      <c r="AB170" s="173">
        <f ca="1">(VLOOKUP(AB$72,INDIRECT($C$5&amp;"生成成长"),2))/((VLOOKUP($B170,INDIRECT($B$5&amp;"生成成长"),4))/(VLOOKUP(AB$72,INDIRECT($C$5&amp;"生成成长"),5))*(VLOOKUP($B$5,标准坦克设计!$B$24:$U$30,MATCH("对"&amp;LEFT($C$5,2)&amp;"输出",标准坦克设计!$B$23:$U$23,0)))*(VLOOKUP($B170,INDIRECT($B$5&amp;"生成成长"),3))*(VLOOKUP($B$5,标准坦克设计!$B$14:$K$20,9)/30))</f>
        <v>4.407694288093424</v>
      </c>
      <c r="AC170" s="173">
        <f ca="1">(VLOOKUP(AC$72,INDIRECT($C$5&amp;"生成成长"),2))/((VLOOKUP($B170,INDIRECT($B$5&amp;"生成成长"),4))/(VLOOKUP(AC$72,INDIRECT($C$5&amp;"生成成长"),5))*(VLOOKUP($B$5,标准坦克设计!$B$24:$U$30,MATCH("对"&amp;LEFT($C$5,2)&amp;"输出",标准坦克设计!$B$23:$U$23,0)))*(VLOOKUP($B170,INDIRECT($B$5&amp;"生成成长"),3))*(VLOOKUP($B$5,标准坦克设计!$B$14:$K$20,9)/30))</f>
        <v>4.8118666212130536</v>
      </c>
      <c r="AD170" s="173">
        <f ca="1">(VLOOKUP(AD$72,INDIRECT($C$5&amp;"生成成长"),2))/((VLOOKUP($B170,INDIRECT($B$5&amp;"生成成长"),4))/(VLOOKUP(AD$72,INDIRECT($C$5&amp;"生成成长"),5))*(VLOOKUP($B$5,标准坦克设计!$B$24:$U$30,MATCH("对"&amp;LEFT($C$5,2)&amp;"输出",标准坦克设计!$B$23:$U$23,0)))*(VLOOKUP($B170,INDIRECT($B$5&amp;"生成成长"),3))*(VLOOKUP($B$5,标准坦克设计!$B$14:$K$20,9)/30))</f>
        <v>5.2337658110484551</v>
      </c>
      <c r="AE170" s="173">
        <f ca="1">(VLOOKUP(AE$72,INDIRECT($C$5&amp;"生成成长"),2))/((VLOOKUP($B170,INDIRECT($B$5&amp;"生成成长"),4))/(VLOOKUP(AE$72,INDIRECT($C$5&amp;"生成成长"),5))*(VLOOKUP($B$5,标准坦克设计!$B$24:$U$30,MATCH("对"&amp;LEFT($C$5,2)&amp;"输出",标准坦克设计!$B$23:$U$23,0)))*(VLOOKUP($B170,INDIRECT($B$5&amp;"生成成长"),3))*(VLOOKUP($B$5,标准坦克设计!$B$14:$K$20,9)/30))</f>
        <v>5.6733918575996292</v>
      </c>
      <c r="AF170" s="173">
        <f ca="1">(VLOOKUP(AF$72,INDIRECT($C$5&amp;"生成成长"),2))/((VLOOKUP($B170,INDIRECT($B$5&amp;"生成成长"),4))/(VLOOKUP(AF$72,INDIRECT($C$5&amp;"生成成长"),5))*(VLOOKUP($B$5,标准坦克设计!$B$24:$U$30,MATCH("对"&amp;LEFT($C$5,2)&amp;"输出",标准坦克设计!$B$23:$U$23,0)))*(VLOOKUP($B170,INDIRECT($B$5&amp;"生成成长"),3))*(VLOOKUP($B$5,标准坦克设计!$B$14:$K$20,9)/30))</f>
        <v>6.1307447608665777</v>
      </c>
      <c r="AG170" s="173">
        <f ca="1">(VLOOKUP(AG$72,INDIRECT($C$5&amp;"生成成长"),2))/((VLOOKUP($B170,INDIRECT($B$5&amp;"生成成长"),4))/(VLOOKUP(AG$72,INDIRECT($C$5&amp;"生成成长"),5))*(VLOOKUP($B$5,标准坦克设计!$B$24:$U$30,MATCH("对"&amp;LEFT($C$5,2)&amp;"输出",标准坦克设计!$B$23:$U$23,0)))*(VLOOKUP($B170,INDIRECT($B$5&amp;"生成成长"),3))*(VLOOKUP($B$5,标准坦克设计!$B$14:$K$20,9)/30))</f>
        <v>6.6058245208492989</v>
      </c>
      <c r="AH170" s="173">
        <f ca="1">(VLOOKUP(AH$72,INDIRECT($C$5&amp;"生成成长"),2))/((VLOOKUP($B170,INDIRECT($B$5&amp;"生成成长"),4))/(VLOOKUP(AH$72,INDIRECT($C$5&amp;"生成成长"),5))*(VLOOKUP($B$5,标准坦克设计!$B$24:$U$30,MATCH("对"&amp;LEFT($C$5,2)&amp;"输出",标准坦克设计!$B$23:$U$23,0)))*(VLOOKUP($B170,INDIRECT($B$5&amp;"生成成长"),3))*(VLOOKUP($B$5,标准坦克设计!$B$14:$K$20,9)/30))</f>
        <v>7.0986311375477928</v>
      </c>
      <c r="AI170" s="173">
        <f ca="1">(VLOOKUP(AI$72,INDIRECT($C$5&amp;"生成成长"),2))/((VLOOKUP($B170,INDIRECT($B$5&amp;"生成成长"),4))/(VLOOKUP(AI$72,INDIRECT($C$5&amp;"生成成长"),5))*(VLOOKUP($B$5,标准坦克设计!$B$24:$U$30,MATCH("对"&amp;LEFT($C$5,2)&amp;"输出",标准坦克设计!$B$23:$U$23,0)))*(VLOOKUP($B170,INDIRECT($B$5&amp;"生成成长"),3))*(VLOOKUP($B$5,标准坦克设计!$B$14:$K$20,9)/30))</f>
        <v>5.020600359041282</v>
      </c>
      <c r="AJ170" s="173">
        <f ca="1">(VLOOKUP(AJ$72,INDIRECT($C$5&amp;"生成成长"),2))/((VLOOKUP($B170,INDIRECT($B$5&amp;"生成成长"),4))/(VLOOKUP(AJ$72,INDIRECT($C$5&amp;"生成成长"),5))*(VLOOKUP($B$5,标准坦克设计!$B$24:$U$30,MATCH("对"&amp;LEFT($C$5,2)&amp;"输出",标准坦克设计!$B$23:$U$23,0)))*(VLOOKUP($B170,INDIRECT($B$5&amp;"生成成长"),3))*(VLOOKUP($B$5,标准坦克设计!$B$14:$K$20,9)/30))</f>
        <v>5.4954142161732671</v>
      </c>
      <c r="AK170" s="173">
        <f ca="1">(VLOOKUP(AK$72,INDIRECT($C$5&amp;"生成成长"),2))/((VLOOKUP($B170,INDIRECT($B$5&amp;"生成成长"),4))/(VLOOKUP(AK$72,INDIRECT($C$5&amp;"生成成长"),5))*(VLOOKUP($B$5,标准坦克设计!$B$24:$U$30,MATCH("对"&amp;LEFT($C$5,2)&amp;"输出",标准坦克设计!$B$23:$U$23,0)))*(VLOOKUP($B170,INDIRECT($B$5&amp;"生成成长"),3))*(VLOOKUP($B$5,标准坦克设计!$B$14:$K$20,9)/30))</f>
        <v>5.9916775699313369</v>
      </c>
      <c r="AL170" s="173">
        <f ca="1">(VLOOKUP(AL$72,INDIRECT($C$5&amp;"生成成长"),2))/((VLOOKUP($B170,INDIRECT($B$5&amp;"生成成长"),4))/(VLOOKUP(AL$72,INDIRECT($C$5&amp;"生成成长"),5))*(VLOOKUP($B$5,标准坦克设计!$B$24:$U$30,MATCH("对"&amp;LEFT($C$5,2)&amp;"输出",标准坦克设计!$B$23:$U$23,0)))*(VLOOKUP($B170,INDIRECT($B$5&amp;"生成成长"),3))*(VLOOKUP($B$5,标准坦克设计!$B$14:$K$20,9)/30))</f>
        <v>6.5093904203154933</v>
      </c>
      <c r="AM170" s="173">
        <f ca="1">(VLOOKUP(AM$72,INDIRECT($C$5&amp;"生成成长"),2))/((VLOOKUP($B170,INDIRECT($B$5&amp;"生成成长"),4))/(VLOOKUP(AM$72,INDIRECT($C$5&amp;"生成成长"),5))*(VLOOKUP($B$5,标准坦克设计!$B$24:$U$30,MATCH("对"&amp;LEFT($C$5,2)&amp;"输出",标准坦克设计!$B$23:$U$23,0)))*(VLOOKUP($B170,INDIRECT($B$5&amp;"生成成长"),3))*(VLOOKUP($B$5,标准坦克设计!$B$14:$K$20,9)/30))</f>
        <v>7.0485527673257335</v>
      </c>
      <c r="AN170" s="173">
        <f ca="1">(VLOOKUP(AN$72,INDIRECT($C$5&amp;"生成成长"),2))/((VLOOKUP($B170,INDIRECT($B$5&amp;"生成成长"),4))/(VLOOKUP(AN$72,INDIRECT($C$5&amp;"生成成长"),5))*(VLOOKUP($B$5,标准坦克设计!$B$24:$U$30,MATCH("对"&amp;LEFT($C$5,2)&amp;"输出",标准坦克设计!$B$23:$U$23,0)))*(VLOOKUP($B170,INDIRECT($B$5&amp;"生成成长"),3))*(VLOOKUP($B$5,标准坦克设计!$B$14:$K$20,9)/30))</f>
        <v>7.6091646109620612</v>
      </c>
      <c r="AO170" s="173">
        <f ca="1">(VLOOKUP(AO$72,INDIRECT($C$5&amp;"生成成长"),2))/((VLOOKUP($B170,INDIRECT($B$5&amp;"生成成长"),4))/(VLOOKUP(AO$72,INDIRECT($C$5&amp;"生成成长"),5))*(VLOOKUP($B$5,标准坦克设计!$B$24:$U$30,MATCH("对"&amp;LEFT($C$5,2)&amp;"输出",标准坦克设计!$B$23:$U$23,0)))*(VLOOKUP($B170,INDIRECT($B$5&amp;"生成成长"),3))*(VLOOKUP($B$5,标准坦克设计!$B$14:$K$20,9)/30))</f>
        <v>8.1912259512244727</v>
      </c>
      <c r="AP170" s="173">
        <f ca="1">(VLOOKUP(AP$72,INDIRECT($C$5&amp;"生成成长"),2))/((VLOOKUP($B170,INDIRECT($B$5&amp;"生成成长"),4))/(VLOOKUP(AP$72,INDIRECT($C$5&amp;"生成成长"),5))*(VLOOKUP($B$5,标准坦克设计!$B$24:$U$30,MATCH("对"&amp;LEFT($C$5,2)&amp;"输出",标准坦克设计!$B$23:$U$23,0)))*(VLOOKUP($B170,INDIRECT($B$5&amp;"生成成长"),3))*(VLOOKUP($B$5,标准坦克设计!$B$14:$K$20,9)/30))</f>
        <v>8.7947367881129725</v>
      </c>
      <c r="AQ170" s="173">
        <f ca="1">(VLOOKUP(AQ$72,INDIRECT($C$5&amp;"生成成长"),2))/((VLOOKUP($B170,INDIRECT($B$5&amp;"生成成长"),4))/(VLOOKUP(AQ$72,INDIRECT($C$5&amp;"生成成长"),5))*(VLOOKUP($B$5,标准坦克设计!$B$24:$U$30,MATCH("对"&amp;LEFT($C$5,2)&amp;"输出",标准坦克设计!$B$23:$U$23,0)))*(VLOOKUP($B170,INDIRECT($B$5&amp;"生成成长"),3))*(VLOOKUP($B$5,标准坦克设计!$B$14:$K$20,9)/30))</f>
        <v>9.4196971216275536</v>
      </c>
      <c r="AR170" s="173">
        <f ca="1">(VLOOKUP(AR$72,INDIRECT($C$5&amp;"生成成长"),2))/((VLOOKUP($B170,INDIRECT($B$5&amp;"生成成长"),4))/(VLOOKUP(AR$72,INDIRECT($C$5&amp;"生成成长"),5))*(VLOOKUP($B$5,标准坦克设计!$B$24:$U$30,MATCH("对"&amp;LEFT($C$5,2)&amp;"输出",标准坦克设计!$B$23:$U$23,0)))*(VLOOKUP($B170,INDIRECT($B$5&amp;"生成成长"),3))*(VLOOKUP($B$5,标准坦克设计!$B$14:$K$20,9)/30))</f>
        <v>10.066106951768225</v>
      </c>
      <c r="AS170" s="173">
        <f ca="1">(VLOOKUP(AS$72,INDIRECT($C$5&amp;"生成成长"),2))/((VLOOKUP($B170,INDIRECT($B$5&amp;"生成成长"),4))/(VLOOKUP(AS$72,INDIRECT($C$5&amp;"生成成长"),5))*(VLOOKUP($B$5,标准坦克设计!$B$24:$U$30,MATCH("对"&amp;LEFT($C$5,2)&amp;"输出",标准坦克设计!$B$23:$U$23,0)))*(VLOOKUP($B170,INDIRECT($B$5&amp;"生成成长"),3))*(VLOOKUP($B$5,标准坦克设计!$B$14:$K$20,9)/30))</f>
        <v>10.733966278534981</v>
      </c>
      <c r="AT170" s="173">
        <f ca="1">(VLOOKUP(AT$72,INDIRECT($C$5&amp;"生成成长"),2))/((VLOOKUP($B170,INDIRECT($B$5&amp;"生成成长"),4))/(VLOOKUP(AT$72,INDIRECT($C$5&amp;"生成成长"),5))*(VLOOKUP($B$5,标准坦克设计!$B$24:$U$30,MATCH("对"&amp;LEFT($C$5,2)&amp;"输出",标准坦克设计!$B$23:$U$23,0)))*(VLOOKUP($B170,INDIRECT($B$5&amp;"生成成长"),3))*(VLOOKUP($B$5,标准坦克设计!$B$14:$K$20,9)/30))</f>
        <v>11.423275101927821</v>
      </c>
      <c r="AU170" s="173">
        <f ca="1">(VLOOKUP(AU$72,INDIRECT($C$5&amp;"生成成长"),2))/((VLOOKUP($B170,INDIRECT($B$5&amp;"生成成长"),4))/(VLOOKUP(AU$72,INDIRECT($C$5&amp;"生成成长"),5))*(VLOOKUP($B$5,标准坦克设计!$B$24:$U$30,MATCH("对"&amp;LEFT($C$5,2)&amp;"输出",标准坦克设计!$B$23:$U$23,0)))*(VLOOKUP($B170,INDIRECT($B$5&amp;"生成成长"),3))*(VLOOKUP($B$5,标准坦克设计!$B$14:$K$20,9)/30))</f>
        <v>12.134033421946747</v>
      </c>
      <c r="AV170" s="173">
        <f ca="1">(VLOOKUP(AV$72,INDIRECT($C$5&amp;"生成成长"),2))/((VLOOKUP($B170,INDIRECT($B$5&amp;"生成成长"),4))/(VLOOKUP(AV$72,INDIRECT($C$5&amp;"生成成长"),5))*(VLOOKUP($B$5,标准坦克设计!$B$24:$U$30,MATCH("对"&amp;LEFT($C$5,2)&amp;"输出",标准坦克设计!$B$23:$U$23,0)))*(VLOOKUP($B170,INDIRECT($B$5&amp;"生成成长"),3))*(VLOOKUP($B$5,标准坦克设计!$B$14:$K$20,9)/30))</f>
        <v>1.2341437645521294</v>
      </c>
      <c r="AW170" s="173">
        <f ca="1">(VLOOKUP(AW$72,INDIRECT($C$5&amp;"生成成长"),2))/((VLOOKUP($B170,INDIRECT($B$5&amp;"生成成长"),4))/(VLOOKUP(AW$72,INDIRECT($C$5&amp;"生成成长"),5))*(VLOOKUP($B$5,标准坦克设计!$B$24:$U$30,MATCH("对"&amp;LEFT($C$5,2)&amp;"输出",标准坦克设计!$B$23:$U$23,0)))*(VLOOKUP($B170,INDIRECT($B$5&amp;"生成成长"),3))*(VLOOKUP($B$5,标准坦克设计!$B$14:$K$20,9)/30))</f>
        <v>1.4071578860980756</v>
      </c>
      <c r="AX170" s="173">
        <f ca="1">(VLOOKUP(AX$72,INDIRECT($C$5&amp;"生成成长"),2))/((VLOOKUP($B170,INDIRECT($B$5&amp;"生成成长"),4))/(VLOOKUP(AX$72,INDIRECT($C$5&amp;"生成成长"),5))*(VLOOKUP($B$5,标准坦克设计!$B$24:$U$30,MATCH("对"&amp;LEFT($C$5,2)&amp;"输出",标准坦克设计!$B$23:$U$23,0)))*(VLOOKUP($B170,INDIRECT($B$5&amp;"生成成长"),3))*(VLOOKUP($B$5,标准坦克设计!$B$14:$K$20,9)/30))</f>
        <v>1.591517195942117</v>
      </c>
      <c r="AY170" s="173">
        <f ca="1">(VLOOKUP(AY$72,INDIRECT($C$5&amp;"生成成长"),2))/((VLOOKUP($B170,INDIRECT($B$5&amp;"生成成长"),4))/(VLOOKUP(AY$72,INDIRECT($C$5&amp;"生成成长"),5))*(VLOOKUP($B$5,标准坦克设计!$B$24:$U$30,MATCH("对"&amp;LEFT($C$5,2)&amp;"输出",标准坦克设计!$B$23:$U$23,0)))*(VLOOKUP($B170,INDIRECT($B$5&amp;"生成成长"),3))*(VLOOKUP($B$5,标准坦克设计!$B$14:$K$20,9)/30))</f>
        <v>1.7872216940842527</v>
      </c>
      <c r="AZ170" s="173">
        <f ca="1">(VLOOKUP(AZ$72,INDIRECT($C$5&amp;"生成成长"),2))/((VLOOKUP($B170,INDIRECT($B$5&amp;"生成成长"),4))/(VLOOKUP(AZ$72,INDIRECT($C$5&amp;"生成成长"),5))*(VLOOKUP($B$5,标准坦克设计!$B$24:$U$30,MATCH("对"&amp;LEFT($C$5,2)&amp;"输出",标准坦克设计!$B$23:$U$23,0)))*(VLOOKUP($B170,INDIRECT($B$5&amp;"生成成长"),3))*(VLOOKUP($B$5,标准坦克设计!$B$14:$K$20,9)/30))</f>
        <v>1.9942713805244834</v>
      </c>
      <c r="BA170" s="173">
        <f ca="1">(VLOOKUP(BA$72,INDIRECT($C$5&amp;"生成成长"),2))/((VLOOKUP($B170,INDIRECT($B$5&amp;"生成成长"),4))/(VLOOKUP(BA$72,INDIRECT($C$5&amp;"生成成长"),5))*(VLOOKUP($B$5,标准坦克设计!$B$24:$U$30,MATCH("对"&amp;LEFT($C$5,2)&amp;"输出",标准坦克设计!$B$23:$U$23,0)))*(VLOOKUP($B170,INDIRECT($B$5&amp;"生成成长"),3))*(VLOOKUP($B$5,标准坦克设计!$B$14:$K$20,9)/30))</f>
        <v>2.2126662552628087</v>
      </c>
      <c r="BB170" s="173">
        <f ca="1">(VLOOKUP(BB$72,INDIRECT($C$5&amp;"生成成长"),2))/((VLOOKUP($B170,INDIRECT($B$5&amp;"生成成长"),4))/(VLOOKUP(BB$72,INDIRECT($C$5&amp;"生成成长"),5))*(VLOOKUP($B$5,标准坦克设计!$B$24:$U$30,MATCH("对"&amp;LEFT($C$5,2)&amp;"输出",标准坦克设计!$B$23:$U$23,0)))*(VLOOKUP($B170,INDIRECT($B$5&amp;"生成成长"),3))*(VLOOKUP($B$5,标准坦克设计!$B$14:$K$20,9)/30))</f>
        <v>2.4424063182992293</v>
      </c>
      <c r="BC170" s="173">
        <f ca="1">(VLOOKUP(BC$72,INDIRECT($C$5&amp;"生成成长"),2))/((VLOOKUP($B170,INDIRECT($B$5&amp;"生成成长"),4))/(VLOOKUP(BC$72,INDIRECT($C$5&amp;"生成成长"),5))*(VLOOKUP($B$5,标准坦克设计!$B$24:$U$30,MATCH("对"&amp;LEFT($C$5,2)&amp;"输出",标准坦克设计!$B$23:$U$23,0)))*(VLOOKUP($B170,INDIRECT($B$5&amp;"生成成长"),3))*(VLOOKUP($B$5,标准坦克设计!$B$14:$K$20,9)/30))</f>
        <v>2.6834915696337451</v>
      </c>
      <c r="BD170" s="173">
        <f ca="1">(VLOOKUP(BD$72,INDIRECT($C$5&amp;"生成成长"),2))/((VLOOKUP($B170,INDIRECT($B$5&amp;"生成成长"),4))/(VLOOKUP(BD$72,INDIRECT($C$5&amp;"生成成长"),5))*(VLOOKUP($B$5,标准坦克设计!$B$24:$U$30,MATCH("对"&amp;LEFT($C$5,2)&amp;"输出",标准坦克设计!$B$23:$U$23,0)))*(VLOOKUP($B170,INDIRECT($B$5&amp;"生成成长"),3))*(VLOOKUP($B$5,标准坦克设计!$B$14:$K$20,9)/30))</f>
        <v>2.968273522772642</v>
      </c>
      <c r="BE170" s="173">
        <f ca="1">(VLOOKUP(BE$72,INDIRECT($C$5&amp;"生成成长"),2))/((VLOOKUP($B170,INDIRECT($B$5&amp;"生成成长"),4))/(VLOOKUP(BE$72,INDIRECT($C$5&amp;"生成成长"),5))*(VLOOKUP($B$5,标准坦克设计!$B$24:$U$30,MATCH("对"&amp;LEFT($C$5,2)&amp;"输出",标准坦克设计!$B$23:$U$23,0)))*(VLOOKUP($B170,INDIRECT($B$5&amp;"生成成长"),3))*(VLOOKUP($B$5,标准坦克设计!$B$14:$K$20,9)/30))</f>
        <v>3.2674142298513131</v>
      </c>
      <c r="BF170" s="173">
        <f ca="1">(VLOOKUP(BF$72,INDIRECT($C$5&amp;"生成成长"),2))/((VLOOKUP($B170,INDIRECT($B$5&amp;"生成成长"),4))/(VLOOKUP(BF$72,INDIRECT($C$5&amp;"生成成长"),5))*(VLOOKUP($B$5,标准坦克设计!$B$24:$U$30,MATCH("对"&amp;LEFT($C$5,2)&amp;"输出",标准坦克设计!$B$23:$U$23,0)))*(VLOOKUP($B170,INDIRECT($B$5&amp;"生成成长"),3))*(VLOOKUP($B$5,标准坦克设计!$B$14:$K$20,9)/30))</f>
        <v>3.5809136908697621</v>
      </c>
      <c r="BG170" s="173">
        <f ca="1">(VLOOKUP(BG$72,INDIRECT($C$5&amp;"生成成长"),2))/((VLOOKUP($B170,INDIRECT($B$5&amp;"生成成长"),4))/(VLOOKUP(BG$72,INDIRECT($C$5&amp;"生成成长"),5))*(VLOOKUP($B$5,标准坦克设计!$B$24:$U$30,MATCH("对"&amp;LEFT($C$5,2)&amp;"输出",标准坦克设计!$B$23:$U$23,0)))*(VLOOKUP($B170,INDIRECT($B$5&amp;"生成成长"),3))*(VLOOKUP($B$5,标准坦克设计!$B$14:$K$20,9)/30))</f>
        <v>3.9087719058279875</v>
      </c>
      <c r="BH170" s="173">
        <f ca="1">(VLOOKUP(BH$72,INDIRECT($C$5&amp;"生成成长"),2))/((VLOOKUP($B170,INDIRECT($B$5&amp;"生成成长"),4))/(VLOOKUP(BH$72,INDIRECT($C$5&amp;"生成成长"),5))*(VLOOKUP($B$5,标准坦克设计!$B$24:$U$30,MATCH("对"&amp;LEFT($C$5,2)&amp;"输出",标准坦克设计!$B$23:$U$23,0)))*(VLOOKUP($B170,INDIRECT($B$5&amp;"生成成长"),3))*(VLOOKUP($B$5,标准坦克设计!$B$14:$K$20,9)/30))</f>
        <v>1.8893283887671066</v>
      </c>
      <c r="BI170" s="173">
        <f ca="1">(VLOOKUP(BI$72,INDIRECT($C$5&amp;"生成成长"),2))/((VLOOKUP($B170,INDIRECT($B$5&amp;"生成成长"),4))/(VLOOKUP(BI$72,INDIRECT($C$5&amp;"生成成长"),5))*(VLOOKUP($B$5,标准坦克设计!$B$24:$U$30,MATCH("对"&amp;LEFT($C$5,2)&amp;"输出",标准坦克设计!$B$23:$U$23,0)))*(VLOOKUP($B170,INDIRECT($B$5&amp;"生成成长"),3))*(VLOOKUP($B$5,标准坦克设计!$B$14:$K$20,9)/30))</f>
        <v>2.1294386629822539</v>
      </c>
      <c r="BJ170" s="173">
        <f ca="1">(VLOOKUP(BJ$72,INDIRECT($C$5&amp;"生成成长"),2))/((VLOOKUP($B170,INDIRECT($B$5&amp;"生成成长"),4))/(VLOOKUP(BJ$72,INDIRECT($C$5&amp;"生成成长"),5))*(VLOOKUP($B$5,标准坦克设计!$B$24:$U$30,MATCH("对"&amp;LEFT($C$5,2)&amp;"输出",标准坦克设计!$B$23:$U$23,0)))*(VLOOKUP($B170,INDIRECT($B$5&amp;"生成成长"),3))*(VLOOKUP($B$5,标准坦克设计!$B$14:$K$20,9)/30))</f>
        <v>2.3839076911371784</v>
      </c>
      <c r="BK170" s="173">
        <f ca="1">(VLOOKUP(BK$72,INDIRECT($C$5&amp;"生成成长"),2))/((VLOOKUP($B170,INDIRECT($B$5&amp;"生成成长"),4))/(VLOOKUP(BK$72,INDIRECT($C$5&amp;"生成成长"),5))*(VLOOKUP($B$5,标准坦克设计!$B$24:$U$30,MATCH("对"&amp;LEFT($C$5,2)&amp;"输出",标准坦克设计!$B$23:$U$23,0)))*(VLOOKUP($B170,INDIRECT($B$5&amp;"生成成长"),3))*(VLOOKUP($B$5,标准坦克设计!$B$14:$K$20,9)/30))</f>
        <v>2.6527354732318784</v>
      </c>
      <c r="BL170" s="173">
        <f ca="1">(VLOOKUP(BL$72,INDIRECT($C$5&amp;"生成成长"),2))/((VLOOKUP($B170,INDIRECT($B$5&amp;"生成成长"),4))/(VLOOKUP(BL$72,INDIRECT($C$5&amp;"生成成长"),5))*(VLOOKUP($B$5,标准坦克设计!$B$24:$U$30,MATCH("对"&amp;LEFT($C$5,2)&amp;"输出",标准坦克设计!$B$23:$U$23,0)))*(VLOOKUP($B170,INDIRECT($B$5&amp;"生成成长"),3))*(VLOOKUP($B$5,标准坦克设计!$B$14:$K$20,9)/30))</f>
        <v>2.9359220092663558</v>
      </c>
      <c r="BM170" s="173">
        <f ca="1">(VLOOKUP(BM$72,INDIRECT($C$5&amp;"生成成长"),2))/((VLOOKUP($B170,INDIRECT($B$5&amp;"生成成长"),4))/(VLOOKUP(BM$72,INDIRECT($C$5&amp;"生成成长"),5))*(VLOOKUP($B$5,标准坦克设计!$B$24:$U$30,MATCH("对"&amp;LEFT($C$5,2)&amp;"输出",标准坦克设计!$B$23:$U$23,0)))*(VLOOKUP($B170,INDIRECT($B$5&amp;"生成成长"),3))*(VLOOKUP($B$5,标准坦克设计!$B$14:$K$20,9)/30))</f>
        <v>3.2334672992406084</v>
      </c>
      <c r="BN170" s="173">
        <f ca="1">(VLOOKUP(BN$72,INDIRECT($C$5&amp;"生成成长"),2))/((VLOOKUP($B170,INDIRECT($B$5&amp;"生成成长"),4))/(VLOOKUP(BN$72,INDIRECT($C$5&amp;"生成成长"),5))*(VLOOKUP($B$5,标准坦克设计!$B$24:$U$30,MATCH("对"&amp;LEFT($C$5,2)&amp;"输出",标准坦克设计!$B$23:$U$23,0)))*(VLOOKUP($B170,INDIRECT($B$5&amp;"生成成长"),3))*(VLOOKUP($B$5,标准坦克设计!$B$14:$K$20,9)/30))</f>
        <v>3.5453713431546374</v>
      </c>
      <c r="BO170" s="173">
        <f ca="1">(VLOOKUP(BO$72,INDIRECT($C$5&amp;"生成成长"),2))/((VLOOKUP($B170,INDIRECT($B$5&amp;"生成成长"),4))/(VLOOKUP(BO$72,INDIRECT($C$5&amp;"生成成长"),5))*(VLOOKUP($B$5,标准坦克设计!$B$24:$U$30,MATCH("对"&amp;LEFT($C$5,2)&amp;"输出",标准坦克设计!$B$23:$U$23,0)))*(VLOOKUP($B170,INDIRECT($B$5&amp;"生成成长"),3))*(VLOOKUP($B$5,标准坦克设计!$B$14:$K$20,9)/30))</f>
        <v>3.8716341410084429</v>
      </c>
      <c r="BP170" s="173">
        <f ca="1">(VLOOKUP(BP$72,INDIRECT($C$5&amp;"生成成长"),2))/((VLOOKUP($B170,INDIRECT($B$5&amp;"生成成长"),4))/(VLOOKUP(BP$72,INDIRECT($C$5&amp;"生成成长"),5))*(VLOOKUP($B$5,标准坦克设计!$B$24:$U$30,MATCH("对"&amp;LEFT($C$5,2)&amp;"输出",标准坦克设计!$B$23:$U$23,0)))*(VLOOKUP($B170,INDIRECT($B$5&amp;"生成成长"),3))*(VLOOKUP($B$5,标准坦克设计!$B$14:$K$20,9)/30))</f>
        <v>4.2122556928020245</v>
      </c>
      <c r="BQ170" s="173">
        <f ca="1">(VLOOKUP(BQ$72,INDIRECT($C$5&amp;"生成成长"),2))/((VLOOKUP($B170,INDIRECT($B$5&amp;"生成成长"),4))/(VLOOKUP(BQ$72,INDIRECT($C$5&amp;"生成成长"),5))*(VLOOKUP($B$5,标准坦克设计!$B$24:$U$30,MATCH("对"&amp;LEFT($C$5,2)&amp;"输出",标准坦克设计!$B$23:$U$23,0)))*(VLOOKUP($B170,INDIRECT($B$5&amp;"生成成长"),3))*(VLOOKUP($B$5,标准坦克设计!$B$14:$K$20,9)/30))</f>
        <v>4.5672359985353825</v>
      </c>
      <c r="BR170" s="173">
        <f ca="1">(VLOOKUP(BR$72,INDIRECT($C$5&amp;"生成成长"),2))/((VLOOKUP($B170,INDIRECT($B$5&amp;"生成成长"),4))/(VLOOKUP(BR$72,INDIRECT($C$5&amp;"生成成长"),5))*(VLOOKUP($B$5,标准坦克设计!$B$24:$U$30,MATCH("对"&amp;LEFT($C$5,2)&amp;"输出",标准坦克设计!$B$23:$U$23,0)))*(VLOOKUP($B170,INDIRECT($B$5&amp;"生成成长"),3))*(VLOOKUP($B$5,标准坦克设计!$B$14:$K$20,9)/30))</f>
        <v>4.9784990743413209</v>
      </c>
      <c r="BS170" s="173">
        <f ca="1">(VLOOKUP(BS$72,INDIRECT($C$5&amp;"生成成长"),2))/((VLOOKUP($B170,INDIRECT($B$5&amp;"生成成长"),4))/(VLOOKUP(BS$72,INDIRECT($C$5&amp;"生成成长"),5))*(VLOOKUP($B$5,标准坦克设计!$B$24:$U$30,MATCH("对"&amp;LEFT($C$5,2)&amp;"输出",标准坦克设计!$B$23:$U$23,0)))*(VLOOKUP($B170,INDIRECT($B$5&amp;"生成成长"),3))*(VLOOKUP($B$5,标准坦克设计!$B$14:$K$20,9)/30))</f>
        <v>5.4074890068630319</v>
      </c>
      <c r="BT170" s="173">
        <f ca="1">(VLOOKUP(BT$72,INDIRECT($C$5&amp;"生成成长"),2))/((VLOOKUP($B170,INDIRECT($B$5&amp;"生成成长"),4))/(VLOOKUP(BT$72,INDIRECT($C$5&amp;"生成成长"),5))*(VLOOKUP($B$5,标准坦克设计!$B$24:$U$30,MATCH("对"&amp;LEFT($C$5,2)&amp;"输出",标准坦克设计!$B$23:$U$23,0)))*(VLOOKUP($B170,INDIRECT($B$5&amp;"生成成长"),3))*(VLOOKUP($B$5,标准坦克设计!$B$14:$K$20,9)/30))</f>
        <v>5.8542057961005165</v>
      </c>
      <c r="BU170" s="173">
        <f ca="1">(VLOOKUP(BU$72,INDIRECT($C$5&amp;"生成成长"),2))/((VLOOKUP($B170,INDIRECT($B$5&amp;"生成成长"),4))/(VLOOKUP(BU$72,INDIRECT($C$5&amp;"生成成长"),5))*(VLOOKUP($B$5,标准坦克设计!$B$24:$U$30,MATCH("对"&amp;LEFT($C$5,2)&amp;"输出",标准坦克设计!$B$23:$U$23,0)))*(VLOOKUP($B170,INDIRECT($B$5&amp;"生成成长"),3))*(VLOOKUP($B$5,标准坦克设计!$B$14:$K$20,9)/30))</f>
        <v>6.318649442053772</v>
      </c>
      <c r="BV170" s="173">
        <f ca="1">(VLOOKUP(BV$72,INDIRECT($C$5&amp;"生成成长"),2))/((VLOOKUP($B170,INDIRECT($B$5&amp;"生成成长"),4))/(VLOOKUP(BV$72,INDIRECT($C$5&amp;"生成成长"),5))*(VLOOKUP($B$5,标准坦克设计!$B$24:$U$30,MATCH("对"&amp;LEFT($C$5,2)&amp;"输出",标准坦克设计!$B$23:$U$23,0)))*(VLOOKUP($B170,INDIRECT($B$5&amp;"生成成长"),3))*(VLOOKUP($B$5,标准坦克设计!$B$14:$K$20,9)/30))</f>
        <v>6.8008199447228037</v>
      </c>
      <c r="BW170" s="173">
        <f ca="1">(VLOOKUP(BW$72,INDIRECT($C$5&amp;"生成成长"),2))/((VLOOKUP($B170,INDIRECT($B$5&amp;"生成成长"),4))/(VLOOKUP(BW$72,INDIRECT($C$5&amp;"生成成长"),5))*(VLOOKUP($B$5,标准坦克设计!$B$24:$U$30,MATCH("对"&amp;LEFT($C$5,2)&amp;"输出",标准坦克设计!$B$23:$U$23,0)))*(VLOOKUP($B170,INDIRECT($B$5&amp;"生成成长"),3))*(VLOOKUP($B$5,标准坦克设计!$B$14:$K$20,9)/30))</f>
        <v>3.0994522624693626</v>
      </c>
      <c r="BX170" s="173">
        <f ca="1">(VLOOKUP(BX$72,INDIRECT($C$5&amp;"生成成长"),2))/((VLOOKUP($B170,INDIRECT($B$5&amp;"生成成长"),4))/(VLOOKUP(BX$72,INDIRECT($C$5&amp;"生成成长"),5))*(VLOOKUP($B$5,标准坦克设计!$B$24:$U$30,MATCH("对"&amp;LEFT($C$5,2)&amp;"输出",标准坦克设计!$B$23:$U$23,0)))*(VLOOKUP($B170,INDIRECT($B$5&amp;"生成成长"),3))*(VLOOKUP($B$5,标准坦克设计!$B$14:$K$20,9)/30))</f>
        <v>3.439807911412208</v>
      </c>
      <c r="BY170" s="173">
        <f ca="1">(VLOOKUP(BY$72,INDIRECT($C$5&amp;"生成成长"),2))/((VLOOKUP($B170,INDIRECT($B$5&amp;"生成成长"),4))/(VLOOKUP(BY$72,INDIRECT($C$5&amp;"生成成长"),5))*(VLOOKUP($B$5,标准坦克设计!$B$24:$U$30,MATCH("对"&amp;LEFT($C$5,2)&amp;"输出",标准坦克设计!$B$23:$U$23,0)))*(VLOOKUP($B170,INDIRECT($B$5&amp;"生成成长"),3))*(VLOOKUP($B$5,标准坦克设计!$B$14:$K$20,9)/30))</f>
        <v>3.7978904170708261</v>
      </c>
      <c r="BZ170" s="173">
        <f ca="1">(VLOOKUP(BZ$72,INDIRECT($C$5&amp;"生成成长"),2))/((VLOOKUP($B170,INDIRECT($B$5&amp;"生成成长"),4))/(VLOOKUP(BZ$72,INDIRECT($C$5&amp;"生成成长"),5))*(VLOOKUP($B$5,标准坦克设计!$B$24:$U$30,MATCH("对"&amp;LEFT($C$5,2)&amp;"输出",标准坦克设计!$B$23:$U$23,0)))*(VLOOKUP($B170,INDIRECT($B$5&amp;"生成成长"),3))*(VLOOKUP($B$5,标准坦克设计!$B$14:$K$20,9)/30))</f>
        <v>4.1736997794452178</v>
      </c>
      <c r="CA170" s="173">
        <f ca="1">(VLOOKUP(CA$72,INDIRECT($C$5&amp;"生成成长"),2))/((VLOOKUP($B170,INDIRECT($B$5&amp;"生成成长"),4))/(VLOOKUP(CA$72,INDIRECT($C$5&amp;"生成成长"),5))*(VLOOKUP($B$5,标准坦克设计!$B$24:$U$30,MATCH("对"&amp;LEFT($C$5,2)&amp;"输出",标准坦克设计!$B$23:$U$23,0)))*(VLOOKUP($B170,INDIRECT($B$5&amp;"生成成长"),3))*(VLOOKUP($B$5,标准坦克设计!$B$14:$K$20,9)/30))</f>
        <v>4.5672359985353825</v>
      </c>
      <c r="CB170" s="173">
        <f ca="1">(VLOOKUP(CB$72,INDIRECT($C$5&amp;"生成成长"),2))/((VLOOKUP($B170,INDIRECT($B$5&amp;"生成成长"),4))/(VLOOKUP(CB$72,INDIRECT($C$5&amp;"生成成长"),5))*(VLOOKUP($B$5,标准坦克设计!$B$24:$U$30,MATCH("对"&amp;LEFT($C$5,2)&amp;"输出",标准坦克设计!$B$23:$U$23,0)))*(VLOOKUP($B170,INDIRECT($B$5&amp;"生成成长"),3))*(VLOOKUP($B$5,标准坦克设计!$B$14:$K$20,9)/30))</f>
        <v>4.9784990743413209</v>
      </c>
      <c r="CC170" s="173">
        <f ca="1">(VLOOKUP(CC$72,INDIRECT($C$5&amp;"生成成长"),2))/((VLOOKUP($B170,INDIRECT($B$5&amp;"生成成长"),4))/(VLOOKUP(CC$72,INDIRECT($C$5&amp;"生成成长"),5))*(VLOOKUP($B$5,标准坦克设计!$B$24:$U$30,MATCH("对"&amp;LEFT($C$5,2)&amp;"输出",标准坦克设计!$B$23:$U$23,0)))*(VLOOKUP($B170,INDIRECT($B$5&amp;"生成成长"),3))*(VLOOKUP($B$5,标准坦克设计!$B$14:$K$20,9)/30))</f>
        <v>5.4074890068630319</v>
      </c>
      <c r="CD170" s="173">
        <f ca="1">(VLOOKUP(CD$72,INDIRECT($C$5&amp;"生成成长"),2))/((VLOOKUP($B170,INDIRECT($B$5&amp;"生成成长"),4))/(VLOOKUP(CD$72,INDIRECT($C$5&amp;"生成成长"),5))*(VLOOKUP($B$5,标准坦克设计!$B$24:$U$30,MATCH("对"&amp;LEFT($C$5,2)&amp;"输出",标准坦克设计!$B$23:$U$23,0)))*(VLOOKUP($B170,INDIRECT($B$5&amp;"生成成长"),3))*(VLOOKUP($B$5,标准坦克设计!$B$14:$K$20,9)/30))</f>
        <v>5.8542057961005165</v>
      </c>
      <c r="CE170" s="173">
        <f ca="1">(VLOOKUP(CE$72,INDIRECT($C$5&amp;"生成成长"),2))/((VLOOKUP($B170,INDIRECT($B$5&amp;"生成成长"),4))/(VLOOKUP(CE$72,INDIRECT($C$5&amp;"生成成长"),5))*(VLOOKUP($B$5,标准坦克设计!$B$24:$U$30,MATCH("对"&amp;LEFT($C$5,2)&amp;"输出",标准坦克设计!$B$23:$U$23,0)))*(VLOOKUP($B170,INDIRECT($B$5&amp;"生成成长"),3))*(VLOOKUP($B$5,标准坦克设计!$B$14:$K$20,9)/30))</f>
        <v>6.318649442053772</v>
      </c>
      <c r="CF170" s="173">
        <f ca="1">(VLOOKUP(CF$72,INDIRECT($C$5&amp;"生成成长"),2))/((VLOOKUP($B170,INDIRECT($B$5&amp;"生成成长"),4))/(VLOOKUP(CF$72,INDIRECT($C$5&amp;"生成成长"),5))*(VLOOKUP($B$5,标准坦克设计!$B$24:$U$30,MATCH("对"&amp;LEFT($C$5,2)&amp;"输出",标准坦克设计!$B$23:$U$23,0)))*(VLOOKUP($B170,INDIRECT($B$5&amp;"生成成长"),3))*(VLOOKUP($B$5,标准坦克设计!$B$14:$K$20,9)/30))</f>
        <v>6.8008199447228037</v>
      </c>
      <c r="CG170" s="173">
        <f ca="1">(VLOOKUP(CG$72,INDIRECT($C$5&amp;"生成成长"),2))/((VLOOKUP($B170,INDIRECT($B$5&amp;"生成成长"),4))/(VLOOKUP(CG$72,INDIRECT($C$5&amp;"生成成长"),5))*(VLOOKUP($B$5,标准坦克设计!$B$24:$U$30,MATCH("对"&amp;LEFT($C$5,2)&amp;"输出",标准坦克设计!$B$23:$U$23,0)))*(VLOOKUP($B170,INDIRECT($B$5&amp;"生成成长"),3))*(VLOOKUP($B$5,标准坦克设计!$B$14:$K$20,9)/30))</f>
        <v>7.3007173041076081</v>
      </c>
      <c r="CH170" s="173">
        <f ca="1">(VLOOKUP(CH$72,INDIRECT($C$5&amp;"生成成长"),2))/((VLOOKUP($B170,INDIRECT($B$5&amp;"生成成长"),4))/(VLOOKUP(CH$72,INDIRECT($C$5&amp;"生成成长"),5))*(VLOOKUP($B$5,标准坦克设计!$B$24:$U$30,MATCH("对"&amp;LEFT($C$5,2)&amp;"输出",标准坦克设计!$B$23:$U$23,0)))*(VLOOKUP($B170,INDIRECT($B$5&amp;"生成成长"),3))*(VLOOKUP($B$5,标准坦克设计!$B$14:$K$20,9)/30))</f>
        <v>7.8183415202081843</v>
      </c>
      <c r="CI170" s="173">
        <f ca="1">(VLOOKUP(CI$72,INDIRECT($C$5&amp;"生成成长"),2))/((VLOOKUP($B170,INDIRECT($B$5&amp;"生成成长"),4))/(VLOOKUP(CI$72,INDIRECT($C$5&amp;"生成成长"),5))*(VLOOKUP($B$5,标准坦克设计!$B$24:$U$30,MATCH("对"&amp;LEFT($C$5,2)&amp;"输出",标准坦克设计!$B$23:$U$23,0)))*(VLOOKUP($B170,INDIRECT($B$5&amp;"生成成长"),3))*(VLOOKUP($B$5,标准坦克设计!$B$14:$K$20,9)/30))</f>
        <v>8.408202677425539</v>
      </c>
      <c r="CJ170" s="173">
        <f ca="1">(VLOOKUP(CJ$72,INDIRECT($C$5&amp;"生成成长"),2))/((VLOOKUP($B170,INDIRECT($B$5&amp;"生成成长"),4))/(VLOOKUP(CJ$72,INDIRECT($C$5&amp;"生成成长"),5))*(VLOOKUP($B$5,标准坦克设计!$B$24:$U$30,MATCH("对"&amp;LEFT($C$5,2)&amp;"输出",标准坦克设计!$B$23:$U$23,0)))*(VLOOKUP($B170,INDIRECT($B$5&amp;"生成成长"),3))*(VLOOKUP($B$5,标准坦克设计!$B$14:$K$20,9)/30))</f>
        <v>9.0195133312689766</v>
      </c>
      <c r="CK170" s="173">
        <f ca="1">(VLOOKUP(CK$72,INDIRECT($C$5&amp;"生成成长"),2))/((VLOOKUP($B170,INDIRECT($B$5&amp;"生成成长"),4))/(VLOOKUP(CK$72,INDIRECT($C$5&amp;"生成成长"),5))*(VLOOKUP($B$5,标准坦克设计!$B$24:$U$30,MATCH("对"&amp;LEFT($C$5,2)&amp;"输出",标准坦克设计!$B$23:$U$23,0)))*(VLOOKUP($B170,INDIRECT($B$5&amp;"生成成长"),3))*(VLOOKUP($B$5,标准坦克设计!$B$14:$K$20,9)/30))</f>
        <v>9.6522734817385025</v>
      </c>
      <c r="CL170" s="173">
        <f ca="1">(VLOOKUP(CL$72,INDIRECT($C$5&amp;"生成成长"),2))/((VLOOKUP($B170,INDIRECT($B$5&amp;"生成成长"),4))/(VLOOKUP(CL$72,INDIRECT($C$5&amp;"生成成长"),5))*(VLOOKUP($B$5,标准坦克设计!$B$24:$U$30,MATCH("对"&amp;LEFT($C$5,2)&amp;"输出",标准坦克设计!$B$23:$U$23,0)))*(VLOOKUP($B170,INDIRECT($B$5&amp;"生成成长"),3))*(VLOOKUP($B$5,标准坦克设计!$B$14:$K$20,9)/30))</f>
        <v>10.30648312883411</v>
      </c>
      <c r="CM170" s="173">
        <f ca="1">(VLOOKUP(CM$72,INDIRECT($C$5&amp;"生成成长"),2))/((VLOOKUP($B170,INDIRECT($B$5&amp;"生成成长"),4))/(VLOOKUP(CM$72,INDIRECT($C$5&amp;"生成成长"),5))*(VLOOKUP($B$5,标准坦克设计!$B$24:$U$30,MATCH("对"&amp;LEFT($C$5,2)&amp;"输出",标准坦克设计!$B$23:$U$23,0)))*(VLOOKUP($B170,INDIRECT($B$5&amp;"生成成长"),3))*(VLOOKUP($B$5,标准坦克设计!$B$14:$K$20,9)/30))</f>
        <v>10.982142272555805</v>
      </c>
      <c r="CN170" s="173">
        <f ca="1">(VLOOKUP(CN$72,INDIRECT($C$5&amp;"生成成长"),2))/((VLOOKUP($B170,INDIRECT($B$5&amp;"生成成长"),4))/(VLOOKUP(CN$72,INDIRECT($C$5&amp;"生成成长"),5))*(VLOOKUP($B$5,标准坦克设计!$B$24:$U$30,MATCH("对"&amp;LEFT($C$5,2)&amp;"输出",标准坦克设计!$B$23:$U$23,0)))*(VLOOKUP($B170,INDIRECT($B$5&amp;"生成成长"),3))*(VLOOKUP($B$5,标准坦克设计!$B$14:$K$20,9)/30))</f>
        <v>11.679250912903584</v>
      </c>
      <c r="CO170" s="173">
        <f ca="1">(VLOOKUP(CO$72,INDIRECT($C$5&amp;"生成成长"),2))/((VLOOKUP($B170,INDIRECT($B$5&amp;"生成成长"),4))/(VLOOKUP(CO$72,INDIRECT($C$5&amp;"生成成长"),5))*(VLOOKUP($B$5,标准坦克设计!$B$24:$U$30,MATCH("对"&amp;LEFT($C$5,2)&amp;"输出",标准坦克设计!$B$23:$U$23,0)))*(VLOOKUP($B170,INDIRECT($B$5&amp;"生成成长"),3))*(VLOOKUP($B$5,标准坦克设计!$B$14:$K$20,9)/30))</f>
        <v>5.2337658110484551</v>
      </c>
      <c r="CP170" s="173">
        <f ca="1">(VLOOKUP(CP$72,INDIRECT($C$5&amp;"生成成长"),2))/((VLOOKUP($B170,INDIRECT($B$5&amp;"生成成长"),4))/(VLOOKUP(CP$72,INDIRECT($C$5&amp;"生成成长"),5))*(VLOOKUP($B$5,标准坦克设计!$B$24:$U$30,MATCH("对"&amp;LEFT($C$5,2)&amp;"输出",标准坦克设计!$B$23:$U$23,0)))*(VLOOKUP($B170,INDIRECT($B$5&amp;"生成成长"),3))*(VLOOKUP($B$5,标准坦克设计!$B$14:$K$20,9)/30))</f>
        <v>5.7183294393741146</v>
      </c>
      <c r="CQ170" s="173">
        <f ca="1">(VLOOKUP(CQ$72,INDIRECT($C$5&amp;"生成成长"),2))/((VLOOKUP($B170,INDIRECT($B$5&amp;"生成成长"),4))/(VLOOKUP(CQ$72,INDIRECT($C$5&amp;"生成成长"),5))*(VLOOKUP($B$5,标准坦克设计!$B$24:$U$30,MATCH("对"&amp;LEFT($C$5,2)&amp;"输出",标准坦克设计!$B$23:$U$23,0)))*(VLOOKUP($B170,INDIRECT($B$5&amp;"生成成长"),3))*(VLOOKUP($B$5,标准坦克设计!$B$14:$K$20,9)/30))</f>
        <v>6.2243425643258607</v>
      </c>
      <c r="CR170" s="173">
        <f ca="1">(VLOOKUP(CR$72,INDIRECT($C$5&amp;"生成成长"),2))/((VLOOKUP($B170,INDIRECT($B$5&amp;"生成成长"),4))/(VLOOKUP(CR$72,INDIRECT($C$5&amp;"生成成长"),5))*(VLOOKUP($B$5,标准坦克设计!$B$24:$U$30,MATCH("对"&amp;LEFT($C$5,2)&amp;"输出",标准坦克设计!$B$23:$U$23,0)))*(VLOOKUP($B170,INDIRECT($B$5&amp;"生成成长"),3))*(VLOOKUP($B$5,标准坦克设计!$B$14:$K$20,9)/30))</f>
        <v>6.7518051859036907</v>
      </c>
      <c r="CS170" s="173">
        <f ca="1">(VLOOKUP(CS$72,INDIRECT($C$5&amp;"生成成长"),2))/((VLOOKUP($B170,INDIRECT($B$5&amp;"生成成长"),4))/(VLOOKUP(CS$72,INDIRECT($C$5&amp;"生成成长"),5))*(VLOOKUP($B$5,标准坦克设计!$B$24:$U$30,MATCH("对"&amp;LEFT($C$5,2)&amp;"输出",标准坦克设计!$B$23:$U$23,0)))*(VLOOKUP($B170,INDIRECT($B$5&amp;"生成成长"),3))*(VLOOKUP($B$5,标准坦克设计!$B$14:$K$20,9)/30))</f>
        <v>7.3007173041076081</v>
      </c>
      <c r="CT170" s="173">
        <f ca="1">(VLOOKUP(CT$72,INDIRECT($C$5&amp;"生成成长"),2))/((VLOOKUP($B170,INDIRECT($B$5&amp;"生成成长"),4))/(VLOOKUP(CT$72,INDIRECT($C$5&amp;"生成成长"),5))*(VLOOKUP($B$5,标准坦克设计!$B$24:$U$30,MATCH("对"&amp;LEFT($C$5,2)&amp;"输出",标准坦克设计!$B$23:$U$23,0)))*(VLOOKUP($B170,INDIRECT($B$5&amp;"生成成长"),3))*(VLOOKUP($B$5,标准坦克设计!$B$14:$K$20,9)/30))</f>
        <v>7.8710789189376094</v>
      </c>
      <c r="CU170" s="173">
        <f ca="1">(VLOOKUP(CU$72,INDIRECT($C$5&amp;"生成成长"),2))/((VLOOKUP($B170,INDIRECT($B$5&amp;"生成成长"),4))/(VLOOKUP(CU$72,INDIRECT($C$5&amp;"生成成长"),5))*(VLOOKUP($B$5,标准坦克设计!$B$24:$U$30,MATCH("对"&amp;LEFT($C$5,2)&amp;"输出",标准坦克设计!$B$23:$U$23,0)))*(VLOOKUP($B170,INDIRECT($B$5&amp;"生成成长"),3))*(VLOOKUP($B$5,标准坦克设计!$B$14:$K$20,9)/30))</f>
        <v>8.4628900303936998</v>
      </c>
      <c r="CV170" s="173">
        <f ca="1">(VLOOKUP(CV$72,INDIRECT($C$5&amp;"生成成长"),2))/((VLOOKUP($B170,INDIRECT($B$5&amp;"生成成长"),4))/(VLOOKUP(CV$72,INDIRECT($C$5&amp;"生成成长"),5))*(VLOOKUP($B$5,标准坦克设计!$B$24:$U$30,MATCH("对"&amp;LEFT($C$5,2)&amp;"输出",标准坦克设计!$B$23:$U$23,0)))*(VLOOKUP($B170,INDIRECT($B$5&amp;"生成成长"),3))*(VLOOKUP($B$5,标准坦克设计!$B$14:$K$20,9)/30))</f>
        <v>9.0761506384758714</v>
      </c>
      <c r="CW170" s="173">
        <f ca="1">(VLOOKUP(CW$72,INDIRECT($C$5&amp;"生成成长"),2))/((VLOOKUP($B170,INDIRECT($B$5&amp;"生成成长"),4))/(VLOOKUP(CW$72,INDIRECT($C$5&amp;"生成成长"),5))*(VLOOKUP($B$5,标准坦克设计!$B$24:$U$30,MATCH("对"&amp;LEFT($C$5,2)&amp;"输出",标准坦克设计!$B$23:$U$23,0)))*(VLOOKUP($B170,INDIRECT($B$5&amp;"生成成长"),3))*(VLOOKUP($B$5,标准坦克设计!$B$14:$K$20,9)/30))</f>
        <v>9.7108607431841314</v>
      </c>
      <c r="CX170" s="173">
        <f ca="1">(VLOOKUP(CX$72,INDIRECT($C$5&amp;"生成成长"),2))/((VLOOKUP($B170,INDIRECT($B$5&amp;"生成成长"),4))/(VLOOKUP(CX$72,INDIRECT($C$5&amp;"生成成长"),5))*(VLOOKUP($B$5,标准坦克设计!$B$24:$U$30,MATCH("对"&amp;LEFT($C$5,2)&amp;"输出",标准坦克设计!$B$23:$U$23,0)))*(VLOOKUP($B170,INDIRECT($B$5&amp;"生成成长"),3))*(VLOOKUP($B$5,标准坦克设计!$B$14:$K$20,9)/30))</f>
        <v>10.367020344518478</v>
      </c>
      <c r="CY170" s="173">
        <f ca="1">(VLOOKUP(CY$72,INDIRECT($C$5&amp;"生成成长"),2))/((VLOOKUP($B170,INDIRECT($B$5&amp;"生成成长"),4))/(VLOOKUP(CY$72,INDIRECT($C$5&amp;"生成成长"),5))*(VLOOKUP($B$5,标准坦克设计!$B$24:$U$30,MATCH("对"&amp;LEFT($C$5,2)&amp;"输出",标准坦克设计!$B$23:$U$23,0)))*(VLOOKUP($B170,INDIRECT($B$5&amp;"生成成长"),3))*(VLOOKUP($B$5,标准坦克设计!$B$14:$K$20,9)/30))</f>
        <v>11.044629442478904</v>
      </c>
      <c r="CZ170" s="173">
        <f ca="1">(VLOOKUP(CZ$72,INDIRECT($C$5&amp;"生成成长"),2))/((VLOOKUP($B170,INDIRECT($B$5&amp;"生成成长"),4))/(VLOOKUP(CZ$72,INDIRECT($C$5&amp;"生成成长"),5))*(VLOOKUP($B$5,标准坦克设计!$B$24:$U$30,MATCH("对"&amp;LEFT($C$5,2)&amp;"输出",标准坦克设计!$B$23:$U$23,0)))*(VLOOKUP($B170,INDIRECT($B$5&amp;"生成成长"),3))*(VLOOKUP($B$5,标准坦克设计!$B$14:$K$20,9)/30))</f>
        <v>11.743688037065423</v>
      </c>
      <c r="DA170" s="173">
        <f ca="1">(VLOOKUP(DA$72,INDIRECT($C$5&amp;"生成成长"),2))/((VLOOKUP($B170,INDIRECT($B$5&amp;"生成成长"),4))/(VLOOKUP(DA$72,INDIRECT($C$5&amp;"生成成长"),5))*(VLOOKUP($B$5,标准坦克设计!$B$24:$U$30,MATCH("对"&amp;LEFT($C$5,2)&amp;"输出",标准坦克设计!$B$23:$U$23,0)))*(VLOOKUP($B170,INDIRECT($B$5&amp;"生成成长"),3))*(VLOOKUP($B$5,标准坦克设计!$B$14:$K$20,9)/30))</f>
        <v>12.46419612827802</v>
      </c>
      <c r="DB170" s="173">
        <f ca="1">(VLOOKUP(DB$72,INDIRECT($C$5&amp;"生成成长"),2))/((VLOOKUP($B170,INDIRECT($B$5&amp;"生成成长"),4))/(VLOOKUP(DB$72,INDIRECT($C$5&amp;"生成成长"),5))*(VLOOKUP($B$5,标准坦克设计!$B$24:$U$30,MATCH("对"&amp;LEFT($C$5,2)&amp;"输出",标准坦克设计!$B$23:$U$23,0)))*(VLOOKUP($B170,INDIRECT($B$5&amp;"生成成长"),3))*(VLOOKUP($B$5,标准坦克设计!$B$14:$K$20,9)/30))</f>
        <v>13.20615371611671</v>
      </c>
      <c r="DC170" s="173">
        <f ca="1">(VLOOKUP(DC$72,INDIRECT($C$5&amp;"生成成长"),2))/((VLOOKUP($B170,INDIRECT($B$5&amp;"生成成长"),4))/(VLOOKUP(DC$72,INDIRECT($C$5&amp;"生成成长"),5))*(VLOOKUP($B$5,标准坦克设计!$B$24:$U$30,MATCH("对"&amp;LEFT($C$5,2)&amp;"输出",标准坦克设计!$B$23:$U$23,0)))*(VLOOKUP($B170,INDIRECT($B$5&amp;"生成成长"),3))*(VLOOKUP($B$5,标准坦克设计!$B$14:$K$20,9)/30))</f>
        <v>14.040025056026677</v>
      </c>
      <c r="DD170" s="173">
        <f ca="1">(VLOOKUP(DD$72,INDIRECT($C$5&amp;"生成成长"),2))/((VLOOKUP($B170,INDIRECT($B$5&amp;"生成成长"),4))/(VLOOKUP(DD$72,INDIRECT($C$5&amp;"生成成长"),5))*(VLOOKUP($B$5,标准坦克设计!$B$24:$U$30,MATCH("对"&amp;LEFT($C$5,2)&amp;"输出",标准坦克设计!$B$23:$U$23,0)))*(VLOOKUP($B170,INDIRECT($B$5&amp;"生成成长"),3))*(VLOOKUP($B$5,标准坦克设计!$B$14:$K$20,9)/30))</f>
        <v>14.899423069607362</v>
      </c>
      <c r="DE170" s="173">
        <f ca="1">(VLOOKUP(DE$72,INDIRECT($C$5&amp;"生成成长"),2))/((VLOOKUP($B170,INDIRECT($B$5&amp;"生成成长"),4))/(VLOOKUP(DE$72,INDIRECT($C$5&amp;"生成成长"),5))*(VLOOKUP($B$5,标准坦克设计!$B$24:$U$30,MATCH("对"&amp;LEFT($C$5,2)&amp;"输出",标准坦克设计!$B$23:$U$23,0)))*(VLOOKUP($B170,INDIRECT($B$5&amp;"生成成长"),3))*(VLOOKUP($B$5,标准坦克设计!$B$14:$K$20,9)/30))</f>
        <v>15.784347756858763</v>
      </c>
      <c r="DF170" s="173">
        <f ca="1">(VLOOKUP(DF$72,INDIRECT($C$5&amp;"生成成长"),2))/((VLOOKUP($B170,INDIRECT($B$5&amp;"生成成长"),4))/(VLOOKUP(DF$72,INDIRECT($C$5&amp;"生成成长"),5))*(VLOOKUP($B$5,标准坦克设计!$B$24:$U$30,MATCH("对"&amp;LEFT($C$5,2)&amp;"输出",标准坦克设计!$B$23:$U$23,0)))*(VLOOKUP($B170,INDIRECT($B$5&amp;"生成成长"),3))*(VLOOKUP($B$5,标准坦克设计!$B$14:$K$20,9)/30))</f>
        <v>16.694799117780871</v>
      </c>
      <c r="DG170" s="173">
        <f ca="1">(VLOOKUP(DG$72,INDIRECT($C$5&amp;"生成成长"),2))/((VLOOKUP($B170,INDIRECT($B$5&amp;"生成成长"),4))/(VLOOKUP(DG$72,INDIRECT($C$5&amp;"生成成长"),5))*(VLOOKUP($B$5,标准坦克设计!$B$24:$U$30,MATCH("对"&amp;LEFT($C$5,2)&amp;"输出",标准坦克设计!$B$23:$U$23,0)))*(VLOOKUP($B170,INDIRECT($B$5&amp;"生成成长"),3))*(VLOOKUP($B$5,标准坦克设计!$B$14:$K$20,9)/30))</f>
        <v>17.630777152373696</v>
      </c>
      <c r="DH170" s="173">
        <f ca="1">(VLOOKUP(DH$72,INDIRECT($C$5&amp;"生成成长"),2))/((VLOOKUP($B170,INDIRECT($B$5&amp;"生成成长"),4))/(VLOOKUP(DH$72,INDIRECT($C$5&amp;"生成成长"),5))*(VLOOKUP($B$5,标准坦克设计!$B$24:$U$30,MATCH("对"&amp;LEFT($C$5,2)&amp;"输出",标准坦克设计!$B$23:$U$23,0)))*(VLOOKUP($B170,INDIRECT($B$5&amp;"生成成长"),3))*(VLOOKUP($B$5,标准坦克设计!$B$14:$K$20,9)/30))</f>
        <v>18.592281860637232</v>
      </c>
      <c r="DI170" s="173">
        <f ca="1">(VLOOKUP(DI$72,INDIRECT($C$5&amp;"生成成长"),2))/((VLOOKUP($B170,INDIRECT($B$5&amp;"生成成长"),4))/(VLOOKUP(DI$72,INDIRECT($C$5&amp;"生成成长"),5))*(VLOOKUP($B$5,标准坦克设计!$B$24:$U$30,MATCH("对"&amp;LEFT($C$5,2)&amp;"输出",标准坦克设计!$B$23:$U$23,0)))*(VLOOKUP($B170,INDIRECT($B$5&amp;"生成成长"),3))*(VLOOKUP($B$5,标准坦克设计!$B$14:$K$20,9)/30))</f>
        <v>19.579313242571484</v>
      </c>
      <c r="DJ170" s="173">
        <f ca="1">(VLOOKUP(DJ$72,INDIRECT($C$5&amp;"生成成长"),2))/((VLOOKUP($B170,INDIRECT($B$5&amp;"生成成长"),4))/(VLOOKUP(DJ$72,INDIRECT($C$5&amp;"生成成长"),5))*(VLOOKUP($B$5,标准坦克设计!$B$24:$U$30,MATCH("对"&amp;LEFT($C$5,2)&amp;"输出",标准坦克设计!$B$23:$U$23,0)))*(VLOOKUP($B170,INDIRECT($B$5&amp;"生成成长"),3))*(VLOOKUP($B$5,标准坦克设计!$B$14:$K$20,9)/30))</f>
        <v>1.9677697297344023</v>
      </c>
      <c r="DK170" s="173">
        <f ca="1">(VLOOKUP(DK$72,INDIRECT($C$5&amp;"生成成长"),2))/((VLOOKUP($B170,INDIRECT($B$5&amp;"生成成长"),4))/(VLOOKUP(DK$72,INDIRECT($C$5&amp;"生成成长"),5))*(VLOOKUP($B$5,标准坦克设计!$B$24:$U$30,MATCH("对"&amp;LEFT($C$5,2)&amp;"输出",标准坦克设计!$B$23:$U$23,0)))*(VLOOKUP($B170,INDIRECT($B$5&amp;"生成成长"),3))*(VLOOKUP($B$5,标准坦克设计!$B$14:$K$20,9)/30))</f>
        <v>2.2126662552628087</v>
      </c>
      <c r="DL170" s="173">
        <f ca="1">(VLOOKUP(DL$72,INDIRECT($C$5&amp;"生成成长"),2))/((VLOOKUP($B170,INDIRECT($B$5&amp;"生成成长"),4))/(VLOOKUP(DL$72,INDIRECT($C$5&amp;"生成成长"),5))*(VLOOKUP($B$5,标准坦克设计!$B$24:$U$30,MATCH("对"&amp;LEFT($C$5,2)&amp;"输出",标准坦克设计!$B$23:$U$23,0)))*(VLOOKUP($B170,INDIRECT($B$5&amp;"生成成长"),3))*(VLOOKUP($B$5,标准坦克设计!$B$14:$K$20,9)/30))</f>
        <v>2.471921534730992</v>
      </c>
      <c r="DM170" s="173">
        <f ca="1">(VLOOKUP(DM$72,INDIRECT($C$5&amp;"生成成长"),2))/((VLOOKUP($B170,INDIRECT($B$5&amp;"生成成长"),4))/(VLOOKUP(DM$72,INDIRECT($C$5&amp;"生成成长"),5))*(VLOOKUP($B$5,标准坦克设计!$B$24:$U$30,MATCH("对"&amp;LEFT($C$5,2)&amp;"输出",标准坦克设计!$B$23:$U$23,0)))*(VLOOKUP($B170,INDIRECT($B$5&amp;"生成成长"),3))*(VLOOKUP($B$5,标准坦克设计!$B$14:$K$20,9)/30))</f>
        <v>2.7455355681389513</v>
      </c>
      <c r="DN170" s="173">
        <f ca="1">(VLOOKUP(DN$72,INDIRECT($C$5&amp;"生成成长"),2))/((VLOOKUP($B170,INDIRECT($B$5&amp;"生成成长"),4))/(VLOOKUP(DN$72,INDIRECT($C$5&amp;"生成成长"),5))*(VLOOKUP($B$5,标准坦克设计!$B$24:$U$30,MATCH("对"&amp;LEFT($C$5,2)&amp;"输出",标准坦克设计!$B$23:$U$23,0)))*(VLOOKUP($B170,INDIRECT($B$5&amp;"生成成长"),3))*(VLOOKUP($B$5,标准坦克设计!$B$14:$K$20,9)/30))</f>
        <v>3.0335083554866866</v>
      </c>
      <c r="DO170" s="173">
        <f ca="1">(VLOOKUP(DO$72,INDIRECT($C$5&amp;"生成成长"),2))/((VLOOKUP($B170,INDIRECT($B$5&amp;"生成成长"),4))/(VLOOKUP(DO$72,INDIRECT($C$5&amp;"生成成长"),5))*(VLOOKUP($B$5,标准坦克设计!$B$24:$U$30,MATCH("对"&amp;LEFT($C$5,2)&amp;"输出",标准坦克设计!$B$23:$U$23,0)))*(VLOOKUP($B170,INDIRECT($B$5&amp;"生成成长"),3))*(VLOOKUP($B$5,标准坦克设计!$B$14:$K$20,9)/30))</f>
        <v>3.3358398967741985</v>
      </c>
      <c r="DP170" s="173">
        <f ca="1">(VLOOKUP(DP$72,INDIRECT($C$5&amp;"生成成长"),2))/((VLOOKUP($B170,INDIRECT($B$5&amp;"生成成长"),4))/(VLOOKUP(DP$72,INDIRECT($C$5&amp;"生成成长"),5))*(VLOOKUP($B$5,标准坦克设计!$B$24:$U$30,MATCH("对"&amp;LEFT($C$5,2)&amp;"输出",标准坦克设计!$B$23:$U$23,0)))*(VLOOKUP($B170,INDIRECT($B$5&amp;"生成成长"),3))*(VLOOKUP($B$5,标准坦克设计!$B$14:$K$20,9)/30))</f>
        <v>3.6525301920014863</v>
      </c>
      <c r="DQ170" s="173">
        <f ca="1">(VLOOKUP(DQ$72,INDIRECT($C$5&amp;"生成成长"),2))/((VLOOKUP($B170,INDIRECT($B$5&amp;"生成成长"),4))/(VLOOKUP(DQ$72,INDIRECT($C$5&amp;"生成成长"),5))*(VLOOKUP($B$5,标准坦克设计!$B$24:$U$30,MATCH("对"&amp;LEFT($C$5,2)&amp;"输出",标准坦克设计!$B$23:$U$23,0)))*(VLOOKUP($B170,INDIRECT($B$5&amp;"生成成长"),3))*(VLOOKUP($B$5,标准坦克设计!$B$14:$K$20,9)/30))</f>
        <v>3.9835792411685502</v>
      </c>
      <c r="DR170" s="173">
        <f ca="1">(VLOOKUP(DR$72,INDIRECT($C$5&amp;"生成成长"),2))/((VLOOKUP($B170,INDIRECT($B$5&amp;"生成成长"),4))/(VLOOKUP(DR$72,INDIRECT($C$5&amp;"生成成长"),5))*(VLOOKUP($B$5,标准坦克设计!$B$24:$U$30,MATCH("对"&amp;LEFT($C$5,2)&amp;"输出",标准坦克设计!$B$23:$U$23,0)))*(VLOOKUP($B170,INDIRECT($B$5&amp;"生成成长"),3))*(VLOOKUP($B$5,标准坦克设计!$B$14:$K$20,9)/30))</f>
        <v>4.328987044275391</v>
      </c>
      <c r="DS170" s="173">
        <f ca="1">(VLOOKUP(DS$72,INDIRECT($C$5&amp;"生成成长"),2))/((VLOOKUP($B170,INDIRECT($B$5&amp;"生成成长"),4))/(VLOOKUP(DS$72,INDIRECT($C$5&amp;"生成成长"),5))*(VLOOKUP($B$5,标准坦克设计!$B$24:$U$30,MATCH("对"&amp;LEFT($C$5,2)&amp;"输出",标准坦克设计!$B$23:$U$23,0)))*(VLOOKUP($B170,INDIRECT($B$5&amp;"生成成长"),3))*(VLOOKUP($B$5,标准坦克设计!$B$14:$K$20,9)/30))</f>
        <v>4.6887536013220084</v>
      </c>
      <c r="DT170" s="173">
        <f ca="1">(VLOOKUP(DT$72,INDIRECT($C$5&amp;"生成成长"),2))/((VLOOKUP($B170,INDIRECT($B$5&amp;"生成成长"),4))/(VLOOKUP(DT$72,INDIRECT($C$5&amp;"生成成长"),5))*(VLOOKUP($B$5,标准坦克设计!$B$24:$U$30,MATCH("对"&amp;LEFT($C$5,2)&amp;"输出",标准坦克设计!$B$23:$U$23,0)))*(VLOOKUP($B170,INDIRECT($B$5&amp;"生成成长"),3))*(VLOOKUP($B$5,标准坦克设计!$B$14:$K$20,9)/30))</f>
        <v>5.1479678245441125</v>
      </c>
      <c r="DU170" s="173">
        <f ca="1">(VLOOKUP(DU$72,INDIRECT($C$5&amp;"生成成长"),2))/((VLOOKUP($B170,INDIRECT($B$5&amp;"生成成长"),4))/(VLOOKUP(DU$72,INDIRECT($C$5&amp;"生成成长"),5))*(VLOOKUP($B$5,标准坦克设计!$B$24:$U$30,MATCH("对"&amp;LEFT($C$5,2)&amp;"输出",标准坦克设计!$B$23:$U$23,0)))*(VLOOKUP($B170,INDIRECT($B$5&amp;"生成成长"),3))*(VLOOKUP($B$5,标准坦克设计!$B$14:$K$20,9)/30))</f>
        <v>5.6286315443923023</v>
      </c>
      <c r="DV170" s="173">
        <f ca="1">(VLOOKUP(DV$72,INDIRECT($C$5&amp;"生成成长"),2))/((VLOOKUP($B170,INDIRECT($B$5&amp;"生成成长"),4))/(VLOOKUP(DV$72,INDIRECT($C$5&amp;"生成成长"),5))*(VLOOKUP($B$5,标准坦克设计!$B$24:$U$30,MATCH("对"&amp;LEFT($C$5,2)&amp;"输出",标准坦克设计!$B$23:$U$23,0)))*(VLOOKUP($B170,INDIRECT($B$5&amp;"生成成长"),3))*(VLOOKUP($B$5,标准坦克设计!$B$14:$K$20,9)/30))</f>
        <v>6.1307447608665777</v>
      </c>
      <c r="DW170" s="173">
        <f ca="1">(VLOOKUP(DW$72,INDIRECT($C$5&amp;"生成成长"),2))/((VLOOKUP($B170,INDIRECT($B$5&amp;"生成成长"),4))/(VLOOKUP(DW$72,INDIRECT($C$5&amp;"生成成长"),5))*(VLOOKUP($B$5,标准坦克设计!$B$24:$U$30,MATCH("对"&amp;LEFT($C$5,2)&amp;"输出",标准坦克设计!$B$23:$U$23,0)))*(VLOOKUP($B170,INDIRECT($B$5&amp;"生成成长"),3))*(VLOOKUP($B$5,标准坦克设计!$B$14:$K$20,9)/30))</f>
        <v>6.6543074739669397</v>
      </c>
      <c r="DX170" s="173">
        <f ca="1">(VLOOKUP(DX$72,INDIRECT($C$5&amp;"生成成长"),2))/((VLOOKUP($B170,INDIRECT($B$5&amp;"生成成长"),4))/(VLOOKUP(DX$72,INDIRECT($C$5&amp;"生成成长"),5))*(VLOOKUP($B$5,标准坦克设计!$B$24:$U$30,MATCH("对"&amp;LEFT($C$5,2)&amp;"输出",标准坦克设计!$B$23:$U$23,0)))*(VLOOKUP($B170,INDIRECT($B$5&amp;"生成成长"),3))*(VLOOKUP($B$5,标准坦克设计!$B$14:$K$20,9)/30))</f>
        <v>7.1993196836933864</v>
      </c>
      <c r="DY170" s="173">
        <f ca="1">(VLOOKUP(DY$72,INDIRECT($C$5&amp;"生成成长"),2))/((VLOOKUP($B170,INDIRECT($B$5&amp;"生成成长"),4))/(VLOOKUP(DY$72,INDIRECT($C$5&amp;"生成成长"),5))*(VLOOKUP($B$5,标准坦克设计!$B$24:$U$30,MATCH("对"&amp;LEFT($C$5,2)&amp;"输出",标准坦克设计!$B$23:$U$23,0)))*(VLOOKUP($B170,INDIRECT($B$5&amp;"生成成长"),3))*(VLOOKUP($B$5,标准坦克设计!$B$14:$K$20,9)/30))</f>
        <v>3.2334672992406084</v>
      </c>
      <c r="DZ170" s="173">
        <f ca="1">(VLOOKUP(DZ$72,INDIRECT($C$5&amp;"生成成长"),2))/((VLOOKUP($B170,INDIRECT($B$5&amp;"生成成长"),4))/(VLOOKUP(DZ$72,INDIRECT($C$5&amp;"生成成长"),5))*(VLOOKUP($B$5,标准坦克设计!$B$24:$U$30,MATCH("对"&amp;LEFT($C$5,2)&amp;"输出",标准坦克设计!$B$23:$U$23,0)))*(VLOOKUP($B170,INDIRECT($B$5&amp;"生成成长"),3))*(VLOOKUP($B$5,标准坦克设计!$B$14:$K$20,9)/30))</f>
        <v>3.5809136908697621</v>
      </c>
      <c r="EA170" s="173">
        <f ca="1">(VLOOKUP(EA$72,INDIRECT($C$5&amp;"生成成长"),2))/((VLOOKUP($B170,INDIRECT($B$5&amp;"生成成长"),4))/(VLOOKUP(EA$72,INDIRECT($C$5&amp;"生成成长"),5))*(VLOOKUP($B$5,标准坦克设计!$B$24:$U$30,MATCH("对"&amp;LEFT($C$5,2)&amp;"输出",标准坦克设计!$B$23:$U$23,0)))*(VLOOKUP($B170,INDIRECT($B$5&amp;"生成成长"),3))*(VLOOKUP($B$5,标准坦克设计!$B$14:$K$20,9)/30))</f>
        <v>3.9460869392146907</v>
      </c>
      <c r="EB170" s="173">
        <f ca="1">(VLOOKUP(EB$72,INDIRECT($C$5&amp;"生成成长"),2))/((VLOOKUP($B170,INDIRECT($B$5&amp;"生成成长"),4))/(VLOOKUP(EB$72,INDIRECT($C$5&amp;"生成成长"),5))*(VLOOKUP($B$5,标准坦克设计!$B$24:$U$30,MATCH("对"&amp;LEFT($C$5,2)&amp;"输出",标准坦克设计!$B$23:$U$23,0)))*(VLOOKUP($B170,INDIRECT($B$5&amp;"生成成长"),3))*(VLOOKUP($B$5,标准坦克设计!$B$14:$K$20,9)/30))</f>
        <v>4.328987044275391</v>
      </c>
      <c r="EC170" s="173">
        <f ca="1">(VLOOKUP(EC$72,INDIRECT($C$5&amp;"生成成长"),2))/((VLOOKUP($B170,INDIRECT($B$5&amp;"生成成长"),4))/(VLOOKUP(EC$72,INDIRECT($C$5&amp;"生成成长"),5))*(VLOOKUP($B$5,标准坦克设计!$B$24:$U$30,MATCH("对"&amp;LEFT($C$5,2)&amp;"输出",标准坦克设计!$B$23:$U$23,0)))*(VLOOKUP($B170,INDIRECT($B$5&amp;"生成成长"),3))*(VLOOKUP($B$5,标准坦克设计!$B$14:$K$20,9)/30))</f>
        <v>4.7296140060518654</v>
      </c>
      <c r="ED170" s="173">
        <f ca="1">(VLOOKUP(ED$72,INDIRECT($C$5&amp;"生成成长"),2))/((VLOOKUP($B170,INDIRECT($B$5&amp;"生成成长"),4))/(VLOOKUP(ED$72,INDIRECT($C$5&amp;"生成成长"),5))*(VLOOKUP($B$5,标准坦克设计!$B$24:$U$30,MATCH("对"&amp;LEFT($C$5,2)&amp;"输出",标准坦克设计!$B$23:$U$23,0)))*(VLOOKUP($B170,INDIRECT($B$5&amp;"生成成长"),3))*(VLOOKUP($B$5,标准坦克设计!$B$14:$K$20,9)/30))</f>
        <v>5.1479678245441125</v>
      </c>
      <c r="EE170" s="173">
        <f ca="1">(VLOOKUP(EE$72,INDIRECT($C$5&amp;"生成成长"),2))/((VLOOKUP($B170,INDIRECT($B$5&amp;"生成成长"),4))/(VLOOKUP(EE$72,INDIRECT($C$5&amp;"生成成长"),5))*(VLOOKUP($B$5,标准坦克设计!$B$24:$U$30,MATCH("对"&amp;LEFT($C$5,2)&amp;"输出",标准坦克设计!$B$23:$U$23,0)))*(VLOOKUP($B170,INDIRECT($B$5&amp;"生成成长"),3))*(VLOOKUP($B$5,标准坦克设计!$B$14:$K$20,9)/30))</f>
        <v>5.5840484997521331</v>
      </c>
      <c r="EF170" s="173">
        <f ca="1">(VLOOKUP(EF$72,INDIRECT($C$5&amp;"生成成长"),2))/((VLOOKUP($B170,INDIRECT($B$5&amp;"生成成长"),4))/(VLOOKUP(EF$72,INDIRECT($C$5&amp;"生成成长"),5))*(VLOOKUP($B$5,标准坦克设计!$B$24:$U$30,MATCH("对"&amp;LEFT($C$5,2)&amp;"输出",标准坦克设计!$B$23:$U$23,0)))*(VLOOKUP($B170,INDIRECT($B$5&amp;"生成成长"),3))*(VLOOKUP($B$5,标准坦克设计!$B$14:$K$20,9)/30))</f>
        <v>6.0378560316759264</v>
      </c>
      <c r="EG170" s="173">
        <f ca="1">(VLOOKUP(EG$72,INDIRECT($C$5&amp;"生成成长"),2))/((VLOOKUP($B170,INDIRECT($B$5&amp;"生成成长"),4))/(VLOOKUP(EG$72,INDIRECT($C$5&amp;"生成成长"),5))*(VLOOKUP($B$5,标准坦克设计!$B$24:$U$30,MATCH("对"&amp;LEFT($C$5,2)&amp;"输出",标准坦克设计!$B$23:$U$23,0)))*(VLOOKUP($B170,INDIRECT($B$5&amp;"生成成长"),3))*(VLOOKUP($B$5,标准坦克设计!$B$14:$K$20,9)/30))</f>
        <v>6.5093904203154933</v>
      </c>
      <c r="EH170" s="173">
        <f ca="1">(VLOOKUP(EH$72,INDIRECT($C$5&amp;"生成成长"),2))/((VLOOKUP($B170,INDIRECT($B$5&amp;"生成成长"),4))/(VLOOKUP(EH$72,INDIRECT($C$5&amp;"生成成长"),5))*(VLOOKUP($B$5,标准坦克设计!$B$24:$U$30,MATCH("对"&amp;LEFT($C$5,2)&amp;"输出",标准坦克设计!$B$23:$U$23,0)))*(VLOOKUP($B170,INDIRECT($B$5&amp;"生成成长"),3))*(VLOOKUP($B$5,标准坦克设计!$B$14:$K$20,9)/30))</f>
        <v>6.9986516656708329</v>
      </c>
      <c r="EI170" s="173">
        <f ca="1">(VLOOKUP(EI$72,INDIRECT($C$5&amp;"生成成长"),2))/((VLOOKUP($B170,INDIRECT($B$5&amp;"生成成长"),4))/(VLOOKUP(EI$72,INDIRECT($C$5&amp;"生成成长"),5))*(VLOOKUP($B$5,标准坦克设计!$B$24:$U$30,MATCH("对"&amp;LEFT($C$5,2)&amp;"输出",标准坦克设计!$B$23:$U$23,0)))*(VLOOKUP($B170,INDIRECT($B$5&amp;"生成成长"),3))*(VLOOKUP($B$5,标准坦克设计!$B$14:$K$20,9)/30))</f>
        <v>7.5056397677419451</v>
      </c>
      <c r="EJ170" s="173">
        <f ca="1">(VLOOKUP(EJ$72,INDIRECT($C$5&amp;"生成成长"),2))/((VLOOKUP($B170,INDIRECT($B$5&amp;"生成成长"),4))/(VLOOKUP(EJ$72,INDIRECT($C$5&amp;"生成成长"),5))*(VLOOKUP($B$5,标准坦克设计!$B$24:$U$30,MATCH("对"&amp;LEFT($C$5,2)&amp;"输出",标准坦克设计!$B$23:$U$23,0)))*(VLOOKUP($B170,INDIRECT($B$5&amp;"生成成长"),3))*(VLOOKUP($B$5,标准坦克设计!$B$14:$K$20,9)/30))</f>
        <v>8.0303547265288309</v>
      </c>
      <c r="EK170" s="173">
        <f ca="1">(VLOOKUP(EK$72,INDIRECT($C$5&amp;"生成成长"),2))/((VLOOKUP($B170,INDIRECT($B$5&amp;"生成成长"),4))/(VLOOKUP(EK$72,INDIRECT($C$5&amp;"生成成长"),5))*(VLOOKUP($B$5,标准坦克设计!$B$24:$U$30,MATCH("对"&amp;LEFT($C$5,2)&amp;"输出",标准坦克设计!$B$23:$U$23,0)))*(VLOOKUP($B170,INDIRECT($B$5&amp;"生成成长"),3))*(VLOOKUP($B$5,标准坦克设计!$B$14:$K$20,9)/30))</f>
        <v>8.6834121279379168</v>
      </c>
      <c r="EL170" s="173">
        <f ca="1">(VLOOKUP(EL$72,INDIRECT($C$5&amp;"生成成长"),2))/((VLOOKUP($B170,INDIRECT($B$5&amp;"生成成长"),4))/(VLOOKUP(EL$72,INDIRECT($C$5&amp;"生成成长"),5))*(VLOOKUP($B$5,标准坦克设计!$B$24:$U$30,MATCH("对"&amp;LEFT($C$5,2)&amp;"输出",标准坦克设计!$B$23:$U$23,0)))*(VLOOKUP($B170,INDIRECT($B$5&amp;"生成成长"),3))*(VLOOKUP($B$5,标准坦克设计!$B$14:$K$20,9)/30))</f>
        <v>9.3619962030177142</v>
      </c>
      <c r="EM170" s="173">
        <f ca="1">(VLOOKUP(EM$72,INDIRECT($C$5&amp;"生成成长"),2))/((VLOOKUP($B170,INDIRECT($B$5&amp;"生成成长"),4))/(VLOOKUP(EM$72,INDIRECT($C$5&amp;"生成成长"),5))*(VLOOKUP($B$5,标准坦克设计!$B$24:$U$30,MATCH("对"&amp;LEFT($C$5,2)&amp;"输出",标准坦克设计!$B$23:$U$23,0)))*(VLOOKUP($B170,INDIRECT($B$5&amp;"生成成长"),3))*(VLOOKUP($B$5,标准坦克设计!$B$14:$K$20,9)/30))</f>
        <v>10.066106951768225</v>
      </c>
      <c r="EN170" s="173">
        <f ca="1">(VLOOKUP(EN$72,INDIRECT($C$5&amp;"生成成长"),2))/((VLOOKUP($B170,INDIRECT($B$5&amp;"生成成长"),4))/(VLOOKUP(EN$72,INDIRECT($C$5&amp;"生成成长"),5))*(VLOOKUP($B$5,标准坦克设计!$B$24:$U$30,MATCH("对"&amp;LEFT($C$5,2)&amp;"输出",标准坦克设计!$B$23:$U$23,0)))*(VLOOKUP($B170,INDIRECT($B$5&amp;"生成成长"),3))*(VLOOKUP($B$5,标准坦克设计!$B$14:$K$20,9)/30))</f>
        <v>10.79574437418945</v>
      </c>
      <c r="EO170" s="173">
        <f ca="1">(VLOOKUP(EO$72,INDIRECT($C$5&amp;"生成成长"),2))/((VLOOKUP($B170,INDIRECT($B$5&amp;"生成成长"),4))/(VLOOKUP(EO$72,INDIRECT($C$5&amp;"生成成长"),5))*(VLOOKUP($B$5,标准坦克设计!$B$24:$U$30,MATCH("对"&amp;LEFT($C$5,2)&amp;"输出",标准坦克设计!$B$23:$U$23,0)))*(VLOOKUP($B170,INDIRECT($B$5&amp;"生成成长"),3))*(VLOOKUP($B$5,标准坦克设计!$B$14:$K$20,9)/30))</f>
        <v>11.550908470281389</v>
      </c>
      <c r="EP170" s="173">
        <f ca="1">(VLOOKUP(EP$72,INDIRECT($C$5&amp;"生成成长"),2))/((VLOOKUP($B170,INDIRECT($B$5&amp;"生成成长"),4))/(VLOOKUP(EP$72,INDIRECT($C$5&amp;"生成成长"),5))*(VLOOKUP($B$5,标准坦克设计!$B$24:$U$30,MATCH("对"&amp;LEFT($C$5,2)&amp;"输出",标准坦克设计!$B$23:$U$23,0)))*(VLOOKUP($B170,INDIRECT($B$5&amp;"生成成长"),3))*(VLOOKUP($B$5,标准坦克设计!$B$14:$K$20,9)/30))</f>
        <v>12.331599240044037</v>
      </c>
      <c r="EQ170" s="173">
        <f ca="1">(VLOOKUP(EQ$72,INDIRECT($C$5&amp;"生成成长"),2))/((VLOOKUP($B170,INDIRECT($B$5&amp;"生成成长"),4))/(VLOOKUP(EQ$72,INDIRECT($C$5&amp;"生成成长"),5))*(VLOOKUP($B$5,标准坦克设计!$B$24:$U$30,MATCH("对"&amp;LEFT($C$5,2)&amp;"输出",标准坦克设计!$B$23:$U$23,0)))*(VLOOKUP($B170,INDIRECT($B$5&amp;"生成成长"),3))*(VLOOKUP($B$5,标准坦克设计!$B$14:$K$20,9)/30))</f>
        <v>5.4513629772345702</v>
      </c>
      <c r="ER170" s="173">
        <f ca="1">(VLOOKUP(ER$72,INDIRECT($C$5&amp;"生成成长"),2))/((VLOOKUP($B170,INDIRECT($B$5&amp;"生成成长"),4))/(VLOOKUP(ER$72,INDIRECT($C$5&amp;"生成成长"),5))*(VLOOKUP($B$5,标准坦克设计!$B$24:$U$30,MATCH("对"&amp;LEFT($C$5,2)&amp;"输出",标准坦克设计!$B$23:$U$23,0)))*(VLOOKUP($B170,INDIRECT($B$5&amp;"生成成长"),3))*(VLOOKUP($B$5,标准坦克设计!$B$14:$K$20,9)/30))</f>
        <v>5.9456763767539051</v>
      </c>
      <c r="ES170" s="173">
        <f ca="1">(VLOOKUP(ES$72,INDIRECT($C$5&amp;"生成成长"),2))/((VLOOKUP($B170,INDIRECT($B$5&amp;"生成成长"),4))/(VLOOKUP(ES$72,INDIRECT($C$5&amp;"生成成长"),5))*(VLOOKUP($B$5,标准坦克设计!$B$24:$U$30,MATCH("对"&amp;LEFT($C$5,2)&amp;"输出",标准坦克设计!$B$23:$U$23,0)))*(VLOOKUP($B170,INDIRECT($B$5&amp;"生成成长"),3))*(VLOOKUP($B$5,标准坦克设计!$B$14:$K$20,9)/30))</f>
        <v>6.4614392728993257</v>
      </c>
      <c r="ET170" s="173">
        <f ca="1">(VLOOKUP(ET$72,INDIRECT($C$5&amp;"生成成长"),2))/((VLOOKUP($B170,INDIRECT($B$5&amp;"生成成长"),4))/(VLOOKUP(ET$72,INDIRECT($C$5&amp;"生成成长"),5))*(VLOOKUP($B$5,标准坦克设计!$B$24:$U$30,MATCH("对"&amp;LEFT($C$5,2)&amp;"输出",标准坦克设计!$B$23:$U$23,0)))*(VLOOKUP($B170,INDIRECT($B$5&amp;"生成成长"),3))*(VLOOKUP($B$5,标准坦克设计!$B$14:$K$20,9)/30))</f>
        <v>6.9986516656708329</v>
      </c>
      <c r="EU170" s="173">
        <f ca="1">(VLOOKUP(EU$72,INDIRECT($C$5&amp;"生成成长"),2))/((VLOOKUP($B170,INDIRECT($B$5&amp;"生成成长"),4))/(VLOOKUP(EU$72,INDIRECT($C$5&amp;"生成成长"),5))*(VLOOKUP($B$5,标准坦克设计!$B$24:$U$30,MATCH("对"&amp;LEFT($C$5,2)&amp;"输出",标准坦克设计!$B$23:$U$23,0)))*(VLOOKUP($B170,INDIRECT($B$5&amp;"生成成长"),3))*(VLOOKUP($B$5,标准坦克设计!$B$14:$K$20,9)/30))</f>
        <v>7.5573135550684265</v>
      </c>
      <c r="EV170" s="173">
        <f ca="1">(VLOOKUP(EV$72,INDIRECT($C$5&amp;"生成成长"),2))/((VLOOKUP($B170,INDIRECT($B$5&amp;"生成成长"),4))/(VLOOKUP(EV$72,INDIRECT($C$5&amp;"生成成长"),5))*(VLOOKUP($B$5,标准坦克设计!$B$24:$U$30,MATCH("对"&amp;LEFT($C$5,2)&amp;"输出",标准坦克设计!$B$23:$U$23,0)))*(VLOOKUP($B170,INDIRECT($B$5&amp;"生成成长"),3))*(VLOOKUP($B$5,标准坦克设计!$B$14:$K$20,9)/30))</f>
        <v>8.1374249410921031</v>
      </c>
      <c r="EW170" s="173">
        <f ca="1">(VLOOKUP(EW$72,INDIRECT($C$5&amp;"生成成长"),2))/((VLOOKUP($B170,INDIRECT($B$5&amp;"生成成长"),4))/(VLOOKUP(EW$72,INDIRECT($C$5&amp;"生成成长"),5))*(VLOOKUP($B$5,标准坦克设计!$B$24:$U$30,MATCH("对"&amp;LEFT($C$5,2)&amp;"输出",标准坦克设计!$B$23:$U$23,0)))*(VLOOKUP($B170,INDIRECT($B$5&amp;"生成成长"),3))*(VLOOKUP($B$5,标准坦克设计!$B$14:$K$20,9)/30))</f>
        <v>8.7389858237418654</v>
      </c>
      <c r="EX170" s="173">
        <f ca="1">(VLOOKUP(EX$72,INDIRECT($C$5&amp;"生成成长"),2))/((VLOOKUP($B170,INDIRECT($B$5&amp;"生成成长"),4))/(VLOOKUP(EX$72,INDIRECT($C$5&amp;"生成成长"),5))*(VLOOKUP($B$5,标准坦克设计!$B$24:$U$30,MATCH("对"&amp;LEFT($C$5,2)&amp;"输出",标准坦克设计!$B$23:$U$23,0)))*(VLOOKUP($B170,INDIRECT($B$5&amp;"生成成长"),3))*(VLOOKUP($B$5,标准坦克设计!$B$14:$K$20,9)/30))</f>
        <v>9.3619962030177142</v>
      </c>
      <c r="EY170" s="173">
        <f ca="1">(VLOOKUP(EY$72,INDIRECT($C$5&amp;"生成成长"),2))/((VLOOKUP($B170,INDIRECT($B$5&amp;"生成成长"),4))/(VLOOKUP(EY$72,INDIRECT($C$5&amp;"生成成长"),5))*(VLOOKUP($B$5,标准坦克设计!$B$24:$U$30,MATCH("对"&amp;LEFT($C$5,2)&amp;"输出",标准坦克设计!$B$23:$U$23,0)))*(VLOOKUP($B170,INDIRECT($B$5&amp;"生成成长"),3))*(VLOOKUP($B$5,标准坦克设计!$B$14:$K$20,9)/30))</f>
        <v>10.006456078919648</v>
      </c>
      <c r="EZ170" s="173">
        <f ca="1">(VLOOKUP(EZ$72,INDIRECT($C$5&amp;"生成成长"),2))/((VLOOKUP($B170,INDIRECT($B$5&amp;"生成成长"),4))/(VLOOKUP(EZ$72,INDIRECT($C$5&amp;"生成成长"),5))*(VLOOKUP($B$5,标准坦克设计!$B$24:$U$30,MATCH("对"&amp;LEFT($C$5,2)&amp;"输出",标准坦克设计!$B$23:$U$23,0)))*(VLOOKUP($B170,INDIRECT($B$5&amp;"生成成长"),3))*(VLOOKUP($B$5,标准坦克设计!$B$14:$K$20,9)/30))</f>
        <v>10.672365451447668</v>
      </c>
      <c r="FA170" s="173">
        <f ca="1">(VLOOKUP(FA$72,INDIRECT($C$5&amp;"生成成长"),2))/((VLOOKUP($B170,INDIRECT($B$5&amp;"生成成长"),4))/(VLOOKUP(FA$72,INDIRECT($C$5&amp;"生成成长"),5))*(VLOOKUP($B$5,标准坦克设计!$B$24:$U$30,MATCH("对"&amp;LEFT($C$5,2)&amp;"输出",标准坦克设计!$B$23:$U$23,0)))*(VLOOKUP($B170,INDIRECT($B$5&amp;"生成成长"),3))*(VLOOKUP($B$5,标准坦克设计!$B$14:$K$20,9)/30))</f>
        <v>11.359724320601774</v>
      </c>
      <c r="FB170" s="173">
        <f ca="1">(VLOOKUP(FB$72,INDIRECT($C$5&amp;"生成成长"),2))/((VLOOKUP($B170,INDIRECT($B$5&amp;"生成成长"),4))/(VLOOKUP(FB$72,INDIRECT($C$5&amp;"生成成长"),5))*(VLOOKUP($B$5,标准坦克设计!$B$24:$U$30,MATCH("对"&amp;LEFT($C$5,2)&amp;"输出",标准坦克设计!$B$23:$U$23,0)))*(VLOOKUP($B170,INDIRECT($B$5&amp;"生成成长"),3))*(VLOOKUP($B$5,标准坦克设计!$B$14:$K$20,9)/30))</f>
        <v>12.068532686381964</v>
      </c>
      <c r="FC170" s="173">
        <f ca="1">(VLOOKUP(FC$72,INDIRECT($C$5&amp;"生成成长"),2))/((VLOOKUP($B170,INDIRECT($B$5&amp;"生成成长"),4))/(VLOOKUP(FC$72,INDIRECT($C$5&amp;"生成成长"),5))*(VLOOKUP($B$5,标准坦克设计!$B$24:$U$30,MATCH("对"&amp;LEFT($C$5,2)&amp;"输出",标准坦克设计!$B$23:$U$23,0)))*(VLOOKUP($B170,INDIRECT($B$5&amp;"生成成长"),3))*(VLOOKUP($B$5,标准坦克设计!$B$14:$K$20,9)/30))</f>
        <v>12.798790548788242</v>
      </c>
      <c r="FD170" s="173">
        <f ca="1">(VLOOKUP(FD$72,INDIRECT($C$5&amp;"生成成长"),2))/((VLOOKUP($B170,INDIRECT($B$5&amp;"生成成长"),4))/(VLOOKUP(FD$72,INDIRECT($C$5&amp;"生成成长"),5))*(VLOOKUP($B$5,标准坦克设计!$B$24:$U$30,MATCH("对"&amp;LEFT($C$5,2)&amp;"输出",标准坦克设计!$B$23:$U$23,0)))*(VLOOKUP($B170,INDIRECT($B$5&amp;"生成成长"),3))*(VLOOKUP($B$5,标准坦克设计!$B$14:$K$20,9)/30))</f>
        <v>13.550497907820603</v>
      </c>
      <c r="FE170" s="173">
        <f ca="1">(VLOOKUP(FE$72,INDIRECT($C$5&amp;"生成成长"),2))/((VLOOKUP($B170,INDIRECT($B$5&amp;"生成成长"),4))/(VLOOKUP(FE$72,INDIRECT($C$5&amp;"生成成长"),5))*(VLOOKUP($B$5,标准坦克设计!$B$24:$U$30,MATCH("对"&amp;LEFT($C$5,2)&amp;"输出",标准坦克设计!$B$23:$U$23,0)))*(VLOOKUP($B170,INDIRECT($B$5&amp;"生成成长"),3))*(VLOOKUP($B$5,标准坦克设计!$B$14:$K$20,9)/30))</f>
        <v>14.466533228608181</v>
      </c>
      <c r="FF170" s="173">
        <f ca="1">(VLOOKUP(FF$72,INDIRECT($C$5&amp;"生成成长"),2))/((VLOOKUP($B170,INDIRECT($B$5&amp;"生成成长"),4))/(VLOOKUP(FF$72,INDIRECT($C$5&amp;"生成成长"),5))*(VLOOKUP($B$5,标准坦克设计!$B$24:$U$30,MATCH("对"&amp;LEFT($C$5,2)&amp;"输出",标准坦克设计!$B$23:$U$23,0)))*(VLOOKUP($B170,INDIRECT($B$5&amp;"生成成长"),3))*(VLOOKUP($B$5,标准坦克设计!$B$14:$K$20,9)/30))</f>
        <v>15.412526937245417</v>
      </c>
      <c r="FG170" s="173">
        <f ca="1">(VLOOKUP(FG$72,INDIRECT($C$5&amp;"生成成长"),2))/((VLOOKUP($B170,INDIRECT($B$5&amp;"生成成长"),4))/(VLOOKUP(FG$72,INDIRECT($C$5&amp;"生成成长"),5))*(VLOOKUP($B$5,标准坦克设计!$B$24:$U$30,MATCH("对"&amp;LEFT($C$5,2)&amp;"输出",标准坦克设计!$B$23:$U$23,0)))*(VLOOKUP($B170,INDIRECT($B$5&amp;"生成成长"),3))*(VLOOKUP($B$5,标准坦克设计!$B$14:$K$20,9)/30))</f>
        <v>16.38847903373231</v>
      </c>
      <c r="FH170" s="173">
        <f ca="1">(VLOOKUP(FH$72,INDIRECT($C$5&amp;"生成成长"),2))/((VLOOKUP($B170,INDIRECT($B$5&amp;"生成成长"),4))/(VLOOKUP(FH$72,INDIRECT($C$5&amp;"生成成长"),5))*(VLOOKUP($B$5,标准坦克设计!$B$24:$U$30,MATCH("对"&amp;LEFT($C$5,2)&amp;"输出",标准坦克设计!$B$23:$U$23,0)))*(VLOOKUP($B170,INDIRECT($B$5&amp;"生成成长"),3))*(VLOOKUP($B$5,标准坦克设计!$B$14:$K$20,9)/30))</f>
        <v>17.394389518068863</v>
      </c>
      <c r="FI170" s="173">
        <f ca="1">(VLOOKUP(FI$72,INDIRECT($C$5&amp;"生成成长"),2))/((VLOOKUP($B170,INDIRECT($B$5&amp;"生成成长"),4))/(VLOOKUP(FI$72,INDIRECT($C$5&amp;"生成成长"),5))*(VLOOKUP($B$5,标准坦克设计!$B$24:$U$30,MATCH("对"&amp;LEFT($C$5,2)&amp;"输出",标准坦克设计!$B$23:$U$23,0)))*(VLOOKUP($B170,INDIRECT($B$5&amp;"生成成长"),3))*(VLOOKUP($B$5,标准坦克设计!$B$14:$K$20,9)/30))</f>
        <v>18.430258390255066</v>
      </c>
      <c r="FJ170" s="173">
        <f ca="1">(VLOOKUP(FJ$72,INDIRECT($C$5&amp;"生成成长"),2))/((VLOOKUP($B170,INDIRECT($B$5&amp;"生成成长"),4))/(VLOOKUP(FJ$72,INDIRECT($C$5&amp;"生成成长"),5))*(VLOOKUP($B$5,标准坦克设计!$B$24:$U$30,MATCH("对"&amp;LEFT($C$5,2)&amp;"输出",标准坦克设计!$B$23:$U$23,0)))*(VLOOKUP($B170,INDIRECT($B$5&amp;"生成成长"),3))*(VLOOKUP($B$5,标准坦克设计!$B$14:$K$20,9)/30))</f>
        <v>19.496085650290933</v>
      </c>
      <c r="FK170" s="173">
        <f ca="1">(VLOOKUP(FK$72,INDIRECT($C$5&amp;"生成成长"),2))/((VLOOKUP($B170,INDIRECT($B$5&amp;"生成成长"),4))/(VLOOKUP(FK$72,INDIRECT($C$5&amp;"生成成长"),5))*(VLOOKUP($B$5,标准坦克设计!$B$24:$U$30,MATCH("对"&amp;LEFT($C$5,2)&amp;"输出",标准坦克设计!$B$23:$U$23,0)))*(VLOOKUP($B170,INDIRECT($B$5&amp;"生成成长"),3))*(VLOOKUP($B$5,标准坦克设计!$B$14:$K$20,9)/30))</f>
        <v>20.59187129817645</v>
      </c>
    </row>
    <row r="171" spans="1:167" x14ac:dyDescent="0.15">
      <c r="A171" s="171" t="str">
        <f t="shared" si="12"/>
        <v>T5中品质9级</v>
      </c>
      <c r="B171" s="172">
        <v>20509</v>
      </c>
      <c r="C171" s="173">
        <f ca="1">(VLOOKUP(C$72,INDIRECT($C$5&amp;"生成成长"),2))/((VLOOKUP($B171,INDIRECT($B$5&amp;"生成成长"),4))/(VLOOKUP(C$72,INDIRECT($C$5&amp;"生成成长"),5))*(VLOOKUP($B$5,标准坦克设计!$B$24:$U$30,MATCH("对"&amp;LEFT($C$5,2)&amp;"输出",标准坦克设计!$B$23:$U$23,0)))*(VLOOKUP($B171,INDIRECT($B$5&amp;"生成成长"),3))*(VLOOKUP($B$5,标准坦克设计!$B$14:$K$20,9)/30))</f>
        <v>0.82767526549888537</v>
      </c>
      <c r="D171" s="173">
        <f ca="1">(VLOOKUP(D$72,INDIRECT($C$5&amp;"生成成长"),2))/((VLOOKUP($B171,INDIRECT($B$5&amp;"生成成长"),4))/(VLOOKUP(D$72,INDIRECT($C$5&amp;"生成成长"),5))*(VLOOKUP($B$5,标准坦克设计!$B$24:$U$30,MATCH("对"&amp;LEFT($C$5,2)&amp;"输出",标准坦克设计!$B$23:$U$23,0)))*(VLOOKUP($B171,INDIRECT($B$5&amp;"生成成长"),3))*(VLOOKUP($B$5,标准坦克设计!$B$14:$K$20,9)/30))</f>
        <v>0.92997592831454756</v>
      </c>
      <c r="E171" s="173">
        <f ca="1">(VLOOKUP(E$72,INDIRECT($C$5&amp;"生成成长"),2))/((VLOOKUP($B171,INDIRECT($B$5&amp;"生成成长"),4))/(VLOOKUP(E$72,INDIRECT($C$5&amp;"生成成长"),5))*(VLOOKUP($B$5,标准坦克设计!$B$24:$U$30,MATCH("对"&amp;LEFT($C$5,2)&amp;"输出",标准坦克设计!$B$23:$U$23,0)))*(VLOOKUP($B171,INDIRECT($B$5&amp;"生成成长"),3))*(VLOOKUP($B$5,标准坦克设计!$B$14:$K$20,9)/30))</f>
        <v>1.0382358530418019</v>
      </c>
      <c r="F171" s="173">
        <f ca="1">(VLOOKUP(F$72,INDIRECT($C$5&amp;"生成成长"),2))/((VLOOKUP($B171,INDIRECT($B$5&amp;"生成成长"),4))/(VLOOKUP(F$72,INDIRECT($C$5&amp;"生成成长"),5))*(VLOOKUP($B$5,标准坦克设计!$B$24:$U$30,MATCH("对"&amp;LEFT($C$5,2)&amp;"输出",标准坦克设计!$B$23:$U$23,0)))*(VLOOKUP($B171,INDIRECT($B$5&amp;"生成成长"),3))*(VLOOKUP($B$5,标准坦克设计!$B$14:$K$20,9)/30))</f>
        <v>1.1524550396806481</v>
      </c>
      <c r="G171" s="173">
        <f ca="1">(VLOOKUP(G$72,INDIRECT($C$5&amp;"生成成长"),2))/((VLOOKUP($B171,INDIRECT($B$5&amp;"生成成长"),4))/(VLOOKUP(G$72,INDIRECT($C$5&amp;"生成成长"),5))*(VLOOKUP($B$5,标准坦克设计!$B$24:$U$30,MATCH("对"&amp;LEFT($C$5,2)&amp;"输出",标准坦克设计!$B$23:$U$23,0)))*(VLOOKUP($B171,INDIRECT($B$5&amp;"生成成长"),3))*(VLOOKUP($B$5,标准坦克设计!$B$14:$K$20,9)/30))</f>
        <v>1.2726334882310864</v>
      </c>
      <c r="H171" s="173">
        <f ca="1">(VLOOKUP(H$72,INDIRECT($C$5&amp;"生成成长"),2))/((VLOOKUP($B171,INDIRECT($B$5&amp;"生成成长"),4))/(VLOOKUP(H$72,INDIRECT($C$5&amp;"生成成长"),5))*(VLOOKUP($B$5,标准坦克设计!$B$24:$U$30,MATCH("对"&amp;LEFT($C$5,2)&amp;"输出",标准坦克设计!$B$23:$U$23,0)))*(VLOOKUP($B171,INDIRECT($B$5&amp;"生成成长"),3))*(VLOOKUP($B$5,标准坦克设计!$B$14:$K$20,9)/30))</f>
        <v>1.1137198372553001</v>
      </c>
      <c r="I171" s="173">
        <f ca="1">(VLOOKUP(I$72,INDIRECT($C$5&amp;"生成成长"),2))/((VLOOKUP($B171,INDIRECT($B$5&amp;"生成成长"),4))/(VLOOKUP(I$72,INDIRECT($C$5&amp;"生成成长"),5))*(VLOOKUP($B$5,标准坦克设计!$B$24:$U$30,MATCH("对"&amp;LEFT($C$5,2)&amp;"输出",标准坦克设计!$B$23:$U$23,0)))*(VLOOKUP($B171,INDIRECT($B$5&amp;"生成成长"),3))*(VLOOKUP($B$5,标准坦克设计!$B$14:$K$20,9)/30))</f>
        <v>1.2726334882310864</v>
      </c>
      <c r="J171" s="173">
        <f ca="1">(VLOOKUP(J$72,INDIRECT($C$5&amp;"生成成长"),2))/((VLOOKUP($B171,INDIRECT($B$5&amp;"生成成长"),4))/(VLOOKUP(J$72,INDIRECT($C$5&amp;"生成成长"),5))*(VLOOKUP($B$5,标准坦克设计!$B$24:$U$30,MATCH("对"&amp;LEFT($C$5,2)&amp;"输出",标准坦克设计!$B$23:$U$23,0)))*(VLOOKUP($B171,INDIRECT($B$5&amp;"生成成长"),3))*(VLOOKUP($B$5,标准坦克设计!$B$14:$K$20,9)/30))</f>
        <v>1.4421413826052578</v>
      </c>
      <c r="K171" s="173">
        <f ca="1">(VLOOKUP(K$72,INDIRECT($C$5&amp;"生成成长"),2))/((VLOOKUP($B171,INDIRECT($B$5&amp;"生成成长"),4))/(VLOOKUP(K$72,INDIRECT($C$5&amp;"生成成长"),5))*(VLOOKUP($B$5,标准坦克设计!$B$24:$U$30,MATCH("对"&amp;LEFT($C$5,2)&amp;"输出",标准坦克设计!$B$23:$U$23,0)))*(VLOOKUP($B171,INDIRECT($B$5&amp;"生成成长"),3))*(VLOOKUP($B$5,标准坦克设计!$B$14:$K$20,9)/30))</f>
        <v>1.6222435203778156</v>
      </c>
      <c r="L171" s="173">
        <f ca="1">(VLOOKUP(L$72,INDIRECT($C$5&amp;"生成成长"),2))/((VLOOKUP($B171,INDIRECT($B$5&amp;"生成成长"),4))/(VLOOKUP(L$72,INDIRECT($C$5&amp;"生成成长"),5))*(VLOOKUP($B$5,标准坦克设计!$B$24:$U$30,MATCH("对"&amp;LEFT($C$5,2)&amp;"输出",标准坦克设计!$B$23:$U$23,0)))*(VLOOKUP($B171,INDIRECT($B$5&amp;"生成成长"),3))*(VLOOKUP($B$5,标准坦克设计!$B$14:$K$20,9)/30))</f>
        <v>1.8129399015487586</v>
      </c>
      <c r="M171" s="173">
        <f ca="1">(VLOOKUP(M$72,INDIRECT($C$5&amp;"生成成长"),2))/((VLOOKUP($B171,INDIRECT($B$5&amp;"生成成长"),4))/(VLOOKUP(M$72,INDIRECT($C$5&amp;"生成成长"),5))*(VLOOKUP($B$5,标准坦克设计!$B$24:$U$30,MATCH("对"&amp;LEFT($C$5,2)&amp;"输出",标准坦克设计!$B$23:$U$23,0)))*(VLOOKUP($B171,INDIRECT($B$5&amp;"生成成长"),3))*(VLOOKUP($B$5,标准坦克设计!$B$14:$K$20,9)/30))</f>
        <v>2.0142305261180873</v>
      </c>
      <c r="N171" s="173">
        <f ca="1">(VLOOKUP(N$72,INDIRECT($C$5&amp;"生成成长"),2))/((VLOOKUP($B171,INDIRECT($B$5&amp;"生成成长"),4))/(VLOOKUP(N$72,INDIRECT($C$5&amp;"生成成长"),5))*(VLOOKUP($B$5,标准坦克设计!$B$24:$U$30,MATCH("对"&amp;LEFT($C$5,2)&amp;"输出",标准坦克设计!$B$23:$U$23,0)))*(VLOOKUP($B171,INDIRECT($B$5&amp;"生成成长"),3))*(VLOOKUP($B$5,标准坦克设计!$B$14:$K$20,9)/30))</f>
        <v>2.2261153940858027</v>
      </c>
      <c r="O171" s="173">
        <f ca="1">(VLOOKUP(O$72,INDIRECT($C$5&amp;"生成成长"),2))/((VLOOKUP($B171,INDIRECT($B$5&amp;"生成成长"),4))/(VLOOKUP(O$72,INDIRECT($C$5&amp;"生成成长"),5))*(VLOOKUP($B$5,标准坦克设计!$B$24:$U$30,MATCH("对"&amp;LEFT($C$5,2)&amp;"输出",标准坦克设计!$B$23:$U$23,0)))*(VLOOKUP($B171,INDIRECT($B$5&amp;"生成成长"),3))*(VLOOKUP($B$5,标准坦克设计!$B$14:$K$20,9)/30))</f>
        <v>1.6925131504186708</v>
      </c>
      <c r="P171" s="173">
        <f ca="1">(VLOOKUP(P$72,INDIRECT($C$5&amp;"生成成长"),2))/((VLOOKUP($B171,INDIRECT($B$5&amp;"生成成长"),4))/(VLOOKUP(P$72,INDIRECT($C$5&amp;"生成成长"),5))*(VLOOKUP($B$5,标准坦克设计!$B$24:$U$30,MATCH("对"&amp;LEFT($C$5,2)&amp;"输出",标准坦克设计!$B$23:$U$23,0)))*(VLOOKUP($B171,INDIRECT($B$5&amp;"生成成长"),3))*(VLOOKUP($B$5,标准坦克设计!$B$14:$K$20,9)/30))</f>
        <v>1.9122609334086247</v>
      </c>
      <c r="Q171" s="173">
        <f ca="1">(VLOOKUP(Q$72,INDIRECT($C$5&amp;"生成成长"),2))/((VLOOKUP($B171,INDIRECT($B$5&amp;"生成成长"),4))/(VLOOKUP(Q$72,INDIRECT($C$5&amp;"生成成长"),5))*(VLOOKUP($B$5,标准坦克设计!$B$24:$U$30,MATCH("对"&amp;LEFT($C$5,2)&amp;"输出",标准坦克设计!$B$23:$U$23,0)))*(VLOOKUP($B171,INDIRECT($B$5&amp;"生成成长"),3))*(VLOOKUP($B$5,标准坦克设计!$B$14:$K$20,9)/30))</f>
        <v>2.1454170556996606</v>
      </c>
      <c r="R171" s="173">
        <f ca="1">(VLOOKUP(R$72,INDIRECT($C$5&amp;"生成成长"),2))/((VLOOKUP($B171,INDIRECT($B$5&amp;"生成成长"),4))/(VLOOKUP(R$72,INDIRECT($C$5&amp;"生成成长"),5))*(VLOOKUP($B$5,标准坦克设计!$B$24:$U$30,MATCH("对"&amp;LEFT($C$5,2)&amp;"输出",标准坦克设计!$B$23:$U$23,0)))*(VLOOKUP($B171,INDIRECT($B$5&amp;"生成成长"),3))*(VLOOKUP($B$5,标准坦克设计!$B$14:$K$20,9)/30))</f>
        <v>2.3919815172917791</v>
      </c>
      <c r="S171" s="173">
        <f ca="1">(VLOOKUP(S$72,INDIRECT($C$5&amp;"生成成长"),2))/((VLOOKUP($B171,INDIRECT($B$5&amp;"生成成长"),4))/(VLOOKUP(S$72,INDIRECT($C$5&amp;"生成成长"),5))*(VLOOKUP($B$5,标准坦克设计!$B$24:$U$30,MATCH("对"&amp;LEFT($C$5,2)&amp;"输出",标准坦克设计!$B$23:$U$23,0)))*(VLOOKUP($B171,INDIRECT($B$5&amp;"生成成长"),3))*(VLOOKUP($B$5,标准坦克设计!$B$14:$K$20,9)/30))</f>
        <v>2.6519543181849787</v>
      </c>
      <c r="T171" s="173">
        <f ca="1">(VLOOKUP(T$72,INDIRECT($C$5&amp;"生成成长"),2))/((VLOOKUP($B171,INDIRECT($B$5&amp;"生成成长"),4))/(VLOOKUP(T$72,INDIRECT($C$5&amp;"生成成长"),5))*(VLOOKUP($B$5,标准坦克设计!$B$24:$U$30,MATCH("对"&amp;LEFT($C$5,2)&amp;"输出",标准坦克设计!$B$23:$U$23,0)))*(VLOOKUP($B171,INDIRECT($B$5&amp;"生成成长"),3))*(VLOOKUP($B$5,标准坦克设计!$B$14:$K$20,9)/30))</f>
        <v>2.9253354583792603</v>
      </c>
      <c r="U171" s="173">
        <f ca="1">(VLOOKUP(U$72,INDIRECT($C$5&amp;"生成成长"),2))/((VLOOKUP($B171,INDIRECT($B$5&amp;"生成成长"),4))/(VLOOKUP(U$72,INDIRECT($C$5&amp;"生成成长"),5))*(VLOOKUP($B$5,标准坦克设计!$B$24:$U$30,MATCH("对"&amp;LEFT($C$5,2)&amp;"输出",标准坦克设计!$B$23:$U$23,0)))*(VLOOKUP($B171,INDIRECT($B$5&amp;"生成成长"),3))*(VLOOKUP($B$5,标准坦克设计!$B$14:$K$20,9)/30))</f>
        <v>3.2121249378746244</v>
      </c>
      <c r="V171" s="173">
        <f ca="1">(VLOOKUP(V$72,INDIRECT($C$5&amp;"生成成长"),2))/((VLOOKUP($B171,INDIRECT($B$5&amp;"生成成长"),4))/(VLOOKUP(V$72,INDIRECT($C$5&amp;"生成成长"),5))*(VLOOKUP($B$5,标准坦克设计!$B$24:$U$30,MATCH("对"&amp;LEFT($C$5,2)&amp;"输出",标准坦克设计!$B$23:$U$23,0)))*(VLOOKUP($B171,INDIRECT($B$5&amp;"生成成长"),3))*(VLOOKUP($B$5,标准坦克设计!$B$14:$K$20,9)/30))</f>
        <v>3.5123227566710704</v>
      </c>
      <c r="W171" s="173">
        <f ca="1">(VLOOKUP(W$72,INDIRECT($C$5&amp;"生成成长"),2))/((VLOOKUP($B171,INDIRECT($B$5&amp;"生成成长"),4))/(VLOOKUP(W$72,INDIRECT($C$5&amp;"生成成长"),5))*(VLOOKUP($B$5,标准坦克设计!$B$24:$U$30,MATCH("对"&amp;LEFT($C$5,2)&amp;"输出",标准坦克设计!$B$23:$U$23,0)))*(VLOOKUP($B171,INDIRECT($B$5&amp;"生成成长"),3))*(VLOOKUP($B$5,标准坦克设计!$B$14:$K$20,9)/30))</f>
        <v>3.825928914768598</v>
      </c>
      <c r="X171" s="173">
        <f ca="1">(VLOOKUP(X$72,INDIRECT($C$5&amp;"生成成长"),2))/((VLOOKUP($B171,INDIRECT($B$5&amp;"生成成长"),4))/(VLOOKUP(X$72,INDIRECT($C$5&amp;"生成成长"),5))*(VLOOKUP($B$5,标准坦克设计!$B$24:$U$30,MATCH("对"&amp;LEFT($C$5,2)&amp;"输出",标准坦克设计!$B$23:$U$23,0)))*(VLOOKUP($B171,INDIRECT($B$5&amp;"生成成长"),3))*(VLOOKUP($B$5,标准坦克设计!$B$14:$K$20,9)/30))</f>
        <v>2.7718016966292174</v>
      </c>
      <c r="Y171" s="173">
        <f ca="1">(VLOOKUP(Y$72,INDIRECT($C$5&amp;"生成成长"),2))/((VLOOKUP($B171,INDIRECT($B$5&amp;"生成成长"),4))/(VLOOKUP(Y$72,INDIRECT($C$5&amp;"生成成长"),5))*(VLOOKUP($B$5,标准坦克设计!$B$24:$U$30,MATCH("对"&amp;LEFT($C$5,2)&amp;"输出",标准坦克设计!$B$23:$U$23,0)))*(VLOOKUP($B171,INDIRECT($B$5&amp;"生成成长"),3))*(VLOOKUP($B$5,标准坦克设计!$B$14:$K$20,9)/30))</f>
        <v>3.083007596456798</v>
      </c>
      <c r="Z171" s="173">
        <f ca="1">(VLOOKUP(Z$72,INDIRECT($C$5&amp;"生成成长"),2))/((VLOOKUP($B171,INDIRECT($B$5&amp;"生成成长"),4))/(VLOOKUP(Z$72,INDIRECT($C$5&amp;"生成成长"),5))*(VLOOKUP($B$5,标准坦克设计!$B$24:$U$30,MATCH("对"&amp;LEFT($C$5,2)&amp;"输出",标准坦克设计!$B$23:$U$23,0)))*(VLOOKUP($B171,INDIRECT($B$5&amp;"生成成长"),3))*(VLOOKUP($B$5,标准坦克设计!$B$14:$K$20,9)/30))</f>
        <v>3.410767001594357</v>
      </c>
      <c r="AA171" s="173">
        <f ca="1">(VLOOKUP(AA$72,INDIRECT($C$5&amp;"生成成长"),2))/((VLOOKUP($B171,INDIRECT($B$5&amp;"生成成长"),4))/(VLOOKUP(AA$72,INDIRECT($C$5&amp;"生成成长"),5))*(VLOOKUP($B$5,标准坦克设计!$B$24:$U$30,MATCH("对"&amp;LEFT($C$5,2)&amp;"输出",标准坦克设计!$B$23:$U$23,0)))*(VLOOKUP($B171,INDIRECT($B$5&amp;"生成成长"),3))*(VLOOKUP($B$5,标准坦克设计!$B$14:$K$20,9)/30))</f>
        <v>3.755079912041893</v>
      </c>
      <c r="AB171" s="173">
        <f ca="1">(VLOOKUP(AB$72,INDIRECT($C$5&amp;"生成成长"),2))/((VLOOKUP($B171,INDIRECT($B$5&amp;"生成成长"),4))/(VLOOKUP(AB$72,INDIRECT($C$5&amp;"生成成长"),5))*(VLOOKUP($B$5,标准坦克设计!$B$24:$U$30,MATCH("对"&amp;LEFT($C$5,2)&amp;"输出",标准坦克设计!$B$23:$U$23,0)))*(VLOOKUP($B171,INDIRECT($B$5&amp;"生成成长"),3))*(VLOOKUP($B$5,标准坦克设计!$B$14:$K$20,9)/30))</f>
        <v>4.1159463277994064</v>
      </c>
      <c r="AC171" s="173">
        <f ca="1">(VLOOKUP(AC$72,INDIRECT($C$5&amp;"生成成长"),2))/((VLOOKUP($B171,INDIRECT($B$5&amp;"生成成长"),4))/(VLOOKUP(AC$72,INDIRECT($C$5&amp;"生成成长"),5))*(VLOOKUP($B$5,标准坦克设计!$B$24:$U$30,MATCH("对"&amp;LEFT($C$5,2)&amp;"输出",标准坦克设计!$B$23:$U$23,0)))*(VLOOKUP($B171,INDIRECT($B$5&amp;"生成成长"),3))*(VLOOKUP($B$5,标准坦克设计!$B$14:$K$20,9)/30))</f>
        <v>4.4933662488668986</v>
      </c>
      <c r="AD171" s="173">
        <f ca="1">(VLOOKUP(AD$72,INDIRECT($C$5&amp;"生成成长"),2))/((VLOOKUP($B171,INDIRECT($B$5&amp;"生成成长"),4))/(VLOOKUP(AD$72,INDIRECT($C$5&amp;"生成成长"),5))*(VLOOKUP($B$5,标准坦克设计!$B$24:$U$30,MATCH("对"&amp;LEFT($C$5,2)&amp;"输出",标准坦克设计!$B$23:$U$23,0)))*(VLOOKUP($B171,INDIRECT($B$5&amp;"生成成长"),3))*(VLOOKUP($B$5,标准坦克设计!$B$14:$K$20,9)/30))</f>
        <v>4.8873396752443687</v>
      </c>
      <c r="AE171" s="173">
        <f ca="1">(VLOOKUP(AE$72,INDIRECT($C$5&amp;"生成成长"),2))/((VLOOKUP($B171,INDIRECT($B$5&amp;"生成成长"),4))/(VLOOKUP(AE$72,INDIRECT($C$5&amp;"生成成长"),5))*(VLOOKUP($B$5,标准坦克设计!$B$24:$U$30,MATCH("对"&amp;LEFT($C$5,2)&amp;"输出",标准坦克设计!$B$23:$U$23,0)))*(VLOOKUP($B171,INDIRECT($B$5&amp;"生成成长"),3))*(VLOOKUP($B$5,标准坦克设计!$B$14:$K$20,9)/30))</f>
        <v>5.2978666069318159</v>
      </c>
      <c r="AF171" s="173">
        <f ca="1">(VLOOKUP(AF$72,INDIRECT($C$5&amp;"生成成长"),2))/((VLOOKUP($B171,INDIRECT($B$5&amp;"生成成长"),4))/(VLOOKUP(AF$72,INDIRECT($C$5&amp;"生成成长"),5))*(VLOOKUP($B$5,标准坦克设计!$B$24:$U$30,MATCH("对"&amp;LEFT($C$5,2)&amp;"输出",标准坦克设计!$B$23:$U$23,0)))*(VLOOKUP($B171,INDIRECT($B$5&amp;"生成成长"),3))*(VLOOKUP($B$5,标准坦克设计!$B$14:$K$20,9)/30))</f>
        <v>5.7249470439292409</v>
      </c>
      <c r="AG171" s="173">
        <f ca="1">(VLOOKUP(AG$72,INDIRECT($C$5&amp;"生成成长"),2))/((VLOOKUP($B171,INDIRECT($B$5&amp;"生成成长"),4))/(VLOOKUP(AG$72,INDIRECT($C$5&amp;"生成成长"),5))*(VLOOKUP($B$5,标准坦克设计!$B$24:$U$30,MATCH("对"&amp;LEFT($C$5,2)&amp;"输出",标准坦克设计!$B$23:$U$23,0)))*(VLOOKUP($B171,INDIRECT($B$5&amp;"生成成长"),3))*(VLOOKUP($B$5,标准坦克设计!$B$14:$K$20,9)/30))</f>
        <v>6.1685809862366439</v>
      </c>
      <c r="AH171" s="173">
        <f ca="1">(VLOOKUP(AH$72,INDIRECT($C$5&amp;"生成成长"),2))/((VLOOKUP($B171,INDIRECT($B$5&amp;"生成成长"),4))/(VLOOKUP(AH$72,INDIRECT($C$5&amp;"生成成长"),5))*(VLOOKUP($B$5,标准坦克设计!$B$24:$U$30,MATCH("对"&amp;LEFT($C$5,2)&amp;"输出",标准坦克设计!$B$23:$U$23,0)))*(VLOOKUP($B171,INDIRECT($B$5&amp;"生成成长"),3))*(VLOOKUP($B$5,标准坦克设计!$B$14:$K$20,9)/30))</f>
        <v>6.6287684338540229</v>
      </c>
      <c r="AI171" s="173">
        <f ca="1">(VLOOKUP(AI$72,INDIRECT($C$5&amp;"生成成长"),2))/((VLOOKUP($B171,INDIRECT($B$5&amp;"生成成长"),4))/(VLOOKUP(AI$72,INDIRECT($C$5&amp;"生成成长"),5))*(VLOOKUP($B$5,标准坦克设计!$B$24:$U$30,MATCH("对"&amp;LEFT($C$5,2)&amp;"输出",标准坦克设计!$B$23:$U$23,0)))*(VLOOKUP($B171,INDIRECT($B$5&amp;"生成成长"),3))*(VLOOKUP($B$5,标准坦克设计!$B$14:$K$20,9)/30))</f>
        <v>4.6882837738918868</v>
      </c>
      <c r="AJ171" s="173">
        <f ca="1">(VLOOKUP(AJ$72,INDIRECT($C$5&amp;"生成成长"),2))/((VLOOKUP($B171,INDIRECT($B$5&amp;"生成成长"),4))/(VLOOKUP(AJ$72,INDIRECT($C$5&amp;"生成成长"),5))*(VLOOKUP($B$5,标准坦克设计!$B$24:$U$30,MATCH("对"&amp;LEFT($C$5,2)&amp;"输出",标准坦克设计!$B$23:$U$23,0)))*(VLOOKUP($B171,INDIRECT($B$5&amp;"生成成长"),3))*(VLOOKUP($B$5,标准坦克设计!$B$14:$K$20,9)/30))</f>
        <v>5.1316694136196395</v>
      </c>
      <c r="AK171" s="173">
        <f ca="1">(VLOOKUP(AK$72,INDIRECT($C$5&amp;"生成成长"),2))/((VLOOKUP($B171,INDIRECT($B$5&amp;"生成成长"),4))/(VLOOKUP(AK$72,INDIRECT($C$5&amp;"生成成长"),5))*(VLOOKUP($B$5,标准坦克设计!$B$24:$U$30,MATCH("对"&amp;LEFT($C$5,2)&amp;"输出",标准坦克设计!$B$23:$U$23,0)))*(VLOOKUP($B171,INDIRECT($B$5&amp;"生成成长"),3))*(VLOOKUP($B$5,标准坦克设计!$B$14:$K$20,9)/30))</f>
        <v>5.5950847947724656</v>
      </c>
      <c r="AL171" s="173">
        <f ca="1">(VLOOKUP(AL$72,INDIRECT($C$5&amp;"生成成长"),2))/((VLOOKUP($B171,INDIRECT($B$5&amp;"生成成长"),4))/(VLOOKUP(AL$72,INDIRECT($C$5&amp;"生成成长"),5))*(VLOOKUP($B$5,标准坦克设计!$B$24:$U$30,MATCH("对"&amp;LEFT($C$5,2)&amp;"输出",标准坦克设计!$B$23:$U$23,0)))*(VLOOKUP($B171,INDIRECT($B$5&amp;"生成成长"),3))*(VLOOKUP($B$5,标准坦克设计!$B$14:$K$20,9)/30))</f>
        <v>6.0785299173503633</v>
      </c>
      <c r="AM171" s="173">
        <f ca="1">(VLOOKUP(AM$72,INDIRECT($C$5&amp;"生成成长"),2))/((VLOOKUP($B171,INDIRECT($B$5&amp;"生成成长"),4))/(VLOOKUP(AM$72,INDIRECT($C$5&amp;"生成成长"),5))*(VLOOKUP($B$5,标准坦克设计!$B$24:$U$30,MATCH("对"&amp;LEFT($C$5,2)&amp;"输出",标准坦克设计!$B$23:$U$23,0)))*(VLOOKUP($B171,INDIRECT($B$5&amp;"生成成长"),3))*(VLOOKUP($B$5,标准坦克设计!$B$14:$K$20,9)/30))</f>
        <v>6.5820047813533371</v>
      </c>
      <c r="AN171" s="173">
        <f ca="1">(VLOOKUP(AN$72,INDIRECT($C$5&amp;"生成成长"),2))/((VLOOKUP($B171,INDIRECT($B$5&amp;"生成成长"),4))/(VLOOKUP(AN$72,INDIRECT($C$5&amp;"生成成长"),5))*(VLOOKUP($B$5,标准坦克设计!$B$24:$U$30,MATCH("对"&amp;LEFT($C$5,2)&amp;"输出",标准坦克设计!$B$23:$U$23,0)))*(VLOOKUP($B171,INDIRECT($B$5&amp;"生成成长"),3))*(VLOOKUP($B$5,标准坦克设计!$B$14:$K$20,9)/30))</f>
        <v>7.1055093867813808</v>
      </c>
      <c r="AO171" s="173">
        <f ca="1">(VLOOKUP(AO$72,INDIRECT($C$5&amp;"生成成长"),2))/((VLOOKUP($B171,INDIRECT($B$5&amp;"生成成长"),4))/(VLOOKUP(AO$72,INDIRECT($C$5&amp;"生成成长"),5))*(VLOOKUP($B$5,标准坦克设计!$B$24:$U$30,MATCH("对"&amp;LEFT($C$5,2)&amp;"输出",标准坦克设计!$B$23:$U$23,0)))*(VLOOKUP($B171,INDIRECT($B$5&amp;"生成成长"),3))*(VLOOKUP($B$5,标准坦克设计!$B$14:$K$20,9)/30))</f>
        <v>7.6490437336344987</v>
      </c>
      <c r="AP171" s="173">
        <f ca="1">(VLOOKUP(AP$72,INDIRECT($C$5&amp;"生成成长"),2))/((VLOOKUP($B171,INDIRECT($B$5&amp;"生成成长"),4))/(VLOOKUP(AP$72,INDIRECT($C$5&amp;"生成成长"),5))*(VLOOKUP($B$5,标准坦克设计!$B$24:$U$30,MATCH("对"&amp;LEFT($C$5,2)&amp;"输出",标准坦克设计!$B$23:$U$23,0)))*(VLOOKUP($B171,INDIRECT($B$5&amp;"生成成长"),3))*(VLOOKUP($B$5,标准坦克设计!$B$14:$K$20,9)/30))</f>
        <v>8.2126078219126892</v>
      </c>
      <c r="AQ171" s="173">
        <f ca="1">(VLOOKUP(AQ$72,INDIRECT($C$5&amp;"生成成长"),2))/((VLOOKUP($B171,INDIRECT($B$5&amp;"生成成长"),4))/(VLOOKUP(AQ$72,INDIRECT($C$5&amp;"生成成长"),5))*(VLOOKUP($B$5,标准坦克设计!$B$24:$U$30,MATCH("对"&amp;LEFT($C$5,2)&amp;"输出",标准坦克设计!$B$23:$U$23,0)))*(VLOOKUP($B171,INDIRECT($B$5&amp;"生成成长"),3))*(VLOOKUP($B$5,标准坦克设计!$B$14:$K$20,9)/30))</f>
        <v>8.796201651615954</v>
      </c>
      <c r="AR171" s="173">
        <f ca="1">(VLOOKUP(AR$72,INDIRECT($C$5&amp;"生成成长"),2))/((VLOOKUP($B171,INDIRECT($B$5&amp;"生成成长"),4))/(VLOOKUP(AR$72,INDIRECT($C$5&amp;"生成成长"),5))*(VLOOKUP($B$5,标准坦克设计!$B$24:$U$30,MATCH("对"&amp;LEFT($C$5,2)&amp;"输出",标准坦克设计!$B$23:$U$23,0)))*(VLOOKUP($B171,INDIRECT($B$5&amp;"生成成长"),3))*(VLOOKUP($B$5,标准坦克设计!$B$14:$K$20,9)/30))</f>
        <v>9.3998252227442922</v>
      </c>
      <c r="AS171" s="173">
        <f ca="1">(VLOOKUP(AS$72,INDIRECT($C$5&amp;"生成成长"),2))/((VLOOKUP($B171,INDIRECT($B$5&amp;"生成成长"),4))/(VLOOKUP(AS$72,INDIRECT($C$5&amp;"生成成长"),5))*(VLOOKUP($B$5,标准坦克设计!$B$24:$U$30,MATCH("对"&amp;LEFT($C$5,2)&amp;"输出",标准坦克设计!$B$23:$U$23,0)))*(VLOOKUP($B171,INDIRECT($B$5&amp;"生成成长"),3))*(VLOOKUP($B$5,标准坦克设计!$B$14:$K$20,9)/30))</f>
        <v>10.0234785352977</v>
      </c>
      <c r="AT171" s="173">
        <f ca="1">(VLOOKUP(AT$72,INDIRECT($C$5&amp;"生成成长"),2))/((VLOOKUP($B171,INDIRECT($B$5&amp;"生成成长"),4))/(VLOOKUP(AT$72,INDIRECT($C$5&amp;"生成成长"),5))*(VLOOKUP($B$5,标准坦克设计!$B$24:$U$30,MATCH("对"&amp;LEFT($C$5,2)&amp;"输出",标准坦克设计!$B$23:$U$23,0)))*(VLOOKUP($B171,INDIRECT($B$5&amp;"生成成长"),3))*(VLOOKUP($B$5,标准坦克设计!$B$14:$K$20,9)/30))</f>
        <v>10.667161589276185</v>
      </c>
      <c r="AU171" s="173">
        <f ca="1">(VLOOKUP(AU$72,INDIRECT($C$5&amp;"生成成长"),2))/((VLOOKUP($B171,INDIRECT($B$5&amp;"生成成长"),4))/(VLOOKUP(AU$72,INDIRECT($C$5&amp;"生成成长"),5))*(VLOOKUP($B$5,标准坦克设计!$B$24:$U$30,MATCH("对"&amp;LEFT($C$5,2)&amp;"输出",标准坦克设计!$B$23:$U$23,0)))*(VLOOKUP($B171,INDIRECT($B$5&amp;"生成成长"),3))*(VLOOKUP($B$5,标准坦克设计!$B$14:$K$20,9)/30))</f>
        <v>11.33087438467974</v>
      </c>
      <c r="AV171" s="173">
        <f ca="1">(VLOOKUP(AV$72,INDIRECT($C$5&amp;"生成成长"),2))/((VLOOKUP($B171,INDIRECT($B$5&amp;"生成成长"),4))/(VLOOKUP(AV$72,INDIRECT($C$5&amp;"生成成长"),5))*(VLOOKUP($B$5,标准坦克设计!$B$24:$U$30,MATCH("对"&amp;LEFT($C$5,2)&amp;"输出",标准坦克设计!$B$23:$U$23,0)))*(VLOOKUP($B171,INDIRECT($B$5&amp;"生成成长"),3))*(VLOOKUP($B$5,标准坦克设计!$B$14:$K$20,9)/30))</f>
        <v>1.1524550396806481</v>
      </c>
      <c r="AW171" s="173">
        <f ca="1">(VLOOKUP(AW$72,INDIRECT($C$5&amp;"生成成长"),2))/((VLOOKUP($B171,INDIRECT($B$5&amp;"生成成长"),4))/(VLOOKUP(AW$72,INDIRECT($C$5&amp;"生成成长"),5))*(VLOOKUP($B$5,标准坦克设计!$B$24:$U$30,MATCH("对"&amp;LEFT($C$5,2)&amp;"输出",标准坦克设计!$B$23:$U$23,0)))*(VLOOKUP($B171,INDIRECT($B$5&amp;"生成成长"),3))*(VLOOKUP($B$5,标准坦克设计!$B$14:$K$20,9)/30))</f>
        <v>1.3140172515060304</v>
      </c>
      <c r="AX171" s="173">
        <f ca="1">(VLOOKUP(AX$72,INDIRECT($C$5&amp;"生成成长"),2))/((VLOOKUP($B171,INDIRECT($B$5&amp;"生成成长"),4))/(VLOOKUP(AX$72,INDIRECT($C$5&amp;"生成成长"),5))*(VLOOKUP($B$5,标准坦克设计!$B$24:$U$30,MATCH("对"&amp;LEFT($C$5,2)&amp;"输出",标准坦克设计!$B$23:$U$23,0)))*(VLOOKUP($B171,INDIRECT($B$5&amp;"生成成长"),3))*(VLOOKUP($B$5,标准坦克设计!$B$14:$K$20,9)/30))</f>
        <v>1.4861737067297986</v>
      </c>
      <c r="AY171" s="173">
        <f ca="1">(VLOOKUP(AY$72,INDIRECT($C$5&amp;"生成成长"),2))/((VLOOKUP($B171,INDIRECT($B$5&amp;"生成成长"),4))/(VLOOKUP(AY$72,INDIRECT($C$5&amp;"生成成长"),5))*(VLOOKUP($B$5,标准坦克设计!$B$24:$U$30,MATCH("对"&amp;LEFT($C$5,2)&amp;"输出",标准坦克设计!$B$23:$U$23,0)))*(VLOOKUP($B171,INDIRECT($B$5&amp;"生成成长"),3))*(VLOOKUP($B$5,标准坦克设计!$B$14:$K$20,9)/30))</f>
        <v>1.6689244053519527</v>
      </c>
      <c r="AZ171" s="173">
        <f ca="1">(VLOOKUP(AZ$72,INDIRECT($C$5&amp;"生成成长"),2))/((VLOOKUP($B171,INDIRECT($B$5&amp;"生成成长"),4))/(VLOOKUP(AZ$72,INDIRECT($C$5&amp;"生成成长"),5))*(VLOOKUP($B$5,标准坦克设计!$B$24:$U$30,MATCH("对"&amp;LEFT($C$5,2)&amp;"输出",标准坦克设计!$B$23:$U$23,0)))*(VLOOKUP($B171,INDIRECT($B$5&amp;"生成成长"),3))*(VLOOKUP($B$5,标准坦克设计!$B$14:$K$20,9)/30))</f>
        <v>1.8622693473724923</v>
      </c>
      <c r="BA171" s="173">
        <f ca="1">(VLOOKUP(BA$72,INDIRECT($C$5&amp;"生成成长"),2))/((VLOOKUP($B171,INDIRECT($B$5&amp;"生成成长"),4))/(VLOOKUP(BA$72,INDIRECT($C$5&amp;"生成成长"),5))*(VLOOKUP($B$5,标准坦克设计!$B$24:$U$30,MATCH("对"&amp;LEFT($C$5,2)&amp;"输出",标准坦克设计!$B$23:$U$23,0)))*(VLOOKUP($B171,INDIRECT($B$5&amp;"生成成长"),3))*(VLOOKUP($B$5,标准坦克设计!$B$14:$K$20,9)/30))</f>
        <v>2.0662085327914177</v>
      </c>
      <c r="BB171" s="173">
        <f ca="1">(VLOOKUP(BB$72,INDIRECT($C$5&amp;"生成成长"),2))/((VLOOKUP($B171,INDIRECT($B$5&amp;"生成成长"),4))/(VLOOKUP(BB$72,INDIRECT($C$5&amp;"生成成长"),5))*(VLOOKUP($B$5,标准坦克设计!$B$24:$U$30,MATCH("对"&amp;LEFT($C$5,2)&amp;"输出",标准坦克设计!$B$23:$U$23,0)))*(VLOOKUP($B171,INDIRECT($B$5&amp;"生成成长"),3))*(VLOOKUP($B$5,标准坦克设计!$B$14:$K$20,9)/30))</f>
        <v>2.280741961608729</v>
      </c>
      <c r="BC171" s="173">
        <f ca="1">(VLOOKUP(BC$72,INDIRECT($C$5&amp;"生成成长"),2))/((VLOOKUP($B171,INDIRECT($B$5&amp;"生成成长"),4))/(VLOOKUP(BC$72,INDIRECT($C$5&amp;"生成成长"),5))*(VLOOKUP($B$5,标准坦克设计!$B$24:$U$30,MATCH("对"&amp;LEFT($C$5,2)&amp;"输出",标准坦克设计!$B$23:$U$23,0)))*(VLOOKUP($B171,INDIRECT($B$5&amp;"生成成长"),3))*(VLOOKUP($B$5,标准坦克设计!$B$14:$K$20,9)/30))</f>
        <v>2.5058696338244251</v>
      </c>
      <c r="BD171" s="173">
        <f ca="1">(VLOOKUP(BD$72,INDIRECT($C$5&amp;"生成成长"),2))/((VLOOKUP($B171,INDIRECT($B$5&amp;"生成成长"),4))/(VLOOKUP(BD$72,INDIRECT($C$5&amp;"生成成长"),5))*(VLOOKUP($B$5,标准坦克设计!$B$24:$U$30,MATCH("对"&amp;LEFT($C$5,2)&amp;"输出",标准坦克设计!$B$23:$U$23,0)))*(VLOOKUP($B171,INDIRECT($B$5&amp;"生成成长"),3))*(VLOOKUP($B$5,标准坦克设计!$B$14:$K$20,9)/30))</f>
        <v>2.7718016966292174</v>
      </c>
      <c r="BE171" s="173">
        <f ca="1">(VLOOKUP(BE$72,INDIRECT($C$5&amp;"生成成长"),2))/((VLOOKUP($B171,INDIRECT($B$5&amp;"生成成长"),4))/(VLOOKUP(BE$72,INDIRECT($C$5&amp;"生成成长"),5))*(VLOOKUP($B$5,标准坦克设计!$B$24:$U$30,MATCH("对"&amp;LEFT($C$5,2)&amp;"输出",标准坦克设计!$B$23:$U$23,0)))*(VLOOKUP($B171,INDIRECT($B$5&amp;"生成成长"),3))*(VLOOKUP($B$5,标准坦克设计!$B$14:$K$20,9)/30))</f>
        <v>3.0511420987350912</v>
      </c>
      <c r="BF171" s="173">
        <f ca="1">(VLOOKUP(BF$72,INDIRECT($C$5&amp;"生成成长"),2))/((VLOOKUP($B171,INDIRECT($B$5&amp;"生成成长"),4))/(VLOOKUP(BF$72,INDIRECT($C$5&amp;"生成成长"),5))*(VLOOKUP($B$5,标准坦克设计!$B$24:$U$30,MATCH("对"&amp;LEFT($C$5,2)&amp;"输出",标准坦克设计!$B$23:$U$23,0)))*(VLOOKUP($B171,INDIRECT($B$5&amp;"生成成长"),3))*(VLOOKUP($B$5,标准坦克设计!$B$14:$K$20,9)/30))</f>
        <v>3.3438908401420471</v>
      </c>
      <c r="BG171" s="173">
        <f ca="1">(VLOOKUP(BG$72,INDIRECT($C$5&amp;"生成成长"),2))/((VLOOKUP($B171,INDIRECT($B$5&amp;"生成成长"),4))/(VLOOKUP(BG$72,INDIRECT($C$5&amp;"生成成长"),5))*(VLOOKUP($B$5,标准坦克设计!$B$24:$U$30,MATCH("对"&amp;LEFT($C$5,2)&amp;"输出",标准坦克设计!$B$23:$U$23,0)))*(VLOOKUP($B171,INDIRECT($B$5&amp;"生成成长"),3))*(VLOOKUP($B$5,标准坦克设计!$B$14:$K$20,9)/30))</f>
        <v>3.6500479208500844</v>
      </c>
      <c r="BH171" s="173">
        <f ca="1">(VLOOKUP(BH$72,INDIRECT($C$5&amp;"生成成长"),2))/((VLOOKUP($B171,INDIRECT($B$5&amp;"生成成长"),4))/(VLOOKUP(BH$72,INDIRECT($C$5&amp;"生成成长"),5))*(VLOOKUP($B$5,标准坦克设计!$B$24:$U$30,MATCH("对"&amp;LEFT($C$5,2)&amp;"输出",标准坦克设计!$B$23:$U$23,0)))*(VLOOKUP($B171,INDIRECT($B$5&amp;"生成成长"),3))*(VLOOKUP($B$5,标准坦克设计!$B$14:$K$20,9)/30))</f>
        <v>1.7642725959374244</v>
      </c>
      <c r="BI171" s="173">
        <f ca="1">(VLOOKUP(BI$72,INDIRECT($C$5&amp;"生成成长"),2))/((VLOOKUP($B171,INDIRECT($B$5&amp;"生成成长"),4))/(VLOOKUP(BI$72,INDIRECT($C$5&amp;"生成成长"),5))*(VLOOKUP($B$5,标准坦克设计!$B$24:$U$30,MATCH("对"&amp;LEFT($C$5,2)&amp;"输出",标准坦克设计!$B$23:$U$23,0)))*(VLOOKUP($B171,INDIRECT($B$5&amp;"生成成长"),3))*(VLOOKUP($B$5,标准坦克设计!$B$14:$K$20,9)/30))</f>
        <v>1.9884898253610725</v>
      </c>
      <c r="BJ171" s="173">
        <f ca="1">(VLOOKUP(BJ$72,INDIRECT($C$5&amp;"生成成长"),2))/((VLOOKUP($B171,INDIRECT($B$5&amp;"生成成长"),4))/(VLOOKUP(BJ$72,INDIRECT($C$5&amp;"生成成长"),5))*(VLOOKUP($B$5,标准坦克设计!$B$24:$U$30,MATCH("对"&amp;LEFT($C$5,2)&amp;"输出",标准坦克设计!$B$23:$U$23,0)))*(VLOOKUP($B171,INDIRECT($B$5&amp;"生成成长"),3))*(VLOOKUP($B$5,标准坦克设计!$B$14:$K$20,9)/30))</f>
        <v>2.2261153940858027</v>
      </c>
      <c r="BK171" s="173">
        <f ca="1">(VLOOKUP(BK$72,INDIRECT($C$5&amp;"生成成长"),2))/((VLOOKUP($B171,INDIRECT($B$5&amp;"生成成长"),4))/(VLOOKUP(BK$72,INDIRECT($C$5&amp;"生成成长"),5))*(VLOOKUP($B$5,标准坦克设计!$B$24:$U$30,MATCH("对"&amp;LEFT($C$5,2)&amp;"输出",标准坦克设计!$B$23:$U$23,0)))*(VLOOKUP($B171,INDIRECT($B$5&amp;"生成成长"),3))*(VLOOKUP($B$5,标准坦克设计!$B$14:$K$20,9)/30))</f>
        <v>2.4771493021116138</v>
      </c>
      <c r="BL171" s="173">
        <f ca="1">(VLOOKUP(BL$72,INDIRECT($C$5&amp;"生成成长"),2))/((VLOOKUP($B171,INDIRECT($B$5&amp;"生成成长"),4))/(VLOOKUP(BL$72,INDIRECT($C$5&amp;"生成成长"),5))*(VLOOKUP($B$5,标准坦克设计!$B$24:$U$30,MATCH("对"&amp;LEFT($C$5,2)&amp;"输出",标准坦克设计!$B$23:$U$23,0)))*(VLOOKUP($B171,INDIRECT($B$5&amp;"生成成长"),3))*(VLOOKUP($B$5,标准坦克设计!$B$14:$K$20,9)/30))</f>
        <v>2.7415915494385081</v>
      </c>
      <c r="BM171" s="173">
        <f ca="1">(VLOOKUP(BM$72,INDIRECT($C$5&amp;"生成成长"),2))/((VLOOKUP($B171,INDIRECT($B$5&amp;"生成成长"),4))/(VLOOKUP(BM$72,INDIRECT($C$5&amp;"生成成长"),5))*(VLOOKUP($B$5,标准坦克设计!$B$24:$U$30,MATCH("对"&amp;LEFT($C$5,2)&amp;"输出",标准坦克设计!$B$23:$U$23,0)))*(VLOOKUP($B171,INDIRECT($B$5&amp;"生成成长"),3))*(VLOOKUP($B$5,标准坦克设计!$B$14:$K$20,9)/30))</f>
        <v>3.019442136066484</v>
      </c>
      <c r="BN171" s="173">
        <f ca="1">(VLOOKUP(BN$72,INDIRECT($C$5&amp;"生成成长"),2))/((VLOOKUP($B171,INDIRECT($B$5&amp;"生成成长"),4))/(VLOOKUP(BN$72,INDIRECT($C$5&amp;"生成成长"),5))*(VLOOKUP($B$5,标准坦克设计!$B$24:$U$30,MATCH("对"&amp;LEFT($C$5,2)&amp;"输出",标准坦克设计!$B$23:$U$23,0)))*(VLOOKUP($B171,INDIRECT($B$5&amp;"生成成长"),3))*(VLOOKUP($B$5,标准坦克设计!$B$14:$K$20,9)/30))</f>
        <v>3.3107010619955415</v>
      </c>
      <c r="BO171" s="173">
        <f ca="1">(VLOOKUP(BO$72,INDIRECT($C$5&amp;"生成成长"),2))/((VLOOKUP($B171,INDIRECT($B$5&amp;"生成成长"),4))/(VLOOKUP(BO$72,INDIRECT($C$5&amp;"生成成长"),5))*(VLOOKUP($B$5,标准坦克设计!$B$24:$U$30,MATCH("对"&amp;LEFT($C$5,2)&amp;"输出",标准坦克设计!$B$23:$U$23,0)))*(VLOOKUP($B171,INDIRECT($B$5&amp;"生成成长"),3))*(VLOOKUP($B$5,标准坦克设计!$B$14:$K$20,9)/30))</f>
        <v>3.6153683272256818</v>
      </c>
      <c r="BP171" s="173">
        <f ca="1">(VLOOKUP(BP$72,INDIRECT($C$5&amp;"生成成长"),2))/((VLOOKUP($B171,INDIRECT($B$5&amp;"生成成长"),4))/(VLOOKUP(BP$72,INDIRECT($C$5&amp;"生成成长"),5))*(VLOOKUP($B$5,标准坦克设计!$B$24:$U$30,MATCH("对"&amp;LEFT($C$5,2)&amp;"输出",标准坦克设计!$B$23:$U$23,0)))*(VLOOKUP($B171,INDIRECT($B$5&amp;"生成成长"),3))*(VLOOKUP($B$5,标准坦克设计!$B$14:$K$20,9)/30))</f>
        <v>3.9334439317569037</v>
      </c>
      <c r="BQ171" s="173">
        <f ca="1">(VLOOKUP(BQ$72,INDIRECT($C$5&amp;"生成成长"),2))/((VLOOKUP($B171,INDIRECT($B$5&amp;"生成成长"),4))/(VLOOKUP(BQ$72,INDIRECT($C$5&amp;"生成成长"),5))*(VLOOKUP($B$5,标准坦克设计!$B$24:$U$30,MATCH("对"&amp;LEFT($C$5,2)&amp;"输出",标准坦克设计!$B$23:$U$23,0)))*(VLOOKUP($B171,INDIRECT($B$5&amp;"生成成长"),3))*(VLOOKUP($B$5,标准坦克设计!$B$14:$K$20,9)/30))</f>
        <v>4.2649278755892057</v>
      </c>
      <c r="BR171" s="173">
        <f ca="1">(VLOOKUP(BR$72,INDIRECT($C$5&amp;"生成成长"),2))/((VLOOKUP($B171,INDIRECT($B$5&amp;"生成成长"),4))/(VLOOKUP(BR$72,INDIRECT($C$5&amp;"生成成长"),5))*(VLOOKUP($B$5,标准坦克设计!$B$24:$U$30,MATCH("对"&amp;LEFT($C$5,2)&amp;"输出",标准坦克设计!$B$23:$U$23,0)))*(VLOOKUP($B171,INDIRECT($B$5&amp;"生成成长"),3))*(VLOOKUP($B$5,标准坦克设计!$B$14:$K$20,9)/30))</f>
        <v>4.6489691987806889</v>
      </c>
      <c r="BS171" s="173">
        <f ca="1">(VLOOKUP(BS$72,INDIRECT($C$5&amp;"生成成长"),2))/((VLOOKUP($B171,INDIRECT($B$5&amp;"生成成长"),4))/(VLOOKUP(BS$72,INDIRECT($C$5&amp;"生成成长"),5))*(VLOOKUP($B$5,标准坦克设计!$B$24:$U$30,MATCH("对"&amp;LEFT($C$5,2)&amp;"输出",标准坦克设计!$B$23:$U$23,0)))*(VLOOKUP($B171,INDIRECT($B$5&amp;"生成成长"),3))*(VLOOKUP($B$5,标准坦克设计!$B$14:$K$20,9)/30))</f>
        <v>5.04956402728215</v>
      </c>
      <c r="BT171" s="173">
        <f ca="1">(VLOOKUP(BT$72,INDIRECT($C$5&amp;"生成成长"),2))/((VLOOKUP($B171,INDIRECT($B$5&amp;"生成成长"),4))/(VLOOKUP(BT$72,INDIRECT($C$5&amp;"生成成长"),5))*(VLOOKUP($B$5,标准坦克设计!$B$24:$U$30,MATCH("对"&amp;LEFT($C$5,2)&amp;"输出",标准坦克设计!$B$23:$U$23,0)))*(VLOOKUP($B171,INDIRECT($B$5&amp;"生成成长"),3))*(VLOOKUP($B$5,标准坦克设计!$B$14:$K$20,9)/30))</f>
        <v>5.4667123610935882</v>
      </c>
      <c r="BU171" s="173">
        <f ca="1">(VLOOKUP(BU$72,INDIRECT($C$5&amp;"生成成长"),2))/((VLOOKUP($B171,INDIRECT($B$5&amp;"生成成长"),4))/(VLOOKUP(BU$72,INDIRECT($C$5&amp;"生成成长"),5))*(VLOOKUP($B$5,标准坦克设计!$B$24:$U$30,MATCH("对"&amp;LEFT($C$5,2)&amp;"输出",标准坦克设计!$B$23:$U$23,0)))*(VLOOKUP($B171,INDIRECT($B$5&amp;"生成成长"),3))*(VLOOKUP($B$5,标准坦克设计!$B$14:$K$20,9)/30))</f>
        <v>5.9004142002150051</v>
      </c>
      <c r="BV171" s="173">
        <f ca="1">(VLOOKUP(BV$72,INDIRECT($C$5&amp;"生成成长"),2))/((VLOOKUP($B171,INDIRECT($B$5&amp;"生成成长"),4))/(VLOOKUP(BV$72,INDIRECT($C$5&amp;"生成成长"),5))*(VLOOKUP($B$5,标准坦克设计!$B$24:$U$30,MATCH("对"&amp;LEFT($C$5,2)&amp;"输出",标准坦克设计!$B$23:$U$23,0)))*(VLOOKUP($B171,INDIRECT($B$5&amp;"生成成长"),3))*(VLOOKUP($B$5,标准坦克设计!$B$14:$K$20,9)/30))</f>
        <v>6.3506695446463972</v>
      </c>
      <c r="BW171" s="173">
        <f ca="1">(VLOOKUP(BW$72,INDIRECT($C$5&amp;"生成成长"),2))/((VLOOKUP($B171,INDIRECT($B$5&amp;"生成成长"),4))/(VLOOKUP(BW$72,INDIRECT($C$5&amp;"生成成长"),5))*(VLOOKUP($B$5,标准坦克设计!$B$24:$U$30,MATCH("对"&amp;LEFT($C$5,2)&amp;"输出",标准坦克设计!$B$23:$U$23,0)))*(VLOOKUP($B171,INDIRECT($B$5&amp;"生成成长"),3))*(VLOOKUP($B$5,标准坦克设计!$B$14:$K$20,9)/30))</f>
        <v>2.8942976359230523</v>
      </c>
      <c r="BX171" s="173">
        <f ca="1">(VLOOKUP(BX$72,INDIRECT($C$5&amp;"生成成长"),2))/((VLOOKUP($B171,INDIRECT($B$5&amp;"生成成长"),4))/(VLOOKUP(BX$72,INDIRECT($C$5&amp;"生成成长"),5))*(VLOOKUP($B$5,标准坦克设计!$B$24:$U$30,MATCH("对"&amp;LEFT($C$5,2)&amp;"输出",标准坦克设计!$B$23:$U$23,0)))*(VLOOKUP($B171,INDIRECT($B$5&amp;"生成成长"),3))*(VLOOKUP($B$5,标准坦克设计!$B$14:$K$20,9)/30))</f>
        <v>3.2121249378746244</v>
      </c>
      <c r="BY171" s="173">
        <f ca="1">(VLOOKUP(BY$72,INDIRECT($C$5&amp;"生成成长"),2))/((VLOOKUP($B171,INDIRECT($B$5&amp;"生成成长"),4))/(VLOOKUP(BY$72,INDIRECT($C$5&amp;"生成成长"),5))*(VLOOKUP($B$5,标准坦克设计!$B$24:$U$30,MATCH("对"&amp;LEFT($C$5,2)&amp;"输出",标准坦克设计!$B$23:$U$23,0)))*(VLOOKUP($B171,INDIRECT($B$5&amp;"生成成长"),3))*(VLOOKUP($B$5,标准坦克设计!$B$14:$K$20,9)/30))</f>
        <v>3.5465057451361734</v>
      </c>
      <c r="BZ171" s="173">
        <f ca="1">(VLOOKUP(BZ$72,INDIRECT($C$5&amp;"生成成长"),2))/((VLOOKUP($B171,INDIRECT($B$5&amp;"生成成长"),4))/(VLOOKUP(BZ$72,INDIRECT($C$5&amp;"生成成长"),5))*(VLOOKUP($B$5,标准坦克设计!$B$24:$U$30,MATCH("对"&amp;LEFT($C$5,2)&amp;"输出",标准坦克设计!$B$23:$U$23,0)))*(VLOOKUP($B171,INDIRECT($B$5&amp;"生成成长"),3))*(VLOOKUP($B$5,标准坦克设计!$B$14:$K$20,9)/30))</f>
        <v>3.8974400577077022</v>
      </c>
      <c r="CA171" s="173">
        <f ca="1">(VLOOKUP(CA$72,INDIRECT($C$5&amp;"生成成长"),2))/((VLOOKUP($B171,INDIRECT($B$5&amp;"生成成长"),4))/(VLOOKUP(CA$72,INDIRECT($C$5&amp;"生成成长"),5))*(VLOOKUP($B$5,标准坦克设计!$B$24:$U$30,MATCH("对"&amp;LEFT($C$5,2)&amp;"输出",标准坦克设计!$B$23:$U$23,0)))*(VLOOKUP($B171,INDIRECT($B$5&amp;"生成成长"),3))*(VLOOKUP($B$5,标准坦克设计!$B$14:$K$20,9)/30))</f>
        <v>4.2649278755892057</v>
      </c>
      <c r="CB171" s="173">
        <f ca="1">(VLOOKUP(CB$72,INDIRECT($C$5&amp;"生成成长"),2))/((VLOOKUP($B171,INDIRECT($B$5&amp;"生成成长"),4))/(VLOOKUP(CB$72,INDIRECT($C$5&amp;"生成成长"),5))*(VLOOKUP($B$5,标准坦克设计!$B$24:$U$30,MATCH("对"&amp;LEFT($C$5,2)&amp;"输出",标准坦克设计!$B$23:$U$23,0)))*(VLOOKUP($B171,INDIRECT($B$5&amp;"生成成长"),3))*(VLOOKUP($B$5,标准坦克设计!$B$14:$K$20,9)/30))</f>
        <v>4.6489691987806889</v>
      </c>
      <c r="CC171" s="173">
        <f ca="1">(VLOOKUP(CC$72,INDIRECT($C$5&amp;"生成成长"),2))/((VLOOKUP($B171,INDIRECT($B$5&amp;"生成成长"),4))/(VLOOKUP(CC$72,INDIRECT($C$5&amp;"生成成长"),5))*(VLOOKUP($B$5,标准坦克设计!$B$24:$U$30,MATCH("对"&amp;LEFT($C$5,2)&amp;"输出",标准坦克设计!$B$23:$U$23,0)))*(VLOOKUP($B171,INDIRECT($B$5&amp;"生成成长"),3))*(VLOOKUP($B$5,标准坦克设计!$B$14:$K$20,9)/30))</f>
        <v>5.04956402728215</v>
      </c>
      <c r="CD171" s="173">
        <f ca="1">(VLOOKUP(CD$72,INDIRECT($C$5&amp;"生成成长"),2))/((VLOOKUP($B171,INDIRECT($B$5&amp;"生成成长"),4))/(VLOOKUP(CD$72,INDIRECT($C$5&amp;"生成成长"),5))*(VLOOKUP($B$5,标准坦克设计!$B$24:$U$30,MATCH("对"&amp;LEFT($C$5,2)&amp;"输出",标准坦克设计!$B$23:$U$23,0)))*(VLOOKUP($B171,INDIRECT($B$5&amp;"生成成长"),3))*(VLOOKUP($B$5,标准坦克设计!$B$14:$K$20,9)/30))</f>
        <v>5.4667123610935882</v>
      </c>
      <c r="CE171" s="173">
        <f ca="1">(VLOOKUP(CE$72,INDIRECT($C$5&amp;"生成成长"),2))/((VLOOKUP($B171,INDIRECT($B$5&amp;"生成成长"),4))/(VLOOKUP(CE$72,INDIRECT($C$5&amp;"生成成长"),5))*(VLOOKUP($B$5,标准坦克设计!$B$24:$U$30,MATCH("对"&amp;LEFT($C$5,2)&amp;"输出",标准坦克设计!$B$23:$U$23,0)))*(VLOOKUP($B171,INDIRECT($B$5&amp;"生成成长"),3))*(VLOOKUP($B$5,标准坦克设计!$B$14:$K$20,9)/30))</f>
        <v>5.9004142002150051</v>
      </c>
      <c r="CF171" s="173">
        <f ca="1">(VLOOKUP(CF$72,INDIRECT($C$5&amp;"生成成长"),2))/((VLOOKUP($B171,INDIRECT($B$5&amp;"生成成长"),4))/(VLOOKUP(CF$72,INDIRECT($C$5&amp;"生成成长"),5))*(VLOOKUP($B$5,标准坦克设计!$B$24:$U$30,MATCH("对"&amp;LEFT($C$5,2)&amp;"输出",标准坦克设计!$B$23:$U$23,0)))*(VLOOKUP($B171,INDIRECT($B$5&amp;"生成成长"),3))*(VLOOKUP($B$5,标准坦克设计!$B$14:$K$20,9)/30))</f>
        <v>6.3506695446463972</v>
      </c>
      <c r="CG171" s="173">
        <f ca="1">(VLOOKUP(CG$72,INDIRECT($C$5&amp;"生成成长"),2))/((VLOOKUP($B171,INDIRECT($B$5&amp;"生成成长"),4))/(VLOOKUP(CG$72,INDIRECT($C$5&amp;"生成成长"),5))*(VLOOKUP($B$5,标准坦克设计!$B$24:$U$30,MATCH("对"&amp;LEFT($C$5,2)&amp;"输出",标准坦克设计!$B$23:$U$23,0)))*(VLOOKUP($B171,INDIRECT($B$5&amp;"生成成长"),3))*(VLOOKUP($B$5,标准坦克设计!$B$14:$K$20,9)/30))</f>
        <v>6.817478394387769</v>
      </c>
      <c r="CH171" s="173">
        <f ca="1">(VLOOKUP(CH$72,INDIRECT($C$5&amp;"生成成长"),2))/((VLOOKUP($B171,INDIRECT($B$5&amp;"生成成长"),4))/(VLOOKUP(CH$72,INDIRECT($C$5&amp;"生成成长"),5))*(VLOOKUP($B$5,标准坦克设计!$B$24:$U$30,MATCH("对"&amp;LEFT($C$5,2)&amp;"输出",标准坦克设计!$B$23:$U$23,0)))*(VLOOKUP($B171,INDIRECT($B$5&amp;"生成成长"),3))*(VLOOKUP($B$5,标准坦克设计!$B$14:$K$20,9)/30))</f>
        <v>7.3008407494391188</v>
      </c>
      <c r="CI171" s="173">
        <f ca="1">(VLOOKUP(CI$72,INDIRECT($C$5&amp;"生成成长"),2))/((VLOOKUP($B171,INDIRECT($B$5&amp;"生成成长"),4))/(VLOOKUP(CI$72,INDIRECT($C$5&amp;"生成成长"),5))*(VLOOKUP($B$5,标准坦克设计!$B$24:$U$30,MATCH("对"&amp;LEFT($C$5,2)&amp;"输出",标准坦克设计!$B$23:$U$23,0)))*(VLOOKUP($B171,INDIRECT($B$5&amp;"生成成长"),3))*(VLOOKUP($B$5,标准坦克设计!$B$14:$K$20,9)/30))</f>
        <v>7.8516586386286269</v>
      </c>
      <c r="CJ171" s="173">
        <f ca="1">(VLOOKUP(CJ$72,INDIRECT($C$5&amp;"生成成长"),2))/((VLOOKUP($B171,INDIRECT($B$5&amp;"生成成长"),4))/(VLOOKUP(CJ$72,INDIRECT($C$5&amp;"生成成长"),5))*(VLOOKUP($B$5,标准坦克设计!$B$24:$U$30,MATCH("对"&amp;LEFT($C$5,2)&amp;"输出",标准坦克设计!$B$23:$U$23,0)))*(VLOOKUP($B171,INDIRECT($B$5&amp;"生成成长"),3))*(VLOOKUP($B$5,标准坦克设计!$B$14:$K$20,9)/30))</f>
        <v>8.4225062692432076</v>
      </c>
      <c r="CK171" s="173">
        <f ca="1">(VLOOKUP(CK$72,INDIRECT($C$5&amp;"生成成长"),2))/((VLOOKUP($B171,INDIRECT($B$5&amp;"生成成长"),4))/(VLOOKUP(CK$72,INDIRECT($C$5&amp;"生成成长"),5))*(VLOOKUP($B$5,标准坦克设计!$B$24:$U$30,MATCH("对"&amp;LEFT($C$5,2)&amp;"输出",标准坦克设计!$B$23:$U$23,0)))*(VLOOKUP($B171,INDIRECT($B$5&amp;"生成成长"),3))*(VLOOKUP($B$5,标准坦克设计!$B$14:$K$20,9)/30))</f>
        <v>9.0133836412828625</v>
      </c>
      <c r="CL171" s="173">
        <f ca="1">(VLOOKUP(CL$72,INDIRECT($C$5&amp;"生成成长"),2))/((VLOOKUP($B171,INDIRECT($B$5&amp;"生成成长"),4))/(VLOOKUP(CL$72,INDIRECT($C$5&amp;"生成成长"),5))*(VLOOKUP($B$5,标准坦克设计!$B$24:$U$30,MATCH("对"&amp;LEFT($C$5,2)&amp;"输出",标准坦克设计!$B$23:$U$23,0)))*(VLOOKUP($B171,INDIRECT($B$5&amp;"生成成长"),3))*(VLOOKUP($B$5,标准坦克设计!$B$14:$K$20,9)/30))</f>
        <v>9.6242907547475873</v>
      </c>
      <c r="CM171" s="173">
        <f ca="1">(VLOOKUP(CM$72,INDIRECT($C$5&amp;"生成成长"),2))/((VLOOKUP($B171,INDIRECT($B$5&amp;"生成成长"),4))/(VLOOKUP(CM$72,INDIRECT($C$5&amp;"生成成长"),5))*(VLOOKUP($B$5,标准坦克设计!$B$24:$U$30,MATCH("对"&amp;LEFT($C$5,2)&amp;"输出",标准坦克设计!$B$23:$U$23,0)))*(VLOOKUP($B171,INDIRECT($B$5&amp;"生成成长"),3))*(VLOOKUP($B$5,标准坦克设计!$B$14:$K$20,9)/30))</f>
        <v>10.255227609637389</v>
      </c>
      <c r="CN171" s="173">
        <f ca="1">(VLOOKUP(CN$72,INDIRECT($C$5&amp;"生成成长"),2))/((VLOOKUP($B171,INDIRECT($B$5&amp;"生成成长"),4))/(VLOOKUP(CN$72,INDIRECT($C$5&amp;"生成成长"),5))*(VLOOKUP($B$5,标准坦克设计!$B$24:$U$30,MATCH("对"&amp;LEFT($C$5,2)&amp;"输出",标准坦克设计!$B$23:$U$23,0)))*(VLOOKUP($B171,INDIRECT($B$5&amp;"生成成长"),3))*(VLOOKUP($B$5,标准坦克设计!$B$14:$K$20,9)/30))</f>
        <v>10.906194205952263</v>
      </c>
      <c r="CO171" s="173">
        <f ca="1">(VLOOKUP(CO$72,INDIRECT($C$5&amp;"生成成长"),2))/((VLOOKUP($B171,INDIRECT($B$5&amp;"生成成长"),4))/(VLOOKUP(CO$72,INDIRECT($C$5&amp;"生成成长"),5))*(VLOOKUP($B$5,标准坦克设计!$B$24:$U$30,MATCH("对"&amp;LEFT($C$5,2)&amp;"输出",标准坦克设计!$B$23:$U$23,0)))*(VLOOKUP($B171,INDIRECT($B$5&amp;"生成成长"),3))*(VLOOKUP($B$5,标准坦克设计!$B$14:$K$20,9)/30))</f>
        <v>4.8873396752443687</v>
      </c>
      <c r="CP171" s="173">
        <f ca="1">(VLOOKUP(CP$72,INDIRECT($C$5&amp;"生成成长"),2))/((VLOOKUP($B171,INDIRECT($B$5&amp;"生成成长"),4))/(VLOOKUP(CP$72,INDIRECT($C$5&amp;"生成成长"),5))*(VLOOKUP($B$5,标准坦克设计!$B$24:$U$30,MATCH("对"&amp;LEFT($C$5,2)&amp;"输出",标准坦克设计!$B$23:$U$23,0)))*(VLOOKUP($B171,INDIRECT($B$5&amp;"生成成长"),3))*(VLOOKUP($B$5,标准坦克设计!$B$14:$K$20,9)/30))</f>
        <v>5.3398297428926105</v>
      </c>
      <c r="CQ171" s="173">
        <f ca="1">(VLOOKUP(CQ$72,INDIRECT($C$5&amp;"生成成长"),2))/((VLOOKUP($B171,INDIRECT($B$5&amp;"生成成长"),4))/(VLOOKUP(CQ$72,INDIRECT($C$5&amp;"生成成长"),5))*(VLOOKUP($B$5,标准坦克设计!$B$24:$U$30,MATCH("对"&amp;LEFT($C$5,2)&amp;"输出",标准坦克设计!$B$23:$U$23,0)))*(VLOOKUP($B171,INDIRECT($B$5&amp;"生成成长"),3))*(VLOOKUP($B$5,标准坦克设计!$B$14:$K$20,9)/30))</f>
        <v>5.812349551965923</v>
      </c>
      <c r="CR171" s="173">
        <f ca="1">(VLOOKUP(CR$72,INDIRECT($C$5&amp;"生成成长"),2))/((VLOOKUP($B171,INDIRECT($B$5&amp;"生成成长"),4))/(VLOOKUP(CR$72,INDIRECT($C$5&amp;"生成成长"),5))*(VLOOKUP($B$5,标准坦克设计!$B$24:$U$30,MATCH("对"&amp;LEFT($C$5,2)&amp;"输出",标准坦克设计!$B$23:$U$23,0)))*(VLOOKUP($B171,INDIRECT($B$5&amp;"生成成长"),3))*(VLOOKUP($B$5,标准坦克设计!$B$14:$K$20,9)/30))</f>
        <v>6.3048991024643097</v>
      </c>
      <c r="CS171" s="173">
        <f ca="1">(VLOOKUP(CS$72,INDIRECT($C$5&amp;"生成成长"),2))/((VLOOKUP($B171,INDIRECT($B$5&amp;"生成成长"),4))/(VLOOKUP(CS$72,INDIRECT($C$5&amp;"生成成长"),5))*(VLOOKUP($B$5,标准坦克设计!$B$24:$U$30,MATCH("对"&amp;LEFT($C$5,2)&amp;"输出",标准坦克设计!$B$23:$U$23,0)))*(VLOOKUP($B171,INDIRECT($B$5&amp;"生成成长"),3))*(VLOOKUP($B$5,标准坦克设计!$B$14:$K$20,9)/30))</f>
        <v>6.817478394387769</v>
      </c>
      <c r="CT171" s="173">
        <f ca="1">(VLOOKUP(CT$72,INDIRECT($C$5&amp;"生成成长"),2))/((VLOOKUP($B171,INDIRECT($B$5&amp;"生成成长"),4))/(VLOOKUP(CT$72,INDIRECT($C$5&amp;"生成成长"),5))*(VLOOKUP($B$5,标准坦克设计!$B$24:$U$30,MATCH("对"&amp;LEFT($C$5,2)&amp;"输出",标准坦克设计!$B$23:$U$23,0)))*(VLOOKUP($B171,INDIRECT($B$5&amp;"生成成长"),3))*(VLOOKUP($B$5,标准坦克设计!$B$14:$K$20,9)/30))</f>
        <v>7.3500874277363017</v>
      </c>
      <c r="CU171" s="173">
        <f ca="1">(VLOOKUP(CU$72,INDIRECT($C$5&amp;"生成成长"),2))/((VLOOKUP($B171,INDIRECT($B$5&amp;"生成成长"),4))/(VLOOKUP(CU$72,INDIRECT($C$5&amp;"生成成长"),5))*(VLOOKUP($B$5,标准坦克设计!$B$24:$U$30,MATCH("对"&amp;LEFT($C$5,2)&amp;"输出",标准坦克设计!$B$23:$U$23,0)))*(VLOOKUP($B171,INDIRECT($B$5&amp;"生成成长"),3))*(VLOOKUP($B$5,标准坦克设计!$B$14:$K$20,9)/30))</f>
        <v>7.9027262025099079</v>
      </c>
      <c r="CV171" s="173">
        <f ca="1">(VLOOKUP(CV$72,INDIRECT($C$5&amp;"生成成长"),2))/((VLOOKUP($B171,INDIRECT($B$5&amp;"生成成长"),4))/(VLOOKUP(CV$72,INDIRECT($C$5&amp;"生成成长"),5))*(VLOOKUP($B$5,标准坦克设计!$B$24:$U$30,MATCH("对"&amp;LEFT($C$5,2)&amp;"输出",标准坦克设计!$B$23:$U$23,0)))*(VLOOKUP($B171,INDIRECT($B$5&amp;"生成成长"),3))*(VLOOKUP($B$5,标准坦克设计!$B$14:$K$20,9)/30))</f>
        <v>8.4753947187085874</v>
      </c>
      <c r="CW171" s="173">
        <f ca="1">(VLOOKUP(CW$72,INDIRECT($C$5&amp;"生成成长"),2))/((VLOOKUP($B171,INDIRECT($B$5&amp;"生成成长"),4))/(VLOOKUP(CW$72,INDIRECT($C$5&amp;"生成成长"),5))*(VLOOKUP($B$5,标准坦克设计!$B$24:$U$30,MATCH("对"&amp;LEFT($C$5,2)&amp;"输出",标准坦克设计!$B$23:$U$23,0)))*(VLOOKUP($B171,INDIRECT($B$5&amp;"生成成长"),3))*(VLOOKUP($B$5,标准坦克设计!$B$14:$K$20,9)/30))</f>
        <v>9.0680929763323377</v>
      </c>
      <c r="CX171" s="173">
        <f ca="1">(VLOOKUP(CX$72,INDIRECT($C$5&amp;"生成成长"),2))/((VLOOKUP($B171,INDIRECT($B$5&amp;"生成成长"),4))/(VLOOKUP(CX$72,INDIRECT($C$5&amp;"生成成长"),5))*(VLOOKUP($B$5,标准坦克设计!$B$24:$U$30,MATCH("对"&amp;LEFT($C$5,2)&amp;"输出",标准坦克设计!$B$23:$U$23,0)))*(VLOOKUP($B171,INDIRECT($B$5&amp;"生成成长"),3))*(VLOOKUP($B$5,标准坦克设计!$B$14:$K$20,9)/30))</f>
        <v>9.6808209753811614</v>
      </c>
      <c r="CY171" s="173">
        <f ca="1">(VLOOKUP(CY$72,INDIRECT($C$5&amp;"生成成长"),2))/((VLOOKUP($B171,INDIRECT($B$5&amp;"生成成长"),4))/(VLOOKUP(CY$72,INDIRECT($C$5&amp;"生成成长"),5))*(VLOOKUP($B$5,标准坦克设计!$B$24:$U$30,MATCH("对"&amp;LEFT($C$5,2)&amp;"输出",标准坦克设计!$B$23:$U$23,0)))*(VLOOKUP($B171,INDIRECT($B$5&amp;"生成成长"),3))*(VLOOKUP($B$5,标准坦克设计!$B$14:$K$20,9)/30))</f>
        <v>10.31357871585506</v>
      </c>
      <c r="CZ171" s="173">
        <f ca="1">(VLOOKUP(CZ$72,INDIRECT($C$5&amp;"生成成长"),2))/((VLOOKUP($B171,INDIRECT($B$5&amp;"生成成长"),4))/(VLOOKUP(CZ$72,INDIRECT($C$5&amp;"生成成长"),5))*(VLOOKUP($B$5,标准坦克设计!$B$24:$U$30,MATCH("对"&amp;LEFT($C$5,2)&amp;"输出",标准坦克设计!$B$23:$U$23,0)))*(VLOOKUP($B171,INDIRECT($B$5&amp;"生成成长"),3))*(VLOOKUP($B$5,标准坦克设计!$B$14:$K$20,9)/30))</f>
        <v>10.966366197754033</v>
      </c>
      <c r="DA171" s="173">
        <f ca="1">(VLOOKUP(DA$72,INDIRECT($C$5&amp;"生成成长"),2))/((VLOOKUP($B171,INDIRECT($B$5&amp;"生成成长"),4))/(VLOOKUP(DA$72,INDIRECT($C$5&amp;"生成成长"),5))*(VLOOKUP($B$5,标准坦克设计!$B$24:$U$30,MATCH("对"&amp;LEFT($C$5,2)&amp;"输出",标准坦克设计!$B$23:$U$23,0)))*(VLOOKUP($B171,INDIRECT($B$5&amp;"生成成长"),3))*(VLOOKUP($B$5,标准坦克设计!$B$14:$K$20,9)/30))</f>
        <v>11.639183421078073</v>
      </c>
      <c r="DB171" s="173">
        <f ca="1">(VLOOKUP(DB$72,INDIRECT($C$5&amp;"生成成长"),2))/((VLOOKUP($B171,INDIRECT($B$5&amp;"生成成长"),4))/(VLOOKUP(DB$72,INDIRECT($C$5&amp;"生成成长"),5))*(VLOOKUP($B$5,标准坦克设计!$B$24:$U$30,MATCH("对"&amp;LEFT($C$5,2)&amp;"输出",标准坦克设计!$B$23:$U$23,0)))*(VLOOKUP($B171,INDIRECT($B$5&amp;"生成成长"),3))*(VLOOKUP($B$5,标准坦克设计!$B$14:$K$20,9)/30))</f>
        <v>12.332030385827192</v>
      </c>
      <c r="DC171" s="173">
        <f ca="1">(VLOOKUP(DC$72,INDIRECT($C$5&amp;"生成成长"),2))/((VLOOKUP($B171,INDIRECT($B$5&amp;"生成成长"),4))/(VLOOKUP(DC$72,INDIRECT($C$5&amp;"生成成长"),5))*(VLOOKUP($B$5,标准坦克设计!$B$24:$U$30,MATCH("对"&amp;LEFT($C$5,2)&amp;"输出",标准坦克设计!$B$23:$U$23,0)))*(VLOOKUP($B171,INDIRECT($B$5&amp;"生成成长"),3))*(VLOOKUP($B$5,标准坦克设计!$B$14:$K$20,9)/30))</f>
        <v>13.110707275608544</v>
      </c>
      <c r="DD171" s="173">
        <f ca="1">(VLOOKUP(DD$72,INDIRECT($C$5&amp;"生成成长"),2))/((VLOOKUP($B171,INDIRECT($B$5&amp;"生成成长"),4))/(VLOOKUP(DD$72,INDIRECT($C$5&amp;"生成成长"),5))*(VLOOKUP($B$5,标准坦克设计!$B$24:$U$30,MATCH("对"&amp;LEFT($C$5,2)&amp;"输出",标准坦克设计!$B$23:$U$23,0)))*(VLOOKUP($B171,INDIRECT($B$5&amp;"生成成长"),3))*(VLOOKUP($B$5,标准坦克设计!$B$14:$K$20,9)/30))</f>
        <v>13.913221213036262</v>
      </c>
      <c r="DE171" s="173">
        <f ca="1">(VLOOKUP(DE$72,INDIRECT($C$5&amp;"生成成长"),2))/((VLOOKUP($B171,INDIRECT($B$5&amp;"生成成长"),4))/(VLOOKUP(DE$72,INDIRECT($C$5&amp;"生成成长"),5))*(VLOOKUP($B$5,标准坦克设计!$B$24:$U$30,MATCH("对"&amp;LEFT($C$5,2)&amp;"输出",标准坦克设计!$B$23:$U$23,0)))*(VLOOKUP($B171,INDIRECT($B$5&amp;"生成成长"),3))*(VLOOKUP($B$5,标准坦克设计!$B$14:$K$20,9)/30))</f>
        <v>14.73957219811035</v>
      </c>
      <c r="DF171" s="173">
        <f ca="1">(VLOOKUP(DF$72,INDIRECT($C$5&amp;"生成成长"),2))/((VLOOKUP($B171,INDIRECT($B$5&amp;"生成成长"),4))/(VLOOKUP(DF$72,INDIRECT($C$5&amp;"生成成长"),5))*(VLOOKUP($B$5,标准坦克设计!$B$24:$U$30,MATCH("对"&amp;LEFT($C$5,2)&amp;"输出",标准坦克设计!$B$23:$U$23,0)))*(VLOOKUP($B171,INDIRECT($B$5&amp;"生成成长"),3))*(VLOOKUP($B$5,标准坦克设计!$B$14:$K$20,9)/30))</f>
        <v>15.589760230830809</v>
      </c>
      <c r="DG171" s="173">
        <f ca="1">(VLOOKUP(DG$72,INDIRECT($C$5&amp;"生成成长"),2))/((VLOOKUP($B171,INDIRECT($B$5&amp;"生成成长"),4))/(VLOOKUP(DG$72,INDIRECT($C$5&amp;"生成成长"),5))*(VLOOKUP($B$5,标准坦克设计!$B$24:$U$30,MATCH("对"&amp;LEFT($C$5,2)&amp;"输出",标准坦克设计!$B$23:$U$23,0)))*(VLOOKUP($B171,INDIRECT($B$5&amp;"生成成长"),3))*(VLOOKUP($B$5,标准坦克设计!$B$14:$K$20,9)/30))</f>
        <v>16.463785311197626</v>
      </c>
      <c r="DH171" s="173">
        <f ca="1">(VLOOKUP(DH$72,INDIRECT($C$5&amp;"生成成长"),2))/((VLOOKUP($B171,INDIRECT($B$5&amp;"生成成长"),4))/(VLOOKUP(DH$72,INDIRECT($C$5&amp;"生成成长"),5))*(VLOOKUP($B$5,标准坦克设计!$B$24:$U$30,MATCH("对"&amp;LEFT($C$5,2)&amp;"输出",标准坦克设计!$B$23:$U$23,0)))*(VLOOKUP($B171,INDIRECT($B$5&amp;"生成成长"),3))*(VLOOKUP($B$5,标准坦克设计!$B$14:$K$20,9)/30))</f>
        <v>17.36164743921082</v>
      </c>
      <c r="DI171" s="173">
        <f ca="1">(VLOOKUP(DI$72,INDIRECT($C$5&amp;"生成成长"),2))/((VLOOKUP($B171,INDIRECT($B$5&amp;"生成成长"),4))/(VLOOKUP(DI$72,INDIRECT($C$5&amp;"生成成长"),5))*(VLOOKUP($B$5,标准坦克设计!$B$24:$U$30,MATCH("对"&amp;LEFT($C$5,2)&amp;"输出",标准坦克设计!$B$23:$U$23,0)))*(VLOOKUP($B171,INDIRECT($B$5&amp;"生成成长"),3))*(VLOOKUP($B$5,标准坦克设计!$B$14:$K$20,9)/30))</f>
        <v>18.283346614870382</v>
      </c>
      <c r="DJ171" s="173">
        <f ca="1">(VLOOKUP(DJ$72,INDIRECT($C$5&amp;"生成成长"),2))/((VLOOKUP($B171,INDIRECT($B$5&amp;"生成成长"),4))/(VLOOKUP(DJ$72,INDIRECT($C$5&amp;"生成成长"),5))*(VLOOKUP($B$5,标准坦克设计!$B$24:$U$30,MATCH("对"&amp;LEFT($C$5,2)&amp;"输出",标准坦克设计!$B$23:$U$23,0)))*(VLOOKUP($B171,INDIRECT($B$5&amp;"生成成长"),3))*(VLOOKUP($B$5,标准坦克设计!$B$14:$K$20,9)/30))</f>
        <v>1.8375218569340754</v>
      </c>
      <c r="DK171" s="173">
        <f ca="1">(VLOOKUP(DK$72,INDIRECT($C$5&amp;"生成成长"),2))/((VLOOKUP($B171,INDIRECT($B$5&amp;"生成成长"),4))/(VLOOKUP(DK$72,INDIRECT($C$5&amp;"生成成长"),5))*(VLOOKUP($B$5,标准坦克设计!$B$24:$U$30,MATCH("对"&amp;LEFT($C$5,2)&amp;"输出",标准坦克设计!$B$23:$U$23,0)))*(VLOOKUP($B171,INDIRECT($B$5&amp;"生成成长"),3))*(VLOOKUP($B$5,标准坦克设计!$B$14:$K$20,9)/30))</f>
        <v>2.0662085327914177</v>
      </c>
      <c r="DL171" s="173">
        <f ca="1">(VLOOKUP(DL$72,INDIRECT($C$5&amp;"生成成长"),2))/((VLOOKUP($B171,INDIRECT($B$5&amp;"生成成长"),4))/(VLOOKUP(DL$72,INDIRECT($C$5&amp;"生成成长"),5))*(VLOOKUP($B$5,标准坦克设计!$B$24:$U$30,MATCH("对"&amp;LEFT($C$5,2)&amp;"输出",标准坦克设计!$B$23:$U$23,0)))*(VLOOKUP($B171,INDIRECT($B$5&amp;"生成成长"),3))*(VLOOKUP($B$5,标准坦克设计!$B$14:$K$20,9)/30))</f>
        <v>2.3083035479498411</v>
      </c>
      <c r="DM171" s="173">
        <f ca="1">(VLOOKUP(DM$72,INDIRECT($C$5&amp;"生成成长"),2))/((VLOOKUP($B171,INDIRECT($B$5&amp;"生成成长"),4))/(VLOOKUP(DM$72,INDIRECT($C$5&amp;"生成成长"),5))*(VLOOKUP($B$5,标准坦克设计!$B$24:$U$30,MATCH("对"&amp;LEFT($C$5,2)&amp;"输出",标准坦克设计!$B$23:$U$23,0)))*(VLOOKUP($B171,INDIRECT($B$5&amp;"生成成长"),3))*(VLOOKUP($B$5,标准坦克设计!$B$14:$K$20,9)/30))</f>
        <v>2.5638069024093473</v>
      </c>
      <c r="DN171" s="173">
        <f ca="1">(VLOOKUP(DN$72,INDIRECT($C$5&amp;"生成成长"),2))/((VLOOKUP($B171,INDIRECT($B$5&amp;"生成成长"),4))/(VLOOKUP(DN$72,INDIRECT($C$5&amp;"生成成长"),5))*(VLOOKUP($B$5,标准坦克设计!$B$24:$U$30,MATCH("对"&amp;LEFT($C$5,2)&amp;"输出",标准坦克设计!$B$23:$U$23,0)))*(VLOOKUP($B171,INDIRECT($B$5&amp;"生成成长"),3))*(VLOOKUP($B$5,标准坦克设计!$B$14:$K$20,9)/30))</f>
        <v>2.832718596169935</v>
      </c>
      <c r="DO171" s="173">
        <f ca="1">(VLOOKUP(DO$72,INDIRECT($C$5&amp;"生成成长"),2))/((VLOOKUP($B171,INDIRECT($B$5&amp;"生成成长"),4))/(VLOOKUP(DO$72,INDIRECT($C$5&amp;"生成成长"),5))*(VLOOKUP($B$5,标准坦克设计!$B$24:$U$30,MATCH("对"&amp;LEFT($C$5,2)&amp;"输出",标准坦克设计!$B$23:$U$23,0)))*(VLOOKUP($B171,INDIRECT($B$5&amp;"生成成长"),3))*(VLOOKUP($B$5,标准坦克设计!$B$14:$K$20,9)/30))</f>
        <v>3.1150386292316048</v>
      </c>
      <c r="DP171" s="173">
        <f ca="1">(VLOOKUP(DP$72,INDIRECT($C$5&amp;"生成成长"),2))/((VLOOKUP($B171,INDIRECT($B$5&amp;"生成成长"),4))/(VLOOKUP(DP$72,INDIRECT($C$5&amp;"生成成长"),5))*(VLOOKUP($B$5,标准坦克设计!$B$24:$U$30,MATCH("对"&amp;LEFT($C$5,2)&amp;"输出",标准坦克设计!$B$23:$U$23,0)))*(VLOOKUP($B171,INDIRECT($B$5&amp;"生成成长"),3))*(VLOOKUP($B$5,标准坦克设计!$B$14:$K$20,9)/30))</f>
        <v>3.410767001594357</v>
      </c>
      <c r="DQ171" s="173">
        <f ca="1">(VLOOKUP(DQ$72,INDIRECT($C$5&amp;"生成成长"),2))/((VLOOKUP($B171,INDIRECT($B$5&amp;"生成成长"),4))/(VLOOKUP(DQ$72,INDIRECT($C$5&amp;"生成成长"),5))*(VLOOKUP($B$5,标准坦克设计!$B$24:$U$30,MATCH("对"&amp;LEFT($C$5,2)&amp;"输出",标准坦克设计!$B$23:$U$23,0)))*(VLOOKUP($B171,INDIRECT($B$5&amp;"生成成长"),3))*(VLOOKUP($B$5,标准坦克设计!$B$14:$K$20,9)/30))</f>
        <v>3.7199037132581902</v>
      </c>
      <c r="DR171" s="173">
        <f ca="1">(VLOOKUP(DR$72,INDIRECT($C$5&amp;"生成成长"),2))/((VLOOKUP($B171,INDIRECT($B$5&amp;"生成成长"),4))/(VLOOKUP(DR$72,INDIRECT($C$5&amp;"生成成长"),5))*(VLOOKUP($B$5,标准坦克设计!$B$24:$U$30,MATCH("对"&amp;LEFT($C$5,2)&amp;"输出",标准坦克设计!$B$23:$U$23,0)))*(VLOOKUP($B171,INDIRECT($B$5&amp;"生成成长"),3))*(VLOOKUP($B$5,标准坦克设计!$B$14:$K$20,9)/30))</f>
        <v>4.0424487642231064</v>
      </c>
      <c r="DS171" s="173">
        <f ca="1">(VLOOKUP(DS$72,INDIRECT($C$5&amp;"生成成长"),2))/((VLOOKUP($B171,INDIRECT($B$5&amp;"生成成长"),4))/(VLOOKUP(DS$72,INDIRECT($C$5&amp;"生成成长"),5))*(VLOOKUP($B$5,标准坦克设计!$B$24:$U$30,MATCH("对"&amp;LEFT($C$5,2)&amp;"输出",标准坦克设计!$B$23:$U$23,0)))*(VLOOKUP($B171,INDIRECT($B$5&amp;"生成成长"),3))*(VLOOKUP($B$5,标准坦克设计!$B$14:$K$20,9)/30))</f>
        <v>4.3784021544891036</v>
      </c>
      <c r="DT171" s="173">
        <f ca="1">(VLOOKUP(DT$72,INDIRECT($C$5&amp;"生成成长"),2))/((VLOOKUP($B171,INDIRECT($B$5&amp;"生成成长"),4))/(VLOOKUP(DT$72,INDIRECT($C$5&amp;"生成成长"),5))*(VLOOKUP($B$5,标准坦克设计!$B$24:$U$30,MATCH("对"&amp;LEFT($C$5,2)&amp;"输出",标准坦克设计!$B$23:$U$23,0)))*(VLOOKUP($B171,INDIRECT($B$5&amp;"生成成长"),3))*(VLOOKUP($B$5,标准坦克设计!$B$14:$K$20,9)/30))</f>
        <v>4.8072207095440769</v>
      </c>
      <c r="DU171" s="173">
        <f ca="1">(VLOOKUP(DU$72,INDIRECT($C$5&amp;"生成成长"),2))/((VLOOKUP($B171,INDIRECT($B$5&amp;"生成成长"),4))/(VLOOKUP(DU$72,INDIRECT($C$5&amp;"生成成长"),5))*(VLOOKUP($B$5,标准坦克设计!$B$24:$U$30,MATCH("对"&amp;LEFT($C$5,2)&amp;"输出",标准坦克设计!$B$23:$U$23,0)))*(VLOOKUP($B171,INDIRECT($B$5&amp;"生成成长"),3))*(VLOOKUP($B$5,标准坦克设计!$B$14:$K$20,9)/30))</f>
        <v>5.2560690060241217</v>
      </c>
      <c r="DV171" s="173">
        <f ca="1">(VLOOKUP(DV$72,INDIRECT($C$5&amp;"生成成长"),2))/((VLOOKUP($B171,INDIRECT($B$5&amp;"生成成长"),4))/(VLOOKUP(DV$72,INDIRECT($C$5&amp;"生成成长"),5))*(VLOOKUP($B$5,标准坦克设计!$B$24:$U$30,MATCH("对"&amp;LEFT($C$5,2)&amp;"输出",标准坦克设计!$B$23:$U$23,0)))*(VLOOKUP($B171,INDIRECT($B$5&amp;"生成成长"),3))*(VLOOKUP($B$5,标准坦克设计!$B$14:$K$20,9)/30))</f>
        <v>5.7249470439292409</v>
      </c>
      <c r="DW171" s="173">
        <f ca="1">(VLOOKUP(DW$72,INDIRECT($C$5&amp;"生成成长"),2))/((VLOOKUP($B171,INDIRECT($B$5&amp;"生成成长"),4))/(VLOOKUP(DW$72,INDIRECT($C$5&amp;"生成成长"),5))*(VLOOKUP($B$5,标准坦克设计!$B$24:$U$30,MATCH("对"&amp;LEFT($C$5,2)&amp;"输出",标准坦克设计!$B$23:$U$23,0)))*(VLOOKUP($B171,INDIRECT($B$5&amp;"生成成长"),3))*(VLOOKUP($B$5,标准坦克设计!$B$14:$K$20,9)/30))</f>
        <v>6.2138548232594326</v>
      </c>
      <c r="DX171" s="173">
        <f ca="1">(VLOOKUP(DX$72,INDIRECT($C$5&amp;"生成成长"),2))/((VLOOKUP($B171,INDIRECT($B$5&amp;"生成成长"),4))/(VLOOKUP(DX$72,INDIRECT($C$5&amp;"生成成长"),5))*(VLOOKUP($B$5,标准坦克设计!$B$24:$U$30,MATCH("对"&amp;LEFT($C$5,2)&amp;"输出",标准坦克设计!$B$23:$U$23,0)))*(VLOOKUP($B171,INDIRECT($B$5&amp;"生成成长"),3))*(VLOOKUP($B$5,标准坦克设计!$B$14:$K$20,9)/30))</f>
        <v>6.7227923440146977</v>
      </c>
      <c r="DY171" s="173">
        <f ca="1">(VLOOKUP(DY$72,INDIRECT($C$5&amp;"生成成长"),2))/((VLOOKUP($B171,INDIRECT($B$5&amp;"生成成长"),4))/(VLOOKUP(DY$72,INDIRECT($C$5&amp;"生成成长"),5))*(VLOOKUP($B$5,标准坦克设计!$B$24:$U$30,MATCH("对"&amp;LEFT($C$5,2)&amp;"输出",标准坦克设计!$B$23:$U$23,0)))*(VLOOKUP($B171,INDIRECT($B$5&amp;"生成成长"),3))*(VLOOKUP($B$5,标准坦克设计!$B$14:$K$20,9)/30))</f>
        <v>3.019442136066484</v>
      </c>
      <c r="DZ171" s="173">
        <f ca="1">(VLOOKUP(DZ$72,INDIRECT($C$5&amp;"生成成长"),2))/((VLOOKUP($B171,INDIRECT($B$5&amp;"生成成长"),4))/(VLOOKUP(DZ$72,INDIRECT($C$5&amp;"生成成长"),5))*(VLOOKUP($B$5,标准坦克设计!$B$24:$U$30,MATCH("对"&amp;LEFT($C$5,2)&amp;"输出",标准坦克设计!$B$23:$U$23,0)))*(VLOOKUP($B171,INDIRECT($B$5&amp;"生成成长"),3))*(VLOOKUP($B$5,标准坦克设计!$B$14:$K$20,9)/30))</f>
        <v>3.3438908401420471</v>
      </c>
      <c r="EA171" s="173">
        <f ca="1">(VLOOKUP(EA$72,INDIRECT($C$5&amp;"生成成长"),2))/((VLOOKUP($B171,INDIRECT($B$5&amp;"生成成长"),4))/(VLOOKUP(EA$72,INDIRECT($C$5&amp;"生成成长"),5))*(VLOOKUP($B$5,标准坦克设计!$B$24:$U$30,MATCH("对"&amp;LEFT($C$5,2)&amp;"输出",标准坦克设计!$B$23:$U$23,0)))*(VLOOKUP($B171,INDIRECT($B$5&amp;"生成成长"),3))*(VLOOKUP($B$5,标准坦克设计!$B$14:$K$20,9)/30))</f>
        <v>3.6848930495275876</v>
      </c>
      <c r="EB171" s="173">
        <f ca="1">(VLOOKUP(EB$72,INDIRECT($C$5&amp;"生成成长"),2))/((VLOOKUP($B171,INDIRECT($B$5&amp;"生成成长"),4))/(VLOOKUP(EB$72,INDIRECT($C$5&amp;"生成成长"),5))*(VLOOKUP($B$5,标准坦克设计!$B$24:$U$30,MATCH("对"&amp;LEFT($C$5,2)&amp;"输出",标准坦克设计!$B$23:$U$23,0)))*(VLOOKUP($B171,INDIRECT($B$5&amp;"生成成长"),3))*(VLOOKUP($B$5,标准坦克设计!$B$14:$K$20,9)/30))</f>
        <v>4.0424487642231064</v>
      </c>
      <c r="EC171" s="173">
        <f ca="1">(VLOOKUP(EC$72,INDIRECT($C$5&amp;"生成成长"),2))/((VLOOKUP($B171,INDIRECT($B$5&amp;"生成成长"),4))/(VLOOKUP(EC$72,INDIRECT($C$5&amp;"生成成长"),5))*(VLOOKUP($B$5,标准坦克设计!$B$24:$U$30,MATCH("对"&amp;LEFT($C$5,2)&amp;"输出",标准坦克设计!$B$23:$U$23,0)))*(VLOOKUP($B171,INDIRECT($B$5&amp;"生成成长"),3))*(VLOOKUP($B$5,标准坦克设计!$B$14:$K$20,9)/30))</f>
        <v>4.4165579842286018</v>
      </c>
      <c r="ED171" s="173">
        <f ca="1">(VLOOKUP(ED$72,INDIRECT($C$5&amp;"生成成长"),2))/((VLOOKUP($B171,INDIRECT($B$5&amp;"生成成长"),4))/(VLOOKUP(ED$72,INDIRECT($C$5&amp;"生成成长"),5))*(VLOOKUP($B$5,标准坦克设计!$B$24:$U$30,MATCH("对"&amp;LEFT($C$5,2)&amp;"输出",标准坦克设计!$B$23:$U$23,0)))*(VLOOKUP($B171,INDIRECT($B$5&amp;"生成成长"),3))*(VLOOKUP($B$5,标准坦克设计!$B$14:$K$20,9)/30))</f>
        <v>4.8072207095440769</v>
      </c>
      <c r="EE171" s="173">
        <f ca="1">(VLOOKUP(EE$72,INDIRECT($C$5&amp;"生成成长"),2))/((VLOOKUP($B171,INDIRECT($B$5&amp;"生成成长"),4))/(VLOOKUP(EE$72,INDIRECT($C$5&amp;"生成成长"),5))*(VLOOKUP($B$5,标准坦克设计!$B$24:$U$30,MATCH("对"&amp;LEFT($C$5,2)&amp;"输出",标准坦克设计!$B$23:$U$23,0)))*(VLOOKUP($B171,INDIRECT($B$5&amp;"生成成长"),3))*(VLOOKUP($B$5,标准坦克设计!$B$14:$K$20,9)/30))</f>
        <v>5.2144369401695281</v>
      </c>
      <c r="EF171" s="173">
        <f ca="1">(VLOOKUP(EF$72,INDIRECT($C$5&amp;"生成成长"),2))/((VLOOKUP($B171,INDIRECT($B$5&amp;"生成成长"),4))/(VLOOKUP(EF$72,INDIRECT($C$5&amp;"生成成长"),5))*(VLOOKUP($B$5,标准坦克设计!$B$24:$U$30,MATCH("对"&amp;LEFT($C$5,2)&amp;"输出",标准坦克设计!$B$23:$U$23,0)))*(VLOOKUP($B171,INDIRECT($B$5&amp;"生成成长"),3))*(VLOOKUP($B$5,标准坦克设计!$B$14:$K$20,9)/30))</f>
        <v>5.6382066761049572</v>
      </c>
      <c r="EG171" s="173">
        <f ca="1">(VLOOKUP(EG$72,INDIRECT($C$5&amp;"生成成长"),2))/((VLOOKUP($B171,INDIRECT($B$5&amp;"生成成长"),4))/(VLOOKUP(EG$72,INDIRECT($C$5&amp;"生成成长"),5))*(VLOOKUP($B$5,标准坦克设计!$B$24:$U$30,MATCH("对"&amp;LEFT($C$5,2)&amp;"输出",标准坦克设计!$B$23:$U$23,0)))*(VLOOKUP($B171,INDIRECT($B$5&amp;"生成成长"),3))*(VLOOKUP($B$5,标准坦克设计!$B$14:$K$20,9)/30))</f>
        <v>6.0785299173503633</v>
      </c>
      <c r="EH171" s="173">
        <f ca="1">(VLOOKUP(EH$72,INDIRECT($C$5&amp;"生成成长"),2))/((VLOOKUP($B171,INDIRECT($B$5&amp;"生成成长"),4))/(VLOOKUP(EH$72,INDIRECT($C$5&amp;"生成成长"),5))*(VLOOKUP($B$5,标准坦克设计!$B$24:$U$30,MATCH("对"&amp;LEFT($C$5,2)&amp;"输出",标准坦克设计!$B$23:$U$23,0)))*(VLOOKUP($B171,INDIRECT($B$5&amp;"生成成长"),3))*(VLOOKUP($B$5,标准坦克设计!$B$14:$K$20,9)/30))</f>
        <v>6.5354066639057473</v>
      </c>
      <c r="EI171" s="173">
        <f ca="1">(VLOOKUP(EI$72,INDIRECT($C$5&amp;"生成成长"),2))/((VLOOKUP($B171,INDIRECT($B$5&amp;"生成成长"),4))/(VLOOKUP(EI$72,INDIRECT($C$5&amp;"生成成长"),5))*(VLOOKUP($B$5,标准坦克设计!$B$24:$U$30,MATCH("对"&amp;LEFT($C$5,2)&amp;"输出",标准坦克设计!$B$23:$U$23,0)))*(VLOOKUP($B171,INDIRECT($B$5&amp;"生成成长"),3))*(VLOOKUP($B$5,标准坦克设计!$B$14:$K$20,9)/30))</f>
        <v>7.008836915771111</v>
      </c>
      <c r="EJ171" s="173">
        <f ca="1">(VLOOKUP(EJ$72,INDIRECT($C$5&amp;"生成成长"),2))/((VLOOKUP($B171,INDIRECT($B$5&amp;"生成成长"),4))/(VLOOKUP(EJ$72,INDIRECT($C$5&amp;"生成成长"),5))*(VLOOKUP($B$5,标准坦克设计!$B$24:$U$30,MATCH("对"&amp;LEFT($C$5,2)&amp;"输出",标准坦克设计!$B$23:$U$23,0)))*(VLOOKUP($B171,INDIRECT($B$5&amp;"生成成长"),3))*(VLOOKUP($B$5,标准坦克设计!$B$14:$K$20,9)/30))</f>
        <v>7.4988206729464517</v>
      </c>
      <c r="EK171" s="173">
        <f ca="1">(VLOOKUP(EK$72,INDIRECT($C$5&amp;"生成成长"),2))/((VLOOKUP($B171,INDIRECT($B$5&amp;"生成成长"),4))/(VLOOKUP(EK$72,INDIRECT($C$5&amp;"生成成长"),5))*(VLOOKUP($B$5,标准坦克设计!$B$24:$U$30,MATCH("对"&amp;LEFT($C$5,2)&amp;"输出",标准坦克设计!$B$23:$U$23,0)))*(VLOOKUP($B171,INDIRECT($B$5&amp;"生成成长"),3))*(VLOOKUP($B$5,标准坦克设计!$B$14:$K$20,9)/30))</f>
        <v>8.1086518085660284</v>
      </c>
      <c r="EL171" s="173">
        <f ca="1">(VLOOKUP(EL$72,INDIRECT($C$5&amp;"生成成长"),2))/((VLOOKUP($B171,INDIRECT($B$5&amp;"生成成长"),4))/(VLOOKUP(EL$72,INDIRECT($C$5&amp;"生成成长"),5))*(VLOOKUP($B$5,标准坦克设计!$B$24:$U$30,MATCH("对"&amp;LEFT($C$5,2)&amp;"输出",标准坦克设计!$B$23:$U$23,0)))*(VLOOKUP($B171,INDIRECT($B$5&amp;"生成成长"),3))*(VLOOKUP($B$5,标准坦克设计!$B$14:$K$20,9)/30))</f>
        <v>8.7423199918319767</v>
      </c>
      <c r="EM171" s="173">
        <f ca="1">(VLOOKUP(EM$72,INDIRECT($C$5&amp;"生成成长"),2))/((VLOOKUP($B171,INDIRECT($B$5&amp;"生成成长"),4))/(VLOOKUP(EM$72,INDIRECT($C$5&amp;"生成成长"),5))*(VLOOKUP($B$5,标准坦克设计!$B$24:$U$30,MATCH("对"&amp;LEFT($C$5,2)&amp;"输出",标准坦克设计!$B$23:$U$23,0)))*(VLOOKUP($B171,INDIRECT($B$5&amp;"生成成长"),3))*(VLOOKUP($B$5,标准坦克设计!$B$14:$K$20,9)/30))</f>
        <v>9.3998252227442922</v>
      </c>
      <c r="EN171" s="173">
        <f ca="1">(VLOOKUP(EN$72,INDIRECT($C$5&amp;"生成成长"),2))/((VLOOKUP($B171,INDIRECT($B$5&amp;"生成成长"),4))/(VLOOKUP(EN$72,INDIRECT($C$5&amp;"生成成长"),5))*(VLOOKUP($B$5,标准坦克设计!$B$24:$U$30,MATCH("对"&amp;LEFT($C$5,2)&amp;"输出",标准坦克设计!$B$23:$U$23,0)))*(VLOOKUP($B171,INDIRECT($B$5&amp;"生成成长"),3))*(VLOOKUP($B$5,标准坦克设计!$B$14:$K$20,9)/30))</f>
        <v>10.081167501302975</v>
      </c>
      <c r="EO171" s="173">
        <f ca="1">(VLOOKUP(EO$72,INDIRECT($C$5&amp;"生成成长"),2))/((VLOOKUP($B171,INDIRECT($B$5&amp;"生成成长"),4))/(VLOOKUP(EO$72,INDIRECT($C$5&amp;"生成成长"),5))*(VLOOKUP($B$5,标准坦克设计!$B$24:$U$30,MATCH("对"&amp;LEFT($C$5,2)&amp;"输出",标准坦克设计!$B$23:$U$23,0)))*(VLOOKUP($B171,INDIRECT($B$5&amp;"生成成长"),3))*(VLOOKUP($B$5,标准坦克设计!$B$14:$K$20,9)/30))</f>
        <v>10.786346827508025</v>
      </c>
      <c r="EP171" s="173">
        <f ca="1">(VLOOKUP(EP$72,INDIRECT($C$5&amp;"生成成长"),2))/((VLOOKUP($B171,INDIRECT($B$5&amp;"生成成长"),4))/(VLOOKUP(EP$72,INDIRECT($C$5&amp;"生成成长"),5))*(VLOOKUP($B$5,标准坦克设计!$B$24:$U$30,MATCH("对"&amp;LEFT($C$5,2)&amp;"输出",标准坦克设计!$B$23:$U$23,0)))*(VLOOKUP($B171,INDIRECT($B$5&amp;"生成成长"),3))*(VLOOKUP($B$5,标准坦克设计!$B$14:$K$20,9)/30))</f>
        <v>11.515363201359444</v>
      </c>
      <c r="EQ171" s="173">
        <f ca="1">(VLOOKUP(EQ$72,INDIRECT($C$5&amp;"生成成长"),2))/((VLOOKUP($B171,INDIRECT($B$5&amp;"生成成长"),4))/(VLOOKUP(EQ$72,INDIRECT($C$5&amp;"生成成长"),5))*(VLOOKUP($B$5,标准坦克设计!$B$24:$U$30,MATCH("对"&amp;LEFT($C$5,2)&amp;"输出",标准坦克设计!$B$23:$U$23,0)))*(VLOOKUP($B171,INDIRECT($B$5&amp;"生成成长"),3))*(VLOOKUP($B$5,标准坦克设计!$B$14:$K$20,9)/30))</f>
        <v>5.0905339529243454</v>
      </c>
      <c r="ER171" s="173">
        <f ca="1">(VLOOKUP(ER$72,INDIRECT($C$5&amp;"生成成长"),2))/((VLOOKUP($B171,INDIRECT($B$5&amp;"生成成长"),4))/(VLOOKUP(ER$72,INDIRECT($C$5&amp;"生成成长"),5))*(VLOOKUP($B$5,标准坦克设计!$B$24:$U$30,MATCH("对"&amp;LEFT($C$5,2)&amp;"输出",标准坦克设计!$B$23:$U$23,0)))*(VLOOKUP($B171,INDIRECT($B$5&amp;"生成成长"),3))*(VLOOKUP($B$5,标准坦克设计!$B$14:$K$20,9)/30))</f>
        <v>5.5521284484930726</v>
      </c>
      <c r="ES171" s="173">
        <f ca="1">(VLOOKUP(ES$72,INDIRECT($C$5&amp;"生成成长"),2))/((VLOOKUP($B171,INDIRECT($B$5&amp;"生成成长"),4))/(VLOOKUP(ES$72,INDIRECT($C$5&amp;"生成成长"),5))*(VLOOKUP($B$5,标准坦克设计!$B$24:$U$30,MATCH("对"&amp;LEFT($C$5,2)&amp;"输出",标准坦克设计!$B$23:$U$23,0)))*(VLOOKUP($B171,INDIRECT($B$5&amp;"生成成长"),3))*(VLOOKUP($B$5,标准坦克设计!$B$14:$K$20,9)/30))</f>
        <v>6.0337526854868742</v>
      </c>
      <c r="ET171" s="173">
        <f ca="1">(VLOOKUP(ET$72,INDIRECT($C$5&amp;"生成成长"),2))/((VLOOKUP($B171,INDIRECT($B$5&amp;"生成成长"),4))/(VLOOKUP(ET$72,INDIRECT($C$5&amp;"生成成长"),5))*(VLOOKUP($B$5,标准坦克设计!$B$24:$U$30,MATCH("对"&amp;LEFT($C$5,2)&amp;"输出",标准坦克设计!$B$23:$U$23,0)))*(VLOOKUP($B171,INDIRECT($B$5&amp;"生成成长"),3))*(VLOOKUP($B$5,标准坦克设计!$B$14:$K$20,9)/30))</f>
        <v>6.5354066639057473</v>
      </c>
      <c r="EU171" s="173">
        <f ca="1">(VLOOKUP(EU$72,INDIRECT($C$5&amp;"生成成长"),2))/((VLOOKUP($B171,INDIRECT($B$5&amp;"生成成长"),4))/(VLOOKUP(EU$72,INDIRECT($C$5&amp;"生成成长"),5))*(VLOOKUP($B$5,标准坦克设计!$B$24:$U$30,MATCH("对"&amp;LEFT($C$5,2)&amp;"输出",标准坦克设计!$B$23:$U$23,0)))*(VLOOKUP($B171,INDIRECT($B$5&amp;"生成成长"),3))*(VLOOKUP($B$5,标准坦克设计!$B$14:$K$20,9)/30))</f>
        <v>7.0570903837496974</v>
      </c>
      <c r="EV171" s="173">
        <f ca="1">(VLOOKUP(EV$72,INDIRECT($C$5&amp;"生成成长"),2))/((VLOOKUP($B171,INDIRECT($B$5&amp;"生成成长"),4))/(VLOOKUP(EV$72,INDIRECT($C$5&amp;"生成成长"),5))*(VLOOKUP($B$5,标准坦克设计!$B$24:$U$30,MATCH("对"&amp;LEFT($C$5,2)&amp;"输出",标准坦克设计!$B$23:$U$23,0)))*(VLOOKUP($B171,INDIRECT($B$5&amp;"生成成长"),3))*(VLOOKUP($B$5,标准坦克设计!$B$14:$K$20,9)/30))</f>
        <v>7.5988038450187174</v>
      </c>
      <c r="EW171" s="173">
        <f ca="1">(VLOOKUP(EW$72,INDIRECT($C$5&amp;"生成成长"),2))/((VLOOKUP($B171,INDIRECT($B$5&amp;"生成成长"),4))/(VLOOKUP(EW$72,INDIRECT($C$5&amp;"生成成长"),5))*(VLOOKUP($B$5,标准坦克设计!$B$24:$U$30,MATCH("对"&amp;LEFT($C$5,2)&amp;"输出",标准坦克设计!$B$23:$U$23,0)))*(VLOOKUP($B171,INDIRECT($B$5&amp;"生成成长"),3))*(VLOOKUP($B$5,标准坦克设计!$B$14:$K$20,9)/30))</f>
        <v>8.1605470477128108</v>
      </c>
      <c r="EX171" s="173">
        <f ca="1">(VLOOKUP(EX$72,INDIRECT($C$5&amp;"生成成长"),2))/((VLOOKUP($B171,INDIRECT($B$5&amp;"生成成长"),4))/(VLOOKUP(EX$72,INDIRECT($C$5&amp;"生成成长"),5))*(VLOOKUP($B$5,标准坦克设计!$B$24:$U$30,MATCH("对"&amp;LEFT($C$5,2)&amp;"输出",标准坦克设计!$B$23:$U$23,0)))*(VLOOKUP($B171,INDIRECT($B$5&amp;"生成成长"),3))*(VLOOKUP($B$5,标准坦克设计!$B$14:$K$20,9)/30))</f>
        <v>8.7423199918319767</v>
      </c>
      <c r="EY171" s="173">
        <f ca="1">(VLOOKUP(EY$72,INDIRECT($C$5&amp;"生成成长"),2))/((VLOOKUP($B171,INDIRECT($B$5&amp;"生成成长"),4))/(VLOOKUP(EY$72,INDIRECT($C$5&amp;"生成成长"),5))*(VLOOKUP($B$5,标准坦克设计!$B$24:$U$30,MATCH("对"&amp;LEFT($C$5,2)&amp;"输出",标准坦克设计!$B$23:$U$23,0)))*(VLOOKUP($B171,INDIRECT($B$5&amp;"生成成长"),3))*(VLOOKUP($B$5,标准坦克设计!$B$14:$K$20,9)/30))</f>
        <v>9.344122677376216</v>
      </c>
      <c r="EZ171" s="173">
        <f ca="1">(VLOOKUP(EZ$72,INDIRECT($C$5&amp;"生成成长"),2))/((VLOOKUP($B171,INDIRECT($B$5&amp;"生成成长"),4))/(VLOOKUP(EZ$72,INDIRECT($C$5&amp;"生成成长"),5))*(VLOOKUP($B$5,标准坦克设计!$B$24:$U$30,MATCH("对"&amp;LEFT($C$5,2)&amp;"输出",标准坦克设计!$B$23:$U$23,0)))*(VLOOKUP($B171,INDIRECT($B$5&amp;"生成成长"),3))*(VLOOKUP($B$5,标准坦克设计!$B$14:$K$20,9)/30))</f>
        <v>9.9659551043455288</v>
      </c>
      <c r="FA171" s="173">
        <f ca="1">(VLOOKUP(FA$72,INDIRECT($C$5&amp;"生成成长"),2))/((VLOOKUP($B171,INDIRECT($B$5&amp;"生成成长"),4))/(VLOOKUP(FA$72,INDIRECT($C$5&amp;"生成成长"),5))*(VLOOKUP($B$5,标准坦克设计!$B$24:$U$30,MATCH("对"&amp;LEFT($C$5,2)&amp;"输出",标准坦克设计!$B$23:$U$23,0)))*(VLOOKUP($B171,INDIRECT($B$5&amp;"生成成长"),3))*(VLOOKUP($B$5,标准坦克设计!$B$14:$K$20,9)/30))</f>
        <v>10.607817272739915</v>
      </c>
      <c r="FB171" s="173">
        <f ca="1">(VLOOKUP(FB$72,INDIRECT($C$5&amp;"生成成长"),2))/((VLOOKUP($B171,INDIRECT($B$5&amp;"生成成长"),4))/(VLOOKUP(FB$72,INDIRECT($C$5&amp;"生成成长"),5))*(VLOOKUP($B$5,标准坦克设计!$B$24:$U$30,MATCH("对"&amp;LEFT($C$5,2)&amp;"输出",标准坦克设计!$B$23:$U$23,0)))*(VLOOKUP($B171,INDIRECT($B$5&amp;"生成成长"),3))*(VLOOKUP($B$5,标准坦克设计!$B$14:$K$20,9)/30))</f>
        <v>11.269709182559374</v>
      </c>
      <c r="FC171" s="173">
        <f ca="1">(VLOOKUP(FC$72,INDIRECT($C$5&amp;"生成成长"),2))/((VLOOKUP($B171,INDIRECT($B$5&amp;"生成成长"),4))/(VLOOKUP(FC$72,INDIRECT($C$5&amp;"生成成长"),5))*(VLOOKUP($B$5,标准坦克设计!$B$24:$U$30,MATCH("对"&amp;LEFT($C$5,2)&amp;"输出",标准坦克设计!$B$23:$U$23,0)))*(VLOOKUP($B171,INDIRECT($B$5&amp;"生成成长"),3))*(VLOOKUP($B$5,标准坦克设计!$B$14:$K$20,9)/30))</f>
        <v>11.951630833803904</v>
      </c>
      <c r="FD171" s="173">
        <f ca="1">(VLOOKUP(FD$72,INDIRECT($C$5&amp;"生成成长"),2))/((VLOOKUP($B171,INDIRECT($B$5&amp;"生成成长"),4))/(VLOOKUP(FD$72,INDIRECT($C$5&amp;"生成成长"),5))*(VLOOKUP($B$5,标准坦克设计!$B$24:$U$30,MATCH("对"&amp;LEFT($C$5,2)&amp;"输出",标准坦克设计!$B$23:$U$23,0)))*(VLOOKUP($B171,INDIRECT($B$5&amp;"生成成长"),3))*(VLOOKUP($B$5,标准坦克设计!$B$14:$K$20,9)/30))</f>
        <v>12.653582226473508</v>
      </c>
      <c r="FE171" s="173">
        <f ca="1">(VLOOKUP(FE$72,INDIRECT($C$5&amp;"生成成长"),2))/((VLOOKUP($B171,INDIRECT($B$5&amp;"生成成长"),4))/(VLOOKUP(FE$72,INDIRECT($C$5&amp;"生成成长"),5))*(VLOOKUP($B$5,标准坦克设计!$B$24:$U$30,MATCH("对"&amp;LEFT($C$5,2)&amp;"输出",标准坦克设计!$B$23:$U$23,0)))*(VLOOKUP($B171,INDIRECT($B$5&amp;"生成成长"),3))*(VLOOKUP($B$5,标准坦克设计!$B$14:$K$20,9)/30))</f>
        <v>13.508984613366607</v>
      </c>
      <c r="FF171" s="173">
        <f ca="1">(VLOOKUP(FF$72,INDIRECT($C$5&amp;"生成成长"),2))/((VLOOKUP($B171,INDIRECT($B$5&amp;"生成成长"),4))/(VLOOKUP(FF$72,INDIRECT($C$5&amp;"生成成长"),5))*(VLOOKUP($B$5,标准坦克设计!$B$24:$U$30,MATCH("对"&amp;LEFT($C$5,2)&amp;"输出",标准坦克设计!$B$23:$U$23,0)))*(VLOOKUP($B171,INDIRECT($B$5&amp;"生成成长"),3))*(VLOOKUP($B$5,标准坦克设计!$B$14:$K$20,9)/30))</f>
        <v>14.392362424233568</v>
      </c>
      <c r="FG171" s="173">
        <f ca="1">(VLOOKUP(FG$72,INDIRECT($C$5&amp;"生成成长"),2))/((VLOOKUP($B171,INDIRECT($B$5&amp;"生成成长"),4))/(VLOOKUP(FG$72,INDIRECT($C$5&amp;"生成成长"),5))*(VLOOKUP($B$5,标准坦克设计!$B$24:$U$30,MATCH("对"&amp;LEFT($C$5,2)&amp;"输出",标准坦克设计!$B$23:$U$23,0)))*(VLOOKUP($B171,INDIRECT($B$5&amp;"生成成长"),3))*(VLOOKUP($B$5,标准坦克设计!$B$14:$K$20,9)/30))</f>
        <v>15.303715659074392</v>
      </c>
      <c r="FH171" s="173">
        <f ca="1">(VLOOKUP(FH$72,INDIRECT($C$5&amp;"生成成长"),2))/((VLOOKUP($B171,INDIRECT($B$5&amp;"生成成长"),4))/(VLOOKUP(FH$72,INDIRECT($C$5&amp;"生成成长"),5))*(VLOOKUP($B$5,标准坦克设计!$B$24:$U$30,MATCH("对"&amp;LEFT($C$5,2)&amp;"输出",标准坦克设计!$B$23:$U$23,0)))*(VLOOKUP($B171,INDIRECT($B$5&amp;"生成成长"),3))*(VLOOKUP($B$5,标准坦克设计!$B$14:$K$20,9)/30))</f>
        <v>16.243044317889076</v>
      </c>
      <c r="FI171" s="173">
        <f ca="1">(VLOOKUP(FI$72,INDIRECT($C$5&amp;"生成成长"),2))/((VLOOKUP($B171,INDIRECT($B$5&amp;"生成成长"),4))/(VLOOKUP(FI$72,INDIRECT($C$5&amp;"生成成长"),5))*(VLOOKUP($B$5,标准坦克设计!$B$24:$U$30,MATCH("对"&amp;LEFT($C$5,2)&amp;"输出",标准坦克设计!$B$23:$U$23,0)))*(VLOOKUP($B171,INDIRECT($B$5&amp;"生成成长"),3))*(VLOOKUP($B$5,标准坦克设计!$B$14:$K$20,9)/30))</f>
        <v>17.210348400677621</v>
      </c>
      <c r="FJ171" s="173">
        <f ca="1">(VLOOKUP(FJ$72,INDIRECT($C$5&amp;"生成成长"),2))/((VLOOKUP($B171,INDIRECT($B$5&amp;"生成成长"),4))/(VLOOKUP(FJ$72,INDIRECT($C$5&amp;"生成成长"),5))*(VLOOKUP($B$5,标准坦克设计!$B$24:$U$30,MATCH("对"&amp;LEFT($C$5,2)&amp;"输出",标准坦克设计!$B$23:$U$23,0)))*(VLOOKUP($B171,INDIRECT($B$5&amp;"生成成长"),3))*(VLOOKUP($B$5,标准坦克设计!$B$14:$K$20,9)/30))</f>
        <v>18.205627907440032</v>
      </c>
      <c r="FK171" s="173">
        <f ca="1">(VLOOKUP(FK$72,INDIRECT($C$5&amp;"生成成长"),2))/((VLOOKUP($B171,INDIRECT($B$5&amp;"生成成长"),4))/(VLOOKUP(FK$72,INDIRECT($C$5&amp;"生成成长"),5))*(VLOOKUP($B$5,标准坦克设计!$B$24:$U$30,MATCH("对"&amp;LEFT($C$5,2)&amp;"输出",标准坦克设计!$B$23:$U$23,0)))*(VLOOKUP($B171,INDIRECT($B$5&amp;"生成成长"),3))*(VLOOKUP($B$5,标准坦克设计!$B$14:$K$20,9)/30))</f>
        <v>19.228882838176308</v>
      </c>
    </row>
    <row r="172" spans="1:167" x14ac:dyDescent="0.15">
      <c r="A172" s="171" t="str">
        <f t="shared" si="12"/>
        <v>T5中品质10级</v>
      </c>
      <c r="B172" s="172">
        <v>20510</v>
      </c>
      <c r="C172" s="173">
        <f ca="1">(VLOOKUP(C$72,INDIRECT($C$5&amp;"生成成长"),2))/((VLOOKUP($B172,INDIRECT($B$5&amp;"生成成长"),4))/(VLOOKUP(C$72,INDIRECT($C$5&amp;"生成成长"),5))*(VLOOKUP($B$5,标准坦克设计!$B$24:$U$30,MATCH("对"&amp;LEFT($C$5,2)&amp;"输出",标准坦克设计!$B$23:$U$23,0)))*(VLOOKUP($B172,INDIRECT($B$5&amp;"生成成长"),3))*(VLOOKUP($B$5,标准坦克设计!$B$14:$K$20,9)/30))</f>
        <v>0.77464575327586704</v>
      </c>
      <c r="D172" s="173">
        <f ca="1">(VLOOKUP(D$72,INDIRECT($C$5&amp;"生成成长"),2))/((VLOOKUP($B172,INDIRECT($B$5&amp;"生成成长"),4))/(VLOOKUP(D$72,INDIRECT($C$5&amp;"生成成长"),5))*(VLOOKUP($B$5,标准坦克设计!$B$24:$U$30,MATCH("对"&amp;LEFT($C$5,2)&amp;"输出",标准坦克设计!$B$23:$U$23,0)))*(VLOOKUP($B172,INDIRECT($B$5&amp;"生成成长"),3))*(VLOOKUP($B$5,标准坦克设计!$B$14:$K$20,9)/30))</f>
        <v>0.87039196838076427</v>
      </c>
      <c r="E172" s="173">
        <f ca="1">(VLOOKUP(E$72,INDIRECT($C$5&amp;"生成成长"),2))/((VLOOKUP($B172,INDIRECT($B$5&amp;"生成成长"),4))/(VLOOKUP(E$72,INDIRECT($C$5&amp;"生成成长"),5))*(VLOOKUP($B$5,标准坦克设计!$B$24:$U$30,MATCH("对"&amp;LEFT($C$5,2)&amp;"输出",标准坦克设计!$B$23:$U$23,0)))*(VLOOKUP($B172,INDIRECT($B$5&amp;"生成成长"),3))*(VLOOKUP($B$5,标准坦克设计!$B$14:$K$20,9)/30))</f>
        <v>0.97171563290924756</v>
      </c>
      <c r="F172" s="173">
        <f ca="1">(VLOOKUP(F$72,INDIRECT($C$5&amp;"生成成长"),2))/((VLOOKUP($B172,INDIRECT($B$5&amp;"生成成长"),4))/(VLOOKUP(F$72,INDIRECT($C$5&amp;"生成成长"),5))*(VLOOKUP($B$5,标准坦克设计!$B$24:$U$30,MATCH("对"&amp;LEFT($C$5,2)&amp;"输出",标准坦克设计!$B$23:$U$23,0)))*(VLOOKUP($B172,INDIRECT($B$5&amp;"生成成长"),3))*(VLOOKUP($B$5,标准坦克设计!$B$14:$K$20,9)/30))</f>
        <v>1.0786167468613173</v>
      </c>
      <c r="G172" s="173">
        <f ca="1">(VLOOKUP(G$72,INDIRECT($C$5&amp;"生成成长"),2))/((VLOOKUP($B172,INDIRECT($B$5&amp;"生成成长"),4))/(VLOOKUP(G$72,INDIRECT($C$5&amp;"生成成长"),5))*(VLOOKUP($B$5,标准坦克设计!$B$24:$U$30,MATCH("对"&amp;LEFT($C$5,2)&amp;"输出",标准坦克设计!$B$23:$U$23,0)))*(VLOOKUP($B172,INDIRECT($B$5&amp;"生成成长"),3))*(VLOOKUP($B$5,标准坦克设计!$B$14:$K$20,9)/30))</f>
        <v>1.191095310236973</v>
      </c>
      <c r="H172" s="173">
        <f ca="1">(VLOOKUP(H$72,INDIRECT($C$5&amp;"生成成长"),2))/((VLOOKUP($B172,INDIRECT($B$5&amp;"生成成长"),4))/(VLOOKUP(H$72,INDIRECT($C$5&amp;"生成成长"),5))*(VLOOKUP($B$5,标准坦克设计!$B$24:$U$30,MATCH("对"&amp;LEFT($C$5,2)&amp;"输出",标准坦克设计!$B$23:$U$23,0)))*(VLOOKUP($B172,INDIRECT($B$5&amp;"生成成长"),3))*(VLOOKUP($B$5,标准坦克设计!$B$14:$K$20,9)/30))</f>
        <v>1.0423633256080067</v>
      </c>
      <c r="I172" s="173">
        <f ca="1">(VLOOKUP(I$72,INDIRECT($C$5&amp;"生成成长"),2))/((VLOOKUP($B172,INDIRECT($B$5&amp;"生成成长"),4))/(VLOOKUP(I$72,INDIRECT($C$5&amp;"生成成长"),5))*(VLOOKUP($B$5,标准坦克设计!$B$24:$U$30,MATCH("对"&amp;LEFT($C$5,2)&amp;"输出",标准坦克设计!$B$23:$U$23,0)))*(VLOOKUP($B172,INDIRECT($B$5&amp;"生成成长"),3))*(VLOOKUP($B$5,标准坦克设计!$B$14:$K$20,9)/30))</f>
        <v>1.191095310236973</v>
      </c>
      <c r="J172" s="173">
        <f ca="1">(VLOOKUP(J$72,INDIRECT($C$5&amp;"生成成长"),2))/((VLOOKUP($B172,INDIRECT($B$5&amp;"生成成长"),4))/(VLOOKUP(J$72,INDIRECT($C$5&amp;"生成成长"),5))*(VLOOKUP($B$5,标准坦克设计!$B$24:$U$30,MATCH("对"&amp;LEFT($C$5,2)&amp;"输出",标准坦克设计!$B$23:$U$23,0)))*(VLOOKUP($B172,INDIRECT($B$5&amp;"生成成长"),3))*(VLOOKUP($B$5,标准坦克设计!$B$14:$K$20,9)/30))</f>
        <v>1.3497427605078707</v>
      </c>
      <c r="K172" s="173">
        <f ca="1">(VLOOKUP(K$72,INDIRECT($C$5&amp;"生成成长"),2))/((VLOOKUP($B172,INDIRECT($B$5&amp;"生成成长"),4))/(VLOOKUP(K$72,INDIRECT($C$5&amp;"生成成长"),5))*(VLOOKUP($B$5,标准坦克设计!$B$24:$U$30,MATCH("对"&amp;LEFT($C$5,2)&amp;"输出",标准坦克设计!$B$23:$U$23,0)))*(VLOOKUP($B172,INDIRECT($B$5&amp;"生成成长"),3))*(VLOOKUP($B$5,标准坦克设计!$B$14:$K$20,9)/30))</f>
        <v>1.518305676420699</v>
      </c>
      <c r="L172" s="173">
        <f ca="1">(VLOOKUP(L$72,INDIRECT($C$5&amp;"生成成长"),2))/((VLOOKUP($B172,INDIRECT($B$5&amp;"生成成长"),4))/(VLOOKUP(L$72,INDIRECT($C$5&amp;"生成成长"),5))*(VLOOKUP($B$5,标准坦克设计!$B$24:$U$30,MATCH("对"&amp;LEFT($C$5,2)&amp;"输出",标准坦克设计!$B$23:$U$23,0)))*(VLOOKUP($B172,INDIRECT($B$5&amp;"生成成长"),3))*(VLOOKUP($B$5,标准坦克设计!$B$14:$K$20,9)/30))</f>
        <v>1.6967840579754592</v>
      </c>
      <c r="M172" s="173">
        <f ca="1">(VLOOKUP(M$72,INDIRECT($C$5&amp;"生成成长"),2))/((VLOOKUP($B172,INDIRECT($B$5&amp;"生成成长"),4))/(VLOOKUP(M$72,INDIRECT($C$5&amp;"生成成长"),5))*(VLOOKUP($B$5,标准坦克设计!$B$24:$U$30,MATCH("对"&amp;LEFT($C$5,2)&amp;"输出",标准坦克设计!$B$23:$U$23,0)))*(VLOOKUP($B172,INDIRECT($B$5&amp;"生成成长"),3))*(VLOOKUP($B$5,标准坦克设计!$B$14:$K$20,9)/30))</f>
        <v>1.88517790517215</v>
      </c>
      <c r="N172" s="173">
        <f ca="1">(VLOOKUP(N$72,INDIRECT($C$5&amp;"生成成长"),2))/((VLOOKUP($B172,INDIRECT($B$5&amp;"生成成长"),4))/(VLOOKUP(N$72,INDIRECT($C$5&amp;"生成成长"),5))*(VLOOKUP($B$5,标准坦克设计!$B$24:$U$30,MATCH("对"&amp;LEFT($C$5,2)&amp;"输出",标准坦克设计!$B$23:$U$23,0)))*(VLOOKUP($B172,INDIRECT($B$5&amp;"生成成长"),3))*(VLOOKUP($B$5,标准坦克设计!$B$14:$K$20,9)/30))</f>
        <v>2.083487218010772</v>
      </c>
      <c r="O172" s="173">
        <f ca="1">(VLOOKUP(O$72,INDIRECT($C$5&amp;"生成成长"),2))/((VLOOKUP($B172,INDIRECT($B$5&amp;"生成成长"),4))/(VLOOKUP(O$72,INDIRECT($C$5&amp;"生成成长"),5))*(VLOOKUP($B$5,标准坦克设计!$B$24:$U$30,MATCH("对"&amp;LEFT($C$5,2)&amp;"输出",标准坦克设计!$B$23:$U$23,0)))*(VLOOKUP($B172,INDIRECT($B$5&amp;"生成成长"),3))*(VLOOKUP($B$5,标准坦克设计!$B$14:$K$20,9)/30))</f>
        <v>1.5840731008738205</v>
      </c>
      <c r="P172" s="173">
        <f ca="1">(VLOOKUP(P$72,INDIRECT($C$5&amp;"生成成长"),2))/((VLOOKUP($B172,INDIRECT($B$5&amp;"生成成长"),4))/(VLOOKUP(P$72,INDIRECT($C$5&amp;"生成成长"),5))*(VLOOKUP($B$5,标准坦克设计!$B$24:$U$30,MATCH("对"&amp;LEFT($C$5,2)&amp;"输出",标准坦克设计!$B$23:$U$23,0)))*(VLOOKUP($B172,INDIRECT($B$5&amp;"生成成长"),3))*(VLOOKUP($B$5,标准坦克设计!$B$14:$K$20,9)/30))</f>
        <v>1.7897415483685633</v>
      </c>
      <c r="Q172" s="173">
        <f ca="1">(VLOOKUP(Q$72,INDIRECT($C$5&amp;"生成成长"),2))/((VLOOKUP($B172,INDIRECT($B$5&amp;"生成成长"),4))/(VLOOKUP(Q$72,INDIRECT($C$5&amp;"生成成长"),5))*(VLOOKUP($B$5,标准坦克设计!$B$24:$U$30,MATCH("对"&amp;LEFT($C$5,2)&amp;"输出",标准坦克设计!$B$23:$U$23,0)))*(VLOOKUP($B172,INDIRECT($B$5&amp;"生成成长"),3))*(VLOOKUP($B$5,标准坦克设计!$B$14:$K$20,9)/30))</f>
        <v>2.0079592570663749</v>
      </c>
      <c r="R172" s="173">
        <f ca="1">(VLOOKUP(R$72,INDIRECT($C$5&amp;"生成成长"),2))/((VLOOKUP($B172,INDIRECT($B$5&amp;"生成成长"),4))/(VLOOKUP(R$72,INDIRECT($C$5&amp;"生成成长"),5))*(VLOOKUP($B$5,标准坦克设计!$B$24:$U$30,MATCH("对"&amp;LEFT($C$5,2)&amp;"输出",标准坦克设计!$B$23:$U$23,0)))*(VLOOKUP($B172,INDIRECT($B$5&amp;"生成成长"),3))*(VLOOKUP($B$5,标准坦克设计!$B$14:$K$20,9)/30))</f>
        <v>2.2387262269672559</v>
      </c>
      <c r="S172" s="173">
        <f ca="1">(VLOOKUP(S$72,INDIRECT($C$5&amp;"生成成长"),2))/((VLOOKUP($B172,INDIRECT($B$5&amp;"生成成长"),4))/(VLOOKUP(S$72,INDIRECT($C$5&amp;"生成成长"),5))*(VLOOKUP($B$5,标准坦克设计!$B$24:$U$30,MATCH("对"&amp;LEFT($C$5,2)&amp;"输出",标准坦克设计!$B$23:$U$23,0)))*(VLOOKUP($B172,INDIRECT($B$5&amp;"生成成长"),3))*(VLOOKUP($B$5,标准坦克设计!$B$14:$K$20,9)/30))</f>
        <v>2.4820424580712057</v>
      </c>
      <c r="T172" s="173">
        <f ca="1">(VLOOKUP(T$72,INDIRECT($C$5&amp;"生成成长"),2))/((VLOOKUP($B172,INDIRECT($B$5&amp;"生成成长"),4))/(VLOOKUP(T$72,INDIRECT($C$5&amp;"生成成长"),5))*(VLOOKUP($B$5,标准坦克设计!$B$24:$U$30,MATCH("对"&amp;LEFT($C$5,2)&amp;"输出",标准坦克设计!$B$23:$U$23,0)))*(VLOOKUP($B172,INDIRECT($B$5&amp;"生成成长"),3))*(VLOOKUP($B$5,标准坦克设计!$B$14:$K$20,9)/30))</f>
        <v>2.7379079503782249</v>
      </c>
      <c r="U172" s="173">
        <f ca="1">(VLOOKUP(U$72,INDIRECT($C$5&amp;"生成成长"),2))/((VLOOKUP($B172,INDIRECT($B$5&amp;"生成成长"),4))/(VLOOKUP(U$72,INDIRECT($C$5&amp;"生成成长"),5))*(VLOOKUP($B$5,标准坦克设计!$B$24:$U$30,MATCH("对"&amp;LEFT($C$5,2)&amp;"输出",标准坦克设计!$B$23:$U$23,0)))*(VLOOKUP($B172,INDIRECT($B$5&amp;"生成成长"),3))*(VLOOKUP($B$5,标准坦克设计!$B$14:$K$20,9)/30))</f>
        <v>3.006322703888312</v>
      </c>
      <c r="V172" s="173">
        <f ca="1">(VLOOKUP(V$72,INDIRECT($C$5&amp;"生成成长"),2))/((VLOOKUP($B172,INDIRECT($B$5&amp;"生成成长"),4))/(VLOOKUP(V$72,INDIRECT($C$5&amp;"生成成长"),5))*(VLOOKUP($B$5,标准坦克设计!$B$24:$U$30,MATCH("对"&amp;LEFT($C$5,2)&amp;"输出",标准坦克设计!$B$23:$U$23,0)))*(VLOOKUP($B172,INDIRECT($B$5&amp;"生成成长"),3))*(VLOOKUP($B$5,标准坦克设计!$B$14:$K$20,9)/30))</f>
        <v>3.2872867186014703</v>
      </c>
      <c r="W172" s="173">
        <f ca="1">(VLOOKUP(W$72,INDIRECT($C$5&amp;"生成成长"),2))/((VLOOKUP($B172,INDIRECT($B$5&amp;"生成成长"),4))/(VLOOKUP(W$72,INDIRECT($C$5&amp;"生成成长"),5))*(VLOOKUP($B$5,标准坦克设计!$B$24:$U$30,MATCH("对"&amp;LEFT($C$5,2)&amp;"输出",标准坦克设计!$B$23:$U$23,0)))*(VLOOKUP($B172,INDIRECT($B$5&amp;"生成成长"),3))*(VLOOKUP($B$5,标准坦克设计!$B$14:$K$20,9)/30))</f>
        <v>3.5807999945176952</v>
      </c>
      <c r="X172" s="173">
        <f ca="1">(VLOOKUP(X$72,INDIRECT($C$5&amp;"生成成长"),2))/((VLOOKUP($B172,INDIRECT($B$5&amp;"生成成长"),4))/(VLOOKUP(X$72,INDIRECT($C$5&amp;"生成成长"),5))*(VLOOKUP($B$5,标准坦克设计!$B$24:$U$30,MATCH("对"&amp;LEFT($C$5,2)&amp;"输出",标准坦克设计!$B$23:$U$23,0)))*(VLOOKUP($B172,INDIRECT($B$5&amp;"生成成长"),3))*(VLOOKUP($B$5,标准坦克设计!$B$14:$K$20,9)/30))</f>
        <v>2.5942111631455509</v>
      </c>
      <c r="Y172" s="173">
        <f ca="1">(VLOOKUP(Y$72,INDIRECT($C$5&amp;"生成成长"),2))/((VLOOKUP($B172,INDIRECT($B$5&amp;"生成成长"),4))/(VLOOKUP(Y$72,INDIRECT($C$5&amp;"生成成长"),5))*(VLOOKUP($B$5,标准坦克设计!$B$24:$U$30,MATCH("对"&amp;LEFT($C$5,2)&amp;"输出",标准坦克设计!$B$23:$U$23,0)))*(VLOOKUP($B172,INDIRECT($B$5&amp;"生成成长"),3))*(VLOOKUP($B$5,标准坦克设计!$B$14:$K$20,9)/30))</f>
        <v>2.8854779663772763</v>
      </c>
      <c r="Z172" s="173">
        <f ca="1">(VLOOKUP(Z$72,INDIRECT($C$5&amp;"生成成长"),2))/((VLOOKUP($B172,INDIRECT($B$5&amp;"生成成长"),4))/(VLOOKUP(Z$72,INDIRECT($C$5&amp;"生成成长"),5))*(VLOOKUP($B$5,标准坦克设计!$B$24:$U$30,MATCH("对"&amp;LEFT($C$5,2)&amp;"输出",标准坦克设计!$B$23:$U$23,0)))*(VLOOKUP($B172,INDIRECT($B$5&amp;"生成成长"),3))*(VLOOKUP($B$5,标准坦克设计!$B$14:$K$20,9)/30))</f>
        <v>3.1922376846745206</v>
      </c>
      <c r="AA172" s="173">
        <f ca="1">(VLOOKUP(AA$72,INDIRECT($C$5&amp;"生成成长"),2))/((VLOOKUP($B172,INDIRECT($B$5&amp;"生成成长"),4))/(VLOOKUP(AA$72,INDIRECT($C$5&amp;"生成成长"),5))*(VLOOKUP($B$5,标准坦克设计!$B$24:$U$30,MATCH("对"&amp;LEFT($C$5,2)&amp;"输出",标准坦克设计!$B$23:$U$23,0)))*(VLOOKUP($B172,INDIRECT($B$5&amp;"生成成长"),3))*(VLOOKUP($B$5,标准坦克设计!$B$14:$K$20,9)/30))</f>
        <v>3.5144903180372813</v>
      </c>
      <c r="AB172" s="173">
        <f ca="1">(VLOOKUP(AB$72,INDIRECT($C$5&amp;"生成成长"),2))/((VLOOKUP($B172,INDIRECT($B$5&amp;"生成成长"),4))/(VLOOKUP(AB$72,INDIRECT($C$5&amp;"生成成长"),5))*(VLOOKUP($B$5,标准坦克设计!$B$24:$U$30,MATCH("对"&amp;LEFT($C$5,2)&amp;"输出",标准坦克设计!$B$23:$U$23,0)))*(VLOOKUP($B172,INDIRECT($B$5&amp;"生成成长"),3))*(VLOOKUP($B$5,标准坦克设计!$B$14:$K$20,9)/30))</f>
        <v>3.8522358664655596</v>
      </c>
      <c r="AC172" s="173">
        <f ca="1">(VLOOKUP(AC$72,INDIRECT($C$5&amp;"生成成长"),2))/((VLOOKUP($B172,INDIRECT($B$5&amp;"生成成长"),4))/(VLOOKUP(AC$72,INDIRECT($C$5&amp;"生成成长"),5))*(VLOOKUP($B$5,标准坦克设计!$B$24:$U$30,MATCH("对"&amp;LEFT($C$5,2)&amp;"输出",标准坦克设计!$B$23:$U$23,0)))*(VLOOKUP($B172,INDIRECT($B$5&amp;"生成成长"),3))*(VLOOKUP($B$5,标准坦克设计!$B$14:$K$20,9)/30))</f>
        <v>4.2054743299593547</v>
      </c>
      <c r="AD172" s="173">
        <f ca="1">(VLOOKUP(AD$72,INDIRECT($C$5&amp;"生成成长"),2))/((VLOOKUP($B172,INDIRECT($B$5&amp;"生成成长"),4))/(VLOOKUP(AD$72,INDIRECT($C$5&amp;"生成成长"),5))*(VLOOKUP($B$5,标准坦克设计!$B$24:$U$30,MATCH("对"&amp;LEFT($C$5,2)&amp;"输出",标准坦克设计!$B$23:$U$23,0)))*(VLOOKUP($B172,INDIRECT($B$5&amp;"生成成长"),3))*(VLOOKUP($B$5,标准坦克设计!$B$14:$K$20,9)/30))</f>
        <v>4.5742057085186678</v>
      </c>
      <c r="AE172" s="173">
        <f ca="1">(VLOOKUP(AE$72,INDIRECT($C$5&amp;"生成成长"),2))/((VLOOKUP($B172,INDIRECT($B$5&amp;"生成成长"),4))/(VLOOKUP(AE$72,INDIRECT($C$5&amp;"生成成长"),5))*(VLOOKUP($B$5,标准坦克设计!$B$24:$U$30,MATCH("对"&amp;LEFT($C$5,2)&amp;"输出",标准坦克设计!$B$23:$U$23,0)))*(VLOOKUP($B172,INDIRECT($B$5&amp;"生成成长"),3))*(VLOOKUP($B$5,标准坦克设计!$B$14:$K$20,9)/30))</f>
        <v>4.9584300021434977</v>
      </c>
      <c r="AF172" s="173">
        <f ca="1">(VLOOKUP(AF$72,INDIRECT($C$5&amp;"生成成长"),2))/((VLOOKUP($B172,INDIRECT($B$5&amp;"生成成长"),4))/(VLOOKUP(AF$72,INDIRECT($C$5&amp;"生成成长"),5))*(VLOOKUP($B$5,标准坦克设计!$B$24:$U$30,MATCH("对"&amp;LEFT($C$5,2)&amp;"输出",标准坦克设计!$B$23:$U$23,0)))*(VLOOKUP($B172,INDIRECT($B$5&amp;"生成成长"),3))*(VLOOKUP($B$5,标准坦克设计!$B$14:$K$20,9)/30))</f>
        <v>5.3581472108338453</v>
      </c>
      <c r="AG172" s="173">
        <f ca="1">(VLOOKUP(AG$72,INDIRECT($C$5&amp;"生成成长"),2))/((VLOOKUP($B172,INDIRECT($B$5&amp;"生成成长"),4))/(VLOOKUP(AG$72,INDIRECT($C$5&amp;"生成成长"),5))*(VLOOKUP($B$5,标准坦克设计!$B$24:$U$30,MATCH("对"&amp;LEFT($C$5,2)&amp;"输出",标准坦克设计!$B$23:$U$23,0)))*(VLOOKUP($B172,INDIRECT($B$5&amp;"生成成长"),3))*(VLOOKUP($B$5,标准坦克设计!$B$14:$K$20,9)/30))</f>
        <v>5.7733573345897096</v>
      </c>
      <c r="AH172" s="173">
        <f ca="1">(VLOOKUP(AH$72,INDIRECT($C$5&amp;"生成成长"),2))/((VLOOKUP($B172,INDIRECT($B$5&amp;"生成成长"),4))/(VLOOKUP(AH$72,INDIRECT($C$5&amp;"生成成长"),5))*(VLOOKUP($B$5,标准坦克设计!$B$24:$U$30,MATCH("对"&amp;LEFT($C$5,2)&amp;"输出",标准坦克设计!$B$23:$U$23,0)))*(VLOOKUP($B172,INDIRECT($B$5&amp;"生成成长"),3))*(VLOOKUP($B$5,标准坦克设计!$B$14:$K$20,9)/30))</f>
        <v>6.2040603734110924</v>
      </c>
      <c r="AI172" s="173">
        <f ca="1">(VLOOKUP(AI$72,INDIRECT($C$5&amp;"生成成长"),2))/((VLOOKUP($B172,INDIRECT($B$5&amp;"生成成长"),4))/(VLOOKUP(AI$72,INDIRECT($C$5&amp;"生成成长"),5))*(VLOOKUP($B$5,标准坦克设计!$B$24:$U$30,MATCH("对"&amp;LEFT($C$5,2)&amp;"输出",标准坦克设计!$B$23:$U$23,0)))*(VLOOKUP($B172,INDIRECT($B$5&amp;"生成成长"),3))*(VLOOKUP($B$5,标准坦克设计!$B$14:$K$20,9)/30))</f>
        <v>4.3879034048558205</v>
      </c>
      <c r="AJ172" s="173">
        <f ca="1">(VLOOKUP(AJ$72,INDIRECT($C$5&amp;"生成成长"),2))/((VLOOKUP($B172,INDIRECT($B$5&amp;"生成成长"),4))/(VLOOKUP(AJ$72,INDIRECT($C$5&amp;"生成成长"),5))*(VLOOKUP($B$5,标准坦克设计!$B$24:$U$30,MATCH("对"&amp;LEFT($C$5,2)&amp;"输出",标准坦克设计!$B$23:$U$23,0)))*(VLOOKUP($B172,INDIRECT($B$5&amp;"生成成长"),3))*(VLOOKUP($B$5,标准坦克设计!$B$14:$K$20,9)/30))</f>
        <v>4.8028811348857037</v>
      </c>
      <c r="AK172" s="173">
        <f ca="1">(VLOOKUP(AK$72,INDIRECT($C$5&amp;"生成成长"),2))/((VLOOKUP($B172,INDIRECT($B$5&amp;"生成成长"),4))/(VLOOKUP(AK$72,INDIRECT($C$5&amp;"生成成长"),5))*(VLOOKUP($B$5,标准坦克设计!$B$24:$U$30,MATCH("对"&amp;LEFT($C$5,2)&amp;"输出",标准坦克设计!$B$23:$U$23,0)))*(VLOOKUP($B172,INDIRECT($B$5&amp;"生成成长"),3))*(VLOOKUP($B$5,标准坦克设计!$B$14:$K$20,9)/30))</f>
        <v>5.2366052921448611</v>
      </c>
      <c r="AL172" s="173">
        <f ca="1">(VLOOKUP(AL$72,INDIRECT($C$5&amp;"生成成长"),2))/((VLOOKUP($B172,INDIRECT($B$5&amp;"生成成长"),4))/(VLOOKUP(AL$72,INDIRECT($C$5&amp;"生成成长"),5))*(VLOOKUP($B$5,标准坦克设计!$B$24:$U$30,MATCH("对"&amp;LEFT($C$5,2)&amp;"输出",标准坦克设计!$B$23:$U$23,0)))*(VLOOKUP($B172,INDIRECT($B$5&amp;"生成成长"),3))*(VLOOKUP($B$5,标准坦克设计!$B$14:$K$20,9)/30))</f>
        <v>5.6890758766332956</v>
      </c>
      <c r="AM172" s="173">
        <f ca="1">(VLOOKUP(AM$72,INDIRECT($C$5&amp;"生成成长"),2))/((VLOOKUP($B172,INDIRECT($B$5&amp;"生成成长"),4))/(VLOOKUP(AM$72,INDIRECT($C$5&amp;"生成成长"),5))*(VLOOKUP($B$5,标准坦克设计!$B$24:$U$30,MATCH("对"&amp;LEFT($C$5,2)&amp;"输出",标准坦克设计!$B$23:$U$23,0)))*(VLOOKUP($B172,INDIRECT($B$5&amp;"生成成长"),3))*(VLOOKUP($B$5,标准坦克设计!$B$14:$K$20,9)/30))</f>
        <v>6.1602928883510044</v>
      </c>
      <c r="AN172" s="173">
        <f ca="1">(VLOOKUP(AN$72,INDIRECT($C$5&amp;"生成成长"),2))/((VLOOKUP($B172,INDIRECT($B$5&amp;"生成成长"),4))/(VLOOKUP(AN$72,INDIRECT($C$5&amp;"生成成长"),5))*(VLOOKUP($B$5,标准坦克设计!$B$24:$U$30,MATCH("对"&amp;LEFT($C$5,2)&amp;"输出",标准坦克设计!$B$23:$U$23,0)))*(VLOOKUP($B172,INDIRECT($B$5&amp;"生成成长"),3))*(VLOOKUP($B$5,标准坦克设计!$B$14:$K$20,9)/30))</f>
        <v>6.6502563272979902</v>
      </c>
      <c r="AO172" s="173">
        <f ca="1">(VLOOKUP(AO$72,INDIRECT($C$5&amp;"生成成长"),2))/((VLOOKUP($B172,INDIRECT($B$5&amp;"生成成长"),4))/(VLOOKUP(AO$72,INDIRECT($C$5&amp;"生成成长"),5))*(VLOOKUP($B$5,标准坦克设计!$B$24:$U$30,MATCH("对"&amp;LEFT($C$5,2)&amp;"输出",标准坦克设计!$B$23:$U$23,0)))*(VLOOKUP($B172,INDIRECT($B$5&amp;"生成成长"),3))*(VLOOKUP($B$5,标准坦克设计!$B$14:$K$20,9)/30))</f>
        <v>7.158966193474253</v>
      </c>
      <c r="AP172" s="173">
        <f ca="1">(VLOOKUP(AP$72,INDIRECT($C$5&amp;"生成成长"),2))/((VLOOKUP($B172,INDIRECT($B$5&amp;"生成成长"),4))/(VLOOKUP(AP$72,INDIRECT($C$5&amp;"生成成长"),5))*(VLOOKUP($B$5,标准坦克设计!$B$24:$U$30,MATCH("对"&amp;LEFT($C$5,2)&amp;"输出",标准坦克设计!$B$23:$U$23,0)))*(VLOOKUP($B172,INDIRECT($B$5&amp;"生成成长"),3))*(VLOOKUP($B$5,标准坦克设计!$B$14:$K$20,9)/30))</f>
        <v>7.686422486879791</v>
      </c>
      <c r="AQ172" s="173">
        <f ca="1">(VLOOKUP(AQ$72,INDIRECT($C$5&amp;"生成成长"),2))/((VLOOKUP($B172,INDIRECT($B$5&amp;"生成成长"),4))/(VLOOKUP(AQ$72,INDIRECT($C$5&amp;"生成成长"),5))*(VLOOKUP($B$5,标准坦克设计!$B$24:$U$30,MATCH("对"&amp;LEFT($C$5,2)&amp;"输出",标准坦克设计!$B$23:$U$23,0)))*(VLOOKUP($B172,INDIRECT($B$5&amp;"生成成长"),3))*(VLOOKUP($B$5,标准坦克设计!$B$14:$K$20,9)/30))</f>
        <v>8.2326252075146051</v>
      </c>
      <c r="AR172" s="173">
        <f ca="1">(VLOOKUP(AR$72,INDIRECT($C$5&amp;"生成成长"),2))/((VLOOKUP($B172,INDIRECT($B$5&amp;"生成成长"),4))/(VLOOKUP(AR$72,INDIRECT($C$5&amp;"生成成长"),5))*(VLOOKUP($B$5,标准坦克设计!$B$24:$U$30,MATCH("对"&amp;LEFT($C$5,2)&amp;"输出",标准坦克设计!$B$23:$U$23,0)))*(VLOOKUP($B172,INDIRECT($B$5&amp;"生成成长"),3))*(VLOOKUP($B$5,标准坦克设计!$B$14:$K$20,9)/30))</f>
        <v>8.7975743553786945</v>
      </c>
      <c r="AS172" s="173">
        <f ca="1">(VLOOKUP(AS$72,INDIRECT($C$5&amp;"生成成长"),2))/((VLOOKUP($B172,INDIRECT($B$5&amp;"生成成长"),4))/(VLOOKUP(AS$72,INDIRECT($C$5&amp;"生成成长"),5))*(VLOOKUP($B$5,标准坦克设计!$B$24:$U$30,MATCH("对"&amp;LEFT($C$5,2)&amp;"输出",标准坦克设计!$B$23:$U$23,0)))*(VLOOKUP($B172,INDIRECT($B$5&amp;"生成成长"),3))*(VLOOKUP($B$5,标准坦克设计!$B$14:$K$20,9)/30))</f>
        <v>9.3812699304720617</v>
      </c>
      <c r="AT172" s="173">
        <f ca="1">(VLOOKUP(AT$72,INDIRECT($C$5&amp;"生成成长"),2))/((VLOOKUP($B172,INDIRECT($B$5&amp;"生成成长"),4))/(VLOOKUP(AT$72,INDIRECT($C$5&amp;"生成成长"),5))*(VLOOKUP($B$5,标准坦克设计!$B$24:$U$30,MATCH("对"&amp;LEFT($C$5,2)&amp;"输出",标准坦克设计!$B$23:$U$23,0)))*(VLOOKUP($B172,INDIRECT($B$5&amp;"生成成长"),3))*(VLOOKUP($B$5,标准坦克设计!$B$14:$K$20,9)/30))</f>
        <v>9.9837119327946997</v>
      </c>
      <c r="AU172" s="173">
        <f ca="1">(VLOOKUP(AU$72,INDIRECT($C$5&amp;"生成成长"),2))/((VLOOKUP($B172,INDIRECT($B$5&amp;"生成成长"),4))/(VLOOKUP(AU$72,INDIRECT($C$5&amp;"生成成长"),5))*(VLOOKUP($B$5,标准坦克设计!$B$24:$U$30,MATCH("对"&amp;LEFT($C$5,2)&amp;"输出",标准坦克设计!$B$23:$U$23,0)))*(VLOOKUP($B172,INDIRECT($B$5&amp;"生成成长"),3))*(VLOOKUP($B$5,标准坦克设计!$B$14:$K$20,9)/30))</f>
        <v>10.604900362346619</v>
      </c>
      <c r="AV172" s="173">
        <f ca="1">(VLOOKUP(AV$72,INDIRECT($C$5&amp;"生成成长"),2))/((VLOOKUP($B172,INDIRECT($B$5&amp;"生成成长"),4))/(VLOOKUP(AV$72,INDIRECT($C$5&amp;"生成成长"),5))*(VLOOKUP($B$5,标准坦克设计!$B$24:$U$30,MATCH("对"&amp;LEFT($C$5,2)&amp;"输出",标准坦克设计!$B$23:$U$23,0)))*(VLOOKUP($B172,INDIRECT($B$5&amp;"生成成长"),3))*(VLOOKUP($B$5,标准坦克设计!$B$14:$K$20,9)/30))</f>
        <v>1.0786167468613173</v>
      </c>
      <c r="AW172" s="173">
        <f ca="1">(VLOOKUP(AW$72,INDIRECT($C$5&amp;"生成成长"),2))/((VLOOKUP($B172,INDIRECT($B$5&amp;"生成成长"),4))/(VLOOKUP(AW$72,INDIRECT($C$5&amp;"生成成长"),5))*(VLOOKUP($B$5,标准坦克设计!$B$24:$U$30,MATCH("对"&amp;LEFT($C$5,2)&amp;"输出",标准坦克设计!$B$23:$U$23,0)))*(VLOOKUP($B172,INDIRECT($B$5&amp;"生成成长"),3))*(VLOOKUP($B$5,标准坦克设计!$B$14:$K$20,9)/30))</f>
        <v>1.2298275979007665</v>
      </c>
      <c r="AX172" s="173">
        <f ca="1">(VLOOKUP(AX$72,INDIRECT($C$5&amp;"生成成长"),2))/((VLOOKUP($B172,INDIRECT($B$5&amp;"生成成长"),4))/(VLOOKUP(AX$72,INDIRECT($C$5&amp;"生成成长"),5))*(VLOOKUP($B$5,标准坦克设计!$B$24:$U$30,MATCH("对"&amp;LEFT($C$5,2)&amp;"输出",标准坦克设计!$B$23:$U$23,0)))*(VLOOKUP($B172,INDIRECT($B$5&amp;"生成成长"),3))*(VLOOKUP($B$5,标准坦克设计!$B$14:$K$20,9)/30))</f>
        <v>1.3909539145821468</v>
      </c>
      <c r="AY172" s="173">
        <f ca="1">(VLOOKUP(AY$72,INDIRECT($C$5&amp;"生成成长"),2))/((VLOOKUP($B172,INDIRECT($B$5&amp;"生成成长"),4))/(VLOOKUP(AY$72,INDIRECT($C$5&amp;"生成成长"),5))*(VLOOKUP($B$5,标准坦克设计!$B$24:$U$30,MATCH("对"&amp;LEFT($C$5,2)&amp;"输出",标准坦克设计!$B$23:$U$23,0)))*(VLOOKUP($B172,INDIRECT($B$5&amp;"生成成长"),3))*(VLOOKUP($B$5,标准坦克设计!$B$14:$K$20,9)/30))</f>
        <v>1.5619956969054585</v>
      </c>
      <c r="AZ172" s="173">
        <f ca="1">(VLOOKUP(AZ$72,INDIRECT($C$5&amp;"生成成长"),2))/((VLOOKUP($B172,INDIRECT($B$5&amp;"生成成长"),4))/(VLOOKUP(AZ$72,INDIRECT($C$5&amp;"生成成长"),5))*(VLOOKUP($B$5,标准坦克设计!$B$24:$U$30,MATCH("对"&amp;LEFT($C$5,2)&amp;"输出",标准坦克设计!$B$23:$U$23,0)))*(VLOOKUP($B172,INDIRECT($B$5&amp;"生成成长"),3))*(VLOOKUP($B$5,标准坦克设计!$B$14:$K$20,9)/30))</f>
        <v>1.7429529448707008</v>
      </c>
      <c r="BA172" s="173">
        <f ca="1">(VLOOKUP(BA$72,INDIRECT($C$5&amp;"生成成长"),2))/((VLOOKUP($B172,INDIRECT($B$5&amp;"生成成长"),4))/(VLOOKUP(BA$72,INDIRECT($C$5&amp;"生成成长"),5))*(VLOOKUP($B$5,标准坦克设计!$B$24:$U$30,MATCH("对"&amp;LEFT($C$5,2)&amp;"输出",标准坦克设计!$B$23:$U$23,0)))*(VLOOKUP($B172,INDIRECT($B$5&amp;"生成成长"),3))*(VLOOKUP($B$5,标准坦克设计!$B$14:$K$20,9)/30))</f>
        <v>1.9338256584778746</v>
      </c>
      <c r="BB172" s="173">
        <f ca="1">(VLOOKUP(BB$72,INDIRECT($C$5&amp;"生成成长"),2))/((VLOOKUP($B172,INDIRECT($B$5&amp;"生成成长"),4))/(VLOOKUP(BB$72,INDIRECT($C$5&amp;"生成成长"),5))*(VLOOKUP($B$5,标准坦克设计!$B$24:$U$30,MATCH("对"&amp;LEFT($C$5,2)&amp;"输出",标准坦克设计!$B$23:$U$23,0)))*(VLOOKUP($B172,INDIRECT($B$5&amp;"生成成长"),3))*(VLOOKUP($B$5,标准坦克设计!$B$14:$K$20,9)/30))</f>
        <v>2.1346138377269797</v>
      </c>
      <c r="BC172" s="173">
        <f ca="1">(VLOOKUP(BC$72,INDIRECT($C$5&amp;"生成成长"),2))/((VLOOKUP($B172,INDIRECT($B$5&amp;"生成成长"),4))/(VLOOKUP(BC$72,INDIRECT($C$5&amp;"生成成长"),5))*(VLOOKUP($B$5,标准坦克设计!$B$24:$U$30,MATCH("对"&amp;LEFT($C$5,2)&amp;"输出",标准坦克设计!$B$23:$U$23,0)))*(VLOOKUP($B172,INDIRECT($B$5&amp;"生成成长"),3))*(VLOOKUP($B$5,标准坦克设计!$B$14:$K$20,9)/30))</f>
        <v>2.3453174826180154</v>
      </c>
      <c r="BD172" s="173">
        <f ca="1">(VLOOKUP(BD$72,INDIRECT($C$5&amp;"生成成长"),2))/((VLOOKUP($B172,INDIRECT($B$5&amp;"生成成长"),4))/(VLOOKUP(BD$72,INDIRECT($C$5&amp;"生成成长"),5))*(VLOOKUP($B$5,标准坦克设计!$B$24:$U$30,MATCH("对"&amp;LEFT($C$5,2)&amp;"输出",标准坦克设计!$B$23:$U$23,0)))*(VLOOKUP($B172,INDIRECT($B$5&amp;"生成成长"),3))*(VLOOKUP($B$5,标准坦克设计!$B$14:$K$20,9)/30))</f>
        <v>2.5942111631455509</v>
      </c>
      <c r="BE172" s="173">
        <f ca="1">(VLOOKUP(BE$72,INDIRECT($C$5&amp;"生成成长"),2))/((VLOOKUP($B172,INDIRECT($B$5&amp;"生成成长"),4))/(VLOOKUP(BE$72,INDIRECT($C$5&amp;"生成成长"),5))*(VLOOKUP($B$5,标准坦克设计!$B$24:$U$30,MATCH("对"&amp;LEFT($C$5,2)&amp;"输出",标准坦克设计!$B$23:$U$23,0)))*(VLOOKUP($B172,INDIRECT($B$5&amp;"生成成长"),3))*(VLOOKUP($B$5,标准坦克设计!$B$14:$K$20,9)/30))</f>
        <v>2.8556541048761557</v>
      </c>
      <c r="BF172" s="173">
        <f ca="1">(VLOOKUP(BF$72,INDIRECT($C$5&amp;"生成成长"),2))/((VLOOKUP($B172,INDIRECT($B$5&amp;"生成成长"),4))/(VLOOKUP(BF$72,INDIRECT($C$5&amp;"生成成长"),5))*(VLOOKUP($B$5,标准坦克设计!$B$24:$U$30,MATCH("对"&amp;LEFT($C$5,2)&amp;"输出",标准坦克设计!$B$23:$U$23,0)))*(VLOOKUP($B172,INDIRECT($B$5&amp;"生成成长"),3))*(VLOOKUP($B$5,标准坦克设计!$B$14:$K$20,9)/30))</f>
        <v>3.1296463078098302</v>
      </c>
      <c r="BG172" s="173">
        <f ca="1">(VLOOKUP(BG$72,INDIRECT($C$5&amp;"生成成长"),2))/((VLOOKUP($B172,INDIRECT($B$5&amp;"生成成长"),4))/(VLOOKUP(BG$72,INDIRECT($C$5&amp;"生成成长"),5))*(VLOOKUP($B$5,标准坦克设计!$B$24:$U$30,MATCH("对"&amp;LEFT($C$5,2)&amp;"输出",标准坦克设计!$B$23:$U$23,0)))*(VLOOKUP($B172,INDIRECT($B$5&amp;"生成成长"),3))*(VLOOKUP($B$5,标准坦克设计!$B$14:$K$20,9)/30))</f>
        <v>3.4161877719465741</v>
      </c>
      <c r="BH172" s="173">
        <f ca="1">(VLOOKUP(BH$72,INDIRECT($C$5&amp;"生成成长"),2))/((VLOOKUP($B172,INDIRECT($B$5&amp;"生成成长"),4))/(VLOOKUP(BH$72,INDIRECT($C$5&amp;"生成成长"),5))*(VLOOKUP($B$5,标准坦克设计!$B$24:$U$30,MATCH("对"&amp;LEFT($C$5,2)&amp;"输出",标准坦克设计!$B$23:$U$23,0)))*(VLOOKUP($B172,INDIRECT($B$5&amp;"生成成长"),3))*(VLOOKUP($B$5,标准坦克设计!$B$14:$K$20,9)/30))</f>
        <v>1.651234887682838</v>
      </c>
      <c r="BI172" s="173">
        <f ca="1">(VLOOKUP(BI$72,INDIRECT($C$5&amp;"生成成长"),2))/((VLOOKUP($B172,INDIRECT($B$5&amp;"生成成长"),4))/(VLOOKUP(BI$72,INDIRECT($C$5&amp;"生成成长"),5))*(VLOOKUP($B$5,标准坦克设计!$B$24:$U$30,MATCH("对"&amp;LEFT($C$5,2)&amp;"输出",标准坦克设计!$B$23:$U$23,0)))*(VLOOKUP($B172,INDIRECT($B$5&amp;"生成成长"),3))*(VLOOKUP($B$5,标准坦克设计!$B$14:$K$20,9)/30))</f>
        <v>1.8610864222452708</v>
      </c>
      <c r="BJ172" s="173">
        <f ca="1">(VLOOKUP(BJ$72,INDIRECT($C$5&amp;"生成成长"),2))/((VLOOKUP($B172,INDIRECT($B$5&amp;"生成成长"),4))/(VLOOKUP(BJ$72,INDIRECT($C$5&amp;"生成成长"),5))*(VLOOKUP($B$5,标准坦克设计!$B$24:$U$30,MATCH("对"&amp;LEFT($C$5,2)&amp;"输出",标准坦克设计!$B$23:$U$23,0)))*(VLOOKUP($B172,INDIRECT($B$5&amp;"生成成长"),3))*(VLOOKUP($B$5,标准坦克设计!$B$14:$K$20,9)/30))</f>
        <v>2.083487218010772</v>
      </c>
      <c r="BK172" s="173">
        <f ca="1">(VLOOKUP(BK$72,INDIRECT($C$5&amp;"生成成长"),2))/((VLOOKUP($B172,INDIRECT($B$5&amp;"生成成长"),4))/(VLOOKUP(BK$72,INDIRECT($C$5&amp;"生成成长"),5))*(VLOOKUP($B$5,标准坦克设计!$B$24:$U$30,MATCH("对"&amp;LEFT($C$5,2)&amp;"输出",标准坦克设计!$B$23:$U$23,0)))*(VLOOKUP($B172,INDIRECT($B$5&amp;"生成成长"),3))*(VLOOKUP($B$5,标准坦克设计!$B$14:$K$20,9)/30))</f>
        <v>2.3184372749793427</v>
      </c>
      <c r="BL172" s="173">
        <f ca="1">(VLOOKUP(BL$72,INDIRECT($C$5&amp;"生成成长"),2))/((VLOOKUP($B172,INDIRECT($B$5&amp;"生成成长"),4))/(VLOOKUP(BL$72,INDIRECT($C$5&amp;"生成成长"),5))*(VLOOKUP($B$5,标准坦克设计!$B$24:$U$30,MATCH("对"&amp;LEFT($C$5,2)&amp;"输出",标准坦克设计!$B$23:$U$23,0)))*(VLOOKUP($B172,INDIRECT($B$5&amp;"生成成长"),3))*(VLOOKUP($B$5,标准坦克设计!$B$14:$K$20,9)/30))</f>
        <v>2.5659365931509819</v>
      </c>
      <c r="BM172" s="173">
        <f ca="1">(VLOOKUP(BM$72,INDIRECT($C$5&amp;"生成成长"),2))/((VLOOKUP($B172,INDIRECT($B$5&amp;"生成成长"),4))/(VLOOKUP(BM$72,INDIRECT($C$5&amp;"生成成长"),5))*(VLOOKUP($B$5,标准坦克设计!$B$24:$U$30,MATCH("对"&amp;LEFT($C$5,2)&amp;"输出",标准坦克设计!$B$23:$U$23,0)))*(VLOOKUP($B172,INDIRECT($B$5&amp;"生成成长"),3))*(VLOOKUP($B$5,标准坦克设计!$B$14:$K$20,9)/30))</f>
        <v>2.8259851725256899</v>
      </c>
      <c r="BN172" s="173">
        <f ca="1">(VLOOKUP(BN$72,INDIRECT($C$5&amp;"生成成长"),2))/((VLOOKUP($B172,INDIRECT($B$5&amp;"生成成长"),4))/(VLOOKUP(BN$72,INDIRECT($C$5&amp;"生成成长"),5))*(VLOOKUP($B$5,标准坦克设计!$B$24:$U$30,MATCH("对"&amp;LEFT($C$5,2)&amp;"输出",标准坦克设计!$B$23:$U$23,0)))*(VLOOKUP($B172,INDIRECT($B$5&amp;"生成成长"),3))*(VLOOKUP($B$5,标准坦克设计!$B$14:$K$20,9)/30))</f>
        <v>3.0985830131034682</v>
      </c>
      <c r="BO172" s="173">
        <f ca="1">(VLOOKUP(BO$72,INDIRECT($C$5&amp;"生成成长"),2))/((VLOOKUP($B172,INDIRECT($B$5&amp;"生成成长"),4))/(VLOOKUP(BO$72,INDIRECT($C$5&amp;"生成成长"),5))*(VLOOKUP($B$5,标准坦克设计!$B$24:$U$30,MATCH("对"&amp;LEFT($C$5,2)&amp;"输出",标准坦克设计!$B$23:$U$23,0)))*(VLOOKUP($B172,INDIRECT($B$5&amp;"生成成长"),3))*(VLOOKUP($B$5,标准坦克设计!$B$14:$K$20,9)/30))</f>
        <v>3.3837301148843149</v>
      </c>
      <c r="BP172" s="173">
        <f ca="1">(VLOOKUP(BP$72,INDIRECT($C$5&amp;"生成成长"),2))/((VLOOKUP($B172,INDIRECT($B$5&amp;"生成成长"),4))/(VLOOKUP(BP$72,INDIRECT($C$5&amp;"生成成长"),5))*(VLOOKUP($B$5,标准坦克设计!$B$24:$U$30,MATCH("对"&amp;LEFT($C$5,2)&amp;"输出",标准坦克设计!$B$23:$U$23,0)))*(VLOOKUP($B172,INDIRECT($B$5&amp;"生成成长"),3))*(VLOOKUP($B$5,标准坦克设计!$B$14:$K$20,9)/30))</f>
        <v>3.6814264778682309</v>
      </c>
      <c r="BQ172" s="173">
        <f ca="1">(VLOOKUP(BQ$72,INDIRECT($C$5&amp;"生成成长"),2))/((VLOOKUP($B172,INDIRECT($B$5&amp;"生成成长"),4))/(VLOOKUP(BQ$72,INDIRECT($C$5&amp;"生成成长"),5))*(VLOOKUP($B$5,标准坦克设计!$B$24:$U$30,MATCH("对"&amp;LEFT($C$5,2)&amp;"输出",标准坦克设计!$B$23:$U$23,0)))*(VLOOKUP($B172,INDIRECT($B$5&amp;"生成成长"),3))*(VLOOKUP($B$5,标准坦克设计!$B$14:$K$20,9)/30))</f>
        <v>3.9916721020552153</v>
      </c>
      <c r="BR172" s="173">
        <f ca="1">(VLOOKUP(BR$72,INDIRECT($C$5&amp;"生成成长"),2))/((VLOOKUP($B172,INDIRECT($B$5&amp;"生成成长"),4))/(VLOOKUP(BR$72,INDIRECT($C$5&amp;"生成成长"),5))*(VLOOKUP($B$5,标准坦克设计!$B$24:$U$30,MATCH("对"&amp;LEFT($C$5,2)&amp;"输出",标准坦克设计!$B$23:$U$23,0)))*(VLOOKUP($B172,INDIRECT($B$5&amp;"生成成长"),3))*(VLOOKUP($B$5,标准坦克设计!$B$14:$K$20,9)/30))</f>
        <v>4.351107731575218</v>
      </c>
      <c r="BS172" s="173">
        <f ca="1">(VLOOKUP(BS$72,INDIRECT($C$5&amp;"生成成长"),2))/((VLOOKUP($B172,INDIRECT($B$5&amp;"生成成长"),4))/(VLOOKUP(BS$72,INDIRECT($C$5&amp;"生成成长"),5))*(VLOOKUP($B$5,标准坦克设计!$B$24:$U$30,MATCH("对"&amp;LEFT($C$5,2)&amp;"输出",标准坦克设计!$B$23:$U$23,0)))*(VLOOKUP($B172,INDIRECT($B$5&amp;"生成成长"),3))*(VLOOKUP($B$5,标准坦克设计!$B$14:$K$20,9)/30))</f>
        <v>4.7260362761607375</v>
      </c>
      <c r="BT172" s="173">
        <f ca="1">(VLOOKUP(BT$72,INDIRECT($C$5&amp;"生成成长"),2))/((VLOOKUP($B172,INDIRECT($B$5&amp;"生成成长"),4))/(VLOOKUP(BT$72,INDIRECT($C$5&amp;"生成成长"),5))*(VLOOKUP($B$5,标准坦克设计!$B$24:$U$30,MATCH("对"&amp;LEFT($C$5,2)&amp;"输出",标准坦克设计!$B$23:$U$23,0)))*(VLOOKUP($B172,INDIRECT($B$5&amp;"生成成长"),3))*(VLOOKUP($B$5,标准坦克设计!$B$14:$K$20,9)/30))</f>
        <v>5.1164577358117747</v>
      </c>
      <c r="BU172" s="173">
        <f ca="1">(VLOOKUP(BU$72,INDIRECT($C$5&amp;"生成成长"),2))/((VLOOKUP($B172,INDIRECT($B$5&amp;"生成成长"),4))/(VLOOKUP(BU$72,INDIRECT($C$5&amp;"生成成长"),5))*(VLOOKUP($B$5,标准坦克设计!$B$24:$U$30,MATCH("对"&amp;LEFT($C$5,2)&amp;"输出",标准坦克设计!$B$23:$U$23,0)))*(VLOOKUP($B172,INDIRECT($B$5&amp;"生成成长"),3))*(VLOOKUP($B$5,标准坦克设计!$B$14:$K$20,9)/30))</f>
        <v>5.5223721105283285</v>
      </c>
      <c r="BV172" s="173">
        <f ca="1">(VLOOKUP(BV$72,INDIRECT($C$5&amp;"生成成长"),2))/((VLOOKUP($B172,INDIRECT($B$5&amp;"生成成长"),4))/(VLOOKUP(BV$72,INDIRECT($C$5&amp;"生成成长"),5))*(VLOOKUP($B$5,标准坦克设计!$B$24:$U$30,MATCH("对"&amp;LEFT($C$5,2)&amp;"输出",标准坦克设计!$B$23:$U$23,0)))*(VLOOKUP($B172,INDIRECT($B$5&amp;"生成成长"),3))*(VLOOKUP($B$5,标准坦克设计!$B$14:$K$20,9)/30))</f>
        <v>5.9437794003104001</v>
      </c>
      <c r="BW172" s="173">
        <f ca="1">(VLOOKUP(BW$72,INDIRECT($C$5&amp;"生成成长"),2))/((VLOOKUP($B172,INDIRECT($B$5&amp;"生成成长"),4))/(VLOOKUP(BW$72,INDIRECT($C$5&amp;"生成成长"),5))*(VLOOKUP($B$5,标准坦克设计!$B$24:$U$30,MATCH("对"&amp;LEFT($C$5,2)&amp;"输出",标准坦克设计!$B$23:$U$23,0)))*(VLOOKUP($B172,INDIRECT($B$5&amp;"生成成长"),3))*(VLOOKUP($B$5,标准坦克设计!$B$14:$K$20,9)/30))</f>
        <v>2.7088587346303794</v>
      </c>
      <c r="BX172" s="173">
        <f ca="1">(VLOOKUP(BX$72,INDIRECT($C$5&amp;"生成成长"),2))/((VLOOKUP($B172,INDIRECT($B$5&amp;"生成成长"),4))/(VLOOKUP(BX$72,INDIRECT($C$5&amp;"生成成长"),5))*(VLOOKUP($B$5,标准坦克设计!$B$24:$U$30,MATCH("对"&amp;LEFT($C$5,2)&amp;"输出",标准坦克设计!$B$23:$U$23,0)))*(VLOOKUP($B172,INDIRECT($B$5&amp;"生成成长"),3))*(VLOOKUP($B$5,标准坦克设计!$B$14:$K$20,9)/30))</f>
        <v>3.006322703888312</v>
      </c>
      <c r="BY172" s="173">
        <f ca="1">(VLOOKUP(BY$72,INDIRECT($C$5&amp;"生成成长"),2))/((VLOOKUP($B172,INDIRECT($B$5&amp;"生成成长"),4))/(VLOOKUP(BY$72,INDIRECT($C$5&amp;"生成成长"),5))*(VLOOKUP($B$5,标准坦克设计!$B$24:$U$30,MATCH("对"&amp;LEFT($C$5,2)&amp;"输出",标准坦克设计!$B$23:$U$23,0)))*(VLOOKUP($B172,INDIRECT($B$5&amp;"生成成长"),3))*(VLOOKUP($B$5,标准坦克设计!$B$14:$K$20,9)/30))</f>
        <v>3.3192795882117627</v>
      </c>
      <c r="BZ172" s="173">
        <f ca="1">(VLOOKUP(BZ$72,INDIRECT($C$5&amp;"生成成长"),2))/((VLOOKUP($B172,INDIRECT($B$5&amp;"生成成长"),4))/(VLOOKUP(BZ$72,INDIRECT($C$5&amp;"生成成长"),5))*(VLOOKUP($B$5,标准坦克设计!$B$24:$U$30,MATCH("对"&amp;LEFT($C$5,2)&amp;"输出",标准坦克设计!$B$23:$U$23,0)))*(VLOOKUP($B172,INDIRECT($B$5&amp;"生成成长"),3))*(VLOOKUP($B$5,标准坦克设计!$B$14:$K$20,9)/30))</f>
        <v>3.6477293876007306</v>
      </c>
      <c r="CA172" s="173">
        <f ca="1">(VLOOKUP(CA$72,INDIRECT($C$5&amp;"生成成长"),2))/((VLOOKUP($B172,INDIRECT($B$5&amp;"生成成长"),4))/(VLOOKUP(CA$72,INDIRECT($C$5&amp;"生成成长"),5))*(VLOOKUP($B$5,标准坦克设计!$B$24:$U$30,MATCH("对"&amp;LEFT($C$5,2)&amp;"输出",标准坦克设计!$B$23:$U$23,0)))*(VLOOKUP($B172,INDIRECT($B$5&amp;"生成成长"),3))*(VLOOKUP($B$5,标准坦克设计!$B$14:$K$20,9)/30))</f>
        <v>3.9916721020552153</v>
      </c>
      <c r="CB172" s="173">
        <f ca="1">(VLOOKUP(CB$72,INDIRECT($C$5&amp;"生成成长"),2))/((VLOOKUP($B172,INDIRECT($B$5&amp;"生成成长"),4))/(VLOOKUP(CB$72,INDIRECT($C$5&amp;"生成成长"),5))*(VLOOKUP($B$5,标准坦克设计!$B$24:$U$30,MATCH("对"&amp;LEFT($C$5,2)&amp;"输出",标准坦克设计!$B$23:$U$23,0)))*(VLOOKUP($B172,INDIRECT($B$5&amp;"生成成长"),3))*(VLOOKUP($B$5,标准坦克设计!$B$14:$K$20,9)/30))</f>
        <v>4.351107731575218</v>
      </c>
      <c r="CC172" s="173">
        <f ca="1">(VLOOKUP(CC$72,INDIRECT($C$5&amp;"生成成长"),2))/((VLOOKUP($B172,INDIRECT($B$5&amp;"生成成长"),4))/(VLOOKUP(CC$72,INDIRECT($C$5&amp;"生成成长"),5))*(VLOOKUP($B$5,标准坦克设计!$B$24:$U$30,MATCH("对"&amp;LEFT($C$5,2)&amp;"输出",标准坦克设计!$B$23:$U$23,0)))*(VLOOKUP($B172,INDIRECT($B$5&amp;"生成成长"),3))*(VLOOKUP($B$5,标准坦克设计!$B$14:$K$20,9)/30))</f>
        <v>4.7260362761607375</v>
      </c>
      <c r="CD172" s="173">
        <f ca="1">(VLOOKUP(CD$72,INDIRECT($C$5&amp;"生成成长"),2))/((VLOOKUP($B172,INDIRECT($B$5&amp;"生成成长"),4))/(VLOOKUP(CD$72,INDIRECT($C$5&amp;"生成成长"),5))*(VLOOKUP($B$5,标准坦克设计!$B$24:$U$30,MATCH("对"&amp;LEFT($C$5,2)&amp;"输出",标准坦克设计!$B$23:$U$23,0)))*(VLOOKUP($B172,INDIRECT($B$5&amp;"生成成长"),3))*(VLOOKUP($B$5,标准坦克设计!$B$14:$K$20,9)/30))</f>
        <v>5.1164577358117747</v>
      </c>
      <c r="CE172" s="173">
        <f ca="1">(VLOOKUP(CE$72,INDIRECT($C$5&amp;"生成成长"),2))/((VLOOKUP($B172,INDIRECT($B$5&amp;"生成成长"),4))/(VLOOKUP(CE$72,INDIRECT($C$5&amp;"生成成长"),5))*(VLOOKUP($B$5,标准坦克设计!$B$24:$U$30,MATCH("对"&amp;LEFT($C$5,2)&amp;"输出",标准坦克设计!$B$23:$U$23,0)))*(VLOOKUP($B172,INDIRECT($B$5&amp;"生成成长"),3))*(VLOOKUP($B$5,标准坦克设计!$B$14:$K$20,9)/30))</f>
        <v>5.5223721105283285</v>
      </c>
      <c r="CF172" s="173">
        <f ca="1">(VLOOKUP(CF$72,INDIRECT($C$5&amp;"生成成长"),2))/((VLOOKUP($B172,INDIRECT($B$5&amp;"生成成长"),4))/(VLOOKUP(CF$72,INDIRECT($C$5&amp;"生成成长"),5))*(VLOOKUP($B$5,标准坦克设计!$B$24:$U$30,MATCH("对"&amp;LEFT($C$5,2)&amp;"输出",标准坦克设计!$B$23:$U$23,0)))*(VLOOKUP($B172,INDIRECT($B$5&amp;"生成成长"),3))*(VLOOKUP($B$5,标准坦克设计!$B$14:$K$20,9)/30))</f>
        <v>5.9437794003104001</v>
      </c>
      <c r="CG172" s="173">
        <f ca="1">(VLOOKUP(CG$72,INDIRECT($C$5&amp;"生成成长"),2))/((VLOOKUP($B172,INDIRECT($B$5&amp;"生成成长"),4))/(VLOOKUP(CG$72,INDIRECT($C$5&amp;"生成成长"),5))*(VLOOKUP($B$5,标准坦克设计!$B$24:$U$30,MATCH("对"&amp;LEFT($C$5,2)&amp;"输出",标准坦克设计!$B$23:$U$23,0)))*(VLOOKUP($B172,INDIRECT($B$5&amp;"生成成长"),3))*(VLOOKUP($B$5,标准坦克设计!$B$14:$K$20,9)/30))</f>
        <v>6.3806796051579893</v>
      </c>
      <c r="CH172" s="173">
        <f ca="1">(VLOOKUP(CH$72,INDIRECT($C$5&amp;"生成成长"),2))/((VLOOKUP($B172,INDIRECT($B$5&amp;"生成成长"),4))/(VLOOKUP(CH$72,INDIRECT($C$5&amp;"生成成长"),5))*(VLOOKUP($B$5,标准坦克设计!$B$24:$U$30,MATCH("对"&amp;LEFT($C$5,2)&amp;"输出",标准坦克设计!$B$23:$U$23,0)))*(VLOOKUP($B172,INDIRECT($B$5&amp;"生成成长"),3))*(VLOOKUP($B$5,标准坦克设计!$B$14:$K$20,9)/30))</f>
        <v>6.8330727250710952</v>
      </c>
      <c r="CI172" s="173">
        <f ca="1">(VLOOKUP(CI$72,INDIRECT($C$5&amp;"生成成长"),2))/((VLOOKUP($B172,INDIRECT($B$5&amp;"生成成长"),4))/(VLOOKUP(CI$72,INDIRECT($C$5&amp;"生成成长"),5))*(VLOOKUP($B$5,标准坦克设计!$B$24:$U$30,MATCH("对"&amp;LEFT($C$5,2)&amp;"输出",标准坦克设计!$B$23:$U$23,0)))*(VLOOKUP($B172,INDIRECT($B$5&amp;"生成成长"),3))*(VLOOKUP($B$5,标准坦克设计!$B$14:$K$20,9)/30))</f>
        <v>7.3485994738761846</v>
      </c>
      <c r="CJ172" s="173">
        <f ca="1">(VLOOKUP(CJ$72,INDIRECT($C$5&amp;"生成成长"),2))/((VLOOKUP($B172,INDIRECT($B$5&amp;"生成成长"),4))/(VLOOKUP(CJ$72,INDIRECT($C$5&amp;"生成成长"),5))*(VLOOKUP($B$5,标准坦克设计!$B$24:$U$30,MATCH("对"&amp;LEFT($C$5,2)&amp;"输出",标准坦克设计!$B$23:$U$23,0)))*(VLOOKUP($B172,INDIRECT($B$5&amp;"生成成长"),3))*(VLOOKUP($B$5,标准坦克设计!$B$14:$K$20,9)/30))</f>
        <v>7.882872649910551</v>
      </c>
      <c r="CK172" s="173">
        <f ca="1">(VLOOKUP(CK$72,INDIRECT($C$5&amp;"生成成长"),2))/((VLOOKUP($B172,INDIRECT($B$5&amp;"生成成长"),4))/(VLOOKUP(CK$72,INDIRECT($C$5&amp;"生成成长"),5))*(VLOOKUP($B$5,标准坦克设计!$B$24:$U$30,MATCH("对"&amp;LEFT($C$5,2)&amp;"输出",标准坦克设计!$B$23:$U$23,0)))*(VLOOKUP($B172,INDIRECT($B$5&amp;"生成成长"),3))*(VLOOKUP($B$5,标准坦克设计!$B$14:$K$20,9)/30))</f>
        <v>8.4358922531741918</v>
      </c>
      <c r="CL172" s="173">
        <f ca="1">(VLOOKUP(CL$72,INDIRECT($C$5&amp;"生成成长"),2))/((VLOOKUP($B172,INDIRECT($B$5&amp;"生成成长"),4))/(VLOOKUP(CL$72,INDIRECT($C$5&amp;"生成成长"),5))*(VLOOKUP($B$5,标准坦克设计!$B$24:$U$30,MATCH("对"&amp;LEFT($C$5,2)&amp;"输出",标准坦克设计!$B$23:$U$23,0)))*(VLOOKUP($B172,INDIRECT($B$5&amp;"生成成长"),3))*(VLOOKUP($B$5,标准坦克设计!$B$14:$K$20,9)/30))</f>
        <v>9.0076582836671086</v>
      </c>
      <c r="CM172" s="173">
        <f ca="1">(VLOOKUP(CM$72,INDIRECT($C$5&amp;"生成成长"),2))/((VLOOKUP($B172,INDIRECT($B$5&amp;"生成成长"),4))/(VLOOKUP(CM$72,INDIRECT($C$5&amp;"生成成长"),5))*(VLOOKUP($B$5,标准坦克设计!$B$24:$U$30,MATCH("对"&amp;LEFT($C$5,2)&amp;"输出",标准坦克设计!$B$23:$U$23,0)))*(VLOOKUP($B172,INDIRECT($B$5&amp;"生成成长"),3))*(VLOOKUP($B$5,标准坦克设计!$B$14:$K$20,9)/30))</f>
        <v>9.5981707413893016</v>
      </c>
      <c r="CN172" s="173">
        <f ca="1">(VLOOKUP(CN$72,INDIRECT($C$5&amp;"生成成长"),2))/((VLOOKUP($B172,INDIRECT($B$5&amp;"生成成长"),4))/(VLOOKUP(CN$72,INDIRECT($C$5&amp;"生成成长"),5))*(VLOOKUP($B$5,标准坦克设计!$B$24:$U$30,MATCH("对"&amp;LEFT($C$5,2)&amp;"输出",标准坦克设计!$B$23:$U$23,0)))*(VLOOKUP($B172,INDIRECT($B$5&amp;"生成成长"),3))*(VLOOKUP($B$5,标准坦克设计!$B$14:$K$20,9)/30))</f>
        <v>10.207429626340772</v>
      </c>
      <c r="CO172" s="173">
        <f ca="1">(VLOOKUP(CO$72,INDIRECT($C$5&amp;"生成成长"),2))/((VLOOKUP($B172,INDIRECT($B$5&amp;"生成成长"),4))/(VLOOKUP(CO$72,INDIRECT($C$5&amp;"生成成长"),5))*(VLOOKUP($B$5,标准坦克设计!$B$24:$U$30,MATCH("对"&amp;LEFT($C$5,2)&amp;"输出",标准坦克设计!$B$23:$U$23,0)))*(VLOOKUP($B172,INDIRECT($B$5&amp;"生成成长"),3))*(VLOOKUP($B$5,标准坦克设计!$B$14:$K$20,9)/30))</f>
        <v>4.5742057085186678</v>
      </c>
      <c r="CP172" s="173">
        <f ca="1">(VLOOKUP(CP$72,INDIRECT($C$5&amp;"生成成长"),2))/((VLOOKUP($B172,INDIRECT($B$5&amp;"生成成长"),4))/(VLOOKUP(CP$72,INDIRECT($C$5&amp;"生成成长"),5))*(VLOOKUP($B$5,标准坦克设计!$B$24:$U$30,MATCH("对"&amp;LEFT($C$5,2)&amp;"输出",标准坦克设计!$B$23:$U$23,0)))*(VLOOKUP($B172,INDIRECT($B$5&amp;"生成成长"),3))*(VLOOKUP($B$5,标准坦克设计!$B$14:$K$20,9)/30))</f>
        <v>4.997704541834584</v>
      </c>
      <c r="CQ172" s="173">
        <f ca="1">(VLOOKUP(CQ$72,INDIRECT($C$5&amp;"生成成长"),2))/((VLOOKUP($B172,INDIRECT($B$5&amp;"生成成长"),4))/(VLOOKUP(CQ$72,INDIRECT($C$5&amp;"生成成长"),5))*(VLOOKUP($B$5,标准坦克设计!$B$24:$U$30,MATCH("对"&amp;LEFT($C$5,2)&amp;"输出",标准坦克设计!$B$23:$U$23,0)))*(VLOOKUP($B172,INDIRECT($B$5&amp;"生成成长"),3))*(VLOOKUP($B$5,标准坦克设计!$B$14:$K$20,9)/30))</f>
        <v>5.4399498023797772</v>
      </c>
      <c r="CR172" s="173">
        <f ca="1">(VLOOKUP(CR$72,INDIRECT($C$5&amp;"生成成长"),2))/((VLOOKUP($B172,INDIRECT($B$5&amp;"生成成长"),4))/(VLOOKUP(CR$72,INDIRECT($C$5&amp;"生成成长"),5))*(VLOOKUP($B$5,标准坦克设计!$B$24:$U$30,MATCH("对"&amp;LEFT($C$5,2)&amp;"输出",标准坦克设计!$B$23:$U$23,0)))*(VLOOKUP($B172,INDIRECT($B$5&amp;"生成成长"),3))*(VLOOKUP($B$5,标准坦克设计!$B$14:$K$20,9)/30))</f>
        <v>5.9009414901542447</v>
      </c>
      <c r="CS172" s="173">
        <f ca="1">(VLOOKUP(CS$72,INDIRECT($C$5&amp;"生成成长"),2))/((VLOOKUP($B172,INDIRECT($B$5&amp;"生成成长"),4))/(VLOOKUP(CS$72,INDIRECT($C$5&amp;"生成成长"),5))*(VLOOKUP($B$5,标准坦克设计!$B$24:$U$30,MATCH("对"&amp;LEFT($C$5,2)&amp;"输出",标准坦克设计!$B$23:$U$23,0)))*(VLOOKUP($B172,INDIRECT($B$5&amp;"生成成长"),3))*(VLOOKUP($B$5,标准坦克设计!$B$14:$K$20,9)/30))</f>
        <v>6.3806796051579893</v>
      </c>
      <c r="CT172" s="173">
        <f ca="1">(VLOOKUP(CT$72,INDIRECT($C$5&amp;"生成成长"),2))/((VLOOKUP($B172,INDIRECT($B$5&amp;"生成成长"),4))/(VLOOKUP(CT$72,INDIRECT($C$5&amp;"生成成长"),5))*(VLOOKUP($B$5,标准坦克设计!$B$24:$U$30,MATCH("对"&amp;LEFT($C$5,2)&amp;"输出",标准坦克设计!$B$23:$U$23,0)))*(VLOOKUP($B172,INDIRECT($B$5&amp;"生成成长"),3))*(VLOOKUP($B$5,标准坦克设计!$B$14:$K$20,9)/30))</f>
        <v>6.8791641473910099</v>
      </c>
      <c r="CU172" s="173">
        <f ca="1">(VLOOKUP(CU$72,INDIRECT($C$5&amp;"生成成长"),2))/((VLOOKUP($B172,INDIRECT($B$5&amp;"生成成长"),4))/(VLOOKUP(CU$72,INDIRECT($C$5&amp;"生成成长"),5))*(VLOOKUP($B$5,标准坦克设计!$B$24:$U$30,MATCH("对"&amp;LEFT($C$5,2)&amp;"输出",标准坦克设计!$B$23:$U$23,0)))*(VLOOKUP($B172,INDIRECT($B$5&amp;"生成成长"),3))*(VLOOKUP($B$5,标准坦克设计!$B$14:$K$20,9)/30))</f>
        <v>7.3963951168533066</v>
      </c>
      <c r="CV172" s="173">
        <f ca="1">(VLOOKUP(CV$72,INDIRECT($C$5&amp;"生成成长"),2))/((VLOOKUP($B172,INDIRECT($B$5&amp;"生成成长"),4))/(VLOOKUP(CV$72,INDIRECT($C$5&amp;"生成成长"),5))*(VLOOKUP($B$5,标准坦克设计!$B$24:$U$30,MATCH("对"&amp;LEFT($C$5,2)&amp;"输出",标准坦克设计!$B$23:$U$23,0)))*(VLOOKUP($B172,INDIRECT($B$5&amp;"生成成长"),3))*(VLOOKUP($B$5,标准坦克设计!$B$14:$K$20,9)/30))</f>
        <v>7.9323725135448777</v>
      </c>
      <c r="CW172" s="173">
        <f ca="1">(VLOOKUP(CW$72,INDIRECT($C$5&amp;"生成成长"),2))/((VLOOKUP($B172,INDIRECT($B$5&amp;"生成成长"),4))/(VLOOKUP(CW$72,INDIRECT($C$5&amp;"生成成长"),5))*(VLOOKUP($B$5,标准坦克设计!$B$24:$U$30,MATCH("对"&amp;LEFT($C$5,2)&amp;"输出",标准坦克设计!$B$23:$U$23,0)))*(VLOOKUP($B172,INDIRECT($B$5&amp;"生成成长"),3))*(VLOOKUP($B$5,标准坦克设计!$B$14:$K$20,9)/30))</f>
        <v>8.4870963374657258</v>
      </c>
      <c r="CX172" s="173">
        <f ca="1">(VLOOKUP(CX$72,INDIRECT($C$5&amp;"生成成长"),2))/((VLOOKUP($B172,INDIRECT($B$5&amp;"生成成长"),4))/(VLOOKUP(CX$72,INDIRECT($C$5&amp;"生成成长"),5))*(VLOOKUP($B$5,标准坦克设计!$B$24:$U$30,MATCH("对"&amp;LEFT($C$5,2)&amp;"输出",标准坦克设计!$B$23:$U$23,0)))*(VLOOKUP($B172,INDIRECT($B$5&amp;"生成成长"),3))*(VLOOKUP($B$5,标准坦克设计!$B$14:$K$20,9)/30))</f>
        <v>9.0605665886158508</v>
      </c>
      <c r="CY172" s="173">
        <f ca="1">(VLOOKUP(CY$72,INDIRECT($C$5&amp;"生成成长"),2))/((VLOOKUP($B172,INDIRECT($B$5&amp;"生成成长"),4))/(VLOOKUP(CY$72,INDIRECT($C$5&amp;"生成成长"),5))*(VLOOKUP($B$5,标准坦克设计!$B$24:$U$30,MATCH("对"&amp;LEFT($C$5,2)&amp;"输出",标准坦克设计!$B$23:$U$23,0)))*(VLOOKUP($B172,INDIRECT($B$5&amp;"生成成长"),3))*(VLOOKUP($B$5,标准坦克设计!$B$14:$K$20,9)/30))</f>
        <v>9.6527832669952502</v>
      </c>
      <c r="CZ172" s="173">
        <f ca="1">(VLOOKUP(CZ$72,INDIRECT($C$5&amp;"生成成长"),2))/((VLOOKUP($B172,INDIRECT($B$5&amp;"生成成长"),4))/(VLOOKUP(CZ$72,INDIRECT($C$5&amp;"生成成长"),5))*(VLOOKUP($B$5,标准坦克设计!$B$24:$U$30,MATCH("对"&amp;LEFT($C$5,2)&amp;"输出",标准坦克设计!$B$23:$U$23,0)))*(VLOOKUP($B172,INDIRECT($B$5&amp;"生成成长"),3))*(VLOOKUP($B$5,标准坦克设计!$B$14:$K$20,9)/30))</f>
        <v>10.263746372603928</v>
      </c>
      <c r="DA172" s="173">
        <f ca="1">(VLOOKUP(DA$72,INDIRECT($C$5&amp;"生成成长"),2))/((VLOOKUP($B172,INDIRECT($B$5&amp;"生成成长"),4))/(VLOOKUP(DA$72,INDIRECT($C$5&amp;"生成成长"),5))*(VLOOKUP($B$5,标准坦克设计!$B$24:$U$30,MATCH("对"&amp;LEFT($C$5,2)&amp;"输出",标准坦克设计!$B$23:$U$23,0)))*(VLOOKUP($B172,INDIRECT($B$5&amp;"生成成长"),3))*(VLOOKUP($B$5,标准坦克设计!$B$14:$K$20,9)/30))</f>
        <v>10.893455905441879</v>
      </c>
      <c r="DB172" s="173">
        <f ca="1">(VLOOKUP(DB$72,INDIRECT($C$5&amp;"生成成长"),2))/((VLOOKUP($B172,INDIRECT($B$5&amp;"生成成长"),4))/(VLOOKUP(DB$72,INDIRECT($C$5&amp;"生成成长"),5))*(VLOOKUP($B$5,标准坦克设计!$B$24:$U$30,MATCH("对"&amp;LEFT($C$5,2)&amp;"输出",标准坦克设计!$B$23:$U$23,0)))*(VLOOKUP($B172,INDIRECT($B$5&amp;"生成成长"),3))*(VLOOKUP($B$5,标准坦克设计!$B$14:$K$20,9)/30))</f>
        <v>11.541911865509105</v>
      </c>
      <c r="DC172" s="173">
        <f ca="1">(VLOOKUP(DC$72,INDIRECT($C$5&amp;"生成成长"),2))/((VLOOKUP($B172,INDIRECT($B$5&amp;"生成成长"),4))/(VLOOKUP(DC$72,INDIRECT($C$5&amp;"生成成长"),5))*(VLOOKUP($B$5,标准坦克设计!$B$24:$U$30,MATCH("对"&amp;LEFT($C$5,2)&amp;"输出",标准坦克设计!$B$23:$U$23,0)))*(VLOOKUP($B172,INDIRECT($B$5&amp;"生成成长"),3))*(VLOOKUP($B$5,标准坦克设计!$B$14:$K$20,9)/30))</f>
        <v>12.270698590191047</v>
      </c>
      <c r="DD172" s="173">
        <f ca="1">(VLOOKUP(DD$72,INDIRECT($C$5&amp;"生成成长"),2))/((VLOOKUP($B172,INDIRECT($B$5&amp;"生成成长"),4))/(VLOOKUP(DD$72,INDIRECT($C$5&amp;"生成成长"),5))*(VLOOKUP($B$5,标准坦克设计!$B$24:$U$30,MATCH("对"&amp;LEFT($C$5,2)&amp;"输出",标准坦克设计!$B$23:$U$23,0)))*(VLOOKUP($B172,INDIRECT($B$5&amp;"生成成长"),3))*(VLOOKUP($B$5,标准坦克设计!$B$14:$K$20,9)/30))</f>
        <v>13.021795112567325</v>
      </c>
      <c r="DE172" s="173">
        <f ca="1">(VLOOKUP(DE$72,INDIRECT($C$5&amp;"生成成长"),2))/((VLOOKUP($B172,INDIRECT($B$5&amp;"生成成长"),4))/(VLOOKUP(DE$72,INDIRECT($C$5&amp;"生成成长"),5))*(VLOOKUP($B$5,标准坦克设计!$B$24:$U$30,MATCH("对"&amp;LEFT($C$5,2)&amp;"输出",标准坦克设计!$B$23:$U$23,0)))*(VLOOKUP($B172,INDIRECT($B$5&amp;"生成成长"),3))*(VLOOKUP($B$5,标准坦克设计!$B$14:$K$20,9)/30))</f>
        <v>13.795201432637951</v>
      </c>
      <c r="DF172" s="173">
        <f ca="1">(VLOOKUP(DF$72,INDIRECT($C$5&amp;"生成成长"),2))/((VLOOKUP($B172,INDIRECT($B$5&amp;"生成成长"),4))/(VLOOKUP(DF$72,INDIRECT($C$5&amp;"生成成长"),5))*(VLOOKUP($B$5,标准坦克设计!$B$24:$U$30,MATCH("对"&amp;LEFT($C$5,2)&amp;"输出",标准坦克设计!$B$23:$U$23,0)))*(VLOOKUP($B172,INDIRECT($B$5&amp;"生成成长"),3))*(VLOOKUP($B$5,标准坦克设计!$B$14:$K$20,9)/30))</f>
        <v>14.590917550402922</v>
      </c>
      <c r="DG172" s="173">
        <f ca="1">(VLOOKUP(DG$72,INDIRECT($C$5&amp;"生成成长"),2))/((VLOOKUP($B172,INDIRECT($B$5&amp;"生成成长"),4))/(VLOOKUP(DG$72,INDIRECT($C$5&amp;"生成成长"),5))*(VLOOKUP($B$5,标准坦克设计!$B$24:$U$30,MATCH("对"&amp;LEFT($C$5,2)&amp;"输出",标准坦克设计!$B$23:$U$23,0)))*(VLOOKUP($B172,INDIRECT($B$5&amp;"生成成长"),3))*(VLOOKUP($B$5,标准坦克设计!$B$14:$K$20,9)/30))</f>
        <v>15.408943465862238</v>
      </c>
      <c r="DH172" s="173">
        <f ca="1">(VLOOKUP(DH$72,INDIRECT($C$5&amp;"生成成长"),2))/((VLOOKUP($B172,INDIRECT($B$5&amp;"生成成长"),4))/(VLOOKUP(DH$72,INDIRECT($C$5&amp;"生成成长"),5))*(VLOOKUP($B$5,标准坦克设计!$B$24:$U$30,MATCH("对"&amp;LEFT($C$5,2)&amp;"输出",标准坦克设计!$B$23:$U$23,0)))*(VLOOKUP($B172,INDIRECT($B$5&amp;"生成成长"),3))*(VLOOKUP($B$5,标准坦克设计!$B$14:$K$20,9)/30))</f>
        <v>16.249279179015897</v>
      </c>
      <c r="DI172" s="173">
        <f ca="1">(VLOOKUP(DI$72,INDIRECT($C$5&amp;"生成成长"),2))/((VLOOKUP($B172,INDIRECT($B$5&amp;"生成成长"),4))/(VLOOKUP(DI$72,INDIRECT($C$5&amp;"生成成长"),5))*(VLOOKUP($B$5,标准坦克设计!$B$24:$U$30,MATCH("对"&amp;LEFT($C$5,2)&amp;"输出",标准坦克设计!$B$23:$U$23,0)))*(VLOOKUP($B172,INDIRECT($B$5&amp;"生成成长"),3))*(VLOOKUP($B$5,标准坦克设计!$B$14:$K$20,9)/30))</f>
        <v>17.111924689863901</v>
      </c>
      <c r="DJ172" s="173">
        <f ca="1">(VLOOKUP(DJ$72,INDIRECT($C$5&amp;"生成成长"),2))/((VLOOKUP($B172,INDIRECT($B$5&amp;"生成成长"),4))/(VLOOKUP(DJ$72,INDIRECT($C$5&amp;"生成成长"),5))*(VLOOKUP($B$5,标准坦克设计!$B$24:$U$30,MATCH("对"&amp;LEFT($C$5,2)&amp;"输出",标准坦克设计!$B$23:$U$23,0)))*(VLOOKUP($B172,INDIRECT($B$5&amp;"生成成长"),3))*(VLOOKUP($B$5,标准坦克设计!$B$14:$K$20,9)/30))</f>
        <v>1.7197910368477525</v>
      </c>
      <c r="DK172" s="173">
        <f ca="1">(VLOOKUP(DK$72,INDIRECT($C$5&amp;"生成成长"),2))/((VLOOKUP($B172,INDIRECT($B$5&amp;"生成成长"),4))/(VLOOKUP(DK$72,INDIRECT($C$5&amp;"生成成长"),5))*(VLOOKUP($B$5,标准坦克设计!$B$24:$U$30,MATCH("对"&amp;LEFT($C$5,2)&amp;"输出",标准坦克设计!$B$23:$U$23,0)))*(VLOOKUP($B172,INDIRECT($B$5&amp;"生成成长"),3))*(VLOOKUP($B$5,标准坦克设计!$B$14:$K$20,9)/30))</f>
        <v>1.9338256584778746</v>
      </c>
      <c r="DL172" s="173">
        <f ca="1">(VLOOKUP(DL$72,INDIRECT($C$5&amp;"生成成长"),2))/((VLOOKUP($B172,INDIRECT($B$5&amp;"生成成长"),4))/(VLOOKUP(DL$72,INDIRECT($C$5&amp;"生成成长"),5))*(VLOOKUP($B$5,标准坦克设计!$B$24:$U$30,MATCH("对"&amp;LEFT($C$5,2)&amp;"输出",标准坦克设计!$B$23:$U$23,0)))*(VLOOKUP($B172,INDIRECT($B$5&amp;"生成成长"),3))*(VLOOKUP($B$5,标准坦克设计!$B$14:$K$20,9)/30))</f>
        <v>2.1604095413110653</v>
      </c>
      <c r="DM172" s="173">
        <f ca="1">(VLOOKUP(DM$72,INDIRECT($C$5&amp;"生成成长"),2))/((VLOOKUP($B172,INDIRECT($B$5&amp;"生成成长"),4))/(VLOOKUP(DM$72,INDIRECT($C$5&amp;"生成成长"),5))*(VLOOKUP($B$5,标准坦克设计!$B$24:$U$30,MATCH("对"&amp;LEFT($C$5,2)&amp;"输出",标准坦克设计!$B$23:$U$23,0)))*(VLOOKUP($B172,INDIRECT($B$5&amp;"生成成长"),3))*(VLOOKUP($B$5,标准坦克设计!$B$14:$K$20,9)/30))</f>
        <v>2.3995426853473254</v>
      </c>
      <c r="DN172" s="173">
        <f ca="1">(VLOOKUP(DN$72,INDIRECT($C$5&amp;"生成成长"),2))/((VLOOKUP($B172,INDIRECT($B$5&amp;"生成成长"),4))/(VLOOKUP(DN$72,INDIRECT($C$5&amp;"生成成长"),5))*(VLOOKUP($B$5,标准坦克设计!$B$24:$U$30,MATCH("对"&amp;LEFT($C$5,2)&amp;"输出",标准坦克设计!$B$23:$U$23,0)))*(VLOOKUP($B172,INDIRECT($B$5&amp;"生成成长"),3))*(VLOOKUP($B$5,标准坦克设计!$B$14:$K$20,9)/30))</f>
        <v>2.6512250905866548</v>
      </c>
      <c r="DO172" s="173">
        <f ca="1">(VLOOKUP(DO$72,INDIRECT($C$5&amp;"生成成长"),2))/((VLOOKUP($B172,INDIRECT($B$5&amp;"生成成长"),4))/(VLOOKUP(DO$72,INDIRECT($C$5&amp;"生成成长"),5))*(VLOOKUP($B$5,标准坦克设计!$B$24:$U$30,MATCH("对"&amp;LEFT($C$5,2)&amp;"输出",标准坦克设计!$B$23:$U$23,0)))*(VLOOKUP($B172,INDIRECT($B$5&amp;"生成成长"),3))*(VLOOKUP($B$5,标准坦克设计!$B$14:$K$20,9)/30))</f>
        <v>2.9154567570290535</v>
      </c>
      <c r="DP172" s="173">
        <f ca="1">(VLOOKUP(DP$72,INDIRECT($C$5&amp;"生成成长"),2))/((VLOOKUP($B172,INDIRECT($B$5&amp;"生成成长"),4))/(VLOOKUP(DP$72,INDIRECT($C$5&amp;"生成成长"),5))*(VLOOKUP($B$5,标准坦克设计!$B$24:$U$30,MATCH("对"&amp;LEFT($C$5,2)&amp;"输出",标准坦克设计!$B$23:$U$23,0)))*(VLOOKUP($B172,INDIRECT($B$5&amp;"生成成长"),3))*(VLOOKUP($B$5,标准坦克设计!$B$14:$K$20,9)/30))</f>
        <v>3.1922376846745206</v>
      </c>
      <c r="DQ172" s="173">
        <f ca="1">(VLOOKUP(DQ$72,INDIRECT($C$5&amp;"生成成长"),2))/((VLOOKUP($B172,INDIRECT($B$5&amp;"生成成长"),4))/(VLOOKUP(DQ$72,INDIRECT($C$5&amp;"生成成长"),5))*(VLOOKUP($B$5,标准坦克设计!$B$24:$U$30,MATCH("对"&amp;LEFT($C$5,2)&amp;"输出",标准坦克设计!$B$23:$U$23,0)))*(VLOOKUP($B172,INDIRECT($B$5&amp;"生成成长"),3))*(VLOOKUP($B$5,标准坦克设计!$B$14:$K$20,9)/30))</f>
        <v>3.4815678735230571</v>
      </c>
      <c r="DR172" s="173">
        <f ca="1">(VLOOKUP(DR$72,INDIRECT($C$5&amp;"生成成长"),2))/((VLOOKUP($B172,INDIRECT($B$5&amp;"生成成长"),4))/(VLOOKUP(DR$72,INDIRECT($C$5&amp;"生成成长"),5))*(VLOOKUP($B$5,标准坦克设计!$B$24:$U$30,MATCH("对"&amp;LEFT($C$5,2)&amp;"输出",标准坦克设计!$B$23:$U$23,0)))*(VLOOKUP($B172,INDIRECT($B$5&amp;"生成成长"),3))*(VLOOKUP($B$5,标准坦克设计!$B$14:$K$20,9)/30))</f>
        <v>3.7834473235746615</v>
      </c>
      <c r="DS172" s="173">
        <f ca="1">(VLOOKUP(DS$72,INDIRECT($C$5&amp;"生成成长"),2))/((VLOOKUP($B172,INDIRECT($B$5&amp;"生成成长"),4))/(VLOOKUP(DS$72,INDIRECT($C$5&amp;"生成成长"),5))*(VLOOKUP($B$5,标准坦克设计!$B$24:$U$30,MATCH("对"&amp;LEFT($C$5,2)&amp;"输出",标准坦克设计!$B$23:$U$23,0)))*(VLOOKUP($B172,INDIRECT($B$5&amp;"生成成长"),3))*(VLOOKUP($B$5,标准坦克设计!$B$14:$K$20,9)/30))</f>
        <v>4.097876034829337</v>
      </c>
      <c r="DT172" s="173">
        <f ca="1">(VLOOKUP(DT$72,INDIRECT($C$5&amp;"生成成长"),2))/((VLOOKUP($B172,INDIRECT($B$5&amp;"生成成长"),4))/(VLOOKUP(DT$72,INDIRECT($C$5&amp;"生成成长"),5))*(VLOOKUP($B$5,标准坦克设计!$B$24:$U$30,MATCH("对"&amp;LEFT($C$5,2)&amp;"输出",标准坦克设计!$B$23:$U$23,0)))*(VLOOKUP($B172,INDIRECT($B$5&amp;"生成成长"),3))*(VLOOKUP($B$5,标准坦克设计!$B$14:$K$20,9)/30))</f>
        <v>4.4992199996015634</v>
      </c>
      <c r="DU172" s="173">
        <f ca="1">(VLOOKUP(DU$72,INDIRECT($C$5&amp;"生成成长"),2))/((VLOOKUP($B172,INDIRECT($B$5&amp;"生成成长"),4))/(VLOOKUP(DU$72,INDIRECT($C$5&amp;"生成成长"),5))*(VLOOKUP($B$5,标准坦克设计!$B$24:$U$30,MATCH("对"&amp;LEFT($C$5,2)&amp;"输出",标准坦克设计!$B$23:$U$23,0)))*(VLOOKUP($B172,INDIRECT($B$5&amp;"生成成长"),3))*(VLOOKUP($B$5,标准坦克设计!$B$14:$K$20,9)/30))</f>
        <v>4.9193103916030658</v>
      </c>
      <c r="DV172" s="173">
        <f ca="1">(VLOOKUP(DV$72,INDIRECT($C$5&amp;"生成成长"),2))/((VLOOKUP($B172,INDIRECT($B$5&amp;"生成成长"),4))/(VLOOKUP(DV$72,INDIRECT($C$5&amp;"生成成长"),5))*(VLOOKUP($B$5,标准坦克设计!$B$24:$U$30,MATCH("对"&amp;LEFT($C$5,2)&amp;"输出",标准坦克设计!$B$23:$U$23,0)))*(VLOOKUP($B172,INDIRECT($B$5&amp;"生成成长"),3))*(VLOOKUP($B$5,标准坦克设计!$B$14:$K$20,9)/30))</f>
        <v>5.3581472108338453</v>
      </c>
      <c r="DW172" s="173">
        <f ca="1">(VLOOKUP(DW$72,INDIRECT($C$5&amp;"生成成长"),2))/((VLOOKUP($B172,INDIRECT($B$5&amp;"生成成长"),4))/(VLOOKUP(DW$72,INDIRECT($C$5&amp;"生成成长"),5))*(VLOOKUP($B$5,标准坦克设计!$B$24:$U$30,MATCH("对"&amp;LEFT($C$5,2)&amp;"输出",标准坦克设计!$B$23:$U$23,0)))*(VLOOKUP($B172,INDIRECT($B$5&amp;"生成成长"),3))*(VLOOKUP($B$5,标准坦克设计!$B$14:$K$20,9)/30))</f>
        <v>5.815730457293899</v>
      </c>
      <c r="DX172" s="173">
        <f ca="1">(VLOOKUP(DX$72,INDIRECT($C$5&amp;"生成成长"),2))/((VLOOKUP($B172,INDIRECT($B$5&amp;"生成成长"),4))/(VLOOKUP(DX$72,INDIRECT($C$5&amp;"生成成长"),5))*(VLOOKUP($B$5,标准坦克设计!$B$24:$U$30,MATCH("对"&amp;LEFT($C$5,2)&amp;"输出",标准坦克设计!$B$23:$U$23,0)))*(VLOOKUP($B172,INDIRECT($B$5&amp;"生成成长"),3))*(VLOOKUP($B$5,标准坦克设计!$B$14:$K$20,9)/30))</f>
        <v>6.2920601309832298</v>
      </c>
      <c r="DY172" s="173">
        <f ca="1">(VLOOKUP(DY$72,INDIRECT($C$5&amp;"生成成长"),2))/((VLOOKUP($B172,INDIRECT($B$5&amp;"生成成长"),4))/(VLOOKUP(DY$72,INDIRECT($C$5&amp;"生成成长"),5))*(VLOOKUP($B$5,标准坦克设计!$B$24:$U$30,MATCH("对"&amp;LEFT($C$5,2)&amp;"输出",标准坦克设计!$B$23:$U$23,0)))*(VLOOKUP($B172,INDIRECT($B$5&amp;"生成成长"),3))*(VLOOKUP($B$5,标准坦克设计!$B$14:$K$20,9)/30))</f>
        <v>2.8259851725256899</v>
      </c>
      <c r="DZ172" s="173">
        <f ca="1">(VLOOKUP(DZ$72,INDIRECT($C$5&amp;"生成成长"),2))/((VLOOKUP($B172,INDIRECT($B$5&amp;"生成成长"),4))/(VLOOKUP(DZ$72,INDIRECT($C$5&amp;"生成成长"),5))*(VLOOKUP($B$5,标准坦克设计!$B$24:$U$30,MATCH("对"&amp;LEFT($C$5,2)&amp;"输出",标准坦克设计!$B$23:$U$23,0)))*(VLOOKUP($B172,INDIRECT($B$5&amp;"生成成长"),3))*(VLOOKUP($B$5,标准坦克设计!$B$14:$K$20,9)/30))</f>
        <v>3.1296463078098302</v>
      </c>
      <c r="EA172" s="173">
        <f ca="1">(VLOOKUP(EA$72,INDIRECT($C$5&amp;"生成成长"),2))/((VLOOKUP($B172,INDIRECT($B$5&amp;"生成成长"),4))/(VLOOKUP(EA$72,INDIRECT($C$5&amp;"生成成长"),5))*(VLOOKUP($B$5,标准坦克设计!$B$24:$U$30,MATCH("对"&amp;LEFT($C$5,2)&amp;"输出",标准坦克设计!$B$23:$U$23,0)))*(VLOOKUP($B172,INDIRECT($B$5&amp;"生成成长"),3))*(VLOOKUP($B$5,标准坦克设计!$B$14:$K$20,9)/30))</f>
        <v>3.4488003581594877</v>
      </c>
      <c r="EB172" s="173">
        <f ca="1">(VLOOKUP(EB$72,INDIRECT($C$5&amp;"生成成长"),2))/((VLOOKUP($B172,INDIRECT($B$5&amp;"生成成长"),4))/(VLOOKUP(EB$72,INDIRECT($C$5&amp;"生成成长"),5))*(VLOOKUP($B$5,标准坦克设计!$B$24:$U$30,MATCH("对"&amp;LEFT($C$5,2)&amp;"输出",标准坦克设计!$B$23:$U$23,0)))*(VLOOKUP($B172,INDIRECT($B$5&amp;"生成成长"),3))*(VLOOKUP($B$5,标准坦克设计!$B$14:$K$20,9)/30))</f>
        <v>3.7834473235746615</v>
      </c>
      <c r="EC172" s="173">
        <f ca="1">(VLOOKUP(EC$72,INDIRECT($C$5&amp;"生成成长"),2))/((VLOOKUP($B172,INDIRECT($B$5&amp;"生成成长"),4))/(VLOOKUP(EC$72,INDIRECT($C$5&amp;"生成成长"),5))*(VLOOKUP($B$5,标准坦克设计!$B$24:$U$30,MATCH("对"&amp;LEFT($C$5,2)&amp;"输出",标准坦克设计!$B$23:$U$23,0)))*(VLOOKUP($B172,INDIRECT($B$5&amp;"生成成长"),3))*(VLOOKUP($B$5,标准坦克设计!$B$14:$K$20,9)/30))</f>
        <v>4.1335872040553543</v>
      </c>
      <c r="ED172" s="173">
        <f ca="1">(VLOOKUP(ED$72,INDIRECT($C$5&amp;"生成成长"),2))/((VLOOKUP($B172,INDIRECT($B$5&amp;"生成成长"),4))/(VLOOKUP(ED$72,INDIRECT($C$5&amp;"生成成长"),5))*(VLOOKUP($B$5,标准坦克设计!$B$24:$U$30,MATCH("对"&amp;LEFT($C$5,2)&amp;"输出",标准坦克设计!$B$23:$U$23,0)))*(VLOOKUP($B172,INDIRECT($B$5&amp;"生成成长"),3))*(VLOOKUP($B$5,标准坦克设计!$B$14:$K$20,9)/30))</f>
        <v>4.4992199996015634</v>
      </c>
      <c r="EE172" s="173">
        <f ca="1">(VLOOKUP(EE$72,INDIRECT($C$5&amp;"生成成长"),2))/((VLOOKUP($B172,INDIRECT($B$5&amp;"生成成长"),4))/(VLOOKUP(EE$72,INDIRECT($C$5&amp;"生成成长"),5))*(VLOOKUP($B$5,标准坦克设计!$B$24:$U$30,MATCH("对"&amp;LEFT($C$5,2)&amp;"输出",标准坦克设计!$B$23:$U$23,0)))*(VLOOKUP($B172,INDIRECT($B$5&amp;"生成成长"),3))*(VLOOKUP($B$5,标准坦克设计!$B$14:$K$20,9)/30))</f>
        <v>4.8803457102132901</v>
      </c>
      <c r="EF172" s="173">
        <f ca="1">(VLOOKUP(EF$72,INDIRECT($C$5&amp;"生成成长"),2))/((VLOOKUP($B172,INDIRECT($B$5&amp;"生成成长"),4))/(VLOOKUP(EF$72,INDIRECT($C$5&amp;"生成成长"),5))*(VLOOKUP($B$5,标准坦克设计!$B$24:$U$30,MATCH("对"&amp;LEFT($C$5,2)&amp;"输出",标准坦克设计!$B$23:$U$23,0)))*(VLOOKUP($B172,INDIRECT($B$5&amp;"生成成长"),3))*(VLOOKUP($B$5,标准坦克设计!$B$14:$K$20,9)/30))</f>
        <v>5.2769643358905336</v>
      </c>
      <c r="EG172" s="173">
        <f ca="1">(VLOOKUP(EG$72,INDIRECT($C$5&amp;"生成成长"),2))/((VLOOKUP($B172,INDIRECT($B$5&amp;"生成成长"),4))/(VLOOKUP(EG$72,INDIRECT($C$5&amp;"生成成长"),5))*(VLOOKUP($B$5,标准坦克设计!$B$24:$U$30,MATCH("对"&amp;LEFT($C$5,2)&amp;"输出",标准坦克设计!$B$23:$U$23,0)))*(VLOOKUP($B172,INDIRECT($B$5&amp;"生成成长"),3))*(VLOOKUP($B$5,标准坦克设计!$B$14:$K$20,9)/30))</f>
        <v>5.6890758766332956</v>
      </c>
      <c r="EH172" s="173">
        <f ca="1">(VLOOKUP(EH$72,INDIRECT($C$5&amp;"生成成长"),2))/((VLOOKUP($B172,INDIRECT($B$5&amp;"生成成长"),4))/(VLOOKUP(EH$72,INDIRECT($C$5&amp;"生成成长"),5))*(VLOOKUP($B$5,标准坦克设计!$B$24:$U$30,MATCH("对"&amp;LEFT($C$5,2)&amp;"输出",标准坦克设计!$B$23:$U$23,0)))*(VLOOKUP($B172,INDIRECT($B$5&amp;"生成成长"),3))*(VLOOKUP($B$5,标准坦克设计!$B$14:$K$20,9)/30))</f>
        <v>6.1166803324415735</v>
      </c>
      <c r="EI172" s="173">
        <f ca="1">(VLOOKUP(EI$72,INDIRECT($C$5&amp;"生成成长"),2))/((VLOOKUP($B172,INDIRECT($B$5&amp;"生成成长"),4))/(VLOOKUP(EI$72,INDIRECT($C$5&amp;"生成成长"),5))*(VLOOKUP($B$5,标准坦克设计!$B$24:$U$30,MATCH("对"&amp;LEFT($C$5,2)&amp;"输出",标准坦克设计!$B$23:$U$23,0)))*(VLOOKUP($B172,INDIRECT($B$5&amp;"生成成长"),3))*(VLOOKUP($B$5,标准坦克设计!$B$14:$K$20,9)/30))</f>
        <v>6.5597777033153699</v>
      </c>
      <c r="EJ172" s="173">
        <f ca="1">(VLOOKUP(EJ$72,INDIRECT($C$5&amp;"生成成长"),2))/((VLOOKUP($B172,INDIRECT($B$5&amp;"生成成长"),4))/(VLOOKUP(EJ$72,INDIRECT($C$5&amp;"生成成长"),5))*(VLOOKUP($B$5,标准坦克设计!$B$24:$U$30,MATCH("对"&amp;LEFT($C$5,2)&amp;"输出",标准坦克设计!$B$23:$U$23,0)))*(VLOOKUP($B172,INDIRECT($B$5&amp;"生成成长"),3))*(VLOOKUP($B$5,标准坦克设计!$B$14:$K$20,9)/30))</f>
        <v>7.018367989254684</v>
      </c>
      <c r="EK172" s="173">
        <f ca="1">(VLOOKUP(EK$72,INDIRECT($C$5&amp;"生成成长"),2))/((VLOOKUP($B172,INDIRECT($B$5&amp;"生成成长"),4))/(VLOOKUP(EK$72,INDIRECT($C$5&amp;"生成成长"),5))*(VLOOKUP($B$5,标准坦克设计!$B$24:$U$30,MATCH("对"&amp;LEFT($C$5,2)&amp;"输出",标准坦克设计!$B$23:$U$23,0)))*(VLOOKUP($B172,INDIRECT($B$5&amp;"生成成长"),3))*(VLOOKUP($B$5,标准坦克设计!$B$14:$K$20,9)/30))</f>
        <v>7.5891269802683423</v>
      </c>
      <c r="EL172" s="173">
        <f ca="1">(VLOOKUP(EL$72,INDIRECT($C$5&amp;"生成成长"),2))/((VLOOKUP($B172,INDIRECT($B$5&amp;"生成成长"),4))/(VLOOKUP(EL$72,INDIRECT($C$5&amp;"生成成长"),5))*(VLOOKUP($B$5,标准坦克设计!$B$24:$U$30,MATCH("对"&amp;LEFT($C$5,2)&amp;"输出",标准坦克设计!$B$23:$U$23,0)))*(VLOOKUP($B172,INDIRECT($B$5&amp;"生成成长"),3))*(VLOOKUP($B$5,标准坦克设计!$B$14:$K$20,9)/30))</f>
        <v>8.1821957689763458</v>
      </c>
      <c r="EM172" s="173">
        <f ca="1">(VLOOKUP(EM$72,INDIRECT($C$5&amp;"生成成长"),2))/((VLOOKUP($B172,INDIRECT($B$5&amp;"生成成长"),4))/(VLOOKUP(EM$72,INDIRECT($C$5&amp;"生成成长"),5))*(VLOOKUP($B$5,标准坦克设计!$B$24:$U$30,MATCH("对"&amp;LEFT($C$5,2)&amp;"输出",标准坦克设计!$B$23:$U$23,0)))*(VLOOKUP($B172,INDIRECT($B$5&amp;"生成成长"),3))*(VLOOKUP($B$5,标准坦克设计!$B$14:$K$20,9)/30))</f>
        <v>8.7975743553786945</v>
      </c>
      <c r="EN172" s="173">
        <f ca="1">(VLOOKUP(EN$72,INDIRECT($C$5&amp;"生成成长"),2))/((VLOOKUP($B172,INDIRECT($B$5&amp;"生成成长"),4))/(VLOOKUP(EN$72,INDIRECT($C$5&amp;"生成成长"),5))*(VLOOKUP($B$5,标准坦克设计!$B$24:$U$30,MATCH("对"&amp;LEFT($C$5,2)&amp;"输出",标准坦克设计!$B$23:$U$23,0)))*(VLOOKUP($B172,INDIRECT($B$5&amp;"生成成长"),3))*(VLOOKUP($B$5,标准坦克设计!$B$14:$K$20,9)/30))</f>
        <v>9.4352627394753874</v>
      </c>
      <c r="EO172" s="173">
        <f ca="1">(VLOOKUP(EO$72,INDIRECT($C$5&amp;"生成成长"),2))/((VLOOKUP($B172,INDIRECT($B$5&amp;"生成成长"),4))/(VLOOKUP(EO$72,INDIRECT($C$5&amp;"生成成长"),5))*(VLOOKUP($B$5,标准坦克设计!$B$24:$U$30,MATCH("对"&amp;LEFT($C$5,2)&amp;"输出",标准坦克设计!$B$23:$U$23,0)))*(VLOOKUP($B172,INDIRECT($B$5&amp;"生成成长"),3))*(VLOOKUP($B$5,标准坦克设计!$B$14:$K$20,9)/30))</f>
        <v>10.095260921266426</v>
      </c>
      <c r="EP172" s="173">
        <f ca="1">(VLOOKUP(EP$72,INDIRECT($C$5&amp;"生成成长"),2))/((VLOOKUP($B172,INDIRECT($B$5&amp;"生成成长"),4))/(VLOOKUP(EP$72,INDIRECT($C$5&amp;"生成成长"),5))*(VLOOKUP($B$5,标准坦克设计!$B$24:$U$30,MATCH("对"&amp;LEFT($C$5,2)&amp;"输出",标准坦克设计!$B$23:$U$23,0)))*(VLOOKUP($B172,INDIRECT($B$5&amp;"生成成长"),3))*(VLOOKUP($B$5,标准坦克设计!$B$14:$K$20,9)/30))</f>
        <v>10.77756890075181</v>
      </c>
      <c r="EQ172" s="173">
        <f ca="1">(VLOOKUP(EQ$72,INDIRECT($C$5&amp;"生成成长"),2))/((VLOOKUP($B172,INDIRECT($B$5&amp;"生成成长"),4))/(VLOOKUP(EQ$72,INDIRECT($C$5&amp;"生成成长"),5))*(VLOOKUP($B$5,标准坦克设计!$B$24:$U$30,MATCH("对"&amp;LEFT($C$5,2)&amp;"输出",标准坦克设计!$B$23:$U$23,0)))*(VLOOKUP($B172,INDIRECT($B$5&amp;"生成成长"),3))*(VLOOKUP($B$5,标准坦克设计!$B$14:$K$20,9)/30))</f>
        <v>4.7643812409478921</v>
      </c>
      <c r="ER172" s="173">
        <f ca="1">(VLOOKUP(ER$72,INDIRECT($C$5&amp;"生成成长"),2))/((VLOOKUP($B172,INDIRECT($B$5&amp;"生成成长"),4))/(VLOOKUP(ER$72,INDIRECT($C$5&amp;"生成成长"),5))*(VLOOKUP($B$5,标准坦克设计!$B$24:$U$30,MATCH("对"&amp;LEFT($C$5,2)&amp;"输出",标准坦克设计!$B$23:$U$23,0)))*(VLOOKUP($B172,INDIRECT($B$5&amp;"生成成长"),3))*(VLOOKUP($B$5,标准坦克设计!$B$14:$K$20,9)/30))</f>
        <v>5.1964011775498431</v>
      </c>
      <c r="ES172" s="173">
        <f ca="1">(VLOOKUP(ES$72,INDIRECT($C$5&amp;"生成成长"),2))/((VLOOKUP($B172,INDIRECT($B$5&amp;"生成成长"),4))/(VLOOKUP(ES$72,INDIRECT($C$5&amp;"生成成长"),5))*(VLOOKUP($B$5,标准坦克设计!$B$24:$U$30,MATCH("对"&amp;LEFT($C$5,2)&amp;"输出",标准坦克设计!$B$23:$U$23,0)))*(VLOOKUP($B172,INDIRECT($B$5&amp;"生成成长"),3))*(VLOOKUP($B$5,标准坦克设计!$B$14:$K$20,9)/30))</f>
        <v>5.6471675413810711</v>
      </c>
      <c r="ET172" s="173">
        <f ca="1">(VLOOKUP(ET$72,INDIRECT($C$5&amp;"生成成长"),2))/((VLOOKUP($B172,INDIRECT($B$5&amp;"生成成长"),4))/(VLOOKUP(ET$72,INDIRECT($C$5&amp;"生成成长"),5))*(VLOOKUP($B$5,标准坦克设计!$B$24:$U$30,MATCH("对"&amp;LEFT($C$5,2)&amp;"输出",标准坦克设计!$B$23:$U$23,0)))*(VLOOKUP($B172,INDIRECT($B$5&amp;"生成成长"),3))*(VLOOKUP($B$5,标准坦克设计!$B$14:$K$20,9)/30))</f>
        <v>6.1166803324415735</v>
      </c>
      <c r="EU172" s="173">
        <f ca="1">(VLOOKUP(EU$72,INDIRECT($C$5&amp;"生成成长"),2))/((VLOOKUP($B172,INDIRECT($B$5&amp;"生成成长"),4))/(VLOOKUP(EU$72,INDIRECT($C$5&amp;"生成成长"),5))*(VLOOKUP($B$5,标准坦克设计!$B$24:$U$30,MATCH("对"&amp;LEFT($C$5,2)&amp;"输出",标准坦克设计!$B$23:$U$23,0)))*(VLOOKUP($B172,INDIRECT($B$5&amp;"生成成长"),3))*(VLOOKUP($B$5,标准坦克设计!$B$14:$K$20,9)/30))</f>
        <v>6.604939550731352</v>
      </c>
      <c r="EV172" s="173">
        <f ca="1">(VLOOKUP(EV$72,INDIRECT($C$5&amp;"生成成长"),2))/((VLOOKUP($B172,INDIRECT($B$5&amp;"生成成长"),4))/(VLOOKUP(EV$72,INDIRECT($C$5&amp;"生成成长"),5))*(VLOOKUP($B$5,标准坦克设计!$B$24:$U$30,MATCH("对"&amp;LEFT($C$5,2)&amp;"输出",标准坦克设计!$B$23:$U$23,0)))*(VLOOKUP($B172,INDIRECT($B$5&amp;"生成成长"),3))*(VLOOKUP($B$5,标准坦克设计!$B$14:$K$20,9)/30))</f>
        <v>7.1119451962504092</v>
      </c>
      <c r="EW172" s="173">
        <f ca="1">(VLOOKUP(EW$72,INDIRECT($C$5&amp;"生成成长"),2))/((VLOOKUP($B172,INDIRECT($B$5&amp;"生成成长"),4))/(VLOOKUP(EW$72,INDIRECT($C$5&amp;"生成成长"),5))*(VLOOKUP($B$5,标准坦克设计!$B$24:$U$30,MATCH("对"&amp;LEFT($C$5,2)&amp;"输出",标准坦克设计!$B$23:$U$23,0)))*(VLOOKUP($B172,INDIRECT($B$5&amp;"生成成长"),3))*(VLOOKUP($B$5,标准坦克设计!$B$14:$K$20,9)/30))</f>
        <v>7.637697268998739</v>
      </c>
      <c r="EX172" s="173">
        <f ca="1">(VLOOKUP(EX$72,INDIRECT($C$5&amp;"生成成长"),2))/((VLOOKUP($B172,INDIRECT($B$5&amp;"生成成长"),4))/(VLOOKUP(EX$72,INDIRECT($C$5&amp;"生成成长"),5))*(VLOOKUP($B$5,标准坦克设计!$B$24:$U$30,MATCH("对"&amp;LEFT($C$5,2)&amp;"输出",标准坦克设计!$B$23:$U$23,0)))*(VLOOKUP($B172,INDIRECT($B$5&amp;"生成成长"),3))*(VLOOKUP($B$5,标准坦克设计!$B$14:$K$20,9)/30))</f>
        <v>8.1821957689763458</v>
      </c>
      <c r="EY172" s="173">
        <f ca="1">(VLOOKUP(EY$72,INDIRECT($C$5&amp;"生成成长"),2))/((VLOOKUP($B172,INDIRECT($B$5&amp;"生成成长"),4))/(VLOOKUP(EY$72,INDIRECT($C$5&amp;"生成成长"),5))*(VLOOKUP($B$5,标准坦克设计!$B$24:$U$30,MATCH("对"&amp;LEFT($C$5,2)&amp;"输出",标准坦克设计!$B$23:$U$23,0)))*(VLOOKUP($B172,INDIRECT($B$5&amp;"生成成长"),3))*(VLOOKUP($B$5,标准坦克设计!$B$14:$K$20,9)/30))</f>
        <v>8.7454406961832305</v>
      </c>
      <c r="EZ172" s="173">
        <f ca="1">(VLOOKUP(EZ$72,INDIRECT($C$5&amp;"生成成长"),2))/((VLOOKUP($B172,INDIRECT($B$5&amp;"生成成长"),4))/(VLOOKUP(EZ$72,INDIRECT($C$5&amp;"生成成长"),5))*(VLOOKUP($B$5,标准坦克设计!$B$24:$U$30,MATCH("对"&amp;LEFT($C$5,2)&amp;"输出",标准坦克设计!$B$23:$U$23,0)))*(VLOOKUP($B172,INDIRECT($B$5&amp;"生成成长"),3))*(VLOOKUP($B$5,标准坦克设计!$B$14:$K$20,9)/30))</f>
        <v>9.327432050619386</v>
      </c>
      <c r="FA172" s="173">
        <f ca="1">(VLOOKUP(FA$72,INDIRECT($C$5&amp;"生成成长"),2))/((VLOOKUP($B172,INDIRECT($B$5&amp;"生成成长"),4))/(VLOOKUP(FA$72,INDIRECT($C$5&amp;"生成成长"),5))*(VLOOKUP($B$5,标准坦克设计!$B$24:$U$30,MATCH("对"&amp;LEFT($C$5,2)&amp;"输出",标准坦克设计!$B$23:$U$23,0)))*(VLOOKUP($B172,INDIRECT($B$5&amp;"生成成长"),3))*(VLOOKUP($B$5,标准坦克设计!$B$14:$K$20,9)/30))</f>
        <v>9.9281698322848229</v>
      </c>
      <c r="FB172" s="173">
        <f ca="1">(VLOOKUP(FB$72,INDIRECT($C$5&amp;"生成成长"),2))/((VLOOKUP($B172,INDIRECT($B$5&amp;"生成成长"),4))/(VLOOKUP(FB$72,INDIRECT($C$5&amp;"生成成长"),5))*(VLOOKUP($B$5,标准坦克设计!$B$24:$U$30,MATCH("对"&amp;LEFT($C$5,2)&amp;"输出",标准坦克设计!$B$23:$U$23,0)))*(VLOOKUP($B172,INDIRECT($B$5&amp;"生成成长"),3))*(VLOOKUP($B$5,标准坦克设计!$B$14:$K$20,9)/30))</f>
        <v>10.547654041179532</v>
      </c>
      <c r="FC172" s="173">
        <f ca="1">(VLOOKUP(FC$72,INDIRECT($C$5&amp;"生成成长"),2))/((VLOOKUP($B172,INDIRECT($B$5&amp;"生成成长"),4))/(VLOOKUP(FC$72,INDIRECT($C$5&amp;"生成成长"),5))*(VLOOKUP($B$5,标准坦克设计!$B$24:$U$30,MATCH("对"&amp;LEFT($C$5,2)&amp;"输出",标准坦克设计!$B$23:$U$23,0)))*(VLOOKUP($B172,INDIRECT($B$5&amp;"生成成长"),3))*(VLOOKUP($B$5,标准坦克设计!$B$14:$K$20,9)/30))</f>
        <v>11.185884677303518</v>
      </c>
      <c r="FD172" s="173">
        <f ca="1">(VLOOKUP(FD$72,INDIRECT($C$5&amp;"生成成长"),2))/((VLOOKUP($B172,INDIRECT($B$5&amp;"生成成长"),4))/(VLOOKUP(FD$72,INDIRECT($C$5&amp;"生成成长"),5))*(VLOOKUP($B$5,标准坦克设计!$B$24:$U$30,MATCH("对"&amp;LEFT($C$5,2)&amp;"输出",标准坦克设计!$B$23:$U$23,0)))*(VLOOKUP($B172,INDIRECT($B$5&amp;"生成成长"),3))*(VLOOKUP($B$5,标准坦克设计!$B$14:$K$20,9)/30))</f>
        <v>11.842861740656783</v>
      </c>
      <c r="FE172" s="173">
        <f ca="1">(VLOOKUP(FE$72,INDIRECT($C$5&amp;"生成成长"),2))/((VLOOKUP($B172,INDIRECT($B$5&amp;"生成成长"),4))/(VLOOKUP(FE$72,INDIRECT($C$5&amp;"生成成长"),5))*(VLOOKUP($B$5,标准坦克设计!$B$24:$U$30,MATCH("对"&amp;LEFT($C$5,2)&amp;"输出",标准坦克设计!$B$23:$U$23,0)))*(VLOOKUP($B172,INDIRECT($B$5&amp;"生成成长"),3))*(VLOOKUP($B$5,标准坦克设计!$B$14:$K$20,9)/30))</f>
        <v>12.643458126667392</v>
      </c>
      <c r="FF172" s="173">
        <f ca="1">(VLOOKUP(FF$72,INDIRECT($C$5&amp;"生成成长"),2))/((VLOOKUP($B172,INDIRECT($B$5&amp;"生成成长"),4))/(VLOOKUP(FF$72,INDIRECT($C$5&amp;"生成成长"),5))*(VLOOKUP($B$5,标准坦克设计!$B$24:$U$30,MATCH("对"&amp;LEFT($C$5,2)&amp;"输出",标准坦克设计!$B$23:$U$23,0)))*(VLOOKUP($B172,INDIRECT($B$5&amp;"生成成长"),3))*(VLOOKUP($B$5,标准坦克设计!$B$14:$K$20,9)/30))</f>
        <v>13.470237539138726</v>
      </c>
      <c r="FG172" s="173">
        <f ca="1">(VLOOKUP(FG$72,INDIRECT($C$5&amp;"生成成长"),2))/((VLOOKUP($B172,INDIRECT($B$5&amp;"生成成长"),4))/(VLOOKUP(FG$72,INDIRECT($C$5&amp;"生成成长"),5))*(VLOOKUP($B$5,标准坦克设计!$B$24:$U$30,MATCH("对"&amp;LEFT($C$5,2)&amp;"输出",标准坦克设计!$B$23:$U$23,0)))*(VLOOKUP($B172,INDIRECT($B$5&amp;"生成成长"),3))*(VLOOKUP($B$5,标准坦克设计!$B$14:$K$20,9)/30))</f>
        <v>14.323199978070781</v>
      </c>
      <c r="FH172" s="173">
        <f ca="1">(VLOOKUP(FH$72,INDIRECT($C$5&amp;"生成成长"),2))/((VLOOKUP($B172,INDIRECT($B$5&amp;"生成成长"),4))/(VLOOKUP(FH$72,INDIRECT($C$5&amp;"生成成长"),5))*(VLOOKUP($B$5,标准坦克设计!$B$24:$U$30,MATCH("对"&amp;LEFT($C$5,2)&amp;"输出",标准坦克设计!$B$23:$U$23,0)))*(VLOOKUP($B172,INDIRECT($B$5&amp;"生成成长"),3))*(VLOOKUP($B$5,标准坦克设计!$B$14:$K$20,9)/30))</f>
        <v>15.202345443463564</v>
      </c>
      <c r="FI172" s="173">
        <f ca="1">(VLOOKUP(FI$72,INDIRECT($C$5&amp;"生成成长"),2))/((VLOOKUP($B172,INDIRECT($B$5&amp;"生成成长"),4))/(VLOOKUP(FI$72,INDIRECT($C$5&amp;"生成成长"),5))*(VLOOKUP($B$5,标准坦克设计!$B$24:$U$30,MATCH("对"&amp;LEFT($C$5,2)&amp;"输出",标准坦克设计!$B$23:$U$23,0)))*(VLOOKUP($B172,INDIRECT($B$5&amp;"生成成长"),3))*(VLOOKUP($B$5,标准坦克设计!$B$14:$K$20,9)/30))</f>
        <v>16.10767393531707</v>
      </c>
      <c r="FJ172" s="173">
        <f ca="1">(VLOOKUP(FJ$72,INDIRECT($C$5&amp;"生成成长"),2))/((VLOOKUP($B172,INDIRECT($B$5&amp;"生成成长"),4))/(VLOOKUP(FJ$72,INDIRECT($C$5&amp;"生成成长"),5))*(VLOOKUP($B$5,标准坦克设计!$B$24:$U$30,MATCH("对"&amp;LEFT($C$5,2)&amp;"输出",标准坦克设计!$B$23:$U$23,0)))*(VLOOKUP($B172,INDIRECT($B$5&amp;"生成成长"),3))*(VLOOKUP($B$5,标准坦克设计!$B$14:$K$20,9)/30))</f>
        <v>17.039185453631301</v>
      </c>
      <c r="FK172" s="173">
        <f ca="1">(VLOOKUP(FK$72,INDIRECT($C$5&amp;"生成成长"),2))/((VLOOKUP($B172,INDIRECT($B$5&amp;"生成成长"),4))/(VLOOKUP(FK$72,INDIRECT($C$5&amp;"生成成长"),5))*(VLOOKUP($B$5,标准坦克设计!$B$24:$U$30,MATCH("对"&amp;LEFT($C$5,2)&amp;"输出",标准坦克设计!$B$23:$U$23,0)))*(VLOOKUP($B172,INDIRECT($B$5&amp;"生成成长"),3))*(VLOOKUP($B$5,标准坦克设计!$B$14:$K$20,9)/30))</f>
        <v>17.996879998406254</v>
      </c>
    </row>
    <row r="173" spans="1:167" x14ac:dyDescent="0.15">
      <c r="A173" s="171" t="str">
        <f t="shared" si="12"/>
        <v>T5中品质11级</v>
      </c>
      <c r="B173" s="172">
        <v>20511</v>
      </c>
      <c r="C173" s="173">
        <f ca="1">(VLOOKUP(C$72,INDIRECT($C$5&amp;"生成成长"),2))/((VLOOKUP($B173,INDIRECT($B$5&amp;"生成成长"),4))/(VLOOKUP(C$72,INDIRECT($C$5&amp;"生成成长"),5))*(VLOOKUP($B$5,标准坦克设计!$B$24:$U$30,MATCH("对"&amp;LEFT($C$5,2)&amp;"输出",标准坦克设计!$B$23:$U$23,0)))*(VLOOKUP($B173,INDIRECT($B$5&amp;"生成成长"),3))*(VLOOKUP($B$5,标准坦克设计!$B$14:$K$20,9)/30))</f>
        <v>0.72913991310228154</v>
      </c>
      <c r="D173" s="173">
        <f ca="1">(VLOOKUP(D$72,INDIRECT($C$5&amp;"生成成长"),2))/((VLOOKUP($B173,INDIRECT($B$5&amp;"生成成长"),4))/(VLOOKUP(D$72,INDIRECT($C$5&amp;"生成成长"),5))*(VLOOKUP($B$5,标准坦克设计!$B$24:$U$30,MATCH("对"&amp;LEFT($C$5,2)&amp;"输出",标准坦克设计!$B$23:$U$23,0)))*(VLOOKUP($B173,INDIRECT($B$5&amp;"生成成长"),3))*(VLOOKUP($B$5,标准坦克设计!$B$14:$K$20,9)/30))</f>
        <v>0.81926160636172329</v>
      </c>
      <c r="E173" s="173">
        <f ca="1">(VLOOKUP(E$72,INDIRECT($C$5&amp;"生成成长"),2))/((VLOOKUP($B173,INDIRECT($B$5&amp;"生成成长"),4))/(VLOOKUP(E$72,INDIRECT($C$5&amp;"生成成长"),5))*(VLOOKUP($B$5,标准坦克设计!$B$24:$U$30,MATCH("对"&amp;LEFT($C$5,2)&amp;"输出",标准坦克设计!$B$23:$U$23,0)))*(VLOOKUP($B173,INDIRECT($B$5&amp;"生成成长"),3))*(VLOOKUP($B$5,标准坦克设计!$B$14:$K$20,9)/30))</f>
        <v>0.91463310699550182</v>
      </c>
      <c r="F173" s="173">
        <f ca="1">(VLOOKUP(F$72,INDIRECT($C$5&amp;"生成成长"),2))/((VLOOKUP($B173,INDIRECT($B$5&amp;"生成成长"),4))/(VLOOKUP(F$72,INDIRECT($C$5&amp;"生成成长"),5))*(VLOOKUP($B$5,标准坦克设计!$B$24:$U$30,MATCH("对"&amp;LEFT($C$5,2)&amp;"输出",标准坦克设计!$B$23:$U$23,0)))*(VLOOKUP($B173,INDIRECT($B$5&amp;"生成成长"),3))*(VLOOKUP($B$5,标准坦克设计!$B$14:$K$20,9)/30))</f>
        <v>1.0152544150036167</v>
      </c>
      <c r="G173" s="173">
        <f ca="1">(VLOOKUP(G$72,INDIRECT($C$5&amp;"生成成长"),2))/((VLOOKUP($B173,INDIRECT($B$5&amp;"生成成长"),4))/(VLOOKUP(G$72,INDIRECT($C$5&amp;"生成成长"),5))*(VLOOKUP($B$5,标准坦克设计!$B$24:$U$30,MATCH("对"&amp;LEFT($C$5,2)&amp;"输出",标准坦克设计!$B$23:$U$23,0)))*(VLOOKUP($B173,INDIRECT($B$5&amp;"生成成长"),3))*(VLOOKUP($B$5,标准坦克设计!$B$14:$K$20,9)/30))</f>
        <v>1.1211255303860679</v>
      </c>
      <c r="H173" s="173">
        <f ca="1">(VLOOKUP(H$72,INDIRECT($C$5&amp;"生成成长"),2))/((VLOOKUP($B173,INDIRECT($B$5&amp;"生成成长"),4))/(VLOOKUP(H$72,INDIRECT($C$5&amp;"生成成长"),5))*(VLOOKUP($B$5,标准坦克设计!$B$24:$U$30,MATCH("对"&amp;LEFT($C$5,2)&amp;"输出",标准坦克设计!$B$23:$U$23,0)))*(VLOOKUP($B173,INDIRECT($B$5&amp;"生成成长"),3))*(VLOOKUP($B$5,标准坦克设计!$B$14:$K$20,9)/30))</f>
        <v>0.98113066707042984</v>
      </c>
      <c r="I173" s="173">
        <f ca="1">(VLOOKUP(I$72,INDIRECT($C$5&amp;"生成成长"),2))/((VLOOKUP($B173,INDIRECT($B$5&amp;"生成成长"),4))/(VLOOKUP(I$72,INDIRECT($C$5&amp;"生成成长"),5))*(VLOOKUP($B$5,标准坦克设计!$B$24:$U$30,MATCH("对"&amp;LEFT($C$5,2)&amp;"输出",标准坦克设计!$B$23:$U$23,0)))*(VLOOKUP($B173,INDIRECT($B$5&amp;"生成成长"),3))*(VLOOKUP($B$5,标准坦克设计!$B$14:$K$20,9)/30))</f>
        <v>1.1211255303860679</v>
      </c>
      <c r="J173" s="173">
        <f ca="1">(VLOOKUP(J$72,INDIRECT($C$5&amp;"生成成长"),2))/((VLOOKUP($B173,INDIRECT($B$5&amp;"生成成长"),4))/(VLOOKUP(J$72,INDIRECT($C$5&amp;"生成成长"),5))*(VLOOKUP($B$5,标准坦克设计!$B$24:$U$30,MATCH("对"&amp;LEFT($C$5,2)&amp;"输出",标准坦克设计!$B$23:$U$23,0)))*(VLOOKUP($B173,INDIRECT($B$5&amp;"生成成长"),3))*(VLOOKUP($B$5,标准坦克设计!$B$14:$K$20,9)/30))</f>
        <v>1.2704533845894153</v>
      </c>
      <c r="K173" s="173">
        <f ca="1">(VLOOKUP(K$72,INDIRECT($C$5&amp;"生成成长"),2))/((VLOOKUP($B173,INDIRECT($B$5&amp;"生成成长"),4))/(VLOOKUP(K$72,INDIRECT($C$5&amp;"生成成长"),5))*(VLOOKUP($B$5,标准坦克设计!$B$24:$U$30,MATCH("对"&amp;LEFT($C$5,2)&amp;"输出",标准坦克设计!$B$23:$U$23,0)))*(VLOOKUP($B173,INDIRECT($B$5&amp;"生成成长"),3))*(VLOOKUP($B$5,标准坦克设计!$B$14:$K$20,9)/30))</f>
        <v>1.4291142296804715</v>
      </c>
      <c r="L173" s="173">
        <f ca="1">(VLOOKUP(L$72,INDIRECT($C$5&amp;"生成成长"),2))/((VLOOKUP($B173,INDIRECT($B$5&amp;"生成成长"),4))/(VLOOKUP(L$72,INDIRECT($C$5&amp;"生成成长"),5))*(VLOOKUP($B$5,标准坦克设计!$B$24:$U$30,MATCH("对"&amp;LEFT($C$5,2)&amp;"输出",标准坦克设计!$B$23:$U$23,0)))*(VLOOKUP($B173,INDIRECT($B$5&amp;"生成成长"),3))*(VLOOKUP($B$5,标准坦克设计!$B$14:$K$20,9)/30))</f>
        <v>1.5971080656592371</v>
      </c>
      <c r="M173" s="173">
        <f ca="1">(VLOOKUP(M$72,INDIRECT($C$5&amp;"生成成长"),2))/((VLOOKUP($B173,INDIRECT($B$5&amp;"生成成长"),4))/(VLOOKUP(M$72,INDIRECT($C$5&amp;"生成成长"),5))*(VLOOKUP($B$5,标准坦克设计!$B$24:$U$30,MATCH("对"&amp;LEFT($C$5,2)&amp;"输出",标准坦克设计!$B$23:$U$23,0)))*(VLOOKUP($B173,INDIRECT($B$5&amp;"生成成长"),3))*(VLOOKUP($B$5,标准坦克设计!$B$14:$K$20,9)/30))</f>
        <v>1.7744348925257121</v>
      </c>
      <c r="N173" s="173">
        <f ca="1">(VLOOKUP(N$72,INDIRECT($C$5&amp;"生成成长"),2))/((VLOOKUP($B173,INDIRECT($B$5&amp;"生成成长"),4))/(VLOOKUP(N$72,INDIRECT($C$5&amp;"生成成长"),5))*(VLOOKUP($B$5,标准坦克设计!$B$24:$U$30,MATCH("对"&amp;LEFT($C$5,2)&amp;"输出",标准坦克设计!$B$23:$U$23,0)))*(VLOOKUP($B173,INDIRECT($B$5&amp;"生成成长"),3))*(VLOOKUP($B$5,标准坦克设计!$B$14:$K$20,9)/30))</f>
        <v>1.9610947102798959</v>
      </c>
      <c r="O173" s="173">
        <f ca="1">(VLOOKUP(O$72,INDIRECT($C$5&amp;"生成成长"),2))/((VLOOKUP($B173,INDIRECT($B$5&amp;"生成成长"),4))/(VLOOKUP(O$72,INDIRECT($C$5&amp;"生成成长"),5))*(VLOOKUP($B$5,标准坦克设计!$B$24:$U$30,MATCH("对"&amp;LEFT($C$5,2)&amp;"输出",标准坦克设计!$B$23:$U$23,0)))*(VLOOKUP($B173,INDIRECT($B$5&amp;"生成成长"),3))*(VLOOKUP($B$5,标准坦克设计!$B$14:$K$20,9)/30))</f>
        <v>1.4910182083028554</v>
      </c>
      <c r="P173" s="173">
        <f ca="1">(VLOOKUP(P$72,INDIRECT($C$5&amp;"生成成长"),2))/((VLOOKUP($B173,INDIRECT($B$5&amp;"生成成长"),4))/(VLOOKUP(P$72,INDIRECT($C$5&amp;"生成成长"),5))*(VLOOKUP($B$5,标准坦克设计!$B$24:$U$30,MATCH("对"&amp;LEFT($C$5,2)&amp;"输出",标准坦克设计!$B$23:$U$23,0)))*(VLOOKUP($B173,INDIRECT($B$5&amp;"生成成长"),3))*(VLOOKUP($B$5,标准坦克设计!$B$14:$K$20,9)/30))</f>
        <v>1.6846048552315112</v>
      </c>
      <c r="Q173" s="173">
        <f ca="1">(VLOOKUP(Q$72,INDIRECT($C$5&amp;"生成成长"),2))/((VLOOKUP($B173,INDIRECT($B$5&amp;"生成成长"),4))/(VLOOKUP(Q$72,INDIRECT($C$5&amp;"生成成长"),5))*(VLOOKUP($B$5,标准坦克设计!$B$24:$U$30,MATCH("对"&amp;LEFT($C$5,2)&amp;"输出",标准坦克设计!$B$23:$U$23,0)))*(VLOOKUP($B173,INDIRECT($B$5&amp;"生成成长"),3))*(VLOOKUP($B$5,标准坦克设计!$B$14:$K$20,9)/30))</f>
        <v>1.8900035687524237</v>
      </c>
      <c r="R173" s="173">
        <f ca="1">(VLOOKUP(R$72,INDIRECT($C$5&amp;"生成成长"),2))/((VLOOKUP($B173,INDIRECT($B$5&amp;"生成成长"),4))/(VLOOKUP(R$72,INDIRECT($C$5&amp;"生成成长"),5))*(VLOOKUP($B$5,标准坦克设计!$B$24:$U$30,MATCH("对"&amp;LEFT($C$5,2)&amp;"输出",标准坦克设计!$B$23:$U$23,0)))*(VLOOKUP($B173,INDIRECT($B$5&amp;"生成成长"),3))*(VLOOKUP($B$5,标准坦克设计!$B$14:$K$20,9)/30))</f>
        <v>2.1072143488655932</v>
      </c>
      <c r="S173" s="173">
        <f ca="1">(VLOOKUP(S$72,INDIRECT($C$5&amp;"生成成长"),2))/((VLOOKUP($B173,INDIRECT($B$5&amp;"生成成长"),4))/(VLOOKUP(S$72,INDIRECT($C$5&amp;"生成成长"),5))*(VLOOKUP($B$5,标准坦克设计!$B$24:$U$30,MATCH("对"&amp;LEFT($C$5,2)&amp;"输出",标准坦克设计!$B$23:$U$23,0)))*(VLOOKUP($B173,INDIRECT($B$5&amp;"生成成长"),3))*(VLOOKUP($B$5,标准坦克设计!$B$14:$K$20,9)/30))</f>
        <v>2.3362371955710199</v>
      </c>
      <c r="T173" s="173">
        <f ca="1">(VLOOKUP(T$72,INDIRECT($C$5&amp;"生成成长"),2))/((VLOOKUP($B173,INDIRECT($B$5&amp;"生成成长"),4))/(VLOOKUP(T$72,INDIRECT($C$5&amp;"生成成长"),5))*(VLOOKUP($B$5,标准坦克设计!$B$24:$U$30,MATCH("对"&amp;LEFT($C$5,2)&amp;"输出",标准坦克设计!$B$23:$U$23,0)))*(VLOOKUP($B173,INDIRECT($B$5&amp;"生成成长"),3))*(VLOOKUP($B$5,标准坦克设计!$B$14:$K$20,9)/30))</f>
        <v>2.5770721088687032</v>
      </c>
      <c r="U173" s="173">
        <f ca="1">(VLOOKUP(U$72,INDIRECT($C$5&amp;"生成成长"),2))/((VLOOKUP($B173,INDIRECT($B$5&amp;"生成成长"),4))/(VLOOKUP(U$72,INDIRECT($C$5&amp;"生成成长"),5))*(VLOOKUP($B$5,标准坦克设计!$B$24:$U$30,MATCH("对"&amp;LEFT($C$5,2)&amp;"输出",标准坦克设计!$B$23:$U$23,0)))*(VLOOKUP($B173,INDIRECT($B$5&amp;"生成成长"),3))*(VLOOKUP($B$5,标准坦克设计!$B$14:$K$20,9)/30))</f>
        <v>2.8297190887586443</v>
      </c>
      <c r="V173" s="173">
        <f ca="1">(VLOOKUP(V$72,INDIRECT($C$5&amp;"生成成长"),2))/((VLOOKUP($B173,INDIRECT($B$5&amp;"生成成长"),4))/(VLOOKUP(V$72,INDIRECT($C$5&amp;"生成成长"),5))*(VLOOKUP($B$5,标准坦克设计!$B$24:$U$30,MATCH("对"&amp;LEFT($C$5,2)&amp;"输出",标准坦克设计!$B$23:$U$23,0)))*(VLOOKUP($B173,INDIRECT($B$5&amp;"生成成长"),3))*(VLOOKUP($B$5,标准坦克设计!$B$14:$K$20,9)/30))</f>
        <v>3.0941781352408415</v>
      </c>
      <c r="W173" s="173">
        <f ca="1">(VLOOKUP(W$72,INDIRECT($C$5&amp;"生成成长"),2))/((VLOOKUP($B173,INDIRECT($B$5&amp;"生成成长"),4))/(VLOOKUP(W$72,INDIRECT($C$5&amp;"生成成长"),5))*(VLOOKUP($B$5,标准坦克设计!$B$24:$U$30,MATCH("对"&amp;LEFT($C$5,2)&amp;"输出",标准坦克设计!$B$23:$U$23,0)))*(VLOOKUP($B173,INDIRECT($B$5&amp;"生成成长"),3))*(VLOOKUP($B$5,标准坦克设计!$B$14:$K$20,9)/30))</f>
        <v>3.3704492483152952</v>
      </c>
      <c r="X173" s="173">
        <f ca="1">(VLOOKUP(X$72,INDIRECT($C$5&amp;"生成成长"),2))/((VLOOKUP($B173,INDIRECT($B$5&amp;"生成成长"),4))/(VLOOKUP(X$72,INDIRECT($C$5&amp;"生成成长"),5))*(VLOOKUP($B$5,标准坦克设计!$B$24:$U$30,MATCH("对"&amp;LEFT($C$5,2)&amp;"输出",标准坦克设计!$B$23:$U$23,0)))*(VLOOKUP($B173,INDIRECT($B$5&amp;"生成成长"),3))*(VLOOKUP($B$5,标准坦克设计!$B$14:$K$20,9)/30))</f>
        <v>2.4418166549882301</v>
      </c>
      <c r="Y173" s="173">
        <f ca="1">(VLOOKUP(Y$72,INDIRECT($C$5&amp;"生成成长"),2))/((VLOOKUP($B173,INDIRECT($B$5&amp;"生成成长"),4))/(VLOOKUP(Y$72,INDIRECT($C$5&amp;"生成成长"),5))*(VLOOKUP($B$5,标准坦克设计!$B$24:$U$30,MATCH("对"&amp;LEFT($C$5,2)&amp;"输出",标准坦克设计!$B$23:$U$23,0)))*(VLOOKUP($B173,INDIRECT($B$5&amp;"生成成长"),3))*(VLOOKUP($B$5,标准坦克设计!$B$14:$K$20,9)/30))</f>
        <v>2.7159732623146882</v>
      </c>
      <c r="Z173" s="173">
        <f ca="1">(VLOOKUP(Z$72,INDIRECT($C$5&amp;"生成成长"),2))/((VLOOKUP($B173,INDIRECT($B$5&amp;"生成成长"),4))/(VLOOKUP(Z$72,INDIRECT($C$5&amp;"生成成长"),5))*(VLOOKUP($B$5,标准坦克设计!$B$24:$U$30,MATCH("对"&amp;LEFT($C$5,2)&amp;"输出",标准坦克设计!$B$23:$U$23,0)))*(VLOOKUP($B173,INDIRECT($B$5&amp;"生成成长"),3))*(VLOOKUP($B$5,标准坦克设计!$B$14:$K$20,9)/30))</f>
        <v>3.0047126679031915</v>
      </c>
      <c r="AA173" s="173">
        <f ca="1">(VLOOKUP(AA$72,INDIRECT($C$5&amp;"生成成长"),2))/((VLOOKUP($B173,INDIRECT($B$5&amp;"生成成长"),4))/(VLOOKUP(AA$72,INDIRECT($C$5&amp;"生成成长"),5))*(VLOOKUP($B$5,标准坦克设计!$B$24:$U$30,MATCH("对"&amp;LEFT($C$5,2)&amp;"输出",标准坦克设计!$B$23:$U$23,0)))*(VLOOKUP($B173,INDIRECT($B$5&amp;"生成成长"),3))*(VLOOKUP($B$5,标准坦克设计!$B$14:$K$20,9)/30))</f>
        <v>3.3080348717537409</v>
      </c>
      <c r="AB173" s="173">
        <f ca="1">(VLOOKUP(AB$72,INDIRECT($C$5&amp;"生成成长"),2))/((VLOOKUP($B173,INDIRECT($B$5&amp;"生成成长"),4))/(VLOOKUP(AB$72,INDIRECT($C$5&amp;"生成成长"),5))*(VLOOKUP($B$5,标准坦克设计!$B$24:$U$30,MATCH("对"&amp;LEFT($C$5,2)&amp;"输出",标准坦克设计!$B$23:$U$23,0)))*(VLOOKUP($B173,INDIRECT($B$5&amp;"生成成长"),3))*(VLOOKUP($B$5,标准坦克设计!$B$14:$K$20,9)/30))</f>
        <v>3.6259398738663355</v>
      </c>
      <c r="AC173" s="173">
        <f ca="1">(VLOOKUP(AC$72,INDIRECT($C$5&amp;"生成成长"),2))/((VLOOKUP($B173,INDIRECT($B$5&amp;"生成成长"),4))/(VLOOKUP(AC$72,INDIRECT($C$5&amp;"生成成长"),5))*(VLOOKUP($B$5,标准坦克设计!$B$24:$U$30,MATCH("对"&amp;LEFT($C$5,2)&amp;"输出",标准坦克设计!$B$23:$U$23,0)))*(VLOOKUP($B173,INDIRECT($B$5&amp;"生成成长"),3))*(VLOOKUP($B$5,标准坦克设计!$B$14:$K$20,9)/30))</f>
        <v>3.9584276742409759</v>
      </c>
      <c r="AD173" s="173">
        <f ca="1">(VLOOKUP(AD$72,INDIRECT($C$5&amp;"生成成长"),2))/((VLOOKUP($B173,INDIRECT($B$5&amp;"生成成长"),4))/(VLOOKUP(AD$72,INDIRECT($C$5&amp;"生成成长"),5))*(VLOOKUP($B$5,标准坦克设计!$B$24:$U$30,MATCH("对"&amp;LEFT($C$5,2)&amp;"输出",标准坦克设计!$B$23:$U$23,0)))*(VLOOKUP($B173,INDIRECT($B$5&amp;"生成成长"),3))*(VLOOKUP($B$5,标准坦克设计!$B$14:$K$20,9)/30))</f>
        <v>4.3054982728776618</v>
      </c>
      <c r="AE173" s="173">
        <f ca="1">(VLOOKUP(AE$72,INDIRECT($C$5&amp;"生成成长"),2))/((VLOOKUP($B173,INDIRECT($B$5&amp;"生成成长"),4))/(VLOOKUP(AE$72,INDIRECT($C$5&amp;"生成成长"),5))*(VLOOKUP($B$5,标准坦克设计!$B$24:$U$30,MATCH("对"&amp;LEFT($C$5,2)&amp;"输出",标准坦克设计!$B$23:$U$23,0)))*(VLOOKUP($B173,INDIRECT($B$5&amp;"生成成长"),3))*(VLOOKUP($B$5,标准坦克设计!$B$14:$K$20,9)/30))</f>
        <v>4.6671516697763931</v>
      </c>
      <c r="AF173" s="173">
        <f ca="1">(VLOOKUP(AF$72,INDIRECT($C$5&amp;"生成成长"),2))/((VLOOKUP($B173,INDIRECT($B$5&amp;"生成成长"),4))/(VLOOKUP(AF$72,INDIRECT($C$5&amp;"生成成长"),5))*(VLOOKUP($B$5,标准坦克设计!$B$24:$U$30,MATCH("对"&amp;LEFT($C$5,2)&amp;"输出",标准坦克设计!$B$23:$U$23,0)))*(VLOOKUP($B173,INDIRECT($B$5&amp;"生成成长"),3))*(VLOOKUP($B$5,标准坦克设计!$B$14:$K$20,9)/30))</f>
        <v>5.04338786493717</v>
      </c>
      <c r="AG173" s="173">
        <f ca="1">(VLOOKUP(AG$72,INDIRECT($C$5&amp;"生成成长"),2))/((VLOOKUP($B173,INDIRECT($B$5&amp;"生成成长"),4))/(VLOOKUP(AG$72,INDIRECT($C$5&amp;"生成成长"),5))*(VLOOKUP($B$5,标准坦克设计!$B$24:$U$30,MATCH("对"&amp;LEFT($C$5,2)&amp;"输出",标准坦克设计!$B$23:$U$23,0)))*(VLOOKUP($B173,INDIRECT($B$5&amp;"生成成长"),3))*(VLOOKUP($B$5,标准坦克设计!$B$14:$K$20,9)/30))</f>
        <v>5.4342068583599934</v>
      </c>
      <c r="AH173" s="173">
        <f ca="1">(VLOOKUP(AH$72,INDIRECT($C$5&amp;"生成成长"),2))/((VLOOKUP($B173,INDIRECT($B$5&amp;"生成成长"),4))/(VLOOKUP(AH$72,INDIRECT($C$5&amp;"生成成长"),5))*(VLOOKUP($B$5,标准坦克设计!$B$24:$U$30,MATCH("对"&amp;LEFT($C$5,2)&amp;"输出",标准坦克设计!$B$23:$U$23,0)))*(VLOOKUP($B173,INDIRECT($B$5&amp;"生成成长"),3))*(VLOOKUP($B$5,标准坦克设计!$B$14:$K$20,9)/30))</f>
        <v>5.8396086500448625</v>
      </c>
      <c r="AI173" s="173">
        <f ca="1">(VLOOKUP(AI$72,INDIRECT($C$5&amp;"生成成长"),2))/((VLOOKUP($B173,INDIRECT($B$5&amp;"生成成长"),4))/(VLOOKUP(AI$72,INDIRECT($C$5&amp;"生成成长"),5))*(VLOOKUP($B$5,标准坦克设计!$B$24:$U$30,MATCH("对"&amp;LEFT($C$5,2)&amp;"输出",标准坦克设计!$B$23:$U$23,0)))*(VLOOKUP($B173,INDIRECT($B$5&amp;"生成成长"),3))*(VLOOKUP($B$5,标准坦克设计!$B$14:$K$20,9)/30))</f>
        <v>4.1301401237765631</v>
      </c>
      <c r="AJ173" s="173">
        <f ca="1">(VLOOKUP(AJ$72,INDIRECT($C$5&amp;"生成成长"),2))/((VLOOKUP($B173,INDIRECT($B$5&amp;"生成成长"),4))/(VLOOKUP(AJ$72,INDIRECT($C$5&amp;"生成成长"),5))*(VLOOKUP($B$5,标准坦克设计!$B$24:$U$30,MATCH("对"&amp;LEFT($C$5,2)&amp;"输出",标准坦克设计!$B$23:$U$23,0)))*(VLOOKUP($B173,INDIRECT($B$5&amp;"生成成长"),3))*(VLOOKUP($B$5,标准坦克设计!$B$14:$K$20,9)/30))</f>
        <v>4.5207403752254551</v>
      </c>
      <c r="AK173" s="173">
        <f ca="1">(VLOOKUP(AK$72,INDIRECT($C$5&amp;"生成成长"),2))/((VLOOKUP($B173,INDIRECT($B$5&amp;"生成成长"),4))/(VLOOKUP(AK$72,INDIRECT($C$5&amp;"生成成长"),5))*(VLOOKUP($B$5,标准坦克设计!$B$24:$U$30,MATCH("对"&amp;LEFT($C$5,2)&amp;"输出",标准坦克设计!$B$23:$U$23,0)))*(VLOOKUP($B173,INDIRECT($B$5&amp;"生成成长"),3))*(VLOOKUP($B$5,标准坦克设计!$B$14:$K$20,9)/30))</f>
        <v>4.9289858125714225</v>
      </c>
      <c r="AL173" s="173">
        <f ca="1">(VLOOKUP(AL$72,INDIRECT($C$5&amp;"生成成长"),2))/((VLOOKUP($B173,INDIRECT($B$5&amp;"生成成长"),4))/(VLOOKUP(AL$72,INDIRECT($C$5&amp;"生成成长"),5))*(VLOOKUP($B$5,标准坦克设计!$B$24:$U$30,MATCH("对"&amp;LEFT($C$5,2)&amp;"输出",标准坦克设计!$B$23:$U$23,0)))*(VLOOKUP($B173,INDIRECT($B$5&amp;"生成成长"),3))*(VLOOKUP($B$5,标准坦克设计!$B$14:$K$20,9)/30))</f>
        <v>5.3548764358144654</v>
      </c>
      <c r="AM173" s="173">
        <f ca="1">(VLOOKUP(AM$72,INDIRECT($C$5&amp;"生成成长"),2))/((VLOOKUP($B173,INDIRECT($B$5&amp;"生成成长"),4))/(VLOOKUP(AM$72,INDIRECT($C$5&amp;"生成成长"),5))*(VLOOKUP($B$5,标准坦克设计!$B$24:$U$30,MATCH("对"&amp;LEFT($C$5,2)&amp;"输出",标准坦克设计!$B$23:$U$23,0)))*(VLOOKUP($B173,INDIRECT($B$5&amp;"生成成长"),3))*(VLOOKUP($B$5,标准坦克设计!$B$14:$K$20,9)/30))</f>
        <v>5.7984122449545827</v>
      </c>
      <c r="AN173" s="173">
        <f ca="1">(VLOOKUP(AN$72,INDIRECT($C$5&amp;"生成成长"),2))/((VLOOKUP($B173,INDIRECT($B$5&amp;"生成成长"),4))/(VLOOKUP(AN$72,INDIRECT($C$5&amp;"生成成长"),5))*(VLOOKUP($B$5,标准坦克设计!$B$24:$U$30,MATCH("对"&amp;LEFT($C$5,2)&amp;"输出",标准坦克设计!$B$23:$U$23,0)))*(VLOOKUP($B173,INDIRECT($B$5&amp;"生成成长"),3))*(VLOOKUP($B$5,标准坦克设计!$B$14:$K$20,9)/30))</f>
        <v>6.2595932399917764</v>
      </c>
      <c r="AO173" s="173">
        <f ca="1">(VLOOKUP(AO$72,INDIRECT($C$5&amp;"生成成长"),2))/((VLOOKUP($B173,INDIRECT($B$5&amp;"生成成长"),4))/(VLOOKUP(AO$72,INDIRECT($C$5&amp;"生成成长"),5))*(VLOOKUP($B$5,标准坦克设计!$B$24:$U$30,MATCH("对"&amp;LEFT($C$5,2)&amp;"输出",标准坦克设计!$B$23:$U$23,0)))*(VLOOKUP($B173,INDIRECT($B$5&amp;"生成成长"),3))*(VLOOKUP($B$5,标准坦克设计!$B$14:$K$20,9)/30))</f>
        <v>6.7384194209260446</v>
      </c>
      <c r="AP173" s="173">
        <f ca="1">(VLOOKUP(AP$72,INDIRECT($C$5&amp;"生成成长"),2))/((VLOOKUP($B173,INDIRECT($B$5&amp;"生成成长"),4))/(VLOOKUP(AP$72,INDIRECT($C$5&amp;"生成成长"),5))*(VLOOKUP($B$5,标准坦克设计!$B$24:$U$30,MATCH("对"&amp;LEFT($C$5,2)&amp;"输出",标准坦克设计!$B$23:$U$23,0)))*(VLOOKUP($B173,INDIRECT($B$5&amp;"生成成长"),3))*(VLOOKUP($B$5,标准坦克设计!$B$14:$K$20,9)/30))</f>
        <v>7.2348907877573874</v>
      </c>
      <c r="AQ173" s="173">
        <f ca="1">(VLOOKUP(AQ$72,INDIRECT($C$5&amp;"生成成长"),2))/((VLOOKUP($B173,INDIRECT($B$5&amp;"生成成长"),4))/(VLOOKUP(AQ$72,INDIRECT($C$5&amp;"生成成长"),5))*(VLOOKUP($B$5,标准坦克设计!$B$24:$U$30,MATCH("对"&amp;LEFT($C$5,2)&amp;"输出",标准坦克设计!$B$23:$U$23,0)))*(VLOOKUP($B173,INDIRECT($B$5&amp;"生成成长"),3))*(VLOOKUP($B$5,标准坦克设计!$B$14:$K$20,9)/30))</f>
        <v>7.7490073404858064</v>
      </c>
      <c r="AR173" s="173">
        <f ca="1">(VLOOKUP(AR$72,INDIRECT($C$5&amp;"生成成长"),2))/((VLOOKUP($B173,INDIRECT($B$5&amp;"生成成长"),4))/(VLOOKUP(AR$72,INDIRECT($C$5&amp;"生成成长"),5))*(VLOOKUP($B$5,标准坦克设计!$B$24:$U$30,MATCH("对"&amp;LEFT($C$5,2)&amp;"输出",标准坦克设计!$B$23:$U$23,0)))*(VLOOKUP($B173,INDIRECT($B$5&amp;"生成成长"),3))*(VLOOKUP($B$5,标准坦克设计!$B$14:$K$20,9)/30))</f>
        <v>8.2807690791112982</v>
      </c>
      <c r="AS173" s="173">
        <f ca="1">(VLOOKUP(AS$72,INDIRECT($C$5&amp;"生成成长"),2))/((VLOOKUP($B173,INDIRECT($B$5&amp;"生成成长"),4))/(VLOOKUP(AS$72,INDIRECT($C$5&amp;"生成成长"),5))*(VLOOKUP($B$5,标准坦克设计!$B$24:$U$30,MATCH("对"&amp;LEFT($C$5,2)&amp;"输出",标准坦克设计!$B$23:$U$23,0)))*(VLOOKUP($B173,INDIRECT($B$5&amp;"生成成长"),3))*(VLOOKUP($B$5,标准坦克设计!$B$14:$K$20,9)/30))</f>
        <v>8.8301760036338681</v>
      </c>
      <c r="AT173" s="173">
        <f ca="1">(VLOOKUP(AT$72,INDIRECT($C$5&amp;"生成成长"),2))/((VLOOKUP($B173,INDIRECT($B$5&amp;"生成成长"),4))/(VLOOKUP(AT$72,INDIRECT($C$5&amp;"生成成长"),5))*(VLOOKUP($B$5,标准坦克设计!$B$24:$U$30,MATCH("对"&amp;LEFT($C$5,2)&amp;"输出",标准坦克设计!$B$23:$U$23,0)))*(VLOOKUP($B173,INDIRECT($B$5&amp;"生成成长"),3))*(VLOOKUP($B$5,标准坦克设计!$B$14:$K$20,9)/30))</f>
        <v>9.3972281140535134</v>
      </c>
      <c r="AU173" s="173">
        <f ca="1">(VLOOKUP(AU$72,INDIRECT($C$5&amp;"生成成长"),2))/((VLOOKUP($B173,INDIRECT($B$5&amp;"生成成长"),4))/(VLOOKUP(AU$72,INDIRECT($C$5&amp;"生成成长"),5))*(VLOOKUP($B$5,标准坦克设计!$B$24:$U$30,MATCH("对"&amp;LEFT($C$5,2)&amp;"输出",标准坦克设计!$B$23:$U$23,0)))*(VLOOKUP($B173,INDIRECT($B$5&amp;"生成成长"),3))*(VLOOKUP($B$5,标准坦克设计!$B$14:$K$20,9)/30))</f>
        <v>9.9819254103702324</v>
      </c>
      <c r="AV173" s="173">
        <f ca="1">(VLOOKUP(AV$72,INDIRECT($C$5&amp;"生成成长"),2))/((VLOOKUP($B173,INDIRECT($B$5&amp;"生成成长"),4))/(VLOOKUP(AV$72,INDIRECT($C$5&amp;"生成成长"),5))*(VLOOKUP($B$5,标准坦克设计!$B$24:$U$30,MATCH("对"&amp;LEFT($C$5,2)&amp;"输出",标准坦克设计!$B$23:$U$23,0)))*(VLOOKUP($B173,INDIRECT($B$5&amp;"生成成长"),3))*(VLOOKUP($B$5,标准坦克设计!$B$14:$K$20,9)/30))</f>
        <v>1.0152544150036167</v>
      </c>
      <c r="AW173" s="173">
        <f ca="1">(VLOOKUP(AW$72,INDIRECT($C$5&amp;"生成成长"),2))/((VLOOKUP($B173,INDIRECT($B$5&amp;"生成成长"),4))/(VLOOKUP(AW$72,INDIRECT($C$5&amp;"生成成长"),5))*(VLOOKUP($B$5,标准坦克设计!$B$24:$U$30,MATCH("对"&amp;LEFT($C$5,2)&amp;"输出",标准坦克设计!$B$23:$U$23,0)))*(VLOOKUP($B173,INDIRECT($B$5&amp;"生成成长"),3))*(VLOOKUP($B$5,标准坦克设计!$B$14:$K$20,9)/30))</f>
        <v>1.1575825260411821</v>
      </c>
      <c r="AX173" s="173">
        <f ca="1">(VLOOKUP(AX$72,INDIRECT($C$5&amp;"生成成长"),2))/((VLOOKUP($B173,INDIRECT($B$5&amp;"生成成长"),4))/(VLOOKUP(AX$72,INDIRECT($C$5&amp;"生成成长"),5))*(VLOOKUP($B$5,标准坦克设计!$B$24:$U$30,MATCH("对"&amp;LEFT($C$5,2)&amp;"输出",标准坦克设计!$B$23:$U$23,0)))*(VLOOKUP($B173,INDIRECT($B$5&amp;"生成成长"),3))*(VLOOKUP($B$5,标准坦克设计!$B$14:$K$20,9)/30))</f>
        <v>1.3092436279664565</v>
      </c>
      <c r="AY173" s="173">
        <f ca="1">(VLOOKUP(AY$72,INDIRECT($C$5&amp;"生成成长"),2))/((VLOOKUP($B173,INDIRECT($B$5&amp;"生成成长"),4))/(VLOOKUP(AY$72,INDIRECT($C$5&amp;"生成成长"),5))*(VLOOKUP($B$5,标准坦克设计!$B$24:$U$30,MATCH("对"&amp;LEFT($C$5,2)&amp;"输出",标准坦克设计!$B$23:$U$23,0)))*(VLOOKUP($B173,INDIRECT($B$5&amp;"生成成长"),3))*(VLOOKUP($B$5,标准坦克设计!$B$14:$K$20,9)/30))</f>
        <v>1.4702377207794404</v>
      </c>
      <c r="AZ173" s="173">
        <f ca="1">(VLOOKUP(AZ$72,INDIRECT($C$5&amp;"生成成长"),2))/((VLOOKUP($B173,INDIRECT($B$5&amp;"生成成长"),4))/(VLOOKUP(AZ$72,INDIRECT($C$5&amp;"生成成长"),5))*(VLOOKUP($B$5,标准坦克设计!$B$24:$U$30,MATCH("对"&amp;LEFT($C$5,2)&amp;"输出",标准坦克设计!$B$23:$U$23,0)))*(VLOOKUP($B173,INDIRECT($B$5&amp;"生成成长"),3))*(VLOOKUP($B$5,标准坦克设计!$B$14:$K$20,9)/30))</f>
        <v>1.6405648044801331</v>
      </c>
      <c r="BA173" s="173">
        <f ca="1">(VLOOKUP(BA$72,INDIRECT($C$5&amp;"生成成长"),2))/((VLOOKUP($B173,INDIRECT($B$5&amp;"生成成长"),4))/(VLOOKUP(BA$72,INDIRECT($C$5&amp;"生成成长"),5))*(VLOOKUP($B$5,标准坦克设计!$B$24:$U$30,MATCH("对"&amp;LEFT($C$5,2)&amp;"输出",标准坦克设计!$B$23:$U$23,0)))*(VLOOKUP($B173,INDIRECT($B$5&amp;"生成成长"),3))*(VLOOKUP($B$5,标准坦克设计!$B$14:$K$20,9)/30))</f>
        <v>1.8202248790685354</v>
      </c>
      <c r="BB173" s="173">
        <f ca="1">(VLOOKUP(BB$72,INDIRECT($C$5&amp;"生成成长"),2))/((VLOOKUP($B173,INDIRECT($B$5&amp;"生成成长"),4))/(VLOOKUP(BB$72,INDIRECT($C$5&amp;"生成成长"),5))*(VLOOKUP($B$5,标准坦克设计!$B$24:$U$30,MATCH("对"&amp;LEFT($C$5,2)&amp;"输出",标准坦克设计!$B$23:$U$23,0)))*(VLOOKUP($B173,INDIRECT($B$5&amp;"生成成长"),3))*(VLOOKUP($B$5,标准坦克设计!$B$14:$K$20,9)/30))</f>
        <v>2.009217944544647</v>
      </c>
      <c r="BC173" s="173">
        <f ca="1">(VLOOKUP(BC$72,INDIRECT($C$5&amp;"生成成长"),2))/((VLOOKUP($B173,INDIRECT($B$5&amp;"生成成长"),4))/(VLOOKUP(BC$72,INDIRECT($C$5&amp;"生成成长"),5))*(VLOOKUP($B$5,标准坦克设计!$B$24:$U$30,MATCH("对"&amp;LEFT($C$5,2)&amp;"输出",标准坦克设计!$B$23:$U$23,0)))*(VLOOKUP($B173,INDIRECT($B$5&amp;"生成成长"),3))*(VLOOKUP($B$5,标准坦克设计!$B$14:$K$20,9)/30))</f>
        <v>2.207544000908467</v>
      </c>
      <c r="BD173" s="173">
        <f ca="1">(VLOOKUP(BD$72,INDIRECT($C$5&amp;"生成成长"),2))/((VLOOKUP($B173,INDIRECT($B$5&amp;"生成成长"),4))/(VLOOKUP(BD$72,INDIRECT($C$5&amp;"生成成长"),5))*(VLOOKUP($B$5,标准坦克设计!$B$24:$U$30,MATCH("对"&amp;LEFT($C$5,2)&amp;"输出",标准坦克设计!$B$23:$U$23,0)))*(VLOOKUP($B173,INDIRECT($B$5&amp;"生成成长"),3))*(VLOOKUP($B$5,标准坦克设计!$B$14:$K$20,9)/30))</f>
        <v>2.4418166549882301</v>
      </c>
      <c r="BE173" s="173">
        <f ca="1">(VLOOKUP(BE$72,INDIRECT($C$5&amp;"生成成长"),2))/((VLOOKUP($B173,INDIRECT($B$5&amp;"生成成长"),4))/(VLOOKUP(BE$72,INDIRECT($C$5&amp;"生成成长"),5))*(VLOOKUP($B$5,标准坦克设计!$B$24:$U$30,MATCH("对"&amp;LEFT($C$5,2)&amp;"输出",标准坦克设计!$B$23:$U$23,0)))*(VLOOKUP($B173,INDIRECT($B$5&amp;"生成成长"),3))*(VLOOKUP($B$5,标准坦克设计!$B$14:$K$20,9)/30))</f>
        <v>2.6879013756602501</v>
      </c>
      <c r="BF173" s="173">
        <f ca="1">(VLOOKUP(BF$72,INDIRECT($C$5&amp;"生成成长"),2))/((VLOOKUP($B173,INDIRECT($B$5&amp;"生成成长"),4))/(VLOOKUP(BF$72,INDIRECT($C$5&amp;"生成成长"),5))*(VLOOKUP($B$5,标准坦克设计!$B$24:$U$30,MATCH("对"&amp;LEFT($C$5,2)&amp;"输出",标准坦克设计!$B$23:$U$23,0)))*(VLOOKUP($B173,INDIRECT($B$5&amp;"生成成长"),3))*(VLOOKUP($B$5,标准坦克设计!$B$14:$K$20,9)/30))</f>
        <v>2.9457981629245267</v>
      </c>
      <c r="BG173" s="173">
        <f ca="1">(VLOOKUP(BG$72,INDIRECT($C$5&amp;"生成成长"),2))/((VLOOKUP($B173,INDIRECT($B$5&amp;"生成成长"),4))/(VLOOKUP(BG$72,INDIRECT($C$5&amp;"生成成长"),5))*(VLOOKUP($B$5,标准坦克设计!$B$24:$U$30,MATCH("对"&amp;LEFT($C$5,2)&amp;"输出",标准坦克设计!$B$23:$U$23,0)))*(VLOOKUP($B173,INDIRECT($B$5&amp;"生成成长"),3))*(VLOOKUP($B$5,标准坦克设计!$B$14:$K$20,9)/30))</f>
        <v>3.2155070167810611</v>
      </c>
      <c r="BH173" s="173">
        <f ca="1">(VLOOKUP(BH$72,INDIRECT($C$5&amp;"生成成长"),2))/((VLOOKUP($B173,INDIRECT($B$5&amp;"生成成长"),4))/(VLOOKUP(BH$72,INDIRECT($C$5&amp;"生成成长"),5))*(VLOOKUP($B$5,标准坦克设计!$B$24:$U$30,MATCH("对"&amp;LEFT($C$5,2)&amp;"输出",标准坦克设计!$B$23:$U$23,0)))*(VLOOKUP($B173,INDIRECT($B$5&amp;"生成成长"),3))*(VLOOKUP($B$5,标准坦克设计!$B$14:$K$20,9)/30))</f>
        <v>1.5542346387688228</v>
      </c>
      <c r="BI173" s="173">
        <f ca="1">(VLOOKUP(BI$72,INDIRECT($C$5&amp;"生成成长"),2))/((VLOOKUP($B173,INDIRECT($B$5&amp;"生成成长"),4))/(VLOOKUP(BI$72,INDIRECT($C$5&amp;"生成成长"),5))*(VLOOKUP($B$5,标准坦克设计!$B$24:$U$30,MATCH("对"&amp;LEFT($C$5,2)&amp;"输出",标准坦克设计!$B$23:$U$23,0)))*(VLOOKUP($B173,INDIRECT($B$5&amp;"生成成长"),3))*(VLOOKUP($B$5,标准坦克设计!$B$14:$K$20,9)/30))</f>
        <v>1.7517586412282313</v>
      </c>
      <c r="BJ173" s="173">
        <f ca="1">(VLOOKUP(BJ$72,INDIRECT($C$5&amp;"生成成长"),2))/((VLOOKUP($B173,INDIRECT($B$5&amp;"生成成长"),4))/(VLOOKUP(BJ$72,INDIRECT($C$5&amp;"生成成长"),5))*(VLOOKUP($B$5,标准坦克设计!$B$24:$U$30,MATCH("对"&amp;LEFT($C$5,2)&amp;"输出",标准坦克设计!$B$23:$U$23,0)))*(VLOOKUP($B173,INDIRECT($B$5&amp;"生成成长"),3))*(VLOOKUP($B$5,标准坦克设计!$B$14:$K$20,9)/30))</f>
        <v>1.9610947102798959</v>
      </c>
      <c r="BK173" s="173">
        <f ca="1">(VLOOKUP(BK$72,INDIRECT($C$5&amp;"生成成长"),2))/((VLOOKUP($B173,INDIRECT($B$5&amp;"生成成长"),4))/(VLOOKUP(BK$72,INDIRECT($C$5&amp;"生成成长"),5))*(VLOOKUP($B$5,标准坦克设计!$B$24:$U$30,MATCH("对"&amp;LEFT($C$5,2)&amp;"输出",标准坦克设计!$B$23:$U$23,0)))*(VLOOKUP($B173,INDIRECT($B$5&amp;"生成成长"),3))*(VLOOKUP($B$5,标准坦克设计!$B$14:$K$20,9)/30))</f>
        <v>2.1822428459238181</v>
      </c>
      <c r="BL173" s="173">
        <f ca="1">(VLOOKUP(BL$72,INDIRECT($C$5&amp;"生成成长"),2))/((VLOOKUP($B173,INDIRECT($B$5&amp;"生成成长"),4))/(VLOOKUP(BL$72,INDIRECT($C$5&amp;"生成成长"),5))*(VLOOKUP($B$5,标准坦克设计!$B$24:$U$30,MATCH("对"&amp;LEFT($C$5,2)&amp;"输出",标准坦克设计!$B$23:$U$23,0)))*(VLOOKUP($B173,INDIRECT($B$5&amp;"生成成长"),3))*(VLOOKUP($B$5,标准坦克设计!$B$14:$K$20,9)/30))</f>
        <v>2.4152030481599969</v>
      </c>
      <c r="BM173" s="173">
        <f ca="1">(VLOOKUP(BM$72,INDIRECT($C$5&amp;"生成成长"),2))/((VLOOKUP($B173,INDIRECT($B$5&amp;"生成成长"),4))/(VLOOKUP(BM$72,INDIRECT($C$5&amp;"生成成长"),5))*(VLOOKUP($B$5,标准坦克设计!$B$24:$U$30,MATCH("对"&amp;LEFT($C$5,2)&amp;"输出",标准坦克设计!$B$23:$U$23,0)))*(VLOOKUP($B173,INDIRECT($B$5&amp;"生成成长"),3))*(VLOOKUP($B$5,标准坦克设计!$B$14:$K$20,9)/30))</f>
        <v>2.6599753169884326</v>
      </c>
      <c r="BN173" s="173">
        <f ca="1">(VLOOKUP(BN$72,INDIRECT($C$5&amp;"生成成长"),2))/((VLOOKUP($B173,INDIRECT($B$5&amp;"生成成长"),4))/(VLOOKUP(BN$72,INDIRECT($C$5&amp;"生成成长"),5))*(VLOOKUP($B$5,标准坦克设计!$B$24:$U$30,MATCH("对"&amp;LEFT($C$5,2)&amp;"输出",标准坦克设计!$B$23:$U$23,0)))*(VLOOKUP($B173,INDIRECT($B$5&amp;"生成成长"),3))*(VLOOKUP($B$5,标准坦克设计!$B$14:$K$20,9)/30))</f>
        <v>2.9165596524091262</v>
      </c>
      <c r="BO173" s="173">
        <f ca="1">(VLOOKUP(BO$72,INDIRECT($C$5&amp;"生成成长"),2))/((VLOOKUP($B173,INDIRECT($B$5&amp;"生成成长"),4))/(VLOOKUP(BO$72,INDIRECT($C$5&amp;"生成成长"),5))*(VLOOKUP($B$5,标准坦克设计!$B$24:$U$30,MATCH("对"&amp;LEFT($C$5,2)&amp;"输出",标准坦克设计!$B$23:$U$23,0)))*(VLOOKUP($B173,INDIRECT($B$5&amp;"生成成长"),3))*(VLOOKUP($B$5,标准坦克设计!$B$14:$K$20,9)/30))</f>
        <v>3.1849560544220754</v>
      </c>
      <c r="BP173" s="173">
        <f ca="1">(VLOOKUP(BP$72,INDIRECT($C$5&amp;"生成成长"),2))/((VLOOKUP($B173,INDIRECT($B$5&amp;"生成成长"),4))/(VLOOKUP(BP$72,INDIRECT($C$5&amp;"生成成长"),5))*(VLOOKUP($B$5,标准坦克设计!$B$24:$U$30,MATCH("对"&amp;LEFT($C$5,2)&amp;"输出",标准坦克设计!$B$23:$U$23,0)))*(VLOOKUP($B173,INDIRECT($B$5&amp;"生成成长"),3))*(VLOOKUP($B$5,标准坦克设计!$B$14:$K$20,9)/30))</f>
        <v>3.465164523027283</v>
      </c>
      <c r="BQ173" s="173">
        <f ca="1">(VLOOKUP(BQ$72,INDIRECT($C$5&amp;"生成成长"),2))/((VLOOKUP($B173,INDIRECT($B$5&amp;"生成成长"),4))/(VLOOKUP(BQ$72,INDIRECT($C$5&amp;"生成成长"),5))*(VLOOKUP($B$5,标准坦克设计!$B$24:$U$30,MATCH("对"&amp;LEFT($C$5,2)&amp;"输出",标准坦克设计!$B$23:$U$23,0)))*(VLOOKUP($B173,INDIRECT($B$5&amp;"生成成长"),3))*(VLOOKUP($B$5,标准坦克设计!$B$14:$K$20,9)/30))</f>
        <v>3.7571850582247457</v>
      </c>
      <c r="BR173" s="173">
        <f ca="1">(VLOOKUP(BR$72,INDIRECT($C$5&amp;"生成成长"),2))/((VLOOKUP($B173,INDIRECT($B$5&amp;"生成成长"),4))/(VLOOKUP(BR$72,INDIRECT($C$5&amp;"生成成长"),5))*(VLOOKUP($B$5,标准坦克设计!$B$24:$U$30,MATCH("对"&amp;LEFT($C$5,2)&amp;"输出",标准坦克设计!$B$23:$U$23,0)))*(VLOOKUP($B173,INDIRECT($B$5&amp;"生成成长"),3))*(VLOOKUP($B$5,标准坦克设计!$B$14:$K$20,9)/30))</f>
        <v>4.0955059779042049</v>
      </c>
      <c r="BS173" s="173">
        <f ca="1">(VLOOKUP(BS$72,INDIRECT($C$5&amp;"生成成长"),2))/((VLOOKUP($B173,INDIRECT($B$5&amp;"生成成长"),4))/(VLOOKUP(BS$72,INDIRECT($C$5&amp;"生成成长"),5))*(VLOOKUP($B$5,标准坦克设计!$B$24:$U$30,MATCH("对"&amp;LEFT($C$5,2)&amp;"输出",标准坦克设计!$B$23:$U$23,0)))*(VLOOKUP($B173,INDIRECT($B$5&amp;"生成成长"),3))*(VLOOKUP($B$5,标准坦克设计!$B$14:$K$20,9)/30))</f>
        <v>4.4484096958457089</v>
      </c>
      <c r="BT173" s="173">
        <f ca="1">(VLOOKUP(BT$72,INDIRECT($C$5&amp;"生成成长"),2))/((VLOOKUP($B173,INDIRECT($B$5&amp;"生成成长"),4))/(VLOOKUP(BT$72,INDIRECT($C$5&amp;"生成成长"),5))*(VLOOKUP($B$5,标准坦克设计!$B$24:$U$30,MATCH("对"&amp;LEFT($C$5,2)&amp;"输出",标准坦克设计!$B$23:$U$23,0)))*(VLOOKUP($B173,INDIRECT($B$5&amp;"生成成长"),3))*(VLOOKUP($B$5,标准坦克设计!$B$14:$K$20,9)/30))</f>
        <v>4.8158962120492586</v>
      </c>
      <c r="BU173" s="173">
        <f ca="1">(VLOOKUP(BU$72,INDIRECT($C$5&amp;"生成成长"),2))/((VLOOKUP($B173,INDIRECT($B$5&amp;"生成成长"),4))/(VLOOKUP(BU$72,INDIRECT($C$5&amp;"生成成长"),5))*(VLOOKUP($B$5,标准坦克设计!$B$24:$U$30,MATCH("对"&amp;LEFT($C$5,2)&amp;"输出",标准坦克设计!$B$23:$U$23,0)))*(VLOOKUP($B173,INDIRECT($B$5&amp;"生成成长"),3))*(VLOOKUP($B$5,标准坦克设计!$B$14:$K$20,9)/30))</f>
        <v>5.1979655265148539</v>
      </c>
      <c r="BV173" s="173">
        <f ca="1">(VLOOKUP(BV$72,INDIRECT($C$5&amp;"生成成长"),2))/((VLOOKUP($B173,INDIRECT($B$5&amp;"生成成长"),4))/(VLOOKUP(BV$72,INDIRECT($C$5&amp;"生成成长"),5))*(VLOOKUP($B$5,标准坦克设计!$B$24:$U$30,MATCH("对"&amp;LEFT($C$5,2)&amp;"输出",标准坦克设计!$B$23:$U$23,0)))*(VLOOKUP($B173,INDIRECT($B$5&amp;"生成成长"),3))*(VLOOKUP($B$5,标准坦克设计!$B$14:$K$20,9)/30))</f>
        <v>5.5946176392424958</v>
      </c>
      <c r="BW173" s="173">
        <f ca="1">(VLOOKUP(BW$72,INDIRECT($C$5&amp;"生成成长"),2))/((VLOOKUP($B173,INDIRECT($B$5&amp;"生成成长"),4))/(VLOOKUP(BW$72,INDIRECT($C$5&amp;"生成成长"),5))*(VLOOKUP($B$5,标准坦克设计!$B$24:$U$30,MATCH("对"&amp;LEFT($C$5,2)&amp;"输出",标准坦克设计!$B$23:$U$23,0)))*(VLOOKUP($B173,INDIRECT($B$5&amp;"生成成长"),3))*(VLOOKUP($B$5,标准坦克设计!$B$14:$K$20,9)/30))</f>
        <v>2.5497293621273682</v>
      </c>
      <c r="BX173" s="173">
        <f ca="1">(VLOOKUP(BX$72,INDIRECT($C$5&amp;"生成成长"),2))/((VLOOKUP($B173,INDIRECT($B$5&amp;"生成成长"),4))/(VLOOKUP(BX$72,INDIRECT($C$5&amp;"生成成长"),5))*(VLOOKUP($B$5,标准坦克设计!$B$24:$U$30,MATCH("对"&amp;LEFT($C$5,2)&amp;"输出",标准坦克设计!$B$23:$U$23,0)))*(VLOOKUP($B173,INDIRECT($B$5&amp;"生成成长"),3))*(VLOOKUP($B$5,标准坦克设计!$B$14:$K$20,9)/30))</f>
        <v>2.8297190887586443</v>
      </c>
      <c r="BY173" s="173">
        <f ca="1">(VLOOKUP(BY$72,INDIRECT($C$5&amp;"生成成长"),2))/((VLOOKUP($B173,INDIRECT($B$5&amp;"生成成长"),4))/(VLOOKUP(BY$72,INDIRECT($C$5&amp;"生成成长"),5))*(VLOOKUP($B$5,标准坦克设计!$B$24:$U$30,MATCH("对"&amp;LEFT($C$5,2)&amp;"输出",标准坦克设计!$B$23:$U$23,0)))*(VLOOKUP($B173,INDIRECT($B$5&amp;"生成成长"),3))*(VLOOKUP($B$5,标准坦克设计!$B$14:$K$20,9)/30))</f>
        <v>3.1242916136519661</v>
      </c>
      <c r="BZ173" s="173">
        <f ca="1">(VLOOKUP(BZ$72,INDIRECT($C$5&amp;"生成成长"),2))/((VLOOKUP($B173,INDIRECT($B$5&amp;"生成成长"),4))/(VLOOKUP(BZ$72,INDIRECT($C$5&amp;"生成成长"),5))*(VLOOKUP($B$5,标准坦克设计!$B$24:$U$30,MATCH("对"&amp;LEFT($C$5,2)&amp;"输出",标准坦克设计!$B$23:$U$23,0)))*(VLOOKUP($B173,INDIRECT($B$5&amp;"生成成长"),3))*(VLOOKUP($B$5,标准坦克设计!$B$14:$K$20,9)/30))</f>
        <v>3.4334469368073335</v>
      </c>
      <c r="CA173" s="173">
        <f ca="1">(VLOOKUP(CA$72,INDIRECT($C$5&amp;"生成成长"),2))/((VLOOKUP($B173,INDIRECT($B$5&amp;"生成成长"),4))/(VLOOKUP(CA$72,INDIRECT($C$5&amp;"生成成长"),5))*(VLOOKUP($B$5,标准坦克设计!$B$24:$U$30,MATCH("对"&amp;LEFT($C$5,2)&amp;"输出",标准坦克设计!$B$23:$U$23,0)))*(VLOOKUP($B173,INDIRECT($B$5&amp;"生成成长"),3))*(VLOOKUP($B$5,标准坦克设计!$B$14:$K$20,9)/30))</f>
        <v>3.7571850582247457</v>
      </c>
      <c r="CB173" s="173">
        <f ca="1">(VLOOKUP(CB$72,INDIRECT($C$5&amp;"生成成长"),2))/((VLOOKUP($B173,INDIRECT($B$5&amp;"生成成长"),4))/(VLOOKUP(CB$72,INDIRECT($C$5&amp;"生成成长"),5))*(VLOOKUP($B$5,标准坦克设计!$B$24:$U$30,MATCH("对"&amp;LEFT($C$5,2)&amp;"输出",标准坦克设计!$B$23:$U$23,0)))*(VLOOKUP($B173,INDIRECT($B$5&amp;"生成成长"),3))*(VLOOKUP($B$5,标准坦克设计!$B$14:$K$20,9)/30))</f>
        <v>4.0955059779042049</v>
      </c>
      <c r="CC173" s="173">
        <f ca="1">(VLOOKUP(CC$72,INDIRECT($C$5&amp;"生成成长"),2))/((VLOOKUP($B173,INDIRECT($B$5&amp;"生成成长"),4))/(VLOOKUP(CC$72,INDIRECT($C$5&amp;"生成成长"),5))*(VLOOKUP($B$5,标准坦克设计!$B$24:$U$30,MATCH("对"&amp;LEFT($C$5,2)&amp;"输出",标准坦克设计!$B$23:$U$23,0)))*(VLOOKUP($B173,INDIRECT($B$5&amp;"生成成长"),3))*(VLOOKUP($B$5,标准坦克设计!$B$14:$K$20,9)/30))</f>
        <v>4.4484096958457089</v>
      </c>
      <c r="CD173" s="173">
        <f ca="1">(VLOOKUP(CD$72,INDIRECT($C$5&amp;"生成成长"),2))/((VLOOKUP($B173,INDIRECT($B$5&amp;"生成成长"),4))/(VLOOKUP(CD$72,INDIRECT($C$5&amp;"生成成长"),5))*(VLOOKUP($B$5,标准坦克设计!$B$24:$U$30,MATCH("对"&amp;LEFT($C$5,2)&amp;"输出",标准坦克设计!$B$23:$U$23,0)))*(VLOOKUP($B173,INDIRECT($B$5&amp;"生成成长"),3))*(VLOOKUP($B$5,标准坦克设计!$B$14:$K$20,9)/30))</f>
        <v>4.8158962120492586</v>
      </c>
      <c r="CE173" s="173">
        <f ca="1">(VLOOKUP(CE$72,INDIRECT($C$5&amp;"生成成长"),2))/((VLOOKUP($B173,INDIRECT($B$5&amp;"生成成长"),4))/(VLOOKUP(CE$72,INDIRECT($C$5&amp;"生成成长"),5))*(VLOOKUP($B$5,标准坦克设计!$B$24:$U$30,MATCH("对"&amp;LEFT($C$5,2)&amp;"输出",标准坦克设计!$B$23:$U$23,0)))*(VLOOKUP($B173,INDIRECT($B$5&amp;"生成成长"),3))*(VLOOKUP($B$5,标准坦克设计!$B$14:$K$20,9)/30))</f>
        <v>5.1979655265148539</v>
      </c>
      <c r="CF173" s="173">
        <f ca="1">(VLOOKUP(CF$72,INDIRECT($C$5&amp;"生成成长"),2))/((VLOOKUP($B173,INDIRECT($B$5&amp;"生成成长"),4))/(VLOOKUP(CF$72,INDIRECT($C$5&amp;"生成成长"),5))*(VLOOKUP($B$5,标准坦克设计!$B$24:$U$30,MATCH("对"&amp;LEFT($C$5,2)&amp;"输出",标准坦克设计!$B$23:$U$23,0)))*(VLOOKUP($B173,INDIRECT($B$5&amp;"生成成长"),3))*(VLOOKUP($B$5,标准坦克设计!$B$14:$K$20,9)/30))</f>
        <v>5.5946176392424958</v>
      </c>
      <c r="CG173" s="173">
        <f ca="1">(VLOOKUP(CG$72,INDIRECT($C$5&amp;"生成成长"),2))/((VLOOKUP($B173,INDIRECT($B$5&amp;"生成成长"),4))/(VLOOKUP(CG$72,INDIRECT($C$5&amp;"生成成长"),5))*(VLOOKUP($B$5,标准坦克设计!$B$24:$U$30,MATCH("对"&amp;LEFT($C$5,2)&amp;"输出",标准坦克设计!$B$23:$U$23,0)))*(VLOOKUP($B173,INDIRECT($B$5&amp;"生成成长"),3))*(VLOOKUP($B$5,标准坦克设计!$B$14:$K$20,9)/30))</f>
        <v>6.0058525502321807</v>
      </c>
      <c r="CH173" s="173">
        <f ca="1">(VLOOKUP(CH$72,INDIRECT($C$5&amp;"生成成长"),2))/((VLOOKUP($B173,INDIRECT($B$5&amp;"生成成长"),4))/(VLOOKUP(CH$72,INDIRECT($C$5&amp;"生成成长"),5))*(VLOOKUP($B$5,标准坦克设计!$B$24:$U$30,MATCH("对"&amp;LEFT($C$5,2)&amp;"输出",标准坦克设计!$B$23:$U$23,0)))*(VLOOKUP($B173,INDIRECT($B$5&amp;"生成成长"),3))*(VLOOKUP($B$5,标准坦克设计!$B$14:$K$20,9)/30))</f>
        <v>6.4316702594839139</v>
      </c>
      <c r="CI173" s="173">
        <f ca="1">(VLOOKUP(CI$72,INDIRECT($C$5&amp;"生成成长"),2))/((VLOOKUP($B173,INDIRECT($B$5&amp;"生成成长"),4))/(VLOOKUP(CI$72,INDIRECT($C$5&amp;"生成成长"),5))*(VLOOKUP($B$5,标准坦克设计!$B$24:$U$30,MATCH("对"&amp;LEFT($C$5,2)&amp;"输出",标准坦克设计!$B$23:$U$23,0)))*(VLOOKUP($B173,INDIRECT($B$5&amp;"生成成长"),3))*(VLOOKUP($B$5,标准坦克设计!$B$14:$K$20,9)/30))</f>
        <v>6.9169128716534827</v>
      </c>
      <c r="CJ173" s="173">
        <f ca="1">(VLOOKUP(CJ$72,INDIRECT($C$5&amp;"生成成长"),2))/((VLOOKUP($B173,INDIRECT($B$5&amp;"生成成长"),4))/(VLOOKUP(CJ$72,INDIRECT($C$5&amp;"生成成长"),5))*(VLOOKUP($B$5,标准坦克设计!$B$24:$U$30,MATCH("对"&amp;LEFT($C$5,2)&amp;"输出",标准坦克设计!$B$23:$U$23,0)))*(VLOOKUP($B173,INDIRECT($B$5&amp;"生成成长"),3))*(VLOOKUP($B$5,标准坦克设计!$B$14:$K$20,9)/30))</f>
        <v>7.4198006697201251</v>
      </c>
      <c r="CK173" s="173">
        <f ca="1">(VLOOKUP(CK$72,INDIRECT($C$5&amp;"生成成长"),2))/((VLOOKUP($B173,INDIRECT($B$5&amp;"生成成长"),4))/(VLOOKUP(CK$72,INDIRECT($C$5&amp;"生成成长"),5))*(VLOOKUP($B$5,标准坦克设计!$B$24:$U$30,MATCH("对"&amp;LEFT($C$5,2)&amp;"输出",标准坦克设计!$B$23:$U$23,0)))*(VLOOKUP($B173,INDIRECT($B$5&amp;"生成成长"),3))*(VLOOKUP($B$5,标准坦克设计!$B$14:$K$20,9)/30))</f>
        <v>7.9403336536838456</v>
      </c>
      <c r="CL173" s="173">
        <f ca="1">(VLOOKUP(CL$72,INDIRECT($C$5&amp;"生成成长"),2))/((VLOOKUP($B173,INDIRECT($B$5&amp;"生成成长"),4))/(VLOOKUP(CL$72,INDIRECT($C$5&amp;"生成成长"),5))*(VLOOKUP($B$5,标准坦克设计!$B$24:$U$30,MATCH("对"&amp;LEFT($C$5,2)&amp;"输出",标准坦克设计!$B$23:$U$23,0)))*(VLOOKUP($B173,INDIRECT($B$5&amp;"生成成长"),3))*(VLOOKUP($B$5,标准坦克设计!$B$14:$K$20,9)/30))</f>
        <v>8.4785118235446397</v>
      </c>
      <c r="CM173" s="173">
        <f ca="1">(VLOOKUP(CM$72,INDIRECT($C$5&amp;"生成成长"),2))/((VLOOKUP($B173,INDIRECT($B$5&amp;"生成成长"),4))/(VLOOKUP(CM$72,INDIRECT($C$5&amp;"生成成长"),5))*(VLOOKUP($B$5,标准坦克设计!$B$24:$U$30,MATCH("对"&amp;LEFT($C$5,2)&amp;"输出",标准坦克设计!$B$23:$U$23,0)))*(VLOOKUP($B173,INDIRECT($B$5&amp;"生成成长"),3))*(VLOOKUP($B$5,标准坦克设计!$B$14:$K$20,9)/30))</f>
        <v>9.0343351793025075</v>
      </c>
      <c r="CN173" s="173">
        <f ca="1">(VLOOKUP(CN$72,INDIRECT($C$5&amp;"生成成长"),2))/((VLOOKUP($B173,INDIRECT($B$5&amp;"生成成长"),4))/(VLOOKUP(CN$72,INDIRECT($C$5&amp;"生成成长"),5))*(VLOOKUP($B$5,标准坦克设计!$B$24:$U$30,MATCH("对"&amp;LEFT($C$5,2)&amp;"输出",标准坦克设计!$B$23:$U$23,0)))*(VLOOKUP($B173,INDIRECT($B$5&amp;"生成成长"),3))*(VLOOKUP($B$5,标准坦克设计!$B$14:$K$20,9)/30))</f>
        <v>9.6078037209574525</v>
      </c>
      <c r="CO173" s="173">
        <f ca="1">(VLOOKUP(CO$72,INDIRECT($C$5&amp;"生成成长"),2))/((VLOOKUP($B173,INDIRECT($B$5&amp;"生成成长"),4))/(VLOOKUP(CO$72,INDIRECT($C$5&amp;"生成成长"),5))*(VLOOKUP($B$5,标准坦克设计!$B$24:$U$30,MATCH("对"&amp;LEFT($C$5,2)&amp;"输出",标准坦克设计!$B$23:$U$23,0)))*(VLOOKUP($B173,INDIRECT($B$5&amp;"生成成长"),3))*(VLOOKUP($B$5,标准坦克设计!$B$14:$K$20,9)/30))</f>
        <v>4.3054982728776618</v>
      </c>
      <c r="CP173" s="173">
        <f ca="1">(VLOOKUP(CP$72,INDIRECT($C$5&amp;"生成成长"),2))/((VLOOKUP($B173,INDIRECT($B$5&amp;"生成成长"),4))/(VLOOKUP(CP$72,INDIRECT($C$5&amp;"生成成长"),5))*(VLOOKUP($B$5,标准坦克设计!$B$24:$U$30,MATCH("对"&amp;LEFT($C$5,2)&amp;"输出",标准坦克设计!$B$23:$U$23,0)))*(VLOOKUP($B173,INDIRECT($B$5&amp;"生成成长"),3))*(VLOOKUP($B$5,标准坦克设计!$B$14:$K$20,9)/30))</f>
        <v>4.7041190633706789</v>
      </c>
      <c r="CQ173" s="173">
        <f ca="1">(VLOOKUP(CQ$72,INDIRECT($C$5&amp;"生成成长"),2))/((VLOOKUP($B173,INDIRECT($B$5&amp;"生成成长"),4))/(VLOOKUP(CQ$72,INDIRECT($C$5&amp;"生成成长"),5))*(VLOOKUP($B$5,标准坦克设计!$B$24:$U$30,MATCH("对"&amp;LEFT($C$5,2)&amp;"输出",标准坦克设计!$B$23:$U$23,0)))*(VLOOKUP($B173,INDIRECT($B$5&amp;"生成成长"),3))*(VLOOKUP($B$5,标准坦克设计!$B$14:$K$20,9)/30))</f>
        <v>5.1203850397607713</v>
      </c>
      <c r="CR173" s="173">
        <f ca="1">(VLOOKUP(CR$72,INDIRECT($C$5&amp;"生成成长"),2))/((VLOOKUP($B173,INDIRECT($B$5&amp;"生成成长"),4))/(VLOOKUP(CR$72,INDIRECT($C$5&amp;"生成成长"),5))*(VLOOKUP($B$5,标准坦克设计!$B$24:$U$30,MATCH("对"&amp;LEFT($C$5,2)&amp;"输出",标准坦克设计!$B$23:$U$23,0)))*(VLOOKUP($B173,INDIRECT($B$5&amp;"生成成长"),3))*(VLOOKUP($B$5,标准坦克设计!$B$14:$K$20,9)/30))</f>
        <v>5.5542962020479401</v>
      </c>
      <c r="CS173" s="173">
        <f ca="1">(VLOOKUP(CS$72,INDIRECT($C$5&amp;"生成成长"),2))/((VLOOKUP($B173,INDIRECT($B$5&amp;"生成成长"),4))/(VLOOKUP(CS$72,INDIRECT($C$5&amp;"生成成长"),5))*(VLOOKUP($B$5,标准坦克设计!$B$24:$U$30,MATCH("对"&amp;LEFT($C$5,2)&amp;"输出",标准坦克设计!$B$23:$U$23,0)))*(VLOOKUP($B173,INDIRECT($B$5&amp;"生成成长"),3))*(VLOOKUP($B$5,标准坦克设计!$B$14:$K$20,9)/30))</f>
        <v>6.0058525502321807</v>
      </c>
      <c r="CT173" s="173">
        <f ca="1">(VLOOKUP(CT$72,INDIRECT($C$5&amp;"生成成长"),2))/((VLOOKUP($B173,INDIRECT($B$5&amp;"生成成长"),4))/(VLOOKUP(CT$72,INDIRECT($C$5&amp;"生成成长"),5))*(VLOOKUP($B$5,标准坦克设计!$B$24:$U$30,MATCH("对"&amp;LEFT($C$5,2)&amp;"输出",标准坦克设计!$B$23:$U$23,0)))*(VLOOKUP($B173,INDIRECT($B$5&amp;"生成成长"),3))*(VLOOKUP($B$5,标准坦克设计!$B$14:$K$20,9)/30))</f>
        <v>6.4750540843135003</v>
      </c>
      <c r="CU173" s="173">
        <f ca="1">(VLOOKUP(CU$72,INDIRECT($C$5&amp;"生成成长"),2))/((VLOOKUP($B173,INDIRECT($B$5&amp;"生成成长"),4))/(VLOOKUP(CU$72,INDIRECT($C$5&amp;"生成成长"),5))*(VLOOKUP($B$5,标准坦克设计!$B$24:$U$30,MATCH("对"&amp;LEFT($C$5,2)&amp;"输出",标准坦克设计!$B$23:$U$23,0)))*(VLOOKUP($B173,INDIRECT($B$5&amp;"生成成长"),3))*(VLOOKUP($B$5,标准坦克设计!$B$14:$K$20,9)/30))</f>
        <v>6.9619008042918926</v>
      </c>
      <c r="CV173" s="173">
        <f ca="1">(VLOOKUP(CV$72,INDIRECT($C$5&amp;"生成成长"),2))/((VLOOKUP($B173,INDIRECT($B$5&amp;"生成成长"),4))/(VLOOKUP(CV$72,INDIRECT($C$5&amp;"生成成长"),5))*(VLOOKUP($B$5,标准坦克设计!$B$24:$U$30,MATCH("对"&amp;LEFT($C$5,2)&amp;"输出",标准坦克设计!$B$23:$U$23,0)))*(VLOOKUP($B173,INDIRECT($B$5&amp;"生成成长"),3))*(VLOOKUP($B$5,标准坦克设计!$B$14:$K$20,9)/30))</f>
        <v>7.4663927101673631</v>
      </c>
      <c r="CW173" s="173">
        <f ca="1">(VLOOKUP(CW$72,INDIRECT($C$5&amp;"生成成长"),2))/((VLOOKUP($B173,INDIRECT($B$5&amp;"生成成长"),4))/(VLOOKUP(CW$72,INDIRECT($C$5&amp;"生成成长"),5))*(VLOOKUP($B$5,标准坦克设计!$B$24:$U$30,MATCH("对"&amp;LEFT($C$5,2)&amp;"输出",标准坦克设计!$B$23:$U$23,0)))*(VLOOKUP($B173,INDIRECT($B$5&amp;"生成成长"),3))*(VLOOKUP($B$5,标准坦克设计!$B$14:$K$20,9)/30))</f>
        <v>7.9885298019399071</v>
      </c>
      <c r="CX173" s="173">
        <f ca="1">(VLOOKUP(CX$72,INDIRECT($C$5&amp;"生成成长"),2))/((VLOOKUP($B173,INDIRECT($B$5&amp;"生成成长"),4))/(VLOOKUP(CX$72,INDIRECT($C$5&amp;"生成成长"),5))*(VLOOKUP($B$5,标准坦克设计!$B$24:$U$30,MATCH("对"&amp;LEFT($C$5,2)&amp;"输出",标准坦克设计!$B$23:$U$23,0)))*(VLOOKUP($B173,INDIRECT($B$5&amp;"生成成长"),3))*(VLOOKUP($B$5,标准坦克设计!$B$14:$K$20,9)/30))</f>
        <v>8.528312079609524</v>
      </c>
      <c r="CY173" s="173">
        <f ca="1">(VLOOKUP(CY$72,INDIRECT($C$5&amp;"生成成长"),2))/((VLOOKUP($B173,INDIRECT($B$5&amp;"生成成长"),4))/(VLOOKUP(CY$72,INDIRECT($C$5&amp;"生成成长"),5))*(VLOOKUP($B$5,标准坦克设计!$B$24:$U$30,MATCH("对"&amp;LEFT($C$5,2)&amp;"输出",标准坦克设计!$B$23:$U$23,0)))*(VLOOKUP($B173,INDIRECT($B$5&amp;"生成成长"),3))*(VLOOKUP($B$5,标准坦克设计!$B$14:$K$20,9)/30))</f>
        <v>9.0857395431762189</v>
      </c>
      <c r="CZ173" s="173">
        <f ca="1">(VLOOKUP(CZ$72,INDIRECT($C$5&amp;"生成成长"),2))/((VLOOKUP($B173,INDIRECT($B$5&amp;"生成成长"),4))/(VLOOKUP(CZ$72,INDIRECT($C$5&amp;"生成成长"),5))*(VLOOKUP($B$5,标准坦克设计!$B$24:$U$30,MATCH("对"&amp;LEFT($C$5,2)&amp;"输出",标准坦克设计!$B$23:$U$23,0)))*(VLOOKUP($B173,INDIRECT($B$5&amp;"生成成长"),3))*(VLOOKUP($B$5,标准坦克设计!$B$14:$K$20,9)/30))</f>
        <v>9.6608121926399875</v>
      </c>
      <c r="DA173" s="173">
        <f ca="1">(VLOOKUP(DA$72,INDIRECT($C$5&amp;"生成成长"),2))/((VLOOKUP($B173,INDIRECT($B$5&amp;"生成成长"),4))/(VLOOKUP(DA$72,INDIRECT($C$5&amp;"生成成长"),5))*(VLOOKUP($B$5,标准坦克设计!$B$24:$U$30,MATCH("对"&amp;LEFT($C$5,2)&amp;"输出",标准坦克设计!$B$23:$U$23,0)))*(VLOOKUP($B173,INDIRECT($B$5&amp;"生成成长"),3))*(VLOOKUP($B$5,标准坦克设计!$B$14:$K$20,9)/30))</f>
        <v>10.253530028000835</v>
      </c>
      <c r="DB173" s="173">
        <f ca="1">(VLOOKUP(DB$72,INDIRECT($C$5&amp;"生成成长"),2))/((VLOOKUP($B173,INDIRECT($B$5&amp;"生成成长"),4))/(VLOOKUP(DB$72,INDIRECT($C$5&amp;"生成成长"),5))*(VLOOKUP($B$5,标准坦克设计!$B$24:$U$30,MATCH("对"&amp;LEFT($C$5,2)&amp;"输出",标准坦克设计!$B$23:$U$23,0)))*(VLOOKUP($B173,INDIRECT($B$5&amp;"生成成长"),3))*(VLOOKUP($B$5,标准坦克设计!$B$14:$K$20,9)/30))</f>
        <v>10.863893049258753</v>
      </c>
      <c r="DC173" s="173">
        <f ca="1">(VLOOKUP(DC$72,INDIRECT($C$5&amp;"生成成长"),2))/((VLOOKUP($B173,INDIRECT($B$5&amp;"生成成长"),4))/(VLOOKUP(DC$72,INDIRECT($C$5&amp;"生成成长"),5))*(VLOOKUP($B$5,标准坦克设计!$B$24:$U$30,MATCH("对"&amp;LEFT($C$5,2)&amp;"输出",标准坦克设计!$B$23:$U$23,0)))*(VLOOKUP($B173,INDIRECT($B$5&amp;"生成成长"),3))*(VLOOKUP($B$5,标准坦克设计!$B$14:$K$20,9)/30))</f>
        <v>11.54986787950538</v>
      </c>
      <c r="DD173" s="173">
        <f ca="1">(VLOOKUP(DD$72,INDIRECT($C$5&amp;"生成成长"),2))/((VLOOKUP($B173,INDIRECT($B$5&amp;"生成成长"),4))/(VLOOKUP(DD$72,INDIRECT($C$5&amp;"生成成长"),5))*(VLOOKUP($B$5,标准坦克设计!$B$24:$U$30,MATCH("对"&amp;LEFT($C$5,2)&amp;"输出",标准坦克设计!$B$23:$U$23,0)))*(VLOOKUP($B173,INDIRECT($B$5&amp;"生成成长"),3))*(VLOOKUP($B$5,标准坦克设计!$B$14:$K$20,9)/30))</f>
        <v>12.25684193924935</v>
      </c>
      <c r="DE173" s="173">
        <f ca="1">(VLOOKUP(DE$72,INDIRECT($C$5&amp;"生成成长"),2))/((VLOOKUP($B173,INDIRECT($B$5&amp;"生成成长"),4))/(VLOOKUP(DE$72,INDIRECT($C$5&amp;"生成成长"),5))*(VLOOKUP($B$5,标准坦克设计!$B$24:$U$30,MATCH("对"&amp;LEFT($C$5,2)&amp;"输出",标准坦克设计!$B$23:$U$23,0)))*(VLOOKUP($B173,INDIRECT($B$5&amp;"生成成长"),3))*(VLOOKUP($B$5,标准坦克设计!$B$14:$K$20,9)/30))</f>
        <v>12.984815228490669</v>
      </c>
      <c r="DF173" s="173">
        <f ca="1">(VLOOKUP(DF$72,INDIRECT($C$5&amp;"生成成长"),2))/((VLOOKUP($B173,INDIRECT($B$5&amp;"生成成长"),4))/(VLOOKUP(DF$72,INDIRECT($C$5&amp;"生成成长"),5))*(VLOOKUP($B$5,标准坦克设计!$B$24:$U$30,MATCH("对"&amp;LEFT($C$5,2)&amp;"输出",标准坦克设计!$B$23:$U$23,0)))*(VLOOKUP($B173,INDIRECT($B$5&amp;"生成成长"),3))*(VLOOKUP($B$5,标准坦克设计!$B$14:$K$20,9)/30))</f>
        <v>13.733787747229334</v>
      </c>
      <c r="DG173" s="173">
        <f ca="1">(VLOOKUP(DG$72,INDIRECT($C$5&amp;"生成成长"),2))/((VLOOKUP($B173,INDIRECT($B$5&amp;"生成成长"),4))/(VLOOKUP(DG$72,INDIRECT($C$5&amp;"生成成长"),5))*(VLOOKUP($B$5,标准坦克设计!$B$24:$U$30,MATCH("对"&amp;LEFT($C$5,2)&amp;"输出",标准坦克设计!$B$23:$U$23,0)))*(VLOOKUP($B173,INDIRECT($B$5&amp;"生成成长"),3))*(VLOOKUP($B$5,标准坦克设计!$B$14:$K$20,9)/30))</f>
        <v>14.503759495465342</v>
      </c>
      <c r="DH173" s="173">
        <f ca="1">(VLOOKUP(DH$72,INDIRECT($C$5&amp;"生成成长"),2))/((VLOOKUP($B173,INDIRECT($B$5&amp;"生成成长"),4))/(VLOOKUP(DH$72,INDIRECT($C$5&amp;"生成成长"),5))*(VLOOKUP($B$5,标准坦克设计!$B$24:$U$30,MATCH("对"&amp;LEFT($C$5,2)&amp;"输出",标准坦克设计!$B$23:$U$23,0)))*(VLOOKUP($B173,INDIRECT($B$5&amp;"生成成长"),3))*(VLOOKUP($B$5,标准坦克设计!$B$14:$K$20,9)/30))</f>
        <v>15.294730473198697</v>
      </c>
      <c r="DI173" s="173">
        <f ca="1">(VLOOKUP(DI$72,INDIRECT($C$5&amp;"生成成长"),2))/((VLOOKUP($B173,INDIRECT($B$5&amp;"生成成长"),4))/(VLOOKUP(DI$72,INDIRECT($C$5&amp;"生成成长"),5))*(VLOOKUP($B$5,标准坦克设计!$B$24:$U$30,MATCH("对"&amp;LEFT($C$5,2)&amp;"输出",标准坦克设计!$B$23:$U$23,0)))*(VLOOKUP($B173,INDIRECT($B$5&amp;"生成成长"),3))*(VLOOKUP($B$5,标准坦克设计!$B$14:$K$20,9)/30))</f>
        <v>16.106700680429395</v>
      </c>
      <c r="DJ173" s="173">
        <f ca="1">(VLOOKUP(DJ$72,INDIRECT($C$5&amp;"生成成长"),2))/((VLOOKUP($B173,INDIRECT($B$5&amp;"生成成长"),4))/(VLOOKUP(DJ$72,INDIRECT($C$5&amp;"生成成长"),5))*(VLOOKUP($B$5,标准坦克设计!$B$24:$U$30,MATCH("对"&amp;LEFT($C$5,2)&amp;"输出",标准坦克设计!$B$23:$U$23,0)))*(VLOOKUP($B173,INDIRECT($B$5&amp;"生成成长"),3))*(VLOOKUP($B$5,标准坦克设计!$B$14:$K$20,9)/30))</f>
        <v>1.6187635210783751</v>
      </c>
      <c r="DK173" s="173">
        <f ca="1">(VLOOKUP(DK$72,INDIRECT($C$5&amp;"生成成长"),2))/((VLOOKUP($B173,INDIRECT($B$5&amp;"生成成长"),4))/(VLOOKUP(DK$72,INDIRECT($C$5&amp;"生成成长"),5))*(VLOOKUP($B$5,标准坦克设计!$B$24:$U$30,MATCH("对"&amp;LEFT($C$5,2)&amp;"输出",标准坦克设计!$B$23:$U$23,0)))*(VLOOKUP($B173,INDIRECT($B$5&amp;"生成成长"),3))*(VLOOKUP($B$5,标准坦克设计!$B$14:$K$20,9)/30))</f>
        <v>1.8202248790685354</v>
      </c>
      <c r="DL173" s="173">
        <f ca="1">(VLOOKUP(DL$72,INDIRECT($C$5&amp;"生成成长"),2))/((VLOOKUP($B173,INDIRECT($B$5&amp;"生成成长"),4))/(VLOOKUP(DL$72,INDIRECT($C$5&amp;"生成成长"),5))*(VLOOKUP($B$5,标准坦克设计!$B$24:$U$30,MATCH("对"&amp;LEFT($C$5,2)&amp;"输出",标准坦克设计!$B$23:$U$23,0)))*(VLOOKUP($B173,INDIRECT($B$5&amp;"生成成长"),3))*(VLOOKUP($B$5,标准坦克设计!$B$14:$K$20,9)/30))</f>
        <v>2.0334983036509522</v>
      </c>
      <c r="DM173" s="173">
        <f ca="1">(VLOOKUP(DM$72,INDIRECT($C$5&amp;"生成成长"),2))/((VLOOKUP($B173,INDIRECT($B$5&amp;"生成成长"),4))/(VLOOKUP(DM$72,INDIRECT($C$5&amp;"生成成长"),5))*(VLOOKUP($B$5,标准坦克设计!$B$24:$U$30,MATCH("对"&amp;LEFT($C$5,2)&amp;"输出",标准坦克设计!$B$23:$U$23,0)))*(VLOOKUP($B173,INDIRECT($B$5&amp;"生成成长"),3))*(VLOOKUP($B$5,标准坦克设计!$B$14:$K$20,9)/30))</f>
        <v>2.2585837948256269</v>
      </c>
      <c r="DN173" s="173">
        <f ca="1">(VLOOKUP(DN$72,INDIRECT($C$5&amp;"生成成长"),2))/((VLOOKUP($B173,INDIRECT($B$5&amp;"生成成长"),4))/(VLOOKUP(DN$72,INDIRECT($C$5&amp;"生成成长"),5))*(VLOOKUP($B$5,标准坦克设计!$B$24:$U$30,MATCH("对"&amp;LEFT($C$5,2)&amp;"输出",标准坦克设计!$B$23:$U$23,0)))*(VLOOKUP($B173,INDIRECT($B$5&amp;"生成成长"),3))*(VLOOKUP($B$5,标准坦克设计!$B$14:$K$20,9)/30))</f>
        <v>2.4954813525925581</v>
      </c>
      <c r="DO173" s="173">
        <f ca="1">(VLOOKUP(DO$72,INDIRECT($C$5&amp;"生成成长"),2))/((VLOOKUP($B173,INDIRECT($B$5&amp;"生成成长"),4))/(VLOOKUP(DO$72,INDIRECT($C$5&amp;"生成成长"),5))*(VLOOKUP($B$5,标准坦克设计!$B$24:$U$30,MATCH("对"&amp;LEFT($C$5,2)&amp;"输出",标准坦克设计!$B$23:$U$23,0)))*(VLOOKUP($B173,INDIRECT($B$5&amp;"生成成长"),3))*(VLOOKUP($B$5,标准坦克设计!$B$14:$K$20,9)/30))</f>
        <v>2.7441909769517459</v>
      </c>
      <c r="DP173" s="173">
        <f ca="1">(VLOOKUP(DP$72,INDIRECT($C$5&amp;"生成成长"),2))/((VLOOKUP($B173,INDIRECT($B$5&amp;"生成成长"),4))/(VLOOKUP(DP$72,INDIRECT($C$5&amp;"生成成长"),5))*(VLOOKUP($B$5,标准坦克设计!$B$24:$U$30,MATCH("对"&amp;LEFT($C$5,2)&amp;"输出",标准坦克设计!$B$23:$U$23,0)))*(VLOOKUP($B173,INDIRECT($B$5&amp;"生成成长"),3))*(VLOOKUP($B$5,标准坦克设计!$B$14:$K$20,9)/30))</f>
        <v>3.0047126679031915</v>
      </c>
      <c r="DQ173" s="173">
        <f ca="1">(VLOOKUP(DQ$72,INDIRECT($C$5&amp;"生成成长"),2))/((VLOOKUP($B173,INDIRECT($B$5&amp;"生成成长"),4))/(VLOOKUP(DQ$72,INDIRECT($C$5&amp;"生成成长"),5))*(VLOOKUP($B$5,标准坦克设计!$B$24:$U$30,MATCH("对"&amp;LEFT($C$5,2)&amp;"输出",标准坦克设计!$B$23:$U$23,0)))*(VLOOKUP($B173,INDIRECT($B$5&amp;"生成成长"),3))*(VLOOKUP($B$5,标准坦克设计!$B$14:$K$20,9)/30))</f>
        <v>3.2770464254468932</v>
      </c>
      <c r="DR173" s="173">
        <f ca="1">(VLOOKUP(DR$72,INDIRECT($C$5&amp;"生成成长"),2))/((VLOOKUP($B173,INDIRECT($B$5&amp;"生成成长"),4))/(VLOOKUP(DR$72,INDIRECT($C$5&amp;"生成成长"),5))*(VLOOKUP($B$5,标准坦克设计!$B$24:$U$30,MATCH("对"&amp;LEFT($C$5,2)&amp;"输出",标准坦克设计!$B$23:$U$23,0)))*(VLOOKUP($B173,INDIRECT($B$5&amp;"生成成长"),3))*(VLOOKUP($B$5,标准坦克设计!$B$14:$K$20,9)/30))</f>
        <v>3.5611922495828532</v>
      </c>
      <c r="DS173" s="173">
        <f ca="1">(VLOOKUP(DS$72,INDIRECT($C$5&amp;"生成成长"),2))/((VLOOKUP($B173,INDIRECT($B$5&amp;"生成成长"),4))/(VLOOKUP(DS$72,INDIRECT($C$5&amp;"生成成长"),5))*(VLOOKUP($B$5,标准坦克设计!$B$24:$U$30,MATCH("对"&amp;LEFT($C$5,2)&amp;"输出",标准坦克设计!$B$23:$U$23,0)))*(VLOOKUP($B173,INDIRECT($B$5&amp;"生成成长"),3))*(VLOOKUP($B$5,标准坦克设计!$B$14:$K$20,9)/30))</f>
        <v>3.8571501403110684</v>
      </c>
      <c r="DT173" s="173">
        <f ca="1">(VLOOKUP(DT$72,INDIRECT($C$5&amp;"生成成长"),2))/((VLOOKUP($B173,INDIRECT($B$5&amp;"生成成长"),4))/(VLOOKUP(DT$72,INDIRECT($C$5&amp;"生成成长"),5))*(VLOOKUP($B$5,标准坦克设计!$B$24:$U$30,MATCH("对"&amp;LEFT($C$5,2)&amp;"输出",标准坦克设计!$B$23:$U$23,0)))*(VLOOKUP($B173,INDIRECT($B$5&amp;"生成成长"),3))*(VLOOKUP($B$5,标准坦克设计!$B$14:$K$20,9)/30))</f>
        <v>4.234917529289361</v>
      </c>
      <c r="DU173" s="173">
        <f ca="1">(VLOOKUP(DU$72,INDIRECT($C$5&amp;"生成成长"),2))/((VLOOKUP($B173,INDIRECT($B$5&amp;"生成成长"),4))/(VLOOKUP(DU$72,INDIRECT($C$5&amp;"生成成长"),5))*(VLOOKUP($B$5,标准坦克设计!$B$24:$U$30,MATCH("对"&amp;LEFT($C$5,2)&amp;"输出",标准坦克设计!$B$23:$U$23,0)))*(VLOOKUP($B173,INDIRECT($B$5&amp;"生成成长"),3))*(VLOOKUP($B$5,标准坦克设计!$B$14:$K$20,9)/30))</f>
        <v>4.6303301041647282</v>
      </c>
      <c r="DV173" s="173">
        <f ca="1">(VLOOKUP(DV$72,INDIRECT($C$5&amp;"生成成长"),2))/((VLOOKUP($B173,INDIRECT($B$5&amp;"生成成长"),4))/(VLOOKUP(DV$72,INDIRECT($C$5&amp;"生成成长"),5))*(VLOOKUP($B$5,标准坦克设计!$B$24:$U$30,MATCH("对"&amp;LEFT($C$5,2)&amp;"输出",标准坦克设计!$B$23:$U$23,0)))*(VLOOKUP($B173,INDIRECT($B$5&amp;"生成成长"),3))*(VLOOKUP($B$5,标准坦克设计!$B$14:$K$20,9)/30))</f>
        <v>5.04338786493717</v>
      </c>
      <c r="DW173" s="173">
        <f ca="1">(VLOOKUP(DW$72,INDIRECT($C$5&amp;"生成成长"),2))/((VLOOKUP($B173,INDIRECT($B$5&amp;"生成成长"),4))/(VLOOKUP(DW$72,INDIRECT($C$5&amp;"生成成长"),5))*(VLOOKUP($B$5,标准坦克设计!$B$24:$U$30,MATCH("对"&amp;LEFT($C$5,2)&amp;"输出",标准坦克设计!$B$23:$U$23,0)))*(VLOOKUP($B173,INDIRECT($B$5&amp;"生成成长"),3))*(VLOOKUP($B$5,标准坦克设计!$B$14:$K$20,9)/30))</f>
        <v>5.474090811606688</v>
      </c>
      <c r="DX173" s="173">
        <f ca="1">(VLOOKUP(DX$72,INDIRECT($C$5&amp;"生成成长"),2))/((VLOOKUP($B173,INDIRECT($B$5&amp;"生成成长"),4))/(VLOOKUP(DX$72,INDIRECT($C$5&amp;"生成成长"),5))*(VLOOKUP($B$5,标准坦克设计!$B$24:$U$30,MATCH("对"&amp;LEFT($C$5,2)&amp;"输出",标准坦克设计!$B$23:$U$23,0)))*(VLOOKUP($B173,INDIRECT($B$5&amp;"生成成长"),3))*(VLOOKUP($B$5,标准坦克设计!$B$14:$K$20,9)/30))</f>
        <v>5.9224389441732797</v>
      </c>
      <c r="DY173" s="173">
        <f ca="1">(VLOOKUP(DY$72,INDIRECT($C$5&amp;"生成成长"),2))/((VLOOKUP($B173,INDIRECT($B$5&amp;"生成成长"),4))/(VLOOKUP(DY$72,INDIRECT($C$5&amp;"生成成长"),5))*(VLOOKUP($B$5,标准坦克设计!$B$24:$U$30,MATCH("对"&amp;LEFT($C$5,2)&amp;"输出",标准坦克设计!$B$23:$U$23,0)))*(VLOOKUP($B173,INDIRECT($B$5&amp;"生成成长"),3))*(VLOOKUP($B$5,标准坦克设计!$B$14:$K$20,9)/30))</f>
        <v>2.6599753169884326</v>
      </c>
      <c r="DZ173" s="173">
        <f ca="1">(VLOOKUP(DZ$72,INDIRECT($C$5&amp;"生成成长"),2))/((VLOOKUP($B173,INDIRECT($B$5&amp;"生成成长"),4))/(VLOOKUP(DZ$72,INDIRECT($C$5&amp;"生成成长"),5))*(VLOOKUP($B$5,标准坦克设计!$B$24:$U$30,MATCH("对"&amp;LEFT($C$5,2)&amp;"输出",标准坦克设计!$B$23:$U$23,0)))*(VLOOKUP($B173,INDIRECT($B$5&amp;"生成成长"),3))*(VLOOKUP($B$5,标准坦克设计!$B$14:$K$20,9)/30))</f>
        <v>2.9457981629245267</v>
      </c>
      <c r="EA173" s="173">
        <f ca="1">(VLOOKUP(EA$72,INDIRECT($C$5&amp;"生成成长"),2))/((VLOOKUP($B173,INDIRECT($B$5&amp;"生成成长"),4))/(VLOOKUP(EA$72,INDIRECT($C$5&amp;"生成成长"),5))*(VLOOKUP($B$5,标准坦克设计!$B$24:$U$30,MATCH("对"&amp;LEFT($C$5,2)&amp;"输出",标准坦克设计!$B$23:$U$23,0)))*(VLOOKUP($B173,INDIRECT($B$5&amp;"生成成长"),3))*(VLOOKUP($B$5,标准坦克设计!$B$14:$K$20,9)/30))</f>
        <v>3.2462038071226673</v>
      </c>
      <c r="EB173" s="173">
        <f ca="1">(VLOOKUP(EB$72,INDIRECT($C$5&amp;"生成成长"),2))/((VLOOKUP($B173,INDIRECT($B$5&amp;"生成成长"),4))/(VLOOKUP(EB$72,INDIRECT($C$5&amp;"生成成长"),5))*(VLOOKUP($B$5,标准坦克设计!$B$24:$U$30,MATCH("对"&amp;LEFT($C$5,2)&amp;"输出",标准坦克设计!$B$23:$U$23,0)))*(VLOOKUP($B173,INDIRECT($B$5&amp;"生成成长"),3))*(VLOOKUP($B$5,标准坦克设计!$B$14:$K$20,9)/30))</f>
        <v>3.5611922495828532</v>
      </c>
      <c r="EC173" s="173">
        <f ca="1">(VLOOKUP(EC$72,INDIRECT($C$5&amp;"生成成长"),2))/((VLOOKUP($B173,INDIRECT($B$5&amp;"生成成长"),4))/(VLOOKUP(EC$72,INDIRECT($C$5&amp;"生成成长"),5))*(VLOOKUP($B$5,标准坦克设计!$B$24:$U$30,MATCH("对"&amp;LEFT($C$5,2)&amp;"输出",标准坦克设计!$B$23:$U$23,0)))*(VLOOKUP($B173,INDIRECT($B$5&amp;"生成成长"),3))*(VLOOKUP($B$5,标准坦克设计!$B$14:$K$20,9)/30))</f>
        <v>3.8907634903050834</v>
      </c>
      <c r="ED173" s="173">
        <f ca="1">(VLOOKUP(ED$72,INDIRECT($C$5&amp;"生成成长"),2))/((VLOOKUP($B173,INDIRECT($B$5&amp;"生成成长"),4))/(VLOOKUP(ED$72,INDIRECT($C$5&amp;"生成成长"),5))*(VLOOKUP($B$5,标准坦克设计!$B$24:$U$30,MATCH("对"&amp;LEFT($C$5,2)&amp;"输出",标准坦克设计!$B$23:$U$23,0)))*(VLOOKUP($B173,INDIRECT($B$5&amp;"生成成长"),3))*(VLOOKUP($B$5,标准坦克设计!$B$14:$K$20,9)/30))</f>
        <v>4.234917529289361</v>
      </c>
      <c r="EE173" s="173">
        <f ca="1">(VLOOKUP(EE$72,INDIRECT($C$5&amp;"生成成长"),2))/((VLOOKUP($B173,INDIRECT($B$5&amp;"生成成长"),4))/(VLOOKUP(EE$72,INDIRECT($C$5&amp;"生成成长"),5))*(VLOOKUP($B$5,标准坦克设计!$B$24:$U$30,MATCH("对"&amp;LEFT($C$5,2)&amp;"输出",标准坦克设计!$B$23:$U$23,0)))*(VLOOKUP($B173,INDIRECT($B$5&amp;"生成成长"),3))*(VLOOKUP($B$5,标准坦克设计!$B$14:$K$20,9)/30))</f>
        <v>4.5936543665356826</v>
      </c>
      <c r="EF173" s="173">
        <f ca="1">(VLOOKUP(EF$72,INDIRECT($C$5&amp;"生成成长"),2))/((VLOOKUP($B173,INDIRECT($B$5&amp;"生成成长"),4))/(VLOOKUP(EF$72,INDIRECT($C$5&amp;"生成成长"),5))*(VLOOKUP($B$5,标准坦克设计!$B$24:$U$30,MATCH("对"&amp;LEFT($C$5,2)&amp;"输出",标准坦克设计!$B$23:$U$23,0)))*(VLOOKUP($B173,INDIRECT($B$5&amp;"生成成长"),3))*(VLOOKUP($B$5,标准坦克设计!$B$14:$K$20,9)/30))</f>
        <v>4.9669740020440507</v>
      </c>
      <c r="EG173" s="173">
        <f ca="1">(VLOOKUP(EG$72,INDIRECT($C$5&amp;"生成成长"),2))/((VLOOKUP($B173,INDIRECT($B$5&amp;"生成成长"),4))/(VLOOKUP(EG$72,INDIRECT($C$5&amp;"生成成长"),5))*(VLOOKUP($B$5,标准坦克设计!$B$24:$U$30,MATCH("对"&amp;LEFT($C$5,2)&amp;"输出",标准坦克设计!$B$23:$U$23,0)))*(VLOOKUP($B173,INDIRECT($B$5&amp;"生成成长"),3))*(VLOOKUP($B$5,标准坦克设计!$B$14:$K$20,9)/30))</f>
        <v>5.3548764358144654</v>
      </c>
      <c r="EH173" s="173">
        <f ca="1">(VLOOKUP(EH$72,INDIRECT($C$5&amp;"生成成长"),2))/((VLOOKUP($B173,INDIRECT($B$5&amp;"生成成长"),4))/(VLOOKUP(EH$72,INDIRECT($C$5&amp;"生成成长"),5))*(VLOOKUP($B$5,标准坦克设计!$B$24:$U$30,MATCH("对"&amp;LEFT($C$5,2)&amp;"输出",标准坦克设计!$B$23:$U$23,0)))*(VLOOKUP($B173,INDIRECT($B$5&amp;"生成成长"),3))*(VLOOKUP($B$5,标准坦克设计!$B$14:$K$20,9)/30))</f>
        <v>5.7573616678469239</v>
      </c>
      <c r="EI173" s="173">
        <f ca="1">(VLOOKUP(EI$72,INDIRECT($C$5&amp;"生成成长"),2))/((VLOOKUP($B173,INDIRECT($B$5&amp;"生成成长"),4))/(VLOOKUP(EI$72,INDIRECT($C$5&amp;"生成成长"),5))*(VLOOKUP($B$5,标准坦克设计!$B$24:$U$30,MATCH("对"&amp;LEFT($C$5,2)&amp;"输出",标准坦克设计!$B$23:$U$23,0)))*(VLOOKUP($B173,INDIRECT($B$5&amp;"生成成长"),3))*(VLOOKUP($B$5,标准坦克设计!$B$14:$K$20,9)/30))</f>
        <v>6.1744296981414308</v>
      </c>
      <c r="EJ173" s="173">
        <f ca="1">(VLOOKUP(EJ$72,INDIRECT($C$5&amp;"生成成长"),2))/((VLOOKUP($B173,INDIRECT($B$5&amp;"生成成长"),4))/(VLOOKUP(EJ$72,INDIRECT($C$5&amp;"生成成长"),5))*(VLOOKUP($B$5,标准坦克设计!$B$24:$U$30,MATCH("对"&amp;LEFT($C$5,2)&amp;"输出",标准坦克设计!$B$23:$U$23,0)))*(VLOOKUP($B173,INDIRECT($B$5&amp;"生成成长"),3))*(VLOOKUP($B$5,标准坦克设计!$B$14:$K$20,9)/30))</f>
        <v>6.6060805266979798</v>
      </c>
      <c r="EK173" s="173">
        <f ca="1">(VLOOKUP(EK$72,INDIRECT($C$5&amp;"生成成长"),2))/((VLOOKUP($B173,INDIRECT($B$5&amp;"生成成长"),4))/(VLOOKUP(EK$72,INDIRECT($C$5&amp;"生成成长"),5))*(VLOOKUP($B$5,标准坦克设计!$B$24:$U$30,MATCH("对"&amp;LEFT($C$5,2)&amp;"输出",标准坦克设计!$B$23:$U$23,0)))*(VLOOKUP($B173,INDIRECT($B$5&amp;"生成成长"),3))*(VLOOKUP($B$5,标准坦克设计!$B$14:$K$20,9)/30))</f>
        <v>7.1433108146717395</v>
      </c>
      <c r="EL173" s="173">
        <f ca="1">(VLOOKUP(EL$72,INDIRECT($C$5&amp;"生成成长"),2))/((VLOOKUP($B173,INDIRECT($B$5&amp;"生成成长"),4))/(VLOOKUP(EL$72,INDIRECT($C$5&amp;"生成成长"),5))*(VLOOKUP($B$5,标准坦克设计!$B$24:$U$30,MATCH("对"&amp;LEFT($C$5,2)&amp;"输出",标准坦克设计!$B$23:$U$23,0)))*(VLOOKUP($B173,INDIRECT($B$5&amp;"生成成长"),3))*(VLOOKUP($B$5,标准坦克设计!$B$14:$K$20,9)/30))</f>
        <v>7.7015403321428471</v>
      </c>
      <c r="EM173" s="173">
        <f ca="1">(VLOOKUP(EM$72,INDIRECT($C$5&amp;"生成成长"),2))/((VLOOKUP($B173,INDIRECT($B$5&amp;"生成成长"),4))/(VLOOKUP(EM$72,INDIRECT($C$5&amp;"生成成长"),5))*(VLOOKUP($B$5,标准坦克设计!$B$24:$U$30,MATCH("对"&amp;LEFT($C$5,2)&amp;"输出",标准坦克设计!$B$23:$U$23,0)))*(VLOOKUP($B173,INDIRECT($B$5&amp;"生成成长"),3))*(VLOOKUP($B$5,标准坦克设计!$B$14:$K$20,9)/30))</f>
        <v>8.2807690791112982</v>
      </c>
      <c r="EN173" s="173">
        <f ca="1">(VLOOKUP(EN$72,INDIRECT($C$5&amp;"生成成长"),2))/((VLOOKUP($B173,INDIRECT($B$5&amp;"生成成长"),4))/(VLOOKUP(EN$72,INDIRECT($C$5&amp;"生成成长"),5))*(VLOOKUP($B$5,标准坦克设计!$B$24:$U$30,MATCH("对"&amp;LEFT($C$5,2)&amp;"输出",标准坦克设计!$B$23:$U$23,0)))*(VLOOKUP($B173,INDIRECT($B$5&amp;"生成成长"),3))*(VLOOKUP($B$5,标准坦克设计!$B$14:$K$20,9)/30))</f>
        <v>8.8809970555770992</v>
      </c>
      <c r="EO173" s="173">
        <f ca="1">(VLOOKUP(EO$72,INDIRECT($C$5&amp;"生成成长"),2))/((VLOOKUP($B173,INDIRECT($B$5&amp;"生成成长"),4))/(VLOOKUP(EO$72,INDIRECT($C$5&amp;"生成成长"),5))*(VLOOKUP($B$5,标准坦克设计!$B$24:$U$30,MATCH("对"&amp;LEFT($C$5,2)&amp;"输出",标准坦克设计!$B$23:$U$23,0)))*(VLOOKUP($B173,INDIRECT($B$5&amp;"生成成长"),3))*(VLOOKUP($B$5,标准坦克设计!$B$14:$K$20,9)/30))</f>
        <v>9.5022242615402419</v>
      </c>
      <c r="EP173" s="173">
        <f ca="1">(VLOOKUP(EP$72,INDIRECT($C$5&amp;"生成成长"),2))/((VLOOKUP($B173,INDIRECT($B$5&amp;"生成成长"),4))/(VLOOKUP(EP$72,INDIRECT($C$5&amp;"生成成长"),5))*(VLOOKUP($B$5,标准坦克设计!$B$24:$U$30,MATCH("对"&amp;LEFT($C$5,2)&amp;"输出",标准坦克设计!$B$23:$U$23,0)))*(VLOOKUP($B173,INDIRECT($B$5&amp;"生成成长"),3))*(VLOOKUP($B$5,标准坦克设计!$B$14:$K$20,9)/30))</f>
        <v>10.144450697000732</v>
      </c>
      <c r="EQ173" s="173">
        <f ca="1">(VLOOKUP(EQ$72,INDIRECT($C$5&amp;"生成成长"),2))/((VLOOKUP($B173,INDIRECT($B$5&amp;"生成成长"),4))/(VLOOKUP(EQ$72,INDIRECT($C$5&amp;"生成成长"),5))*(VLOOKUP($B$5,标准坦克设计!$B$24:$U$30,MATCH("对"&amp;LEFT($C$5,2)&amp;"输出",标准坦克设计!$B$23:$U$23,0)))*(VLOOKUP($B173,INDIRECT($B$5&amp;"生成成长"),3))*(VLOOKUP($B$5,标准坦克设计!$B$14:$K$20,9)/30))</f>
        <v>4.4845021215442715</v>
      </c>
      <c r="ER173" s="173">
        <f ca="1">(VLOOKUP(ER$72,INDIRECT($C$5&amp;"生成成长"),2))/((VLOOKUP($B173,INDIRECT($B$5&amp;"生成成长"),4))/(VLOOKUP(ER$72,INDIRECT($C$5&amp;"生成成长"),5))*(VLOOKUP($B$5,标准坦克设计!$B$24:$U$30,MATCH("对"&amp;LEFT($C$5,2)&amp;"输出",标准坦克设计!$B$23:$U$23,0)))*(VLOOKUP($B173,INDIRECT($B$5&amp;"生成成长"),3))*(VLOOKUP($B$5,标准坦克设计!$B$14:$K$20,9)/30))</f>
        <v>4.8911434510814145</v>
      </c>
      <c r="ES173" s="173">
        <f ca="1">(VLOOKUP(ES$72,INDIRECT($C$5&amp;"生成成长"),2))/((VLOOKUP($B173,INDIRECT($B$5&amp;"生成成长"),4))/(VLOOKUP(ES$72,INDIRECT($C$5&amp;"生成成长"),5))*(VLOOKUP($B$5,标准坦克设计!$B$24:$U$30,MATCH("对"&amp;LEFT($C$5,2)&amp;"输出",标准坦克设计!$B$23:$U$23,0)))*(VLOOKUP($B173,INDIRECT($B$5&amp;"生成成长"),3))*(VLOOKUP($B$5,标准坦克设计!$B$14:$K$20,9)/30))</f>
        <v>5.3154299665156319</v>
      </c>
      <c r="ET173" s="173">
        <f ca="1">(VLOOKUP(ET$72,INDIRECT($C$5&amp;"生成成长"),2))/((VLOOKUP($B173,INDIRECT($B$5&amp;"生成成长"),4))/(VLOOKUP(ET$72,INDIRECT($C$5&amp;"生成成长"),5))*(VLOOKUP($B$5,标准坦克设计!$B$24:$U$30,MATCH("对"&amp;LEFT($C$5,2)&amp;"输出",标准坦克设计!$B$23:$U$23,0)))*(VLOOKUP($B173,INDIRECT($B$5&amp;"生成成长"),3))*(VLOOKUP($B$5,标准坦克设计!$B$14:$K$20,9)/30))</f>
        <v>5.7573616678469239</v>
      </c>
      <c r="EU173" s="173">
        <f ca="1">(VLOOKUP(EU$72,INDIRECT($C$5&amp;"生成成长"),2))/((VLOOKUP($B173,INDIRECT($B$5&amp;"生成成长"),4))/(VLOOKUP(EU$72,INDIRECT($C$5&amp;"生成成长"),5))*(VLOOKUP($B$5,标准坦克设计!$B$24:$U$30,MATCH("对"&amp;LEFT($C$5,2)&amp;"输出",标准坦克设计!$B$23:$U$23,0)))*(VLOOKUP($B173,INDIRECT($B$5&amp;"生成成长"),3))*(VLOOKUP($B$5,标准坦克设计!$B$14:$K$20,9)/30))</f>
        <v>6.2169385550752914</v>
      </c>
      <c r="EV173" s="173">
        <f ca="1">(VLOOKUP(EV$72,INDIRECT($C$5&amp;"生成成长"),2))/((VLOOKUP($B173,INDIRECT($B$5&amp;"生成成长"),4))/(VLOOKUP(EV$72,INDIRECT($C$5&amp;"生成成长"),5))*(VLOOKUP($B$5,标准坦克设计!$B$24:$U$30,MATCH("对"&amp;LEFT($C$5,2)&amp;"输出",标准坦克设计!$B$23:$U$23,0)))*(VLOOKUP($B173,INDIRECT($B$5&amp;"生成成长"),3))*(VLOOKUP($B$5,标准坦克设计!$B$14:$K$20,9)/30))</f>
        <v>6.694160628200736</v>
      </c>
      <c r="EW173" s="173">
        <f ca="1">(VLOOKUP(EW$72,INDIRECT($C$5&amp;"生成成长"),2))/((VLOOKUP($B173,INDIRECT($B$5&amp;"生成成长"),4))/(VLOOKUP(EW$72,INDIRECT($C$5&amp;"生成成长"),5))*(VLOOKUP($B$5,标准坦克设计!$B$24:$U$30,MATCH("对"&amp;LEFT($C$5,2)&amp;"输出",标准坦克设计!$B$23:$U$23,0)))*(VLOOKUP($B173,INDIRECT($B$5&amp;"生成成长"),3))*(VLOOKUP($B$5,标准坦克设计!$B$14:$K$20,9)/30))</f>
        <v>7.1890278872232543</v>
      </c>
      <c r="EX173" s="173">
        <f ca="1">(VLOOKUP(EX$72,INDIRECT($C$5&amp;"生成成长"),2))/((VLOOKUP($B173,INDIRECT($B$5&amp;"生成成长"),4))/(VLOOKUP(EX$72,INDIRECT($C$5&amp;"生成成长"),5))*(VLOOKUP($B$5,标准坦克设计!$B$24:$U$30,MATCH("对"&amp;LEFT($C$5,2)&amp;"输出",标准坦克设计!$B$23:$U$23,0)))*(VLOOKUP($B173,INDIRECT($B$5&amp;"生成成长"),3))*(VLOOKUP($B$5,标准坦克设计!$B$14:$K$20,9)/30))</f>
        <v>7.7015403321428471</v>
      </c>
      <c r="EY173" s="173">
        <f ca="1">(VLOOKUP(EY$72,INDIRECT($C$5&amp;"生成成长"),2))/((VLOOKUP($B173,INDIRECT($B$5&amp;"生成成长"),4))/(VLOOKUP(EY$72,INDIRECT($C$5&amp;"生成成长"),5))*(VLOOKUP($B$5,标准坦克设计!$B$24:$U$30,MATCH("对"&amp;LEFT($C$5,2)&amp;"输出",标准坦克设计!$B$23:$U$23,0)))*(VLOOKUP($B173,INDIRECT($B$5&amp;"生成成长"),3))*(VLOOKUP($B$5,标准坦克设计!$B$14:$K$20,9)/30))</f>
        <v>8.2316979629595153</v>
      </c>
      <c r="EZ173" s="173">
        <f ca="1">(VLOOKUP(EZ$72,INDIRECT($C$5&amp;"生成成长"),2))/((VLOOKUP($B173,INDIRECT($B$5&amp;"生成成长"),4))/(VLOOKUP(EZ$72,INDIRECT($C$5&amp;"生成成长"),5))*(VLOOKUP($B$5,标准坦克设计!$B$24:$U$30,MATCH("对"&amp;LEFT($C$5,2)&amp;"输出",标准坦克设计!$B$23:$U$23,0)))*(VLOOKUP($B173,INDIRECT($B$5&amp;"生成成长"),3))*(VLOOKUP($B$5,标准坦克设计!$B$14:$K$20,9)/30))</f>
        <v>8.7795007796732598</v>
      </c>
      <c r="FA173" s="173">
        <f ca="1">(VLOOKUP(FA$72,INDIRECT($C$5&amp;"生成成长"),2))/((VLOOKUP($B173,INDIRECT($B$5&amp;"生成成长"),4))/(VLOOKUP(FA$72,INDIRECT($C$5&amp;"生成成长"),5))*(VLOOKUP($B$5,标准坦克设计!$B$24:$U$30,MATCH("对"&amp;LEFT($C$5,2)&amp;"输出",标准坦克设计!$B$23:$U$23,0)))*(VLOOKUP($B173,INDIRECT($B$5&amp;"生成成长"),3))*(VLOOKUP($B$5,标准坦克设计!$B$14:$K$20,9)/30))</f>
        <v>9.3449487822840798</v>
      </c>
      <c r="FB173" s="173">
        <f ca="1">(VLOOKUP(FB$72,INDIRECT($C$5&amp;"生成成长"),2))/((VLOOKUP($B173,INDIRECT($B$5&amp;"生成成长"),4))/(VLOOKUP(FB$72,INDIRECT($C$5&amp;"生成成长"),5))*(VLOOKUP($B$5,标准坦克设计!$B$24:$U$30,MATCH("对"&amp;LEFT($C$5,2)&amp;"输出",标准坦克设计!$B$23:$U$23,0)))*(VLOOKUP($B173,INDIRECT($B$5&amp;"生成成长"),3))*(VLOOKUP($B$5,标准坦克设计!$B$14:$K$20,9)/30))</f>
        <v>9.9280419707919751</v>
      </c>
      <c r="FC173" s="173">
        <f ca="1">(VLOOKUP(FC$72,INDIRECT($C$5&amp;"生成成长"),2))/((VLOOKUP($B173,INDIRECT($B$5&amp;"生成成长"),4))/(VLOOKUP(FC$72,INDIRECT($C$5&amp;"生成成长"),5))*(VLOOKUP($B$5,标准坦克设计!$B$24:$U$30,MATCH("对"&amp;LEFT($C$5,2)&amp;"输出",标准坦克设计!$B$23:$U$23,0)))*(VLOOKUP($B173,INDIRECT($B$5&amp;"生成成长"),3))*(VLOOKUP($B$5,标准坦克设计!$B$14:$K$20,9)/30))</f>
        <v>10.528780345196944</v>
      </c>
      <c r="FD173" s="173">
        <f ca="1">(VLOOKUP(FD$72,INDIRECT($C$5&amp;"生成成长"),2))/((VLOOKUP($B173,INDIRECT($B$5&amp;"生成成长"),4))/(VLOOKUP(FD$72,INDIRECT($C$5&amp;"生成成长"),5))*(VLOOKUP($B$5,标准坦克设计!$B$24:$U$30,MATCH("对"&amp;LEFT($C$5,2)&amp;"输出",标准坦克设计!$B$23:$U$23,0)))*(VLOOKUP($B173,INDIRECT($B$5&amp;"生成成长"),3))*(VLOOKUP($B$5,标准坦克设计!$B$14:$K$20,9)/30))</f>
        <v>11.147163905498989</v>
      </c>
      <c r="FE173" s="173">
        <f ca="1">(VLOOKUP(FE$72,INDIRECT($C$5&amp;"生成成长"),2))/((VLOOKUP($B173,INDIRECT($B$5&amp;"生成成长"),4))/(VLOOKUP(FE$72,INDIRECT($C$5&amp;"生成成长"),5))*(VLOOKUP($B$5,标准坦克设计!$B$24:$U$30,MATCH("对"&amp;LEFT($C$5,2)&amp;"输出",标准坦克设计!$B$23:$U$23,0)))*(VLOOKUP($B173,INDIRECT($B$5&amp;"生成成长"),3))*(VLOOKUP($B$5,标准坦克设计!$B$14:$K$20,9)/30))</f>
        <v>11.900730005690196</v>
      </c>
      <c r="FF173" s="173">
        <f ca="1">(VLOOKUP(FF$72,INDIRECT($C$5&amp;"生成成长"),2))/((VLOOKUP($B173,INDIRECT($B$5&amp;"生成成长"),4))/(VLOOKUP(FF$72,INDIRECT($C$5&amp;"生成成长"),5))*(VLOOKUP($B$5,标准坦克设计!$B$24:$U$30,MATCH("对"&amp;LEFT($C$5,2)&amp;"输出",标准坦克设计!$B$23:$U$23,0)))*(VLOOKUP($B173,INDIRECT($B$5&amp;"生成成长"),3))*(VLOOKUP($B$5,标准坦克设计!$B$14:$K$20,9)/30))</f>
        <v>12.678941034944263</v>
      </c>
      <c r="FG173" s="173">
        <f ca="1">(VLOOKUP(FG$72,INDIRECT($C$5&amp;"生成成长"),2))/((VLOOKUP($B173,INDIRECT($B$5&amp;"生成成长"),4))/(VLOOKUP(FG$72,INDIRECT($C$5&amp;"生成成长"),5))*(VLOOKUP($B$5,标准坦克设计!$B$24:$U$30,MATCH("对"&amp;LEFT($C$5,2)&amp;"输出",标准坦克设计!$B$23:$U$23,0)))*(VLOOKUP($B173,INDIRECT($B$5&amp;"生成成长"),3))*(VLOOKUP($B$5,标准坦克设计!$B$14:$K$20,9)/30))</f>
        <v>13.481796993261181</v>
      </c>
      <c r="FH173" s="173">
        <f ca="1">(VLOOKUP(FH$72,INDIRECT($C$5&amp;"生成成长"),2))/((VLOOKUP($B173,INDIRECT($B$5&amp;"生成成长"),4))/(VLOOKUP(FH$72,INDIRECT($C$5&amp;"生成成长"),5))*(VLOOKUP($B$5,标准坦克设计!$B$24:$U$30,MATCH("对"&amp;LEFT($C$5,2)&amp;"输出",标准坦克设计!$B$23:$U$23,0)))*(VLOOKUP($B173,INDIRECT($B$5&amp;"生成成长"),3))*(VLOOKUP($B$5,标准坦克设计!$B$14:$K$20,9)/30))</f>
        <v>14.309297880640964</v>
      </c>
      <c r="FI173" s="173">
        <f ca="1">(VLOOKUP(FI$72,INDIRECT($C$5&amp;"生成成长"),2))/((VLOOKUP($B173,INDIRECT($B$5&amp;"生成成长"),4))/(VLOOKUP(FI$72,INDIRECT($C$5&amp;"生成成长"),5))*(VLOOKUP($B$5,标准坦克设计!$B$24:$U$30,MATCH("对"&amp;LEFT($C$5,2)&amp;"输出",标准坦克设计!$B$23:$U$23,0)))*(VLOOKUP($B173,INDIRECT($B$5&amp;"生成成长"),3))*(VLOOKUP($B$5,标准坦克设计!$B$14:$K$20,9)/30))</f>
        <v>15.1614436970836</v>
      </c>
      <c r="FJ173" s="173">
        <f ca="1">(VLOOKUP(FJ$72,INDIRECT($C$5&amp;"生成成长"),2))/((VLOOKUP($B173,INDIRECT($B$5&amp;"生成成长"),4))/(VLOOKUP(FJ$72,INDIRECT($C$5&amp;"生成成长"),5))*(VLOOKUP($B$5,标准坦克设计!$B$24:$U$30,MATCH("对"&amp;LEFT($C$5,2)&amp;"输出",标准坦克设计!$B$23:$U$23,0)))*(VLOOKUP($B173,INDIRECT($B$5&amp;"生成成长"),3))*(VLOOKUP($B$5,标准坦克设计!$B$14:$K$20,9)/30))</f>
        <v>16.038234442589093</v>
      </c>
      <c r="FK173" s="173">
        <f ca="1">(VLOOKUP(FK$72,INDIRECT($C$5&amp;"生成成长"),2))/((VLOOKUP($B173,INDIRECT($B$5&amp;"生成成长"),4))/(VLOOKUP(FK$72,INDIRECT($C$5&amp;"生成成长"),5))*(VLOOKUP($B$5,标准坦克设计!$B$24:$U$30,MATCH("对"&amp;LEFT($C$5,2)&amp;"输出",标准坦克设计!$B$23:$U$23,0)))*(VLOOKUP($B173,INDIRECT($B$5&amp;"生成成长"),3))*(VLOOKUP($B$5,标准坦克设计!$B$14:$K$20,9)/30))</f>
        <v>16.939670117157444</v>
      </c>
    </row>
    <row r="174" spans="1:167" x14ac:dyDescent="0.15">
      <c r="A174" s="171" t="str">
        <f t="shared" si="12"/>
        <v>T5中品质12级</v>
      </c>
      <c r="B174" s="172">
        <v>20512</v>
      </c>
      <c r="C174" s="173">
        <f ca="1">(VLOOKUP(C$72,INDIRECT($C$5&amp;"生成成长"),2))/((VLOOKUP($B174,INDIRECT($B$5&amp;"生成成长"),4))/(VLOOKUP(C$72,INDIRECT($C$5&amp;"生成成长"),5))*(VLOOKUP($B$5,标准坦克设计!$B$24:$U$30,MATCH("对"&amp;LEFT($C$5,2)&amp;"输出",标准坦克设计!$B$23:$U$23,0)))*(VLOOKUP($B174,INDIRECT($B$5&amp;"生成成长"),3))*(VLOOKUP($B$5,标准坦克设计!$B$14:$K$20,9)/30))</f>
        <v>0.68516081281124097</v>
      </c>
      <c r="D174" s="173">
        <f ca="1">(VLOOKUP(D$72,INDIRECT($C$5&amp;"生成成长"),2))/((VLOOKUP($B174,INDIRECT($B$5&amp;"生成成长"),4))/(VLOOKUP(D$72,INDIRECT($C$5&amp;"生成成长"),5))*(VLOOKUP($B$5,标准坦克设计!$B$24:$U$30,MATCH("对"&amp;LEFT($C$5,2)&amp;"输出",标准坦克设计!$B$23:$U$23,0)))*(VLOOKUP($B174,INDIRECT($B$5&amp;"生成成长"),3))*(VLOOKUP($B$5,标准坦克设计!$B$14:$K$20,9)/30))</f>
        <v>0.76984668927471034</v>
      </c>
      <c r="E174" s="173">
        <f ca="1">(VLOOKUP(E$72,INDIRECT($C$5&amp;"生成成长"),2))/((VLOOKUP($B174,INDIRECT($B$5&amp;"生成成长"),4))/(VLOOKUP(E$72,INDIRECT($C$5&amp;"生成成长"),5))*(VLOOKUP($B$5,标准坦克设计!$B$24:$U$30,MATCH("对"&amp;LEFT($C$5,2)&amp;"输出",标准坦克设计!$B$23:$U$23,0)))*(VLOOKUP($B174,INDIRECT($B$5&amp;"生成成长"),3))*(VLOOKUP($B$5,标准坦克设计!$B$14:$K$20,9)/30))</f>
        <v>0.85946572359042084</v>
      </c>
      <c r="F174" s="173">
        <f ca="1">(VLOOKUP(F$72,INDIRECT($C$5&amp;"生成成长"),2))/((VLOOKUP($B174,INDIRECT($B$5&amp;"生成成长"),4))/(VLOOKUP(F$72,INDIRECT($C$5&amp;"生成成长"),5))*(VLOOKUP($B$5,标准坦克设计!$B$24:$U$30,MATCH("对"&amp;LEFT($C$5,2)&amp;"输出",标准坦克设计!$B$23:$U$23,0)))*(VLOOKUP($B174,INDIRECT($B$5&amp;"生成成长"),3))*(VLOOKUP($B$5,标准坦克设计!$B$14:$K$20,9)/30))</f>
        <v>0.95401791575837203</v>
      </c>
      <c r="G174" s="173">
        <f ca="1">(VLOOKUP(G$72,INDIRECT($C$5&amp;"生成成长"),2))/((VLOOKUP($B174,INDIRECT($B$5&amp;"生成成长"),4))/(VLOOKUP(G$72,INDIRECT($C$5&amp;"生成成长"),5))*(VLOOKUP($B$5,标准坦克设计!$B$24:$U$30,MATCH("对"&amp;LEFT($C$5,2)&amp;"输出",标准坦克设计!$B$23:$U$23,0)))*(VLOOKUP($B174,INDIRECT($B$5&amp;"生成成长"),3))*(VLOOKUP($B$5,标准坦克设计!$B$14:$K$20,9)/30))</f>
        <v>1.0535032657785641</v>
      </c>
      <c r="H174" s="173">
        <f ca="1">(VLOOKUP(H$72,INDIRECT($C$5&amp;"生成成长"),2))/((VLOOKUP($B174,INDIRECT($B$5&amp;"生成成长"),4))/(VLOOKUP(H$72,INDIRECT($C$5&amp;"生成成长"),5))*(VLOOKUP($B$5,标准坦克设计!$B$24:$U$30,MATCH("对"&amp;LEFT($C$5,2)&amp;"输出",标准坦克设计!$B$23:$U$23,0)))*(VLOOKUP($B174,INDIRECT($B$5&amp;"生成成长"),3))*(VLOOKUP($B$5,标准坦克设计!$B$14:$K$20,9)/30))</f>
        <v>0.92195238971880589</v>
      </c>
      <c r="I174" s="173">
        <f ca="1">(VLOOKUP(I$72,INDIRECT($C$5&amp;"生成成长"),2))/((VLOOKUP($B174,INDIRECT($B$5&amp;"生成成长"),4))/(VLOOKUP(I$72,INDIRECT($C$5&amp;"生成成长"),5))*(VLOOKUP($B$5,标准坦克设计!$B$24:$U$30,MATCH("对"&amp;LEFT($C$5,2)&amp;"输出",标准坦克设计!$B$23:$U$23,0)))*(VLOOKUP($B174,INDIRECT($B$5&amp;"生成成长"),3))*(VLOOKUP($B$5,标准坦克设计!$B$14:$K$20,9)/30))</f>
        <v>1.0535032657785641</v>
      </c>
      <c r="J174" s="173">
        <f ca="1">(VLOOKUP(J$72,INDIRECT($C$5&amp;"生成成长"),2))/((VLOOKUP($B174,INDIRECT($B$5&amp;"生成成长"),4))/(VLOOKUP(J$72,INDIRECT($C$5&amp;"生成成长"),5))*(VLOOKUP($B$5,标准坦克设计!$B$24:$U$30,MATCH("对"&amp;LEFT($C$5,2)&amp;"输出",标准坦克设计!$B$23:$U$23,0)))*(VLOOKUP($B174,INDIRECT($B$5&amp;"生成成长"),3))*(VLOOKUP($B$5,标准坦克设计!$B$14:$K$20,9)/30))</f>
        <v>1.1938242002423063</v>
      </c>
      <c r="K174" s="173">
        <f ca="1">(VLOOKUP(K$72,INDIRECT($C$5&amp;"生成成长"),2))/((VLOOKUP($B174,INDIRECT($B$5&amp;"生成成长"),4))/(VLOOKUP(K$72,INDIRECT($C$5&amp;"生成成长"),5))*(VLOOKUP($B$5,标准坦克设计!$B$24:$U$30,MATCH("对"&amp;LEFT($C$5,2)&amp;"输出",标准坦克设计!$B$23:$U$23,0)))*(VLOOKUP($B174,INDIRECT($B$5&amp;"生成成长"),3))*(VLOOKUP($B$5,标准坦克设计!$B$14:$K$20,9)/30))</f>
        <v>1.3429151931100323</v>
      </c>
      <c r="L174" s="173">
        <f ca="1">(VLOOKUP(L$72,INDIRECT($C$5&amp;"生成成长"),2))/((VLOOKUP($B174,INDIRECT($B$5&amp;"生成成长"),4))/(VLOOKUP(L$72,INDIRECT($C$5&amp;"生成成长"),5))*(VLOOKUP($B$5,标准坦克设计!$B$24:$U$30,MATCH("对"&amp;LEFT($C$5,2)&amp;"输出",标准坦克设计!$B$23:$U$23,0)))*(VLOOKUP($B174,INDIRECT($B$5&amp;"生成成长"),3))*(VLOOKUP($B$5,标准坦克设计!$B$14:$K$20,9)/30))</f>
        <v>1.5007762443817425</v>
      </c>
      <c r="M174" s="173">
        <f ca="1">(VLOOKUP(M$72,INDIRECT($C$5&amp;"生成成长"),2))/((VLOOKUP($B174,INDIRECT($B$5&amp;"生成成长"),4))/(VLOOKUP(M$72,INDIRECT($C$5&amp;"生成成长"),5))*(VLOOKUP($B$5,标准坦克设计!$B$24:$U$30,MATCH("对"&amp;LEFT($C$5,2)&amp;"输出",标准坦克设计!$B$23:$U$23,0)))*(VLOOKUP($B174,INDIRECT($B$5&amp;"生成成长"),3))*(VLOOKUP($B$5,标准坦克设计!$B$14:$K$20,9)/30))</f>
        <v>1.6674073540574359</v>
      </c>
      <c r="N174" s="173">
        <f ca="1">(VLOOKUP(N$72,INDIRECT($C$5&amp;"生成成长"),2))/((VLOOKUP($B174,INDIRECT($B$5&amp;"生成成长"),4))/(VLOOKUP(N$72,INDIRECT($C$5&amp;"生成成长"),5))*(VLOOKUP($B$5,标准坦克设计!$B$24:$U$30,MATCH("对"&amp;LEFT($C$5,2)&amp;"输出",标准坦克设计!$B$23:$U$23,0)))*(VLOOKUP($B174,INDIRECT($B$5&amp;"生成成长"),3))*(VLOOKUP($B$5,标准坦克设计!$B$14:$K$20,9)/30))</f>
        <v>1.842808522137114</v>
      </c>
      <c r="O174" s="173">
        <f ca="1">(VLOOKUP(O$72,INDIRECT($C$5&amp;"生成成长"),2))/((VLOOKUP($B174,INDIRECT($B$5&amp;"生成成长"),4))/(VLOOKUP(O$72,INDIRECT($C$5&amp;"生成成长"),5))*(VLOOKUP($B$5,标准坦克设计!$B$24:$U$30,MATCH("对"&amp;LEFT($C$5,2)&amp;"输出",标准坦克设计!$B$23:$U$23,0)))*(VLOOKUP($B174,INDIRECT($B$5&amp;"生成成长"),3))*(VLOOKUP($B$5,标准坦克设计!$B$14:$K$20,9)/30))</f>
        <v>1.4010853461177066</v>
      </c>
      <c r="P174" s="173">
        <f ca="1">(VLOOKUP(P$72,INDIRECT($C$5&amp;"生成成长"),2))/((VLOOKUP($B174,INDIRECT($B$5&amp;"生成成长"),4))/(VLOOKUP(P$72,INDIRECT($C$5&amp;"生成成长"),5))*(VLOOKUP($B$5,标准坦克设计!$B$24:$U$30,MATCH("对"&amp;LEFT($C$5,2)&amp;"输出",标准坦克设计!$B$23:$U$23,0)))*(VLOOKUP($B174,INDIRECT($B$5&amp;"生成成长"),3))*(VLOOKUP($B$5,标准坦克设计!$B$14:$K$20,9)/30))</f>
        <v>1.5829955419190913</v>
      </c>
      <c r="Q174" s="173">
        <f ca="1">(VLOOKUP(Q$72,INDIRECT($C$5&amp;"生成成长"),2))/((VLOOKUP($B174,INDIRECT($B$5&amp;"生成成长"),4))/(VLOOKUP(Q$72,INDIRECT($C$5&amp;"生成成长"),5))*(VLOOKUP($B$5,标准坦克设计!$B$24:$U$30,MATCH("对"&amp;LEFT($C$5,2)&amp;"输出",标准坦克设计!$B$23:$U$23,0)))*(VLOOKUP($B174,INDIRECT($B$5&amp;"生成成长"),3))*(VLOOKUP($B$5,标准坦克设计!$B$14:$K$20,9)/30))</f>
        <v>1.776005342888018</v>
      </c>
      <c r="R174" s="173">
        <f ca="1">(VLOOKUP(R$72,INDIRECT($C$5&amp;"生成成长"),2))/((VLOOKUP($B174,INDIRECT($B$5&amp;"生成成长"),4))/(VLOOKUP(R$72,INDIRECT($C$5&amp;"生成成长"),5))*(VLOOKUP($B$5,标准坦克设计!$B$24:$U$30,MATCH("对"&amp;LEFT($C$5,2)&amp;"输出",标准坦克设计!$B$23:$U$23,0)))*(VLOOKUP($B174,INDIRECT($B$5&amp;"生成成长"),3))*(VLOOKUP($B$5,标准坦克设计!$B$14:$K$20,9)/30))</f>
        <v>1.9801147490244866</v>
      </c>
      <c r="S174" s="173">
        <f ca="1">(VLOOKUP(S$72,INDIRECT($C$5&amp;"生成成长"),2))/((VLOOKUP($B174,INDIRECT($B$5&amp;"生成成长"),4))/(VLOOKUP(S$72,INDIRECT($C$5&amp;"生成成长"),5))*(VLOOKUP($B$5,标准坦克设计!$B$24:$U$30,MATCH("对"&amp;LEFT($C$5,2)&amp;"输出",标准坦克设计!$B$23:$U$23,0)))*(VLOOKUP($B174,INDIRECT($B$5&amp;"生成成长"),3))*(VLOOKUP($B$5,标准坦克设计!$B$14:$K$20,9)/30))</f>
        <v>2.1953237603284976</v>
      </c>
      <c r="T174" s="173">
        <f ca="1">(VLOOKUP(T$72,INDIRECT($C$5&amp;"生成成长"),2))/((VLOOKUP($B174,INDIRECT($B$5&amp;"生成成长"),4))/(VLOOKUP(T$72,INDIRECT($C$5&amp;"生成成长"),5))*(VLOOKUP($B$5,标准坦克设计!$B$24:$U$30,MATCH("对"&amp;LEFT($C$5,2)&amp;"输出",标准坦克设计!$B$23:$U$23,0)))*(VLOOKUP($B174,INDIRECT($B$5&amp;"生成成长"),3))*(VLOOKUP($B$5,标准坦克设计!$B$14:$K$20,9)/30))</f>
        <v>2.4216323768000501</v>
      </c>
      <c r="U174" s="173">
        <f ca="1">(VLOOKUP(U$72,INDIRECT($C$5&amp;"生成成长"),2))/((VLOOKUP($B174,INDIRECT($B$5&amp;"生成成长"),4))/(VLOOKUP(U$72,INDIRECT($C$5&amp;"生成成长"),5))*(VLOOKUP($B$5,标准坦克设计!$B$24:$U$30,MATCH("对"&amp;LEFT($C$5,2)&amp;"输出",标准坦克设计!$B$23:$U$23,0)))*(VLOOKUP($B174,INDIRECT($B$5&amp;"生成成长"),3))*(VLOOKUP($B$5,标准坦克设计!$B$14:$K$20,9)/30))</f>
        <v>2.6590405984391454</v>
      </c>
      <c r="V174" s="173">
        <f ca="1">(VLOOKUP(V$72,INDIRECT($C$5&amp;"生成成长"),2))/((VLOOKUP($B174,INDIRECT($B$5&amp;"生成成长"),4))/(VLOOKUP(V$72,INDIRECT($C$5&amp;"生成成长"),5))*(VLOOKUP($B$5,标准坦克设计!$B$24:$U$30,MATCH("对"&amp;LEFT($C$5,2)&amp;"输出",标准坦克设计!$B$23:$U$23,0)))*(VLOOKUP($B174,INDIRECT($B$5&amp;"生成成长"),3))*(VLOOKUP($B$5,标准坦克设计!$B$14:$K$20,9)/30))</f>
        <v>2.9075484252457824</v>
      </c>
      <c r="W174" s="173">
        <f ca="1">(VLOOKUP(W$72,INDIRECT($C$5&amp;"生成成长"),2))/((VLOOKUP($B174,INDIRECT($B$5&amp;"生成成长"),4))/(VLOOKUP(W$72,INDIRECT($C$5&amp;"生成成长"),5))*(VLOOKUP($B$5,标准坦克设计!$B$24:$U$30,MATCH("对"&amp;LEFT($C$5,2)&amp;"输出",标准坦克设计!$B$23:$U$23,0)))*(VLOOKUP($B174,INDIRECT($B$5&amp;"生成成长"),3))*(VLOOKUP($B$5,标准坦克设计!$B$14:$K$20,9)/30))</f>
        <v>3.1671558572199614</v>
      </c>
      <c r="X174" s="173">
        <f ca="1">(VLOOKUP(X$72,INDIRECT($C$5&amp;"生成成长"),2))/((VLOOKUP($B174,INDIRECT($B$5&amp;"生成成长"),4))/(VLOOKUP(X$72,INDIRECT($C$5&amp;"生成成长"),5))*(VLOOKUP($B$5,标准坦克设计!$B$24:$U$30,MATCH("对"&amp;LEFT($C$5,2)&amp;"输出",标准坦克设计!$B$23:$U$23,0)))*(VLOOKUP($B174,INDIRECT($B$5&amp;"生成成长"),3))*(VLOOKUP($B$5,标准坦克设计!$B$14:$K$20,9)/30))</f>
        <v>2.2945350460235652</v>
      </c>
      <c r="Y174" s="173">
        <f ca="1">(VLOOKUP(Y$72,INDIRECT($C$5&amp;"生成成长"),2))/((VLOOKUP($B174,INDIRECT($B$5&amp;"生成成长"),4))/(VLOOKUP(Y$72,INDIRECT($C$5&amp;"生成成长"),5))*(VLOOKUP($B$5,标准坦克设计!$B$24:$U$30,MATCH("对"&amp;LEFT($C$5,2)&amp;"输出",标准坦克设计!$B$23:$U$23,0)))*(VLOOKUP($B174,INDIRECT($B$5&amp;"生成成长"),3))*(VLOOKUP($B$5,标准坦克设计!$B$14:$K$20,9)/30))</f>
        <v>2.5521555116405921</v>
      </c>
      <c r="Z174" s="173">
        <f ca="1">(VLOOKUP(Z$72,INDIRECT($C$5&amp;"生成成长"),2))/((VLOOKUP($B174,INDIRECT($B$5&amp;"生成成长"),4))/(VLOOKUP(Z$72,INDIRECT($C$5&amp;"生成成长"),5))*(VLOOKUP($B$5,标准坦克设计!$B$24:$U$30,MATCH("对"&amp;LEFT($C$5,2)&amp;"输出",标准坦克设计!$B$23:$U$23,0)))*(VLOOKUP($B174,INDIRECT($B$5&amp;"生成成长"),3))*(VLOOKUP($B$5,标准坦克设计!$B$14:$K$20,9)/30))</f>
        <v>2.8234791935138435</v>
      </c>
      <c r="AA174" s="173">
        <f ca="1">(VLOOKUP(AA$72,INDIRECT($C$5&amp;"生成成长"),2))/((VLOOKUP($B174,INDIRECT($B$5&amp;"生成成长"),4))/(VLOOKUP(AA$72,INDIRECT($C$5&amp;"生成成长"),5))*(VLOOKUP($B$5,标准坦克设计!$B$24:$U$30,MATCH("对"&amp;LEFT($C$5,2)&amp;"输出",标准坦克设计!$B$23:$U$23,0)))*(VLOOKUP($B174,INDIRECT($B$5&amp;"生成成长"),3))*(VLOOKUP($B$5,标准坦克设计!$B$14:$K$20,9)/30))</f>
        <v>3.1085060916433194</v>
      </c>
      <c r="AB174" s="173">
        <f ca="1">(VLOOKUP(AB$72,INDIRECT($C$5&amp;"生成成长"),2))/((VLOOKUP($B174,INDIRECT($B$5&amp;"生成成长"),4))/(VLOOKUP(AB$72,INDIRECT($C$5&amp;"生成成长"),5))*(VLOOKUP($B$5,标准坦克设计!$B$24:$U$30,MATCH("对"&amp;LEFT($C$5,2)&amp;"输出",标准坦克设计!$B$23:$U$23,0)))*(VLOOKUP($B174,INDIRECT($B$5&amp;"生成成长"),3))*(VLOOKUP($B$5,标准坦克设计!$B$14:$K$20,9)/30))</f>
        <v>3.4072362060290202</v>
      </c>
      <c r="AC174" s="173">
        <f ca="1">(VLOOKUP(AC$72,INDIRECT($C$5&amp;"生成成长"),2))/((VLOOKUP($B174,INDIRECT($B$5&amp;"生成成长"),4))/(VLOOKUP(AC$72,INDIRECT($C$5&amp;"生成成长"),5))*(VLOOKUP($B$5,标准坦克设计!$B$24:$U$30,MATCH("对"&amp;LEFT($C$5,2)&amp;"输出",标准坦克设计!$B$23:$U$23,0)))*(VLOOKUP($B174,INDIRECT($B$5&amp;"生成成长"),3))*(VLOOKUP($B$5,标准坦克设计!$B$14:$K$20,9)/30))</f>
        <v>3.7196695366709465</v>
      </c>
      <c r="AD174" s="173">
        <f ca="1">(VLOOKUP(AD$72,INDIRECT($C$5&amp;"生成成长"),2))/((VLOOKUP($B174,INDIRECT($B$5&amp;"生成成长"),4))/(VLOOKUP(AD$72,INDIRECT($C$5&amp;"生成成长"),5))*(VLOOKUP($B$5,标准坦克设计!$B$24:$U$30,MATCH("对"&amp;LEFT($C$5,2)&amp;"输出",标准坦克设计!$B$23:$U$23,0)))*(VLOOKUP($B174,INDIRECT($B$5&amp;"生成成长"),3))*(VLOOKUP($B$5,标准坦克设计!$B$14:$K$20,9)/30))</f>
        <v>4.0458060835690972</v>
      </c>
      <c r="AE174" s="173">
        <f ca="1">(VLOOKUP(AE$72,INDIRECT($C$5&amp;"生成成长"),2))/((VLOOKUP($B174,INDIRECT($B$5&amp;"生成成长"),4))/(VLOOKUP(AE$72,INDIRECT($C$5&amp;"生成成长"),5))*(VLOOKUP($B$5,标准坦克设计!$B$24:$U$30,MATCH("对"&amp;LEFT($C$5,2)&amp;"输出",标准坦克设计!$B$23:$U$23,0)))*(VLOOKUP($B174,INDIRECT($B$5&amp;"生成成长"),3))*(VLOOKUP($B$5,标准坦克设计!$B$14:$K$20,9)/30))</f>
        <v>4.3856458467234729</v>
      </c>
      <c r="AF174" s="173">
        <f ca="1">(VLOOKUP(AF$72,INDIRECT($C$5&amp;"生成成长"),2))/((VLOOKUP($B174,INDIRECT($B$5&amp;"生成成长"),4))/(VLOOKUP(AF$72,INDIRECT($C$5&amp;"生成成长"),5))*(VLOOKUP($B$5,标准坦克设计!$B$24:$U$30,MATCH("对"&amp;LEFT($C$5,2)&amp;"输出",标准坦克设计!$B$23:$U$23,0)))*(VLOOKUP($B174,INDIRECT($B$5&amp;"生成成长"),3))*(VLOOKUP($B$5,标准坦克设计!$B$14:$K$20,9)/30))</f>
        <v>4.7391888261340736</v>
      </c>
      <c r="AG174" s="173">
        <f ca="1">(VLOOKUP(AG$72,INDIRECT($C$5&amp;"生成成长"),2))/((VLOOKUP($B174,INDIRECT($B$5&amp;"生成成长"),4))/(VLOOKUP(AG$72,INDIRECT($C$5&amp;"生成成长"),5))*(VLOOKUP($B$5,标准坦克设计!$B$24:$U$30,MATCH("对"&amp;LEFT($C$5,2)&amp;"输出",标准坦克设计!$B$23:$U$23,0)))*(VLOOKUP($B174,INDIRECT($B$5&amp;"生成成长"),3))*(VLOOKUP($B$5,标准坦克设计!$B$14:$K$20,9)/30))</f>
        <v>5.1064350218008983</v>
      </c>
      <c r="AH174" s="173">
        <f ca="1">(VLOOKUP(AH$72,INDIRECT($C$5&amp;"生成成长"),2))/((VLOOKUP($B174,INDIRECT($B$5&amp;"生成成长"),4))/(VLOOKUP(AH$72,INDIRECT($C$5&amp;"生成成长"),5))*(VLOOKUP($B$5,标准坦克设计!$B$24:$U$30,MATCH("对"&amp;LEFT($C$5,2)&amp;"输出",标准坦克设计!$B$23:$U$23,0)))*(VLOOKUP($B174,INDIRECT($B$5&amp;"生成成长"),3))*(VLOOKUP($B$5,标准坦克设计!$B$14:$K$20,9)/30))</f>
        <v>5.487384433723947</v>
      </c>
      <c r="AI174" s="173">
        <f ca="1">(VLOOKUP(AI$72,INDIRECT($C$5&amp;"生成成长"),2))/((VLOOKUP($B174,INDIRECT($B$5&amp;"生成成长"),4))/(VLOOKUP(AI$72,INDIRECT($C$5&amp;"生成成长"),5))*(VLOOKUP($B$5,标准坦克设计!$B$24:$U$30,MATCH("对"&amp;LEFT($C$5,2)&amp;"输出",标准坦克设计!$B$23:$U$23,0)))*(VLOOKUP($B174,INDIRECT($B$5&amp;"生成成长"),3))*(VLOOKUP($B$5,标准坦克设计!$B$14:$K$20,9)/30))</f>
        <v>3.8810249080879942</v>
      </c>
      <c r="AJ174" s="173">
        <f ca="1">(VLOOKUP(AJ$72,INDIRECT($C$5&amp;"生成成长"),2))/((VLOOKUP($B174,INDIRECT($B$5&amp;"生成成长"),4))/(VLOOKUP(AJ$72,INDIRECT($C$5&amp;"生成成长"),5))*(VLOOKUP($B$5,标准坦克设计!$B$24:$U$30,MATCH("对"&amp;LEFT($C$5,2)&amp;"输出",标准坦克设计!$B$23:$U$23,0)))*(VLOOKUP($B174,INDIRECT($B$5&amp;"生成成长"),3))*(VLOOKUP($B$5,标准坦克设计!$B$14:$K$20,9)/30))</f>
        <v>4.2480655555109754</v>
      </c>
      <c r="AK174" s="173">
        <f ca="1">(VLOOKUP(AK$72,INDIRECT($C$5&amp;"生成成长"),2))/((VLOOKUP($B174,INDIRECT($B$5&amp;"生成成长"),4))/(VLOOKUP(AK$72,INDIRECT($C$5&amp;"生成成长"),5))*(VLOOKUP($B$5,标准坦克设计!$B$24:$U$30,MATCH("对"&amp;LEFT($C$5,2)&amp;"输出",标准坦克设计!$B$23:$U$23,0)))*(VLOOKUP($B174,INDIRECT($B$5&amp;"生成成长"),3))*(VLOOKUP($B$5,标准坦克设计!$B$14:$K$20,9)/30))</f>
        <v>4.6316870946039899</v>
      </c>
      <c r="AL174" s="173">
        <f ca="1">(VLOOKUP(AL$72,INDIRECT($C$5&amp;"生成成长"),2))/((VLOOKUP($B174,INDIRECT($B$5&amp;"生成成长"),4))/(VLOOKUP(AL$72,INDIRECT($C$5&amp;"生成成长"),5))*(VLOOKUP($B$5,标准坦克设计!$B$24:$U$30,MATCH("对"&amp;LEFT($C$5,2)&amp;"输出",标准坦克设计!$B$23:$U$23,0)))*(VLOOKUP($B174,INDIRECT($B$5&amp;"生成成长"),3))*(VLOOKUP($B$5,标准坦克设计!$B$14:$K$20,9)/30))</f>
        <v>5.0318895253670348</v>
      </c>
      <c r="AM174" s="173">
        <f ca="1">(VLOOKUP(AM$72,INDIRECT($C$5&amp;"生成成长"),2))/((VLOOKUP($B174,INDIRECT($B$5&amp;"生成成长"),4))/(VLOOKUP(AM$72,INDIRECT($C$5&amp;"生成成长"),5))*(VLOOKUP($B$5,标准坦克设计!$B$24:$U$30,MATCH("对"&amp;LEFT($C$5,2)&amp;"输出",标准坦克设计!$B$23:$U$23,0)))*(VLOOKUP($B174,INDIRECT($B$5&amp;"生成成长"),3))*(VLOOKUP($B$5,标准坦克设计!$B$14:$K$20,9)/30))</f>
        <v>5.448672847800113</v>
      </c>
      <c r="AN174" s="173">
        <f ca="1">(VLOOKUP(AN$72,INDIRECT($C$5&amp;"生成成长"),2))/((VLOOKUP($B174,INDIRECT($B$5&amp;"生成成长"),4))/(VLOOKUP(AN$72,INDIRECT($C$5&amp;"生成成长"),5))*(VLOOKUP($B$5,标准坦克设计!$B$24:$U$30,MATCH("对"&amp;LEFT($C$5,2)&amp;"输出",标准坦克设计!$B$23:$U$23,0)))*(VLOOKUP($B174,INDIRECT($B$5&amp;"生成成长"),3))*(VLOOKUP($B$5,标准坦克设计!$B$14:$K$20,9)/30))</f>
        <v>5.8820370619032225</v>
      </c>
      <c r="AO174" s="173">
        <f ca="1">(VLOOKUP(AO$72,INDIRECT($C$5&amp;"生成成长"),2))/((VLOOKUP($B174,INDIRECT($B$5&amp;"生成成长"),4))/(VLOOKUP(AO$72,INDIRECT($C$5&amp;"生成成长"),5))*(VLOOKUP($B$5,标准坦克设计!$B$24:$U$30,MATCH("对"&amp;LEFT($C$5,2)&amp;"输出",标准坦克设计!$B$23:$U$23,0)))*(VLOOKUP($B174,INDIRECT($B$5&amp;"生成成长"),3))*(VLOOKUP($B$5,标准坦克设计!$B$14:$K$20,9)/30))</f>
        <v>6.3319821676763652</v>
      </c>
      <c r="AP174" s="173">
        <f ca="1">(VLOOKUP(AP$72,INDIRECT($C$5&amp;"生成成长"),2))/((VLOOKUP($B174,INDIRECT($B$5&amp;"生成成长"),4))/(VLOOKUP(AP$72,INDIRECT($C$5&amp;"生成成长"),5))*(VLOOKUP($B$5,标准坦克设计!$B$24:$U$30,MATCH("对"&amp;LEFT($C$5,2)&amp;"输出",标准坦克设计!$B$23:$U$23,0)))*(VLOOKUP($B174,INDIRECT($B$5&amp;"生成成长"),3))*(VLOOKUP($B$5,标准坦克设计!$B$14:$K$20,9)/30))</f>
        <v>6.7985081651195385</v>
      </c>
      <c r="AQ174" s="173">
        <f ca="1">(VLOOKUP(AQ$72,INDIRECT($C$5&amp;"生成成长"),2))/((VLOOKUP($B174,INDIRECT($B$5&amp;"生成成长"),4))/(VLOOKUP(AQ$72,INDIRECT($C$5&amp;"生成成长"),5))*(VLOOKUP($B$5,标准坦克设计!$B$24:$U$30,MATCH("对"&amp;LEFT($C$5,2)&amp;"输出",标准坦克设计!$B$23:$U$23,0)))*(VLOOKUP($B174,INDIRECT($B$5&amp;"生成成长"),3))*(VLOOKUP($B$5,标准坦克设计!$B$14:$K$20,9)/30))</f>
        <v>7.281615054232744</v>
      </c>
      <c r="AR174" s="173">
        <f ca="1">(VLOOKUP(AR$72,INDIRECT($C$5&amp;"生成成长"),2))/((VLOOKUP($B174,INDIRECT($B$5&amp;"生成成长"),4))/(VLOOKUP(AR$72,INDIRECT($C$5&amp;"生成成长"),5))*(VLOOKUP($B$5,标准坦克设计!$B$24:$U$30,MATCH("对"&amp;LEFT($C$5,2)&amp;"输出",标准坦克设计!$B$23:$U$23,0)))*(VLOOKUP($B174,INDIRECT($B$5&amp;"生成成长"),3))*(VLOOKUP($B$5,标准坦克设计!$B$14:$K$20,9)/30))</f>
        <v>7.7813028350159827</v>
      </c>
      <c r="AS174" s="173">
        <f ca="1">(VLOOKUP(AS$72,INDIRECT($C$5&amp;"生成成长"),2))/((VLOOKUP($B174,INDIRECT($B$5&amp;"生成成长"),4))/(VLOOKUP(AS$72,INDIRECT($C$5&amp;"生成成长"),5))*(VLOOKUP($B$5,标准坦克设计!$B$24:$U$30,MATCH("对"&amp;LEFT($C$5,2)&amp;"输出",标准坦克设计!$B$23:$U$23,0)))*(VLOOKUP($B174,INDIRECT($B$5&amp;"生成成长"),3))*(VLOOKUP($B$5,标准坦克设计!$B$14:$K$20,9)/30))</f>
        <v>8.2975715074692538</v>
      </c>
      <c r="AT174" s="173">
        <f ca="1">(VLOOKUP(AT$72,INDIRECT($C$5&amp;"生成成长"),2))/((VLOOKUP($B174,INDIRECT($B$5&amp;"生成成长"),4))/(VLOOKUP(AT$72,INDIRECT($C$5&amp;"生成成长"),5))*(VLOOKUP($B$5,标准坦克设计!$B$24:$U$30,MATCH("对"&amp;LEFT($C$5,2)&amp;"输出",标准坦克设计!$B$23:$U$23,0)))*(VLOOKUP($B174,INDIRECT($B$5&amp;"生成成长"),3))*(VLOOKUP($B$5,标准坦克设计!$B$14:$K$20,9)/30))</f>
        <v>8.8304210715925553</v>
      </c>
      <c r="AU174" s="173">
        <f ca="1">(VLOOKUP(AU$72,INDIRECT($C$5&amp;"生成成长"),2))/((VLOOKUP($B174,INDIRECT($B$5&amp;"生成成长"),4))/(VLOOKUP(AU$72,INDIRECT($C$5&amp;"生成成长"),5))*(VLOOKUP($B$5,标准坦克设计!$B$24:$U$30,MATCH("对"&amp;LEFT($C$5,2)&amp;"输出",标准坦克设计!$B$23:$U$23,0)))*(VLOOKUP($B174,INDIRECT($B$5&amp;"生成成长"),3))*(VLOOKUP($B$5,标准坦克设计!$B$14:$K$20,9)/30))</f>
        <v>9.3798515273858882</v>
      </c>
      <c r="AV174" s="173">
        <f ca="1">(VLOOKUP(AV$72,INDIRECT($C$5&amp;"生成成长"),2))/((VLOOKUP($B174,INDIRECT($B$5&amp;"生成成长"),4))/(VLOOKUP(AV$72,INDIRECT($C$5&amp;"生成成长"),5))*(VLOOKUP($B$5,标准坦克设计!$B$24:$U$30,MATCH("对"&amp;LEFT($C$5,2)&amp;"输出",标准坦克设计!$B$23:$U$23,0)))*(VLOOKUP($B174,INDIRECT($B$5&amp;"生成成长"),3))*(VLOOKUP($B$5,标准坦克设计!$B$14:$K$20,9)/30))</f>
        <v>0.95401791575837203</v>
      </c>
      <c r="AW174" s="173">
        <f ca="1">(VLOOKUP(AW$72,INDIRECT($C$5&amp;"生成成长"),2))/((VLOOKUP($B174,INDIRECT($B$5&amp;"生成成长"),4))/(VLOOKUP(AW$72,INDIRECT($C$5&amp;"生成成长"),5))*(VLOOKUP($B$5,标准坦克设计!$B$24:$U$30,MATCH("对"&amp;LEFT($C$5,2)&amp;"输出",标准坦克设计!$B$23:$U$23,0)))*(VLOOKUP($B174,INDIRECT($B$5&amp;"生成成长"),3))*(VLOOKUP($B$5,标准坦克设计!$B$14:$K$20,9)/30))</f>
        <v>1.0877613064191263</v>
      </c>
      <c r="AX174" s="173">
        <f ca="1">(VLOOKUP(AX$72,INDIRECT($C$5&amp;"生成成长"),2))/((VLOOKUP($B174,INDIRECT($B$5&amp;"生成成长"),4))/(VLOOKUP(AX$72,INDIRECT($C$5&amp;"生成成长"),5))*(VLOOKUP($B$5,标准坦克设计!$B$24:$U$30,MATCH("对"&amp;LEFT($C$5,2)&amp;"输出",标准坦克设计!$B$23:$U$23,0)))*(VLOOKUP($B174,INDIRECT($B$5&amp;"生成成长"),3))*(VLOOKUP($B$5,标准坦克设计!$B$14:$K$20,9)/30))</f>
        <v>1.2302747554838644</v>
      </c>
      <c r="AY174" s="173">
        <f ca="1">(VLOOKUP(AY$72,INDIRECT($C$5&amp;"生成成长"),2))/((VLOOKUP($B174,INDIRECT($B$5&amp;"生成成长"),4))/(VLOOKUP(AY$72,INDIRECT($C$5&amp;"生成成长"),5))*(VLOOKUP($B$5,标准坦克设计!$B$24:$U$30,MATCH("对"&amp;LEFT($C$5,2)&amp;"输出",标准坦克设计!$B$23:$U$23,0)))*(VLOOKUP($B174,INDIRECT($B$5&amp;"生成成长"),3))*(VLOOKUP($B$5,标准坦克设计!$B$14:$K$20,9)/30))</f>
        <v>1.3815582629525862</v>
      </c>
      <c r="AZ174" s="173">
        <f ca="1">(VLOOKUP(AZ$72,INDIRECT($C$5&amp;"生成成长"),2))/((VLOOKUP($B174,INDIRECT($B$5&amp;"生成成长"),4))/(VLOOKUP(AZ$72,INDIRECT($C$5&amp;"生成成长"),5))*(VLOOKUP($B$5,标准坦克设计!$B$24:$U$30,MATCH("对"&amp;LEFT($C$5,2)&amp;"输出",标准坦克设计!$B$23:$U$23,0)))*(VLOOKUP($B174,INDIRECT($B$5&amp;"生成成长"),3))*(VLOOKUP($B$5,标准坦克设计!$B$14:$K$20,9)/30))</f>
        <v>1.5416118288252922</v>
      </c>
      <c r="BA174" s="173">
        <f ca="1">(VLOOKUP(BA$72,INDIRECT($C$5&amp;"生成成长"),2))/((VLOOKUP($B174,INDIRECT($B$5&amp;"生成成长"),4))/(VLOOKUP(BA$72,INDIRECT($C$5&amp;"生成成长"),5))*(VLOOKUP($B$5,标准坦克设计!$B$24:$U$30,MATCH("对"&amp;LEFT($C$5,2)&amp;"输出",标准坦克设计!$B$23:$U$23,0)))*(VLOOKUP($B174,INDIRECT($B$5&amp;"生成成长"),3))*(VLOOKUP($B$5,标准坦克设计!$B$14:$K$20,9)/30))</f>
        <v>1.7104354531019821</v>
      </c>
      <c r="BB174" s="173">
        <f ca="1">(VLOOKUP(BB$72,INDIRECT($C$5&amp;"生成成长"),2))/((VLOOKUP($B174,INDIRECT($B$5&amp;"生成成长"),4))/(VLOOKUP(BB$72,INDIRECT($C$5&amp;"生成成长"),5))*(VLOOKUP($B$5,标准坦克设计!$B$24:$U$30,MATCH("对"&amp;LEFT($C$5,2)&amp;"输出",标准坦克设计!$B$23:$U$23,0)))*(VLOOKUP($B174,INDIRECT($B$5&amp;"生成成长"),3))*(VLOOKUP($B$5,标准坦克设计!$B$14:$K$20,9)/30))</f>
        <v>1.8880291357826557</v>
      </c>
      <c r="BC174" s="173">
        <f ca="1">(VLOOKUP(BC$72,INDIRECT($C$5&amp;"生成成长"),2))/((VLOOKUP($B174,INDIRECT($B$5&amp;"生成成长"),4))/(VLOOKUP(BC$72,INDIRECT($C$5&amp;"生成成长"),5))*(VLOOKUP($B$5,标准坦克设计!$B$24:$U$30,MATCH("对"&amp;LEFT($C$5,2)&amp;"输出",标准坦克设计!$B$23:$U$23,0)))*(VLOOKUP($B174,INDIRECT($B$5&amp;"生成成长"),3))*(VLOOKUP($B$5,标准坦克设计!$B$14:$K$20,9)/30))</f>
        <v>2.0743928768673134</v>
      </c>
      <c r="BD174" s="173">
        <f ca="1">(VLOOKUP(BD$72,INDIRECT($C$5&amp;"生成成长"),2))/((VLOOKUP($B174,INDIRECT($B$5&amp;"生成成长"),4))/(VLOOKUP(BD$72,INDIRECT($C$5&amp;"生成成长"),5))*(VLOOKUP($B$5,标准坦克设计!$B$24:$U$30,MATCH("对"&amp;LEFT($C$5,2)&amp;"输出",标准坦克设计!$B$23:$U$23,0)))*(VLOOKUP($B174,INDIRECT($B$5&amp;"生成成长"),3))*(VLOOKUP($B$5,标准坦克设计!$B$14:$K$20,9)/30))</f>
        <v>2.2945350460235652</v>
      </c>
      <c r="BE174" s="173">
        <f ca="1">(VLOOKUP(BE$72,INDIRECT($C$5&amp;"生成成长"),2))/((VLOOKUP($B174,INDIRECT($B$5&amp;"生成成长"),4))/(VLOOKUP(BE$72,INDIRECT($C$5&amp;"生成成长"),5))*(VLOOKUP($B$5,标准坦克设计!$B$24:$U$30,MATCH("对"&amp;LEFT($C$5,2)&amp;"输出",标准坦克设计!$B$23:$U$23,0)))*(VLOOKUP($B174,INDIRECT($B$5&amp;"生成成长"),3))*(VLOOKUP($B$5,标准坦克设计!$B$14:$K$20,9)/30))</f>
        <v>2.525776820347359</v>
      </c>
      <c r="BF174" s="173">
        <f ca="1">(VLOOKUP(BF$72,INDIRECT($C$5&amp;"生成成长"),2))/((VLOOKUP($B174,INDIRECT($B$5&amp;"生成成长"),4))/(VLOOKUP(BF$72,INDIRECT($C$5&amp;"生成成长"),5))*(VLOOKUP($B$5,标准坦克设计!$B$24:$U$30,MATCH("对"&amp;LEFT($C$5,2)&amp;"输出",标准坦克设计!$B$23:$U$23,0)))*(VLOOKUP($B174,INDIRECT($B$5&amp;"生成成长"),3))*(VLOOKUP($B$5,标准坦克设计!$B$14:$K$20,9)/30))</f>
        <v>2.7681181998386948</v>
      </c>
      <c r="BG174" s="173">
        <f ca="1">(VLOOKUP(BG$72,INDIRECT($C$5&amp;"生成成长"),2))/((VLOOKUP($B174,INDIRECT($B$5&amp;"生成成长"),4))/(VLOOKUP(BG$72,INDIRECT($C$5&amp;"生成成长"),5))*(VLOOKUP($B$5,标准坦克设计!$B$24:$U$30,MATCH("对"&amp;LEFT($C$5,2)&amp;"输出",标准坦克设计!$B$23:$U$23,0)))*(VLOOKUP($B174,INDIRECT($B$5&amp;"生成成长"),3))*(VLOOKUP($B$5,标准坦克设计!$B$14:$K$20,9)/30))</f>
        <v>3.0215591844975727</v>
      </c>
      <c r="BH174" s="173">
        <f ca="1">(VLOOKUP(BH$72,INDIRECT($C$5&amp;"生成成长"),2))/((VLOOKUP($B174,INDIRECT($B$5&amp;"生成成长"),4))/(VLOOKUP(BH$72,INDIRECT($C$5&amp;"生成成长"),5))*(VLOOKUP($B$5,标准坦克设计!$B$24:$U$30,MATCH("对"&amp;LEFT($C$5,2)&amp;"输出",标准坦克设计!$B$23:$U$23,0)))*(VLOOKUP($B174,INDIRECT($B$5&amp;"生成成长"),3))*(VLOOKUP($B$5,标准坦克设计!$B$14:$K$20,9)/30))</f>
        <v>1.4604887885884412</v>
      </c>
      <c r="BI174" s="173">
        <f ca="1">(VLOOKUP(BI$72,INDIRECT($C$5&amp;"生成成长"),2))/((VLOOKUP($B174,INDIRECT($B$5&amp;"生成成长"),4))/(VLOOKUP(BI$72,INDIRECT($C$5&amp;"生成成长"),5))*(VLOOKUP($B$5,标准坦克设计!$B$24:$U$30,MATCH("对"&amp;LEFT($C$5,2)&amp;"输出",标准坦克设计!$B$23:$U$23,0)))*(VLOOKUP($B174,INDIRECT($B$5&amp;"生成成长"),3))*(VLOOKUP($B$5,标准坦克设计!$B$14:$K$20,9)/30))</f>
        <v>1.6460988527790068</v>
      </c>
      <c r="BJ174" s="173">
        <f ca="1">(VLOOKUP(BJ$72,INDIRECT($C$5&amp;"生成成长"),2))/((VLOOKUP($B174,INDIRECT($B$5&amp;"生成成长"),4))/(VLOOKUP(BJ$72,INDIRECT($C$5&amp;"生成成长"),5))*(VLOOKUP($B$5,标准坦克设计!$B$24:$U$30,MATCH("对"&amp;LEFT($C$5,2)&amp;"输出",标准坦克设计!$B$23:$U$23,0)))*(VLOOKUP($B174,INDIRECT($B$5&amp;"生成成长"),3))*(VLOOKUP($B$5,标准坦克设计!$B$14:$K$20,9)/30))</f>
        <v>1.842808522137114</v>
      </c>
      <c r="BK174" s="173">
        <f ca="1">(VLOOKUP(BK$72,INDIRECT($C$5&amp;"生成成长"),2))/((VLOOKUP($B174,INDIRECT($B$5&amp;"生成成长"),4))/(VLOOKUP(BK$72,INDIRECT($C$5&amp;"生成成长"),5))*(VLOOKUP($B$5,标准坦克设计!$B$24:$U$30,MATCH("对"&amp;LEFT($C$5,2)&amp;"输出",标准坦克设计!$B$23:$U$23,0)))*(VLOOKUP($B174,INDIRECT($B$5&amp;"生成成长"),3))*(VLOOKUP($B$5,标准坦克设计!$B$14:$K$20,9)/30))</f>
        <v>2.0506177966627637</v>
      </c>
      <c r="BL174" s="173">
        <f ca="1">(VLOOKUP(BL$72,INDIRECT($C$5&amp;"生成成长"),2))/((VLOOKUP($B174,INDIRECT($B$5&amp;"生成成长"),4))/(VLOOKUP(BL$72,INDIRECT($C$5&amp;"生成成长"),5))*(VLOOKUP($B$5,标准坦克设计!$B$24:$U$30,MATCH("对"&amp;LEFT($C$5,2)&amp;"输出",标准坦克设计!$B$23:$U$23,0)))*(VLOOKUP($B174,INDIRECT($B$5&amp;"生成成长"),3))*(VLOOKUP($B$5,标准坦克设计!$B$14:$K$20,9)/30))</f>
        <v>2.2695266763559547</v>
      </c>
      <c r="BM174" s="173">
        <f ca="1">(VLOOKUP(BM$72,INDIRECT($C$5&amp;"生成成长"),2))/((VLOOKUP($B174,INDIRECT($B$5&amp;"生成成长"),4))/(VLOOKUP(BM$72,INDIRECT($C$5&amp;"生成成长"),5))*(VLOOKUP($B$5,标准坦克设计!$B$24:$U$30,MATCH("对"&amp;LEFT($C$5,2)&amp;"输出",标准坦克设计!$B$23:$U$23,0)))*(VLOOKUP($B174,INDIRECT($B$5&amp;"生成成长"),3))*(VLOOKUP($B$5,标准坦克设计!$B$14:$K$20,9)/30))</f>
        <v>2.4995351612166883</v>
      </c>
      <c r="BN174" s="173">
        <f ca="1">(VLOOKUP(BN$72,INDIRECT($C$5&amp;"生成成长"),2))/((VLOOKUP($B174,INDIRECT($B$5&amp;"生成成长"),4))/(VLOOKUP(BN$72,INDIRECT($C$5&amp;"生成成长"),5))*(VLOOKUP($B$5,标准坦克设计!$B$24:$U$30,MATCH("对"&amp;LEFT($C$5,2)&amp;"输出",标准坦克设计!$B$23:$U$23,0)))*(VLOOKUP($B174,INDIRECT($B$5&amp;"生成成长"),3))*(VLOOKUP($B$5,标准坦克设计!$B$14:$K$20,9)/30))</f>
        <v>2.7406432512449639</v>
      </c>
      <c r="BO174" s="173">
        <f ca="1">(VLOOKUP(BO$72,INDIRECT($C$5&amp;"生成成长"),2))/((VLOOKUP($B174,INDIRECT($B$5&amp;"生成成长"),4))/(VLOOKUP(BO$72,INDIRECT($C$5&amp;"生成成长"),5))*(VLOOKUP($B$5,标准坦克设计!$B$24:$U$30,MATCH("对"&amp;LEFT($C$5,2)&amp;"输出",标准坦克设计!$B$23:$U$23,0)))*(VLOOKUP($B174,INDIRECT($B$5&amp;"生成成长"),3))*(VLOOKUP($B$5,标准坦克设计!$B$14:$K$20,9)/30))</f>
        <v>2.9928509464407824</v>
      </c>
      <c r="BP174" s="173">
        <f ca="1">(VLOOKUP(BP$72,INDIRECT($C$5&amp;"生成成长"),2))/((VLOOKUP($B174,INDIRECT($B$5&amp;"生成成长"),4))/(VLOOKUP(BP$72,INDIRECT($C$5&amp;"生成成长"),5))*(VLOOKUP($B$5,标准坦克设计!$B$24:$U$30,MATCH("对"&amp;LEFT($C$5,2)&amp;"输出",标准坦克设计!$B$23:$U$23,0)))*(VLOOKUP($B174,INDIRECT($B$5&amp;"生成成长"),3))*(VLOOKUP($B$5,标准坦克设计!$B$14:$K$20,9)/30))</f>
        <v>3.2561582468041426</v>
      </c>
      <c r="BQ174" s="173">
        <f ca="1">(VLOOKUP(BQ$72,INDIRECT($C$5&amp;"生成成长"),2))/((VLOOKUP($B174,INDIRECT($B$5&amp;"生成成长"),4))/(VLOOKUP(BQ$72,INDIRECT($C$5&amp;"生成成长"),5))*(VLOOKUP($B$5,标准坦克设计!$B$24:$U$30,MATCH("对"&amp;LEFT($C$5,2)&amp;"输出",标准坦克设计!$B$23:$U$23,0)))*(VLOOKUP($B174,INDIRECT($B$5&amp;"生成成长"),3))*(VLOOKUP($B$5,标准坦克设计!$B$14:$K$20,9)/30))</f>
        <v>3.5305651523350443</v>
      </c>
      <c r="BR174" s="173">
        <f ca="1">(VLOOKUP(BR$72,INDIRECT($C$5&amp;"生成成长"),2))/((VLOOKUP($B174,INDIRECT($B$5&amp;"生成成长"),4))/(VLOOKUP(BR$72,INDIRECT($C$5&amp;"生成成长"),5))*(VLOOKUP($B$5,标准坦克设计!$B$24:$U$30,MATCH("对"&amp;LEFT($C$5,2)&amp;"输出",标准坦克设计!$B$23:$U$23,0)))*(VLOOKUP($B174,INDIRECT($B$5&amp;"生成成长"),3))*(VLOOKUP($B$5,标准坦克设计!$B$14:$K$20,9)/30))</f>
        <v>3.8484797694794604</v>
      </c>
      <c r="BS174" s="173">
        <f ca="1">(VLOOKUP(BS$72,INDIRECT($C$5&amp;"生成成长"),2))/((VLOOKUP($B174,INDIRECT($B$5&amp;"生成成长"),4))/(VLOOKUP(BS$72,INDIRECT($C$5&amp;"生成成长"),5))*(VLOOKUP($B$5,标准坦克设计!$B$24:$U$30,MATCH("对"&amp;LEFT($C$5,2)&amp;"输出",标准坦克设计!$B$23:$U$23,0)))*(VLOOKUP($B174,INDIRECT($B$5&amp;"生成成长"),3))*(VLOOKUP($B$5,标准坦克设计!$B$14:$K$20,9)/30))</f>
        <v>4.1800976028800996</v>
      </c>
      <c r="BT174" s="173">
        <f ca="1">(VLOOKUP(BT$72,INDIRECT($C$5&amp;"生成成长"),2))/((VLOOKUP($B174,INDIRECT($B$5&amp;"生成成长"),4))/(VLOOKUP(BT$72,INDIRECT($C$5&amp;"生成成长"),5))*(VLOOKUP($B$5,标准坦克设计!$B$24:$U$30,MATCH("对"&amp;LEFT($C$5,2)&amp;"输出",标准坦克设计!$B$23:$U$23,0)))*(VLOOKUP($B174,INDIRECT($B$5&amp;"生成成长"),3))*(VLOOKUP($B$5,标准坦克设计!$B$14:$K$20,9)/30))</f>
        <v>4.525418652536966</v>
      </c>
      <c r="BU174" s="173">
        <f ca="1">(VLOOKUP(BU$72,INDIRECT($C$5&amp;"生成成长"),2))/((VLOOKUP($B174,INDIRECT($B$5&amp;"生成成长"),4))/(VLOOKUP(BU$72,INDIRECT($C$5&amp;"生成成长"),5))*(VLOOKUP($B$5,标准坦克设计!$B$24:$U$30,MATCH("对"&amp;LEFT($C$5,2)&amp;"输出",标准坦克设计!$B$23:$U$23,0)))*(VLOOKUP($B174,INDIRECT($B$5&amp;"生成成长"),3))*(VLOOKUP($B$5,标准坦克设计!$B$14:$K$20,9)/30))</f>
        <v>4.8844429184500555</v>
      </c>
      <c r="BV174" s="173">
        <f ca="1">(VLOOKUP(BV$72,INDIRECT($C$5&amp;"生成成长"),2))/((VLOOKUP($B174,INDIRECT($B$5&amp;"生成成长"),4))/(VLOOKUP(BV$72,INDIRECT($C$5&amp;"生成成长"),5))*(VLOOKUP($B$5,标准坦克设计!$B$24:$U$30,MATCH("对"&amp;LEFT($C$5,2)&amp;"输出",标准坦克设计!$B$23:$U$23,0)))*(VLOOKUP($B174,INDIRECT($B$5&amp;"生成成长"),3))*(VLOOKUP($B$5,标准坦克设计!$B$14:$K$20,9)/30))</f>
        <v>5.2571704006193718</v>
      </c>
      <c r="BW174" s="173">
        <f ca="1">(VLOOKUP(BW$72,INDIRECT($C$5&amp;"生成成长"),2))/((VLOOKUP($B174,INDIRECT($B$5&amp;"生成成长"),4))/(VLOOKUP(BW$72,INDIRECT($C$5&amp;"生成成长"),5))*(VLOOKUP($B$5,标准坦克设计!$B$24:$U$30,MATCH("对"&amp;LEFT($C$5,2)&amp;"输出",标准坦克设计!$B$23:$U$23,0)))*(VLOOKUP($B174,INDIRECT($B$5&amp;"生成成长"),3))*(VLOOKUP($B$5,标准坦克设计!$B$14:$K$20,9)/30))</f>
        <v>2.3959388463196287</v>
      </c>
      <c r="BX174" s="173">
        <f ca="1">(VLOOKUP(BX$72,INDIRECT($C$5&amp;"生成成长"),2))/((VLOOKUP($B174,INDIRECT($B$5&amp;"生成成长"),4))/(VLOOKUP(BX$72,INDIRECT($C$5&amp;"生成成长"),5))*(VLOOKUP($B$5,标准坦克设计!$B$24:$U$30,MATCH("对"&amp;LEFT($C$5,2)&amp;"输出",标准坦克设计!$B$23:$U$23,0)))*(VLOOKUP($B174,INDIRECT($B$5&amp;"生成成长"),3))*(VLOOKUP($B$5,标准坦克设计!$B$14:$K$20,9)/30))</f>
        <v>2.6590405984391454</v>
      </c>
      <c r="BY174" s="173">
        <f ca="1">(VLOOKUP(BY$72,INDIRECT($C$5&amp;"生成成长"),2))/((VLOOKUP($B174,INDIRECT($B$5&amp;"生成成长"),4))/(VLOOKUP(BY$72,INDIRECT($C$5&amp;"生成成长"),5))*(VLOOKUP($B$5,标准坦克设计!$B$24:$U$30,MATCH("对"&amp;LEFT($C$5,2)&amp;"输出",标准坦克设计!$B$23:$U$23,0)))*(VLOOKUP($B174,INDIRECT($B$5&amp;"生成成长"),3))*(VLOOKUP($B$5,标准坦克设计!$B$14:$K$20,9)/30))</f>
        <v>2.9358455668148866</v>
      </c>
      <c r="BZ174" s="173">
        <f ca="1">(VLOOKUP(BZ$72,INDIRECT($C$5&amp;"生成成长"),2))/((VLOOKUP($B174,INDIRECT($B$5&amp;"生成成长"),4))/(VLOOKUP(BZ$72,INDIRECT($C$5&amp;"生成成长"),5))*(VLOOKUP($B$5,标准坦克设计!$B$24:$U$30,MATCH("对"&amp;LEFT($C$5,2)&amp;"输出",标准坦克设计!$B$23:$U$23,0)))*(VLOOKUP($B174,INDIRECT($B$5&amp;"生成成长"),3))*(VLOOKUP($B$5,标准坦克设计!$B$14:$K$20,9)/30))</f>
        <v>3.2263537514468528</v>
      </c>
      <c r="CA174" s="173">
        <f ca="1">(VLOOKUP(CA$72,INDIRECT($C$5&amp;"生成成长"),2))/((VLOOKUP($B174,INDIRECT($B$5&amp;"生成成长"),4))/(VLOOKUP(CA$72,INDIRECT($C$5&amp;"生成成长"),5))*(VLOOKUP($B$5,标准坦克设计!$B$24:$U$30,MATCH("对"&amp;LEFT($C$5,2)&amp;"输出",标准坦克设计!$B$23:$U$23,0)))*(VLOOKUP($B174,INDIRECT($B$5&amp;"生成成长"),3))*(VLOOKUP($B$5,标准坦克设计!$B$14:$K$20,9)/30))</f>
        <v>3.5305651523350443</v>
      </c>
      <c r="CB174" s="173">
        <f ca="1">(VLOOKUP(CB$72,INDIRECT($C$5&amp;"生成成长"),2))/((VLOOKUP($B174,INDIRECT($B$5&amp;"生成成长"),4))/(VLOOKUP(CB$72,INDIRECT($C$5&amp;"生成成长"),5))*(VLOOKUP($B$5,标准坦克设计!$B$24:$U$30,MATCH("对"&amp;LEFT($C$5,2)&amp;"输出",标准坦克设计!$B$23:$U$23,0)))*(VLOOKUP($B174,INDIRECT($B$5&amp;"生成成长"),3))*(VLOOKUP($B$5,标准坦克设计!$B$14:$K$20,9)/30))</f>
        <v>3.8484797694794604</v>
      </c>
      <c r="CC174" s="173">
        <f ca="1">(VLOOKUP(CC$72,INDIRECT($C$5&amp;"生成成长"),2))/((VLOOKUP($B174,INDIRECT($B$5&amp;"生成成长"),4))/(VLOOKUP(CC$72,INDIRECT($C$5&amp;"生成成长"),5))*(VLOOKUP($B$5,标准坦克设计!$B$24:$U$30,MATCH("对"&amp;LEFT($C$5,2)&amp;"输出",标准坦克设计!$B$23:$U$23,0)))*(VLOOKUP($B174,INDIRECT($B$5&amp;"生成成长"),3))*(VLOOKUP($B$5,标准坦克设计!$B$14:$K$20,9)/30))</f>
        <v>4.1800976028800996</v>
      </c>
      <c r="CD174" s="173">
        <f ca="1">(VLOOKUP(CD$72,INDIRECT($C$5&amp;"生成成长"),2))/((VLOOKUP($B174,INDIRECT($B$5&amp;"生成成长"),4))/(VLOOKUP(CD$72,INDIRECT($C$5&amp;"生成成长"),5))*(VLOOKUP($B$5,标准坦克设计!$B$24:$U$30,MATCH("对"&amp;LEFT($C$5,2)&amp;"输出",标准坦克设计!$B$23:$U$23,0)))*(VLOOKUP($B174,INDIRECT($B$5&amp;"生成成长"),3))*(VLOOKUP($B$5,标准坦克设计!$B$14:$K$20,9)/30))</f>
        <v>4.525418652536966</v>
      </c>
      <c r="CE174" s="173">
        <f ca="1">(VLOOKUP(CE$72,INDIRECT($C$5&amp;"生成成长"),2))/((VLOOKUP($B174,INDIRECT($B$5&amp;"生成成长"),4))/(VLOOKUP(CE$72,INDIRECT($C$5&amp;"生成成长"),5))*(VLOOKUP($B$5,标准坦克设计!$B$24:$U$30,MATCH("对"&amp;LEFT($C$5,2)&amp;"输出",标准坦克设计!$B$23:$U$23,0)))*(VLOOKUP($B174,INDIRECT($B$5&amp;"生成成长"),3))*(VLOOKUP($B$5,标准坦克设计!$B$14:$K$20,9)/30))</f>
        <v>4.8844429184500555</v>
      </c>
      <c r="CF174" s="173">
        <f ca="1">(VLOOKUP(CF$72,INDIRECT($C$5&amp;"生成成长"),2))/((VLOOKUP($B174,INDIRECT($B$5&amp;"生成成长"),4))/(VLOOKUP(CF$72,INDIRECT($C$5&amp;"生成成长"),5))*(VLOOKUP($B$5,标准坦克设计!$B$24:$U$30,MATCH("对"&amp;LEFT($C$5,2)&amp;"输出",标准坦克设计!$B$23:$U$23,0)))*(VLOOKUP($B174,INDIRECT($B$5&amp;"生成成长"),3))*(VLOOKUP($B$5,标准坦克设计!$B$14:$K$20,9)/30))</f>
        <v>5.2571704006193718</v>
      </c>
      <c r="CG174" s="173">
        <f ca="1">(VLOOKUP(CG$72,INDIRECT($C$5&amp;"生成成长"),2))/((VLOOKUP($B174,INDIRECT($B$5&amp;"生成成长"),4))/(VLOOKUP(CG$72,INDIRECT($C$5&amp;"生成成长"),5))*(VLOOKUP($B$5,标准坦克设计!$B$24:$U$30,MATCH("对"&amp;LEFT($C$5,2)&amp;"输出",标准坦克设计!$B$23:$U$23,0)))*(VLOOKUP($B174,INDIRECT($B$5&amp;"生成成长"),3))*(VLOOKUP($B$5,标准坦克设计!$B$14:$K$20,9)/30))</f>
        <v>5.6436010990449113</v>
      </c>
      <c r="CH174" s="173">
        <f ca="1">(VLOOKUP(CH$72,INDIRECT($C$5&amp;"生成成长"),2))/((VLOOKUP($B174,INDIRECT($B$5&amp;"生成成长"),4))/(VLOOKUP(CH$72,INDIRECT($C$5&amp;"生成成长"),5))*(VLOOKUP($B$5,标准坦克设计!$B$24:$U$30,MATCH("对"&amp;LEFT($C$5,2)&amp;"输出",标准坦克设计!$B$23:$U$23,0)))*(VLOOKUP($B174,INDIRECT($B$5&amp;"生成成长"),3))*(VLOOKUP($B$5,标准坦克设计!$B$14:$K$20,9)/30))</f>
        <v>6.0437350137266765</v>
      </c>
      <c r="CI174" s="173">
        <f ca="1">(VLOOKUP(CI$72,INDIRECT($C$5&amp;"生成成长"),2))/((VLOOKUP($B174,INDIRECT($B$5&amp;"生成成长"),4))/(VLOOKUP(CI$72,INDIRECT($C$5&amp;"生成成长"),5))*(VLOOKUP($B$5,标准坦克设计!$B$24:$U$30,MATCH("对"&amp;LEFT($C$5,2)&amp;"输出",标准坦克设计!$B$23:$U$23,0)))*(VLOOKUP($B174,INDIRECT($B$5&amp;"生成成长"),3))*(VLOOKUP($B$5,标准坦克设计!$B$14:$K$20,9)/30))</f>
        <v>6.4997095346525562</v>
      </c>
      <c r="CJ174" s="173">
        <f ca="1">(VLOOKUP(CJ$72,INDIRECT($C$5&amp;"生成成长"),2))/((VLOOKUP($B174,INDIRECT($B$5&amp;"生成成长"),4))/(VLOOKUP(CJ$72,INDIRECT($C$5&amp;"生成成长"),5))*(VLOOKUP($B$5,标准坦克设计!$B$24:$U$30,MATCH("对"&amp;LEFT($C$5,2)&amp;"输出",标准坦克设计!$B$23:$U$23,0)))*(VLOOKUP($B174,INDIRECT($B$5&amp;"生成成长"),3))*(VLOOKUP($B$5,标准坦克设计!$B$14:$K$20,9)/30))</f>
        <v>6.9722649472484699</v>
      </c>
      <c r="CK174" s="173">
        <f ca="1">(VLOOKUP(CK$72,INDIRECT($C$5&amp;"生成成长"),2))/((VLOOKUP($B174,INDIRECT($B$5&amp;"生成成长"),4))/(VLOOKUP(CK$72,INDIRECT($C$5&amp;"生成成长"),5))*(VLOOKUP($B$5,标准坦克设计!$B$24:$U$30,MATCH("对"&amp;LEFT($C$5,2)&amp;"输出",标准坦克设计!$B$23:$U$23,0)))*(VLOOKUP($B174,INDIRECT($B$5&amp;"生成成长"),3))*(VLOOKUP($B$5,标准坦克设计!$B$14:$K$20,9)/30))</f>
        <v>7.4614012515144141</v>
      </c>
      <c r="CL174" s="173">
        <f ca="1">(VLOOKUP(CL$72,INDIRECT($C$5&amp;"生成成长"),2))/((VLOOKUP($B174,INDIRECT($B$5&amp;"生成成长"),4))/(VLOOKUP(CL$72,INDIRECT($C$5&amp;"生成成长"),5))*(VLOOKUP($B$5,标准坦克设计!$B$24:$U$30,MATCH("对"&amp;LEFT($C$5,2)&amp;"输出",标准坦克设计!$B$23:$U$23,0)))*(VLOOKUP($B174,INDIRECT($B$5&amp;"生成成长"),3))*(VLOOKUP($B$5,标准坦克设计!$B$14:$K$20,9)/30))</f>
        <v>7.9671184474503915</v>
      </c>
      <c r="CM174" s="173">
        <f ca="1">(VLOOKUP(CM$72,INDIRECT($C$5&amp;"生成成长"),2))/((VLOOKUP($B174,INDIRECT($B$5&amp;"生成成长"),4))/(VLOOKUP(CM$72,INDIRECT($C$5&amp;"生成成长"),5))*(VLOOKUP($B$5,标准坦克设计!$B$24:$U$30,MATCH("对"&amp;LEFT($C$5,2)&amp;"输出",标准坦克设计!$B$23:$U$23,0)))*(VLOOKUP($B174,INDIRECT($B$5&amp;"生成成长"),3))*(VLOOKUP($B$5,标准坦克设计!$B$14:$K$20,9)/30))</f>
        <v>8.4894165350564013</v>
      </c>
      <c r="CN174" s="173">
        <f ca="1">(VLOOKUP(CN$72,INDIRECT($C$5&amp;"生成成长"),2))/((VLOOKUP($B174,INDIRECT($B$5&amp;"生成成长"),4))/(VLOOKUP(CN$72,INDIRECT($C$5&amp;"生成成长"),5))*(VLOOKUP($B$5,标准坦克设计!$B$24:$U$30,MATCH("对"&amp;LEFT($C$5,2)&amp;"输出",标准坦克设计!$B$23:$U$23,0)))*(VLOOKUP($B174,INDIRECT($B$5&amp;"生成成长"),3))*(VLOOKUP($B$5,标准坦克设计!$B$14:$K$20,9)/30))</f>
        <v>9.0282955143324433</v>
      </c>
      <c r="CO174" s="173">
        <f ca="1">(VLOOKUP(CO$72,INDIRECT($C$5&amp;"生成成长"),2))/((VLOOKUP($B174,INDIRECT($B$5&amp;"生成成长"),4))/(VLOOKUP(CO$72,INDIRECT($C$5&amp;"生成成长"),5))*(VLOOKUP($B$5,标准坦克设计!$B$24:$U$30,MATCH("对"&amp;LEFT($C$5,2)&amp;"输出",标准坦克设计!$B$23:$U$23,0)))*(VLOOKUP($B174,INDIRECT($B$5&amp;"生成成长"),3))*(VLOOKUP($B$5,标准坦克设计!$B$14:$K$20,9)/30))</f>
        <v>4.0458060835690972</v>
      </c>
      <c r="CP174" s="173">
        <f ca="1">(VLOOKUP(CP$72,INDIRECT($C$5&amp;"生成成长"),2))/((VLOOKUP($B174,INDIRECT($B$5&amp;"生成成长"),4))/(VLOOKUP(CP$72,INDIRECT($C$5&amp;"生成成长"),5))*(VLOOKUP($B$5,标准坦克设计!$B$24:$U$30,MATCH("对"&amp;LEFT($C$5,2)&amp;"输出",标准坦克设计!$B$23:$U$23,0)))*(VLOOKUP($B174,INDIRECT($B$5&amp;"生成成长"),3))*(VLOOKUP($B$5,标准坦克设计!$B$14:$K$20,9)/30))</f>
        <v>4.4203834999330027</v>
      </c>
      <c r="CQ174" s="173">
        <f ca="1">(VLOOKUP(CQ$72,INDIRECT($C$5&amp;"生成成长"),2))/((VLOOKUP($B174,INDIRECT($B$5&amp;"生成成长"),4))/(VLOOKUP(CQ$72,INDIRECT($C$5&amp;"生成成长"),5))*(VLOOKUP($B$5,标准坦克设计!$B$24:$U$30,MATCH("对"&amp;LEFT($C$5,2)&amp;"输出",标准坦克设计!$B$23:$U$23,0)))*(VLOOKUP($B174,INDIRECT($B$5&amp;"生成成长"),3))*(VLOOKUP($B$5,标准坦克设计!$B$14:$K$20,9)/30))</f>
        <v>4.8115418079669405</v>
      </c>
      <c r="CR174" s="173">
        <f ca="1">(VLOOKUP(CR$72,INDIRECT($C$5&amp;"生成成长"),2))/((VLOOKUP($B174,INDIRECT($B$5&amp;"生成成长"),4))/(VLOOKUP(CR$72,INDIRECT($C$5&amp;"生成成长"),5))*(VLOOKUP($B$5,标准坦克设计!$B$24:$U$30,MATCH("对"&amp;LEFT($C$5,2)&amp;"输出",标准坦克设计!$B$23:$U$23,0)))*(VLOOKUP($B174,INDIRECT($B$5&amp;"生成成长"),3))*(VLOOKUP($B$5,标准坦克设计!$B$14:$K$20,9)/30))</f>
        <v>5.2192810076709089</v>
      </c>
      <c r="CS174" s="173">
        <f ca="1">(VLOOKUP(CS$72,INDIRECT($C$5&amp;"生成成长"),2))/((VLOOKUP($B174,INDIRECT($B$5&amp;"生成成长"),4))/(VLOOKUP(CS$72,INDIRECT($C$5&amp;"生成成长"),5))*(VLOOKUP($B$5,标准坦克设计!$B$24:$U$30,MATCH("对"&amp;LEFT($C$5,2)&amp;"输出",标准坦克设计!$B$23:$U$23,0)))*(VLOOKUP($B174,INDIRECT($B$5&amp;"生成成长"),3))*(VLOOKUP($B$5,标准坦克设计!$B$14:$K$20,9)/30))</f>
        <v>5.6436010990449113</v>
      </c>
      <c r="CT174" s="173">
        <f ca="1">(VLOOKUP(CT$72,INDIRECT($C$5&amp;"生成成长"),2))/((VLOOKUP($B174,INDIRECT($B$5&amp;"生成成长"),4))/(VLOOKUP(CT$72,INDIRECT($C$5&amp;"生成成长"),5))*(VLOOKUP($B$5,标准坦克设计!$B$24:$U$30,MATCH("对"&amp;LEFT($C$5,2)&amp;"输出",标准坦克设计!$B$23:$U$23,0)))*(VLOOKUP($B174,INDIRECT($B$5&amp;"生成成长"),3))*(VLOOKUP($B$5,标准坦克设计!$B$14:$K$20,9)/30))</f>
        <v>6.0845020820889442</v>
      </c>
      <c r="CU174" s="173">
        <f ca="1">(VLOOKUP(CU$72,INDIRECT($C$5&amp;"生成成长"),2))/((VLOOKUP($B174,INDIRECT($B$5&amp;"生成成长"),4))/(VLOOKUP(CU$72,INDIRECT($C$5&amp;"生成成长"),5))*(VLOOKUP($B$5,标准坦克设计!$B$24:$U$30,MATCH("对"&amp;LEFT($C$5,2)&amp;"输出",标准坦克设计!$B$23:$U$23,0)))*(VLOOKUP($B174,INDIRECT($B$5&amp;"生成成长"),3))*(VLOOKUP($B$5,标准坦克设计!$B$14:$K$20,9)/30))</f>
        <v>6.5419839568030103</v>
      </c>
      <c r="CV174" s="173">
        <f ca="1">(VLOOKUP(CV$72,INDIRECT($C$5&amp;"生成成长"),2))/((VLOOKUP($B174,INDIRECT($B$5&amp;"生成成长"),4))/(VLOOKUP(CV$72,INDIRECT($C$5&amp;"生成成长"),5))*(VLOOKUP($B$5,标准坦克设计!$B$24:$U$30,MATCH("对"&amp;LEFT($C$5,2)&amp;"输出",标准坦克设计!$B$23:$U$23,0)))*(VLOOKUP($B174,INDIRECT($B$5&amp;"生成成长"),3))*(VLOOKUP($B$5,标准坦克设计!$B$14:$K$20,9)/30))</f>
        <v>7.0160467231871095</v>
      </c>
      <c r="CW174" s="173">
        <f ca="1">(VLOOKUP(CW$72,INDIRECT($C$5&amp;"生成成长"),2))/((VLOOKUP($B174,INDIRECT($B$5&amp;"生成成长"),4))/(VLOOKUP(CW$72,INDIRECT($C$5&amp;"生成成长"),5))*(VLOOKUP($B$5,标准坦克设计!$B$24:$U$30,MATCH("对"&amp;LEFT($C$5,2)&amp;"输出",标准坦克设计!$B$23:$U$23,0)))*(VLOOKUP($B174,INDIRECT($B$5&amp;"生成成长"),3))*(VLOOKUP($B$5,标准坦克设计!$B$14:$K$20,9)/30))</f>
        <v>7.5066903812412376</v>
      </c>
      <c r="CX174" s="173">
        <f ca="1">(VLOOKUP(CX$72,INDIRECT($C$5&amp;"生成成长"),2))/((VLOOKUP($B174,INDIRECT($B$5&amp;"生成成长"),4))/(VLOOKUP(CX$72,INDIRECT($C$5&amp;"生成成长"),5))*(VLOOKUP($B$5,标准坦克设计!$B$24:$U$30,MATCH("对"&amp;LEFT($C$5,2)&amp;"输出",标准坦克设计!$B$23:$U$23,0)))*(VLOOKUP($B174,INDIRECT($B$5&amp;"生成成长"),3))*(VLOOKUP($B$5,标准坦克设计!$B$14:$K$20,9)/30))</f>
        <v>8.0139149309653988</v>
      </c>
      <c r="CY174" s="173">
        <f ca="1">(VLOOKUP(CY$72,INDIRECT($C$5&amp;"生成成长"),2))/((VLOOKUP($B174,INDIRECT($B$5&amp;"生成成长"),4))/(VLOOKUP(CY$72,INDIRECT($C$5&amp;"生成成长"),5))*(VLOOKUP($B$5,标准坦克设计!$B$24:$U$30,MATCH("对"&amp;LEFT($C$5,2)&amp;"输出",标准坦克设计!$B$23:$U$23,0)))*(VLOOKUP($B174,INDIRECT($B$5&amp;"生成成长"),3))*(VLOOKUP($B$5,标准坦克设计!$B$14:$K$20,9)/30))</f>
        <v>8.537720372359594</v>
      </c>
      <c r="CZ174" s="173">
        <f ca="1">(VLOOKUP(CZ$72,INDIRECT($C$5&amp;"生成成长"),2))/((VLOOKUP($B174,INDIRECT($B$5&amp;"生成成长"),4))/(VLOOKUP(CZ$72,INDIRECT($C$5&amp;"生成成长"),5))*(VLOOKUP($B$5,标准坦克设计!$B$24:$U$30,MATCH("对"&amp;LEFT($C$5,2)&amp;"输出",标准坦克设计!$B$23:$U$23,0)))*(VLOOKUP($B174,INDIRECT($B$5&amp;"生成成长"),3))*(VLOOKUP($B$5,标准坦克设计!$B$14:$K$20,9)/30))</f>
        <v>9.0781067054238189</v>
      </c>
      <c r="DA174" s="173">
        <f ca="1">(VLOOKUP(DA$72,INDIRECT($C$5&amp;"生成成长"),2))/((VLOOKUP($B174,INDIRECT($B$5&amp;"生成成长"),4))/(VLOOKUP(DA$72,INDIRECT($C$5&amp;"生成成长"),5))*(VLOOKUP($B$5,标准坦克设计!$B$24:$U$30,MATCH("对"&amp;LEFT($C$5,2)&amp;"输出",标准坦克设计!$B$23:$U$23,0)))*(VLOOKUP($B174,INDIRECT($B$5&amp;"生成成长"),3))*(VLOOKUP($B$5,标准坦克设计!$B$14:$K$20,9)/30))</f>
        <v>9.635073930158077</v>
      </c>
      <c r="DB174" s="173">
        <f ca="1">(VLOOKUP(DB$72,INDIRECT($C$5&amp;"生成成长"),2))/((VLOOKUP($B174,INDIRECT($B$5&amp;"生成成长"),4))/(VLOOKUP(DB$72,INDIRECT($C$5&amp;"生成成长"),5))*(VLOOKUP($B$5,标准坦克设计!$B$24:$U$30,MATCH("对"&amp;LEFT($C$5,2)&amp;"输出",标准坦克设计!$B$23:$U$23,0)))*(VLOOKUP($B174,INDIRECT($B$5&amp;"生成成长"),3))*(VLOOKUP($B$5,标准坦克设计!$B$14:$K$20,9)/30))</f>
        <v>10.208622046562368</v>
      </c>
      <c r="DC174" s="173">
        <f ca="1">(VLOOKUP(DC$72,INDIRECT($C$5&amp;"生成成长"),2))/((VLOOKUP($B174,INDIRECT($B$5&amp;"生成成长"),4))/(VLOOKUP(DC$72,INDIRECT($C$5&amp;"生成成长"),5))*(VLOOKUP($B$5,标准坦克设计!$B$24:$U$30,MATCH("对"&amp;LEFT($C$5,2)&amp;"输出",标准坦克设计!$B$23:$U$23,0)))*(VLOOKUP($B174,INDIRECT($B$5&amp;"生成成长"),3))*(VLOOKUP($B$5,标准坦克设计!$B$14:$K$20,9)/30))</f>
        <v>10.853221339255182</v>
      </c>
      <c r="DD174" s="173">
        <f ca="1">(VLOOKUP(DD$72,INDIRECT($C$5&amp;"生成成长"),2))/((VLOOKUP($B174,INDIRECT($B$5&amp;"生成成长"),4))/(VLOOKUP(DD$72,INDIRECT($C$5&amp;"生成成长"),5))*(VLOOKUP($B$5,标准坦克设计!$B$24:$U$30,MATCH("对"&amp;LEFT($C$5,2)&amp;"输出",标准坦克设计!$B$23:$U$23,0)))*(VLOOKUP($B174,INDIRECT($B$5&amp;"生成成长"),3))*(VLOOKUP($B$5,标准坦克设计!$B$14:$K$20,9)/30))</f>
        <v>11.517553263356962</v>
      </c>
      <c r="DE174" s="173">
        <f ca="1">(VLOOKUP(DE$72,INDIRECT($C$5&amp;"生成成长"),2))/((VLOOKUP($B174,INDIRECT($B$5&amp;"生成成长"),4))/(VLOOKUP(DE$72,INDIRECT($C$5&amp;"生成成长"),5))*(VLOOKUP($B$5,标准坦克设计!$B$24:$U$30,MATCH("对"&amp;LEFT($C$5,2)&amp;"输出",标准坦克设计!$B$23:$U$23,0)))*(VLOOKUP($B174,INDIRECT($B$5&amp;"生成成长"),3))*(VLOOKUP($B$5,标准坦克设计!$B$14:$K$20,9)/30))</f>
        <v>12.201617818867703</v>
      </c>
      <c r="DF174" s="173">
        <f ca="1">(VLOOKUP(DF$72,INDIRECT($C$5&amp;"生成成长"),2))/((VLOOKUP($B174,INDIRECT($B$5&amp;"生成成长"),4))/(VLOOKUP(DF$72,INDIRECT($C$5&amp;"生成成长"),5))*(VLOOKUP($B$5,标准坦克设计!$B$24:$U$30,MATCH("对"&amp;LEFT($C$5,2)&amp;"输出",标准坦克设计!$B$23:$U$23,0)))*(VLOOKUP($B174,INDIRECT($B$5&amp;"生成成长"),3))*(VLOOKUP($B$5,标准坦克设计!$B$14:$K$20,9)/30))</f>
        <v>12.905415005787411</v>
      </c>
      <c r="DG174" s="173">
        <f ca="1">(VLOOKUP(DG$72,INDIRECT($C$5&amp;"生成成长"),2))/((VLOOKUP($B174,INDIRECT($B$5&amp;"生成成长"),4))/(VLOOKUP(DG$72,INDIRECT($C$5&amp;"生成成长"),5))*(VLOOKUP($B$5,标准坦克设计!$B$24:$U$30,MATCH("对"&amp;LEFT($C$5,2)&amp;"输出",标准坦克设计!$B$23:$U$23,0)))*(VLOOKUP($B174,INDIRECT($B$5&amp;"生成成长"),3))*(VLOOKUP($B$5,标准坦克设计!$B$14:$K$20,9)/30))</f>
        <v>13.628944824116081</v>
      </c>
      <c r="DH174" s="173">
        <f ca="1">(VLOOKUP(DH$72,INDIRECT($C$5&amp;"生成成长"),2))/((VLOOKUP($B174,INDIRECT($B$5&amp;"生成成长"),4))/(VLOOKUP(DH$72,INDIRECT($C$5&amp;"生成成长"),5))*(VLOOKUP($B$5,标准坦克设计!$B$24:$U$30,MATCH("对"&amp;LEFT($C$5,2)&amp;"输出",标准坦克设计!$B$23:$U$23,0)))*(VLOOKUP($B174,INDIRECT($B$5&amp;"生成成长"),3))*(VLOOKUP($B$5,标准坦克设计!$B$14:$K$20,9)/30))</f>
        <v>14.372207273853714</v>
      </c>
      <c r="DI174" s="173">
        <f ca="1">(VLOOKUP(DI$72,INDIRECT($C$5&amp;"生成成长"),2))/((VLOOKUP($B174,INDIRECT($B$5&amp;"生成成长"),4))/(VLOOKUP(DI$72,INDIRECT($C$5&amp;"生成成长"),5))*(VLOOKUP($B$5,标准坦克设计!$B$24:$U$30,MATCH("对"&amp;LEFT($C$5,2)&amp;"输出",标准坦克设计!$B$23:$U$23,0)))*(VLOOKUP($B174,INDIRECT($B$5&amp;"生成成长"),3))*(VLOOKUP($B$5,标准坦克设计!$B$14:$K$20,9)/30))</f>
        <v>15.135202355000313</v>
      </c>
      <c r="DJ174" s="173">
        <f ca="1">(VLOOKUP(DJ$72,INDIRECT($C$5&amp;"生成成长"),2))/((VLOOKUP($B174,INDIRECT($B$5&amp;"生成成长"),4))/(VLOOKUP(DJ$72,INDIRECT($C$5&amp;"生成成长"),5))*(VLOOKUP($B$5,标准坦克设计!$B$24:$U$30,MATCH("对"&amp;LEFT($C$5,2)&amp;"输出",标准坦克设计!$B$23:$U$23,0)))*(VLOOKUP($B174,INDIRECT($B$5&amp;"生成成长"),3))*(VLOOKUP($B$5,标准坦克设计!$B$14:$K$20,9)/30))</f>
        <v>1.521125520522236</v>
      </c>
      <c r="DK174" s="173">
        <f ca="1">(VLOOKUP(DK$72,INDIRECT($C$5&amp;"生成成长"),2))/((VLOOKUP($B174,INDIRECT($B$5&amp;"生成成长"),4))/(VLOOKUP(DK$72,INDIRECT($C$5&amp;"生成成长"),5))*(VLOOKUP($B$5,标准坦克设计!$B$24:$U$30,MATCH("对"&amp;LEFT($C$5,2)&amp;"输出",标准坦克设计!$B$23:$U$23,0)))*(VLOOKUP($B174,INDIRECT($B$5&amp;"生成成长"),3))*(VLOOKUP($B$5,标准坦克设计!$B$14:$K$20,9)/30))</f>
        <v>1.7104354531019821</v>
      </c>
      <c r="DL174" s="173">
        <f ca="1">(VLOOKUP(DL$72,INDIRECT($C$5&amp;"生成成长"),2))/((VLOOKUP($B174,INDIRECT($B$5&amp;"生成成长"),4))/(VLOOKUP(DL$72,INDIRECT($C$5&amp;"生成成长"),5))*(VLOOKUP($B$5,标准坦克设计!$B$24:$U$30,MATCH("对"&amp;LEFT($C$5,2)&amp;"输出",标准坦克设计!$B$23:$U$23,0)))*(VLOOKUP($B174,INDIRECT($B$5&amp;"生成成长"),3))*(VLOOKUP($B$5,标准坦克设计!$B$14:$K$20,9)/30))</f>
        <v>1.9108449908492704</v>
      </c>
      <c r="DM174" s="173">
        <f ca="1">(VLOOKUP(DM$72,INDIRECT($C$5&amp;"生成成长"),2))/((VLOOKUP($B174,INDIRECT($B$5&amp;"生成成长"),4))/(VLOOKUP(DM$72,INDIRECT($C$5&amp;"生成成长"),5))*(VLOOKUP($B$5,标准坦克设计!$B$24:$U$30,MATCH("对"&amp;LEFT($C$5,2)&amp;"输出",标准坦克设计!$B$23:$U$23,0)))*(VLOOKUP($B174,INDIRECT($B$5&amp;"生成成长"),3))*(VLOOKUP($B$5,标准坦克设计!$B$14:$K$20,9)/30))</f>
        <v>2.1223541337641003</v>
      </c>
      <c r="DN174" s="173">
        <f ca="1">(VLOOKUP(DN$72,INDIRECT($C$5&amp;"生成成长"),2))/((VLOOKUP($B174,INDIRECT($B$5&amp;"生成成长"),4))/(VLOOKUP(DN$72,INDIRECT($C$5&amp;"生成成长"),5))*(VLOOKUP($B$5,标准坦克设计!$B$24:$U$30,MATCH("对"&amp;LEFT($C$5,2)&amp;"输出",标准坦克设计!$B$23:$U$23,0)))*(VLOOKUP($B174,INDIRECT($B$5&amp;"生成成长"),3))*(VLOOKUP($B$5,标准坦克设计!$B$14:$K$20,9)/30))</f>
        <v>2.3449628818464721</v>
      </c>
      <c r="DO174" s="173">
        <f ca="1">(VLOOKUP(DO$72,INDIRECT($C$5&amp;"生成成长"),2))/((VLOOKUP($B174,INDIRECT($B$5&amp;"生成成长"),4))/(VLOOKUP(DO$72,INDIRECT($C$5&amp;"生成成长"),5))*(VLOOKUP($B$5,标准坦克设计!$B$24:$U$30,MATCH("对"&amp;LEFT($C$5,2)&amp;"输出",标准坦克设计!$B$23:$U$23,0)))*(VLOOKUP($B174,INDIRECT($B$5&amp;"生成成长"),3))*(VLOOKUP($B$5,标准坦克设计!$B$14:$K$20,9)/30))</f>
        <v>2.5786712350963863</v>
      </c>
      <c r="DP174" s="173">
        <f ca="1">(VLOOKUP(DP$72,INDIRECT($C$5&amp;"生成成长"),2))/((VLOOKUP($B174,INDIRECT($B$5&amp;"生成成长"),4))/(VLOOKUP(DP$72,INDIRECT($C$5&amp;"生成成长"),5))*(VLOOKUP($B$5,标准坦克设计!$B$24:$U$30,MATCH("对"&amp;LEFT($C$5,2)&amp;"输出",标准坦克设计!$B$23:$U$23,0)))*(VLOOKUP($B174,INDIRECT($B$5&amp;"生成成长"),3))*(VLOOKUP($B$5,标准坦克设计!$B$14:$K$20,9)/30))</f>
        <v>2.8234791935138435</v>
      </c>
      <c r="DQ174" s="173">
        <f ca="1">(VLOOKUP(DQ$72,INDIRECT($C$5&amp;"生成成长"),2))/((VLOOKUP($B174,INDIRECT($B$5&amp;"生成成长"),4))/(VLOOKUP(DQ$72,INDIRECT($C$5&amp;"生成成长"),5))*(VLOOKUP($B$5,标准坦克设计!$B$24:$U$30,MATCH("对"&amp;LEFT($C$5,2)&amp;"输出",标准坦克设计!$B$23:$U$23,0)))*(VLOOKUP($B174,INDIRECT($B$5&amp;"生成成长"),3))*(VLOOKUP($B$5,标准坦克设计!$B$14:$K$20,9)/30))</f>
        <v>3.0793867570988414</v>
      </c>
      <c r="DR174" s="173">
        <f ca="1">(VLOOKUP(DR$72,INDIRECT($C$5&amp;"生成成长"),2))/((VLOOKUP($B174,INDIRECT($B$5&amp;"生成成长"),4))/(VLOOKUP(DR$72,INDIRECT($C$5&amp;"生成成长"),5))*(VLOOKUP($B$5,标准坦克设计!$B$24:$U$30,MATCH("对"&amp;LEFT($C$5,2)&amp;"输出",标准坦克设计!$B$23:$U$23,0)))*(VLOOKUP($B174,INDIRECT($B$5&amp;"生成成长"),3))*(VLOOKUP($B$5,标准坦克设计!$B$14:$K$20,9)/30))</f>
        <v>3.3463939258513826</v>
      </c>
      <c r="DS174" s="173">
        <f ca="1">(VLOOKUP(DS$72,INDIRECT($C$5&amp;"生成成长"),2))/((VLOOKUP($B174,INDIRECT($B$5&amp;"生成成长"),4))/(VLOOKUP(DS$72,INDIRECT($C$5&amp;"生成成长"),5))*(VLOOKUP($B$5,标准坦克设计!$B$24:$U$30,MATCH("对"&amp;LEFT($C$5,2)&amp;"输出",标准坦克设计!$B$23:$U$23,0)))*(VLOOKUP($B174,INDIRECT($B$5&amp;"生成成长"),3))*(VLOOKUP($B$5,标准坦克设计!$B$14:$K$20,9)/30))</f>
        <v>3.6245006997714659</v>
      </c>
      <c r="DT174" s="173">
        <f ca="1">(VLOOKUP(DT$72,INDIRECT($C$5&amp;"生成成长"),2))/((VLOOKUP($B174,INDIRECT($B$5&amp;"生成成长"),4))/(VLOOKUP(DT$72,INDIRECT($C$5&amp;"生成成长"),5))*(VLOOKUP($B$5,标准坦克设计!$B$24:$U$30,MATCH("对"&amp;LEFT($C$5,2)&amp;"输出",标准坦克设计!$B$23:$U$23,0)))*(VLOOKUP($B174,INDIRECT($B$5&amp;"生成成长"),3))*(VLOOKUP($B$5,标准坦克设计!$B$14:$K$20,9)/30))</f>
        <v>3.9794825168889685</v>
      </c>
      <c r="DU174" s="173">
        <f ca="1">(VLOOKUP(DU$72,INDIRECT($C$5&amp;"生成成长"),2))/((VLOOKUP($B174,INDIRECT($B$5&amp;"生成成长"),4))/(VLOOKUP(DU$72,INDIRECT($C$5&amp;"生成成长"),5))*(VLOOKUP($B$5,标准坦克设计!$B$24:$U$30,MATCH("对"&amp;LEFT($C$5,2)&amp;"输出",标准坦克设计!$B$23:$U$23,0)))*(VLOOKUP($B174,INDIRECT($B$5&amp;"生成成长"),3))*(VLOOKUP($B$5,标准坦克设计!$B$14:$K$20,9)/30))</f>
        <v>4.3510452256765051</v>
      </c>
      <c r="DV174" s="173">
        <f ca="1">(VLOOKUP(DV$72,INDIRECT($C$5&amp;"生成成长"),2))/((VLOOKUP($B174,INDIRECT($B$5&amp;"生成成长"),4))/(VLOOKUP(DV$72,INDIRECT($C$5&amp;"生成成长"),5))*(VLOOKUP($B$5,标准坦克设计!$B$24:$U$30,MATCH("对"&amp;LEFT($C$5,2)&amp;"输出",标准坦克设计!$B$23:$U$23,0)))*(VLOOKUP($B174,INDIRECT($B$5&amp;"生成成长"),3))*(VLOOKUP($B$5,标准坦克设计!$B$14:$K$20,9)/30))</f>
        <v>4.7391888261340736</v>
      </c>
      <c r="DW174" s="173">
        <f ca="1">(VLOOKUP(DW$72,INDIRECT($C$5&amp;"生成成长"),2))/((VLOOKUP($B174,INDIRECT($B$5&amp;"生成成长"),4))/(VLOOKUP(DW$72,INDIRECT($C$5&amp;"生成成长"),5))*(VLOOKUP($B$5,标准坦克设计!$B$24:$U$30,MATCH("对"&amp;LEFT($C$5,2)&amp;"输出",标准坦克设计!$B$23:$U$23,0)))*(VLOOKUP($B174,INDIRECT($B$5&amp;"生成成长"),3))*(VLOOKUP($B$5,标准坦克设计!$B$14:$K$20,9)/30))</f>
        <v>5.1439133182616734</v>
      </c>
      <c r="DX174" s="173">
        <f ca="1">(VLOOKUP(DX$72,INDIRECT($C$5&amp;"生成成长"),2))/((VLOOKUP($B174,INDIRECT($B$5&amp;"生成成长"),4))/(VLOOKUP(DX$72,INDIRECT($C$5&amp;"生成成长"),5))*(VLOOKUP($B$5,标准坦克设计!$B$24:$U$30,MATCH("对"&amp;LEFT($C$5,2)&amp;"输出",标准坦克设计!$B$23:$U$23,0)))*(VLOOKUP($B174,INDIRECT($B$5&amp;"生成成长"),3))*(VLOOKUP($B$5,标准坦克设计!$B$14:$K$20,9)/30))</f>
        <v>5.5652187020593056</v>
      </c>
      <c r="DY174" s="173">
        <f ca="1">(VLOOKUP(DY$72,INDIRECT($C$5&amp;"生成成长"),2))/((VLOOKUP($B174,INDIRECT($B$5&amp;"生成成长"),4))/(VLOOKUP(DY$72,INDIRECT($C$5&amp;"生成成长"),5))*(VLOOKUP($B$5,标准坦克设计!$B$24:$U$30,MATCH("对"&amp;LEFT($C$5,2)&amp;"输出",标准坦克设计!$B$23:$U$23,0)))*(VLOOKUP($B174,INDIRECT($B$5&amp;"生成成长"),3))*(VLOOKUP($B$5,标准坦克设计!$B$14:$K$20,9)/30))</f>
        <v>2.4995351612166883</v>
      </c>
      <c r="DZ174" s="173">
        <f ca="1">(VLOOKUP(DZ$72,INDIRECT($C$5&amp;"生成成长"),2))/((VLOOKUP($B174,INDIRECT($B$5&amp;"生成成长"),4))/(VLOOKUP(DZ$72,INDIRECT($C$5&amp;"生成成长"),5))*(VLOOKUP($B$5,标准坦克设计!$B$24:$U$30,MATCH("对"&amp;LEFT($C$5,2)&amp;"输出",标准坦克设计!$B$23:$U$23,0)))*(VLOOKUP($B174,INDIRECT($B$5&amp;"生成成长"),3))*(VLOOKUP($B$5,标准坦克设计!$B$14:$K$20,9)/30))</f>
        <v>2.7681181998386948</v>
      </c>
      <c r="EA174" s="173">
        <f ca="1">(VLOOKUP(EA$72,INDIRECT($C$5&amp;"生成成长"),2))/((VLOOKUP($B174,INDIRECT($B$5&amp;"生成成长"),4))/(VLOOKUP(EA$72,INDIRECT($C$5&amp;"生成成长"),5))*(VLOOKUP($B$5,标准坦克设计!$B$24:$U$30,MATCH("对"&amp;LEFT($C$5,2)&amp;"输出",标准坦克设计!$B$23:$U$23,0)))*(VLOOKUP($B174,INDIRECT($B$5&amp;"生成成长"),3))*(VLOOKUP($B$5,标准坦克设计!$B$14:$K$20,9)/30))</f>
        <v>3.0504044547169258</v>
      </c>
      <c r="EB174" s="173">
        <f ca="1">(VLOOKUP(EB$72,INDIRECT($C$5&amp;"生成成长"),2))/((VLOOKUP($B174,INDIRECT($B$5&amp;"生成成长"),4))/(VLOOKUP(EB$72,INDIRECT($C$5&amp;"生成成长"),5))*(VLOOKUP($B$5,标准坦克设计!$B$24:$U$30,MATCH("对"&amp;LEFT($C$5,2)&amp;"输出",标准坦克设计!$B$23:$U$23,0)))*(VLOOKUP($B174,INDIRECT($B$5&amp;"生成成长"),3))*(VLOOKUP($B$5,标准坦克设计!$B$14:$K$20,9)/30))</f>
        <v>3.3463939258513826</v>
      </c>
      <c r="EC174" s="173">
        <f ca="1">(VLOOKUP(EC$72,INDIRECT($C$5&amp;"生成成长"),2))/((VLOOKUP($B174,INDIRECT($B$5&amp;"生成成长"),4))/(VLOOKUP(EC$72,INDIRECT($C$5&amp;"生成成长"),5))*(VLOOKUP($B$5,标准坦克设计!$B$24:$U$30,MATCH("对"&amp;LEFT($C$5,2)&amp;"输出",标准坦克设计!$B$23:$U$23,0)))*(VLOOKUP($B174,INDIRECT($B$5&amp;"生成成长"),3))*(VLOOKUP($B$5,标准坦克设计!$B$14:$K$20,9)/30))</f>
        <v>3.6560866132420631</v>
      </c>
      <c r="ED174" s="173">
        <f ca="1">(VLOOKUP(ED$72,INDIRECT($C$5&amp;"生成成长"),2))/((VLOOKUP($B174,INDIRECT($B$5&amp;"生成成长"),4))/(VLOOKUP(ED$72,INDIRECT($C$5&amp;"生成成长"),5))*(VLOOKUP($B$5,标准坦克设计!$B$24:$U$30,MATCH("对"&amp;LEFT($C$5,2)&amp;"输出",标准坦克设计!$B$23:$U$23,0)))*(VLOOKUP($B174,INDIRECT($B$5&amp;"生成成长"),3))*(VLOOKUP($B$5,标准坦克设计!$B$14:$K$20,9)/30))</f>
        <v>3.9794825168889685</v>
      </c>
      <c r="EE174" s="173">
        <f ca="1">(VLOOKUP(EE$72,INDIRECT($C$5&amp;"生成成长"),2))/((VLOOKUP($B174,INDIRECT($B$5&amp;"生成成长"),4))/(VLOOKUP(EE$72,INDIRECT($C$5&amp;"生成成长"),5))*(VLOOKUP($B$5,标准坦克设计!$B$24:$U$30,MATCH("对"&amp;LEFT($C$5,2)&amp;"输出",标准坦克设计!$B$23:$U$23,0)))*(VLOOKUP($B174,INDIRECT($B$5&amp;"生成成长"),3))*(VLOOKUP($B$5,标准坦克设计!$B$14:$K$20,9)/30))</f>
        <v>4.3165816367921002</v>
      </c>
      <c r="EF174" s="173">
        <f ca="1">(VLOOKUP(EF$72,INDIRECT($C$5&amp;"生成成长"),2))/((VLOOKUP($B174,INDIRECT($B$5&amp;"生成成长"),4))/(VLOOKUP(EF$72,INDIRECT($C$5&amp;"生成成长"),5))*(VLOOKUP($B$5,标准坦克设计!$B$24:$U$30,MATCH("对"&amp;LEFT($C$5,2)&amp;"输出",标准坦克设计!$B$23:$U$23,0)))*(VLOOKUP($B174,INDIRECT($B$5&amp;"生成成长"),3))*(VLOOKUP($B$5,标准坦克设计!$B$14:$K$20,9)/30))</f>
        <v>4.6673839729514546</v>
      </c>
      <c r="EG174" s="173">
        <f ca="1">(VLOOKUP(EG$72,INDIRECT($C$5&amp;"生成成长"),2))/((VLOOKUP($B174,INDIRECT($B$5&amp;"生成成长"),4))/(VLOOKUP(EG$72,INDIRECT($C$5&amp;"生成成长"),5))*(VLOOKUP($B$5,标准坦克设计!$B$24:$U$30,MATCH("对"&amp;LEFT($C$5,2)&amp;"输出",标准坦克设计!$B$23:$U$23,0)))*(VLOOKUP($B174,INDIRECT($B$5&amp;"生成成长"),3))*(VLOOKUP($B$5,标准坦克设计!$B$14:$K$20,9)/30))</f>
        <v>5.0318895253670348</v>
      </c>
      <c r="EH174" s="173">
        <f ca="1">(VLOOKUP(EH$72,INDIRECT($C$5&amp;"生成成长"),2))/((VLOOKUP($B174,INDIRECT($B$5&amp;"生成成长"),4))/(VLOOKUP(EH$72,INDIRECT($C$5&amp;"生成成长"),5))*(VLOOKUP($B$5,标准坦克设计!$B$24:$U$30,MATCH("对"&amp;LEFT($C$5,2)&amp;"输出",标准坦克设计!$B$23:$U$23,0)))*(VLOOKUP($B174,INDIRECT($B$5&amp;"生成成长"),3))*(VLOOKUP($B$5,标准坦克设计!$B$14:$K$20,9)/30))</f>
        <v>5.4100982940388409</v>
      </c>
      <c r="EI174" s="173">
        <f ca="1">(VLOOKUP(EI$72,INDIRECT($C$5&amp;"生成成长"),2))/((VLOOKUP($B174,INDIRECT($B$5&amp;"生成成长"),4))/(VLOOKUP(EI$72,INDIRECT($C$5&amp;"生成成长"),5))*(VLOOKUP($B$5,标准坦克设计!$B$24:$U$30,MATCH("对"&amp;LEFT($C$5,2)&amp;"输出",标准坦克设计!$B$23:$U$23,0)))*(VLOOKUP($B174,INDIRECT($B$5&amp;"生成成长"),3))*(VLOOKUP($B$5,标准坦克设计!$B$14:$K$20,9)/30))</f>
        <v>5.8020102789668702</v>
      </c>
      <c r="EJ174" s="173">
        <f ca="1">(VLOOKUP(EJ$72,INDIRECT($C$5&amp;"生成成长"),2))/((VLOOKUP($B174,INDIRECT($B$5&amp;"生成成长"),4))/(VLOOKUP(EJ$72,INDIRECT($C$5&amp;"生成成长"),5))*(VLOOKUP($B$5,标准坦克设计!$B$24:$U$30,MATCH("对"&amp;LEFT($C$5,2)&amp;"输出",标准坦克设计!$B$23:$U$23,0)))*(VLOOKUP($B174,INDIRECT($B$5&amp;"生成成长"),3))*(VLOOKUP($B$5,标准坦克设计!$B$14:$K$20,9)/30))</f>
        <v>6.2076254801511253</v>
      </c>
      <c r="EK174" s="173">
        <f ca="1">(VLOOKUP(EK$72,INDIRECT($C$5&amp;"生成成长"),2))/((VLOOKUP($B174,INDIRECT($B$5&amp;"生成成长"),4))/(VLOOKUP(EK$72,INDIRECT($C$5&amp;"生成成长"),5))*(VLOOKUP($B$5,标准坦克设计!$B$24:$U$30,MATCH("对"&amp;LEFT($C$5,2)&amp;"输出",标准坦克设计!$B$23:$U$23,0)))*(VLOOKUP($B174,INDIRECT($B$5&amp;"生成成长"),3))*(VLOOKUP($B$5,标准坦克设计!$B$14:$K$20,9)/30))</f>
        <v>6.7124519670304474</v>
      </c>
      <c r="EL174" s="173">
        <f ca="1">(VLOOKUP(EL$72,INDIRECT($C$5&amp;"生成成长"),2))/((VLOOKUP($B174,INDIRECT($B$5&amp;"生成成长"),4))/(VLOOKUP(EL$72,INDIRECT($C$5&amp;"生成成长"),5))*(VLOOKUP($B$5,标准坦克设计!$B$24:$U$30,MATCH("对"&amp;LEFT($C$5,2)&amp;"输出",标准坦克设计!$B$23:$U$23,0)))*(VLOOKUP($B174,INDIRECT($B$5&amp;"生成成长"),3))*(VLOOKUP($B$5,标准坦克设计!$B$14:$K$20,9)/30))</f>
        <v>7.2370110853187324</v>
      </c>
      <c r="EM174" s="173">
        <f ca="1">(VLOOKUP(EM$72,INDIRECT($C$5&amp;"生成成长"),2))/((VLOOKUP($B174,INDIRECT($B$5&amp;"生成成长"),4))/(VLOOKUP(EM$72,INDIRECT($C$5&amp;"生成成长"),5))*(VLOOKUP($B$5,标准坦克设计!$B$24:$U$30,MATCH("对"&amp;LEFT($C$5,2)&amp;"输出",标准坦克设计!$B$23:$U$23,0)))*(VLOOKUP($B174,INDIRECT($B$5&amp;"生成成长"),3))*(VLOOKUP($B$5,标准坦克设计!$B$14:$K$20,9)/30))</f>
        <v>7.7813028350159827</v>
      </c>
      <c r="EN174" s="173">
        <f ca="1">(VLOOKUP(EN$72,INDIRECT($C$5&amp;"生成成长"),2))/((VLOOKUP($B174,INDIRECT($B$5&amp;"生成成长"),4))/(VLOOKUP(EN$72,INDIRECT($C$5&amp;"生成成长"),5))*(VLOOKUP($B$5,标准坦克设计!$B$24:$U$30,MATCH("对"&amp;LEFT($C$5,2)&amp;"输出",标准坦克设计!$B$23:$U$23,0)))*(VLOOKUP($B174,INDIRECT($B$5&amp;"生成成长"),3))*(VLOOKUP($B$5,标准坦克设计!$B$14:$K$20,9)/30))</f>
        <v>8.3453272161221985</v>
      </c>
      <c r="EO174" s="173">
        <f ca="1">(VLOOKUP(EO$72,INDIRECT($C$5&amp;"生成成长"),2))/((VLOOKUP($B174,INDIRECT($B$5&amp;"生成成长"),4))/(VLOOKUP(EO$72,INDIRECT($C$5&amp;"生成成长"),5))*(VLOOKUP($B$5,标准坦克设计!$B$24:$U$30,MATCH("对"&amp;LEFT($C$5,2)&amp;"输出",标准坦克设计!$B$23:$U$23,0)))*(VLOOKUP($B174,INDIRECT($B$5&amp;"生成成长"),3))*(VLOOKUP($B$5,标准坦克设计!$B$14:$K$20,9)/30))</f>
        <v>8.9290842286373753</v>
      </c>
      <c r="EP174" s="173">
        <f ca="1">(VLOOKUP(EP$72,INDIRECT($C$5&amp;"生成成长"),2))/((VLOOKUP($B174,INDIRECT($B$5&amp;"生成成长"),4))/(VLOOKUP(EP$72,INDIRECT($C$5&amp;"生成成长"),5))*(VLOOKUP($B$5,标准坦克设计!$B$24:$U$30,MATCH("对"&amp;LEFT($C$5,2)&amp;"输出",标准坦克设计!$B$23:$U$23,0)))*(VLOOKUP($B174,INDIRECT($B$5&amp;"生成成长"),3))*(VLOOKUP($B$5,标准坦克设计!$B$14:$K$20,9)/30))</f>
        <v>9.5325738725615157</v>
      </c>
      <c r="EQ174" s="173">
        <f ca="1">(VLOOKUP(EQ$72,INDIRECT($C$5&amp;"生成成长"),2))/((VLOOKUP($B174,INDIRECT($B$5&amp;"生成成长"),4))/(VLOOKUP(EQ$72,INDIRECT($C$5&amp;"生成成长"),5))*(VLOOKUP($B$5,标准坦克设计!$B$24:$U$30,MATCH("对"&amp;LEFT($C$5,2)&amp;"输出",标准坦克设计!$B$23:$U$23,0)))*(VLOOKUP($B174,INDIRECT($B$5&amp;"生成成长"),3))*(VLOOKUP($B$5,标准坦克设计!$B$14:$K$20,9)/30))</f>
        <v>4.2140130631142565</v>
      </c>
      <c r="ER174" s="173">
        <f ca="1">(VLOOKUP(ER$72,INDIRECT($C$5&amp;"生成成长"),2))/((VLOOKUP($B174,INDIRECT($B$5&amp;"生成成长"),4))/(VLOOKUP(ER$72,INDIRECT($C$5&amp;"生成成长"),5))*(VLOOKUP($B$5,标准坦克设计!$B$24:$U$30,MATCH("对"&amp;LEFT($C$5,2)&amp;"输出",标准坦克设计!$B$23:$U$23,0)))*(VLOOKUP($B174,INDIRECT($B$5&amp;"生成成长"),3))*(VLOOKUP($B$5,标准坦克设计!$B$14:$K$20,9)/30))</f>
        <v>4.5961272484190854</v>
      </c>
      <c r="ES174" s="173">
        <f ca="1">(VLOOKUP(ES$72,INDIRECT($C$5&amp;"生成成长"),2))/((VLOOKUP($B174,INDIRECT($B$5&amp;"生成成长"),4))/(VLOOKUP(ES$72,INDIRECT($C$5&amp;"生成成长"),5))*(VLOOKUP($B$5,标准坦克设计!$B$24:$U$30,MATCH("对"&amp;LEFT($C$5,2)&amp;"输出",标准坦克设计!$B$23:$U$23,0)))*(VLOOKUP($B174,INDIRECT($B$5&amp;"生成成长"),3))*(VLOOKUP($B$5,标准坦克设计!$B$14:$K$20,9)/30))</f>
        <v>4.9948223253939474</v>
      </c>
      <c r="ET174" s="173">
        <f ca="1">(VLOOKUP(ET$72,INDIRECT($C$5&amp;"生成成长"),2))/((VLOOKUP($B174,INDIRECT($B$5&amp;"生成成长"),4))/(VLOOKUP(ET$72,INDIRECT($C$5&amp;"生成成长"),5))*(VLOOKUP($B$5,标准坦克设计!$B$24:$U$30,MATCH("对"&amp;LEFT($C$5,2)&amp;"输出",标准坦克设计!$B$23:$U$23,0)))*(VLOOKUP($B174,INDIRECT($B$5&amp;"生成成长"),3))*(VLOOKUP($B$5,标准坦克设计!$B$14:$K$20,9)/30))</f>
        <v>5.4100982940388409</v>
      </c>
      <c r="EU174" s="173">
        <f ca="1">(VLOOKUP(EU$72,INDIRECT($C$5&amp;"生成成长"),2))/((VLOOKUP($B174,INDIRECT($B$5&amp;"生成成长"),4))/(VLOOKUP(EU$72,INDIRECT($C$5&amp;"生成成长"),5))*(VLOOKUP($B$5,标准坦克设计!$B$24:$U$30,MATCH("对"&amp;LEFT($C$5,2)&amp;"输出",标准坦克设计!$B$23:$U$23,0)))*(VLOOKUP($B174,INDIRECT($B$5&amp;"生成成长"),3))*(VLOOKUP($B$5,标准坦克设计!$B$14:$K$20,9)/30))</f>
        <v>5.8419551543537649</v>
      </c>
      <c r="EV174" s="173">
        <f ca="1">(VLOOKUP(EV$72,INDIRECT($C$5&amp;"生成成长"),2))/((VLOOKUP($B174,INDIRECT($B$5&amp;"生成成长"),4))/(VLOOKUP(EV$72,INDIRECT($C$5&amp;"生成成长"),5))*(VLOOKUP($B$5,标准坦克设计!$B$24:$U$30,MATCH("对"&amp;LEFT($C$5,2)&amp;"输出",标准坦克设计!$B$23:$U$23,0)))*(VLOOKUP($B174,INDIRECT($B$5&amp;"生成成长"),3))*(VLOOKUP($B$5,标准坦克设计!$B$14:$K$20,9)/30))</f>
        <v>6.2903929063387221</v>
      </c>
      <c r="EW174" s="173">
        <f ca="1">(VLOOKUP(EW$72,INDIRECT($C$5&amp;"生成成长"),2))/((VLOOKUP($B174,INDIRECT($B$5&amp;"生成成长"),4))/(VLOOKUP(EW$72,INDIRECT($C$5&amp;"生成成长"),5))*(VLOOKUP($B$5,标准坦克设计!$B$24:$U$30,MATCH("对"&amp;LEFT($C$5,2)&amp;"输出",标准坦克设计!$B$23:$U$23,0)))*(VLOOKUP($B174,INDIRECT($B$5&amp;"生成成长"),3))*(VLOOKUP($B$5,标准坦克设计!$B$14:$K$20,9)/30))</f>
        <v>6.7554115499937133</v>
      </c>
      <c r="EX174" s="173">
        <f ca="1">(VLOOKUP(EX$72,INDIRECT($C$5&amp;"生成成长"),2))/((VLOOKUP($B174,INDIRECT($B$5&amp;"生成成长"),4))/(VLOOKUP(EX$72,INDIRECT($C$5&amp;"生成成长"),5))*(VLOOKUP($B$5,标准坦克设计!$B$24:$U$30,MATCH("对"&amp;LEFT($C$5,2)&amp;"输出",标准坦克设计!$B$23:$U$23,0)))*(VLOOKUP($B174,INDIRECT($B$5&amp;"生成成长"),3))*(VLOOKUP($B$5,标准坦克设计!$B$14:$K$20,9)/30))</f>
        <v>7.2370110853187324</v>
      </c>
      <c r="EY174" s="173">
        <f ca="1">(VLOOKUP(EY$72,INDIRECT($C$5&amp;"生成成长"),2))/((VLOOKUP($B174,INDIRECT($B$5&amp;"生成成长"),4))/(VLOOKUP(EY$72,INDIRECT($C$5&amp;"生成成长"),5))*(VLOOKUP($B$5,标准坦克设计!$B$24:$U$30,MATCH("对"&amp;LEFT($C$5,2)&amp;"输出",标准坦克设计!$B$23:$U$23,0)))*(VLOOKUP($B174,INDIRECT($B$5&amp;"生成成长"),3))*(VLOOKUP($B$5,标准坦克设计!$B$14:$K$20,9)/30))</f>
        <v>7.7351915123137864</v>
      </c>
      <c r="EZ174" s="173">
        <f ca="1">(VLOOKUP(EZ$72,INDIRECT($C$5&amp;"生成成长"),2))/((VLOOKUP($B174,INDIRECT($B$5&amp;"生成成长"),4))/(VLOOKUP(EZ$72,INDIRECT($C$5&amp;"生成成长"),5))*(VLOOKUP($B$5,标准坦克设计!$B$24:$U$30,MATCH("对"&amp;LEFT($C$5,2)&amp;"输出",标准坦克设计!$B$23:$U$23,0)))*(VLOOKUP($B174,INDIRECT($B$5&amp;"生成成长"),3))*(VLOOKUP($B$5,标准坦克设计!$B$14:$K$20,9)/30))</f>
        <v>8.2499528309788719</v>
      </c>
      <c r="FA174" s="173">
        <f ca="1">(VLOOKUP(FA$72,INDIRECT($C$5&amp;"生成成长"),2))/((VLOOKUP($B174,INDIRECT($B$5&amp;"生成成长"),4))/(VLOOKUP(FA$72,INDIRECT($C$5&amp;"生成成长"),5))*(VLOOKUP($B$5,标准坦克设计!$B$24:$U$30,MATCH("对"&amp;LEFT($C$5,2)&amp;"输出",标准坦克设计!$B$23:$U$23,0)))*(VLOOKUP($B174,INDIRECT($B$5&amp;"生成成长"),3))*(VLOOKUP($B$5,标准坦克设计!$B$14:$K$20,9)/30))</f>
        <v>8.7812950413139905</v>
      </c>
      <c r="FB174" s="173">
        <f ca="1">(VLOOKUP(FB$72,INDIRECT($C$5&amp;"生成成长"),2))/((VLOOKUP($B174,INDIRECT($B$5&amp;"生成成长"),4))/(VLOOKUP(FB$72,INDIRECT($C$5&amp;"生成成长"),5))*(VLOOKUP($B$5,标准坦克设计!$B$24:$U$30,MATCH("对"&amp;LEFT($C$5,2)&amp;"输出",标准坦克设计!$B$23:$U$23,0)))*(VLOOKUP($B174,INDIRECT($B$5&amp;"生成成长"),3))*(VLOOKUP($B$5,标准坦克设计!$B$14:$K$20,9)/30))</f>
        <v>9.329218143319137</v>
      </c>
      <c r="FC174" s="173">
        <f ca="1">(VLOOKUP(FC$72,INDIRECT($C$5&amp;"生成成长"),2))/((VLOOKUP($B174,INDIRECT($B$5&amp;"生成成长"),4))/(VLOOKUP(FC$72,INDIRECT($C$5&amp;"生成成长"),5))*(VLOOKUP($B$5,标准坦克设计!$B$24:$U$30,MATCH("对"&amp;LEFT($C$5,2)&amp;"输出",标准坦克设计!$B$23:$U$23,0)))*(VLOOKUP($B174,INDIRECT($B$5&amp;"生成成长"),3))*(VLOOKUP($B$5,标准坦克设计!$B$14:$K$20,9)/30))</f>
        <v>9.8937221369943202</v>
      </c>
      <c r="FD174" s="173">
        <f ca="1">(VLOOKUP(FD$72,INDIRECT($C$5&amp;"生成成长"),2))/((VLOOKUP($B174,INDIRECT($B$5&amp;"生成成长"),4))/(VLOOKUP(FD$72,INDIRECT($C$5&amp;"生成成长"),5))*(VLOOKUP($B$5,标准坦克设计!$B$24:$U$30,MATCH("对"&amp;LEFT($C$5,2)&amp;"输出",标准坦克设计!$B$23:$U$23,0)))*(VLOOKUP($B174,INDIRECT($B$5&amp;"生成成长"),3))*(VLOOKUP($B$5,标准坦克设计!$B$14:$K$20,9)/30))</f>
        <v>10.474807022339533</v>
      </c>
      <c r="FE174" s="173">
        <f ca="1">(VLOOKUP(FE$72,INDIRECT($C$5&amp;"生成成长"),2))/((VLOOKUP($B174,INDIRECT($B$5&amp;"生成成长"),4))/(VLOOKUP(FE$72,INDIRECT($C$5&amp;"生成成长"),5))*(VLOOKUP($B$5,标准坦克设计!$B$24:$U$30,MATCH("对"&amp;LEFT($C$5,2)&amp;"输出",标准坦克设计!$B$23:$U$23,0)))*(VLOOKUP($B174,INDIRECT($B$5&amp;"生成成长"),3))*(VLOOKUP($B$5,标准坦克设计!$B$14:$K$20,9)/30))</f>
        <v>11.182920722379951</v>
      </c>
      <c r="FF174" s="173">
        <f ca="1">(VLOOKUP(FF$72,INDIRECT($C$5&amp;"生成成长"),2))/((VLOOKUP($B174,INDIRECT($B$5&amp;"生成成长"),4))/(VLOOKUP(FF$72,INDIRECT($C$5&amp;"生成成长"),5))*(VLOOKUP($B$5,标准坦克设计!$B$24:$U$30,MATCH("对"&amp;LEFT($C$5,2)&amp;"输出",标准坦克设计!$B$23:$U$23,0)))*(VLOOKUP($B174,INDIRECT($B$5&amp;"生成成长"),3))*(VLOOKUP($B$5,标准坦克设计!$B$14:$K$20,9)/30))</f>
        <v>11.914192857893388</v>
      </c>
      <c r="FG174" s="173">
        <f ca="1">(VLOOKUP(FG$72,INDIRECT($C$5&amp;"生成成长"),2))/((VLOOKUP($B174,INDIRECT($B$5&amp;"生成成长"),4))/(VLOOKUP(FG$72,INDIRECT($C$5&amp;"生成成长"),5))*(VLOOKUP($B$5,标准坦克设计!$B$24:$U$30,MATCH("对"&amp;LEFT($C$5,2)&amp;"输出",标准坦克设计!$B$23:$U$23,0)))*(VLOOKUP($B174,INDIRECT($B$5&amp;"生成成长"),3))*(VLOOKUP($B$5,标准坦克设计!$B$14:$K$20,9)/30))</f>
        <v>12.668623428879846</v>
      </c>
      <c r="FH174" s="173">
        <f ca="1">(VLOOKUP(FH$72,INDIRECT($C$5&amp;"生成成长"),2))/((VLOOKUP($B174,INDIRECT($B$5&amp;"生成成长"),4))/(VLOOKUP(FH$72,INDIRECT($C$5&amp;"生成成长"),5))*(VLOOKUP($B$5,标准坦克设计!$B$24:$U$30,MATCH("对"&amp;LEFT($C$5,2)&amp;"输出",标准坦克设计!$B$23:$U$23,0)))*(VLOOKUP($B174,INDIRECT($B$5&amp;"生成成长"),3))*(VLOOKUP($B$5,标准坦克设计!$B$14:$K$20,9)/30))</f>
        <v>13.446212435339325</v>
      </c>
      <c r="FI174" s="173">
        <f ca="1">(VLOOKUP(FI$72,INDIRECT($C$5&amp;"生成成长"),2))/((VLOOKUP($B174,INDIRECT($B$5&amp;"生成成长"),4))/(VLOOKUP(FI$72,INDIRECT($C$5&amp;"生成成长"),5))*(VLOOKUP($B$5,标准坦克设计!$B$24:$U$30,MATCH("对"&amp;LEFT($C$5,2)&amp;"输出",标准坦克设计!$B$23:$U$23,0)))*(VLOOKUP($B174,INDIRECT($B$5&amp;"生成成长"),3))*(VLOOKUP($B$5,标准坦克设计!$B$14:$K$20,9)/30))</f>
        <v>14.24695987727182</v>
      </c>
      <c r="FJ174" s="173">
        <f ca="1">(VLOOKUP(FJ$72,INDIRECT($C$5&amp;"生成成长"),2))/((VLOOKUP($B174,INDIRECT($B$5&amp;"生成成长"),4))/(VLOOKUP(FJ$72,INDIRECT($C$5&amp;"生成成长"),5))*(VLOOKUP($B$5,标准坦克设计!$B$24:$U$30,MATCH("对"&amp;LEFT($C$5,2)&amp;"输出",标准坦克设计!$B$23:$U$23,0)))*(VLOOKUP($B174,INDIRECT($B$5&amp;"生成成长"),3))*(VLOOKUP($B$5,标准坦克设计!$B$14:$K$20,9)/30))</f>
        <v>15.070865754677337</v>
      </c>
      <c r="FK174" s="173">
        <f ca="1">(VLOOKUP(FK$72,INDIRECT($C$5&amp;"生成成长"),2))/((VLOOKUP($B174,INDIRECT($B$5&amp;"生成成长"),4))/(VLOOKUP(FK$72,INDIRECT($C$5&amp;"生成成长"),5))*(VLOOKUP($B$5,标准坦克设计!$B$24:$U$30,MATCH("对"&amp;LEFT($C$5,2)&amp;"输出",标准坦克设计!$B$23:$U$23,0)))*(VLOOKUP($B174,INDIRECT($B$5&amp;"生成成长"),3))*(VLOOKUP($B$5,标准坦克设计!$B$14:$K$20,9)/30))</f>
        <v>15.917930067555874</v>
      </c>
    </row>
    <row r="175" spans="1:167" x14ac:dyDescent="0.15">
      <c r="A175" s="171" t="str">
        <f t="shared" si="12"/>
        <v>T5中品质13级</v>
      </c>
      <c r="B175" s="172">
        <v>20513</v>
      </c>
      <c r="C175" s="173">
        <f ca="1">(VLOOKUP(C$72,INDIRECT($C$5&amp;"生成成长"),2))/((VLOOKUP($B175,INDIRECT($B$5&amp;"生成成长"),4))/(VLOOKUP(C$72,INDIRECT($C$5&amp;"生成成长"),5))*(VLOOKUP($B$5,标准坦克设计!$B$24:$U$30,MATCH("对"&amp;LEFT($C$5,2)&amp;"输出",标准坦克设计!$B$23:$U$23,0)))*(VLOOKUP($B175,INDIRECT($B$5&amp;"生成成长"),3))*(VLOOKUP($B$5,标准坦克设计!$B$14:$K$20,9)/30))</f>
        <v>0.64504415072780019</v>
      </c>
      <c r="D175" s="173">
        <f ca="1">(VLOOKUP(D$72,INDIRECT($C$5&amp;"生成成长"),2))/((VLOOKUP($B175,INDIRECT($B$5&amp;"生成成长"),4))/(VLOOKUP(D$72,INDIRECT($C$5&amp;"生成成长"),5))*(VLOOKUP($B$5,标准坦克设计!$B$24:$U$30,MATCH("对"&amp;LEFT($C$5,2)&amp;"输出",标准坦克设计!$B$23:$U$23,0)))*(VLOOKUP($B175,INDIRECT($B$5&amp;"生成成长"),3))*(VLOOKUP($B$5,标准坦克设计!$B$14:$K$20,9)/30))</f>
        <v>0.72477160775775629</v>
      </c>
      <c r="E175" s="173">
        <f ca="1">(VLOOKUP(E$72,INDIRECT($C$5&amp;"生成成长"),2))/((VLOOKUP($B175,INDIRECT($B$5&amp;"生成成长"),4))/(VLOOKUP(E$72,INDIRECT($C$5&amp;"生成成长"),5))*(VLOOKUP($B$5,标准坦克设计!$B$24:$U$30,MATCH("对"&amp;LEFT($C$5,2)&amp;"输出",标准坦克设计!$B$23:$U$23,0)))*(VLOOKUP($B175,INDIRECT($B$5&amp;"生成成长"),3))*(VLOOKUP($B$5,标准坦克设计!$B$14:$K$20,9)/30))</f>
        <v>0.8091433826729526</v>
      </c>
      <c r="F175" s="173">
        <f ca="1">(VLOOKUP(F$72,INDIRECT($C$5&amp;"生成成长"),2))/((VLOOKUP($B175,INDIRECT($B$5&amp;"生成成长"),4))/(VLOOKUP(F$72,INDIRECT($C$5&amp;"生成成长"),5))*(VLOOKUP($B$5,标准坦克设计!$B$24:$U$30,MATCH("对"&amp;LEFT($C$5,2)&amp;"输出",标准坦克设计!$B$23:$U$23,0)))*(VLOOKUP($B175,INDIRECT($B$5&amp;"生成成长"),3))*(VLOOKUP($B$5,标准坦克设计!$B$14:$K$20,9)/30))</f>
        <v>0.89815947547338915</v>
      </c>
      <c r="G175" s="173">
        <f ca="1">(VLOOKUP(G$72,INDIRECT($C$5&amp;"生成成长"),2))/((VLOOKUP($B175,INDIRECT($B$5&amp;"生成成长"),4))/(VLOOKUP(G$72,INDIRECT($C$5&amp;"生成成长"),5))*(VLOOKUP($B$5,标准坦克设计!$B$24:$U$30,MATCH("对"&amp;LEFT($C$5,2)&amp;"输出",标准坦克设计!$B$23:$U$23,0)))*(VLOOKUP($B175,INDIRECT($B$5&amp;"生成成长"),3))*(VLOOKUP($B$5,标准坦克设计!$B$14:$K$20,9)/30))</f>
        <v>0.99181988615906569</v>
      </c>
      <c r="H175" s="173">
        <f ca="1">(VLOOKUP(H$72,INDIRECT($C$5&amp;"生成成长"),2))/((VLOOKUP($B175,INDIRECT($B$5&amp;"生成成长"),4))/(VLOOKUP(H$72,INDIRECT($C$5&amp;"生成成长"),5))*(VLOOKUP($B$5,标准坦克设计!$B$24:$U$30,MATCH("对"&amp;LEFT($C$5,2)&amp;"输出",标准坦克设计!$B$23:$U$23,0)))*(VLOOKUP($B175,INDIRECT($B$5&amp;"生成成长"),3))*(VLOOKUP($B$5,标准坦克设计!$B$14:$K$20,9)/30))</f>
        <v>0.86797140921932803</v>
      </c>
      <c r="I175" s="173">
        <f ca="1">(VLOOKUP(I$72,INDIRECT($C$5&amp;"生成成长"),2))/((VLOOKUP($B175,INDIRECT($B$5&amp;"生成成长"),4))/(VLOOKUP(I$72,INDIRECT($C$5&amp;"生成成长"),5))*(VLOOKUP($B$5,标准坦克设计!$B$24:$U$30,MATCH("对"&amp;LEFT($C$5,2)&amp;"输出",标准坦克设计!$B$23:$U$23,0)))*(VLOOKUP($B175,INDIRECT($B$5&amp;"生成成长"),3))*(VLOOKUP($B$5,标准坦克设计!$B$14:$K$20,9)/30))</f>
        <v>0.99181988615906569</v>
      </c>
      <c r="J175" s="173">
        <f ca="1">(VLOOKUP(J$72,INDIRECT($C$5&amp;"生成成长"),2))/((VLOOKUP($B175,INDIRECT($B$5&amp;"生成成长"),4))/(VLOOKUP(J$72,INDIRECT($C$5&amp;"生成成长"),5))*(VLOOKUP($B$5,标准坦克设计!$B$24:$U$30,MATCH("对"&amp;LEFT($C$5,2)&amp;"输出",标准坦克设计!$B$23:$U$23,0)))*(VLOOKUP($B175,INDIRECT($B$5&amp;"生成成长"),3))*(VLOOKUP($B$5,标准坦克设计!$B$14:$K$20,9)/30))</f>
        <v>1.1239249282281192</v>
      </c>
      <c r="K175" s="173">
        <f ca="1">(VLOOKUP(K$72,INDIRECT($C$5&amp;"生成成长"),2))/((VLOOKUP($B175,INDIRECT($B$5&amp;"生成成长"),4))/(VLOOKUP(K$72,INDIRECT($C$5&amp;"生成成长"),5))*(VLOOKUP($B$5,标准坦克设计!$B$24:$U$30,MATCH("对"&amp;LEFT($C$5,2)&amp;"输出",标准坦克设计!$B$23:$U$23,0)))*(VLOOKUP($B175,INDIRECT($B$5&amp;"生成成长"),3))*(VLOOKUP($B$5,标准坦克设计!$B$14:$K$20,9)/30))</f>
        <v>1.2642865354264885</v>
      </c>
      <c r="L175" s="173">
        <f ca="1">(VLOOKUP(L$72,INDIRECT($C$5&amp;"生成成长"),2))/((VLOOKUP($B175,INDIRECT($B$5&amp;"生成成长"),4))/(VLOOKUP(L$72,INDIRECT($C$5&amp;"生成成长"),5))*(VLOOKUP($B$5,标准坦克设计!$B$24:$U$30,MATCH("对"&amp;LEFT($C$5,2)&amp;"输出",标准坦克设计!$B$23:$U$23,0)))*(VLOOKUP($B175,INDIRECT($B$5&amp;"生成成长"),3))*(VLOOKUP($B$5,标准坦克设计!$B$14:$K$20,9)/30))</f>
        <v>1.4129047077541736</v>
      </c>
      <c r="M175" s="173">
        <f ca="1">(VLOOKUP(M$72,INDIRECT($C$5&amp;"生成成长"),2))/((VLOOKUP($B175,INDIRECT($B$5&amp;"生成成长"),4))/(VLOOKUP(M$72,INDIRECT($C$5&amp;"生成成长"),5))*(VLOOKUP($B$5,标准坦克设计!$B$24:$U$30,MATCH("对"&amp;LEFT($C$5,2)&amp;"输出",标准坦克设计!$B$23:$U$23,0)))*(VLOOKUP($B175,INDIRECT($B$5&amp;"生成成长"),3))*(VLOOKUP($B$5,标准坦克设计!$B$14:$K$20,9)/30))</f>
        <v>1.5697794452111746</v>
      </c>
      <c r="N175" s="173">
        <f ca="1">(VLOOKUP(N$72,INDIRECT($C$5&amp;"生成成长"),2))/((VLOOKUP($B175,INDIRECT($B$5&amp;"生成成长"),4))/(VLOOKUP(N$72,INDIRECT($C$5&amp;"生成成长"),5))*(VLOOKUP($B$5,标准坦克设计!$B$24:$U$30,MATCH("对"&amp;LEFT($C$5,2)&amp;"输出",标准坦克设计!$B$23:$U$23,0)))*(VLOOKUP($B175,INDIRECT($B$5&amp;"生成成长"),3))*(VLOOKUP($B$5,标准坦克设计!$B$14:$K$20,9)/30))</f>
        <v>1.7349107477974914</v>
      </c>
      <c r="O175" s="173">
        <f ca="1">(VLOOKUP(O$72,INDIRECT($C$5&amp;"生成成长"),2))/((VLOOKUP($B175,INDIRECT($B$5&amp;"生成成长"),4))/(VLOOKUP(O$72,INDIRECT($C$5&amp;"生成成长"),5))*(VLOOKUP($B$5,标准坦克设计!$B$24:$U$30,MATCH("对"&amp;LEFT($C$5,2)&amp;"输出",标准坦克设计!$B$23:$U$23,0)))*(VLOOKUP($B175,INDIRECT($B$5&amp;"生成成长"),3))*(VLOOKUP($B$5,标准坦克设计!$B$14:$K$20,9)/30))</f>
        <v>1.3190507838232786</v>
      </c>
      <c r="P175" s="173">
        <f ca="1">(VLOOKUP(P$72,INDIRECT($C$5&amp;"生成成长"),2))/((VLOOKUP($B175,INDIRECT($B$5&amp;"生成成长"),4))/(VLOOKUP(P$72,INDIRECT($C$5&amp;"生成成长"),5))*(VLOOKUP($B$5,标准坦克设计!$B$24:$U$30,MATCH("对"&amp;LEFT($C$5,2)&amp;"输出",标准坦克设计!$B$23:$U$23,0)))*(VLOOKUP($B175,INDIRECT($B$5&amp;"生成成长"),3))*(VLOOKUP($B$5,标准坦克设计!$B$14:$K$20,9)/30))</f>
        <v>1.4903100058415097</v>
      </c>
      <c r="Q175" s="173">
        <f ca="1">(VLOOKUP(Q$72,INDIRECT($C$5&amp;"生成成长"),2))/((VLOOKUP($B175,INDIRECT($B$5&amp;"生成成长"),4))/(VLOOKUP(Q$72,INDIRECT($C$5&amp;"生成成长"),5))*(VLOOKUP($B$5,标准坦克设计!$B$24:$U$30,MATCH("对"&amp;LEFT($C$5,2)&amp;"输出",标准坦克设计!$B$23:$U$23,0)))*(VLOOKUP($B175,INDIRECT($B$5&amp;"生成成长"),3))*(VLOOKUP($B$5,标准坦克设计!$B$14:$K$20,9)/30))</f>
        <v>1.6720189431015311</v>
      </c>
      <c r="R175" s="173">
        <f ca="1">(VLOOKUP(R$72,INDIRECT($C$5&amp;"生成成长"),2))/((VLOOKUP($B175,INDIRECT($B$5&amp;"生成成长"),4))/(VLOOKUP(R$72,INDIRECT($C$5&amp;"生成成长"),5))*(VLOOKUP($B$5,标准坦克设计!$B$24:$U$30,MATCH("对"&amp;LEFT($C$5,2)&amp;"输出",标准坦克设计!$B$23:$U$23,0)))*(VLOOKUP($B175,INDIRECT($B$5&amp;"生成成长"),3))*(VLOOKUP($B$5,标准坦克设计!$B$14:$K$20,9)/30))</f>
        <v>1.8641775956033426</v>
      </c>
      <c r="S175" s="173">
        <f ca="1">(VLOOKUP(S$72,INDIRECT($C$5&amp;"生成成长"),2))/((VLOOKUP($B175,INDIRECT($B$5&amp;"生成成长"),4))/(VLOOKUP(S$72,INDIRECT($C$5&amp;"生成成长"),5))*(VLOOKUP($B$5,标准坦克设计!$B$24:$U$30,MATCH("对"&amp;LEFT($C$5,2)&amp;"输出",标准坦克设计!$B$23:$U$23,0)))*(VLOOKUP($B175,INDIRECT($B$5&amp;"生成成长"),3))*(VLOOKUP($B$5,标准坦克设计!$B$14:$K$20,9)/30))</f>
        <v>2.0667859633469448</v>
      </c>
      <c r="T175" s="173">
        <f ca="1">(VLOOKUP(T$72,INDIRECT($C$5&amp;"生成成长"),2))/((VLOOKUP($B175,INDIRECT($B$5&amp;"生成成长"),4))/(VLOOKUP(T$72,INDIRECT($C$5&amp;"生成成长"),5))*(VLOOKUP($B$5,标准坦克设计!$B$24:$U$30,MATCH("对"&amp;LEFT($C$5,2)&amp;"输出",标准坦克设计!$B$23:$U$23,0)))*(VLOOKUP($B175,INDIRECT($B$5&amp;"生成成长"),3))*(VLOOKUP($B$5,标准坦克设计!$B$14:$K$20,9)/30))</f>
        <v>2.2798440463323368</v>
      </c>
      <c r="U175" s="173">
        <f ca="1">(VLOOKUP(U$72,INDIRECT($C$5&amp;"生成成长"),2))/((VLOOKUP($B175,INDIRECT($B$5&amp;"生成成长"),4))/(VLOOKUP(U$72,INDIRECT($C$5&amp;"生成成长"),5))*(VLOOKUP($B$5,标准坦克设计!$B$24:$U$30,MATCH("对"&amp;LEFT($C$5,2)&amp;"输出",标准坦克设计!$B$23:$U$23,0)))*(VLOOKUP($B175,INDIRECT($B$5&amp;"生成成长"),3))*(VLOOKUP($B$5,标准坦克设计!$B$14:$K$20,9)/30))</f>
        <v>2.5033518445595195</v>
      </c>
      <c r="V175" s="173">
        <f ca="1">(VLOOKUP(V$72,INDIRECT($C$5&amp;"生成成长"),2))/((VLOOKUP($B175,INDIRECT($B$5&amp;"生成成长"),4))/(VLOOKUP(V$72,INDIRECT($C$5&amp;"生成成长"),5))*(VLOOKUP($B$5,标准坦克设计!$B$24:$U$30,MATCH("对"&amp;LEFT($C$5,2)&amp;"输出",标准坦克设计!$B$23:$U$23,0)))*(VLOOKUP($B175,INDIRECT($B$5&amp;"生成成长"),3))*(VLOOKUP($B$5,标准坦克设计!$B$14:$K$20,9)/30))</f>
        <v>2.7373093580284933</v>
      </c>
      <c r="W175" s="173">
        <f ca="1">(VLOOKUP(W$72,INDIRECT($C$5&amp;"生成成长"),2))/((VLOOKUP($B175,INDIRECT($B$5&amp;"生成成长"),4))/(VLOOKUP(W$72,INDIRECT($C$5&amp;"生成成长"),5))*(VLOOKUP($B$5,标准坦克设计!$B$24:$U$30,MATCH("对"&amp;LEFT($C$5,2)&amp;"输出",标准坦克设计!$B$23:$U$23,0)))*(VLOOKUP($B175,INDIRECT($B$5&amp;"生成成长"),3))*(VLOOKUP($B$5,标准坦克设计!$B$14:$K$20,9)/30))</f>
        <v>2.9817165867392563</v>
      </c>
      <c r="X175" s="173">
        <f ca="1">(VLOOKUP(X$72,INDIRECT($C$5&amp;"生成成长"),2))/((VLOOKUP($B175,INDIRECT($B$5&amp;"生成成长"),4))/(VLOOKUP(X$72,INDIRECT($C$5&amp;"生成成长"),5))*(VLOOKUP($B$5,标准坦克设计!$B$24:$U$30,MATCH("对"&amp;LEFT($C$5,2)&amp;"输出",标准坦克设计!$B$23:$U$23,0)))*(VLOOKUP($B175,INDIRECT($B$5&amp;"生成成长"),3))*(VLOOKUP($B$5,标准坦克设计!$B$14:$K$20,9)/30))</f>
        <v>2.1601883563723305</v>
      </c>
      <c r="Y175" s="173">
        <f ca="1">(VLOOKUP(Y$72,INDIRECT($C$5&amp;"生成成长"),2))/((VLOOKUP($B175,INDIRECT($B$5&amp;"生成成长"),4))/(VLOOKUP(Y$72,INDIRECT($C$5&amp;"生成成长"),5))*(VLOOKUP($B$5,标准坦克设计!$B$24:$U$30,MATCH("对"&amp;LEFT($C$5,2)&amp;"输出",标准坦克设计!$B$23:$U$23,0)))*(VLOOKUP($B175,INDIRECT($B$5&amp;"生成成长"),3))*(VLOOKUP($B$5,标准坦克设计!$B$14:$K$20,9)/30))</f>
        <v>2.402724957045983</v>
      </c>
      <c r="Z175" s="173">
        <f ca="1">(VLOOKUP(Z$72,INDIRECT($C$5&amp;"生成成长"),2))/((VLOOKUP($B175,INDIRECT($B$5&amp;"生成成长"),4))/(VLOOKUP(Z$72,INDIRECT($C$5&amp;"生成成长"),5))*(VLOOKUP($B$5,标准坦克设计!$B$24:$U$30,MATCH("对"&amp;LEFT($C$5,2)&amp;"输出",标准坦克设计!$B$23:$U$23,0)))*(VLOOKUP($B175,INDIRECT($B$5&amp;"生成成长"),3))*(VLOOKUP($B$5,标准坦克设计!$B$14:$K$20,9)/30))</f>
        <v>2.6581624407341917</v>
      </c>
      <c r="AA175" s="173">
        <f ca="1">(VLOOKUP(AA$72,INDIRECT($C$5&amp;"生成成长"),2))/((VLOOKUP($B175,INDIRECT($B$5&amp;"生成成长"),4))/(VLOOKUP(AA$72,INDIRECT($C$5&amp;"生成成长"),5))*(VLOOKUP($B$5,标准坦克设计!$B$24:$U$30,MATCH("对"&amp;LEFT($C$5,2)&amp;"输出",标准坦克设计!$B$23:$U$23,0)))*(VLOOKUP($B175,INDIRECT($B$5&amp;"生成成长"),3))*(VLOOKUP($B$5,标准坦克设计!$B$14:$K$20,9)/30))</f>
        <v>2.9265008074369563</v>
      </c>
      <c r="AB175" s="173">
        <f ca="1">(VLOOKUP(AB$72,INDIRECT($C$5&amp;"生成成长"),2))/((VLOOKUP($B175,INDIRECT($B$5&amp;"生成成长"),4))/(VLOOKUP(AB$72,INDIRECT($C$5&amp;"生成成长"),5))*(VLOOKUP($B$5,标准坦克设计!$B$24:$U$30,MATCH("对"&amp;LEFT($C$5,2)&amp;"输出",标准坦克设计!$B$23:$U$23,0)))*(VLOOKUP($B175,INDIRECT($B$5&amp;"生成成长"),3))*(VLOOKUP($B$5,标准坦克设计!$B$14:$K$20,9)/30))</f>
        <v>3.2077400571542776</v>
      </c>
      <c r="AC175" s="173">
        <f ca="1">(VLOOKUP(AC$72,INDIRECT($C$5&amp;"生成成长"),2))/((VLOOKUP($B175,INDIRECT($B$5&amp;"生成成长"),4))/(VLOOKUP(AC$72,INDIRECT($C$5&amp;"生成成长"),5))*(VLOOKUP($B$5,标准坦克设计!$B$24:$U$30,MATCH("对"&amp;LEFT($C$5,2)&amp;"输出",标准坦克设计!$B$23:$U$23,0)))*(VLOOKUP($B175,INDIRECT($B$5&amp;"生成成长"),3))*(VLOOKUP($B$5,标准坦克设计!$B$14:$K$20,9)/30))</f>
        <v>3.5018801898861542</v>
      </c>
      <c r="AD175" s="173">
        <f ca="1">(VLOOKUP(AD$72,INDIRECT($C$5&amp;"生成成长"),2))/((VLOOKUP($B175,INDIRECT($B$5&amp;"生成成长"),4))/(VLOOKUP(AD$72,INDIRECT($C$5&amp;"生成成长"),5))*(VLOOKUP($B$5,标准坦克设计!$B$24:$U$30,MATCH("对"&amp;LEFT($C$5,2)&amp;"输出",标准坦克设计!$B$23:$U$23,0)))*(VLOOKUP($B175,INDIRECT($B$5&amp;"生成成长"),3))*(VLOOKUP($B$5,标准坦克设计!$B$14:$K$20,9)/30))</f>
        <v>3.8089212056325881</v>
      </c>
      <c r="AE175" s="173">
        <f ca="1">(VLOOKUP(AE$72,INDIRECT($C$5&amp;"生成成长"),2))/((VLOOKUP($B175,INDIRECT($B$5&amp;"生成成长"),4))/(VLOOKUP(AE$72,INDIRECT($C$5&amp;"生成成长"),5))*(VLOOKUP($B$5,标准坦克设计!$B$24:$U$30,MATCH("对"&amp;LEFT($C$5,2)&amp;"输出",标准坦克设计!$B$23:$U$23,0)))*(VLOOKUP($B175,INDIRECT($B$5&amp;"生成成长"),3))*(VLOOKUP($B$5,标准坦克设计!$B$14:$K$20,9)/30))</f>
        <v>4.1288631043935764</v>
      </c>
      <c r="AF175" s="173">
        <f ca="1">(VLOOKUP(AF$72,INDIRECT($C$5&amp;"生成成长"),2))/((VLOOKUP($B175,INDIRECT($B$5&amp;"生成成长"),4))/(VLOOKUP(AF$72,INDIRECT($C$5&amp;"生成成长"),5))*(VLOOKUP($B$5,标准坦克设计!$B$24:$U$30,MATCH("对"&amp;LEFT($C$5,2)&amp;"输出",标准坦克设计!$B$23:$U$23,0)))*(VLOOKUP($B175,INDIRECT($B$5&amp;"生成成长"),3))*(VLOOKUP($B$5,标准坦克设计!$B$14:$K$20,9)/30))</f>
        <v>4.4617058861691214</v>
      </c>
      <c r="AG175" s="173">
        <f ca="1">(VLOOKUP(AG$72,INDIRECT($C$5&amp;"生成成长"),2))/((VLOOKUP($B175,INDIRECT($B$5&amp;"生成成长"),4))/(VLOOKUP(AG$72,INDIRECT($C$5&amp;"生成成长"),5))*(VLOOKUP($B$5,标准坦克设计!$B$24:$U$30,MATCH("对"&amp;LEFT($C$5,2)&amp;"输出",标准坦克设计!$B$23:$U$23,0)))*(VLOOKUP($B175,INDIRECT($B$5&amp;"生成成长"),3))*(VLOOKUP($B$5,标准坦克设计!$B$14:$K$20,9)/30))</f>
        <v>4.8074495509592223</v>
      </c>
      <c r="AH175" s="173">
        <f ca="1">(VLOOKUP(AH$72,INDIRECT($C$5&amp;"生成成长"),2))/((VLOOKUP($B175,INDIRECT($B$5&amp;"生成成长"),4))/(VLOOKUP(AH$72,INDIRECT($C$5&amp;"生成成长"),5))*(VLOOKUP($B$5,标准坦克设计!$B$24:$U$30,MATCH("对"&amp;LEFT($C$5,2)&amp;"输出",标准坦克设计!$B$23:$U$23,0)))*(VLOOKUP($B175,INDIRECT($B$5&amp;"生成成长"),3))*(VLOOKUP($B$5,标准坦克设计!$B$14:$K$20,9)/30))</f>
        <v>5.166094098763879</v>
      </c>
      <c r="AI175" s="173">
        <f ca="1">(VLOOKUP(AI$72,INDIRECT($C$5&amp;"生成成长"),2))/((VLOOKUP($B175,INDIRECT($B$5&amp;"生成成长"),4))/(VLOOKUP(AI$72,INDIRECT($C$5&amp;"生成成长"),5))*(VLOOKUP($B$5,标准坦克设计!$B$24:$U$30,MATCH("对"&amp;LEFT($C$5,2)&amp;"输出",标准坦克设计!$B$23:$U$23,0)))*(VLOOKUP($B175,INDIRECT($B$5&amp;"生成成长"),3))*(VLOOKUP($B$5,标准坦克设计!$B$14:$K$20,9)/30))</f>
        <v>3.6537880873825519</v>
      </c>
      <c r="AJ175" s="173">
        <f ca="1">(VLOOKUP(AJ$72,INDIRECT($C$5&amp;"生成成长"),2))/((VLOOKUP($B175,INDIRECT($B$5&amp;"生成成长"),4))/(VLOOKUP(AJ$72,INDIRECT($C$5&amp;"生成成长"),5))*(VLOOKUP($B$5,标准坦克设计!$B$24:$U$30,MATCH("对"&amp;LEFT($C$5,2)&amp;"输出",标准坦克设计!$B$23:$U$23,0)))*(VLOOKUP($B175,INDIRECT($B$5&amp;"生成成长"),3))*(VLOOKUP($B$5,标准坦克设计!$B$14:$K$20,9)/30))</f>
        <v>3.9993382389274346</v>
      </c>
      <c r="AK175" s="173">
        <f ca="1">(VLOOKUP(AK$72,INDIRECT($C$5&amp;"生成成长"),2))/((VLOOKUP($B175,INDIRECT($B$5&amp;"生成成长"),4))/(VLOOKUP(AK$72,INDIRECT($C$5&amp;"生成成长"),5))*(VLOOKUP($B$5,标准坦克设计!$B$24:$U$30,MATCH("对"&amp;LEFT($C$5,2)&amp;"输出",标准坦克设计!$B$23:$U$23,0)))*(VLOOKUP($B175,INDIRECT($B$5&amp;"生成成长"),3))*(VLOOKUP($B$5,标准坦克设计!$B$14:$K$20,9)/30))</f>
        <v>4.3604984589199294</v>
      </c>
      <c r="AL175" s="173">
        <f ca="1">(VLOOKUP(AL$72,INDIRECT($C$5&amp;"生成成长"),2))/((VLOOKUP($B175,INDIRECT($B$5&amp;"生成成长"),4))/(VLOOKUP(AL$72,INDIRECT($C$5&amp;"生成成长"),5))*(VLOOKUP($B$5,标准坦克设计!$B$24:$U$30,MATCH("对"&amp;LEFT($C$5,2)&amp;"输出",标准坦克设计!$B$23:$U$23,0)))*(VLOOKUP($B175,INDIRECT($B$5&amp;"生成成长"),3))*(VLOOKUP($B$5,标准坦克设计!$B$14:$K$20,9)/30))</f>
        <v>4.7372687473600381</v>
      </c>
      <c r="AM175" s="173">
        <f ca="1">(VLOOKUP(AM$72,INDIRECT($C$5&amp;"生成成长"),2))/((VLOOKUP($B175,INDIRECT($B$5&amp;"生成成长"),4))/(VLOOKUP(AM$72,INDIRECT($C$5&amp;"生成成长"),5))*(VLOOKUP($B$5,标准坦克设计!$B$24:$U$30,MATCH("对"&amp;LEFT($C$5,2)&amp;"输出",标准坦克设计!$B$23:$U$23,0)))*(VLOOKUP($B175,INDIRECT($B$5&amp;"生成成长"),3))*(VLOOKUP($B$5,标准坦克设计!$B$14:$K$20,9)/30))</f>
        <v>5.1296491042477586</v>
      </c>
      <c r="AN175" s="173">
        <f ca="1">(VLOOKUP(AN$72,INDIRECT($C$5&amp;"生成成长"),2))/((VLOOKUP($B175,INDIRECT($B$5&amp;"生成成长"),4))/(VLOOKUP(AN$72,INDIRECT($C$5&amp;"生成成长"),5))*(VLOOKUP($B$5,标准坦克设计!$B$24:$U$30,MATCH("对"&amp;LEFT($C$5,2)&amp;"输出",标准坦克设计!$B$23:$U$23,0)))*(VLOOKUP($B175,INDIRECT($B$5&amp;"生成成长"),3))*(VLOOKUP($B$5,标准坦克设计!$B$14:$K$20,9)/30))</f>
        <v>5.5376395295830925</v>
      </c>
      <c r="AO175" s="173">
        <f ca="1">(VLOOKUP(AO$72,INDIRECT($C$5&amp;"生成成长"),2))/((VLOOKUP($B175,INDIRECT($B$5&amp;"生成成长"),4))/(VLOOKUP(AO$72,INDIRECT($C$5&amp;"生成成长"),5))*(VLOOKUP($B$5,标准坦克设计!$B$24:$U$30,MATCH("对"&amp;LEFT($C$5,2)&amp;"输出",标准坦克设计!$B$23:$U$23,0)))*(VLOOKUP($B175,INDIRECT($B$5&amp;"生成成长"),3))*(VLOOKUP($B$5,标准坦克设计!$B$14:$K$20,9)/30))</f>
        <v>5.961240023366039</v>
      </c>
      <c r="AP175" s="173">
        <f ca="1">(VLOOKUP(AP$72,INDIRECT($C$5&amp;"生成成长"),2))/((VLOOKUP($B175,INDIRECT($B$5&amp;"生成成长"),4))/(VLOOKUP(AP$72,INDIRECT($C$5&amp;"生成成长"),5))*(VLOOKUP($B$5,标准坦克设计!$B$24:$U$30,MATCH("对"&amp;LEFT($C$5,2)&amp;"输出",标准坦克设计!$B$23:$U$23,0)))*(VLOOKUP($B175,INDIRECT($B$5&amp;"生成成长"),3))*(VLOOKUP($B$5,标准坦克设计!$B$14:$K$20,9)/30))</f>
        <v>6.4004505855965972</v>
      </c>
      <c r="AQ175" s="173">
        <f ca="1">(VLOOKUP(AQ$72,INDIRECT($C$5&amp;"生成成长"),2))/((VLOOKUP($B175,INDIRECT($B$5&amp;"生成成长"),4))/(VLOOKUP(AQ$72,INDIRECT($C$5&amp;"生成成长"),5))*(VLOOKUP($B$5,标准坦克设计!$B$24:$U$30,MATCH("对"&amp;LEFT($C$5,2)&amp;"输出",标准坦克设计!$B$23:$U$23,0)))*(VLOOKUP($B175,INDIRECT($B$5&amp;"生成成长"),3))*(VLOOKUP($B$5,标准坦克设计!$B$14:$K$20,9)/30))</f>
        <v>6.8552712162747698</v>
      </c>
      <c r="AR175" s="173">
        <f ca="1">(VLOOKUP(AR$72,INDIRECT($C$5&amp;"生成成长"),2))/((VLOOKUP($B175,INDIRECT($B$5&amp;"生成成长"),4))/(VLOOKUP(AR$72,INDIRECT($C$5&amp;"生成成长"),5))*(VLOOKUP($B$5,标准坦克设计!$B$24:$U$30,MATCH("对"&amp;LEFT($C$5,2)&amp;"输出",标准坦克设计!$B$23:$U$23,0)))*(VLOOKUP($B175,INDIRECT($B$5&amp;"生成成长"),3))*(VLOOKUP($B$5,标准坦克设计!$B$14:$K$20,9)/30))</f>
        <v>7.3257019154005549</v>
      </c>
      <c r="AS175" s="173">
        <f ca="1">(VLOOKUP(AS$72,INDIRECT($C$5&amp;"生成成长"),2))/((VLOOKUP($B175,INDIRECT($B$5&amp;"生成成长"),4))/(VLOOKUP(AS$72,INDIRECT($C$5&amp;"生成成长"),5))*(VLOOKUP($B$5,标准坦克设计!$B$24:$U$30,MATCH("对"&amp;LEFT($C$5,2)&amp;"输出",标准坦克设计!$B$23:$U$23,0)))*(VLOOKUP($B175,INDIRECT($B$5&amp;"生成成长"),3))*(VLOOKUP($B$5,标准坦克设计!$B$14:$K$20,9)/30))</f>
        <v>7.8117426829739509</v>
      </c>
      <c r="AT175" s="173">
        <f ca="1">(VLOOKUP(AT$72,INDIRECT($C$5&amp;"生成成长"),2))/((VLOOKUP($B175,INDIRECT($B$5&amp;"生成成长"),4))/(VLOOKUP(AT$72,INDIRECT($C$5&amp;"生成成长"),5))*(VLOOKUP($B$5,标准坦克设计!$B$24:$U$30,MATCH("对"&amp;LEFT($C$5,2)&amp;"输出",标准坦克设计!$B$23:$U$23,0)))*(VLOOKUP($B175,INDIRECT($B$5&amp;"生成成长"),3))*(VLOOKUP($B$5,标准坦克设计!$B$14:$K$20,9)/30))</f>
        <v>8.3133935189949622</v>
      </c>
      <c r="AU175" s="173">
        <f ca="1">(VLOOKUP(AU$72,INDIRECT($C$5&amp;"生成成长"),2))/((VLOOKUP($B175,INDIRECT($B$5&amp;"生成成长"),4))/(VLOOKUP(AU$72,INDIRECT($C$5&amp;"生成成长"),5))*(VLOOKUP($B$5,标准坦克设计!$B$24:$U$30,MATCH("对"&amp;LEFT($C$5,2)&amp;"输出",标准坦克设计!$B$23:$U$23,0)))*(VLOOKUP($B175,INDIRECT($B$5&amp;"生成成长"),3))*(VLOOKUP($B$5,标准坦克设计!$B$14:$K$20,9)/30))</f>
        <v>8.8306544234635833</v>
      </c>
      <c r="AV175" s="173">
        <f ca="1">(VLOOKUP(AV$72,INDIRECT($C$5&amp;"生成成长"),2))/((VLOOKUP($B175,INDIRECT($B$5&amp;"生成成长"),4))/(VLOOKUP(AV$72,INDIRECT($C$5&amp;"生成成长"),5))*(VLOOKUP($B$5,标准坦克设计!$B$24:$U$30,MATCH("对"&amp;LEFT($C$5,2)&amp;"输出",标准坦克设计!$B$23:$U$23,0)))*(VLOOKUP($B175,INDIRECT($B$5&amp;"生成成长"),3))*(VLOOKUP($B$5,标准坦克设计!$B$14:$K$20,9)/30))</f>
        <v>0.89815947547338915</v>
      </c>
      <c r="AW175" s="173">
        <f ca="1">(VLOOKUP(AW$72,INDIRECT($C$5&amp;"生成成长"),2))/((VLOOKUP($B175,INDIRECT($B$5&amp;"生成成长"),4))/(VLOOKUP(AW$72,INDIRECT($C$5&amp;"生成成长"),5))*(VLOOKUP($B$5,标准坦克设计!$B$24:$U$30,MATCH("对"&amp;LEFT($C$5,2)&amp;"输出",标准坦克设计!$B$23:$U$23,0)))*(VLOOKUP($B175,INDIRECT($B$5&amp;"生成成长"),3))*(VLOOKUP($B$5,标准坦克设计!$B$14:$K$20,9)/30))</f>
        <v>1.0240720936954557</v>
      </c>
      <c r="AX175" s="173">
        <f ca="1">(VLOOKUP(AX$72,INDIRECT($C$5&amp;"生成成长"),2))/((VLOOKUP($B175,INDIRECT($B$5&amp;"生成成长"),4))/(VLOOKUP(AX$72,INDIRECT($C$5&amp;"生成成长"),5))*(VLOOKUP($B$5,标准坦克设计!$B$24:$U$30,MATCH("对"&amp;LEFT($C$5,2)&amp;"输出",标准坦克设计!$B$23:$U$23,0)))*(VLOOKUP($B175,INDIRECT($B$5&amp;"生成成长"),3))*(VLOOKUP($B$5,标准坦克设计!$B$14:$K$20,9)/30))</f>
        <v>1.158241277046838</v>
      </c>
      <c r="AY175" s="173">
        <f ca="1">(VLOOKUP(AY$72,INDIRECT($C$5&amp;"生成成长"),2))/((VLOOKUP($B175,INDIRECT($B$5&amp;"生成成长"),4))/(VLOOKUP(AY$72,INDIRECT($C$5&amp;"生成成长"),5))*(VLOOKUP($B$5,标准坦克设计!$B$24:$U$30,MATCH("对"&amp;LEFT($C$5,2)&amp;"输出",标准坦克设计!$B$23:$U$23,0)))*(VLOOKUP($B175,INDIRECT($B$5&amp;"生成成长"),3))*(VLOOKUP($B$5,标准坦克设计!$B$14:$K$20,9)/30))</f>
        <v>1.3006670255275363</v>
      </c>
      <c r="AZ175" s="173">
        <f ca="1">(VLOOKUP(AZ$72,INDIRECT($C$5&amp;"生成成长"),2))/((VLOOKUP($B175,INDIRECT($B$5&amp;"生成成长"),4))/(VLOOKUP(AZ$72,INDIRECT($C$5&amp;"生成成长"),5))*(VLOOKUP($B$5,标准坦克设计!$B$24:$U$30,MATCH("对"&amp;LEFT($C$5,2)&amp;"输出",标准坦克设计!$B$23:$U$23,0)))*(VLOOKUP($B175,INDIRECT($B$5&amp;"生成成长"),3))*(VLOOKUP($B$5,标准坦克设计!$B$14:$K$20,9)/30))</f>
        <v>1.4513493391375505</v>
      </c>
      <c r="BA175" s="173">
        <f ca="1">(VLOOKUP(BA$72,INDIRECT($C$5&amp;"生成成长"),2))/((VLOOKUP($B175,INDIRECT($B$5&amp;"生成成长"),4))/(VLOOKUP(BA$72,INDIRECT($C$5&amp;"生成成长"),5))*(VLOOKUP($B$5,标准坦克设计!$B$24:$U$30,MATCH("对"&amp;LEFT($C$5,2)&amp;"输出",标准坦克设计!$B$23:$U$23,0)))*(VLOOKUP($B175,INDIRECT($B$5&amp;"生成成长"),3))*(VLOOKUP($B$5,标准坦克设计!$B$14:$K$20,9)/30))</f>
        <v>1.6102882178768805</v>
      </c>
      <c r="BB175" s="173">
        <f ca="1">(VLOOKUP(BB$72,INDIRECT($C$5&amp;"生成成长"),2))/((VLOOKUP($B175,INDIRECT($B$5&amp;"生成成长"),4))/(VLOOKUP(BB$72,INDIRECT($C$5&amp;"生成成长"),5))*(VLOOKUP($B$5,标准坦克设计!$B$24:$U$30,MATCH("对"&amp;LEFT($C$5,2)&amp;"输出",标准坦克设计!$B$23:$U$23,0)))*(VLOOKUP($B175,INDIRECT($B$5&amp;"生成成长"),3))*(VLOOKUP($B$5,标准坦克设计!$B$14:$K$20,9)/30))</f>
        <v>1.7774836617455265</v>
      </c>
      <c r="BC175" s="173">
        <f ca="1">(VLOOKUP(BC$72,INDIRECT($C$5&amp;"生成成长"),2))/((VLOOKUP($B175,INDIRECT($B$5&amp;"生成成长"),4))/(VLOOKUP(BC$72,INDIRECT($C$5&amp;"生成成长"),5))*(VLOOKUP($B$5,标准坦克设计!$B$24:$U$30,MATCH("对"&amp;LEFT($C$5,2)&amp;"输出",标准坦克设计!$B$23:$U$23,0)))*(VLOOKUP($B175,INDIRECT($B$5&amp;"生成成长"),3))*(VLOOKUP($B$5,标准坦克设计!$B$14:$K$20,9)/30))</f>
        <v>1.9529356707434877</v>
      </c>
      <c r="BD175" s="173">
        <f ca="1">(VLOOKUP(BD$72,INDIRECT($C$5&amp;"生成成长"),2))/((VLOOKUP($B175,INDIRECT($B$5&amp;"生成成长"),4))/(VLOOKUP(BD$72,INDIRECT($C$5&amp;"生成成长"),5))*(VLOOKUP($B$5,标准坦克设计!$B$24:$U$30,MATCH("对"&amp;LEFT($C$5,2)&amp;"输出",标准坦克设计!$B$23:$U$23,0)))*(VLOOKUP($B175,INDIRECT($B$5&amp;"生成成长"),3))*(VLOOKUP($B$5,标准坦克设计!$B$14:$K$20,9)/30))</f>
        <v>2.1601883563723305</v>
      </c>
      <c r="BE175" s="173">
        <f ca="1">(VLOOKUP(BE$72,INDIRECT($C$5&amp;"生成成长"),2))/((VLOOKUP($B175,INDIRECT($B$5&amp;"生成成长"),4))/(VLOOKUP(BE$72,INDIRECT($C$5&amp;"生成成长"),5))*(VLOOKUP($B$5,标准坦克设计!$B$24:$U$30,MATCH("对"&amp;LEFT($C$5,2)&amp;"输出",标准坦克设计!$B$23:$U$23,0)))*(VLOOKUP($B175,INDIRECT($B$5&amp;"生成成长"),3))*(VLOOKUP($B$5,标准坦克设计!$B$14:$K$20,9)/30))</f>
        <v>2.3778907572429628</v>
      </c>
      <c r="BF175" s="173">
        <f ca="1">(VLOOKUP(BF$72,INDIRECT($C$5&amp;"生成成长"),2))/((VLOOKUP($B175,INDIRECT($B$5&amp;"生成成长"),4))/(VLOOKUP(BF$72,INDIRECT($C$5&amp;"生成成长"),5))*(VLOOKUP($B$5,标准坦克设计!$B$24:$U$30,MATCH("对"&amp;LEFT($C$5,2)&amp;"输出",标准坦克设计!$B$23:$U$23,0)))*(VLOOKUP($B175,INDIRECT($B$5&amp;"生成成长"),3))*(VLOOKUP($B$5,标准坦克设计!$B$14:$K$20,9)/30))</f>
        <v>2.6060428733553862</v>
      </c>
      <c r="BG175" s="173">
        <f ca="1">(VLOOKUP(BG$72,INDIRECT($C$5&amp;"生成成长"),2))/((VLOOKUP($B175,INDIRECT($B$5&amp;"生成成长"),4))/(VLOOKUP(BG$72,INDIRECT($C$5&amp;"生成成长"),5))*(VLOOKUP($B$5,标准坦克设计!$B$24:$U$30,MATCH("对"&amp;LEFT($C$5,2)&amp;"输出",标准坦克设计!$B$23:$U$23,0)))*(VLOOKUP($B175,INDIRECT($B$5&amp;"生成成长"),3))*(VLOOKUP($B$5,标准坦克设计!$B$14:$K$20,9)/30))</f>
        <v>2.8446447047095993</v>
      </c>
      <c r="BH175" s="173">
        <f ca="1">(VLOOKUP(BH$72,INDIRECT($C$5&amp;"生成成长"),2))/((VLOOKUP($B175,INDIRECT($B$5&amp;"生成成长"),4))/(VLOOKUP(BH$72,INDIRECT($C$5&amp;"生成成长"),5))*(VLOOKUP($B$5,标准坦克设计!$B$24:$U$30,MATCH("对"&amp;LEFT($C$5,2)&amp;"输出",标准坦克设计!$B$23:$U$23,0)))*(VLOOKUP($B175,INDIRECT($B$5&amp;"生成成长"),3))*(VLOOKUP($B$5,标准坦克设计!$B$14:$K$20,9)/30))</f>
        <v>1.3749761116913792</v>
      </c>
      <c r="BI175" s="173">
        <f ca="1">(VLOOKUP(BI$72,INDIRECT($C$5&amp;"生成成长"),2))/((VLOOKUP($B175,INDIRECT($B$5&amp;"生成成长"),4))/(VLOOKUP(BI$72,INDIRECT($C$5&amp;"生成成长"),5))*(VLOOKUP($B$5,标准坦克设计!$B$24:$U$30,MATCH("对"&amp;LEFT($C$5,2)&amp;"输出",标准坦克设计!$B$23:$U$23,0)))*(VLOOKUP($B175,INDIRECT($B$5&amp;"生成成长"),3))*(VLOOKUP($B$5,标准坦克设计!$B$14:$K$20,9)/30))</f>
        <v>1.54971857212354</v>
      </c>
      <c r="BJ175" s="173">
        <f ca="1">(VLOOKUP(BJ$72,INDIRECT($C$5&amp;"生成成长"),2))/((VLOOKUP($B175,INDIRECT($B$5&amp;"生成成长"),4))/(VLOOKUP(BJ$72,INDIRECT($C$5&amp;"生成成长"),5))*(VLOOKUP($B$5,标准坦克设计!$B$24:$U$30,MATCH("对"&amp;LEFT($C$5,2)&amp;"输出",标准坦克设计!$B$23:$U$23,0)))*(VLOOKUP($B175,INDIRECT($B$5&amp;"生成成长"),3))*(VLOOKUP($B$5,标准坦克设计!$B$14:$K$20,9)/30))</f>
        <v>1.7349107477974914</v>
      </c>
      <c r="BK175" s="173">
        <f ca="1">(VLOOKUP(BK$72,INDIRECT($C$5&amp;"生成成长"),2))/((VLOOKUP($B175,INDIRECT($B$5&amp;"生成成长"),4))/(VLOOKUP(BK$72,INDIRECT($C$5&amp;"生成成长"),5))*(VLOOKUP($B$5,标准坦克设计!$B$24:$U$30,MATCH("对"&amp;LEFT($C$5,2)&amp;"输出",标准坦克设计!$B$23:$U$23,0)))*(VLOOKUP($B175,INDIRECT($B$5&amp;"生成成长"),3))*(VLOOKUP($B$5,标准坦克设计!$B$14:$K$20,9)/30))</f>
        <v>1.9305526387132332</v>
      </c>
      <c r="BL175" s="173">
        <f ca="1">(VLOOKUP(BL$72,INDIRECT($C$5&amp;"生成成长"),2))/((VLOOKUP($B175,INDIRECT($B$5&amp;"生成成长"),4))/(VLOOKUP(BL$72,INDIRECT($C$5&amp;"生成成长"),5))*(VLOOKUP($B$5,标准坦克设计!$B$24:$U$30,MATCH("对"&amp;LEFT($C$5,2)&amp;"输出",标准坦克设计!$B$23:$U$23,0)))*(VLOOKUP($B175,INDIRECT($B$5&amp;"生成成长"),3))*(VLOOKUP($B$5,标准坦克设计!$B$14:$K$20,9)/30))</f>
        <v>2.1366442448707654</v>
      </c>
      <c r="BM175" s="173">
        <f ca="1">(VLOOKUP(BM$72,INDIRECT($C$5&amp;"生成成长"),2))/((VLOOKUP($B175,INDIRECT($B$5&amp;"生成成长"),4))/(VLOOKUP(BM$72,INDIRECT($C$5&amp;"生成成长"),5))*(VLOOKUP($B$5,标准坦克设计!$B$24:$U$30,MATCH("对"&amp;LEFT($C$5,2)&amp;"输出",标准坦克设计!$B$23:$U$23,0)))*(VLOOKUP($B175,INDIRECT($B$5&amp;"生成成长"),3))*(VLOOKUP($B$5,标准坦克设计!$B$14:$K$20,9)/30))</f>
        <v>2.3531855662700885</v>
      </c>
      <c r="BN175" s="173">
        <f ca="1">(VLOOKUP(BN$72,INDIRECT($C$5&amp;"生成成长"),2))/((VLOOKUP($B175,INDIRECT($B$5&amp;"生成成长"),4))/(VLOOKUP(BN$72,INDIRECT($C$5&amp;"生成成长"),5))*(VLOOKUP($B$5,标准坦克设计!$B$24:$U$30,MATCH("对"&amp;LEFT($C$5,2)&amp;"输出",标准坦克设计!$B$23:$U$23,0)))*(VLOOKUP($B175,INDIRECT($B$5&amp;"生成成长"),3))*(VLOOKUP($B$5,标准坦克设计!$B$14:$K$20,9)/30))</f>
        <v>2.5801766029112008</v>
      </c>
      <c r="BO175" s="173">
        <f ca="1">(VLOOKUP(BO$72,INDIRECT($C$5&amp;"生成成长"),2))/((VLOOKUP($B175,INDIRECT($B$5&amp;"生成成长"),4))/(VLOOKUP(BO$72,INDIRECT($C$5&amp;"生成成长"),5))*(VLOOKUP($B$5,标准坦克设计!$B$24:$U$30,MATCH("对"&amp;LEFT($C$5,2)&amp;"输出",标准坦克设计!$B$23:$U$23,0)))*(VLOOKUP($B175,INDIRECT($B$5&amp;"生成成长"),3))*(VLOOKUP($B$5,标准坦克设计!$B$14:$K$20,9)/30))</f>
        <v>2.8176173547941041</v>
      </c>
      <c r="BP175" s="173">
        <f ca="1">(VLOOKUP(BP$72,INDIRECT($C$5&amp;"生成成长"),2))/((VLOOKUP($B175,INDIRECT($B$5&amp;"生成成长"),4))/(VLOOKUP(BP$72,INDIRECT($C$5&amp;"生成成长"),5))*(VLOOKUP($B$5,标准坦克设计!$B$24:$U$30,MATCH("对"&amp;LEFT($C$5,2)&amp;"输出",标准坦克设计!$B$23:$U$23,0)))*(VLOOKUP($B175,INDIRECT($B$5&amp;"生成成长"),3))*(VLOOKUP($B$5,标准坦克设计!$B$14:$K$20,9)/30))</f>
        <v>3.0655078219187977</v>
      </c>
      <c r="BQ175" s="173">
        <f ca="1">(VLOOKUP(BQ$72,INDIRECT($C$5&amp;"生成成长"),2))/((VLOOKUP($B175,INDIRECT($B$5&amp;"生成成长"),4))/(VLOOKUP(BQ$72,INDIRECT($C$5&amp;"生成成长"),5))*(VLOOKUP($B$5,标准坦克设计!$B$24:$U$30,MATCH("对"&amp;LEFT($C$5,2)&amp;"输出",标准坦克设计!$B$23:$U$23,0)))*(VLOOKUP($B175,INDIRECT($B$5&amp;"生成成长"),3))*(VLOOKUP($B$5,标准坦克设计!$B$14:$K$20,9)/30))</f>
        <v>3.3238480042852818</v>
      </c>
      <c r="BR175" s="173">
        <f ca="1">(VLOOKUP(BR$72,INDIRECT($C$5&amp;"生成成长"),2))/((VLOOKUP($B175,INDIRECT($B$5&amp;"生成成长"),4))/(VLOOKUP(BR$72,INDIRECT($C$5&amp;"生成成长"),5))*(VLOOKUP($B$5,标准坦克设计!$B$24:$U$30,MATCH("对"&amp;LEFT($C$5,2)&amp;"输出",标准坦克设计!$B$23:$U$23,0)))*(VLOOKUP($B175,INDIRECT($B$5&amp;"生成成长"),3))*(VLOOKUP($B$5,标准坦克设计!$B$14:$K$20,9)/30))</f>
        <v>3.6231484902229814</v>
      </c>
      <c r="BS175" s="173">
        <f ca="1">(VLOOKUP(BS$72,INDIRECT($C$5&amp;"生成成长"),2))/((VLOOKUP($B175,INDIRECT($B$5&amp;"生成成长"),4))/(VLOOKUP(BS$72,INDIRECT($C$5&amp;"生成成长"),5))*(VLOOKUP($B$5,标准坦克设计!$B$24:$U$30,MATCH("对"&amp;LEFT($C$5,2)&amp;"输出",标准坦克设计!$B$23:$U$23,0)))*(VLOOKUP($B175,INDIRECT($B$5&amp;"生成成长"),3))*(VLOOKUP($B$5,标准坦克设计!$B$14:$K$20,9)/30))</f>
        <v>3.9353498591752358</v>
      </c>
      <c r="BT175" s="173">
        <f ca="1">(VLOOKUP(BT$72,INDIRECT($C$5&amp;"生成成长"),2))/((VLOOKUP($B175,INDIRECT($B$5&amp;"生成成长"),4))/(VLOOKUP(BT$72,INDIRECT($C$5&amp;"生成成长"),5))*(VLOOKUP($B$5,标准坦克设计!$B$24:$U$30,MATCH("对"&amp;LEFT($C$5,2)&amp;"输出",标准坦克设计!$B$23:$U$23,0)))*(VLOOKUP($B175,INDIRECT($B$5&amp;"生成成长"),3))*(VLOOKUP($B$5,标准坦克设计!$B$14:$K$20,9)/30))</f>
        <v>4.2604521111420484</v>
      </c>
      <c r="BU175" s="173">
        <f ca="1">(VLOOKUP(BU$72,INDIRECT($C$5&amp;"生成成长"),2))/((VLOOKUP($B175,INDIRECT($B$5&amp;"生成成长"),4))/(VLOOKUP(BU$72,INDIRECT($C$5&amp;"生成成长"),5))*(VLOOKUP($B$5,标准坦克设计!$B$24:$U$30,MATCH("对"&amp;LEFT($C$5,2)&amp;"输出",标准坦克设计!$B$23:$U$23,0)))*(VLOOKUP($B175,INDIRECT($B$5&amp;"生成成长"),3))*(VLOOKUP($B$5,标准坦克设计!$B$14:$K$20,9)/30))</f>
        <v>4.5984552461234145</v>
      </c>
      <c r="BV175" s="173">
        <f ca="1">(VLOOKUP(BV$72,INDIRECT($C$5&amp;"生成成长"),2))/((VLOOKUP($B175,INDIRECT($B$5&amp;"生成成长"),4))/(VLOOKUP(BV$72,INDIRECT($C$5&amp;"生成成长"),5))*(VLOOKUP($B$5,标准坦克设计!$B$24:$U$30,MATCH("对"&amp;LEFT($C$5,2)&amp;"输出",标准坦克设计!$B$23:$U$23,0)))*(VLOOKUP($B175,INDIRECT($B$5&amp;"生成成长"),3))*(VLOOKUP($B$5,标准坦克设计!$B$14:$K$20,9)/30))</f>
        <v>4.9493592641193391</v>
      </c>
      <c r="BW175" s="173">
        <f ca="1">(VLOOKUP(BW$72,INDIRECT($C$5&amp;"生成成长"),2))/((VLOOKUP($B175,INDIRECT($B$5&amp;"生成成长"),4))/(VLOOKUP(BW$72,INDIRECT($C$5&amp;"生成成长"),5))*(VLOOKUP($B$5,标准坦克设计!$B$24:$U$30,MATCH("对"&amp;LEFT($C$5,2)&amp;"输出",标准坦克设计!$B$23:$U$23,0)))*(VLOOKUP($B175,INDIRECT($B$5&amp;"生成成长"),3))*(VLOOKUP($B$5,标准坦克设计!$B$14:$K$20,9)/30))</f>
        <v>2.2556548906800447</v>
      </c>
      <c r="BX175" s="173">
        <f ca="1">(VLOOKUP(BX$72,INDIRECT($C$5&amp;"生成成长"),2))/((VLOOKUP($B175,INDIRECT($B$5&amp;"生成成长"),4))/(VLOOKUP(BX$72,INDIRECT($C$5&amp;"生成成长"),5))*(VLOOKUP($B$5,标准坦克设计!$B$24:$U$30,MATCH("对"&amp;LEFT($C$5,2)&amp;"输出",标准坦克设计!$B$23:$U$23,0)))*(VLOOKUP($B175,INDIRECT($B$5&amp;"生成成长"),3))*(VLOOKUP($B$5,标准坦克设计!$B$14:$K$20,9)/30))</f>
        <v>2.5033518445595195</v>
      </c>
      <c r="BY175" s="173">
        <f ca="1">(VLOOKUP(BY$72,INDIRECT($C$5&amp;"生成成长"),2))/((VLOOKUP($B175,INDIRECT($B$5&amp;"生成成长"),4))/(VLOOKUP(BY$72,INDIRECT($C$5&amp;"生成成长"),5))*(VLOOKUP($B$5,标准坦克设计!$B$24:$U$30,MATCH("对"&amp;LEFT($C$5,2)&amp;"输出",标准坦克设计!$B$23:$U$23,0)))*(VLOOKUP($B175,INDIRECT($B$5&amp;"生成成长"),3))*(VLOOKUP($B$5,标准坦克设计!$B$14:$K$20,9)/30))</f>
        <v>2.7639496814535516</v>
      </c>
      <c r="BZ175" s="173">
        <f ca="1">(VLOOKUP(BZ$72,INDIRECT($C$5&amp;"生成成长"),2))/((VLOOKUP($B175,INDIRECT($B$5&amp;"生成成长"),4))/(VLOOKUP(BZ$72,INDIRECT($C$5&amp;"生成成长"),5))*(VLOOKUP($B$5,标准坦克设计!$B$24:$U$30,MATCH("对"&amp;LEFT($C$5,2)&amp;"输出",标准坦克设计!$B$23:$U$23,0)))*(VLOOKUP($B175,INDIRECT($B$5&amp;"生成成长"),3))*(VLOOKUP($B$5,标准坦克设计!$B$14:$K$20,9)/30))</f>
        <v>3.0374484013621386</v>
      </c>
      <c r="CA175" s="173">
        <f ca="1">(VLOOKUP(CA$72,INDIRECT($C$5&amp;"生成成长"),2))/((VLOOKUP($B175,INDIRECT($B$5&amp;"生成成长"),4))/(VLOOKUP(CA$72,INDIRECT($C$5&amp;"生成成长"),5))*(VLOOKUP($B$5,标准坦克设计!$B$24:$U$30,MATCH("对"&amp;LEFT($C$5,2)&amp;"输出",标准坦克设计!$B$23:$U$23,0)))*(VLOOKUP($B175,INDIRECT($B$5&amp;"生成成长"),3))*(VLOOKUP($B$5,标准坦克设计!$B$14:$K$20,9)/30))</f>
        <v>3.3238480042852818</v>
      </c>
      <c r="CB175" s="173">
        <f ca="1">(VLOOKUP(CB$72,INDIRECT($C$5&amp;"生成成长"),2))/((VLOOKUP($B175,INDIRECT($B$5&amp;"生成成长"),4))/(VLOOKUP(CB$72,INDIRECT($C$5&amp;"生成成长"),5))*(VLOOKUP($B$5,标准坦克设计!$B$24:$U$30,MATCH("对"&amp;LEFT($C$5,2)&amp;"输出",标准坦克设计!$B$23:$U$23,0)))*(VLOOKUP($B175,INDIRECT($B$5&amp;"生成成长"),3))*(VLOOKUP($B$5,标准坦克设计!$B$14:$K$20,9)/30))</f>
        <v>3.6231484902229814</v>
      </c>
      <c r="CC175" s="173">
        <f ca="1">(VLOOKUP(CC$72,INDIRECT($C$5&amp;"生成成长"),2))/((VLOOKUP($B175,INDIRECT($B$5&amp;"生成成长"),4))/(VLOOKUP(CC$72,INDIRECT($C$5&amp;"生成成长"),5))*(VLOOKUP($B$5,标准坦克设计!$B$24:$U$30,MATCH("对"&amp;LEFT($C$5,2)&amp;"输出",标准坦克设计!$B$23:$U$23,0)))*(VLOOKUP($B175,INDIRECT($B$5&amp;"生成成长"),3))*(VLOOKUP($B$5,标准坦克设计!$B$14:$K$20,9)/30))</f>
        <v>3.9353498591752358</v>
      </c>
      <c r="CD175" s="173">
        <f ca="1">(VLOOKUP(CD$72,INDIRECT($C$5&amp;"生成成长"),2))/((VLOOKUP($B175,INDIRECT($B$5&amp;"生成成长"),4))/(VLOOKUP(CD$72,INDIRECT($C$5&amp;"生成成长"),5))*(VLOOKUP($B$5,标准坦克设计!$B$24:$U$30,MATCH("对"&amp;LEFT($C$5,2)&amp;"输出",标准坦克设计!$B$23:$U$23,0)))*(VLOOKUP($B175,INDIRECT($B$5&amp;"生成成长"),3))*(VLOOKUP($B$5,标准坦克设计!$B$14:$K$20,9)/30))</f>
        <v>4.2604521111420484</v>
      </c>
      <c r="CE175" s="173">
        <f ca="1">(VLOOKUP(CE$72,INDIRECT($C$5&amp;"生成成长"),2))/((VLOOKUP($B175,INDIRECT($B$5&amp;"生成成长"),4))/(VLOOKUP(CE$72,INDIRECT($C$5&amp;"生成成长"),5))*(VLOOKUP($B$5,标准坦克设计!$B$24:$U$30,MATCH("对"&amp;LEFT($C$5,2)&amp;"输出",标准坦克设计!$B$23:$U$23,0)))*(VLOOKUP($B175,INDIRECT($B$5&amp;"生成成长"),3))*(VLOOKUP($B$5,标准坦克设计!$B$14:$K$20,9)/30))</f>
        <v>4.5984552461234145</v>
      </c>
      <c r="CF175" s="173">
        <f ca="1">(VLOOKUP(CF$72,INDIRECT($C$5&amp;"生成成长"),2))/((VLOOKUP($B175,INDIRECT($B$5&amp;"生成成长"),4))/(VLOOKUP(CF$72,INDIRECT($C$5&amp;"生成成长"),5))*(VLOOKUP($B$5,标准坦克设计!$B$24:$U$30,MATCH("对"&amp;LEFT($C$5,2)&amp;"输出",标准坦克设计!$B$23:$U$23,0)))*(VLOOKUP($B175,INDIRECT($B$5&amp;"生成成长"),3))*(VLOOKUP($B$5,标准坦克设计!$B$14:$K$20,9)/30))</f>
        <v>4.9493592641193391</v>
      </c>
      <c r="CG175" s="173">
        <f ca="1">(VLOOKUP(CG$72,INDIRECT($C$5&amp;"生成成长"),2))/((VLOOKUP($B175,INDIRECT($B$5&amp;"生成成长"),4))/(VLOOKUP(CG$72,INDIRECT($C$5&amp;"生成成长"),5))*(VLOOKUP($B$5,标准坦克设计!$B$24:$U$30,MATCH("对"&amp;LEFT($C$5,2)&amp;"输出",标准坦克设计!$B$23:$U$23,0)))*(VLOOKUP($B175,INDIRECT($B$5&amp;"生成成长"),3))*(VLOOKUP($B$5,标准坦克设计!$B$14:$K$20,9)/30))</f>
        <v>5.3131641651298178</v>
      </c>
      <c r="CH175" s="173">
        <f ca="1">(VLOOKUP(CH$72,INDIRECT($C$5&amp;"生成成长"),2))/((VLOOKUP($B175,INDIRECT($B$5&amp;"生成成长"),4))/(VLOOKUP(CH$72,INDIRECT($C$5&amp;"生成成长"),5))*(VLOOKUP($B$5,标准坦克设计!$B$24:$U$30,MATCH("对"&amp;LEFT($C$5,2)&amp;"输出",标准坦克设计!$B$23:$U$23,0)))*(VLOOKUP($B175,INDIRECT($B$5&amp;"生成成长"),3))*(VLOOKUP($B$5,标准坦克设计!$B$14:$K$20,9)/30))</f>
        <v>5.6898699491548532</v>
      </c>
      <c r="CI175" s="173">
        <f ca="1">(VLOOKUP(CI$72,INDIRECT($C$5&amp;"生成成长"),2))/((VLOOKUP($B175,INDIRECT($B$5&amp;"生成成长"),4))/(VLOOKUP(CI$72,INDIRECT($C$5&amp;"生成成长"),5))*(VLOOKUP($B$5,标准坦克设计!$B$24:$U$30,MATCH("对"&amp;LEFT($C$5,2)&amp;"输出",标准坦克设计!$B$23:$U$23,0)))*(VLOOKUP($B175,INDIRECT($B$5&amp;"生成成长"),3))*(VLOOKUP($B$5,标准坦克设计!$B$14:$K$20,9)/30))</f>
        <v>6.1191468314642039</v>
      </c>
      <c r="CJ175" s="173">
        <f ca="1">(VLOOKUP(CJ$72,INDIRECT($C$5&amp;"生成成长"),2))/((VLOOKUP($B175,INDIRECT($B$5&amp;"生成成长"),4))/(VLOOKUP(CJ$72,INDIRECT($C$5&amp;"生成成长"),5))*(VLOOKUP($B$5,标准坦克设计!$B$24:$U$30,MATCH("对"&amp;LEFT($C$5,2)&amp;"输出",标准坦克设计!$B$23:$U$23,0)))*(VLOOKUP($B175,INDIRECT($B$5&amp;"生成成长"),3))*(VLOOKUP($B$5,标准坦克设计!$B$14:$K$20,9)/30))</f>
        <v>6.5640337822211663</v>
      </c>
      <c r="CK175" s="173">
        <f ca="1">(VLOOKUP(CK$72,INDIRECT($C$5&amp;"生成成长"),2))/((VLOOKUP($B175,INDIRECT($B$5&amp;"生成成长"),4))/(VLOOKUP(CK$72,INDIRECT($C$5&amp;"生成成长"),5))*(VLOOKUP($B$5,标准坦克设计!$B$24:$U$30,MATCH("对"&amp;LEFT($C$5,2)&amp;"输出",标准坦克设计!$B$23:$U$23,0)))*(VLOOKUP($B175,INDIRECT($B$5&amp;"生成成长"),3))*(VLOOKUP($B$5,标准坦克设计!$B$14:$K$20,9)/30))</f>
        <v>7.0245308014257439</v>
      </c>
      <c r="CL175" s="173">
        <f ca="1">(VLOOKUP(CL$72,INDIRECT($C$5&amp;"生成成长"),2))/((VLOOKUP($B175,INDIRECT($B$5&amp;"生成成长"),4))/(VLOOKUP(CL$72,INDIRECT($C$5&amp;"生成成长"),5))*(VLOOKUP($B$5,标准坦克设计!$B$24:$U$30,MATCH("对"&amp;LEFT($C$5,2)&amp;"输出",标准坦克设计!$B$23:$U$23,0)))*(VLOOKUP($B175,INDIRECT($B$5&amp;"生成成长"),3))*(VLOOKUP($B$5,标准坦克设计!$B$14:$K$20,9)/30))</f>
        <v>7.500637889077935</v>
      </c>
      <c r="CM175" s="173">
        <f ca="1">(VLOOKUP(CM$72,INDIRECT($C$5&amp;"生成成长"),2))/((VLOOKUP($B175,INDIRECT($B$5&amp;"生成成长"),4))/(VLOOKUP(CM$72,INDIRECT($C$5&amp;"生成成长"),5))*(VLOOKUP($B$5,标准坦克设计!$B$24:$U$30,MATCH("对"&amp;LEFT($C$5,2)&amp;"输出",标准坦克设计!$B$23:$U$23,0)))*(VLOOKUP($B175,INDIRECT($B$5&amp;"生成成长"),3))*(VLOOKUP($B$5,标准坦克设计!$B$14:$K$20,9)/30))</f>
        <v>7.9923550451777361</v>
      </c>
      <c r="CN175" s="173">
        <f ca="1">(VLOOKUP(CN$72,INDIRECT($C$5&amp;"生成成长"),2))/((VLOOKUP($B175,INDIRECT($B$5&amp;"生成成长"),4))/(VLOOKUP(CN$72,INDIRECT($C$5&amp;"生成成长"),5))*(VLOOKUP($B$5,标准坦克设计!$B$24:$U$30,MATCH("对"&amp;LEFT($C$5,2)&amp;"输出",标准坦克设计!$B$23:$U$23,0)))*(VLOOKUP($B175,INDIRECT($B$5&amp;"生成成长"),3))*(VLOOKUP($B$5,标准坦克设计!$B$14:$K$20,9)/30))</f>
        <v>8.4996822697251524</v>
      </c>
      <c r="CO175" s="173">
        <f ca="1">(VLOOKUP(CO$72,INDIRECT($C$5&amp;"生成成长"),2))/((VLOOKUP($B175,INDIRECT($B$5&amp;"生成成长"),4))/(VLOOKUP(CO$72,INDIRECT($C$5&amp;"生成成长"),5))*(VLOOKUP($B$5,标准坦克设计!$B$24:$U$30,MATCH("对"&amp;LEFT($C$5,2)&amp;"输出",标准坦克设计!$B$23:$U$23,0)))*(VLOOKUP($B175,INDIRECT($B$5&amp;"生成成长"),3))*(VLOOKUP($B$5,标准坦克设计!$B$14:$K$20,9)/30))</f>
        <v>3.8089212056325881</v>
      </c>
      <c r="CP175" s="173">
        <f ca="1">(VLOOKUP(CP$72,INDIRECT($C$5&amp;"生成成长"),2))/((VLOOKUP($B175,INDIRECT($B$5&amp;"生成成长"),4))/(VLOOKUP(CP$72,INDIRECT($C$5&amp;"生成成长"),5))*(VLOOKUP($B$5,标准坦克设计!$B$24:$U$30,MATCH("对"&amp;LEFT($C$5,2)&amp;"输出",标准坦克设计!$B$23:$U$23,0)))*(VLOOKUP($B175,INDIRECT($B$5&amp;"生成成长"),3))*(VLOOKUP($B$5,标准坦克设计!$B$14:$K$20,9)/30))</f>
        <v>4.1615668428354766</v>
      </c>
      <c r="CQ175" s="173">
        <f ca="1">(VLOOKUP(CQ$72,INDIRECT($C$5&amp;"生成成长"),2))/((VLOOKUP($B175,INDIRECT($B$5&amp;"生成成长"),4))/(VLOOKUP(CQ$72,INDIRECT($C$5&amp;"生成成长"),5))*(VLOOKUP($B$5,标准坦克设计!$B$24:$U$30,MATCH("对"&amp;LEFT($C$5,2)&amp;"输出",标准坦克设计!$B$23:$U$23,0)))*(VLOOKUP($B175,INDIRECT($B$5&amp;"生成成长"),3))*(VLOOKUP($B$5,标准坦克设计!$B$14:$K$20,9)/30))</f>
        <v>4.5298225484859769</v>
      </c>
      <c r="CR175" s="173">
        <f ca="1">(VLOOKUP(CR$72,INDIRECT($C$5&amp;"生成成长"),2))/((VLOOKUP($B175,INDIRECT($B$5&amp;"生成成长"),4))/(VLOOKUP(CR$72,INDIRECT($C$5&amp;"生成成长"),5))*(VLOOKUP($B$5,标准坦克设计!$B$24:$U$30,MATCH("对"&amp;LEFT($C$5,2)&amp;"输出",标准坦克设计!$B$23:$U$23,0)))*(VLOOKUP($B175,INDIRECT($B$5&amp;"生成成长"),3))*(VLOOKUP($B$5,标准坦克设计!$B$14:$K$20,9)/30))</f>
        <v>4.9136883225840915</v>
      </c>
      <c r="CS175" s="173">
        <f ca="1">(VLOOKUP(CS$72,INDIRECT($C$5&amp;"生成成长"),2))/((VLOOKUP($B175,INDIRECT($B$5&amp;"生成成长"),4))/(VLOOKUP(CS$72,INDIRECT($C$5&amp;"生成成长"),5))*(VLOOKUP($B$5,标准坦克设计!$B$24:$U$30,MATCH("对"&amp;LEFT($C$5,2)&amp;"输出",标准坦克设计!$B$23:$U$23,0)))*(VLOOKUP($B175,INDIRECT($B$5&amp;"生成成长"),3))*(VLOOKUP($B$5,标准坦克设计!$B$14:$K$20,9)/30))</f>
        <v>5.3131641651298178</v>
      </c>
      <c r="CT175" s="173">
        <f ca="1">(VLOOKUP(CT$72,INDIRECT($C$5&amp;"生成成长"),2))/((VLOOKUP($B175,INDIRECT($B$5&amp;"生成成长"),4))/(VLOOKUP(CT$72,INDIRECT($C$5&amp;"生成成长"),5))*(VLOOKUP($B$5,标准坦克设计!$B$24:$U$30,MATCH("对"&amp;LEFT($C$5,2)&amp;"输出",标准坦克设计!$B$23:$U$23,0)))*(VLOOKUP($B175,INDIRECT($B$5&amp;"生成成长"),3))*(VLOOKUP($B$5,标准坦克设计!$B$14:$K$20,9)/30))</f>
        <v>5.7282500761231576</v>
      </c>
      <c r="CU175" s="173">
        <f ca="1">(VLOOKUP(CU$72,INDIRECT($C$5&amp;"生成成长"),2))/((VLOOKUP($B175,INDIRECT($B$5&amp;"生成成长"),4))/(VLOOKUP(CU$72,INDIRECT($C$5&amp;"生成成长"),5))*(VLOOKUP($B$5,标准坦克设计!$B$24:$U$30,MATCH("对"&amp;LEFT($C$5,2)&amp;"输出",标准坦克设计!$B$23:$U$23,0)))*(VLOOKUP($B175,INDIRECT($B$5&amp;"生成成长"),3))*(VLOOKUP($B$5,标准坦克设计!$B$14:$K$20,9)/30))</f>
        <v>6.15894605556411</v>
      </c>
      <c r="CV175" s="173">
        <f ca="1">(VLOOKUP(CV$72,INDIRECT($C$5&amp;"生成成长"),2))/((VLOOKUP($B175,INDIRECT($B$5&amp;"生成成长"),4))/(VLOOKUP(CV$72,INDIRECT($C$5&amp;"生成成长"),5))*(VLOOKUP($B$5,标准坦克设计!$B$24:$U$30,MATCH("对"&amp;LEFT($C$5,2)&amp;"输出",标准坦克设计!$B$23:$U$23,0)))*(VLOOKUP($B175,INDIRECT($B$5&amp;"生成成长"),3))*(VLOOKUP($B$5,标准坦克设计!$B$14:$K$20,9)/30))</f>
        <v>6.6052521034526741</v>
      </c>
      <c r="CW175" s="173">
        <f ca="1">(VLOOKUP(CW$72,INDIRECT($C$5&amp;"生成成长"),2))/((VLOOKUP($B175,INDIRECT($B$5&amp;"生成成长"),4))/(VLOOKUP(CW$72,INDIRECT($C$5&amp;"生成成长"),5))*(VLOOKUP($B$5,标准坦克设计!$B$24:$U$30,MATCH("对"&amp;LEFT($C$5,2)&amp;"输出",标准坦克设计!$B$23:$U$23,0)))*(VLOOKUP($B175,INDIRECT($B$5&amp;"生成成长"),3))*(VLOOKUP($B$5,标准坦克设计!$B$14:$K$20,9)/30))</f>
        <v>7.0671682197888526</v>
      </c>
      <c r="CX175" s="173">
        <f ca="1">(VLOOKUP(CX$72,INDIRECT($C$5&amp;"生成成长"),2))/((VLOOKUP($B175,INDIRECT($B$5&amp;"生成成长"),4))/(VLOOKUP(CX$72,INDIRECT($C$5&amp;"生成成长"),5))*(VLOOKUP($B$5,标准坦克设计!$B$24:$U$30,MATCH("对"&amp;LEFT($C$5,2)&amp;"输出",标准坦克设计!$B$23:$U$23,0)))*(VLOOKUP($B175,INDIRECT($B$5&amp;"生成成长"),3))*(VLOOKUP($B$5,标准坦克设计!$B$14:$K$20,9)/30))</f>
        <v>7.544694404572641</v>
      </c>
      <c r="CY175" s="173">
        <f ca="1">(VLOOKUP(CY$72,INDIRECT($C$5&amp;"生成成长"),2))/((VLOOKUP($B175,INDIRECT($B$5&amp;"生成成长"),4))/(VLOOKUP(CY$72,INDIRECT($C$5&amp;"生成成长"),5))*(VLOOKUP($B$5,标准坦克设计!$B$24:$U$30,MATCH("对"&amp;LEFT($C$5,2)&amp;"输出",标准坦克设计!$B$23:$U$23,0)))*(VLOOKUP($B175,INDIRECT($B$5&amp;"生成成长"),3))*(VLOOKUP($B$5,标准坦克设计!$B$14:$K$20,9)/30))</f>
        <v>8.0378306578040473</v>
      </c>
      <c r="CZ175" s="173">
        <f ca="1">(VLOOKUP(CZ$72,INDIRECT($C$5&amp;"生成成长"),2))/((VLOOKUP($B175,INDIRECT($B$5&amp;"生成成长"),4))/(VLOOKUP(CZ$72,INDIRECT($C$5&amp;"生成成长"),5))*(VLOOKUP($B$5,标准坦克设计!$B$24:$U$30,MATCH("对"&amp;LEFT($C$5,2)&amp;"输出",标准坦克设计!$B$23:$U$23,0)))*(VLOOKUP($B175,INDIRECT($B$5&amp;"生成成长"),3))*(VLOOKUP($B$5,标准坦克设计!$B$14:$K$20,9)/30))</f>
        <v>8.5465769794830617</v>
      </c>
      <c r="DA175" s="173">
        <f ca="1">(VLOOKUP(DA$72,INDIRECT($C$5&amp;"生成成长"),2))/((VLOOKUP($B175,INDIRECT($B$5&amp;"生成成长"),4))/(VLOOKUP(DA$72,INDIRECT($C$5&amp;"生成成长"),5))*(VLOOKUP($B$5,标准坦克设计!$B$24:$U$30,MATCH("对"&amp;LEFT($C$5,2)&amp;"输出",标准坦克设计!$B$23:$U$23,0)))*(VLOOKUP($B175,INDIRECT($B$5&amp;"生成成长"),3))*(VLOOKUP($B$5,标准坦克设计!$B$14:$K$20,9)/30))</f>
        <v>9.0709333696096905</v>
      </c>
      <c r="DB175" s="173">
        <f ca="1">(VLOOKUP(DB$72,INDIRECT($C$5&amp;"生成成长"),2))/((VLOOKUP($B175,INDIRECT($B$5&amp;"生成成长"),4))/(VLOOKUP(DB$72,INDIRECT($C$5&amp;"生成成长"),5))*(VLOOKUP($B$5,标准坦克设计!$B$24:$U$30,MATCH("对"&amp;LEFT($C$5,2)&amp;"输出",标准坦克设计!$B$23:$U$23,0)))*(VLOOKUP($B175,INDIRECT($B$5&amp;"生成成长"),3))*(VLOOKUP($B$5,标准坦克设计!$B$14:$K$20,9)/30))</f>
        <v>9.610899828183932</v>
      </c>
      <c r="DC175" s="173">
        <f ca="1">(VLOOKUP(DC$72,INDIRECT($C$5&amp;"生成成长"),2))/((VLOOKUP($B175,INDIRECT($B$5&amp;"生成成长"),4))/(VLOOKUP(DC$72,INDIRECT($C$5&amp;"生成成长"),5))*(VLOOKUP($B$5,标准坦克设计!$B$24:$U$30,MATCH("对"&amp;LEFT($C$5,2)&amp;"输出",标准坦克设计!$B$23:$U$23,0)))*(VLOOKUP($B175,INDIRECT($B$5&amp;"生成成长"),3))*(VLOOKUP($B$5,标准坦克设计!$B$14:$K$20,9)/30))</f>
        <v>10.217757365188646</v>
      </c>
      <c r="DD175" s="173">
        <f ca="1">(VLOOKUP(DD$72,INDIRECT($C$5&amp;"生成成长"),2))/((VLOOKUP($B175,INDIRECT($B$5&amp;"生成成长"),4))/(VLOOKUP(DD$72,INDIRECT($C$5&amp;"生成成长"),5))*(VLOOKUP($B$5,标准坦克设计!$B$24:$U$30,MATCH("对"&amp;LEFT($C$5,2)&amp;"输出",标准坦克设计!$B$23:$U$23,0)))*(VLOOKUP($B175,INDIRECT($B$5&amp;"生成成长"),3))*(VLOOKUP($B$5,标准坦克设计!$B$14:$K$20,9)/30))</f>
        <v>10.843192173734321</v>
      </c>
      <c r="DE175" s="173">
        <f ca="1">(VLOOKUP(DE$72,INDIRECT($C$5&amp;"生成成长"),2))/((VLOOKUP($B175,INDIRECT($B$5&amp;"生成成长"),4))/(VLOOKUP(DE$72,INDIRECT($C$5&amp;"生成成长"),5))*(VLOOKUP($B$5,标准坦克设计!$B$24:$U$30,MATCH("对"&amp;LEFT($C$5,2)&amp;"输出",标准坦克设计!$B$23:$U$23,0)))*(VLOOKUP($B175,INDIRECT($B$5&amp;"生成成长"),3))*(VLOOKUP($B$5,标准坦克设计!$B$14:$K$20,9)/30))</f>
        <v>11.487204253820957</v>
      </c>
      <c r="DF175" s="173">
        <f ca="1">(VLOOKUP(DF$72,INDIRECT($C$5&amp;"生成成长"),2))/((VLOOKUP($B175,INDIRECT($B$5&amp;"生成成长"),4))/(VLOOKUP(DF$72,INDIRECT($C$5&amp;"生成成长"),5))*(VLOOKUP($B$5,标准坦克设计!$B$24:$U$30,MATCH("对"&amp;LEFT($C$5,2)&amp;"输出",标准坦克设计!$B$23:$U$23,0)))*(VLOOKUP($B175,INDIRECT($B$5&amp;"生成成长"),3))*(VLOOKUP($B$5,标准坦克设计!$B$14:$K$20,9)/30))</f>
        <v>12.149793605448554</v>
      </c>
      <c r="DG175" s="173">
        <f ca="1">(VLOOKUP(DG$72,INDIRECT($C$5&amp;"生成成长"),2))/((VLOOKUP($B175,INDIRECT($B$5&amp;"生成成长"),4))/(VLOOKUP(DG$72,INDIRECT($C$5&amp;"生成成长"),5))*(VLOOKUP($B$5,标准坦克设计!$B$24:$U$30,MATCH("对"&amp;LEFT($C$5,2)&amp;"输出",标准坦克设计!$B$23:$U$23,0)))*(VLOOKUP($B175,INDIRECT($B$5&amp;"生成成长"),3))*(VLOOKUP($B$5,标准坦克设计!$B$14:$K$20,9)/30))</f>
        <v>12.83096022861711</v>
      </c>
      <c r="DH175" s="173">
        <f ca="1">(VLOOKUP(DH$72,INDIRECT($C$5&amp;"生成成长"),2))/((VLOOKUP($B175,INDIRECT($B$5&amp;"生成成长"),4))/(VLOOKUP(DH$72,INDIRECT($C$5&amp;"生成成长"),5))*(VLOOKUP($B$5,标准坦克设计!$B$24:$U$30,MATCH("对"&amp;LEFT($C$5,2)&amp;"输出",标准坦克设计!$B$23:$U$23,0)))*(VLOOKUP($B175,INDIRECT($B$5&amp;"生成成长"),3))*(VLOOKUP($B$5,标准坦克设计!$B$14:$K$20,9)/30))</f>
        <v>13.530704123326627</v>
      </c>
      <c r="DI175" s="173">
        <f ca="1">(VLOOKUP(DI$72,INDIRECT($C$5&amp;"生成成长"),2))/((VLOOKUP($B175,INDIRECT($B$5&amp;"生成成长"),4))/(VLOOKUP(DI$72,INDIRECT($C$5&amp;"生成成长"),5))*(VLOOKUP($B$5,标准坦克设计!$B$24:$U$30,MATCH("对"&amp;LEFT($C$5,2)&amp;"输出",标准坦克设计!$B$23:$U$23,0)))*(VLOOKUP($B175,INDIRECT($B$5&amp;"生成成长"),3))*(VLOOKUP($B$5,标准坦克设计!$B$14:$K$20,9)/30))</f>
        <v>14.249025289577109</v>
      </c>
      <c r="DJ175" s="173">
        <f ca="1">(VLOOKUP(DJ$72,INDIRECT($C$5&amp;"生成成长"),2))/((VLOOKUP($B175,INDIRECT($B$5&amp;"生成成长"),4))/(VLOOKUP(DJ$72,INDIRECT($C$5&amp;"生成成长"),5))*(VLOOKUP($B$5,标准坦克设计!$B$24:$U$30,MATCH("对"&amp;LEFT($C$5,2)&amp;"输出",标准坦克设计!$B$23:$U$23,0)))*(VLOOKUP($B175,INDIRECT($B$5&amp;"生成成长"),3))*(VLOOKUP($B$5,标准坦克设计!$B$14:$K$20,9)/30))</f>
        <v>1.4320625190307894</v>
      </c>
      <c r="DK175" s="173">
        <f ca="1">(VLOOKUP(DK$72,INDIRECT($C$5&amp;"生成成长"),2))/((VLOOKUP($B175,INDIRECT($B$5&amp;"生成成长"),4))/(VLOOKUP(DK$72,INDIRECT($C$5&amp;"生成成长"),5))*(VLOOKUP($B$5,标准坦克设计!$B$24:$U$30,MATCH("对"&amp;LEFT($C$5,2)&amp;"输出",标准坦克设计!$B$23:$U$23,0)))*(VLOOKUP($B175,INDIRECT($B$5&amp;"生成成长"),3))*(VLOOKUP($B$5,标准坦克设计!$B$14:$K$20,9)/30))</f>
        <v>1.6102882178768805</v>
      </c>
      <c r="DL175" s="173">
        <f ca="1">(VLOOKUP(DL$72,INDIRECT($C$5&amp;"生成成长"),2))/((VLOOKUP($B175,INDIRECT($B$5&amp;"生成成长"),4))/(VLOOKUP(DL$72,INDIRECT($C$5&amp;"生成成长"),5))*(VLOOKUP($B$5,标准坦克设计!$B$24:$U$30,MATCH("对"&amp;LEFT($C$5,2)&amp;"输出",标准坦克设计!$B$23:$U$23,0)))*(VLOOKUP($B175,INDIRECT($B$5&amp;"生成成长"),3))*(VLOOKUP($B$5,标准坦克设计!$B$14:$K$20,9)/30))</f>
        <v>1.7989636319647622</v>
      </c>
      <c r="DM175" s="173">
        <f ca="1">(VLOOKUP(DM$72,INDIRECT($C$5&amp;"生成成长"),2))/((VLOOKUP($B175,INDIRECT($B$5&amp;"生成成长"),4))/(VLOOKUP(DM$72,INDIRECT($C$5&amp;"生成成长"),5))*(VLOOKUP($B$5,标准坦克设计!$B$24:$U$30,MATCH("对"&amp;LEFT($C$5,2)&amp;"输出",标准坦克设计!$B$23:$U$23,0)))*(VLOOKUP($B175,INDIRECT($B$5&amp;"生成成长"),3))*(VLOOKUP($B$5,标准坦克设计!$B$14:$K$20,9)/30))</f>
        <v>1.998088761294434</v>
      </c>
      <c r="DN175" s="173">
        <f ca="1">(VLOOKUP(DN$72,INDIRECT($C$5&amp;"生成成长"),2))/((VLOOKUP($B175,INDIRECT($B$5&amp;"生成成长"),4))/(VLOOKUP(DN$72,INDIRECT($C$5&amp;"生成成长"),5))*(VLOOKUP($B$5,标准坦克设计!$B$24:$U$30,MATCH("对"&amp;LEFT($C$5,2)&amp;"输出",标准坦克设计!$B$23:$U$23,0)))*(VLOOKUP($B175,INDIRECT($B$5&amp;"生成成长"),3))*(VLOOKUP($B$5,标准坦克设计!$B$14:$K$20,9)/30))</f>
        <v>2.2076636058658958</v>
      </c>
      <c r="DO175" s="173">
        <f ca="1">(VLOOKUP(DO$72,INDIRECT($C$5&amp;"生成成长"),2))/((VLOOKUP($B175,INDIRECT($B$5&amp;"生成成长"),4))/(VLOOKUP(DO$72,INDIRECT($C$5&amp;"生成成长"),5))*(VLOOKUP($B$5,标准坦克设计!$B$24:$U$30,MATCH("对"&amp;LEFT($C$5,2)&amp;"输出",标准坦克设计!$B$23:$U$23,0)))*(VLOOKUP($B175,INDIRECT($B$5&amp;"生成成长"),3))*(VLOOKUP($B$5,标准坦克设计!$B$14:$K$20,9)/30))</f>
        <v>2.4276881656791489</v>
      </c>
      <c r="DP175" s="173">
        <f ca="1">(VLOOKUP(DP$72,INDIRECT($C$5&amp;"生成成长"),2))/((VLOOKUP($B175,INDIRECT($B$5&amp;"生成成长"),4))/(VLOOKUP(DP$72,INDIRECT($C$5&amp;"生成成长"),5))*(VLOOKUP($B$5,标准坦克设计!$B$24:$U$30,MATCH("对"&amp;LEFT($C$5,2)&amp;"输出",标准坦克设计!$B$23:$U$23,0)))*(VLOOKUP($B175,INDIRECT($B$5&amp;"生成成长"),3))*(VLOOKUP($B$5,标准坦克设计!$B$14:$K$20,9)/30))</f>
        <v>2.6581624407341917</v>
      </c>
      <c r="DQ175" s="173">
        <f ca="1">(VLOOKUP(DQ$72,INDIRECT($C$5&amp;"生成成长"),2))/((VLOOKUP($B175,INDIRECT($B$5&amp;"生成成长"),4))/(VLOOKUP(DQ$72,INDIRECT($C$5&amp;"生成成长"),5))*(VLOOKUP($B$5,标准坦克设计!$B$24:$U$30,MATCH("对"&amp;LEFT($C$5,2)&amp;"输出",标准坦克设计!$B$23:$U$23,0)))*(VLOOKUP($B175,INDIRECT($B$5&amp;"生成成长"),3))*(VLOOKUP($B$5,标准坦克设计!$B$14:$K$20,9)/30))</f>
        <v>2.8990864310310251</v>
      </c>
      <c r="DR175" s="173">
        <f ca="1">(VLOOKUP(DR$72,INDIRECT($C$5&amp;"生成成长"),2))/((VLOOKUP($B175,INDIRECT($B$5&amp;"生成成长"),4))/(VLOOKUP(DR$72,INDIRECT($C$5&amp;"生成成长"),5))*(VLOOKUP($B$5,标准坦克设计!$B$24:$U$30,MATCH("对"&amp;LEFT($C$5,2)&amp;"输出",标准坦克设计!$B$23:$U$23,0)))*(VLOOKUP($B175,INDIRECT($B$5&amp;"生成成长"),3))*(VLOOKUP($B$5,标准坦克设计!$B$14:$K$20,9)/30))</f>
        <v>3.1504601365696496</v>
      </c>
      <c r="DS175" s="173">
        <f ca="1">(VLOOKUP(DS$72,INDIRECT($C$5&amp;"生成成长"),2))/((VLOOKUP($B175,INDIRECT($B$5&amp;"生成成长"),4))/(VLOOKUP(DS$72,INDIRECT($C$5&amp;"生成成长"),5))*(VLOOKUP($B$5,标准坦克设计!$B$24:$U$30,MATCH("对"&amp;LEFT($C$5,2)&amp;"输出",标准坦克设计!$B$23:$U$23,0)))*(VLOOKUP($B175,INDIRECT($B$5&amp;"生成成长"),3))*(VLOOKUP($B$5,标准坦克设计!$B$14:$K$20,9)/30))</f>
        <v>3.4122835573500629</v>
      </c>
      <c r="DT175" s="173">
        <f ca="1">(VLOOKUP(DT$72,INDIRECT($C$5&amp;"生成成长"),2))/((VLOOKUP($B175,INDIRECT($B$5&amp;"生成成长"),4))/(VLOOKUP(DT$72,INDIRECT($C$5&amp;"生成成长"),5))*(VLOOKUP($B$5,标准坦克设计!$B$24:$U$30,MATCH("对"&amp;LEFT($C$5,2)&amp;"输出",标准坦克设计!$B$23:$U$23,0)))*(VLOOKUP($B175,INDIRECT($B$5&amp;"生成成长"),3))*(VLOOKUP($B$5,标准坦克设计!$B$14:$K$20,9)/30))</f>
        <v>3.7464809318421359</v>
      </c>
      <c r="DU175" s="173">
        <f ca="1">(VLOOKUP(DU$72,INDIRECT($C$5&amp;"生成成长"),2))/((VLOOKUP($B175,INDIRECT($B$5&amp;"生成成长"),4))/(VLOOKUP(DU$72,INDIRECT($C$5&amp;"生成成长"),5))*(VLOOKUP($B$5,标准坦克设计!$B$24:$U$30,MATCH("对"&amp;LEFT($C$5,2)&amp;"输出",标准坦克设计!$B$23:$U$23,0)))*(VLOOKUP($B175,INDIRECT($B$5&amp;"生成成长"),3))*(VLOOKUP($B$5,标准坦克设计!$B$14:$K$20,9)/30))</f>
        <v>4.0962883747818228</v>
      </c>
      <c r="DV175" s="173">
        <f ca="1">(VLOOKUP(DV$72,INDIRECT($C$5&amp;"生成成长"),2))/((VLOOKUP($B175,INDIRECT($B$5&amp;"生成成长"),4))/(VLOOKUP(DV$72,INDIRECT($C$5&amp;"生成成长"),5))*(VLOOKUP($B$5,标准坦克设计!$B$24:$U$30,MATCH("对"&amp;LEFT($C$5,2)&amp;"输出",标准坦克设计!$B$23:$U$23,0)))*(VLOOKUP($B175,INDIRECT($B$5&amp;"生成成长"),3))*(VLOOKUP($B$5,标准坦克设计!$B$14:$K$20,9)/30))</f>
        <v>4.4617058861691214</v>
      </c>
      <c r="DW175" s="173">
        <f ca="1">(VLOOKUP(DW$72,INDIRECT($C$5&amp;"生成成长"),2))/((VLOOKUP($B175,INDIRECT($B$5&amp;"生成成长"),4))/(VLOOKUP(DW$72,INDIRECT($C$5&amp;"生成成长"),5))*(VLOOKUP($B$5,标准坦克设计!$B$24:$U$30,MATCH("对"&amp;LEFT($C$5,2)&amp;"输出",标准坦克设计!$B$23:$U$23,0)))*(VLOOKUP($B175,INDIRECT($B$5&amp;"生成成长"),3))*(VLOOKUP($B$5,标准坦克设计!$B$14:$K$20,9)/30))</f>
        <v>4.8427334660040335</v>
      </c>
      <c r="DX175" s="173">
        <f ca="1">(VLOOKUP(DX$72,INDIRECT($C$5&amp;"生成成长"),2))/((VLOOKUP($B175,INDIRECT($B$5&amp;"生成成长"),4))/(VLOOKUP(DX$72,INDIRECT($C$5&amp;"生成成长"),5))*(VLOOKUP($B$5,标准坦克设计!$B$24:$U$30,MATCH("对"&amp;LEFT($C$5,2)&amp;"输出",标准坦克设计!$B$23:$U$23,0)))*(VLOOKUP($B175,INDIRECT($B$5&amp;"生成成长"),3))*(VLOOKUP($B$5,标准坦克设计!$B$14:$K$20,9)/30))</f>
        <v>5.2393711142865573</v>
      </c>
      <c r="DY175" s="173">
        <f ca="1">(VLOOKUP(DY$72,INDIRECT($C$5&amp;"生成成长"),2))/((VLOOKUP($B175,INDIRECT($B$5&amp;"生成成长"),4))/(VLOOKUP(DY$72,INDIRECT($C$5&amp;"生成成长"),5))*(VLOOKUP($B$5,标准坦克设计!$B$24:$U$30,MATCH("对"&amp;LEFT($C$5,2)&amp;"输出",标准坦克设计!$B$23:$U$23,0)))*(VLOOKUP($B175,INDIRECT($B$5&amp;"生成成长"),3))*(VLOOKUP($B$5,标准坦克设计!$B$14:$K$20,9)/30))</f>
        <v>2.3531855662700885</v>
      </c>
      <c r="DZ175" s="173">
        <f ca="1">(VLOOKUP(DZ$72,INDIRECT($C$5&amp;"生成成长"),2))/((VLOOKUP($B175,INDIRECT($B$5&amp;"生成成长"),4))/(VLOOKUP(DZ$72,INDIRECT($C$5&amp;"生成成长"),5))*(VLOOKUP($B$5,标准坦克设计!$B$24:$U$30,MATCH("对"&amp;LEFT($C$5,2)&amp;"输出",标准坦克设计!$B$23:$U$23,0)))*(VLOOKUP($B175,INDIRECT($B$5&amp;"生成成长"),3))*(VLOOKUP($B$5,标准坦克设计!$B$14:$K$20,9)/30))</f>
        <v>2.6060428733553862</v>
      </c>
      <c r="EA175" s="173">
        <f ca="1">(VLOOKUP(EA$72,INDIRECT($C$5&amp;"生成成长"),2))/((VLOOKUP($B175,INDIRECT($B$5&amp;"生成成长"),4))/(VLOOKUP(EA$72,INDIRECT($C$5&amp;"生成成长"),5))*(VLOOKUP($B$5,标准坦克设计!$B$24:$U$30,MATCH("对"&amp;LEFT($C$5,2)&amp;"输出",标准坦克设计!$B$23:$U$23,0)))*(VLOOKUP($B175,INDIRECT($B$5&amp;"生成成长"),3))*(VLOOKUP($B$5,标准坦克设计!$B$14:$K$20,9)/30))</f>
        <v>2.8718010634552393</v>
      </c>
      <c r="EB175" s="173">
        <f ca="1">(VLOOKUP(EB$72,INDIRECT($C$5&amp;"生成成长"),2))/((VLOOKUP($B175,INDIRECT($B$5&amp;"生成成长"),4))/(VLOOKUP(EB$72,INDIRECT($C$5&amp;"生成成长"),5))*(VLOOKUP($B$5,标准坦克设计!$B$24:$U$30,MATCH("对"&amp;LEFT($C$5,2)&amp;"输出",标准坦克设计!$B$23:$U$23,0)))*(VLOOKUP($B175,INDIRECT($B$5&amp;"生成成长"),3))*(VLOOKUP($B$5,标准坦克设计!$B$14:$K$20,9)/30))</f>
        <v>3.1504601365696496</v>
      </c>
      <c r="EC175" s="173">
        <f ca="1">(VLOOKUP(EC$72,INDIRECT($C$5&amp;"生成成长"),2))/((VLOOKUP($B175,INDIRECT($B$5&amp;"生成成长"),4))/(VLOOKUP(EC$72,INDIRECT($C$5&amp;"生成成长"),5))*(VLOOKUP($B$5,标准坦克设计!$B$24:$U$30,MATCH("对"&amp;LEFT($C$5,2)&amp;"输出",标准坦克设计!$B$23:$U$23,0)))*(VLOOKUP($B175,INDIRECT($B$5&amp;"生成成长"),3))*(VLOOKUP($B$5,标准坦克设计!$B$14:$K$20,9)/30))</f>
        <v>3.4420200926986153</v>
      </c>
      <c r="ED175" s="173">
        <f ca="1">(VLOOKUP(ED$72,INDIRECT($C$5&amp;"生成成长"),2))/((VLOOKUP($B175,INDIRECT($B$5&amp;"生成成长"),4))/(VLOOKUP(ED$72,INDIRECT($C$5&amp;"生成成长"),5))*(VLOOKUP($B$5,标准坦克设计!$B$24:$U$30,MATCH("对"&amp;LEFT($C$5,2)&amp;"输出",标准坦克设计!$B$23:$U$23,0)))*(VLOOKUP($B175,INDIRECT($B$5&amp;"生成成长"),3))*(VLOOKUP($B$5,标准坦克设计!$B$14:$K$20,9)/30))</f>
        <v>3.7464809318421359</v>
      </c>
      <c r="EE175" s="173">
        <f ca="1">(VLOOKUP(EE$72,INDIRECT($C$5&amp;"生成成长"),2))/((VLOOKUP($B175,INDIRECT($B$5&amp;"生成成长"),4))/(VLOOKUP(EE$72,INDIRECT($C$5&amp;"生成成长"),5))*(VLOOKUP($B$5,标准坦克设计!$B$24:$U$30,MATCH("对"&amp;LEFT($C$5,2)&amp;"输出",标准坦克设计!$B$23:$U$23,0)))*(VLOOKUP($B175,INDIRECT($B$5&amp;"生成成长"),3))*(VLOOKUP($B$5,标准坦克设计!$B$14:$K$20,9)/30))</f>
        <v>4.0638426540002142</v>
      </c>
      <c r="EF175" s="173">
        <f ca="1">(VLOOKUP(EF$72,INDIRECT($C$5&amp;"生成成长"),2))/((VLOOKUP($B175,INDIRECT($B$5&amp;"生成成长"),4))/(VLOOKUP(EF$72,INDIRECT($C$5&amp;"生成成长"),5))*(VLOOKUP($B$5,标准坦克设计!$B$24:$U$30,MATCH("对"&amp;LEFT($C$5,2)&amp;"输出",标准坦克设计!$B$23:$U$23,0)))*(VLOOKUP($B175,INDIRECT($B$5&amp;"生成成长"),3))*(VLOOKUP($B$5,标准坦克设计!$B$14:$K$20,9)/30))</f>
        <v>4.3941052591728482</v>
      </c>
      <c r="EG175" s="173">
        <f ca="1">(VLOOKUP(EG$72,INDIRECT($C$5&amp;"生成成长"),2))/((VLOOKUP($B175,INDIRECT($B$5&amp;"生成成长"),4))/(VLOOKUP(EG$72,INDIRECT($C$5&amp;"生成成长"),5))*(VLOOKUP($B$5,标准坦克设计!$B$24:$U$30,MATCH("对"&amp;LEFT($C$5,2)&amp;"输出",标准坦克设计!$B$23:$U$23,0)))*(VLOOKUP($B175,INDIRECT($B$5&amp;"生成成长"),3))*(VLOOKUP($B$5,标准坦克设计!$B$14:$K$20,9)/30))</f>
        <v>4.7372687473600381</v>
      </c>
      <c r="EH175" s="173">
        <f ca="1">(VLOOKUP(EH$72,INDIRECT($C$5&amp;"生成成长"),2))/((VLOOKUP($B175,INDIRECT($B$5&amp;"生成成长"),4))/(VLOOKUP(EH$72,INDIRECT($C$5&amp;"生成成长"),5))*(VLOOKUP($B$5,标准坦克设计!$B$24:$U$30,MATCH("对"&amp;LEFT($C$5,2)&amp;"输出",标准坦克设计!$B$23:$U$23,0)))*(VLOOKUP($B175,INDIRECT($B$5&amp;"生成成长"),3))*(VLOOKUP($B$5,标准坦克设计!$B$14:$K$20,9)/30))</f>
        <v>5.0933331185617838</v>
      </c>
      <c r="EI175" s="173">
        <f ca="1">(VLOOKUP(EI$72,INDIRECT($C$5&amp;"生成成长"),2))/((VLOOKUP($B175,INDIRECT($B$5&amp;"生成成长"),4))/(VLOOKUP(EI$72,INDIRECT($C$5&amp;"生成成长"),5))*(VLOOKUP($B$5,标准坦克设计!$B$24:$U$30,MATCH("对"&amp;LEFT($C$5,2)&amp;"输出",标准坦克设计!$B$23:$U$23,0)))*(VLOOKUP($B175,INDIRECT($B$5&amp;"生成成长"),3))*(VLOOKUP($B$5,标准坦克设计!$B$14:$K$20,9)/30))</f>
        <v>5.4622983727780845</v>
      </c>
      <c r="EJ175" s="173">
        <f ca="1">(VLOOKUP(EJ$72,INDIRECT($C$5&amp;"生成成长"),2))/((VLOOKUP($B175,INDIRECT($B$5&amp;"生成成长"),4))/(VLOOKUP(EJ$72,INDIRECT($C$5&amp;"生成成长"),5))*(VLOOKUP($B$5,标准坦克设计!$B$24:$U$30,MATCH("对"&amp;LEFT($C$5,2)&amp;"输出",标准坦克设计!$B$23:$U$23,0)))*(VLOOKUP($B175,INDIRECT($B$5&amp;"生成成长"),3))*(VLOOKUP($B$5,标准坦克设计!$B$14:$K$20,9)/30))</f>
        <v>5.8441645100089419</v>
      </c>
      <c r="EK175" s="173">
        <f ca="1">(VLOOKUP(EK$72,INDIRECT($C$5&amp;"生成成长"),2))/((VLOOKUP($B175,INDIRECT($B$5&amp;"生成成长"),4))/(VLOOKUP(EK$72,INDIRECT($C$5&amp;"生成成长"),5))*(VLOOKUP($B$5,标准坦克设计!$B$24:$U$30,MATCH("对"&amp;LEFT($C$5,2)&amp;"输出",标准坦克设计!$B$23:$U$23,0)))*(VLOOKUP($B175,INDIRECT($B$5&amp;"生成成长"),3))*(VLOOKUP($B$5,标准坦克设计!$B$14:$K$20,9)/30))</f>
        <v>6.3194330402651868</v>
      </c>
      <c r="EL175" s="173">
        <f ca="1">(VLOOKUP(EL$72,INDIRECT($C$5&amp;"生成成长"),2))/((VLOOKUP($B175,INDIRECT($B$5&amp;"生成成长"),4))/(VLOOKUP(EL$72,INDIRECT($C$5&amp;"生成成长"),5))*(VLOOKUP($B$5,标准坦克设计!$B$24:$U$30,MATCH("对"&amp;LEFT($C$5,2)&amp;"输出",标准坦克设计!$B$23:$U$23,0)))*(VLOOKUP($B175,INDIRECT($B$5&amp;"生成成长"),3))*(VLOOKUP($B$5,标准坦克设计!$B$14:$K$20,9)/30))</f>
        <v>6.8132788420623918</v>
      </c>
      <c r="EM175" s="173">
        <f ca="1">(VLOOKUP(EM$72,INDIRECT($C$5&amp;"生成成长"),2))/((VLOOKUP($B175,INDIRECT($B$5&amp;"生成成长"),4))/(VLOOKUP(EM$72,INDIRECT($C$5&amp;"生成成长"),5))*(VLOOKUP($B$5,标准坦克设计!$B$24:$U$30,MATCH("对"&amp;LEFT($C$5,2)&amp;"输出",标准坦克设计!$B$23:$U$23,0)))*(VLOOKUP($B175,INDIRECT($B$5&amp;"生成成长"),3))*(VLOOKUP($B$5,标准坦克设计!$B$14:$K$20,9)/30))</f>
        <v>7.3257019154005549</v>
      </c>
      <c r="EN175" s="173">
        <f ca="1">(VLOOKUP(EN$72,INDIRECT($C$5&amp;"生成成长"),2))/((VLOOKUP($B175,INDIRECT($B$5&amp;"生成成长"),4))/(VLOOKUP(EN$72,INDIRECT($C$5&amp;"生成成长"),5))*(VLOOKUP($B$5,标准坦克设计!$B$24:$U$30,MATCH("对"&amp;LEFT($C$5,2)&amp;"输出",标准坦克设计!$B$23:$U$23,0)))*(VLOOKUP($B175,INDIRECT($B$5&amp;"生成成长"),3))*(VLOOKUP($B$5,标准坦克设计!$B$14:$K$20,9)/30))</f>
        <v>7.856702260279679</v>
      </c>
      <c r="EO175" s="173">
        <f ca="1">(VLOOKUP(EO$72,INDIRECT($C$5&amp;"生成成长"),2))/((VLOOKUP($B175,INDIRECT($B$5&amp;"生成成长"),4))/(VLOOKUP(EO$72,INDIRECT($C$5&amp;"生成成长"),5))*(VLOOKUP($B$5,标准坦克设计!$B$24:$U$30,MATCH("对"&amp;LEFT($C$5,2)&amp;"输出",标准坦克设计!$B$23:$U$23,0)))*(VLOOKUP($B175,INDIRECT($B$5&amp;"生成成长"),3))*(VLOOKUP($B$5,标准坦克设计!$B$14:$K$20,9)/30))</f>
        <v>8.4062798766997648</v>
      </c>
      <c r="EP175" s="173">
        <f ca="1">(VLOOKUP(EP$72,INDIRECT($C$5&amp;"生成成长"),2))/((VLOOKUP($B175,INDIRECT($B$5&amp;"生成成长"),4))/(VLOOKUP(EP$72,INDIRECT($C$5&amp;"生成成长"),5))*(VLOOKUP($B$5,标准坦克设计!$B$24:$U$30,MATCH("对"&amp;LEFT($C$5,2)&amp;"输出",标准坦克设计!$B$23:$U$23,0)))*(VLOOKUP($B175,INDIRECT($B$5&amp;"生成成长"),3))*(VLOOKUP($B$5,标准坦克设计!$B$14:$K$20,9)/30))</f>
        <v>8.9744347646608116</v>
      </c>
      <c r="EQ175" s="173">
        <f ca="1">(VLOOKUP(EQ$72,INDIRECT($C$5&amp;"生成成长"),2))/((VLOOKUP($B175,INDIRECT($B$5&amp;"生成成长"),4))/(VLOOKUP(EQ$72,INDIRECT($C$5&amp;"生成成长"),5))*(VLOOKUP($B$5,标准坦克设计!$B$24:$U$30,MATCH("对"&amp;LEFT($C$5,2)&amp;"输出",标准坦克设计!$B$23:$U$23,0)))*(VLOOKUP($B175,INDIRECT($B$5&amp;"生成成长"),3))*(VLOOKUP($B$5,标准坦克设计!$B$14:$K$20,9)/30))</f>
        <v>3.9672795446362628</v>
      </c>
      <c r="ER175" s="173">
        <f ca="1">(VLOOKUP(ER$72,INDIRECT($C$5&amp;"生成成长"),2))/((VLOOKUP($B175,INDIRECT($B$5&amp;"生成成长"),4))/(VLOOKUP(ER$72,INDIRECT($C$5&amp;"生成成长"),5))*(VLOOKUP($B$5,标准坦克设计!$B$24:$U$30,MATCH("对"&amp;LEFT($C$5,2)&amp;"输出",标准坦克设计!$B$23:$U$23,0)))*(VLOOKUP($B175,INDIRECT($B$5&amp;"生成成长"),3))*(VLOOKUP($B$5,标准坦克设计!$B$14:$K$20,9)/30))</f>
        <v>4.3270206674971563</v>
      </c>
      <c r="ES175" s="173">
        <f ca="1">(VLOOKUP(ES$72,INDIRECT($C$5&amp;"生成成长"),2))/((VLOOKUP($B175,INDIRECT($B$5&amp;"生成成长"),4))/(VLOOKUP(ES$72,INDIRECT($C$5&amp;"生成成长"),5))*(VLOOKUP($B$5,标准坦克设计!$B$24:$U$30,MATCH("对"&amp;LEFT($C$5,2)&amp;"输出",标准坦克设计!$B$23:$U$23,0)))*(VLOOKUP($B175,INDIRECT($B$5&amp;"生成成长"),3))*(VLOOKUP($B$5,标准坦克设计!$B$14:$K$20,9)/30))</f>
        <v>4.7023718588056642</v>
      </c>
      <c r="ET175" s="173">
        <f ca="1">(VLOOKUP(ET$72,INDIRECT($C$5&amp;"生成成长"),2))/((VLOOKUP($B175,INDIRECT($B$5&amp;"生成成长"),4))/(VLOOKUP(ET$72,INDIRECT($C$5&amp;"生成成长"),5))*(VLOOKUP($B$5,标准坦克设计!$B$24:$U$30,MATCH("对"&amp;LEFT($C$5,2)&amp;"输出",标准坦克设计!$B$23:$U$23,0)))*(VLOOKUP($B175,INDIRECT($B$5&amp;"生成成长"),3))*(VLOOKUP($B$5,标准坦克设计!$B$14:$K$20,9)/30))</f>
        <v>5.0933331185617838</v>
      </c>
      <c r="EU175" s="173">
        <f ca="1">(VLOOKUP(EU$72,INDIRECT($C$5&amp;"生成成长"),2))/((VLOOKUP($B175,INDIRECT($B$5&amp;"生成成长"),4))/(VLOOKUP(EU$72,INDIRECT($C$5&amp;"生成成长"),5))*(VLOOKUP($B$5,标准坦克设计!$B$24:$U$30,MATCH("对"&amp;LEFT($C$5,2)&amp;"输出",标准坦克设计!$B$23:$U$23,0)))*(VLOOKUP($B175,INDIRECT($B$5&amp;"生成成长"),3))*(VLOOKUP($B$5,标准坦克设计!$B$14:$K$20,9)/30))</f>
        <v>5.4999044467655169</v>
      </c>
      <c r="EV175" s="173">
        <f ca="1">(VLOOKUP(EV$72,INDIRECT($C$5&amp;"生成成长"),2))/((VLOOKUP($B175,INDIRECT($B$5&amp;"生成成长"),4))/(VLOOKUP(EV$72,INDIRECT($C$5&amp;"生成成长"),5))*(VLOOKUP($B$5,标准坦克设计!$B$24:$U$30,MATCH("对"&amp;LEFT($C$5,2)&amp;"输出",标准坦克设计!$B$23:$U$23,0)))*(VLOOKUP($B175,INDIRECT($B$5&amp;"生成成长"),3))*(VLOOKUP($B$5,标准坦克设计!$B$14:$K$20,9)/30))</f>
        <v>5.9220858434168608</v>
      </c>
      <c r="EW175" s="173">
        <f ca="1">(VLOOKUP(EW$72,INDIRECT($C$5&amp;"生成成长"),2))/((VLOOKUP($B175,INDIRECT($B$5&amp;"生成成长"),4))/(VLOOKUP(EW$72,INDIRECT($C$5&amp;"生成成长"),5))*(VLOOKUP($B$5,标准坦克设计!$B$24:$U$30,MATCH("对"&amp;LEFT($C$5,2)&amp;"输出",标准坦克设计!$B$23:$U$23,0)))*(VLOOKUP($B175,INDIRECT($B$5&amp;"生成成长"),3))*(VLOOKUP($B$5,标准坦克设计!$B$14:$K$20,9)/30))</f>
        <v>6.3598773085158182</v>
      </c>
      <c r="EX175" s="173">
        <f ca="1">(VLOOKUP(EX$72,INDIRECT($C$5&amp;"生成成长"),2))/((VLOOKUP($B175,INDIRECT($B$5&amp;"生成成长"),4))/(VLOOKUP(EX$72,INDIRECT($C$5&amp;"生成成长"),5))*(VLOOKUP($B$5,标准坦克设计!$B$24:$U$30,MATCH("对"&amp;LEFT($C$5,2)&amp;"输出",标准坦克设计!$B$23:$U$23,0)))*(VLOOKUP($B175,INDIRECT($B$5&amp;"生成成长"),3))*(VLOOKUP($B$5,标准坦克设计!$B$14:$K$20,9)/30))</f>
        <v>6.8132788420623918</v>
      </c>
      <c r="EY175" s="173">
        <f ca="1">(VLOOKUP(EY$72,INDIRECT($C$5&amp;"生成成长"),2))/((VLOOKUP($B175,INDIRECT($B$5&amp;"生成成长"),4))/(VLOOKUP(EY$72,INDIRECT($C$5&amp;"生成成长"),5))*(VLOOKUP($B$5,标准坦克设计!$B$24:$U$30,MATCH("对"&amp;LEFT($C$5,2)&amp;"输出",标准坦克设计!$B$23:$U$23,0)))*(VLOOKUP($B175,INDIRECT($B$5&amp;"生成成长"),3))*(VLOOKUP($B$5,标准坦克设计!$B$14:$K$20,9)/30))</f>
        <v>7.2822904440565734</v>
      </c>
      <c r="EZ175" s="173">
        <f ca="1">(VLOOKUP(EZ$72,INDIRECT($C$5&amp;"生成成长"),2))/((VLOOKUP($B175,INDIRECT($B$5&amp;"生成成长"),4))/(VLOOKUP(EZ$72,INDIRECT($C$5&amp;"生成成长"),5))*(VLOOKUP($B$5,标准坦克设计!$B$24:$U$30,MATCH("对"&amp;LEFT($C$5,2)&amp;"输出",标准坦克设计!$B$23:$U$23,0)))*(VLOOKUP($B175,INDIRECT($B$5&amp;"生成成长"),3))*(VLOOKUP($B$5,标准坦克设计!$B$14:$K$20,9)/30))</f>
        <v>7.7669121144983704</v>
      </c>
      <c r="FA175" s="173">
        <f ca="1">(VLOOKUP(FA$72,INDIRECT($C$5&amp;"生成成长"),2))/((VLOOKUP($B175,INDIRECT($B$5&amp;"生成成长"),4))/(VLOOKUP(FA$72,INDIRECT($C$5&amp;"生成成长"),5))*(VLOOKUP($B$5,标准坦克设计!$B$24:$U$30,MATCH("对"&amp;LEFT($C$5,2)&amp;"输出",标准坦克设计!$B$23:$U$23,0)))*(VLOOKUP($B175,INDIRECT($B$5&amp;"生成成长"),3))*(VLOOKUP($B$5,标准坦克设计!$B$14:$K$20,9)/30))</f>
        <v>8.267143853387779</v>
      </c>
      <c r="FB175" s="173">
        <f ca="1">(VLOOKUP(FB$72,INDIRECT($C$5&amp;"生成成长"),2))/((VLOOKUP($B175,INDIRECT($B$5&amp;"生成成长"),4))/(VLOOKUP(FB$72,INDIRECT($C$5&amp;"生成成长"),5))*(VLOOKUP($B$5,标准坦克设计!$B$24:$U$30,MATCH("对"&amp;LEFT($C$5,2)&amp;"输出",标准坦克设计!$B$23:$U$23,0)))*(VLOOKUP($B175,INDIRECT($B$5&amp;"生成成长"),3))*(VLOOKUP($B$5,标准坦克设计!$B$14:$K$20,9)/30))</f>
        <v>8.7829856607247994</v>
      </c>
      <c r="FC175" s="173">
        <f ca="1">(VLOOKUP(FC$72,INDIRECT($C$5&amp;"生成成长"),2))/((VLOOKUP($B175,INDIRECT($B$5&amp;"生成成长"),4))/(VLOOKUP(FC$72,INDIRECT($C$5&amp;"生成成长"),5))*(VLOOKUP($B$5,标准坦克设计!$B$24:$U$30,MATCH("对"&amp;LEFT($C$5,2)&amp;"输出",标准坦克设计!$B$23:$U$23,0)))*(VLOOKUP($B175,INDIRECT($B$5&amp;"生成成长"),3))*(VLOOKUP($B$5,标准坦克设计!$B$14:$K$20,9)/30))</f>
        <v>9.3144375365094358</v>
      </c>
      <c r="FD175" s="173">
        <f ca="1">(VLOOKUP(FD$72,INDIRECT($C$5&amp;"生成成长"),2))/((VLOOKUP($B175,INDIRECT($B$5&amp;"生成成长"),4))/(VLOOKUP(FD$72,INDIRECT($C$5&amp;"生成成长"),5))*(VLOOKUP($B$5,标准坦克设计!$B$24:$U$30,MATCH("对"&amp;LEFT($C$5,2)&amp;"输出",标准坦克设计!$B$23:$U$23,0)))*(VLOOKUP($B175,INDIRECT($B$5&amp;"生成成长"),3))*(VLOOKUP($B$5,标准坦克设计!$B$14:$K$20,9)/30))</f>
        <v>9.8614994807416831</v>
      </c>
      <c r="FE175" s="173">
        <f ca="1">(VLOOKUP(FE$72,INDIRECT($C$5&amp;"生成成长"),2))/((VLOOKUP($B175,INDIRECT($B$5&amp;"生成成长"),4))/(VLOOKUP(FE$72,INDIRECT($C$5&amp;"生成成长"),5))*(VLOOKUP($B$5,标准坦克设计!$B$24:$U$30,MATCH("对"&amp;LEFT($C$5,2)&amp;"输出",标准坦克设计!$B$23:$U$23,0)))*(VLOOKUP($B175,INDIRECT($B$5&amp;"生成成长"),3))*(VLOOKUP($B$5,标准坦克设计!$B$14:$K$20,9)/30))</f>
        <v>10.528152610518864</v>
      </c>
      <c r="FF175" s="173">
        <f ca="1">(VLOOKUP(FF$72,INDIRECT($C$5&amp;"生成成长"),2))/((VLOOKUP($B175,INDIRECT($B$5&amp;"生成成长"),4))/(VLOOKUP(FF$72,INDIRECT($C$5&amp;"生成成长"),5))*(VLOOKUP($B$5,标准坦克设计!$B$24:$U$30,MATCH("对"&amp;LEFT($C$5,2)&amp;"输出",标准坦克设计!$B$23:$U$23,0)))*(VLOOKUP($B175,INDIRECT($B$5&amp;"生成成长"),3))*(VLOOKUP($B$5,标准坦克设计!$B$14:$K$20,9)/30))</f>
        <v>11.216608232590646</v>
      </c>
      <c r="FG175" s="173">
        <f ca="1">(VLOOKUP(FG$72,INDIRECT($C$5&amp;"生成成长"),2))/((VLOOKUP($B175,INDIRECT($B$5&amp;"生成成长"),4))/(VLOOKUP(FG$72,INDIRECT($C$5&amp;"生成成长"),5))*(VLOOKUP($B$5,标准坦克设计!$B$24:$U$30,MATCH("对"&amp;LEFT($C$5,2)&amp;"输出",标准坦克设计!$B$23:$U$23,0)))*(VLOOKUP($B175,INDIRECT($B$5&amp;"生成成长"),3))*(VLOOKUP($B$5,标准坦克设计!$B$14:$K$20,9)/30))</f>
        <v>11.926866346957025</v>
      </c>
      <c r="FH175" s="173">
        <f ca="1">(VLOOKUP(FH$72,INDIRECT($C$5&amp;"生成成长"),2))/((VLOOKUP($B175,INDIRECT($B$5&amp;"生成成长"),4))/(VLOOKUP(FH$72,INDIRECT($C$5&amp;"生成成长"),5))*(VLOOKUP($B$5,标准坦克设计!$B$24:$U$30,MATCH("对"&amp;LEFT($C$5,2)&amp;"输出",标准坦克设计!$B$23:$U$23,0)))*(VLOOKUP($B175,INDIRECT($B$5&amp;"生成成长"),3))*(VLOOKUP($B$5,标准坦克设计!$B$14:$K$20,9)/30))</f>
        <v>12.658926953618009</v>
      </c>
      <c r="FI175" s="173">
        <f ca="1">(VLOOKUP(FI$72,INDIRECT($C$5&amp;"生成成长"),2))/((VLOOKUP($B175,INDIRECT($B$5&amp;"生成成长"),4))/(VLOOKUP(FI$72,INDIRECT($C$5&amp;"生成成长"),5))*(VLOOKUP($B$5,标准坦克设计!$B$24:$U$30,MATCH("对"&amp;LEFT($C$5,2)&amp;"输出",标准坦克设计!$B$23:$U$23,0)))*(VLOOKUP($B175,INDIRECT($B$5&amp;"生成成长"),3))*(VLOOKUP($B$5,标准坦克设计!$B$14:$K$20,9)/30))</f>
        <v>13.412790052573587</v>
      </c>
      <c r="FJ175" s="173">
        <f ca="1">(VLOOKUP(FJ$72,INDIRECT($C$5&amp;"生成成长"),2))/((VLOOKUP($B175,INDIRECT($B$5&amp;"生成成长"),4))/(VLOOKUP(FJ$72,INDIRECT($C$5&amp;"生成成长"),5))*(VLOOKUP($B$5,标准坦克设计!$B$24:$U$30,MATCH("对"&amp;LEFT($C$5,2)&amp;"输出",标准坦克设计!$B$23:$U$23,0)))*(VLOOKUP($B175,INDIRECT($B$5&amp;"生成成长"),3))*(VLOOKUP($B$5,标准坦克设计!$B$14:$K$20,9)/30))</f>
        <v>14.188455643823769</v>
      </c>
      <c r="FK175" s="173">
        <f ca="1">(VLOOKUP(FK$72,INDIRECT($C$5&amp;"生成成长"),2))/((VLOOKUP($B175,INDIRECT($B$5&amp;"生成成长"),4))/(VLOOKUP(FK$72,INDIRECT($C$5&amp;"生成成长"),5))*(VLOOKUP($B$5,标准坦克设计!$B$24:$U$30,MATCH("对"&amp;LEFT($C$5,2)&amp;"输出",标准坦克设计!$B$23:$U$23,0)))*(VLOOKUP($B175,INDIRECT($B$5&amp;"生成成长"),3))*(VLOOKUP($B$5,标准坦克设计!$B$14:$K$20,9)/30))</f>
        <v>14.985923727368544</v>
      </c>
    </row>
    <row r="176" spans="1:167" x14ac:dyDescent="0.15">
      <c r="A176" s="171" t="str">
        <f t="shared" si="12"/>
        <v>T5中品质14级</v>
      </c>
      <c r="B176" s="172">
        <v>20514</v>
      </c>
      <c r="C176" s="173">
        <f ca="1">(VLOOKUP(C$72,INDIRECT($C$5&amp;"生成成长"),2))/((VLOOKUP($B176,INDIRECT($B$5&amp;"生成成长"),4))/(VLOOKUP(C$72,INDIRECT($C$5&amp;"生成成长"),5))*(VLOOKUP($B$5,标准坦克设计!$B$24:$U$30,MATCH("对"&amp;LEFT($C$5,2)&amp;"输出",标准坦克设计!$B$23:$U$23,0)))*(VLOOKUP($B176,INDIRECT($B$5&amp;"生成成长"),3))*(VLOOKUP($B$5,标准坦克设计!$B$14:$K$20,9)/30))</f>
        <v>0.60835050972641991</v>
      </c>
      <c r="D176" s="173">
        <f ca="1">(VLOOKUP(D$72,INDIRECT($C$5&amp;"生成成长"),2))/((VLOOKUP($B176,INDIRECT($B$5&amp;"生成成长"),4))/(VLOOKUP(D$72,INDIRECT($C$5&amp;"生成成长"),5))*(VLOOKUP($B$5,标准坦克设计!$B$24:$U$30,MATCH("对"&amp;LEFT($C$5,2)&amp;"输出",标准坦克设计!$B$23:$U$23,0)))*(VLOOKUP($B176,INDIRECT($B$5&amp;"生成成长"),3))*(VLOOKUP($B$5,标准坦克设计!$B$14:$K$20,9)/30))</f>
        <v>0.68354263272860538</v>
      </c>
      <c r="E176" s="173">
        <f ca="1">(VLOOKUP(E$72,INDIRECT($C$5&amp;"生成成长"),2))/((VLOOKUP($B176,INDIRECT($B$5&amp;"生成成长"),4))/(VLOOKUP(E$72,INDIRECT($C$5&amp;"生成成长"),5))*(VLOOKUP($B$5,标准坦克设计!$B$24:$U$30,MATCH("对"&amp;LEFT($C$5,2)&amp;"输出",标准坦克设计!$B$23:$U$23,0)))*(VLOOKUP($B176,INDIRECT($B$5&amp;"生成成长"),3))*(VLOOKUP($B$5,标准坦克设计!$B$14:$K$20,9)/30))</f>
        <v>0.7631148794008209</v>
      </c>
      <c r="F176" s="173">
        <f ca="1">(VLOOKUP(F$72,INDIRECT($C$5&amp;"生成成长"),2))/((VLOOKUP($B176,INDIRECT($B$5&amp;"生成成长"),4))/(VLOOKUP(F$72,INDIRECT($C$5&amp;"生成成长"),5))*(VLOOKUP($B$5,标准坦克设计!$B$24:$U$30,MATCH("对"&amp;LEFT($C$5,2)&amp;"输出",标准坦克设计!$B$23:$U$23,0)))*(VLOOKUP($B176,INDIRECT($B$5&amp;"生成成长"),3))*(VLOOKUP($B$5,标准坦克设计!$B$14:$K$20,9)/30))</f>
        <v>0.84706724974306702</v>
      </c>
      <c r="G176" s="173">
        <f ca="1">(VLOOKUP(G$72,INDIRECT($C$5&amp;"生成成长"),2))/((VLOOKUP($B176,INDIRECT($B$5&amp;"生成成长"),4))/(VLOOKUP(G$72,INDIRECT($C$5&amp;"生成成长"),5))*(VLOOKUP($B$5,标准坦克设计!$B$24:$U$30,MATCH("对"&amp;LEFT($C$5,2)&amp;"输出",标准坦克设计!$B$23:$U$23,0)))*(VLOOKUP($B176,INDIRECT($B$5&amp;"生成成长"),3))*(VLOOKUP($B$5,标准坦克设计!$B$14:$K$20,9)/30))</f>
        <v>0.93539974375534307</v>
      </c>
      <c r="H176" s="173">
        <f ca="1">(VLOOKUP(H$72,INDIRECT($C$5&amp;"生成成长"),2))/((VLOOKUP($B176,INDIRECT($B$5&amp;"生成成长"),4))/(VLOOKUP(H$72,INDIRECT($C$5&amp;"生成成长"),5))*(VLOOKUP($B$5,标准坦克设计!$B$24:$U$30,MATCH("对"&amp;LEFT($C$5,2)&amp;"输出",标准坦克设计!$B$23:$U$23,0)))*(VLOOKUP($B176,INDIRECT($B$5&amp;"生成成长"),3))*(VLOOKUP($B$5,标准坦克设计!$B$14:$K$20,9)/30))</f>
        <v>0.81859644588787051</v>
      </c>
      <c r="I176" s="173">
        <f ca="1">(VLOOKUP(I$72,INDIRECT($C$5&amp;"生成成长"),2))/((VLOOKUP($B176,INDIRECT($B$5&amp;"生成成长"),4))/(VLOOKUP(I$72,INDIRECT($C$5&amp;"生成成长"),5))*(VLOOKUP($B$5,标准坦克设计!$B$24:$U$30,MATCH("对"&amp;LEFT($C$5,2)&amp;"输出",标准坦克设计!$B$23:$U$23,0)))*(VLOOKUP($B176,INDIRECT($B$5&amp;"生成成长"),3))*(VLOOKUP($B$5,标准坦克设计!$B$14:$K$20,9)/30))</f>
        <v>0.93539974375534307</v>
      </c>
      <c r="J176" s="173">
        <f ca="1">(VLOOKUP(J$72,INDIRECT($C$5&amp;"生成成长"),2))/((VLOOKUP($B176,INDIRECT($B$5&amp;"生成成长"),4))/(VLOOKUP(J$72,INDIRECT($C$5&amp;"生成成长"),5))*(VLOOKUP($B$5,标准坦克设计!$B$24:$U$30,MATCH("对"&amp;LEFT($C$5,2)&amp;"输出",标准坦克设计!$B$23:$U$23,0)))*(VLOOKUP($B176,INDIRECT($B$5&amp;"生成成长"),3))*(VLOOKUP($B$5,标准坦克设计!$B$14:$K$20,9)/30))</f>
        <v>1.059989928147314</v>
      </c>
      <c r="K176" s="173">
        <f ca="1">(VLOOKUP(K$72,INDIRECT($C$5&amp;"生成成长"),2))/((VLOOKUP($B176,INDIRECT($B$5&amp;"生成成长"),4))/(VLOOKUP(K$72,INDIRECT($C$5&amp;"生成成长"),5))*(VLOOKUP($B$5,标准坦克设计!$B$24:$U$30,MATCH("对"&amp;LEFT($C$5,2)&amp;"输出",标准坦克设计!$B$23:$U$23,0)))*(VLOOKUP($B176,INDIRECT($B$5&amp;"生成成长"),3))*(VLOOKUP($B$5,标准坦克设计!$B$14:$K$20,9)/30))</f>
        <v>1.1923669990637829</v>
      </c>
      <c r="L176" s="173">
        <f ca="1">(VLOOKUP(L$72,INDIRECT($C$5&amp;"生成成长"),2))/((VLOOKUP($B176,INDIRECT($B$5&amp;"生成成长"),4))/(VLOOKUP(L$72,INDIRECT($C$5&amp;"生成成长"),5))*(VLOOKUP($B$5,标准坦克设计!$B$24:$U$30,MATCH("对"&amp;LEFT($C$5,2)&amp;"输出",标准坦克设计!$B$23:$U$23,0)))*(VLOOKUP($B176,INDIRECT($B$5&amp;"生成成长"),3))*(VLOOKUP($B$5,标准坦克设计!$B$14:$K$20,9)/30))</f>
        <v>1.3325309565047503</v>
      </c>
      <c r="M176" s="173">
        <f ca="1">(VLOOKUP(M$72,INDIRECT($C$5&amp;"生成成长"),2))/((VLOOKUP($B176,INDIRECT($B$5&amp;"生成成长"),4))/(VLOOKUP(M$72,INDIRECT($C$5&amp;"生成成长"),5))*(VLOOKUP($B$5,标准坦克设计!$B$24:$U$30,MATCH("对"&amp;LEFT($C$5,2)&amp;"输出",标准坦克设计!$B$23:$U$23,0)))*(VLOOKUP($B176,INDIRECT($B$5&amp;"生成成长"),3))*(VLOOKUP($B$5,标准坦克设计!$B$14:$K$20,9)/30))</f>
        <v>1.4804818004702152</v>
      </c>
      <c r="N176" s="173">
        <f ca="1">(VLOOKUP(N$72,INDIRECT($C$5&amp;"生成成长"),2))/((VLOOKUP($B176,INDIRECT($B$5&amp;"生成成长"),4))/(VLOOKUP(N$72,INDIRECT($C$5&amp;"生成成长"),5))*(VLOOKUP($B$5,标准坦克设计!$B$24:$U$30,MATCH("对"&amp;LEFT($C$5,2)&amp;"输出",标准坦克设计!$B$23:$U$23,0)))*(VLOOKUP($B176,INDIRECT($B$5&amp;"生成成长"),3))*(VLOOKUP($B$5,标准坦克设计!$B$14:$K$20,9)/30))</f>
        <v>1.6362195309601788</v>
      </c>
      <c r="O176" s="173">
        <f ca="1">(VLOOKUP(O$72,INDIRECT($C$5&amp;"生成成长"),2))/((VLOOKUP($B176,INDIRECT($B$5&amp;"生成成长"),4))/(VLOOKUP(O$72,INDIRECT($C$5&amp;"生成成长"),5))*(VLOOKUP($B$5,标准坦克设计!$B$24:$U$30,MATCH("对"&amp;LEFT($C$5,2)&amp;"输出",标准坦克设计!$B$23:$U$23,0)))*(VLOOKUP($B176,INDIRECT($B$5&amp;"生成成长"),3))*(VLOOKUP($B$5,标准坦克设计!$B$14:$K$20,9)/30))</f>
        <v>1.2440159573395559</v>
      </c>
      <c r="P176" s="173">
        <f ca="1">(VLOOKUP(P$72,INDIRECT($C$5&amp;"生成成长"),2))/((VLOOKUP($B176,INDIRECT($B$5&amp;"生成成长"),4))/(VLOOKUP(P$72,INDIRECT($C$5&amp;"生成成长"),5))*(VLOOKUP($B$5,标准坦克设计!$B$24:$U$30,MATCH("对"&amp;LEFT($C$5,2)&amp;"输出",标准坦克设计!$B$23:$U$23,0)))*(VLOOKUP($B176,INDIRECT($B$5&amp;"生成成长"),3))*(VLOOKUP($B$5,标准坦克设计!$B$14:$K$20,9)/30))</f>
        <v>1.4055330176719205</v>
      </c>
      <c r="Q176" s="173">
        <f ca="1">(VLOOKUP(Q$72,INDIRECT($C$5&amp;"生成成长"),2))/((VLOOKUP($B176,INDIRECT($B$5&amp;"生成成长"),4))/(VLOOKUP(Q$72,INDIRECT($C$5&amp;"生成成长"),5))*(VLOOKUP($B$5,标准坦克设计!$B$24:$U$30,MATCH("对"&amp;LEFT($C$5,2)&amp;"输出",标准坦克设计!$B$23:$U$23,0)))*(VLOOKUP($B176,INDIRECT($B$5&amp;"生成成长"),3))*(VLOOKUP($B$5,标准坦克设计!$B$14:$K$20,9)/30))</f>
        <v>1.5769053562618531</v>
      </c>
      <c r="R176" s="173">
        <f ca="1">(VLOOKUP(R$72,INDIRECT($C$5&amp;"生成成长"),2))/((VLOOKUP($B176,INDIRECT($B$5&amp;"生成成长"),4))/(VLOOKUP(R$72,INDIRECT($C$5&amp;"生成成长"),5))*(VLOOKUP($B$5,标准坦克设计!$B$24:$U$30,MATCH("对"&amp;LEFT($C$5,2)&amp;"输出",标准坦克设计!$B$23:$U$23,0)))*(VLOOKUP($B176,INDIRECT($B$5&amp;"生成成长"),3))*(VLOOKUP($B$5,标准坦克设计!$B$14:$K$20,9)/30))</f>
        <v>1.7581329731093531</v>
      </c>
      <c r="S176" s="173">
        <f ca="1">(VLOOKUP(S$72,INDIRECT($C$5&amp;"生成成长"),2))/((VLOOKUP($B176,INDIRECT($B$5&amp;"生成成长"),4))/(VLOOKUP(S$72,INDIRECT($C$5&amp;"生成成长"),5))*(VLOOKUP($B$5,标准坦克设计!$B$24:$U$30,MATCH("对"&amp;LEFT($C$5,2)&amp;"输出",标准坦克设计!$B$23:$U$23,0)))*(VLOOKUP($B176,INDIRECT($B$5&amp;"生成成长"),3))*(VLOOKUP($B$5,标准坦克设计!$B$14:$K$20,9)/30))</f>
        <v>1.9492158682144218</v>
      </c>
      <c r="T176" s="173">
        <f ca="1">(VLOOKUP(T$72,INDIRECT($C$5&amp;"生成成长"),2))/((VLOOKUP($B176,INDIRECT($B$5&amp;"生成成长"),4))/(VLOOKUP(T$72,INDIRECT($C$5&amp;"生成成长"),5))*(VLOOKUP($B$5,标准坦克设计!$B$24:$U$30,MATCH("对"&amp;LEFT($C$5,2)&amp;"输出",标准坦克设计!$B$23:$U$23,0)))*(VLOOKUP($B176,INDIRECT($B$5&amp;"生成成长"),3))*(VLOOKUP($B$5,标准坦克设计!$B$14:$K$20,9)/30))</f>
        <v>2.1501540415770579</v>
      </c>
      <c r="U176" s="173">
        <f ca="1">(VLOOKUP(U$72,INDIRECT($C$5&amp;"生成成长"),2))/((VLOOKUP($B176,INDIRECT($B$5&amp;"生成成长"),4))/(VLOOKUP(U$72,INDIRECT($C$5&amp;"生成成长"),5))*(VLOOKUP($B$5,标准坦克设计!$B$24:$U$30,MATCH("对"&amp;LEFT($C$5,2)&amp;"输出",标准坦克设计!$B$23:$U$23,0)))*(VLOOKUP($B176,INDIRECT($B$5&amp;"生成成长"),3))*(VLOOKUP($B$5,标准坦克设计!$B$14:$K$20,9)/30))</f>
        <v>2.3609474931972625</v>
      </c>
      <c r="V176" s="173">
        <f ca="1">(VLOOKUP(V$72,INDIRECT($C$5&amp;"生成成长"),2))/((VLOOKUP($B176,INDIRECT($B$5&amp;"生成成长"),4))/(VLOOKUP(V$72,INDIRECT($C$5&amp;"生成成长"),5))*(VLOOKUP($B$5,标准坦克设计!$B$24:$U$30,MATCH("对"&amp;LEFT($C$5,2)&amp;"输出",标准坦克设计!$B$23:$U$23,0)))*(VLOOKUP($B176,INDIRECT($B$5&amp;"生成成长"),3))*(VLOOKUP($B$5,标准坦克设计!$B$14:$K$20,9)/30))</f>
        <v>2.5815962230750351</v>
      </c>
      <c r="W176" s="173">
        <f ca="1">(VLOOKUP(W$72,INDIRECT($C$5&amp;"生成成长"),2))/((VLOOKUP($B176,INDIRECT($B$5&amp;"生成成长"),4))/(VLOOKUP(W$72,INDIRECT($C$5&amp;"生成成长"),5))*(VLOOKUP($B$5,标准坦克设计!$B$24:$U$30,MATCH("对"&amp;LEFT($C$5,2)&amp;"输出",标准坦克设计!$B$23:$U$23,0)))*(VLOOKUP($B176,INDIRECT($B$5&amp;"生成成长"),3))*(VLOOKUP($B$5,标准坦克设计!$B$14:$K$20,9)/30))</f>
        <v>2.8121002312103758</v>
      </c>
      <c r="X176" s="173">
        <f ca="1">(VLOOKUP(X$72,INDIRECT($C$5&amp;"生成成长"),2))/((VLOOKUP($B176,INDIRECT($B$5&amp;"生成成长"),4))/(VLOOKUP(X$72,INDIRECT($C$5&amp;"生成成长"),5))*(VLOOKUP($B$5,标准坦克设计!$B$24:$U$30,MATCH("对"&amp;LEFT($C$5,2)&amp;"输出",标准坦克设计!$B$23:$U$23,0)))*(VLOOKUP($B176,INDIRECT($B$5&amp;"生成成长"),3))*(VLOOKUP($B$5,标准坦克设计!$B$14:$K$20,9)/30))</f>
        <v>2.0373050220228075</v>
      </c>
      <c r="Y176" s="173">
        <f ca="1">(VLOOKUP(Y$72,INDIRECT($C$5&amp;"生成成长"),2))/((VLOOKUP($B176,INDIRECT($B$5&amp;"生成成长"),4))/(VLOOKUP(Y$72,INDIRECT($C$5&amp;"生成成长"),5))*(VLOOKUP($B$5,标准坦克设计!$B$24:$U$30,MATCH("对"&amp;LEFT($C$5,2)&amp;"输出",标准坦克设计!$B$23:$U$23,0)))*(VLOOKUP($B176,INDIRECT($B$5&amp;"生成成长"),3))*(VLOOKUP($B$5,标准坦克设计!$B$14:$K$20,9)/30))</f>
        <v>2.2660448136799412</v>
      </c>
      <c r="Z176" s="173">
        <f ca="1">(VLOOKUP(Z$72,INDIRECT($C$5&amp;"生成成长"),2))/((VLOOKUP($B176,INDIRECT($B$5&amp;"生成成长"),4))/(VLOOKUP(Z$72,INDIRECT($C$5&amp;"生成成长"),5))*(VLOOKUP($B$5,标准坦克设计!$B$24:$U$30,MATCH("对"&amp;LEFT($C$5,2)&amp;"输出",标准坦克设计!$B$23:$U$23,0)))*(VLOOKUP($B176,INDIRECT($B$5&amp;"生成成长"),3))*(VLOOKUP($B$5,标准坦克设计!$B$14:$K$20,9)/30))</f>
        <v>2.5069516155316038</v>
      </c>
      <c r="AA176" s="173">
        <f ca="1">(VLOOKUP(AA$72,INDIRECT($C$5&amp;"生成成长"),2))/((VLOOKUP($B176,INDIRECT($B$5&amp;"生成成长"),4))/(VLOOKUP(AA$72,INDIRECT($C$5&amp;"生成成长"),5))*(VLOOKUP($B$5,标准坦克设计!$B$24:$U$30,MATCH("对"&amp;LEFT($C$5,2)&amp;"输出",标准坦克设计!$B$23:$U$23,0)))*(VLOOKUP($B176,INDIRECT($B$5&amp;"生成成长"),3))*(VLOOKUP($B$5,标准坦克设计!$B$14:$K$20,9)/30))</f>
        <v>2.7600254275777947</v>
      </c>
      <c r="AB176" s="173">
        <f ca="1">(VLOOKUP(AB$72,INDIRECT($C$5&amp;"生成成长"),2))/((VLOOKUP($B176,INDIRECT($B$5&amp;"生成成长"),4))/(VLOOKUP(AB$72,INDIRECT($C$5&amp;"生成成长"),5))*(VLOOKUP($B$5,标准坦克设计!$B$24:$U$30,MATCH("对"&amp;LEFT($C$5,2)&amp;"输出",标准坦克设计!$B$23:$U$23,0)))*(VLOOKUP($B176,INDIRECT($B$5&amp;"生成成长"),3))*(VLOOKUP($B$5,标准坦克设计!$B$14:$K$20,9)/30))</f>
        <v>3.0252662498185137</v>
      </c>
      <c r="AC176" s="173">
        <f ca="1">(VLOOKUP(AC$72,INDIRECT($C$5&amp;"生成成长"),2))/((VLOOKUP($B176,INDIRECT($B$5&amp;"生成成长"),4))/(VLOOKUP(AC$72,INDIRECT($C$5&amp;"生成成长"),5))*(VLOOKUP($B$5,标准坦克设计!$B$24:$U$30,MATCH("对"&amp;LEFT($C$5,2)&amp;"输出",标准坦克设计!$B$23:$U$23,0)))*(VLOOKUP($B176,INDIRECT($B$5&amp;"生成成长"),3))*(VLOOKUP($B$5,标准坦克设计!$B$14:$K$20,9)/30))</f>
        <v>3.3026740822537604</v>
      </c>
      <c r="AD176" s="173">
        <f ca="1">(VLOOKUP(AD$72,INDIRECT($C$5&amp;"生成成长"),2))/((VLOOKUP($B176,INDIRECT($B$5&amp;"生成成长"),4))/(VLOOKUP(AD$72,INDIRECT($C$5&amp;"生成成长"),5))*(VLOOKUP($B$5,标准坦克设计!$B$24:$U$30,MATCH("对"&amp;LEFT($C$5,2)&amp;"输出",标准坦克设计!$B$23:$U$23,0)))*(VLOOKUP($B176,INDIRECT($B$5&amp;"生成成长"),3))*(VLOOKUP($B$5,标准坦克设计!$B$14:$K$20,9)/30))</f>
        <v>3.5922489248835365</v>
      </c>
      <c r="AE176" s="173">
        <f ca="1">(VLOOKUP(AE$72,INDIRECT($C$5&amp;"生成成长"),2))/((VLOOKUP($B176,INDIRECT($B$5&amp;"生成成长"),4))/(VLOOKUP(AE$72,INDIRECT($C$5&amp;"生成成长"),5))*(VLOOKUP($B$5,标准坦克设计!$B$24:$U$30,MATCH("对"&amp;LEFT($C$5,2)&amp;"输出",标准坦克设计!$B$23:$U$23,0)))*(VLOOKUP($B176,INDIRECT($B$5&amp;"生成成长"),3))*(VLOOKUP($B$5,标准坦克设计!$B$14:$K$20,9)/30))</f>
        <v>3.8939907777078409</v>
      </c>
      <c r="AF176" s="173">
        <f ca="1">(VLOOKUP(AF$72,INDIRECT($C$5&amp;"生成成长"),2))/((VLOOKUP($B176,INDIRECT($B$5&amp;"生成成长"),4))/(VLOOKUP(AF$72,INDIRECT($C$5&amp;"生成成长"),5))*(VLOOKUP($B$5,标准坦克设计!$B$24:$U$30,MATCH("对"&amp;LEFT($C$5,2)&amp;"输出",标准坦克设计!$B$23:$U$23,0)))*(VLOOKUP($B176,INDIRECT($B$5&amp;"生成成长"),3))*(VLOOKUP($B$5,标准坦克设计!$B$14:$K$20,9)/30))</f>
        <v>4.2078996407266738</v>
      </c>
      <c r="AG176" s="173">
        <f ca="1">(VLOOKUP(AG$72,INDIRECT($C$5&amp;"生成成长"),2))/((VLOOKUP($B176,INDIRECT($B$5&amp;"生成成长"),4))/(VLOOKUP(AG$72,INDIRECT($C$5&amp;"生成成长"),5))*(VLOOKUP($B$5,标准坦克设计!$B$24:$U$30,MATCH("对"&amp;LEFT($C$5,2)&amp;"输出",标准坦克设计!$B$23:$U$23,0)))*(VLOOKUP($B176,INDIRECT($B$5&amp;"生成成长"),3))*(VLOOKUP($B$5,标准坦克设计!$B$14:$K$20,9)/30))</f>
        <v>4.5339755139400344</v>
      </c>
      <c r="AH176" s="173">
        <f ca="1">(VLOOKUP(AH$72,INDIRECT($C$5&amp;"生成成长"),2))/((VLOOKUP($B176,INDIRECT($B$5&amp;"生成成长"),4))/(VLOOKUP(AH$72,INDIRECT($C$5&amp;"生成成长"),5))*(VLOOKUP($B$5,标准坦克设计!$B$24:$U$30,MATCH("对"&amp;LEFT($C$5,2)&amp;"输出",标准坦克设计!$B$23:$U$23,0)))*(VLOOKUP($B176,INDIRECT($B$5&amp;"生成成长"),3))*(VLOOKUP($B$5,标准坦克设计!$B$14:$K$20,9)/30))</f>
        <v>4.8722183973479245</v>
      </c>
      <c r="AI176" s="173">
        <f ca="1">(VLOOKUP(AI$72,INDIRECT($C$5&amp;"生成成长"),2))/((VLOOKUP($B176,INDIRECT($B$5&amp;"生成成长"),4))/(VLOOKUP(AI$72,INDIRECT($C$5&amp;"生成成长"),5))*(VLOOKUP($B$5,标准坦克设计!$B$24:$U$30,MATCH("对"&amp;LEFT($C$5,2)&amp;"输出",标准坦克设计!$B$23:$U$23,0)))*(VLOOKUP($B176,INDIRECT($B$5&amp;"生成成长"),3))*(VLOOKUP($B$5,标准坦克设计!$B$14:$K$20,9)/30))</f>
        <v>3.4459406272943323</v>
      </c>
      <c r="AJ176" s="173">
        <f ca="1">(VLOOKUP(AJ$72,INDIRECT($C$5&amp;"生成成长"),2))/((VLOOKUP($B176,INDIRECT($B$5&amp;"生成成长"),4))/(VLOOKUP(AJ$72,INDIRECT($C$5&amp;"生成成长"),5))*(VLOOKUP($B$5,标准坦克设计!$B$24:$U$30,MATCH("对"&amp;LEFT($C$5,2)&amp;"输出",标准坦克设计!$B$23:$U$23,0)))*(VLOOKUP($B176,INDIRECT($B$5&amp;"生成成长"),3))*(VLOOKUP($B$5,标准坦克设计!$B$14:$K$20,9)/30))</f>
        <v>3.771833995354775</v>
      </c>
      <c r="AK176" s="173">
        <f ca="1">(VLOOKUP(AK$72,INDIRECT($C$5&amp;"生成成长"),2))/((VLOOKUP($B176,INDIRECT($B$5&amp;"生成成长"),4))/(VLOOKUP(AK$72,INDIRECT($C$5&amp;"生成成长"),5))*(VLOOKUP($B$5,标准坦克设计!$B$24:$U$30,MATCH("对"&amp;LEFT($C$5,2)&amp;"输出",标准坦克设计!$B$23:$U$23,0)))*(VLOOKUP($B176,INDIRECT($B$5&amp;"生成成长"),3))*(VLOOKUP($B$5,标准坦克设计!$B$14:$K$20,9)/30))</f>
        <v>4.1124494457505971</v>
      </c>
      <c r="AL176" s="173">
        <f ca="1">(VLOOKUP(AL$72,INDIRECT($C$5&amp;"生成成长"),2))/((VLOOKUP($B176,INDIRECT($B$5&amp;"生成成长"),4))/(VLOOKUP(AL$72,INDIRECT($C$5&amp;"生成成长"),5))*(VLOOKUP($B$5,标准坦克设计!$B$24:$U$30,MATCH("对"&amp;LEFT($C$5,2)&amp;"输出",标准坦克设计!$B$23:$U$23,0)))*(VLOOKUP($B176,INDIRECT($B$5&amp;"生成成长"),3))*(VLOOKUP($B$5,标准坦克设计!$B$14:$K$20,9)/30))</f>
        <v>4.467786978481799</v>
      </c>
      <c r="AM176" s="173">
        <f ca="1">(VLOOKUP(AM$72,INDIRECT($C$5&amp;"生成成长"),2))/((VLOOKUP($B176,INDIRECT($B$5&amp;"生成成长"),4))/(VLOOKUP(AM$72,INDIRECT($C$5&amp;"生成成长"),5))*(VLOOKUP($B$5,标准坦克设计!$B$24:$U$30,MATCH("对"&amp;LEFT($C$5,2)&amp;"输出",标准坦克设计!$B$23:$U$23,0)))*(VLOOKUP($B176,INDIRECT($B$5&amp;"生成成长"),3))*(VLOOKUP($B$5,标准坦克设计!$B$14:$K$20,9)/30))</f>
        <v>4.837846593548381</v>
      </c>
      <c r="AN176" s="173">
        <f ca="1">(VLOOKUP(AN$72,INDIRECT($C$5&amp;"生成成长"),2))/((VLOOKUP($B176,INDIRECT($B$5&amp;"生成成长"),4))/(VLOOKUP(AN$72,INDIRECT($C$5&amp;"生成成长"),5))*(VLOOKUP($B$5,标准坦克设计!$B$24:$U$30,MATCH("对"&amp;LEFT($C$5,2)&amp;"输出",标准坦克设计!$B$23:$U$23,0)))*(VLOOKUP($B176,INDIRECT($B$5&amp;"生成成长"),3))*(VLOOKUP($B$5,标准坦克设计!$B$14:$K$20,9)/30))</f>
        <v>5.2226282909503414</v>
      </c>
      <c r="AO176" s="173">
        <f ca="1">(VLOOKUP(AO$72,INDIRECT($C$5&amp;"生成成长"),2))/((VLOOKUP($B176,INDIRECT($B$5&amp;"生成成长"),4))/(VLOOKUP(AO$72,INDIRECT($C$5&amp;"生成成长"),5))*(VLOOKUP($B$5,标准坦克设计!$B$24:$U$30,MATCH("对"&amp;LEFT($C$5,2)&amp;"输出",标准坦克设计!$B$23:$U$23,0)))*(VLOOKUP($B176,INDIRECT($B$5&amp;"生成成长"),3))*(VLOOKUP($B$5,标准坦克设计!$B$14:$K$20,9)/30))</f>
        <v>5.6221320706876821</v>
      </c>
      <c r="AP176" s="173">
        <f ca="1">(VLOOKUP(AP$72,INDIRECT($C$5&amp;"生成成长"),2))/((VLOOKUP($B176,INDIRECT($B$5&amp;"生成成长"),4))/(VLOOKUP(AP$72,INDIRECT($C$5&amp;"生成成长"),5))*(VLOOKUP($B$5,标准坦克设计!$B$24:$U$30,MATCH("对"&amp;LEFT($C$5,2)&amp;"输出",标准坦克设计!$B$23:$U$23,0)))*(VLOOKUP($B176,INDIRECT($B$5&amp;"生成成长"),3))*(VLOOKUP($B$5,标准坦克设计!$B$14:$K$20,9)/30))</f>
        <v>6.0363579327604002</v>
      </c>
      <c r="AQ176" s="173">
        <f ca="1">(VLOOKUP(AQ$72,INDIRECT($C$5&amp;"生成成长"),2))/((VLOOKUP($B176,INDIRECT($B$5&amp;"生成成长"),4))/(VLOOKUP(AQ$72,INDIRECT($C$5&amp;"生成成长"),5))*(VLOOKUP($B$5,标准坦克设计!$B$24:$U$30,MATCH("对"&amp;LEFT($C$5,2)&amp;"输出",标准坦克设计!$B$23:$U$23,0)))*(VLOOKUP($B176,INDIRECT($B$5&amp;"生成成长"),3))*(VLOOKUP($B$5,标准坦克设计!$B$14:$K$20,9)/30))</f>
        <v>6.4653058771684995</v>
      </c>
      <c r="AR176" s="173">
        <f ca="1">(VLOOKUP(AR$72,INDIRECT($C$5&amp;"生成成长"),2))/((VLOOKUP($B176,INDIRECT($B$5&amp;"生成成长"),4))/(VLOOKUP(AR$72,INDIRECT($C$5&amp;"生成成长"),5))*(VLOOKUP($B$5,标准坦克设计!$B$24:$U$30,MATCH("对"&amp;LEFT($C$5,2)&amp;"输出",标准坦克设计!$B$23:$U$23,0)))*(VLOOKUP($B176,INDIRECT($B$5&amp;"生成成长"),3))*(VLOOKUP($B$5,标准坦克设计!$B$14:$K$20,9)/30))</f>
        <v>6.9089759039119771</v>
      </c>
      <c r="AS176" s="173">
        <f ca="1">(VLOOKUP(AS$72,INDIRECT($C$5&amp;"生成成长"),2))/((VLOOKUP($B176,INDIRECT($B$5&amp;"生成成长"),4))/(VLOOKUP(AS$72,INDIRECT($C$5&amp;"生成成长"),5))*(VLOOKUP($B$5,标准坦克设计!$B$24:$U$30,MATCH("对"&amp;LEFT($C$5,2)&amp;"输出",标准坦克设计!$B$23:$U$23,0)))*(VLOOKUP($B176,INDIRECT($B$5&amp;"生成成长"),3))*(VLOOKUP($B$5,标准坦克设计!$B$14:$K$20,9)/30))</f>
        <v>7.367368012990835</v>
      </c>
      <c r="AT176" s="173">
        <f ca="1">(VLOOKUP(AT$72,INDIRECT($C$5&amp;"生成成长"),2))/((VLOOKUP($B176,INDIRECT($B$5&amp;"生成成长"),4))/(VLOOKUP(AT$72,INDIRECT($C$5&amp;"生成成长"),5))*(VLOOKUP($B$5,标准坦克设计!$B$24:$U$30,MATCH("对"&amp;LEFT($C$5,2)&amp;"输出",标准坦克设计!$B$23:$U$23,0)))*(VLOOKUP($B176,INDIRECT($B$5&amp;"生成成长"),3))*(VLOOKUP($B$5,标准坦克设计!$B$14:$K$20,9)/30))</f>
        <v>7.8404822044050713</v>
      </c>
      <c r="AU176" s="173">
        <f ca="1">(VLOOKUP(AU$72,INDIRECT($C$5&amp;"生成成长"),2))/((VLOOKUP($B176,INDIRECT($B$5&amp;"生成成长"),4))/(VLOOKUP(AU$72,INDIRECT($C$5&amp;"生成成长"),5))*(VLOOKUP($B$5,标准坦克设计!$B$24:$U$30,MATCH("对"&amp;LEFT($C$5,2)&amp;"输出",标准坦克设计!$B$23:$U$23,0)))*(VLOOKUP($B176,INDIRECT($B$5&amp;"生成成长"),3))*(VLOOKUP($B$5,标准坦克设计!$B$14:$K$20,9)/30))</f>
        <v>8.3283184781546868</v>
      </c>
      <c r="AV176" s="173">
        <f ca="1">(VLOOKUP(AV$72,INDIRECT($C$5&amp;"生成成长"),2))/((VLOOKUP($B176,INDIRECT($B$5&amp;"生成成长"),4))/(VLOOKUP(AV$72,INDIRECT($C$5&amp;"生成成长"),5))*(VLOOKUP($B$5,标准坦克设计!$B$24:$U$30,MATCH("对"&amp;LEFT($C$5,2)&amp;"输出",标准坦克设计!$B$23:$U$23,0)))*(VLOOKUP($B176,INDIRECT($B$5&amp;"生成成长"),3))*(VLOOKUP($B$5,标准坦克设计!$B$14:$K$20,9)/30))</f>
        <v>0.84706724974306702</v>
      </c>
      <c r="AW176" s="173">
        <f ca="1">(VLOOKUP(AW$72,INDIRECT($C$5&amp;"生成成长"),2))/((VLOOKUP($B176,INDIRECT($B$5&amp;"生成成长"),4))/(VLOOKUP(AW$72,INDIRECT($C$5&amp;"生成成长"),5))*(VLOOKUP($B$5,标准坦克设计!$B$24:$U$30,MATCH("对"&amp;LEFT($C$5,2)&amp;"输出",标准坦克设计!$B$23:$U$23,0)))*(VLOOKUP($B176,INDIRECT($B$5&amp;"生成成长"),3))*(VLOOKUP($B$5,标准坦克设计!$B$14:$K$20,9)/30))</f>
        <v>0.96581726924166411</v>
      </c>
      <c r="AX176" s="173">
        <f ca="1">(VLOOKUP(AX$72,INDIRECT($C$5&amp;"生成成长"),2))/((VLOOKUP($B176,INDIRECT($B$5&amp;"生成成长"),4))/(VLOOKUP(AX$72,INDIRECT($C$5&amp;"生成成长"),5))*(VLOOKUP($B$5,标准坦克设计!$B$24:$U$30,MATCH("对"&amp;LEFT($C$5,2)&amp;"输出",标准坦克设计!$B$23:$U$23,0)))*(VLOOKUP($B176,INDIRECT($B$5&amp;"生成成长"),3))*(VLOOKUP($B$5,标准坦克设计!$B$14:$K$20,9)/30))</f>
        <v>1.0923541752647594</v>
      </c>
      <c r="AY176" s="173">
        <f ca="1">(VLOOKUP(AY$72,INDIRECT($C$5&amp;"生成成长"),2))/((VLOOKUP($B176,INDIRECT($B$5&amp;"生成成长"),4))/(VLOOKUP(AY$72,INDIRECT($C$5&amp;"生成成长"),5))*(VLOOKUP($B$5,标准坦克设计!$B$24:$U$30,MATCH("对"&amp;LEFT($C$5,2)&amp;"输出",标准坦克设计!$B$23:$U$23,0)))*(VLOOKUP($B176,INDIRECT($B$5&amp;"生成成长"),3))*(VLOOKUP($B$5,标准坦克设计!$B$14:$K$20,9)/30))</f>
        <v>1.2266779678123529</v>
      </c>
      <c r="AZ176" s="173">
        <f ca="1">(VLOOKUP(AZ$72,INDIRECT($C$5&amp;"生成成长"),2))/((VLOOKUP($B176,INDIRECT($B$5&amp;"生成成长"),4))/(VLOOKUP(AZ$72,INDIRECT($C$5&amp;"生成成长"),5))*(VLOOKUP($B$5,标准坦克设计!$B$24:$U$30,MATCH("对"&amp;LEFT($C$5,2)&amp;"输出",标准坦克设计!$B$23:$U$23,0)))*(VLOOKUP($B176,INDIRECT($B$5&amp;"生成成长"),3))*(VLOOKUP($B$5,标准坦克设计!$B$14:$K$20,9)/30))</f>
        <v>1.3687886468844446</v>
      </c>
      <c r="BA176" s="173">
        <f ca="1">(VLOOKUP(BA$72,INDIRECT($C$5&amp;"生成成长"),2))/((VLOOKUP($B176,INDIRECT($B$5&amp;"生成成长"),4))/(VLOOKUP(BA$72,INDIRECT($C$5&amp;"生成成长"),5))*(VLOOKUP($B$5,标准坦克设计!$B$24:$U$30,MATCH("对"&amp;LEFT($C$5,2)&amp;"输出",标准坦克设计!$B$23:$U$23,0)))*(VLOOKUP($B176,INDIRECT($B$5&amp;"生成成长"),3))*(VLOOKUP($B$5,标准坦克设计!$B$14:$K$20,9)/30))</f>
        <v>1.5186862124810343</v>
      </c>
      <c r="BB176" s="173">
        <f ca="1">(VLOOKUP(BB$72,INDIRECT($C$5&amp;"生成成长"),2))/((VLOOKUP($B176,INDIRECT($B$5&amp;"生成成长"),4))/(VLOOKUP(BB$72,INDIRECT($C$5&amp;"生成成长"),5))*(VLOOKUP($B$5,标准坦克设计!$B$24:$U$30,MATCH("对"&amp;LEFT($C$5,2)&amp;"输出",标准坦克设计!$B$23:$U$23,0)))*(VLOOKUP($B176,INDIRECT($B$5&amp;"生成成长"),3))*(VLOOKUP($B$5,标准坦克设计!$B$14:$K$20,9)/30))</f>
        <v>1.6763706646021226</v>
      </c>
      <c r="BC176" s="173">
        <f ca="1">(VLOOKUP(BC$72,INDIRECT($C$5&amp;"生成成长"),2))/((VLOOKUP($B176,INDIRECT($B$5&amp;"生成成长"),4))/(VLOOKUP(BC$72,INDIRECT($C$5&amp;"生成成长"),5))*(VLOOKUP($B$5,标准坦克设计!$B$24:$U$30,MATCH("对"&amp;LEFT($C$5,2)&amp;"输出",标准坦克设计!$B$23:$U$23,0)))*(VLOOKUP($B176,INDIRECT($B$5&amp;"生成成长"),3))*(VLOOKUP($B$5,标准坦克设计!$B$14:$K$20,9)/30))</f>
        <v>1.8418420032477087</v>
      </c>
      <c r="BD176" s="173">
        <f ca="1">(VLOOKUP(BD$72,INDIRECT($C$5&amp;"生成成长"),2))/((VLOOKUP($B176,INDIRECT($B$5&amp;"生成成长"),4))/(VLOOKUP(BD$72,INDIRECT($C$5&amp;"生成成长"),5))*(VLOOKUP($B$5,标准坦克设计!$B$24:$U$30,MATCH("对"&amp;LEFT($C$5,2)&amp;"输出",标准坦克设计!$B$23:$U$23,0)))*(VLOOKUP($B176,INDIRECT($B$5&amp;"生成成长"),3))*(VLOOKUP($B$5,标准坦克设计!$B$14:$K$20,9)/30))</f>
        <v>2.0373050220228075</v>
      </c>
      <c r="BE176" s="173">
        <f ca="1">(VLOOKUP(BE$72,INDIRECT($C$5&amp;"生成成长"),2))/((VLOOKUP($B176,INDIRECT($B$5&amp;"生成成长"),4))/(VLOOKUP(BE$72,INDIRECT($C$5&amp;"生成成长"),5))*(VLOOKUP($B$5,标准坦克设计!$B$24:$U$30,MATCH("对"&amp;LEFT($C$5,2)&amp;"输出",标准坦克设计!$B$23:$U$23,0)))*(VLOOKUP($B176,INDIRECT($B$5&amp;"生成成长"),3))*(VLOOKUP($B$5,标准坦克设计!$B$14:$K$20,9)/30))</f>
        <v>2.2426233190554741</v>
      </c>
      <c r="BF176" s="173">
        <f ca="1">(VLOOKUP(BF$72,INDIRECT($C$5&amp;"生成成长"),2))/((VLOOKUP($B176,INDIRECT($B$5&amp;"生成成长"),4))/(VLOOKUP(BF$72,INDIRECT($C$5&amp;"生成成长"),5))*(VLOOKUP($B$5,标准坦克设计!$B$24:$U$30,MATCH("对"&amp;LEFT($C$5,2)&amp;"输出",标准坦克设计!$B$23:$U$23,0)))*(VLOOKUP($B176,INDIRECT($B$5&amp;"生成成长"),3))*(VLOOKUP($B$5,标准坦克设计!$B$14:$K$20,9)/30))</f>
        <v>2.4577968943457087</v>
      </c>
      <c r="BG176" s="173">
        <f ca="1">(VLOOKUP(BG$72,INDIRECT($C$5&amp;"生成成长"),2))/((VLOOKUP($B176,INDIRECT($B$5&amp;"生成成长"),4))/(VLOOKUP(BG$72,INDIRECT($C$5&amp;"生成成长"),5))*(VLOOKUP($B$5,标准坦克设计!$B$24:$U$30,MATCH("对"&amp;LEFT($C$5,2)&amp;"输出",标准坦克设计!$B$23:$U$23,0)))*(VLOOKUP($B176,INDIRECT($B$5&amp;"生成成长"),3))*(VLOOKUP($B$5,标准坦克设计!$B$14:$K$20,9)/30))</f>
        <v>2.6828257478935118</v>
      </c>
      <c r="BH176" s="173">
        <f ca="1">(VLOOKUP(BH$72,INDIRECT($C$5&amp;"生成成长"),2))/((VLOOKUP($B176,INDIRECT($B$5&amp;"生成成长"),4))/(VLOOKUP(BH$72,INDIRECT($C$5&amp;"生成成长"),5))*(VLOOKUP($B$5,标准坦克设计!$B$24:$U$30,MATCH("对"&amp;LEFT($C$5,2)&amp;"输出",标准坦克设计!$B$23:$U$23,0)))*(VLOOKUP($B176,INDIRECT($B$5&amp;"生成成长"),3))*(VLOOKUP($B$5,标准坦克设计!$B$14:$K$20,9)/30))</f>
        <v>1.2967599465328368</v>
      </c>
      <c r="BI176" s="173">
        <f ca="1">(VLOOKUP(BI$72,INDIRECT($C$5&amp;"生成成长"),2))/((VLOOKUP($B176,INDIRECT($B$5&amp;"生成成长"),4))/(VLOOKUP(BI$72,INDIRECT($C$5&amp;"生成成长"),5))*(VLOOKUP($B$5,标准坦克设计!$B$24:$U$30,MATCH("对"&amp;LEFT($C$5,2)&amp;"输出",标准坦克设计!$B$23:$U$23,0)))*(VLOOKUP($B176,INDIRECT($B$5&amp;"生成成长"),3))*(VLOOKUP($B$5,标准坦克设计!$B$14:$K$20,9)/30))</f>
        <v>1.4615620996177237</v>
      </c>
      <c r="BJ176" s="173">
        <f ca="1">(VLOOKUP(BJ$72,INDIRECT($C$5&amp;"生成成长"),2))/((VLOOKUP($B176,INDIRECT($B$5&amp;"生成成长"),4))/(VLOOKUP(BJ$72,INDIRECT($C$5&amp;"生成成长"),5))*(VLOOKUP($B$5,标准坦克设计!$B$24:$U$30,MATCH("对"&amp;LEFT($C$5,2)&amp;"输出",标准坦克设计!$B$23:$U$23,0)))*(VLOOKUP($B176,INDIRECT($B$5&amp;"生成成长"),3))*(VLOOKUP($B$5,标准坦克设计!$B$14:$K$20,9)/30))</f>
        <v>1.6362195309601788</v>
      </c>
      <c r="BK176" s="173">
        <f ca="1">(VLOOKUP(BK$72,INDIRECT($C$5&amp;"生成成长"),2))/((VLOOKUP($B176,INDIRECT($B$5&amp;"生成成长"),4))/(VLOOKUP(BK$72,INDIRECT($C$5&amp;"生成成长"),5))*(VLOOKUP($B$5,标准坦克设计!$B$24:$U$30,MATCH("对"&amp;LEFT($C$5,2)&amp;"输出",标准坦克设计!$B$23:$U$23,0)))*(VLOOKUP($B176,INDIRECT($B$5&amp;"生成成长"),3))*(VLOOKUP($B$5,标准坦克设计!$B$14:$K$20,9)/30))</f>
        <v>1.820732240560202</v>
      </c>
      <c r="BL176" s="173">
        <f ca="1">(VLOOKUP(BL$72,INDIRECT($C$5&amp;"生成成长"),2))/((VLOOKUP($B176,INDIRECT($B$5&amp;"生成成长"),4))/(VLOOKUP(BL$72,INDIRECT($C$5&amp;"生成成长"),5))*(VLOOKUP($B$5,标准坦克设计!$B$24:$U$30,MATCH("对"&amp;LEFT($C$5,2)&amp;"输出",标准坦克设计!$B$23:$U$23,0)))*(VLOOKUP($B176,INDIRECT($B$5&amp;"生成成长"),3))*(VLOOKUP($B$5,标准坦克设计!$B$14:$K$20,9)/30))</f>
        <v>2.015100228417793</v>
      </c>
      <c r="BM176" s="173">
        <f ca="1">(VLOOKUP(BM$72,INDIRECT($C$5&amp;"生成成长"),2))/((VLOOKUP($B176,INDIRECT($B$5&amp;"生成成长"),4))/(VLOOKUP(BM$72,INDIRECT($C$5&amp;"生成成长"),5))*(VLOOKUP($B$5,标准坦克设计!$B$24:$U$30,MATCH("对"&amp;LEFT($C$5,2)&amp;"输出",标准坦克设计!$B$23:$U$23,0)))*(VLOOKUP($B176,INDIRECT($B$5&amp;"生成成长"),3))*(VLOOKUP($B$5,标准坦克设计!$B$14:$K$20,9)/30))</f>
        <v>2.219323494532953</v>
      </c>
      <c r="BN176" s="173">
        <f ca="1">(VLOOKUP(BN$72,INDIRECT($C$5&amp;"生成成长"),2))/((VLOOKUP($B176,INDIRECT($B$5&amp;"生成成长"),4))/(VLOOKUP(BN$72,INDIRECT($C$5&amp;"生成成长"),5))*(VLOOKUP($B$5,标准坦克设计!$B$24:$U$30,MATCH("对"&amp;LEFT($C$5,2)&amp;"输出",标准坦克设计!$B$23:$U$23,0)))*(VLOOKUP($B176,INDIRECT($B$5&amp;"生成成长"),3))*(VLOOKUP($B$5,标准坦克设计!$B$14:$K$20,9)/30))</f>
        <v>2.4334020389056796</v>
      </c>
      <c r="BO176" s="173">
        <f ca="1">(VLOOKUP(BO$72,INDIRECT($C$5&amp;"生成成长"),2))/((VLOOKUP($B176,INDIRECT($B$5&amp;"生成成长"),4))/(VLOOKUP(BO$72,INDIRECT($C$5&amp;"生成成长"),5))*(VLOOKUP($B$5,标准坦克设计!$B$24:$U$30,MATCH("对"&amp;LEFT($C$5,2)&amp;"输出",标准坦克设计!$B$23:$U$23,0)))*(VLOOKUP($B176,INDIRECT($B$5&amp;"生成成长"),3))*(VLOOKUP($B$5,标准坦克设计!$B$14:$K$20,9)/30))</f>
        <v>2.6573358615359743</v>
      </c>
      <c r="BP176" s="173">
        <f ca="1">(VLOOKUP(BP$72,INDIRECT($C$5&amp;"生成成长"),2))/((VLOOKUP($B176,INDIRECT($B$5&amp;"生成成长"),4))/(VLOOKUP(BP$72,INDIRECT($C$5&amp;"生成成长"),5))*(VLOOKUP($B$5,标准坦克设计!$B$24:$U$30,MATCH("对"&amp;LEFT($C$5,2)&amp;"输出",标准坦克设计!$B$23:$U$23,0)))*(VLOOKUP($B176,INDIRECT($B$5&amp;"生成成长"),3))*(VLOOKUP($B$5,标准坦克设计!$B$14:$K$20,9)/30))</f>
        <v>2.8911249624238371</v>
      </c>
      <c r="BQ176" s="173">
        <f ca="1">(VLOOKUP(BQ$72,INDIRECT($C$5&amp;"生成成长"),2))/((VLOOKUP($B176,INDIRECT($B$5&amp;"生成成长"),4))/(VLOOKUP(BQ$72,INDIRECT($C$5&amp;"生成成长"),5))*(VLOOKUP($B$5,标准坦克设计!$B$24:$U$30,MATCH("对"&amp;LEFT($C$5,2)&amp;"输出",标准坦克设计!$B$23:$U$23,0)))*(VLOOKUP($B176,INDIRECT($B$5&amp;"生成成长"),3))*(VLOOKUP($B$5,标准坦克设计!$B$14:$K$20,9)/30))</f>
        <v>3.1347693415692688</v>
      </c>
      <c r="BR176" s="173">
        <f ca="1">(VLOOKUP(BR$72,INDIRECT($C$5&amp;"生成成长"),2))/((VLOOKUP($B176,INDIRECT($B$5&amp;"生成成长"),4))/(VLOOKUP(BR$72,INDIRECT($C$5&amp;"生成成长"),5))*(VLOOKUP($B$5,标准坦克设计!$B$24:$U$30,MATCH("对"&amp;LEFT($C$5,2)&amp;"输出",标准坦克设计!$B$23:$U$23,0)))*(VLOOKUP($B176,INDIRECT($B$5&amp;"生成成长"),3))*(VLOOKUP($B$5,标准坦克设计!$B$14:$K$20,9)/30))</f>
        <v>3.4170439780823272</v>
      </c>
      <c r="BS176" s="173">
        <f ca="1">(VLOOKUP(BS$72,INDIRECT($C$5&amp;"生成成长"),2))/((VLOOKUP($B176,INDIRECT($B$5&amp;"生成成长"),4))/(VLOOKUP(BS$72,INDIRECT($C$5&amp;"生成成长"),5))*(VLOOKUP($B$5,标准坦克设计!$B$24:$U$30,MATCH("对"&amp;LEFT($C$5,2)&amp;"输出",标准坦克设计!$B$23:$U$23,0)))*(VLOOKUP($B176,INDIRECT($B$5&amp;"生成成长"),3))*(VLOOKUP($B$5,标准坦克设计!$B$14:$K$20,9)/30))</f>
        <v>3.7114856247899146</v>
      </c>
      <c r="BT176" s="173">
        <f ca="1">(VLOOKUP(BT$72,INDIRECT($C$5&amp;"生成成长"),2))/((VLOOKUP($B176,INDIRECT($B$5&amp;"生成成长"),4))/(VLOOKUP(BT$72,INDIRECT($C$5&amp;"生成成长"),5))*(VLOOKUP($B$5,标准坦克设计!$B$24:$U$30,MATCH("对"&amp;LEFT($C$5,2)&amp;"输出",标准坦克设计!$B$23:$U$23,0)))*(VLOOKUP($B176,INDIRECT($B$5&amp;"生成成长"),3))*(VLOOKUP($B$5,标准坦克设计!$B$14:$K$20,9)/30))</f>
        <v>4.0180942816920302</v>
      </c>
      <c r="BU176" s="173">
        <f ca="1">(VLOOKUP(BU$72,INDIRECT($C$5&amp;"生成成长"),2))/((VLOOKUP($B176,INDIRECT($B$5&amp;"生成成长"),4))/(VLOOKUP(BU$72,INDIRECT($C$5&amp;"生成成长"),5))*(VLOOKUP($B$5,标准坦克设计!$B$24:$U$30,MATCH("对"&amp;LEFT($C$5,2)&amp;"输出",标准坦克设计!$B$23:$U$23,0)))*(VLOOKUP($B176,INDIRECT($B$5&amp;"生成成长"),3))*(VLOOKUP($B$5,标准坦克设计!$B$14:$K$20,9)/30))</f>
        <v>4.3368699487886744</v>
      </c>
      <c r="BV176" s="173">
        <f ca="1">(VLOOKUP(BV$72,INDIRECT($C$5&amp;"生成成长"),2))/((VLOOKUP($B176,INDIRECT($B$5&amp;"生成成长"),4))/(VLOOKUP(BV$72,INDIRECT($C$5&amp;"生成成长"),5))*(VLOOKUP($B$5,标准坦克设计!$B$24:$U$30,MATCH("对"&amp;LEFT($C$5,2)&amp;"输出",标准坦克设计!$B$23:$U$23,0)))*(VLOOKUP($B176,INDIRECT($B$5&amp;"生成成长"),3))*(VLOOKUP($B$5,标准坦克设计!$B$14:$K$20,9)/30))</f>
        <v>4.6678126260798471</v>
      </c>
      <c r="BW176" s="173">
        <f ca="1">(VLOOKUP(BW$72,INDIRECT($C$5&amp;"生成成长"),2))/((VLOOKUP($B176,INDIRECT($B$5&amp;"生成成长"),4))/(VLOOKUP(BW$72,INDIRECT($C$5&amp;"生成成长"),5))*(VLOOKUP($B$5,标准坦克设计!$B$24:$U$30,MATCH("对"&amp;LEFT($C$5,2)&amp;"输出",标准坦克设计!$B$23:$U$23,0)))*(VLOOKUP($B176,INDIRECT($B$5&amp;"生成成长"),3))*(VLOOKUP($B$5,标准坦克设计!$B$14:$K$20,9)/30))</f>
        <v>2.1273408974623176</v>
      </c>
      <c r="BX176" s="173">
        <f ca="1">(VLOOKUP(BX$72,INDIRECT($C$5&amp;"生成成长"),2))/((VLOOKUP($B176,INDIRECT($B$5&amp;"生成成长"),4))/(VLOOKUP(BX$72,INDIRECT($C$5&amp;"生成成长"),5))*(VLOOKUP($B$5,标准坦克设计!$B$24:$U$30,MATCH("对"&amp;LEFT($C$5,2)&amp;"输出",标准坦克设计!$B$23:$U$23,0)))*(VLOOKUP($B176,INDIRECT($B$5&amp;"生成成长"),3))*(VLOOKUP($B$5,标准坦克设计!$B$14:$K$20,9)/30))</f>
        <v>2.3609474931972625</v>
      </c>
      <c r="BY176" s="173">
        <f ca="1">(VLOOKUP(BY$72,INDIRECT($C$5&amp;"生成成长"),2))/((VLOOKUP($B176,INDIRECT($B$5&amp;"生成成长"),4))/(VLOOKUP(BY$72,INDIRECT($C$5&amp;"生成成长"),5))*(VLOOKUP($B$5,标准坦克设计!$B$24:$U$30,MATCH("对"&amp;LEFT($C$5,2)&amp;"输出",标准坦克设计!$B$23:$U$23,0)))*(VLOOKUP($B176,INDIRECT($B$5&amp;"生成成长"),3))*(VLOOKUP($B$5,标准坦克设计!$B$14:$K$20,9)/30))</f>
        <v>2.6067210991267364</v>
      </c>
      <c r="BZ176" s="173">
        <f ca="1">(VLOOKUP(BZ$72,INDIRECT($C$5&amp;"生成成长"),2))/((VLOOKUP($B176,INDIRECT($B$5&amp;"生成成长"),4))/(VLOOKUP(BZ$72,INDIRECT($C$5&amp;"生成成长"),5))*(VLOOKUP($B$5,标准坦克设计!$B$24:$U$30,MATCH("对"&amp;LEFT($C$5,2)&amp;"输出",标准坦克设计!$B$23:$U$23,0)))*(VLOOKUP($B176,INDIRECT($B$5&amp;"生成成长"),3))*(VLOOKUP($B$5,标准坦克设计!$B$14:$K$20,9)/30))</f>
        <v>2.8646617152507385</v>
      </c>
      <c r="CA176" s="173">
        <f ca="1">(VLOOKUP(CA$72,INDIRECT($C$5&amp;"生成成长"),2))/((VLOOKUP($B176,INDIRECT($B$5&amp;"生成成长"),4))/(VLOOKUP(CA$72,INDIRECT($C$5&amp;"生成成长"),5))*(VLOOKUP($B$5,标准坦克设计!$B$24:$U$30,MATCH("对"&amp;LEFT($C$5,2)&amp;"输出",标准坦克设计!$B$23:$U$23,0)))*(VLOOKUP($B176,INDIRECT($B$5&amp;"生成成长"),3))*(VLOOKUP($B$5,标准坦克设计!$B$14:$K$20,9)/30))</f>
        <v>3.1347693415692688</v>
      </c>
      <c r="CB176" s="173">
        <f ca="1">(VLOOKUP(CB$72,INDIRECT($C$5&amp;"生成成长"),2))/((VLOOKUP($B176,INDIRECT($B$5&amp;"生成成长"),4))/(VLOOKUP(CB$72,INDIRECT($C$5&amp;"生成成长"),5))*(VLOOKUP($B$5,标准坦克设计!$B$24:$U$30,MATCH("对"&amp;LEFT($C$5,2)&amp;"输出",标准坦克设计!$B$23:$U$23,0)))*(VLOOKUP($B176,INDIRECT($B$5&amp;"生成成长"),3))*(VLOOKUP($B$5,标准坦克设计!$B$14:$K$20,9)/30))</f>
        <v>3.4170439780823272</v>
      </c>
      <c r="CC176" s="173">
        <f ca="1">(VLOOKUP(CC$72,INDIRECT($C$5&amp;"生成成长"),2))/((VLOOKUP($B176,INDIRECT($B$5&amp;"生成成长"),4))/(VLOOKUP(CC$72,INDIRECT($C$5&amp;"生成成长"),5))*(VLOOKUP($B$5,标准坦克设计!$B$24:$U$30,MATCH("对"&amp;LEFT($C$5,2)&amp;"输出",标准坦克设计!$B$23:$U$23,0)))*(VLOOKUP($B176,INDIRECT($B$5&amp;"生成成长"),3))*(VLOOKUP($B$5,标准坦克设计!$B$14:$K$20,9)/30))</f>
        <v>3.7114856247899146</v>
      </c>
      <c r="CD176" s="173">
        <f ca="1">(VLOOKUP(CD$72,INDIRECT($C$5&amp;"生成成长"),2))/((VLOOKUP($B176,INDIRECT($B$5&amp;"生成成长"),4))/(VLOOKUP(CD$72,INDIRECT($C$5&amp;"生成成长"),5))*(VLOOKUP($B$5,标准坦克设计!$B$24:$U$30,MATCH("对"&amp;LEFT($C$5,2)&amp;"输出",标准坦克设计!$B$23:$U$23,0)))*(VLOOKUP($B176,INDIRECT($B$5&amp;"生成成长"),3))*(VLOOKUP($B$5,标准坦克设计!$B$14:$K$20,9)/30))</f>
        <v>4.0180942816920302</v>
      </c>
      <c r="CE176" s="173">
        <f ca="1">(VLOOKUP(CE$72,INDIRECT($C$5&amp;"生成成长"),2))/((VLOOKUP($B176,INDIRECT($B$5&amp;"生成成长"),4))/(VLOOKUP(CE$72,INDIRECT($C$5&amp;"生成成长"),5))*(VLOOKUP($B$5,标准坦克设计!$B$24:$U$30,MATCH("对"&amp;LEFT($C$5,2)&amp;"输出",标准坦克设计!$B$23:$U$23,0)))*(VLOOKUP($B176,INDIRECT($B$5&amp;"生成成长"),3))*(VLOOKUP($B$5,标准坦克设计!$B$14:$K$20,9)/30))</f>
        <v>4.3368699487886744</v>
      </c>
      <c r="CF176" s="173">
        <f ca="1">(VLOOKUP(CF$72,INDIRECT($C$5&amp;"生成成长"),2))/((VLOOKUP($B176,INDIRECT($B$5&amp;"生成成长"),4))/(VLOOKUP(CF$72,INDIRECT($C$5&amp;"生成成长"),5))*(VLOOKUP($B$5,标准坦克设计!$B$24:$U$30,MATCH("对"&amp;LEFT($C$5,2)&amp;"输出",标准坦克设计!$B$23:$U$23,0)))*(VLOOKUP($B176,INDIRECT($B$5&amp;"生成成长"),3))*(VLOOKUP($B$5,标准坦克设计!$B$14:$K$20,9)/30))</f>
        <v>4.6678126260798471</v>
      </c>
      <c r="CG176" s="173">
        <f ca="1">(VLOOKUP(CG$72,INDIRECT($C$5&amp;"生成成长"),2))/((VLOOKUP($B176,INDIRECT($B$5&amp;"生成成长"),4))/(VLOOKUP(CG$72,INDIRECT($C$5&amp;"生成成长"),5))*(VLOOKUP($B$5,标准坦克设计!$B$24:$U$30,MATCH("对"&amp;LEFT($C$5,2)&amp;"输出",标准坦克设计!$B$23:$U$23,0)))*(VLOOKUP($B176,INDIRECT($B$5&amp;"生成成长"),3))*(VLOOKUP($B$5,标准坦克设计!$B$14:$K$20,9)/30))</f>
        <v>5.0109223135655476</v>
      </c>
      <c r="CH176" s="173">
        <f ca="1">(VLOOKUP(CH$72,INDIRECT($C$5&amp;"生成成长"),2))/((VLOOKUP($B176,INDIRECT($B$5&amp;"生成成长"),4))/(VLOOKUP(CH$72,INDIRECT($C$5&amp;"生成成长"),5))*(VLOOKUP($B$5,标准坦克设计!$B$24:$U$30,MATCH("对"&amp;LEFT($C$5,2)&amp;"输出",标准坦克设计!$B$23:$U$23,0)))*(VLOOKUP($B176,INDIRECT($B$5&amp;"生成成长"),3))*(VLOOKUP($B$5,标准坦克设计!$B$14:$K$20,9)/30))</f>
        <v>5.3661990112457758</v>
      </c>
      <c r="CI176" s="173">
        <f ca="1">(VLOOKUP(CI$72,INDIRECT($C$5&amp;"生成成长"),2))/((VLOOKUP($B176,INDIRECT($B$5&amp;"生成成长"),4))/(VLOOKUP(CI$72,INDIRECT($C$5&amp;"生成成长"),5))*(VLOOKUP($B$5,标准坦克设计!$B$24:$U$30,MATCH("对"&amp;LEFT($C$5,2)&amp;"输出",标准坦克设计!$B$23:$U$23,0)))*(VLOOKUP($B176,INDIRECT($B$5&amp;"生成成长"),3))*(VLOOKUP($B$5,标准坦克设计!$B$14:$K$20,9)/30))</f>
        <v>5.7710562754687098</v>
      </c>
      <c r="CJ176" s="173">
        <f ca="1">(VLOOKUP(CJ$72,INDIRECT($C$5&amp;"生成成长"),2))/((VLOOKUP($B176,INDIRECT($B$5&amp;"生成成长"),4))/(VLOOKUP(CJ$72,INDIRECT($C$5&amp;"生成成长"),5))*(VLOOKUP($B$5,标准坦克设计!$B$24:$U$30,MATCH("对"&amp;LEFT($C$5,2)&amp;"输出",标准坦克设计!$B$23:$U$23,0)))*(VLOOKUP($B176,INDIRECT($B$5&amp;"生成成长"),3))*(VLOOKUP($B$5,标准坦克设计!$B$14:$K$20,9)/30))</f>
        <v>6.1906356220270213</v>
      </c>
      <c r="CK176" s="173">
        <f ca="1">(VLOOKUP(CK$72,INDIRECT($C$5&amp;"生成成长"),2))/((VLOOKUP($B176,INDIRECT($B$5&amp;"生成成长"),4))/(VLOOKUP(CK$72,INDIRECT($C$5&amp;"生成成长"),5))*(VLOOKUP($B$5,标准坦克设计!$B$24:$U$30,MATCH("对"&amp;LEFT($C$5,2)&amp;"输出",标准坦克设计!$B$23:$U$23,0)))*(VLOOKUP($B176,INDIRECT($B$5&amp;"生成成长"),3))*(VLOOKUP($B$5,标准坦克设计!$B$14:$K$20,9)/30))</f>
        <v>6.6249370509207122</v>
      </c>
      <c r="CL176" s="173">
        <f ca="1">(VLOOKUP(CL$72,INDIRECT($C$5&amp;"生成成长"),2))/((VLOOKUP($B176,INDIRECT($B$5&amp;"生成成长"),4))/(VLOOKUP(CL$72,INDIRECT($C$5&amp;"生成成长"),5))*(VLOOKUP($B$5,标准坦克设计!$B$24:$U$30,MATCH("对"&amp;LEFT($C$5,2)&amp;"输出",标准坦克设计!$B$23:$U$23,0)))*(VLOOKUP($B176,INDIRECT($B$5&amp;"生成成长"),3))*(VLOOKUP($B$5,标准坦克设计!$B$14:$K$20,9)/30))</f>
        <v>7.0739605621497823</v>
      </c>
      <c r="CM176" s="173">
        <f ca="1">(VLOOKUP(CM$72,INDIRECT($C$5&amp;"生成成长"),2))/((VLOOKUP($B176,INDIRECT($B$5&amp;"生成成长"),4))/(VLOOKUP(CM$72,INDIRECT($C$5&amp;"生成成长"),5))*(VLOOKUP($B$5,标准坦克设计!$B$24:$U$30,MATCH("对"&amp;LEFT($C$5,2)&amp;"输出",标准坦克设计!$B$23:$U$23,0)))*(VLOOKUP($B176,INDIRECT($B$5&amp;"生成成长"),3))*(VLOOKUP($B$5,标准坦克设计!$B$14:$K$20,9)/30))</f>
        <v>7.5377061557142309</v>
      </c>
      <c r="CN176" s="173">
        <f ca="1">(VLOOKUP(CN$72,INDIRECT($C$5&amp;"生成成长"),2))/((VLOOKUP($B176,INDIRECT($B$5&amp;"生成成长"),4))/(VLOOKUP(CN$72,INDIRECT($C$5&amp;"生成成长"),5))*(VLOOKUP($B$5,标准坦克设计!$B$24:$U$30,MATCH("对"&amp;LEFT($C$5,2)&amp;"输出",标准坦克设计!$B$23:$U$23,0)))*(VLOOKUP($B176,INDIRECT($B$5&amp;"生成成长"),3))*(VLOOKUP($B$5,标准坦克设计!$B$14:$K$20,9)/30))</f>
        <v>8.0161738316140614</v>
      </c>
      <c r="CO176" s="173">
        <f ca="1">(VLOOKUP(CO$72,INDIRECT($C$5&amp;"生成成长"),2))/((VLOOKUP($B176,INDIRECT($B$5&amp;"生成成长"),4))/(VLOOKUP(CO$72,INDIRECT($C$5&amp;"生成成长"),5))*(VLOOKUP($B$5,标准坦克设计!$B$24:$U$30,MATCH("对"&amp;LEFT($C$5,2)&amp;"输出",标准坦克设计!$B$23:$U$23,0)))*(VLOOKUP($B176,INDIRECT($B$5&amp;"生成成长"),3))*(VLOOKUP($B$5,标准坦克设计!$B$14:$K$20,9)/30))</f>
        <v>3.5922489248835365</v>
      </c>
      <c r="CP176" s="173">
        <f ca="1">(VLOOKUP(CP$72,INDIRECT($C$5&amp;"生成成长"),2))/((VLOOKUP($B176,INDIRECT($B$5&amp;"生成成长"),4))/(VLOOKUP(CP$72,INDIRECT($C$5&amp;"生成成长"),5))*(VLOOKUP($B$5,标准坦克设计!$B$24:$U$30,MATCH("对"&amp;LEFT($C$5,2)&amp;"输出",标准坦克设计!$B$23:$U$23,0)))*(VLOOKUP($B176,INDIRECT($B$5&amp;"生成成长"),3))*(VLOOKUP($B$5,标准坦克设计!$B$14:$K$20,9)/30))</f>
        <v>3.9248341485509699</v>
      </c>
      <c r="CQ176" s="173">
        <f ca="1">(VLOOKUP(CQ$72,INDIRECT($C$5&amp;"生成成长"),2))/((VLOOKUP($B176,INDIRECT($B$5&amp;"生成成长"),4))/(VLOOKUP(CQ$72,INDIRECT($C$5&amp;"生成成长"),5))*(VLOOKUP($B$5,标准坦克设计!$B$24:$U$30,MATCH("对"&amp;LEFT($C$5,2)&amp;"输出",标准坦克设计!$B$23:$U$23,0)))*(VLOOKUP($B176,INDIRECT($B$5&amp;"生成成长"),3))*(VLOOKUP($B$5,标准坦克设计!$B$14:$K$20,9)/30))</f>
        <v>4.2721414545537835</v>
      </c>
      <c r="CR176" s="173">
        <f ca="1">(VLOOKUP(CR$72,INDIRECT($C$5&amp;"生成成长"),2))/((VLOOKUP($B176,INDIRECT($B$5&amp;"生成成长"),4))/(VLOOKUP(CR$72,INDIRECT($C$5&amp;"生成成长"),5))*(VLOOKUP($B$5,标准坦克设计!$B$24:$U$30,MATCH("对"&amp;LEFT($C$5,2)&amp;"输出",标准坦克设计!$B$23:$U$23,0)))*(VLOOKUP($B176,INDIRECT($B$5&amp;"生成成长"),3))*(VLOOKUP($B$5,标准坦克设计!$B$14:$K$20,9)/30))</f>
        <v>4.6341708428919759</v>
      </c>
      <c r="CS176" s="173">
        <f ca="1">(VLOOKUP(CS$72,INDIRECT($C$5&amp;"生成成长"),2))/((VLOOKUP($B176,INDIRECT($B$5&amp;"生成成长"),4))/(VLOOKUP(CS$72,INDIRECT($C$5&amp;"生成成长"),5))*(VLOOKUP($B$5,标准坦克设计!$B$24:$U$30,MATCH("对"&amp;LEFT($C$5,2)&amp;"输出",标准坦克设计!$B$23:$U$23,0)))*(VLOOKUP($B176,INDIRECT($B$5&amp;"生成成长"),3))*(VLOOKUP($B$5,标准坦克设计!$B$14:$K$20,9)/30))</f>
        <v>5.0109223135655476</v>
      </c>
      <c r="CT176" s="173">
        <f ca="1">(VLOOKUP(CT$72,INDIRECT($C$5&amp;"生成成长"),2))/((VLOOKUP($B176,INDIRECT($B$5&amp;"生成成长"),4))/(VLOOKUP(CT$72,INDIRECT($C$5&amp;"生成成长"),5))*(VLOOKUP($B$5,标准坦克设计!$B$24:$U$30,MATCH("对"&amp;LEFT($C$5,2)&amp;"输出",标准坦克设计!$B$23:$U$23,0)))*(VLOOKUP($B176,INDIRECT($B$5&amp;"生成成长"),3))*(VLOOKUP($B$5,标准坦克设计!$B$14:$K$20,9)/30))</f>
        <v>5.4023958665744987</v>
      </c>
      <c r="CU176" s="173">
        <f ca="1">(VLOOKUP(CU$72,INDIRECT($C$5&amp;"生成成长"),2))/((VLOOKUP($B176,INDIRECT($B$5&amp;"生成成长"),4))/(VLOOKUP(CU$72,INDIRECT($C$5&amp;"生成成长"),5))*(VLOOKUP($B$5,标准坦克设计!$B$24:$U$30,MATCH("对"&amp;LEFT($C$5,2)&amp;"输出",标准坦克设计!$B$23:$U$23,0)))*(VLOOKUP($B176,INDIRECT($B$5&amp;"生成成长"),3))*(VLOOKUP($B$5,标准坦克设计!$B$14:$K$20,9)/30))</f>
        <v>5.808591501918829</v>
      </c>
      <c r="CV176" s="173">
        <f ca="1">(VLOOKUP(CV$72,INDIRECT($C$5&amp;"生成成长"),2))/((VLOOKUP($B176,INDIRECT($B$5&amp;"生成成长"),4))/(VLOOKUP(CV$72,INDIRECT($C$5&amp;"生成成长"),5))*(VLOOKUP($B$5,标准坦克设计!$B$24:$U$30,MATCH("对"&amp;LEFT($C$5,2)&amp;"输出",标准坦克设计!$B$23:$U$23,0)))*(VLOOKUP($B176,INDIRECT($B$5&amp;"生成成长"),3))*(VLOOKUP($B$5,标准坦克设计!$B$14:$K$20,9)/30))</f>
        <v>6.2295092195985395</v>
      </c>
      <c r="CW176" s="173">
        <f ca="1">(VLOOKUP(CW$72,INDIRECT($C$5&amp;"生成成长"),2))/((VLOOKUP($B176,INDIRECT($B$5&amp;"生成成长"),4))/(VLOOKUP(CW$72,INDIRECT($C$5&amp;"生成成长"),5))*(VLOOKUP($B$5,标准坦克设计!$B$24:$U$30,MATCH("对"&amp;LEFT($C$5,2)&amp;"输出",标准坦克设计!$B$23:$U$23,0)))*(VLOOKUP($B176,INDIRECT($B$5&amp;"生成成长"),3))*(VLOOKUP($B$5,标准坦克设计!$B$14:$K$20,9)/30))</f>
        <v>6.6651490196136285</v>
      </c>
      <c r="CX176" s="173">
        <f ca="1">(VLOOKUP(CX$72,INDIRECT($C$5&amp;"生成成长"),2))/((VLOOKUP($B176,INDIRECT($B$5&amp;"生成成长"),4))/(VLOOKUP(CX$72,INDIRECT($C$5&amp;"生成成长"),5))*(VLOOKUP($B$5,标准坦克设计!$B$24:$U$30,MATCH("对"&amp;LEFT($C$5,2)&amp;"输出",标准坦克设计!$B$23:$U$23,0)))*(VLOOKUP($B176,INDIRECT($B$5&amp;"生成成长"),3))*(VLOOKUP($B$5,标准坦克设计!$B$14:$K$20,9)/30))</f>
        <v>7.1155109019640967</v>
      </c>
      <c r="CY176" s="173">
        <f ca="1">(VLOOKUP(CY$72,INDIRECT($C$5&amp;"生成成长"),2))/((VLOOKUP($B176,INDIRECT($B$5&amp;"生成成长"),4))/(VLOOKUP(CY$72,INDIRECT($C$5&amp;"生成成长"),5))*(VLOOKUP($B$5,标准坦克设计!$B$24:$U$30,MATCH("对"&amp;LEFT($C$5,2)&amp;"输出",标准坦克设计!$B$23:$U$23,0)))*(VLOOKUP($B176,INDIRECT($B$5&amp;"生成成长"),3))*(VLOOKUP($B$5,标准坦克设计!$B$14:$K$20,9)/30))</f>
        <v>7.5805948666499461</v>
      </c>
      <c r="CZ176" s="173">
        <f ca="1">(VLOOKUP(CZ$72,INDIRECT($C$5&amp;"生成成长"),2))/((VLOOKUP($B176,INDIRECT($B$5&amp;"生成成长"),4))/(VLOOKUP(CZ$72,INDIRECT($C$5&amp;"生成成长"),5))*(VLOOKUP($B$5,标准坦克设计!$B$24:$U$30,MATCH("对"&amp;LEFT($C$5,2)&amp;"输出",标准坦克设计!$B$23:$U$23,0)))*(VLOOKUP($B176,INDIRECT($B$5&amp;"生成成长"),3))*(VLOOKUP($B$5,标准坦克设计!$B$14:$K$20,9)/30))</f>
        <v>8.0604009136711721</v>
      </c>
      <c r="DA176" s="173">
        <f ca="1">(VLOOKUP(DA$72,INDIRECT($C$5&amp;"生成成长"),2))/((VLOOKUP($B176,INDIRECT($B$5&amp;"生成成长"),4))/(VLOOKUP(DA$72,INDIRECT($C$5&amp;"生成成长"),5))*(VLOOKUP($B$5,标准坦克设计!$B$24:$U$30,MATCH("对"&amp;LEFT($C$5,2)&amp;"输出",标准坦克设计!$B$23:$U$23,0)))*(VLOOKUP($B176,INDIRECT($B$5&amp;"生成成长"),3))*(VLOOKUP($B$5,标准坦克设计!$B$14:$K$20,9)/30))</f>
        <v>8.5549290430277782</v>
      </c>
      <c r="DB176" s="173">
        <f ca="1">(VLOOKUP(DB$72,INDIRECT($C$5&amp;"生成成长"),2))/((VLOOKUP($B176,INDIRECT($B$5&amp;"生成成长"),4))/(VLOOKUP(DB$72,INDIRECT($C$5&amp;"生成成长"),5))*(VLOOKUP($B$5,标准坦克设计!$B$24:$U$30,MATCH("对"&amp;LEFT($C$5,2)&amp;"输出",标准坦克设计!$B$23:$U$23,0)))*(VLOOKUP($B176,INDIRECT($B$5&amp;"生成成长"),3))*(VLOOKUP($B$5,标准坦克设计!$B$14:$K$20,9)/30))</f>
        <v>9.0641792547197646</v>
      </c>
      <c r="DC176" s="173">
        <f ca="1">(VLOOKUP(DC$72,INDIRECT($C$5&amp;"生成成长"),2))/((VLOOKUP($B176,INDIRECT($B$5&amp;"生成成长"),4))/(VLOOKUP(DC$72,INDIRECT($C$5&amp;"生成成长"),5))*(VLOOKUP($B$5,标准坦克设计!$B$24:$U$30,MATCH("对"&amp;LEFT($C$5,2)&amp;"输出",标准坦克设计!$B$23:$U$23,0)))*(VLOOKUP($B176,INDIRECT($B$5&amp;"生成成长"),3))*(VLOOKUP($B$5,标准坦克设计!$B$14:$K$20,9)/30))</f>
        <v>9.6365154142703808</v>
      </c>
      <c r="DD176" s="173">
        <f ca="1">(VLOOKUP(DD$72,INDIRECT($C$5&amp;"生成成长"),2))/((VLOOKUP($B176,INDIRECT($B$5&amp;"生成成长"),4))/(VLOOKUP(DD$72,INDIRECT($C$5&amp;"生成成长"),5))*(VLOOKUP($B$5,标准坦克设计!$B$24:$U$30,MATCH("对"&amp;LEFT($C$5,2)&amp;"输出",标准坦克设计!$B$23:$U$23,0)))*(VLOOKUP($B176,INDIRECT($B$5&amp;"生成成长"),3))*(VLOOKUP($B$5,标准坦克设计!$B$14:$K$20,9)/30))</f>
        <v>10.226372068501117</v>
      </c>
      <c r="DE176" s="173">
        <f ca="1">(VLOOKUP(DE$72,INDIRECT($C$5&amp;"生成成长"),2))/((VLOOKUP($B176,INDIRECT($B$5&amp;"生成成长"),4))/(VLOOKUP(DE$72,INDIRECT($C$5&amp;"生成成长"),5))*(VLOOKUP($B$5,标准坦克设计!$B$24:$U$30,MATCH("对"&amp;LEFT($C$5,2)&amp;"输出",标准坦克设计!$B$23:$U$23,0)))*(VLOOKUP($B176,INDIRECT($B$5&amp;"生成成长"),3))*(VLOOKUP($B$5,标准坦克设计!$B$14:$K$20,9)/30))</f>
        <v>10.833749217411974</v>
      </c>
      <c r="DF176" s="173">
        <f ca="1">(VLOOKUP(DF$72,INDIRECT($C$5&amp;"生成成长"),2))/((VLOOKUP($B176,INDIRECT($B$5&amp;"生成成长"),4))/(VLOOKUP(DF$72,INDIRECT($C$5&amp;"生成成长"),5))*(VLOOKUP($B$5,标准坦克设计!$B$24:$U$30,MATCH("对"&amp;LEFT($C$5,2)&amp;"输出",标准坦克设计!$B$23:$U$23,0)))*(VLOOKUP($B176,INDIRECT($B$5&amp;"生成成长"),3))*(VLOOKUP($B$5,标准坦克设计!$B$14:$K$20,9)/30))</f>
        <v>11.458646861002954</v>
      </c>
      <c r="DG176" s="173">
        <f ca="1">(VLOOKUP(DG$72,INDIRECT($C$5&amp;"生成成长"),2))/((VLOOKUP($B176,INDIRECT($B$5&amp;"生成成长"),4))/(VLOOKUP(DG$72,INDIRECT($C$5&amp;"生成成长"),5))*(VLOOKUP($B$5,标准坦克设计!$B$24:$U$30,MATCH("对"&amp;LEFT($C$5,2)&amp;"输出",标准坦克设计!$B$23:$U$23,0)))*(VLOOKUP($B176,INDIRECT($B$5&amp;"生成成长"),3))*(VLOOKUP($B$5,标准坦克设计!$B$14:$K$20,9)/30))</f>
        <v>12.101064999274055</v>
      </c>
      <c r="DH176" s="173">
        <f ca="1">(VLOOKUP(DH$72,INDIRECT($C$5&amp;"生成成长"),2))/((VLOOKUP($B176,INDIRECT($B$5&amp;"生成成长"),4))/(VLOOKUP(DH$72,INDIRECT($C$5&amp;"生成成长"),5))*(VLOOKUP($B$5,标准坦克设计!$B$24:$U$30,MATCH("对"&amp;LEFT($C$5,2)&amp;"输出",标准坦克设计!$B$23:$U$23,0)))*(VLOOKUP($B176,INDIRECT($B$5&amp;"生成成长"),3))*(VLOOKUP($B$5,标准坦克设计!$B$14:$K$20,9)/30))</f>
        <v>12.761003632225275</v>
      </c>
      <c r="DI176" s="173">
        <f ca="1">(VLOOKUP(DI$72,INDIRECT($C$5&amp;"生成成长"),2))/((VLOOKUP($B176,INDIRECT($B$5&amp;"生成成长"),4))/(VLOOKUP(DI$72,INDIRECT($C$5&amp;"生成成长"),5))*(VLOOKUP($B$5,标准坦克设计!$B$24:$U$30,MATCH("对"&amp;LEFT($C$5,2)&amp;"输出",标准坦克设计!$B$23:$U$23,0)))*(VLOOKUP($B176,INDIRECT($B$5&amp;"生成成长"),3))*(VLOOKUP($B$5,标准坦克设计!$B$14:$K$20,9)/30))</f>
        <v>13.438462759856614</v>
      </c>
      <c r="DJ176" s="173">
        <f ca="1">(VLOOKUP(DJ$72,INDIRECT($C$5&amp;"生成成长"),2))/((VLOOKUP($B176,INDIRECT($B$5&amp;"生成成长"),4))/(VLOOKUP(DJ$72,INDIRECT($C$5&amp;"生成成长"),5))*(VLOOKUP($B$5,标准坦克设计!$B$24:$U$30,MATCH("对"&amp;LEFT($C$5,2)&amp;"输出",标准坦克设计!$B$23:$U$23,0)))*(VLOOKUP($B176,INDIRECT($B$5&amp;"生成成长"),3))*(VLOOKUP($B$5,标准坦克设计!$B$14:$K$20,9)/30))</f>
        <v>1.3505989666436247</v>
      </c>
      <c r="DK176" s="173">
        <f ca="1">(VLOOKUP(DK$72,INDIRECT($C$5&amp;"生成成长"),2))/((VLOOKUP($B176,INDIRECT($B$5&amp;"生成成长"),4))/(VLOOKUP(DK$72,INDIRECT($C$5&amp;"生成成长"),5))*(VLOOKUP($B$5,标准坦克设计!$B$24:$U$30,MATCH("对"&amp;LEFT($C$5,2)&amp;"输出",标准坦克设计!$B$23:$U$23,0)))*(VLOOKUP($B176,INDIRECT($B$5&amp;"生成成长"),3))*(VLOOKUP($B$5,标准坦克设计!$B$14:$K$20,9)/30))</f>
        <v>1.5186862124810343</v>
      </c>
      <c r="DL176" s="173">
        <f ca="1">(VLOOKUP(DL$72,INDIRECT($C$5&amp;"生成成长"),2))/((VLOOKUP($B176,INDIRECT($B$5&amp;"生成成长"),4))/(VLOOKUP(DL$72,INDIRECT($C$5&amp;"生成成长"),5))*(VLOOKUP($B$5,标准坦克设计!$B$24:$U$30,MATCH("对"&amp;LEFT($C$5,2)&amp;"输出",标准坦克设计!$B$23:$U$23,0)))*(VLOOKUP($B176,INDIRECT($B$5&amp;"生成成长"),3))*(VLOOKUP($B$5,标准坦克设计!$B$14:$K$20,9)/30))</f>
        <v>1.6966287365760124</v>
      </c>
      <c r="DM176" s="173">
        <f ca="1">(VLOOKUP(DM$72,INDIRECT($C$5&amp;"生成成长"),2))/((VLOOKUP($B176,INDIRECT($B$5&amp;"生成成长"),4))/(VLOOKUP(DM$72,INDIRECT($C$5&amp;"生成成长"),5))*(VLOOKUP($B$5,标准坦克设计!$B$24:$U$30,MATCH("对"&amp;LEFT($C$5,2)&amp;"输出",标准坦克设计!$B$23:$U$23,0)))*(VLOOKUP($B176,INDIRECT($B$5&amp;"生成成长"),3))*(VLOOKUP($B$5,标准坦克设计!$B$14:$K$20,9)/30))</f>
        <v>1.8844265389285577</v>
      </c>
      <c r="DN176" s="173">
        <f ca="1">(VLOOKUP(DN$72,INDIRECT($C$5&amp;"生成成长"),2))/((VLOOKUP($B176,INDIRECT($B$5&amp;"生成成长"),4))/(VLOOKUP(DN$72,INDIRECT($C$5&amp;"生成成长"),5))*(VLOOKUP($B$5,标准坦克设计!$B$24:$U$30,MATCH("对"&amp;LEFT($C$5,2)&amp;"输出",标准坦克设计!$B$23:$U$23,0)))*(VLOOKUP($B176,INDIRECT($B$5&amp;"生成成长"),3))*(VLOOKUP($B$5,标准坦克设计!$B$14:$K$20,9)/30))</f>
        <v>2.0820796195386717</v>
      </c>
      <c r="DO176" s="173">
        <f ca="1">(VLOOKUP(DO$72,INDIRECT($C$5&amp;"生成成长"),2))/((VLOOKUP($B176,INDIRECT($B$5&amp;"生成成长"),4))/(VLOOKUP(DO$72,INDIRECT($C$5&amp;"生成成长"),5))*(VLOOKUP($B$5,标准坦克设计!$B$24:$U$30,MATCH("对"&amp;LEFT($C$5,2)&amp;"输出",标准坦克设计!$B$23:$U$23,0)))*(VLOOKUP($B176,INDIRECT($B$5&amp;"生成成长"),3))*(VLOOKUP($B$5,标准坦克设计!$B$14:$K$20,9)/30))</f>
        <v>2.2895879784063533</v>
      </c>
      <c r="DP176" s="173">
        <f ca="1">(VLOOKUP(DP$72,INDIRECT($C$5&amp;"生成成长"),2))/((VLOOKUP($B176,INDIRECT($B$5&amp;"生成成长"),4))/(VLOOKUP(DP$72,INDIRECT($C$5&amp;"生成成长"),5))*(VLOOKUP($B$5,标准坦克设计!$B$24:$U$30,MATCH("对"&amp;LEFT($C$5,2)&amp;"输出",标准坦克设计!$B$23:$U$23,0)))*(VLOOKUP($B176,INDIRECT($B$5&amp;"生成成长"),3))*(VLOOKUP($B$5,标准坦克设计!$B$14:$K$20,9)/30))</f>
        <v>2.5069516155316038</v>
      </c>
      <c r="DQ176" s="173">
        <f ca="1">(VLOOKUP(DQ$72,INDIRECT($C$5&amp;"生成成长"),2))/((VLOOKUP($B176,INDIRECT($B$5&amp;"生成成长"),4))/(VLOOKUP(DQ$72,INDIRECT($C$5&amp;"生成成长"),5))*(VLOOKUP($B$5,标准坦克设计!$B$24:$U$30,MATCH("对"&amp;LEFT($C$5,2)&amp;"输出",标准坦克设计!$B$23:$U$23,0)))*(VLOOKUP($B176,INDIRECT($B$5&amp;"生成成长"),3))*(VLOOKUP($B$5,标准坦克设计!$B$14:$K$20,9)/30))</f>
        <v>2.7341705309144215</v>
      </c>
      <c r="DR176" s="173">
        <f ca="1">(VLOOKUP(DR$72,INDIRECT($C$5&amp;"生成成长"),2))/((VLOOKUP($B176,INDIRECT($B$5&amp;"生成成长"),4))/(VLOOKUP(DR$72,INDIRECT($C$5&amp;"生成成长"),5))*(VLOOKUP($B$5,标准坦克设计!$B$24:$U$30,MATCH("对"&amp;LEFT($C$5,2)&amp;"输出",标准坦克设计!$B$23:$U$23,0)))*(VLOOKUP($B176,INDIRECT($B$5&amp;"生成成长"),3))*(VLOOKUP($B$5,标准坦克设计!$B$14:$K$20,9)/30))</f>
        <v>2.9712447245548073</v>
      </c>
      <c r="DS176" s="173">
        <f ca="1">(VLOOKUP(DS$72,INDIRECT($C$5&amp;"生成成长"),2))/((VLOOKUP($B176,INDIRECT($B$5&amp;"生成成长"),4))/(VLOOKUP(DS$72,INDIRECT($C$5&amp;"生成成长"),5))*(VLOOKUP($B$5,标准坦克设计!$B$24:$U$30,MATCH("对"&amp;LEFT($C$5,2)&amp;"输出",标准坦克设计!$B$23:$U$23,0)))*(VLOOKUP($B176,INDIRECT($B$5&amp;"生成成长"),3))*(VLOOKUP($B$5,标准坦克设计!$B$14:$K$20,9)/30))</f>
        <v>3.218174196452761</v>
      </c>
      <c r="DT176" s="173">
        <f ca="1">(VLOOKUP(DT$72,INDIRECT($C$5&amp;"生成成长"),2))/((VLOOKUP($B176,INDIRECT($B$5&amp;"生成成长"),4))/(VLOOKUP(DT$72,INDIRECT($C$5&amp;"生成成长"),5))*(VLOOKUP($B$5,标准坦克设计!$B$24:$U$30,MATCH("对"&amp;LEFT($C$5,2)&amp;"输出",标准坦克设计!$B$23:$U$23,0)))*(VLOOKUP($B176,INDIRECT($B$5&amp;"生成成长"),3))*(VLOOKUP($B$5,标准坦克设计!$B$14:$K$20,9)/30))</f>
        <v>3.5333605955420184</v>
      </c>
      <c r="DU176" s="173">
        <f ca="1">(VLOOKUP(DU$72,INDIRECT($C$5&amp;"生成成长"),2))/((VLOOKUP($B176,INDIRECT($B$5&amp;"生成成长"),4))/(VLOOKUP(DU$72,INDIRECT($C$5&amp;"生成成长"),5))*(VLOOKUP($B$5,标准坦克设计!$B$24:$U$30,MATCH("对"&amp;LEFT($C$5,2)&amp;"输出",标准坦克设计!$B$23:$U$23,0)))*(VLOOKUP($B176,INDIRECT($B$5&amp;"生成成长"),3))*(VLOOKUP($B$5,标准坦克设计!$B$14:$K$20,9)/30))</f>
        <v>3.8632690769666564</v>
      </c>
      <c r="DV176" s="173">
        <f ca="1">(VLOOKUP(DV$72,INDIRECT($C$5&amp;"生成成长"),2))/((VLOOKUP($B176,INDIRECT($B$5&amp;"生成成长"),4))/(VLOOKUP(DV$72,INDIRECT($C$5&amp;"生成成长"),5))*(VLOOKUP($B$5,标准坦克设计!$B$24:$U$30,MATCH("对"&amp;LEFT($C$5,2)&amp;"输出",标准坦克设计!$B$23:$U$23,0)))*(VLOOKUP($B176,INDIRECT($B$5&amp;"生成成长"),3))*(VLOOKUP($B$5,标准坦克设计!$B$14:$K$20,9)/30))</f>
        <v>4.2078996407266738</v>
      </c>
      <c r="DW176" s="173">
        <f ca="1">(VLOOKUP(DW$72,INDIRECT($C$5&amp;"生成成长"),2))/((VLOOKUP($B176,INDIRECT($B$5&amp;"生成成长"),4))/(VLOOKUP(DW$72,INDIRECT($C$5&amp;"生成成长"),5))*(VLOOKUP($B$5,标准坦克设计!$B$24:$U$30,MATCH("对"&amp;LEFT($C$5,2)&amp;"输出",标准坦克设计!$B$23:$U$23,0)))*(VLOOKUP($B176,INDIRECT($B$5&amp;"生成成长"),3))*(VLOOKUP($B$5,标准坦克设计!$B$14:$K$20,9)/30))</f>
        <v>4.56725228682207</v>
      </c>
      <c r="DX176" s="173">
        <f ca="1">(VLOOKUP(DX$72,INDIRECT($C$5&amp;"生成成长"),2))/((VLOOKUP($B176,INDIRECT($B$5&amp;"生成成长"),4))/(VLOOKUP(DX$72,INDIRECT($C$5&amp;"生成成长"),5))*(VLOOKUP($B$5,标准坦克设计!$B$24:$U$30,MATCH("对"&amp;LEFT($C$5,2)&amp;"输出",标准坦克设计!$B$23:$U$23,0)))*(VLOOKUP($B176,INDIRECT($B$5&amp;"生成成长"),3))*(VLOOKUP($B$5,标准坦克设计!$B$14:$K$20,9)/30))</f>
        <v>4.9413270152528455</v>
      </c>
      <c r="DY176" s="173">
        <f ca="1">(VLOOKUP(DY$72,INDIRECT($C$5&amp;"生成成长"),2))/((VLOOKUP($B176,INDIRECT($B$5&amp;"生成成长"),4))/(VLOOKUP(DY$72,INDIRECT($C$5&amp;"生成成长"),5))*(VLOOKUP($B$5,标准坦克设计!$B$24:$U$30,MATCH("对"&amp;LEFT($C$5,2)&amp;"输出",标准坦克设计!$B$23:$U$23,0)))*(VLOOKUP($B176,INDIRECT($B$5&amp;"生成成长"),3))*(VLOOKUP($B$5,标准坦克设计!$B$14:$K$20,9)/30))</f>
        <v>2.219323494532953</v>
      </c>
      <c r="DZ176" s="173">
        <f ca="1">(VLOOKUP(DZ$72,INDIRECT($C$5&amp;"生成成长"),2))/((VLOOKUP($B176,INDIRECT($B$5&amp;"生成成长"),4))/(VLOOKUP(DZ$72,INDIRECT($C$5&amp;"生成成长"),5))*(VLOOKUP($B$5,标准坦克设计!$B$24:$U$30,MATCH("对"&amp;LEFT($C$5,2)&amp;"输出",标准坦克设计!$B$23:$U$23,0)))*(VLOOKUP($B176,INDIRECT($B$5&amp;"生成成长"),3))*(VLOOKUP($B$5,标准坦克设计!$B$14:$K$20,9)/30))</f>
        <v>2.4577968943457087</v>
      </c>
      <c r="EA176" s="173">
        <f ca="1">(VLOOKUP(EA$72,INDIRECT($C$5&amp;"生成成长"),2))/((VLOOKUP($B176,INDIRECT($B$5&amp;"生成成长"),4))/(VLOOKUP(EA$72,INDIRECT($C$5&amp;"生成成长"),5))*(VLOOKUP($B$5,标准坦克设计!$B$24:$U$30,MATCH("对"&amp;LEFT($C$5,2)&amp;"输出",标准坦克设计!$B$23:$U$23,0)))*(VLOOKUP($B176,INDIRECT($B$5&amp;"生成成长"),3))*(VLOOKUP($B$5,标准坦克设计!$B$14:$K$20,9)/30))</f>
        <v>2.7084373043529935</v>
      </c>
      <c r="EB176" s="173">
        <f ca="1">(VLOOKUP(EB$72,INDIRECT($C$5&amp;"生成成长"),2))/((VLOOKUP($B176,INDIRECT($B$5&amp;"生成成长"),4))/(VLOOKUP(EB$72,INDIRECT($C$5&amp;"生成成长"),5))*(VLOOKUP($B$5,标准坦克设计!$B$24:$U$30,MATCH("对"&amp;LEFT($C$5,2)&amp;"输出",标准坦克设计!$B$23:$U$23,0)))*(VLOOKUP($B176,INDIRECT($B$5&amp;"生成成长"),3))*(VLOOKUP($B$5,标准坦克设计!$B$14:$K$20,9)/30))</f>
        <v>2.9712447245548073</v>
      </c>
      <c r="EC176" s="173">
        <f ca="1">(VLOOKUP(EC$72,INDIRECT($C$5&amp;"生成成长"),2))/((VLOOKUP($B176,INDIRECT($B$5&amp;"生成成长"),4))/(VLOOKUP(EC$72,INDIRECT($C$5&amp;"生成成长"),5))*(VLOOKUP($B$5,标准坦克设计!$B$24:$U$30,MATCH("对"&amp;LEFT($C$5,2)&amp;"输出",标准坦克设计!$B$23:$U$23,0)))*(VLOOKUP($B176,INDIRECT($B$5&amp;"生成成长"),3))*(VLOOKUP($B$5,标准坦克设计!$B$14:$K$20,9)/30))</f>
        <v>3.2462191549511488</v>
      </c>
      <c r="ED176" s="173">
        <f ca="1">(VLOOKUP(ED$72,INDIRECT($C$5&amp;"生成成长"),2))/((VLOOKUP($B176,INDIRECT($B$5&amp;"生成成长"),4))/(VLOOKUP(ED$72,INDIRECT($C$5&amp;"生成成长"),5))*(VLOOKUP($B$5,标准坦克设计!$B$24:$U$30,MATCH("对"&amp;LEFT($C$5,2)&amp;"输出",标准坦克设计!$B$23:$U$23,0)))*(VLOOKUP($B176,INDIRECT($B$5&amp;"生成成长"),3))*(VLOOKUP($B$5,标准坦克设计!$B$14:$K$20,9)/30))</f>
        <v>3.5333605955420184</v>
      </c>
      <c r="EE176" s="173">
        <f ca="1">(VLOOKUP(EE$72,INDIRECT($C$5&amp;"生成成长"),2))/((VLOOKUP($B176,INDIRECT($B$5&amp;"生成成长"),4))/(VLOOKUP(EE$72,INDIRECT($C$5&amp;"生成成长"),5))*(VLOOKUP($B$5,标准坦克设计!$B$24:$U$30,MATCH("对"&amp;LEFT($C$5,2)&amp;"输出",标准坦克设计!$B$23:$U$23,0)))*(VLOOKUP($B176,INDIRECT($B$5&amp;"生成成长"),3))*(VLOOKUP($B$5,标准坦克设计!$B$14:$K$20,9)/30))</f>
        <v>3.8326690463274171</v>
      </c>
      <c r="EF176" s="173">
        <f ca="1">(VLOOKUP(EF$72,INDIRECT($C$5&amp;"生成成长"),2))/((VLOOKUP($B176,INDIRECT($B$5&amp;"生成成长"),4))/(VLOOKUP(EF$72,INDIRECT($C$5&amp;"生成成长"),5))*(VLOOKUP($B$5,标准坦克设计!$B$24:$U$30,MATCH("对"&amp;LEFT($C$5,2)&amp;"输出",标准坦克设计!$B$23:$U$23,0)))*(VLOOKUP($B176,INDIRECT($B$5&amp;"生成成长"),3))*(VLOOKUP($B$5,标准坦克设计!$B$14:$K$20,9)/30))</f>
        <v>4.1441445073073444</v>
      </c>
      <c r="EG176" s="173">
        <f ca="1">(VLOOKUP(EG$72,INDIRECT($C$5&amp;"生成成长"),2))/((VLOOKUP($B176,INDIRECT($B$5&amp;"生成成长"),4))/(VLOOKUP(EG$72,INDIRECT($C$5&amp;"生成成长"),5))*(VLOOKUP($B$5,标准坦克设计!$B$24:$U$30,MATCH("对"&amp;LEFT($C$5,2)&amp;"输出",标准坦克设计!$B$23:$U$23,0)))*(VLOOKUP($B176,INDIRECT($B$5&amp;"生成成长"),3))*(VLOOKUP($B$5,标准坦克设计!$B$14:$K$20,9)/30))</f>
        <v>4.467786978481799</v>
      </c>
      <c r="EH176" s="173">
        <f ca="1">(VLOOKUP(EH$72,INDIRECT($C$5&amp;"生成成长"),2))/((VLOOKUP($B176,INDIRECT($B$5&amp;"生成成长"),4))/(VLOOKUP(EH$72,INDIRECT($C$5&amp;"生成成长"),5))*(VLOOKUP($B$5,标准坦克设计!$B$24:$U$30,MATCH("对"&amp;LEFT($C$5,2)&amp;"输出",标准坦克设计!$B$23:$U$23,0)))*(VLOOKUP($B176,INDIRECT($B$5&amp;"生成成长"),3))*(VLOOKUP($B$5,标准坦克设计!$B$14:$K$20,9)/30))</f>
        <v>4.8035964598507839</v>
      </c>
      <c r="EI176" s="173">
        <f ca="1">(VLOOKUP(EI$72,INDIRECT($C$5&amp;"生成成长"),2))/((VLOOKUP($B176,INDIRECT($B$5&amp;"生成成长"),4))/(VLOOKUP(EI$72,INDIRECT($C$5&amp;"生成成长"),5))*(VLOOKUP($B$5,标准坦克设计!$B$24:$U$30,MATCH("对"&amp;LEFT($C$5,2)&amp;"输出",标准坦克设计!$B$23:$U$23,0)))*(VLOOKUP($B176,INDIRECT($B$5&amp;"生成成长"),3))*(VLOOKUP($B$5,标准坦克设计!$B$14:$K$20,9)/30))</f>
        <v>5.1515729514142956</v>
      </c>
      <c r="EJ176" s="173">
        <f ca="1">(VLOOKUP(EJ$72,INDIRECT($C$5&amp;"生成成长"),2))/((VLOOKUP($B176,INDIRECT($B$5&amp;"生成成长"),4))/(VLOOKUP(EJ$72,INDIRECT($C$5&amp;"生成成长"),5))*(VLOOKUP($B$5,标准坦克设计!$B$24:$U$30,MATCH("对"&amp;LEFT($C$5,2)&amp;"输出",标准坦克设计!$B$23:$U$23,0)))*(VLOOKUP($B176,INDIRECT($B$5&amp;"生成成长"),3))*(VLOOKUP($B$5,标准坦克设计!$B$14:$K$20,9)/30))</f>
        <v>5.5117164531723368</v>
      </c>
      <c r="EK176" s="173">
        <f ca="1">(VLOOKUP(EK$72,INDIRECT($C$5&amp;"生成成长"),2))/((VLOOKUP($B176,INDIRECT($B$5&amp;"生成成长"),4))/(VLOOKUP(EK$72,INDIRECT($C$5&amp;"生成成长"),5))*(VLOOKUP($B$5,标准坦克设计!$B$24:$U$30,MATCH("对"&amp;LEFT($C$5,2)&amp;"输出",标准坦克设计!$B$23:$U$23,0)))*(VLOOKUP($B176,INDIRECT($B$5&amp;"生成成长"),3))*(VLOOKUP($B$5,标准坦克设计!$B$14:$K$20,9)/30))</f>
        <v>5.9599491087387619</v>
      </c>
      <c r="EL176" s="173">
        <f ca="1">(VLOOKUP(EL$72,INDIRECT($C$5&amp;"生成成长"),2))/((VLOOKUP($B176,INDIRECT($B$5&amp;"生成成长"),4))/(VLOOKUP(EL$72,INDIRECT($C$5&amp;"生成成长"),5))*(VLOOKUP($B$5,标准坦克设计!$B$24:$U$30,MATCH("对"&amp;LEFT($C$5,2)&amp;"输出",标准坦克设计!$B$23:$U$23,0)))*(VLOOKUP($B176,INDIRECT($B$5&amp;"生成成长"),3))*(VLOOKUP($B$5,标准坦克设计!$B$14:$K$20,9)/30))</f>
        <v>6.4257022589853099</v>
      </c>
      <c r="EM176" s="173">
        <f ca="1">(VLOOKUP(EM$72,INDIRECT($C$5&amp;"生成成长"),2))/((VLOOKUP($B176,INDIRECT($B$5&amp;"生成成长"),4))/(VLOOKUP(EM$72,INDIRECT($C$5&amp;"生成成长"),5))*(VLOOKUP($B$5,标准坦克设计!$B$24:$U$30,MATCH("对"&amp;LEFT($C$5,2)&amp;"输出",标准坦克设计!$B$23:$U$23,0)))*(VLOOKUP($B176,INDIRECT($B$5&amp;"生成成长"),3))*(VLOOKUP($B$5,标准坦克设计!$B$14:$K$20,9)/30))</f>
        <v>6.9089759039119771</v>
      </c>
      <c r="EN176" s="173">
        <f ca="1">(VLOOKUP(EN$72,INDIRECT($C$5&amp;"生成成长"),2))/((VLOOKUP($B176,INDIRECT($B$5&amp;"生成成长"),4))/(VLOOKUP(EN$72,INDIRECT($C$5&amp;"生成成长"),5))*(VLOOKUP($B$5,标准坦克设计!$B$24:$U$30,MATCH("对"&amp;LEFT($C$5,2)&amp;"输出",标准坦克设计!$B$23:$U$23,0)))*(VLOOKUP($B176,INDIRECT($B$5&amp;"生成成长"),3))*(VLOOKUP($B$5,标准坦克设计!$B$14:$K$20,9)/30))</f>
        <v>7.4097700435187654</v>
      </c>
      <c r="EO176" s="173">
        <f ca="1">(VLOOKUP(EO$72,INDIRECT($C$5&amp;"生成成长"),2))/((VLOOKUP($B176,INDIRECT($B$5&amp;"生成成长"),4))/(VLOOKUP(EO$72,INDIRECT($C$5&amp;"生成成长"),5))*(VLOOKUP($B$5,标准坦克设计!$B$24:$U$30,MATCH("对"&amp;LEFT($C$5,2)&amp;"输出",标准坦克设计!$B$23:$U$23,0)))*(VLOOKUP($B176,INDIRECT($B$5&amp;"生成成长"),3))*(VLOOKUP($B$5,标准坦克设计!$B$14:$K$20,9)/30))</f>
        <v>7.9280846778056757</v>
      </c>
      <c r="EP176" s="173">
        <f ca="1">(VLOOKUP(EP$72,INDIRECT($C$5&amp;"生成成长"),2))/((VLOOKUP($B176,INDIRECT($B$5&amp;"生成成长"),4))/(VLOOKUP(EP$72,INDIRECT($C$5&amp;"生成成长"),5))*(VLOOKUP($B$5,标准坦克设计!$B$24:$U$30,MATCH("对"&amp;LEFT($C$5,2)&amp;"输出",标准坦克设计!$B$23:$U$23,0)))*(VLOOKUP($B176,INDIRECT($B$5&amp;"生成成长"),3))*(VLOOKUP($B$5,标准坦克设计!$B$14:$K$20,9)/30))</f>
        <v>8.4639198067727062</v>
      </c>
      <c r="EQ176" s="173">
        <f ca="1">(VLOOKUP(EQ$72,INDIRECT($C$5&amp;"生成成长"),2))/((VLOOKUP($B176,INDIRECT($B$5&amp;"生成成长"),4))/(VLOOKUP(EQ$72,INDIRECT($C$5&amp;"生成成长"),5))*(VLOOKUP($B$5,标准坦克设计!$B$24:$U$30,MATCH("对"&amp;LEFT($C$5,2)&amp;"输出",标准坦克设计!$B$23:$U$23,0)))*(VLOOKUP($B176,INDIRECT($B$5&amp;"生成成长"),3))*(VLOOKUP($B$5,标准坦克设计!$B$14:$K$20,9)/30))</f>
        <v>3.7415989750213723</v>
      </c>
      <c r="ER176" s="173">
        <f ca="1">(VLOOKUP(ER$72,INDIRECT($C$5&amp;"生成成长"),2))/((VLOOKUP($B176,INDIRECT($B$5&amp;"生成成长"),4))/(VLOOKUP(ER$72,INDIRECT($C$5&amp;"生成成长"),5))*(VLOOKUP($B$5,标准坦克设计!$B$24:$U$30,MATCH("对"&amp;LEFT($C$5,2)&amp;"输出",标准坦克设计!$B$23:$U$23,0)))*(VLOOKUP($B176,INDIRECT($B$5&amp;"生成成长"),3))*(VLOOKUP($B$5,标准坦克设计!$B$14:$K$20,9)/30))</f>
        <v>4.0808760542957971</v>
      </c>
      <c r="ES176" s="173">
        <f ca="1">(VLOOKUP(ES$72,INDIRECT($C$5&amp;"生成成长"),2))/((VLOOKUP($B176,INDIRECT($B$5&amp;"生成成长"),4))/(VLOOKUP(ES$72,INDIRECT($C$5&amp;"生成成长"),5))*(VLOOKUP($B$5,标准坦克设计!$B$24:$U$30,MATCH("对"&amp;LEFT($C$5,2)&amp;"输出",标准坦克设计!$B$23:$U$23,0)))*(VLOOKUP($B176,INDIRECT($B$5&amp;"生成成长"),3))*(VLOOKUP($B$5,标准坦克设计!$B$14:$K$20,9)/30))</f>
        <v>4.4348752159056</v>
      </c>
      <c r="ET176" s="173">
        <f ca="1">(VLOOKUP(ET$72,INDIRECT($C$5&amp;"生成成长"),2))/((VLOOKUP($B176,INDIRECT($B$5&amp;"生成成长"),4))/(VLOOKUP(ET$72,INDIRECT($C$5&amp;"生成成长"),5))*(VLOOKUP($B$5,标准坦克设计!$B$24:$U$30,MATCH("对"&amp;LEFT($C$5,2)&amp;"输出",标准坦克设计!$B$23:$U$23,0)))*(VLOOKUP($B176,INDIRECT($B$5&amp;"生成成长"),3))*(VLOOKUP($B$5,标准坦克设计!$B$14:$K$20,9)/30))</f>
        <v>4.8035964598507839</v>
      </c>
      <c r="EU176" s="173">
        <f ca="1">(VLOOKUP(EU$72,INDIRECT($C$5&amp;"生成成长"),2))/((VLOOKUP($B176,INDIRECT($B$5&amp;"生成成长"),4))/(VLOOKUP(EU$72,INDIRECT($C$5&amp;"生成成长"),5))*(VLOOKUP($B$5,标准坦克设计!$B$24:$U$30,MATCH("对"&amp;LEFT($C$5,2)&amp;"输出",标准坦克设计!$B$23:$U$23,0)))*(VLOOKUP($B176,INDIRECT($B$5&amp;"生成成长"),3))*(VLOOKUP($B$5,标准坦克设计!$B$14:$K$20,9)/30))</f>
        <v>5.1870397861313471</v>
      </c>
      <c r="EV176" s="173">
        <f ca="1">(VLOOKUP(EV$72,INDIRECT($C$5&amp;"生成成长"),2))/((VLOOKUP($B176,INDIRECT($B$5&amp;"生成成长"),4))/(VLOOKUP(EV$72,INDIRECT($C$5&amp;"生成成长"),5))*(VLOOKUP($B$5,标准坦克设计!$B$24:$U$30,MATCH("对"&amp;LEFT($C$5,2)&amp;"输出",标准坦克设计!$B$23:$U$23,0)))*(VLOOKUP($B176,INDIRECT($B$5&amp;"生成成长"),3))*(VLOOKUP($B$5,标准坦克设计!$B$14:$K$20,9)/30))</f>
        <v>5.5852051947472869</v>
      </c>
      <c r="EW176" s="173">
        <f ca="1">(VLOOKUP(EW$72,INDIRECT($C$5&amp;"生成成长"),2))/((VLOOKUP($B176,INDIRECT($B$5&amp;"生成成长"),4))/(VLOOKUP(EW$72,INDIRECT($C$5&amp;"生成成长"),5))*(VLOOKUP($B$5,标准坦克设计!$B$24:$U$30,MATCH("对"&amp;LEFT($C$5,2)&amp;"输出",标准坦克设计!$B$23:$U$23,0)))*(VLOOKUP($B176,INDIRECT($B$5&amp;"生成成长"),3))*(VLOOKUP($B$5,标准坦克设计!$B$14:$K$20,9)/30))</f>
        <v>5.9980926856986088</v>
      </c>
      <c r="EX176" s="173">
        <f ca="1">(VLOOKUP(EX$72,INDIRECT($C$5&amp;"生成成长"),2))/((VLOOKUP($B176,INDIRECT($B$5&amp;"生成成长"),4))/(VLOOKUP(EX$72,INDIRECT($C$5&amp;"生成成长"),5))*(VLOOKUP($B$5,标准坦克设计!$B$24:$U$30,MATCH("对"&amp;LEFT($C$5,2)&amp;"输出",标准坦克设计!$B$23:$U$23,0)))*(VLOOKUP($B176,INDIRECT($B$5&amp;"生成成长"),3))*(VLOOKUP($B$5,标准坦克设计!$B$14:$K$20,9)/30))</f>
        <v>6.4257022589853099</v>
      </c>
      <c r="EY176" s="173">
        <f ca="1">(VLOOKUP(EY$72,INDIRECT($C$5&amp;"生成成长"),2))/((VLOOKUP($B176,INDIRECT($B$5&amp;"生成成长"),4))/(VLOOKUP(EY$72,INDIRECT($C$5&amp;"生成成长"),5))*(VLOOKUP($B$5,标准坦克设计!$B$24:$U$30,MATCH("对"&amp;LEFT($C$5,2)&amp;"输出",标准坦克设计!$B$23:$U$23,0)))*(VLOOKUP($B176,INDIRECT($B$5&amp;"生成成长"),3))*(VLOOKUP($B$5,标准坦克设计!$B$14:$K$20,9)/30))</f>
        <v>6.8680339146073894</v>
      </c>
      <c r="EZ176" s="173">
        <f ca="1">(VLOOKUP(EZ$72,INDIRECT($C$5&amp;"生成成长"),2))/((VLOOKUP($B176,INDIRECT($B$5&amp;"生成成长"),4))/(VLOOKUP(EZ$72,INDIRECT($C$5&amp;"生成成长"),5))*(VLOOKUP($B$5,标准坦克设计!$B$24:$U$30,MATCH("对"&amp;LEFT($C$5,2)&amp;"输出",标准坦克设计!$B$23:$U$23,0)))*(VLOOKUP($B176,INDIRECT($B$5&amp;"生成成长"),3))*(VLOOKUP($B$5,标准坦克设计!$B$14:$K$20,9)/30))</f>
        <v>7.3250876525648492</v>
      </c>
      <c r="FA176" s="173">
        <f ca="1">(VLOOKUP(FA$72,INDIRECT($C$5&amp;"生成成长"),2))/((VLOOKUP($B176,INDIRECT($B$5&amp;"生成成长"),4))/(VLOOKUP(FA$72,INDIRECT($C$5&amp;"生成成长"),5))*(VLOOKUP($B$5,标准坦克设计!$B$24:$U$30,MATCH("对"&amp;LEFT($C$5,2)&amp;"输出",标准坦克设计!$B$23:$U$23,0)))*(VLOOKUP($B176,INDIRECT($B$5&amp;"生成成长"),3))*(VLOOKUP($B$5,标准坦克设计!$B$14:$K$20,9)/30))</f>
        <v>7.7968634728576873</v>
      </c>
      <c r="FB176" s="173">
        <f ca="1">(VLOOKUP(FB$72,INDIRECT($C$5&amp;"生成成长"),2))/((VLOOKUP($B176,INDIRECT($B$5&amp;"生成成长"),4))/(VLOOKUP(FB$72,INDIRECT($C$5&amp;"生成成长"),5))*(VLOOKUP($B$5,标准坦克设计!$B$24:$U$30,MATCH("对"&amp;LEFT($C$5,2)&amp;"输出",标准坦克设计!$B$23:$U$23,0)))*(VLOOKUP($B176,INDIRECT($B$5&amp;"生成成长"),3))*(VLOOKUP($B$5,标准坦克设计!$B$14:$K$20,9)/30))</f>
        <v>8.2833613754859066</v>
      </c>
      <c r="FC176" s="173">
        <f ca="1">(VLOOKUP(FC$72,INDIRECT($C$5&amp;"生成成长"),2))/((VLOOKUP($B176,INDIRECT($B$5&amp;"生成成长"),4))/(VLOOKUP(FC$72,INDIRECT($C$5&amp;"生成成长"),5))*(VLOOKUP($B$5,标准坦克设计!$B$24:$U$30,MATCH("对"&amp;LEFT($C$5,2)&amp;"输出",标准坦克设计!$B$23:$U$23,0)))*(VLOOKUP($B176,INDIRECT($B$5&amp;"生成成长"),3))*(VLOOKUP($B$5,标准坦克设计!$B$14:$K$20,9)/30))</f>
        <v>8.7845813604495024</v>
      </c>
      <c r="FD176" s="173">
        <f ca="1">(VLOOKUP(FD$72,INDIRECT($C$5&amp;"生成成长"),2))/((VLOOKUP($B176,INDIRECT($B$5&amp;"生成成长"),4))/(VLOOKUP(FD$72,INDIRECT($C$5&amp;"生成成长"),5))*(VLOOKUP($B$5,标准坦克设计!$B$24:$U$30,MATCH("对"&amp;LEFT($C$5,2)&amp;"输出",标准坦克设计!$B$23:$U$23,0)))*(VLOOKUP($B176,INDIRECT($B$5&amp;"生成成长"),3))*(VLOOKUP($B$5,标准坦克设计!$B$14:$K$20,9)/30))</f>
        <v>9.3005234277484767</v>
      </c>
      <c r="FE176" s="173">
        <f ca="1">(VLOOKUP(FE$72,INDIRECT($C$5&amp;"生成成长"),2))/((VLOOKUP($B176,INDIRECT($B$5&amp;"生成成长"),4))/(VLOOKUP(FE$72,INDIRECT($C$5&amp;"生成成长"),5))*(VLOOKUP($B$5,标准坦克设计!$B$24:$U$30,MATCH("对"&amp;LEFT($C$5,2)&amp;"输出",标准坦克设计!$B$23:$U$23,0)))*(VLOOKUP($B176,INDIRECT($B$5&amp;"生成成长"),3))*(VLOOKUP($B$5,标准坦克设计!$B$14:$K$20,9)/30))</f>
        <v>9.9292536795507331</v>
      </c>
      <c r="FF176" s="173">
        <f ca="1">(VLOOKUP(FF$72,INDIRECT($C$5&amp;"生成成长"),2))/((VLOOKUP($B176,INDIRECT($B$5&amp;"生成成长"),4))/(VLOOKUP(FF$72,INDIRECT($C$5&amp;"生成成长"),5))*(VLOOKUP($B$5,标准坦克设计!$B$24:$U$30,MATCH("对"&amp;LEFT($C$5,2)&amp;"输出",标准坦克设计!$B$23:$U$23,0)))*(VLOOKUP($B176,INDIRECT($B$5&amp;"生成成长"),3))*(VLOOKUP($B$5,标准坦克设计!$B$14:$K$20,9)/30))</f>
        <v>10.578546178581741</v>
      </c>
      <c r="FG176" s="173">
        <f ca="1">(VLOOKUP(FG$72,INDIRECT($C$5&amp;"生成成长"),2))/((VLOOKUP($B176,INDIRECT($B$5&amp;"生成成长"),4))/(VLOOKUP(FG$72,INDIRECT($C$5&amp;"生成成长"),5))*(VLOOKUP($B$5,标准坦克设计!$B$24:$U$30,MATCH("对"&amp;LEFT($C$5,2)&amp;"输出",标准坦克设计!$B$23:$U$23,0)))*(VLOOKUP($B176,INDIRECT($B$5&amp;"生成成长"),3))*(VLOOKUP($B$5,标准坦克设计!$B$14:$K$20,9)/30))</f>
        <v>11.248400924841503</v>
      </c>
      <c r="FH176" s="173">
        <f ca="1">(VLOOKUP(FH$72,INDIRECT($C$5&amp;"生成成长"),2))/((VLOOKUP($B176,INDIRECT($B$5&amp;"生成成长"),4))/(VLOOKUP(FH$72,INDIRECT($C$5&amp;"生成成长"),5))*(VLOOKUP($B$5,标准坦克设计!$B$24:$U$30,MATCH("对"&amp;LEFT($C$5,2)&amp;"输出",标准坦克设计!$B$23:$U$23,0)))*(VLOOKUP($B176,INDIRECT($B$5&amp;"生成成长"),3))*(VLOOKUP($B$5,标准坦克设计!$B$14:$K$20,9)/30))</f>
        <v>11.938817918330017</v>
      </c>
      <c r="FI176" s="173">
        <f ca="1">(VLOOKUP(FI$72,INDIRECT($C$5&amp;"生成成长"),2))/((VLOOKUP($B176,INDIRECT($B$5&amp;"生成成长"),4))/(VLOOKUP(FI$72,INDIRECT($C$5&amp;"生成成长"),5))*(VLOOKUP($B$5,标准坦克设计!$B$24:$U$30,MATCH("对"&amp;LEFT($C$5,2)&amp;"输出",标准坦克设计!$B$23:$U$23,0)))*(VLOOKUP($B176,INDIRECT($B$5&amp;"生成成长"),3))*(VLOOKUP($B$5,标准坦克设计!$B$14:$K$20,9)/30))</f>
        <v>12.649797159047283</v>
      </c>
      <c r="FJ176" s="173">
        <f ca="1">(VLOOKUP(FJ$72,INDIRECT($C$5&amp;"生成成长"),2))/((VLOOKUP($B176,INDIRECT($B$5&amp;"生成成长"),4))/(VLOOKUP(FJ$72,INDIRECT($C$5&amp;"生成成长"),5))*(VLOOKUP($B$5,标准坦克设计!$B$24:$U$30,MATCH("对"&amp;LEFT($C$5,2)&amp;"输出",标准坦克设计!$B$23:$U$23,0)))*(VLOOKUP($B176,INDIRECT($B$5&amp;"生成成长"),3))*(VLOOKUP($B$5,标准坦克设计!$B$14:$K$20,9)/30))</f>
        <v>13.381338646993303</v>
      </c>
      <c r="FK176" s="173">
        <f ca="1">(VLOOKUP(FK$72,INDIRECT($C$5&amp;"生成成长"),2))/((VLOOKUP($B176,INDIRECT($B$5&amp;"生成成长"),4))/(VLOOKUP(FK$72,INDIRECT($C$5&amp;"生成成长"),5))*(VLOOKUP($B$5,标准坦克设计!$B$24:$U$30,MATCH("对"&amp;LEFT($C$5,2)&amp;"输出",标准坦克设计!$B$23:$U$23,0)))*(VLOOKUP($B176,INDIRECT($B$5&amp;"生成成长"),3))*(VLOOKUP($B$5,标准坦克设计!$B$14:$K$20,9)/30))</f>
        <v>14.133442382168074</v>
      </c>
    </row>
    <row r="177" spans="1:167" x14ac:dyDescent="0.15">
      <c r="A177" s="171" t="str">
        <f t="shared" si="12"/>
        <v>T5中品质15级</v>
      </c>
      <c r="B177" s="172">
        <v>20515</v>
      </c>
      <c r="C177" s="173">
        <f ca="1">(VLOOKUP(C$72,INDIRECT($C$5&amp;"生成成长"),2))/((VLOOKUP($B177,INDIRECT($B$5&amp;"生成成长"),4))/(VLOOKUP(C$72,INDIRECT($C$5&amp;"生成成长"),5))*(VLOOKUP($B$5,标准坦克设计!$B$24:$U$30,MATCH("对"&amp;LEFT($C$5,2)&amp;"输出",标准坦克设计!$B$23:$U$23,0)))*(VLOOKUP($B177,INDIRECT($B$5&amp;"生成成长"),3))*(VLOOKUP($B$5,标准坦克设计!$B$14:$K$20,9)/30))</f>
        <v>0.57325725948634809</v>
      </c>
      <c r="D177" s="173">
        <f ca="1">(VLOOKUP(D$72,INDIRECT($C$5&amp;"生成成长"),2))/((VLOOKUP($B177,INDIRECT($B$5&amp;"生成成长"),4))/(VLOOKUP(D$72,INDIRECT($C$5&amp;"生成成长"),5))*(VLOOKUP($B$5,标准坦克设计!$B$24:$U$30,MATCH("对"&amp;LEFT($C$5,2)&amp;"输出",标准坦克设计!$B$23:$U$23,0)))*(VLOOKUP($B177,INDIRECT($B$5&amp;"生成成长"),3))*(VLOOKUP($B$5,标准坦克设计!$B$14:$K$20,9)/30))</f>
        <v>0.64411185675886085</v>
      </c>
      <c r="E177" s="173">
        <f ca="1">(VLOOKUP(E$72,INDIRECT($C$5&amp;"生成成长"),2))/((VLOOKUP($B177,INDIRECT($B$5&amp;"生成成长"),4))/(VLOOKUP(E$72,INDIRECT($C$5&amp;"生成成长"),5))*(VLOOKUP($B$5,标准坦克设计!$B$24:$U$30,MATCH("对"&amp;LEFT($C$5,2)&amp;"输出",标准坦克设计!$B$23:$U$23,0)))*(VLOOKUP($B177,INDIRECT($B$5&amp;"生成成长"),3))*(VLOOKUP($B$5,标准坦克设计!$B$14:$K$20,9)/30))</f>
        <v>0.71909390629967518</v>
      </c>
      <c r="F177" s="173">
        <f ca="1">(VLOOKUP(F$72,INDIRECT($C$5&amp;"生成成长"),2))/((VLOOKUP($B177,INDIRECT($B$5&amp;"生成成长"),4))/(VLOOKUP(F$72,INDIRECT($C$5&amp;"生成成长"),5))*(VLOOKUP($B$5,标准坦克设计!$B$24:$U$30,MATCH("对"&amp;LEFT($C$5,2)&amp;"输出",标准坦克设计!$B$23:$U$23,0)))*(VLOOKUP($B177,INDIRECT($B$5&amp;"生成成长"),3))*(VLOOKUP($B$5,标准坦克设计!$B$14:$K$20,9)/30))</f>
        <v>0.7982034081087912</v>
      </c>
      <c r="G177" s="173">
        <f ca="1">(VLOOKUP(G$72,INDIRECT($C$5&amp;"生成成长"),2))/((VLOOKUP($B177,INDIRECT($B$5&amp;"生成成长"),4))/(VLOOKUP(G$72,INDIRECT($C$5&amp;"生成成长"),5))*(VLOOKUP($B$5,标准坦克设计!$B$24:$U$30,MATCH("对"&amp;LEFT($C$5,2)&amp;"输出",标准坦克设计!$B$23:$U$23,0)))*(VLOOKUP($B177,INDIRECT($B$5&amp;"生成成长"),3))*(VLOOKUP($B$5,标准坦克设计!$B$14:$K$20,9)/30))</f>
        <v>0.88144036218620891</v>
      </c>
      <c r="H177" s="173">
        <f ca="1">(VLOOKUP(H$72,INDIRECT($C$5&amp;"生成成长"),2))/((VLOOKUP($B177,INDIRECT($B$5&amp;"生成成长"),4))/(VLOOKUP(H$72,INDIRECT($C$5&amp;"生成成长"),5))*(VLOOKUP($B$5,标准坦克设计!$B$24:$U$30,MATCH("对"&amp;LEFT($C$5,2)&amp;"输出",标准坦克设计!$B$23:$U$23,0)))*(VLOOKUP($B177,INDIRECT($B$5&amp;"生成成长"),3))*(VLOOKUP($B$5,标准坦克设计!$B$14:$K$20,9)/30))</f>
        <v>0.77137496836483022</v>
      </c>
      <c r="I177" s="173">
        <f ca="1">(VLOOKUP(I$72,INDIRECT($C$5&amp;"生成成长"),2))/((VLOOKUP($B177,INDIRECT($B$5&amp;"生成成长"),4))/(VLOOKUP(I$72,INDIRECT($C$5&amp;"生成成长"),5))*(VLOOKUP($B$5,标准坦克设计!$B$24:$U$30,MATCH("对"&amp;LEFT($C$5,2)&amp;"输出",标准坦克设计!$B$23:$U$23,0)))*(VLOOKUP($B177,INDIRECT($B$5&amp;"生成成长"),3))*(VLOOKUP($B$5,标准坦克设计!$B$14:$K$20,9)/30))</f>
        <v>0.88144036218620891</v>
      </c>
      <c r="J177" s="173">
        <f ca="1">(VLOOKUP(J$72,INDIRECT($C$5&amp;"生成成长"),2))/((VLOOKUP($B177,INDIRECT($B$5&amp;"生成成长"),4))/(VLOOKUP(J$72,INDIRECT($C$5&amp;"生成成长"),5))*(VLOOKUP($B$5,标准坦克设计!$B$24:$U$30,MATCH("对"&amp;LEFT($C$5,2)&amp;"输出",标准坦克设计!$B$23:$U$23,0)))*(VLOOKUP($B177,INDIRECT($B$5&amp;"生成成长"),3))*(VLOOKUP($B$5,标准坦克设计!$B$14:$K$20,9)/30))</f>
        <v>0.998843448929013</v>
      </c>
      <c r="K177" s="173">
        <f ca="1">(VLOOKUP(K$72,INDIRECT($C$5&amp;"生成成长"),2))/((VLOOKUP($B177,INDIRECT($B$5&amp;"生成成长"),4))/(VLOOKUP(K$72,INDIRECT($C$5&amp;"生成成长"),5))*(VLOOKUP($B$5,标准坦克设计!$B$24:$U$30,MATCH("对"&amp;LEFT($C$5,2)&amp;"输出",标准坦克设计!$B$23:$U$23,0)))*(VLOOKUP($B177,INDIRECT($B$5&amp;"生成成长"),3))*(VLOOKUP($B$5,标准坦克设计!$B$14:$K$20,9)/30))</f>
        <v>1.1235842285932425</v>
      </c>
      <c r="L177" s="173">
        <f ca="1">(VLOOKUP(L$72,INDIRECT($C$5&amp;"生成成长"),2))/((VLOOKUP($B177,INDIRECT($B$5&amp;"生成成长"),4))/(VLOOKUP(L$72,INDIRECT($C$5&amp;"生成成长"),5))*(VLOOKUP($B$5,标准坦克设计!$B$24:$U$30,MATCH("对"&amp;LEFT($C$5,2)&amp;"输出",标准坦克设计!$B$23:$U$23,0)))*(VLOOKUP($B177,INDIRECT($B$5&amp;"生成成长"),3))*(VLOOKUP($B$5,标准坦克设计!$B$14:$K$20,9)/30))</f>
        <v>1.2556627011788972</v>
      </c>
      <c r="M177" s="173">
        <f ca="1">(VLOOKUP(M$72,INDIRECT($C$5&amp;"生成成长"),2))/((VLOOKUP($B177,INDIRECT($B$5&amp;"生成成长"),4))/(VLOOKUP(M$72,INDIRECT($C$5&amp;"生成成长"),5))*(VLOOKUP($B$5,标准坦克设计!$B$24:$U$30,MATCH("对"&amp;LEFT($C$5,2)&amp;"输出",标准坦克设计!$B$23:$U$23,0)))*(VLOOKUP($B177,INDIRECT($B$5&amp;"生成成长"),3))*(VLOOKUP($B$5,标准坦克设计!$B$14:$K$20,9)/30))</f>
        <v>1.395078866685977</v>
      </c>
      <c r="N177" s="173">
        <f ca="1">(VLOOKUP(N$72,INDIRECT($C$5&amp;"生成成长"),2))/((VLOOKUP($B177,INDIRECT($B$5&amp;"生成成长"),4))/(VLOOKUP(N$72,INDIRECT($C$5&amp;"生成成长"),5))*(VLOOKUP($B$5,标准坦克设计!$B$24:$U$30,MATCH("对"&amp;LEFT($C$5,2)&amp;"输出",标准坦克设计!$B$23:$U$23,0)))*(VLOOKUP($B177,INDIRECT($B$5&amp;"生成成长"),3))*(VLOOKUP($B$5,标准坦克设计!$B$14:$K$20,9)/30))</f>
        <v>1.5418327251144821</v>
      </c>
      <c r="O177" s="173">
        <f ca="1">(VLOOKUP(O$72,INDIRECT($C$5&amp;"生成成长"),2))/((VLOOKUP($B177,INDIRECT($B$5&amp;"生成成长"),4))/(VLOOKUP(O$72,INDIRECT($C$5&amp;"生成成长"),5))*(VLOOKUP($B$5,标准坦克设计!$B$24:$U$30,MATCH("对"&amp;LEFT($C$5,2)&amp;"输出",标准坦克设计!$B$23:$U$23,0)))*(VLOOKUP($B177,INDIRECT($B$5&amp;"生成成长"),3))*(VLOOKUP($B$5,标准坦克设计!$B$14:$K$20,9)/30))</f>
        <v>1.1722537699236333</v>
      </c>
      <c r="P177" s="173">
        <f ca="1">(VLOOKUP(P$72,INDIRECT($C$5&amp;"生成成长"),2))/((VLOOKUP($B177,INDIRECT($B$5&amp;"生成成长"),4))/(VLOOKUP(P$72,INDIRECT($C$5&amp;"生成成长"),5))*(VLOOKUP($B$5,标准坦克设计!$B$24:$U$30,MATCH("对"&amp;LEFT($C$5,2)&amp;"输出",标准坦克设计!$B$23:$U$23,0)))*(VLOOKUP($B177,INDIRECT($B$5&amp;"生成成长"),3))*(VLOOKUP($B$5,标准坦克设计!$B$14:$K$20,9)/30))</f>
        <v>1.324453572317259</v>
      </c>
      <c r="Q177" s="173">
        <f ca="1">(VLOOKUP(Q$72,INDIRECT($C$5&amp;"生成成长"),2))/((VLOOKUP($B177,INDIRECT($B$5&amp;"生成成长"),4))/(VLOOKUP(Q$72,INDIRECT($C$5&amp;"生成成长"),5))*(VLOOKUP($B$5,标准坦克设计!$B$24:$U$30,MATCH("对"&amp;LEFT($C$5,2)&amp;"输出",标准坦克设计!$B$23:$U$23,0)))*(VLOOKUP($B177,INDIRECT($B$5&amp;"生成成长"),3))*(VLOOKUP($B$5,标准坦克设计!$B$14:$K$20,9)/30))</f>
        <v>1.4859401423145631</v>
      </c>
      <c r="R177" s="173">
        <f ca="1">(VLOOKUP(R$72,INDIRECT($C$5&amp;"生成成长"),2))/((VLOOKUP($B177,INDIRECT($B$5&amp;"生成成长"),4))/(VLOOKUP(R$72,INDIRECT($C$5&amp;"生成成长"),5))*(VLOOKUP($B$5,标准坦克设计!$B$24:$U$30,MATCH("对"&amp;LEFT($C$5,2)&amp;"输出",标准坦克设计!$B$23:$U$23,0)))*(VLOOKUP($B177,INDIRECT($B$5&amp;"生成成长"),3))*(VLOOKUP($B$5,标准坦克设计!$B$14:$K$20,9)/30))</f>
        <v>1.6567134799155459</v>
      </c>
      <c r="S177" s="173">
        <f ca="1">(VLOOKUP(S$72,INDIRECT($C$5&amp;"生成成长"),2))/((VLOOKUP($B177,INDIRECT($B$5&amp;"生成成长"),4))/(VLOOKUP(S$72,INDIRECT($C$5&amp;"生成成长"),5))*(VLOOKUP($B$5,标准坦克设计!$B$24:$U$30,MATCH("对"&amp;LEFT($C$5,2)&amp;"输出",标准坦克设计!$B$23:$U$23,0)))*(VLOOKUP($B177,INDIRECT($B$5&amp;"生成成长"),3))*(VLOOKUP($B$5,标准坦克设计!$B$14:$K$20,9)/30))</f>
        <v>1.8367735851202078</v>
      </c>
      <c r="T177" s="173">
        <f ca="1">(VLOOKUP(T$72,INDIRECT($C$5&amp;"生成成长"),2))/((VLOOKUP($B177,INDIRECT($B$5&amp;"生成成长"),4))/(VLOOKUP(T$72,INDIRECT($C$5&amp;"生成成长"),5))*(VLOOKUP($B$5,标准坦克设计!$B$24:$U$30,MATCH("对"&amp;LEFT($C$5,2)&amp;"输出",标准坦克设计!$B$23:$U$23,0)))*(VLOOKUP($B177,INDIRECT($B$5&amp;"生成成长"),3))*(VLOOKUP($B$5,标准坦克设计!$B$14:$K$20,9)/30))</f>
        <v>2.026120457928549</v>
      </c>
      <c r="U177" s="173">
        <f ca="1">(VLOOKUP(U$72,INDIRECT($C$5&amp;"生成成长"),2))/((VLOOKUP($B177,INDIRECT($B$5&amp;"生成成长"),4))/(VLOOKUP(U$72,INDIRECT($C$5&amp;"生成成长"),5))*(VLOOKUP($B$5,标准坦克设计!$B$24:$U$30,MATCH("对"&amp;LEFT($C$5,2)&amp;"输出",标准坦克设计!$B$23:$U$23,0)))*(VLOOKUP($B177,INDIRECT($B$5&amp;"生成成长"),3))*(VLOOKUP($B$5,标准坦克设计!$B$14:$K$20,9)/30))</f>
        <v>2.2247540983405689</v>
      </c>
      <c r="V177" s="173">
        <f ca="1">(VLOOKUP(V$72,INDIRECT($C$5&amp;"生成成长"),2))/((VLOOKUP($B177,INDIRECT($B$5&amp;"生成成长"),4))/(VLOOKUP(V$72,INDIRECT($C$5&amp;"生成成长"),5))*(VLOOKUP($B$5,标准坦克设计!$B$24:$U$30,MATCH("对"&amp;LEFT($C$5,2)&amp;"输出",标准坦克设计!$B$23:$U$23,0)))*(VLOOKUP($B177,INDIRECT($B$5&amp;"生成成长"),3))*(VLOOKUP($B$5,标准坦克设计!$B$14:$K$20,9)/30))</f>
        <v>2.4326745063562667</v>
      </c>
      <c r="W177" s="173">
        <f ca="1">(VLOOKUP(W$72,INDIRECT($C$5&amp;"生成成长"),2))/((VLOOKUP($B177,INDIRECT($B$5&amp;"生成成长"),4))/(VLOOKUP(W$72,INDIRECT($C$5&amp;"生成成长"),5))*(VLOOKUP($B$5,标准坦克设计!$B$24:$U$30,MATCH("对"&amp;LEFT($C$5,2)&amp;"输出",标准坦克设计!$B$23:$U$23,0)))*(VLOOKUP($B177,INDIRECT($B$5&amp;"生成成长"),3))*(VLOOKUP($B$5,标准坦克设计!$B$14:$K$20,9)/30))</f>
        <v>2.6498816819756446</v>
      </c>
      <c r="X177" s="173">
        <f ca="1">(VLOOKUP(X$72,INDIRECT($C$5&amp;"生成成长"),2))/((VLOOKUP($B177,INDIRECT($B$5&amp;"生成成长"),4))/(VLOOKUP(X$72,INDIRECT($C$5&amp;"生成成长"),5))*(VLOOKUP($B$5,标准坦克设计!$B$24:$U$30,MATCH("对"&amp;LEFT($C$5,2)&amp;"输出",标准坦克设计!$B$23:$U$23,0)))*(VLOOKUP($B177,INDIRECT($B$5&amp;"生成成长"),3))*(VLOOKUP($B$5,标准坦克设计!$B$14:$K$20,9)/30))</f>
        <v>1.9197812362938316</v>
      </c>
      <c r="Y177" s="173">
        <f ca="1">(VLOOKUP(Y$72,INDIRECT($C$5&amp;"生成成长"),2))/((VLOOKUP($B177,INDIRECT($B$5&amp;"生成成长"),4))/(VLOOKUP(Y$72,INDIRECT($C$5&amp;"生成成长"),5))*(VLOOKUP($B$5,标准坦克设计!$B$24:$U$30,MATCH("对"&amp;LEFT($C$5,2)&amp;"输出",标准坦克设计!$B$23:$U$23,0)))*(VLOOKUP($B177,INDIRECT($B$5&amp;"生成成长"),3))*(VLOOKUP($B$5,标准坦克设计!$B$14:$K$20,9)/30))</f>
        <v>2.135325965860698</v>
      </c>
      <c r="Z177" s="173">
        <f ca="1">(VLOOKUP(Z$72,INDIRECT($C$5&amp;"生成成长"),2))/((VLOOKUP($B177,INDIRECT($B$5&amp;"生成成长"),4))/(VLOOKUP(Z$72,INDIRECT($C$5&amp;"生成成长"),5))*(VLOOKUP($B$5,标准坦克设计!$B$24:$U$30,MATCH("对"&amp;LEFT($C$5,2)&amp;"输出",标准坦克设计!$B$23:$U$23,0)))*(VLOOKUP($B177,INDIRECT($B$5&amp;"生成成长"),3))*(VLOOKUP($B$5,标准坦克设计!$B$14:$K$20,9)/30))</f>
        <v>2.3623358406172916</v>
      </c>
      <c r="AA177" s="173">
        <f ca="1">(VLOOKUP(AA$72,INDIRECT($C$5&amp;"生成成长"),2))/((VLOOKUP($B177,INDIRECT($B$5&amp;"生成成长"),4))/(VLOOKUP(AA$72,INDIRECT($C$5&amp;"生成成长"),5))*(VLOOKUP($B$5,标准坦克设计!$B$24:$U$30,MATCH("对"&amp;LEFT($C$5,2)&amp;"输出",标准坦克设计!$B$23:$U$23,0)))*(VLOOKUP($B177,INDIRECT($B$5&amp;"生成成长"),3))*(VLOOKUP($B$5,标准坦克设计!$B$14:$K$20,9)/30))</f>
        <v>2.6008108605636129</v>
      </c>
      <c r="AB177" s="173">
        <f ca="1">(VLOOKUP(AB$72,INDIRECT($C$5&amp;"生成成长"),2))/((VLOOKUP($B177,INDIRECT($B$5&amp;"生成成长"),4))/(VLOOKUP(AB$72,INDIRECT($C$5&amp;"生成成长"),5))*(VLOOKUP($B$5,标准坦克设计!$B$24:$U$30,MATCH("对"&amp;LEFT($C$5,2)&amp;"输出",标准坦克设计!$B$23:$U$23,0)))*(VLOOKUP($B177,INDIRECT($B$5&amp;"生成成长"),3))*(VLOOKUP($B$5,标准坦克设计!$B$14:$K$20,9)/30))</f>
        <v>2.8507510256996604</v>
      </c>
      <c r="AC177" s="173">
        <f ca="1">(VLOOKUP(AC$72,INDIRECT($C$5&amp;"生成成长"),2))/((VLOOKUP($B177,INDIRECT($B$5&amp;"生成成长"),4))/(VLOOKUP(AC$72,INDIRECT($C$5&amp;"生成成长"),5))*(VLOOKUP($B$5,标准坦克设计!$B$24:$U$30,MATCH("对"&amp;LEFT($C$5,2)&amp;"输出",标准坦克设计!$B$23:$U$23,0)))*(VLOOKUP($B177,INDIRECT($B$5&amp;"生成成长"),3))*(VLOOKUP($B$5,标准坦克设计!$B$14:$K$20,9)/30))</f>
        <v>3.1121563360254352</v>
      </c>
      <c r="AD177" s="173">
        <f ca="1">(VLOOKUP(AD$72,INDIRECT($C$5&amp;"生成成长"),2))/((VLOOKUP($B177,INDIRECT($B$5&amp;"生成成长"),4))/(VLOOKUP(AD$72,INDIRECT($C$5&amp;"生成成长"),5))*(VLOOKUP($B$5,标准坦克设计!$B$24:$U$30,MATCH("对"&amp;LEFT($C$5,2)&amp;"输出",标准坦克设计!$B$23:$U$23,0)))*(VLOOKUP($B177,INDIRECT($B$5&amp;"生成成长"),3))*(VLOOKUP($B$5,标准坦克设计!$B$14:$K$20,9)/30))</f>
        <v>3.3850267915409371</v>
      </c>
      <c r="AE177" s="173">
        <f ca="1">(VLOOKUP(AE$72,INDIRECT($C$5&amp;"生成成长"),2))/((VLOOKUP($B177,INDIRECT($B$5&amp;"生成成长"),4))/(VLOOKUP(AE$72,INDIRECT($C$5&amp;"生成成长"),5))*(VLOOKUP($B$5,标准坦克设计!$B$24:$U$30,MATCH("对"&amp;LEFT($C$5,2)&amp;"输出",标准坦克设计!$B$23:$U$23,0)))*(VLOOKUP($B177,INDIRECT($B$5&amp;"生成成长"),3))*(VLOOKUP($B$5,标准坦克设计!$B$14:$K$20,9)/30))</f>
        <v>3.6693623922461658</v>
      </c>
      <c r="AF177" s="173">
        <f ca="1">(VLOOKUP(AF$72,INDIRECT($C$5&amp;"生成成长"),2))/((VLOOKUP($B177,INDIRECT($B$5&amp;"生成成长"),4))/(VLOOKUP(AF$72,INDIRECT($C$5&amp;"生成成长"),5))*(VLOOKUP($B$5,标准坦克设计!$B$24:$U$30,MATCH("对"&amp;LEFT($C$5,2)&amp;"输出",标准坦克设计!$B$23:$U$23,0)))*(VLOOKUP($B177,INDIRECT($B$5&amp;"生成成长"),3))*(VLOOKUP($B$5,标准坦克设计!$B$14:$K$20,9)/30))</f>
        <v>3.9651631381411212</v>
      </c>
      <c r="AG177" s="173">
        <f ca="1">(VLOOKUP(AG$72,INDIRECT($C$5&amp;"生成成长"),2))/((VLOOKUP($B177,INDIRECT($B$5&amp;"生成成长"),4))/(VLOOKUP(AG$72,INDIRECT($C$5&amp;"生成成长"),5))*(VLOOKUP($B$5,标准坦克设计!$B$24:$U$30,MATCH("对"&amp;LEFT($C$5,2)&amp;"输出",标准坦克设计!$B$23:$U$23,0)))*(VLOOKUP($B177,INDIRECT($B$5&amp;"生成成长"),3))*(VLOOKUP($B$5,标准坦克设计!$B$14:$K$20,9)/30))</f>
        <v>4.2724290292258047</v>
      </c>
      <c r="AH177" s="173">
        <f ca="1">(VLOOKUP(AH$72,INDIRECT($C$5&amp;"生成成长"),2))/((VLOOKUP($B177,INDIRECT($B$5&amp;"生成成长"),4))/(VLOOKUP(AH$72,INDIRECT($C$5&amp;"生成成长"),5))*(VLOOKUP($B$5,标准坦克设计!$B$24:$U$30,MATCH("对"&amp;LEFT($C$5,2)&amp;"输出",标准坦克设计!$B$23:$U$23,0)))*(VLOOKUP($B177,INDIRECT($B$5&amp;"生成成长"),3))*(VLOOKUP($B$5,标准坦克设计!$B$14:$K$20,9)/30))</f>
        <v>4.5911600655002145</v>
      </c>
      <c r="AI177" s="173">
        <f ca="1">(VLOOKUP(AI$72,INDIRECT($C$5&amp;"生成成长"),2))/((VLOOKUP($B177,INDIRECT($B$5&amp;"生成成长"),4))/(VLOOKUP(AI$72,INDIRECT($C$5&amp;"生成成长"),5))*(VLOOKUP($B$5,标准坦克设计!$B$24:$U$30,MATCH("对"&amp;LEFT($C$5,2)&amp;"输出",标准坦克设计!$B$23:$U$23,0)))*(VLOOKUP($B177,INDIRECT($B$5&amp;"生成成长"),3))*(VLOOKUP($B$5,标准坦克设计!$B$14:$K$20,9)/30))</f>
        <v>3.2471584206344706</v>
      </c>
      <c r="AJ177" s="173">
        <f ca="1">(VLOOKUP(AJ$72,INDIRECT($C$5&amp;"生成成长"),2))/((VLOOKUP($B177,INDIRECT($B$5&amp;"生成成长"),4))/(VLOOKUP(AJ$72,INDIRECT($C$5&amp;"生成成长"),5))*(VLOOKUP($B$5,标准坦克设计!$B$24:$U$30,MATCH("对"&amp;LEFT($C$5,2)&amp;"输出",标准坦克设计!$B$23:$U$23,0)))*(VLOOKUP($B177,INDIRECT($B$5&amp;"生成成长"),3))*(VLOOKUP($B$5,标准坦克设计!$B$14:$K$20,9)/30))</f>
        <v>3.5542523345413071</v>
      </c>
      <c r="AK177" s="173">
        <f ca="1">(VLOOKUP(AK$72,INDIRECT($C$5&amp;"生成成长"),2))/((VLOOKUP($B177,INDIRECT($B$5&amp;"生成成长"),4))/(VLOOKUP(AK$72,INDIRECT($C$5&amp;"生成成长"),5))*(VLOOKUP($B$5,标准坦克设计!$B$24:$U$30,MATCH("对"&amp;LEFT($C$5,2)&amp;"输出",标准坦克设计!$B$23:$U$23,0)))*(VLOOKUP($B177,INDIRECT($B$5&amp;"生成成长"),3))*(VLOOKUP($B$5,标准坦克设计!$B$14:$K$20,9)/30))</f>
        <v>3.8752190741277137</v>
      </c>
      <c r="AL177" s="173">
        <f ca="1">(VLOOKUP(AL$72,INDIRECT($C$5&amp;"生成成长"),2))/((VLOOKUP($B177,INDIRECT($B$5&amp;"生成成长"),4))/(VLOOKUP(AL$72,INDIRECT($C$5&amp;"生成成长"),5))*(VLOOKUP($B$5,标准坦克设计!$B$24:$U$30,MATCH("对"&amp;LEFT($C$5,2)&amp;"输出",标准坦克设计!$B$23:$U$23,0)))*(VLOOKUP($B177,INDIRECT($B$5&amp;"生成成长"),3))*(VLOOKUP($B$5,标准坦克设计!$B$14:$K$20,9)/30))</f>
        <v>4.2100586393936892</v>
      </c>
      <c r="AM177" s="173">
        <f ca="1">(VLOOKUP(AM$72,INDIRECT($C$5&amp;"生成成长"),2))/((VLOOKUP($B177,INDIRECT($B$5&amp;"生成成长"),4))/(VLOOKUP(AM$72,INDIRECT($C$5&amp;"生成成长"),5))*(VLOOKUP($B$5,标准坦克设计!$B$24:$U$30,MATCH("对"&amp;LEFT($C$5,2)&amp;"输出",标准坦克设计!$B$23:$U$23,0)))*(VLOOKUP($B177,INDIRECT($B$5&amp;"生成成长"),3))*(VLOOKUP($B$5,标准坦克设计!$B$14:$K$20,9)/30))</f>
        <v>4.5587710303392353</v>
      </c>
      <c r="AN177" s="173">
        <f ca="1">(VLOOKUP(AN$72,INDIRECT($C$5&amp;"生成成长"),2))/((VLOOKUP($B177,INDIRECT($B$5&amp;"生成成长"),4))/(VLOOKUP(AN$72,INDIRECT($C$5&amp;"生成成长"),5))*(VLOOKUP($B$5,标准坦克设计!$B$24:$U$30,MATCH("对"&amp;LEFT($C$5,2)&amp;"输出",标准坦克设计!$B$23:$U$23,0)))*(VLOOKUP($B177,INDIRECT($B$5&amp;"生成成长"),3))*(VLOOKUP($B$5,标准坦克设计!$B$14:$K$20,9)/30))</f>
        <v>4.9213562469643497</v>
      </c>
      <c r="AO177" s="173">
        <f ca="1">(VLOOKUP(AO$72,INDIRECT($C$5&amp;"生成成长"),2))/((VLOOKUP($B177,INDIRECT($B$5&amp;"生成成长"),4))/(VLOOKUP(AO$72,INDIRECT($C$5&amp;"生成成长"),5))*(VLOOKUP($B$5,标准坦克设计!$B$24:$U$30,MATCH("对"&amp;LEFT($C$5,2)&amp;"输出",标准坦克设计!$B$23:$U$23,0)))*(VLOOKUP($B177,INDIRECT($B$5&amp;"生成成长"),3))*(VLOOKUP($B$5,标准坦克设计!$B$14:$K$20,9)/30))</f>
        <v>5.2978142892690361</v>
      </c>
      <c r="AP177" s="173">
        <f ca="1">(VLOOKUP(AP$72,INDIRECT($C$5&amp;"生成成长"),2))/((VLOOKUP($B177,INDIRECT($B$5&amp;"生成成长"),4))/(VLOOKUP(AP$72,INDIRECT($C$5&amp;"生成成长"),5))*(VLOOKUP($B$5,标准坦克设计!$B$24:$U$30,MATCH("对"&amp;LEFT($C$5,2)&amp;"输出",标准坦克设计!$B$23:$U$23,0)))*(VLOOKUP($B177,INDIRECT($B$5&amp;"生成成长"),3))*(VLOOKUP($B$5,标准坦克设计!$B$14:$K$20,9)/30))</f>
        <v>5.68814515725329</v>
      </c>
      <c r="AQ177" s="173">
        <f ca="1">(VLOOKUP(AQ$72,INDIRECT($C$5&amp;"生成成长"),2))/((VLOOKUP($B177,INDIRECT($B$5&amp;"生成成长"),4))/(VLOOKUP(AQ$72,INDIRECT($C$5&amp;"生成成长"),5))*(VLOOKUP($B$5,标准坦克设计!$B$24:$U$30,MATCH("对"&amp;LEFT($C$5,2)&amp;"输出",标准坦克设计!$B$23:$U$23,0)))*(VLOOKUP($B177,INDIRECT($B$5&amp;"生成成长"),3))*(VLOOKUP($B$5,标准坦克设计!$B$14:$K$20,9)/30))</f>
        <v>6.0923488509171131</v>
      </c>
      <c r="AR177" s="173">
        <f ca="1">(VLOOKUP(AR$72,INDIRECT($C$5&amp;"生成成长"),2))/((VLOOKUP($B177,INDIRECT($B$5&amp;"生成成长"),4))/(VLOOKUP(AR$72,INDIRECT($C$5&amp;"生成成长"),5))*(VLOOKUP($B$5,标准坦克设计!$B$24:$U$30,MATCH("对"&amp;LEFT($C$5,2)&amp;"输出",标准坦克设计!$B$23:$U$23,0)))*(VLOOKUP($B177,INDIRECT($B$5&amp;"生成成长"),3))*(VLOOKUP($B$5,标准坦克设计!$B$14:$K$20,9)/30))</f>
        <v>6.5104253702605073</v>
      </c>
      <c r="AS177" s="173">
        <f ca="1">(VLOOKUP(AS$72,INDIRECT($C$5&amp;"生成成长"),2))/((VLOOKUP($B177,INDIRECT($B$5&amp;"生成成长"),4))/(VLOOKUP(AS$72,INDIRECT($C$5&amp;"生成成长"),5))*(VLOOKUP($B$5,标准坦克设计!$B$24:$U$30,MATCH("对"&amp;LEFT($C$5,2)&amp;"输出",标准坦克设计!$B$23:$U$23,0)))*(VLOOKUP($B177,INDIRECT($B$5&amp;"生成成长"),3))*(VLOOKUP($B$5,标准坦克设计!$B$14:$K$20,9)/30))</f>
        <v>6.9423747152834716</v>
      </c>
      <c r="AT177" s="173">
        <f ca="1">(VLOOKUP(AT$72,INDIRECT($C$5&amp;"生成成长"),2))/((VLOOKUP($B177,INDIRECT($B$5&amp;"生成成长"),4))/(VLOOKUP(AT$72,INDIRECT($C$5&amp;"生成成长"),5))*(VLOOKUP($B$5,标准坦克设计!$B$24:$U$30,MATCH("对"&amp;LEFT($C$5,2)&amp;"输出",标准坦克设计!$B$23:$U$23,0)))*(VLOOKUP($B177,INDIRECT($B$5&amp;"生成成长"),3))*(VLOOKUP($B$5,标准坦克设计!$B$14:$K$20,9)/30))</f>
        <v>7.3881968859860043</v>
      </c>
      <c r="AU177" s="173">
        <f ca="1">(VLOOKUP(AU$72,INDIRECT($C$5&amp;"生成成长"),2))/((VLOOKUP($B177,INDIRECT($B$5&amp;"生成成长"),4))/(VLOOKUP(AU$72,INDIRECT($C$5&amp;"生成成长"),5))*(VLOOKUP($B$5,标准坦克设计!$B$24:$U$30,MATCH("对"&amp;LEFT($C$5,2)&amp;"输出",标准坦克设计!$B$23:$U$23,0)))*(VLOOKUP($B177,INDIRECT($B$5&amp;"生成成长"),3))*(VLOOKUP($B$5,标准坦克设计!$B$14:$K$20,9)/30))</f>
        <v>7.8478918823681063</v>
      </c>
      <c r="AV177" s="173">
        <f ca="1">(VLOOKUP(AV$72,INDIRECT($C$5&amp;"生成成长"),2))/((VLOOKUP($B177,INDIRECT($B$5&amp;"生成成长"),4))/(VLOOKUP(AV$72,INDIRECT($C$5&amp;"生成成长"),5))*(VLOOKUP($B$5,标准坦克设计!$B$24:$U$30,MATCH("对"&amp;LEFT($C$5,2)&amp;"输出",标准坦克设计!$B$23:$U$23,0)))*(VLOOKUP($B177,INDIRECT($B$5&amp;"生成成长"),3))*(VLOOKUP($B$5,标准坦克设计!$B$14:$K$20,9)/30))</f>
        <v>0.7982034081087912</v>
      </c>
      <c r="AW177" s="173">
        <f ca="1">(VLOOKUP(AW$72,INDIRECT($C$5&amp;"生成成长"),2))/((VLOOKUP($B177,INDIRECT($B$5&amp;"生成成长"),4))/(VLOOKUP(AW$72,INDIRECT($C$5&amp;"生成成长"),5))*(VLOOKUP($B$5,标准坦克设计!$B$24:$U$30,MATCH("对"&amp;LEFT($C$5,2)&amp;"输出",标准坦克设计!$B$23:$U$23,0)))*(VLOOKUP($B177,INDIRECT($B$5&amp;"生成成长"),3))*(VLOOKUP($B$5,标准坦克设计!$B$14:$K$20,9)/30))</f>
        <v>0.91010322516052644</v>
      </c>
      <c r="AX177" s="173">
        <f ca="1">(VLOOKUP(AX$72,INDIRECT($C$5&amp;"生成成长"),2))/((VLOOKUP($B177,INDIRECT($B$5&amp;"生成成长"),4))/(VLOOKUP(AX$72,INDIRECT($C$5&amp;"生成成长"),5))*(VLOOKUP($B$5,标准坦克设计!$B$24:$U$30,MATCH("对"&amp;LEFT($C$5,2)&amp;"输出",标准坦克设计!$B$23:$U$23,0)))*(VLOOKUP($B177,INDIRECT($B$5&amp;"生成成长"),3))*(VLOOKUP($B$5,标准坦克设计!$B$14:$K$20,9)/30))</f>
        <v>1.0293407351336867</v>
      </c>
      <c r="AY177" s="173">
        <f ca="1">(VLOOKUP(AY$72,INDIRECT($C$5&amp;"生成成长"),2))/((VLOOKUP($B177,INDIRECT($B$5&amp;"生成成长"),4))/(VLOOKUP(AY$72,INDIRECT($C$5&amp;"生成成长"),5))*(VLOOKUP($B$5,标准坦克设计!$B$24:$U$30,MATCH("对"&amp;LEFT($C$5,2)&amp;"输出",标准坦克设计!$B$23:$U$23,0)))*(VLOOKUP($B177,INDIRECT($B$5&amp;"生成成长"),3))*(VLOOKUP($B$5,标准坦克设计!$B$14:$K$20,9)/30))</f>
        <v>1.1559159380282726</v>
      </c>
      <c r="AZ177" s="173">
        <f ca="1">(VLOOKUP(AZ$72,INDIRECT($C$5&amp;"生成成长"),2))/((VLOOKUP($B177,INDIRECT($B$5&amp;"生成成长"),4))/(VLOOKUP(AZ$72,INDIRECT($C$5&amp;"生成成长"),5))*(VLOOKUP($B$5,标准坦克设计!$B$24:$U$30,MATCH("对"&amp;LEFT($C$5,2)&amp;"输出",标准坦克设计!$B$23:$U$23,0)))*(VLOOKUP($B177,INDIRECT($B$5&amp;"生成成长"),3))*(VLOOKUP($B$5,标准坦克设计!$B$14:$K$20,9)/30))</f>
        <v>1.2898288338442834</v>
      </c>
      <c r="BA177" s="173">
        <f ca="1">(VLOOKUP(BA$72,INDIRECT($C$5&amp;"生成成长"),2))/((VLOOKUP($B177,INDIRECT($B$5&amp;"生成成长"),4))/(VLOOKUP(BA$72,INDIRECT($C$5&amp;"生成成长"),5))*(VLOOKUP($B$5,标准坦克设计!$B$24:$U$30,MATCH("对"&amp;LEFT($C$5,2)&amp;"输出",标准坦克设计!$B$23:$U$23,0)))*(VLOOKUP($B177,INDIRECT($B$5&amp;"生成成长"),3))*(VLOOKUP($B$5,标准坦克设计!$B$14:$K$20,9)/30))</f>
        <v>1.4310794225817194</v>
      </c>
      <c r="BB177" s="173">
        <f ca="1">(VLOOKUP(BB$72,INDIRECT($C$5&amp;"生成成长"),2))/((VLOOKUP($B177,INDIRECT($B$5&amp;"生成成长"),4))/(VLOOKUP(BB$72,INDIRECT($C$5&amp;"生成成长"),5))*(VLOOKUP($B$5,标准坦克设计!$B$24:$U$30,MATCH("对"&amp;LEFT($C$5,2)&amp;"输出",标准坦克设计!$B$23:$U$23,0)))*(VLOOKUP($B177,INDIRECT($B$5&amp;"生成成长"),3))*(VLOOKUP($B$5,标准坦克设计!$B$14:$K$20,9)/30))</f>
        <v>1.5796677042405809</v>
      </c>
      <c r="BC177" s="173">
        <f ca="1">(VLOOKUP(BC$72,INDIRECT($C$5&amp;"生成成长"),2))/((VLOOKUP($B177,INDIRECT($B$5&amp;"生成成长"),4))/(VLOOKUP(BC$72,INDIRECT($C$5&amp;"生成成长"),5))*(VLOOKUP($B$5,标准坦克设计!$B$24:$U$30,MATCH("对"&amp;LEFT($C$5,2)&amp;"输出",标准坦克设计!$B$23:$U$23,0)))*(VLOOKUP($B177,INDIRECT($B$5&amp;"生成成长"),3))*(VLOOKUP($B$5,标准坦克设计!$B$14:$K$20,9)/30))</f>
        <v>1.7355936788208679</v>
      </c>
      <c r="BD177" s="173">
        <f ca="1">(VLOOKUP(BD$72,INDIRECT($C$5&amp;"生成成长"),2))/((VLOOKUP($B177,INDIRECT($B$5&amp;"生成成长"),4))/(VLOOKUP(BD$72,INDIRECT($C$5&amp;"生成成长"),5))*(VLOOKUP($B$5,标准坦克设计!$B$24:$U$30,MATCH("对"&amp;LEFT($C$5,2)&amp;"输出",标准坦克设计!$B$23:$U$23,0)))*(VLOOKUP($B177,INDIRECT($B$5&amp;"生成成长"),3))*(VLOOKUP($B$5,标准坦克设计!$B$14:$K$20,9)/30))</f>
        <v>1.9197812362938316</v>
      </c>
      <c r="BE177" s="173">
        <f ca="1">(VLOOKUP(BE$72,INDIRECT($C$5&amp;"生成成长"),2))/((VLOOKUP($B177,INDIRECT($B$5&amp;"生成成长"),4))/(VLOOKUP(BE$72,INDIRECT($C$5&amp;"生成成长"),5))*(VLOOKUP($B$5,标准坦克设计!$B$24:$U$30,MATCH("对"&amp;LEFT($C$5,2)&amp;"输出",标准坦克设计!$B$23:$U$23,0)))*(VLOOKUP($B177,INDIRECT($B$5&amp;"生成成长"),3))*(VLOOKUP($B$5,标准坦克设计!$B$14:$K$20,9)/30))</f>
        <v>2.1132555613704742</v>
      </c>
      <c r="BF177" s="173">
        <f ca="1">(VLOOKUP(BF$72,INDIRECT($C$5&amp;"生成成长"),2))/((VLOOKUP($B177,INDIRECT($B$5&amp;"生成成长"),4))/(VLOOKUP(BF$72,INDIRECT($C$5&amp;"生成成长"),5))*(VLOOKUP($B$5,标准坦克设计!$B$24:$U$30,MATCH("对"&amp;LEFT($C$5,2)&amp;"输出",标准坦克设计!$B$23:$U$23,0)))*(VLOOKUP($B177,INDIRECT($B$5&amp;"生成成长"),3))*(VLOOKUP($B$5,标准坦克设计!$B$14:$K$20,9)/30))</f>
        <v>2.3160166540507952</v>
      </c>
      <c r="BG177" s="173">
        <f ca="1">(VLOOKUP(BG$72,INDIRECT($C$5&amp;"生成成长"),2))/((VLOOKUP($B177,INDIRECT($B$5&amp;"生成成长"),4))/(VLOOKUP(BG$72,INDIRECT($C$5&amp;"生成成长"),5))*(VLOOKUP($B$5,标准坦克设计!$B$24:$U$30,MATCH("对"&amp;LEFT($C$5,2)&amp;"输出",标准坦克设计!$B$23:$U$23,0)))*(VLOOKUP($B177,INDIRECT($B$5&amp;"生成成长"),3))*(VLOOKUP($B$5,标准坦克设计!$B$14:$K$20,9)/30))</f>
        <v>2.5280645143347962</v>
      </c>
      <c r="BH177" s="173">
        <f ca="1">(VLOOKUP(BH$72,INDIRECT($C$5&amp;"生成成长"),2))/((VLOOKUP($B177,INDIRECT($B$5&amp;"生成成长"),4))/(VLOOKUP(BH$72,INDIRECT($C$5&amp;"生成成长"),5))*(VLOOKUP($B$5,标准坦克设计!$B$24:$U$30,MATCH("对"&amp;LEFT($C$5,2)&amp;"输出",标准坦克设计!$B$23:$U$23,0)))*(VLOOKUP($B177,INDIRECT($B$5&amp;"生成成长"),3))*(VLOOKUP($B$5,标准坦克设计!$B$14:$K$20,9)/30))</f>
        <v>1.2219551743210999</v>
      </c>
      <c r="BI177" s="173">
        <f ca="1">(VLOOKUP(BI$72,INDIRECT($C$5&amp;"生成成长"),2))/((VLOOKUP($B177,INDIRECT($B$5&amp;"生成成长"),4))/(VLOOKUP(BI$72,INDIRECT($C$5&amp;"生成成长"),5))*(VLOOKUP($B$5,标准坦克设计!$B$24:$U$30,MATCH("对"&amp;LEFT($C$5,2)&amp;"输出",标准坦克设计!$B$23:$U$23,0)))*(VLOOKUP($B177,INDIRECT($B$5&amp;"生成成长"),3))*(VLOOKUP($B$5,标准坦克设计!$B$14:$K$20,9)/30))</f>
        <v>1.3772505659159513</v>
      </c>
      <c r="BJ177" s="173">
        <f ca="1">(VLOOKUP(BJ$72,INDIRECT($C$5&amp;"生成成长"),2))/((VLOOKUP($B177,INDIRECT($B$5&amp;"生成成长"),4))/(VLOOKUP(BJ$72,INDIRECT($C$5&amp;"生成成长"),5))*(VLOOKUP($B$5,标准坦克设计!$B$24:$U$30,MATCH("对"&amp;LEFT($C$5,2)&amp;"输出",标准坦克设计!$B$23:$U$23,0)))*(VLOOKUP($B177,INDIRECT($B$5&amp;"生成成长"),3))*(VLOOKUP($B$5,标准坦克设计!$B$14:$K$20,9)/30))</f>
        <v>1.5418327251144821</v>
      </c>
      <c r="BK177" s="173">
        <f ca="1">(VLOOKUP(BK$72,INDIRECT($C$5&amp;"生成成长"),2))/((VLOOKUP($B177,INDIRECT($B$5&amp;"生成成长"),4))/(VLOOKUP(BK$72,INDIRECT($C$5&amp;"生成成长"),5))*(VLOOKUP($B$5,标准坦克设计!$B$24:$U$30,MATCH("对"&amp;LEFT($C$5,2)&amp;"输出",标准坦克设计!$B$23:$U$23,0)))*(VLOOKUP($B177,INDIRECT($B$5&amp;"生成成长"),3))*(VLOOKUP($B$5,标准坦克设计!$B$14:$K$20,9)/30))</f>
        <v>1.7157016519166914</v>
      </c>
      <c r="BL177" s="173">
        <f ca="1">(VLOOKUP(BL$72,INDIRECT($C$5&amp;"生成成长"),2))/((VLOOKUP($B177,INDIRECT($B$5&amp;"生成成长"),4))/(VLOOKUP(BL$72,INDIRECT($C$5&amp;"生成成长"),5))*(VLOOKUP($B$5,标准坦克设计!$B$24:$U$30,MATCH("对"&amp;LEFT($C$5,2)&amp;"输出",标准坦克设计!$B$23:$U$23,0)))*(VLOOKUP($B177,INDIRECT($B$5&amp;"生成成长"),3))*(VLOOKUP($B$5,标准坦克设计!$B$14:$K$20,9)/30))</f>
        <v>1.89885734632258</v>
      </c>
      <c r="BM177" s="173">
        <f ca="1">(VLOOKUP(BM$72,INDIRECT($C$5&amp;"生成成长"),2))/((VLOOKUP($B177,INDIRECT($B$5&amp;"生成成长"),4))/(VLOOKUP(BM$72,INDIRECT($C$5&amp;"生成成长"),5))*(VLOOKUP($B$5,标准坦克设计!$B$24:$U$30,MATCH("对"&amp;LEFT($C$5,2)&amp;"输出",标准坦克设计!$B$23:$U$23,0)))*(VLOOKUP($B177,INDIRECT($B$5&amp;"生成成长"),3))*(VLOOKUP($B$5,标准坦克设计!$B$14:$K$20,9)/30))</f>
        <v>2.0912998083321468</v>
      </c>
      <c r="BN177" s="173">
        <f ca="1">(VLOOKUP(BN$72,INDIRECT($C$5&amp;"生成成长"),2))/((VLOOKUP($B177,INDIRECT($B$5&amp;"生成成长"),4))/(VLOOKUP(BN$72,INDIRECT($C$5&amp;"生成成长"),5))*(VLOOKUP($B$5,标准坦克设计!$B$24:$U$30,MATCH("对"&amp;LEFT($C$5,2)&amp;"输出",标准坦克设计!$B$23:$U$23,0)))*(VLOOKUP($B177,INDIRECT($B$5&amp;"生成成长"),3))*(VLOOKUP($B$5,标准坦克设计!$B$14:$K$20,9)/30))</f>
        <v>2.2930290379453924</v>
      </c>
      <c r="BO177" s="173">
        <f ca="1">(VLOOKUP(BO$72,INDIRECT($C$5&amp;"生成成长"),2))/((VLOOKUP($B177,INDIRECT($B$5&amp;"生成成长"),4))/(VLOOKUP(BO$72,INDIRECT($C$5&amp;"生成成长"),5))*(VLOOKUP($B$5,标准坦克设计!$B$24:$U$30,MATCH("对"&amp;LEFT($C$5,2)&amp;"输出",标准坦克设计!$B$23:$U$23,0)))*(VLOOKUP($B177,INDIRECT($B$5&amp;"生成成长"),3))*(VLOOKUP($B$5,标准坦克设计!$B$14:$K$20,9)/30))</f>
        <v>2.5040450351623171</v>
      </c>
      <c r="BP177" s="173">
        <f ca="1">(VLOOKUP(BP$72,INDIRECT($C$5&amp;"生成成长"),2))/((VLOOKUP($B177,INDIRECT($B$5&amp;"生成成长"),4))/(VLOOKUP(BP$72,INDIRECT($C$5&amp;"生成成长"),5))*(VLOOKUP($B$5,标准坦克设计!$B$24:$U$30,MATCH("对"&amp;LEFT($C$5,2)&amp;"输出",标准坦克设计!$B$23:$U$23,0)))*(VLOOKUP($B177,INDIRECT($B$5&amp;"生成成长"),3))*(VLOOKUP($B$5,标准坦克设计!$B$14:$K$20,9)/30))</f>
        <v>2.7243477999829215</v>
      </c>
      <c r="BQ177" s="173">
        <f ca="1">(VLOOKUP(BQ$72,INDIRECT($C$5&amp;"生成成长"),2))/((VLOOKUP($B177,INDIRECT($B$5&amp;"生成成长"),4))/(VLOOKUP(BQ$72,INDIRECT($C$5&amp;"生成成长"),5))*(VLOOKUP($B$5,标准坦克设计!$B$24:$U$30,MATCH("对"&amp;LEFT($C$5,2)&amp;"输出",标准坦克设计!$B$23:$U$23,0)))*(VLOOKUP($B177,INDIRECT($B$5&amp;"生成成长"),3))*(VLOOKUP($B$5,标准坦克设计!$B$14:$K$20,9)/30))</f>
        <v>2.9539373324072034</v>
      </c>
      <c r="BR177" s="173">
        <f ca="1">(VLOOKUP(BR$72,INDIRECT($C$5&amp;"生成成长"),2))/((VLOOKUP($B177,INDIRECT($B$5&amp;"生成成长"),4))/(VLOOKUP(BR$72,INDIRECT($C$5&amp;"生成成长"),5))*(VLOOKUP($B$5,标准坦克设计!$B$24:$U$30,MATCH("对"&amp;LEFT($C$5,2)&amp;"输出",标准坦克设计!$B$23:$U$23,0)))*(VLOOKUP($B177,INDIRECT($B$5&amp;"生成成长"),3))*(VLOOKUP($B$5,标准坦克设计!$B$14:$K$20,9)/30))</f>
        <v>3.2199287008088695</v>
      </c>
      <c r="BS177" s="173">
        <f ca="1">(VLOOKUP(BS$72,INDIRECT($C$5&amp;"生成成长"),2))/((VLOOKUP($B177,INDIRECT($B$5&amp;"生成成长"),4))/(VLOOKUP(BS$72,INDIRECT($C$5&amp;"生成成长"),5))*(VLOOKUP($B$5,标准坦克设计!$B$24:$U$30,MATCH("对"&amp;LEFT($C$5,2)&amp;"输出",标准坦克设计!$B$23:$U$23,0)))*(VLOOKUP($B177,INDIRECT($B$5&amp;"生成成长"),3))*(VLOOKUP($B$5,标准坦克设计!$B$14:$K$20,9)/30))</f>
        <v>3.4973852144002615</v>
      </c>
      <c r="BT177" s="173">
        <f ca="1">(VLOOKUP(BT$72,INDIRECT($C$5&amp;"生成成长"),2))/((VLOOKUP($B177,INDIRECT($B$5&amp;"生成成长"),4))/(VLOOKUP(BT$72,INDIRECT($C$5&amp;"生成成长"),5))*(VLOOKUP($B$5,标准坦克设计!$B$24:$U$30,MATCH("对"&amp;LEFT($C$5,2)&amp;"输出",标准坦克设计!$B$23:$U$23,0)))*(VLOOKUP($B177,INDIRECT($B$5&amp;"生成成长"),3))*(VLOOKUP($B$5,标准坦克设计!$B$14:$K$20,9)/30))</f>
        <v>3.7863068731813807</v>
      </c>
      <c r="BU177" s="173">
        <f ca="1">(VLOOKUP(BU$72,INDIRECT($C$5&amp;"生成成长"),2))/((VLOOKUP($B177,INDIRECT($B$5&amp;"生成成长"),4))/(VLOOKUP(BU$72,INDIRECT($C$5&amp;"生成成长"),5))*(VLOOKUP($B$5,标准坦克设计!$B$24:$U$30,MATCH("对"&amp;LEFT($C$5,2)&amp;"输出",标准坦克设计!$B$23:$U$23,0)))*(VLOOKUP($B177,INDIRECT($B$5&amp;"生成成长"),3))*(VLOOKUP($B$5,标准坦克设计!$B$14:$K$20,9)/30))</f>
        <v>4.0866936771522271</v>
      </c>
      <c r="BV177" s="173">
        <f ca="1">(VLOOKUP(BV$72,INDIRECT($C$5&amp;"生成成长"),2))/((VLOOKUP($B177,INDIRECT($B$5&amp;"生成成长"),4))/(VLOOKUP(BV$72,INDIRECT($C$5&amp;"生成成长"),5))*(VLOOKUP($B$5,标准坦克设计!$B$24:$U$30,MATCH("对"&amp;LEFT($C$5,2)&amp;"输出",标准坦克设计!$B$23:$U$23,0)))*(VLOOKUP($B177,INDIRECT($B$5&amp;"生成成长"),3))*(VLOOKUP($B$5,标准坦克设计!$B$14:$K$20,9)/30))</f>
        <v>4.3985456263128011</v>
      </c>
      <c r="BW177" s="173">
        <f ca="1">(VLOOKUP(BW$72,INDIRECT($C$5&amp;"生成成长"),2))/((VLOOKUP($B177,INDIRECT($B$5&amp;"生成成长"),4))/(VLOOKUP(BW$72,INDIRECT($C$5&amp;"生成成长"),5))*(VLOOKUP($B$5,标准坦克设计!$B$24:$U$30,MATCH("对"&amp;LEFT($C$5,2)&amp;"输出",标准坦克设计!$B$23:$U$23,0)))*(VLOOKUP($B177,INDIRECT($B$5&amp;"生成成长"),3))*(VLOOKUP($B$5,标准坦克设计!$B$14:$K$20,9)/30))</f>
        <v>2.0046233106978106</v>
      </c>
      <c r="BX177" s="173">
        <f ca="1">(VLOOKUP(BX$72,INDIRECT($C$5&amp;"生成成长"),2))/((VLOOKUP($B177,INDIRECT($B$5&amp;"生成成长"),4))/(VLOOKUP(BX$72,INDIRECT($C$5&amp;"生成成长"),5))*(VLOOKUP($B$5,标准坦克设计!$B$24:$U$30,MATCH("对"&amp;LEFT($C$5,2)&amp;"输出",标准坦克设计!$B$23:$U$23,0)))*(VLOOKUP($B177,INDIRECT($B$5&amp;"生成成长"),3))*(VLOOKUP($B$5,标准坦克设计!$B$14:$K$20,9)/30))</f>
        <v>2.2247540983405689</v>
      </c>
      <c r="BY177" s="173">
        <f ca="1">(VLOOKUP(BY$72,INDIRECT($C$5&amp;"生成成长"),2))/((VLOOKUP($B177,INDIRECT($B$5&amp;"生成成长"),4))/(VLOOKUP(BY$72,INDIRECT($C$5&amp;"生成成长"),5))*(VLOOKUP($B$5,标准坦克设计!$B$24:$U$30,MATCH("对"&amp;LEFT($C$5,2)&amp;"输出",标准坦克设计!$B$23:$U$23,0)))*(VLOOKUP($B177,INDIRECT($B$5&amp;"生成成长"),3))*(VLOOKUP($B$5,标准坦克设计!$B$14:$K$20,9)/30))</f>
        <v>2.4563500311730526</v>
      </c>
      <c r="BZ177" s="173">
        <f ca="1">(VLOOKUP(BZ$72,INDIRECT($C$5&amp;"生成成长"),2))/((VLOOKUP($B177,INDIRECT($B$5&amp;"生成成长"),4))/(VLOOKUP(BZ$72,INDIRECT($C$5&amp;"生成成长"),5))*(VLOOKUP($B$5,标准坦克设计!$B$24:$U$30,MATCH("对"&amp;LEFT($C$5,2)&amp;"输出",标准坦克设计!$B$23:$U$23,0)))*(VLOOKUP($B177,INDIRECT($B$5&amp;"生成成长"),3))*(VLOOKUP($B$5,标准坦克设计!$B$14:$K$20,9)/30))</f>
        <v>2.6994111091952648</v>
      </c>
      <c r="CA177" s="173">
        <f ca="1">(VLOOKUP(CA$72,INDIRECT($C$5&amp;"生成成长"),2))/((VLOOKUP($B177,INDIRECT($B$5&amp;"生成成长"),4))/(VLOOKUP(CA$72,INDIRECT($C$5&amp;"生成成长"),5))*(VLOOKUP($B$5,标准坦克设计!$B$24:$U$30,MATCH("对"&amp;LEFT($C$5,2)&amp;"输出",标准坦克设计!$B$23:$U$23,0)))*(VLOOKUP($B177,INDIRECT($B$5&amp;"生成成长"),3))*(VLOOKUP($B$5,标准坦克设计!$B$14:$K$20,9)/30))</f>
        <v>2.9539373324072034</v>
      </c>
      <c r="CB177" s="173">
        <f ca="1">(VLOOKUP(CB$72,INDIRECT($C$5&amp;"生成成长"),2))/((VLOOKUP($B177,INDIRECT($B$5&amp;"生成成长"),4))/(VLOOKUP(CB$72,INDIRECT($C$5&amp;"生成成长"),5))*(VLOOKUP($B$5,标准坦克设计!$B$24:$U$30,MATCH("对"&amp;LEFT($C$5,2)&amp;"输出",标准坦克设计!$B$23:$U$23,0)))*(VLOOKUP($B177,INDIRECT($B$5&amp;"生成成长"),3))*(VLOOKUP($B$5,标准坦克设计!$B$14:$K$20,9)/30))</f>
        <v>3.2199287008088695</v>
      </c>
      <c r="CC177" s="173">
        <f ca="1">(VLOOKUP(CC$72,INDIRECT($C$5&amp;"生成成长"),2))/((VLOOKUP($B177,INDIRECT($B$5&amp;"生成成长"),4))/(VLOOKUP(CC$72,INDIRECT($C$5&amp;"生成成长"),5))*(VLOOKUP($B$5,标准坦克设计!$B$24:$U$30,MATCH("对"&amp;LEFT($C$5,2)&amp;"输出",标准坦克设计!$B$23:$U$23,0)))*(VLOOKUP($B177,INDIRECT($B$5&amp;"生成成长"),3))*(VLOOKUP($B$5,标准坦克设计!$B$14:$K$20,9)/30))</f>
        <v>3.4973852144002615</v>
      </c>
      <c r="CD177" s="173">
        <f ca="1">(VLOOKUP(CD$72,INDIRECT($C$5&amp;"生成成长"),2))/((VLOOKUP($B177,INDIRECT($B$5&amp;"生成成长"),4))/(VLOOKUP(CD$72,INDIRECT($C$5&amp;"生成成长"),5))*(VLOOKUP($B$5,标准坦克设计!$B$24:$U$30,MATCH("对"&amp;LEFT($C$5,2)&amp;"输出",标准坦克设计!$B$23:$U$23,0)))*(VLOOKUP($B177,INDIRECT($B$5&amp;"生成成长"),3))*(VLOOKUP($B$5,标准坦克设计!$B$14:$K$20,9)/30))</f>
        <v>3.7863068731813807</v>
      </c>
      <c r="CE177" s="173">
        <f ca="1">(VLOOKUP(CE$72,INDIRECT($C$5&amp;"生成成长"),2))/((VLOOKUP($B177,INDIRECT($B$5&amp;"生成成长"),4))/(VLOOKUP(CE$72,INDIRECT($C$5&amp;"生成成长"),5))*(VLOOKUP($B$5,标准坦克设计!$B$24:$U$30,MATCH("对"&amp;LEFT($C$5,2)&amp;"输出",标准坦克设计!$B$23:$U$23,0)))*(VLOOKUP($B177,INDIRECT($B$5&amp;"生成成长"),3))*(VLOOKUP($B$5,标准坦克设计!$B$14:$K$20,9)/30))</f>
        <v>4.0866936771522271</v>
      </c>
      <c r="CF177" s="173">
        <f ca="1">(VLOOKUP(CF$72,INDIRECT($C$5&amp;"生成成长"),2))/((VLOOKUP($B177,INDIRECT($B$5&amp;"生成成长"),4))/(VLOOKUP(CF$72,INDIRECT($C$5&amp;"生成成长"),5))*(VLOOKUP($B$5,标准坦克设计!$B$24:$U$30,MATCH("对"&amp;LEFT($C$5,2)&amp;"输出",标准坦克设计!$B$23:$U$23,0)))*(VLOOKUP($B177,INDIRECT($B$5&amp;"生成成长"),3))*(VLOOKUP($B$5,标准坦克设计!$B$14:$K$20,9)/30))</f>
        <v>4.3985456263128011</v>
      </c>
      <c r="CG177" s="173">
        <f ca="1">(VLOOKUP(CG$72,INDIRECT($C$5&amp;"生成成长"),2))/((VLOOKUP($B177,INDIRECT($B$5&amp;"生成成长"),4))/(VLOOKUP(CG$72,INDIRECT($C$5&amp;"生成成长"),5))*(VLOOKUP($B$5,标准坦克设计!$B$24:$U$30,MATCH("对"&amp;LEFT($C$5,2)&amp;"输出",标准坦克设计!$B$23:$U$23,0)))*(VLOOKUP($B177,INDIRECT($B$5&amp;"生成成长"),3))*(VLOOKUP($B$5,标准坦克设计!$B$14:$K$20,9)/30))</f>
        <v>4.7218627206631014</v>
      </c>
      <c r="CH177" s="173">
        <f ca="1">(VLOOKUP(CH$72,INDIRECT($C$5&amp;"生成成长"),2))/((VLOOKUP($B177,INDIRECT($B$5&amp;"生成成长"),4))/(VLOOKUP(CH$72,INDIRECT($C$5&amp;"生成成长"),5))*(VLOOKUP($B$5,标准坦克设计!$B$24:$U$30,MATCH("对"&amp;LEFT($C$5,2)&amp;"输出",标准坦克设计!$B$23:$U$23,0)))*(VLOOKUP($B177,INDIRECT($B$5&amp;"生成成长"),3))*(VLOOKUP($B$5,标准坦克设计!$B$14:$K$20,9)/30))</f>
        <v>5.0566449602031289</v>
      </c>
      <c r="CI177" s="173">
        <f ca="1">(VLOOKUP(CI$72,INDIRECT($C$5&amp;"生成成长"),2))/((VLOOKUP($B177,INDIRECT($B$5&amp;"生成成长"),4))/(VLOOKUP(CI$72,INDIRECT($C$5&amp;"生成成长"),5))*(VLOOKUP($B$5,标准坦克设计!$B$24:$U$30,MATCH("对"&amp;LEFT($C$5,2)&amp;"输出",标准坦克设计!$B$23:$U$23,0)))*(VLOOKUP($B177,INDIRECT($B$5&amp;"生成成长"),3))*(VLOOKUP($B$5,标准坦克设计!$B$14:$K$20,9)/30))</f>
        <v>5.4381476663912931</v>
      </c>
      <c r="CJ177" s="173">
        <f ca="1">(VLOOKUP(CJ$72,INDIRECT($C$5&amp;"生成成长"),2))/((VLOOKUP($B177,INDIRECT($B$5&amp;"生成成长"),4))/(VLOOKUP(CJ$72,INDIRECT($C$5&amp;"生成成长"),5))*(VLOOKUP($B$5,标准坦克设计!$B$24:$U$30,MATCH("对"&amp;LEFT($C$5,2)&amp;"输出",标准坦克设计!$B$23:$U$23,0)))*(VLOOKUP($B177,INDIRECT($B$5&amp;"生成成长"),3))*(VLOOKUP($B$5,标准坦克设计!$B$14:$K$20,9)/30))</f>
        <v>5.8335231982590274</v>
      </c>
      <c r="CK177" s="173">
        <f ca="1">(VLOOKUP(CK$72,INDIRECT($C$5&amp;"生成成长"),2))/((VLOOKUP($B177,INDIRECT($B$5&amp;"生成成长"),4))/(VLOOKUP(CK$72,INDIRECT($C$5&amp;"生成成长"),5))*(VLOOKUP($B$5,标准坦克设计!$B$24:$U$30,MATCH("对"&amp;LEFT($C$5,2)&amp;"输出",标准坦克设计!$B$23:$U$23,0)))*(VLOOKUP($B177,INDIRECT($B$5&amp;"生成成长"),3))*(VLOOKUP($B$5,标准坦克设计!$B$14:$K$20,9)/30))</f>
        <v>6.2427715558063319</v>
      </c>
      <c r="CL177" s="173">
        <f ca="1">(VLOOKUP(CL$72,INDIRECT($C$5&amp;"生成成长"),2))/((VLOOKUP($B177,INDIRECT($B$5&amp;"生成成长"),4))/(VLOOKUP(CL$72,INDIRECT($C$5&amp;"生成成长"),5))*(VLOOKUP($B$5,标准坦克设计!$B$24:$U$30,MATCH("对"&amp;LEFT($C$5,2)&amp;"输出",标准坦克设计!$B$23:$U$23,0)))*(VLOOKUP($B177,INDIRECT($B$5&amp;"生成成长"),3))*(VLOOKUP($B$5,标准坦克设计!$B$14:$K$20,9)/30))</f>
        <v>6.6658927390332048</v>
      </c>
      <c r="CM177" s="173">
        <f ca="1">(VLOOKUP(CM$72,INDIRECT($C$5&amp;"生成成长"),2))/((VLOOKUP($B177,INDIRECT($B$5&amp;"生成成长"),4))/(VLOOKUP(CM$72,INDIRECT($C$5&amp;"生成成长"),5))*(VLOOKUP($B$5,标准坦克设计!$B$24:$U$30,MATCH("对"&amp;LEFT($C$5,2)&amp;"输出",标准坦克设计!$B$23:$U$23,0)))*(VLOOKUP($B177,INDIRECT($B$5&amp;"生成成长"),3))*(VLOOKUP($B$5,标准坦克设计!$B$14:$K$20,9)/30))</f>
        <v>7.1028867479396487</v>
      </c>
      <c r="CN177" s="173">
        <f ca="1">(VLOOKUP(CN$72,INDIRECT($C$5&amp;"生成成长"),2))/((VLOOKUP($B177,INDIRECT($B$5&amp;"生成成长"),4))/(VLOOKUP(CN$72,INDIRECT($C$5&amp;"生成成长"),5))*(VLOOKUP($B$5,标准坦克设计!$B$24:$U$30,MATCH("对"&amp;LEFT($C$5,2)&amp;"输出",标准坦克设计!$B$23:$U$23,0)))*(VLOOKUP($B177,INDIRECT($B$5&amp;"生成成长"),3))*(VLOOKUP($B$5,标准坦克设计!$B$14:$K$20,9)/30))</f>
        <v>7.553753582525661</v>
      </c>
      <c r="CO177" s="173">
        <f ca="1">(VLOOKUP(CO$72,INDIRECT($C$5&amp;"生成成长"),2))/((VLOOKUP($B177,INDIRECT($B$5&amp;"生成成长"),4))/(VLOOKUP(CO$72,INDIRECT($C$5&amp;"生成成长"),5))*(VLOOKUP($B$5,标准坦克设计!$B$24:$U$30,MATCH("对"&amp;LEFT($C$5,2)&amp;"输出",标准坦克设计!$B$23:$U$23,0)))*(VLOOKUP($B177,INDIRECT($B$5&amp;"生成成长"),3))*(VLOOKUP($B$5,标准坦克设计!$B$14:$K$20,9)/30))</f>
        <v>3.3850267915409371</v>
      </c>
      <c r="CP177" s="173">
        <f ca="1">(VLOOKUP(CP$72,INDIRECT($C$5&amp;"生成成长"),2))/((VLOOKUP($B177,INDIRECT($B$5&amp;"生成成长"),4))/(VLOOKUP(CP$72,INDIRECT($C$5&amp;"生成成长"),5))*(VLOOKUP($B$5,标准坦克设计!$B$24:$U$30,MATCH("对"&amp;LEFT($C$5,2)&amp;"输出",标准坦克设计!$B$23:$U$23,0)))*(VLOOKUP($B177,INDIRECT($B$5&amp;"生成成长"),3))*(VLOOKUP($B$5,标准坦克设计!$B$14:$K$20,9)/30))</f>
        <v>3.6984265353021235</v>
      </c>
      <c r="CQ177" s="173">
        <f ca="1">(VLOOKUP(CQ$72,INDIRECT($C$5&amp;"生成成长"),2))/((VLOOKUP($B177,INDIRECT($B$5&amp;"生成成长"),4))/(VLOOKUP(CQ$72,INDIRECT($C$5&amp;"生成成长"),5))*(VLOOKUP($B$5,标准坦克设计!$B$24:$U$30,MATCH("对"&amp;LEFT($C$5,2)&amp;"输出",标准坦克设计!$B$23:$U$23,0)))*(VLOOKUP($B177,INDIRECT($B$5&amp;"生成成长"),3))*(VLOOKUP($B$5,标准坦克设计!$B$14:$K$20,9)/30))</f>
        <v>4.0256991047428796</v>
      </c>
      <c r="CR177" s="173">
        <f ca="1">(VLOOKUP(CR$72,INDIRECT($C$5&amp;"生成成长"),2))/((VLOOKUP($B177,INDIRECT($B$5&amp;"生成成长"),4))/(VLOOKUP(CR$72,INDIRECT($C$5&amp;"生成成长"),5))*(VLOOKUP($B$5,标准坦克设计!$B$24:$U$30,MATCH("对"&amp;LEFT($C$5,2)&amp;"输出",标准坦克设计!$B$23:$U$23,0)))*(VLOOKUP($B177,INDIRECT($B$5&amp;"生成成长"),3))*(VLOOKUP($B$5,标准坦克设计!$B$14:$K$20,9)/30))</f>
        <v>4.3668444998632054</v>
      </c>
      <c r="CS177" s="173">
        <f ca="1">(VLOOKUP(CS$72,INDIRECT($C$5&amp;"生成成长"),2))/((VLOOKUP($B177,INDIRECT($B$5&amp;"生成成长"),4))/(VLOOKUP(CS$72,INDIRECT($C$5&amp;"生成成长"),5))*(VLOOKUP($B$5,标准坦克设计!$B$24:$U$30,MATCH("对"&amp;LEFT($C$5,2)&amp;"输出",标准坦克设计!$B$23:$U$23,0)))*(VLOOKUP($B177,INDIRECT($B$5&amp;"生成成长"),3))*(VLOOKUP($B$5,标准坦克设计!$B$14:$K$20,9)/30))</f>
        <v>4.7218627206631014</v>
      </c>
      <c r="CT177" s="173">
        <f ca="1">(VLOOKUP(CT$72,INDIRECT($C$5&amp;"生成成长"),2))/((VLOOKUP($B177,INDIRECT($B$5&amp;"生成成长"),4))/(VLOOKUP(CT$72,INDIRECT($C$5&amp;"生成成长"),5))*(VLOOKUP($B$5,标准坦克设计!$B$24:$U$30,MATCH("对"&amp;LEFT($C$5,2)&amp;"输出",标准坦克设计!$B$23:$U$23,0)))*(VLOOKUP($B177,INDIRECT($B$5&amp;"生成成长"),3))*(VLOOKUP($B$5,标准坦克设计!$B$14:$K$20,9)/30))</f>
        <v>5.0907537671425658</v>
      </c>
      <c r="CU177" s="173">
        <f ca="1">(VLOOKUP(CU$72,INDIRECT($C$5&amp;"生成成长"),2))/((VLOOKUP($B177,INDIRECT($B$5&amp;"生成成长"),4))/(VLOOKUP(CU$72,INDIRECT($C$5&amp;"生成成长"),5))*(VLOOKUP($B$5,标准坦克设计!$B$24:$U$30,MATCH("对"&amp;LEFT($C$5,2)&amp;"输出",标准坦克设计!$B$23:$U$23,0)))*(VLOOKUP($B177,INDIRECT($B$5&amp;"生成成长"),3))*(VLOOKUP($B$5,标准坦克设计!$B$14:$K$20,9)/30))</f>
        <v>5.4735176393016003</v>
      </c>
      <c r="CV177" s="173">
        <f ca="1">(VLOOKUP(CV$72,INDIRECT($C$5&amp;"生成成长"),2))/((VLOOKUP($B177,INDIRECT($B$5&amp;"生成成长"),4))/(VLOOKUP(CV$72,INDIRECT($C$5&amp;"生成成长"),5))*(VLOOKUP($B$5,标准坦克设计!$B$24:$U$30,MATCH("对"&amp;LEFT($C$5,2)&amp;"输出",标准坦克设计!$B$23:$U$23,0)))*(VLOOKUP($B177,INDIRECT($B$5&amp;"生成成长"),3))*(VLOOKUP($B$5,标准坦克设计!$B$14:$K$20,9)/30))</f>
        <v>5.8701543371402058</v>
      </c>
      <c r="CW177" s="173">
        <f ca="1">(VLOOKUP(CW$72,INDIRECT($C$5&amp;"生成成长"),2))/((VLOOKUP($B177,INDIRECT($B$5&amp;"生成成长"),4))/(VLOOKUP(CW$72,INDIRECT($C$5&amp;"生成成长"),5))*(VLOOKUP($B$5,标准坦克设计!$B$24:$U$30,MATCH("对"&amp;LEFT($C$5,2)&amp;"输出",标准坦克设计!$B$23:$U$23,0)))*(VLOOKUP($B177,INDIRECT($B$5&amp;"生成成长"),3))*(VLOOKUP($B$5,标准坦克设计!$B$14:$K$20,9)/30))</f>
        <v>6.2806638606583798</v>
      </c>
      <c r="CX177" s="173">
        <f ca="1">(VLOOKUP(CX$72,INDIRECT($C$5&amp;"生成成长"),2))/((VLOOKUP($B177,INDIRECT($B$5&amp;"生成成长"),4))/(VLOOKUP(CX$72,INDIRECT($C$5&amp;"生成成长"),5))*(VLOOKUP($B$5,标准坦克设计!$B$24:$U$30,MATCH("对"&amp;LEFT($C$5,2)&amp;"输出",标准坦克设计!$B$23:$U$23,0)))*(VLOOKUP($B177,INDIRECT($B$5&amp;"生成成长"),3))*(VLOOKUP($B$5,标准坦克设计!$B$14:$K$20,9)/30))</f>
        <v>6.705046209856123</v>
      </c>
      <c r="CY177" s="173">
        <f ca="1">(VLOOKUP(CY$72,INDIRECT($C$5&amp;"生成成长"),2))/((VLOOKUP($B177,INDIRECT($B$5&amp;"生成成长"),4))/(VLOOKUP(CY$72,INDIRECT($C$5&amp;"生成成长"),5))*(VLOOKUP($B$5,标准坦克设计!$B$24:$U$30,MATCH("对"&amp;LEFT($C$5,2)&amp;"输出",标准坦克设计!$B$23:$U$23,0)))*(VLOOKUP($B177,INDIRECT($B$5&amp;"生成成长"),3))*(VLOOKUP($B$5,标准坦克设计!$B$14:$K$20,9)/30))</f>
        <v>7.1433013847334355</v>
      </c>
      <c r="CZ177" s="173">
        <f ca="1">(VLOOKUP(CZ$72,INDIRECT($C$5&amp;"生成成长"),2))/((VLOOKUP($B177,INDIRECT($B$5&amp;"生成成长"),4))/(VLOOKUP(CZ$72,INDIRECT($C$5&amp;"生成成长"),5))*(VLOOKUP($B$5,标准坦克设计!$B$24:$U$30,MATCH("对"&amp;LEFT($C$5,2)&amp;"输出",标准坦克设计!$B$23:$U$23,0)))*(VLOOKUP($B177,INDIRECT($B$5&amp;"生成成长"),3))*(VLOOKUP($B$5,标准坦克设计!$B$14:$K$20,9)/30))</f>
        <v>7.5954293852903199</v>
      </c>
      <c r="DA177" s="173">
        <f ca="1">(VLOOKUP(DA$72,INDIRECT($C$5&amp;"生成成长"),2))/((VLOOKUP($B177,INDIRECT($B$5&amp;"生成成长"),4))/(VLOOKUP(DA$72,INDIRECT($C$5&amp;"生成成长"),5))*(VLOOKUP($B$5,标准坦克设计!$B$24:$U$30,MATCH("对"&amp;LEFT($C$5,2)&amp;"输出",标准坦克设计!$B$23:$U$23,0)))*(VLOOKUP($B177,INDIRECT($B$5&amp;"生成成长"),3))*(VLOOKUP($B$5,标准坦克设计!$B$14:$K$20,9)/30))</f>
        <v>8.0614302115267709</v>
      </c>
      <c r="DB177" s="173">
        <f ca="1">(VLOOKUP(DB$72,INDIRECT($C$5&amp;"生成成长"),2))/((VLOOKUP($B177,INDIRECT($B$5&amp;"生成成长"),4))/(VLOOKUP(DB$72,INDIRECT($C$5&amp;"生成成长"),5))*(VLOOKUP($B$5,标准坦克设计!$B$24:$U$30,MATCH("对"&amp;LEFT($C$5,2)&amp;"输出",标准坦克设计!$B$23:$U$23,0)))*(VLOOKUP($B177,INDIRECT($B$5&amp;"生成成长"),3))*(VLOOKUP($B$5,标准坦克设计!$B$14:$K$20,9)/30))</f>
        <v>8.541303863442792</v>
      </c>
      <c r="DC177" s="173">
        <f ca="1">(VLOOKUP(DC$72,INDIRECT($C$5&amp;"生成成长"),2))/((VLOOKUP($B177,INDIRECT($B$5&amp;"生成成长"),4))/(VLOOKUP(DC$72,INDIRECT($C$5&amp;"生成成长"),5))*(VLOOKUP($B$5,标准坦克设计!$B$24:$U$30,MATCH("对"&amp;LEFT($C$5,2)&amp;"输出",标准坦克设计!$B$23:$U$23,0)))*(VLOOKUP($B177,INDIRECT($B$5&amp;"生成成长"),3))*(VLOOKUP($B$5,标准坦克设计!$B$14:$K$20,9)/30))</f>
        <v>9.0806242931675492</v>
      </c>
      <c r="DD177" s="173">
        <f ca="1">(VLOOKUP(DD$72,INDIRECT($C$5&amp;"生成成长"),2))/((VLOOKUP($B177,INDIRECT($B$5&amp;"生成成长"),4))/(VLOOKUP(DD$72,INDIRECT($C$5&amp;"生成成长"),5))*(VLOOKUP($B$5,标准坦克设计!$B$24:$U$30,MATCH("对"&amp;LEFT($C$5,2)&amp;"输出",标准坦克设计!$B$23:$U$23,0)))*(VLOOKUP($B177,INDIRECT($B$5&amp;"生成成长"),3))*(VLOOKUP($B$5,标准坦克设计!$B$14:$K$20,9)/30))</f>
        <v>9.6364545319655122</v>
      </c>
      <c r="DE177" s="173">
        <f ca="1">(VLOOKUP(DE$72,INDIRECT($C$5&amp;"生成成长"),2))/((VLOOKUP($B177,INDIRECT($B$5&amp;"生成成长"),4))/(VLOOKUP(DE$72,INDIRECT($C$5&amp;"生成成长"),5))*(VLOOKUP($B$5,标准坦克设计!$B$24:$U$30,MATCH("对"&amp;LEFT($C$5,2)&amp;"输出",标准坦克设计!$B$23:$U$23,0)))*(VLOOKUP($B177,INDIRECT($B$5&amp;"生成成长"),3))*(VLOOKUP($B$5,标准坦克设计!$B$14:$K$20,9)/30))</f>
        <v>10.208794579836685</v>
      </c>
      <c r="DF177" s="173">
        <f ca="1">(VLOOKUP(DF$72,INDIRECT($C$5&amp;"生成成长"),2))/((VLOOKUP($B177,INDIRECT($B$5&amp;"生成成长"),4))/(VLOOKUP(DF$72,INDIRECT($C$5&amp;"生成成长"),5))*(VLOOKUP($B$5,标准坦克设计!$B$24:$U$30,MATCH("对"&amp;LEFT($C$5,2)&amp;"输出",标准坦克设计!$B$23:$U$23,0)))*(VLOOKUP($B177,INDIRECT($B$5&amp;"生成成长"),3))*(VLOOKUP($B$5,标准坦克设计!$B$14:$K$20,9)/30))</f>
        <v>10.797644436781059</v>
      </c>
      <c r="DG177" s="173">
        <f ca="1">(VLOOKUP(DG$72,INDIRECT($C$5&amp;"生成成长"),2))/((VLOOKUP($B177,INDIRECT($B$5&amp;"生成成长"),4))/(VLOOKUP(DG$72,INDIRECT($C$5&amp;"生成成长"),5))*(VLOOKUP($B$5,标准坦克设计!$B$24:$U$30,MATCH("对"&amp;LEFT($C$5,2)&amp;"输出",标准坦克设计!$B$23:$U$23,0)))*(VLOOKUP($B177,INDIRECT($B$5&amp;"生成成长"),3))*(VLOOKUP($B$5,标准坦克设计!$B$14:$K$20,9)/30))</f>
        <v>11.403004102798642</v>
      </c>
      <c r="DH177" s="173">
        <f ca="1">(VLOOKUP(DH$72,INDIRECT($C$5&amp;"生成成长"),2))/((VLOOKUP($B177,INDIRECT($B$5&amp;"生成成长"),4))/(VLOOKUP(DH$72,INDIRECT($C$5&amp;"生成成长"),5))*(VLOOKUP($B$5,标准坦克设计!$B$24:$U$30,MATCH("对"&amp;LEFT($C$5,2)&amp;"输出",标准坦克设计!$B$23:$U$23,0)))*(VLOOKUP($B177,INDIRECT($B$5&amp;"生成成长"),3))*(VLOOKUP($B$5,标准坦克设计!$B$14:$K$20,9)/30))</f>
        <v>12.024873577889435</v>
      </c>
      <c r="DI177" s="173">
        <f ca="1">(VLOOKUP(DI$72,INDIRECT($C$5&amp;"生成成长"),2))/((VLOOKUP($B177,INDIRECT($B$5&amp;"生成成长"),4))/(VLOOKUP(DI$72,INDIRECT($C$5&amp;"生成成长"),5))*(VLOOKUP($B$5,标准坦克设计!$B$24:$U$30,MATCH("对"&amp;LEFT($C$5,2)&amp;"输出",标准坦克设计!$B$23:$U$23,0)))*(VLOOKUP($B177,INDIRECT($B$5&amp;"生成成长"),3))*(VLOOKUP($B$5,标准坦克设计!$B$14:$K$20,9)/30))</f>
        <v>12.663252862053429</v>
      </c>
      <c r="DJ177" s="173">
        <f ca="1">(VLOOKUP(DJ$72,INDIRECT($C$5&amp;"生成成长"),2))/((VLOOKUP($B177,INDIRECT($B$5&amp;"生成成长"),4))/(VLOOKUP(DJ$72,INDIRECT($C$5&amp;"生成成长"),5))*(VLOOKUP($B$5,标准坦克设计!$B$24:$U$30,MATCH("对"&amp;LEFT($C$5,2)&amp;"输出",标准坦克设计!$B$23:$U$23,0)))*(VLOOKUP($B177,INDIRECT($B$5&amp;"生成成长"),3))*(VLOOKUP($B$5,标准坦克设计!$B$14:$K$20,9)/30))</f>
        <v>1.2726884417856414</v>
      </c>
      <c r="DK177" s="173">
        <f ca="1">(VLOOKUP(DK$72,INDIRECT($C$5&amp;"生成成长"),2))/((VLOOKUP($B177,INDIRECT($B$5&amp;"生成成长"),4))/(VLOOKUP(DK$72,INDIRECT($C$5&amp;"生成成长"),5))*(VLOOKUP($B$5,标准坦克设计!$B$24:$U$30,MATCH("对"&amp;LEFT($C$5,2)&amp;"输出",标准坦克设计!$B$23:$U$23,0)))*(VLOOKUP($B177,INDIRECT($B$5&amp;"生成成长"),3))*(VLOOKUP($B$5,标准坦克设计!$B$14:$K$20,9)/30))</f>
        <v>1.4310794225817194</v>
      </c>
      <c r="DL177" s="173">
        <f ca="1">(VLOOKUP(DL$72,INDIRECT($C$5&amp;"生成成长"),2))/((VLOOKUP($B177,INDIRECT($B$5&amp;"生成成长"),4))/(VLOOKUP(DL$72,INDIRECT($C$5&amp;"生成成长"),5))*(VLOOKUP($B$5,标准坦克设计!$B$24:$U$30,MATCH("对"&amp;LEFT($C$5,2)&amp;"输出",标准坦克设计!$B$23:$U$23,0)))*(VLOOKUP($B177,INDIRECT($B$5&amp;"生成成长"),3))*(VLOOKUP($B$5,标准坦克设计!$B$14:$K$20,9)/30))</f>
        <v>1.5987571709814765</v>
      </c>
      <c r="DM177" s="173">
        <f ca="1">(VLOOKUP(DM$72,INDIRECT($C$5&amp;"生成成长"),2))/((VLOOKUP($B177,INDIRECT($B$5&amp;"生成成长"),4))/(VLOOKUP(DM$72,INDIRECT($C$5&amp;"生成成长"),5))*(VLOOKUP($B$5,标准坦克设计!$B$24:$U$30,MATCH("对"&amp;LEFT($C$5,2)&amp;"输出",标准坦克设计!$B$23:$U$23,0)))*(VLOOKUP($B177,INDIRECT($B$5&amp;"生成成长"),3))*(VLOOKUP($B$5,标准坦克设计!$B$14:$K$20,9)/30))</f>
        <v>1.7757216869849122</v>
      </c>
      <c r="DN177" s="173">
        <f ca="1">(VLOOKUP(DN$72,INDIRECT($C$5&amp;"生成成长"),2))/((VLOOKUP($B177,INDIRECT($B$5&amp;"生成成长"),4))/(VLOOKUP(DN$72,INDIRECT($C$5&amp;"生成成长"),5))*(VLOOKUP($B$5,标准坦克设计!$B$24:$U$30,MATCH("对"&amp;LEFT($C$5,2)&amp;"输出",标准坦克设计!$B$23:$U$23,0)))*(VLOOKUP($B177,INDIRECT($B$5&amp;"生成成长"),3))*(VLOOKUP($B$5,标准坦克设计!$B$14:$K$20,9)/30))</f>
        <v>1.9619729705920266</v>
      </c>
      <c r="DO177" s="173">
        <f ca="1">(VLOOKUP(DO$72,INDIRECT($C$5&amp;"生成成长"),2))/((VLOOKUP($B177,INDIRECT($B$5&amp;"生成成长"),4))/(VLOOKUP(DO$72,INDIRECT($C$5&amp;"生成成长"),5))*(VLOOKUP($B$5,标准坦克设计!$B$24:$U$30,MATCH("对"&amp;LEFT($C$5,2)&amp;"输出",标准坦克设计!$B$23:$U$23,0)))*(VLOOKUP($B177,INDIRECT($B$5&amp;"生成成长"),3))*(VLOOKUP($B$5,标准坦克设计!$B$14:$K$20,9)/30))</f>
        <v>2.1575110218028204</v>
      </c>
      <c r="DP177" s="173">
        <f ca="1">(VLOOKUP(DP$72,INDIRECT($C$5&amp;"生成成长"),2))/((VLOOKUP($B177,INDIRECT($B$5&amp;"生成成长"),4))/(VLOOKUP(DP$72,INDIRECT($C$5&amp;"生成成长"),5))*(VLOOKUP($B$5,标准坦克设计!$B$24:$U$30,MATCH("对"&amp;LEFT($C$5,2)&amp;"输出",标准坦克设计!$B$23:$U$23,0)))*(VLOOKUP($B177,INDIRECT($B$5&amp;"生成成长"),3))*(VLOOKUP($B$5,标准坦克设计!$B$14:$K$20,9)/30))</f>
        <v>2.3623358406172916</v>
      </c>
      <c r="DQ177" s="173">
        <f ca="1">(VLOOKUP(DQ$72,INDIRECT($C$5&amp;"生成成长"),2))/((VLOOKUP($B177,INDIRECT($B$5&amp;"生成成长"),4))/(VLOOKUP(DQ$72,INDIRECT($C$5&amp;"生成成长"),5))*(VLOOKUP($B$5,标准坦克设计!$B$24:$U$30,MATCH("对"&amp;LEFT($C$5,2)&amp;"输出",标准坦克设计!$B$23:$U$23,0)))*(VLOOKUP($B177,INDIRECT($B$5&amp;"生成成长"),3))*(VLOOKUP($B$5,标准坦克设计!$B$14:$K$20,9)/30))</f>
        <v>2.5764474270354434</v>
      </c>
      <c r="DR177" s="173">
        <f ca="1">(VLOOKUP(DR$72,INDIRECT($C$5&amp;"生成成长"),2))/((VLOOKUP($B177,INDIRECT($B$5&amp;"生成成长"),4))/(VLOOKUP(DR$72,INDIRECT($C$5&amp;"生成成长"),5))*(VLOOKUP($B$5,标准坦克设计!$B$24:$U$30,MATCH("对"&amp;LEFT($C$5,2)&amp;"输出",标准坦克设计!$B$23:$U$23,0)))*(VLOOKUP($B177,INDIRECT($B$5&amp;"生成成长"),3))*(VLOOKUP($B$5,标准坦克设计!$B$14:$K$20,9)/30))</f>
        <v>2.799845781057273</v>
      </c>
      <c r="DS177" s="173">
        <f ca="1">(VLOOKUP(DS$72,INDIRECT($C$5&amp;"生成成长"),2))/((VLOOKUP($B177,INDIRECT($B$5&amp;"生成成长"),4))/(VLOOKUP(DS$72,INDIRECT($C$5&amp;"生成成长"),5))*(VLOOKUP($B$5,标准坦克设计!$B$24:$U$30,MATCH("对"&amp;LEFT($C$5,2)&amp;"输出",标准坦克设计!$B$23:$U$23,0)))*(VLOOKUP($B177,INDIRECT($B$5&amp;"生成成长"),3))*(VLOOKUP($B$5,标准坦克设计!$B$14:$K$20,9)/30))</f>
        <v>3.0325309026827818</v>
      </c>
      <c r="DT177" s="173">
        <f ca="1">(VLOOKUP(DT$72,INDIRECT($C$5&amp;"生成成长"),2))/((VLOOKUP($B177,INDIRECT($B$5&amp;"生成成长"),4))/(VLOOKUP(DT$72,INDIRECT($C$5&amp;"生成成长"),5))*(VLOOKUP($B$5,标准坦克设计!$B$24:$U$30,MATCH("对"&amp;LEFT($C$5,2)&amp;"输出",标准坦克设计!$B$23:$U$23,0)))*(VLOOKUP($B177,INDIRECT($B$5&amp;"生成成长"),3))*(VLOOKUP($B$5,标准坦克设计!$B$14:$K$20,9)/30))</f>
        <v>3.3295354888226592</v>
      </c>
      <c r="DU177" s="173">
        <f ca="1">(VLOOKUP(DU$72,INDIRECT($C$5&amp;"生成成长"),2))/((VLOOKUP($B177,INDIRECT($B$5&amp;"生成成长"),4))/(VLOOKUP(DU$72,INDIRECT($C$5&amp;"生成成长"),5))*(VLOOKUP($B$5,标准坦克设计!$B$24:$U$30,MATCH("对"&amp;LEFT($C$5,2)&amp;"输出",标准坦克设计!$B$23:$U$23,0)))*(VLOOKUP($B177,INDIRECT($B$5&amp;"生成成长"),3))*(VLOOKUP($B$5,标准坦克设计!$B$14:$K$20,9)/30))</f>
        <v>3.6404129006421058</v>
      </c>
      <c r="DV177" s="173">
        <f ca="1">(VLOOKUP(DV$72,INDIRECT($C$5&amp;"生成成长"),2))/((VLOOKUP($B177,INDIRECT($B$5&amp;"生成成长"),4))/(VLOOKUP(DV$72,INDIRECT($C$5&amp;"生成成长"),5))*(VLOOKUP($B$5,标准坦克设计!$B$24:$U$30,MATCH("对"&amp;LEFT($C$5,2)&amp;"输出",标准坦克设计!$B$23:$U$23,0)))*(VLOOKUP($B177,INDIRECT($B$5&amp;"生成成长"),3))*(VLOOKUP($B$5,标准坦克设计!$B$14:$K$20,9)/30))</f>
        <v>3.9651631381411212</v>
      </c>
      <c r="DW177" s="173">
        <f ca="1">(VLOOKUP(DW$72,INDIRECT($C$5&amp;"生成成长"),2))/((VLOOKUP($B177,INDIRECT($B$5&amp;"生成成长"),4))/(VLOOKUP(DW$72,INDIRECT($C$5&amp;"生成成长"),5))*(VLOOKUP($B$5,标准坦克设计!$B$24:$U$30,MATCH("对"&amp;LEFT($C$5,2)&amp;"输出",标准坦克设计!$B$23:$U$23,0)))*(VLOOKUP($B177,INDIRECT($B$5&amp;"生成成长"),3))*(VLOOKUP($B$5,标准坦克设计!$B$14:$K$20,9)/30))</f>
        <v>4.3037862013197081</v>
      </c>
      <c r="DX177" s="173">
        <f ca="1">(VLOOKUP(DX$72,INDIRECT($C$5&amp;"生成成长"),2))/((VLOOKUP($B177,INDIRECT($B$5&amp;"生成成长"),4))/(VLOOKUP(DX$72,INDIRECT($C$5&amp;"生成成长"),5))*(VLOOKUP($B$5,标准坦克设计!$B$24:$U$30,MATCH("对"&amp;LEFT($C$5,2)&amp;"输出",标准坦克设计!$B$23:$U$23,0)))*(VLOOKUP($B177,INDIRECT($B$5&amp;"生成成长"),3))*(VLOOKUP($B$5,标准坦克设计!$B$14:$K$20,9)/30))</f>
        <v>4.6562820901778634</v>
      </c>
      <c r="DY177" s="173">
        <f ca="1">(VLOOKUP(DY$72,INDIRECT($C$5&amp;"生成成长"),2))/((VLOOKUP($B177,INDIRECT($B$5&amp;"生成成长"),4))/(VLOOKUP(DY$72,INDIRECT($C$5&amp;"生成成长"),5))*(VLOOKUP($B$5,标准坦克设计!$B$24:$U$30,MATCH("对"&amp;LEFT($C$5,2)&amp;"输出",标准坦克设计!$B$23:$U$23,0)))*(VLOOKUP($B177,INDIRECT($B$5&amp;"生成成长"),3))*(VLOOKUP($B$5,标准坦克设计!$B$14:$K$20,9)/30))</f>
        <v>2.0912998083321468</v>
      </c>
      <c r="DZ177" s="173">
        <f ca="1">(VLOOKUP(DZ$72,INDIRECT($C$5&amp;"生成成长"),2))/((VLOOKUP($B177,INDIRECT($B$5&amp;"生成成长"),4))/(VLOOKUP(DZ$72,INDIRECT($C$5&amp;"生成成长"),5))*(VLOOKUP($B$5,标准坦克设计!$B$24:$U$30,MATCH("对"&amp;LEFT($C$5,2)&amp;"输出",标准坦克设计!$B$23:$U$23,0)))*(VLOOKUP($B177,INDIRECT($B$5&amp;"生成成长"),3))*(VLOOKUP($B$5,标准坦克设计!$B$14:$K$20,9)/30))</f>
        <v>2.3160166540507952</v>
      </c>
      <c r="EA177" s="173">
        <f ca="1">(VLOOKUP(EA$72,INDIRECT($C$5&amp;"生成成长"),2))/((VLOOKUP($B177,INDIRECT($B$5&amp;"生成成长"),4))/(VLOOKUP(EA$72,INDIRECT($C$5&amp;"生成成长"),5))*(VLOOKUP($B$5,标准坦克设计!$B$24:$U$30,MATCH("对"&amp;LEFT($C$5,2)&amp;"输出",标准坦克设计!$B$23:$U$23,0)))*(VLOOKUP($B177,INDIRECT($B$5&amp;"生成成长"),3))*(VLOOKUP($B$5,标准坦克设计!$B$14:$K$20,9)/30))</f>
        <v>2.5521986449591711</v>
      </c>
      <c r="EB177" s="173">
        <f ca="1">(VLOOKUP(EB$72,INDIRECT($C$5&amp;"生成成长"),2))/((VLOOKUP($B177,INDIRECT($B$5&amp;"生成成长"),4))/(VLOOKUP(EB$72,INDIRECT($C$5&amp;"生成成长"),5))*(VLOOKUP($B$5,标准坦克设计!$B$24:$U$30,MATCH("对"&amp;LEFT($C$5,2)&amp;"输出",标准坦克设计!$B$23:$U$23,0)))*(VLOOKUP($B177,INDIRECT($B$5&amp;"生成成长"),3))*(VLOOKUP($B$5,标准坦克设计!$B$14:$K$20,9)/30))</f>
        <v>2.799845781057273</v>
      </c>
      <c r="EC177" s="173">
        <f ca="1">(VLOOKUP(EC$72,INDIRECT($C$5&amp;"生成成长"),2))/((VLOOKUP($B177,INDIRECT($B$5&amp;"生成成长"),4))/(VLOOKUP(EC$72,INDIRECT($C$5&amp;"生成成长"),5))*(VLOOKUP($B$5,标准坦克设计!$B$24:$U$30,MATCH("对"&amp;LEFT($C$5,2)&amp;"输出",标准坦克设计!$B$23:$U$23,0)))*(VLOOKUP($B177,INDIRECT($B$5&amp;"生成成长"),3))*(VLOOKUP($B$5,标准坦克设计!$B$14:$K$20,9)/30))</f>
        <v>3.058958062345102</v>
      </c>
      <c r="ED177" s="173">
        <f ca="1">(VLOOKUP(ED$72,INDIRECT($C$5&amp;"生成成长"),2))/((VLOOKUP($B177,INDIRECT($B$5&amp;"生成成长"),4))/(VLOOKUP(ED$72,INDIRECT($C$5&amp;"生成成长"),5))*(VLOOKUP($B$5,标准坦克设计!$B$24:$U$30,MATCH("对"&amp;LEFT($C$5,2)&amp;"输出",标准坦克设计!$B$23:$U$23,0)))*(VLOOKUP($B177,INDIRECT($B$5&amp;"生成成长"),3))*(VLOOKUP($B$5,标准坦克设计!$B$14:$K$20,9)/30))</f>
        <v>3.3295354888226592</v>
      </c>
      <c r="EE177" s="173">
        <f ca="1">(VLOOKUP(EE$72,INDIRECT($C$5&amp;"生成成长"),2))/((VLOOKUP($B177,INDIRECT($B$5&amp;"生成成长"),4))/(VLOOKUP(EE$72,INDIRECT($C$5&amp;"生成成长"),5))*(VLOOKUP($B$5,标准坦克设计!$B$24:$U$30,MATCH("对"&amp;LEFT($C$5,2)&amp;"输出",标准坦克设计!$B$23:$U$23,0)))*(VLOOKUP($B177,INDIRECT($B$5&amp;"生成成长"),3))*(VLOOKUP($B$5,标准坦克设计!$B$14:$K$20,9)/30))</f>
        <v>3.6115780604899412</v>
      </c>
      <c r="EF177" s="173">
        <f ca="1">(VLOOKUP(EF$72,INDIRECT($C$5&amp;"生成成长"),2))/((VLOOKUP($B177,INDIRECT($B$5&amp;"生成成长"),4))/(VLOOKUP(EF$72,INDIRECT($C$5&amp;"生成成长"),5))*(VLOOKUP($B$5,标准坦克设计!$B$24:$U$30,MATCH("对"&amp;LEFT($C$5,2)&amp;"输出",标准坦克设计!$B$23:$U$23,0)))*(VLOOKUP($B177,INDIRECT($B$5&amp;"生成成长"),3))*(VLOOKUP($B$5,标准坦克设计!$B$14:$K$20,9)/30))</f>
        <v>3.9050857773469527</v>
      </c>
      <c r="EG177" s="173">
        <f ca="1">(VLOOKUP(EG$72,INDIRECT($C$5&amp;"生成成长"),2))/((VLOOKUP($B177,INDIRECT($B$5&amp;"生成成长"),4))/(VLOOKUP(EG$72,INDIRECT($C$5&amp;"生成成长"),5))*(VLOOKUP($B$5,标准坦克设计!$B$24:$U$30,MATCH("对"&amp;LEFT($C$5,2)&amp;"输出",标准坦克设计!$B$23:$U$23,0)))*(VLOOKUP($B177,INDIRECT($B$5&amp;"生成成长"),3))*(VLOOKUP($B$5,标准坦克设计!$B$14:$K$20,9)/30))</f>
        <v>4.2100586393936892</v>
      </c>
      <c r="EH177" s="173">
        <f ca="1">(VLOOKUP(EH$72,INDIRECT($C$5&amp;"生成成长"),2))/((VLOOKUP($B177,INDIRECT($B$5&amp;"生成成长"),4))/(VLOOKUP(EH$72,INDIRECT($C$5&amp;"生成成长"),5))*(VLOOKUP($B$5,标准坦克设计!$B$24:$U$30,MATCH("对"&amp;LEFT($C$5,2)&amp;"输出",标准坦克设计!$B$23:$U$23,0)))*(VLOOKUP($B177,INDIRECT($B$5&amp;"生成成长"),3))*(VLOOKUP($B$5,标准坦克设计!$B$14:$K$20,9)/30))</f>
        <v>4.5264966466301537</v>
      </c>
      <c r="EI177" s="173">
        <f ca="1">(VLOOKUP(EI$72,INDIRECT($C$5&amp;"生成成长"),2))/((VLOOKUP($B177,INDIRECT($B$5&amp;"生成成长"),4))/(VLOOKUP(EI$72,INDIRECT($C$5&amp;"生成成长"),5))*(VLOOKUP($B$5,标准坦克设计!$B$24:$U$30,MATCH("对"&amp;LEFT($C$5,2)&amp;"输出",标准坦克设计!$B$23:$U$23,0)))*(VLOOKUP($B177,INDIRECT($B$5&amp;"生成成长"),3))*(VLOOKUP($B$5,标准坦克设计!$B$14:$K$20,9)/30))</f>
        <v>4.8543997990563446</v>
      </c>
      <c r="EJ177" s="173">
        <f ca="1">(VLOOKUP(EJ$72,INDIRECT($C$5&amp;"生成成长"),2))/((VLOOKUP($B177,INDIRECT($B$5&amp;"生成成长"),4))/(VLOOKUP(EJ$72,INDIRECT($C$5&amp;"生成成长"),5))*(VLOOKUP($B$5,标准坦克设计!$B$24:$U$30,MATCH("对"&amp;LEFT($C$5,2)&amp;"输出",标准坦克设计!$B$23:$U$23,0)))*(VLOOKUP($B177,INDIRECT($B$5&amp;"生成成长"),3))*(VLOOKUP($B$5,标准坦克设计!$B$14:$K$20,9)/30))</f>
        <v>5.1937680966722626</v>
      </c>
      <c r="EK177" s="173">
        <f ca="1">(VLOOKUP(EK$72,INDIRECT($C$5&amp;"生成成长"),2))/((VLOOKUP($B177,INDIRECT($B$5&amp;"生成成长"),4))/(VLOOKUP(EK$72,INDIRECT($C$5&amp;"生成成长"),5))*(VLOOKUP($B$5,标准坦克设计!$B$24:$U$30,MATCH("对"&amp;LEFT($C$5,2)&amp;"输出",标准坦克设计!$B$23:$U$23,0)))*(VLOOKUP($B177,INDIRECT($B$5&amp;"生成成长"),3))*(VLOOKUP($B$5,标准坦克设计!$B$14:$K$20,9)/30))</f>
        <v>5.6161440454618035</v>
      </c>
      <c r="EL177" s="173">
        <f ca="1">(VLOOKUP(EL$72,INDIRECT($C$5&amp;"生成成长"),2))/((VLOOKUP($B177,INDIRECT($B$5&amp;"生成成长"),4))/(VLOOKUP(EL$72,INDIRECT($C$5&amp;"生成成长"),5))*(VLOOKUP($B$5,标准坦克设计!$B$24:$U$30,MATCH("对"&amp;LEFT($C$5,2)&amp;"输出",标准坦克设计!$B$23:$U$23,0)))*(VLOOKUP($B177,INDIRECT($B$5&amp;"生成成长"),3))*(VLOOKUP($B$5,标准坦克设计!$B$14:$K$20,9)/30))</f>
        <v>6.0550298033245529</v>
      </c>
      <c r="EM177" s="173">
        <f ca="1">(VLOOKUP(EM$72,INDIRECT($C$5&amp;"生成成长"),2))/((VLOOKUP($B177,INDIRECT($B$5&amp;"生成成长"),4))/(VLOOKUP(EM$72,INDIRECT($C$5&amp;"生成成长"),5))*(VLOOKUP($B$5,标准坦克设计!$B$24:$U$30,MATCH("对"&amp;LEFT($C$5,2)&amp;"输出",标准坦克设计!$B$23:$U$23,0)))*(VLOOKUP($B177,INDIRECT($B$5&amp;"生成成长"),3))*(VLOOKUP($B$5,标准坦克设计!$B$14:$K$20,9)/30))</f>
        <v>6.5104253702605073</v>
      </c>
      <c r="EN177" s="173">
        <f ca="1">(VLOOKUP(EN$72,INDIRECT($C$5&amp;"生成成长"),2))/((VLOOKUP($B177,INDIRECT($B$5&amp;"生成成长"),4))/(VLOOKUP(EN$72,INDIRECT($C$5&amp;"生成成长"),5))*(VLOOKUP($B$5,标准坦克设计!$B$24:$U$30,MATCH("对"&amp;LEFT($C$5,2)&amp;"输出",标准坦克设计!$B$23:$U$23,0)))*(VLOOKUP($B177,INDIRECT($B$5&amp;"生成成长"),3))*(VLOOKUP($B$5,标准坦克设计!$B$14:$K$20,9)/30))</f>
        <v>6.9823307462696693</v>
      </c>
      <c r="EO177" s="173">
        <f ca="1">(VLOOKUP(EO$72,INDIRECT($C$5&amp;"生成成长"),2))/((VLOOKUP($B177,INDIRECT($B$5&amp;"生成成长"),4))/(VLOOKUP(EO$72,INDIRECT($C$5&amp;"生成成长"),5))*(VLOOKUP($B$5,标准坦克设计!$B$24:$U$30,MATCH("对"&amp;LEFT($C$5,2)&amp;"输出",标准坦克设计!$B$23:$U$23,0)))*(VLOOKUP($B177,INDIRECT($B$5&amp;"生成成长"),3))*(VLOOKUP($B$5,标准坦克设计!$B$14:$K$20,9)/30))</f>
        <v>7.4707459313520381</v>
      </c>
      <c r="EP177" s="173">
        <f ca="1">(VLOOKUP(EP$72,INDIRECT($C$5&amp;"生成成长"),2))/((VLOOKUP($B177,INDIRECT($B$5&amp;"生成成长"),4))/(VLOOKUP(EP$72,INDIRECT($C$5&amp;"生成成长"),5))*(VLOOKUP($B$5,标准坦克设计!$B$24:$U$30,MATCH("对"&amp;LEFT($C$5,2)&amp;"输出",标准坦克设计!$B$23:$U$23,0)))*(VLOOKUP($B177,INDIRECT($B$5&amp;"生成成长"),3))*(VLOOKUP($B$5,标准坦克设计!$B$14:$K$20,9)/30))</f>
        <v>7.9756709255076128</v>
      </c>
      <c r="EQ177" s="173">
        <f ca="1">(VLOOKUP(EQ$72,INDIRECT($C$5&amp;"生成成长"),2))/((VLOOKUP($B177,INDIRECT($B$5&amp;"生成成长"),4))/(VLOOKUP(EQ$72,INDIRECT($C$5&amp;"生成成长"),5))*(VLOOKUP($B$5,标准坦克设计!$B$24:$U$30,MATCH("对"&amp;LEFT($C$5,2)&amp;"输出",标准坦克设计!$B$23:$U$23,0)))*(VLOOKUP($B177,INDIRECT($B$5&amp;"生成成长"),3))*(VLOOKUP($B$5,标准坦克设计!$B$14:$K$20,9)/30))</f>
        <v>3.5257614487448357</v>
      </c>
      <c r="ER177" s="173">
        <f ca="1">(VLOOKUP(ER$72,INDIRECT($C$5&amp;"生成成长"),2))/((VLOOKUP($B177,INDIRECT($B$5&amp;"生成成长"),4))/(VLOOKUP(ER$72,INDIRECT($C$5&amp;"生成成长"),5))*(VLOOKUP($B$5,标准坦克设计!$B$24:$U$30,MATCH("对"&amp;LEFT($C$5,2)&amp;"输出",标准坦克设计!$B$23:$U$23,0)))*(VLOOKUP($B177,INDIRECT($B$5&amp;"生成成长"),3))*(VLOOKUP($B$5,标准坦克设计!$B$14:$K$20,9)/30))</f>
        <v>3.845467022360372</v>
      </c>
      <c r="ES177" s="173">
        <f ca="1">(VLOOKUP(ES$72,INDIRECT($C$5&amp;"生成成长"),2))/((VLOOKUP($B177,INDIRECT($B$5&amp;"生成成长"),4))/(VLOOKUP(ES$72,INDIRECT($C$5&amp;"生成成长"),5))*(VLOOKUP($B$5,标准坦克设计!$B$24:$U$30,MATCH("对"&amp;LEFT($C$5,2)&amp;"输出",标准坦克设计!$B$23:$U$23,0)))*(VLOOKUP($B177,INDIRECT($B$5&amp;"生成成长"),3))*(VLOOKUP($B$5,标准坦克设计!$B$14:$K$20,9)/30))</f>
        <v>4.179045421655478</v>
      </c>
      <c r="ET177" s="173">
        <f ca="1">(VLOOKUP(ET$72,INDIRECT($C$5&amp;"生成成长"),2))/((VLOOKUP($B177,INDIRECT($B$5&amp;"生成成长"),4))/(VLOOKUP(ET$72,INDIRECT($C$5&amp;"生成成长"),5))*(VLOOKUP($B$5,标准坦克设计!$B$24:$U$30,MATCH("对"&amp;LEFT($C$5,2)&amp;"输出",标准坦克设计!$B$23:$U$23,0)))*(VLOOKUP($B177,INDIRECT($B$5&amp;"生成成长"),3))*(VLOOKUP($B$5,标准坦克设计!$B$14:$K$20,9)/30))</f>
        <v>4.5264966466301537</v>
      </c>
      <c r="EU177" s="173">
        <f ca="1">(VLOOKUP(EU$72,INDIRECT($C$5&amp;"生成成长"),2))/((VLOOKUP($B177,INDIRECT($B$5&amp;"生成成长"),4))/(VLOOKUP(EU$72,INDIRECT($C$5&amp;"生成成长"),5))*(VLOOKUP($B$5,标准坦克设计!$B$24:$U$30,MATCH("对"&amp;LEFT($C$5,2)&amp;"输出",标准坦克设计!$B$23:$U$23,0)))*(VLOOKUP($B177,INDIRECT($B$5&amp;"生成成长"),3))*(VLOOKUP($B$5,标准坦克设计!$B$14:$K$20,9)/30))</f>
        <v>4.8878206972843996</v>
      </c>
      <c r="EV177" s="173">
        <f ca="1">(VLOOKUP(EV$72,INDIRECT($C$5&amp;"生成成长"),2))/((VLOOKUP($B177,INDIRECT($B$5&amp;"生成成长"),4))/(VLOOKUP(EV$72,INDIRECT($C$5&amp;"生成成长"),5))*(VLOOKUP($B$5,标准坦克设计!$B$24:$U$30,MATCH("对"&amp;LEFT($C$5,2)&amp;"输出",标准坦克设计!$B$23:$U$23,0)))*(VLOOKUP($B177,INDIRECT($B$5&amp;"生成成长"),3))*(VLOOKUP($B$5,标准坦克设计!$B$14:$K$20,9)/30))</f>
        <v>5.2630175736182148</v>
      </c>
      <c r="EW177" s="173">
        <f ca="1">(VLOOKUP(EW$72,INDIRECT($C$5&amp;"生成成长"),2))/((VLOOKUP($B177,INDIRECT($B$5&amp;"生成成长"),4))/(VLOOKUP(EW$72,INDIRECT($C$5&amp;"生成成长"),5))*(VLOOKUP($B$5,标准坦克设计!$B$24:$U$30,MATCH("对"&amp;LEFT($C$5,2)&amp;"输出",标准坦克设计!$B$23:$U$23,0)))*(VLOOKUP($B177,INDIRECT($B$5&amp;"生成成长"),3))*(VLOOKUP($B$5,标准坦克设计!$B$14:$K$20,9)/30))</f>
        <v>5.6520872756315974</v>
      </c>
      <c r="EX177" s="173">
        <f ca="1">(VLOOKUP(EX$72,INDIRECT($C$5&amp;"生成成长"),2))/((VLOOKUP($B177,INDIRECT($B$5&amp;"生成成长"),4))/(VLOOKUP(EX$72,INDIRECT($C$5&amp;"生成成长"),5))*(VLOOKUP($B$5,标准坦克设计!$B$24:$U$30,MATCH("对"&amp;LEFT($C$5,2)&amp;"输出",标准坦克设计!$B$23:$U$23,0)))*(VLOOKUP($B177,INDIRECT($B$5&amp;"生成成长"),3))*(VLOOKUP($B$5,标准坦克设计!$B$14:$K$20,9)/30))</f>
        <v>6.0550298033245529</v>
      </c>
      <c r="EY177" s="173">
        <f ca="1">(VLOOKUP(EY$72,INDIRECT($C$5&amp;"生成成长"),2))/((VLOOKUP($B177,INDIRECT($B$5&amp;"生成成长"),4))/(VLOOKUP(EY$72,INDIRECT($C$5&amp;"生成成长"),5))*(VLOOKUP($B$5,标准坦克设计!$B$24:$U$30,MATCH("对"&amp;LEFT($C$5,2)&amp;"输出",标准坦克设计!$B$23:$U$23,0)))*(VLOOKUP($B177,INDIRECT($B$5&amp;"生成成长"),3))*(VLOOKUP($B$5,标准坦克设计!$B$14:$K$20,9)/30))</f>
        <v>6.4718451566970767</v>
      </c>
      <c r="EZ177" s="173">
        <f ca="1">(VLOOKUP(EZ$72,INDIRECT($C$5&amp;"生成成长"),2))/((VLOOKUP($B177,INDIRECT($B$5&amp;"生成成长"),4))/(VLOOKUP(EZ$72,INDIRECT($C$5&amp;"生成成长"),5))*(VLOOKUP($B$5,标准坦克设计!$B$24:$U$30,MATCH("对"&amp;LEFT($C$5,2)&amp;"输出",标准坦克设计!$B$23:$U$23,0)))*(VLOOKUP($B177,INDIRECT($B$5&amp;"生成成长"),3))*(VLOOKUP($B$5,标准坦克设计!$B$14:$K$20,9)/30))</f>
        <v>6.9025333357491698</v>
      </c>
      <c r="FA177" s="173">
        <f ca="1">(VLOOKUP(FA$72,INDIRECT($C$5&amp;"生成成长"),2))/((VLOOKUP($B177,INDIRECT($B$5&amp;"生成成长"),4))/(VLOOKUP(FA$72,INDIRECT($C$5&amp;"生成成长"),5))*(VLOOKUP($B$5,标准坦克设计!$B$24:$U$30,MATCH("对"&amp;LEFT($C$5,2)&amp;"输出",标准坦克设计!$B$23:$U$23,0)))*(VLOOKUP($B177,INDIRECT($B$5&amp;"生成成长"),3))*(VLOOKUP($B$5,标准坦克设计!$B$14:$K$20,9)/30))</f>
        <v>7.3470943404808313</v>
      </c>
      <c r="FB177" s="173">
        <f ca="1">(VLOOKUP(FB$72,INDIRECT($C$5&amp;"生成成长"),2))/((VLOOKUP($B177,INDIRECT($B$5&amp;"生成成长"),4))/(VLOOKUP(FB$72,INDIRECT($C$5&amp;"生成成长"),5))*(VLOOKUP($B$5,标准坦克设计!$B$24:$U$30,MATCH("对"&amp;LEFT($C$5,2)&amp;"输出",标准坦克设计!$B$23:$U$23,0)))*(VLOOKUP($B177,INDIRECT($B$5&amp;"生成成长"),3))*(VLOOKUP($B$5,标准坦克设计!$B$14:$K$20,9)/30))</f>
        <v>7.8055281708920647</v>
      </c>
      <c r="FC177" s="173">
        <f ca="1">(VLOOKUP(FC$72,INDIRECT($C$5&amp;"生成成长"),2))/((VLOOKUP($B177,INDIRECT($B$5&amp;"生成成长"),4))/(VLOOKUP(FC$72,INDIRECT($C$5&amp;"生成成长"),5))*(VLOOKUP($B$5,标准坦克设计!$B$24:$U$30,MATCH("对"&amp;LEFT($C$5,2)&amp;"输出",标准坦克设计!$B$23:$U$23,0)))*(VLOOKUP($B177,INDIRECT($B$5&amp;"生成成长"),3))*(VLOOKUP($B$5,标准坦克设计!$B$14:$K$20,9)/30))</f>
        <v>8.2778348269828683</v>
      </c>
      <c r="FD177" s="173">
        <f ca="1">(VLOOKUP(FD$72,INDIRECT($C$5&amp;"生成成长"),2))/((VLOOKUP($B177,INDIRECT($B$5&amp;"生成成长"),4))/(VLOOKUP(FD$72,INDIRECT($C$5&amp;"生成成长"),5))*(VLOOKUP($B$5,标准坦克设计!$B$24:$U$30,MATCH("对"&amp;LEFT($C$5,2)&amp;"输出",标准坦克设计!$B$23:$U$23,0)))*(VLOOKUP($B177,INDIRECT($B$5&amp;"生成成长"),3))*(VLOOKUP($B$5,标准坦克设计!$B$14:$K$20,9)/30))</f>
        <v>8.7640143087532412</v>
      </c>
      <c r="FE177" s="173">
        <f ca="1">(VLOOKUP(FE$72,INDIRECT($C$5&amp;"生成成长"),2))/((VLOOKUP($B177,INDIRECT($B$5&amp;"生成成长"),4))/(VLOOKUP(FE$72,INDIRECT($C$5&amp;"生成成长"),5))*(VLOOKUP($B$5,标准坦克设计!$B$24:$U$30,MATCH("对"&amp;LEFT($C$5,2)&amp;"输出",标准坦克设计!$B$23:$U$23,0)))*(VLOOKUP($B177,INDIRECT($B$5&amp;"生成成长"),3))*(VLOOKUP($B$5,标准坦克设计!$B$14:$K$20,9)/30))</f>
        <v>9.356475686432379</v>
      </c>
      <c r="FF177" s="173">
        <f ca="1">(VLOOKUP(FF$72,INDIRECT($C$5&amp;"生成成长"),2))/((VLOOKUP($B177,INDIRECT($B$5&amp;"生成成长"),4))/(VLOOKUP(FF$72,INDIRECT($C$5&amp;"生成成长"),5))*(VLOOKUP($B$5,标准坦克设计!$B$24:$U$30,MATCH("对"&amp;LEFT($C$5,2)&amp;"输出",标准坦克设计!$B$23:$U$23,0)))*(VLOOKUP($B177,INDIRECT($B$5&amp;"生成成长"),3))*(VLOOKUP($B$5,标准坦克设计!$B$14:$K$20,9)/30))</f>
        <v>9.9683131594821592</v>
      </c>
      <c r="FG177" s="173">
        <f ca="1">(VLOOKUP(FG$72,INDIRECT($C$5&amp;"生成成长"),2))/((VLOOKUP($B177,INDIRECT($B$5&amp;"生成成长"),4))/(VLOOKUP(FG$72,INDIRECT($C$5&amp;"生成成长"),5))*(VLOOKUP($B$5,标准坦克设计!$B$24:$U$30,MATCH("对"&amp;LEFT($C$5,2)&amp;"输出",标准坦克设计!$B$23:$U$23,0)))*(VLOOKUP($B177,INDIRECT($B$5&amp;"生成成长"),3))*(VLOOKUP($B$5,标准坦克设计!$B$14:$K$20,9)/30))</f>
        <v>10.599526727902578</v>
      </c>
      <c r="FH177" s="173">
        <f ca="1">(VLOOKUP(FH$72,INDIRECT($C$5&amp;"生成成长"),2))/((VLOOKUP($B177,INDIRECT($B$5&amp;"生成成长"),4))/(VLOOKUP(FH$72,INDIRECT($C$5&amp;"生成成长"),5))*(VLOOKUP($B$5,标准坦克设计!$B$24:$U$30,MATCH("对"&amp;LEFT($C$5,2)&amp;"输出",标准坦克设计!$B$23:$U$23,0)))*(VLOOKUP($B177,INDIRECT($B$5&amp;"生成成长"),3))*(VLOOKUP($B$5,标准坦克设计!$B$14:$K$20,9)/30))</f>
        <v>11.250116391693636</v>
      </c>
      <c r="FI177" s="173">
        <f ca="1">(VLOOKUP(FI$72,INDIRECT($C$5&amp;"生成成长"),2))/((VLOOKUP($B177,INDIRECT($B$5&amp;"生成成长"),4))/(VLOOKUP(FI$72,INDIRECT($C$5&amp;"生成成长"),5))*(VLOOKUP($B$5,标准坦克设计!$B$24:$U$30,MATCH("对"&amp;LEFT($C$5,2)&amp;"输出",标准坦克设计!$B$23:$U$23,0)))*(VLOOKUP($B177,INDIRECT($B$5&amp;"生成成长"),3))*(VLOOKUP($B$5,标准坦克设计!$B$14:$K$20,9)/30))</f>
        <v>11.920082150855329</v>
      </c>
      <c r="FJ177" s="173">
        <f ca="1">(VLOOKUP(FJ$72,INDIRECT($C$5&amp;"生成成长"),2))/((VLOOKUP($B177,INDIRECT($B$5&amp;"生成成长"),4))/(VLOOKUP(FJ$72,INDIRECT($C$5&amp;"生成成长"),5))*(VLOOKUP($B$5,标准坦克设计!$B$24:$U$30,MATCH("对"&amp;LEFT($C$5,2)&amp;"输出",标准坦克设计!$B$23:$U$23,0)))*(VLOOKUP($B177,INDIRECT($B$5&amp;"生成成长"),3))*(VLOOKUP($B$5,标准坦克设计!$B$14:$K$20,9)/30))</f>
        <v>12.609424005387663</v>
      </c>
      <c r="FK177" s="173">
        <f ca="1">(VLOOKUP(FK$72,INDIRECT($C$5&amp;"生成成长"),2))/((VLOOKUP($B177,INDIRECT($B$5&amp;"生成成长"),4))/(VLOOKUP(FK$72,INDIRECT($C$5&amp;"生成成长"),5))*(VLOOKUP($B$5,标准坦克设计!$B$24:$U$30,MATCH("对"&amp;LEFT($C$5,2)&amp;"输出",标准坦克设计!$B$23:$U$23,0)))*(VLOOKUP($B177,INDIRECT($B$5&amp;"生成成长"),3))*(VLOOKUP($B$5,标准坦克设计!$B$14:$K$20,9)/30))</f>
        <v>13.318141955290637</v>
      </c>
    </row>
    <row r="178" spans="1:167" x14ac:dyDescent="0.15">
      <c r="A178" s="171" t="str">
        <f t="shared" si="12"/>
        <v>T5中品质16级</v>
      </c>
      <c r="B178" s="172">
        <v>20516</v>
      </c>
      <c r="C178" s="173">
        <f ca="1">(VLOOKUP(C$72,INDIRECT($C$5&amp;"生成成长"),2))/((VLOOKUP($B178,INDIRECT($B$5&amp;"生成成长"),4))/(VLOOKUP(C$72,INDIRECT($C$5&amp;"生成成长"),5))*(VLOOKUP($B$5,标准坦克设计!$B$24:$U$30,MATCH("对"&amp;LEFT($C$5,2)&amp;"输出",标准坦克设计!$B$23:$U$23,0)))*(VLOOKUP($B178,INDIRECT($B$5&amp;"生成成长"),3))*(VLOOKUP($B$5,标准坦克设计!$B$14:$K$20,9)/30))</f>
        <v>0.53946129186510483</v>
      </c>
      <c r="D178" s="173">
        <f ca="1">(VLOOKUP(D$72,INDIRECT($C$5&amp;"生成成长"),2))/((VLOOKUP($B178,INDIRECT($B$5&amp;"生成成长"),4))/(VLOOKUP(D$72,INDIRECT($C$5&amp;"生成成长"),5))*(VLOOKUP($B$5,标准坦克设计!$B$24:$U$30,MATCH("对"&amp;LEFT($C$5,2)&amp;"输出",标准坦克设计!$B$23:$U$23,0)))*(VLOOKUP($B178,INDIRECT($B$5&amp;"生成成长"),3))*(VLOOKUP($B$5,标准坦克设计!$B$14:$K$20,9)/30))</f>
        <v>0.60613870753963184</v>
      </c>
      <c r="E178" s="173">
        <f ca="1">(VLOOKUP(E$72,INDIRECT($C$5&amp;"生成成长"),2))/((VLOOKUP($B178,INDIRECT($B$5&amp;"生成成长"),4))/(VLOOKUP(E$72,INDIRECT($C$5&amp;"生成成长"),5))*(VLOOKUP($B$5,标准坦克设计!$B$24:$U$30,MATCH("对"&amp;LEFT($C$5,2)&amp;"输出",标准坦克设计!$B$23:$U$23,0)))*(VLOOKUP($B178,INDIRECT($B$5&amp;"生成成长"),3))*(VLOOKUP($B$5,标准坦克设计!$B$14:$K$20,9)/30))</f>
        <v>0.67670024451558741</v>
      </c>
      <c r="F178" s="173">
        <f ca="1">(VLOOKUP(F$72,INDIRECT($C$5&amp;"生成成长"),2))/((VLOOKUP($B178,INDIRECT($B$5&amp;"生成成长"),4))/(VLOOKUP(F$72,INDIRECT($C$5&amp;"生成成长"),5))*(VLOOKUP($B$5,标准坦克设计!$B$24:$U$30,MATCH("对"&amp;LEFT($C$5,2)&amp;"输出",标准坦克设计!$B$23:$U$23,0)))*(VLOOKUP($B178,INDIRECT($B$5&amp;"生成成长"),3))*(VLOOKUP($B$5,标准坦克设计!$B$14:$K$20,9)/30))</f>
        <v>0.75114590279297189</v>
      </c>
      <c r="G178" s="173">
        <f ca="1">(VLOOKUP(G$72,INDIRECT($C$5&amp;"生成成长"),2))/((VLOOKUP($B178,INDIRECT($B$5&amp;"生成成长"),4))/(VLOOKUP(G$72,INDIRECT($C$5&amp;"生成成长"),5))*(VLOOKUP($B$5,标准坦克设计!$B$24:$U$30,MATCH("对"&amp;LEFT($C$5,2)&amp;"输出",标准坦克设计!$B$23:$U$23,0)))*(VLOOKUP($B178,INDIRECT($B$5&amp;"生成成长"),3))*(VLOOKUP($B$5,标准坦克设计!$B$14:$K$20,9)/30))</f>
        <v>0.82947568237178504</v>
      </c>
      <c r="H178" s="173">
        <f ca="1">(VLOOKUP(H$72,INDIRECT($C$5&amp;"生成成长"),2))/((VLOOKUP($B178,INDIRECT($B$5&amp;"生成成长"),4))/(VLOOKUP(H$72,INDIRECT($C$5&amp;"生成成长"),5))*(VLOOKUP($B$5,标准坦克设计!$B$24:$U$30,MATCH("对"&amp;LEFT($C$5,2)&amp;"输出",标准坦克设计!$B$23:$U$23,0)))*(VLOOKUP($B178,INDIRECT($B$5&amp;"生成成长"),3))*(VLOOKUP($B$5,标准坦克设计!$B$14:$K$20,9)/30))</f>
        <v>0.72589911433368504</v>
      </c>
      <c r="I178" s="173">
        <f ca="1">(VLOOKUP(I$72,INDIRECT($C$5&amp;"生成成长"),2))/((VLOOKUP($B178,INDIRECT($B$5&amp;"生成成长"),4))/(VLOOKUP(I$72,INDIRECT($C$5&amp;"生成成长"),5))*(VLOOKUP($B$5,标准坦克设计!$B$24:$U$30,MATCH("对"&amp;LEFT($C$5,2)&amp;"输出",标准坦克设计!$B$23:$U$23,0)))*(VLOOKUP($B178,INDIRECT($B$5&amp;"生成成长"),3))*(VLOOKUP($B$5,标准坦克设计!$B$14:$K$20,9)/30))</f>
        <v>0.82947568237178504</v>
      </c>
      <c r="J178" s="173">
        <f ca="1">(VLOOKUP(J$72,INDIRECT($C$5&amp;"生成成长"),2))/((VLOOKUP($B178,INDIRECT($B$5&amp;"生成成长"),4))/(VLOOKUP(J$72,INDIRECT($C$5&amp;"生成成长"),5))*(VLOOKUP($B$5,标准坦克设计!$B$24:$U$30,MATCH("对"&amp;LEFT($C$5,2)&amp;"输出",标准坦克设计!$B$23:$U$23,0)))*(VLOOKUP($B178,INDIRECT($B$5&amp;"生成成长"),3))*(VLOOKUP($B$5,标准坦克设计!$B$14:$K$20,9)/30))</f>
        <v>0.93995735494575872</v>
      </c>
      <c r="K178" s="173">
        <f ca="1">(VLOOKUP(K$72,INDIRECT($C$5&amp;"生成成长"),2))/((VLOOKUP($B178,INDIRECT($B$5&amp;"生成成长"),4))/(VLOOKUP(K$72,INDIRECT($C$5&amp;"生成成长"),5))*(VLOOKUP($B$5,标准坦克设计!$B$24:$U$30,MATCH("对"&amp;LEFT($C$5,2)&amp;"输出",标准坦克设计!$B$23:$U$23,0)))*(VLOOKUP($B178,INDIRECT($B$5&amp;"生成成长"),3))*(VLOOKUP($B$5,标准坦克设计!$B$14:$K$20,9)/30))</f>
        <v>1.0573441320556054</v>
      </c>
      <c r="L178" s="173">
        <f ca="1">(VLOOKUP(L$72,INDIRECT($C$5&amp;"生成成长"),2))/((VLOOKUP($B178,INDIRECT($B$5&amp;"生成成长"),4))/(VLOOKUP(L$72,INDIRECT($C$5&amp;"生成成长"),5))*(VLOOKUP($B$5,标准坦克设计!$B$24:$U$30,MATCH("对"&amp;LEFT($C$5,2)&amp;"输出",标准坦克设计!$B$23:$U$23,0)))*(VLOOKUP($B178,INDIRECT($B$5&amp;"生成成长"),3))*(VLOOKUP($B$5,标准坦克设计!$B$14:$K$20,9)/30))</f>
        <v>1.1816360137013258</v>
      </c>
      <c r="M178" s="173">
        <f ca="1">(VLOOKUP(M$72,INDIRECT($C$5&amp;"生成成长"),2))/((VLOOKUP($B178,INDIRECT($B$5&amp;"生成成长"),4))/(VLOOKUP(M$72,INDIRECT($C$5&amp;"生成成长"),5))*(VLOOKUP($B$5,标准坦克设计!$B$24:$U$30,MATCH("对"&amp;LEFT($C$5,2)&amp;"输出",标准坦克设计!$B$23:$U$23,0)))*(VLOOKUP($B178,INDIRECT($B$5&amp;"生成成长"),3))*(VLOOKUP($B$5,标准坦克设计!$B$14:$K$20,9)/30))</f>
        <v>1.3128329998829191</v>
      </c>
      <c r="N178" s="173">
        <f ca="1">(VLOOKUP(N$72,INDIRECT($C$5&amp;"生成成长"),2))/((VLOOKUP($B178,INDIRECT($B$5&amp;"生成成长"),4))/(VLOOKUP(N$72,INDIRECT($C$5&amp;"生成成长"),5))*(VLOOKUP($B$5,标准坦克设计!$B$24:$U$30,MATCH("对"&amp;LEFT($C$5,2)&amp;"输出",标准坦克设计!$B$23:$U$23,0)))*(VLOOKUP($B178,INDIRECT($B$5&amp;"生成成长"),3))*(VLOOKUP($B$5,标准坦克设计!$B$14:$K$20,9)/30))</f>
        <v>1.4509350906003859</v>
      </c>
      <c r="O178" s="173">
        <f ca="1">(VLOOKUP(O$72,INDIRECT($C$5&amp;"生成成长"),2))/((VLOOKUP($B178,INDIRECT($B$5&amp;"生成成长"),4))/(VLOOKUP(O$72,INDIRECT($C$5&amp;"生成成长"),5))*(VLOOKUP($B$5,标准坦克设计!$B$24:$U$30,MATCH("对"&amp;LEFT($C$5,2)&amp;"输出",标准坦克设计!$B$23:$U$23,0)))*(VLOOKUP($B178,INDIRECT($B$5&amp;"生成成长"),3))*(VLOOKUP($B$5,标准坦克设计!$B$14:$K$20,9)/30))</f>
        <v>1.1031443957349527</v>
      </c>
      <c r="P178" s="173">
        <f ca="1">(VLOOKUP(P$72,INDIRECT($C$5&amp;"生成成长"),2))/((VLOOKUP($B178,INDIRECT($B$5&amp;"生成成长"),4))/(VLOOKUP(P$72,INDIRECT($C$5&amp;"生成成长"),5))*(VLOOKUP($B$5,标准坦克设计!$B$24:$U$30,MATCH("对"&amp;LEFT($C$5,2)&amp;"输出",标准坦克设计!$B$23:$U$23,0)))*(VLOOKUP($B178,INDIRECT($B$5&amp;"生成成长"),3))*(VLOOKUP($B$5,标准坦克设计!$B$14:$K$20,9)/30))</f>
        <v>1.2463713687251381</v>
      </c>
      <c r="Q178" s="173">
        <f ca="1">(VLOOKUP(Q$72,INDIRECT($C$5&amp;"生成成长"),2))/((VLOOKUP($B178,INDIRECT($B$5&amp;"生成成长"),4))/(VLOOKUP(Q$72,INDIRECT($C$5&amp;"生成成长"),5))*(VLOOKUP($B$5,标准坦克设计!$B$24:$U$30,MATCH("对"&amp;LEFT($C$5,2)&amp;"输出",标准坦克设计!$B$23:$U$23,0)))*(VLOOKUP($B178,INDIRECT($B$5&amp;"生成成长"),3))*(VLOOKUP($B$5,标准坦克设计!$B$14:$K$20,9)/30))</f>
        <v>1.398337614643538</v>
      </c>
      <c r="R178" s="173">
        <f ca="1">(VLOOKUP(R$72,INDIRECT($C$5&amp;"生成成长"),2))/((VLOOKUP($B178,INDIRECT($B$5&amp;"生成成长"),4))/(VLOOKUP(R$72,INDIRECT($C$5&amp;"生成成长"),5))*(VLOOKUP($B$5,标准坦克设计!$B$24:$U$30,MATCH("对"&amp;LEFT($C$5,2)&amp;"输出",标准坦克设计!$B$23:$U$23,0)))*(VLOOKUP($B178,INDIRECT($B$5&amp;"生成成长"),3))*(VLOOKUP($B$5,标准坦克设计!$B$14:$K$20,9)/30))</f>
        <v>1.5590431334901531</v>
      </c>
      <c r="S178" s="173">
        <f ca="1">(VLOOKUP(S$72,INDIRECT($C$5&amp;"生成成长"),2))/((VLOOKUP($B178,INDIRECT($B$5&amp;"生成成长"),4))/(VLOOKUP(S$72,INDIRECT($C$5&amp;"生成成长"),5))*(VLOOKUP($B$5,标准坦克设计!$B$24:$U$30,MATCH("对"&amp;LEFT($C$5,2)&amp;"输出",标准坦克设计!$B$23:$U$23,0)))*(VLOOKUP($B178,INDIRECT($B$5&amp;"生成成长"),3))*(VLOOKUP($B$5,标准坦克设计!$B$14:$K$20,9)/30))</f>
        <v>1.7284879252649825</v>
      </c>
      <c r="T178" s="173">
        <f ca="1">(VLOOKUP(T$72,INDIRECT($C$5&amp;"生成成长"),2))/((VLOOKUP($B178,INDIRECT($B$5&amp;"生成成长"),4))/(VLOOKUP(T$72,INDIRECT($C$5&amp;"生成成长"),5))*(VLOOKUP($B$5,标准坦克设计!$B$24:$U$30,MATCH("对"&amp;LEFT($C$5,2)&amp;"输出",标准坦克设计!$B$23:$U$23,0)))*(VLOOKUP($B178,INDIRECT($B$5&amp;"生成成长"),3))*(VLOOKUP($B$5,标准坦克设计!$B$14:$K$20,9)/30))</f>
        <v>1.9066719899680262</v>
      </c>
      <c r="U178" s="173">
        <f ca="1">(VLOOKUP(U$72,INDIRECT($C$5&amp;"生成成长"),2))/((VLOOKUP($B178,INDIRECT($B$5&amp;"生成成长"),4))/(VLOOKUP(U$72,INDIRECT($C$5&amp;"生成成长"),5))*(VLOOKUP($B$5,标准坦克设计!$B$24:$U$30,MATCH("对"&amp;LEFT($C$5,2)&amp;"输出",标准坦克设计!$B$23:$U$23,0)))*(VLOOKUP($B178,INDIRECT($B$5&amp;"生成成长"),3))*(VLOOKUP($B$5,标准坦克设计!$B$14:$K$20,9)/30))</f>
        <v>2.0935953275992851</v>
      </c>
      <c r="V178" s="173">
        <f ca="1">(VLOOKUP(V$72,INDIRECT($C$5&amp;"生成成长"),2))/((VLOOKUP($B178,INDIRECT($B$5&amp;"生成成长"),4))/(VLOOKUP(V$72,INDIRECT($C$5&amp;"生成成长"),5))*(VLOOKUP($B$5,标准坦克设计!$B$24:$U$30,MATCH("对"&amp;LEFT($C$5,2)&amp;"输出",标准坦克设计!$B$23:$U$23,0)))*(VLOOKUP($B178,INDIRECT($B$5&amp;"生成成长"),3))*(VLOOKUP($B$5,标准坦克设计!$B$14:$K$20,9)/30))</f>
        <v>2.2892579381587588</v>
      </c>
      <c r="W178" s="173">
        <f ca="1">(VLOOKUP(W$72,INDIRECT($C$5&amp;"生成成长"),2))/((VLOOKUP($B178,INDIRECT($B$5&amp;"生成成长"),4))/(VLOOKUP(W$72,INDIRECT($C$5&amp;"生成成长"),5))*(VLOOKUP($B$5,标准坦克设计!$B$24:$U$30,MATCH("对"&amp;LEFT($C$5,2)&amp;"输出",标准坦克设计!$B$23:$U$23,0)))*(VLOOKUP($B178,INDIRECT($B$5&amp;"生成成长"),3))*(VLOOKUP($B$5,标准坦克设计!$B$14:$K$20,9)/30))</f>
        <v>2.493659821646447</v>
      </c>
      <c r="X178" s="173">
        <f ca="1">(VLOOKUP(X$72,INDIRECT($C$5&amp;"生成成长"),2))/((VLOOKUP($B178,INDIRECT($B$5&amp;"生成成长"),4))/(VLOOKUP(X$72,INDIRECT($C$5&amp;"生成成长"),5))*(VLOOKUP($B$5,标准坦克设计!$B$24:$U$30,MATCH("对"&amp;LEFT($C$5,2)&amp;"输出",标准坦克设计!$B$23:$U$23,0)))*(VLOOKUP($B178,INDIRECT($B$5&amp;"生成成长"),3))*(VLOOKUP($B$5,标准坦克设计!$B$14:$K$20,9)/30))</f>
        <v>1.8066019203270498</v>
      </c>
      <c r="Y178" s="173">
        <f ca="1">(VLOOKUP(Y$72,INDIRECT($C$5&amp;"生成成长"),2))/((VLOOKUP($B178,INDIRECT($B$5&amp;"生成成长"),4))/(VLOOKUP(Y$72,INDIRECT($C$5&amp;"生成成长"),5))*(VLOOKUP($B$5,标准坦克设计!$B$24:$U$30,MATCH("对"&amp;LEFT($C$5,2)&amp;"输出",标准坦克设计!$B$23:$U$23,0)))*(VLOOKUP($B178,INDIRECT($B$5&amp;"生成成长"),3))*(VLOOKUP($B$5,标准坦克设计!$B$14:$K$20,9)/30))</f>
        <v>2.009439366068329</v>
      </c>
      <c r="Z178" s="173">
        <f ca="1">(VLOOKUP(Z$72,INDIRECT($C$5&amp;"生成成长"),2))/((VLOOKUP($B178,INDIRECT($B$5&amp;"生成成长"),4))/(VLOOKUP(Z$72,INDIRECT($C$5&amp;"生成成长"),5))*(VLOOKUP($B$5,标准坦克设计!$B$24:$U$30,MATCH("对"&amp;LEFT($C$5,2)&amp;"输出",标准坦克设计!$B$23:$U$23,0)))*(VLOOKUP($B178,INDIRECT($B$5&amp;"生成成长"),3))*(VLOOKUP($B$5,标准坦克设计!$B$14:$K$20,9)/30))</f>
        <v>2.2230660376469102</v>
      </c>
      <c r="AA178" s="173">
        <f ca="1">(VLOOKUP(AA$72,INDIRECT($C$5&amp;"生成成长"),2))/((VLOOKUP($B178,INDIRECT($B$5&amp;"生成成长"),4))/(VLOOKUP(AA$72,INDIRECT($C$5&amp;"生成成长"),5))*(VLOOKUP($B$5,标准坦克设计!$B$24:$U$30,MATCH("对"&amp;LEFT($C$5,2)&amp;"输出",标准坦克设计!$B$23:$U$23,0)))*(VLOOKUP($B178,INDIRECT($B$5&amp;"生成成长"),3))*(VLOOKUP($B$5,标准坦克设计!$B$14:$K$20,9)/30))</f>
        <v>2.4474819350627941</v>
      </c>
      <c r="AB178" s="173">
        <f ca="1">(VLOOKUP(AB$72,INDIRECT($C$5&amp;"生成成长"),2))/((VLOOKUP($B178,INDIRECT($B$5&amp;"生成成长"),4))/(VLOOKUP(AB$72,INDIRECT($C$5&amp;"生成成长"),5))*(VLOOKUP($B$5,标准坦克设计!$B$24:$U$30,MATCH("对"&amp;LEFT($C$5,2)&amp;"输出",标准坦克设计!$B$23:$U$23,0)))*(VLOOKUP($B178,INDIRECT($B$5&amp;"生成成长"),3))*(VLOOKUP($B$5,标准坦克设计!$B$14:$K$20,9)/30))</f>
        <v>2.6826870583159792</v>
      </c>
      <c r="AC178" s="173">
        <f ca="1">(VLOOKUP(AC$72,INDIRECT($C$5&amp;"生成成长"),2))/((VLOOKUP($B178,INDIRECT($B$5&amp;"生成成长"),4))/(VLOOKUP(AC$72,INDIRECT($C$5&amp;"生成成长"),5))*(VLOOKUP($B$5,标准坦克设计!$B$24:$U$30,MATCH("对"&amp;LEFT($C$5,2)&amp;"输出",标准坦克设计!$B$23:$U$23,0)))*(VLOOKUP($B178,INDIRECT($B$5&amp;"生成成长"),3))*(VLOOKUP($B$5,标准坦克设计!$B$14:$K$20,9)/30))</f>
        <v>2.9286814074064673</v>
      </c>
      <c r="AD178" s="173">
        <f ca="1">(VLOOKUP(AD$72,INDIRECT($C$5&amp;"生成成长"),2))/((VLOOKUP($B178,INDIRECT($B$5&amp;"生成成长"),4))/(VLOOKUP(AD$72,INDIRECT($C$5&amp;"生成成长"),5))*(VLOOKUP($B$5,标准坦克设计!$B$24:$U$30,MATCH("对"&amp;LEFT($C$5,2)&amp;"输出",标准坦克设计!$B$23:$U$23,0)))*(VLOOKUP($B178,INDIRECT($B$5&amp;"生成成长"),3))*(VLOOKUP($B$5,标准坦克设计!$B$14:$K$20,9)/30))</f>
        <v>3.1854649823342571</v>
      </c>
      <c r="AE178" s="173">
        <f ca="1">(VLOOKUP(AE$72,INDIRECT($C$5&amp;"生成成长"),2))/((VLOOKUP($B178,INDIRECT($B$5&amp;"生成成长"),4))/(VLOOKUP(AE$72,INDIRECT($C$5&amp;"生成成长"),5))*(VLOOKUP($B$5,标准坦克设计!$B$24:$U$30,MATCH("对"&amp;LEFT($C$5,2)&amp;"输出",标准坦克设计!$B$23:$U$23,0)))*(VLOOKUP($B178,INDIRECT($B$5&amp;"生成成长"),3))*(VLOOKUP($B$5,标准坦克设计!$B$14:$K$20,9)/30))</f>
        <v>3.4530377830993495</v>
      </c>
      <c r="AF178" s="173">
        <f ca="1">(VLOOKUP(AF$72,INDIRECT($C$5&amp;"生成成长"),2))/((VLOOKUP($B178,INDIRECT($B$5&amp;"生成成长"),4))/(VLOOKUP(AF$72,INDIRECT($C$5&amp;"生成成长"),5))*(VLOOKUP($B$5,标准坦克设计!$B$24:$U$30,MATCH("对"&amp;LEFT($C$5,2)&amp;"输出",标准坦克设计!$B$23:$U$23,0)))*(VLOOKUP($B178,INDIRECT($B$5&amp;"生成成长"),3))*(VLOOKUP($B$5,标准坦克设计!$B$14:$K$20,9)/30))</f>
        <v>3.7313998097017431</v>
      </c>
      <c r="AG178" s="173">
        <f ca="1">(VLOOKUP(AG$72,INDIRECT($C$5&amp;"生成成长"),2))/((VLOOKUP($B178,INDIRECT($B$5&amp;"生成成长"),4))/(VLOOKUP(AG$72,INDIRECT($C$5&amp;"生成成长"),5))*(VLOOKUP($B$5,标准坦克设计!$B$24:$U$30,MATCH("对"&amp;LEFT($C$5,2)&amp;"输出",标准坦克设计!$B$23:$U$23,0)))*(VLOOKUP($B178,INDIRECT($B$5&amp;"生成成长"),3))*(VLOOKUP($B$5,标准坦克设计!$B$14:$K$20,9)/30))</f>
        <v>4.0205510621414398</v>
      </c>
      <c r="AH178" s="173">
        <f ca="1">(VLOOKUP(AH$72,INDIRECT($C$5&amp;"生成成长"),2))/((VLOOKUP($B178,INDIRECT($B$5&amp;"生成成长"),4))/(VLOOKUP(AH$72,INDIRECT($C$5&amp;"生成成长"),5))*(VLOOKUP($B$5,标准坦克设计!$B$24:$U$30,MATCH("对"&amp;LEFT($C$5,2)&amp;"输出",标准坦克设计!$B$23:$U$23,0)))*(VLOOKUP($B178,INDIRECT($B$5&amp;"生成成长"),3))*(VLOOKUP($B$5,标准坦克设计!$B$14:$K$20,9)/30))</f>
        <v>4.3204915404184367</v>
      </c>
      <c r="AI178" s="173">
        <f ca="1">(VLOOKUP(AI$72,INDIRECT($C$5&amp;"生成成长"),2))/((VLOOKUP($B178,INDIRECT($B$5&amp;"生成成长"),4))/(VLOOKUP(AI$72,INDIRECT($C$5&amp;"生成成长"),5))*(VLOOKUP($B$5,标准坦克设计!$B$24:$U$30,MATCH("对"&amp;LEFT($C$5,2)&amp;"输出",标准坦克设计!$B$23:$U$23,0)))*(VLOOKUP($B178,INDIRECT($B$5&amp;"生成成长"),3))*(VLOOKUP($B$5,标准坦克设计!$B$14:$K$20,9)/30))</f>
        <v>3.0557245416407</v>
      </c>
      <c r="AJ178" s="173">
        <f ca="1">(VLOOKUP(AJ$72,INDIRECT($C$5&amp;"生成成长"),2))/((VLOOKUP($B178,INDIRECT($B$5&amp;"生成成长"),4))/(VLOOKUP(AJ$72,INDIRECT($C$5&amp;"生成成长"),5))*(VLOOKUP($B$5,标准坦克设计!$B$24:$U$30,MATCH("对"&amp;LEFT($C$5,2)&amp;"输出",标准坦克设计!$B$23:$U$23,0)))*(VLOOKUP($B178,INDIRECT($B$5&amp;"生成成长"),3))*(VLOOKUP($B$5,标准坦克设计!$B$14:$K$20,9)/30))</f>
        <v>3.3447139556928365</v>
      </c>
      <c r="AK178" s="173">
        <f ca="1">(VLOOKUP(AK$72,INDIRECT($C$5&amp;"生成成长"),2))/((VLOOKUP($B178,INDIRECT($B$5&amp;"生成成长"),4))/(VLOOKUP(AK$72,INDIRECT($C$5&amp;"生成成长"),5))*(VLOOKUP($B$5,标准坦克设计!$B$24:$U$30,MATCH("对"&amp;LEFT($C$5,2)&amp;"输出",标准坦克设计!$B$23:$U$23,0)))*(VLOOKUP($B178,INDIRECT($B$5&amp;"生成成长"),3))*(VLOOKUP($B$5,标准坦克设计!$B$14:$K$20,9)/30))</f>
        <v>3.6467583330081084</v>
      </c>
      <c r="AL178" s="173">
        <f ca="1">(VLOOKUP(AL$72,INDIRECT($C$5&amp;"生成成长"),2))/((VLOOKUP($B178,INDIRECT($B$5&amp;"生成成长"),4))/(VLOOKUP(AL$72,INDIRECT($C$5&amp;"生成成长"),5))*(VLOOKUP($B$5,标准坦克设计!$B$24:$U$30,MATCH("对"&amp;LEFT($C$5,2)&amp;"输出",标准坦克设计!$B$23:$U$23,0)))*(VLOOKUP($B178,INDIRECT($B$5&amp;"生成成长"),3))*(VLOOKUP($B$5,标准坦克设计!$B$14:$K$20,9)/30))</f>
        <v>3.9618576735865156</v>
      </c>
      <c r="AM178" s="173">
        <f ca="1">(VLOOKUP(AM$72,INDIRECT($C$5&amp;"生成成长"),2))/((VLOOKUP($B178,INDIRECT($B$5&amp;"生成成长"),4))/(VLOOKUP(AM$72,INDIRECT($C$5&amp;"生成成长"),5))*(VLOOKUP($B$5,标准坦克设计!$B$24:$U$30,MATCH("对"&amp;LEFT($C$5,2)&amp;"输出",标准坦克设计!$B$23:$U$23,0)))*(VLOOKUP($B178,INDIRECT($B$5&amp;"生成成长"),3))*(VLOOKUP($B$5,标准坦克设计!$B$14:$K$20,9)/30))</f>
        <v>4.2900119774280601</v>
      </c>
      <c r="AN178" s="173">
        <f ca="1">(VLOOKUP(AN$72,INDIRECT($C$5&amp;"生成成长"),2))/((VLOOKUP($B178,INDIRECT($B$5&amp;"生成成长"),4))/(VLOOKUP(AN$72,INDIRECT($C$5&amp;"生成成长"),5))*(VLOOKUP($B$5,标准坦克设计!$B$24:$U$30,MATCH("对"&amp;LEFT($C$5,2)&amp;"输出",标准坦克设计!$B$23:$U$23,0)))*(VLOOKUP($B178,INDIRECT($B$5&amp;"生成成长"),3))*(VLOOKUP($B$5,标准坦克设计!$B$14:$K$20,9)/30))</f>
        <v>4.631221244532739</v>
      </c>
      <c r="AO178" s="173">
        <f ca="1">(VLOOKUP(AO$72,INDIRECT($C$5&amp;"生成成长"),2))/((VLOOKUP($B178,INDIRECT($B$5&amp;"生成成长"),4))/(VLOOKUP(AO$72,INDIRECT($C$5&amp;"生成成长"),5))*(VLOOKUP($B$5,标准坦克设计!$B$24:$U$30,MATCH("对"&amp;LEFT($C$5,2)&amp;"输出",标准坦克设计!$B$23:$U$23,0)))*(VLOOKUP($B178,INDIRECT($B$5&amp;"生成成长"),3))*(VLOOKUP($B$5,标准坦克设计!$B$14:$K$20,9)/30))</f>
        <v>4.9854854749005524</v>
      </c>
      <c r="AP178" s="173">
        <f ca="1">(VLOOKUP(AP$72,INDIRECT($C$5&amp;"生成成长"),2))/((VLOOKUP($B178,INDIRECT($B$5&amp;"生成成长"),4))/(VLOOKUP(AP$72,INDIRECT($C$5&amp;"生成成长"),5))*(VLOOKUP($B$5,标准坦克设计!$B$24:$U$30,MATCH("对"&amp;LEFT($C$5,2)&amp;"输出",标准坦克设计!$B$23:$U$23,0)))*(VLOOKUP($B178,INDIRECT($B$5&amp;"生成成长"),3))*(VLOOKUP($B$5,标准坦克设计!$B$14:$K$20,9)/30))</f>
        <v>5.3528046685315021</v>
      </c>
      <c r="AQ178" s="173">
        <f ca="1">(VLOOKUP(AQ$72,INDIRECT($C$5&amp;"生成成长"),2))/((VLOOKUP($B178,INDIRECT($B$5&amp;"生成成长"),4))/(VLOOKUP(AQ$72,INDIRECT($C$5&amp;"生成成长"),5))*(VLOOKUP($B$5,标准坦克设计!$B$24:$U$30,MATCH("对"&amp;LEFT($C$5,2)&amp;"输出",标准坦克设计!$B$23:$U$23,0)))*(VLOOKUP($B178,INDIRECT($B$5&amp;"生成成长"),3))*(VLOOKUP($B$5,标准坦克设计!$B$14:$K$20,9)/30))</f>
        <v>5.733178825425588</v>
      </c>
      <c r="AR178" s="173">
        <f ca="1">(VLOOKUP(AR$72,INDIRECT($C$5&amp;"生成成长"),2))/((VLOOKUP($B178,INDIRECT($B$5&amp;"生成成长"),4))/(VLOOKUP(AR$72,INDIRECT($C$5&amp;"生成成长"),5))*(VLOOKUP($B$5,标准坦克设计!$B$24:$U$30,MATCH("对"&amp;LEFT($C$5,2)&amp;"输出",标准坦克设计!$B$23:$U$23,0)))*(VLOOKUP($B178,INDIRECT($B$5&amp;"生成成长"),3))*(VLOOKUP($B$5,标准坦克设计!$B$14:$K$20,9)/30))</f>
        <v>6.1266079455828084</v>
      </c>
      <c r="AS178" s="173">
        <f ca="1">(VLOOKUP(AS$72,INDIRECT($C$5&amp;"生成成长"),2))/((VLOOKUP($B178,INDIRECT($B$5&amp;"生成成长"),4))/(VLOOKUP(AS$72,INDIRECT($C$5&amp;"生成成长"),5))*(VLOOKUP($B$5,标准坦克设计!$B$24:$U$30,MATCH("对"&amp;LEFT($C$5,2)&amp;"输出",标准坦克设计!$B$23:$U$23,0)))*(VLOOKUP($B178,INDIRECT($B$5&amp;"生成成长"),3))*(VLOOKUP($B$5,标准坦克设计!$B$14:$K$20,9)/30))</f>
        <v>6.533092029003166</v>
      </c>
      <c r="AT178" s="173">
        <f ca="1">(VLOOKUP(AT$72,INDIRECT($C$5&amp;"生成成长"),2))/((VLOOKUP($B178,INDIRECT($B$5&amp;"生成成长"),4))/(VLOOKUP(AT$72,INDIRECT($C$5&amp;"生成成长"),5))*(VLOOKUP($B$5,标准坦克设计!$B$24:$U$30,MATCH("对"&amp;LEFT($C$5,2)&amp;"输出",标准坦克设计!$B$23:$U$23,0)))*(VLOOKUP($B178,INDIRECT($B$5&amp;"生成成长"),3))*(VLOOKUP($B$5,标准坦克设计!$B$14:$K$20,9)/30))</f>
        <v>6.9526310756866554</v>
      </c>
      <c r="AU178" s="173">
        <f ca="1">(VLOOKUP(AU$72,INDIRECT($C$5&amp;"生成成长"),2))/((VLOOKUP($B178,INDIRECT($B$5&amp;"生成成长"),4))/(VLOOKUP(AU$72,INDIRECT($C$5&amp;"生成成长"),5))*(VLOOKUP($B$5,标准坦克设计!$B$24:$U$30,MATCH("对"&amp;LEFT($C$5,2)&amp;"输出",标准坦克设计!$B$23:$U$23,0)))*(VLOOKUP($B178,INDIRECT($B$5&amp;"生成成长"),3))*(VLOOKUP($B$5,标准坦克设计!$B$14:$K$20,9)/30))</f>
        <v>7.3852250856332855</v>
      </c>
      <c r="AV178" s="173">
        <f ca="1">(VLOOKUP(AV$72,INDIRECT($C$5&amp;"生成成长"),2))/((VLOOKUP($B178,INDIRECT($B$5&amp;"生成成长"),4))/(VLOOKUP(AV$72,INDIRECT($C$5&amp;"生成成长"),5))*(VLOOKUP($B$5,标准坦克设计!$B$24:$U$30,MATCH("对"&amp;LEFT($C$5,2)&amp;"输出",标准坦克设计!$B$23:$U$23,0)))*(VLOOKUP($B178,INDIRECT($B$5&amp;"生成成长"),3))*(VLOOKUP($B$5,标准坦克设计!$B$14:$K$20,9)/30))</f>
        <v>0.75114590279297189</v>
      </c>
      <c r="AW178" s="173">
        <f ca="1">(VLOOKUP(AW$72,INDIRECT($C$5&amp;"生成成长"),2))/((VLOOKUP($B178,INDIRECT($B$5&amp;"生成成长"),4))/(VLOOKUP(AW$72,INDIRECT($C$5&amp;"生成成长"),5))*(VLOOKUP($B$5,标准坦克设计!$B$24:$U$30,MATCH("对"&amp;LEFT($C$5,2)&amp;"输出",标准坦克设计!$B$23:$U$23,0)))*(VLOOKUP($B178,INDIRECT($B$5&amp;"生成成长"),3))*(VLOOKUP($B$5,标准坦克设计!$B$14:$K$20,9)/30))</f>
        <v>0.85644874696504047</v>
      </c>
      <c r="AX178" s="173">
        <f ca="1">(VLOOKUP(AX$72,INDIRECT($C$5&amp;"生成成长"),2))/((VLOOKUP($B178,INDIRECT($B$5&amp;"生成成长"),4))/(VLOOKUP(AX$72,INDIRECT($C$5&amp;"生成成长"),5))*(VLOOKUP($B$5,标准坦克设计!$B$24:$U$30,MATCH("对"&amp;LEFT($C$5,2)&amp;"输出",标准坦克设计!$B$23:$U$23,0)))*(VLOOKUP($B178,INDIRECT($B$5&amp;"生成成长"),3))*(VLOOKUP($B$5,标准坦克设计!$B$14:$K$20,9)/30))</f>
        <v>0.96865669567298218</v>
      </c>
      <c r="AY178" s="173">
        <f ca="1">(VLOOKUP(AY$72,INDIRECT($C$5&amp;"生成成长"),2))/((VLOOKUP($B178,INDIRECT($B$5&amp;"生成成长"),4))/(VLOOKUP(AY$72,INDIRECT($C$5&amp;"生成成长"),5))*(VLOOKUP($B$5,标准坦克设计!$B$24:$U$30,MATCH("对"&amp;LEFT($C$5,2)&amp;"输出",标准坦克设计!$B$23:$U$23,0)))*(VLOOKUP($B178,INDIRECT($B$5&amp;"生成成长"),3))*(VLOOKUP($B$5,标准坦克设计!$B$14:$K$20,9)/30))</f>
        <v>1.0877697489167975</v>
      </c>
      <c r="AZ178" s="173">
        <f ca="1">(VLOOKUP(AZ$72,INDIRECT($C$5&amp;"生成成长"),2))/((VLOOKUP($B178,INDIRECT($B$5&amp;"生成成长"),4))/(VLOOKUP(AZ$72,INDIRECT($C$5&amp;"生成成长"),5))*(VLOOKUP($B$5,标准坦克设计!$B$24:$U$30,MATCH("对"&amp;LEFT($C$5,2)&amp;"输出",标准坦克设计!$B$23:$U$23,0)))*(VLOOKUP($B178,INDIRECT($B$5&amp;"生成成长"),3))*(VLOOKUP($B$5,标准坦克设计!$B$14:$K$20,9)/30))</f>
        <v>1.2137879066964858</v>
      </c>
      <c r="BA178" s="173">
        <f ca="1">(VLOOKUP(BA$72,INDIRECT($C$5&amp;"生成成长"),2))/((VLOOKUP($B178,INDIRECT($B$5&amp;"生成成长"),4))/(VLOOKUP(BA$72,INDIRECT($C$5&amp;"生成成长"),5))*(VLOOKUP($B$5,标准坦克设计!$B$24:$U$30,MATCH("对"&amp;LEFT($C$5,2)&amp;"输出",标准坦克设计!$B$23:$U$23,0)))*(VLOOKUP($B178,INDIRECT($B$5&amp;"生成成长"),3))*(VLOOKUP($B$5,标准坦克设计!$B$14:$K$20,9)/30))</f>
        <v>1.3467111690120475</v>
      </c>
      <c r="BB178" s="173">
        <f ca="1">(VLOOKUP(BB$72,INDIRECT($C$5&amp;"生成成长"),2))/((VLOOKUP($B178,INDIRECT($B$5&amp;"生成成长"),4))/(VLOOKUP(BB$72,INDIRECT($C$5&amp;"生成成长"),5))*(VLOOKUP($B$5,标准坦克设计!$B$24:$U$30,MATCH("对"&amp;LEFT($C$5,2)&amp;"输出",标准坦克设计!$B$23:$U$23,0)))*(VLOOKUP($B178,INDIRECT($B$5&amp;"生成成长"),3))*(VLOOKUP($B$5,标准坦克设计!$B$14:$K$20,9)/30))</f>
        <v>1.4865395358634828</v>
      </c>
      <c r="BC178" s="173">
        <f ca="1">(VLOOKUP(BC$72,INDIRECT($C$5&amp;"生成成长"),2))/((VLOOKUP($B178,INDIRECT($B$5&amp;"生成成长"),4))/(VLOOKUP(BC$72,INDIRECT($C$5&amp;"生成成长"),5))*(VLOOKUP($B$5,标准坦克设计!$B$24:$U$30,MATCH("对"&amp;LEFT($C$5,2)&amp;"输出",标准坦克设计!$B$23:$U$23,0)))*(VLOOKUP($B178,INDIRECT($B$5&amp;"生成成长"),3))*(VLOOKUP($B$5,标准坦克设计!$B$14:$K$20,9)/30))</f>
        <v>1.6332730072507915</v>
      </c>
      <c r="BD178" s="173">
        <f ca="1">(VLOOKUP(BD$72,INDIRECT($C$5&amp;"生成成长"),2))/((VLOOKUP($B178,INDIRECT($B$5&amp;"生成成长"),4))/(VLOOKUP(BD$72,INDIRECT($C$5&amp;"生成成长"),5))*(VLOOKUP($B$5,标准坦克设计!$B$24:$U$30,MATCH("对"&amp;LEFT($C$5,2)&amp;"输出",标准坦克设计!$B$23:$U$23,0)))*(VLOOKUP($B178,INDIRECT($B$5&amp;"生成成长"),3))*(VLOOKUP($B$5,标准坦克设计!$B$14:$K$20,9)/30))</f>
        <v>1.8066019203270498</v>
      </c>
      <c r="BE178" s="173">
        <f ca="1">(VLOOKUP(BE$72,INDIRECT($C$5&amp;"生成成长"),2))/((VLOOKUP($B178,INDIRECT($B$5&amp;"生成成长"),4))/(VLOOKUP(BE$72,INDIRECT($C$5&amp;"生成成长"),5))*(VLOOKUP($B$5,标准坦克设计!$B$24:$U$30,MATCH("对"&amp;LEFT($C$5,2)&amp;"输出",标准坦克设计!$B$23:$U$23,0)))*(VLOOKUP($B178,INDIRECT($B$5&amp;"生成成长"),3))*(VLOOKUP($B$5,标准坦克设计!$B$14:$K$20,9)/30))</f>
        <v>1.9886701063315222</v>
      </c>
      <c r="BF178" s="173">
        <f ca="1">(VLOOKUP(BF$72,INDIRECT($C$5&amp;"生成成长"),2))/((VLOOKUP($B178,INDIRECT($B$5&amp;"生成成长"),4))/(VLOOKUP(BF$72,INDIRECT($C$5&amp;"生成成长"),5))*(VLOOKUP($B$5,标准坦克设计!$B$24:$U$30,MATCH("对"&amp;LEFT($C$5,2)&amp;"输出",标准坦克设计!$B$23:$U$23,0)))*(VLOOKUP($B178,INDIRECT($B$5&amp;"生成成长"),3))*(VLOOKUP($B$5,标准坦克设计!$B$14:$K$20,9)/30))</f>
        <v>2.1794775652642104</v>
      </c>
      <c r="BG178" s="173">
        <f ca="1">(VLOOKUP(BG$72,INDIRECT($C$5&amp;"生成成长"),2))/((VLOOKUP($B178,INDIRECT($B$5&amp;"生成成长"),4))/(VLOOKUP(BG$72,INDIRECT($C$5&amp;"生成成长"),5))*(VLOOKUP($B$5,标准坦克设计!$B$24:$U$30,MATCH("对"&amp;LEFT($C$5,2)&amp;"输出",标准坦克设计!$B$23:$U$23,0)))*(VLOOKUP($B178,INDIRECT($B$5&amp;"生成成长"),3))*(VLOOKUP($B$5,标准坦克设计!$B$14:$K$20,9)/30))</f>
        <v>2.3790242971251123</v>
      </c>
      <c r="BH178" s="173">
        <f ca="1">(VLOOKUP(BH$72,INDIRECT($C$5&amp;"生成成长"),2))/((VLOOKUP($B178,INDIRECT($B$5&amp;"生成成长"),4))/(VLOOKUP(BH$72,INDIRECT($C$5&amp;"生成成长"),5))*(VLOOKUP($B$5,标准坦克设计!$B$24:$U$30,MATCH("对"&amp;LEFT($C$5,2)&amp;"输出",标准坦克设计!$B$23:$U$23,0)))*(VLOOKUP($B178,INDIRECT($B$5&amp;"生成成长"),3))*(VLOOKUP($B$5,标准坦克设计!$B$14:$K$20,9)/30))</f>
        <v>1.1499156897396574</v>
      </c>
      <c r="BI178" s="173">
        <f ca="1">(VLOOKUP(BI$72,INDIRECT($C$5&amp;"生成成长"),2))/((VLOOKUP($B178,INDIRECT($B$5&amp;"生成成长"),4))/(VLOOKUP(BI$72,INDIRECT($C$5&amp;"生成成长"),5))*(VLOOKUP($B$5,标准坦克设计!$B$24:$U$30,MATCH("对"&amp;LEFT($C$5,2)&amp;"输出",标准坦克设计!$B$23:$U$23,0)))*(VLOOKUP($B178,INDIRECT($B$5&amp;"生成成长"),3))*(VLOOKUP($B$5,标准坦克设计!$B$14:$K$20,9)/30))</f>
        <v>1.2960557537059145</v>
      </c>
      <c r="BJ178" s="173">
        <f ca="1">(VLOOKUP(BJ$72,INDIRECT($C$5&amp;"生成成长"),2))/((VLOOKUP($B178,INDIRECT($B$5&amp;"生成成长"),4))/(VLOOKUP(BJ$72,INDIRECT($C$5&amp;"生成成长"),5))*(VLOOKUP($B$5,标准坦克设计!$B$24:$U$30,MATCH("对"&amp;LEFT($C$5,2)&amp;"输出",标准坦克设计!$B$23:$U$23,0)))*(VLOOKUP($B178,INDIRECT($B$5&amp;"生成成长"),3))*(VLOOKUP($B$5,标准坦克设计!$B$14:$K$20,9)/30))</f>
        <v>1.4509350906003859</v>
      </c>
      <c r="BK178" s="173">
        <f ca="1">(VLOOKUP(BK$72,INDIRECT($C$5&amp;"生成成长"),2))/((VLOOKUP($B178,INDIRECT($B$5&amp;"生成成长"),4))/(VLOOKUP(BK$72,INDIRECT($C$5&amp;"生成成长"),5))*(VLOOKUP($B$5,标准坦克设计!$B$24:$U$30,MATCH("对"&amp;LEFT($C$5,2)&amp;"输出",标准坦克设计!$B$23:$U$23,0)))*(VLOOKUP($B178,INDIRECT($B$5&amp;"生成成长"),3))*(VLOOKUP($B$5,标准坦克设计!$B$14:$K$20,9)/30))</f>
        <v>1.6145537004230721</v>
      </c>
      <c r="BL178" s="173">
        <f ca="1">(VLOOKUP(BL$72,INDIRECT($C$5&amp;"生成成长"),2))/((VLOOKUP($B178,INDIRECT($B$5&amp;"生成成长"),4))/(VLOOKUP(BL$72,INDIRECT($C$5&amp;"生成成长"),5))*(VLOOKUP($B$5,标准坦克设计!$B$24:$U$30,MATCH("对"&amp;LEFT($C$5,2)&amp;"输出",标准坦克设计!$B$23:$U$23,0)))*(VLOOKUP($B178,INDIRECT($B$5&amp;"生成成长"),3))*(VLOOKUP($B$5,标准坦克设计!$B$14:$K$20,9)/30))</f>
        <v>1.786911583173973</v>
      </c>
      <c r="BM178" s="173">
        <f ca="1">(VLOOKUP(BM$72,INDIRECT($C$5&amp;"生成成长"),2))/((VLOOKUP($B178,INDIRECT($B$5&amp;"生成成长"),4))/(VLOOKUP(BM$72,INDIRECT($C$5&amp;"生成成长"),5))*(VLOOKUP($B$5,标准坦克设计!$B$24:$U$30,MATCH("对"&amp;LEFT($C$5,2)&amp;"输出",标准坦克设计!$B$23:$U$23,0)))*(VLOOKUP($B178,INDIRECT($B$5&amp;"生成成长"),3))*(VLOOKUP($B$5,标准坦克设计!$B$14:$K$20,9)/30))</f>
        <v>1.9680087388530889</v>
      </c>
      <c r="BN178" s="173">
        <f ca="1">(VLOOKUP(BN$72,INDIRECT($C$5&amp;"生成成长"),2))/((VLOOKUP($B178,INDIRECT($B$5&amp;"生成成长"),4))/(VLOOKUP(BN$72,INDIRECT($C$5&amp;"生成成长"),5))*(VLOOKUP($B$5,标准坦克设计!$B$24:$U$30,MATCH("对"&amp;LEFT($C$5,2)&amp;"输出",标准坦克设计!$B$23:$U$23,0)))*(VLOOKUP($B178,INDIRECT($B$5&amp;"生成成长"),3))*(VLOOKUP($B$5,标准坦克设计!$B$14:$K$20,9)/30))</f>
        <v>2.1578451674604193</v>
      </c>
      <c r="BO178" s="173">
        <f ca="1">(VLOOKUP(BO$72,INDIRECT($C$5&amp;"生成成长"),2))/((VLOOKUP($B178,INDIRECT($B$5&amp;"生成成长"),4))/(VLOOKUP(BO$72,INDIRECT($C$5&amp;"生成成长"),5))*(VLOOKUP($B$5,标准坦克设计!$B$24:$U$30,MATCH("对"&amp;LEFT($C$5,2)&amp;"输出",标准坦克设计!$B$23:$U$23,0)))*(VLOOKUP($B178,INDIRECT($B$5&amp;"生成成长"),3))*(VLOOKUP($B$5,标准坦克设计!$B$14:$K$20,9)/30))</f>
        <v>2.3564208689959645</v>
      </c>
      <c r="BP178" s="173">
        <f ca="1">(VLOOKUP(BP$72,INDIRECT($C$5&amp;"生成成长"),2))/((VLOOKUP($B178,INDIRECT($B$5&amp;"生成成长"),4))/(VLOOKUP(BP$72,INDIRECT($C$5&amp;"生成成长"),5))*(VLOOKUP($B$5,标准坦克设计!$B$24:$U$30,MATCH("对"&amp;LEFT($C$5,2)&amp;"输出",标准坦克设计!$B$23:$U$23,0)))*(VLOOKUP($B178,INDIRECT($B$5&amp;"生成成长"),3))*(VLOOKUP($B$5,标准坦克设计!$B$14:$K$20,9)/30))</f>
        <v>2.5637358434597242</v>
      </c>
      <c r="BQ178" s="173">
        <f ca="1">(VLOOKUP(BQ$72,INDIRECT($C$5&amp;"生成成长"),2))/((VLOOKUP($B178,INDIRECT($B$5&amp;"生成成长"),4))/(VLOOKUP(BQ$72,INDIRECT($C$5&amp;"生成成长"),5))*(VLOOKUP($B$5,标准坦克设计!$B$24:$U$30,MATCH("对"&amp;LEFT($C$5,2)&amp;"输出",标准坦克设计!$B$23:$U$23,0)))*(VLOOKUP($B178,INDIRECT($B$5&amp;"生成成长"),3))*(VLOOKUP($B$5,标准坦克设计!$B$14:$K$20,9)/30))</f>
        <v>2.7797900908516984</v>
      </c>
      <c r="BR178" s="173">
        <f ca="1">(VLOOKUP(BR$72,INDIRECT($C$5&amp;"生成成长"),2))/((VLOOKUP($B178,INDIRECT($B$5&amp;"生成成长"),4))/(VLOOKUP(BR$72,INDIRECT($C$5&amp;"生成成长"),5))*(VLOOKUP($B$5,标准坦克设计!$B$24:$U$30,MATCH("对"&amp;LEFT($C$5,2)&amp;"输出",标准坦克设计!$B$23:$U$23,0)))*(VLOOKUP($B178,INDIRECT($B$5&amp;"生成成长"),3))*(VLOOKUP($B$5,标准坦克设计!$B$14:$K$20,9)/30))</f>
        <v>3.0301001302771073</v>
      </c>
      <c r="BS178" s="173">
        <f ca="1">(VLOOKUP(BS$72,INDIRECT($C$5&amp;"生成成长"),2))/((VLOOKUP($B178,INDIRECT($B$5&amp;"生成成长"),4))/(VLOOKUP(BS$72,INDIRECT($C$5&amp;"生成成长"),5))*(VLOOKUP($B$5,标准坦克设计!$B$24:$U$30,MATCH("对"&amp;LEFT($C$5,2)&amp;"输出",标准坦克设计!$B$23:$U$23,0)))*(VLOOKUP($B178,INDIRECT($B$5&amp;"生成成长"),3))*(VLOOKUP($B$5,标准坦克设计!$B$14:$K$20,9)/30))</f>
        <v>3.291199395539818</v>
      </c>
      <c r="BT178" s="173">
        <f ca="1">(VLOOKUP(BT$72,INDIRECT($C$5&amp;"生成成长"),2))/((VLOOKUP($B178,INDIRECT($B$5&amp;"生成成长"),4))/(VLOOKUP(BT$72,INDIRECT($C$5&amp;"生成成长"),5))*(VLOOKUP($B$5,标准坦克设计!$B$24:$U$30,MATCH("对"&amp;LEFT($C$5,2)&amp;"输出",标准坦克设计!$B$23:$U$23,0)))*(VLOOKUP($B178,INDIRECT($B$5&amp;"生成成长"),3))*(VLOOKUP($B$5,标准坦克设计!$B$14:$K$20,9)/30))</f>
        <v>3.5630878866398303</v>
      </c>
      <c r="BU178" s="173">
        <f ca="1">(VLOOKUP(BU$72,INDIRECT($C$5&amp;"生成成长"),2))/((VLOOKUP($B178,INDIRECT($B$5&amp;"生成成长"),4))/(VLOOKUP(BU$72,INDIRECT($C$5&amp;"生成成长"),5))*(VLOOKUP($B$5,标准坦克设计!$B$24:$U$30,MATCH("对"&amp;LEFT($C$5,2)&amp;"输出",标准坦克设计!$B$23:$U$23,0)))*(VLOOKUP($B178,INDIRECT($B$5&amp;"生成成长"),3))*(VLOOKUP($B$5,标准坦克设计!$B$14:$K$20,9)/30))</f>
        <v>3.8457656035771453</v>
      </c>
      <c r="BV178" s="173">
        <f ca="1">(VLOOKUP(BV$72,INDIRECT($C$5&amp;"生成成长"),2))/((VLOOKUP($B178,INDIRECT($B$5&amp;"生成成长"),4))/(VLOOKUP(BV$72,INDIRECT($C$5&amp;"生成成长"),5))*(VLOOKUP($B$5,标准坦克设计!$B$24:$U$30,MATCH("对"&amp;LEFT($C$5,2)&amp;"输出",标准坦克设计!$B$23:$U$23,0)))*(VLOOKUP($B178,INDIRECT($B$5&amp;"生成成长"),3))*(VLOOKUP($B$5,标准坦克设计!$B$14:$K$20,9)/30))</f>
        <v>4.1392325463517627</v>
      </c>
      <c r="BW178" s="173">
        <f ca="1">(VLOOKUP(BW$72,INDIRECT($C$5&amp;"生成成长"),2))/((VLOOKUP($B178,INDIRECT($B$5&amp;"生成成长"),4))/(VLOOKUP(BW$72,INDIRECT($C$5&amp;"生成成长"),5))*(VLOOKUP($B$5,标准坦克设计!$B$24:$U$30,MATCH("对"&amp;LEFT($C$5,2)&amp;"输出",标准坦克设计!$B$23:$U$23,0)))*(VLOOKUP($B178,INDIRECT($B$5&amp;"生成成长"),3))*(VLOOKUP($B$5,标准坦克设计!$B$14:$K$20,9)/30))</f>
        <v>1.8864421915230849</v>
      </c>
      <c r="BX178" s="173">
        <f ca="1">(VLOOKUP(BX$72,INDIRECT($C$5&amp;"生成成长"),2))/((VLOOKUP($B178,INDIRECT($B$5&amp;"生成成长"),4))/(VLOOKUP(BX$72,INDIRECT($C$5&amp;"生成成长"),5))*(VLOOKUP($B$5,标准坦克设计!$B$24:$U$30,MATCH("对"&amp;LEFT($C$5,2)&amp;"输出",标准坦克设计!$B$23:$U$23,0)))*(VLOOKUP($B178,INDIRECT($B$5&amp;"生成成长"),3))*(VLOOKUP($B$5,标准坦克设计!$B$14:$K$20,9)/30))</f>
        <v>2.0935953275992851</v>
      </c>
      <c r="BY178" s="173">
        <f ca="1">(VLOOKUP(BY$72,INDIRECT($C$5&amp;"生成成长"),2))/((VLOOKUP($B178,INDIRECT($B$5&amp;"生成成长"),4))/(VLOOKUP(BY$72,INDIRECT($C$5&amp;"生成成长"),5))*(VLOOKUP($B$5,标准坦克设计!$B$24:$U$30,MATCH("对"&amp;LEFT($C$5,2)&amp;"输出",标准坦克设计!$B$23:$U$23,0)))*(VLOOKUP($B178,INDIRECT($B$5&amp;"生成成长"),3))*(VLOOKUP($B$5,标准坦克设计!$B$14:$K$20,9)/30))</f>
        <v>2.3115376895127877</v>
      </c>
      <c r="BZ178" s="173">
        <f ca="1">(VLOOKUP(BZ$72,INDIRECT($C$5&amp;"生成成长"),2))/((VLOOKUP($B178,INDIRECT($B$5&amp;"生成成长"),4))/(VLOOKUP(BZ$72,INDIRECT($C$5&amp;"生成成长"),5))*(VLOOKUP($B$5,标准坦克设计!$B$24:$U$30,MATCH("对"&amp;LEFT($C$5,2)&amp;"输出",标准坦克设计!$B$23:$U$23,0)))*(VLOOKUP($B178,INDIRECT($B$5&amp;"生成成长"),3))*(VLOOKUP($B$5,标准坦克设计!$B$14:$K$20,9)/30))</f>
        <v>2.540269277263592</v>
      </c>
      <c r="CA178" s="173">
        <f ca="1">(VLOOKUP(CA$72,INDIRECT($C$5&amp;"生成成长"),2))/((VLOOKUP($B178,INDIRECT($B$5&amp;"生成成长"),4))/(VLOOKUP(CA$72,INDIRECT($C$5&amp;"生成成长"),5))*(VLOOKUP($B$5,标准坦克设计!$B$24:$U$30,MATCH("对"&amp;LEFT($C$5,2)&amp;"输出",标准坦克设计!$B$23:$U$23,0)))*(VLOOKUP($B178,INDIRECT($B$5&amp;"生成成长"),3))*(VLOOKUP($B$5,标准坦克设计!$B$14:$K$20,9)/30))</f>
        <v>2.7797900908516984</v>
      </c>
      <c r="CB178" s="173">
        <f ca="1">(VLOOKUP(CB$72,INDIRECT($C$5&amp;"生成成长"),2))/((VLOOKUP($B178,INDIRECT($B$5&amp;"生成成长"),4))/(VLOOKUP(CB$72,INDIRECT($C$5&amp;"生成成长"),5))*(VLOOKUP($B$5,标准坦克设计!$B$24:$U$30,MATCH("对"&amp;LEFT($C$5,2)&amp;"输出",标准坦克设计!$B$23:$U$23,0)))*(VLOOKUP($B178,INDIRECT($B$5&amp;"生成成长"),3))*(VLOOKUP($B$5,标准坦克设计!$B$14:$K$20,9)/30))</f>
        <v>3.0301001302771073</v>
      </c>
      <c r="CC178" s="173">
        <f ca="1">(VLOOKUP(CC$72,INDIRECT($C$5&amp;"生成成长"),2))/((VLOOKUP($B178,INDIRECT($B$5&amp;"生成成长"),4))/(VLOOKUP(CC$72,INDIRECT($C$5&amp;"生成成长"),5))*(VLOOKUP($B$5,标准坦克设计!$B$24:$U$30,MATCH("对"&amp;LEFT($C$5,2)&amp;"输出",标准坦克设计!$B$23:$U$23,0)))*(VLOOKUP($B178,INDIRECT($B$5&amp;"生成成长"),3))*(VLOOKUP($B$5,标准坦克设计!$B$14:$K$20,9)/30))</f>
        <v>3.291199395539818</v>
      </c>
      <c r="CD178" s="173">
        <f ca="1">(VLOOKUP(CD$72,INDIRECT($C$5&amp;"生成成长"),2))/((VLOOKUP($B178,INDIRECT($B$5&amp;"生成成长"),4))/(VLOOKUP(CD$72,INDIRECT($C$5&amp;"生成成长"),5))*(VLOOKUP($B$5,标准坦克设计!$B$24:$U$30,MATCH("对"&amp;LEFT($C$5,2)&amp;"输出",标准坦克设计!$B$23:$U$23,0)))*(VLOOKUP($B178,INDIRECT($B$5&amp;"生成成长"),3))*(VLOOKUP($B$5,标准坦克设计!$B$14:$K$20,9)/30))</f>
        <v>3.5630878866398303</v>
      </c>
      <c r="CE178" s="173">
        <f ca="1">(VLOOKUP(CE$72,INDIRECT($C$5&amp;"生成成长"),2))/((VLOOKUP($B178,INDIRECT($B$5&amp;"生成成长"),4))/(VLOOKUP(CE$72,INDIRECT($C$5&amp;"生成成长"),5))*(VLOOKUP($B$5,标准坦克设计!$B$24:$U$30,MATCH("对"&amp;LEFT($C$5,2)&amp;"输出",标准坦克设计!$B$23:$U$23,0)))*(VLOOKUP($B178,INDIRECT($B$5&amp;"生成成长"),3))*(VLOOKUP($B$5,标准坦克设计!$B$14:$K$20,9)/30))</f>
        <v>3.8457656035771453</v>
      </c>
      <c r="CF178" s="173">
        <f ca="1">(VLOOKUP(CF$72,INDIRECT($C$5&amp;"生成成长"),2))/((VLOOKUP($B178,INDIRECT($B$5&amp;"生成成长"),4))/(VLOOKUP(CF$72,INDIRECT($C$5&amp;"生成成长"),5))*(VLOOKUP($B$5,标准坦克设计!$B$24:$U$30,MATCH("对"&amp;LEFT($C$5,2)&amp;"输出",标准坦克设计!$B$23:$U$23,0)))*(VLOOKUP($B178,INDIRECT($B$5&amp;"生成成长"),3))*(VLOOKUP($B$5,标准坦克设计!$B$14:$K$20,9)/30))</f>
        <v>4.1392325463517627</v>
      </c>
      <c r="CG178" s="173">
        <f ca="1">(VLOOKUP(CG$72,INDIRECT($C$5&amp;"生成成长"),2))/((VLOOKUP($B178,INDIRECT($B$5&amp;"生成成长"),4))/(VLOOKUP(CG$72,INDIRECT($C$5&amp;"生成成长"),5))*(VLOOKUP($B$5,标准坦克设计!$B$24:$U$30,MATCH("对"&amp;LEFT($C$5,2)&amp;"输出",标准坦克设计!$B$23:$U$23,0)))*(VLOOKUP($B178,INDIRECT($B$5&amp;"生成成长"),3))*(VLOOKUP($B$5,标准坦克设计!$B$14:$K$20,9)/30))</f>
        <v>4.4434887149636815</v>
      </c>
      <c r="CH178" s="173">
        <f ca="1">(VLOOKUP(CH$72,INDIRECT($C$5&amp;"生成成长"),2))/((VLOOKUP($B178,INDIRECT($B$5&amp;"生成成长"),4))/(VLOOKUP(CH$72,INDIRECT($C$5&amp;"生成成长"),5))*(VLOOKUP($B$5,标准坦克设计!$B$24:$U$30,MATCH("对"&amp;LEFT($C$5,2)&amp;"输出",标准坦克设计!$B$23:$U$23,0)))*(VLOOKUP($B178,INDIRECT($B$5&amp;"生成成长"),3))*(VLOOKUP($B$5,标准坦克设计!$B$14:$K$20,9)/30))</f>
        <v>4.7585341094129037</v>
      </c>
      <c r="CI178" s="173">
        <f ca="1">(VLOOKUP(CI$72,INDIRECT($C$5&amp;"生成成长"),2))/((VLOOKUP($B178,INDIRECT($B$5&amp;"生成成长"),4))/(VLOOKUP(CI$72,INDIRECT($C$5&amp;"生成成长"),5))*(VLOOKUP($B$5,标准坦克设计!$B$24:$U$30,MATCH("对"&amp;LEFT($C$5,2)&amp;"输出",标准坦克设计!$B$23:$U$23,0)))*(VLOOKUP($B178,INDIRECT($B$5&amp;"生成成长"),3))*(VLOOKUP($B$5,标准坦克设计!$B$14:$K$20,9)/30))</f>
        <v>5.1175455991491301</v>
      </c>
      <c r="CJ178" s="173">
        <f ca="1">(VLOOKUP(CJ$72,INDIRECT($C$5&amp;"生成成长"),2))/((VLOOKUP($B178,INDIRECT($B$5&amp;"生成成长"),4))/(VLOOKUP(CJ$72,INDIRECT($C$5&amp;"生成成长"),5))*(VLOOKUP($B$5,标准坦克设计!$B$24:$U$30,MATCH("对"&amp;LEFT($C$5,2)&amp;"输出",标准坦克设计!$B$23:$U$23,0)))*(VLOOKUP($B178,INDIRECT($B$5&amp;"生成成长"),3))*(VLOOKUP($B$5,标准坦克设计!$B$14:$K$20,9)/30))</f>
        <v>5.4896120521484937</v>
      </c>
      <c r="CK178" s="173">
        <f ca="1">(VLOOKUP(CK$72,INDIRECT($C$5&amp;"生成成长"),2))/((VLOOKUP($B178,INDIRECT($B$5&amp;"生成成长"),4))/(VLOOKUP(CK$72,INDIRECT($C$5&amp;"生成成长"),5))*(VLOOKUP($B$5,标准坦克设计!$B$24:$U$30,MATCH("对"&amp;LEFT($C$5,2)&amp;"输出",标准坦克设计!$B$23:$U$23,0)))*(VLOOKUP($B178,INDIRECT($B$5&amp;"生成成长"),3))*(VLOOKUP($B$5,标准坦克设计!$B$14:$K$20,9)/30))</f>
        <v>5.8747334684109918</v>
      </c>
      <c r="CL178" s="173">
        <f ca="1">(VLOOKUP(CL$72,INDIRECT($C$5&amp;"生成成长"),2))/((VLOOKUP($B178,INDIRECT($B$5&amp;"生成成长"),4))/(VLOOKUP(CL$72,INDIRECT($C$5&amp;"生成成长"),5))*(VLOOKUP($B$5,标准坦克设计!$B$24:$U$30,MATCH("对"&amp;LEFT($C$5,2)&amp;"输出",标准坦克设计!$B$23:$U$23,0)))*(VLOOKUP($B178,INDIRECT($B$5&amp;"生成成长"),3))*(VLOOKUP($B$5,标准坦克设计!$B$14:$K$20,9)/30))</f>
        <v>6.2729098479366252</v>
      </c>
      <c r="CM178" s="173">
        <f ca="1">(VLOOKUP(CM$72,INDIRECT($C$5&amp;"生成成长"),2))/((VLOOKUP($B178,INDIRECT($B$5&amp;"生成成长"),4))/(VLOOKUP(CM$72,INDIRECT($C$5&amp;"生成成长"),5))*(VLOOKUP($B$5,标准坦克设计!$B$24:$U$30,MATCH("对"&amp;LEFT($C$5,2)&amp;"输出",标准坦克设计!$B$23:$U$23,0)))*(VLOOKUP($B178,INDIRECT($B$5&amp;"生成成长"),3))*(VLOOKUP($B$5,标准坦克设计!$B$14:$K$20,9)/30))</f>
        <v>6.684141190725394</v>
      </c>
      <c r="CN178" s="173">
        <f ca="1">(VLOOKUP(CN$72,INDIRECT($C$5&amp;"生成成长"),2))/((VLOOKUP($B178,INDIRECT($B$5&amp;"生成成长"),4))/(VLOOKUP(CN$72,INDIRECT($C$5&amp;"生成成长"),5))*(VLOOKUP($B$5,标准坦克设计!$B$24:$U$30,MATCH("对"&amp;LEFT($C$5,2)&amp;"输出",标准坦克设计!$B$23:$U$23,0)))*(VLOOKUP($B178,INDIRECT($B$5&amp;"生成成长"),3))*(VLOOKUP($B$5,标准坦克设计!$B$14:$K$20,9)/30))</f>
        <v>7.1084274967772991</v>
      </c>
      <c r="CO178" s="173">
        <f ca="1">(VLOOKUP(CO$72,INDIRECT($C$5&amp;"生成成长"),2))/((VLOOKUP($B178,INDIRECT($B$5&amp;"生成成长"),4))/(VLOOKUP(CO$72,INDIRECT($C$5&amp;"生成成长"),5))*(VLOOKUP($B$5,标准坦克设计!$B$24:$U$30,MATCH("对"&amp;LEFT($C$5,2)&amp;"输出",标准坦克设计!$B$23:$U$23,0)))*(VLOOKUP($B178,INDIRECT($B$5&amp;"生成成长"),3))*(VLOOKUP($B$5,标准坦克设计!$B$14:$K$20,9)/30))</f>
        <v>3.1854649823342571</v>
      </c>
      <c r="CP178" s="173">
        <f ca="1">(VLOOKUP(CP$72,INDIRECT($C$5&amp;"生成成长"),2))/((VLOOKUP($B178,INDIRECT($B$5&amp;"生成成长"),4))/(VLOOKUP(CP$72,INDIRECT($C$5&amp;"生成成长"),5))*(VLOOKUP($B$5,标准坦克设计!$B$24:$U$30,MATCH("对"&amp;LEFT($C$5,2)&amp;"输出",标准坦克设计!$B$23:$U$23,0)))*(VLOOKUP($B178,INDIRECT($B$5&amp;"生成成长"),3))*(VLOOKUP($B$5,标准坦克设计!$B$14:$K$20,9)/30))</f>
        <v>3.4803884705969104</v>
      </c>
      <c r="CQ178" s="173">
        <f ca="1">(VLOOKUP(CQ$72,INDIRECT($C$5&amp;"生成成长"),2))/((VLOOKUP($B178,INDIRECT($B$5&amp;"生成成长"),4))/(VLOOKUP(CQ$72,INDIRECT($C$5&amp;"生成成长"),5))*(VLOOKUP($B$5,标准坦克设计!$B$24:$U$30,MATCH("对"&amp;LEFT($C$5,2)&amp;"输出",标准坦克设计!$B$23:$U$23,0)))*(VLOOKUP($B178,INDIRECT($B$5&amp;"生成成长"),3))*(VLOOKUP($B$5,标准坦克设计!$B$14:$K$20,9)/30))</f>
        <v>3.788366922122699</v>
      </c>
      <c r="CR178" s="173">
        <f ca="1">(VLOOKUP(CR$72,INDIRECT($C$5&amp;"生成成长"),2))/((VLOOKUP($B178,INDIRECT($B$5&amp;"生成成长"),4))/(VLOOKUP(CR$72,INDIRECT($C$5&amp;"生成成长"),5))*(VLOOKUP($B$5,标准坦克设计!$B$24:$U$30,MATCH("对"&amp;LEFT($C$5,2)&amp;"输出",标准坦克设计!$B$23:$U$23,0)))*(VLOOKUP($B178,INDIRECT($B$5&amp;"生成成长"),3))*(VLOOKUP($B$5,标准坦克设计!$B$14:$K$20,9)/30))</f>
        <v>4.109400336911623</v>
      </c>
      <c r="CS178" s="173">
        <f ca="1">(VLOOKUP(CS$72,INDIRECT($C$5&amp;"生成成长"),2))/((VLOOKUP($B178,INDIRECT($B$5&amp;"生成成长"),4))/(VLOOKUP(CS$72,INDIRECT($C$5&amp;"生成成长"),5))*(VLOOKUP($B$5,标准坦克设计!$B$24:$U$30,MATCH("对"&amp;LEFT($C$5,2)&amp;"输出",标准坦克设计!$B$23:$U$23,0)))*(VLOOKUP($B178,INDIRECT($B$5&amp;"生成成长"),3))*(VLOOKUP($B$5,标准坦克设计!$B$14:$K$20,9)/30))</f>
        <v>4.4434887149636815</v>
      </c>
      <c r="CT178" s="173">
        <f ca="1">(VLOOKUP(CT$72,INDIRECT($C$5&amp;"生成成长"),2))/((VLOOKUP($B178,INDIRECT($B$5&amp;"生成成长"),4))/(VLOOKUP(CT$72,INDIRECT($C$5&amp;"生成成长"),5))*(VLOOKUP($B$5,标准坦克设计!$B$24:$U$30,MATCH("对"&amp;LEFT($C$5,2)&amp;"输出",标准坦克设计!$B$23:$U$23,0)))*(VLOOKUP($B178,INDIRECT($B$5&amp;"生成成长"),3))*(VLOOKUP($B$5,标准坦克设计!$B$14:$K$20,9)/30))</f>
        <v>4.7906320562788771</v>
      </c>
      <c r="CU178" s="173">
        <f ca="1">(VLOOKUP(CU$72,INDIRECT($C$5&amp;"生成成长"),2))/((VLOOKUP($B178,INDIRECT($B$5&amp;"生成成长"),4))/(VLOOKUP(CU$72,INDIRECT($C$5&amp;"生成成长"),5))*(VLOOKUP($B$5,标准坦克设计!$B$24:$U$30,MATCH("对"&amp;LEFT($C$5,2)&amp;"输出",标准坦克设计!$B$23:$U$23,0)))*(VLOOKUP($B178,INDIRECT($B$5&amp;"生成成长"),3))*(VLOOKUP($B$5,标准坦克设计!$B$14:$K$20,9)/30))</f>
        <v>5.1508303608572072</v>
      </c>
      <c r="CV178" s="173">
        <f ca="1">(VLOOKUP(CV$72,INDIRECT($C$5&amp;"生成成长"),2))/((VLOOKUP($B178,INDIRECT($B$5&amp;"生成成长"),4))/(VLOOKUP(CV$72,INDIRECT($C$5&amp;"生成成长"),5))*(VLOOKUP($B$5,标准坦克设计!$B$24:$U$30,MATCH("对"&amp;LEFT($C$5,2)&amp;"输出",标准坦克设计!$B$23:$U$23,0)))*(VLOOKUP($B178,INDIRECT($B$5&amp;"生成成长"),3))*(VLOOKUP($B$5,标准坦克设计!$B$14:$K$20,9)/30))</f>
        <v>5.5240836286986728</v>
      </c>
      <c r="CW178" s="173">
        <f ca="1">(VLOOKUP(CW$72,INDIRECT($C$5&amp;"生成成长"),2))/((VLOOKUP($B178,INDIRECT($B$5&amp;"生成成长"),4))/(VLOOKUP(CW$72,INDIRECT($C$5&amp;"生成成长"),5))*(VLOOKUP($B$5,标准坦克设计!$B$24:$U$30,MATCH("对"&amp;LEFT($C$5,2)&amp;"输出",标准坦克设计!$B$23:$U$23,0)))*(VLOOKUP($B178,INDIRECT($B$5&amp;"生成成长"),3))*(VLOOKUP($B$5,标准坦克设计!$B$14:$K$20,9)/30))</f>
        <v>5.9103918598032754</v>
      </c>
      <c r="CX178" s="173">
        <f ca="1">(VLOOKUP(CX$72,INDIRECT($C$5&amp;"生成成长"),2))/((VLOOKUP($B178,INDIRECT($B$5&amp;"生成成长"),4))/(VLOOKUP(CX$72,INDIRECT($C$5&amp;"生成成长"),5))*(VLOOKUP($B$5,标准坦克设计!$B$24:$U$30,MATCH("对"&amp;LEFT($C$5,2)&amp;"输出",标准坦克设计!$B$23:$U$23,0)))*(VLOOKUP($B178,INDIRECT($B$5&amp;"生成成长"),3))*(VLOOKUP($B$5,标准坦克设计!$B$14:$K$20,9)/30))</f>
        <v>6.3097550541710117</v>
      </c>
      <c r="CY178" s="173">
        <f ca="1">(VLOOKUP(CY$72,INDIRECT($C$5&amp;"生成成长"),2))/((VLOOKUP($B178,INDIRECT($B$5&amp;"生成成长"),4))/(VLOOKUP(CY$72,INDIRECT($C$5&amp;"生成成长"),5))*(VLOOKUP($B$5,标准坦克设计!$B$24:$U$30,MATCH("对"&amp;LEFT($C$5,2)&amp;"输出",标准坦克设计!$B$23:$U$23,0)))*(VLOOKUP($B178,INDIRECT($B$5&amp;"生成成长"),3))*(VLOOKUP($B$5,标准坦克设计!$B$14:$K$20,9)/30))</f>
        <v>6.7221732118018833</v>
      </c>
      <c r="CZ178" s="173">
        <f ca="1">(VLOOKUP(CZ$72,INDIRECT($C$5&amp;"生成成长"),2))/((VLOOKUP($B178,INDIRECT($B$5&amp;"生成成长"),4))/(VLOOKUP(CZ$72,INDIRECT($C$5&amp;"生成成长"),5))*(VLOOKUP($B$5,标准坦克设计!$B$24:$U$30,MATCH("对"&amp;LEFT($C$5,2)&amp;"输出",标准坦克设计!$B$23:$U$23,0)))*(VLOOKUP($B178,INDIRECT($B$5&amp;"生成成长"),3))*(VLOOKUP($B$5,标准坦克设计!$B$14:$K$20,9)/30))</f>
        <v>7.1476463326958921</v>
      </c>
      <c r="DA178" s="173">
        <f ca="1">(VLOOKUP(DA$72,INDIRECT($C$5&amp;"生成成长"),2))/((VLOOKUP($B178,INDIRECT($B$5&amp;"生成成长"),4))/(VLOOKUP(DA$72,INDIRECT($C$5&amp;"生成成长"),5))*(VLOOKUP($B$5,标准坦克设计!$B$24:$U$30,MATCH("对"&amp;LEFT($C$5,2)&amp;"输出",标准坦克设计!$B$23:$U$23,0)))*(VLOOKUP($B178,INDIRECT($B$5&amp;"生成成长"),3))*(VLOOKUP($B$5,标准坦克设计!$B$14:$K$20,9)/30))</f>
        <v>7.5861744168530363</v>
      </c>
      <c r="DB178" s="173">
        <f ca="1">(VLOOKUP(DB$72,INDIRECT($C$5&amp;"生成成长"),2))/((VLOOKUP($B178,INDIRECT($B$5&amp;"生成成长"),4))/(VLOOKUP(DB$72,INDIRECT($C$5&amp;"生成成长"),5))*(VLOOKUP($B$5,标准坦克设计!$B$24:$U$30,MATCH("对"&amp;LEFT($C$5,2)&amp;"输出",标准坦克设计!$B$23:$U$23,0)))*(VLOOKUP($B178,INDIRECT($B$5&amp;"生成成长"),3))*(VLOOKUP($B$5,标准坦克设计!$B$14:$K$20,9)/30))</f>
        <v>8.0377574642733158</v>
      </c>
      <c r="DC178" s="173">
        <f ca="1">(VLOOKUP(DC$72,INDIRECT($C$5&amp;"生成成长"),2))/((VLOOKUP($B178,INDIRECT($B$5&amp;"生成成长"),4))/(VLOOKUP(DC$72,INDIRECT($C$5&amp;"生成成长"),5))*(VLOOKUP($B$5,标准坦克设计!$B$24:$U$30,MATCH("对"&amp;LEFT($C$5,2)&amp;"输出",标准坦克设计!$B$23:$U$23,0)))*(VLOOKUP($B178,INDIRECT($B$5&amp;"生成成长"),3))*(VLOOKUP($B$5,标准坦克设计!$B$14:$K$20,9)/30))</f>
        <v>8.5452826476600077</v>
      </c>
      <c r="DD178" s="173">
        <f ca="1">(VLOOKUP(DD$72,INDIRECT($C$5&amp;"生成成长"),2))/((VLOOKUP($B178,INDIRECT($B$5&amp;"生成成长"),4))/(VLOOKUP(DD$72,INDIRECT($C$5&amp;"生成成长"),5))*(VLOOKUP($B$5,标准坦克设计!$B$24:$U$30,MATCH("对"&amp;LEFT($C$5,2)&amp;"输出",标准坦克设计!$B$23:$U$23,0)))*(VLOOKUP($B178,INDIRECT($B$5&amp;"生成成长"),3))*(VLOOKUP($B$5,标准坦克设计!$B$14:$K$20,9)/30))</f>
        <v>9.0683443162524107</v>
      </c>
      <c r="DE178" s="173">
        <f ca="1">(VLOOKUP(DE$72,INDIRECT($C$5&amp;"生成成长"),2))/((VLOOKUP($B178,INDIRECT($B$5&amp;"生成成长"),4))/(VLOOKUP(DE$72,INDIRECT($C$5&amp;"生成成长"),5))*(VLOOKUP($B$5,标准坦克设计!$B$24:$U$30,MATCH("对"&amp;LEFT($C$5,2)&amp;"输出",标准坦克设计!$B$23:$U$23,0)))*(VLOOKUP($B178,INDIRECT($B$5&amp;"生成成长"),3))*(VLOOKUP($B$5,标准坦克设计!$B$14:$K$20,9)/30))</f>
        <v>9.6069424700505319</v>
      </c>
      <c r="DF178" s="173">
        <f ca="1">(VLOOKUP(DF$72,INDIRECT($C$5&amp;"生成成长"),2))/((VLOOKUP($B178,INDIRECT($B$5&amp;"生成成长"),4))/(VLOOKUP(DF$72,INDIRECT($C$5&amp;"生成成长"),5))*(VLOOKUP($B$5,标准坦克设计!$B$24:$U$30,MATCH("对"&amp;LEFT($C$5,2)&amp;"输出",标准坦克设计!$B$23:$U$23,0)))*(VLOOKUP($B178,INDIRECT($B$5&amp;"生成成长"),3))*(VLOOKUP($B$5,标准坦克设计!$B$14:$K$20,9)/30))</f>
        <v>10.161077109054368</v>
      </c>
      <c r="DG178" s="173">
        <f ca="1">(VLOOKUP(DG$72,INDIRECT($C$5&amp;"生成成长"),2))/((VLOOKUP($B178,INDIRECT($B$5&amp;"生成成长"),4))/(VLOOKUP(DG$72,INDIRECT($C$5&amp;"生成成长"),5))*(VLOOKUP($B$5,标准坦克设计!$B$24:$U$30,MATCH("对"&amp;LEFT($C$5,2)&amp;"输出",标准坦克设计!$B$23:$U$23,0)))*(VLOOKUP($B178,INDIRECT($B$5&amp;"生成成长"),3))*(VLOOKUP($B$5,标准坦克设计!$B$14:$K$20,9)/30))</f>
        <v>10.730748233263917</v>
      </c>
      <c r="DH178" s="173">
        <f ca="1">(VLOOKUP(DH$72,INDIRECT($C$5&amp;"生成成长"),2))/((VLOOKUP($B178,INDIRECT($B$5&amp;"生成成长"),4))/(VLOOKUP(DH$72,INDIRECT($C$5&amp;"生成成长"),5))*(VLOOKUP($B$5,标准坦克设计!$B$24:$U$30,MATCH("对"&amp;LEFT($C$5,2)&amp;"输出",标准坦克设计!$B$23:$U$23,0)))*(VLOOKUP($B178,INDIRECT($B$5&amp;"生成成长"),3))*(VLOOKUP($B$5,标准坦克设计!$B$14:$K$20,9)/30))</f>
        <v>11.315955842679186</v>
      </c>
      <c r="DI178" s="173">
        <f ca="1">(VLOOKUP(DI$72,INDIRECT($C$5&amp;"生成成长"),2))/((VLOOKUP($B178,INDIRECT($B$5&amp;"生成成长"),4))/(VLOOKUP(DI$72,INDIRECT($C$5&amp;"生成成长"),5))*(VLOOKUP($B$5,标准坦克设计!$B$24:$U$30,MATCH("对"&amp;LEFT($C$5,2)&amp;"输出",标准坦克设计!$B$23:$U$23,0)))*(VLOOKUP($B178,INDIRECT($B$5&amp;"生成成长"),3))*(VLOOKUP($B$5,标准坦克设计!$B$14:$K$20,9)/30))</f>
        <v>11.916699937300162</v>
      </c>
      <c r="DJ178" s="173">
        <f ca="1">(VLOOKUP(DJ$72,INDIRECT($C$5&amp;"生成成长"),2))/((VLOOKUP($B178,INDIRECT($B$5&amp;"生成成长"),4))/(VLOOKUP(DJ$72,INDIRECT($C$5&amp;"生成成长"),5))*(VLOOKUP($B$5,标准坦克设计!$B$24:$U$30,MATCH("对"&amp;LEFT($C$5,2)&amp;"输出",标准坦克设计!$B$23:$U$23,0)))*(VLOOKUP($B178,INDIRECT($B$5&amp;"生成成长"),3))*(VLOOKUP($B$5,标准坦克设计!$B$14:$K$20,9)/30))</f>
        <v>1.1976580140697193</v>
      </c>
      <c r="DK178" s="173">
        <f ca="1">(VLOOKUP(DK$72,INDIRECT($C$5&amp;"生成成长"),2))/((VLOOKUP($B178,INDIRECT($B$5&amp;"生成成长"),4))/(VLOOKUP(DK$72,INDIRECT($C$5&amp;"生成成长"),5))*(VLOOKUP($B$5,标准坦克设计!$B$24:$U$30,MATCH("对"&amp;LEFT($C$5,2)&amp;"输出",标准坦克设计!$B$23:$U$23,0)))*(VLOOKUP($B178,INDIRECT($B$5&amp;"生成成长"),3))*(VLOOKUP($B$5,标准坦克设计!$B$14:$K$20,9)/30))</f>
        <v>1.3467111690120475</v>
      </c>
      <c r="DL178" s="173">
        <f ca="1">(VLOOKUP(DL$72,INDIRECT($C$5&amp;"生成成长"),2))/((VLOOKUP($B178,INDIRECT($B$5&amp;"生成成长"),4))/(VLOOKUP(DL$72,INDIRECT($C$5&amp;"生成成长"),5))*(VLOOKUP($B$5,标准坦克设计!$B$24:$U$30,MATCH("对"&amp;LEFT($C$5,2)&amp;"输出",标准坦克设计!$B$23:$U$23,0)))*(VLOOKUP($B178,INDIRECT($B$5&amp;"生成成长"),3))*(VLOOKUP($B$5,标准坦克设计!$B$14:$K$20,9)/30))</f>
        <v>1.5045035968825908</v>
      </c>
      <c r="DM178" s="173">
        <f ca="1">(VLOOKUP(DM$72,INDIRECT($C$5&amp;"生成成长"),2))/((VLOOKUP($B178,INDIRECT($B$5&amp;"生成成长"),4))/(VLOOKUP(DM$72,INDIRECT($C$5&amp;"生成成长"),5))*(VLOOKUP($B$5,标准坦克设计!$B$24:$U$30,MATCH("对"&amp;LEFT($C$5,2)&amp;"输出",标准坦克设计!$B$23:$U$23,0)))*(VLOOKUP($B178,INDIRECT($B$5&amp;"生成成长"),3))*(VLOOKUP($B$5,标准坦克设计!$B$14:$K$20,9)/30))</f>
        <v>1.6710352976813485</v>
      </c>
      <c r="DN178" s="173">
        <f ca="1">(VLOOKUP(DN$72,INDIRECT($C$5&amp;"生成成长"),2))/((VLOOKUP($B178,INDIRECT($B$5&amp;"生成成长"),4))/(VLOOKUP(DN$72,INDIRECT($C$5&amp;"生成成长"),5))*(VLOOKUP($B$5,标准坦克设计!$B$24:$U$30,MATCH("对"&amp;LEFT($C$5,2)&amp;"输出",标准坦克设计!$B$23:$U$23,0)))*(VLOOKUP($B178,INDIRECT($B$5&amp;"生成成长"),3))*(VLOOKUP($B$5,标准坦克设计!$B$14:$K$20,9)/30))</f>
        <v>1.8463062714083214</v>
      </c>
      <c r="DO178" s="173">
        <f ca="1">(VLOOKUP(DO$72,INDIRECT($C$5&amp;"生成成长"),2))/((VLOOKUP($B178,INDIRECT($B$5&amp;"生成成长"),4))/(VLOOKUP(DO$72,INDIRECT($C$5&amp;"生成成长"),5))*(VLOOKUP($B$5,标准坦克设计!$B$24:$U$30,MATCH("对"&amp;LEFT($C$5,2)&amp;"输出",标准坦克设计!$B$23:$U$23,0)))*(VLOOKUP($B178,INDIRECT($B$5&amp;"生成成长"),3))*(VLOOKUP($B$5,标准坦克设计!$B$14:$K$20,9)/30))</f>
        <v>2.0303165180635081</v>
      </c>
      <c r="DP178" s="173">
        <f ca="1">(VLOOKUP(DP$72,INDIRECT($C$5&amp;"生成成长"),2))/((VLOOKUP($B178,INDIRECT($B$5&amp;"生成成长"),4))/(VLOOKUP(DP$72,INDIRECT($C$5&amp;"生成成长"),5))*(VLOOKUP($B$5,标准坦克设计!$B$24:$U$30,MATCH("对"&amp;LEFT($C$5,2)&amp;"输出",标准坦克设计!$B$23:$U$23,0)))*(VLOOKUP($B178,INDIRECT($B$5&amp;"生成成长"),3))*(VLOOKUP($B$5,标准坦克设计!$B$14:$K$20,9)/30))</f>
        <v>2.2230660376469102</v>
      </c>
      <c r="DQ178" s="173">
        <f ca="1">(VLOOKUP(DQ$72,INDIRECT($C$5&amp;"生成成长"),2))/((VLOOKUP($B178,INDIRECT($B$5&amp;"生成成长"),4))/(VLOOKUP(DQ$72,INDIRECT($C$5&amp;"生成成长"),5))*(VLOOKUP($B$5,标准坦克设计!$B$24:$U$30,MATCH("对"&amp;LEFT($C$5,2)&amp;"输出",标准坦克设计!$B$23:$U$23,0)))*(VLOOKUP($B178,INDIRECT($B$5&amp;"生成成长"),3))*(VLOOKUP($B$5,标准坦克设计!$B$14:$K$20,9)/30))</f>
        <v>2.4245548301585274</v>
      </c>
      <c r="DR178" s="173">
        <f ca="1">(VLOOKUP(DR$72,INDIRECT($C$5&amp;"生成成长"),2))/((VLOOKUP($B178,INDIRECT($B$5&amp;"生成成长"),4))/(VLOOKUP(DR$72,INDIRECT($C$5&amp;"生成成长"),5))*(VLOOKUP($B$5,标准坦克设计!$B$24:$U$30,MATCH("对"&amp;LEFT($C$5,2)&amp;"输出",标准坦克设计!$B$23:$U$23,0)))*(VLOOKUP($B178,INDIRECT($B$5&amp;"生成成长"),3))*(VLOOKUP($B$5,标准坦克设计!$B$14:$K$20,9)/30))</f>
        <v>2.6347828955983581</v>
      </c>
      <c r="DS178" s="173">
        <f ca="1">(VLOOKUP(DS$72,INDIRECT($C$5&amp;"生成成长"),2))/((VLOOKUP($B178,INDIRECT($B$5&amp;"生成成长"),4))/(VLOOKUP(DS$72,INDIRECT($C$5&amp;"生成成长"),5))*(VLOOKUP($B$5,标准坦克设计!$B$24:$U$30,MATCH("对"&amp;LEFT($C$5,2)&amp;"输出",标准坦克设计!$B$23:$U$23,0)))*(VLOOKUP($B178,INDIRECT($B$5&amp;"生成成长"),3))*(VLOOKUP($B$5,标准坦克设计!$B$14:$K$20,9)/30))</f>
        <v>2.8537502339664047</v>
      </c>
      <c r="DT178" s="173">
        <f ca="1">(VLOOKUP(DT$72,INDIRECT($C$5&amp;"生成成长"),2))/((VLOOKUP($B178,INDIRECT($B$5&amp;"生成成长"),4))/(VLOOKUP(DT$72,INDIRECT($C$5&amp;"生成成长"),5))*(VLOOKUP($B$5,标准坦克设计!$B$24:$U$30,MATCH("对"&amp;LEFT($C$5,2)&amp;"输出",标准坦克设计!$B$23:$U$23,0)))*(VLOOKUP($B178,INDIRECT($B$5&amp;"生成成长"),3))*(VLOOKUP($B$5,标准坦克设计!$B$14:$K$20,9)/30))</f>
        <v>3.1332451292817152</v>
      </c>
      <c r="DU178" s="173">
        <f ca="1">(VLOOKUP(DU$72,INDIRECT($C$5&amp;"生成成长"),2))/((VLOOKUP($B178,INDIRECT($B$5&amp;"生成成长"),4))/(VLOOKUP(DU$72,INDIRECT($C$5&amp;"生成成长"),5))*(VLOOKUP($B$5,标准坦克设计!$B$24:$U$30,MATCH("对"&amp;LEFT($C$5,2)&amp;"输出",标准坦克设计!$B$23:$U$23,0)))*(VLOOKUP($B178,INDIRECT($B$5&amp;"生成成长"),3))*(VLOOKUP($B$5,标准坦克设计!$B$14:$K$20,9)/30))</f>
        <v>3.4257949878601619</v>
      </c>
      <c r="DV178" s="173">
        <f ca="1">(VLOOKUP(DV$72,INDIRECT($C$5&amp;"生成成长"),2))/((VLOOKUP($B178,INDIRECT($B$5&amp;"生成成长"),4))/(VLOOKUP(DV$72,INDIRECT($C$5&amp;"生成成长"),5))*(VLOOKUP($B$5,标准坦克设计!$B$24:$U$30,MATCH("对"&amp;LEFT($C$5,2)&amp;"输出",标准坦克设计!$B$23:$U$23,0)))*(VLOOKUP($B178,INDIRECT($B$5&amp;"生成成长"),3))*(VLOOKUP($B$5,标准坦克设计!$B$14:$K$20,9)/30))</f>
        <v>3.7313998097017431</v>
      </c>
      <c r="DW178" s="173">
        <f ca="1">(VLOOKUP(DW$72,INDIRECT($C$5&amp;"生成成长"),2))/((VLOOKUP($B178,INDIRECT($B$5&amp;"生成成长"),4))/(VLOOKUP(DW$72,INDIRECT($C$5&amp;"生成成长"),5))*(VLOOKUP($B$5,标准坦克设计!$B$24:$U$30,MATCH("对"&amp;LEFT($C$5,2)&amp;"输出",标准坦克设计!$B$23:$U$23,0)))*(VLOOKUP($B178,INDIRECT($B$5&amp;"生成成长"),3))*(VLOOKUP($B$5,标准坦克设计!$B$14:$K$20,9)/30))</f>
        <v>4.050059594806461</v>
      </c>
      <c r="DX178" s="173">
        <f ca="1">(VLOOKUP(DX$72,INDIRECT($C$5&amp;"生成成长"),2))/((VLOOKUP($B178,INDIRECT($B$5&amp;"生成成长"),4))/(VLOOKUP(DX$72,INDIRECT($C$5&amp;"生成成长"),5))*(VLOOKUP($B$5,标准坦克设计!$B$24:$U$30,MATCH("对"&amp;LEFT($C$5,2)&amp;"输出",标准坦克设计!$B$23:$U$23,0)))*(VLOOKUP($B178,INDIRECT($B$5&amp;"生成成长"),3))*(VLOOKUP($B$5,标准坦克设计!$B$14:$K$20,9)/30))</f>
        <v>4.381774343174313</v>
      </c>
      <c r="DY178" s="173">
        <f ca="1">(VLOOKUP(DY$72,INDIRECT($C$5&amp;"生成成长"),2))/((VLOOKUP($B178,INDIRECT($B$5&amp;"生成成长"),4))/(VLOOKUP(DY$72,INDIRECT($C$5&amp;"生成成长"),5))*(VLOOKUP($B$5,标准坦克设计!$B$24:$U$30,MATCH("对"&amp;LEFT($C$5,2)&amp;"输出",标准坦克设计!$B$23:$U$23,0)))*(VLOOKUP($B178,INDIRECT($B$5&amp;"生成成长"),3))*(VLOOKUP($B$5,标准坦克设计!$B$14:$K$20,9)/30))</f>
        <v>1.9680087388530889</v>
      </c>
      <c r="DZ178" s="173">
        <f ca="1">(VLOOKUP(DZ$72,INDIRECT($C$5&amp;"生成成长"),2))/((VLOOKUP($B178,INDIRECT($B$5&amp;"生成成长"),4))/(VLOOKUP(DZ$72,INDIRECT($C$5&amp;"生成成长"),5))*(VLOOKUP($B$5,标准坦克设计!$B$24:$U$30,MATCH("对"&amp;LEFT($C$5,2)&amp;"输出",标准坦克设计!$B$23:$U$23,0)))*(VLOOKUP($B178,INDIRECT($B$5&amp;"生成成长"),3))*(VLOOKUP($B$5,标准坦克设计!$B$14:$K$20,9)/30))</f>
        <v>2.1794775652642104</v>
      </c>
      <c r="EA178" s="173">
        <f ca="1">(VLOOKUP(EA$72,INDIRECT($C$5&amp;"生成成长"),2))/((VLOOKUP($B178,INDIRECT($B$5&amp;"生成成长"),4))/(VLOOKUP(EA$72,INDIRECT($C$5&amp;"生成成长"),5))*(VLOOKUP($B$5,标准坦克设计!$B$24:$U$30,MATCH("对"&amp;LEFT($C$5,2)&amp;"输出",标准坦克设计!$B$23:$U$23,0)))*(VLOOKUP($B178,INDIRECT($B$5&amp;"生成成长"),3))*(VLOOKUP($B$5,标准坦克设计!$B$14:$K$20,9)/30))</f>
        <v>2.401735617512633</v>
      </c>
      <c r="EB178" s="173">
        <f ca="1">(VLOOKUP(EB$72,INDIRECT($C$5&amp;"生成成长"),2))/((VLOOKUP($B178,INDIRECT($B$5&amp;"生成成长"),4))/(VLOOKUP(EB$72,INDIRECT($C$5&amp;"生成成长"),5))*(VLOOKUP($B$5,标准坦克设计!$B$24:$U$30,MATCH("对"&amp;LEFT($C$5,2)&amp;"输出",标准坦克设计!$B$23:$U$23,0)))*(VLOOKUP($B178,INDIRECT($B$5&amp;"生成成长"),3))*(VLOOKUP($B$5,标准坦克设计!$B$14:$K$20,9)/30))</f>
        <v>2.6347828955983581</v>
      </c>
      <c r="EC178" s="173">
        <f ca="1">(VLOOKUP(EC$72,INDIRECT($C$5&amp;"生成成长"),2))/((VLOOKUP($B178,INDIRECT($B$5&amp;"生成成长"),4))/(VLOOKUP(EC$72,INDIRECT($C$5&amp;"生成成长"),5))*(VLOOKUP($B$5,标准坦克设计!$B$24:$U$30,MATCH("对"&amp;LEFT($C$5,2)&amp;"输出",标准坦克设计!$B$23:$U$23,0)))*(VLOOKUP($B178,INDIRECT($B$5&amp;"生成成长"),3))*(VLOOKUP($B$5,标准坦克设计!$B$14:$K$20,9)/30))</f>
        <v>2.8786193995213858</v>
      </c>
      <c r="ED178" s="173">
        <f ca="1">(VLOOKUP(ED$72,INDIRECT($C$5&amp;"生成成长"),2))/((VLOOKUP($B178,INDIRECT($B$5&amp;"生成成长"),4))/(VLOOKUP(ED$72,INDIRECT($C$5&amp;"生成成长"),5))*(VLOOKUP($B$5,标准坦克设计!$B$24:$U$30,MATCH("对"&amp;LEFT($C$5,2)&amp;"输出",标准坦克设计!$B$23:$U$23,0)))*(VLOOKUP($B178,INDIRECT($B$5&amp;"生成成长"),3))*(VLOOKUP($B$5,标准坦克设计!$B$14:$K$20,9)/30))</f>
        <v>3.1332451292817152</v>
      </c>
      <c r="EE178" s="173">
        <f ca="1">(VLOOKUP(EE$72,INDIRECT($C$5&amp;"生成成长"),2))/((VLOOKUP($B178,INDIRECT($B$5&amp;"生成成长"),4))/(VLOOKUP(EE$72,INDIRECT($C$5&amp;"生成成长"),5))*(VLOOKUP($B$5,标准坦克设计!$B$24:$U$30,MATCH("对"&amp;LEFT($C$5,2)&amp;"输出",标准坦克设计!$B$23:$U$23,0)))*(VLOOKUP($B178,INDIRECT($B$5&amp;"生成成长"),3))*(VLOOKUP($B$5,标准坦克设计!$B$14:$K$20,9)/30))</f>
        <v>3.3986600848793467</v>
      </c>
      <c r="EF178" s="173">
        <f ca="1">(VLOOKUP(EF$72,INDIRECT($C$5&amp;"生成成长"),2))/((VLOOKUP($B178,INDIRECT($B$5&amp;"生成成长"),4))/(VLOOKUP(EF$72,INDIRECT($C$5&amp;"生成成长"),5))*(VLOOKUP($B$5,标准坦克设计!$B$24:$U$30,MATCH("对"&amp;LEFT($C$5,2)&amp;"输出",标准坦克设计!$B$23:$U$23,0)))*(VLOOKUP($B178,INDIRECT($B$5&amp;"生成成长"),3))*(VLOOKUP($B$5,标准坦克设计!$B$14:$K$20,9)/30))</f>
        <v>3.6748642663142799</v>
      </c>
      <c r="EG178" s="173">
        <f ca="1">(VLOOKUP(EG$72,INDIRECT($C$5&amp;"生成成长"),2))/((VLOOKUP($B178,INDIRECT($B$5&amp;"生成成长"),4))/(VLOOKUP(EG$72,INDIRECT($C$5&amp;"生成成长"),5))*(VLOOKUP($B$5,标准坦克设计!$B$24:$U$30,MATCH("对"&amp;LEFT($C$5,2)&amp;"输出",标准坦克设计!$B$23:$U$23,0)))*(VLOOKUP($B178,INDIRECT($B$5&amp;"生成成长"),3))*(VLOOKUP($B$5,标准坦克设计!$B$14:$K$20,9)/30))</f>
        <v>3.9618576735865156</v>
      </c>
      <c r="EH178" s="173">
        <f ca="1">(VLOOKUP(EH$72,INDIRECT($C$5&amp;"生成成长"),2))/((VLOOKUP($B178,INDIRECT($B$5&amp;"生成成长"),4))/(VLOOKUP(EH$72,INDIRECT($C$5&amp;"生成成长"),5))*(VLOOKUP($B$5,标准坦克设计!$B$24:$U$30,MATCH("对"&amp;LEFT($C$5,2)&amp;"输出",标准坦克设计!$B$23:$U$23,0)))*(VLOOKUP($B178,INDIRECT($B$5&amp;"生成成长"),3))*(VLOOKUP($B$5,标准坦克设计!$B$14:$K$20,9)/30))</f>
        <v>4.2596403066960544</v>
      </c>
      <c r="EI178" s="173">
        <f ca="1">(VLOOKUP(EI$72,INDIRECT($C$5&amp;"生成成长"),2))/((VLOOKUP($B178,INDIRECT($B$5&amp;"生成成长"),4))/(VLOOKUP(EI$72,INDIRECT($C$5&amp;"生成成长"),5))*(VLOOKUP($B$5,标准坦克设计!$B$24:$U$30,MATCH("对"&amp;LEFT($C$5,2)&amp;"输出",标准坦克设计!$B$23:$U$23,0)))*(VLOOKUP($B178,INDIRECT($B$5&amp;"生成成长"),3))*(VLOOKUP($B$5,标准坦克设计!$B$14:$K$20,9)/30))</f>
        <v>4.5682121656428931</v>
      </c>
      <c r="EJ178" s="173">
        <f ca="1">(VLOOKUP(EJ$72,INDIRECT($C$5&amp;"生成成长"),2))/((VLOOKUP($B178,INDIRECT($B$5&amp;"生成成长"),4))/(VLOOKUP(EJ$72,INDIRECT($C$5&amp;"生成成长"),5))*(VLOOKUP($B$5,标准坦克设计!$B$24:$U$30,MATCH("对"&amp;LEFT($C$5,2)&amp;"输出",标准坦克设计!$B$23:$U$23,0)))*(VLOOKUP($B178,INDIRECT($B$5&amp;"生成成长"),3))*(VLOOKUP($B$5,标准坦克设计!$B$14:$K$20,9)/30))</f>
        <v>4.8875732504270362</v>
      </c>
      <c r="EK178" s="173">
        <f ca="1">(VLOOKUP(EK$72,INDIRECT($C$5&amp;"生成成长"),2))/((VLOOKUP($B178,INDIRECT($B$5&amp;"生成成长"),4))/(VLOOKUP(EK$72,INDIRECT($C$5&amp;"生成成长"),5))*(VLOOKUP($B$5,标准坦克设计!$B$24:$U$30,MATCH("对"&amp;LEFT($C$5,2)&amp;"输出",标准坦克设计!$B$23:$U$23,0)))*(VLOOKUP($B178,INDIRECT($B$5&amp;"生成成长"),3))*(VLOOKUP($B$5,标准坦克设计!$B$14:$K$20,9)/30))</f>
        <v>5.2850483302732458</v>
      </c>
      <c r="EL178" s="173">
        <f ca="1">(VLOOKUP(EL$72,INDIRECT($C$5&amp;"生成成长"),2))/((VLOOKUP($B178,INDIRECT($B$5&amp;"生成成长"),4))/(VLOOKUP(EL$72,INDIRECT($C$5&amp;"生成成长"),5))*(VLOOKUP($B$5,标准坦克设计!$B$24:$U$30,MATCH("对"&amp;LEFT($C$5,2)&amp;"输出",标准坦克设计!$B$23:$U$23,0)))*(VLOOKUP($B178,INDIRECT($B$5&amp;"生成成长"),3))*(VLOOKUP($B$5,标准坦克设计!$B$14:$K$20,9)/30))</f>
        <v>5.6980598953251693</v>
      </c>
      <c r="EM178" s="173">
        <f ca="1">(VLOOKUP(EM$72,INDIRECT($C$5&amp;"生成成长"),2))/((VLOOKUP($B178,INDIRECT($B$5&amp;"生成成长"),4))/(VLOOKUP(EM$72,INDIRECT($C$5&amp;"生成成长"),5))*(VLOOKUP($B$5,标准坦克设计!$B$24:$U$30,MATCH("对"&amp;LEFT($C$5,2)&amp;"输出",标准坦克设计!$B$23:$U$23,0)))*(VLOOKUP($B178,INDIRECT($B$5&amp;"生成成长"),3))*(VLOOKUP($B$5,标准坦克设计!$B$14:$K$20,9)/30))</f>
        <v>6.1266079455828084</v>
      </c>
      <c r="EN178" s="173">
        <f ca="1">(VLOOKUP(EN$72,INDIRECT($C$5&amp;"生成成长"),2))/((VLOOKUP($B178,INDIRECT($B$5&amp;"生成成长"),4))/(VLOOKUP(EN$72,INDIRECT($C$5&amp;"生成成长"),5))*(VLOOKUP($B$5,标准坦克设计!$B$24:$U$30,MATCH("对"&amp;LEFT($C$5,2)&amp;"输出",标准坦克设计!$B$23:$U$23,0)))*(VLOOKUP($B178,INDIRECT($B$5&amp;"生成成长"),3))*(VLOOKUP($B$5,标准坦克设计!$B$14:$K$20,9)/30))</f>
        <v>6.5706924810461631</v>
      </c>
      <c r="EO178" s="173">
        <f ca="1">(VLOOKUP(EO$72,INDIRECT($C$5&amp;"生成成长"),2))/((VLOOKUP($B178,INDIRECT($B$5&amp;"生成成长"),4))/(VLOOKUP(EO$72,INDIRECT($C$5&amp;"生成成长"),5))*(VLOOKUP($B$5,标准坦克设计!$B$24:$U$30,MATCH("对"&amp;LEFT($C$5,2)&amp;"输出",标准坦克设计!$B$23:$U$23,0)))*(VLOOKUP($B178,INDIRECT($B$5&amp;"生成成长"),3))*(VLOOKUP($B$5,标准坦克设计!$B$14:$K$20,9)/30))</f>
        <v>7.0303135017152307</v>
      </c>
      <c r="EP178" s="173">
        <f ca="1">(VLOOKUP(EP$72,INDIRECT($C$5&amp;"生成成长"),2))/((VLOOKUP($B178,INDIRECT($B$5&amp;"生成成长"),4))/(VLOOKUP(EP$72,INDIRECT($C$5&amp;"生成成长"),5))*(VLOOKUP($B$5,标准坦克设计!$B$24:$U$30,MATCH("对"&amp;LEFT($C$5,2)&amp;"输出",标准坦克设计!$B$23:$U$23,0)))*(VLOOKUP($B178,INDIRECT($B$5&amp;"生成成长"),3))*(VLOOKUP($B$5,标准坦克设计!$B$14:$K$20,9)/30))</f>
        <v>7.5054710075900166</v>
      </c>
      <c r="EQ178" s="173">
        <f ca="1">(VLOOKUP(EQ$72,INDIRECT($C$5&amp;"生成成长"),2))/((VLOOKUP($B178,INDIRECT($B$5&amp;"生成成长"),4))/(VLOOKUP(EQ$72,INDIRECT($C$5&amp;"生成成长"),5))*(VLOOKUP($B$5,标准坦克设计!$B$24:$U$30,MATCH("对"&amp;LEFT($C$5,2)&amp;"输出",标准坦克设计!$B$23:$U$23,0)))*(VLOOKUP($B178,INDIRECT($B$5&amp;"生成成长"),3))*(VLOOKUP($B$5,标准坦克设计!$B$14:$K$20,9)/30))</f>
        <v>3.3179027294871402</v>
      </c>
      <c r="ER178" s="173">
        <f ca="1">(VLOOKUP(ER$72,INDIRECT($C$5&amp;"生成成长"),2))/((VLOOKUP($B178,INDIRECT($B$5&amp;"生成成长"),4))/(VLOOKUP(ER$72,INDIRECT($C$5&amp;"生成成长"),5))*(VLOOKUP($B$5,标准坦克设计!$B$24:$U$30,MATCH("对"&amp;LEFT($C$5,2)&amp;"输出",标准坦克设计!$B$23:$U$23,0)))*(VLOOKUP($B178,INDIRECT($B$5&amp;"生成成长"),3))*(VLOOKUP($B$5,标准坦克设计!$B$14:$K$20,9)/30))</f>
        <v>3.6187602919603101</v>
      </c>
      <c r="ES178" s="173">
        <f ca="1">(VLOOKUP(ES$72,INDIRECT($C$5&amp;"生成成长"),2))/((VLOOKUP($B178,INDIRECT($B$5&amp;"生成成长"),4))/(VLOOKUP(ES$72,INDIRECT($C$5&amp;"生成成长"),5))*(VLOOKUP($B$5,标准坦克设计!$B$24:$U$30,MATCH("对"&amp;LEFT($C$5,2)&amp;"输出",标准坦克设计!$B$23:$U$23,0)))*(VLOOKUP($B178,INDIRECT($B$5&amp;"生成成长"),3))*(VLOOKUP($B$5,标准坦克设计!$B$14:$K$20,9)/30))</f>
        <v>3.9326728176966133</v>
      </c>
      <c r="ET178" s="173">
        <f ca="1">(VLOOKUP(ET$72,INDIRECT($C$5&amp;"生成成长"),2))/((VLOOKUP($B178,INDIRECT($B$5&amp;"生成成长"),4))/(VLOOKUP(ET$72,INDIRECT($C$5&amp;"生成成长"),5))*(VLOOKUP($B$5,标准坦克设计!$B$24:$U$30,MATCH("对"&amp;LEFT($C$5,2)&amp;"输出",标准坦克设计!$B$23:$U$23,0)))*(VLOOKUP($B178,INDIRECT($B$5&amp;"生成成长"),3))*(VLOOKUP($B$5,标准坦克设计!$B$14:$K$20,9)/30))</f>
        <v>4.2596403066960544</v>
      </c>
      <c r="EU178" s="173">
        <f ca="1">(VLOOKUP(EU$72,INDIRECT($C$5&amp;"生成成长"),2))/((VLOOKUP($B178,INDIRECT($B$5&amp;"生成成长"),4))/(VLOOKUP(EU$72,INDIRECT($C$5&amp;"生成成长"),5))*(VLOOKUP($B$5,标准坦克设计!$B$24:$U$30,MATCH("对"&amp;LEFT($C$5,2)&amp;"输出",标准坦克设计!$B$23:$U$23,0)))*(VLOOKUP($B178,INDIRECT($B$5&amp;"生成成长"),3))*(VLOOKUP($B$5,标准坦克设计!$B$14:$K$20,9)/30))</f>
        <v>4.5996627589586296</v>
      </c>
      <c r="EV178" s="173">
        <f ca="1">(VLOOKUP(EV$72,INDIRECT($C$5&amp;"生成成长"),2))/((VLOOKUP($B178,INDIRECT($B$5&amp;"生成成长"),4))/(VLOOKUP(EV$72,INDIRECT($C$5&amp;"生成成长"),5))*(VLOOKUP($B$5,标准坦克设计!$B$24:$U$30,MATCH("对"&amp;LEFT($C$5,2)&amp;"输出",标准坦克设计!$B$23:$U$23,0)))*(VLOOKUP($B178,INDIRECT($B$5&amp;"生成成长"),3))*(VLOOKUP($B$5,标准坦克设计!$B$14:$K$20,9)/30))</f>
        <v>4.9527401744843411</v>
      </c>
      <c r="EW178" s="173">
        <f ca="1">(VLOOKUP(EW$72,INDIRECT($C$5&amp;"生成成长"),2))/((VLOOKUP($B178,INDIRECT($B$5&amp;"生成成长"),4))/(VLOOKUP(EW$72,INDIRECT($C$5&amp;"生成成长"),5))*(VLOOKUP($B$5,标准坦克设计!$B$24:$U$30,MATCH("对"&amp;LEFT($C$5,2)&amp;"输出",标准坦克设计!$B$23:$U$23,0)))*(VLOOKUP($B178,INDIRECT($B$5&amp;"生成成长"),3))*(VLOOKUP($B$5,标准坦克设计!$B$14:$K$20,9)/30))</f>
        <v>5.3188725532731871</v>
      </c>
      <c r="EX178" s="173">
        <f ca="1">(VLOOKUP(EX$72,INDIRECT($C$5&amp;"生成成长"),2))/((VLOOKUP($B178,INDIRECT($B$5&amp;"生成成长"),4))/(VLOOKUP(EX$72,INDIRECT($C$5&amp;"生成成长"),5))*(VLOOKUP($B$5,标准坦克设计!$B$24:$U$30,MATCH("对"&amp;LEFT($C$5,2)&amp;"输出",标准坦克设计!$B$23:$U$23,0)))*(VLOOKUP($B178,INDIRECT($B$5&amp;"生成成长"),3))*(VLOOKUP($B$5,标准坦克设计!$B$14:$K$20,9)/30))</f>
        <v>5.6980598953251693</v>
      </c>
      <c r="EY178" s="173">
        <f ca="1">(VLOOKUP(EY$72,INDIRECT($C$5&amp;"生成成长"),2))/((VLOOKUP($B178,INDIRECT($B$5&amp;"生成成长"),4))/(VLOOKUP(EY$72,INDIRECT($C$5&amp;"生成成长"),5))*(VLOOKUP($B$5,标准坦克设计!$B$24:$U$30,MATCH("对"&amp;LEFT($C$5,2)&amp;"输出",标准坦克设计!$B$23:$U$23,0)))*(VLOOKUP($B178,INDIRECT($B$5&amp;"生成成长"),3))*(VLOOKUP($B$5,标准坦克设计!$B$14:$K$20,9)/30))</f>
        <v>6.0903022006402869</v>
      </c>
      <c r="EZ178" s="173">
        <f ca="1">(VLOOKUP(EZ$72,INDIRECT($C$5&amp;"生成成长"),2))/((VLOOKUP($B178,INDIRECT($B$5&amp;"生成成长"),4))/(VLOOKUP(EZ$72,INDIRECT($C$5&amp;"生成成长"),5))*(VLOOKUP($B$5,标准坦克设计!$B$24:$U$30,MATCH("对"&amp;LEFT($C$5,2)&amp;"输出",标准坦克设计!$B$23:$U$23,0)))*(VLOOKUP($B178,INDIRECT($B$5&amp;"生成成长"),3))*(VLOOKUP($B$5,标准坦克设计!$B$14:$K$20,9)/30))</f>
        <v>6.4955994692185399</v>
      </c>
      <c r="FA178" s="173">
        <f ca="1">(VLOOKUP(FA$72,INDIRECT($C$5&amp;"生成成长"),2))/((VLOOKUP($B178,INDIRECT($B$5&amp;"生成成长"),4))/(VLOOKUP(FA$72,INDIRECT($C$5&amp;"生成成长"),5))*(VLOOKUP($B$5,标准坦克设计!$B$24:$U$30,MATCH("对"&amp;LEFT($C$5,2)&amp;"输出",标准坦克设计!$B$23:$U$23,0)))*(VLOOKUP($B178,INDIRECT($B$5&amp;"生成成长"),3))*(VLOOKUP($B$5,标准坦克设计!$B$14:$K$20,9)/30))</f>
        <v>6.9139517010599301</v>
      </c>
      <c r="FB178" s="173">
        <f ca="1">(VLOOKUP(FB$72,INDIRECT($C$5&amp;"生成成长"),2))/((VLOOKUP($B178,INDIRECT($B$5&amp;"生成成长"),4))/(VLOOKUP(FB$72,INDIRECT($C$5&amp;"生成成长"),5))*(VLOOKUP($B$5,标准坦克设计!$B$24:$U$30,MATCH("对"&amp;LEFT($C$5,2)&amp;"输出",标准坦克设计!$B$23:$U$23,0)))*(VLOOKUP($B178,INDIRECT($B$5&amp;"生成成长"),3))*(VLOOKUP($B$5,标准坦克设计!$B$14:$K$20,9)/30))</f>
        <v>7.3453588961644529</v>
      </c>
      <c r="FC178" s="173">
        <f ca="1">(VLOOKUP(FC$72,INDIRECT($C$5&amp;"生成成长"),2))/((VLOOKUP($B178,INDIRECT($B$5&amp;"生成成长"),4))/(VLOOKUP(FC$72,INDIRECT($C$5&amp;"生成成长"),5))*(VLOOKUP($B$5,标准坦克设计!$B$24:$U$30,MATCH("对"&amp;LEFT($C$5,2)&amp;"输出",标准坦克设计!$B$23:$U$23,0)))*(VLOOKUP($B178,INDIRECT($B$5&amp;"生成成长"),3))*(VLOOKUP($B$5,标准坦克设计!$B$14:$K$20,9)/30))</f>
        <v>7.7898210545321138</v>
      </c>
      <c r="FD178" s="173">
        <f ca="1">(VLOOKUP(FD$72,INDIRECT($C$5&amp;"生成成长"),2))/((VLOOKUP($B178,INDIRECT($B$5&amp;"生成成长"),4))/(VLOOKUP(FD$72,INDIRECT($C$5&amp;"生成成长"),5))*(VLOOKUP($B$5,标准坦克设计!$B$24:$U$30,MATCH("对"&amp;LEFT($C$5,2)&amp;"输出",标准坦克设计!$B$23:$U$23,0)))*(VLOOKUP($B178,INDIRECT($B$5&amp;"生成成长"),3))*(VLOOKUP($B$5,标准坦克设计!$B$14:$K$20,9)/30))</f>
        <v>8.2473381761629074</v>
      </c>
      <c r="FE178" s="173">
        <f ca="1">(VLOOKUP(FE$72,INDIRECT($C$5&amp;"生成成长"),2))/((VLOOKUP($B178,INDIRECT($B$5&amp;"生成成长"),4))/(VLOOKUP(FE$72,INDIRECT($C$5&amp;"生成成长"),5))*(VLOOKUP($B$5,标准坦克设计!$B$24:$U$30,MATCH("对"&amp;LEFT($C$5,2)&amp;"输出",标准坦克设计!$B$23:$U$23,0)))*(VLOOKUP($B178,INDIRECT($B$5&amp;"生成成长"),3))*(VLOOKUP($B$5,标准坦克设计!$B$14:$K$20,9)/30))</f>
        <v>8.8048714213054939</v>
      </c>
      <c r="FF178" s="173">
        <f ca="1">(VLOOKUP(FF$72,INDIRECT($C$5&amp;"生成成长"),2))/((VLOOKUP($B178,INDIRECT($B$5&amp;"生成成长"),4))/(VLOOKUP(FF$72,INDIRECT($C$5&amp;"生成成长"),5))*(VLOOKUP($B$5,标准坦克设计!$B$24:$U$30,MATCH("对"&amp;LEFT($C$5,2)&amp;"输出",标准坦克设计!$B$23:$U$23,0)))*(VLOOKUP($B178,INDIRECT($B$5&amp;"生成成长"),3))*(VLOOKUP($B$5,标准坦克设计!$B$14:$K$20,9)/30))</f>
        <v>9.3806384581131219</v>
      </c>
      <c r="FG178" s="173">
        <f ca="1">(VLOOKUP(FG$72,INDIRECT($C$5&amp;"生成成长"),2))/((VLOOKUP($B178,INDIRECT($B$5&amp;"生成成长"),4))/(VLOOKUP(FG$72,INDIRECT($C$5&amp;"生成成长"),5))*(VLOOKUP($B$5,标准坦克设计!$B$24:$U$30,MATCH("对"&amp;LEFT($C$5,2)&amp;"输出",标准坦克设计!$B$23:$U$23,0)))*(VLOOKUP($B178,INDIRECT($B$5&amp;"生成成长"),3))*(VLOOKUP($B$5,标准坦克设计!$B$14:$K$20,9)/30))</f>
        <v>9.9746392865857878</v>
      </c>
      <c r="FH178" s="173">
        <f ca="1">(VLOOKUP(FH$72,INDIRECT($C$5&amp;"生成成长"),2))/((VLOOKUP($B178,INDIRECT($B$5&amp;"生成成长"),4))/(VLOOKUP(FH$72,INDIRECT($C$5&amp;"生成成长"),5))*(VLOOKUP($B$5,标准坦克设计!$B$24:$U$30,MATCH("对"&amp;LEFT($C$5,2)&amp;"输出",标准坦克设计!$B$23:$U$23,0)))*(VLOOKUP($B178,INDIRECT($B$5&amp;"生成成长"),3))*(VLOOKUP($B$5,标准坦克设计!$B$14:$K$20,9)/30))</f>
        <v>10.586873906723493</v>
      </c>
      <c r="FI178" s="173">
        <f ca="1">(VLOOKUP(FI$72,INDIRECT($C$5&amp;"生成成长"),2))/((VLOOKUP($B178,INDIRECT($B$5&amp;"生成成长"),4))/(VLOOKUP(FI$72,INDIRECT($C$5&amp;"生成成长"),5))*(VLOOKUP($B$5,标准坦克设计!$B$24:$U$30,MATCH("对"&amp;LEFT($C$5,2)&amp;"输出",标准坦克设计!$B$23:$U$23,0)))*(VLOOKUP($B178,INDIRECT($B$5&amp;"生成成长"),3))*(VLOOKUP($B$5,标准坦克设计!$B$14:$K$20,9)/30))</f>
        <v>11.21734231852624</v>
      </c>
      <c r="FJ178" s="173">
        <f ca="1">(VLOOKUP(FJ$72,INDIRECT($C$5&amp;"生成成长"),2))/((VLOOKUP($B178,INDIRECT($B$5&amp;"生成成长"),4))/(VLOOKUP(FJ$72,INDIRECT($C$5&amp;"生成成长"),5))*(VLOOKUP($B$5,标准坦克设计!$B$24:$U$30,MATCH("对"&amp;LEFT($C$5,2)&amp;"输出",标准坦克设计!$B$23:$U$23,0)))*(VLOOKUP($B178,INDIRECT($B$5&amp;"生成成长"),3))*(VLOOKUP($B$5,标准坦克设计!$B$14:$K$20,9)/30))</f>
        <v>11.866044521994031</v>
      </c>
      <c r="FK178" s="173">
        <f ca="1">(VLOOKUP(FK$72,INDIRECT($C$5&amp;"生成成长"),2))/((VLOOKUP($B178,INDIRECT($B$5&amp;"生成成长"),4))/(VLOOKUP(FK$72,INDIRECT($C$5&amp;"生成成长"),5))*(VLOOKUP($B$5,标准坦克设计!$B$24:$U$30,MATCH("对"&amp;LEFT($C$5,2)&amp;"输出",标准坦克设计!$B$23:$U$23,0)))*(VLOOKUP($B178,INDIRECT($B$5&amp;"生成成长"),3))*(VLOOKUP($B$5,标准坦克设计!$B$14:$K$20,9)/30))</f>
        <v>12.532980517126861</v>
      </c>
    </row>
    <row r="179" spans="1:167" x14ac:dyDescent="0.15">
      <c r="A179" s="171" t="str">
        <f t="shared" si="12"/>
        <v>T5中品质17级</v>
      </c>
      <c r="B179" s="172">
        <v>20517</v>
      </c>
      <c r="C179" s="173">
        <f ca="1">(VLOOKUP(C$72,INDIRECT($C$5&amp;"生成成长"),2))/((VLOOKUP($B179,INDIRECT($B$5&amp;"生成成长"),4))/(VLOOKUP(C$72,INDIRECT($C$5&amp;"生成成长"),5))*(VLOOKUP($B$5,标准坦克设计!$B$24:$U$30,MATCH("对"&amp;LEFT($C$5,2)&amp;"输出",标准坦克设计!$B$23:$U$23,0)))*(VLOOKUP($B179,INDIRECT($B$5&amp;"生成成长"),3))*(VLOOKUP($B$5,标准坦克设计!$B$14:$K$20,9)/30))</f>
        <v>0.5100822006908331</v>
      </c>
      <c r="D179" s="173">
        <f ca="1">(VLOOKUP(D$72,INDIRECT($C$5&amp;"生成成长"),2))/((VLOOKUP($B179,INDIRECT($B$5&amp;"生成成长"),4))/(VLOOKUP(D$72,INDIRECT($C$5&amp;"生成成长"),5))*(VLOOKUP($B$5,标准坦克设计!$B$24:$U$30,MATCH("对"&amp;LEFT($C$5,2)&amp;"输出",标准坦克设计!$B$23:$U$23,0)))*(VLOOKUP($B179,INDIRECT($B$5&amp;"生成成长"),3))*(VLOOKUP($B$5,标准坦克设计!$B$14:$K$20,9)/30))</f>
        <v>0.57312836069621997</v>
      </c>
      <c r="E179" s="173">
        <f ca="1">(VLOOKUP(E$72,INDIRECT($C$5&amp;"生成成长"),2))/((VLOOKUP($B179,INDIRECT($B$5&amp;"生成成长"),4))/(VLOOKUP(E$72,INDIRECT($C$5&amp;"生成成长"),5))*(VLOOKUP($B$5,标准坦克设计!$B$24:$U$30,MATCH("对"&amp;LEFT($C$5,2)&amp;"输出",标准坦克设计!$B$23:$U$23,0)))*(VLOOKUP($B179,INDIRECT($B$5&amp;"生成成长"),3))*(VLOOKUP($B$5,标准坦克设计!$B$14:$K$20,9)/30))</f>
        <v>0.639847112546581</v>
      </c>
      <c r="F179" s="173">
        <f ca="1">(VLOOKUP(F$72,INDIRECT($C$5&amp;"生成成长"),2))/((VLOOKUP($B179,INDIRECT($B$5&amp;"生成成长"),4))/(VLOOKUP(F$72,INDIRECT($C$5&amp;"生成成长"),5))*(VLOOKUP($B$5,标准坦克设计!$B$24:$U$30,MATCH("对"&amp;LEFT($C$5,2)&amp;"输出",标准坦克设计!$B$23:$U$23,0)))*(VLOOKUP($B179,INDIRECT($B$5&amp;"生成成长"),3))*(VLOOKUP($B$5,标准坦克设计!$B$14:$K$20,9)/30))</f>
        <v>0.71023845624191595</v>
      </c>
      <c r="G179" s="173">
        <f ca="1">(VLOOKUP(G$72,INDIRECT($C$5&amp;"生成成长"),2))/((VLOOKUP($B179,INDIRECT($B$5&amp;"生成成长"),4))/(VLOOKUP(G$72,INDIRECT($C$5&amp;"生成成长"),5))*(VLOOKUP($B$5,标准坦克设计!$B$24:$U$30,MATCH("对"&amp;LEFT($C$5,2)&amp;"输出",标准坦克设计!$B$23:$U$23,0)))*(VLOOKUP($B179,INDIRECT($B$5&amp;"生成成长"),3))*(VLOOKUP($B$5,标准坦克设计!$B$14:$K$20,9)/30))</f>
        <v>0.78430239178222483</v>
      </c>
      <c r="H179" s="173">
        <f ca="1">(VLOOKUP(H$72,INDIRECT($C$5&amp;"生成成长"),2))/((VLOOKUP($B179,INDIRECT($B$5&amp;"生成成长"),4))/(VLOOKUP(H$72,INDIRECT($C$5&amp;"生成成长"),5))*(VLOOKUP($B$5,标准坦克设计!$B$24:$U$30,MATCH("对"&amp;LEFT($C$5,2)&amp;"输出",标准坦克设计!$B$23:$U$23,0)))*(VLOOKUP($B179,INDIRECT($B$5&amp;"生成成长"),3))*(VLOOKUP($B$5,标准坦克设计!$B$14:$K$20,9)/30))</f>
        <v>0.68636660924958504</v>
      </c>
      <c r="I179" s="173">
        <f ca="1">(VLOOKUP(I$72,INDIRECT($C$5&amp;"生成成长"),2))/((VLOOKUP($B179,INDIRECT($B$5&amp;"生成成长"),4))/(VLOOKUP(I$72,INDIRECT($C$5&amp;"生成成长"),5))*(VLOOKUP($B$5,标准坦克设计!$B$24:$U$30,MATCH("对"&amp;LEFT($C$5,2)&amp;"输出",标准坦克设计!$B$23:$U$23,0)))*(VLOOKUP($B179,INDIRECT($B$5&amp;"生成成长"),3))*(VLOOKUP($B$5,标准坦克设计!$B$14:$K$20,9)/30))</f>
        <v>0.78430239178222483</v>
      </c>
      <c r="J179" s="173">
        <f ca="1">(VLOOKUP(J$72,INDIRECT($C$5&amp;"生成成长"),2))/((VLOOKUP($B179,INDIRECT($B$5&amp;"生成成长"),4))/(VLOOKUP(J$72,INDIRECT($C$5&amp;"生成成长"),5))*(VLOOKUP($B$5,标准坦克设计!$B$24:$U$30,MATCH("对"&amp;LEFT($C$5,2)&amp;"输出",标准坦克设计!$B$23:$U$23,0)))*(VLOOKUP($B179,INDIRECT($B$5&amp;"生成成长"),3))*(VLOOKUP($B$5,标准坦克设计!$B$14:$K$20,9)/30))</f>
        <v>0.88876722648370754</v>
      </c>
      <c r="K179" s="173">
        <f ca="1">(VLOOKUP(K$72,INDIRECT($C$5&amp;"生成成长"),2))/((VLOOKUP($B179,INDIRECT($B$5&amp;"生成成长"),4))/(VLOOKUP(K$72,INDIRECT($C$5&amp;"生成成长"),5))*(VLOOKUP($B$5,标准坦克设计!$B$24:$U$30,MATCH("对"&amp;LEFT($C$5,2)&amp;"输出",标准坦克设计!$B$23:$U$23,0)))*(VLOOKUP($B179,INDIRECT($B$5&amp;"生成成长"),3))*(VLOOKUP($B$5,标准坦克设计!$B$14:$K$20,9)/30))</f>
        <v>0.99976111335403273</v>
      </c>
      <c r="L179" s="173">
        <f ca="1">(VLOOKUP(L$72,INDIRECT($C$5&amp;"生成成长"),2))/((VLOOKUP($B179,INDIRECT($B$5&amp;"生成成长"),4))/(VLOOKUP(L$72,INDIRECT($C$5&amp;"生成成长"),5))*(VLOOKUP($B$5,标准坦克设计!$B$24:$U$30,MATCH("对"&amp;LEFT($C$5,2)&amp;"输出",标准坦克设计!$B$23:$U$23,0)))*(VLOOKUP($B179,INDIRECT($B$5&amp;"生成成长"),3))*(VLOOKUP($B$5,标准坦克设计!$B$14:$K$20,9)/30))</f>
        <v>1.1172840523932008</v>
      </c>
      <c r="M179" s="173">
        <f ca="1">(VLOOKUP(M$72,INDIRECT($C$5&amp;"生成成长"),2))/((VLOOKUP($B179,INDIRECT($B$5&amp;"生成成长"),4))/(VLOOKUP(M$72,INDIRECT($C$5&amp;"生成成长"),5))*(VLOOKUP($B$5,标准坦克设计!$B$24:$U$30,MATCH("对"&amp;LEFT($C$5,2)&amp;"输出",标准坦克设计!$B$23:$U$23,0)))*(VLOOKUP($B179,INDIRECT($B$5&amp;"生成成长"),3))*(VLOOKUP($B$5,标准坦克设计!$B$14:$K$20,9)/30))</f>
        <v>1.2413360436012113</v>
      </c>
      <c r="N179" s="173">
        <f ca="1">(VLOOKUP(N$72,INDIRECT($C$5&amp;"生成成长"),2))/((VLOOKUP($B179,INDIRECT($B$5&amp;"生成成长"),4))/(VLOOKUP(N$72,INDIRECT($C$5&amp;"生成成长"),5))*(VLOOKUP($B$5,标准坦克设计!$B$24:$U$30,MATCH("对"&amp;LEFT($C$5,2)&amp;"输出",标准坦克设计!$B$23:$U$23,0)))*(VLOOKUP($B179,INDIRECT($B$5&amp;"生成成长"),3))*(VLOOKUP($B$5,标准坦克设计!$B$14:$K$20,9)/30))</f>
        <v>1.3719170869780648</v>
      </c>
      <c r="O179" s="173">
        <f ca="1">(VLOOKUP(O$72,INDIRECT($C$5&amp;"生成成长"),2))/((VLOOKUP($B179,INDIRECT($B$5&amp;"生成成长"),4))/(VLOOKUP(O$72,INDIRECT($C$5&amp;"生成成长"),5))*(VLOOKUP($B$5,标准坦克设计!$B$24:$U$30,MATCH("对"&amp;LEFT($C$5,2)&amp;"输出",标准坦克设计!$B$23:$U$23,0)))*(VLOOKUP($B179,INDIRECT($B$5&amp;"生成成长"),3))*(VLOOKUP($B$5,标准坦克设计!$B$14:$K$20,9)/30))</f>
        <v>1.0430670921926843</v>
      </c>
      <c r="P179" s="173">
        <f ca="1">(VLOOKUP(P$72,INDIRECT($C$5&amp;"生成成长"),2))/((VLOOKUP($B179,INDIRECT($B$5&amp;"生成成长"),4))/(VLOOKUP(P$72,INDIRECT($C$5&amp;"生成成长"),5))*(VLOOKUP($B$5,标准坦克设计!$B$24:$U$30,MATCH("对"&amp;LEFT($C$5,2)&amp;"输出",标准坦克设计!$B$23:$U$23,0)))*(VLOOKUP($B179,INDIRECT($B$5&amp;"生成成长"),3))*(VLOOKUP($B$5,标准坦克设计!$B$14:$K$20,9)/30))</f>
        <v>1.1784939164761006</v>
      </c>
      <c r="Q179" s="173">
        <f ca="1">(VLOOKUP(Q$72,INDIRECT($C$5&amp;"生成成长"),2))/((VLOOKUP($B179,INDIRECT($B$5&amp;"生成成长"),4))/(VLOOKUP(Q$72,INDIRECT($C$5&amp;"生成成长"),5))*(VLOOKUP($B$5,标准坦克设计!$B$24:$U$30,MATCH("对"&amp;LEFT($C$5,2)&amp;"输出",标准坦克设计!$B$23:$U$23,0)))*(VLOOKUP($B179,INDIRECT($B$5&amp;"生成成长"),3))*(VLOOKUP($B$5,标准坦克设计!$B$14:$K$20,9)/30))</f>
        <v>1.3221840724107083</v>
      </c>
      <c r="R179" s="173">
        <f ca="1">(VLOOKUP(R$72,INDIRECT($C$5&amp;"生成成长"),2))/((VLOOKUP($B179,INDIRECT($B$5&amp;"生成成长"),4))/(VLOOKUP(R$72,INDIRECT($C$5&amp;"生成成长"),5))*(VLOOKUP($B$5,标准坦克设计!$B$24:$U$30,MATCH("对"&amp;LEFT($C$5,2)&amp;"输出",标准坦克设计!$B$23:$U$23,0)))*(VLOOKUP($B179,INDIRECT($B$5&amp;"生成成长"),3))*(VLOOKUP($B$5,标准坦克设计!$B$14:$K$20,9)/30))</f>
        <v>1.4741375599965074</v>
      </c>
      <c r="S179" s="173">
        <f ca="1">(VLOOKUP(S$72,INDIRECT($C$5&amp;"生成成长"),2))/((VLOOKUP($B179,INDIRECT($B$5&amp;"生成成长"),4))/(VLOOKUP(S$72,INDIRECT($C$5&amp;"生成成长"),5))*(VLOOKUP($B$5,标准坦克设计!$B$24:$U$30,MATCH("对"&amp;LEFT($C$5,2)&amp;"输出",标准坦克设计!$B$23:$U$23,0)))*(VLOOKUP($B179,INDIRECT($B$5&amp;"生成成长"),3))*(VLOOKUP($B$5,标准坦克设计!$B$14:$K$20,9)/30))</f>
        <v>1.634354379233498</v>
      </c>
      <c r="T179" s="173">
        <f ca="1">(VLOOKUP(T$72,INDIRECT($C$5&amp;"生成成长"),2))/((VLOOKUP($B179,INDIRECT($B$5&amp;"生成成长"),4))/(VLOOKUP(T$72,INDIRECT($C$5&amp;"生成成长"),5))*(VLOOKUP($B$5,标准坦克设计!$B$24:$U$30,MATCH("对"&amp;LEFT($C$5,2)&amp;"输出",标准坦克设计!$B$23:$U$23,0)))*(VLOOKUP($B179,INDIRECT($B$5&amp;"生成成长"),3))*(VLOOKUP($B$5,标准坦克设计!$B$14:$K$20,9)/30))</f>
        <v>1.8028345301216802</v>
      </c>
      <c r="U179" s="173">
        <f ca="1">(VLOOKUP(U$72,INDIRECT($C$5&amp;"生成成长"),2))/((VLOOKUP($B179,INDIRECT($B$5&amp;"生成成长"),4))/(VLOOKUP(U$72,INDIRECT($C$5&amp;"生成成长"),5))*(VLOOKUP($B$5,标准坦克设计!$B$24:$U$30,MATCH("对"&amp;LEFT($C$5,2)&amp;"输出",标准坦克设计!$B$23:$U$23,0)))*(VLOOKUP($B179,INDIRECT($B$5&amp;"生成成长"),3))*(VLOOKUP($B$5,标准坦克设计!$B$14:$K$20,9)/30))</f>
        <v>1.979578012661054</v>
      </c>
      <c r="V179" s="173">
        <f ca="1">(VLOOKUP(V$72,INDIRECT($C$5&amp;"生成成长"),2))/((VLOOKUP($B179,INDIRECT($B$5&amp;"生成成长"),4))/(VLOOKUP(V$72,INDIRECT($C$5&amp;"生成成长"),5))*(VLOOKUP($B$5,标准坦克设计!$B$24:$U$30,MATCH("对"&amp;LEFT($C$5,2)&amp;"输出",标准坦克设计!$B$23:$U$23,0)))*(VLOOKUP($B179,INDIRECT($B$5&amp;"生成成长"),3))*(VLOOKUP($B$5,标准坦克设计!$B$14:$K$20,9)/30))</f>
        <v>2.1645848268516188</v>
      </c>
      <c r="W179" s="173">
        <f ca="1">(VLOOKUP(W$72,INDIRECT($C$5&amp;"生成成长"),2))/((VLOOKUP($B179,INDIRECT($B$5&amp;"生成成长"),4))/(VLOOKUP(W$72,INDIRECT($C$5&amp;"生成成长"),5))*(VLOOKUP($B$5,标准坦克设计!$B$24:$U$30,MATCH("对"&amp;LEFT($C$5,2)&amp;"输出",标准坦克设计!$B$23:$U$23,0)))*(VLOOKUP($B179,INDIRECT($B$5&amp;"生成成长"),3))*(VLOOKUP($B$5,标准坦克设计!$B$14:$K$20,9)/30))</f>
        <v>2.3578549726933762</v>
      </c>
      <c r="X179" s="173">
        <f ca="1">(VLOOKUP(X$72,INDIRECT($C$5&amp;"生成成长"),2))/((VLOOKUP($B179,INDIRECT($B$5&amp;"生成成长"),4))/(VLOOKUP(X$72,INDIRECT($C$5&amp;"生成成长"),5))*(VLOOKUP($B$5,标准坦克设计!$B$24:$U$30,MATCH("对"&amp;LEFT($C$5,2)&amp;"输出",标准坦克设计!$B$23:$U$23,0)))*(VLOOKUP($B179,INDIRECT($B$5&amp;"生成成长"),3))*(VLOOKUP($B$5,标准坦克设计!$B$14:$K$20,9)/30))</f>
        <v>1.7082142818935309</v>
      </c>
      <c r="Y179" s="173">
        <f ca="1">(VLOOKUP(Y$72,INDIRECT($C$5&amp;"生成成长"),2))/((VLOOKUP($B179,INDIRECT($B$5&amp;"生成成长"),4))/(VLOOKUP(Y$72,INDIRECT($C$5&amp;"生成成长"),5))*(VLOOKUP($B$5,标准坦克设计!$B$24:$U$30,MATCH("对"&amp;LEFT($C$5,2)&amp;"输出",标准坦克设计!$B$23:$U$23,0)))*(VLOOKUP($B179,INDIRECT($B$5&amp;"生成成长"),3))*(VLOOKUP($B$5,标准坦克设计!$B$14:$K$20,9)/30))</f>
        <v>1.9000051893532841</v>
      </c>
      <c r="Z179" s="173">
        <f ca="1">(VLOOKUP(Z$72,INDIRECT($C$5&amp;"生成成长"),2))/((VLOOKUP($B179,INDIRECT($B$5&amp;"生成成长"),4))/(VLOOKUP(Z$72,INDIRECT($C$5&amp;"生成成长"),5))*(VLOOKUP($B$5,标准坦克设计!$B$24:$U$30,MATCH("对"&amp;LEFT($C$5,2)&amp;"输出",标准坦克设计!$B$23:$U$23,0)))*(VLOOKUP($B179,INDIRECT($B$5&amp;"生成成长"),3))*(VLOOKUP($B$5,标准坦克设计!$B$14:$K$20,9)/30))</f>
        <v>2.101997740826854</v>
      </c>
      <c r="AA179" s="173">
        <f ca="1">(VLOOKUP(AA$72,INDIRECT($C$5&amp;"生成成长"),2))/((VLOOKUP($B179,INDIRECT($B$5&amp;"生成成长"),4))/(VLOOKUP(AA$72,INDIRECT($C$5&amp;"生成成长"),5))*(VLOOKUP($B$5,标准坦克设计!$B$24:$U$30,MATCH("对"&amp;LEFT($C$5,2)&amp;"输出",标准坦克设计!$B$23:$U$23,0)))*(VLOOKUP($B179,INDIRECT($B$5&amp;"生成成长"),3))*(VLOOKUP($B$5,标准坦克设计!$B$14:$K$20,9)/30))</f>
        <v>2.3141919363142405</v>
      </c>
      <c r="AB179" s="173">
        <f ca="1">(VLOOKUP(AB$72,INDIRECT($C$5&amp;"生成成长"),2))/((VLOOKUP($B179,INDIRECT($B$5&amp;"生成成长"),4))/(VLOOKUP(AB$72,INDIRECT($C$5&amp;"生成成长"),5))*(VLOOKUP($B$5,标准坦克设计!$B$24:$U$30,MATCH("对"&amp;LEFT($C$5,2)&amp;"输出",标准坦克设计!$B$23:$U$23,0)))*(VLOOKUP($B179,INDIRECT($B$5&amp;"生成成长"),3))*(VLOOKUP($B$5,标准坦克设计!$B$14:$K$20,9)/30))</f>
        <v>2.5365877758154438</v>
      </c>
      <c r="AC179" s="173">
        <f ca="1">(VLOOKUP(AC$72,INDIRECT($C$5&amp;"生成成长"),2))/((VLOOKUP($B179,INDIRECT($B$5&amp;"生成成长"),4))/(VLOOKUP(AC$72,INDIRECT($C$5&amp;"生成成长"),5))*(VLOOKUP($B$5,标准坦克设计!$B$24:$U$30,MATCH("对"&amp;LEFT($C$5,2)&amp;"输出",标准坦克设计!$B$23:$U$23,0)))*(VLOOKUP($B179,INDIRECT($B$5&amp;"生成成长"),3))*(VLOOKUP($B$5,标准坦克设计!$B$14:$K$20,9)/30))</f>
        <v>2.7691852593304636</v>
      </c>
      <c r="AD179" s="173">
        <f ca="1">(VLOOKUP(AD$72,INDIRECT($C$5&amp;"生成成长"),2))/((VLOOKUP($B179,INDIRECT($B$5&amp;"生成成长"),4))/(VLOOKUP(AD$72,INDIRECT($C$5&amp;"生成成长"),5))*(VLOOKUP($B$5,标准坦克设计!$B$24:$U$30,MATCH("对"&amp;LEFT($C$5,2)&amp;"输出",标准坦克设计!$B$23:$U$23,0)))*(VLOOKUP($B179,INDIRECT($B$5&amp;"生成成长"),3))*(VLOOKUP($B$5,标准坦克设计!$B$14:$K$20,9)/30))</f>
        <v>3.0119843868593006</v>
      </c>
      <c r="AE179" s="173">
        <f ca="1">(VLOOKUP(AE$72,INDIRECT($C$5&amp;"生成成长"),2))/((VLOOKUP($B179,INDIRECT($B$5&amp;"生成成长"),4))/(VLOOKUP(AE$72,INDIRECT($C$5&amp;"生成成长"),5))*(VLOOKUP($B$5,标准坦克设计!$B$24:$U$30,MATCH("对"&amp;LEFT($C$5,2)&amp;"输出",标准坦克设计!$B$23:$U$23,0)))*(VLOOKUP($B179,INDIRECT($B$5&amp;"生成成长"),3))*(VLOOKUP($B$5,标准坦克设计!$B$14:$K$20,9)/30))</f>
        <v>3.2649851584019536</v>
      </c>
      <c r="AF179" s="173">
        <f ca="1">(VLOOKUP(AF$72,INDIRECT($C$5&amp;"生成成长"),2))/((VLOOKUP($B179,INDIRECT($B$5&amp;"生成成长"),4))/(VLOOKUP(AF$72,INDIRECT($C$5&amp;"生成成长"),5))*(VLOOKUP($B$5,标准坦克设计!$B$24:$U$30,MATCH("对"&amp;LEFT($C$5,2)&amp;"输出",标准坦克设计!$B$23:$U$23,0)))*(VLOOKUP($B179,INDIRECT($B$5&amp;"生成成长"),3))*(VLOOKUP($B$5,标准坦克设计!$B$14:$K$20,9)/30))</f>
        <v>3.528187573958423</v>
      </c>
      <c r="AG179" s="173">
        <f ca="1">(VLOOKUP(AG$72,INDIRECT($C$5&amp;"生成成长"),2))/((VLOOKUP($B179,INDIRECT($B$5&amp;"生成成长"),4))/(VLOOKUP(AG$72,INDIRECT($C$5&amp;"生成成长"),5))*(VLOOKUP($B$5,标准坦克设计!$B$24:$U$30,MATCH("对"&amp;LEFT($C$5,2)&amp;"输出",标准坦克设计!$B$23:$U$23,0)))*(VLOOKUP($B179,INDIRECT($B$5&amp;"生成成长"),3))*(VLOOKUP($B$5,标准坦克设计!$B$14:$K$20,9)/30))</f>
        <v>3.8015916335287101</v>
      </c>
      <c r="AH179" s="173">
        <f ca="1">(VLOOKUP(AH$72,INDIRECT($C$5&amp;"生成成长"),2))/((VLOOKUP($B179,INDIRECT($B$5&amp;"生成成长"),4))/(VLOOKUP(AH$72,INDIRECT($C$5&amp;"生成成长"),5))*(VLOOKUP($B$5,标准坦克设计!$B$24:$U$30,MATCH("对"&amp;LEFT($C$5,2)&amp;"输出",标准坦克设计!$B$23:$U$23,0)))*(VLOOKUP($B179,INDIRECT($B$5&amp;"生成成长"),3))*(VLOOKUP($B$5,标准坦克设计!$B$14:$K$20,9)/30))</f>
        <v>4.0851973371128123</v>
      </c>
      <c r="AI179" s="173">
        <f ca="1">(VLOOKUP(AI$72,INDIRECT($C$5&amp;"生成成长"),2))/((VLOOKUP($B179,INDIRECT($B$5&amp;"生成成长"),4))/(VLOOKUP(AI$72,INDIRECT($C$5&amp;"生成成长"),5))*(VLOOKUP($B$5,标准坦克设计!$B$24:$U$30,MATCH("对"&amp;LEFT($C$5,2)&amp;"输出",标准坦克设计!$B$23:$U$23,0)))*(VLOOKUP($B179,INDIRECT($B$5&amp;"生成成长"),3))*(VLOOKUP($B$5,标准坦克设计!$B$14:$K$20,9)/30))</f>
        <v>2.8893096175931552</v>
      </c>
      <c r="AJ179" s="173">
        <f ca="1">(VLOOKUP(AJ$72,INDIRECT($C$5&amp;"生成成长"),2))/((VLOOKUP($B179,INDIRECT($B$5&amp;"生成成长"),4))/(VLOOKUP(AJ$72,INDIRECT($C$5&amp;"生成成长"),5))*(VLOOKUP($B$5,标准坦克设计!$B$24:$U$30,MATCH("对"&amp;LEFT($C$5,2)&amp;"输出",标准坦克设计!$B$23:$U$23,0)))*(VLOOKUP($B179,INDIRECT($B$5&amp;"生成成长"),3))*(VLOOKUP($B$5,标准坦克设计!$B$14:$K$20,9)/30))</f>
        <v>3.1625606525032337</v>
      </c>
      <c r="AK179" s="173">
        <f ca="1">(VLOOKUP(AK$72,INDIRECT($C$5&amp;"生成成长"),2))/((VLOOKUP($B179,INDIRECT($B$5&amp;"生成成长"),4))/(VLOOKUP(AK$72,INDIRECT($C$5&amp;"生成成长"),5))*(VLOOKUP($B$5,标准坦克设计!$B$24:$U$30,MATCH("对"&amp;LEFT($C$5,2)&amp;"输出",标准坦克设计!$B$23:$U$23,0)))*(VLOOKUP($B179,INDIRECT($B$5&amp;"生成成长"),3))*(VLOOKUP($B$5,标准坦克设计!$B$14:$K$20,9)/30))</f>
        <v>3.4481556766700314</v>
      </c>
      <c r="AL179" s="173">
        <f ca="1">(VLOOKUP(AL$72,INDIRECT($C$5&amp;"生成成长"),2))/((VLOOKUP($B179,INDIRECT($B$5&amp;"生成成长"),4))/(VLOOKUP(AL$72,INDIRECT($C$5&amp;"生成成长"),5))*(VLOOKUP($B$5,标准坦克设计!$B$24:$U$30,MATCH("对"&amp;LEFT($C$5,2)&amp;"输出",标准坦克设计!$B$23:$U$23,0)))*(VLOOKUP($B179,INDIRECT($B$5&amp;"生成成长"),3))*(VLOOKUP($B$5,标准坦克设计!$B$14:$K$20,9)/30))</f>
        <v>3.7460946900935475</v>
      </c>
      <c r="AM179" s="173">
        <f ca="1">(VLOOKUP(AM$72,INDIRECT($C$5&amp;"生成成长"),2))/((VLOOKUP($B179,INDIRECT($B$5&amp;"生成成长"),4))/(VLOOKUP(AM$72,INDIRECT($C$5&amp;"生成成长"),5))*(VLOOKUP($B$5,标准坦克设计!$B$24:$U$30,MATCH("对"&amp;LEFT($C$5,2)&amp;"输出",标准坦克设计!$B$23:$U$23,0)))*(VLOOKUP($B179,INDIRECT($B$5&amp;"生成成长"),3))*(VLOOKUP($B$5,标准坦克设计!$B$14:$K$20,9)/30))</f>
        <v>4.0563776927737809</v>
      </c>
      <c r="AN179" s="173">
        <f ca="1">(VLOOKUP(AN$72,INDIRECT($C$5&amp;"生成成长"),2))/((VLOOKUP($B179,INDIRECT($B$5&amp;"生成成长"),4))/(VLOOKUP(AN$72,INDIRECT($C$5&amp;"生成成长"),5))*(VLOOKUP($B$5,标准坦克设计!$B$24:$U$30,MATCH("对"&amp;LEFT($C$5,2)&amp;"输出",标准坦克设计!$B$23:$U$23,0)))*(VLOOKUP($B179,INDIRECT($B$5&amp;"生成成长"),3))*(VLOOKUP($B$5,标准坦克设计!$B$14:$K$20,9)/30))</f>
        <v>4.3790046847107318</v>
      </c>
      <c r="AO179" s="173">
        <f ca="1">(VLOOKUP(AO$72,INDIRECT($C$5&amp;"生成成长"),2))/((VLOOKUP($B179,INDIRECT($B$5&amp;"生成成长"),4))/(VLOOKUP(AO$72,INDIRECT($C$5&amp;"生成成长"),5))*(VLOOKUP($B$5,标准坦克设计!$B$24:$U$30,MATCH("对"&amp;LEFT($C$5,2)&amp;"输出",标准坦克设计!$B$23:$U$23,0)))*(VLOOKUP($B179,INDIRECT($B$5&amp;"生成成长"),3))*(VLOOKUP($B$5,标准坦克设计!$B$14:$K$20,9)/30))</f>
        <v>4.7139756659044023</v>
      </c>
      <c r="AP179" s="173">
        <f ca="1">(VLOOKUP(AP$72,INDIRECT($C$5&amp;"生成成长"),2))/((VLOOKUP($B179,INDIRECT($B$5&amp;"生成成长"),4))/(VLOOKUP(AP$72,INDIRECT($C$5&amp;"生成成长"),5))*(VLOOKUP($B$5,标准坦克设计!$B$24:$U$30,MATCH("对"&amp;LEFT($C$5,2)&amp;"输出",标准坦克设计!$B$23:$U$23,0)))*(VLOOKUP($B179,INDIRECT($B$5&amp;"生成成长"),3))*(VLOOKUP($B$5,标准坦克设计!$B$14:$K$20,9)/30))</f>
        <v>5.0612906363547916</v>
      </c>
      <c r="AQ179" s="173">
        <f ca="1">(VLOOKUP(AQ$72,INDIRECT($C$5&amp;"生成成长"),2))/((VLOOKUP($B179,INDIRECT($B$5&amp;"生成成长"),4))/(VLOOKUP(AQ$72,INDIRECT($C$5&amp;"生成成长"),5))*(VLOOKUP($B$5,标准坦克设计!$B$24:$U$30,MATCH("对"&amp;LEFT($C$5,2)&amp;"输出",标准坦克设计!$B$23:$U$23,0)))*(VLOOKUP($B179,INDIRECT($B$5&amp;"生成成长"),3))*(VLOOKUP($B$5,标准坦克设计!$B$14:$K$20,9)/30))</f>
        <v>5.420949596061897</v>
      </c>
      <c r="AR179" s="173">
        <f ca="1">(VLOOKUP(AR$72,INDIRECT($C$5&amp;"生成成长"),2))/((VLOOKUP($B179,INDIRECT($B$5&amp;"生成成长"),4))/(VLOOKUP(AR$72,INDIRECT($C$5&amp;"生成成长"),5))*(VLOOKUP($B$5,标准坦克设计!$B$24:$U$30,MATCH("对"&amp;LEFT($C$5,2)&amp;"输出",标准坦克设计!$B$23:$U$23,0)))*(VLOOKUP($B179,INDIRECT($B$5&amp;"生成成长"),3))*(VLOOKUP($B$5,标准坦克设计!$B$14:$K$20,9)/30))</f>
        <v>5.792952545025722</v>
      </c>
      <c r="AS179" s="173">
        <f ca="1">(VLOOKUP(AS$72,INDIRECT($C$5&amp;"生成成长"),2))/((VLOOKUP($B179,INDIRECT($B$5&amp;"生成成长"),4))/(VLOOKUP(AS$72,INDIRECT($C$5&amp;"生成成长"),5))*(VLOOKUP($B$5,标准坦克设计!$B$24:$U$30,MATCH("对"&amp;LEFT($C$5,2)&amp;"输出",标准坦克设计!$B$23:$U$23,0)))*(VLOOKUP($B179,INDIRECT($B$5&amp;"生成成长"),3))*(VLOOKUP($B$5,标准坦克设计!$B$14:$K$20,9)/30))</f>
        <v>6.1772994832462649</v>
      </c>
      <c r="AT179" s="173">
        <f ca="1">(VLOOKUP(AT$72,INDIRECT($C$5&amp;"生成成长"),2))/((VLOOKUP($B179,INDIRECT($B$5&amp;"生成成长"),4))/(VLOOKUP(AT$72,INDIRECT($C$5&amp;"生成成长"),5))*(VLOOKUP($B$5,标准坦克设计!$B$24:$U$30,MATCH("对"&amp;LEFT($C$5,2)&amp;"输出",标准坦克设计!$B$23:$U$23,0)))*(VLOOKUP($B179,INDIRECT($B$5&amp;"生成成长"),3))*(VLOOKUP($B$5,标准坦克设计!$B$14:$K$20,9)/30))</f>
        <v>6.5739904107235247</v>
      </c>
      <c r="AU179" s="173">
        <f ca="1">(VLOOKUP(AU$72,INDIRECT($C$5&amp;"生成成长"),2))/((VLOOKUP($B179,INDIRECT($B$5&amp;"生成成长"),4))/(VLOOKUP(AU$72,INDIRECT($C$5&amp;"生成成长"),5))*(VLOOKUP($B$5,标准坦克设计!$B$24:$U$30,MATCH("对"&amp;LEFT($C$5,2)&amp;"输出",标准坦克设计!$B$23:$U$23,0)))*(VLOOKUP($B179,INDIRECT($B$5&amp;"生成成长"),3))*(VLOOKUP($B$5,标准坦克设计!$B$14:$K$20,9)/30))</f>
        <v>6.9830253274575051</v>
      </c>
      <c r="AV179" s="173">
        <f ca="1">(VLOOKUP(AV$72,INDIRECT($C$5&amp;"生成成长"),2))/((VLOOKUP($B179,INDIRECT($B$5&amp;"生成成长"),4))/(VLOOKUP(AV$72,INDIRECT($C$5&amp;"生成成长"),5))*(VLOOKUP($B$5,标准坦克设计!$B$24:$U$30,MATCH("对"&amp;LEFT($C$5,2)&amp;"输出",标准坦克设计!$B$23:$U$23,0)))*(VLOOKUP($B179,INDIRECT($B$5&amp;"生成成长"),3))*(VLOOKUP($B$5,标准坦克设计!$B$14:$K$20,9)/30))</f>
        <v>0.71023845624191595</v>
      </c>
      <c r="AW179" s="173">
        <f ca="1">(VLOOKUP(AW$72,INDIRECT($C$5&amp;"生成成长"),2))/((VLOOKUP($B179,INDIRECT($B$5&amp;"生成成长"),4))/(VLOOKUP(AW$72,INDIRECT($C$5&amp;"生成成长"),5))*(VLOOKUP($B$5,标准坦克设计!$B$24:$U$30,MATCH("对"&amp;LEFT($C$5,2)&amp;"输出",标准坦克设计!$B$23:$U$23,0)))*(VLOOKUP($B179,INDIRECT($B$5&amp;"生成成长"),3))*(VLOOKUP($B$5,标准坦克设计!$B$14:$K$20,9)/30))</f>
        <v>0.80980650181676661</v>
      </c>
      <c r="AX179" s="173">
        <f ca="1">(VLOOKUP(AX$72,INDIRECT($C$5&amp;"生成成长"),2))/((VLOOKUP($B179,INDIRECT($B$5&amp;"生成成长"),4))/(VLOOKUP(AX$72,INDIRECT($C$5&amp;"生成成长"),5))*(VLOOKUP($B$5,标准坦克设计!$B$24:$U$30,MATCH("对"&amp;LEFT($C$5,2)&amp;"输出",标准坦克设计!$B$23:$U$23,0)))*(VLOOKUP($B179,INDIRECT($B$5&amp;"生成成长"),3))*(VLOOKUP($B$5,标准坦克设计!$B$14:$K$20,9)/30))</f>
        <v>0.91590359956045997</v>
      </c>
      <c r="AY179" s="173">
        <f ca="1">(VLOOKUP(AY$72,INDIRECT($C$5&amp;"生成成长"),2))/((VLOOKUP($B179,INDIRECT($B$5&amp;"生成成长"),4))/(VLOOKUP(AY$72,INDIRECT($C$5&amp;"生成成长"),5))*(VLOOKUP($B$5,标准坦克设计!$B$24:$U$30,MATCH("对"&amp;LEFT($C$5,2)&amp;"输出",标准坦克设计!$B$23:$U$23,0)))*(VLOOKUP($B179,INDIRECT($B$5&amp;"生成成长"),3))*(VLOOKUP($B$5,标准坦克设计!$B$14:$K$20,9)/30))</f>
        <v>1.0285297494729959</v>
      </c>
      <c r="AZ179" s="173">
        <f ca="1">(VLOOKUP(AZ$72,INDIRECT($C$5&amp;"生成成长"),2))/((VLOOKUP($B179,INDIRECT($B$5&amp;"生成成长"),4))/(VLOOKUP(AZ$72,INDIRECT($C$5&amp;"生成成长"),5))*(VLOOKUP($B$5,标准坦克设计!$B$24:$U$30,MATCH("对"&amp;LEFT($C$5,2)&amp;"输出",标准坦克设计!$B$23:$U$23,0)))*(VLOOKUP($B179,INDIRECT($B$5&amp;"生成成长"),3))*(VLOOKUP($B$5,标准坦克设计!$B$14:$K$20,9)/30))</f>
        <v>1.1476849515543741</v>
      </c>
      <c r="BA179" s="173">
        <f ca="1">(VLOOKUP(BA$72,INDIRECT($C$5&amp;"生成成长"),2))/((VLOOKUP($B179,INDIRECT($B$5&amp;"生成成长"),4))/(VLOOKUP(BA$72,INDIRECT($C$5&amp;"生成成长"),5))*(VLOOKUP($B$5,标准坦克设计!$B$24:$U$30,MATCH("对"&amp;LEFT($C$5,2)&amp;"输出",标准坦克设计!$B$23:$U$23,0)))*(VLOOKUP($B179,INDIRECT($B$5&amp;"生成成长"),3))*(VLOOKUP($B$5,标准坦克设计!$B$14:$K$20,9)/30))</f>
        <v>1.2733692058045958</v>
      </c>
      <c r="BB179" s="173">
        <f ca="1">(VLOOKUP(BB$72,INDIRECT($C$5&amp;"生成成长"),2))/((VLOOKUP($B179,INDIRECT($B$5&amp;"生成成长"),4))/(VLOOKUP(BB$72,INDIRECT($C$5&amp;"生成成长"),5))*(VLOOKUP($B$5,标准坦克设计!$B$24:$U$30,MATCH("对"&amp;LEFT($C$5,2)&amp;"输出",标准坦克设计!$B$23:$U$23,0)))*(VLOOKUP($B179,INDIRECT($B$5&amp;"生成成长"),3))*(VLOOKUP($B$5,标准坦克设计!$B$14:$K$20,9)/30))</f>
        <v>1.4055825122236594</v>
      </c>
      <c r="BC179" s="173">
        <f ca="1">(VLOOKUP(BC$72,INDIRECT($C$5&amp;"生成成长"),2))/((VLOOKUP($B179,INDIRECT($B$5&amp;"生成成长"),4))/(VLOOKUP(BC$72,INDIRECT($C$5&amp;"生成成长"),5))*(VLOOKUP($B$5,标准坦克设计!$B$24:$U$30,MATCH("对"&amp;LEFT($C$5,2)&amp;"输出",标准坦克设计!$B$23:$U$23,0)))*(VLOOKUP($B179,INDIRECT($B$5&amp;"生成成长"),3))*(VLOOKUP($B$5,标准坦克设计!$B$14:$K$20,9)/30))</f>
        <v>1.5443248708115662</v>
      </c>
      <c r="BD179" s="173">
        <f ca="1">(VLOOKUP(BD$72,INDIRECT($C$5&amp;"生成成长"),2))/((VLOOKUP($B179,INDIRECT($B$5&amp;"生成成长"),4))/(VLOOKUP(BD$72,INDIRECT($C$5&amp;"生成成长"),5))*(VLOOKUP($B$5,标准坦克设计!$B$24:$U$30,MATCH("对"&amp;LEFT($C$5,2)&amp;"输出",标准坦克设计!$B$23:$U$23,0)))*(VLOOKUP($B179,INDIRECT($B$5&amp;"生成成长"),3))*(VLOOKUP($B$5,标准坦克设计!$B$14:$K$20,9)/30))</f>
        <v>1.7082142818935309</v>
      </c>
      <c r="BE179" s="173">
        <f ca="1">(VLOOKUP(BE$72,INDIRECT($C$5&amp;"生成成长"),2))/((VLOOKUP($B179,INDIRECT($B$5&amp;"生成成长"),4))/(VLOOKUP(BE$72,INDIRECT($C$5&amp;"生成成长"),5))*(VLOOKUP($B$5,标准坦克设计!$B$24:$U$30,MATCH("对"&amp;LEFT($C$5,2)&amp;"输出",标准坦克设计!$B$23:$U$23,0)))*(VLOOKUP($B179,INDIRECT($B$5&amp;"生成成长"),3))*(VLOOKUP($B$5,标准坦克设计!$B$14:$K$20,9)/30))</f>
        <v>1.8803670246266873</v>
      </c>
      <c r="BF179" s="173">
        <f ca="1">(VLOOKUP(BF$72,INDIRECT($C$5&amp;"生成成长"),2))/((VLOOKUP($B179,INDIRECT($B$5&amp;"生成成长"),4))/(VLOOKUP(BF$72,INDIRECT($C$5&amp;"生成成长"),5))*(VLOOKUP($B$5,标准坦克设计!$B$24:$U$30,MATCH("对"&amp;LEFT($C$5,2)&amp;"输出",标准坦克设计!$B$23:$U$23,0)))*(VLOOKUP($B179,INDIRECT($B$5&amp;"生成成长"),3))*(VLOOKUP($B$5,标准坦克设计!$B$14:$K$20,9)/30))</f>
        <v>2.0607830990110347</v>
      </c>
      <c r="BG179" s="173">
        <f ca="1">(VLOOKUP(BG$72,INDIRECT($C$5&amp;"生成成长"),2))/((VLOOKUP($B179,INDIRECT($B$5&amp;"生成成长"),4))/(VLOOKUP(BG$72,INDIRECT($C$5&amp;"生成成长"),5))*(VLOOKUP($B$5,标准坦克设计!$B$24:$U$30,MATCH("对"&amp;LEFT($C$5,2)&amp;"输出",标准坦克设计!$B$23:$U$23,0)))*(VLOOKUP($B179,INDIRECT($B$5&amp;"生成成长"),3))*(VLOOKUP($B$5,标准坦克设计!$B$14:$K$20,9)/30))</f>
        <v>2.2494625050465737</v>
      </c>
      <c r="BH179" s="173">
        <f ca="1">(VLOOKUP(BH$72,INDIRECT($C$5&amp;"生成成长"),2))/((VLOOKUP($B179,INDIRECT($B$5&amp;"生成成长"),4))/(VLOOKUP(BH$72,INDIRECT($C$5&amp;"生成成长"),5))*(VLOOKUP($B$5,标准坦克设计!$B$24:$U$30,MATCH("对"&amp;LEFT($C$5,2)&amp;"输出",标准坦克设计!$B$23:$U$23,0)))*(VLOOKUP($B179,INDIRECT($B$5&amp;"生成成长"),3))*(VLOOKUP($B$5,标准坦克设计!$B$14:$K$20,9)/30))</f>
        <v>1.0872912189925799</v>
      </c>
      <c r="BI179" s="173">
        <f ca="1">(VLOOKUP(BI$72,INDIRECT($C$5&amp;"生成成长"),2))/((VLOOKUP($B179,INDIRECT($B$5&amp;"生成成长"),4))/(VLOOKUP(BI$72,INDIRECT($C$5&amp;"生成成长"),5))*(VLOOKUP($B$5,标准坦克设计!$B$24:$U$30,MATCH("对"&amp;LEFT($C$5,2)&amp;"输出",标准坦克设计!$B$23:$U$23,0)))*(VLOOKUP($B179,INDIRECT($B$5&amp;"生成成长"),3))*(VLOOKUP($B$5,标准坦克设计!$B$14:$K$20,9)/30))</f>
        <v>1.2254724871597265</v>
      </c>
      <c r="BJ179" s="173">
        <f ca="1">(VLOOKUP(BJ$72,INDIRECT($C$5&amp;"生成成长"),2))/((VLOOKUP($B179,INDIRECT($B$5&amp;"生成成长"),4))/(VLOOKUP(BJ$72,INDIRECT($C$5&amp;"生成成长"),5))*(VLOOKUP($B$5,标准坦克设计!$B$24:$U$30,MATCH("对"&amp;LEFT($C$5,2)&amp;"输出",标准坦克设计!$B$23:$U$23,0)))*(VLOOKUP($B179,INDIRECT($B$5&amp;"生成成长"),3))*(VLOOKUP($B$5,标准坦克设计!$B$14:$K$20,9)/30))</f>
        <v>1.3719170869780648</v>
      </c>
      <c r="BK179" s="173">
        <f ca="1">(VLOOKUP(BK$72,INDIRECT($C$5&amp;"生成成长"),2))/((VLOOKUP($B179,INDIRECT($B$5&amp;"生成成长"),4))/(VLOOKUP(BK$72,INDIRECT($C$5&amp;"生成成长"),5))*(VLOOKUP($B$5,标准坦克设计!$B$24:$U$30,MATCH("对"&amp;LEFT($C$5,2)&amp;"输出",标准坦克设计!$B$23:$U$23,0)))*(VLOOKUP($B179,INDIRECT($B$5&amp;"生成成长"),3))*(VLOOKUP($B$5,标准坦克设计!$B$14:$K$20,9)/30))</f>
        <v>1.5266250184475942</v>
      </c>
      <c r="BL179" s="173">
        <f ca="1">(VLOOKUP(BL$72,INDIRECT($C$5&amp;"生成成长"),2))/((VLOOKUP($B179,INDIRECT($B$5&amp;"生成成长"),4))/(VLOOKUP(BL$72,INDIRECT($C$5&amp;"生成成长"),5))*(VLOOKUP($B$5,标准坦克设计!$B$24:$U$30,MATCH("对"&amp;LEFT($C$5,2)&amp;"输出",标准坦克设计!$B$23:$U$23,0)))*(VLOOKUP($B179,INDIRECT($B$5&amp;"生成成长"),3))*(VLOOKUP($B$5,标准坦克设计!$B$14:$K$20,9)/30))</f>
        <v>1.6895962815683152</v>
      </c>
      <c r="BM179" s="173">
        <f ca="1">(VLOOKUP(BM$72,INDIRECT($C$5&amp;"生成成长"),2))/((VLOOKUP($B179,INDIRECT($B$5&amp;"生成成长"),4))/(VLOOKUP(BM$72,INDIRECT($C$5&amp;"生成成长"),5))*(VLOOKUP($B$5,标准坦克设计!$B$24:$U$30,MATCH("对"&amp;LEFT($C$5,2)&amp;"输出",标准坦克设计!$B$23:$U$23,0)))*(VLOOKUP($B179,INDIRECT($B$5&amp;"生成成长"),3))*(VLOOKUP($B$5,标准坦克设计!$B$14:$K$20,9)/30))</f>
        <v>1.8608308763402279</v>
      </c>
      <c r="BN179" s="173">
        <f ca="1">(VLOOKUP(BN$72,INDIRECT($C$5&amp;"生成成长"),2))/((VLOOKUP($B179,INDIRECT($B$5&amp;"生成成长"),4))/(VLOOKUP(BN$72,INDIRECT($C$5&amp;"生成成长"),5))*(VLOOKUP($B$5,标准坦克设计!$B$24:$U$30,MATCH("对"&amp;LEFT($C$5,2)&amp;"输出",标准坦克设计!$B$23:$U$23,0)))*(VLOOKUP($B179,INDIRECT($B$5&amp;"生成成长"),3))*(VLOOKUP($B$5,标准坦克设计!$B$14:$K$20,9)/30))</f>
        <v>2.0403288027633324</v>
      </c>
      <c r="BO179" s="173">
        <f ca="1">(VLOOKUP(BO$72,INDIRECT($C$5&amp;"生成成长"),2))/((VLOOKUP($B179,INDIRECT($B$5&amp;"生成成长"),4))/(VLOOKUP(BO$72,INDIRECT($C$5&amp;"生成成长"),5))*(VLOOKUP($B$5,标准坦克设计!$B$24:$U$30,MATCH("对"&amp;LEFT($C$5,2)&amp;"输出",标准坦克设计!$B$23:$U$23,0)))*(VLOOKUP($B179,INDIRECT($B$5&amp;"生成成长"),3))*(VLOOKUP($B$5,标准坦克设计!$B$14:$K$20,9)/30))</f>
        <v>2.2280900608376277</v>
      </c>
      <c r="BP179" s="173">
        <f ca="1">(VLOOKUP(BP$72,INDIRECT($C$5&amp;"生成成长"),2))/((VLOOKUP($B179,INDIRECT($B$5&amp;"生成成长"),4))/(VLOOKUP(BP$72,INDIRECT($C$5&amp;"生成成长"),5))*(VLOOKUP($B$5,标准坦克设计!$B$24:$U$30,MATCH("对"&amp;LEFT($C$5,2)&amp;"输出",标准坦克设计!$B$23:$U$23,0)))*(VLOOKUP($B179,INDIRECT($B$5&amp;"生成成长"),3))*(VLOOKUP($B$5,标准坦克设计!$B$14:$K$20,9)/30))</f>
        <v>2.4241146505631153</v>
      </c>
      <c r="BQ179" s="173">
        <f ca="1">(VLOOKUP(BQ$72,INDIRECT($C$5&amp;"生成成长"),2))/((VLOOKUP($B179,INDIRECT($B$5&amp;"生成成长"),4))/(VLOOKUP(BQ$72,INDIRECT($C$5&amp;"生成成长"),5))*(VLOOKUP($B$5,标准坦克设计!$B$24:$U$30,MATCH("对"&amp;LEFT($C$5,2)&amp;"输出",标准坦克设计!$B$23:$U$23,0)))*(VLOOKUP($B179,INDIRECT($B$5&amp;"生成成长"),3))*(VLOOKUP($B$5,标准坦克设计!$B$14:$K$20,9)/30))</f>
        <v>2.6284025719397937</v>
      </c>
      <c r="BR179" s="173">
        <f ca="1">(VLOOKUP(BR$72,INDIRECT($C$5&amp;"生成成长"),2))/((VLOOKUP($B179,INDIRECT($B$5&amp;"生成成长"),4))/(VLOOKUP(BR$72,INDIRECT($C$5&amp;"生成成长"),5))*(VLOOKUP($B$5,标准坦克设计!$B$24:$U$30,MATCH("对"&amp;LEFT($C$5,2)&amp;"输出",标准坦克设计!$B$23:$U$23,0)))*(VLOOKUP($B179,INDIRECT($B$5&amp;"生成成长"),3))*(VLOOKUP($B$5,标准坦克设计!$B$14:$K$20,9)/30))</f>
        <v>2.86508071306034</v>
      </c>
      <c r="BS179" s="173">
        <f ca="1">(VLOOKUP(BS$72,INDIRECT($C$5&amp;"生成成长"),2))/((VLOOKUP($B179,INDIRECT($B$5&amp;"生成成长"),4))/(VLOOKUP(BS$72,INDIRECT($C$5&amp;"生成成长"),5))*(VLOOKUP($B$5,标准坦克设计!$B$24:$U$30,MATCH("对"&amp;LEFT($C$5,2)&amp;"输出",标准坦克设计!$B$23:$U$23,0)))*(VLOOKUP($B179,INDIRECT($B$5&amp;"生成成长"),3))*(VLOOKUP($B$5,标准坦克设计!$B$14:$K$20,9)/30))</f>
        <v>3.1119604981947031</v>
      </c>
      <c r="BT179" s="173">
        <f ca="1">(VLOOKUP(BT$72,INDIRECT($C$5&amp;"生成成长"),2))/((VLOOKUP($B179,INDIRECT($B$5&amp;"生成成长"),4))/(VLOOKUP(BT$72,INDIRECT($C$5&amp;"生成成长"),5))*(VLOOKUP($B$5,标准坦克设计!$B$24:$U$30,MATCH("对"&amp;LEFT($C$5,2)&amp;"输出",标准坦克设计!$B$23:$U$23,0)))*(VLOOKUP($B179,INDIRECT($B$5&amp;"生成成长"),3))*(VLOOKUP($B$5,标准坦克设计!$B$14:$K$20,9)/30))</f>
        <v>3.3690419273428835</v>
      </c>
      <c r="BU179" s="173">
        <f ca="1">(VLOOKUP(BU$72,INDIRECT($C$5&amp;"生成成长"),2))/((VLOOKUP($B179,INDIRECT($B$5&amp;"生成成长"),4))/(VLOOKUP(BU$72,INDIRECT($C$5&amp;"生成成长"),5))*(VLOOKUP($B$5,标准坦克设计!$B$24:$U$30,MATCH("对"&amp;LEFT($C$5,2)&amp;"输出",标准坦克设计!$B$23:$U$23,0)))*(VLOOKUP($B179,INDIRECT($B$5&amp;"生成成长"),3))*(VLOOKUP($B$5,标准坦克设计!$B$14:$K$20,9)/30))</f>
        <v>3.6363250005048795</v>
      </c>
      <c r="BV179" s="173">
        <f ca="1">(VLOOKUP(BV$72,INDIRECT($C$5&amp;"生成成长"),2))/((VLOOKUP($B179,INDIRECT($B$5&amp;"生成成长"),4))/(VLOOKUP(BV$72,INDIRECT($C$5&amp;"生成成长"),5))*(VLOOKUP($B$5,标准坦克设计!$B$24:$U$30,MATCH("对"&amp;LEFT($C$5,2)&amp;"输出",标准坦克设计!$B$23:$U$23,0)))*(VLOOKUP($B179,INDIRECT($B$5&amp;"生成成长"),3))*(VLOOKUP($B$5,标准坦克设计!$B$14:$K$20,9)/30))</f>
        <v>3.9138097176806932</v>
      </c>
      <c r="BW179" s="173">
        <f ca="1">(VLOOKUP(BW$72,INDIRECT($C$5&amp;"生成成长"),2))/((VLOOKUP($B179,INDIRECT($B$5&amp;"生成成长"),4))/(VLOOKUP(BW$72,INDIRECT($C$5&amp;"生成成长"),5))*(VLOOKUP($B$5,标准坦克设计!$B$24:$U$30,MATCH("对"&amp;LEFT($C$5,2)&amp;"输出",标准坦克设计!$B$23:$U$23,0)))*(VLOOKUP($B179,INDIRECT($B$5&amp;"生成成长"),3))*(VLOOKUP($B$5,标准坦克设计!$B$14:$K$20,9)/30))</f>
        <v>1.783706447595774</v>
      </c>
      <c r="BX179" s="173">
        <f ca="1">(VLOOKUP(BX$72,INDIRECT($C$5&amp;"生成成长"),2))/((VLOOKUP($B179,INDIRECT($B$5&amp;"生成成长"),4))/(VLOOKUP(BX$72,INDIRECT($C$5&amp;"生成成长"),5))*(VLOOKUP($B$5,标准坦克设计!$B$24:$U$30,MATCH("对"&amp;LEFT($C$5,2)&amp;"输出",标准坦克设计!$B$23:$U$23,0)))*(VLOOKUP($B179,INDIRECT($B$5&amp;"生成成长"),3))*(VLOOKUP($B$5,标准坦克设计!$B$14:$K$20,9)/30))</f>
        <v>1.979578012661054</v>
      </c>
      <c r="BY179" s="173">
        <f ca="1">(VLOOKUP(BY$72,INDIRECT($C$5&amp;"生成成长"),2))/((VLOOKUP($B179,INDIRECT($B$5&amp;"生成成长"),4))/(VLOOKUP(BY$72,INDIRECT($C$5&amp;"生成成长"),5))*(VLOOKUP($B$5,标准坦克设计!$B$24:$U$30,MATCH("对"&amp;LEFT($C$5,2)&amp;"输出",标准坦克设计!$B$23:$U$23,0)))*(VLOOKUP($B179,INDIRECT($B$5&amp;"生成成长"),3))*(VLOOKUP($B$5,标准坦克设计!$B$14:$K$20,9)/30))</f>
        <v>2.1856512217401503</v>
      </c>
      <c r="BZ179" s="173">
        <f ca="1">(VLOOKUP(BZ$72,INDIRECT($C$5&amp;"生成成长"),2))/((VLOOKUP($B179,INDIRECT($B$5&amp;"生成成长"),4))/(VLOOKUP(BZ$72,INDIRECT($C$5&amp;"生成成长"),5))*(VLOOKUP($B$5,标准坦克设计!$B$24:$U$30,MATCH("对"&amp;LEFT($C$5,2)&amp;"输出",标准坦克设计!$B$23:$U$23,0)))*(VLOOKUP($B179,INDIRECT($B$5&amp;"生成成长"),3))*(VLOOKUP($B$5,标准坦克设计!$B$14:$K$20,9)/30))</f>
        <v>2.4019260748330633</v>
      </c>
      <c r="CA179" s="173">
        <f ca="1">(VLOOKUP(CA$72,INDIRECT($C$5&amp;"生成成长"),2))/((VLOOKUP($B179,INDIRECT($B$5&amp;"生成成长"),4))/(VLOOKUP(CA$72,INDIRECT($C$5&amp;"生成成长"),5))*(VLOOKUP($B$5,标准坦克设计!$B$24:$U$30,MATCH("对"&amp;LEFT($C$5,2)&amp;"输出",标准坦克设计!$B$23:$U$23,0)))*(VLOOKUP($B179,INDIRECT($B$5&amp;"生成成长"),3))*(VLOOKUP($B$5,标准坦克设计!$B$14:$K$20,9)/30))</f>
        <v>2.6284025719397937</v>
      </c>
      <c r="CB179" s="173">
        <f ca="1">(VLOOKUP(CB$72,INDIRECT($C$5&amp;"生成成长"),2))/((VLOOKUP($B179,INDIRECT($B$5&amp;"生成成长"),4))/(VLOOKUP(CB$72,INDIRECT($C$5&amp;"生成成长"),5))*(VLOOKUP($B$5,标准坦克设计!$B$24:$U$30,MATCH("对"&amp;LEFT($C$5,2)&amp;"输出",标准坦克设计!$B$23:$U$23,0)))*(VLOOKUP($B179,INDIRECT($B$5&amp;"生成成长"),3))*(VLOOKUP($B$5,标准坦克设计!$B$14:$K$20,9)/30))</f>
        <v>2.86508071306034</v>
      </c>
      <c r="CC179" s="173">
        <f ca="1">(VLOOKUP(CC$72,INDIRECT($C$5&amp;"生成成长"),2))/((VLOOKUP($B179,INDIRECT($B$5&amp;"生成成长"),4))/(VLOOKUP(CC$72,INDIRECT($C$5&amp;"生成成长"),5))*(VLOOKUP($B$5,标准坦克设计!$B$24:$U$30,MATCH("对"&amp;LEFT($C$5,2)&amp;"输出",标准坦克设计!$B$23:$U$23,0)))*(VLOOKUP($B179,INDIRECT($B$5&amp;"生成成长"),3))*(VLOOKUP($B$5,标准坦克设计!$B$14:$K$20,9)/30))</f>
        <v>3.1119604981947031</v>
      </c>
      <c r="CD179" s="173">
        <f ca="1">(VLOOKUP(CD$72,INDIRECT($C$5&amp;"生成成长"),2))/((VLOOKUP($B179,INDIRECT($B$5&amp;"生成成长"),4))/(VLOOKUP(CD$72,INDIRECT($C$5&amp;"生成成长"),5))*(VLOOKUP($B$5,标准坦克设计!$B$24:$U$30,MATCH("对"&amp;LEFT($C$5,2)&amp;"输出",标准坦克设计!$B$23:$U$23,0)))*(VLOOKUP($B179,INDIRECT($B$5&amp;"生成成长"),3))*(VLOOKUP($B$5,标准坦克设计!$B$14:$K$20,9)/30))</f>
        <v>3.3690419273428835</v>
      </c>
      <c r="CE179" s="173">
        <f ca="1">(VLOOKUP(CE$72,INDIRECT($C$5&amp;"生成成长"),2))/((VLOOKUP($B179,INDIRECT($B$5&amp;"生成成长"),4))/(VLOOKUP(CE$72,INDIRECT($C$5&amp;"生成成长"),5))*(VLOOKUP($B$5,标准坦克设计!$B$24:$U$30,MATCH("对"&amp;LEFT($C$5,2)&amp;"输出",标准坦克设计!$B$23:$U$23,0)))*(VLOOKUP($B179,INDIRECT($B$5&amp;"生成成长"),3))*(VLOOKUP($B$5,标准坦克设计!$B$14:$K$20,9)/30))</f>
        <v>3.6363250005048795</v>
      </c>
      <c r="CF179" s="173">
        <f ca="1">(VLOOKUP(CF$72,INDIRECT($C$5&amp;"生成成长"),2))/((VLOOKUP($B179,INDIRECT($B$5&amp;"生成成长"),4))/(VLOOKUP(CF$72,INDIRECT($C$5&amp;"生成成长"),5))*(VLOOKUP($B$5,标准坦克设计!$B$24:$U$30,MATCH("对"&amp;LEFT($C$5,2)&amp;"输出",标准坦克设计!$B$23:$U$23,0)))*(VLOOKUP($B179,INDIRECT($B$5&amp;"生成成长"),3))*(VLOOKUP($B$5,标准坦克设计!$B$14:$K$20,9)/30))</f>
        <v>3.9138097176806932</v>
      </c>
      <c r="CG179" s="173">
        <f ca="1">(VLOOKUP(CG$72,INDIRECT($C$5&amp;"生成成长"),2))/((VLOOKUP($B179,INDIRECT($B$5&amp;"生成成长"),4))/(VLOOKUP(CG$72,INDIRECT($C$5&amp;"生成成长"),5))*(VLOOKUP($B$5,标准坦克设计!$B$24:$U$30,MATCH("对"&amp;LEFT($C$5,2)&amp;"输出",标准坦克设计!$B$23:$U$23,0)))*(VLOOKUP($B179,INDIRECT($B$5&amp;"生成成长"),3))*(VLOOKUP($B$5,标准坦克设计!$B$14:$K$20,9)/30))</f>
        <v>4.2014960788703233</v>
      </c>
      <c r="CH179" s="173">
        <f ca="1">(VLOOKUP(CH$72,INDIRECT($C$5&amp;"生成成长"),2))/((VLOOKUP($B179,INDIRECT($B$5&amp;"生成成长"),4))/(VLOOKUP(CH$72,INDIRECT($C$5&amp;"生成成长"),5))*(VLOOKUP($B$5,标准坦克设计!$B$24:$U$30,MATCH("对"&amp;LEFT($C$5,2)&amp;"输出",标准坦克设计!$B$23:$U$23,0)))*(VLOOKUP($B179,INDIRECT($B$5&amp;"生成成长"),3))*(VLOOKUP($B$5,标准坦克设计!$B$14:$K$20,9)/30))</f>
        <v>4.4993840840737693</v>
      </c>
      <c r="CI179" s="173">
        <f ca="1">(VLOOKUP(CI$72,INDIRECT($C$5&amp;"生成成长"),2))/((VLOOKUP($B179,INDIRECT($B$5&amp;"生成成长"),4))/(VLOOKUP(CI$72,INDIRECT($C$5&amp;"生成成长"),5))*(VLOOKUP($B$5,标准坦克设计!$B$24:$U$30,MATCH("对"&amp;LEFT($C$5,2)&amp;"输出",标准坦克设计!$B$23:$U$23,0)))*(VLOOKUP($B179,INDIRECT($B$5&amp;"生成成长"),3))*(VLOOKUP($B$5,标准坦克设计!$B$14:$K$20,9)/30))</f>
        <v>4.8388437886335183</v>
      </c>
      <c r="CJ179" s="173">
        <f ca="1">(VLOOKUP(CJ$72,INDIRECT($C$5&amp;"生成成长"),2))/((VLOOKUP($B179,INDIRECT($B$5&amp;"生成成长"),4))/(VLOOKUP(CJ$72,INDIRECT($C$5&amp;"生成成长"),5))*(VLOOKUP($B$5,标准坦克设计!$B$24:$U$30,MATCH("对"&amp;LEFT($C$5,2)&amp;"输出",标准坦克设计!$B$23:$U$23,0)))*(VLOOKUP($B179,INDIRECT($B$5&amp;"生成成长"),3))*(VLOOKUP($B$5,标准坦克设计!$B$14:$K$20,9)/30))</f>
        <v>5.1906474824499869</v>
      </c>
      <c r="CK179" s="173">
        <f ca="1">(VLOOKUP(CK$72,INDIRECT($C$5&amp;"生成成长"),2))/((VLOOKUP($B179,INDIRECT($B$5&amp;"生成成长"),4))/(VLOOKUP(CK$72,INDIRECT($C$5&amp;"生成成长"),5))*(VLOOKUP($B$5,标准坦克设计!$B$24:$U$30,MATCH("对"&amp;LEFT($C$5,2)&amp;"输出",标准坦克设计!$B$23:$U$23,0)))*(VLOOKUP($B179,INDIRECT($B$5&amp;"生成成长"),3))*(VLOOKUP($B$5,标准坦克设计!$B$14:$K$20,9)/30))</f>
        <v>5.5547951655231724</v>
      </c>
      <c r="CL179" s="173">
        <f ca="1">(VLOOKUP(CL$72,INDIRECT($C$5&amp;"生成成长"),2))/((VLOOKUP($B179,INDIRECT($B$5&amp;"生成成长"),4))/(VLOOKUP(CL$72,INDIRECT($C$5&amp;"生成成长"),5))*(VLOOKUP($B$5,标准坦克设计!$B$24:$U$30,MATCH("对"&amp;LEFT($C$5,2)&amp;"输出",标准坦克设计!$B$23:$U$23,0)))*(VLOOKUP($B179,INDIRECT($B$5&amp;"生成成长"),3))*(VLOOKUP($B$5,标准坦克设计!$B$14:$K$20,9)/30))</f>
        <v>5.9312868378530768</v>
      </c>
      <c r="CM179" s="173">
        <f ca="1">(VLOOKUP(CM$72,INDIRECT($C$5&amp;"生成成长"),2))/((VLOOKUP($B179,INDIRECT($B$5&amp;"生成成长"),4))/(VLOOKUP(CM$72,INDIRECT($C$5&amp;"生成成长"),5))*(VLOOKUP($B$5,标准坦克设计!$B$24:$U$30,MATCH("对"&amp;LEFT($C$5,2)&amp;"输出",标准坦克设计!$B$23:$U$23,0)))*(VLOOKUP($B179,INDIRECT($B$5&amp;"生成成长"),3))*(VLOOKUP($B$5,标准坦克设计!$B$14:$K$20,9)/30))</f>
        <v>6.3201224994396981</v>
      </c>
      <c r="CN179" s="173">
        <f ca="1">(VLOOKUP(CN$72,INDIRECT($C$5&amp;"生成成长"),2))/((VLOOKUP($B179,INDIRECT($B$5&amp;"生成成长"),4))/(VLOOKUP(CN$72,INDIRECT($C$5&amp;"生成成长"),5))*(VLOOKUP($B$5,标准坦克设计!$B$24:$U$30,MATCH("对"&amp;LEFT($C$5,2)&amp;"输出",标准坦克设计!$B$23:$U$23,0)))*(VLOOKUP($B179,INDIRECT($B$5&amp;"生成成长"),3))*(VLOOKUP($B$5,标准坦克设计!$B$14:$K$20,9)/30))</f>
        <v>6.7213021502830381</v>
      </c>
      <c r="CO179" s="173">
        <f ca="1">(VLOOKUP(CO$72,INDIRECT($C$5&amp;"生成成长"),2))/((VLOOKUP($B179,INDIRECT($B$5&amp;"生成成长"),4))/(VLOOKUP(CO$72,INDIRECT($C$5&amp;"生成成长"),5))*(VLOOKUP($B$5,标准坦克设计!$B$24:$U$30,MATCH("对"&amp;LEFT($C$5,2)&amp;"输出",标准坦克设计!$B$23:$U$23,0)))*(VLOOKUP($B179,INDIRECT($B$5&amp;"生成成长"),3))*(VLOOKUP($B$5,标准坦克设计!$B$14:$K$20,9)/30))</f>
        <v>3.0119843868593006</v>
      </c>
      <c r="CP179" s="173">
        <f ca="1">(VLOOKUP(CP$72,INDIRECT($C$5&amp;"生成成长"),2))/((VLOOKUP($B179,INDIRECT($B$5&amp;"生成成长"),4))/(VLOOKUP(CP$72,INDIRECT($C$5&amp;"生成成长"),5))*(VLOOKUP($B$5,标准坦克设计!$B$24:$U$30,MATCH("对"&amp;LEFT($C$5,2)&amp;"输出",标准坦克设计!$B$23:$U$23,0)))*(VLOOKUP($B179,INDIRECT($B$5&amp;"生成成长"),3))*(VLOOKUP($B$5,标准坦克设计!$B$14:$K$20,9)/30))</f>
        <v>3.2908463259769789</v>
      </c>
      <c r="CQ179" s="173">
        <f ca="1">(VLOOKUP(CQ$72,INDIRECT($C$5&amp;"生成成长"),2))/((VLOOKUP($B179,INDIRECT($B$5&amp;"生成成长"),4))/(VLOOKUP(CQ$72,INDIRECT($C$5&amp;"生成成长"),5))*(VLOOKUP($B$5,标准坦克设计!$B$24:$U$30,MATCH("对"&amp;LEFT($C$5,2)&amp;"输出",标准坦克设计!$B$23:$U$23,0)))*(VLOOKUP($B179,INDIRECT($B$5&amp;"生成成长"),3))*(VLOOKUP($B$5,标准坦克设计!$B$14:$K$20,9)/30))</f>
        <v>3.5820522543513751</v>
      </c>
      <c r="CR179" s="173">
        <f ca="1">(VLOOKUP(CR$72,INDIRECT($C$5&amp;"生成成长"),2))/((VLOOKUP($B179,INDIRECT($B$5&amp;"生成成长"),4))/(VLOOKUP(CR$72,INDIRECT($C$5&amp;"生成成长"),5))*(VLOOKUP($B$5,标准坦克设计!$B$24:$U$30,MATCH("对"&amp;LEFT($C$5,2)&amp;"输出",标准坦克设计!$B$23:$U$23,0)))*(VLOOKUP($B179,INDIRECT($B$5&amp;"生成成长"),3))*(VLOOKUP($B$5,标准坦克设计!$B$14:$K$20,9)/30))</f>
        <v>3.88560217198249</v>
      </c>
      <c r="CS179" s="173">
        <f ca="1">(VLOOKUP(CS$72,INDIRECT($C$5&amp;"生成成长"),2))/((VLOOKUP($B179,INDIRECT($B$5&amp;"生成成长"),4))/(VLOOKUP(CS$72,INDIRECT($C$5&amp;"生成成长"),5))*(VLOOKUP($B$5,标准坦克设计!$B$24:$U$30,MATCH("对"&amp;LEFT($C$5,2)&amp;"输出",标准坦克设计!$B$23:$U$23,0)))*(VLOOKUP($B179,INDIRECT($B$5&amp;"生成成长"),3))*(VLOOKUP($B$5,标准坦克设计!$B$14:$K$20,9)/30))</f>
        <v>4.2014960788703233</v>
      </c>
      <c r="CT179" s="173">
        <f ca="1">(VLOOKUP(CT$72,INDIRECT($C$5&amp;"生成成长"),2))/((VLOOKUP($B179,INDIRECT($B$5&amp;"生成成长"),4))/(VLOOKUP(CT$72,INDIRECT($C$5&amp;"生成成长"),5))*(VLOOKUP($B$5,标准坦克设计!$B$24:$U$30,MATCH("对"&amp;LEFT($C$5,2)&amp;"输出",标准坦克设计!$B$23:$U$23,0)))*(VLOOKUP($B179,INDIRECT($B$5&amp;"生成成长"),3))*(VLOOKUP($B$5,标准坦克设计!$B$14:$K$20,9)/30))</f>
        <v>4.5297339750148726</v>
      </c>
      <c r="CU179" s="173">
        <f ca="1">(VLOOKUP(CU$72,INDIRECT($C$5&amp;"生成成长"),2))/((VLOOKUP($B179,INDIRECT($B$5&amp;"生成成长"),4))/(VLOOKUP(CU$72,INDIRECT($C$5&amp;"生成成长"),5))*(VLOOKUP($B$5,标准坦克设计!$B$24:$U$30,MATCH("对"&amp;LEFT($C$5,2)&amp;"输出",标准坦克设计!$B$23:$U$23,0)))*(VLOOKUP($B179,INDIRECT($B$5&amp;"生成成长"),3))*(VLOOKUP($B$5,标准坦克设计!$B$14:$K$20,9)/30))</f>
        <v>4.8703158604161434</v>
      </c>
      <c r="CV179" s="173">
        <f ca="1">(VLOOKUP(CV$72,INDIRECT($C$5&amp;"生成成长"),2))/((VLOOKUP($B179,INDIRECT($B$5&amp;"生成成长"),4))/(VLOOKUP(CV$72,INDIRECT($C$5&amp;"生成成长"),5))*(VLOOKUP($B$5,标准坦克设计!$B$24:$U$30,MATCH("对"&amp;LEFT($C$5,2)&amp;"输出",标准坦克设计!$B$23:$U$23,0)))*(VLOOKUP($B179,INDIRECT($B$5&amp;"生成成长"),3))*(VLOOKUP($B$5,标准坦克设计!$B$14:$K$20,9)/30))</f>
        <v>5.2232417350741294</v>
      </c>
      <c r="CW179" s="173">
        <f ca="1">(VLOOKUP(CW$72,INDIRECT($C$5&amp;"生成成长"),2))/((VLOOKUP($B179,INDIRECT($B$5&amp;"生成成长"),4))/(VLOOKUP(CW$72,INDIRECT($C$5&amp;"生成成长"),5))*(VLOOKUP($B$5,标准坦克设计!$B$24:$U$30,MATCH("对"&amp;LEFT($C$5,2)&amp;"输出",标准坦克设计!$B$23:$U$23,0)))*(VLOOKUP($B179,INDIRECT($B$5&amp;"生成成长"),3))*(VLOOKUP($B$5,标准坦克设计!$B$14:$K$20,9)/30))</f>
        <v>5.5885115989888368</v>
      </c>
      <c r="CX179" s="173">
        <f ca="1">(VLOOKUP(CX$72,INDIRECT($C$5&amp;"生成成长"),2))/((VLOOKUP($B179,INDIRECT($B$5&amp;"生成成长"),4))/(VLOOKUP(CX$72,INDIRECT($C$5&amp;"生成成长"),5))*(VLOOKUP($B$5,标准坦克设计!$B$24:$U$30,MATCH("对"&amp;LEFT($C$5,2)&amp;"输出",标准坦克设计!$B$23:$U$23,0)))*(VLOOKUP($B179,INDIRECT($B$5&amp;"生成成长"),3))*(VLOOKUP($B$5,标准坦克设计!$B$14:$K$20,9)/30))</f>
        <v>5.9661254521602602</v>
      </c>
      <c r="CY179" s="173">
        <f ca="1">(VLOOKUP(CY$72,INDIRECT($C$5&amp;"生成成长"),2))/((VLOOKUP($B179,INDIRECT($B$5&amp;"生成成长"),4))/(VLOOKUP(CY$72,INDIRECT($C$5&amp;"生成成长"),5))*(VLOOKUP($B$5,标准坦克设计!$B$24:$U$30,MATCH("对"&amp;LEFT($C$5,2)&amp;"输出",标准坦克设计!$B$23:$U$23,0)))*(VLOOKUP($B179,INDIRECT($B$5&amp;"生成成长"),3))*(VLOOKUP($B$5,标准坦克设计!$B$14:$K$20,9)/30))</f>
        <v>6.3560832945884016</v>
      </c>
      <c r="CZ179" s="173">
        <f ca="1">(VLOOKUP(CZ$72,INDIRECT($C$5&amp;"生成成长"),2))/((VLOOKUP($B179,INDIRECT($B$5&amp;"生成成长"),4))/(VLOOKUP(CZ$72,INDIRECT($C$5&amp;"生成成长"),5))*(VLOOKUP($B$5,标准坦克设计!$B$24:$U$30,MATCH("对"&amp;LEFT($C$5,2)&amp;"输出",标准坦克设计!$B$23:$U$23,0)))*(VLOOKUP($B179,INDIRECT($B$5&amp;"生成成长"),3))*(VLOOKUP($B$5,标准坦克设计!$B$14:$K$20,9)/30))</f>
        <v>6.7583851262732608</v>
      </c>
      <c r="DA179" s="173">
        <f ca="1">(VLOOKUP(DA$72,INDIRECT($C$5&amp;"生成成长"),2))/((VLOOKUP($B179,INDIRECT($B$5&amp;"生成成长"),4))/(VLOOKUP(DA$72,INDIRECT($C$5&amp;"生成成长"),5))*(VLOOKUP($B$5,标准坦克设计!$B$24:$U$30,MATCH("对"&amp;LEFT($C$5,2)&amp;"输出",标准坦克设计!$B$23:$U$23,0)))*(VLOOKUP($B179,INDIRECT($B$5&amp;"生成成长"),3))*(VLOOKUP($B$5,标准坦克设计!$B$14:$K$20,9)/30))</f>
        <v>7.1730309472148397</v>
      </c>
      <c r="DB179" s="173">
        <f ca="1">(VLOOKUP(DB$72,INDIRECT($C$5&amp;"生成成长"),2))/((VLOOKUP($B179,INDIRECT($B$5&amp;"生成成长"),4))/(VLOOKUP(DB$72,INDIRECT($C$5&amp;"生成成长"),5))*(VLOOKUP($B$5,标准坦克设计!$B$24:$U$30,MATCH("对"&amp;LEFT($C$5,2)&amp;"输出",标准坦克设计!$B$23:$U$23,0)))*(VLOOKUP($B179,INDIRECT($B$5&amp;"生成成长"),3))*(VLOOKUP($B$5,标准坦克设计!$B$14:$K$20,9)/30))</f>
        <v>7.6000207574131364</v>
      </c>
      <c r="DC179" s="173">
        <f ca="1">(VLOOKUP(DC$72,INDIRECT($C$5&amp;"生成成长"),2))/((VLOOKUP($B179,INDIRECT($B$5&amp;"生成成长"),4))/(VLOOKUP(DC$72,INDIRECT($C$5&amp;"生成成长"),5))*(VLOOKUP($B$5,标准坦克设计!$B$24:$U$30,MATCH("对"&amp;LEFT($C$5,2)&amp;"输出",标准坦克设计!$B$23:$U$23,0)))*(VLOOKUP($B179,INDIRECT($B$5&amp;"生成成长"),3))*(VLOOKUP($B$5,标准坦克设计!$B$14:$K$20,9)/30))</f>
        <v>8.0799060918230712</v>
      </c>
      <c r="DD179" s="173">
        <f ca="1">(VLOOKUP(DD$72,INDIRECT($C$5&amp;"生成成长"),2))/((VLOOKUP($B179,INDIRECT($B$5&amp;"生成成长"),4))/(VLOOKUP(DD$72,INDIRECT($C$5&amp;"生成成长"),5))*(VLOOKUP($B$5,标准坦克设计!$B$24:$U$30,MATCH("对"&amp;LEFT($C$5,2)&amp;"输出",标准坦克设计!$B$23:$U$23,0)))*(VLOOKUP($B179,INDIRECT($B$5&amp;"生成成长"),3))*(VLOOKUP($B$5,标准坦克设计!$B$14:$K$20,9)/30))</f>
        <v>8.5744817936129039</v>
      </c>
      <c r="DE179" s="173">
        <f ca="1">(VLOOKUP(DE$72,INDIRECT($C$5&amp;"生成成长"),2))/((VLOOKUP($B179,INDIRECT($B$5&amp;"生成成长"),4))/(VLOOKUP(DE$72,INDIRECT($C$5&amp;"生成成长"),5))*(VLOOKUP($B$5,标准坦克设计!$B$24:$U$30,MATCH("对"&amp;LEFT($C$5,2)&amp;"输出",标准坦克设计!$B$23:$U$23,0)))*(VLOOKUP($B179,INDIRECT($B$5&amp;"生成成长"),3))*(VLOOKUP($B$5,标准坦克设计!$B$14:$K$20,9)/30))</f>
        <v>9.0837478627826318</v>
      </c>
      <c r="DF179" s="173">
        <f ca="1">(VLOOKUP(DF$72,INDIRECT($C$5&amp;"生成成长"),2))/((VLOOKUP($B179,INDIRECT($B$5&amp;"生成成长"),4))/(VLOOKUP(DF$72,INDIRECT($C$5&amp;"生成成长"),5))*(VLOOKUP($B$5,标准坦克设计!$B$24:$U$30,MATCH("对"&amp;LEFT($C$5,2)&amp;"输出",标准坦克设计!$B$23:$U$23,0)))*(VLOOKUP($B179,INDIRECT($B$5&amp;"生成成长"),3))*(VLOOKUP($B$5,标准坦克设计!$B$14:$K$20,9)/30))</f>
        <v>9.6077042993322532</v>
      </c>
      <c r="DG179" s="173">
        <f ca="1">(VLOOKUP(DG$72,INDIRECT($C$5&amp;"生成成长"),2))/((VLOOKUP($B179,INDIRECT($B$5&amp;"生成成长"),4))/(VLOOKUP(DG$72,INDIRECT($C$5&amp;"生成成长"),5))*(VLOOKUP($B$5,标准坦克设计!$B$24:$U$30,MATCH("对"&amp;LEFT($C$5,2)&amp;"输出",标准坦克设计!$B$23:$U$23,0)))*(VLOOKUP($B179,INDIRECT($B$5&amp;"生成成长"),3))*(VLOOKUP($B$5,标准坦克设计!$B$14:$K$20,9)/30))</f>
        <v>10.146351103261775</v>
      </c>
      <c r="DH179" s="173">
        <f ca="1">(VLOOKUP(DH$72,INDIRECT($C$5&amp;"生成成长"),2))/((VLOOKUP($B179,INDIRECT($B$5&amp;"生成成长"),4))/(VLOOKUP(DH$72,INDIRECT($C$5&amp;"生成成长"),5))*(VLOOKUP($B$5,标准坦克设计!$B$24:$U$30,MATCH("对"&amp;LEFT($C$5,2)&amp;"输出",标准坦克设计!$B$23:$U$23,0)))*(VLOOKUP($B179,INDIRECT($B$5&amp;"生成成长"),3))*(VLOOKUP($B$5,标准坦克设计!$B$14:$K$20,9)/30))</f>
        <v>10.699688274571193</v>
      </c>
      <c r="DI179" s="173">
        <f ca="1">(VLOOKUP(DI$72,INDIRECT($C$5&amp;"生成成长"),2))/((VLOOKUP($B179,INDIRECT($B$5&amp;"生成成长"),4))/(VLOOKUP(DI$72,INDIRECT($C$5&amp;"生成成长"),5))*(VLOOKUP($B$5,标准坦克设计!$B$24:$U$30,MATCH("对"&amp;LEFT($C$5,2)&amp;"输出",标准坦克设计!$B$23:$U$23,0)))*(VLOOKUP($B179,INDIRECT($B$5&amp;"生成成长"),3))*(VLOOKUP($B$5,标准坦克设计!$B$14:$K$20,9)/30))</f>
        <v>11.267715813260502</v>
      </c>
      <c r="DJ179" s="173">
        <f ca="1">(VLOOKUP(DJ$72,INDIRECT($C$5&amp;"生成成长"),2))/((VLOOKUP($B179,INDIRECT($B$5&amp;"生成成长"),4))/(VLOOKUP(DJ$72,INDIRECT($C$5&amp;"生成成长"),5))*(VLOOKUP($B$5,标准坦克设计!$B$24:$U$30,MATCH("对"&amp;LEFT($C$5,2)&amp;"输出",标准坦克设计!$B$23:$U$23,0)))*(VLOOKUP($B179,INDIRECT($B$5&amp;"生成成长"),3))*(VLOOKUP($B$5,标准坦克设计!$B$14:$K$20,9)/30))</f>
        <v>1.1324334937537182</v>
      </c>
      <c r="DK179" s="173">
        <f ca="1">(VLOOKUP(DK$72,INDIRECT($C$5&amp;"生成成长"),2))/((VLOOKUP($B179,INDIRECT($B$5&amp;"生成成长"),4))/(VLOOKUP(DK$72,INDIRECT($C$5&amp;"生成成长"),5))*(VLOOKUP($B$5,标准坦克设计!$B$24:$U$30,MATCH("对"&amp;LEFT($C$5,2)&amp;"输出",标准坦克设计!$B$23:$U$23,0)))*(VLOOKUP($B179,INDIRECT($B$5&amp;"生成成长"),3))*(VLOOKUP($B$5,标准坦克设计!$B$14:$K$20,9)/30))</f>
        <v>1.2733692058045958</v>
      </c>
      <c r="DL179" s="173">
        <f ca="1">(VLOOKUP(DL$72,INDIRECT($C$5&amp;"生成成长"),2))/((VLOOKUP($B179,INDIRECT($B$5&amp;"生成成长"),4))/(VLOOKUP(DL$72,INDIRECT($C$5&amp;"生成成长"),5))*(VLOOKUP($B$5,标准坦克设计!$B$24:$U$30,MATCH("对"&amp;LEFT($C$5,2)&amp;"输出",标准坦克设计!$B$23:$U$23,0)))*(VLOOKUP($B179,INDIRECT($B$5&amp;"生成成长"),3))*(VLOOKUP($B$5,标准坦克设计!$B$14:$K$20,9)/30))</f>
        <v>1.4225682495066643</v>
      </c>
      <c r="DM179" s="173">
        <f ca="1">(VLOOKUP(DM$72,INDIRECT($C$5&amp;"生成成长"),2))/((VLOOKUP($B179,INDIRECT($B$5&amp;"生成成长"),4))/(VLOOKUP(DM$72,INDIRECT($C$5&amp;"生成成长"),5))*(VLOOKUP($B$5,标准坦克设计!$B$24:$U$30,MATCH("对"&amp;LEFT($C$5,2)&amp;"输出",标准坦克设计!$B$23:$U$23,0)))*(VLOOKUP($B179,INDIRECT($B$5&amp;"生成成长"),3))*(VLOOKUP($B$5,标准坦克设计!$B$14:$K$20,9)/30))</f>
        <v>1.5800306248599245</v>
      </c>
      <c r="DN179" s="173">
        <f ca="1">(VLOOKUP(DN$72,INDIRECT($C$5&amp;"生成成长"),2))/((VLOOKUP($B179,INDIRECT($B$5&amp;"生成成长"),4))/(VLOOKUP(DN$72,INDIRECT($C$5&amp;"生成成长"),5))*(VLOOKUP($B$5,标准坦克设计!$B$24:$U$30,MATCH("对"&amp;LEFT($C$5,2)&amp;"输出",标准坦克设计!$B$23:$U$23,0)))*(VLOOKUP($B179,INDIRECT($B$5&amp;"生成成长"),3))*(VLOOKUP($B$5,标准坦克设计!$B$14:$K$20,9)/30))</f>
        <v>1.7457563318643763</v>
      </c>
      <c r="DO179" s="173">
        <f ca="1">(VLOOKUP(DO$72,INDIRECT($C$5&amp;"生成成长"),2))/((VLOOKUP($B179,INDIRECT($B$5&amp;"生成成长"),4))/(VLOOKUP(DO$72,INDIRECT($C$5&amp;"生成成长"),5))*(VLOOKUP($B$5,标准坦克设计!$B$24:$U$30,MATCH("对"&amp;LEFT($C$5,2)&amp;"输出",标准坦克设计!$B$23:$U$23,0)))*(VLOOKUP($B179,INDIRECT($B$5&amp;"生成成长"),3))*(VLOOKUP($B$5,标准坦克设计!$B$14:$K$20,9)/30))</f>
        <v>1.9197453705200196</v>
      </c>
      <c r="DP179" s="173">
        <f ca="1">(VLOOKUP(DP$72,INDIRECT($C$5&amp;"生成成长"),2))/((VLOOKUP($B179,INDIRECT($B$5&amp;"生成成长"),4))/(VLOOKUP(DP$72,INDIRECT($C$5&amp;"生成成长"),5))*(VLOOKUP($B$5,标准坦克设计!$B$24:$U$30,MATCH("对"&amp;LEFT($C$5,2)&amp;"输出",标准坦克设计!$B$23:$U$23,0)))*(VLOOKUP($B179,INDIRECT($B$5&amp;"生成成长"),3))*(VLOOKUP($B$5,标准坦克设计!$B$14:$K$20,9)/30))</f>
        <v>2.101997740826854</v>
      </c>
      <c r="DQ179" s="173">
        <f ca="1">(VLOOKUP(DQ$72,INDIRECT($C$5&amp;"生成成长"),2))/((VLOOKUP($B179,INDIRECT($B$5&amp;"生成成长"),4))/(VLOOKUP(DQ$72,INDIRECT($C$5&amp;"生成成长"),5))*(VLOOKUP($B$5,标准坦克设计!$B$24:$U$30,MATCH("对"&amp;LEFT($C$5,2)&amp;"输出",标准坦克设计!$B$23:$U$23,0)))*(VLOOKUP($B179,INDIRECT($B$5&amp;"生成成长"),3))*(VLOOKUP($B$5,标准坦克设计!$B$14:$K$20,9)/30))</f>
        <v>2.2925134427848799</v>
      </c>
      <c r="DR179" s="173">
        <f ca="1">(VLOOKUP(DR$72,INDIRECT($C$5&amp;"生成成长"),2))/((VLOOKUP($B179,INDIRECT($B$5&amp;"生成成长"),4))/(VLOOKUP(DR$72,INDIRECT($C$5&amp;"生成成长"),5))*(VLOOKUP($B$5,标准坦克设计!$B$24:$U$30,MATCH("对"&amp;LEFT($C$5,2)&amp;"输出",标准坦克设计!$B$23:$U$23,0)))*(VLOOKUP($B179,INDIRECT($B$5&amp;"生成成长"),3))*(VLOOKUP($B$5,标准坦克设计!$B$14:$K$20,9)/30))</f>
        <v>2.4912924763940971</v>
      </c>
      <c r="DS179" s="173">
        <f ca="1">(VLOOKUP(DS$72,INDIRECT($C$5&amp;"生成成长"),2))/((VLOOKUP($B179,INDIRECT($B$5&amp;"生成成长"),4))/(VLOOKUP(DS$72,INDIRECT($C$5&amp;"生成成长"),5))*(VLOOKUP($B$5,标准坦克设计!$B$24:$U$30,MATCH("对"&amp;LEFT($C$5,2)&amp;"输出",标准坦克设计!$B$23:$U$23,0)))*(VLOOKUP($B179,INDIRECT($B$5&amp;"生成成长"),3))*(VLOOKUP($B$5,标准坦克设计!$B$14:$K$20,9)/30))</f>
        <v>2.6983348416545065</v>
      </c>
      <c r="DT179" s="173">
        <f ca="1">(VLOOKUP(DT$72,INDIRECT($C$5&amp;"生成成长"),2))/((VLOOKUP($B179,INDIRECT($B$5&amp;"生成成长"),4))/(VLOOKUP(DT$72,INDIRECT($C$5&amp;"生成成长"),5))*(VLOOKUP($B$5,标准坦克设计!$B$24:$U$30,MATCH("对"&amp;LEFT($C$5,2)&amp;"输出",标准坦克设计!$B$23:$U$23,0)))*(VLOOKUP($B179,INDIRECT($B$5&amp;"生成成长"),3))*(VLOOKUP($B$5,标准坦克设计!$B$14:$K$20,9)/30))</f>
        <v>2.9626084298324273</v>
      </c>
      <c r="DU179" s="173">
        <f ca="1">(VLOOKUP(DU$72,INDIRECT($C$5&amp;"生成成长"),2))/((VLOOKUP($B179,INDIRECT($B$5&amp;"生成成长"),4))/(VLOOKUP(DU$72,INDIRECT($C$5&amp;"生成成长"),5))*(VLOOKUP($B$5,标准坦克设计!$B$24:$U$30,MATCH("对"&amp;LEFT($C$5,2)&amp;"输出",标准坦克设计!$B$23:$U$23,0)))*(VLOOKUP($B179,INDIRECT($B$5&amp;"生成成长"),3))*(VLOOKUP($B$5,标准坦克设计!$B$14:$K$20,9)/30))</f>
        <v>3.2392260072670664</v>
      </c>
      <c r="DV179" s="173">
        <f ca="1">(VLOOKUP(DV$72,INDIRECT($C$5&amp;"生成成长"),2))/((VLOOKUP($B179,INDIRECT($B$5&amp;"生成成长"),4))/(VLOOKUP(DV$72,INDIRECT($C$5&amp;"生成成长"),5))*(VLOOKUP($B$5,标准坦克设计!$B$24:$U$30,MATCH("对"&amp;LEFT($C$5,2)&amp;"输出",标准坦克设计!$B$23:$U$23,0)))*(VLOOKUP($B179,INDIRECT($B$5&amp;"生成成长"),3))*(VLOOKUP($B$5,标准坦克设计!$B$14:$K$20,9)/30))</f>
        <v>3.528187573958423</v>
      </c>
      <c r="DW179" s="173">
        <f ca="1">(VLOOKUP(DW$72,INDIRECT($C$5&amp;"生成成长"),2))/((VLOOKUP($B179,INDIRECT($B$5&amp;"生成成长"),4))/(VLOOKUP(DW$72,INDIRECT($C$5&amp;"生成成长"),5))*(VLOOKUP($B$5,标准坦克设计!$B$24:$U$30,MATCH("对"&amp;LEFT($C$5,2)&amp;"输出",标准坦克设计!$B$23:$U$23,0)))*(VLOOKUP($B179,INDIRECT($B$5&amp;"生成成长"),3))*(VLOOKUP($B$5,标准坦克设计!$B$14:$K$20,9)/30))</f>
        <v>3.8294931299064987</v>
      </c>
      <c r="DX179" s="173">
        <f ca="1">(VLOOKUP(DX$72,INDIRECT($C$5&amp;"生成成长"),2))/((VLOOKUP($B179,INDIRECT($B$5&amp;"生成成长"),4))/(VLOOKUP(DX$72,INDIRECT($C$5&amp;"生成成长"),5))*(VLOOKUP($B$5,标准坦克设计!$B$24:$U$30,MATCH("对"&amp;LEFT($C$5,2)&amp;"输出",标准坦克设计!$B$23:$U$23,0)))*(VLOOKUP($B179,INDIRECT($B$5&amp;"生成成长"),3))*(VLOOKUP($B$5,标准坦克设计!$B$14:$K$20,9)/30))</f>
        <v>4.1431426751112923</v>
      </c>
      <c r="DY179" s="173">
        <f ca="1">(VLOOKUP(DY$72,INDIRECT($C$5&amp;"生成成长"),2))/((VLOOKUP($B179,INDIRECT($B$5&amp;"生成成长"),4))/(VLOOKUP(DY$72,INDIRECT($C$5&amp;"生成成长"),5))*(VLOOKUP($B$5,标准坦克设计!$B$24:$U$30,MATCH("对"&amp;LEFT($C$5,2)&amp;"输出",标准坦克设计!$B$23:$U$23,0)))*(VLOOKUP($B179,INDIRECT($B$5&amp;"生成成长"),3))*(VLOOKUP($B$5,标准坦克设计!$B$14:$K$20,9)/30))</f>
        <v>1.8608308763402279</v>
      </c>
      <c r="DZ179" s="173">
        <f ca="1">(VLOOKUP(DZ$72,INDIRECT($C$5&amp;"生成成长"),2))/((VLOOKUP($B179,INDIRECT($B$5&amp;"生成成长"),4))/(VLOOKUP(DZ$72,INDIRECT($C$5&amp;"生成成长"),5))*(VLOOKUP($B$5,标准坦克设计!$B$24:$U$30,MATCH("对"&amp;LEFT($C$5,2)&amp;"输出",标准坦克设计!$B$23:$U$23,0)))*(VLOOKUP($B179,INDIRECT($B$5&amp;"生成成长"),3))*(VLOOKUP($B$5,标准坦克设计!$B$14:$K$20,9)/30))</f>
        <v>2.0607830990110347</v>
      </c>
      <c r="EA179" s="173">
        <f ca="1">(VLOOKUP(EA$72,INDIRECT($C$5&amp;"生成成长"),2))/((VLOOKUP($B179,INDIRECT($B$5&amp;"生成成长"),4))/(VLOOKUP(EA$72,INDIRECT($C$5&amp;"生成成长"),5))*(VLOOKUP($B$5,标准坦克设计!$B$24:$U$30,MATCH("对"&amp;LEFT($C$5,2)&amp;"输出",标准坦克设计!$B$23:$U$23,0)))*(VLOOKUP($B179,INDIRECT($B$5&amp;"生成成长"),3))*(VLOOKUP($B$5,标准坦克设计!$B$14:$K$20,9)/30))</f>
        <v>2.2709369656956579</v>
      </c>
      <c r="EB179" s="173">
        <f ca="1">(VLOOKUP(EB$72,INDIRECT($C$5&amp;"生成成长"),2))/((VLOOKUP($B179,INDIRECT($B$5&amp;"生成成长"),4))/(VLOOKUP(EB$72,INDIRECT($C$5&amp;"生成成长"),5))*(VLOOKUP($B$5,标准坦克设计!$B$24:$U$30,MATCH("对"&amp;LEFT($C$5,2)&amp;"输出",标准坦克设计!$B$23:$U$23,0)))*(VLOOKUP($B179,INDIRECT($B$5&amp;"生成成长"),3))*(VLOOKUP($B$5,标准坦克设计!$B$14:$K$20,9)/30))</f>
        <v>2.4912924763940971</v>
      </c>
      <c r="EC179" s="173">
        <f ca="1">(VLOOKUP(EC$72,INDIRECT($C$5&amp;"生成成长"),2))/((VLOOKUP($B179,INDIRECT($B$5&amp;"生成成长"),4))/(VLOOKUP(EC$72,INDIRECT($C$5&amp;"生成成长"),5))*(VLOOKUP($B$5,标准坦克设计!$B$24:$U$30,MATCH("对"&amp;LEFT($C$5,2)&amp;"输出",标准坦克设计!$B$23:$U$23,0)))*(VLOOKUP($B179,INDIRECT($B$5&amp;"生成成长"),3))*(VLOOKUP($B$5,标准坦克设计!$B$14:$K$20,9)/30))</f>
        <v>2.721849631106354</v>
      </c>
      <c r="ED179" s="173">
        <f ca="1">(VLOOKUP(ED$72,INDIRECT($C$5&amp;"生成成长"),2))/((VLOOKUP($B179,INDIRECT($B$5&amp;"生成成长"),4))/(VLOOKUP(ED$72,INDIRECT($C$5&amp;"生成成长"),5))*(VLOOKUP($B$5,标准坦克设计!$B$24:$U$30,MATCH("对"&amp;LEFT($C$5,2)&amp;"输出",标准坦克设计!$B$23:$U$23,0)))*(VLOOKUP($B179,INDIRECT($B$5&amp;"生成成长"),3))*(VLOOKUP($B$5,标准坦克设计!$B$14:$K$20,9)/30))</f>
        <v>2.9626084298324273</v>
      </c>
      <c r="EE179" s="173">
        <f ca="1">(VLOOKUP(EE$72,INDIRECT($C$5&amp;"生成成长"),2))/((VLOOKUP($B179,INDIRECT($B$5&amp;"生成成长"),4))/(VLOOKUP(EE$72,INDIRECT($C$5&amp;"生成成长"),5))*(VLOOKUP($B$5,标准坦克设计!$B$24:$U$30,MATCH("对"&amp;LEFT($C$5,2)&amp;"输出",标准坦克设计!$B$23:$U$23,0)))*(VLOOKUP($B179,INDIRECT($B$5&amp;"生成成长"),3))*(VLOOKUP($B$5,标准坦克设计!$B$14:$K$20,9)/30))</f>
        <v>3.213568872572317</v>
      </c>
      <c r="EF179" s="173">
        <f ca="1">(VLOOKUP(EF$72,INDIRECT($C$5&amp;"生成成长"),2))/((VLOOKUP($B179,INDIRECT($B$5&amp;"生成成长"),4))/(VLOOKUP(EF$72,INDIRECT($C$5&amp;"生成成长"),5))*(VLOOKUP($B$5,标准坦克设计!$B$24:$U$30,MATCH("对"&amp;LEFT($C$5,2)&amp;"输出",标准坦克设计!$B$23:$U$23,0)))*(VLOOKUP($B179,INDIRECT($B$5&amp;"生成成长"),3))*(VLOOKUP($B$5,标准坦克设计!$B$14:$K$20,9)/30))</f>
        <v>3.4747309593260236</v>
      </c>
      <c r="EG179" s="173">
        <f ca="1">(VLOOKUP(EG$72,INDIRECT($C$5&amp;"生成成长"),2))/((VLOOKUP($B179,INDIRECT($B$5&amp;"生成成长"),4))/(VLOOKUP(EG$72,INDIRECT($C$5&amp;"生成成长"),5))*(VLOOKUP($B$5,标准坦克设计!$B$24:$U$30,MATCH("对"&amp;LEFT($C$5,2)&amp;"输出",标准坦克设计!$B$23:$U$23,0)))*(VLOOKUP($B179,INDIRECT($B$5&amp;"生成成长"),3))*(VLOOKUP($B$5,标准坦克设计!$B$14:$K$20,9)/30))</f>
        <v>3.7460946900935475</v>
      </c>
      <c r="EH179" s="173">
        <f ca="1">(VLOOKUP(EH$72,INDIRECT($C$5&amp;"生成成长"),2))/((VLOOKUP($B179,INDIRECT($B$5&amp;"生成成长"),4))/(VLOOKUP(EH$72,INDIRECT($C$5&amp;"生成成长"),5))*(VLOOKUP($B$5,标准坦克设计!$B$24:$U$30,MATCH("对"&amp;LEFT($C$5,2)&amp;"输出",标准坦克设计!$B$23:$U$23,0)))*(VLOOKUP($B179,INDIRECT($B$5&amp;"生成成长"),3))*(VLOOKUP($B$5,标准坦克设计!$B$14:$K$20,9)/30))</f>
        <v>4.0276600648748868</v>
      </c>
      <c r="EI179" s="173">
        <f ca="1">(VLOOKUP(EI$72,INDIRECT($C$5&amp;"生成成长"),2))/((VLOOKUP($B179,INDIRECT($B$5&amp;"生成成长"),4))/(VLOOKUP(EI$72,INDIRECT($C$5&amp;"生成成长"),5))*(VLOOKUP($B$5,标准坦克设计!$B$24:$U$30,MATCH("对"&amp;LEFT($C$5,2)&amp;"输出",标准坦克设计!$B$23:$U$23,0)))*(VLOOKUP($B179,INDIRECT($B$5&amp;"生成成长"),3))*(VLOOKUP($B$5,标准坦克设计!$B$14:$K$20,9)/30))</f>
        <v>4.3194270836700435</v>
      </c>
      <c r="EJ179" s="173">
        <f ca="1">(VLOOKUP(EJ$72,INDIRECT($C$5&amp;"生成成长"),2))/((VLOOKUP($B179,INDIRECT($B$5&amp;"生成成长"),4))/(VLOOKUP(EJ$72,INDIRECT($C$5&amp;"生成成长"),5))*(VLOOKUP($B$5,标准坦克设计!$B$24:$U$30,MATCH("对"&amp;LEFT($C$5,2)&amp;"输出",标准坦克设计!$B$23:$U$23,0)))*(VLOOKUP($B179,INDIRECT($B$5&amp;"生成成长"),3))*(VLOOKUP($B$5,标准坦克设计!$B$14:$K$20,9)/30))</f>
        <v>4.621395746479017</v>
      </c>
      <c r="EK179" s="173">
        <f ca="1">(VLOOKUP(EK$72,INDIRECT($C$5&amp;"生成成长"),2))/((VLOOKUP($B179,INDIRECT($B$5&amp;"生成成长"),4))/(VLOOKUP(EK$72,INDIRECT($C$5&amp;"生成成长"),5))*(VLOOKUP($B$5,标准坦克设计!$B$24:$U$30,MATCH("对"&amp;LEFT($C$5,2)&amp;"输出",标准坦克设计!$B$23:$U$23,0)))*(VLOOKUP($B179,INDIRECT($B$5&amp;"生成成长"),3))*(VLOOKUP($B$5,标准坦克设计!$B$14:$K$20,9)/30))</f>
        <v>4.9972243119480231</v>
      </c>
      <c r="EL179" s="173">
        <f ca="1">(VLOOKUP(EL$72,INDIRECT($C$5&amp;"生成成长"),2))/((VLOOKUP($B179,INDIRECT($B$5&amp;"生成成长"),4))/(VLOOKUP(EL$72,INDIRECT($C$5&amp;"生成成长"),5))*(VLOOKUP($B$5,标准坦克设计!$B$24:$U$30,MATCH("对"&amp;LEFT($C$5,2)&amp;"输出",标准坦克设计!$B$23:$U$23,0)))*(VLOOKUP($B179,INDIRECT($B$5&amp;"生成成长"),3))*(VLOOKUP($B$5,标准坦克设计!$B$14:$K$20,9)/30))</f>
        <v>5.3877432447969236</v>
      </c>
      <c r="EM179" s="173">
        <f ca="1">(VLOOKUP(EM$72,INDIRECT($C$5&amp;"生成成长"),2))/((VLOOKUP($B179,INDIRECT($B$5&amp;"生成成长"),4))/(VLOOKUP(EM$72,INDIRECT($C$5&amp;"生成成长"),5))*(VLOOKUP($B$5,标准坦克设计!$B$24:$U$30,MATCH("对"&amp;LEFT($C$5,2)&amp;"输出",标准坦克设计!$B$23:$U$23,0)))*(VLOOKUP($B179,INDIRECT($B$5&amp;"生成成长"),3))*(VLOOKUP($B$5,标准坦克设计!$B$14:$K$20,9)/30))</f>
        <v>5.792952545025722</v>
      </c>
      <c r="EN179" s="173">
        <f ca="1">(VLOOKUP(EN$72,INDIRECT($C$5&amp;"生成成长"),2))/((VLOOKUP($B179,INDIRECT($B$5&amp;"生成成长"),4))/(VLOOKUP(EN$72,INDIRECT($C$5&amp;"生成成长"),5))*(VLOOKUP($B$5,标准坦克设计!$B$24:$U$30,MATCH("对"&amp;LEFT($C$5,2)&amp;"输出",标准坦克设计!$B$23:$U$23,0)))*(VLOOKUP($B179,INDIRECT($B$5&amp;"生成成长"),3))*(VLOOKUP($B$5,标准坦克设计!$B$14:$K$20,9)/30))</f>
        <v>6.2128522126344148</v>
      </c>
      <c r="EO179" s="173">
        <f ca="1">(VLOOKUP(EO$72,INDIRECT($C$5&amp;"生成成长"),2))/((VLOOKUP($B179,INDIRECT($B$5&amp;"生成成长"),4))/(VLOOKUP(EO$72,INDIRECT($C$5&amp;"生成成长"),5))*(VLOOKUP($B$5,标准坦克设计!$B$24:$U$30,MATCH("对"&amp;LEFT($C$5,2)&amp;"输出",标准坦克设计!$B$23:$U$23,0)))*(VLOOKUP($B179,INDIRECT($B$5&amp;"生成成长"),3))*(VLOOKUP($B$5,标准坦克设计!$B$14:$K$20,9)/30))</f>
        <v>6.6474422476230064</v>
      </c>
      <c r="EP179" s="173">
        <f ca="1">(VLOOKUP(EP$72,INDIRECT($C$5&amp;"生成成长"),2))/((VLOOKUP($B179,INDIRECT($B$5&amp;"生成成长"),4))/(VLOOKUP(EP$72,INDIRECT($C$5&amp;"生成成长"),5))*(VLOOKUP($B$5,标准坦克设计!$B$24:$U$30,MATCH("对"&amp;LEFT($C$5,2)&amp;"输出",标准坦克设计!$B$23:$U$23,0)))*(VLOOKUP($B179,INDIRECT($B$5&amp;"生成成长"),3))*(VLOOKUP($B$5,标准坦克设计!$B$14:$K$20,9)/30))</f>
        <v>7.0967226499914906</v>
      </c>
      <c r="EQ179" s="173">
        <f ca="1">(VLOOKUP(EQ$72,INDIRECT($C$5&amp;"生成成长"),2))/((VLOOKUP($B179,INDIRECT($B$5&amp;"生成成长"),4))/(VLOOKUP(EQ$72,INDIRECT($C$5&amp;"生成成长"),5))*(VLOOKUP($B$5,标准坦克设计!$B$24:$U$30,MATCH("对"&amp;LEFT($C$5,2)&amp;"输出",标准坦克设计!$B$23:$U$23,0)))*(VLOOKUP($B179,INDIRECT($B$5&amp;"生成成长"),3))*(VLOOKUP($B$5,标准坦克设计!$B$14:$K$20,9)/30))</f>
        <v>3.1372095671288993</v>
      </c>
      <c r="ER179" s="173">
        <f ca="1">(VLOOKUP(ER$72,INDIRECT($C$5&amp;"生成成长"),2))/((VLOOKUP($B179,INDIRECT($B$5&amp;"生成成长"),4))/(VLOOKUP(ER$72,INDIRECT($C$5&amp;"生成成长"),5))*(VLOOKUP($B$5,标准坦克设计!$B$24:$U$30,MATCH("对"&amp;LEFT($C$5,2)&amp;"输出",标准坦克设计!$B$23:$U$23,0)))*(VLOOKUP($B179,INDIRECT($B$5&amp;"生成成长"),3))*(VLOOKUP($B$5,标准坦克设计!$B$14:$K$20,9)/30))</f>
        <v>3.4216824104541765</v>
      </c>
      <c r="ES179" s="173">
        <f ca="1">(VLOOKUP(ES$72,INDIRECT($C$5&amp;"生成成长"),2))/((VLOOKUP($B179,INDIRECT($B$5&amp;"生成成长"),4))/(VLOOKUP(ES$72,INDIRECT($C$5&amp;"生成成长"),5))*(VLOOKUP($B$5,标准坦克设计!$B$24:$U$30,MATCH("对"&amp;LEFT($C$5,2)&amp;"输出",标准坦克设计!$B$23:$U$23,0)))*(VLOOKUP($B179,INDIRECT($B$5&amp;"生成成长"),3))*(VLOOKUP($B$5,标准坦克设计!$B$14:$K$20,9)/30))</f>
        <v>3.7184992430361734</v>
      </c>
      <c r="ET179" s="173">
        <f ca="1">(VLOOKUP(ET$72,INDIRECT($C$5&amp;"生成成长"),2))/((VLOOKUP($B179,INDIRECT($B$5&amp;"生成成长"),4))/(VLOOKUP(ET$72,INDIRECT($C$5&amp;"生成成长"),5))*(VLOOKUP($B$5,标准坦克设计!$B$24:$U$30,MATCH("对"&amp;LEFT($C$5,2)&amp;"输出",标准坦克设计!$B$23:$U$23,0)))*(VLOOKUP($B179,INDIRECT($B$5&amp;"生成成长"),3))*(VLOOKUP($B$5,标准坦克设计!$B$14:$K$20,9)/30))</f>
        <v>4.0276600648748868</v>
      </c>
      <c r="EU179" s="173">
        <f ca="1">(VLOOKUP(EU$72,INDIRECT($C$5&amp;"生成成长"),2))/((VLOOKUP($B179,INDIRECT($B$5&amp;"生成成长"),4))/(VLOOKUP(EU$72,INDIRECT($C$5&amp;"生成成长"),5))*(VLOOKUP($B$5,标准坦克设计!$B$24:$U$30,MATCH("对"&amp;LEFT($C$5,2)&amp;"输出",标准坦克设计!$B$23:$U$23,0)))*(VLOOKUP($B179,INDIRECT($B$5&amp;"生成成长"),3))*(VLOOKUP($B$5,标准坦克设计!$B$14:$K$20,9)/30))</f>
        <v>4.3491648759703194</v>
      </c>
      <c r="EV179" s="173">
        <f ca="1">(VLOOKUP(EV$72,INDIRECT($C$5&amp;"生成成长"),2))/((VLOOKUP($B179,INDIRECT($B$5&amp;"生成成长"),4))/(VLOOKUP(EV$72,INDIRECT($C$5&amp;"生成成长"),5))*(VLOOKUP($B$5,标准坦克设计!$B$24:$U$30,MATCH("对"&amp;LEFT($C$5,2)&amp;"输出",标准坦克设计!$B$23:$U$23,0)))*(VLOOKUP($B179,INDIRECT($B$5&amp;"生成成长"),3))*(VLOOKUP($B$5,标准坦克设计!$B$14:$K$20,9)/30))</f>
        <v>4.6830136763224699</v>
      </c>
      <c r="EW179" s="173">
        <f ca="1">(VLOOKUP(EW$72,INDIRECT($C$5&amp;"生成成长"),2))/((VLOOKUP($B179,INDIRECT($B$5&amp;"生成成长"),4))/(VLOOKUP(EW$72,INDIRECT($C$5&amp;"生成成长"),5))*(VLOOKUP($B$5,标准坦克设计!$B$24:$U$30,MATCH("对"&amp;LEFT($C$5,2)&amp;"输出",标准坦克设计!$B$23:$U$23,0)))*(VLOOKUP($B179,INDIRECT($B$5&amp;"生成成长"),3))*(VLOOKUP($B$5,标准坦克设计!$B$14:$K$20,9)/30))</f>
        <v>5.0292064659313382</v>
      </c>
      <c r="EX179" s="173">
        <f ca="1">(VLOOKUP(EX$72,INDIRECT($C$5&amp;"生成成长"),2))/((VLOOKUP($B179,INDIRECT($B$5&amp;"生成成长"),4))/(VLOOKUP(EX$72,INDIRECT($C$5&amp;"生成成长"),5))*(VLOOKUP($B$5,标准坦克设计!$B$24:$U$30,MATCH("对"&amp;LEFT($C$5,2)&amp;"输出",标准坦克设计!$B$23:$U$23,0)))*(VLOOKUP($B179,INDIRECT($B$5&amp;"生成成长"),3))*(VLOOKUP($B$5,标准坦克设计!$B$14:$K$20,9)/30))</f>
        <v>5.3877432447969236</v>
      </c>
      <c r="EY179" s="173">
        <f ca="1">(VLOOKUP(EY$72,INDIRECT($C$5&amp;"生成成长"),2))/((VLOOKUP($B179,INDIRECT($B$5&amp;"生成成长"),4))/(VLOOKUP(EY$72,INDIRECT($C$5&amp;"生成成长"),5))*(VLOOKUP($B$5,标准坦克设计!$B$24:$U$30,MATCH("对"&amp;LEFT($C$5,2)&amp;"输出",标准坦克设计!$B$23:$U$23,0)))*(VLOOKUP($B179,INDIRECT($B$5&amp;"生成成长"),3))*(VLOOKUP($B$5,标准坦克设计!$B$14:$K$20,9)/30))</f>
        <v>5.7586240129192294</v>
      </c>
      <c r="EZ179" s="173">
        <f ca="1">(VLOOKUP(EZ$72,INDIRECT($C$5&amp;"生成成长"),2))/((VLOOKUP($B179,INDIRECT($B$5&amp;"生成成长"),4))/(VLOOKUP(EZ$72,INDIRECT($C$5&amp;"生成成长"),5))*(VLOOKUP($B$5,标准坦克设计!$B$24:$U$30,MATCH("对"&amp;LEFT($C$5,2)&amp;"输出",标准坦克设计!$B$23:$U$23,0)))*(VLOOKUP($B179,INDIRECT($B$5&amp;"生成成长"),3))*(VLOOKUP($B$5,标准坦克设计!$B$14:$K$20,9)/30))</f>
        <v>6.1418487702982514</v>
      </c>
      <c r="FA179" s="173">
        <f ca="1">(VLOOKUP(FA$72,INDIRECT($C$5&amp;"生成成长"),2))/((VLOOKUP($B179,INDIRECT($B$5&amp;"生成成长"),4))/(VLOOKUP(FA$72,INDIRECT($C$5&amp;"生成成长"),5))*(VLOOKUP($B$5,标准坦克设计!$B$24:$U$30,MATCH("对"&amp;LEFT($C$5,2)&amp;"输出",标准坦克设计!$B$23:$U$23,0)))*(VLOOKUP($B179,INDIRECT($B$5&amp;"生成成长"),3))*(VLOOKUP($B$5,标准坦克设计!$B$14:$K$20,9)/30))</f>
        <v>6.5374175169339921</v>
      </c>
      <c r="FB179" s="173">
        <f ca="1">(VLOOKUP(FB$72,INDIRECT($C$5&amp;"生成成长"),2))/((VLOOKUP($B179,INDIRECT($B$5&amp;"生成成长"),4))/(VLOOKUP(FB$72,INDIRECT($C$5&amp;"生成成长"),5))*(VLOOKUP($B$5,标准坦克设计!$B$24:$U$30,MATCH("对"&amp;LEFT($C$5,2)&amp;"输出",标准坦克设计!$B$23:$U$23,0)))*(VLOOKUP($B179,INDIRECT($B$5&amp;"生成成长"),3))*(VLOOKUP($B$5,标准坦克设计!$B$14:$K$20,9)/30))</f>
        <v>6.9453302528264516</v>
      </c>
      <c r="FC179" s="173">
        <f ca="1">(VLOOKUP(FC$72,INDIRECT($C$5&amp;"生成成长"),2))/((VLOOKUP($B179,INDIRECT($B$5&amp;"生成成长"),4))/(VLOOKUP(FC$72,INDIRECT($C$5&amp;"生成成长"),5))*(VLOOKUP($B$5,标准坦克设计!$B$24:$U$30,MATCH("对"&amp;LEFT($C$5,2)&amp;"输出",标准坦克设计!$B$23:$U$23,0)))*(VLOOKUP($B179,INDIRECT($B$5&amp;"生成成长"),3))*(VLOOKUP($B$5,标准坦克设计!$B$14:$K$20,9)/30))</f>
        <v>7.3655869779756289</v>
      </c>
      <c r="FD179" s="173">
        <f ca="1">(VLOOKUP(FD$72,INDIRECT($C$5&amp;"生成成长"),2))/((VLOOKUP($B179,INDIRECT($B$5&amp;"生成成长"),4))/(VLOOKUP(FD$72,INDIRECT($C$5&amp;"生成成长"),5))*(VLOOKUP($B$5,标准坦克设计!$B$24:$U$30,MATCH("对"&amp;LEFT($C$5,2)&amp;"输出",标准坦克设计!$B$23:$U$23,0)))*(VLOOKUP($B179,INDIRECT($B$5&amp;"生成成长"),3))*(VLOOKUP($B$5,标准坦克设计!$B$14:$K$20,9)/30))</f>
        <v>7.798187692381525</v>
      </c>
      <c r="FE179" s="173">
        <f ca="1">(VLOOKUP(FE$72,INDIRECT($C$5&amp;"生成成长"),2))/((VLOOKUP($B179,INDIRECT($B$5&amp;"生成成长"),4))/(VLOOKUP(FE$72,INDIRECT($C$5&amp;"生成成长"),5))*(VLOOKUP($B$5,标准坦克设计!$B$24:$U$30,MATCH("对"&amp;LEFT($C$5,2)&amp;"输出",标准坦克设计!$B$23:$U$23,0)))*(VLOOKUP($B179,INDIRECT($B$5&amp;"生成成长"),3))*(VLOOKUP($B$5,标准坦克设计!$B$14:$K$20,9)/30))</f>
        <v>8.3253576467955011</v>
      </c>
      <c r="FF179" s="173">
        <f ca="1">(VLOOKUP(FF$72,INDIRECT($C$5&amp;"生成成长"),2))/((VLOOKUP($B179,INDIRECT($B$5&amp;"生成成长"),4))/(VLOOKUP(FF$72,INDIRECT($C$5&amp;"生成成长"),5))*(VLOOKUP($B$5,标准坦克设计!$B$24:$U$30,MATCH("对"&amp;LEFT($C$5,2)&amp;"输出",标准坦克设计!$B$23:$U$23,0)))*(VLOOKUP($B179,INDIRECT($B$5&amp;"生成成长"),3))*(VLOOKUP($B$5,标准坦克设计!$B$14:$K$20,9)/30))</f>
        <v>8.869768379592827</v>
      </c>
      <c r="FG179" s="173">
        <f ca="1">(VLOOKUP(FG$72,INDIRECT($C$5&amp;"生成成长"),2))/((VLOOKUP($B179,INDIRECT($B$5&amp;"生成成长"),4))/(VLOOKUP(FG$72,INDIRECT($C$5&amp;"生成成长"),5))*(VLOOKUP($B$5,标准坦克设计!$B$24:$U$30,MATCH("对"&amp;LEFT($C$5,2)&amp;"输出",标准坦克设计!$B$23:$U$23,0)))*(VLOOKUP($B179,INDIRECT($B$5&amp;"生成成长"),3))*(VLOOKUP($B$5,标准坦克设计!$B$14:$K$20,9)/30))</f>
        <v>9.4314198907735047</v>
      </c>
      <c r="FH179" s="173">
        <f ca="1">(VLOOKUP(FH$72,INDIRECT($C$5&amp;"生成成长"),2))/((VLOOKUP($B179,INDIRECT($B$5&amp;"生成成长"),4))/(VLOOKUP(FH$72,INDIRECT($C$5&amp;"生成成长"),5))*(VLOOKUP($B$5,标准坦克设计!$B$24:$U$30,MATCH("对"&amp;LEFT($C$5,2)&amp;"输出",标准坦克设计!$B$23:$U$23,0)))*(VLOOKUP($B179,INDIRECT($B$5&amp;"生成成长"),3))*(VLOOKUP($B$5,标准坦克设计!$B$14:$K$20,9)/30))</f>
        <v>10.010312180337531</v>
      </c>
      <c r="FI179" s="173">
        <f ca="1">(VLOOKUP(FI$72,INDIRECT($C$5&amp;"生成成长"),2))/((VLOOKUP($B179,INDIRECT($B$5&amp;"生成成长"),4))/(VLOOKUP(FI$72,INDIRECT($C$5&amp;"生成成长"),5))*(VLOOKUP($B$5,标准坦克设计!$B$24:$U$30,MATCH("对"&amp;LEFT($C$5,2)&amp;"输出",标准坦克设计!$B$23:$U$23,0)))*(VLOOKUP($B179,INDIRECT($B$5&amp;"生成成长"),3))*(VLOOKUP($B$5,标准坦克设计!$B$14:$K$20,9)/30))</f>
        <v>10.606445248284906</v>
      </c>
      <c r="FJ179" s="173">
        <f ca="1">(VLOOKUP(FJ$72,INDIRECT($C$5&amp;"生成成长"),2))/((VLOOKUP($B179,INDIRECT($B$5&amp;"生成成长"),4))/(VLOOKUP(FJ$72,INDIRECT($C$5&amp;"生成成长"),5))*(VLOOKUP($B$5,标准坦克设计!$B$24:$U$30,MATCH("对"&amp;LEFT($C$5,2)&amp;"输出",标准坦克设计!$B$23:$U$23,0)))*(VLOOKUP($B179,INDIRECT($B$5&amp;"生成成长"),3))*(VLOOKUP($B$5,标准坦克设计!$B$14:$K$20,9)/30))</f>
        <v>11.219819094615632</v>
      </c>
      <c r="FK179" s="173">
        <f ca="1">(VLOOKUP(FK$72,INDIRECT($C$5&amp;"生成成长"),2))/((VLOOKUP($B179,INDIRECT($B$5&amp;"生成成长"),4))/(VLOOKUP(FK$72,INDIRECT($C$5&amp;"生成成长"),5))*(VLOOKUP($B$5,标准坦克设计!$B$24:$U$30,MATCH("对"&amp;LEFT($C$5,2)&amp;"输出",标准坦克设计!$B$23:$U$23,0)))*(VLOOKUP($B179,INDIRECT($B$5&amp;"生成成长"),3))*(VLOOKUP($B$5,标准坦克设计!$B$14:$K$20,9)/30))</f>
        <v>11.850433719329709</v>
      </c>
    </row>
    <row r="180" spans="1:167" x14ac:dyDescent="0.15">
      <c r="A180" s="171" t="str">
        <f t="shared" si="12"/>
        <v>T5中品质18级</v>
      </c>
      <c r="B180" s="172">
        <v>20518</v>
      </c>
      <c r="C180" s="173">
        <f ca="1">(VLOOKUP(C$72,INDIRECT($C$5&amp;"生成成长"),2))/((VLOOKUP($B180,INDIRECT($B$5&amp;"生成成长"),4))/(VLOOKUP(C$72,INDIRECT($C$5&amp;"生成成长"),5))*(VLOOKUP($B$5,标准坦克设计!$B$24:$U$30,MATCH("对"&amp;LEFT($C$5,2)&amp;"输出",标准坦克设计!$B$23:$U$23,0)))*(VLOOKUP($B180,INDIRECT($B$5&amp;"生成成长"),3))*(VLOOKUP($B$5,标准坦克设计!$B$14:$K$20,9)/30))</f>
        <v>0.48164390533253382</v>
      </c>
      <c r="D180" s="173">
        <f ca="1">(VLOOKUP(D$72,INDIRECT($C$5&amp;"生成成长"),2))/((VLOOKUP($B180,INDIRECT($B$5&amp;"生成成长"),4))/(VLOOKUP(D$72,INDIRECT($C$5&amp;"生成成长"),5))*(VLOOKUP($B$5,标准坦克设计!$B$24:$U$30,MATCH("对"&amp;LEFT($C$5,2)&amp;"输出",标准坦克设计!$B$23:$U$23,0)))*(VLOOKUP($B180,INDIRECT($B$5&amp;"生成成长"),3))*(VLOOKUP($B$5,标准坦克设计!$B$14:$K$20,9)/30))</f>
        <v>0.54117509203163494</v>
      </c>
      <c r="E180" s="173">
        <f ca="1">(VLOOKUP(E$72,INDIRECT($C$5&amp;"生成成长"),2))/((VLOOKUP($B180,INDIRECT($B$5&amp;"生成成长"),4))/(VLOOKUP(E$72,INDIRECT($C$5&amp;"生成成长"),5))*(VLOOKUP($B$5,标准坦克设计!$B$24:$U$30,MATCH("对"&amp;LEFT($C$5,2)&amp;"输出",标准坦克设计!$B$23:$U$23,0)))*(VLOOKUP($B180,INDIRECT($B$5&amp;"生成成长"),3))*(VLOOKUP($B$5,标准坦克设计!$B$14:$K$20,9)/30))</f>
        <v>0.60417411484913042</v>
      </c>
      <c r="F180" s="173">
        <f ca="1">(VLOOKUP(F$72,INDIRECT($C$5&amp;"生成成长"),2))/((VLOOKUP($B180,INDIRECT($B$5&amp;"生成成长"),4))/(VLOOKUP(F$72,INDIRECT($C$5&amp;"生成成长"),5))*(VLOOKUP($B$5,标准坦克设计!$B$24:$U$30,MATCH("对"&amp;LEFT($C$5,2)&amp;"输出",标准坦克设计!$B$23:$U$23,0)))*(VLOOKUP($B180,INDIRECT($B$5&amp;"生成成长"),3))*(VLOOKUP($B$5,标准坦克设计!$B$14:$K$20,9)/30))</f>
        <v>0.67064097378502008</v>
      </c>
      <c r="G180" s="173">
        <f ca="1">(VLOOKUP(G$72,INDIRECT($C$5&amp;"生成成长"),2))/((VLOOKUP($B180,INDIRECT($B$5&amp;"生成成长"),4))/(VLOOKUP(G$72,INDIRECT($C$5&amp;"生成成长"),5))*(VLOOKUP($B$5,标准坦克设计!$B$24:$U$30,MATCH("对"&amp;LEFT($C$5,2)&amp;"输出",标准坦克设计!$B$23:$U$23,0)))*(VLOOKUP($B180,INDIRECT($B$5&amp;"生成成长"),3))*(VLOOKUP($B$5,标准坦克设计!$B$14:$K$20,9)/30))</f>
        <v>0.74057566883930404</v>
      </c>
      <c r="H180" s="173">
        <f ca="1">(VLOOKUP(H$72,INDIRECT($C$5&amp;"生成成长"),2))/((VLOOKUP($B180,INDIRECT($B$5&amp;"生成成长"),4))/(VLOOKUP(H$72,INDIRECT($C$5&amp;"生成成长"),5))*(VLOOKUP($B$5,标准坦克设计!$B$24:$U$30,MATCH("对"&amp;LEFT($C$5,2)&amp;"输出",标准坦克设计!$B$23:$U$23,0)))*(VLOOKUP($B180,INDIRECT($B$5&amp;"生成成长"),3))*(VLOOKUP($B$5,标准坦克设计!$B$14:$K$20,9)/30))</f>
        <v>0.64810003901545743</v>
      </c>
      <c r="I180" s="173">
        <f ca="1">(VLOOKUP(I$72,INDIRECT($C$5&amp;"生成成长"),2))/((VLOOKUP($B180,INDIRECT($B$5&amp;"生成成长"),4))/(VLOOKUP(I$72,INDIRECT($C$5&amp;"生成成长"),5))*(VLOOKUP($B$5,标准坦克设计!$B$24:$U$30,MATCH("对"&amp;LEFT($C$5,2)&amp;"输出",标准坦克设计!$B$23:$U$23,0)))*(VLOOKUP($B180,INDIRECT($B$5&amp;"生成成长"),3))*(VLOOKUP($B$5,标准坦克设计!$B$14:$K$20,9)/30))</f>
        <v>0.74057566883930404</v>
      </c>
      <c r="J180" s="173">
        <f ca="1">(VLOOKUP(J$72,INDIRECT($C$5&amp;"生成成长"),2))/((VLOOKUP($B180,INDIRECT($B$5&amp;"生成成长"),4))/(VLOOKUP(J$72,INDIRECT($C$5&amp;"生成成长"),5))*(VLOOKUP($B$5,标准坦克设计!$B$24:$U$30,MATCH("对"&amp;LEFT($C$5,2)&amp;"输出",标准坦克设计!$B$23:$U$23,0)))*(VLOOKUP($B180,INDIRECT($B$5&amp;"生成成长"),3))*(VLOOKUP($B$5,标准坦克设计!$B$14:$K$20,9)/30))</f>
        <v>0.83921634065140682</v>
      </c>
      <c r="K180" s="173">
        <f ca="1">(VLOOKUP(K$72,INDIRECT($C$5&amp;"生成成长"),2))/((VLOOKUP($B180,INDIRECT($B$5&amp;"生成成长"),4))/(VLOOKUP(K$72,INDIRECT($C$5&amp;"生成成长"),5))*(VLOOKUP($B$5,标准坦克设计!$B$24:$U$30,MATCH("对"&amp;LEFT($C$5,2)&amp;"输出",标准坦克设计!$B$23:$U$23,0)))*(VLOOKUP($B180,INDIRECT($B$5&amp;"生成成长"),3))*(VLOOKUP($B$5,标准坦克设计!$B$14:$K$20,9)/30))</f>
        <v>0.94402205445176623</v>
      </c>
      <c r="L180" s="173">
        <f ca="1">(VLOOKUP(L$72,INDIRECT($C$5&amp;"生成成长"),2))/((VLOOKUP($B180,INDIRECT($B$5&amp;"生成成长"),4))/(VLOOKUP(L$72,INDIRECT($C$5&amp;"生成成长"),5))*(VLOOKUP($B$5,标准坦克设计!$B$24:$U$30,MATCH("对"&amp;LEFT($C$5,2)&amp;"输出",标准坦克设计!$B$23:$U$23,0)))*(VLOOKUP($B180,INDIRECT($B$5&amp;"生成成长"),3))*(VLOOKUP($B$5,标准坦克设计!$B$14:$K$20,9)/30))</f>
        <v>1.0549928102403821</v>
      </c>
      <c r="M180" s="173">
        <f ca="1">(VLOOKUP(M$72,INDIRECT($C$5&amp;"生成成长"),2))/((VLOOKUP($B180,INDIRECT($B$5&amp;"生成成长"),4))/(VLOOKUP(M$72,INDIRECT($C$5&amp;"生成成长"),5))*(VLOOKUP($B$5,标准坦克设计!$B$24:$U$30,MATCH("对"&amp;LEFT($C$5,2)&amp;"输出",标准坦克设计!$B$23:$U$23,0)))*(VLOOKUP($B180,INDIRECT($B$5&amp;"生成成长"),3))*(VLOOKUP($B$5,标准坦克设计!$B$14:$K$20,9)/30))</f>
        <v>1.1721286080172544</v>
      </c>
      <c r="N180" s="173">
        <f ca="1">(VLOOKUP(N$72,INDIRECT($C$5&amp;"生成成长"),2))/((VLOOKUP($B180,INDIRECT($B$5&amp;"生成成长"),4))/(VLOOKUP(N$72,INDIRECT($C$5&amp;"生成成长"),5))*(VLOOKUP($B$5,标准坦克设计!$B$24:$U$30,MATCH("对"&amp;LEFT($C$5,2)&amp;"输出",标准坦克设计!$B$23:$U$23,0)))*(VLOOKUP($B180,INDIRECT($B$5&amp;"生成成长"),3))*(VLOOKUP($B$5,标准坦克设计!$B$14:$K$20,9)/30))</f>
        <v>1.2954294477823827</v>
      </c>
      <c r="O180" s="173">
        <f ca="1">(VLOOKUP(O$72,INDIRECT($C$5&amp;"生成成长"),2))/((VLOOKUP($B180,INDIRECT($B$5&amp;"生成成长"),4))/(VLOOKUP(O$72,INDIRECT($C$5&amp;"生成成长"),5))*(VLOOKUP($B$5,标准坦克设计!$B$24:$U$30,MATCH("对"&amp;LEFT($C$5,2)&amp;"输出",标准坦克设计!$B$23:$U$23,0)))*(VLOOKUP($B180,INDIRECT($B$5&amp;"生成成长"),3))*(VLOOKUP($B$5,标准坦克设计!$B$14:$K$20,9)/30))</f>
        <v>0.98491362201449839</v>
      </c>
      <c r="P180" s="173">
        <f ca="1">(VLOOKUP(P$72,INDIRECT($C$5&amp;"生成成长"),2))/((VLOOKUP($B180,INDIRECT($B$5&amp;"生成成长"),4))/(VLOOKUP(P$72,INDIRECT($C$5&amp;"生成成长"),5))*(VLOOKUP($B$5,标准坦克设计!$B$24:$U$30,MATCH("对"&amp;LEFT($C$5,2)&amp;"输出",标准坦克设计!$B$23:$U$23,0)))*(VLOOKUP($B180,INDIRECT($B$5&amp;"生成成长"),3))*(VLOOKUP($B$5,标准坦克设计!$B$14:$K$20,9)/30))</f>
        <v>1.112790078880286</v>
      </c>
      <c r="Q180" s="173">
        <f ca="1">(VLOOKUP(Q$72,INDIRECT($C$5&amp;"生成成长"),2))/((VLOOKUP($B180,INDIRECT($B$5&amp;"生成成长"),4))/(VLOOKUP(Q$72,INDIRECT($C$5&amp;"生成成长"),5))*(VLOOKUP($B$5,标准坦克设计!$B$24:$U$30,MATCH("对"&amp;LEFT($C$5,2)&amp;"输出",标准坦克设计!$B$23:$U$23,0)))*(VLOOKUP($B180,INDIRECT($B$5&amp;"生成成长"),3))*(VLOOKUP($B$5,标准坦克设计!$B$14:$K$20,9)/30))</f>
        <v>1.2484691670124608</v>
      </c>
      <c r="R180" s="173">
        <f ca="1">(VLOOKUP(R$72,INDIRECT($C$5&amp;"生成成长"),2))/((VLOOKUP($B180,INDIRECT($B$5&amp;"生成成长"),4))/(VLOOKUP(R$72,INDIRECT($C$5&amp;"生成成长"),5))*(VLOOKUP($B$5,标准坦克设计!$B$24:$U$30,MATCH("对"&amp;LEFT($C$5,2)&amp;"输出",标准坦克设计!$B$23:$U$23,0)))*(VLOOKUP($B180,INDIRECT($B$5&amp;"生成成长"),3))*(VLOOKUP($B$5,标准坦克设计!$B$14:$K$20,9)/30))</f>
        <v>1.3919508864110226</v>
      </c>
      <c r="S180" s="173">
        <f ca="1">(VLOOKUP(S$72,INDIRECT($C$5&amp;"生成成长"),2))/((VLOOKUP($B180,INDIRECT($B$5&amp;"生成成长"),4))/(VLOOKUP(S$72,INDIRECT($C$5&amp;"生成成长"),5))*(VLOOKUP($B$5,标准坦克设计!$B$24:$U$30,MATCH("对"&amp;LEFT($C$5,2)&amp;"输出",标准坦克设计!$B$23:$U$23,0)))*(VLOOKUP($B180,INDIRECT($B$5&amp;"生成成长"),3))*(VLOOKUP($B$5,标准坦克设计!$B$14:$K$20,9)/30))</f>
        <v>1.5432352370759712</v>
      </c>
      <c r="T180" s="173">
        <f ca="1">(VLOOKUP(T$72,INDIRECT($C$5&amp;"生成成长"),2))/((VLOOKUP($B180,INDIRECT($B$5&amp;"生成成长"),4))/(VLOOKUP(T$72,INDIRECT($C$5&amp;"生成成长"),5))*(VLOOKUP($B$5,标准坦克设计!$B$24:$U$30,MATCH("对"&amp;LEFT($C$5,2)&amp;"输出",标准坦克设计!$B$23:$U$23,0)))*(VLOOKUP($B180,INDIRECT($B$5&amp;"生成成长"),3))*(VLOOKUP($B$5,标准坦克设计!$B$14:$K$20,9)/30))</f>
        <v>1.7023222190073071</v>
      </c>
      <c r="U180" s="173">
        <f ca="1">(VLOOKUP(U$72,INDIRECT($C$5&amp;"生成成长"),2))/((VLOOKUP($B180,INDIRECT($B$5&amp;"生成成长"),4))/(VLOOKUP(U$72,INDIRECT($C$5&amp;"生成成长"),5))*(VLOOKUP($B$5,标准坦克设计!$B$24:$U$30,MATCH("对"&amp;LEFT($C$5,2)&amp;"输出",标准坦克设计!$B$23:$U$23,0)))*(VLOOKUP($B180,INDIRECT($B$5&amp;"生成成长"),3))*(VLOOKUP($B$5,标准坦克设计!$B$14:$K$20,9)/30))</f>
        <v>1.8692118322050304</v>
      </c>
      <c r="V180" s="173">
        <f ca="1">(VLOOKUP(V$72,INDIRECT($C$5&amp;"生成成长"),2))/((VLOOKUP($B180,INDIRECT($B$5&amp;"生成成长"),4))/(VLOOKUP(V$72,INDIRECT($C$5&amp;"生成成长"),5))*(VLOOKUP($B$5,标准坦克设计!$B$24:$U$30,MATCH("对"&amp;LEFT($C$5,2)&amp;"输出",标准坦克设计!$B$23:$U$23,0)))*(VLOOKUP($B180,INDIRECT($B$5&amp;"生成成长"),3))*(VLOOKUP($B$5,标准坦克设计!$B$14:$K$20,9)/30))</f>
        <v>2.0439040766691403</v>
      </c>
      <c r="W180" s="173">
        <f ca="1">(VLOOKUP(W$72,INDIRECT($C$5&amp;"生成成长"),2))/((VLOOKUP($B180,INDIRECT($B$5&amp;"生成成长"),4))/(VLOOKUP(W$72,INDIRECT($C$5&amp;"生成成长"),5))*(VLOOKUP($B$5,标准坦克设计!$B$24:$U$30,MATCH("对"&amp;LEFT($C$5,2)&amp;"输出",标准坦克设计!$B$23:$U$23,0)))*(VLOOKUP($B180,INDIRECT($B$5&amp;"生成成长"),3))*(VLOOKUP($B$5,标准坦克设计!$B$14:$K$20,9)/30))</f>
        <v>2.2263989523996375</v>
      </c>
      <c r="X180" s="173">
        <f ca="1">(VLOOKUP(X$72,INDIRECT($C$5&amp;"生成成长"),2))/((VLOOKUP($B180,INDIRECT($B$5&amp;"生成成长"),4))/(VLOOKUP(X$72,INDIRECT($C$5&amp;"生成成长"),5))*(VLOOKUP($B$5,标准坦克设计!$B$24:$U$30,MATCH("对"&amp;LEFT($C$5,2)&amp;"输出",标准坦克设计!$B$23:$U$23,0)))*(VLOOKUP($B180,INDIRECT($B$5&amp;"生成成长"),3))*(VLOOKUP($B$5,标准坦克设计!$B$14:$K$20,9)/30))</f>
        <v>1.6129772745681223</v>
      </c>
      <c r="Y180" s="173">
        <f ca="1">(VLOOKUP(Y$72,INDIRECT($C$5&amp;"生成成长"),2))/((VLOOKUP($B180,INDIRECT($B$5&amp;"生成成长"),4))/(VLOOKUP(Y$72,INDIRECT($C$5&amp;"生成成长"),5))*(VLOOKUP($B$5,标准坦克设计!$B$24:$U$30,MATCH("对"&amp;LEFT($C$5,2)&amp;"输出",标准坦克设计!$B$23:$U$23,0)))*(VLOOKUP($B180,INDIRECT($B$5&amp;"生成成长"),3))*(VLOOKUP($B$5,标准坦克设计!$B$14:$K$20,9)/30))</f>
        <v>1.7940753829731551</v>
      </c>
      <c r="Z180" s="173">
        <f ca="1">(VLOOKUP(Z$72,INDIRECT($C$5&amp;"生成成长"),2))/((VLOOKUP($B180,INDIRECT($B$5&amp;"生成成长"),4))/(VLOOKUP(Z$72,INDIRECT($C$5&amp;"生成成长"),5))*(VLOOKUP($B$5,标准坦克设计!$B$24:$U$30,MATCH("对"&amp;LEFT($C$5,2)&amp;"输出",标准坦克设计!$B$23:$U$23,0)))*(VLOOKUP($B180,INDIRECT($B$5&amp;"生成成长"),3))*(VLOOKUP($B$5,标准坦克设计!$B$14:$K$20,9)/30))</f>
        <v>1.9848063694848386</v>
      </c>
      <c r="AA180" s="173">
        <f ca="1">(VLOOKUP(AA$72,INDIRECT($C$5&amp;"生成成长"),2))/((VLOOKUP($B180,INDIRECT($B$5&amp;"生成成长"),4))/(VLOOKUP(AA$72,INDIRECT($C$5&amp;"生成成长"),5))*(VLOOKUP($B$5,标准坦克设计!$B$24:$U$30,MATCH("对"&amp;LEFT($C$5,2)&amp;"输出",标准坦克设计!$B$23:$U$23,0)))*(VLOOKUP($B180,INDIRECT($B$5&amp;"生成成长"),3))*(VLOOKUP($B$5,标准坦克设计!$B$14:$K$20,9)/30))</f>
        <v>2.1851702341031722</v>
      </c>
      <c r="AB180" s="173">
        <f ca="1">(VLOOKUP(AB$72,INDIRECT($C$5&amp;"生成成长"),2))/((VLOOKUP($B180,INDIRECT($B$5&amp;"生成成长"),4))/(VLOOKUP(AB$72,INDIRECT($C$5&amp;"生成成长"),5))*(VLOOKUP($B$5,标准坦克设计!$B$24:$U$30,MATCH("对"&amp;LEFT($C$5,2)&amp;"输出",标准坦克设计!$B$23:$U$23,0)))*(VLOOKUP($B180,INDIRECT($B$5&amp;"生成成长"),3))*(VLOOKUP($B$5,标准坦克设计!$B$14:$K$20,9)/30))</f>
        <v>2.3951669768281572</v>
      </c>
      <c r="AC180" s="173">
        <f ca="1">(VLOOKUP(AC$72,INDIRECT($C$5&amp;"生成成长"),2))/((VLOOKUP($B180,INDIRECT($B$5&amp;"生成成长"),4))/(VLOOKUP(AC$72,INDIRECT($C$5&amp;"生成成长"),5))*(VLOOKUP($B$5,标准坦克设计!$B$24:$U$30,MATCH("对"&amp;LEFT($C$5,2)&amp;"输出",标准坦克设计!$B$23:$U$23,0)))*(VLOOKUP($B180,INDIRECT($B$5&amp;"生成成长"),3))*(VLOOKUP($B$5,标准坦克设计!$B$14:$K$20,9)/30))</f>
        <v>2.6147965976597929</v>
      </c>
      <c r="AD180" s="173">
        <f ca="1">(VLOOKUP(AD$72,INDIRECT($C$5&amp;"生成成长"),2))/((VLOOKUP($B180,INDIRECT($B$5&amp;"生成成长"),4))/(VLOOKUP(AD$72,INDIRECT($C$5&amp;"生成成长"),5))*(VLOOKUP($B$5,标准坦克设计!$B$24:$U$30,MATCH("对"&amp;LEFT($C$5,2)&amp;"输出",标准坦克设计!$B$23:$U$23,0)))*(VLOOKUP($B180,INDIRECT($B$5&amp;"生成成长"),3))*(VLOOKUP($B$5,标准坦克设计!$B$14:$K$20,9)/30))</f>
        <v>2.8440590965980785</v>
      </c>
      <c r="AE180" s="173">
        <f ca="1">(VLOOKUP(AE$72,INDIRECT($C$5&amp;"生成成长"),2))/((VLOOKUP($B180,INDIRECT($B$5&amp;"生成成长"),4))/(VLOOKUP(AE$72,INDIRECT($C$5&amp;"生成成长"),5))*(VLOOKUP($B$5,标准坦克设计!$B$24:$U$30,MATCH("对"&amp;LEFT($C$5,2)&amp;"输出",标准坦克设计!$B$23:$U$23,0)))*(VLOOKUP($B180,INDIRECT($B$5&amp;"生成成长"),3))*(VLOOKUP($B$5,标准坦克设计!$B$14:$K$20,9)/30))</f>
        <v>3.0829544736430154</v>
      </c>
      <c r="AF180" s="173">
        <f ca="1">(VLOOKUP(AF$72,INDIRECT($C$5&amp;"生成成长"),2))/((VLOOKUP($B180,INDIRECT($B$5&amp;"生成成长"),4))/(VLOOKUP(AF$72,INDIRECT($C$5&amp;"生成成长"),5))*(VLOOKUP($B$5,标准坦克设计!$B$24:$U$30,MATCH("对"&amp;LEFT($C$5,2)&amp;"输出",标准坦克设计!$B$23:$U$23,0)))*(VLOOKUP($B180,INDIRECT($B$5&amp;"生成成长"),3))*(VLOOKUP($B$5,标准坦克设计!$B$14:$K$20,9)/30))</f>
        <v>3.3314827287946027</v>
      </c>
      <c r="AG180" s="173">
        <f ca="1">(VLOOKUP(AG$72,INDIRECT($C$5&amp;"生成成长"),2))/((VLOOKUP($B180,INDIRECT($B$5&amp;"生成成长"),4))/(VLOOKUP(AG$72,INDIRECT($C$5&amp;"生成成长"),5))*(VLOOKUP($B$5,标准坦克设计!$B$24:$U$30,MATCH("对"&amp;LEFT($C$5,2)&amp;"输出",标准坦克设计!$B$23:$U$23,0)))*(VLOOKUP($B180,INDIRECT($B$5&amp;"生成成长"),3))*(VLOOKUP($B$5,标准坦克设计!$B$14:$K$20,9)/30))</f>
        <v>3.5896438620528412</v>
      </c>
      <c r="AH180" s="173">
        <f ca="1">(VLOOKUP(AH$72,INDIRECT($C$5&amp;"生成成长"),2))/((VLOOKUP($B180,INDIRECT($B$5&amp;"生成成长"),4))/(VLOOKUP(AH$72,INDIRECT($C$5&amp;"生成成长"),5))*(VLOOKUP($B$5,标准坦克设计!$B$24:$U$30,MATCH("对"&amp;LEFT($C$5,2)&amp;"输出",标准坦克设计!$B$23:$U$23,0)))*(VLOOKUP($B180,INDIRECT($B$5&amp;"生成成长"),3))*(VLOOKUP($B$5,标准坦克设计!$B$14:$K$20,9)/30))</f>
        <v>3.8574378734177297</v>
      </c>
      <c r="AI180" s="173">
        <f ca="1">(VLOOKUP(AI$72,INDIRECT($C$5&amp;"生成成长"),2))/((VLOOKUP($B180,INDIRECT($B$5&amp;"生成成长"),4))/(VLOOKUP(AI$72,INDIRECT($C$5&amp;"生成成长"),5))*(VLOOKUP($B$5,标准坦克设计!$B$24:$U$30,MATCH("对"&amp;LEFT($C$5,2)&amp;"输出",标准坦克设计!$B$23:$U$23,0)))*(VLOOKUP($B180,INDIRECT($B$5&amp;"生成成长"),3))*(VLOOKUP($B$5,标准坦克设计!$B$14:$K$20,9)/30))</f>
        <v>2.728223737365604</v>
      </c>
      <c r="AJ180" s="173">
        <f ca="1">(VLOOKUP(AJ$72,INDIRECT($C$5&amp;"生成成长"),2))/((VLOOKUP($B180,INDIRECT($B$5&amp;"生成成长"),4))/(VLOOKUP(AJ$72,INDIRECT($C$5&amp;"生成成长"),5))*(VLOOKUP($B$5,标准坦克设计!$B$24:$U$30,MATCH("对"&amp;LEFT($C$5,2)&amp;"输出",标准坦克设计!$B$23:$U$23,0)))*(VLOOKUP($B180,INDIRECT($B$5&amp;"生成成长"),3))*(VLOOKUP($B$5,标准坦克设计!$B$14:$K$20,9)/30))</f>
        <v>2.9862403774522428</v>
      </c>
      <c r="AK180" s="173">
        <f ca="1">(VLOOKUP(AK$72,INDIRECT($C$5&amp;"生成成长"),2))/((VLOOKUP($B180,INDIRECT($B$5&amp;"生成成长"),4))/(VLOOKUP(AK$72,INDIRECT($C$5&amp;"生成成长"),5))*(VLOOKUP($B$5,标准坦克设计!$B$24:$U$30,MATCH("对"&amp;LEFT($C$5,2)&amp;"输出",标准坦克设计!$B$23:$U$23,0)))*(VLOOKUP($B180,INDIRECT($B$5&amp;"生成成长"),3))*(VLOOKUP($B$5,标准坦克设计!$B$14:$K$20,9)/30))</f>
        <v>3.2559128000479274</v>
      </c>
      <c r="AL180" s="173">
        <f ca="1">(VLOOKUP(AL$72,INDIRECT($C$5&amp;"生成成长"),2))/((VLOOKUP($B180,INDIRECT($B$5&amp;"生成成长"),4))/(VLOOKUP(AL$72,INDIRECT($C$5&amp;"生成成长"),5))*(VLOOKUP($B$5,标准坦克设计!$B$24:$U$30,MATCH("对"&amp;LEFT($C$5,2)&amp;"输出",标准坦克设计!$B$23:$U$23,0)))*(VLOOKUP($B180,INDIRECT($B$5&amp;"生成成长"),3))*(VLOOKUP($B$5,标准坦克设计!$B$14:$K$20,9)/30))</f>
        <v>3.5372410051526613</v>
      </c>
      <c r="AM180" s="173">
        <f ca="1">(VLOOKUP(AM$72,INDIRECT($C$5&amp;"生成成长"),2))/((VLOOKUP($B180,INDIRECT($B$5&amp;"生成成长"),4))/(VLOOKUP(AM$72,INDIRECT($C$5&amp;"生成成长"),5))*(VLOOKUP($B$5,标准坦克设计!$B$24:$U$30,MATCH("对"&amp;LEFT($C$5,2)&amp;"输出",标准坦克设计!$B$23:$U$23,0)))*(VLOOKUP($B180,INDIRECT($B$5&amp;"生成成长"),3))*(VLOOKUP($B$5,标准坦克设计!$B$14:$K$20,9)/30))</f>
        <v>3.8302249927664418</v>
      </c>
      <c r="AN180" s="173">
        <f ca="1">(VLOOKUP(AN$72,INDIRECT($C$5&amp;"生成成长"),2))/((VLOOKUP($B180,INDIRECT($B$5&amp;"生成成长"),4))/(VLOOKUP(AN$72,INDIRECT($C$5&amp;"生成成长"),5))*(VLOOKUP($B$5,标准坦克设计!$B$24:$U$30,MATCH("对"&amp;LEFT($C$5,2)&amp;"输出",标准坦克设计!$B$23:$U$23,0)))*(VLOOKUP($B180,INDIRECT($B$5&amp;"生成成长"),3))*(VLOOKUP($B$5,标准坦克设计!$B$14:$K$20,9)/30))</f>
        <v>4.1348647628892685</v>
      </c>
      <c r="AO180" s="173">
        <f ca="1">(VLOOKUP(AO$72,INDIRECT($C$5&amp;"生成成长"),2))/((VLOOKUP($B180,INDIRECT($B$5&amp;"生成成长"),4))/(VLOOKUP(AO$72,INDIRECT($C$5&amp;"生成成长"),5))*(VLOOKUP($B$5,标准坦克设计!$B$24:$U$30,MATCH("对"&amp;LEFT($C$5,2)&amp;"输出",标准坦克设计!$B$23:$U$23,0)))*(VLOOKUP($B180,INDIRECT($B$5&amp;"生成成长"),3))*(VLOOKUP($B$5,标准坦克设计!$B$14:$K$20,9)/30))</f>
        <v>4.4511603155211441</v>
      </c>
      <c r="AP180" s="173">
        <f ca="1">(VLOOKUP(AP$72,INDIRECT($C$5&amp;"生成成长"),2))/((VLOOKUP($B180,INDIRECT($B$5&amp;"生成成长"),4))/(VLOOKUP(AP$72,INDIRECT($C$5&amp;"生成成长"),5))*(VLOOKUP($B$5,标准坦克设计!$B$24:$U$30,MATCH("对"&amp;LEFT($C$5,2)&amp;"输出",标准坦克设计!$B$23:$U$23,0)))*(VLOOKUP($B180,INDIRECT($B$5&amp;"生成成长"),3))*(VLOOKUP($B$5,标准坦克设计!$B$14:$K$20,9)/30))</f>
        <v>4.7791116506620659</v>
      </c>
      <c r="AQ180" s="173">
        <f ca="1">(VLOOKUP(AQ$72,INDIRECT($C$5&amp;"生成成长"),2))/((VLOOKUP($B180,INDIRECT($B$5&amp;"生成成长"),4))/(VLOOKUP(AQ$72,INDIRECT($C$5&amp;"生成成长"),5))*(VLOOKUP($B$5,标准坦克设计!$B$24:$U$30,MATCH("对"&amp;LEFT($C$5,2)&amp;"输出",标准坦克设计!$B$23:$U$23,0)))*(VLOOKUP($B180,INDIRECT($B$5&amp;"生成成长"),3))*(VLOOKUP($B$5,标准坦克设计!$B$14:$K$20,9)/30))</f>
        <v>5.1187187683120356</v>
      </c>
      <c r="AR180" s="173">
        <f ca="1">(VLOOKUP(AR$72,INDIRECT($C$5&amp;"生成成长"),2))/((VLOOKUP($B180,INDIRECT($B$5&amp;"生成成长"),4))/(VLOOKUP(AR$72,INDIRECT($C$5&amp;"生成成长"),5))*(VLOOKUP($B$5,标准坦克设计!$B$24:$U$30,MATCH("对"&amp;LEFT($C$5,2)&amp;"输出",标准坦克设计!$B$23:$U$23,0)))*(VLOOKUP($B180,INDIRECT($B$5&amp;"生成成长"),3))*(VLOOKUP($B$5,标准坦克设计!$B$14:$K$20,9)/30))</f>
        <v>5.4699816684710525</v>
      </c>
      <c r="AS180" s="173">
        <f ca="1">(VLOOKUP(AS$72,INDIRECT($C$5&amp;"生成成长"),2))/((VLOOKUP($B180,INDIRECT($B$5&amp;"生成成长"),4))/(VLOOKUP(AS$72,INDIRECT($C$5&amp;"生成成长"),5))*(VLOOKUP($B$5,标准坦克设计!$B$24:$U$30,MATCH("对"&amp;LEFT($C$5,2)&amp;"输出",标准坦克设计!$B$23:$U$23,0)))*(VLOOKUP($B180,INDIRECT($B$5&amp;"生成成长"),3))*(VLOOKUP($B$5,标准坦克设计!$B$14:$K$20,9)/30))</f>
        <v>5.8329003511391164</v>
      </c>
      <c r="AT180" s="173">
        <f ca="1">(VLOOKUP(AT$72,INDIRECT($C$5&amp;"生成成长"),2))/((VLOOKUP($B180,INDIRECT($B$5&amp;"生成成长"),4))/(VLOOKUP(AT$72,INDIRECT($C$5&amp;"生成成长"),5))*(VLOOKUP($B$5,标准坦克设计!$B$24:$U$30,MATCH("对"&amp;LEFT($C$5,2)&amp;"输出",标准坦克设计!$B$23:$U$23,0)))*(VLOOKUP($B180,INDIRECT($B$5&amp;"生成成长"),3))*(VLOOKUP($B$5,标准坦克设计!$B$14:$K$20,9)/30))</f>
        <v>6.2074748163162283</v>
      </c>
      <c r="AU180" s="173">
        <f ca="1">(VLOOKUP(AU$72,INDIRECT($C$5&amp;"生成成长"),2))/((VLOOKUP($B180,INDIRECT($B$5&amp;"生成成长"),4))/(VLOOKUP(AU$72,INDIRECT($C$5&amp;"生成成长"),5))*(VLOOKUP($B$5,标准坦克设计!$B$24:$U$30,MATCH("对"&amp;LEFT($C$5,2)&amp;"输出",标准坦克设计!$B$23:$U$23,0)))*(VLOOKUP($B180,INDIRECT($B$5&amp;"生成成长"),3))*(VLOOKUP($B$5,标准坦克设计!$B$14:$K$20,9)/30))</f>
        <v>6.5937050640023882</v>
      </c>
      <c r="AV180" s="173">
        <f ca="1">(VLOOKUP(AV$72,INDIRECT($C$5&amp;"生成成长"),2))/((VLOOKUP($B180,INDIRECT($B$5&amp;"生成成长"),4))/(VLOOKUP(AV$72,INDIRECT($C$5&amp;"生成成长"),5))*(VLOOKUP($B$5,标准坦克设计!$B$24:$U$30,MATCH("对"&amp;LEFT($C$5,2)&amp;"输出",标准坦克设计!$B$23:$U$23,0)))*(VLOOKUP($B180,INDIRECT($B$5&amp;"生成成长"),3))*(VLOOKUP($B$5,标准坦克设计!$B$14:$K$20,9)/30))</f>
        <v>0.67064097378502008</v>
      </c>
      <c r="AW180" s="173">
        <f ca="1">(VLOOKUP(AW$72,INDIRECT($C$5&amp;"生成成长"),2))/((VLOOKUP($B180,INDIRECT($B$5&amp;"生成成长"),4))/(VLOOKUP(AW$72,INDIRECT($C$5&amp;"生成成长"),5))*(VLOOKUP($B$5,标准坦克设计!$B$24:$U$30,MATCH("对"&amp;LEFT($C$5,2)&amp;"输出",标准坦克设计!$B$23:$U$23,0)))*(VLOOKUP($B180,INDIRECT($B$5&amp;"生成成长"),3))*(VLOOKUP($B$5,标准坦克设计!$B$14:$K$20,9)/30))</f>
        <v>0.76465786410593051</v>
      </c>
      <c r="AX180" s="173">
        <f ca="1">(VLOOKUP(AX$72,INDIRECT($C$5&amp;"生成成长"),2))/((VLOOKUP($B180,INDIRECT($B$5&amp;"生成成长"),4))/(VLOOKUP(AX$72,INDIRECT($C$5&amp;"生成成长"),5))*(VLOOKUP($B$5,标准坦克设计!$B$24:$U$30,MATCH("对"&amp;LEFT($C$5,2)&amp;"输出",标准坦克设计!$B$23:$U$23,0)))*(VLOOKUP($B180,INDIRECT($B$5&amp;"生成成长"),3))*(VLOOKUP($B$5,标准坦克设计!$B$14:$K$20,9)/30))</f>
        <v>0.86483979641509778</v>
      </c>
      <c r="AY180" s="173">
        <f ca="1">(VLOOKUP(AY$72,INDIRECT($C$5&amp;"生成成长"),2))/((VLOOKUP($B180,INDIRECT($B$5&amp;"生成成长"),4))/(VLOOKUP(AY$72,INDIRECT($C$5&amp;"生成成长"),5))*(VLOOKUP($B$5,标准坦克设计!$B$24:$U$30,MATCH("对"&amp;LEFT($C$5,2)&amp;"输出",标准坦克设计!$B$23:$U$23,0)))*(VLOOKUP($B180,INDIRECT($B$5&amp;"生成成长"),3))*(VLOOKUP($B$5,标准坦克设计!$B$14:$K$20,9)/30))</f>
        <v>0.97118677071252113</v>
      </c>
      <c r="AZ180" s="173">
        <f ca="1">(VLOOKUP(AZ$72,INDIRECT($C$5&amp;"生成成长"),2))/((VLOOKUP($B180,INDIRECT($B$5&amp;"生成成长"),4))/(VLOOKUP(AZ$72,INDIRECT($C$5&amp;"生成成长"),5))*(VLOOKUP($B$5,标准坦克设计!$B$24:$U$30,MATCH("对"&amp;LEFT($C$5,2)&amp;"输出",标准坦克设计!$B$23:$U$23,0)))*(VLOOKUP($B180,INDIRECT($B$5&amp;"生成成长"),3))*(VLOOKUP($B$5,标准坦克设计!$B$14:$K$20,9)/30))</f>
        <v>1.0836987869982009</v>
      </c>
      <c r="BA180" s="173">
        <f ca="1">(VLOOKUP(BA$72,INDIRECT($C$5&amp;"生成成长"),2))/((VLOOKUP($B180,INDIRECT($B$5&amp;"生成成长"),4))/(VLOOKUP(BA$72,INDIRECT($C$5&amp;"生成成长"),5))*(VLOOKUP($B$5,标准坦克设计!$B$24:$U$30,MATCH("对"&amp;LEFT($C$5,2)&amp;"输出",标准坦克设计!$B$23:$U$23,0)))*(VLOOKUP($B180,INDIRECT($B$5&amp;"生成成长"),3))*(VLOOKUP($B$5,标准坦克设计!$B$14:$K$20,9)/30))</f>
        <v>1.2023758452721371</v>
      </c>
      <c r="BB180" s="173">
        <f ca="1">(VLOOKUP(BB$72,INDIRECT($C$5&amp;"生成成长"),2))/((VLOOKUP($B180,INDIRECT($B$5&amp;"生成成长"),4))/(VLOOKUP(BB$72,INDIRECT($C$5&amp;"生成成长"),5))*(VLOOKUP($B$5,标准坦克设计!$B$24:$U$30,MATCH("对"&amp;LEFT($C$5,2)&amp;"输出",标准坦克设计!$B$23:$U$23,0)))*(VLOOKUP($B180,INDIRECT($B$5&amp;"生成成长"),3))*(VLOOKUP($B$5,标准坦克设计!$B$14:$K$20,9)/30))</f>
        <v>1.32721794553433</v>
      </c>
      <c r="BC180" s="173">
        <f ca="1">(VLOOKUP(BC$72,INDIRECT($C$5&amp;"生成成长"),2))/((VLOOKUP($B180,INDIRECT($B$5&amp;"生成成长"),4))/(VLOOKUP(BC$72,INDIRECT($C$5&amp;"生成成长"),5))*(VLOOKUP($B$5,标准坦克设计!$B$24:$U$30,MATCH("对"&amp;LEFT($C$5,2)&amp;"输出",标准坦克设计!$B$23:$U$23,0)))*(VLOOKUP($B180,INDIRECT($B$5&amp;"生成成长"),3))*(VLOOKUP($B$5,标准坦克设计!$B$14:$K$20,9)/30))</f>
        <v>1.4582250877847791</v>
      </c>
      <c r="BD180" s="173">
        <f ca="1">(VLOOKUP(BD$72,INDIRECT($C$5&amp;"生成成长"),2))/((VLOOKUP($B180,INDIRECT($B$5&amp;"生成成长"),4))/(VLOOKUP(BD$72,INDIRECT($C$5&amp;"生成成长"),5))*(VLOOKUP($B$5,标准坦克设计!$B$24:$U$30,MATCH("对"&amp;LEFT($C$5,2)&amp;"输出",标准坦克设计!$B$23:$U$23,0)))*(VLOOKUP($B180,INDIRECT($B$5&amp;"生成成长"),3))*(VLOOKUP($B$5,标准坦克设计!$B$14:$K$20,9)/30))</f>
        <v>1.6129772745681223</v>
      </c>
      <c r="BE180" s="173">
        <f ca="1">(VLOOKUP(BE$72,INDIRECT($C$5&amp;"生成成长"),2))/((VLOOKUP($B180,INDIRECT($B$5&amp;"生成成长"),4))/(VLOOKUP(BE$72,INDIRECT($C$5&amp;"生成成长"),5))*(VLOOKUP($B$5,标准坦克设计!$B$24:$U$30,MATCH("对"&amp;LEFT($C$5,2)&amp;"输出",标准坦克设计!$B$23:$U$23,0)))*(VLOOKUP($B180,INDIRECT($B$5&amp;"生成成长"),3))*(VLOOKUP($B$5,标准坦克设计!$B$14:$K$20,9)/30))</f>
        <v>1.7755320926178526</v>
      </c>
      <c r="BF180" s="173">
        <f ca="1">(VLOOKUP(BF$72,INDIRECT($C$5&amp;"生成成长"),2))/((VLOOKUP($B180,INDIRECT($B$5&amp;"生成成长"),4))/(VLOOKUP(BF$72,INDIRECT($C$5&amp;"生成成长"),5))*(VLOOKUP($B$5,标准坦克设计!$B$24:$U$30,MATCH("对"&amp;LEFT($C$5,2)&amp;"输出",标准坦克设计!$B$23:$U$23,0)))*(VLOOKUP($B180,INDIRECT($B$5&amp;"生成成长"),3))*(VLOOKUP($B$5,标准坦克设计!$B$14:$K$20,9)/30))</f>
        <v>1.9458895419339695</v>
      </c>
      <c r="BG180" s="173">
        <f ca="1">(VLOOKUP(BG$72,INDIRECT($C$5&amp;"生成成长"),2))/((VLOOKUP($B180,INDIRECT($B$5&amp;"生成成长"),4))/(VLOOKUP(BG$72,INDIRECT($C$5&amp;"生成成长"),5))*(VLOOKUP($B$5,标准坦克设计!$B$24:$U$30,MATCH("对"&amp;LEFT($C$5,2)&amp;"输出",标准坦克设计!$B$23:$U$23,0)))*(VLOOKUP($B180,INDIRECT($B$5&amp;"生成成长"),3))*(VLOOKUP($B$5,标准坦克设计!$B$14:$K$20,9)/30))</f>
        <v>2.1240496225164738</v>
      </c>
      <c r="BH180" s="173">
        <f ca="1">(VLOOKUP(BH$72,INDIRECT($C$5&amp;"生成成长"),2))/((VLOOKUP($B180,INDIRECT($B$5&amp;"生成成长"),4))/(VLOOKUP(BH$72,INDIRECT($C$5&amp;"生成成长"),5))*(VLOOKUP($B$5,标准坦克设计!$B$24:$U$30,MATCH("对"&amp;LEFT($C$5,2)&amp;"输出",标准坦克设计!$B$23:$U$23,0)))*(VLOOKUP($B180,INDIRECT($B$5&amp;"生成成长"),3))*(VLOOKUP($B$5,标准坦克设计!$B$14:$K$20,9)/30))</f>
        <v>1.0266721486068291</v>
      </c>
      <c r="BI180" s="173">
        <f ca="1">(VLOOKUP(BI$72,INDIRECT($C$5&amp;"生成成长"),2))/((VLOOKUP($B180,INDIRECT($B$5&amp;"生成成长"),4))/(VLOOKUP(BI$72,INDIRECT($C$5&amp;"生成成长"),5))*(VLOOKUP($B$5,标准坦克设计!$B$24:$U$30,MATCH("对"&amp;LEFT($C$5,2)&amp;"输出",标准坦克设计!$B$23:$U$23,0)))*(VLOOKUP($B180,INDIRECT($B$5&amp;"生成成长"),3))*(VLOOKUP($B$5,标准坦克设计!$B$14:$K$20,9)/30))</f>
        <v>1.1571494825614128</v>
      </c>
      <c r="BJ180" s="173">
        <f ca="1">(VLOOKUP(BJ$72,INDIRECT($C$5&amp;"生成成长"),2))/((VLOOKUP($B180,INDIRECT($B$5&amp;"生成成长"),4))/(VLOOKUP(BJ$72,INDIRECT($C$5&amp;"生成成长"),5))*(VLOOKUP($B$5,标准坦克设计!$B$24:$U$30,MATCH("对"&amp;LEFT($C$5,2)&amp;"输出",标准坦克设计!$B$23:$U$23,0)))*(VLOOKUP($B180,INDIRECT($B$5&amp;"生成成长"),3))*(VLOOKUP($B$5,标准坦克设计!$B$14:$K$20,9)/30))</f>
        <v>1.2954294477823827</v>
      </c>
      <c r="BK180" s="173">
        <f ca="1">(VLOOKUP(BK$72,INDIRECT($C$5&amp;"生成成长"),2))/((VLOOKUP($B180,INDIRECT($B$5&amp;"生成成长"),4))/(VLOOKUP(BK$72,INDIRECT($C$5&amp;"生成成长"),5))*(VLOOKUP($B$5,标准坦克设计!$B$24:$U$30,MATCH("对"&amp;LEFT($C$5,2)&amp;"输出",标准坦克设计!$B$23:$U$23,0)))*(VLOOKUP($B180,INDIRECT($B$5&amp;"生成成长"),3))*(VLOOKUP($B$5,标准坦克设计!$B$14:$K$20,9)/30))</f>
        <v>1.4415120442697402</v>
      </c>
      <c r="BL180" s="173">
        <f ca="1">(VLOOKUP(BL$72,INDIRECT($C$5&amp;"生成成长"),2))/((VLOOKUP($B180,INDIRECT($B$5&amp;"生成成长"),4))/(VLOOKUP(BL$72,INDIRECT($C$5&amp;"生成成长"),5))*(VLOOKUP($B$5,标准坦克设计!$B$24:$U$30,MATCH("对"&amp;LEFT($C$5,2)&amp;"输出",标准坦克设计!$B$23:$U$23,0)))*(VLOOKUP($B180,INDIRECT($B$5&amp;"生成成长"),3))*(VLOOKUP($B$5,标准坦克设计!$B$14:$K$20,9)/30))</f>
        <v>1.595397272023485</v>
      </c>
      <c r="BM180" s="173">
        <f ca="1">(VLOOKUP(BM$72,INDIRECT($C$5&amp;"生成成长"),2))/((VLOOKUP($B180,INDIRECT($B$5&amp;"生成成长"),4))/(VLOOKUP(BM$72,INDIRECT($C$5&amp;"生成成长"),5))*(VLOOKUP($B$5,标准坦克设计!$B$24:$U$30,MATCH("对"&amp;LEFT($C$5,2)&amp;"输出",标准坦克设计!$B$23:$U$23,0)))*(VLOOKUP($B180,INDIRECT($B$5&amp;"生成成长"),3))*(VLOOKUP($B$5,标准坦克设计!$B$14:$K$20,9)/30))</f>
        <v>1.7570851310436164</v>
      </c>
      <c r="BN180" s="173">
        <f ca="1">(VLOOKUP(BN$72,INDIRECT($C$5&amp;"生成成长"),2))/((VLOOKUP($B180,INDIRECT($B$5&amp;"生成成长"),4))/(VLOOKUP(BN$72,INDIRECT($C$5&amp;"生成成长"),5))*(VLOOKUP($B$5,标准坦克设计!$B$24:$U$30,MATCH("对"&amp;LEFT($C$5,2)&amp;"输出",标准坦克设计!$B$23:$U$23,0)))*(VLOOKUP($B180,INDIRECT($B$5&amp;"生成成长"),3))*(VLOOKUP($B$5,标准坦克设计!$B$14:$K$20,9)/30))</f>
        <v>1.9265756213301353</v>
      </c>
      <c r="BO180" s="173">
        <f ca="1">(VLOOKUP(BO$72,INDIRECT($C$5&amp;"生成成长"),2))/((VLOOKUP($B180,INDIRECT($B$5&amp;"生成成长"),4))/(VLOOKUP(BO$72,INDIRECT($C$5&amp;"生成成长"),5))*(VLOOKUP($B$5,标准坦克设计!$B$24:$U$30,MATCH("对"&amp;LEFT($C$5,2)&amp;"输出",标准坦克设计!$B$23:$U$23,0)))*(VLOOKUP($B180,INDIRECT($B$5&amp;"生成成长"),3))*(VLOOKUP($B$5,标准坦克设计!$B$14:$K$20,9)/30))</f>
        <v>2.1038687428830407</v>
      </c>
      <c r="BP180" s="173">
        <f ca="1">(VLOOKUP(BP$72,INDIRECT($C$5&amp;"生成成长"),2))/((VLOOKUP($B180,INDIRECT($B$5&amp;"生成成长"),4))/(VLOOKUP(BP$72,INDIRECT($C$5&amp;"生成成长"),5))*(VLOOKUP($B$5,标准坦克设计!$B$24:$U$30,MATCH("对"&amp;LEFT($C$5,2)&amp;"输出",标准坦克设计!$B$23:$U$23,0)))*(VLOOKUP($B180,INDIRECT($B$5&amp;"生成成长"),3))*(VLOOKUP($B$5,标准坦克设计!$B$14:$K$20,9)/30))</f>
        <v>2.2889644957023334</v>
      </c>
      <c r="BQ180" s="173">
        <f ca="1">(VLOOKUP(BQ$72,INDIRECT($C$5&amp;"生成成长"),2))/((VLOOKUP($B180,INDIRECT($B$5&amp;"生成成长"),4))/(VLOOKUP(BQ$72,INDIRECT($C$5&amp;"生成成长"),5))*(VLOOKUP($B$5,标准坦克设计!$B$24:$U$30,MATCH("对"&amp;LEFT($C$5,2)&amp;"输出",标准坦克设计!$B$23:$U$23,0)))*(VLOOKUP($B180,INDIRECT($B$5&amp;"生成成长"),3))*(VLOOKUP($B$5,标准坦克设计!$B$14:$K$20,9)/30))</f>
        <v>2.4818628797880131</v>
      </c>
      <c r="BR180" s="173">
        <f ca="1">(VLOOKUP(BR$72,INDIRECT($C$5&amp;"生成成长"),2))/((VLOOKUP($B180,INDIRECT($B$5&amp;"生成成长"),4))/(VLOOKUP(BR$72,INDIRECT($C$5&amp;"生成成长"),5))*(VLOOKUP($B$5,标准坦克设计!$B$24:$U$30,MATCH("对"&amp;LEFT($C$5,2)&amp;"输出",标准坦克设计!$B$23:$U$23,0)))*(VLOOKUP($B180,INDIRECT($B$5&amp;"生成成长"),3))*(VLOOKUP($B$5,标准坦克设计!$B$14:$K$20,9)/30))</f>
        <v>2.7053456518623085</v>
      </c>
      <c r="BS180" s="173">
        <f ca="1">(VLOOKUP(BS$72,INDIRECT($C$5&amp;"生成成长"),2))/((VLOOKUP($B180,INDIRECT($B$5&amp;"生成成长"),4))/(VLOOKUP(BS$72,INDIRECT($C$5&amp;"生成成长"),5))*(VLOOKUP($B$5,标准坦克设计!$B$24:$U$30,MATCH("对"&amp;LEFT($C$5,2)&amp;"输出",标准坦克设计!$B$23:$U$23,0)))*(VLOOKUP($B180,INDIRECT($B$5&amp;"生成成长"),3))*(VLOOKUP($B$5,标准坦克设计!$B$14:$K$20,9)/30))</f>
        <v>2.9384613020432551</v>
      </c>
      <c r="BT180" s="173">
        <f ca="1">(VLOOKUP(BT$72,INDIRECT($C$5&amp;"生成成长"),2))/((VLOOKUP($B180,INDIRECT($B$5&amp;"生成成长"),4))/(VLOOKUP(BT$72,INDIRECT($C$5&amp;"生成成长"),5))*(VLOOKUP($B$5,标准坦克设计!$B$24:$U$30,MATCH("对"&amp;LEFT($C$5,2)&amp;"输出",标准坦克设计!$B$23:$U$23,0)))*(VLOOKUP($B180,INDIRECT($B$5&amp;"生成成长"),3))*(VLOOKUP($B$5,标准坦克设计!$B$14:$K$20,9)/30))</f>
        <v>3.1812098303308525</v>
      </c>
      <c r="BU180" s="173">
        <f ca="1">(VLOOKUP(BU$72,INDIRECT($C$5&amp;"生成成长"),2))/((VLOOKUP($B180,INDIRECT($B$5&amp;"生成成长"),4))/(VLOOKUP(BU$72,INDIRECT($C$5&amp;"生成成长"),5))*(VLOOKUP($B$5,标准坦克设计!$B$24:$U$30,MATCH("对"&amp;LEFT($C$5,2)&amp;"输出",标准坦克设计!$B$23:$U$23,0)))*(VLOOKUP($B180,INDIRECT($B$5&amp;"生成成长"),3))*(VLOOKUP($B$5,标准坦克设计!$B$14:$K$20,9)/30))</f>
        <v>3.4335912367251002</v>
      </c>
      <c r="BV180" s="173">
        <f ca="1">(VLOOKUP(BV$72,INDIRECT($C$5&amp;"生成成长"),2))/((VLOOKUP($B180,INDIRECT($B$5&amp;"生成成长"),4))/(VLOOKUP(BV$72,INDIRECT($C$5&amp;"生成成长"),5))*(VLOOKUP($B$5,标准坦克设计!$B$24:$U$30,MATCH("对"&amp;LEFT($C$5,2)&amp;"输出",标准坦克设计!$B$23:$U$23,0)))*(VLOOKUP($B180,INDIRECT($B$5&amp;"生成成长"),3))*(VLOOKUP($B$5,标准坦克设计!$B$14:$K$20,9)/30))</f>
        <v>3.6956055212259979</v>
      </c>
      <c r="BW180" s="173">
        <f ca="1">(VLOOKUP(BW$72,INDIRECT($C$5&amp;"生成成长"),2))/((VLOOKUP($B180,INDIRECT($B$5&amp;"生成成长"),4))/(VLOOKUP(BW$72,INDIRECT($C$5&amp;"生成成长"),5))*(VLOOKUP($B$5,标准坦克设计!$B$24:$U$30,MATCH("对"&amp;LEFT($C$5,2)&amp;"输出",标准坦克设计!$B$23:$U$23,0)))*(VLOOKUP($B180,INDIRECT($B$5&amp;"生成成长"),3))*(VLOOKUP($B$5,标准坦克设计!$B$14:$K$20,9)/30))</f>
        <v>1.6842605725573376</v>
      </c>
      <c r="BX180" s="173">
        <f ca="1">(VLOOKUP(BX$72,INDIRECT($C$5&amp;"生成成长"),2))/((VLOOKUP($B180,INDIRECT($B$5&amp;"生成成长"),4))/(VLOOKUP(BX$72,INDIRECT($C$5&amp;"生成成长"),5))*(VLOOKUP($B$5,标准坦克设计!$B$24:$U$30,MATCH("对"&amp;LEFT($C$5,2)&amp;"输出",标准坦克设计!$B$23:$U$23,0)))*(VLOOKUP($B180,INDIRECT($B$5&amp;"生成成长"),3))*(VLOOKUP($B$5,标准坦克设计!$B$14:$K$20,9)/30))</f>
        <v>1.8692118322050304</v>
      </c>
      <c r="BY180" s="173">
        <f ca="1">(VLOOKUP(BY$72,INDIRECT($C$5&amp;"生成成长"),2))/((VLOOKUP($B180,INDIRECT($B$5&amp;"生成成长"),4))/(VLOOKUP(BY$72,INDIRECT($C$5&amp;"生成成长"),5))*(VLOOKUP($B$5,标准坦克设计!$B$24:$U$30,MATCH("对"&amp;LEFT($C$5,2)&amp;"输出",标准坦克设计!$B$23:$U$23,0)))*(VLOOKUP($B180,INDIRECT($B$5&amp;"生成成长"),3))*(VLOOKUP($B$5,标准坦克设计!$B$14:$K$20,9)/30))</f>
        <v>2.063795969959374</v>
      </c>
      <c r="BZ180" s="173">
        <f ca="1">(VLOOKUP(BZ$72,INDIRECT($C$5&amp;"生成成长"),2))/((VLOOKUP($B180,INDIRECT($B$5&amp;"生成成长"),4))/(VLOOKUP(BZ$72,INDIRECT($C$5&amp;"生成成长"),5))*(VLOOKUP($B$5,标准坦克设计!$B$24:$U$30,MATCH("对"&amp;LEFT($C$5,2)&amp;"输出",标准坦克设计!$B$23:$U$23,0)))*(VLOOKUP($B180,INDIRECT($B$5&amp;"生成成长"),3))*(VLOOKUP($B$5,标准坦克设计!$B$14:$K$20,9)/30))</f>
        <v>2.2680129858203681</v>
      </c>
      <c r="CA180" s="173">
        <f ca="1">(VLOOKUP(CA$72,INDIRECT($C$5&amp;"生成成长"),2))/((VLOOKUP($B180,INDIRECT($B$5&amp;"生成成长"),4))/(VLOOKUP(CA$72,INDIRECT($C$5&amp;"生成成长"),5))*(VLOOKUP($B$5,标准坦克设计!$B$24:$U$30,MATCH("对"&amp;LEFT($C$5,2)&amp;"输出",标准坦克设计!$B$23:$U$23,0)))*(VLOOKUP($B180,INDIRECT($B$5&amp;"生成成长"),3))*(VLOOKUP($B$5,标准坦克设计!$B$14:$K$20,9)/30))</f>
        <v>2.4818628797880131</v>
      </c>
      <c r="CB180" s="173">
        <f ca="1">(VLOOKUP(CB$72,INDIRECT($C$5&amp;"生成成长"),2))/((VLOOKUP($B180,INDIRECT($B$5&amp;"生成成长"),4))/(VLOOKUP(CB$72,INDIRECT($C$5&amp;"生成成长"),5))*(VLOOKUP($B$5,标准坦克设计!$B$24:$U$30,MATCH("对"&amp;LEFT($C$5,2)&amp;"输出",标准坦克设计!$B$23:$U$23,0)))*(VLOOKUP($B180,INDIRECT($B$5&amp;"生成成长"),3))*(VLOOKUP($B$5,标准坦克设计!$B$14:$K$20,9)/30))</f>
        <v>2.7053456518623085</v>
      </c>
      <c r="CC180" s="173">
        <f ca="1">(VLOOKUP(CC$72,INDIRECT($C$5&amp;"生成成长"),2))/((VLOOKUP($B180,INDIRECT($B$5&amp;"生成成长"),4))/(VLOOKUP(CC$72,INDIRECT($C$5&amp;"生成成长"),5))*(VLOOKUP($B$5,标准坦克设计!$B$24:$U$30,MATCH("对"&amp;LEFT($C$5,2)&amp;"输出",标准坦克设计!$B$23:$U$23,0)))*(VLOOKUP($B180,INDIRECT($B$5&amp;"生成成长"),3))*(VLOOKUP($B$5,标准坦克设计!$B$14:$K$20,9)/30))</f>
        <v>2.9384613020432551</v>
      </c>
      <c r="CD180" s="173">
        <f ca="1">(VLOOKUP(CD$72,INDIRECT($C$5&amp;"生成成长"),2))/((VLOOKUP($B180,INDIRECT($B$5&amp;"生成成长"),4))/(VLOOKUP(CD$72,INDIRECT($C$5&amp;"生成成长"),5))*(VLOOKUP($B$5,标准坦克设计!$B$24:$U$30,MATCH("对"&amp;LEFT($C$5,2)&amp;"输出",标准坦克设计!$B$23:$U$23,0)))*(VLOOKUP($B180,INDIRECT($B$5&amp;"生成成长"),3))*(VLOOKUP($B$5,标准坦克设计!$B$14:$K$20,9)/30))</f>
        <v>3.1812098303308525</v>
      </c>
      <c r="CE180" s="173">
        <f ca="1">(VLOOKUP(CE$72,INDIRECT($C$5&amp;"生成成长"),2))/((VLOOKUP($B180,INDIRECT($B$5&amp;"生成成长"),4))/(VLOOKUP(CE$72,INDIRECT($C$5&amp;"生成成长"),5))*(VLOOKUP($B$5,标准坦克设计!$B$24:$U$30,MATCH("对"&amp;LEFT($C$5,2)&amp;"输出",标准坦克设计!$B$23:$U$23,0)))*(VLOOKUP($B180,INDIRECT($B$5&amp;"生成成长"),3))*(VLOOKUP($B$5,标准坦克设计!$B$14:$K$20,9)/30))</f>
        <v>3.4335912367251002</v>
      </c>
      <c r="CF180" s="173">
        <f ca="1">(VLOOKUP(CF$72,INDIRECT($C$5&amp;"生成成长"),2))/((VLOOKUP($B180,INDIRECT($B$5&amp;"生成成长"),4))/(VLOOKUP(CF$72,INDIRECT($C$5&amp;"生成成长"),5))*(VLOOKUP($B$5,标准坦克设计!$B$24:$U$30,MATCH("对"&amp;LEFT($C$5,2)&amp;"输出",标准坦克设计!$B$23:$U$23,0)))*(VLOOKUP($B180,INDIRECT($B$5&amp;"生成成长"),3))*(VLOOKUP($B$5,标准坦克设计!$B$14:$K$20,9)/30))</f>
        <v>3.6956055212259979</v>
      </c>
      <c r="CG180" s="173">
        <f ca="1">(VLOOKUP(CG$72,INDIRECT($C$5&amp;"生成成长"),2))/((VLOOKUP($B180,INDIRECT($B$5&amp;"生成成长"),4))/(VLOOKUP(CG$72,INDIRECT($C$5&amp;"生成成长"),5))*(VLOOKUP($B$5,标准坦克设计!$B$24:$U$30,MATCH("对"&amp;LEFT($C$5,2)&amp;"输出",标准坦克设计!$B$23:$U$23,0)))*(VLOOKUP($B180,INDIRECT($B$5&amp;"生成成长"),3))*(VLOOKUP($B$5,标准坦克设计!$B$14:$K$20,9)/30))</f>
        <v>3.9672526838335473</v>
      </c>
      <c r="CH180" s="173">
        <f ca="1">(VLOOKUP(CH$72,INDIRECT($C$5&amp;"生成成长"),2))/((VLOOKUP($B180,INDIRECT($B$5&amp;"生成成长"),4))/(VLOOKUP(CH$72,INDIRECT($C$5&amp;"生成成长"),5))*(VLOOKUP($B$5,标准坦克设计!$B$24:$U$30,MATCH("对"&amp;LEFT($C$5,2)&amp;"输出",标准坦克设计!$B$23:$U$23,0)))*(VLOOKUP($B180,INDIRECT($B$5&amp;"生成成长"),3))*(VLOOKUP($B$5,标准坦克设计!$B$14:$K$20,9)/30))</f>
        <v>4.2485327245477471</v>
      </c>
      <c r="CI180" s="173">
        <f ca="1">(VLOOKUP(CI$72,INDIRECT($C$5&amp;"生成成长"),2))/((VLOOKUP($B180,INDIRECT($B$5&amp;"生成成长"),4))/(VLOOKUP(CI$72,INDIRECT($C$5&amp;"生成成长"),5))*(VLOOKUP($B$5,标准坦克设计!$B$24:$U$30,MATCH("对"&amp;LEFT($C$5,2)&amp;"输出",标准坦克设计!$B$23:$U$23,0)))*(VLOOKUP($B180,INDIRECT($B$5&amp;"生成成长"),3))*(VLOOKUP($B$5,标准坦克设计!$B$14:$K$20,9)/30))</f>
        <v>4.5690667435465482</v>
      </c>
      <c r="CJ180" s="173">
        <f ca="1">(VLOOKUP(CJ$72,INDIRECT($C$5&amp;"生成成长"),2))/((VLOOKUP($B180,INDIRECT($B$5&amp;"生成成长"),4))/(VLOOKUP(CJ$72,INDIRECT($C$5&amp;"生成成长"),5))*(VLOOKUP($B$5,标准坦克设计!$B$24:$U$30,MATCH("对"&amp;LEFT($C$5,2)&amp;"输出",标准坦克设计!$B$23:$U$23,0)))*(VLOOKUP($B180,INDIRECT($B$5&amp;"生成成长"),3))*(VLOOKUP($B$5,标准坦克设计!$B$14:$K$20,9)/30))</f>
        <v>4.9012565450543981</v>
      </c>
      <c r="CK180" s="173">
        <f ca="1">(VLOOKUP(CK$72,INDIRECT($C$5&amp;"生成成长"),2))/((VLOOKUP($B180,INDIRECT($B$5&amp;"生成成长"),4))/(VLOOKUP(CK$72,INDIRECT($C$5&amp;"生成成长"),5))*(VLOOKUP($B$5,标准坦克设计!$B$24:$U$30,MATCH("对"&amp;LEFT($C$5,2)&amp;"输出",标准坦克设计!$B$23:$U$23,0)))*(VLOOKUP($B180,INDIRECT($B$5&amp;"生成成长"),3))*(VLOOKUP($B$5,标准坦克设计!$B$14:$K$20,9)/30))</f>
        <v>5.2451021290712934</v>
      </c>
      <c r="CL180" s="173">
        <f ca="1">(VLOOKUP(CL$72,INDIRECT($C$5&amp;"生成成长"),2))/((VLOOKUP($B180,INDIRECT($B$5&amp;"生成成长"),4))/(VLOOKUP(CL$72,INDIRECT($C$5&amp;"生成成长"),5))*(VLOOKUP($B$5,标准坦克设计!$B$24:$U$30,MATCH("对"&amp;LEFT($C$5,2)&amp;"输出",标准坦克设计!$B$23:$U$23,0)))*(VLOOKUP($B180,INDIRECT($B$5&amp;"生成成长"),3))*(VLOOKUP($B$5,标准坦克设计!$B$14:$K$20,9)/30))</f>
        <v>5.6006034955972366</v>
      </c>
      <c r="CM180" s="173">
        <f ca="1">(VLOOKUP(CM$72,INDIRECT($C$5&amp;"生成成长"),2))/((VLOOKUP($B180,INDIRECT($B$5&amp;"生成成长"),4))/(VLOOKUP(CM$72,INDIRECT($C$5&amp;"生成成长"),5))*(VLOOKUP($B$5,标准坦克设计!$B$24:$U$30,MATCH("对"&amp;LEFT($C$5,2)&amp;"输出",标准坦克设计!$B$23:$U$23,0)))*(VLOOKUP($B180,INDIRECT($B$5&amp;"生成成长"),3))*(VLOOKUP($B$5,标准坦克设计!$B$14:$K$20,9)/30))</f>
        <v>5.9677606446322278</v>
      </c>
      <c r="CN180" s="173">
        <f ca="1">(VLOOKUP(CN$72,INDIRECT($C$5&amp;"生成成长"),2))/((VLOOKUP($B180,INDIRECT($B$5&amp;"生成成长"),4))/(VLOOKUP(CN$72,INDIRECT($C$5&amp;"生成成长"),5))*(VLOOKUP($B$5,标准坦克设计!$B$24:$U$30,MATCH("对"&amp;LEFT($C$5,2)&amp;"输出",标准坦克设计!$B$23:$U$23,0)))*(VLOOKUP($B180,INDIRECT($B$5&amp;"生成成长"),3))*(VLOOKUP($B$5,标准坦克设计!$B$14:$K$20,9)/30))</f>
        <v>6.3465735761762634</v>
      </c>
      <c r="CO180" s="173">
        <f ca="1">(VLOOKUP(CO$72,INDIRECT($C$5&amp;"生成成长"),2))/((VLOOKUP($B180,INDIRECT($B$5&amp;"生成成长"),4))/(VLOOKUP(CO$72,INDIRECT($C$5&amp;"生成成长"),5))*(VLOOKUP($B$5,标准坦克设计!$B$24:$U$30,MATCH("对"&amp;LEFT($C$5,2)&amp;"输出",标准坦克设计!$B$23:$U$23,0)))*(VLOOKUP($B180,INDIRECT($B$5&amp;"生成成长"),3))*(VLOOKUP($B$5,标准坦克设计!$B$14:$K$20,9)/30))</f>
        <v>2.8440590965980785</v>
      </c>
      <c r="CP180" s="173">
        <f ca="1">(VLOOKUP(CP$72,INDIRECT($C$5&amp;"生成成长"),2))/((VLOOKUP($B180,INDIRECT($B$5&amp;"生成成长"),4))/(VLOOKUP(CP$72,INDIRECT($C$5&amp;"生成成长"),5))*(VLOOKUP($B$5,标准坦克设计!$B$24:$U$30,MATCH("对"&amp;LEFT($C$5,2)&amp;"输出",标准坦克设计!$B$23:$U$23,0)))*(VLOOKUP($B180,INDIRECT($B$5&amp;"生成成长"),3))*(VLOOKUP($B$5,标准坦克设计!$B$14:$K$20,9)/30))</f>
        <v>3.1073738196433749</v>
      </c>
      <c r="CQ180" s="173">
        <f ca="1">(VLOOKUP(CQ$72,INDIRECT($C$5&amp;"生成成长"),2))/((VLOOKUP($B180,INDIRECT($B$5&amp;"生成成长"),4))/(VLOOKUP(CQ$72,INDIRECT($C$5&amp;"生成成长"),5))*(VLOOKUP($B$5,标准坦克设计!$B$24:$U$30,MATCH("对"&amp;LEFT($C$5,2)&amp;"输出",标准坦克设计!$B$23:$U$23,0)))*(VLOOKUP($B180,INDIRECT($B$5&amp;"生成成长"),3))*(VLOOKUP($B$5,标准坦克设计!$B$14:$K$20,9)/30))</f>
        <v>3.3823443251977188</v>
      </c>
      <c r="CR180" s="173">
        <f ca="1">(VLOOKUP(CR$72,INDIRECT($C$5&amp;"生成成长"),2))/((VLOOKUP($B180,INDIRECT($B$5&amp;"生成成长"),4))/(VLOOKUP(CR$72,INDIRECT($C$5&amp;"生成成长"),5))*(VLOOKUP($B$5,标准坦克设计!$B$24:$U$30,MATCH("对"&amp;LEFT($C$5,2)&amp;"输出",标准坦克设计!$B$23:$U$23,0)))*(VLOOKUP($B180,INDIRECT($B$5&amp;"生成成长"),3))*(VLOOKUP($B$5,标准坦克设计!$B$14:$K$20,9)/30))</f>
        <v>3.6689706132611088</v>
      </c>
      <c r="CS180" s="173">
        <f ca="1">(VLOOKUP(CS$72,INDIRECT($C$5&amp;"生成成长"),2))/((VLOOKUP($B180,INDIRECT($B$5&amp;"生成成长"),4))/(VLOOKUP(CS$72,INDIRECT($C$5&amp;"生成成长"),5))*(VLOOKUP($B$5,标准坦克设计!$B$24:$U$30,MATCH("对"&amp;LEFT($C$5,2)&amp;"输出",标准坦克设计!$B$23:$U$23,0)))*(VLOOKUP($B180,INDIRECT($B$5&amp;"生成成长"),3))*(VLOOKUP($B$5,标准坦克设计!$B$14:$K$20,9)/30))</f>
        <v>3.9672526838335473</v>
      </c>
      <c r="CT180" s="173">
        <f ca="1">(VLOOKUP(CT$72,INDIRECT($C$5&amp;"生成成长"),2))/((VLOOKUP($B180,INDIRECT($B$5&amp;"生成成长"),4))/(VLOOKUP(CT$72,INDIRECT($C$5&amp;"生成成长"),5))*(VLOOKUP($B$5,标准坦克设计!$B$24:$U$30,MATCH("对"&amp;LEFT($C$5,2)&amp;"输出",标准坦克设计!$B$23:$U$23,0)))*(VLOOKUP($B180,INDIRECT($B$5&amp;"生成成长"),3))*(VLOOKUP($B$5,标准坦克设计!$B$14:$K$20,9)/30))</f>
        <v>4.2771905369150334</v>
      </c>
      <c r="CU180" s="173">
        <f ca="1">(VLOOKUP(CU$72,INDIRECT($C$5&amp;"生成成长"),2))/((VLOOKUP($B180,INDIRECT($B$5&amp;"生成成长"),4))/(VLOOKUP(CU$72,INDIRECT($C$5&amp;"生成成长"),5))*(VLOOKUP($B$5,标准坦克设计!$B$24:$U$30,MATCH("对"&amp;LEFT($C$5,2)&amp;"输出",标准坦克设计!$B$23:$U$23,0)))*(VLOOKUP($B180,INDIRECT($B$5&amp;"生成成长"),3))*(VLOOKUP($B$5,标准坦克设计!$B$14:$K$20,9)/30))</f>
        <v>4.5987841725055665</v>
      </c>
      <c r="CV180" s="173">
        <f ca="1">(VLOOKUP(CV$72,INDIRECT($C$5&amp;"生成成长"),2))/((VLOOKUP($B180,INDIRECT($B$5&amp;"生成成长"),4))/(VLOOKUP(CV$72,INDIRECT($C$5&amp;"生成成长"),5))*(VLOOKUP($B$5,标准坦克设计!$B$24:$U$30,MATCH("对"&amp;LEFT($C$5,2)&amp;"输出",标准坦克设计!$B$23:$U$23,0)))*(VLOOKUP($B180,INDIRECT($B$5&amp;"生成成长"),3))*(VLOOKUP($B$5,标准坦克设计!$B$14:$K$20,9)/30))</f>
        <v>4.9320335906051449</v>
      </c>
      <c r="CW180" s="173">
        <f ca="1">(VLOOKUP(CW$72,INDIRECT($C$5&amp;"生成成长"),2))/((VLOOKUP($B180,INDIRECT($B$5&amp;"生成成长"),4))/(VLOOKUP(CW$72,INDIRECT($C$5&amp;"生成成长"),5))*(VLOOKUP($B$5,标准坦克设计!$B$24:$U$30,MATCH("对"&amp;LEFT($C$5,2)&amp;"输出",标准坦克设计!$B$23:$U$23,0)))*(VLOOKUP($B180,INDIRECT($B$5&amp;"生成成长"),3))*(VLOOKUP($B$5,标准坦克设计!$B$14:$K$20,9)/30))</f>
        <v>5.276938791213774</v>
      </c>
      <c r="CX180" s="173">
        <f ca="1">(VLOOKUP(CX$72,INDIRECT($C$5&amp;"生成成长"),2))/((VLOOKUP($B180,INDIRECT($B$5&amp;"生成成长"),4))/(VLOOKUP(CX$72,INDIRECT($C$5&amp;"生成成长"),5))*(VLOOKUP($B$5,标准坦克设计!$B$24:$U$30,MATCH("对"&amp;LEFT($C$5,2)&amp;"输出",标准坦克设计!$B$23:$U$23,0)))*(VLOOKUP($B180,INDIRECT($B$5&amp;"生成成长"),3))*(VLOOKUP($B$5,标准坦克设计!$B$14:$K$20,9)/30))</f>
        <v>5.6334997743314474</v>
      </c>
      <c r="CY180" s="173">
        <f ca="1">(VLOOKUP(CY$72,INDIRECT($C$5&amp;"生成成长"),2))/((VLOOKUP($B180,INDIRECT($B$5&amp;"生成成长"),4))/(VLOOKUP(CY$72,INDIRECT($C$5&amp;"生成成长"),5))*(VLOOKUP($B$5,标准坦克设计!$B$24:$U$30,MATCH("对"&amp;LEFT($C$5,2)&amp;"输出",标准坦克设计!$B$23:$U$23,0)))*(VLOOKUP($B180,INDIRECT($B$5&amp;"生成成长"),3))*(VLOOKUP($B$5,标准坦克设计!$B$14:$K$20,9)/30))</f>
        <v>6.0017165399581698</v>
      </c>
      <c r="CZ180" s="173">
        <f ca="1">(VLOOKUP(CZ$72,INDIRECT($C$5&amp;"生成成长"),2))/((VLOOKUP($B180,INDIRECT($B$5&amp;"生成成长"),4))/(VLOOKUP(CZ$72,INDIRECT($C$5&amp;"生成成长"),5))*(VLOOKUP($B$5,标准坦克设计!$B$24:$U$30,MATCH("对"&amp;LEFT($C$5,2)&amp;"输出",标准坦克设计!$B$23:$U$23,0)))*(VLOOKUP($B180,INDIRECT($B$5&amp;"生成成长"),3))*(VLOOKUP($B$5,标准坦克设计!$B$14:$K$20,9)/30))</f>
        <v>6.3815890880939401</v>
      </c>
      <c r="DA180" s="173">
        <f ca="1">(VLOOKUP(DA$72,INDIRECT($C$5&amp;"生成成长"),2))/((VLOOKUP($B180,INDIRECT($B$5&amp;"生成成长"),4))/(VLOOKUP(DA$72,INDIRECT($C$5&amp;"生成成长"),5))*(VLOOKUP($B$5,标准坦克设计!$B$24:$U$30,MATCH("对"&amp;LEFT($C$5,2)&amp;"输出",标准坦克设计!$B$23:$U$23,0)))*(VLOOKUP($B180,INDIRECT($B$5&amp;"生成成长"),3))*(VLOOKUP($B$5,标准坦克设计!$B$14:$K$20,9)/30))</f>
        <v>6.7731174187387575</v>
      </c>
      <c r="DB180" s="173">
        <f ca="1">(VLOOKUP(DB$72,INDIRECT($C$5&amp;"生成成长"),2))/((VLOOKUP($B180,INDIRECT($B$5&amp;"生成成长"),4))/(VLOOKUP(DB$72,INDIRECT($C$5&amp;"生成成长"),5))*(VLOOKUP($B$5,标准坦克设计!$B$24:$U$30,MATCH("对"&amp;LEFT($C$5,2)&amp;"输出",标准坦克设计!$B$23:$U$23,0)))*(VLOOKUP($B180,INDIRECT($B$5&amp;"生成成长"),3))*(VLOOKUP($B$5,标准坦克设计!$B$14:$K$20,9)/30))</f>
        <v>7.1763015318926202</v>
      </c>
      <c r="DC180" s="173">
        <f ca="1">(VLOOKUP(DC$72,INDIRECT($C$5&amp;"生成成长"),2))/((VLOOKUP($B180,INDIRECT($B$5&amp;"生成成长"),4))/(VLOOKUP(DC$72,INDIRECT($C$5&amp;"生成成长"),5))*(VLOOKUP($B$5,标准坦克设计!$B$24:$U$30,MATCH("对"&amp;LEFT($C$5,2)&amp;"输出",标准坦克设计!$B$23:$U$23,0)))*(VLOOKUP($B180,INDIRECT($B$5&amp;"生成成长"),3))*(VLOOKUP($B$5,标准坦克设计!$B$14:$K$20,9)/30))</f>
        <v>7.6294321180294693</v>
      </c>
      <c r="DD180" s="173">
        <f ca="1">(VLOOKUP(DD$72,INDIRECT($C$5&amp;"生成成长"),2))/((VLOOKUP($B180,INDIRECT($B$5&amp;"生成成长"),4))/(VLOOKUP(DD$72,INDIRECT($C$5&amp;"生成成长"),5))*(VLOOKUP($B$5,标准坦克设计!$B$24:$U$30,MATCH("对"&amp;LEFT($C$5,2)&amp;"输出",标准坦克设计!$B$23:$U$23,0)))*(VLOOKUP($B180,INDIRECT($B$5&amp;"生成成长"),3))*(VLOOKUP($B$5,标准坦克设计!$B$14:$K$20,9)/30))</f>
        <v>8.0964340486398925</v>
      </c>
      <c r="DE180" s="173">
        <f ca="1">(VLOOKUP(DE$72,INDIRECT($C$5&amp;"生成成长"),2))/((VLOOKUP($B180,INDIRECT($B$5&amp;"生成成长"),4))/(VLOOKUP(DE$72,INDIRECT($C$5&amp;"生成成长"),5))*(VLOOKUP($B$5,标准坦克设计!$B$24:$U$30,MATCH("对"&amp;LEFT($C$5,2)&amp;"输出",标准坦克设计!$B$23:$U$23,0)))*(VLOOKUP($B180,INDIRECT($B$5&amp;"生成成长"),3))*(VLOOKUP($B$5,标准坦克设计!$B$14:$K$20,9)/30))</f>
        <v>8.5773073237238933</v>
      </c>
      <c r="DF180" s="173">
        <f ca="1">(VLOOKUP(DF$72,INDIRECT($C$5&amp;"生成成长"),2))/((VLOOKUP($B180,INDIRECT($B$5&amp;"生成成长"),4))/(VLOOKUP(DF$72,INDIRECT($C$5&amp;"生成成长"),5))*(VLOOKUP($B$5,标准坦克设计!$B$24:$U$30,MATCH("对"&amp;LEFT($C$5,2)&amp;"输出",标准坦克设计!$B$23:$U$23,0)))*(VLOOKUP($B180,INDIRECT($B$5&amp;"生成成长"),3))*(VLOOKUP($B$5,标准坦克设计!$B$14:$K$20,9)/30))</f>
        <v>9.0720519432814726</v>
      </c>
      <c r="DG180" s="173">
        <f ca="1">(VLOOKUP(DG$72,INDIRECT($C$5&amp;"生成成长"),2))/((VLOOKUP($B180,INDIRECT($B$5&amp;"生成成长"),4))/(VLOOKUP(DG$72,INDIRECT($C$5&amp;"生成成长"),5))*(VLOOKUP($B$5,标准坦克设计!$B$24:$U$30,MATCH("对"&amp;LEFT($C$5,2)&amp;"输出",标准坦克设计!$B$23:$U$23,0)))*(VLOOKUP($B180,INDIRECT($B$5&amp;"生成成长"),3))*(VLOOKUP($B$5,标准坦克设计!$B$14:$K$20,9)/30))</f>
        <v>9.5806679073126286</v>
      </c>
      <c r="DH180" s="173">
        <f ca="1">(VLOOKUP(DH$72,INDIRECT($C$5&amp;"生成成长"),2))/((VLOOKUP($B180,INDIRECT($B$5&amp;"生成成长"),4))/(VLOOKUP(DH$72,INDIRECT($C$5&amp;"生成成长"),5))*(VLOOKUP($B$5,标准坦克设计!$B$24:$U$30,MATCH("对"&amp;LEFT($C$5,2)&amp;"输出",标准坦克设计!$B$23:$U$23,0)))*(VLOOKUP($B180,INDIRECT($B$5&amp;"生成成长"),3))*(VLOOKUP($B$5,标准坦克设计!$B$14:$K$20,9)/30))</f>
        <v>10.103155215817363</v>
      </c>
      <c r="DI180" s="173">
        <f ca="1">(VLOOKUP(DI$72,INDIRECT($C$5&amp;"生成成长"),2))/((VLOOKUP($B180,INDIRECT($B$5&amp;"生成成长"),4))/(VLOOKUP(DI$72,INDIRECT($C$5&amp;"生成成长"),5))*(VLOOKUP($B$5,标准坦克设计!$B$24:$U$30,MATCH("对"&amp;LEFT($C$5,2)&amp;"输出",标准坦克设计!$B$23:$U$23,0)))*(VLOOKUP($B180,INDIRECT($B$5&amp;"生成成长"),3))*(VLOOKUP($B$5,标准坦克设计!$B$14:$K$20,9)/30))</f>
        <v>10.639513868795669</v>
      </c>
      <c r="DJ180" s="173">
        <f ca="1">(VLOOKUP(DJ$72,INDIRECT($C$5&amp;"生成成长"),2))/((VLOOKUP($B180,INDIRECT($B$5&amp;"生成成长"),4))/(VLOOKUP(DJ$72,INDIRECT($C$5&amp;"生成成长"),5))*(VLOOKUP($B$5,标准坦克设计!$B$24:$U$30,MATCH("对"&amp;LEFT($C$5,2)&amp;"输出",标准坦克设计!$B$23:$U$23,0)))*(VLOOKUP($B180,INDIRECT($B$5&amp;"生成成长"),3))*(VLOOKUP($B$5,标准坦克设计!$B$14:$K$20,9)/30))</f>
        <v>1.0692976342287583</v>
      </c>
      <c r="DK180" s="173">
        <f ca="1">(VLOOKUP(DK$72,INDIRECT($C$5&amp;"生成成长"),2))/((VLOOKUP($B180,INDIRECT($B$5&amp;"生成成长"),4))/(VLOOKUP(DK$72,INDIRECT($C$5&amp;"生成成长"),5))*(VLOOKUP($B$5,标准坦克设计!$B$24:$U$30,MATCH("对"&amp;LEFT($C$5,2)&amp;"输出",标准坦克设计!$B$23:$U$23,0)))*(VLOOKUP($B180,INDIRECT($B$5&amp;"生成成长"),3))*(VLOOKUP($B$5,标准坦克设计!$B$14:$K$20,9)/30))</f>
        <v>1.2023758452721371</v>
      </c>
      <c r="DL180" s="173">
        <f ca="1">(VLOOKUP(DL$72,INDIRECT($C$5&amp;"生成成长"),2))/((VLOOKUP($B180,INDIRECT($B$5&amp;"生成成长"),4))/(VLOOKUP(DL$72,INDIRECT($C$5&amp;"生成成长"),5))*(VLOOKUP($B$5,标准坦克设计!$B$24:$U$30,MATCH("对"&amp;LEFT($C$5,2)&amp;"输出",标准坦克设计!$B$23:$U$23,0)))*(VLOOKUP($B180,INDIRECT($B$5&amp;"生成成长"),3))*(VLOOKUP($B$5,标准坦克设计!$B$14:$K$20,9)/30))</f>
        <v>1.3432566875819034</v>
      </c>
      <c r="DM180" s="173">
        <f ca="1">(VLOOKUP(DM$72,INDIRECT($C$5&amp;"生成成长"),2))/((VLOOKUP($B180,INDIRECT($B$5&amp;"生成成长"),4))/(VLOOKUP(DM$72,INDIRECT($C$5&amp;"生成成长"),5))*(VLOOKUP($B$5,标准坦克设计!$B$24:$U$30,MATCH("对"&amp;LEFT($C$5,2)&amp;"输出",标准坦克设计!$B$23:$U$23,0)))*(VLOOKUP($B180,INDIRECT($B$5&amp;"生成成长"),3))*(VLOOKUP($B$5,标准坦克设计!$B$14:$K$20,9)/30))</f>
        <v>1.4919401611580569</v>
      </c>
      <c r="DN180" s="173">
        <f ca="1">(VLOOKUP(DN$72,INDIRECT($C$5&amp;"生成成长"),2))/((VLOOKUP($B180,INDIRECT($B$5&amp;"生成成长"),4))/(VLOOKUP(DN$72,INDIRECT($C$5&amp;"生成成长"),5))*(VLOOKUP($B$5,标准坦克设计!$B$24:$U$30,MATCH("对"&amp;LEFT($C$5,2)&amp;"输出",标准坦克设计!$B$23:$U$23,0)))*(VLOOKUP($B180,INDIRECT($B$5&amp;"生成成长"),3))*(VLOOKUP($B$5,标准坦克设计!$B$14:$K$20,9)/30))</f>
        <v>1.6484262660005971</v>
      </c>
      <c r="DO180" s="173">
        <f ca="1">(VLOOKUP(DO$72,INDIRECT($C$5&amp;"生成成长"),2))/((VLOOKUP($B180,INDIRECT($B$5&amp;"生成成长"),4))/(VLOOKUP(DO$72,INDIRECT($C$5&amp;"生成成长"),5))*(VLOOKUP($B$5,标准坦克设计!$B$24:$U$30,MATCH("对"&amp;LEFT($C$5,2)&amp;"输出",标准坦克设计!$B$23:$U$23,0)))*(VLOOKUP($B180,INDIRECT($B$5&amp;"生成成长"),3))*(VLOOKUP($B$5,标准坦克设计!$B$14:$K$20,9)/30))</f>
        <v>1.812715002109524</v>
      </c>
      <c r="DP180" s="173">
        <f ca="1">(VLOOKUP(DP$72,INDIRECT($C$5&amp;"生成成长"),2))/((VLOOKUP($B180,INDIRECT($B$5&amp;"生成成长"),4))/(VLOOKUP(DP$72,INDIRECT($C$5&amp;"生成成长"),5))*(VLOOKUP($B$5,标准坦克设计!$B$24:$U$30,MATCH("对"&amp;LEFT($C$5,2)&amp;"输出",标准坦克设计!$B$23:$U$23,0)))*(VLOOKUP($B180,INDIRECT($B$5&amp;"生成成长"),3))*(VLOOKUP($B$5,标准坦克设计!$B$14:$K$20,9)/30))</f>
        <v>1.9848063694848386</v>
      </c>
      <c r="DQ180" s="173">
        <f ca="1">(VLOOKUP(DQ$72,INDIRECT($C$5&amp;"生成成长"),2))/((VLOOKUP($B180,INDIRECT($B$5&amp;"生成成长"),4))/(VLOOKUP(DQ$72,INDIRECT($C$5&amp;"生成成长"),5))*(VLOOKUP($B$5,标准坦克设计!$B$24:$U$30,MATCH("对"&amp;LEFT($C$5,2)&amp;"输出",标准坦克设计!$B$23:$U$23,0)))*(VLOOKUP($B180,INDIRECT($B$5&amp;"生成成长"),3))*(VLOOKUP($B$5,标准坦克设计!$B$14:$K$20,9)/30))</f>
        <v>2.1647003681265398</v>
      </c>
      <c r="DR180" s="173">
        <f ca="1">(VLOOKUP(DR$72,INDIRECT($C$5&amp;"生成成长"),2))/((VLOOKUP($B180,INDIRECT($B$5&amp;"生成成长"),4))/(VLOOKUP(DR$72,INDIRECT($C$5&amp;"生成成长"),5))*(VLOOKUP($B$5,标准坦克设计!$B$24:$U$30,MATCH("对"&amp;LEFT($C$5,2)&amp;"输出",标准坦克设计!$B$23:$U$23,0)))*(VLOOKUP($B180,INDIRECT($B$5&amp;"生成成长"),3))*(VLOOKUP($B$5,标准坦克设计!$B$14:$K$20,9)/30))</f>
        <v>2.352396998034628</v>
      </c>
      <c r="DS180" s="173">
        <f ca="1">(VLOOKUP(DS$72,INDIRECT($C$5&amp;"生成成长"),2))/((VLOOKUP($B180,INDIRECT($B$5&amp;"生成成长"),4))/(VLOOKUP(DS$72,INDIRECT($C$5&amp;"生成成长"),5))*(VLOOKUP($B$5,标准坦克设计!$B$24:$U$30,MATCH("对"&amp;LEFT($C$5,2)&amp;"输出",标准坦克设计!$B$23:$U$23,0)))*(VLOOKUP($B180,INDIRECT($B$5&amp;"生成成长"),3))*(VLOOKUP($B$5,标准坦克设计!$B$14:$K$20,9)/30))</f>
        <v>2.5478962592091037</v>
      </c>
      <c r="DT180" s="173">
        <f ca="1">(VLOOKUP(DT$72,INDIRECT($C$5&amp;"生成成长"),2))/((VLOOKUP($B180,INDIRECT($B$5&amp;"生成成长"),4))/(VLOOKUP(DT$72,INDIRECT($C$5&amp;"生成成长"),5))*(VLOOKUP($B$5,标准坦克设计!$B$24:$U$30,MATCH("对"&amp;LEFT($C$5,2)&amp;"输出",标准坦克设计!$B$23:$U$23,0)))*(VLOOKUP($B180,INDIRECT($B$5&amp;"生成成长"),3))*(VLOOKUP($B$5,标准坦克设计!$B$14:$K$20,9)/30))</f>
        <v>2.7974359665618893</v>
      </c>
      <c r="DU180" s="173">
        <f ca="1">(VLOOKUP(DU$72,INDIRECT($C$5&amp;"生成成长"),2))/((VLOOKUP($B180,INDIRECT($B$5&amp;"生成成长"),4))/(VLOOKUP(DU$72,INDIRECT($C$5&amp;"生成成长"),5))*(VLOOKUP($B$5,标准坦克设计!$B$24:$U$30,MATCH("对"&amp;LEFT($C$5,2)&amp;"输出",标准坦克设计!$B$23:$U$23,0)))*(VLOOKUP($B180,INDIRECT($B$5&amp;"生成成长"),3))*(VLOOKUP($B$5,标准坦克设计!$B$14:$K$20,9)/30))</f>
        <v>3.058631456423722</v>
      </c>
      <c r="DV180" s="173">
        <f ca="1">(VLOOKUP(DV$72,INDIRECT($C$5&amp;"生成成长"),2))/((VLOOKUP($B180,INDIRECT($B$5&amp;"生成成长"),4))/(VLOOKUP(DV$72,INDIRECT($C$5&amp;"生成成长"),5))*(VLOOKUP($B$5,标准坦克设计!$B$24:$U$30,MATCH("对"&amp;LEFT($C$5,2)&amp;"输出",标准坦克设计!$B$23:$U$23,0)))*(VLOOKUP($B180,INDIRECT($B$5&amp;"生成成长"),3))*(VLOOKUP($B$5,标准坦克设计!$B$14:$K$20,9)/30))</f>
        <v>3.3314827287946027</v>
      </c>
      <c r="DW180" s="173">
        <f ca="1">(VLOOKUP(DW$72,INDIRECT($C$5&amp;"生成成长"),2))/((VLOOKUP($B180,INDIRECT($B$5&amp;"生成成长"),4))/(VLOOKUP(DW$72,INDIRECT($C$5&amp;"生成成长"),5))*(VLOOKUP($B$5,标准坦克设计!$B$24:$U$30,MATCH("对"&amp;LEFT($C$5,2)&amp;"输出",标准坦克设计!$B$23:$U$23,0)))*(VLOOKUP($B180,INDIRECT($B$5&amp;"生成成长"),3))*(VLOOKUP($B$5,标准坦克设计!$B$14:$K$20,9)/30))</f>
        <v>3.6159897836745314</v>
      </c>
      <c r="DX180" s="173">
        <f ca="1">(VLOOKUP(DX$72,INDIRECT($C$5&amp;"生成成长"),2))/((VLOOKUP($B180,INDIRECT($B$5&amp;"生成成长"),4))/(VLOOKUP(DX$72,INDIRECT($C$5&amp;"生成成长"),5))*(VLOOKUP($B$5,标准坦克设计!$B$24:$U$30,MATCH("对"&amp;LEFT($C$5,2)&amp;"输出",标准坦克设计!$B$23:$U$23,0)))*(VLOOKUP($B180,INDIRECT($B$5&amp;"生成成长"),3))*(VLOOKUP($B$5,标准坦克设计!$B$14:$K$20,9)/30))</f>
        <v>3.9121526210635049</v>
      </c>
      <c r="DY180" s="173">
        <f ca="1">(VLOOKUP(DY$72,INDIRECT($C$5&amp;"生成成长"),2))/((VLOOKUP($B180,INDIRECT($B$5&amp;"生成成长"),4))/(VLOOKUP(DY$72,INDIRECT($C$5&amp;"生成成长"),5))*(VLOOKUP($B$5,标准坦克设计!$B$24:$U$30,MATCH("对"&amp;LEFT($C$5,2)&amp;"输出",标准坦克设计!$B$23:$U$23,0)))*(VLOOKUP($B180,INDIRECT($B$5&amp;"生成成长"),3))*(VLOOKUP($B$5,标准坦克设计!$B$14:$K$20,9)/30))</f>
        <v>1.7570851310436164</v>
      </c>
      <c r="DZ180" s="173">
        <f ca="1">(VLOOKUP(DZ$72,INDIRECT($C$5&amp;"生成成长"),2))/((VLOOKUP($B180,INDIRECT($B$5&amp;"生成成长"),4))/(VLOOKUP(DZ$72,INDIRECT($C$5&amp;"生成成长"),5))*(VLOOKUP($B$5,标准坦克设计!$B$24:$U$30,MATCH("对"&amp;LEFT($C$5,2)&amp;"输出",标准坦克设计!$B$23:$U$23,0)))*(VLOOKUP($B180,INDIRECT($B$5&amp;"生成成长"),3))*(VLOOKUP($B$5,标准坦克设计!$B$14:$K$20,9)/30))</f>
        <v>1.9458895419339695</v>
      </c>
      <c r="EA180" s="173">
        <f ca="1">(VLOOKUP(EA$72,INDIRECT($C$5&amp;"生成成长"),2))/((VLOOKUP($B180,INDIRECT($B$5&amp;"生成成长"),4))/(VLOOKUP(EA$72,INDIRECT($C$5&amp;"生成成长"),5))*(VLOOKUP($B$5,标准坦克设计!$B$24:$U$30,MATCH("对"&amp;LEFT($C$5,2)&amp;"输出",标准坦克设计!$B$23:$U$23,0)))*(VLOOKUP($B180,INDIRECT($B$5&amp;"生成成长"),3))*(VLOOKUP($B$5,标准坦克设计!$B$14:$K$20,9)/30))</f>
        <v>2.1443268309309733</v>
      </c>
      <c r="EB180" s="173">
        <f ca="1">(VLOOKUP(EB$72,INDIRECT($C$5&amp;"生成成长"),2))/((VLOOKUP($B180,INDIRECT($B$5&amp;"生成成长"),4))/(VLOOKUP(EB$72,INDIRECT($C$5&amp;"生成成长"),5))*(VLOOKUP($B$5,标准坦克设计!$B$24:$U$30,MATCH("对"&amp;LEFT($C$5,2)&amp;"输出",标准坦克设计!$B$23:$U$23,0)))*(VLOOKUP($B180,INDIRECT($B$5&amp;"生成成长"),3))*(VLOOKUP($B$5,标准坦克设计!$B$14:$K$20,9)/30))</f>
        <v>2.352396998034628</v>
      </c>
      <c r="EC180" s="173">
        <f ca="1">(VLOOKUP(EC$72,INDIRECT($C$5&amp;"生成成长"),2))/((VLOOKUP($B180,INDIRECT($B$5&amp;"生成成长"),4))/(VLOOKUP(EC$72,INDIRECT($C$5&amp;"生成成长"),5))*(VLOOKUP($B$5,标准坦克设计!$B$24:$U$30,MATCH("对"&amp;LEFT($C$5,2)&amp;"输出",标准坦克设计!$B$23:$U$23,0)))*(VLOOKUP($B180,INDIRECT($B$5&amp;"生成成长"),3))*(VLOOKUP($B$5,标准坦克设计!$B$14:$K$20,9)/30))</f>
        <v>2.570100043244933</v>
      </c>
      <c r="ED180" s="173">
        <f ca="1">(VLOOKUP(ED$72,INDIRECT($C$5&amp;"生成成长"),2))/((VLOOKUP($B180,INDIRECT($B$5&amp;"生成成长"),4))/(VLOOKUP(ED$72,INDIRECT($C$5&amp;"生成成长"),5))*(VLOOKUP($B$5,标准坦克设计!$B$24:$U$30,MATCH("对"&amp;LEFT($C$5,2)&amp;"输出",标准坦克设计!$B$23:$U$23,0)))*(VLOOKUP($B180,INDIRECT($B$5&amp;"生成成长"),3))*(VLOOKUP($B$5,标准坦克设计!$B$14:$K$20,9)/30))</f>
        <v>2.7974359665618893</v>
      </c>
      <c r="EE180" s="173">
        <f ca="1">(VLOOKUP(EE$72,INDIRECT($C$5&amp;"生成成长"),2))/((VLOOKUP($B180,INDIRECT($B$5&amp;"生成成长"),4))/(VLOOKUP(EE$72,INDIRECT($C$5&amp;"生成成长"),5))*(VLOOKUP($B$5,标准坦克设计!$B$24:$U$30,MATCH("对"&amp;LEFT($C$5,2)&amp;"输出",标准坦克设计!$B$23:$U$23,0)))*(VLOOKUP($B180,INDIRECT($B$5&amp;"生成成长"),3))*(VLOOKUP($B$5,标准坦克设计!$B$14:$K$20,9)/30))</f>
        <v>3.034404767985496</v>
      </c>
      <c r="EF180" s="173">
        <f ca="1">(VLOOKUP(EF$72,INDIRECT($C$5&amp;"生成成长"),2))/((VLOOKUP($B180,INDIRECT($B$5&amp;"生成成长"),4))/(VLOOKUP(EF$72,INDIRECT($C$5&amp;"生成成长"),5))*(VLOOKUP($B$5,标准坦克设计!$B$24:$U$30,MATCH("对"&amp;LEFT($C$5,2)&amp;"输出",标准坦克设计!$B$23:$U$23,0)))*(VLOOKUP($B180,INDIRECT($B$5&amp;"生成成长"),3))*(VLOOKUP($B$5,标准坦克设计!$B$14:$K$20,9)/30))</f>
        <v>3.281006447515753</v>
      </c>
      <c r="EG180" s="173">
        <f ca="1">(VLOOKUP(EG$72,INDIRECT($C$5&amp;"生成成长"),2))/((VLOOKUP($B180,INDIRECT($B$5&amp;"生成成长"),4))/(VLOOKUP(EG$72,INDIRECT($C$5&amp;"生成成长"),5))*(VLOOKUP($B$5,标准坦克设计!$B$24:$U$30,MATCH("对"&amp;LEFT($C$5,2)&amp;"输出",标准坦克设计!$B$23:$U$23,0)))*(VLOOKUP($B180,INDIRECT($B$5&amp;"生成成长"),3))*(VLOOKUP($B$5,标准坦克设计!$B$14:$K$20,9)/30))</f>
        <v>3.5372410051526613</v>
      </c>
      <c r="EH180" s="173">
        <f ca="1">(VLOOKUP(EH$72,INDIRECT($C$5&amp;"生成成长"),2))/((VLOOKUP($B180,INDIRECT($B$5&amp;"生成成长"),4))/(VLOOKUP(EH$72,INDIRECT($C$5&amp;"生成成长"),5))*(VLOOKUP($B$5,标准坦克设计!$B$24:$U$30,MATCH("对"&amp;LEFT($C$5,2)&amp;"输出",标准坦克设计!$B$23:$U$23,0)))*(VLOOKUP($B180,INDIRECT($B$5&amp;"生成成长"),3))*(VLOOKUP($B$5,标准坦克设计!$B$14:$K$20,9)/30))</f>
        <v>3.8031084408962204</v>
      </c>
      <c r="EI180" s="173">
        <f ca="1">(VLOOKUP(EI$72,INDIRECT($C$5&amp;"生成成长"),2))/((VLOOKUP($B180,INDIRECT($B$5&amp;"生成成长"),4))/(VLOOKUP(EI$72,INDIRECT($C$5&amp;"生成成长"),5))*(VLOOKUP($B$5,标准坦克设计!$B$24:$U$30,MATCH("对"&amp;LEFT($C$5,2)&amp;"输出",标准坦克设计!$B$23:$U$23,0)))*(VLOOKUP($B180,INDIRECT($B$5&amp;"生成成长"),3))*(VLOOKUP($B$5,标准坦克设计!$B$14:$K$20,9)/30))</f>
        <v>4.078608754746428</v>
      </c>
      <c r="EJ180" s="173">
        <f ca="1">(VLOOKUP(EJ$72,INDIRECT($C$5&amp;"生成成长"),2))/((VLOOKUP($B180,INDIRECT($B$5&amp;"生成成长"),4))/(VLOOKUP(EJ$72,INDIRECT($C$5&amp;"生成成长"),5))*(VLOOKUP($B$5,标准坦克设计!$B$24:$U$30,MATCH("对"&amp;LEFT($C$5,2)&amp;"输出",标准坦克设计!$B$23:$U$23,0)))*(VLOOKUP($B180,INDIRECT($B$5&amp;"生成成长"),3))*(VLOOKUP($B$5,标准坦克设计!$B$14:$K$20,9)/30))</f>
        <v>4.3637419467032901</v>
      </c>
      <c r="EK180" s="173">
        <f ca="1">(VLOOKUP(EK$72,INDIRECT($C$5&amp;"生成成长"),2))/((VLOOKUP($B180,INDIRECT($B$5&amp;"生成成长"),4))/(VLOOKUP(EK$72,INDIRECT($C$5&amp;"生成成长"),5))*(VLOOKUP($B$5,标准坦克设计!$B$24:$U$30,MATCH("对"&amp;LEFT($C$5,2)&amp;"输出",标准坦克设计!$B$23:$U$23,0)))*(VLOOKUP($B180,INDIRECT($B$5&amp;"生成成长"),3))*(VLOOKUP($B$5,标准坦克设计!$B$14:$K$20,9)/30))</f>
        <v>4.718617176152299</v>
      </c>
      <c r="EL180" s="173">
        <f ca="1">(VLOOKUP(EL$72,INDIRECT($C$5&amp;"生成成长"),2))/((VLOOKUP($B180,INDIRECT($B$5&amp;"生成成长"),4))/(VLOOKUP(EL$72,INDIRECT($C$5&amp;"生成成长"),5))*(VLOOKUP($B$5,标准坦克设计!$B$24:$U$30,MATCH("对"&amp;LEFT($C$5,2)&amp;"输出",标准坦克设计!$B$23:$U$23,0)))*(VLOOKUP($B180,INDIRECT($B$5&amp;"生成成长"),3))*(VLOOKUP($B$5,标准坦克设计!$B$14:$K$20,9)/30))</f>
        <v>5.0873637500748883</v>
      </c>
      <c r="EM180" s="173">
        <f ca="1">(VLOOKUP(EM$72,INDIRECT($C$5&amp;"生成成长"),2))/((VLOOKUP($B180,INDIRECT($B$5&amp;"生成成长"),4))/(VLOOKUP(EM$72,INDIRECT($C$5&amp;"生成成长"),5))*(VLOOKUP($B$5,标准坦克设计!$B$24:$U$30,MATCH("对"&amp;LEFT($C$5,2)&amp;"输出",标准坦克设计!$B$23:$U$23,0)))*(VLOOKUP($B180,INDIRECT($B$5&amp;"生成成长"),3))*(VLOOKUP($B$5,标准坦克设计!$B$14:$K$20,9)/30))</f>
        <v>5.4699816684710525</v>
      </c>
      <c r="EN180" s="173">
        <f ca="1">(VLOOKUP(EN$72,INDIRECT($C$5&amp;"生成成长"),2))/((VLOOKUP($B180,INDIRECT($B$5&amp;"生成成长"),4))/(VLOOKUP(EN$72,INDIRECT($C$5&amp;"生成成长"),5))*(VLOOKUP($B$5,标准坦克设计!$B$24:$U$30,MATCH("对"&amp;LEFT($C$5,2)&amp;"输出",标准坦克设计!$B$23:$U$23,0)))*(VLOOKUP($B180,INDIRECT($B$5&amp;"生成成长"),3))*(VLOOKUP($B$5,标准坦克设计!$B$14:$K$20,9)/30))</f>
        <v>5.8664709313407943</v>
      </c>
      <c r="EO180" s="173">
        <f ca="1">(VLOOKUP(EO$72,INDIRECT($C$5&amp;"生成成长"),2))/((VLOOKUP($B180,INDIRECT($B$5&amp;"生成成长"),4))/(VLOOKUP(EO$72,INDIRECT($C$5&amp;"生成成长"),5))*(VLOOKUP($B$5,标准坦克设计!$B$24:$U$30,MATCH("对"&amp;LEFT($C$5,2)&amp;"输出",标准坦克设计!$B$23:$U$23,0)))*(VLOOKUP($B180,INDIRECT($B$5&amp;"生成成长"),3))*(VLOOKUP($B$5,标准坦克设计!$B$14:$K$20,9)/30))</f>
        <v>6.2768315386841147</v>
      </c>
      <c r="EP180" s="173">
        <f ca="1">(VLOOKUP(EP$72,INDIRECT($C$5&amp;"生成成长"),2))/((VLOOKUP($B180,INDIRECT($B$5&amp;"生成成长"),4))/(VLOOKUP(EP$72,INDIRECT($C$5&amp;"生成成长"),5))*(VLOOKUP($B$5,标准坦克设计!$B$24:$U$30,MATCH("对"&amp;LEFT($C$5,2)&amp;"输出",标准坦克设计!$B$23:$U$23,0)))*(VLOOKUP($B180,INDIRECT($B$5&amp;"生成成长"),3))*(VLOOKUP($B$5,标准坦克设计!$B$14:$K$20,9)/30))</f>
        <v>6.7010634905010082</v>
      </c>
      <c r="EQ180" s="173">
        <f ca="1">(VLOOKUP(EQ$72,INDIRECT($C$5&amp;"生成成长"),2))/((VLOOKUP($B180,INDIRECT($B$5&amp;"生成成长"),4))/(VLOOKUP(EQ$72,INDIRECT($C$5&amp;"生成成长"),5))*(VLOOKUP($B$5,标准坦克设计!$B$24:$U$30,MATCH("对"&amp;LEFT($C$5,2)&amp;"输出",标准坦克设计!$B$23:$U$23,0)))*(VLOOKUP($B180,INDIRECT($B$5&amp;"生成成长"),3))*(VLOOKUP($B$5,标准坦克设计!$B$14:$K$20,9)/30))</f>
        <v>2.9623026753572161</v>
      </c>
      <c r="ER180" s="173">
        <f ca="1">(VLOOKUP(ER$72,INDIRECT($C$5&amp;"生成成长"),2))/((VLOOKUP($B180,INDIRECT($B$5&amp;"生成成长"),4))/(VLOOKUP(ER$72,INDIRECT($C$5&amp;"生成成长"),5))*(VLOOKUP($B$5,标准坦克设计!$B$24:$U$30,MATCH("对"&amp;LEFT($C$5,2)&amp;"输出",标准坦克设计!$B$23:$U$23,0)))*(VLOOKUP($B180,INDIRECT($B$5&amp;"生成成长"),3))*(VLOOKUP($B$5,标准坦克设计!$B$14:$K$20,9)/30))</f>
        <v>3.2309154813611696</v>
      </c>
      <c r="ES180" s="173">
        <f ca="1">(VLOOKUP(ES$72,INDIRECT($C$5&amp;"生成成长"),2))/((VLOOKUP($B180,INDIRECT($B$5&amp;"生成成长"),4))/(VLOOKUP(ES$72,INDIRECT($C$5&amp;"生成成长"),5))*(VLOOKUP($B$5,标准坦克设计!$B$24:$U$30,MATCH("对"&amp;LEFT($C$5,2)&amp;"输出",标准坦克设计!$B$23:$U$23,0)))*(VLOOKUP($B180,INDIRECT($B$5&amp;"生成成长"),3))*(VLOOKUP($B$5,标准坦克设计!$B$14:$K$20,9)/30))</f>
        <v>3.5111840698741714</v>
      </c>
      <c r="ET180" s="173">
        <f ca="1">(VLOOKUP(ET$72,INDIRECT($C$5&amp;"生成成长"),2))/((VLOOKUP($B180,INDIRECT($B$5&amp;"生成成长"),4))/(VLOOKUP(ET$72,INDIRECT($C$5&amp;"生成成长"),5))*(VLOOKUP($B$5,标准坦克设计!$B$24:$U$30,MATCH("对"&amp;LEFT($C$5,2)&amp;"输出",标准坦克设计!$B$23:$U$23,0)))*(VLOOKUP($B180,INDIRECT($B$5&amp;"生成成长"),3))*(VLOOKUP($B$5,标准坦克设计!$B$14:$K$20,9)/30))</f>
        <v>3.8031084408962204</v>
      </c>
      <c r="EU180" s="173">
        <f ca="1">(VLOOKUP(EU$72,INDIRECT($C$5&amp;"生成成长"),2))/((VLOOKUP($B180,INDIRECT($B$5&amp;"生成成长"),4))/(VLOOKUP(EU$72,INDIRECT($C$5&amp;"生成成长"),5))*(VLOOKUP($B$5,标准坦克设计!$B$24:$U$30,MATCH("对"&amp;LEFT($C$5,2)&amp;"输出",标准坦克设计!$B$23:$U$23,0)))*(VLOOKUP($B180,INDIRECT($B$5&amp;"生成成长"),3))*(VLOOKUP($B$5,标准坦克设计!$B$14:$K$20,9)/30))</f>
        <v>4.1066885944273164</v>
      </c>
      <c r="EV180" s="173">
        <f ca="1">(VLOOKUP(EV$72,INDIRECT($C$5&amp;"生成成长"),2))/((VLOOKUP($B180,INDIRECT($B$5&amp;"生成成长"),4))/(VLOOKUP(EV$72,INDIRECT($C$5&amp;"生成成长"),5))*(VLOOKUP($B$5,标准坦克设计!$B$24:$U$30,MATCH("对"&amp;LEFT($C$5,2)&amp;"输出",标准坦克设计!$B$23:$U$23,0)))*(VLOOKUP($B180,INDIRECT($B$5&amp;"生成成长"),3))*(VLOOKUP($B$5,标准坦克设计!$B$14:$K$20,9)/30))</f>
        <v>4.421924530467459</v>
      </c>
      <c r="EW180" s="173">
        <f ca="1">(VLOOKUP(EW$72,INDIRECT($C$5&amp;"生成成长"),2))/((VLOOKUP($B180,INDIRECT($B$5&amp;"生成成长"),4))/(VLOOKUP(EW$72,INDIRECT($C$5&amp;"生成成长"),5))*(VLOOKUP($B$5,标准坦克设计!$B$24:$U$30,MATCH("对"&amp;LEFT($C$5,2)&amp;"输出",标准坦克设计!$B$23:$U$23,0)))*(VLOOKUP($B180,INDIRECT($B$5&amp;"生成成长"),3))*(VLOOKUP($B$5,标准坦克设计!$B$14:$K$20,9)/30))</f>
        <v>4.7488162490166506</v>
      </c>
      <c r="EX180" s="173">
        <f ca="1">(VLOOKUP(EX$72,INDIRECT($C$5&amp;"生成成长"),2))/((VLOOKUP($B180,INDIRECT($B$5&amp;"生成成长"),4))/(VLOOKUP(EX$72,INDIRECT($C$5&amp;"生成成长"),5))*(VLOOKUP($B$5,标准坦克设计!$B$24:$U$30,MATCH("对"&amp;LEFT($C$5,2)&amp;"输出",标准坦克设计!$B$23:$U$23,0)))*(VLOOKUP($B180,INDIRECT($B$5&amp;"生成成长"),3))*(VLOOKUP($B$5,标准坦克设计!$B$14:$K$20,9)/30))</f>
        <v>5.0873637500748883</v>
      </c>
      <c r="EY180" s="173">
        <f ca="1">(VLOOKUP(EY$72,INDIRECT($C$5&amp;"生成成长"),2))/((VLOOKUP($B180,INDIRECT($B$5&amp;"生成成长"),4))/(VLOOKUP(EY$72,INDIRECT($C$5&amp;"生成成长"),5))*(VLOOKUP($B$5,标准坦克设计!$B$24:$U$30,MATCH("对"&amp;LEFT($C$5,2)&amp;"输出",标准坦克设计!$B$23:$U$23,0)))*(VLOOKUP($B180,INDIRECT($B$5&amp;"生成成长"),3))*(VLOOKUP($B$5,标准坦克设计!$B$14:$K$20,9)/30))</f>
        <v>5.4375670336421731</v>
      </c>
      <c r="EZ180" s="173">
        <f ca="1">(VLOOKUP(EZ$72,INDIRECT($C$5&amp;"生成成长"),2))/((VLOOKUP($B180,INDIRECT($B$5&amp;"生成成长"),4))/(VLOOKUP(EZ$72,INDIRECT($C$5&amp;"生成成长"),5))*(VLOOKUP($B$5,标准坦克设计!$B$24:$U$30,MATCH("对"&amp;LEFT($C$5,2)&amp;"输出",标准坦克设计!$B$23:$U$23,0)))*(VLOOKUP($B180,INDIRECT($B$5&amp;"生成成长"),3))*(VLOOKUP($B$5,标准坦克设计!$B$14:$K$20,9)/30))</f>
        <v>5.7994260997185059</v>
      </c>
      <c r="FA180" s="173">
        <f ca="1">(VLOOKUP(FA$72,INDIRECT($C$5&amp;"生成成长"),2))/((VLOOKUP($B180,INDIRECT($B$5&amp;"生成成长"),4))/(VLOOKUP(FA$72,INDIRECT($C$5&amp;"生成成长"),5))*(VLOOKUP($B$5,标准坦克设计!$B$24:$U$30,MATCH("对"&amp;LEFT($C$5,2)&amp;"输出",标准坦克设计!$B$23:$U$23,0)))*(VLOOKUP($B180,INDIRECT($B$5&amp;"生成成长"),3))*(VLOOKUP($B$5,标准坦克设计!$B$14:$K$20,9)/30))</f>
        <v>6.1729409483038848</v>
      </c>
      <c r="FB180" s="173">
        <f ca="1">(VLOOKUP(FB$72,INDIRECT($C$5&amp;"生成成长"),2))/((VLOOKUP($B180,INDIRECT($B$5&amp;"生成成长"),4))/(VLOOKUP(FB$72,INDIRECT($C$5&amp;"生成成长"),5))*(VLOOKUP($B$5,标准坦克设计!$B$24:$U$30,MATCH("对"&amp;LEFT($C$5,2)&amp;"输出",标准坦克设计!$B$23:$U$23,0)))*(VLOOKUP($B180,INDIRECT($B$5&amp;"生成成长"),3))*(VLOOKUP($B$5,标准坦克设计!$B$14:$K$20,9)/30))</f>
        <v>6.5581115793983136</v>
      </c>
      <c r="FC180" s="173">
        <f ca="1">(VLOOKUP(FC$72,INDIRECT($C$5&amp;"生成成长"),2))/((VLOOKUP($B180,INDIRECT($B$5&amp;"生成成长"),4))/(VLOOKUP(FC$72,INDIRECT($C$5&amp;"生成成长"),5))*(VLOOKUP($B$5,标准坦克设计!$B$24:$U$30,MATCH("对"&amp;LEFT($C$5,2)&amp;"输出",标准坦克设计!$B$23:$U$23,0)))*(VLOOKUP($B180,INDIRECT($B$5&amp;"生成成长"),3))*(VLOOKUP($B$5,标准坦克设计!$B$14:$K$20,9)/30))</f>
        <v>6.9549379930017876</v>
      </c>
      <c r="FD180" s="173">
        <f ca="1">(VLOOKUP(FD$72,INDIRECT($C$5&amp;"生成成长"),2))/((VLOOKUP($B180,INDIRECT($B$5&amp;"生成成长"),4))/(VLOOKUP(FD$72,INDIRECT($C$5&amp;"生成成长"),5))*(VLOOKUP($B$5,标准坦克设计!$B$24:$U$30,MATCH("对"&amp;LEFT($C$5,2)&amp;"输出",标准坦克设计!$B$23:$U$23,0)))*(VLOOKUP($B180,INDIRECT($B$5&amp;"生成成长"),3))*(VLOOKUP($B$5,标准坦克设计!$B$14:$K$20,9)/30))</f>
        <v>7.3634201891143096</v>
      </c>
      <c r="FE180" s="173">
        <f ca="1">(VLOOKUP(FE$72,INDIRECT($C$5&amp;"生成成长"),2))/((VLOOKUP($B180,INDIRECT($B$5&amp;"生成成长"),4))/(VLOOKUP(FE$72,INDIRECT($C$5&amp;"生成成长"),5))*(VLOOKUP($B$5,标准坦克设计!$B$24:$U$30,MATCH("对"&amp;LEFT($C$5,2)&amp;"输出",标准坦克设计!$B$23:$U$23,0)))*(VLOOKUP($B180,INDIRECT($B$5&amp;"生成成长"),3))*(VLOOKUP($B$5,标准坦克设计!$B$14:$K$20,9)/30))</f>
        <v>7.8611991652754831</v>
      </c>
      <c r="FF180" s="173">
        <f ca="1">(VLOOKUP(FF$72,INDIRECT($C$5&amp;"生成成长"),2))/((VLOOKUP($B180,INDIRECT($B$5&amp;"生成成长"),4))/(VLOOKUP(FF$72,INDIRECT($C$5&amp;"生成成长"),5))*(VLOOKUP($B$5,标准坦克设计!$B$24:$U$30,MATCH("对"&amp;LEFT($C$5,2)&amp;"输出",标准坦克设计!$B$23:$U$23,0)))*(VLOOKUP($B180,INDIRECT($B$5&amp;"生成成长"),3))*(VLOOKUP($B$5,标准坦克设计!$B$14:$K$20,9)/30))</f>
        <v>8.3752577054368977</v>
      </c>
      <c r="FG180" s="173">
        <f ca="1">(VLOOKUP(FG$72,INDIRECT($C$5&amp;"生成成长"),2))/((VLOOKUP($B180,INDIRECT($B$5&amp;"生成成长"),4))/(VLOOKUP(FG$72,INDIRECT($C$5&amp;"生成成长"),5))*(VLOOKUP($B$5,标准坦克设计!$B$24:$U$30,MATCH("对"&amp;LEFT($C$5,2)&amp;"输出",标准坦克设计!$B$23:$U$23,0)))*(VLOOKUP($B180,INDIRECT($B$5&amp;"生成成长"),3))*(VLOOKUP($B$5,标准坦克设计!$B$14:$K$20,9)/30))</f>
        <v>8.9055958095985499</v>
      </c>
      <c r="FH180" s="173">
        <f ca="1">(VLOOKUP(FH$72,INDIRECT($C$5&amp;"生成成长"),2))/((VLOOKUP($B180,INDIRECT($B$5&amp;"生成成长"),4))/(VLOOKUP(FH$72,INDIRECT($C$5&amp;"生成成长"),5))*(VLOOKUP($B$5,标准坦克设计!$B$24:$U$30,MATCH("对"&amp;LEFT($C$5,2)&amp;"输出",标准坦克设计!$B$23:$U$23,0)))*(VLOOKUP($B180,INDIRECT($B$5&amp;"生成成长"),3))*(VLOOKUP($B$5,标准坦克设计!$B$14:$K$20,9)/30))</f>
        <v>9.4522134777604414</v>
      </c>
      <c r="FI180" s="173">
        <f ca="1">(VLOOKUP(FI$72,INDIRECT($C$5&amp;"生成成长"),2))/((VLOOKUP($B180,INDIRECT($B$5&amp;"生成成长"),4))/(VLOOKUP(FI$72,INDIRECT($C$5&amp;"生成成长"),5))*(VLOOKUP($B$5,标准坦克设计!$B$24:$U$30,MATCH("对"&amp;LEFT($C$5,2)&amp;"输出",标准坦克设计!$B$23:$U$23,0)))*(VLOOKUP($B180,INDIRECT($B$5&amp;"生成成长"),3))*(VLOOKUP($B$5,标准坦克设计!$B$14:$K$20,9)/30))</f>
        <v>10.015110709922574</v>
      </c>
      <c r="FJ180" s="173">
        <f ca="1">(VLOOKUP(FJ$72,INDIRECT($C$5&amp;"生成成长"),2))/((VLOOKUP($B180,INDIRECT($B$5&amp;"生成成长"),4))/(VLOOKUP(FJ$72,INDIRECT($C$5&amp;"生成成长"),5))*(VLOOKUP($B$5,标准坦克设计!$B$24:$U$30,MATCH("对"&amp;LEFT($C$5,2)&amp;"输出",标准坦克设计!$B$23:$U$23,0)))*(VLOOKUP($B180,INDIRECT($B$5&amp;"生成成长"),3))*(VLOOKUP($B$5,标准坦克设计!$B$14:$K$20,9)/30))</f>
        <v>10.594287506084944</v>
      </c>
      <c r="FK180" s="173">
        <f ca="1">(VLOOKUP(FK$72,INDIRECT($C$5&amp;"生成成长"),2))/((VLOOKUP($B180,INDIRECT($B$5&amp;"生成成长"),4))/(VLOOKUP(FK$72,INDIRECT($C$5&amp;"生成成长"),5))*(VLOOKUP($B$5,标准坦克设计!$B$24:$U$30,MATCH("对"&amp;LEFT($C$5,2)&amp;"输出",标准坦克设计!$B$23:$U$23,0)))*(VLOOKUP($B180,INDIRECT($B$5&amp;"生成成长"),3))*(VLOOKUP($B$5,标准坦克设计!$B$14:$K$20,9)/30))</f>
        <v>11.189743866247557</v>
      </c>
    </row>
    <row r="181" spans="1:167" x14ac:dyDescent="0.15">
      <c r="A181" s="171" t="str">
        <f t="shared" si="12"/>
        <v>T5中品质19级</v>
      </c>
      <c r="B181" s="172">
        <v>20519</v>
      </c>
      <c r="C181" s="173">
        <f ca="1">(VLOOKUP(C$72,INDIRECT($C$5&amp;"生成成长"),2))/((VLOOKUP($B181,INDIRECT($B$5&amp;"生成成长"),4))/(VLOOKUP(C$72,INDIRECT($C$5&amp;"生成成长"),5))*(VLOOKUP($B$5,标准坦克设计!$B$24:$U$30,MATCH("对"&amp;LEFT($C$5,2)&amp;"输出",标准坦克设计!$B$23:$U$23,0)))*(VLOOKUP($B181,INDIRECT($B$5&amp;"生成成长"),3))*(VLOOKUP($B$5,标准坦克设计!$B$14:$K$20,9)/30))</f>
        <v>0.45551957097013779</v>
      </c>
      <c r="D181" s="173">
        <f ca="1">(VLOOKUP(D$72,INDIRECT($C$5&amp;"生成成长"),2))/((VLOOKUP($B181,INDIRECT($B$5&amp;"生成成长"),4))/(VLOOKUP(D$72,INDIRECT($C$5&amp;"生成成长"),5))*(VLOOKUP($B$5,标准坦克设计!$B$24:$U$30,MATCH("对"&amp;LEFT($C$5,2)&amp;"输出",标准坦克设计!$B$23:$U$23,0)))*(VLOOKUP($B181,INDIRECT($B$5&amp;"生成成长"),3))*(VLOOKUP($B$5,标准坦克设计!$B$14:$K$20,9)/30))</f>
        <v>0.51182178994204686</v>
      </c>
      <c r="E181" s="173">
        <f ca="1">(VLOOKUP(E$72,INDIRECT($C$5&amp;"生成成长"),2))/((VLOOKUP($B181,INDIRECT($B$5&amp;"生成成长"),4))/(VLOOKUP(E$72,INDIRECT($C$5&amp;"生成成长"),5))*(VLOOKUP($B$5,标准坦克设计!$B$24:$U$30,MATCH("对"&amp;LEFT($C$5,2)&amp;"输出",标准坦克设计!$B$23:$U$23,0)))*(VLOOKUP($B181,INDIRECT($B$5&amp;"生成成长"),3))*(VLOOKUP($B$5,标准坦克设计!$B$14:$K$20,9)/30))</f>
        <v>0.57140374982494091</v>
      </c>
      <c r="F181" s="173">
        <f ca="1">(VLOOKUP(F$72,INDIRECT($C$5&amp;"生成成长"),2))/((VLOOKUP($B181,INDIRECT($B$5&amp;"生成成长"),4))/(VLOOKUP(F$72,INDIRECT($C$5&amp;"生成成长"),5))*(VLOOKUP($B$5,标准坦克设计!$B$24:$U$30,MATCH("对"&amp;LEFT($C$5,2)&amp;"输出",标准坦克设计!$B$23:$U$23,0)))*(VLOOKUP($B181,INDIRECT($B$5&amp;"生成成长"),3))*(VLOOKUP($B$5,标准坦克设计!$B$14:$K$20,9)/30))</f>
        <v>0.63426545061881989</v>
      </c>
      <c r="G181" s="173">
        <f ca="1">(VLOOKUP(G$72,INDIRECT($C$5&amp;"生成成长"),2))/((VLOOKUP($B181,INDIRECT($B$5&amp;"生成成长"),4))/(VLOOKUP(G$72,INDIRECT($C$5&amp;"生成成长"),5))*(VLOOKUP($B$5,标准坦克设计!$B$24:$U$30,MATCH("对"&amp;LEFT($C$5,2)&amp;"输出",标准坦克设计!$B$23:$U$23,0)))*(VLOOKUP($B181,INDIRECT($B$5&amp;"生成成长"),3))*(VLOOKUP($B$5,标准坦克设计!$B$14:$K$20,9)/30))</f>
        <v>0.70040689232368381</v>
      </c>
      <c r="H181" s="173">
        <f ca="1">(VLOOKUP(H$72,INDIRECT($C$5&amp;"生成成长"),2))/((VLOOKUP($B181,INDIRECT($B$5&amp;"生成成长"),4))/(VLOOKUP(H$72,INDIRECT($C$5&amp;"生成成长"),5))*(VLOOKUP($B$5,标准坦克设计!$B$24:$U$30,MATCH("对"&amp;LEFT($C$5,2)&amp;"输出",标准坦克设计!$B$23:$U$23,0)))*(VLOOKUP($B181,INDIRECT($B$5&amp;"生成成长"),3))*(VLOOKUP($B$5,标准坦克设计!$B$14:$K$20,9)/30))</f>
        <v>0.61294713469741746</v>
      </c>
      <c r="I181" s="173">
        <f ca="1">(VLOOKUP(I$72,INDIRECT($C$5&amp;"生成成长"),2))/((VLOOKUP($B181,INDIRECT($B$5&amp;"生成成长"),4))/(VLOOKUP(I$72,INDIRECT($C$5&amp;"生成成长"),5))*(VLOOKUP($B$5,标准坦克设计!$B$24:$U$30,MATCH("对"&amp;LEFT($C$5,2)&amp;"输出",标准坦克设计!$B$23:$U$23,0)))*(VLOOKUP($B181,INDIRECT($B$5&amp;"生成成长"),3))*(VLOOKUP($B$5,标准坦克设计!$B$14:$K$20,9)/30))</f>
        <v>0.70040689232368381</v>
      </c>
      <c r="J181" s="173">
        <f ca="1">(VLOOKUP(J$72,INDIRECT($C$5&amp;"生成成长"),2))/((VLOOKUP($B181,INDIRECT($B$5&amp;"生成成长"),4))/(VLOOKUP(J$72,INDIRECT($C$5&amp;"生成成长"),5))*(VLOOKUP($B$5,标准坦克设计!$B$24:$U$30,MATCH("对"&amp;LEFT($C$5,2)&amp;"输出",标准坦克设计!$B$23:$U$23,0)))*(VLOOKUP($B181,INDIRECT($B$5&amp;"生成成长"),3))*(VLOOKUP($B$5,标准坦克设计!$B$14:$K$20,9)/30))</f>
        <v>0.79369730045836806</v>
      </c>
      <c r="K181" s="173">
        <f ca="1">(VLOOKUP(K$72,INDIRECT($C$5&amp;"生成成长"),2))/((VLOOKUP($B181,INDIRECT($B$5&amp;"生成成长"),4))/(VLOOKUP(K$72,INDIRECT($C$5&amp;"生成成长"),5))*(VLOOKUP($B$5,标准坦克设计!$B$24:$U$30,MATCH("对"&amp;LEFT($C$5,2)&amp;"输出",标准坦克设计!$B$23:$U$23,0)))*(VLOOKUP($B181,INDIRECT($B$5&amp;"生成成长"),3))*(VLOOKUP($B$5,标准坦克设计!$B$14:$K$20,9)/30))</f>
        <v>0.89281835910147023</v>
      </c>
      <c r="L181" s="173">
        <f ca="1">(VLOOKUP(L$72,INDIRECT($C$5&amp;"生成成长"),2))/((VLOOKUP($B181,INDIRECT($B$5&amp;"生成成长"),4))/(VLOOKUP(L$72,INDIRECT($C$5&amp;"生成成长"),5))*(VLOOKUP($B$5,标准坦克设计!$B$24:$U$30,MATCH("对"&amp;LEFT($C$5,2)&amp;"输出",标准坦克设计!$B$23:$U$23,0)))*(VLOOKUP($B181,INDIRECT($B$5&amp;"生成成长"),3))*(VLOOKUP($B$5,标准坦克设计!$B$14:$K$20,9)/30))</f>
        <v>0.99777006825298986</v>
      </c>
      <c r="M181" s="173">
        <f ca="1">(VLOOKUP(M$72,INDIRECT($C$5&amp;"生成成长"),2))/((VLOOKUP($B181,INDIRECT($B$5&amp;"生成成长"),4))/(VLOOKUP(M$72,INDIRECT($C$5&amp;"生成成长"),5))*(VLOOKUP($B$5,标准坦克设计!$B$24:$U$30,MATCH("对"&amp;LEFT($C$5,2)&amp;"输出",标准坦克设计!$B$23:$U$23,0)))*(VLOOKUP($B181,INDIRECT($B$5&amp;"生成成长"),3))*(VLOOKUP($B$5,标准坦克设计!$B$14:$K$20,9)/30))</f>
        <v>1.1085524279129275</v>
      </c>
      <c r="N181" s="173">
        <f ca="1">(VLOOKUP(N$72,INDIRECT($C$5&amp;"生成成长"),2))/((VLOOKUP($B181,INDIRECT($B$5&amp;"生成成长"),4))/(VLOOKUP(N$72,INDIRECT($C$5&amp;"生成成长"),5))*(VLOOKUP($B$5,标准坦克设计!$B$24:$U$30,MATCH("对"&amp;LEFT($C$5,2)&amp;"输出",标准坦克设计!$B$23:$U$23,0)))*(VLOOKUP($B181,INDIRECT($B$5&amp;"生成成长"),3))*(VLOOKUP($B$5,标准坦克设计!$B$14:$K$20,9)/30))</f>
        <v>1.2251654380812826</v>
      </c>
      <c r="O181" s="173">
        <f ca="1">(VLOOKUP(O$72,INDIRECT($C$5&amp;"生成成长"),2))/((VLOOKUP($B181,INDIRECT($B$5&amp;"生成成长"),4))/(VLOOKUP(O$72,INDIRECT($C$5&amp;"生成成长"),5))*(VLOOKUP($B$5,标准坦克设计!$B$24:$U$30,MATCH("对"&amp;LEFT($C$5,2)&amp;"输出",标准坦克设计!$B$23:$U$23,0)))*(VLOOKUP($B181,INDIRECT($B$5&amp;"生成成长"),3))*(VLOOKUP($B$5,标准坦克设计!$B$14:$K$20,9)/30))</f>
        <v>0.93149197067683487</v>
      </c>
      <c r="P181" s="173">
        <f ca="1">(VLOOKUP(P$72,INDIRECT($C$5&amp;"生成成长"),2))/((VLOOKUP($B181,INDIRECT($B$5&amp;"生成成长"),4))/(VLOOKUP(P$72,INDIRECT($C$5&amp;"生成成长"),5))*(VLOOKUP($B$5,标准坦克设计!$B$24:$U$30,MATCH("对"&amp;LEFT($C$5,2)&amp;"输出",标准坦克设计!$B$23:$U$23,0)))*(VLOOKUP($B181,INDIRECT($B$5&amp;"生成成长"),3))*(VLOOKUP($B$5,标准坦克设计!$B$14:$K$20,9)/30))</f>
        <v>1.0524324167694066</v>
      </c>
      <c r="Q181" s="173">
        <f ca="1">(VLOOKUP(Q$72,INDIRECT($C$5&amp;"生成成长"),2))/((VLOOKUP($B181,INDIRECT($B$5&amp;"生成成长"),4))/(VLOOKUP(Q$72,INDIRECT($C$5&amp;"生成成长"),5))*(VLOOKUP($B$5,标准坦克设计!$B$24:$U$30,MATCH("对"&amp;LEFT($C$5,2)&amp;"输出",标准坦克设计!$B$23:$U$23,0)))*(VLOOKUP($B181,INDIRECT($B$5&amp;"生成成长"),3))*(VLOOKUP($B$5,标准坦克设计!$B$14:$K$20,9)/30))</f>
        <v>1.1807522799116941</v>
      </c>
      <c r="R181" s="173">
        <f ca="1">(VLOOKUP(R$72,INDIRECT($C$5&amp;"生成成长"),2))/((VLOOKUP($B181,INDIRECT($B$5&amp;"生成成长"),4))/(VLOOKUP(R$72,INDIRECT($C$5&amp;"生成成长"),5))*(VLOOKUP($B$5,标准坦克设计!$B$24:$U$30,MATCH("对"&amp;LEFT($C$5,2)&amp;"输出",标准坦克设计!$B$23:$U$23,0)))*(VLOOKUP($B181,INDIRECT($B$5&amp;"生成成长"),3))*(VLOOKUP($B$5,标准坦克设计!$B$14:$K$20,9)/30))</f>
        <v>1.3164515601036981</v>
      </c>
      <c r="S181" s="173">
        <f ca="1">(VLOOKUP(S$72,INDIRECT($C$5&amp;"生成成长"),2))/((VLOOKUP($B181,INDIRECT($B$5&amp;"生成成长"),4))/(VLOOKUP(S$72,INDIRECT($C$5&amp;"生成成长"),5))*(VLOOKUP($B$5,标准坦克设计!$B$24:$U$30,MATCH("对"&amp;LEFT($C$5,2)&amp;"输出",标准坦克设计!$B$23:$U$23,0)))*(VLOOKUP($B181,INDIRECT($B$5&amp;"生成成长"),3))*(VLOOKUP($B$5,标准坦克设计!$B$14:$K$20,9)/30))</f>
        <v>1.4595302573454185</v>
      </c>
      <c r="T181" s="173">
        <f ca="1">(VLOOKUP(T$72,INDIRECT($C$5&amp;"生成成长"),2))/((VLOOKUP($B181,INDIRECT($B$5&amp;"生成成长"),4))/(VLOOKUP(T$72,INDIRECT($C$5&amp;"生成成长"),5))*(VLOOKUP($B$5,标准坦克设计!$B$24:$U$30,MATCH("对"&amp;LEFT($C$5,2)&amp;"输出",标准坦克设计!$B$23:$U$23,0)))*(VLOOKUP($B181,INDIRECT($B$5&amp;"生成成长"),3))*(VLOOKUP($B$5,标准坦克设计!$B$14:$K$20,9)/30))</f>
        <v>1.6099883716368548</v>
      </c>
      <c r="U181" s="173">
        <f ca="1">(VLOOKUP(U$72,INDIRECT($C$5&amp;"生成成长"),2))/((VLOOKUP($B181,INDIRECT($B$5&amp;"生成成长"),4))/(VLOOKUP(U$72,INDIRECT($C$5&amp;"生成成长"),5))*(VLOOKUP($B$5,标准坦克设计!$B$24:$U$30,MATCH("对"&amp;LEFT($C$5,2)&amp;"输出",标准坦克设计!$B$23:$U$23,0)))*(VLOOKUP($B181,INDIRECT($B$5&amp;"生成成长"),3))*(VLOOKUP($B$5,标准坦克设计!$B$14:$K$20,9)/30))</f>
        <v>1.7678259029780079</v>
      </c>
      <c r="V181" s="173">
        <f ca="1">(VLOOKUP(V$72,INDIRECT($C$5&amp;"生成成长"),2))/((VLOOKUP($B181,INDIRECT($B$5&amp;"生成成长"),4))/(VLOOKUP(V$72,INDIRECT($C$5&amp;"生成成长"),5))*(VLOOKUP($B$5,标准坦克设计!$B$24:$U$30,MATCH("对"&amp;LEFT($C$5,2)&amp;"输出",标准坦克设计!$B$23:$U$23,0)))*(VLOOKUP($B181,INDIRECT($B$5&amp;"生成成长"),3))*(VLOOKUP($B$5,标准坦克设计!$B$14:$K$20,9)/30))</f>
        <v>1.9330428513688769</v>
      </c>
      <c r="W181" s="173">
        <f ca="1">(VLOOKUP(W$72,INDIRECT($C$5&amp;"生成成长"),2))/((VLOOKUP($B181,INDIRECT($B$5&amp;"生成成长"),4))/(VLOOKUP(W$72,INDIRECT($C$5&amp;"生成成长"),5))*(VLOOKUP($B$5,标准坦克设计!$B$24:$U$30,MATCH("对"&amp;LEFT($C$5,2)&amp;"输出",标准坦克设计!$B$23:$U$23,0)))*(VLOOKUP($B181,INDIRECT($B$5&amp;"生成成长"),3))*(VLOOKUP($B$5,标准坦克设计!$B$14:$K$20,9)/30))</f>
        <v>2.105639216809462</v>
      </c>
      <c r="X181" s="173">
        <f ca="1">(VLOOKUP(X$72,INDIRECT($C$5&amp;"生成成长"),2))/((VLOOKUP($B181,INDIRECT($B$5&amp;"生成成长"),4))/(VLOOKUP(X$72,INDIRECT($C$5&amp;"生成成长"),5))*(VLOOKUP($B$5,标准坦克设计!$B$24:$U$30,MATCH("对"&amp;LEFT($C$5,2)&amp;"输出",标准坦克设计!$B$23:$U$23,0)))*(VLOOKUP($B181,INDIRECT($B$5&amp;"生成成长"),3))*(VLOOKUP($B$5,标准坦克设计!$B$14:$K$20,9)/30))</f>
        <v>1.5254894912218946</v>
      </c>
      <c r="Y181" s="173">
        <f ca="1">(VLOOKUP(Y$72,INDIRECT($C$5&amp;"生成成长"),2))/((VLOOKUP($B181,INDIRECT($B$5&amp;"生成成长"),4))/(VLOOKUP(Y$72,INDIRECT($C$5&amp;"生成成长"),5))*(VLOOKUP($B$5,标准坦克设计!$B$24:$U$30,MATCH("对"&amp;LEFT($C$5,2)&amp;"输出",标准坦克设计!$B$23:$U$23,0)))*(VLOOKUP($B181,INDIRECT($B$5&amp;"生成成长"),3))*(VLOOKUP($B$5,标准坦克设计!$B$14:$K$20,9)/30))</f>
        <v>1.6967648499066663</v>
      </c>
      <c r="Z181" s="173">
        <f ca="1">(VLOOKUP(Z$72,INDIRECT($C$5&amp;"生成成长"),2))/((VLOOKUP($B181,INDIRECT($B$5&amp;"生成成长"),4))/(VLOOKUP(Z$72,INDIRECT($C$5&amp;"生成成长"),5))*(VLOOKUP($B$5,标准坦克设计!$B$24:$U$30,MATCH("对"&amp;LEFT($C$5,2)&amp;"输出",标准坦克设计!$B$23:$U$23,0)))*(VLOOKUP($B181,INDIRECT($B$5&amp;"生成成长"),3))*(VLOOKUP($B$5,标准坦克设计!$B$14:$K$20,9)/30))</f>
        <v>1.8771506000108407</v>
      </c>
      <c r="AA181" s="173">
        <f ca="1">(VLOOKUP(AA$72,INDIRECT($C$5&amp;"生成成长"),2))/((VLOOKUP($B181,INDIRECT($B$5&amp;"生成成长"),4))/(VLOOKUP(AA$72,INDIRECT($C$5&amp;"生成成长"),5))*(VLOOKUP($B$5,标准坦克设计!$B$24:$U$30,MATCH("对"&amp;LEFT($C$5,2)&amp;"输出",标准坦克设计!$B$23:$U$23,0)))*(VLOOKUP($B181,INDIRECT($B$5&amp;"生成成长"),3))*(VLOOKUP($B$5,标准坦克设计!$B$14:$K$20,9)/30))</f>
        <v>2.0666467415344179</v>
      </c>
      <c r="AB181" s="173">
        <f ca="1">(VLOOKUP(AB$72,INDIRECT($C$5&amp;"生成成长"),2))/((VLOOKUP($B181,INDIRECT($B$5&amp;"生成成长"),4))/(VLOOKUP(AB$72,INDIRECT($C$5&amp;"生成成长"),5))*(VLOOKUP($B$5,标准坦克设计!$B$24:$U$30,MATCH("对"&amp;LEFT($C$5,2)&amp;"输出",标准坦克设计!$B$23:$U$23,0)))*(VLOOKUP($B181,INDIRECT($B$5&amp;"生成成长"),3))*(VLOOKUP($B$5,标准坦克设计!$B$14:$K$20,9)/30))</f>
        <v>2.2652532744773981</v>
      </c>
      <c r="AC181" s="173">
        <f ca="1">(VLOOKUP(AC$72,INDIRECT($C$5&amp;"生成成长"),2))/((VLOOKUP($B181,INDIRECT($B$5&amp;"生成成长"),4))/(VLOOKUP(AC$72,INDIRECT($C$5&amp;"生成成长"),5))*(VLOOKUP($B$5,标准坦克设计!$B$24:$U$30,MATCH("对"&amp;LEFT($C$5,2)&amp;"输出",标准坦克设计!$B$23:$U$23,0)))*(VLOOKUP($B181,INDIRECT($B$5&amp;"生成成长"),3))*(VLOOKUP($B$5,标准坦克设计!$B$14:$K$20,9)/30))</f>
        <v>2.4729701988397812</v>
      </c>
      <c r="AD181" s="173">
        <f ca="1">(VLOOKUP(AD$72,INDIRECT($C$5&amp;"生成成长"),2))/((VLOOKUP($B181,INDIRECT($B$5&amp;"生成成长"),4))/(VLOOKUP(AD$72,INDIRECT($C$5&amp;"生成成长"),5))*(VLOOKUP($B$5,标准坦克设计!$B$24:$U$30,MATCH("对"&amp;LEFT($C$5,2)&amp;"输出",标准坦克设计!$B$23:$U$23,0)))*(VLOOKUP($B181,INDIRECT($B$5&amp;"生成成长"),3))*(VLOOKUP($B$5,标准坦克设计!$B$14:$K$20,9)/30))</f>
        <v>2.6897975146215667</v>
      </c>
      <c r="AE181" s="173">
        <f ca="1">(VLOOKUP(AE$72,INDIRECT($C$5&amp;"生成成长"),2))/((VLOOKUP($B181,INDIRECT($B$5&amp;"生成成长"),4))/(VLOOKUP(AE$72,INDIRECT($C$5&amp;"生成成长"),5))*(VLOOKUP($B$5,标准坦克设计!$B$24:$U$30,MATCH("对"&amp;LEFT($C$5,2)&amp;"输出",标准坦克设计!$B$23:$U$23,0)))*(VLOOKUP($B181,INDIRECT($B$5&amp;"生成成长"),3))*(VLOOKUP($B$5,标准坦克设计!$B$14:$K$20,9)/30))</f>
        <v>2.915735221822755</v>
      </c>
      <c r="AF181" s="173">
        <f ca="1">(VLOOKUP(AF$72,INDIRECT($C$5&amp;"生成成长"),2))/((VLOOKUP($B181,INDIRECT($B$5&amp;"生成成长"),4))/(VLOOKUP(AF$72,INDIRECT($C$5&amp;"生成成长"),5))*(VLOOKUP($B$5,标准坦克设计!$B$24:$U$30,MATCH("对"&amp;LEFT($C$5,2)&amp;"输出",标准坦克设计!$B$23:$U$23,0)))*(VLOOKUP($B181,INDIRECT($B$5&amp;"生成成长"),3))*(VLOOKUP($B$5,标准坦克设计!$B$14:$K$20,9)/30))</f>
        <v>3.1507833204433457</v>
      </c>
      <c r="AG181" s="173">
        <f ca="1">(VLOOKUP(AG$72,INDIRECT($C$5&amp;"生成成长"),2))/((VLOOKUP($B181,INDIRECT($B$5&amp;"生成成长"),4))/(VLOOKUP(AG$72,INDIRECT($C$5&amp;"生成成长"),5))*(VLOOKUP($B$5,标准坦克设计!$B$24:$U$30,MATCH("对"&amp;LEFT($C$5,2)&amp;"输出",标准坦克设计!$B$23:$U$23,0)))*(VLOOKUP($B181,INDIRECT($B$5&amp;"生成成长"),3))*(VLOOKUP($B$5,标准坦克设计!$B$14:$K$20,9)/30))</f>
        <v>3.3949418104833406</v>
      </c>
      <c r="AH181" s="173">
        <f ca="1">(VLOOKUP(AH$72,INDIRECT($C$5&amp;"生成成长"),2))/((VLOOKUP($B181,INDIRECT($B$5&amp;"生成成长"),4))/(VLOOKUP(AH$72,INDIRECT($C$5&amp;"生成成长"),5))*(VLOOKUP($B$5,标准坦克设计!$B$24:$U$30,MATCH("对"&amp;LEFT($C$5,2)&amp;"输出",标准坦克设计!$B$23:$U$23,0)))*(VLOOKUP($B181,INDIRECT($B$5&amp;"生成成长"),3))*(VLOOKUP($B$5,标准坦克设计!$B$14:$K$20,9)/30))</f>
        <v>3.6482106919427366</v>
      </c>
      <c r="AI181" s="173">
        <f ca="1">(VLOOKUP(AI$72,INDIRECT($C$5&amp;"生成成长"),2))/((VLOOKUP($B181,INDIRECT($B$5&amp;"生成成长"),4))/(VLOOKUP(AI$72,INDIRECT($C$5&amp;"生成成长"),5))*(VLOOKUP($B$5,标准坦克设计!$B$24:$U$30,MATCH("对"&amp;LEFT($C$5,2)&amp;"输出",标准坦克设计!$B$23:$U$23,0)))*(VLOOKUP($B181,INDIRECT($B$5&amp;"生成成长"),3))*(VLOOKUP($B$5,标准坦克设计!$B$14:$K$20,9)/30))</f>
        <v>2.5802450578032485</v>
      </c>
      <c r="AJ181" s="173">
        <f ca="1">(VLOOKUP(AJ$72,INDIRECT($C$5&amp;"生成成长"),2))/((VLOOKUP($B181,INDIRECT($B$5&amp;"生成成长"),4))/(VLOOKUP(AJ$72,INDIRECT($C$5&amp;"生成成长"),5))*(VLOOKUP($B$5,标准坦克设计!$B$24:$U$30,MATCH("对"&amp;LEFT($C$5,2)&amp;"输出",标准坦克设计!$B$23:$U$23,0)))*(VLOOKUP($B181,INDIRECT($B$5&amp;"生成成长"),3))*(VLOOKUP($B$5,标准坦克设计!$B$14:$K$20,9)/30))</f>
        <v>2.8242668919719511</v>
      </c>
      <c r="AK181" s="173">
        <f ca="1">(VLOOKUP(AK$72,INDIRECT($C$5&amp;"生成成长"),2))/((VLOOKUP($B181,INDIRECT($B$5&amp;"生成成长"),4))/(VLOOKUP(AK$72,INDIRECT($C$5&amp;"生成成长"),5))*(VLOOKUP($B$5,标准坦克设计!$B$24:$U$30,MATCH("对"&amp;LEFT($C$5,2)&amp;"输出",标准坦克设计!$B$23:$U$23,0)))*(VLOOKUP($B181,INDIRECT($B$5&amp;"生成成长"),3))*(VLOOKUP($B$5,标准坦克设计!$B$14:$K$20,9)/30))</f>
        <v>3.0793122997581319</v>
      </c>
      <c r="AL181" s="173">
        <f ca="1">(VLOOKUP(AL$72,INDIRECT($C$5&amp;"生成成长"),2))/((VLOOKUP($B181,INDIRECT($B$5&amp;"生成成长"),4))/(VLOOKUP(AL$72,INDIRECT($C$5&amp;"生成成长"),5))*(VLOOKUP($B$5,标准坦克设计!$B$24:$U$30,MATCH("对"&amp;LEFT($C$5,2)&amp;"输出",标准坦克设计!$B$23:$U$23,0)))*(VLOOKUP($B181,INDIRECT($B$5&amp;"生成成长"),3))*(VLOOKUP($B$5,标准坦克设计!$B$14:$K$20,9)/30))</f>
        <v>3.3453812811617887</v>
      </c>
      <c r="AM181" s="173">
        <f ca="1">(VLOOKUP(AM$72,INDIRECT($C$5&amp;"生成成长"),2))/((VLOOKUP($B181,INDIRECT($B$5&amp;"生成成长"),4))/(VLOOKUP(AM$72,INDIRECT($C$5&amp;"生成成长"),5))*(VLOOKUP($B$5,标准坦克设计!$B$24:$U$30,MATCH("对"&amp;LEFT($C$5,2)&amp;"输出",标准坦克设计!$B$23:$U$23,0)))*(VLOOKUP($B181,INDIRECT($B$5&amp;"生成成长"),3))*(VLOOKUP($B$5,标准坦克设计!$B$14:$K$20,9)/30))</f>
        <v>3.6224738361829241</v>
      </c>
      <c r="AN181" s="173">
        <f ca="1">(VLOOKUP(AN$72,INDIRECT($C$5&amp;"生成成长"),2))/((VLOOKUP($B181,INDIRECT($B$5&amp;"生成成长"),4))/(VLOOKUP(AN$72,INDIRECT($C$5&amp;"生成成长"),5))*(VLOOKUP($B$5,标准坦克设计!$B$24:$U$30,MATCH("对"&amp;LEFT($C$5,2)&amp;"输出",标准坦克设计!$B$23:$U$23,0)))*(VLOOKUP($B181,INDIRECT($B$5&amp;"生成成长"),3))*(VLOOKUP($B$5,标准坦克设计!$B$14:$K$20,9)/30))</f>
        <v>3.9105899648215359</v>
      </c>
      <c r="AO181" s="173">
        <f ca="1">(VLOOKUP(AO$72,INDIRECT($C$5&amp;"生成成长"),2))/((VLOOKUP($B181,INDIRECT($B$5&amp;"生成成长"),4))/(VLOOKUP(AO$72,INDIRECT($C$5&amp;"生成成长"),5))*(VLOOKUP($B$5,标准坦克设计!$B$24:$U$30,MATCH("对"&amp;LEFT($C$5,2)&amp;"输出",标准坦克设计!$B$23:$U$23,0)))*(VLOOKUP($B181,INDIRECT($B$5&amp;"生成成长"),3))*(VLOOKUP($B$5,标准坦克设计!$B$14:$K$20,9)/30))</f>
        <v>4.2097296670776263</v>
      </c>
      <c r="AP181" s="173">
        <f ca="1">(VLOOKUP(AP$72,INDIRECT($C$5&amp;"生成成长"),2))/((VLOOKUP($B181,INDIRECT($B$5&amp;"生成成长"),4))/(VLOOKUP(AP$72,INDIRECT($C$5&amp;"生成成长"),5))*(VLOOKUP($B$5,标准坦克设计!$B$24:$U$30,MATCH("对"&amp;LEFT($C$5,2)&amp;"输出",标准坦克设计!$B$23:$U$23,0)))*(VLOOKUP($B181,INDIRECT($B$5&amp;"生成成长"),3))*(VLOOKUP($B$5,标准坦克设计!$B$14:$K$20,9)/30))</f>
        <v>4.5198929429511923</v>
      </c>
      <c r="AQ181" s="173">
        <f ca="1">(VLOOKUP(AQ$72,INDIRECT($C$5&amp;"生成成长"),2))/((VLOOKUP($B181,INDIRECT($B$5&amp;"生成成长"),4))/(VLOOKUP(AQ$72,INDIRECT($C$5&amp;"生成成长"),5))*(VLOOKUP($B$5,标准坦克设计!$B$24:$U$30,MATCH("对"&amp;LEFT($C$5,2)&amp;"输出",标准坦克设计!$B$23:$U$23,0)))*(VLOOKUP($B181,INDIRECT($B$5&amp;"生成成长"),3))*(VLOOKUP($B$5,标准坦克设计!$B$14:$K$20,9)/30))</f>
        <v>4.841079792442236</v>
      </c>
      <c r="AR181" s="173">
        <f ca="1">(VLOOKUP(AR$72,INDIRECT($C$5&amp;"生成成长"),2))/((VLOOKUP($B181,INDIRECT($B$5&amp;"生成成长"),4))/(VLOOKUP(AR$72,INDIRECT($C$5&amp;"生成成长"),5))*(VLOOKUP($B$5,标准坦克设计!$B$24:$U$30,MATCH("对"&amp;LEFT($C$5,2)&amp;"输出",标准坦克设计!$B$23:$U$23,0)))*(VLOOKUP($B181,INDIRECT($B$5&amp;"生成成长"),3))*(VLOOKUP($B$5,标准坦克设计!$B$14:$K$20,9)/30))</f>
        <v>5.1732902155507574</v>
      </c>
      <c r="AS181" s="173">
        <f ca="1">(VLOOKUP(AS$72,INDIRECT($C$5&amp;"生成成长"),2))/((VLOOKUP($B181,INDIRECT($B$5&amp;"生成成长"),4))/(VLOOKUP(AS$72,INDIRECT($C$5&amp;"生成成长"),5))*(VLOOKUP($B$5,标准坦克设计!$B$24:$U$30,MATCH("对"&amp;LEFT($C$5,2)&amp;"输出",标准坦克设计!$B$23:$U$23,0)))*(VLOOKUP($B181,INDIRECT($B$5&amp;"生成成长"),3))*(VLOOKUP($B$5,标准坦克设计!$B$14:$K$20,9)/30))</f>
        <v>5.5165242122767566</v>
      </c>
      <c r="AT181" s="173">
        <f ca="1">(VLOOKUP(AT$72,INDIRECT($C$5&amp;"生成成长"),2))/((VLOOKUP($B181,INDIRECT($B$5&amp;"生成成长"),4))/(VLOOKUP(AT$72,INDIRECT($C$5&amp;"生成成长"),5))*(VLOOKUP($B$5,标准坦克设计!$B$24:$U$30,MATCH("对"&amp;LEFT($C$5,2)&amp;"输出",标准坦克设计!$B$23:$U$23,0)))*(VLOOKUP($B181,INDIRECT($B$5&amp;"生成成长"),3))*(VLOOKUP($B$5,标准坦克设计!$B$14:$K$20,9)/30))</f>
        <v>5.8707817826202335</v>
      </c>
      <c r="AU181" s="173">
        <f ca="1">(VLOOKUP(AU$72,INDIRECT($C$5&amp;"生成成长"),2))/((VLOOKUP($B181,INDIRECT($B$5&amp;"生成成长"),4))/(VLOOKUP(AU$72,INDIRECT($C$5&amp;"生成成长"),5))*(VLOOKUP($B$5,标准坦克设计!$B$24:$U$30,MATCH("对"&amp;LEFT($C$5,2)&amp;"输出",标准坦克设计!$B$23:$U$23,0)))*(VLOOKUP($B181,INDIRECT($B$5&amp;"生成成长"),3))*(VLOOKUP($B$5,标准坦克设计!$B$14:$K$20,9)/30))</f>
        <v>6.2360629265811864</v>
      </c>
      <c r="AV181" s="173">
        <f ca="1">(VLOOKUP(AV$72,INDIRECT($C$5&amp;"生成成长"),2))/((VLOOKUP($B181,INDIRECT($B$5&amp;"生成成长"),4))/(VLOOKUP(AV$72,INDIRECT($C$5&amp;"生成成长"),5))*(VLOOKUP($B$5,标准坦克设计!$B$24:$U$30,MATCH("对"&amp;LEFT($C$5,2)&amp;"输出",标准坦克设计!$B$23:$U$23,0)))*(VLOOKUP($B181,INDIRECT($B$5&amp;"生成成长"),3))*(VLOOKUP($B$5,标准坦克设计!$B$14:$K$20,9)/30))</f>
        <v>0.63426545061881989</v>
      </c>
      <c r="AW181" s="173">
        <f ca="1">(VLOOKUP(AW$72,INDIRECT($C$5&amp;"生成成长"),2))/((VLOOKUP($B181,INDIRECT($B$5&amp;"生成成长"),4))/(VLOOKUP(AW$72,INDIRECT($C$5&amp;"生成成长"),5))*(VLOOKUP($B$5,标准坦克设计!$B$24:$U$30,MATCH("对"&amp;LEFT($C$5,2)&amp;"输出",标准坦克设计!$B$23:$U$23,0)))*(VLOOKUP($B181,INDIRECT($B$5&amp;"生成成长"),3))*(VLOOKUP($B$5,标准坦克设计!$B$14:$K$20,9)/30))</f>
        <v>0.7231828708721908</v>
      </c>
      <c r="AX181" s="173">
        <f ca="1">(VLOOKUP(AX$72,INDIRECT($C$5&amp;"生成成长"),2))/((VLOOKUP($B181,INDIRECT($B$5&amp;"生成成长"),4))/(VLOOKUP(AX$72,INDIRECT($C$5&amp;"生成成长"),5))*(VLOOKUP($B$5,标准坦克设计!$B$24:$U$30,MATCH("对"&amp;LEFT($C$5,2)&amp;"输出",标准坦克设计!$B$23:$U$23,0)))*(VLOOKUP($B181,INDIRECT($B$5&amp;"生成成长"),3))*(VLOOKUP($B$5,标准坦克设计!$B$14:$K$20,9)/30))</f>
        <v>0.8179309416339795</v>
      </c>
      <c r="AY181" s="173">
        <f ca="1">(VLOOKUP(AY$72,INDIRECT($C$5&amp;"生成成长"),2))/((VLOOKUP($B181,INDIRECT($B$5&amp;"生成成长"),4))/(VLOOKUP(AY$72,INDIRECT($C$5&amp;"生成成长"),5))*(VLOOKUP($B$5,标准坦克设计!$B$24:$U$30,MATCH("对"&amp;LEFT($C$5,2)&amp;"输出",标准坦克设计!$B$23:$U$23,0)))*(VLOOKUP($B181,INDIRECT($B$5&amp;"生成成长"),3))*(VLOOKUP($B$5,标准坦克设计!$B$14:$K$20,9)/30))</f>
        <v>0.91850966290418601</v>
      </c>
      <c r="AZ181" s="173">
        <f ca="1">(VLOOKUP(AZ$72,INDIRECT($C$5&amp;"生成成长"),2))/((VLOOKUP($B181,INDIRECT($B$5&amp;"生成成长"),4))/(VLOOKUP(AZ$72,INDIRECT($C$5&amp;"生成成长"),5))*(VLOOKUP($B$5,标准坦克设计!$B$24:$U$30,MATCH("对"&amp;LEFT($C$5,2)&amp;"输出",标准坦克设计!$B$23:$U$23,0)))*(VLOOKUP($B181,INDIRECT($B$5&amp;"生成成长"),3))*(VLOOKUP($B$5,标准坦克设计!$B$14:$K$20,9)/30))</f>
        <v>1.0249190346828101</v>
      </c>
      <c r="BA181" s="173">
        <f ca="1">(VLOOKUP(BA$72,INDIRECT($C$5&amp;"生成成长"),2))/((VLOOKUP($B181,INDIRECT($B$5&amp;"生成成长"),4))/(VLOOKUP(BA$72,INDIRECT($C$5&amp;"生成成长"),5))*(VLOOKUP($B$5,标准坦克设计!$B$24:$U$30,MATCH("对"&amp;LEFT($C$5,2)&amp;"输出",标准坦克设计!$B$23:$U$23,0)))*(VLOOKUP($B181,INDIRECT($B$5&amp;"生成成长"),3))*(VLOOKUP($B$5,标准坦克设计!$B$14:$K$20,9)/30))</f>
        <v>1.1371590569698522</v>
      </c>
      <c r="BB181" s="173">
        <f ca="1">(VLOOKUP(BB$72,INDIRECT($C$5&amp;"生成成长"),2))/((VLOOKUP($B181,INDIRECT($B$5&amp;"生成成长"),4))/(VLOOKUP(BB$72,INDIRECT($C$5&amp;"生成成长"),5))*(VLOOKUP($B$5,标准坦克设计!$B$24:$U$30,MATCH("对"&amp;LEFT($C$5,2)&amp;"输出",标准坦克设计!$B$23:$U$23,0)))*(VLOOKUP($B181,INDIRECT($B$5&amp;"生成成长"),3))*(VLOOKUP($B$5,标准坦克设计!$B$14:$K$20,9)/30))</f>
        <v>1.2552297297653119</v>
      </c>
      <c r="BC181" s="173">
        <f ca="1">(VLOOKUP(BC$72,INDIRECT($C$5&amp;"生成成长"),2))/((VLOOKUP($B181,INDIRECT($B$5&amp;"生成成长"),4))/(VLOOKUP(BC$72,INDIRECT($C$5&amp;"生成成长"),5))*(VLOOKUP($B$5,标准坦克设计!$B$24:$U$30,MATCH("对"&amp;LEFT($C$5,2)&amp;"输出",标准坦克设计!$B$23:$U$23,0)))*(VLOOKUP($B181,INDIRECT($B$5&amp;"生成成长"),3))*(VLOOKUP($B$5,标准坦克设计!$B$14:$K$20,9)/30))</f>
        <v>1.3791310530691892</v>
      </c>
      <c r="BD181" s="173">
        <f ca="1">(VLOOKUP(BD$72,INDIRECT($C$5&amp;"生成成长"),2))/((VLOOKUP($B181,INDIRECT($B$5&amp;"生成成长"),4))/(VLOOKUP(BD$72,INDIRECT($C$5&amp;"生成成长"),5))*(VLOOKUP($B$5,标准坦克设计!$B$24:$U$30,MATCH("对"&amp;LEFT($C$5,2)&amp;"输出",标准坦克设计!$B$23:$U$23,0)))*(VLOOKUP($B181,INDIRECT($B$5&amp;"生成成长"),3))*(VLOOKUP($B$5,标准坦克设计!$B$14:$K$20,9)/30))</f>
        <v>1.5254894912218946</v>
      </c>
      <c r="BE181" s="173">
        <f ca="1">(VLOOKUP(BE$72,INDIRECT($C$5&amp;"生成成长"),2))/((VLOOKUP($B181,INDIRECT($B$5&amp;"生成成长"),4))/(VLOOKUP(BE$72,INDIRECT($C$5&amp;"生成成长"),5))*(VLOOKUP($B$5,标准坦克设计!$B$24:$U$30,MATCH("对"&amp;LEFT($C$5,2)&amp;"输出",标准坦克设计!$B$23:$U$23,0)))*(VLOOKUP($B181,INDIRECT($B$5&amp;"生成成长"),3))*(VLOOKUP($B$5,标准坦克设计!$B$14:$K$20,9)/30))</f>
        <v>1.6792273464243164</v>
      </c>
      <c r="BF181" s="173">
        <f ca="1">(VLOOKUP(BF$72,INDIRECT($C$5&amp;"生成成长"),2))/((VLOOKUP($B181,INDIRECT($B$5&amp;"生成成长"),4))/(VLOOKUP(BF$72,INDIRECT($C$5&amp;"生成成长"),5))*(VLOOKUP($B$5,标准坦克设计!$B$24:$U$30,MATCH("对"&amp;LEFT($C$5,2)&amp;"输出",标准坦克设计!$B$23:$U$23,0)))*(VLOOKUP($B181,INDIRECT($B$5&amp;"生成成长"),3))*(VLOOKUP($B$5,标准坦克设计!$B$14:$K$20,9)/30))</f>
        <v>1.8403446186764536</v>
      </c>
      <c r="BG181" s="173">
        <f ca="1">(VLOOKUP(BG$72,INDIRECT($C$5&amp;"生成成长"),2))/((VLOOKUP($B181,INDIRECT($B$5&amp;"生成成长"),4))/(VLOOKUP(BG$72,INDIRECT($C$5&amp;"生成成长"),5))*(VLOOKUP($B$5,标准坦克设计!$B$24:$U$30,MATCH("对"&amp;LEFT($C$5,2)&amp;"输出",标准坦克设计!$B$23:$U$23,0)))*(VLOOKUP($B181,INDIRECT($B$5&amp;"生成成长"),3))*(VLOOKUP($B$5,标准坦克设计!$B$14:$K$20,9)/30))</f>
        <v>2.0088413079783076</v>
      </c>
      <c r="BH181" s="173">
        <f ca="1">(VLOOKUP(BH$72,INDIRECT($C$5&amp;"生成成长"),2))/((VLOOKUP($B181,INDIRECT($B$5&amp;"生成成长"),4))/(VLOOKUP(BH$72,INDIRECT($C$5&amp;"生成成长"),5))*(VLOOKUP($B$5,标准坦克设计!$B$24:$U$30,MATCH("对"&amp;LEFT($C$5,2)&amp;"输出",标准坦克设计!$B$23:$U$23,0)))*(VLOOKUP($B181,INDIRECT($B$5&amp;"生成成长"),3))*(VLOOKUP($B$5,标准坦克设计!$B$14:$K$20,9)/30))</f>
        <v>0.97098551747994555</v>
      </c>
      <c r="BI181" s="173">
        <f ca="1">(VLOOKUP(BI$72,INDIRECT($C$5&amp;"生成成长"),2))/((VLOOKUP($B181,INDIRECT($B$5&amp;"生成成长"),4))/(VLOOKUP(BI$72,INDIRECT($C$5&amp;"生成成长"),5))*(VLOOKUP($B$5,标准坦克设计!$B$24:$U$30,MATCH("对"&amp;LEFT($C$5,2)&amp;"输出",标准坦克设计!$B$23:$U$23,0)))*(VLOOKUP($B181,INDIRECT($B$5&amp;"生成成长"),3))*(VLOOKUP($B$5,标准坦克设计!$B$14:$K$20,9)/30))</f>
        <v>1.0943857692557561</v>
      </c>
      <c r="BJ181" s="173">
        <f ca="1">(VLOOKUP(BJ$72,INDIRECT($C$5&amp;"生成成长"),2))/((VLOOKUP($B181,INDIRECT($B$5&amp;"生成成长"),4))/(VLOOKUP(BJ$72,INDIRECT($C$5&amp;"生成成长"),5))*(VLOOKUP($B$5,标准坦克设计!$B$24:$U$30,MATCH("对"&amp;LEFT($C$5,2)&amp;"输出",标准坦克设计!$B$23:$U$23,0)))*(VLOOKUP($B181,INDIRECT($B$5&amp;"生成成长"),3))*(VLOOKUP($B$5,标准坦克设计!$B$14:$K$20,9)/30))</f>
        <v>1.2251654380812826</v>
      </c>
      <c r="BK181" s="173">
        <f ca="1">(VLOOKUP(BK$72,INDIRECT($C$5&amp;"生成成长"),2))/((VLOOKUP($B181,INDIRECT($B$5&amp;"生成成长"),4))/(VLOOKUP(BK$72,INDIRECT($C$5&amp;"生成成长"),5))*(VLOOKUP($B$5,标准坦克设计!$B$24:$U$30,MATCH("对"&amp;LEFT($C$5,2)&amp;"输出",标准坦克设计!$B$23:$U$23,0)))*(VLOOKUP($B181,INDIRECT($B$5&amp;"生成成长"),3))*(VLOOKUP($B$5,标准坦克设计!$B$14:$K$20,9)/30))</f>
        <v>1.3633245239565255</v>
      </c>
      <c r="BL181" s="173">
        <f ca="1">(VLOOKUP(BL$72,INDIRECT($C$5&amp;"生成成长"),2))/((VLOOKUP($B181,INDIRECT($B$5&amp;"生成成长"),4))/(VLOOKUP(BL$72,INDIRECT($C$5&amp;"生成成长"),5))*(VLOOKUP($B$5,标准坦克设计!$B$24:$U$30,MATCH("对"&amp;LEFT($C$5,2)&amp;"输出",标准坦克设计!$B$23:$U$23,0)))*(VLOOKUP($B181,INDIRECT($B$5&amp;"生成成长"),3))*(VLOOKUP($B$5,标准坦克设计!$B$14:$K$20,9)/30))</f>
        <v>1.5088630268814847</v>
      </c>
      <c r="BM181" s="173">
        <f ca="1">(VLOOKUP(BM$72,INDIRECT($C$5&amp;"生成成长"),2))/((VLOOKUP($B181,INDIRECT($B$5&amp;"生成成长"),4))/(VLOOKUP(BM$72,INDIRECT($C$5&amp;"生成成长"),5))*(VLOOKUP($B$5,标准坦克设计!$B$24:$U$30,MATCH("对"&amp;LEFT($C$5,2)&amp;"输出",标准坦克设计!$B$23:$U$23,0)))*(VLOOKUP($B181,INDIRECT($B$5&amp;"生成成长"),3))*(VLOOKUP($B$5,标准坦克设计!$B$14:$K$20,9)/30))</f>
        <v>1.6617809468561597</v>
      </c>
      <c r="BN181" s="173">
        <f ca="1">(VLOOKUP(BN$72,INDIRECT($C$5&amp;"生成成长"),2))/((VLOOKUP($B181,INDIRECT($B$5&amp;"生成成长"),4))/(VLOOKUP(BN$72,INDIRECT($C$5&amp;"生成成长"),5))*(VLOOKUP($B$5,标准坦克设计!$B$24:$U$30,MATCH("对"&amp;LEFT($C$5,2)&amp;"输出",标准坦克设计!$B$23:$U$23,0)))*(VLOOKUP($B181,INDIRECT($B$5&amp;"生成成长"),3))*(VLOOKUP($B$5,标准坦克设计!$B$14:$K$20,9)/30))</f>
        <v>1.8220782838805512</v>
      </c>
      <c r="BO181" s="173">
        <f ca="1">(VLOOKUP(BO$72,INDIRECT($C$5&amp;"生成成长"),2))/((VLOOKUP($B181,INDIRECT($B$5&amp;"生成成长"),4))/(VLOOKUP(BO$72,INDIRECT($C$5&amp;"生成成长"),5))*(VLOOKUP($B$5,标准坦克设计!$B$24:$U$30,MATCH("对"&amp;LEFT($C$5,2)&amp;"输出",标准坦克设计!$B$23:$U$23,0)))*(VLOOKUP($B181,INDIRECT($B$5&amp;"生成成长"),3))*(VLOOKUP($B$5,标准坦克设计!$B$14:$K$20,9)/30))</f>
        <v>1.9897550379546591</v>
      </c>
      <c r="BP181" s="173">
        <f ca="1">(VLOOKUP(BP$72,INDIRECT($C$5&amp;"生成成长"),2))/((VLOOKUP($B181,INDIRECT($B$5&amp;"生成成长"),4))/(VLOOKUP(BP$72,INDIRECT($C$5&amp;"生成成长"),5))*(VLOOKUP($B$5,标准坦克设计!$B$24:$U$30,MATCH("对"&amp;LEFT($C$5,2)&amp;"输出",标准坦克设计!$B$23:$U$23,0)))*(VLOOKUP($B181,INDIRECT($B$5&amp;"生成成长"),3))*(VLOOKUP($B$5,标准坦克设计!$B$14:$K$20,9)/30))</f>
        <v>2.1648112090784832</v>
      </c>
      <c r="BQ181" s="173">
        <f ca="1">(VLOOKUP(BQ$72,INDIRECT($C$5&amp;"生成成长"),2))/((VLOOKUP($B181,INDIRECT($B$5&amp;"生成成长"),4))/(VLOOKUP(BQ$72,INDIRECT($C$5&amp;"生成成长"),5))*(VLOOKUP($B$5,标准坦克设计!$B$24:$U$30,MATCH("对"&amp;LEFT($C$5,2)&amp;"输出",标准坦克设计!$B$23:$U$23,0)))*(VLOOKUP($B181,INDIRECT($B$5&amp;"生成成长"),3))*(VLOOKUP($B$5,标准坦克设计!$B$14:$K$20,9)/30))</f>
        <v>2.3472467972520232</v>
      </c>
      <c r="BR181" s="173">
        <f ca="1">(VLOOKUP(BR$72,INDIRECT($C$5&amp;"生成成长"),2))/((VLOOKUP($B181,INDIRECT($B$5&amp;"生成成长"),4))/(VLOOKUP(BR$72,INDIRECT($C$5&amp;"生成成长"),5))*(VLOOKUP($B$5,标准坦克设计!$B$24:$U$30,MATCH("对"&amp;LEFT($C$5,2)&amp;"输出",标准坦克设计!$B$23:$U$23,0)))*(VLOOKUP($B181,INDIRECT($B$5&amp;"生成成长"),3))*(VLOOKUP($B$5,标准坦克设计!$B$14:$K$20,9)/30))</f>
        <v>2.5586078781821664</v>
      </c>
      <c r="BS181" s="173">
        <f ca="1">(VLOOKUP(BS$72,INDIRECT($C$5&amp;"生成成长"),2))/((VLOOKUP($B181,INDIRECT($B$5&amp;"生成成长"),4))/(VLOOKUP(BS$72,INDIRECT($C$5&amp;"生成成长"),5))*(VLOOKUP($B$5,标准坦克设计!$B$24:$U$30,MATCH("对"&amp;LEFT($C$5,2)&amp;"输出",标准坦克设计!$B$23:$U$23,0)))*(VLOOKUP($B181,INDIRECT($B$5&amp;"生成成长"),3))*(VLOOKUP($B$5,标准坦克设计!$B$14:$K$20,9)/30))</f>
        <v>2.7790793505317137</v>
      </c>
      <c r="BT181" s="173">
        <f ca="1">(VLOOKUP(BT$72,INDIRECT($C$5&amp;"生成成长"),2))/((VLOOKUP($B181,INDIRECT($B$5&amp;"生成成长"),4))/(VLOOKUP(BT$72,INDIRECT($C$5&amp;"生成成长"),5))*(VLOOKUP($B$5,标准坦克设计!$B$24:$U$30,MATCH("对"&amp;LEFT($C$5,2)&amp;"输出",标准坦克设计!$B$23:$U$23,0)))*(VLOOKUP($B181,INDIRECT($B$5&amp;"生成成长"),3))*(VLOOKUP($B$5,标准坦克设计!$B$14:$K$20,9)/30))</f>
        <v>3.0086612143006635</v>
      </c>
      <c r="BU181" s="173">
        <f ca="1">(VLOOKUP(BU$72,INDIRECT($C$5&amp;"生成成长"),2))/((VLOOKUP($B181,INDIRECT($B$5&amp;"生成成长"),4))/(VLOOKUP(BU$72,INDIRECT($C$5&amp;"生成成长"),5))*(VLOOKUP($B$5,标准坦克设计!$B$24:$U$30,MATCH("对"&amp;LEFT($C$5,2)&amp;"输出",标准坦克设计!$B$23:$U$23,0)))*(VLOOKUP($B181,INDIRECT($B$5&amp;"生成成长"),3))*(VLOOKUP($B$5,标准坦克设计!$B$14:$K$20,9)/30))</f>
        <v>3.2473534694890152</v>
      </c>
      <c r="BV181" s="173">
        <f ca="1">(VLOOKUP(BV$72,INDIRECT($C$5&amp;"生成成长"),2))/((VLOOKUP($B181,INDIRECT($B$5&amp;"生成成长"),4))/(VLOOKUP(BV$72,INDIRECT($C$5&amp;"生成成长"),5))*(VLOOKUP($B$5,标准坦克设计!$B$24:$U$30,MATCH("对"&amp;LEFT($C$5,2)&amp;"输出",标准坦克设计!$B$23:$U$23,0)))*(VLOOKUP($B181,INDIRECT($B$5&amp;"生成成长"),3))*(VLOOKUP($B$5,标准坦克设计!$B$14:$K$20,9)/30))</f>
        <v>3.4951561160967701</v>
      </c>
      <c r="BW181" s="173">
        <f ca="1">(VLOOKUP(BW$72,INDIRECT($C$5&amp;"生成成长"),2))/((VLOOKUP($B181,INDIRECT($B$5&amp;"生成成长"),4))/(VLOOKUP(BW$72,INDIRECT($C$5&amp;"生成成长"),5))*(VLOOKUP($B$5,标准坦克设计!$B$24:$U$30,MATCH("对"&amp;LEFT($C$5,2)&amp;"输出",标准坦克设计!$B$23:$U$23,0)))*(VLOOKUP($B181,INDIRECT($B$5&amp;"生成成长"),3))*(VLOOKUP($B$5,标准坦克设计!$B$14:$K$20,9)/30))</f>
        <v>1.5929063877254748</v>
      </c>
      <c r="BX181" s="173">
        <f ca="1">(VLOOKUP(BX$72,INDIRECT($C$5&amp;"生成成长"),2))/((VLOOKUP($B181,INDIRECT($B$5&amp;"生成成长"),4))/(VLOOKUP(BX$72,INDIRECT($C$5&amp;"生成成长"),5))*(VLOOKUP($B$5,标准坦克设计!$B$24:$U$30,MATCH("对"&amp;LEFT($C$5,2)&amp;"输出",标准坦克设计!$B$23:$U$23,0)))*(VLOOKUP($B181,INDIRECT($B$5&amp;"生成成长"),3))*(VLOOKUP($B$5,标准坦克设计!$B$14:$K$20,9)/30))</f>
        <v>1.7678259029780079</v>
      </c>
      <c r="BY181" s="173">
        <f ca="1">(VLOOKUP(BY$72,INDIRECT($C$5&amp;"生成成长"),2))/((VLOOKUP($B181,INDIRECT($B$5&amp;"生成成长"),4))/(VLOOKUP(BY$72,INDIRECT($C$5&amp;"生成成长"),5))*(VLOOKUP($B$5,标准坦克设计!$B$24:$U$30,MATCH("对"&amp;LEFT($C$5,2)&amp;"输出",标准坦克设计!$B$23:$U$23,0)))*(VLOOKUP($B181,INDIRECT($B$5&amp;"生成成长"),3))*(VLOOKUP($B$5,标准坦克设计!$B$14:$K$20,9)/30))</f>
        <v>1.9518558096499437</v>
      </c>
      <c r="BZ181" s="173">
        <f ca="1">(VLOOKUP(BZ$72,INDIRECT($C$5&amp;"生成成长"),2))/((VLOOKUP($B181,INDIRECT($B$5&amp;"生成成长"),4))/(VLOOKUP(BZ$72,INDIRECT($C$5&amp;"生成成长"),5))*(VLOOKUP($B$5,标准坦克设计!$B$24:$U$30,MATCH("对"&amp;LEFT($C$5,2)&amp;"输出",标准坦克设计!$B$23:$U$23,0)))*(VLOOKUP($B181,INDIRECT($B$5&amp;"生成成长"),3))*(VLOOKUP($B$5,标准坦克设计!$B$14:$K$20,9)/30))</f>
        <v>2.1449961077412816</v>
      </c>
      <c r="CA181" s="173">
        <f ca="1">(VLOOKUP(CA$72,INDIRECT($C$5&amp;"生成成长"),2))/((VLOOKUP($B181,INDIRECT($B$5&amp;"生成成长"),4))/(VLOOKUP(CA$72,INDIRECT($C$5&amp;"生成成长"),5))*(VLOOKUP($B$5,标准坦克设计!$B$24:$U$30,MATCH("对"&amp;LEFT($C$5,2)&amp;"输出",标准坦克设计!$B$23:$U$23,0)))*(VLOOKUP($B181,INDIRECT($B$5&amp;"生成成长"),3))*(VLOOKUP($B$5,标准坦克设计!$B$14:$K$20,9)/30))</f>
        <v>2.3472467972520232</v>
      </c>
      <c r="CB181" s="173">
        <f ca="1">(VLOOKUP(CB$72,INDIRECT($C$5&amp;"生成成长"),2))/((VLOOKUP($B181,INDIRECT($B$5&amp;"生成成长"),4))/(VLOOKUP(CB$72,INDIRECT($C$5&amp;"生成成长"),5))*(VLOOKUP($B$5,标准坦克设计!$B$24:$U$30,MATCH("对"&amp;LEFT($C$5,2)&amp;"输出",标准坦克设计!$B$23:$U$23,0)))*(VLOOKUP($B181,INDIRECT($B$5&amp;"生成成长"),3))*(VLOOKUP($B$5,标准坦克设计!$B$14:$K$20,9)/30))</f>
        <v>2.5586078781821664</v>
      </c>
      <c r="CC181" s="173">
        <f ca="1">(VLOOKUP(CC$72,INDIRECT($C$5&amp;"生成成长"),2))/((VLOOKUP($B181,INDIRECT($B$5&amp;"生成成长"),4))/(VLOOKUP(CC$72,INDIRECT($C$5&amp;"生成成长"),5))*(VLOOKUP($B$5,标准坦克设计!$B$24:$U$30,MATCH("对"&amp;LEFT($C$5,2)&amp;"输出",标准坦克设计!$B$23:$U$23,0)))*(VLOOKUP($B181,INDIRECT($B$5&amp;"生成成长"),3))*(VLOOKUP($B$5,标准坦克设计!$B$14:$K$20,9)/30))</f>
        <v>2.7790793505317137</v>
      </c>
      <c r="CD181" s="173">
        <f ca="1">(VLOOKUP(CD$72,INDIRECT($C$5&amp;"生成成长"),2))/((VLOOKUP($B181,INDIRECT($B$5&amp;"生成成长"),4))/(VLOOKUP(CD$72,INDIRECT($C$5&amp;"生成成长"),5))*(VLOOKUP($B$5,标准坦克设计!$B$24:$U$30,MATCH("对"&amp;LEFT($C$5,2)&amp;"输出",标准坦克设计!$B$23:$U$23,0)))*(VLOOKUP($B181,INDIRECT($B$5&amp;"生成成长"),3))*(VLOOKUP($B$5,标准坦克设计!$B$14:$K$20,9)/30))</f>
        <v>3.0086612143006635</v>
      </c>
      <c r="CE181" s="173">
        <f ca="1">(VLOOKUP(CE$72,INDIRECT($C$5&amp;"生成成长"),2))/((VLOOKUP($B181,INDIRECT($B$5&amp;"生成成长"),4))/(VLOOKUP(CE$72,INDIRECT($C$5&amp;"生成成长"),5))*(VLOOKUP($B$5,标准坦克设计!$B$24:$U$30,MATCH("对"&amp;LEFT($C$5,2)&amp;"输出",标准坦克设计!$B$23:$U$23,0)))*(VLOOKUP($B181,INDIRECT($B$5&amp;"生成成长"),3))*(VLOOKUP($B$5,标准坦克设计!$B$14:$K$20,9)/30))</f>
        <v>3.2473534694890152</v>
      </c>
      <c r="CF181" s="173">
        <f ca="1">(VLOOKUP(CF$72,INDIRECT($C$5&amp;"生成成长"),2))/((VLOOKUP($B181,INDIRECT($B$5&amp;"生成成长"),4))/(VLOOKUP(CF$72,INDIRECT($C$5&amp;"生成成长"),5))*(VLOOKUP($B$5,标准坦克设计!$B$24:$U$30,MATCH("对"&amp;LEFT($C$5,2)&amp;"输出",标准坦克设计!$B$23:$U$23,0)))*(VLOOKUP($B181,INDIRECT($B$5&amp;"生成成长"),3))*(VLOOKUP($B$5,标准坦克设计!$B$14:$K$20,9)/30))</f>
        <v>3.4951561160967701</v>
      </c>
      <c r="CG181" s="173">
        <f ca="1">(VLOOKUP(CG$72,INDIRECT($C$5&amp;"生成成长"),2))/((VLOOKUP($B181,INDIRECT($B$5&amp;"生成成长"),4))/(VLOOKUP(CG$72,INDIRECT($C$5&amp;"生成成长"),5))*(VLOOKUP($B$5,标准坦克设计!$B$24:$U$30,MATCH("对"&amp;LEFT($C$5,2)&amp;"输出",标准坦克设计!$B$23:$U$23,0)))*(VLOOKUP($B181,INDIRECT($B$5&amp;"生成成长"),3))*(VLOOKUP($B$5,标准坦克设计!$B$14:$K$20,9)/30))</f>
        <v>3.7520691541239284</v>
      </c>
      <c r="CH181" s="173">
        <f ca="1">(VLOOKUP(CH$72,INDIRECT($C$5&amp;"生成成长"),2))/((VLOOKUP($B181,INDIRECT($B$5&amp;"生成成长"),4))/(VLOOKUP(CH$72,INDIRECT($C$5&amp;"生成成长"),5))*(VLOOKUP($B$5,标准坦克设计!$B$24:$U$30,MATCH("对"&amp;LEFT($C$5,2)&amp;"输出",标准坦克设计!$B$23:$U$23,0)))*(VLOOKUP($B181,INDIRECT($B$5&amp;"生成成长"),3))*(VLOOKUP($B$5,标准坦克设计!$B$14:$K$20,9)/30))</f>
        <v>4.018092583570489</v>
      </c>
      <c r="CI181" s="173">
        <f ca="1">(VLOOKUP(CI$72,INDIRECT($C$5&amp;"生成成长"),2))/((VLOOKUP($B181,INDIRECT($B$5&amp;"生成成长"),4))/(VLOOKUP(CI$72,INDIRECT($C$5&amp;"生成成长"),5))*(VLOOKUP($B$5,标准坦克设计!$B$24:$U$30,MATCH("对"&amp;LEFT($C$5,2)&amp;"输出",标准坦克设计!$B$23:$U$23,0)))*(VLOOKUP($B181,INDIRECT($B$5&amp;"生成成长"),3))*(VLOOKUP($B$5,标准坦克设计!$B$14:$K$20,9)/30))</f>
        <v>4.321240858051115</v>
      </c>
      <c r="CJ181" s="173">
        <f ca="1">(VLOOKUP(CJ$72,INDIRECT($C$5&amp;"生成成长"),2))/((VLOOKUP($B181,INDIRECT($B$5&amp;"生成成长"),4))/(VLOOKUP(CJ$72,INDIRECT($C$5&amp;"生成成长"),5))*(VLOOKUP($B$5,标准坦克设计!$B$24:$U$30,MATCH("对"&amp;LEFT($C$5,2)&amp;"输出",标准坦克设计!$B$23:$U$23,0)))*(VLOOKUP($B181,INDIRECT($B$5&amp;"生成成长"),3))*(VLOOKUP($B$5,标准坦克设计!$B$14:$K$20,9)/30))</f>
        <v>4.6354127061492196</v>
      </c>
      <c r="CK181" s="173">
        <f ca="1">(VLOOKUP(CK$72,INDIRECT($C$5&amp;"生成成长"),2))/((VLOOKUP($B181,INDIRECT($B$5&amp;"生成成长"),4))/(VLOOKUP(CK$72,INDIRECT($C$5&amp;"生成成长"),5))*(VLOOKUP($B$5,标准坦克设计!$B$24:$U$30,MATCH("对"&amp;LEFT($C$5,2)&amp;"输出",标准坦克设计!$B$23:$U$23,0)))*(VLOOKUP($B181,INDIRECT($B$5&amp;"生成成长"),3))*(VLOOKUP($B$5,标准坦克设计!$B$14:$K$20,9)/30))</f>
        <v>4.9606081278648011</v>
      </c>
      <c r="CL181" s="173">
        <f ca="1">(VLOOKUP(CL$72,INDIRECT($C$5&amp;"生成成长"),2))/((VLOOKUP($B181,INDIRECT($B$5&amp;"生成成长"),4))/(VLOOKUP(CL$72,INDIRECT($C$5&amp;"生成成长"),5))*(VLOOKUP($B$5,标准坦克设计!$B$24:$U$30,MATCH("对"&amp;LEFT($C$5,2)&amp;"输出",标准坦克设计!$B$23:$U$23,0)))*(VLOOKUP($B181,INDIRECT($B$5&amp;"生成成长"),3))*(VLOOKUP($B$5,标准坦克设计!$B$14:$K$20,9)/30))</f>
        <v>5.2968271231978603</v>
      </c>
      <c r="CM181" s="173">
        <f ca="1">(VLOOKUP(CM$72,INDIRECT($C$5&amp;"生成成长"),2))/((VLOOKUP($B181,INDIRECT($B$5&amp;"生成成长"),4))/(VLOOKUP(CM$72,INDIRECT($C$5&amp;"生成成长"),5))*(VLOOKUP($B$5,标准坦克设计!$B$24:$U$30,MATCH("对"&amp;LEFT($C$5,2)&amp;"输出",标准坦克设计!$B$23:$U$23,0)))*(VLOOKUP($B181,INDIRECT($B$5&amp;"生成成长"),3))*(VLOOKUP($B$5,标准坦克设计!$B$14:$K$20,9)/30))</f>
        <v>5.6440696921483955</v>
      </c>
      <c r="CN181" s="173">
        <f ca="1">(VLOOKUP(CN$72,INDIRECT($C$5&amp;"生成成长"),2))/((VLOOKUP($B181,INDIRECT($B$5&amp;"生成成长"),4))/(VLOOKUP(CN$72,INDIRECT($C$5&amp;"生成成长"),5))*(VLOOKUP($B$5,标准坦克设计!$B$24:$U$30,MATCH("对"&amp;LEFT($C$5,2)&amp;"输出",标准坦克设计!$B$23:$U$23,0)))*(VLOOKUP($B181,INDIRECT($B$5&amp;"生成成长"),3))*(VLOOKUP($B$5,标准坦克设计!$B$14:$K$20,9)/30))</f>
        <v>6.0023358347164093</v>
      </c>
      <c r="CO181" s="173">
        <f ca="1">(VLOOKUP(CO$72,INDIRECT($C$5&amp;"生成成长"),2))/((VLOOKUP($B181,INDIRECT($B$5&amp;"生成成长"),4))/(VLOOKUP(CO$72,INDIRECT($C$5&amp;"生成成长"),5))*(VLOOKUP($B$5,标准坦克设计!$B$24:$U$30,MATCH("对"&amp;LEFT($C$5,2)&amp;"输出",标准坦克设计!$B$23:$U$23,0)))*(VLOOKUP($B181,INDIRECT($B$5&amp;"生成成长"),3))*(VLOOKUP($B$5,标准坦克设计!$B$14:$K$20,9)/30))</f>
        <v>2.6897975146215667</v>
      </c>
      <c r="CP181" s="173">
        <f ca="1">(VLOOKUP(CP$72,INDIRECT($C$5&amp;"生成成长"),2))/((VLOOKUP($B181,INDIRECT($B$5&amp;"生成成长"),4))/(VLOOKUP(CP$72,INDIRECT($C$5&amp;"生成成长"),5))*(VLOOKUP($B$5,标准坦克设计!$B$24:$U$30,MATCH("对"&amp;LEFT($C$5,2)&amp;"输出",标准坦克设计!$B$23:$U$23,0)))*(VLOOKUP($B181,INDIRECT($B$5&amp;"生成成长"),3))*(VLOOKUP($B$5,标准坦克设计!$B$14:$K$20,9)/30))</f>
        <v>2.9388300640709408</v>
      </c>
      <c r="CQ181" s="173">
        <f ca="1">(VLOOKUP(CQ$72,INDIRECT($C$5&amp;"生成成长"),2))/((VLOOKUP($B181,INDIRECT($B$5&amp;"生成成长"),4))/(VLOOKUP(CQ$72,INDIRECT($C$5&amp;"生成成长"),5))*(VLOOKUP($B$5,标准坦克设计!$B$24:$U$30,MATCH("对"&amp;LEFT($C$5,2)&amp;"输出",标准坦克设计!$B$23:$U$23,0)))*(VLOOKUP($B181,INDIRECT($B$5&amp;"生成成长"),3))*(VLOOKUP($B$5,标准坦克设计!$B$14:$K$20,9)/30))</f>
        <v>3.1988861871377923</v>
      </c>
      <c r="CR181" s="173">
        <f ca="1">(VLOOKUP(CR$72,INDIRECT($C$5&amp;"生成成长"),2))/((VLOOKUP($B181,INDIRECT($B$5&amp;"生成成长"),4))/(VLOOKUP(CR$72,INDIRECT($C$5&amp;"生成成长"),5))*(VLOOKUP($B$5,标准坦克设计!$B$24:$U$30,MATCH("对"&amp;LEFT($C$5,2)&amp;"输出",标准坦克设计!$B$23:$U$23,0)))*(VLOOKUP($B181,INDIRECT($B$5&amp;"生成成长"),3))*(VLOOKUP($B$5,标准坦克设计!$B$14:$K$20,9)/30))</f>
        <v>3.4699658838221215</v>
      </c>
      <c r="CS181" s="173">
        <f ca="1">(VLOOKUP(CS$72,INDIRECT($C$5&amp;"生成成长"),2))/((VLOOKUP($B181,INDIRECT($B$5&amp;"生成成长"),4))/(VLOOKUP(CS$72,INDIRECT($C$5&amp;"生成成长"),5))*(VLOOKUP($B$5,标准坦克设计!$B$24:$U$30,MATCH("对"&amp;LEFT($C$5,2)&amp;"输出",标准坦克设计!$B$23:$U$23,0)))*(VLOOKUP($B181,INDIRECT($B$5&amp;"生成成长"),3))*(VLOOKUP($B$5,标准坦克设计!$B$14:$K$20,9)/30))</f>
        <v>3.7520691541239284</v>
      </c>
      <c r="CT181" s="173">
        <f ca="1">(VLOOKUP(CT$72,INDIRECT($C$5&amp;"生成成长"),2))/((VLOOKUP($B181,INDIRECT($B$5&amp;"生成成长"),4))/(VLOOKUP(CT$72,INDIRECT($C$5&amp;"生成成长"),5))*(VLOOKUP($B$5,标准坦克设计!$B$24:$U$30,MATCH("对"&amp;LEFT($C$5,2)&amp;"输出",标准坦克设计!$B$23:$U$23,0)))*(VLOOKUP($B181,INDIRECT($B$5&amp;"生成成长"),3))*(VLOOKUP($B$5,标准坦克设计!$B$14:$K$20,9)/30))</f>
        <v>4.0451959980432122</v>
      </c>
      <c r="CU181" s="173">
        <f ca="1">(VLOOKUP(CU$72,INDIRECT($C$5&amp;"生成成长"),2))/((VLOOKUP($B181,INDIRECT($B$5&amp;"生成成长"),4))/(VLOOKUP(CU$72,INDIRECT($C$5&amp;"生成成长"),5))*(VLOOKUP($B$5,标准坦克设计!$B$24:$U$30,MATCH("对"&amp;LEFT($C$5,2)&amp;"输出",标准坦克设计!$B$23:$U$23,0)))*(VLOOKUP($B181,INDIRECT($B$5&amp;"生成成长"),3))*(VLOOKUP($B$5,标准坦克设计!$B$14:$K$20,9)/30))</f>
        <v>4.3493464155799728</v>
      </c>
      <c r="CV181" s="173">
        <f ca="1">(VLOOKUP(CV$72,INDIRECT($C$5&amp;"生成成长"),2))/((VLOOKUP($B181,INDIRECT($B$5&amp;"生成成长"),4))/(VLOOKUP(CV$72,INDIRECT($C$5&amp;"生成成长"),5))*(VLOOKUP($B$5,标准坦克设计!$B$24:$U$30,MATCH("对"&amp;LEFT($C$5,2)&amp;"输出",标准坦克设计!$B$23:$U$23,0)))*(VLOOKUP($B181,INDIRECT($B$5&amp;"生成成长"),3))*(VLOOKUP($B$5,标准坦克设计!$B$14:$K$20,9)/30))</f>
        <v>4.6645204067342112</v>
      </c>
      <c r="CW181" s="173">
        <f ca="1">(VLOOKUP(CW$72,INDIRECT($C$5&amp;"生成成长"),2))/((VLOOKUP($B181,INDIRECT($B$5&amp;"生成成长"),4))/(VLOOKUP(CW$72,INDIRECT($C$5&amp;"生成成长"),5))*(VLOOKUP($B$5,标准坦克设计!$B$24:$U$30,MATCH("对"&amp;LEFT($C$5,2)&amp;"输出",标准坦克设计!$B$23:$U$23,0)))*(VLOOKUP($B181,INDIRECT($B$5&amp;"生成成长"),3))*(VLOOKUP($B$5,标准坦克设计!$B$14:$K$20,9)/30))</f>
        <v>4.9907179715059264</v>
      </c>
      <c r="CX181" s="173">
        <f ca="1">(VLOOKUP(CX$72,INDIRECT($C$5&amp;"生成成长"),2))/((VLOOKUP($B181,INDIRECT($B$5&amp;"生成成长"),4))/(VLOOKUP(CX$72,INDIRECT($C$5&amp;"生成成长"),5))*(VLOOKUP($B$5,标准坦克设计!$B$24:$U$30,MATCH("对"&amp;LEFT($C$5,2)&amp;"输出",标准坦克设计!$B$23:$U$23,0)))*(VLOOKUP($B181,INDIRECT($B$5&amp;"生成成长"),3))*(VLOOKUP($B$5,标准坦克设计!$B$14:$K$20,9)/30))</f>
        <v>5.3279391098951194</v>
      </c>
      <c r="CY181" s="173">
        <f ca="1">(VLOOKUP(CY$72,INDIRECT($C$5&amp;"生成成长"),2))/((VLOOKUP($B181,INDIRECT($B$5&amp;"生成成长"),4))/(VLOOKUP(CY$72,INDIRECT($C$5&amp;"生成成长"),5))*(VLOOKUP($B$5,标准坦克设计!$B$24:$U$30,MATCH("对"&amp;LEFT($C$5,2)&amp;"输出",标准坦克设计!$B$23:$U$23,0)))*(VLOOKUP($B181,INDIRECT($B$5&amp;"生成成长"),3))*(VLOOKUP($B$5,标准坦克设计!$B$14:$K$20,9)/30))</f>
        <v>5.6761838219017893</v>
      </c>
      <c r="CZ181" s="173">
        <f ca="1">(VLOOKUP(CZ$72,INDIRECT($C$5&amp;"生成成长"),2))/((VLOOKUP($B181,INDIRECT($B$5&amp;"生成成长"),4))/(VLOOKUP(CZ$72,INDIRECT($C$5&amp;"生成成长"),5))*(VLOOKUP($B$5,标准坦克设计!$B$24:$U$30,MATCH("对"&amp;LEFT($C$5,2)&amp;"输出",标准坦克设计!$B$23:$U$23,0)))*(VLOOKUP($B181,INDIRECT($B$5&amp;"生成成长"),3))*(VLOOKUP($B$5,标准坦克设计!$B$14:$K$20,9)/30))</f>
        <v>6.0354521075259386</v>
      </c>
      <c r="DA181" s="173">
        <f ca="1">(VLOOKUP(DA$72,INDIRECT($C$5&amp;"生成成长"),2))/((VLOOKUP($B181,INDIRECT($B$5&amp;"生成成长"),4))/(VLOOKUP(DA$72,INDIRECT($C$5&amp;"生成成长"),5))*(VLOOKUP($B$5,标准坦克设计!$B$24:$U$30,MATCH("对"&amp;LEFT($C$5,2)&amp;"输出",标准坦克设计!$B$23:$U$23,0)))*(VLOOKUP($B181,INDIRECT($B$5&amp;"生成成长"),3))*(VLOOKUP($B$5,标准坦克设计!$B$14:$K$20,9)/30))</f>
        <v>6.4057439667675622</v>
      </c>
      <c r="DB181" s="173">
        <f ca="1">(VLOOKUP(DB$72,INDIRECT($C$5&amp;"生成成长"),2))/((VLOOKUP($B181,INDIRECT($B$5&amp;"生成成长"),4))/(VLOOKUP(DB$72,INDIRECT($C$5&amp;"生成成长"),5))*(VLOOKUP($B$5,标准坦克设计!$B$24:$U$30,MATCH("对"&amp;LEFT($C$5,2)&amp;"输出",标准坦克设计!$B$23:$U$23,0)))*(VLOOKUP($B181,INDIRECT($B$5&amp;"生成成长"),3))*(VLOOKUP($B$5,标准坦克设计!$B$14:$K$20,9)/30))</f>
        <v>6.7870593996266653</v>
      </c>
      <c r="DC181" s="173">
        <f ca="1">(VLOOKUP(DC$72,INDIRECT($C$5&amp;"生成成长"),2))/((VLOOKUP($B181,INDIRECT($B$5&amp;"生成成长"),4))/(VLOOKUP(DC$72,INDIRECT($C$5&amp;"生成成长"),5))*(VLOOKUP($B$5,标准坦克设计!$B$24:$U$30,MATCH("对"&amp;LEFT($C$5,2)&amp;"输出",标准坦克设计!$B$23:$U$23,0)))*(VLOOKUP($B181,INDIRECT($B$5&amp;"生成成长"),3))*(VLOOKUP($B$5,标准坦克设计!$B$14:$K$20,9)/30))</f>
        <v>7.2156122119953698</v>
      </c>
      <c r="DD181" s="173">
        <f ca="1">(VLOOKUP(DD$72,INDIRECT($C$5&amp;"生成成长"),2))/((VLOOKUP($B181,INDIRECT($B$5&amp;"生成成长"),4))/(VLOOKUP(DD$72,INDIRECT($C$5&amp;"生成成长"),5))*(VLOOKUP($B$5,标准坦克设计!$B$24:$U$30,MATCH("对"&amp;LEFT($C$5,2)&amp;"输出",标准坦克设计!$B$23:$U$23,0)))*(VLOOKUP($B181,INDIRECT($B$5&amp;"生成成长"),3))*(VLOOKUP($B$5,标准坦克设计!$B$14:$K$20,9)/30))</f>
        <v>7.6572839880080172</v>
      </c>
      <c r="DE181" s="173">
        <f ca="1">(VLOOKUP(DE$72,INDIRECT($C$5&amp;"生成成长"),2))/((VLOOKUP($B181,INDIRECT($B$5&amp;"生成成长"),4))/(VLOOKUP(DE$72,INDIRECT($C$5&amp;"生成成长"),5))*(VLOOKUP($B$5,标准坦克设计!$B$24:$U$30,MATCH("对"&amp;LEFT($C$5,2)&amp;"输出",标准坦克设计!$B$23:$U$23,0)))*(VLOOKUP($B181,INDIRECT($B$5&amp;"生成成长"),3))*(VLOOKUP($B$5,标准坦克设计!$B$14:$K$20,9)/30))</f>
        <v>8.1120747276646021</v>
      </c>
      <c r="DF181" s="173">
        <f ca="1">(VLOOKUP(DF$72,INDIRECT($C$5&amp;"生成成长"),2))/((VLOOKUP($B181,INDIRECT($B$5&amp;"生成成长"),4))/(VLOOKUP(DF$72,INDIRECT($C$5&amp;"生成成长"),5))*(VLOOKUP($B$5,标准坦克设计!$B$24:$U$30,MATCH("对"&amp;LEFT($C$5,2)&amp;"输出",标准坦克设计!$B$23:$U$23,0)))*(VLOOKUP($B181,INDIRECT($B$5&amp;"生成成长"),3))*(VLOOKUP($B$5,标准坦克设计!$B$14:$K$20,9)/30))</f>
        <v>8.5799844309651263</v>
      </c>
      <c r="DG181" s="173">
        <f ca="1">(VLOOKUP(DG$72,INDIRECT($C$5&amp;"生成成长"),2))/((VLOOKUP($B181,INDIRECT($B$5&amp;"生成成长"),4))/(VLOOKUP(DG$72,INDIRECT($C$5&amp;"生成成长"),5))*(VLOOKUP($B$5,标准坦克设计!$B$24:$U$30,MATCH("对"&amp;LEFT($C$5,2)&amp;"输出",标准坦克设计!$B$23:$U$23,0)))*(VLOOKUP($B181,INDIRECT($B$5&amp;"生成成长"),3))*(VLOOKUP($B$5,标准坦克设计!$B$14:$K$20,9)/30))</f>
        <v>9.0610130979095924</v>
      </c>
      <c r="DH181" s="173">
        <f ca="1">(VLOOKUP(DH$72,INDIRECT($C$5&amp;"生成成长"),2))/((VLOOKUP($B181,INDIRECT($B$5&amp;"生成成长"),4))/(VLOOKUP(DH$72,INDIRECT($C$5&amp;"生成成长"),5))*(VLOOKUP($B$5,标准坦克设计!$B$24:$U$30,MATCH("对"&amp;LEFT($C$5,2)&amp;"输出",标准坦克设计!$B$23:$U$23,0)))*(VLOOKUP($B181,INDIRECT($B$5&amp;"生成成长"),3))*(VLOOKUP($B$5,标准坦克设计!$B$14:$K$20,9)/30))</f>
        <v>9.5551607284979987</v>
      </c>
      <c r="DI181" s="173">
        <f ca="1">(VLOOKUP(DI$72,INDIRECT($C$5&amp;"生成成长"),2))/((VLOOKUP($B181,INDIRECT($B$5&amp;"生成成长"),4))/(VLOOKUP(DI$72,INDIRECT($C$5&amp;"生成成长"),5))*(VLOOKUP($B$5,标准坦克设计!$B$24:$U$30,MATCH("对"&amp;LEFT($C$5,2)&amp;"输出",标准坦克设计!$B$23:$U$23,0)))*(VLOOKUP($B181,INDIRECT($B$5&amp;"生成成长"),3))*(VLOOKUP($B$5,标准坦克设计!$B$14:$K$20,9)/30))</f>
        <v>10.062427322730343</v>
      </c>
      <c r="DJ181" s="173">
        <f ca="1">(VLOOKUP(DJ$72,INDIRECT($C$5&amp;"生成成长"),2))/((VLOOKUP($B181,INDIRECT($B$5&amp;"生成成长"),4))/(VLOOKUP(DJ$72,INDIRECT($C$5&amp;"生成成长"),5))*(VLOOKUP($B$5,标准坦克设计!$B$24:$U$30,MATCH("对"&amp;LEFT($C$5,2)&amp;"输出",标准坦克设计!$B$23:$U$23,0)))*(VLOOKUP($B181,INDIRECT($B$5&amp;"生成成长"),3))*(VLOOKUP($B$5,标准坦克设计!$B$14:$K$20,9)/30))</f>
        <v>1.011298999510803</v>
      </c>
      <c r="DK181" s="173">
        <f ca="1">(VLOOKUP(DK$72,INDIRECT($C$5&amp;"生成成长"),2))/((VLOOKUP($B181,INDIRECT($B$5&amp;"生成成长"),4))/(VLOOKUP(DK$72,INDIRECT($C$5&amp;"生成成长"),5))*(VLOOKUP($B$5,标准坦克设计!$B$24:$U$30,MATCH("对"&amp;LEFT($C$5,2)&amp;"输出",标准坦克设计!$B$23:$U$23,0)))*(VLOOKUP($B181,INDIRECT($B$5&amp;"生成成长"),3))*(VLOOKUP($B$5,标准坦克设计!$B$14:$K$20,9)/30))</f>
        <v>1.1371590569698522</v>
      </c>
      <c r="DL181" s="173">
        <f ca="1">(VLOOKUP(DL$72,INDIRECT($C$5&amp;"生成成长"),2))/((VLOOKUP($B181,INDIRECT($B$5&amp;"生成成长"),4))/(VLOOKUP(DL$72,INDIRECT($C$5&amp;"生成成长"),5))*(VLOOKUP($B$5,标准坦克设计!$B$24:$U$30,MATCH("对"&amp;LEFT($C$5,2)&amp;"输出",标准坦克设计!$B$23:$U$23,0)))*(VLOOKUP($B181,INDIRECT($B$5&amp;"生成成长"),3))*(VLOOKUP($B$5,标准坦克设计!$B$14:$K$20,9)/30))</f>
        <v>1.2703985314786173</v>
      </c>
      <c r="DM181" s="173">
        <f ca="1">(VLOOKUP(DM$72,INDIRECT($C$5&amp;"生成成长"),2))/((VLOOKUP($B181,INDIRECT($B$5&amp;"生成成长"),4))/(VLOOKUP(DM$72,INDIRECT($C$5&amp;"生成成长"),5))*(VLOOKUP($B$5,标准坦克设计!$B$24:$U$30,MATCH("对"&amp;LEFT($C$5,2)&amp;"输出",标准坦克设计!$B$23:$U$23,0)))*(VLOOKUP($B181,INDIRECT($B$5&amp;"生成成长"),3))*(VLOOKUP($B$5,标准坦克设计!$B$14:$K$20,9)/30))</f>
        <v>1.4110174230370989</v>
      </c>
      <c r="DN181" s="173">
        <f ca="1">(VLOOKUP(DN$72,INDIRECT($C$5&amp;"生成成长"),2))/((VLOOKUP($B181,INDIRECT($B$5&amp;"生成成长"),4))/(VLOOKUP(DN$72,INDIRECT($C$5&amp;"生成成长"),5))*(VLOOKUP($B$5,标准坦克设计!$B$24:$U$30,MATCH("对"&amp;LEFT($C$5,2)&amp;"输出",标准坦克设计!$B$23:$U$23,0)))*(VLOOKUP($B181,INDIRECT($B$5&amp;"生成成长"),3))*(VLOOKUP($B$5,标准坦克设计!$B$14:$K$20,9)/30))</f>
        <v>1.5590157316452966</v>
      </c>
      <c r="DO181" s="173">
        <f ca="1">(VLOOKUP(DO$72,INDIRECT($C$5&amp;"生成成长"),2))/((VLOOKUP($B181,INDIRECT($B$5&amp;"生成成长"),4))/(VLOOKUP(DO$72,INDIRECT($C$5&amp;"生成成长"),5))*(VLOOKUP($B$5,标准坦克设计!$B$24:$U$30,MATCH("对"&amp;LEFT($C$5,2)&amp;"输出",标准坦克设计!$B$23:$U$23,0)))*(VLOOKUP($B181,INDIRECT($B$5&amp;"生成成长"),3))*(VLOOKUP($B$5,标准坦克设计!$B$14:$K$20,9)/30))</f>
        <v>1.7143934573032107</v>
      </c>
      <c r="DP181" s="173">
        <f ca="1">(VLOOKUP(DP$72,INDIRECT($C$5&amp;"生成成长"),2))/((VLOOKUP($B181,INDIRECT($B$5&amp;"生成成长"),4))/(VLOOKUP(DP$72,INDIRECT($C$5&amp;"生成成长"),5))*(VLOOKUP($B$5,标准坦克设计!$B$24:$U$30,MATCH("对"&amp;LEFT($C$5,2)&amp;"输出",标准坦克设计!$B$23:$U$23,0)))*(VLOOKUP($B181,INDIRECT($B$5&amp;"生成成长"),3))*(VLOOKUP($B$5,标准坦克设计!$B$14:$K$20,9)/30))</f>
        <v>1.8771506000108407</v>
      </c>
      <c r="DQ181" s="173">
        <f ca="1">(VLOOKUP(DQ$72,INDIRECT($C$5&amp;"生成成长"),2))/((VLOOKUP($B181,INDIRECT($B$5&amp;"生成成长"),4))/(VLOOKUP(DQ$72,INDIRECT($C$5&amp;"生成成长"),5))*(VLOOKUP($B$5,标准坦克设计!$B$24:$U$30,MATCH("对"&amp;LEFT($C$5,2)&amp;"输出",标准坦克设计!$B$23:$U$23,0)))*(VLOOKUP($B181,INDIRECT($B$5&amp;"生成成长"),3))*(VLOOKUP($B$5,标准坦克设计!$B$14:$K$20,9)/30))</f>
        <v>2.0472871597681874</v>
      </c>
      <c r="DR181" s="173">
        <f ca="1">(VLOOKUP(DR$72,INDIRECT($C$5&amp;"生成成长"),2))/((VLOOKUP($B181,INDIRECT($B$5&amp;"生成成长"),4))/(VLOOKUP(DR$72,INDIRECT($C$5&amp;"生成成长"),5))*(VLOOKUP($B$5,标准坦克设计!$B$24:$U$30,MATCH("对"&amp;LEFT($C$5,2)&amp;"输出",标准坦克设计!$B$23:$U$23,0)))*(VLOOKUP($B181,INDIRECT($B$5&amp;"生成成长"),3))*(VLOOKUP($B$5,标准坦克设计!$B$14:$K$20,9)/30))</f>
        <v>2.2248031365752503</v>
      </c>
      <c r="DS181" s="173">
        <f ca="1">(VLOOKUP(DS$72,INDIRECT($C$5&amp;"生成成长"),2))/((VLOOKUP($B181,INDIRECT($B$5&amp;"生成成长"),4))/(VLOOKUP(DS$72,INDIRECT($C$5&amp;"生成成长"),5))*(VLOOKUP($B$5,标准坦克设计!$B$24:$U$30,MATCH("对"&amp;LEFT($C$5,2)&amp;"输出",标准坦克设计!$B$23:$U$23,0)))*(VLOOKUP($B181,INDIRECT($B$5&amp;"生成成长"),3))*(VLOOKUP($B$5,标准坦克设计!$B$14:$K$20,9)/30))</f>
        <v>2.4096985304320291</v>
      </c>
      <c r="DT181" s="173">
        <f ca="1">(VLOOKUP(DT$72,INDIRECT($C$5&amp;"生成成长"),2))/((VLOOKUP($B181,INDIRECT($B$5&amp;"生成成长"),4))/(VLOOKUP(DT$72,INDIRECT($C$5&amp;"生成成长"),5))*(VLOOKUP($B$5,标准坦克设计!$B$24:$U$30,MATCH("对"&amp;LEFT($C$5,2)&amp;"输出",标准坦克设计!$B$23:$U$23,0)))*(VLOOKUP($B181,INDIRECT($B$5&amp;"生成成长"),3))*(VLOOKUP($B$5,标准坦克设计!$B$14:$K$20,9)/30))</f>
        <v>2.645703220151657</v>
      </c>
      <c r="DU181" s="173">
        <f ca="1">(VLOOKUP(DU$72,INDIRECT($C$5&amp;"生成成长"),2))/((VLOOKUP($B181,INDIRECT($B$5&amp;"生成成长"),4))/(VLOOKUP(DU$72,INDIRECT($C$5&amp;"生成成长"),5))*(VLOOKUP($B$5,标准坦克设计!$B$24:$U$30,MATCH("对"&amp;LEFT($C$5,2)&amp;"输出",标准坦克设计!$B$23:$U$23,0)))*(VLOOKUP($B181,INDIRECT($B$5&amp;"生成成长"),3))*(VLOOKUP($B$5,标准坦克设计!$B$14:$K$20,9)/30))</f>
        <v>2.8927314834887632</v>
      </c>
      <c r="DV181" s="173">
        <f ca="1">(VLOOKUP(DV$72,INDIRECT($C$5&amp;"生成成长"),2))/((VLOOKUP($B181,INDIRECT($B$5&amp;"生成成长"),4))/(VLOOKUP(DV$72,INDIRECT($C$5&amp;"生成成长"),5))*(VLOOKUP($B$5,标准坦克设计!$B$24:$U$30,MATCH("对"&amp;LEFT($C$5,2)&amp;"输出",标准坦克设计!$B$23:$U$23,0)))*(VLOOKUP($B181,INDIRECT($B$5&amp;"生成成长"),3))*(VLOOKUP($B$5,标准坦克设计!$B$14:$K$20,9)/30))</f>
        <v>3.1507833204433457</v>
      </c>
      <c r="DW181" s="173">
        <f ca="1">(VLOOKUP(DW$72,INDIRECT($C$5&amp;"生成成长"),2))/((VLOOKUP($B181,INDIRECT($B$5&amp;"生成成长"),4))/(VLOOKUP(DW$72,INDIRECT($C$5&amp;"生成成长"),5))*(VLOOKUP($B$5,标准坦克设计!$B$24:$U$30,MATCH("对"&amp;LEFT($C$5,2)&amp;"输出",标准坦克设计!$B$23:$U$23,0)))*(VLOOKUP($B181,INDIRECT($B$5&amp;"生成成长"),3))*(VLOOKUP($B$5,标准坦克设计!$B$14:$K$20,9)/30))</f>
        <v>3.4198587310154065</v>
      </c>
      <c r="DX181" s="173">
        <f ca="1">(VLOOKUP(DX$72,INDIRECT($C$5&amp;"生成成长"),2))/((VLOOKUP($B181,INDIRECT($B$5&amp;"生成成长"),4))/(VLOOKUP(DX$72,INDIRECT($C$5&amp;"生成成长"),5))*(VLOOKUP($B$5,标准坦克设计!$B$24:$U$30,MATCH("对"&amp;LEFT($C$5,2)&amp;"输出",标准坦克设计!$B$23:$U$23,0)))*(VLOOKUP($B181,INDIRECT($B$5&amp;"生成成长"),3))*(VLOOKUP($B$5,标准坦克设计!$B$14:$K$20,9)/30))</f>
        <v>3.6999577152049445</v>
      </c>
      <c r="DY181" s="173">
        <f ca="1">(VLOOKUP(DY$72,INDIRECT($C$5&amp;"生成成长"),2))/((VLOOKUP($B181,INDIRECT($B$5&amp;"生成成长"),4))/(VLOOKUP(DY$72,INDIRECT($C$5&amp;"生成成长"),5))*(VLOOKUP($B$5,标准坦克设计!$B$24:$U$30,MATCH("对"&amp;LEFT($C$5,2)&amp;"输出",标准坦克设计!$B$23:$U$23,0)))*(VLOOKUP($B181,INDIRECT($B$5&amp;"生成成长"),3))*(VLOOKUP($B$5,标准坦克设计!$B$14:$K$20,9)/30))</f>
        <v>1.6617809468561597</v>
      </c>
      <c r="DZ181" s="173">
        <f ca="1">(VLOOKUP(DZ$72,INDIRECT($C$5&amp;"生成成长"),2))/((VLOOKUP($B181,INDIRECT($B$5&amp;"生成成长"),4))/(VLOOKUP(DZ$72,INDIRECT($C$5&amp;"生成成长"),5))*(VLOOKUP($B$5,标准坦克设计!$B$24:$U$30,MATCH("对"&amp;LEFT($C$5,2)&amp;"输出",标准坦克设计!$B$23:$U$23,0)))*(VLOOKUP($B181,INDIRECT($B$5&amp;"生成成长"),3))*(VLOOKUP($B$5,标准坦克设计!$B$14:$K$20,9)/30))</f>
        <v>1.8403446186764536</v>
      </c>
      <c r="EA181" s="173">
        <f ca="1">(VLOOKUP(EA$72,INDIRECT($C$5&amp;"生成成长"),2))/((VLOOKUP($B181,INDIRECT($B$5&amp;"生成成长"),4))/(VLOOKUP(EA$72,INDIRECT($C$5&amp;"生成成长"),5))*(VLOOKUP($B$5,标准坦克设计!$B$24:$U$30,MATCH("对"&amp;LEFT($C$5,2)&amp;"输出",标准坦克设计!$B$23:$U$23,0)))*(VLOOKUP($B181,INDIRECT($B$5&amp;"生成成长"),3))*(VLOOKUP($B$5,标准坦克设计!$B$14:$K$20,9)/30))</f>
        <v>2.0280186819161505</v>
      </c>
      <c r="EB181" s="173">
        <f ca="1">(VLOOKUP(EB$72,INDIRECT($C$5&amp;"生成成长"),2))/((VLOOKUP($B181,INDIRECT($B$5&amp;"生成成长"),4))/(VLOOKUP(EB$72,INDIRECT($C$5&amp;"生成成长"),5))*(VLOOKUP($B$5,标准坦克设计!$B$24:$U$30,MATCH("对"&amp;LEFT($C$5,2)&amp;"输出",标准坦克设计!$B$23:$U$23,0)))*(VLOOKUP($B181,INDIRECT($B$5&amp;"生成成长"),3))*(VLOOKUP($B$5,标准坦克设计!$B$14:$K$20,9)/30))</f>
        <v>2.2248031365752503</v>
      </c>
      <c r="EC181" s="173">
        <f ca="1">(VLOOKUP(EC$72,INDIRECT($C$5&amp;"生成成长"),2))/((VLOOKUP($B181,INDIRECT($B$5&amp;"生成成长"),4))/(VLOOKUP(EC$72,INDIRECT($C$5&amp;"生成成长"),5))*(VLOOKUP($B$5,标准坦克设计!$B$24:$U$30,MATCH("对"&amp;LEFT($C$5,2)&amp;"输出",标准坦克设计!$B$23:$U$23,0)))*(VLOOKUP($B181,INDIRECT($B$5&amp;"生成成长"),3))*(VLOOKUP($B$5,标准坦克设计!$B$14:$K$20,9)/30))</f>
        <v>2.4306979826537525</v>
      </c>
      <c r="ED181" s="173">
        <f ca="1">(VLOOKUP(ED$72,INDIRECT($C$5&amp;"生成成长"),2))/((VLOOKUP($B181,INDIRECT($B$5&amp;"生成成长"),4))/(VLOOKUP(ED$72,INDIRECT($C$5&amp;"生成成长"),5))*(VLOOKUP($B$5,标准坦克设计!$B$24:$U$30,MATCH("对"&amp;LEFT($C$5,2)&amp;"输出",标准坦克设计!$B$23:$U$23,0)))*(VLOOKUP($B181,INDIRECT($B$5&amp;"生成成长"),3))*(VLOOKUP($B$5,标准坦克设计!$B$14:$K$20,9)/30))</f>
        <v>2.645703220151657</v>
      </c>
      <c r="EE181" s="173">
        <f ca="1">(VLOOKUP(EE$72,INDIRECT($C$5&amp;"生成成长"),2))/((VLOOKUP($B181,INDIRECT($B$5&amp;"生成成长"),4))/(VLOOKUP(EE$72,INDIRECT($C$5&amp;"生成成长"),5))*(VLOOKUP($B$5,标准坦克设计!$B$24:$U$30,MATCH("对"&amp;LEFT($C$5,2)&amp;"输出",标准坦克设计!$B$23:$U$23,0)))*(VLOOKUP($B181,INDIRECT($B$5&amp;"生成成长"),3))*(VLOOKUP($B$5,标准坦克设计!$B$14:$K$20,9)/30))</f>
        <v>2.8698188490689653</v>
      </c>
      <c r="EF181" s="173">
        <f ca="1">(VLOOKUP(EF$72,INDIRECT($C$5&amp;"生成成长"),2))/((VLOOKUP($B181,INDIRECT($B$5&amp;"生成成长"),4))/(VLOOKUP(EF$72,INDIRECT($C$5&amp;"生成成长"),5))*(VLOOKUP($B$5,标准坦克设计!$B$24:$U$30,MATCH("对"&amp;LEFT($C$5,2)&amp;"输出",标准坦克设计!$B$23:$U$23,0)))*(VLOOKUP($B181,INDIRECT($B$5&amp;"生成成长"),3))*(VLOOKUP($B$5,标准坦克设计!$B$14:$K$20,9)/30))</f>
        <v>3.103044869405676</v>
      </c>
      <c r="EG181" s="173">
        <f ca="1">(VLOOKUP(EG$72,INDIRECT($C$5&amp;"生成成长"),2))/((VLOOKUP($B181,INDIRECT($B$5&amp;"生成成长"),4))/(VLOOKUP(EG$72,INDIRECT($C$5&amp;"生成成长"),5))*(VLOOKUP($B$5,标准坦克设计!$B$24:$U$30,MATCH("对"&amp;LEFT($C$5,2)&amp;"输出",标准坦克设计!$B$23:$U$23,0)))*(VLOOKUP($B181,INDIRECT($B$5&amp;"生成成长"),3))*(VLOOKUP($B$5,标准坦克设计!$B$14:$K$20,9)/30))</f>
        <v>3.3453812811617887</v>
      </c>
      <c r="EH181" s="173">
        <f ca="1">(VLOOKUP(EH$72,INDIRECT($C$5&amp;"生成成长"),2))/((VLOOKUP($B181,INDIRECT($B$5&amp;"生成成长"),4))/(VLOOKUP(EH$72,INDIRECT($C$5&amp;"生成成长"),5))*(VLOOKUP($B$5,标准坦克设计!$B$24:$U$30,MATCH("对"&amp;LEFT($C$5,2)&amp;"输出",标准坦克设计!$B$23:$U$23,0)))*(VLOOKUP($B181,INDIRECT($B$5&amp;"生成成长"),3))*(VLOOKUP($B$5,标准坦克设计!$B$14:$K$20,9)/30))</f>
        <v>3.5968280843373055</v>
      </c>
      <c r="EI181" s="173">
        <f ca="1">(VLOOKUP(EI$72,INDIRECT($C$5&amp;"生成成长"),2))/((VLOOKUP($B181,INDIRECT($B$5&amp;"生成成长"),4))/(VLOOKUP(EI$72,INDIRECT($C$5&amp;"生成成长"),5))*(VLOOKUP($B$5,标准坦克设计!$B$24:$U$30,MATCH("对"&amp;LEFT($C$5,2)&amp;"输出",标准坦克设计!$B$23:$U$23,0)))*(VLOOKUP($B181,INDIRECT($B$5&amp;"生成成长"),3))*(VLOOKUP($B$5,标准坦克设计!$B$14:$K$20,9)/30))</f>
        <v>3.8573852789322229</v>
      </c>
      <c r="EJ181" s="173">
        <f ca="1">(VLOOKUP(EJ$72,INDIRECT($C$5&amp;"生成成长"),2))/((VLOOKUP($B181,INDIRECT($B$5&amp;"生成成长"),4))/(VLOOKUP(EJ$72,INDIRECT($C$5&amp;"生成成长"),5))*(VLOOKUP($B$5,标准坦克设计!$B$24:$U$30,MATCH("对"&amp;LEFT($C$5,2)&amp;"输出",标准坦克设计!$B$23:$U$23,0)))*(VLOOKUP($B181,INDIRECT($B$5&amp;"生成成长"),3))*(VLOOKUP($B$5,标准坦克设计!$B$14:$K$20,9)/30))</f>
        <v>4.1270528649465463</v>
      </c>
      <c r="EK181" s="173">
        <f ca="1">(VLOOKUP(EK$72,INDIRECT($C$5&amp;"生成成长"),2))/((VLOOKUP($B181,INDIRECT($B$5&amp;"生成成长"),4))/(VLOOKUP(EK$72,INDIRECT($C$5&amp;"生成成长"),5))*(VLOOKUP($B$5,标准坦克设计!$B$24:$U$30,MATCH("对"&amp;LEFT($C$5,2)&amp;"输出",标准坦克设计!$B$23:$U$23,0)))*(VLOOKUP($B181,INDIRECT($B$5&amp;"生成成长"),3))*(VLOOKUP($B$5,标准坦克设计!$B$14:$K$20,9)/30))</f>
        <v>4.4626796848373429</v>
      </c>
      <c r="EL181" s="173">
        <f ca="1">(VLOOKUP(EL$72,INDIRECT($C$5&amp;"生成成长"),2))/((VLOOKUP($B181,INDIRECT($B$5&amp;"生成成长"),4))/(VLOOKUP(EL$72,INDIRECT($C$5&amp;"生成成长"),5))*(VLOOKUP($B$5,标准坦克设计!$B$24:$U$30,MATCH("对"&amp;LEFT($C$5,2)&amp;"输出",标准坦克设计!$B$23:$U$23,0)))*(VLOOKUP($B181,INDIRECT($B$5&amp;"生成成长"),3))*(VLOOKUP($B$5,标准坦克设计!$B$14:$K$20,9)/30))</f>
        <v>4.8114254683720805</v>
      </c>
      <c r="EM181" s="173">
        <f ca="1">(VLOOKUP(EM$72,INDIRECT($C$5&amp;"生成成长"),2))/((VLOOKUP($B181,INDIRECT($B$5&amp;"生成成长"),4))/(VLOOKUP(EM$72,INDIRECT($C$5&amp;"生成成长"),5))*(VLOOKUP($B$5,标准坦克设计!$B$24:$U$30,MATCH("对"&amp;LEFT($C$5,2)&amp;"输出",标准坦克设计!$B$23:$U$23,0)))*(VLOOKUP($B181,INDIRECT($B$5&amp;"生成成长"),3))*(VLOOKUP($B$5,标准坦克设计!$B$14:$K$20,9)/30))</f>
        <v>5.1732902155507574</v>
      </c>
      <c r="EN181" s="173">
        <f ca="1">(VLOOKUP(EN$72,INDIRECT($C$5&amp;"生成成长"),2))/((VLOOKUP($B181,INDIRECT($B$5&amp;"生成成长"),4))/(VLOOKUP(EN$72,INDIRECT($C$5&amp;"生成成长"),5))*(VLOOKUP($B$5,标准坦克设计!$B$24:$U$30,MATCH("对"&amp;LEFT($C$5,2)&amp;"输出",标准坦克设计!$B$23:$U$23,0)))*(VLOOKUP($B181,INDIRECT($B$5&amp;"生成成长"),3))*(VLOOKUP($B$5,标准坦克设计!$B$14:$K$20,9)/30))</f>
        <v>5.5482739263733745</v>
      </c>
      <c r="EO181" s="173">
        <f ca="1">(VLOOKUP(EO$72,INDIRECT($C$5&amp;"生成成长"),2))/((VLOOKUP($B181,INDIRECT($B$5&amp;"生成成长"),4))/(VLOOKUP(EO$72,INDIRECT($C$5&amp;"生成成长"),5))*(VLOOKUP($B$5,标准坦克设计!$B$24:$U$30,MATCH("对"&amp;LEFT($C$5,2)&amp;"输出",标准坦克设计!$B$23:$U$23,0)))*(VLOOKUP($B181,INDIRECT($B$5&amp;"生成成长"),3))*(VLOOKUP($B$5,标准坦克设计!$B$14:$K$20,9)/30))</f>
        <v>5.9363766008399335</v>
      </c>
      <c r="EP181" s="173">
        <f ca="1">(VLOOKUP(EP$72,INDIRECT($C$5&amp;"生成成长"),2))/((VLOOKUP($B181,INDIRECT($B$5&amp;"生成成长"),4))/(VLOOKUP(EP$72,INDIRECT($C$5&amp;"生成成长"),5))*(VLOOKUP($B$5,标准坦克设计!$B$24:$U$30,MATCH("对"&amp;LEFT($C$5,2)&amp;"输出",标准坦克设计!$B$23:$U$23,0)))*(VLOOKUP($B181,INDIRECT($B$5&amp;"生成成长"),3))*(VLOOKUP($B$5,标准坦克设计!$B$14:$K$20,9)/30))</f>
        <v>6.3375982389504308</v>
      </c>
      <c r="EQ181" s="173">
        <f ca="1">(VLOOKUP(EQ$72,INDIRECT($C$5&amp;"生成成长"),2))/((VLOOKUP($B181,INDIRECT($B$5&amp;"生成成长"),4))/(VLOOKUP(EQ$72,INDIRECT($C$5&amp;"生成成长"),5))*(VLOOKUP($B$5,标准坦克设计!$B$24:$U$30,MATCH("对"&amp;LEFT($C$5,2)&amp;"输出",标准坦克设计!$B$23:$U$23,0)))*(VLOOKUP($B181,INDIRECT($B$5&amp;"生成成长"),3))*(VLOOKUP($B$5,标准坦克设计!$B$14:$K$20,9)/30))</f>
        <v>2.8016275692947352</v>
      </c>
      <c r="ER181" s="173">
        <f ca="1">(VLOOKUP(ER$72,INDIRECT($C$5&amp;"生成成长"),2))/((VLOOKUP($B181,INDIRECT($B$5&amp;"生成成长"),4))/(VLOOKUP(ER$72,INDIRECT($C$5&amp;"生成成长"),5))*(VLOOKUP($B$5,标准坦克设计!$B$24:$U$30,MATCH("对"&amp;LEFT($C$5,2)&amp;"输出",标准坦克设计!$B$23:$U$23,0)))*(VLOOKUP($B181,INDIRECT($B$5&amp;"生成成长"),3))*(VLOOKUP($B$5,标准坦克设计!$B$14:$K$20,9)/30))</f>
        <v>3.0556708340247822</v>
      </c>
      <c r="ES181" s="173">
        <f ca="1">(VLOOKUP(ES$72,INDIRECT($C$5&amp;"生成成长"),2))/((VLOOKUP($B181,INDIRECT($B$5&amp;"生成成长"),4))/(VLOOKUP(ES$72,INDIRECT($C$5&amp;"生成成长"),5))*(VLOOKUP($B$5,标准坦克设计!$B$24:$U$30,MATCH("对"&amp;LEFT($C$5,2)&amp;"输出",标准坦克设计!$B$23:$U$23,0)))*(VLOOKUP($B181,INDIRECT($B$5&amp;"生成成长"),3))*(VLOOKUP($B$5,标准坦克设计!$B$14:$K$20,9)/30))</f>
        <v>3.3207376723723048</v>
      </c>
      <c r="ET181" s="173">
        <f ca="1">(VLOOKUP(ET$72,INDIRECT($C$5&amp;"生成成长"),2))/((VLOOKUP($B181,INDIRECT($B$5&amp;"生成成长"),4))/(VLOOKUP(ET$72,INDIRECT($C$5&amp;"生成成长"),5))*(VLOOKUP($B$5,标准坦克设计!$B$24:$U$30,MATCH("对"&amp;LEFT($C$5,2)&amp;"输出",标准坦克设计!$B$23:$U$23,0)))*(VLOOKUP($B181,INDIRECT($B$5&amp;"生成成长"),3))*(VLOOKUP($B$5,标准坦克设计!$B$14:$K$20,9)/30))</f>
        <v>3.5968280843373055</v>
      </c>
      <c r="EU181" s="173">
        <f ca="1">(VLOOKUP(EU$72,INDIRECT($C$5&amp;"生成成长"),2))/((VLOOKUP($B181,INDIRECT($B$5&amp;"生成成长"),4))/(VLOOKUP(EU$72,INDIRECT($C$5&amp;"生成成长"),5))*(VLOOKUP($B$5,标准坦克设计!$B$24:$U$30,MATCH("对"&amp;LEFT($C$5,2)&amp;"输出",标准坦克设计!$B$23:$U$23,0)))*(VLOOKUP($B181,INDIRECT($B$5&amp;"生成成长"),3))*(VLOOKUP($B$5,标准坦克设计!$B$14:$K$20,9)/30))</f>
        <v>3.8839420699197822</v>
      </c>
      <c r="EV181" s="173">
        <f ca="1">(VLOOKUP(EV$72,INDIRECT($C$5&amp;"生成成长"),2))/((VLOOKUP($B181,INDIRECT($B$5&amp;"生成成长"),4))/(VLOOKUP(EV$72,INDIRECT($C$5&amp;"生成成长"),5))*(VLOOKUP($B$5,标准坦克设计!$B$24:$U$30,MATCH("对"&amp;LEFT($C$5,2)&amp;"输出",标准坦克设计!$B$23:$U$23,0)))*(VLOOKUP($B181,INDIRECT($B$5&amp;"生成成长"),3))*(VLOOKUP($B$5,标准坦克设计!$B$14:$K$20,9)/30))</f>
        <v>4.1820796291197384</v>
      </c>
      <c r="EW181" s="173">
        <f ca="1">(VLOOKUP(EW$72,INDIRECT($C$5&amp;"生成成长"),2))/((VLOOKUP($B181,INDIRECT($B$5&amp;"生成成长"),4))/(VLOOKUP(EW$72,INDIRECT($C$5&amp;"生成成长"),5))*(VLOOKUP($B$5,标准坦克设计!$B$24:$U$30,MATCH("对"&amp;LEFT($C$5,2)&amp;"输出",标准坦克设计!$B$23:$U$23,0)))*(VLOOKUP($B181,INDIRECT($B$5&amp;"生成成长"),3))*(VLOOKUP($B$5,标准坦克设计!$B$14:$K$20,9)/30))</f>
        <v>4.4912407619371706</v>
      </c>
      <c r="EX181" s="173">
        <f ca="1">(VLOOKUP(EX$72,INDIRECT($C$5&amp;"生成成长"),2))/((VLOOKUP($B181,INDIRECT($B$5&amp;"生成成长"),4))/(VLOOKUP(EX$72,INDIRECT($C$5&amp;"生成成长"),5))*(VLOOKUP($B$5,标准坦克设计!$B$24:$U$30,MATCH("对"&amp;LEFT($C$5,2)&amp;"输出",标准坦克设计!$B$23:$U$23,0)))*(VLOOKUP($B181,INDIRECT($B$5&amp;"生成成长"),3))*(VLOOKUP($B$5,标准坦克设计!$B$14:$K$20,9)/30))</f>
        <v>4.8114254683720805</v>
      </c>
      <c r="EY181" s="173">
        <f ca="1">(VLOOKUP(EY$72,INDIRECT($C$5&amp;"生成成长"),2))/((VLOOKUP($B181,INDIRECT($B$5&amp;"生成成长"),4))/(VLOOKUP(EY$72,INDIRECT($C$5&amp;"生成成长"),5))*(VLOOKUP($B$5,标准坦克设计!$B$24:$U$30,MATCH("对"&amp;LEFT($C$5,2)&amp;"输出",标准坦克设计!$B$23:$U$23,0)))*(VLOOKUP($B181,INDIRECT($B$5&amp;"生成成长"),3))*(VLOOKUP($B$5,标准坦克设计!$B$14:$K$20,9)/30))</f>
        <v>5.1426337484244682</v>
      </c>
      <c r="EZ181" s="173">
        <f ca="1">(VLOOKUP(EZ$72,INDIRECT($C$5&amp;"生成成长"),2))/((VLOOKUP($B181,INDIRECT($B$5&amp;"生成成长"),4))/(VLOOKUP(EZ$72,INDIRECT($C$5&amp;"生成成长"),5))*(VLOOKUP($B$5,标准坦克设计!$B$24:$U$30,MATCH("对"&amp;LEFT($C$5,2)&amp;"输出",标准坦克设计!$B$23:$U$23,0)))*(VLOOKUP($B181,INDIRECT($B$5&amp;"生成成长"),3))*(VLOOKUP($B$5,标准坦克设计!$B$14:$K$20,9)/30))</f>
        <v>5.4848656020943327</v>
      </c>
      <c r="FA181" s="173">
        <f ca="1">(VLOOKUP(FA$72,INDIRECT($C$5&amp;"生成成长"),2))/((VLOOKUP($B181,INDIRECT($B$5&amp;"生成成长"),4))/(VLOOKUP(FA$72,INDIRECT($C$5&amp;"生成成长"),5))*(VLOOKUP($B$5,标准坦克设计!$B$24:$U$30,MATCH("对"&amp;LEFT($C$5,2)&amp;"输出",标准坦克设计!$B$23:$U$23,0)))*(VLOOKUP($B181,INDIRECT($B$5&amp;"生成成长"),3))*(VLOOKUP($B$5,标准坦克设计!$B$14:$K$20,9)/30))</f>
        <v>5.8381210293816741</v>
      </c>
      <c r="FB181" s="173">
        <f ca="1">(VLOOKUP(FB$72,INDIRECT($C$5&amp;"生成成长"),2))/((VLOOKUP($B181,INDIRECT($B$5&amp;"生成成长"),4))/(VLOOKUP(FB$72,INDIRECT($C$5&amp;"生成成长"),5))*(VLOOKUP($B$5,标准坦克设计!$B$24:$U$30,MATCH("对"&amp;LEFT($C$5,2)&amp;"输出",标准坦克设计!$B$23:$U$23,0)))*(VLOOKUP($B181,INDIRECT($B$5&amp;"生成成长"),3))*(VLOOKUP($B$5,标准坦克设计!$B$14:$K$20,9)/30))</f>
        <v>6.2024000302864932</v>
      </c>
      <c r="FC181" s="173">
        <f ca="1">(VLOOKUP(FC$72,INDIRECT($C$5&amp;"生成成长"),2))/((VLOOKUP($B181,INDIRECT($B$5&amp;"生成成长"),4))/(VLOOKUP(FC$72,INDIRECT($C$5&amp;"生成成长"),5))*(VLOOKUP($B$5,标准坦克设计!$B$24:$U$30,MATCH("对"&amp;LEFT($C$5,2)&amp;"输出",标准坦克设计!$B$23:$U$23,0)))*(VLOOKUP($B181,INDIRECT($B$5&amp;"生成成长"),3))*(VLOOKUP($B$5,标准坦克设计!$B$14:$K$20,9)/30))</f>
        <v>6.5777026048087892</v>
      </c>
      <c r="FD181" s="173">
        <f ca="1">(VLOOKUP(FD$72,INDIRECT($C$5&amp;"生成成长"),2))/((VLOOKUP($B181,INDIRECT($B$5&amp;"生成成长"),4))/(VLOOKUP(FD$72,INDIRECT($C$5&amp;"生成成长"),5))*(VLOOKUP($B$5,标准坦克设计!$B$24:$U$30,MATCH("对"&amp;LEFT($C$5,2)&amp;"输出",标准坦克设计!$B$23:$U$23,0)))*(VLOOKUP($B181,INDIRECT($B$5&amp;"生成成长"),3))*(VLOOKUP($B$5,标准坦克设计!$B$14:$K$20,9)/30))</f>
        <v>6.9640287529485638</v>
      </c>
      <c r="FE181" s="173">
        <f ca="1">(VLOOKUP(FE$72,INDIRECT($C$5&amp;"生成成长"),2))/((VLOOKUP($B181,INDIRECT($B$5&amp;"生成成长"),4))/(VLOOKUP(FE$72,INDIRECT($C$5&amp;"生成成长"),5))*(VLOOKUP($B$5,标准坦克设计!$B$24:$U$30,MATCH("对"&amp;LEFT($C$5,2)&amp;"输出",标准坦克设计!$B$23:$U$23,0)))*(VLOOKUP($B181,INDIRECT($B$5&amp;"生成成长"),3))*(VLOOKUP($B$5,标准坦克设计!$B$14:$K$20,9)/30))</f>
        <v>7.434808229546201</v>
      </c>
      <c r="FF181" s="173">
        <f ca="1">(VLOOKUP(FF$72,INDIRECT($C$5&amp;"生成成长"),2))/((VLOOKUP($B181,INDIRECT($B$5&amp;"生成成长"),4))/(VLOOKUP(FF$72,INDIRECT($C$5&amp;"生成成长"),5))*(VLOOKUP($B$5,标准坦克设计!$B$24:$U$30,MATCH("对"&amp;LEFT($C$5,2)&amp;"输出",标准坦克设计!$B$23:$U$23,0)))*(VLOOKUP($B181,INDIRECT($B$5&amp;"生成成长"),3))*(VLOOKUP($B$5,标准坦克设计!$B$14:$K$20,9)/30))</f>
        <v>7.9209842676426305</v>
      </c>
      <c r="FG181" s="173">
        <f ca="1">(VLOOKUP(FG$72,INDIRECT($C$5&amp;"生成成长"),2))/((VLOOKUP($B181,INDIRECT($B$5&amp;"生成成长"),4))/(VLOOKUP(FG$72,INDIRECT($C$5&amp;"生成成长"),5))*(VLOOKUP($B$5,标准坦克设计!$B$24:$U$30,MATCH("对"&amp;LEFT($C$5,2)&amp;"输出",标准坦克设计!$B$23:$U$23,0)))*(VLOOKUP($B181,INDIRECT($B$5&amp;"生成成长"),3))*(VLOOKUP($B$5,标准坦克设计!$B$14:$K$20,9)/30))</f>
        <v>8.4225568672378479</v>
      </c>
      <c r="FH181" s="173">
        <f ca="1">(VLOOKUP(FH$72,INDIRECT($C$5&amp;"生成成长"),2))/((VLOOKUP($B181,INDIRECT($B$5&amp;"生成成长"),4))/(VLOOKUP(FH$72,INDIRECT($C$5&amp;"生成成长"),5))*(VLOOKUP($B$5,标准坦克设计!$B$24:$U$30,MATCH("对"&amp;LEFT($C$5,2)&amp;"输出",标准坦克设计!$B$23:$U$23,0)))*(VLOOKUP($B181,INDIRECT($B$5&amp;"生成成长"),3))*(VLOOKUP($B$5,标准坦克设计!$B$14:$K$20,9)/30))</f>
        <v>8.9395260283318603</v>
      </c>
      <c r="FI181" s="173">
        <f ca="1">(VLOOKUP(FI$72,INDIRECT($C$5&amp;"生成成长"),2))/((VLOOKUP($B181,INDIRECT($B$5&amp;"生成成长"),4))/(VLOOKUP(FI$72,INDIRECT($C$5&amp;"生成成长"),5))*(VLOOKUP($B$5,标准坦克设计!$B$24:$U$30,MATCH("对"&amp;LEFT($C$5,2)&amp;"输出",标准坦克设计!$B$23:$U$23,0)))*(VLOOKUP($B181,INDIRECT($B$5&amp;"生成成长"),3))*(VLOOKUP($B$5,标准坦克设计!$B$14:$K$20,9)/30))</f>
        <v>9.471891750924657</v>
      </c>
      <c r="FJ181" s="173">
        <f ca="1">(VLOOKUP(FJ$72,INDIRECT($C$5&amp;"生成成长"),2))/((VLOOKUP($B181,INDIRECT($B$5&amp;"生成成长"),4))/(VLOOKUP(FJ$72,INDIRECT($C$5&amp;"生成成长"),5))*(VLOOKUP($B$5,标准坦克设计!$B$24:$U$30,MATCH("对"&amp;LEFT($C$5,2)&amp;"输出",标准坦克设计!$B$23:$U$23,0)))*(VLOOKUP($B181,INDIRECT($B$5&amp;"生成成长"),3))*(VLOOKUP($B$5,标准坦克设计!$B$14:$K$20,9)/30))</f>
        <v>10.019654035016249</v>
      </c>
      <c r="FK181" s="173">
        <f ca="1">(VLOOKUP(FK$72,INDIRECT($C$5&amp;"生成成长"),2))/((VLOOKUP($B181,INDIRECT($B$5&amp;"生成成长"),4))/(VLOOKUP(FK$72,INDIRECT($C$5&amp;"生成成长"),5))*(VLOOKUP($B$5,标准坦克设计!$B$24:$U$30,MATCH("对"&amp;LEFT($C$5,2)&amp;"输出",标准坦克设计!$B$23:$U$23,0)))*(VLOOKUP($B181,INDIRECT($B$5&amp;"生成成长"),3))*(VLOOKUP($B$5,标准坦克设计!$B$14:$K$20,9)/30))</f>
        <v>10.582812880606628</v>
      </c>
    </row>
    <row r="182" spans="1:167" x14ac:dyDescent="0.15">
      <c r="A182" s="171" t="str">
        <f t="shared" si="12"/>
        <v>T5中品质20级</v>
      </c>
      <c r="B182" s="172">
        <v>20520</v>
      </c>
      <c r="C182" s="173">
        <f ca="1">(VLOOKUP(C$72,INDIRECT($C$5&amp;"生成成长"),2))/((VLOOKUP($B182,INDIRECT($B$5&amp;"生成成长"),4))/(VLOOKUP(C$72,INDIRECT($C$5&amp;"生成成长"),5))*(VLOOKUP($B$5,标准坦克设计!$B$24:$U$30,MATCH("对"&amp;LEFT($C$5,2)&amp;"输出",标准坦克设计!$B$23:$U$23,0)))*(VLOOKUP($B182,INDIRECT($B$5&amp;"生成成长"),3))*(VLOOKUP($B$5,标准坦克设计!$B$14:$K$20,9)/30))</f>
        <v>0.43264685888828497</v>
      </c>
      <c r="D182" s="173">
        <f ca="1">(VLOOKUP(D$72,INDIRECT($C$5&amp;"生成成长"),2))/((VLOOKUP($B182,INDIRECT($B$5&amp;"生成成长"),4))/(VLOOKUP(D$72,INDIRECT($C$5&amp;"生成成长"),5))*(VLOOKUP($B$5,标准坦克设计!$B$24:$U$30,MATCH("对"&amp;LEFT($C$5,2)&amp;"输出",标准坦克设计!$B$23:$U$23,0)))*(VLOOKUP($B182,INDIRECT($B$5&amp;"生成成长"),3))*(VLOOKUP($B$5,标准坦克设计!$B$14:$K$20,9)/30))</f>
        <v>0.48612201064687693</v>
      </c>
      <c r="E182" s="173">
        <f ca="1">(VLOOKUP(E$72,INDIRECT($C$5&amp;"生成成长"),2))/((VLOOKUP($B182,INDIRECT($B$5&amp;"生成成长"),4))/(VLOOKUP(E$72,INDIRECT($C$5&amp;"生成成长"),5))*(VLOOKUP($B$5,标准坦克设计!$B$24:$U$30,MATCH("对"&amp;LEFT($C$5,2)&amp;"输出",标准坦克设计!$B$23:$U$23,0)))*(VLOOKUP($B182,INDIRECT($B$5&amp;"生成成长"),3))*(VLOOKUP($B$5,标准坦克设计!$B$14:$K$20,9)/30))</f>
        <v>0.54271221978946471</v>
      </c>
      <c r="F182" s="173">
        <f ca="1">(VLOOKUP(F$72,INDIRECT($C$5&amp;"生成成长"),2))/((VLOOKUP($B182,INDIRECT($B$5&amp;"生成成长"),4))/(VLOOKUP(F$72,INDIRECT($C$5&amp;"生成成长"),5))*(VLOOKUP($B$5,标准坦克设计!$B$24:$U$30,MATCH("对"&amp;LEFT($C$5,2)&amp;"输出",标准坦克设计!$B$23:$U$23,0)))*(VLOOKUP($B182,INDIRECT($B$5&amp;"生成成长"),3))*(VLOOKUP($B$5,标准坦克设计!$B$14:$K$20,9)/30))</f>
        <v>0.60241748631604808</v>
      </c>
      <c r="G182" s="173">
        <f ca="1">(VLOOKUP(G$72,INDIRECT($C$5&amp;"生成成长"),2))/((VLOOKUP($B182,INDIRECT($B$5&amp;"生成成长"),4))/(VLOOKUP(G$72,INDIRECT($C$5&amp;"生成成长"),5))*(VLOOKUP($B$5,标准坦克设计!$B$24:$U$30,MATCH("对"&amp;LEFT($C$5,2)&amp;"输出",标准坦克设计!$B$23:$U$23,0)))*(VLOOKUP($B182,INDIRECT($B$5&amp;"生成成长"),3))*(VLOOKUP($B$5,标准坦克设计!$B$14:$K$20,9)/30))</f>
        <v>0.66523781022662709</v>
      </c>
      <c r="H182" s="173">
        <f ca="1">(VLOOKUP(H$72,INDIRECT($C$5&amp;"生成成长"),2))/((VLOOKUP($B182,INDIRECT($B$5&amp;"生成成长"),4))/(VLOOKUP(H$72,INDIRECT($C$5&amp;"生成成长"),5))*(VLOOKUP($B$5,标准坦克设计!$B$24:$U$30,MATCH("对"&amp;LEFT($C$5,2)&amp;"输出",标准坦克设计!$B$23:$U$23,0)))*(VLOOKUP($B182,INDIRECT($B$5&amp;"生成成长"),3))*(VLOOKUP($B$5,标准坦克设计!$B$14:$K$20,9)/30))</f>
        <v>0.58216961332007633</v>
      </c>
      <c r="I182" s="173">
        <f ca="1">(VLOOKUP(I$72,INDIRECT($C$5&amp;"生成成长"),2))/((VLOOKUP($B182,INDIRECT($B$5&amp;"生成成长"),4))/(VLOOKUP(I$72,INDIRECT($C$5&amp;"生成成长"),5))*(VLOOKUP($B$5,标准坦克设计!$B$24:$U$30,MATCH("对"&amp;LEFT($C$5,2)&amp;"输出",标准坦克设计!$B$23:$U$23,0)))*(VLOOKUP($B182,INDIRECT($B$5&amp;"生成成长"),3))*(VLOOKUP($B$5,标准坦克设计!$B$14:$K$20,9)/30))</f>
        <v>0.66523781022662709</v>
      </c>
      <c r="J182" s="173">
        <f ca="1">(VLOOKUP(J$72,INDIRECT($C$5&amp;"生成成长"),2))/((VLOOKUP($B182,INDIRECT($B$5&amp;"生成成长"),4))/(VLOOKUP(J$72,INDIRECT($C$5&amp;"生成成长"),5))*(VLOOKUP($B$5,标准坦克设计!$B$24:$U$30,MATCH("对"&amp;LEFT($C$5,2)&amp;"输出",标准坦克设计!$B$23:$U$23,0)))*(VLOOKUP($B182,INDIRECT($B$5&amp;"生成成长"),3))*(VLOOKUP($B$5,标准坦克设计!$B$14:$K$20,9)/30))</f>
        <v>0.75384388692694781</v>
      </c>
      <c r="K182" s="173">
        <f ca="1">(VLOOKUP(K$72,INDIRECT($C$5&amp;"生成成长"),2))/((VLOOKUP($B182,INDIRECT($B$5&amp;"生成成长"),4))/(VLOOKUP(K$72,INDIRECT($C$5&amp;"生成成长"),5))*(VLOOKUP($B$5,标准坦克设计!$B$24:$U$30,MATCH("对"&amp;LEFT($C$5,2)&amp;"输出",标准坦克设计!$B$23:$U$23,0)))*(VLOOKUP($B182,INDIRECT($B$5&amp;"生成成长"),3))*(VLOOKUP($B$5,标准坦克设计!$B$14:$K$20,9)/30))</f>
        <v>0.8479878434210385</v>
      </c>
      <c r="L182" s="173">
        <f ca="1">(VLOOKUP(L$72,INDIRECT($C$5&amp;"生成成长"),2))/((VLOOKUP($B182,INDIRECT($B$5&amp;"生成成长"),4))/(VLOOKUP(L$72,INDIRECT($C$5&amp;"生成成长"),5))*(VLOOKUP($B$5,标准坦克设计!$B$24:$U$30,MATCH("对"&amp;LEFT($C$5,2)&amp;"输出",标准坦克设计!$B$23:$U$23,0)))*(VLOOKUP($B182,INDIRECT($B$5&amp;"生成成长"),3))*(VLOOKUP($B$5,标准坦克设计!$B$14:$K$20,9)/30))</f>
        <v>0.94766967970889948</v>
      </c>
      <c r="M182" s="173">
        <f ca="1">(VLOOKUP(M$72,INDIRECT($C$5&amp;"生成成长"),2))/((VLOOKUP($B182,INDIRECT($B$5&amp;"生成成长"),4))/(VLOOKUP(M$72,INDIRECT($C$5&amp;"生成成长"),5))*(VLOOKUP($B$5,标准坦克设计!$B$24:$U$30,MATCH("对"&amp;LEFT($C$5,2)&amp;"输出",标准坦克设计!$B$23:$U$23,0)))*(VLOOKUP($B182,INDIRECT($B$5&amp;"生成成长"),3))*(VLOOKUP($B$5,标准坦克设计!$B$14:$K$20,9)/30))</f>
        <v>1.0528893957905305</v>
      </c>
      <c r="N182" s="173">
        <f ca="1">(VLOOKUP(N$72,INDIRECT($C$5&amp;"生成成长"),2))/((VLOOKUP($B182,INDIRECT($B$5&amp;"生成成长"),4))/(VLOOKUP(N$72,INDIRECT($C$5&amp;"生成成长"),5))*(VLOOKUP($B$5,标准坦克设计!$B$24:$U$30,MATCH("对"&amp;LEFT($C$5,2)&amp;"输出",标准坦克设计!$B$23:$U$23,0)))*(VLOOKUP($B182,INDIRECT($B$5&amp;"生成成长"),3))*(VLOOKUP($B$5,标准坦克设计!$B$14:$K$20,9)/30))</f>
        <v>1.1636469916659313</v>
      </c>
      <c r="O182" s="173">
        <f ca="1">(VLOOKUP(O$72,INDIRECT($C$5&amp;"生成成长"),2))/((VLOOKUP($B182,INDIRECT($B$5&amp;"生成成长"),4))/(VLOOKUP(O$72,INDIRECT($C$5&amp;"生成成长"),5))*(VLOOKUP($B$5,标准坦克设计!$B$24:$U$30,MATCH("对"&amp;LEFT($C$5,2)&amp;"输出",标准坦克设计!$B$23:$U$23,0)))*(VLOOKUP($B182,INDIRECT($B$5&amp;"生成成长"),3))*(VLOOKUP($B$5,标准坦克设计!$B$14:$K$20,9)/30))</f>
        <v>0.88471956174065391</v>
      </c>
      <c r="P182" s="173">
        <f ca="1">(VLOOKUP(P$72,INDIRECT($C$5&amp;"生成成长"),2))/((VLOOKUP($B182,INDIRECT($B$5&amp;"生成成长"),4))/(VLOOKUP(P$72,INDIRECT($C$5&amp;"生成成长"),5))*(VLOOKUP($B$5,标准坦克设计!$B$24:$U$30,MATCH("对"&amp;LEFT($C$5,2)&amp;"输出",标准坦克设计!$B$23:$U$23,0)))*(VLOOKUP($B182,INDIRECT($B$5&amp;"生成成长"),3))*(VLOOKUP($B$5,标准坦克设计!$B$14:$K$20,9)/30))</f>
        <v>0.99958730277549357</v>
      </c>
      <c r="Q182" s="173">
        <f ca="1">(VLOOKUP(Q$72,INDIRECT($C$5&amp;"生成成长"),2))/((VLOOKUP($B182,INDIRECT($B$5&amp;"生成成长"),4))/(VLOOKUP(Q$72,INDIRECT($C$5&amp;"生成成长"),5))*(VLOOKUP($B$5,标准坦克设计!$B$24:$U$30,MATCH("对"&amp;LEFT($C$5,2)&amp;"输出",标准坦克设计!$B$23:$U$23,0)))*(VLOOKUP($B182,INDIRECT($B$5&amp;"生成成长"),3))*(VLOOKUP($B$5,标准坦克设计!$B$14:$K$20,9)/30))</f>
        <v>1.1214639229243237</v>
      </c>
      <c r="R182" s="173">
        <f ca="1">(VLOOKUP(R$72,INDIRECT($C$5&amp;"生成成长"),2))/((VLOOKUP($B182,INDIRECT($B$5&amp;"生成成长"),4))/(VLOOKUP(R$72,INDIRECT($C$5&amp;"生成成长"),5))*(VLOOKUP($B$5,标准坦克设计!$B$24:$U$30,MATCH("对"&amp;LEFT($C$5,2)&amp;"输出",标准坦克设计!$B$23:$U$23,0)))*(VLOOKUP($B182,INDIRECT($B$5&amp;"生成成长"),3))*(VLOOKUP($B$5,标准坦克设计!$B$14:$K$20,9)/30))</f>
        <v>1.2503494221871434</v>
      </c>
      <c r="S182" s="173">
        <f ca="1">(VLOOKUP(S$72,INDIRECT($C$5&amp;"生成成长"),2))/((VLOOKUP($B182,INDIRECT($B$5&amp;"生成成长"),4))/(VLOOKUP(S$72,INDIRECT($C$5&amp;"生成成长"),5))*(VLOOKUP($B$5,标准坦克设计!$B$24:$U$30,MATCH("对"&amp;LEFT($C$5,2)&amp;"输出",标准坦克设计!$B$23:$U$23,0)))*(VLOOKUP($B182,INDIRECT($B$5&amp;"生成成长"),3))*(VLOOKUP($B$5,标准坦克设计!$B$14:$K$20,9)/30))</f>
        <v>1.3862438005639537</v>
      </c>
      <c r="T182" s="173">
        <f ca="1">(VLOOKUP(T$72,INDIRECT($C$5&amp;"生成成长"),2))/((VLOOKUP($B182,INDIRECT($B$5&amp;"生成成长"),4))/(VLOOKUP(T$72,INDIRECT($C$5&amp;"生成成长"),5))*(VLOOKUP($B$5,标准坦克设计!$B$24:$U$30,MATCH("对"&amp;LEFT($C$5,2)&amp;"输出",标准坦克设计!$B$23:$U$23,0)))*(VLOOKUP($B182,INDIRECT($B$5&amp;"生成成长"),3))*(VLOOKUP($B$5,标准坦克设计!$B$14:$K$20,9)/30))</f>
        <v>1.5291470580547546</v>
      </c>
      <c r="U182" s="173">
        <f ca="1">(VLOOKUP(U$72,INDIRECT($C$5&amp;"生成成长"),2))/((VLOOKUP($B182,INDIRECT($B$5&amp;"生成成长"),4))/(VLOOKUP(U$72,INDIRECT($C$5&amp;"生成成长"),5))*(VLOOKUP($B$5,标准坦克设计!$B$24:$U$30,MATCH("对"&amp;LEFT($C$5,2)&amp;"输出",标准坦克设计!$B$23:$U$23,0)))*(VLOOKUP($B182,INDIRECT($B$5&amp;"生成成长"),3))*(VLOOKUP($B$5,标准坦克设计!$B$14:$K$20,9)/30))</f>
        <v>1.6790591946595452</v>
      </c>
      <c r="V182" s="173">
        <f ca="1">(VLOOKUP(V$72,INDIRECT($C$5&amp;"生成成长"),2))/((VLOOKUP($B182,INDIRECT($B$5&amp;"生成成长"),4))/(VLOOKUP(V$72,INDIRECT($C$5&amp;"生成成长"),5))*(VLOOKUP($B$5,标准坦克设计!$B$24:$U$30,MATCH("对"&amp;LEFT($C$5,2)&amp;"输出",标准坦克设计!$B$23:$U$23,0)))*(VLOOKUP($B182,INDIRECT($B$5&amp;"生成成长"),3))*(VLOOKUP($B$5,标准坦克设计!$B$14:$K$20,9)/30))</f>
        <v>1.835980210378326</v>
      </c>
      <c r="W182" s="173">
        <f ca="1">(VLOOKUP(W$72,INDIRECT($C$5&amp;"生成成长"),2))/((VLOOKUP($B182,INDIRECT($B$5&amp;"生成成长"),4))/(VLOOKUP(W$72,INDIRECT($C$5&amp;"生成成长"),5))*(VLOOKUP($B$5,标准坦克设计!$B$24:$U$30,MATCH("对"&amp;LEFT($C$5,2)&amp;"输出",标准坦克设计!$B$23:$U$23,0)))*(VLOOKUP($B182,INDIRECT($B$5&amp;"生成成长"),3))*(VLOOKUP($B$5,标准坦克设计!$B$14:$K$20,9)/30))</f>
        <v>1.9999101052110972</v>
      </c>
      <c r="X182" s="173">
        <f ca="1">(VLOOKUP(X$72,INDIRECT($C$5&amp;"生成成长"),2))/((VLOOKUP($B182,INDIRECT($B$5&amp;"生成成长"),4))/(VLOOKUP(X$72,INDIRECT($C$5&amp;"生成成长"),5))*(VLOOKUP($B$5,标准坦克设计!$B$24:$U$30,MATCH("对"&amp;LEFT($C$5,2)&amp;"输出",标准坦克设计!$B$23:$U$23,0)))*(VLOOKUP($B182,INDIRECT($B$5&amp;"生成成长"),3))*(VLOOKUP($B$5,标准坦克设计!$B$14:$K$20,9)/30))</f>
        <v>1.4488910657309775</v>
      </c>
      <c r="Y182" s="173">
        <f ca="1">(VLOOKUP(Y$72,INDIRECT($C$5&amp;"生成成长"),2))/((VLOOKUP($B182,INDIRECT($B$5&amp;"生成成长"),4))/(VLOOKUP(Y$72,INDIRECT($C$5&amp;"生成成长"),5))*(VLOOKUP($B$5,标准坦克设计!$B$24:$U$30,MATCH("对"&amp;LEFT($C$5,2)&amp;"输出",标准坦克设计!$B$23:$U$23,0)))*(VLOOKUP($B182,INDIRECT($B$5&amp;"生成成长"),3))*(VLOOKUP($B$5,标准坦克设计!$B$14:$K$20,9)/30))</f>
        <v>1.6115662846729726</v>
      </c>
      <c r="Z182" s="173">
        <f ca="1">(VLOOKUP(Z$72,INDIRECT($C$5&amp;"生成成长"),2))/((VLOOKUP($B182,INDIRECT($B$5&amp;"生成成长"),4))/(VLOOKUP(Z$72,INDIRECT($C$5&amp;"生成成长"),5))*(VLOOKUP($B$5,标准坦克设计!$B$24:$U$30,MATCH("对"&amp;LEFT($C$5,2)&amp;"输出",标准坦克设计!$B$23:$U$23,0)))*(VLOOKUP($B182,INDIRECT($B$5&amp;"生成成长"),3))*(VLOOKUP($B$5,标准坦克设计!$B$14:$K$20,9)/30))</f>
        <v>1.7828944407927336</v>
      </c>
      <c r="AA182" s="173">
        <f ca="1">(VLOOKUP(AA$72,INDIRECT($C$5&amp;"生成成长"),2))/((VLOOKUP($B182,INDIRECT($B$5&amp;"生成成长"),4))/(VLOOKUP(AA$72,INDIRECT($C$5&amp;"生成成长"),5))*(VLOOKUP($B$5,标准坦克设计!$B$24:$U$30,MATCH("对"&amp;LEFT($C$5,2)&amp;"输出",标准坦克设计!$B$23:$U$23,0)))*(VLOOKUP($B182,INDIRECT($B$5&amp;"生成成长"),3))*(VLOOKUP($B$5,标准坦克设计!$B$14:$K$20,9)/30))</f>
        <v>1.9628755340902602</v>
      </c>
      <c r="AB182" s="173">
        <f ca="1">(VLOOKUP(AB$72,INDIRECT($C$5&amp;"生成成长"),2))/((VLOOKUP($B182,INDIRECT($B$5&amp;"生成成长"),4))/(VLOOKUP(AB$72,INDIRECT($C$5&amp;"生成成长"),5))*(VLOOKUP($B$5,标准坦克设计!$B$24:$U$30,MATCH("对"&amp;LEFT($C$5,2)&amp;"输出",标准坦克设计!$B$23:$U$23,0)))*(VLOOKUP($B182,INDIRECT($B$5&amp;"生成成长"),3))*(VLOOKUP($B$5,标准坦克设计!$B$14:$K$20,9)/30))</f>
        <v>2.151509564565552</v>
      </c>
      <c r="AC182" s="173">
        <f ca="1">(VLOOKUP(AC$72,INDIRECT($C$5&amp;"生成成长"),2))/((VLOOKUP($B182,INDIRECT($B$5&amp;"生成成长"),4))/(VLOOKUP(AC$72,INDIRECT($C$5&amp;"生成成长"),5))*(VLOOKUP($B$5,标准坦克设计!$B$24:$U$30,MATCH("对"&amp;LEFT($C$5,2)&amp;"输出",标准坦克设计!$B$23:$U$23,0)))*(VLOOKUP($B182,INDIRECT($B$5&amp;"生成成长"),3))*(VLOOKUP($B$5,标准坦克设计!$B$14:$K$20,9)/30))</f>
        <v>2.3487965322186106</v>
      </c>
      <c r="AD182" s="173">
        <f ca="1">(VLOOKUP(AD$72,INDIRECT($C$5&amp;"生成成长"),2))/((VLOOKUP($B182,INDIRECT($B$5&amp;"生成成长"),4))/(VLOOKUP(AD$72,INDIRECT($C$5&amp;"生成成长"),5))*(VLOOKUP($B$5,标准坦克设计!$B$24:$U$30,MATCH("对"&amp;LEFT($C$5,2)&amp;"输出",标准坦克设计!$B$23:$U$23,0)))*(VLOOKUP($B182,INDIRECT($B$5&amp;"生成成长"),3))*(VLOOKUP($B$5,标准坦克设计!$B$14:$K$20,9)/30))</f>
        <v>2.5547364370494341</v>
      </c>
      <c r="AE182" s="173">
        <f ca="1">(VLOOKUP(AE$72,INDIRECT($C$5&amp;"生成成长"),2))/((VLOOKUP($B182,INDIRECT($B$5&amp;"生成成长"),4))/(VLOOKUP(AE$72,INDIRECT($C$5&amp;"生成成长"),5))*(VLOOKUP($B$5,标准坦克设计!$B$24:$U$30,MATCH("对"&amp;LEFT($C$5,2)&amp;"输出",标准坦克设计!$B$23:$U$23,0)))*(VLOOKUP($B182,INDIRECT($B$5&amp;"生成成长"),3))*(VLOOKUP($B$5,标准坦克设计!$B$14:$K$20,9)/30))</f>
        <v>2.7693292790580233</v>
      </c>
      <c r="AF182" s="173">
        <f ca="1">(VLOOKUP(AF$72,INDIRECT($C$5&amp;"生成成长"),2))/((VLOOKUP($B182,INDIRECT($B$5&amp;"生成成长"),4))/(VLOOKUP(AF$72,INDIRECT($C$5&amp;"生成成长"),5))*(VLOOKUP($B$5,标准坦克设计!$B$24:$U$30,MATCH("对"&amp;LEFT($C$5,2)&amp;"输出",标准坦克设计!$B$23:$U$23,0)))*(VLOOKUP($B182,INDIRECT($B$5&amp;"生成成长"),3))*(VLOOKUP($B$5,标准坦克设计!$B$14:$K$20,9)/30))</f>
        <v>2.9925750582443782</v>
      </c>
      <c r="AG182" s="173">
        <f ca="1">(VLOOKUP(AG$72,INDIRECT($C$5&amp;"生成成长"),2))/((VLOOKUP($B182,INDIRECT($B$5&amp;"生成成长"),4))/(VLOOKUP(AG$72,INDIRECT($C$5&amp;"生成成长"),5))*(VLOOKUP($B$5,标准坦克设计!$B$24:$U$30,MATCH("对"&amp;LEFT($C$5,2)&amp;"输出",标准坦克设计!$B$23:$U$23,0)))*(VLOOKUP($B182,INDIRECT($B$5&amp;"生成成长"),3))*(VLOOKUP($B$5,标准坦克设计!$B$14:$K$20,9)/30))</f>
        <v>3.2244737746084988</v>
      </c>
      <c r="AH182" s="173">
        <f ca="1">(VLOOKUP(AH$72,INDIRECT($C$5&amp;"生成成长"),2))/((VLOOKUP($B182,INDIRECT($B$5&amp;"生成成长"),4))/(VLOOKUP(AH$72,INDIRECT($C$5&amp;"生成成长"),5))*(VLOOKUP($B$5,标准坦克设计!$B$24:$U$30,MATCH("对"&amp;LEFT($C$5,2)&amp;"输出",标准坦克设计!$B$23:$U$23,0)))*(VLOOKUP($B182,INDIRECT($B$5&amp;"生成成长"),3))*(VLOOKUP($B$5,标准坦克设计!$B$14:$K$20,9)/30))</f>
        <v>3.4650254281503856</v>
      </c>
      <c r="AI182" s="173">
        <f ca="1">(VLOOKUP(AI$72,INDIRECT($C$5&amp;"生成成长"),2))/((VLOOKUP($B182,INDIRECT($B$5&amp;"生成成长"),4))/(VLOOKUP(AI$72,INDIRECT($C$5&amp;"生成成长"),5))*(VLOOKUP($B$5,标准坦克设计!$B$24:$U$30,MATCH("对"&amp;LEFT($C$5,2)&amp;"输出",标准坦克设计!$B$23:$U$23,0)))*(VLOOKUP($B182,INDIRECT($B$5&amp;"生成成长"),3))*(VLOOKUP($B$5,标准坦克设计!$B$14:$K$20,9)/30))</f>
        <v>2.4506848674868014</v>
      </c>
      <c r="AJ182" s="173">
        <f ca="1">(VLOOKUP(AJ$72,INDIRECT($C$5&amp;"生成成长"),2))/((VLOOKUP($B182,INDIRECT($B$5&amp;"生成成长"),4))/(VLOOKUP(AJ$72,INDIRECT($C$5&amp;"生成成长"),5))*(VLOOKUP($B$5,标准坦克设计!$B$24:$U$30,MATCH("对"&amp;LEFT($C$5,2)&amp;"输出",标准坦克设计!$B$23:$U$23,0)))*(VLOOKUP($B182,INDIRECT($B$5&amp;"生成成长"),3))*(VLOOKUP($B$5,标准坦克设计!$B$14:$K$20,9)/30))</f>
        <v>2.6824537897932554</v>
      </c>
      <c r="AK182" s="173">
        <f ca="1">(VLOOKUP(AK$72,INDIRECT($C$5&amp;"生成成长"),2))/((VLOOKUP($B182,INDIRECT($B$5&amp;"生成成长"),4))/(VLOOKUP(AK$72,INDIRECT($C$5&amp;"生成成长"),5))*(VLOOKUP($B$5,标准坦克设计!$B$24:$U$30,MATCH("对"&amp;LEFT($C$5,2)&amp;"输出",标准坦克设计!$B$23:$U$23,0)))*(VLOOKUP($B182,INDIRECT($B$5&amp;"生成成长"),3))*(VLOOKUP($B$5,标准坦克设计!$B$14:$K$20,9)/30))</f>
        <v>2.9246927660848065</v>
      </c>
      <c r="AL182" s="173">
        <f ca="1">(VLOOKUP(AL$72,INDIRECT($C$5&amp;"生成成长"),2))/((VLOOKUP($B182,INDIRECT($B$5&amp;"生成成长"),4))/(VLOOKUP(AL$72,INDIRECT($C$5&amp;"生成成长"),5))*(VLOOKUP($B$5,标准坦克设计!$B$24:$U$30,MATCH("对"&amp;LEFT($C$5,2)&amp;"输出",标准坦克设计!$B$23:$U$23,0)))*(VLOOKUP($B182,INDIRECT($B$5&amp;"生成成长"),3))*(VLOOKUP($B$5,标准坦克设计!$B$14:$K$20,9)/30))</f>
        <v>3.1774017963614543</v>
      </c>
      <c r="AM182" s="173">
        <f ca="1">(VLOOKUP(AM$72,INDIRECT($C$5&amp;"生成成长"),2))/((VLOOKUP($B182,INDIRECT($B$5&amp;"生成成长"),4))/(VLOOKUP(AM$72,INDIRECT($C$5&amp;"生成成长"),5))*(VLOOKUP($B$5,标准坦克设计!$B$24:$U$30,MATCH("对"&amp;LEFT($C$5,2)&amp;"输出",标准坦克设计!$B$23:$U$23,0)))*(VLOOKUP($B182,INDIRECT($B$5&amp;"生成成长"),3))*(VLOOKUP($B$5,标准坦克设计!$B$14:$K$20,9)/30))</f>
        <v>3.4405808806231977</v>
      </c>
      <c r="AN182" s="173">
        <f ca="1">(VLOOKUP(AN$72,INDIRECT($C$5&amp;"生成成长"),2))/((VLOOKUP($B182,INDIRECT($B$5&amp;"生成成长"),4))/(VLOOKUP(AN$72,INDIRECT($C$5&amp;"生成成长"),5))*(VLOOKUP($B$5,标准坦克设计!$B$24:$U$30,MATCH("对"&amp;LEFT($C$5,2)&amp;"输出",标准坦克设计!$B$23:$U$23,0)))*(VLOOKUP($B182,INDIRECT($B$5&amp;"生成成长"),3))*(VLOOKUP($B$5,标准坦克设计!$B$14:$K$20,9)/30))</f>
        <v>3.7142300188700381</v>
      </c>
      <c r="AO182" s="173">
        <f ca="1">(VLOOKUP(AO$72,INDIRECT($C$5&amp;"生成成长"),2))/((VLOOKUP($B182,INDIRECT($B$5&amp;"生成成长"),4))/(VLOOKUP(AO$72,INDIRECT($C$5&amp;"生成成长"),5))*(VLOOKUP($B$5,标准坦克设计!$B$24:$U$30,MATCH("对"&amp;LEFT($C$5,2)&amp;"输出",标准坦克设计!$B$23:$U$23,0)))*(VLOOKUP($B182,INDIRECT($B$5&amp;"生成成长"),3))*(VLOOKUP($B$5,标准坦克设计!$B$14:$K$20,9)/30))</f>
        <v>3.9983492111019743</v>
      </c>
      <c r="AP182" s="173">
        <f ca="1">(VLOOKUP(AP$72,INDIRECT($C$5&amp;"生成成长"),2))/((VLOOKUP($B182,INDIRECT($B$5&amp;"生成成长"),4))/(VLOOKUP(AP$72,INDIRECT($C$5&amp;"生成成长"),5))*(VLOOKUP($B$5,标准坦克设计!$B$24:$U$30,MATCH("对"&amp;LEFT($C$5,2)&amp;"输出",标准坦克设计!$B$23:$U$23,0)))*(VLOOKUP($B182,INDIRECT($B$5&amp;"生成成长"),3))*(VLOOKUP($B$5,标准坦克设计!$B$14:$K$20,9)/30))</f>
        <v>4.2929384573190079</v>
      </c>
      <c r="AQ182" s="173">
        <f ca="1">(VLOOKUP(AQ$72,INDIRECT($C$5&amp;"生成成长"),2))/((VLOOKUP($B182,INDIRECT($B$5&amp;"生成成长"),4))/(VLOOKUP(AQ$72,INDIRECT($C$5&amp;"生成成长"),5))*(VLOOKUP($B$5,标准坦克设计!$B$24:$U$30,MATCH("对"&amp;LEFT($C$5,2)&amp;"输出",标准坦克设计!$B$23:$U$23,0)))*(VLOOKUP($B182,INDIRECT($B$5&amp;"生成成长"),3))*(VLOOKUP($B$5,标准坦克设计!$B$14:$K$20,9)/30))</f>
        <v>4.5979977575211377</v>
      </c>
      <c r="AR182" s="173">
        <f ca="1">(VLOOKUP(AR$72,INDIRECT($C$5&amp;"生成成长"),2))/((VLOOKUP($B182,INDIRECT($B$5&amp;"生成成长"),4))/(VLOOKUP(AR$72,INDIRECT($C$5&amp;"生成成长"),5))*(VLOOKUP($B$5,标准坦克设计!$B$24:$U$30,MATCH("对"&amp;LEFT($C$5,2)&amp;"输出",标准坦克设计!$B$23:$U$23,0)))*(VLOOKUP($B182,INDIRECT($B$5&amp;"生成成长"),3))*(VLOOKUP($B$5,标准坦克设计!$B$14:$K$20,9)/30))</f>
        <v>4.9135271117083636</v>
      </c>
      <c r="AS182" s="173">
        <f ca="1">(VLOOKUP(AS$72,INDIRECT($C$5&amp;"生成成长"),2))/((VLOOKUP($B182,INDIRECT($B$5&amp;"生成成长"),4))/(VLOOKUP(AS$72,INDIRECT($C$5&amp;"生成成长"),5))*(VLOOKUP($B$5,标准坦克设计!$B$24:$U$30,MATCH("对"&amp;LEFT($C$5,2)&amp;"输出",标准坦克设计!$B$23:$U$23,0)))*(VLOOKUP($B182,INDIRECT($B$5&amp;"生成成长"),3))*(VLOOKUP($B$5,标准坦克设计!$B$14:$K$20,9)/30))</f>
        <v>5.2395265198806866</v>
      </c>
      <c r="AT182" s="173">
        <f ca="1">(VLOOKUP(AT$72,INDIRECT($C$5&amp;"生成成长"),2))/((VLOOKUP($B182,INDIRECT($B$5&amp;"生成成长"),4))/(VLOOKUP(AT$72,INDIRECT($C$5&amp;"生成成长"),5))*(VLOOKUP($B$5,标准坦克设计!$B$24:$U$30,MATCH("对"&amp;LEFT($C$5,2)&amp;"输出",标准坦克设计!$B$23:$U$23,0)))*(VLOOKUP($B182,INDIRECT($B$5&amp;"生成成长"),3))*(VLOOKUP($B$5,标准坦克设计!$B$14:$K$20,9)/30))</f>
        <v>5.5759959820381049</v>
      </c>
      <c r="AU182" s="173">
        <f ca="1">(VLOOKUP(AU$72,INDIRECT($C$5&amp;"生成成长"),2))/((VLOOKUP($B182,INDIRECT($B$5&amp;"生成成长"),4))/(VLOOKUP(AU$72,INDIRECT($C$5&amp;"生成成长"),5))*(VLOOKUP($B$5,标准坦克设计!$B$24:$U$30,MATCH("对"&amp;LEFT($C$5,2)&amp;"输出",标准坦克设计!$B$23:$U$23,0)))*(VLOOKUP($B182,INDIRECT($B$5&amp;"生成成长"),3))*(VLOOKUP($B$5,标准坦克设计!$B$14:$K$20,9)/30))</f>
        <v>5.9229354981806219</v>
      </c>
      <c r="AV182" s="173">
        <f ca="1">(VLOOKUP(AV$72,INDIRECT($C$5&amp;"生成成长"),2))/((VLOOKUP($B182,INDIRECT($B$5&amp;"生成成长"),4))/(VLOOKUP(AV$72,INDIRECT($C$5&amp;"生成成长"),5))*(VLOOKUP($B$5,标准坦克设计!$B$24:$U$30,MATCH("对"&amp;LEFT($C$5,2)&amp;"输出",标准坦克设计!$B$23:$U$23,0)))*(VLOOKUP($B182,INDIRECT($B$5&amp;"生成成长"),3))*(VLOOKUP($B$5,标准坦克设计!$B$14:$K$20,9)/30))</f>
        <v>0.60241748631604808</v>
      </c>
      <c r="AW182" s="173">
        <f ca="1">(VLOOKUP(AW$72,INDIRECT($C$5&amp;"生成成长"),2))/((VLOOKUP($B182,INDIRECT($B$5&amp;"生成成长"),4))/(VLOOKUP(AW$72,INDIRECT($C$5&amp;"生成成长"),5))*(VLOOKUP($B$5,标准坦克设计!$B$24:$U$30,MATCH("对"&amp;LEFT($C$5,2)&amp;"输出",标准坦克设计!$B$23:$U$23,0)))*(VLOOKUP($B182,INDIRECT($B$5&amp;"生成成长"),3))*(VLOOKUP($B$5,标准坦克设计!$B$14:$K$20,9)/30))</f>
        <v>0.68687015317104128</v>
      </c>
      <c r="AX182" s="173">
        <f ca="1">(VLOOKUP(AX$72,INDIRECT($C$5&amp;"生成成长"),2))/((VLOOKUP($B182,INDIRECT($B$5&amp;"生成成长"),4))/(VLOOKUP(AX$72,INDIRECT($C$5&amp;"生成成长"),5))*(VLOOKUP($B$5,标准坦克设计!$B$24:$U$30,MATCH("对"&amp;LEFT($C$5,2)&amp;"输出",标准坦克设计!$B$23:$U$23,0)))*(VLOOKUP($B182,INDIRECT($B$5&amp;"生成成长"),3))*(VLOOKUP($B$5,标准坦克设计!$B$14:$K$20,9)/30))</f>
        <v>0.77686069981980466</v>
      </c>
      <c r="AY182" s="173">
        <f ca="1">(VLOOKUP(AY$72,INDIRECT($C$5&amp;"生成成长"),2))/((VLOOKUP($B182,INDIRECT($B$5&amp;"生成成长"),4))/(VLOOKUP(AY$72,INDIRECT($C$5&amp;"生成成长"),5))*(VLOOKUP($B$5,标准坦克设计!$B$24:$U$30,MATCH("对"&amp;LEFT($C$5,2)&amp;"输出",标准坦克设计!$B$23:$U$23,0)))*(VLOOKUP($B182,INDIRECT($B$5&amp;"生成成长"),3))*(VLOOKUP($B$5,标准坦克设计!$B$14:$K$20,9)/30))</f>
        <v>0.872389126262338</v>
      </c>
      <c r="AZ182" s="173">
        <f ca="1">(VLOOKUP(AZ$72,INDIRECT($C$5&amp;"生成成长"),2))/((VLOOKUP($B182,INDIRECT($B$5&amp;"生成成长"),4))/(VLOOKUP(AZ$72,INDIRECT($C$5&amp;"生成成长"),5))*(VLOOKUP($B$5,标准坦克设计!$B$24:$U$30,MATCH("对"&amp;LEFT($C$5,2)&amp;"输出",标准坦克设计!$B$23:$U$23,0)))*(VLOOKUP($B182,INDIRECT($B$5&amp;"生成成长"),3))*(VLOOKUP($B$5,标准坦克设计!$B$14:$K$20,9)/30))</f>
        <v>0.97345543249864119</v>
      </c>
      <c r="BA182" s="173">
        <f ca="1">(VLOOKUP(BA$72,INDIRECT($C$5&amp;"生成成长"),2))/((VLOOKUP($B182,INDIRECT($B$5&amp;"生成成长"),4))/(VLOOKUP(BA$72,INDIRECT($C$5&amp;"生成成长"),5))*(VLOOKUP($B$5,标准坦克设计!$B$24:$U$30,MATCH("对"&amp;LEFT($C$5,2)&amp;"输出",标准坦克设计!$B$23:$U$23,0)))*(VLOOKUP($B182,INDIRECT($B$5&amp;"生成成长"),3))*(VLOOKUP($B$5,标准坦克设计!$B$14:$K$20,9)/30))</f>
        <v>1.0800596185287148</v>
      </c>
      <c r="BB182" s="173">
        <f ca="1">(VLOOKUP(BB$72,INDIRECT($C$5&amp;"生成成长"),2))/((VLOOKUP($B182,INDIRECT($B$5&amp;"生成成长"),4))/(VLOOKUP(BB$72,INDIRECT($C$5&amp;"生成成长"),5))*(VLOOKUP($B$5,标准坦克设计!$B$24:$U$30,MATCH("对"&amp;LEFT($C$5,2)&amp;"输出",标准坦克设计!$B$23:$U$23,0)))*(VLOOKUP($B182,INDIRECT($B$5&amp;"生成成长"),3))*(VLOOKUP($B$5,标准坦克设计!$B$14:$K$20,9)/30))</f>
        <v>1.192201684352558</v>
      </c>
      <c r="BC182" s="173">
        <f ca="1">(VLOOKUP(BC$72,INDIRECT($C$5&amp;"生成成长"),2))/((VLOOKUP($B182,INDIRECT($B$5&amp;"生成成长"),4))/(VLOOKUP(BC$72,INDIRECT($C$5&amp;"生成成长"),5))*(VLOOKUP($B$5,标准坦克设计!$B$24:$U$30,MATCH("对"&amp;LEFT($C$5,2)&amp;"输出",标准坦克设计!$B$23:$U$23,0)))*(VLOOKUP($B182,INDIRECT($B$5&amp;"生成成长"),3))*(VLOOKUP($B$5,标准坦克设计!$B$14:$K$20,9)/30))</f>
        <v>1.3098816299701717</v>
      </c>
      <c r="BD182" s="173">
        <f ca="1">(VLOOKUP(BD$72,INDIRECT($C$5&amp;"生成成长"),2))/((VLOOKUP($B182,INDIRECT($B$5&amp;"生成成长"),4))/(VLOOKUP(BD$72,INDIRECT($C$5&amp;"生成成长"),5))*(VLOOKUP($B$5,标准坦克设计!$B$24:$U$30,MATCH("对"&amp;LEFT($C$5,2)&amp;"输出",标准坦克设计!$B$23:$U$23,0)))*(VLOOKUP($B182,INDIRECT($B$5&amp;"生成成长"),3))*(VLOOKUP($B$5,标准坦克设计!$B$14:$K$20,9)/30))</f>
        <v>1.4488910657309775</v>
      </c>
      <c r="BE182" s="173">
        <f ca="1">(VLOOKUP(BE$72,INDIRECT($C$5&amp;"生成成长"),2))/((VLOOKUP($B182,INDIRECT($B$5&amp;"生成成长"),4))/(VLOOKUP(BE$72,INDIRECT($C$5&amp;"生成成长"),5))*(VLOOKUP($B$5,标准坦克设计!$B$24:$U$30,MATCH("对"&amp;LEFT($C$5,2)&amp;"输出",标准坦克设计!$B$23:$U$23,0)))*(VLOOKUP($B182,INDIRECT($B$5&amp;"生成成长"),3))*(VLOOKUP($B$5,标准坦克设计!$B$14:$K$20,9)/30))</f>
        <v>1.5949093806057741</v>
      </c>
      <c r="BF182" s="173">
        <f ca="1">(VLOOKUP(BF$72,INDIRECT($C$5&amp;"生成成长"),2))/((VLOOKUP($B182,INDIRECT($B$5&amp;"生成成长"),4))/(VLOOKUP(BF$72,INDIRECT($C$5&amp;"生成成长"),5))*(VLOOKUP($B$5,标准坦克设计!$B$24:$U$30,MATCH("对"&amp;LEFT($C$5,2)&amp;"输出",标准坦克设计!$B$23:$U$23,0)))*(VLOOKUP($B182,INDIRECT($B$5&amp;"生成成长"),3))*(VLOOKUP($B$5,标准坦克设计!$B$14:$K$20,9)/30))</f>
        <v>1.7479365745945601</v>
      </c>
      <c r="BG182" s="173">
        <f ca="1">(VLOOKUP(BG$72,INDIRECT($C$5&amp;"生成成长"),2))/((VLOOKUP($B182,INDIRECT($B$5&amp;"生成成长"),4))/(VLOOKUP(BG$72,INDIRECT($C$5&amp;"生成成长"),5))*(VLOOKUP($B$5,标准坦克设计!$B$24:$U$30,MATCH("对"&amp;LEFT($C$5,2)&amp;"输出",标准坦克设计!$B$23:$U$23,0)))*(VLOOKUP($B182,INDIRECT($B$5&amp;"生成成长"),3))*(VLOOKUP($B$5,标准坦克设计!$B$14:$K$20,9)/30))</f>
        <v>1.9079726476973367</v>
      </c>
      <c r="BH182" s="173">
        <f ca="1">(VLOOKUP(BH$72,INDIRECT($C$5&amp;"生成成长"),2))/((VLOOKUP($B182,INDIRECT($B$5&amp;"生成成长"),4))/(VLOOKUP(BH$72,INDIRECT($C$5&amp;"生成成长"),5))*(VLOOKUP($B$5,标准坦克设计!$B$24:$U$30,MATCH("对"&amp;LEFT($C$5,2)&amp;"输出",标准坦克设计!$B$23:$U$23,0)))*(VLOOKUP($B182,INDIRECT($B$5&amp;"生成成长"),3))*(VLOOKUP($B$5,标准坦克设计!$B$14:$K$20,9)/30))</f>
        <v>0.92223004440626821</v>
      </c>
      <c r="BI182" s="173">
        <f ca="1">(VLOOKUP(BI$72,INDIRECT($C$5&amp;"生成成长"),2))/((VLOOKUP($B182,INDIRECT($B$5&amp;"生成成长"),4))/(VLOOKUP(BI$72,INDIRECT($C$5&amp;"生成成长"),5))*(VLOOKUP($B$5,标准坦克设计!$B$24:$U$30,MATCH("对"&amp;LEFT($C$5,2)&amp;"输出",标准坦克设计!$B$23:$U$23,0)))*(VLOOKUP($B182,INDIRECT($B$5&amp;"生成成长"),3))*(VLOOKUP($B$5,标准坦克设计!$B$14:$K$20,9)/30))</f>
        <v>1.0394340784791045</v>
      </c>
      <c r="BJ182" s="173">
        <f ca="1">(VLOOKUP(BJ$72,INDIRECT($C$5&amp;"生成成长"),2))/((VLOOKUP($B182,INDIRECT($B$5&amp;"生成成长"),4))/(VLOOKUP(BJ$72,INDIRECT($C$5&amp;"生成成长"),5))*(VLOOKUP($B$5,标准坦克设计!$B$24:$U$30,MATCH("对"&amp;LEFT($C$5,2)&amp;"输出",标准坦克设计!$B$23:$U$23,0)))*(VLOOKUP($B182,INDIRECT($B$5&amp;"生成成长"),3))*(VLOOKUP($B$5,标准坦克设计!$B$14:$K$20,9)/30))</f>
        <v>1.1636469916659313</v>
      </c>
      <c r="BK182" s="173">
        <f ca="1">(VLOOKUP(BK$72,INDIRECT($C$5&amp;"生成成长"),2))/((VLOOKUP($B182,INDIRECT($B$5&amp;"生成成长"),4))/(VLOOKUP(BK$72,INDIRECT($C$5&amp;"生成成长"),5))*(VLOOKUP($B$5,标准坦克设计!$B$24:$U$30,MATCH("对"&amp;LEFT($C$5,2)&amp;"输出",标准坦克设计!$B$23:$U$23,0)))*(VLOOKUP($B182,INDIRECT($B$5&amp;"生成成长"),3))*(VLOOKUP($B$5,标准坦克设计!$B$14:$K$20,9)/30))</f>
        <v>1.2948687839667481</v>
      </c>
      <c r="BL182" s="173">
        <f ca="1">(VLOOKUP(BL$72,INDIRECT($C$5&amp;"生成成长"),2))/((VLOOKUP($B182,INDIRECT($B$5&amp;"生成成长"),4))/(VLOOKUP(BL$72,INDIRECT($C$5&amp;"生成成长"),5))*(VLOOKUP($B$5,标准坦克设计!$B$24:$U$30,MATCH("对"&amp;LEFT($C$5,2)&amp;"输出",标准坦克设计!$B$23:$U$23,0)))*(VLOOKUP($B182,INDIRECT($B$5&amp;"生成成长"),3))*(VLOOKUP($B$5,标准坦克设计!$B$14:$K$20,9)/30))</f>
        <v>1.433099455381555</v>
      </c>
      <c r="BM182" s="173">
        <f ca="1">(VLOOKUP(BM$72,INDIRECT($C$5&amp;"生成成长"),2))/((VLOOKUP($B182,INDIRECT($B$5&amp;"生成成长"),4))/(VLOOKUP(BM$72,INDIRECT($C$5&amp;"生成成长"),5))*(VLOOKUP($B$5,标准坦克设计!$B$24:$U$30,MATCH("对"&amp;LEFT($C$5,2)&amp;"输出",标准坦克设计!$B$23:$U$23,0)))*(VLOOKUP($B182,INDIRECT($B$5&amp;"生成成长"),3))*(VLOOKUP($B$5,标准坦克设计!$B$14:$K$20,9)/30))</f>
        <v>1.5783390059103521</v>
      </c>
      <c r="BN182" s="173">
        <f ca="1">(VLOOKUP(BN$72,INDIRECT($C$5&amp;"生成成长"),2))/((VLOOKUP($B182,INDIRECT($B$5&amp;"生成成长"),4))/(VLOOKUP(BN$72,INDIRECT($C$5&amp;"生成成长"),5))*(VLOOKUP($B$5,标准坦克设计!$B$24:$U$30,MATCH("对"&amp;LEFT($C$5,2)&amp;"输出",标准坦克设计!$B$23:$U$23,0)))*(VLOOKUP($B182,INDIRECT($B$5&amp;"生成成长"),3))*(VLOOKUP($B$5,标准坦克设计!$B$14:$K$20,9)/30))</f>
        <v>1.7305874355531399</v>
      </c>
      <c r="BO182" s="173">
        <f ca="1">(VLOOKUP(BO$72,INDIRECT($C$5&amp;"生成成长"),2))/((VLOOKUP($B182,INDIRECT($B$5&amp;"生成成长"),4))/(VLOOKUP(BO$72,INDIRECT($C$5&amp;"生成成长"),5))*(VLOOKUP($B$5,标准坦克设计!$B$24:$U$30,MATCH("对"&amp;LEFT($C$5,2)&amp;"输出",标准坦克设计!$B$23:$U$23,0)))*(VLOOKUP($B182,INDIRECT($B$5&amp;"生成成长"),3))*(VLOOKUP($B$5,标准坦克设计!$B$14:$K$20,9)/30))</f>
        <v>1.8898447443099176</v>
      </c>
      <c r="BP182" s="173">
        <f ca="1">(VLOOKUP(BP$72,INDIRECT($C$5&amp;"生成成长"),2))/((VLOOKUP($B182,INDIRECT($B$5&amp;"生成成长"),4))/(VLOOKUP(BP$72,INDIRECT($C$5&amp;"生成成长"),5))*(VLOOKUP($B$5,标准坦克设计!$B$24:$U$30,MATCH("对"&amp;LEFT($C$5,2)&amp;"输出",标准坦克设计!$B$23:$U$23,0)))*(VLOOKUP($B182,INDIRECT($B$5&amp;"生成成长"),3))*(VLOOKUP($B$5,标准坦克设计!$B$14:$K$20,9)/30))</f>
        <v>2.0561109321806854</v>
      </c>
      <c r="BQ182" s="173">
        <f ca="1">(VLOOKUP(BQ$72,INDIRECT($C$5&amp;"生成成长"),2))/((VLOOKUP($B182,INDIRECT($B$5&amp;"生成成长"),4))/(VLOOKUP(BQ$72,INDIRECT($C$5&amp;"生成成长"),5))*(VLOOKUP($B$5,标准坦克设计!$B$24:$U$30,MATCH("对"&amp;LEFT($C$5,2)&amp;"输出",标准坦克设计!$B$23:$U$23,0)))*(VLOOKUP($B182,INDIRECT($B$5&amp;"生成成长"),3))*(VLOOKUP($B$5,标准坦克设计!$B$14:$K$20,9)/30))</f>
        <v>2.2293859991654434</v>
      </c>
      <c r="BR182" s="173">
        <f ca="1">(VLOOKUP(BR$72,INDIRECT($C$5&amp;"生成成长"),2))/((VLOOKUP($B182,INDIRECT($B$5&amp;"生成成长"),4))/(VLOOKUP(BR$72,INDIRECT($C$5&amp;"生成成长"),5))*(VLOOKUP($B$5,标准坦克设计!$B$24:$U$30,MATCH("对"&amp;LEFT($C$5,2)&amp;"输出",标准坦克设计!$B$23:$U$23,0)))*(VLOOKUP($B182,INDIRECT($B$5&amp;"生成成长"),3))*(VLOOKUP($B$5,标准坦克设计!$B$14:$K$20,9)/30))</f>
        <v>2.4301341416896078</v>
      </c>
      <c r="BS182" s="173">
        <f ca="1">(VLOOKUP(BS$72,INDIRECT($C$5&amp;"生成成长"),2))/((VLOOKUP($B182,INDIRECT($B$5&amp;"生成成长"),4))/(VLOOKUP(BS$72,INDIRECT($C$5&amp;"生成成长"),5))*(VLOOKUP($B$5,标准坦克设计!$B$24:$U$30,MATCH("对"&amp;LEFT($C$5,2)&amp;"输出",标准坦克设计!$B$23:$U$23,0)))*(VLOOKUP($B182,INDIRECT($B$5&amp;"生成成长"),3))*(VLOOKUP($B$5,标准坦克设计!$B$14:$K$20,9)/30))</f>
        <v>2.6395352213915384</v>
      </c>
      <c r="BT182" s="173">
        <f ca="1">(VLOOKUP(BT$72,INDIRECT($C$5&amp;"生成成长"),2))/((VLOOKUP($B182,INDIRECT($B$5&amp;"生成成长"),4))/(VLOOKUP(BT$72,INDIRECT($C$5&amp;"生成成长"),5))*(VLOOKUP($B$5,标准坦克设计!$B$24:$U$30,MATCH("对"&amp;LEFT($C$5,2)&amp;"输出",标准坦克设计!$B$23:$U$23,0)))*(VLOOKUP($B182,INDIRECT($B$5&amp;"生成成长"),3))*(VLOOKUP($B$5,标准坦克设计!$B$14:$K$20,9)/30))</f>
        <v>2.8575892382712333</v>
      </c>
      <c r="BU182" s="173">
        <f ca="1">(VLOOKUP(BU$72,INDIRECT($C$5&amp;"生成成长"),2))/((VLOOKUP($B182,INDIRECT($B$5&amp;"生成成长"),4))/(VLOOKUP(BU$72,INDIRECT($C$5&amp;"生成成长"),5))*(VLOOKUP($B$5,标准坦克设计!$B$24:$U$30,MATCH("对"&amp;LEFT($C$5,2)&amp;"输出",标准坦克设计!$B$23:$U$23,0)))*(VLOOKUP($B182,INDIRECT($B$5&amp;"生成成长"),3))*(VLOOKUP($B$5,标准坦克设计!$B$14:$K$20,9)/30))</f>
        <v>3.0842961923286949</v>
      </c>
      <c r="BV182" s="173">
        <f ca="1">(VLOOKUP(BV$72,INDIRECT($C$5&amp;"生成成长"),2))/((VLOOKUP($B182,INDIRECT($B$5&amp;"生成成长"),4))/(VLOOKUP(BV$72,INDIRECT($C$5&amp;"生成成长"),5))*(VLOOKUP($B$5,标准坦克设计!$B$24:$U$30,MATCH("对"&amp;LEFT($C$5,2)&amp;"输出",标准坦克设计!$B$23:$U$23,0)))*(VLOOKUP($B182,INDIRECT($B$5&amp;"生成成长"),3))*(VLOOKUP($B$5,标准坦克设计!$B$14:$K$20,9)/30))</f>
        <v>3.3196560835639217</v>
      </c>
      <c r="BW182" s="173">
        <f ca="1">(VLOOKUP(BW$72,INDIRECT($C$5&amp;"生成成长"),2))/((VLOOKUP($B182,INDIRECT($B$5&amp;"生成成长"),4))/(VLOOKUP(BW$72,INDIRECT($C$5&amp;"生成成长"),5))*(VLOOKUP($B$5,标准坦克设计!$B$24:$U$30,MATCH("对"&amp;LEFT($C$5,2)&amp;"输出",标准坦克设计!$B$23:$U$23,0)))*(VLOOKUP($B182,INDIRECT($B$5&amp;"生成成长"),3))*(VLOOKUP($B$5,标准坦克设计!$B$14:$K$20,9)/30))</f>
        <v>1.5129228008464437</v>
      </c>
      <c r="BX182" s="173">
        <f ca="1">(VLOOKUP(BX$72,INDIRECT($C$5&amp;"生成成长"),2))/((VLOOKUP($B182,INDIRECT($B$5&amp;"生成成长"),4))/(VLOOKUP(BX$72,INDIRECT($C$5&amp;"生成成长"),5))*(VLOOKUP($B$5,标准坦克设计!$B$24:$U$30,MATCH("对"&amp;LEFT($C$5,2)&amp;"输出",标准坦克设计!$B$23:$U$23,0)))*(VLOOKUP($B182,INDIRECT($B$5&amp;"生成成长"),3))*(VLOOKUP($B$5,标准坦克设计!$B$14:$K$20,9)/30))</f>
        <v>1.6790591946595452</v>
      </c>
      <c r="BY182" s="173">
        <f ca="1">(VLOOKUP(BY$72,INDIRECT($C$5&amp;"生成成长"),2))/((VLOOKUP($B182,INDIRECT($B$5&amp;"生成成长"),4))/(VLOOKUP(BY$72,INDIRECT($C$5&amp;"生成成长"),5))*(VLOOKUP($B$5,标准坦克设计!$B$24:$U$30,MATCH("对"&amp;LEFT($C$5,2)&amp;"输出",标准坦克设计!$B$23:$U$23,0)))*(VLOOKUP($B182,INDIRECT($B$5&amp;"生成成长"),3))*(VLOOKUP($B$5,标准坦克设计!$B$14:$K$20,9)/30))</f>
        <v>1.8538485256504122</v>
      </c>
      <c r="BZ182" s="173">
        <f ca="1">(VLOOKUP(BZ$72,INDIRECT($C$5&amp;"生成成长"),2))/((VLOOKUP($B182,INDIRECT($B$5&amp;"生成成长"),4))/(VLOOKUP(BZ$72,INDIRECT($C$5&amp;"生成成长"),5))*(VLOOKUP($B$5,标准坦克设计!$B$24:$U$30,MATCH("对"&amp;LEFT($C$5,2)&amp;"输出",标准坦克设计!$B$23:$U$23,0)))*(VLOOKUP($B182,INDIRECT($B$5&amp;"生成成长"),3))*(VLOOKUP($B$5,标准坦克设计!$B$14:$K$20,9)/30))</f>
        <v>2.0372907938190452</v>
      </c>
      <c r="CA182" s="173">
        <f ca="1">(VLOOKUP(CA$72,INDIRECT($C$5&amp;"生成成长"),2))/((VLOOKUP($B182,INDIRECT($B$5&amp;"生成成长"),4))/(VLOOKUP(CA$72,INDIRECT($C$5&amp;"生成成长"),5))*(VLOOKUP($B$5,标准坦克设计!$B$24:$U$30,MATCH("对"&amp;LEFT($C$5,2)&amp;"输出",标准坦克设计!$B$23:$U$23,0)))*(VLOOKUP($B182,INDIRECT($B$5&amp;"生成成长"),3))*(VLOOKUP($B$5,标准坦克设计!$B$14:$K$20,9)/30))</f>
        <v>2.2293859991654434</v>
      </c>
      <c r="CB182" s="173">
        <f ca="1">(VLOOKUP(CB$72,INDIRECT($C$5&amp;"生成成长"),2))/((VLOOKUP($B182,INDIRECT($B$5&amp;"生成成长"),4))/(VLOOKUP(CB$72,INDIRECT($C$5&amp;"生成成长"),5))*(VLOOKUP($B$5,标准坦克设计!$B$24:$U$30,MATCH("对"&amp;LEFT($C$5,2)&amp;"输出",标准坦克设计!$B$23:$U$23,0)))*(VLOOKUP($B182,INDIRECT($B$5&amp;"生成成长"),3))*(VLOOKUP($B$5,标准坦克设计!$B$14:$K$20,9)/30))</f>
        <v>2.4301341416896078</v>
      </c>
      <c r="CC182" s="173">
        <f ca="1">(VLOOKUP(CC$72,INDIRECT($C$5&amp;"生成成长"),2))/((VLOOKUP($B182,INDIRECT($B$5&amp;"生成成长"),4))/(VLOOKUP(CC$72,INDIRECT($C$5&amp;"生成成长"),5))*(VLOOKUP($B$5,标准坦克设计!$B$24:$U$30,MATCH("对"&amp;LEFT($C$5,2)&amp;"输出",标准坦克设计!$B$23:$U$23,0)))*(VLOOKUP($B182,INDIRECT($B$5&amp;"生成成长"),3))*(VLOOKUP($B$5,标准坦克设计!$B$14:$K$20,9)/30))</f>
        <v>2.6395352213915384</v>
      </c>
      <c r="CD182" s="173">
        <f ca="1">(VLOOKUP(CD$72,INDIRECT($C$5&amp;"生成成长"),2))/((VLOOKUP($B182,INDIRECT($B$5&amp;"生成成长"),4))/(VLOOKUP(CD$72,INDIRECT($C$5&amp;"生成成长"),5))*(VLOOKUP($B$5,标准坦克设计!$B$24:$U$30,MATCH("对"&amp;LEFT($C$5,2)&amp;"输出",标准坦克设计!$B$23:$U$23,0)))*(VLOOKUP($B182,INDIRECT($B$5&amp;"生成成长"),3))*(VLOOKUP($B$5,标准坦克设计!$B$14:$K$20,9)/30))</f>
        <v>2.8575892382712333</v>
      </c>
      <c r="CE182" s="173">
        <f ca="1">(VLOOKUP(CE$72,INDIRECT($C$5&amp;"生成成长"),2))/((VLOOKUP($B182,INDIRECT($B$5&amp;"生成成长"),4))/(VLOOKUP(CE$72,INDIRECT($C$5&amp;"生成成长"),5))*(VLOOKUP($B$5,标准坦克设计!$B$24:$U$30,MATCH("对"&amp;LEFT($C$5,2)&amp;"输出",标准坦克设计!$B$23:$U$23,0)))*(VLOOKUP($B182,INDIRECT($B$5&amp;"生成成长"),3))*(VLOOKUP($B$5,标准坦克设计!$B$14:$K$20,9)/30))</f>
        <v>3.0842961923286949</v>
      </c>
      <c r="CF182" s="173">
        <f ca="1">(VLOOKUP(CF$72,INDIRECT($C$5&amp;"生成成长"),2))/((VLOOKUP($B182,INDIRECT($B$5&amp;"生成成长"),4))/(VLOOKUP(CF$72,INDIRECT($C$5&amp;"生成成长"),5))*(VLOOKUP($B$5,标准坦克设计!$B$24:$U$30,MATCH("对"&amp;LEFT($C$5,2)&amp;"输出",标准坦克设计!$B$23:$U$23,0)))*(VLOOKUP($B182,INDIRECT($B$5&amp;"生成成长"),3))*(VLOOKUP($B$5,标准坦克设计!$B$14:$K$20,9)/30))</f>
        <v>3.3196560835639217</v>
      </c>
      <c r="CG182" s="173">
        <f ca="1">(VLOOKUP(CG$72,INDIRECT($C$5&amp;"生成成长"),2))/((VLOOKUP($B182,INDIRECT($B$5&amp;"生成成长"),4))/(VLOOKUP(CG$72,INDIRECT($C$5&amp;"生成成长"),5))*(VLOOKUP($B$5,标准坦克设计!$B$24:$U$30,MATCH("对"&amp;LEFT($C$5,2)&amp;"输出",标准坦克设计!$B$23:$U$23,0)))*(VLOOKUP($B182,INDIRECT($B$5&amp;"生成成长"),3))*(VLOOKUP($B$5,标准坦克设计!$B$14:$K$20,9)/30))</f>
        <v>3.5636689119769147</v>
      </c>
      <c r="CH182" s="173">
        <f ca="1">(VLOOKUP(CH$72,INDIRECT($C$5&amp;"生成成长"),2))/((VLOOKUP($B182,INDIRECT($B$5&amp;"生成成长"),4))/(VLOOKUP(CH$72,INDIRECT($C$5&amp;"生成成长"),5))*(VLOOKUP($B$5,标准坦克设计!$B$24:$U$30,MATCH("对"&amp;LEFT($C$5,2)&amp;"输出",标准坦克设计!$B$23:$U$23,0)))*(VLOOKUP($B182,INDIRECT($B$5&amp;"生成成长"),3))*(VLOOKUP($B$5,标准坦克设计!$B$14:$K$20,9)/30))</f>
        <v>3.8163346775676725</v>
      </c>
      <c r="CI182" s="173">
        <f ca="1">(VLOOKUP(CI$72,INDIRECT($C$5&amp;"生成成长"),2))/((VLOOKUP($B182,INDIRECT($B$5&amp;"生成成长"),4))/(VLOOKUP(CI$72,INDIRECT($C$5&amp;"生成成长"),5))*(VLOOKUP($B$5,标准坦克设计!$B$24:$U$30,MATCH("对"&amp;LEFT($C$5,2)&amp;"输出",标准坦克设计!$B$23:$U$23,0)))*(VLOOKUP($B182,INDIRECT($B$5&amp;"生成成长"),3))*(VLOOKUP($B$5,标准坦克设计!$B$14:$K$20,9)/30))</f>
        <v>4.104261162157826</v>
      </c>
      <c r="CJ182" s="173">
        <f ca="1">(VLOOKUP(CJ$72,INDIRECT($C$5&amp;"生成成长"),2))/((VLOOKUP($B182,INDIRECT($B$5&amp;"生成成长"),4))/(VLOOKUP(CJ$72,INDIRECT($C$5&amp;"生成成长"),5))*(VLOOKUP($B$5,标准坦克设计!$B$24:$U$30,MATCH("对"&amp;LEFT($C$5,2)&amp;"输出",标准坦克设计!$B$23:$U$23,0)))*(VLOOKUP($B182,INDIRECT($B$5&amp;"生成成长"),3))*(VLOOKUP($B$5,标准坦克设计!$B$14:$K$20,9)/30))</f>
        <v>4.4026577007330774</v>
      </c>
      <c r="CK182" s="173">
        <f ca="1">(VLOOKUP(CK$72,INDIRECT($C$5&amp;"生成成长"),2))/((VLOOKUP($B182,INDIRECT($B$5&amp;"生成成长"),4))/(VLOOKUP(CK$72,INDIRECT($C$5&amp;"生成成长"),5))*(VLOOKUP($B$5,标准坦克设计!$B$24:$U$30,MATCH("对"&amp;LEFT($C$5,2)&amp;"输出",标准坦克设计!$B$23:$U$23,0)))*(VLOOKUP($B182,INDIRECT($B$5&amp;"生成成长"),3))*(VLOOKUP($B$5,标准坦克设计!$B$14:$K$20,9)/30))</f>
        <v>4.7115242932934231</v>
      </c>
      <c r="CL182" s="173">
        <f ca="1">(VLOOKUP(CL$72,INDIRECT($C$5&amp;"生成成长"),2))/((VLOOKUP($B182,INDIRECT($B$5&amp;"生成成长"),4))/(VLOOKUP(CL$72,INDIRECT($C$5&amp;"生成成长"),5))*(VLOOKUP($B$5,标准坦克设计!$B$24:$U$30,MATCH("对"&amp;LEFT($C$5,2)&amp;"输出",标准坦克设计!$B$23:$U$23,0)))*(VLOOKUP($B182,INDIRECT($B$5&amp;"生成成长"),3))*(VLOOKUP($B$5,标准坦克设计!$B$14:$K$20,9)/30))</f>
        <v>5.0308609398388668</v>
      </c>
      <c r="CM182" s="173">
        <f ca="1">(VLOOKUP(CM$72,INDIRECT($C$5&amp;"生成成长"),2))/((VLOOKUP($B182,INDIRECT($B$5&amp;"生成成长"),4))/(VLOOKUP(CM$72,INDIRECT($C$5&amp;"生成成长"),5))*(VLOOKUP($B$5,标准坦克设计!$B$24:$U$30,MATCH("对"&amp;LEFT($C$5,2)&amp;"输出",标准坦克设计!$B$23:$U$23,0)))*(VLOOKUP($B182,INDIRECT($B$5&amp;"生成成长"),3))*(VLOOKUP($B$5,标准坦克设计!$B$14:$K$20,9)/30))</f>
        <v>5.3606676403694067</v>
      </c>
      <c r="CN182" s="173">
        <f ca="1">(VLOOKUP(CN$72,INDIRECT($C$5&amp;"生成成长"),2))/((VLOOKUP($B182,INDIRECT($B$5&amp;"生成成长"),4))/(VLOOKUP(CN$72,INDIRECT($C$5&amp;"生成成长"),5))*(VLOOKUP($B$5,标准坦克设计!$B$24:$U$30,MATCH("对"&amp;LEFT($C$5,2)&amp;"输出",标准坦克设计!$B$23:$U$23,0)))*(VLOOKUP($B182,INDIRECT($B$5&amp;"生成成长"),3))*(VLOOKUP($B$5,标准坦克设计!$B$14:$K$20,9)/30))</f>
        <v>5.7009443948850418</v>
      </c>
      <c r="CO182" s="173">
        <f ca="1">(VLOOKUP(CO$72,INDIRECT($C$5&amp;"生成成长"),2))/((VLOOKUP($B182,INDIRECT($B$5&amp;"生成成长"),4))/(VLOOKUP(CO$72,INDIRECT($C$5&amp;"生成成长"),5))*(VLOOKUP($B$5,标准坦克设计!$B$24:$U$30,MATCH("对"&amp;LEFT($C$5,2)&amp;"输出",标准坦克设计!$B$23:$U$23,0)))*(VLOOKUP($B182,INDIRECT($B$5&amp;"生成成长"),3))*(VLOOKUP($B$5,标准坦克设计!$B$14:$K$20,9)/30))</f>
        <v>2.5547364370494341</v>
      </c>
      <c r="CP182" s="173">
        <f ca="1">(VLOOKUP(CP$72,INDIRECT($C$5&amp;"生成成长"),2))/((VLOOKUP($B182,INDIRECT($B$5&amp;"生成成长"),4))/(VLOOKUP(CP$72,INDIRECT($C$5&amp;"生成成长"),5))*(VLOOKUP($B$5,标准坦克设计!$B$24:$U$30,MATCH("对"&amp;LEFT($C$5,2)&amp;"输出",标准坦克设计!$B$23:$U$23,0)))*(VLOOKUP($B182,INDIRECT($B$5&amp;"生成成长"),3))*(VLOOKUP($B$5,标准坦克设计!$B$14:$K$20,9)/30))</f>
        <v>2.7912644748036599</v>
      </c>
      <c r="CQ182" s="173">
        <f ca="1">(VLOOKUP(CQ$72,INDIRECT($C$5&amp;"生成成长"),2))/((VLOOKUP($B182,INDIRECT($B$5&amp;"生成成长"),4))/(VLOOKUP(CQ$72,INDIRECT($C$5&amp;"生成成长"),5))*(VLOOKUP($B$5,标准坦克设计!$B$24:$U$30,MATCH("对"&amp;LEFT($C$5,2)&amp;"输出",标准坦克设计!$B$23:$U$23,0)))*(VLOOKUP($B182,INDIRECT($B$5&amp;"生成成长"),3))*(VLOOKUP($B$5,标准坦克设计!$B$14:$K$20,9)/30))</f>
        <v>3.038262566542981</v>
      </c>
      <c r="CR182" s="173">
        <f ca="1">(VLOOKUP(CR$72,INDIRECT($C$5&amp;"生成成长"),2))/((VLOOKUP($B182,INDIRECT($B$5&amp;"生成成长"),4))/(VLOOKUP(CR$72,INDIRECT($C$5&amp;"生成成长"),5))*(VLOOKUP($B$5,标准坦克设计!$B$24:$U$30,MATCH("对"&amp;LEFT($C$5,2)&amp;"输出",标准坦克设计!$B$23:$U$23,0)))*(VLOOKUP($B182,INDIRECT($B$5&amp;"生成成长"),3))*(VLOOKUP($B$5,标准坦克设计!$B$14:$K$20,9)/30))</f>
        <v>3.2957307122673996</v>
      </c>
      <c r="CS182" s="173">
        <f ca="1">(VLOOKUP(CS$72,INDIRECT($C$5&amp;"生成成长"),2))/((VLOOKUP($B182,INDIRECT($B$5&amp;"生成成长"),4))/(VLOOKUP(CS$72,INDIRECT($C$5&amp;"生成成长"),5))*(VLOOKUP($B$5,标准坦克设计!$B$24:$U$30,MATCH("对"&amp;LEFT($C$5,2)&amp;"输出",标准坦克设计!$B$23:$U$23,0)))*(VLOOKUP($B182,INDIRECT($B$5&amp;"生成成长"),3))*(VLOOKUP($B$5,标准坦克设计!$B$14:$K$20,9)/30))</f>
        <v>3.5636689119769147</v>
      </c>
      <c r="CT182" s="173">
        <f ca="1">(VLOOKUP(CT$72,INDIRECT($C$5&amp;"生成成长"),2))/((VLOOKUP($B182,INDIRECT($B$5&amp;"生成成长"),4))/(VLOOKUP(CT$72,INDIRECT($C$5&amp;"生成成长"),5))*(VLOOKUP($B$5,标准坦克设计!$B$24:$U$30,MATCH("对"&amp;LEFT($C$5,2)&amp;"输出",标准坦克设计!$B$23:$U$23,0)))*(VLOOKUP($B182,INDIRECT($B$5&amp;"生成成长"),3))*(VLOOKUP($B$5,标准坦克设计!$B$14:$K$20,9)/30))</f>
        <v>3.8420771656715265</v>
      </c>
      <c r="CU182" s="173">
        <f ca="1">(VLOOKUP(CU$72,INDIRECT($C$5&amp;"生成成长"),2))/((VLOOKUP($B182,INDIRECT($B$5&amp;"生成成长"),4))/(VLOOKUP(CU$72,INDIRECT($C$5&amp;"生成成长"),5))*(VLOOKUP($B$5,标准坦克设计!$B$24:$U$30,MATCH("对"&amp;LEFT($C$5,2)&amp;"输出",标准坦克设计!$B$23:$U$23,0)))*(VLOOKUP($B182,INDIRECT($B$5&amp;"生成成长"),3))*(VLOOKUP($B$5,标准坦克设计!$B$14:$K$20,9)/30))</f>
        <v>4.1309554733512339</v>
      </c>
      <c r="CV182" s="173">
        <f ca="1">(VLOOKUP(CV$72,INDIRECT($C$5&amp;"生成成长"),2))/((VLOOKUP($B182,INDIRECT($B$5&amp;"生成成长"),4))/(VLOOKUP(CV$72,INDIRECT($C$5&amp;"生成成长"),5))*(VLOOKUP($B$5,标准坦克设计!$B$24:$U$30,MATCH("对"&amp;LEFT($C$5,2)&amp;"输出",标准坦克设计!$B$23:$U$23,0)))*(VLOOKUP($B182,INDIRECT($B$5&amp;"生成成长"),3))*(VLOOKUP($B$5,标准坦克设计!$B$14:$K$20,9)/30))</f>
        <v>4.430303835016038</v>
      </c>
      <c r="CW182" s="173">
        <f ca="1">(VLOOKUP(CW$72,INDIRECT($C$5&amp;"生成成长"),2))/((VLOOKUP($B182,INDIRECT($B$5&amp;"生成成长"),4))/(VLOOKUP(CW$72,INDIRECT($C$5&amp;"生成成长"),5))*(VLOOKUP($B$5,标准坦克设计!$B$24:$U$30,MATCH("对"&amp;LEFT($C$5,2)&amp;"输出",标准坦克设计!$B$23:$U$23,0)))*(VLOOKUP($B182,INDIRECT($B$5&amp;"生成成长"),3))*(VLOOKUP($B$5,标准坦克设计!$B$14:$K$20,9)/30))</f>
        <v>4.7401222506659391</v>
      </c>
      <c r="CX182" s="173">
        <f ca="1">(VLOOKUP(CX$72,INDIRECT($C$5&amp;"生成成长"),2))/((VLOOKUP($B182,INDIRECT($B$5&amp;"生成成长"),4))/(VLOOKUP(CX$72,INDIRECT($C$5&amp;"生成成长"),5))*(VLOOKUP($B$5,标准坦克设计!$B$24:$U$30,MATCH("对"&amp;LEFT($C$5,2)&amp;"输出",标准坦克设计!$B$23:$U$23,0)))*(VLOOKUP($B182,INDIRECT($B$5&amp;"生成成长"),3))*(VLOOKUP($B$5,标准坦克设计!$B$14:$K$20,9)/30))</f>
        <v>5.0604107203009363</v>
      </c>
      <c r="CY182" s="173">
        <f ca="1">(VLOOKUP(CY$72,INDIRECT($C$5&amp;"生成成长"),2))/((VLOOKUP($B182,INDIRECT($B$5&amp;"生成成长"),4))/(VLOOKUP(CY$72,INDIRECT($C$5&amp;"生成成长"),5))*(VLOOKUP($B$5,标准坦克设计!$B$24:$U$30,MATCH("对"&amp;LEFT($C$5,2)&amp;"输出",标准坦克设计!$B$23:$U$23,0)))*(VLOOKUP($B182,INDIRECT($B$5&amp;"生成成长"),3))*(VLOOKUP($B$5,标准坦克设计!$B$14:$K$20,9)/30))</f>
        <v>5.3911692439210306</v>
      </c>
      <c r="CZ182" s="173">
        <f ca="1">(VLOOKUP(CZ$72,INDIRECT($C$5&amp;"生成成长"),2))/((VLOOKUP($B182,INDIRECT($B$5&amp;"生成成长"),4))/(VLOOKUP(CZ$72,INDIRECT($C$5&amp;"生成成长"),5))*(VLOOKUP($B$5,标准坦克设计!$B$24:$U$30,MATCH("对"&amp;LEFT($C$5,2)&amp;"输出",标准坦克设计!$B$23:$U$23,0)))*(VLOOKUP($B182,INDIRECT($B$5&amp;"生成成长"),3))*(VLOOKUP($B$5,标准坦克设计!$B$14:$K$20,9)/30))</f>
        <v>5.7323978215262201</v>
      </c>
      <c r="DA182" s="173">
        <f ca="1">(VLOOKUP(DA$72,INDIRECT($C$5&amp;"生成成长"),2))/((VLOOKUP($B182,INDIRECT($B$5&amp;"生成成长"),4))/(VLOOKUP(DA$72,INDIRECT($C$5&amp;"生成成长"),5))*(VLOOKUP($B$5,标准坦克设计!$B$24:$U$30,MATCH("对"&amp;LEFT($C$5,2)&amp;"输出",标准坦克设计!$B$23:$U$23,0)))*(VLOOKUP($B182,INDIRECT($B$5&amp;"生成成长"),3))*(VLOOKUP($B$5,标准坦克设计!$B$14:$K$20,9)/30))</f>
        <v>6.0840964531165067</v>
      </c>
      <c r="DB182" s="173">
        <f ca="1">(VLOOKUP(DB$72,INDIRECT($C$5&amp;"生成成长"),2))/((VLOOKUP($B182,INDIRECT($B$5&amp;"生成成长"),4))/(VLOOKUP(DB$72,INDIRECT($C$5&amp;"生成成长"),5))*(VLOOKUP($B$5,标准坦克设计!$B$24:$U$30,MATCH("对"&amp;LEFT($C$5,2)&amp;"输出",标准坦克设计!$B$23:$U$23,0)))*(VLOOKUP($B182,INDIRECT($B$5&amp;"生成成长"),3))*(VLOOKUP($B$5,标准坦克设计!$B$14:$K$20,9)/30))</f>
        <v>6.4462651386918903</v>
      </c>
      <c r="DC182" s="173">
        <f ca="1">(VLOOKUP(DC$72,INDIRECT($C$5&amp;"生成成长"),2))/((VLOOKUP($B182,INDIRECT($B$5&amp;"生成成长"),4))/(VLOOKUP(DC$72,INDIRECT($C$5&amp;"生成成长"),5))*(VLOOKUP($B$5,标准坦克设计!$B$24:$U$30,MATCH("对"&amp;LEFT($C$5,2)&amp;"输出",标准坦克设计!$B$23:$U$23,0)))*(VLOOKUP($B182,INDIRECT($B$5&amp;"生成成长"),3))*(VLOOKUP($B$5,标准坦克设计!$B$14:$K$20,9)/30))</f>
        <v>6.8532993035339889</v>
      </c>
      <c r="DD182" s="173">
        <f ca="1">(VLOOKUP(DD$72,INDIRECT($C$5&amp;"生成成长"),2))/((VLOOKUP($B182,INDIRECT($B$5&amp;"生成成长"),4))/(VLOOKUP(DD$72,INDIRECT($C$5&amp;"生成成长"),5))*(VLOOKUP($B$5,标准坦克设计!$B$24:$U$30,MATCH("对"&amp;LEFT($C$5,2)&amp;"输出",标准坦克设计!$B$23:$U$23,0)))*(VLOOKUP($B182,INDIRECT($B$5&amp;"生成成长"),3))*(VLOOKUP($B$5,标准坦克设计!$B$14:$K$20,9)/30))</f>
        <v>7.2727936979120704</v>
      </c>
      <c r="DE182" s="173">
        <f ca="1">(VLOOKUP(DE$72,INDIRECT($C$5&amp;"生成成长"),2))/((VLOOKUP($B182,INDIRECT($B$5&amp;"生成成长"),4))/(VLOOKUP(DE$72,INDIRECT($C$5&amp;"生成成长"),5))*(VLOOKUP($B$5,标准坦克设计!$B$24:$U$30,MATCH("对"&amp;LEFT($C$5,2)&amp;"输出",标准坦克设计!$B$23:$U$23,0)))*(VLOOKUP($B182,INDIRECT($B$5&amp;"生成成长"),3))*(VLOOKUP($B$5,标准坦克设计!$B$14:$K$20,9)/30))</f>
        <v>7.7047483218261341</v>
      </c>
      <c r="DF182" s="173">
        <f ca="1">(VLOOKUP(DF$72,INDIRECT($C$5&amp;"生成成长"),2))/((VLOOKUP($B182,INDIRECT($B$5&amp;"生成成长"),4))/(VLOOKUP(DF$72,INDIRECT($C$5&amp;"生成成长"),5))*(VLOOKUP($B$5,标准坦克设计!$B$24:$U$30,MATCH("对"&amp;LEFT($C$5,2)&amp;"输出",标准坦克设计!$B$23:$U$23,0)))*(VLOOKUP($B182,INDIRECT($B$5&amp;"生成成长"),3))*(VLOOKUP($B$5,标准坦克设计!$B$14:$K$20,9)/30))</f>
        <v>8.1491631752761808</v>
      </c>
      <c r="DG182" s="173">
        <f ca="1">(VLOOKUP(DG$72,INDIRECT($C$5&amp;"生成成长"),2))/((VLOOKUP($B182,INDIRECT($B$5&amp;"生成成长"),4))/(VLOOKUP(DG$72,INDIRECT($C$5&amp;"生成成长"),5))*(VLOOKUP($B$5,标准坦克设计!$B$24:$U$30,MATCH("对"&amp;LEFT($C$5,2)&amp;"输出",标准坦克设计!$B$23:$U$23,0)))*(VLOOKUP($B182,INDIRECT($B$5&amp;"生成成长"),3))*(VLOOKUP($B$5,标准坦克设计!$B$14:$K$20,9)/30))</f>
        <v>8.6060382582622079</v>
      </c>
      <c r="DH182" s="173">
        <f ca="1">(VLOOKUP(DH$72,INDIRECT($C$5&amp;"生成成长"),2))/((VLOOKUP($B182,INDIRECT($B$5&amp;"生成成长"),4))/(VLOOKUP(DH$72,INDIRECT($C$5&amp;"生成成长"),5))*(VLOOKUP($B$5,标准坦克设计!$B$24:$U$30,MATCH("对"&amp;LEFT($C$5,2)&amp;"输出",标准坦克设计!$B$23:$U$23,0)))*(VLOOKUP($B182,INDIRECT($B$5&amp;"生成成长"),3))*(VLOOKUP($B$5,标准坦克设计!$B$14:$K$20,9)/30))</f>
        <v>9.0753735707842207</v>
      </c>
      <c r="DI182" s="173">
        <f ca="1">(VLOOKUP(DI$72,INDIRECT($C$5&amp;"生成成长"),2))/((VLOOKUP($B182,INDIRECT($B$5&amp;"生成成长"),4))/(VLOOKUP(DI$72,INDIRECT($C$5&amp;"生成成长"),5))*(VLOOKUP($B$5,标准坦克设计!$B$24:$U$30,MATCH("对"&amp;LEFT($C$5,2)&amp;"输出",标准坦克设计!$B$23:$U$23,0)))*(VLOOKUP($B182,INDIRECT($B$5&amp;"生成成长"),3))*(VLOOKUP($B$5,标准坦克设计!$B$14:$K$20,9)/30))</f>
        <v>9.5571691128422156</v>
      </c>
      <c r="DJ182" s="173">
        <f ca="1">(VLOOKUP(DJ$72,INDIRECT($C$5&amp;"生成成长"),2))/((VLOOKUP($B182,INDIRECT($B$5&amp;"生成成长"),4))/(VLOOKUP(DJ$72,INDIRECT($C$5&amp;"生成成长"),5))*(VLOOKUP($B$5,标准坦克设计!$B$24:$U$30,MATCH("对"&amp;LEFT($C$5,2)&amp;"输出",标准坦克设计!$B$23:$U$23,0)))*(VLOOKUP($B182,INDIRECT($B$5&amp;"生成成长"),3))*(VLOOKUP($B$5,标准坦克设计!$B$14:$K$20,9)/30))</f>
        <v>0.96051929141788162</v>
      </c>
      <c r="DK182" s="173">
        <f ca="1">(VLOOKUP(DK$72,INDIRECT($C$5&amp;"生成成长"),2))/((VLOOKUP($B182,INDIRECT($B$5&amp;"生成成长"),4))/(VLOOKUP(DK$72,INDIRECT($C$5&amp;"生成成长"),5))*(VLOOKUP($B$5,标准坦克设计!$B$24:$U$30,MATCH("对"&amp;LEFT($C$5,2)&amp;"输出",标准坦克设计!$B$23:$U$23,0)))*(VLOOKUP($B182,INDIRECT($B$5&amp;"生成成长"),3))*(VLOOKUP($B$5,标准坦克设计!$B$14:$K$20,9)/30))</f>
        <v>1.0800596185287148</v>
      </c>
      <c r="DL182" s="173">
        <f ca="1">(VLOOKUP(DL$72,INDIRECT($C$5&amp;"生成成长"),2))/((VLOOKUP($B182,INDIRECT($B$5&amp;"生成成长"),4))/(VLOOKUP(DL$72,INDIRECT($C$5&amp;"生成成长"),5))*(VLOOKUP($B$5,标准坦克设计!$B$24:$U$30,MATCH("对"&amp;LEFT($C$5,2)&amp;"输出",标准坦克设计!$B$23:$U$23,0)))*(VLOOKUP($B182,INDIRECT($B$5&amp;"生成成长"),3))*(VLOOKUP($B$5,标准坦克设计!$B$14:$K$20,9)/30))</f>
        <v>1.206608824753538</v>
      </c>
      <c r="DM182" s="173">
        <f ca="1">(VLOOKUP(DM$72,INDIRECT($C$5&amp;"生成成长"),2))/((VLOOKUP($B182,INDIRECT($B$5&amp;"生成成长"),4))/(VLOOKUP(DM$72,INDIRECT($C$5&amp;"生成成长"),5))*(VLOOKUP($B$5,标准坦克设计!$B$24:$U$30,MATCH("对"&amp;LEFT($C$5,2)&amp;"输出",标准坦克设计!$B$23:$U$23,0)))*(VLOOKUP($B182,INDIRECT($B$5&amp;"生成成长"),3))*(VLOOKUP($B$5,标准坦克设计!$B$14:$K$20,9)/30))</f>
        <v>1.3401669100923517</v>
      </c>
      <c r="DN182" s="173">
        <f ca="1">(VLOOKUP(DN$72,INDIRECT($C$5&amp;"生成成长"),2))/((VLOOKUP($B182,INDIRECT($B$5&amp;"生成成长"),4))/(VLOOKUP(DN$72,INDIRECT($C$5&amp;"生成成长"),5))*(VLOOKUP($B$5,标准坦克设计!$B$24:$U$30,MATCH("对"&amp;LEFT($C$5,2)&amp;"输出",标准坦克设计!$B$23:$U$23,0)))*(VLOOKUP($B182,INDIRECT($B$5&amp;"生成成长"),3))*(VLOOKUP($B$5,标准坦克设计!$B$14:$K$20,9)/30))</f>
        <v>1.4807338745451555</v>
      </c>
      <c r="DO182" s="173">
        <f ca="1">(VLOOKUP(DO$72,INDIRECT($C$5&amp;"生成成长"),2))/((VLOOKUP($B182,INDIRECT($B$5&amp;"生成成长"),4))/(VLOOKUP(DO$72,INDIRECT($C$5&amp;"生成成长"),5))*(VLOOKUP($B$5,标准坦克设计!$B$24:$U$30,MATCH("对"&amp;LEFT($C$5,2)&amp;"输出",标准坦克设计!$B$23:$U$23,0)))*(VLOOKUP($B182,INDIRECT($B$5&amp;"生成成长"),3))*(VLOOKUP($B$5,标准坦克设计!$B$14:$K$20,9)/30))</f>
        <v>1.6283097181119492</v>
      </c>
      <c r="DP182" s="173">
        <f ca="1">(VLOOKUP(DP$72,INDIRECT($C$5&amp;"生成成长"),2))/((VLOOKUP($B182,INDIRECT($B$5&amp;"生成成长"),4))/(VLOOKUP(DP$72,INDIRECT($C$5&amp;"生成成长"),5))*(VLOOKUP($B$5,标准坦克设计!$B$24:$U$30,MATCH("对"&amp;LEFT($C$5,2)&amp;"输出",标准坦克设计!$B$23:$U$23,0)))*(VLOOKUP($B182,INDIRECT($B$5&amp;"生成成长"),3))*(VLOOKUP($B$5,标准坦克设计!$B$14:$K$20,9)/30))</f>
        <v>1.7828944407927336</v>
      </c>
      <c r="DQ182" s="173">
        <f ca="1">(VLOOKUP(DQ$72,INDIRECT($C$5&amp;"生成成长"),2))/((VLOOKUP($B182,INDIRECT($B$5&amp;"生成成长"),4))/(VLOOKUP(DQ$72,INDIRECT($C$5&amp;"生成成长"),5))*(VLOOKUP($B$5,标准坦克设计!$B$24:$U$30,MATCH("对"&amp;LEFT($C$5,2)&amp;"输出",标准坦克设计!$B$23:$U$23,0)))*(VLOOKUP($B182,INDIRECT($B$5&amp;"生成成长"),3))*(VLOOKUP($B$5,标准坦克设计!$B$14:$K$20,9)/30))</f>
        <v>1.9444880425875077</v>
      </c>
      <c r="DR182" s="173">
        <f ca="1">(VLOOKUP(DR$72,INDIRECT($C$5&amp;"生成成长"),2))/((VLOOKUP($B182,INDIRECT($B$5&amp;"生成成长"),4))/(VLOOKUP(DR$72,INDIRECT($C$5&amp;"生成成长"),5))*(VLOOKUP($B$5,标准坦克设计!$B$24:$U$30,MATCH("对"&amp;LEFT($C$5,2)&amp;"输出",标准坦克设计!$B$23:$U$23,0)))*(VLOOKUP($B182,INDIRECT($B$5&amp;"生成成长"),3))*(VLOOKUP($B$5,标准坦克设计!$B$14:$K$20,9)/30))</f>
        <v>2.1130905234962727</v>
      </c>
      <c r="DS182" s="173">
        <f ca="1">(VLOOKUP(DS$72,INDIRECT($C$5&amp;"生成成长"),2))/((VLOOKUP($B182,INDIRECT($B$5&amp;"生成成长"),4))/(VLOOKUP(DS$72,INDIRECT($C$5&amp;"生成成长"),5))*(VLOOKUP($B$5,标准坦克设计!$B$24:$U$30,MATCH("对"&amp;LEFT($C$5,2)&amp;"输出",标准坦克设计!$B$23:$U$23,0)))*(VLOOKUP($B182,INDIRECT($B$5&amp;"生成成长"),3))*(VLOOKUP($B$5,标准坦克设计!$B$14:$K$20,9)/30))</f>
        <v>2.2887018835190278</v>
      </c>
      <c r="DT182" s="173">
        <f ca="1">(VLOOKUP(DT$72,INDIRECT($C$5&amp;"生成成长"),2))/((VLOOKUP($B182,INDIRECT($B$5&amp;"生成成长"),4))/(VLOOKUP(DT$72,INDIRECT($C$5&amp;"生成成长"),5))*(VLOOKUP($B$5,标准坦克设计!$B$24:$U$30,MATCH("对"&amp;LEFT($C$5,2)&amp;"输出",标准坦克设计!$B$23:$U$23,0)))*(VLOOKUP($B182,INDIRECT($B$5&amp;"生成成长"),3))*(VLOOKUP($B$5,标准坦克设计!$B$14:$K$20,9)/30))</f>
        <v>2.5128562211090482</v>
      </c>
      <c r="DU182" s="173">
        <f ca="1">(VLOOKUP(DU$72,INDIRECT($C$5&amp;"生成成长"),2))/((VLOOKUP($B182,INDIRECT($B$5&amp;"生成成长"),4))/(VLOOKUP(DU$72,INDIRECT($C$5&amp;"生成成长"),5))*(VLOOKUP($B$5,标准坦克设计!$B$24:$U$30,MATCH("对"&amp;LEFT($C$5,2)&amp;"输出",标准坦克设计!$B$23:$U$23,0)))*(VLOOKUP($B182,INDIRECT($B$5&amp;"生成成长"),3))*(VLOOKUP($B$5,标准坦克设计!$B$14:$K$20,9)/30))</f>
        <v>2.7474806126841651</v>
      </c>
      <c r="DV182" s="173">
        <f ca="1">(VLOOKUP(DV$72,INDIRECT($C$5&amp;"生成成长"),2))/((VLOOKUP($B182,INDIRECT($B$5&amp;"生成成长"),4))/(VLOOKUP(DV$72,INDIRECT($C$5&amp;"生成成长"),5))*(VLOOKUP($B$5,标准坦克设计!$B$24:$U$30,MATCH("对"&amp;LEFT($C$5,2)&amp;"输出",标准坦克设计!$B$23:$U$23,0)))*(VLOOKUP($B182,INDIRECT($B$5&amp;"生成成长"),3))*(VLOOKUP($B$5,标准坦克设计!$B$14:$K$20,9)/30))</f>
        <v>2.9925750582443782</v>
      </c>
      <c r="DW182" s="173">
        <f ca="1">(VLOOKUP(DW$72,INDIRECT($C$5&amp;"生成成长"),2))/((VLOOKUP($B182,INDIRECT($B$5&amp;"生成成长"),4))/(VLOOKUP(DW$72,INDIRECT($C$5&amp;"生成成长"),5))*(VLOOKUP($B$5,标准坦克设计!$B$24:$U$30,MATCH("对"&amp;LEFT($C$5,2)&amp;"输出",标准坦克设计!$B$23:$U$23,0)))*(VLOOKUP($B182,INDIRECT($B$5&amp;"生成成长"),3))*(VLOOKUP($B$5,标准坦克设计!$B$14:$K$20,9)/30))</f>
        <v>3.2481395577896879</v>
      </c>
      <c r="DX182" s="173">
        <f ca="1">(VLOOKUP(DX$72,INDIRECT($C$5&amp;"生成成长"),2))/((VLOOKUP($B182,INDIRECT($B$5&amp;"生成成长"),4))/(VLOOKUP(DX$72,INDIRECT($C$5&amp;"生成成长"),5))*(VLOOKUP($B$5,标准坦克设计!$B$24:$U$30,MATCH("对"&amp;LEFT($C$5,2)&amp;"输出",标准坦克设计!$B$23:$U$23,0)))*(VLOOKUP($B182,INDIRECT($B$5&amp;"生成成长"),3))*(VLOOKUP($B$5,标准坦克设计!$B$14:$K$20,9)/30))</f>
        <v>3.5141741113200937</v>
      </c>
      <c r="DY182" s="173">
        <f ca="1">(VLOOKUP(DY$72,INDIRECT($C$5&amp;"生成成长"),2))/((VLOOKUP($B182,INDIRECT($B$5&amp;"生成成长"),4))/(VLOOKUP(DY$72,INDIRECT($C$5&amp;"生成成长"),5))*(VLOOKUP($B$5,标准坦克设计!$B$24:$U$30,MATCH("对"&amp;LEFT($C$5,2)&amp;"输出",标准坦克设计!$B$23:$U$23,0)))*(VLOOKUP($B182,INDIRECT($B$5&amp;"生成成长"),3))*(VLOOKUP($B$5,标准坦克设计!$B$14:$K$20,9)/30))</f>
        <v>1.5783390059103521</v>
      </c>
      <c r="DZ182" s="173">
        <f ca="1">(VLOOKUP(DZ$72,INDIRECT($C$5&amp;"生成成长"),2))/((VLOOKUP($B182,INDIRECT($B$5&amp;"生成成长"),4))/(VLOOKUP(DZ$72,INDIRECT($C$5&amp;"生成成长"),5))*(VLOOKUP($B$5,标准坦克设计!$B$24:$U$30,MATCH("对"&amp;LEFT($C$5,2)&amp;"输出",标准坦克设计!$B$23:$U$23,0)))*(VLOOKUP($B182,INDIRECT($B$5&amp;"生成成长"),3))*(VLOOKUP($B$5,标准坦克设计!$B$14:$K$20,9)/30))</f>
        <v>1.7479365745945601</v>
      </c>
      <c r="EA182" s="173">
        <f ca="1">(VLOOKUP(EA$72,INDIRECT($C$5&amp;"生成成长"),2))/((VLOOKUP($B182,INDIRECT($B$5&amp;"生成成长"),4))/(VLOOKUP(EA$72,INDIRECT($C$5&amp;"生成成长"),5))*(VLOOKUP($B$5,标准坦克设计!$B$24:$U$30,MATCH("对"&amp;LEFT($C$5,2)&amp;"输出",标准坦克设计!$B$23:$U$23,0)))*(VLOOKUP($B182,INDIRECT($B$5&amp;"生成成长"),3))*(VLOOKUP($B$5,标准坦克设计!$B$14:$K$20,9)/30))</f>
        <v>1.9261870804565335</v>
      </c>
      <c r="EB182" s="173">
        <f ca="1">(VLOOKUP(EB$72,INDIRECT($C$5&amp;"生成成长"),2))/((VLOOKUP($B182,INDIRECT($B$5&amp;"生成成长"),4))/(VLOOKUP(EB$72,INDIRECT($C$5&amp;"生成成长"),5))*(VLOOKUP($B$5,标准坦克设计!$B$24:$U$30,MATCH("对"&amp;LEFT($C$5,2)&amp;"输出",标准坦克设计!$B$23:$U$23,0)))*(VLOOKUP($B182,INDIRECT($B$5&amp;"生成成长"),3))*(VLOOKUP($B$5,标准坦克设计!$B$14:$K$20,9)/30))</f>
        <v>2.1130905234962727</v>
      </c>
      <c r="EC182" s="173">
        <f ca="1">(VLOOKUP(EC$72,INDIRECT($C$5&amp;"生成成长"),2))/((VLOOKUP($B182,INDIRECT($B$5&amp;"生成成长"),4))/(VLOOKUP(EC$72,INDIRECT($C$5&amp;"生成成长"),5))*(VLOOKUP($B$5,标准坦克设计!$B$24:$U$30,MATCH("对"&amp;LEFT($C$5,2)&amp;"输出",标准坦克设计!$B$23:$U$23,0)))*(VLOOKUP($B182,INDIRECT($B$5&amp;"生成成长"),3))*(VLOOKUP($B$5,标准坦克设计!$B$14:$K$20,9)/30))</f>
        <v>2.3086469037137776</v>
      </c>
      <c r="ED182" s="173">
        <f ca="1">(VLOOKUP(ED$72,INDIRECT($C$5&amp;"生成成长"),2))/((VLOOKUP($B182,INDIRECT($B$5&amp;"生成成长"),4))/(VLOOKUP(ED$72,INDIRECT($C$5&amp;"生成成长"),5))*(VLOOKUP($B$5,标准坦克设计!$B$24:$U$30,MATCH("对"&amp;LEFT($C$5,2)&amp;"输出",标准坦克设计!$B$23:$U$23,0)))*(VLOOKUP($B182,INDIRECT($B$5&amp;"生成成长"),3))*(VLOOKUP($B$5,标准坦克设计!$B$14:$K$20,9)/30))</f>
        <v>2.5128562211090482</v>
      </c>
      <c r="EE182" s="173">
        <f ca="1">(VLOOKUP(EE$72,INDIRECT($C$5&amp;"生成成长"),2))/((VLOOKUP($B182,INDIRECT($B$5&amp;"生成成长"),4))/(VLOOKUP(EE$72,INDIRECT($C$5&amp;"生成成长"),5))*(VLOOKUP($B$5,标准坦克设计!$B$24:$U$30,MATCH("对"&amp;LEFT($C$5,2)&amp;"输出",标准坦克设计!$B$23:$U$23,0)))*(VLOOKUP($B182,INDIRECT($B$5&amp;"生成成长"),3))*(VLOOKUP($B$5,标准坦克设计!$B$14:$K$20,9)/30))</f>
        <v>2.725718475682084</v>
      </c>
      <c r="EF182" s="173">
        <f ca="1">(VLOOKUP(EF$72,INDIRECT($C$5&amp;"生成成长"),2))/((VLOOKUP($B182,INDIRECT($B$5&amp;"生成成长"),4))/(VLOOKUP(EF$72,INDIRECT($C$5&amp;"生成成长"),5))*(VLOOKUP($B$5,标准坦克设计!$B$24:$U$30,MATCH("对"&amp;LEFT($C$5,2)&amp;"输出",标准坦克设计!$B$23:$U$23,0)))*(VLOOKUP($B182,INDIRECT($B$5&amp;"生成成长"),3))*(VLOOKUP($B$5,标准坦克设计!$B$14:$K$20,9)/30))</f>
        <v>2.9472336674328861</v>
      </c>
      <c r="EG182" s="173">
        <f ca="1">(VLOOKUP(EG$72,INDIRECT($C$5&amp;"生成成长"),2))/((VLOOKUP($B182,INDIRECT($B$5&amp;"生成成长"),4))/(VLOOKUP(EG$72,INDIRECT($C$5&amp;"生成成长"),5))*(VLOOKUP($B$5,标准坦克设计!$B$24:$U$30,MATCH("对"&amp;LEFT($C$5,2)&amp;"输出",标准坦克设计!$B$23:$U$23,0)))*(VLOOKUP($B182,INDIRECT($B$5&amp;"生成成长"),3))*(VLOOKUP($B$5,标准坦克设计!$B$14:$K$20,9)/30))</f>
        <v>3.1774017963614543</v>
      </c>
      <c r="EH182" s="173">
        <f ca="1">(VLOOKUP(EH$72,INDIRECT($C$5&amp;"生成成长"),2))/((VLOOKUP($B182,INDIRECT($B$5&amp;"生成成长"),4))/(VLOOKUP(EH$72,INDIRECT($C$5&amp;"生成成长"),5))*(VLOOKUP($B$5,标准坦克设计!$B$24:$U$30,MATCH("对"&amp;LEFT($C$5,2)&amp;"输出",标准坦克设计!$B$23:$U$23,0)))*(VLOOKUP($B182,INDIRECT($B$5&amp;"生成成长"),3))*(VLOOKUP($B$5,标准坦克设计!$B$14:$K$20,9)/30))</f>
        <v>3.4162228624677868</v>
      </c>
      <c r="EI182" s="173">
        <f ca="1">(VLOOKUP(EI$72,INDIRECT($C$5&amp;"生成成长"),2))/((VLOOKUP($B182,INDIRECT($B$5&amp;"生成成长"),4))/(VLOOKUP(EI$72,INDIRECT($C$5&amp;"生成成长"),5))*(VLOOKUP($B$5,标准坦克设计!$B$24:$U$30,MATCH("对"&amp;LEFT($C$5,2)&amp;"输出",标准坦克设计!$B$23:$U$23,0)))*(VLOOKUP($B182,INDIRECT($B$5&amp;"生成成长"),3))*(VLOOKUP($B$5,标准坦克设计!$B$14:$K$20,9)/30))</f>
        <v>3.6636968657518865</v>
      </c>
      <c r="EJ182" s="173">
        <f ca="1">(VLOOKUP(EJ$72,INDIRECT($C$5&amp;"生成成长"),2))/((VLOOKUP($B182,INDIRECT($B$5&amp;"生成成长"),4))/(VLOOKUP(EJ$72,INDIRECT($C$5&amp;"生成成长"),5))*(VLOOKUP($B$5,标准坦克设计!$B$24:$U$30,MATCH("对"&amp;LEFT($C$5,2)&amp;"输出",标准坦克设计!$B$23:$U$23,0)))*(VLOOKUP($B182,INDIRECT($B$5&amp;"生成成长"),3))*(VLOOKUP($B$5,标准坦克设计!$B$14:$K$20,9)/30))</f>
        <v>3.9198238062137509</v>
      </c>
      <c r="EK182" s="173">
        <f ca="1">(VLOOKUP(EK$72,INDIRECT($C$5&amp;"生成成长"),2))/((VLOOKUP($B182,INDIRECT($B$5&amp;"生成成长"),4))/(VLOOKUP(EK$72,INDIRECT($C$5&amp;"生成成长"),5))*(VLOOKUP($B$5,标准坦克设计!$B$24:$U$30,MATCH("对"&amp;LEFT($C$5,2)&amp;"输出",标准坦克设计!$B$23:$U$23,0)))*(VLOOKUP($B182,INDIRECT($B$5&amp;"生成成长"),3))*(VLOOKUP($B$5,标准坦克设计!$B$14:$K$20,9)/30))</f>
        <v>4.2385980118426394</v>
      </c>
      <c r="EL182" s="173">
        <f ca="1">(VLOOKUP(EL$72,INDIRECT($C$5&amp;"生成成长"),2))/((VLOOKUP($B182,INDIRECT($B$5&amp;"生成成长"),4))/(VLOOKUP(EL$72,INDIRECT($C$5&amp;"生成成长"),5))*(VLOOKUP($B$5,标准坦克设计!$B$24:$U$30,MATCH("对"&amp;LEFT($C$5,2)&amp;"输出",标准坦克设计!$B$23:$U$23,0)))*(VLOOKUP($B182,INDIRECT($B$5&amp;"生成成长"),3))*(VLOOKUP($B$5,标准坦克设计!$B$14:$K$20,9)/30))</f>
        <v>4.56983244700751</v>
      </c>
      <c r="EM182" s="173">
        <f ca="1">(VLOOKUP(EM$72,INDIRECT($C$5&amp;"生成成长"),2))/((VLOOKUP($B182,INDIRECT($B$5&amp;"生成成长"),4))/(VLOOKUP(EM$72,INDIRECT($C$5&amp;"生成成长"),5))*(VLOOKUP($B$5,标准坦克设计!$B$24:$U$30,MATCH("对"&amp;LEFT($C$5,2)&amp;"输出",标准坦克设计!$B$23:$U$23,0)))*(VLOOKUP($B182,INDIRECT($B$5&amp;"生成成长"),3))*(VLOOKUP($B$5,标准坦克设计!$B$14:$K$20,9)/30))</f>
        <v>4.9135271117083636</v>
      </c>
      <c r="EN182" s="173">
        <f ca="1">(VLOOKUP(EN$72,INDIRECT($C$5&amp;"生成成长"),2))/((VLOOKUP($B182,INDIRECT($B$5&amp;"生成成长"),4))/(VLOOKUP(EN$72,INDIRECT($C$5&amp;"生成成长"),5))*(VLOOKUP($B$5,标准坦克设计!$B$24:$U$30,MATCH("对"&amp;LEFT($C$5,2)&amp;"输出",标准坦克设计!$B$23:$U$23,0)))*(VLOOKUP($B182,INDIRECT($B$5&amp;"生成成长"),3))*(VLOOKUP($B$5,标准坦克设计!$B$14:$K$20,9)/30))</f>
        <v>5.2696820059451994</v>
      </c>
      <c r="EO182" s="173">
        <f ca="1">(VLOOKUP(EO$72,INDIRECT($C$5&amp;"生成成长"),2))/((VLOOKUP($B182,INDIRECT($B$5&amp;"生成成长"),4))/(VLOOKUP(EO$72,INDIRECT($C$5&amp;"生成成长"),5))*(VLOOKUP($B$5,标准坦克设计!$B$24:$U$30,MATCH("对"&amp;LEFT($C$5,2)&amp;"输出",标准坦克设计!$B$23:$U$23,0)))*(VLOOKUP($B182,INDIRECT($B$5&amp;"生成成长"),3))*(VLOOKUP($B$5,标准坦克设计!$B$14:$K$20,9)/30))</f>
        <v>5.6382971297180173</v>
      </c>
      <c r="EP182" s="173">
        <f ca="1">(VLOOKUP(EP$72,INDIRECT($C$5&amp;"生成成长"),2))/((VLOOKUP($B182,INDIRECT($B$5&amp;"生成成长"),4))/(VLOOKUP(EP$72,INDIRECT($C$5&amp;"生成成长"),5))*(VLOOKUP($B$5,标准坦克设计!$B$24:$U$30,MATCH("对"&amp;LEFT($C$5,2)&amp;"输出",标准坦克设计!$B$23:$U$23,0)))*(VLOOKUP($B182,INDIRECT($B$5&amp;"生成成长"),3))*(VLOOKUP($B$5,标准坦克设计!$B$14:$K$20,9)/30))</f>
        <v>6.0193724830268209</v>
      </c>
      <c r="EQ182" s="173">
        <f ca="1">(VLOOKUP(EQ$72,INDIRECT($C$5&amp;"生成成长"),2))/((VLOOKUP($B182,INDIRECT($B$5&amp;"生成成长"),4))/(VLOOKUP(EQ$72,INDIRECT($C$5&amp;"生成成长"),5))*(VLOOKUP($B$5,标准坦克设计!$B$24:$U$30,MATCH("对"&amp;LEFT($C$5,2)&amp;"输出",标准坦克设计!$B$23:$U$23,0)))*(VLOOKUP($B182,INDIRECT($B$5&amp;"生成成长"),3))*(VLOOKUP($B$5,标准坦克设计!$B$14:$K$20,9)/30))</f>
        <v>2.6609512409065084</v>
      </c>
      <c r="ER182" s="173">
        <f ca="1">(VLOOKUP(ER$72,INDIRECT($C$5&amp;"生成成长"),2))/((VLOOKUP($B182,INDIRECT($B$5&amp;"生成成长"),4))/(VLOOKUP(ER$72,INDIRECT($C$5&amp;"生成成长"),5))*(VLOOKUP($B$5,标准坦克设计!$B$24:$U$30,MATCH("对"&amp;LEFT($C$5,2)&amp;"输出",标准坦克设计!$B$23:$U$23,0)))*(VLOOKUP($B182,INDIRECT($B$5&amp;"生成成长"),3))*(VLOOKUP($B$5,标准坦克设计!$B$14:$K$20,9)/30))</f>
        <v>2.9022383941085046</v>
      </c>
      <c r="ES182" s="173">
        <f ca="1">(VLOOKUP(ES$72,INDIRECT($C$5&amp;"生成成长"),2))/((VLOOKUP($B182,INDIRECT($B$5&amp;"生成成长"),4))/(VLOOKUP(ES$72,INDIRECT($C$5&amp;"生成成长"),5))*(VLOOKUP($B$5,标准坦克设计!$B$24:$U$30,MATCH("对"&amp;LEFT($C$5,2)&amp;"输出",标准坦克设计!$B$23:$U$23,0)))*(VLOOKUP($B182,INDIRECT($B$5&amp;"生成成长"),3))*(VLOOKUP($B$5,标准坦克设计!$B$14:$K$20,9)/30))</f>
        <v>3.1539956012955979</v>
      </c>
      <c r="ET182" s="173">
        <f ca="1">(VLOOKUP(ET$72,INDIRECT($C$5&amp;"生成成长"),2))/((VLOOKUP($B182,INDIRECT($B$5&amp;"生成成长"),4))/(VLOOKUP(ET$72,INDIRECT($C$5&amp;"生成成长"),5))*(VLOOKUP($B$5,标准坦克设计!$B$24:$U$30,MATCH("对"&amp;LEFT($C$5,2)&amp;"输出",标准坦克设计!$B$23:$U$23,0)))*(VLOOKUP($B182,INDIRECT($B$5&amp;"生成成长"),3))*(VLOOKUP($B$5,标准坦克设计!$B$14:$K$20,9)/30))</f>
        <v>3.4162228624677868</v>
      </c>
      <c r="EU182" s="173">
        <f ca="1">(VLOOKUP(EU$72,INDIRECT($C$5&amp;"生成成长"),2))/((VLOOKUP($B182,INDIRECT($B$5&amp;"生成成长"),4))/(VLOOKUP(EU$72,INDIRECT($C$5&amp;"生成成长"),5))*(VLOOKUP($B$5,标准坦克设计!$B$24:$U$30,MATCH("对"&amp;LEFT($C$5,2)&amp;"输出",标准坦克设计!$B$23:$U$23,0)))*(VLOOKUP($B182,INDIRECT($B$5&amp;"生成成长"),3))*(VLOOKUP($B$5,标准坦克设计!$B$14:$K$20,9)/30))</f>
        <v>3.6889201776250728</v>
      </c>
      <c r="EV182" s="173">
        <f ca="1">(VLOOKUP(EV$72,INDIRECT($C$5&amp;"生成成长"),2))/((VLOOKUP($B182,INDIRECT($B$5&amp;"生成成长"),4))/(VLOOKUP(EV$72,INDIRECT($C$5&amp;"生成成长"),5))*(VLOOKUP($B$5,标准坦克设计!$B$24:$U$30,MATCH("对"&amp;LEFT($C$5,2)&amp;"输出",标准坦克设计!$B$23:$U$23,0)))*(VLOOKUP($B182,INDIRECT($B$5&amp;"生成成长"),3))*(VLOOKUP($B$5,标准坦克设计!$B$14:$K$20,9)/30))</f>
        <v>3.972087546767455</v>
      </c>
      <c r="EW182" s="173">
        <f ca="1">(VLOOKUP(EW$72,INDIRECT($C$5&amp;"生成成长"),2))/((VLOOKUP($B182,INDIRECT($B$5&amp;"生成成长"),4))/(VLOOKUP(EW$72,INDIRECT($C$5&amp;"生成成长"),5))*(VLOOKUP($B$5,标准坦克设计!$B$24:$U$30,MATCH("对"&amp;LEFT($C$5,2)&amp;"输出",标准坦克设计!$B$23:$U$23,0)))*(VLOOKUP($B182,INDIRECT($B$5&amp;"生成成长"),3))*(VLOOKUP($B$5,标准坦克设计!$B$14:$K$20,9)/30))</f>
        <v>4.2657249698949347</v>
      </c>
      <c r="EX182" s="173">
        <f ca="1">(VLOOKUP(EX$72,INDIRECT($C$5&amp;"生成成长"),2))/((VLOOKUP($B182,INDIRECT($B$5&amp;"生成成长"),4))/(VLOOKUP(EX$72,INDIRECT($C$5&amp;"生成成长"),5))*(VLOOKUP($B$5,标准坦克设计!$B$24:$U$30,MATCH("对"&amp;LEFT($C$5,2)&amp;"输出",标准坦克设计!$B$23:$U$23,0)))*(VLOOKUP($B182,INDIRECT($B$5&amp;"生成成长"),3))*(VLOOKUP($B$5,标准坦克设计!$B$14:$K$20,9)/30))</f>
        <v>4.56983244700751</v>
      </c>
      <c r="EY182" s="173">
        <f ca="1">(VLOOKUP(EY$72,INDIRECT($C$5&amp;"生成成长"),2))/((VLOOKUP($B182,INDIRECT($B$5&amp;"生成成长"),4))/(VLOOKUP(EY$72,INDIRECT($C$5&amp;"生成成长"),5))*(VLOOKUP($B$5,标准坦克设计!$B$24:$U$30,MATCH("对"&amp;LEFT($C$5,2)&amp;"输出",标准坦克设计!$B$23:$U$23,0)))*(VLOOKUP($B182,INDIRECT($B$5&amp;"生成成长"),3))*(VLOOKUP($B$5,标准坦克设计!$B$14:$K$20,9)/30))</f>
        <v>4.8844099781051815</v>
      </c>
      <c r="EZ182" s="173">
        <f ca="1">(VLOOKUP(EZ$72,INDIRECT($C$5&amp;"生成成长"),2))/((VLOOKUP($B182,INDIRECT($B$5&amp;"生成成长"),4))/(VLOOKUP(EZ$72,INDIRECT($C$5&amp;"生成成长"),5))*(VLOOKUP($B$5,标准坦克设计!$B$24:$U$30,MATCH("对"&amp;LEFT($C$5,2)&amp;"输出",标准坦克设计!$B$23:$U$23,0)))*(VLOOKUP($B182,INDIRECT($B$5&amp;"生成成长"),3))*(VLOOKUP($B$5,标准坦克设计!$B$14:$K$20,9)/30))</f>
        <v>5.2094575631879509</v>
      </c>
      <c r="FA182" s="173">
        <f ca="1">(VLOOKUP(FA$72,INDIRECT($C$5&amp;"生成成长"),2))/((VLOOKUP($B182,INDIRECT($B$5&amp;"生成成长"),4))/(VLOOKUP(FA$72,INDIRECT($C$5&amp;"生成成长"),5))*(VLOOKUP($B$5,标准坦克设计!$B$24:$U$30,MATCH("对"&amp;LEFT($C$5,2)&amp;"输出",标准坦克设计!$B$23:$U$23,0)))*(VLOOKUP($B182,INDIRECT($B$5&amp;"生成成长"),3))*(VLOOKUP($B$5,标准坦克设计!$B$14:$K$20,9)/30))</f>
        <v>5.5449752022558148</v>
      </c>
      <c r="FB182" s="173">
        <f ca="1">(VLOOKUP(FB$72,INDIRECT($C$5&amp;"生成成长"),2))/((VLOOKUP($B182,INDIRECT($B$5&amp;"生成成长"),4))/(VLOOKUP(FB$72,INDIRECT($C$5&amp;"生成成长"),5))*(VLOOKUP($B$5,标准坦克设计!$B$24:$U$30,MATCH("对"&amp;LEFT($C$5,2)&amp;"输出",标准坦克设计!$B$23:$U$23,0)))*(VLOOKUP($B182,INDIRECT($B$5&amp;"生成成长"),3))*(VLOOKUP($B$5,标准坦克设计!$B$14:$K$20,9)/30))</f>
        <v>5.8909628953087774</v>
      </c>
      <c r="FC182" s="173">
        <f ca="1">(VLOOKUP(FC$72,INDIRECT($C$5&amp;"生成成长"),2))/((VLOOKUP($B182,INDIRECT($B$5&amp;"生成成长"),4))/(VLOOKUP(FC$72,INDIRECT($C$5&amp;"生成成长"),5))*(VLOOKUP($B$5,标准坦克设计!$B$24:$U$30,MATCH("对"&amp;LEFT($C$5,2)&amp;"输出",标准坦克设计!$B$23:$U$23,0)))*(VLOOKUP($B182,INDIRECT($B$5&amp;"生成成长"),3))*(VLOOKUP($B$5,标准坦克设计!$B$14:$K$20,9)/30))</f>
        <v>6.2474206423468353</v>
      </c>
      <c r="FD182" s="173">
        <f ca="1">(VLOOKUP(FD$72,INDIRECT($C$5&amp;"生成成长"),2))/((VLOOKUP($B182,INDIRECT($B$5&amp;"生成成长"),4))/(VLOOKUP(FD$72,INDIRECT($C$5&amp;"生成成长"),5))*(VLOOKUP($B$5,标准坦克设计!$B$24:$U$30,MATCH("对"&amp;LEFT($C$5,2)&amp;"输出",标准坦克设计!$B$23:$U$23,0)))*(VLOOKUP($B182,INDIRECT($B$5&amp;"生成成长"),3))*(VLOOKUP($B$5,标准坦克设计!$B$14:$K$20,9)/30))</f>
        <v>6.6143484433699902</v>
      </c>
      <c r="FE182" s="173">
        <f ca="1">(VLOOKUP(FE$72,INDIRECT($C$5&amp;"生成成长"),2))/((VLOOKUP($B182,INDIRECT($B$5&amp;"生成成长"),4))/(VLOOKUP(FE$72,INDIRECT($C$5&amp;"生成成长"),5))*(VLOOKUP($B$5,标准坦克设计!$B$24:$U$30,MATCH("对"&amp;LEFT($C$5,2)&amp;"输出",标准坦克设计!$B$23:$U$23,0)))*(VLOOKUP($B182,INDIRECT($B$5&amp;"生成成长"),3))*(VLOOKUP($B$5,标准坦克设计!$B$14:$K$20,9)/30))</f>
        <v>7.0614889720310341</v>
      </c>
      <c r="FF182" s="173">
        <f ca="1">(VLOOKUP(FF$72,INDIRECT($C$5&amp;"生成成长"),2))/((VLOOKUP($B182,INDIRECT($B$5&amp;"生成成长"),4))/(VLOOKUP(FF$72,INDIRECT($C$5&amp;"生成成长"),5))*(VLOOKUP($B$5,标准坦克设计!$B$24:$U$30,MATCH("对"&amp;LEFT($C$5,2)&amp;"输出",标准坦克设计!$B$23:$U$23,0)))*(VLOOKUP($B182,INDIRECT($B$5&amp;"生成成长"),3))*(VLOOKUP($B$5,标准坦克设计!$B$14:$K$20,9)/30))</f>
        <v>7.5232529645224986</v>
      </c>
      <c r="FG182" s="173">
        <f ca="1">(VLOOKUP(FG$72,INDIRECT($C$5&amp;"生成成长"),2))/((VLOOKUP($B182,INDIRECT($B$5&amp;"生成成长"),4))/(VLOOKUP(FG$72,INDIRECT($C$5&amp;"生成成长"),5))*(VLOOKUP($B$5,标准坦克设计!$B$24:$U$30,MATCH("对"&amp;LEFT($C$5,2)&amp;"输出",标准坦克设计!$B$23:$U$23,0)))*(VLOOKUP($B182,INDIRECT($B$5&amp;"生成成长"),3))*(VLOOKUP($B$5,标准坦克设计!$B$14:$K$20,9)/30))</f>
        <v>7.999640420844389</v>
      </c>
      <c r="FH182" s="173">
        <f ca="1">(VLOOKUP(FH$72,INDIRECT($C$5&amp;"生成成长"),2))/((VLOOKUP($B182,INDIRECT($B$5&amp;"生成成长"),4))/(VLOOKUP(FH$72,INDIRECT($C$5&amp;"生成成长"),5))*(VLOOKUP($B$5,标准坦克设计!$B$24:$U$30,MATCH("对"&amp;LEFT($C$5,2)&amp;"输出",标准坦克设计!$B$23:$U$23,0)))*(VLOOKUP($B182,INDIRECT($B$5&amp;"生成成长"),3))*(VLOOKUP($B$5,标准坦克设计!$B$14:$K$20,9)/30))</f>
        <v>8.4906513409967044</v>
      </c>
      <c r="FI182" s="173">
        <f ca="1">(VLOOKUP(FI$72,INDIRECT($C$5&amp;"生成成长"),2))/((VLOOKUP($B182,INDIRECT($B$5&amp;"生成成长"),4))/(VLOOKUP(FI$72,INDIRECT($C$5&amp;"生成成长"),5))*(VLOOKUP($B$5,标准坦克设计!$B$24:$U$30,MATCH("对"&amp;LEFT($C$5,2)&amp;"输出",标准坦克设计!$B$23:$U$23,0)))*(VLOOKUP($B182,INDIRECT($B$5&amp;"生成成长"),3))*(VLOOKUP($B$5,标准坦克设计!$B$14:$K$20,9)/30))</f>
        <v>8.9962857249794439</v>
      </c>
      <c r="FJ182" s="173">
        <f ca="1">(VLOOKUP(FJ$72,INDIRECT($C$5&amp;"生成成长"),2))/((VLOOKUP($B182,INDIRECT($B$5&amp;"生成成长"),4))/(VLOOKUP(FJ$72,INDIRECT($C$5&amp;"生成成长"),5))*(VLOOKUP($B$5,标准坦克设计!$B$24:$U$30,MATCH("对"&amp;LEFT($C$5,2)&amp;"输出",标准坦克设计!$B$23:$U$23,0)))*(VLOOKUP($B182,INDIRECT($B$5&amp;"生成成长"),3))*(VLOOKUP($B$5,标准坦克设计!$B$14:$K$20,9)/30))</f>
        <v>9.5165435727926067</v>
      </c>
      <c r="FK182" s="173">
        <f ca="1">(VLOOKUP(FK$72,INDIRECT($C$5&amp;"生成成长"),2))/((VLOOKUP($B182,INDIRECT($B$5&amp;"生成成长"),4))/(VLOOKUP(FK$72,INDIRECT($C$5&amp;"生成成长"),5))*(VLOOKUP($B$5,标准坦克设计!$B$24:$U$30,MATCH("对"&amp;LEFT($C$5,2)&amp;"输出",标准坦克设计!$B$23:$U$23,0)))*(VLOOKUP($B182,INDIRECT($B$5&amp;"生成成长"),3))*(VLOOKUP($B$5,标准坦克设计!$B$14:$K$20,9)/30))</f>
        <v>10.051424884436193</v>
      </c>
    </row>
    <row r="183" spans="1:167" x14ac:dyDescent="0.15">
      <c r="A183" s="171" t="str">
        <f t="shared" si="12"/>
        <v>T5中品质21级</v>
      </c>
      <c r="B183" s="172">
        <v>20521</v>
      </c>
      <c r="C183" s="173">
        <f ca="1">(VLOOKUP(C$72,INDIRECT($C$5&amp;"生成成长"),2))/((VLOOKUP($B183,INDIRECT($B$5&amp;"生成成长"),4))/(VLOOKUP(C$72,INDIRECT($C$5&amp;"生成成长"),5))*(VLOOKUP($B$5,标准坦克设计!$B$24:$U$30,MATCH("对"&amp;LEFT($C$5,2)&amp;"输出",标准坦克设计!$B$23:$U$23,0)))*(VLOOKUP($B183,INDIRECT($B$5&amp;"生成成长"),3))*(VLOOKUP($B$5,标准坦克设计!$B$14:$K$20,9)/30))</f>
        <v>0.41035787461194095</v>
      </c>
      <c r="D183" s="173">
        <f ca="1">(VLOOKUP(D$72,INDIRECT($C$5&amp;"生成成长"),2))/((VLOOKUP($B183,INDIRECT($B$5&amp;"生成成长"),4))/(VLOOKUP(D$72,INDIRECT($C$5&amp;"生成成长"),5))*(VLOOKUP($B$5,标准坦克设计!$B$24:$U$30,MATCH("对"&amp;LEFT($C$5,2)&amp;"输出",标准坦克设计!$B$23:$U$23,0)))*(VLOOKUP($B183,INDIRECT($B$5&amp;"生成成长"),3))*(VLOOKUP($B$5,标准坦克设计!$B$14:$K$20,9)/30))</f>
        <v>0.46107810791397702</v>
      </c>
      <c r="E183" s="173">
        <f ca="1">(VLOOKUP(E$72,INDIRECT($C$5&amp;"生成成长"),2))/((VLOOKUP($B183,INDIRECT($B$5&amp;"生成成长"),4))/(VLOOKUP(E$72,INDIRECT($C$5&amp;"生成成长"),5))*(VLOOKUP($B$5,标准坦克设计!$B$24:$U$30,MATCH("对"&amp;LEFT($C$5,2)&amp;"输出",标准坦克设计!$B$23:$U$23,0)))*(VLOOKUP($B183,INDIRECT($B$5&amp;"生成成长"),3))*(VLOOKUP($B$5,标准坦克设计!$B$14:$K$20,9)/30))</f>
        <v>0.51475291791321887</v>
      </c>
      <c r="F183" s="173">
        <f ca="1">(VLOOKUP(F$72,INDIRECT($C$5&amp;"生成成长"),2))/((VLOOKUP($B183,INDIRECT($B$5&amp;"生成成长"),4))/(VLOOKUP(F$72,INDIRECT($C$5&amp;"生成成长"),5))*(VLOOKUP($B$5,标准坦克设计!$B$24:$U$30,MATCH("对"&amp;LEFT($C$5,2)&amp;"输出",标准坦克设计!$B$23:$U$23,0)))*(VLOOKUP($B183,INDIRECT($B$5&amp;"生成成长"),3))*(VLOOKUP($B$5,标准坦克设计!$B$14:$K$20,9)/30))</f>
        <v>0.57138230460966666</v>
      </c>
      <c r="G183" s="173">
        <f ca="1">(VLOOKUP(G$72,INDIRECT($C$5&amp;"生成成长"),2))/((VLOOKUP($B183,INDIRECT($B$5&amp;"生成成长"),4))/(VLOOKUP(G$72,INDIRECT($C$5&amp;"生成成长"),5))*(VLOOKUP($B$5,标准坦克设计!$B$24:$U$30,MATCH("对"&amp;LEFT($C$5,2)&amp;"输出",标准坦克设计!$B$23:$U$23,0)))*(VLOOKUP($B183,INDIRECT($B$5&amp;"生成成长"),3))*(VLOOKUP($B$5,标准坦克设计!$B$14:$K$20,9)/30))</f>
        <v>0.63096626800332056</v>
      </c>
      <c r="H183" s="173">
        <f ca="1">(VLOOKUP(H$72,INDIRECT($C$5&amp;"生成成长"),2))/((VLOOKUP($B183,INDIRECT($B$5&amp;"生成成长"),4))/(VLOOKUP(H$72,INDIRECT($C$5&amp;"生成成长"),5))*(VLOOKUP($B$5,标准坦克设计!$B$24:$U$30,MATCH("对"&amp;LEFT($C$5,2)&amp;"输出",标准坦克设计!$B$23:$U$23,0)))*(VLOOKUP($B183,INDIRECT($B$5&amp;"生成成长"),3))*(VLOOKUP($B$5,标准坦克设计!$B$14:$K$20,9)/30))</f>
        <v>0.55217755607782781</v>
      </c>
      <c r="I183" s="173">
        <f ca="1">(VLOOKUP(I$72,INDIRECT($C$5&amp;"生成成长"),2))/((VLOOKUP($B183,INDIRECT($B$5&amp;"生成成长"),4))/(VLOOKUP(I$72,INDIRECT($C$5&amp;"生成成长"),5))*(VLOOKUP($B$5,标准坦克设计!$B$24:$U$30,MATCH("对"&amp;LEFT($C$5,2)&amp;"输出",标准坦克设计!$B$23:$U$23,0)))*(VLOOKUP($B183,INDIRECT($B$5&amp;"生成成长"),3))*(VLOOKUP($B$5,标准坦克设计!$B$14:$K$20,9)/30))</f>
        <v>0.63096626800332056</v>
      </c>
      <c r="J183" s="173">
        <f ca="1">(VLOOKUP(J$72,INDIRECT($C$5&amp;"生成成长"),2))/((VLOOKUP($B183,INDIRECT($B$5&amp;"生成成长"),4))/(VLOOKUP(J$72,INDIRECT($C$5&amp;"生成成长"),5))*(VLOOKUP($B$5,标准坦克设计!$B$24:$U$30,MATCH("对"&amp;LEFT($C$5,2)&amp;"输出",标准坦克设计!$B$23:$U$23,0)))*(VLOOKUP($B183,INDIRECT($B$5&amp;"生成成长"),3))*(VLOOKUP($B$5,标准坦克设计!$B$14:$K$20,9)/30))</f>
        <v>0.71500756072384619</v>
      </c>
      <c r="K183" s="173">
        <f ca="1">(VLOOKUP(K$72,INDIRECT($C$5&amp;"生成成长"),2))/((VLOOKUP($B183,INDIRECT($B$5&amp;"生成成长"),4))/(VLOOKUP(K$72,INDIRECT($C$5&amp;"生成成长"),5))*(VLOOKUP($B$5,标准坦克设计!$B$24:$U$30,MATCH("对"&amp;LEFT($C$5,2)&amp;"输出",标准坦克设计!$B$23:$U$23,0)))*(VLOOKUP($B183,INDIRECT($B$5&amp;"生成成长"),3))*(VLOOKUP($B$5,标准坦克设计!$B$14:$K$20,9)/30))</f>
        <v>0.80430143423940437</v>
      </c>
      <c r="L183" s="173">
        <f ca="1">(VLOOKUP(L$72,INDIRECT($C$5&amp;"生成成长"),2))/((VLOOKUP($B183,INDIRECT($B$5&amp;"生成成长"),4))/(VLOOKUP(L$72,INDIRECT($C$5&amp;"生成成长"),5))*(VLOOKUP($B$5,标准坦克设计!$B$24:$U$30,MATCH("对"&amp;LEFT($C$5,2)&amp;"输出",标准坦克设计!$B$23:$U$23,0)))*(VLOOKUP($B183,INDIRECT($B$5&amp;"生成成长"),3))*(VLOOKUP($B$5,标准坦克设计!$B$14:$K$20,9)/30))</f>
        <v>0.89884788854999542</v>
      </c>
      <c r="M183" s="173">
        <f ca="1">(VLOOKUP(M$72,INDIRECT($C$5&amp;"生成成长"),2))/((VLOOKUP($B183,INDIRECT($B$5&amp;"生成成长"),4))/(VLOOKUP(M$72,INDIRECT($C$5&amp;"生成成长"),5))*(VLOOKUP($B$5,标准坦克设计!$B$24:$U$30,MATCH("对"&amp;LEFT($C$5,2)&amp;"输出",标准坦克设计!$B$23:$U$23,0)))*(VLOOKUP($B183,INDIRECT($B$5&amp;"生成成长"),3))*(VLOOKUP($B$5,标准坦克设计!$B$14:$K$20,9)/30))</f>
        <v>0.99864692365561969</v>
      </c>
      <c r="N183" s="173">
        <f ca="1">(VLOOKUP(N$72,INDIRECT($C$5&amp;"生成成长"),2))/((VLOOKUP($B183,INDIRECT($B$5&amp;"生成成长"),4))/(VLOOKUP(N$72,INDIRECT($C$5&amp;"生成成长"),5))*(VLOOKUP($B$5,标准坦克设计!$B$24:$U$30,MATCH("对"&amp;LEFT($C$5,2)&amp;"输出",标准坦克设计!$B$23:$U$23,0)))*(VLOOKUP($B183,INDIRECT($B$5&amp;"生成成长"),3))*(VLOOKUP($B$5,标准坦克设计!$B$14:$K$20,9)/30))</f>
        <v>1.1036985395562766</v>
      </c>
      <c r="O183" s="173">
        <f ca="1">(VLOOKUP(O$72,INDIRECT($C$5&amp;"生成成长"),2))/((VLOOKUP($B183,INDIRECT($B$5&amp;"生成成长"),4))/(VLOOKUP(O$72,INDIRECT($C$5&amp;"生成成长"),5))*(VLOOKUP($B$5,标准坦克设计!$B$24:$U$30,MATCH("对"&amp;LEFT($C$5,2)&amp;"输出",标准坦克设计!$B$23:$U$23,0)))*(VLOOKUP($B183,INDIRECT($B$5&amp;"生成成长"),3))*(VLOOKUP($B$5,标准坦克设计!$B$14:$K$20,9)/30))</f>
        <v>0.83914081779395822</v>
      </c>
      <c r="P183" s="173">
        <f ca="1">(VLOOKUP(P$72,INDIRECT($C$5&amp;"生成成长"),2))/((VLOOKUP($B183,INDIRECT($B$5&amp;"生成成长"),4))/(VLOOKUP(P$72,INDIRECT($C$5&amp;"生成成长"),5))*(VLOOKUP($B$5,标准坦克设计!$B$24:$U$30,MATCH("对"&amp;LEFT($C$5,2)&amp;"输出",标准坦克设计!$B$23:$U$23,0)))*(VLOOKUP($B183,INDIRECT($B$5&amp;"生成成长"),3))*(VLOOKUP($B$5,标准坦克设计!$B$14:$K$20,9)/30))</f>
        <v>0.94809083350342849</v>
      </c>
      <c r="Q183" s="173">
        <f ca="1">(VLOOKUP(Q$72,INDIRECT($C$5&amp;"生成成长"),2))/((VLOOKUP($B183,INDIRECT($B$5&amp;"生成成长"),4))/(VLOOKUP(Q$72,INDIRECT($C$5&amp;"生成成长"),5))*(VLOOKUP($B$5,标准坦克设计!$B$24:$U$30,MATCH("对"&amp;LEFT($C$5,2)&amp;"输出",标准坦克设计!$B$23:$U$23,0)))*(VLOOKUP($B183,INDIRECT($B$5&amp;"生成成长"),3))*(VLOOKUP($B$5,标准坦克设计!$B$14:$K$20,9)/30))</f>
        <v>1.0636886467816122</v>
      </c>
      <c r="R183" s="173">
        <f ca="1">(VLOOKUP(R$72,INDIRECT($C$5&amp;"生成成长"),2))/((VLOOKUP($B183,INDIRECT($B$5&amp;"生成成长"),4))/(VLOOKUP(R$72,INDIRECT($C$5&amp;"生成成长"),5))*(VLOOKUP($B$5,标准坦克设计!$B$24:$U$30,MATCH("对"&amp;LEFT($C$5,2)&amp;"输出",标准坦克设计!$B$23:$U$23,0)))*(VLOOKUP($B183,INDIRECT($B$5&amp;"生成成长"),3))*(VLOOKUP($B$5,标准坦克设计!$B$14:$K$20,9)/30))</f>
        <v>1.1859342576285095</v>
      </c>
      <c r="S183" s="173">
        <f ca="1">(VLOOKUP(S$72,INDIRECT($C$5&amp;"生成成长"),2))/((VLOOKUP($B183,INDIRECT($B$5&amp;"生成成长"),4))/(VLOOKUP(S$72,INDIRECT($C$5&amp;"生成成长"),5))*(VLOOKUP($B$5,标准坦克设计!$B$24:$U$30,MATCH("对"&amp;LEFT($C$5,2)&amp;"输出",标准坦克设计!$B$23:$U$23,0)))*(VLOOKUP($B183,INDIRECT($B$5&amp;"生成成长"),3))*(VLOOKUP($B$5,标准坦克设计!$B$14:$K$20,9)/30))</f>
        <v>1.31482766604412</v>
      </c>
      <c r="T183" s="173">
        <f ca="1">(VLOOKUP(T$72,INDIRECT($C$5&amp;"生成成长"),2))/((VLOOKUP($B183,INDIRECT($B$5&amp;"生成成长"),4))/(VLOOKUP(T$72,INDIRECT($C$5&amp;"生成成长"),5))*(VLOOKUP($B$5,标准坦克设计!$B$24:$U$30,MATCH("对"&amp;LEFT($C$5,2)&amp;"输出",标准坦克设计!$B$23:$U$23,0)))*(VLOOKUP($B183,INDIRECT($B$5&amp;"生成成长"),3))*(VLOOKUP($B$5,标准坦克设计!$B$14:$K$20,9)/30))</f>
        <v>1.450368872028444</v>
      </c>
      <c r="U183" s="173">
        <f ca="1">(VLOOKUP(U$72,INDIRECT($C$5&amp;"生成成长"),2))/((VLOOKUP($B183,INDIRECT($B$5&amp;"生成成长"),4))/(VLOOKUP(U$72,INDIRECT($C$5&amp;"生成成长"),5))*(VLOOKUP($B$5,标准坦克设计!$B$24:$U$30,MATCH("对"&amp;LEFT($C$5,2)&amp;"输出",标准坦克设计!$B$23:$U$23,0)))*(VLOOKUP($B183,INDIRECT($B$5&amp;"生成成长"),3))*(VLOOKUP($B$5,标准坦克设计!$B$14:$K$20,9)/30))</f>
        <v>1.592557875581482</v>
      </c>
      <c r="V183" s="173">
        <f ca="1">(VLOOKUP(V$72,INDIRECT($C$5&amp;"生成成长"),2))/((VLOOKUP($B183,INDIRECT($B$5&amp;"生成成长"),4))/(VLOOKUP(V$72,INDIRECT($C$5&amp;"生成成长"),5))*(VLOOKUP($B$5,标准坦克设计!$B$24:$U$30,MATCH("对"&amp;LEFT($C$5,2)&amp;"输出",标准坦克设计!$B$23:$U$23,0)))*(VLOOKUP($B183,INDIRECT($B$5&amp;"生成成长"),3))*(VLOOKUP($B$5,标准坦克设计!$B$14:$K$20,9)/30))</f>
        <v>1.7413946767032327</v>
      </c>
      <c r="W183" s="173">
        <f ca="1">(VLOOKUP(W$72,INDIRECT($C$5&amp;"生成成长"),2))/((VLOOKUP($B183,INDIRECT($B$5&amp;"生成成长"),4))/(VLOOKUP(W$72,INDIRECT($C$5&amp;"生成成长"),5))*(VLOOKUP($B$5,标准坦克设计!$B$24:$U$30,MATCH("对"&amp;LEFT($C$5,2)&amp;"输出",标准坦克设计!$B$23:$U$23,0)))*(VLOOKUP($B183,INDIRECT($B$5&amp;"生成成长"),3))*(VLOOKUP($B$5,标准坦克设计!$B$14:$K$20,9)/30))</f>
        <v>1.8968792753936976</v>
      </c>
      <c r="X183" s="173">
        <f ca="1">(VLOOKUP(X$72,INDIRECT($C$5&amp;"生成成长"),2))/((VLOOKUP($B183,INDIRECT($B$5&amp;"生成成长"),4))/(VLOOKUP(X$72,INDIRECT($C$5&amp;"生成成长"),5))*(VLOOKUP($B$5,标准坦克设计!$B$24:$U$30,MATCH("对"&amp;LEFT($C$5,2)&amp;"输出",标准坦克设计!$B$23:$U$23,0)))*(VLOOKUP($B183,INDIRECT($B$5&amp;"生成成长"),3))*(VLOOKUP($B$5,标准坦克设计!$B$14:$K$20,9)/30))</f>
        <v>1.374247486287929</v>
      </c>
      <c r="Y183" s="173">
        <f ca="1">(VLOOKUP(Y$72,INDIRECT($C$5&amp;"生成成长"),2))/((VLOOKUP($B183,INDIRECT($B$5&amp;"生成成长"),4))/(VLOOKUP(Y$72,INDIRECT($C$5&amp;"生成成长"),5))*(VLOOKUP($B$5,标准坦克设计!$B$24:$U$30,MATCH("对"&amp;LEFT($C$5,2)&amp;"输出",标准坦克设计!$B$23:$U$23,0)))*(VLOOKUP($B183,INDIRECT($B$5&amp;"生成成长"),3))*(VLOOKUP($B$5,标准坦克设计!$B$14:$K$20,9)/30))</f>
        <v>1.528542047142019</v>
      </c>
      <c r="Z183" s="173">
        <f ca="1">(VLOOKUP(Z$72,INDIRECT($C$5&amp;"生成成长"),2))/((VLOOKUP($B183,INDIRECT($B$5&amp;"生成成长"),4))/(VLOOKUP(Z$72,INDIRECT($C$5&amp;"生成成长"),5))*(VLOOKUP($B$5,标准坦克设计!$B$24:$U$30,MATCH("对"&amp;LEFT($C$5,2)&amp;"输出",标准坦克设计!$B$23:$U$23,0)))*(VLOOKUP($B183,INDIRECT($B$5&amp;"生成成长"),3))*(VLOOKUP($B$5,标准坦克设计!$B$14:$K$20,9)/30))</f>
        <v>1.6910437654883477</v>
      </c>
      <c r="AA183" s="173">
        <f ca="1">(VLOOKUP(AA$72,INDIRECT($C$5&amp;"生成成长"),2))/((VLOOKUP($B183,INDIRECT($B$5&amp;"生成成长"),4))/(VLOOKUP(AA$72,INDIRECT($C$5&amp;"生成成长"),5))*(VLOOKUP($B$5,标准坦克设计!$B$24:$U$30,MATCH("对"&amp;LEFT($C$5,2)&amp;"输出",标准坦克设计!$B$23:$U$23,0)))*(VLOOKUP($B183,INDIRECT($B$5&amp;"生成成长"),3))*(VLOOKUP($B$5,标准坦克设计!$B$14:$K$20,9)/30))</f>
        <v>1.8617526413269154</v>
      </c>
      <c r="AB183" s="173">
        <f ca="1">(VLOOKUP(AB$72,INDIRECT($C$5&amp;"生成成长"),2))/((VLOOKUP($B183,INDIRECT($B$5&amp;"生成成长"),4))/(VLOOKUP(AB$72,INDIRECT($C$5&amp;"生成成长"),5))*(VLOOKUP($B$5,标准坦克设计!$B$24:$U$30,MATCH("对"&amp;LEFT($C$5,2)&amp;"输出",标准坦克设计!$B$23:$U$23,0)))*(VLOOKUP($B183,INDIRECT($B$5&amp;"生成成长"),3))*(VLOOKUP($B$5,标准坦克设计!$B$14:$K$20,9)/30))</f>
        <v>2.0406686746577214</v>
      </c>
      <c r="AC183" s="173">
        <f ca="1">(VLOOKUP(AC$72,INDIRECT($C$5&amp;"生成成长"),2))/((VLOOKUP($B183,INDIRECT($B$5&amp;"生成成长"),4))/(VLOOKUP(AC$72,INDIRECT($C$5&amp;"生成成长"),5))*(VLOOKUP($B$5,标准坦克设计!$B$24:$U$30,MATCH("对"&amp;LEFT($C$5,2)&amp;"输出",标准坦克设计!$B$23:$U$23,0)))*(VLOOKUP($B183,INDIRECT($B$5&amp;"生成成长"),3))*(VLOOKUP($B$5,标准坦克设计!$B$14:$K$20,9)/30))</f>
        <v>2.2277918654807665</v>
      </c>
      <c r="AD183" s="173">
        <f ca="1">(VLOOKUP(AD$72,INDIRECT($C$5&amp;"生成成长"),2))/((VLOOKUP($B183,INDIRECT($B$5&amp;"生成成长"),4))/(VLOOKUP(AD$72,INDIRECT($C$5&amp;"生成成长"),5))*(VLOOKUP($B$5,标准坦克设计!$B$24:$U$30,MATCH("对"&amp;LEFT($C$5,2)&amp;"输出",标准坦克设计!$B$23:$U$23,0)))*(VLOOKUP($B183,INDIRECT($B$5&amp;"生成成长"),3))*(VLOOKUP($B$5,标准坦克设计!$B$14:$K$20,9)/30))</f>
        <v>2.4231222137960504</v>
      </c>
      <c r="AE183" s="173">
        <f ca="1">(VLOOKUP(AE$72,INDIRECT($C$5&amp;"生成成长"),2))/((VLOOKUP($B183,INDIRECT($B$5&amp;"生成成长"),4))/(VLOOKUP(AE$72,INDIRECT($C$5&amp;"生成成长"),5))*(VLOOKUP($B$5,标准坦克设计!$B$24:$U$30,MATCH("对"&amp;LEFT($C$5,2)&amp;"输出",标准坦克设计!$B$23:$U$23,0)))*(VLOOKUP($B183,INDIRECT($B$5&amp;"生成成长"),3))*(VLOOKUP($B$5,标准坦克设计!$B$14:$K$20,9)/30))</f>
        <v>2.6266597196035737</v>
      </c>
      <c r="AF183" s="173">
        <f ca="1">(VLOOKUP(AF$72,INDIRECT($C$5&amp;"生成成长"),2))/((VLOOKUP($B183,INDIRECT($B$5&amp;"生成成长"),4))/(VLOOKUP(AF$72,INDIRECT($C$5&amp;"生成成长"),5))*(VLOOKUP($B$5,标准坦克设计!$B$24:$U$30,MATCH("对"&amp;LEFT($C$5,2)&amp;"输出",标准坦克设计!$B$23:$U$23,0)))*(VLOOKUP($B183,INDIRECT($B$5&amp;"生成成长"),3))*(VLOOKUP($B$5,标准坦克设计!$B$14:$K$20,9)/30))</f>
        <v>2.838404382903335</v>
      </c>
      <c r="AG183" s="173">
        <f ca="1">(VLOOKUP(AG$72,INDIRECT($C$5&amp;"生成成长"),2))/((VLOOKUP($B183,INDIRECT($B$5&amp;"生成成长"),4))/(VLOOKUP(AG$72,INDIRECT($C$5&amp;"生成成长"),5))*(VLOOKUP($B$5,标准坦克设计!$B$24:$U$30,MATCH("对"&amp;LEFT($C$5,2)&amp;"输出",标准坦克设计!$B$23:$U$23,0)))*(VLOOKUP($B183,INDIRECT($B$5&amp;"生成成长"),3))*(VLOOKUP($B$5,标准坦克设计!$B$14:$K$20,9)/30))</f>
        <v>3.0583562036953347</v>
      </c>
      <c r="AH183" s="173">
        <f ca="1">(VLOOKUP(AH$72,INDIRECT($C$5&amp;"生成成长"),2))/((VLOOKUP($B183,INDIRECT($B$5&amp;"生成成长"),4))/(VLOOKUP(AH$72,INDIRECT($C$5&amp;"生成成长"),5))*(VLOOKUP($B$5,标准坦克设计!$B$24:$U$30,MATCH("对"&amp;LEFT($C$5,2)&amp;"输出",标准坦克设计!$B$23:$U$23,0)))*(VLOOKUP($B183,INDIRECT($B$5&amp;"生成成长"),3))*(VLOOKUP($B$5,标准坦克设计!$B$14:$K$20,9)/30))</f>
        <v>3.2865151819795737</v>
      </c>
      <c r="AI183" s="173">
        <f ca="1">(VLOOKUP(AI$72,INDIRECT($C$5&amp;"生成成长"),2))/((VLOOKUP($B183,INDIRECT($B$5&amp;"生成成长"),4))/(VLOOKUP(AI$72,INDIRECT($C$5&amp;"生成成长"),5))*(VLOOKUP($B$5,标准坦克设计!$B$24:$U$30,MATCH("对"&amp;LEFT($C$5,2)&amp;"输出",标准坦克设计!$B$23:$U$23,0)))*(VLOOKUP($B183,INDIRECT($B$5&amp;"生成成长"),3))*(VLOOKUP($B$5,标准坦克设计!$B$14:$K$20,9)/30))</f>
        <v>2.3244311449518786</v>
      </c>
      <c r="AJ183" s="173">
        <f ca="1">(VLOOKUP(AJ$72,INDIRECT($C$5&amp;"生成成长"),2))/((VLOOKUP($B183,INDIRECT($B$5&amp;"生成成长"),4))/(VLOOKUP(AJ$72,INDIRECT($C$5&amp;"生成成长"),5))*(VLOOKUP($B$5,标准坦克设计!$B$24:$U$30,MATCH("对"&amp;LEFT($C$5,2)&amp;"输出",标准坦克设计!$B$23:$U$23,0)))*(VLOOKUP($B183,INDIRECT($B$5&amp;"生成成长"),3))*(VLOOKUP($B$5,标准坦克设计!$B$14:$K$20,9)/30))</f>
        <v>2.5442598583814955</v>
      </c>
      <c r="AK183" s="173">
        <f ca="1">(VLOOKUP(AK$72,INDIRECT($C$5&amp;"生成成长"),2))/((VLOOKUP($B183,INDIRECT($B$5&amp;"生成成长"),4))/(VLOOKUP(AK$72,INDIRECT($C$5&amp;"生成成长"),5))*(VLOOKUP($B$5,标准坦克设计!$B$24:$U$30,MATCH("对"&amp;LEFT($C$5,2)&amp;"输出",标准坦克设计!$B$23:$U$23,0)))*(VLOOKUP($B183,INDIRECT($B$5&amp;"生成成长"),3))*(VLOOKUP($B$5,标准坦克设计!$B$14:$K$20,9)/30))</f>
        <v>2.7740192323767214</v>
      </c>
      <c r="AL183" s="173">
        <f ca="1">(VLOOKUP(AL$72,INDIRECT($C$5&amp;"生成成长"),2))/((VLOOKUP($B183,INDIRECT($B$5&amp;"生成成长"),4))/(VLOOKUP(AL$72,INDIRECT($C$5&amp;"生成成长"),5))*(VLOOKUP($B$5,标准坦克设计!$B$24:$U$30,MATCH("对"&amp;LEFT($C$5,2)&amp;"输出",标准坦克设计!$B$23:$U$23,0)))*(VLOOKUP($B183,INDIRECT($B$5&amp;"生成成长"),3))*(VLOOKUP($B$5,标准坦克设计!$B$14:$K$20,9)/30))</f>
        <v>3.013709266937556</v>
      </c>
      <c r="AM183" s="173">
        <f ca="1">(VLOOKUP(AM$72,INDIRECT($C$5&amp;"生成成长"),2))/((VLOOKUP($B183,INDIRECT($B$5&amp;"生成成长"),4))/(VLOOKUP(AM$72,INDIRECT($C$5&amp;"生成成长"),5))*(VLOOKUP($B$5,标准坦克设计!$B$24:$U$30,MATCH("对"&amp;LEFT($C$5,2)&amp;"输出",标准坦克设计!$B$23:$U$23,0)))*(VLOOKUP($B183,INDIRECT($B$5&amp;"生成成长"),3))*(VLOOKUP($B$5,标准坦克设计!$B$14:$K$20,9)/30))</f>
        <v>3.2633299620639997</v>
      </c>
      <c r="AN183" s="173">
        <f ca="1">(VLOOKUP(AN$72,INDIRECT($C$5&amp;"生成成长"),2))/((VLOOKUP($B183,INDIRECT($B$5&amp;"生成成长"),4))/(VLOOKUP(AN$72,INDIRECT($C$5&amp;"生成成长"),5))*(VLOOKUP($B$5,标准坦克设计!$B$24:$U$30,MATCH("对"&amp;LEFT($C$5,2)&amp;"输出",标准坦克设计!$B$23:$U$23,0)))*(VLOOKUP($B183,INDIRECT($B$5&amp;"生成成长"),3))*(VLOOKUP($B$5,标准坦克设计!$B$14:$K$20,9)/30))</f>
        <v>3.5228813177560525</v>
      </c>
      <c r="AO183" s="173">
        <f ca="1">(VLOOKUP(AO$72,INDIRECT($C$5&amp;"生成成长"),2))/((VLOOKUP($B183,INDIRECT($B$5&amp;"生成成长"),4))/(VLOOKUP(AO$72,INDIRECT($C$5&amp;"生成成长"),5))*(VLOOKUP($B$5,标准坦克设计!$B$24:$U$30,MATCH("对"&amp;LEFT($C$5,2)&amp;"输出",标准坦克设计!$B$23:$U$23,0)))*(VLOOKUP($B183,INDIRECT($B$5&amp;"生成成长"),3))*(VLOOKUP($B$5,标准坦克设计!$B$14:$K$20,9)/30))</f>
        <v>3.7923633340137139</v>
      </c>
      <c r="AP183" s="173">
        <f ca="1">(VLOOKUP(AP$72,INDIRECT($C$5&amp;"生成成长"),2))/((VLOOKUP($B183,INDIRECT($B$5&amp;"生成成长"),4))/(VLOOKUP(AP$72,INDIRECT($C$5&amp;"生成成长"),5))*(VLOOKUP($B$5,标准坦克设计!$B$24:$U$30,MATCH("对"&amp;LEFT($C$5,2)&amp;"输出",标准坦克设计!$B$23:$U$23,0)))*(VLOOKUP($B183,INDIRECT($B$5&amp;"生成成长"),3))*(VLOOKUP($B$5,标准坦克设计!$B$14:$K$20,9)/30))</f>
        <v>4.0717760108369845</v>
      </c>
      <c r="AQ183" s="173">
        <f ca="1">(VLOOKUP(AQ$72,INDIRECT($C$5&amp;"生成成长"),2))/((VLOOKUP($B183,INDIRECT($B$5&amp;"生成成长"),4))/(VLOOKUP(AQ$72,INDIRECT($C$5&amp;"生成成长"),5))*(VLOOKUP($B$5,标准坦克设计!$B$24:$U$30,MATCH("对"&amp;LEFT($C$5,2)&amp;"输出",标准坦克设计!$B$23:$U$23,0)))*(VLOOKUP($B183,INDIRECT($B$5&amp;"生成成长"),3))*(VLOOKUP($B$5,标准坦克设计!$B$14:$K$20,9)/30))</f>
        <v>4.3611193482258646</v>
      </c>
      <c r="AR183" s="173">
        <f ca="1">(VLOOKUP(AR$72,INDIRECT($C$5&amp;"生成成长"),2))/((VLOOKUP($B183,INDIRECT($B$5&amp;"生成成长"),4))/(VLOOKUP(AR$72,INDIRECT($C$5&amp;"生成成长"),5))*(VLOOKUP($B$5,标准坦克设计!$B$24:$U$30,MATCH("对"&amp;LEFT($C$5,2)&amp;"输出",标准坦克设计!$B$23:$U$23,0)))*(VLOOKUP($B183,INDIRECT($B$5&amp;"生成成长"),3))*(VLOOKUP($B$5,标准坦克设计!$B$14:$K$20,9)/30))</f>
        <v>4.6603933461803537</v>
      </c>
      <c r="AS183" s="173">
        <f ca="1">(VLOOKUP(AS$72,INDIRECT($C$5&amp;"生成成长"),2))/((VLOOKUP($B183,INDIRECT($B$5&amp;"生成成长"),4))/(VLOOKUP(AS$72,INDIRECT($C$5&amp;"生成成长"),5))*(VLOOKUP($B$5,标准坦克设计!$B$24:$U$30,MATCH("对"&amp;LEFT($C$5,2)&amp;"输出",标准坦克设计!$B$23:$U$23,0)))*(VLOOKUP($B183,INDIRECT($B$5&amp;"生成成长"),3))*(VLOOKUP($B$5,标准坦克设计!$B$14:$K$20,9)/30))</f>
        <v>4.9695980047004502</v>
      </c>
      <c r="AT183" s="173">
        <f ca="1">(VLOOKUP(AT$72,INDIRECT($C$5&amp;"生成成长"),2))/((VLOOKUP($B183,INDIRECT($B$5&amp;"生成成长"),4))/(VLOOKUP(AT$72,INDIRECT($C$5&amp;"生成成长"),5))*(VLOOKUP($B$5,标准坦克设计!$B$24:$U$30,MATCH("对"&amp;LEFT($C$5,2)&amp;"输出",标准坦克设计!$B$23:$U$23,0)))*(VLOOKUP($B183,INDIRECT($B$5&amp;"生成成长"),3))*(VLOOKUP($B$5,标准坦克设计!$B$14:$K$20,9)/30))</f>
        <v>5.2887333237861567</v>
      </c>
      <c r="AU183" s="173">
        <f ca="1">(VLOOKUP(AU$72,INDIRECT($C$5&amp;"生成成长"),2))/((VLOOKUP($B183,INDIRECT($B$5&amp;"生成成长"),4))/(VLOOKUP(AU$72,INDIRECT($C$5&amp;"生成成长"),5))*(VLOOKUP($B$5,标准坦克设计!$B$24:$U$30,MATCH("对"&amp;LEFT($C$5,2)&amp;"输出",标准坦克设计!$B$23:$U$23,0)))*(VLOOKUP($B183,INDIRECT($B$5&amp;"生成成长"),3))*(VLOOKUP($B$5,标准坦克设计!$B$14:$K$20,9)/30))</f>
        <v>5.6177993034374722</v>
      </c>
      <c r="AV183" s="173">
        <f ca="1">(VLOOKUP(AV$72,INDIRECT($C$5&amp;"生成成长"),2))/((VLOOKUP($B183,INDIRECT($B$5&amp;"生成成长"),4))/(VLOOKUP(AV$72,INDIRECT($C$5&amp;"生成成长"),5))*(VLOOKUP($B$5,标准坦克设计!$B$24:$U$30,MATCH("对"&amp;LEFT($C$5,2)&amp;"输出",标准坦克设计!$B$23:$U$23,0)))*(VLOOKUP($B183,INDIRECT($B$5&amp;"生成成长"),3))*(VLOOKUP($B$5,标准坦克设计!$B$14:$K$20,9)/30))</f>
        <v>0.57138230460966666</v>
      </c>
      <c r="AW183" s="173">
        <f ca="1">(VLOOKUP(AW$72,INDIRECT($C$5&amp;"生成成长"),2))/((VLOOKUP($B183,INDIRECT($B$5&amp;"生成成长"),4))/(VLOOKUP(AW$72,INDIRECT($C$5&amp;"生成成长"),5))*(VLOOKUP($B$5,标准坦克设计!$B$24:$U$30,MATCH("对"&amp;LEFT($C$5,2)&amp;"输出",标准坦克设计!$B$23:$U$23,0)))*(VLOOKUP($B183,INDIRECT($B$5&amp;"生成成长"),3))*(VLOOKUP($B$5,标准坦克设计!$B$14:$K$20,9)/30))</f>
        <v>0.65148416173391754</v>
      </c>
      <c r="AX183" s="173">
        <f ca="1">(VLOOKUP(AX$72,INDIRECT($C$5&amp;"生成成长"),2))/((VLOOKUP($B183,INDIRECT($B$5&amp;"生成成长"),4))/(VLOOKUP(AX$72,INDIRECT($C$5&amp;"生成成长"),5))*(VLOOKUP($B$5,标准坦克设计!$B$24:$U$30,MATCH("对"&amp;LEFT($C$5,2)&amp;"输出",标准坦克设计!$B$23:$U$23,0)))*(VLOOKUP($B183,INDIRECT($B$5&amp;"生成成长"),3))*(VLOOKUP($B$5,标准坦克设计!$B$14:$K$20,9)/30))</f>
        <v>0.7368385996532012</v>
      </c>
      <c r="AY183" s="173">
        <f ca="1">(VLOOKUP(AY$72,INDIRECT($C$5&amp;"生成成长"),2))/((VLOOKUP($B183,INDIRECT($B$5&amp;"生成成长"),4))/(VLOOKUP(AY$72,INDIRECT($C$5&amp;"生成成长"),5))*(VLOOKUP($B$5,标准坦克设计!$B$24:$U$30,MATCH("对"&amp;LEFT($C$5,2)&amp;"输出",标准坦克设计!$B$23:$U$23,0)))*(VLOOKUP($B183,INDIRECT($B$5&amp;"生成成长"),3))*(VLOOKUP($B$5,标准坦克设计!$B$14:$K$20,9)/30))</f>
        <v>0.82744561836751773</v>
      </c>
      <c r="AZ183" s="173">
        <f ca="1">(VLOOKUP(AZ$72,INDIRECT($C$5&amp;"生成成长"),2))/((VLOOKUP($B183,INDIRECT($B$5&amp;"生成成长"),4))/(VLOOKUP(AZ$72,INDIRECT($C$5&amp;"生成成长"),5))*(VLOOKUP($B$5,标准坦克设计!$B$24:$U$30,MATCH("对"&amp;LEFT($C$5,2)&amp;"输出",标准坦克设计!$B$23:$U$23,0)))*(VLOOKUP($B183,INDIRECT($B$5&amp;"生成成长"),3))*(VLOOKUP($B$5,标准坦克设计!$B$14:$K$20,9)/30))</f>
        <v>0.92330521787686726</v>
      </c>
      <c r="BA183" s="173">
        <f ca="1">(VLOOKUP(BA$72,INDIRECT($C$5&amp;"生成成长"),2))/((VLOOKUP($B183,INDIRECT($B$5&amp;"生成成长"),4))/(VLOOKUP(BA$72,INDIRECT($C$5&amp;"生成成长"),5))*(VLOOKUP($B$5,标准坦克设计!$B$24:$U$30,MATCH("对"&amp;LEFT($C$5,2)&amp;"输出",标准坦克设计!$B$23:$U$23,0)))*(VLOOKUP($B183,INDIRECT($B$5&amp;"生成成长"),3))*(VLOOKUP($B$5,标准坦克设计!$B$14:$K$20,9)/30))</f>
        <v>1.0244173981812494</v>
      </c>
      <c r="BB183" s="173">
        <f ca="1">(VLOOKUP(BB$72,INDIRECT($C$5&amp;"生成成长"),2))/((VLOOKUP($B183,INDIRECT($B$5&amp;"生成成长"),4))/(VLOOKUP(BB$72,INDIRECT($C$5&amp;"生成成长"),5))*(VLOOKUP($B$5,标准坦克设计!$B$24:$U$30,MATCH("对"&amp;LEFT($C$5,2)&amp;"输出",标准坦克设计!$B$23:$U$23,0)))*(VLOOKUP($B183,INDIRECT($B$5&amp;"生成成长"),3))*(VLOOKUP($B$5,标准坦克设计!$B$14:$K$20,9)/30))</f>
        <v>1.1307821592806644</v>
      </c>
      <c r="BC183" s="173">
        <f ca="1">(VLOOKUP(BC$72,INDIRECT($C$5&amp;"生成成长"),2))/((VLOOKUP($B183,INDIRECT($B$5&amp;"生成成长"),4))/(VLOOKUP(BC$72,INDIRECT($C$5&amp;"生成成长"),5))*(VLOOKUP($B$5,标准坦克设计!$B$24:$U$30,MATCH("对"&amp;LEFT($C$5,2)&amp;"输出",标准坦克设计!$B$23:$U$23,0)))*(VLOOKUP($B183,INDIRECT($B$5&amp;"生成成长"),3))*(VLOOKUP($B$5,标准坦克设计!$B$14:$K$20,9)/30))</f>
        <v>1.2423995011751126</v>
      </c>
      <c r="BD183" s="173">
        <f ca="1">(VLOOKUP(BD$72,INDIRECT($C$5&amp;"生成成长"),2))/((VLOOKUP($B183,INDIRECT($B$5&amp;"生成成长"),4))/(VLOOKUP(BD$72,INDIRECT($C$5&amp;"生成成长"),5))*(VLOOKUP($B$5,标准坦克设计!$B$24:$U$30,MATCH("对"&amp;LEFT($C$5,2)&amp;"输出",标准坦克设计!$B$23:$U$23,0)))*(VLOOKUP($B183,INDIRECT($B$5&amp;"生成成长"),3))*(VLOOKUP($B$5,标准坦克设计!$B$14:$K$20,9)/30))</f>
        <v>1.374247486287929</v>
      </c>
      <c r="BE183" s="173">
        <f ca="1">(VLOOKUP(BE$72,INDIRECT($C$5&amp;"生成成长"),2))/((VLOOKUP($B183,INDIRECT($B$5&amp;"生成成长"),4))/(VLOOKUP(BE$72,INDIRECT($C$5&amp;"生成成长"),5))*(VLOOKUP($B$5,标准坦克设计!$B$24:$U$30,MATCH("对"&amp;LEFT($C$5,2)&amp;"输出",标准坦克设计!$B$23:$U$23,0)))*(VLOOKUP($B183,INDIRECT($B$5&amp;"生成成长"),3))*(VLOOKUP($B$5,标准坦克设计!$B$14:$K$20,9)/30))</f>
        <v>1.5127432689694593</v>
      </c>
      <c r="BF183" s="173">
        <f ca="1">(VLOOKUP(BF$72,INDIRECT($C$5&amp;"生成成长"),2))/((VLOOKUP($B183,INDIRECT($B$5&amp;"生成成长"),4))/(VLOOKUP(BF$72,INDIRECT($C$5&amp;"生成成长"),5))*(VLOOKUP($B$5,标准坦克设计!$B$24:$U$30,MATCH("对"&amp;LEFT($C$5,2)&amp;"输出",标准坦克设计!$B$23:$U$23,0)))*(VLOOKUP($B183,INDIRECT($B$5&amp;"生成成长"),3))*(VLOOKUP($B$5,标准坦克设计!$B$14:$K$20,9)/30))</f>
        <v>1.6578868492197028</v>
      </c>
      <c r="BG183" s="173">
        <f ca="1">(VLOOKUP(BG$72,INDIRECT($C$5&amp;"生成成长"),2))/((VLOOKUP($B183,INDIRECT($B$5&amp;"生成成长"),4))/(VLOOKUP(BG$72,INDIRECT($C$5&amp;"生成成长"),5))*(VLOOKUP($B$5,标准坦克设计!$B$24:$U$30,MATCH("对"&amp;LEFT($C$5,2)&amp;"输出",标准坦克设计!$B$23:$U$23,0)))*(VLOOKUP($B183,INDIRECT($B$5&amp;"生成成长"),3))*(VLOOKUP($B$5,标准坦克设计!$B$14:$K$20,9)/30))</f>
        <v>1.80967822703866</v>
      </c>
      <c r="BH183" s="173">
        <f ca="1">(VLOOKUP(BH$72,INDIRECT($C$5&amp;"生成成长"),2))/((VLOOKUP($B183,INDIRECT($B$5&amp;"生成成长"),4))/(VLOOKUP(BH$72,INDIRECT($C$5&amp;"生成成长"),5))*(VLOOKUP($B$5,标准坦克设计!$B$24:$U$30,MATCH("对"&amp;LEFT($C$5,2)&amp;"输出",标准坦克设计!$B$23:$U$23,0)))*(VLOOKUP($B183,INDIRECT($B$5&amp;"生成成长"),3))*(VLOOKUP($B$5,标准坦克设计!$B$14:$K$20,9)/30))</f>
        <v>0.87471884552281332</v>
      </c>
      <c r="BI183" s="173">
        <f ca="1">(VLOOKUP(BI$72,INDIRECT($C$5&amp;"生成成长"),2))/((VLOOKUP($B183,INDIRECT($B$5&amp;"生成成长"),4))/(VLOOKUP(BI$72,INDIRECT($C$5&amp;"生成成长"),5))*(VLOOKUP($B$5,标准坦克设计!$B$24:$U$30,MATCH("对"&amp;LEFT($C$5,2)&amp;"输出",标准坦克设计!$B$23:$U$23,0)))*(VLOOKUP($B183,INDIRECT($B$5&amp;"生成成长"),3))*(VLOOKUP($B$5,标准坦克设计!$B$14:$K$20,9)/30))</f>
        <v>0.98588479375518834</v>
      </c>
      <c r="BJ183" s="173">
        <f ca="1">(VLOOKUP(BJ$72,INDIRECT($C$5&amp;"生成成长"),2))/((VLOOKUP($B183,INDIRECT($B$5&amp;"生成成长"),4))/(VLOOKUP(BJ$72,INDIRECT($C$5&amp;"生成成长"),5))*(VLOOKUP($B$5,标准坦克设计!$B$24:$U$30,MATCH("对"&amp;LEFT($C$5,2)&amp;"输出",标准坦克设计!$B$23:$U$23,0)))*(VLOOKUP($B183,INDIRECT($B$5&amp;"生成成长"),3))*(VLOOKUP($B$5,标准坦克设计!$B$14:$K$20,9)/30))</f>
        <v>1.1036985395562766</v>
      </c>
      <c r="BK183" s="173">
        <f ca="1">(VLOOKUP(BK$72,INDIRECT($C$5&amp;"生成成长"),2))/((VLOOKUP($B183,INDIRECT($B$5&amp;"生成成长"),4))/(VLOOKUP(BK$72,INDIRECT($C$5&amp;"生成成长"),5))*(VLOOKUP($B$5,标准坦克设计!$B$24:$U$30,MATCH("对"&amp;LEFT($C$5,2)&amp;"输出",标准坦克设计!$B$23:$U$23,0)))*(VLOOKUP($B183,INDIRECT($B$5&amp;"生成成长"),3))*(VLOOKUP($B$5,标准坦克设计!$B$14:$K$20,9)/30))</f>
        <v>1.2281600829260784</v>
      </c>
      <c r="BL183" s="173">
        <f ca="1">(VLOOKUP(BL$72,INDIRECT($C$5&amp;"生成成长"),2))/((VLOOKUP($B183,INDIRECT($B$5&amp;"生成成长"),4))/(VLOOKUP(BL$72,INDIRECT($C$5&amp;"生成成长"),5))*(VLOOKUP($B$5,标准坦克设计!$B$24:$U$30,MATCH("对"&amp;LEFT($C$5,2)&amp;"输出",标准坦克设计!$B$23:$U$23,0)))*(VLOOKUP($B183,INDIRECT($B$5&amp;"生成成长"),3))*(VLOOKUP($B$5,标准坦克设计!$B$14:$K$20,9)/30))</f>
        <v>1.3592694238645933</v>
      </c>
      <c r="BM183" s="173">
        <f ca="1">(VLOOKUP(BM$72,INDIRECT($C$5&amp;"生成成长"),2))/((VLOOKUP($B183,INDIRECT($B$5&amp;"生成成长"),4))/(VLOOKUP(BM$72,INDIRECT($C$5&amp;"生成成长"),5))*(VLOOKUP($B$5,标准坦克设计!$B$24:$U$30,MATCH("对"&amp;LEFT($C$5,2)&amp;"输出",标准坦克设计!$B$23:$U$23,0)))*(VLOOKUP($B183,INDIRECT($B$5&amp;"生成成长"),3))*(VLOOKUP($B$5,标准坦克设计!$B$14:$K$20,9)/30))</f>
        <v>1.497026562371822</v>
      </c>
      <c r="BN183" s="173">
        <f ca="1">(VLOOKUP(BN$72,INDIRECT($C$5&amp;"生成成长"),2))/((VLOOKUP($B183,INDIRECT($B$5&amp;"生成成长"),4))/(VLOOKUP(BN$72,INDIRECT($C$5&amp;"生成成长"),5))*(VLOOKUP($B$5,标准坦克设计!$B$24:$U$30,MATCH("对"&amp;LEFT($C$5,2)&amp;"输出",标准坦克设计!$B$23:$U$23,0)))*(VLOOKUP($B183,INDIRECT($B$5&amp;"生成成长"),3))*(VLOOKUP($B$5,标准坦克设计!$B$14:$K$20,9)/30))</f>
        <v>1.6414314984477638</v>
      </c>
      <c r="BO183" s="173">
        <f ca="1">(VLOOKUP(BO$72,INDIRECT($C$5&amp;"生成成长"),2))/((VLOOKUP($B183,INDIRECT($B$5&amp;"生成成长"),4))/(VLOOKUP(BO$72,INDIRECT($C$5&amp;"生成成长"),5))*(VLOOKUP($B$5,标准坦克设计!$B$24:$U$30,MATCH("对"&amp;LEFT($C$5,2)&amp;"输出",标准坦克设计!$B$23:$U$23,0)))*(VLOOKUP($B183,INDIRECT($B$5&amp;"生成成长"),3))*(VLOOKUP($B$5,标准坦克设计!$B$14:$K$20,9)/30))</f>
        <v>1.7924842320924197</v>
      </c>
      <c r="BP183" s="173">
        <f ca="1">(VLOOKUP(BP$72,INDIRECT($C$5&amp;"生成成长"),2))/((VLOOKUP($B183,INDIRECT($B$5&amp;"生成成长"),4))/(VLOOKUP(BP$72,INDIRECT($C$5&amp;"生成成长"),5))*(VLOOKUP($B$5,标准坦克设计!$B$24:$U$30,MATCH("对"&amp;LEFT($C$5,2)&amp;"输出",标准坦克设计!$B$23:$U$23,0)))*(VLOOKUP($B183,INDIRECT($B$5&amp;"生成成长"),3))*(VLOOKUP($B$5,标准坦克设计!$B$14:$K$20,9)/30))</f>
        <v>1.9501847633057885</v>
      </c>
      <c r="BQ183" s="173">
        <f ca="1">(VLOOKUP(BQ$72,INDIRECT($C$5&amp;"生成成长"),2))/((VLOOKUP($B183,INDIRECT($B$5&amp;"生成成长"),4))/(VLOOKUP(BQ$72,INDIRECT($C$5&amp;"生成成长"),5))*(VLOOKUP($B$5,标准坦克设计!$B$24:$U$30,MATCH("对"&amp;LEFT($C$5,2)&amp;"输出",标准坦克设计!$B$23:$U$23,0)))*(VLOOKUP($B183,INDIRECT($B$5&amp;"生成成长"),3))*(VLOOKUP($B$5,标准坦克设计!$B$14:$K$20,9)/30))</f>
        <v>2.1145330920878709</v>
      </c>
      <c r="BR183" s="173">
        <f ca="1">(VLOOKUP(BR$72,INDIRECT($C$5&amp;"生成成长"),2))/((VLOOKUP($B183,INDIRECT($B$5&amp;"生成成长"),4))/(VLOOKUP(BR$72,INDIRECT($C$5&amp;"生成成长"),5))*(VLOOKUP($B$5,标准坦克设计!$B$24:$U$30,MATCH("对"&amp;LEFT($C$5,2)&amp;"输出",标准坦克设计!$B$23:$U$23,0)))*(VLOOKUP($B183,INDIRECT($B$5&amp;"生成成长"),3))*(VLOOKUP($B$5,标准坦克设计!$B$14:$K$20,9)/30))</f>
        <v>2.3049391459078117</v>
      </c>
      <c r="BS183" s="173">
        <f ca="1">(VLOOKUP(BS$72,INDIRECT($C$5&amp;"生成成长"),2))/((VLOOKUP($B183,INDIRECT($B$5&amp;"生成成长"),4))/(VLOOKUP(BS$72,INDIRECT($C$5&amp;"生成成长"),5))*(VLOOKUP($B$5,标准坦克设计!$B$24:$U$30,MATCH("对"&amp;LEFT($C$5,2)&amp;"输出",标准坦克设计!$B$23:$U$23,0)))*(VLOOKUP($B183,INDIRECT($B$5&amp;"生成成长"),3))*(VLOOKUP($B$5,标准坦克设计!$B$14:$K$20,9)/30))</f>
        <v>2.5035523572199909</v>
      </c>
      <c r="BT183" s="173">
        <f ca="1">(VLOOKUP(BT$72,INDIRECT($C$5&amp;"生成成长"),2))/((VLOOKUP($B183,INDIRECT($B$5&amp;"生成成长"),4))/(VLOOKUP(BT$72,INDIRECT($C$5&amp;"生成成长"),5))*(VLOOKUP($B$5,标准坦克设计!$B$24:$U$30,MATCH("对"&amp;LEFT($C$5,2)&amp;"输出",标准坦克设计!$B$23:$U$23,0)))*(VLOOKUP($B183,INDIRECT($B$5&amp;"生成成长"),3))*(VLOOKUP($B$5,标准坦克设计!$B$14:$K$20,9)/30))</f>
        <v>2.7103727260244095</v>
      </c>
      <c r="BU183" s="173">
        <f ca="1">(VLOOKUP(BU$72,INDIRECT($C$5&amp;"生成成长"),2))/((VLOOKUP($B183,INDIRECT($B$5&amp;"生成成长"),4))/(VLOOKUP(BU$72,INDIRECT($C$5&amp;"生成成长"),5))*(VLOOKUP($B$5,标准坦克设计!$B$24:$U$30,MATCH("对"&amp;LEFT($C$5,2)&amp;"输出",标准坦克设计!$B$23:$U$23,0)))*(VLOOKUP($B183,INDIRECT($B$5&amp;"生成成长"),3))*(VLOOKUP($B$5,标准坦克设计!$B$14:$K$20,9)/30))</f>
        <v>2.925400252321066</v>
      </c>
      <c r="BV183" s="173">
        <f ca="1">(VLOOKUP(BV$72,INDIRECT($C$5&amp;"生成成长"),2))/((VLOOKUP($B183,INDIRECT($B$5&amp;"生成成长"),4))/(VLOOKUP(BV$72,INDIRECT($C$5&amp;"生成成长"),5))*(VLOOKUP($B$5,标准坦克设计!$B$24:$U$30,MATCH("对"&amp;LEFT($C$5,2)&amp;"输出",标准坦克设计!$B$23:$U$23,0)))*(VLOOKUP($B183,INDIRECT($B$5&amp;"生成成长"),3))*(VLOOKUP($B$5,标准坦克设计!$B$14:$K$20,9)/30))</f>
        <v>3.1486349361099624</v>
      </c>
      <c r="BW183" s="173">
        <f ca="1">(VLOOKUP(BW$72,INDIRECT($C$5&amp;"生成成长"),2))/((VLOOKUP($B183,INDIRECT($B$5&amp;"生成成长"),4))/(VLOOKUP(BW$72,INDIRECT($C$5&amp;"生成成长"),5))*(VLOOKUP($B$5,标准坦克设计!$B$24:$U$30,MATCH("对"&amp;LEFT($C$5,2)&amp;"输出",标准坦克设计!$B$23:$U$23,0)))*(VLOOKUP($B183,INDIRECT($B$5&amp;"生成成长"),3))*(VLOOKUP($B$5,标准坦克设计!$B$14:$K$20,9)/30))</f>
        <v>1.4349804517304967</v>
      </c>
      <c r="BX183" s="173">
        <f ca="1">(VLOOKUP(BX$72,INDIRECT($C$5&amp;"生成成长"),2))/((VLOOKUP($B183,INDIRECT($B$5&amp;"生成成长"),4))/(VLOOKUP(BX$72,INDIRECT($C$5&amp;"生成成长"),5))*(VLOOKUP($B$5,标准坦克设计!$B$24:$U$30,MATCH("对"&amp;LEFT($C$5,2)&amp;"输出",标准坦克设计!$B$23:$U$23,0)))*(VLOOKUP($B183,INDIRECT($B$5&amp;"生成成长"),3))*(VLOOKUP($B$5,标准坦克设计!$B$14:$K$20,9)/30))</f>
        <v>1.592557875581482</v>
      </c>
      <c r="BY183" s="173">
        <f ca="1">(VLOOKUP(BY$72,INDIRECT($C$5&amp;"生成成长"),2))/((VLOOKUP($B183,INDIRECT($B$5&amp;"生成成长"),4))/(VLOOKUP(BY$72,INDIRECT($C$5&amp;"生成成长"),5))*(VLOOKUP($B$5,标准坦克设计!$B$24:$U$30,MATCH("对"&amp;LEFT($C$5,2)&amp;"输出",标准坦克设计!$B$23:$U$23,0)))*(VLOOKUP($B183,INDIRECT($B$5&amp;"生成成长"),3))*(VLOOKUP($B$5,标准坦克设计!$B$14:$K$20,9)/30))</f>
        <v>1.7583424569247059</v>
      </c>
      <c r="BZ183" s="173">
        <f ca="1">(VLOOKUP(BZ$72,INDIRECT($C$5&amp;"生成成长"),2))/((VLOOKUP($B183,INDIRECT($B$5&amp;"生成成长"),4))/(VLOOKUP(BZ$72,INDIRECT($C$5&amp;"生成成长"),5))*(VLOOKUP($B$5,标准坦克设计!$B$24:$U$30,MATCH("对"&amp;LEFT($C$5,2)&amp;"输出",标准坦克设计!$B$23:$U$23,0)))*(VLOOKUP($B183,INDIRECT($B$5&amp;"生成成长"),3))*(VLOOKUP($B$5,标准坦克设计!$B$14:$K$20,9)/30))</f>
        <v>1.9323341957601687</v>
      </c>
      <c r="CA183" s="173">
        <f ca="1">(VLOOKUP(CA$72,INDIRECT($C$5&amp;"生成成长"),2))/((VLOOKUP($B183,INDIRECT($B$5&amp;"生成成长"),4))/(VLOOKUP(CA$72,INDIRECT($C$5&amp;"生成成长"),5))*(VLOOKUP($B$5,标准坦克设计!$B$24:$U$30,MATCH("对"&amp;LEFT($C$5,2)&amp;"输出",标准坦克设计!$B$23:$U$23,0)))*(VLOOKUP($B183,INDIRECT($B$5&amp;"生成成长"),3))*(VLOOKUP($B$5,标准坦克设计!$B$14:$K$20,9)/30))</f>
        <v>2.1145330920878709</v>
      </c>
      <c r="CB183" s="173">
        <f ca="1">(VLOOKUP(CB$72,INDIRECT($C$5&amp;"生成成长"),2))/((VLOOKUP($B183,INDIRECT($B$5&amp;"生成成长"),4))/(VLOOKUP(CB$72,INDIRECT($C$5&amp;"生成成长"),5))*(VLOOKUP($B$5,标准坦克设计!$B$24:$U$30,MATCH("对"&amp;LEFT($C$5,2)&amp;"输出",标准坦克设计!$B$23:$U$23,0)))*(VLOOKUP($B183,INDIRECT($B$5&amp;"生成成长"),3))*(VLOOKUP($B$5,标准坦克设计!$B$14:$K$20,9)/30))</f>
        <v>2.3049391459078117</v>
      </c>
      <c r="CC183" s="173">
        <f ca="1">(VLOOKUP(CC$72,INDIRECT($C$5&amp;"生成成长"),2))/((VLOOKUP($B183,INDIRECT($B$5&amp;"生成成长"),4))/(VLOOKUP(CC$72,INDIRECT($C$5&amp;"生成成长"),5))*(VLOOKUP($B$5,标准坦克设计!$B$24:$U$30,MATCH("对"&amp;LEFT($C$5,2)&amp;"输出",标准坦克设计!$B$23:$U$23,0)))*(VLOOKUP($B183,INDIRECT($B$5&amp;"生成成长"),3))*(VLOOKUP($B$5,标准坦克设计!$B$14:$K$20,9)/30))</f>
        <v>2.5035523572199909</v>
      </c>
      <c r="CD183" s="173">
        <f ca="1">(VLOOKUP(CD$72,INDIRECT($C$5&amp;"生成成长"),2))/((VLOOKUP($B183,INDIRECT($B$5&amp;"生成成长"),4))/(VLOOKUP(CD$72,INDIRECT($C$5&amp;"生成成长"),5))*(VLOOKUP($B$5,标准坦克设计!$B$24:$U$30,MATCH("对"&amp;LEFT($C$5,2)&amp;"输出",标准坦克设计!$B$23:$U$23,0)))*(VLOOKUP($B183,INDIRECT($B$5&amp;"生成成长"),3))*(VLOOKUP($B$5,标准坦克设计!$B$14:$K$20,9)/30))</f>
        <v>2.7103727260244095</v>
      </c>
      <c r="CE183" s="173">
        <f ca="1">(VLOOKUP(CE$72,INDIRECT($C$5&amp;"生成成长"),2))/((VLOOKUP($B183,INDIRECT($B$5&amp;"生成成长"),4))/(VLOOKUP(CE$72,INDIRECT($C$5&amp;"生成成长"),5))*(VLOOKUP($B$5,标准坦克设计!$B$24:$U$30,MATCH("对"&amp;LEFT($C$5,2)&amp;"输出",标准坦克设计!$B$23:$U$23,0)))*(VLOOKUP($B183,INDIRECT($B$5&amp;"生成成长"),3))*(VLOOKUP($B$5,标准坦克设计!$B$14:$K$20,9)/30))</f>
        <v>2.925400252321066</v>
      </c>
      <c r="CF183" s="173">
        <f ca="1">(VLOOKUP(CF$72,INDIRECT($C$5&amp;"生成成长"),2))/((VLOOKUP($B183,INDIRECT($B$5&amp;"生成成长"),4))/(VLOOKUP(CF$72,INDIRECT($C$5&amp;"生成成长"),5))*(VLOOKUP($B$5,标准坦克设计!$B$24:$U$30,MATCH("对"&amp;LEFT($C$5,2)&amp;"输出",标准坦克设计!$B$23:$U$23,0)))*(VLOOKUP($B183,INDIRECT($B$5&amp;"生成成长"),3))*(VLOOKUP($B$5,标准坦克设计!$B$14:$K$20,9)/30))</f>
        <v>3.1486349361099624</v>
      </c>
      <c r="CG183" s="173">
        <f ca="1">(VLOOKUP(CG$72,INDIRECT($C$5&amp;"生成成长"),2))/((VLOOKUP($B183,INDIRECT($B$5&amp;"生成成长"),4))/(VLOOKUP(CG$72,INDIRECT($C$5&amp;"生成成长"),5))*(VLOOKUP($B$5,标准坦克设计!$B$24:$U$30,MATCH("对"&amp;LEFT($C$5,2)&amp;"输出",标准坦克设计!$B$23:$U$23,0)))*(VLOOKUP($B183,INDIRECT($B$5&amp;"生成成长"),3))*(VLOOKUP($B$5,标准坦克设计!$B$14:$K$20,9)/30))</f>
        <v>3.3800767773910967</v>
      </c>
      <c r="CH183" s="173">
        <f ca="1">(VLOOKUP(CH$72,INDIRECT($C$5&amp;"生成成长"),2))/((VLOOKUP($B183,INDIRECT($B$5&amp;"生成成长"),4))/(VLOOKUP(CH$72,INDIRECT($C$5&amp;"生成成长"),5))*(VLOOKUP($B$5,标准坦克设计!$B$24:$U$30,MATCH("对"&amp;LEFT($C$5,2)&amp;"输出",标准坦克设计!$B$23:$U$23,0)))*(VLOOKUP($B183,INDIRECT($B$5&amp;"生成成长"),3))*(VLOOKUP($B$5,标准坦克设计!$B$14:$K$20,9)/30))</f>
        <v>3.6197257761644708</v>
      </c>
      <c r="CI183" s="173">
        <f ca="1">(VLOOKUP(CI$72,INDIRECT($C$5&amp;"生成成长"),2))/((VLOOKUP($B183,INDIRECT($B$5&amp;"生成成长"),4))/(VLOOKUP(CI$72,INDIRECT($C$5&amp;"生成成长"),5))*(VLOOKUP($B$5,标准坦克设计!$B$24:$U$30,MATCH("对"&amp;LEFT($C$5,2)&amp;"输出",标准坦克设计!$B$23:$U$23,0)))*(VLOOKUP($B183,INDIRECT($B$5&amp;"生成成长"),3))*(VLOOKUP($B$5,标准坦克设计!$B$14:$K$20,9)/30))</f>
        <v>3.8928189417187173</v>
      </c>
      <c r="CJ183" s="173">
        <f ca="1">(VLOOKUP(CJ$72,INDIRECT($C$5&amp;"生成成长"),2))/((VLOOKUP($B183,INDIRECT($B$5&amp;"生成成长"),4))/(VLOOKUP(CJ$72,INDIRECT($C$5&amp;"生成成长"),5))*(VLOOKUP($B$5,标准坦克设计!$B$24:$U$30,MATCH("对"&amp;LEFT($C$5,2)&amp;"输出",标准坦克设计!$B$23:$U$23,0)))*(VLOOKUP($B183,INDIRECT($B$5&amp;"生成成长"),3))*(VLOOKUP($B$5,标准坦克设计!$B$14:$K$20,9)/30))</f>
        <v>4.1758427678385734</v>
      </c>
      <c r="CK183" s="173">
        <f ca="1">(VLOOKUP(CK$72,INDIRECT($C$5&amp;"生成成长"),2))/((VLOOKUP($B183,INDIRECT($B$5&amp;"生成成长"),4))/(VLOOKUP(CK$72,INDIRECT($C$5&amp;"生成成长"),5))*(VLOOKUP($B$5,标准坦克设计!$B$24:$U$30,MATCH("对"&amp;LEFT($C$5,2)&amp;"输出",标准坦克设计!$B$23:$U$23,0)))*(VLOOKUP($B183,INDIRECT($B$5&amp;"生成成长"),3))*(VLOOKUP($B$5,标准坦克设计!$B$14:$K$20,9)/30))</f>
        <v>4.4687972545240378</v>
      </c>
      <c r="CL183" s="173">
        <f ca="1">(VLOOKUP(CL$72,INDIRECT($C$5&amp;"生成成长"),2))/((VLOOKUP($B183,INDIRECT($B$5&amp;"生成成长"),4))/(VLOOKUP(CL$72,INDIRECT($C$5&amp;"生成成长"),5))*(VLOOKUP($B$5,标准坦克设计!$B$24:$U$30,MATCH("对"&amp;LEFT($C$5,2)&amp;"输出",标准坦克设计!$B$23:$U$23,0)))*(VLOOKUP($B183,INDIRECT($B$5&amp;"生成成长"),3))*(VLOOKUP($B$5,标准坦克设计!$B$14:$K$20,9)/30))</f>
        <v>4.7716824017751103</v>
      </c>
      <c r="CM183" s="173">
        <f ca="1">(VLOOKUP(CM$72,INDIRECT($C$5&amp;"生成成长"),2))/((VLOOKUP($B183,INDIRECT($B$5&amp;"生成成长"),4))/(VLOOKUP(CM$72,INDIRECT($C$5&amp;"生成成长"),5))*(VLOOKUP($B$5,标准坦克设计!$B$24:$U$30,MATCH("对"&amp;LEFT($C$5,2)&amp;"输出",标准坦克设计!$B$23:$U$23,0)))*(VLOOKUP($B183,INDIRECT($B$5&amp;"生成成长"),3))*(VLOOKUP($B$5,标准坦克设计!$B$14:$K$20,9)/30))</f>
        <v>5.0844982095917937</v>
      </c>
      <c r="CN183" s="173">
        <f ca="1">(VLOOKUP(CN$72,INDIRECT($C$5&amp;"生成成长"),2))/((VLOOKUP($B183,INDIRECT($B$5&amp;"生成成长"),4))/(VLOOKUP(CN$72,INDIRECT($C$5&amp;"生成成长"),5))*(VLOOKUP($B$5,标准坦克设计!$B$24:$U$30,MATCH("对"&amp;LEFT($C$5,2)&amp;"输出",标准坦克设计!$B$23:$U$23,0)))*(VLOOKUP($B183,INDIRECT($B$5&amp;"生成成长"),3))*(VLOOKUP($B$5,标准坦克设计!$B$14:$K$20,9)/30))</f>
        <v>5.4072446779740861</v>
      </c>
      <c r="CO183" s="173">
        <f ca="1">(VLOOKUP(CO$72,INDIRECT($C$5&amp;"生成成长"),2))/((VLOOKUP($B183,INDIRECT($B$5&amp;"生成成长"),4))/(VLOOKUP(CO$72,INDIRECT($C$5&amp;"生成成长"),5))*(VLOOKUP($B$5,标准坦克设计!$B$24:$U$30,MATCH("对"&amp;LEFT($C$5,2)&amp;"输出",标准坦克设计!$B$23:$U$23,0)))*(VLOOKUP($B183,INDIRECT($B$5&amp;"生成成长"),3))*(VLOOKUP($B$5,标准坦克设计!$B$14:$K$20,9)/30))</f>
        <v>2.4231222137960504</v>
      </c>
      <c r="CP183" s="173">
        <f ca="1">(VLOOKUP(CP$72,INDIRECT($C$5&amp;"生成成长"),2))/((VLOOKUP($B183,INDIRECT($B$5&amp;"生成成长"),4))/(VLOOKUP(CP$72,INDIRECT($C$5&amp;"生成成长"),5))*(VLOOKUP($B$5,标准坦克设计!$B$24:$U$30,MATCH("对"&amp;LEFT($C$5,2)&amp;"输出",标准坦克设计!$B$23:$U$23,0)))*(VLOOKUP($B183,INDIRECT($B$5&amp;"生成成长"),3))*(VLOOKUP($B$5,标准坦克设计!$B$14:$K$20,9)/30))</f>
        <v>2.6474648638463982</v>
      </c>
      <c r="CQ183" s="173">
        <f ca="1">(VLOOKUP(CQ$72,INDIRECT($C$5&amp;"生成成长"),2))/((VLOOKUP($B183,INDIRECT($B$5&amp;"生成成长"),4))/(VLOOKUP(CQ$72,INDIRECT($C$5&amp;"生成成长"),5))*(VLOOKUP($B$5,标准坦克设计!$B$24:$U$30,MATCH("对"&amp;LEFT($C$5,2)&amp;"输出",标准坦克设计!$B$23:$U$23,0)))*(VLOOKUP($B183,INDIRECT($B$5&amp;"生成成长"),3))*(VLOOKUP($B$5,标准坦克设计!$B$14:$K$20,9)/30))</f>
        <v>2.881738174462356</v>
      </c>
      <c r="CR183" s="173">
        <f ca="1">(VLOOKUP(CR$72,INDIRECT($C$5&amp;"生成成长"),2))/((VLOOKUP($B183,INDIRECT($B$5&amp;"生成成长"),4))/(VLOOKUP(CR$72,INDIRECT($C$5&amp;"生成成长"),5))*(VLOOKUP($B$5,标准坦克设计!$B$24:$U$30,MATCH("对"&amp;LEFT($C$5,2)&amp;"输出",标准坦克设计!$B$23:$U$23,0)))*(VLOOKUP($B183,INDIRECT($B$5&amp;"生成成长"),3))*(VLOOKUP($B$5,标准坦克设计!$B$14:$K$20,9)/30))</f>
        <v>3.125942145643922</v>
      </c>
      <c r="CS183" s="173">
        <f ca="1">(VLOOKUP(CS$72,INDIRECT($C$5&amp;"生成成长"),2))/((VLOOKUP($B183,INDIRECT($B$5&amp;"生成成长"),4))/(VLOOKUP(CS$72,INDIRECT($C$5&amp;"生成成长"),5))*(VLOOKUP($B$5,标准坦克设计!$B$24:$U$30,MATCH("对"&amp;LEFT($C$5,2)&amp;"输出",标准坦克设计!$B$23:$U$23,0)))*(VLOOKUP($B183,INDIRECT($B$5&amp;"生成成长"),3))*(VLOOKUP($B$5,标准坦克设计!$B$14:$K$20,9)/30))</f>
        <v>3.3800767773910967</v>
      </c>
      <c r="CT183" s="173">
        <f ca="1">(VLOOKUP(CT$72,INDIRECT($C$5&amp;"生成成长"),2))/((VLOOKUP($B183,INDIRECT($B$5&amp;"生成成长"),4))/(VLOOKUP(CT$72,INDIRECT($C$5&amp;"生成成长"),5))*(VLOOKUP($B$5,标准坦克设计!$B$24:$U$30,MATCH("对"&amp;LEFT($C$5,2)&amp;"输出",标准坦克设计!$B$23:$U$23,0)))*(VLOOKUP($B183,INDIRECT($B$5&amp;"生成成长"),3))*(VLOOKUP($B$5,标准坦克设计!$B$14:$K$20,9)/30))</f>
        <v>3.6441420697038813</v>
      </c>
      <c r="CU183" s="173">
        <f ca="1">(VLOOKUP(CU$72,INDIRECT($C$5&amp;"生成成长"),2))/((VLOOKUP($B183,INDIRECT($B$5&amp;"生成成长"),4))/(VLOOKUP(CU$72,INDIRECT($C$5&amp;"生成成长"),5))*(VLOOKUP($B$5,标准坦克设计!$B$24:$U$30,MATCH("对"&amp;LEFT($C$5,2)&amp;"输出",标准坦克设计!$B$23:$U$23,0)))*(VLOOKUP($B183,INDIRECT($B$5&amp;"生成成长"),3))*(VLOOKUP($B$5,标准坦克设计!$B$14:$K$20,9)/30))</f>
        <v>3.9181380225822742</v>
      </c>
      <c r="CV183" s="173">
        <f ca="1">(VLOOKUP(CV$72,INDIRECT($C$5&amp;"生成成长"),2))/((VLOOKUP($B183,INDIRECT($B$5&amp;"生成成长"),4))/(VLOOKUP(CV$72,INDIRECT($C$5&amp;"生成成长"),5))*(VLOOKUP($B$5,标准坦克设计!$B$24:$U$30,MATCH("对"&amp;LEFT($C$5,2)&amp;"输出",标准坦克设计!$B$23:$U$23,0)))*(VLOOKUP($B183,INDIRECT($B$5&amp;"生成成长"),3))*(VLOOKUP($B$5,标准坦克设计!$B$14:$K$20,9)/30))</f>
        <v>4.2020646360262761</v>
      </c>
      <c r="CW183" s="173">
        <f ca="1">(VLOOKUP(CW$72,INDIRECT($C$5&amp;"生成成长"),2))/((VLOOKUP($B183,INDIRECT($B$5&amp;"生成成长"),4))/(VLOOKUP(CW$72,INDIRECT($C$5&amp;"生成成长"),5))*(VLOOKUP($B$5,标准坦克设计!$B$24:$U$30,MATCH("对"&amp;LEFT($C$5,2)&amp;"输出",标准坦克设计!$B$23:$U$23,0)))*(VLOOKUP($B183,INDIRECT($B$5&amp;"生成成长"),3))*(VLOOKUP($B$5,标准坦克设计!$B$14:$K$20,9)/30))</f>
        <v>4.4959219100358867</v>
      </c>
      <c r="CX183" s="173">
        <f ca="1">(VLOOKUP(CX$72,INDIRECT($C$5&amp;"生成成长"),2))/((VLOOKUP($B183,INDIRECT($B$5&amp;"生成成长"),4))/(VLOOKUP(CX$72,INDIRECT($C$5&amp;"生成成长"),5))*(VLOOKUP($B$5,标准坦克设计!$B$24:$U$30,MATCH("对"&amp;LEFT($C$5,2)&amp;"输出",标准坦克设计!$B$23:$U$23,0)))*(VLOOKUP($B183,INDIRECT($B$5&amp;"生成成长"),3))*(VLOOKUP($B$5,标准坦克设计!$B$14:$K$20,9)/30))</f>
        <v>4.7997098446111064</v>
      </c>
      <c r="CY183" s="173">
        <f ca="1">(VLOOKUP(CY$72,INDIRECT($C$5&amp;"生成成长"),2))/((VLOOKUP($B183,INDIRECT($B$5&amp;"生成成长"),4))/(VLOOKUP(CY$72,INDIRECT($C$5&amp;"生成成长"),5))*(VLOOKUP($B$5,标准坦克设计!$B$24:$U$30,MATCH("对"&amp;LEFT($C$5,2)&amp;"输出",标准坦克设计!$B$23:$U$23,0)))*(VLOOKUP($B183,INDIRECT($B$5&amp;"生成成长"),3))*(VLOOKUP($B$5,标准坦克设计!$B$14:$K$20,9)/30))</f>
        <v>5.1134284397519361</v>
      </c>
      <c r="CZ183" s="173">
        <f ca="1">(VLOOKUP(CZ$72,INDIRECT($C$5&amp;"生成成长"),2))/((VLOOKUP($B183,INDIRECT($B$5&amp;"生成成长"),4))/(VLOOKUP(CZ$72,INDIRECT($C$5&amp;"生成成长"),5))*(VLOOKUP($B$5,标准坦克设计!$B$24:$U$30,MATCH("对"&amp;LEFT($C$5,2)&amp;"输出",标准坦克设计!$B$23:$U$23,0)))*(VLOOKUP($B183,INDIRECT($B$5&amp;"生成成长"),3))*(VLOOKUP($B$5,标准坦克设计!$B$14:$K$20,9)/30))</f>
        <v>5.4370776954583731</v>
      </c>
      <c r="DA183" s="173">
        <f ca="1">(VLOOKUP(DA$72,INDIRECT($C$5&amp;"生成成长"),2))/((VLOOKUP($B183,INDIRECT($B$5&amp;"生成成长"),4))/(VLOOKUP(DA$72,INDIRECT($C$5&amp;"生成成长"),5))*(VLOOKUP($B$5,标准坦克设计!$B$24:$U$30,MATCH("对"&amp;LEFT($C$5,2)&amp;"输出",标准坦克设计!$B$23:$U$23,0)))*(VLOOKUP($B183,INDIRECT($B$5&amp;"生成成长"),3))*(VLOOKUP($B$5,标准坦克设计!$B$14:$K$20,9)/30))</f>
        <v>5.77065761173042</v>
      </c>
      <c r="DB183" s="173">
        <f ca="1">(VLOOKUP(DB$72,INDIRECT($C$5&amp;"生成成长"),2))/((VLOOKUP($B183,INDIRECT($B$5&amp;"生成成长"),4))/(VLOOKUP(DB$72,INDIRECT($C$5&amp;"生成成长"),5))*(VLOOKUP($B$5,标准坦克设计!$B$24:$U$30,MATCH("对"&amp;LEFT($C$5,2)&amp;"输出",标准坦克设计!$B$23:$U$23,0)))*(VLOOKUP($B183,INDIRECT($B$5&amp;"生成成长"),3))*(VLOOKUP($B$5,标准坦克设计!$B$14:$K$20,9)/30))</f>
        <v>6.1141681885680761</v>
      </c>
      <c r="DC183" s="173">
        <f ca="1">(VLOOKUP(DC$72,INDIRECT($C$5&amp;"生成成长"),2))/((VLOOKUP($B183,INDIRECT($B$5&amp;"生成成长"),4))/(VLOOKUP(DC$72,INDIRECT($C$5&amp;"生成成长"),5))*(VLOOKUP($B$5,标准坦克设计!$B$24:$U$30,MATCH("对"&amp;LEFT($C$5,2)&amp;"输出",标准坦克设计!$B$23:$U$23,0)))*(VLOOKUP($B183,INDIRECT($B$5&amp;"生成成长"),3))*(VLOOKUP($B$5,标准坦克设计!$B$14:$K$20,9)/30))</f>
        <v>6.5002328770029907</v>
      </c>
      <c r="DD183" s="173">
        <f ca="1">(VLOOKUP(DD$72,INDIRECT($C$5&amp;"生成成长"),2))/((VLOOKUP($B183,INDIRECT($B$5&amp;"生成成长"),4))/(VLOOKUP(DD$72,INDIRECT($C$5&amp;"生成成长"),5))*(VLOOKUP($B$5,标准坦克设计!$B$24:$U$30,MATCH("对"&amp;LEFT($C$5,2)&amp;"输出",标准坦克设计!$B$23:$U$23,0)))*(VLOOKUP($B183,INDIRECT($B$5&amp;"生成成长"),3))*(VLOOKUP($B$5,标准坦克设计!$B$14:$K$20,9)/30))</f>
        <v>6.8981158722267288</v>
      </c>
      <c r="DE183" s="173">
        <f ca="1">(VLOOKUP(DE$72,INDIRECT($C$5&amp;"生成成长"),2))/((VLOOKUP($B183,INDIRECT($B$5&amp;"生成成长"),4))/(VLOOKUP(DE$72,INDIRECT($C$5&amp;"生成成长"),5))*(VLOOKUP($B$5,标准坦克设计!$B$24:$U$30,MATCH("对"&amp;LEFT($C$5,2)&amp;"输出",标准坦克设计!$B$23:$U$23,0)))*(VLOOKUP($B183,INDIRECT($B$5&amp;"生成成长"),3))*(VLOOKUP($B$5,标准坦克设计!$B$14:$K$20,9)/30))</f>
        <v>7.3078171742392888</v>
      </c>
      <c r="DF183" s="173">
        <f ca="1">(VLOOKUP(DF$72,INDIRECT($C$5&amp;"生成成长"),2))/((VLOOKUP($B183,INDIRECT($B$5&amp;"生成成长"),4))/(VLOOKUP(DF$72,INDIRECT($C$5&amp;"生成成长"),5))*(VLOOKUP($B$5,标准坦克设计!$B$24:$U$30,MATCH("对"&amp;LEFT($C$5,2)&amp;"输出",标准坦克设计!$B$23:$U$23,0)))*(VLOOKUP($B183,INDIRECT($B$5&amp;"生成成长"),3))*(VLOOKUP($B$5,标准坦克设计!$B$14:$K$20,9)/30))</f>
        <v>7.729336783040675</v>
      </c>
      <c r="DG183" s="173">
        <f ca="1">(VLOOKUP(DG$72,INDIRECT($C$5&amp;"生成成长"),2))/((VLOOKUP($B183,INDIRECT($B$5&amp;"生成成长"),4))/(VLOOKUP(DG$72,INDIRECT($C$5&amp;"生成成长"),5))*(VLOOKUP($B$5,标准坦克设计!$B$24:$U$30,MATCH("对"&amp;LEFT($C$5,2)&amp;"输出",标准坦克设计!$B$23:$U$23,0)))*(VLOOKUP($B183,INDIRECT($B$5&amp;"生成成长"),3))*(VLOOKUP($B$5,标准坦克设计!$B$14:$K$20,9)/30))</f>
        <v>8.1626746986308856</v>
      </c>
      <c r="DH183" s="173">
        <f ca="1">(VLOOKUP(DH$72,INDIRECT($C$5&amp;"生成成长"),2))/((VLOOKUP($B183,INDIRECT($B$5&amp;"生成成长"),4))/(VLOOKUP(DH$72,INDIRECT($C$5&amp;"生成成长"),5))*(VLOOKUP($B$5,标准坦克设计!$B$24:$U$30,MATCH("对"&amp;LEFT($C$5,2)&amp;"输出",标准坦克设计!$B$23:$U$23,0)))*(VLOOKUP($B183,INDIRECT($B$5&amp;"生成成长"),3))*(VLOOKUP($B$5,标准坦克设计!$B$14:$K$20,9)/30))</f>
        <v>8.6078309210099189</v>
      </c>
      <c r="DI183" s="173">
        <f ca="1">(VLOOKUP(DI$72,INDIRECT($C$5&amp;"生成成长"),2))/((VLOOKUP($B183,INDIRECT($B$5&amp;"生成成长"),4))/(VLOOKUP(DI$72,INDIRECT($C$5&amp;"生成成长"),5))*(VLOOKUP($B$5,标准坦克设计!$B$24:$U$30,MATCH("对"&amp;LEFT($C$5,2)&amp;"输出",标准坦克设计!$B$23:$U$23,0)))*(VLOOKUP($B183,INDIRECT($B$5&amp;"生成成长"),3))*(VLOOKUP($B$5,标准坦克设计!$B$14:$K$20,9)/30))</f>
        <v>9.0648054501777757</v>
      </c>
      <c r="DJ183" s="173">
        <f ca="1">(VLOOKUP(DJ$72,INDIRECT($C$5&amp;"生成成长"),2))/((VLOOKUP($B183,INDIRECT($B$5&amp;"生成成长"),4))/(VLOOKUP(DJ$72,INDIRECT($C$5&amp;"生成成长"),5))*(VLOOKUP($B$5,标准坦克设计!$B$24:$U$30,MATCH("对"&amp;LEFT($C$5,2)&amp;"输出",标准坦克设计!$B$23:$U$23,0)))*(VLOOKUP($B183,INDIRECT($B$5&amp;"生成成长"),3))*(VLOOKUP($B$5,标准坦克设计!$B$14:$K$20,9)/30))</f>
        <v>0.91103551742597033</v>
      </c>
      <c r="DK183" s="173">
        <f ca="1">(VLOOKUP(DK$72,INDIRECT($C$5&amp;"生成成长"),2))/((VLOOKUP($B183,INDIRECT($B$5&amp;"生成成长"),4))/(VLOOKUP(DK$72,INDIRECT($C$5&amp;"生成成长"),5))*(VLOOKUP($B$5,标准坦克设计!$B$24:$U$30,MATCH("对"&amp;LEFT($C$5,2)&amp;"输出",标准坦克设计!$B$23:$U$23,0)))*(VLOOKUP($B183,INDIRECT($B$5&amp;"生成成长"),3))*(VLOOKUP($B$5,标准坦克设计!$B$14:$K$20,9)/30))</f>
        <v>1.0244173981812494</v>
      </c>
      <c r="DL183" s="173">
        <f ca="1">(VLOOKUP(DL$72,INDIRECT($C$5&amp;"生成成长"),2))/((VLOOKUP($B183,INDIRECT($B$5&amp;"生成成长"),4))/(VLOOKUP(DL$72,INDIRECT($C$5&amp;"生成成长"),5))*(VLOOKUP($B$5,标准坦克设计!$B$24:$U$30,MATCH("对"&amp;LEFT($C$5,2)&amp;"输出",标准坦克设计!$B$23:$U$23,0)))*(VLOOKUP($B183,INDIRECT($B$5&amp;"生成成长"),3))*(VLOOKUP($B$5,标准坦克设计!$B$14:$K$20,9)/30))</f>
        <v>1.1444470765052421</v>
      </c>
      <c r="DM183" s="173">
        <f ca="1">(VLOOKUP(DM$72,INDIRECT($C$5&amp;"生成成长"),2))/((VLOOKUP($B183,INDIRECT($B$5&amp;"生成成长"),4))/(VLOOKUP(DM$72,INDIRECT($C$5&amp;"生成成长"),5))*(VLOOKUP($B$5,标准坦克设计!$B$24:$U$30,MATCH("对"&amp;LEFT($C$5,2)&amp;"输出",标准坦克设计!$B$23:$U$23,0)))*(VLOOKUP($B183,INDIRECT($B$5&amp;"生成成长"),3))*(VLOOKUP($B$5,标准坦克设计!$B$14:$K$20,9)/30))</f>
        <v>1.2711245523979484</v>
      </c>
      <c r="DN183" s="173">
        <f ca="1">(VLOOKUP(DN$72,INDIRECT($C$5&amp;"生成成长"),2))/((VLOOKUP($B183,INDIRECT($B$5&amp;"生成成长"),4))/(VLOOKUP(DN$72,INDIRECT($C$5&amp;"生成成长"),5))*(VLOOKUP($B$5,标准坦克设计!$B$24:$U$30,MATCH("对"&amp;LEFT($C$5,2)&amp;"输出",标准坦克设计!$B$23:$U$23,0)))*(VLOOKUP($B183,INDIRECT($B$5&amp;"生成成长"),3))*(VLOOKUP($B$5,标准坦克设计!$B$14:$K$20,9)/30))</f>
        <v>1.4044498258593681</v>
      </c>
      <c r="DO183" s="173">
        <f ca="1">(VLOOKUP(DO$72,INDIRECT($C$5&amp;"生成成长"),2))/((VLOOKUP($B183,INDIRECT($B$5&amp;"生成成长"),4))/(VLOOKUP(DO$72,INDIRECT($C$5&amp;"生成成长"),5))*(VLOOKUP($B$5,标准坦克设计!$B$24:$U$30,MATCH("对"&amp;LEFT($C$5,2)&amp;"输出",标准坦克设计!$B$23:$U$23,0)))*(VLOOKUP($B183,INDIRECT($B$5&amp;"生成成长"),3))*(VLOOKUP($B$5,标准坦克设计!$B$14:$K$20,9)/30))</f>
        <v>1.5444228968895013</v>
      </c>
      <c r="DP183" s="173">
        <f ca="1">(VLOOKUP(DP$72,INDIRECT($C$5&amp;"生成成长"),2))/((VLOOKUP($B183,INDIRECT($B$5&amp;"生成成长"),4))/(VLOOKUP(DP$72,INDIRECT($C$5&amp;"生成成长"),5))*(VLOOKUP($B$5,标准坦克设计!$B$24:$U$30,MATCH("对"&amp;LEFT($C$5,2)&amp;"输出",标准坦克设计!$B$23:$U$23,0)))*(VLOOKUP($B183,INDIRECT($B$5&amp;"生成成长"),3))*(VLOOKUP($B$5,标准坦克设计!$B$14:$K$20,9)/30))</f>
        <v>1.6910437654883477</v>
      </c>
      <c r="DQ183" s="173">
        <f ca="1">(VLOOKUP(DQ$72,INDIRECT($C$5&amp;"生成成长"),2))/((VLOOKUP($B183,INDIRECT($B$5&amp;"生成成长"),4))/(VLOOKUP(DQ$72,INDIRECT($C$5&amp;"生成成长"),5))*(VLOOKUP($B$5,标准坦克设计!$B$24:$U$30,MATCH("对"&amp;LEFT($C$5,2)&amp;"输出",标准坦克设计!$B$23:$U$23,0)))*(VLOOKUP($B183,INDIRECT($B$5&amp;"生成成长"),3))*(VLOOKUP($B$5,标准坦克设计!$B$14:$K$20,9)/30))</f>
        <v>1.8443124316559081</v>
      </c>
      <c r="DR183" s="173">
        <f ca="1">(VLOOKUP(DR$72,INDIRECT($C$5&amp;"生成成长"),2))/((VLOOKUP($B183,INDIRECT($B$5&amp;"生成成长"),4))/(VLOOKUP(DR$72,INDIRECT($C$5&amp;"生成成长"),5))*(VLOOKUP($B$5,标准坦克设计!$B$24:$U$30,MATCH("对"&amp;LEFT($C$5,2)&amp;"输出",标准坦克设计!$B$23:$U$23,0)))*(VLOOKUP($B183,INDIRECT($B$5&amp;"生成成长"),3))*(VLOOKUP($B$5,标准坦克设计!$B$14:$K$20,9)/30))</f>
        <v>2.0042288953921812</v>
      </c>
      <c r="DS183" s="173">
        <f ca="1">(VLOOKUP(DS$72,INDIRECT($C$5&amp;"生成成长"),2))/((VLOOKUP($B183,INDIRECT($B$5&amp;"生成成长"),4))/(VLOOKUP(DS$72,INDIRECT($C$5&amp;"生成成长"),5))*(VLOOKUP($B$5,标准坦克设计!$B$24:$U$30,MATCH("对"&amp;LEFT($C$5,2)&amp;"输出",标准坦克设计!$B$23:$U$23,0)))*(VLOOKUP($B183,INDIRECT($B$5&amp;"生成成长"),3))*(VLOOKUP($B$5,标准坦克设计!$B$14:$K$20,9)/30))</f>
        <v>2.1707931566971679</v>
      </c>
      <c r="DT183" s="173">
        <f ca="1">(VLOOKUP(DT$72,INDIRECT($C$5&amp;"生成成长"),2))/((VLOOKUP($B183,INDIRECT($B$5&amp;"生成成长"),4))/(VLOOKUP(DT$72,INDIRECT($C$5&amp;"生成成长"),5))*(VLOOKUP($B$5,标准坦克设计!$B$24:$U$30,MATCH("对"&amp;LEFT($C$5,2)&amp;"输出",标准坦克设计!$B$23:$U$23,0)))*(VLOOKUP($B183,INDIRECT($B$5&amp;"生成成长"),3))*(VLOOKUP($B$5,标准坦克设计!$B$14:$K$20,9)/30))</f>
        <v>2.3833995715336149</v>
      </c>
      <c r="DU183" s="173">
        <f ca="1">(VLOOKUP(DU$72,INDIRECT($C$5&amp;"生成成长"),2))/((VLOOKUP($B183,INDIRECT($B$5&amp;"生成成长"),4))/(VLOOKUP(DU$72,INDIRECT($C$5&amp;"生成成长"),5))*(VLOOKUP($B$5,标准坦克设计!$B$24:$U$30,MATCH("对"&amp;LEFT($C$5,2)&amp;"输出",标准坦克设计!$B$23:$U$23,0)))*(VLOOKUP($B183,INDIRECT($B$5&amp;"生成成长"),3))*(VLOOKUP($B$5,标准坦克设计!$B$14:$K$20,9)/30))</f>
        <v>2.6059366469356702</v>
      </c>
      <c r="DV183" s="173">
        <f ca="1">(VLOOKUP(DV$72,INDIRECT($C$5&amp;"生成成长"),2))/((VLOOKUP($B183,INDIRECT($B$5&amp;"生成成长"),4))/(VLOOKUP(DV$72,INDIRECT($C$5&amp;"生成成长"),5))*(VLOOKUP($B$5,标准坦克设计!$B$24:$U$30,MATCH("对"&amp;LEFT($C$5,2)&amp;"输出",标准坦克设计!$B$23:$U$23,0)))*(VLOOKUP($B183,INDIRECT($B$5&amp;"生成成长"),3))*(VLOOKUP($B$5,标准坦克设计!$B$14:$K$20,9)/30))</f>
        <v>2.838404382903335</v>
      </c>
      <c r="DW183" s="173">
        <f ca="1">(VLOOKUP(DW$72,INDIRECT($C$5&amp;"生成成长"),2))/((VLOOKUP($B183,INDIRECT($B$5&amp;"生成成长"),4))/(VLOOKUP(DW$72,INDIRECT($C$5&amp;"生成成长"),5))*(VLOOKUP($B$5,标准坦克设计!$B$24:$U$30,MATCH("对"&amp;LEFT($C$5,2)&amp;"输出",标准坦克设计!$B$23:$U$23,0)))*(VLOOKUP($B183,INDIRECT($B$5&amp;"生成成长"),3))*(VLOOKUP($B$5,标准坦克设计!$B$14:$K$20,9)/30))</f>
        <v>3.080802779436608</v>
      </c>
      <c r="DX183" s="173">
        <f ca="1">(VLOOKUP(DX$72,INDIRECT($C$5&amp;"生成成长"),2))/((VLOOKUP($B183,INDIRECT($B$5&amp;"生成成长"),4))/(VLOOKUP(DX$72,INDIRECT($C$5&amp;"生成成长"),5))*(VLOOKUP($B$5,标准坦克设计!$B$24:$U$30,MATCH("对"&amp;LEFT($C$5,2)&amp;"输出",标准坦克设计!$B$23:$U$23,0)))*(VLOOKUP($B183,INDIRECT($B$5&amp;"生成成长"),3))*(VLOOKUP($B$5,标准坦克设计!$B$14:$K$20,9)/30))</f>
        <v>3.3331318365354909</v>
      </c>
      <c r="DY183" s="173">
        <f ca="1">(VLOOKUP(DY$72,INDIRECT($C$5&amp;"生成成长"),2))/((VLOOKUP($B183,INDIRECT($B$5&amp;"生成成长"),4))/(VLOOKUP(DY$72,INDIRECT($C$5&amp;"生成成长"),5))*(VLOOKUP($B$5,标准坦克设计!$B$24:$U$30,MATCH("对"&amp;LEFT($C$5,2)&amp;"输出",标准坦克设计!$B$23:$U$23,0)))*(VLOOKUP($B183,INDIRECT($B$5&amp;"生成成长"),3))*(VLOOKUP($B$5,标准坦克设计!$B$14:$K$20,9)/30))</f>
        <v>1.497026562371822</v>
      </c>
      <c r="DZ183" s="173">
        <f ca="1">(VLOOKUP(DZ$72,INDIRECT($C$5&amp;"生成成长"),2))/((VLOOKUP($B183,INDIRECT($B$5&amp;"生成成长"),4))/(VLOOKUP(DZ$72,INDIRECT($C$5&amp;"生成成长"),5))*(VLOOKUP($B$5,标准坦克设计!$B$24:$U$30,MATCH("对"&amp;LEFT($C$5,2)&amp;"输出",标准坦克设计!$B$23:$U$23,0)))*(VLOOKUP($B183,INDIRECT($B$5&amp;"生成成长"),3))*(VLOOKUP($B$5,标准坦克设计!$B$14:$K$20,9)/30))</f>
        <v>1.6578868492197028</v>
      </c>
      <c r="EA183" s="173">
        <f ca="1">(VLOOKUP(EA$72,INDIRECT($C$5&amp;"生成成长"),2))/((VLOOKUP($B183,INDIRECT($B$5&amp;"生成成长"),4))/(VLOOKUP(EA$72,INDIRECT($C$5&amp;"生成成长"),5))*(VLOOKUP($B$5,标准坦克设计!$B$24:$U$30,MATCH("对"&amp;LEFT($C$5,2)&amp;"输出",标准坦克设计!$B$23:$U$23,0)))*(VLOOKUP($B183,INDIRECT($B$5&amp;"生成成长"),3))*(VLOOKUP($B$5,标准坦克设计!$B$14:$K$20,9)/30))</f>
        <v>1.8269542935598222</v>
      </c>
      <c r="EB183" s="173">
        <f ca="1">(VLOOKUP(EB$72,INDIRECT($C$5&amp;"生成成长"),2))/((VLOOKUP($B183,INDIRECT($B$5&amp;"生成成长"),4))/(VLOOKUP(EB$72,INDIRECT($C$5&amp;"生成成长"),5))*(VLOOKUP($B$5,标准坦克设计!$B$24:$U$30,MATCH("对"&amp;LEFT($C$5,2)&amp;"输出",标准坦克设计!$B$23:$U$23,0)))*(VLOOKUP($B183,INDIRECT($B$5&amp;"生成成长"),3))*(VLOOKUP($B$5,标准坦克设计!$B$14:$K$20,9)/30))</f>
        <v>2.0042288953921812</v>
      </c>
      <c r="EC183" s="173">
        <f ca="1">(VLOOKUP(EC$72,INDIRECT($C$5&amp;"生成成长"),2))/((VLOOKUP($B183,INDIRECT($B$5&amp;"生成成长"),4))/(VLOOKUP(EC$72,INDIRECT($C$5&amp;"生成成长"),5))*(VLOOKUP($B$5,标准坦克设计!$B$24:$U$30,MATCH("对"&amp;LEFT($C$5,2)&amp;"输出",标准坦克设计!$B$23:$U$23,0)))*(VLOOKUP($B183,INDIRECT($B$5&amp;"生成成长"),3))*(VLOOKUP($B$5,标准坦克设计!$B$14:$K$20,9)/30))</f>
        <v>2.1897106547167784</v>
      </c>
      <c r="ED183" s="173">
        <f ca="1">(VLOOKUP(ED$72,INDIRECT($C$5&amp;"生成成长"),2))/((VLOOKUP($B183,INDIRECT($B$5&amp;"生成成长"),4))/(VLOOKUP(ED$72,INDIRECT($C$5&amp;"生成成长"),5))*(VLOOKUP($B$5,标准坦克设计!$B$24:$U$30,MATCH("对"&amp;LEFT($C$5,2)&amp;"输出",标准坦克设计!$B$23:$U$23,0)))*(VLOOKUP($B183,INDIRECT($B$5&amp;"生成成长"),3))*(VLOOKUP($B$5,标准坦克设计!$B$14:$K$20,9)/30))</f>
        <v>2.3833995715336149</v>
      </c>
      <c r="EE183" s="173">
        <f ca="1">(VLOOKUP(EE$72,INDIRECT($C$5&amp;"生成成长"),2))/((VLOOKUP($B183,INDIRECT($B$5&amp;"生成成长"),4))/(VLOOKUP(EE$72,INDIRECT($C$5&amp;"生成成长"),5))*(VLOOKUP($B$5,标准坦克设计!$B$24:$U$30,MATCH("对"&amp;LEFT($C$5,2)&amp;"输出",标准坦克设计!$B$23:$U$23,0)))*(VLOOKUP($B183,INDIRECT($B$5&amp;"生成成长"),3))*(VLOOKUP($B$5,标准坦克设计!$B$14:$K$20,9)/30))</f>
        <v>2.5852956458426899</v>
      </c>
      <c r="EF183" s="173">
        <f ca="1">(VLOOKUP(EF$72,INDIRECT($C$5&amp;"生成成长"),2))/((VLOOKUP($B183,INDIRECT($B$5&amp;"生成成长"),4))/(VLOOKUP(EF$72,INDIRECT($C$5&amp;"生成成长"),5))*(VLOOKUP($B$5,标准坦克设计!$B$24:$U$30,MATCH("对"&amp;LEFT($C$5,2)&amp;"输出",标准坦克设计!$B$23:$U$23,0)))*(VLOOKUP($B183,INDIRECT($B$5&amp;"生成成长"),3))*(VLOOKUP($B$5,标准坦克设计!$B$14:$K$20,9)/30))</f>
        <v>2.7953988776440029</v>
      </c>
      <c r="EG183" s="173">
        <f ca="1">(VLOOKUP(EG$72,INDIRECT($C$5&amp;"生成成长"),2))/((VLOOKUP($B183,INDIRECT($B$5&amp;"生成成长"),4))/(VLOOKUP(EG$72,INDIRECT($C$5&amp;"生成成长"),5))*(VLOOKUP($B$5,标准坦克设计!$B$24:$U$30,MATCH("对"&amp;LEFT($C$5,2)&amp;"输出",标准坦克设计!$B$23:$U$23,0)))*(VLOOKUP($B183,INDIRECT($B$5&amp;"生成成长"),3))*(VLOOKUP($B$5,标准坦克设计!$B$14:$K$20,9)/30))</f>
        <v>3.013709266937556</v>
      </c>
      <c r="EH183" s="173">
        <f ca="1">(VLOOKUP(EH$72,INDIRECT($C$5&amp;"生成成长"),2))/((VLOOKUP($B183,INDIRECT($B$5&amp;"生成成长"),4))/(VLOOKUP(EH$72,INDIRECT($C$5&amp;"生成成长"),5))*(VLOOKUP($B$5,标准坦克设计!$B$24:$U$30,MATCH("对"&amp;LEFT($C$5,2)&amp;"输出",标准坦克设计!$B$23:$U$23,0)))*(VLOOKUP($B183,INDIRECT($B$5&amp;"生成成长"),3))*(VLOOKUP($B$5,标准坦克设计!$B$14:$K$20,9)/30))</f>
        <v>3.2402268137233476</v>
      </c>
      <c r="EI183" s="173">
        <f ca="1">(VLOOKUP(EI$72,INDIRECT($C$5&amp;"生成成长"),2))/((VLOOKUP($B183,INDIRECT($B$5&amp;"生成成长"),4))/(VLOOKUP(EI$72,INDIRECT($C$5&amp;"生成成长"),5))*(VLOOKUP($B$5,标准坦克设计!$B$24:$U$30,MATCH("对"&amp;LEFT($C$5,2)&amp;"输出",标准坦克设计!$B$23:$U$23,0)))*(VLOOKUP($B183,INDIRECT($B$5&amp;"生成成长"),3))*(VLOOKUP($B$5,标准坦克设计!$B$14:$K$20,9)/30))</f>
        <v>3.4749515180013777</v>
      </c>
      <c r="EJ183" s="173">
        <f ca="1">(VLOOKUP(EJ$72,INDIRECT($C$5&amp;"生成成长"),2))/((VLOOKUP($B183,INDIRECT($B$5&amp;"生成成长"),4))/(VLOOKUP(EJ$72,INDIRECT($C$5&amp;"生成成长"),5))*(VLOOKUP($B$5,标准坦克设计!$B$24:$U$30,MATCH("对"&amp;LEFT($C$5,2)&amp;"输出",标准坦克设计!$B$23:$U$23,0)))*(VLOOKUP($B183,INDIRECT($B$5&amp;"生成成长"),3))*(VLOOKUP($B$5,标准坦克设计!$B$14:$K$20,9)/30))</f>
        <v>3.7178833797716471</v>
      </c>
      <c r="EK183" s="173">
        <f ca="1">(VLOOKUP(EK$72,INDIRECT($C$5&amp;"生成成长"),2))/((VLOOKUP($B183,INDIRECT($B$5&amp;"生成成长"),4))/(VLOOKUP(EK$72,INDIRECT($C$5&amp;"生成成长"),5))*(VLOOKUP($B$5,标准坦克设计!$B$24:$U$30,MATCH("对"&amp;LEFT($C$5,2)&amp;"输出",标准坦克设计!$B$23:$U$23,0)))*(VLOOKUP($B183,INDIRECT($B$5&amp;"生成成长"),3))*(VLOOKUP($B$5,标准坦克设计!$B$14:$K$20,9)/30))</f>
        <v>4.0202350617857245</v>
      </c>
      <c r="EL183" s="173">
        <f ca="1">(VLOOKUP(EL$72,INDIRECT($C$5&amp;"生成成长"),2))/((VLOOKUP($B183,INDIRECT($B$5&amp;"生成成长"),4))/(VLOOKUP(EL$72,INDIRECT($C$5&amp;"生成成长"),5))*(VLOOKUP($B$5,标准坦克设计!$B$24:$U$30,MATCH("对"&amp;LEFT($C$5,2)&amp;"输出",标准坦克设计!$B$23:$U$23,0)))*(VLOOKUP($B183,INDIRECT($B$5&amp;"生成成长"),3))*(VLOOKUP($B$5,标准坦克设计!$B$14:$K$20,9)/30))</f>
        <v>4.3344050505886269</v>
      </c>
      <c r="EM183" s="173">
        <f ca="1">(VLOOKUP(EM$72,INDIRECT($C$5&amp;"生成成长"),2))/((VLOOKUP($B183,INDIRECT($B$5&amp;"生成成长"),4))/(VLOOKUP(EM$72,INDIRECT($C$5&amp;"生成成长"),5))*(VLOOKUP($B$5,标准坦克设计!$B$24:$U$30,MATCH("对"&amp;LEFT($C$5,2)&amp;"输出",标准坦克设计!$B$23:$U$23,0)))*(VLOOKUP($B183,INDIRECT($B$5&amp;"生成成长"),3))*(VLOOKUP($B$5,标准坦克设计!$B$14:$K$20,9)/30))</f>
        <v>4.6603933461803537</v>
      </c>
      <c r="EN183" s="173">
        <f ca="1">(VLOOKUP(EN$72,INDIRECT($C$5&amp;"生成成长"),2))/((VLOOKUP($B183,INDIRECT($B$5&amp;"生成成长"),4))/(VLOOKUP(EN$72,INDIRECT($C$5&amp;"生成成长"),5))*(VLOOKUP($B$5,标准坦克设计!$B$24:$U$30,MATCH("对"&amp;LEFT($C$5,2)&amp;"输出",标准坦克设计!$B$23:$U$23,0)))*(VLOOKUP($B183,INDIRECT($B$5&amp;"生成成长"),3))*(VLOOKUP($B$5,标准坦克设计!$B$14:$K$20,9)/30))</f>
        <v>4.9981999485609032</v>
      </c>
      <c r="EO183" s="173">
        <f ca="1">(VLOOKUP(EO$72,INDIRECT($C$5&amp;"生成成长"),2))/((VLOOKUP($B183,INDIRECT($B$5&amp;"生成成长"),4))/(VLOOKUP(EO$72,INDIRECT($C$5&amp;"生成成长"),5))*(VLOOKUP($B$5,标准坦克设计!$B$24:$U$30,MATCH("对"&amp;LEFT($C$5,2)&amp;"输出",标准坦克设计!$B$23:$U$23,0)))*(VLOOKUP($B183,INDIRECT($B$5&amp;"生成成长"),3))*(VLOOKUP($B$5,标准坦克设计!$B$14:$K$20,9)/30))</f>
        <v>5.3478248577302772</v>
      </c>
      <c r="EP183" s="173">
        <f ca="1">(VLOOKUP(EP$72,INDIRECT($C$5&amp;"生成成长"),2))/((VLOOKUP($B183,INDIRECT($B$5&amp;"生成成长"),4))/(VLOOKUP(EP$72,INDIRECT($C$5&amp;"生成成长"),5))*(VLOOKUP($B$5,标准坦克设计!$B$24:$U$30,MATCH("对"&amp;LEFT($C$5,2)&amp;"输出",标准坦克设计!$B$23:$U$23,0)))*(VLOOKUP($B183,INDIRECT($B$5&amp;"生成成长"),3))*(VLOOKUP($B$5,标准坦克设计!$B$14:$K$20,9)/30))</f>
        <v>5.7092680736884747</v>
      </c>
      <c r="EQ183" s="173">
        <f ca="1">(VLOOKUP(EQ$72,INDIRECT($C$5&amp;"生成成长"),2))/((VLOOKUP($B183,INDIRECT($B$5&amp;"生成成长"),4))/(VLOOKUP(EQ$72,INDIRECT($C$5&amp;"生成成长"),5))*(VLOOKUP($B$5,标准坦克设计!$B$24:$U$30,MATCH("对"&amp;LEFT($C$5,2)&amp;"输出",标准坦克设计!$B$23:$U$23,0)))*(VLOOKUP($B183,INDIRECT($B$5&amp;"生成成长"),3))*(VLOOKUP($B$5,标准坦克设计!$B$14:$K$20,9)/30))</f>
        <v>2.5238650720132823</v>
      </c>
      <c r="ER183" s="173">
        <f ca="1">(VLOOKUP(ER$72,INDIRECT($C$5&amp;"生成成长"),2))/((VLOOKUP($B183,INDIRECT($B$5&amp;"生成成长"),4))/(VLOOKUP(ER$72,INDIRECT($C$5&amp;"生成成长"),5))*(VLOOKUP($B$5,标准坦克设计!$B$24:$U$30,MATCH("对"&amp;LEFT($C$5,2)&amp;"输出",标准坦克设计!$B$23:$U$23,0)))*(VLOOKUP($B183,INDIRECT($B$5&amp;"生成成长"),3))*(VLOOKUP($B$5,标准坦克设计!$B$14:$K$20,9)/30))</f>
        <v>2.7527216586843615</v>
      </c>
      <c r="ES183" s="173">
        <f ca="1">(VLOOKUP(ES$72,INDIRECT($C$5&amp;"生成成长"),2))/((VLOOKUP($B183,INDIRECT($B$5&amp;"生成成长"),4))/(VLOOKUP(ES$72,INDIRECT($C$5&amp;"生成成长"),5))*(VLOOKUP($B$5,标准坦克设计!$B$24:$U$30,MATCH("对"&amp;LEFT($C$5,2)&amp;"输出",标准坦克设计!$B$23:$U$23,0)))*(VLOOKUP($B183,INDIRECT($B$5&amp;"生成成长"),3))*(VLOOKUP($B$5,标准坦克设计!$B$14:$K$20,9)/30))</f>
        <v>2.9915089059210498</v>
      </c>
      <c r="ET183" s="173">
        <f ca="1">(VLOOKUP(ET$72,INDIRECT($C$5&amp;"生成成长"),2))/((VLOOKUP($B183,INDIRECT($B$5&amp;"生成成长"),4))/(VLOOKUP(ET$72,INDIRECT($C$5&amp;"生成成长"),5))*(VLOOKUP($B$5,标准坦克设计!$B$24:$U$30,MATCH("对"&amp;LEFT($C$5,2)&amp;"输出",标准坦克设计!$B$23:$U$23,0)))*(VLOOKUP($B183,INDIRECT($B$5&amp;"生成成长"),3))*(VLOOKUP($B$5,标准坦克设计!$B$14:$K$20,9)/30))</f>
        <v>3.2402268137233476</v>
      </c>
      <c r="EU183" s="173">
        <f ca="1">(VLOOKUP(EU$72,INDIRECT($C$5&amp;"生成成长"),2))/((VLOOKUP($B183,INDIRECT($B$5&amp;"生成成长"),4))/(VLOOKUP(EU$72,INDIRECT($C$5&amp;"生成成长"),5))*(VLOOKUP($B$5,标准坦克设计!$B$24:$U$30,MATCH("对"&amp;LEFT($C$5,2)&amp;"输出",标准坦克设计!$B$23:$U$23,0)))*(VLOOKUP($B183,INDIRECT($B$5&amp;"生成成长"),3))*(VLOOKUP($B$5,标准坦克设计!$B$14:$K$20,9)/30))</f>
        <v>3.4988753820912533</v>
      </c>
      <c r="EV183" s="173">
        <f ca="1">(VLOOKUP(EV$72,INDIRECT($C$5&amp;"生成成长"),2))/((VLOOKUP($B183,INDIRECT($B$5&amp;"生成成长"),4))/(VLOOKUP(EV$72,INDIRECT($C$5&amp;"生成成长"),5))*(VLOOKUP($B$5,标准坦克设计!$B$24:$U$30,MATCH("对"&amp;LEFT($C$5,2)&amp;"输出",标准坦克设计!$B$23:$U$23,0)))*(VLOOKUP($B183,INDIRECT($B$5&amp;"生成成长"),3))*(VLOOKUP($B$5,标准坦克设计!$B$14:$K$20,9)/30))</f>
        <v>3.7674546110247689</v>
      </c>
      <c r="EW183" s="173">
        <f ca="1">(VLOOKUP(EW$72,INDIRECT($C$5&amp;"生成成长"),2))/((VLOOKUP($B183,INDIRECT($B$5&amp;"生成成长"),4))/(VLOOKUP(EW$72,INDIRECT($C$5&amp;"生成成长"),5))*(VLOOKUP($B$5,标准坦克设计!$B$24:$U$30,MATCH("对"&amp;LEFT($C$5,2)&amp;"输出",标准坦克设计!$B$23:$U$23,0)))*(VLOOKUP($B183,INDIRECT($B$5&amp;"生成成长"),3))*(VLOOKUP($B$5,标准坦克设计!$B$14:$K$20,9)/30))</f>
        <v>4.045964500523894</v>
      </c>
      <c r="EX183" s="173">
        <f ca="1">(VLOOKUP(EX$72,INDIRECT($C$5&amp;"生成成长"),2))/((VLOOKUP($B183,INDIRECT($B$5&amp;"生成成长"),4))/(VLOOKUP(EX$72,INDIRECT($C$5&amp;"生成成长"),5))*(VLOOKUP($B$5,标准坦克设计!$B$24:$U$30,MATCH("对"&amp;LEFT($C$5,2)&amp;"输出",标准坦克设计!$B$23:$U$23,0)))*(VLOOKUP($B183,INDIRECT($B$5&amp;"生成成长"),3))*(VLOOKUP($B$5,标准坦克设计!$B$14:$K$20,9)/30))</f>
        <v>4.3344050505886269</v>
      </c>
      <c r="EY183" s="173">
        <f ca="1">(VLOOKUP(EY$72,INDIRECT($C$5&amp;"生成成长"),2))/((VLOOKUP($B183,INDIRECT($B$5&amp;"生成成长"),4))/(VLOOKUP(EY$72,INDIRECT($C$5&amp;"生成成长"),5))*(VLOOKUP($B$5,标准坦克设计!$B$24:$U$30,MATCH("对"&amp;LEFT($C$5,2)&amp;"输出",标准坦克设计!$B$23:$U$23,0)))*(VLOOKUP($B183,INDIRECT($B$5&amp;"生成成长"),3))*(VLOOKUP($B$5,标准坦克设计!$B$14:$K$20,9)/30))</f>
        <v>4.6327762612189689</v>
      </c>
      <c r="EZ183" s="173">
        <f ca="1">(VLOOKUP(EZ$72,INDIRECT($C$5&amp;"生成成长"),2))/((VLOOKUP($B183,INDIRECT($B$5&amp;"生成成长"),4))/(VLOOKUP(EZ$72,INDIRECT($C$5&amp;"生成成长"),5))*(VLOOKUP($B$5,标准坦克设计!$B$24:$U$30,MATCH("对"&amp;LEFT($C$5,2)&amp;"输出",标准坦克设计!$B$23:$U$23,0)))*(VLOOKUP($B183,INDIRECT($B$5&amp;"生成成长"),3))*(VLOOKUP($B$5,标准坦克设计!$B$14:$K$20,9)/30))</f>
        <v>4.94107813241492</v>
      </c>
      <c r="FA183" s="173">
        <f ca="1">(VLOOKUP(FA$72,INDIRECT($C$5&amp;"生成成长"),2))/((VLOOKUP($B183,INDIRECT($B$5&amp;"生成成长"),4))/(VLOOKUP(FA$72,INDIRECT($C$5&amp;"生成成长"),5))*(VLOOKUP($B$5,标准坦克设计!$B$24:$U$30,MATCH("对"&amp;LEFT($C$5,2)&amp;"输出",标准坦克设计!$B$23:$U$23,0)))*(VLOOKUP($B183,INDIRECT($B$5&amp;"生成成长"),3))*(VLOOKUP($B$5,标准坦克设计!$B$14:$K$20,9)/30))</f>
        <v>5.2593106641764802</v>
      </c>
      <c r="FB183" s="173">
        <f ca="1">(VLOOKUP(FB$72,INDIRECT($C$5&amp;"生成成长"),2))/((VLOOKUP($B183,INDIRECT($B$5&amp;"生成成长"),4))/(VLOOKUP(FB$72,INDIRECT($C$5&amp;"生成成长"),5))*(VLOOKUP($B$5,标准坦克设计!$B$24:$U$30,MATCH("对"&amp;LEFT($C$5,2)&amp;"输出",标准坦克设计!$B$23:$U$23,0)))*(VLOOKUP($B183,INDIRECT($B$5&amp;"生成成长"),3))*(VLOOKUP($B$5,标准坦克设计!$B$14:$K$20,9)/30))</f>
        <v>5.5874738565036495</v>
      </c>
      <c r="FC183" s="173">
        <f ca="1">(VLOOKUP(FC$72,INDIRECT($C$5&amp;"生成成长"),2))/((VLOOKUP($B183,INDIRECT($B$5&amp;"生成成长"),4))/(VLOOKUP(FC$72,INDIRECT($C$5&amp;"生成成长"),5))*(VLOOKUP($B$5,标准坦克设计!$B$24:$U$30,MATCH("对"&amp;LEFT($C$5,2)&amp;"输出",标准坦克设计!$B$23:$U$23,0)))*(VLOOKUP($B183,INDIRECT($B$5&amp;"生成成长"),3))*(VLOOKUP($B$5,标准坦克设计!$B$14:$K$20,9)/30))</f>
        <v>5.9255677093964279</v>
      </c>
      <c r="FD183" s="173">
        <f ca="1">(VLOOKUP(FD$72,INDIRECT($C$5&amp;"生成成长"),2))/((VLOOKUP($B183,INDIRECT($B$5&amp;"生成成长"),4))/(VLOOKUP(FD$72,INDIRECT($C$5&amp;"生成成长"),5))*(VLOOKUP($B$5,标准坦克设计!$B$24:$U$30,MATCH("对"&amp;LEFT($C$5,2)&amp;"输出",标准坦克设计!$B$23:$U$23,0)))*(VLOOKUP($B183,INDIRECT($B$5&amp;"生成成长"),3))*(VLOOKUP($B$5,标准坦克设计!$B$14:$K$20,9)/30))</f>
        <v>6.2735922228548153</v>
      </c>
      <c r="FE183" s="173">
        <f ca="1">(VLOOKUP(FE$72,INDIRECT($C$5&amp;"生成成长"),2))/((VLOOKUP($B183,INDIRECT($B$5&amp;"生成成长"),4))/(VLOOKUP(FE$72,INDIRECT($C$5&amp;"生成成长"),5))*(VLOOKUP($B$5,标准坦克设计!$B$24:$U$30,MATCH("对"&amp;LEFT($C$5,2)&amp;"输出",标准坦克设计!$B$23:$U$23,0)))*(VLOOKUP($B183,INDIRECT($B$5&amp;"生成成长"),3))*(VLOOKUP($B$5,标准坦克设计!$B$14:$K$20,9)/30))</f>
        <v>6.697697086266257</v>
      </c>
      <c r="FF183" s="173">
        <f ca="1">(VLOOKUP(FF$72,INDIRECT($C$5&amp;"生成成长"),2))/((VLOOKUP($B183,INDIRECT($B$5&amp;"生成成长"),4))/(VLOOKUP(FF$72,INDIRECT($C$5&amp;"生成成长"),5))*(VLOOKUP($B$5,标准坦克设计!$B$24:$U$30,MATCH("对"&amp;LEFT($C$5,2)&amp;"输出",标准坦克设计!$B$23:$U$23,0)))*(VLOOKUP($B183,INDIRECT($B$5&amp;"生成成长"),3))*(VLOOKUP($B$5,标准坦克设计!$B$14:$K$20,9)/30))</f>
        <v>7.1356720458395806</v>
      </c>
      <c r="FG183" s="173">
        <f ca="1">(VLOOKUP(FG$72,INDIRECT($C$5&amp;"生成成长"),2))/((VLOOKUP($B183,INDIRECT($B$5&amp;"生成成长"),4))/(VLOOKUP(FG$72,INDIRECT($C$5&amp;"生成成长"),5))*(VLOOKUP($B$5,标准坦克设计!$B$24:$U$30,MATCH("对"&amp;LEFT($C$5,2)&amp;"输出",标准坦克设计!$B$23:$U$23,0)))*(VLOOKUP($B183,INDIRECT($B$5&amp;"生成成长"),3))*(VLOOKUP($B$5,标准坦克设计!$B$14:$K$20,9)/30))</f>
        <v>7.5875171015747904</v>
      </c>
      <c r="FH183" s="173">
        <f ca="1">(VLOOKUP(FH$72,INDIRECT($C$5&amp;"生成成长"),2))/((VLOOKUP($B183,INDIRECT($B$5&amp;"生成成长"),4))/(VLOOKUP(FH$72,INDIRECT($C$5&amp;"生成成长"),5))*(VLOOKUP($B$5,标准坦克设计!$B$24:$U$30,MATCH("对"&amp;LEFT($C$5,2)&amp;"输出",标准坦克设计!$B$23:$U$23,0)))*(VLOOKUP($B183,INDIRECT($B$5&amp;"生成成长"),3))*(VLOOKUP($B$5,标准坦克设计!$B$14:$K$20,9)/30))</f>
        <v>8.0532322534718812</v>
      </c>
      <c r="FI183" s="173">
        <f ca="1">(VLOOKUP(FI$72,INDIRECT($C$5&amp;"生成成长"),2))/((VLOOKUP($B183,INDIRECT($B$5&amp;"生成成长"),4))/(VLOOKUP(FI$72,INDIRECT($C$5&amp;"生成成长"),5))*(VLOOKUP($B$5,标准坦克设计!$B$24:$U$30,MATCH("对"&amp;LEFT($C$5,2)&amp;"输出",标准坦克设计!$B$23:$U$23,0)))*(VLOOKUP($B183,INDIRECT($B$5&amp;"生成成长"),3))*(VLOOKUP($B$5,标准坦克设计!$B$14:$K$20,9)/30))</f>
        <v>8.5328175015308556</v>
      </c>
      <c r="FJ183" s="173">
        <f ca="1">(VLOOKUP(FJ$72,INDIRECT($C$5&amp;"生成成长"),2))/((VLOOKUP($B183,INDIRECT($B$5&amp;"生成成长"),4))/(VLOOKUP(FJ$72,INDIRECT($C$5&amp;"生成成长"),5))*(VLOOKUP($B$5,标准坦克设计!$B$24:$U$30,MATCH("对"&amp;LEFT($C$5,2)&amp;"输出",标准坦克设计!$B$23:$U$23,0)))*(VLOOKUP($B183,INDIRECT($B$5&amp;"生成成长"),3))*(VLOOKUP($B$5,标准坦克设计!$B$14:$K$20,9)/30))</f>
        <v>9.0262728457517163</v>
      </c>
      <c r="FK183" s="173">
        <f ca="1">(VLOOKUP(FK$72,INDIRECT($C$5&amp;"生成成长"),2))/((VLOOKUP($B183,INDIRECT($B$5&amp;"生成成长"),4))/(VLOOKUP(FK$72,INDIRECT($C$5&amp;"生成成长"),5))*(VLOOKUP($B$5,标准坦克设计!$B$24:$U$30,MATCH("对"&amp;LEFT($C$5,2)&amp;"输出",标准坦克设计!$B$23:$U$23,0)))*(VLOOKUP($B183,INDIRECT($B$5&amp;"生成成长"),3))*(VLOOKUP($B$5,标准坦克设计!$B$14:$K$20,9)/30))</f>
        <v>9.5335982861344597</v>
      </c>
    </row>
    <row r="184" spans="1:167" x14ac:dyDescent="0.15">
      <c r="A184" s="171" t="str">
        <f t="shared" si="12"/>
        <v>T3高品质1级</v>
      </c>
      <c r="B184" s="172">
        <v>30301</v>
      </c>
      <c r="C184" s="173">
        <f ca="1">(VLOOKUP(C$72,INDIRECT($C$5&amp;"生成成长"),2))/((VLOOKUP($B184,INDIRECT($B$5&amp;"生成成长"),4))/(VLOOKUP(C$72,INDIRECT($C$5&amp;"生成成长"),5))*(VLOOKUP($B$5,标准坦克设计!$B$24:$U$30,MATCH("对"&amp;LEFT($C$5,2)&amp;"输出",标准坦克设计!$B$23:$U$23,0)))*(VLOOKUP($B184,INDIRECT($B$5&amp;"生成成长"),3))*(VLOOKUP($B$5,标准坦克设计!$B$14:$K$20,9)/30))</f>
        <v>4.0790466076563421</v>
      </c>
      <c r="D184" s="173">
        <f ca="1">(VLOOKUP(D$72,INDIRECT($C$5&amp;"生成成长"),2))/((VLOOKUP($B184,INDIRECT($B$5&amp;"生成成长"),4))/(VLOOKUP(D$72,INDIRECT($C$5&amp;"生成成长"),5))*(VLOOKUP($B$5,标准坦克设计!$B$24:$U$30,MATCH("对"&amp;LEFT($C$5,2)&amp;"输出",标准坦克设计!$B$23:$U$23,0)))*(VLOOKUP($B184,INDIRECT($B$5&amp;"生成成长"),3))*(VLOOKUP($B$5,标准坦克设计!$B$14:$K$20,9)/30))</f>
        <v>4.5832167683626661</v>
      </c>
      <c r="E184" s="173">
        <f ca="1">(VLOOKUP(E$72,INDIRECT($C$5&amp;"生成成长"),2))/((VLOOKUP($B184,INDIRECT($B$5&amp;"生成成长"),4))/(VLOOKUP(E$72,INDIRECT($C$5&amp;"生成成长"),5))*(VLOOKUP($B$5,标准坦克设计!$B$24:$U$30,MATCH("对"&amp;LEFT($C$5,2)&amp;"输出",标准坦克设计!$B$23:$U$23,0)))*(VLOOKUP($B184,INDIRECT($B$5&amp;"生成成长"),3))*(VLOOKUP($B$5,标准坦克设计!$B$14:$K$20,9)/30))</f>
        <v>5.1167560646441146</v>
      </c>
      <c r="F184" s="173">
        <f ca="1">(VLOOKUP(F$72,INDIRECT($C$5&amp;"生成成长"),2))/((VLOOKUP($B184,INDIRECT($B$5&amp;"生成成长"),4))/(VLOOKUP(F$72,INDIRECT($C$5&amp;"生成成长"),5))*(VLOOKUP($B$5,标准坦克设计!$B$24:$U$30,MATCH("对"&amp;LEFT($C$5,2)&amp;"输出",标准坦克设计!$B$23:$U$23,0)))*(VLOOKUP($B184,INDIRECT($B$5&amp;"生成成长"),3))*(VLOOKUP($B$5,标准坦克设计!$B$14:$K$20,9)/30))</f>
        <v>5.6796644965006902</v>
      </c>
      <c r="G184" s="173">
        <f ca="1">(VLOOKUP(G$72,INDIRECT($C$5&amp;"生成成长"),2))/((VLOOKUP($B184,INDIRECT($B$5&amp;"生成成长"),4))/(VLOOKUP(G$72,INDIRECT($C$5&amp;"生成成长"),5))*(VLOOKUP($B$5,标准坦克设计!$B$24:$U$30,MATCH("对"&amp;LEFT($C$5,2)&amp;"输出",标准坦克设计!$B$23:$U$23,0)))*(VLOOKUP($B184,INDIRECT($B$5&amp;"生成成长"),3))*(VLOOKUP($B$5,标准坦克设计!$B$14:$K$20,9)/30))</f>
        <v>6.2719420639323911</v>
      </c>
      <c r="H184" s="173">
        <f ca="1">(VLOOKUP(H$72,INDIRECT($C$5&amp;"生成成长"),2))/((VLOOKUP($B184,INDIRECT($B$5&amp;"生成成长"),4))/(VLOOKUP(H$72,INDIRECT($C$5&amp;"生成成长"),5))*(VLOOKUP($B$5,标准坦克设计!$B$24:$U$30,MATCH("对"&amp;LEFT($C$5,2)&amp;"输出",标准坦克设计!$B$23:$U$23,0)))*(VLOOKUP($B184,INDIRECT($B$5&amp;"生成成长"),3))*(VLOOKUP($B$5,标准坦克设计!$B$14:$K$20,9)/30))</f>
        <v>5.4887651152623729</v>
      </c>
      <c r="I184" s="173">
        <f ca="1">(VLOOKUP(I$72,INDIRECT($C$5&amp;"生成成长"),2))/((VLOOKUP($B184,INDIRECT($B$5&amp;"生成成长"),4))/(VLOOKUP(I$72,INDIRECT($C$5&amp;"生成成长"),5))*(VLOOKUP($B$5,标准坦克设计!$B$24:$U$30,MATCH("对"&amp;LEFT($C$5,2)&amp;"输出",标准坦克设计!$B$23:$U$23,0)))*(VLOOKUP($B184,INDIRECT($B$5&amp;"生成成长"),3))*(VLOOKUP($B$5,标准坦克设计!$B$14:$K$20,9)/30))</f>
        <v>6.2719420639323911</v>
      </c>
      <c r="J184" s="173">
        <f ca="1">(VLOOKUP(J$72,INDIRECT($C$5&amp;"生成成长"),2))/((VLOOKUP($B184,INDIRECT($B$5&amp;"生成成长"),4))/(VLOOKUP(J$72,INDIRECT($C$5&amp;"生成成长"),5))*(VLOOKUP($B$5,标准坦克设计!$B$24:$U$30,MATCH("对"&amp;LEFT($C$5,2)&amp;"输出",标准坦克设计!$B$23:$U$23,0)))*(VLOOKUP($B184,INDIRECT($B$5&amp;"生成成长"),3))*(VLOOKUP($B$5,标准坦克设计!$B$14:$K$20,9)/30))</f>
        <v>7.1073308091804099</v>
      </c>
      <c r="K184" s="173">
        <f ca="1">(VLOOKUP(K$72,INDIRECT($C$5&amp;"生成成长"),2))/((VLOOKUP($B184,INDIRECT($B$5&amp;"生成成长"),4))/(VLOOKUP(K$72,INDIRECT($C$5&amp;"生成成长"),5))*(VLOOKUP($B$5,标准坦克设计!$B$24:$U$30,MATCH("对"&amp;LEFT($C$5,2)&amp;"输出",标准坦克设计!$B$23:$U$23,0)))*(VLOOKUP($B184,INDIRECT($B$5&amp;"生成成长"),3))*(VLOOKUP($B$5,标准坦克设计!$B$14:$K$20,9)/30))</f>
        <v>7.9949313510064313</v>
      </c>
      <c r="L184" s="173">
        <f ca="1">(VLOOKUP(L$72,INDIRECT($C$5&amp;"生成成长"),2))/((VLOOKUP($B184,INDIRECT($B$5&amp;"生成成长"),4))/(VLOOKUP(L$72,INDIRECT($C$5&amp;"生成成长"),5))*(VLOOKUP($B$5,标准坦克设计!$B$24:$U$30,MATCH("对"&amp;LEFT($C$5,2)&amp;"输出",标准坦克设计!$B$23:$U$23,0)))*(VLOOKUP($B184,INDIRECT($B$5&amp;"生成成长"),3))*(VLOOKUP($B$5,标准坦克设计!$B$14:$K$20,9)/30))</f>
        <v>8.9347436894104515</v>
      </c>
      <c r="M184" s="173">
        <f ca="1">(VLOOKUP(M$72,INDIRECT($C$5&amp;"生成成长"),2))/((VLOOKUP($B184,INDIRECT($B$5&amp;"生成成长"),4))/(VLOOKUP(M$72,INDIRECT($C$5&amp;"生成成长"),5))*(VLOOKUP($B$5,标准坦克设计!$B$24:$U$30,MATCH("对"&amp;LEFT($C$5,2)&amp;"输出",标准坦克设计!$B$23:$U$23,0)))*(VLOOKUP($B184,INDIRECT($B$5&amp;"生成成长"),3))*(VLOOKUP($B$5,标准坦克设计!$B$14:$K$20,9)/30))</f>
        <v>9.9267678243924724</v>
      </c>
      <c r="N184" s="173">
        <f ca="1">(VLOOKUP(N$72,INDIRECT($C$5&amp;"生成成长"),2))/((VLOOKUP($B184,INDIRECT($B$5&amp;"生成成长"),4))/(VLOOKUP(N$72,INDIRECT($C$5&amp;"生成成长"),5))*(VLOOKUP($B$5,标准坦克设计!$B$24:$U$30,MATCH("对"&amp;LEFT($C$5,2)&amp;"输出",标准坦克设计!$B$23:$U$23,0)))*(VLOOKUP($B184,INDIRECT($B$5&amp;"生成成长"),3))*(VLOOKUP($B$5,标准坦克设计!$B$14:$K$20,9)/30))</f>
        <v>10.971003755952497</v>
      </c>
      <c r="O184" s="173">
        <f ca="1">(VLOOKUP(O$72,INDIRECT($C$5&amp;"生成成长"),2))/((VLOOKUP($B184,INDIRECT($B$5&amp;"生成成长"),4))/(VLOOKUP(O$72,INDIRECT($C$5&amp;"生成成长"),5))*(VLOOKUP($B$5,标准坦克设计!$B$24:$U$30,MATCH("对"&amp;LEFT($C$5,2)&amp;"输出",标准坦克设计!$B$23:$U$23,0)))*(VLOOKUP($B184,INDIRECT($B$5&amp;"生成成长"),3))*(VLOOKUP($B$5,标准坦克设计!$B$14:$K$20,9)/30))</f>
        <v>8.3412424079964556</v>
      </c>
      <c r="P184" s="173">
        <f ca="1">(VLOOKUP(P$72,INDIRECT($C$5&amp;"生成成长"),2))/((VLOOKUP($B184,INDIRECT($B$5&amp;"生成成长"),4))/(VLOOKUP(P$72,INDIRECT($C$5&amp;"生成成长"),5))*(VLOOKUP($B$5,标准坦克设计!$B$24:$U$30,MATCH("对"&amp;LEFT($C$5,2)&amp;"输出",标准坦克设计!$B$23:$U$23,0)))*(VLOOKUP($B184,INDIRECT($B$5&amp;"生成成长"),3))*(VLOOKUP($B$5,标准坦克设计!$B$14:$K$20,9)/30))</f>
        <v>9.4242292823292146</v>
      </c>
      <c r="Q184" s="173">
        <f ca="1">(VLOOKUP(Q$72,INDIRECT($C$5&amp;"生成成长"),2))/((VLOOKUP($B184,INDIRECT($B$5&amp;"生成成长"),4))/(VLOOKUP(Q$72,INDIRECT($C$5&amp;"生成成长"),5))*(VLOOKUP($B$5,标准坦克设计!$B$24:$U$30,MATCH("对"&amp;LEFT($C$5,2)&amp;"输出",标准坦克设计!$B$23:$U$23,0)))*(VLOOKUP($B184,INDIRECT($B$5&amp;"生成成长"),3))*(VLOOKUP($B$5,标准坦克设计!$B$14:$K$20,9)/30))</f>
        <v>10.573296711706003</v>
      </c>
      <c r="R184" s="173">
        <f ca="1">(VLOOKUP(R$72,INDIRECT($C$5&amp;"生成成长"),2))/((VLOOKUP($B184,INDIRECT($B$5&amp;"生成成长"),4))/(VLOOKUP(R$72,INDIRECT($C$5&amp;"生成成长"),5))*(VLOOKUP($B$5,标准坦克设计!$B$24:$U$30,MATCH("对"&amp;LEFT($C$5,2)&amp;"输出",标准坦克设计!$B$23:$U$23,0)))*(VLOOKUP($B184,INDIRECT($B$5&amp;"生成成长"),3))*(VLOOKUP($B$5,标准坦克设计!$B$14:$K$20,9)/30))</f>
        <v>11.788444696126829</v>
      </c>
      <c r="S184" s="173">
        <f ca="1">(VLOOKUP(S$72,INDIRECT($C$5&amp;"生成成长"),2))/((VLOOKUP($B184,INDIRECT($B$5&amp;"生成成长"),4))/(VLOOKUP(S$72,INDIRECT($C$5&amp;"生成成长"),5))*(VLOOKUP($B$5,标准坦克设计!$B$24:$U$30,MATCH("对"&amp;LEFT($C$5,2)&amp;"输出",标准坦克设计!$B$23:$U$23,0)))*(VLOOKUP($B184,INDIRECT($B$5&amp;"生成成长"),3))*(VLOOKUP($B$5,标准坦克设计!$B$14:$K$20,9)/30))</f>
        <v>13.069673235591686</v>
      </c>
      <c r="T184" s="173">
        <f ca="1">(VLOOKUP(T$72,INDIRECT($C$5&amp;"生成成长"),2))/((VLOOKUP($B184,INDIRECT($B$5&amp;"生成成长"),4))/(VLOOKUP(T$72,INDIRECT($C$5&amp;"生成成长"),5))*(VLOOKUP($B$5,标准坦克设计!$B$24:$U$30,MATCH("对"&amp;LEFT($C$5,2)&amp;"输出",标准坦克设计!$B$23:$U$23,0)))*(VLOOKUP($B184,INDIRECT($B$5&amp;"生成成长"),3))*(VLOOKUP($B$5,标准坦克设计!$B$14:$K$20,9)/30))</f>
        <v>14.416982330100575</v>
      </c>
      <c r="U184" s="173">
        <f ca="1">(VLOOKUP(U$72,INDIRECT($C$5&amp;"生成成长"),2))/((VLOOKUP($B184,INDIRECT($B$5&amp;"生成成长"),4))/(VLOOKUP(U$72,INDIRECT($C$5&amp;"生成成长"),5))*(VLOOKUP($B$5,标准坦克设计!$B$24:$U$30,MATCH("对"&amp;LEFT($C$5,2)&amp;"输出",标准坦克设计!$B$23:$U$23,0)))*(VLOOKUP($B184,INDIRECT($B$5&amp;"生成成长"),3))*(VLOOKUP($B$5,标准坦克设计!$B$14:$K$20,9)/30))</f>
        <v>15.830371979653496</v>
      </c>
      <c r="V184" s="173">
        <f ca="1">(VLOOKUP(V$72,INDIRECT($C$5&amp;"生成成长"),2))/((VLOOKUP($B184,INDIRECT($B$5&amp;"生成成长"),4))/(VLOOKUP(V$72,INDIRECT($C$5&amp;"生成成长"),5))*(VLOOKUP($B$5,标准坦克设计!$B$24:$U$30,MATCH("对"&amp;LEFT($C$5,2)&amp;"输出",标准坦克设计!$B$23:$U$23,0)))*(VLOOKUP($B184,INDIRECT($B$5&amp;"生成成长"),3))*(VLOOKUP($B$5,标准坦克设计!$B$14:$K$20,9)/30))</f>
        <v>17.309842184250453</v>
      </c>
      <c r="W184" s="173">
        <f ca="1">(VLOOKUP(W$72,INDIRECT($C$5&amp;"生成成长"),2))/((VLOOKUP($B184,INDIRECT($B$5&amp;"生成成长"),4))/(VLOOKUP(W$72,INDIRECT($C$5&amp;"生成成长"),5))*(VLOOKUP($B$5,标准坦克设计!$B$24:$U$30,MATCH("对"&amp;LEFT($C$5,2)&amp;"输出",标准坦克设计!$B$23:$U$23,0)))*(VLOOKUP($B184,INDIRECT($B$5&amp;"生成成长"),3))*(VLOOKUP($B$5,标准坦克设计!$B$14:$K$20,9)/30))</f>
        <v>18.855392943891442</v>
      </c>
      <c r="X184" s="173">
        <f ca="1">(VLOOKUP(X$72,INDIRECT($C$5&amp;"生成成长"),2))/((VLOOKUP($B184,INDIRECT($B$5&amp;"生成成长"),4))/(VLOOKUP(X$72,INDIRECT($C$5&amp;"生成成长"),5))*(VLOOKUP($B$5,标准坦克设计!$B$24:$U$30,MATCH("对"&amp;LEFT($C$5,2)&amp;"输出",标准坦克设计!$B$23:$U$23,0)))*(VLOOKUP($B184,INDIRECT($B$5&amp;"生成成长"),3))*(VLOOKUP($B$5,标准坦克设计!$B$14:$K$20,9)/30))</f>
        <v>13.660319184380324</v>
      </c>
      <c r="Y184" s="173">
        <f ca="1">(VLOOKUP(Y$72,INDIRECT($C$5&amp;"生成成长"),2))/((VLOOKUP($B184,INDIRECT($B$5&amp;"生成成长"),4))/(VLOOKUP(Y$72,INDIRECT($C$5&amp;"生成成长"),5))*(VLOOKUP($B$5,标准坦克设计!$B$24:$U$30,MATCH("对"&amp;LEFT($C$5,2)&amp;"输出",标准坦克设计!$B$23:$U$23,0)))*(VLOOKUP($B184,INDIRECT($B$5&amp;"生成成长"),3))*(VLOOKUP($B$5,标准坦克设计!$B$14:$K$20,9)/30))</f>
        <v>15.194040708859109</v>
      </c>
      <c r="Z184" s="173">
        <f ca="1">(VLOOKUP(Z$72,INDIRECT($C$5&amp;"生成成长"),2))/((VLOOKUP($B184,INDIRECT($B$5&amp;"生成成长"),4))/(VLOOKUP(Z$72,INDIRECT($C$5&amp;"生成成长"),5))*(VLOOKUP($B$5,标准坦克设计!$B$24:$U$30,MATCH("对"&amp;LEFT($C$5,2)&amp;"输出",标准坦克设计!$B$23:$U$23,0)))*(VLOOKUP($B184,INDIRECT($B$5&amp;"生成成长"),3))*(VLOOKUP($B$5,标准坦克设计!$B$14:$K$20,9)/30))</f>
        <v>16.809343165491018</v>
      </c>
      <c r="AA184" s="173">
        <f ca="1">(VLOOKUP(AA$72,INDIRECT($C$5&amp;"生成成长"),2))/((VLOOKUP($B184,INDIRECT($B$5&amp;"生成成长"),4))/(VLOOKUP(AA$72,INDIRECT($C$5&amp;"生成成长"),5))*(VLOOKUP($B$5,标准坦克设计!$B$24:$U$30,MATCH("对"&amp;LEFT($C$5,2)&amp;"输出",标准坦克设计!$B$23:$U$23,0)))*(VLOOKUP($B184,INDIRECT($B$5&amp;"生成成长"),3))*(VLOOKUP($B$5,标准坦克设计!$B$14:$K$20,9)/30))</f>
        <v>18.506226554276058</v>
      </c>
      <c r="AB184" s="173">
        <f ca="1">(VLOOKUP(AB$72,INDIRECT($C$5&amp;"生成成长"),2))/((VLOOKUP($B184,INDIRECT($B$5&amp;"生成成长"),4))/(VLOOKUP(AB$72,INDIRECT($C$5&amp;"生成成长"),5))*(VLOOKUP($B$5,标准坦克设计!$B$24:$U$30,MATCH("对"&amp;LEFT($C$5,2)&amp;"输出",标准坦克设计!$B$23:$U$23,0)))*(VLOOKUP($B184,INDIRECT($B$5&amp;"生成成长"),3))*(VLOOKUP($B$5,标准坦克设计!$B$14:$K$20,9)/30))</f>
        <v>20.284690875214224</v>
      </c>
      <c r="AC184" s="173">
        <f ca="1">(VLOOKUP(AC$72,INDIRECT($C$5&amp;"生成成长"),2))/((VLOOKUP($B184,INDIRECT($B$5&amp;"生成成长"),4))/(VLOOKUP(AC$72,INDIRECT($C$5&amp;"生成成长"),5))*(VLOOKUP($B$5,标准坦克设计!$B$24:$U$30,MATCH("对"&amp;LEFT($C$5,2)&amp;"输出",标准坦克设计!$B$23:$U$23,0)))*(VLOOKUP($B184,INDIRECT($B$5&amp;"生成成长"),3))*(VLOOKUP($B$5,标准坦克设计!$B$14:$K$20,9)/30))</f>
        <v>22.144736128305514</v>
      </c>
      <c r="AD184" s="173">
        <f ca="1">(VLOOKUP(AD$72,INDIRECT($C$5&amp;"生成成长"),2))/((VLOOKUP($B184,INDIRECT($B$5&amp;"生成成长"),4))/(VLOOKUP(AD$72,INDIRECT($C$5&amp;"生成成长"),5))*(VLOOKUP($B$5,标准坦克设计!$B$24:$U$30,MATCH("对"&amp;LEFT($C$5,2)&amp;"输出",标准坦克设计!$B$23:$U$23,0)))*(VLOOKUP($B184,INDIRECT($B$5&amp;"生成成长"),3))*(VLOOKUP($B$5,标准坦克设计!$B$14:$K$20,9)/30))</f>
        <v>24.086362313549934</v>
      </c>
      <c r="AE184" s="173">
        <f ca="1">(VLOOKUP(AE$72,INDIRECT($C$5&amp;"生成成长"),2))/((VLOOKUP($B184,INDIRECT($B$5&amp;"生成成长"),4))/(VLOOKUP(AE$72,INDIRECT($C$5&amp;"生成成长"),5))*(VLOOKUP($B$5,标准坦克设计!$B$24:$U$30,MATCH("对"&amp;LEFT($C$5,2)&amp;"输出",标准坦克设计!$B$23:$U$23,0)))*(VLOOKUP($B184,INDIRECT($B$5&amp;"生成成长"),3))*(VLOOKUP($B$5,标准坦克设计!$B$14:$K$20,9)/30))</f>
        <v>26.109569430947477</v>
      </c>
      <c r="AF184" s="173">
        <f ca="1">(VLOOKUP(AF$72,INDIRECT($C$5&amp;"生成成长"),2))/((VLOOKUP($B184,INDIRECT($B$5&amp;"生成成长"),4))/(VLOOKUP(AF$72,INDIRECT($C$5&amp;"生成成长"),5))*(VLOOKUP($B$5,标准坦克设计!$B$24:$U$30,MATCH("对"&amp;LEFT($C$5,2)&amp;"输出",标准坦克设计!$B$23:$U$23,0)))*(VLOOKUP($B184,INDIRECT($B$5&amp;"生成成长"),3))*(VLOOKUP($B$5,标准坦克设计!$B$14:$K$20,9)/30))</f>
        <v>28.214357480498155</v>
      </c>
      <c r="AG184" s="173">
        <f ca="1">(VLOOKUP(AG$72,INDIRECT($C$5&amp;"生成成长"),2))/((VLOOKUP($B184,INDIRECT($B$5&amp;"生成成长"),4))/(VLOOKUP(AG$72,INDIRECT($C$5&amp;"生成成长"),5))*(VLOOKUP($B$5,标准坦克设计!$B$24:$U$30,MATCH("对"&amp;LEFT($C$5,2)&amp;"输出",标准坦克设计!$B$23:$U$23,0)))*(VLOOKUP($B184,INDIRECT($B$5&amp;"生成成长"),3))*(VLOOKUP($B$5,标准坦克设计!$B$14:$K$20,9)/30))</f>
        <v>30.400726462201959</v>
      </c>
      <c r="AH184" s="173">
        <f ca="1">(VLOOKUP(AH$72,INDIRECT($C$5&amp;"生成成长"),2))/((VLOOKUP($B184,INDIRECT($B$5&amp;"生成成长"),4))/(VLOOKUP(AH$72,INDIRECT($C$5&amp;"生成成长"),5))*(VLOOKUP($B$5,标准坦克设计!$B$24:$U$30,MATCH("对"&amp;LEFT($C$5,2)&amp;"输出",标准坦克设计!$B$23:$U$23,0)))*(VLOOKUP($B184,INDIRECT($B$5&amp;"生成成长"),3))*(VLOOKUP($B$5,标准坦克设计!$B$14:$K$20,9)/30))</f>
        <v>32.668676376058883</v>
      </c>
      <c r="AI184" s="173">
        <f ca="1">(VLOOKUP(AI$72,INDIRECT($C$5&amp;"生成成长"),2))/((VLOOKUP($B184,INDIRECT($B$5&amp;"生成成长"),4))/(VLOOKUP(AI$72,INDIRECT($C$5&amp;"生成成长"),5))*(VLOOKUP($B$5,标准坦克设计!$B$24:$U$30,MATCH("对"&amp;LEFT($C$5,2)&amp;"输出",标准坦克设计!$B$23:$U$23,0)))*(VLOOKUP($B184,INDIRECT($B$5&amp;"生成成长"),3))*(VLOOKUP($B$5,标准坦克设计!$B$14:$K$20,9)/30))</f>
        <v>23.105351604408586</v>
      </c>
      <c r="AJ184" s="173">
        <f ca="1">(VLOOKUP(AJ$72,INDIRECT($C$5&amp;"生成成长"),2))/((VLOOKUP($B184,INDIRECT($B$5&amp;"生成成长"),4))/(VLOOKUP(AJ$72,INDIRECT($C$5&amp;"生成成长"),5))*(VLOOKUP($B$5,标准坦克设计!$B$24:$U$30,MATCH("对"&amp;LEFT($C$5,2)&amp;"输出",标准坦克设计!$B$23:$U$23,0)))*(VLOOKUP($B184,INDIRECT($B$5&amp;"生成成长"),3))*(VLOOKUP($B$5,标准坦克设计!$B$14:$K$20,9)/30))</f>
        <v>25.290496872130085</v>
      </c>
      <c r="AK184" s="173">
        <f ca="1">(VLOOKUP(AK$72,INDIRECT($C$5&amp;"生成成长"),2))/((VLOOKUP($B184,INDIRECT($B$5&amp;"生成成长"),4))/(VLOOKUP(AK$72,INDIRECT($C$5&amp;"生成成长"),5))*(VLOOKUP($B$5,标准坦克设计!$B$24:$U$30,MATCH("对"&amp;LEFT($C$5,2)&amp;"输出",标准坦克设计!$B$23:$U$23,0)))*(VLOOKUP($B184,INDIRECT($B$5&amp;"生成成长"),3))*(VLOOKUP($B$5,标准坦克设计!$B$14:$K$20,9)/30))</f>
        <v>27.574355067756876</v>
      </c>
      <c r="AL184" s="173">
        <f ca="1">(VLOOKUP(AL$72,INDIRECT($C$5&amp;"生成成长"),2))/((VLOOKUP($B184,INDIRECT($B$5&amp;"生成成长"),4))/(VLOOKUP(AL$72,INDIRECT($C$5&amp;"生成成长"),5))*(VLOOKUP($B$5,标准坦克设计!$B$24:$U$30,MATCH("对"&amp;LEFT($C$5,2)&amp;"输出",标准坦克设计!$B$23:$U$23,0)))*(VLOOKUP($B184,INDIRECT($B$5&amp;"生成成长"),3))*(VLOOKUP($B$5,标准坦克设计!$B$14:$K$20,9)/30))</f>
        <v>29.956926191288943</v>
      </c>
      <c r="AM184" s="173">
        <f ca="1">(VLOOKUP(AM$72,INDIRECT($C$5&amp;"生成成长"),2))/((VLOOKUP($B184,INDIRECT($B$5&amp;"生成成长"),4))/(VLOOKUP(AM$72,INDIRECT($C$5&amp;"生成成长"),5))*(VLOOKUP($B$5,标准坦克设计!$B$24:$U$30,MATCH("对"&amp;LEFT($C$5,2)&amp;"输出",标准坦克设计!$B$23:$U$23,0)))*(VLOOKUP($B184,INDIRECT($B$5&amp;"生成成长"),3))*(VLOOKUP($B$5,标准坦克设计!$B$14:$K$20,9)/30))</f>
        <v>32.438210242726292</v>
      </c>
      <c r="AN184" s="173">
        <f ca="1">(VLOOKUP(AN$72,INDIRECT($C$5&amp;"生成成长"),2))/((VLOOKUP($B184,INDIRECT($B$5&amp;"生成成长"),4))/(VLOOKUP(AN$72,INDIRECT($C$5&amp;"生成成长"),5))*(VLOOKUP($B$5,标准坦克设计!$B$24:$U$30,MATCH("对"&amp;LEFT($C$5,2)&amp;"输出",标准坦克设计!$B$23:$U$23,0)))*(VLOOKUP($B184,INDIRECT($B$5&amp;"生成成长"),3))*(VLOOKUP($B$5,标准坦克设计!$B$14:$K$20,9)/30))</f>
        <v>35.018207222068931</v>
      </c>
      <c r="AO184" s="173">
        <f ca="1">(VLOOKUP(AO$72,INDIRECT($C$5&amp;"生成成长"),2))/((VLOOKUP($B184,INDIRECT($B$5&amp;"生成成长"),4))/(VLOOKUP(AO$72,INDIRECT($C$5&amp;"生成成长"),5))*(VLOOKUP($B$5,标准坦克设计!$B$24:$U$30,MATCH("对"&amp;LEFT($C$5,2)&amp;"输出",标准坦克设计!$B$23:$U$23,0)))*(VLOOKUP($B184,INDIRECT($B$5&amp;"生成成长"),3))*(VLOOKUP($B$5,标准坦克设计!$B$14:$K$20,9)/30))</f>
        <v>37.696917129316859</v>
      </c>
      <c r="AP184" s="173">
        <f ca="1">(VLOOKUP(AP$72,INDIRECT($C$5&amp;"生成成长"),2))/((VLOOKUP($B184,INDIRECT($B$5&amp;"生成成长"),4))/(VLOOKUP(AP$72,INDIRECT($C$5&amp;"生成成长"),5))*(VLOOKUP($B$5,标准坦克设计!$B$24:$U$30,MATCH("对"&amp;LEFT($C$5,2)&amp;"输出",标准坦克设计!$B$23:$U$23,0)))*(VLOOKUP($B184,INDIRECT($B$5&amp;"生成成长"),3))*(VLOOKUP($B$5,标准坦克设计!$B$14:$K$20,9)/30))</f>
        <v>40.474339964470047</v>
      </c>
      <c r="AQ184" s="173">
        <f ca="1">(VLOOKUP(AQ$72,INDIRECT($C$5&amp;"生成成长"),2))/((VLOOKUP($B184,INDIRECT($B$5&amp;"生成成长"),4))/(VLOOKUP(AQ$72,INDIRECT($C$5&amp;"生成成长"),5))*(VLOOKUP($B$5,标准坦克设计!$B$24:$U$30,MATCH("对"&amp;LEFT($C$5,2)&amp;"输出",标准坦克设计!$B$23:$U$23,0)))*(VLOOKUP($B184,INDIRECT($B$5&amp;"生成成长"),3))*(VLOOKUP($B$5,标准坦克设计!$B$14:$K$20,9)/30))</f>
        <v>43.350475727528533</v>
      </c>
      <c r="AR184" s="173">
        <f ca="1">(VLOOKUP(AR$72,INDIRECT($C$5&amp;"生成成长"),2))/((VLOOKUP($B184,INDIRECT($B$5&amp;"生成成长"),4))/(VLOOKUP(AR$72,INDIRECT($C$5&amp;"生成成长"),5))*(VLOOKUP($B$5,标准坦克设计!$B$24:$U$30,MATCH("对"&amp;LEFT($C$5,2)&amp;"输出",标准坦克设计!$B$23:$U$23,0)))*(VLOOKUP($B184,INDIRECT($B$5&amp;"生成成长"),3))*(VLOOKUP($B$5,标准坦克设计!$B$14:$K$20,9)/30))</f>
        <v>46.325324418492315</v>
      </c>
      <c r="AS184" s="173">
        <f ca="1">(VLOOKUP(AS$72,INDIRECT($C$5&amp;"生成成长"),2))/((VLOOKUP($B184,INDIRECT($B$5&amp;"生成成长"),4))/(VLOOKUP(AS$72,INDIRECT($C$5&amp;"生成成长"),5))*(VLOOKUP($B$5,标准坦克设计!$B$24:$U$30,MATCH("对"&amp;LEFT($C$5,2)&amp;"输出",标准坦克设计!$B$23:$U$23,0)))*(VLOOKUP($B184,INDIRECT($B$5&amp;"生成成长"),3))*(VLOOKUP($B$5,标准坦克设计!$B$14:$K$20,9)/30))</f>
        <v>49.398886037361358</v>
      </c>
      <c r="AT184" s="173">
        <f ca="1">(VLOOKUP(AT$72,INDIRECT($C$5&amp;"生成成长"),2))/((VLOOKUP($B184,INDIRECT($B$5&amp;"生成成长"),4))/(VLOOKUP(AT$72,INDIRECT($C$5&amp;"生成成长"),5))*(VLOOKUP($B$5,标准坦克设计!$B$24:$U$30,MATCH("对"&amp;LEFT($C$5,2)&amp;"输出",标准坦克设计!$B$23:$U$23,0)))*(VLOOKUP($B184,INDIRECT($B$5&amp;"生成成长"),3))*(VLOOKUP($B$5,标准坦克设计!$B$14:$K$20,9)/30))</f>
        <v>52.571160584135704</v>
      </c>
      <c r="AU184" s="173">
        <f ca="1">(VLOOKUP(AU$72,INDIRECT($C$5&amp;"生成成长"),2))/((VLOOKUP($B184,INDIRECT($B$5&amp;"生成成长"),4))/(VLOOKUP(AU$72,INDIRECT($C$5&amp;"生成成长"),5))*(VLOOKUP($B$5,标准坦克设计!$B$24:$U$30,MATCH("对"&amp;LEFT($C$5,2)&amp;"输出",标准坦克设计!$B$23:$U$23,0)))*(VLOOKUP($B184,INDIRECT($B$5&amp;"生成成长"),3))*(VLOOKUP($B$5,标准坦克设计!$B$14:$K$20,9)/30))</f>
        <v>55.842148058815326</v>
      </c>
      <c r="AV184" s="173">
        <f ca="1">(VLOOKUP(AV$72,INDIRECT($C$5&amp;"生成成长"),2))/((VLOOKUP($B184,INDIRECT($B$5&amp;"生成成长"),4))/(VLOOKUP(AV$72,INDIRECT($C$5&amp;"生成成长"),5))*(VLOOKUP($B$5,标准坦克设计!$B$24:$U$30,MATCH("对"&amp;LEFT($C$5,2)&amp;"输出",标准坦克设计!$B$23:$U$23,0)))*(VLOOKUP($B184,INDIRECT($B$5&amp;"生成成长"),3))*(VLOOKUP($B$5,标准坦克设计!$B$14:$K$20,9)/30))</f>
        <v>5.6796644965006902</v>
      </c>
      <c r="AW184" s="173">
        <f ca="1">(VLOOKUP(AW$72,INDIRECT($C$5&amp;"生成成长"),2))/((VLOOKUP($B184,INDIRECT($B$5&amp;"生成成长"),4))/(VLOOKUP(AW$72,INDIRECT($C$5&amp;"生成成长"),5))*(VLOOKUP($B$5,标准坦克设计!$B$24:$U$30,MATCH("对"&amp;LEFT($C$5,2)&amp;"输出",标准坦克设计!$B$23:$U$23,0)))*(VLOOKUP($B184,INDIRECT($B$5&amp;"生成成长"),3))*(VLOOKUP($B$5,标准坦克设计!$B$14:$K$20,9)/30))</f>
        <v>6.4758943943152092</v>
      </c>
      <c r="AX184" s="173">
        <f ca="1">(VLOOKUP(AX$72,INDIRECT($C$5&amp;"生成成长"),2))/((VLOOKUP($B184,INDIRECT($B$5&amp;"生成成长"),4))/(VLOOKUP(AX$72,INDIRECT($C$5&amp;"生成成长"),5))*(VLOOKUP($B$5,标准坦克设计!$B$24:$U$30,MATCH("对"&amp;LEFT($C$5,2)&amp;"输出",标准坦克设计!$B$23:$U$23,0)))*(VLOOKUP($B184,INDIRECT($B$5&amp;"生成成长"),3))*(VLOOKUP($B$5,标准坦克设计!$B$14:$K$20,9)/30))</f>
        <v>7.324336088707728</v>
      </c>
      <c r="AY184" s="173">
        <f ca="1">(VLOOKUP(AY$72,INDIRECT($C$5&amp;"生成成长"),2))/((VLOOKUP($B184,INDIRECT($B$5&amp;"生成成长"),4))/(VLOOKUP(AY$72,INDIRECT($C$5&amp;"生成成长"),5))*(VLOOKUP($B$5,标准坦克设计!$B$24:$U$30,MATCH("对"&amp;LEFT($C$5,2)&amp;"输出",标准坦克设计!$B$23:$U$23,0)))*(VLOOKUP($B184,INDIRECT($B$5&amp;"生成成长"),3))*(VLOOKUP($B$5,标准坦克设计!$B$14:$K$20,9)/30))</f>
        <v>8.2249895796782475</v>
      </c>
      <c r="AZ184" s="173">
        <f ca="1">(VLOOKUP(AZ$72,INDIRECT($C$5&amp;"生成成长"),2))/((VLOOKUP($B184,INDIRECT($B$5&amp;"生成成长"),4))/(VLOOKUP(AZ$72,INDIRECT($C$5&amp;"生成成长"),5))*(VLOOKUP($B$5,标准坦克设计!$B$24:$U$30,MATCH("对"&amp;LEFT($C$5,2)&amp;"输出",标准坦克设计!$B$23:$U$23,0)))*(VLOOKUP($B184,INDIRECT($B$5&amp;"生成成长"),3))*(VLOOKUP($B$5,标准坦克设计!$B$14:$K$20,9)/30))</f>
        <v>9.1778548672267704</v>
      </c>
      <c r="BA184" s="173">
        <f ca="1">(VLOOKUP(BA$72,INDIRECT($C$5&amp;"生成成长"),2))/((VLOOKUP($B184,INDIRECT($B$5&amp;"生成成长"),4))/(VLOOKUP(BA$72,INDIRECT($C$5&amp;"生成成长"),5))*(VLOOKUP($B$5,标准坦克设计!$B$24:$U$30,MATCH("对"&amp;LEFT($C$5,2)&amp;"输出",标准坦克设计!$B$23:$U$23,0)))*(VLOOKUP($B184,INDIRECT($B$5&amp;"生成成长"),3))*(VLOOKUP($B$5,标准坦克设计!$B$14:$K$20,9)/30))</f>
        <v>10.182931951353291</v>
      </c>
      <c r="BB184" s="173">
        <f ca="1">(VLOOKUP(BB$72,INDIRECT($C$5&amp;"生成成长"),2))/((VLOOKUP($B184,INDIRECT($B$5&amp;"生成成长"),4))/(VLOOKUP(BB$72,INDIRECT($C$5&amp;"生成成长"),5))*(VLOOKUP($B$5,标准坦克设计!$B$24:$U$30,MATCH("对"&amp;LEFT($C$5,2)&amp;"输出",标准坦克设计!$B$23:$U$23,0)))*(VLOOKUP($B184,INDIRECT($B$5&amp;"生成成长"),3))*(VLOOKUP($B$5,标准坦克设计!$B$14:$K$20,9)/30))</f>
        <v>11.240220832057817</v>
      </c>
      <c r="BC184" s="173">
        <f ca="1">(VLOOKUP(BC$72,INDIRECT($C$5&amp;"生成成长"),2))/((VLOOKUP($B184,INDIRECT($B$5&amp;"生成成长"),4))/(VLOOKUP(BC$72,INDIRECT($C$5&amp;"生成成长"),5))*(VLOOKUP($B$5,标准坦克设计!$B$24:$U$30,MATCH("对"&amp;LEFT($C$5,2)&amp;"输出",标准坦克设计!$B$23:$U$23,0)))*(VLOOKUP($B184,INDIRECT($B$5&amp;"生成成长"),3))*(VLOOKUP($B$5,标准坦克设计!$B$14:$K$20,9)/30))</f>
        <v>12.349721509340339</v>
      </c>
      <c r="BD184" s="173">
        <f ca="1">(VLOOKUP(BD$72,INDIRECT($C$5&amp;"生成成长"),2))/((VLOOKUP($B184,INDIRECT($B$5&amp;"生成成长"),4))/(VLOOKUP(BD$72,INDIRECT($C$5&amp;"生成成长"),5))*(VLOOKUP($B$5,标准坦克设计!$B$24:$U$30,MATCH("对"&amp;LEFT($C$5,2)&amp;"输出",标准坦克设计!$B$23:$U$23,0)))*(VLOOKUP($B184,INDIRECT($B$5&amp;"生成成长"),3))*(VLOOKUP($B$5,标准坦克设计!$B$14:$K$20,9)/30))</f>
        <v>13.660319184380324</v>
      </c>
      <c r="BE184" s="173">
        <f ca="1">(VLOOKUP(BE$72,INDIRECT($C$5&amp;"生成成长"),2))/((VLOOKUP($B184,INDIRECT($B$5&amp;"生成成长"),4))/(VLOOKUP(BE$72,INDIRECT($C$5&amp;"生成成长"),5))*(VLOOKUP($B$5,标准坦克设计!$B$24:$U$30,MATCH("对"&amp;LEFT($C$5,2)&amp;"输出",标准坦克设计!$B$23:$U$23,0)))*(VLOOKUP($B184,INDIRECT($B$5&amp;"生成成长"),3))*(VLOOKUP($B$5,标准坦克设计!$B$14:$K$20,9)/30))</f>
        <v>15.036997414464341</v>
      </c>
      <c r="BF184" s="173">
        <f ca="1">(VLOOKUP(BF$72,INDIRECT($C$5&amp;"生成成长"),2))/((VLOOKUP($B184,INDIRECT($B$5&amp;"生成成长"),4))/(VLOOKUP(BF$72,INDIRECT($C$5&amp;"生成成长"),5))*(VLOOKUP($B$5,标准坦克设计!$B$24:$U$30,MATCH("对"&amp;LEFT($C$5,2)&amp;"输出",标准坦克设计!$B$23:$U$23,0)))*(VLOOKUP($B184,INDIRECT($B$5&amp;"生成成长"),3))*(VLOOKUP($B$5,标准坦克设计!$B$14:$K$20,9)/30))</f>
        <v>16.479756199592387</v>
      </c>
      <c r="BG184" s="173">
        <f ca="1">(VLOOKUP(BG$72,INDIRECT($C$5&amp;"生成成长"),2))/((VLOOKUP($B184,INDIRECT($B$5&amp;"生成成长"),4))/(VLOOKUP(BG$72,INDIRECT($C$5&amp;"生成成长"),5))*(VLOOKUP($B$5,标准坦克设计!$B$24:$U$30,MATCH("对"&amp;LEFT($C$5,2)&amp;"输出",标准坦克设计!$B$23:$U$23,0)))*(VLOOKUP($B184,INDIRECT($B$5&amp;"生成成长"),3))*(VLOOKUP($B$5,标准坦克设计!$B$14:$K$20,9)/30))</f>
        <v>17.988595539764468</v>
      </c>
      <c r="BH184" s="173">
        <f ca="1">(VLOOKUP(BH$72,INDIRECT($C$5&amp;"生成成长"),2))/((VLOOKUP($B184,INDIRECT($B$5&amp;"生成成长"),4))/(VLOOKUP(BH$72,INDIRECT($C$5&amp;"生成成长"),5))*(VLOOKUP($B$5,标准坦克设计!$B$24:$U$30,MATCH("对"&amp;LEFT($C$5,2)&amp;"输出",标准坦克设计!$B$23:$U$23,0)))*(VLOOKUP($B184,INDIRECT($B$5&amp;"生成成长"),3))*(VLOOKUP($B$5,标准坦克设计!$B$14:$K$20,9)/30))</f>
        <v>8.6948957488802598</v>
      </c>
      <c r="BI184" s="173">
        <f ca="1">(VLOOKUP(BI$72,INDIRECT($C$5&amp;"生成成长"),2))/((VLOOKUP($B184,INDIRECT($B$5&amp;"生成成长"),4))/(VLOOKUP(BI$72,INDIRECT($C$5&amp;"生成成长"),5))*(VLOOKUP($B$5,标准坦克设计!$B$24:$U$30,MATCH("对"&amp;LEFT($C$5,2)&amp;"输出",标准坦克设计!$B$23:$U$23,0)))*(VLOOKUP($B184,INDIRECT($B$5&amp;"生成成长"),3))*(VLOOKUP($B$5,标准坦克设计!$B$14:$K$20,9)/30))</f>
        <v>9.7999094748943616</v>
      </c>
      <c r="BJ184" s="173">
        <f ca="1">(VLOOKUP(BJ$72,INDIRECT($C$5&amp;"生成成长"),2))/((VLOOKUP($B184,INDIRECT($B$5&amp;"生成成长"),4))/(VLOOKUP(BJ$72,INDIRECT($C$5&amp;"生成成长"),5))*(VLOOKUP($B$5,标准坦克设计!$B$24:$U$30,MATCH("对"&amp;LEFT($C$5,2)&amp;"输出",标准坦克设计!$B$23:$U$23,0)))*(VLOOKUP($B184,INDIRECT($B$5&amp;"生成成长"),3))*(VLOOKUP($B$5,标准坦克设计!$B$14:$K$20,9)/30))</f>
        <v>10.971003755952497</v>
      </c>
      <c r="BK184" s="173">
        <f ca="1">(VLOOKUP(BK$72,INDIRECT($C$5&amp;"生成成长"),2))/((VLOOKUP($B184,INDIRECT($B$5&amp;"生成成长"),4))/(VLOOKUP(BK$72,INDIRECT($C$5&amp;"生成成长"),5))*(VLOOKUP($B$5,标准坦克设计!$B$24:$U$30,MATCH("对"&amp;LEFT($C$5,2)&amp;"输出",标准坦克设计!$B$23:$U$23,0)))*(VLOOKUP($B184,INDIRECT($B$5&amp;"生成成长"),3))*(VLOOKUP($B$5,标准坦克设计!$B$14:$K$20,9)/30))</f>
        <v>12.208178592054669</v>
      </c>
      <c r="BL184" s="173">
        <f ca="1">(VLOOKUP(BL$72,INDIRECT($C$5&amp;"生成成长"),2))/((VLOOKUP($B184,INDIRECT($B$5&amp;"生成成长"),4))/(VLOOKUP(BL$72,INDIRECT($C$5&amp;"生成成长"),5))*(VLOOKUP($B$5,标准坦克设计!$B$24:$U$30,MATCH("对"&amp;LEFT($C$5,2)&amp;"输出",标准坦克设计!$B$23:$U$23,0)))*(VLOOKUP($B184,INDIRECT($B$5&amp;"生成成长"),3))*(VLOOKUP($B$5,标准坦克设计!$B$14:$K$20,9)/30))</f>
        <v>13.511433983200867</v>
      </c>
      <c r="BM184" s="173">
        <f ca="1">(VLOOKUP(BM$72,INDIRECT($C$5&amp;"生成成长"),2))/((VLOOKUP($B184,INDIRECT($B$5&amp;"生成成长"),4))/(VLOOKUP(BM$72,INDIRECT($C$5&amp;"生成成长"),5))*(VLOOKUP($B$5,标准坦克设计!$B$24:$U$30,MATCH("对"&amp;LEFT($C$5,2)&amp;"输出",标准坦克设计!$B$23:$U$23,0)))*(VLOOKUP($B184,INDIRECT($B$5&amp;"生成成长"),3))*(VLOOKUP($B$5,标准坦克设计!$B$14:$K$20,9)/30))</f>
        <v>14.8807699293911</v>
      </c>
      <c r="BN184" s="173">
        <f ca="1">(VLOOKUP(BN$72,INDIRECT($C$5&amp;"生成成长"),2))/((VLOOKUP($B184,INDIRECT($B$5&amp;"生成成长"),4))/(VLOOKUP(BN$72,INDIRECT($C$5&amp;"生成成长"),5))*(VLOOKUP($B$5,标准坦克设计!$B$24:$U$30,MATCH("对"&amp;LEFT($C$5,2)&amp;"输出",标准坦克设计!$B$23:$U$23,0)))*(VLOOKUP($B184,INDIRECT($B$5&amp;"生成成长"),3))*(VLOOKUP($B$5,标准坦克设计!$B$14:$K$20,9)/30))</f>
        <v>16.316186430625368</v>
      </c>
      <c r="BO184" s="173">
        <f ca="1">(VLOOKUP(BO$72,INDIRECT($C$5&amp;"生成成长"),2))/((VLOOKUP($B184,INDIRECT($B$5&amp;"生成成长"),4))/(VLOOKUP(BO$72,INDIRECT($C$5&amp;"生成成长"),5))*(VLOOKUP($B$5,标准坦克设计!$B$24:$U$30,MATCH("对"&amp;LEFT($C$5,2)&amp;"输出",标准坦克设计!$B$23:$U$23,0)))*(VLOOKUP($B184,INDIRECT($B$5&amp;"生成成长"),3))*(VLOOKUP($B$5,标准坦克设计!$B$14:$K$20,9)/30))</f>
        <v>17.817683486903672</v>
      </c>
      <c r="BP184" s="173">
        <f ca="1">(VLOOKUP(BP$72,INDIRECT($C$5&amp;"生成成长"),2))/((VLOOKUP($B184,INDIRECT($B$5&amp;"生成成长"),4))/(VLOOKUP(BP$72,INDIRECT($C$5&amp;"生成成长"),5))*(VLOOKUP($B$5,标准坦克设计!$B$24:$U$30,MATCH("对"&amp;LEFT($C$5,2)&amp;"输出",标准坦克设计!$B$23:$U$23,0)))*(VLOOKUP($B184,INDIRECT($B$5&amp;"生成成长"),3))*(VLOOKUP($B$5,标准坦克设计!$B$14:$K$20,9)/30))</f>
        <v>19.385261098226</v>
      </c>
      <c r="BQ184" s="173">
        <f ca="1">(VLOOKUP(BQ$72,INDIRECT($C$5&amp;"生成成长"),2))/((VLOOKUP($B184,INDIRECT($B$5&amp;"生成成长"),4))/(VLOOKUP(BQ$72,INDIRECT($C$5&amp;"生成成长"),5))*(VLOOKUP($B$5,标准坦克设计!$B$24:$U$30,MATCH("对"&amp;LEFT($C$5,2)&amp;"输出",标准坦克设计!$B$23:$U$23,0)))*(VLOOKUP($B184,INDIRECT($B$5&amp;"生成成长"),3))*(VLOOKUP($B$5,标准坦克设计!$B$14:$K$20,9)/30))</f>
        <v>21.018919264592366</v>
      </c>
      <c r="BR184" s="173">
        <f ca="1">(VLOOKUP(BR$72,INDIRECT($C$5&amp;"生成成长"),2))/((VLOOKUP($B184,INDIRECT($B$5&amp;"生成成长"),4))/(VLOOKUP(BR$72,INDIRECT($C$5&amp;"生成成长"),5))*(VLOOKUP($B$5,标准坦克设计!$B$24:$U$30,MATCH("对"&amp;LEFT($C$5,2)&amp;"输出",标准坦克设计!$B$23:$U$23,0)))*(VLOOKUP($B184,INDIRECT($B$5&amp;"生成成长"),3))*(VLOOKUP($B$5,标准坦克设计!$B$14:$K$20,9)/30))</f>
        <v>22.91159689054491</v>
      </c>
      <c r="BS184" s="173">
        <f ca="1">(VLOOKUP(BS$72,INDIRECT($C$5&amp;"生成成长"),2))/((VLOOKUP($B184,INDIRECT($B$5&amp;"生成成长"),4))/(VLOOKUP(BS$72,INDIRECT($C$5&amp;"生成成长"),5))*(VLOOKUP($B$5,标准坦克设计!$B$24:$U$30,MATCH("对"&amp;LEFT($C$5,2)&amp;"输出",标准坦克设计!$B$23:$U$23,0)))*(VLOOKUP($B184,INDIRECT($B$5&amp;"生成成长"),3))*(VLOOKUP($B$5,标准坦克设计!$B$14:$K$20,9)/30))</f>
        <v>24.885855448650577</v>
      </c>
      <c r="BT184" s="173">
        <f ca="1">(VLOOKUP(BT$72,INDIRECT($C$5&amp;"生成成长"),2))/((VLOOKUP($B184,INDIRECT($B$5&amp;"生成成长"),4))/(VLOOKUP(BT$72,INDIRECT($C$5&amp;"生成成长"),5))*(VLOOKUP($B$5,标准坦克设计!$B$24:$U$30,MATCH("对"&amp;LEFT($C$5,2)&amp;"输出",标准坦克设计!$B$23:$U$23,0)))*(VLOOKUP($B184,INDIRECT($B$5&amp;"生成成长"),3))*(VLOOKUP($B$5,标准坦克设计!$B$14:$K$20,9)/30))</f>
        <v>26.941694938909372</v>
      </c>
      <c r="BU184" s="173">
        <f ca="1">(VLOOKUP(BU$72,INDIRECT($C$5&amp;"生成成长"),2))/((VLOOKUP($B184,INDIRECT($B$5&amp;"生成成长"),4))/(VLOOKUP(BU$72,INDIRECT($C$5&amp;"生成成长"),5))*(VLOOKUP($B$5,标准坦克设计!$B$24:$U$30,MATCH("对"&amp;LEFT($C$5,2)&amp;"输出",标准坦克设计!$B$23:$U$23,0)))*(VLOOKUP($B184,INDIRECT($B$5&amp;"生成成长"),3))*(VLOOKUP($B$5,标准坦克设计!$B$14:$K$20,9)/30))</f>
        <v>29.079115361321296</v>
      </c>
      <c r="BV184" s="173">
        <f ca="1">(VLOOKUP(BV$72,INDIRECT($C$5&amp;"生成成长"),2))/((VLOOKUP($B184,INDIRECT($B$5&amp;"生成成长"),4))/(VLOOKUP(BV$72,INDIRECT($C$5&amp;"生成成长"),5))*(VLOOKUP($B$5,标准坦克设计!$B$24:$U$30,MATCH("对"&amp;LEFT($C$5,2)&amp;"输出",标准坦克设计!$B$23:$U$23,0)))*(VLOOKUP($B184,INDIRECT($B$5&amp;"生成成长"),3))*(VLOOKUP($B$5,标准坦克设计!$B$14:$K$20,9)/30))</f>
        <v>31.298116715886351</v>
      </c>
      <c r="BW184" s="173">
        <f ca="1">(VLOOKUP(BW$72,INDIRECT($C$5&amp;"生成成长"),2))/((VLOOKUP($B184,INDIRECT($B$5&amp;"生成成长"),4))/(VLOOKUP(BW$72,INDIRECT($C$5&amp;"生成成长"),5))*(VLOOKUP($B$5,标准坦克设计!$B$24:$U$30,MATCH("对"&amp;LEFT($C$5,2)&amp;"输出",标准坦克设计!$B$23:$U$23,0)))*(VLOOKUP($B184,INDIRECT($B$5&amp;"生成成长"),3))*(VLOOKUP($B$5,标准坦克设计!$B$14:$K$20,9)/30))</f>
        <v>14.264018082313465</v>
      </c>
      <c r="BX184" s="173">
        <f ca="1">(VLOOKUP(BX$72,INDIRECT($C$5&amp;"生成成长"),2))/((VLOOKUP($B184,INDIRECT($B$5&amp;"生成成长"),4))/(VLOOKUP(BX$72,INDIRECT($C$5&amp;"生成成长"),5))*(VLOOKUP($B$5,标准坦克设计!$B$24:$U$30,MATCH("对"&amp;LEFT($C$5,2)&amp;"输出",标准坦克设计!$B$23:$U$23,0)))*(VLOOKUP($B184,INDIRECT($B$5&amp;"生成成长"),3))*(VLOOKUP($B$5,标准坦克设计!$B$14:$K$20,9)/30))</f>
        <v>15.830371979653496</v>
      </c>
      <c r="BY184" s="173">
        <f ca="1">(VLOOKUP(BY$72,INDIRECT($C$5&amp;"生成成长"),2))/((VLOOKUP($B184,INDIRECT($B$5&amp;"生成成长"),4))/(VLOOKUP(BY$72,INDIRECT($C$5&amp;"生成成长"),5))*(VLOOKUP($B$5,标准坦克设计!$B$24:$U$30,MATCH("对"&amp;LEFT($C$5,2)&amp;"输出",标准坦克设计!$B$23:$U$23,0)))*(VLOOKUP($B184,INDIRECT($B$5&amp;"生成成长"),3))*(VLOOKUP($B$5,标准坦克设计!$B$14:$K$20,9)/30))</f>
        <v>17.478306809146662</v>
      </c>
      <c r="BZ184" s="173">
        <f ca="1">(VLOOKUP(BZ$72,INDIRECT($C$5&amp;"生成成长"),2))/((VLOOKUP($B184,INDIRECT($B$5&amp;"生成成长"),4))/(VLOOKUP(BZ$72,INDIRECT($C$5&amp;"生成成长"),5))*(VLOOKUP($B$5,标准坦克设计!$B$24:$U$30,MATCH("对"&amp;LEFT($C$5,2)&amp;"输出",标准坦克设计!$B$23:$U$23,0)))*(VLOOKUP($B184,INDIRECT($B$5&amp;"生成成长"),3))*(VLOOKUP($B$5,标准坦克设计!$B$14:$K$20,9)/30))</f>
        <v>19.207822570792946</v>
      </c>
      <c r="CA184" s="173">
        <f ca="1">(VLOOKUP(CA$72,INDIRECT($C$5&amp;"生成成长"),2))/((VLOOKUP($B184,INDIRECT($B$5&amp;"生成成长"),4))/(VLOOKUP(CA$72,INDIRECT($C$5&amp;"生成成长"),5))*(VLOOKUP($B$5,标准坦克设计!$B$24:$U$30,MATCH("对"&amp;LEFT($C$5,2)&amp;"输出",标准坦克设计!$B$23:$U$23,0)))*(VLOOKUP($B184,INDIRECT($B$5&amp;"生成成长"),3))*(VLOOKUP($B$5,标准坦克设计!$B$14:$K$20,9)/30))</f>
        <v>21.018919264592366</v>
      </c>
      <c r="CB184" s="173">
        <f ca="1">(VLOOKUP(CB$72,INDIRECT($C$5&amp;"生成成长"),2))/((VLOOKUP($B184,INDIRECT($B$5&amp;"生成成长"),4))/(VLOOKUP(CB$72,INDIRECT($C$5&amp;"生成成长"),5))*(VLOOKUP($B$5,标准坦克设计!$B$24:$U$30,MATCH("对"&amp;LEFT($C$5,2)&amp;"输出",标准坦克设计!$B$23:$U$23,0)))*(VLOOKUP($B184,INDIRECT($B$5&amp;"生成成长"),3))*(VLOOKUP($B$5,标准坦克设计!$B$14:$K$20,9)/30))</f>
        <v>22.91159689054491</v>
      </c>
      <c r="CC184" s="173">
        <f ca="1">(VLOOKUP(CC$72,INDIRECT($C$5&amp;"生成成长"),2))/((VLOOKUP($B184,INDIRECT($B$5&amp;"生成成长"),4))/(VLOOKUP(CC$72,INDIRECT($C$5&amp;"生成成长"),5))*(VLOOKUP($B$5,标准坦克设计!$B$24:$U$30,MATCH("对"&amp;LEFT($C$5,2)&amp;"输出",标准坦克设计!$B$23:$U$23,0)))*(VLOOKUP($B184,INDIRECT($B$5&amp;"生成成长"),3))*(VLOOKUP($B$5,标准坦克设计!$B$14:$K$20,9)/30))</f>
        <v>24.885855448650577</v>
      </c>
      <c r="CD184" s="173">
        <f ca="1">(VLOOKUP(CD$72,INDIRECT($C$5&amp;"生成成长"),2))/((VLOOKUP($B184,INDIRECT($B$5&amp;"生成成长"),4))/(VLOOKUP(CD$72,INDIRECT($C$5&amp;"生成成长"),5))*(VLOOKUP($B$5,标准坦克设计!$B$24:$U$30,MATCH("对"&amp;LEFT($C$5,2)&amp;"输出",标准坦克设计!$B$23:$U$23,0)))*(VLOOKUP($B184,INDIRECT($B$5&amp;"生成成长"),3))*(VLOOKUP($B$5,标准坦克设计!$B$14:$K$20,9)/30))</f>
        <v>26.941694938909372</v>
      </c>
      <c r="CE184" s="173">
        <f ca="1">(VLOOKUP(CE$72,INDIRECT($C$5&amp;"生成成长"),2))/((VLOOKUP($B184,INDIRECT($B$5&amp;"生成成长"),4))/(VLOOKUP(CE$72,INDIRECT($C$5&amp;"生成成长"),5))*(VLOOKUP($B$5,标准坦克设计!$B$24:$U$30,MATCH("对"&amp;LEFT($C$5,2)&amp;"输出",标准坦克设计!$B$23:$U$23,0)))*(VLOOKUP($B184,INDIRECT($B$5&amp;"生成成长"),3))*(VLOOKUP($B$5,标准坦克设计!$B$14:$K$20,9)/30))</f>
        <v>29.079115361321296</v>
      </c>
      <c r="CF184" s="173">
        <f ca="1">(VLOOKUP(CF$72,INDIRECT($C$5&amp;"生成成长"),2))/((VLOOKUP($B184,INDIRECT($B$5&amp;"生成成长"),4))/(VLOOKUP(CF$72,INDIRECT($C$5&amp;"生成成长"),5))*(VLOOKUP($B$5,标准坦克设计!$B$24:$U$30,MATCH("对"&amp;LEFT($C$5,2)&amp;"输出",标准坦克设计!$B$23:$U$23,0)))*(VLOOKUP($B184,INDIRECT($B$5&amp;"生成成长"),3))*(VLOOKUP($B$5,标准坦克设计!$B$14:$K$20,9)/30))</f>
        <v>31.298116715886351</v>
      </c>
      <c r="CG184" s="173">
        <f ca="1">(VLOOKUP(CG$72,INDIRECT($C$5&amp;"生成成长"),2))/((VLOOKUP($B184,INDIRECT($B$5&amp;"生成成长"),4))/(VLOOKUP(CG$72,INDIRECT($C$5&amp;"生成成长"),5))*(VLOOKUP($B$5,标准坦克设计!$B$24:$U$30,MATCH("对"&amp;LEFT($C$5,2)&amp;"输出",标准坦克设计!$B$23:$U$23,0)))*(VLOOKUP($B184,INDIRECT($B$5&amp;"生成成长"),3))*(VLOOKUP($B$5,标准坦克设计!$B$14:$K$20,9)/30))</f>
        <v>33.598699002604526</v>
      </c>
      <c r="CH184" s="173">
        <f ca="1">(VLOOKUP(CH$72,INDIRECT($C$5&amp;"生成成长"),2))/((VLOOKUP($B184,INDIRECT($B$5&amp;"生成成长"),4))/(VLOOKUP(CH$72,INDIRECT($C$5&amp;"生成成长"),5))*(VLOOKUP($B$5,标准坦克设计!$B$24:$U$30,MATCH("对"&amp;LEFT($C$5,2)&amp;"输出",标准坦克设计!$B$23:$U$23,0)))*(VLOOKUP($B184,INDIRECT($B$5&amp;"生成成长"),3))*(VLOOKUP($B$5,标准坦克设计!$B$14:$K$20,9)/30))</f>
        <v>35.980862221475824</v>
      </c>
      <c r="CI184" s="173">
        <f ca="1">(VLOOKUP(CI$72,INDIRECT($C$5&amp;"生成成长"),2))/((VLOOKUP($B184,INDIRECT($B$5&amp;"生成成长"),4))/(VLOOKUP(CI$72,INDIRECT($C$5&amp;"生成成长"),5))*(VLOOKUP($B$5,标准坦克设计!$B$24:$U$30,MATCH("对"&amp;LEFT($C$5,2)&amp;"输出",标准坦克设计!$B$23:$U$23,0)))*(VLOOKUP($B184,INDIRECT($B$5&amp;"生成成长"),3))*(VLOOKUP($B$5,标准坦克设计!$B$14:$K$20,9)/30))</f>
        <v>38.695467738871123</v>
      </c>
      <c r="CJ184" s="173">
        <f ca="1">(VLOOKUP(CJ$72,INDIRECT($C$5&amp;"生成成长"),2))/((VLOOKUP($B184,INDIRECT($B$5&amp;"生成成长"),4))/(VLOOKUP(CJ$72,INDIRECT($C$5&amp;"生成成长"),5))*(VLOOKUP($B$5,标准坦克设计!$B$24:$U$30,MATCH("对"&amp;LEFT($C$5,2)&amp;"输出",标准坦克设计!$B$23:$U$23,0)))*(VLOOKUP($B184,INDIRECT($B$5&amp;"生成成长"),3))*(VLOOKUP($B$5,标准坦克设计!$B$14:$K$20,9)/30))</f>
        <v>41.508786184171704</v>
      </c>
      <c r="CK184" s="173">
        <f ca="1">(VLOOKUP(CK$72,INDIRECT($C$5&amp;"生成成长"),2))/((VLOOKUP($B184,INDIRECT($B$5&amp;"生成成长"),4))/(VLOOKUP(CK$72,INDIRECT($C$5&amp;"生成成长"),5))*(VLOOKUP($B$5,标准坦克设计!$B$24:$U$30,MATCH("对"&amp;LEFT($C$5,2)&amp;"输出",标准坦克设计!$B$23:$U$23,0)))*(VLOOKUP($B184,INDIRECT($B$5&amp;"生成成长"),3))*(VLOOKUP($B$5,标准坦克设计!$B$14:$K$20,9)/30))</f>
        <v>44.420817557377561</v>
      </c>
      <c r="CL184" s="173">
        <f ca="1">(VLOOKUP(CL$72,INDIRECT($C$5&amp;"生成成长"),2))/((VLOOKUP($B184,INDIRECT($B$5&amp;"生成成长"),4))/(VLOOKUP(CL$72,INDIRECT($C$5&amp;"生成成长"),5))*(VLOOKUP($B$5,标准坦克设计!$B$24:$U$30,MATCH("对"&amp;LEFT($C$5,2)&amp;"输出",标准坦克设计!$B$23:$U$23,0)))*(VLOOKUP($B184,INDIRECT($B$5&amp;"生成成长"),3))*(VLOOKUP($B$5,标准坦克设计!$B$14:$K$20,9)/30))</f>
        <v>47.431561858488713</v>
      </c>
      <c r="CM184" s="173">
        <f ca="1">(VLOOKUP(CM$72,INDIRECT($C$5&amp;"生成成长"),2))/((VLOOKUP($B184,INDIRECT($B$5&amp;"生成成长"),4))/(VLOOKUP(CM$72,INDIRECT($C$5&amp;"生成成长"),5))*(VLOOKUP($B$5,标准坦克设计!$B$24:$U$30,MATCH("对"&amp;LEFT($C$5,2)&amp;"输出",标准坦克设计!$B$23:$U$23,0)))*(VLOOKUP($B184,INDIRECT($B$5&amp;"生成成长"),3))*(VLOOKUP($B$5,标准坦克设计!$B$14:$K$20,9)/30))</f>
        <v>50.541019087505148</v>
      </c>
      <c r="CN184" s="173">
        <f ca="1">(VLOOKUP(CN$72,INDIRECT($C$5&amp;"生成成长"),2))/((VLOOKUP($B184,INDIRECT($B$5&amp;"生成成长"),4))/(VLOOKUP(CN$72,INDIRECT($C$5&amp;"生成成长"),5))*(VLOOKUP($B$5,标准坦克设计!$B$24:$U$30,MATCH("对"&amp;LEFT($C$5,2)&amp;"输出",标准坦克设计!$B$23:$U$23,0)))*(VLOOKUP($B184,INDIRECT($B$5&amp;"生成成长"),3))*(VLOOKUP($B$5,标准坦克设计!$B$14:$K$20,9)/30))</f>
        <v>53.749189244426866</v>
      </c>
      <c r="CO184" s="173">
        <f ca="1">(VLOOKUP(CO$72,INDIRECT($C$5&amp;"生成成长"),2))/((VLOOKUP($B184,INDIRECT($B$5&amp;"生成成长"),4))/(VLOOKUP(CO$72,INDIRECT($C$5&amp;"生成成长"),5))*(VLOOKUP($B$5,标准坦克设计!$B$24:$U$30,MATCH("对"&amp;LEFT($C$5,2)&amp;"输出",标准坦克设计!$B$23:$U$23,0)))*(VLOOKUP($B184,INDIRECT($B$5&amp;"生成成长"),3))*(VLOOKUP($B$5,标准坦克设计!$B$14:$K$20,9)/30))</f>
        <v>24.086362313549934</v>
      </c>
      <c r="CP184" s="173">
        <f ca="1">(VLOOKUP(CP$72,INDIRECT($C$5&amp;"生成成长"),2))/((VLOOKUP($B184,INDIRECT($B$5&amp;"生成成长"),4))/(VLOOKUP(CP$72,INDIRECT($C$5&amp;"生成成长"),5))*(VLOOKUP($B$5,标准坦克设计!$B$24:$U$30,MATCH("对"&amp;LEFT($C$5,2)&amp;"输出",标准坦克设计!$B$23:$U$23,0)))*(VLOOKUP($B184,INDIRECT($B$5&amp;"生成成长"),3))*(VLOOKUP($B$5,标准坦克设计!$B$14:$K$20,9)/30))</f>
        <v>26.316377093955662</v>
      </c>
      <c r="CQ184" s="173">
        <f ca="1">(VLOOKUP(CQ$72,INDIRECT($C$5&amp;"生成成长"),2))/((VLOOKUP($B184,INDIRECT($B$5&amp;"生成成长"),4))/(VLOOKUP(CQ$72,INDIRECT($C$5&amp;"生成成长"),5))*(VLOOKUP($B$5,标准坦克设计!$B$24:$U$30,MATCH("对"&amp;LEFT($C$5,2)&amp;"输出",标准坦克设计!$B$23:$U$23,0)))*(VLOOKUP($B184,INDIRECT($B$5&amp;"生成成长"),3))*(VLOOKUP($B$5,标准坦克设计!$B$14:$K$20,9)/30))</f>
        <v>28.645104802266665</v>
      </c>
      <c r="CR184" s="173">
        <f ca="1">(VLOOKUP(CR$72,INDIRECT($C$5&amp;"生成成长"),2))/((VLOOKUP($B184,INDIRECT($B$5&amp;"生成成长"),4))/(VLOOKUP(CR$72,INDIRECT($C$5&amp;"生成成长"),5))*(VLOOKUP($B$5,标准坦克设计!$B$24:$U$30,MATCH("对"&amp;LEFT($C$5,2)&amp;"输出",标准坦克设计!$B$23:$U$23,0)))*(VLOOKUP($B184,INDIRECT($B$5&amp;"生成成长"),3))*(VLOOKUP($B$5,标准坦克设计!$B$14:$K$20,9)/30))</f>
        <v>31.072545438482958</v>
      </c>
      <c r="CS184" s="173">
        <f ca="1">(VLOOKUP(CS$72,INDIRECT($C$5&amp;"生成成长"),2))/((VLOOKUP($B184,INDIRECT($B$5&amp;"生成成长"),4))/(VLOOKUP(CS$72,INDIRECT($C$5&amp;"生成成长"),5))*(VLOOKUP($B$5,标准坦克设计!$B$24:$U$30,MATCH("对"&amp;LEFT($C$5,2)&amp;"输出",标准坦克设计!$B$23:$U$23,0)))*(VLOOKUP($B184,INDIRECT($B$5&amp;"生成成长"),3))*(VLOOKUP($B$5,标准坦克设计!$B$14:$K$20,9)/30))</f>
        <v>33.598699002604526</v>
      </c>
      <c r="CT184" s="173">
        <f ca="1">(VLOOKUP(CT$72,INDIRECT($C$5&amp;"生成成长"),2))/((VLOOKUP($B184,INDIRECT($B$5&amp;"生成成长"),4))/(VLOOKUP(CT$72,INDIRECT($C$5&amp;"生成成长"),5))*(VLOOKUP($B$5,标准坦克设计!$B$24:$U$30,MATCH("对"&amp;LEFT($C$5,2)&amp;"输出",标准坦克设计!$B$23:$U$23,0)))*(VLOOKUP($B184,INDIRECT($B$5&amp;"生成成长"),3))*(VLOOKUP($B$5,标准坦克设计!$B$14:$K$20,9)/30))</f>
        <v>36.22356549463138</v>
      </c>
      <c r="CU184" s="173">
        <f ca="1">(VLOOKUP(CU$72,INDIRECT($C$5&amp;"生成成长"),2))/((VLOOKUP($B184,INDIRECT($B$5&amp;"生成成长"),4))/(VLOOKUP(CU$72,INDIRECT($C$5&amp;"生成成长"),5))*(VLOOKUP($B$5,标准坦克设计!$B$24:$U$30,MATCH("对"&amp;LEFT($C$5,2)&amp;"输出",标准坦克设计!$B$23:$U$23,0)))*(VLOOKUP($B184,INDIRECT($B$5&amp;"生成成长"),3))*(VLOOKUP($B$5,标准坦克设计!$B$14:$K$20,9)/30))</f>
        <v>38.947144914563516</v>
      </c>
      <c r="CV184" s="173">
        <f ca="1">(VLOOKUP(CV$72,INDIRECT($C$5&amp;"生成成长"),2))/((VLOOKUP($B184,INDIRECT($B$5&amp;"生成成长"),4))/(VLOOKUP(CV$72,INDIRECT($C$5&amp;"生成成长"),5))*(VLOOKUP($B$5,标准坦克设计!$B$24:$U$30,MATCH("对"&amp;LEFT($C$5,2)&amp;"输出",标准坦克设计!$B$23:$U$23,0)))*(VLOOKUP($B184,INDIRECT($B$5&amp;"生成成长"),3))*(VLOOKUP($B$5,标准坦克设计!$B$14:$K$20,9)/30))</f>
        <v>41.769437262400935</v>
      </c>
      <c r="CW184" s="173">
        <f ca="1">(VLOOKUP(CW$72,INDIRECT($C$5&amp;"生成成长"),2))/((VLOOKUP($B184,INDIRECT($B$5&amp;"生成成长"),4))/(VLOOKUP(CW$72,INDIRECT($C$5&amp;"生成成长"),5))*(VLOOKUP($B$5,标准坦克设计!$B$24:$U$30,MATCH("对"&amp;LEFT($C$5,2)&amp;"输出",标准坦克设计!$B$23:$U$23,0)))*(VLOOKUP($B184,INDIRECT($B$5&amp;"生成成长"),3))*(VLOOKUP($B$5,标准坦克设计!$B$14:$K$20,9)/30))</f>
        <v>44.690442538143643</v>
      </c>
      <c r="CX184" s="173">
        <f ca="1">(VLOOKUP(CX$72,INDIRECT($C$5&amp;"生成成长"),2))/((VLOOKUP($B184,INDIRECT($B$5&amp;"生成成长"),4))/(VLOOKUP(CX$72,INDIRECT($C$5&amp;"生成成长"),5))*(VLOOKUP($B$5,标准坦克设计!$B$24:$U$30,MATCH("对"&amp;LEFT($C$5,2)&amp;"输出",标准坦克设计!$B$23:$U$23,0)))*(VLOOKUP($B184,INDIRECT($B$5&amp;"生成成长"),3))*(VLOOKUP($B$5,标准坦克设计!$B$14:$K$20,9)/30))</f>
        <v>47.71016074179164</v>
      </c>
      <c r="CY184" s="173">
        <f ca="1">(VLOOKUP(CY$72,INDIRECT($C$5&amp;"生成成长"),2))/((VLOOKUP($B184,INDIRECT($B$5&amp;"生成成长"),4))/(VLOOKUP(CY$72,INDIRECT($C$5&amp;"生成成长"),5))*(VLOOKUP($B$5,标准坦克设计!$B$24:$U$30,MATCH("对"&amp;LEFT($C$5,2)&amp;"输出",标准坦克设计!$B$23:$U$23,0)))*(VLOOKUP($B184,INDIRECT($B$5&amp;"生成成长"),3))*(VLOOKUP($B$5,标准坦克设计!$B$14:$K$20,9)/30))</f>
        <v>50.828591873344919</v>
      </c>
      <c r="CZ184" s="173">
        <f ca="1">(VLOOKUP(CZ$72,INDIRECT($C$5&amp;"生成成长"),2))/((VLOOKUP($B184,INDIRECT($B$5&amp;"生成成长"),4))/(VLOOKUP(CZ$72,INDIRECT($C$5&amp;"生成成长"),5))*(VLOOKUP($B$5,标准坦克设计!$B$24:$U$30,MATCH("对"&amp;LEFT($C$5,2)&amp;"输出",标准坦克设计!$B$23:$U$23,0)))*(VLOOKUP($B184,INDIRECT($B$5&amp;"生成成长"),3))*(VLOOKUP($B$5,标准坦克设计!$B$14:$K$20,9)/30))</f>
        <v>54.045735932803467</v>
      </c>
      <c r="DA184" s="173">
        <f ca="1">(VLOOKUP(DA$72,INDIRECT($C$5&amp;"生成成长"),2))/((VLOOKUP($B184,INDIRECT($B$5&amp;"生成成长"),4))/(VLOOKUP(DA$72,INDIRECT($C$5&amp;"生成成长"),5))*(VLOOKUP($B$5,标准坦克设计!$B$24:$U$30,MATCH("对"&amp;LEFT($C$5,2)&amp;"输出",标准坦克设计!$B$23:$U$23,0)))*(VLOOKUP($B184,INDIRECT($B$5&amp;"生成成长"),3))*(VLOOKUP($B$5,标准坦克设计!$B$14:$K$20,9)/30))</f>
        <v>57.361592920167311</v>
      </c>
      <c r="DB184" s="173">
        <f ca="1">(VLOOKUP(DB$72,INDIRECT($C$5&amp;"生成成长"),2))/((VLOOKUP($B184,INDIRECT($B$5&amp;"生成成长"),4))/(VLOOKUP(DB$72,INDIRECT($C$5&amp;"生成成长"),5))*(VLOOKUP($B$5,标准坦克设计!$B$24:$U$30,MATCH("对"&amp;LEFT($C$5,2)&amp;"输出",标准坦克设计!$B$23:$U$23,0)))*(VLOOKUP($B184,INDIRECT($B$5&amp;"生成成长"),3))*(VLOOKUP($B$5,标准坦克设计!$B$14:$K$20,9)/30))</f>
        <v>60.776162835436438</v>
      </c>
      <c r="DC184" s="173">
        <f ca="1">(VLOOKUP(DC$72,INDIRECT($C$5&amp;"生成成长"),2))/((VLOOKUP($B184,INDIRECT($B$5&amp;"生成成长"),4))/(VLOOKUP(DC$72,INDIRECT($C$5&amp;"生成成长"),5))*(VLOOKUP($B$5,标准坦克设计!$B$24:$U$30,MATCH("对"&amp;LEFT($C$5,2)&amp;"输出",标准坦克设计!$B$23:$U$23,0)))*(VLOOKUP($B184,INDIRECT($B$5&amp;"生成成长"),3))*(VLOOKUP($B$5,标准坦克设计!$B$14:$K$20,9)/30))</f>
        <v>64.613729883919518</v>
      </c>
      <c r="DD184" s="173">
        <f ca="1">(VLOOKUP(DD$72,INDIRECT($C$5&amp;"生成成长"),2))/((VLOOKUP($B184,INDIRECT($B$5&amp;"生成成长"),4))/(VLOOKUP(DD$72,INDIRECT($C$5&amp;"生成成长"),5))*(VLOOKUP($B$5,标准坦克设计!$B$24:$U$30,MATCH("对"&amp;LEFT($C$5,2)&amp;"输出",标准坦克设计!$B$23:$U$23,0)))*(VLOOKUP($B184,INDIRECT($B$5&amp;"生成成长"),3))*(VLOOKUP($B$5,标准坦克设计!$B$14:$K$20,9)/30))</f>
        <v>68.568773474703107</v>
      </c>
      <c r="DE184" s="173">
        <f ca="1">(VLOOKUP(DE$72,INDIRECT($C$5&amp;"生成成长"),2))/((VLOOKUP($B184,INDIRECT($B$5&amp;"生成成长"),4))/(VLOOKUP(DE$72,INDIRECT($C$5&amp;"生成成长"),5))*(VLOOKUP($B$5,标准坦克设计!$B$24:$U$30,MATCH("对"&amp;LEFT($C$5,2)&amp;"输出",标准坦克设计!$B$23:$U$23,0)))*(VLOOKUP($B184,INDIRECT($B$5&amp;"生成成长"),3))*(VLOOKUP($B$5,标准坦克设计!$B$14:$K$20,9)/30))</f>
        <v>72.641293607787205</v>
      </c>
      <c r="DF184" s="173">
        <f ca="1">(VLOOKUP(DF$72,INDIRECT($C$5&amp;"生成成长"),2))/((VLOOKUP($B184,INDIRECT($B$5&amp;"生成成长"),4))/(VLOOKUP(DF$72,INDIRECT($C$5&amp;"生成成长"),5))*(VLOOKUP($B$5,标准坦克设计!$B$24:$U$30,MATCH("对"&amp;LEFT($C$5,2)&amp;"输出",标准坦克设计!$B$23:$U$23,0)))*(VLOOKUP($B184,INDIRECT($B$5&amp;"生成成长"),3))*(VLOOKUP($B$5,标准坦克设计!$B$14:$K$20,9)/30))</f>
        <v>76.831290283171782</v>
      </c>
      <c r="DG184" s="173">
        <f ca="1">(VLOOKUP(DG$72,INDIRECT($C$5&amp;"生成成长"),2))/((VLOOKUP($B184,INDIRECT($B$5&amp;"生成成长"),4))/(VLOOKUP(DG$72,INDIRECT($C$5&amp;"生成成长"),5))*(VLOOKUP($B$5,标准坦克设计!$B$24:$U$30,MATCH("对"&amp;LEFT($C$5,2)&amp;"输出",标准坦克设计!$B$23:$U$23,0)))*(VLOOKUP($B184,INDIRECT($B$5&amp;"生成成长"),3))*(VLOOKUP($B$5,标准坦克设计!$B$14:$K$20,9)/30))</f>
        <v>81.138763500856896</v>
      </c>
      <c r="DH184" s="173">
        <f ca="1">(VLOOKUP(DH$72,INDIRECT($C$5&amp;"生成成长"),2))/((VLOOKUP($B184,INDIRECT($B$5&amp;"生成成长"),4))/(VLOOKUP(DH$72,INDIRECT($C$5&amp;"生成成长"),5))*(VLOOKUP($B$5,标准坦克设计!$B$24:$U$30,MATCH("对"&amp;LEFT($C$5,2)&amp;"输出",标准坦克设计!$B$23:$U$23,0)))*(VLOOKUP($B184,INDIRECT($B$5&amp;"生成成长"),3))*(VLOOKUP($B$5,标准坦克设计!$B$14:$K$20,9)/30))</f>
        <v>85.563713260842505</v>
      </c>
      <c r="DI184" s="173">
        <f ca="1">(VLOOKUP(DI$72,INDIRECT($C$5&amp;"生成成长"),2))/((VLOOKUP($B184,INDIRECT($B$5&amp;"生成成长"),4))/(VLOOKUP(DI$72,INDIRECT($C$5&amp;"生成成长"),5))*(VLOOKUP($B$5,标准坦克设计!$B$24:$U$30,MATCH("对"&amp;LEFT($C$5,2)&amp;"输出",标准坦克设计!$B$23:$U$23,0)))*(VLOOKUP($B184,INDIRECT($B$5&amp;"生成成长"),3))*(VLOOKUP($B$5,标准坦克设计!$B$14:$K$20,9)/30))</f>
        <v>90.106139563128579</v>
      </c>
      <c r="DJ184" s="173">
        <f ca="1">(VLOOKUP(DJ$72,INDIRECT($C$5&amp;"生成成长"),2))/((VLOOKUP($B184,INDIRECT($B$5&amp;"生成成长"),4))/(VLOOKUP(DJ$72,INDIRECT($C$5&amp;"生成成长"),5))*(VLOOKUP($B$5,标准坦克设计!$B$24:$U$30,MATCH("对"&amp;LEFT($C$5,2)&amp;"输出",标准坦克设计!$B$23:$U$23,0)))*(VLOOKUP($B184,INDIRECT($B$5&amp;"生成成长"),3))*(VLOOKUP($B$5,标准坦克设计!$B$14:$K$20,9)/30))</f>
        <v>9.055891373657845</v>
      </c>
      <c r="DK184" s="173">
        <f ca="1">(VLOOKUP(DK$72,INDIRECT($C$5&amp;"生成成长"),2))/((VLOOKUP($B184,INDIRECT($B$5&amp;"生成成长"),4))/(VLOOKUP(DK$72,INDIRECT($C$5&amp;"生成成长"),5))*(VLOOKUP($B$5,标准坦克设计!$B$24:$U$30,MATCH("对"&amp;LEFT($C$5,2)&amp;"输出",标准坦克设计!$B$23:$U$23,0)))*(VLOOKUP($B184,INDIRECT($B$5&amp;"生成成长"),3))*(VLOOKUP($B$5,标准坦克设计!$B$14:$K$20,9)/30))</f>
        <v>10.182931951353291</v>
      </c>
      <c r="DL184" s="173">
        <f ca="1">(VLOOKUP(DL$72,INDIRECT($C$5&amp;"生成成长"),2))/((VLOOKUP($B184,INDIRECT($B$5&amp;"生成成长"),4))/(VLOOKUP(DL$72,INDIRECT($C$5&amp;"生成成长"),5))*(VLOOKUP($B$5,标准坦克设计!$B$24:$U$30,MATCH("对"&amp;LEFT($C$5,2)&amp;"输出",标准坦克设计!$B$23:$U$23,0)))*(VLOOKUP($B184,INDIRECT($B$5&amp;"生成成长"),3))*(VLOOKUP($B$5,标准坦克设计!$B$14:$K$20,9)/30))</f>
        <v>11.376053084092772</v>
      </c>
      <c r="DM184" s="173">
        <f ca="1">(VLOOKUP(DM$72,INDIRECT($C$5&amp;"生成成长"),2))/((VLOOKUP($B184,INDIRECT($B$5&amp;"生成成长"),4))/(VLOOKUP(DM$72,INDIRECT($C$5&amp;"生成成长"),5))*(VLOOKUP($B$5,标准坦克设计!$B$24:$U$30,MATCH("对"&amp;LEFT($C$5,2)&amp;"输出",标准坦克设计!$B$23:$U$23,0)))*(VLOOKUP($B184,INDIRECT($B$5&amp;"生成成长"),3))*(VLOOKUP($B$5,标准坦克设计!$B$14:$K$20,9)/30))</f>
        <v>12.635254771876287</v>
      </c>
      <c r="DN184" s="173">
        <f ca="1">(VLOOKUP(DN$72,INDIRECT($C$5&amp;"生成成长"),2))/((VLOOKUP($B184,INDIRECT($B$5&amp;"生成成长"),4))/(VLOOKUP(DN$72,INDIRECT($C$5&amp;"生成成长"),5))*(VLOOKUP($B$5,标准坦克设计!$B$24:$U$30,MATCH("对"&amp;LEFT($C$5,2)&amp;"输出",标准坦克设计!$B$23:$U$23,0)))*(VLOOKUP($B184,INDIRECT($B$5&amp;"生成成长"),3))*(VLOOKUP($B$5,标准坦克设计!$B$14:$K$20,9)/30))</f>
        <v>13.960537014703831</v>
      </c>
      <c r="DO184" s="173">
        <f ca="1">(VLOOKUP(DO$72,INDIRECT($C$5&amp;"生成成长"),2))/((VLOOKUP($B184,INDIRECT($B$5&amp;"生成成长"),4))/(VLOOKUP(DO$72,INDIRECT($C$5&amp;"生成成长"),5))*(VLOOKUP($B$5,标准坦克设计!$B$24:$U$30,MATCH("对"&amp;LEFT($C$5,2)&amp;"输出",标准坦克设计!$B$23:$U$23,0)))*(VLOOKUP($B184,INDIRECT($B$5&amp;"生成成长"),3))*(VLOOKUP($B$5,标准坦克设计!$B$14:$K$20,9)/30))</f>
        <v>15.351899812575407</v>
      </c>
      <c r="DP184" s="173">
        <f ca="1">(VLOOKUP(DP$72,INDIRECT($C$5&amp;"生成成长"),2))/((VLOOKUP($B184,INDIRECT($B$5&amp;"生成成长"),4))/(VLOOKUP(DP$72,INDIRECT($C$5&amp;"生成成长"),5))*(VLOOKUP($B$5,标准坦克设计!$B$24:$U$30,MATCH("对"&amp;LEFT($C$5,2)&amp;"输出",标准坦克设计!$B$23:$U$23,0)))*(VLOOKUP($B184,INDIRECT($B$5&amp;"生成成长"),3))*(VLOOKUP($B$5,标准坦克设计!$B$14:$K$20,9)/30))</f>
        <v>16.809343165491018</v>
      </c>
      <c r="DQ184" s="173">
        <f ca="1">(VLOOKUP(DQ$72,INDIRECT($C$5&amp;"生成成长"),2))/((VLOOKUP($B184,INDIRECT($B$5&amp;"生成成长"),4))/(VLOOKUP(DQ$72,INDIRECT($C$5&amp;"生成成长"),5))*(VLOOKUP($B$5,标准坦克设计!$B$24:$U$30,MATCH("对"&amp;LEFT($C$5,2)&amp;"输出",标准坦克设计!$B$23:$U$23,0)))*(VLOOKUP($B184,INDIRECT($B$5&amp;"生成成长"),3))*(VLOOKUP($B$5,标准坦克设计!$B$14:$K$20,9)/30))</f>
        <v>18.332867073450664</v>
      </c>
      <c r="DR184" s="173">
        <f ca="1">(VLOOKUP(DR$72,INDIRECT($C$5&amp;"生成成长"),2))/((VLOOKUP($B184,INDIRECT($B$5&amp;"生成成长"),4))/(VLOOKUP(DR$72,INDIRECT($C$5&amp;"生成成长"),5))*(VLOOKUP($B$5,标准坦克设计!$B$24:$U$30,MATCH("对"&amp;LEFT($C$5,2)&amp;"输出",标准坦克设计!$B$23:$U$23,0)))*(VLOOKUP($B184,INDIRECT($B$5&amp;"生成成长"),3))*(VLOOKUP($B$5,标准坦克设计!$B$14:$K$20,9)/30))</f>
        <v>19.922471536454342</v>
      </c>
      <c r="DS184" s="173">
        <f ca="1">(VLOOKUP(DS$72,INDIRECT($C$5&amp;"生成成长"),2))/((VLOOKUP($B184,INDIRECT($B$5&amp;"生成成长"),4))/(VLOOKUP(DS$72,INDIRECT($C$5&amp;"生成成长"),5))*(VLOOKUP($B$5,标准坦克设计!$B$24:$U$30,MATCH("对"&amp;LEFT($C$5,2)&amp;"输出",标准坦克设计!$B$23:$U$23,0)))*(VLOOKUP($B184,INDIRECT($B$5&amp;"生成成长"),3))*(VLOOKUP($B$5,标准坦克设计!$B$14:$K$20,9)/30))</f>
        <v>21.578156554502051</v>
      </c>
      <c r="DT184" s="173">
        <f ca="1">(VLOOKUP(DT$72,INDIRECT($C$5&amp;"生成成长"),2))/((VLOOKUP($B184,INDIRECT($B$5&amp;"生成成长"),4))/(VLOOKUP(DT$72,INDIRECT($C$5&amp;"生成成长"),5))*(VLOOKUP($B$5,标准坦克设计!$B$24:$U$30,MATCH("对"&amp;LEFT($C$5,2)&amp;"输出",标准坦克设计!$B$23:$U$23,0)))*(VLOOKUP($B184,INDIRECT($B$5&amp;"生成成长"),3))*(VLOOKUP($B$5,标准坦克设计!$B$14:$K$20,9)/30))</f>
        <v>23.691510601928798</v>
      </c>
      <c r="DU184" s="173">
        <f ca="1">(VLOOKUP(DU$72,INDIRECT($C$5&amp;"生成成长"),2))/((VLOOKUP($B184,INDIRECT($B$5&amp;"生成成长"),4))/(VLOOKUP(DU$72,INDIRECT($C$5&amp;"生成成长"),5))*(VLOOKUP($B$5,标准坦克设计!$B$24:$U$30,MATCH("对"&amp;LEFT($C$5,2)&amp;"输出",标准坦克设计!$B$23:$U$23,0)))*(VLOOKUP($B184,INDIRECT($B$5&amp;"生成成长"),3))*(VLOOKUP($B$5,标准坦克设计!$B$14:$K$20,9)/30))</f>
        <v>25.903577577260837</v>
      </c>
      <c r="DV184" s="173">
        <f ca="1">(VLOOKUP(DV$72,INDIRECT($C$5&amp;"生成成长"),2))/((VLOOKUP($B184,INDIRECT($B$5&amp;"生成成长"),4))/(VLOOKUP(DV$72,INDIRECT($C$5&amp;"生成成长"),5))*(VLOOKUP($B$5,标准坦克设计!$B$24:$U$30,MATCH("对"&amp;LEFT($C$5,2)&amp;"输出",标准坦克设计!$B$23:$U$23,0)))*(VLOOKUP($B184,INDIRECT($B$5&amp;"生成成长"),3))*(VLOOKUP($B$5,标准坦克设计!$B$14:$K$20,9)/30))</f>
        <v>28.214357480498155</v>
      </c>
      <c r="DW184" s="173">
        <f ca="1">(VLOOKUP(DW$72,INDIRECT($C$5&amp;"生成成长"),2))/((VLOOKUP($B184,INDIRECT($B$5&amp;"生成成长"),4))/(VLOOKUP(DW$72,INDIRECT($C$5&amp;"生成成长"),5))*(VLOOKUP($B$5,标准坦克设计!$B$24:$U$30,MATCH("对"&amp;LEFT($C$5,2)&amp;"输出",标准坦克设计!$B$23:$U$23,0)))*(VLOOKUP($B184,INDIRECT($B$5&amp;"生成成长"),3))*(VLOOKUP($B$5,标准坦克设计!$B$14:$K$20,9)/30))</f>
        <v>30.623850311640759</v>
      </c>
      <c r="DX184" s="173">
        <f ca="1">(VLOOKUP(DX$72,INDIRECT($C$5&amp;"生成成长"),2))/((VLOOKUP($B184,INDIRECT($B$5&amp;"生成成长"),4))/(VLOOKUP(DX$72,INDIRECT($C$5&amp;"生成成长"),5))*(VLOOKUP($B$5,标准坦克设计!$B$24:$U$30,MATCH("对"&amp;LEFT($C$5,2)&amp;"输出",标准坦克设计!$B$23:$U$23,0)))*(VLOOKUP($B184,INDIRECT($B$5&amp;"生成成长"),3))*(VLOOKUP($B$5,标准坦克设计!$B$14:$K$20,9)/30))</f>
        <v>33.132056070688641</v>
      </c>
      <c r="DY184" s="173">
        <f ca="1">(VLOOKUP(DY$72,INDIRECT($C$5&amp;"生成成长"),2))/((VLOOKUP($B184,INDIRECT($B$5&amp;"生成成长"),4))/(VLOOKUP(DY$72,INDIRECT($C$5&amp;"生成成长"),5))*(VLOOKUP($B$5,标准坦克设计!$B$24:$U$30,MATCH("对"&amp;LEFT($C$5,2)&amp;"输出",标准坦克设计!$B$23:$U$23,0)))*(VLOOKUP($B184,INDIRECT($B$5&amp;"生成成长"),3))*(VLOOKUP($B$5,标准坦克设计!$B$14:$K$20,9)/30))</f>
        <v>14.8807699293911</v>
      </c>
      <c r="DZ184" s="173">
        <f ca="1">(VLOOKUP(DZ$72,INDIRECT($C$5&amp;"生成成长"),2))/((VLOOKUP($B184,INDIRECT($B$5&amp;"生成成长"),4))/(VLOOKUP(DZ$72,INDIRECT($C$5&amp;"生成成长"),5))*(VLOOKUP($B$5,标准坦克设计!$B$24:$U$30,MATCH("对"&amp;LEFT($C$5,2)&amp;"输出",标准坦克设计!$B$23:$U$23,0)))*(VLOOKUP($B184,INDIRECT($B$5&amp;"生成成长"),3))*(VLOOKUP($B$5,标准坦克设计!$B$14:$K$20,9)/30))</f>
        <v>16.479756199592387</v>
      </c>
      <c r="EA184" s="173">
        <f ca="1">(VLOOKUP(EA$72,INDIRECT($C$5&amp;"生成成长"),2))/((VLOOKUP($B184,INDIRECT($B$5&amp;"生成成长"),4))/(VLOOKUP(EA$72,INDIRECT($C$5&amp;"生成成长"),5))*(VLOOKUP($B$5,标准坦克设计!$B$24:$U$30,MATCH("对"&amp;LEFT($C$5,2)&amp;"输出",标准坦克设计!$B$23:$U$23,0)))*(VLOOKUP($B184,INDIRECT($B$5&amp;"生成成长"),3))*(VLOOKUP($B$5,标准坦克设计!$B$14:$K$20,9)/30))</f>
        <v>18.160323401946801</v>
      </c>
      <c r="EB184" s="173">
        <f ca="1">(VLOOKUP(EB$72,INDIRECT($C$5&amp;"生成成长"),2))/((VLOOKUP($B184,INDIRECT($B$5&amp;"生成成长"),4))/(VLOOKUP(EB$72,INDIRECT($C$5&amp;"生成成长"),5))*(VLOOKUP($B$5,标准坦克设计!$B$24:$U$30,MATCH("对"&amp;LEFT($C$5,2)&amp;"输出",标准坦克设计!$B$23:$U$23,0)))*(VLOOKUP($B184,INDIRECT($B$5&amp;"生成成长"),3))*(VLOOKUP($B$5,标准坦克设计!$B$14:$K$20,9)/30))</f>
        <v>19.922471536454342</v>
      </c>
      <c r="EC184" s="173">
        <f ca="1">(VLOOKUP(EC$72,INDIRECT($C$5&amp;"生成成长"),2))/((VLOOKUP($B184,INDIRECT($B$5&amp;"生成成长"),4))/(VLOOKUP(EC$72,INDIRECT($C$5&amp;"生成成长"),5))*(VLOOKUP($B$5,标准坦克设计!$B$24:$U$30,MATCH("对"&amp;LEFT($C$5,2)&amp;"输出",标准坦克设计!$B$23:$U$23,0)))*(VLOOKUP($B184,INDIRECT($B$5&amp;"生成成长"),3))*(VLOOKUP($B$5,标准坦克设计!$B$14:$K$20,9)/30))</f>
        <v>21.766200603115003</v>
      </c>
      <c r="ED184" s="173">
        <f ca="1">(VLOOKUP(ED$72,INDIRECT($C$5&amp;"生成成长"),2))/((VLOOKUP($B184,INDIRECT($B$5&amp;"生成成长"),4))/(VLOOKUP(ED$72,INDIRECT($C$5&amp;"生成成长"),5))*(VLOOKUP($B$5,标准坦克设计!$B$24:$U$30,MATCH("对"&amp;LEFT($C$5,2)&amp;"输出",标准坦克设计!$B$23:$U$23,0)))*(VLOOKUP($B184,INDIRECT($B$5&amp;"生成成长"),3))*(VLOOKUP($B$5,标准坦克设计!$B$14:$K$20,9)/30))</f>
        <v>23.691510601928798</v>
      </c>
      <c r="EE184" s="173">
        <f ca="1">(VLOOKUP(EE$72,INDIRECT($C$5&amp;"生成成长"),2))/((VLOOKUP($B184,INDIRECT($B$5&amp;"生成成长"),4))/(VLOOKUP(EE$72,INDIRECT($C$5&amp;"生成成长"),5))*(VLOOKUP($B$5,标准坦克设计!$B$24:$U$30,MATCH("对"&amp;LEFT($C$5,2)&amp;"输出",标准坦克设计!$B$23:$U$23,0)))*(VLOOKUP($B184,INDIRECT($B$5&amp;"生成成长"),3))*(VLOOKUP($B$5,标准坦克设计!$B$14:$K$20,9)/30))</f>
        <v>25.698401532895719</v>
      </c>
      <c r="EF184" s="173">
        <f ca="1">(VLOOKUP(EF$72,INDIRECT($C$5&amp;"生成成长"),2))/((VLOOKUP($B184,INDIRECT($B$5&amp;"生成成长"),4))/(VLOOKUP(EF$72,INDIRECT($C$5&amp;"生成成长"),5))*(VLOOKUP($B$5,标准坦克设计!$B$24:$U$30,MATCH("对"&amp;LEFT($C$5,2)&amp;"输出",标准坦克设计!$B$23:$U$23,0)))*(VLOOKUP($B184,INDIRECT($B$5&amp;"生成成长"),3))*(VLOOKUP($B$5,标准坦克设计!$B$14:$K$20,9)/30))</f>
        <v>27.786873396015764</v>
      </c>
      <c r="EG184" s="173">
        <f ca="1">(VLOOKUP(EG$72,INDIRECT($C$5&amp;"生成成长"),2))/((VLOOKUP($B184,INDIRECT($B$5&amp;"生成成长"),4))/(VLOOKUP(EG$72,INDIRECT($C$5&amp;"生成成长"),5))*(VLOOKUP($B$5,标准坦克设计!$B$24:$U$30,MATCH("对"&amp;LEFT($C$5,2)&amp;"输出",标准坦克设计!$B$23:$U$23,0)))*(VLOOKUP($B184,INDIRECT($B$5&amp;"生成成长"),3))*(VLOOKUP($B$5,标准坦克设计!$B$14:$K$20,9)/30))</f>
        <v>29.956926191288943</v>
      </c>
      <c r="EH184" s="173">
        <f ca="1">(VLOOKUP(EH$72,INDIRECT($C$5&amp;"生成成长"),2))/((VLOOKUP($B184,INDIRECT($B$5&amp;"生成成长"),4))/(VLOOKUP(EH$72,INDIRECT($C$5&amp;"生成成长"),5))*(VLOOKUP($B$5,标准坦克设计!$B$24:$U$30,MATCH("对"&amp;LEFT($C$5,2)&amp;"输出",标准坦克设计!$B$23:$U$23,0)))*(VLOOKUP($B184,INDIRECT($B$5&amp;"生成成长"),3))*(VLOOKUP($B$5,标准坦克设计!$B$14:$K$20,9)/30))</f>
        <v>32.208559918715245</v>
      </c>
      <c r="EI184" s="173">
        <f ca="1">(VLOOKUP(EI$72,INDIRECT($C$5&amp;"生成成长"),2))/((VLOOKUP($B184,INDIRECT($B$5&amp;"生成成长"),4))/(VLOOKUP(EI$72,INDIRECT($C$5&amp;"生成成长"),5))*(VLOOKUP($B$5,标准坦克设计!$B$24:$U$30,MATCH("对"&amp;LEFT($C$5,2)&amp;"输出",标准坦克设计!$B$23:$U$23,0)))*(VLOOKUP($B184,INDIRECT($B$5&amp;"生成成长"),3))*(VLOOKUP($B$5,标准坦克设计!$B$14:$K$20,9)/30))</f>
        <v>34.541774578294671</v>
      </c>
      <c r="EJ184" s="173">
        <f ca="1">(VLOOKUP(EJ$72,INDIRECT($C$5&amp;"生成成长"),2))/((VLOOKUP($B184,INDIRECT($B$5&amp;"生成成长"),4))/(VLOOKUP(EJ$72,INDIRECT($C$5&amp;"生成成长"),5))*(VLOOKUP($B$5,标准坦克设计!$B$24:$U$30,MATCH("对"&amp;LEFT($C$5,2)&amp;"输出",标准坦克设计!$B$23:$U$23,0)))*(VLOOKUP($B184,INDIRECT($B$5&amp;"生成成长"),3))*(VLOOKUP($B$5,标准坦克设计!$B$14:$K$20,9)/30))</f>
        <v>36.956570170027227</v>
      </c>
      <c r="EK184" s="173">
        <f ca="1">(VLOOKUP(EK$72,INDIRECT($C$5&amp;"生成成长"),2))/((VLOOKUP($B184,INDIRECT($B$5&amp;"生成成长"),4))/(VLOOKUP(EK$72,INDIRECT($C$5&amp;"生成成长"),5))*(VLOOKUP($B$5,标准坦克设计!$B$24:$U$30,MATCH("对"&amp;LEFT($C$5,2)&amp;"输出",标准坦克设计!$B$23:$U$23,0)))*(VLOOKUP($B184,INDIRECT($B$5&amp;"生成成长"),3))*(VLOOKUP($B$5,标准坦克设计!$B$14:$K$20,9)/30))</f>
        <v>39.962011710548417</v>
      </c>
      <c r="EL184" s="173">
        <f ca="1">(VLOOKUP(EL$72,INDIRECT($C$5&amp;"生成成长"),2))/((VLOOKUP($B184,INDIRECT($B$5&amp;"生成成长"),4))/(VLOOKUP(EL$72,INDIRECT($C$5&amp;"生成成长"),5))*(VLOOKUP($B$5,标准坦克设计!$B$24:$U$30,MATCH("对"&amp;LEFT($C$5,2)&amp;"输出",标准坦克设计!$B$23:$U$23,0)))*(VLOOKUP($B184,INDIRECT($B$5&amp;"生成成长"),3))*(VLOOKUP($B$5,标准坦克设计!$B$14:$K$20,9)/30))</f>
        <v>43.084929793370108</v>
      </c>
      <c r="EM184" s="173">
        <f ca="1">(VLOOKUP(EM$72,INDIRECT($C$5&amp;"生成成长"),2))/((VLOOKUP($B184,INDIRECT($B$5&amp;"生成成长"),4))/(VLOOKUP(EM$72,INDIRECT($C$5&amp;"生成成长"),5))*(VLOOKUP($B$5,标准坦克设计!$B$24:$U$30,MATCH("对"&amp;LEFT($C$5,2)&amp;"输出",标准坦克设计!$B$23:$U$23,0)))*(VLOOKUP($B184,INDIRECT($B$5&amp;"生成成长"),3))*(VLOOKUP($B$5,标准坦克设计!$B$14:$K$20,9)/30))</f>
        <v>46.325324418492315</v>
      </c>
      <c r="EN184" s="173">
        <f ca="1">(VLOOKUP(EN$72,INDIRECT($C$5&amp;"生成成长"),2))/((VLOOKUP($B184,INDIRECT($B$5&amp;"生成成长"),4))/(VLOOKUP(EN$72,INDIRECT($C$5&amp;"生成成长"),5))*(VLOOKUP($B$5,标准坦克设计!$B$24:$U$30,MATCH("对"&amp;LEFT($C$5,2)&amp;"输出",标准坦克设计!$B$23:$U$23,0)))*(VLOOKUP($B184,INDIRECT($B$5&amp;"生成成长"),3))*(VLOOKUP($B$5,标准坦克设计!$B$14:$K$20,9)/30))</f>
        <v>49.683195585915016</v>
      </c>
      <c r="EO184" s="173">
        <f ca="1">(VLOOKUP(EO$72,INDIRECT($C$5&amp;"生成成长"),2))/((VLOOKUP($B184,INDIRECT($B$5&amp;"生成成长"),4))/(VLOOKUP(EO$72,INDIRECT($C$5&amp;"生成成长"),5))*(VLOOKUP($B$5,标准坦克设计!$B$24:$U$30,MATCH("对"&amp;LEFT($C$5,2)&amp;"输出",标准坦克设计!$B$23:$U$23,0)))*(VLOOKUP($B184,INDIRECT($B$5&amp;"生成成长"),3))*(VLOOKUP($B$5,标准坦克设计!$B$14:$K$20,9)/30))</f>
        <v>53.158543295638218</v>
      </c>
      <c r="EP184" s="173">
        <f ca="1">(VLOOKUP(EP$72,INDIRECT($C$5&amp;"生成成长"),2))/((VLOOKUP($B184,INDIRECT($B$5&amp;"生成成长"),4))/(VLOOKUP(EP$72,INDIRECT($C$5&amp;"生成成长"),5))*(VLOOKUP($B$5,标准坦克设计!$B$24:$U$30,MATCH("对"&amp;LEFT($C$5,2)&amp;"输出",标准坦克设计!$B$23:$U$23,0)))*(VLOOKUP($B184,INDIRECT($B$5&amp;"生成成长"),3))*(VLOOKUP($B$5,标准坦克设计!$B$14:$K$20,9)/30))</f>
        <v>56.751367547661928</v>
      </c>
      <c r="EQ184" s="173">
        <f ca="1">(VLOOKUP(EQ$72,INDIRECT($C$5&amp;"生成成长"),2))/((VLOOKUP($B184,INDIRECT($B$5&amp;"生成成长"),4))/(VLOOKUP(EQ$72,INDIRECT($C$5&amp;"生成成长"),5))*(VLOOKUP($B$5,标准坦克设计!$B$24:$U$30,MATCH("对"&amp;LEFT($C$5,2)&amp;"输出",标准坦克设计!$B$23:$U$23,0)))*(VLOOKUP($B184,INDIRECT($B$5&amp;"生成成长"),3))*(VLOOKUP($B$5,标准坦克设计!$B$14:$K$20,9)/30))</f>
        <v>25.087768255729564</v>
      </c>
      <c r="ER184" s="173">
        <f ca="1">(VLOOKUP(ER$72,INDIRECT($C$5&amp;"生成成长"),2))/((VLOOKUP($B184,INDIRECT($B$5&amp;"生成成长"),4))/(VLOOKUP(ER$72,INDIRECT($C$5&amp;"生成成长"),5))*(VLOOKUP($B$5,标准坦克设计!$B$24:$U$30,MATCH("对"&amp;LEFT($C$5,2)&amp;"输出",标准坦克设计!$B$23:$U$23,0)))*(VLOOKUP($B184,INDIRECT($B$5&amp;"生成成长"),3))*(VLOOKUP($B$5,标准坦克设计!$B$14:$K$20,9)/30))</f>
        <v>27.362652548819515</v>
      </c>
      <c r="ES184" s="173">
        <f ca="1">(VLOOKUP(ES$72,INDIRECT($C$5&amp;"生成成长"),2))/((VLOOKUP($B184,INDIRECT($B$5&amp;"生成成长"),4))/(VLOOKUP(ES$72,INDIRECT($C$5&amp;"生成成长"),5))*(VLOOKUP($B$5,标准坦克设计!$B$24:$U$30,MATCH("对"&amp;LEFT($C$5,2)&amp;"输出",标准坦克设计!$B$23:$U$23,0)))*(VLOOKUP($B184,INDIRECT($B$5&amp;"生成成长"),3))*(VLOOKUP($B$5,标准坦克设计!$B$14:$K$20,9)/30))</f>
        <v>29.736249769814737</v>
      </c>
      <c r="ET184" s="173">
        <f ca="1">(VLOOKUP(ET$72,INDIRECT($C$5&amp;"生成成长"),2))/((VLOOKUP($B184,INDIRECT($B$5&amp;"生成成长"),4))/(VLOOKUP(ET$72,INDIRECT($C$5&amp;"生成成长"),5))*(VLOOKUP($B$5,标准坦克设计!$B$24:$U$30,MATCH("对"&amp;LEFT($C$5,2)&amp;"输出",标准坦克设计!$B$23:$U$23,0)))*(VLOOKUP($B184,INDIRECT($B$5&amp;"生成成长"),3))*(VLOOKUP($B$5,标准坦克设计!$B$14:$K$20,9)/30))</f>
        <v>32.208559918715245</v>
      </c>
      <c r="EU184" s="173">
        <f ca="1">(VLOOKUP(EU$72,INDIRECT($C$5&amp;"生成成长"),2))/((VLOOKUP($B184,INDIRECT($B$5&amp;"生成成长"),4))/(VLOOKUP(EU$72,INDIRECT($C$5&amp;"生成成长"),5))*(VLOOKUP($B$5,标准坦克设计!$B$24:$U$30,MATCH("对"&amp;LEFT($C$5,2)&amp;"输出",标准坦克设计!$B$23:$U$23,0)))*(VLOOKUP($B184,INDIRECT($B$5&amp;"生成成长"),3))*(VLOOKUP($B$5,标准坦克设计!$B$14:$K$20,9)/30))</f>
        <v>34.779582995521039</v>
      </c>
      <c r="EV184" s="173">
        <f ca="1">(VLOOKUP(EV$72,INDIRECT($C$5&amp;"生成成长"),2))/((VLOOKUP($B184,INDIRECT($B$5&amp;"生成成长"),4))/(VLOOKUP(EV$72,INDIRECT($C$5&amp;"生成成长"),5))*(VLOOKUP($B$5,标准坦克设计!$B$24:$U$30,MATCH("对"&amp;LEFT($C$5,2)&amp;"输出",标准坦克设计!$B$23:$U$23,0)))*(VLOOKUP($B184,INDIRECT($B$5&amp;"生成成长"),3))*(VLOOKUP($B$5,标准坦克设计!$B$14:$K$20,9)/30))</f>
        <v>37.449319000232116</v>
      </c>
      <c r="EW184" s="173">
        <f ca="1">(VLOOKUP(EW$72,INDIRECT($C$5&amp;"生成成长"),2))/((VLOOKUP($B184,INDIRECT($B$5&amp;"生成成长"),4))/(VLOOKUP(EW$72,INDIRECT($C$5&amp;"生成成长"),5))*(VLOOKUP($B$5,标准坦克设计!$B$24:$U$30,MATCH("对"&amp;LEFT($C$5,2)&amp;"输出",标准坦克设计!$B$23:$U$23,0)))*(VLOOKUP($B184,INDIRECT($B$5&amp;"生成成长"),3))*(VLOOKUP($B$5,标准坦克设计!$B$14:$K$20,9)/30))</f>
        <v>40.217767932848467</v>
      </c>
      <c r="EX184" s="173">
        <f ca="1">(VLOOKUP(EX$72,INDIRECT($C$5&amp;"生成成长"),2))/((VLOOKUP($B184,INDIRECT($B$5&amp;"生成成长"),4))/(VLOOKUP(EX$72,INDIRECT($C$5&amp;"生成成长"),5))*(VLOOKUP($B$5,标准坦克设计!$B$24:$U$30,MATCH("对"&amp;LEFT($C$5,2)&amp;"输出",标准坦克设计!$B$23:$U$23,0)))*(VLOOKUP($B184,INDIRECT($B$5&amp;"生成成长"),3))*(VLOOKUP($B$5,标准坦克设计!$B$14:$K$20,9)/30))</f>
        <v>43.084929793370108</v>
      </c>
      <c r="EY184" s="173">
        <f ca="1">(VLOOKUP(EY$72,INDIRECT($C$5&amp;"生成成长"),2))/((VLOOKUP($B184,INDIRECT($B$5&amp;"生成成长"),4))/(VLOOKUP(EY$72,INDIRECT($C$5&amp;"生成成长"),5))*(VLOOKUP($B$5,标准坦克设计!$B$24:$U$30,MATCH("对"&amp;LEFT($C$5,2)&amp;"输出",标准坦克设计!$B$23:$U$23,0)))*(VLOOKUP($B184,INDIRECT($B$5&amp;"生成成长"),3))*(VLOOKUP($B$5,标准坦克设计!$B$14:$K$20,9)/30))</f>
        <v>46.050804581797038</v>
      </c>
      <c r="EZ184" s="173">
        <f ca="1">(VLOOKUP(EZ$72,INDIRECT($C$5&amp;"生成成长"),2))/((VLOOKUP($B184,INDIRECT($B$5&amp;"生成成长"),4))/(VLOOKUP(EZ$72,INDIRECT($C$5&amp;"生成成长"),5))*(VLOOKUP($B$5,标准坦克设计!$B$24:$U$30,MATCH("对"&amp;LEFT($C$5,2)&amp;"输出",标准坦克设计!$B$23:$U$23,0)))*(VLOOKUP($B184,INDIRECT($B$5&amp;"生成成长"),3))*(VLOOKUP($B$5,标准坦克设计!$B$14:$K$20,9)/30))</f>
        <v>49.115392298129244</v>
      </c>
      <c r="FA184" s="173">
        <f ca="1">(VLOOKUP(FA$72,INDIRECT($C$5&amp;"生成成长"),2))/((VLOOKUP($B184,INDIRECT($B$5&amp;"生成成长"),4))/(VLOOKUP(FA$72,INDIRECT($C$5&amp;"生成成长"),5))*(VLOOKUP($B$5,标准坦克设计!$B$24:$U$30,MATCH("对"&amp;LEFT($C$5,2)&amp;"输出",标准坦克设计!$B$23:$U$23,0)))*(VLOOKUP($B184,INDIRECT($B$5&amp;"生成成长"),3))*(VLOOKUP($B$5,标准坦克设计!$B$14:$K$20,9)/30))</f>
        <v>52.278692942366746</v>
      </c>
      <c r="FB184" s="173">
        <f ca="1">(VLOOKUP(FB$72,INDIRECT($C$5&amp;"生成成长"),2))/((VLOOKUP($B184,INDIRECT($B$5&amp;"生成成长"),4))/(VLOOKUP(FB$72,INDIRECT($C$5&amp;"生成成长"),5))*(VLOOKUP($B$5,标准坦克设计!$B$24:$U$30,MATCH("对"&amp;LEFT($C$5,2)&amp;"输出",标准坦克设计!$B$23:$U$23,0)))*(VLOOKUP($B184,INDIRECT($B$5&amp;"生成成长"),3))*(VLOOKUP($B$5,标准坦克设计!$B$14:$K$20,9)/30))</f>
        <v>55.54070651450953</v>
      </c>
      <c r="FC184" s="173">
        <f ca="1">(VLOOKUP(FC$72,INDIRECT($C$5&amp;"生成成长"),2))/((VLOOKUP($B184,INDIRECT($B$5&amp;"生成成长"),4))/(VLOOKUP(FC$72,INDIRECT($C$5&amp;"生成成长"),5))*(VLOOKUP($B$5,标准坦克设计!$B$24:$U$30,MATCH("对"&amp;LEFT($C$5,2)&amp;"输出",标准坦克设计!$B$23:$U$23,0)))*(VLOOKUP($B184,INDIRECT($B$5&amp;"生成成长"),3))*(VLOOKUP($B$5,标准坦克设计!$B$14:$K$20,9)/30))</f>
        <v>58.90143301455759</v>
      </c>
      <c r="FD184" s="173">
        <f ca="1">(VLOOKUP(FD$72,INDIRECT($C$5&amp;"生成成长"),2))/((VLOOKUP($B184,INDIRECT($B$5&amp;"生成成长"),4))/(VLOOKUP(FD$72,INDIRECT($C$5&amp;"生成成长"),5))*(VLOOKUP($B$5,标准坦克设计!$B$24:$U$30,MATCH("对"&amp;LEFT($C$5,2)&amp;"输出",标准坦克设计!$B$23:$U$23,0)))*(VLOOKUP($B184,INDIRECT($B$5&amp;"生成成长"),3))*(VLOOKUP($B$5,标准坦克设计!$B$14:$K$20,9)/30))</f>
        <v>62.360872442510924</v>
      </c>
      <c r="FE184" s="173">
        <f ca="1">(VLOOKUP(FE$72,INDIRECT($C$5&amp;"生成成长"),2))/((VLOOKUP($B184,INDIRECT($B$5&amp;"生成成长"),4))/(VLOOKUP(FE$72,INDIRECT($C$5&amp;"生成成长"),5))*(VLOOKUP($B$5,标准坦克设计!$B$24:$U$30,MATCH("对"&amp;LEFT($C$5,2)&amp;"输出",标准坦克设计!$B$23:$U$23,0)))*(VLOOKUP($B184,INDIRECT($B$5&amp;"生成成长"),3))*(VLOOKUP($B$5,标准坦克设计!$B$14:$K$20,9)/30))</f>
        <v>66.576567111523758</v>
      </c>
      <c r="FF184" s="173">
        <f ca="1">(VLOOKUP(FF$72,INDIRECT($C$5&amp;"生成成长"),2))/((VLOOKUP($B184,INDIRECT($B$5&amp;"生成成长"),4))/(VLOOKUP(FF$72,INDIRECT($C$5&amp;"生成成长"),5))*(VLOOKUP($B$5,标准坦克设计!$B$24:$U$30,MATCH("对"&amp;LEFT($C$5,2)&amp;"输出",标准坦克设计!$B$23:$U$23,0)))*(VLOOKUP($B184,INDIRECT($B$5&amp;"生成成长"),3))*(VLOOKUP($B$5,标准坦克设计!$B$14:$K$20,9)/30))</f>
        <v>70.930133555875372</v>
      </c>
      <c r="FG184" s="173">
        <f ca="1">(VLOOKUP(FG$72,INDIRECT($C$5&amp;"生成成长"),2))/((VLOOKUP($B184,INDIRECT($B$5&amp;"生成成长"),4))/(VLOOKUP(FG$72,INDIRECT($C$5&amp;"生成成长"),5))*(VLOOKUP($B$5,标准坦克设计!$B$24:$U$30,MATCH("对"&amp;LEFT($C$5,2)&amp;"输出",标准坦克设计!$B$23:$U$23,0)))*(VLOOKUP($B184,INDIRECT($B$5&amp;"生成成长"),3))*(VLOOKUP($B$5,标准坦克设计!$B$14:$K$20,9)/30))</f>
        <v>75.421571775565766</v>
      </c>
      <c r="FH184" s="173">
        <f ca="1">(VLOOKUP(FH$72,INDIRECT($C$5&amp;"生成成长"),2))/((VLOOKUP($B184,INDIRECT($B$5&amp;"生成成长"),4))/(VLOOKUP(FH$72,INDIRECT($C$5&amp;"生成成长"),5))*(VLOOKUP($B$5,标准坦克设计!$B$24:$U$30,MATCH("对"&amp;LEFT($C$5,2)&amp;"输出",标准坦克设计!$B$23:$U$23,0)))*(VLOOKUP($B184,INDIRECT($B$5&amp;"生成成长"),3))*(VLOOKUP($B$5,标准坦克设计!$B$14:$K$20,9)/30))</f>
        <v>80.050881770594955</v>
      </c>
      <c r="FI184" s="173">
        <f ca="1">(VLOOKUP(FI$72,INDIRECT($C$5&amp;"生成成长"),2))/((VLOOKUP($B184,INDIRECT($B$5&amp;"生成成长"),4))/(VLOOKUP(FI$72,INDIRECT($C$5&amp;"生成成长"),5))*(VLOOKUP($B$5,标准坦克设计!$B$24:$U$30,MATCH("对"&amp;LEFT($C$5,2)&amp;"输出",标准坦克设计!$B$23:$U$23,0)))*(VLOOKUP($B184,INDIRECT($B$5&amp;"生成成长"),3))*(VLOOKUP($B$5,标准坦克设计!$B$14:$K$20,9)/30))</f>
        <v>84.81806354096291</v>
      </c>
      <c r="FJ184" s="173">
        <f ca="1">(VLOOKUP(FJ$72,INDIRECT($C$5&amp;"生成成长"),2))/((VLOOKUP($B184,INDIRECT($B$5&amp;"生成成长"),4))/(VLOOKUP(FJ$72,INDIRECT($C$5&amp;"生成成长"),5))*(VLOOKUP($B$5,标准坦克设计!$B$24:$U$30,MATCH("对"&amp;LEFT($C$5,2)&amp;"输出",标准坦克设计!$B$23:$U$23,0)))*(VLOOKUP($B184,INDIRECT($B$5&amp;"生成成长"),3))*(VLOOKUP($B$5,标准坦克设计!$B$14:$K$20,9)/30))</f>
        <v>89.72311708666966</v>
      </c>
      <c r="FK184" s="173">
        <f ca="1">(VLOOKUP(FK$72,INDIRECT($C$5&amp;"生成成长"),2))/((VLOOKUP($B184,INDIRECT($B$5&amp;"生成成长"),4))/(VLOOKUP(FK$72,INDIRECT($C$5&amp;"生成成长"),5))*(VLOOKUP($B$5,标准坦克设计!$B$24:$U$30,MATCH("对"&amp;LEFT($C$5,2)&amp;"输出",标准坦克设计!$B$23:$U$23,0)))*(VLOOKUP($B184,INDIRECT($B$5&amp;"生成成长"),3))*(VLOOKUP($B$5,标准坦克设计!$B$14:$K$20,9)/30))</f>
        <v>94.76604240771519</v>
      </c>
    </row>
    <row r="185" spans="1:167" x14ac:dyDescent="0.15">
      <c r="A185" s="171" t="str">
        <f t="shared" si="12"/>
        <v>T3高品质2级</v>
      </c>
      <c r="B185" s="172">
        <v>30302</v>
      </c>
      <c r="C185" s="173">
        <f ca="1">(VLOOKUP(C$72,INDIRECT($C$5&amp;"生成成长"),2))/((VLOOKUP($B185,INDIRECT($B$5&amp;"生成成长"),4))/(VLOOKUP(C$72,INDIRECT($C$5&amp;"生成成长"),5))*(VLOOKUP($B$5,标准坦克设计!$B$24:$U$30,MATCH("对"&amp;LEFT($C$5,2)&amp;"输出",标准坦克设计!$B$23:$U$23,0)))*(VLOOKUP($B185,INDIRECT($B$5&amp;"生成成长"),3))*(VLOOKUP($B$5,标准坦克设计!$B$14:$K$20,9)/30))</f>
        <v>3.6329905264393503</v>
      </c>
      <c r="D185" s="173">
        <f ca="1">(VLOOKUP(D$72,INDIRECT($C$5&amp;"生成成长"),2))/((VLOOKUP($B185,INDIRECT($B$5&amp;"生成成长"),4))/(VLOOKUP(D$72,INDIRECT($C$5&amp;"生成成长"),5))*(VLOOKUP($B$5,标准坦克设计!$B$24:$U$30,MATCH("对"&amp;LEFT($C$5,2)&amp;"输出",标准坦克设计!$B$23:$U$23,0)))*(VLOOKUP($B185,INDIRECT($B$5&amp;"生成成长"),3))*(VLOOKUP($B$5,标准坦克设计!$B$14:$K$20,9)/30))</f>
        <v>4.0820281555072553</v>
      </c>
      <c r="E185" s="173">
        <f ca="1">(VLOOKUP(E$72,INDIRECT($C$5&amp;"生成成长"),2))/((VLOOKUP($B185,INDIRECT($B$5&amp;"生成成长"),4))/(VLOOKUP(E$72,INDIRECT($C$5&amp;"生成成长"),5))*(VLOOKUP($B$5,标准坦克设计!$B$24:$U$30,MATCH("对"&amp;LEFT($C$5,2)&amp;"输出",标准坦克设计!$B$23:$U$23,0)))*(VLOOKUP($B185,INDIRECT($B$5&amp;"生成成长"),3))*(VLOOKUP($B$5,标准坦克设计!$B$14:$K$20,9)/30))</f>
        <v>4.5572233163655209</v>
      </c>
      <c r="F185" s="173">
        <f ca="1">(VLOOKUP(F$72,INDIRECT($C$5&amp;"生成成长"),2))/((VLOOKUP($B185,INDIRECT($B$5&amp;"生成成长"),4))/(VLOOKUP(F$72,INDIRECT($C$5&amp;"生成成长"),5))*(VLOOKUP($B$5,标准坦克设计!$B$24:$U$30,MATCH("对"&amp;LEFT($C$5,2)&amp;"输出",标准坦克设计!$B$23:$U$23,0)))*(VLOOKUP($B185,INDIRECT($B$5&amp;"生成成长"),3))*(VLOOKUP($B$5,标准坦克设计!$B$14:$K$20,9)/30))</f>
        <v>5.0585760090141525</v>
      </c>
      <c r="G185" s="173">
        <f ca="1">(VLOOKUP(G$72,INDIRECT($C$5&amp;"生成成长"),2))/((VLOOKUP($B185,INDIRECT($B$5&amp;"生成成长"),4))/(VLOOKUP(G$72,INDIRECT($C$5&amp;"生成成长"),5))*(VLOOKUP($B$5,标准坦克设计!$B$24:$U$30,MATCH("对"&amp;LEFT($C$5,2)&amp;"输出",标准坦克设计!$B$23:$U$23,0)))*(VLOOKUP($B185,INDIRECT($B$5&amp;"生成成长"),3))*(VLOOKUP($B$5,标准坦克设计!$B$14:$K$20,9)/30))</f>
        <v>5.5860862334531474</v>
      </c>
      <c r="H185" s="173">
        <f ca="1">(VLOOKUP(H$72,INDIRECT($C$5&amp;"生成成长"),2))/((VLOOKUP($B185,INDIRECT($B$5&amp;"生成成长"),4))/(VLOOKUP(H$72,INDIRECT($C$5&amp;"生成成长"),5))*(VLOOKUP($B$5,标准坦克设计!$B$24:$U$30,MATCH("对"&amp;LEFT($C$5,2)&amp;"输出",标准坦克设计!$B$23:$U$23,0)))*(VLOOKUP($B185,INDIRECT($B$5&amp;"生成成长"),3))*(VLOOKUP($B$5,标准坦克设计!$B$14:$K$20,9)/30))</f>
        <v>4.8885520523767916</v>
      </c>
      <c r="I185" s="173">
        <f ca="1">(VLOOKUP(I$72,INDIRECT($C$5&amp;"生成成长"),2))/((VLOOKUP($B185,INDIRECT($B$5&amp;"生成成长"),4))/(VLOOKUP(I$72,INDIRECT($C$5&amp;"生成成长"),5))*(VLOOKUP($B$5,标准坦克设计!$B$24:$U$30,MATCH("对"&amp;LEFT($C$5,2)&amp;"输出",标准坦克设计!$B$23:$U$23,0)))*(VLOOKUP($B185,INDIRECT($B$5&amp;"生成成长"),3))*(VLOOKUP($B$5,标准坦克设计!$B$14:$K$20,9)/30))</f>
        <v>5.5860862334531474</v>
      </c>
      <c r="J185" s="173">
        <f ca="1">(VLOOKUP(J$72,INDIRECT($C$5&amp;"生成成长"),2))/((VLOOKUP($B185,INDIRECT($B$5&amp;"生成成长"),4))/(VLOOKUP(J$72,INDIRECT($C$5&amp;"生成成长"),5))*(VLOOKUP($B$5,标准坦克设计!$B$24:$U$30,MATCH("对"&amp;LEFT($C$5,2)&amp;"输出",标准坦克设计!$B$23:$U$23,0)))*(VLOOKUP($B185,INDIRECT($B$5&amp;"生成成长"),3))*(VLOOKUP($B$5,标准坦克设计!$B$14:$K$20,9)/30))</f>
        <v>6.3301226932679251</v>
      </c>
      <c r="K185" s="173">
        <f ca="1">(VLOOKUP(K$72,INDIRECT($C$5&amp;"生成成长"),2))/((VLOOKUP($B185,INDIRECT($B$5&amp;"生成成长"),4))/(VLOOKUP(K$72,INDIRECT($C$5&amp;"生成成长"),5))*(VLOOKUP($B$5,标准坦克设计!$B$24:$U$30,MATCH("对"&amp;LEFT($C$5,2)&amp;"输出",标准坦克设计!$B$23:$U$23,0)))*(VLOOKUP($B185,INDIRECT($B$5&amp;"生成成长"),3))*(VLOOKUP($B$5,标准坦克设计!$B$14:$K$20,9)/30))</f>
        <v>7.1206614318211283</v>
      </c>
      <c r="L185" s="173">
        <f ca="1">(VLOOKUP(L$72,INDIRECT($C$5&amp;"生成成长"),2))/((VLOOKUP($B185,INDIRECT($B$5&amp;"生成成长"),4))/(VLOOKUP(L$72,INDIRECT($C$5&amp;"生成成长"),5))*(VLOOKUP($B$5,标准坦克设计!$B$24:$U$30,MATCH("对"&amp;LEFT($C$5,2)&amp;"输出",标准坦克设计!$B$23:$U$23,0)))*(VLOOKUP($B185,INDIRECT($B$5&amp;"生成成长"),3))*(VLOOKUP($B$5,标准坦克设计!$B$14:$K$20,9)/30))</f>
        <v>7.9577024491127544</v>
      </c>
      <c r="M185" s="173">
        <f ca="1">(VLOOKUP(M$72,INDIRECT($C$5&amp;"生成成长"),2))/((VLOOKUP($B185,INDIRECT($B$5&amp;"生成成长"),4))/(VLOOKUP(M$72,INDIRECT($C$5&amp;"生成成长"),5))*(VLOOKUP($B$5,标准坦克设计!$B$24:$U$30,MATCH("对"&amp;LEFT($C$5,2)&amp;"输出",标准坦克设计!$B$23:$U$23,0)))*(VLOOKUP($B185,INDIRECT($B$5&amp;"生成成长"),3))*(VLOOKUP($B$5,标准坦克设计!$B$14:$K$20,9)/30))</f>
        <v>8.841245745142805</v>
      </c>
      <c r="N185" s="173">
        <f ca="1">(VLOOKUP(N$72,INDIRECT($C$5&amp;"生成成长"),2))/((VLOOKUP($B185,INDIRECT($B$5&amp;"生成成长"),4))/(VLOOKUP(N$72,INDIRECT($C$5&amp;"生成成长"),5))*(VLOOKUP($B$5,标准坦克设计!$B$24:$U$30,MATCH("对"&amp;LEFT($C$5,2)&amp;"输出",标准坦克设计!$B$23:$U$23,0)))*(VLOOKUP($B185,INDIRECT($B$5&amp;"生成成长"),3))*(VLOOKUP($B$5,标准坦克设计!$B$14:$K$20,9)/30))</f>
        <v>9.7712913199112776</v>
      </c>
      <c r="O185" s="173">
        <f ca="1">(VLOOKUP(O$72,INDIRECT($C$5&amp;"生成成长"),2))/((VLOOKUP($B185,INDIRECT($B$5&amp;"生成成长"),4))/(VLOOKUP(O$72,INDIRECT($C$5&amp;"生成成长"),5))*(VLOOKUP($B$5,标准坦克设计!$B$24:$U$30,MATCH("对"&amp;LEFT($C$5,2)&amp;"输出",标准坦克设计!$B$23:$U$23,0)))*(VLOOKUP($B185,INDIRECT($B$5&amp;"生成成长"),3))*(VLOOKUP($B$5,标准坦克设计!$B$14:$K$20,9)/30))</f>
        <v>7.4291023275158299</v>
      </c>
      <c r="P185" s="173">
        <f ca="1">(VLOOKUP(P$72,INDIRECT($C$5&amp;"生成成长"),2))/((VLOOKUP($B185,INDIRECT($B$5&amp;"生成成长"),4))/(VLOOKUP(P$72,INDIRECT($C$5&amp;"生成成长"),5))*(VLOOKUP($B$5,标准坦克设计!$B$24:$U$30,MATCH("对"&amp;LEFT($C$5,2)&amp;"输出",标准坦克设计!$B$23:$U$23,0)))*(VLOOKUP($B185,INDIRECT($B$5&amp;"生成成长"),3))*(VLOOKUP($B$5,标准坦克设计!$B$14:$K$20,9)/30))</f>
        <v>8.3936613122854791</v>
      </c>
      <c r="Q185" s="173">
        <f ca="1">(VLOOKUP(Q$72,INDIRECT($C$5&amp;"生成成长"),2))/((VLOOKUP($B185,INDIRECT($B$5&amp;"生成成长"),4))/(VLOOKUP(Q$72,INDIRECT($C$5&amp;"生成成长"),5))*(VLOOKUP($B$5,标准坦克设计!$B$24:$U$30,MATCH("对"&amp;LEFT($C$5,2)&amp;"输出",标准坦克设计!$B$23:$U$23,0)))*(VLOOKUP($B185,INDIRECT($B$5&amp;"生成成长"),3))*(VLOOKUP($B$5,标准坦克设计!$B$14:$K$20,9)/30))</f>
        <v>9.4170747435834414</v>
      </c>
      <c r="R185" s="173">
        <f ca="1">(VLOOKUP(R$72,INDIRECT($C$5&amp;"生成成长"),2))/((VLOOKUP($B185,INDIRECT($B$5&amp;"生成成长"),4))/(VLOOKUP(R$72,INDIRECT($C$5&amp;"生成成长"),5))*(VLOOKUP($B$5,标准坦克设计!$B$24:$U$30,MATCH("对"&amp;LEFT($C$5,2)&amp;"输出",标准坦克设计!$B$23:$U$23,0)))*(VLOOKUP($B185,INDIRECT($B$5&amp;"生成成长"),3))*(VLOOKUP($B$5,标准坦克设计!$B$14:$K$20,9)/30))</f>
        <v>10.499342621409728</v>
      </c>
      <c r="S185" s="173">
        <f ca="1">(VLOOKUP(S$72,INDIRECT($C$5&amp;"生成成长"),2))/((VLOOKUP($B185,INDIRECT($B$5&amp;"生成成长"),4))/(VLOOKUP(S$72,INDIRECT($C$5&amp;"生成成长"),5))*(VLOOKUP($B$5,标准坦克设计!$B$24:$U$30,MATCH("对"&amp;LEFT($C$5,2)&amp;"输出",标准坦克设计!$B$23:$U$23,0)))*(VLOOKUP($B185,INDIRECT($B$5&amp;"生成成长"),3))*(VLOOKUP($B$5,标准坦克设计!$B$14:$K$20,9)/30))</f>
        <v>11.640464945764323</v>
      </c>
      <c r="T185" s="173">
        <f ca="1">(VLOOKUP(T$72,INDIRECT($C$5&amp;"生成成长"),2))/((VLOOKUP($B185,INDIRECT($B$5&amp;"生成成长"),4))/(VLOOKUP(T$72,INDIRECT($C$5&amp;"生成成长"),5))*(VLOOKUP($B$5,标准坦克设计!$B$24:$U$30,MATCH("对"&amp;LEFT($C$5,2)&amp;"输出",标准坦克设计!$B$23:$U$23,0)))*(VLOOKUP($B185,INDIRECT($B$5&amp;"生成成长"),3))*(VLOOKUP($B$5,标准坦克设计!$B$14:$K$20,9)/30))</f>
        <v>12.840441716647241</v>
      </c>
      <c r="U185" s="173">
        <f ca="1">(VLOOKUP(U$72,INDIRECT($C$5&amp;"生成成长"),2))/((VLOOKUP($B185,INDIRECT($B$5&amp;"生成成长"),4))/(VLOOKUP(U$72,INDIRECT($C$5&amp;"生成成长"),5))*(VLOOKUP($B$5,标准坦克设计!$B$24:$U$30,MATCH("对"&amp;LEFT($C$5,2)&amp;"输出",标准坦克设计!$B$23:$U$23,0)))*(VLOOKUP($B185,INDIRECT($B$5&amp;"生成成长"),3))*(VLOOKUP($B$5,标准坦克设计!$B$14:$K$20,9)/30))</f>
        <v>14.099272934058478</v>
      </c>
      <c r="V185" s="173">
        <f ca="1">(VLOOKUP(V$72,INDIRECT($C$5&amp;"生成成长"),2))/((VLOOKUP($B185,INDIRECT($B$5&amp;"生成成长"),4))/(VLOOKUP(V$72,INDIRECT($C$5&amp;"生成成长"),5))*(VLOOKUP($B$5,标准坦克设计!$B$24:$U$30,MATCH("对"&amp;LEFT($C$5,2)&amp;"输出",标准坦克设计!$B$23:$U$23,0)))*(VLOOKUP($B185,INDIRECT($B$5&amp;"生成成长"),3))*(VLOOKUP($B$5,标准坦克设计!$B$14:$K$20,9)/30))</f>
        <v>15.416958597998029</v>
      </c>
      <c r="W185" s="173">
        <f ca="1">(VLOOKUP(W$72,INDIRECT($C$5&amp;"生成成长"),2))/((VLOOKUP($B185,INDIRECT($B$5&amp;"生成成长"),4))/(VLOOKUP(W$72,INDIRECT($C$5&amp;"生成成长"),5))*(VLOOKUP($B$5,标准坦克设计!$B$24:$U$30,MATCH("对"&amp;LEFT($C$5,2)&amp;"输出",标准坦克设计!$B$23:$U$23,0)))*(VLOOKUP($B185,INDIRECT($B$5&amp;"生成成长"),3))*(VLOOKUP($B$5,标准坦克设计!$B$14:$K$20,9)/30))</f>
        <v>16.793498708465901</v>
      </c>
      <c r="X185" s="173">
        <f ca="1">(VLOOKUP(X$72,INDIRECT($C$5&amp;"生成成长"),2))/((VLOOKUP($B185,INDIRECT($B$5&amp;"生成成长"),4))/(VLOOKUP(X$72,INDIRECT($C$5&amp;"生成成长"),5))*(VLOOKUP($B$5,标准坦克设计!$B$24:$U$30,MATCH("对"&amp;LEFT($C$5,2)&amp;"输出",标准坦克设计!$B$23:$U$23,0)))*(VLOOKUP($B185,INDIRECT($B$5&amp;"生成成长"),3))*(VLOOKUP($B$5,标准坦克设计!$B$14:$K$20,9)/30))</f>
        <v>12.166521973992744</v>
      </c>
      <c r="Y185" s="173">
        <f ca="1">(VLOOKUP(Y$72,INDIRECT($C$5&amp;"生成成长"),2))/((VLOOKUP($B185,INDIRECT($B$5&amp;"生成成长"),4))/(VLOOKUP(Y$72,INDIRECT($C$5&amp;"生成成长"),5))*(VLOOKUP($B$5,标准坦克设计!$B$24:$U$30,MATCH("对"&amp;LEFT($C$5,2)&amp;"输出",标准坦克设计!$B$23:$U$23,0)))*(VLOOKUP($B185,INDIRECT($B$5&amp;"生成成长"),3))*(VLOOKUP($B$5,标准坦克设计!$B$14:$K$20,9)/30))</f>
        <v>13.532526411933938</v>
      </c>
      <c r="Z185" s="173">
        <f ca="1">(VLOOKUP(Z$72,INDIRECT($C$5&amp;"生成成长"),2))/((VLOOKUP($B185,INDIRECT($B$5&amp;"生成成长"),4))/(VLOOKUP(Z$72,INDIRECT($C$5&amp;"生成成长"),5))*(VLOOKUP($B$5,标准坦克设计!$B$24:$U$30,MATCH("对"&amp;LEFT($C$5,2)&amp;"输出",标准坦克设计!$B$23:$U$23,0)))*(VLOOKUP($B185,INDIRECT($B$5&amp;"生成成长"),3))*(VLOOKUP($B$5,标准坦克设计!$B$14:$K$20,9)/30))</f>
        <v>14.97119066040392</v>
      </c>
      <c r="AA185" s="173">
        <f ca="1">(VLOOKUP(AA$72,INDIRECT($C$5&amp;"生成成长"),2))/((VLOOKUP($B185,INDIRECT($B$5&amp;"生成成长"),4))/(VLOOKUP(AA$72,INDIRECT($C$5&amp;"生成成长"),5))*(VLOOKUP($B$5,标准坦克设计!$B$24:$U$30,MATCH("对"&amp;LEFT($C$5,2)&amp;"输出",标准坦克设计!$B$23:$U$23,0)))*(VLOOKUP($B185,INDIRECT($B$5&amp;"生成成长"),3))*(VLOOKUP($B$5,标准坦克设计!$B$14:$K$20,9)/30))</f>
        <v>16.48251471940269</v>
      </c>
      <c r="AB185" s="173">
        <f ca="1">(VLOOKUP(AB$72,INDIRECT($C$5&amp;"生成成长"),2))/((VLOOKUP($B185,INDIRECT($B$5&amp;"生成成长"),4))/(VLOOKUP(AB$72,INDIRECT($C$5&amp;"生成成长"),5))*(VLOOKUP($B$5,标准坦克设计!$B$24:$U$30,MATCH("对"&amp;LEFT($C$5,2)&amp;"输出",标准坦克设计!$B$23:$U$23,0)))*(VLOOKUP($B185,INDIRECT($B$5&amp;"生成成长"),3))*(VLOOKUP($B$5,标准坦克设计!$B$14:$K$20,9)/30))</f>
        <v>18.066498588930244</v>
      </c>
      <c r="AC185" s="173">
        <f ca="1">(VLOOKUP(AC$72,INDIRECT($C$5&amp;"生成成长"),2))/((VLOOKUP($B185,INDIRECT($B$5&amp;"生成成长"),4))/(VLOOKUP(AC$72,INDIRECT($C$5&amp;"生成成长"),5))*(VLOOKUP($B$5,标准坦克设计!$B$24:$U$30,MATCH("对"&amp;LEFT($C$5,2)&amp;"输出",标准坦克设计!$B$23:$U$23,0)))*(VLOOKUP($B185,INDIRECT($B$5&amp;"生成成长"),3))*(VLOOKUP($B$5,标准坦克设计!$B$14:$K$20,9)/30))</f>
        <v>19.723142268986592</v>
      </c>
      <c r="AD185" s="173">
        <f ca="1">(VLOOKUP(AD$72,INDIRECT($C$5&amp;"生成成长"),2))/((VLOOKUP($B185,INDIRECT($B$5&amp;"生成成长"),4))/(VLOOKUP(AD$72,INDIRECT($C$5&amp;"生成成长"),5))*(VLOOKUP($B$5,标准坦克设计!$B$24:$U$30,MATCH("对"&amp;LEFT($C$5,2)&amp;"输出",标准坦克设计!$B$23:$U$23,0)))*(VLOOKUP($B185,INDIRECT($B$5&amp;"生成成长"),3))*(VLOOKUP($B$5,标准坦克设计!$B$14:$K$20,9)/30))</f>
        <v>21.452445759571724</v>
      </c>
      <c r="AE185" s="173">
        <f ca="1">(VLOOKUP(AE$72,INDIRECT($C$5&amp;"生成成长"),2))/((VLOOKUP($B185,INDIRECT($B$5&amp;"生成成长"),4))/(VLOOKUP(AE$72,INDIRECT($C$5&amp;"生成成长"),5))*(VLOOKUP($B$5,标准坦克设计!$B$24:$U$30,MATCH("对"&amp;LEFT($C$5,2)&amp;"输出",标准坦克设计!$B$23:$U$23,0)))*(VLOOKUP($B185,INDIRECT($B$5&amp;"生成成长"),3))*(VLOOKUP($B$5,标准坦克设计!$B$14:$K$20,9)/30))</f>
        <v>23.254409060685646</v>
      </c>
      <c r="AF185" s="173">
        <f ca="1">(VLOOKUP(AF$72,INDIRECT($C$5&amp;"生成成长"),2))/((VLOOKUP($B185,INDIRECT($B$5&amp;"生成成长"),4))/(VLOOKUP(AF$72,INDIRECT($C$5&amp;"生成成长"),5))*(VLOOKUP($B$5,标准坦克设计!$B$24:$U$30,MATCH("对"&amp;LEFT($C$5,2)&amp;"输出",标准坦克设计!$B$23:$U$23,0)))*(VLOOKUP($B185,INDIRECT($B$5&amp;"生成成长"),3))*(VLOOKUP($B$5,标准坦克设计!$B$14:$K$20,9)/30))</f>
        <v>25.129032172328348</v>
      </c>
      <c r="AG185" s="173">
        <f ca="1">(VLOOKUP(AG$72,INDIRECT($C$5&amp;"生成成长"),2))/((VLOOKUP($B185,INDIRECT($B$5&amp;"生成成长"),4))/(VLOOKUP(AG$72,INDIRECT($C$5&amp;"生成成长"),5))*(VLOOKUP($B$5,标准坦克设计!$B$24:$U$30,MATCH("对"&amp;LEFT($C$5,2)&amp;"输出",标准坦克设计!$B$23:$U$23,0)))*(VLOOKUP($B185,INDIRECT($B$5&amp;"生成成长"),3))*(VLOOKUP($B$5,标准坦克设计!$B$14:$K$20,9)/30))</f>
        <v>27.076315094499837</v>
      </c>
      <c r="AH185" s="173">
        <f ca="1">(VLOOKUP(AH$72,INDIRECT($C$5&amp;"生成成长"),2))/((VLOOKUP($B185,INDIRECT($B$5&amp;"生成成长"),4))/(VLOOKUP(AH$72,INDIRECT($C$5&amp;"生成成长"),5))*(VLOOKUP($B$5,标准坦克设计!$B$24:$U$30,MATCH("对"&amp;LEFT($C$5,2)&amp;"输出",标准坦克设计!$B$23:$U$23,0)))*(VLOOKUP($B185,INDIRECT($B$5&amp;"生成成长"),3))*(VLOOKUP($B$5,标准坦克设计!$B$14:$K$20,9)/30))</f>
        <v>29.09625782720012</v>
      </c>
      <c r="AI185" s="173">
        <f ca="1">(VLOOKUP(AI$72,INDIRECT($C$5&amp;"生成成长"),2))/((VLOOKUP($B185,INDIRECT($B$5&amp;"生成成长"),4))/(VLOOKUP(AI$72,INDIRECT($C$5&amp;"生成成长"),5))*(VLOOKUP($B$5,标准坦克设计!$B$24:$U$30,MATCH("对"&amp;LEFT($C$5,2)&amp;"输出",标准坦克设计!$B$23:$U$23,0)))*(VLOOKUP($B185,INDIRECT($B$5&amp;"生成成长"),3))*(VLOOKUP($B$5,标准坦克设计!$B$14:$K$20,9)/30))</f>
        <v>20.578711537963059</v>
      </c>
      <c r="AJ185" s="173">
        <f ca="1">(VLOOKUP(AJ$72,INDIRECT($C$5&amp;"生成成长"),2))/((VLOOKUP($B185,INDIRECT($B$5&amp;"生成成长"),4))/(VLOOKUP(AJ$72,INDIRECT($C$5&amp;"生成成长"),5))*(VLOOKUP($B$5,标准坦克设计!$B$24:$U$30,MATCH("对"&amp;LEFT($C$5,2)&amp;"输出",标准坦克设计!$B$23:$U$23,0)))*(VLOOKUP($B185,INDIRECT($B$5&amp;"生成成长"),3))*(VLOOKUP($B$5,标准坦克设计!$B$14:$K$20,9)/30))</f>
        <v>22.524904562976619</v>
      </c>
      <c r="AK185" s="173">
        <f ca="1">(VLOOKUP(AK$72,INDIRECT($C$5&amp;"生成成长"),2))/((VLOOKUP($B185,INDIRECT($B$5&amp;"生成成长"),4))/(VLOOKUP(AK$72,INDIRECT($C$5&amp;"生成成长"),5))*(VLOOKUP($B$5,标准坦克设计!$B$24:$U$30,MATCH("对"&amp;LEFT($C$5,2)&amp;"输出",标准坦克设计!$B$23:$U$23,0)))*(VLOOKUP($B185,INDIRECT($B$5&amp;"生成成长"),3))*(VLOOKUP($B$5,标准坦克设计!$B$14:$K$20,9)/30))</f>
        <v>24.559015958730015</v>
      </c>
      <c r="AL185" s="173">
        <f ca="1">(VLOOKUP(AL$72,INDIRECT($C$5&amp;"生成成长"),2))/((VLOOKUP($B185,INDIRECT($B$5&amp;"生成成长"),4))/(VLOOKUP(AL$72,INDIRECT($C$5&amp;"生成成长"),5))*(VLOOKUP($B$5,标准坦克设计!$B$24:$U$30,MATCH("对"&amp;LEFT($C$5,2)&amp;"输出",标准坦克设计!$B$23:$U$23,0)))*(VLOOKUP($B185,INDIRECT($B$5&amp;"生成成长"),3))*(VLOOKUP($B$5,标准坦克设计!$B$14:$K$20,9)/30))</f>
        <v>26.681045725223239</v>
      </c>
      <c r="AM185" s="173">
        <f ca="1">(VLOOKUP(AM$72,INDIRECT($C$5&amp;"生成成长"),2))/((VLOOKUP($B185,INDIRECT($B$5&amp;"生成成长"),4))/(VLOOKUP(AM$72,INDIRECT($C$5&amp;"生成成长"),5))*(VLOOKUP($B$5,标准坦克设计!$B$24:$U$30,MATCH("对"&amp;LEFT($C$5,2)&amp;"输出",标准坦克设计!$B$23:$U$23,0)))*(VLOOKUP($B185,INDIRECT($B$5&amp;"生成成长"),3))*(VLOOKUP($B$5,标准坦克设计!$B$14:$K$20,9)/30))</f>
        <v>28.890993862456295</v>
      </c>
      <c r="AN185" s="173">
        <f ca="1">(VLOOKUP(AN$72,INDIRECT($C$5&amp;"生成成长"),2))/((VLOOKUP($B185,INDIRECT($B$5&amp;"生成成长"),4))/(VLOOKUP(AN$72,INDIRECT($C$5&amp;"生成成长"),5))*(VLOOKUP($B$5,标准坦克设计!$B$24:$U$30,MATCH("对"&amp;LEFT($C$5,2)&amp;"输出",标准坦克设计!$B$23:$U$23,0)))*(VLOOKUP($B185,INDIRECT($B$5&amp;"生成成长"),3))*(VLOOKUP($B$5,标准坦克设计!$B$14:$K$20,9)/30))</f>
        <v>31.188860370429179</v>
      </c>
      <c r="AO185" s="173">
        <f ca="1">(VLOOKUP(AO$72,INDIRECT($C$5&amp;"生成成长"),2))/((VLOOKUP($B185,INDIRECT($B$5&amp;"生成成长"),4))/(VLOOKUP(AO$72,INDIRECT($C$5&amp;"生成成长"),5))*(VLOOKUP($B$5,标准坦克设计!$B$24:$U$30,MATCH("对"&amp;LEFT($C$5,2)&amp;"输出",标准坦克设计!$B$23:$U$23,0)))*(VLOOKUP($B185,INDIRECT($B$5&amp;"生成成长"),3))*(VLOOKUP($B$5,标准坦克设计!$B$14:$K$20,9)/30))</f>
        <v>33.574645249141916</v>
      </c>
      <c r="AP185" s="173">
        <f ca="1">(VLOOKUP(AP$72,INDIRECT($C$5&amp;"生成成长"),2))/((VLOOKUP($B185,INDIRECT($B$5&amp;"生成成长"),4))/(VLOOKUP(AP$72,INDIRECT($C$5&amp;"生成成长"),5))*(VLOOKUP($B$5,标准坦克设计!$B$24:$U$30,MATCH("对"&amp;LEFT($C$5,2)&amp;"输出",标准坦克设计!$B$23:$U$23,0)))*(VLOOKUP($B185,INDIRECT($B$5&amp;"生成成长"),3))*(VLOOKUP($B$5,标准坦克设计!$B$14:$K$20,9)/30))</f>
        <v>36.048348498594464</v>
      </c>
      <c r="AQ185" s="173">
        <f ca="1">(VLOOKUP(AQ$72,INDIRECT($C$5&amp;"生成成长"),2))/((VLOOKUP($B185,INDIRECT($B$5&amp;"生成成长"),4))/(VLOOKUP(AQ$72,INDIRECT($C$5&amp;"生成成长"),5))*(VLOOKUP($B$5,标准坦克设计!$B$24:$U$30,MATCH("对"&amp;LEFT($C$5,2)&amp;"输出",标准坦克设计!$B$23:$U$23,0)))*(VLOOKUP($B185,INDIRECT($B$5&amp;"生成成长"),3))*(VLOOKUP($B$5,标准坦克设计!$B$14:$K$20,9)/30))</f>
        <v>38.609970118786855</v>
      </c>
      <c r="AR185" s="173">
        <f ca="1">(VLOOKUP(AR$72,INDIRECT($C$5&amp;"生成成长"),2))/((VLOOKUP($B185,INDIRECT($B$5&amp;"生成成长"),4))/(VLOOKUP(AR$72,INDIRECT($C$5&amp;"生成成长"),5))*(VLOOKUP($B$5,标准坦克设计!$B$24:$U$30,MATCH("对"&amp;LEFT($C$5,2)&amp;"输出",标准坦克设计!$B$23:$U$23,0)))*(VLOOKUP($B185,INDIRECT($B$5&amp;"生成成长"),3))*(VLOOKUP($B$5,标准坦克设计!$B$14:$K$20,9)/30))</f>
        <v>41.259510109719066</v>
      </c>
      <c r="AS185" s="173">
        <f ca="1">(VLOOKUP(AS$72,INDIRECT($C$5&amp;"生成成长"),2))/((VLOOKUP($B185,INDIRECT($B$5&amp;"生成成长"),4))/(VLOOKUP(AS$72,INDIRECT($C$5&amp;"生成成长"),5))*(VLOOKUP($B$5,标准坦克设计!$B$24:$U$30,MATCH("对"&amp;LEFT($C$5,2)&amp;"输出",标准坦克设计!$B$23:$U$23,0)))*(VLOOKUP($B185,INDIRECT($B$5&amp;"生成成长"),3))*(VLOOKUP($B$5,标准坦克设计!$B$14:$K$20,9)/30))</f>
        <v>43.996968471391106</v>
      </c>
      <c r="AT185" s="173">
        <f ca="1">(VLOOKUP(AT$72,INDIRECT($C$5&amp;"生成成长"),2))/((VLOOKUP($B185,INDIRECT($B$5&amp;"生成成长"),4))/(VLOOKUP(AT$72,INDIRECT($C$5&amp;"生成成长"),5))*(VLOOKUP($B$5,标准坦克设计!$B$24:$U$30,MATCH("对"&amp;LEFT($C$5,2)&amp;"输出",标准坦克设计!$B$23:$U$23,0)))*(VLOOKUP($B185,INDIRECT($B$5&amp;"生成成长"),3))*(VLOOKUP($B$5,标准坦克设计!$B$14:$K$20,9)/30))</f>
        <v>46.822345203802996</v>
      </c>
      <c r="AU185" s="173">
        <f ca="1">(VLOOKUP(AU$72,INDIRECT($C$5&amp;"生成成长"),2))/((VLOOKUP($B185,INDIRECT($B$5&amp;"生成成长"),4))/(VLOOKUP(AU$72,INDIRECT($C$5&amp;"生成成长"),5))*(VLOOKUP($B$5,标准坦克设计!$B$24:$U$30,MATCH("对"&amp;LEFT($C$5,2)&amp;"输出",标准坦克设计!$B$23:$U$23,0)))*(VLOOKUP($B185,INDIRECT($B$5&amp;"生成成长"),3))*(VLOOKUP($B$5,标准坦克设计!$B$14:$K$20,9)/30))</f>
        <v>49.735640306954721</v>
      </c>
      <c r="AV185" s="173">
        <f ca="1">(VLOOKUP(AV$72,INDIRECT($C$5&amp;"生成成长"),2))/((VLOOKUP($B185,INDIRECT($B$5&amp;"生成成长"),4))/(VLOOKUP(AV$72,INDIRECT($C$5&amp;"生成成长"),5))*(VLOOKUP($B$5,标准坦克设计!$B$24:$U$30,MATCH("对"&amp;LEFT($C$5,2)&amp;"输出",标准坦克设计!$B$23:$U$23,0)))*(VLOOKUP($B185,INDIRECT($B$5&amp;"生成成长"),3))*(VLOOKUP($B$5,标准坦克设计!$B$14:$K$20,9)/30))</f>
        <v>5.0585760090141525</v>
      </c>
      <c r="AW185" s="173">
        <f ca="1">(VLOOKUP(AW$72,INDIRECT($C$5&amp;"生成成长"),2))/((VLOOKUP($B185,INDIRECT($B$5&amp;"生成成长"),4))/(VLOOKUP(AW$72,INDIRECT($C$5&amp;"生成成长"),5))*(VLOOKUP($B$5,标准坦克设计!$B$24:$U$30,MATCH("对"&amp;LEFT($C$5,2)&amp;"输出",标准坦克设计!$B$23:$U$23,0)))*(VLOOKUP($B185,INDIRECT($B$5&amp;"生成成长"),3))*(VLOOKUP($B$5,标准坦克设计!$B$14:$K$20,9)/30))</f>
        <v>5.767735759775114</v>
      </c>
      <c r="AX185" s="173">
        <f ca="1">(VLOOKUP(AX$72,INDIRECT($C$5&amp;"生成成长"),2))/((VLOOKUP($B185,INDIRECT($B$5&amp;"生成成长"),4))/(VLOOKUP(AX$72,INDIRECT($C$5&amp;"生成成长"),5))*(VLOOKUP($B$5,标准坦克设计!$B$24:$U$30,MATCH("对"&amp;LEFT($C$5,2)&amp;"输出",标准坦克设计!$B$23:$U$23,0)))*(VLOOKUP($B185,INDIRECT($B$5&amp;"生成成长"),3))*(VLOOKUP($B$5,标准坦克设计!$B$14:$K$20,9)/30))</f>
        <v>6.5233977892744992</v>
      </c>
      <c r="AY185" s="173">
        <f ca="1">(VLOOKUP(AY$72,INDIRECT($C$5&amp;"生成成长"),2))/((VLOOKUP($B185,INDIRECT($B$5&amp;"生成成长"),4))/(VLOOKUP(AY$72,INDIRECT($C$5&amp;"生成成长"),5))*(VLOOKUP($B$5,标准坦克设计!$B$24:$U$30,MATCH("对"&amp;LEFT($C$5,2)&amp;"输出",标准坦克设计!$B$23:$U$23,0)))*(VLOOKUP($B185,INDIRECT($B$5&amp;"生成成长"),3))*(VLOOKUP($B$5,标准坦克设计!$B$14:$K$20,9)/30))</f>
        <v>7.3255620975123072</v>
      </c>
      <c r="AZ185" s="173">
        <f ca="1">(VLOOKUP(AZ$72,INDIRECT($C$5&amp;"生成成长"),2))/((VLOOKUP($B185,INDIRECT($B$5&amp;"生成成长"),4))/(VLOOKUP(AZ$72,INDIRECT($C$5&amp;"生成成长"),5))*(VLOOKUP($B$5,标准坦克设计!$B$24:$U$30,MATCH("对"&amp;LEFT($C$5,2)&amp;"输出",标准坦克设计!$B$23:$U$23,0)))*(VLOOKUP($B185,INDIRECT($B$5&amp;"生成成长"),3))*(VLOOKUP($B$5,标准坦克设计!$B$14:$K$20,9)/30))</f>
        <v>8.1742286844885417</v>
      </c>
      <c r="BA185" s="173">
        <f ca="1">(VLOOKUP(BA$72,INDIRECT($C$5&amp;"生成成长"),2))/((VLOOKUP($B185,INDIRECT($B$5&amp;"生成成长"),4))/(VLOOKUP(BA$72,INDIRECT($C$5&amp;"生成成长"),5))*(VLOOKUP($B$5,标准坦克设计!$B$24:$U$30,MATCH("对"&amp;LEFT($C$5,2)&amp;"输出",标准坦克设计!$B$23:$U$23,0)))*(VLOOKUP($B185,INDIRECT($B$5&amp;"生成成长"),3))*(VLOOKUP($B$5,标准坦克设计!$B$14:$K$20,9)/30))</f>
        <v>9.0693975502031954</v>
      </c>
      <c r="BB185" s="173">
        <f ca="1">(VLOOKUP(BB$72,INDIRECT($C$5&amp;"生成成长"),2))/((VLOOKUP($B185,INDIRECT($B$5&amp;"生成成长"),4))/(VLOOKUP(BB$72,INDIRECT($C$5&amp;"生成成长"),5))*(VLOOKUP($B$5,标准坦克设计!$B$24:$U$30,MATCH("对"&amp;LEFT($C$5,2)&amp;"输出",标准坦克设计!$B$23:$U$23,0)))*(VLOOKUP($B185,INDIRECT($B$5&amp;"生成成长"),3))*(VLOOKUP($B$5,标准坦克设计!$B$14:$K$20,9)/30))</f>
        <v>10.011068694656275</v>
      </c>
      <c r="BC185" s="173">
        <f ca="1">(VLOOKUP(BC$72,INDIRECT($C$5&amp;"生成成长"),2))/((VLOOKUP($B185,INDIRECT($B$5&amp;"生成成长"),4))/(VLOOKUP(BC$72,INDIRECT($C$5&amp;"生成成长"),5))*(VLOOKUP($B$5,标准坦克设计!$B$24:$U$30,MATCH("对"&amp;LEFT($C$5,2)&amp;"输出",标准坦克设计!$B$23:$U$23,0)))*(VLOOKUP($B185,INDIRECT($B$5&amp;"生成成长"),3))*(VLOOKUP($B$5,标准坦克设计!$B$14:$K$20,9)/30))</f>
        <v>10.999242117847777</v>
      </c>
      <c r="BD185" s="173">
        <f ca="1">(VLOOKUP(BD$72,INDIRECT($C$5&amp;"生成成长"),2))/((VLOOKUP($B185,INDIRECT($B$5&amp;"生成成长"),4))/(VLOOKUP(BD$72,INDIRECT($C$5&amp;"生成成长"),5))*(VLOOKUP($B$5,标准坦克设计!$B$24:$U$30,MATCH("对"&amp;LEFT($C$5,2)&amp;"输出",标准坦克设计!$B$23:$U$23,0)))*(VLOOKUP($B185,INDIRECT($B$5&amp;"生成成长"),3))*(VLOOKUP($B$5,标准坦克设计!$B$14:$K$20,9)/30))</f>
        <v>12.166521973992744</v>
      </c>
      <c r="BE185" s="173">
        <f ca="1">(VLOOKUP(BE$72,INDIRECT($C$5&amp;"生成成长"),2))/((VLOOKUP($B185,INDIRECT($B$5&amp;"生成成长"),4))/(VLOOKUP(BE$72,INDIRECT($C$5&amp;"生成成长"),5))*(VLOOKUP($B$5,标准坦克设计!$B$24:$U$30,MATCH("对"&amp;LEFT($C$5,2)&amp;"输出",标准坦克设计!$B$23:$U$23,0)))*(VLOOKUP($B185,INDIRECT($B$5&amp;"生成成长"),3))*(VLOOKUP($B$5,标准坦克设计!$B$14:$K$20,9)/30))</f>
        <v>13.392656276666022</v>
      </c>
      <c r="BF185" s="173">
        <f ca="1">(VLOOKUP(BF$72,INDIRECT($C$5&amp;"生成成长"),2))/((VLOOKUP($B185,INDIRECT($B$5&amp;"生成成长"),4))/(VLOOKUP(BF$72,INDIRECT($C$5&amp;"生成成长"),5))*(VLOOKUP($B$5,标准坦克设计!$B$24:$U$30,MATCH("对"&amp;LEFT($C$5,2)&amp;"输出",标准坦克设计!$B$23:$U$23,0)))*(VLOOKUP($B185,INDIRECT($B$5&amp;"生成成长"),3))*(VLOOKUP($B$5,标准坦克设计!$B$14:$K$20,9)/30))</f>
        <v>14.677645025867621</v>
      </c>
      <c r="BG185" s="173">
        <f ca="1">(VLOOKUP(BG$72,INDIRECT($C$5&amp;"生成成长"),2))/((VLOOKUP($B185,INDIRECT($B$5&amp;"生成成长"),4))/(VLOOKUP(BG$72,INDIRECT($C$5&amp;"生成成长"),5))*(VLOOKUP($B$5,标准坦克设计!$B$24:$U$30,MATCH("对"&amp;LEFT($C$5,2)&amp;"输出",标准坦克设计!$B$23:$U$23,0)))*(VLOOKUP($B185,INDIRECT($B$5&amp;"生成成长"),3))*(VLOOKUP($B$5,标准坦克设计!$B$14:$K$20,9)/30))</f>
        <v>16.02148822159754</v>
      </c>
      <c r="BH185" s="173">
        <f ca="1">(VLOOKUP(BH$72,INDIRECT($C$5&amp;"生成成长"),2))/((VLOOKUP($B185,INDIRECT($B$5&amp;"生成成长"),4))/(VLOOKUP(BH$72,INDIRECT($C$5&amp;"生成成长"),5))*(VLOOKUP($B$5,标准坦克设计!$B$24:$U$30,MATCH("对"&amp;LEFT($C$5,2)&amp;"输出",标准坦克设计!$B$23:$U$23,0)))*(VLOOKUP($B185,INDIRECT($B$5&amp;"生成成长"),3))*(VLOOKUP($B$5,标准坦克设计!$B$14:$K$20,9)/30))</f>
        <v>7.7440826061581207</v>
      </c>
      <c r="BI185" s="173">
        <f ca="1">(VLOOKUP(BI$72,INDIRECT($C$5&amp;"生成成长"),2))/((VLOOKUP($B185,INDIRECT($B$5&amp;"生成成长"),4))/(VLOOKUP(BI$72,INDIRECT($C$5&amp;"生成成长"),5))*(VLOOKUP($B$5,标准坦克设计!$B$24:$U$30,MATCH("对"&amp;LEFT($C$5,2)&amp;"输出",标准坦克设计!$B$23:$U$23,0)))*(VLOOKUP($B185,INDIRECT($B$5&amp;"生成成长"),3))*(VLOOKUP($B$5,标准坦克设计!$B$14:$K$20,9)/30))</f>
        <v>8.7282597397705413</v>
      </c>
      <c r="BJ185" s="173">
        <f ca="1">(VLOOKUP(BJ$72,INDIRECT($C$5&amp;"生成成长"),2))/((VLOOKUP($B185,INDIRECT($B$5&amp;"生成成长"),4))/(VLOOKUP(BJ$72,INDIRECT($C$5&amp;"生成成长"),5))*(VLOOKUP($B$5,标准坦克设计!$B$24:$U$30,MATCH("对"&amp;LEFT($C$5,2)&amp;"输出",标准坦克设计!$B$23:$U$23,0)))*(VLOOKUP($B185,INDIRECT($B$5&amp;"生成成长"),3))*(VLOOKUP($B$5,标准坦克设计!$B$14:$K$20,9)/30))</f>
        <v>9.7712913199112776</v>
      </c>
      <c r="BK185" s="173">
        <f ca="1">(VLOOKUP(BK$72,INDIRECT($C$5&amp;"生成成长"),2))/((VLOOKUP($B185,INDIRECT($B$5&amp;"生成成长"),4))/(VLOOKUP(BK$72,INDIRECT($C$5&amp;"生成成长"),5))*(VLOOKUP($B$5,标准坦克设计!$B$24:$U$30,MATCH("对"&amp;LEFT($C$5,2)&amp;"输出",标准坦克设计!$B$23:$U$23,0)))*(VLOOKUP($B185,INDIRECT($B$5&amp;"生成成长"),3))*(VLOOKUP($B$5,标准坦克设计!$B$14:$K$20,9)/30))</f>
        <v>10.873177346580334</v>
      </c>
      <c r="BL185" s="173">
        <f ca="1">(VLOOKUP(BL$72,INDIRECT($C$5&amp;"生成成长"),2))/((VLOOKUP($B185,INDIRECT($B$5&amp;"生成成长"),4))/(VLOOKUP(BL$72,INDIRECT($C$5&amp;"生成成长"),5))*(VLOOKUP($B$5,标准坦克设计!$B$24:$U$30,MATCH("对"&amp;LEFT($C$5,2)&amp;"输出",标准坦克设计!$B$23:$U$23,0)))*(VLOOKUP($B185,INDIRECT($B$5&amp;"生成成长"),3))*(VLOOKUP($B$5,标准坦克设计!$B$14:$K$20,9)/30))</f>
        <v>12.033917819777706</v>
      </c>
      <c r="BM185" s="173">
        <f ca="1">(VLOOKUP(BM$72,INDIRECT($C$5&amp;"生成成长"),2))/((VLOOKUP($B185,INDIRECT($B$5&amp;"生成成长"),4))/(VLOOKUP(BM$72,INDIRECT($C$5&amp;"生成成长"),5))*(VLOOKUP($B$5,标准坦克设计!$B$24:$U$30,MATCH("对"&amp;LEFT($C$5,2)&amp;"输出",标准坦克设计!$B$23:$U$23,0)))*(VLOOKUP($B185,INDIRECT($B$5&amp;"生成成长"),3))*(VLOOKUP($B$5,标准坦克设计!$B$14:$K$20,9)/30))</f>
        <v>13.253512739503396</v>
      </c>
      <c r="BN185" s="173">
        <f ca="1">(VLOOKUP(BN$72,INDIRECT($C$5&amp;"生成成长"),2))/((VLOOKUP($B185,INDIRECT($B$5&amp;"生成成长"),4))/(VLOOKUP(BN$72,INDIRECT($C$5&amp;"生成成长"),5))*(VLOOKUP($B$5,标准坦克设计!$B$24:$U$30,MATCH("对"&amp;LEFT($C$5,2)&amp;"输出",标准坦克设计!$B$23:$U$23,0)))*(VLOOKUP($B185,INDIRECT($B$5&amp;"生成成长"),3))*(VLOOKUP($B$5,标准坦克设计!$B$14:$K$20,9)/30))</f>
        <v>14.531962105757401</v>
      </c>
      <c r="BO185" s="173">
        <f ca="1">(VLOOKUP(BO$72,INDIRECT($C$5&amp;"生成成长"),2))/((VLOOKUP($B185,INDIRECT($B$5&amp;"生成成长"),4))/(VLOOKUP(BO$72,INDIRECT($C$5&amp;"生成成长"),5))*(VLOOKUP($B$5,标准坦克设计!$B$24:$U$30,MATCH("对"&amp;LEFT($C$5,2)&amp;"输出",标准坦克设计!$B$23:$U$23,0)))*(VLOOKUP($B185,INDIRECT($B$5&amp;"生成成长"),3))*(VLOOKUP($B$5,标准坦克设计!$B$14:$K$20,9)/30))</f>
        <v>15.869265918539732</v>
      </c>
      <c r="BP185" s="173">
        <f ca="1">(VLOOKUP(BP$72,INDIRECT($C$5&amp;"生成成长"),2))/((VLOOKUP($B185,INDIRECT($B$5&amp;"生成成长"),4))/(VLOOKUP(BP$72,INDIRECT($C$5&amp;"生成成长"),5))*(VLOOKUP($B$5,标准坦克设计!$B$24:$U$30,MATCH("对"&amp;LEFT($C$5,2)&amp;"输出",标准坦克设计!$B$23:$U$23,0)))*(VLOOKUP($B185,INDIRECT($B$5&amp;"生成成长"),3))*(VLOOKUP($B$5,标准坦克设计!$B$14:$K$20,9)/30))</f>
        <v>17.265424177850374</v>
      </c>
      <c r="BQ185" s="173">
        <f ca="1">(VLOOKUP(BQ$72,INDIRECT($C$5&amp;"生成成长"),2))/((VLOOKUP($B185,INDIRECT($B$5&amp;"生成成长"),4))/(VLOOKUP(BQ$72,INDIRECT($C$5&amp;"生成成长"),5))*(VLOOKUP($B$5,标准坦克设计!$B$24:$U$30,MATCH("对"&amp;LEFT($C$5,2)&amp;"输出",标准坦克设计!$B$23:$U$23,0)))*(VLOOKUP($B185,INDIRECT($B$5&amp;"生成成长"),3))*(VLOOKUP($B$5,标准坦克设计!$B$14:$K$20,9)/30))</f>
        <v>18.720436883689334</v>
      </c>
      <c r="BR185" s="173">
        <f ca="1">(VLOOKUP(BR$72,INDIRECT($C$5&amp;"生成成长"),2))/((VLOOKUP($B185,INDIRECT($B$5&amp;"生成成长"),4))/(VLOOKUP(BR$72,INDIRECT($C$5&amp;"生成成长"),5))*(VLOOKUP($B$5,标准坦克设计!$B$24:$U$30,MATCH("对"&amp;LEFT($C$5,2)&amp;"输出",标准坦克设计!$B$23:$U$23,0)))*(VLOOKUP($B185,INDIRECT($B$5&amp;"生成成长"),3))*(VLOOKUP($B$5,标准坦克设计!$B$14:$K$20,9)/30))</f>
        <v>20.406144487957189</v>
      </c>
      <c r="BS185" s="173">
        <f ca="1">(VLOOKUP(BS$72,INDIRECT($C$5&amp;"生成成长"),2))/((VLOOKUP($B185,INDIRECT($B$5&amp;"生成成长"),4))/(VLOOKUP(BS$72,INDIRECT($C$5&amp;"生成成长"),5))*(VLOOKUP($B$5,标准坦克设计!$B$24:$U$30,MATCH("对"&amp;LEFT($C$5,2)&amp;"输出",标准坦克设计!$B$23:$U$23,0)))*(VLOOKUP($B185,INDIRECT($B$5&amp;"生成成长"),3))*(VLOOKUP($B$5,标准坦克设计!$B$14:$K$20,9)/30))</f>
        <v>22.164511902753837</v>
      </c>
      <c r="BT185" s="173">
        <f ca="1">(VLOOKUP(BT$72,INDIRECT($C$5&amp;"生成成长"),2))/((VLOOKUP($B185,INDIRECT($B$5&amp;"生成成长"),4))/(VLOOKUP(BT$72,INDIRECT($C$5&amp;"生成成长"),5))*(VLOOKUP($B$5,标准坦克设计!$B$24:$U$30,MATCH("对"&amp;LEFT($C$5,2)&amp;"输出",标准坦克设计!$B$23:$U$23,0)))*(VLOOKUP($B185,INDIRECT($B$5&amp;"生成成长"),3))*(VLOOKUP($B$5,标准坦克设计!$B$14:$K$20,9)/30))</f>
        <v>23.995539128079272</v>
      </c>
      <c r="BU185" s="173">
        <f ca="1">(VLOOKUP(BU$72,INDIRECT($C$5&amp;"生成成长"),2))/((VLOOKUP($B185,INDIRECT($B$5&amp;"生成成长"),4))/(VLOOKUP(BU$72,INDIRECT($C$5&amp;"生成成长"),5))*(VLOOKUP($B$5,标准坦克设计!$B$24:$U$30,MATCH("对"&amp;LEFT($C$5,2)&amp;"输出",标准坦克设计!$B$23:$U$23,0)))*(VLOOKUP($B185,INDIRECT($B$5&amp;"生成成长"),3))*(VLOOKUP($B$5,标准坦克设计!$B$14:$K$20,9)/30))</f>
        <v>25.899226163933488</v>
      </c>
      <c r="BV185" s="173">
        <f ca="1">(VLOOKUP(BV$72,INDIRECT($C$5&amp;"生成成长"),2))/((VLOOKUP($B185,INDIRECT($B$5&amp;"生成成长"),4))/(VLOOKUP(BV$72,INDIRECT($C$5&amp;"生成成长"),5))*(VLOOKUP($B$5,标准坦克设计!$B$24:$U$30,MATCH("对"&amp;LEFT($C$5,2)&amp;"输出",标准坦克设计!$B$23:$U$23,0)))*(VLOOKUP($B185,INDIRECT($B$5&amp;"生成成长"),3))*(VLOOKUP($B$5,标准坦克设计!$B$14:$K$20,9)/30))</f>
        <v>27.875573010316494</v>
      </c>
      <c r="BW185" s="173">
        <f ca="1">(VLOOKUP(BW$72,INDIRECT($C$5&amp;"生成成长"),2))/((VLOOKUP($B185,INDIRECT($B$5&amp;"生成成长"),4))/(VLOOKUP(BW$72,INDIRECT($C$5&amp;"生成成长"),5))*(VLOOKUP($B$5,标准坦克设计!$B$24:$U$30,MATCH("对"&amp;LEFT($C$5,2)&amp;"输出",标准坦克设计!$B$23:$U$23,0)))*(VLOOKUP($B185,INDIRECT($B$5&amp;"生成成长"),3))*(VLOOKUP($B$5,标准坦克设计!$B$14:$K$20,9)/30))</f>
        <v>12.704204571905766</v>
      </c>
      <c r="BX185" s="173">
        <f ca="1">(VLOOKUP(BX$72,INDIRECT($C$5&amp;"生成成长"),2))/((VLOOKUP($B185,INDIRECT($B$5&amp;"生成成长"),4))/(VLOOKUP(BX$72,INDIRECT($C$5&amp;"生成成长"),5))*(VLOOKUP($B$5,标准坦克设计!$B$24:$U$30,MATCH("对"&amp;LEFT($C$5,2)&amp;"输出",标准坦克设计!$B$23:$U$23,0)))*(VLOOKUP($B185,INDIRECT($B$5&amp;"生成成长"),3))*(VLOOKUP($B$5,标准坦克设计!$B$14:$K$20,9)/30))</f>
        <v>14.099272934058478</v>
      </c>
      <c r="BY185" s="173">
        <f ca="1">(VLOOKUP(BY$72,INDIRECT($C$5&amp;"生成成长"),2))/((VLOOKUP($B185,INDIRECT($B$5&amp;"生成成长"),4))/(VLOOKUP(BY$72,INDIRECT($C$5&amp;"生成成长"),5))*(VLOOKUP($B$5,标准坦克设计!$B$24:$U$30,MATCH("对"&amp;LEFT($C$5,2)&amp;"输出",标准坦克设计!$B$23:$U$23,0)))*(VLOOKUP($B185,INDIRECT($B$5&amp;"生成成长"),3))*(VLOOKUP($B$5,标准坦克设计!$B$14:$K$20,9)/30))</f>
        <v>15.567001106739976</v>
      </c>
      <c r="BZ185" s="173">
        <f ca="1">(VLOOKUP(BZ$72,INDIRECT($C$5&amp;"生成成长"),2))/((VLOOKUP($B185,INDIRECT($B$5&amp;"生成成长"),4))/(VLOOKUP(BZ$72,INDIRECT($C$5&amp;"生成成长"),5))*(VLOOKUP($B$5,标准坦克设计!$B$24:$U$30,MATCH("对"&amp;LEFT($C$5,2)&amp;"输出",标准坦克设计!$B$23:$U$23,0)))*(VLOOKUP($B185,INDIRECT($B$5&amp;"生成成长"),3))*(VLOOKUP($B$5,标准坦克设计!$B$14:$K$20,9)/30))</f>
        <v>17.10738908995026</v>
      </c>
      <c r="CA185" s="173">
        <f ca="1">(VLOOKUP(CA$72,INDIRECT($C$5&amp;"生成成长"),2))/((VLOOKUP($B185,INDIRECT($B$5&amp;"生成成长"),4))/(VLOOKUP(CA$72,INDIRECT($C$5&amp;"生成成长"),5))*(VLOOKUP($B$5,标准坦克设计!$B$24:$U$30,MATCH("对"&amp;LEFT($C$5,2)&amp;"输出",标准坦克设计!$B$23:$U$23,0)))*(VLOOKUP($B185,INDIRECT($B$5&amp;"生成成长"),3))*(VLOOKUP($B$5,标准坦克设计!$B$14:$K$20,9)/30))</f>
        <v>18.720436883689334</v>
      </c>
      <c r="CB185" s="173">
        <f ca="1">(VLOOKUP(CB$72,INDIRECT($C$5&amp;"生成成长"),2))/((VLOOKUP($B185,INDIRECT($B$5&amp;"生成成长"),4))/(VLOOKUP(CB$72,INDIRECT($C$5&amp;"生成成长"),5))*(VLOOKUP($B$5,标准坦克设计!$B$24:$U$30,MATCH("对"&amp;LEFT($C$5,2)&amp;"输出",标准坦克设计!$B$23:$U$23,0)))*(VLOOKUP($B185,INDIRECT($B$5&amp;"生成成长"),3))*(VLOOKUP($B$5,标准坦克设计!$B$14:$K$20,9)/30))</f>
        <v>20.406144487957189</v>
      </c>
      <c r="CC185" s="173">
        <f ca="1">(VLOOKUP(CC$72,INDIRECT($C$5&amp;"生成成长"),2))/((VLOOKUP($B185,INDIRECT($B$5&amp;"生成成长"),4))/(VLOOKUP(CC$72,INDIRECT($C$5&amp;"生成成长"),5))*(VLOOKUP($B$5,标准坦克设计!$B$24:$U$30,MATCH("对"&amp;LEFT($C$5,2)&amp;"输出",标准坦克设计!$B$23:$U$23,0)))*(VLOOKUP($B185,INDIRECT($B$5&amp;"生成成长"),3))*(VLOOKUP($B$5,标准坦克设计!$B$14:$K$20,9)/30))</f>
        <v>22.164511902753837</v>
      </c>
      <c r="CD185" s="173">
        <f ca="1">(VLOOKUP(CD$72,INDIRECT($C$5&amp;"生成成长"),2))/((VLOOKUP($B185,INDIRECT($B$5&amp;"生成成长"),4))/(VLOOKUP(CD$72,INDIRECT($C$5&amp;"生成成长"),5))*(VLOOKUP($B$5,标准坦克设计!$B$24:$U$30,MATCH("对"&amp;LEFT($C$5,2)&amp;"输出",标准坦克设计!$B$23:$U$23,0)))*(VLOOKUP($B185,INDIRECT($B$5&amp;"生成成长"),3))*(VLOOKUP($B$5,标准坦克设计!$B$14:$K$20,9)/30))</f>
        <v>23.995539128079272</v>
      </c>
      <c r="CE185" s="173">
        <f ca="1">(VLOOKUP(CE$72,INDIRECT($C$5&amp;"生成成长"),2))/((VLOOKUP($B185,INDIRECT($B$5&amp;"生成成长"),4))/(VLOOKUP(CE$72,INDIRECT($C$5&amp;"生成成长"),5))*(VLOOKUP($B$5,标准坦克设计!$B$24:$U$30,MATCH("对"&amp;LEFT($C$5,2)&amp;"输出",标准坦克设计!$B$23:$U$23,0)))*(VLOOKUP($B185,INDIRECT($B$5&amp;"生成成长"),3))*(VLOOKUP($B$5,标准坦克设计!$B$14:$K$20,9)/30))</f>
        <v>25.899226163933488</v>
      </c>
      <c r="CF185" s="173">
        <f ca="1">(VLOOKUP(CF$72,INDIRECT($C$5&amp;"生成成长"),2))/((VLOOKUP($B185,INDIRECT($B$5&amp;"生成成长"),4))/(VLOOKUP(CF$72,INDIRECT($C$5&amp;"生成成长"),5))*(VLOOKUP($B$5,标准坦克设计!$B$24:$U$30,MATCH("对"&amp;LEFT($C$5,2)&amp;"输出",标准坦克设计!$B$23:$U$23,0)))*(VLOOKUP($B185,INDIRECT($B$5&amp;"生成成长"),3))*(VLOOKUP($B$5,标准坦克设计!$B$14:$K$20,9)/30))</f>
        <v>27.875573010316494</v>
      </c>
      <c r="CG185" s="173">
        <f ca="1">(VLOOKUP(CG$72,INDIRECT($C$5&amp;"生成成长"),2))/((VLOOKUP($B185,INDIRECT($B$5&amp;"生成成长"),4))/(VLOOKUP(CG$72,INDIRECT($C$5&amp;"生成成长"),5))*(VLOOKUP($B$5,标准坦克设计!$B$24:$U$30,MATCH("对"&amp;LEFT($C$5,2)&amp;"输出",标准坦克设计!$B$23:$U$23,0)))*(VLOOKUP($B185,INDIRECT($B$5&amp;"生成成长"),3))*(VLOOKUP($B$5,标准坦克设计!$B$14:$K$20,9)/30))</f>
        <v>29.924579667228294</v>
      </c>
      <c r="CH185" s="173">
        <f ca="1">(VLOOKUP(CH$72,INDIRECT($C$5&amp;"生成成长"),2))/((VLOOKUP($B185,INDIRECT($B$5&amp;"生成成长"),4))/(VLOOKUP(CH$72,INDIRECT($C$5&amp;"生成成长"),5))*(VLOOKUP($B$5,标准坦克设计!$B$24:$U$30,MATCH("对"&amp;LEFT($C$5,2)&amp;"输出",标准坦克设计!$B$23:$U$23,0)))*(VLOOKUP($B185,INDIRECT($B$5&amp;"生成成长"),3))*(VLOOKUP($B$5,标准坦克设计!$B$14:$K$20,9)/30))</f>
        <v>32.04624613466887</v>
      </c>
      <c r="CI185" s="173">
        <f ca="1">(VLOOKUP(CI$72,INDIRECT($C$5&amp;"生成成长"),2))/((VLOOKUP($B185,INDIRECT($B$5&amp;"生成成长"),4))/(VLOOKUP(CI$72,INDIRECT($C$5&amp;"生成成长"),5))*(VLOOKUP($B$5,标准坦克设计!$B$24:$U$30,MATCH("对"&amp;LEFT($C$5,2)&amp;"输出",标准坦克设计!$B$23:$U$23,0)))*(VLOOKUP($B185,INDIRECT($B$5&amp;"生成成长"),3))*(VLOOKUP($B$5,标准坦克设计!$B$14:$K$20,9)/30))</f>
        <v>34.464001330014256</v>
      </c>
      <c r="CJ185" s="173">
        <f ca="1">(VLOOKUP(CJ$72,INDIRECT($C$5&amp;"生成成长"),2))/((VLOOKUP($B185,INDIRECT($B$5&amp;"生成成长"),4))/(VLOOKUP(CJ$72,INDIRECT($C$5&amp;"生成成长"),5))*(VLOOKUP($B$5,标准坦克设计!$B$24:$U$30,MATCH("对"&amp;LEFT($C$5,2)&amp;"输出",标准坦克设计!$B$23:$U$23,0)))*(VLOOKUP($B185,INDIRECT($B$5&amp;"生成成长"),3))*(VLOOKUP($B$5,标准坦克设计!$B$14:$K$20,9)/30))</f>
        <v>36.969674896099484</v>
      </c>
      <c r="CK185" s="173">
        <f ca="1">(VLOOKUP(CK$72,INDIRECT($C$5&amp;"生成成长"),2))/((VLOOKUP($B185,INDIRECT($B$5&amp;"生成成长"),4))/(VLOOKUP(CK$72,INDIRECT($C$5&amp;"生成成长"),5))*(VLOOKUP($B$5,标准坦克设计!$B$24:$U$30,MATCH("对"&amp;LEFT($C$5,2)&amp;"输出",标准坦克设计!$B$23:$U$23,0)))*(VLOOKUP($B185,INDIRECT($B$5&amp;"生成成长"),3))*(VLOOKUP($B$5,标准坦克设计!$B$14:$K$20,9)/30))</f>
        <v>39.563266832924533</v>
      </c>
      <c r="CL185" s="173">
        <f ca="1">(VLOOKUP(CL$72,INDIRECT($C$5&amp;"生成成长"),2))/((VLOOKUP($B185,INDIRECT($B$5&amp;"生成成长"),4))/(VLOOKUP(CL$72,INDIRECT($C$5&amp;"生成成长"),5))*(VLOOKUP($B$5,标准坦克设计!$B$24:$U$30,MATCH("对"&amp;LEFT($C$5,2)&amp;"输出",标准坦克设计!$B$23:$U$23,0)))*(VLOOKUP($B185,INDIRECT($B$5&amp;"生成成长"),3))*(VLOOKUP($B$5,标准坦克设计!$B$14:$K$20,9)/30))</f>
        <v>42.244777140489411</v>
      </c>
      <c r="CM185" s="173">
        <f ca="1">(VLOOKUP(CM$72,INDIRECT($C$5&amp;"生成成长"),2))/((VLOOKUP($B185,INDIRECT($B$5&amp;"生成成长"),4))/(VLOOKUP(CM$72,INDIRECT($C$5&amp;"生成成长"),5))*(VLOOKUP($B$5,标准坦克设计!$B$24:$U$30,MATCH("对"&amp;LEFT($C$5,2)&amp;"输出",标准坦克设计!$B$23:$U$23,0)))*(VLOOKUP($B185,INDIRECT($B$5&amp;"生成成长"),3))*(VLOOKUP($B$5,标准坦克设计!$B$14:$K$20,9)/30))</f>
        <v>45.014205818794132</v>
      </c>
      <c r="CN185" s="173">
        <f ca="1">(VLOOKUP(CN$72,INDIRECT($C$5&amp;"生成成长"),2))/((VLOOKUP($B185,INDIRECT($B$5&amp;"生成成长"),4))/(VLOOKUP(CN$72,INDIRECT($C$5&amp;"生成成长"),5))*(VLOOKUP($B$5,标准坦克设计!$B$24:$U$30,MATCH("对"&amp;LEFT($C$5,2)&amp;"输出",标准坦克设计!$B$23:$U$23,0)))*(VLOOKUP($B185,INDIRECT($B$5&amp;"生成成长"),3))*(VLOOKUP($B$5,标准坦克设计!$B$14:$K$20,9)/30))</f>
        <v>47.871552867838687</v>
      </c>
      <c r="CO185" s="173">
        <f ca="1">(VLOOKUP(CO$72,INDIRECT($C$5&amp;"生成成长"),2))/((VLOOKUP($B185,INDIRECT($B$5&amp;"生成成长"),4))/(VLOOKUP(CO$72,INDIRECT($C$5&amp;"生成成长"),5))*(VLOOKUP($B$5,标准坦克设计!$B$24:$U$30,MATCH("对"&amp;LEFT($C$5,2)&amp;"输出",标准坦克设计!$B$23:$U$23,0)))*(VLOOKUP($B185,INDIRECT($B$5&amp;"生成成长"),3))*(VLOOKUP($B$5,标准坦克设计!$B$14:$K$20,9)/30))</f>
        <v>21.452445759571724</v>
      </c>
      <c r="CP185" s="173">
        <f ca="1">(VLOOKUP(CP$72,INDIRECT($C$5&amp;"生成成长"),2))/((VLOOKUP($B185,INDIRECT($B$5&amp;"生成成长"),4))/(VLOOKUP(CP$72,INDIRECT($C$5&amp;"生成成长"),5))*(VLOOKUP($B$5,标准坦克设计!$B$24:$U$30,MATCH("对"&amp;LEFT($C$5,2)&amp;"输出",标准坦克设计!$B$23:$U$23,0)))*(VLOOKUP($B185,INDIRECT($B$5&amp;"生成成长"),3))*(VLOOKUP($B$5,标准坦克设计!$B$14:$K$20,9)/30))</f>
        <v>23.438601680376117</v>
      </c>
      <c r="CQ185" s="173">
        <f ca="1">(VLOOKUP(CQ$72,INDIRECT($C$5&amp;"生成成长"),2))/((VLOOKUP($B185,INDIRECT($B$5&amp;"生成成长"),4))/(VLOOKUP(CQ$72,INDIRECT($C$5&amp;"生成成长"),5))*(VLOOKUP($B$5,标准坦克设计!$B$24:$U$30,MATCH("对"&amp;LEFT($C$5,2)&amp;"输出",标准坦克设计!$B$23:$U$23,0)))*(VLOOKUP($B185,INDIRECT($B$5&amp;"生成成长"),3))*(VLOOKUP($B$5,标准坦克设计!$B$14:$K$20,9)/30))</f>
        <v>25.512675971920348</v>
      </c>
      <c r="CR185" s="173">
        <f ca="1">(VLOOKUP(CR$72,INDIRECT($C$5&amp;"生成成长"),2))/((VLOOKUP($B185,INDIRECT($B$5&amp;"生成成长"),4))/(VLOOKUP(CR$72,INDIRECT($C$5&amp;"生成成长"),5))*(VLOOKUP($B$5,标准坦克设计!$B$24:$U$30,MATCH("对"&amp;LEFT($C$5,2)&amp;"输出",标准坦克设计!$B$23:$U$23,0)))*(VLOOKUP($B185,INDIRECT($B$5&amp;"生成成长"),3))*(VLOOKUP($B$5,标准坦克设计!$B$14:$K$20,9)/30))</f>
        <v>27.674668634204405</v>
      </c>
      <c r="CS185" s="173">
        <f ca="1">(VLOOKUP(CS$72,INDIRECT($C$5&amp;"生成成长"),2))/((VLOOKUP($B185,INDIRECT($B$5&amp;"生成成长"),4))/(VLOOKUP(CS$72,INDIRECT($C$5&amp;"生成成长"),5))*(VLOOKUP($B$5,标准坦克设计!$B$24:$U$30,MATCH("对"&amp;LEFT($C$5,2)&amp;"输出",标准坦克设计!$B$23:$U$23,0)))*(VLOOKUP($B185,INDIRECT($B$5&amp;"生成成长"),3))*(VLOOKUP($B$5,标准坦克设计!$B$14:$K$20,9)/30))</f>
        <v>29.924579667228294</v>
      </c>
      <c r="CT185" s="173">
        <f ca="1">(VLOOKUP(CT$72,INDIRECT($C$5&amp;"生成成长"),2))/((VLOOKUP($B185,INDIRECT($B$5&amp;"生成成长"),4))/(VLOOKUP(CT$72,INDIRECT($C$5&amp;"生成成长"),5))*(VLOOKUP($B$5,标准坦克设计!$B$24:$U$30,MATCH("对"&amp;LEFT($C$5,2)&amp;"输出",标准坦克设计!$B$23:$U$23,0)))*(VLOOKUP($B185,INDIRECT($B$5&amp;"生成成长"),3))*(VLOOKUP($B$5,标准坦克设计!$B$14:$K$20,9)/30))</f>
        <v>32.262409070992007</v>
      </c>
      <c r="CU185" s="173">
        <f ca="1">(VLOOKUP(CU$72,INDIRECT($C$5&amp;"生成成长"),2))/((VLOOKUP($B185,INDIRECT($B$5&amp;"生成成长"),4))/(VLOOKUP(CU$72,INDIRECT($C$5&amp;"生成成长"),5))*(VLOOKUP($B$5,标准坦克设计!$B$24:$U$30,MATCH("对"&amp;LEFT($C$5,2)&amp;"输出",标准坦克设计!$B$23:$U$23,0)))*(VLOOKUP($B185,INDIRECT($B$5&amp;"生成成长"),3))*(VLOOKUP($B$5,标准坦克设计!$B$14:$K$20,9)/30))</f>
        <v>34.68815684549557</v>
      </c>
      <c r="CV185" s="173">
        <f ca="1">(VLOOKUP(CV$72,INDIRECT($C$5&amp;"生成成长"),2))/((VLOOKUP($B185,INDIRECT($B$5&amp;"生成成长"),4))/(VLOOKUP(CV$72,INDIRECT($C$5&amp;"生成成长"),5))*(VLOOKUP($B$5,标准坦克设计!$B$24:$U$30,MATCH("对"&amp;LEFT($C$5,2)&amp;"输出",标准坦克设计!$B$23:$U$23,0)))*(VLOOKUP($B185,INDIRECT($B$5&amp;"生成成长"),3))*(VLOOKUP($B$5,标准坦克设计!$B$14:$K$20,9)/30))</f>
        <v>37.201822990738954</v>
      </c>
      <c r="CW185" s="173">
        <f ca="1">(VLOOKUP(CW$72,INDIRECT($C$5&amp;"生成成长"),2))/((VLOOKUP($B185,INDIRECT($B$5&amp;"生成成长"),4))/(VLOOKUP(CW$72,INDIRECT($C$5&amp;"生成成长"),5))*(VLOOKUP($B$5,标准坦克设计!$B$24:$U$30,MATCH("对"&amp;LEFT($C$5,2)&amp;"输出",标准坦克设计!$B$23:$U$23,0)))*(VLOOKUP($B185,INDIRECT($B$5&amp;"生成成长"),3))*(VLOOKUP($B$5,标准坦克设计!$B$14:$K$20,9)/30))</f>
        <v>39.803407506722174</v>
      </c>
      <c r="CX185" s="173">
        <f ca="1">(VLOOKUP(CX$72,INDIRECT($C$5&amp;"生成成长"),2))/((VLOOKUP($B185,INDIRECT($B$5&amp;"生成成长"),4))/(VLOOKUP(CX$72,INDIRECT($C$5&amp;"生成成长"),5))*(VLOOKUP($B$5,标准坦克设计!$B$24:$U$30,MATCH("对"&amp;LEFT($C$5,2)&amp;"输出",标准坦克设计!$B$23:$U$23,0)))*(VLOOKUP($B185,INDIRECT($B$5&amp;"生成成长"),3))*(VLOOKUP($B$5,标准坦克设计!$B$14:$K$20,9)/30))</f>
        <v>42.492910393445229</v>
      </c>
      <c r="CY185" s="173">
        <f ca="1">(VLOOKUP(CY$72,INDIRECT($C$5&amp;"生成成长"),2))/((VLOOKUP($B185,INDIRECT($B$5&amp;"生成成长"),4))/(VLOOKUP(CY$72,INDIRECT($C$5&amp;"生成成长"),5))*(VLOOKUP($B$5,标准坦克设计!$B$24:$U$30,MATCH("对"&amp;LEFT($C$5,2)&amp;"输出",标准坦克设计!$B$23:$U$23,0)))*(VLOOKUP($B185,INDIRECT($B$5&amp;"生成成长"),3))*(VLOOKUP($B$5,标准坦克设计!$B$14:$K$20,9)/30))</f>
        <v>45.270331650908105</v>
      </c>
      <c r="CZ185" s="173">
        <f ca="1">(VLOOKUP(CZ$72,INDIRECT($C$5&amp;"生成成长"),2))/((VLOOKUP($B185,INDIRECT($B$5&amp;"生成成长"),4))/(VLOOKUP(CZ$72,INDIRECT($C$5&amp;"生成成长"),5))*(VLOOKUP($B$5,标准坦克设计!$B$24:$U$30,MATCH("对"&amp;LEFT($C$5,2)&amp;"输出",标准坦克设计!$B$23:$U$23,0)))*(VLOOKUP($B185,INDIRECT($B$5&amp;"生成成长"),3))*(VLOOKUP($B$5,标准坦克设计!$B$14:$K$20,9)/30))</f>
        <v>48.135671279110824</v>
      </c>
      <c r="DA185" s="173">
        <f ca="1">(VLOOKUP(DA$72,INDIRECT($C$5&amp;"生成成长"),2))/((VLOOKUP($B185,INDIRECT($B$5&amp;"生成成长"),4))/(VLOOKUP(DA$72,INDIRECT($C$5&amp;"生成成长"),5))*(VLOOKUP($B$5,标准坦克设计!$B$24:$U$30,MATCH("对"&amp;LEFT($C$5,2)&amp;"输出",标准坦克设计!$B$23:$U$23,0)))*(VLOOKUP($B185,INDIRECT($B$5&amp;"生成成长"),3))*(VLOOKUP($B$5,标准坦克设计!$B$14:$K$20,9)/30))</f>
        <v>51.088929278053378</v>
      </c>
      <c r="DB185" s="173">
        <f ca="1">(VLOOKUP(DB$72,INDIRECT($C$5&amp;"生成成长"),2))/((VLOOKUP($B185,INDIRECT($B$5&amp;"生成成长"),4))/(VLOOKUP(DB$72,INDIRECT($C$5&amp;"生成成长"),5))*(VLOOKUP($B$5,标准坦克设计!$B$24:$U$30,MATCH("对"&amp;LEFT($C$5,2)&amp;"输出",标准坦克设计!$B$23:$U$23,0)))*(VLOOKUP($B185,INDIRECT($B$5&amp;"生成成长"),3))*(VLOOKUP($B$5,标准坦克设计!$B$14:$K$20,9)/30))</f>
        <v>54.130105647735753</v>
      </c>
      <c r="DC185" s="173">
        <f ca="1">(VLOOKUP(DC$72,INDIRECT($C$5&amp;"生成成长"),2))/((VLOOKUP($B185,INDIRECT($B$5&amp;"生成成长"),4))/(VLOOKUP(DC$72,INDIRECT($C$5&amp;"生成成长"),5))*(VLOOKUP($B$5,标准坦克设计!$B$24:$U$30,MATCH("对"&amp;LEFT($C$5,2)&amp;"输出",标准坦克设计!$B$23:$U$23,0)))*(VLOOKUP($B185,INDIRECT($B$5&amp;"生成成长"),3))*(VLOOKUP($B$5,标准坦克设计!$B$14:$K$20,9)/30))</f>
        <v>57.548023135009899</v>
      </c>
      <c r="DD185" s="173">
        <f ca="1">(VLOOKUP(DD$72,INDIRECT($C$5&amp;"生成成长"),2))/((VLOOKUP($B185,INDIRECT($B$5&amp;"生成成长"),4))/(VLOOKUP(DD$72,INDIRECT($C$5&amp;"生成成长"),5))*(VLOOKUP($B$5,标准坦克设计!$B$24:$U$30,MATCH("对"&amp;LEFT($C$5,2)&amp;"输出",标准坦克设计!$B$23:$U$23,0)))*(VLOOKUP($B185,INDIRECT($B$5&amp;"生成成长"),3))*(VLOOKUP($B$5,标准坦克设计!$B$14:$K$20,9)/30))</f>
        <v>61.070570749445494</v>
      </c>
      <c r="DE185" s="173">
        <f ca="1">(VLOOKUP(DE$72,INDIRECT($C$5&amp;"生成成长"),2))/((VLOOKUP($B185,INDIRECT($B$5&amp;"生成成长"),4))/(VLOOKUP(DE$72,INDIRECT($C$5&amp;"生成成长"),5))*(VLOOKUP($B$5,标准坦克设计!$B$24:$U$30,MATCH("对"&amp;LEFT($C$5,2)&amp;"输出",标准坦克设计!$B$23:$U$23,0)))*(VLOOKUP($B185,INDIRECT($B$5&amp;"生成成长"),3))*(VLOOKUP($B$5,标准坦克设计!$B$14:$K$20,9)/30))</f>
        <v>64.697748491042546</v>
      </c>
      <c r="DF185" s="173">
        <f ca="1">(VLOOKUP(DF$72,INDIRECT($C$5&amp;"生成成长"),2))/((VLOOKUP($B185,INDIRECT($B$5&amp;"生成成长"),4))/(VLOOKUP(DF$72,INDIRECT($C$5&amp;"生成成长"),5))*(VLOOKUP($B$5,标准坦克设计!$B$24:$U$30,MATCH("对"&amp;LEFT($C$5,2)&amp;"输出",标准坦克设计!$B$23:$U$23,0)))*(VLOOKUP($B185,INDIRECT($B$5&amp;"生成成长"),3))*(VLOOKUP($B$5,标准坦克设计!$B$14:$K$20,9)/30))</f>
        <v>68.42955635980104</v>
      </c>
      <c r="DG185" s="173">
        <f ca="1">(VLOOKUP(DG$72,INDIRECT($C$5&amp;"生成成长"),2))/((VLOOKUP($B185,INDIRECT($B$5&amp;"生成成长"),4))/(VLOOKUP(DG$72,INDIRECT($C$5&amp;"生成成长"),5))*(VLOOKUP($B$5,标准坦克设计!$B$24:$U$30,MATCH("对"&amp;LEFT($C$5,2)&amp;"输出",标准坦克设计!$B$23:$U$23,0)))*(VLOOKUP($B185,INDIRECT($B$5&amp;"生成成长"),3))*(VLOOKUP($B$5,标准坦克设计!$B$14:$K$20,9)/30))</f>
        <v>72.265994355720977</v>
      </c>
      <c r="DH185" s="173">
        <f ca="1">(VLOOKUP(DH$72,INDIRECT($C$5&amp;"生成成长"),2))/((VLOOKUP($B185,INDIRECT($B$5&amp;"生成成长"),4))/(VLOOKUP(DH$72,INDIRECT($C$5&amp;"生成成长"),5))*(VLOOKUP($B$5,标准坦克设计!$B$24:$U$30,MATCH("对"&amp;LEFT($C$5,2)&amp;"输出",标准坦克设计!$B$23:$U$23,0)))*(VLOOKUP($B185,INDIRECT($B$5&amp;"生成成长"),3))*(VLOOKUP($B$5,标准坦克设计!$B$14:$K$20,9)/30))</f>
        <v>76.207062478802399</v>
      </c>
      <c r="DI185" s="173">
        <f ca="1">(VLOOKUP(DI$72,INDIRECT($C$5&amp;"生成成长"),2))/((VLOOKUP($B185,INDIRECT($B$5&amp;"生成成长"),4))/(VLOOKUP(DI$72,INDIRECT($C$5&amp;"生成成长"),5))*(VLOOKUP($B$5,标准坦克设计!$B$24:$U$30,MATCH("对"&amp;LEFT($C$5,2)&amp;"输出",标准坦克设计!$B$23:$U$23,0)))*(VLOOKUP($B185,INDIRECT($B$5&amp;"生成成长"),3))*(VLOOKUP($B$5,标准坦克设计!$B$14:$K$20,9)/30))</f>
        <v>80.252760729045264</v>
      </c>
      <c r="DJ185" s="173">
        <f ca="1">(VLOOKUP(DJ$72,INDIRECT($C$5&amp;"生成成长"),2))/((VLOOKUP($B185,INDIRECT($B$5&amp;"生成成长"),4))/(VLOOKUP(DJ$72,INDIRECT($C$5&amp;"生成成长"),5))*(VLOOKUP($B$5,标准坦克设计!$B$24:$U$30,MATCH("对"&amp;LEFT($C$5,2)&amp;"输出",标准坦克设计!$B$23:$U$23,0)))*(VLOOKUP($B185,INDIRECT($B$5&amp;"生成成长"),3))*(VLOOKUP($B$5,标准坦克设计!$B$14:$K$20,9)/30))</f>
        <v>8.0656022677480017</v>
      </c>
      <c r="DK185" s="173">
        <f ca="1">(VLOOKUP(DK$72,INDIRECT($C$5&amp;"生成成长"),2))/((VLOOKUP($B185,INDIRECT($B$5&amp;"生成成长"),4))/(VLOOKUP(DK$72,INDIRECT($C$5&amp;"生成成长"),5))*(VLOOKUP($B$5,标准坦克设计!$B$24:$U$30,MATCH("对"&amp;LEFT($C$5,2)&amp;"输出",标准坦克设计!$B$23:$U$23,0)))*(VLOOKUP($B185,INDIRECT($B$5&amp;"生成成长"),3))*(VLOOKUP($B$5,标准坦克设计!$B$14:$K$20,9)/30))</f>
        <v>9.0693975502031954</v>
      </c>
      <c r="DL185" s="173">
        <f ca="1">(VLOOKUP(DL$72,INDIRECT($C$5&amp;"生成成长"),2))/((VLOOKUP($B185,INDIRECT($B$5&amp;"生成成长"),4))/(VLOOKUP(DL$72,INDIRECT($C$5&amp;"生成成长"),5))*(VLOOKUP($B$5,标准坦克设计!$B$24:$U$30,MATCH("对"&amp;LEFT($C$5,2)&amp;"输出",标准坦克设计!$B$23:$U$23,0)))*(VLOOKUP($B185,INDIRECT($B$5&amp;"生成成长"),3))*(VLOOKUP($B$5,标准坦克设计!$B$14:$K$20,9)/30))</f>
        <v>10.132047279186708</v>
      </c>
      <c r="DM185" s="173">
        <f ca="1">(VLOOKUP(DM$72,INDIRECT($C$5&amp;"生成成长"),2))/((VLOOKUP($B185,INDIRECT($B$5&amp;"生成成长"),4))/(VLOOKUP(DM$72,INDIRECT($C$5&amp;"生成成长"),5))*(VLOOKUP($B$5,标准坦克设计!$B$24:$U$30,MATCH("对"&amp;LEFT($C$5,2)&amp;"输出",标准坦克设计!$B$23:$U$23,0)))*(VLOOKUP($B185,INDIRECT($B$5&amp;"生成成长"),3))*(VLOOKUP($B$5,标准坦克设计!$B$14:$K$20,9)/30))</f>
        <v>11.253551454698533</v>
      </c>
      <c r="DN185" s="173">
        <f ca="1">(VLOOKUP(DN$72,INDIRECT($C$5&amp;"生成成长"),2))/((VLOOKUP($B185,INDIRECT($B$5&amp;"生成成长"),4))/(VLOOKUP(DN$72,INDIRECT($C$5&amp;"生成成长"),5))*(VLOOKUP($B$5,标准坦克设计!$B$24:$U$30,MATCH("对"&amp;LEFT($C$5,2)&amp;"输出",标准坦克设计!$B$23:$U$23,0)))*(VLOOKUP($B185,INDIRECT($B$5&amp;"生成成长"),3))*(VLOOKUP($B$5,标准坦克设计!$B$14:$K$20,9)/30))</f>
        <v>12.43391007673868</v>
      </c>
      <c r="DO185" s="173">
        <f ca="1">(VLOOKUP(DO$72,INDIRECT($C$5&amp;"生成成长"),2))/((VLOOKUP($B185,INDIRECT($B$5&amp;"生成成长"),4))/(VLOOKUP(DO$72,INDIRECT($C$5&amp;"生成成长"),5))*(VLOOKUP($B$5,标准坦克设计!$B$24:$U$30,MATCH("对"&amp;LEFT($C$5,2)&amp;"输出",标准坦克设计!$B$23:$U$23,0)))*(VLOOKUP($B185,INDIRECT($B$5&amp;"生成成长"),3))*(VLOOKUP($B$5,标准坦克设计!$B$14:$K$20,9)/30))</f>
        <v>13.673123145307141</v>
      </c>
      <c r="DP185" s="173">
        <f ca="1">(VLOOKUP(DP$72,INDIRECT($C$5&amp;"生成成长"),2))/((VLOOKUP($B185,INDIRECT($B$5&amp;"生成成长"),4))/(VLOOKUP(DP$72,INDIRECT($C$5&amp;"生成成长"),5))*(VLOOKUP($B$5,标准坦克设计!$B$24:$U$30,MATCH("对"&amp;LEFT($C$5,2)&amp;"输出",标准坦克设计!$B$23:$U$23,0)))*(VLOOKUP($B185,INDIRECT($B$5&amp;"生成成长"),3))*(VLOOKUP($B$5,标准坦克设计!$B$14:$K$20,9)/30))</f>
        <v>14.97119066040392</v>
      </c>
      <c r="DQ185" s="173">
        <f ca="1">(VLOOKUP(DQ$72,INDIRECT($C$5&amp;"生成成长"),2))/((VLOOKUP($B185,INDIRECT($B$5&amp;"生成成长"),4))/(VLOOKUP(DQ$72,INDIRECT($C$5&amp;"生成成长"),5))*(VLOOKUP($B$5,标准坦克设计!$B$24:$U$30,MATCH("对"&amp;LEFT($C$5,2)&amp;"输出",标准坦克设计!$B$23:$U$23,0)))*(VLOOKUP($B185,INDIRECT($B$5&amp;"生成成长"),3))*(VLOOKUP($B$5,标准坦克设计!$B$14:$K$20,9)/30))</f>
        <v>16.328112622029021</v>
      </c>
      <c r="DR185" s="173">
        <f ca="1">(VLOOKUP(DR$72,INDIRECT($C$5&amp;"生成成长"),2))/((VLOOKUP($B185,INDIRECT($B$5&amp;"生成成长"),4))/(VLOOKUP(DR$72,INDIRECT($C$5&amp;"生成成长"),5))*(VLOOKUP($B$5,标准坦克设计!$B$24:$U$30,MATCH("对"&amp;LEFT($C$5,2)&amp;"输出",标准坦克设计!$B$23:$U$23,0)))*(VLOOKUP($B185,INDIRECT($B$5&amp;"生成成长"),3))*(VLOOKUP($B$5,标准坦克设计!$B$14:$K$20,9)/30))</f>
        <v>17.743889030182434</v>
      </c>
      <c r="DS185" s="173">
        <f ca="1">(VLOOKUP(DS$72,INDIRECT($C$5&amp;"生成成长"),2))/((VLOOKUP($B185,INDIRECT($B$5&amp;"生成成长"),4))/(VLOOKUP(DS$72,INDIRECT($C$5&amp;"生成成长"),5))*(VLOOKUP($B$5,标准坦克设计!$B$24:$U$30,MATCH("对"&amp;LEFT($C$5,2)&amp;"输出",标准坦克设计!$B$23:$U$23,0)))*(VLOOKUP($B185,INDIRECT($B$5&amp;"生成成长"),3))*(VLOOKUP($B$5,标准坦克设计!$B$14:$K$20,9)/30))</f>
        <v>19.218519884864168</v>
      </c>
      <c r="DT185" s="173">
        <f ca="1">(VLOOKUP(DT$72,INDIRECT($C$5&amp;"生成成长"),2))/((VLOOKUP($B185,INDIRECT($B$5&amp;"生成成长"),4))/(VLOOKUP(DT$72,INDIRECT($C$5&amp;"生成成长"),5))*(VLOOKUP($B$5,标准坦克设计!$B$24:$U$30,MATCH("对"&amp;LEFT($C$5,2)&amp;"输出",标准坦克设计!$B$23:$U$23,0)))*(VLOOKUP($B185,INDIRECT($B$5&amp;"生成成长"),3))*(VLOOKUP($B$5,标准坦克设计!$B$14:$K$20,9)/30))</f>
        <v>21.100772276612393</v>
      </c>
      <c r="DU185" s="173">
        <f ca="1">(VLOOKUP(DU$72,INDIRECT($C$5&amp;"生成成长"),2))/((VLOOKUP($B185,INDIRECT($B$5&amp;"生成成长"),4))/(VLOOKUP(DU$72,INDIRECT($C$5&amp;"生成成长"),5))*(VLOOKUP($B$5,标准坦克设计!$B$24:$U$30,MATCH("对"&amp;LEFT($C$5,2)&amp;"输出",标准坦克设计!$B$23:$U$23,0)))*(VLOOKUP($B185,INDIRECT($B$5&amp;"生成成长"),3))*(VLOOKUP($B$5,标准坦克设计!$B$14:$K$20,9)/30))</f>
        <v>23.070943039100456</v>
      </c>
      <c r="DV185" s="173">
        <f ca="1">(VLOOKUP(DV$72,INDIRECT($C$5&amp;"生成成长"),2))/((VLOOKUP($B185,INDIRECT($B$5&amp;"生成成长"),4))/(VLOOKUP(DV$72,INDIRECT($C$5&amp;"生成成长"),5))*(VLOOKUP($B$5,标准坦克设计!$B$24:$U$30,MATCH("对"&amp;LEFT($C$5,2)&amp;"输出",标准坦克设计!$B$23:$U$23,0)))*(VLOOKUP($B185,INDIRECT($B$5&amp;"生成成长"),3))*(VLOOKUP($B$5,标准坦克设计!$B$14:$K$20,9)/30))</f>
        <v>25.129032172328348</v>
      </c>
      <c r="DW185" s="173">
        <f ca="1">(VLOOKUP(DW$72,INDIRECT($C$5&amp;"生成成长"),2))/((VLOOKUP($B185,INDIRECT($B$5&amp;"生成成长"),4))/(VLOOKUP(DW$72,INDIRECT($C$5&amp;"生成成长"),5))*(VLOOKUP($B$5,标准坦克设计!$B$24:$U$30,MATCH("对"&amp;LEFT($C$5,2)&amp;"输出",标准坦克设计!$B$23:$U$23,0)))*(VLOOKUP($B185,INDIRECT($B$5&amp;"生成成长"),3))*(VLOOKUP($B$5,标准坦克设计!$B$14:$K$20,9)/30))</f>
        <v>27.275039676296075</v>
      </c>
      <c r="DX185" s="173">
        <f ca="1">(VLOOKUP(DX$72,INDIRECT($C$5&amp;"生成成长"),2))/((VLOOKUP($B185,INDIRECT($B$5&amp;"生成成长"),4))/(VLOOKUP(DX$72,INDIRECT($C$5&amp;"生成成长"),5))*(VLOOKUP($B$5,标准坦克设计!$B$24:$U$30,MATCH("对"&amp;LEFT($C$5,2)&amp;"输出",标准坦克设计!$B$23:$U$23,0)))*(VLOOKUP($B185,INDIRECT($B$5&amp;"生成成长"),3))*(VLOOKUP($B$5,标准坦克设计!$B$14:$K$20,9)/30))</f>
        <v>29.508965551003637</v>
      </c>
      <c r="DY185" s="173">
        <f ca="1">(VLOOKUP(DY$72,INDIRECT($C$5&amp;"生成成长"),2))/((VLOOKUP($B185,INDIRECT($B$5&amp;"生成成长"),4))/(VLOOKUP(DY$72,INDIRECT($C$5&amp;"生成成长"),5))*(VLOOKUP($B$5,标准坦克设计!$B$24:$U$30,MATCH("对"&amp;LEFT($C$5,2)&amp;"输出",标准坦克设计!$B$23:$U$23,0)))*(VLOOKUP($B185,INDIRECT($B$5&amp;"生成成长"),3))*(VLOOKUP($B$5,标准坦克设计!$B$14:$K$20,9)/30))</f>
        <v>13.253512739503396</v>
      </c>
      <c r="DZ185" s="173">
        <f ca="1">(VLOOKUP(DZ$72,INDIRECT($C$5&amp;"生成成长"),2))/((VLOOKUP($B185,INDIRECT($B$5&amp;"生成成长"),4))/(VLOOKUP(DZ$72,INDIRECT($C$5&amp;"生成成长"),5))*(VLOOKUP($B$5,标准坦克设计!$B$24:$U$30,MATCH("对"&amp;LEFT($C$5,2)&amp;"输出",标准坦克设计!$B$23:$U$23,0)))*(VLOOKUP($B185,INDIRECT($B$5&amp;"生成成长"),3))*(VLOOKUP($B$5,标准坦克设计!$B$14:$K$20,9)/30))</f>
        <v>14.677645025867621</v>
      </c>
      <c r="EA185" s="173">
        <f ca="1">(VLOOKUP(EA$72,INDIRECT($C$5&amp;"生成成长"),2))/((VLOOKUP($B185,INDIRECT($B$5&amp;"生成成长"),4))/(VLOOKUP(EA$72,INDIRECT($C$5&amp;"生成成长"),5))*(VLOOKUP($B$5,标准坦克设计!$B$24:$U$30,MATCH("对"&amp;LEFT($C$5,2)&amp;"输出",标准坦克设计!$B$23:$U$23,0)))*(VLOOKUP($B185,INDIRECT($B$5&amp;"生成成长"),3))*(VLOOKUP($B$5,标准坦克设计!$B$14:$K$20,9)/30))</f>
        <v>16.174437122760636</v>
      </c>
      <c r="EB185" s="173">
        <f ca="1">(VLOOKUP(EB$72,INDIRECT($C$5&amp;"生成成长"),2))/((VLOOKUP($B185,INDIRECT($B$5&amp;"生成成长"),4))/(VLOOKUP(EB$72,INDIRECT($C$5&amp;"生成成长"),5))*(VLOOKUP($B$5,标准坦克设计!$B$24:$U$30,MATCH("对"&amp;LEFT($C$5,2)&amp;"输出",标准坦克设计!$B$23:$U$23,0)))*(VLOOKUP($B185,INDIRECT($B$5&amp;"生成成长"),3))*(VLOOKUP($B$5,标准坦克设计!$B$14:$K$20,9)/30))</f>
        <v>17.743889030182434</v>
      </c>
      <c r="EC185" s="173">
        <f ca="1">(VLOOKUP(EC$72,INDIRECT($C$5&amp;"生成成长"),2))/((VLOOKUP($B185,INDIRECT($B$5&amp;"生成成长"),4))/(VLOOKUP(EC$72,INDIRECT($C$5&amp;"生成成长"),5))*(VLOOKUP($B$5,标准坦克设计!$B$24:$U$30,MATCH("对"&amp;LEFT($C$5,2)&amp;"输出",标准坦克设计!$B$23:$U$23,0)))*(VLOOKUP($B185,INDIRECT($B$5&amp;"生成成长"),3))*(VLOOKUP($B$5,标准坦克设计!$B$14:$K$20,9)/30))</f>
        <v>19.386000748133018</v>
      </c>
      <c r="ED185" s="173">
        <f ca="1">(VLOOKUP(ED$72,INDIRECT($C$5&amp;"生成成长"),2))/((VLOOKUP($B185,INDIRECT($B$5&amp;"生成成长"),4))/(VLOOKUP(ED$72,INDIRECT($C$5&amp;"生成成长"),5))*(VLOOKUP($B$5,标准坦克设计!$B$24:$U$30,MATCH("对"&amp;LEFT($C$5,2)&amp;"输出",标准坦克设计!$B$23:$U$23,0)))*(VLOOKUP($B185,INDIRECT($B$5&amp;"生成成长"),3))*(VLOOKUP($B$5,标准坦克设计!$B$14:$K$20,9)/30))</f>
        <v>21.100772276612393</v>
      </c>
      <c r="EE185" s="173">
        <f ca="1">(VLOOKUP(EE$72,INDIRECT($C$5&amp;"生成成长"),2))/((VLOOKUP($B185,INDIRECT($B$5&amp;"生成成长"),4))/(VLOOKUP(EE$72,INDIRECT($C$5&amp;"生成成长"),5))*(VLOOKUP($B$5,标准坦克设计!$B$24:$U$30,MATCH("对"&amp;LEFT($C$5,2)&amp;"输出",标准坦克设计!$B$23:$U$23,0)))*(VLOOKUP($B185,INDIRECT($B$5&amp;"生成成长"),3))*(VLOOKUP($B$5,标准坦克设计!$B$14:$K$20,9)/30))</f>
        <v>22.888203615620558</v>
      </c>
      <c r="EF185" s="173">
        <f ca="1">(VLOOKUP(EF$72,INDIRECT($C$5&amp;"生成成长"),2))/((VLOOKUP($B185,INDIRECT($B$5&amp;"生成成长"),4))/(VLOOKUP(EF$72,INDIRECT($C$5&amp;"生成成长"),5))*(VLOOKUP($B$5,标准坦克设计!$B$24:$U$30,MATCH("对"&amp;LEFT($C$5,2)&amp;"输出",标准坦克设计!$B$23:$U$23,0)))*(VLOOKUP($B185,INDIRECT($B$5&amp;"生成成长"),3))*(VLOOKUP($B$5,标准坦克设计!$B$14:$K$20,9)/30))</f>
        <v>24.7482947651575</v>
      </c>
      <c r="EG185" s="173">
        <f ca="1">(VLOOKUP(EG$72,INDIRECT($C$5&amp;"生成成长"),2))/((VLOOKUP($B185,INDIRECT($B$5&amp;"生成成长"),4))/(VLOOKUP(EG$72,INDIRECT($C$5&amp;"生成成长"),5))*(VLOOKUP($B$5,标准坦克设计!$B$24:$U$30,MATCH("对"&amp;LEFT($C$5,2)&amp;"输出",标准坦克设计!$B$23:$U$23,0)))*(VLOOKUP($B185,INDIRECT($B$5&amp;"生成成长"),3))*(VLOOKUP($B$5,标准坦克设计!$B$14:$K$20,9)/30))</f>
        <v>26.681045725223239</v>
      </c>
      <c r="EH185" s="173">
        <f ca="1">(VLOOKUP(EH$72,INDIRECT($C$5&amp;"生成成长"),2))/((VLOOKUP($B185,INDIRECT($B$5&amp;"生成成长"),4))/(VLOOKUP(EH$72,INDIRECT($C$5&amp;"生成成长"),5))*(VLOOKUP($B$5,标准坦克设计!$B$24:$U$30,MATCH("对"&amp;LEFT($C$5,2)&amp;"输出",标准坦克设计!$B$23:$U$23,0)))*(VLOOKUP($B185,INDIRECT($B$5&amp;"生成成长"),3))*(VLOOKUP($B$5,标准坦克设计!$B$14:$K$20,9)/30))</f>
        <v>28.686456495817765</v>
      </c>
      <c r="EI185" s="173">
        <f ca="1">(VLOOKUP(EI$72,INDIRECT($C$5&amp;"生成成长"),2))/((VLOOKUP($B185,INDIRECT($B$5&amp;"生成成长"),4))/(VLOOKUP(EI$72,INDIRECT($C$5&amp;"生成成长"),5))*(VLOOKUP($B$5,标准坦克设计!$B$24:$U$30,MATCH("对"&amp;LEFT($C$5,2)&amp;"输出",标准坦克设计!$B$23:$U$23,0)))*(VLOOKUP($B185,INDIRECT($B$5&amp;"生成成长"),3))*(VLOOKUP($B$5,标准坦克设计!$B$14:$K$20,9)/30))</f>
        <v>30.764527076941075</v>
      </c>
      <c r="EJ185" s="173">
        <f ca="1">(VLOOKUP(EJ$72,INDIRECT($C$5&amp;"生成成长"),2))/((VLOOKUP($B185,INDIRECT($B$5&amp;"生成成长"),4))/(VLOOKUP(EJ$72,INDIRECT($C$5&amp;"生成成长"),5))*(VLOOKUP($B$5,标准坦克设计!$B$24:$U$30,MATCH("对"&amp;LEFT($C$5,2)&amp;"输出",标准坦克设计!$B$23:$U$23,0)))*(VLOOKUP($B185,INDIRECT($B$5&amp;"生成成长"),3))*(VLOOKUP($B$5,标准坦克设计!$B$14:$K$20,9)/30))</f>
        <v>32.915257468593168</v>
      </c>
      <c r="EK185" s="173">
        <f ca="1">(VLOOKUP(EK$72,INDIRECT($C$5&amp;"生成成长"),2))/((VLOOKUP($B185,INDIRECT($B$5&amp;"生成成长"),4))/(VLOOKUP(EK$72,INDIRECT($C$5&amp;"生成成长"),5))*(VLOOKUP($B$5,标准坦克设计!$B$24:$U$30,MATCH("对"&amp;LEFT($C$5,2)&amp;"输出",标准坦克设计!$B$23:$U$23,0)))*(VLOOKUP($B185,INDIRECT($B$5&amp;"生成成长"),3))*(VLOOKUP($B$5,标准坦克设计!$B$14:$K$20,9)/30))</f>
        <v>35.59204488847368</v>
      </c>
      <c r="EL185" s="173">
        <f ca="1">(VLOOKUP(EL$72,INDIRECT($C$5&amp;"生成成长"),2))/((VLOOKUP($B185,INDIRECT($B$5&amp;"生成成长"),4))/(VLOOKUP(EL$72,INDIRECT($C$5&amp;"生成成长"),5))*(VLOOKUP($B$5,标准坦克设计!$B$24:$U$30,MATCH("对"&amp;LEFT($C$5,2)&amp;"输出",标准坦克设计!$B$23:$U$23,0)))*(VLOOKUP($B185,INDIRECT($B$5&amp;"生成成长"),3))*(VLOOKUP($B$5,标准坦克设计!$B$14:$K$20,9)/30))</f>
        <v>38.373462435515648</v>
      </c>
      <c r="EM185" s="173">
        <f ca="1">(VLOOKUP(EM$72,INDIRECT($C$5&amp;"生成成长"),2))/((VLOOKUP($B185,INDIRECT($B$5&amp;"生成成长"),4))/(VLOOKUP(EM$72,INDIRECT($C$5&amp;"生成成长"),5))*(VLOOKUP($B$5,标准坦克设计!$B$24:$U$30,MATCH("对"&amp;LEFT($C$5,2)&amp;"输出",标准坦克设计!$B$23:$U$23,0)))*(VLOOKUP($B185,INDIRECT($B$5&amp;"生成成长"),3))*(VLOOKUP($B$5,标准坦克设计!$B$14:$K$20,9)/30))</f>
        <v>41.259510109719066</v>
      </c>
      <c r="EN185" s="173">
        <f ca="1">(VLOOKUP(EN$72,INDIRECT($C$5&amp;"生成成长"),2))/((VLOOKUP($B185,INDIRECT($B$5&amp;"生成成长"),4))/(VLOOKUP(EN$72,INDIRECT($C$5&amp;"生成成长"),5))*(VLOOKUP($B$5,标准坦克设计!$B$24:$U$30,MATCH("对"&amp;LEFT($C$5,2)&amp;"输出",标准坦克设计!$B$23:$U$23,0)))*(VLOOKUP($B185,INDIRECT($B$5&amp;"生成成长"),3))*(VLOOKUP($B$5,标准坦克设计!$B$14:$K$20,9)/30))</f>
        <v>44.250187911083934</v>
      </c>
      <c r="EO185" s="173">
        <f ca="1">(VLOOKUP(EO$72,INDIRECT($C$5&amp;"生成成长"),2))/((VLOOKUP($B185,INDIRECT($B$5&amp;"生成成长"),4))/(VLOOKUP(EO$72,INDIRECT($C$5&amp;"生成成长"),5))*(VLOOKUP($B$5,标准坦克设计!$B$24:$U$30,MATCH("对"&amp;LEFT($C$5,2)&amp;"输出",标准坦克设计!$B$23:$U$23,0)))*(VLOOKUP($B185,INDIRECT($B$5&amp;"生成成长"),3))*(VLOOKUP($B$5,标准坦克设计!$B$14:$K$20,9)/30))</f>
        <v>47.345495839610273</v>
      </c>
      <c r="EP185" s="173">
        <f ca="1">(VLOOKUP(EP$72,INDIRECT($C$5&amp;"生成成长"),2))/((VLOOKUP($B185,INDIRECT($B$5&amp;"生成成长"),4))/(VLOOKUP(EP$72,INDIRECT($C$5&amp;"生成成长"),5))*(VLOOKUP($B$5,标准坦克设计!$B$24:$U$30,MATCH("对"&amp;LEFT($C$5,2)&amp;"输出",标准坦克设计!$B$23:$U$23,0)))*(VLOOKUP($B185,INDIRECT($B$5&amp;"生成成长"),3))*(VLOOKUP($B$5,标准坦克设计!$B$14:$K$20,9)/30))</f>
        <v>50.545433895298054</v>
      </c>
      <c r="EQ185" s="173">
        <f ca="1">(VLOOKUP(EQ$72,INDIRECT($C$5&amp;"生成成长"),2))/((VLOOKUP($B185,INDIRECT($B$5&amp;"生成成长"),4))/(VLOOKUP(EQ$72,INDIRECT($C$5&amp;"生成成长"),5))*(VLOOKUP($B$5,标准坦克设计!$B$24:$U$30,MATCH("对"&amp;LEFT($C$5,2)&amp;"输出",标准坦克设计!$B$23:$U$23,0)))*(VLOOKUP($B185,INDIRECT($B$5&amp;"生成成长"),3))*(VLOOKUP($B$5,标准坦克设计!$B$14:$K$20,9)/30))</f>
        <v>22.344344933812589</v>
      </c>
      <c r="ER185" s="173">
        <f ca="1">(VLOOKUP(ER$72,INDIRECT($C$5&amp;"生成成长"),2))/((VLOOKUP($B185,INDIRECT($B$5&amp;"生成成长"),4))/(VLOOKUP(ER$72,INDIRECT($C$5&amp;"生成成长"),5))*(VLOOKUP($B$5,标准坦克设计!$B$24:$U$30,MATCH("对"&amp;LEFT($C$5,2)&amp;"输出",标准坦克设计!$B$23:$U$23,0)))*(VLOOKUP($B185,INDIRECT($B$5&amp;"生成成长"),3))*(VLOOKUP($B$5,标准坦克设计!$B$14:$K$20,9)/30))</f>
        <v>24.370463750407808</v>
      </c>
      <c r="ES185" s="173">
        <f ca="1">(VLOOKUP(ES$72,INDIRECT($C$5&amp;"生成成长"),2))/((VLOOKUP($B185,INDIRECT($B$5&amp;"生成成长"),4))/(VLOOKUP(ES$72,INDIRECT($C$5&amp;"生成成长"),5))*(VLOOKUP($B$5,标准坦克设计!$B$24:$U$30,MATCH("对"&amp;LEFT($C$5,2)&amp;"输出",标准坦克设计!$B$23:$U$23,0)))*(VLOOKUP($B185,INDIRECT($B$5&amp;"生成成长"),3))*(VLOOKUP($B$5,标准坦克设计!$B$14:$K$20,9)/30))</f>
        <v>26.484500937742872</v>
      </c>
      <c r="ET185" s="173">
        <f ca="1">(VLOOKUP(ET$72,INDIRECT($C$5&amp;"生成成长"),2))/((VLOOKUP($B185,INDIRECT($B$5&amp;"生成成长"),4))/(VLOOKUP(ET$72,INDIRECT($C$5&amp;"生成成长"),5))*(VLOOKUP($B$5,标准坦克设计!$B$24:$U$30,MATCH("对"&amp;LEFT($C$5,2)&amp;"输出",标准坦克设计!$B$23:$U$23,0)))*(VLOOKUP($B185,INDIRECT($B$5&amp;"生成成长"),3))*(VLOOKUP($B$5,标准坦克设计!$B$14:$K$20,9)/30))</f>
        <v>28.686456495817765</v>
      </c>
      <c r="EU185" s="173">
        <f ca="1">(VLOOKUP(EU$72,INDIRECT($C$5&amp;"生成成长"),2))/((VLOOKUP($B185,INDIRECT($B$5&amp;"生成成长"),4))/(VLOOKUP(EU$72,INDIRECT($C$5&amp;"生成成长"),5))*(VLOOKUP($B$5,标准坦克设计!$B$24:$U$30,MATCH("对"&amp;LEFT($C$5,2)&amp;"输出",标准坦克设计!$B$23:$U$23,0)))*(VLOOKUP($B185,INDIRECT($B$5&amp;"生成成长"),3))*(VLOOKUP($B$5,标准坦克设计!$B$14:$K$20,9)/30))</f>
        <v>30.976330424632483</v>
      </c>
      <c r="EV185" s="173">
        <f ca="1">(VLOOKUP(EV$72,INDIRECT($C$5&amp;"生成成长"),2))/((VLOOKUP($B185,INDIRECT($B$5&amp;"生成成长"),4))/(VLOOKUP(EV$72,INDIRECT($C$5&amp;"生成成长"),5))*(VLOOKUP($B$5,标准坦克设计!$B$24:$U$30,MATCH("对"&amp;LEFT($C$5,2)&amp;"输出",标准坦克设计!$B$23:$U$23,0)))*(VLOOKUP($B185,INDIRECT($B$5&amp;"生成成长"),3))*(VLOOKUP($B$5,标准坦克设计!$B$14:$K$20,9)/30))</f>
        <v>33.354122724187043</v>
      </c>
      <c r="EW185" s="173">
        <f ca="1">(VLOOKUP(EW$72,INDIRECT($C$5&amp;"生成成长"),2))/((VLOOKUP($B185,INDIRECT($B$5&amp;"生成成长"),4))/(VLOOKUP(EW$72,INDIRECT($C$5&amp;"生成成长"),5))*(VLOOKUP($B$5,标准坦克设计!$B$24:$U$30,MATCH("对"&amp;LEFT($C$5,2)&amp;"输出",标准坦克设计!$B$23:$U$23,0)))*(VLOOKUP($B185,INDIRECT($B$5&amp;"生成成长"),3))*(VLOOKUP($B$5,标准坦克设计!$B$14:$K$20,9)/30))</f>
        <v>35.819833394481428</v>
      </c>
      <c r="EX185" s="173">
        <f ca="1">(VLOOKUP(EX$72,INDIRECT($C$5&amp;"生成成长"),2))/((VLOOKUP($B185,INDIRECT($B$5&amp;"生成成长"),4))/(VLOOKUP(EX$72,INDIRECT($C$5&amp;"生成成长"),5))*(VLOOKUP($B$5,标准坦克设计!$B$24:$U$30,MATCH("对"&amp;LEFT($C$5,2)&amp;"输出",标准坦克设计!$B$23:$U$23,0)))*(VLOOKUP($B185,INDIRECT($B$5&amp;"生成成长"),3))*(VLOOKUP($B$5,标准坦克设计!$B$14:$K$20,9)/30))</f>
        <v>38.373462435515648</v>
      </c>
      <c r="EY185" s="173">
        <f ca="1">(VLOOKUP(EY$72,INDIRECT($C$5&amp;"生成成长"),2))/((VLOOKUP($B185,INDIRECT($B$5&amp;"生成成长"),4))/(VLOOKUP(EY$72,INDIRECT($C$5&amp;"生成成长"),5))*(VLOOKUP($B$5,标准坦克设计!$B$24:$U$30,MATCH("对"&amp;LEFT($C$5,2)&amp;"输出",标准坦克设计!$B$23:$U$23,0)))*(VLOOKUP($B185,INDIRECT($B$5&amp;"生成成长"),3))*(VLOOKUP($B$5,标准坦克设计!$B$14:$K$20,9)/30))</f>
        <v>41.015009847289697</v>
      </c>
      <c r="EZ185" s="173">
        <f ca="1">(VLOOKUP(EZ$72,INDIRECT($C$5&amp;"生成成长"),2))/((VLOOKUP($B185,INDIRECT($B$5&amp;"生成成长"),4))/(VLOOKUP(EZ$72,INDIRECT($C$5&amp;"生成成长"),5))*(VLOOKUP($B$5,标准坦克设计!$B$24:$U$30,MATCH("对"&amp;LEFT($C$5,2)&amp;"输出",标准坦克设计!$B$23:$U$23,0)))*(VLOOKUP($B185,INDIRECT($B$5&amp;"生成成长"),3))*(VLOOKUP($B$5,标准坦克设计!$B$14:$K$20,9)/30))</f>
        <v>43.744475629803588</v>
      </c>
      <c r="FA185" s="173">
        <f ca="1">(VLOOKUP(FA$72,INDIRECT($C$5&amp;"生成成长"),2))/((VLOOKUP($B185,INDIRECT($B$5&amp;"生成成长"),4))/(VLOOKUP(FA$72,INDIRECT($C$5&amp;"生成成长"),5))*(VLOOKUP($B$5,标准坦克设计!$B$24:$U$30,MATCH("对"&amp;LEFT($C$5,2)&amp;"输出",标准坦克设计!$B$23:$U$23,0)))*(VLOOKUP($B185,INDIRECT($B$5&amp;"生成成长"),3))*(VLOOKUP($B$5,标准坦克设计!$B$14:$K$20,9)/30))</f>
        <v>46.561859783057294</v>
      </c>
      <c r="FB185" s="173">
        <f ca="1">(VLOOKUP(FB$72,INDIRECT($C$5&amp;"生成成长"),2))/((VLOOKUP($B185,INDIRECT($B$5&amp;"生成成长"),4))/(VLOOKUP(FB$72,INDIRECT($C$5&amp;"生成成长"),5))*(VLOOKUP($B$5,标准坦克设计!$B$24:$U$30,MATCH("对"&amp;LEFT($C$5,2)&amp;"输出",标准坦克设计!$B$23:$U$23,0)))*(VLOOKUP($B185,INDIRECT($B$5&amp;"生成成长"),3))*(VLOOKUP($B$5,标准坦克设计!$B$14:$K$20,9)/30))</f>
        <v>49.467162307050849</v>
      </c>
      <c r="FC185" s="173">
        <f ca="1">(VLOOKUP(FC$72,INDIRECT($C$5&amp;"生成成长"),2))/((VLOOKUP($B185,INDIRECT($B$5&amp;"生成成长"),4))/(VLOOKUP(FC$72,INDIRECT($C$5&amp;"生成成长"),5))*(VLOOKUP($B$5,标准坦克设计!$B$24:$U$30,MATCH("对"&amp;LEFT($C$5,2)&amp;"输出",标准坦克设计!$B$23:$U$23,0)))*(VLOOKUP($B185,INDIRECT($B$5&amp;"生成成长"),3))*(VLOOKUP($B$5,标准坦克设计!$B$14:$K$20,9)/30))</f>
        <v>52.460383201784225</v>
      </c>
      <c r="FD185" s="173">
        <f ca="1">(VLOOKUP(FD$72,INDIRECT($C$5&amp;"生成成长"),2))/((VLOOKUP($B185,INDIRECT($B$5&amp;"生成成长"),4))/(VLOOKUP(FD$72,INDIRECT($C$5&amp;"生成成长"),5))*(VLOOKUP($B$5,标准坦克设计!$B$24:$U$30,MATCH("对"&amp;LEFT($C$5,2)&amp;"输出",标准坦克设计!$B$23:$U$23,0)))*(VLOOKUP($B185,INDIRECT($B$5&amp;"生成成长"),3))*(VLOOKUP($B$5,标准坦克设计!$B$14:$K$20,9)/30))</f>
        <v>55.541522467257437</v>
      </c>
      <c r="FE185" s="173">
        <f ca="1">(VLOOKUP(FE$72,INDIRECT($C$5&amp;"生成成长"),2))/((VLOOKUP($B185,INDIRECT($B$5&amp;"生成成长"),4))/(VLOOKUP(FE$72,INDIRECT($C$5&amp;"生成成长"),5))*(VLOOKUP($B$5,标准坦克设计!$B$24:$U$30,MATCH("对"&amp;LEFT($C$5,2)&amp;"输出",标准坦克设计!$B$23:$U$23,0)))*(VLOOKUP($B185,INDIRECT($B$5&amp;"生成成长"),3))*(VLOOKUP($B$5,标准坦克设计!$B$14:$K$20,9)/30))</f>
        <v>59.296218176332509</v>
      </c>
      <c r="FF185" s="173">
        <f ca="1">(VLOOKUP(FF$72,INDIRECT($C$5&amp;"生成成长"),2))/((VLOOKUP($B185,INDIRECT($B$5&amp;"生成成长"),4))/(VLOOKUP(FF$72,INDIRECT($C$5&amp;"生成成长"),5))*(VLOOKUP($B$5,标准坦克设计!$B$24:$U$30,MATCH("对"&amp;LEFT($C$5,2)&amp;"输出",标准坦克设计!$B$23:$U$23,0)))*(VLOOKUP($B185,INDIRECT($B$5&amp;"生成成长"),3))*(VLOOKUP($B$5,标准坦克设计!$B$14:$K$20,9)/30))</f>
        <v>63.173708965201236</v>
      </c>
      <c r="FG185" s="173">
        <f ca="1">(VLOOKUP(FG$72,INDIRECT($C$5&amp;"生成成长"),2))/((VLOOKUP($B185,INDIRECT($B$5&amp;"生成成长"),4))/(VLOOKUP(FG$72,INDIRECT($C$5&amp;"生成成长"),5))*(VLOOKUP($B$5,标准坦克设计!$B$24:$U$30,MATCH("对"&amp;LEFT($C$5,2)&amp;"输出",标准坦克设计!$B$23:$U$23,0)))*(VLOOKUP($B185,INDIRECT($B$5&amp;"生成成长"),3))*(VLOOKUP($B$5,标准坦克设计!$B$14:$K$20,9)/30))</f>
        <v>67.173994833863603</v>
      </c>
      <c r="FH185" s="173">
        <f ca="1">(VLOOKUP(FH$72,INDIRECT($C$5&amp;"生成成长"),2))/((VLOOKUP($B185,INDIRECT($B$5&amp;"生成成长"),4))/(VLOOKUP(FH$72,INDIRECT($C$5&amp;"生成成长"),5))*(VLOOKUP($B$5,标准坦克设计!$B$24:$U$30,MATCH("对"&amp;LEFT($C$5,2)&amp;"输出",标准坦克设计!$B$23:$U$23,0)))*(VLOOKUP($B185,INDIRECT($B$5&amp;"生成成长"),3))*(VLOOKUP($B$5,标准坦克设计!$B$14:$K$20,9)/30))</f>
        <v>71.29707578231961</v>
      </c>
      <c r="FI185" s="173">
        <f ca="1">(VLOOKUP(FI$72,INDIRECT($C$5&amp;"生成成长"),2))/((VLOOKUP($B185,INDIRECT($B$5&amp;"生成成长"),4))/(VLOOKUP(FI$72,INDIRECT($C$5&amp;"生成成长"),5))*(VLOOKUP($B$5,标准坦克设计!$B$24:$U$30,MATCH("对"&amp;LEFT($C$5,2)&amp;"输出",标准坦克设计!$B$23:$U$23,0)))*(VLOOKUP($B185,INDIRECT($B$5&amp;"生成成长"),3))*(VLOOKUP($B$5,标准坦克设计!$B$14:$K$20,9)/30))</f>
        <v>75.542951810569278</v>
      </c>
      <c r="FJ185" s="173">
        <f ca="1">(VLOOKUP(FJ$72,INDIRECT($C$5&amp;"生成成长"),2))/((VLOOKUP($B185,INDIRECT($B$5&amp;"生成成长"),4))/(VLOOKUP(FJ$72,INDIRECT($C$5&amp;"生成成长"),5))*(VLOOKUP($B$5,标准坦克设计!$B$24:$U$30,MATCH("对"&amp;LEFT($C$5,2)&amp;"输出",标准坦克设计!$B$23:$U$23,0)))*(VLOOKUP($B185,INDIRECT($B$5&amp;"生成成长"),3))*(VLOOKUP($B$5,标准坦克设计!$B$14:$K$20,9)/30))</f>
        <v>79.911622918612608</v>
      </c>
      <c r="FK185" s="173">
        <f ca="1">(VLOOKUP(FK$72,INDIRECT($C$5&amp;"生成成长"),2))/((VLOOKUP($B185,INDIRECT($B$5&amp;"生成成长"),4))/(VLOOKUP(FK$72,INDIRECT($C$5&amp;"生成成长"),5))*(VLOOKUP($B$5,标准坦克设计!$B$24:$U$30,MATCH("对"&amp;LEFT($C$5,2)&amp;"输出",标准坦克设计!$B$23:$U$23,0)))*(VLOOKUP($B185,INDIRECT($B$5&amp;"生成成长"),3))*(VLOOKUP($B$5,标准坦克设计!$B$14:$K$20,9)/30))</f>
        <v>84.403089106449571</v>
      </c>
    </row>
    <row r="186" spans="1:167" x14ac:dyDescent="0.15">
      <c r="A186" s="171" t="str">
        <f t="shared" si="12"/>
        <v>T3高品质3级</v>
      </c>
      <c r="B186" s="172">
        <v>30303</v>
      </c>
      <c r="C186" s="173">
        <f ca="1">(VLOOKUP(C$72,INDIRECT($C$5&amp;"生成成长"),2))/((VLOOKUP($B186,INDIRECT($B$5&amp;"生成成长"),4))/(VLOOKUP(C$72,INDIRECT($C$5&amp;"生成成长"),5))*(VLOOKUP($B$5,标准坦克设计!$B$24:$U$30,MATCH("对"&amp;LEFT($C$5,2)&amp;"输出",标准坦克设计!$B$23:$U$23,0)))*(VLOOKUP($B186,INDIRECT($B$5&amp;"生成成长"),3))*(VLOOKUP($B$5,标准坦克设计!$B$14:$K$20,9)/30))</f>
        <v>3.2562953221536448</v>
      </c>
      <c r="D186" s="173">
        <f ca="1">(VLOOKUP(D$72,INDIRECT($C$5&amp;"生成成长"),2))/((VLOOKUP($B186,INDIRECT($B$5&amp;"生成成长"),4))/(VLOOKUP(D$72,INDIRECT($C$5&amp;"生成成长"),5))*(VLOOKUP($B$5,标准坦克设计!$B$24:$U$30,MATCH("对"&amp;LEFT($C$5,2)&amp;"输出",标准坦克设计!$B$23:$U$23,0)))*(VLOOKUP($B186,INDIRECT($B$5&amp;"生成成长"),3))*(VLOOKUP($B$5,标准坦克设计!$B$14:$K$20,9)/30))</f>
        <v>3.658773423971835</v>
      </c>
      <c r="E186" s="173">
        <f ca="1">(VLOOKUP(E$72,INDIRECT($C$5&amp;"生成成长"),2))/((VLOOKUP($B186,INDIRECT($B$5&amp;"生成成长"),4))/(VLOOKUP(E$72,INDIRECT($C$5&amp;"生成成长"),5))*(VLOOKUP($B$5,标准坦克设计!$B$24:$U$30,MATCH("对"&amp;LEFT($C$5,2)&amp;"输出",标准坦克设计!$B$23:$U$23,0)))*(VLOOKUP($B186,INDIRECT($B$5&amp;"生成成长"),3))*(VLOOKUP($B$5,标准坦克设计!$B$14:$K$20,9)/30))</f>
        <v>4.0846968521095315</v>
      </c>
      <c r="F186" s="173">
        <f ca="1">(VLOOKUP(F$72,INDIRECT($C$5&amp;"生成成长"),2))/((VLOOKUP($B186,INDIRECT($B$5&amp;"生成成长"),4))/(VLOOKUP(F$72,INDIRECT($C$5&amp;"生成成长"),5))*(VLOOKUP($B$5,标准坦克设计!$B$24:$U$30,MATCH("对"&amp;LEFT($C$5,2)&amp;"输出",标准坦克设计!$B$23:$U$23,0)))*(VLOOKUP($B186,INDIRECT($B$5&amp;"生成成长"),3))*(VLOOKUP($B$5,标准坦克设计!$B$14:$K$20,9)/30))</f>
        <v>4.5340656065667346</v>
      </c>
      <c r="G186" s="173">
        <f ca="1">(VLOOKUP(G$72,INDIRECT($C$5&amp;"生成成长"),2))/((VLOOKUP($B186,INDIRECT($B$5&amp;"生成成长"),4))/(VLOOKUP(G$72,INDIRECT($C$5&amp;"生成成长"),5))*(VLOOKUP($B$5,标准坦克设计!$B$24:$U$30,MATCH("对"&amp;LEFT($C$5,2)&amp;"输出",标准坦克设计!$B$23:$U$23,0)))*(VLOOKUP($B186,INDIRECT($B$5&amp;"生成成长"),3))*(VLOOKUP($B$5,标准坦克设计!$B$14:$K$20,9)/30))</f>
        <v>5.006879687343444</v>
      </c>
      <c r="H186" s="173">
        <f ca="1">(VLOOKUP(H$72,INDIRECT($C$5&amp;"生成成长"),2))/((VLOOKUP($B186,INDIRECT($B$5&amp;"生成成长"),4))/(VLOOKUP(H$72,INDIRECT($C$5&amp;"生成成长"),5))*(VLOOKUP($B$5,标准坦克设计!$B$24:$U$30,MATCH("对"&amp;LEFT($C$5,2)&amp;"输出",标准坦克设计!$B$23:$U$23,0)))*(VLOOKUP($B186,INDIRECT($B$5&amp;"生成成长"),3))*(VLOOKUP($B$5,标准坦克设计!$B$14:$K$20,9)/30))</f>
        <v>4.3816709854899436</v>
      </c>
      <c r="I186" s="173">
        <f ca="1">(VLOOKUP(I$72,INDIRECT($C$5&amp;"生成成长"),2))/((VLOOKUP($B186,INDIRECT($B$5&amp;"生成成长"),4))/(VLOOKUP(I$72,INDIRECT($C$5&amp;"生成成长"),5))*(VLOOKUP($B$5,标准坦克设计!$B$24:$U$30,MATCH("对"&amp;LEFT($C$5,2)&amp;"输出",标准坦克设计!$B$23:$U$23,0)))*(VLOOKUP($B186,INDIRECT($B$5&amp;"生成成长"),3))*(VLOOKUP($B$5,标准坦克设计!$B$14:$K$20,9)/30))</f>
        <v>5.006879687343444</v>
      </c>
      <c r="J186" s="173">
        <f ca="1">(VLOOKUP(J$72,INDIRECT($C$5&amp;"生成成长"),2))/((VLOOKUP($B186,INDIRECT($B$5&amp;"生成成长"),4))/(VLOOKUP(J$72,INDIRECT($C$5&amp;"生成成长"),5))*(VLOOKUP($B$5,标准坦克设计!$B$24:$U$30,MATCH("对"&amp;LEFT($C$5,2)&amp;"输出",标准坦克设计!$B$23:$U$23,0)))*(VLOOKUP($B186,INDIRECT($B$5&amp;"生成成长"),3))*(VLOOKUP($B$5,标准坦克设计!$B$14:$K$20,9)/30))</f>
        <v>5.6737689693205109</v>
      </c>
      <c r="K186" s="173">
        <f ca="1">(VLOOKUP(K$72,INDIRECT($C$5&amp;"生成成长"),2))/((VLOOKUP($B186,INDIRECT($B$5&amp;"生成成长"),4))/(VLOOKUP(K$72,INDIRECT($C$5&amp;"生成成长"),5))*(VLOOKUP($B$5,标准坦克设计!$B$24:$U$30,MATCH("对"&amp;LEFT($C$5,2)&amp;"输出",标准坦克设计!$B$23:$U$23,0)))*(VLOOKUP($B186,INDIRECT($B$5&amp;"生成成长"),3))*(VLOOKUP($B$5,标准坦克设计!$B$14:$K$20,9)/30))</f>
        <v>6.3823388314211433</v>
      </c>
      <c r="L186" s="173">
        <f ca="1">(VLOOKUP(L$72,INDIRECT($C$5&amp;"生成成长"),2))/((VLOOKUP($B186,INDIRECT($B$5&amp;"生成成长"),4))/(VLOOKUP(L$72,INDIRECT($C$5&amp;"生成成长"),5))*(VLOOKUP($B$5,标准坦克设计!$B$24:$U$30,MATCH("对"&amp;LEFT($C$5,2)&amp;"输出",标准坦克设计!$B$23:$U$23,0)))*(VLOOKUP($B186,INDIRECT($B$5&amp;"生成成长"),3))*(VLOOKUP($B$5,标准坦克设计!$B$14:$K$20,9)/30))</f>
        <v>7.132589273645344</v>
      </c>
      <c r="M186" s="173">
        <f ca="1">(VLOOKUP(M$72,INDIRECT($C$5&amp;"生成成长"),2))/((VLOOKUP($B186,INDIRECT($B$5&amp;"生成成长"),4))/(VLOOKUP(M$72,INDIRECT($C$5&amp;"生成成长"),5))*(VLOOKUP($B$5,标准坦克设计!$B$24:$U$30,MATCH("对"&amp;LEFT($C$5,2)&amp;"输出",标准坦克设计!$B$23:$U$23,0)))*(VLOOKUP($B186,INDIRECT($B$5&amp;"生成成长"),3))*(VLOOKUP($B$5,标准坦克设计!$B$14:$K$20,9)/30))</f>
        <v>7.9245202959931103</v>
      </c>
      <c r="N186" s="173">
        <f ca="1">(VLOOKUP(N$72,INDIRECT($C$5&amp;"生成成长"),2))/((VLOOKUP($B186,INDIRECT($B$5&amp;"生成成长"),4))/(VLOOKUP(N$72,INDIRECT($C$5&amp;"生成成长"),5))*(VLOOKUP($B$5,标准坦克设计!$B$24:$U$30,MATCH("对"&amp;LEFT($C$5,2)&amp;"输出",标准坦克设计!$B$23:$U$23,0)))*(VLOOKUP($B186,INDIRECT($B$5&amp;"生成成长"),3))*(VLOOKUP($B$5,标准坦克设计!$B$14:$K$20,9)/30))</f>
        <v>8.7581318984644412</v>
      </c>
      <c r="O186" s="173">
        <f ca="1">(VLOOKUP(O$72,INDIRECT($C$5&amp;"生成成长"),2))/((VLOOKUP($B186,INDIRECT($B$5&amp;"生成成长"),4))/(VLOOKUP(O$72,INDIRECT($C$5&amp;"生成成长"),5))*(VLOOKUP($B$5,标准坦克设计!$B$24:$U$30,MATCH("对"&amp;LEFT($C$5,2)&amp;"输出",标准坦克设计!$B$23:$U$23,0)))*(VLOOKUP($B186,INDIRECT($B$5&amp;"生成成长"),3))*(VLOOKUP($B$5,标准坦克设计!$B$14:$K$20,9)/30))</f>
        <v>6.658798304271988</v>
      </c>
      <c r="P186" s="173">
        <f ca="1">(VLOOKUP(P$72,INDIRECT($C$5&amp;"生成成长"),2))/((VLOOKUP($B186,INDIRECT($B$5&amp;"生成成长"),4))/(VLOOKUP(P$72,INDIRECT($C$5&amp;"生成成长"),5))*(VLOOKUP($B$5,标准坦克设计!$B$24:$U$30,MATCH("对"&amp;LEFT($C$5,2)&amp;"输出",标准坦克设计!$B$23:$U$23,0)))*(VLOOKUP($B186,INDIRECT($B$5&amp;"生成成长"),3))*(VLOOKUP($B$5,标准坦克设计!$B$14:$K$20,9)/30))</f>
        <v>7.5233447123037802</v>
      </c>
      <c r="Q186" s="173">
        <f ca="1">(VLOOKUP(Q$72,INDIRECT($C$5&amp;"生成成长"),2))/((VLOOKUP($B186,INDIRECT($B$5&amp;"生成成长"),4))/(VLOOKUP(Q$72,INDIRECT($C$5&amp;"生成成长"),5))*(VLOOKUP($B$5,标准坦克设计!$B$24:$U$30,MATCH("对"&amp;LEFT($C$5,2)&amp;"输出",标准坦克设计!$B$23:$U$23,0)))*(VLOOKUP($B186,INDIRECT($B$5&amp;"生成成长"),3))*(VLOOKUP($B$5,标准坦克设计!$B$14:$K$20,9)/30))</f>
        <v>8.4406431045544625</v>
      </c>
      <c r="R186" s="173">
        <f ca="1">(VLOOKUP(R$72,INDIRECT($C$5&amp;"生成成长"),2))/((VLOOKUP($B186,INDIRECT($B$5&amp;"生成成长"),4))/(VLOOKUP(R$72,INDIRECT($C$5&amp;"生成成长"),5))*(VLOOKUP($B$5,标准坦克设计!$B$24:$U$30,MATCH("对"&amp;LEFT($C$5,2)&amp;"输出",标准坦克设计!$B$23:$U$23,0)))*(VLOOKUP($B186,INDIRECT($B$5&amp;"生成成长"),3))*(VLOOKUP($B$5,标准坦克设计!$B$14:$K$20,9)/30))</f>
        <v>9.4106934810240332</v>
      </c>
      <c r="S186" s="173">
        <f ca="1">(VLOOKUP(S$72,INDIRECT($C$5&amp;"生成成长"),2))/((VLOOKUP($B186,INDIRECT($B$5&amp;"生成成长"),4))/(VLOOKUP(S$72,INDIRECT($C$5&amp;"生成成长"),5))*(VLOOKUP($B$5,标准坦克设计!$B$24:$U$30,MATCH("对"&amp;LEFT($C$5,2)&amp;"输出",标准坦克设计!$B$23:$U$23,0)))*(VLOOKUP($B186,INDIRECT($B$5&amp;"生成成长"),3))*(VLOOKUP($B$5,标准坦克设计!$B$14:$K$20,9)/30))</f>
        <v>10.433495841712494</v>
      </c>
      <c r="T186" s="173">
        <f ca="1">(VLOOKUP(T$72,INDIRECT($C$5&amp;"生成成长"),2))/((VLOOKUP($B186,INDIRECT($B$5&amp;"生成成长"),4))/(VLOOKUP(T$72,INDIRECT($C$5&amp;"生成成长"),5))*(VLOOKUP($B$5,标准坦克设计!$B$24:$U$30,MATCH("对"&amp;LEFT($C$5,2)&amp;"输出",标准坦克设计!$B$23:$U$23,0)))*(VLOOKUP($B186,INDIRECT($B$5&amp;"生成成长"),3))*(VLOOKUP($B$5,标准坦克设计!$B$14:$K$20,9)/30))</f>
        <v>11.509050186619843</v>
      </c>
      <c r="U186" s="173">
        <f ca="1">(VLOOKUP(U$72,INDIRECT($C$5&amp;"生成成长"),2))/((VLOOKUP($B186,INDIRECT($B$5&amp;"生成成长"),4))/(VLOOKUP(U$72,INDIRECT($C$5&amp;"生成成长"),5))*(VLOOKUP($B$5,标准坦克设计!$B$24:$U$30,MATCH("对"&amp;LEFT($C$5,2)&amp;"输出",标准坦克设计!$B$23:$U$23,0)))*(VLOOKUP($B186,INDIRECT($B$5&amp;"生成成长"),3))*(VLOOKUP($B$5,标准坦克设计!$B$14:$K$20,9)/30))</f>
        <v>12.637356515746081</v>
      </c>
      <c r="V186" s="173">
        <f ca="1">(VLOOKUP(V$72,INDIRECT($C$5&amp;"生成成长"),2))/((VLOOKUP($B186,INDIRECT($B$5&amp;"生成成长"),4))/(VLOOKUP(V$72,INDIRECT($C$5&amp;"生成成长"),5))*(VLOOKUP($B$5,标准坦克设计!$B$24:$U$30,MATCH("对"&amp;LEFT($C$5,2)&amp;"输出",标准坦克设计!$B$23:$U$23,0)))*(VLOOKUP($B186,INDIRECT($B$5&amp;"生成成长"),3))*(VLOOKUP($B$5,标准坦克设计!$B$14:$K$20,9)/30))</f>
        <v>13.818414829091207</v>
      </c>
      <c r="W186" s="173">
        <f ca="1">(VLOOKUP(W$72,INDIRECT($C$5&amp;"生成成长"),2))/((VLOOKUP($B186,INDIRECT($B$5&amp;"生成成长"),4))/(VLOOKUP(W$72,INDIRECT($C$5&amp;"生成成长"),5))*(VLOOKUP($B$5,标准坦克设计!$B$24:$U$30,MATCH("对"&amp;LEFT($C$5,2)&amp;"输出",标准坦克设计!$B$23:$U$23,0)))*(VLOOKUP($B186,INDIRECT($B$5&amp;"生成成长"),3))*(VLOOKUP($B$5,标准坦克设计!$B$14:$K$20,9)/30))</f>
        <v>15.052225126655225</v>
      </c>
      <c r="X186" s="173">
        <f ca="1">(VLOOKUP(X$72,INDIRECT($C$5&amp;"生成成长"),2))/((VLOOKUP($B186,INDIRECT($B$5&amp;"生成成长"),4))/(VLOOKUP(X$72,INDIRECT($C$5&amp;"生成成长"),5))*(VLOOKUP($B$5,标准坦克设计!$B$24:$U$30,MATCH("对"&amp;LEFT($C$5,2)&amp;"输出",标准坦克设计!$B$23:$U$23,0)))*(VLOOKUP($B186,INDIRECT($B$5&amp;"生成成长"),3))*(VLOOKUP($B$5,标准坦克设计!$B$14:$K$20,9)/30))</f>
        <v>10.905007404360342</v>
      </c>
      <c r="Y186" s="173">
        <f ca="1">(VLOOKUP(Y$72,INDIRECT($C$5&amp;"生成成长"),2))/((VLOOKUP($B186,INDIRECT($B$5&amp;"生成成长"),4))/(VLOOKUP(Y$72,INDIRECT($C$5&amp;"生成成长"),5))*(VLOOKUP($B$5,标准坦克设计!$B$24:$U$30,MATCH("对"&amp;LEFT($C$5,2)&amp;"输出",标准坦克设计!$B$23:$U$23,0)))*(VLOOKUP($B186,INDIRECT($B$5&amp;"生成成长"),3))*(VLOOKUP($B$5,标准坦克设计!$B$14:$K$20,9)/30))</f>
        <v>12.129374445490111</v>
      </c>
      <c r="Z186" s="173">
        <f ca="1">(VLOOKUP(Z$72,INDIRECT($C$5&amp;"生成成长"),2))/((VLOOKUP($B186,INDIRECT($B$5&amp;"生成成长"),4))/(VLOOKUP(Z$72,INDIRECT($C$5&amp;"生成成长"),5))*(VLOOKUP($B$5,标准坦克设计!$B$24:$U$30,MATCH("对"&amp;LEFT($C$5,2)&amp;"输出",标准坦克设计!$B$23:$U$23,0)))*(VLOOKUP($B186,INDIRECT($B$5&amp;"生成成长"),3))*(VLOOKUP($B$5,标准坦克设计!$B$14:$K$20,9)/30))</f>
        <v>13.418867393062953</v>
      </c>
      <c r="AA186" s="173">
        <f ca="1">(VLOOKUP(AA$72,INDIRECT($C$5&amp;"生成成长"),2))/((VLOOKUP($B186,INDIRECT($B$5&amp;"生成成长"),4))/(VLOOKUP(AA$72,INDIRECT($C$5&amp;"生成成长"),5))*(VLOOKUP($B$5,标准坦克设计!$B$24:$U$30,MATCH("对"&amp;LEFT($C$5,2)&amp;"输出",标准坦克设计!$B$23:$U$23,0)))*(VLOOKUP($B186,INDIRECT($B$5&amp;"生成成长"),3))*(VLOOKUP($B$5,标准坦克设计!$B$14:$K$20,9)/30))</f>
        <v>14.773486247078869</v>
      </c>
      <c r="AB186" s="173">
        <f ca="1">(VLOOKUP(AB$72,INDIRECT($C$5&amp;"生成成长"),2))/((VLOOKUP($B186,INDIRECT($B$5&amp;"生成成长"),4))/(VLOOKUP(AB$72,INDIRECT($C$5&amp;"生成成长"),5))*(VLOOKUP($B$5,标准坦克设计!$B$24:$U$30,MATCH("对"&amp;LEFT($C$5,2)&amp;"输出",标准坦克设计!$B$23:$U$23,0)))*(VLOOKUP($B186,INDIRECT($B$5&amp;"生成成长"),3))*(VLOOKUP($B$5,标准坦克设计!$B$14:$K$20,9)/30))</f>
        <v>16.193231007537857</v>
      </c>
      <c r="AC186" s="173">
        <f ca="1">(VLOOKUP(AC$72,INDIRECT($C$5&amp;"生成成长"),2))/((VLOOKUP($B186,INDIRECT($B$5&amp;"生成成长"),4))/(VLOOKUP(AC$72,INDIRECT($C$5&amp;"生成成长"),5))*(VLOOKUP($B$5,标准坦克设计!$B$24:$U$30,MATCH("对"&amp;LEFT($C$5,2)&amp;"输出",标准坦克设计!$B$23:$U$23,0)))*(VLOOKUP($B186,INDIRECT($B$5&amp;"生成成长"),3))*(VLOOKUP($B$5,标准坦克设计!$B$14:$K$20,9)/30))</f>
        <v>17.678101674439919</v>
      </c>
      <c r="AD186" s="173">
        <f ca="1">(VLOOKUP(AD$72,INDIRECT($C$5&amp;"生成成长"),2))/((VLOOKUP($B186,INDIRECT($B$5&amp;"生成成长"),4))/(VLOOKUP(AD$72,INDIRECT($C$5&amp;"生成成长"),5))*(VLOOKUP($B$5,标准坦克设计!$B$24:$U$30,MATCH("对"&amp;LEFT($C$5,2)&amp;"输出",标准坦克设计!$B$23:$U$23,0)))*(VLOOKUP($B186,INDIRECT($B$5&amp;"生成成长"),3))*(VLOOKUP($B$5,标准坦克设计!$B$14:$K$20,9)/30))</f>
        <v>19.228098247785059</v>
      </c>
      <c r="AE186" s="173">
        <f ca="1">(VLOOKUP(AE$72,INDIRECT($C$5&amp;"生成成长"),2))/((VLOOKUP($B186,INDIRECT($B$5&amp;"生成成长"),4))/(VLOOKUP(AE$72,INDIRECT($C$5&amp;"生成成长"),5))*(VLOOKUP($B$5,标准坦克设计!$B$24:$U$30,MATCH("对"&amp;LEFT($C$5,2)&amp;"输出",标准坦克设计!$B$23:$U$23,0)))*(VLOOKUP($B186,INDIRECT($B$5&amp;"生成成长"),3))*(VLOOKUP($B$5,标准坦克设计!$B$14:$K$20,9)/30))</f>
        <v>20.843220727573264</v>
      </c>
      <c r="AF186" s="173">
        <f ca="1">(VLOOKUP(AF$72,INDIRECT($C$5&amp;"生成成长"),2))/((VLOOKUP($B186,INDIRECT($B$5&amp;"生成成长"),4))/(VLOOKUP(AF$72,INDIRECT($C$5&amp;"生成成长"),5))*(VLOOKUP($B$5,标准坦克设计!$B$24:$U$30,MATCH("对"&amp;LEFT($C$5,2)&amp;"输出",标准坦克设计!$B$23:$U$23,0)))*(VLOOKUP($B186,INDIRECT($B$5&amp;"生成成长"),3))*(VLOOKUP($B$5,标准坦克设计!$B$14:$K$20,9)/30))</f>
        <v>22.523469113804545</v>
      </c>
      <c r="AG186" s="173">
        <f ca="1">(VLOOKUP(AG$72,INDIRECT($C$5&amp;"生成成长"),2))/((VLOOKUP($B186,INDIRECT($B$5&amp;"生成成长"),4))/(VLOOKUP(AG$72,INDIRECT($C$5&amp;"生成成长"),5))*(VLOOKUP($B$5,标准坦克设计!$B$24:$U$30,MATCH("对"&amp;LEFT($C$5,2)&amp;"输出",标准坦克设计!$B$23:$U$23,0)))*(VLOOKUP($B186,INDIRECT($B$5&amp;"生成成长"),3))*(VLOOKUP($B$5,标准坦克设计!$B$14:$K$20,9)/30))</f>
        <v>24.268843406478897</v>
      </c>
      <c r="AH186" s="173">
        <f ca="1">(VLOOKUP(AH$72,INDIRECT($C$5&amp;"生成成长"),2))/((VLOOKUP($B186,INDIRECT($B$5&amp;"生成成长"),4))/(VLOOKUP(AH$72,INDIRECT($C$5&amp;"生成成长"),5))*(VLOOKUP($B$5,标准坦克设计!$B$24:$U$30,MATCH("对"&amp;LEFT($C$5,2)&amp;"输出",标准坦克设计!$B$23:$U$23,0)))*(VLOOKUP($B186,INDIRECT($B$5&amp;"生成成长"),3))*(VLOOKUP($B$5,标准坦克设计!$B$14:$K$20,9)/30))</f>
        <v>26.079343605596325</v>
      </c>
      <c r="AI186" s="173">
        <f ca="1">(VLOOKUP(AI$72,INDIRECT($C$5&amp;"生成成长"),2))/((VLOOKUP($B186,INDIRECT($B$5&amp;"生成成长"),4))/(VLOOKUP(AI$72,INDIRECT($C$5&amp;"生成成长"),5))*(VLOOKUP($B$5,标准坦克设计!$B$24:$U$30,MATCH("对"&amp;LEFT($C$5,2)&amp;"输出",标准坦克设计!$B$23:$U$23,0)))*(VLOOKUP($B186,INDIRECT($B$5&amp;"生成成长"),3))*(VLOOKUP($B$5,标准坦克设计!$B$14:$K$20,9)/30))</f>
        <v>18.444959222807107</v>
      </c>
      <c r="AJ186" s="173">
        <f ca="1">(VLOOKUP(AJ$72,INDIRECT($C$5&amp;"生成成长"),2))/((VLOOKUP($B186,INDIRECT($B$5&amp;"生成成长"),4))/(VLOOKUP(AJ$72,INDIRECT($C$5&amp;"生成成长"),5))*(VLOOKUP($B$5,标准坦克设计!$B$24:$U$30,MATCH("对"&amp;LEFT($C$5,2)&amp;"输出",标准坦克设计!$B$23:$U$23,0)))*(VLOOKUP($B186,INDIRECT($B$5&amp;"生成成长"),3))*(VLOOKUP($B$5,标准坦克设计!$B$14:$K$20,9)/30))</f>
        <v>20.189356626884809</v>
      </c>
      <c r="AK186" s="173">
        <f ca="1">(VLOOKUP(AK$72,INDIRECT($C$5&amp;"生成成长"),2))/((VLOOKUP($B186,INDIRECT($B$5&amp;"生成成长"),4))/(VLOOKUP(AK$72,INDIRECT($C$5&amp;"生成成长"),5))*(VLOOKUP($B$5,标准坦克设计!$B$24:$U$30,MATCH("对"&amp;LEFT($C$5,2)&amp;"输出",标准坦克设计!$B$23:$U$23,0)))*(VLOOKUP($B186,INDIRECT($B$5&amp;"生成成长"),3))*(VLOOKUP($B$5,标准坦克设计!$B$14:$K$20,9)/30))</f>
        <v>22.012556377758635</v>
      </c>
      <c r="AL186" s="173">
        <f ca="1">(VLOOKUP(AL$72,INDIRECT($C$5&amp;"生成成长"),2))/((VLOOKUP($B186,INDIRECT($B$5&amp;"生成成长"),4))/(VLOOKUP(AL$72,INDIRECT($C$5&amp;"生成成长"),5))*(VLOOKUP($B$5,标准坦克设计!$B$24:$U$30,MATCH("对"&amp;LEFT($C$5,2)&amp;"输出",标准坦克设计!$B$23:$U$23,0)))*(VLOOKUP($B186,INDIRECT($B$5&amp;"生成成长"),3))*(VLOOKUP($B$5,标准坦克设计!$B$14:$K$20,9)/30))</f>
        <v>23.914558475428585</v>
      </c>
      <c r="AM186" s="173">
        <f ca="1">(VLOOKUP(AM$72,INDIRECT($C$5&amp;"生成成长"),2))/((VLOOKUP($B186,INDIRECT($B$5&amp;"生成成长"),4))/(VLOOKUP(AM$72,INDIRECT($C$5&amp;"生成成长"),5))*(VLOOKUP($B$5,标准坦克设计!$B$24:$U$30,MATCH("对"&amp;LEFT($C$5,2)&amp;"输出",标准坦克设计!$B$23:$U$23,0)))*(VLOOKUP($B186,INDIRECT($B$5&amp;"生成成长"),3))*(VLOOKUP($B$5,标准坦克设计!$B$14:$K$20,9)/30))</f>
        <v>25.895362919894641</v>
      </c>
      <c r="AN186" s="173">
        <f ca="1">(VLOOKUP(AN$72,INDIRECT($C$5&amp;"生成成长"),2))/((VLOOKUP($B186,INDIRECT($B$5&amp;"生成成长"),4))/(VLOOKUP(AN$72,INDIRECT($C$5&amp;"生成成长"),5))*(VLOOKUP($B$5,标准坦克设计!$B$24:$U$30,MATCH("对"&amp;LEFT($C$5,2)&amp;"输出",标准坦克设计!$B$23:$U$23,0)))*(VLOOKUP($B186,INDIRECT($B$5&amp;"生成成长"),3))*(VLOOKUP($B$5,标准坦克设计!$B$14:$K$20,9)/30))</f>
        <v>27.954969711156821</v>
      </c>
      <c r="AO186" s="173">
        <f ca="1">(VLOOKUP(AO$72,INDIRECT($C$5&amp;"生成成长"),2))/((VLOOKUP($B186,INDIRECT($B$5&amp;"生成成长"),4))/(VLOOKUP(AO$72,INDIRECT($C$5&amp;"生成成长"),5))*(VLOOKUP($B$5,标准坦克设计!$B$24:$U$30,MATCH("对"&amp;LEFT($C$5,2)&amp;"输出",标准坦克设计!$B$23:$U$23,0)))*(VLOOKUP($B186,INDIRECT($B$5&amp;"生成成长"),3))*(VLOOKUP($B$5,标准坦克设计!$B$14:$K$20,9)/30))</f>
        <v>30.093378849215121</v>
      </c>
      <c r="AP186" s="173">
        <f ca="1">(VLOOKUP(AP$72,INDIRECT($C$5&amp;"生成成长"),2))/((VLOOKUP($B186,INDIRECT($B$5&amp;"生成成长"),4))/(VLOOKUP(AP$72,INDIRECT($C$5&amp;"生成成长"),5))*(VLOOKUP($B$5,标准坦克设计!$B$24:$U$30,MATCH("对"&amp;LEFT($C$5,2)&amp;"输出",标准坦克设计!$B$23:$U$23,0)))*(VLOOKUP($B186,INDIRECT($B$5&amp;"生成成长"),3))*(VLOOKUP($B$5,标准坦克设计!$B$14:$K$20,9)/30))</f>
        <v>32.310590334069538</v>
      </c>
      <c r="AQ186" s="173">
        <f ca="1">(VLOOKUP(AQ$72,INDIRECT($C$5&amp;"生成成长"),2))/((VLOOKUP($B186,INDIRECT($B$5&amp;"生成成长"),4))/(VLOOKUP(AQ$72,INDIRECT($C$5&amp;"生成成长"),5))*(VLOOKUP($B$5,标准坦克设计!$B$24:$U$30,MATCH("对"&amp;LEFT($C$5,2)&amp;"输出",标准坦克设计!$B$23:$U$23,0)))*(VLOOKUP($B186,INDIRECT($B$5&amp;"生成成长"),3))*(VLOOKUP($B$5,标准坦克设计!$B$14:$K$20,9)/30))</f>
        <v>34.606604165720071</v>
      </c>
      <c r="AR186" s="173">
        <f ca="1">(VLOOKUP(AR$72,INDIRECT($C$5&amp;"生成成长"),2))/((VLOOKUP($B186,INDIRECT($B$5&amp;"生成成长"),4))/(VLOOKUP(AR$72,INDIRECT($C$5&amp;"生成成长"),5))*(VLOOKUP($B$5,标准坦克设计!$B$24:$U$30,MATCH("对"&amp;LEFT($C$5,2)&amp;"输出",标准坦克设计!$B$23:$U$23,0)))*(VLOOKUP($B186,INDIRECT($B$5&amp;"生成成长"),3))*(VLOOKUP($B$5,标准坦克设计!$B$14:$K$20,9)/30))</f>
        <v>36.981420344166729</v>
      </c>
      <c r="AS186" s="173">
        <f ca="1">(VLOOKUP(AS$72,INDIRECT($C$5&amp;"生成成长"),2))/((VLOOKUP($B186,INDIRECT($B$5&amp;"生成成长"),4))/(VLOOKUP(AS$72,INDIRECT($C$5&amp;"生成成长"),5))*(VLOOKUP($B$5,标准坦克设计!$B$24:$U$30,MATCH("对"&amp;LEFT($C$5,2)&amp;"输出",标准坦克设计!$B$23:$U$23,0)))*(VLOOKUP($B186,INDIRECT($B$5&amp;"生成成长"),3))*(VLOOKUP($B$5,标准坦克设计!$B$14:$K$20,9)/30))</f>
        <v>39.435038869409496</v>
      </c>
      <c r="AT186" s="173">
        <f ca="1">(VLOOKUP(AT$72,INDIRECT($C$5&amp;"生成成长"),2))/((VLOOKUP($B186,INDIRECT($B$5&amp;"生成成长"),4))/(VLOOKUP(AT$72,INDIRECT($C$5&amp;"生成成长"),5))*(VLOOKUP($B$5,标准坦克设计!$B$24:$U$30,MATCH("对"&amp;LEFT($C$5,2)&amp;"输出",标准坦克设计!$B$23:$U$23,0)))*(VLOOKUP($B186,INDIRECT($B$5&amp;"生成成长"),3))*(VLOOKUP($B$5,标准坦克设计!$B$14:$K$20,9)/30))</f>
        <v>41.967459741448387</v>
      </c>
      <c r="AU186" s="173">
        <f ca="1">(VLOOKUP(AU$72,INDIRECT($C$5&amp;"生成成长"),2))/((VLOOKUP($B186,INDIRECT($B$5&amp;"生成成长"),4))/(VLOOKUP(AU$72,INDIRECT($C$5&amp;"生成成长"),5))*(VLOOKUP($B$5,标准坦克设计!$B$24:$U$30,MATCH("对"&amp;LEFT($C$5,2)&amp;"输出",标准坦克设计!$B$23:$U$23,0)))*(VLOOKUP($B186,INDIRECT($B$5&amp;"生成成长"),3))*(VLOOKUP($B$5,标准坦克设计!$B$14:$K$20,9)/30))</f>
        <v>44.578682960283388</v>
      </c>
      <c r="AV186" s="173">
        <f ca="1">(VLOOKUP(AV$72,INDIRECT($C$5&amp;"生成成长"),2))/((VLOOKUP($B186,INDIRECT($B$5&amp;"生成成长"),4))/(VLOOKUP(AV$72,INDIRECT($C$5&amp;"生成成长"),5))*(VLOOKUP($B$5,标准坦克设计!$B$24:$U$30,MATCH("对"&amp;LEFT($C$5,2)&amp;"输出",标准坦克设计!$B$23:$U$23,0)))*(VLOOKUP($B186,INDIRECT($B$5&amp;"生成成长"),3))*(VLOOKUP($B$5,标准坦克设计!$B$14:$K$20,9)/30))</f>
        <v>4.5340656065667346</v>
      </c>
      <c r="AW186" s="173">
        <f ca="1">(VLOOKUP(AW$72,INDIRECT($C$5&amp;"生成成长"),2))/((VLOOKUP($B186,INDIRECT($B$5&amp;"生成成长"),4))/(VLOOKUP(AW$72,INDIRECT($C$5&amp;"生成成长"),5))*(VLOOKUP($B$5,标准坦克设计!$B$24:$U$30,MATCH("对"&amp;LEFT($C$5,2)&amp;"输出",标准坦克设计!$B$23:$U$23,0)))*(VLOOKUP($B186,INDIRECT($B$5&amp;"生成成长"),3))*(VLOOKUP($B$5,标准坦克设计!$B$14:$K$20,9)/30))</f>
        <v>5.1696944534511253</v>
      </c>
      <c r="AX186" s="173">
        <f ca="1">(VLOOKUP(AX$72,INDIRECT($C$5&amp;"生成成长"),2))/((VLOOKUP($B186,INDIRECT($B$5&amp;"生成成长"),4))/(VLOOKUP(AX$72,INDIRECT($C$5&amp;"生成成长"),5))*(VLOOKUP($B$5,标准坦克设计!$B$24:$U$30,MATCH("对"&amp;LEFT($C$5,2)&amp;"输出",标准坦克设计!$B$23:$U$23,0)))*(VLOOKUP($B186,INDIRECT($B$5&amp;"生成成长"),3))*(VLOOKUP($B$5,标准坦克设计!$B$14:$K$20,9)/30))</f>
        <v>5.8470038804590843</v>
      </c>
      <c r="AY186" s="173">
        <f ca="1">(VLOOKUP(AY$72,INDIRECT($C$5&amp;"生成成长"),2))/((VLOOKUP($B186,INDIRECT($B$5&amp;"生成成长"),4))/(VLOOKUP(AY$72,INDIRECT($C$5&amp;"生成成长"),5))*(VLOOKUP($B$5,标准坦克设计!$B$24:$U$30,MATCH("对"&amp;LEFT($C$5,2)&amp;"输出",标准坦克设计!$B$23:$U$23,0)))*(VLOOKUP($B186,INDIRECT($B$5&amp;"生成成长"),3))*(VLOOKUP($B$5,标准坦克设计!$B$14:$K$20,9)/30))</f>
        <v>6.5659938875906088</v>
      </c>
      <c r="AZ186" s="173">
        <f ca="1">(VLOOKUP(AZ$72,INDIRECT($C$5&amp;"生成成长"),2))/((VLOOKUP($B186,INDIRECT($B$5&amp;"生成成长"),4))/(VLOOKUP(AZ$72,INDIRECT($C$5&amp;"生成成长"),5))*(VLOOKUP($B$5,标准坦克设计!$B$24:$U$30,MATCH("对"&amp;LEFT($C$5,2)&amp;"输出",标准坦克设计!$B$23:$U$23,0)))*(VLOOKUP($B186,INDIRECT($B$5&amp;"生成成长"),3))*(VLOOKUP($B$5,标准坦克设计!$B$14:$K$20,9)/30))</f>
        <v>7.3266644748457006</v>
      </c>
      <c r="BA186" s="173">
        <f ca="1">(VLOOKUP(BA$72,INDIRECT($C$5&amp;"生成成长"),2))/((VLOOKUP($B186,INDIRECT($B$5&amp;"生成成长"),4))/(VLOOKUP(BA$72,INDIRECT($C$5&amp;"生成成长"),5))*(VLOOKUP($B$5,标准坦克设计!$B$24:$U$30,MATCH("对"&amp;LEFT($C$5,2)&amp;"输出",标准坦克设计!$B$23:$U$23,0)))*(VLOOKUP($B186,INDIRECT($B$5&amp;"生成成长"),3))*(VLOOKUP($B$5,标准坦克设计!$B$14:$K$20,9)/30))</f>
        <v>8.129015642224358</v>
      </c>
      <c r="BB186" s="173">
        <f ca="1">(VLOOKUP(BB$72,INDIRECT($C$5&amp;"生成成长"),2))/((VLOOKUP($B186,INDIRECT($B$5&amp;"生成成长"),4))/(VLOOKUP(BB$72,INDIRECT($C$5&amp;"生成成长"),5))*(VLOOKUP($B$5,标准坦克设计!$B$24:$U$30,MATCH("对"&amp;LEFT($C$5,2)&amp;"输出",标准坦克设计!$B$23:$U$23,0)))*(VLOOKUP($B186,INDIRECT($B$5&amp;"生成成长"),3))*(VLOOKUP($B$5,标准坦克设计!$B$14:$K$20,9)/30))</f>
        <v>8.9730473897265828</v>
      </c>
      <c r="BC186" s="173">
        <f ca="1">(VLOOKUP(BC$72,INDIRECT($C$5&amp;"生成成长"),2))/((VLOOKUP($B186,INDIRECT($B$5&amp;"生成成长"),4))/(VLOOKUP(BC$72,INDIRECT($C$5&amp;"生成成长"),5))*(VLOOKUP($B$5,标准坦克设计!$B$24:$U$30,MATCH("对"&amp;LEFT($C$5,2)&amp;"输出",标准坦克设计!$B$23:$U$23,0)))*(VLOOKUP($B186,INDIRECT($B$5&amp;"生成成长"),3))*(VLOOKUP($B$5,标准坦克设计!$B$14:$K$20,9)/30))</f>
        <v>9.858759717352374</v>
      </c>
      <c r="BD186" s="173">
        <f ca="1">(VLOOKUP(BD$72,INDIRECT($C$5&amp;"生成成长"),2))/((VLOOKUP($B186,INDIRECT($B$5&amp;"生成成长"),4))/(VLOOKUP(BD$72,INDIRECT($C$5&amp;"生成成长"),5))*(VLOOKUP($B$5,标准坦克设计!$B$24:$U$30,MATCH("对"&amp;LEFT($C$5,2)&amp;"输出",标准坦克设计!$B$23:$U$23,0)))*(VLOOKUP($B186,INDIRECT($B$5&amp;"生成成长"),3))*(VLOOKUP($B$5,标准坦克设计!$B$14:$K$20,9)/30))</f>
        <v>10.905007404360342</v>
      </c>
      <c r="BE186" s="173">
        <f ca="1">(VLOOKUP(BE$72,INDIRECT($C$5&amp;"生成成长"),2))/((VLOOKUP($B186,INDIRECT($B$5&amp;"生成成长"),4))/(VLOOKUP(BE$72,INDIRECT($C$5&amp;"生成成长"),5))*(VLOOKUP($B$5,标准坦克设计!$B$24:$U$30,MATCH("对"&amp;LEFT($C$5,2)&amp;"输出",标准坦克设计!$B$23:$U$23,0)))*(VLOOKUP($B186,INDIRECT($B$5&amp;"生成成长"),3))*(VLOOKUP($B$5,标准坦克设计!$B$14:$K$20,9)/30))</f>
        <v>12.004007075587198</v>
      </c>
      <c r="BF186" s="173">
        <f ca="1">(VLOOKUP(BF$72,INDIRECT($C$5&amp;"生成成长"),2))/((VLOOKUP($B186,INDIRECT($B$5&amp;"生成成长"),4))/(VLOOKUP(BF$72,INDIRECT($C$5&amp;"生成成长"),5))*(VLOOKUP($B$5,标准坦克设计!$B$24:$U$30,MATCH("对"&amp;LEFT($C$5,2)&amp;"输出",标准坦克设计!$B$23:$U$23,0)))*(VLOOKUP($B186,INDIRECT($B$5&amp;"生成成长"),3))*(VLOOKUP($B$5,标准坦克设计!$B$14:$K$20,9)/30))</f>
        <v>13.15575873103294</v>
      </c>
      <c r="BG186" s="173">
        <f ca="1">(VLOOKUP(BG$72,INDIRECT($C$5&amp;"生成成长"),2))/((VLOOKUP($B186,INDIRECT($B$5&amp;"生成成长"),4))/(VLOOKUP(BG$72,INDIRECT($C$5&amp;"生成成长"),5))*(VLOOKUP($B$5,标准坦克设计!$B$24:$U$30,MATCH("对"&amp;LEFT($C$5,2)&amp;"输出",标准坦克设计!$B$23:$U$23,0)))*(VLOOKUP($B186,INDIRECT($B$5&amp;"生成成长"),3))*(VLOOKUP($B$5,标准坦克设计!$B$14:$K$20,9)/30))</f>
        <v>14.360262370697571</v>
      </c>
      <c r="BH186" s="173">
        <f ca="1">(VLOOKUP(BH$72,INDIRECT($C$5&amp;"生成成长"),2))/((VLOOKUP($B186,INDIRECT($B$5&amp;"生成成长"),4))/(VLOOKUP(BH$72,INDIRECT($C$5&amp;"生成成长"),5))*(VLOOKUP($B$5,标准坦克设计!$B$24:$U$30,MATCH("对"&amp;LEFT($C$5,2)&amp;"输出",标准坦克设计!$B$23:$U$23,0)))*(VLOOKUP($B186,INDIRECT($B$5&amp;"生成成长"),3))*(VLOOKUP($B$5,标准坦克设计!$B$14:$K$20,9)/30))</f>
        <v>6.9411191087027095</v>
      </c>
      <c r="BI186" s="173">
        <f ca="1">(VLOOKUP(BI$72,INDIRECT($C$5&amp;"生成成长"),2))/((VLOOKUP($B186,INDIRECT($B$5&amp;"生成成长"),4))/(VLOOKUP(BI$72,INDIRECT($C$5&amp;"生成成长"),5))*(VLOOKUP($B$5,标准坦克设计!$B$24:$U$30,MATCH("对"&amp;LEFT($C$5,2)&amp;"输出",标准坦克设计!$B$23:$U$23,0)))*(VLOOKUP($B186,INDIRECT($B$5&amp;"生成成长"),3))*(VLOOKUP($B$5,标准坦克设计!$B$14:$K$20,9)/30))</f>
        <v>7.8232495114741312</v>
      </c>
      <c r="BJ186" s="173">
        <f ca="1">(VLOOKUP(BJ$72,INDIRECT($C$5&amp;"生成成长"),2))/((VLOOKUP($B186,INDIRECT($B$5&amp;"生成成长"),4))/(VLOOKUP(BJ$72,INDIRECT($C$5&amp;"生成成长"),5))*(VLOOKUP($B$5,标准坦克设计!$B$24:$U$30,MATCH("对"&amp;LEFT($C$5,2)&amp;"输出",标准坦克设计!$B$23:$U$23,0)))*(VLOOKUP($B186,INDIRECT($B$5&amp;"生成成长"),3))*(VLOOKUP($B$5,标准坦克设计!$B$14:$K$20,9)/30))</f>
        <v>8.7581318984644412</v>
      </c>
      <c r="BK186" s="173">
        <f ca="1">(VLOOKUP(BK$72,INDIRECT($C$5&amp;"生成成长"),2))/((VLOOKUP($B186,INDIRECT($B$5&amp;"生成成长"),4))/(VLOOKUP(BK$72,INDIRECT($C$5&amp;"生成成长"),5))*(VLOOKUP($B$5,标准坦克设计!$B$24:$U$30,MATCH("对"&amp;LEFT($C$5,2)&amp;"输出",标准坦克设计!$B$23:$U$23,0)))*(VLOOKUP($B186,INDIRECT($B$5&amp;"生成成长"),3))*(VLOOKUP($B$5,标准坦克设计!$B$14:$K$20,9)/30))</f>
        <v>9.7457662696736413</v>
      </c>
      <c r="BL186" s="173">
        <f ca="1">(VLOOKUP(BL$72,INDIRECT($C$5&amp;"生成成长"),2))/((VLOOKUP($B186,INDIRECT($B$5&amp;"生成成长"),4))/(VLOOKUP(BL$72,INDIRECT($C$5&amp;"生成成长"),5))*(VLOOKUP($B$5,标准坦克设计!$B$24:$U$30,MATCH("对"&amp;LEFT($C$5,2)&amp;"输出",标准坦克设计!$B$23:$U$23,0)))*(VLOOKUP($B186,INDIRECT($B$5&amp;"生成成长"),3))*(VLOOKUP($B$5,标准坦克设计!$B$14:$K$20,9)/30))</f>
        <v>10.786152625101735</v>
      </c>
      <c r="BM186" s="173">
        <f ca="1">(VLOOKUP(BM$72,INDIRECT($C$5&amp;"生成成长"),2))/((VLOOKUP($B186,INDIRECT($B$5&amp;"生成成长"),4))/(VLOOKUP(BM$72,INDIRECT($C$5&amp;"生成成长"),5))*(VLOOKUP($B$5,标准坦克设计!$B$24:$U$30,MATCH("对"&amp;LEFT($C$5,2)&amp;"输出",标准坦克设计!$B$23:$U$23,0)))*(VLOOKUP($B186,INDIRECT($B$5&amp;"生成成长"),3))*(VLOOKUP($B$5,标准坦克设计!$B$14:$K$20,9)/30))</f>
        <v>11.879290964748712</v>
      </c>
      <c r="BN186" s="173">
        <f ca="1">(VLOOKUP(BN$72,INDIRECT($C$5&amp;"生成成长"),2))/((VLOOKUP($B186,INDIRECT($B$5&amp;"生成成长"),4))/(VLOOKUP(BN$72,INDIRECT($C$5&amp;"生成成长"),5))*(VLOOKUP($B$5,标准坦克设计!$B$24:$U$30,MATCH("对"&amp;LEFT($C$5,2)&amp;"输出",标准坦克设计!$B$23:$U$23,0)))*(VLOOKUP($B186,INDIRECT($B$5&amp;"生成成长"),3))*(VLOOKUP($B$5,标准坦克设计!$B$14:$K$20,9)/30))</f>
        <v>13.025181288614579</v>
      </c>
      <c r="BO186" s="173">
        <f ca="1">(VLOOKUP(BO$72,INDIRECT($C$5&amp;"生成成长"),2))/((VLOOKUP($B186,INDIRECT($B$5&amp;"生成成长"),4))/(VLOOKUP(BO$72,INDIRECT($C$5&amp;"生成成长"),5))*(VLOOKUP($B$5,标准坦克设计!$B$24:$U$30,MATCH("对"&amp;LEFT($C$5,2)&amp;"输出",标准坦克设计!$B$23:$U$23,0)))*(VLOOKUP($B186,INDIRECT($B$5&amp;"生成成长"),3))*(VLOOKUP($B$5,标准坦克设计!$B$14:$K$20,9)/30))</f>
        <v>14.223823596699338</v>
      </c>
      <c r="BP186" s="173">
        <f ca="1">(VLOOKUP(BP$72,INDIRECT($C$5&amp;"生成成长"),2))/((VLOOKUP($B186,INDIRECT($B$5&amp;"生成成长"),4))/(VLOOKUP(BP$72,INDIRECT($C$5&amp;"生成成长"),5))*(VLOOKUP($B$5,标准坦克设计!$B$24:$U$30,MATCH("对"&amp;LEFT($C$5,2)&amp;"输出",标准坦克设计!$B$23:$U$23,0)))*(VLOOKUP($B186,INDIRECT($B$5&amp;"生成成长"),3))*(VLOOKUP($B$5,标准坦克设计!$B$14:$K$20,9)/30))</f>
        <v>15.475217889002982</v>
      </c>
      <c r="BQ186" s="173">
        <f ca="1">(VLOOKUP(BQ$72,INDIRECT($C$5&amp;"生成成长"),2))/((VLOOKUP($B186,INDIRECT($B$5&amp;"生成成长"),4))/(VLOOKUP(BQ$72,INDIRECT($C$5&amp;"生成成长"),5))*(VLOOKUP($B$5,标准坦克设计!$B$24:$U$30,MATCH("对"&amp;LEFT($C$5,2)&amp;"输出",标准坦克设计!$B$23:$U$23,0)))*(VLOOKUP($B186,INDIRECT($B$5&amp;"生成成长"),3))*(VLOOKUP($B$5,标准坦克设计!$B$14:$K$20,9)/30))</f>
        <v>16.779364165525514</v>
      </c>
      <c r="BR186" s="173">
        <f ca="1">(VLOOKUP(BR$72,INDIRECT($C$5&amp;"生成成长"),2))/((VLOOKUP($B186,INDIRECT($B$5&amp;"生成成长"),4))/(VLOOKUP(BR$72,INDIRECT($C$5&amp;"生成成长"),5))*(VLOOKUP($B$5,标准坦克设计!$B$24:$U$30,MATCH("对"&amp;LEFT($C$5,2)&amp;"输出",标准坦克设计!$B$23:$U$23,0)))*(VLOOKUP($B186,INDIRECT($B$5&amp;"生成成长"),3))*(VLOOKUP($B$5,标准坦克设计!$B$14:$K$20,9)/30))</f>
        <v>18.290285195004802</v>
      </c>
      <c r="BS186" s="173">
        <f ca="1">(VLOOKUP(BS$72,INDIRECT($C$5&amp;"生成成长"),2))/((VLOOKUP($B186,INDIRECT($B$5&amp;"生成成长"),4))/(VLOOKUP(BS$72,INDIRECT($C$5&amp;"生成成长"),5))*(VLOOKUP($B$5,标准坦克设计!$B$24:$U$30,MATCH("对"&amp;LEFT($C$5,2)&amp;"输出",标准坦克设计!$B$23:$U$23,0)))*(VLOOKUP($B186,INDIRECT($B$5&amp;"生成成长"),3))*(VLOOKUP($B$5,标准坦克设计!$B$14:$K$20,9)/30))</f>
        <v>19.866332130927169</v>
      </c>
      <c r="BT186" s="173">
        <f ca="1">(VLOOKUP(BT$72,INDIRECT($C$5&amp;"生成成长"),2))/((VLOOKUP($B186,INDIRECT($B$5&amp;"生成成长"),4))/(VLOOKUP(BT$72,INDIRECT($C$5&amp;"生成成长"),5))*(VLOOKUP($B$5,标准坦克设计!$B$24:$U$30,MATCH("对"&amp;LEFT($C$5,2)&amp;"输出",标准坦克设计!$B$23:$U$23,0)))*(VLOOKUP($B186,INDIRECT($B$5&amp;"生成成长"),3))*(VLOOKUP($B$5,标准坦克设计!$B$14:$K$20,9)/30))</f>
        <v>21.507504973292605</v>
      </c>
      <c r="BU186" s="173">
        <f ca="1">(VLOOKUP(BU$72,INDIRECT($C$5&amp;"生成成长"),2))/((VLOOKUP($B186,INDIRECT($B$5&amp;"生成成长"),4))/(VLOOKUP(BU$72,INDIRECT($C$5&amp;"生成成长"),5))*(VLOOKUP($B$5,标准坦克设计!$B$24:$U$30,MATCH("对"&amp;LEFT($C$5,2)&amp;"输出",标准坦克设计!$B$23:$U$23,0)))*(VLOOKUP($B186,INDIRECT($B$5&amp;"生成成长"),3))*(VLOOKUP($B$5,标准坦克设计!$B$14:$K$20,9)/30))</f>
        <v>23.213803722101115</v>
      </c>
      <c r="BV186" s="173">
        <f ca="1">(VLOOKUP(BV$72,INDIRECT($C$5&amp;"生成成长"),2))/((VLOOKUP($B186,INDIRECT($B$5&amp;"生成成长"),4))/(VLOOKUP(BV$72,INDIRECT($C$5&amp;"生成成长"),5))*(VLOOKUP($B$5,标准坦克设计!$B$24:$U$30,MATCH("对"&amp;LEFT($C$5,2)&amp;"输出",标准坦克设计!$B$23:$U$23,0)))*(VLOOKUP($B186,INDIRECT($B$5&amp;"生成成长"),3))*(VLOOKUP($B$5,标准坦克设计!$B$14:$K$20,9)/30))</f>
        <v>24.985228377352701</v>
      </c>
      <c r="BW186" s="173">
        <f ca="1">(VLOOKUP(BW$72,INDIRECT($C$5&amp;"生成成长"),2))/((VLOOKUP($B186,INDIRECT($B$5&amp;"生成成长"),4))/(VLOOKUP(BW$72,INDIRECT($C$5&amp;"生成成长"),5))*(VLOOKUP($B$5,标准坦克设计!$B$24:$U$30,MATCH("对"&amp;LEFT($C$5,2)&amp;"输出",标准坦克设计!$B$23:$U$23,0)))*(VLOOKUP($B186,INDIRECT($B$5&amp;"生成成长"),3))*(VLOOKUP($B$5,标准坦克设计!$B$14:$K$20,9)/30))</f>
        <v>11.38693911203908</v>
      </c>
      <c r="BX186" s="173">
        <f ca="1">(VLOOKUP(BX$72,INDIRECT($C$5&amp;"生成成长"),2))/((VLOOKUP($B186,INDIRECT($B$5&amp;"生成成长"),4))/(VLOOKUP(BX$72,INDIRECT($C$5&amp;"生成成长"),5))*(VLOOKUP($B$5,标准坦克设计!$B$24:$U$30,MATCH("对"&amp;LEFT($C$5,2)&amp;"输出",标准坦克设计!$B$23:$U$23,0)))*(VLOOKUP($B186,INDIRECT($B$5&amp;"生成成长"),3))*(VLOOKUP($B$5,标准坦克设计!$B$14:$K$20,9)/30))</f>
        <v>12.637356515746081</v>
      </c>
      <c r="BY186" s="173">
        <f ca="1">(VLOOKUP(BY$72,INDIRECT($C$5&amp;"生成成长"),2))/((VLOOKUP($B186,INDIRECT($B$5&amp;"生成成长"),4))/(VLOOKUP(BY$72,INDIRECT($C$5&amp;"生成成长"),5))*(VLOOKUP($B$5,标准坦克设计!$B$24:$U$30,MATCH("对"&amp;LEFT($C$5,2)&amp;"输出",标准坦克设计!$B$23:$U$23,0)))*(VLOOKUP($B186,INDIRECT($B$5&amp;"生成成长"),3))*(VLOOKUP($B$5,标准坦克设计!$B$14:$K$20,9)/30))</f>
        <v>13.952899825896154</v>
      </c>
      <c r="BZ186" s="173">
        <f ca="1">(VLOOKUP(BZ$72,INDIRECT($C$5&amp;"生成成长"),2))/((VLOOKUP($B186,INDIRECT($B$5&amp;"生成成长"),4))/(VLOOKUP(BZ$72,INDIRECT($C$5&amp;"生成成长"),5))*(VLOOKUP($B$5,标准坦克设计!$B$24:$U$30,MATCH("对"&amp;LEFT($C$5,2)&amp;"输出",标准坦克设计!$B$23:$U$23,0)))*(VLOOKUP($B186,INDIRECT($B$5&amp;"生成成长"),3))*(VLOOKUP($B$5,标准坦克设计!$B$14:$K$20,9)/30))</f>
        <v>15.333569042489295</v>
      </c>
      <c r="CA186" s="173">
        <f ca="1">(VLOOKUP(CA$72,INDIRECT($C$5&amp;"生成成长"),2))/((VLOOKUP($B186,INDIRECT($B$5&amp;"生成成长"),4))/(VLOOKUP(CA$72,INDIRECT($C$5&amp;"生成成长"),5))*(VLOOKUP($B$5,标准坦克设计!$B$24:$U$30,MATCH("对"&amp;LEFT($C$5,2)&amp;"输出",标准坦克设计!$B$23:$U$23,0)))*(VLOOKUP($B186,INDIRECT($B$5&amp;"生成成长"),3))*(VLOOKUP($B$5,标准坦克设计!$B$14:$K$20,9)/30))</f>
        <v>16.779364165525514</v>
      </c>
      <c r="CB186" s="173">
        <f ca="1">(VLOOKUP(CB$72,INDIRECT($C$5&amp;"生成成长"),2))/((VLOOKUP($B186,INDIRECT($B$5&amp;"生成成长"),4))/(VLOOKUP(CB$72,INDIRECT($C$5&amp;"生成成长"),5))*(VLOOKUP($B$5,标准坦克设计!$B$24:$U$30,MATCH("对"&amp;LEFT($C$5,2)&amp;"输出",标准坦克设计!$B$23:$U$23,0)))*(VLOOKUP($B186,INDIRECT($B$5&amp;"生成成长"),3))*(VLOOKUP($B$5,标准坦克设计!$B$14:$K$20,9)/30))</f>
        <v>18.290285195004802</v>
      </c>
      <c r="CC186" s="173">
        <f ca="1">(VLOOKUP(CC$72,INDIRECT($C$5&amp;"生成成长"),2))/((VLOOKUP($B186,INDIRECT($B$5&amp;"生成成长"),4))/(VLOOKUP(CC$72,INDIRECT($C$5&amp;"生成成长"),5))*(VLOOKUP($B$5,标准坦克设计!$B$24:$U$30,MATCH("对"&amp;LEFT($C$5,2)&amp;"输出",标准坦克设计!$B$23:$U$23,0)))*(VLOOKUP($B186,INDIRECT($B$5&amp;"生成成长"),3))*(VLOOKUP($B$5,标准坦克设计!$B$14:$K$20,9)/30))</f>
        <v>19.866332130927169</v>
      </c>
      <c r="CD186" s="173">
        <f ca="1">(VLOOKUP(CD$72,INDIRECT($C$5&amp;"生成成长"),2))/((VLOOKUP($B186,INDIRECT($B$5&amp;"生成成长"),4))/(VLOOKUP(CD$72,INDIRECT($C$5&amp;"生成成长"),5))*(VLOOKUP($B$5,标准坦克设计!$B$24:$U$30,MATCH("对"&amp;LEFT($C$5,2)&amp;"输出",标准坦克设计!$B$23:$U$23,0)))*(VLOOKUP($B186,INDIRECT($B$5&amp;"生成成长"),3))*(VLOOKUP($B$5,标准坦克设计!$B$14:$K$20,9)/30))</f>
        <v>21.507504973292605</v>
      </c>
      <c r="CE186" s="173">
        <f ca="1">(VLOOKUP(CE$72,INDIRECT($C$5&amp;"生成成长"),2))/((VLOOKUP($B186,INDIRECT($B$5&amp;"生成成长"),4))/(VLOOKUP(CE$72,INDIRECT($C$5&amp;"生成成长"),5))*(VLOOKUP($B$5,标准坦克设计!$B$24:$U$30,MATCH("对"&amp;LEFT($C$5,2)&amp;"输出",标准坦克设计!$B$23:$U$23,0)))*(VLOOKUP($B186,INDIRECT($B$5&amp;"生成成长"),3))*(VLOOKUP($B$5,标准坦克设计!$B$14:$K$20,9)/30))</f>
        <v>23.213803722101115</v>
      </c>
      <c r="CF186" s="173">
        <f ca="1">(VLOOKUP(CF$72,INDIRECT($C$5&amp;"生成成长"),2))/((VLOOKUP($B186,INDIRECT($B$5&amp;"生成成长"),4))/(VLOOKUP(CF$72,INDIRECT($C$5&amp;"生成成长"),5))*(VLOOKUP($B$5,标准坦克设计!$B$24:$U$30,MATCH("对"&amp;LEFT($C$5,2)&amp;"输出",标准坦克设计!$B$23:$U$23,0)))*(VLOOKUP($B186,INDIRECT($B$5&amp;"生成成长"),3))*(VLOOKUP($B$5,标准坦克设计!$B$14:$K$20,9)/30))</f>
        <v>24.985228377352701</v>
      </c>
      <c r="CG186" s="173">
        <f ca="1">(VLOOKUP(CG$72,INDIRECT($C$5&amp;"生成成长"),2))/((VLOOKUP($B186,INDIRECT($B$5&amp;"生成成长"),4))/(VLOOKUP(CG$72,INDIRECT($C$5&amp;"生成成长"),5))*(VLOOKUP($B$5,标准坦克设计!$B$24:$U$30,MATCH("对"&amp;LEFT($C$5,2)&amp;"输出",标准坦克设计!$B$23:$U$23,0)))*(VLOOKUP($B186,INDIRECT($B$5&amp;"生成成长"),3))*(VLOOKUP($B$5,标准坦克设计!$B$14:$K$20,9)/30))</f>
        <v>26.821778939047359</v>
      </c>
      <c r="CH186" s="173">
        <f ca="1">(VLOOKUP(CH$72,INDIRECT($C$5&amp;"生成成长"),2))/((VLOOKUP($B186,INDIRECT($B$5&amp;"生成成长"),4))/(VLOOKUP(CH$72,INDIRECT($C$5&amp;"生成成长"),5))*(VLOOKUP($B$5,标准坦克设计!$B$24:$U$30,MATCH("对"&amp;LEFT($C$5,2)&amp;"输出",标准坦克设计!$B$23:$U$23,0)))*(VLOOKUP($B186,INDIRECT($B$5&amp;"生成成长"),3))*(VLOOKUP($B$5,标准坦克设计!$B$14:$K$20,9)/30))</f>
        <v>28.723455407185085</v>
      </c>
      <c r="CI186" s="173">
        <f ca="1">(VLOOKUP(CI$72,INDIRECT($C$5&amp;"生成成长"),2))/((VLOOKUP($B186,INDIRECT($B$5&amp;"生成成长"),4))/(VLOOKUP(CI$72,INDIRECT($C$5&amp;"生成成长"),5))*(VLOOKUP($B$5,标准坦克设计!$B$24:$U$30,MATCH("对"&amp;LEFT($C$5,2)&amp;"输出",标准坦克设计!$B$23:$U$23,0)))*(VLOOKUP($B186,INDIRECT($B$5&amp;"生成成长"),3))*(VLOOKUP($B$5,标准坦克设计!$B$14:$K$20,9)/30))</f>
        <v>30.890519944078335</v>
      </c>
      <c r="CJ186" s="173">
        <f ca="1">(VLOOKUP(CJ$72,INDIRECT($C$5&amp;"生成成长"),2))/((VLOOKUP($B186,INDIRECT($B$5&amp;"生成成长"),4))/(VLOOKUP(CJ$72,INDIRECT($C$5&amp;"生成成长"),5))*(VLOOKUP($B$5,标准坦克设计!$B$24:$U$30,MATCH("对"&amp;LEFT($C$5,2)&amp;"输出",标准坦克设计!$B$23:$U$23,0)))*(VLOOKUP($B186,INDIRECT($B$5&amp;"生成成长"),3))*(VLOOKUP($B$5,标准坦克设计!$B$14:$K$20,9)/30))</f>
        <v>33.136386827767708</v>
      </c>
      <c r="CK186" s="173">
        <f ca="1">(VLOOKUP(CK$72,INDIRECT($C$5&amp;"生成成长"),2))/((VLOOKUP($B186,INDIRECT($B$5&amp;"生成成长"),4))/(VLOOKUP(CK$72,INDIRECT($C$5&amp;"生成成长"),5))*(VLOOKUP($B$5,标准坦克设计!$B$24:$U$30,MATCH("对"&amp;LEFT($C$5,2)&amp;"输出",标准坦克设计!$B$23:$U$23,0)))*(VLOOKUP($B186,INDIRECT($B$5&amp;"生成成长"),3))*(VLOOKUP($B$5,标准坦克设计!$B$14:$K$20,9)/30))</f>
        <v>35.461056058253185</v>
      </c>
      <c r="CL186" s="173">
        <f ca="1">(VLOOKUP(CL$72,INDIRECT($C$5&amp;"生成成长"),2))/((VLOOKUP($B186,INDIRECT($B$5&amp;"生成成长"),4))/(VLOOKUP(CL$72,INDIRECT($C$5&amp;"生成成长"),5))*(VLOOKUP($B$5,标准坦克设计!$B$24:$U$30,MATCH("对"&amp;LEFT($C$5,2)&amp;"输出",标准坦克设计!$B$23:$U$23,0)))*(VLOOKUP($B186,INDIRECT($B$5&amp;"生成成长"),3))*(VLOOKUP($B$5,标准坦克设计!$B$14:$K$20,9)/30))</f>
        <v>37.864527635534792</v>
      </c>
      <c r="CM186" s="173">
        <f ca="1">(VLOOKUP(CM$72,INDIRECT($C$5&amp;"生成成长"),2))/((VLOOKUP($B186,INDIRECT($B$5&amp;"生成成长"),4))/(VLOOKUP(CM$72,INDIRECT($C$5&amp;"生成成长"),5))*(VLOOKUP($B$5,标准坦克设计!$B$24:$U$30,MATCH("对"&amp;LEFT($C$5,2)&amp;"输出",标准坦克设计!$B$23:$U$23,0)))*(VLOOKUP($B186,INDIRECT($B$5&amp;"生成成长"),3))*(VLOOKUP($B$5,标准坦克设计!$B$14:$K$20,9)/30))</f>
        <v>40.346801559612523</v>
      </c>
      <c r="CN186" s="173">
        <f ca="1">(VLOOKUP(CN$72,INDIRECT($C$5&amp;"生成成长"),2))/((VLOOKUP($B186,INDIRECT($B$5&amp;"生成成长"),4))/(VLOOKUP(CN$72,INDIRECT($C$5&amp;"生成成长"),5))*(VLOOKUP($B$5,标准坦克设计!$B$24:$U$30,MATCH("对"&amp;LEFT($C$5,2)&amp;"输出",标准坦克设计!$B$23:$U$23,0)))*(VLOOKUP($B186,INDIRECT($B$5&amp;"生成成长"),3))*(VLOOKUP($B$5,标准坦克设计!$B$14:$K$20,9)/30))</f>
        <v>42.907877830486363</v>
      </c>
      <c r="CO186" s="173">
        <f ca="1">(VLOOKUP(CO$72,INDIRECT($C$5&amp;"生成成长"),2))/((VLOOKUP($B186,INDIRECT($B$5&amp;"生成成长"),4))/(VLOOKUP(CO$72,INDIRECT($C$5&amp;"生成成长"),5))*(VLOOKUP($B$5,标准坦克设计!$B$24:$U$30,MATCH("对"&amp;LEFT($C$5,2)&amp;"输出",标准坦克设计!$B$23:$U$23,0)))*(VLOOKUP($B186,INDIRECT($B$5&amp;"生成成长"),3))*(VLOOKUP($B$5,标准坦克设计!$B$14:$K$20,9)/30))</f>
        <v>19.228098247785059</v>
      </c>
      <c r="CP186" s="173">
        <f ca="1">(VLOOKUP(CP$72,INDIRECT($C$5&amp;"生成成长"),2))/((VLOOKUP($B186,INDIRECT($B$5&amp;"生成成长"),4))/(VLOOKUP(CP$72,INDIRECT($C$5&amp;"生成成长"),5))*(VLOOKUP($B$5,标准坦克设计!$B$24:$U$30,MATCH("对"&amp;LEFT($C$5,2)&amp;"输出",标准坦克设计!$B$23:$U$23,0)))*(VLOOKUP($B186,INDIRECT($B$5&amp;"生成成长"),3))*(VLOOKUP($B$5,标准坦克设计!$B$14:$K$20,9)/30))</f>
        <v>21.008314900406454</v>
      </c>
      <c r="CQ186" s="173">
        <f ca="1">(VLOOKUP(CQ$72,INDIRECT($C$5&amp;"生成成长"),2))/((VLOOKUP($B186,INDIRECT($B$5&amp;"生成成长"),4))/(VLOOKUP(CQ$72,INDIRECT($C$5&amp;"生成成长"),5))*(VLOOKUP($B$5,标准坦克设计!$B$24:$U$30,MATCH("对"&amp;LEFT($C$5,2)&amp;"输出",标准坦克设计!$B$23:$U$23,0)))*(VLOOKUP($B186,INDIRECT($B$5&amp;"生成成长"),3))*(VLOOKUP($B$5,标准坦克设计!$B$14:$K$20,9)/30))</f>
        <v>22.867333899823972</v>
      </c>
      <c r="CR186" s="173">
        <f ca="1">(VLOOKUP(CR$72,INDIRECT($C$5&amp;"生成成长"),2))/((VLOOKUP($B186,INDIRECT($B$5&amp;"生成成长"),4))/(VLOOKUP(CR$72,INDIRECT($C$5&amp;"生成成长"),5))*(VLOOKUP($B$5,标准坦克设计!$B$24:$U$30,MATCH("对"&amp;LEFT($C$5,2)&amp;"输出",标准坦克设计!$B$23:$U$23,0)))*(VLOOKUP($B186,INDIRECT($B$5&amp;"生成成长"),3))*(VLOOKUP($B$5,标准坦克设计!$B$14:$K$20,9)/30))</f>
        <v>24.8051552460376</v>
      </c>
      <c r="CS186" s="173">
        <f ca="1">(VLOOKUP(CS$72,INDIRECT($C$5&amp;"生成成长"),2))/((VLOOKUP($B186,INDIRECT($B$5&amp;"生成成长"),4))/(VLOOKUP(CS$72,INDIRECT($C$5&amp;"生成成长"),5))*(VLOOKUP($B$5,标准坦克设计!$B$24:$U$30,MATCH("对"&amp;LEFT($C$5,2)&amp;"输出",标准坦克设计!$B$23:$U$23,0)))*(VLOOKUP($B186,INDIRECT($B$5&amp;"生成成长"),3))*(VLOOKUP($B$5,标准坦克设计!$B$14:$K$20,9)/30))</f>
        <v>26.821778939047359</v>
      </c>
      <c r="CT186" s="173">
        <f ca="1">(VLOOKUP(CT$72,INDIRECT($C$5&amp;"生成成长"),2))/((VLOOKUP($B186,INDIRECT($B$5&amp;"生成成长"),4))/(VLOOKUP(CT$72,INDIRECT($C$5&amp;"生成成长"),5))*(VLOOKUP($B$5,标准坦克设计!$B$24:$U$30,MATCH("对"&amp;LEFT($C$5,2)&amp;"输出",标准坦克设计!$B$23:$U$23,0)))*(VLOOKUP($B186,INDIRECT($B$5&amp;"生成成长"),3))*(VLOOKUP($B$5,标准坦克设计!$B$14:$K$20,9)/30))</f>
        <v>28.917204978853231</v>
      </c>
      <c r="CU186" s="173">
        <f ca="1">(VLOOKUP(CU$72,INDIRECT($C$5&amp;"生成成长"),2))/((VLOOKUP($B186,INDIRECT($B$5&amp;"生成成长"),4))/(VLOOKUP(CU$72,INDIRECT($C$5&amp;"生成成长"),5))*(VLOOKUP($B$5,标准坦克设计!$B$24:$U$30,MATCH("对"&amp;LEFT($C$5,2)&amp;"输出",标准坦克设计!$B$23:$U$23,0)))*(VLOOKUP($B186,INDIRECT($B$5&amp;"生成成长"),3))*(VLOOKUP($B$5,标准坦克设计!$B$14:$K$20,9)/30))</f>
        <v>31.091433365455213</v>
      </c>
      <c r="CV186" s="173">
        <f ca="1">(VLOOKUP(CV$72,INDIRECT($C$5&amp;"生成成长"),2))/((VLOOKUP($B186,INDIRECT($B$5&amp;"生成成长"),4))/(VLOOKUP(CV$72,INDIRECT($C$5&amp;"生成成长"),5))*(VLOOKUP($B$5,标准坦克设计!$B$24:$U$30,MATCH("对"&amp;LEFT($C$5,2)&amp;"输出",标准坦克设计!$B$23:$U$23,0)))*(VLOOKUP($B186,INDIRECT($B$5&amp;"生成成长"),3))*(VLOOKUP($B$5,标准坦克设计!$B$14:$K$20,9)/30))</f>
        <v>33.344464098853322</v>
      </c>
      <c r="CW186" s="173">
        <f ca="1">(VLOOKUP(CW$72,INDIRECT($C$5&amp;"生成成长"),2))/((VLOOKUP($B186,INDIRECT($B$5&amp;"生成成长"),4))/(VLOOKUP(CW$72,INDIRECT($C$5&amp;"生成成长"),5))*(VLOOKUP($B$5,标准坦克设计!$B$24:$U$30,MATCH("对"&amp;LEFT($C$5,2)&amp;"输出",标准坦克设计!$B$23:$U$23,0)))*(VLOOKUP($B186,INDIRECT($B$5&amp;"生成成长"),3))*(VLOOKUP($B$5,标准坦克设计!$B$14:$K$20,9)/30))</f>
        <v>35.676297179047545</v>
      </c>
      <c r="CX186" s="173">
        <f ca="1">(VLOOKUP(CX$72,INDIRECT($C$5&amp;"生成成长"),2))/((VLOOKUP($B186,INDIRECT($B$5&amp;"生成成长"),4))/(VLOOKUP(CX$72,INDIRECT($C$5&amp;"生成成长"),5))*(VLOOKUP($B$5,标准坦克设计!$B$24:$U$30,MATCH("对"&amp;LEFT($C$5,2)&amp;"输出",标准坦克设计!$B$23:$U$23,0)))*(VLOOKUP($B186,INDIRECT($B$5&amp;"生成成长"),3))*(VLOOKUP($B$5,标准坦克设计!$B$14:$K$20,9)/30))</f>
        <v>38.086932606037891</v>
      </c>
      <c r="CY186" s="173">
        <f ca="1">(VLOOKUP(CY$72,INDIRECT($C$5&amp;"生成成长"),2))/((VLOOKUP($B186,INDIRECT($B$5&amp;"生成成长"),4))/(VLOOKUP(CY$72,INDIRECT($C$5&amp;"生成成长"),5))*(VLOOKUP($B$5,标准坦克设计!$B$24:$U$30,MATCH("对"&amp;LEFT($C$5,2)&amp;"输出",标准坦克设计!$B$23:$U$23,0)))*(VLOOKUP($B186,INDIRECT($B$5&amp;"生成成长"),3))*(VLOOKUP($B$5,标准坦克设计!$B$14:$K$20,9)/30))</f>
        <v>40.576370379824347</v>
      </c>
      <c r="CZ186" s="173">
        <f ca="1">(VLOOKUP(CZ$72,INDIRECT($C$5&amp;"生成成长"),2))/((VLOOKUP($B186,INDIRECT($B$5&amp;"生成成长"),4))/(VLOOKUP(CZ$72,INDIRECT($C$5&amp;"生成成长"),5))*(VLOOKUP($B$5,标准坦克设计!$B$24:$U$30,MATCH("对"&amp;LEFT($C$5,2)&amp;"输出",标准坦克设计!$B$23:$U$23,0)))*(VLOOKUP($B186,INDIRECT($B$5&amp;"生成成长"),3))*(VLOOKUP($B$5,标准坦克设计!$B$14:$K$20,9)/30))</f>
        <v>43.144610500406941</v>
      </c>
      <c r="DA186" s="173">
        <f ca="1">(VLOOKUP(DA$72,INDIRECT($C$5&amp;"生成成长"),2))/((VLOOKUP($B186,INDIRECT($B$5&amp;"生成成长"),4))/(VLOOKUP(DA$72,INDIRECT($C$5&amp;"生成成长"),5))*(VLOOKUP($B$5,标准坦克设计!$B$24:$U$30,MATCH("对"&amp;LEFT($C$5,2)&amp;"输出",标准坦克设计!$B$23:$U$23,0)))*(VLOOKUP($B186,INDIRECT($B$5&amp;"生成成长"),3))*(VLOOKUP($B$5,标准坦克设计!$B$14:$K$20,9)/30))</f>
        <v>45.791652967785623</v>
      </c>
      <c r="DB186" s="173">
        <f ca="1">(VLOOKUP(DB$72,INDIRECT($C$5&amp;"生成成长"),2))/((VLOOKUP($B186,INDIRECT($B$5&amp;"生成成长"),4))/(VLOOKUP(DB$72,INDIRECT($C$5&amp;"生成成长"),5))*(VLOOKUP($B$5,标准坦克设计!$B$24:$U$30,MATCH("对"&amp;LEFT($C$5,2)&amp;"输出",标准坦克设计!$B$23:$U$23,0)))*(VLOOKUP($B186,INDIRECT($B$5&amp;"生成成长"),3))*(VLOOKUP($B$5,标准坦克设计!$B$14:$K$20,9)/30))</f>
        <v>48.517497781960444</v>
      </c>
      <c r="DC186" s="173">
        <f ca="1">(VLOOKUP(DC$72,INDIRECT($C$5&amp;"生成成长"),2))/((VLOOKUP($B186,INDIRECT($B$5&amp;"生成成长"),4))/(VLOOKUP(DC$72,INDIRECT($C$5&amp;"生成成长"),5))*(VLOOKUP($B$5,标准坦克设计!$B$24:$U$30,MATCH("对"&amp;LEFT($C$5,2)&amp;"输出",标准坦克设计!$B$23:$U$23,0)))*(VLOOKUP($B186,INDIRECT($B$5&amp;"生成成长"),3))*(VLOOKUP($B$5,标准坦克设计!$B$14:$K$20,9)/30))</f>
        <v>51.581020421042595</v>
      </c>
      <c r="DD186" s="173">
        <f ca="1">(VLOOKUP(DD$72,INDIRECT($C$5&amp;"生成成长"),2))/((VLOOKUP($B186,INDIRECT($B$5&amp;"生成成长"),4))/(VLOOKUP(DD$72,INDIRECT($C$5&amp;"生成成长"),5))*(VLOOKUP($B$5,标准坦克设计!$B$24:$U$30,MATCH("对"&amp;LEFT($C$5,2)&amp;"输出",标准坦克设计!$B$23:$U$23,0)))*(VLOOKUP($B186,INDIRECT($B$5&amp;"生成成长"),3))*(VLOOKUP($B$5,标准坦克设计!$B$14:$K$20,9)/30))</f>
        <v>54.738324365402768</v>
      </c>
      <c r="DE186" s="173">
        <f ca="1">(VLOOKUP(DE$72,INDIRECT($C$5&amp;"生成成长"),2))/((VLOOKUP($B186,INDIRECT($B$5&amp;"生成成长"),4))/(VLOOKUP(DE$72,INDIRECT($C$5&amp;"生成成长"),5))*(VLOOKUP($B$5,标准坦克设计!$B$24:$U$30,MATCH("对"&amp;LEFT($C$5,2)&amp;"输出",标准坦克设计!$B$23:$U$23,0)))*(VLOOKUP($B186,INDIRECT($B$5&amp;"生成成长"),3))*(VLOOKUP($B$5,标准坦克设计!$B$14:$K$20,9)/30))</f>
        <v>57.989409615040977</v>
      </c>
      <c r="DF186" s="173">
        <f ca="1">(VLOOKUP(DF$72,INDIRECT($C$5&amp;"生成成长"),2))/((VLOOKUP($B186,INDIRECT($B$5&amp;"生成成长"),4))/(VLOOKUP(DF$72,INDIRECT($C$5&amp;"生成成长"),5))*(VLOOKUP($B$5,标准坦克设计!$B$24:$U$30,MATCH("对"&amp;LEFT($C$5,2)&amp;"输出",标准坦克设计!$B$23:$U$23,0)))*(VLOOKUP($B186,INDIRECT($B$5&amp;"生成成长"),3))*(VLOOKUP($B$5,标准坦克设计!$B$14:$K$20,9)/30))</f>
        <v>61.334276169957178</v>
      </c>
      <c r="DG186" s="173">
        <f ca="1">(VLOOKUP(DG$72,INDIRECT($C$5&amp;"生成成长"),2))/((VLOOKUP($B186,INDIRECT($B$5&amp;"生成成长"),4))/(VLOOKUP(DG$72,INDIRECT($C$5&amp;"生成成长"),5))*(VLOOKUP($B$5,标准坦克设计!$B$24:$U$30,MATCH("对"&amp;LEFT($C$5,2)&amp;"输出",标准坦克设计!$B$23:$U$23,0)))*(VLOOKUP($B186,INDIRECT($B$5&amp;"生成成长"),3))*(VLOOKUP($B$5,标准坦克设计!$B$14:$K$20,9)/30))</f>
        <v>64.77292403015143</v>
      </c>
      <c r="DH186" s="173">
        <f ca="1">(VLOOKUP(DH$72,INDIRECT($C$5&amp;"生成成长"),2))/((VLOOKUP($B186,INDIRECT($B$5&amp;"生成成长"),4))/(VLOOKUP(DH$72,INDIRECT($C$5&amp;"生成成长"),5))*(VLOOKUP($B$5,标准坦克设计!$B$24:$U$30,MATCH("对"&amp;LEFT($C$5,2)&amp;"输出",标准坦克设计!$B$23:$U$23,0)))*(VLOOKUP($B186,INDIRECT($B$5&amp;"生成成长"),3))*(VLOOKUP($B$5,标准坦克设计!$B$14:$K$20,9)/30))</f>
        <v>68.305353195623709</v>
      </c>
      <c r="DI186" s="173">
        <f ca="1">(VLOOKUP(DI$72,INDIRECT($C$5&amp;"生成成长"),2))/((VLOOKUP($B186,INDIRECT($B$5&amp;"生成成长"),4))/(VLOOKUP(DI$72,INDIRECT($C$5&amp;"生成成长"),5))*(VLOOKUP($B$5,标准坦克设计!$B$24:$U$30,MATCH("对"&amp;LEFT($C$5,2)&amp;"输出",标准坦克设计!$B$23:$U$23,0)))*(VLOOKUP($B186,INDIRECT($B$5&amp;"生成成长"),3))*(VLOOKUP($B$5,标准坦克设计!$B$14:$K$20,9)/30))</f>
        <v>71.931563666374004</v>
      </c>
      <c r="DJ186" s="173">
        <f ca="1">(VLOOKUP(DJ$72,INDIRECT($C$5&amp;"生成成长"),2))/((VLOOKUP($B186,INDIRECT($B$5&amp;"生成成长"),4))/(VLOOKUP(DJ$72,INDIRECT($C$5&amp;"生成成长"),5))*(VLOOKUP($B$5,标准坦克设计!$B$24:$U$30,MATCH("对"&amp;LEFT($C$5,2)&amp;"输出",标准坦克设计!$B$23:$U$23,0)))*(VLOOKUP($B186,INDIRECT($B$5&amp;"生成成长"),3))*(VLOOKUP($B$5,标准坦克设计!$B$14:$K$20,9)/30))</f>
        <v>7.2293012447133078</v>
      </c>
      <c r="DK186" s="173">
        <f ca="1">(VLOOKUP(DK$72,INDIRECT($C$5&amp;"生成成长"),2))/((VLOOKUP($B186,INDIRECT($B$5&amp;"生成成长"),4))/(VLOOKUP(DK$72,INDIRECT($C$5&amp;"生成成长"),5))*(VLOOKUP($B$5,标准坦克设计!$B$24:$U$30,MATCH("对"&amp;LEFT($C$5,2)&amp;"输出",标准坦克设计!$B$23:$U$23,0)))*(VLOOKUP($B186,INDIRECT($B$5&amp;"生成成长"),3))*(VLOOKUP($B$5,标准坦克设计!$B$14:$K$20,9)/30))</f>
        <v>8.129015642224358</v>
      </c>
      <c r="DL186" s="173">
        <f ca="1">(VLOOKUP(DL$72,INDIRECT($C$5&amp;"生成成长"),2))/((VLOOKUP($B186,INDIRECT($B$5&amp;"生成成长"),4))/(VLOOKUP(DL$72,INDIRECT($C$5&amp;"生成成长"),5))*(VLOOKUP($B$5,标准坦克设计!$B$24:$U$30,MATCH("对"&amp;LEFT($C$5,2)&amp;"输出",标准坦克设计!$B$23:$U$23,0)))*(VLOOKUP($B186,INDIRECT($B$5&amp;"生成成长"),3))*(VLOOKUP($B$5,标准坦克设计!$B$14:$K$20,9)/30))</f>
        <v>9.0814820239542993</v>
      </c>
      <c r="DM186" s="173">
        <f ca="1">(VLOOKUP(DM$72,INDIRECT($C$5&amp;"生成成长"),2))/((VLOOKUP($B186,INDIRECT($B$5&amp;"生成成长"),4))/(VLOOKUP(DM$72,INDIRECT($C$5&amp;"生成成长"),5))*(VLOOKUP($B$5,标准坦克设计!$B$24:$U$30,MATCH("对"&amp;LEFT($C$5,2)&amp;"输出",标准坦克设计!$B$23:$U$23,0)))*(VLOOKUP($B186,INDIRECT($B$5&amp;"生成成长"),3))*(VLOOKUP($B$5,标准坦克设计!$B$14:$K$20,9)/30))</f>
        <v>10.086700389903131</v>
      </c>
      <c r="DN186" s="173">
        <f ca="1">(VLOOKUP(DN$72,INDIRECT($C$5&amp;"生成成长"),2))/((VLOOKUP($B186,INDIRECT($B$5&amp;"生成成长"),4))/(VLOOKUP(DN$72,INDIRECT($C$5&amp;"生成成长"),5))*(VLOOKUP($B$5,标准坦克设计!$B$24:$U$30,MATCH("对"&amp;LEFT($C$5,2)&amp;"输出",标准坦克设计!$B$23:$U$23,0)))*(VLOOKUP($B186,INDIRECT($B$5&amp;"生成成长"),3))*(VLOOKUP($B$5,标准坦克设计!$B$14:$K$20,9)/30))</f>
        <v>11.144670740070847</v>
      </c>
      <c r="DO186" s="173">
        <f ca="1">(VLOOKUP(DO$72,INDIRECT($C$5&amp;"生成成长"),2))/((VLOOKUP($B186,INDIRECT($B$5&amp;"生成成长"),4))/(VLOOKUP(DO$72,INDIRECT($C$5&amp;"生成成长"),5))*(VLOOKUP($B$5,标准坦克设计!$B$24:$U$30,MATCH("对"&amp;LEFT($C$5,2)&amp;"输出",标准坦克设计!$B$23:$U$23,0)))*(VLOOKUP($B186,INDIRECT($B$5&amp;"生成成长"),3))*(VLOOKUP($B$5,标准坦克设计!$B$14:$K$20,9)/30))</f>
        <v>12.255393074457459</v>
      </c>
      <c r="DP186" s="173">
        <f ca="1">(VLOOKUP(DP$72,INDIRECT($C$5&amp;"生成成长"),2))/((VLOOKUP($B186,INDIRECT($B$5&amp;"生成成长"),4))/(VLOOKUP(DP$72,INDIRECT($C$5&amp;"生成成长"),5))*(VLOOKUP($B$5,标准坦克设计!$B$24:$U$30,MATCH("对"&amp;LEFT($C$5,2)&amp;"输出",标准坦克设计!$B$23:$U$23,0)))*(VLOOKUP($B186,INDIRECT($B$5&amp;"生成成长"),3))*(VLOOKUP($B$5,标准坦克设计!$B$14:$K$20,9)/30))</f>
        <v>13.418867393062953</v>
      </c>
      <c r="DQ186" s="173">
        <f ca="1">(VLOOKUP(DQ$72,INDIRECT($C$5&amp;"生成成长"),2))/((VLOOKUP($B186,INDIRECT($B$5&amp;"生成成长"),4))/(VLOOKUP(DQ$72,INDIRECT($C$5&amp;"生成成长"),5))*(VLOOKUP($B$5,标准坦克设计!$B$24:$U$30,MATCH("对"&amp;LEFT($C$5,2)&amp;"输出",标准坦克设计!$B$23:$U$23,0)))*(VLOOKUP($B186,INDIRECT($B$5&amp;"生成成长"),3))*(VLOOKUP($B$5,标准坦克设计!$B$14:$K$20,9)/30))</f>
        <v>14.63509369588734</v>
      </c>
      <c r="DR186" s="173">
        <f ca="1">(VLOOKUP(DR$72,INDIRECT($C$5&amp;"生成成长"),2))/((VLOOKUP($B186,INDIRECT($B$5&amp;"生成成长"),4))/(VLOOKUP(DR$72,INDIRECT($C$5&amp;"生成成长"),5))*(VLOOKUP($B$5,标准坦克设计!$B$24:$U$30,MATCH("对"&amp;LEFT($C$5,2)&amp;"输出",标准坦克设计!$B$23:$U$23,0)))*(VLOOKUP($B186,INDIRECT($B$5&amp;"生成成长"),3))*(VLOOKUP($B$5,标准坦克设计!$B$14:$K$20,9)/30))</f>
        <v>15.904071982930615</v>
      </c>
      <c r="DS186" s="173">
        <f ca="1">(VLOOKUP(DS$72,INDIRECT($C$5&amp;"生成成长"),2))/((VLOOKUP($B186,INDIRECT($B$5&amp;"生成成长"),4))/(VLOOKUP(DS$72,INDIRECT($C$5&amp;"生成成长"),5))*(VLOOKUP($B$5,标准坦克设计!$B$24:$U$30,MATCH("对"&amp;LEFT($C$5,2)&amp;"输出",标准坦克设计!$B$23:$U$23,0)))*(VLOOKUP($B186,INDIRECT($B$5&amp;"生成成长"),3))*(VLOOKUP($B$5,标准坦克设计!$B$14:$K$20,9)/30))</f>
        <v>17.225802254192779</v>
      </c>
      <c r="DT186" s="173">
        <f ca="1">(VLOOKUP(DT$72,INDIRECT($C$5&amp;"生成成长"),2))/((VLOOKUP($B186,INDIRECT($B$5&amp;"生成成长"),4))/(VLOOKUP(DT$72,INDIRECT($C$5&amp;"生成成长"),5))*(VLOOKUP($B$5,标准坦克设计!$B$24:$U$30,MATCH("对"&amp;LEFT($C$5,2)&amp;"输出",标准坦克设计!$B$23:$U$23,0)))*(VLOOKUP($B186,INDIRECT($B$5&amp;"生成成长"),3))*(VLOOKUP($B$5,标准坦克设计!$B$14:$K$20,9)/30))</f>
        <v>18.912888860600585</v>
      </c>
      <c r="DU186" s="173">
        <f ca="1">(VLOOKUP(DU$72,INDIRECT($C$5&amp;"生成成长"),2))/((VLOOKUP($B186,INDIRECT($B$5&amp;"生成成长"),4))/(VLOOKUP(DU$72,INDIRECT($C$5&amp;"生成成长"),5))*(VLOOKUP($B$5,标准坦克设计!$B$24:$U$30,MATCH("对"&amp;LEFT($C$5,2)&amp;"输出",标准坦克设计!$B$23:$U$23,0)))*(VLOOKUP($B186,INDIRECT($B$5&amp;"生成成长"),3))*(VLOOKUP($B$5,标准坦克设计!$B$14:$K$20,9)/30))</f>
        <v>20.678777813804501</v>
      </c>
      <c r="DV186" s="173">
        <f ca="1">(VLOOKUP(DV$72,INDIRECT($C$5&amp;"生成成长"),2))/((VLOOKUP($B186,INDIRECT($B$5&amp;"生成成长"),4))/(VLOOKUP(DV$72,INDIRECT($C$5&amp;"生成成长"),5))*(VLOOKUP($B$5,标准坦克设计!$B$24:$U$30,MATCH("对"&amp;LEFT($C$5,2)&amp;"输出",标准坦克设计!$B$23:$U$23,0)))*(VLOOKUP($B186,INDIRECT($B$5&amp;"生成成长"),3))*(VLOOKUP($B$5,标准坦克设计!$B$14:$K$20,9)/30))</f>
        <v>22.523469113804545</v>
      </c>
      <c r="DW186" s="173">
        <f ca="1">(VLOOKUP(DW$72,INDIRECT($C$5&amp;"生成成长"),2))/((VLOOKUP($B186,INDIRECT($B$5&amp;"生成成长"),4))/(VLOOKUP(DW$72,INDIRECT($C$5&amp;"生成成长"),5))*(VLOOKUP($B$5,标准坦克设计!$B$24:$U$30,MATCH("对"&amp;LEFT($C$5,2)&amp;"输出",标准坦克设计!$B$23:$U$23,0)))*(VLOOKUP($B186,INDIRECT($B$5&amp;"生成成长"),3))*(VLOOKUP($B$5,标准坦克设计!$B$14:$K$20,9)/30))</f>
        <v>24.446962760600705</v>
      </c>
      <c r="DX186" s="173">
        <f ca="1">(VLOOKUP(DX$72,INDIRECT($C$5&amp;"生成成长"),2))/((VLOOKUP($B186,INDIRECT($B$5&amp;"生成成长"),4))/(VLOOKUP(DX$72,INDIRECT($C$5&amp;"生成成长"),5))*(VLOOKUP($B$5,标准坦克设计!$B$24:$U$30,MATCH("对"&amp;LEFT($C$5,2)&amp;"输出",标准坦克设计!$B$23:$U$23,0)))*(VLOOKUP($B186,INDIRECT($B$5&amp;"生成成长"),3))*(VLOOKUP($B$5,标准坦克设计!$B$14:$K$20,9)/30))</f>
        <v>26.449258754192979</v>
      </c>
      <c r="DY186" s="173">
        <f ca="1">(VLOOKUP(DY$72,INDIRECT($C$5&amp;"生成成长"),2))/((VLOOKUP($B186,INDIRECT($B$5&amp;"生成成长"),4))/(VLOOKUP(DY$72,INDIRECT($C$5&amp;"生成成长"),5))*(VLOOKUP($B$5,标准坦克设计!$B$24:$U$30,MATCH("对"&amp;LEFT($C$5,2)&amp;"输出",标准坦克设计!$B$23:$U$23,0)))*(VLOOKUP($B186,INDIRECT($B$5&amp;"生成成长"),3))*(VLOOKUP($B$5,标准坦克设计!$B$14:$K$20,9)/30))</f>
        <v>11.879290964748712</v>
      </c>
      <c r="DZ186" s="173">
        <f ca="1">(VLOOKUP(DZ$72,INDIRECT($C$5&amp;"生成成长"),2))/((VLOOKUP($B186,INDIRECT($B$5&amp;"生成成长"),4))/(VLOOKUP(DZ$72,INDIRECT($C$5&amp;"生成成长"),5))*(VLOOKUP($B$5,标准坦克设计!$B$24:$U$30,MATCH("对"&amp;LEFT($C$5,2)&amp;"输出",标准坦克设计!$B$23:$U$23,0)))*(VLOOKUP($B186,INDIRECT($B$5&amp;"生成成长"),3))*(VLOOKUP($B$5,标准坦克设计!$B$14:$K$20,9)/30))</f>
        <v>13.15575873103294</v>
      </c>
      <c r="EA186" s="173">
        <f ca="1">(VLOOKUP(EA$72,INDIRECT($C$5&amp;"生成成长"),2))/((VLOOKUP($B186,INDIRECT($B$5&amp;"生成成长"),4))/(VLOOKUP(EA$72,INDIRECT($C$5&amp;"生成成长"),5))*(VLOOKUP($B$5,标准坦克设计!$B$24:$U$30,MATCH("对"&amp;LEFT($C$5,2)&amp;"输出",标准坦克设计!$B$23:$U$23,0)))*(VLOOKUP($B186,INDIRECT($B$5&amp;"生成成长"),3))*(VLOOKUP($B$5,标准坦克设计!$B$14:$K$20,9)/30))</f>
        <v>14.497352403760244</v>
      </c>
      <c r="EB186" s="173">
        <f ca="1">(VLOOKUP(EB$72,INDIRECT($C$5&amp;"生成成长"),2))/((VLOOKUP($B186,INDIRECT($B$5&amp;"生成成长"),4))/(VLOOKUP(EB$72,INDIRECT($C$5&amp;"生成成长"),5))*(VLOOKUP($B$5,标准坦克设计!$B$24:$U$30,MATCH("对"&amp;LEFT($C$5,2)&amp;"输出",标准坦克设计!$B$23:$U$23,0)))*(VLOOKUP($B186,INDIRECT($B$5&amp;"生成成长"),3))*(VLOOKUP($B$5,标准坦克设计!$B$14:$K$20,9)/30))</f>
        <v>15.904071982930615</v>
      </c>
      <c r="EC186" s="173">
        <f ca="1">(VLOOKUP(EC$72,INDIRECT($C$5&amp;"生成成长"),2))/((VLOOKUP($B186,INDIRECT($B$5&amp;"生成成长"),4))/(VLOOKUP(EC$72,INDIRECT($C$5&amp;"生成成长"),5))*(VLOOKUP($B$5,标准坦克设计!$B$24:$U$30,MATCH("对"&amp;LEFT($C$5,2)&amp;"输出",标准坦克设计!$B$23:$U$23,0)))*(VLOOKUP($B186,INDIRECT($B$5&amp;"生成成长"),3))*(VLOOKUP($B$5,标准坦克设计!$B$14:$K$20,9)/30))</f>
        <v>17.375917468544063</v>
      </c>
      <c r="ED186" s="173">
        <f ca="1">(VLOOKUP(ED$72,INDIRECT($C$5&amp;"生成成长"),2))/((VLOOKUP($B186,INDIRECT($B$5&amp;"生成成长"),4))/(VLOOKUP(ED$72,INDIRECT($C$5&amp;"生成成长"),5))*(VLOOKUP($B$5,标准坦克设计!$B$24:$U$30,MATCH("对"&amp;LEFT($C$5,2)&amp;"输出",标准坦克设计!$B$23:$U$23,0)))*(VLOOKUP($B186,INDIRECT($B$5&amp;"生成成长"),3))*(VLOOKUP($B$5,标准坦克设计!$B$14:$K$20,9)/30))</f>
        <v>18.912888860600585</v>
      </c>
      <c r="EE186" s="173">
        <f ca="1">(VLOOKUP(EE$72,INDIRECT($C$5&amp;"生成成长"),2))/((VLOOKUP($B186,INDIRECT($B$5&amp;"生成成长"),4))/(VLOOKUP(EE$72,INDIRECT($C$5&amp;"生成成长"),5))*(VLOOKUP($B$5,标准坦克设计!$B$24:$U$30,MATCH("对"&amp;LEFT($C$5,2)&amp;"输出",标准坦克设计!$B$23:$U$23,0)))*(VLOOKUP($B186,INDIRECT($B$5&amp;"生成成长"),3))*(VLOOKUP($B$5,标准坦克设计!$B$14:$K$20,9)/30))</f>
        <v>20.514986159100179</v>
      </c>
      <c r="EF186" s="173">
        <f ca="1">(VLOOKUP(EF$72,INDIRECT($C$5&amp;"生成成长"),2))/((VLOOKUP($B186,INDIRECT($B$5&amp;"生成成长"),4))/(VLOOKUP(EF$72,INDIRECT($C$5&amp;"生成成长"),5))*(VLOOKUP($B$5,标准坦克设计!$B$24:$U$30,MATCH("对"&amp;LEFT($C$5,2)&amp;"输出",标准坦克设计!$B$23:$U$23,0)))*(VLOOKUP($B186,INDIRECT($B$5&amp;"生成成长"),3))*(VLOOKUP($B$5,标准坦克设计!$B$14:$K$20,9)/30))</f>
        <v>22.182209364042844</v>
      </c>
      <c r="EG186" s="173">
        <f ca="1">(VLOOKUP(EG$72,INDIRECT($C$5&amp;"生成成长"),2))/((VLOOKUP($B186,INDIRECT($B$5&amp;"生成成长"),4))/(VLOOKUP(EG$72,INDIRECT($C$5&amp;"生成成长"),5))*(VLOOKUP($B$5,标准坦克设计!$B$24:$U$30,MATCH("对"&amp;LEFT($C$5,2)&amp;"输出",标准坦克设计!$B$23:$U$23,0)))*(VLOOKUP($B186,INDIRECT($B$5&amp;"生成成长"),3))*(VLOOKUP($B$5,标准坦克设计!$B$14:$K$20,9)/30))</f>
        <v>23.914558475428585</v>
      </c>
      <c r="EH186" s="173">
        <f ca="1">(VLOOKUP(EH$72,INDIRECT($C$5&amp;"生成成长"),2))/((VLOOKUP($B186,INDIRECT($B$5&amp;"生成成长"),4))/(VLOOKUP(EH$72,INDIRECT($C$5&amp;"生成成长"),5))*(VLOOKUP($B$5,标准坦克设计!$B$24:$U$30,MATCH("对"&amp;LEFT($C$5,2)&amp;"输出",标准坦克设计!$B$23:$U$23,0)))*(VLOOKUP($B186,INDIRECT($B$5&amp;"生成成长"),3))*(VLOOKUP($B$5,标准坦克设计!$B$14:$K$20,9)/30))</f>
        <v>25.712033493257394</v>
      </c>
      <c r="EI186" s="173">
        <f ca="1">(VLOOKUP(EI$72,INDIRECT($C$5&amp;"生成成长"),2))/((VLOOKUP($B186,INDIRECT($B$5&amp;"生成成长"),4))/(VLOOKUP(EI$72,INDIRECT($C$5&amp;"生成成长"),5))*(VLOOKUP($B$5,标准坦克设计!$B$24:$U$30,MATCH("对"&amp;LEFT($C$5,2)&amp;"输出",标准坦克设计!$B$23:$U$23,0)))*(VLOOKUP($B186,INDIRECT($B$5&amp;"生成成长"),3))*(VLOOKUP($B$5,标准坦克设计!$B$14:$K$20,9)/30))</f>
        <v>27.574634417529278</v>
      </c>
      <c r="EJ186" s="173">
        <f ca="1">(VLOOKUP(EJ$72,INDIRECT($C$5&amp;"生成成长"),2))/((VLOOKUP($B186,INDIRECT($B$5&amp;"生成成长"),4))/(VLOOKUP(EJ$72,INDIRECT($C$5&amp;"生成成长"),5))*(VLOOKUP($B$5,标准坦克设计!$B$24:$U$30,MATCH("对"&amp;LEFT($C$5,2)&amp;"输出",标准坦克设计!$B$23:$U$23,0)))*(VLOOKUP($B186,INDIRECT($B$5&amp;"生成成长"),3))*(VLOOKUP($B$5,标准坦克设计!$B$14:$K$20,9)/30))</f>
        <v>29.502361248244238</v>
      </c>
      <c r="EK186" s="173">
        <f ca="1">(VLOOKUP(EK$72,INDIRECT($C$5&amp;"生成成长"),2))/((VLOOKUP($B186,INDIRECT($B$5&amp;"生成成长"),4))/(VLOOKUP(EK$72,INDIRECT($C$5&amp;"生成成长"),5))*(VLOOKUP($B$5,标准坦克设计!$B$24:$U$30,MATCH("对"&amp;LEFT($C$5,2)&amp;"输出",标准坦克设计!$B$23:$U$23,0)))*(VLOOKUP($B186,INDIRECT($B$5&amp;"生成成长"),3))*(VLOOKUP($B$5,标准坦克设计!$B$14:$K$20,9)/30))</f>
        <v>31.901599641607039</v>
      </c>
      <c r="EL186" s="173">
        <f ca="1">(VLOOKUP(EL$72,INDIRECT($C$5&amp;"生成成长"),2))/((VLOOKUP($B186,INDIRECT($B$5&amp;"生成成长"),4))/(VLOOKUP(EL$72,INDIRECT($C$5&amp;"生成成长"),5))*(VLOOKUP($B$5,标准坦克设计!$B$24:$U$30,MATCH("对"&amp;LEFT($C$5,2)&amp;"输出",标准坦克设计!$B$23:$U$23,0)))*(VLOOKUP($B186,INDIRECT($B$5&amp;"生成成长"),3))*(VLOOKUP($B$5,标准坦克设计!$B$14:$K$20,9)/30))</f>
        <v>34.394619340247871</v>
      </c>
      <c r="EM186" s="173">
        <f ca="1">(VLOOKUP(EM$72,INDIRECT($C$5&amp;"生成成长"),2))/((VLOOKUP($B186,INDIRECT($B$5&amp;"生成成长"),4))/(VLOOKUP(EM$72,INDIRECT($C$5&amp;"生成成长"),5))*(VLOOKUP($B$5,标准坦克设计!$B$24:$U$30,MATCH("对"&amp;LEFT($C$5,2)&amp;"输出",标准坦克设计!$B$23:$U$23,0)))*(VLOOKUP($B186,INDIRECT($B$5&amp;"生成成长"),3))*(VLOOKUP($B$5,标准坦克设计!$B$14:$K$20,9)/30))</f>
        <v>36.981420344166729</v>
      </c>
      <c r="EN186" s="173">
        <f ca="1">(VLOOKUP(EN$72,INDIRECT($C$5&amp;"生成成长"),2))/((VLOOKUP($B186,INDIRECT($B$5&amp;"生成成长"),4))/(VLOOKUP(EN$72,INDIRECT($C$5&amp;"生成成长"),5))*(VLOOKUP($B$5,标准坦克设计!$B$24:$U$30,MATCH("对"&amp;LEFT($C$5,2)&amp;"输出",标准坦克设计!$B$23:$U$23,0)))*(VLOOKUP($B186,INDIRECT($B$5&amp;"生成成长"),3))*(VLOOKUP($B$5,标准坦克设计!$B$14:$K$20,9)/30))</f>
        <v>39.662002653363608</v>
      </c>
      <c r="EO186" s="173">
        <f ca="1">(VLOOKUP(EO$72,INDIRECT($C$5&amp;"生成成长"),2))/((VLOOKUP($B186,INDIRECT($B$5&amp;"生成成长"),4))/(VLOOKUP(EO$72,INDIRECT($C$5&amp;"生成成长"),5))*(VLOOKUP($B$5,标准坦克设计!$B$24:$U$30,MATCH("对"&amp;LEFT($C$5,2)&amp;"输出",标准坦克设计!$B$23:$U$23,0)))*(VLOOKUP($B186,INDIRECT($B$5&amp;"生成成长"),3))*(VLOOKUP($B$5,标准坦克设计!$B$14:$K$20,9)/30))</f>
        <v>42.436366267838508</v>
      </c>
      <c r="EP186" s="173">
        <f ca="1">(VLOOKUP(EP$72,INDIRECT($C$5&amp;"生成成长"),2))/((VLOOKUP($B186,INDIRECT($B$5&amp;"生成成长"),4))/(VLOOKUP(EP$72,INDIRECT($C$5&amp;"生成成长"),5))*(VLOOKUP($B$5,标准坦克设计!$B$24:$U$30,MATCH("对"&amp;LEFT($C$5,2)&amp;"输出",标准坦克设计!$B$23:$U$23,0)))*(VLOOKUP($B186,INDIRECT($B$5&amp;"生成成长"),3))*(VLOOKUP($B$5,标准坦克设计!$B$14:$K$20,9)/30))</f>
        <v>45.304511187591437</v>
      </c>
      <c r="EQ186" s="173">
        <f ca="1">(VLOOKUP(EQ$72,INDIRECT($C$5&amp;"生成成长"),2))/((VLOOKUP($B186,INDIRECT($B$5&amp;"生成成长"),4))/(VLOOKUP(EQ$72,INDIRECT($C$5&amp;"生成成长"),5))*(VLOOKUP($B$5,标准坦克设计!$B$24:$U$30,MATCH("对"&amp;LEFT($C$5,2)&amp;"输出",标准坦克设计!$B$23:$U$23,0)))*(VLOOKUP($B186,INDIRECT($B$5&amp;"生成成长"),3))*(VLOOKUP($B$5,标准坦克设计!$B$14:$K$20,9)/30))</f>
        <v>20.027518749373776</v>
      </c>
      <c r="ER186" s="173">
        <f ca="1">(VLOOKUP(ER$72,INDIRECT($C$5&amp;"生成成长"),2))/((VLOOKUP($B186,INDIRECT($B$5&amp;"生成成长"),4))/(VLOOKUP(ER$72,INDIRECT($C$5&amp;"生成成长"),5))*(VLOOKUP($B$5,标准坦克设计!$B$24:$U$30,MATCH("对"&amp;LEFT($C$5,2)&amp;"输出",标准坦克设计!$B$23:$U$23,0)))*(VLOOKUP($B186,INDIRECT($B$5&amp;"生成成长"),3))*(VLOOKUP($B$5,标准坦克设计!$B$14:$K$20,9)/30))</f>
        <v>21.843554650538863</v>
      </c>
      <c r="ES186" s="173">
        <f ca="1">(VLOOKUP(ES$72,INDIRECT($C$5&amp;"生成成长"),2))/((VLOOKUP($B186,INDIRECT($B$5&amp;"生成成长"),4))/(VLOOKUP(ES$72,INDIRECT($C$5&amp;"生成成长"),5))*(VLOOKUP($B$5,标准坦克设计!$B$24:$U$30,MATCH("对"&amp;LEFT($C$5,2)&amp;"输出",标准坦克设计!$B$23:$U$23,0)))*(VLOOKUP($B186,INDIRECT($B$5&amp;"生成成长"),3))*(VLOOKUP($B$5,标准坦克设计!$B$14:$K$20,9)/30))</f>
        <v>23.738392898500074</v>
      </c>
      <c r="ET186" s="173">
        <f ca="1">(VLOOKUP(ET$72,INDIRECT($C$5&amp;"生成成长"),2))/((VLOOKUP($B186,INDIRECT($B$5&amp;"生成成长"),4))/(VLOOKUP(ET$72,INDIRECT($C$5&amp;"生成成长"),5))*(VLOOKUP($B$5,标准坦克设计!$B$24:$U$30,MATCH("对"&amp;LEFT($C$5,2)&amp;"输出",标准坦克设计!$B$23:$U$23,0)))*(VLOOKUP($B186,INDIRECT($B$5&amp;"生成成长"),3))*(VLOOKUP($B$5,标准坦克设计!$B$14:$K$20,9)/30))</f>
        <v>25.712033493257394</v>
      </c>
      <c r="EU186" s="173">
        <f ca="1">(VLOOKUP(EU$72,INDIRECT($C$5&amp;"生成成长"),2))/((VLOOKUP($B186,INDIRECT($B$5&amp;"生成成长"),4))/(VLOOKUP(EU$72,INDIRECT($C$5&amp;"生成成长"),5))*(VLOOKUP($B$5,标准坦克设计!$B$24:$U$30,MATCH("对"&amp;LEFT($C$5,2)&amp;"输出",标准坦克设计!$B$23:$U$23,0)))*(VLOOKUP($B186,INDIRECT($B$5&amp;"生成成长"),3))*(VLOOKUP($B$5,标准坦克设计!$B$14:$K$20,9)/30))</f>
        <v>27.764476434810838</v>
      </c>
      <c r="EV186" s="173">
        <f ca="1">(VLOOKUP(EV$72,INDIRECT($C$5&amp;"生成成长"),2))/((VLOOKUP($B186,INDIRECT($B$5&amp;"生成成长"),4))/(VLOOKUP(EV$72,INDIRECT($C$5&amp;"生成成长"),5))*(VLOOKUP($B$5,标准坦克设计!$B$24:$U$30,MATCH("对"&amp;LEFT($C$5,2)&amp;"输出",标准坦克设计!$B$23:$U$23,0)))*(VLOOKUP($B186,INDIRECT($B$5&amp;"生成成长"),3))*(VLOOKUP($B$5,标准坦克设计!$B$14:$K$20,9)/30))</f>
        <v>29.895721723160403</v>
      </c>
      <c r="EW186" s="173">
        <f ca="1">(VLOOKUP(EW$72,INDIRECT($C$5&amp;"生成成长"),2))/((VLOOKUP($B186,INDIRECT($B$5&amp;"生成成长"),4))/(VLOOKUP(EW$72,INDIRECT($C$5&amp;"生成成长"),5))*(VLOOKUP($B$5,标准坦克设计!$B$24:$U$30,MATCH("对"&amp;LEFT($C$5,2)&amp;"输出",标准坦克设计!$B$23:$U$23,0)))*(VLOOKUP($B186,INDIRECT($B$5&amp;"生成成长"),3))*(VLOOKUP($B$5,标准坦克设计!$B$14:$K$20,9)/30))</f>
        <v>32.105769358306077</v>
      </c>
      <c r="EX186" s="173">
        <f ca="1">(VLOOKUP(EX$72,INDIRECT($C$5&amp;"生成成长"),2))/((VLOOKUP($B186,INDIRECT($B$5&amp;"生成成长"),4))/(VLOOKUP(EX$72,INDIRECT($C$5&amp;"生成成长"),5))*(VLOOKUP($B$5,标准坦克设计!$B$24:$U$30,MATCH("对"&amp;LEFT($C$5,2)&amp;"输出",标准坦克设计!$B$23:$U$23,0)))*(VLOOKUP($B186,INDIRECT($B$5&amp;"生成成长"),3))*(VLOOKUP($B$5,标准坦克设计!$B$14:$K$20,9)/30))</f>
        <v>34.394619340247871</v>
      </c>
      <c r="EY186" s="173">
        <f ca="1">(VLOOKUP(EY$72,INDIRECT($C$5&amp;"生成成长"),2))/((VLOOKUP($B186,INDIRECT($B$5&amp;"生成成长"),4))/(VLOOKUP(EY$72,INDIRECT($C$5&amp;"生成成长"),5))*(VLOOKUP($B$5,标准坦克设计!$B$24:$U$30,MATCH("对"&amp;LEFT($C$5,2)&amp;"输出",标准坦克设计!$B$23:$U$23,0)))*(VLOOKUP($B186,INDIRECT($B$5&amp;"生成成长"),3))*(VLOOKUP($B$5,标准坦克设计!$B$14:$K$20,9)/30))</f>
        <v>36.76227166898579</v>
      </c>
      <c r="EZ186" s="173">
        <f ca="1">(VLOOKUP(EZ$72,INDIRECT($C$5&amp;"生成成长"),2))/((VLOOKUP($B186,INDIRECT($B$5&amp;"生成成长"),4))/(VLOOKUP(EZ$72,INDIRECT($C$5&amp;"生成成长"),5))*(VLOOKUP($B$5,标准坦克设计!$B$24:$U$30,MATCH("对"&amp;LEFT($C$5,2)&amp;"输出",标准坦克设计!$B$23:$U$23,0)))*(VLOOKUP($B186,INDIRECT($B$5&amp;"生成成长"),3))*(VLOOKUP($B$5,标准坦克设计!$B$14:$K$20,9)/30))</f>
        <v>39.208726344519818</v>
      </c>
      <c r="FA186" s="173">
        <f ca="1">(VLOOKUP(FA$72,INDIRECT($C$5&amp;"生成成长"),2))/((VLOOKUP($B186,INDIRECT($B$5&amp;"生成成长"),4))/(VLOOKUP(FA$72,INDIRECT($C$5&amp;"生成成长"),5))*(VLOOKUP($B$5,标准坦克设计!$B$24:$U$30,MATCH("对"&amp;LEFT($C$5,2)&amp;"输出",标准坦克设计!$B$23:$U$23,0)))*(VLOOKUP($B186,INDIRECT($B$5&amp;"生成成长"),3))*(VLOOKUP($B$5,标准坦克设计!$B$14:$K$20,9)/30))</f>
        <v>41.733983366849976</v>
      </c>
      <c r="FB186" s="173">
        <f ca="1">(VLOOKUP(FB$72,INDIRECT($C$5&amp;"生成成长"),2))/((VLOOKUP($B186,INDIRECT($B$5&amp;"生成成长"),4))/(VLOOKUP(FB$72,INDIRECT($C$5&amp;"生成成长"),5))*(VLOOKUP($B$5,标准坦克设计!$B$24:$U$30,MATCH("对"&amp;LEFT($C$5,2)&amp;"输出",标准坦克设计!$B$23:$U$23,0)))*(VLOOKUP($B186,INDIRECT($B$5&amp;"生成成长"),3))*(VLOOKUP($B$5,标准坦克设计!$B$14:$K$20,9)/30))</f>
        <v>44.338042735976238</v>
      </c>
      <c r="FC186" s="173">
        <f ca="1">(VLOOKUP(FC$72,INDIRECT($C$5&amp;"生成成长"),2))/((VLOOKUP($B186,INDIRECT($B$5&amp;"生成成长"),4))/(VLOOKUP(FC$72,INDIRECT($C$5&amp;"生成成长"),5))*(VLOOKUP($B$5,标准坦克设计!$B$24:$U$30,MATCH("对"&amp;LEFT($C$5,2)&amp;"输出",标准坦克设计!$B$23:$U$23,0)))*(VLOOKUP($B186,INDIRECT($B$5&amp;"生成成长"),3))*(VLOOKUP($B$5,标准坦克设计!$B$14:$K$20,9)/30))</f>
        <v>47.02090445189863</v>
      </c>
      <c r="FD186" s="173">
        <f ca="1">(VLOOKUP(FD$72,INDIRECT($C$5&amp;"生成成长"),2))/((VLOOKUP($B186,INDIRECT($B$5&amp;"生成成长"),4))/(VLOOKUP(FD$72,INDIRECT($C$5&amp;"生成成长"),5))*(VLOOKUP($B$5,标准坦克设计!$B$24:$U$30,MATCH("对"&amp;LEFT($C$5,2)&amp;"输出",标准坦克设计!$B$23:$U$23,0)))*(VLOOKUP($B186,INDIRECT($B$5&amp;"生成成长"),3))*(VLOOKUP($B$5,标准坦克设计!$B$14:$K$20,9)/30))</f>
        <v>49.782568514617132</v>
      </c>
      <c r="FE186" s="173">
        <f ca="1">(VLOOKUP(FE$72,INDIRECT($C$5&amp;"生成成长"),2))/((VLOOKUP($B186,INDIRECT($B$5&amp;"生成成长"),4))/(VLOOKUP(FE$72,INDIRECT($C$5&amp;"生成成长"),5))*(VLOOKUP($B$5,标准坦克设计!$B$24:$U$30,MATCH("对"&amp;LEFT($C$5,2)&amp;"输出",标准坦克设计!$B$23:$U$23,0)))*(VLOOKUP($B186,INDIRECT($B$5&amp;"生成成长"),3))*(VLOOKUP($B$5,标准坦克设计!$B$14:$K$20,9)/30))</f>
        <v>53.147949730062926</v>
      </c>
      <c r="FF186" s="173">
        <f ca="1">(VLOOKUP(FF$72,INDIRECT($C$5&amp;"生成成长"),2))/((VLOOKUP($B186,INDIRECT($B$5&amp;"生成成长"),4))/(VLOOKUP(FF$72,INDIRECT($C$5&amp;"生成成长"),5))*(VLOOKUP($B$5,标准坦克设计!$B$24:$U$30,MATCH("对"&amp;LEFT($C$5,2)&amp;"输出",标准坦克设计!$B$23:$U$23,0)))*(VLOOKUP($B186,INDIRECT($B$5&amp;"生成成长"),3))*(VLOOKUP($B$5,标准坦克设计!$B$14:$K$20,9)/30))</f>
        <v>56.623393727397506</v>
      </c>
      <c r="FG186" s="173">
        <f ca="1">(VLOOKUP(FG$72,INDIRECT($C$5&amp;"生成成长"),2))/((VLOOKUP($B186,INDIRECT($B$5&amp;"生成成长"),4))/(VLOOKUP(FG$72,INDIRECT($C$5&amp;"生成成长"),5))*(VLOOKUP($B$5,标准坦克设计!$B$24:$U$30,MATCH("对"&amp;LEFT($C$5,2)&amp;"输出",标准坦克设计!$B$23:$U$23,0)))*(VLOOKUP($B186,INDIRECT($B$5&amp;"生成成长"),3))*(VLOOKUP($B$5,标准坦克设计!$B$14:$K$20,9)/30))</f>
        <v>60.2089005066209</v>
      </c>
      <c r="FH186" s="173">
        <f ca="1">(VLOOKUP(FH$72,INDIRECT($C$5&amp;"生成成长"),2))/((VLOOKUP($B186,INDIRECT($B$5&amp;"生成成长"),4))/(VLOOKUP(FH$72,INDIRECT($C$5&amp;"生成成长"),5))*(VLOOKUP($B$5,标准坦克设计!$B$24:$U$30,MATCH("对"&amp;LEFT($C$5,2)&amp;"输出",标准坦克设计!$B$23:$U$23,0)))*(VLOOKUP($B186,INDIRECT($B$5&amp;"生成成长"),3))*(VLOOKUP($B$5,标准坦克设计!$B$14:$K$20,9)/30))</f>
        <v>63.904470067733058</v>
      </c>
      <c r="FI186" s="173">
        <f ca="1">(VLOOKUP(FI$72,INDIRECT($C$5&amp;"生成成长"),2))/((VLOOKUP($B186,INDIRECT($B$5&amp;"生成成长"),4))/(VLOOKUP(FI$72,INDIRECT($C$5&amp;"生成成长"),5))*(VLOOKUP($B$5,标准坦克设计!$B$24:$U$30,MATCH("对"&amp;LEFT($C$5,2)&amp;"输出",标准坦克设计!$B$23:$U$23,0)))*(VLOOKUP($B186,INDIRECT($B$5&amp;"生成成长"),3))*(VLOOKUP($B$5,标准坦克设计!$B$14:$K$20,9)/30))</f>
        <v>67.710102410734038</v>
      </c>
      <c r="FJ186" s="173">
        <f ca="1">(VLOOKUP(FJ$72,INDIRECT($C$5&amp;"生成成长"),2))/((VLOOKUP($B186,INDIRECT($B$5&amp;"生成成长"),4))/(VLOOKUP(FJ$72,INDIRECT($C$5&amp;"生成成长"),5))*(VLOOKUP($B$5,标准坦克设计!$B$24:$U$30,MATCH("对"&amp;LEFT($C$5,2)&amp;"输出",标准坦克设计!$B$23:$U$23,0)))*(VLOOKUP($B186,INDIRECT($B$5&amp;"生成成长"),3))*(VLOOKUP($B$5,标准坦克设计!$B$14:$K$20,9)/30))</f>
        <v>71.625797535623789</v>
      </c>
      <c r="FK186" s="173">
        <f ca="1">(VLOOKUP(FK$72,INDIRECT($C$5&amp;"生成成长"),2))/((VLOOKUP($B186,INDIRECT($B$5&amp;"生成成长"),4))/(VLOOKUP(FK$72,INDIRECT($C$5&amp;"生成成长"),5))*(VLOOKUP($B$5,标准坦克设计!$B$24:$U$30,MATCH("对"&amp;LEFT($C$5,2)&amp;"输出",标准坦克设计!$B$23:$U$23,0)))*(VLOOKUP($B186,INDIRECT($B$5&amp;"生成成长"),3))*(VLOOKUP($B$5,标准坦克设计!$B$14:$K$20,9)/30))</f>
        <v>75.651555442402341</v>
      </c>
    </row>
    <row r="187" spans="1:167" x14ac:dyDescent="0.15">
      <c r="A187" s="171" t="str">
        <f t="shared" si="12"/>
        <v>T3高品质4级</v>
      </c>
      <c r="B187" s="172">
        <v>30304</v>
      </c>
      <c r="C187" s="173">
        <f ca="1">(VLOOKUP(C$72,INDIRECT($C$5&amp;"生成成长"),2))/((VLOOKUP($B187,INDIRECT($B$5&amp;"生成成长"),4))/(VLOOKUP(C$72,INDIRECT($C$5&amp;"生成成长"),5))*(VLOOKUP($B$5,标准坦克设计!$B$24:$U$30,MATCH("对"&amp;LEFT($C$5,2)&amp;"输出",标准坦克设计!$B$23:$U$23,0)))*(VLOOKUP($B187,INDIRECT($B$5&amp;"生成成长"),3))*(VLOOKUP($B$5,标准坦克设计!$B$14:$K$20,9)/30))</f>
        <v>2.9352912094299759</v>
      </c>
      <c r="D187" s="173">
        <f ca="1">(VLOOKUP(D$72,INDIRECT($C$5&amp;"生成成长"),2))/((VLOOKUP($B187,INDIRECT($B$5&amp;"生成成长"),4))/(VLOOKUP(D$72,INDIRECT($C$5&amp;"生成成长"),5))*(VLOOKUP($B$5,标准坦克设计!$B$24:$U$30,MATCH("对"&amp;LEFT($C$5,2)&amp;"输出",标准坦克设计!$B$23:$U$23,0)))*(VLOOKUP($B187,INDIRECT($B$5&amp;"生成成长"),3))*(VLOOKUP($B$5,标准坦克设计!$B$14:$K$20,9)/30))</f>
        <v>3.2980932029155205</v>
      </c>
      <c r="E187" s="173">
        <f ca="1">(VLOOKUP(E$72,INDIRECT($C$5&amp;"生成成长"),2))/((VLOOKUP($B187,INDIRECT($B$5&amp;"生成成长"),4))/(VLOOKUP(E$72,INDIRECT($C$5&amp;"生成成长"),5))*(VLOOKUP($B$5,标准坦克设计!$B$24:$U$30,MATCH("对"&amp;LEFT($C$5,2)&amp;"输出",标准坦克设计!$B$23:$U$23,0)))*(VLOOKUP($B187,INDIRECT($B$5&amp;"生成成长"),3))*(VLOOKUP($B$5,标准坦克设计!$B$14:$K$20,9)/30))</f>
        <v>3.6820292931089611</v>
      </c>
      <c r="F187" s="173">
        <f ca="1">(VLOOKUP(F$72,INDIRECT($C$5&amp;"生成成长"),2))/((VLOOKUP($B187,INDIRECT($B$5&amp;"生成成长"),4))/(VLOOKUP(F$72,INDIRECT($C$5&amp;"生成成长"),5))*(VLOOKUP($B$5,标准坦克设计!$B$24:$U$30,MATCH("对"&amp;LEFT($C$5,2)&amp;"输出",标准坦克设计!$B$23:$U$23,0)))*(VLOOKUP($B187,INDIRECT($B$5&amp;"生成成长"),3))*(VLOOKUP($B$5,标准坦克设计!$B$14:$K$20,9)/30))</f>
        <v>4.0870994800102975</v>
      </c>
      <c r="G187" s="173">
        <f ca="1">(VLOOKUP(G$72,INDIRECT($C$5&amp;"生成成长"),2))/((VLOOKUP($B187,INDIRECT($B$5&amp;"生成成长"),4))/(VLOOKUP(G$72,INDIRECT($C$5&amp;"生成成长"),5))*(VLOOKUP($B$5,标准坦克设计!$B$24:$U$30,MATCH("对"&amp;LEFT($C$5,2)&amp;"输出",标准坦克设计!$B$23:$U$23,0)))*(VLOOKUP($B187,INDIRECT($B$5&amp;"生成成长"),3))*(VLOOKUP($B$5,标准坦克设计!$B$14:$K$20,9)/30))</f>
        <v>4.5133037636195299</v>
      </c>
      <c r="H187" s="173">
        <f ca="1">(VLOOKUP(H$72,INDIRECT($C$5&amp;"生成成长"),2))/((VLOOKUP($B187,INDIRECT($B$5&amp;"生成成长"),4))/(VLOOKUP(H$72,INDIRECT($C$5&amp;"生成成长"),5))*(VLOOKUP($B$5,标准坦克设计!$B$24:$U$30,MATCH("对"&amp;LEFT($C$5,2)&amp;"输出",标准坦克设计!$B$23:$U$23,0)))*(VLOOKUP($B187,INDIRECT($B$5&amp;"生成成长"),3))*(VLOOKUP($B$5,标准坦克设计!$B$14:$K$20,9)/30))</f>
        <v>3.9497278514089755</v>
      </c>
      <c r="I187" s="173">
        <f ca="1">(VLOOKUP(I$72,INDIRECT($C$5&amp;"生成成长"),2))/((VLOOKUP($B187,INDIRECT($B$5&amp;"生成成长"),4))/(VLOOKUP(I$72,INDIRECT($C$5&amp;"生成成长"),5))*(VLOOKUP($B$5,标准坦克设计!$B$24:$U$30,MATCH("对"&amp;LEFT($C$5,2)&amp;"输出",标准坦克设计!$B$23:$U$23,0)))*(VLOOKUP($B187,INDIRECT($B$5&amp;"生成成长"),3))*(VLOOKUP($B$5,标准坦克设计!$B$14:$K$20,9)/30))</f>
        <v>4.5133037636195299</v>
      </c>
      <c r="J187" s="173">
        <f ca="1">(VLOOKUP(J$72,INDIRECT($C$5&amp;"生成成长"),2))/((VLOOKUP($B187,INDIRECT($B$5&amp;"生成成长"),4))/(VLOOKUP(J$72,INDIRECT($C$5&amp;"生成成长"),5))*(VLOOKUP($B$5,标准坦克设计!$B$24:$U$30,MATCH("对"&amp;LEFT($C$5,2)&amp;"输出",标准坦克设计!$B$23:$U$23,0)))*(VLOOKUP($B187,INDIRECT($B$5&amp;"生成成长"),3))*(VLOOKUP($B$5,标准坦克设计!$B$14:$K$20,9)/30))</f>
        <v>5.11445140331079</v>
      </c>
      <c r="K187" s="173">
        <f ca="1">(VLOOKUP(K$72,INDIRECT($C$5&amp;"生成成长"),2))/((VLOOKUP($B187,INDIRECT($B$5&amp;"生成成长"),4))/(VLOOKUP(K$72,INDIRECT($C$5&amp;"生成成长"),5))*(VLOOKUP($B$5,标准坦克设计!$B$24:$U$30,MATCH("对"&amp;LEFT($C$5,2)&amp;"输出",标准坦克设计!$B$23:$U$23,0)))*(VLOOKUP($B187,INDIRECT($B$5&amp;"生成成长"),3))*(VLOOKUP($B$5,标准坦克设计!$B$14:$K$20,9)/30))</f>
        <v>5.753170770482753</v>
      </c>
      <c r="L187" s="173">
        <f ca="1">(VLOOKUP(L$72,INDIRECT($C$5&amp;"生成成长"),2))/((VLOOKUP($B187,INDIRECT($B$5&amp;"生成成长"),4))/(VLOOKUP(L$72,INDIRECT($C$5&amp;"生成成长"),5))*(VLOOKUP($B$5,标准坦克设计!$B$24:$U$30,MATCH("对"&amp;LEFT($C$5,2)&amp;"输出",标准坦克设计!$B$23:$U$23,0)))*(VLOOKUP($B187,INDIRECT($B$5&amp;"生成成长"),3))*(VLOOKUP($B$5,标准坦克设计!$B$14:$K$20,9)/30))</f>
        <v>6.4294618651354192</v>
      </c>
      <c r="M187" s="173">
        <f ca="1">(VLOOKUP(M$72,INDIRECT($C$5&amp;"生成成长"),2))/((VLOOKUP($B187,INDIRECT($B$5&amp;"生成成长"),4))/(VLOOKUP(M$72,INDIRECT($C$5&amp;"生成成长"),5))*(VLOOKUP($B$5,标准坦克设计!$B$24:$U$30,MATCH("对"&amp;LEFT($C$5,2)&amp;"输出",标准坦克设计!$B$23:$U$23,0)))*(VLOOKUP($B187,INDIRECT($B$5&amp;"生成成长"),3))*(VLOOKUP($B$5,标准坦克设计!$B$14:$K$20,9)/30))</f>
        <v>7.1433246872687883</v>
      </c>
      <c r="N187" s="173">
        <f ca="1">(VLOOKUP(N$72,INDIRECT($C$5&amp;"生成成长"),2))/((VLOOKUP($B187,INDIRECT($B$5&amp;"生成成长"),4))/(VLOOKUP(N$72,INDIRECT($C$5&amp;"生成成长"),5))*(VLOOKUP($B$5,标准坦克设计!$B$24:$U$30,MATCH("对"&amp;LEFT($C$5,2)&amp;"输出",标准坦克设计!$B$23:$U$23,0)))*(VLOOKUP($B187,INDIRECT($B$5&amp;"生成成长"),3))*(VLOOKUP($B$5,标准坦克设计!$B$14:$K$20,9)/30))</f>
        <v>7.8947592368828614</v>
      </c>
      <c r="O187" s="173">
        <f ca="1">(VLOOKUP(O$72,INDIRECT($C$5&amp;"生成成长"),2))/((VLOOKUP($B187,INDIRECT($B$5&amp;"生成成长"),4))/(VLOOKUP(O$72,INDIRECT($C$5&amp;"生成成长"),5))*(VLOOKUP($B$5,标准坦克设计!$B$24:$U$30,MATCH("对"&amp;LEFT($C$5,2)&amp;"输出",标准坦克设计!$B$23:$U$23,0)))*(VLOOKUP($B187,INDIRECT($B$5&amp;"生成成长"),3))*(VLOOKUP($B$5,标准坦克设计!$B$14:$K$20,9)/30))</f>
        <v>6.0023769941633569</v>
      </c>
      <c r="P187" s="173">
        <f ca="1">(VLOOKUP(P$72,INDIRECT($C$5&amp;"生成成长"),2))/((VLOOKUP($B187,INDIRECT($B$5&amp;"生成成长"),4))/(VLOOKUP(P$72,INDIRECT($C$5&amp;"生成成长"),5))*(VLOOKUP($B$5,标准坦克设计!$B$24:$U$30,MATCH("对"&amp;LEFT($C$5,2)&amp;"输出",标准坦克设计!$B$23:$U$23,0)))*(VLOOKUP($B187,INDIRECT($B$5&amp;"生成成长"),3))*(VLOOKUP($B$5,标准坦克设计!$B$14:$K$20,9)/30))</f>
        <v>6.7816968102670154</v>
      </c>
      <c r="Q187" s="173">
        <f ca="1">(VLOOKUP(Q$72,INDIRECT($C$5&amp;"生成成长"),2))/((VLOOKUP($B187,INDIRECT($B$5&amp;"生成成长"),4))/(VLOOKUP(Q$72,INDIRECT($C$5&amp;"生成成长"),5))*(VLOOKUP($B$5,标准坦克设计!$B$24:$U$30,MATCH("对"&amp;LEFT($C$5,2)&amp;"输出",标准坦克设计!$B$23:$U$23,0)))*(VLOOKUP($B187,INDIRECT($B$5&amp;"生成成长"),3))*(VLOOKUP($B$5,标准坦克设计!$B$14:$K$20,9)/30))</f>
        <v>7.60856834396344</v>
      </c>
      <c r="R187" s="173">
        <f ca="1">(VLOOKUP(R$72,INDIRECT($C$5&amp;"生成成长"),2))/((VLOOKUP($B187,INDIRECT($B$5&amp;"生成成长"),4))/(VLOOKUP(R$72,INDIRECT($C$5&amp;"生成成长"),5))*(VLOOKUP($B$5,标准坦克设计!$B$24:$U$30,MATCH("对"&amp;LEFT($C$5,2)&amp;"输出",标准坦克设计!$B$23:$U$23,0)))*(VLOOKUP($B187,INDIRECT($B$5&amp;"生成成长"),3))*(VLOOKUP($B$5,标准坦克设计!$B$14:$K$20,9)/30))</f>
        <v>8.4829915952526296</v>
      </c>
      <c r="S187" s="173">
        <f ca="1">(VLOOKUP(S$72,INDIRECT($C$5&amp;"生成成长"),2))/((VLOOKUP($B187,INDIRECT($B$5&amp;"生成成长"),4))/(VLOOKUP(S$72,INDIRECT($C$5&amp;"生成成长"),5))*(VLOOKUP($B$5,标准坦克设计!$B$24:$U$30,MATCH("对"&amp;LEFT($C$5,2)&amp;"输出",标准坦克设计!$B$23:$U$23,0)))*(VLOOKUP($B187,INDIRECT($B$5&amp;"生成成长"),3))*(VLOOKUP($B$5,标准坦克设计!$B$14:$K$20,9)/30))</f>
        <v>9.4049665641345861</v>
      </c>
      <c r="T187" s="173">
        <f ca="1">(VLOOKUP(T$72,INDIRECT($C$5&amp;"生成成长"),2))/((VLOOKUP($B187,INDIRECT($B$5&amp;"生成成长"),4))/(VLOOKUP(T$72,INDIRECT($C$5&amp;"生成成长"),5))*(VLOOKUP($B$5,标准坦克设计!$B$24:$U$30,MATCH("对"&amp;LEFT($C$5,2)&amp;"输出",标准坦克设计!$B$23:$U$23,0)))*(VLOOKUP($B187,INDIRECT($B$5&amp;"生成成长"),3))*(VLOOKUP($B$5,标准坦克设计!$B$14:$K$20,9)/30))</f>
        <v>10.374493250609307</v>
      </c>
      <c r="U187" s="173">
        <f ca="1">(VLOOKUP(U$72,INDIRECT($C$5&amp;"生成成长"),2))/((VLOOKUP($B187,INDIRECT($B$5&amp;"生成成长"),4))/(VLOOKUP(U$72,INDIRECT($C$5&amp;"生成成长"),5))*(VLOOKUP($B$5,标准坦克设计!$B$24:$U$30,MATCH("对"&amp;LEFT($C$5,2)&amp;"输出",标准坦克设计!$B$23:$U$23,0)))*(VLOOKUP($B187,INDIRECT($B$5&amp;"生成成长"),3))*(VLOOKUP($B$5,标准坦克设计!$B$14:$K$20,9)/30))</f>
        <v>11.391571654676794</v>
      </c>
      <c r="V187" s="173">
        <f ca="1">(VLOOKUP(V$72,INDIRECT($C$5&amp;"生成成长"),2))/((VLOOKUP($B187,INDIRECT($B$5&amp;"生成成长"),4))/(VLOOKUP(V$72,INDIRECT($C$5&amp;"生成成长"),5))*(VLOOKUP($B$5,标准坦克设计!$B$24:$U$30,MATCH("对"&amp;LEFT($C$5,2)&amp;"输出",标准坦克设计!$B$23:$U$23,0)))*(VLOOKUP($B187,INDIRECT($B$5&amp;"生成成长"),3))*(VLOOKUP($B$5,标准坦克设计!$B$14:$K$20,9)/30))</f>
        <v>12.456201776337048</v>
      </c>
      <c r="W187" s="173">
        <f ca="1">(VLOOKUP(W$72,INDIRECT($C$5&amp;"生成成长"),2))/((VLOOKUP($B187,INDIRECT($B$5&amp;"生成成长"),4))/(VLOOKUP(W$72,INDIRECT($C$5&amp;"生成成长"),5))*(VLOOKUP($B$5,标准坦克设计!$B$24:$U$30,MATCH("对"&amp;LEFT($C$5,2)&amp;"输出",标准坦克设计!$B$23:$U$23,0)))*(VLOOKUP($B187,INDIRECT($B$5&amp;"生成成长"),3))*(VLOOKUP($B$5,标准坦克设计!$B$14:$K$20,9)/30))</f>
        <v>13.56838361559006</v>
      </c>
      <c r="X187" s="173">
        <f ca="1">(VLOOKUP(X$72,INDIRECT($C$5&amp;"生成成长"),2))/((VLOOKUP($B187,INDIRECT($B$5&amp;"生成成长"),4))/(VLOOKUP(X$72,INDIRECT($C$5&amp;"生成成长"),5))*(VLOOKUP($B$5,标准坦克设计!$B$24:$U$30,MATCH("对"&amp;LEFT($C$5,2)&amp;"输出",标准坦克设计!$B$23:$U$23,0)))*(VLOOKUP($B187,INDIRECT($B$5&amp;"生成成长"),3))*(VLOOKUP($B$5,标准坦克设计!$B$14:$K$20,9)/30))</f>
        <v>9.8299967312600458</v>
      </c>
      <c r="Y187" s="173">
        <f ca="1">(VLOOKUP(Y$72,INDIRECT($C$5&amp;"生成成长"),2))/((VLOOKUP($B187,INDIRECT($B$5&amp;"生成成长"),4))/(VLOOKUP(Y$72,INDIRECT($C$5&amp;"生成成长"),5))*(VLOOKUP($B$5,标准坦克设计!$B$24:$U$30,MATCH("对"&amp;LEFT($C$5,2)&amp;"输出",标准坦克设计!$B$23:$U$23,0)))*(VLOOKUP($B187,INDIRECT($B$5&amp;"生成成长"),3))*(VLOOKUP($B$5,标准坦克设计!$B$14:$K$20,9)/30))</f>
        <v>10.933666226005716</v>
      </c>
      <c r="Z187" s="173">
        <f ca="1">(VLOOKUP(Z$72,INDIRECT($C$5&amp;"生成成长"),2))/((VLOOKUP($B187,INDIRECT($B$5&amp;"生成成长"),4))/(VLOOKUP(Z$72,INDIRECT($C$5&amp;"生成成长"),5))*(VLOOKUP($B$5,标准坦克设计!$B$24:$U$30,MATCH("对"&amp;LEFT($C$5,2)&amp;"输出",标准坦克设计!$B$23:$U$23,0)))*(VLOOKUP($B187,INDIRECT($B$5&amp;"生成成长"),3))*(VLOOKUP($B$5,标准坦克设计!$B$14:$K$20,9)/30))</f>
        <v>12.096041544939986</v>
      </c>
      <c r="AA187" s="173">
        <f ca="1">(VLOOKUP(AA$72,INDIRECT($C$5&amp;"生成成长"),2))/((VLOOKUP($B187,INDIRECT($B$5&amp;"生成成长"),4))/(VLOOKUP(AA$72,INDIRECT($C$5&amp;"生成成长"),5))*(VLOOKUP($B$5,标准坦克设计!$B$24:$U$30,MATCH("对"&amp;LEFT($C$5,2)&amp;"输出",标准坦克设计!$B$23:$U$23,0)))*(VLOOKUP($B187,INDIRECT($B$5&amp;"生成成长"),3))*(VLOOKUP($B$5,标准坦克设计!$B$14:$K$20,9)/30))</f>
        <v>13.317122688062856</v>
      </c>
      <c r="AB187" s="173">
        <f ca="1">(VLOOKUP(AB$72,INDIRECT($C$5&amp;"生成成长"),2))/((VLOOKUP($B187,INDIRECT($B$5&amp;"生成成长"),4))/(VLOOKUP(AB$72,INDIRECT($C$5&amp;"生成成长"),5))*(VLOOKUP($B$5,标准坦克设计!$B$24:$U$30,MATCH("对"&amp;LEFT($C$5,2)&amp;"输出",标准坦克设计!$B$23:$U$23,0)))*(VLOOKUP($B187,INDIRECT($B$5&amp;"生成成长"),3))*(VLOOKUP($B$5,标准坦克设计!$B$14:$K$20,9)/30))</f>
        <v>14.596909655374329</v>
      </c>
      <c r="AC187" s="173">
        <f ca="1">(VLOOKUP(AC$72,INDIRECT($C$5&amp;"生成成长"),2))/((VLOOKUP($B187,INDIRECT($B$5&amp;"生成成长"),4))/(VLOOKUP(AC$72,INDIRECT($C$5&amp;"生成成长"),5))*(VLOOKUP($B$5,标准坦克设计!$B$24:$U$30,MATCH("对"&amp;LEFT($C$5,2)&amp;"输出",标准坦克设计!$B$23:$U$23,0)))*(VLOOKUP($B187,INDIRECT($B$5&amp;"生成成长"),3))*(VLOOKUP($B$5,标准坦克设计!$B$14:$K$20,9)/30))</f>
        <v>15.935402446874393</v>
      </c>
      <c r="AD187" s="173">
        <f ca="1">(VLOOKUP(AD$72,INDIRECT($C$5&amp;"生成成长"),2))/((VLOOKUP($B187,INDIRECT($B$5&amp;"生成成长"),4))/(VLOOKUP(AD$72,INDIRECT($C$5&amp;"生成成长"),5))*(VLOOKUP($B$5,标准坦克设计!$B$24:$U$30,MATCH("对"&amp;LEFT($C$5,2)&amp;"输出",标准坦克设计!$B$23:$U$23,0)))*(VLOOKUP($B187,INDIRECT($B$5&amp;"生成成长"),3))*(VLOOKUP($B$5,标准坦克设计!$B$14:$K$20,9)/30))</f>
        <v>17.332601062563064</v>
      </c>
      <c r="AE187" s="173">
        <f ca="1">(VLOOKUP(AE$72,INDIRECT($C$5&amp;"生成成长"),2))/((VLOOKUP($B187,INDIRECT($B$5&amp;"生成成长"),4))/(VLOOKUP(AE$72,INDIRECT($C$5&amp;"生成成长"),5))*(VLOOKUP($B$5,标准坦克设计!$B$24:$U$30,MATCH("对"&amp;LEFT($C$5,2)&amp;"输出",标准坦克设计!$B$23:$U$23,0)))*(VLOOKUP($B187,INDIRECT($B$5&amp;"生成成长"),3))*(VLOOKUP($B$5,标准坦克设计!$B$14:$K$20,9)/30))</f>
        <v>18.788505502440334</v>
      </c>
      <c r="AF187" s="173">
        <f ca="1">(VLOOKUP(AF$72,INDIRECT($C$5&amp;"生成成长"),2))/((VLOOKUP($B187,INDIRECT($B$5&amp;"生成成长"),4))/(VLOOKUP(AF$72,INDIRECT($C$5&amp;"生成成长"),5))*(VLOOKUP($B$5,标准坦克设计!$B$24:$U$30,MATCH("对"&amp;LEFT($C$5,2)&amp;"输出",标准坦克设计!$B$23:$U$23,0)))*(VLOOKUP($B187,INDIRECT($B$5&amp;"生成成长"),3))*(VLOOKUP($B$5,标准坦克设计!$B$14:$K$20,9)/30))</f>
        <v>20.303115766506199</v>
      </c>
      <c r="AG187" s="173">
        <f ca="1">(VLOOKUP(AG$72,INDIRECT($C$5&amp;"生成成长"),2))/((VLOOKUP($B187,INDIRECT($B$5&amp;"生成成长"),4))/(VLOOKUP(AG$72,INDIRECT($C$5&amp;"生成成长"),5))*(VLOOKUP($B$5,标准坦克设计!$B$24:$U$30,MATCH("对"&amp;LEFT($C$5,2)&amp;"输出",标准坦克设计!$B$23:$U$23,0)))*(VLOOKUP($B187,INDIRECT($B$5&amp;"生成成长"),3))*(VLOOKUP($B$5,标准坦克设计!$B$14:$K$20,9)/30))</f>
        <v>21.876431854760664</v>
      </c>
      <c r="AH187" s="173">
        <f ca="1">(VLOOKUP(AH$72,INDIRECT($C$5&amp;"生成成长"),2))/((VLOOKUP($B187,INDIRECT($B$5&amp;"生成成长"),4))/(VLOOKUP(AH$72,INDIRECT($C$5&amp;"生成成长"),5))*(VLOOKUP($B$5,标准坦克设计!$B$24:$U$30,MATCH("对"&amp;LEFT($C$5,2)&amp;"输出",标准坦克设计!$B$23:$U$23,0)))*(VLOOKUP($B187,INDIRECT($B$5&amp;"生成成长"),3))*(VLOOKUP($B$5,标准坦克设计!$B$14:$K$20,9)/30))</f>
        <v>23.508453767203733</v>
      </c>
      <c r="AI187" s="173">
        <f ca="1">(VLOOKUP(AI$72,INDIRECT($C$5&amp;"生成成长"),2))/((VLOOKUP($B187,INDIRECT($B$5&amp;"生成成长"),4))/(VLOOKUP(AI$72,INDIRECT($C$5&amp;"生成成长"),5))*(VLOOKUP($B$5,标准坦克设计!$B$24:$U$30,MATCH("对"&amp;LEFT($C$5,2)&amp;"输出",标准坦克设计!$B$23:$U$23,0)))*(VLOOKUP($B187,INDIRECT($B$5&amp;"生成成长"),3))*(VLOOKUP($B$5,标准坦克设计!$B$14:$K$20,9)/30))</f>
        <v>16.626663526695154</v>
      </c>
      <c r="AJ187" s="173">
        <f ca="1">(VLOOKUP(AJ$72,INDIRECT($C$5&amp;"生成成长"),2))/((VLOOKUP($B187,INDIRECT($B$5&amp;"生成成长"),4))/(VLOOKUP(AJ$72,INDIRECT($C$5&amp;"生成成长"),5))*(VLOOKUP($B$5,标准坦克设计!$B$24:$U$30,MATCH("对"&amp;LEFT($C$5,2)&amp;"输出",标准坦克设计!$B$23:$U$23,0)))*(VLOOKUP($B187,INDIRECT($B$5&amp;"生成成长"),3))*(VLOOKUP($B$5,标准坦克设计!$B$14:$K$20,9)/30))</f>
        <v>18.19909902758679</v>
      </c>
      <c r="AK187" s="173">
        <f ca="1">(VLOOKUP(AK$72,INDIRECT($C$5&amp;"生成成长"),2))/((VLOOKUP($B187,INDIRECT($B$5&amp;"生成成长"),4))/(VLOOKUP(AK$72,INDIRECT($C$5&amp;"生成成长"),5))*(VLOOKUP($B$5,标准坦克设计!$B$24:$U$30,MATCH("对"&amp;LEFT($C$5,2)&amp;"输出",标准坦克设计!$B$23:$U$23,0)))*(VLOOKUP($B187,INDIRECT($B$5&amp;"生成成长"),3))*(VLOOKUP($B$5,标准坦克设计!$B$14:$K$20,9)/30))</f>
        <v>19.842568575746636</v>
      </c>
      <c r="AL187" s="173">
        <f ca="1">(VLOOKUP(AL$72,INDIRECT($C$5&amp;"生成成长"),2))/((VLOOKUP($B187,INDIRECT($B$5&amp;"生成成长"),4))/(VLOOKUP(AL$72,INDIRECT($C$5&amp;"生成成长"),5))*(VLOOKUP($B$5,标准坦克设计!$B$24:$U$30,MATCH("对"&amp;LEFT($C$5,2)&amp;"输出",标准坦克设计!$B$23:$U$23,0)))*(VLOOKUP($B187,INDIRECT($B$5&amp;"生成成长"),3))*(VLOOKUP($B$5,标准坦克设计!$B$14:$K$20,9)/30))</f>
        <v>21.557072171174685</v>
      </c>
      <c r="AM187" s="173">
        <f ca="1">(VLOOKUP(AM$72,INDIRECT($C$5&amp;"生成成长"),2))/((VLOOKUP($B187,INDIRECT($B$5&amp;"生成成长"),4))/(VLOOKUP(AM$72,INDIRECT($C$5&amp;"生成成长"),5))*(VLOOKUP($B$5,标准坦克设计!$B$24:$U$30,MATCH("对"&amp;LEFT($C$5,2)&amp;"输出",标准坦克设计!$B$23:$U$23,0)))*(VLOOKUP($B187,INDIRECT($B$5&amp;"生成成长"),3))*(VLOOKUP($B$5,标准坦克设计!$B$14:$K$20,9)/30))</f>
        <v>23.342609813870936</v>
      </c>
      <c r="AN187" s="173">
        <f ca="1">(VLOOKUP(AN$72,INDIRECT($C$5&amp;"生成成长"),2))/((VLOOKUP($B187,INDIRECT($B$5&amp;"生成成长"),4))/(VLOOKUP(AN$72,INDIRECT($C$5&amp;"生成成长"),5))*(VLOOKUP($B$5,标准坦克设计!$B$24:$U$30,MATCH("对"&amp;LEFT($C$5,2)&amp;"输出",标准坦克设计!$B$23:$U$23,0)))*(VLOOKUP($B187,INDIRECT($B$5&amp;"生成成长"),3))*(VLOOKUP($B$5,标准坦克设计!$B$14:$K$20,9)/30))</f>
        <v>25.199181503835398</v>
      </c>
      <c r="AO187" s="173">
        <f ca="1">(VLOOKUP(AO$72,INDIRECT($C$5&amp;"生成成长"),2))/((VLOOKUP($B187,INDIRECT($B$5&amp;"生成成长"),4))/(VLOOKUP(AO$72,INDIRECT($C$5&amp;"生成成长"),5))*(VLOOKUP($B$5,标准坦克设计!$B$24:$U$30,MATCH("对"&amp;LEFT($C$5,2)&amp;"输出",标准坦克设计!$B$23:$U$23,0)))*(VLOOKUP($B187,INDIRECT($B$5&amp;"生成成长"),3))*(VLOOKUP($B$5,标准坦克设计!$B$14:$K$20,9)/30))</f>
        <v>27.126787241068062</v>
      </c>
      <c r="AP187" s="173">
        <f ca="1">(VLOOKUP(AP$72,INDIRECT($C$5&amp;"生成成长"),2))/((VLOOKUP($B187,INDIRECT($B$5&amp;"生成成长"),4))/(VLOOKUP(AP$72,INDIRECT($C$5&amp;"生成成长"),5))*(VLOOKUP($B$5,标准坦克设计!$B$24:$U$30,MATCH("对"&amp;LEFT($C$5,2)&amp;"输出",标准坦克设计!$B$23:$U$23,0)))*(VLOOKUP($B187,INDIRECT($B$5&amp;"生成成长"),3))*(VLOOKUP($B$5,标准坦克设计!$B$14:$K$20,9)/30))</f>
        <v>29.125427025568932</v>
      </c>
      <c r="AQ187" s="173">
        <f ca="1">(VLOOKUP(AQ$72,INDIRECT($C$5&amp;"生成成长"),2))/((VLOOKUP($B187,INDIRECT($B$5&amp;"生成成长"),4))/(VLOOKUP(AQ$72,INDIRECT($C$5&amp;"生成成长"),5))*(VLOOKUP($B$5,标准坦克设计!$B$24:$U$30,MATCH("对"&amp;LEFT($C$5,2)&amp;"输出",标准坦克设计!$B$23:$U$23,0)))*(VLOOKUP($B187,INDIRECT($B$5&amp;"生成成长"),3))*(VLOOKUP($B$5,标准坦克设计!$B$14:$K$20,9)/30))</f>
        <v>31.195100857338009</v>
      </c>
      <c r="AR187" s="173">
        <f ca="1">(VLOOKUP(AR$72,INDIRECT($C$5&amp;"生成成长"),2))/((VLOOKUP($B187,INDIRECT($B$5&amp;"生成成长"),4))/(VLOOKUP(AR$72,INDIRECT($C$5&amp;"生成成长"),5))*(VLOOKUP($B$5,标准坦克设计!$B$24:$U$30,MATCH("对"&amp;LEFT($C$5,2)&amp;"输出",标准坦克设计!$B$23:$U$23,0)))*(VLOOKUP($B187,INDIRECT($B$5&amp;"生成成长"),3))*(VLOOKUP($B$5,标准坦克设计!$B$14:$K$20,9)/30))</f>
        <v>33.335808736375292</v>
      </c>
      <c r="AS187" s="173">
        <f ca="1">(VLOOKUP(AS$72,INDIRECT($C$5&amp;"生成成长"),2))/((VLOOKUP($B187,INDIRECT($B$5&amp;"生成成长"),4))/(VLOOKUP(AS$72,INDIRECT($C$5&amp;"生成成长"),5))*(VLOOKUP($B$5,标准坦克设计!$B$24:$U$30,MATCH("对"&amp;LEFT($C$5,2)&amp;"输出",标准坦克设计!$B$23:$U$23,0)))*(VLOOKUP($B187,INDIRECT($B$5&amp;"生成成长"),3))*(VLOOKUP($B$5,标准坦克设计!$B$14:$K$20,9)/30))</f>
        <v>35.54755066268077</v>
      </c>
      <c r="AT187" s="173">
        <f ca="1">(VLOOKUP(AT$72,INDIRECT($C$5&amp;"生成成长"),2))/((VLOOKUP($B187,INDIRECT($B$5&amp;"生成成长"),4))/(VLOOKUP(AT$72,INDIRECT($C$5&amp;"生成成长"),5))*(VLOOKUP($B$5,标准坦克设计!$B$24:$U$30,MATCH("对"&amp;LEFT($C$5,2)&amp;"输出",标准坦克设计!$B$23:$U$23,0)))*(VLOOKUP($B187,INDIRECT($B$5&amp;"生成成长"),3))*(VLOOKUP($B$5,标准坦克设计!$B$14:$K$20,9)/30))</f>
        <v>37.830326636254476</v>
      </c>
      <c r="AU187" s="173">
        <f ca="1">(VLOOKUP(AU$72,INDIRECT($C$5&amp;"生成成长"),2))/((VLOOKUP($B187,INDIRECT($B$5&amp;"生成成长"),4))/(VLOOKUP(AU$72,INDIRECT($C$5&amp;"生成成长"),5))*(VLOOKUP($B$5,标准坦克设计!$B$24:$U$30,MATCH("对"&amp;LEFT($C$5,2)&amp;"输出",标准坦克设计!$B$23:$U$23,0)))*(VLOOKUP($B187,INDIRECT($B$5&amp;"生成成长"),3))*(VLOOKUP($B$5,标准坦克设计!$B$14:$K$20,9)/30))</f>
        <v>40.18413665709636</v>
      </c>
      <c r="AV187" s="173">
        <f ca="1">(VLOOKUP(AV$72,INDIRECT($C$5&amp;"生成成长"),2))/((VLOOKUP($B187,INDIRECT($B$5&amp;"生成成长"),4))/(VLOOKUP(AV$72,INDIRECT($C$5&amp;"生成成长"),5))*(VLOOKUP($B$5,标准坦克设计!$B$24:$U$30,MATCH("对"&amp;LEFT($C$5,2)&amp;"输出",标准坦克设计!$B$23:$U$23,0)))*(VLOOKUP($B187,INDIRECT($B$5&amp;"生成成长"),3))*(VLOOKUP($B$5,标准坦克设计!$B$14:$K$20,9)/30))</f>
        <v>4.0870994800102975</v>
      </c>
      <c r="AW187" s="173">
        <f ca="1">(VLOOKUP(AW$72,INDIRECT($C$5&amp;"生成成长"),2))/((VLOOKUP($B187,INDIRECT($B$5&amp;"生成成长"),4))/(VLOOKUP(AW$72,INDIRECT($C$5&amp;"生成成长"),5))*(VLOOKUP($B$5,标准坦克设计!$B$24:$U$30,MATCH("对"&amp;LEFT($C$5,2)&amp;"输出",标准坦克设计!$B$23:$U$23,0)))*(VLOOKUP($B187,INDIRECT($B$5&amp;"生成成长"),3))*(VLOOKUP($B$5,标准坦克设计!$B$14:$K$20,9)/30))</f>
        <v>4.6600683240910294</v>
      </c>
      <c r="AX187" s="173">
        <f ca="1">(VLOOKUP(AX$72,INDIRECT($C$5&amp;"生成成长"),2))/((VLOOKUP($B187,INDIRECT($B$5&amp;"生成成长"),4))/(VLOOKUP(AX$72,INDIRECT($C$5&amp;"生成成长"),5))*(VLOOKUP($B$5,标准坦克设计!$B$24:$U$30,MATCH("对"&amp;LEFT($C$5,2)&amp;"输出",标准坦克设计!$B$23:$U$23,0)))*(VLOOKUP($B187,INDIRECT($B$5&amp;"生成成长"),3))*(VLOOKUP($B$5,标准坦克设计!$B$14:$K$20,9)/30))</f>
        <v>5.2706088956524644</v>
      </c>
      <c r="AY187" s="173">
        <f ca="1">(VLOOKUP(AY$72,INDIRECT($C$5&amp;"生成成长"),2))/((VLOOKUP($B187,INDIRECT($B$5&amp;"生成成长"),4))/(VLOOKUP(AY$72,INDIRECT($C$5&amp;"生成成长"),5))*(VLOOKUP($B$5,标准坦克设计!$B$24:$U$30,MATCH("对"&amp;LEFT($C$5,2)&amp;"输出",标准坦克设计!$B$23:$U$23,0)))*(VLOOKUP($B187,INDIRECT($B$5&amp;"生成成长"),3))*(VLOOKUP($B$5,标准坦克设计!$B$14:$K$20,9)/30))</f>
        <v>5.9187211946946041</v>
      </c>
      <c r="AZ187" s="173">
        <f ca="1">(VLOOKUP(AZ$72,INDIRECT($C$5&amp;"生成成长"),2))/((VLOOKUP($B187,INDIRECT($B$5&amp;"生成成长"),4))/(VLOOKUP(AZ$72,INDIRECT($C$5&amp;"生成成长"),5))*(VLOOKUP($B$5,标准坦克设计!$B$24:$U$30,MATCH("对"&amp;LEFT($C$5,2)&amp;"输出",标准坦克设计!$B$23:$U$23,0)))*(VLOOKUP($B187,INDIRECT($B$5&amp;"生成成长"),3))*(VLOOKUP($B$5,标准坦克设计!$B$14:$K$20,9)/30))</f>
        <v>6.6044052212174451</v>
      </c>
      <c r="BA187" s="173">
        <f ca="1">(VLOOKUP(BA$72,INDIRECT($C$5&amp;"生成成长"),2))/((VLOOKUP($B187,INDIRECT($B$5&amp;"生成成长"),4))/(VLOOKUP(BA$72,INDIRECT($C$5&amp;"生成成长"),5))*(VLOOKUP($B$5,标准坦克设计!$B$24:$U$30,MATCH("对"&amp;LEFT($C$5,2)&amp;"输出",标准坦克设计!$B$23:$U$23,0)))*(VLOOKUP($B187,INDIRECT($B$5&amp;"生成成长"),3))*(VLOOKUP($B$5,标准坦克设计!$B$14:$K$20,9)/30))</f>
        <v>7.3276609752209909</v>
      </c>
      <c r="BB187" s="173">
        <f ca="1">(VLOOKUP(BB$72,INDIRECT($C$5&amp;"生成成长"),2))/((VLOOKUP($B187,INDIRECT($B$5&amp;"生成成长"),4))/(VLOOKUP(BB$72,INDIRECT($C$5&amp;"生成成长"),5))*(VLOOKUP($B$5,标准坦克设计!$B$24:$U$30,MATCH("对"&amp;LEFT($C$5,2)&amp;"输出",标准坦克设计!$B$23:$U$23,0)))*(VLOOKUP($B187,INDIRECT($B$5&amp;"生成成长"),3))*(VLOOKUP($B$5,标准坦克设计!$B$14:$K$20,9)/30))</f>
        <v>8.0884884567052406</v>
      </c>
      <c r="BC187" s="173">
        <f ca="1">(VLOOKUP(BC$72,INDIRECT($C$5&amp;"生成成长"),2))/((VLOOKUP($B187,INDIRECT($B$5&amp;"生成成长"),4))/(VLOOKUP(BC$72,INDIRECT($C$5&amp;"生成成长"),5))*(VLOOKUP($B$5,标准坦克设计!$B$24:$U$30,MATCH("对"&amp;LEFT($C$5,2)&amp;"输出",标准坦克设计!$B$23:$U$23,0)))*(VLOOKUP($B187,INDIRECT($B$5&amp;"生成成长"),3))*(VLOOKUP($B$5,标准坦克设计!$B$14:$K$20,9)/30))</f>
        <v>8.8868876656701925</v>
      </c>
      <c r="BD187" s="173">
        <f ca="1">(VLOOKUP(BD$72,INDIRECT($C$5&amp;"生成成长"),2))/((VLOOKUP($B187,INDIRECT($B$5&amp;"生成成长"),4))/(VLOOKUP(BD$72,INDIRECT($C$5&amp;"生成成长"),5))*(VLOOKUP($B$5,标准坦克设计!$B$24:$U$30,MATCH("对"&amp;LEFT($C$5,2)&amp;"输出",标准坦克设计!$B$23:$U$23,0)))*(VLOOKUP($B187,INDIRECT($B$5&amp;"生成成长"),3))*(VLOOKUP($B$5,标准坦克设计!$B$14:$K$20,9)/30))</f>
        <v>9.8299967312600458</v>
      </c>
      <c r="BE187" s="173">
        <f ca="1">(VLOOKUP(BE$72,INDIRECT($C$5&amp;"生成成长"),2))/((VLOOKUP($B187,INDIRECT($B$5&amp;"生成成长"),4))/(VLOOKUP(BE$72,INDIRECT($C$5&amp;"生成成长"),5))*(VLOOKUP($B$5,标准坦克设计!$B$24:$U$30,MATCH("对"&amp;LEFT($C$5,2)&amp;"输出",标准坦克设计!$B$23:$U$23,0)))*(VLOOKUP($B187,INDIRECT($B$5&amp;"生成成长"),3))*(VLOOKUP($B$5,标准坦克设计!$B$14:$K$20,9)/30))</f>
        <v>10.820657514442663</v>
      </c>
      <c r="BF187" s="173">
        <f ca="1">(VLOOKUP(BF$72,INDIRECT($C$5&amp;"生成成长"),2))/((VLOOKUP($B187,INDIRECT($B$5&amp;"生成成长"),4))/(VLOOKUP(BF$72,INDIRECT($C$5&amp;"生成成长"),5))*(VLOOKUP($B$5,标准坦克设计!$B$24:$U$30,MATCH("对"&amp;LEFT($C$5,2)&amp;"输出",标准坦克设计!$B$23:$U$23,0)))*(VLOOKUP($B187,INDIRECT($B$5&amp;"生成成长"),3))*(VLOOKUP($B$5,标准坦克设计!$B$14:$K$20,9)/30))</f>
        <v>11.858870015218045</v>
      </c>
      <c r="BG187" s="173">
        <f ca="1">(VLOOKUP(BG$72,INDIRECT($C$5&amp;"生成成长"),2))/((VLOOKUP($B187,INDIRECT($B$5&amp;"生成成长"),4))/(VLOOKUP(BG$72,INDIRECT($C$5&amp;"生成成长"),5))*(VLOOKUP($B$5,标准坦克设计!$B$24:$U$30,MATCH("对"&amp;LEFT($C$5,2)&amp;"输出",标准坦克设计!$B$23:$U$23,0)))*(VLOOKUP($B187,INDIRECT($B$5&amp;"生成成长"),3))*(VLOOKUP($B$5,标准坦克设计!$B$14:$K$20,9)/30))</f>
        <v>12.944634233586193</v>
      </c>
      <c r="BH187" s="173">
        <f ca="1">(VLOOKUP(BH$72,INDIRECT($C$5&amp;"生成成长"),2))/((VLOOKUP($B187,INDIRECT($B$5&amp;"生成成长"),4))/(VLOOKUP(BH$72,INDIRECT($C$5&amp;"生成成长"),5))*(VLOOKUP($B$5,标准坦克设计!$B$24:$U$30,MATCH("对"&amp;LEFT($C$5,2)&amp;"输出",标准坦克设计!$B$23:$U$23,0)))*(VLOOKUP($B187,INDIRECT($B$5&amp;"生成成长"),3))*(VLOOKUP($B$5,标准坦克设计!$B$14:$K$20,9)/30))</f>
        <v>6.2568667420209376</v>
      </c>
      <c r="BI187" s="173">
        <f ca="1">(VLOOKUP(BI$72,INDIRECT($C$5&amp;"生成成长"),2))/((VLOOKUP($B187,INDIRECT($B$5&amp;"生成成长"),4))/(VLOOKUP(BI$72,INDIRECT($C$5&amp;"生成成长"),5))*(VLOOKUP($B$5,标准坦克设计!$B$24:$U$30,MATCH("对"&amp;LEFT($C$5,2)&amp;"输出",标准坦克设计!$B$23:$U$23,0)))*(VLOOKUP($B187,INDIRECT($B$5&amp;"生成成长"),3))*(VLOOKUP($B$5,标准坦克设计!$B$14:$K$20,9)/30))</f>
        <v>7.052037130655517</v>
      </c>
      <c r="BJ187" s="173">
        <f ca="1">(VLOOKUP(BJ$72,INDIRECT($C$5&amp;"生成成长"),2))/((VLOOKUP($B187,INDIRECT($B$5&amp;"生成成长"),4))/(VLOOKUP(BJ$72,INDIRECT($C$5&amp;"生成成长"),5))*(VLOOKUP($B$5,标准坦克设计!$B$24:$U$30,MATCH("对"&amp;LEFT($C$5,2)&amp;"输出",标准坦克设计!$B$23:$U$23,0)))*(VLOOKUP($B187,INDIRECT($B$5&amp;"生成成长"),3))*(VLOOKUP($B$5,标准坦克设计!$B$14:$K$20,9)/30))</f>
        <v>7.8947592368828614</v>
      </c>
      <c r="BK187" s="173">
        <f ca="1">(VLOOKUP(BK$72,INDIRECT($C$5&amp;"生成成长"),2))/((VLOOKUP($B187,INDIRECT($B$5&amp;"生成成长"),4))/(VLOOKUP(BK$72,INDIRECT($C$5&amp;"生成成长"),5))*(VLOOKUP($B$5,标准坦克设计!$B$24:$U$30,MATCH("对"&amp;LEFT($C$5,2)&amp;"输出",标准坦克设计!$B$23:$U$23,0)))*(VLOOKUP($B187,INDIRECT($B$5&amp;"生成成长"),3))*(VLOOKUP($B$5,标准坦克设计!$B$14:$K$20,9)/30))</f>
        <v>8.7850330607029754</v>
      </c>
      <c r="BL187" s="173">
        <f ca="1">(VLOOKUP(BL$72,INDIRECT($C$5&amp;"生成成长"),2))/((VLOOKUP($B187,INDIRECT($B$5&amp;"生成成长"),4))/(VLOOKUP(BL$72,INDIRECT($C$5&amp;"生成成长"),5))*(VLOOKUP($B$5,标准坦克设计!$B$24:$U$30,MATCH("对"&amp;LEFT($C$5,2)&amp;"输出",标准坦克设计!$B$23:$U$23,0)))*(VLOOKUP($B187,INDIRECT($B$5&amp;"生成成长"),3))*(VLOOKUP($B$5,标准坦克设计!$B$14:$K$20,9)/30))</f>
        <v>9.722858602115851</v>
      </c>
      <c r="BM187" s="173">
        <f ca="1">(VLOOKUP(BM$72,INDIRECT($C$5&amp;"生成成长"),2))/((VLOOKUP($B187,INDIRECT($B$5&amp;"生成成长"),4))/(VLOOKUP(BM$72,INDIRECT($C$5&amp;"生成成长"),5))*(VLOOKUP($B$5,标准坦克设计!$B$24:$U$30,MATCH("对"&amp;LEFT($C$5,2)&amp;"输出",标准坦克设计!$B$23:$U$23,0)))*(VLOOKUP($B187,INDIRECT($B$5&amp;"生成成长"),3))*(VLOOKUP($B$5,标准坦克设计!$B$14:$K$20,9)/30))</f>
        <v>10.708235861121493</v>
      </c>
      <c r="BN187" s="173">
        <f ca="1">(VLOOKUP(BN$72,INDIRECT($C$5&amp;"生成成长"),2))/((VLOOKUP($B187,INDIRECT($B$5&amp;"生成成长"),4))/(VLOOKUP(BN$72,INDIRECT($C$5&amp;"生成成长"),5))*(VLOOKUP($B$5,标准坦克设计!$B$24:$U$30,MATCH("对"&amp;LEFT($C$5,2)&amp;"输出",标准坦克设计!$B$23:$U$23,0)))*(VLOOKUP($B187,INDIRECT($B$5&amp;"生成成长"),3))*(VLOOKUP($B$5,标准坦克设计!$B$14:$K$20,9)/30))</f>
        <v>11.741164837719904</v>
      </c>
      <c r="BO187" s="173">
        <f ca="1">(VLOOKUP(BO$72,INDIRECT($C$5&amp;"生成成长"),2))/((VLOOKUP($B187,INDIRECT($B$5&amp;"生成成长"),4))/(VLOOKUP(BO$72,INDIRECT($C$5&amp;"生成成长"),5))*(VLOOKUP($B$5,标准坦克设计!$B$24:$U$30,MATCH("对"&amp;LEFT($C$5,2)&amp;"输出",标准坦克设计!$B$23:$U$23,0)))*(VLOOKUP($B187,INDIRECT($B$5&amp;"生成成长"),3))*(VLOOKUP($B$5,标准坦克设计!$B$14:$K$20,9)/30))</f>
        <v>12.821645531911081</v>
      </c>
      <c r="BP187" s="173">
        <f ca="1">(VLOOKUP(BP$72,INDIRECT($C$5&amp;"生成成长"),2))/((VLOOKUP($B187,INDIRECT($B$5&amp;"生成成长"),4))/(VLOOKUP(BP$72,INDIRECT($C$5&amp;"生成成长"),5))*(VLOOKUP($B$5,标准坦克设计!$B$24:$U$30,MATCH("对"&amp;LEFT($C$5,2)&amp;"输出",标准坦克设计!$B$23:$U$23,0)))*(VLOOKUP($B187,INDIRECT($B$5&amp;"生成成长"),3))*(VLOOKUP($B$5,标准坦克设计!$B$14:$K$20,9)/30))</f>
        <v>13.949677943695017</v>
      </c>
      <c r="BQ187" s="173">
        <f ca="1">(VLOOKUP(BQ$72,INDIRECT($C$5&amp;"生成成长"),2))/((VLOOKUP($B187,INDIRECT($B$5&amp;"生成成长"),4))/(VLOOKUP(BQ$72,INDIRECT($C$5&amp;"生成成长"),5))*(VLOOKUP($B$5,标准坦克设计!$B$24:$U$30,MATCH("对"&amp;LEFT($C$5,2)&amp;"输出",标准坦克设计!$B$23:$U$23,0)))*(VLOOKUP($B187,INDIRECT($B$5&amp;"生成成长"),3))*(VLOOKUP($B$5,标准坦克设计!$B$14:$K$20,9)/30))</f>
        <v>15.125262073071722</v>
      </c>
      <c r="BR187" s="173">
        <f ca="1">(VLOOKUP(BR$72,INDIRECT($C$5&amp;"生成成长"),2))/((VLOOKUP($B187,INDIRECT($B$5&amp;"生成成长"),4))/(VLOOKUP(BR$72,INDIRECT($C$5&amp;"生成成长"),5))*(VLOOKUP($B$5,标准坦克设计!$B$24:$U$30,MATCH("对"&amp;LEFT($C$5,2)&amp;"输出",标准坦克设计!$B$23:$U$23,0)))*(VLOOKUP($B187,INDIRECT($B$5&amp;"生成成长"),3))*(VLOOKUP($B$5,标准坦克设计!$B$14:$K$20,9)/30))</f>
        <v>16.487237194247228</v>
      </c>
      <c r="BS187" s="173">
        <f ca="1">(VLOOKUP(BS$72,INDIRECT($C$5&amp;"生成成长"),2))/((VLOOKUP($B187,INDIRECT($B$5&amp;"生成成长"),4))/(VLOOKUP(BS$72,INDIRECT($C$5&amp;"生成成长"),5))*(VLOOKUP($B$5,标准坦克设计!$B$24:$U$30,MATCH("对"&amp;LEFT($C$5,2)&amp;"输出",标准坦克设计!$B$23:$U$23,0)))*(VLOOKUP($B187,INDIRECT($B$5&amp;"生成成长"),3))*(VLOOKUP($B$5,标准坦克设计!$B$14:$K$20,9)/30))</f>
        <v>17.90791813961134</v>
      </c>
      <c r="BT187" s="173">
        <f ca="1">(VLOOKUP(BT$72,INDIRECT($C$5&amp;"生成成长"),2))/((VLOOKUP($B187,INDIRECT($B$5&amp;"生成成长"),4))/(VLOOKUP(BT$72,INDIRECT($C$5&amp;"生成成长"),5))*(VLOOKUP($B$5,标准坦克设计!$B$24:$U$30,MATCH("对"&amp;LEFT($C$5,2)&amp;"输出",标准坦克设计!$B$23:$U$23,0)))*(VLOOKUP($B187,INDIRECT($B$5&amp;"生成成长"),3))*(VLOOKUP($B$5,标准坦克设计!$B$14:$K$20,9)/30))</f>
        <v>19.387304909164047</v>
      </c>
      <c r="BU187" s="173">
        <f ca="1">(VLOOKUP(BU$72,INDIRECT($C$5&amp;"生成成长"),2))/((VLOOKUP($B187,INDIRECT($B$5&amp;"生成成长"),4))/(VLOOKUP(BU$72,INDIRECT($C$5&amp;"生成成长"),5))*(VLOOKUP($B$5,标准坦克设计!$B$24:$U$30,MATCH("对"&amp;LEFT($C$5,2)&amp;"输出",标准坦克设计!$B$23:$U$23,0)))*(VLOOKUP($B187,INDIRECT($B$5&amp;"生成成长"),3))*(VLOOKUP($B$5,标准坦克设计!$B$14:$K$20,9)/30))</f>
        <v>20.925397502905355</v>
      </c>
      <c r="BV187" s="173">
        <f ca="1">(VLOOKUP(BV$72,INDIRECT($C$5&amp;"生成成长"),2))/((VLOOKUP($B187,INDIRECT($B$5&amp;"生成成长"),4))/(VLOOKUP(BV$72,INDIRECT($C$5&amp;"生成成长"),5))*(VLOOKUP($B$5,标准坦克设计!$B$24:$U$30,MATCH("对"&amp;LEFT($C$5,2)&amp;"输出",标准坦克设计!$B$23:$U$23,0)))*(VLOOKUP($B187,INDIRECT($B$5&amp;"生成成长"),3))*(VLOOKUP($B$5,标准坦克设计!$B$14:$K$20,9)/30))</f>
        <v>22.522195920835259</v>
      </c>
      <c r="BW187" s="173">
        <f ca="1">(VLOOKUP(BW$72,INDIRECT($C$5&amp;"生成成长"),2))/((VLOOKUP($B187,INDIRECT($B$5&amp;"生成成长"),4))/(VLOOKUP(BW$72,INDIRECT($C$5&amp;"生成成长"),5))*(VLOOKUP($B$5,标准坦克设计!$B$24:$U$30,MATCH("对"&amp;LEFT($C$5,2)&amp;"输出",标准坦克设计!$B$23:$U$23,0)))*(VLOOKUP($B187,INDIRECT($B$5&amp;"生成成长"),3))*(VLOOKUP($B$5,标准坦克设计!$B$14:$K$20,9)/30))</f>
        <v>10.264419830255683</v>
      </c>
      <c r="BX187" s="173">
        <f ca="1">(VLOOKUP(BX$72,INDIRECT($C$5&amp;"生成成长"),2))/((VLOOKUP($B187,INDIRECT($B$5&amp;"生成成长"),4))/(VLOOKUP(BX$72,INDIRECT($C$5&amp;"生成成长"),5))*(VLOOKUP($B$5,标准坦克设计!$B$24:$U$30,MATCH("对"&amp;LEFT($C$5,2)&amp;"输出",标准坦克设计!$B$23:$U$23,0)))*(VLOOKUP($B187,INDIRECT($B$5&amp;"生成成长"),3))*(VLOOKUP($B$5,标准坦克设计!$B$14:$K$20,9)/30))</f>
        <v>11.391571654676794</v>
      </c>
      <c r="BY187" s="173">
        <f ca="1">(VLOOKUP(BY$72,INDIRECT($C$5&amp;"生成成长"),2))/((VLOOKUP($B187,INDIRECT($B$5&amp;"生成成长"),4))/(VLOOKUP(BY$72,INDIRECT($C$5&amp;"生成成长"),5))*(VLOOKUP($B$5,标准坦克设计!$B$24:$U$30,MATCH("对"&amp;LEFT($C$5,2)&amp;"输出",标准坦克设计!$B$23:$U$23,0)))*(VLOOKUP($B187,INDIRECT($B$5&amp;"生成成长"),3))*(VLOOKUP($B$5,标准坦克设计!$B$14:$K$20,9)/30))</f>
        <v>12.577429303286504</v>
      </c>
      <c r="BZ187" s="173">
        <f ca="1">(VLOOKUP(BZ$72,INDIRECT($C$5&amp;"生成成长"),2))/((VLOOKUP($B187,INDIRECT($B$5&amp;"生成成长"),4))/(VLOOKUP(BZ$72,INDIRECT($C$5&amp;"生成成长"),5))*(VLOOKUP($B$5,标准坦克设计!$B$24:$U$30,MATCH("对"&amp;LEFT($C$5,2)&amp;"输出",标准坦克设计!$B$23:$U$23,0)))*(VLOOKUP($B187,INDIRECT($B$5&amp;"生成成长"),3))*(VLOOKUP($B$5,标准坦克设计!$B$14:$K$20,9)/30))</f>
        <v>13.82199277608481</v>
      </c>
      <c r="CA187" s="173">
        <f ca="1">(VLOOKUP(CA$72,INDIRECT($C$5&amp;"生成成长"),2))/((VLOOKUP($B187,INDIRECT($B$5&amp;"生成成长"),4))/(VLOOKUP(CA$72,INDIRECT($C$5&amp;"生成成长"),5))*(VLOOKUP($B$5,标准坦克设计!$B$24:$U$30,MATCH("对"&amp;LEFT($C$5,2)&amp;"输出",标准坦克设计!$B$23:$U$23,0)))*(VLOOKUP($B187,INDIRECT($B$5&amp;"生成成长"),3))*(VLOOKUP($B$5,标准坦克设计!$B$14:$K$20,9)/30))</f>
        <v>15.125262073071722</v>
      </c>
      <c r="CB187" s="173">
        <f ca="1">(VLOOKUP(CB$72,INDIRECT($C$5&amp;"生成成长"),2))/((VLOOKUP($B187,INDIRECT($B$5&amp;"生成成长"),4))/(VLOOKUP(CB$72,INDIRECT($C$5&amp;"生成成长"),5))*(VLOOKUP($B$5,标准坦克设计!$B$24:$U$30,MATCH("对"&amp;LEFT($C$5,2)&amp;"输出",标准坦克设计!$B$23:$U$23,0)))*(VLOOKUP($B187,INDIRECT($B$5&amp;"生成成长"),3))*(VLOOKUP($B$5,标准坦克设计!$B$14:$K$20,9)/30))</f>
        <v>16.487237194247228</v>
      </c>
      <c r="CC187" s="173">
        <f ca="1">(VLOOKUP(CC$72,INDIRECT($C$5&amp;"生成成长"),2))/((VLOOKUP($B187,INDIRECT($B$5&amp;"生成成长"),4))/(VLOOKUP(CC$72,INDIRECT($C$5&amp;"生成成长"),5))*(VLOOKUP($B$5,标准坦克设计!$B$24:$U$30,MATCH("对"&amp;LEFT($C$5,2)&amp;"输出",标准坦克设计!$B$23:$U$23,0)))*(VLOOKUP($B187,INDIRECT($B$5&amp;"生成成长"),3))*(VLOOKUP($B$5,标准坦克设计!$B$14:$K$20,9)/30))</f>
        <v>17.90791813961134</v>
      </c>
      <c r="CD187" s="173">
        <f ca="1">(VLOOKUP(CD$72,INDIRECT($C$5&amp;"生成成长"),2))/((VLOOKUP($B187,INDIRECT($B$5&amp;"生成成长"),4))/(VLOOKUP(CD$72,INDIRECT($C$5&amp;"生成成长"),5))*(VLOOKUP($B$5,标准坦克设计!$B$24:$U$30,MATCH("对"&amp;LEFT($C$5,2)&amp;"输出",标准坦克设计!$B$23:$U$23,0)))*(VLOOKUP($B187,INDIRECT($B$5&amp;"生成成长"),3))*(VLOOKUP($B$5,标准坦克设计!$B$14:$K$20,9)/30))</f>
        <v>19.387304909164047</v>
      </c>
      <c r="CE187" s="173">
        <f ca="1">(VLOOKUP(CE$72,INDIRECT($C$5&amp;"生成成长"),2))/((VLOOKUP($B187,INDIRECT($B$5&amp;"生成成长"),4))/(VLOOKUP(CE$72,INDIRECT($C$5&amp;"生成成长"),5))*(VLOOKUP($B$5,标准坦克设计!$B$24:$U$30,MATCH("对"&amp;LEFT($C$5,2)&amp;"输出",标准坦克设计!$B$23:$U$23,0)))*(VLOOKUP($B187,INDIRECT($B$5&amp;"生成成长"),3))*(VLOOKUP($B$5,标准坦克设计!$B$14:$K$20,9)/30))</f>
        <v>20.925397502905355</v>
      </c>
      <c r="CF187" s="173">
        <f ca="1">(VLOOKUP(CF$72,INDIRECT($C$5&amp;"生成成长"),2))/((VLOOKUP($B187,INDIRECT($B$5&amp;"生成成长"),4))/(VLOOKUP(CF$72,INDIRECT($C$5&amp;"生成成长"),5))*(VLOOKUP($B$5,标准坦克设计!$B$24:$U$30,MATCH("对"&amp;LEFT($C$5,2)&amp;"输出",标准坦克设计!$B$23:$U$23,0)))*(VLOOKUP($B187,INDIRECT($B$5&amp;"生成成长"),3))*(VLOOKUP($B$5,标准坦克设计!$B$14:$K$20,9)/30))</f>
        <v>22.522195920835259</v>
      </c>
      <c r="CG187" s="173">
        <f ca="1">(VLOOKUP(CG$72,INDIRECT($C$5&amp;"生成成长"),2))/((VLOOKUP($B187,INDIRECT($B$5&amp;"生成成长"),4))/(VLOOKUP(CG$72,INDIRECT($C$5&amp;"生成成长"),5))*(VLOOKUP($B$5,标准坦克设计!$B$24:$U$30,MATCH("对"&amp;LEFT($C$5,2)&amp;"输出",标准坦克设计!$B$23:$U$23,0)))*(VLOOKUP($B187,INDIRECT($B$5&amp;"生成成长"),3))*(VLOOKUP($B$5,标准坦克设计!$B$14:$K$20,9)/30))</f>
        <v>24.177700162953769</v>
      </c>
      <c r="CH187" s="173">
        <f ca="1">(VLOOKUP(CH$72,INDIRECT($C$5&amp;"生成成长"),2))/((VLOOKUP($B187,INDIRECT($B$5&amp;"生成成长"),4))/(VLOOKUP(CH$72,INDIRECT($C$5&amp;"生成成长"),5))*(VLOOKUP($B$5,标准坦克设计!$B$24:$U$30,MATCH("对"&amp;LEFT($C$5,2)&amp;"输出",标准坦克设计!$B$23:$U$23,0)))*(VLOOKUP($B187,INDIRECT($B$5&amp;"生成成长"),3))*(VLOOKUP($B$5,标准坦克设计!$B$14:$K$20,9)/30))</f>
        <v>25.891910229260876</v>
      </c>
      <c r="CI187" s="173">
        <f ca="1">(VLOOKUP(CI$72,INDIRECT($C$5&amp;"生成成长"),2))/((VLOOKUP($B187,INDIRECT($B$5&amp;"生成成长"),4))/(VLOOKUP(CI$72,INDIRECT($C$5&amp;"生成成长"),5))*(VLOOKUP($B$5,标准坦克设计!$B$24:$U$30,MATCH("对"&amp;LEFT($C$5,2)&amp;"输出",标准坦克设计!$B$23:$U$23,0)))*(VLOOKUP($B187,INDIRECT($B$5&amp;"生成成长"),3))*(VLOOKUP($B$5,标准坦克设计!$B$14:$K$20,9)/30))</f>
        <v>27.845346529136524</v>
      </c>
      <c r="CJ187" s="173">
        <f ca="1">(VLOOKUP(CJ$72,INDIRECT($C$5&amp;"生成成长"),2))/((VLOOKUP($B187,INDIRECT($B$5&amp;"生成成长"),4))/(VLOOKUP(CJ$72,INDIRECT($C$5&amp;"生成成长"),5))*(VLOOKUP($B$5,标准坦克设计!$B$24:$U$30,MATCH("对"&amp;LEFT($C$5,2)&amp;"输出",标准坦克设计!$B$23:$U$23,0)))*(VLOOKUP($B187,INDIRECT($B$5&amp;"生成成长"),3))*(VLOOKUP($B$5,标准坦克设计!$B$14:$K$20,9)/30))</f>
        <v>29.869816876280371</v>
      </c>
      <c r="CK187" s="173">
        <f ca="1">(VLOOKUP(CK$72,INDIRECT($C$5&amp;"生成成长"),2))/((VLOOKUP($B187,INDIRECT($B$5&amp;"生成成长"),4))/(VLOOKUP(CK$72,INDIRECT($C$5&amp;"生成成长"),5))*(VLOOKUP($B$5,标准坦克设计!$B$24:$U$30,MATCH("对"&amp;LEFT($C$5,2)&amp;"输出",标准坦克设计!$B$23:$U$23,0)))*(VLOOKUP($B187,INDIRECT($B$5&amp;"生成成长"),3))*(VLOOKUP($B$5,标准坦克设计!$B$14:$K$20,9)/30))</f>
        <v>31.965321270692431</v>
      </c>
      <c r="CL187" s="173">
        <f ca="1">(VLOOKUP(CL$72,INDIRECT($C$5&amp;"生成成长"),2))/((VLOOKUP($B187,INDIRECT($B$5&amp;"生成成长"),4))/(VLOOKUP(CL$72,INDIRECT($C$5&amp;"生成成长"),5))*(VLOOKUP($B$5,标准坦克设计!$B$24:$U$30,MATCH("对"&amp;LEFT($C$5,2)&amp;"输出",标准坦克设计!$B$23:$U$23,0)))*(VLOOKUP($B187,INDIRECT($B$5&amp;"生成成长"),3))*(VLOOKUP($B$5,标准坦克设计!$B$14:$K$20,9)/30))</f>
        <v>34.131859712372702</v>
      </c>
      <c r="CM187" s="173">
        <f ca="1">(VLOOKUP(CM$72,INDIRECT($C$5&amp;"生成成长"),2))/((VLOOKUP($B187,INDIRECT($B$5&amp;"生成成长"),4))/(VLOOKUP(CM$72,INDIRECT($C$5&amp;"生成成长"),5))*(VLOOKUP($B$5,标准坦克设计!$B$24:$U$30,MATCH("对"&amp;LEFT($C$5,2)&amp;"输出",标准坦克设计!$B$23:$U$23,0)))*(VLOOKUP($B187,INDIRECT($B$5&amp;"生成成长"),3))*(VLOOKUP($B$5,标准坦克设计!$B$14:$K$20,9)/30))</f>
        <v>36.369432201321167</v>
      </c>
      <c r="CN187" s="173">
        <f ca="1">(VLOOKUP(CN$72,INDIRECT($C$5&amp;"生成成长"),2))/((VLOOKUP($B187,INDIRECT($B$5&amp;"生成成长"),4))/(VLOOKUP(CN$72,INDIRECT($C$5&amp;"生成成长"),5))*(VLOOKUP($B$5,标准坦克设计!$B$24:$U$30,MATCH("对"&amp;LEFT($C$5,2)&amp;"输出",标准坦克设计!$B$23:$U$23,0)))*(VLOOKUP($B187,INDIRECT($B$5&amp;"生成成长"),3))*(VLOOKUP($B$5,标准坦克设计!$B$14:$K$20,9)/30))</f>
        <v>38.678038737537854</v>
      </c>
      <c r="CO187" s="173">
        <f ca="1">(VLOOKUP(CO$72,INDIRECT($C$5&amp;"生成成长"),2))/((VLOOKUP($B187,INDIRECT($B$5&amp;"生成成长"),4))/(VLOOKUP(CO$72,INDIRECT($C$5&amp;"生成成长"),5))*(VLOOKUP($B$5,标准坦克设计!$B$24:$U$30,MATCH("对"&amp;LEFT($C$5,2)&amp;"输出",标准坦克设计!$B$23:$U$23,0)))*(VLOOKUP($B187,INDIRECT($B$5&amp;"生成成长"),3))*(VLOOKUP($B$5,标准坦克设计!$B$14:$K$20,9)/30))</f>
        <v>17.332601062563064</v>
      </c>
      <c r="CP187" s="173">
        <f ca="1">(VLOOKUP(CP$72,INDIRECT($C$5&amp;"生成成长"),2))/((VLOOKUP($B187,INDIRECT($B$5&amp;"生成成长"),4))/(VLOOKUP(CP$72,INDIRECT($C$5&amp;"生成成长"),5))*(VLOOKUP($B$5,标准坦克设计!$B$24:$U$30,MATCH("对"&amp;LEFT($C$5,2)&amp;"输出",标准坦克设计!$B$23:$U$23,0)))*(VLOOKUP($B187,INDIRECT($B$5&amp;"生成成长"),3))*(VLOOKUP($B$5,标准坦克设计!$B$14:$K$20,9)/30))</f>
        <v>18.937324766758433</v>
      </c>
      <c r="CQ187" s="173">
        <f ca="1">(VLOOKUP(CQ$72,INDIRECT($C$5&amp;"生成成长"),2))/((VLOOKUP($B187,INDIRECT($B$5&amp;"生成成长"),4))/(VLOOKUP(CQ$72,INDIRECT($C$5&amp;"生成成长"),5))*(VLOOKUP($B$5,标准坦克设计!$B$24:$U$30,MATCH("对"&amp;LEFT($C$5,2)&amp;"输出",标准坦克设计!$B$23:$U$23,0)))*(VLOOKUP($B187,INDIRECT($B$5&amp;"生成成长"),3))*(VLOOKUP($B$5,标准坦克设计!$B$14:$K$20,9)/30))</f>
        <v>20.613082518222008</v>
      </c>
      <c r="CR187" s="173">
        <f ca="1">(VLOOKUP(CR$72,INDIRECT($C$5&amp;"生成成长"),2))/((VLOOKUP($B187,INDIRECT($B$5&amp;"生成成长"),4))/(VLOOKUP(CR$72,INDIRECT($C$5&amp;"生成成长"),5))*(VLOOKUP($B$5,标准坦克设计!$B$24:$U$30,MATCH("对"&amp;LEFT($C$5,2)&amp;"输出",标准坦克设计!$B$23:$U$23,0)))*(VLOOKUP($B187,INDIRECT($B$5&amp;"生成成长"),3))*(VLOOKUP($B$5,标准坦克设计!$B$14:$K$20,9)/30))</f>
        <v>22.359874316953789</v>
      </c>
      <c r="CS187" s="173">
        <f ca="1">(VLOOKUP(CS$72,INDIRECT($C$5&amp;"生成成长"),2))/((VLOOKUP($B187,INDIRECT($B$5&amp;"生成成长"),4))/(VLOOKUP(CS$72,INDIRECT($C$5&amp;"生成成长"),5))*(VLOOKUP($B$5,标准坦克设计!$B$24:$U$30,MATCH("对"&amp;LEFT($C$5,2)&amp;"输出",标准坦克设计!$B$23:$U$23,0)))*(VLOOKUP($B187,INDIRECT($B$5&amp;"生成成长"),3))*(VLOOKUP($B$5,标准坦克设计!$B$14:$K$20,9)/30))</f>
        <v>24.177700162953769</v>
      </c>
      <c r="CT187" s="173">
        <f ca="1">(VLOOKUP(CT$72,INDIRECT($C$5&amp;"生成成长"),2))/((VLOOKUP($B187,INDIRECT($B$5&amp;"生成成长"),4))/(VLOOKUP(CT$72,INDIRECT($C$5&amp;"生成成长"),5))*(VLOOKUP($B$5,标准坦克设计!$B$24:$U$30,MATCH("对"&amp;LEFT($C$5,2)&amp;"输出",标准坦克设计!$B$23:$U$23,0)))*(VLOOKUP($B187,INDIRECT($B$5&amp;"生成成长"),3))*(VLOOKUP($B$5,标准坦克设计!$B$14:$K$20,9)/30))</f>
        <v>26.066560056221956</v>
      </c>
      <c r="CU187" s="173">
        <f ca="1">(VLOOKUP(CU$72,INDIRECT($C$5&amp;"生成成长"),2))/((VLOOKUP($B187,INDIRECT($B$5&amp;"生成成长"),4))/(VLOOKUP(CU$72,INDIRECT($C$5&amp;"生成成长"),5))*(VLOOKUP($B$5,标准坦克设计!$B$24:$U$30,MATCH("对"&amp;LEFT($C$5,2)&amp;"输出",标准坦克设计!$B$23:$U$23,0)))*(VLOOKUP($B187,INDIRECT($B$5&amp;"生成成长"),3))*(VLOOKUP($B$5,标准坦克设计!$B$14:$K$20,9)/30))</f>
        <v>28.026453996758352</v>
      </c>
      <c r="CV187" s="173">
        <f ca="1">(VLOOKUP(CV$72,INDIRECT($C$5&amp;"生成成长"),2))/((VLOOKUP($B187,INDIRECT($B$5&amp;"生成成长"),4))/(VLOOKUP(CV$72,INDIRECT($C$5&amp;"生成成长"),5))*(VLOOKUP($B$5,标准坦克设计!$B$24:$U$30,MATCH("对"&amp;LEFT($C$5,2)&amp;"输出",标准坦克设计!$B$23:$U$23,0)))*(VLOOKUP($B187,INDIRECT($B$5&amp;"生成成长"),3))*(VLOOKUP($B$5,标准坦克设计!$B$14:$K$20,9)/30))</f>
        <v>30.057381984562952</v>
      </c>
      <c r="CW187" s="173">
        <f ca="1">(VLOOKUP(CW$72,INDIRECT($C$5&amp;"生成成长"),2))/((VLOOKUP($B187,INDIRECT($B$5&amp;"生成成长"),4))/(VLOOKUP(CW$72,INDIRECT($C$5&amp;"生成成长"),5))*(VLOOKUP($B$5,标准坦克设计!$B$24:$U$30,MATCH("对"&amp;LEFT($C$5,2)&amp;"输出",标准坦克设计!$B$23:$U$23,0)))*(VLOOKUP($B187,INDIRECT($B$5&amp;"生成成长"),3))*(VLOOKUP($B$5,标准坦克设计!$B$14:$K$20,9)/30))</f>
        <v>32.159344019635761</v>
      </c>
      <c r="CX187" s="173">
        <f ca="1">(VLOOKUP(CX$72,INDIRECT($C$5&amp;"生成成长"),2))/((VLOOKUP($B187,INDIRECT($B$5&amp;"生成成长"),4))/(VLOOKUP(CX$72,INDIRECT($C$5&amp;"生成成长"),5))*(VLOOKUP($B$5,标准坦克设计!$B$24:$U$30,MATCH("对"&amp;LEFT($C$5,2)&amp;"输出",标准坦克设计!$B$23:$U$23,0)))*(VLOOKUP($B187,INDIRECT($B$5&amp;"生成成长"),3))*(VLOOKUP($B$5,标准坦克设计!$B$14:$K$20,9)/30))</f>
        <v>34.332340101976769</v>
      </c>
      <c r="CY187" s="173">
        <f ca="1">(VLOOKUP(CY$72,INDIRECT($C$5&amp;"生成成长"),2))/((VLOOKUP($B187,INDIRECT($B$5&amp;"生成成长"),4))/(VLOOKUP(CY$72,INDIRECT($C$5&amp;"生成成长"),5))*(VLOOKUP($B$5,标准坦克设计!$B$24:$U$30,MATCH("对"&amp;LEFT($C$5,2)&amp;"输出",标准坦克设计!$B$23:$U$23,0)))*(VLOOKUP($B187,INDIRECT($B$5&amp;"生成成长"),3))*(VLOOKUP($B$5,标准坦克设计!$B$14:$K$20,9)/30))</f>
        <v>36.57637023158599</v>
      </c>
      <c r="CZ187" s="173">
        <f ca="1">(VLOOKUP(CZ$72,INDIRECT($C$5&amp;"生成成长"),2))/((VLOOKUP($B187,INDIRECT($B$5&amp;"生成成长"),4))/(VLOOKUP(CZ$72,INDIRECT($C$5&amp;"生成成长"),5))*(VLOOKUP($B$5,标准坦克设计!$B$24:$U$30,MATCH("对"&amp;LEFT($C$5,2)&amp;"输出",标准坦克设计!$B$23:$U$23,0)))*(VLOOKUP($B187,INDIRECT($B$5&amp;"生成成长"),3))*(VLOOKUP($B$5,标准坦克设计!$B$14:$K$20,9)/30))</f>
        <v>38.891434408463404</v>
      </c>
      <c r="DA187" s="173">
        <f ca="1">(VLOOKUP(DA$72,INDIRECT($C$5&amp;"生成成长"),2))/((VLOOKUP($B187,INDIRECT($B$5&amp;"生成成长"),4))/(VLOOKUP(DA$72,INDIRECT($C$5&amp;"生成成长"),5))*(VLOOKUP($B$5,标准坦克设计!$B$24:$U$30,MATCH("对"&amp;LEFT($C$5,2)&amp;"输出",标准坦克设计!$B$23:$U$23,0)))*(VLOOKUP($B187,INDIRECT($B$5&amp;"生成成长"),3))*(VLOOKUP($B$5,标准坦克设计!$B$14:$K$20,9)/30))</f>
        <v>41.277532632609038</v>
      </c>
      <c r="DB187" s="173">
        <f ca="1">(VLOOKUP(DB$72,INDIRECT($C$5&amp;"生成成长"),2))/((VLOOKUP($B187,INDIRECT($B$5&amp;"生成成长"),4))/(VLOOKUP(DB$72,INDIRECT($C$5&amp;"生成成长"),5))*(VLOOKUP($B$5,标准坦克设计!$B$24:$U$30,MATCH("对"&amp;LEFT($C$5,2)&amp;"输出",标准坦克设计!$B$23:$U$23,0)))*(VLOOKUP($B187,INDIRECT($B$5&amp;"生成成长"),3))*(VLOOKUP($B$5,标准坦克设计!$B$14:$K$20,9)/30))</f>
        <v>43.734664904022864</v>
      </c>
      <c r="DC187" s="173">
        <f ca="1">(VLOOKUP(DC$72,INDIRECT($C$5&amp;"生成成长"),2))/((VLOOKUP($B187,INDIRECT($B$5&amp;"生成成长"),4))/(VLOOKUP(DC$72,INDIRECT($C$5&amp;"生成成长"),5))*(VLOOKUP($B$5,标准坦克设计!$B$24:$U$30,MATCH("对"&amp;LEFT($C$5,2)&amp;"输出",标准坦克设计!$B$23:$U$23,0)))*(VLOOKUP($B187,INDIRECT($B$5&amp;"生成成长"),3))*(VLOOKUP($B$5,标准坦克设计!$B$14:$K$20,9)/30))</f>
        <v>46.49618687385459</v>
      </c>
      <c r="DD187" s="173">
        <f ca="1">(VLOOKUP(DD$72,INDIRECT($C$5&amp;"生成成长"),2))/((VLOOKUP($B187,INDIRECT($B$5&amp;"生成成长"),4))/(VLOOKUP(DD$72,INDIRECT($C$5&amp;"生成成长"),5))*(VLOOKUP($B$5,标准坦克设计!$B$24:$U$30,MATCH("对"&amp;LEFT($C$5,2)&amp;"输出",标准坦克设计!$B$23:$U$23,0)))*(VLOOKUP($B187,INDIRECT($B$5&amp;"生成成长"),3))*(VLOOKUP($B$5,标准坦克设计!$B$14:$K$20,9)/30))</f>
        <v>49.342245230517882</v>
      </c>
      <c r="DE187" s="173">
        <f ca="1">(VLOOKUP(DE$72,INDIRECT($C$5&amp;"生成成长"),2))/((VLOOKUP($B187,INDIRECT($B$5&amp;"生成成长"),4))/(VLOOKUP(DE$72,INDIRECT($C$5&amp;"生成成长"),5))*(VLOOKUP($B$5,标准坦克设计!$B$24:$U$30,MATCH("对"&amp;LEFT($C$5,2)&amp;"输出",标准坦克设计!$B$23:$U$23,0)))*(VLOOKUP($B187,INDIRECT($B$5&amp;"生成成长"),3))*(VLOOKUP($B$5,标准坦克设计!$B$14:$K$20,9)/30))</f>
        <v>52.272839974012783</v>
      </c>
      <c r="DF187" s="173">
        <f ca="1">(VLOOKUP(DF$72,INDIRECT($C$5&amp;"生成成长"),2))/((VLOOKUP($B187,INDIRECT($B$5&amp;"生成成长"),4))/(VLOOKUP(DF$72,INDIRECT($C$5&amp;"生成成长"),5))*(VLOOKUP($B$5,标准坦克设计!$B$24:$U$30,MATCH("对"&amp;LEFT($C$5,2)&amp;"输出",标准坦克设计!$B$23:$U$23,0)))*(VLOOKUP($B187,INDIRECT($B$5&amp;"生成成长"),3))*(VLOOKUP($B$5,标准坦克设计!$B$14:$K$20,9)/30))</f>
        <v>55.287971104339242</v>
      </c>
      <c r="DG187" s="173">
        <f ca="1">(VLOOKUP(DG$72,INDIRECT($C$5&amp;"生成成长"),2))/((VLOOKUP($B187,INDIRECT($B$5&amp;"生成成长"),4))/(VLOOKUP(DG$72,INDIRECT($C$5&amp;"生成成长"),5))*(VLOOKUP($B$5,标准坦克设计!$B$24:$U$30,MATCH("对"&amp;LEFT($C$5,2)&amp;"输出",标准坦克设计!$B$23:$U$23,0)))*(VLOOKUP($B187,INDIRECT($B$5&amp;"生成成长"),3))*(VLOOKUP($B$5,标准坦克设计!$B$14:$K$20,9)/30))</f>
        <v>58.387638621497317</v>
      </c>
      <c r="DH187" s="173">
        <f ca="1">(VLOOKUP(DH$72,INDIRECT($C$5&amp;"生成成长"),2))/((VLOOKUP($B187,INDIRECT($B$5&amp;"生成成长"),4))/(VLOOKUP(DH$72,INDIRECT($C$5&amp;"生成成长"),5))*(VLOOKUP($B$5,标准坦克设计!$B$24:$U$30,MATCH("对"&amp;LEFT($C$5,2)&amp;"输出",标准坦克设计!$B$23:$U$23,0)))*(VLOOKUP($B187,INDIRECT($B$5&amp;"生成成长"),3))*(VLOOKUP($B$5,标准坦克设计!$B$14:$K$20,9)/30))</f>
        <v>61.571842525486936</v>
      </c>
      <c r="DI187" s="173">
        <f ca="1">(VLOOKUP(DI$72,INDIRECT($C$5&amp;"生成成长"),2))/((VLOOKUP($B187,INDIRECT($B$5&amp;"生成成长"),4))/(VLOOKUP(DI$72,INDIRECT($C$5&amp;"生成成长"),5))*(VLOOKUP($B$5,标准坦克设计!$B$24:$U$30,MATCH("对"&amp;LEFT($C$5,2)&amp;"输出",标准坦克设计!$B$23:$U$23,0)))*(VLOOKUP($B187,INDIRECT($B$5&amp;"生成成长"),3))*(VLOOKUP($B$5,标准坦克设计!$B$14:$K$20,9)/30))</f>
        <v>64.840582816308171</v>
      </c>
      <c r="DJ187" s="173">
        <f ca="1">(VLOOKUP(DJ$72,INDIRECT($C$5&amp;"生成成长"),2))/((VLOOKUP($B187,INDIRECT($B$5&amp;"生成成长"),4))/(VLOOKUP(DJ$72,INDIRECT($C$5&amp;"生成成长"),5))*(VLOOKUP($B$5,标准坦克设计!$B$24:$U$30,MATCH("对"&amp;LEFT($C$5,2)&amp;"输出",标准坦克设计!$B$23:$U$23,0)))*(VLOOKUP($B187,INDIRECT($B$5&amp;"生成成长"),3))*(VLOOKUP($B$5,标准坦克设计!$B$14:$K$20,9)/30))</f>
        <v>6.516640014055489</v>
      </c>
      <c r="DK187" s="173">
        <f ca="1">(VLOOKUP(DK$72,INDIRECT($C$5&amp;"生成成长"),2))/((VLOOKUP($B187,INDIRECT($B$5&amp;"生成成长"),4))/(VLOOKUP(DK$72,INDIRECT($C$5&amp;"生成成长"),5))*(VLOOKUP($B$5,标准坦克设计!$B$24:$U$30,MATCH("对"&amp;LEFT($C$5,2)&amp;"输出",标准坦克设计!$B$23:$U$23,0)))*(VLOOKUP($B187,INDIRECT($B$5&amp;"生成成长"),3))*(VLOOKUP($B$5,标准坦克设计!$B$14:$K$20,9)/30))</f>
        <v>7.3276609752209909</v>
      </c>
      <c r="DL187" s="173">
        <f ca="1">(VLOOKUP(DL$72,INDIRECT($C$5&amp;"生成成长"),2))/((VLOOKUP($B187,INDIRECT($B$5&amp;"生成成长"),4))/(VLOOKUP(DL$72,INDIRECT($C$5&amp;"生成成长"),5))*(VLOOKUP($B$5,标准坦克设计!$B$24:$U$30,MATCH("对"&amp;LEFT($C$5,2)&amp;"输出",标准坦克设计!$B$23:$U$23,0)))*(VLOOKUP($B187,INDIRECT($B$5&amp;"生成成长"),3))*(VLOOKUP($B$5,标准坦克设计!$B$14:$K$20,9)/30))</f>
        <v>8.1862336539792597</v>
      </c>
      <c r="DM187" s="173">
        <f ca="1">(VLOOKUP(DM$72,INDIRECT($C$5&amp;"生成成长"),2))/((VLOOKUP($B187,INDIRECT($B$5&amp;"生成成长"),4))/(VLOOKUP(DM$72,INDIRECT($C$5&amp;"生成成长"),5))*(VLOOKUP($B$5,标准坦克设计!$B$24:$U$30,MATCH("对"&amp;LEFT($C$5,2)&amp;"输出",标准坦克设计!$B$23:$U$23,0)))*(VLOOKUP($B187,INDIRECT($B$5&amp;"生成成长"),3))*(VLOOKUP($B$5,标准坦克设计!$B$14:$K$20,9)/30))</f>
        <v>9.0923580503302919</v>
      </c>
      <c r="DN187" s="173">
        <f ca="1">(VLOOKUP(DN$72,INDIRECT($C$5&amp;"生成成长"),2))/((VLOOKUP($B187,INDIRECT($B$5&amp;"生成成长"),4))/(VLOOKUP(DN$72,INDIRECT($C$5&amp;"生成成长"),5))*(VLOOKUP($B$5,标准坦克设计!$B$24:$U$30,MATCH("对"&amp;LEFT($C$5,2)&amp;"输出",标准坦克设计!$B$23:$U$23,0)))*(VLOOKUP($B187,INDIRECT($B$5&amp;"生成成长"),3))*(VLOOKUP($B$5,标准坦克设计!$B$14:$K$20,9)/30))</f>
        <v>10.04603416427409</v>
      </c>
      <c r="DO187" s="173">
        <f ca="1">(VLOOKUP(DO$72,INDIRECT($C$5&amp;"生成成长"),2))/((VLOOKUP($B187,INDIRECT($B$5&amp;"生成成长"),4))/(VLOOKUP(DO$72,INDIRECT($C$5&amp;"生成成长"),5))*(VLOOKUP($B$5,标准坦克设计!$B$24:$U$30,MATCH("对"&amp;LEFT($C$5,2)&amp;"输出",标准坦克设计!$B$23:$U$23,0)))*(VLOOKUP($B187,INDIRECT($B$5&amp;"生成成长"),3))*(VLOOKUP($B$5,标准坦克设计!$B$14:$K$20,9)/30))</f>
        <v>11.047261995810656</v>
      </c>
      <c r="DP187" s="173">
        <f ca="1">(VLOOKUP(DP$72,INDIRECT($C$5&amp;"生成成长"),2))/((VLOOKUP($B187,INDIRECT($B$5&amp;"生成成长"),4))/(VLOOKUP(DP$72,INDIRECT($C$5&amp;"生成成长"),5))*(VLOOKUP($B$5,标准坦克设计!$B$24:$U$30,MATCH("对"&amp;LEFT($C$5,2)&amp;"输出",标准坦克设计!$B$23:$U$23,0)))*(VLOOKUP($B187,INDIRECT($B$5&amp;"生成成长"),3))*(VLOOKUP($B$5,标准坦克设计!$B$14:$K$20,9)/30))</f>
        <v>12.096041544939986</v>
      </c>
      <c r="DQ187" s="173">
        <f ca="1">(VLOOKUP(DQ$72,INDIRECT($C$5&amp;"生成成长"),2))/((VLOOKUP($B187,INDIRECT($B$5&amp;"生成成长"),4))/(VLOOKUP(DQ$72,INDIRECT($C$5&amp;"生成成长"),5))*(VLOOKUP($B$5,标准坦克设计!$B$24:$U$30,MATCH("对"&amp;LEFT($C$5,2)&amp;"输出",标准坦克设计!$B$23:$U$23,0)))*(VLOOKUP($B187,INDIRECT($B$5&amp;"生成成长"),3))*(VLOOKUP($B$5,标准坦克设计!$B$14:$K$20,9)/30))</f>
        <v>13.192372811662082</v>
      </c>
      <c r="DR187" s="173">
        <f ca="1">(VLOOKUP(DR$72,INDIRECT($C$5&amp;"生成成长"),2))/((VLOOKUP($B187,INDIRECT($B$5&amp;"生成成长"),4))/(VLOOKUP(DR$72,INDIRECT($C$5&amp;"生成成长"),5))*(VLOOKUP($B$5,标准坦克设计!$B$24:$U$30,MATCH("对"&amp;LEFT($C$5,2)&amp;"输出",标准坦克设计!$B$23:$U$23,0)))*(VLOOKUP($B187,INDIRECT($B$5&amp;"生成成长"),3))*(VLOOKUP($B$5,标准坦克设计!$B$14:$K$20,9)/30))</f>
        <v>14.336255795976944</v>
      </c>
      <c r="DS187" s="173">
        <f ca="1">(VLOOKUP(DS$72,INDIRECT($C$5&amp;"生成成长"),2))/((VLOOKUP($B187,INDIRECT($B$5&amp;"生成成长"),4))/(VLOOKUP(DS$72,INDIRECT($C$5&amp;"生成成长"),5))*(VLOOKUP($B$5,标准坦克设计!$B$24:$U$30,MATCH("对"&amp;LEFT($C$5,2)&amp;"输出",标准坦克设计!$B$23:$U$23,0)))*(VLOOKUP($B187,INDIRECT($B$5&amp;"生成成长"),3))*(VLOOKUP($B$5,标准坦克设计!$B$14:$K$20,9)/30))</f>
        <v>15.527690497884569</v>
      </c>
      <c r="DT187" s="173">
        <f ca="1">(VLOOKUP(DT$72,INDIRECT($C$5&amp;"生成成长"),2))/((VLOOKUP($B187,INDIRECT($B$5&amp;"生成成长"),4))/(VLOOKUP(DT$72,INDIRECT($C$5&amp;"生成成长"),5))*(VLOOKUP($B$5,标准坦克设计!$B$24:$U$30,MATCH("对"&amp;LEFT($C$5,2)&amp;"输出",标准坦克设计!$B$23:$U$23,0)))*(VLOOKUP($B187,INDIRECT($B$5&amp;"生成成长"),3))*(VLOOKUP($B$5,标准坦克设计!$B$14:$K$20,9)/30))</f>
        <v>17.048464873490243</v>
      </c>
      <c r="DU187" s="173">
        <f ca="1">(VLOOKUP(DU$72,INDIRECT($C$5&amp;"生成成长"),2))/((VLOOKUP($B187,INDIRECT($B$5&amp;"生成成长"),4))/(VLOOKUP(DU$72,INDIRECT($C$5&amp;"生成成长"),5))*(VLOOKUP($B$5,标准坦克设计!$B$24:$U$30,MATCH("对"&amp;LEFT($C$5,2)&amp;"输出",标准坦克设计!$B$23:$U$23,0)))*(VLOOKUP($B187,INDIRECT($B$5&amp;"生成成长"),3))*(VLOOKUP($B$5,标准坦克设计!$B$14:$K$20,9)/30))</f>
        <v>18.640273296364118</v>
      </c>
      <c r="DV187" s="173">
        <f ca="1">(VLOOKUP(DV$72,INDIRECT($C$5&amp;"生成成长"),2))/((VLOOKUP($B187,INDIRECT($B$5&amp;"生成成长"),4))/(VLOOKUP(DV$72,INDIRECT($C$5&amp;"生成成长"),5))*(VLOOKUP($B$5,标准坦克设计!$B$24:$U$30,MATCH("对"&amp;LEFT($C$5,2)&amp;"输出",标准坦克设计!$B$23:$U$23,0)))*(VLOOKUP($B187,INDIRECT($B$5&amp;"生成成长"),3))*(VLOOKUP($B$5,标准坦克设计!$B$14:$K$20,9)/30))</f>
        <v>20.303115766506199</v>
      </c>
      <c r="DW187" s="173">
        <f ca="1">(VLOOKUP(DW$72,INDIRECT($C$5&amp;"生成成长"),2))/((VLOOKUP($B187,INDIRECT($B$5&amp;"生成成长"),4))/(VLOOKUP(DW$72,INDIRECT($C$5&amp;"生成成长"),5))*(VLOOKUP($B$5,标准坦克设计!$B$24:$U$30,MATCH("对"&amp;LEFT($C$5,2)&amp;"输出",标准坦克设计!$B$23:$U$23,0)))*(VLOOKUP($B187,INDIRECT($B$5&amp;"生成成长"),3))*(VLOOKUP($B$5,标准坦克设计!$B$14:$K$20,9)/30))</f>
        <v>22.036992283916483</v>
      </c>
      <c r="DX187" s="173">
        <f ca="1">(VLOOKUP(DX$72,INDIRECT($C$5&amp;"生成成长"),2))/((VLOOKUP($B187,INDIRECT($B$5&amp;"生成成长"),4))/(VLOOKUP(DX$72,INDIRECT($C$5&amp;"生成成长"),5))*(VLOOKUP($B$5,标准坦克设计!$B$24:$U$30,MATCH("对"&amp;LEFT($C$5,2)&amp;"输出",标准坦克设计!$B$23:$U$23,0)))*(VLOOKUP($B187,INDIRECT($B$5&amp;"生成成长"),3))*(VLOOKUP($B$5,标准坦克设计!$B$14:$K$20,9)/30))</f>
        <v>23.841902848594977</v>
      </c>
      <c r="DY187" s="173">
        <f ca="1">(VLOOKUP(DY$72,INDIRECT($C$5&amp;"生成成长"),2))/((VLOOKUP($B187,INDIRECT($B$5&amp;"生成成长"),4))/(VLOOKUP(DY$72,INDIRECT($C$5&amp;"生成成长"),5))*(VLOOKUP($B$5,标准坦克设计!$B$24:$U$30,MATCH("对"&amp;LEFT($C$5,2)&amp;"输出",标准坦克设计!$B$23:$U$23,0)))*(VLOOKUP($B187,INDIRECT($B$5&amp;"生成成长"),3))*(VLOOKUP($B$5,标准坦克设计!$B$14:$K$20,9)/30))</f>
        <v>10.708235861121493</v>
      </c>
      <c r="DZ187" s="173">
        <f ca="1">(VLOOKUP(DZ$72,INDIRECT($C$5&amp;"生成成长"),2))/((VLOOKUP($B187,INDIRECT($B$5&amp;"生成成长"),4))/(VLOOKUP(DZ$72,INDIRECT($C$5&amp;"生成成长"),5))*(VLOOKUP($B$5,标准坦克设计!$B$24:$U$30,MATCH("对"&amp;LEFT($C$5,2)&amp;"输出",标准坦克设计!$B$23:$U$23,0)))*(VLOOKUP($B187,INDIRECT($B$5&amp;"生成成长"),3))*(VLOOKUP($B$5,标准坦克设计!$B$14:$K$20,9)/30))</f>
        <v>11.858870015218045</v>
      </c>
      <c r="EA187" s="173">
        <f ca="1">(VLOOKUP(EA$72,INDIRECT($C$5&amp;"生成成长"),2))/((VLOOKUP($B187,INDIRECT($B$5&amp;"生成成长"),4))/(VLOOKUP(EA$72,INDIRECT($C$5&amp;"生成成长"),5))*(VLOOKUP($B$5,标准坦克设计!$B$24:$U$30,MATCH("对"&amp;LEFT($C$5,2)&amp;"输出",标准坦克设计!$B$23:$U$23,0)))*(VLOOKUP($B187,INDIRECT($B$5&amp;"生成成长"),3))*(VLOOKUP($B$5,标准坦克设计!$B$14:$K$20,9)/30))</f>
        <v>13.068209993503196</v>
      </c>
      <c r="EB187" s="173">
        <f ca="1">(VLOOKUP(EB$72,INDIRECT($C$5&amp;"生成成长"),2))/((VLOOKUP($B187,INDIRECT($B$5&amp;"生成成长"),4))/(VLOOKUP(EB$72,INDIRECT($C$5&amp;"生成成长"),5))*(VLOOKUP($B$5,标准坦克设计!$B$24:$U$30,MATCH("对"&amp;LEFT($C$5,2)&amp;"输出",标准坦克设计!$B$23:$U$23,0)))*(VLOOKUP($B187,INDIRECT($B$5&amp;"生成成长"),3))*(VLOOKUP($B$5,标准坦克设计!$B$14:$K$20,9)/30))</f>
        <v>14.336255795976944</v>
      </c>
      <c r="EC187" s="173">
        <f ca="1">(VLOOKUP(EC$72,INDIRECT($C$5&amp;"生成成长"),2))/((VLOOKUP($B187,INDIRECT($B$5&amp;"生成成长"),4))/(VLOOKUP(EC$72,INDIRECT($C$5&amp;"生成成长"),5))*(VLOOKUP($B$5,标准坦克设计!$B$24:$U$30,MATCH("对"&amp;LEFT($C$5,2)&amp;"输出",标准坦克设计!$B$23:$U$23,0)))*(VLOOKUP($B187,INDIRECT($B$5&amp;"生成成长"),3))*(VLOOKUP($B$5,标准坦克设计!$B$14:$K$20,9)/30))</f>
        <v>15.663007422639293</v>
      </c>
      <c r="ED187" s="173">
        <f ca="1">(VLOOKUP(ED$72,INDIRECT($C$5&amp;"生成成长"),2))/((VLOOKUP($B187,INDIRECT($B$5&amp;"生成成长"),4))/(VLOOKUP(ED$72,INDIRECT($C$5&amp;"生成成长"),5))*(VLOOKUP($B$5,标准坦克设计!$B$24:$U$30,MATCH("对"&amp;LEFT($C$5,2)&amp;"输出",标准坦克设计!$B$23:$U$23,0)))*(VLOOKUP($B187,INDIRECT($B$5&amp;"生成成长"),3))*(VLOOKUP($B$5,标准坦克设计!$B$14:$K$20,9)/30))</f>
        <v>17.048464873490243</v>
      </c>
      <c r="EE187" s="173">
        <f ca="1">(VLOOKUP(EE$72,INDIRECT($C$5&amp;"生成成长"),2))/((VLOOKUP($B187,INDIRECT($B$5&amp;"生成成长"),4))/(VLOOKUP(EE$72,INDIRECT($C$5&amp;"生成成长"),5))*(VLOOKUP($B$5,标准坦克设计!$B$24:$U$30,MATCH("对"&amp;LEFT($C$5,2)&amp;"输出",标准坦克设计!$B$23:$U$23,0)))*(VLOOKUP($B187,INDIRECT($B$5&amp;"生成成长"),3))*(VLOOKUP($B$5,标准坦克设计!$B$14:$K$20,9)/30))</f>
        <v>18.492628148529789</v>
      </c>
      <c r="EF187" s="173">
        <f ca="1">(VLOOKUP(EF$72,INDIRECT($C$5&amp;"生成成长"),2))/((VLOOKUP($B187,INDIRECT($B$5&amp;"生成成长"),4))/(VLOOKUP(EF$72,INDIRECT($C$5&amp;"生成成长"),5))*(VLOOKUP($B$5,标准坦克设计!$B$24:$U$30,MATCH("对"&amp;LEFT($C$5,2)&amp;"输出",标准坦克设计!$B$23:$U$23,0)))*(VLOOKUP($B187,INDIRECT($B$5&amp;"生成成长"),3))*(VLOOKUP($B$5,标准坦克设计!$B$14:$K$20,9)/30))</f>
        <v>19.995497247757939</v>
      </c>
      <c r="EG187" s="173">
        <f ca="1">(VLOOKUP(EG$72,INDIRECT($C$5&amp;"生成成长"),2))/((VLOOKUP($B187,INDIRECT($B$5&amp;"生成成长"),4))/(VLOOKUP(EG$72,INDIRECT($C$5&amp;"生成成长"),5))*(VLOOKUP($B$5,标准坦克设计!$B$24:$U$30,MATCH("对"&amp;LEFT($C$5,2)&amp;"输出",标准坦克设计!$B$23:$U$23,0)))*(VLOOKUP($B187,INDIRECT($B$5&amp;"生成成长"),3))*(VLOOKUP($B$5,标准坦克设计!$B$14:$K$20,9)/30))</f>
        <v>21.557072171174685</v>
      </c>
      <c r="EH187" s="173">
        <f ca="1">(VLOOKUP(EH$72,INDIRECT($C$5&amp;"生成成长"),2))/((VLOOKUP($B187,INDIRECT($B$5&amp;"生成成长"),4))/(VLOOKUP(EH$72,INDIRECT($C$5&amp;"生成成长"),5))*(VLOOKUP($B$5,标准坦克设计!$B$24:$U$30,MATCH("对"&amp;LEFT($C$5,2)&amp;"输出",标准坦克设计!$B$23:$U$23,0)))*(VLOOKUP($B187,INDIRECT($B$5&amp;"生成成长"),3))*(VLOOKUP($B$5,标准坦克设计!$B$14:$K$20,9)/30))</f>
        <v>23.177352918780031</v>
      </c>
      <c r="EI187" s="173">
        <f ca="1">(VLOOKUP(EI$72,INDIRECT($C$5&amp;"生成成长"),2))/((VLOOKUP($B187,INDIRECT($B$5&amp;"生成成长"),4))/(VLOOKUP(EI$72,INDIRECT($C$5&amp;"生成成长"),5))*(VLOOKUP($B$5,标准坦克设计!$B$24:$U$30,MATCH("对"&amp;LEFT($C$5,2)&amp;"输出",标准坦克设计!$B$23:$U$23,0)))*(VLOOKUP($B187,INDIRECT($B$5&amp;"生成成长"),3))*(VLOOKUP($B$5,标准坦克设计!$B$14:$K$20,9)/30))</f>
        <v>24.85633949057398</v>
      </c>
      <c r="EJ187" s="173">
        <f ca="1">(VLOOKUP(EJ$72,INDIRECT($C$5&amp;"生成成长"),2))/((VLOOKUP($B187,INDIRECT($B$5&amp;"生成成长"),4))/(VLOOKUP(EJ$72,INDIRECT($C$5&amp;"生成成长"),5))*(VLOOKUP($B$5,标准坦克设计!$B$24:$U$30,MATCH("对"&amp;LEFT($C$5,2)&amp;"输出",标准坦克设计!$B$23:$U$23,0)))*(VLOOKUP($B187,INDIRECT($B$5&amp;"生成成长"),3))*(VLOOKUP($B$5,标准坦克设计!$B$14:$K$20,9)/30))</f>
        <v>26.594031886556522</v>
      </c>
      <c r="EK187" s="173">
        <f ca="1">(VLOOKUP(EK$72,INDIRECT($C$5&amp;"生成成长"),2))/((VLOOKUP($B187,INDIRECT($B$5&amp;"生成成长"),4))/(VLOOKUP(EK$72,INDIRECT($C$5&amp;"生成成长"),5))*(VLOOKUP($B$5,标准坦克设计!$B$24:$U$30,MATCH("对"&amp;LEFT($C$5,2)&amp;"输出",标准坦克设计!$B$23:$U$23,0)))*(VLOOKUP($B187,INDIRECT($B$5&amp;"生成成长"),3))*(VLOOKUP($B$5,标准坦克设计!$B$14:$K$20,9)/30))</f>
        <v>28.75675444966453</v>
      </c>
      <c r="EL187" s="173">
        <f ca="1">(VLOOKUP(EL$72,INDIRECT($C$5&amp;"生成成长"),2))/((VLOOKUP($B187,INDIRECT($B$5&amp;"生成成长"),4))/(VLOOKUP(EL$72,INDIRECT($C$5&amp;"生成成长"),5))*(VLOOKUP($B$5,标准坦克设计!$B$24:$U$30,MATCH("对"&amp;LEFT($C$5,2)&amp;"输出",标准坦克设计!$B$23:$U$23,0)))*(VLOOKUP($B187,INDIRECT($B$5&amp;"生成成长"),3))*(VLOOKUP($B$5,标准坦克设计!$B$14:$K$20,9)/30))</f>
        <v>31.004013399604123</v>
      </c>
      <c r="EM187" s="173">
        <f ca="1">(VLOOKUP(EM$72,INDIRECT($C$5&amp;"生成成长"),2))/((VLOOKUP($B187,INDIRECT($B$5&amp;"生成成长"),4))/(VLOOKUP(EM$72,INDIRECT($C$5&amp;"生成成长"),5))*(VLOOKUP($B$5,标准坦克设计!$B$24:$U$30,MATCH("对"&amp;LEFT($C$5,2)&amp;"输出",标准坦克设计!$B$23:$U$23,0)))*(VLOOKUP($B187,INDIRECT($B$5&amp;"生成成长"),3))*(VLOOKUP($B$5,标准坦克设计!$B$14:$K$20,9)/30))</f>
        <v>33.335808736375292</v>
      </c>
      <c r="EN187" s="173">
        <f ca="1">(VLOOKUP(EN$72,INDIRECT($C$5&amp;"生成成长"),2))/((VLOOKUP($B187,INDIRECT($B$5&amp;"生成成长"),4))/(VLOOKUP(EN$72,INDIRECT($C$5&amp;"生成成长"),5))*(VLOOKUP($B$5,标准坦克设计!$B$24:$U$30,MATCH("对"&amp;LEFT($C$5,2)&amp;"输出",标准坦克设计!$B$23:$U$23,0)))*(VLOOKUP($B187,INDIRECT($B$5&amp;"生成成长"),3))*(VLOOKUP($B$5,标准坦克设计!$B$14:$K$20,9)/30))</f>
        <v>35.752140459978051</v>
      </c>
      <c r="EO187" s="173">
        <f ca="1">(VLOOKUP(EO$72,INDIRECT($C$5&amp;"生成成长"),2))/((VLOOKUP($B187,INDIRECT($B$5&amp;"生成成长"),4))/(VLOOKUP(EO$72,INDIRECT($C$5&amp;"生成成长"),5))*(VLOOKUP($B$5,标准坦克设计!$B$24:$U$30,MATCH("对"&amp;LEFT($C$5,2)&amp;"输出",标准坦克设计!$B$23:$U$23,0)))*(VLOOKUP($B187,INDIRECT($B$5&amp;"生成成长"),3))*(VLOOKUP($B$5,标准坦克设计!$B$14:$K$20,9)/30))</f>
        <v>38.253008570412391</v>
      </c>
      <c r="EP187" s="173">
        <f ca="1">(VLOOKUP(EP$72,INDIRECT($C$5&amp;"生成成长"),2))/((VLOOKUP($B187,INDIRECT($B$5&amp;"生成成长"),4))/(VLOOKUP(EP$72,INDIRECT($C$5&amp;"生成成长"),5))*(VLOOKUP($B$5,标准坦克设计!$B$24:$U$30,MATCH("对"&amp;LEFT($C$5,2)&amp;"输出",标准坦克设计!$B$23:$U$23,0)))*(VLOOKUP($B187,INDIRECT($B$5&amp;"生成成长"),3))*(VLOOKUP($B$5,标准坦克设计!$B$14:$K$20,9)/30))</f>
        <v>40.83841306767831</v>
      </c>
      <c r="EQ187" s="173">
        <f ca="1">(VLOOKUP(EQ$72,INDIRECT($C$5&amp;"生成成长"),2))/((VLOOKUP($B187,INDIRECT($B$5&amp;"生成成长"),4))/(VLOOKUP(EQ$72,INDIRECT($C$5&amp;"生成成长"),5))*(VLOOKUP($B$5,标准坦克设计!$B$24:$U$30,MATCH("对"&amp;LEFT($C$5,2)&amp;"输出",标准坦克设计!$B$23:$U$23,0)))*(VLOOKUP($B187,INDIRECT($B$5&amp;"生成成长"),3))*(VLOOKUP($B$5,标准坦克设计!$B$14:$K$20,9)/30))</f>
        <v>18.05321505447812</v>
      </c>
      <c r="ER187" s="173">
        <f ca="1">(VLOOKUP(ER$72,INDIRECT($C$5&amp;"生成成长"),2))/((VLOOKUP($B187,INDIRECT($B$5&amp;"生成成长"),4))/(VLOOKUP(ER$72,INDIRECT($C$5&amp;"生成成长"),5))*(VLOOKUP($B$5,标准坦克设计!$B$24:$U$30,MATCH("对"&amp;LEFT($C$5,2)&amp;"输出",标准坦克设计!$B$23:$U$23,0)))*(VLOOKUP($B187,INDIRECT($B$5&amp;"生成成长"),3))*(VLOOKUP($B$5,标准坦克设计!$B$14:$K$20,9)/30))</f>
        <v>19.690226961977221</v>
      </c>
      <c r="ES187" s="173">
        <f ca="1">(VLOOKUP(ES$72,INDIRECT($C$5&amp;"生成成长"),2))/((VLOOKUP($B187,INDIRECT($B$5&amp;"生成成长"),4))/(VLOOKUP(ES$72,INDIRECT($C$5&amp;"生成成长"),5))*(VLOOKUP($B$5,标准坦克设计!$B$24:$U$30,MATCH("对"&amp;LEFT($C$5,2)&amp;"输出",标准坦克设计!$B$23:$U$23,0)))*(VLOOKUP($B187,INDIRECT($B$5&amp;"生成成长"),3))*(VLOOKUP($B$5,标准坦克设计!$B$14:$K$20,9)/30))</f>
        <v>21.398272916744524</v>
      </c>
      <c r="ET187" s="173">
        <f ca="1">(VLOOKUP(ET$72,INDIRECT($C$5&amp;"生成成长"),2))/((VLOOKUP($B187,INDIRECT($B$5&amp;"生成成长"),4))/(VLOOKUP(ET$72,INDIRECT($C$5&amp;"生成成长"),5))*(VLOOKUP($B$5,标准坦克设计!$B$24:$U$30,MATCH("对"&amp;LEFT($C$5,2)&amp;"输出",标准坦克设计!$B$23:$U$23,0)))*(VLOOKUP($B187,INDIRECT($B$5&amp;"生成成长"),3))*(VLOOKUP($B$5,标准坦克设计!$B$14:$K$20,9)/30))</f>
        <v>23.177352918780031</v>
      </c>
      <c r="EU187" s="173">
        <f ca="1">(VLOOKUP(EU$72,INDIRECT($C$5&amp;"生成成长"),2))/((VLOOKUP($B187,INDIRECT($B$5&amp;"生成成长"),4))/(VLOOKUP(EU$72,INDIRECT($C$5&amp;"生成成长"),5))*(VLOOKUP($B$5,标准坦克设计!$B$24:$U$30,MATCH("对"&amp;LEFT($C$5,2)&amp;"输出",标准坦克设计!$B$23:$U$23,0)))*(VLOOKUP($B187,INDIRECT($B$5&amp;"生成成长"),3))*(VLOOKUP($B$5,标准坦克设计!$B$14:$K$20,9)/30))</f>
        <v>25.02746696808375</v>
      </c>
      <c r="EV187" s="173">
        <f ca="1">(VLOOKUP(EV$72,INDIRECT($C$5&amp;"生成成长"),2))/((VLOOKUP($B187,INDIRECT($B$5&amp;"生成成长"),4))/(VLOOKUP(EV$72,INDIRECT($C$5&amp;"生成成长"),5))*(VLOOKUP($B$5,标准坦克设计!$B$24:$U$30,MATCH("对"&amp;LEFT($C$5,2)&amp;"输出",标准坦克设计!$B$23:$U$23,0)))*(VLOOKUP($B187,INDIRECT($B$5&amp;"生成成长"),3))*(VLOOKUP($B$5,标准坦克设计!$B$14:$K$20,9)/30))</f>
        <v>26.948615064655662</v>
      </c>
      <c r="EW187" s="173">
        <f ca="1">(VLOOKUP(EW$72,INDIRECT($C$5&amp;"生成成长"),2))/((VLOOKUP($B187,INDIRECT($B$5&amp;"生成成长"),4))/(VLOOKUP(EW$72,INDIRECT($C$5&amp;"生成成长"),5))*(VLOOKUP($B$5,标准坦克设计!$B$24:$U$30,MATCH("对"&amp;LEFT($C$5,2)&amp;"输出",标准坦克设计!$B$23:$U$23,0)))*(VLOOKUP($B187,INDIRECT($B$5&amp;"生成成长"),3))*(VLOOKUP($B$5,标准坦克设计!$B$14:$K$20,9)/30))</f>
        <v>28.940797208495788</v>
      </c>
      <c r="EX187" s="173">
        <f ca="1">(VLOOKUP(EX$72,INDIRECT($C$5&amp;"生成成长"),2))/((VLOOKUP($B187,INDIRECT($B$5&amp;"生成成长"),4))/(VLOOKUP(EX$72,INDIRECT($C$5&amp;"生成成长"),5))*(VLOOKUP($B$5,标准坦克设计!$B$24:$U$30,MATCH("对"&amp;LEFT($C$5,2)&amp;"输出",标准坦克设计!$B$23:$U$23,0)))*(VLOOKUP($B187,INDIRECT($B$5&amp;"生成成长"),3))*(VLOOKUP($B$5,标准坦克设计!$B$14:$K$20,9)/30))</f>
        <v>31.004013399604123</v>
      </c>
      <c r="EY187" s="173">
        <f ca="1">(VLOOKUP(EY$72,INDIRECT($C$5&amp;"生成成长"),2))/((VLOOKUP($B187,INDIRECT($B$5&amp;"生成成长"),4))/(VLOOKUP(EY$72,INDIRECT($C$5&amp;"生成成长"),5))*(VLOOKUP($B$5,标准坦克设计!$B$24:$U$30,MATCH("对"&amp;LEFT($C$5,2)&amp;"输出",标准坦克设计!$B$23:$U$23,0)))*(VLOOKUP($B187,INDIRECT($B$5&amp;"生成成长"),3))*(VLOOKUP($B$5,标准坦克设计!$B$14:$K$20,9)/30))</f>
        <v>33.138263637980657</v>
      </c>
      <c r="EZ187" s="173">
        <f ca="1">(VLOOKUP(EZ$72,INDIRECT($C$5&amp;"生成成长"),2))/((VLOOKUP($B187,INDIRECT($B$5&amp;"生成成长"),4))/(VLOOKUP(EZ$72,INDIRECT($C$5&amp;"生成成长"),5))*(VLOOKUP($B$5,标准坦克设计!$B$24:$U$30,MATCH("对"&amp;LEFT($C$5,2)&amp;"输出",标准坦克设计!$B$23:$U$23,0)))*(VLOOKUP($B187,INDIRECT($B$5&amp;"生成成长"),3))*(VLOOKUP($B$5,标准坦克设计!$B$14:$K$20,9)/30))</f>
        <v>35.343547923625394</v>
      </c>
      <c r="FA187" s="173">
        <f ca="1">(VLOOKUP(FA$72,INDIRECT($C$5&amp;"生成成长"),2))/((VLOOKUP($B187,INDIRECT($B$5&amp;"生成成长"),4))/(VLOOKUP(FA$72,INDIRECT($C$5&amp;"生成成长"),5))*(VLOOKUP($B$5,标准坦克设计!$B$24:$U$30,MATCH("对"&amp;LEFT($C$5,2)&amp;"输出",标准坦克设计!$B$23:$U$23,0)))*(VLOOKUP($B187,INDIRECT($B$5&amp;"生成成长"),3))*(VLOOKUP($B$5,标准坦克设计!$B$14:$K$20,9)/30))</f>
        <v>37.619866256538344</v>
      </c>
      <c r="FB187" s="173">
        <f ca="1">(VLOOKUP(FB$72,INDIRECT($C$5&amp;"生成成长"),2))/((VLOOKUP($B187,INDIRECT($B$5&amp;"生成成长"),4))/(VLOOKUP(FB$72,INDIRECT($C$5&amp;"生成成长"),5))*(VLOOKUP($B$5,标准坦克设计!$B$24:$U$30,MATCH("对"&amp;LEFT($C$5,2)&amp;"输出",标准坦克设计!$B$23:$U$23,0)))*(VLOOKUP($B187,INDIRECT($B$5&amp;"生成成长"),3))*(VLOOKUP($B$5,标准坦克设计!$B$14:$K$20,9)/30))</f>
        <v>39.967218636719494</v>
      </c>
      <c r="FC187" s="173">
        <f ca="1">(VLOOKUP(FC$72,INDIRECT($C$5&amp;"生成成长"),2))/((VLOOKUP($B187,INDIRECT($B$5&amp;"生成成长"),4))/(VLOOKUP(FC$72,INDIRECT($C$5&amp;"生成成长"),5))*(VLOOKUP($B$5,标准坦克设计!$B$24:$U$30,MATCH("对"&amp;LEFT($C$5,2)&amp;"输出",标准坦克设计!$B$23:$U$23,0)))*(VLOOKUP($B187,INDIRECT($B$5&amp;"生成成长"),3))*(VLOOKUP($B$5,标准坦克设计!$B$14:$K$20,9)/30))</f>
        <v>42.385605064168843</v>
      </c>
      <c r="FD187" s="173">
        <f ca="1">(VLOOKUP(FD$72,INDIRECT($C$5&amp;"生成成长"),2))/((VLOOKUP($B187,INDIRECT($B$5&amp;"生成成长"),4))/(VLOOKUP(FD$72,INDIRECT($C$5&amp;"生成成长"),5))*(VLOOKUP($B$5,标准坦克设计!$B$24:$U$30,MATCH("对"&amp;LEFT($C$5,2)&amp;"输出",标准坦克设计!$B$23:$U$23,0)))*(VLOOKUP($B187,INDIRECT($B$5&amp;"生成成长"),3))*(VLOOKUP($B$5,标准坦克设计!$B$14:$K$20,9)/30))</f>
        <v>44.875025538886419</v>
      </c>
      <c r="FE187" s="173">
        <f ca="1">(VLOOKUP(FE$72,INDIRECT($C$5&amp;"生成成长"),2))/((VLOOKUP($B187,INDIRECT($B$5&amp;"生成成长"),4))/(VLOOKUP(FE$72,INDIRECT($C$5&amp;"生成成长"),5))*(VLOOKUP($B$5,标准坦克设计!$B$24:$U$30,MATCH("对"&amp;LEFT($C$5,2)&amp;"输出",标准坦克设计!$B$23:$U$23,0)))*(VLOOKUP($B187,INDIRECT($B$5&amp;"生成成长"),3))*(VLOOKUP($B$5,标准坦克设计!$B$14:$K$20,9)/30))</f>
        <v>47.908649003832295</v>
      </c>
      <c r="FF187" s="173">
        <f ca="1">(VLOOKUP(FF$72,INDIRECT($C$5&amp;"生成成长"),2))/((VLOOKUP($B187,INDIRECT($B$5&amp;"生成成长"),4))/(VLOOKUP(FF$72,INDIRECT($C$5&amp;"生成成长"),5))*(VLOOKUP($B$5,标准坦克设计!$B$24:$U$30,MATCH("对"&amp;LEFT($C$5,2)&amp;"输出",标准坦克设计!$B$23:$U$23,0)))*(VLOOKUP($B187,INDIRECT($B$5&amp;"生成成长"),3))*(VLOOKUP($B$5,标准坦克设计!$B$14:$K$20,9)/30))</f>
        <v>51.041485311656906</v>
      </c>
      <c r="FG187" s="173">
        <f ca="1">(VLOOKUP(FG$72,INDIRECT($C$5&amp;"生成成长"),2))/((VLOOKUP($B187,INDIRECT($B$5&amp;"生成成长"),4))/(VLOOKUP(FG$72,INDIRECT($C$5&amp;"生成成长"),5))*(VLOOKUP($B$5,标准坦克设计!$B$24:$U$30,MATCH("对"&amp;LEFT($C$5,2)&amp;"输出",标准坦克设计!$B$23:$U$23,0)))*(VLOOKUP($B187,INDIRECT($B$5&amp;"生成成长"),3))*(VLOOKUP($B$5,标准坦克设计!$B$14:$K$20,9)/30))</f>
        <v>54.273534462360239</v>
      </c>
      <c r="FH187" s="173">
        <f ca="1">(VLOOKUP(FH$72,INDIRECT($C$5&amp;"生成成长"),2))/((VLOOKUP($B187,INDIRECT($B$5&amp;"生成成长"),4))/(VLOOKUP(FH$72,INDIRECT($C$5&amp;"生成成长"),5))*(VLOOKUP($B$5,标准坦克设计!$B$24:$U$30,MATCH("对"&amp;LEFT($C$5,2)&amp;"输出",标准坦克设计!$B$23:$U$23,0)))*(VLOOKUP($B187,INDIRECT($B$5&amp;"生成成长"),3))*(VLOOKUP($B$5,标准坦克设计!$B$14:$K$20,9)/30))</f>
        <v>57.604796455942335</v>
      </c>
      <c r="FI187" s="173">
        <f ca="1">(VLOOKUP(FI$72,INDIRECT($C$5&amp;"生成成长"),2))/((VLOOKUP($B187,INDIRECT($B$5&amp;"生成成长"),4))/(VLOOKUP(FI$72,INDIRECT($C$5&amp;"生成成长"),5))*(VLOOKUP($B$5,标准坦克设计!$B$24:$U$30,MATCH("对"&amp;LEFT($C$5,2)&amp;"输出",标准坦克设计!$B$23:$U$23,0)))*(VLOOKUP($B187,INDIRECT($B$5&amp;"生成成长"),3))*(VLOOKUP($B$5,标准坦克设计!$B$14:$K$20,9)/30))</f>
        <v>61.035271292403145</v>
      </c>
      <c r="FJ187" s="173">
        <f ca="1">(VLOOKUP(FJ$72,INDIRECT($C$5&amp;"生成成长"),2))/((VLOOKUP($B187,INDIRECT($B$5&amp;"生成成长"),4))/(VLOOKUP(FJ$72,INDIRECT($C$5&amp;"生成成长"),5))*(VLOOKUP($B$5,标准坦克设计!$B$24:$U$30,MATCH("对"&amp;LEFT($C$5,2)&amp;"输出",标准坦克设计!$B$23:$U$23,0)))*(VLOOKUP($B187,INDIRECT($B$5&amp;"生成成长"),3))*(VLOOKUP($B$5,标准坦克设计!$B$14:$K$20,9)/30))</f>
        <v>64.564958971742684</v>
      </c>
      <c r="FK187" s="173">
        <f ca="1">(VLOOKUP(FK$72,INDIRECT($C$5&amp;"生成成长"),2))/((VLOOKUP($B187,INDIRECT($B$5&amp;"生成成长"),4))/(VLOOKUP(FK$72,INDIRECT($C$5&amp;"生成成长"),5))*(VLOOKUP($B$5,标准坦克设计!$B$24:$U$30,MATCH("对"&amp;LEFT($C$5,2)&amp;"输出",标准坦克设计!$B$23:$U$23,0)))*(VLOOKUP($B187,INDIRECT($B$5&amp;"生成成长"),3))*(VLOOKUP($B$5,标准坦克设计!$B$14:$K$20,9)/30))</f>
        <v>68.193859493960971</v>
      </c>
    </row>
    <row r="188" spans="1:167" x14ac:dyDescent="0.15">
      <c r="A188" s="171" t="str">
        <f t="shared" si="12"/>
        <v>T3高品质5级</v>
      </c>
      <c r="B188" s="172">
        <v>30305</v>
      </c>
      <c r="C188" s="173">
        <f ca="1">(VLOOKUP(C$72,INDIRECT($C$5&amp;"生成成长"),2))/((VLOOKUP($B188,INDIRECT($B$5&amp;"生成成长"),4))/(VLOOKUP(C$72,INDIRECT($C$5&amp;"生成成长"),5))*(VLOOKUP($B$5,标准坦克设计!$B$24:$U$30,MATCH("对"&amp;LEFT($C$5,2)&amp;"输出",标准坦克设计!$B$23:$U$23,0)))*(VLOOKUP($B188,INDIRECT($B$5&amp;"生成成长"),3))*(VLOOKUP($B$5,标准坦克设计!$B$14:$K$20,9)/30))</f>
        <v>2.6595173892390003</v>
      </c>
      <c r="D188" s="173">
        <f ca="1">(VLOOKUP(D$72,INDIRECT($C$5&amp;"生成成长"),2))/((VLOOKUP($B188,INDIRECT($B$5&amp;"生成成长"),4))/(VLOOKUP(D$72,INDIRECT($C$5&amp;"生成成长"),5))*(VLOOKUP($B$5,标准坦克设计!$B$24:$U$30,MATCH("对"&amp;LEFT($C$5,2)&amp;"输出",标准坦克设计!$B$23:$U$23,0)))*(VLOOKUP($B188,INDIRECT($B$5&amp;"生成成长"),3))*(VLOOKUP($B$5,标准坦克设计!$B$14:$K$20,9)/30))</f>
        <v>2.9882337385489404</v>
      </c>
      <c r="E188" s="173">
        <f ca="1">(VLOOKUP(E$72,INDIRECT($C$5&amp;"生成成长"),2))/((VLOOKUP($B188,INDIRECT($B$5&amp;"生成成长"),4))/(VLOOKUP(E$72,INDIRECT($C$5&amp;"生成成长"),5))*(VLOOKUP($B$5,标准坦克设计!$B$24:$U$30,MATCH("对"&amp;LEFT($C$5,2)&amp;"输出",标准坦克设计!$B$23:$U$23,0)))*(VLOOKUP($B188,INDIRECT($B$5&amp;"生成成长"),3))*(VLOOKUP($B$5,标准坦克设计!$B$14:$K$20,9)/30))</f>
        <v>3.3360986130614019</v>
      </c>
      <c r="F188" s="173">
        <f ca="1">(VLOOKUP(F$72,INDIRECT($C$5&amp;"生成成长"),2))/((VLOOKUP($B188,INDIRECT($B$5&amp;"生成成长"),4))/(VLOOKUP(F$72,INDIRECT($C$5&amp;"生成成长"),5))*(VLOOKUP($B$5,标准坦克设计!$B$24:$U$30,MATCH("对"&amp;LEFT($C$5,2)&amp;"输出",标准坦克设计!$B$23:$U$23,0)))*(VLOOKUP($B188,INDIRECT($B$5&amp;"生成成长"),3))*(VLOOKUP($B$5,标准坦克设计!$B$14:$K$20,9)/30))</f>
        <v>3.703112012776383</v>
      </c>
      <c r="G188" s="173">
        <f ca="1">(VLOOKUP(G$72,INDIRECT($C$5&amp;"生成成长"),2))/((VLOOKUP($B188,INDIRECT($B$5&amp;"生成成长"),4))/(VLOOKUP(G$72,INDIRECT($C$5&amp;"生成成长"),5))*(VLOOKUP($B$5,标准坦克设计!$B$24:$U$30,MATCH("对"&amp;LEFT($C$5,2)&amp;"输出",标准坦克设计!$B$23:$U$23,0)))*(VLOOKUP($B188,INDIRECT($B$5&amp;"生成成长"),3))*(VLOOKUP($B$5,标准坦克设计!$B$14:$K$20,9)/30))</f>
        <v>4.0892739376938856</v>
      </c>
      <c r="H188" s="173">
        <f ca="1">(VLOOKUP(H$72,INDIRECT($C$5&amp;"生成成长"),2))/((VLOOKUP($B188,INDIRECT($B$5&amp;"生成成长"),4))/(VLOOKUP(H$72,INDIRECT($C$5&amp;"生成成长"),5))*(VLOOKUP($B$5,标准坦克设计!$B$24:$U$30,MATCH("对"&amp;LEFT($C$5,2)&amp;"输出",标准坦克设计!$B$23:$U$23,0)))*(VLOOKUP($B188,INDIRECT($B$5&amp;"生成成长"),3))*(VLOOKUP($B$5,标准坦克设计!$B$14:$K$20,9)/30))</f>
        <v>3.5786465989599985</v>
      </c>
      <c r="I188" s="173">
        <f ca="1">(VLOOKUP(I$72,INDIRECT($C$5&amp;"生成成长"),2))/((VLOOKUP($B188,INDIRECT($B$5&amp;"生成成长"),4))/(VLOOKUP(I$72,INDIRECT($C$5&amp;"生成成长"),5))*(VLOOKUP($B$5,标准坦克设计!$B$24:$U$30,MATCH("对"&amp;LEFT($C$5,2)&amp;"输出",标准坦克设计!$B$23:$U$23,0)))*(VLOOKUP($B188,INDIRECT($B$5&amp;"生成成长"),3))*(VLOOKUP($B$5,标准坦克设计!$B$14:$K$20,9)/30))</f>
        <v>4.0892739376938856</v>
      </c>
      <c r="J188" s="173">
        <f ca="1">(VLOOKUP(J$72,INDIRECT($C$5&amp;"生成成长"),2))/((VLOOKUP($B188,INDIRECT($B$5&amp;"生成成长"),4))/(VLOOKUP(J$72,INDIRECT($C$5&amp;"生成成长"),5))*(VLOOKUP($B$5,标准坦克设计!$B$24:$U$30,MATCH("对"&amp;LEFT($C$5,2)&amp;"输出",标准坦克设计!$B$23:$U$23,0)))*(VLOOKUP($B188,INDIRECT($B$5&amp;"生成成长"),3))*(VLOOKUP($B$5,标准坦克设计!$B$14:$K$20,9)/30))</f>
        <v>4.6339430990100334</v>
      </c>
      <c r="K188" s="173">
        <f ca="1">(VLOOKUP(K$72,INDIRECT($C$5&amp;"生成成长"),2))/((VLOOKUP($B188,INDIRECT($B$5&amp;"生成成长"),4))/(VLOOKUP(K$72,INDIRECT($C$5&amp;"生成成长"),5))*(VLOOKUP($B$5,标准坦克设计!$B$24:$U$30,MATCH("对"&amp;LEFT($C$5,2)&amp;"输出",标准坦克设计!$B$23:$U$23,0)))*(VLOOKUP($B188,INDIRECT($B$5&amp;"生成成长"),3))*(VLOOKUP($B$5,标准坦克设计!$B$14:$K$20,9)/30))</f>
        <v>5.2126540829084398</v>
      </c>
      <c r="L188" s="173">
        <f ca="1">(VLOOKUP(L$72,INDIRECT($C$5&amp;"生成成长"),2))/((VLOOKUP($B188,INDIRECT($B$5&amp;"生成成长"),4))/(VLOOKUP(L$72,INDIRECT($C$5&amp;"生成成长"),5))*(VLOOKUP($B$5,标准坦克设计!$B$24:$U$30,MATCH("对"&amp;LEFT($C$5,2)&amp;"输出",标准坦克设计!$B$23:$U$23,0)))*(VLOOKUP($B188,INDIRECT($B$5&amp;"生成成长"),3))*(VLOOKUP($B$5,标准坦克设计!$B$14:$K$20,9)/30))</f>
        <v>5.8254068893891056</v>
      </c>
      <c r="M188" s="173">
        <f ca="1">(VLOOKUP(M$72,INDIRECT($C$5&amp;"生成成长"),2))/((VLOOKUP($B188,INDIRECT($B$5&amp;"生成成长"),4))/(VLOOKUP(M$72,INDIRECT($C$5&amp;"生成成长"),5))*(VLOOKUP($B$5,标准坦克设计!$B$24:$U$30,MATCH("对"&amp;LEFT($C$5,2)&amp;"输出",标准坦克设计!$B$23:$U$23,0)))*(VLOOKUP($B188,INDIRECT($B$5&amp;"生成成长"),3))*(VLOOKUP($B$5,标准坦克设计!$B$14:$K$20,9)/30))</f>
        <v>6.4722015184520298</v>
      </c>
      <c r="N188" s="173">
        <f ca="1">(VLOOKUP(N$72,INDIRECT($C$5&amp;"生成成长"),2))/((VLOOKUP($B188,INDIRECT($B$5&amp;"生成成长"),4))/(VLOOKUP(N$72,INDIRECT($C$5&amp;"生成成长"),5))*(VLOOKUP($B$5,标准坦克设计!$B$24:$U$30,MATCH("对"&amp;LEFT($C$5,2)&amp;"输出",标准坦克设计!$B$23:$U$23,0)))*(VLOOKUP($B188,INDIRECT($B$5&amp;"生成成长"),3))*(VLOOKUP($B$5,标准坦克设计!$B$14:$K$20,9)/30))</f>
        <v>7.1530379700972153</v>
      </c>
      <c r="O188" s="173">
        <f ca="1">(VLOOKUP(O$72,INDIRECT($C$5&amp;"生成成长"),2))/((VLOOKUP($B188,INDIRECT($B$5&amp;"生成成长"),4))/(VLOOKUP(O$72,INDIRECT($C$5&amp;"生成成长"),5))*(VLOOKUP($B$5,标准坦克设计!$B$24:$U$30,MATCH("对"&amp;LEFT($C$5,2)&amp;"输出",标准坦克设计!$B$23:$U$23,0)))*(VLOOKUP($B188,INDIRECT($B$5&amp;"生成成长"),3))*(VLOOKUP($B$5,标准坦克设计!$B$14:$K$20,9)/30))</f>
        <v>5.438447109254831</v>
      </c>
      <c r="P188" s="173">
        <f ca="1">(VLOOKUP(P$72,INDIRECT($C$5&amp;"生成成长"),2))/((VLOOKUP($B188,INDIRECT($B$5&amp;"生成成长"),4))/(VLOOKUP(P$72,INDIRECT($C$5&amp;"生成成长"),5))*(VLOOKUP($B$5,标准坦克设计!$B$24:$U$30,MATCH("对"&amp;LEFT($C$5,2)&amp;"输出",标准坦克设计!$B$23:$U$23,0)))*(VLOOKUP($B188,INDIRECT($B$5&amp;"生成成长"),3))*(VLOOKUP($B$5,标准坦克设计!$B$14:$K$20,9)/30))</f>
        <v>6.1445489760977843</v>
      </c>
      <c r="Q188" s="173">
        <f ca="1">(VLOOKUP(Q$72,INDIRECT($C$5&amp;"生成成长"),2))/((VLOOKUP($B188,INDIRECT($B$5&amp;"生成成长"),4))/(VLOOKUP(Q$72,INDIRECT($C$5&amp;"生成成长"),5))*(VLOOKUP($B$5,标准坦克设计!$B$24:$U$30,MATCH("对"&amp;LEFT($C$5,2)&amp;"输出",标准坦克设计!$B$23:$U$23,0)))*(VLOOKUP($B188,INDIRECT($B$5&amp;"生成成长"),3))*(VLOOKUP($B$5,标准坦克设计!$B$14:$K$20,9)/30))</f>
        <v>6.8937350246464115</v>
      </c>
      <c r="R188" s="173">
        <f ca="1">(VLOOKUP(R$72,INDIRECT($C$5&amp;"生成成长"),2))/((VLOOKUP($B188,INDIRECT($B$5&amp;"生成成长"),4))/(VLOOKUP(R$72,INDIRECT($C$5&amp;"生成成长"),5))*(VLOOKUP($B$5,标准坦克设计!$B$24:$U$30,MATCH("对"&amp;LEFT($C$5,2)&amp;"输出",标准坦克设计!$B$23:$U$23,0)))*(VLOOKUP($B188,INDIRECT($B$5&amp;"生成成长"),3))*(VLOOKUP($B$5,标准坦克设计!$B$14:$K$20,9)/30))</f>
        <v>7.6860052549007101</v>
      </c>
      <c r="S188" s="173">
        <f ca="1">(VLOOKUP(S$72,INDIRECT($C$5&amp;"生成成长"),2))/((VLOOKUP($B188,INDIRECT($B$5&amp;"生成成长"),4))/(VLOOKUP(S$72,INDIRECT($C$5&amp;"生成成长"),5))*(VLOOKUP($B$5,标准坦克设计!$B$24:$U$30,MATCH("对"&amp;LEFT($C$5,2)&amp;"输出",标准坦克设计!$B$23:$U$23,0)))*(VLOOKUP($B188,INDIRECT($B$5&amp;"生成成长"),3))*(VLOOKUP($B$5,标准坦克设计!$B$14:$K$20,9)/30))</f>
        <v>8.521359666860679</v>
      </c>
      <c r="T188" s="173">
        <f ca="1">(VLOOKUP(T$72,INDIRECT($C$5&amp;"生成成长"),2))/((VLOOKUP($B188,INDIRECT($B$5&amp;"生成成长"),4))/(VLOOKUP(T$72,INDIRECT($C$5&amp;"生成成长"),5))*(VLOOKUP($B$5,标准坦克设计!$B$24:$U$30,MATCH("对"&amp;LEFT($C$5,2)&amp;"输出",标准坦克设计!$B$23:$U$23,0)))*(VLOOKUP($B188,INDIRECT($B$5&amp;"生成成长"),3))*(VLOOKUP($B$5,标准坦克设计!$B$14:$K$20,9)/30))</f>
        <v>9.3997982605263211</v>
      </c>
      <c r="U188" s="173">
        <f ca="1">(VLOOKUP(U$72,INDIRECT($C$5&amp;"生成成长"),2))/((VLOOKUP($B188,INDIRECT($B$5&amp;"生成成长"),4))/(VLOOKUP(U$72,INDIRECT($C$5&amp;"生成成长"),5))*(VLOOKUP($B$5,标准坦克设计!$B$24:$U$30,MATCH("对"&amp;LEFT($C$5,2)&amp;"输出",标准坦克设计!$B$23:$U$23,0)))*(VLOOKUP($B188,INDIRECT($B$5&amp;"生成成长"),3))*(VLOOKUP($B$5,标准坦克设计!$B$14:$K$20,9)/30))</f>
        <v>10.321321035897634</v>
      </c>
      <c r="V188" s="173">
        <f ca="1">(VLOOKUP(V$72,INDIRECT($C$5&amp;"生成成长"),2))/((VLOOKUP($B188,INDIRECT($B$5&amp;"生成成长"),4))/(VLOOKUP(V$72,INDIRECT($C$5&amp;"生成成长"),5))*(VLOOKUP($B$5,标准坦克设计!$B$24:$U$30,MATCH("对"&amp;LEFT($C$5,2)&amp;"输出",标准坦克设计!$B$23:$U$23,0)))*(VLOOKUP($B188,INDIRECT($B$5&amp;"生成成长"),3))*(VLOOKUP($B$5,标准坦克设计!$B$14:$K$20,9)/30))</f>
        <v>11.285927992974619</v>
      </c>
      <c r="W188" s="173">
        <f ca="1">(VLOOKUP(W$72,INDIRECT($C$5&amp;"生成成长"),2))/((VLOOKUP($B188,INDIRECT($B$5&amp;"生成成长"),4))/(VLOOKUP(W$72,INDIRECT($C$5&amp;"生成成长"),5))*(VLOOKUP($B$5,标准坦克设计!$B$24:$U$30,MATCH("对"&amp;LEFT($C$5,2)&amp;"输出",标准坦克设计!$B$23:$U$23,0)))*(VLOOKUP($B188,INDIRECT($B$5&amp;"生成成长"),3))*(VLOOKUP($B$5,标准坦克设计!$B$14:$K$20,9)/30))</f>
        <v>12.293619131757277</v>
      </c>
      <c r="X188" s="173">
        <f ca="1">(VLOOKUP(X$72,INDIRECT($C$5&amp;"生成成长"),2))/((VLOOKUP($B188,INDIRECT($B$5&amp;"生成成长"),4))/(VLOOKUP(X$72,INDIRECT($C$5&amp;"生成成长"),5))*(VLOOKUP($B$5,标准坦克设计!$B$24:$U$30,MATCH("对"&amp;LEFT($C$5,2)&amp;"输出",标准坦克设计!$B$23:$U$23,0)))*(VLOOKUP($B188,INDIRECT($B$5&amp;"生成成长"),3))*(VLOOKUP($B$5,标准坦克设计!$B$14:$K$20,9)/30))</f>
        <v>8.9064577848224875</v>
      </c>
      <c r="Y188" s="173">
        <f ca="1">(VLOOKUP(Y$72,INDIRECT($C$5&amp;"生成成长"),2))/((VLOOKUP($B188,INDIRECT($B$5&amp;"生成成长"),4))/(VLOOKUP(Y$72,INDIRECT($C$5&amp;"生成成长"),5))*(VLOOKUP($B$5,标准坦克设计!$B$24:$U$30,MATCH("对"&amp;LEFT($C$5,2)&amp;"输出",标准坦克设计!$B$23:$U$23,0)))*(VLOOKUP($B188,INDIRECT($B$5&amp;"生成成长"),3))*(VLOOKUP($B$5,标准坦克设计!$B$14:$K$20,9)/30))</f>
        <v>9.906436323176349</v>
      </c>
      <c r="Z188" s="173">
        <f ca="1">(VLOOKUP(Z$72,INDIRECT($C$5&amp;"生成成长"),2))/((VLOOKUP($B188,INDIRECT($B$5&amp;"生成成长"),4))/(VLOOKUP(Z$72,INDIRECT($C$5&amp;"生成成长"),5))*(VLOOKUP($B$5,标准坦克设计!$B$24:$U$30,MATCH("对"&amp;LEFT($C$5,2)&amp;"输出",标准坦克设计!$B$23:$U$23,0)))*(VLOOKUP($B188,INDIRECT($B$5&amp;"生成成长"),3))*(VLOOKUP($B$5,标准坦克设计!$B$14:$K$20,9)/30))</f>
        <v>10.959605209314995</v>
      </c>
      <c r="AA188" s="173">
        <f ca="1">(VLOOKUP(AA$72,INDIRECT($C$5&amp;"生成成长"),2))/((VLOOKUP($B188,INDIRECT($B$5&amp;"生成成长"),4))/(VLOOKUP(AA$72,INDIRECT($C$5&amp;"生成成长"),5))*(VLOOKUP($B$5,标准坦克设计!$B$24:$U$30,MATCH("对"&amp;LEFT($C$5,2)&amp;"输出",标准坦克设计!$B$23:$U$23,0)))*(VLOOKUP($B188,INDIRECT($B$5&amp;"生成成长"),3))*(VLOOKUP($B$5,标准坦克设计!$B$14:$K$20,9)/30))</f>
        <v>12.065964443238419</v>
      </c>
      <c r="AB188" s="173">
        <f ca="1">(VLOOKUP(AB$72,INDIRECT($C$5&amp;"生成成长"),2))/((VLOOKUP($B188,INDIRECT($B$5&amp;"生成成长"),4))/(VLOOKUP(AB$72,INDIRECT($C$5&amp;"生成成长"),5))*(VLOOKUP($B$5,标准坦克设计!$B$24:$U$30,MATCH("对"&amp;LEFT($C$5,2)&amp;"输出",标准坦克设计!$B$23:$U$23,0)))*(VLOOKUP($B188,INDIRECT($B$5&amp;"生成成长"),3))*(VLOOKUP($B$5,标准坦克设计!$B$14:$K$20,9)/30))</f>
        <v>13.225514024946621</v>
      </c>
      <c r="AC188" s="173">
        <f ca="1">(VLOOKUP(AC$72,INDIRECT($C$5&amp;"生成成长"),2))/((VLOOKUP($B188,INDIRECT($B$5&amp;"生成成长"),4))/(VLOOKUP(AC$72,INDIRECT($C$5&amp;"生成成长"),5))*(VLOOKUP($B$5,标准坦克设计!$B$24:$U$30,MATCH("对"&amp;LEFT($C$5,2)&amp;"输出",标准坦克设计!$B$23:$U$23,0)))*(VLOOKUP($B188,INDIRECT($B$5&amp;"生成成长"),3))*(VLOOKUP($B$5,标准坦克设计!$B$14:$K$20,9)/30))</f>
        <v>14.438253954439608</v>
      </c>
      <c r="AD188" s="173">
        <f ca="1">(VLOOKUP(AD$72,INDIRECT($C$5&amp;"生成成长"),2))/((VLOOKUP($B188,INDIRECT($B$5&amp;"生成成长"),4))/(VLOOKUP(AD$72,INDIRECT($C$5&amp;"生成成长"),5))*(VLOOKUP($B$5,标准坦克设计!$B$24:$U$30,MATCH("对"&amp;LEFT($C$5,2)&amp;"输出",标准坦克设计!$B$23:$U$23,0)))*(VLOOKUP($B188,INDIRECT($B$5&amp;"生成成长"),3))*(VLOOKUP($B$5,标准坦克设计!$B$14:$K$20,9)/30))</f>
        <v>15.70418423171737</v>
      </c>
      <c r="AE188" s="173">
        <f ca="1">(VLOOKUP(AE$72,INDIRECT($C$5&amp;"生成成长"),2))/((VLOOKUP($B188,INDIRECT($B$5&amp;"生成成长"),4))/(VLOOKUP(AE$72,INDIRECT($C$5&amp;"生成成长"),5))*(VLOOKUP($B$5,标准坦克设计!$B$24:$U$30,MATCH("对"&amp;LEFT($C$5,2)&amp;"输出",标准坦克设计!$B$23:$U$23,0)))*(VLOOKUP($B188,INDIRECT($B$5&amp;"生成成长"),3))*(VLOOKUP($B$5,标准坦克设计!$B$14:$K$20,9)/30))</f>
        <v>17.023304856779916</v>
      </c>
      <c r="AF188" s="173">
        <f ca="1">(VLOOKUP(AF$72,INDIRECT($C$5&amp;"生成成长"),2))/((VLOOKUP($B188,INDIRECT($B$5&amp;"生成成长"),4))/(VLOOKUP(AF$72,INDIRECT($C$5&amp;"生成成长"),5))*(VLOOKUP($B$5,标准坦克设计!$B$24:$U$30,MATCH("对"&amp;LEFT($C$5,2)&amp;"输出",标准坦克设计!$B$23:$U$23,0)))*(VLOOKUP($B188,INDIRECT($B$5&amp;"生成成长"),3))*(VLOOKUP($B$5,标准坦克设计!$B$14:$K$20,9)/30))</f>
        <v>18.395615829627236</v>
      </c>
      <c r="AG188" s="173">
        <f ca="1">(VLOOKUP(AG$72,INDIRECT($C$5&amp;"生成成长"),2))/((VLOOKUP($B188,INDIRECT($B$5&amp;"生成成长"),4))/(VLOOKUP(AG$72,INDIRECT($C$5&amp;"生成成长"),5))*(VLOOKUP($B$5,标准坦克设计!$B$24:$U$30,MATCH("对"&amp;LEFT($C$5,2)&amp;"输出",标准坦克设计!$B$23:$U$23,0)))*(VLOOKUP($B188,INDIRECT($B$5&amp;"生成成长"),3))*(VLOOKUP($B$5,标准坦克设计!$B$14:$K$20,9)/30))</f>
        <v>19.82111715025934</v>
      </c>
      <c r="AH188" s="173">
        <f ca="1">(VLOOKUP(AH$72,INDIRECT($C$5&amp;"生成成长"),2))/((VLOOKUP($B188,INDIRECT($B$5&amp;"生成成长"),4))/(VLOOKUP(AH$72,INDIRECT($C$5&amp;"生成成长"),5))*(VLOOKUP($B$5,标准坦克设计!$B$24:$U$30,MATCH("对"&amp;LEFT($C$5,2)&amp;"输出",标准坦克设计!$B$23:$U$23,0)))*(VLOOKUP($B188,INDIRECT($B$5&amp;"生成成长"),3))*(VLOOKUP($B$5,标准坦克设计!$B$14:$K$20,9)/30))</f>
        <v>21.299808818676226</v>
      </c>
      <c r="AI188" s="173">
        <f ca="1">(VLOOKUP(AI$72,INDIRECT($C$5&amp;"生成成长"),2))/((VLOOKUP($B188,INDIRECT($B$5&amp;"生成成长"),4))/(VLOOKUP(AI$72,INDIRECT($C$5&amp;"生成成长"),5))*(VLOOKUP($B$5,标准坦克设计!$B$24:$U$30,MATCH("对"&amp;LEFT($C$5,2)&amp;"输出",标准坦克设计!$B$23:$U$23,0)))*(VLOOKUP($B188,INDIRECT($B$5&amp;"生成成长"),3))*(VLOOKUP($B$5,标准坦克设计!$B$14:$K$20,9)/30))</f>
        <v>15.064570299605389</v>
      </c>
      <c r="AJ188" s="173">
        <f ca="1">(VLOOKUP(AJ$72,INDIRECT($C$5&amp;"生成成长"),2))/((VLOOKUP($B188,INDIRECT($B$5&amp;"生成成长"),4))/(VLOOKUP(AJ$72,INDIRECT($C$5&amp;"生成成长"),5))*(VLOOKUP($B$5,标准坦克设计!$B$24:$U$30,MATCH("对"&amp;LEFT($C$5,2)&amp;"输出",标准坦克设计!$B$23:$U$23,0)))*(VLOOKUP($B188,INDIRECT($B$5&amp;"生成成长"),3))*(VLOOKUP($B$5,标准坦克设计!$B$14:$K$20,9)/30))</f>
        <v>16.489273765020723</v>
      </c>
      <c r="AK188" s="173">
        <f ca="1">(VLOOKUP(AK$72,INDIRECT($C$5&amp;"生成成长"),2))/((VLOOKUP($B188,INDIRECT($B$5&amp;"生成成长"),4))/(VLOOKUP(AK$72,INDIRECT($C$5&amp;"生成成长"),5))*(VLOOKUP($B$5,标准坦克设计!$B$24:$U$30,MATCH("对"&amp;LEFT($C$5,2)&amp;"输出",标准坦克设计!$B$23:$U$23,0)))*(VLOOKUP($B188,INDIRECT($B$5&amp;"生成成长"),3))*(VLOOKUP($B$5,标准坦克设计!$B$14:$K$20,9)/30))</f>
        <v>17.978337551255642</v>
      </c>
      <c r="AL188" s="173">
        <f ca="1">(VLOOKUP(AL$72,INDIRECT($C$5&amp;"生成成长"),2))/((VLOOKUP($B188,INDIRECT($B$5&amp;"生成成长"),4))/(VLOOKUP(AL$72,INDIRECT($C$5&amp;"生成成长"),5))*(VLOOKUP($B$5,标准坦克设计!$B$24:$U$30,MATCH("对"&amp;LEFT($C$5,2)&amp;"输出",标准坦克设计!$B$23:$U$23,0)))*(VLOOKUP($B188,INDIRECT($B$5&amp;"生成成长"),3))*(VLOOKUP($B$5,标准坦克设计!$B$14:$K$20,9)/30))</f>
        <v>19.531761658310142</v>
      </c>
      <c r="AM188" s="173">
        <f ca="1">(VLOOKUP(AM$72,INDIRECT($C$5&amp;"生成成长"),2))/((VLOOKUP($B188,INDIRECT($B$5&amp;"生成成长"),4))/(VLOOKUP(AM$72,INDIRECT($C$5&amp;"生成成长"),5))*(VLOOKUP($B$5,标准坦克设计!$B$24:$U$30,MATCH("对"&amp;LEFT($C$5,2)&amp;"输出",标准坦克设计!$B$23:$U$23,0)))*(VLOOKUP($B188,INDIRECT($B$5&amp;"生成成长"),3))*(VLOOKUP($B$5,标准坦克设计!$B$14:$K$20,9)/30))</f>
        <v>21.14954608618422</v>
      </c>
      <c r="AN188" s="173">
        <f ca="1">(VLOOKUP(AN$72,INDIRECT($C$5&amp;"生成成长"),2))/((VLOOKUP($B188,INDIRECT($B$5&amp;"生成成长"),4))/(VLOOKUP(AN$72,INDIRECT($C$5&amp;"生成成长"),5))*(VLOOKUP($B$5,标准坦克设计!$B$24:$U$30,MATCH("对"&amp;LEFT($C$5,2)&amp;"输出",标准坦克设计!$B$23:$U$23,0)))*(VLOOKUP($B188,INDIRECT($B$5&amp;"生成成长"),3))*(VLOOKUP($B$5,标准坦克设计!$B$14:$K$20,9)/30))</f>
        <v>22.831690834877893</v>
      </c>
      <c r="AO188" s="173">
        <f ca="1">(VLOOKUP(AO$72,INDIRECT($C$5&amp;"生成成长"),2))/((VLOOKUP($B188,INDIRECT($B$5&amp;"生成成长"),4))/(VLOOKUP(AO$72,INDIRECT($C$5&amp;"生成成长"),5))*(VLOOKUP($B$5,标准坦克设计!$B$24:$U$30,MATCH("对"&amp;LEFT($C$5,2)&amp;"输出",标准坦克设计!$B$23:$U$23,0)))*(VLOOKUP($B188,INDIRECT($B$5&amp;"生成成长"),3))*(VLOOKUP($B$5,标准坦克设计!$B$14:$K$20,9)/30))</f>
        <v>24.578195904391137</v>
      </c>
      <c r="AP188" s="173">
        <f ca="1">(VLOOKUP(AP$72,INDIRECT($C$5&amp;"生成成长"),2))/((VLOOKUP($B188,INDIRECT($B$5&amp;"生成成长"),4))/(VLOOKUP(AP$72,INDIRECT($C$5&amp;"生成成长"),5))*(VLOOKUP($B$5,标准坦克设计!$B$24:$U$30,MATCH("对"&amp;LEFT($C$5,2)&amp;"输出",标准坦克设计!$B$23:$U$23,0)))*(VLOOKUP($B188,INDIRECT($B$5&amp;"生成成长"),3))*(VLOOKUP($B$5,标准坦克设计!$B$14:$K$20,9)/30))</f>
        <v>26.389061294723977</v>
      </c>
      <c r="AQ188" s="173">
        <f ca="1">(VLOOKUP(AQ$72,INDIRECT($C$5&amp;"生成成长"),2))/((VLOOKUP($B188,INDIRECT($B$5&amp;"生成成长"),4))/(VLOOKUP(AQ$72,INDIRECT($C$5&amp;"生成成长"),5))*(VLOOKUP($B$5,标准坦克设计!$B$24:$U$30,MATCH("对"&amp;LEFT($C$5,2)&amp;"输出",标准坦克设计!$B$23:$U$23,0)))*(VLOOKUP($B188,INDIRECT($B$5&amp;"生成成长"),3))*(VLOOKUP($B$5,标准坦克设计!$B$14:$K$20,9)/30))</f>
        <v>28.264287005876394</v>
      </c>
      <c r="AR188" s="173">
        <f ca="1">(VLOOKUP(AR$72,INDIRECT($C$5&amp;"生成成长"),2))/((VLOOKUP($B188,INDIRECT($B$5&amp;"生成成长"),4))/(VLOOKUP(AR$72,INDIRECT($C$5&amp;"生成成长"),5))*(VLOOKUP($B$5,标准坦克设计!$B$24:$U$30,MATCH("对"&amp;LEFT($C$5,2)&amp;"输出",标准坦克设计!$B$23:$U$23,0)))*(VLOOKUP($B188,INDIRECT($B$5&amp;"生成成长"),3))*(VLOOKUP($B$5,标准坦克设计!$B$14:$K$20,9)/30))</f>
        <v>30.203873037848396</v>
      </c>
      <c r="AS188" s="173">
        <f ca="1">(VLOOKUP(AS$72,INDIRECT($C$5&amp;"生成成长"),2))/((VLOOKUP($B188,INDIRECT($B$5&amp;"生成成长"),4))/(VLOOKUP(AS$72,INDIRECT($C$5&amp;"生成成长"),5))*(VLOOKUP($B$5,标准坦克设计!$B$24:$U$30,MATCH("对"&amp;LEFT($C$5,2)&amp;"输出",标准坦克设计!$B$23:$U$23,0)))*(VLOOKUP($B188,INDIRECT($B$5&amp;"生成成长"),3))*(VLOOKUP($B$5,标准坦克设计!$B$14:$K$20,9)/30))</f>
        <v>32.207819390639983</v>
      </c>
      <c r="AT188" s="173">
        <f ca="1">(VLOOKUP(AT$72,INDIRECT($C$5&amp;"生成成长"),2))/((VLOOKUP($B188,INDIRECT($B$5&amp;"生成成长"),4))/(VLOOKUP(AT$72,INDIRECT($C$5&amp;"生成成长"),5))*(VLOOKUP($B$5,标准坦克设计!$B$24:$U$30,MATCH("对"&amp;LEFT($C$5,2)&amp;"输出",标准坦克设计!$B$23:$U$23,0)))*(VLOOKUP($B188,INDIRECT($B$5&amp;"生成成长"),3))*(VLOOKUP($B$5,标准坦克设计!$B$14:$K$20,9)/30))</f>
        <v>34.276126064251152</v>
      </c>
      <c r="AU188" s="173">
        <f ca="1">(VLOOKUP(AU$72,INDIRECT($C$5&amp;"生成成长"),2))/((VLOOKUP($B188,INDIRECT($B$5&amp;"生成成长"),4))/(VLOOKUP(AU$72,INDIRECT($C$5&amp;"生成成长"),5))*(VLOOKUP($B$5,标准坦克设计!$B$24:$U$30,MATCH("对"&amp;LEFT($C$5,2)&amp;"输出",标准坦克设计!$B$23:$U$23,0)))*(VLOOKUP($B188,INDIRECT($B$5&amp;"生成成长"),3))*(VLOOKUP($B$5,标准坦克设计!$B$14:$K$20,9)/30))</f>
        <v>36.408793058681908</v>
      </c>
      <c r="AV188" s="173">
        <f ca="1">(VLOOKUP(AV$72,INDIRECT($C$5&amp;"生成成长"),2))/((VLOOKUP($B188,INDIRECT($B$5&amp;"生成成长"),4))/(VLOOKUP(AV$72,INDIRECT($C$5&amp;"生成成长"),5))*(VLOOKUP($B$5,标准坦克设计!$B$24:$U$30,MATCH("对"&amp;LEFT($C$5,2)&amp;"输出",标准坦克设计!$B$23:$U$23,0)))*(VLOOKUP($B188,INDIRECT($B$5&amp;"生成成长"),3))*(VLOOKUP($B$5,标准坦克设计!$B$14:$K$20,9)/30))</f>
        <v>3.703112012776383</v>
      </c>
      <c r="AW188" s="173">
        <f ca="1">(VLOOKUP(AW$72,INDIRECT($C$5&amp;"生成成长"),2))/((VLOOKUP($B188,INDIRECT($B$5&amp;"生成成长"),4))/(VLOOKUP(AW$72,INDIRECT($C$5&amp;"生成成长"),5))*(VLOOKUP($B$5,标准坦克设计!$B$24:$U$30,MATCH("对"&amp;LEFT($C$5,2)&amp;"输出",标准坦克设计!$B$23:$U$23,0)))*(VLOOKUP($B188,INDIRECT($B$5&amp;"生成成长"),3))*(VLOOKUP($B$5,标准坦克设计!$B$14:$K$20,9)/30))</f>
        <v>4.2222498071558361</v>
      </c>
      <c r="AX188" s="173">
        <f ca="1">(VLOOKUP(AX$72,INDIRECT($C$5&amp;"生成成长"),2))/((VLOOKUP($B188,INDIRECT($B$5&amp;"生成成长"),4))/(VLOOKUP(AX$72,INDIRECT($C$5&amp;"生成成长"),5))*(VLOOKUP($B$5,标准坦克设计!$B$24:$U$30,MATCH("对"&amp;LEFT($C$5,2)&amp;"输出",标准坦克设计!$B$23:$U$23,0)))*(VLOOKUP($B188,INDIRECT($B$5&amp;"生成成长"),3))*(VLOOKUP($B$5,标准坦克设计!$B$14:$K$20,9)/30))</f>
        <v>4.7754294241175481</v>
      </c>
      <c r="AY188" s="173">
        <f ca="1">(VLOOKUP(AY$72,INDIRECT($C$5&amp;"生成成长"),2))/((VLOOKUP($B188,INDIRECT($B$5&amp;"生成成长"),4))/(VLOOKUP(AY$72,INDIRECT($C$5&amp;"生成成长"),5))*(VLOOKUP($B$5,标准坦克设计!$B$24:$U$30,MATCH("对"&amp;LEFT($C$5,2)&amp;"输出",标准坦克设计!$B$23:$U$23,0)))*(VLOOKUP($B188,INDIRECT($B$5&amp;"生成成长"),3))*(VLOOKUP($B$5,标准坦克设计!$B$14:$K$20,9)/30))</f>
        <v>5.3626508636615196</v>
      </c>
      <c r="AZ188" s="173">
        <f ca="1">(VLOOKUP(AZ$72,INDIRECT($C$5&amp;"生成成长"),2))/((VLOOKUP($B188,INDIRECT($B$5&amp;"生成成长"),4))/(VLOOKUP(AZ$72,INDIRECT($C$5&amp;"生成成长"),5))*(VLOOKUP($B$5,标准坦克设计!$B$24:$U$30,MATCH("对"&amp;LEFT($C$5,2)&amp;"输出",标准坦克设计!$B$23:$U$23,0)))*(VLOOKUP($B188,INDIRECT($B$5&amp;"生成成长"),3))*(VLOOKUP($B$5,标准坦克设计!$B$14:$K$20,9)/30))</f>
        <v>5.9839141257877495</v>
      </c>
      <c r="BA188" s="173">
        <f ca="1">(VLOOKUP(BA$72,INDIRECT($C$5&amp;"生成成长"),2))/((VLOOKUP($B188,INDIRECT($B$5&amp;"生成成长"),4))/(VLOOKUP(BA$72,INDIRECT($C$5&amp;"生成成长"),5))*(VLOOKUP($B$5,标准坦克设计!$B$24:$U$30,MATCH("对"&amp;LEFT($C$5,2)&amp;"输出",标准坦克设计!$B$23:$U$23,0)))*(VLOOKUP($B188,INDIRECT($B$5&amp;"生成成长"),3))*(VLOOKUP($B$5,标准坦克设计!$B$14:$K$20,9)/30))</f>
        <v>6.6392192104962398</v>
      </c>
      <c r="BB188" s="173">
        <f ca="1">(VLOOKUP(BB$72,INDIRECT($C$5&amp;"生成成长"),2))/((VLOOKUP($B188,INDIRECT($B$5&amp;"生成成长"),4))/(VLOOKUP(BB$72,INDIRECT($C$5&amp;"生成成长"),5))*(VLOOKUP($B$5,标准坦克设计!$B$24:$U$30,MATCH("对"&amp;LEFT($C$5,2)&amp;"输出",标准坦克设计!$B$23:$U$23,0)))*(VLOOKUP($B188,INDIRECT($B$5&amp;"生成成长"),3))*(VLOOKUP($B$5,标准坦克设计!$B$14:$K$20,9)/30))</f>
        <v>7.3285661177869876</v>
      </c>
      <c r="BC188" s="173">
        <f ca="1">(VLOOKUP(BC$72,INDIRECT($C$5&amp;"生成成长"),2))/((VLOOKUP($B188,INDIRECT($B$5&amp;"生成成长"),4))/(VLOOKUP(BC$72,INDIRECT($C$5&amp;"生成成长"),5))*(VLOOKUP($B$5,标准坦克设计!$B$24:$U$30,MATCH("对"&amp;LEFT($C$5,2)&amp;"输出",标准坦克设计!$B$23:$U$23,0)))*(VLOOKUP($B188,INDIRECT($B$5&amp;"生成成长"),3))*(VLOOKUP($B$5,标准坦克设计!$B$14:$K$20,9)/30))</f>
        <v>8.0519548476599958</v>
      </c>
      <c r="BD188" s="173">
        <f ca="1">(VLOOKUP(BD$72,INDIRECT($C$5&amp;"生成成长"),2))/((VLOOKUP($B188,INDIRECT($B$5&amp;"生成成长"),4))/(VLOOKUP(BD$72,INDIRECT($C$5&amp;"生成成长"),5))*(VLOOKUP($B$5,标准坦克设计!$B$24:$U$30,MATCH("对"&amp;LEFT($C$5,2)&amp;"输出",标准坦克设计!$B$23:$U$23,0)))*(VLOOKUP($B188,INDIRECT($B$5&amp;"生成成长"),3))*(VLOOKUP($B$5,标准坦克设计!$B$14:$K$20,9)/30))</f>
        <v>8.9064577848224875</v>
      </c>
      <c r="BE188" s="173">
        <f ca="1">(VLOOKUP(BE$72,INDIRECT($C$5&amp;"生成成长"),2))/((VLOOKUP($B188,INDIRECT($B$5&amp;"生成成长"),4))/(VLOOKUP(BE$72,INDIRECT($C$5&amp;"生成成长"),5))*(VLOOKUP($B$5,标准坦克设计!$B$24:$U$30,MATCH("对"&amp;LEFT($C$5,2)&amp;"输出",标准坦克设计!$B$23:$U$23,0)))*(VLOOKUP($B188,INDIRECT($B$5&amp;"生成成长"),3))*(VLOOKUP($B$5,标准坦克设计!$B$14:$K$20,9)/30))</f>
        <v>9.8040449036906487</v>
      </c>
      <c r="BF188" s="173">
        <f ca="1">(VLOOKUP(BF$72,INDIRECT($C$5&amp;"生成成长"),2))/((VLOOKUP($B188,INDIRECT($B$5&amp;"生成成长"),4))/(VLOOKUP(BF$72,INDIRECT($C$5&amp;"生成成长"),5))*(VLOOKUP($B$5,标准坦克设计!$B$24:$U$30,MATCH("对"&amp;LEFT($C$5,2)&amp;"输出",标准坦克设计!$B$23:$U$23,0)))*(VLOOKUP($B188,INDIRECT($B$5&amp;"生成成长"),3))*(VLOOKUP($B$5,标准坦克设计!$B$14:$K$20,9)/30))</f>
        <v>10.744716204264483</v>
      </c>
      <c r="BG188" s="173">
        <f ca="1">(VLOOKUP(BG$72,INDIRECT($C$5&amp;"生成成长"),2))/((VLOOKUP($B188,INDIRECT($B$5&amp;"生成成长"),4))/(VLOOKUP(BG$72,INDIRECT($C$5&amp;"生成成长"),5))*(VLOOKUP($B$5,标准坦克设计!$B$24:$U$30,MATCH("对"&amp;LEFT($C$5,2)&amp;"输出",标准坦克设计!$B$23:$U$23,0)))*(VLOOKUP($B188,INDIRECT($B$5&amp;"生成成长"),3))*(VLOOKUP($B$5,标准坦克设计!$B$14:$K$20,9)/30))</f>
        <v>11.728471686543992</v>
      </c>
      <c r="BH188" s="173">
        <f ca="1">(VLOOKUP(BH$72,INDIRECT($C$5&amp;"生成成长"),2))/((VLOOKUP($B188,INDIRECT($B$5&amp;"生成成长"),4))/(VLOOKUP(BH$72,INDIRECT($C$5&amp;"生成成长"),5))*(VLOOKUP($B$5,标准坦克设计!$B$24:$U$30,MATCH("对"&amp;LEFT($C$5,2)&amp;"输出",标准坦克设计!$B$23:$U$23,0)))*(VLOOKUP($B188,INDIRECT($B$5&amp;"生成成长"),3))*(VLOOKUP($B$5,标准坦克设计!$B$14:$K$20,9)/30))</f>
        <v>5.6690272669018524</v>
      </c>
      <c r="BI188" s="173">
        <f ca="1">(VLOOKUP(BI$72,INDIRECT($C$5&amp;"生成成长"),2))/((VLOOKUP($B188,INDIRECT($B$5&amp;"生成成长"),4))/(VLOOKUP(BI$72,INDIRECT($C$5&amp;"生成成长"),5))*(VLOOKUP($B$5,标准坦克设计!$B$24:$U$30,MATCH("对"&amp;LEFT($C$5,2)&amp;"输出",标准坦克设计!$B$23:$U$23,0)))*(VLOOKUP($B188,INDIRECT($B$5&amp;"生成成长"),3))*(VLOOKUP($B$5,标准坦克设计!$B$14:$K$20,9)/30))</f>
        <v>6.3894905276466973</v>
      </c>
      <c r="BJ188" s="173">
        <f ca="1">(VLOOKUP(BJ$72,INDIRECT($C$5&amp;"生成成长"),2))/((VLOOKUP($B188,INDIRECT($B$5&amp;"生成成长"),4))/(VLOOKUP(BJ$72,INDIRECT($C$5&amp;"生成成长"),5))*(VLOOKUP($B$5,标准坦克设计!$B$24:$U$30,MATCH("对"&amp;LEFT($C$5,2)&amp;"输出",标准坦克设计!$B$23:$U$23,0)))*(VLOOKUP($B188,INDIRECT($B$5&amp;"生成成长"),3))*(VLOOKUP($B$5,标准坦克设计!$B$14:$K$20,9)/30))</f>
        <v>7.1530379700972153</v>
      </c>
      <c r="BK188" s="173">
        <f ca="1">(VLOOKUP(BK$72,INDIRECT($C$5&amp;"生成成长"),2))/((VLOOKUP($B188,INDIRECT($B$5&amp;"生成成长"),4))/(VLOOKUP(BK$72,INDIRECT($C$5&amp;"生成成长"),5))*(VLOOKUP($B$5,标准坦克设计!$B$24:$U$30,MATCH("对"&amp;LEFT($C$5,2)&amp;"输出",标准坦克设计!$B$23:$U$23,0)))*(VLOOKUP($B188,INDIRECT($B$5&amp;"生成成长"),3))*(VLOOKUP($B$5,标准坦克设计!$B$14:$K$20,9)/30))</f>
        <v>7.9596695942534037</v>
      </c>
      <c r="BL188" s="173">
        <f ca="1">(VLOOKUP(BL$72,INDIRECT($C$5&amp;"生成成长"),2))/((VLOOKUP($B188,INDIRECT($B$5&amp;"生成成长"),4))/(VLOOKUP(BL$72,INDIRECT($C$5&amp;"生成成长"),5))*(VLOOKUP($B$5,标准坦克设计!$B$24:$U$30,MATCH("对"&amp;LEFT($C$5,2)&amp;"输出",标准坦克设计!$B$23:$U$23,0)))*(VLOOKUP($B188,INDIRECT($B$5&amp;"生成成长"),3))*(VLOOKUP($B$5,标准坦克设计!$B$14:$K$20,9)/30))</f>
        <v>8.8093854001152643</v>
      </c>
      <c r="BM188" s="173">
        <f ca="1">(VLOOKUP(BM$72,INDIRECT($C$5&amp;"生成成长"),2))/((VLOOKUP($B188,INDIRECT($B$5&amp;"生成成长"),4))/(VLOOKUP(BM$72,INDIRECT($C$5&amp;"生成成长"),5))*(VLOOKUP($B$5,标准坦克设计!$B$24:$U$30,MATCH("对"&amp;LEFT($C$5,2)&amp;"输出",标准坦克设计!$B$23:$U$23,0)))*(VLOOKUP($B188,INDIRECT($B$5&amp;"生成成长"),3))*(VLOOKUP($B$5,标准坦克设计!$B$14:$K$20,9)/30))</f>
        <v>9.7021853876827944</v>
      </c>
      <c r="BN188" s="173">
        <f ca="1">(VLOOKUP(BN$72,INDIRECT($C$5&amp;"生成成长"),2))/((VLOOKUP($B188,INDIRECT($B$5&amp;"生成成长"),4))/(VLOOKUP(BN$72,INDIRECT($C$5&amp;"生成成长"),5))*(VLOOKUP($B$5,标准坦克设计!$B$24:$U$30,MATCH("对"&amp;LEFT($C$5,2)&amp;"输出",标准坦克设计!$B$23:$U$23,0)))*(VLOOKUP($B188,INDIRECT($B$5&amp;"生成成长"),3))*(VLOOKUP($B$5,标准坦克设计!$B$14:$K$20,9)/30))</f>
        <v>10.638069556956001</v>
      </c>
      <c r="BO188" s="173">
        <f ca="1">(VLOOKUP(BO$72,INDIRECT($C$5&amp;"生成成长"),2))/((VLOOKUP($B188,INDIRECT($B$5&amp;"生成成长"),4))/(VLOOKUP(BO$72,INDIRECT($C$5&amp;"生成成长"),5))*(VLOOKUP($B$5,标准坦克设计!$B$24:$U$30,MATCH("对"&amp;LEFT($C$5,2)&amp;"输出",标准坦克设计!$B$23:$U$23,0)))*(VLOOKUP($B188,INDIRECT($B$5&amp;"生成成长"),3))*(VLOOKUP($B$5,标准坦克设计!$B$14:$K$20,9)/30))</f>
        <v>11.617037907934874</v>
      </c>
      <c r="BP188" s="173">
        <f ca="1">(VLOOKUP(BP$72,INDIRECT($C$5&amp;"生成成长"),2))/((VLOOKUP($B188,INDIRECT($B$5&amp;"生成成长"),4))/(VLOOKUP(BP$72,INDIRECT($C$5&amp;"生成成长"),5))*(VLOOKUP($B$5,标准坦克设计!$B$24:$U$30,MATCH("对"&amp;LEFT($C$5,2)&amp;"输出",标准坦克设计!$B$23:$U$23,0)))*(VLOOKUP($B188,INDIRECT($B$5&amp;"生成成长"),3))*(VLOOKUP($B$5,标准坦克设计!$B$14:$K$20,9)/30))</f>
        <v>12.639090440619421</v>
      </c>
      <c r="BQ188" s="173">
        <f ca="1">(VLOOKUP(BQ$72,INDIRECT($C$5&amp;"生成成长"),2))/((VLOOKUP($B188,INDIRECT($B$5&amp;"生成成长"),4))/(VLOOKUP(BQ$72,INDIRECT($C$5&amp;"生成成长"),5))*(VLOOKUP($B$5,标准坦克设计!$B$24:$U$30,MATCH("对"&amp;LEFT($C$5,2)&amp;"输出",标准坦克设计!$B$23:$U$23,0)))*(VLOOKUP($B188,INDIRECT($B$5&amp;"生成成长"),3))*(VLOOKUP($B$5,标准坦克设计!$B$14:$K$20,9)/30))</f>
        <v>13.704227155009642</v>
      </c>
      <c r="BR188" s="173">
        <f ca="1">(VLOOKUP(BR$72,INDIRECT($C$5&amp;"生成成长"),2))/((VLOOKUP($B188,INDIRECT($B$5&amp;"生成成长"),4))/(VLOOKUP(BR$72,INDIRECT($C$5&amp;"生成成长"),5))*(VLOOKUP($B$5,标准坦克设计!$B$24:$U$30,MATCH("对"&amp;LEFT($C$5,2)&amp;"输出",标准坦克设计!$B$23:$U$23,0)))*(VLOOKUP($B188,INDIRECT($B$5&amp;"生成成长"),3))*(VLOOKUP($B$5,标准坦克设计!$B$14:$K$20,9)/30))</f>
        <v>14.938243223616537</v>
      </c>
      <c r="BS188" s="173">
        <f ca="1">(VLOOKUP(BS$72,INDIRECT($C$5&amp;"生成成长"),2))/((VLOOKUP($B188,INDIRECT($B$5&amp;"生成成长"),4))/(VLOOKUP(BS$72,INDIRECT($C$5&amp;"生成成长"),5))*(VLOOKUP($B$5,标准坦克设计!$B$24:$U$30,MATCH("对"&amp;LEFT($C$5,2)&amp;"输出",标准坦克设计!$B$23:$U$23,0)))*(VLOOKUP($B188,INDIRECT($B$5&amp;"生成成长"),3))*(VLOOKUP($B$5,标准坦克设计!$B$14:$K$20,9)/30))</f>
        <v>16.225449640008215</v>
      </c>
      <c r="BT188" s="173">
        <f ca="1">(VLOOKUP(BT$72,INDIRECT($C$5&amp;"生成成长"),2))/((VLOOKUP($B188,INDIRECT($B$5&amp;"生成成长"),4))/(VLOOKUP(BT$72,INDIRECT($C$5&amp;"生成成长"),5))*(VLOOKUP($B$5,标准坦克设计!$B$24:$U$30,MATCH("对"&amp;LEFT($C$5,2)&amp;"输出",标准坦克设计!$B$23:$U$23,0)))*(VLOOKUP($B188,INDIRECT($B$5&amp;"生成成长"),3))*(VLOOKUP($B$5,标准坦克设计!$B$14:$K$20,9)/30))</f>
        <v>17.565846404184668</v>
      </c>
      <c r="BU188" s="173">
        <f ca="1">(VLOOKUP(BU$72,INDIRECT($C$5&amp;"生成成长"),2))/((VLOOKUP($B188,INDIRECT($B$5&amp;"生成成长"),4))/(VLOOKUP(BU$72,INDIRECT($C$5&amp;"生成成长"),5))*(VLOOKUP($B$5,标准坦克设计!$B$24:$U$30,MATCH("对"&amp;LEFT($C$5,2)&amp;"输出",标准坦克设计!$B$23:$U$23,0)))*(VLOOKUP($B188,INDIRECT($B$5&amp;"生成成长"),3))*(VLOOKUP($B$5,标准坦克设计!$B$14:$K$20,9)/30))</f>
        <v>18.959433516145907</v>
      </c>
      <c r="BV188" s="173">
        <f ca="1">(VLOOKUP(BV$72,INDIRECT($C$5&amp;"生成成长"),2))/((VLOOKUP($B188,INDIRECT($B$5&amp;"生成成长"),4))/(VLOOKUP(BV$72,INDIRECT($C$5&amp;"生成成长"),5))*(VLOOKUP($B$5,标准坦克设计!$B$24:$U$30,MATCH("对"&amp;LEFT($C$5,2)&amp;"输出",标准坦克设计!$B$23:$U$23,0)))*(VLOOKUP($B188,INDIRECT($B$5&amp;"生成成长"),3))*(VLOOKUP($B$5,标准坦克设计!$B$14:$K$20,9)/30))</f>
        <v>20.40621097589192</v>
      </c>
      <c r="BW188" s="173">
        <f ca="1">(VLOOKUP(BW$72,INDIRECT($C$5&amp;"生成成长"),2))/((VLOOKUP($B188,INDIRECT($B$5&amp;"生成成长"),4))/(VLOOKUP(BW$72,INDIRECT($C$5&amp;"生成成长"),5))*(VLOOKUP($B$5,标准坦克设计!$B$24:$U$30,MATCH("对"&amp;LEFT($C$5,2)&amp;"输出",标准坦克设计!$B$23:$U$23,0)))*(VLOOKUP($B188,INDIRECT($B$5&amp;"生成成长"),3))*(VLOOKUP($B$5,标准坦克设计!$B$14:$K$20,9)/30))</f>
        <v>9.3000663584298575</v>
      </c>
      <c r="BX188" s="173">
        <f ca="1">(VLOOKUP(BX$72,INDIRECT($C$5&amp;"生成成长"),2))/((VLOOKUP($B188,INDIRECT($B$5&amp;"生成成长"),4))/(VLOOKUP(BX$72,INDIRECT($C$5&amp;"生成成长"),5))*(VLOOKUP($B$5,标准坦克设计!$B$24:$U$30,MATCH("对"&amp;LEFT($C$5,2)&amp;"输出",标准坦克设计!$B$23:$U$23,0)))*(VLOOKUP($B188,INDIRECT($B$5&amp;"生成成长"),3))*(VLOOKUP($B$5,标准坦克设计!$B$14:$K$20,9)/30))</f>
        <v>10.321321035897634</v>
      </c>
      <c r="BY188" s="173">
        <f ca="1">(VLOOKUP(BY$72,INDIRECT($C$5&amp;"生成成长"),2))/((VLOOKUP($B188,INDIRECT($B$5&amp;"生成成长"),4))/(VLOOKUP(BY$72,INDIRECT($C$5&amp;"生成成长"),5))*(VLOOKUP($B$5,标准坦克设计!$B$24:$U$30,MATCH("对"&amp;LEFT($C$5,2)&amp;"输出",标准坦克设计!$B$23:$U$23,0)))*(VLOOKUP($B188,INDIRECT($B$5&amp;"生成成长"),3))*(VLOOKUP($B$5,标准坦克设计!$B$14:$K$20,9)/30))</f>
        <v>11.395766061150191</v>
      </c>
      <c r="BZ188" s="173">
        <f ca="1">(VLOOKUP(BZ$72,INDIRECT($C$5&amp;"生成成长"),2))/((VLOOKUP($B188,INDIRECT($B$5&amp;"生成成长"),4))/(VLOOKUP(BZ$72,INDIRECT($C$5&amp;"生成成长"),5))*(VLOOKUP($B$5,标准坦克设计!$B$24:$U$30,MATCH("对"&amp;LEFT($C$5,2)&amp;"输出",标准坦克设计!$B$23:$U$23,0)))*(VLOOKUP($B188,INDIRECT($B$5&amp;"生成成长"),3))*(VLOOKUP($B$5,标准坦克设计!$B$14:$K$20,9)/30))</f>
        <v>12.523401434187527</v>
      </c>
      <c r="CA188" s="173">
        <f ca="1">(VLOOKUP(CA$72,INDIRECT($C$5&amp;"生成成长"),2))/((VLOOKUP($B188,INDIRECT($B$5&amp;"生成成长"),4))/(VLOOKUP(CA$72,INDIRECT($C$5&amp;"生成成长"),5))*(VLOOKUP($B$5,标准坦克设计!$B$24:$U$30,MATCH("对"&amp;LEFT($C$5,2)&amp;"输出",标准坦克设计!$B$23:$U$23,0)))*(VLOOKUP($B188,INDIRECT($B$5&amp;"生成成长"),3))*(VLOOKUP($B$5,标准坦克设计!$B$14:$K$20,9)/30))</f>
        <v>13.704227155009642</v>
      </c>
      <c r="CB188" s="173">
        <f ca="1">(VLOOKUP(CB$72,INDIRECT($C$5&amp;"生成成长"),2))/((VLOOKUP($B188,INDIRECT($B$5&amp;"生成成长"),4))/(VLOOKUP(CB$72,INDIRECT($C$5&amp;"生成成长"),5))*(VLOOKUP($B$5,标准坦克设计!$B$24:$U$30,MATCH("对"&amp;LEFT($C$5,2)&amp;"输出",标准坦克设计!$B$23:$U$23,0)))*(VLOOKUP($B188,INDIRECT($B$5&amp;"生成成长"),3))*(VLOOKUP($B$5,标准坦克设计!$B$14:$K$20,9)/30))</f>
        <v>14.938243223616537</v>
      </c>
      <c r="CC188" s="173">
        <f ca="1">(VLOOKUP(CC$72,INDIRECT($C$5&amp;"生成成长"),2))/((VLOOKUP($B188,INDIRECT($B$5&amp;"生成成长"),4))/(VLOOKUP(CC$72,INDIRECT($C$5&amp;"生成成长"),5))*(VLOOKUP($B$5,标准坦克设计!$B$24:$U$30,MATCH("对"&amp;LEFT($C$5,2)&amp;"输出",标准坦克设计!$B$23:$U$23,0)))*(VLOOKUP($B188,INDIRECT($B$5&amp;"生成成长"),3))*(VLOOKUP($B$5,标准坦克设计!$B$14:$K$20,9)/30))</f>
        <v>16.225449640008215</v>
      </c>
      <c r="CD188" s="173">
        <f ca="1">(VLOOKUP(CD$72,INDIRECT($C$5&amp;"生成成长"),2))/((VLOOKUP($B188,INDIRECT($B$5&amp;"生成成长"),4))/(VLOOKUP(CD$72,INDIRECT($C$5&amp;"生成成长"),5))*(VLOOKUP($B$5,标准坦克设计!$B$24:$U$30,MATCH("对"&amp;LEFT($C$5,2)&amp;"输出",标准坦克设计!$B$23:$U$23,0)))*(VLOOKUP($B188,INDIRECT($B$5&amp;"生成成长"),3))*(VLOOKUP($B$5,标准坦克设计!$B$14:$K$20,9)/30))</f>
        <v>17.565846404184668</v>
      </c>
      <c r="CE188" s="173">
        <f ca="1">(VLOOKUP(CE$72,INDIRECT($C$5&amp;"生成成长"),2))/((VLOOKUP($B188,INDIRECT($B$5&amp;"生成成长"),4))/(VLOOKUP(CE$72,INDIRECT($C$5&amp;"生成成长"),5))*(VLOOKUP($B$5,标准坦克设计!$B$24:$U$30,MATCH("对"&amp;LEFT($C$5,2)&amp;"输出",标准坦克设计!$B$23:$U$23,0)))*(VLOOKUP($B188,INDIRECT($B$5&amp;"生成成长"),3))*(VLOOKUP($B$5,标准坦克设计!$B$14:$K$20,9)/30))</f>
        <v>18.959433516145907</v>
      </c>
      <c r="CF188" s="173">
        <f ca="1">(VLOOKUP(CF$72,INDIRECT($C$5&amp;"生成成长"),2))/((VLOOKUP($B188,INDIRECT($B$5&amp;"生成成长"),4))/(VLOOKUP(CF$72,INDIRECT($C$5&amp;"生成成长"),5))*(VLOOKUP($B$5,标准坦克设计!$B$24:$U$30,MATCH("对"&amp;LEFT($C$5,2)&amp;"输出",标准坦克设计!$B$23:$U$23,0)))*(VLOOKUP($B188,INDIRECT($B$5&amp;"生成成长"),3))*(VLOOKUP($B$5,标准坦克设计!$B$14:$K$20,9)/30))</f>
        <v>20.40621097589192</v>
      </c>
      <c r="CG188" s="173">
        <f ca="1">(VLOOKUP(CG$72,INDIRECT($C$5&amp;"生成成长"),2))/((VLOOKUP($B188,INDIRECT($B$5&amp;"生成成长"),4))/(VLOOKUP(CG$72,INDIRECT($C$5&amp;"生成成长"),5))*(VLOOKUP($B$5,标准坦克设计!$B$24:$U$30,MATCH("对"&amp;LEFT($C$5,2)&amp;"输出",标准坦克设计!$B$23:$U$23,0)))*(VLOOKUP($B188,INDIRECT($B$5&amp;"生成成长"),3))*(VLOOKUP($B$5,标准坦克设计!$B$14:$K$20,9)/30))</f>
        <v>21.906178783422718</v>
      </c>
      <c r="CH188" s="173">
        <f ca="1">(VLOOKUP(CH$72,INDIRECT($C$5&amp;"生成成长"),2))/((VLOOKUP($B188,INDIRECT($B$5&amp;"生成成长"),4))/(VLOOKUP(CH$72,INDIRECT($C$5&amp;"生成成长"),5))*(VLOOKUP($B$5,标准坦克设计!$B$24:$U$30,MATCH("对"&amp;LEFT($C$5,2)&amp;"输出",标准坦克设计!$B$23:$U$23,0)))*(VLOOKUP($B188,INDIRECT($B$5&amp;"生成成长"),3))*(VLOOKUP($B$5,标准坦克设计!$B$14:$K$20,9)/30))</f>
        <v>23.459336938738293</v>
      </c>
      <c r="CI188" s="173">
        <f ca="1">(VLOOKUP(CI$72,INDIRECT($C$5&amp;"生成成长"),2))/((VLOOKUP($B188,INDIRECT($B$5&amp;"生成成长"),4))/(VLOOKUP(CI$72,INDIRECT($C$5&amp;"生成成长"),5))*(VLOOKUP($B$5,标准坦克设计!$B$24:$U$30,MATCH("对"&amp;LEFT($C$5,2)&amp;"输出",标准坦克设计!$B$23:$U$23,0)))*(VLOOKUP($B188,INDIRECT($B$5&amp;"生成成长"),3))*(VLOOKUP($B$5,标准坦克设计!$B$14:$K$20,9)/30))</f>
        <v>25.229245761276847</v>
      </c>
      <c r="CJ188" s="173">
        <f ca="1">(VLOOKUP(CJ$72,INDIRECT($C$5&amp;"生成成长"),2))/((VLOOKUP($B188,INDIRECT($B$5&amp;"生成成长"),4))/(VLOOKUP(CJ$72,INDIRECT($C$5&amp;"生成成长"),5))*(VLOOKUP($B$5,标准坦克设计!$B$24:$U$30,MATCH("对"&amp;LEFT($C$5,2)&amp;"输出",标准坦克设计!$B$23:$U$23,0)))*(VLOOKUP($B188,INDIRECT($B$5&amp;"生成成长"),3))*(VLOOKUP($B$5,标准坦克设计!$B$14:$K$20,9)/30))</f>
        <v>27.063514904634985</v>
      </c>
      <c r="CK188" s="173">
        <f ca="1">(VLOOKUP(CK$72,INDIRECT($C$5&amp;"生成成长"),2))/((VLOOKUP($B188,INDIRECT($B$5&amp;"生成成长"),4))/(VLOOKUP(CK$72,INDIRECT($C$5&amp;"生成成长"),5))*(VLOOKUP($B$5,标准坦克设计!$B$24:$U$30,MATCH("对"&amp;LEFT($C$5,2)&amp;"输出",标准坦克设计!$B$23:$U$23,0)))*(VLOOKUP($B188,INDIRECT($B$5&amp;"生成成长"),3))*(VLOOKUP($B$5,标准坦克设计!$B$14:$K$20,9)/30))</f>
        <v>28.962144368812716</v>
      </c>
      <c r="CL188" s="173">
        <f ca="1">(VLOOKUP(CL$72,INDIRECT($C$5&amp;"生成成长"),2))/((VLOOKUP($B188,INDIRECT($B$5&amp;"生成成长"),4))/(VLOOKUP(CL$72,INDIRECT($C$5&amp;"生成成长"),5))*(VLOOKUP($B$5,标准坦克设计!$B$24:$U$30,MATCH("对"&amp;LEFT($C$5,2)&amp;"输出",标准坦克设计!$B$23:$U$23,0)))*(VLOOKUP($B188,INDIRECT($B$5&amp;"生成成长"),3))*(VLOOKUP($B$5,标准坦克设计!$B$14:$K$20,9)/30))</f>
        <v>30.925134153810021</v>
      </c>
      <c r="CM188" s="173">
        <f ca="1">(VLOOKUP(CM$72,INDIRECT($C$5&amp;"生成成长"),2))/((VLOOKUP($B188,INDIRECT($B$5&amp;"生成成长"),4))/(VLOOKUP(CM$72,INDIRECT($C$5&amp;"生成成长"),5))*(VLOOKUP($B$5,标准坦克设计!$B$24:$U$30,MATCH("对"&amp;LEFT($C$5,2)&amp;"输出",标准坦克设计!$B$23:$U$23,0)))*(VLOOKUP($B188,INDIRECT($B$5&amp;"生成成长"),3))*(VLOOKUP($B$5,标准坦克设计!$B$14:$K$20,9)/30))</f>
        <v>32.952484259626914</v>
      </c>
      <c r="CN188" s="173">
        <f ca="1">(VLOOKUP(CN$72,INDIRECT($C$5&amp;"生成成长"),2))/((VLOOKUP($B188,INDIRECT($B$5&amp;"生成成长"),4))/(VLOOKUP(CN$72,INDIRECT($C$5&amp;"生成成长"),5))*(VLOOKUP($B$5,标准坦克设计!$B$24:$U$30,MATCH("对"&amp;LEFT($C$5,2)&amp;"输出",标准坦克设计!$B$23:$U$23,0)))*(VLOOKUP($B188,INDIRECT($B$5&amp;"生成成长"),3))*(VLOOKUP($B$5,标准坦克设计!$B$14:$K$20,9)/30))</f>
        <v>35.044194686263381</v>
      </c>
      <c r="CO188" s="173">
        <f ca="1">(VLOOKUP(CO$72,INDIRECT($C$5&amp;"生成成长"),2))/((VLOOKUP($B188,INDIRECT($B$5&amp;"生成成长"),4))/(VLOOKUP(CO$72,INDIRECT($C$5&amp;"生成成长"),5))*(VLOOKUP($B$5,标准坦克设计!$B$24:$U$30,MATCH("对"&amp;LEFT($C$5,2)&amp;"输出",标准坦克设计!$B$23:$U$23,0)))*(VLOOKUP($B188,INDIRECT($B$5&amp;"生成成长"),3))*(VLOOKUP($B$5,标准坦克设计!$B$14:$K$20,9)/30))</f>
        <v>15.70418423171737</v>
      </c>
      <c r="CP188" s="173">
        <f ca="1">(VLOOKUP(CP$72,INDIRECT($C$5&amp;"生成成长"),2))/((VLOOKUP($B188,INDIRECT($B$5&amp;"生成成长"),4))/(VLOOKUP(CP$72,INDIRECT($C$5&amp;"生成成长"),5))*(VLOOKUP($B$5,标准坦克设计!$B$24:$U$30,MATCH("对"&amp;LEFT($C$5,2)&amp;"输出",标准坦克设计!$B$23:$U$23,0)))*(VLOOKUP($B188,INDIRECT($B$5&amp;"生成成长"),3))*(VLOOKUP($B$5,标准坦克设计!$B$14:$K$20,9)/30))</f>
        <v>17.158142388414333</v>
      </c>
      <c r="CQ188" s="173">
        <f ca="1">(VLOOKUP(CQ$72,INDIRECT($C$5&amp;"生成成长"),2))/((VLOOKUP($B188,INDIRECT($B$5&amp;"生成成长"),4))/(VLOOKUP(CQ$72,INDIRECT($C$5&amp;"生成成长"),5))*(VLOOKUP($B$5,标准坦克设计!$B$24:$U$30,MATCH("对"&amp;LEFT($C$5,2)&amp;"输出",标准坦克设计!$B$23:$U$23,0)))*(VLOOKUP($B188,INDIRECT($B$5&amp;"生成成长"),3))*(VLOOKUP($B$5,标准坦克设计!$B$14:$K$20,9)/30))</f>
        <v>18.676460865930878</v>
      </c>
      <c r="CR188" s="173">
        <f ca="1">(VLOOKUP(CR$72,INDIRECT($C$5&amp;"生成成长"),2))/((VLOOKUP($B188,INDIRECT($B$5&amp;"生成成长"),4))/(VLOOKUP(CR$72,INDIRECT($C$5&amp;"生成成长"),5))*(VLOOKUP($B$5,标准坦克设计!$B$24:$U$30,MATCH("对"&amp;LEFT($C$5,2)&amp;"输出",标准坦克设计!$B$23:$U$23,0)))*(VLOOKUP($B188,INDIRECT($B$5&amp;"生成成长"),3))*(VLOOKUP($B$5,标准坦克设计!$B$14:$K$20,9)/30))</f>
        <v>20.259139664267003</v>
      </c>
      <c r="CS188" s="173">
        <f ca="1">(VLOOKUP(CS$72,INDIRECT($C$5&amp;"生成成长"),2))/((VLOOKUP($B188,INDIRECT($B$5&amp;"生成成长"),4))/(VLOOKUP(CS$72,INDIRECT($C$5&amp;"生成成长"),5))*(VLOOKUP($B$5,标准坦克设计!$B$24:$U$30,MATCH("对"&amp;LEFT($C$5,2)&amp;"输出",标准坦克设计!$B$23:$U$23,0)))*(VLOOKUP($B188,INDIRECT($B$5&amp;"生成成长"),3))*(VLOOKUP($B$5,标准坦克设计!$B$14:$K$20,9)/30))</f>
        <v>21.906178783422718</v>
      </c>
      <c r="CT188" s="173">
        <f ca="1">(VLOOKUP(CT$72,INDIRECT($C$5&amp;"生成成长"),2))/((VLOOKUP($B188,INDIRECT($B$5&amp;"生成成长"),4))/(VLOOKUP(CT$72,INDIRECT($C$5&amp;"生成成长"),5))*(VLOOKUP($B$5,标准坦克设计!$B$24:$U$30,MATCH("对"&amp;LEFT($C$5,2)&amp;"输出",标准坦克设计!$B$23:$U$23,0)))*(VLOOKUP($B188,INDIRECT($B$5&amp;"生成成长"),3))*(VLOOKUP($B$5,标准坦克设计!$B$14:$K$20,9)/30))</f>
        <v>23.617578223398013</v>
      </c>
      <c r="CU188" s="173">
        <f ca="1">(VLOOKUP(CU$72,INDIRECT($C$5&amp;"生成成长"),2))/((VLOOKUP($B188,INDIRECT($B$5&amp;"生成成长"),4))/(VLOOKUP(CU$72,INDIRECT($C$5&amp;"生成成长"),5))*(VLOOKUP($B$5,标准坦克设计!$B$24:$U$30,MATCH("对"&amp;LEFT($C$5,2)&amp;"输出",标准坦克设计!$B$23:$U$23,0)))*(VLOOKUP($B188,INDIRECT($B$5&amp;"生成成长"),3))*(VLOOKUP($B$5,标准坦克设计!$B$14:$K$20,9)/30))</f>
        <v>25.393337984192893</v>
      </c>
      <c r="CV188" s="173">
        <f ca="1">(VLOOKUP(CV$72,INDIRECT($C$5&amp;"生成成长"),2))/((VLOOKUP($B188,INDIRECT($B$5&amp;"生成成长"),4))/(VLOOKUP(CV$72,INDIRECT($C$5&amp;"生成成长"),5))*(VLOOKUP($B$5,标准坦克设计!$B$24:$U$30,MATCH("对"&amp;LEFT($C$5,2)&amp;"输出",标准坦克设计!$B$23:$U$23,0)))*(VLOOKUP($B188,INDIRECT($B$5&amp;"生成成长"),3))*(VLOOKUP($B$5,标准坦克设计!$B$14:$K$20,9)/30))</f>
        <v>27.233458065807358</v>
      </c>
      <c r="CW188" s="173">
        <f ca="1">(VLOOKUP(CW$72,INDIRECT($C$5&amp;"生成成长"),2))/((VLOOKUP($B188,INDIRECT($B$5&amp;"生成成长"),4))/(VLOOKUP(CW$72,INDIRECT($C$5&amp;"生成成长"),5))*(VLOOKUP($B$5,标准坦克设计!$B$24:$U$30,MATCH("对"&amp;LEFT($C$5,2)&amp;"输出",标准坦克设计!$B$23:$U$23,0)))*(VLOOKUP($B188,INDIRECT($B$5&amp;"生成成长"),3))*(VLOOKUP($B$5,标准坦克设计!$B$14:$K$20,9)/30))</f>
        <v>29.137938468241408</v>
      </c>
      <c r="CX188" s="173">
        <f ca="1">(VLOOKUP(CX$72,INDIRECT($C$5&amp;"生成成长"),2))/((VLOOKUP($B188,INDIRECT($B$5&amp;"生成成长"),4))/(VLOOKUP(CX$72,INDIRECT($C$5&amp;"生成成长"),5))*(VLOOKUP($B$5,标准坦克设计!$B$24:$U$30,MATCH("对"&amp;LEFT($C$5,2)&amp;"输出",标准坦克设计!$B$23:$U$23,0)))*(VLOOKUP($B188,INDIRECT($B$5&amp;"生成成长"),3))*(VLOOKUP($B$5,标准坦克设计!$B$14:$K$20,9)/30))</f>
        <v>31.106779191495036</v>
      </c>
      <c r="CY188" s="173">
        <f ca="1">(VLOOKUP(CY$72,INDIRECT($C$5&amp;"生成成长"),2))/((VLOOKUP($B188,INDIRECT($B$5&amp;"生成成长"),4))/(VLOOKUP(CY$72,INDIRECT($C$5&amp;"生成成长"),5))*(VLOOKUP($B$5,标准坦克设计!$B$24:$U$30,MATCH("对"&amp;LEFT($C$5,2)&amp;"输出",标准坦克设计!$B$23:$U$23,0)))*(VLOOKUP($B188,INDIRECT($B$5&amp;"生成成长"),3))*(VLOOKUP($B$5,标准坦克设计!$B$14:$K$20,9)/30))</f>
        <v>33.139980235568245</v>
      </c>
      <c r="CZ188" s="173">
        <f ca="1">(VLOOKUP(CZ$72,INDIRECT($C$5&amp;"生成成长"),2))/((VLOOKUP($B188,INDIRECT($B$5&amp;"生成成长"),4))/(VLOOKUP(CZ$72,INDIRECT($C$5&amp;"生成成长"),5))*(VLOOKUP($B$5,标准坦克设计!$B$24:$U$30,MATCH("对"&amp;LEFT($C$5,2)&amp;"输出",标准坦克设计!$B$23:$U$23,0)))*(VLOOKUP($B188,INDIRECT($B$5&amp;"生成成长"),3))*(VLOOKUP($B$5,标准坦克设计!$B$14:$K$20,9)/30))</f>
        <v>35.237541600461057</v>
      </c>
      <c r="DA188" s="173">
        <f ca="1">(VLOOKUP(DA$72,INDIRECT($C$5&amp;"生成成长"),2))/((VLOOKUP($B188,INDIRECT($B$5&amp;"生成成长"),4))/(VLOOKUP(DA$72,INDIRECT($C$5&amp;"生成成长"),5))*(VLOOKUP($B$5,标准坦克设计!$B$24:$U$30,MATCH("对"&amp;LEFT($C$5,2)&amp;"输出",标准坦克设计!$B$23:$U$23,0)))*(VLOOKUP($B188,INDIRECT($B$5&amp;"生成成长"),3))*(VLOOKUP($B$5,标准坦克设计!$B$14:$K$20,9)/30))</f>
        <v>37.399463286173436</v>
      </c>
      <c r="DB188" s="173">
        <f ca="1">(VLOOKUP(DB$72,INDIRECT($C$5&amp;"生成成长"),2))/((VLOOKUP($B188,INDIRECT($B$5&amp;"生成成长"),4))/(VLOOKUP(DB$72,INDIRECT($C$5&amp;"生成成长"),5))*(VLOOKUP($B$5,标准坦克设计!$B$24:$U$30,MATCH("对"&amp;LEFT($C$5,2)&amp;"输出",标准坦克设计!$B$23:$U$23,0)))*(VLOOKUP($B188,INDIRECT($B$5&amp;"生成成长"),3))*(VLOOKUP($B$5,标准坦克设计!$B$14:$K$20,9)/30))</f>
        <v>39.625745292705396</v>
      </c>
      <c r="DC188" s="173">
        <f ca="1">(VLOOKUP(DC$72,INDIRECT($C$5&amp;"生成成长"),2))/((VLOOKUP($B188,INDIRECT($B$5&amp;"生成成长"),4))/(VLOOKUP(DC$72,INDIRECT($C$5&amp;"生成成长"),5))*(VLOOKUP($B$5,标准坦克设计!$B$24:$U$30,MATCH("对"&amp;LEFT($C$5,2)&amp;"输出",标准坦克设计!$B$23:$U$23,0)))*(VLOOKUP($B188,INDIRECT($B$5&amp;"生成成长"),3))*(VLOOKUP($B$5,标准坦克设计!$B$14:$K$20,9)/30))</f>
        <v>42.127819252501453</v>
      </c>
      <c r="DD188" s="173">
        <f ca="1">(VLOOKUP(DD$72,INDIRECT($C$5&amp;"生成成长"),2))/((VLOOKUP($B188,INDIRECT($B$5&amp;"生成成长"),4))/(VLOOKUP(DD$72,INDIRECT($C$5&amp;"生成成长"),5))*(VLOOKUP($B$5,标准坦克设计!$B$24:$U$30,MATCH("对"&amp;LEFT($C$5,2)&amp;"输出",标准坦克设计!$B$23:$U$23,0)))*(VLOOKUP($B188,INDIRECT($B$5&amp;"生成成长"),3))*(VLOOKUP($B$5,标准坦克设计!$B$14:$K$20,9)/30))</f>
        <v>44.706487313107594</v>
      </c>
      <c r="DE188" s="173">
        <f ca="1">(VLOOKUP(DE$72,INDIRECT($C$5&amp;"生成成长"),2))/((VLOOKUP($B188,INDIRECT($B$5&amp;"生成成长"),4))/(VLOOKUP(DE$72,INDIRECT($C$5&amp;"生成成长"),5))*(VLOOKUP($B$5,标准坦克设计!$B$24:$U$30,MATCH("对"&amp;LEFT($C$5,2)&amp;"输出",标准坦克设计!$B$23:$U$23,0)))*(VLOOKUP($B188,INDIRECT($B$5&amp;"生成成长"),3))*(VLOOKUP($B$5,标准坦克设计!$B$14:$K$20,9)/30))</f>
        <v>47.361749474523805</v>
      </c>
      <c r="DF188" s="173">
        <f ca="1">(VLOOKUP(DF$72,INDIRECT($C$5&amp;"生成成长"),2))/((VLOOKUP($B188,INDIRECT($B$5&amp;"生成成长"),4))/(VLOOKUP(DF$72,INDIRECT($C$5&amp;"生成成长"),5))*(VLOOKUP($B$5,标准坦克设计!$B$24:$U$30,MATCH("对"&amp;LEFT($C$5,2)&amp;"输出",标准坦克设计!$B$23:$U$23,0)))*(VLOOKUP($B188,INDIRECT($B$5&amp;"生成成长"),3))*(VLOOKUP($B$5,标准坦克设计!$B$14:$K$20,9)/30))</f>
        <v>50.093605736750106</v>
      </c>
      <c r="DG188" s="173">
        <f ca="1">(VLOOKUP(DG$72,INDIRECT($C$5&amp;"生成成长"),2))/((VLOOKUP($B188,INDIRECT($B$5&amp;"生成成长"),4))/(VLOOKUP(DG$72,INDIRECT($C$5&amp;"生成成长"),5))*(VLOOKUP($B$5,标准坦克设计!$B$24:$U$30,MATCH("对"&amp;LEFT($C$5,2)&amp;"输出",标准坦克设计!$B$23:$U$23,0)))*(VLOOKUP($B188,INDIRECT($B$5&amp;"生成成长"),3))*(VLOOKUP($B$5,标准坦克设计!$B$14:$K$20,9)/30))</f>
        <v>52.902056099786485</v>
      </c>
      <c r="DH188" s="173">
        <f ca="1">(VLOOKUP(DH$72,INDIRECT($C$5&amp;"生成成长"),2))/((VLOOKUP($B188,INDIRECT($B$5&amp;"生成成长"),4))/(VLOOKUP(DH$72,INDIRECT($C$5&amp;"生成成长"),5))*(VLOOKUP($B$5,标准坦克设计!$B$24:$U$30,MATCH("对"&amp;LEFT($C$5,2)&amp;"输出",标准坦克设计!$B$23:$U$23,0)))*(VLOOKUP($B188,INDIRECT($B$5&amp;"生成成长"),3))*(VLOOKUP($B$5,标准坦克设计!$B$14:$K$20,9)/30))</f>
        <v>55.787100563632954</v>
      </c>
      <c r="DI188" s="173">
        <f ca="1">(VLOOKUP(DI$72,INDIRECT($C$5&amp;"生成成长"),2))/((VLOOKUP($B188,INDIRECT($B$5&amp;"生成成长"),4))/(VLOOKUP(DI$72,INDIRECT($C$5&amp;"生成成长"),5))*(VLOOKUP($B$5,标准坦克设计!$B$24:$U$30,MATCH("对"&amp;LEFT($C$5,2)&amp;"输出",标准坦克设计!$B$23:$U$23,0)))*(VLOOKUP($B188,INDIRECT($B$5&amp;"生成成长"),3))*(VLOOKUP($B$5,标准坦克设计!$B$14:$K$20,9)/30))</f>
        <v>58.7487391282895</v>
      </c>
      <c r="DJ188" s="173">
        <f ca="1">(VLOOKUP(DJ$72,INDIRECT($C$5&amp;"生成成长"),2))/((VLOOKUP($B188,INDIRECT($B$5&amp;"生成成长"),4))/(VLOOKUP(DJ$72,INDIRECT($C$5&amp;"生成成长"),5))*(VLOOKUP($B$5,标准坦克设计!$B$24:$U$30,MATCH("对"&amp;LEFT($C$5,2)&amp;"输出",标准坦克设计!$B$23:$U$23,0)))*(VLOOKUP($B188,INDIRECT($B$5&amp;"生成成长"),3))*(VLOOKUP($B$5,标准坦克设计!$B$14:$K$20,9)/30))</f>
        <v>5.9043945558495032</v>
      </c>
      <c r="DK188" s="173">
        <f ca="1">(VLOOKUP(DK$72,INDIRECT($C$5&amp;"生成成长"),2))/((VLOOKUP($B188,INDIRECT($B$5&amp;"生成成长"),4))/(VLOOKUP(DK$72,INDIRECT($C$5&amp;"生成成长"),5))*(VLOOKUP($B$5,标准坦克设计!$B$24:$U$30,MATCH("对"&amp;LEFT($C$5,2)&amp;"输出",标准坦克设计!$B$23:$U$23,0)))*(VLOOKUP($B188,INDIRECT($B$5&amp;"生成成长"),3))*(VLOOKUP($B$5,标准坦克设计!$B$14:$K$20,9)/30))</f>
        <v>6.6392192104962398</v>
      </c>
      <c r="DL188" s="173">
        <f ca="1">(VLOOKUP(DL$72,INDIRECT($C$5&amp;"生成成长"),2))/((VLOOKUP($B188,INDIRECT($B$5&amp;"生成成长"),4))/(VLOOKUP(DL$72,INDIRECT($C$5&amp;"生成成长"),5))*(VLOOKUP($B$5,标准坦克设计!$B$24:$U$30,MATCH("对"&amp;LEFT($C$5,2)&amp;"输出",标准坦克设计!$B$23:$U$23,0)))*(VLOOKUP($B188,INDIRECT($B$5&amp;"生成成长"),3))*(VLOOKUP($B$5,标准坦克设计!$B$14:$K$20,9)/30))</f>
        <v>7.4171280468486476</v>
      </c>
      <c r="DM188" s="173">
        <f ca="1">(VLOOKUP(DM$72,INDIRECT($C$5&amp;"生成成长"),2))/((VLOOKUP($B188,INDIRECT($B$5&amp;"生成成长"),4))/(VLOOKUP(DM$72,INDIRECT($C$5&amp;"生成成长"),5))*(VLOOKUP($B$5,标准坦克设计!$B$24:$U$30,MATCH("对"&amp;LEFT($C$5,2)&amp;"输出",标准坦克设计!$B$23:$U$23,0)))*(VLOOKUP($B188,INDIRECT($B$5&amp;"生成成长"),3))*(VLOOKUP($B$5,标准坦克设计!$B$14:$K$20,9)/30))</f>
        <v>8.2381210649067285</v>
      </c>
      <c r="DN188" s="173">
        <f ca="1">(VLOOKUP(DN$72,INDIRECT($C$5&amp;"生成成长"),2))/((VLOOKUP($B188,INDIRECT($B$5&amp;"生成成长"),4))/(VLOOKUP(DN$72,INDIRECT($C$5&amp;"生成成长"),5))*(VLOOKUP($B$5,标准坦克设计!$B$24:$U$30,MATCH("对"&amp;LEFT($C$5,2)&amp;"输出",标准坦克设计!$B$23:$U$23,0)))*(VLOOKUP($B188,INDIRECT($B$5&amp;"生成成长"),3))*(VLOOKUP($B$5,标准坦克设计!$B$14:$K$20,9)/30))</f>
        <v>9.1021982646704771</v>
      </c>
      <c r="DO188" s="173">
        <f ca="1">(VLOOKUP(DO$72,INDIRECT($C$5&amp;"生成成长"),2))/((VLOOKUP($B188,INDIRECT($B$5&amp;"生成成长"),4))/(VLOOKUP(DO$72,INDIRECT($C$5&amp;"生成成长"),5))*(VLOOKUP($B$5,标准坦克设计!$B$24:$U$30,MATCH("对"&amp;LEFT($C$5,2)&amp;"输出",标准坦克设计!$B$23:$U$23,0)))*(VLOOKUP($B188,INDIRECT($B$5&amp;"生成成长"),3))*(VLOOKUP($B$5,标准坦克设计!$B$14:$K$20,9)/30))</f>
        <v>10.009359646139899</v>
      </c>
      <c r="DP188" s="173">
        <f ca="1">(VLOOKUP(DP$72,INDIRECT($C$5&amp;"生成成长"),2))/((VLOOKUP($B188,INDIRECT($B$5&amp;"生成成长"),4))/(VLOOKUP(DP$72,INDIRECT($C$5&amp;"生成成长"),5))*(VLOOKUP($B$5,标准坦克设计!$B$24:$U$30,MATCH("对"&amp;LEFT($C$5,2)&amp;"输出",标准坦克设计!$B$23:$U$23,0)))*(VLOOKUP($B188,INDIRECT($B$5&amp;"生成成长"),3))*(VLOOKUP($B$5,标准坦克设计!$B$14:$K$20,9)/30))</f>
        <v>10.959605209314995</v>
      </c>
      <c r="DQ188" s="173">
        <f ca="1">(VLOOKUP(DQ$72,INDIRECT($C$5&amp;"生成成长"),2))/((VLOOKUP($B188,INDIRECT($B$5&amp;"生成成长"),4))/(VLOOKUP(DQ$72,INDIRECT($C$5&amp;"生成成长"),5))*(VLOOKUP($B$5,标准坦克设计!$B$24:$U$30,MATCH("对"&amp;LEFT($C$5,2)&amp;"输出",标准坦克设计!$B$23:$U$23,0)))*(VLOOKUP($B188,INDIRECT($B$5&amp;"生成成长"),3))*(VLOOKUP($B$5,标准坦克设计!$B$14:$K$20,9)/30))</f>
        <v>11.952934954195761</v>
      </c>
      <c r="DR188" s="173">
        <f ca="1">(VLOOKUP(DR$72,INDIRECT($C$5&amp;"生成成长"),2))/((VLOOKUP($B188,INDIRECT($B$5&amp;"生成成长"),4))/(VLOOKUP(DR$72,INDIRECT($C$5&amp;"生成成长"),5))*(VLOOKUP($B$5,标准坦克设计!$B$24:$U$30,MATCH("对"&amp;LEFT($C$5,2)&amp;"输出",标准坦克设计!$B$23:$U$23,0)))*(VLOOKUP($B188,INDIRECT($B$5&amp;"生成成长"),3))*(VLOOKUP($B$5,标准坦克设计!$B$14:$K$20,9)/30))</f>
        <v>12.989348880782197</v>
      </c>
      <c r="DS188" s="173">
        <f ca="1">(VLOOKUP(DS$72,INDIRECT($C$5&amp;"生成成长"),2))/((VLOOKUP($B188,INDIRECT($B$5&amp;"生成成长"),4))/(VLOOKUP(DS$72,INDIRECT($C$5&amp;"生成成长"),5))*(VLOOKUP($B$5,标准坦克设计!$B$24:$U$30,MATCH("对"&amp;LEFT($C$5,2)&amp;"输出",标准坦克设计!$B$23:$U$23,0)))*(VLOOKUP($B188,INDIRECT($B$5&amp;"生成成长"),3))*(VLOOKUP($B$5,标准坦克设计!$B$14:$K$20,9)/30))</f>
        <v>14.068846989074311</v>
      </c>
      <c r="DT188" s="173">
        <f ca="1">(VLOOKUP(DT$72,INDIRECT($C$5&amp;"生成成长"),2))/((VLOOKUP($B188,INDIRECT($B$5&amp;"生成成长"),4))/(VLOOKUP(DT$72,INDIRECT($C$5&amp;"生成成长"),5))*(VLOOKUP($B$5,标准坦克设计!$B$24:$U$30,MATCH("对"&amp;LEFT($C$5,2)&amp;"输出",标准坦克设计!$B$23:$U$23,0)))*(VLOOKUP($B188,INDIRECT($B$5&amp;"生成成长"),3))*(VLOOKUP($B$5,标准坦克设计!$B$14:$K$20,9)/30))</f>
        <v>15.446742948439031</v>
      </c>
      <c r="DU188" s="173">
        <f ca="1">(VLOOKUP(DU$72,INDIRECT($C$5&amp;"生成成长"),2))/((VLOOKUP($B188,INDIRECT($B$5&amp;"生成成长"),4))/(VLOOKUP(DU$72,INDIRECT($C$5&amp;"生成成长"),5))*(VLOOKUP($B$5,标准坦克设计!$B$24:$U$30,MATCH("对"&amp;LEFT($C$5,2)&amp;"输出",标准坦克设计!$B$23:$U$23,0)))*(VLOOKUP($B188,INDIRECT($B$5&amp;"生成成长"),3))*(VLOOKUP($B$5,标准坦克设计!$B$14:$K$20,9)/30))</f>
        <v>16.888999228623344</v>
      </c>
      <c r="DV188" s="173">
        <f ca="1">(VLOOKUP(DV$72,INDIRECT($C$5&amp;"生成成长"),2))/((VLOOKUP($B188,INDIRECT($B$5&amp;"生成成长"),4))/(VLOOKUP(DV$72,INDIRECT($C$5&amp;"生成成长"),5))*(VLOOKUP($B$5,标准坦克设计!$B$24:$U$30,MATCH("对"&amp;LEFT($C$5,2)&amp;"输出",标准坦克设计!$B$23:$U$23,0)))*(VLOOKUP($B188,INDIRECT($B$5&amp;"生成成长"),3))*(VLOOKUP($B$5,标准坦克设计!$B$14:$K$20,9)/30))</f>
        <v>18.395615829627236</v>
      </c>
      <c r="DW188" s="173">
        <f ca="1">(VLOOKUP(DW$72,INDIRECT($C$5&amp;"生成成长"),2))/((VLOOKUP($B188,INDIRECT($B$5&amp;"生成成长"),4))/(VLOOKUP(DW$72,INDIRECT($C$5&amp;"生成成长"),5))*(VLOOKUP($B$5,标准坦克设计!$B$24:$U$30,MATCH("对"&amp;LEFT($C$5,2)&amp;"输出",标准坦克设计!$B$23:$U$23,0)))*(VLOOKUP($B188,INDIRECT($B$5&amp;"生成成长"),3))*(VLOOKUP($B$5,标准坦克设计!$B$14:$K$20,9)/30))</f>
        <v>19.966592751450715</v>
      </c>
      <c r="DX188" s="173">
        <f ca="1">(VLOOKUP(DX$72,INDIRECT($C$5&amp;"生成成长"),2))/((VLOOKUP($B188,INDIRECT($B$5&amp;"生成成长"),4))/(VLOOKUP(DX$72,INDIRECT($C$5&amp;"生成成长"),5))*(VLOOKUP($B$5,标准坦克设计!$B$24:$U$30,MATCH("对"&amp;LEFT($C$5,2)&amp;"输出",标准坦克设计!$B$23:$U$23,0)))*(VLOOKUP($B188,INDIRECT($B$5&amp;"生成成长"),3))*(VLOOKUP($B$5,标准坦克设计!$B$14:$K$20,9)/30))</f>
        <v>21.601929994093773</v>
      </c>
      <c r="DY188" s="173">
        <f ca="1">(VLOOKUP(DY$72,INDIRECT($C$5&amp;"生成成长"),2))/((VLOOKUP($B188,INDIRECT($B$5&amp;"生成成长"),4))/(VLOOKUP(DY$72,INDIRECT($C$5&amp;"生成成长"),5))*(VLOOKUP($B$5,标准坦克设计!$B$24:$U$30,MATCH("对"&amp;LEFT($C$5,2)&amp;"输出",标准坦克设计!$B$23:$U$23,0)))*(VLOOKUP($B188,INDIRECT($B$5&amp;"生成成长"),3))*(VLOOKUP($B$5,标准坦克设计!$B$14:$K$20,9)/30))</f>
        <v>9.7021853876827944</v>
      </c>
      <c r="DZ188" s="173">
        <f ca="1">(VLOOKUP(DZ$72,INDIRECT($C$5&amp;"生成成长"),2))/((VLOOKUP($B188,INDIRECT($B$5&amp;"生成成长"),4))/(VLOOKUP(DZ$72,INDIRECT($C$5&amp;"生成成长"),5))*(VLOOKUP($B$5,标准坦克设计!$B$24:$U$30,MATCH("对"&amp;LEFT($C$5,2)&amp;"输出",标准坦克设计!$B$23:$U$23,0)))*(VLOOKUP($B188,INDIRECT($B$5&amp;"生成成长"),3))*(VLOOKUP($B$5,标准坦克设计!$B$14:$K$20,9)/30))</f>
        <v>10.744716204264483</v>
      </c>
      <c r="EA188" s="173">
        <f ca="1">(VLOOKUP(EA$72,INDIRECT($C$5&amp;"生成成长"),2))/((VLOOKUP($B188,INDIRECT($B$5&amp;"生成成长"),4))/(VLOOKUP(EA$72,INDIRECT($C$5&amp;"生成成长"),5))*(VLOOKUP($B$5,标准坦克设计!$B$24:$U$30,MATCH("对"&amp;LEFT($C$5,2)&amp;"输出",标准坦克设计!$B$23:$U$23,0)))*(VLOOKUP($B188,INDIRECT($B$5&amp;"生成成长"),3))*(VLOOKUP($B$5,标准坦克设计!$B$14:$K$20,9)/30))</f>
        <v>11.840437368630951</v>
      </c>
      <c r="EB188" s="173">
        <f ca="1">(VLOOKUP(EB$72,INDIRECT($C$5&amp;"生成成长"),2))/((VLOOKUP($B188,INDIRECT($B$5&amp;"生成成长"),4))/(VLOOKUP(EB$72,INDIRECT($C$5&amp;"生成成长"),5))*(VLOOKUP($B$5,标准坦克设计!$B$24:$U$30,MATCH("对"&amp;LEFT($C$5,2)&amp;"输出",标准坦克设计!$B$23:$U$23,0)))*(VLOOKUP($B188,INDIRECT($B$5&amp;"生成成长"),3))*(VLOOKUP($B$5,标准坦克设计!$B$14:$K$20,9)/30))</f>
        <v>12.989348880782197</v>
      </c>
      <c r="EC188" s="173">
        <f ca="1">(VLOOKUP(EC$72,INDIRECT($C$5&amp;"生成成长"),2))/((VLOOKUP($B188,INDIRECT($B$5&amp;"生成成长"),4))/(VLOOKUP(EC$72,INDIRECT($C$5&amp;"生成成长"),5))*(VLOOKUP($B$5,标准坦克设计!$B$24:$U$30,MATCH("对"&amp;LEFT($C$5,2)&amp;"输出",标准坦克设计!$B$23:$U$23,0)))*(VLOOKUP($B188,INDIRECT($B$5&amp;"生成成长"),3))*(VLOOKUP($B$5,标准坦克设计!$B$14:$K$20,9)/30))</f>
        <v>14.19145074071823</v>
      </c>
      <c r="ED188" s="173">
        <f ca="1">(VLOOKUP(ED$72,INDIRECT($C$5&amp;"生成成长"),2))/((VLOOKUP($B188,INDIRECT($B$5&amp;"生成成长"),4))/(VLOOKUP(ED$72,INDIRECT($C$5&amp;"生成成长"),5))*(VLOOKUP($B$5,标准坦克设计!$B$24:$U$30,MATCH("对"&amp;LEFT($C$5,2)&amp;"输出",标准坦克设计!$B$23:$U$23,0)))*(VLOOKUP($B188,INDIRECT($B$5&amp;"生成成长"),3))*(VLOOKUP($B$5,标准坦克设计!$B$14:$K$20,9)/30))</f>
        <v>15.446742948439031</v>
      </c>
      <c r="EE188" s="173">
        <f ca="1">(VLOOKUP(EE$72,INDIRECT($C$5&amp;"生成成长"),2))/((VLOOKUP($B188,INDIRECT($B$5&amp;"生成成长"),4))/(VLOOKUP(EE$72,INDIRECT($C$5&amp;"生成成长"),5))*(VLOOKUP($B$5,标准坦克设计!$B$24:$U$30,MATCH("对"&amp;LEFT($C$5,2)&amp;"输出",标准坦克设计!$B$23:$U$23,0)))*(VLOOKUP($B188,INDIRECT($B$5&amp;"生成成长"),3))*(VLOOKUP($B$5,标准坦克设计!$B$14:$K$20,9)/30))</f>
        <v>16.755225503944622</v>
      </c>
      <c r="EF188" s="173">
        <f ca="1">(VLOOKUP(EF$72,INDIRECT($C$5&amp;"生成成长"),2))/((VLOOKUP($B188,INDIRECT($B$5&amp;"生成成长"),4))/(VLOOKUP(EF$72,INDIRECT($C$5&amp;"生成成长"),5))*(VLOOKUP($B$5,标准坦克设计!$B$24:$U$30,MATCH("对"&amp;LEFT($C$5,2)&amp;"输出",标准坦克设计!$B$23:$U$23,0)))*(VLOOKUP($B188,INDIRECT($B$5&amp;"生成成长"),3))*(VLOOKUP($B$5,标准坦克设计!$B$14:$K$20,9)/30))</f>
        <v>18.116898407234991</v>
      </c>
      <c r="EG188" s="173">
        <f ca="1">(VLOOKUP(EG$72,INDIRECT($C$5&amp;"生成成长"),2))/((VLOOKUP($B188,INDIRECT($B$5&amp;"生成成长"),4))/(VLOOKUP(EG$72,INDIRECT($C$5&amp;"生成成长"),5))*(VLOOKUP($B$5,标准坦克设计!$B$24:$U$30,MATCH("对"&amp;LEFT($C$5,2)&amp;"输出",标准坦克设计!$B$23:$U$23,0)))*(VLOOKUP($B188,INDIRECT($B$5&amp;"生成成长"),3))*(VLOOKUP($B$5,标准坦克设计!$B$14:$K$20,9)/30))</f>
        <v>19.531761658310142</v>
      </c>
      <c r="EH188" s="173">
        <f ca="1">(VLOOKUP(EH$72,INDIRECT($C$5&amp;"生成成长"),2))/((VLOOKUP($B188,INDIRECT($B$5&amp;"生成成长"),4))/(VLOOKUP(EH$72,INDIRECT($C$5&amp;"生成成长"),5))*(VLOOKUP($B$5,标准坦克设计!$B$24:$U$30,MATCH("对"&amp;LEFT($C$5,2)&amp;"输出",标准坦克设计!$B$23:$U$23,0)))*(VLOOKUP($B188,INDIRECT($B$5&amp;"生成成长"),3))*(VLOOKUP($B$5,标准坦克设计!$B$14:$K$20,9)/30))</f>
        <v>20.999815257170063</v>
      </c>
      <c r="EI188" s="173">
        <f ca="1">(VLOOKUP(EI$72,INDIRECT($C$5&amp;"生成成长"),2))/((VLOOKUP($B188,INDIRECT($B$5&amp;"生成成长"),4))/(VLOOKUP(EI$72,INDIRECT($C$5&amp;"生成成长"),5))*(VLOOKUP($B$5,标准坦克设计!$B$24:$U$30,MATCH("对"&amp;LEFT($C$5,2)&amp;"输出",标准坦克设计!$B$23:$U$23,0)))*(VLOOKUP($B188,INDIRECT($B$5&amp;"生成成长"),3))*(VLOOKUP($B$5,标准坦克设计!$B$14:$K$20,9)/30))</f>
        <v>22.521059203814772</v>
      </c>
      <c r="EJ188" s="173">
        <f ca="1">(VLOOKUP(EJ$72,INDIRECT($C$5&amp;"生成成长"),2))/((VLOOKUP($B188,INDIRECT($B$5&amp;"生成成长"),4))/(VLOOKUP(EJ$72,INDIRECT($C$5&amp;"生成成长"),5))*(VLOOKUP($B$5,标准坦克设计!$B$24:$U$30,MATCH("对"&amp;LEFT($C$5,2)&amp;"输出",标准坦克设计!$B$23:$U$23,0)))*(VLOOKUP($B188,INDIRECT($B$5&amp;"生成成长"),3))*(VLOOKUP($B$5,标准坦克设计!$B$14:$K$20,9)/30))</f>
        <v>24.095493498244259</v>
      </c>
      <c r="EK188" s="173">
        <f ca="1">(VLOOKUP(EK$72,INDIRECT($C$5&amp;"生成成长"),2))/((VLOOKUP($B188,INDIRECT($B$5&amp;"生成成长"),4))/(VLOOKUP(EK$72,INDIRECT($C$5&amp;"生成成长"),5))*(VLOOKUP($B$5,标准坦克设计!$B$24:$U$30,MATCH("对"&amp;LEFT($C$5,2)&amp;"输出",标准坦克设计!$B$23:$U$23,0)))*(VLOOKUP($B188,INDIRECT($B$5&amp;"生成成长"),3))*(VLOOKUP($B$5,标准坦克设计!$B$14:$K$20,9)/30))</f>
        <v>26.055025910635557</v>
      </c>
      <c r="EL188" s="173">
        <f ca="1">(VLOOKUP(EL$72,INDIRECT($C$5&amp;"生成成长"),2))/((VLOOKUP($B188,INDIRECT($B$5&amp;"生成成长"),4))/(VLOOKUP(EL$72,INDIRECT($C$5&amp;"生成成长"),5))*(VLOOKUP($B$5,标准坦克设计!$B$24:$U$30,MATCH("对"&amp;LEFT($C$5,2)&amp;"输出",标准坦克设计!$B$23:$U$23,0)))*(VLOOKUP($B188,INDIRECT($B$5&amp;"生成成长"),3))*(VLOOKUP($B$5,标准坦克设计!$B$14:$K$20,9)/30))</f>
        <v>28.091152423836938</v>
      </c>
      <c r="EM188" s="173">
        <f ca="1">(VLOOKUP(EM$72,INDIRECT($C$5&amp;"生成成长"),2))/((VLOOKUP($B188,INDIRECT($B$5&amp;"生成成长"),4))/(VLOOKUP(EM$72,INDIRECT($C$5&amp;"生成成长"),5))*(VLOOKUP($B$5,标准坦克设计!$B$24:$U$30,MATCH("对"&amp;LEFT($C$5,2)&amp;"输出",标准坦克设计!$B$23:$U$23,0)))*(VLOOKUP($B188,INDIRECT($B$5&amp;"生成成长"),3))*(VLOOKUP($B$5,标准坦克设计!$B$14:$K$20,9)/30))</f>
        <v>30.203873037848396</v>
      </c>
      <c r="EN188" s="173">
        <f ca="1">(VLOOKUP(EN$72,INDIRECT($C$5&amp;"生成成长"),2))/((VLOOKUP($B188,INDIRECT($B$5&amp;"生成成长"),4))/(VLOOKUP(EN$72,INDIRECT($C$5&amp;"生成成长"),5))*(VLOOKUP($B$5,标准坦克设计!$B$24:$U$30,MATCH("对"&amp;LEFT($C$5,2)&amp;"输出",标准坦克设计!$B$23:$U$23,0)))*(VLOOKUP($B188,INDIRECT($B$5&amp;"生成成长"),3))*(VLOOKUP($B$5,标准坦克设计!$B$14:$K$20,9)/30))</f>
        <v>32.393187752669938</v>
      </c>
      <c r="EO188" s="173">
        <f ca="1">(VLOOKUP(EO$72,INDIRECT($C$5&amp;"生成成长"),2))/((VLOOKUP($B188,INDIRECT($B$5&amp;"生成成长"),4))/(VLOOKUP(EO$72,INDIRECT($C$5&amp;"生成成长"),5))*(VLOOKUP($B$5,标准坦克设计!$B$24:$U$30,MATCH("对"&amp;LEFT($C$5,2)&amp;"输出",标准坦克设计!$B$23:$U$23,0)))*(VLOOKUP($B188,INDIRECT($B$5&amp;"生成成长"),3))*(VLOOKUP($B$5,标准坦克设计!$B$14:$K$20,9)/30))</f>
        <v>34.659096568301564</v>
      </c>
      <c r="EP188" s="173">
        <f ca="1">(VLOOKUP(EP$72,INDIRECT($C$5&amp;"生成成长"),2))/((VLOOKUP($B188,INDIRECT($B$5&amp;"生成成长"),4))/(VLOOKUP(EP$72,INDIRECT($C$5&amp;"生成成长"),5))*(VLOOKUP($B$5,标准坦克设计!$B$24:$U$30,MATCH("对"&amp;LEFT($C$5,2)&amp;"输出",标准坦克设计!$B$23:$U$23,0)))*(VLOOKUP($B188,INDIRECT($B$5&amp;"生成成长"),3))*(VLOOKUP($B$5,标准坦克设计!$B$14:$K$20,9)/30))</f>
        <v>37.001599484743281</v>
      </c>
      <c r="EQ188" s="173">
        <f ca="1">(VLOOKUP(EQ$72,INDIRECT($C$5&amp;"生成成长"),2))/((VLOOKUP($B188,INDIRECT($B$5&amp;"生成成长"),4))/(VLOOKUP(EQ$72,INDIRECT($C$5&amp;"生成成长"),5))*(VLOOKUP($B$5,标准坦克设计!$B$24:$U$30,MATCH("对"&amp;LEFT($C$5,2)&amp;"输出",标准坦克设计!$B$23:$U$23,0)))*(VLOOKUP($B188,INDIRECT($B$5&amp;"生成成长"),3))*(VLOOKUP($B$5,标准坦克设计!$B$14:$K$20,9)/30))</f>
        <v>16.357095750775542</v>
      </c>
      <c r="ER188" s="173">
        <f ca="1">(VLOOKUP(ER$72,INDIRECT($C$5&amp;"生成成长"),2))/((VLOOKUP($B188,INDIRECT($B$5&amp;"生成成长"),4))/(VLOOKUP(ER$72,INDIRECT($C$5&amp;"生成成长"),5))*(VLOOKUP($B$5,标准坦克设计!$B$24:$U$30,MATCH("对"&amp;LEFT($C$5,2)&amp;"输出",标准坦克设计!$B$23:$U$23,0)))*(VLOOKUP($B188,INDIRECT($B$5&amp;"生成成长"),3))*(VLOOKUP($B$5,标准坦克设计!$B$14:$K$20,9)/30))</f>
        <v>17.840308598754135</v>
      </c>
      <c r="ES188" s="173">
        <f ca="1">(VLOOKUP(ES$72,INDIRECT($C$5&amp;"生成成长"),2))/((VLOOKUP($B188,INDIRECT($B$5&amp;"生成成长"),4))/(VLOOKUP(ES$72,INDIRECT($C$5&amp;"生成成长"),5))*(VLOOKUP($B$5,标准坦克设计!$B$24:$U$30,MATCH("对"&amp;LEFT($C$5,2)&amp;"输出",标准坦克设计!$B$23:$U$23,0)))*(VLOOKUP($B188,INDIRECT($B$5&amp;"生成成长"),3))*(VLOOKUP($B$5,标准坦克设计!$B$14:$K$20,9)/30))</f>
        <v>19.387881767552308</v>
      </c>
      <c r="ET188" s="173">
        <f ca="1">(VLOOKUP(ET$72,INDIRECT($C$5&amp;"生成成长"),2))/((VLOOKUP($B188,INDIRECT($B$5&amp;"生成成长"),4))/(VLOOKUP(ET$72,INDIRECT($C$5&amp;"生成成长"),5))*(VLOOKUP($B$5,标准坦克设计!$B$24:$U$30,MATCH("对"&amp;LEFT($C$5,2)&amp;"输出",标准坦克设计!$B$23:$U$23,0)))*(VLOOKUP($B188,INDIRECT($B$5&amp;"生成成长"),3))*(VLOOKUP($B$5,标准坦克设计!$B$14:$K$20,9)/30))</f>
        <v>20.999815257170063</v>
      </c>
      <c r="EU188" s="173">
        <f ca="1">(VLOOKUP(EU$72,INDIRECT($C$5&amp;"生成成长"),2))/((VLOOKUP($B188,INDIRECT($B$5&amp;"生成成长"),4))/(VLOOKUP(EU$72,INDIRECT($C$5&amp;"生成成长"),5))*(VLOOKUP($B$5,标准坦克设计!$B$24:$U$30,MATCH("对"&amp;LEFT($C$5,2)&amp;"输出",标准坦克设计!$B$23:$U$23,0)))*(VLOOKUP($B188,INDIRECT($B$5&amp;"生成成长"),3))*(VLOOKUP($B$5,标准坦克设计!$B$14:$K$20,9)/30))</f>
        <v>22.67610906760741</v>
      </c>
      <c r="EV188" s="173">
        <f ca="1">(VLOOKUP(EV$72,INDIRECT($C$5&amp;"生成成长"),2))/((VLOOKUP($B188,INDIRECT($B$5&amp;"生成成长"),4))/(VLOOKUP(EV$72,INDIRECT($C$5&amp;"生成成长"),5))*(VLOOKUP($B$5,标准坦克设计!$B$24:$U$30,MATCH("对"&amp;LEFT($C$5,2)&amp;"输出",标准坦克设计!$B$23:$U$23,0)))*(VLOOKUP($B188,INDIRECT($B$5&amp;"生成成长"),3))*(VLOOKUP($B$5,标准坦克设计!$B$14:$K$20,9)/30))</f>
        <v>24.416763198864334</v>
      </c>
      <c r="EW188" s="173">
        <f ca="1">(VLOOKUP(EW$72,INDIRECT($C$5&amp;"生成成长"),2))/((VLOOKUP($B188,INDIRECT($B$5&amp;"生成成长"),4))/(VLOOKUP(EW$72,INDIRECT($C$5&amp;"生成成长"),5))*(VLOOKUP($B$5,标准坦克设计!$B$24:$U$30,MATCH("对"&amp;LEFT($C$5,2)&amp;"输出",标准坦克设计!$B$23:$U$23,0)))*(VLOOKUP($B188,INDIRECT($B$5&amp;"生成成长"),3))*(VLOOKUP($B$5,标准坦克设计!$B$14:$K$20,9)/30))</f>
        <v>26.221777650940844</v>
      </c>
      <c r="EX188" s="173">
        <f ca="1">(VLOOKUP(EX$72,INDIRECT($C$5&amp;"生成成长"),2))/((VLOOKUP($B188,INDIRECT($B$5&amp;"生成成长"),4))/(VLOOKUP(EX$72,INDIRECT($C$5&amp;"生成成长"),5))*(VLOOKUP($B$5,标准坦克设计!$B$24:$U$30,MATCH("对"&amp;LEFT($C$5,2)&amp;"输出",标准坦克设计!$B$23:$U$23,0)))*(VLOOKUP($B188,INDIRECT($B$5&amp;"生成成长"),3))*(VLOOKUP($B$5,标准坦克设计!$B$14:$K$20,9)/30))</f>
        <v>28.091152423836938</v>
      </c>
      <c r="EY188" s="173">
        <f ca="1">(VLOOKUP(EY$72,INDIRECT($C$5&amp;"生成成长"),2))/((VLOOKUP($B188,INDIRECT($B$5&amp;"生成成长"),4))/(VLOOKUP(EY$72,INDIRECT($C$5&amp;"生成成长"),5))*(VLOOKUP($B$5,标准坦克设计!$B$24:$U$30,MATCH("对"&amp;LEFT($C$5,2)&amp;"输出",标准坦克设计!$B$23:$U$23,0)))*(VLOOKUP($B188,INDIRECT($B$5&amp;"生成成长"),3))*(VLOOKUP($B$5,标准坦克设计!$B$14:$K$20,9)/30))</f>
        <v>30.024887517552607</v>
      </c>
      <c r="EZ188" s="173">
        <f ca="1">(VLOOKUP(EZ$72,INDIRECT($C$5&amp;"生成成长"),2))/((VLOOKUP($B188,INDIRECT($B$5&amp;"生成成长"),4))/(VLOOKUP(EZ$72,INDIRECT($C$5&amp;"生成成长"),5))*(VLOOKUP($B$5,标准坦克设计!$B$24:$U$30,MATCH("对"&amp;LEFT($C$5,2)&amp;"输出",标准坦克设计!$B$23:$U$23,0)))*(VLOOKUP($B188,INDIRECT($B$5&amp;"生成成长"),3))*(VLOOKUP($B$5,标准坦克设计!$B$14:$K$20,9)/30))</f>
        <v>32.022982932087871</v>
      </c>
      <c r="FA188" s="173">
        <f ca="1">(VLOOKUP(FA$72,INDIRECT($C$5&amp;"生成成长"),2))/((VLOOKUP($B188,INDIRECT($B$5&amp;"生成成长"),4))/(VLOOKUP(FA$72,INDIRECT($C$5&amp;"生成成长"),5))*(VLOOKUP($B$5,标准坦克设计!$B$24:$U$30,MATCH("对"&amp;LEFT($C$5,2)&amp;"输出",标准坦克设计!$B$23:$U$23,0)))*(VLOOKUP($B188,INDIRECT($B$5&amp;"生成成长"),3))*(VLOOKUP($B$5,标准坦克设计!$B$14:$K$20,9)/30))</f>
        <v>34.085438667442716</v>
      </c>
      <c r="FB188" s="173">
        <f ca="1">(VLOOKUP(FB$72,INDIRECT($C$5&amp;"生成成长"),2))/((VLOOKUP($B188,INDIRECT($B$5&amp;"生成成长"),4))/(VLOOKUP(FB$72,INDIRECT($C$5&amp;"生成成长"),5))*(VLOOKUP($B$5,标准坦克设计!$B$24:$U$30,MATCH("对"&amp;LEFT($C$5,2)&amp;"输出",标准坦克设计!$B$23:$U$23,0)))*(VLOOKUP($B188,INDIRECT($B$5&amp;"生成成长"),3))*(VLOOKUP($B$5,标准坦克设计!$B$14:$K$20,9)/30))</f>
        <v>36.212254723617157</v>
      </c>
      <c r="FC188" s="173">
        <f ca="1">(VLOOKUP(FC$72,INDIRECT($C$5&amp;"生成成长"),2))/((VLOOKUP($B188,INDIRECT($B$5&amp;"生成成长"),4))/(VLOOKUP(FC$72,INDIRECT($C$5&amp;"生成成长"),5))*(VLOOKUP($B$5,标准坦克设计!$B$24:$U$30,MATCH("对"&amp;LEFT($C$5,2)&amp;"输出",标准坦克设计!$B$23:$U$23,0)))*(VLOOKUP($B188,INDIRECT($B$5&amp;"生成成长"),3))*(VLOOKUP($B$5,标准坦克设计!$B$14:$K$20,9)/30))</f>
        <v>38.403431100611158</v>
      </c>
      <c r="FD188" s="173">
        <f ca="1">(VLOOKUP(FD$72,INDIRECT($C$5&amp;"生成成长"),2))/((VLOOKUP($B188,INDIRECT($B$5&amp;"生成成长"),4))/(VLOOKUP(FD$72,INDIRECT($C$5&amp;"生成成长"),5))*(VLOOKUP($B$5,标准坦克设计!$B$24:$U$30,MATCH("对"&amp;LEFT($C$5,2)&amp;"输出",标准坦克设计!$B$23:$U$23,0)))*(VLOOKUP($B188,INDIRECT($B$5&amp;"生成成长"),3))*(VLOOKUP($B$5,标准坦克设计!$B$14:$K$20,9)/30))</f>
        <v>40.658967798424761</v>
      </c>
      <c r="FE188" s="173">
        <f ca="1">(VLOOKUP(FE$72,INDIRECT($C$5&amp;"生成成长"),2))/((VLOOKUP($B188,INDIRECT($B$5&amp;"生成成长"),4))/(VLOOKUP(FE$72,INDIRECT($C$5&amp;"生成成长"),5))*(VLOOKUP($B$5,标准坦克设计!$B$24:$U$30,MATCH("对"&amp;LEFT($C$5,2)&amp;"输出",标准坦克设计!$B$23:$U$23,0)))*(VLOOKUP($B188,INDIRECT($B$5&amp;"生成成长"),3))*(VLOOKUP($B$5,标准坦克设计!$B$14:$K$20,9)/30))</f>
        <v>43.407579020203258</v>
      </c>
      <c r="FF188" s="173">
        <f ca="1">(VLOOKUP(FF$72,INDIRECT($C$5&amp;"生成成长"),2))/((VLOOKUP($B188,INDIRECT($B$5&amp;"生成成长"),4))/(VLOOKUP(FF$72,INDIRECT($C$5&amp;"生成成长"),5))*(VLOOKUP($B$5,标准坦克设计!$B$24:$U$30,MATCH("对"&amp;LEFT($C$5,2)&amp;"输出",标准坦克设计!$B$23:$U$23,0)))*(VLOOKUP($B188,INDIRECT($B$5&amp;"生成成长"),3))*(VLOOKUP($B$5,标准坦克设计!$B$14:$K$20,9)/30))</f>
        <v>46.24608192973804</v>
      </c>
      <c r="FG188" s="173">
        <f ca="1">(VLOOKUP(FG$72,INDIRECT($C$5&amp;"生成成长"),2))/((VLOOKUP($B188,INDIRECT($B$5&amp;"生成成长"),4))/(VLOOKUP(FG$72,INDIRECT($C$5&amp;"生成成长"),5))*(VLOOKUP($B$5,标准坦克设计!$B$24:$U$30,MATCH("对"&amp;LEFT($C$5,2)&amp;"输出",标准坦克设计!$B$23:$U$23,0)))*(VLOOKUP($B188,INDIRECT($B$5&amp;"生成成长"),3))*(VLOOKUP($B$5,标准坦克设计!$B$14:$K$20,9)/30))</f>
        <v>49.174476527029107</v>
      </c>
      <c r="FH188" s="173">
        <f ca="1">(VLOOKUP(FH$72,INDIRECT($C$5&amp;"生成成长"),2))/((VLOOKUP($B188,INDIRECT($B$5&amp;"生成成长"),4))/(VLOOKUP(FH$72,INDIRECT($C$5&amp;"生成成长"),5))*(VLOOKUP($B$5,标准坦克设计!$B$24:$U$30,MATCH("对"&amp;LEFT($C$5,2)&amp;"输出",标准坦克设计!$B$23:$U$23,0)))*(VLOOKUP($B188,INDIRECT($B$5&amp;"生成成长"),3))*(VLOOKUP($B$5,标准坦克设计!$B$14:$K$20,9)/30))</f>
        <v>52.192762812076452</v>
      </c>
      <c r="FI188" s="173">
        <f ca="1">(VLOOKUP(FI$72,INDIRECT($C$5&amp;"生成成长"),2))/((VLOOKUP($B188,INDIRECT($B$5&amp;"生成成长"),4))/(VLOOKUP(FI$72,INDIRECT($C$5&amp;"生成成长"),5))*(VLOOKUP($B$5,标准坦克设计!$B$24:$U$30,MATCH("对"&amp;LEFT($C$5,2)&amp;"输出",标准坦克设计!$B$23:$U$23,0)))*(VLOOKUP($B188,INDIRECT($B$5&amp;"生成成长"),3))*(VLOOKUP($B$5,标准坦克设计!$B$14:$K$20,9)/30))</f>
        <v>55.300940784880076</v>
      </c>
      <c r="FJ188" s="173">
        <f ca="1">(VLOOKUP(FJ$72,INDIRECT($C$5&amp;"生成成长"),2))/((VLOOKUP($B188,INDIRECT($B$5&amp;"生成成长"),4))/(VLOOKUP(FJ$72,INDIRECT($C$5&amp;"生成成长"),5))*(VLOOKUP($B$5,标准坦克设计!$B$24:$U$30,MATCH("对"&amp;LEFT($C$5,2)&amp;"输出",标准坦克设计!$B$23:$U$23,0)))*(VLOOKUP($B188,INDIRECT($B$5&amp;"生成成长"),3))*(VLOOKUP($B$5,标准坦克设计!$B$14:$K$20,9)/30))</f>
        <v>58.499010445439971</v>
      </c>
      <c r="FK188" s="173">
        <f ca="1">(VLOOKUP(FK$72,INDIRECT($C$5&amp;"生成成长"),2))/((VLOOKUP($B188,INDIRECT($B$5&amp;"生成成长"),4))/(VLOOKUP(FK$72,INDIRECT($C$5&amp;"生成成长"),5))*(VLOOKUP($B$5,标准坦克设计!$B$24:$U$30,MATCH("对"&amp;LEFT($C$5,2)&amp;"输出",标准坦克设计!$B$23:$U$23,0)))*(VLOOKUP($B188,INDIRECT($B$5&amp;"生成成长"),3))*(VLOOKUP($B$5,标准坦克设计!$B$14:$K$20,9)/30))</f>
        <v>61.786971793756123</v>
      </c>
    </row>
    <row r="189" spans="1:167" x14ac:dyDescent="0.15">
      <c r="A189" s="171" t="str">
        <f t="shared" si="12"/>
        <v>T3高品质6级</v>
      </c>
      <c r="B189" s="172">
        <v>30306</v>
      </c>
      <c r="C189" s="173">
        <f ca="1">(VLOOKUP(C$72,INDIRECT($C$5&amp;"生成成长"),2))/((VLOOKUP($B189,INDIRECT($B$5&amp;"生成成长"),4))/(VLOOKUP(C$72,INDIRECT($C$5&amp;"生成成长"),5))*(VLOOKUP($B$5,标准坦克设计!$B$24:$U$30,MATCH("对"&amp;LEFT($C$5,2)&amp;"输出",标准坦克设计!$B$23:$U$23,0)))*(VLOOKUP($B189,INDIRECT($B$5&amp;"生成成长"),3))*(VLOOKUP($B$5,标准坦克设计!$B$14:$K$20,9)/30))</f>
        <v>2.4052402860111277</v>
      </c>
      <c r="D189" s="173">
        <f ca="1">(VLOOKUP(D$72,INDIRECT($C$5&amp;"生成成长"),2))/((VLOOKUP($B189,INDIRECT($B$5&amp;"生成成长"),4))/(VLOOKUP(D$72,INDIRECT($C$5&amp;"生成成长"),5))*(VLOOKUP($B$5,标准坦克设计!$B$24:$U$30,MATCH("对"&amp;LEFT($C$5,2)&amp;"输出",标准坦克设计!$B$23:$U$23,0)))*(VLOOKUP($B189,INDIRECT($B$5&amp;"生成成长"),3))*(VLOOKUP($B$5,标准坦克设计!$B$14:$K$20,9)/30))</f>
        <v>2.7025279853621025</v>
      </c>
      <c r="E189" s="173">
        <f ca="1">(VLOOKUP(E$72,INDIRECT($C$5&amp;"生成成长"),2))/((VLOOKUP($B189,INDIRECT($B$5&amp;"生成成长"),4))/(VLOOKUP(E$72,INDIRECT($C$5&amp;"生成成长"),5))*(VLOOKUP($B$5,标准坦克设计!$B$24:$U$30,MATCH("对"&amp;LEFT($C$5,2)&amp;"输出",标准坦克设计!$B$23:$U$23,0)))*(VLOOKUP($B189,INDIRECT($B$5&amp;"生成成长"),3))*(VLOOKUP($B$5,标准坦克设计!$B$14:$K$20,9)/30))</f>
        <v>3.0171334147723581</v>
      </c>
      <c r="F189" s="173">
        <f ca="1">(VLOOKUP(F$72,INDIRECT($C$5&amp;"生成成长"),2))/((VLOOKUP($B189,INDIRECT($B$5&amp;"生成成长"),4))/(VLOOKUP(F$72,INDIRECT($C$5&amp;"生成成长"),5))*(VLOOKUP($B$5,标准坦克设计!$B$24:$U$30,MATCH("对"&amp;LEFT($C$5,2)&amp;"输出",标准坦克设计!$B$23:$U$23,0)))*(VLOOKUP($B189,INDIRECT($B$5&amp;"生成成长"),3))*(VLOOKUP($B$5,标准坦克设计!$B$14:$K$20,9)/30))</f>
        <v>3.3490565742418936</v>
      </c>
      <c r="G189" s="173">
        <f ca="1">(VLOOKUP(G$72,INDIRECT($C$5&amp;"生成成长"),2))/((VLOOKUP($B189,INDIRECT($B$5&amp;"生成成长"),4))/(VLOOKUP(G$72,INDIRECT($C$5&amp;"生成成长"),5))*(VLOOKUP($B$5,标准坦克设计!$B$24:$U$30,MATCH("对"&amp;LEFT($C$5,2)&amp;"输出",标准坦克设计!$B$23:$U$23,0)))*(VLOOKUP($B189,INDIRECT($B$5&amp;"生成成长"),3))*(VLOOKUP($B$5,标准坦克设计!$B$14:$K$20,9)/30))</f>
        <v>3.6982974637707096</v>
      </c>
      <c r="H189" s="173">
        <f ca="1">(VLOOKUP(H$72,INDIRECT($C$5&amp;"生成成长"),2))/((VLOOKUP($B189,INDIRECT($B$5&amp;"生成成长"),4))/(VLOOKUP(H$72,INDIRECT($C$5&amp;"生成成长"),5))*(VLOOKUP($B$5,标准坦克设计!$B$24:$U$30,MATCH("对"&amp;LEFT($C$5,2)&amp;"输出",标准坦克设计!$B$23:$U$23,0)))*(VLOOKUP($B189,INDIRECT($B$5&amp;"生成成长"),3))*(VLOOKUP($B$5,标准坦克设计!$B$14:$K$20,9)/30))</f>
        <v>3.2364913288565731</v>
      </c>
      <c r="I189" s="173">
        <f ca="1">(VLOOKUP(I$72,INDIRECT($C$5&amp;"生成成长"),2))/((VLOOKUP($B189,INDIRECT($B$5&amp;"生成成长"),4))/(VLOOKUP(I$72,INDIRECT($C$5&amp;"生成成长"),5))*(VLOOKUP($B$5,标准坦克设计!$B$24:$U$30,MATCH("对"&amp;LEFT($C$5,2)&amp;"输出",标准坦克设计!$B$23:$U$23,0)))*(VLOOKUP($B189,INDIRECT($B$5&amp;"生成成长"),3))*(VLOOKUP($B$5,标准坦克设计!$B$14:$K$20,9)/30))</f>
        <v>3.6982974637707096</v>
      </c>
      <c r="J189" s="173">
        <f ca="1">(VLOOKUP(J$72,INDIRECT($C$5&amp;"生成成长"),2))/((VLOOKUP($B189,INDIRECT($B$5&amp;"生成成长"),4))/(VLOOKUP(J$72,INDIRECT($C$5&amp;"生成成长"),5))*(VLOOKUP($B$5,标准坦克设计!$B$24:$U$30,MATCH("对"&amp;LEFT($C$5,2)&amp;"输出",标准坦克设计!$B$23:$U$23,0)))*(VLOOKUP($B189,INDIRECT($B$5&amp;"生成成长"),3))*(VLOOKUP($B$5,标准坦克设计!$B$14:$K$20,9)/30))</f>
        <v>4.1908906743457885</v>
      </c>
      <c r="K189" s="173">
        <f ca="1">(VLOOKUP(K$72,INDIRECT($C$5&amp;"生成成长"),2))/((VLOOKUP($B189,INDIRECT($B$5&amp;"生成成长"),4))/(VLOOKUP(K$72,INDIRECT($C$5&amp;"生成成长"),5))*(VLOOKUP($B$5,标准坦克设计!$B$24:$U$30,MATCH("对"&amp;LEFT($C$5,2)&amp;"输出",标准坦克设计!$B$23:$U$23,0)))*(VLOOKUP($B189,INDIRECT($B$5&amp;"生成成长"),3))*(VLOOKUP($B$5,标准坦克设计!$B$14:$K$20,9)/30))</f>
        <v>4.7142709605818105</v>
      </c>
      <c r="L189" s="173">
        <f ca="1">(VLOOKUP(L$72,INDIRECT($C$5&amp;"生成成长"),2))/((VLOOKUP($B189,INDIRECT($B$5&amp;"生成成长"),4))/(VLOOKUP(L$72,INDIRECT($C$5&amp;"生成成长"),5))*(VLOOKUP($B$5,标准坦克设计!$B$24:$U$30,MATCH("对"&amp;LEFT($C$5,2)&amp;"输出",标准坦克设计!$B$23:$U$23,0)))*(VLOOKUP($B189,INDIRECT($B$5&amp;"生成成长"),3))*(VLOOKUP($B$5,标准坦克设计!$B$14:$K$20,9)/30))</f>
        <v>5.2684383224787741</v>
      </c>
      <c r="M189" s="173">
        <f ca="1">(VLOOKUP(M$72,INDIRECT($C$5&amp;"生成成长"),2))/((VLOOKUP($B189,INDIRECT($B$5&amp;"生成成长"),4))/(VLOOKUP(M$72,INDIRECT($C$5&amp;"生成成长"),5))*(VLOOKUP($B$5,标准坦克设计!$B$24:$U$30,MATCH("对"&amp;LEFT($C$5,2)&amp;"输出",标准坦克设计!$B$23:$U$23,0)))*(VLOOKUP($B189,INDIRECT($B$5&amp;"生成成长"),3))*(VLOOKUP($B$5,标准坦克设计!$B$14:$K$20,9)/30))</f>
        <v>5.8533927600366793</v>
      </c>
      <c r="N189" s="173">
        <f ca="1">(VLOOKUP(N$72,INDIRECT($C$5&amp;"生成成长"),2))/((VLOOKUP($B189,INDIRECT($B$5&amp;"生成成长"),4))/(VLOOKUP(N$72,INDIRECT($C$5&amp;"生成成长"),5))*(VLOOKUP($B$5,标准坦克设计!$B$24:$U$30,MATCH("对"&amp;LEFT($C$5,2)&amp;"输出",标准坦克设计!$B$23:$U$23,0)))*(VLOOKUP($B189,INDIRECT($B$5&amp;"生成成长"),3))*(VLOOKUP($B$5,标准坦克设计!$B$14:$K$20,9)/30))</f>
        <v>6.4691342732555288</v>
      </c>
      <c r="O189" s="173">
        <f ca="1">(VLOOKUP(O$72,INDIRECT($C$5&amp;"生成成长"),2))/((VLOOKUP($B189,INDIRECT($B$5&amp;"生成成长"),4))/(VLOOKUP(O$72,INDIRECT($C$5&amp;"生成成长"),5))*(VLOOKUP($B$5,标准坦克设计!$B$24:$U$30,MATCH("对"&amp;LEFT($C$5,2)&amp;"输出",标准坦克设计!$B$23:$U$23,0)))*(VLOOKUP($B189,INDIRECT($B$5&amp;"生成成长"),3))*(VLOOKUP($B$5,标准坦克设计!$B$14:$K$20,9)/30))</f>
        <v>4.9184758608641541</v>
      </c>
      <c r="P189" s="173">
        <f ca="1">(VLOOKUP(P$72,INDIRECT($C$5&amp;"生成成长"),2))/((VLOOKUP($B189,INDIRECT($B$5&amp;"生成成长"),4))/(VLOOKUP(P$72,INDIRECT($C$5&amp;"生成成长"),5))*(VLOOKUP($B$5,标准坦克设计!$B$24:$U$30,MATCH("对"&amp;LEFT($C$5,2)&amp;"输出",标准坦克设计!$B$23:$U$23,0)))*(VLOOKUP($B189,INDIRECT($B$5&amp;"生成成长"),3))*(VLOOKUP($B$5,标准坦克设计!$B$14:$K$20,9)/30))</f>
        <v>5.5570671568001089</v>
      </c>
      <c r="Q189" s="173">
        <f ca="1">(VLOOKUP(Q$72,INDIRECT($C$5&amp;"生成成长"),2))/((VLOOKUP($B189,INDIRECT($B$5&amp;"生成成长"),4))/(VLOOKUP(Q$72,INDIRECT($C$5&amp;"生成成长"),5))*(VLOOKUP($B$5,标准坦克设计!$B$24:$U$30,MATCH("对"&amp;LEFT($C$5,2)&amp;"输出",标准坦克设计!$B$23:$U$23,0)))*(VLOOKUP($B189,INDIRECT($B$5&amp;"生成成长"),3))*(VLOOKUP($B$5,标准坦克设计!$B$14:$K$20,9)/30))</f>
        <v>6.2346233453694433</v>
      </c>
      <c r="R189" s="173">
        <f ca="1">(VLOOKUP(R$72,INDIRECT($C$5&amp;"生成成长"),2))/((VLOOKUP($B189,INDIRECT($B$5&amp;"生成成长"),4))/(VLOOKUP(R$72,INDIRECT($C$5&amp;"生成成长"),5))*(VLOOKUP($B$5,标准坦克设计!$B$24:$U$30,MATCH("对"&amp;LEFT($C$5,2)&amp;"输出",标准坦克设计!$B$23:$U$23,0)))*(VLOOKUP($B189,INDIRECT($B$5&amp;"生成成长"),3))*(VLOOKUP($B$5,标准坦克设计!$B$14:$K$20,9)/30))</f>
        <v>6.9511444265721591</v>
      </c>
      <c r="S189" s="173">
        <f ca="1">(VLOOKUP(S$72,INDIRECT($C$5&amp;"生成成长"),2))/((VLOOKUP($B189,INDIRECT($B$5&amp;"生成成长"),4))/(VLOOKUP(S$72,INDIRECT($C$5&amp;"生成成长"),5))*(VLOOKUP($B$5,标准坦克设计!$B$24:$U$30,MATCH("对"&amp;LEFT($C$5,2)&amp;"输出",标准坦克设计!$B$23:$U$23,0)))*(VLOOKUP($B189,INDIRECT($B$5&amp;"生成成长"),3))*(VLOOKUP($B$5,标准坦克设计!$B$14:$K$20,9)/30))</f>
        <v>7.706630400408252</v>
      </c>
      <c r="T189" s="173">
        <f ca="1">(VLOOKUP(T$72,INDIRECT($C$5&amp;"生成成长"),2))/((VLOOKUP($B189,INDIRECT($B$5&amp;"生成成长"),4))/(VLOOKUP(T$72,INDIRECT($C$5&amp;"生成成长"),5))*(VLOOKUP($B$5,标准坦克设计!$B$24:$U$30,MATCH("对"&amp;LEFT($C$5,2)&amp;"输出",标准坦克设计!$B$23:$U$23,0)))*(VLOOKUP($B189,INDIRECT($B$5&amp;"生成成长"),3))*(VLOOKUP($B$5,标准坦克设计!$B$14:$K$20,9)/30))</f>
        <v>8.501081266877728</v>
      </c>
      <c r="U189" s="173">
        <f ca="1">(VLOOKUP(U$72,INDIRECT($C$5&amp;"生成成长"),2))/((VLOOKUP($B189,INDIRECT($B$5&amp;"生成成长"),4))/(VLOOKUP(U$72,INDIRECT($C$5&amp;"生成成长"),5))*(VLOOKUP($B$5,标准坦克设计!$B$24:$U$30,MATCH("对"&amp;LEFT($C$5,2)&amp;"输出",标准坦克设计!$B$23:$U$23,0)))*(VLOOKUP($B189,INDIRECT($B$5&amp;"生成成长"),3))*(VLOOKUP($B$5,标准坦克设计!$B$14:$K$20,9)/30))</f>
        <v>9.3344970259805855</v>
      </c>
      <c r="V189" s="173">
        <f ca="1">(VLOOKUP(V$72,INDIRECT($C$5&amp;"生成成长"),2))/((VLOOKUP($B189,INDIRECT($B$5&amp;"生成成长"),4))/(VLOOKUP(V$72,INDIRECT($C$5&amp;"生成成长"),5))*(VLOOKUP($B$5,标准坦克设计!$B$24:$U$30,MATCH("对"&amp;LEFT($C$5,2)&amp;"输出",标准坦克设计!$B$23:$U$23,0)))*(VLOOKUP($B189,INDIRECT($B$5&amp;"生成成长"),3))*(VLOOKUP($B$5,标准坦克设计!$B$14:$K$20,9)/30))</f>
        <v>10.20687767771682</v>
      </c>
      <c r="W189" s="173">
        <f ca="1">(VLOOKUP(W$72,INDIRECT($C$5&amp;"生成成长"),2))/((VLOOKUP($B189,INDIRECT($B$5&amp;"生成成长"),4))/(VLOOKUP(W$72,INDIRECT($C$5&amp;"生成成长"),5))*(VLOOKUP($B$5,标准坦克设计!$B$24:$U$30,MATCH("对"&amp;LEFT($C$5,2)&amp;"输出",标准坦克设计!$B$23:$U$23,0)))*(VLOOKUP($B189,INDIRECT($B$5&amp;"生成成长"),3))*(VLOOKUP($B$5,标准坦克设计!$B$14:$K$20,9)/30))</f>
        <v>11.118223222086437</v>
      </c>
      <c r="X189" s="173">
        <f ca="1">(VLOOKUP(X$72,INDIRECT($C$5&amp;"生成成长"),2))/((VLOOKUP($B189,INDIRECT($B$5&amp;"生成成长"),4))/(VLOOKUP(X$72,INDIRECT($C$5&amp;"生成成长"),5))*(VLOOKUP($B$5,标准坦克设计!$B$24:$U$30,MATCH("对"&amp;LEFT($C$5,2)&amp;"输出",标准坦克设计!$B$23:$U$23,0)))*(VLOOKUP($B189,INDIRECT($B$5&amp;"生成成长"),3))*(VLOOKUP($B$5,标准坦克设计!$B$14:$K$20,9)/30))</f>
        <v>8.0549091938226649</v>
      </c>
      <c r="Y189" s="173">
        <f ca="1">(VLOOKUP(Y$72,INDIRECT($C$5&amp;"生成成长"),2))/((VLOOKUP($B189,INDIRECT($B$5&amp;"生成成长"),4))/(VLOOKUP(Y$72,INDIRECT($C$5&amp;"生成成长"),5))*(VLOOKUP($B$5,标准坦克设计!$B$24:$U$30,MATCH("对"&amp;LEFT($C$5,2)&amp;"输出",标准坦克设计!$B$23:$U$23,0)))*(VLOOKUP($B189,INDIRECT($B$5&amp;"生成成长"),3))*(VLOOKUP($B$5,标准坦克设计!$B$14:$K$20,9)/30))</f>
        <v>8.9592795413628483</v>
      </c>
      <c r="Z189" s="173">
        <f ca="1">(VLOOKUP(Z$72,INDIRECT($C$5&amp;"生成成长"),2))/((VLOOKUP($B189,INDIRECT($B$5&amp;"生成成长"),4))/(VLOOKUP(Z$72,INDIRECT($C$5&amp;"生成成长"),5))*(VLOOKUP($B$5,标准坦克设计!$B$24:$U$30,MATCH("对"&amp;LEFT($C$5,2)&amp;"输出",标准坦克设计!$B$23:$U$23,0)))*(VLOOKUP($B189,INDIRECT($B$5&amp;"生成成长"),3))*(VLOOKUP($B$5,标准坦克设计!$B$14:$K$20,9)/30))</f>
        <v>9.9117546946232533</v>
      </c>
      <c r="AA189" s="173">
        <f ca="1">(VLOOKUP(AA$72,INDIRECT($C$5&amp;"生成成长"),2))/((VLOOKUP($B189,INDIRECT($B$5&amp;"生成成长"),4))/(VLOOKUP(AA$72,INDIRECT($C$5&amp;"生成成长"),5))*(VLOOKUP($B$5,标准坦克设计!$B$24:$U$30,MATCH("对"&amp;LEFT($C$5,2)&amp;"输出",标准坦克设计!$B$23:$U$23,0)))*(VLOOKUP($B189,INDIRECT($B$5&amp;"生成成长"),3))*(VLOOKUP($B$5,标准坦克设计!$B$14:$K$20,9)/30))</f>
        <v>10.912334653603883</v>
      </c>
      <c r="AB189" s="173">
        <f ca="1">(VLOOKUP(AB$72,INDIRECT($C$5&amp;"生成成长"),2))/((VLOOKUP($B189,INDIRECT($B$5&amp;"生成成长"),4))/(VLOOKUP(AB$72,INDIRECT($C$5&amp;"生成成长"),5))*(VLOOKUP($B$5,标准坦克设计!$B$24:$U$30,MATCH("对"&amp;LEFT($C$5,2)&amp;"输出",标准坦克设计!$B$23:$U$23,0)))*(VLOOKUP($B189,INDIRECT($B$5&amp;"生成成长"),3))*(VLOOKUP($B$5,标准坦克设计!$B$14:$K$20,9)/30))</f>
        <v>11.961019418304737</v>
      </c>
      <c r="AC189" s="173">
        <f ca="1">(VLOOKUP(AC$72,INDIRECT($C$5&amp;"生成成长"),2))/((VLOOKUP($B189,INDIRECT($B$5&amp;"生成成长"),4))/(VLOOKUP(AC$72,INDIRECT($C$5&amp;"生成成长"),5))*(VLOOKUP($B$5,标准坦克设计!$B$24:$U$30,MATCH("对"&amp;LEFT($C$5,2)&amp;"输出",标准坦克设计!$B$23:$U$23,0)))*(VLOOKUP($B189,INDIRECT($B$5&amp;"生成成长"),3))*(VLOOKUP($B$5,标准坦克设计!$B$14:$K$20,9)/30))</f>
        <v>13.057808988725812</v>
      </c>
      <c r="AD189" s="173">
        <f ca="1">(VLOOKUP(AD$72,INDIRECT($C$5&amp;"生成成长"),2))/((VLOOKUP($B189,INDIRECT($B$5&amp;"生成成长"),4))/(VLOOKUP(AD$72,INDIRECT($C$5&amp;"生成成长"),5))*(VLOOKUP($B$5,标准坦克设计!$B$24:$U$30,MATCH("对"&amp;LEFT($C$5,2)&amp;"输出",标准坦克设计!$B$23:$U$23,0)))*(VLOOKUP($B189,INDIRECT($B$5&amp;"生成成长"),3))*(VLOOKUP($B$5,标准坦克设计!$B$14:$K$20,9)/30))</f>
        <v>14.202703364867105</v>
      </c>
      <c r="AE189" s="173">
        <f ca="1">(VLOOKUP(AE$72,INDIRECT($C$5&amp;"生成成长"),2))/((VLOOKUP($B189,INDIRECT($B$5&amp;"生成成长"),4))/(VLOOKUP(AE$72,INDIRECT($C$5&amp;"生成成长"),5))*(VLOOKUP($B$5,标准坦克设计!$B$24:$U$30,MATCH("对"&amp;LEFT($C$5,2)&amp;"输出",标准坦克设计!$B$23:$U$23,0)))*(VLOOKUP($B189,INDIRECT($B$5&amp;"生成成长"),3))*(VLOOKUP($B$5,标准坦克设计!$B$14:$K$20,9)/30))</f>
        <v>15.395702546728625</v>
      </c>
      <c r="AF189" s="173">
        <f ca="1">(VLOOKUP(AF$72,INDIRECT($C$5&amp;"生成成长"),2))/((VLOOKUP($B189,INDIRECT($B$5&amp;"生成成长"),4))/(VLOOKUP(AF$72,INDIRECT($C$5&amp;"生成成长"),5))*(VLOOKUP($B$5,标准坦克设计!$B$24:$U$30,MATCH("对"&amp;LEFT($C$5,2)&amp;"输出",标准坦克设计!$B$23:$U$23,0)))*(VLOOKUP($B189,INDIRECT($B$5&amp;"生成成长"),3))*(VLOOKUP($B$5,标准坦克设计!$B$14:$K$20,9)/30))</f>
        <v>16.63680653431037</v>
      </c>
      <c r="AG189" s="173">
        <f ca="1">(VLOOKUP(AG$72,INDIRECT($C$5&amp;"生成成长"),2))/((VLOOKUP($B189,INDIRECT($B$5&amp;"生成成长"),4))/(VLOOKUP(AG$72,INDIRECT($C$5&amp;"生成成长"),5))*(VLOOKUP($B$5,标准坦克设计!$B$24:$U$30,MATCH("对"&amp;LEFT($C$5,2)&amp;"输出",标准坦克设计!$B$23:$U$23,0)))*(VLOOKUP($B189,INDIRECT($B$5&amp;"生成成长"),3))*(VLOOKUP($B$5,标准坦克设计!$B$14:$K$20,9)/30))</f>
        <v>17.92601532761233</v>
      </c>
      <c r="AH189" s="173">
        <f ca="1">(VLOOKUP(AH$72,INDIRECT($C$5&amp;"生成成长"),2))/((VLOOKUP($B189,INDIRECT($B$5&amp;"生成成长"),4))/(VLOOKUP(AH$72,INDIRECT($C$5&amp;"生成成长"),5))*(VLOOKUP($B$5,标准坦克设计!$B$24:$U$30,MATCH("对"&amp;LEFT($C$5,2)&amp;"输出",标准坦克设计!$B$23:$U$23,0)))*(VLOOKUP($B189,INDIRECT($B$5&amp;"生成成长"),3))*(VLOOKUP($B$5,标准坦克设计!$B$14:$K$20,9)/30))</f>
        <v>19.263328926634518</v>
      </c>
      <c r="AI189" s="173">
        <f ca="1">(VLOOKUP(AI$72,INDIRECT($C$5&amp;"生成成长"),2))/((VLOOKUP($B189,INDIRECT($B$5&amp;"生成成长"),4))/(VLOOKUP(AI$72,INDIRECT($C$5&amp;"生成成长"),5))*(VLOOKUP($B$5,标准坦克设计!$B$24:$U$30,MATCH("对"&amp;LEFT($C$5,2)&amp;"输出",标准坦克设计!$B$23:$U$23,0)))*(VLOOKUP($B189,INDIRECT($B$5&amp;"生成成长"),3))*(VLOOKUP($B$5,标准坦克设计!$B$14:$K$20,9)/30))</f>
        <v>13.624243076081431</v>
      </c>
      <c r="AJ189" s="173">
        <f ca="1">(VLOOKUP(AJ$72,INDIRECT($C$5&amp;"生成成长"),2))/((VLOOKUP($B189,INDIRECT($B$5&amp;"生成成长"),4))/(VLOOKUP(AJ$72,INDIRECT($C$5&amp;"生成成长"),5))*(VLOOKUP($B$5,标准坦克设计!$B$24:$U$30,MATCH("对"&amp;LEFT($C$5,2)&amp;"输出",标准坦克设计!$B$23:$U$23,0)))*(VLOOKUP($B189,INDIRECT($B$5&amp;"生成成长"),3))*(VLOOKUP($B$5,标准坦克设计!$B$14:$K$20,9)/30))</f>
        <v>14.912730297297589</v>
      </c>
      <c r="AK189" s="173">
        <f ca="1">(VLOOKUP(AK$72,INDIRECT($C$5&amp;"生成成长"),2))/((VLOOKUP($B189,INDIRECT($B$5&amp;"生成成长"),4))/(VLOOKUP(AK$72,INDIRECT($C$5&amp;"生成成长"),5))*(VLOOKUP($B$5,标准坦克设计!$B$24:$U$30,MATCH("对"&amp;LEFT($C$5,2)&amp;"输出",标准坦克设计!$B$23:$U$23,0)))*(VLOOKUP($B189,INDIRECT($B$5&amp;"生成成长"),3))*(VLOOKUP($B$5,标准坦克设计!$B$14:$K$20,9)/30))</f>
        <v>16.25942433343522</v>
      </c>
      <c r="AL189" s="173">
        <f ca="1">(VLOOKUP(AL$72,INDIRECT($C$5&amp;"生成成长"),2))/((VLOOKUP($B189,INDIRECT($B$5&amp;"生成成长"),4))/(VLOOKUP(AL$72,INDIRECT($C$5&amp;"生成成长"),5))*(VLOOKUP($B$5,标准坦克设计!$B$24:$U$30,MATCH("对"&amp;LEFT($C$5,2)&amp;"输出",标准坦克设计!$B$23:$U$23,0)))*(VLOOKUP($B189,INDIRECT($B$5&amp;"生成成长"),3))*(VLOOKUP($B$5,标准坦克设计!$B$14:$K$20,9)/30))</f>
        <v>17.66432518449432</v>
      </c>
      <c r="AM189" s="173">
        <f ca="1">(VLOOKUP(AM$72,INDIRECT($C$5&amp;"生成成长"),2))/((VLOOKUP($B189,INDIRECT($B$5&amp;"生成成长"),4))/(VLOOKUP(AM$72,INDIRECT($C$5&amp;"生成成长"),5))*(VLOOKUP($B$5,标准坦克设计!$B$24:$U$30,MATCH("对"&amp;LEFT($C$5,2)&amp;"输出",标准坦克设计!$B$23:$U$23,0)))*(VLOOKUP($B189,INDIRECT($B$5&amp;"生成成长"),3))*(VLOOKUP($B$5,标准坦克设计!$B$14:$K$20,9)/30))</f>
        <v>19.127432850474893</v>
      </c>
      <c r="AN189" s="173">
        <f ca="1">(VLOOKUP(AN$72,INDIRECT($C$5&amp;"生成成长"),2))/((VLOOKUP($B189,INDIRECT($B$5&amp;"生成成长"),4))/(VLOOKUP(AN$72,INDIRECT($C$5&amp;"生成成长"),5))*(VLOOKUP($B$5,标准坦克设计!$B$24:$U$30,MATCH("对"&amp;LEFT($C$5,2)&amp;"输出",标准坦克设计!$B$23:$U$23,0)))*(VLOOKUP($B189,INDIRECT($B$5&amp;"生成成长"),3))*(VLOOKUP($B$5,标准坦克设计!$B$14:$K$20,9)/30))</f>
        <v>20.648747331376928</v>
      </c>
      <c r="AO189" s="173">
        <f ca="1">(VLOOKUP(AO$72,INDIRECT($C$5&amp;"生成成长"),2))/((VLOOKUP($B189,INDIRECT($B$5&amp;"生成成长"),4))/(VLOOKUP(AO$72,INDIRECT($C$5&amp;"生成成长"),5))*(VLOOKUP($B$5,标准坦克设计!$B$24:$U$30,MATCH("对"&amp;LEFT($C$5,2)&amp;"输出",标准坦克设计!$B$23:$U$23,0)))*(VLOOKUP($B189,INDIRECT($B$5&amp;"生成成长"),3))*(VLOOKUP($B$5,标准坦克设计!$B$14:$K$20,9)/30))</f>
        <v>22.228268627200436</v>
      </c>
      <c r="AP189" s="173">
        <f ca="1">(VLOOKUP(AP$72,INDIRECT($C$5&amp;"生成成长"),2))/((VLOOKUP($B189,INDIRECT($B$5&amp;"生成成长"),4))/(VLOOKUP(AP$72,INDIRECT($C$5&amp;"生成成长"),5))*(VLOOKUP($B$5,标准坦克设计!$B$24:$U$30,MATCH("对"&amp;LEFT($C$5,2)&amp;"输出",标准坦克设计!$B$23:$U$23,0)))*(VLOOKUP($B189,INDIRECT($B$5&amp;"生成成长"),3))*(VLOOKUP($B$5,标准坦克设计!$B$14:$K$20,9)/30))</f>
        <v>23.865996737945412</v>
      </c>
      <c r="AQ189" s="173">
        <f ca="1">(VLOOKUP(AQ$72,INDIRECT($C$5&amp;"生成成长"),2))/((VLOOKUP($B189,INDIRECT($B$5&amp;"生成成长"),4))/(VLOOKUP(AQ$72,INDIRECT($C$5&amp;"生成成长"),5))*(VLOOKUP($B$5,标准坦克设计!$B$24:$U$30,MATCH("对"&amp;LEFT($C$5,2)&amp;"输出",标准坦克设计!$B$23:$U$23,0)))*(VLOOKUP($B189,INDIRECT($B$5&amp;"生成成长"),3))*(VLOOKUP($B$5,标准坦克设计!$B$14:$K$20,9)/30))</f>
        <v>25.561931663611858</v>
      </c>
      <c r="AR189" s="173">
        <f ca="1">(VLOOKUP(AR$72,INDIRECT($C$5&amp;"生成成长"),2))/((VLOOKUP($B189,INDIRECT($B$5&amp;"生成成长"),4))/(VLOOKUP(AR$72,INDIRECT($C$5&amp;"生成成长"),5))*(VLOOKUP($B$5,标准坦克设计!$B$24:$U$30,MATCH("对"&amp;LEFT($C$5,2)&amp;"输出",标准坦克设计!$B$23:$U$23,0)))*(VLOOKUP($B189,INDIRECT($B$5&amp;"生成成长"),3))*(VLOOKUP($B$5,标准坦克设计!$B$14:$K$20,9)/30))</f>
        <v>27.31607340419977</v>
      </c>
      <c r="AS189" s="173">
        <f ca="1">(VLOOKUP(AS$72,INDIRECT($C$5&amp;"生成成长"),2))/((VLOOKUP($B189,INDIRECT($B$5&amp;"生成成长"),4))/(VLOOKUP(AS$72,INDIRECT($C$5&amp;"生成成长"),5))*(VLOOKUP($B$5,标准坦克设计!$B$24:$U$30,MATCH("对"&amp;LEFT($C$5,2)&amp;"输出",标准坦克设计!$B$23:$U$23,0)))*(VLOOKUP($B189,INDIRECT($B$5&amp;"生成成长"),3))*(VLOOKUP($B$5,标准坦克设计!$B$14:$K$20,9)/30))</f>
        <v>29.128421959709154</v>
      </c>
      <c r="AT189" s="173">
        <f ca="1">(VLOOKUP(AT$72,INDIRECT($C$5&amp;"生成成长"),2))/((VLOOKUP($B189,INDIRECT($B$5&amp;"生成成长"),4))/(VLOOKUP(AT$72,INDIRECT($C$5&amp;"生成成长"),5))*(VLOOKUP($B$5,标准坦克设计!$B$24:$U$30,MATCH("对"&amp;LEFT($C$5,2)&amp;"输出",标准坦克设计!$B$23:$U$23,0)))*(VLOOKUP($B189,INDIRECT($B$5&amp;"生成成长"),3))*(VLOOKUP($B$5,标准坦克设计!$B$14:$K$20,9)/30))</f>
        <v>30.998977330140015</v>
      </c>
      <c r="AU189" s="173">
        <f ca="1">(VLOOKUP(AU$72,INDIRECT($C$5&amp;"生成成长"),2))/((VLOOKUP($B189,INDIRECT($B$5&amp;"生成成长"),4))/(VLOOKUP(AU$72,INDIRECT($C$5&amp;"生成成长"),5))*(VLOOKUP($B$5,标准坦克设计!$B$24:$U$30,MATCH("对"&amp;LEFT($C$5,2)&amp;"输出",标准坦克设计!$B$23:$U$23,0)))*(VLOOKUP($B189,INDIRECT($B$5&amp;"生成成长"),3))*(VLOOKUP($B$5,标准坦克设计!$B$14:$K$20,9)/30))</f>
        <v>32.927739515492341</v>
      </c>
      <c r="AV189" s="173">
        <f ca="1">(VLOOKUP(AV$72,INDIRECT($C$5&amp;"生成成长"),2))/((VLOOKUP($B189,INDIRECT($B$5&amp;"生成成长"),4))/(VLOOKUP(AV$72,INDIRECT($C$5&amp;"生成成长"),5))*(VLOOKUP($B$5,标准坦克设计!$B$24:$U$30,MATCH("对"&amp;LEFT($C$5,2)&amp;"输出",标准坦克设计!$B$23:$U$23,0)))*(VLOOKUP($B189,INDIRECT($B$5&amp;"生成成长"),3))*(VLOOKUP($B$5,标准坦克设计!$B$14:$K$20,9)/30))</f>
        <v>3.3490565742418936</v>
      </c>
      <c r="AW189" s="173">
        <f ca="1">(VLOOKUP(AW$72,INDIRECT($C$5&amp;"生成成长"),2))/((VLOOKUP($B189,INDIRECT($B$5&amp;"生成成长"),4))/(VLOOKUP(AW$72,INDIRECT($C$5&amp;"生成成长"),5))*(VLOOKUP($B$5,标准坦克设计!$B$24:$U$30,MATCH("对"&amp;LEFT($C$5,2)&amp;"输出",标准坦克设计!$B$23:$U$23,0)))*(VLOOKUP($B189,INDIRECT($B$5&amp;"生成成长"),3))*(VLOOKUP($B$5,标准坦克设计!$B$14:$K$20,9)/30))</f>
        <v>3.8185594780712653</v>
      </c>
      <c r="AX189" s="173">
        <f ca="1">(VLOOKUP(AX$72,INDIRECT($C$5&amp;"生成成长"),2))/((VLOOKUP($B189,INDIRECT($B$5&amp;"生成成长"),4))/(VLOOKUP(AX$72,INDIRECT($C$5&amp;"生成成长"),5))*(VLOOKUP($B$5,标准坦克设计!$B$24:$U$30,MATCH("对"&amp;LEFT($C$5,2)&amp;"输出",标准坦克设计!$B$23:$U$23,0)))*(VLOOKUP($B189,INDIRECT($B$5&amp;"生成成长"),3))*(VLOOKUP($B$5,标准坦克设计!$B$14:$K$20,9)/30))</f>
        <v>4.3188494575615808</v>
      </c>
      <c r="AY189" s="173">
        <f ca="1">(VLOOKUP(AY$72,INDIRECT($C$5&amp;"生成成长"),2))/((VLOOKUP($B189,INDIRECT($B$5&amp;"生成成长"),4))/(VLOOKUP(AY$72,INDIRECT($C$5&amp;"生成成长"),5))*(VLOOKUP($B$5,标准坦克设计!$B$24:$U$30,MATCH("对"&amp;LEFT($C$5,2)&amp;"输出",标准坦克设计!$B$23:$U$23,0)))*(VLOOKUP($B189,INDIRECT($B$5&amp;"生成成长"),3))*(VLOOKUP($B$5,标准坦克设计!$B$14:$K$20,9)/30))</f>
        <v>4.8499265127128375</v>
      </c>
      <c r="AZ189" s="173">
        <f ca="1">(VLOOKUP(AZ$72,INDIRECT($C$5&amp;"生成成长"),2))/((VLOOKUP($B189,INDIRECT($B$5&amp;"生成成长"),4))/(VLOOKUP(AZ$72,INDIRECT($C$5&amp;"生成成长"),5))*(VLOOKUP($B$5,标准坦克设计!$B$24:$U$30,MATCH("对"&amp;LEFT($C$5,2)&amp;"输出",标准坦克设计!$B$23:$U$23,0)))*(VLOOKUP($B189,INDIRECT($B$5&amp;"生成成长"),3))*(VLOOKUP($B$5,标准坦克设计!$B$14:$K$20,9)/30))</f>
        <v>5.4117906435250367</v>
      </c>
      <c r="BA189" s="173">
        <f ca="1">(VLOOKUP(BA$72,INDIRECT($C$5&amp;"生成成长"),2))/((VLOOKUP($B189,INDIRECT($B$5&amp;"生成成长"),4))/(VLOOKUP(BA$72,INDIRECT($C$5&amp;"生成成长"),5))*(VLOOKUP($B$5,标准坦克设计!$B$24:$U$30,MATCH("对"&amp;LEFT($C$5,2)&amp;"输出",标准坦克设计!$B$23:$U$23,0)))*(VLOOKUP($B189,INDIRECT($B$5&amp;"生成成长"),3))*(VLOOKUP($B$5,标准坦克设计!$B$14:$K$20,9)/30))</f>
        <v>6.0044418499981775</v>
      </c>
      <c r="BB189" s="173">
        <f ca="1">(VLOOKUP(BB$72,INDIRECT($C$5&amp;"生成成长"),2))/((VLOOKUP($B189,INDIRECT($B$5&amp;"生成成长"),4))/(VLOOKUP(BB$72,INDIRECT($C$5&amp;"生成成长"),5))*(VLOOKUP($B$5,标准坦克设计!$B$24:$U$30,MATCH("对"&amp;LEFT($C$5,2)&amp;"输出",标准坦克设计!$B$23:$U$23,0)))*(VLOOKUP($B189,INDIRECT($B$5&amp;"生成成长"),3))*(VLOOKUP($B$5,标准坦克设计!$B$14:$K$20,9)/30))</f>
        <v>6.6278801321322618</v>
      </c>
      <c r="BC189" s="173">
        <f ca="1">(VLOOKUP(BC$72,INDIRECT($C$5&amp;"生成成长"),2))/((VLOOKUP($B189,INDIRECT($B$5&amp;"生成成长"),4))/(VLOOKUP(BC$72,INDIRECT($C$5&amp;"生成成长"),5))*(VLOOKUP($B$5,标准坦克设计!$B$24:$U$30,MATCH("对"&amp;LEFT($C$5,2)&amp;"输出",标准坦克设计!$B$23:$U$23,0)))*(VLOOKUP($B189,INDIRECT($B$5&amp;"生成成长"),3))*(VLOOKUP($B$5,标准坦克设计!$B$14:$K$20,9)/30))</f>
        <v>7.2821054899272886</v>
      </c>
      <c r="BD189" s="173">
        <f ca="1">(VLOOKUP(BD$72,INDIRECT($C$5&amp;"生成成长"),2))/((VLOOKUP($B189,INDIRECT($B$5&amp;"生成成长"),4))/(VLOOKUP(BD$72,INDIRECT($C$5&amp;"生成成长"),5))*(VLOOKUP($B$5,标准坦克设计!$B$24:$U$30,MATCH("对"&amp;LEFT($C$5,2)&amp;"输出",标准坦克设计!$B$23:$U$23,0)))*(VLOOKUP($B189,INDIRECT($B$5&amp;"生成成长"),3))*(VLOOKUP($B$5,标准坦克设计!$B$14:$K$20,9)/30))</f>
        <v>8.0549091938226649</v>
      </c>
      <c r="BE189" s="173">
        <f ca="1">(VLOOKUP(BE$72,INDIRECT($C$5&amp;"生成成长"),2))/((VLOOKUP($B189,INDIRECT($B$5&amp;"生成成长"),4))/(VLOOKUP(BE$72,INDIRECT($C$5&amp;"生成成长"),5))*(VLOOKUP($B$5,标准坦克设计!$B$24:$U$30,MATCH("对"&amp;LEFT($C$5,2)&amp;"输出",标准坦克设计!$B$23:$U$23,0)))*(VLOOKUP($B189,INDIRECT($B$5&amp;"生成成长"),3))*(VLOOKUP($B$5,标准坦克设计!$B$14:$K$20,9)/30))</f>
        <v>8.8666777903514191</v>
      </c>
      <c r="BF189" s="173">
        <f ca="1">(VLOOKUP(BF$72,INDIRECT($C$5&amp;"生成成长"),2))/((VLOOKUP($B189,INDIRECT($B$5&amp;"生成成长"),4))/(VLOOKUP(BF$72,INDIRECT($C$5&amp;"生成成长"),5))*(VLOOKUP($B$5,标准坦克设计!$B$24:$U$30,MATCH("对"&amp;LEFT($C$5,2)&amp;"输出",标准坦克设计!$B$23:$U$23,0)))*(VLOOKUP($B189,INDIRECT($B$5&amp;"生成成长"),3))*(VLOOKUP($B$5,标准坦克设计!$B$14:$K$20,9)/30))</f>
        <v>9.7174112795135539</v>
      </c>
      <c r="BG189" s="173">
        <f ca="1">(VLOOKUP(BG$72,INDIRECT($C$5&amp;"生成成长"),2))/((VLOOKUP($B189,INDIRECT($B$5&amp;"生成成长"),4))/(VLOOKUP(BG$72,INDIRECT($C$5&amp;"生成成长"),5))*(VLOOKUP($B$5,标准坦克设计!$B$24:$U$30,MATCH("对"&amp;LEFT($C$5,2)&amp;"输出",标准坦克设计!$B$23:$U$23,0)))*(VLOOKUP($B189,INDIRECT($B$5&amp;"生成成长"),3))*(VLOOKUP($B$5,标准坦克设计!$B$14:$K$20,9)/30))</f>
        <v>10.607109661309073</v>
      </c>
      <c r="BH189" s="173">
        <f ca="1">(VLOOKUP(BH$72,INDIRECT($C$5&amp;"生成成长"),2))/((VLOOKUP($B189,INDIRECT($B$5&amp;"生成成长"),4))/(VLOOKUP(BH$72,INDIRECT($C$5&amp;"生成成长"),5))*(VLOOKUP($B$5,标准坦克设计!$B$24:$U$30,MATCH("对"&amp;LEFT($C$5,2)&amp;"输出",标准坦克设计!$B$23:$U$23,0)))*(VLOOKUP($B189,INDIRECT($B$5&amp;"生成成长"),3))*(VLOOKUP($B$5,标准坦克设计!$B$14:$K$20,9)/30))</f>
        <v>5.1270101936613202</v>
      </c>
      <c r="BI189" s="173">
        <f ca="1">(VLOOKUP(BI$72,INDIRECT($C$5&amp;"生成成长"),2))/((VLOOKUP($B189,INDIRECT($B$5&amp;"生成成长"),4))/(VLOOKUP(BI$72,INDIRECT($C$5&amp;"生成成长"),5))*(VLOOKUP($B$5,标准坦克设计!$B$24:$U$30,MATCH("对"&amp;LEFT($C$5,2)&amp;"输出",标准坦克设计!$B$23:$U$23,0)))*(VLOOKUP($B189,INDIRECT($B$5&amp;"生成成长"),3))*(VLOOKUP($B$5,标准坦克设计!$B$14:$K$20,9)/30))</f>
        <v>5.7785897871417324</v>
      </c>
      <c r="BJ189" s="173">
        <f ca="1">(VLOOKUP(BJ$72,INDIRECT($C$5&amp;"生成成长"),2))/((VLOOKUP($B189,INDIRECT($B$5&amp;"生成成长"),4))/(VLOOKUP(BJ$72,INDIRECT($C$5&amp;"生成成长"),5))*(VLOOKUP($B$5,标准坦克设计!$B$24:$U$30,MATCH("对"&amp;LEFT($C$5,2)&amp;"输出",标准坦克设计!$B$23:$U$23,0)))*(VLOOKUP($B189,INDIRECT($B$5&amp;"生成成长"),3))*(VLOOKUP($B$5,标准坦克设计!$B$14:$K$20,9)/30))</f>
        <v>6.4691342732555288</v>
      </c>
      <c r="BK189" s="173">
        <f ca="1">(VLOOKUP(BK$72,INDIRECT($C$5&amp;"生成成长"),2))/((VLOOKUP($B189,INDIRECT($B$5&amp;"生成成长"),4))/(VLOOKUP(BK$72,INDIRECT($C$5&amp;"生成成长"),5))*(VLOOKUP($B$5,标准坦克设计!$B$24:$U$30,MATCH("对"&amp;LEFT($C$5,2)&amp;"输出",标准坦克设计!$B$23:$U$23,0)))*(VLOOKUP($B189,INDIRECT($B$5&amp;"生成成长"),3))*(VLOOKUP($B$5,标准坦克设计!$B$14:$K$20,9)/30))</f>
        <v>7.1986436520027031</v>
      </c>
      <c r="BL189" s="173">
        <f ca="1">(VLOOKUP(BL$72,INDIRECT($C$5&amp;"生成成长"),2))/((VLOOKUP($B189,INDIRECT($B$5&amp;"生成成长"),4))/(VLOOKUP(BL$72,INDIRECT($C$5&amp;"生成成长"),5))*(VLOOKUP($B$5,标准坦克设计!$B$24:$U$30,MATCH("对"&amp;LEFT($C$5,2)&amp;"输出",标准坦克设计!$B$23:$U$23,0)))*(VLOOKUP($B189,INDIRECT($B$5&amp;"生成成长"),3))*(VLOOKUP($B$5,标准坦克设计!$B$14:$K$20,9)/30))</f>
        <v>7.9671179233832579</v>
      </c>
      <c r="BM189" s="173">
        <f ca="1">(VLOOKUP(BM$72,INDIRECT($C$5&amp;"生成成长"),2))/((VLOOKUP($B189,INDIRECT($B$5&amp;"生成成长"),4))/(VLOOKUP(BM$72,INDIRECT($C$5&amp;"生成成长"),5))*(VLOOKUP($B$5,标准坦克设计!$B$24:$U$30,MATCH("对"&amp;LEFT($C$5,2)&amp;"输出",标准坦克设计!$B$23:$U$23,0)))*(VLOOKUP($B189,INDIRECT($B$5&amp;"生成成长"),3))*(VLOOKUP($B$5,标准坦克设计!$B$14:$K$20,9)/30))</f>
        <v>8.7745570873971932</v>
      </c>
      <c r="BN189" s="173">
        <f ca="1">(VLOOKUP(BN$72,INDIRECT($C$5&amp;"生成成长"),2))/((VLOOKUP($B189,INDIRECT($B$5&amp;"生成成长"),4))/(VLOOKUP(BN$72,INDIRECT($C$5&amp;"生成成长"),5))*(VLOOKUP($B$5,标准坦克设计!$B$24:$U$30,MATCH("对"&amp;LEFT($C$5,2)&amp;"输出",标准坦克设计!$B$23:$U$23,0)))*(VLOOKUP($B189,INDIRECT($B$5&amp;"生成成长"),3))*(VLOOKUP($B$5,标准坦克设计!$B$14:$K$20,9)/30))</f>
        <v>9.6209611440445109</v>
      </c>
      <c r="BO189" s="173">
        <f ca="1">(VLOOKUP(BO$72,INDIRECT($C$5&amp;"生成成长"),2))/((VLOOKUP($B189,INDIRECT($B$5&amp;"生成成长"),4))/(VLOOKUP(BO$72,INDIRECT($C$5&amp;"生成成长"),5))*(VLOOKUP($B$5,标准坦克设计!$B$24:$U$30,MATCH("对"&amp;LEFT($C$5,2)&amp;"输出",标准坦克设计!$B$23:$U$23,0)))*(VLOOKUP($B189,INDIRECT($B$5&amp;"生成成长"),3))*(VLOOKUP($B$5,标准坦克设计!$B$14:$K$20,9)/30))</f>
        <v>10.506330093325207</v>
      </c>
      <c r="BP189" s="173">
        <f ca="1">(VLOOKUP(BP$72,INDIRECT($C$5&amp;"生成成长"),2))/((VLOOKUP($B189,INDIRECT($B$5&amp;"生成成长"),4))/(VLOOKUP(BP$72,INDIRECT($C$5&amp;"生成成长"),5))*(VLOOKUP($B$5,标准坦克设计!$B$24:$U$30,MATCH("对"&amp;LEFT($C$5,2)&amp;"输出",标准坦克设计!$B$23:$U$23,0)))*(VLOOKUP($B189,INDIRECT($B$5&amp;"生成成长"),3))*(VLOOKUP($B$5,标准坦克设计!$B$14:$K$20,9)/30))</f>
        <v>11.430663935239282</v>
      </c>
      <c r="BQ189" s="173">
        <f ca="1">(VLOOKUP(BQ$72,INDIRECT($C$5&amp;"生成成长"),2))/((VLOOKUP($B189,INDIRECT($B$5&amp;"生成成长"),4))/(VLOOKUP(BQ$72,INDIRECT($C$5&amp;"生成成长"),5))*(VLOOKUP($B$5,标准坦克设计!$B$24:$U$30,MATCH("对"&amp;LEFT($C$5,2)&amp;"输出",标准坦克设计!$B$23:$U$23,0)))*(VLOOKUP($B189,INDIRECT($B$5&amp;"生成成长"),3))*(VLOOKUP($B$5,标准坦克设计!$B$14:$K$20,9)/30))</f>
        <v>12.393962669786736</v>
      </c>
      <c r="BR189" s="173">
        <f ca="1">(VLOOKUP(BR$72,INDIRECT($C$5&amp;"生成成长"),2))/((VLOOKUP($B189,INDIRECT($B$5&amp;"生成成长"),4))/(VLOOKUP(BR$72,INDIRECT($C$5&amp;"生成成长"),5))*(VLOOKUP($B$5,标准坦克设计!$B$24:$U$30,MATCH("对"&amp;LEFT($C$5,2)&amp;"输出",标准坦克设计!$B$23:$U$23,0)))*(VLOOKUP($B189,INDIRECT($B$5&amp;"生成成长"),3))*(VLOOKUP($B$5,标准坦克设计!$B$14:$K$20,9)/30))</f>
        <v>13.509994162495902</v>
      </c>
      <c r="BS189" s="173">
        <f ca="1">(VLOOKUP(BS$72,INDIRECT($C$5&amp;"生成成长"),2))/((VLOOKUP($B189,INDIRECT($B$5&amp;"生成成长"),4))/(VLOOKUP(BS$72,INDIRECT($C$5&amp;"生成成长"),5))*(VLOOKUP($B$5,标准坦克设计!$B$24:$U$30,MATCH("对"&amp;LEFT($C$5,2)&amp;"输出",标准坦克设计!$B$23:$U$23,0)))*(VLOOKUP($B189,INDIRECT($B$5&amp;"生成成长"),3))*(VLOOKUP($B$5,标准坦克设计!$B$14:$K$20,9)/30))</f>
        <v>14.674130460925287</v>
      </c>
      <c r="BT189" s="173">
        <f ca="1">(VLOOKUP(BT$72,INDIRECT($C$5&amp;"生成成长"),2))/((VLOOKUP($B189,INDIRECT($B$5&amp;"生成成长"),4))/(VLOOKUP(BT$72,INDIRECT($C$5&amp;"生成成长"),5))*(VLOOKUP($B$5,标准坦克设计!$B$24:$U$30,MATCH("对"&amp;LEFT($C$5,2)&amp;"输出",标准坦克设计!$B$23:$U$23,0)))*(VLOOKUP($B189,INDIRECT($B$5&amp;"生成成长"),3))*(VLOOKUP($B$5,标准坦克设计!$B$14:$K$20,9)/30))</f>
        <v>15.886371565074898</v>
      </c>
      <c r="BU189" s="173">
        <f ca="1">(VLOOKUP(BU$72,INDIRECT($C$5&amp;"生成成长"),2))/((VLOOKUP($B189,INDIRECT($B$5&amp;"生成成长"),4))/(VLOOKUP(BU$72,INDIRECT($C$5&amp;"生成成长"),5))*(VLOOKUP($B$5,标准坦克设计!$B$24:$U$30,MATCH("对"&amp;LEFT($C$5,2)&amp;"输出",标准坦克设计!$B$23:$U$23,0)))*(VLOOKUP($B189,INDIRECT($B$5&amp;"生成成长"),3))*(VLOOKUP($B$5,标准坦克设计!$B$14:$K$20,9)/30))</f>
        <v>17.146717474944726</v>
      </c>
      <c r="BV189" s="173">
        <f ca="1">(VLOOKUP(BV$72,INDIRECT($C$5&amp;"生成成长"),2))/((VLOOKUP($B189,INDIRECT($B$5&amp;"生成成长"),4))/(VLOOKUP(BV$72,INDIRECT($C$5&amp;"生成成长"),5))*(VLOOKUP($B$5,标准坦克设计!$B$24:$U$30,MATCH("对"&amp;LEFT($C$5,2)&amp;"输出",标准坦克设计!$B$23:$U$23,0)))*(VLOOKUP($B189,INDIRECT($B$5&amp;"生成成长"),3))*(VLOOKUP($B$5,标准坦克设计!$B$14:$K$20,9)/30))</f>
        <v>18.455168190534781</v>
      </c>
      <c r="BW189" s="173">
        <f ca="1">(VLOOKUP(BW$72,INDIRECT($C$5&amp;"生成成长"),2))/((VLOOKUP($B189,INDIRECT($B$5&amp;"生成成长"),4))/(VLOOKUP(BW$72,INDIRECT($C$5&amp;"生成成长"),5))*(VLOOKUP($B$5,标准坦克设计!$B$24:$U$30,MATCH("对"&amp;LEFT($C$5,2)&amp;"输出",标准坦克设计!$B$23:$U$23,0)))*(VLOOKUP($B189,INDIRECT($B$5&amp;"生成成长"),3))*(VLOOKUP($B$5,标准坦克设计!$B$14:$K$20,9)/30))</f>
        <v>8.4108847561523117</v>
      </c>
      <c r="BX189" s="173">
        <f ca="1">(VLOOKUP(BX$72,INDIRECT($C$5&amp;"生成成长"),2))/((VLOOKUP($B189,INDIRECT($B$5&amp;"生成成长"),4))/(VLOOKUP(BX$72,INDIRECT($C$5&amp;"生成成长"),5))*(VLOOKUP($B$5,标准坦克设计!$B$24:$U$30,MATCH("对"&amp;LEFT($C$5,2)&amp;"输出",标准坦克设计!$B$23:$U$23,0)))*(VLOOKUP($B189,INDIRECT($B$5&amp;"生成成长"),3))*(VLOOKUP($B$5,标准坦克设计!$B$14:$K$20,9)/30))</f>
        <v>9.3344970259805855</v>
      </c>
      <c r="BY189" s="173">
        <f ca="1">(VLOOKUP(BY$72,INDIRECT($C$5&amp;"生成成长"),2))/((VLOOKUP($B189,INDIRECT($B$5&amp;"生成成长"),4))/(VLOOKUP(BY$72,INDIRECT($C$5&amp;"生成成长"),5))*(VLOOKUP($B$5,标准坦克设计!$B$24:$U$30,MATCH("对"&amp;LEFT($C$5,2)&amp;"输出",标准坦克设计!$B$23:$U$23,0)))*(VLOOKUP($B189,INDIRECT($B$5&amp;"生成成长"),3))*(VLOOKUP($B$5,标准坦克设计!$B$14:$K$20,9)/30))</f>
        <v>10.306214101529081</v>
      </c>
      <c r="BZ189" s="173">
        <f ca="1">(VLOOKUP(BZ$72,INDIRECT($C$5&amp;"生成成长"),2))/((VLOOKUP($B189,INDIRECT($B$5&amp;"生成成长"),4))/(VLOOKUP(BZ$72,INDIRECT($C$5&amp;"生成成长"),5))*(VLOOKUP($B$5,标准坦克设计!$B$24:$U$30,MATCH("对"&amp;LEFT($C$5,2)&amp;"输出",标准坦克设计!$B$23:$U$23,0)))*(VLOOKUP($B189,INDIRECT($B$5&amp;"生成成长"),3))*(VLOOKUP($B$5,标准坦克设计!$B$14:$K$20,9)/30))</f>
        <v>11.326035982797798</v>
      </c>
      <c r="CA189" s="173">
        <f ca="1">(VLOOKUP(CA$72,INDIRECT($C$5&amp;"生成成长"),2))/((VLOOKUP($B189,INDIRECT($B$5&amp;"生成成长"),4))/(VLOOKUP(CA$72,INDIRECT($C$5&amp;"生成成长"),5))*(VLOOKUP($B$5,标准坦克设计!$B$24:$U$30,MATCH("对"&amp;LEFT($C$5,2)&amp;"输出",标准坦克设计!$B$23:$U$23,0)))*(VLOOKUP($B189,INDIRECT($B$5&amp;"生成成长"),3))*(VLOOKUP($B$5,标准坦克设计!$B$14:$K$20,9)/30))</f>
        <v>12.393962669786736</v>
      </c>
      <c r="CB189" s="173">
        <f ca="1">(VLOOKUP(CB$72,INDIRECT($C$5&amp;"生成成长"),2))/((VLOOKUP($B189,INDIRECT($B$5&amp;"生成成长"),4))/(VLOOKUP(CB$72,INDIRECT($C$5&amp;"生成成长"),5))*(VLOOKUP($B$5,标准坦克设计!$B$24:$U$30,MATCH("对"&amp;LEFT($C$5,2)&amp;"输出",标准坦克设计!$B$23:$U$23,0)))*(VLOOKUP($B189,INDIRECT($B$5&amp;"生成成长"),3))*(VLOOKUP($B$5,标准坦克设计!$B$14:$K$20,9)/30))</f>
        <v>13.509994162495902</v>
      </c>
      <c r="CC189" s="173">
        <f ca="1">(VLOOKUP(CC$72,INDIRECT($C$5&amp;"生成成长"),2))/((VLOOKUP($B189,INDIRECT($B$5&amp;"生成成长"),4))/(VLOOKUP(CC$72,INDIRECT($C$5&amp;"生成成长"),5))*(VLOOKUP($B$5,标准坦克设计!$B$24:$U$30,MATCH("对"&amp;LEFT($C$5,2)&amp;"输出",标准坦克设计!$B$23:$U$23,0)))*(VLOOKUP($B189,INDIRECT($B$5&amp;"生成成长"),3))*(VLOOKUP($B$5,标准坦克设计!$B$14:$K$20,9)/30))</f>
        <v>14.674130460925287</v>
      </c>
      <c r="CD189" s="173">
        <f ca="1">(VLOOKUP(CD$72,INDIRECT($C$5&amp;"生成成长"),2))/((VLOOKUP($B189,INDIRECT($B$5&amp;"生成成长"),4))/(VLOOKUP(CD$72,INDIRECT($C$5&amp;"生成成长"),5))*(VLOOKUP($B$5,标准坦克设计!$B$24:$U$30,MATCH("对"&amp;LEFT($C$5,2)&amp;"输出",标准坦克设计!$B$23:$U$23,0)))*(VLOOKUP($B189,INDIRECT($B$5&amp;"生成成长"),3))*(VLOOKUP($B$5,标准坦克设计!$B$14:$K$20,9)/30))</f>
        <v>15.886371565074898</v>
      </c>
      <c r="CE189" s="173">
        <f ca="1">(VLOOKUP(CE$72,INDIRECT($C$5&amp;"生成成长"),2))/((VLOOKUP($B189,INDIRECT($B$5&amp;"生成成长"),4))/(VLOOKUP(CE$72,INDIRECT($C$5&amp;"生成成长"),5))*(VLOOKUP($B$5,标准坦克设计!$B$24:$U$30,MATCH("对"&amp;LEFT($C$5,2)&amp;"输出",标准坦克设计!$B$23:$U$23,0)))*(VLOOKUP($B189,INDIRECT($B$5&amp;"生成成长"),3))*(VLOOKUP($B$5,标准坦克设计!$B$14:$K$20,9)/30))</f>
        <v>17.146717474944726</v>
      </c>
      <c r="CF189" s="173">
        <f ca="1">(VLOOKUP(CF$72,INDIRECT($C$5&amp;"生成成长"),2))/((VLOOKUP($B189,INDIRECT($B$5&amp;"生成成长"),4))/(VLOOKUP(CF$72,INDIRECT($C$5&amp;"生成成长"),5))*(VLOOKUP($B$5,标准坦克设计!$B$24:$U$30,MATCH("对"&amp;LEFT($C$5,2)&amp;"输出",标准坦克设计!$B$23:$U$23,0)))*(VLOOKUP($B189,INDIRECT($B$5&amp;"生成成长"),3))*(VLOOKUP($B$5,标准坦克设计!$B$14:$K$20,9)/30))</f>
        <v>18.455168190534781</v>
      </c>
      <c r="CG189" s="173">
        <f ca="1">(VLOOKUP(CG$72,INDIRECT($C$5&amp;"生成成长"),2))/((VLOOKUP($B189,INDIRECT($B$5&amp;"生成成长"),4))/(VLOOKUP(CG$72,INDIRECT($C$5&amp;"生成成长"),5))*(VLOOKUP($B$5,标准坦克设计!$B$24:$U$30,MATCH("对"&amp;LEFT($C$5,2)&amp;"输出",标准坦克设计!$B$23:$U$23,0)))*(VLOOKUP($B189,INDIRECT($B$5&amp;"生成成长"),3))*(VLOOKUP($B$5,标准坦克设计!$B$14:$K$20,9)/30))</f>
        <v>19.811723711845055</v>
      </c>
      <c r="CH189" s="173">
        <f ca="1">(VLOOKUP(CH$72,INDIRECT($C$5&amp;"生成成长"),2))/((VLOOKUP($B189,INDIRECT($B$5&amp;"生成成长"),4))/(VLOOKUP(CH$72,INDIRECT($C$5&amp;"生成成长"),5))*(VLOOKUP($B$5,标准坦克设计!$B$24:$U$30,MATCH("对"&amp;LEFT($C$5,2)&amp;"输出",标准坦克设计!$B$23:$U$23,0)))*(VLOOKUP($B189,INDIRECT($B$5&amp;"生成成长"),3))*(VLOOKUP($B$5,标准坦克设计!$B$14:$K$20,9)/30))</f>
        <v>21.216384038875553</v>
      </c>
      <c r="CI189" s="173">
        <f ca="1">(VLOOKUP(CI$72,INDIRECT($C$5&amp;"生成成长"),2))/((VLOOKUP($B189,INDIRECT($B$5&amp;"生成成长"),4))/(VLOOKUP(CI$72,INDIRECT($C$5&amp;"生成成长"),5))*(VLOOKUP($B$5,标准坦克设计!$B$24:$U$30,MATCH("对"&amp;LEFT($C$5,2)&amp;"输出",标准坦克设计!$B$23:$U$23,0)))*(VLOOKUP($B189,INDIRECT($B$5&amp;"生成成长"),3))*(VLOOKUP($B$5,标准坦克设计!$B$14:$K$20,9)/30))</f>
        <v>22.817071449215959</v>
      </c>
      <c r="CJ189" s="173">
        <f ca="1">(VLOOKUP(CJ$72,INDIRECT($C$5&amp;"生成成长"),2))/((VLOOKUP($B189,INDIRECT($B$5&amp;"生成成长"),4))/(VLOOKUP(CJ$72,INDIRECT($C$5&amp;"生成成长"),5))*(VLOOKUP($B$5,标准坦克设计!$B$24:$U$30,MATCH("对"&amp;LEFT($C$5,2)&amp;"输出",标准坦克设计!$B$23:$U$23,0)))*(VLOOKUP($B189,INDIRECT($B$5&amp;"生成成长"),3))*(VLOOKUP($B$5,标准坦克设计!$B$14:$K$20,9)/30))</f>
        <v>24.475965674477834</v>
      </c>
      <c r="CK189" s="173">
        <f ca="1">(VLOOKUP(CK$72,INDIRECT($C$5&amp;"生成成长"),2))/((VLOOKUP($B189,INDIRECT($B$5&amp;"生成成长"),4))/(VLOOKUP(CK$72,INDIRECT($C$5&amp;"生成成长"),5))*(VLOOKUP($B$5,标准坦克设计!$B$24:$U$30,MATCH("对"&amp;LEFT($C$5,2)&amp;"输出",标准坦克设计!$B$23:$U$23,0)))*(VLOOKUP($B189,INDIRECT($B$5&amp;"生成成长"),3))*(VLOOKUP($B$5,标准坦克设计!$B$14:$K$20,9)/30))</f>
        <v>26.193066714661175</v>
      </c>
      <c r="CL189" s="173">
        <f ca="1">(VLOOKUP(CL$72,INDIRECT($C$5&amp;"生成成长"),2))/((VLOOKUP($B189,INDIRECT($B$5&amp;"生成成长"),4))/(VLOOKUP(CL$72,INDIRECT($C$5&amp;"生成成长"),5))*(VLOOKUP($B$5,标准坦克设计!$B$24:$U$30,MATCH("对"&amp;LEFT($C$5,2)&amp;"输出",标准坦克设计!$B$23:$U$23,0)))*(VLOOKUP($B189,INDIRECT($B$5&amp;"生成成长"),3))*(VLOOKUP($B$5,标准坦克设计!$B$14:$K$20,9)/30))</f>
        <v>27.968374569765984</v>
      </c>
      <c r="CM189" s="173">
        <f ca="1">(VLOOKUP(CM$72,INDIRECT($C$5&amp;"生成成长"),2))/((VLOOKUP($B189,INDIRECT($B$5&amp;"生成成长"),4))/(VLOOKUP(CM$72,INDIRECT($C$5&amp;"生成成长"),5))*(VLOOKUP($B$5,标准坦克设计!$B$24:$U$30,MATCH("对"&amp;LEFT($C$5,2)&amp;"输出",标准坦克设计!$B$23:$U$23,0)))*(VLOOKUP($B189,INDIRECT($B$5&amp;"生成成长"),3))*(VLOOKUP($B$5,标准坦克设计!$B$14:$K$20,9)/30))</f>
        <v>29.801889239792271</v>
      </c>
      <c r="CN189" s="173">
        <f ca="1">(VLOOKUP(CN$72,INDIRECT($C$5&amp;"生成成长"),2))/((VLOOKUP($B189,INDIRECT($B$5&amp;"生成成长"),4))/(VLOOKUP(CN$72,INDIRECT($C$5&amp;"生成成长"),5))*(VLOOKUP($B$5,标准坦克设计!$B$24:$U$30,MATCH("对"&amp;LEFT($C$5,2)&amp;"输出",标准坦克设计!$B$23:$U$23,0)))*(VLOOKUP($B189,INDIRECT($B$5&amp;"生成成长"),3))*(VLOOKUP($B$5,标准坦克设计!$B$14:$K$20,9)/30))</f>
        <v>31.693610724740029</v>
      </c>
      <c r="CO189" s="173">
        <f ca="1">(VLOOKUP(CO$72,INDIRECT($C$5&amp;"生成成长"),2))/((VLOOKUP($B189,INDIRECT($B$5&amp;"生成成长"),4))/(VLOOKUP(CO$72,INDIRECT($C$5&amp;"生成成长"),5))*(VLOOKUP($B$5,标准坦克设计!$B$24:$U$30,MATCH("对"&amp;LEFT($C$5,2)&amp;"输出",标准坦克设计!$B$23:$U$23,0)))*(VLOOKUP($B189,INDIRECT($B$5&amp;"生成成长"),3))*(VLOOKUP($B$5,标准坦克设计!$B$14:$K$20,9)/30))</f>
        <v>14.202703364867105</v>
      </c>
      <c r="CP189" s="173">
        <f ca="1">(VLOOKUP(CP$72,INDIRECT($C$5&amp;"生成成长"),2))/((VLOOKUP($B189,INDIRECT($B$5&amp;"生成成长"),4))/(VLOOKUP(CP$72,INDIRECT($C$5&amp;"生成成长"),5))*(VLOOKUP($B$5,标准坦克设计!$B$24:$U$30,MATCH("对"&amp;LEFT($C$5,2)&amp;"输出",标准坦克设计!$B$23:$U$23,0)))*(VLOOKUP($B189,INDIRECT($B$5&amp;"生成成长"),3))*(VLOOKUP($B$5,标准坦克设计!$B$14:$K$20,9)/30))</f>
        <v>15.517648229229389</v>
      </c>
      <c r="CQ189" s="173">
        <f ca="1">(VLOOKUP(CQ$72,INDIRECT($C$5&amp;"生成成长"),2))/((VLOOKUP($B189,INDIRECT($B$5&amp;"生成成长"),4))/(VLOOKUP(CQ$72,INDIRECT($C$5&amp;"生成成长"),5))*(VLOOKUP($B$5,标准坦克设计!$B$24:$U$30,MATCH("对"&amp;LEFT($C$5,2)&amp;"输出",标准坦克设计!$B$23:$U$23,0)))*(VLOOKUP($B189,INDIRECT($B$5&amp;"生成成长"),3))*(VLOOKUP($B$5,标准坦克设计!$B$14:$K$20,9)/30))</f>
        <v>16.890799908513145</v>
      </c>
      <c r="CR189" s="173">
        <f ca="1">(VLOOKUP(CR$72,INDIRECT($C$5&amp;"生成成长"),2))/((VLOOKUP($B189,INDIRECT($B$5&amp;"生成成长"),4))/(VLOOKUP(CR$72,INDIRECT($C$5&amp;"生成成长"),5))*(VLOOKUP($B$5,标准坦克设计!$B$24:$U$30,MATCH("对"&amp;LEFT($C$5,2)&amp;"输出",标准坦克设计!$B$23:$U$23,0)))*(VLOOKUP($B189,INDIRECT($B$5&amp;"生成成长"),3))*(VLOOKUP($B$5,标准坦克设计!$B$14:$K$20,9)/30))</f>
        <v>18.322158402718365</v>
      </c>
      <c r="CS189" s="173">
        <f ca="1">(VLOOKUP(CS$72,INDIRECT($C$5&amp;"生成成长"),2))/((VLOOKUP($B189,INDIRECT($B$5&amp;"生成成长"),4))/(VLOOKUP(CS$72,INDIRECT($C$5&amp;"生成成长"),5))*(VLOOKUP($B$5,标准坦克设计!$B$24:$U$30,MATCH("对"&amp;LEFT($C$5,2)&amp;"输出",标准坦克设计!$B$23:$U$23,0)))*(VLOOKUP($B189,INDIRECT($B$5&amp;"生成成长"),3))*(VLOOKUP($B$5,标准坦克设计!$B$14:$K$20,9)/30))</f>
        <v>19.811723711845055</v>
      </c>
      <c r="CT189" s="173">
        <f ca="1">(VLOOKUP(CT$72,INDIRECT($C$5&amp;"生成成长"),2))/((VLOOKUP($B189,INDIRECT($B$5&amp;"生成成长"),4))/(VLOOKUP(CT$72,INDIRECT($C$5&amp;"生成成长"),5))*(VLOOKUP($B$5,标准坦克设计!$B$24:$U$30,MATCH("对"&amp;LEFT($C$5,2)&amp;"输出",标准坦克设计!$B$23:$U$23,0)))*(VLOOKUP($B189,INDIRECT($B$5&amp;"生成成长"),3))*(VLOOKUP($B$5,标准坦克设计!$B$14:$K$20,9)/30))</f>
        <v>21.359495835893217</v>
      </c>
      <c r="CU189" s="173">
        <f ca="1">(VLOOKUP(CU$72,INDIRECT($C$5&amp;"生成成长"),2))/((VLOOKUP($B189,INDIRECT($B$5&amp;"生成成长"),4))/(VLOOKUP(CU$72,INDIRECT($C$5&amp;"生成成长"),5))*(VLOOKUP($B$5,标准坦克设计!$B$24:$U$30,MATCH("对"&amp;LEFT($C$5,2)&amp;"输出",标准坦克设计!$B$23:$U$23,0)))*(VLOOKUP($B189,INDIRECT($B$5&amp;"生成成长"),3))*(VLOOKUP($B$5,标准坦克设计!$B$14:$K$20,9)/30))</f>
        <v>22.965474774862844</v>
      </c>
      <c r="CV189" s="173">
        <f ca="1">(VLOOKUP(CV$72,INDIRECT($C$5&amp;"生成成长"),2))/((VLOOKUP($B189,INDIRECT($B$5&amp;"生成成长"),4))/(VLOOKUP(CV$72,INDIRECT($C$5&amp;"生成成长"),5))*(VLOOKUP($B$5,标准坦克设计!$B$24:$U$30,MATCH("对"&amp;LEFT($C$5,2)&amp;"输出",标准坦克设计!$B$23:$U$23,0)))*(VLOOKUP($B189,INDIRECT($B$5&amp;"生成成长"),3))*(VLOOKUP($B$5,标准坦克设计!$B$14:$K$20,9)/30))</f>
        <v>24.629660528753949</v>
      </c>
      <c r="CW189" s="173">
        <f ca="1">(VLOOKUP(CW$72,INDIRECT($C$5&amp;"生成成长"),2))/((VLOOKUP($B189,INDIRECT($B$5&amp;"生成成长"),4))/(VLOOKUP(CW$72,INDIRECT($C$5&amp;"生成成长"),5))*(VLOOKUP($B$5,标准坦克设计!$B$24:$U$30,MATCH("对"&amp;LEFT($C$5,2)&amp;"输出",标准坦克设计!$B$23:$U$23,0)))*(VLOOKUP($B189,INDIRECT($B$5&amp;"生成成长"),3))*(VLOOKUP($B$5,标准坦克设计!$B$14:$K$20,9)/30))</f>
        <v>26.352053097566511</v>
      </c>
      <c r="CX189" s="173">
        <f ca="1">(VLOOKUP(CX$72,INDIRECT($C$5&amp;"生成成长"),2))/((VLOOKUP($B189,INDIRECT($B$5&amp;"生成成长"),4))/(VLOOKUP(CX$72,INDIRECT($C$5&amp;"生成成长"),5))*(VLOOKUP($B$5,标准坦克设计!$B$24:$U$30,MATCH("对"&amp;LEFT($C$5,2)&amp;"输出",标准坦克设计!$B$23:$U$23,0)))*(VLOOKUP($B189,INDIRECT($B$5&amp;"生成成长"),3))*(VLOOKUP($B$5,标准坦克设计!$B$14:$K$20,9)/30))</f>
        <v>28.13265248130055</v>
      </c>
      <c r="CY189" s="173">
        <f ca="1">(VLOOKUP(CY$72,INDIRECT($C$5&amp;"生成成长"),2))/((VLOOKUP($B189,INDIRECT($B$5&amp;"生成成长"),4))/(VLOOKUP(CY$72,INDIRECT($C$5&amp;"生成成长"),5))*(VLOOKUP($B$5,标准坦克设计!$B$24:$U$30,MATCH("对"&amp;LEFT($C$5,2)&amp;"输出",标准坦克设计!$B$23:$U$23,0)))*(VLOOKUP($B189,INDIRECT($B$5&amp;"生成成长"),3))*(VLOOKUP($B$5,标准坦克设计!$B$14:$K$20,9)/30))</f>
        <v>29.971458679956058</v>
      </c>
      <c r="CZ189" s="173">
        <f ca="1">(VLOOKUP(CZ$72,INDIRECT($C$5&amp;"生成成长"),2))/((VLOOKUP($B189,INDIRECT($B$5&amp;"生成成长"),4))/(VLOOKUP(CZ$72,INDIRECT($C$5&amp;"生成成长"),5))*(VLOOKUP($B$5,标准坦克设计!$B$24:$U$30,MATCH("对"&amp;LEFT($C$5,2)&amp;"输出",标准坦克设计!$B$23:$U$23,0)))*(VLOOKUP($B189,INDIRECT($B$5&amp;"生成成长"),3))*(VLOOKUP($B$5,标准坦克设计!$B$14:$K$20,9)/30))</f>
        <v>31.868471693533031</v>
      </c>
      <c r="DA189" s="173">
        <f ca="1">(VLOOKUP(DA$72,INDIRECT($C$5&amp;"生成成长"),2))/((VLOOKUP($B189,INDIRECT($B$5&amp;"生成成长"),4))/(VLOOKUP(DA$72,INDIRECT($C$5&amp;"生成成长"),5))*(VLOOKUP($B$5,标准坦克设计!$B$24:$U$30,MATCH("对"&amp;LEFT($C$5,2)&amp;"输出",标准坦克设计!$B$23:$U$23,0)))*(VLOOKUP($B189,INDIRECT($B$5&amp;"生成成长"),3))*(VLOOKUP($B$5,标准坦克设计!$B$14:$K$20,9)/30))</f>
        <v>33.823691522031481</v>
      </c>
      <c r="DB189" s="173">
        <f ca="1">(VLOOKUP(DB$72,INDIRECT($C$5&amp;"生成成长"),2))/((VLOOKUP($B189,INDIRECT($B$5&amp;"生成成长"),4))/(VLOOKUP(DB$72,INDIRECT($C$5&amp;"生成成长"),5))*(VLOOKUP($B$5,标准坦克设计!$B$24:$U$30,MATCH("对"&amp;LEFT($C$5,2)&amp;"输出",标准坦克设计!$B$23:$U$23,0)))*(VLOOKUP($B189,INDIRECT($B$5&amp;"生成成长"),3))*(VLOOKUP($B$5,标准坦克设计!$B$14:$K$20,9)/30))</f>
        <v>35.837118165451393</v>
      </c>
      <c r="DC189" s="173">
        <f ca="1">(VLOOKUP(DC$72,INDIRECT($C$5&amp;"生成成长"),2))/((VLOOKUP($B189,INDIRECT($B$5&amp;"生成成长"),4))/(VLOOKUP(DC$72,INDIRECT($C$5&amp;"生成成长"),5))*(VLOOKUP($B$5,标准坦克设计!$B$24:$U$30,MATCH("对"&amp;LEFT($C$5,2)&amp;"输出",标准坦克设计!$B$23:$U$23,0)))*(VLOOKUP($B189,INDIRECT($B$5&amp;"生成成长"),3))*(VLOOKUP($B$5,标准坦克设计!$B$14:$K$20,9)/30))</f>
        <v>38.099968226530663</v>
      </c>
      <c r="DD189" s="173">
        <f ca="1">(VLOOKUP(DD$72,INDIRECT($C$5&amp;"生成成长"),2))/((VLOOKUP($B189,INDIRECT($B$5&amp;"生成成长"),4))/(VLOOKUP(DD$72,INDIRECT($C$5&amp;"生成成长"),5))*(VLOOKUP($B$5,标准坦克设计!$B$24:$U$30,MATCH("对"&amp;LEFT($C$5,2)&amp;"输出",标准坦克设计!$B$23:$U$23,0)))*(VLOOKUP($B189,INDIRECT($B$5&amp;"生成成长"),3))*(VLOOKUP($B$5,标准坦克设计!$B$14:$K$20,9)/30))</f>
        <v>40.432089207847056</v>
      </c>
      <c r="DE189" s="173">
        <f ca="1">(VLOOKUP(DE$72,INDIRECT($C$5&amp;"生成成长"),2))/((VLOOKUP($B189,INDIRECT($B$5&amp;"生成成长"),4))/(VLOOKUP(DE$72,INDIRECT($C$5&amp;"生成成长"),5))*(VLOOKUP($B$5,标准坦克设计!$B$24:$U$30,MATCH("对"&amp;LEFT($C$5,2)&amp;"输出",标准坦克设计!$B$23:$U$23,0)))*(VLOOKUP($B189,INDIRECT($B$5&amp;"生成成长"),3))*(VLOOKUP($B$5,标准坦克设计!$B$14:$K$20,9)/30))</f>
        <v>42.833481109400566</v>
      </c>
      <c r="DF189" s="173">
        <f ca="1">(VLOOKUP(DF$72,INDIRECT($C$5&amp;"生成成长"),2))/((VLOOKUP($B189,INDIRECT($B$5&amp;"生成成长"),4))/(VLOOKUP(DF$72,INDIRECT($C$5&amp;"生成成长"),5))*(VLOOKUP($B$5,标准坦克设计!$B$24:$U$30,MATCH("对"&amp;LEFT($C$5,2)&amp;"输出",标准坦克设计!$B$23:$U$23,0)))*(VLOOKUP($B189,INDIRECT($B$5&amp;"生成成长"),3))*(VLOOKUP($B$5,标准坦克设计!$B$14:$K$20,9)/30))</f>
        <v>45.304143931191192</v>
      </c>
      <c r="DG189" s="173">
        <f ca="1">(VLOOKUP(DG$72,INDIRECT($C$5&amp;"生成成长"),2))/((VLOOKUP($B189,INDIRECT($B$5&amp;"生成成长"),4))/(VLOOKUP(DG$72,INDIRECT($C$5&amp;"生成成长"),5))*(VLOOKUP($B$5,标准坦克设计!$B$24:$U$30,MATCH("对"&amp;LEFT($C$5,2)&amp;"输出",标准坦克设计!$B$23:$U$23,0)))*(VLOOKUP($B189,INDIRECT($B$5&amp;"生成成长"),3))*(VLOOKUP($B$5,标准坦克设计!$B$14:$K$20,9)/30))</f>
        <v>47.844077673218948</v>
      </c>
      <c r="DH189" s="173">
        <f ca="1">(VLOOKUP(DH$72,INDIRECT($C$5&amp;"生成成长"),2))/((VLOOKUP($B189,INDIRECT($B$5&amp;"生成成长"),4))/(VLOOKUP(DH$72,INDIRECT($C$5&amp;"生成成长"),5))*(VLOOKUP($B$5,标准坦克设计!$B$24:$U$30,MATCH("对"&amp;LEFT($C$5,2)&amp;"输出",标准坦克设计!$B$23:$U$23,0)))*(VLOOKUP($B189,INDIRECT($B$5&amp;"生成成长"),3))*(VLOOKUP($B$5,标准坦克设计!$B$14:$K$20,9)/30))</f>
        <v>50.453282335483813</v>
      </c>
      <c r="DI189" s="173">
        <f ca="1">(VLOOKUP(DI$72,INDIRECT($C$5&amp;"生成成长"),2))/((VLOOKUP($B189,INDIRECT($B$5&amp;"生成成长"),4))/(VLOOKUP(DI$72,INDIRECT($C$5&amp;"生成成长"),5))*(VLOOKUP($B$5,标准坦克设计!$B$24:$U$30,MATCH("对"&amp;LEFT($C$5,2)&amp;"输出",标准坦克设计!$B$23:$U$23,0)))*(VLOOKUP($B189,INDIRECT($B$5&amp;"生成成长"),3))*(VLOOKUP($B$5,标准坦克设计!$B$14:$K$20,9)/30))</f>
        <v>53.131757917985809</v>
      </c>
      <c r="DJ189" s="173">
        <f ca="1">(VLOOKUP(DJ$72,INDIRECT($C$5&amp;"生成成长"),2))/((VLOOKUP($B189,INDIRECT($B$5&amp;"生成成长"),4))/(VLOOKUP(DJ$72,INDIRECT($C$5&amp;"生成成长"),5))*(VLOOKUP($B$5,标准坦克设计!$B$24:$U$30,MATCH("对"&amp;LEFT($C$5,2)&amp;"输出",标准坦克设计!$B$23:$U$23,0)))*(VLOOKUP($B189,INDIRECT($B$5&amp;"生成成长"),3))*(VLOOKUP($B$5,标准坦克设计!$B$14:$K$20,9)/30))</f>
        <v>5.3398739589733042</v>
      </c>
      <c r="DK189" s="173">
        <f ca="1">(VLOOKUP(DK$72,INDIRECT($C$5&amp;"生成成长"),2))/((VLOOKUP($B189,INDIRECT($B$5&amp;"生成成长"),4))/(VLOOKUP(DK$72,INDIRECT($C$5&amp;"生成成长"),5))*(VLOOKUP($B$5,标准坦克设计!$B$24:$U$30,MATCH("对"&amp;LEFT($C$5,2)&amp;"输出",标准坦克设计!$B$23:$U$23,0)))*(VLOOKUP($B189,INDIRECT($B$5&amp;"生成成长"),3))*(VLOOKUP($B$5,标准坦克设计!$B$14:$K$20,9)/30))</f>
        <v>6.0044418499981775</v>
      </c>
      <c r="DL189" s="173">
        <f ca="1">(VLOOKUP(DL$72,INDIRECT($C$5&amp;"生成成长"),2))/((VLOOKUP($B189,INDIRECT($B$5&amp;"生成成长"),4))/(VLOOKUP(DL$72,INDIRECT($C$5&amp;"生成成长"),5))*(VLOOKUP($B$5,标准坦克设计!$B$24:$U$30,MATCH("对"&amp;LEFT($C$5,2)&amp;"输出",标准坦克设计!$B$23:$U$23,0)))*(VLOOKUP($B189,INDIRECT($B$5&amp;"生成成长"),3))*(VLOOKUP($B$5,标准坦克设计!$B$14:$K$20,9)/30))</f>
        <v>6.7079746336564341</v>
      </c>
      <c r="DM189" s="173">
        <f ca="1">(VLOOKUP(DM$72,INDIRECT($C$5&amp;"生成成长"),2))/((VLOOKUP($B189,INDIRECT($B$5&amp;"生成成长"),4))/(VLOOKUP(DM$72,INDIRECT($C$5&amp;"生成成长"),5))*(VLOOKUP($B$5,标准坦克设计!$B$24:$U$30,MATCH("对"&amp;LEFT($C$5,2)&amp;"输出",标准坦克设计!$B$23:$U$23,0)))*(VLOOKUP($B189,INDIRECT($B$5&amp;"生成成长"),3))*(VLOOKUP($B$5,标准坦克设计!$B$14:$K$20,9)/30))</f>
        <v>7.4504723099480676</v>
      </c>
      <c r="DN189" s="173">
        <f ca="1">(VLOOKUP(DN$72,INDIRECT($C$5&amp;"生成成长"),2))/((VLOOKUP($B189,INDIRECT($B$5&amp;"生成成长"),4))/(VLOOKUP(DN$72,INDIRECT($C$5&amp;"生成成长"),5))*(VLOOKUP($B$5,标准坦克设计!$B$24:$U$30,MATCH("对"&amp;LEFT($C$5,2)&amp;"输出",标准坦克设计!$B$23:$U$23,0)))*(VLOOKUP($B189,INDIRECT($B$5&amp;"生成成长"),3))*(VLOOKUP($B$5,标准坦克设计!$B$14:$K$20,9)/30))</f>
        <v>8.2319348788730853</v>
      </c>
      <c r="DO189" s="173">
        <f ca="1">(VLOOKUP(DO$72,INDIRECT($C$5&amp;"生成成长"),2))/((VLOOKUP($B189,INDIRECT($B$5&amp;"生成成长"),4))/(VLOOKUP(DO$72,INDIRECT($C$5&amp;"生成成长"),5))*(VLOOKUP($B$5,标准坦克设计!$B$24:$U$30,MATCH("对"&amp;LEFT($C$5,2)&amp;"输出",标准坦克设计!$B$23:$U$23,0)))*(VLOOKUP($B189,INDIRECT($B$5&amp;"生成成长"),3))*(VLOOKUP($B$5,标准坦克设计!$B$14:$K$20,9)/30))</f>
        <v>9.052362340431479</v>
      </c>
      <c r="DP189" s="173">
        <f ca="1">(VLOOKUP(DP$72,INDIRECT($C$5&amp;"生成成长"),2))/((VLOOKUP($B189,INDIRECT($B$5&amp;"生成成长"),4))/(VLOOKUP(DP$72,INDIRECT($C$5&amp;"生成成长"),5))*(VLOOKUP($B$5,标准坦克设计!$B$24:$U$30,MATCH("对"&amp;LEFT($C$5,2)&amp;"输出",标准坦克设计!$B$23:$U$23,0)))*(VLOOKUP($B189,INDIRECT($B$5&amp;"生成成长"),3))*(VLOOKUP($B$5,标准坦克设计!$B$14:$K$20,9)/30))</f>
        <v>9.9117546946232533</v>
      </c>
      <c r="DQ189" s="173">
        <f ca="1">(VLOOKUP(DQ$72,INDIRECT($C$5&amp;"生成成长"),2))/((VLOOKUP($B189,INDIRECT($B$5&amp;"生成成长"),4))/(VLOOKUP(DQ$72,INDIRECT($C$5&amp;"生成成长"),5))*(VLOOKUP($B$5,标准坦克设计!$B$24:$U$30,MATCH("对"&amp;LEFT($C$5,2)&amp;"输出",标准坦克设计!$B$23:$U$23,0)))*(VLOOKUP($B189,INDIRECT($B$5&amp;"生成成长"),3))*(VLOOKUP($B$5,标准坦克设计!$B$14:$K$20,9)/30))</f>
        <v>10.81011194144841</v>
      </c>
      <c r="DR189" s="173">
        <f ca="1">(VLOOKUP(DR$72,INDIRECT($C$5&amp;"生成成长"),2))/((VLOOKUP($B189,INDIRECT($B$5&amp;"生成成长"),4))/(VLOOKUP(DR$72,INDIRECT($C$5&amp;"生成成长"),5))*(VLOOKUP($B$5,标准坦克设计!$B$24:$U$30,MATCH("对"&amp;LEFT($C$5,2)&amp;"输出",标准坦克设计!$B$23:$U$23,0)))*(VLOOKUP($B189,INDIRECT($B$5&amp;"生成成长"),3))*(VLOOKUP($B$5,标准坦克设计!$B$14:$K$20,9)/30))</f>
        <v>11.747434080906947</v>
      </c>
      <c r="DS189" s="173">
        <f ca="1">(VLOOKUP(DS$72,INDIRECT($C$5&amp;"生成成长"),2))/((VLOOKUP($B189,INDIRECT($B$5&amp;"生成成长"),4))/(VLOOKUP(DS$72,INDIRECT($C$5&amp;"生成成长"),5))*(VLOOKUP($B$5,标准坦克设计!$B$24:$U$30,MATCH("对"&amp;LEFT($C$5,2)&amp;"输出",标准坦克设计!$B$23:$U$23,0)))*(VLOOKUP($B189,INDIRECT($B$5&amp;"生成成长"),3))*(VLOOKUP($B$5,标准坦克设计!$B$14:$K$20,9)/30))</f>
        <v>12.723721112998863</v>
      </c>
      <c r="DT189" s="173">
        <f ca="1">(VLOOKUP(DT$72,INDIRECT($C$5&amp;"生成成长"),2))/((VLOOKUP($B189,INDIRECT($B$5&amp;"生成成长"),4))/(VLOOKUP(DT$72,INDIRECT($C$5&amp;"生成成长"),5))*(VLOOKUP($B$5,标准坦克设计!$B$24:$U$30,MATCH("对"&amp;LEFT($C$5,2)&amp;"输出",标准坦克设计!$B$23:$U$23,0)))*(VLOOKUP($B189,INDIRECT($B$5&amp;"生成成长"),3))*(VLOOKUP($B$5,标准坦克设计!$B$14:$K$20,9)/30))</f>
        <v>13.969876105181232</v>
      </c>
      <c r="DU189" s="173">
        <f ca="1">(VLOOKUP(DU$72,INDIRECT($C$5&amp;"生成成长"),2))/((VLOOKUP($B189,INDIRECT($B$5&amp;"生成成长"),4))/(VLOOKUP(DU$72,INDIRECT($C$5&amp;"生成成长"),5))*(VLOOKUP($B$5,标准坦克设计!$B$24:$U$30,MATCH("对"&amp;LEFT($C$5,2)&amp;"输出",标准坦克设计!$B$23:$U$23,0)))*(VLOOKUP($B189,INDIRECT($B$5&amp;"生成成长"),3))*(VLOOKUP($B$5,标准坦克设计!$B$14:$K$20,9)/30))</f>
        <v>15.274237912285061</v>
      </c>
      <c r="DV189" s="173">
        <f ca="1">(VLOOKUP(DV$72,INDIRECT($C$5&amp;"生成成长"),2))/((VLOOKUP($B189,INDIRECT($B$5&amp;"生成成长"),4))/(VLOOKUP(DV$72,INDIRECT($C$5&amp;"生成成长"),5))*(VLOOKUP($B$5,标准坦克设计!$B$24:$U$30,MATCH("对"&amp;LEFT($C$5,2)&amp;"输出",标准坦克设计!$B$23:$U$23,0)))*(VLOOKUP($B189,INDIRECT($B$5&amp;"生成成长"),3))*(VLOOKUP($B$5,标准坦克设计!$B$14:$K$20,9)/30))</f>
        <v>16.63680653431037</v>
      </c>
      <c r="DW189" s="173">
        <f ca="1">(VLOOKUP(DW$72,INDIRECT($C$5&amp;"生成成长"),2))/((VLOOKUP($B189,INDIRECT($B$5&amp;"生成成长"),4))/(VLOOKUP(DW$72,INDIRECT($C$5&amp;"生成成长"),5))*(VLOOKUP($B$5,标准坦克设计!$B$24:$U$30,MATCH("对"&amp;LEFT($C$5,2)&amp;"输出",标准坦克设计!$B$23:$U$23,0)))*(VLOOKUP($B189,INDIRECT($B$5&amp;"生成成长"),3))*(VLOOKUP($B$5,标准坦克设计!$B$14:$K$20,9)/30))</f>
        <v>18.057581971257139</v>
      </c>
      <c r="DX189" s="173">
        <f ca="1">(VLOOKUP(DX$72,INDIRECT($C$5&amp;"生成成长"),2))/((VLOOKUP($B189,INDIRECT($B$5&amp;"生成成长"),4))/(VLOOKUP(DX$72,INDIRECT($C$5&amp;"生成成长"),5))*(VLOOKUP($B$5,标准坦克设计!$B$24:$U$30,MATCH("对"&amp;LEFT($C$5,2)&amp;"输出",标准坦克设计!$B$23:$U$23,0)))*(VLOOKUP($B189,INDIRECT($B$5&amp;"生成成长"),3))*(VLOOKUP($B$5,标准坦克设计!$B$14:$K$20,9)/30))</f>
        <v>19.536564223125382</v>
      </c>
      <c r="DY189" s="173">
        <f ca="1">(VLOOKUP(DY$72,INDIRECT($C$5&amp;"生成成长"),2))/((VLOOKUP($B189,INDIRECT($B$5&amp;"生成成长"),4))/(VLOOKUP(DY$72,INDIRECT($C$5&amp;"生成成长"),5))*(VLOOKUP($B$5,标准坦克设计!$B$24:$U$30,MATCH("对"&amp;LEFT($C$5,2)&amp;"输出",标准坦克设计!$B$23:$U$23,0)))*(VLOOKUP($B189,INDIRECT($B$5&amp;"生成成长"),3))*(VLOOKUP($B$5,标准坦克设计!$B$14:$K$20,9)/30))</f>
        <v>8.7745570873971932</v>
      </c>
      <c r="DZ189" s="173">
        <f ca="1">(VLOOKUP(DZ$72,INDIRECT($C$5&amp;"生成成长"),2))/((VLOOKUP($B189,INDIRECT($B$5&amp;"生成成长"),4))/(VLOOKUP(DZ$72,INDIRECT($C$5&amp;"生成成长"),5))*(VLOOKUP($B$5,标准坦克设计!$B$24:$U$30,MATCH("对"&amp;LEFT($C$5,2)&amp;"输出",标准坦克设计!$B$23:$U$23,0)))*(VLOOKUP($B189,INDIRECT($B$5&amp;"生成成长"),3))*(VLOOKUP($B$5,标准坦克设计!$B$14:$K$20,9)/30))</f>
        <v>9.7174112795135539</v>
      </c>
      <c r="EA189" s="173">
        <f ca="1">(VLOOKUP(EA$72,INDIRECT($C$5&amp;"生成成长"),2))/((VLOOKUP($B189,INDIRECT($B$5&amp;"生成成长"),4))/(VLOOKUP(EA$72,INDIRECT($C$5&amp;"生成成长"),5))*(VLOOKUP($B$5,标准坦克设计!$B$24:$U$30,MATCH("对"&amp;LEFT($C$5,2)&amp;"输出",标准坦克设计!$B$23:$U$23,0)))*(VLOOKUP($B189,INDIRECT($B$5&amp;"生成成长"),3))*(VLOOKUP($B$5,标准坦克设计!$B$14:$K$20,9)/30))</f>
        <v>10.708370277350141</v>
      </c>
      <c r="EB189" s="173">
        <f ca="1">(VLOOKUP(EB$72,INDIRECT($C$5&amp;"生成成长"),2))/((VLOOKUP($B189,INDIRECT($B$5&amp;"生成成长"),4))/(VLOOKUP(EB$72,INDIRECT($C$5&amp;"生成成长"),5))*(VLOOKUP($B$5,标准坦克设计!$B$24:$U$30,MATCH("对"&amp;LEFT($C$5,2)&amp;"输出",标准坦克设计!$B$23:$U$23,0)))*(VLOOKUP($B189,INDIRECT($B$5&amp;"生成成长"),3))*(VLOOKUP($B$5,标准坦克设计!$B$14:$K$20,9)/30))</f>
        <v>11.747434080906947</v>
      </c>
      <c r="EC189" s="173">
        <f ca="1">(VLOOKUP(EC$72,INDIRECT($C$5&amp;"生成成长"),2))/((VLOOKUP($B189,INDIRECT($B$5&amp;"生成成长"),4))/(VLOOKUP(EC$72,INDIRECT($C$5&amp;"生成成长"),5))*(VLOOKUP($B$5,标准坦克设计!$B$24:$U$30,MATCH("对"&amp;LEFT($C$5,2)&amp;"输出",标准坦克设计!$B$23:$U$23,0)))*(VLOOKUP($B189,INDIRECT($B$5&amp;"生成成长"),3))*(VLOOKUP($B$5,标准坦克设计!$B$14:$K$20,9)/30))</f>
        <v>12.834602690183978</v>
      </c>
      <c r="ED189" s="173">
        <f ca="1">(VLOOKUP(ED$72,INDIRECT($C$5&amp;"生成成长"),2))/((VLOOKUP($B189,INDIRECT($B$5&amp;"生成成长"),4))/(VLOOKUP(ED$72,INDIRECT($C$5&amp;"生成成长"),5))*(VLOOKUP($B$5,标准坦克设计!$B$24:$U$30,MATCH("对"&amp;LEFT($C$5,2)&amp;"输出",标准坦克设计!$B$23:$U$23,0)))*(VLOOKUP($B189,INDIRECT($B$5&amp;"生成成长"),3))*(VLOOKUP($B$5,标准坦克设计!$B$14:$K$20,9)/30))</f>
        <v>13.969876105181232</v>
      </c>
      <c r="EE189" s="173">
        <f ca="1">(VLOOKUP(EE$72,INDIRECT($C$5&amp;"生成成长"),2))/((VLOOKUP($B189,INDIRECT($B$5&amp;"生成成长"),4))/(VLOOKUP(EE$72,INDIRECT($C$5&amp;"生成成长"),5))*(VLOOKUP($B$5,标准坦克设计!$B$24:$U$30,MATCH("对"&amp;LEFT($C$5,2)&amp;"输出",标准坦克设计!$B$23:$U$23,0)))*(VLOOKUP($B189,INDIRECT($B$5&amp;"生成成长"),3))*(VLOOKUP($B$5,标准坦克设计!$B$14:$K$20,9)/30))</f>
        <v>15.153254325898706</v>
      </c>
      <c r="EF189" s="173">
        <f ca="1">(VLOOKUP(EF$72,INDIRECT($C$5&amp;"生成成长"),2))/((VLOOKUP($B189,INDIRECT($B$5&amp;"生成成长"),4))/(VLOOKUP(EF$72,INDIRECT($C$5&amp;"生成成长"),5))*(VLOOKUP($B$5,标准坦克设计!$B$24:$U$30,MATCH("对"&amp;LEFT($C$5,2)&amp;"输出",标准坦克设计!$B$23:$U$23,0)))*(VLOOKUP($B189,INDIRECT($B$5&amp;"生成成长"),3))*(VLOOKUP($B$5,标准坦克设计!$B$14:$K$20,9)/30))</f>
        <v>16.384737352336398</v>
      </c>
      <c r="EG189" s="173">
        <f ca="1">(VLOOKUP(EG$72,INDIRECT($C$5&amp;"生成成长"),2))/((VLOOKUP($B189,INDIRECT($B$5&amp;"生成成长"),4))/(VLOOKUP(EG$72,INDIRECT($C$5&amp;"生成成长"),5))*(VLOOKUP($B$5,标准坦克设计!$B$24:$U$30,MATCH("对"&amp;LEFT($C$5,2)&amp;"输出",标准坦克设计!$B$23:$U$23,0)))*(VLOOKUP($B189,INDIRECT($B$5&amp;"生成成长"),3))*(VLOOKUP($B$5,标准坦克设计!$B$14:$K$20,9)/30))</f>
        <v>17.66432518449432</v>
      </c>
      <c r="EH189" s="173">
        <f ca="1">(VLOOKUP(EH$72,INDIRECT($C$5&amp;"生成成长"),2))/((VLOOKUP($B189,INDIRECT($B$5&amp;"生成成长"),4))/(VLOOKUP(EH$72,INDIRECT($C$5&amp;"生成成长"),5))*(VLOOKUP($B$5,标准坦克设计!$B$24:$U$30,MATCH("对"&amp;LEFT($C$5,2)&amp;"输出",标准坦克设计!$B$23:$U$23,0)))*(VLOOKUP($B189,INDIRECT($B$5&amp;"生成成长"),3))*(VLOOKUP($B$5,标准坦克设计!$B$14:$K$20,9)/30))</f>
        <v>18.992017822372464</v>
      </c>
      <c r="EI189" s="173">
        <f ca="1">(VLOOKUP(EI$72,INDIRECT($C$5&amp;"生成成长"),2))/((VLOOKUP($B189,INDIRECT($B$5&amp;"生成成长"),4))/(VLOOKUP(EI$72,INDIRECT($C$5&amp;"生成成长"),5))*(VLOOKUP($B$5,标准坦克设计!$B$24:$U$30,MATCH("对"&amp;LEFT($C$5,2)&amp;"输出",标准坦克设计!$B$23:$U$23,0)))*(VLOOKUP($B189,INDIRECT($B$5&amp;"生成成长"),3))*(VLOOKUP($B$5,标准坦克设计!$B$14:$K$20,9)/30))</f>
        <v>20.36781526597083</v>
      </c>
      <c r="EJ189" s="173">
        <f ca="1">(VLOOKUP(EJ$72,INDIRECT($C$5&amp;"生成成长"),2))/((VLOOKUP($B189,INDIRECT($B$5&amp;"生成成长"),4))/(VLOOKUP(EJ$72,INDIRECT($C$5&amp;"生成成长"),5))*(VLOOKUP($B$5,标准坦克设计!$B$24:$U$30,MATCH("对"&amp;LEFT($C$5,2)&amp;"输出",标准坦克设计!$B$23:$U$23,0)))*(VLOOKUP($B189,INDIRECT($B$5&amp;"生成成长"),3))*(VLOOKUP($B$5,标准坦克设计!$B$14:$K$20,9)/30))</f>
        <v>21.791717515289417</v>
      </c>
      <c r="EK189" s="173">
        <f ca="1">(VLOOKUP(EK$72,INDIRECT($C$5&amp;"生成成长"),2))/((VLOOKUP($B189,INDIRECT($B$5&amp;"生成成长"),4))/(VLOOKUP(EK$72,INDIRECT($C$5&amp;"生成成长"),5))*(VLOOKUP($B$5,标准坦克设计!$B$24:$U$30,MATCH("对"&amp;LEFT($C$5,2)&amp;"输出",标准坦克设计!$B$23:$U$23,0)))*(VLOOKUP($B189,INDIRECT($B$5&amp;"生成成长"),3))*(VLOOKUP($B$5,标准坦克设计!$B$14:$K$20,9)/30))</f>
        <v>23.563898558022416</v>
      </c>
      <c r="EL189" s="173">
        <f ca="1">(VLOOKUP(EL$72,INDIRECT($C$5&amp;"生成成长"),2))/((VLOOKUP($B189,INDIRECT($B$5&amp;"生成成长"),4))/(VLOOKUP(EL$72,INDIRECT($C$5&amp;"生成成长"),5))*(VLOOKUP($B$5,标准坦克设计!$B$24:$U$30,MATCH("对"&amp;LEFT($C$5,2)&amp;"输出",标准坦克设计!$B$23:$U$23,0)))*(VLOOKUP($B189,INDIRECT($B$5&amp;"生成成长"),3))*(VLOOKUP($B$5,标准坦克设计!$B$14:$K$20,9)/30))</f>
        <v>25.405350520992535</v>
      </c>
      <c r="EM189" s="173">
        <f ca="1">(VLOOKUP(EM$72,INDIRECT($C$5&amp;"生成成长"),2))/((VLOOKUP($B189,INDIRECT($B$5&amp;"生成成长"),4))/(VLOOKUP(EM$72,INDIRECT($C$5&amp;"生成成长"),5))*(VLOOKUP($B$5,标准坦克设计!$B$24:$U$30,MATCH("对"&amp;LEFT($C$5,2)&amp;"输出",标准坦克设计!$B$23:$U$23,0)))*(VLOOKUP($B189,INDIRECT($B$5&amp;"生成成长"),3))*(VLOOKUP($B$5,标准坦克设计!$B$14:$K$20,9)/30))</f>
        <v>27.31607340419977</v>
      </c>
      <c r="EN189" s="173">
        <f ca="1">(VLOOKUP(EN$72,INDIRECT($C$5&amp;"生成成长"),2))/((VLOOKUP($B189,INDIRECT($B$5&amp;"生成成长"),4))/(VLOOKUP(EN$72,INDIRECT($C$5&amp;"生成成长"),5))*(VLOOKUP($B$5,标准坦克设计!$B$24:$U$30,MATCH("对"&amp;LEFT($C$5,2)&amp;"输出",标准坦克设计!$B$23:$U$23,0)))*(VLOOKUP($B189,INDIRECT($B$5&amp;"生成成长"),3))*(VLOOKUP($B$5,标准坦克设计!$B$14:$K$20,9)/30))</f>
        <v>29.296067207644132</v>
      </c>
      <c r="EO189" s="173">
        <f ca="1">(VLOOKUP(EO$72,INDIRECT($C$5&amp;"生成成长"),2))/((VLOOKUP($B189,INDIRECT($B$5&amp;"生成成长"),4))/(VLOOKUP(EO$72,INDIRECT($C$5&amp;"生成成长"),5))*(VLOOKUP($B$5,标准坦克设计!$B$24:$U$30,MATCH("对"&amp;LEFT($C$5,2)&amp;"输出",标准坦克设计!$B$23:$U$23,0)))*(VLOOKUP($B189,INDIRECT($B$5&amp;"生成成长"),3))*(VLOOKUP($B$5,标准坦克设计!$B$14:$K$20,9)/30))</f>
        <v>31.345331931325614</v>
      </c>
      <c r="EP189" s="173">
        <f ca="1">(VLOOKUP(EP$72,INDIRECT($C$5&amp;"生成成长"),2))/((VLOOKUP($B189,INDIRECT($B$5&amp;"生成成长"),4))/(VLOOKUP(EP$72,INDIRECT($C$5&amp;"生成成长"),5))*(VLOOKUP($B$5,标准坦克设计!$B$24:$U$30,MATCH("对"&amp;LEFT($C$5,2)&amp;"输出",标准坦克设计!$B$23:$U$23,0)))*(VLOOKUP($B189,INDIRECT($B$5&amp;"生成成长"),3))*(VLOOKUP($B$5,标准坦克设计!$B$14:$K$20,9)/30))</f>
        <v>33.463867575244215</v>
      </c>
      <c r="EQ189" s="173">
        <f ca="1">(VLOOKUP(EQ$72,INDIRECT($C$5&amp;"生成成长"),2))/((VLOOKUP($B189,INDIRECT($B$5&amp;"生成成长"),4))/(VLOOKUP(EQ$72,INDIRECT($C$5&amp;"生成成长"),5))*(VLOOKUP($B$5,标准坦克设计!$B$24:$U$30,MATCH("对"&amp;LEFT($C$5,2)&amp;"输出",标准坦克设计!$B$23:$U$23,0)))*(VLOOKUP($B189,INDIRECT($B$5&amp;"生成成长"),3))*(VLOOKUP($B$5,标准坦克设计!$B$14:$K$20,9)/30))</f>
        <v>14.793189855082838</v>
      </c>
      <c r="ER189" s="173">
        <f ca="1">(VLOOKUP(ER$72,INDIRECT($C$5&amp;"生成成长"),2))/((VLOOKUP($B189,INDIRECT($B$5&amp;"生成成长"),4))/(VLOOKUP(ER$72,INDIRECT($C$5&amp;"生成成长"),5))*(VLOOKUP($B$5,标准坦克设计!$B$24:$U$30,MATCH("对"&amp;LEFT($C$5,2)&amp;"输出",标准坦克设计!$B$23:$U$23,0)))*(VLOOKUP($B189,INDIRECT($B$5&amp;"生成成长"),3))*(VLOOKUP($B$5,标准坦克设计!$B$14:$K$20,9)/30))</f>
        <v>16.134592362591242</v>
      </c>
      <c r="ES189" s="173">
        <f ca="1">(VLOOKUP(ES$72,INDIRECT($C$5&amp;"生成成长"),2))/((VLOOKUP($B189,INDIRECT($B$5&amp;"生成成长"),4))/(VLOOKUP(ES$72,INDIRECT($C$5&amp;"生成成长"),5))*(VLOOKUP($B$5,标准坦克设计!$B$24:$U$30,MATCH("对"&amp;LEFT($C$5,2)&amp;"输出",标准坦克设计!$B$23:$U$23,0)))*(VLOOKUP($B189,INDIRECT($B$5&amp;"生成成长"),3))*(VLOOKUP($B$5,标准坦克设计!$B$14:$K$20,9)/30))</f>
        <v>17.53420168502112</v>
      </c>
      <c r="ET189" s="173">
        <f ca="1">(VLOOKUP(ET$72,INDIRECT($C$5&amp;"生成成长"),2))/((VLOOKUP($B189,INDIRECT($B$5&amp;"生成成长"),4))/(VLOOKUP(ET$72,INDIRECT($C$5&amp;"生成成长"),5))*(VLOOKUP($B$5,标准坦克设计!$B$24:$U$30,MATCH("对"&amp;LEFT($C$5,2)&amp;"输出",标准坦克设计!$B$23:$U$23,0)))*(VLOOKUP($B189,INDIRECT($B$5&amp;"生成成长"),3))*(VLOOKUP($B$5,标准坦克设计!$B$14:$K$20,9)/30))</f>
        <v>18.992017822372464</v>
      </c>
      <c r="EU189" s="173">
        <f ca="1">(VLOOKUP(EU$72,INDIRECT($C$5&amp;"生成成长"),2))/((VLOOKUP($B189,INDIRECT($B$5&amp;"生成成长"),4))/(VLOOKUP(EU$72,INDIRECT($C$5&amp;"生成成长"),5))*(VLOOKUP($B$5,标准坦克设计!$B$24:$U$30,MATCH("对"&amp;LEFT($C$5,2)&amp;"输出",标准坦克设计!$B$23:$U$23,0)))*(VLOOKUP($B189,INDIRECT($B$5&amp;"生成成长"),3))*(VLOOKUP($B$5,标准坦克设计!$B$14:$K$20,9)/30))</f>
        <v>20.508040774645281</v>
      </c>
      <c r="EV189" s="173">
        <f ca="1">(VLOOKUP(EV$72,INDIRECT($C$5&amp;"生成成长"),2))/((VLOOKUP($B189,INDIRECT($B$5&amp;"生成成长"),4))/(VLOOKUP(EV$72,INDIRECT($C$5&amp;"生成成长"),5))*(VLOOKUP($B$5,标准坦克设计!$B$24:$U$30,MATCH("对"&amp;LEFT($C$5,2)&amp;"输出",标准坦克设计!$B$23:$U$23,0)))*(VLOOKUP($B189,INDIRECT($B$5&amp;"生成成长"),3))*(VLOOKUP($B$5,标准坦克设计!$B$14:$K$20,9)/30))</f>
        <v>22.082270541839559</v>
      </c>
      <c r="EW189" s="173">
        <f ca="1">(VLOOKUP(EW$72,INDIRECT($C$5&amp;"生成成长"),2))/((VLOOKUP($B189,INDIRECT($B$5&amp;"生成成长"),4))/(VLOOKUP(EW$72,INDIRECT($C$5&amp;"生成成长"),5))*(VLOOKUP($B$5,标准坦克设计!$B$24:$U$30,MATCH("对"&amp;LEFT($C$5,2)&amp;"输出",标准坦克设计!$B$23:$U$23,0)))*(VLOOKUP($B189,INDIRECT($B$5&amp;"生成成长"),3))*(VLOOKUP($B$5,标准坦克设计!$B$14:$K$20,9)/30))</f>
        <v>23.714707123955311</v>
      </c>
      <c r="EX189" s="173">
        <f ca="1">(VLOOKUP(EX$72,INDIRECT($C$5&amp;"生成成长"),2))/((VLOOKUP($B189,INDIRECT($B$5&amp;"生成成长"),4))/(VLOOKUP(EX$72,INDIRECT($C$5&amp;"生成成长"),5))*(VLOOKUP($B$5,标准坦克设计!$B$24:$U$30,MATCH("对"&amp;LEFT($C$5,2)&amp;"输出",标准坦克设计!$B$23:$U$23,0)))*(VLOOKUP($B189,INDIRECT($B$5&amp;"生成成长"),3))*(VLOOKUP($B$5,标准坦克设计!$B$14:$K$20,9)/30))</f>
        <v>25.405350520992535</v>
      </c>
      <c r="EY189" s="173">
        <f ca="1">(VLOOKUP(EY$72,INDIRECT($C$5&amp;"生成成长"),2))/((VLOOKUP($B189,INDIRECT($B$5&amp;"生成成长"),4))/(VLOOKUP(EY$72,INDIRECT($C$5&amp;"生成成长"),5))*(VLOOKUP($B$5,标准坦克设计!$B$24:$U$30,MATCH("对"&amp;LEFT($C$5,2)&amp;"输出",标准坦克设计!$B$23:$U$23,0)))*(VLOOKUP($B189,INDIRECT($B$5&amp;"生成成长"),3))*(VLOOKUP($B$5,标准坦克设计!$B$14:$K$20,9)/30))</f>
        <v>27.154200732951228</v>
      </c>
      <c r="EZ189" s="173">
        <f ca="1">(VLOOKUP(EZ$72,INDIRECT($C$5&amp;"生成成长"),2))/((VLOOKUP($B189,INDIRECT($B$5&amp;"生成成长"),4))/(VLOOKUP(EZ$72,INDIRECT($C$5&amp;"生成成长"),5))*(VLOOKUP($B$5,标准坦克设计!$B$24:$U$30,MATCH("对"&amp;LEFT($C$5,2)&amp;"输出",标准坦克设计!$B$23:$U$23,0)))*(VLOOKUP($B189,INDIRECT($B$5&amp;"生成成长"),3))*(VLOOKUP($B$5,标准坦克设计!$B$14:$K$20,9)/30))</f>
        <v>28.961257759831383</v>
      </c>
      <c r="FA189" s="173">
        <f ca="1">(VLOOKUP(FA$72,INDIRECT($C$5&amp;"生成成长"),2))/((VLOOKUP($B189,INDIRECT($B$5&amp;"生成成长"),4))/(VLOOKUP(FA$72,INDIRECT($C$5&amp;"生成成长"),5))*(VLOOKUP($B$5,标准坦克设计!$B$24:$U$30,MATCH("对"&amp;LEFT($C$5,2)&amp;"输出",标准坦克设计!$B$23:$U$23,0)))*(VLOOKUP($B189,INDIRECT($B$5&amp;"生成成长"),3))*(VLOOKUP($B$5,标准坦克设计!$B$14:$K$20,9)/30))</f>
        <v>30.826521601633008</v>
      </c>
      <c r="FB189" s="173">
        <f ca="1">(VLOOKUP(FB$72,INDIRECT($C$5&amp;"生成成长"),2))/((VLOOKUP($B189,INDIRECT($B$5&amp;"生成成长"),4))/(VLOOKUP(FB$72,INDIRECT($C$5&amp;"生成成长"),5))*(VLOOKUP($B$5,标准坦克设计!$B$24:$U$30,MATCH("对"&amp;LEFT($C$5,2)&amp;"输出",标准坦克设计!$B$23:$U$23,0)))*(VLOOKUP($B189,INDIRECT($B$5&amp;"生成成长"),3))*(VLOOKUP($B$5,标准坦克设计!$B$14:$K$20,9)/30))</f>
        <v>32.749992258356116</v>
      </c>
      <c r="FC189" s="173">
        <f ca="1">(VLOOKUP(FC$72,INDIRECT($C$5&amp;"生成成长"),2))/((VLOOKUP($B189,INDIRECT($B$5&amp;"生成成长"),4))/(VLOOKUP(FC$72,INDIRECT($C$5&amp;"生成成长"),5))*(VLOOKUP($B$5,标准坦克设计!$B$24:$U$30,MATCH("对"&amp;LEFT($C$5,2)&amp;"输出",标准坦克设计!$B$23:$U$23,0)))*(VLOOKUP($B189,INDIRECT($B$5&amp;"生成成长"),3))*(VLOOKUP($B$5,标准坦克设计!$B$14:$K$20,9)/30))</f>
        <v>34.731669730000675</v>
      </c>
      <c r="FD189" s="173">
        <f ca="1">(VLOOKUP(FD$72,INDIRECT($C$5&amp;"生成成长"),2))/((VLOOKUP($B189,INDIRECT($B$5&amp;"生成成长"),4))/(VLOOKUP(FD$72,INDIRECT($C$5&amp;"生成成长"),5))*(VLOOKUP($B$5,标准坦克设计!$B$24:$U$30,MATCH("对"&amp;LEFT($C$5,2)&amp;"输出",标准坦克设计!$B$23:$U$23,0)))*(VLOOKUP($B189,INDIRECT($B$5&amp;"生成成长"),3))*(VLOOKUP($B$5,标准坦克设计!$B$14:$K$20,9)/30))</f>
        <v>36.771554016566718</v>
      </c>
      <c r="FE189" s="173">
        <f ca="1">(VLOOKUP(FE$72,INDIRECT($C$5&amp;"生成成长"),2))/((VLOOKUP($B189,INDIRECT($B$5&amp;"生成成长"),4))/(VLOOKUP(FE$72,INDIRECT($C$5&amp;"生成成长"),5))*(VLOOKUP($B$5,标准坦克设计!$B$24:$U$30,MATCH("对"&amp;LEFT($C$5,2)&amp;"输出",标准坦克设计!$B$23:$U$23,0)))*(VLOOKUP($B189,INDIRECT($B$5&amp;"生成成长"),3))*(VLOOKUP($B$5,标准坦克设计!$B$14:$K$20,9)/30))</f>
        <v>39.257369852159222</v>
      </c>
      <c r="FF189" s="173">
        <f ca="1">(VLOOKUP(FF$72,INDIRECT($C$5&amp;"生成成长"),2))/((VLOOKUP($B189,INDIRECT($B$5&amp;"生成成长"),4))/(VLOOKUP(FF$72,INDIRECT($C$5&amp;"生成成长"),5))*(VLOOKUP($B$5,标准坦克设计!$B$24:$U$30,MATCH("对"&amp;LEFT($C$5,2)&amp;"输出",标准坦克设计!$B$23:$U$23,0)))*(VLOOKUP($B189,INDIRECT($B$5&amp;"生成成长"),3))*(VLOOKUP($B$5,标准坦克设计!$B$14:$K$20,9)/30))</f>
        <v>41.824482809418889</v>
      </c>
      <c r="FG189" s="173">
        <f ca="1">(VLOOKUP(FG$72,INDIRECT($C$5&amp;"生成成长"),2))/((VLOOKUP($B189,INDIRECT($B$5&amp;"生成成长"),4))/(VLOOKUP(FG$72,INDIRECT($C$5&amp;"生成成长"),5))*(VLOOKUP($B$5,标准坦克设计!$B$24:$U$30,MATCH("对"&amp;LEFT($C$5,2)&amp;"输出",标准坦克设计!$B$23:$U$23,0)))*(VLOOKUP($B189,INDIRECT($B$5&amp;"生成成长"),3))*(VLOOKUP($B$5,标准坦克设计!$B$14:$K$20,9)/30))</f>
        <v>44.472892888345747</v>
      </c>
      <c r="FH189" s="173">
        <f ca="1">(VLOOKUP(FH$72,INDIRECT($C$5&amp;"生成成长"),2))/((VLOOKUP($B189,INDIRECT($B$5&amp;"生成成长"),4))/(VLOOKUP(FH$72,INDIRECT($C$5&amp;"生成成长"),5))*(VLOOKUP($B$5,标准坦克设计!$B$24:$U$30,MATCH("对"&amp;LEFT($C$5,2)&amp;"输出",标准坦克设计!$B$23:$U$23,0)))*(VLOOKUP($B189,INDIRECT($B$5&amp;"生成成长"),3))*(VLOOKUP($B$5,标准坦克设计!$B$14:$K$20,9)/30))</f>
        <v>47.202600088939782</v>
      </c>
      <c r="FI189" s="173">
        <f ca="1">(VLOOKUP(FI$72,INDIRECT($C$5&amp;"生成成长"),2))/((VLOOKUP($B189,INDIRECT($B$5&amp;"生成成长"),4))/(VLOOKUP(FI$72,INDIRECT($C$5&amp;"生成成长"),5))*(VLOOKUP($B$5,标准坦克设计!$B$24:$U$30,MATCH("对"&amp;LEFT($C$5,2)&amp;"输出",标准坦克设计!$B$23:$U$23,0)))*(VLOOKUP($B189,INDIRECT($B$5&amp;"生成成长"),3))*(VLOOKUP($B$5,标准坦克设计!$B$14:$K$20,9)/30))</f>
        <v>50.013604411200973</v>
      </c>
      <c r="FJ189" s="173">
        <f ca="1">(VLOOKUP(FJ$72,INDIRECT($C$5&amp;"生成成长"),2))/((VLOOKUP($B189,INDIRECT($B$5&amp;"生成成长"),4))/(VLOOKUP(FJ$72,INDIRECT($C$5&amp;"生成成长"),5))*(VLOOKUP($B$5,标准坦克设计!$B$24:$U$30,MATCH("对"&amp;LEFT($C$5,2)&amp;"输出",标准坦克设计!$B$23:$U$23,0)))*(VLOOKUP($B189,INDIRECT($B$5&amp;"生成成长"),3))*(VLOOKUP($B$5,标准坦克设计!$B$14:$K$20,9)/30))</f>
        <v>52.905905855129355</v>
      </c>
      <c r="FK189" s="173">
        <f ca="1">(VLOOKUP(FK$72,INDIRECT($C$5&amp;"生成成长"),2))/((VLOOKUP($B189,INDIRECT($B$5&amp;"生成成长"),4))/(VLOOKUP(FK$72,INDIRECT($C$5&amp;"生成成长"),5))*(VLOOKUP($B$5,标准坦克设计!$B$24:$U$30,MATCH("对"&amp;LEFT($C$5,2)&amp;"输出",标准坦克设计!$B$23:$U$23,0)))*(VLOOKUP($B189,INDIRECT($B$5&amp;"生成成长"),3))*(VLOOKUP($B$5,标准坦克设计!$B$14:$K$20,9)/30))</f>
        <v>55.879504420724928</v>
      </c>
    </row>
    <row r="190" spans="1:167" x14ac:dyDescent="0.15">
      <c r="A190" s="171" t="str">
        <f t="shared" si="12"/>
        <v>T3高品质7级</v>
      </c>
      <c r="B190" s="172">
        <v>30307</v>
      </c>
      <c r="C190" s="173">
        <f ca="1">(VLOOKUP(C$72,INDIRECT($C$5&amp;"生成成长"),2))/((VLOOKUP($B190,INDIRECT($B$5&amp;"生成成长"),4))/(VLOOKUP(C$72,INDIRECT($C$5&amp;"生成成长"),5))*(VLOOKUP($B$5,标准坦克设计!$B$24:$U$30,MATCH("对"&amp;LEFT($C$5,2)&amp;"输出",标准坦克设计!$B$23:$U$23,0)))*(VLOOKUP($B190,INDIRECT($B$5&amp;"生成成长"),3))*(VLOOKUP($B$5,标准坦克设计!$B$14:$K$20,9)/30))</f>
        <v>2.199281621369416</v>
      </c>
      <c r="D190" s="173">
        <f ca="1">(VLOOKUP(D$72,INDIRECT($C$5&amp;"生成成长"),2))/((VLOOKUP($B190,INDIRECT($B$5&amp;"生成成长"),4))/(VLOOKUP(D$72,INDIRECT($C$5&amp;"生成成长"),5))*(VLOOKUP($B$5,标准坦克设计!$B$24:$U$30,MATCH("对"&amp;LEFT($C$5,2)&amp;"输出",标准坦克设计!$B$23:$U$23,0)))*(VLOOKUP($B190,INDIRECT($B$5&amp;"生成成长"),3))*(VLOOKUP($B$5,标准坦克设计!$B$14:$K$20,9)/30))</f>
        <v>2.4711128297706755</v>
      </c>
      <c r="E190" s="173">
        <f ca="1">(VLOOKUP(E$72,INDIRECT($C$5&amp;"生成成长"),2))/((VLOOKUP($B190,INDIRECT($B$5&amp;"生成成长"),4))/(VLOOKUP(E$72,INDIRECT($C$5&amp;"生成成长"),5))*(VLOOKUP($B$5,标准坦克设计!$B$24:$U$30,MATCH("对"&amp;LEFT($C$5,2)&amp;"输出",标准坦克设计!$B$23:$U$23,0)))*(VLOOKUP($B190,INDIRECT($B$5&amp;"生成成长"),3))*(VLOOKUP($B$5,标准坦克设计!$B$14:$K$20,9)/30))</f>
        <v>2.758778865845795</v>
      </c>
      <c r="F190" s="173">
        <f ca="1">(VLOOKUP(F$72,INDIRECT($C$5&amp;"生成成长"),2))/((VLOOKUP($B190,INDIRECT($B$5&amp;"生成成长"),4))/(VLOOKUP(F$72,INDIRECT($C$5&amp;"生成成长"),5))*(VLOOKUP($B$5,标准坦克设计!$B$24:$U$30,MATCH("对"&amp;LEFT($C$5,2)&amp;"输出",标准坦克设计!$B$23:$U$23,0)))*(VLOOKUP($B190,INDIRECT($B$5&amp;"生成成长"),3))*(VLOOKUP($B$5,标准坦克设计!$B$14:$K$20,9)/30))</f>
        <v>3.0622797295947741</v>
      </c>
      <c r="G190" s="173">
        <f ca="1">(VLOOKUP(G$72,INDIRECT($C$5&amp;"生成成长"),2))/((VLOOKUP($B190,INDIRECT($B$5&amp;"生成成长"),4))/(VLOOKUP(G$72,INDIRECT($C$5&amp;"生成成长"),5))*(VLOOKUP($B$5,标准坦克设计!$B$24:$U$30,MATCH("对"&amp;LEFT($C$5,2)&amp;"输出",标准坦克设计!$B$23:$U$23,0)))*(VLOOKUP($B190,INDIRECT($B$5&amp;"生成成长"),3))*(VLOOKUP($B$5,标准坦克设计!$B$14:$K$20,9)/30))</f>
        <v>3.3816154210176133</v>
      </c>
      <c r="H190" s="173">
        <f ca="1">(VLOOKUP(H$72,INDIRECT($C$5&amp;"生成成长"),2))/((VLOOKUP($B190,INDIRECT($B$5&amp;"生成成长"),4))/(VLOOKUP(H$72,INDIRECT($C$5&amp;"生成成长"),5))*(VLOOKUP($B$5,标准坦克设计!$B$24:$U$30,MATCH("对"&amp;LEFT($C$5,2)&amp;"输出",标准坦克设计!$B$23:$U$23,0)))*(VLOOKUP($B190,INDIRECT($B$5&amp;"生成成长"),3))*(VLOOKUP($B$5,标准坦克设计!$B$14:$K$20,9)/30))</f>
        <v>2.9593533497146853</v>
      </c>
      <c r="I190" s="173">
        <f ca="1">(VLOOKUP(I$72,INDIRECT($C$5&amp;"生成成长"),2))/((VLOOKUP($B190,INDIRECT($B$5&amp;"生成成长"),4))/(VLOOKUP(I$72,INDIRECT($C$5&amp;"生成成长"),5))*(VLOOKUP($B$5,标准坦克设计!$B$24:$U$30,MATCH("对"&amp;LEFT($C$5,2)&amp;"输出",标准坦克设计!$B$23:$U$23,0)))*(VLOOKUP($B190,INDIRECT($B$5&amp;"生成成长"),3))*(VLOOKUP($B$5,标准坦克设计!$B$14:$K$20,9)/30))</f>
        <v>3.3816154210176133</v>
      </c>
      <c r="J190" s="173">
        <f ca="1">(VLOOKUP(J$72,INDIRECT($C$5&amp;"生成成长"),2))/((VLOOKUP($B190,INDIRECT($B$5&amp;"生成成长"),4))/(VLOOKUP(J$72,INDIRECT($C$5&amp;"生成成长"),5))*(VLOOKUP($B$5,标准坦克设计!$B$24:$U$30,MATCH("对"&amp;LEFT($C$5,2)&amp;"输出",标准坦克设计!$B$23:$U$23,0)))*(VLOOKUP($B190,INDIRECT($B$5&amp;"生成成长"),3))*(VLOOKUP($B$5,标准坦克设计!$B$14:$K$20,9)/30))</f>
        <v>3.8320282970740696</v>
      </c>
      <c r="K190" s="173">
        <f ca="1">(VLOOKUP(K$72,INDIRECT($C$5&amp;"生成成长"),2))/((VLOOKUP($B190,INDIRECT($B$5&amp;"生成成长"),4))/(VLOOKUP(K$72,INDIRECT($C$5&amp;"生成成长"),5))*(VLOOKUP($B$5,标准坦克设计!$B$24:$U$30,MATCH("对"&amp;LEFT($C$5,2)&amp;"输出",标准坦克设计!$B$23:$U$23,0)))*(VLOOKUP($B190,INDIRECT($B$5&amp;"生成成长"),3))*(VLOOKUP($B$5,标准坦克设计!$B$14:$K$20,9)/30))</f>
        <v>4.3105919778840542</v>
      </c>
      <c r="L190" s="173">
        <f ca="1">(VLOOKUP(L$72,INDIRECT($C$5&amp;"生成成长"),2))/((VLOOKUP($B190,INDIRECT($B$5&amp;"生成成长"),4))/(VLOOKUP(L$72,INDIRECT($C$5&amp;"生成成长"),5))*(VLOOKUP($B$5,标准坦克设计!$B$24:$U$30,MATCH("对"&amp;LEFT($C$5,2)&amp;"输出",标准坦克设计!$B$23:$U$23,0)))*(VLOOKUP($B190,INDIRECT($B$5&amp;"生成成长"),3))*(VLOOKUP($B$5,标准坦克设计!$B$14:$K$20,9)/30))</f>
        <v>4.8173064634475677</v>
      </c>
      <c r="M190" s="173">
        <f ca="1">(VLOOKUP(M$72,INDIRECT($C$5&amp;"生成成长"),2))/((VLOOKUP($B190,INDIRECT($B$5&amp;"生成成长"),4))/(VLOOKUP(M$72,INDIRECT($C$5&amp;"生成成长"),5))*(VLOOKUP($B$5,标准坦克设计!$B$24:$U$30,MATCH("对"&amp;LEFT($C$5,2)&amp;"输出",标准坦克设计!$B$23:$U$23,0)))*(VLOOKUP($B190,INDIRECT($B$5&amp;"生成成长"),3))*(VLOOKUP($B$5,标准坦克设计!$B$14:$K$20,9)/30))</f>
        <v>5.3521717537646092</v>
      </c>
      <c r="N190" s="173">
        <f ca="1">(VLOOKUP(N$72,INDIRECT($C$5&amp;"生成成长"),2))/((VLOOKUP($B190,INDIRECT($B$5&amp;"生成成长"),4))/(VLOOKUP(N$72,INDIRECT($C$5&amp;"生成成长"),5))*(VLOOKUP($B$5,标准坦克设计!$B$24:$U$30,MATCH("对"&amp;LEFT($C$5,2)&amp;"输出",标准坦克设计!$B$23:$U$23,0)))*(VLOOKUP($B190,INDIRECT($B$5&amp;"生成成长"),3))*(VLOOKUP($B$5,标准坦克设计!$B$14:$K$20,9)/30))</f>
        <v>5.9151878488351803</v>
      </c>
      <c r="O190" s="173">
        <f ca="1">(VLOOKUP(O$72,INDIRECT($C$5&amp;"生成成长"),2))/((VLOOKUP($B190,INDIRECT($B$5&amp;"生成成长"),4))/(VLOOKUP(O$72,INDIRECT($C$5&amp;"生成成长"),5))*(VLOOKUP($B$5,标准坦克设计!$B$24:$U$30,MATCH("对"&amp;LEFT($C$5,2)&amp;"输出",标准坦克设计!$B$23:$U$23,0)))*(VLOOKUP($B190,INDIRECT($B$5&amp;"生成成长"),3))*(VLOOKUP($B$5,标准坦克设计!$B$14:$K$20,9)/30))</f>
        <v>4.4973109875383184</v>
      </c>
      <c r="P190" s="173">
        <f ca="1">(VLOOKUP(P$72,INDIRECT($C$5&amp;"生成成长"),2))/((VLOOKUP($B190,INDIRECT($B$5&amp;"生成成长"),4))/(VLOOKUP(P$72,INDIRECT($C$5&amp;"生成成长"),5))*(VLOOKUP($B$5,标准坦克设计!$B$24:$U$30,MATCH("对"&amp;LEFT($C$5,2)&amp;"输出",标准坦克设计!$B$23:$U$23,0)))*(VLOOKUP($B190,INDIRECT($B$5&amp;"生成成长"),3))*(VLOOKUP($B$5,标准坦克设计!$B$14:$K$20,9)/30))</f>
        <v>5.0812202580118981</v>
      </c>
      <c r="Q190" s="173">
        <f ca="1">(VLOOKUP(Q$72,INDIRECT($C$5&amp;"生成成长"),2))/((VLOOKUP($B190,INDIRECT($B$5&amp;"生成成长"),4))/(VLOOKUP(Q$72,INDIRECT($C$5&amp;"生成成长"),5))*(VLOOKUP($B$5,标准坦克设计!$B$24:$U$30,MATCH("对"&amp;LEFT($C$5,2)&amp;"输出",标准坦克设计!$B$23:$U$23,0)))*(VLOOKUP($B190,INDIRECT($B$5&amp;"生成成长"),3))*(VLOOKUP($B$5,标准坦克设计!$B$14:$K$20,9)/30))</f>
        <v>5.7007578907516621</v>
      </c>
      <c r="R190" s="173">
        <f ca="1">(VLOOKUP(R$72,INDIRECT($C$5&amp;"生成成长"),2))/((VLOOKUP($B190,INDIRECT($B$5&amp;"生成成长"),4))/(VLOOKUP(R$72,INDIRECT($C$5&amp;"生成成长"),5))*(VLOOKUP($B$5,标准坦克设计!$B$24:$U$30,MATCH("对"&amp;LEFT($C$5,2)&amp;"输出",标准坦克设计!$B$23:$U$23,0)))*(VLOOKUP($B190,INDIRECT($B$5&amp;"生成成长"),3))*(VLOOKUP($B$5,标准坦克设计!$B$14:$K$20,9)/30))</f>
        <v>6.3559238857576119</v>
      </c>
      <c r="S190" s="173">
        <f ca="1">(VLOOKUP(S$72,INDIRECT($C$5&amp;"生成成长"),2))/((VLOOKUP($B190,INDIRECT($B$5&amp;"生成成长"),4))/(VLOOKUP(S$72,INDIRECT($C$5&amp;"生成成长"),5))*(VLOOKUP($B$5,标准坦克设计!$B$24:$U$30,MATCH("对"&amp;LEFT($C$5,2)&amp;"输出",标准坦克设计!$B$23:$U$23,0)))*(VLOOKUP($B190,INDIRECT($B$5&amp;"生成成长"),3))*(VLOOKUP($B$5,标准坦克设计!$B$14:$K$20,9)/30))</f>
        <v>7.0467182430297441</v>
      </c>
      <c r="T190" s="173">
        <f ca="1">(VLOOKUP(T$72,INDIRECT($C$5&amp;"生成成长"),2))/((VLOOKUP($B190,INDIRECT($B$5&amp;"生成成长"),4))/(VLOOKUP(T$72,INDIRECT($C$5&amp;"生成成长"),5))*(VLOOKUP($B$5,标准坦克设计!$B$24:$U$30,MATCH("对"&amp;LEFT($C$5,2)&amp;"输出",标准坦克设计!$B$23:$U$23,0)))*(VLOOKUP($B190,INDIRECT($B$5&amp;"生成成长"),3))*(VLOOKUP($B$5,标准坦克设计!$B$14:$K$20,9)/30))</f>
        <v>7.7731409625680623</v>
      </c>
      <c r="U190" s="173">
        <f ca="1">(VLOOKUP(U$72,INDIRECT($C$5&amp;"生成成长"),2))/((VLOOKUP($B190,INDIRECT($B$5&amp;"生成成长"),4))/(VLOOKUP(U$72,INDIRECT($C$5&amp;"生成成长"),5))*(VLOOKUP($B$5,标准坦克设计!$B$24:$U$30,MATCH("对"&amp;LEFT($C$5,2)&amp;"输出",标准坦克设计!$B$23:$U$23,0)))*(VLOOKUP($B190,INDIRECT($B$5&amp;"生成成长"),3))*(VLOOKUP($B$5,标准坦克设计!$B$14:$K$20,9)/30))</f>
        <v>8.5351920443725646</v>
      </c>
      <c r="V190" s="173">
        <f ca="1">(VLOOKUP(V$72,INDIRECT($C$5&amp;"生成成长"),2))/((VLOOKUP($B190,INDIRECT($B$5&amp;"生成成长"),4))/(VLOOKUP(V$72,INDIRECT($C$5&amp;"生成成长"),5))*(VLOOKUP($B$5,标准坦克设计!$B$24:$U$30,MATCH("对"&amp;LEFT($C$5,2)&amp;"输出",标准坦克设计!$B$23:$U$23,0)))*(VLOOKUP($B190,INDIRECT($B$5&amp;"生成成长"),3))*(VLOOKUP($B$5,标准坦克设计!$B$14:$K$20,9)/30))</f>
        <v>9.3328714884432529</v>
      </c>
      <c r="W190" s="173">
        <f ca="1">(VLOOKUP(W$72,INDIRECT($C$5&amp;"生成成长"),2))/((VLOOKUP($B190,INDIRECT($B$5&amp;"生成成长"),4))/(VLOOKUP(W$72,INDIRECT($C$5&amp;"生成成长"),5))*(VLOOKUP($B$5,标准坦克设计!$B$24:$U$30,MATCH("对"&amp;LEFT($C$5,2)&amp;"输出",标准坦克设计!$B$23:$U$23,0)))*(VLOOKUP($B190,INDIRECT($B$5&amp;"生成成长"),3))*(VLOOKUP($B$5,标准坦克设计!$B$14:$K$20,9)/30))</f>
        <v>10.166179294780125</v>
      </c>
      <c r="X190" s="173">
        <f ca="1">(VLOOKUP(X$72,INDIRECT($C$5&amp;"生成成长"),2))/((VLOOKUP($B190,INDIRECT($B$5&amp;"生成成长"),4))/(VLOOKUP(X$72,INDIRECT($C$5&amp;"生成成长"),5))*(VLOOKUP($B$5,标准坦克设计!$B$24:$U$30,MATCH("对"&amp;LEFT($C$5,2)&amp;"输出",标准坦克设计!$B$23:$U$23,0)))*(VLOOKUP($B190,INDIRECT($B$5&amp;"生成成长"),3))*(VLOOKUP($B$5,标准坦克设计!$B$14:$K$20,9)/30))</f>
        <v>7.365174221804037</v>
      </c>
      <c r="Y190" s="173">
        <f ca="1">(VLOOKUP(Y$72,INDIRECT($C$5&amp;"生成成长"),2))/((VLOOKUP($B190,INDIRECT($B$5&amp;"生成成长"),4))/(VLOOKUP(Y$72,INDIRECT($C$5&amp;"生成成长"),5))*(VLOOKUP($B$5,标准坦克设计!$B$24:$U$30,MATCH("对"&amp;LEFT($C$5,2)&amp;"输出",标准坦克设计!$B$23:$U$23,0)))*(VLOOKUP($B190,INDIRECT($B$5&amp;"生成成长"),3))*(VLOOKUP($B$5,标准坦克设计!$B$14:$K$20,9)/30))</f>
        <v>8.1921041114389368</v>
      </c>
      <c r="Z190" s="173">
        <f ca="1">(VLOOKUP(Z$72,INDIRECT($C$5&amp;"生成成长"),2))/((VLOOKUP($B190,INDIRECT($B$5&amp;"生成成长"),4))/(VLOOKUP(Z$72,INDIRECT($C$5&amp;"生成成长"),5))*(VLOOKUP($B$5,标准坦克设计!$B$24:$U$30,MATCH("对"&amp;LEFT($C$5,2)&amp;"输出",标准坦克设计!$B$23:$U$23,0)))*(VLOOKUP($B190,INDIRECT($B$5&amp;"生成成长"),3))*(VLOOKUP($B$5,标准坦克设计!$B$14:$K$20,9)/30))</f>
        <v>9.0630196335012254</v>
      </c>
      <c r="AA190" s="173">
        <f ca="1">(VLOOKUP(AA$72,INDIRECT($C$5&amp;"生成成长"),2))/((VLOOKUP($B190,INDIRECT($B$5&amp;"生成成长"),4))/(VLOOKUP(AA$72,INDIRECT($C$5&amp;"生成成长"),5))*(VLOOKUP($B$5,标准坦克设计!$B$24:$U$30,MATCH("对"&amp;LEFT($C$5,2)&amp;"输出",标准坦克设计!$B$23:$U$23,0)))*(VLOOKUP($B190,INDIRECT($B$5&amp;"生成成长"),3))*(VLOOKUP($B$5,标准坦克设计!$B$14:$K$20,9)/30))</f>
        <v>9.977920787990902</v>
      </c>
      <c r="AB190" s="173">
        <f ca="1">(VLOOKUP(AB$72,INDIRECT($C$5&amp;"生成成长"),2))/((VLOOKUP($B190,INDIRECT($B$5&amp;"生成成长"),4))/(VLOOKUP(AB$72,INDIRECT($C$5&amp;"生成成长"),5))*(VLOOKUP($B$5,标准坦克设计!$B$24:$U$30,MATCH("对"&amp;LEFT($C$5,2)&amp;"输出",标准坦克设计!$B$23:$U$23,0)))*(VLOOKUP($B190,INDIRECT($B$5&amp;"生成成长"),3))*(VLOOKUP($B$5,标准坦克设计!$B$14:$K$20,9)/30))</f>
        <v>10.936807574907965</v>
      </c>
      <c r="AC190" s="173">
        <f ca="1">(VLOOKUP(AC$72,INDIRECT($C$5&amp;"生成成长"),2))/((VLOOKUP($B190,INDIRECT($B$5&amp;"生成成长"),4))/(VLOOKUP(AC$72,INDIRECT($C$5&amp;"生成成长"),5))*(VLOOKUP($B$5,标准坦克设计!$B$24:$U$30,MATCH("对"&amp;LEFT($C$5,2)&amp;"输出",标准坦克设计!$B$23:$U$23,0)))*(VLOOKUP($B190,INDIRECT($B$5&amp;"生成成长"),3))*(VLOOKUP($B$5,标准坦克设计!$B$14:$K$20,9)/30))</f>
        <v>11.939679994252423</v>
      </c>
      <c r="AD190" s="173">
        <f ca="1">(VLOOKUP(AD$72,INDIRECT($C$5&amp;"生成成长"),2))/((VLOOKUP($B190,INDIRECT($B$5&amp;"生成成长"),4))/(VLOOKUP(AD$72,INDIRECT($C$5&amp;"生成成长"),5))*(VLOOKUP($B$5,标准坦克设计!$B$24:$U$30,MATCH("对"&amp;LEFT($C$5,2)&amp;"输出",标准坦克设计!$B$23:$U$23,0)))*(VLOOKUP($B190,INDIRECT($B$5&amp;"生成成长"),3))*(VLOOKUP($B$5,标准坦克设计!$B$14:$K$20,9)/30))</f>
        <v>12.986538046024263</v>
      </c>
      <c r="AE190" s="173">
        <f ca="1">(VLOOKUP(AE$72,INDIRECT($C$5&amp;"生成成长"),2))/((VLOOKUP($B190,INDIRECT($B$5&amp;"生成成长"),4))/(VLOOKUP(AE$72,INDIRECT($C$5&amp;"生成成长"),5))*(VLOOKUP($B$5,标准坦克设计!$B$24:$U$30,MATCH("对"&amp;LEFT($C$5,2)&amp;"输出",标准坦克设计!$B$23:$U$23,0)))*(VLOOKUP($B190,INDIRECT($B$5&amp;"生成成长"),3))*(VLOOKUP($B$5,标准坦克设计!$B$14:$K$20,9)/30))</f>
        <v>14.07738173022349</v>
      </c>
      <c r="AF190" s="173">
        <f ca="1">(VLOOKUP(AF$72,INDIRECT($C$5&amp;"生成成长"),2))/((VLOOKUP($B190,INDIRECT($B$5&amp;"生成成长"),4))/(VLOOKUP(AF$72,INDIRECT($C$5&amp;"生成成长"),5))*(VLOOKUP($B$5,标准坦克设计!$B$24:$U$30,MATCH("对"&amp;LEFT($C$5,2)&amp;"输出",标准坦克设计!$B$23:$U$23,0)))*(VLOOKUP($B190,INDIRECT($B$5&amp;"生成成长"),3))*(VLOOKUP($B$5,标准坦克设计!$B$14:$K$20,9)/30))</f>
        <v>15.212211046850111</v>
      </c>
      <c r="AG190" s="173">
        <f ca="1">(VLOOKUP(AG$72,INDIRECT($C$5&amp;"生成成长"),2))/((VLOOKUP($B190,INDIRECT($B$5&amp;"生成成长"),4))/(VLOOKUP(AG$72,INDIRECT($C$5&amp;"生成成长"),5))*(VLOOKUP($B$5,标准坦克设计!$B$24:$U$30,MATCH("对"&amp;LEFT($C$5,2)&amp;"输出",标准坦克设计!$B$23:$U$23,0)))*(VLOOKUP($B190,INDIRECT($B$5&amp;"生成成长"),3))*(VLOOKUP($B$5,标准坦克设计!$B$14:$K$20,9)/30))</f>
        <v>16.391025995904116</v>
      </c>
      <c r="AH190" s="173">
        <f ca="1">(VLOOKUP(AH$72,INDIRECT($C$5&amp;"生成成长"),2))/((VLOOKUP($B190,INDIRECT($B$5&amp;"生成成长"),4))/(VLOOKUP(AH$72,INDIRECT($C$5&amp;"生成成长"),5))*(VLOOKUP($B$5,标准坦克设计!$B$24:$U$30,MATCH("对"&amp;LEFT($C$5,2)&amp;"输出",标准坦克设计!$B$23:$U$23,0)))*(VLOOKUP($B190,INDIRECT($B$5&amp;"生成成长"),3))*(VLOOKUP($B$5,标准坦克设计!$B$14:$K$20,9)/30))</f>
        <v>17.613826577385517</v>
      </c>
      <c r="AI190" s="173">
        <f ca="1">(VLOOKUP(AI$72,INDIRECT($C$5&amp;"生成成长"),2))/((VLOOKUP($B190,INDIRECT($B$5&amp;"生成成长"),4))/(VLOOKUP(AI$72,INDIRECT($C$5&amp;"生成成长"),5))*(VLOOKUP($B$5,标准坦克设计!$B$24:$U$30,MATCH("对"&amp;LEFT($C$5,2)&amp;"输出",标准坦克设计!$B$23:$U$23,0)))*(VLOOKUP($B190,INDIRECT($B$5&amp;"生成成长"),3))*(VLOOKUP($B$5,标准坦克设计!$B$14:$K$20,9)/30))</f>
        <v>12.457610816084918</v>
      </c>
      <c r="AJ190" s="173">
        <f ca="1">(VLOOKUP(AJ$72,INDIRECT($C$5&amp;"生成成长"),2))/((VLOOKUP($B190,INDIRECT($B$5&amp;"生成成长"),4))/(VLOOKUP(AJ$72,INDIRECT($C$5&amp;"生成成长"),5))*(VLOOKUP($B$5,标准坦克设计!$B$24:$U$30,MATCH("对"&amp;LEFT($C$5,2)&amp;"输出",标准坦克设计!$B$23:$U$23,0)))*(VLOOKUP($B190,INDIRECT($B$5&amp;"生成成长"),3))*(VLOOKUP($B$5,标准坦克设计!$B$14:$K$20,9)/30))</f>
        <v>13.635765980652511</v>
      </c>
      <c r="AK190" s="173">
        <f ca="1">(VLOOKUP(AK$72,INDIRECT($C$5&amp;"生成成长"),2))/((VLOOKUP($B190,INDIRECT($B$5&amp;"生成成长"),4))/(VLOOKUP(AK$72,INDIRECT($C$5&amp;"生成成长"),5))*(VLOOKUP($B$5,标准坦克设计!$B$24:$U$30,MATCH("对"&amp;LEFT($C$5,2)&amp;"输出",标准坦克设计!$B$23:$U$23,0)))*(VLOOKUP($B190,INDIRECT($B$5&amp;"生成成长"),3))*(VLOOKUP($B$5,标准坦克设计!$B$14:$K$20,9)/30))</f>
        <v>14.86714376045725</v>
      </c>
      <c r="AL190" s="173">
        <f ca="1">(VLOOKUP(AL$72,INDIRECT($C$5&amp;"生成成长"),2))/((VLOOKUP($B190,INDIRECT($B$5&amp;"生成成长"),4))/(VLOOKUP(AL$72,INDIRECT($C$5&amp;"生成成长"),5))*(VLOOKUP($B$5,标准坦克设计!$B$24:$U$30,MATCH("对"&amp;LEFT($C$5,2)&amp;"输出",标准坦克设计!$B$23:$U$23,0)))*(VLOOKUP($B190,INDIRECT($B$5&amp;"生成成长"),3))*(VLOOKUP($B$5,标准坦克设计!$B$14:$K$20,9)/30))</f>
        <v>16.151744155499127</v>
      </c>
      <c r="AM190" s="173">
        <f ca="1">(VLOOKUP(AM$72,INDIRECT($C$5&amp;"生成成长"),2))/((VLOOKUP($B190,INDIRECT($B$5&amp;"生成成长"),4))/(VLOOKUP(AM$72,INDIRECT($C$5&amp;"生成成长"),5))*(VLOOKUP($B$5,标准坦克设计!$B$24:$U$30,MATCH("对"&amp;LEFT($C$5,2)&amp;"输出",标准坦克设计!$B$23:$U$23,0)))*(VLOOKUP($B190,INDIRECT($B$5&amp;"生成成长"),3))*(VLOOKUP($B$5,标准坦克设计!$B$14:$K$20,9)/30))</f>
        <v>17.489567165778141</v>
      </c>
      <c r="AN190" s="173">
        <f ca="1">(VLOOKUP(AN$72,INDIRECT($C$5&amp;"生成成长"),2))/((VLOOKUP($B190,INDIRECT($B$5&amp;"生成成长"),4))/(VLOOKUP(AN$72,INDIRECT($C$5&amp;"生成成长"),5))*(VLOOKUP($B$5,标准坦克设计!$B$24:$U$30,MATCH("对"&amp;LEFT($C$5,2)&amp;"输出",标准坦克设计!$B$23:$U$23,0)))*(VLOOKUP($B190,INDIRECT($B$5&amp;"生成成长"),3))*(VLOOKUP($B$5,标准坦克设计!$B$14:$K$20,9)/30))</f>
        <v>18.880612791294293</v>
      </c>
      <c r="AO190" s="173">
        <f ca="1">(VLOOKUP(AO$72,INDIRECT($C$5&amp;"生成成长"),2))/((VLOOKUP($B190,INDIRECT($B$5&amp;"生成成长"),4))/(VLOOKUP(AO$72,INDIRECT($C$5&amp;"生成成长"),5))*(VLOOKUP($B$5,标准坦克设计!$B$24:$U$30,MATCH("对"&amp;LEFT($C$5,2)&amp;"输出",标准坦克设计!$B$23:$U$23,0)))*(VLOOKUP($B190,INDIRECT($B$5&amp;"生成成长"),3))*(VLOOKUP($B$5,标准坦克设计!$B$14:$K$20,9)/30))</f>
        <v>20.324881032047593</v>
      </c>
      <c r="AP190" s="173">
        <f ca="1">(VLOOKUP(AP$72,INDIRECT($C$5&amp;"生成成长"),2))/((VLOOKUP($B190,INDIRECT($B$5&amp;"生成成长"),4))/(VLOOKUP(AP$72,INDIRECT($C$5&amp;"生成成长"),5))*(VLOOKUP($B$5,标准坦克设计!$B$24:$U$30,MATCH("对"&amp;LEFT($C$5,2)&amp;"输出",标准坦克设计!$B$23:$U$23,0)))*(VLOOKUP($B190,INDIRECT($B$5&amp;"生成成长"),3))*(VLOOKUP($B$5,标准坦克设计!$B$14:$K$20,9)/30))</f>
        <v>21.822371888038024</v>
      </c>
      <c r="AQ190" s="173">
        <f ca="1">(VLOOKUP(AQ$72,INDIRECT($C$5&amp;"生成成长"),2))/((VLOOKUP($B190,INDIRECT($B$5&amp;"生成成长"),4))/(VLOOKUP(AQ$72,INDIRECT($C$5&amp;"生成成长"),5))*(VLOOKUP($B$5,标准坦克设计!$B$24:$U$30,MATCH("对"&amp;LEFT($C$5,2)&amp;"输出",标准坦克设计!$B$23:$U$23,0)))*(VLOOKUP($B190,INDIRECT($B$5&amp;"生成成长"),3))*(VLOOKUP($B$5,标准坦克设计!$B$14:$K$20,9)/30))</f>
        <v>23.373085359265605</v>
      </c>
      <c r="AR190" s="173">
        <f ca="1">(VLOOKUP(AR$72,INDIRECT($C$5&amp;"生成成长"),2))/((VLOOKUP($B190,INDIRECT($B$5&amp;"生成成长"),4))/(VLOOKUP(AR$72,INDIRECT($C$5&amp;"生成成长"),5))*(VLOOKUP($B$5,标准坦克设计!$B$24:$U$30,MATCH("对"&amp;LEFT($C$5,2)&amp;"输出",标准坦克设计!$B$23:$U$23,0)))*(VLOOKUP($B190,INDIRECT($B$5&amp;"生成成长"),3))*(VLOOKUP($B$5,标准坦克设计!$B$14:$K$20,9)/30))</f>
        <v>24.977021445730315</v>
      </c>
      <c r="AS190" s="173">
        <f ca="1">(VLOOKUP(AS$72,INDIRECT($C$5&amp;"生成成长"),2))/((VLOOKUP($B190,INDIRECT($B$5&amp;"生成成长"),4))/(VLOOKUP(AS$72,INDIRECT($C$5&amp;"生成成长"),5))*(VLOOKUP($B$5,标准坦克设计!$B$24:$U$30,MATCH("对"&amp;LEFT($C$5,2)&amp;"输出",标准坦克设计!$B$23:$U$23,0)))*(VLOOKUP($B190,INDIRECT($B$5&amp;"生成成长"),3))*(VLOOKUP($B$5,标准坦克设计!$B$14:$K$20,9)/30))</f>
        <v>26.634180147432165</v>
      </c>
      <c r="AT190" s="173">
        <f ca="1">(VLOOKUP(AT$72,INDIRECT($C$5&amp;"生成成长"),2))/((VLOOKUP($B190,INDIRECT($B$5&amp;"生成成长"),4))/(VLOOKUP(AT$72,INDIRECT($C$5&amp;"生成成长"),5))*(VLOOKUP($B$5,标准坦克设计!$B$24:$U$30,MATCH("对"&amp;LEFT($C$5,2)&amp;"输出",标准坦克设计!$B$23:$U$23,0)))*(VLOOKUP($B190,INDIRECT($B$5&amp;"生成成长"),3))*(VLOOKUP($B$5,标准坦克设计!$B$14:$K$20,9)/30))</f>
        <v>28.344561464371164</v>
      </c>
      <c r="AU190" s="173">
        <f ca="1">(VLOOKUP(AU$72,INDIRECT($C$5&amp;"生成成长"),2))/((VLOOKUP($B190,INDIRECT($B$5&amp;"生成成长"),4))/(VLOOKUP(AU$72,INDIRECT($C$5&amp;"生成成长"),5))*(VLOOKUP($B$5,标准坦克设计!$B$24:$U$30,MATCH("对"&amp;LEFT($C$5,2)&amp;"输出",标准坦克设计!$B$23:$U$23,0)))*(VLOOKUP($B190,INDIRECT($B$5&amp;"生成成长"),3))*(VLOOKUP($B$5,标准坦克设计!$B$14:$K$20,9)/30))</f>
        <v>30.1081653965473</v>
      </c>
      <c r="AV190" s="173">
        <f ca="1">(VLOOKUP(AV$72,INDIRECT($C$5&amp;"生成成长"),2))/((VLOOKUP($B190,INDIRECT($B$5&amp;"生成成长"),4))/(VLOOKUP(AV$72,INDIRECT($C$5&amp;"生成成长"),5))*(VLOOKUP($B$5,标准坦克设计!$B$24:$U$30,MATCH("对"&amp;LEFT($C$5,2)&amp;"输出",标准坦克设计!$B$23:$U$23,0)))*(VLOOKUP($B190,INDIRECT($B$5&amp;"生成成长"),3))*(VLOOKUP($B$5,标准坦克设计!$B$14:$K$20,9)/30))</f>
        <v>3.0622797295947741</v>
      </c>
      <c r="AW190" s="173">
        <f ca="1">(VLOOKUP(AW$72,INDIRECT($C$5&amp;"生成成长"),2))/((VLOOKUP($B190,INDIRECT($B$5&amp;"生成成长"),4))/(VLOOKUP(AW$72,INDIRECT($C$5&amp;"生成成长"),5))*(VLOOKUP($B$5,标准坦克设计!$B$24:$U$30,MATCH("对"&amp;LEFT($C$5,2)&amp;"输出",标准坦克设计!$B$23:$U$23,0)))*(VLOOKUP($B190,INDIRECT($B$5&amp;"生成成长"),3))*(VLOOKUP($B$5,标准坦克设计!$B$14:$K$20,9)/30))</f>
        <v>3.491579502086084</v>
      </c>
      <c r="AX190" s="173">
        <f ca="1">(VLOOKUP(AX$72,INDIRECT($C$5&amp;"生成成长"),2))/((VLOOKUP($B190,INDIRECT($B$5&amp;"生成成长"),4))/(VLOOKUP(AX$72,INDIRECT($C$5&amp;"生成成长"),5))*(VLOOKUP($B$5,标准坦克设计!$B$24:$U$30,MATCH("对"&amp;LEFT($C$5,2)&amp;"输出",标准坦克设计!$B$23:$U$23,0)))*(VLOOKUP($B190,INDIRECT($B$5&amp;"生成成长"),3))*(VLOOKUP($B$5,标准坦克设计!$B$14:$K$20,9)/30))</f>
        <v>3.9490300793309228</v>
      </c>
      <c r="AY190" s="173">
        <f ca="1">(VLOOKUP(AY$72,INDIRECT($C$5&amp;"生成成长"),2))/((VLOOKUP($B190,INDIRECT($B$5&amp;"生成成长"),4))/(VLOOKUP(AY$72,INDIRECT($C$5&amp;"生成成长"),5))*(VLOOKUP($B$5,标准坦克设计!$B$24:$U$30,MATCH("对"&amp;LEFT($C$5,2)&amp;"输出",标准坦克设计!$B$23:$U$23,0)))*(VLOOKUP($B190,INDIRECT($B$5&amp;"生成成长"),3))*(VLOOKUP($B$5,标准坦克设计!$B$14:$K$20,9)/30))</f>
        <v>4.4346314613292899</v>
      </c>
      <c r="AZ190" s="173">
        <f ca="1">(VLOOKUP(AZ$72,INDIRECT($C$5&amp;"生成成长"),2))/((VLOOKUP($B190,INDIRECT($B$5&amp;"生成成长"),4))/(VLOOKUP(AZ$72,INDIRECT($C$5&amp;"生成成长"),5))*(VLOOKUP($B$5,标准坦克设计!$B$24:$U$30,MATCH("对"&amp;LEFT($C$5,2)&amp;"输出",标准坦克设计!$B$23:$U$23,0)))*(VLOOKUP($B190,INDIRECT($B$5&amp;"生成成长"),3))*(VLOOKUP($B$5,标准坦克设计!$B$14:$K$20,9)/30))</f>
        <v>4.9483836480811849</v>
      </c>
      <c r="BA190" s="173">
        <f ca="1">(VLOOKUP(BA$72,INDIRECT($C$5&amp;"生成成长"),2))/((VLOOKUP($B190,INDIRECT($B$5&amp;"生成成长"),4))/(VLOOKUP(BA$72,INDIRECT($C$5&amp;"生成成长"),5))*(VLOOKUP($B$5,标准坦克设计!$B$24:$U$30,MATCH("对"&amp;LEFT($C$5,2)&amp;"输出",标准坦克设计!$B$23:$U$23,0)))*(VLOOKUP($B190,INDIRECT($B$5&amp;"生成成长"),3))*(VLOOKUP($B$5,标准坦克设计!$B$14:$K$20,9)/30))</f>
        <v>5.4902866395866097</v>
      </c>
      <c r="BB190" s="173">
        <f ca="1">(VLOOKUP(BB$72,INDIRECT($C$5&amp;"生成成长"),2))/((VLOOKUP($B190,INDIRECT($B$5&amp;"生成成长"),4))/(VLOOKUP(BB$72,INDIRECT($C$5&amp;"生成成长"),5))*(VLOOKUP($B$5,标准坦克设计!$B$24:$U$30,MATCH("对"&amp;LEFT($C$5,2)&amp;"输出",标准坦克设计!$B$23:$U$23,0)))*(VLOOKUP($B190,INDIRECT($B$5&amp;"生成成长"),3))*(VLOOKUP($B$5,标准坦克设计!$B$14:$K$20,9)/30))</f>
        <v>6.0603404358455615</v>
      </c>
      <c r="BC190" s="173">
        <f ca="1">(VLOOKUP(BC$72,INDIRECT($C$5&amp;"生成成长"),2))/((VLOOKUP($B190,INDIRECT($B$5&amp;"生成成长"),4))/(VLOOKUP(BC$72,INDIRECT($C$5&amp;"生成成长"),5))*(VLOOKUP($B$5,标准坦克设计!$B$24:$U$30,MATCH("对"&amp;LEFT($C$5,2)&amp;"输出",标准坦克设计!$B$23:$U$23,0)))*(VLOOKUP($B190,INDIRECT($B$5&amp;"生成成长"),3))*(VLOOKUP($B$5,标准坦克设计!$B$14:$K$20,9)/30))</f>
        <v>6.6585450368580412</v>
      </c>
      <c r="BD190" s="173">
        <f ca="1">(VLOOKUP(BD$72,INDIRECT($C$5&amp;"生成成长"),2))/((VLOOKUP($B190,INDIRECT($B$5&amp;"生成成长"),4))/(VLOOKUP(BD$72,INDIRECT($C$5&amp;"生成成长"),5))*(VLOOKUP($B$5,标准坦克设计!$B$24:$U$30,MATCH("对"&amp;LEFT($C$5,2)&amp;"输出",标准坦克设计!$B$23:$U$23,0)))*(VLOOKUP($B190,INDIRECT($B$5&amp;"生成成长"),3))*(VLOOKUP($B$5,标准坦克设计!$B$14:$K$20,9)/30))</f>
        <v>7.365174221804037</v>
      </c>
      <c r="BE190" s="173">
        <f ca="1">(VLOOKUP(BE$72,INDIRECT($C$5&amp;"生成成长"),2))/((VLOOKUP($B190,INDIRECT($B$5&amp;"生成成长"),4))/(VLOOKUP(BE$72,INDIRECT($C$5&amp;"生成成长"),5))*(VLOOKUP($B$5,标准坦克设计!$B$24:$U$30,MATCH("对"&amp;LEFT($C$5,2)&amp;"输出",标准坦克设计!$B$23:$U$23,0)))*(VLOOKUP($B190,INDIRECT($B$5&amp;"生成成长"),3))*(VLOOKUP($B$5,标准坦克设计!$B$14:$K$20,9)/30))</f>
        <v>8.1074317690162125</v>
      </c>
      <c r="BF190" s="173">
        <f ca="1">(VLOOKUP(BF$72,INDIRECT($C$5&amp;"生成成长"),2))/((VLOOKUP($B190,INDIRECT($B$5&amp;"生成成长"),4))/(VLOOKUP(BF$72,INDIRECT($C$5&amp;"生成成长"),5))*(VLOOKUP($B$5,标准坦克设计!$B$24:$U$30,MATCH("对"&amp;LEFT($C$5,2)&amp;"输出",标准坦克设计!$B$23:$U$23,0)))*(VLOOKUP($B190,INDIRECT($B$5&amp;"生成成长"),3))*(VLOOKUP($B$5,标准坦克设计!$B$14:$K$20,9)/30))</f>
        <v>8.8853176784945749</v>
      </c>
      <c r="BG190" s="173">
        <f ca="1">(VLOOKUP(BG$72,INDIRECT($C$5&amp;"生成成长"),2))/((VLOOKUP($B190,INDIRECT($B$5&amp;"生成成长"),4))/(VLOOKUP(BG$72,INDIRECT($C$5&amp;"生成成长"),5))*(VLOOKUP($B$5,标准坦克设计!$B$24:$U$30,MATCH("对"&amp;LEFT($C$5,2)&amp;"输出",标准坦克设计!$B$23:$U$23,0)))*(VLOOKUP($B190,INDIRECT($B$5&amp;"生成成长"),3))*(VLOOKUP($B$5,标准坦克设计!$B$14:$K$20,9)/30))</f>
        <v>9.6988319502391231</v>
      </c>
      <c r="BH190" s="173">
        <f ca="1">(VLOOKUP(BH$72,INDIRECT($C$5&amp;"生成成长"),2))/((VLOOKUP($B190,INDIRECT($B$5&amp;"生成成长"),4))/(VLOOKUP(BH$72,INDIRECT($C$5&amp;"生成成长"),5))*(VLOOKUP($B$5,标准坦克设计!$B$24:$U$30,MATCH("对"&amp;LEFT($C$5,2)&amp;"输出",标准坦克设计!$B$23:$U$23,0)))*(VLOOKUP($B190,INDIRECT($B$5&amp;"生成成长"),3))*(VLOOKUP($B$5,标准坦克设计!$B$14:$K$20,9)/30))</f>
        <v>4.6879887041110466</v>
      </c>
      <c r="BI190" s="173">
        <f ca="1">(VLOOKUP(BI$72,INDIRECT($C$5&amp;"生成成长"),2))/((VLOOKUP($B190,INDIRECT($B$5&amp;"生成成长"),4))/(VLOOKUP(BI$72,INDIRECT($C$5&amp;"生成成长"),5))*(VLOOKUP($B$5,标准坦克设计!$B$24:$U$30,MATCH("对"&amp;LEFT($C$5,2)&amp;"输出",标准坦克设计!$B$23:$U$23,0)))*(VLOOKUP($B190,INDIRECT($B$5&amp;"生成成长"),3))*(VLOOKUP($B$5,标准坦克设计!$B$14:$K$20,9)/30))</f>
        <v>5.2837740953400214</v>
      </c>
      <c r="BJ190" s="173">
        <f ca="1">(VLOOKUP(BJ$72,INDIRECT($C$5&amp;"生成成长"),2))/((VLOOKUP($B190,INDIRECT($B$5&amp;"生成成长"),4))/(VLOOKUP(BJ$72,INDIRECT($C$5&amp;"生成成长"),5))*(VLOOKUP($B$5,标准坦克设计!$B$24:$U$30,MATCH("对"&amp;LEFT($C$5,2)&amp;"输出",标准坦克设计!$B$23:$U$23,0)))*(VLOOKUP($B190,INDIRECT($B$5&amp;"生成成长"),3))*(VLOOKUP($B$5,标准坦克设计!$B$14:$K$20,9)/30))</f>
        <v>5.9151878488351803</v>
      </c>
      <c r="BK190" s="173">
        <f ca="1">(VLOOKUP(BK$72,INDIRECT($C$5&amp;"生成成长"),2))/((VLOOKUP($B190,INDIRECT($B$5&amp;"生成成长"),4))/(VLOOKUP(BK$72,INDIRECT($C$5&amp;"生成成长"),5))*(VLOOKUP($B$5,标准坦克设计!$B$24:$U$30,MATCH("对"&amp;LEFT($C$5,2)&amp;"输出",标准坦克设计!$B$23:$U$23,0)))*(VLOOKUP($B190,INDIRECT($B$5&amp;"生成成长"),3))*(VLOOKUP($B$5,标准坦克设计!$B$14:$K$20,9)/30))</f>
        <v>6.5822299645965243</v>
      </c>
      <c r="BL190" s="173">
        <f ca="1">(VLOOKUP(BL$72,INDIRECT($C$5&amp;"生成成长"),2))/((VLOOKUP($B190,INDIRECT($B$5&amp;"生成成长"),4))/(VLOOKUP(BL$72,INDIRECT($C$5&amp;"生成成长"),5))*(VLOOKUP($B$5,标准坦克设计!$B$24:$U$30,MATCH("对"&amp;LEFT($C$5,2)&amp;"输出",标准坦克设计!$B$23:$U$23,0)))*(VLOOKUP($B190,INDIRECT($B$5&amp;"生成成长"),3))*(VLOOKUP($B$5,标准坦克设计!$B$14:$K$20,9)/30))</f>
        <v>7.2849004426240525</v>
      </c>
      <c r="BM190" s="173">
        <f ca="1">(VLOOKUP(BM$72,INDIRECT($C$5&amp;"生成成长"),2))/((VLOOKUP($B190,INDIRECT($B$5&amp;"生成成长"),4))/(VLOOKUP(BM$72,INDIRECT($C$5&amp;"生成成长"),5))*(VLOOKUP($B$5,标准坦克设计!$B$24:$U$30,MATCH("对"&amp;LEFT($C$5,2)&amp;"输出",标准坦克设计!$B$23:$U$23,0)))*(VLOOKUP($B190,INDIRECT($B$5&amp;"生成成长"),3))*(VLOOKUP($B$5,标准坦克设计!$B$14:$K$20,9)/30))</f>
        <v>8.0231992829177639</v>
      </c>
      <c r="BN190" s="173">
        <f ca="1">(VLOOKUP(BN$72,INDIRECT($C$5&amp;"生成成长"),2))/((VLOOKUP($B190,INDIRECT($B$5&amp;"生成成长"),4))/(VLOOKUP(BN$72,INDIRECT($C$5&amp;"生成成长"),5))*(VLOOKUP($B$5,标准坦克设计!$B$24:$U$30,MATCH("对"&amp;LEFT($C$5,2)&amp;"输出",标准坦克设计!$B$23:$U$23,0)))*(VLOOKUP($B190,INDIRECT($B$5&amp;"生成成长"),3))*(VLOOKUP($B$5,标准坦克设计!$B$14:$K$20,9)/30))</f>
        <v>8.7971264854776638</v>
      </c>
      <c r="BO190" s="173">
        <f ca="1">(VLOOKUP(BO$72,INDIRECT($C$5&amp;"生成成长"),2))/((VLOOKUP($B190,INDIRECT($B$5&amp;"生成成长"),4))/(VLOOKUP(BO$72,INDIRECT($C$5&amp;"生成成长"),5))*(VLOOKUP($B$5,标准坦克设计!$B$24:$U$30,MATCH("对"&amp;LEFT($C$5,2)&amp;"输出",标准坦克设计!$B$23:$U$23,0)))*(VLOOKUP($B190,INDIRECT($B$5&amp;"生成成长"),3))*(VLOOKUP($B$5,标准坦克设计!$B$14:$K$20,9)/30))</f>
        <v>9.6066820503037444</v>
      </c>
      <c r="BP190" s="173">
        <f ca="1">(VLOOKUP(BP$72,INDIRECT($C$5&amp;"生成成长"),2))/((VLOOKUP($B190,INDIRECT($B$5&amp;"生成成长"),4))/(VLOOKUP(BP$72,INDIRECT($C$5&amp;"生成成长"),5))*(VLOOKUP($B$5,标准坦克设计!$B$24:$U$30,MATCH("对"&amp;LEFT($C$5,2)&amp;"输出",标准坦克设计!$B$23:$U$23,0)))*(VLOOKUP($B190,INDIRECT($B$5&amp;"生成成长"),3))*(VLOOKUP($B$5,标准坦克设计!$B$14:$K$20,9)/30))</f>
        <v>10.451865977396011</v>
      </c>
      <c r="BQ190" s="173">
        <f ca="1">(VLOOKUP(BQ$72,INDIRECT($C$5&amp;"生成成长"),2))/((VLOOKUP($B190,INDIRECT($B$5&amp;"生成成长"),4))/(VLOOKUP(BQ$72,INDIRECT($C$5&amp;"生成成长"),5))*(VLOOKUP($B$5,标准坦克设计!$B$24:$U$30,MATCH("对"&amp;LEFT($C$5,2)&amp;"输出",标准坦克设计!$B$23:$U$23,0)))*(VLOOKUP($B190,INDIRECT($B$5&amp;"生成成长"),3))*(VLOOKUP($B$5,标准坦克设计!$B$14:$K$20,9)/30))</f>
        <v>11.332678266754462</v>
      </c>
      <c r="BR190" s="173">
        <f ca="1">(VLOOKUP(BR$72,INDIRECT($C$5&amp;"生成成长"),2))/((VLOOKUP($B190,INDIRECT($B$5&amp;"生成成长"),4))/(VLOOKUP(BR$72,INDIRECT($C$5&amp;"生成成长"),5))*(VLOOKUP($B$5,标准坦克设计!$B$24:$U$30,MATCH("对"&amp;LEFT($C$5,2)&amp;"输出",标准坦克设计!$B$23:$U$23,0)))*(VLOOKUP($B190,INDIRECT($B$5&amp;"生成成长"),3))*(VLOOKUP($B$5,标准坦克设计!$B$14:$K$20,9)/30))</f>
        <v>12.353144939069871</v>
      </c>
      <c r="BS190" s="173">
        <f ca="1">(VLOOKUP(BS$72,INDIRECT($C$5&amp;"生成成长"),2))/((VLOOKUP($B190,INDIRECT($B$5&amp;"生成成长"),4))/(VLOOKUP(BS$72,INDIRECT($C$5&amp;"生成成长"),5))*(VLOOKUP($B$5,标准坦克设计!$B$24:$U$30,MATCH("对"&amp;LEFT($C$5,2)&amp;"输出",标准坦克设计!$B$23:$U$23,0)))*(VLOOKUP($B190,INDIRECT($B$5&amp;"生成成长"),3))*(VLOOKUP($B$5,标准坦克设计!$B$14:$K$20,9)/30))</f>
        <v>13.41759724381267</v>
      </c>
      <c r="BT190" s="173">
        <f ca="1">(VLOOKUP(BT$72,INDIRECT($C$5&amp;"生成成长"),2))/((VLOOKUP($B190,INDIRECT($B$5&amp;"生成成长"),4))/(VLOOKUP(BT$72,INDIRECT($C$5&amp;"生成成长"),5))*(VLOOKUP($B$5,标准坦克设计!$B$24:$U$30,MATCH("对"&amp;LEFT($C$5,2)&amp;"输出",标准坦克设计!$B$23:$U$23,0)))*(VLOOKUP($B190,INDIRECT($B$5&amp;"生成成长"),3))*(VLOOKUP($B$5,标准坦克设计!$B$14:$K$20,9)/30))</f>
        <v>14.526035180982854</v>
      </c>
      <c r="BU190" s="173">
        <f ca="1">(VLOOKUP(BU$72,INDIRECT($C$5&amp;"生成成长"),2))/((VLOOKUP($B190,INDIRECT($B$5&amp;"生成成长"),4))/(VLOOKUP(BU$72,INDIRECT($C$5&amp;"生成成长"),5))*(VLOOKUP($B$5,标准坦克设计!$B$24:$U$30,MATCH("对"&amp;LEFT($C$5,2)&amp;"输出",标准坦克设计!$B$23:$U$23,0)))*(VLOOKUP($B190,INDIRECT($B$5&amp;"生成成长"),3))*(VLOOKUP($B$5,标准坦克设计!$B$14:$K$20,9)/30))</f>
        <v>15.678458750580427</v>
      </c>
      <c r="BV190" s="173">
        <f ca="1">(VLOOKUP(BV$72,INDIRECT($C$5&amp;"生成成长"),2))/((VLOOKUP($B190,INDIRECT($B$5&amp;"生成成长"),4))/(VLOOKUP(BV$72,INDIRECT($C$5&amp;"生成成长"),5))*(VLOOKUP($B$5,标准坦克设计!$B$24:$U$30,MATCH("对"&amp;LEFT($C$5,2)&amp;"输出",标准坦克设计!$B$23:$U$23,0)))*(VLOOKUP($B190,INDIRECT($B$5&amp;"生成成长"),3))*(VLOOKUP($B$5,标准坦克设计!$B$14:$K$20,9)/30))</f>
        <v>16.874867952605388</v>
      </c>
      <c r="BW190" s="173">
        <f ca="1">(VLOOKUP(BW$72,INDIRECT($C$5&amp;"生成成长"),2))/((VLOOKUP($B190,INDIRECT($B$5&amp;"生成成长"),4))/(VLOOKUP(BW$72,INDIRECT($C$5&amp;"生成成长"),5))*(VLOOKUP($B$5,标准坦克设计!$B$24:$U$30,MATCH("对"&amp;LEFT($C$5,2)&amp;"输出",标准坦克设计!$B$23:$U$23,0)))*(VLOOKUP($B190,INDIRECT($B$5&amp;"生成成长"),3))*(VLOOKUP($B$5,标准坦克设计!$B$14:$K$20,9)/30))</f>
        <v>7.6906679017667097</v>
      </c>
      <c r="BX190" s="173">
        <f ca="1">(VLOOKUP(BX$72,INDIRECT($C$5&amp;"生成成长"),2))/((VLOOKUP($B190,INDIRECT($B$5&amp;"生成成长"),4))/(VLOOKUP(BX$72,INDIRECT($C$5&amp;"生成成长"),5))*(VLOOKUP($B$5,标准坦克设计!$B$24:$U$30,MATCH("对"&amp;LEFT($C$5,2)&amp;"输出",标准坦克设计!$B$23:$U$23,0)))*(VLOOKUP($B190,INDIRECT($B$5&amp;"生成成长"),3))*(VLOOKUP($B$5,标准坦克设计!$B$14:$K$20,9)/30))</f>
        <v>8.5351920443725646</v>
      </c>
      <c r="BY190" s="173">
        <f ca="1">(VLOOKUP(BY$72,INDIRECT($C$5&amp;"生成成长"),2))/((VLOOKUP($B190,INDIRECT($B$5&amp;"生成成长"),4))/(VLOOKUP(BY$72,INDIRECT($C$5&amp;"生成成长"),5))*(VLOOKUP($B$5,标准坦克设计!$B$24:$U$30,MATCH("对"&amp;LEFT($C$5,2)&amp;"输出",标准坦克设计!$B$23:$U$23,0)))*(VLOOKUP($B190,INDIRECT($B$5&amp;"生成成长"),3))*(VLOOKUP($B$5,标准坦克设计!$B$14:$K$20,9)/30))</f>
        <v>9.4237018194058084</v>
      </c>
      <c r="BZ190" s="173">
        <f ca="1">(VLOOKUP(BZ$72,INDIRECT($C$5&amp;"生成成长"),2))/((VLOOKUP($B190,INDIRECT($B$5&amp;"生成成长"),4))/(VLOOKUP(BZ$72,INDIRECT($C$5&amp;"生成成长"),5))*(VLOOKUP($B$5,标准坦克设计!$B$24:$U$30,MATCH("对"&amp;LEFT($C$5,2)&amp;"输出",标准坦克设计!$B$23:$U$23,0)))*(VLOOKUP($B190,INDIRECT($B$5&amp;"生成成长"),3))*(VLOOKUP($B$5,标准坦克设计!$B$14:$K$20,9)/30))</f>
        <v>10.35619722686644</v>
      </c>
      <c r="CA190" s="173">
        <f ca="1">(VLOOKUP(CA$72,INDIRECT($C$5&amp;"生成成长"),2))/((VLOOKUP($B190,INDIRECT($B$5&amp;"生成成长"),4))/(VLOOKUP(CA$72,INDIRECT($C$5&amp;"生成成长"),5))*(VLOOKUP($B$5,标准坦克设计!$B$24:$U$30,MATCH("对"&amp;LEFT($C$5,2)&amp;"输出",标准坦克设计!$B$23:$U$23,0)))*(VLOOKUP($B190,INDIRECT($B$5&amp;"生成成长"),3))*(VLOOKUP($B$5,标准坦克设计!$B$14:$K$20,9)/30))</f>
        <v>11.332678266754462</v>
      </c>
      <c r="CB190" s="173">
        <f ca="1">(VLOOKUP(CB$72,INDIRECT($C$5&amp;"生成成长"),2))/((VLOOKUP($B190,INDIRECT($B$5&amp;"生成成长"),4))/(VLOOKUP(CB$72,INDIRECT($C$5&amp;"生成成长"),5))*(VLOOKUP($B$5,标准坦克设计!$B$24:$U$30,MATCH("对"&amp;LEFT($C$5,2)&amp;"输出",标准坦克设计!$B$23:$U$23,0)))*(VLOOKUP($B190,INDIRECT($B$5&amp;"生成成长"),3))*(VLOOKUP($B$5,标准坦克设计!$B$14:$K$20,9)/30))</f>
        <v>12.353144939069871</v>
      </c>
      <c r="CC190" s="173">
        <f ca="1">(VLOOKUP(CC$72,INDIRECT($C$5&amp;"生成成长"),2))/((VLOOKUP($B190,INDIRECT($B$5&amp;"生成成长"),4))/(VLOOKUP(CC$72,INDIRECT($C$5&amp;"生成成长"),5))*(VLOOKUP($B$5,标准坦克设计!$B$24:$U$30,MATCH("对"&amp;LEFT($C$5,2)&amp;"输出",标准坦克设计!$B$23:$U$23,0)))*(VLOOKUP($B190,INDIRECT($B$5&amp;"生成成长"),3))*(VLOOKUP($B$5,标准坦克设计!$B$14:$K$20,9)/30))</f>
        <v>13.41759724381267</v>
      </c>
      <c r="CD190" s="173">
        <f ca="1">(VLOOKUP(CD$72,INDIRECT($C$5&amp;"生成成长"),2))/((VLOOKUP($B190,INDIRECT($B$5&amp;"生成成长"),4))/(VLOOKUP(CD$72,INDIRECT($C$5&amp;"生成成长"),5))*(VLOOKUP($B$5,标准坦克设计!$B$24:$U$30,MATCH("对"&amp;LEFT($C$5,2)&amp;"输出",标准坦克设计!$B$23:$U$23,0)))*(VLOOKUP($B190,INDIRECT($B$5&amp;"生成成长"),3))*(VLOOKUP($B$5,标准坦克设计!$B$14:$K$20,9)/30))</f>
        <v>14.526035180982854</v>
      </c>
      <c r="CE190" s="173">
        <f ca="1">(VLOOKUP(CE$72,INDIRECT($C$5&amp;"生成成长"),2))/((VLOOKUP($B190,INDIRECT($B$5&amp;"生成成长"),4))/(VLOOKUP(CE$72,INDIRECT($C$5&amp;"生成成长"),5))*(VLOOKUP($B$5,标准坦克设计!$B$24:$U$30,MATCH("对"&amp;LEFT($C$5,2)&amp;"输出",标准坦克设计!$B$23:$U$23,0)))*(VLOOKUP($B190,INDIRECT($B$5&amp;"生成成长"),3))*(VLOOKUP($B$5,标准坦克设计!$B$14:$K$20,9)/30))</f>
        <v>15.678458750580427</v>
      </c>
      <c r="CF190" s="173">
        <f ca="1">(VLOOKUP(CF$72,INDIRECT($C$5&amp;"生成成长"),2))/((VLOOKUP($B190,INDIRECT($B$5&amp;"生成成长"),4))/(VLOOKUP(CF$72,INDIRECT($C$5&amp;"生成成长"),5))*(VLOOKUP($B$5,标准坦克设计!$B$24:$U$30,MATCH("对"&amp;LEFT($C$5,2)&amp;"输出",标准坦克设计!$B$23:$U$23,0)))*(VLOOKUP($B190,INDIRECT($B$5&amp;"生成成长"),3))*(VLOOKUP($B$5,标准坦克设计!$B$14:$K$20,9)/30))</f>
        <v>16.874867952605388</v>
      </c>
      <c r="CG190" s="173">
        <f ca="1">(VLOOKUP(CG$72,INDIRECT($C$5&amp;"生成成长"),2))/((VLOOKUP($B190,INDIRECT($B$5&amp;"生成成长"),4))/(VLOOKUP(CG$72,INDIRECT($C$5&amp;"生成成长"),5))*(VLOOKUP($B$5,标准坦克设计!$B$24:$U$30,MATCH("对"&amp;LEFT($C$5,2)&amp;"输出",标准坦克设计!$B$23:$U$23,0)))*(VLOOKUP($B190,INDIRECT($B$5&amp;"生成成长"),3))*(VLOOKUP($B$5,标准坦克设计!$B$14:$K$20,9)/30))</f>
        <v>18.115262787057741</v>
      </c>
      <c r="CH190" s="173">
        <f ca="1">(VLOOKUP(CH$72,INDIRECT($C$5&amp;"生成成长"),2))/((VLOOKUP($B190,INDIRECT($B$5&amp;"生成成长"),4))/(VLOOKUP(CH$72,INDIRECT($C$5&amp;"生成成长"),5))*(VLOOKUP($B$5,标准坦克设计!$B$24:$U$30,MATCH("对"&amp;LEFT($C$5,2)&amp;"输出",标准坦克设计!$B$23:$U$23,0)))*(VLOOKUP($B190,INDIRECT($B$5&amp;"生成成长"),3))*(VLOOKUP($B$5,标准坦克设计!$B$14:$K$20,9)/30))</f>
        <v>19.399643253937477</v>
      </c>
      <c r="CI190" s="173">
        <f ca="1">(VLOOKUP(CI$72,INDIRECT($C$5&amp;"生成成长"),2))/((VLOOKUP($B190,INDIRECT($B$5&amp;"生成成长"),4))/(VLOOKUP(CI$72,INDIRECT($C$5&amp;"生成成长"),5))*(VLOOKUP($B$5,标准坦克设计!$B$24:$U$30,MATCH("对"&amp;LEFT($C$5,2)&amp;"输出",标准坦克设计!$B$23:$U$23,0)))*(VLOOKUP($B190,INDIRECT($B$5&amp;"生成成长"),3))*(VLOOKUP($B$5,标准坦克设计!$B$14:$K$20,9)/30))</f>
        <v>20.863265172958823</v>
      </c>
      <c r="CJ190" s="173">
        <f ca="1">(VLOOKUP(CJ$72,INDIRECT($C$5&amp;"生成成长"),2))/((VLOOKUP($B190,INDIRECT($B$5&amp;"生成成长"),4))/(VLOOKUP(CJ$72,INDIRECT($C$5&amp;"生成成长"),5))*(VLOOKUP($B$5,标准坦克设计!$B$24:$U$30,MATCH("对"&amp;LEFT($C$5,2)&amp;"输出",标准坦克设计!$B$23:$U$23,0)))*(VLOOKUP($B190,INDIRECT($B$5&amp;"生成成长"),3))*(VLOOKUP($B$5,标准坦克设计!$B$14:$K$20,9)/30))</f>
        <v>22.380109707217311</v>
      </c>
      <c r="CK190" s="173">
        <f ca="1">(VLOOKUP(CK$72,INDIRECT($C$5&amp;"生成成长"),2))/((VLOOKUP($B190,INDIRECT($B$5&amp;"生成成长"),4))/(VLOOKUP(CK$72,INDIRECT($C$5&amp;"生成成长"),5))*(VLOOKUP($B$5,标准坦克设计!$B$24:$U$30,MATCH("对"&amp;LEFT($C$5,2)&amp;"输出",标准坦克设计!$B$23:$U$23,0)))*(VLOOKUP($B190,INDIRECT($B$5&amp;"生成成长"),3))*(VLOOKUP($B$5,标准坦克设计!$B$14:$K$20,9)/30))</f>
        <v>23.950176856712936</v>
      </c>
      <c r="CL190" s="173">
        <f ca="1">(VLOOKUP(CL$72,INDIRECT($C$5&amp;"生成成长"),2))/((VLOOKUP($B190,INDIRECT($B$5&amp;"生成成长"),4))/(VLOOKUP(CL$72,INDIRECT($C$5&amp;"生成成长"),5))*(VLOOKUP($B$5,标准坦克设计!$B$24:$U$30,MATCH("对"&amp;LEFT($C$5,2)&amp;"输出",标准坦克设计!$B$23:$U$23,0)))*(VLOOKUP($B190,INDIRECT($B$5&amp;"生成成长"),3))*(VLOOKUP($B$5,标准坦克设计!$B$14:$K$20,9)/30))</f>
        <v>25.5734666214457</v>
      </c>
      <c r="CM190" s="173">
        <f ca="1">(VLOOKUP(CM$72,INDIRECT($C$5&amp;"生成成长"),2))/((VLOOKUP($B190,INDIRECT($B$5&amp;"生成成长"),4))/(VLOOKUP(CM$72,INDIRECT($C$5&amp;"生成成长"),5))*(VLOOKUP($B$5,标准坦克设计!$B$24:$U$30,MATCH("对"&amp;LEFT($C$5,2)&amp;"输出",标准坦克设计!$B$23:$U$23,0)))*(VLOOKUP($B190,INDIRECT($B$5&amp;"生成成长"),3))*(VLOOKUP($B$5,标准坦克设计!$B$14:$K$20,9)/30))</f>
        <v>27.24997900141561</v>
      </c>
      <c r="CN190" s="173">
        <f ca="1">(VLOOKUP(CN$72,INDIRECT($C$5&amp;"生成成长"),2))/((VLOOKUP($B190,INDIRECT($B$5&amp;"生成成长"),4))/(VLOOKUP(CN$72,INDIRECT($C$5&amp;"生成成长"),5))*(VLOOKUP($B$5,标准坦克设计!$B$24:$U$30,MATCH("对"&amp;LEFT($C$5,2)&amp;"输出",标准坦克设计!$B$23:$U$23,0)))*(VLOOKUP($B190,INDIRECT($B$5&amp;"生成成长"),3))*(VLOOKUP($B$5,标准坦克设计!$B$14:$K$20,9)/30))</f>
        <v>28.979713996622653</v>
      </c>
      <c r="CO190" s="173">
        <f ca="1">(VLOOKUP(CO$72,INDIRECT($C$5&amp;"生成成长"),2))/((VLOOKUP($B190,INDIRECT($B$5&amp;"生成成长"),4))/(VLOOKUP(CO$72,INDIRECT($C$5&amp;"生成成长"),5))*(VLOOKUP($B$5,标准坦克设计!$B$24:$U$30,MATCH("对"&amp;LEFT($C$5,2)&amp;"输出",标准坦克设计!$B$23:$U$23,0)))*(VLOOKUP($B190,INDIRECT($B$5&amp;"生成成长"),3))*(VLOOKUP($B$5,标准坦克设计!$B$14:$K$20,9)/30))</f>
        <v>12.986538046024263</v>
      </c>
      <c r="CP190" s="173">
        <f ca="1">(VLOOKUP(CP$72,INDIRECT($C$5&amp;"生成成长"),2))/((VLOOKUP($B190,INDIRECT($B$5&amp;"生成成长"),4))/(VLOOKUP(CP$72,INDIRECT($C$5&amp;"生成成长"),5))*(VLOOKUP($B$5,标准坦克设计!$B$24:$U$30,MATCH("对"&amp;LEFT($C$5,2)&amp;"输出",标准坦克设计!$B$23:$U$23,0)))*(VLOOKUP($B190,INDIRECT($B$5&amp;"生成成长"),3))*(VLOOKUP($B$5,标准坦克设计!$B$14:$K$20,9)/30))</f>
        <v>14.18888530842692</v>
      </c>
      <c r="CQ190" s="173">
        <f ca="1">(VLOOKUP(CQ$72,INDIRECT($C$5&amp;"生成成长"),2))/((VLOOKUP($B190,INDIRECT($B$5&amp;"生成成长"),4))/(VLOOKUP(CQ$72,INDIRECT($C$5&amp;"生成成长"),5))*(VLOOKUP($B$5,标准坦克设计!$B$24:$U$30,MATCH("对"&amp;LEFT($C$5,2)&amp;"输出",标准坦克设计!$B$23:$U$23,0)))*(VLOOKUP($B190,INDIRECT($B$5&amp;"生成成长"),3))*(VLOOKUP($B$5,标准坦克设计!$B$14:$K$20,9)/30))</f>
        <v>15.444455186066721</v>
      </c>
      <c r="CR190" s="173">
        <f ca="1">(VLOOKUP(CR$72,INDIRECT($C$5&amp;"生成成长"),2))/((VLOOKUP($B190,INDIRECT($B$5&amp;"生成成长"),4))/(VLOOKUP(CR$72,INDIRECT($C$5&amp;"生成成长"),5))*(VLOOKUP($B$5,标准坦克设计!$B$24:$U$30,MATCH("对"&amp;LEFT($C$5,2)&amp;"输出",标准坦克设计!$B$23:$U$23,0)))*(VLOOKUP($B190,INDIRECT($B$5&amp;"生成成长"),3))*(VLOOKUP($B$5,标准坦克设计!$B$14:$K$20,9)/30))</f>
        <v>16.753247678943662</v>
      </c>
      <c r="CS190" s="173">
        <f ca="1">(VLOOKUP(CS$72,INDIRECT($C$5&amp;"生成成长"),2))/((VLOOKUP($B190,INDIRECT($B$5&amp;"生成成长"),4))/(VLOOKUP(CS$72,INDIRECT($C$5&amp;"生成成长"),5))*(VLOOKUP($B$5,标准坦克设计!$B$24:$U$30,MATCH("对"&amp;LEFT($C$5,2)&amp;"输出",标准坦克设计!$B$23:$U$23,0)))*(VLOOKUP($B190,INDIRECT($B$5&amp;"生成成长"),3))*(VLOOKUP($B$5,标准坦克设计!$B$14:$K$20,9)/30))</f>
        <v>18.115262787057741</v>
      </c>
      <c r="CT190" s="173">
        <f ca="1">(VLOOKUP(CT$72,INDIRECT($C$5&amp;"生成成长"),2))/((VLOOKUP($B190,INDIRECT($B$5&amp;"生成成长"),4))/(VLOOKUP(CT$72,INDIRECT($C$5&amp;"生成成长"),5))*(VLOOKUP($B$5,标准坦克设计!$B$24:$U$30,MATCH("对"&amp;LEFT($C$5,2)&amp;"输出",标准坦克设计!$B$23:$U$23,0)))*(VLOOKUP($B190,INDIRECT($B$5&amp;"生成成长"),3))*(VLOOKUP($B$5,标准坦克设计!$B$14:$K$20,9)/30))</f>
        <v>19.53050051040896</v>
      </c>
      <c r="CU190" s="173">
        <f ca="1">(VLOOKUP(CU$72,INDIRECT($C$5&amp;"生成成长"),2))/((VLOOKUP($B190,INDIRECT($B$5&amp;"生成成长"),4))/(VLOOKUP(CU$72,INDIRECT($C$5&amp;"生成成长"),5))*(VLOOKUP($B$5,标准坦克设计!$B$24:$U$30,MATCH("对"&amp;LEFT($C$5,2)&amp;"输出",标准坦克设计!$B$23:$U$23,0)))*(VLOOKUP($B190,INDIRECT($B$5&amp;"生成成长"),3))*(VLOOKUP($B$5,标准坦克设计!$B$14:$K$20,9)/30))</f>
        <v>20.998960848997321</v>
      </c>
      <c r="CV190" s="173">
        <f ca="1">(VLOOKUP(CV$72,INDIRECT($C$5&amp;"生成成长"),2))/((VLOOKUP($B190,INDIRECT($B$5&amp;"生成成长"),4))/(VLOOKUP(CV$72,INDIRECT($C$5&amp;"生成成长"),5))*(VLOOKUP($B$5,标准坦克设计!$B$24:$U$30,MATCH("对"&amp;LEFT($C$5,2)&amp;"输出",标准坦克设计!$B$23:$U$23,0)))*(VLOOKUP($B190,INDIRECT($B$5&amp;"生成成长"),3))*(VLOOKUP($B$5,标准坦克设计!$B$14:$K$20,9)/30))</f>
        <v>22.520643802822814</v>
      </c>
      <c r="CW190" s="173">
        <f ca="1">(VLOOKUP(CW$72,INDIRECT($C$5&amp;"生成成长"),2))/((VLOOKUP($B190,INDIRECT($B$5&amp;"生成成长"),4))/(VLOOKUP(CW$72,INDIRECT($C$5&amp;"生成成长"),5))*(VLOOKUP($B$5,标准坦克设计!$B$24:$U$30,MATCH("对"&amp;LEFT($C$5,2)&amp;"输出",标准坦克设计!$B$23:$U$23,0)))*(VLOOKUP($B190,INDIRECT($B$5&amp;"生成成长"),3))*(VLOOKUP($B$5,标准坦克设计!$B$14:$K$20,9)/30))</f>
        <v>24.095549371885451</v>
      </c>
      <c r="CX190" s="173">
        <f ca="1">(VLOOKUP(CX$72,INDIRECT($C$5&amp;"生成成长"),2))/((VLOOKUP($B190,INDIRECT($B$5&amp;"生成成长"),4))/(VLOOKUP(CX$72,INDIRECT($C$5&amp;"生成成长"),5))*(VLOOKUP($B$5,标准坦克设计!$B$24:$U$30,MATCH("对"&amp;LEFT($C$5,2)&amp;"输出",标准坦克设计!$B$23:$U$23,0)))*(VLOOKUP($B190,INDIRECT($B$5&amp;"生成成长"),3))*(VLOOKUP($B$5,标准坦克设计!$B$14:$K$20,9)/30))</f>
        <v>25.723677556185233</v>
      </c>
      <c r="CY190" s="173">
        <f ca="1">(VLOOKUP(CY$72,INDIRECT($C$5&amp;"生成成长"),2))/((VLOOKUP($B190,INDIRECT($B$5&amp;"生成成长"),4))/(VLOOKUP(CY$72,INDIRECT($C$5&amp;"生成成长"),5))*(VLOOKUP($B$5,标准坦克设计!$B$24:$U$30,MATCH("对"&amp;LEFT($C$5,2)&amp;"输出",标准坦克设计!$B$23:$U$23,0)))*(VLOOKUP($B190,INDIRECT($B$5&amp;"生成成长"),3))*(VLOOKUP($B$5,标准坦克设计!$B$14:$K$20,9)/30))</f>
        <v>27.405028355722148</v>
      </c>
      <c r="CZ190" s="173">
        <f ca="1">(VLOOKUP(CZ$72,INDIRECT($C$5&amp;"生成成长"),2))/((VLOOKUP($B190,INDIRECT($B$5&amp;"生成成长"),4))/(VLOOKUP(CZ$72,INDIRECT($C$5&amp;"生成成长"),5))*(VLOOKUP($B$5,标准坦克设计!$B$24:$U$30,MATCH("对"&amp;LEFT($C$5,2)&amp;"输出",标准坦克设计!$B$23:$U$23,0)))*(VLOOKUP($B190,INDIRECT($B$5&amp;"生成成长"),3))*(VLOOKUP($B$5,标准坦克设计!$B$14:$K$20,9)/30))</f>
        <v>29.13960177049621</v>
      </c>
      <c r="DA190" s="173">
        <f ca="1">(VLOOKUP(DA$72,INDIRECT($C$5&amp;"生成成长"),2))/((VLOOKUP($B190,INDIRECT($B$5&amp;"生成成长"),4))/(VLOOKUP(DA$72,INDIRECT($C$5&amp;"生成成长"),5))*(VLOOKUP($B$5,标准坦克设计!$B$24:$U$30,MATCH("对"&amp;LEFT($C$5,2)&amp;"输出",标准坦克设计!$B$23:$U$23,0)))*(VLOOKUP($B190,INDIRECT($B$5&amp;"生成成长"),3))*(VLOOKUP($B$5,标准坦克设计!$B$14:$K$20,9)/30))</f>
        <v>30.927397800507404</v>
      </c>
      <c r="DB190" s="173">
        <f ca="1">(VLOOKUP(DB$72,INDIRECT($C$5&amp;"生成成长"),2))/((VLOOKUP($B190,INDIRECT($B$5&amp;"生成成长"),4))/(VLOOKUP(DB$72,INDIRECT($C$5&amp;"生成成长"),5))*(VLOOKUP($B$5,标准坦克设计!$B$24:$U$30,MATCH("对"&amp;LEFT($C$5,2)&amp;"输出",标准坦克设计!$B$23:$U$23,0)))*(VLOOKUP($B190,INDIRECT($B$5&amp;"生成成长"),3))*(VLOOKUP($B$5,标准坦克设计!$B$14:$K$20,9)/30))</f>
        <v>32.768416445755747</v>
      </c>
      <c r="DC190" s="173">
        <f ca="1">(VLOOKUP(DC$72,INDIRECT($C$5&amp;"生成成长"),2))/((VLOOKUP($B190,INDIRECT($B$5&amp;"生成成长"),4))/(VLOOKUP(DC$72,INDIRECT($C$5&amp;"生成成长"),5))*(VLOOKUP($B$5,标准坦克设计!$B$24:$U$30,MATCH("对"&amp;LEFT($C$5,2)&amp;"输出",标准坦克设计!$B$23:$U$23,0)))*(VLOOKUP($B190,INDIRECT($B$5&amp;"生成成长"),3))*(VLOOKUP($B$5,标准坦克设计!$B$14:$K$20,9)/30))</f>
        <v>34.837500595140092</v>
      </c>
      <c r="DD190" s="173">
        <f ca="1">(VLOOKUP(DD$72,INDIRECT($C$5&amp;"生成成长"),2))/((VLOOKUP($B190,INDIRECT($B$5&amp;"生成成长"),4))/(VLOOKUP(DD$72,INDIRECT($C$5&amp;"生成成长"),5))*(VLOOKUP($B$5,标准坦克设计!$B$24:$U$30,MATCH("对"&amp;LEFT($C$5,2)&amp;"输出",标准坦克设计!$B$23:$U$23,0)))*(VLOOKUP($B190,INDIRECT($B$5&amp;"生成成长"),3))*(VLOOKUP($B$5,标准坦克设计!$B$14:$K$20,9)/30))</f>
        <v>36.969924055219877</v>
      </c>
      <c r="DE190" s="173">
        <f ca="1">(VLOOKUP(DE$72,INDIRECT($C$5&amp;"生成成长"),2))/((VLOOKUP($B190,INDIRECT($B$5&amp;"生成成长"),4))/(VLOOKUP(DE$72,INDIRECT($C$5&amp;"生成成长"),5))*(VLOOKUP($B$5,标准坦克设计!$B$24:$U$30,MATCH("对"&amp;LEFT($C$5,2)&amp;"输出",标准坦克设计!$B$23:$U$23,0)))*(VLOOKUP($B190,INDIRECT($B$5&amp;"生成成长"),3))*(VLOOKUP($B$5,标准坦克设计!$B$14:$K$20,9)/30))</f>
        <v>39.165686825995095</v>
      </c>
      <c r="DF190" s="173">
        <f ca="1">(VLOOKUP(DF$72,INDIRECT($C$5&amp;"生成成长"),2))/((VLOOKUP($B190,INDIRECT($B$5&amp;"生成成长"),4))/(VLOOKUP(DF$72,INDIRECT($C$5&amp;"生成成长"),5))*(VLOOKUP($B$5,标准坦克设计!$B$24:$U$30,MATCH("对"&amp;LEFT($C$5,2)&amp;"输出",标准坦克设计!$B$23:$U$23,0)))*(VLOOKUP($B190,INDIRECT($B$5&amp;"生成成长"),3))*(VLOOKUP($B$5,标准坦克设计!$B$14:$K$20,9)/30))</f>
        <v>41.424788907465761</v>
      </c>
      <c r="DG190" s="173">
        <f ca="1">(VLOOKUP(DG$72,INDIRECT($C$5&amp;"生成成长"),2))/((VLOOKUP($B190,INDIRECT($B$5&amp;"生成成长"),4))/(VLOOKUP(DG$72,INDIRECT($C$5&amp;"生成成长"),5))*(VLOOKUP($B$5,标准坦克设计!$B$24:$U$30,MATCH("对"&amp;LEFT($C$5,2)&amp;"输出",标准坦克设计!$B$23:$U$23,0)))*(VLOOKUP($B190,INDIRECT($B$5&amp;"生成成长"),3))*(VLOOKUP($B$5,标准坦克设计!$B$14:$K$20,9)/30))</f>
        <v>43.747230299631859</v>
      </c>
      <c r="DH190" s="173">
        <f ca="1">(VLOOKUP(DH$72,INDIRECT($C$5&amp;"生成成长"),2))/((VLOOKUP($B190,INDIRECT($B$5&amp;"生成成长"),4))/(VLOOKUP(DH$72,INDIRECT($C$5&amp;"生成成长"),5))*(VLOOKUP($B$5,标准坦克设计!$B$24:$U$30,MATCH("对"&amp;LEFT($C$5,2)&amp;"输出",标准坦克设计!$B$23:$U$23,0)))*(VLOOKUP($B190,INDIRECT($B$5&amp;"生成成长"),3))*(VLOOKUP($B$5,标准坦克设计!$B$14:$K$20,9)/30))</f>
        <v>46.133011002493419</v>
      </c>
      <c r="DI190" s="173">
        <f ca="1">(VLOOKUP(DI$72,INDIRECT($C$5&amp;"生成成长"),2))/((VLOOKUP($B190,INDIRECT($B$5&amp;"生成成长"),4))/(VLOOKUP(DI$72,INDIRECT($C$5&amp;"生成成长"),5))*(VLOOKUP($B$5,标准坦克设计!$B$24:$U$30,MATCH("对"&amp;LEFT($C$5,2)&amp;"输出",标准坦克设计!$B$23:$U$23,0)))*(VLOOKUP($B190,INDIRECT($B$5&amp;"生成成长"),3))*(VLOOKUP($B$5,标准坦克设计!$B$14:$K$20,9)/30))</f>
        <v>48.58213101605039</v>
      </c>
      <c r="DJ190" s="173">
        <f ca="1">(VLOOKUP(DJ$72,INDIRECT($C$5&amp;"生成成长"),2))/((VLOOKUP($B190,INDIRECT($B$5&amp;"生成成长"),4))/(VLOOKUP(DJ$72,INDIRECT($C$5&amp;"生成成长"),5))*(VLOOKUP($B$5,标准坦克设计!$B$24:$U$30,MATCH("对"&amp;LEFT($C$5,2)&amp;"输出",标准坦克设计!$B$23:$U$23,0)))*(VLOOKUP($B190,INDIRECT($B$5&amp;"生成成长"),3))*(VLOOKUP($B$5,标准坦克设计!$B$14:$K$20,9)/30))</f>
        <v>4.8826251276022399</v>
      </c>
      <c r="DK190" s="173">
        <f ca="1">(VLOOKUP(DK$72,INDIRECT($C$5&amp;"生成成长"),2))/((VLOOKUP($B190,INDIRECT($B$5&amp;"生成成长"),4))/(VLOOKUP(DK$72,INDIRECT($C$5&amp;"生成成长"),5))*(VLOOKUP($B$5,标准坦克设计!$B$24:$U$30,MATCH("对"&amp;LEFT($C$5,2)&amp;"输出",标准坦克设计!$B$23:$U$23,0)))*(VLOOKUP($B190,INDIRECT($B$5&amp;"生成成长"),3))*(VLOOKUP($B$5,标准坦克设计!$B$14:$K$20,9)/30))</f>
        <v>5.4902866395866097</v>
      </c>
      <c r="DL190" s="173">
        <f ca="1">(VLOOKUP(DL$72,INDIRECT($C$5&amp;"生成成长"),2))/((VLOOKUP($B190,INDIRECT($B$5&amp;"生成成长"),4))/(VLOOKUP(DL$72,INDIRECT($C$5&amp;"生成成长"),5))*(VLOOKUP($B$5,标准坦克设计!$B$24:$U$30,MATCH("对"&amp;LEFT($C$5,2)&amp;"输出",标准坦克设计!$B$23:$U$23,0)))*(VLOOKUP($B190,INDIRECT($B$5&amp;"生成成长"),3))*(VLOOKUP($B$5,标准坦克设计!$B$14:$K$20,9)/30))</f>
        <v>6.1335765138371645</v>
      </c>
      <c r="DM190" s="173">
        <f ca="1">(VLOOKUP(DM$72,INDIRECT($C$5&amp;"生成成长"),2))/((VLOOKUP($B190,INDIRECT($B$5&amp;"生成成长"),4))/(VLOOKUP(DM$72,INDIRECT($C$5&amp;"生成成长"),5))*(VLOOKUP($B$5,标准坦克设计!$B$24:$U$30,MATCH("对"&amp;LEFT($C$5,2)&amp;"输出",标准坦克设计!$B$23:$U$23,0)))*(VLOOKUP($B190,INDIRECT($B$5&amp;"生成成长"),3))*(VLOOKUP($B$5,标准坦克设计!$B$14:$K$20,9)/30))</f>
        <v>6.8124947503539026</v>
      </c>
      <c r="DN190" s="173">
        <f ca="1">(VLOOKUP(DN$72,INDIRECT($C$5&amp;"生成成长"),2))/((VLOOKUP($B190,INDIRECT($B$5&amp;"生成成长"),4))/(VLOOKUP(DN$72,INDIRECT($C$5&amp;"生成成长"),5))*(VLOOKUP($B$5,标准坦克设计!$B$24:$U$30,MATCH("对"&amp;LEFT($C$5,2)&amp;"输出",标准坦克设计!$B$23:$U$23,0)))*(VLOOKUP($B190,INDIRECT($B$5&amp;"生成成长"),3))*(VLOOKUP($B$5,标准坦克设计!$B$14:$K$20,9)/30))</f>
        <v>7.5270413491368249</v>
      </c>
      <c r="DO190" s="173">
        <f ca="1">(VLOOKUP(DO$72,INDIRECT($C$5&amp;"生成成长"),2))/((VLOOKUP($B190,INDIRECT($B$5&amp;"生成成长"),4))/(VLOOKUP(DO$72,INDIRECT($C$5&amp;"生成成长"),5))*(VLOOKUP($B$5,标准坦克设计!$B$24:$U$30,MATCH("对"&amp;LEFT($C$5,2)&amp;"输出",标准坦克设计!$B$23:$U$23,0)))*(VLOOKUP($B190,INDIRECT($B$5&amp;"生成成长"),3))*(VLOOKUP($B$5,标准坦克设计!$B$14:$K$20,9)/30))</f>
        <v>8.2772163101859313</v>
      </c>
      <c r="DP190" s="173">
        <f ca="1">(VLOOKUP(DP$72,INDIRECT($C$5&amp;"生成成长"),2))/((VLOOKUP($B190,INDIRECT($B$5&amp;"生成成长"),4))/(VLOOKUP(DP$72,INDIRECT($C$5&amp;"生成成长"),5))*(VLOOKUP($B$5,标准坦克设计!$B$24:$U$30,MATCH("对"&amp;LEFT($C$5,2)&amp;"输出",标准坦克设计!$B$23:$U$23,0)))*(VLOOKUP($B190,INDIRECT($B$5&amp;"生成成长"),3))*(VLOOKUP($B$5,标准坦克设计!$B$14:$K$20,9)/30))</f>
        <v>9.0630196335012254</v>
      </c>
      <c r="DQ190" s="173">
        <f ca="1">(VLOOKUP(DQ$72,INDIRECT($C$5&amp;"生成成长"),2))/((VLOOKUP($B190,INDIRECT($B$5&amp;"生成成长"),4))/(VLOOKUP(DQ$72,INDIRECT($C$5&amp;"生成成长"),5))*(VLOOKUP($B$5,标准坦克设计!$B$24:$U$30,MATCH("对"&amp;LEFT($C$5,2)&amp;"输出",标准坦克设计!$B$23:$U$23,0)))*(VLOOKUP($B190,INDIRECT($B$5&amp;"生成成长"),3))*(VLOOKUP($B$5,标准坦克设计!$B$14:$K$20,9)/30))</f>
        <v>9.8844513190827019</v>
      </c>
      <c r="DR190" s="173">
        <f ca="1">(VLOOKUP(DR$72,INDIRECT($C$5&amp;"生成成长"),2))/((VLOOKUP($B190,INDIRECT($B$5&amp;"生成成长"),4))/(VLOOKUP(DR$72,INDIRECT($C$5&amp;"生成成长"),5))*(VLOOKUP($B$5,标准坦克设计!$B$24:$U$30,MATCH("对"&amp;LEFT($C$5,2)&amp;"输出",标准坦克设计!$B$23:$U$23,0)))*(VLOOKUP($B190,INDIRECT($B$5&amp;"生成成长"),3))*(VLOOKUP($B$5,标准坦克设计!$B$14:$K$20,9)/30))</f>
        <v>10.741511366930364</v>
      </c>
      <c r="DS190" s="173">
        <f ca="1">(VLOOKUP(DS$72,INDIRECT($C$5&amp;"生成成长"),2))/((VLOOKUP($B190,INDIRECT($B$5&amp;"生成成长"),4))/(VLOOKUP(DS$72,INDIRECT($C$5&amp;"生成成长"),5))*(VLOOKUP($B$5,标准坦克设计!$B$24:$U$30,MATCH("对"&amp;LEFT($C$5,2)&amp;"输出",标准坦克设计!$B$23:$U$23,0)))*(VLOOKUP($B190,INDIRECT($B$5&amp;"生成成长"),3))*(VLOOKUP($B$5,标准坦克设计!$B$14:$K$20,9)/30))</f>
        <v>11.634199777044207</v>
      </c>
      <c r="DT190" s="173">
        <f ca="1">(VLOOKUP(DT$72,INDIRECT($C$5&amp;"生成成长"),2))/((VLOOKUP($B190,INDIRECT($B$5&amp;"生成成长"),4))/(VLOOKUP(DT$72,INDIRECT($C$5&amp;"生成成长"),5))*(VLOOKUP($B$5,标准坦克设计!$B$24:$U$30,MATCH("对"&amp;LEFT($C$5,2)&amp;"输出",标准坦克设计!$B$23:$U$23,0)))*(VLOOKUP($B190,INDIRECT($B$5&amp;"生成成长"),3))*(VLOOKUP($B$5,标准坦克设计!$B$14:$K$20,9)/30))</f>
        <v>12.773647585075702</v>
      </c>
      <c r="DU190" s="173">
        <f ca="1">(VLOOKUP(DU$72,INDIRECT($C$5&amp;"生成成长"),2))/((VLOOKUP($B190,INDIRECT($B$5&amp;"生成成长"),4))/(VLOOKUP(DU$72,INDIRECT($C$5&amp;"生成成长"),5))*(VLOOKUP($B$5,标准坦克设计!$B$24:$U$30,MATCH("对"&amp;LEFT($C$5,2)&amp;"输出",标准坦克设计!$B$23:$U$23,0)))*(VLOOKUP($B190,INDIRECT($B$5&amp;"生成成长"),3))*(VLOOKUP($B$5,标准坦克设计!$B$14:$K$20,9)/30))</f>
        <v>13.966318008344336</v>
      </c>
      <c r="DV190" s="173">
        <f ca="1">(VLOOKUP(DV$72,INDIRECT($C$5&amp;"生成成长"),2))/((VLOOKUP($B190,INDIRECT($B$5&amp;"生成成长"),4))/(VLOOKUP(DV$72,INDIRECT($C$5&amp;"生成成长"),5))*(VLOOKUP($B$5,标准坦克设计!$B$24:$U$30,MATCH("对"&amp;LEFT($C$5,2)&amp;"输出",标准坦克设计!$B$23:$U$23,0)))*(VLOOKUP($B190,INDIRECT($B$5&amp;"生成成长"),3))*(VLOOKUP($B$5,标准坦克设计!$B$14:$K$20,9)/30))</f>
        <v>15.212211046850111</v>
      </c>
      <c r="DW190" s="173">
        <f ca="1">(VLOOKUP(DW$72,INDIRECT($C$5&amp;"生成成长"),2))/((VLOOKUP($B190,INDIRECT($B$5&amp;"生成成长"),4))/(VLOOKUP(DW$72,INDIRECT($C$5&amp;"生成成长"),5))*(VLOOKUP($B$5,标准坦克设计!$B$24:$U$30,MATCH("对"&amp;LEFT($C$5,2)&amp;"输出",标准坦克设计!$B$23:$U$23,0)))*(VLOOKUP($B190,INDIRECT($B$5&amp;"生成成长"),3))*(VLOOKUP($B$5,标准坦克设计!$B$14:$K$20,9)/30))</f>
        <v>16.511326700593024</v>
      </c>
      <c r="DX190" s="173">
        <f ca="1">(VLOOKUP(DX$72,INDIRECT($C$5&amp;"生成成长"),2))/((VLOOKUP($B190,INDIRECT($B$5&amp;"生成成长"),4))/(VLOOKUP(DX$72,INDIRECT($C$5&amp;"生成成长"),5))*(VLOOKUP($B$5,标准坦克设计!$B$24:$U$30,MATCH("对"&amp;LEFT($C$5,2)&amp;"输出",标准坦克设计!$B$23:$U$23,0)))*(VLOOKUP($B190,INDIRECT($B$5&amp;"生成成长"),3))*(VLOOKUP($B$5,标准坦克设计!$B$14:$K$20,9)/30))</f>
        <v>17.863664969573076</v>
      </c>
      <c r="DY190" s="173">
        <f ca="1">(VLOOKUP(DY$72,INDIRECT($C$5&amp;"生成成长"),2))/((VLOOKUP($B190,INDIRECT($B$5&amp;"生成成长"),4))/(VLOOKUP(DY$72,INDIRECT($C$5&amp;"生成成长"),5))*(VLOOKUP($B$5,标准坦克设计!$B$24:$U$30,MATCH("对"&amp;LEFT($C$5,2)&amp;"输出",标准坦克设计!$B$23:$U$23,0)))*(VLOOKUP($B190,INDIRECT($B$5&amp;"生成成长"),3))*(VLOOKUP($B$5,标准坦克设计!$B$14:$K$20,9)/30))</f>
        <v>8.0231992829177639</v>
      </c>
      <c r="DZ190" s="173">
        <f ca="1">(VLOOKUP(DZ$72,INDIRECT($C$5&amp;"生成成长"),2))/((VLOOKUP($B190,INDIRECT($B$5&amp;"生成成长"),4))/(VLOOKUP(DZ$72,INDIRECT($C$5&amp;"生成成长"),5))*(VLOOKUP($B$5,标准坦克设计!$B$24:$U$30,MATCH("对"&amp;LEFT($C$5,2)&amp;"输出",标准坦克设计!$B$23:$U$23,0)))*(VLOOKUP($B190,INDIRECT($B$5&amp;"生成成长"),3))*(VLOOKUP($B$5,标准坦克设计!$B$14:$K$20,9)/30))</f>
        <v>8.8853176784945749</v>
      </c>
      <c r="EA190" s="173">
        <f ca="1">(VLOOKUP(EA$72,INDIRECT($C$5&amp;"生成成长"),2))/((VLOOKUP($B190,INDIRECT($B$5&amp;"生成成长"),4))/(VLOOKUP(EA$72,INDIRECT($C$5&amp;"生成成长"),5))*(VLOOKUP($B$5,标准坦克设计!$B$24:$U$30,MATCH("对"&amp;LEFT($C$5,2)&amp;"输出",标准坦克设计!$B$23:$U$23,0)))*(VLOOKUP($B190,INDIRECT($B$5&amp;"生成成长"),3))*(VLOOKUP($B$5,标准坦克设计!$B$14:$K$20,9)/30))</f>
        <v>9.7914217064987739</v>
      </c>
      <c r="EB190" s="173">
        <f ca="1">(VLOOKUP(EB$72,INDIRECT($C$5&amp;"生成成长"),2))/((VLOOKUP($B190,INDIRECT($B$5&amp;"生成成长"),4))/(VLOOKUP(EB$72,INDIRECT($C$5&amp;"生成成长"),5))*(VLOOKUP($B$5,标准坦克设计!$B$24:$U$30,MATCH("对"&amp;LEFT($C$5,2)&amp;"输出",标准坦克设计!$B$23:$U$23,0)))*(VLOOKUP($B190,INDIRECT($B$5&amp;"生成成长"),3))*(VLOOKUP($B$5,标准坦克设计!$B$14:$K$20,9)/30))</f>
        <v>10.741511366930364</v>
      </c>
      <c r="EC190" s="173">
        <f ca="1">(VLOOKUP(EC$72,INDIRECT($C$5&amp;"生成成长"),2))/((VLOOKUP($B190,INDIRECT($B$5&amp;"生成成长"),4))/(VLOOKUP(EC$72,INDIRECT($C$5&amp;"生成成长"),5))*(VLOOKUP($B$5,标准坦克设计!$B$24:$U$30,MATCH("对"&amp;LEFT($C$5,2)&amp;"输出",标准坦克设计!$B$23:$U$23,0)))*(VLOOKUP($B190,INDIRECT($B$5&amp;"生成成长"),3))*(VLOOKUP($B$5,标准坦克设计!$B$14:$K$20,9)/30))</f>
        <v>11.735586659789337</v>
      </c>
      <c r="ED190" s="173">
        <f ca="1">(VLOOKUP(ED$72,INDIRECT($C$5&amp;"生成成长"),2))/((VLOOKUP($B190,INDIRECT($B$5&amp;"生成成长"),4))/(VLOOKUP(ED$72,INDIRECT($C$5&amp;"生成成长"),5))*(VLOOKUP($B$5,标准坦克设计!$B$24:$U$30,MATCH("对"&amp;LEFT($C$5,2)&amp;"输出",标准坦克设计!$B$23:$U$23,0)))*(VLOOKUP($B190,INDIRECT($B$5&amp;"生成成长"),3))*(VLOOKUP($B$5,标准坦克设计!$B$14:$K$20,9)/30))</f>
        <v>12.773647585075702</v>
      </c>
      <c r="EE190" s="173">
        <f ca="1">(VLOOKUP(EE$72,INDIRECT($C$5&amp;"生成成长"),2))/((VLOOKUP($B190,INDIRECT($B$5&amp;"生成成长"),4))/(VLOOKUP(EE$72,INDIRECT($C$5&amp;"生成成长"),5))*(VLOOKUP($B$5,标准坦克设计!$B$24:$U$30,MATCH("对"&amp;LEFT($C$5,2)&amp;"输出",标准坦克设计!$B$23:$U$23,0)))*(VLOOKUP($B190,INDIRECT($B$5&amp;"生成成长"),3))*(VLOOKUP($B$5,标准坦克设计!$B$14:$K$20,9)/30))</f>
        <v>13.855694142789455</v>
      </c>
      <c r="EF190" s="173">
        <f ca="1">(VLOOKUP(EF$72,INDIRECT($C$5&amp;"生成成长"),2))/((VLOOKUP($B190,INDIRECT($B$5&amp;"生成成长"),4))/(VLOOKUP(EF$72,INDIRECT($C$5&amp;"生成成长"),5))*(VLOOKUP($B$5,标准坦克设计!$B$24:$U$30,MATCH("对"&amp;LEFT($C$5,2)&amp;"输出",标准坦克设计!$B$23:$U$23,0)))*(VLOOKUP($B190,INDIRECT($B$5&amp;"生成成长"),3))*(VLOOKUP($B$5,标准坦克设计!$B$14:$K$20,9)/30))</f>
        <v>14.981726332930595</v>
      </c>
      <c r="EG190" s="173">
        <f ca="1">(VLOOKUP(EG$72,INDIRECT($C$5&amp;"生成成长"),2))/((VLOOKUP($B190,INDIRECT($B$5&amp;"生成成长"),4))/(VLOOKUP(EG$72,INDIRECT($C$5&amp;"生成成长"),5))*(VLOOKUP($B$5,标准坦克设计!$B$24:$U$30,MATCH("对"&amp;LEFT($C$5,2)&amp;"输出",标准坦克设计!$B$23:$U$23,0)))*(VLOOKUP($B190,INDIRECT($B$5&amp;"生成成长"),3))*(VLOOKUP($B$5,标准坦克设计!$B$14:$K$20,9)/30))</f>
        <v>16.151744155499127</v>
      </c>
      <c r="EH190" s="173">
        <f ca="1">(VLOOKUP(EH$72,INDIRECT($C$5&amp;"生成成长"),2))/((VLOOKUP($B190,INDIRECT($B$5&amp;"生成成长"),4))/(VLOOKUP(EH$72,INDIRECT($C$5&amp;"生成成长"),5))*(VLOOKUP($B$5,标准坦克设计!$B$24:$U$30,MATCH("对"&amp;LEFT($C$5,2)&amp;"输出",标准坦克设计!$B$23:$U$23,0)))*(VLOOKUP($B190,INDIRECT($B$5&amp;"生成成长"),3))*(VLOOKUP($B$5,标准坦克设计!$B$14:$K$20,9)/30))</f>
        <v>17.365747610495042</v>
      </c>
      <c r="EI190" s="173">
        <f ca="1">(VLOOKUP(EI$72,INDIRECT($C$5&amp;"生成成长"),2))/((VLOOKUP($B190,INDIRECT($B$5&amp;"生成成长"),4))/(VLOOKUP(EI$72,INDIRECT($C$5&amp;"生成成长"),5))*(VLOOKUP($B$5,标准坦克设计!$B$24:$U$30,MATCH("对"&amp;LEFT($C$5,2)&amp;"输出",标准坦克设计!$B$23:$U$23,0)))*(VLOOKUP($B190,INDIRECT($B$5&amp;"生成成长"),3))*(VLOOKUP($B$5,标准坦克设计!$B$14:$K$20,9)/30))</f>
        <v>18.62373669791835</v>
      </c>
      <c r="EJ190" s="173">
        <f ca="1">(VLOOKUP(EJ$72,INDIRECT($C$5&amp;"生成成长"),2))/((VLOOKUP($B190,INDIRECT($B$5&amp;"生成成长"),4))/(VLOOKUP(EJ$72,INDIRECT($C$5&amp;"生成成长"),5))*(VLOOKUP($B$5,标准坦克设计!$B$24:$U$30,MATCH("对"&amp;LEFT($C$5,2)&amp;"输出",标准坦克设计!$B$23:$U$23,0)))*(VLOOKUP($B190,INDIRECT($B$5&amp;"生成成长"),3))*(VLOOKUP($B$5,标准坦克设计!$B$14:$K$20,9)/30))</f>
        <v>19.92571141776904</v>
      </c>
      <c r="EK190" s="173">
        <f ca="1">(VLOOKUP(EK$72,INDIRECT($C$5&amp;"生成成长"),2))/((VLOOKUP($B190,INDIRECT($B$5&amp;"生成成长"),4))/(VLOOKUP(EK$72,INDIRECT($C$5&amp;"生成成长"),5))*(VLOOKUP($B$5,标准坦克设计!$B$24:$U$30,MATCH("对"&amp;LEFT($C$5,2)&amp;"输出",标准坦克设计!$B$23:$U$23,0)))*(VLOOKUP($B190,INDIRECT($B$5&amp;"生成成长"),3))*(VLOOKUP($B$5,标准坦克设计!$B$14:$K$20,9)/30))</f>
        <v>21.54614211639403</v>
      </c>
      <c r="EL190" s="173">
        <f ca="1">(VLOOKUP(EL$72,INDIRECT($C$5&amp;"生成成长"),2))/((VLOOKUP($B190,INDIRECT($B$5&amp;"生成成长"),4))/(VLOOKUP(EL$72,INDIRECT($C$5&amp;"生成成长"),5))*(VLOOKUP($B$5,标准坦克设计!$B$24:$U$30,MATCH("对"&amp;LEFT($C$5,2)&amp;"输出",标准坦克设计!$B$23:$U$23,0)))*(VLOOKUP($B190,INDIRECT($B$5&amp;"生成成长"),3))*(VLOOKUP($B$5,标准坦克设计!$B$14:$K$20,9)/30))</f>
        <v>23.229912125714453</v>
      </c>
      <c r="EM190" s="173">
        <f ca="1">(VLOOKUP(EM$72,INDIRECT($C$5&amp;"生成成长"),2))/((VLOOKUP($B190,INDIRECT($B$5&amp;"生成成长"),4))/(VLOOKUP(EM$72,INDIRECT($C$5&amp;"生成成长"),5))*(VLOOKUP($B$5,标准坦克设计!$B$24:$U$30,MATCH("对"&amp;LEFT($C$5,2)&amp;"输出",标准坦克设计!$B$23:$U$23,0)))*(VLOOKUP($B190,INDIRECT($B$5&amp;"生成成长"),3))*(VLOOKUP($B$5,标准坦克设计!$B$14:$K$20,9)/30))</f>
        <v>24.977021445730315</v>
      </c>
      <c r="EN190" s="173">
        <f ca="1">(VLOOKUP(EN$72,INDIRECT($C$5&amp;"生成成长"),2))/((VLOOKUP($B190,INDIRECT($B$5&amp;"生成成长"),4))/(VLOOKUP(EN$72,INDIRECT($C$5&amp;"生成成长"),5))*(VLOOKUP($B$5,标准坦克设计!$B$24:$U$30,MATCH("对"&amp;LEFT($C$5,2)&amp;"输出",标准坦克设计!$B$23:$U$23,0)))*(VLOOKUP($B190,INDIRECT($B$5&amp;"生成成长"),3))*(VLOOKUP($B$5,标准坦克设计!$B$14:$K$20,9)/30))</f>
        <v>26.787470076441622</v>
      </c>
      <c r="EO190" s="173">
        <f ca="1">(VLOOKUP(EO$72,INDIRECT($C$5&amp;"生成成长"),2))/((VLOOKUP($B190,INDIRECT($B$5&amp;"生成成长"),4))/(VLOOKUP(EO$72,INDIRECT($C$5&amp;"生成成长"),5))*(VLOOKUP($B$5,标准坦克设计!$B$24:$U$30,MATCH("对"&amp;LEFT($C$5,2)&amp;"输出",标准坦克设计!$B$23:$U$23,0)))*(VLOOKUP($B190,INDIRECT($B$5&amp;"生成成长"),3))*(VLOOKUP($B$5,标准坦克设计!$B$14:$K$20,9)/30))</f>
        <v>28.661258017848365</v>
      </c>
      <c r="EP190" s="173">
        <f ca="1">(VLOOKUP(EP$72,INDIRECT($C$5&amp;"生成成长"),2))/((VLOOKUP($B190,INDIRECT($B$5&amp;"生成成长"),4))/(VLOOKUP(EP$72,INDIRECT($C$5&amp;"生成成长"),5))*(VLOOKUP($B$5,标准坦克设计!$B$24:$U$30,MATCH("对"&amp;LEFT($C$5,2)&amp;"输出",标准坦克设计!$B$23:$U$23,0)))*(VLOOKUP($B190,INDIRECT($B$5&amp;"生成成长"),3))*(VLOOKUP($B$5,标准坦克设计!$B$14:$K$20,9)/30))</f>
        <v>30.598385269950537</v>
      </c>
      <c r="EQ190" s="173">
        <f ca="1">(VLOOKUP(EQ$72,INDIRECT($C$5&amp;"生成成长"),2))/((VLOOKUP($B190,INDIRECT($B$5&amp;"生成成长"),4))/(VLOOKUP(EQ$72,INDIRECT($C$5&amp;"生成成长"),5))*(VLOOKUP($B$5,标准坦克设计!$B$24:$U$30,MATCH("对"&amp;LEFT($C$5,2)&amp;"输出",标准坦克设计!$B$23:$U$23,0)))*(VLOOKUP($B190,INDIRECT($B$5&amp;"生成成长"),3))*(VLOOKUP($B$5,标准坦克设计!$B$14:$K$20,9)/30))</f>
        <v>13.526461684070453</v>
      </c>
      <c r="ER190" s="173">
        <f ca="1">(VLOOKUP(ER$72,INDIRECT($C$5&amp;"生成成长"),2))/((VLOOKUP($B190,INDIRECT($B$5&amp;"生成成长"),4))/(VLOOKUP(ER$72,INDIRECT($C$5&amp;"生成成长"),5))*(VLOOKUP($B$5,标准坦克设计!$B$24:$U$30,MATCH("对"&amp;LEFT($C$5,2)&amp;"输出",标准坦克设计!$B$23:$U$23,0)))*(VLOOKUP($B190,INDIRECT($B$5&amp;"生成成长"),3))*(VLOOKUP($B$5,标准坦克设计!$B$14:$K$20,9)/30))</f>
        <v>14.753001044308178</v>
      </c>
      <c r="ES190" s="173">
        <f ca="1">(VLOOKUP(ES$72,INDIRECT($C$5&amp;"生成成长"),2))/((VLOOKUP($B190,INDIRECT($B$5&amp;"生成成长"),4))/(VLOOKUP(ES$72,INDIRECT($C$5&amp;"生成成长"),5))*(VLOOKUP($B$5,标准坦克设计!$B$24:$U$30,MATCH("对"&amp;LEFT($C$5,2)&amp;"输出",标准坦克设计!$B$23:$U$23,0)))*(VLOOKUP($B190,INDIRECT($B$5&amp;"生成成长"),3))*(VLOOKUP($B$5,标准坦克设计!$B$14:$K$20,9)/30))</f>
        <v>16.03276301978304</v>
      </c>
      <c r="ET190" s="173">
        <f ca="1">(VLOOKUP(ET$72,INDIRECT($C$5&amp;"生成成长"),2))/((VLOOKUP($B190,INDIRECT($B$5&amp;"生成成长"),4))/(VLOOKUP(ET$72,INDIRECT($C$5&amp;"生成成长"),5))*(VLOOKUP($B$5,标准坦克设计!$B$24:$U$30,MATCH("对"&amp;LEFT($C$5,2)&amp;"输出",标准坦克设计!$B$23:$U$23,0)))*(VLOOKUP($B190,INDIRECT($B$5&amp;"生成成长"),3))*(VLOOKUP($B$5,标准坦克设计!$B$14:$K$20,9)/30))</f>
        <v>17.365747610495042</v>
      </c>
      <c r="EU190" s="173">
        <f ca="1">(VLOOKUP(EU$72,INDIRECT($C$5&amp;"生成成长"),2))/((VLOOKUP($B190,INDIRECT($B$5&amp;"生成成长"),4))/(VLOOKUP(EU$72,INDIRECT($C$5&amp;"生成成长"),5))*(VLOOKUP($B$5,标准坦克设计!$B$24:$U$30,MATCH("对"&amp;LEFT($C$5,2)&amp;"输出",标准坦克设计!$B$23:$U$23,0)))*(VLOOKUP($B190,INDIRECT($B$5&amp;"生成成长"),3))*(VLOOKUP($B$5,标准坦克设计!$B$14:$K$20,9)/30))</f>
        <v>18.751954816444186</v>
      </c>
      <c r="EV190" s="173">
        <f ca="1">(VLOOKUP(EV$72,INDIRECT($C$5&amp;"生成成长"),2))/((VLOOKUP($B190,INDIRECT($B$5&amp;"生成成长"),4))/(VLOOKUP(EV$72,INDIRECT($C$5&amp;"生成成长"),5))*(VLOOKUP($B$5,标准坦克设计!$B$24:$U$30,MATCH("对"&amp;LEFT($C$5,2)&amp;"输出",标准坦克设计!$B$23:$U$23,0)))*(VLOOKUP($B190,INDIRECT($B$5&amp;"生成成长"),3))*(VLOOKUP($B$5,标准坦克设计!$B$14:$K$20,9)/30))</f>
        <v>20.191384637630467</v>
      </c>
      <c r="EW190" s="173">
        <f ca="1">(VLOOKUP(EW$72,INDIRECT($C$5&amp;"生成成长"),2))/((VLOOKUP($B190,INDIRECT($B$5&amp;"生成成长"),4))/(VLOOKUP(EW$72,INDIRECT($C$5&amp;"生成成长"),5))*(VLOOKUP($B$5,标准坦克设计!$B$24:$U$30,MATCH("对"&amp;LEFT($C$5,2)&amp;"输出",标准坦克设计!$B$23:$U$23,0)))*(VLOOKUP($B190,INDIRECT($B$5&amp;"生成成长"),3))*(VLOOKUP($B$5,标准坦克设计!$B$14:$K$20,9)/30))</f>
        <v>21.684037074053894</v>
      </c>
      <c r="EX190" s="173">
        <f ca="1">(VLOOKUP(EX$72,INDIRECT($C$5&amp;"生成成长"),2))/((VLOOKUP($B190,INDIRECT($B$5&amp;"生成成长"),4))/(VLOOKUP(EX$72,INDIRECT($C$5&amp;"生成成长"),5))*(VLOOKUP($B$5,标准坦克设计!$B$24:$U$30,MATCH("对"&amp;LEFT($C$5,2)&amp;"输出",标准坦克设计!$B$23:$U$23,0)))*(VLOOKUP($B190,INDIRECT($B$5&amp;"生成成长"),3))*(VLOOKUP($B$5,标准坦克设计!$B$14:$K$20,9)/30))</f>
        <v>23.229912125714453</v>
      </c>
      <c r="EY190" s="173">
        <f ca="1">(VLOOKUP(EY$72,INDIRECT($C$5&amp;"生成成长"),2))/((VLOOKUP($B190,INDIRECT($B$5&amp;"生成成长"),4))/(VLOOKUP(EY$72,INDIRECT($C$5&amp;"生成成长"),5))*(VLOOKUP($B$5,标准坦克设计!$B$24:$U$30,MATCH("对"&amp;LEFT($C$5,2)&amp;"输出",标准坦克设计!$B$23:$U$23,0)))*(VLOOKUP($B190,INDIRECT($B$5&amp;"生成成长"),3))*(VLOOKUP($B$5,标准坦克设计!$B$14:$K$20,9)/30))</f>
        <v>24.829009792612158</v>
      </c>
      <c r="EZ190" s="173">
        <f ca="1">(VLOOKUP(EZ$72,INDIRECT($C$5&amp;"生成成长"),2))/((VLOOKUP($B190,INDIRECT($B$5&amp;"生成成长"),4))/(VLOOKUP(EZ$72,INDIRECT($C$5&amp;"生成成长"),5))*(VLOOKUP($B$5,标准坦克设计!$B$24:$U$30,MATCH("对"&amp;LEFT($C$5,2)&amp;"输出",标准坦克设计!$B$23:$U$23,0)))*(VLOOKUP($B190,INDIRECT($B$5&amp;"生成成长"),3))*(VLOOKUP($B$5,标准坦克设计!$B$14:$K$20,9)/30))</f>
        <v>26.481330074746996</v>
      </c>
      <c r="FA190" s="173">
        <f ca="1">(VLOOKUP(FA$72,INDIRECT($C$5&amp;"生成成长"),2))/((VLOOKUP($B190,INDIRECT($B$5&amp;"生成成长"),4))/(VLOOKUP(FA$72,INDIRECT($C$5&amp;"生成成长"),5))*(VLOOKUP($B$5,标准坦克设计!$B$24:$U$30,MATCH("对"&amp;LEFT($C$5,2)&amp;"输出",标准坦克设计!$B$23:$U$23,0)))*(VLOOKUP($B190,INDIRECT($B$5&amp;"生成成长"),3))*(VLOOKUP($B$5,标准坦克设计!$B$14:$K$20,9)/30))</f>
        <v>28.186872972118977</v>
      </c>
      <c r="FB190" s="173">
        <f ca="1">(VLOOKUP(FB$72,INDIRECT($C$5&amp;"生成成长"),2))/((VLOOKUP($B190,INDIRECT($B$5&amp;"生成成长"),4))/(VLOOKUP(FB$72,INDIRECT($C$5&amp;"生成成长"),5))*(VLOOKUP($B$5,标准坦克设计!$B$24:$U$30,MATCH("对"&amp;LEFT($C$5,2)&amp;"输出",标准坦克设计!$B$23:$U$23,0)))*(VLOOKUP($B190,INDIRECT($B$5&amp;"生成成长"),3))*(VLOOKUP($B$5,标准坦克设计!$B$14:$K$20,9)/30))</f>
        <v>29.945638484728097</v>
      </c>
      <c r="FC190" s="173">
        <f ca="1">(VLOOKUP(FC$72,INDIRECT($C$5&amp;"生成成长"),2))/((VLOOKUP($B190,INDIRECT($B$5&amp;"生成成长"),4))/(VLOOKUP(FC$72,INDIRECT($C$5&amp;"生成成长"),5))*(VLOOKUP($B$5,标准坦克设计!$B$24:$U$30,MATCH("对"&amp;LEFT($C$5,2)&amp;"输出",标准坦克设计!$B$23:$U$23,0)))*(VLOOKUP($B190,INDIRECT($B$5&amp;"生成成长"),3))*(VLOOKUP($B$5,标准坦克设计!$B$14:$K$20,9)/30))</f>
        <v>31.757626612574359</v>
      </c>
      <c r="FD190" s="173">
        <f ca="1">(VLOOKUP(FD$72,INDIRECT($C$5&amp;"生成成长"),2))/((VLOOKUP($B190,INDIRECT($B$5&amp;"生成成长"),4))/(VLOOKUP(FD$72,INDIRECT($C$5&amp;"生成成长"),5))*(VLOOKUP($B$5,标准坦克设计!$B$24:$U$30,MATCH("对"&amp;LEFT($C$5,2)&amp;"输出",标准坦克设计!$B$23:$U$23,0)))*(VLOOKUP($B190,INDIRECT($B$5&amp;"生成成长"),3))*(VLOOKUP($B$5,标准坦克设计!$B$14:$K$20,9)/30))</f>
        <v>33.622837355657758</v>
      </c>
      <c r="FE190" s="173">
        <f ca="1">(VLOOKUP(FE$72,INDIRECT($C$5&amp;"生成成长"),2))/((VLOOKUP($B190,INDIRECT($B$5&amp;"生成成长"),4))/(VLOOKUP(FE$72,INDIRECT($C$5&amp;"生成成长"),5))*(VLOOKUP($B$5,标准坦克设计!$B$24:$U$30,MATCH("对"&amp;LEFT($C$5,2)&amp;"输出",标准坦克设计!$B$23:$U$23,0)))*(VLOOKUP($B190,INDIRECT($B$5&amp;"生成成长"),3))*(VLOOKUP($B$5,标准坦克设计!$B$14:$K$20,9)/30))</f>
        <v>35.895794911343053</v>
      </c>
      <c r="FF190" s="173">
        <f ca="1">(VLOOKUP(FF$72,INDIRECT($C$5&amp;"生成成长"),2))/((VLOOKUP($B190,INDIRECT($B$5&amp;"生成成长"),4))/(VLOOKUP(FF$72,INDIRECT($C$5&amp;"生成成长"),5))*(VLOOKUP($B$5,标准坦克设计!$B$24:$U$30,MATCH("对"&amp;LEFT($C$5,2)&amp;"输出",标准坦克设计!$B$23:$U$23,0)))*(VLOOKUP($B190,INDIRECT($B$5&amp;"生成成长"),3))*(VLOOKUP($B$5,标准坦克设计!$B$14:$K$20,9)/30))</f>
        <v>38.243088185830629</v>
      </c>
      <c r="FG190" s="173">
        <f ca="1">(VLOOKUP(FG$72,INDIRECT($C$5&amp;"生成成长"),2))/((VLOOKUP($B190,INDIRECT($B$5&amp;"生成成长"),4))/(VLOOKUP(FG$72,INDIRECT($C$5&amp;"生成成长"),5))*(VLOOKUP($B$5,标准坦克设计!$B$24:$U$30,MATCH("对"&amp;LEFT($C$5,2)&amp;"输出",标准坦克设计!$B$23:$U$23,0)))*(VLOOKUP($B190,INDIRECT($B$5&amp;"生成成长"),3))*(VLOOKUP($B$5,标准坦克设计!$B$14:$K$20,9)/30))</f>
        <v>40.664717179120501</v>
      </c>
      <c r="FH190" s="173">
        <f ca="1">(VLOOKUP(FH$72,INDIRECT($C$5&amp;"生成成长"),2))/((VLOOKUP($B190,INDIRECT($B$5&amp;"生成成长"),4))/(VLOOKUP(FH$72,INDIRECT($C$5&amp;"生成成长"),5))*(VLOOKUP($B$5,标准坦克设计!$B$24:$U$30,MATCH("对"&amp;LEFT($C$5,2)&amp;"输出",标准坦克设计!$B$23:$U$23,0)))*(VLOOKUP($B190,INDIRECT($B$5&amp;"生成成长"),3))*(VLOOKUP($B$5,标准坦克设计!$B$14:$K$20,9)/30))</f>
        <v>43.16068189121264</v>
      </c>
      <c r="FI190" s="173">
        <f ca="1">(VLOOKUP(FI$72,INDIRECT($C$5&amp;"生成成长"),2))/((VLOOKUP($B190,INDIRECT($B$5&amp;"生成成长"),4))/(VLOOKUP(FI$72,INDIRECT($C$5&amp;"生成成长"),5))*(VLOOKUP($B$5,标准坦克设计!$B$24:$U$30,MATCH("对"&amp;LEFT($C$5,2)&amp;"输出",标准坦克设计!$B$23:$U$23,0)))*(VLOOKUP($B190,INDIRECT($B$5&amp;"生成成长"),3))*(VLOOKUP($B$5,标准坦克设计!$B$14:$K$20,9)/30))</f>
        <v>45.730982322107074</v>
      </c>
      <c r="FJ190" s="173">
        <f ca="1">(VLOOKUP(FJ$72,INDIRECT($C$5&amp;"生成成长"),2))/((VLOOKUP($B190,INDIRECT($B$5&amp;"生成成长"),4))/(VLOOKUP(FJ$72,INDIRECT($C$5&amp;"生成成长"),5))*(VLOOKUP($B$5,标准坦克设计!$B$24:$U$30,MATCH("对"&amp;LEFT($C$5,2)&amp;"输出",标准坦克设计!$B$23:$U$23,0)))*(VLOOKUP($B190,INDIRECT($B$5&amp;"生成成长"),3))*(VLOOKUP($B$5,标准坦克设计!$B$14:$K$20,9)/30))</f>
        <v>48.375618471803804</v>
      </c>
      <c r="FK190" s="173">
        <f ca="1">(VLOOKUP(FK$72,INDIRECT($C$5&amp;"生成成长"),2))/((VLOOKUP($B190,INDIRECT($B$5&amp;"生成成长"),4))/(VLOOKUP(FK$72,INDIRECT($C$5&amp;"生成成长"),5))*(VLOOKUP($B$5,标准坦克设计!$B$24:$U$30,MATCH("对"&amp;LEFT($C$5,2)&amp;"输出",标准坦克设计!$B$23:$U$23,0)))*(VLOOKUP($B190,INDIRECT($B$5&amp;"生成成长"),3))*(VLOOKUP($B$5,标准坦克设计!$B$14:$K$20,9)/30))</f>
        <v>51.094590340302808</v>
      </c>
    </row>
    <row r="191" spans="1:167" x14ac:dyDescent="0.15">
      <c r="A191" s="171" t="str">
        <f t="shared" si="12"/>
        <v>T3高品质8级</v>
      </c>
      <c r="B191" s="172">
        <v>30308</v>
      </c>
      <c r="C191" s="173">
        <f ca="1">(VLOOKUP(C$72,INDIRECT($C$5&amp;"生成成长"),2))/((VLOOKUP($B191,INDIRECT($B$5&amp;"生成成长"),4))/(VLOOKUP(C$72,INDIRECT($C$5&amp;"生成成长"),5))*(VLOOKUP($B$5,标准坦克设计!$B$24:$U$30,MATCH("对"&amp;LEFT($C$5,2)&amp;"输出",标准坦克设计!$B$23:$U$23,0)))*(VLOOKUP($B191,INDIRECT($B$5&amp;"生成成长"),3))*(VLOOKUP($B$5,标准坦克设计!$B$14:$K$20,9)/30))</f>
        <v>2.0186886066862395</v>
      </c>
      <c r="D191" s="173">
        <f ca="1">(VLOOKUP(D$72,INDIRECT($C$5&amp;"生成成长"),2))/((VLOOKUP($B191,INDIRECT($B$5&amp;"生成成长"),4))/(VLOOKUP(D$72,INDIRECT($C$5&amp;"生成成长"),5))*(VLOOKUP($B$5,标准坦克设计!$B$24:$U$30,MATCH("对"&amp;LEFT($C$5,2)&amp;"输出",标准坦克设计!$B$23:$U$23,0)))*(VLOOKUP($B191,INDIRECT($B$5&amp;"生成成长"),3))*(VLOOKUP($B$5,标准坦克设计!$B$14:$K$20,9)/30))</f>
        <v>2.2681985184726594</v>
      </c>
      <c r="E191" s="173">
        <f ca="1">(VLOOKUP(E$72,INDIRECT($C$5&amp;"生成成长"),2))/((VLOOKUP($B191,INDIRECT($B$5&amp;"生成成长"),4))/(VLOOKUP(E$72,INDIRECT($C$5&amp;"生成成长"),5))*(VLOOKUP($B$5,标准坦克设计!$B$24:$U$30,MATCH("对"&amp;LEFT($C$5,2)&amp;"输出",标准坦克设计!$B$23:$U$23,0)))*(VLOOKUP($B191,INDIRECT($B$5&amp;"生成成长"),3))*(VLOOKUP($B$5,标准坦克设计!$B$14:$K$20,9)/30))</f>
        <v>2.5322429882272193</v>
      </c>
      <c r="F191" s="173">
        <f ca="1">(VLOOKUP(F$72,INDIRECT($C$5&amp;"生成成长"),2))/((VLOOKUP($B191,INDIRECT($B$5&amp;"生成成长"),4))/(VLOOKUP(F$72,INDIRECT($C$5&amp;"生成成长"),5))*(VLOOKUP($B$5,标准坦克设计!$B$24:$U$30,MATCH("对"&amp;LEFT($C$5,2)&amp;"输出",标准坦克设计!$B$23:$U$23,0)))*(VLOOKUP($B191,INDIRECT($B$5&amp;"生成成长"),3))*(VLOOKUP($B$5,标准坦克设计!$B$14:$K$20,9)/30))</f>
        <v>2.81082201594992</v>
      </c>
      <c r="G191" s="173">
        <f ca="1">(VLOOKUP(G$72,INDIRECT($C$5&amp;"生成成长"),2))/((VLOOKUP($B191,INDIRECT($B$5&amp;"生成成长"),4))/(VLOOKUP(G$72,INDIRECT($C$5&amp;"生成成长"),5))*(VLOOKUP($B$5,标准坦克设计!$B$24:$U$30,MATCH("对"&amp;LEFT($C$5,2)&amp;"输出",标准坦克设计!$B$23:$U$23,0)))*(VLOOKUP($B191,INDIRECT($B$5&amp;"生成成长"),3))*(VLOOKUP($B$5,标准坦克设计!$B$14:$K$20,9)/30))</f>
        <v>3.103935601640762</v>
      </c>
      <c r="H191" s="173">
        <f ca="1">(VLOOKUP(H$72,INDIRECT($C$5&amp;"生成成长"),2))/((VLOOKUP($B191,INDIRECT($B$5&amp;"生成成长"),4))/(VLOOKUP(H$72,INDIRECT($C$5&amp;"生成成长"),5))*(VLOOKUP($B$5,标准坦克设计!$B$24:$U$30,MATCH("对"&amp;LEFT($C$5,2)&amp;"输出",标准坦克设计!$B$23:$U$23,0)))*(VLOOKUP($B191,INDIRECT($B$5&amp;"生成成长"),3))*(VLOOKUP($B$5,标准坦克设计!$B$14:$K$20,9)/30))</f>
        <v>2.7163473891570047</v>
      </c>
      <c r="I191" s="173">
        <f ca="1">(VLOOKUP(I$72,INDIRECT($C$5&amp;"生成成长"),2))/((VLOOKUP($B191,INDIRECT($B$5&amp;"生成成长"),4))/(VLOOKUP(I$72,INDIRECT($C$5&amp;"生成成长"),5))*(VLOOKUP($B$5,标准坦克设计!$B$24:$U$30,MATCH("对"&amp;LEFT($C$5,2)&amp;"输出",标准坦克设计!$B$23:$U$23,0)))*(VLOOKUP($B191,INDIRECT($B$5&amp;"生成成长"),3))*(VLOOKUP($B$5,标准坦克设计!$B$14:$K$20,9)/30))</f>
        <v>3.103935601640762</v>
      </c>
      <c r="J191" s="173">
        <f ca="1">(VLOOKUP(J$72,INDIRECT($C$5&amp;"生成成长"),2))/((VLOOKUP($B191,INDIRECT($B$5&amp;"生成成长"),4))/(VLOOKUP(J$72,INDIRECT($C$5&amp;"生成成长"),5))*(VLOOKUP($B$5,标准坦克设计!$B$24:$U$30,MATCH("对"&amp;LEFT($C$5,2)&amp;"输出",标准坦克设计!$B$23:$U$23,0)))*(VLOOKUP($B191,INDIRECT($B$5&amp;"生成成长"),3))*(VLOOKUP($B$5,标准坦克设计!$B$14:$K$20,9)/30))</f>
        <v>3.5173630282901045</v>
      </c>
      <c r="K191" s="173">
        <f ca="1">(VLOOKUP(K$72,INDIRECT($C$5&amp;"生成成长"),2))/((VLOOKUP($B191,INDIRECT($B$5&amp;"生成成长"),4))/(VLOOKUP(K$72,INDIRECT($C$5&amp;"生成成长"),5))*(VLOOKUP($B$5,标准坦克设计!$B$24:$U$30,MATCH("对"&amp;LEFT($C$5,2)&amp;"输出",标准坦克设计!$B$23:$U$23,0)))*(VLOOKUP($B191,INDIRECT($B$5&amp;"生成成长"),3))*(VLOOKUP($B$5,标准坦克设计!$B$14:$K$20,9)/30))</f>
        <v>3.95662966910503</v>
      </c>
      <c r="L191" s="173">
        <f ca="1">(VLOOKUP(L$72,INDIRECT($C$5&amp;"生成成长"),2))/((VLOOKUP($B191,INDIRECT($B$5&amp;"生成成长"),4))/(VLOOKUP(L$72,INDIRECT($C$5&amp;"生成成长"),5))*(VLOOKUP($B$5,标准坦克设计!$B$24:$U$30,MATCH("对"&amp;LEFT($C$5,2)&amp;"输出",标准坦克设计!$B$23:$U$23,0)))*(VLOOKUP($B191,INDIRECT($B$5&amp;"生成成长"),3))*(VLOOKUP($B$5,标准坦克设计!$B$14:$K$20,9)/30))</f>
        <v>4.4217355240855403</v>
      </c>
      <c r="M191" s="173">
        <f ca="1">(VLOOKUP(M$72,INDIRECT($C$5&amp;"生成成长"),2))/((VLOOKUP($B191,INDIRECT($B$5&amp;"生成成长"),4))/(VLOOKUP(M$72,INDIRECT($C$5&amp;"生成成长"),5))*(VLOOKUP($B$5,标准坦克设计!$B$24:$U$30,MATCH("对"&amp;LEFT($C$5,2)&amp;"输出",标准坦克设计!$B$23:$U$23,0)))*(VLOOKUP($B191,INDIRECT($B$5&amp;"生成成长"),3))*(VLOOKUP($B$5,标准坦克设计!$B$14:$K$20,9)/30))</f>
        <v>4.9126805932316326</v>
      </c>
      <c r="N191" s="173">
        <f ca="1">(VLOOKUP(N$72,INDIRECT($C$5&amp;"生成成长"),2))/((VLOOKUP($B191,INDIRECT($B$5&amp;"生成成长"),4))/(VLOOKUP(N$72,INDIRECT($C$5&amp;"生成成长"),5))*(VLOOKUP($B$5,标准坦克设计!$B$24:$U$30,MATCH("对"&amp;LEFT($C$5,2)&amp;"输出",标准坦克设计!$B$23:$U$23,0)))*(VLOOKUP($B191,INDIRECT($B$5&amp;"生成成长"),3))*(VLOOKUP($B$5,标准坦克设计!$B$14:$K$20,9)/30))</f>
        <v>5.4294648765433111</v>
      </c>
      <c r="O191" s="173">
        <f ca="1">(VLOOKUP(O$72,INDIRECT($C$5&amp;"生成成长"),2))/((VLOOKUP($B191,INDIRECT($B$5&amp;"生成成长"),4))/(VLOOKUP(O$72,INDIRECT($C$5&amp;"生成成长"),5))*(VLOOKUP($B$5,标准坦克设计!$B$24:$U$30,MATCH("对"&amp;LEFT($C$5,2)&amp;"输出",标准坦克设计!$B$23:$U$23,0)))*(VLOOKUP($B191,INDIRECT($B$5&amp;"生成成长"),3))*(VLOOKUP($B$5,标准坦克设计!$B$14:$K$20,9)/30))</f>
        <v>4.1280163318126917</v>
      </c>
      <c r="P191" s="173">
        <f ca="1">(VLOOKUP(P$72,INDIRECT($C$5&amp;"生成成长"),2))/((VLOOKUP($B191,INDIRECT($B$5&amp;"生成成长"),4))/(VLOOKUP(P$72,INDIRECT($C$5&amp;"生成成长"),5))*(VLOOKUP($B$5,标准坦克设计!$B$24:$U$30,MATCH("对"&amp;LEFT($C$5,2)&amp;"输出",标准坦克设计!$B$23:$U$23,0)))*(VLOOKUP($B191,INDIRECT($B$5&amp;"生成成长"),3))*(VLOOKUP($B$5,标准坦克设计!$B$14:$K$20,9)/30))</f>
        <v>4.6639781568878895</v>
      </c>
      <c r="Q191" s="173">
        <f ca="1">(VLOOKUP(Q$72,INDIRECT($C$5&amp;"生成成长"),2))/((VLOOKUP($B191,INDIRECT($B$5&amp;"生成成长"),4))/(VLOOKUP(Q$72,INDIRECT($C$5&amp;"生成成长"),5))*(VLOOKUP($B$5,标准坦克设计!$B$24:$U$30,MATCH("对"&amp;LEFT($C$5,2)&amp;"输出",标准坦克设计!$B$23:$U$23,0)))*(VLOOKUP($B191,INDIRECT($B$5&amp;"生成成长"),3))*(VLOOKUP($B$5,标准坦克设计!$B$14:$K$20,9)/30))</f>
        <v>5.2326427373914015</v>
      </c>
      <c r="R191" s="173">
        <f ca="1">(VLOOKUP(R$72,INDIRECT($C$5&amp;"生成成长"),2))/((VLOOKUP($B191,INDIRECT($B$5&amp;"生成成长"),4))/(VLOOKUP(R$72,INDIRECT($C$5&amp;"生成成长"),5))*(VLOOKUP($B$5,标准坦克设计!$B$24:$U$30,MATCH("对"&amp;LEFT($C$5,2)&amp;"输出",标准坦克设计!$B$23:$U$23,0)))*(VLOOKUP($B191,INDIRECT($B$5&amp;"生成成长"),3))*(VLOOKUP($B$5,标准坦克设计!$B$14:$K$20,9)/30))</f>
        <v>5.8340100733232321</v>
      </c>
      <c r="S191" s="173">
        <f ca="1">(VLOOKUP(S$72,INDIRECT($C$5&amp;"生成成长"),2))/((VLOOKUP($B191,INDIRECT($B$5&amp;"生成成长"),4))/(VLOOKUP(S$72,INDIRECT($C$5&amp;"生成成长"),5))*(VLOOKUP($B$5,标准坦克设计!$B$24:$U$30,MATCH("对"&amp;LEFT($C$5,2)&amp;"输出",标准坦克设计!$B$23:$U$23,0)))*(VLOOKUP($B191,INDIRECT($B$5&amp;"生成成长"),3))*(VLOOKUP($B$5,标准坦克设计!$B$14:$K$20,9)/30))</f>
        <v>6.4680801646833803</v>
      </c>
      <c r="T191" s="173">
        <f ca="1">(VLOOKUP(T$72,INDIRECT($C$5&amp;"生成成长"),2))/((VLOOKUP($B191,INDIRECT($B$5&amp;"生成成长"),4))/(VLOOKUP(T$72,INDIRECT($C$5&amp;"生成成长"),5))*(VLOOKUP($B$5,标准坦克设计!$B$24:$U$30,MATCH("对"&amp;LEFT($C$5,2)&amp;"输出",标准坦克设计!$B$23:$U$23,0)))*(VLOOKUP($B191,INDIRECT($B$5&amp;"生成成长"),3))*(VLOOKUP($B$5,标准坦克设计!$B$14:$K$20,9)/30))</f>
        <v>7.1348530114718463</v>
      </c>
      <c r="U191" s="173">
        <f ca="1">(VLOOKUP(U$72,INDIRECT($C$5&amp;"生成成长"),2))/((VLOOKUP($B191,INDIRECT($B$5&amp;"生成成长"),4))/(VLOOKUP(U$72,INDIRECT($C$5&amp;"生成成长"),5))*(VLOOKUP($B$5,标准坦克设计!$B$24:$U$30,MATCH("对"&amp;LEFT($C$5,2)&amp;"输出",标准坦克设计!$B$23:$U$23,0)))*(VLOOKUP($B191,INDIRECT($B$5&amp;"生成成长"),3))*(VLOOKUP($B$5,标准坦克设计!$B$14:$K$20,9)/30))</f>
        <v>7.8343286136886299</v>
      </c>
      <c r="V191" s="173">
        <f ca="1">(VLOOKUP(V$72,INDIRECT($C$5&amp;"生成成长"),2))/((VLOOKUP($B191,INDIRECT($B$5&amp;"生成成长"),4))/(VLOOKUP(V$72,INDIRECT($C$5&amp;"生成成长"),5))*(VLOOKUP($B$5,标准坦克设计!$B$24:$U$30,MATCH("对"&amp;LEFT($C$5,2)&amp;"输出",标准坦克设计!$B$23:$U$23,0)))*(VLOOKUP($B191,INDIRECT($B$5&amp;"生成成长"),3))*(VLOOKUP($B$5,标准坦克设计!$B$14:$K$20,9)/30))</f>
        <v>8.5665069713337285</v>
      </c>
      <c r="W191" s="173">
        <f ca="1">(VLOOKUP(W$72,INDIRECT($C$5&amp;"生成成长"),2))/((VLOOKUP($B191,INDIRECT($B$5&amp;"生成成长"),4))/(VLOOKUP(W$72,INDIRECT($C$5&amp;"生成成长"),5))*(VLOOKUP($B$5,标准坦克设计!$B$24:$U$30,MATCH("对"&amp;LEFT($C$5,2)&amp;"输出",标准坦克设计!$B$23:$U$23,0)))*(VLOOKUP($B191,INDIRECT($B$5&amp;"生成成长"),3))*(VLOOKUP($B$5,标准坦克设计!$B$14:$K$20,9)/30))</f>
        <v>9.3313880844071431</v>
      </c>
      <c r="X191" s="173">
        <f ca="1">(VLOOKUP(X$72,INDIRECT($C$5&amp;"生成成长"),2))/((VLOOKUP($B191,INDIRECT($B$5&amp;"生成成长"),4))/(VLOOKUP(X$72,INDIRECT($C$5&amp;"生成成长"),5))*(VLOOKUP($B$5,标准坦克设计!$B$24:$U$30,MATCH("对"&amp;LEFT($C$5,2)&amp;"输出",标准坦克设计!$B$23:$U$23,0)))*(VLOOKUP($B191,INDIRECT($B$5&amp;"生成成长"),3))*(VLOOKUP($B$5,标准坦克设计!$B$14:$K$20,9)/30))</f>
        <v>6.7603862749315491</v>
      </c>
      <c r="Y191" s="173">
        <f ca="1">(VLOOKUP(Y$72,INDIRECT($C$5&amp;"生成成长"),2))/((VLOOKUP($B191,INDIRECT($B$5&amp;"生成成长"),4))/(VLOOKUP(Y$72,INDIRECT($C$5&amp;"生成成长"),5))*(VLOOKUP($B$5,标准坦克设计!$B$24:$U$30,MATCH("对"&amp;LEFT($C$5,2)&amp;"输出",标准坦克设计!$B$23:$U$23,0)))*(VLOOKUP($B191,INDIRECT($B$5&amp;"生成成长"),3))*(VLOOKUP($B$5,标准坦克设计!$B$14:$K$20,9)/30))</f>
        <v>7.5194131910455759</v>
      </c>
      <c r="Z191" s="173">
        <f ca="1">(VLOOKUP(Z$72,INDIRECT($C$5&amp;"生成成长"),2))/((VLOOKUP($B191,INDIRECT($B$5&amp;"生成成长"),4))/(VLOOKUP(Z$72,INDIRECT($C$5&amp;"生成成长"),5))*(VLOOKUP($B$5,标准坦克设计!$B$24:$U$30,MATCH("对"&amp;LEFT($C$5,2)&amp;"输出",标准坦克设计!$B$23:$U$23,0)))*(VLOOKUP($B191,INDIRECT($B$5&amp;"生成成长"),3))*(VLOOKUP($B$5,标准坦克设计!$B$14:$K$20,9)/30))</f>
        <v>8.3188138792933248</v>
      </c>
      <c r="AA191" s="173">
        <f ca="1">(VLOOKUP(AA$72,INDIRECT($C$5&amp;"生成成长"),2))/((VLOOKUP($B191,INDIRECT($B$5&amp;"生成成长"),4))/(VLOOKUP(AA$72,INDIRECT($C$5&amp;"生成成长"),5))*(VLOOKUP($B$5,标准坦克设计!$B$24:$U$30,MATCH("对"&amp;LEFT($C$5,2)&amp;"输出",标准坦克设计!$B$23:$U$23,0)))*(VLOOKUP($B191,INDIRECT($B$5&amp;"生成成长"),3))*(VLOOKUP($B$5,标准坦克设计!$B$14:$K$20,9)/30))</f>
        <v>9.1585883396748002</v>
      </c>
      <c r="AB191" s="173">
        <f ca="1">(VLOOKUP(AB$72,INDIRECT($C$5&amp;"生成成长"),2))/((VLOOKUP($B191,INDIRECT($B$5&amp;"生成成长"),4))/(VLOOKUP(AB$72,INDIRECT($C$5&amp;"生成成长"),5))*(VLOOKUP($B$5,标准坦克设计!$B$24:$U$30,MATCH("对"&amp;LEFT($C$5,2)&amp;"输出",标准坦克设计!$B$23:$U$23,0)))*(VLOOKUP($B191,INDIRECT($B$5&amp;"生成成长"),3))*(VLOOKUP($B$5,标准坦克设计!$B$14:$K$20,9)/30))</f>
        <v>10.038736572190002</v>
      </c>
      <c r="AC191" s="173">
        <f ca="1">(VLOOKUP(AC$72,INDIRECT($C$5&amp;"生成成长"),2))/((VLOOKUP($B191,INDIRECT($B$5&amp;"生成成长"),4))/(VLOOKUP(AC$72,INDIRECT($C$5&amp;"生成成长"),5))*(VLOOKUP($B$5,标准坦克设计!$B$24:$U$30,MATCH("对"&amp;LEFT($C$5,2)&amp;"输出",标准坦克设计!$B$23:$U$23,0)))*(VLOOKUP($B191,INDIRECT($B$5&amp;"生成成长"),3))*(VLOOKUP($B$5,标准坦克设计!$B$14:$K$20,9)/30))</f>
        <v>10.959258576838929</v>
      </c>
      <c r="AD191" s="173">
        <f ca="1">(VLOOKUP(AD$72,INDIRECT($C$5&amp;"生成成长"),2))/((VLOOKUP($B191,INDIRECT($B$5&amp;"生成成长"),4))/(VLOOKUP(AD$72,INDIRECT($C$5&amp;"生成成长"),5))*(VLOOKUP($B$5,标准坦克设计!$B$24:$U$30,MATCH("对"&amp;LEFT($C$5,2)&amp;"输出",标准坦克设计!$B$23:$U$23,0)))*(VLOOKUP($B191,INDIRECT($B$5&amp;"生成成长"),3))*(VLOOKUP($B$5,标准坦克设计!$B$14:$K$20,9)/30))</f>
        <v>11.920154353621577</v>
      </c>
      <c r="AE191" s="173">
        <f ca="1">(VLOOKUP(AE$72,INDIRECT($C$5&amp;"生成成长"),2))/((VLOOKUP($B191,INDIRECT($B$5&amp;"生成成长"),4))/(VLOOKUP(AE$72,INDIRECT($C$5&amp;"生成成长"),5))*(VLOOKUP($B$5,标准坦克设计!$B$24:$U$30,MATCH("对"&amp;LEFT($C$5,2)&amp;"输出",标准坦克设计!$B$23:$U$23,0)))*(VLOOKUP($B191,INDIRECT($B$5&amp;"生成成长"),3))*(VLOOKUP($B$5,标准坦克设计!$B$14:$K$20,9)/30))</f>
        <v>12.921423902537951</v>
      </c>
      <c r="AF191" s="173">
        <f ca="1">(VLOOKUP(AF$72,INDIRECT($C$5&amp;"生成成长"),2))/((VLOOKUP($B191,INDIRECT($B$5&amp;"生成成长"),4))/(VLOOKUP(AF$72,INDIRECT($C$5&amp;"生成成长"),5))*(VLOOKUP($B$5,标准坦克设计!$B$24:$U$30,MATCH("对"&amp;LEFT($C$5,2)&amp;"输出",标准坦克设计!$B$23:$U$23,0)))*(VLOOKUP($B191,INDIRECT($B$5&amp;"生成成长"),3))*(VLOOKUP($B$5,标准坦克设计!$B$14:$K$20,9)/30))</f>
        <v>13.963067223588052</v>
      </c>
      <c r="AG191" s="173">
        <f ca="1">(VLOOKUP(AG$72,INDIRECT($C$5&amp;"生成成长"),2))/((VLOOKUP($B191,INDIRECT($B$5&amp;"生成成长"),4))/(VLOOKUP(AG$72,INDIRECT($C$5&amp;"生成成长"),5))*(VLOOKUP($B$5,标准坦克设计!$B$24:$U$30,MATCH("对"&amp;LEFT($C$5,2)&amp;"输出",标准坦克设计!$B$23:$U$23,0)))*(VLOOKUP($B191,INDIRECT($B$5&amp;"生成成长"),3))*(VLOOKUP($B$5,标准坦克设计!$B$14:$K$20,9)/30))</f>
        <v>15.045084316771876</v>
      </c>
      <c r="AH191" s="173">
        <f ca="1">(VLOOKUP(AH$72,INDIRECT($C$5&amp;"生成成长"),2))/((VLOOKUP($B191,INDIRECT($B$5&amp;"生成成长"),4))/(VLOOKUP(AH$72,INDIRECT($C$5&amp;"生成成长"),5))*(VLOOKUP($B$5,标准坦克设计!$B$24:$U$30,MATCH("对"&amp;LEFT($C$5,2)&amp;"输出",标准坦克设计!$B$23:$U$23,0)))*(VLOOKUP($B191,INDIRECT($B$5&amp;"生成成长"),3))*(VLOOKUP($B$5,标准坦克设计!$B$14:$K$20,9)/30))</f>
        <v>16.167475182089429</v>
      </c>
      <c r="AI191" s="173">
        <f ca="1">(VLOOKUP(AI$72,INDIRECT($C$5&amp;"生成成长"),2))/((VLOOKUP($B191,INDIRECT($B$5&amp;"生成成长"),4))/(VLOOKUP(AI$72,INDIRECT($C$5&amp;"生成成长"),5))*(VLOOKUP($B$5,标准坦克设计!$B$24:$U$30,MATCH("对"&amp;LEFT($C$5,2)&amp;"输出",标准坦克设计!$B$23:$U$23,0)))*(VLOOKUP($B191,INDIRECT($B$5&amp;"生成成长"),3))*(VLOOKUP($B$5,标准坦克设计!$B$14:$K$20,9)/30))</f>
        <v>11.434659743713537</v>
      </c>
      <c r="AJ191" s="173">
        <f ca="1">(VLOOKUP(AJ$72,INDIRECT($C$5&amp;"生成成长"),2))/((VLOOKUP($B191,INDIRECT($B$5&amp;"生成成长"),4))/(VLOOKUP(AJ$72,INDIRECT($C$5&amp;"生成成长"),5))*(VLOOKUP($B$5,标准坦克设计!$B$24:$U$30,MATCH("对"&amp;LEFT($C$5,2)&amp;"输出",标准坦克设计!$B$23:$U$23,0)))*(VLOOKUP($B191,INDIRECT($B$5&amp;"生成成长"),3))*(VLOOKUP($B$5,标准坦克设计!$B$14:$K$20,9)/30))</f>
        <v>12.516071230315355</v>
      </c>
      <c r="AK191" s="173">
        <f ca="1">(VLOOKUP(AK$72,INDIRECT($C$5&amp;"生成成长"),2))/((VLOOKUP($B191,INDIRECT($B$5&amp;"生成成长"),4))/(VLOOKUP(AK$72,INDIRECT($C$5&amp;"生成成长"),5))*(VLOOKUP($B$5,标准坦克设计!$B$24:$U$30,MATCH("对"&amp;LEFT($C$5,2)&amp;"输出",标准坦克设计!$B$23:$U$23,0)))*(VLOOKUP($B191,INDIRECT($B$5&amp;"生成成长"),3))*(VLOOKUP($B$5,标准坦克设计!$B$14:$K$20,9)/30))</f>
        <v>13.646334981198983</v>
      </c>
      <c r="AL191" s="173">
        <f ca="1">(VLOOKUP(AL$72,INDIRECT($C$5&amp;"生成成长"),2))/((VLOOKUP($B191,INDIRECT($B$5&amp;"生成成长"),4))/(VLOOKUP(AL$72,INDIRECT($C$5&amp;"生成成长"),5))*(VLOOKUP($B$5,标准坦克设计!$B$24:$U$30,MATCH("对"&amp;LEFT($C$5,2)&amp;"输出",标准坦克设计!$B$23:$U$23,0)))*(VLOOKUP($B191,INDIRECT($B$5&amp;"生成成长"),3))*(VLOOKUP($B$5,标准坦克设计!$B$14:$K$20,9)/30))</f>
        <v>14.825450996364415</v>
      </c>
      <c r="AM191" s="173">
        <f ca="1">(VLOOKUP(AM$72,INDIRECT($C$5&amp;"生成成长"),2))/((VLOOKUP($B191,INDIRECT($B$5&amp;"生成成长"),4))/(VLOOKUP(AM$72,INDIRECT($C$5&amp;"生成成长"),5))*(VLOOKUP($B$5,标准坦克设计!$B$24:$U$30,MATCH("对"&amp;LEFT($C$5,2)&amp;"输出",标准坦克设计!$B$23:$U$23,0)))*(VLOOKUP($B191,INDIRECT($B$5&amp;"生成成长"),3))*(VLOOKUP($B$5,标准坦克设计!$B$14:$K$20,9)/30))</f>
        <v>16.053419275811656</v>
      </c>
      <c r="AN191" s="173">
        <f ca="1">(VLOOKUP(AN$72,INDIRECT($C$5&amp;"生成成长"),2))/((VLOOKUP($B191,INDIRECT($B$5&amp;"生成成长"),4))/(VLOOKUP(AN$72,INDIRECT($C$5&amp;"生成成长"),5))*(VLOOKUP($B$5,标准坦克设计!$B$24:$U$30,MATCH("对"&amp;LEFT($C$5,2)&amp;"输出",标准坦克设计!$B$23:$U$23,0)))*(VLOOKUP($B191,INDIRECT($B$5&amp;"生成成长"),3))*(VLOOKUP($B$5,标准坦克设计!$B$14:$K$20,9)/30))</f>
        <v>17.330239819540701</v>
      </c>
      <c r="AO191" s="173">
        <f ca="1">(VLOOKUP(AO$72,INDIRECT($C$5&amp;"生成成长"),2))/((VLOOKUP($B191,INDIRECT($B$5&amp;"生成成长"),4))/(VLOOKUP(AO$72,INDIRECT($C$5&amp;"生成成长"),5))*(VLOOKUP($B$5,标准坦克设计!$B$24:$U$30,MATCH("对"&amp;LEFT($C$5,2)&amp;"输出",标准坦克设计!$B$23:$U$23,0)))*(VLOOKUP($B191,INDIRECT($B$5&amp;"生成成长"),3))*(VLOOKUP($B$5,标准坦克设计!$B$14:$K$20,9)/30))</f>
        <v>18.655912627551558</v>
      </c>
      <c r="AP191" s="173">
        <f ca="1">(VLOOKUP(AP$72,INDIRECT($C$5&amp;"生成成长"),2))/((VLOOKUP($B191,INDIRECT($B$5&amp;"生成成长"),4))/(VLOOKUP(AP$72,INDIRECT($C$5&amp;"生成成长"),5))*(VLOOKUP($B$5,标准坦克设计!$B$24:$U$30,MATCH("对"&amp;LEFT($C$5,2)&amp;"输出",标准坦克设计!$B$23:$U$23,0)))*(VLOOKUP($B191,INDIRECT($B$5&amp;"生成成长"),3))*(VLOOKUP($B$5,标准坦克设计!$B$14:$K$20,9)/30))</f>
        <v>20.030437699844214</v>
      </c>
      <c r="AQ191" s="173">
        <f ca="1">(VLOOKUP(AQ$72,INDIRECT($C$5&amp;"生成成长"),2))/((VLOOKUP($B191,INDIRECT($B$5&amp;"生成成长"),4))/(VLOOKUP(AQ$72,INDIRECT($C$5&amp;"生成成长"),5))*(VLOOKUP($B$5,标准坦克设计!$B$24:$U$30,MATCH("对"&amp;LEFT($C$5,2)&amp;"输出",标准坦克设计!$B$23:$U$23,0)))*(VLOOKUP($B191,INDIRECT($B$5&amp;"生成成长"),3))*(VLOOKUP($B$5,标准坦克设计!$B$14:$K$20,9)/30))</f>
        <v>21.453815036418682</v>
      </c>
      <c r="AR191" s="173">
        <f ca="1">(VLOOKUP(AR$72,INDIRECT($C$5&amp;"生成成长"),2))/((VLOOKUP($B191,INDIRECT($B$5&amp;"生成成长"),4))/(VLOOKUP(AR$72,INDIRECT($C$5&amp;"生成成长"),5))*(VLOOKUP($B$5,标准坦克设计!$B$24:$U$30,MATCH("对"&amp;LEFT($C$5,2)&amp;"输出",标准坦克设计!$B$23:$U$23,0)))*(VLOOKUP($B191,INDIRECT($B$5&amp;"生成成长"),3))*(VLOOKUP($B$5,标准坦克设计!$B$14:$K$20,9)/30))</f>
        <v>22.926044637274956</v>
      </c>
      <c r="AS191" s="173">
        <f ca="1">(VLOOKUP(AS$72,INDIRECT($C$5&amp;"生成成长"),2))/((VLOOKUP($B191,INDIRECT($B$5&amp;"生成成长"),4))/(VLOOKUP(AS$72,INDIRECT($C$5&amp;"生成成长"),5))*(VLOOKUP($B$5,标准坦克设计!$B$24:$U$30,MATCH("对"&amp;LEFT($C$5,2)&amp;"输出",标准坦克设计!$B$23:$U$23,0)))*(VLOOKUP($B191,INDIRECT($B$5&amp;"生成成长"),3))*(VLOOKUP($B$5,标准坦克设计!$B$14:$K$20,9)/30))</f>
        <v>24.447126502413035</v>
      </c>
      <c r="AT191" s="173">
        <f ca="1">(VLOOKUP(AT$72,INDIRECT($C$5&amp;"生成成长"),2))/((VLOOKUP($B191,INDIRECT($B$5&amp;"生成成长"),4))/(VLOOKUP(AT$72,INDIRECT($C$5&amp;"生成成长"),5))*(VLOOKUP($B$5,标准坦克设计!$B$24:$U$30,MATCH("对"&amp;LEFT($C$5,2)&amp;"输出",标准坦克设计!$B$23:$U$23,0)))*(VLOOKUP($B191,INDIRECT($B$5&amp;"生成成长"),3))*(VLOOKUP($B$5,标准坦克设计!$B$14:$K$20,9)/30))</f>
        <v>26.01706063183293</v>
      </c>
      <c r="AU191" s="173">
        <f ca="1">(VLOOKUP(AU$72,INDIRECT($C$5&amp;"生成成长"),2))/((VLOOKUP($B191,INDIRECT($B$5&amp;"生成成长"),4))/(VLOOKUP(AU$72,INDIRECT($C$5&amp;"生成成长"),5))*(VLOOKUP($B$5,标准坦克设计!$B$24:$U$30,MATCH("对"&amp;LEFT($C$5,2)&amp;"输出",标准坦克设计!$B$23:$U$23,0)))*(VLOOKUP($B191,INDIRECT($B$5&amp;"生成成长"),3))*(VLOOKUP($B$5,标准坦克设计!$B$14:$K$20,9)/30))</f>
        <v>27.635847025534627</v>
      </c>
      <c r="AV191" s="173">
        <f ca="1">(VLOOKUP(AV$72,INDIRECT($C$5&amp;"生成成长"),2))/((VLOOKUP($B191,INDIRECT($B$5&amp;"生成成长"),4))/(VLOOKUP(AV$72,INDIRECT($C$5&amp;"生成成长"),5))*(VLOOKUP($B$5,标准坦克设计!$B$24:$U$30,MATCH("对"&amp;LEFT($C$5,2)&amp;"输出",标准坦克设计!$B$23:$U$23,0)))*(VLOOKUP($B191,INDIRECT($B$5&amp;"生成成长"),3))*(VLOOKUP($B$5,标准坦克设计!$B$14:$K$20,9)/30))</f>
        <v>2.81082201594992</v>
      </c>
      <c r="AW191" s="173">
        <f ca="1">(VLOOKUP(AW$72,INDIRECT($C$5&amp;"生成成长"),2))/((VLOOKUP($B191,INDIRECT($B$5&amp;"生成成长"),4))/(VLOOKUP(AW$72,INDIRECT($C$5&amp;"生成成长"),5))*(VLOOKUP($B$5,标准坦克设计!$B$24:$U$30,MATCH("对"&amp;LEFT($C$5,2)&amp;"输出",标准坦克设计!$B$23:$U$23,0)))*(VLOOKUP($B191,INDIRECT($B$5&amp;"生成成长"),3))*(VLOOKUP($B$5,标准坦克设计!$B$14:$K$20,9)/30))</f>
        <v>3.2048700319750747</v>
      </c>
      <c r="AX191" s="173">
        <f ca="1">(VLOOKUP(AX$72,INDIRECT($C$5&amp;"生成成长"),2))/((VLOOKUP($B191,INDIRECT($B$5&amp;"生成成长"),4))/(VLOOKUP(AX$72,INDIRECT($C$5&amp;"生成成长"),5))*(VLOOKUP($B$5,标准坦克设计!$B$24:$U$30,MATCH("对"&amp;LEFT($C$5,2)&amp;"输出",标准坦克设计!$B$23:$U$23,0)))*(VLOOKUP($B191,INDIRECT($B$5&amp;"生成成长"),3))*(VLOOKUP($B$5,标准坦克设计!$B$14:$K$20,9)/30))</f>
        <v>3.6247572621658128</v>
      </c>
      <c r="AY191" s="173">
        <f ca="1">(VLOOKUP(AY$72,INDIRECT($C$5&amp;"生成成长"),2))/((VLOOKUP($B191,INDIRECT($B$5&amp;"生成成长"),4))/(VLOOKUP(AY$72,INDIRECT($C$5&amp;"生成成长"),5))*(VLOOKUP($B$5,标准坦克设计!$B$24:$U$30,MATCH("对"&amp;LEFT($C$5,2)&amp;"输出",标准坦克设计!$B$23:$U$23,0)))*(VLOOKUP($B191,INDIRECT($B$5&amp;"生成成长"),3))*(VLOOKUP($B$5,标准坦克设计!$B$14:$K$20,9)/30))</f>
        <v>4.0704837065221344</v>
      </c>
      <c r="AZ191" s="173">
        <f ca="1">(VLOOKUP(AZ$72,INDIRECT($C$5&amp;"生成成长"),2))/((VLOOKUP($B191,INDIRECT($B$5&amp;"生成成长"),4))/(VLOOKUP(AZ$72,INDIRECT($C$5&amp;"生成成长"),5))*(VLOOKUP($B$5,标准坦克设计!$B$24:$U$30,MATCH("对"&amp;LEFT($C$5,2)&amp;"输出",标准坦克设计!$B$23:$U$23,0)))*(VLOOKUP($B191,INDIRECT($B$5&amp;"生成成长"),3))*(VLOOKUP($B$5,标准坦克设计!$B$14:$K$20,9)/30))</f>
        <v>4.542049365044039</v>
      </c>
      <c r="BA191" s="173">
        <f ca="1">(VLOOKUP(BA$72,INDIRECT($C$5&amp;"生成成长"),2))/((VLOOKUP($B191,INDIRECT($B$5&amp;"生成成长"),4))/(VLOOKUP(BA$72,INDIRECT($C$5&amp;"生成成长"),5))*(VLOOKUP($B$5,标准坦克设计!$B$24:$U$30,MATCH("对"&amp;LEFT($C$5,2)&amp;"输出",标准坦克设计!$B$23:$U$23,0)))*(VLOOKUP($B191,INDIRECT($B$5&amp;"生成成长"),3))*(VLOOKUP($B$5,标准坦克设计!$B$14:$K$20,9)/30))</f>
        <v>5.0394542377315288</v>
      </c>
      <c r="BB191" s="173">
        <f ca="1">(VLOOKUP(BB$72,INDIRECT($C$5&amp;"生成成长"),2))/((VLOOKUP($B191,INDIRECT($B$5&amp;"生成成长"),4))/(VLOOKUP(BB$72,INDIRECT($C$5&amp;"生成成长"),5))*(VLOOKUP($B$5,标准坦克设计!$B$24:$U$30,MATCH("对"&amp;LEFT($C$5,2)&amp;"输出",标准坦克设计!$B$23:$U$23,0)))*(VLOOKUP($B191,INDIRECT($B$5&amp;"生成成长"),3))*(VLOOKUP($B$5,标准坦克设计!$B$14:$K$20,9)/30))</f>
        <v>5.5626983245846029</v>
      </c>
      <c r="BC191" s="173">
        <f ca="1">(VLOOKUP(BC$72,INDIRECT($C$5&amp;"生成成长"),2))/((VLOOKUP($B191,INDIRECT($B$5&amp;"生成成长"),4))/(VLOOKUP(BC$72,INDIRECT($C$5&amp;"生成成长"),5))*(VLOOKUP($B$5,标准坦克设计!$B$24:$U$30,MATCH("对"&amp;LEFT($C$5,2)&amp;"输出",标准坦克设计!$B$23:$U$23,0)))*(VLOOKUP($B191,INDIRECT($B$5&amp;"生成成长"),3))*(VLOOKUP($B$5,标准坦克设计!$B$14:$K$20,9)/30))</f>
        <v>6.1117816256032587</v>
      </c>
      <c r="BD191" s="173">
        <f ca="1">(VLOOKUP(BD$72,INDIRECT($C$5&amp;"生成成长"),2))/((VLOOKUP($B191,INDIRECT($B$5&amp;"生成成长"),4))/(VLOOKUP(BD$72,INDIRECT($C$5&amp;"生成成长"),5))*(VLOOKUP($B$5,标准坦克设计!$B$24:$U$30,MATCH("对"&amp;LEFT($C$5,2)&amp;"输出",标准坦克设计!$B$23:$U$23,0)))*(VLOOKUP($B191,INDIRECT($B$5&amp;"生成成长"),3))*(VLOOKUP($B$5,标准坦克设计!$B$14:$K$20,9)/30))</f>
        <v>6.7603862749315491</v>
      </c>
      <c r="BE191" s="173">
        <f ca="1">(VLOOKUP(BE$72,INDIRECT($C$5&amp;"生成成长"),2))/((VLOOKUP($B191,INDIRECT($B$5&amp;"生成成长"),4))/(VLOOKUP(BE$72,INDIRECT($C$5&amp;"生成成长"),5))*(VLOOKUP($B$5,标准坦克设计!$B$24:$U$30,MATCH("对"&amp;LEFT($C$5,2)&amp;"输出",标准坦克设计!$B$23:$U$23,0)))*(VLOOKUP($B191,INDIRECT($B$5&amp;"生成成长"),3))*(VLOOKUP($B$5,标准坦克设计!$B$14:$K$20,9)/30))</f>
        <v>7.4416936796881545</v>
      </c>
      <c r="BF191" s="173">
        <f ca="1">(VLOOKUP(BF$72,INDIRECT($C$5&amp;"生成成长"),2))/((VLOOKUP($B191,INDIRECT($B$5&amp;"生成成长"),4))/(VLOOKUP(BF$72,INDIRECT($C$5&amp;"生成成长"),5))*(VLOOKUP($B$5,标准坦克设计!$B$24:$U$30,MATCH("对"&amp;LEFT($C$5,2)&amp;"输出",标准坦克设计!$B$23:$U$23,0)))*(VLOOKUP($B191,INDIRECT($B$5&amp;"生成成长"),3))*(VLOOKUP($B$5,标准坦克设计!$B$14:$K$20,9)/30))</f>
        <v>8.1557038398730768</v>
      </c>
      <c r="BG191" s="173">
        <f ca="1">(VLOOKUP(BG$72,INDIRECT($C$5&amp;"生成成长"),2))/((VLOOKUP($B191,INDIRECT($B$5&amp;"生成成长"),4))/(VLOOKUP(BG$72,INDIRECT($C$5&amp;"生成成长"),5))*(VLOOKUP($B$5,标准坦克设计!$B$24:$U$30,MATCH("对"&amp;LEFT($C$5,2)&amp;"输出",标准坦克设计!$B$23:$U$23,0)))*(VLOOKUP($B191,INDIRECT($B$5&amp;"生成成长"),3))*(VLOOKUP($B$5,标准坦克设计!$B$14:$K$20,9)/30))</f>
        <v>8.9024167554863176</v>
      </c>
      <c r="BH191" s="173">
        <f ca="1">(VLOOKUP(BH$72,INDIRECT($C$5&amp;"生成成长"),2))/((VLOOKUP($B191,INDIRECT($B$5&amp;"生成成长"),4))/(VLOOKUP(BH$72,INDIRECT($C$5&amp;"生成成长"),5))*(VLOOKUP($B$5,标准坦克设计!$B$24:$U$30,MATCH("对"&amp;LEFT($C$5,2)&amp;"输出",标准坦克设计!$B$23:$U$23,0)))*(VLOOKUP($B191,INDIRECT($B$5&amp;"生成成长"),3))*(VLOOKUP($B$5,标准坦克设计!$B$14:$K$20,9)/30))</f>
        <v>4.303036634012388</v>
      </c>
      <c r="BI191" s="173">
        <f ca="1">(VLOOKUP(BI$72,INDIRECT($C$5&amp;"生成成长"),2))/((VLOOKUP($B191,INDIRECT($B$5&amp;"生成成长"),4))/(VLOOKUP(BI$72,INDIRECT($C$5&amp;"生成成长"),5))*(VLOOKUP($B$5,标准坦克设计!$B$24:$U$30,MATCH("对"&amp;LEFT($C$5,2)&amp;"输出",标准坦克设计!$B$23:$U$23,0)))*(VLOOKUP($B191,INDIRECT($B$5&amp;"生成成长"),3))*(VLOOKUP($B$5,标准坦克设计!$B$14:$K$20,9)/30))</f>
        <v>4.849899377563692</v>
      </c>
      <c r="BJ191" s="173">
        <f ca="1">(VLOOKUP(BJ$72,INDIRECT($C$5&amp;"生成成长"),2))/((VLOOKUP($B191,INDIRECT($B$5&amp;"生成成长"),4))/(VLOOKUP(BJ$72,INDIRECT($C$5&amp;"生成成长"),5))*(VLOOKUP($B$5,标准坦克设计!$B$24:$U$30,MATCH("对"&amp;LEFT($C$5,2)&amp;"输出",标准坦克设计!$B$23:$U$23,0)))*(VLOOKUP($B191,INDIRECT($B$5&amp;"生成成长"),3))*(VLOOKUP($B$5,标准坦克设计!$B$14:$K$20,9)/30))</f>
        <v>5.4294648765433111</v>
      </c>
      <c r="BK191" s="173">
        <f ca="1">(VLOOKUP(BK$72,INDIRECT($C$5&amp;"生成成长"),2))/((VLOOKUP($B191,INDIRECT($B$5&amp;"生成成长"),4))/(VLOOKUP(BK$72,INDIRECT($C$5&amp;"生成成长"),5))*(VLOOKUP($B$5,标准坦克设计!$B$24:$U$30,MATCH("对"&amp;LEFT($C$5,2)&amp;"输出",标准坦克设计!$B$23:$U$23,0)))*(VLOOKUP($B191,INDIRECT($B$5&amp;"生成成长"),3))*(VLOOKUP($B$5,标准坦克设计!$B$14:$K$20,9)/30))</f>
        <v>6.041733130951247</v>
      </c>
      <c r="BL191" s="173">
        <f ca="1">(VLOOKUP(BL$72,INDIRECT($C$5&amp;"生成成长"),2))/((VLOOKUP($B191,INDIRECT($B$5&amp;"生成成长"),4))/(VLOOKUP(BL$72,INDIRECT($C$5&amp;"生成成长"),5))*(VLOOKUP($B$5,标准坦克设计!$B$24:$U$30,MATCH("对"&amp;LEFT($C$5,2)&amp;"输出",标准坦克设计!$B$23:$U$23,0)))*(VLOOKUP($B191,INDIRECT($B$5&amp;"生成成长"),3))*(VLOOKUP($B$5,标准坦克设计!$B$14:$K$20,9)/30))</f>
        <v>6.6867041407875005</v>
      </c>
      <c r="BM191" s="173">
        <f ca="1">(VLOOKUP(BM$72,INDIRECT($C$5&amp;"生成成长"),2))/((VLOOKUP($B191,INDIRECT($B$5&amp;"生成成长"),4))/(VLOOKUP(BM$72,INDIRECT($C$5&amp;"生成成长"),5))*(VLOOKUP($B$5,标准坦克设计!$B$24:$U$30,MATCH("对"&amp;LEFT($C$5,2)&amp;"输出",标准坦克设计!$B$23:$U$23,0)))*(VLOOKUP($B191,INDIRECT($B$5&amp;"生成成长"),3))*(VLOOKUP($B$5,标准坦克设计!$B$14:$K$20,9)/30))</f>
        <v>7.3643779060520718</v>
      </c>
      <c r="BN191" s="173">
        <f ca="1">(VLOOKUP(BN$72,INDIRECT($C$5&amp;"生成成长"),2))/((VLOOKUP($B191,INDIRECT($B$5&amp;"生成成长"),4))/(VLOOKUP(BN$72,INDIRECT($C$5&amp;"生成成长"),5))*(VLOOKUP($B$5,标准坦克设计!$B$24:$U$30,MATCH("对"&amp;LEFT($C$5,2)&amp;"输出",标准坦克设计!$B$23:$U$23,0)))*(VLOOKUP($B191,INDIRECT($B$5&amp;"生成成长"),3))*(VLOOKUP($B$5,标准坦克设计!$B$14:$K$20,9)/30))</f>
        <v>8.074754426744958</v>
      </c>
      <c r="BO191" s="173">
        <f ca="1">(VLOOKUP(BO$72,INDIRECT($C$5&amp;"生成成长"),2))/((VLOOKUP($B191,INDIRECT($B$5&amp;"生成成长"),4))/(VLOOKUP(BO$72,INDIRECT($C$5&amp;"生成成长"),5))*(VLOOKUP($B$5,标准坦克设计!$B$24:$U$30,MATCH("对"&amp;LEFT($C$5,2)&amp;"输出",标准坦克设计!$B$23:$U$23,0)))*(VLOOKUP($B191,INDIRECT($B$5&amp;"生成成长"),3))*(VLOOKUP($B$5,标准坦克设计!$B$14:$K$20,9)/30))</f>
        <v>8.8178337028661637</v>
      </c>
      <c r="BP191" s="173">
        <f ca="1">(VLOOKUP(BP$72,INDIRECT($C$5&amp;"生成成长"),2))/((VLOOKUP($B191,INDIRECT($B$5&amp;"生成成长"),4))/(VLOOKUP(BP$72,INDIRECT($C$5&amp;"生成成长"),5))*(VLOOKUP($B$5,标准坦克设计!$B$24:$U$30,MATCH("对"&amp;LEFT($C$5,2)&amp;"输出",标准坦克设计!$B$23:$U$23,0)))*(VLOOKUP($B191,INDIRECT($B$5&amp;"生成成长"),3))*(VLOOKUP($B$5,标准坦克设计!$B$14:$K$20,9)/30))</f>
        <v>9.5936157344156854</v>
      </c>
      <c r="BQ191" s="173">
        <f ca="1">(VLOOKUP(BQ$72,INDIRECT($C$5&amp;"生成成长"),2))/((VLOOKUP($B191,INDIRECT($B$5&amp;"生成成长"),4))/(VLOOKUP(BQ$72,INDIRECT($C$5&amp;"生成成长"),5))*(VLOOKUP($B$5,标准坦克设计!$B$24:$U$30,MATCH("对"&amp;LEFT($C$5,2)&amp;"输出",标准坦克设计!$B$23:$U$23,0)))*(VLOOKUP($B191,INDIRECT($B$5&amp;"生成成长"),3))*(VLOOKUP($B$5,标准坦克设计!$B$14:$K$20,9)/30))</f>
        <v>10.402100521393526</v>
      </c>
      <c r="BR191" s="173">
        <f ca="1">(VLOOKUP(BR$72,INDIRECT($C$5&amp;"生成成长"),2))/((VLOOKUP($B191,INDIRECT($B$5&amp;"生成成长"),4))/(VLOOKUP(BR$72,INDIRECT($C$5&amp;"生成成长"),5))*(VLOOKUP($B$5,标准坦克设计!$B$24:$U$30,MATCH("对"&amp;LEFT($C$5,2)&amp;"输出",标准坦克设计!$B$23:$U$23,0)))*(VLOOKUP($B191,INDIRECT($B$5&amp;"生成成长"),3))*(VLOOKUP($B$5,标准坦克设计!$B$14:$K$20,9)/30))</f>
        <v>11.338772034895941</v>
      </c>
      <c r="BS191" s="173">
        <f ca="1">(VLOOKUP(BS$72,INDIRECT($C$5&amp;"生成成长"),2))/((VLOOKUP($B191,INDIRECT($B$5&amp;"生成成长"),4))/(VLOOKUP(BS$72,INDIRECT($C$5&amp;"生成成长"),5))*(VLOOKUP($B$5,标准坦克设计!$B$24:$U$30,MATCH("对"&amp;LEFT($C$5,2)&amp;"输出",标准坦克设计!$B$23:$U$23,0)))*(VLOOKUP($B191,INDIRECT($B$5&amp;"生成成长"),3))*(VLOOKUP($B$5,标准坦克设计!$B$14:$K$20,9)/30))</f>
        <v>12.31581732053208</v>
      </c>
      <c r="BT191" s="173">
        <f ca="1">(VLOOKUP(BT$72,INDIRECT($C$5&amp;"生成成长"),2))/((VLOOKUP($B191,INDIRECT($B$5&amp;"生成成长"),4))/(VLOOKUP(BT$72,INDIRECT($C$5&amp;"生成成长"),5))*(VLOOKUP($B$5,标准坦克设计!$B$24:$U$30,MATCH("对"&amp;LEFT($C$5,2)&amp;"输出",标准坦克设计!$B$23:$U$23,0)))*(VLOOKUP($B191,INDIRECT($B$5&amp;"生成成长"),3))*(VLOOKUP($B$5,标准坦克设计!$B$14:$K$20,9)/30))</f>
        <v>13.333236378301947</v>
      </c>
      <c r="BU191" s="173">
        <f ca="1">(VLOOKUP(BU$72,INDIRECT($C$5&amp;"生成成长"),2))/((VLOOKUP($B191,INDIRECT($B$5&amp;"生成成长"),4))/(VLOOKUP(BU$72,INDIRECT($C$5&amp;"生成成长"),5))*(VLOOKUP($B$5,标准坦克设计!$B$24:$U$30,MATCH("对"&amp;LEFT($C$5,2)&amp;"输出",标准坦克设计!$B$23:$U$23,0)))*(VLOOKUP($B191,INDIRECT($B$5&amp;"生成成长"),3))*(VLOOKUP($B$5,标准坦克设计!$B$14:$K$20,9)/30))</f>
        <v>14.391029208205534</v>
      </c>
      <c r="BV191" s="173">
        <f ca="1">(VLOOKUP(BV$72,INDIRECT($C$5&amp;"生成成长"),2))/((VLOOKUP($B191,INDIRECT($B$5&amp;"生成成长"),4))/(VLOOKUP(BV$72,INDIRECT($C$5&amp;"生成成长"),5))*(VLOOKUP($B$5,标准坦克设计!$B$24:$U$30,MATCH("对"&amp;LEFT($C$5,2)&amp;"输出",标准坦克设计!$B$23:$U$23,0)))*(VLOOKUP($B191,INDIRECT($B$5&amp;"生成成长"),3))*(VLOOKUP($B$5,标准坦克设计!$B$14:$K$20,9)/30))</f>
        <v>15.489195810242851</v>
      </c>
      <c r="BW191" s="173">
        <f ca="1">(VLOOKUP(BW$72,INDIRECT($C$5&amp;"生成成长"),2))/((VLOOKUP($B191,INDIRECT($B$5&amp;"生成成长"),4))/(VLOOKUP(BW$72,INDIRECT($C$5&amp;"生成成长"),5))*(VLOOKUP($B$5,标准坦克设计!$B$24:$U$30,MATCH("对"&amp;LEFT($C$5,2)&amp;"输出",标准坦克设计!$B$23:$U$23,0)))*(VLOOKUP($B191,INDIRECT($B$5&amp;"生成成长"),3))*(VLOOKUP($B$5,标准坦克设计!$B$14:$K$20,9)/30))</f>
        <v>7.0591521887211117</v>
      </c>
      <c r="BX191" s="173">
        <f ca="1">(VLOOKUP(BX$72,INDIRECT($C$5&amp;"生成成长"),2))/((VLOOKUP($B191,INDIRECT($B$5&amp;"生成成长"),4))/(VLOOKUP(BX$72,INDIRECT($C$5&amp;"生成成长"),5))*(VLOOKUP($B$5,标准坦克设计!$B$24:$U$30,MATCH("对"&amp;LEFT($C$5,2)&amp;"输出",标准坦克设计!$B$23:$U$23,0)))*(VLOOKUP($B191,INDIRECT($B$5&amp;"生成成长"),3))*(VLOOKUP($B$5,标准坦克设计!$B$14:$K$20,9)/30))</f>
        <v>7.8343286136886299</v>
      </c>
      <c r="BY191" s="173">
        <f ca="1">(VLOOKUP(BY$72,INDIRECT($C$5&amp;"生成成长"),2))/((VLOOKUP($B191,INDIRECT($B$5&amp;"生成成长"),4))/(VLOOKUP(BY$72,INDIRECT($C$5&amp;"生成成长"),5))*(VLOOKUP($B$5,标准坦克设计!$B$24:$U$30,MATCH("对"&amp;LEFT($C$5,2)&amp;"输出",标准坦克设计!$B$23:$U$23,0)))*(VLOOKUP($B191,INDIRECT($B$5&amp;"生成成长"),3))*(VLOOKUP($B$5,标准坦克设计!$B$14:$K$20,9)/30))</f>
        <v>8.6498788107898683</v>
      </c>
      <c r="BZ191" s="173">
        <f ca="1">(VLOOKUP(BZ$72,INDIRECT($C$5&amp;"生成成长"),2))/((VLOOKUP($B191,INDIRECT($B$5&amp;"生成成长"),4))/(VLOOKUP(BZ$72,INDIRECT($C$5&amp;"生成成长"),5))*(VLOOKUP($B$5,标准坦克设计!$B$24:$U$30,MATCH("对"&amp;LEFT($C$5,2)&amp;"输出",标准坦克设计!$B$23:$U$23,0)))*(VLOOKUP($B191,INDIRECT($B$5&amp;"生成成长"),3))*(VLOOKUP($B$5,标准坦克设计!$B$14:$K$20,9)/30))</f>
        <v>9.505802780024835</v>
      </c>
      <c r="CA191" s="173">
        <f ca="1">(VLOOKUP(CA$72,INDIRECT($C$5&amp;"生成成长"),2))/((VLOOKUP($B191,INDIRECT($B$5&amp;"生成成长"),4))/(VLOOKUP(CA$72,INDIRECT($C$5&amp;"生成成长"),5))*(VLOOKUP($B$5,标准坦克设计!$B$24:$U$30,MATCH("对"&amp;LEFT($C$5,2)&amp;"输出",标准坦克设计!$B$23:$U$23,0)))*(VLOOKUP($B191,INDIRECT($B$5&amp;"生成成长"),3))*(VLOOKUP($B$5,标准坦克设计!$B$14:$K$20,9)/30))</f>
        <v>10.402100521393526</v>
      </c>
      <c r="CB191" s="173">
        <f ca="1">(VLOOKUP(CB$72,INDIRECT($C$5&amp;"生成成长"),2))/((VLOOKUP($B191,INDIRECT($B$5&amp;"生成成长"),4))/(VLOOKUP(CB$72,INDIRECT($C$5&amp;"生成成长"),5))*(VLOOKUP($B$5,标准坦克设计!$B$24:$U$30,MATCH("对"&amp;LEFT($C$5,2)&amp;"输出",标准坦克设计!$B$23:$U$23,0)))*(VLOOKUP($B191,INDIRECT($B$5&amp;"生成成长"),3))*(VLOOKUP($B$5,标准坦克设计!$B$14:$K$20,9)/30))</f>
        <v>11.338772034895941</v>
      </c>
      <c r="CC191" s="173">
        <f ca="1">(VLOOKUP(CC$72,INDIRECT($C$5&amp;"生成成长"),2))/((VLOOKUP($B191,INDIRECT($B$5&amp;"生成成长"),4))/(VLOOKUP(CC$72,INDIRECT($C$5&amp;"生成成长"),5))*(VLOOKUP($B$5,标准坦克设计!$B$24:$U$30,MATCH("对"&amp;LEFT($C$5,2)&amp;"输出",标准坦克设计!$B$23:$U$23,0)))*(VLOOKUP($B191,INDIRECT($B$5&amp;"生成成长"),3))*(VLOOKUP($B$5,标准坦克设计!$B$14:$K$20,9)/30))</f>
        <v>12.31581732053208</v>
      </c>
      <c r="CD191" s="173">
        <f ca="1">(VLOOKUP(CD$72,INDIRECT($C$5&amp;"生成成长"),2))/((VLOOKUP($B191,INDIRECT($B$5&amp;"生成成长"),4))/(VLOOKUP(CD$72,INDIRECT($C$5&amp;"生成成长"),5))*(VLOOKUP($B$5,标准坦克设计!$B$24:$U$30,MATCH("对"&amp;LEFT($C$5,2)&amp;"输出",标准坦克设计!$B$23:$U$23,0)))*(VLOOKUP($B191,INDIRECT($B$5&amp;"生成成长"),3))*(VLOOKUP($B$5,标准坦克设计!$B$14:$K$20,9)/30))</f>
        <v>13.333236378301947</v>
      </c>
      <c r="CE191" s="173">
        <f ca="1">(VLOOKUP(CE$72,INDIRECT($C$5&amp;"生成成长"),2))/((VLOOKUP($B191,INDIRECT($B$5&amp;"生成成长"),4))/(VLOOKUP(CE$72,INDIRECT($C$5&amp;"生成成长"),5))*(VLOOKUP($B$5,标准坦克设计!$B$24:$U$30,MATCH("对"&amp;LEFT($C$5,2)&amp;"输出",标准坦克设计!$B$23:$U$23,0)))*(VLOOKUP($B191,INDIRECT($B$5&amp;"生成成长"),3))*(VLOOKUP($B$5,标准坦克设计!$B$14:$K$20,9)/30))</f>
        <v>14.391029208205534</v>
      </c>
      <c r="CF191" s="173">
        <f ca="1">(VLOOKUP(CF$72,INDIRECT($C$5&amp;"生成成长"),2))/((VLOOKUP($B191,INDIRECT($B$5&amp;"生成成长"),4))/(VLOOKUP(CF$72,INDIRECT($C$5&amp;"生成成长"),5))*(VLOOKUP($B$5,标准坦克设计!$B$24:$U$30,MATCH("对"&amp;LEFT($C$5,2)&amp;"输出",标准坦克设计!$B$23:$U$23,0)))*(VLOOKUP($B191,INDIRECT($B$5&amp;"生成成长"),3))*(VLOOKUP($B$5,标准坦克设计!$B$14:$K$20,9)/30))</f>
        <v>15.489195810242851</v>
      </c>
      <c r="CG191" s="173">
        <f ca="1">(VLOOKUP(CG$72,INDIRECT($C$5&amp;"生成成长"),2))/((VLOOKUP($B191,INDIRECT($B$5&amp;"生成成长"),4))/(VLOOKUP(CG$72,INDIRECT($C$5&amp;"生成成长"),5))*(VLOOKUP($B$5,标准坦克设计!$B$24:$U$30,MATCH("对"&amp;LEFT($C$5,2)&amp;"输出",标准坦克设计!$B$23:$U$23,0)))*(VLOOKUP($B191,INDIRECT($B$5&amp;"生成成长"),3))*(VLOOKUP($B$5,标准坦克设计!$B$14:$K$20,9)/30))</f>
        <v>16.627736184413887</v>
      </c>
      <c r="CH191" s="173">
        <f ca="1">(VLOOKUP(CH$72,INDIRECT($C$5&amp;"生成成长"),2))/((VLOOKUP($B191,INDIRECT($B$5&amp;"生成成长"),4))/(VLOOKUP(CH$72,INDIRECT($C$5&amp;"生成成长"),5))*(VLOOKUP($B$5,标准坦克设计!$B$24:$U$30,MATCH("对"&amp;LEFT($C$5,2)&amp;"输出",标准坦克设计!$B$23:$U$23,0)))*(VLOOKUP($B191,INDIRECT($B$5&amp;"生成成长"),3))*(VLOOKUP($B$5,标准坦克设计!$B$14:$K$20,9)/30))</f>
        <v>17.806650330718657</v>
      </c>
      <c r="CI191" s="173">
        <f ca="1">(VLOOKUP(CI$72,INDIRECT($C$5&amp;"生成成长"),2))/((VLOOKUP($B191,INDIRECT($B$5&amp;"生成成长"),4))/(VLOOKUP(CI$72,INDIRECT($C$5&amp;"生成成长"),5))*(VLOOKUP($B$5,标准坦克设计!$B$24:$U$30,MATCH("对"&amp;LEFT($C$5,2)&amp;"输出",标准坦克设计!$B$23:$U$23,0)))*(VLOOKUP($B191,INDIRECT($B$5&amp;"生成成长"),3))*(VLOOKUP($B$5,标准坦克设计!$B$14:$K$20,9)/30))</f>
        <v>19.150087598468346</v>
      </c>
      <c r="CJ191" s="173">
        <f ca="1">(VLOOKUP(CJ$72,INDIRECT($C$5&amp;"生成成长"),2))/((VLOOKUP($B191,INDIRECT($B$5&amp;"生成成长"),4))/(VLOOKUP(CJ$72,INDIRECT($C$5&amp;"生成成长"),5))*(VLOOKUP($B$5,标准坦克设计!$B$24:$U$30,MATCH("对"&amp;LEFT($C$5,2)&amp;"输出",标准坦克设计!$B$23:$U$23,0)))*(VLOOKUP($B191,INDIRECT($B$5&amp;"生成成长"),3))*(VLOOKUP($B$5,标准坦克设计!$B$14:$K$20,9)/30))</f>
        <v>20.542377130499844</v>
      </c>
      <c r="CK191" s="173">
        <f ca="1">(VLOOKUP(CK$72,INDIRECT($C$5&amp;"生成成长"),2))/((VLOOKUP($B191,INDIRECT($B$5&amp;"生成成长"),4))/(VLOOKUP(CK$72,INDIRECT($C$5&amp;"生成成长"),5))*(VLOOKUP($B$5,标准坦克设计!$B$24:$U$30,MATCH("对"&amp;LEFT($C$5,2)&amp;"输出",标准坦克设计!$B$23:$U$23,0)))*(VLOOKUP($B191,INDIRECT($B$5&amp;"生成成长"),3))*(VLOOKUP($B$5,标准坦克设计!$B$14:$K$20,9)/30))</f>
        <v>21.983518926813151</v>
      </c>
      <c r="CL191" s="173">
        <f ca="1">(VLOOKUP(CL$72,INDIRECT($C$5&amp;"生成成长"),2))/((VLOOKUP($B191,INDIRECT($B$5&amp;"生成成长"),4))/(VLOOKUP(CL$72,INDIRECT($C$5&amp;"生成成长"),5))*(VLOOKUP($B$5,标准坦克设计!$B$24:$U$30,MATCH("对"&amp;LEFT($C$5,2)&amp;"输出",标准坦克设计!$B$23:$U$23,0)))*(VLOOKUP($B191,INDIRECT($B$5&amp;"生成成长"),3))*(VLOOKUP($B$5,标准坦克设计!$B$14:$K$20,9)/30))</f>
        <v>23.473512987408267</v>
      </c>
      <c r="CM191" s="173">
        <f ca="1">(VLOOKUP(CM$72,INDIRECT($C$5&amp;"生成成长"),2))/((VLOOKUP($B191,INDIRECT($B$5&amp;"生成成长"),4))/(VLOOKUP(CM$72,INDIRECT($C$5&amp;"生成成长"),5))*(VLOOKUP($B$5,标准坦克设计!$B$24:$U$30,MATCH("对"&amp;LEFT($C$5,2)&amp;"输出",标准坦克设计!$B$23:$U$23,0)))*(VLOOKUP($B191,INDIRECT($B$5&amp;"生成成长"),3))*(VLOOKUP($B$5,标准坦克设计!$B$14:$K$20,9)/30))</f>
        <v>25.012359312285184</v>
      </c>
      <c r="CN191" s="173">
        <f ca="1">(VLOOKUP(CN$72,INDIRECT($C$5&amp;"生成成长"),2))/((VLOOKUP($B191,INDIRECT($B$5&amp;"生成成长"),4))/(VLOOKUP(CN$72,INDIRECT($C$5&amp;"生成成长"),5))*(VLOOKUP($B$5,标准坦克设计!$B$24:$U$30,MATCH("对"&amp;LEFT($C$5,2)&amp;"输出",标准坦克设计!$B$23:$U$23,0)))*(VLOOKUP($B191,INDIRECT($B$5&amp;"生成成长"),3))*(VLOOKUP($B$5,标准坦克设计!$B$14:$K$20,9)/30))</f>
        <v>26.600057901443911</v>
      </c>
      <c r="CO191" s="173">
        <f ca="1">(VLOOKUP(CO$72,INDIRECT($C$5&amp;"生成成长"),2))/((VLOOKUP($B191,INDIRECT($B$5&amp;"生成成长"),4))/(VLOOKUP(CO$72,INDIRECT($C$5&amp;"生成成长"),5))*(VLOOKUP($B$5,标准坦克设计!$B$24:$U$30,MATCH("对"&amp;LEFT($C$5,2)&amp;"输出",标准坦克设计!$B$23:$U$23,0)))*(VLOOKUP($B191,INDIRECT($B$5&amp;"生成成长"),3))*(VLOOKUP($B$5,标准坦克设计!$B$14:$K$20,9)/30))</f>
        <v>11.920154353621577</v>
      </c>
      <c r="CP191" s="173">
        <f ca="1">(VLOOKUP(CP$72,INDIRECT($C$5&amp;"生成成长"),2))/((VLOOKUP($B191,INDIRECT($B$5&amp;"生成成长"),4))/(VLOOKUP(CP$72,INDIRECT($C$5&amp;"生成成长"),5))*(VLOOKUP($B$5,标准坦克设计!$B$24:$U$30,MATCH("对"&amp;LEFT($C$5,2)&amp;"输出",标准坦克设计!$B$23:$U$23,0)))*(VLOOKUP($B191,INDIRECT($B$5&amp;"生成成长"),3))*(VLOOKUP($B$5,标准坦克设计!$B$14:$K$20,9)/30))</f>
        <v>13.023771414896945</v>
      </c>
      <c r="CQ191" s="173">
        <f ca="1">(VLOOKUP(CQ$72,INDIRECT($C$5&amp;"生成成长"),2))/((VLOOKUP($B191,INDIRECT($B$5&amp;"生成成长"),4))/(VLOOKUP(CQ$72,INDIRECT($C$5&amp;"生成成长"),5))*(VLOOKUP($B$5,标准坦克设计!$B$24:$U$30,MATCH("对"&amp;LEFT($C$5,2)&amp;"输出",标准坦克设计!$B$23:$U$23,0)))*(VLOOKUP($B191,INDIRECT($B$5&amp;"生成成长"),3))*(VLOOKUP($B$5,标准坦克设计!$B$14:$K$20,9)/30))</f>
        <v>14.176240740454119</v>
      </c>
      <c r="CR191" s="173">
        <f ca="1">(VLOOKUP(CR$72,INDIRECT($C$5&amp;"生成成长"),2))/((VLOOKUP($B191,INDIRECT($B$5&amp;"生成成长"),4))/(VLOOKUP(CR$72,INDIRECT($C$5&amp;"生成成长"),5))*(VLOOKUP($B$5,标准坦克设计!$B$24:$U$30,MATCH("对"&amp;LEFT($C$5,2)&amp;"输出",标准坦克设计!$B$23:$U$23,0)))*(VLOOKUP($B191,INDIRECT($B$5&amp;"生成成长"),3))*(VLOOKUP($B$5,标准坦克设计!$B$14:$K$20,9)/30))</f>
        <v>15.377562330293102</v>
      </c>
      <c r="CS191" s="173">
        <f ca="1">(VLOOKUP(CS$72,INDIRECT($C$5&amp;"生成成长"),2))/((VLOOKUP($B191,INDIRECT($B$5&amp;"生成成长"),4))/(VLOOKUP(CS$72,INDIRECT($C$5&amp;"生成成长"),5))*(VLOOKUP($B$5,标准坦克设计!$B$24:$U$30,MATCH("对"&amp;LEFT($C$5,2)&amp;"输出",标准坦克设计!$B$23:$U$23,0)))*(VLOOKUP($B191,INDIRECT($B$5&amp;"生成成长"),3))*(VLOOKUP($B$5,标准坦克设计!$B$14:$K$20,9)/30))</f>
        <v>16.627736184413887</v>
      </c>
      <c r="CT191" s="173">
        <f ca="1">(VLOOKUP(CT$72,INDIRECT($C$5&amp;"生成成长"),2))/((VLOOKUP($B191,INDIRECT($B$5&amp;"生成成长"),4))/(VLOOKUP(CT$72,INDIRECT($C$5&amp;"生成成长"),5))*(VLOOKUP($B$5,标准坦克设计!$B$24:$U$30,MATCH("对"&amp;LEFT($C$5,2)&amp;"输出",标准坦克设计!$B$23:$U$23,0)))*(VLOOKUP($B191,INDIRECT($B$5&amp;"生成成长"),3))*(VLOOKUP($B$5,标准坦克设计!$B$14:$K$20,9)/30))</f>
        <v>17.926762302816485</v>
      </c>
      <c r="CU191" s="173">
        <f ca="1">(VLOOKUP(CU$72,INDIRECT($C$5&amp;"生成成长"),2))/((VLOOKUP($B191,INDIRECT($B$5&amp;"生成成长"),4))/(VLOOKUP(CU$72,INDIRECT($C$5&amp;"生成成长"),5))*(VLOOKUP($B$5,标准坦克设计!$B$24:$U$30,MATCH("对"&amp;LEFT($C$5,2)&amp;"输出",标准坦克设计!$B$23:$U$23,0)))*(VLOOKUP($B191,INDIRECT($B$5&amp;"生成成长"),3))*(VLOOKUP($B$5,标准坦克设计!$B$14:$K$20,9)/30))</f>
        <v>19.274640685500888</v>
      </c>
      <c r="CV191" s="173">
        <f ca="1">(VLOOKUP(CV$72,INDIRECT($C$5&amp;"生成成长"),2))/((VLOOKUP($B191,INDIRECT($B$5&amp;"生成成长"),4))/(VLOOKUP(CV$72,INDIRECT($C$5&amp;"生成成长"),5))*(VLOOKUP($B$5,标准坦克设计!$B$24:$U$30,MATCH("对"&amp;LEFT($C$5,2)&amp;"输出",标准坦克设计!$B$23:$U$23,0)))*(VLOOKUP($B191,INDIRECT($B$5&amp;"生成成长"),3))*(VLOOKUP($B$5,标准坦克设计!$B$14:$K$20,9)/30))</f>
        <v>20.671371332467096</v>
      </c>
      <c r="CW191" s="173">
        <f ca="1">(VLOOKUP(CW$72,INDIRECT($C$5&amp;"生成成长"),2))/((VLOOKUP($B191,INDIRECT($B$5&amp;"生成成长"),4))/(VLOOKUP(CW$72,INDIRECT($C$5&amp;"生成成长"),5))*(VLOOKUP($B$5,标准坦克设计!$B$24:$U$30,MATCH("对"&amp;LEFT($C$5,2)&amp;"输出",标准坦克设计!$B$23:$U$23,0)))*(VLOOKUP($B191,INDIRECT($B$5&amp;"生成成长"),3))*(VLOOKUP($B$5,标准坦克设计!$B$14:$K$20,9)/30))</f>
        <v>22.116954243715114</v>
      </c>
      <c r="CX191" s="173">
        <f ca="1">(VLOOKUP(CX$72,INDIRECT($C$5&amp;"生成成长"),2))/((VLOOKUP($B191,INDIRECT($B$5&amp;"生成成长"),4))/(VLOOKUP(CX$72,INDIRECT($C$5&amp;"生成成长"),5))*(VLOOKUP($B$5,标准坦克设计!$B$24:$U$30,MATCH("对"&amp;LEFT($C$5,2)&amp;"输出",标准坦克设计!$B$23:$U$23,0)))*(VLOOKUP($B191,INDIRECT($B$5&amp;"生成成长"),3))*(VLOOKUP($B$5,标准坦克设计!$B$14:$K$20,9)/30))</f>
        <v>23.61138941924494</v>
      </c>
      <c r="CY191" s="173">
        <f ca="1">(VLOOKUP(CY$72,INDIRECT($C$5&amp;"生成成长"),2))/((VLOOKUP($B191,INDIRECT($B$5&amp;"生成成长"),4))/(VLOOKUP(CY$72,INDIRECT($C$5&amp;"生成成长"),5))*(VLOOKUP($B$5,标准坦克设计!$B$24:$U$30,MATCH("对"&amp;LEFT($C$5,2)&amp;"输出",标准坦克设计!$B$23:$U$23,0)))*(VLOOKUP($B191,INDIRECT($B$5&amp;"生成成长"),3))*(VLOOKUP($B$5,标准坦克设计!$B$14:$K$20,9)/30))</f>
        <v>25.154676859056561</v>
      </c>
      <c r="CZ191" s="173">
        <f ca="1">(VLOOKUP(CZ$72,INDIRECT($C$5&amp;"生成成长"),2))/((VLOOKUP($B191,INDIRECT($B$5&amp;"生成成长"),4))/(VLOOKUP(CZ$72,INDIRECT($C$5&amp;"生成成长"),5))*(VLOOKUP($B$5,标准坦克设计!$B$24:$U$30,MATCH("对"&amp;LEFT($C$5,2)&amp;"输出",标准坦克设计!$B$23:$U$23,0)))*(VLOOKUP($B191,INDIRECT($B$5&amp;"生成成长"),3))*(VLOOKUP($B$5,标准坦克设计!$B$14:$K$20,9)/30))</f>
        <v>26.746816563150002</v>
      </c>
      <c r="DA191" s="173">
        <f ca="1">(VLOOKUP(DA$72,INDIRECT($C$5&amp;"生成成长"),2))/((VLOOKUP($B191,INDIRECT($B$5&amp;"生成成长"),4))/(VLOOKUP(DA$72,INDIRECT($C$5&amp;"生成成长"),5))*(VLOOKUP($B$5,标准坦克设计!$B$24:$U$30,MATCH("对"&amp;LEFT($C$5,2)&amp;"输出",标准坦克设计!$B$23:$U$23,0)))*(VLOOKUP($B191,INDIRECT($B$5&amp;"生成成长"),3))*(VLOOKUP($B$5,标准坦克设计!$B$14:$K$20,9)/30))</f>
        <v>28.387808531525245</v>
      </c>
      <c r="DB191" s="173">
        <f ca="1">(VLOOKUP(DB$72,INDIRECT($C$5&amp;"生成成长"),2))/((VLOOKUP($B191,INDIRECT($B$5&amp;"生成成长"),4))/(VLOOKUP(DB$72,INDIRECT($C$5&amp;"生成成长"),5))*(VLOOKUP($B$5,标准坦克设计!$B$24:$U$30,MATCH("对"&amp;LEFT($C$5,2)&amp;"输出",标准坦克设计!$B$23:$U$23,0)))*(VLOOKUP($B191,INDIRECT($B$5&amp;"生成成长"),3))*(VLOOKUP($B$5,标准坦克设计!$B$14:$K$20,9)/30))</f>
        <v>30.077652764182304</v>
      </c>
      <c r="DC191" s="173">
        <f ca="1">(VLOOKUP(DC$72,INDIRECT($C$5&amp;"生成成长"),2))/((VLOOKUP($B191,INDIRECT($B$5&amp;"生成成长"),4))/(VLOOKUP(DC$72,INDIRECT($C$5&amp;"生成成长"),5))*(VLOOKUP($B$5,标准坦克设计!$B$24:$U$30,MATCH("对"&amp;LEFT($C$5,2)&amp;"输出",标准坦克设计!$B$23:$U$23,0)))*(VLOOKUP($B191,INDIRECT($B$5&amp;"生成成长"),3))*(VLOOKUP($B$5,标准坦克设计!$B$14:$K$20,9)/30))</f>
        <v>31.976835005352719</v>
      </c>
      <c r="DD191" s="173">
        <f ca="1">(VLOOKUP(DD$72,INDIRECT($C$5&amp;"生成成长"),2))/((VLOOKUP($B191,INDIRECT($B$5&amp;"生成成长"),4))/(VLOOKUP(DD$72,INDIRECT($C$5&amp;"生成成长"),5))*(VLOOKUP($B$5,标准坦克设计!$B$24:$U$30,MATCH("对"&amp;LEFT($C$5,2)&amp;"输出",标准坦克设计!$B$23:$U$23,0)))*(VLOOKUP($B191,INDIRECT($B$5&amp;"生成成长"),3))*(VLOOKUP($B$5,标准坦克设计!$B$14:$K$20,9)/30))</f>
        <v>33.934155478395688</v>
      </c>
      <c r="DE191" s="173">
        <f ca="1">(VLOOKUP(DE$72,INDIRECT($C$5&amp;"生成成长"),2))/((VLOOKUP($B191,INDIRECT($B$5&amp;"生成成长"),4))/(VLOOKUP(DE$72,INDIRECT($C$5&amp;"生成成长"),5))*(VLOOKUP($B$5,标准坦克设计!$B$24:$U$30,MATCH("对"&amp;LEFT($C$5,2)&amp;"输出",标准坦克设计!$B$23:$U$23,0)))*(VLOOKUP($B191,INDIRECT($B$5&amp;"生成成长"),3))*(VLOOKUP($B$5,标准坦克设计!$B$14:$K$20,9)/30))</f>
        <v>35.949614183311233</v>
      </c>
      <c r="DF191" s="173">
        <f ca="1">(VLOOKUP(DF$72,INDIRECT($C$5&amp;"生成成长"),2))/((VLOOKUP($B191,INDIRECT($B$5&amp;"生成成长"),4))/(VLOOKUP(DF$72,INDIRECT($C$5&amp;"生成成长"),5))*(VLOOKUP($B$5,标准坦克设计!$B$24:$U$30,MATCH("对"&amp;LEFT($C$5,2)&amp;"输出",标准坦克设计!$B$23:$U$23,0)))*(VLOOKUP($B191,INDIRECT($B$5&amp;"生成成长"),3))*(VLOOKUP($B$5,标准坦克设计!$B$14:$K$20,9)/30))</f>
        <v>38.02321112009934</v>
      </c>
      <c r="DG191" s="173">
        <f ca="1">(VLOOKUP(DG$72,INDIRECT($C$5&amp;"生成成长"),2))/((VLOOKUP($B191,INDIRECT($B$5&amp;"生成成长"),4))/(VLOOKUP(DG$72,INDIRECT($C$5&amp;"生成成长"),5))*(VLOOKUP($B$5,标准坦克设计!$B$24:$U$30,MATCH("对"&amp;LEFT($C$5,2)&amp;"输出",标准坦克设计!$B$23:$U$23,0)))*(VLOOKUP($B191,INDIRECT($B$5&amp;"生成成长"),3))*(VLOOKUP($B$5,标准坦克设计!$B$14:$K$20,9)/30))</f>
        <v>40.154946288760009</v>
      </c>
      <c r="DH191" s="173">
        <f ca="1">(VLOOKUP(DH$72,INDIRECT($C$5&amp;"生成成长"),2))/((VLOOKUP($B191,INDIRECT($B$5&amp;"生成成长"),4))/(VLOOKUP(DH$72,INDIRECT($C$5&amp;"生成成长"),5))*(VLOOKUP($B$5,标准坦克设计!$B$24:$U$30,MATCH("对"&amp;LEFT($C$5,2)&amp;"输出",标准坦克设计!$B$23:$U$23,0)))*(VLOOKUP($B191,INDIRECT($B$5&amp;"生成成长"),3))*(VLOOKUP($B$5,标准坦克设计!$B$14:$K$20,9)/30))</f>
        <v>42.344819689293239</v>
      </c>
      <c r="DI191" s="173">
        <f ca="1">(VLOOKUP(DI$72,INDIRECT($C$5&amp;"生成成长"),2))/((VLOOKUP($B191,INDIRECT($B$5&amp;"生成成长"),4))/(VLOOKUP(DI$72,INDIRECT($C$5&amp;"生成成长"),5))*(VLOOKUP($B$5,标准坦克设计!$B$24:$U$30,MATCH("对"&amp;LEFT($C$5,2)&amp;"输出",标准坦克设计!$B$23:$U$23,0)))*(VLOOKUP($B191,INDIRECT($B$5&amp;"生成成长"),3))*(VLOOKUP($B$5,标准坦克设计!$B$14:$K$20,9)/30))</f>
        <v>44.592831321699045</v>
      </c>
      <c r="DJ191" s="173">
        <f ca="1">(VLOOKUP(DJ$72,INDIRECT($C$5&amp;"生成成长"),2))/((VLOOKUP($B191,INDIRECT($B$5&amp;"生成成长"),4))/(VLOOKUP(DJ$72,INDIRECT($C$5&amp;"生成成长"),5))*(VLOOKUP($B$5,标准坦克设计!$B$24:$U$30,MATCH("对"&amp;LEFT($C$5,2)&amp;"输出",标准坦克设计!$B$23:$U$23,0)))*(VLOOKUP($B191,INDIRECT($B$5&amp;"生成成长"),3))*(VLOOKUP($B$5,标准坦克设计!$B$14:$K$20,9)/30))</f>
        <v>4.4816905757041212</v>
      </c>
      <c r="DK191" s="173">
        <f ca="1">(VLOOKUP(DK$72,INDIRECT($C$5&amp;"生成成长"),2))/((VLOOKUP($B191,INDIRECT($B$5&amp;"生成成长"),4))/(VLOOKUP(DK$72,INDIRECT($C$5&amp;"生成成长"),5))*(VLOOKUP($B$5,标准坦克设计!$B$24:$U$30,MATCH("对"&amp;LEFT($C$5,2)&amp;"输出",标准坦克设计!$B$23:$U$23,0)))*(VLOOKUP($B191,INDIRECT($B$5&amp;"生成成长"),3))*(VLOOKUP($B$5,标准坦克设计!$B$14:$K$20,9)/30))</f>
        <v>5.0394542377315288</v>
      </c>
      <c r="DL191" s="173">
        <f ca="1">(VLOOKUP(DL$72,INDIRECT($C$5&amp;"生成成长"),2))/((VLOOKUP($B191,INDIRECT($B$5&amp;"生成成长"),4))/(VLOOKUP(DL$72,INDIRECT($C$5&amp;"生成成长"),5))*(VLOOKUP($B$5,标准坦克设计!$B$24:$U$30,MATCH("对"&amp;LEFT($C$5,2)&amp;"输出",标准坦克设计!$B$23:$U$23,0)))*(VLOOKUP($B191,INDIRECT($B$5&amp;"生成成长"),3))*(VLOOKUP($B$5,标准坦克设计!$B$14:$K$20,9)/30))</f>
        <v>5.6299206551872549</v>
      </c>
      <c r="DM191" s="173">
        <f ca="1">(VLOOKUP(DM$72,INDIRECT($C$5&amp;"生成成长"),2))/((VLOOKUP($B191,INDIRECT($B$5&amp;"生成成长"),4))/(VLOOKUP(DM$72,INDIRECT($C$5&amp;"生成成长"),5))*(VLOOKUP($B$5,标准坦克设计!$B$24:$U$30,MATCH("对"&amp;LEFT($C$5,2)&amp;"输出",标准坦克设计!$B$23:$U$23,0)))*(VLOOKUP($B191,INDIRECT($B$5&amp;"生成成长"),3))*(VLOOKUP($B$5,标准坦克设计!$B$14:$K$20,9)/30))</f>
        <v>6.2530898280712961</v>
      </c>
      <c r="DN191" s="173">
        <f ca="1">(VLOOKUP(DN$72,INDIRECT($C$5&amp;"生成成长"),2))/((VLOOKUP($B191,INDIRECT($B$5&amp;"生成成长"),4))/(VLOOKUP(DN$72,INDIRECT($C$5&amp;"生成成长"),5))*(VLOOKUP($B$5,标准坦克设计!$B$24:$U$30,MATCH("对"&amp;LEFT($C$5,2)&amp;"输出",标准坦克设计!$B$23:$U$23,0)))*(VLOOKUP($B191,INDIRECT($B$5&amp;"生成成长"),3))*(VLOOKUP($B$5,标准坦克设计!$B$14:$K$20,9)/30))</f>
        <v>6.9089617563836567</v>
      </c>
      <c r="DO191" s="173">
        <f ca="1">(VLOOKUP(DO$72,INDIRECT($C$5&amp;"生成成长"),2))/((VLOOKUP($B191,INDIRECT($B$5&amp;"生成成长"),4))/(VLOOKUP(DO$72,INDIRECT($C$5&amp;"生成成长"),5))*(VLOOKUP($B$5,标准坦克设计!$B$24:$U$30,MATCH("对"&amp;LEFT($C$5,2)&amp;"输出",标准坦克设计!$B$23:$U$23,0)))*(VLOOKUP($B191,INDIRECT($B$5&amp;"生成成长"),3))*(VLOOKUP($B$5,标准坦克设计!$B$14:$K$20,9)/30))</f>
        <v>7.5975364401243333</v>
      </c>
      <c r="DP191" s="173">
        <f ca="1">(VLOOKUP(DP$72,INDIRECT($C$5&amp;"生成成长"),2))/((VLOOKUP($B191,INDIRECT($B$5&amp;"生成成长"),4))/(VLOOKUP(DP$72,INDIRECT($C$5&amp;"生成成长"),5))*(VLOOKUP($B$5,标准坦克设计!$B$24:$U$30,MATCH("对"&amp;LEFT($C$5,2)&amp;"输出",标准坦克设计!$B$23:$U$23,0)))*(VLOOKUP($B191,INDIRECT($B$5&amp;"生成成长"),3))*(VLOOKUP($B$5,标准坦克设计!$B$14:$K$20,9)/30))</f>
        <v>8.3188138792933248</v>
      </c>
      <c r="DQ191" s="173">
        <f ca="1">(VLOOKUP(DQ$72,INDIRECT($C$5&amp;"生成成长"),2))/((VLOOKUP($B191,INDIRECT($B$5&amp;"生成成长"),4))/(VLOOKUP(DQ$72,INDIRECT($C$5&amp;"生成成长"),5))*(VLOOKUP($B$5,标准坦克设计!$B$24:$U$30,MATCH("对"&amp;LEFT($C$5,2)&amp;"输出",标准坦克设计!$B$23:$U$23,0)))*(VLOOKUP($B191,INDIRECT($B$5&amp;"生成成长"),3))*(VLOOKUP($B$5,标准坦克设计!$B$14:$K$20,9)/30))</f>
        <v>9.0727940738906376</v>
      </c>
      <c r="DR191" s="173">
        <f ca="1">(VLOOKUP(DR$72,INDIRECT($C$5&amp;"生成成长"),2))/((VLOOKUP($B191,INDIRECT($B$5&amp;"生成成长"),4))/(VLOOKUP(DR$72,INDIRECT($C$5&amp;"生成成长"),5))*(VLOOKUP($B$5,标准坦克设计!$B$24:$U$30,MATCH("对"&amp;LEFT($C$5,2)&amp;"输出",标准坦克设计!$B$23:$U$23,0)))*(VLOOKUP($B191,INDIRECT($B$5&amp;"生成成长"),3))*(VLOOKUP($B$5,标准坦克设计!$B$14:$K$20,9)/30))</f>
        <v>9.8594770239162646</v>
      </c>
      <c r="DS191" s="173">
        <f ca="1">(VLOOKUP(DS$72,INDIRECT($C$5&amp;"生成成长"),2))/((VLOOKUP($B191,INDIRECT($B$5&amp;"生成成长"),4))/(VLOOKUP(DS$72,INDIRECT($C$5&amp;"生成成长"),5))*(VLOOKUP($B$5,标准坦克设计!$B$24:$U$30,MATCH("对"&amp;LEFT($C$5,2)&amp;"输出",标准坦克设计!$B$23:$U$23,0)))*(VLOOKUP($B191,INDIRECT($B$5&amp;"生成成长"),3))*(VLOOKUP($B$5,标准坦克设计!$B$14:$K$20,9)/30))</f>
        <v>10.678862729370209</v>
      </c>
      <c r="DT191" s="173">
        <f ca="1">(VLOOKUP(DT$72,INDIRECT($C$5&amp;"生成成长"),2))/((VLOOKUP($B191,INDIRECT($B$5&amp;"生成成长"),4))/(VLOOKUP(DT$72,INDIRECT($C$5&amp;"生成成长"),5))*(VLOOKUP($B$5,标准坦克设计!$B$24:$U$30,MATCH("对"&amp;LEFT($C$5,2)&amp;"输出",标准坦克设计!$B$23:$U$23,0)))*(VLOOKUP($B191,INDIRECT($B$5&amp;"生成成长"),3))*(VLOOKUP($B$5,标准坦克设计!$B$14:$K$20,9)/30))</f>
        <v>11.724745296494349</v>
      </c>
      <c r="DU191" s="173">
        <f ca="1">(VLOOKUP(DU$72,INDIRECT($C$5&amp;"生成成长"),2))/((VLOOKUP($B191,INDIRECT($B$5&amp;"生成成长"),4))/(VLOOKUP(DU$72,INDIRECT($C$5&amp;"生成成长"),5))*(VLOOKUP($B$5,标准坦克设计!$B$24:$U$30,MATCH("对"&amp;LEFT($C$5,2)&amp;"输出",标准坦克设计!$B$23:$U$23,0)))*(VLOOKUP($B191,INDIRECT($B$5&amp;"生成成长"),3))*(VLOOKUP($B$5,标准坦克设计!$B$14:$K$20,9)/30))</f>
        <v>12.819480127900299</v>
      </c>
      <c r="DV191" s="173">
        <f ca="1">(VLOOKUP(DV$72,INDIRECT($C$5&amp;"生成成长"),2))/((VLOOKUP($B191,INDIRECT($B$5&amp;"生成成长"),4))/(VLOOKUP(DV$72,INDIRECT($C$5&amp;"生成成长"),5))*(VLOOKUP($B$5,标准坦克设计!$B$24:$U$30,MATCH("对"&amp;LEFT($C$5,2)&amp;"输出",标准坦克设计!$B$23:$U$23,0)))*(VLOOKUP($B191,INDIRECT($B$5&amp;"生成成长"),3))*(VLOOKUP($B$5,标准坦克设计!$B$14:$K$20,9)/30))</f>
        <v>13.963067223588052</v>
      </c>
      <c r="DW191" s="173">
        <f ca="1">(VLOOKUP(DW$72,INDIRECT($C$5&amp;"生成成长"),2))/((VLOOKUP($B191,INDIRECT($B$5&amp;"生成成长"),4))/(VLOOKUP(DW$72,INDIRECT($C$5&amp;"生成成长"),5))*(VLOOKUP($B$5,标准坦克设计!$B$24:$U$30,MATCH("对"&amp;LEFT($C$5,2)&amp;"输出",标准坦克设计!$B$23:$U$23,0)))*(VLOOKUP($B191,INDIRECT($B$5&amp;"生成成长"),3))*(VLOOKUP($B$5,标准坦克设计!$B$14:$K$20,9)/30))</f>
        <v>15.155506583557614</v>
      </c>
      <c r="DX191" s="173">
        <f ca="1">(VLOOKUP(DX$72,INDIRECT($C$5&amp;"生成成长"),2))/((VLOOKUP($B191,INDIRECT($B$5&amp;"生成成长"),4))/(VLOOKUP(DX$72,INDIRECT($C$5&amp;"生成成长"),5))*(VLOOKUP($B$5,标准坦克设计!$B$24:$U$30,MATCH("对"&amp;LEFT($C$5,2)&amp;"输出",标准坦克设计!$B$23:$U$23,0)))*(VLOOKUP($B191,INDIRECT($B$5&amp;"生成成长"),3))*(VLOOKUP($B$5,标准坦克设计!$B$14:$K$20,9)/30))</f>
        <v>16.396798207808981</v>
      </c>
      <c r="DY191" s="173">
        <f ca="1">(VLOOKUP(DY$72,INDIRECT($C$5&amp;"生成成长"),2))/((VLOOKUP($B191,INDIRECT($B$5&amp;"生成成长"),4))/(VLOOKUP(DY$72,INDIRECT($C$5&amp;"生成成长"),5))*(VLOOKUP($B$5,标准坦克设计!$B$24:$U$30,MATCH("对"&amp;LEFT($C$5,2)&amp;"输出",标准坦克设计!$B$23:$U$23,0)))*(VLOOKUP($B191,INDIRECT($B$5&amp;"生成成长"),3))*(VLOOKUP($B$5,标准坦克设计!$B$14:$K$20,9)/30))</f>
        <v>7.3643779060520718</v>
      </c>
      <c r="DZ191" s="173">
        <f ca="1">(VLOOKUP(DZ$72,INDIRECT($C$5&amp;"生成成长"),2))/((VLOOKUP($B191,INDIRECT($B$5&amp;"生成成长"),4))/(VLOOKUP(DZ$72,INDIRECT($C$5&amp;"生成成长"),5))*(VLOOKUP($B$5,标准坦克设计!$B$24:$U$30,MATCH("对"&amp;LEFT($C$5,2)&amp;"输出",标准坦克设计!$B$23:$U$23,0)))*(VLOOKUP($B191,INDIRECT($B$5&amp;"生成成长"),3))*(VLOOKUP($B$5,标准坦克设计!$B$14:$K$20,9)/30))</f>
        <v>8.1557038398730768</v>
      </c>
      <c r="EA191" s="173">
        <f ca="1">(VLOOKUP(EA$72,INDIRECT($C$5&amp;"生成成长"),2))/((VLOOKUP($B191,INDIRECT($B$5&amp;"生成成长"),4))/(VLOOKUP(EA$72,INDIRECT($C$5&amp;"生成成长"),5))*(VLOOKUP($B$5,标准坦克设计!$B$24:$U$30,MATCH("对"&amp;LEFT($C$5,2)&amp;"输出",标准坦克设计!$B$23:$U$23,0)))*(VLOOKUP($B191,INDIRECT($B$5&amp;"生成成长"),3))*(VLOOKUP($B$5,标准坦克设计!$B$14:$K$20,9)/30))</f>
        <v>8.9874035458278083</v>
      </c>
      <c r="EB191" s="173">
        <f ca="1">(VLOOKUP(EB$72,INDIRECT($C$5&amp;"生成成长"),2))/((VLOOKUP($B191,INDIRECT($B$5&amp;"生成成长"),4))/(VLOOKUP(EB$72,INDIRECT($C$5&amp;"生成成长"),5))*(VLOOKUP($B$5,标准坦克设计!$B$24:$U$30,MATCH("对"&amp;LEFT($C$5,2)&amp;"输出",标准坦克设计!$B$23:$U$23,0)))*(VLOOKUP($B191,INDIRECT($B$5&amp;"生成成长"),3))*(VLOOKUP($B$5,标准坦克设计!$B$14:$K$20,9)/30))</f>
        <v>9.8594770239162646</v>
      </c>
      <c r="EC191" s="173">
        <f ca="1">(VLOOKUP(EC$72,INDIRECT($C$5&amp;"生成成长"),2))/((VLOOKUP($B191,INDIRECT($B$5&amp;"生成成长"),4))/(VLOOKUP(EC$72,INDIRECT($C$5&amp;"生成成长"),5))*(VLOOKUP($B$5,标准坦克设计!$B$24:$U$30,MATCH("对"&amp;LEFT($C$5,2)&amp;"输出",标准坦克设计!$B$23:$U$23,0)))*(VLOOKUP($B191,INDIRECT($B$5&amp;"生成成长"),3))*(VLOOKUP($B$5,标准坦克设计!$B$14:$K$20,9)/30))</f>
        <v>10.771924274138446</v>
      </c>
      <c r="ED191" s="173">
        <f ca="1">(VLOOKUP(ED$72,INDIRECT($C$5&amp;"生成成长"),2))/((VLOOKUP($B191,INDIRECT($B$5&amp;"生成成长"),4))/(VLOOKUP(ED$72,INDIRECT($C$5&amp;"生成成长"),5))*(VLOOKUP($B$5,标准坦克设计!$B$24:$U$30,MATCH("对"&amp;LEFT($C$5,2)&amp;"输出",标准坦克设计!$B$23:$U$23,0)))*(VLOOKUP($B191,INDIRECT($B$5&amp;"生成成长"),3))*(VLOOKUP($B$5,标准坦克设计!$B$14:$K$20,9)/30))</f>
        <v>11.724745296494349</v>
      </c>
      <c r="EE191" s="173">
        <f ca="1">(VLOOKUP(EE$72,INDIRECT($C$5&amp;"生成成长"),2))/((VLOOKUP($B191,INDIRECT($B$5&amp;"生成成长"),4))/(VLOOKUP(EE$72,INDIRECT($C$5&amp;"生成成长"),5))*(VLOOKUP($B$5,标准坦克设计!$B$24:$U$30,MATCH("对"&amp;LEFT($C$5,2)&amp;"输出",标准坦克设计!$B$23:$U$23,0)))*(VLOOKUP($B191,INDIRECT($B$5&amp;"生成成长"),3))*(VLOOKUP($B$5,标准坦克设计!$B$14:$K$20,9)/30))</f>
        <v>12.717940090983978</v>
      </c>
      <c r="EF191" s="173">
        <f ca="1">(VLOOKUP(EF$72,INDIRECT($C$5&amp;"生成成长"),2))/((VLOOKUP($B191,INDIRECT($B$5&amp;"生成成长"),4))/(VLOOKUP(EF$72,INDIRECT($C$5&amp;"生成成长"),5))*(VLOOKUP($B$5,标准坦克设计!$B$24:$U$30,MATCH("对"&amp;LEFT($C$5,2)&amp;"输出",标准坦克设计!$B$23:$U$23,0)))*(VLOOKUP($B191,INDIRECT($B$5&amp;"生成成长"),3))*(VLOOKUP($B$5,标准坦克设计!$B$14:$K$20,9)/30))</f>
        <v>13.751508657607335</v>
      </c>
      <c r="EG191" s="173">
        <f ca="1">(VLOOKUP(EG$72,INDIRECT($C$5&amp;"生成成长"),2))/((VLOOKUP($B191,INDIRECT($B$5&amp;"生成成长"),4))/(VLOOKUP(EG$72,INDIRECT($C$5&amp;"生成成长"),5))*(VLOOKUP($B$5,标准坦克设计!$B$24:$U$30,MATCH("对"&amp;LEFT($C$5,2)&amp;"输出",标准坦克设计!$B$23:$U$23,0)))*(VLOOKUP($B191,INDIRECT($B$5&amp;"生成成长"),3))*(VLOOKUP($B$5,标准坦克设计!$B$14:$K$20,9)/30))</f>
        <v>14.825450996364415</v>
      </c>
      <c r="EH191" s="173">
        <f ca="1">(VLOOKUP(EH$72,INDIRECT($C$5&amp;"生成成长"),2))/((VLOOKUP($B191,INDIRECT($B$5&amp;"生成成长"),4))/(VLOOKUP(EH$72,INDIRECT($C$5&amp;"生成成长"),5))*(VLOOKUP($B$5,标准坦克设计!$B$24:$U$30,MATCH("对"&amp;LEFT($C$5,2)&amp;"输出",标准坦克设计!$B$23:$U$23,0)))*(VLOOKUP($B191,INDIRECT($B$5&amp;"生成成长"),3))*(VLOOKUP($B$5,标准坦克设计!$B$14:$K$20,9)/30))</f>
        <v>15.93976710725522</v>
      </c>
      <c r="EI191" s="173">
        <f ca="1">(VLOOKUP(EI$72,INDIRECT($C$5&amp;"生成成长"),2))/((VLOOKUP($B191,INDIRECT($B$5&amp;"生成成长"),4))/(VLOOKUP(EI$72,INDIRECT($C$5&amp;"生成成长"),5))*(VLOOKUP($B$5,标准坦克设计!$B$24:$U$30,MATCH("对"&amp;LEFT($C$5,2)&amp;"输出",标准坦克设计!$B$23:$U$23,0)))*(VLOOKUP($B191,INDIRECT($B$5&amp;"生成成长"),3))*(VLOOKUP($B$5,标准坦克设计!$B$14:$K$20,9)/30))</f>
        <v>17.094456990279749</v>
      </c>
      <c r="EJ191" s="173">
        <f ca="1">(VLOOKUP(EJ$72,INDIRECT($C$5&amp;"生成成长"),2))/((VLOOKUP($B191,INDIRECT($B$5&amp;"生成成长"),4))/(VLOOKUP(EJ$72,INDIRECT($C$5&amp;"生成成长"),5))*(VLOOKUP($B$5,标准坦克设计!$B$24:$U$30,MATCH("对"&amp;LEFT($C$5,2)&amp;"输出",标准坦克设计!$B$23:$U$23,0)))*(VLOOKUP($B191,INDIRECT($B$5&amp;"生成成长"),3))*(VLOOKUP($B$5,标准坦克设计!$B$14:$K$20,9)/30))</f>
        <v>18.289520645438007</v>
      </c>
      <c r="EK191" s="173">
        <f ca="1">(VLOOKUP(EK$72,INDIRECT($C$5&amp;"生成成长"),2))/((VLOOKUP($B191,INDIRECT($B$5&amp;"生成成长"),4))/(VLOOKUP(EK$72,INDIRECT($C$5&amp;"生成成长"),5))*(VLOOKUP($B$5,标准坦克设计!$B$24:$U$30,MATCH("对"&amp;LEFT($C$5,2)&amp;"输出",标准坦克设计!$B$23:$U$23,0)))*(VLOOKUP($B191,INDIRECT($B$5&amp;"生成成长"),3))*(VLOOKUP($B$5,标准坦克设计!$B$14:$K$20,9)/30))</f>
        <v>19.776890410844423</v>
      </c>
      <c r="EL191" s="173">
        <f ca="1">(VLOOKUP(EL$72,INDIRECT($C$5&amp;"生成成长"),2))/((VLOOKUP($B191,INDIRECT($B$5&amp;"生成成长"),4))/(VLOOKUP(EL$72,INDIRECT($C$5&amp;"生成成长"),5))*(VLOOKUP($B$5,标准坦克设计!$B$24:$U$30,MATCH("对"&amp;LEFT($C$5,2)&amp;"输出",标准坦克设计!$B$23:$U$23,0)))*(VLOOKUP($B191,INDIRECT($B$5&amp;"生成成长"),3))*(VLOOKUP($B$5,标准坦克设计!$B$14:$K$20,9)/30))</f>
        <v>21.322398408123409</v>
      </c>
      <c r="EM191" s="173">
        <f ca="1">(VLOOKUP(EM$72,INDIRECT($C$5&amp;"生成成长"),2))/((VLOOKUP($B191,INDIRECT($B$5&amp;"生成成长"),4))/(VLOOKUP(EM$72,INDIRECT($C$5&amp;"生成成长"),5))*(VLOOKUP($B$5,标准坦克设计!$B$24:$U$30,MATCH("对"&amp;LEFT($C$5,2)&amp;"输出",标准坦克设计!$B$23:$U$23,0)))*(VLOOKUP($B191,INDIRECT($B$5&amp;"生成成长"),3))*(VLOOKUP($B$5,标准坦克设计!$B$14:$K$20,9)/30))</f>
        <v>22.926044637274956</v>
      </c>
      <c r="EN191" s="173">
        <f ca="1">(VLOOKUP(EN$72,INDIRECT($C$5&amp;"生成成长"),2))/((VLOOKUP($B191,INDIRECT($B$5&amp;"生成成长"),4))/(VLOOKUP(EN$72,INDIRECT($C$5&amp;"生成成长"),5))*(VLOOKUP($B$5,标准坦克设计!$B$24:$U$30,MATCH("对"&amp;LEFT($C$5,2)&amp;"输出",标准坦克设计!$B$23:$U$23,0)))*(VLOOKUP($B191,INDIRECT($B$5&amp;"生成成长"),3))*(VLOOKUP($B$5,标准坦克设计!$B$14:$K$20,9)/30))</f>
        <v>24.587829098299075</v>
      </c>
      <c r="EO191" s="173">
        <f ca="1">(VLOOKUP(EO$72,INDIRECT($C$5&amp;"生成成长"),2))/((VLOOKUP($B191,INDIRECT($B$5&amp;"生成成长"),4))/(VLOOKUP(EO$72,INDIRECT($C$5&amp;"生成成长"),5))*(VLOOKUP($B$5,标准坦克设计!$B$24:$U$30,MATCH("对"&amp;LEFT($C$5,2)&amp;"输出",标准坦克设计!$B$23:$U$23,0)))*(VLOOKUP($B191,INDIRECT($B$5&amp;"生成成长"),3))*(VLOOKUP($B$5,标准坦克设计!$B$14:$K$20,9)/30))</f>
        <v>26.307751791195745</v>
      </c>
      <c r="EP191" s="173">
        <f ca="1">(VLOOKUP(EP$72,INDIRECT($C$5&amp;"生成成长"),2))/((VLOOKUP($B191,INDIRECT($B$5&amp;"生成成长"),4))/(VLOOKUP(EP$72,INDIRECT($C$5&amp;"生成成长"),5))*(VLOOKUP($B$5,标准坦克设计!$B$24:$U$30,MATCH("对"&amp;LEFT($C$5,2)&amp;"输出",标准坦克设计!$B$23:$U$23,0)))*(VLOOKUP($B191,INDIRECT($B$5&amp;"生成成长"),3))*(VLOOKUP($B$5,标准坦克设计!$B$14:$K$20,9)/30))</f>
        <v>28.085812715964984</v>
      </c>
      <c r="EQ191" s="173">
        <f ca="1">(VLOOKUP(EQ$72,INDIRECT($C$5&amp;"生成成长"),2))/((VLOOKUP($B191,INDIRECT($B$5&amp;"生成成长"),4))/(VLOOKUP(EQ$72,INDIRECT($C$5&amp;"生成成长"),5))*(VLOOKUP($B$5,标准坦克设计!$B$24:$U$30,MATCH("对"&amp;LEFT($C$5,2)&amp;"输出",标准坦克设计!$B$23:$U$23,0)))*(VLOOKUP($B191,INDIRECT($B$5&amp;"生成成长"),3))*(VLOOKUP($B$5,标准坦克设计!$B$14:$K$20,9)/30))</f>
        <v>12.415742406563048</v>
      </c>
      <c r="ER191" s="173">
        <f ca="1">(VLOOKUP(ER$72,INDIRECT($C$5&amp;"生成成长"),2))/((VLOOKUP($B191,INDIRECT($B$5&amp;"生成成长"),4))/(VLOOKUP(ER$72,INDIRECT($C$5&amp;"生成成长"),5))*(VLOOKUP($B$5,标准坦克设计!$B$24:$U$30,MATCH("对"&amp;LEFT($C$5,2)&amp;"输出",标准坦克设计!$B$23:$U$23,0)))*(VLOOKUP($B191,INDIRECT($B$5&amp;"生成成长"),3))*(VLOOKUP($B$5,标准坦克设计!$B$14:$K$20,9)/30))</f>
        <v>13.541565042511966</v>
      </c>
      <c r="ES191" s="173">
        <f ca="1">(VLOOKUP(ES$72,INDIRECT($C$5&amp;"生成成长"),2))/((VLOOKUP($B191,INDIRECT($B$5&amp;"生成成长"),4))/(VLOOKUP(ES$72,INDIRECT($C$5&amp;"生成成长"),5))*(VLOOKUP($B$5,标准坦克设计!$B$24:$U$30,MATCH("对"&amp;LEFT($C$5,2)&amp;"输出",标准坦克设计!$B$23:$U$23,0)))*(VLOOKUP($B191,INDIRECT($B$5&amp;"生成成长"),3))*(VLOOKUP($B$5,标准坦克设计!$B$14:$K$20,9)/30))</f>
        <v>14.716239942742689</v>
      </c>
      <c r="ET191" s="173">
        <f ca="1">(VLOOKUP(ET$72,INDIRECT($C$5&amp;"生成成长"),2))/((VLOOKUP($B191,INDIRECT($B$5&amp;"生成成长"),4))/(VLOOKUP(ET$72,INDIRECT($C$5&amp;"生成成长"),5))*(VLOOKUP($B$5,标准坦克设计!$B$24:$U$30,MATCH("对"&amp;LEFT($C$5,2)&amp;"输出",标准坦克设计!$B$23:$U$23,0)))*(VLOOKUP($B191,INDIRECT($B$5&amp;"生成成长"),3))*(VLOOKUP($B$5,标准坦克设计!$B$14:$K$20,9)/30))</f>
        <v>15.93976710725522</v>
      </c>
      <c r="EU191" s="173">
        <f ca="1">(VLOOKUP(EU$72,INDIRECT($C$5&amp;"生成成长"),2))/((VLOOKUP($B191,INDIRECT($B$5&amp;"生成成长"),4))/(VLOOKUP(EU$72,INDIRECT($C$5&amp;"生成成长"),5))*(VLOOKUP($B$5,标准坦克设计!$B$24:$U$30,MATCH("对"&amp;LEFT($C$5,2)&amp;"输出",标准坦克设计!$B$23:$U$23,0)))*(VLOOKUP($B191,INDIRECT($B$5&amp;"生成成长"),3))*(VLOOKUP($B$5,标准坦克设计!$B$14:$K$20,9)/30))</f>
        <v>17.212146536049552</v>
      </c>
      <c r="EV191" s="173">
        <f ca="1">(VLOOKUP(EV$72,INDIRECT($C$5&amp;"生成成长"),2))/((VLOOKUP($B191,INDIRECT($B$5&amp;"生成成长"),4))/(VLOOKUP(EV$72,INDIRECT($C$5&amp;"生成成长"),5))*(VLOOKUP($B$5,标准坦克设计!$B$24:$U$30,MATCH("对"&amp;LEFT($C$5,2)&amp;"输出",标准坦克设计!$B$23:$U$23,0)))*(VLOOKUP($B191,INDIRECT($B$5&amp;"生成成长"),3))*(VLOOKUP($B$5,标准坦克设计!$B$14:$K$20,9)/30))</f>
        <v>18.533378229125699</v>
      </c>
      <c r="EW191" s="173">
        <f ca="1">(VLOOKUP(EW$72,INDIRECT($C$5&amp;"生成成长"),2))/((VLOOKUP($B191,INDIRECT($B$5&amp;"生成成长"),4))/(VLOOKUP(EW$72,INDIRECT($C$5&amp;"生成成长"),5))*(VLOOKUP($B$5,标准坦克设计!$B$24:$U$30,MATCH("对"&amp;LEFT($C$5,2)&amp;"输出",标准坦克设计!$B$23:$U$23,0)))*(VLOOKUP($B191,INDIRECT($B$5&amp;"生成成长"),3))*(VLOOKUP($B$5,标准坦克设计!$B$14:$K$20,9)/30))</f>
        <v>19.903462186483651</v>
      </c>
      <c r="EX191" s="173">
        <f ca="1">(VLOOKUP(EX$72,INDIRECT($C$5&amp;"生成成长"),2))/((VLOOKUP($B191,INDIRECT($B$5&amp;"生成成长"),4))/(VLOOKUP(EX$72,INDIRECT($C$5&amp;"生成成长"),5))*(VLOOKUP($B$5,标准坦克设计!$B$24:$U$30,MATCH("对"&amp;LEFT($C$5,2)&amp;"输出",标准坦克设计!$B$23:$U$23,0)))*(VLOOKUP($B191,INDIRECT($B$5&amp;"生成成长"),3))*(VLOOKUP($B$5,标准坦克设计!$B$14:$K$20,9)/30))</f>
        <v>21.322398408123409</v>
      </c>
      <c r="EY191" s="173">
        <f ca="1">(VLOOKUP(EY$72,INDIRECT($C$5&amp;"生成成长"),2))/((VLOOKUP($B191,INDIRECT($B$5&amp;"生成成长"),4))/(VLOOKUP(EY$72,INDIRECT($C$5&amp;"生成成长"),5))*(VLOOKUP($B$5,标准坦克设计!$B$24:$U$30,MATCH("对"&amp;LEFT($C$5,2)&amp;"输出",标准坦克设计!$B$23:$U$23,0)))*(VLOOKUP($B191,INDIRECT($B$5&amp;"生成成长"),3))*(VLOOKUP($B$5,标准坦克设计!$B$14:$K$20,9)/30))</f>
        <v>22.790186894044979</v>
      </c>
      <c r="EZ191" s="173">
        <f ca="1">(VLOOKUP(EZ$72,INDIRECT($C$5&amp;"生成成长"),2))/((VLOOKUP($B191,INDIRECT($B$5&amp;"生成成长"),4))/(VLOOKUP(EZ$72,INDIRECT($C$5&amp;"生成成长"),5))*(VLOOKUP($B$5,标准坦克设计!$B$24:$U$30,MATCH("对"&amp;LEFT($C$5,2)&amp;"输出",标准坦克设计!$B$23:$U$23,0)))*(VLOOKUP($B191,INDIRECT($B$5&amp;"生成成长"),3))*(VLOOKUP($B$5,标准坦克设计!$B$14:$K$20,9)/30))</f>
        <v>24.306827644248351</v>
      </c>
      <c r="FA191" s="173">
        <f ca="1">(VLOOKUP(FA$72,INDIRECT($C$5&amp;"生成成长"),2))/((VLOOKUP($B191,INDIRECT($B$5&amp;"生成成长"),4))/(VLOOKUP(FA$72,INDIRECT($C$5&amp;"生成成长"),5))*(VLOOKUP($B$5,标准坦克设计!$B$24:$U$30,MATCH("对"&amp;LEFT($C$5,2)&amp;"输出",标准坦克设计!$B$23:$U$23,0)))*(VLOOKUP($B191,INDIRECT($B$5&amp;"生成成长"),3))*(VLOOKUP($B$5,标准坦克设计!$B$14:$K$20,9)/30))</f>
        <v>25.872320658733521</v>
      </c>
      <c r="FB191" s="173">
        <f ca="1">(VLOOKUP(FB$72,INDIRECT($C$5&amp;"生成成长"),2))/((VLOOKUP($B191,INDIRECT($B$5&amp;"生成成长"),4))/(VLOOKUP(FB$72,INDIRECT($C$5&amp;"生成成长"),5))*(VLOOKUP($B$5,标准坦克设计!$B$24:$U$30,MATCH("对"&amp;LEFT($C$5,2)&amp;"输出",标准坦克设计!$B$23:$U$23,0)))*(VLOOKUP($B191,INDIRECT($B$5&amp;"生成成长"),3))*(VLOOKUP($B$5,标准坦克设计!$B$14:$K$20,9)/30))</f>
        <v>27.486665937500508</v>
      </c>
      <c r="FC191" s="173">
        <f ca="1">(VLOOKUP(FC$72,INDIRECT($C$5&amp;"生成成长"),2))/((VLOOKUP($B191,INDIRECT($B$5&amp;"生成成长"),4))/(VLOOKUP(FC$72,INDIRECT($C$5&amp;"生成成长"),5))*(VLOOKUP($B$5,标准坦克设计!$B$24:$U$30,MATCH("对"&amp;LEFT($C$5,2)&amp;"输出",标准坦克设计!$B$23:$U$23,0)))*(VLOOKUP($B191,INDIRECT($B$5&amp;"生成成长"),3))*(VLOOKUP($B$5,标准坦克设计!$B$14:$K$20,9)/30))</f>
        <v>29.149863480549303</v>
      </c>
      <c r="FD191" s="173">
        <f ca="1">(VLOOKUP(FD$72,INDIRECT($C$5&amp;"生成成长"),2))/((VLOOKUP($B191,INDIRECT($B$5&amp;"生成成长"),4))/(VLOOKUP(FD$72,INDIRECT($C$5&amp;"生成成长"),5))*(VLOOKUP($B$5,标准坦克设计!$B$24:$U$30,MATCH("对"&amp;LEFT($C$5,2)&amp;"输出",标准坦克设计!$B$23:$U$23,0)))*(VLOOKUP($B191,INDIRECT($B$5&amp;"生成成长"),3))*(VLOOKUP($B$5,标准坦克设计!$B$14:$K$20,9)/30))</f>
        <v>30.861913287879904</v>
      </c>
      <c r="FE191" s="173">
        <f ca="1">(VLOOKUP(FE$72,INDIRECT($C$5&amp;"生成成长"),2))/((VLOOKUP($B191,INDIRECT($B$5&amp;"生成成长"),4))/(VLOOKUP(FE$72,INDIRECT($C$5&amp;"生成成长"),5))*(VLOOKUP($B$5,标准坦克设计!$B$24:$U$30,MATCH("对"&amp;LEFT($C$5,2)&amp;"输出",标准坦克设计!$B$23:$U$23,0)))*(VLOOKUP($B191,INDIRECT($B$5&amp;"生成成长"),3))*(VLOOKUP($B$5,标准坦克设计!$B$14:$K$20,9)/30))</f>
        <v>32.94822796289013</v>
      </c>
      <c r="FF191" s="173">
        <f ca="1">(VLOOKUP(FF$72,INDIRECT($C$5&amp;"生成成长"),2))/((VLOOKUP($B191,INDIRECT($B$5&amp;"生成成长"),4))/(VLOOKUP(FF$72,INDIRECT($C$5&amp;"生成成长"),5))*(VLOOKUP($B$5,标准坦克设计!$B$24:$U$30,MATCH("对"&amp;LEFT($C$5,2)&amp;"输出",标准坦克设计!$B$23:$U$23,0)))*(VLOOKUP($B191,INDIRECT($B$5&amp;"生成成长"),3))*(VLOOKUP($B$5,标准坦克设计!$B$14:$K$20,9)/30))</f>
        <v>35.102774312806361</v>
      </c>
      <c r="FG191" s="173">
        <f ca="1">(VLOOKUP(FG$72,INDIRECT($C$5&amp;"生成成长"),2))/((VLOOKUP($B191,INDIRECT($B$5&amp;"生成成长"),4))/(VLOOKUP(FG$72,INDIRECT($C$5&amp;"生成成长"),5))*(VLOOKUP($B$5,标准坦克设计!$B$24:$U$30,MATCH("对"&amp;LEFT($C$5,2)&amp;"输出",标准坦克设计!$B$23:$U$23,0)))*(VLOOKUP($B191,INDIRECT($B$5&amp;"生成成长"),3))*(VLOOKUP($B$5,标准坦克设计!$B$14:$K$20,9)/30))</f>
        <v>37.325552337628572</v>
      </c>
      <c r="FH191" s="173">
        <f ca="1">(VLOOKUP(FH$72,INDIRECT($C$5&amp;"生成成长"),2))/((VLOOKUP($B191,INDIRECT($B$5&amp;"生成成长"),4))/(VLOOKUP(FH$72,INDIRECT($C$5&amp;"生成成长"),5))*(VLOOKUP($B$5,标准坦克设计!$B$24:$U$30,MATCH("对"&amp;LEFT($C$5,2)&amp;"输出",标准坦克设计!$B$23:$U$23,0)))*(VLOOKUP($B191,INDIRECT($B$5&amp;"生成成长"),3))*(VLOOKUP($B$5,标准坦克设计!$B$14:$K$20,9)/30))</f>
        <v>39.616562037356793</v>
      </c>
      <c r="FI191" s="173">
        <f ca="1">(VLOOKUP(FI$72,INDIRECT($C$5&amp;"生成成长"),2))/((VLOOKUP($B191,INDIRECT($B$5&amp;"生成成长"),4))/(VLOOKUP(FI$72,INDIRECT($C$5&amp;"生成成长"),5))*(VLOOKUP($B$5,标准坦克设计!$B$24:$U$30,MATCH("对"&amp;LEFT($C$5,2)&amp;"输出",标准坦克设计!$B$23:$U$23,0)))*(VLOOKUP($B191,INDIRECT($B$5&amp;"生成成长"),3))*(VLOOKUP($B$5,标准坦克设计!$B$14:$K$20,9)/30))</f>
        <v>41.975803411990995</v>
      </c>
      <c r="FJ191" s="173">
        <f ca="1">(VLOOKUP(FJ$72,INDIRECT($C$5&amp;"生成成长"),2))/((VLOOKUP($B191,INDIRECT($B$5&amp;"生成成长"),4))/(VLOOKUP(FJ$72,INDIRECT($C$5&amp;"生成成长"),5))*(VLOOKUP($B$5,标准坦克设计!$B$24:$U$30,MATCH("对"&amp;LEFT($C$5,2)&amp;"输出",标准坦克设计!$B$23:$U$23,0)))*(VLOOKUP($B191,INDIRECT($B$5&amp;"生成成长"),3))*(VLOOKUP($B$5,标准坦克设计!$B$14:$K$20,9)/30))</f>
        <v>44.403276461531199</v>
      </c>
      <c r="FK191" s="173">
        <f ca="1">(VLOOKUP(FK$72,INDIRECT($C$5&amp;"生成成长"),2))/((VLOOKUP($B191,INDIRECT($B$5&amp;"生成成长"),4))/(VLOOKUP(FK$72,INDIRECT($C$5&amp;"生成成长"),5))*(VLOOKUP($B$5,标准坦克设计!$B$24:$U$30,MATCH("对"&amp;LEFT($C$5,2)&amp;"输出",标准坦克设计!$B$23:$U$23,0)))*(VLOOKUP($B191,INDIRECT($B$5&amp;"生成成长"),3))*(VLOOKUP($B$5,标准坦克设计!$B$14:$K$20,9)/30))</f>
        <v>46.898981185977398</v>
      </c>
    </row>
    <row r="192" spans="1:167" x14ac:dyDescent="0.15">
      <c r="A192" s="171" t="str">
        <f t="shared" si="12"/>
        <v>T3高品质9级</v>
      </c>
      <c r="B192" s="172">
        <v>30309</v>
      </c>
      <c r="C192" s="173">
        <f ca="1">(VLOOKUP(C$72,INDIRECT($C$5&amp;"生成成长"),2))/((VLOOKUP($B192,INDIRECT($B$5&amp;"生成成长"),4))/(VLOOKUP(C$72,INDIRECT($C$5&amp;"生成成长"),5))*(VLOOKUP($B$5,标准坦克设计!$B$24:$U$30,MATCH("对"&amp;LEFT($C$5,2)&amp;"输出",标准坦克设计!$B$23:$U$23,0)))*(VLOOKUP($B192,INDIRECT($B$5&amp;"生成成长"),3))*(VLOOKUP($B$5,标准坦克设计!$B$14:$K$20,9)/30))</f>
        <v>1.859460494661523</v>
      </c>
      <c r="D192" s="173">
        <f ca="1">(VLOOKUP(D$72,INDIRECT($C$5&amp;"生成成长"),2))/((VLOOKUP($B192,INDIRECT($B$5&amp;"生成成长"),4))/(VLOOKUP(D$72,INDIRECT($C$5&amp;"生成成长"),5))*(VLOOKUP($B$5,标准坦克设计!$B$24:$U$30,MATCH("对"&amp;LEFT($C$5,2)&amp;"输出",标准坦克设计!$B$23:$U$23,0)))*(VLOOKUP($B192,INDIRECT($B$5&amp;"生成成长"),3))*(VLOOKUP($B$5,标准坦克设计!$B$14:$K$20,9)/30))</f>
        <v>2.0892898118016872</v>
      </c>
      <c r="E192" s="173">
        <f ca="1">(VLOOKUP(E$72,INDIRECT($C$5&amp;"生成成长"),2))/((VLOOKUP($B192,INDIRECT($B$5&amp;"生成成长"),4))/(VLOOKUP(E$72,INDIRECT($C$5&amp;"生成成长"),5))*(VLOOKUP($B$5,标准坦克设计!$B$24:$U$30,MATCH("对"&amp;LEFT($C$5,2)&amp;"输出",标准坦克设计!$B$23:$U$23,0)))*(VLOOKUP($B192,INDIRECT($B$5&amp;"生成成长"),3))*(VLOOKUP($B$5,标准坦克设计!$B$14:$K$20,9)/30))</f>
        <v>2.3325072445034145</v>
      </c>
      <c r="F192" s="173">
        <f ca="1">(VLOOKUP(F$72,INDIRECT($C$5&amp;"生成成长"),2))/((VLOOKUP($B192,INDIRECT($B$5&amp;"生成成长"),4))/(VLOOKUP(F$72,INDIRECT($C$5&amp;"生成成长"),5))*(VLOOKUP($B$5,标准坦克设计!$B$24:$U$30,MATCH("对"&amp;LEFT($C$5,2)&amp;"输出",标准坦克设计!$B$23:$U$23,0)))*(VLOOKUP($B192,INDIRECT($B$5&amp;"生成成长"),3))*(VLOOKUP($B$5,标准坦克设计!$B$14:$K$20,9)/30))</f>
        <v>2.5891127927667048</v>
      </c>
      <c r="G192" s="173">
        <f ca="1">(VLOOKUP(G$72,INDIRECT($C$5&amp;"生成成长"),2))/((VLOOKUP($B192,INDIRECT($B$5&amp;"生成成长"),4))/(VLOOKUP(G$72,INDIRECT($C$5&amp;"生成成长"),5))*(VLOOKUP($B$5,标准坦克设计!$B$24:$U$30,MATCH("对"&amp;LEFT($C$5,2)&amp;"输出",标准坦克设计!$B$23:$U$23,0)))*(VLOOKUP($B192,INDIRECT($B$5&amp;"生成成长"),3))*(VLOOKUP($B$5,标准坦克设计!$B$14:$K$20,9)/30))</f>
        <v>2.8591064565915576</v>
      </c>
      <c r="H192" s="173">
        <f ca="1">(VLOOKUP(H$72,INDIRECT($C$5&amp;"生成成长"),2))/((VLOOKUP($B192,INDIRECT($B$5&amp;"生成成长"),4))/(VLOOKUP(H$72,INDIRECT($C$5&amp;"生成成长"),5))*(VLOOKUP($B$5,标准坦克设计!$B$24:$U$30,MATCH("对"&amp;LEFT($C$5,2)&amp;"输出",标准坦克设计!$B$23:$U$23,0)))*(VLOOKUP($B192,INDIRECT($B$5&amp;"生成成长"),3))*(VLOOKUP($B$5,标准坦克设计!$B$14:$K$20,9)/30))</f>
        <v>2.5020900416165452</v>
      </c>
      <c r="I192" s="173">
        <f ca="1">(VLOOKUP(I$72,INDIRECT($C$5&amp;"生成成长"),2))/((VLOOKUP($B192,INDIRECT($B$5&amp;"生成成长"),4))/(VLOOKUP(I$72,INDIRECT($C$5&amp;"生成成长"),5))*(VLOOKUP($B$5,标准坦克设计!$B$24:$U$30,MATCH("对"&amp;LEFT($C$5,2)&amp;"输出",标准坦克设计!$B$23:$U$23,0)))*(VLOOKUP($B192,INDIRECT($B$5&amp;"生成成长"),3))*(VLOOKUP($B$5,标准坦克设计!$B$14:$K$20,9)/30))</f>
        <v>2.8591064565915576</v>
      </c>
      <c r="J192" s="173">
        <f ca="1">(VLOOKUP(J$72,INDIRECT($C$5&amp;"生成成长"),2))/((VLOOKUP($B192,INDIRECT($B$5&amp;"生成成长"),4))/(VLOOKUP(J$72,INDIRECT($C$5&amp;"生成成长"),5))*(VLOOKUP($B$5,标准坦克设计!$B$24:$U$30,MATCH("对"&amp;LEFT($C$5,2)&amp;"输出",标准坦克设计!$B$23:$U$23,0)))*(VLOOKUP($B192,INDIRECT($B$5&amp;"生成成长"),3))*(VLOOKUP($B$5,标准坦克设计!$B$14:$K$20,9)/30))</f>
        <v>3.2399239658982375</v>
      </c>
      <c r="K192" s="173">
        <f ca="1">(VLOOKUP(K$72,INDIRECT($C$5&amp;"生成成长"),2))/((VLOOKUP($B192,INDIRECT($B$5&amp;"生成成长"),4))/(VLOOKUP(K$72,INDIRECT($C$5&amp;"生成成长"),5))*(VLOOKUP($B$5,标准坦克设计!$B$24:$U$30,MATCH("对"&amp;LEFT($C$5,2)&amp;"输出",标准坦克设计!$B$23:$U$23,0)))*(VLOOKUP($B192,INDIRECT($B$5&amp;"生成成长"),3))*(VLOOKUP($B$5,标准坦克设计!$B$14:$K$20,9)/30))</f>
        <v>3.644542569536585</v>
      </c>
      <c r="L192" s="173">
        <f ca="1">(VLOOKUP(L$72,INDIRECT($C$5&amp;"生成成长"),2))/((VLOOKUP($B192,INDIRECT($B$5&amp;"生成成长"),4))/(VLOOKUP(L$72,INDIRECT($C$5&amp;"生成成长"),5))*(VLOOKUP($B$5,标准坦克设计!$B$24:$U$30,MATCH("对"&amp;LEFT($C$5,2)&amp;"输出",标准坦克设计!$B$23:$U$23,0)))*(VLOOKUP($B192,INDIRECT($B$5&amp;"生成成长"),3))*(VLOOKUP($B$5,标准坦克设计!$B$14:$K$20,9)/30))</f>
        <v>4.0729622675066004</v>
      </c>
      <c r="M192" s="173">
        <f ca="1">(VLOOKUP(M$72,INDIRECT($C$5&amp;"生成成长"),2))/((VLOOKUP($B192,INDIRECT($B$5&amp;"生成成长"),4))/(VLOOKUP(M$72,INDIRECT($C$5&amp;"生成成长"),5))*(VLOOKUP($B$5,标准坦克设计!$B$24:$U$30,MATCH("对"&amp;LEFT($C$5,2)&amp;"输出",标准坦克设计!$B$23:$U$23,0)))*(VLOOKUP($B192,INDIRECT($B$5&amp;"生成成长"),3))*(VLOOKUP($B$5,标准坦克设计!$B$14:$K$20,9)/30))</f>
        <v>4.5251830598082829</v>
      </c>
      <c r="N192" s="173">
        <f ca="1">(VLOOKUP(N$72,INDIRECT($C$5&amp;"生成成长"),2))/((VLOOKUP($B192,INDIRECT($B$5&amp;"生成成长"),4))/(VLOOKUP(N$72,INDIRECT($C$5&amp;"生成成长"),5))*(VLOOKUP($B$5,标准坦克设计!$B$24:$U$30,MATCH("对"&amp;LEFT($C$5,2)&amp;"输出",标准坦克设计!$B$23:$U$23,0)))*(VLOOKUP($B192,INDIRECT($B$5&amp;"生成成长"),3))*(VLOOKUP($B$5,标准坦克设计!$B$14:$K$20,9)/30))</f>
        <v>5.0012049464416322</v>
      </c>
      <c r="O192" s="173">
        <f ca="1">(VLOOKUP(O$72,INDIRECT($C$5&amp;"生成成长"),2))/((VLOOKUP($B192,INDIRECT($B$5&amp;"生成成长"),4))/(VLOOKUP(O$72,INDIRECT($C$5&amp;"生成成长"),5))*(VLOOKUP($B$5,标准坦克设计!$B$24:$U$30,MATCH("对"&amp;LEFT($C$5,2)&amp;"输出",标准坦克设计!$B$23:$U$23,0)))*(VLOOKUP($B192,INDIRECT($B$5&amp;"生成成长"),3))*(VLOOKUP($B$5,标准坦克设计!$B$14:$K$20,9)/30))</f>
        <v>3.8024107655333492</v>
      </c>
      <c r="P192" s="173">
        <f ca="1">(VLOOKUP(P$72,INDIRECT($C$5&amp;"生成成长"),2))/((VLOOKUP($B192,INDIRECT($B$5&amp;"生成成长"),4))/(VLOOKUP(P$72,INDIRECT($C$5&amp;"生成成长"),5))*(VLOOKUP($B$5,标准坦克设计!$B$24:$U$30,MATCH("对"&amp;LEFT($C$5,2)&amp;"输出",标准坦克设计!$B$23:$U$23,0)))*(VLOOKUP($B192,INDIRECT($B$5&amp;"生成成长"),3))*(VLOOKUP($B$5,标准坦克设计!$B$14:$K$20,9)/30))</f>
        <v>4.2960975268659825</v>
      </c>
      <c r="Q192" s="173">
        <f ca="1">(VLOOKUP(Q$72,INDIRECT($C$5&amp;"生成成长"),2))/((VLOOKUP($B192,INDIRECT($B$5&amp;"生成成长"),4))/(VLOOKUP(Q$72,INDIRECT($C$5&amp;"生成成长"),5))*(VLOOKUP($B$5,标准坦克设计!$B$24:$U$30,MATCH("对"&amp;LEFT($C$5,2)&amp;"输出",标准坦克设计!$B$23:$U$23,0)))*(VLOOKUP($B192,INDIRECT($B$5&amp;"生成成长"),3))*(VLOOKUP($B$5,标准坦克设计!$B$14:$K$20,9)/30))</f>
        <v>4.8199075482121341</v>
      </c>
      <c r="R192" s="173">
        <f ca="1">(VLOOKUP(R$72,INDIRECT($C$5&amp;"生成成长"),2))/((VLOOKUP($B192,INDIRECT($B$5&amp;"生成成长"),4))/(VLOOKUP(R$72,INDIRECT($C$5&amp;"生成成长"),5))*(VLOOKUP($B$5,标准坦克设计!$B$24:$U$30,MATCH("对"&amp;LEFT($C$5,2)&amp;"输出",标准坦克设计!$B$23:$U$23,0)))*(VLOOKUP($B192,INDIRECT($B$5&amp;"生成成长"),3))*(VLOOKUP($B$5,标准坦克设计!$B$14:$K$20,9)/30))</f>
        <v>5.373840829571801</v>
      </c>
      <c r="S192" s="173">
        <f ca="1">(VLOOKUP(S$72,INDIRECT($C$5&amp;"生成成长"),2))/((VLOOKUP($B192,INDIRECT($B$5&amp;"生成成长"),4))/(VLOOKUP(S$72,INDIRECT($C$5&amp;"生成成长"),5))*(VLOOKUP($B$5,标准坦克设计!$B$24:$U$30,MATCH("对"&amp;LEFT($C$5,2)&amp;"输出",标准坦克设计!$B$23:$U$23,0)))*(VLOOKUP($B192,INDIRECT($B$5&amp;"生成成长"),3))*(VLOOKUP($B$5,标准坦克设计!$B$14:$K$20,9)/30))</f>
        <v>5.9578973709449867</v>
      </c>
      <c r="T192" s="173">
        <f ca="1">(VLOOKUP(T$72,INDIRECT($C$5&amp;"生成成长"),2))/((VLOOKUP($B192,INDIRECT($B$5&amp;"生成成长"),4))/(VLOOKUP(T$72,INDIRECT($C$5&amp;"生成成长"),5))*(VLOOKUP($B$5,标准坦克设计!$B$24:$U$30,MATCH("对"&amp;LEFT($C$5,2)&amp;"输出",标准坦克设计!$B$23:$U$23,0)))*(VLOOKUP($B192,INDIRECT($B$5&amp;"生成成长"),3))*(VLOOKUP($B$5,标准坦克设计!$B$14:$K$20,9)/30))</f>
        <v>6.5720771723316869</v>
      </c>
      <c r="U192" s="173">
        <f ca="1">(VLOOKUP(U$72,INDIRECT($C$5&amp;"生成成长"),2))/((VLOOKUP($B192,INDIRECT($B$5&amp;"生成成长"),4))/(VLOOKUP(U$72,INDIRECT($C$5&amp;"生成成长"),5))*(VLOOKUP($B$5,标准坦克设计!$B$24:$U$30,MATCH("对"&amp;LEFT($C$5,2)&amp;"输出",标准坦克设计!$B$23:$U$23,0)))*(VLOOKUP($B192,INDIRECT($B$5&amp;"生成成长"),3))*(VLOOKUP($B$5,标准坦克设计!$B$14:$K$20,9)/30))</f>
        <v>7.2163802337319058</v>
      </c>
      <c r="V192" s="173">
        <f ca="1">(VLOOKUP(V$72,INDIRECT($C$5&amp;"生成成长"),2))/((VLOOKUP($B192,INDIRECT($B$5&amp;"生成成长"),4))/(VLOOKUP(V$72,INDIRECT($C$5&amp;"生成成长"),5))*(VLOOKUP($B$5,标准坦克设计!$B$24:$U$30,MATCH("对"&amp;LEFT($C$5,2)&amp;"输出",标准坦克设计!$B$23:$U$23,0)))*(VLOOKUP($B192,INDIRECT($B$5&amp;"生成成长"),3))*(VLOOKUP($B$5,标准坦克设计!$B$14:$K$20,9)/30))</f>
        <v>7.8908065551456392</v>
      </c>
      <c r="W192" s="173">
        <f ca="1">(VLOOKUP(W$72,INDIRECT($C$5&amp;"生成成长"),2))/((VLOOKUP($B192,INDIRECT($B$5&amp;"生成成长"),4))/(VLOOKUP(W$72,INDIRECT($C$5&amp;"生成成长"),5))*(VLOOKUP($B$5,标准坦克设计!$B$24:$U$30,MATCH("对"&amp;LEFT($C$5,2)&amp;"输出",标准坦克设计!$B$23:$U$23,0)))*(VLOOKUP($B192,INDIRECT($B$5&amp;"生成成长"),3))*(VLOOKUP($B$5,标准坦克设计!$B$14:$K$20,9)/30))</f>
        <v>8.5953561365728905</v>
      </c>
      <c r="X192" s="173">
        <f ca="1">(VLOOKUP(X$72,INDIRECT($C$5&amp;"生成成长"),2))/((VLOOKUP($B192,INDIRECT($B$5&amp;"生成成长"),4))/(VLOOKUP(X$72,INDIRECT($C$5&amp;"生成成长"),5))*(VLOOKUP($B$5,标准坦克设计!$B$24:$U$30,MATCH("对"&amp;LEFT($C$5,2)&amp;"输出",标准坦克设计!$B$23:$U$23,0)))*(VLOOKUP($B192,INDIRECT($B$5&amp;"生成成长"),3))*(VLOOKUP($B$5,标准坦克设计!$B$14:$K$20,9)/30))</f>
        <v>6.2271472505719752</v>
      </c>
      <c r="Y192" s="173">
        <f ca="1">(VLOOKUP(Y$72,INDIRECT($C$5&amp;"生成成长"),2))/((VLOOKUP($B192,INDIRECT($B$5&amp;"生成成长"),4))/(VLOOKUP(Y$72,INDIRECT($C$5&amp;"生成成长"),5))*(VLOOKUP($B$5,标准坦克设计!$B$24:$U$30,MATCH("对"&amp;LEFT($C$5,2)&amp;"输出",标准坦克设计!$B$23:$U$23,0)))*(VLOOKUP($B192,INDIRECT($B$5&amp;"生成成长"),3))*(VLOOKUP($B$5,标准坦克设计!$B$14:$K$20,9)/30))</f>
        <v>6.9263043965647055</v>
      </c>
      <c r="Z192" s="173">
        <f ca="1">(VLOOKUP(Z$72,INDIRECT($C$5&amp;"生成成长"),2))/((VLOOKUP($B192,INDIRECT($B$5&amp;"生成成长"),4))/(VLOOKUP(Z$72,INDIRECT($C$5&amp;"生成成长"),5))*(VLOOKUP($B$5,标准坦克设计!$B$24:$U$30,MATCH("对"&amp;LEFT($C$5,2)&amp;"输出",标准坦克设计!$B$23:$U$23,0)))*(VLOOKUP($B192,INDIRECT($B$5&amp;"生成成长"),3))*(VLOOKUP($B$5,标准坦克设计!$B$14:$K$20,9)/30))</f>
        <v>7.6626507524506708</v>
      </c>
      <c r="AA192" s="173">
        <f ca="1">(VLOOKUP(AA$72,INDIRECT($C$5&amp;"生成成长"),2))/((VLOOKUP($B192,INDIRECT($B$5&amp;"生成成长"),4))/(VLOOKUP(AA$72,INDIRECT($C$5&amp;"生成成长"),5))*(VLOOKUP($B$5,标准坦克设计!$B$24:$U$30,MATCH("对"&amp;LEFT($C$5,2)&amp;"输出",标准坦克设计!$B$23:$U$23,0)))*(VLOOKUP($B192,INDIRECT($B$5&amp;"生成成长"),3))*(VLOOKUP($B$5,标准坦克设计!$B$14:$K$20,9)/30))</f>
        <v>8.4361863182298631</v>
      </c>
      <c r="AB192" s="173">
        <f ca="1">(VLOOKUP(AB$72,INDIRECT($C$5&amp;"生成成长"),2))/((VLOOKUP($B192,INDIRECT($B$5&amp;"生成成长"),4))/(VLOOKUP(AB$72,INDIRECT($C$5&amp;"生成成长"),5))*(VLOOKUP($B$5,标准坦克设计!$B$24:$U$30,MATCH("对"&amp;LEFT($C$5,2)&amp;"输出",标准坦克设计!$B$23:$U$23,0)))*(VLOOKUP($B192,INDIRECT($B$5&amp;"生成成长"),3))*(VLOOKUP($B$5,标准坦克设计!$B$14:$K$20,9)/30))</f>
        <v>9.2469110939022876</v>
      </c>
      <c r="AC192" s="173">
        <f ca="1">(VLOOKUP(AC$72,INDIRECT($C$5&amp;"生成成长"),2))/((VLOOKUP($B192,INDIRECT($B$5&amp;"生成成长"),4))/(VLOOKUP(AC$72,INDIRECT($C$5&amp;"生成成长"),5))*(VLOOKUP($B$5,标准坦克设计!$B$24:$U$30,MATCH("对"&amp;LEFT($C$5,2)&amp;"输出",标准坦克设计!$B$23:$U$23,0)))*(VLOOKUP($B192,INDIRECT($B$5&amp;"生成成长"),3))*(VLOOKUP($B$5,标准坦克设计!$B$14:$K$20,9)/30))</f>
        <v>10.094825079467943</v>
      </c>
      <c r="AD192" s="173">
        <f ca="1">(VLOOKUP(AD$72,INDIRECT($C$5&amp;"生成成长"),2))/((VLOOKUP($B192,INDIRECT($B$5&amp;"生成成长"),4))/(VLOOKUP(AD$72,INDIRECT($C$5&amp;"生成成长"),5))*(VLOOKUP($B$5,标准坦克设计!$B$24:$U$30,MATCH("对"&amp;LEFT($C$5,2)&amp;"输出",标准坦克设计!$B$23:$U$23,0)))*(VLOOKUP($B192,INDIRECT($B$5&amp;"生成成长"),3))*(VLOOKUP($B$5,标准坦克设计!$B$14:$K$20,9)/30))</f>
        <v>10.979928274926829</v>
      </c>
      <c r="AE192" s="173">
        <f ca="1">(VLOOKUP(AE$72,INDIRECT($C$5&amp;"生成成长"),2))/((VLOOKUP($B192,INDIRECT($B$5&amp;"生成成长"),4))/(VLOOKUP(AE$72,INDIRECT($C$5&amp;"生成成长"),5))*(VLOOKUP($B$5,标准坦克设计!$B$24:$U$30,MATCH("对"&amp;LEFT($C$5,2)&amp;"输出",标准坦克设计!$B$23:$U$23,0)))*(VLOOKUP($B192,INDIRECT($B$5&amp;"生成成长"),3))*(VLOOKUP($B$5,标准坦克设计!$B$14:$K$20,9)/30))</f>
        <v>11.902220680278944</v>
      </c>
      <c r="AF192" s="173">
        <f ca="1">(VLOOKUP(AF$72,INDIRECT($C$5&amp;"生成成长"),2))/((VLOOKUP($B192,INDIRECT($B$5&amp;"生成成长"),4))/(VLOOKUP(AF$72,INDIRECT($C$5&amp;"生成成长"),5))*(VLOOKUP($B$5,标准坦克设计!$B$24:$U$30,MATCH("对"&amp;LEFT($C$5,2)&amp;"输出",标准坦克设计!$B$23:$U$23,0)))*(VLOOKUP($B192,INDIRECT($B$5&amp;"生成成长"),3))*(VLOOKUP($B$5,标准坦克设计!$B$14:$K$20,9)/30))</f>
        <v>12.861702295524289</v>
      </c>
      <c r="AG192" s="173">
        <f ca="1">(VLOOKUP(AG$72,INDIRECT($C$5&amp;"生成成长"),2))/((VLOOKUP($B192,INDIRECT($B$5&amp;"生成成长"),4))/(VLOOKUP(AG$72,INDIRECT($C$5&amp;"生成成长"),5))*(VLOOKUP($B$5,标准坦克设计!$B$24:$U$30,MATCH("对"&amp;LEFT($C$5,2)&amp;"输出",标准坦克设计!$B$23:$U$23,0)))*(VLOOKUP($B192,INDIRECT($B$5&amp;"生成成长"),3))*(VLOOKUP($B$5,标准坦克设计!$B$14:$K$20,9)/30))</f>
        <v>13.858373120662865</v>
      </c>
      <c r="AH192" s="173">
        <f ca="1">(VLOOKUP(AH$72,INDIRECT($C$5&amp;"生成成长"),2))/((VLOOKUP($B192,INDIRECT($B$5&amp;"生成成长"),4))/(VLOOKUP(AH$72,INDIRECT($C$5&amp;"生成成长"),5))*(VLOOKUP($B$5,标准坦克设计!$B$24:$U$30,MATCH("对"&amp;LEFT($C$5,2)&amp;"输出",标准坦克设计!$B$23:$U$23,0)))*(VLOOKUP($B192,INDIRECT($B$5&amp;"生成成长"),3))*(VLOOKUP($B$5,标准坦克设计!$B$14:$K$20,9)/30))</f>
        <v>14.892233155694674</v>
      </c>
      <c r="AI192" s="173">
        <f ca="1">(VLOOKUP(AI$72,INDIRECT($C$5&amp;"生成成长"),2))/((VLOOKUP($B192,INDIRECT($B$5&amp;"生成成长"),4))/(VLOOKUP(AI$72,INDIRECT($C$5&amp;"生成成长"),5))*(VLOOKUP($B$5,标准坦克设计!$B$24:$U$30,MATCH("对"&amp;LEFT($C$5,2)&amp;"输出",标准坦克设计!$B$23:$U$23,0)))*(VLOOKUP($B192,INDIRECT($B$5&amp;"生成成长"),3))*(VLOOKUP($B$5,标准坦克设计!$B$14:$K$20,9)/30))</f>
        <v>10.532728025960731</v>
      </c>
      <c r="AJ192" s="173">
        <f ca="1">(VLOOKUP(AJ$72,INDIRECT($C$5&amp;"生成成长"),2))/((VLOOKUP($B192,INDIRECT($B$5&amp;"生成成长"),4))/(VLOOKUP(AJ$72,INDIRECT($C$5&amp;"生成成长"),5))*(VLOOKUP($B$5,标准坦克设计!$B$24:$U$30,MATCH("对"&amp;LEFT($C$5,2)&amp;"输出",标准坦克设计!$B$23:$U$23,0)))*(VLOOKUP($B192,INDIRECT($B$5&amp;"生成成长"),3))*(VLOOKUP($B$5,标准坦克设计!$B$14:$K$20,9)/30))</f>
        <v>11.528841012950911</v>
      </c>
      <c r="AK192" s="173">
        <f ca="1">(VLOOKUP(AK$72,INDIRECT($C$5&amp;"生成成长"),2))/((VLOOKUP($B192,INDIRECT($B$5&amp;"生成成长"),4))/(VLOOKUP(AK$72,INDIRECT($C$5&amp;"生成成长"),5))*(VLOOKUP($B$5,标准坦克设计!$B$24:$U$30,MATCH("对"&amp;LEFT($C$5,2)&amp;"输出",标准坦克设计!$B$23:$U$23,0)))*(VLOOKUP($B192,INDIRECT($B$5&amp;"生成成长"),3))*(VLOOKUP($B$5,标准坦克设计!$B$14:$K$20,9)/30))</f>
        <v>12.569952943911895</v>
      </c>
      <c r="AL192" s="173">
        <f ca="1">(VLOOKUP(AL$72,INDIRECT($C$5&amp;"生成成长"),2))/((VLOOKUP($B192,INDIRECT($B$5&amp;"生成成长"),4))/(VLOOKUP(AL$72,INDIRECT($C$5&amp;"生成成长"),5))*(VLOOKUP($B$5,标准坦克设计!$B$24:$U$30,MATCH("对"&amp;LEFT($C$5,2)&amp;"输出",标准坦克设计!$B$23:$U$23,0)))*(VLOOKUP($B192,INDIRECT($B$5&amp;"生成成长"),3))*(VLOOKUP($B$5,标准坦克设计!$B$14:$K$20,9)/30))</f>
        <v>13.656063818843691</v>
      </c>
      <c r="AM192" s="173">
        <f ca="1">(VLOOKUP(AM$72,INDIRECT($C$5&amp;"生成成长"),2))/((VLOOKUP($B192,INDIRECT($B$5&amp;"生成成长"),4))/(VLOOKUP(AM$72,INDIRECT($C$5&amp;"生成成长"),5))*(VLOOKUP($B$5,标准坦克设计!$B$24:$U$30,MATCH("对"&amp;LEFT($C$5,2)&amp;"输出",标准坦克设计!$B$23:$U$23,0)))*(VLOOKUP($B192,INDIRECT($B$5&amp;"生成成长"),3))*(VLOOKUP($B$5,标准坦克设计!$B$14:$K$20,9)/30))</f>
        <v>14.787173637746298</v>
      </c>
      <c r="AN192" s="173">
        <f ca="1">(VLOOKUP(AN$72,INDIRECT($C$5&amp;"生成成长"),2))/((VLOOKUP($B192,INDIRECT($B$5&amp;"生成成长"),4))/(VLOOKUP(AN$72,INDIRECT($C$5&amp;"生成成长"),5))*(VLOOKUP($B$5,标准坦克设计!$B$24:$U$30,MATCH("对"&amp;LEFT($C$5,2)&amp;"输出",标准坦克设计!$B$23:$U$23,0)))*(VLOOKUP($B192,INDIRECT($B$5&amp;"生成成长"),3))*(VLOOKUP($B$5,标准坦克设计!$B$14:$K$20,9)/30))</f>
        <v>15.963282400619708</v>
      </c>
      <c r="AO192" s="173">
        <f ca="1">(VLOOKUP(AO$72,INDIRECT($C$5&amp;"生成成长"),2))/((VLOOKUP($B192,INDIRECT($B$5&amp;"生成成长"),4))/(VLOOKUP(AO$72,INDIRECT($C$5&amp;"生成成长"),5))*(VLOOKUP($B$5,标准坦克设计!$B$24:$U$30,MATCH("对"&amp;LEFT($C$5,2)&amp;"输出",标准坦克设计!$B$23:$U$23,0)))*(VLOOKUP($B192,INDIRECT($B$5&amp;"生成成长"),3))*(VLOOKUP($B$5,标准坦克设计!$B$14:$K$20,9)/30))</f>
        <v>17.18439010746393</v>
      </c>
      <c r="AP192" s="173">
        <f ca="1">(VLOOKUP(AP$72,INDIRECT($C$5&amp;"生成成长"),2))/((VLOOKUP($B192,INDIRECT($B$5&amp;"生成成长"),4))/(VLOOKUP(AP$72,INDIRECT($C$5&amp;"生成成长"),5))*(VLOOKUP($B$5,标准坦克设计!$B$24:$U$30,MATCH("对"&amp;LEFT($C$5,2)&amp;"输出",标准坦克设计!$B$23:$U$23,0)))*(VLOOKUP($B192,INDIRECT($B$5&amp;"生成成长"),3))*(VLOOKUP($B$5,标准坦克设计!$B$14:$K$20,9)/30))</f>
        <v>18.450496758278963</v>
      </c>
      <c r="AQ192" s="173">
        <f ca="1">(VLOOKUP(AQ$72,INDIRECT($C$5&amp;"生成成长"),2))/((VLOOKUP($B192,INDIRECT($B$5&amp;"生成成长"),4))/(VLOOKUP(AQ$72,INDIRECT($C$5&amp;"生成成长"),5))*(VLOOKUP($B$5,标准坦克设计!$B$24:$U$30,MATCH("对"&amp;LEFT($C$5,2)&amp;"输出",标准坦克设计!$B$23:$U$23,0)))*(VLOOKUP($B192,INDIRECT($B$5&amp;"生成成长"),3))*(VLOOKUP($B$5,标准坦克设计!$B$14:$K$20,9)/30))</f>
        <v>19.761602353064802</v>
      </c>
      <c r="AR192" s="173">
        <f ca="1">(VLOOKUP(AR$72,INDIRECT($C$5&amp;"生成成长"),2))/((VLOOKUP($B192,INDIRECT($B$5&amp;"生成成长"),4))/(VLOOKUP(AR$72,INDIRECT($C$5&amp;"生成成长"),5))*(VLOOKUP($B$5,标准坦克设计!$B$24:$U$30,MATCH("对"&amp;LEFT($C$5,2)&amp;"输出",标准坦克设计!$B$23:$U$23,0)))*(VLOOKUP($B192,INDIRECT($B$5&amp;"生成成长"),3))*(VLOOKUP($B$5,标准坦克设计!$B$14:$K$20,9)/30))</f>
        <v>21.117706891821452</v>
      </c>
      <c r="AS192" s="173">
        <f ca="1">(VLOOKUP(AS$72,INDIRECT($C$5&amp;"生成成长"),2))/((VLOOKUP($B192,INDIRECT($B$5&amp;"生成成长"),4))/(VLOOKUP(AS$72,INDIRECT($C$5&amp;"生成成长"),5))*(VLOOKUP($B$5,标准坦克设计!$B$24:$U$30,MATCH("对"&amp;LEFT($C$5,2)&amp;"输出",标准坦克设计!$B$23:$U$23,0)))*(VLOOKUP($B192,INDIRECT($B$5&amp;"生成成长"),3))*(VLOOKUP($B$5,标准坦克设计!$B$14:$K$20,9)/30))</f>
        <v>22.518810374548909</v>
      </c>
      <c r="AT192" s="173">
        <f ca="1">(VLOOKUP(AT$72,INDIRECT($C$5&amp;"生成成长"),2))/((VLOOKUP($B192,INDIRECT($B$5&amp;"生成成长"),4))/(VLOOKUP(AT$72,INDIRECT($C$5&amp;"生成成长"),5))*(VLOOKUP($B$5,标准坦克设计!$B$24:$U$30,MATCH("对"&amp;LEFT($C$5,2)&amp;"输出",标准坦克设计!$B$23:$U$23,0)))*(VLOOKUP($B192,INDIRECT($B$5&amp;"生成成长"),3))*(VLOOKUP($B$5,标准坦克设计!$B$14:$K$20,9)/30))</f>
        <v>23.964912801247177</v>
      </c>
      <c r="AU192" s="173">
        <f ca="1">(VLOOKUP(AU$72,INDIRECT($C$5&amp;"生成成长"),2))/((VLOOKUP($B192,INDIRECT($B$5&amp;"生成成长"),4))/(VLOOKUP(AU$72,INDIRECT($C$5&amp;"生成成长"),5))*(VLOOKUP($B$5,标准坦克设计!$B$24:$U$30,MATCH("对"&amp;LEFT($C$5,2)&amp;"输出",标准坦克设计!$B$23:$U$23,0)))*(VLOOKUP($B192,INDIRECT($B$5&amp;"生成成长"),3))*(VLOOKUP($B$5,标准坦克设计!$B$14:$K$20,9)/30))</f>
        <v>25.456014171916248</v>
      </c>
      <c r="AV192" s="173">
        <f ca="1">(VLOOKUP(AV$72,INDIRECT($C$5&amp;"生成成长"),2))/((VLOOKUP($B192,INDIRECT($B$5&amp;"生成成长"),4))/(VLOOKUP(AV$72,INDIRECT($C$5&amp;"生成成长"),5))*(VLOOKUP($B$5,标准坦克设计!$B$24:$U$30,MATCH("对"&amp;LEFT($C$5,2)&amp;"输出",标准坦克设计!$B$23:$U$23,0)))*(VLOOKUP($B192,INDIRECT($B$5&amp;"生成成长"),3))*(VLOOKUP($B$5,标准坦克设计!$B$14:$K$20,9)/30))</f>
        <v>2.5891127927667048</v>
      </c>
      <c r="AW192" s="173">
        <f ca="1">(VLOOKUP(AW$72,INDIRECT($C$5&amp;"生成成长"),2))/((VLOOKUP($B192,INDIRECT($B$5&amp;"生成成长"),4))/(VLOOKUP(AW$72,INDIRECT($C$5&amp;"生成成长"),5))*(VLOOKUP($B$5,标准坦克设计!$B$24:$U$30,MATCH("对"&amp;LEFT($C$5,2)&amp;"输出",标准坦克设计!$B$23:$U$23,0)))*(VLOOKUP($B192,INDIRECT($B$5&amp;"生成成长"),3))*(VLOOKUP($B$5,标准坦克设计!$B$14:$K$20,9)/30))</f>
        <v>2.9520794813246338</v>
      </c>
      <c r="AX192" s="173">
        <f ca="1">(VLOOKUP(AX$72,INDIRECT($C$5&amp;"生成成长"),2))/((VLOOKUP($B192,INDIRECT($B$5&amp;"生成成长"),4))/(VLOOKUP(AX$72,INDIRECT($C$5&amp;"生成成长"),5))*(VLOOKUP($B$5,标准坦克设计!$B$24:$U$30,MATCH("对"&amp;LEFT($C$5,2)&amp;"输出",标准坦克设计!$B$23:$U$23,0)))*(VLOOKUP($B192,INDIRECT($B$5&amp;"生成成长"),3))*(VLOOKUP($B$5,标准坦克设计!$B$14:$K$20,9)/30))</f>
        <v>3.3388472642142308</v>
      </c>
      <c r="AY192" s="173">
        <f ca="1">(VLOOKUP(AY$72,INDIRECT($C$5&amp;"生成成长"),2))/((VLOOKUP($B192,INDIRECT($B$5&amp;"生成成长"),4))/(VLOOKUP(AY$72,INDIRECT($C$5&amp;"生成成长"),5))*(VLOOKUP($B$5,标准坦克设计!$B$24:$U$30,MATCH("对"&amp;LEFT($C$5,2)&amp;"输出",标准坦克设计!$B$23:$U$23,0)))*(VLOOKUP($B192,INDIRECT($B$5&amp;"生成成长"),3))*(VLOOKUP($B$5,标准坦克设计!$B$14:$K$20,9)/30))</f>
        <v>3.7494161414354954</v>
      </c>
      <c r="AZ192" s="173">
        <f ca="1">(VLOOKUP(AZ$72,INDIRECT($C$5&amp;"生成成长"),2))/((VLOOKUP($B192,INDIRECT($B$5&amp;"生成成长"),4))/(VLOOKUP(AZ$72,INDIRECT($C$5&amp;"生成成长"),5))*(VLOOKUP($B$5,标准坦克设计!$B$24:$U$30,MATCH("对"&amp;LEFT($C$5,2)&amp;"输出",标准坦克设计!$B$23:$U$23,0)))*(VLOOKUP($B192,INDIRECT($B$5&amp;"生成成长"),3))*(VLOOKUP($B$5,标准坦克设计!$B$14:$K$20,9)/30))</f>
        <v>4.1837861129884271</v>
      </c>
      <c r="BA192" s="173">
        <f ca="1">(VLOOKUP(BA$72,INDIRECT($C$5&amp;"生成成长"),2))/((VLOOKUP($B192,INDIRECT($B$5&amp;"生成成长"),4))/(VLOOKUP(BA$72,INDIRECT($C$5&amp;"生成成长"),5))*(VLOOKUP($B$5,标准坦克设计!$B$24:$U$30,MATCH("对"&amp;LEFT($C$5,2)&amp;"输出",标准坦克设计!$B$23:$U$23,0)))*(VLOOKUP($B192,INDIRECT($B$5&amp;"生成成长"),3))*(VLOOKUP($B$5,标准坦克设计!$B$14:$K$20,9)/30))</f>
        <v>4.6419571788730263</v>
      </c>
      <c r="BB192" s="173">
        <f ca="1">(VLOOKUP(BB$72,INDIRECT($C$5&amp;"生成成长"),2))/((VLOOKUP($B192,INDIRECT($B$5&amp;"生成成长"),4))/(VLOOKUP(BB$72,INDIRECT($C$5&amp;"生成成长"),5))*(VLOOKUP($B$5,标准坦克设计!$B$24:$U$30,MATCH("对"&amp;LEFT($C$5,2)&amp;"输出",标准坦克设计!$B$23:$U$23,0)))*(VLOOKUP($B192,INDIRECT($B$5&amp;"生成成长"),3))*(VLOOKUP($B$5,标准坦克设计!$B$14:$K$20,9)/30))</f>
        <v>5.1239293390892939</v>
      </c>
      <c r="BC192" s="173">
        <f ca="1">(VLOOKUP(BC$72,INDIRECT($C$5&amp;"生成成长"),2))/((VLOOKUP($B192,INDIRECT($B$5&amp;"生成成长"),4))/(VLOOKUP(BC$72,INDIRECT($C$5&amp;"生成成长"),5))*(VLOOKUP($B$5,标准坦克设计!$B$24:$U$30,MATCH("对"&amp;LEFT($C$5,2)&amp;"输出",标准坦克设计!$B$23:$U$23,0)))*(VLOOKUP($B192,INDIRECT($B$5&amp;"生成成长"),3))*(VLOOKUP($B$5,标准坦克设计!$B$14:$K$20,9)/30))</f>
        <v>5.6297025936372274</v>
      </c>
      <c r="BD192" s="173">
        <f ca="1">(VLOOKUP(BD$72,INDIRECT($C$5&amp;"生成成长"),2))/((VLOOKUP($B192,INDIRECT($B$5&amp;"生成成长"),4))/(VLOOKUP(BD$72,INDIRECT($C$5&amp;"生成成长"),5))*(VLOOKUP($B$5,标准坦克设计!$B$24:$U$30,MATCH("对"&amp;LEFT($C$5,2)&amp;"输出",标准坦克设计!$B$23:$U$23,0)))*(VLOOKUP($B192,INDIRECT($B$5&amp;"生成成长"),3))*(VLOOKUP($B$5,标准坦克设计!$B$14:$K$20,9)/30))</f>
        <v>6.2271472505719752</v>
      </c>
      <c r="BE192" s="173">
        <f ca="1">(VLOOKUP(BE$72,INDIRECT($C$5&amp;"生成成长"),2))/((VLOOKUP($B192,INDIRECT($B$5&amp;"生成成长"),4))/(VLOOKUP(BE$72,INDIRECT($C$5&amp;"生成成长"),5))*(VLOOKUP($B$5,标准坦克设计!$B$24:$U$30,MATCH("对"&amp;LEFT($C$5,2)&amp;"输出",标准坦克设计!$B$23:$U$23,0)))*(VLOOKUP($B192,INDIRECT($B$5&amp;"生成成长"),3))*(VLOOKUP($B$5,标准坦克设计!$B$14:$K$20,9)/30))</f>
        <v>6.8547151675202382</v>
      </c>
      <c r="BF192" s="173">
        <f ca="1">(VLOOKUP(BF$72,INDIRECT($C$5&amp;"生成成长"),2))/((VLOOKUP($B192,INDIRECT($B$5&amp;"生成成长"),4))/(VLOOKUP(BF$72,INDIRECT($C$5&amp;"生成成长"),5))*(VLOOKUP($B$5,标准坦克设计!$B$24:$U$30,MATCH("对"&amp;LEFT($C$5,2)&amp;"输出",标准坦克设计!$B$23:$U$23,0)))*(VLOOKUP($B192,INDIRECT($B$5&amp;"生成成长"),3))*(VLOOKUP($B$5,标准坦克设计!$B$14:$K$20,9)/30))</f>
        <v>7.5124063444820193</v>
      </c>
      <c r="BG192" s="173">
        <f ca="1">(VLOOKUP(BG$72,INDIRECT($C$5&amp;"生成成长"),2))/((VLOOKUP($B192,INDIRECT($B$5&amp;"生成成长"),4))/(VLOOKUP(BG$72,INDIRECT($C$5&amp;"生成成长"),5))*(VLOOKUP($B$5,标准坦克设计!$B$24:$U$30,MATCH("对"&amp;LEFT($C$5,2)&amp;"输出",标准坦克设计!$B$23:$U$23,0)))*(VLOOKUP($B192,INDIRECT($B$5&amp;"生成成长"),3))*(VLOOKUP($B$5,标准坦克设计!$B$14:$K$20,9)/30))</f>
        <v>8.2002207814573165</v>
      </c>
      <c r="BH192" s="173">
        <f ca="1">(VLOOKUP(BH$72,INDIRECT($C$5&amp;"生成成长"),2))/((VLOOKUP($B192,INDIRECT($B$5&amp;"生成成长"),4))/(VLOOKUP(BH$72,INDIRECT($C$5&amp;"生成成长"),5))*(VLOOKUP($B$5,标准坦克设计!$B$24:$U$30,MATCH("对"&amp;LEFT($C$5,2)&amp;"输出",标准坦克设计!$B$23:$U$23,0)))*(VLOOKUP($B192,INDIRECT($B$5&amp;"生成成长"),3))*(VLOOKUP($B$5,标准坦克设计!$B$14:$K$20,9)/30))</f>
        <v>3.9636259904205029</v>
      </c>
      <c r="BI192" s="173">
        <f ca="1">(VLOOKUP(BI$72,INDIRECT($C$5&amp;"生成成长"),2))/((VLOOKUP($B192,INDIRECT($B$5&amp;"生成成长"),4))/(VLOOKUP(BI$72,INDIRECT($C$5&amp;"生成成长"),5))*(VLOOKUP($B$5,标准坦克设计!$B$24:$U$30,MATCH("对"&amp;LEFT($C$5,2)&amp;"输出",标准坦克设计!$B$23:$U$23,0)))*(VLOOKUP($B192,INDIRECT($B$5&amp;"生成成长"),3))*(VLOOKUP($B$5,标准坦克设计!$B$14:$K$20,9)/30))</f>
        <v>4.4673538384243088</v>
      </c>
      <c r="BJ192" s="173">
        <f ca="1">(VLOOKUP(BJ$72,INDIRECT($C$5&amp;"生成成长"),2))/((VLOOKUP($B192,INDIRECT($B$5&amp;"生成成长"),4))/(VLOOKUP(BJ$72,INDIRECT($C$5&amp;"生成成长"),5))*(VLOOKUP($B$5,标准坦克设计!$B$24:$U$30,MATCH("对"&amp;LEFT($C$5,2)&amp;"输出",标准坦克设计!$B$23:$U$23,0)))*(VLOOKUP($B192,INDIRECT($B$5&amp;"生成成长"),3))*(VLOOKUP($B$5,标准坦克设计!$B$14:$K$20,9)/30))</f>
        <v>5.0012049464416322</v>
      </c>
      <c r="BK192" s="173">
        <f ca="1">(VLOOKUP(BK$72,INDIRECT($C$5&amp;"生成成长"),2))/((VLOOKUP($B192,INDIRECT($B$5&amp;"生成成长"),4))/(VLOOKUP(BK$72,INDIRECT($C$5&amp;"生成成长"),5))*(VLOOKUP($B$5,标准坦克设计!$B$24:$U$30,MATCH("对"&amp;LEFT($C$5,2)&amp;"输出",标准坦克设计!$B$23:$U$23,0)))*(VLOOKUP($B192,INDIRECT($B$5&amp;"生成成长"),3))*(VLOOKUP($B$5,标准坦克设计!$B$14:$K$20,9)/30))</f>
        <v>5.5651793144724717</v>
      </c>
      <c r="BL192" s="173">
        <f ca="1">(VLOOKUP(BL$72,INDIRECT($C$5&amp;"生成成长"),2))/((VLOOKUP($B192,INDIRECT($B$5&amp;"生成成长"),4))/(VLOOKUP(BL$72,INDIRECT($C$5&amp;"生成成长"),5))*(VLOOKUP($B$5,标准坦克设计!$B$24:$U$30,MATCH("对"&amp;LEFT($C$5,2)&amp;"输出",标准坦克设计!$B$23:$U$23,0)))*(VLOOKUP($B192,INDIRECT($B$5&amp;"生成成长"),3))*(VLOOKUP($B$5,标准坦克设计!$B$14:$K$20,9)/30))</f>
        <v>6.1592769425168292</v>
      </c>
      <c r="BM192" s="173">
        <f ca="1">(VLOOKUP(BM$72,INDIRECT($C$5&amp;"生成成长"),2))/((VLOOKUP($B192,INDIRECT($B$5&amp;"生成成长"),4))/(VLOOKUP(BM$72,INDIRECT($C$5&amp;"生成成长"),5))*(VLOOKUP($B$5,标准坦克设计!$B$24:$U$30,MATCH("对"&amp;LEFT($C$5,2)&amp;"输出",标准坦克设计!$B$23:$U$23,0)))*(VLOOKUP($B192,INDIRECT($B$5&amp;"生成成长"),3))*(VLOOKUP($B$5,标准坦克设计!$B$14:$K$20,9)/30))</f>
        <v>6.7834978305747011</v>
      </c>
      <c r="BN192" s="173">
        <f ca="1">(VLOOKUP(BN$72,INDIRECT($C$5&amp;"生成成长"),2))/((VLOOKUP($B192,INDIRECT($B$5&amp;"生成成长"),4))/(VLOOKUP(BN$72,INDIRECT($C$5&amp;"生成成长"),5))*(VLOOKUP($B$5,标准坦克设计!$B$24:$U$30,MATCH("对"&amp;LEFT($C$5,2)&amp;"输出",标准坦克设计!$B$23:$U$23,0)))*(VLOOKUP($B192,INDIRECT($B$5&amp;"生成成长"),3))*(VLOOKUP($B$5,标准坦克设计!$B$14:$K$20,9)/30))</f>
        <v>7.4378419786460919</v>
      </c>
      <c r="BO192" s="173">
        <f ca="1">(VLOOKUP(BO$72,INDIRECT($C$5&amp;"生成成长"),2))/((VLOOKUP($B192,INDIRECT($B$5&amp;"生成成长"),4))/(VLOOKUP(BO$72,INDIRECT($C$5&amp;"生成成长"),5))*(VLOOKUP($B$5,标准坦克设计!$B$24:$U$30,MATCH("对"&amp;LEFT($C$5,2)&amp;"输出",标准坦克设计!$B$23:$U$23,0)))*(VLOOKUP($B192,INDIRECT($B$5&amp;"生成成长"),3))*(VLOOKUP($B$5,标准坦克设计!$B$14:$K$20,9)/30))</f>
        <v>8.1223093867309988</v>
      </c>
      <c r="BP192" s="173">
        <f ca="1">(VLOOKUP(BP$72,INDIRECT($C$5&amp;"生成成长"),2))/((VLOOKUP($B192,INDIRECT($B$5&amp;"生成成长"),4))/(VLOOKUP(BP$72,INDIRECT($C$5&amp;"生成成长"),5))*(VLOOKUP($B$5,标准坦克设计!$B$24:$U$30,MATCH("对"&amp;LEFT($C$5,2)&amp;"输出",标准坦克设计!$B$23:$U$23,0)))*(VLOOKUP($B192,INDIRECT($B$5&amp;"生成成长"),3))*(VLOOKUP($B$5,标准坦克设计!$B$14:$K$20,9)/30))</f>
        <v>8.8369000548294228</v>
      </c>
      <c r="BQ192" s="173">
        <f ca="1">(VLOOKUP(BQ$72,INDIRECT($C$5&amp;"生成成长"),2))/((VLOOKUP($B192,INDIRECT($B$5&amp;"生成成长"),4))/(VLOOKUP(BQ$72,INDIRECT($C$5&amp;"生成成长"),5))*(VLOOKUP($B$5,标准坦克设计!$B$24:$U$30,MATCH("对"&amp;LEFT($C$5,2)&amp;"输出",标准坦克设计!$B$23:$U$23,0)))*(VLOOKUP($B192,INDIRECT($B$5&amp;"生成成长"),3))*(VLOOKUP($B$5,标准坦克设计!$B$14:$K$20,9)/30))</f>
        <v>9.5816139829413611</v>
      </c>
      <c r="BR192" s="173">
        <f ca="1">(VLOOKUP(BR$72,INDIRECT($C$5&amp;"生成成长"),2))/((VLOOKUP($B192,INDIRECT($B$5&amp;"生成成长"),4))/(VLOOKUP(BR$72,INDIRECT($C$5&amp;"生成成长"),5))*(VLOOKUP($B$5,标准坦克设计!$B$24:$U$30,MATCH("对"&amp;LEFT($C$5,2)&amp;"输出",标准坦克设计!$B$23:$U$23,0)))*(VLOOKUP($B192,INDIRECT($B$5&amp;"生成成长"),3))*(VLOOKUP($B$5,标准坦克设计!$B$14:$K$20,9)/30))</f>
        <v>10.44440365246431</v>
      </c>
      <c r="BS192" s="173">
        <f ca="1">(VLOOKUP(BS$72,INDIRECT($C$5&amp;"生成成长"),2))/((VLOOKUP($B192,INDIRECT($B$5&amp;"生成成长"),4))/(VLOOKUP(BS$72,INDIRECT($C$5&amp;"生成成长"),5))*(VLOOKUP($B$5,标准坦克设计!$B$24:$U$30,MATCH("对"&amp;LEFT($C$5,2)&amp;"输出",标准坦克设计!$B$23:$U$23,0)))*(VLOOKUP($B192,INDIRECT($B$5&amp;"生成成长"),3))*(VLOOKUP($B$5,标准坦克设计!$B$14:$K$20,9)/30))</f>
        <v>11.344382531880488</v>
      </c>
      <c r="BT192" s="173">
        <f ca="1">(VLOOKUP(BT$72,INDIRECT($C$5&amp;"生成成长"),2))/((VLOOKUP($B192,INDIRECT($B$5&amp;"生成成长"),4))/(VLOOKUP(BT$72,INDIRECT($C$5&amp;"生成成长"),5))*(VLOOKUP($B$5,标准坦克设计!$B$24:$U$30,MATCH("对"&amp;LEFT($C$5,2)&amp;"输出",标准坦克设计!$B$23:$U$23,0)))*(VLOOKUP($B192,INDIRECT($B$5&amp;"生成成长"),3))*(VLOOKUP($B$5,标准坦克设计!$B$14:$K$20,9)/30))</f>
        <v>12.281550621189893</v>
      </c>
      <c r="BU192" s="173">
        <f ca="1">(VLOOKUP(BU$72,INDIRECT($C$5&amp;"生成成长"),2))/((VLOOKUP($B192,INDIRECT($B$5&amp;"生成成长"),4))/(VLOOKUP(BU$72,INDIRECT($C$5&amp;"生成成长"),5))*(VLOOKUP($B$5,标准坦克设计!$B$24:$U$30,MATCH("对"&amp;LEFT($C$5,2)&amp;"输出",标准坦克设计!$B$23:$U$23,0)))*(VLOOKUP($B192,INDIRECT($B$5&amp;"生成成长"),3))*(VLOOKUP($B$5,标准坦克设计!$B$14:$K$20,9)/30))</f>
        <v>13.255907920392531</v>
      </c>
      <c r="BV192" s="173">
        <f ca="1">(VLOOKUP(BV$72,INDIRECT($C$5&amp;"生成成长"),2))/((VLOOKUP($B192,INDIRECT($B$5&amp;"生成成长"),4))/(VLOOKUP(BV$72,INDIRECT($C$5&amp;"生成成长"),5))*(VLOOKUP($B$5,标准坦克设计!$B$24:$U$30,MATCH("对"&amp;LEFT($C$5,2)&amp;"输出",标准坦克设计!$B$23:$U$23,0)))*(VLOOKUP($B192,INDIRECT($B$5&amp;"生成成长"),3))*(VLOOKUP($B$5,标准坦克设计!$B$14:$K$20,9)/30))</f>
        <v>14.267454429488403</v>
      </c>
      <c r="BW192" s="173">
        <f ca="1">(VLOOKUP(BW$72,INDIRECT($C$5&amp;"生成成长"),2))/((VLOOKUP($B192,INDIRECT($B$5&amp;"生成成长"),4))/(VLOOKUP(BW$72,INDIRECT($C$5&amp;"生成成长"),5))*(VLOOKUP($B$5,标准坦克设计!$B$24:$U$30,MATCH("对"&amp;LEFT($C$5,2)&amp;"输出",标准坦克设计!$B$23:$U$23,0)))*(VLOOKUP($B192,INDIRECT($B$5&amp;"生成成长"),3))*(VLOOKUP($B$5,标准坦克设计!$B$14:$K$20,9)/30))</f>
        <v>6.5023474037818803</v>
      </c>
      <c r="BX192" s="173">
        <f ca="1">(VLOOKUP(BX$72,INDIRECT($C$5&amp;"生成成长"),2))/((VLOOKUP($B192,INDIRECT($B$5&amp;"生成成长"),4))/(VLOOKUP(BX$72,INDIRECT($C$5&amp;"生成成长"),5))*(VLOOKUP($B$5,标准坦克设计!$B$24:$U$30,MATCH("对"&amp;LEFT($C$5,2)&amp;"输出",标准坦克设计!$B$23:$U$23,0)))*(VLOOKUP($B192,INDIRECT($B$5&amp;"生成成长"),3))*(VLOOKUP($B$5,标准坦克设计!$B$14:$K$20,9)/30))</f>
        <v>7.2163802337319058</v>
      </c>
      <c r="BY192" s="173">
        <f ca="1">(VLOOKUP(BY$72,INDIRECT($C$5&amp;"生成成长"),2))/((VLOOKUP($B192,INDIRECT($B$5&amp;"生成成长"),4))/(VLOOKUP(BY$72,INDIRECT($C$5&amp;"生成成长"),5))*(VLOOKUP($B$5,标准坦克设计!$B$24:$U$30,MATCH("对"&amp;LEFT($C$5,2)&amp;"输出",标准坦克设计!$B$23:$U$23,0)))*(VLOOKUP($B192,INDIRECT($B$5&amp;"生成成长"),3))*(VLOOKUP($B$5,标准坦克设计!$B$14:$K$20,9)/30))</f>
        <v>7.9676022735751593</v>
      </c>
      <c r="BZ192" s="173">
        <f ca="1">(VLOOKUP(BZ$72,INDIRECT($C$5&amp;"生成成长"),2))/((VLOOKUP($B192,INDIRECT($B$5&amp;"生成成长"),4))/(VLOOKUP(BZ$72,INDIRECT($C$5&amp;"生成成长"),5))*(VLOOKUP($B$5,标准坦克设计!$B$24:$U$30,MATCH("对"&amp;LEFT($C$5,2)&amp;"输出",标准坦克设计!$B$23:$U$23,0)))*(VLOOKUP($B192,INDIRECT($B$5&amp;"生成成长"),3))*(VLOOKUP($B$5,标准坦克设计!$B$14:$K$20,9)/30))</f>
        <v>8.7560135233116476</v>
      </c>
      <c r="CA192" s="173">
        <f ca="1">(VLOOKUP(CA$72,INDIRECT($C$5&amp;"生成成长"),2))/((VLOOKUP($B192,INDIRECT($B$5&amp;"生成成长"),4))/(VLOOKUP(CA$72,INDIRECT($C$5&amp;"生成成长"),5))*(VLOOKUP($B$5,标准坦克设计!$B$24:$U$30,MATCH("对"&amp;LEFT($C$5,2)&amp;"输出",标准坦克设计!$B$23:$U$23,0)))*(VLOOKUP($B192,INDIRECT($B$5&amp;"生成成长"),3))*(VLOOKUP($B$5,标准坦克设计!$B$14:$K$20,9)/30))</f>
        <v>9.5816139829413611</v>
      </c>
      <c r="CB192" s="173">
        <f ca="1">(VLOOKUP(CB$72,INDIRECT($C$5&amp;"生成成长"),2))/((VLOOKUP($B192,INDIRECT($B$5&amp;"生成成长"),4))/(VLOOKUP(CB$72,INDIRECT($C$5&amp;"生成成长"),5))*(VLOOKUP($B$5,标准坦克设计!$B$24:$U$30,MATCH("对"&amp;LEFT($C$5,2)&amp;"输出",标准坦克设计!$B$23:$U$23,0)))*(VLOOKUP($B192,INDIRECT($B$5&amp;"生成成长"),3))*(VLOOKUP($B$5,标准坦克设计!$B$14:$K$20,9)/30))</f>
        <v>10.44440365246431</v>
      </c>
      <c r="CC192" s="173">
        <f ca="1">(VLOOKUP(CC$72,INDIRECT($C$5&amp;"生成成长"),2))/((VLOOKUP($B192,INDIRECT($B$5&amp;"生成成长"),4))/(VLOOKUP(CC$72,INDIRECT($C$5&amp;"生成成长"),5))*(VLOOKUP($B$5,标准坦克设计!$B$24:$U$30,MATCH("对"&amp;LEFT($C$5,2)&amp;"输出",标准坦克设计!$B$23:$U$23,0)))*(VLOOKUP($B192,INDIRECT($B$5&amp;"生成成长"),3))*(VLOOKUP($B$5,标准坦克设计!$B$14:$K$20,9)/30))</f>
        <v>11.344382531880488</v>
      </c>
      <c r="CD192" s="173">
        <f ca="1">(VLOOKUP(CD$72,INDIRECT($C$5&amp;"生成成长"),2))/((VLOOKUP($B192,INDIRECT($B$5&amp;"生成成长"),4))/(VLOOKUP(CD$72,INDIRECT($C$5&amp;"生成成长"),5))*(VLOOKUP($B$5,标准坦克设计!$B$24:$U$30,MATCH("对"&amp;LEFT($C$5,2)&amp;"输出",标准坦克设计!$B$23:$U$23,0)))*(VLOOKUP($B192,INDIRECT($B$5&amp;"生成成长"),3))*(VLOOKUP($B$5,标准坦克设计!$B$14:$K$20,9)/30))</f>
        <v>12.281550621189893</v>
      </c>
      <c r="CE192" s="173">
        <f ca="1">(VLOOKUP(CE$72,INDIRECT($C$5&amp;"生成成长"),2))/((VLOOKUP($B192,INDIRECT($B$5&amp;"生成成长"),4))/(VLOOKUP(CE$72,INDIRECT($C$5&amp;"生成成长"),5))*(VLOOKUP($B$5,标准坦克设计!$B$24:$U$30,MATCH("对"&amp;LEFT($C$5,2)&amp;"输出",标准坦克设计!$B$23:$U$23,0)))*(VLOOKUP($B192,INDIRECT($B$5&amp;"生成成长"),3))*(VLOOKUP($B$5,标准坦克设计!$B$14:$K$20,9)/30))</f>
        <v>13.255907920392531</v>
      </c>
      <c r="CF192" s="173">
        <f ca="1">(VLOOKUP(CF$72,INDIRECT($C$5&amp;"生成成长"),2))/((VLOOKUP($B192,INDIRECT($B$5&amp;"生成成长"),4))/(VLOOKUP(CF$72,INDIRECT($C$5&amp;"生成成长"),5))*(VLOOKUP($B$5,标准坦克设计!$B$24:$U$30,MATCH("对"&amp;LEFT($C$5,2)&amp;"输出",标准坦克设计!$B$23:$U$23,0)))*(VLOOKUP($B192,INDIRECT($B$5&amp;"生成成长"),3))*(VLOOKUP($B$5,标准坦克设计!$B$14:$K$20,9)/30))</f>
        <v>14.267454429488403</v>
      </c>
      <c r="CG192" s="173">
        <f ca="1">(VLOOKUP(CG$72,INDIRECT($C$5&amp;"生成成长"),2))/((VLOOKUP($B192,INDIRECT($B$5&amp;"生成成长"),4))/(VLOOKUP(CG$72,INDIRECT($C$5&amp;"生成成长"),5))*(VLOOKUP($B$5,标准坦克设计!$B$24:$U$30,MATCH("对"&amp;LEFT($C$5,2)&amp;"输出",标准坦克设计!$B$23:$U$23,0)))*(VLOOKUP($B192,INDIRECT($B$5&amp;"生成成长"),3))*(VLOOKUP($B$5,标准坦克设计!$B$14:$K$20,9)/30))</f>
        <v>15.316190148477498</v>
      </c>
      <c r="CH192" s="173">
        <f ca="1">(VLOOKUP(CH$72,INDIRECT($C$5&amp;"生成成长"),2))/((VLOOKUP($B192,INDIRECT($B$5&amp;"生成成长"),4))/(VLOOKUP(CH$72,INDIRECT($C$5&amp;"生成成长"),5))*(VLOOKUP($B$5,标准坦克设计!$B$24:$U$30,MATCH("对"&amp;LEFT($C$5,2)&amp;"输出",标准坦克设计!$B$23:$U$23,0)))*(VLOOKUP($B192,INDIRECT($B$5&amp;"生成成长"),3))*(VLOOKUP($B$5,标准坦克设计!$B$14:$K$20,9)/30))</f>
        <v>16.402115077359827</v>
      </c>
      <c r="CI192" s="173">
        <f ca="1">(VLOOKUP(CI$72,INDIRECT($C$5&amp;"生成成长"),2))/((VLOOKUP($B192,INDIRECT($B$5&amp;"生成成长"),4))/(VLOOKUP(CI$72,INDIRECT($C$5&amp;"生成成长"),5))*(VLOOKUP($B$5,标准坦克设计!$B$24:$U$30,MATCH("对"&amp;LEFT($C$5,2)&amp;"输出",标准坦克设计!$B$23:$U$23,0)))*(VLOOKUP($B192,INDIRECT($B$5&amp;"生成成长"),3))*(VLOOKUP($B$5,标准坦克设计!$B$14:$K$20,9)/30))</f>
        <v>17.639586036557073</v>
      </c>
      <c r="CJ192" s="173">
        <f ca="1">(VLOOKUP(CJ$72,INDIRECT($C$5&amp;"生成成长"),2))/((VLOOKUP($B192,INDIRECT($B$5&amp;"生成成长"),4))/(VLOOKUP(CJ$72,INDIRECT($C$5&amp;"生成成长"),5))*(VLOOKUP($B$5,标准坦克设计!$B$24:$U$30,MATCH("对"&amp;LEFT($C$5,2)&amp;"输出",标准坦克设计!$B$23:$U$23,0)))*(VLOOKUP($B192,INDIRECT($B$5&amp;"生成成长"),3))*(VLOOKUP($B$5,标准坦克设计!$B$14:$K$20,9)/30))</f>
        <v>18.922055939725126</v>
      </c>
      <c r="CK192" s="173">
        <f ca="1">(VLOOKUP(CK$72,INDIRECT($C$5&amp;"生成成长"),2))/((VLOOKUP($B192,INDIRECT($B$5&amp;"生成成长"),4))/(VLOOKUP(CK$72,INDIRECT($C$5&amp;"生成成长"),5))*(VLOOKUP($B$5,标准坦克设计!$B$24:$U$30,MATCH("对"&amp;LEFT($C$5,2)&amp;"输出",标准坦克设计!$B$23:$U$23,0)))*(VLOOKUP($B192,INDIRECT($B$5&amp;"生成成长"),3))*(VLOOKUP($B$5,标准坦克设计!$B$14:$K$20,9)/30))</f>
        <v>20.24952478686399</v>
      </c>
      <c r="CL192" s="173">
        <f ca="1">(VLOOKUP(CL$72,INDIRECT($C$5&amp;"生成成长"),2))/((VLOOKUP($B192,INDIRECT($B$5&amp;"生成成长"),4))/(VLOOKUP(CL$72,INDIRECT($C$5&amp;"生成成长"),5))*(VLOOKUP($B$5,标准坦克设计!$B$24:$U$30,MATCH("对"&amp;LEFT($C$5,2)&amp;"输出",标准坦克设计!$B$23:$U$23,0)))*(VLOOKUP($B192,INDIRECT($B$5&amp;"生成成长"),3))*(VLOOKUP($B$5,标准坦克设计!$B$14:$K$20,9)/30))</f>
        <v>21.621992577973661</v>
      </c>
      <c r="CM192" s="173">
        <f ca="1">(VLOOKUP(CM$72,INDIRECT($C$5&amp;"生成成长"),2))/((VLOOKUP($B192,INDIRECT($B$5&amp;"生成成长"),4))/(VLOOKUP(CM$72,INDIRECT($C$5&amp;"生成成长"),5))*(VLOOKUP($B$5,标准坦克设计!$B$24:$U$30,MATCH("对"&amp;LEFT($C$5,2)&amp;"输出",标准坦克设计!$B$23:$U$23,0)))*(VLOOKUP($B192,INDIRECT($B$5&amp;"生成成长"),3))*(VLOOKUP($B$5,标准坦克设计!$B$14:$K$20,9)/30))</f>
        <v>23.039459313054138</v>
      </c>
      <c r="CN192" s="173">
        <f ca="1">(VLOOKUP(CN$72,INDIRECT($C$5&amp;"生成成长"),2))/((VLOOKUP($B192,INDIRECT($B$5&amp;"生成成长"),4))/(VLOOKUP(CN$72,INDIRECT($C$5&amp;"生成成长"),5))*(VLOOKUP($B$5,标准坦克设计!$B$24:$U$30,MATCH("对"&amp;LEFT($C$5,2)&amp;"输出",标准坦克设计!$B$23:$U$23,0)))*(VLOOKUP($B192,INDIRECT($B$5&amp;"生成成长"),3))*(VLOOKUP($B$5,标准坦克设计!$B$14:$K$20,9)/30))</f>
        <v>24.501924992105423</v>
      </c>
      <c r="CO192" s="173">
        <f ca="1">(VLOOKUP(CO$72,INDIRECT($C$5&amp;"生成成长"),2))/((VLOOKUP($B192,INDIRECT($B$5&amp;"生成成长"),4))/(VLOOKUP(CO$72,INDIRECT($C$5&amp;"生成成长"),5))*(VLOOKUP($B$5,标准坦克设计!$B$24:$U$30,MATCH("对"&amp;LEFT($C$5,2)&amp;"输出",标准坦克设计!$B$23:$U$23,0)))*(VLOOKUP($B192,INDIRECT($B$5&amp;"生成成长"),3))*(VLOOKUP($B$5,标准坦克设计!$B$14:$K$20,9)/30))</f>
        <v>10.979928274926829</v>
      </c>
      <c r="CP192" s="173">
        <f ca="1">(VLOOKUP(CP$72,INDIRECT($C$5&amp;"生成成长"),2))/((VLOOKUP($B192,INDIRECT($B$5&amp;"生成成长"),4))/(VLOOKUP(CP$72,INDIRECT($C$5&amp;"生成成长"),5))*(VLOOKUP($B$5,标准坦克设计!$B$24:$U$30,MATCH("对"&amp;LEFT($C$5,2)&amp;"输出",标准坦克设计!$B$23:$U$23,0)))*(VLOOKUP($B192,INDIRECT($B$5&amp;"生成成长"),3))*(VLOOKUP($B$5,标准坦克设计!$B$14:$K$20,9)/30))</f>
        <v>11.99649532735828</v>
      </c>
      <c r="CQ192" s="173">
        <f ca="1">(VLOOKUP(CQ$72,INDIRECT($C$5&amp;"生成成长"),2))/((VLOOKUP($B192,INDIRECT($B$5&amp;"生成成长"),4))/(VLOOKUP(CQ$72,INDIRECT($C$5&amp;"生成成长"),5))*(VLOOKUP($B$5,标准坦克设计!$B$24:$U$30,MATCH("对"&amp;LEFT($C$5,2)&amp;"输出",标准坦克设计!$B$23:$U$23,0)))*(VLOOKUP($B192,INDIRECT($B$5&amp;"生成成长"),3))*(VLOOKUP($B$5,标准坦克设计!$B$14:$K$20,9)/30))</f>
        <v>13.058061323760546</v>
      </c>
      <c r="CR192" s="173">
        <f ca="1">(VLOOKUP(CR$72,INDIRECT($C$5&amp;"生成成长"),2))/((VLOOKUP($B192,INDIRECT($B$5&amp;"生成成长"),4))/(VLOOKUP(CR$72,INDIRECT($C$5&amp;"生成成长"),5))*(VLOOKUP($B$5,标准坦克设计!$B$24:$U$30,MATCH("对"&amp;LEFT($C$5,2)&amp;"输出",标准坦克设计!$B$23:$U$23,0)))*(VLOOKUP($B192,INDIRECT($B$5&amp;"生成成长"),3))*(VLOOKUP($B$5,标准坦克设计!$B$14:$K$20,9)/30))</f>
        <v>14.164626264133618</v>
      </c>
      <c r="CS192" s="173">
        <f ca="1">(VLOOKUP(CS$72,INDIRECT($C$5&amp;"生成成长"),2))/((VLOOKUP($B192,INDIRECT($B$5&amp;"生成成长"),4))/(VLOOKUP(CS$72,INDIRECT($C$5&amp;"生成成长"),5))*(VLOOKUP($B$5,标准坦克设计!$B$24:$U$30,MATCH("对"&amp;LEFT($C$5,2)&amp;"输出",标准坦克设计!$B$23:$U$23,0)))*(VLOOKUP($B192,INDIRECT($B$5&amp;"生成成长"),3))*(VLOOKUP($B$5,标准坦克设计!$B$14:$K$20,9)/30))</f>
        <v>15.316190148477498</v>
      </c>
      <c r="CT192" s="173">
        <f ca="1">(VLOOKUP(CT$72,INDIRECT($C$5&amp;"生成成长"),2))/((VLOOKUP($B192,INDIRECT($B$5&amp;"生成成长"),4))/(VLOOKUP(CT$72,INDIRECT($C$5&amp;"生成成长"),5))*(VLOOKUP($B$5,标准坦克设计!$B$24:$U$30,MATCH("对"&amp;LEFT($C$5,2)&amp;"输出",标准坦克设计!$B$23:$U$23,0)))*(VLOOKUP($B192,INDIRECT($B$5&amp;"生成成长"),3))*(VLOOKUP($B$5,标准坦克设计!$B$14:$K$20,9)/30))</f>
        <v>16.512752976792189</v>
      </c>
      <c r="CU192" s="173">
        <f ca="1">(VLOOKUP(CU$72,INDIRECT($C$5&amp;"生成成长"),2))/((VLOOKUP($B192,INDIRECT($B$5&amp;"生成成长"),4))/(VLOOKUP(CU$72,INDIRECT($C$5&amp;"生成成长"),5))*(VLOOKUP($B$5,标准坦克设计!$B$24:$U$30,MATCH("对"&amp;LEFT($C$5,2)&amp;"输出",标准坦克设计!$B$23:$U$23,0)))*(VLOOKUP($B192,INDIRECT($B$5&amp;"生成成长"),3))*(VLOOKUP($B$5,标准坦克设计!$B$14:$K$20,9)/30))</f>
        <v>17.75431474907769</v>
      </c>
      <c r="CV192" s="173">
        <f ca="1">(VLOOKUP(CV$72,INDIRECT($C$5&amp;"生成成长"),2))/((VLOOKUP($B192,INDIRECT($B$5&amp;"生成成长"),4))/(VLOOKUP(CV$72,INDIRECT($C$5&amp;"生成成长"),5))*(VLOOKUP($B$5,标准坦克设计!$B$24:$U$30,MATCH("对"&amp;LEFT($C$5,2)&amp;"输出",标准坦克设计!$B$23:$U$23,0)))*(VLOOKUP($B192,INDIRECT($B$5&amp;"生成成长"),3))*(VLOOKUP($B$5,标准坦克设计!$B$14:$K$20,9)/30))</f>
        <v>19.040875465333993</v>
      </c>
      <c r="CW192" s="173">
        <f ca="1">(VLOOKUP(CW$72,INDIRECT($C$5&amp;"生成成长"),2))/((VLOOKUP($B192,INDIRECT($B$5&amp;"生成成长"),4))/(VLOOKUP(CW$72,INDIRECT($C$5&amp;"生成成长"),5))*(VLOOKUP($B$5,标准坦克设计!$B$24:$U$30,MATCH("对"&amp;LEFT($C$5,2)&amp;"输出",标准坦克设计!$B$23:$U$23,0)))*(VLOOKUP($B192,INDIRECT($B$5&amp;"生成成长"),3))*(VLOOKUP($B$5,标准坦克设计!$B$14:$K$20,9)/30))</f>
        <v>20.372435125561115</v>
      </c>
      <c r="CX192" s="173">
        <f ca="1">(VLOOKUP(CX$72,INDIRECT($C$5&amp;"生成成长"),2))/((VLOOKUP($B192,INDIRECT($B$5&amp;"生成成长"),4))/(VLOOKUP(CX$72,INDIRECT($C$5&amp;"生成成长"),5))*(VLOOKUP($B$5,标准坦克设计!$B$24:$U$30,MATCH("对"&amp;LEFT($C$5,2)&amp;"输出",标准坦克设计!$B$23:$U$23,0)))*(VLOOKUP($B192,INDIRECT($B$5&amp;"生成成长"),3))*(VLOOKUP($B$5,标准坦克设计!$B$14:$K$20,9)/30))</f>
        <v>21.748993729759039</v>
      </c>
      <c r="CY192" s="173">
        <f ca="1">(VLOOKUP(CY$72,INDIRECT($C$5&amp;"生成成长"),2))/((VLOOKUP($B192,INDIRECT($B$5&amp;"生成成长"),4))/(VLOOKUP(CY$72,INDIRECT($C$5&amp;"生成成长"),5))*(VLOOKUP($B$5,标准坦克设计!$B$24:$U$30,MATCH("对"&amp;LEFT($C$5,2)&amp;"输出",标准坦克设计!$B$23:$U$23,0)))*(VLOOKUP($B192,INDIRECT($B$5&amp;"生成成长"),3))*(VLOOKUP($B$5,标准坦克设计!$B$14:$K$20,9)/30))</f>
        <v>23.170551277927771</v>
      </c>
      <c r="CZ192" s="173">
        <f ca="1">(VLOOKUP(CZ$72,INDIRECT($C$5&amp;"生成成长"),2))/((VLOOKUP($B192,INDIRECT($B$5&amp;"生成成长"),4))/(VLOOKUP(CZ$72,INDIRECT($C$5&amp;"生成成长"),5))*(VLOOKUP($B$5,标准坦克设计!$B$24:$U$30,MATCH("对"&amp;LEFT($C$5,2)&amp;"输出",标准坦克设计!$B$23:$U$23,0)))*(VLOOKUP($B192,INDIRECT($B$5&amp;"生成成长"),3))*(VLOOKUP($B$5,标准坦克设计!$B$14:$K$20,9)/30))</f>
        <v>24.637107770067317</v>
      </c>
      <c r="DA192" s="173">
        <f ca="1">(VLOOKUP(DA$72,INDIRECT($C$5&amp;"生成成长"),2))/((VLOOKUP($B192,INDIRECT($B$5&amp;"生成成长"),4))/(VLOOKUP(DA$72,INDIRECT($C$5&amp;"生成成长"),5))*(VLOOKUP($B$5,标准坦克设计!$B$24:$U$30,MATCH("对"&amp;LEFT($C$5,2)&amp;"输出",标准坦克设计!$B$23:$U$23,0)))*(VLOOKUP($B192,INDIRECT($B$5&amp;"生成成长"),3))*(VLOOKUP($B$5,标准坦克设计!$B$14:$K$20,9)/30))</f>
        <v>26.148663206177662</v>
      </c>
      <c r="DB192" s="173">
        <f ca="1">(VLOOKUP(DB$72,INDIRECT($C$5&amp;"生成成长"),2))/((VLOOKUP($B192,INDIRECT($B$5&amp;"生成成长"),4))/(VLOOKUP(DB$72,INDIRECT($C$5&amp;"生成成长"),5))*(VLOOKUP($B$5,标准坦克设计!$B$24:$U$30,MATCH("对"&amp;LEFT($C$5,2)&amp;"输出",标准坦克设计!$B$23:$U$23,0)))*(VLOOKUP($B192,INDIRECT($B$5&amp;"生成成长"),3))*(VLOOKUP($B$5,标准坦克设计!$B$14:$K$20,9)/30))</f>
        <v>27.705217586258822</v>
      </c>
      <c r="DC192" s="173">
        <f ca="1">(VLOOKUP(DC$72,INDIRECT($C$5&amp;"生成成长"),2))/((VLOOKUP($B192,INDIRECT($B$5&amp;"生成成长"),4))/(VLOOKUP(DC$72,INDIRECT($C$5&amp;"生成成长"),5))*(VLOOKUP($B$5,标准坦克设计!$B$24:$U$30,MATCH("对"&amp;LEFT($C$5,2)&amp;"输出",标准坦克设计!$B$23:$U$23,0)))*(VLOOKUP($B192,INDIRECT($B$5&amp;"生成成长"),3))*(VLOOKUP($B$5,标准坦克设计!$B$14:$K$20,9)/30))</f>
        <v>29.454598019636386</v>
      </c>
      <c r="DD192" s="173">
        <f ca="1">(VLOOKUP(DD$72,INDIRECT($C$5&amp;"生成成长"),2))/((VLOOKUP($B192,INDIRECT($B$5&amp;"生成成长"),4))/(VLOOKUP(DD$72,INDIRECT($C$5&amp;"生成成长"),5))*(VLOOKUP($B$5,标准坦克设计!$B$24:$U$30,MATCH("对"&amp;LEFT($C$5,2)&amp;"输出",标准坦克设计!$B$23:$U$23,0)))*(VLOOKUP($B192,INDIRECT($B$5&amp;"生成成长"),3))*(VLOOKUP($B$5,标准坦克设计!$B$14:$K$20,9)/30))</f>
        <v>31.257530915260201</v>
      </c>
      <c r="DE192" s="173">
        <f ca="1">(VLOOKUP(DE$72,INDIRECT($C$5&amp;"生成成长"),2))/((VLOOKUP($B192,INDIRECT($B$5&amp;"生成成长"),4))/(VLOOKUP(DE$72,INDIRECT($C$5&amp;"生成成长"),5))*(VLOOKUP($B$5,标准坦克设计!$B$24:$U$30,MATCH("对"&amp;LEFT($C$5,2)&amp;"输出",标准坦克设计!$B$23:$U$23,0)))*(VLOOKUP($B192,INDIRECT($B$5&amp;"生成成长"),3))*(VLOOKUP($B$5,标准坦克设计!$B$14:$K$20,9)/30))</f>
        <v>33.114016273130268</v>
      </c>
      <c r="DF192" s="173">
        <f ca="1">(VLOOKUP(DF$72,INDIRECT($C$5&amp;"生成成长"),2))/((VLOOKUP($B192,INDIRECT($B$5&amp;"生成成长"),4))/(VLOOKUP(DF$72,INDIRECT($C$5&amp;"生成成长"),5))*(VLOOKUP($B$5,标准坦克设计!$B$24:$U$30,MATCH("对"&amp;LEFT($C$5,2)&amp;"输出",标准坦克设计!$B$23:$U$23,0)))*(VLOOKUP($B192,INDIRECT($B$5&amp;"生成成长"),3))*(VLOOKUP($B$5,标准坦克设计!$B$14:$K$20,9)/30))</f>
        <v>35.02405409324659</v>
      </c>
      <c r="DG192" s="173">
        <f ca="1">(VLOOKUP(DG$72,INDIRECT($C$5&amp;"生成成长"),2))/((VLOOKUP($B192,INDIRECT($B$5&amp;"生成成长"),4))/(VLOOKUP(DG$72,INDIRECT($C$5&amp;"生成成长"),5))*(VLOOKUP($B$5,标准坦克设计!$B$24:$U$30,MATCH("对"&amp;LEFT($C$5,2)&amp;"输出",标准坦克设计!$B$23:$U$23,0)))*(VLOOKUP($B192,INDIRECT($B$5&amp;"生成成长"),3))*(VLOOKUP($B$5,标准坦克设计!$B$14:$K$20,9)/30))</f>
        <v>36.98764437560915</v>
      </c>
      <c r="DH192" s="173">
        <f ca="1">(VLOOKUP(DH$72,INDIRECT($C$5&amp;"生成成长"),2))/((VLOOKUP($B192,INDIRECT($B$5&amp;"生成成长"),4))/(VLOOKUP(DH$72,INDIRECT($C$5&amp;"生成成长"),5))*(VLOOKUP($B$5,标准坦克设计!$B$24:$U$30,MATCH("对"&amp;LEFT($C$5,2)&amp;"输出",标准坦克设计!$B$23:$U$23,0)))*(VLOOKUP($B192,INDIRECT($B$5&amp;"生成成长"),3))*(VLOOKUP($B$5,标准坦克设计!$B$14:$K$20,9)/30))</f>
        <v>39.004787120217969</v>
      </c>
      <c r="DI192" s="173">
        <f ca="1">(VLOOKUP(DI$72,INDIRECT($C$5&amp;"生成成长"),2))/((VLOOKUP($B192,INDIRECT($B$5&amp;"生成成长"),4))/(VLOOKUP(DI$72,INDIRECT($C$5&amp;"生成成长"),5))*(VLOOKUP($B$5,标准坦克设计!$B$24:$U$30,MATCH("对"&amp;LEFT($C$5,2)&amp;"输出",标准坦克设计!$B$23:$U$23,0)))*(VLOOKUP($B192,INDIRECT($B$5&amp;"生成成长"),3))*(VLOOKUP($B$5,标准坦克设计!$B$14:$K$20,9)/30))</f>
        <v>41.07548232707304</v>
      </c>
      <c r="DJ192" s="173">
        <f ca="1">(VLOOKUP(DJ$72,INDIRECT($C$5&amp;"生成成长"),2))/((VLOOKUP($B192,INDIRECT($B$5&amp;"生成成长"),4))/(VLOOKUP(DJ$72,INDIRECT($C$5&amp;"生成成长"),5))*(VLOOKUP($B$5,标准坦克设计!$B$24:$U$30,MATCH("对"&amp;LEFT($C$5,2)&amp;"输出",标准坦克设计!$B$23:$U$23,0)))*(VLOOKUP($B192,INDIRECT($B$5&amp;"生成成长"),3))*(VLOOKUP($B$5,标准坦克设计!$B$14:$K$20,9)/30))</f>
        <v>4.1281882441980473</v>
      </c>
      <c r="DK192" s="173">
        <f ca="1">(VLOOKUP(DK$72,INDIRECT($C$5&amp;"生成成长"),2))/((VLOOKUP($B192,INDIRECT($B$5&amp;"生成成长"),4))/(VLOOKUP(DK$72,INDIRECT($C$5&amp;"生成成长"),5))*(VLOOKUP($B$5,标准坦克设计!$B$24:$U$30,MATCH("对"&amp;LEFT($C$5,2)&amp;"输出",标准坦克设计!$B$23:$U$23,0)))*(VLOOKUP($B192,INDIRECT($B$5&amp;"生成成长"),3))*(VLOOKUP($B$5,标准坦克设计!$B$14:$K$20,9)/30))</f>
        <v>4.6419571788730263</v>
      </c>
      <c r="DL192" s="173">
        <f ca="1">(VLOOKUP(DL$72,INDIRECT($C$5&amp;"生成成长"),2))/((VLOOKUP($B192,INDIRECT($B$5&amp;"生成成长"),4))/(VLOOKUP(DL$72,INDIRECT($C$5&amp;"生成成长"),5))*(VLOOKUP($B$5,标准坦克设计!$B$24:$U$30,MATCH("对"&amp;LEFT($C$5,2)&amp;"输出",标准坦克设计!$B$23:$U$23,0)))*(VLOOKUP($B192,INDIRECT($B$5&amp;"生成成长"),3))*(VLOOKUP($B$5,标准坦克设计!$B$14:$K$20,9)/30))</f>
        <v>5.1858493735615205</v>
      </c>
      <c r="DM192" s="173">
        <f ca="1">(VLOOKUP(DM$72,INDIRECT($C$5&amp;"生成成长"),2))/((VLOOKUP($B192,INDIRECT($B$5&amp;"生成成长"),4))/(VLOOKUP(DM$72,INDIRECT($C$5&amp;"生成成长"),5))*(VLOOKUP($B$5,标准坦克设计!$B$24:$U$30,MATCH("对"&amp;LEFT($C$5,2)&amp;"输出",标准坦克设计!$B$23:$U$23,0)))*(VLOOKUP($B192,INDIRECT($B$5&amp;"生成成长"),3))*(VLOOKUP($B$5,标准坦克设计!$B$14:$K$20,9)/30))</f>
        <v>5.7598648282635345</v>
      </c>
      <c r="DN192" s="173">
        <f ca="1">(VLOOKUP(DN$72,INDIRECT($C$5&amp;"生成成长"),2))/((VLOOKUP($B192,INDIRECT($B$5&amp;"生成成长"),4))/(VLOOKUP(DN$72,INDIRECT($C$5&amp;"生成成长"),5))*(VLOOKUP($B$5,标准坦克设计!$B$24:$U$30,MATCH("对"&amp;LEFT($C$5,2)&amp;"输出",标准坦克设计!$B$23:$U$23,0)))*(VLOOKUP($B192,INDIRECT($B$5&amp;"生成成长"),3))*(VLOOKUP($B$5,标准坦克设计!$B$14:$K$20,9)/30))</f>
        <v>6.364003542979062</v>
      </c>
      <c r="DO192" s="173">
        <f ca="1">(VLOOKUP(DO$72,INDIRECT($C$5&amp;"生成成长"),2))/((VLOOKUP($B192,INDIRECT($B$5&amp;"生成成长"),4))/(VLOOKUP(DO$72,INDIRECT($C$5&amp;"生成成长"),5))*(VLOOKUP($B$5,标准坦克设计!$B$24:$U$30,MATCH("对"&amp;LEFT($C$5,2)&amp;"输出",标准坦克设计!$B$23:$U$23,0)))*(VLOOKUP($B192,INDIRECT($B$5&amp;"生成成长"),3))*(VLOOKUP($B$5,标准坦克设计!$B$14:$K$20,9)/30))</f>
        <v>6.9982655177081083</v>
      </c>
      <c r="DP192" s="173">
        <f ca="1">(VLOOKUP(DP$72,INDIRECT($C$5&amp;"生成成长"),2))/((VLOOKUP($B192,INDIRECT($B$5&amp;"生成成长"),4))/(VLOOKUP(DP$72,INDIRECT($C$5&amp;"生成成长"),5))*(VLOOKUP($B$5,标准坦克设计!$B$24:$U$30,MATCH("对"&amp;LEFT($C$5,2)&amp;"输出",标准坦克设计!$B$23:$U$23,0)))*(VLOOKUP($B192,INDIRECT($B$5&amp;"生成成长"),3))*(VLOOKUP($B$5,标准坦克设计!$B$14:$K$20,9)/30))</f>
        <v>7.6626507524506708</v>
      </c>
      <c r="DQ192" s="173">
        <f ca="1">(VLOOKUP(DQ$72,INDIRECT($C$5&amp;"生成成长"),2))/((VLOOKUP($B192,INDIRECT($B$5&amp;"生成成长"),4))/(VLOOKUP(DQ$72,INDIRECT($C$5&amp;"生成成长"),5))*(VLOOKUP($B$5,标准坦克设计!$B$24:$U$30,MATCH("对"&amp;LEFT($C$5,2)&amp;"输出",标准坦克设计!$B$23:$U$23,0)))*(VLOOKUP($B192,INDIRECT($B$5&amp;"生成成长"),3))*(VLOOKUP($B$5,标准坦克设计!$B$14:$K$20,9)/30))</f>
        <v>8.3571592472067486</v>
      </c>
      <c r="DR192" s="173">
        <f ca="1">(VLOOKUP(DR$72,INDIRECT($C$5&amp;"生成成长"),2))/((VLOOKUP($B192,INDIRECT($B$5&amp;"生成成长"),4))/(VLOOKUP(DR$72,INDIRECT($C$5&amp;"生成成长"),5))*(VLOOKUP($B$5,标准坦克设计!$B$24:$U$30,MATCH("对"&amp;LEFT($C$5,2)&amp;"输出",标准坦克设计!$B$23:$U$23,0)))*(VLOOKUP($B192,INDIRECT($B$5&amp;"生成成长"),3))*(VLOOKUP($B$5,标准坦克设计!$B$14:$K$20,9)/30))</f>
        <v>9.0817910019763453</v>
      </c>
      <c r="DS192" s="173">
        <f ca="1">(VLOOKUP(DS$72,INDIRECT($C$5&amp;"生成成长"),2))/((VLOOKUP($B192,INDIRECT($B$5&amp;"生成成长"),4))/(VLOOKUP(DS$72,INDIRECT($C$5&amp;"生成成长"),5))*(VLOOKUP($B$5,标准坦克设计!$B$24:$U$30,MATCH("对"&amp;LEFT($C$5,2)&amp;"输出",标准坦克设计!$B$23:$U$23,0)))*(VLOOKUP($B192,INDIRECT($B$5&amp;"生成成长"),3))*(VLOOKUP($B$5,标准坦克设计!$B$14:$K$20,9)/30))</f>
        <v>9.8365460167594563</v>
      </c>
      <c r="DT192" s="173">
        <f ca="1">(VLOOKUP(DT$72,INDIRECT($C$5&amp;"生成成长"),2))/((VLOOKUP($B192,INDIRECT($B$5&amp;"生成成长"),4))/(VLOOKUP(DT$72,INDIRECT($C$5&amp;"生成成长"),5))*(VLOOKUP($B$5,标准坦克设计!$B$24:$U$30,MATCH("对"&amp;LEFT($C$5,2)&amp;"输出",标准坦克设计!$B$23:$U$23,0)))*(VLOOKUP($B192,INDIRECT($B$5&amp;"生成成长"),3))*(VLOOKUP($B$5,标准坦克设计!$B$14:$K$20,9)/30))</f>
        <v>10.799932499043591</v>
      </c>
      <c r="DU192" s="173">
        <f ca="1">(VLOOKUP(DU$72,INDIRECT($C$5&amp;"生成成长"),2))/((VLOOKUP($B192,INDIRECT($B$5&amp;"生成成长"),4))/(VLOOKUP(DU$72,INDIRECT($C$5&amp;"生成成长"),5))*(VLOOKUP($B$5,标准坦克设计!$B$24:$U$30,MATCH("对"&amp;LEFT($C$5,2)&amp;"输出",标准坦克设计!$B$23:$U$23,0)))*(VLOOKUP($B192,INDIRECT($B$5&amp;"生成成长"),3))*(VLOOKUP($B$5,标准坦克设计!$B$14:$K$20,9)/30))</f>
        <v>11.808317925298535</v>
      </c>
      <c r="DV192" s="173">
        <f ca="1">(VLOOKUP(DV$72,INDIRECT($C$5&amp;"生成成长"),2))/((VLOOKUP($B192,INDIRECT($B$5&amp;"生成成长"),4))/(VLOOKUP(DV$72,INDIRECT($C$5&amp;"生成成长"),5))*(VLOOKUP($B$5,标准坦克设计!$B$24:$U$30,MATCH("对"&amp;LEFT($C$5,2)&amp;"输出",标准坦克设计!$B$23:$U$23,0)))*(VLOOKUP($B192,INDIRECT($B$5&amp;"生成成长"),3))*(VLOOKUP($B$5,标准坦克设计!$B$14:$K$20,9)/30))</f>
        <v>12.861702295524289</v>
      </c>
      <c r="DW192" s="173">
        <f ca="1">(VLOOKUP(DW$72,INDIRECT($C$5&amp;"生成成长"),2))/((VLOOKUP($B192,INDIRECT($B$5&amp;"生成成长"),4))/(VLOOKUP(DW$72,INDIRECT($C$5&amp;"生成成长"),5))*(VLOOKUP($B$5,标准坦克设计!$B$24:$U$30,MATCH("对"&amp;LEFT($C$5,2)&amp;"输出",标准坦克设计!$B$23:$U$23,0)))*(VLOOKUP($B192,INDIRECT($B$5&amp;"生成成长"),3))*(VLOOKUP($B$5,标准坦克设计!$B$14:$K$20,9)/30))</f>
        <v>13.960085609720853</v>
      </c>
      <c r="DX192" s="173">
        <f ca="1">(VLOOKUP(DX$72,INDIRECT($C$5&amp;"生成成长"),2))/((VLOOKUP($B192,INDIRECT($B$5&amp;"生成成长"),4))/(VLOOKUP(DX$72,INDIRECT($C$5&amp;"生成成长"),5))*(VLOOKUP($B$5,标准坦克设计!$B$24:$U$30,MATCH("对"&amp;LEFT($C$5,2)&amp;"输出",标准坦克设计!$B$23:$U$23,0)))*(VLOOKUP($B192,INDIRECT($B$5&amp;"生成成长"),3))*(VLOOKUP($B$5,标准坦克设计!$B$14:$K$20,9)/30))</f>
        <v>15.103467867888224</v>
      </c>
      <c r="DY192" s="173">
        <f ca="1">(VLOOKUP(DY$72,INDIRECT($C$5&amp;"生成成长"),2))/((VLOOKUP($B192,INDIRECT($B$5&amp;"生成成长"),4))/(VLOOKUP(DY$72,INDIRECT($C$5&amp;"生成成长"),5))*(VLOOKUP($B$5,标准坦克设计!$B$24:$U$30,MATCH("对"&amp;LEFT($C$5,2)&amp;"输出",标准坦克设计!$B$23:$U$23,0)))*(VLOOKUP($B192,INDIRECT($B$5&amp;"生成成长"),3))*(VLOOKUP($B$5,标准坦克设计!$B$14:$K$20,9)/30))</f>
        <v>6.7834978305747011</v>
      </c>
      <c r="DZ192" s="173">
        <f ca="1">(VLOOKUP(DZ$72,INDIRECT($C$5&amp;"生成成长"),2))/((VLOOKUP($B192,INDIRECT($B$5&amp;"生成成长"),4))/(VLOOKUP(DZ$72,INDIRECT($C$5&amp;"生成成长"),5))*(VLOOKUP($B$5,标准坦克设计!$B$24:$U$30,MATCH("对"&amp;LEFT($C$5,2)&amp;"输出",标准坦克设计!$B$23:$U$23,0)))*(VLOOKUP($B192,INDIRECT($B$5&amp;"生成成长"),3))*(VLOOKUP($B$5,标准坦克设计!$B$14:$K$20,9)/30))</f>
        <v>7.5124063444820193</v>
      </c>
      <c r="EA192" s="173">
        <f ca="1">(VLOOKUP(EA$72,INDIRECT($C$5&amp;"生成成长"),2))/((VLOOKUP($B192,INDIRECT($B$5&amp;"生成成长"),4))/(VLOOKUP(EA$72,INDIRECT($C$5&amp;"生成成长"),5))*(VLOOKUP($B$5,标准坦克设计!$B$24:$U$30,MATCH("对"&amp;LEFT($C$5,2)&amp;"输出",标准坦克设计!$B$23:$U$23,0)))*(VLOOKUP($B192,INDIRECT($B$5&amp;"生成成长"),3))*(VLOOKUP($B$5,标准坦克设计!$B$14:$K$20,9)/30))</f>
        <v>8.278504068282567</v>
      </c>
      <c r="EB192" s="173">
        <f ca="1">(VLOOKUP(EB$72,INDIRECT($C$5&amp;"生成成长"),2))/((VLOOKUP($B192,INDIRECT($B$5&amp;"生成成长"),4))/(VLOOKUP(EB$72,INDIRECT($C$5&amp;"生成成长"),5))*(VLOOKUP($B$5,标准坦克设计!$B$24:$U$30,MATCH("对"&amp;LEFT($C$5,2)&amp;"输出",标准坦克设计!$B$23:$U$23,0)))*(VLOOKUP($B192,INDIRECT($B$5&amp;"生成成长"),3))*(VLOOKUP($B$5,标准坦克设计!$B$14:$K$20,9)/30))</f>
        <v>9.0817910019763453</v>
      </c>
      <c r="EC192" s="173">
        <f ca="1">(VLOOKUP(EC$72,INDIRECT($C$5&amp;"生成成长"),2))/((VLOOKUP($B192,INDIRECT($B$5&amp;"生成成长"),4))/(VLOOKUP(EC$72,INDIRECT($C$5&amp;"生成成长"),5))*(VLOOKUP($B$5,标准坦克设计!$B$24:$U$30,MATCH("对"&amp;LEFT($C$5,2)&amp;"输出",标准坦克设计!$B$23:$U$23,0)))*(VLOOKUP($B192,INDIRECT($B$5&amp;"生成成长"),3))*(VLOOKUP($B$5,标准坦克设计!$B$14:$K$20,9)/30))</f>
        <v>9.9222671455633531</v>
      </c>
      <c r="ED192" s="173">
        <f ca="1">(VLOOKUP(ED$72,INDIRECT($C$5&amp;"生成成长"),2))/((VLOOKUP($B192,INDIRECT($B$5&amp;"生成成长"),4))/(VLOOKUP(ED$72,INDIRECT($C$5&amp;"生成成长"),5))*(VLOOKUP($B$5,标准坦克设计!$B$24:$U$30,MATCH("对"&amp;LEFT($C$5,2)&amp;"输出",标准坦克设计!$B$23:$U$23,0)))*(VLOOKUP($B192,INDIRECT($B$5&amp;"生成成长"),3))*(VLOOKUP($B$5,标准坦克设计!$B$14:$K$20,9)/30))</f>
        <v>10.799932499043591</v>
      </c>
      <c r="EE192" s="173">
        <f ca="1">(VLOOKUP(EE$72,INDIRECT($C$5&amp;"生成成长"),2))/((VLOOKUP($B192,INDIRECT($B$5&amp;"生成成长"),4))/(VLOOKUP(EE$72,INDIRECT($C$5&amp;"生成成长"),5))*(VLOOKUP($B$5,标准坦克设计!$B$24:$U$30,MATCH("对"&amp;LEFT($C$5,2)&amp;"输出",标准坦克设计!$B$23:$U$23,0)))*(VLOOKUP($B192,INDIRECT($B$5&amp;"生成成长"),3))*(VLOOKUP($B$5,标准坦克设计!$B$14:$K$20,9)/30))</f>
        <v>11.714787062417061</v>
      </c>
      <c r="EF192" s="173">
        <f ca="1">(VLOOKUP(EF$72,INDIRECT($C$5&amp;"生成成长"),2))/((VLOOKUP($B192,INDIRECT($B$5&amp;"生成成长"),4))/(VLOOKUP(EF$72,INDIRECT($C$5&amp;"生成成长"),5))*(VLOOKUP($B$5,标准坦克设计!$B$24:$U$30,MATCH("对"&amp;LEFT($C$5,2)&amp;"输出",标准坦克设计!$B$23:$U$23,0)))*(VLOOKUP($B192,INDIRECT($B$5&amp;"生成成长"),3))*(VLOOKUP($B$5,标准坦克设计!$B$14:$K$20,9)/30))</f>
        <v>12.666830835683761</v>
      </c>
      <c r="EG192" s="173">
        <f ca="1">(VLOOKUP(EG$72,INDIRECT($C$5&amp;"生成成长"),2))/((VLOOKUP($B192,INDIRECT($B$5&amp;"生成成长"),4))/(VLOOKUP(EG$72,INDIRECT($C$5&amp;"生成成长"),5))*(VLOOKUP($B$5,标准坦克设计!$B$24:$U$30,MATCH("对"&amp;LEFT($C$5,2)&amp;"输出",标准坦克设计!$B$23:$U$23,0)))*(VLOOKUP($B192,INDIRECT($B$5&amp;"生成成长"),3))*(VLOOKUP($B$5,标准坦克设计!$B$14:$K$20,9)/30))</f>
        <v>13.656063818843691</v>
      </c>
      <c r="EH192" s="173">
        <f ca="1">(VLOOKUP(EH$72,INDIRECT($C$5&amp;"生成成长"),2))/((VLOOKUP($B192,INDIRECT($B$5&amp;"生成成长"),4))/(VLOOKUP(EH$72,INDIRECT($C$5&amp;"生成成长"),5))*(VLOOKUP($B$5,标准坦克设计!$B$24:$U$30,MATCH("对"&amp;LEFT($C$5,2)&amp;"输出",标准坦克设计!$B$23:$U$23,0)))*(VLOOKUP($B192,INDIRECT($B$5&amp;"生成成长"),3))*(VLOOKUP($B$5,标准坦克设计!$B$14:$K$20,9)/30))</f>
        <v>14.682486011896851</v>
      </c>
      <c r="EI192" s="173">
        <f ca="1">(VLOOKUP(EI$72,INDIRECT($C$5&amp;"生成成长"),2))/((VLOOKUP($B192,INDIRECT($B$5&amp;"生成成长"),4))/(VLOOKUP(EI$72,INDIRECT($C$5&amp;"生成成长"),5))*(VLOOKUP($B$5,标准坦克设计!$B$24:$U$30,MATCH("对"&amp;LEFT($C$5,2)&amp;"输出",标准坦克设计!$B$23:$U$23,0)))*(VLOOKUP($B192,INDIRECT($B$5&amp;"生成成长"),3))*(VLOOKUP($B$5,标准坦克设计!$B$14:$K$20,9)/30))</f>
        <v>15.746097414843245</v>
      </c>
      <c r="EJ192" s="173">
        <f ca="1">(VLOOKUP(EJ$72,INDIRECT($C$5&amp;"生成成长"),2))/((VLOOKUP($B192,INDIRECT($B$5&amp;"生成成长"),4))/(VLOOKUP(EJ$72,INDIRECT($C$5&amp;"生成成长"),5))*(VLOOKUP($B$5,标准坦克设计!$B$24:$U$30,MATCH("对"&amp;LEFT($C$5,2)&amp;"输出",标准坦克设计!$B$23:$U$23,0)))*(VLOOKUP($B192,INDIRECT($B$5&amp;"生成成长"),3))*(VLOOKUP($B$5,标准坦克设计!$B$14:$K$20,9)/30))</f>
        <v>16.846898027682862</v>
      </c>
      <c r="EK192" s="173">
        <f ca="1">(VLOOKUP(EK$72,INDIRECT($C$5&amp;"生成成长"),2))/((VLOOKUP($B192,INDIRECT($B$5&amp;"生成成长"),4))/(VLOOKUP(EK$72,INDIRECT($C$5&amp;"生成成长"),5))*(VLOOKUP($B$5,标准坦克设计!$B$24:$U$30,MATCH("对"&amp;LEFT($C$5,2)&amp;"输出",标准坦克设计!$B$23:$U$23,0)))*(VLOOKUP($B192,INDIRECT($B$5&amp;"生成成长"),3))*(VLOOKUP($B$5,标准坦克设计!$B$14:$K$20,9)/30))</f>
        <v>18.216948520149476</v>
      </c>
      <c r="EL192" s="173">
        <f ca="1">(VLOOKUP(EL$72,INDIRECT($C$5&amp;"生成成长"),2))/((VLOOKUP($B192,INDIRECT($B$5&amp;"生成成长"),4))/(VLOOKUP(EL$72,INDIRECT($C$5&amp;"生成成长"),5))*(VLOOKUP($B$5,标准坦克设计!$B$24:$U$30,MATCH("对"&amp;LEFT($C$5,2)&amp;"输出",标准坦克设计!$B$23:$U$23,0)))*(VLOOKUP($B192,INDIRECT($B$5&amp;"生成成长"),3))*(VLOOKUP($B$5,标准坦克设计!$B$14:$K$20,9)/30))</f>
        <v>19.640551474862335</v>
      </c>
      <c r="EM192" s="173">
        <f ca="1">(VLOOKUP(EM$72,INDIRECT($C$5&amp;"生成成长"),2))/((VLOOKUP($B192,INDIRECT($B$5&amp;"生成成长"),4))/(VLOOKUP(EM$72,INDIRECT($C$5&amp;"生成成长"),5))*(VLOOKUP($B$5,标准坦克设计!$B$24:$U$30,MATCH("对"&amp;LEFT($C$5,2)&amp;"输出",标准坦克设计!$B$23:$U$23,0)))*(VLOOKUP($B192,INDIRECT($B$5&amp;"生成成长"),3))*(VLOOKUP($B$5,标准坦克设计!$B$14:$K$20,9)/30))</f>
        <v>21.117706891821452</v>
      </c>
      <c r="EN192" s="173">
        <f ca="1">(VLOOKUP(EN$72,INDIRECT($C$5&amp;"生成成长"),2))/((VLOOKUP($B192,INDIRECT($B$5&amp;"生成成长"),4))/(VLOOKUP(EN$72,INDIRECT($C$5&amp;"生成成长"),5))*(VLOOKUP($B$5,标准坦克设计!$B$24:$U$30,MATCH("对"&amp;LEFT($C$5,2)&amp;"输出",标准坦克设计!$B$23:$U$23,0)))*(VLOOKUP($B192,INDIRECT($B$5&amp;"生成成长"),3))*(VLOOKUP($B$5,标准坦克设计!$B$14:$K$20,9)/30))</f>
        <v>22.648414771026818</v>
      </c>
      <c r="EO192" s="173">
        <f ca="1">(VLOOKUP(EO$72,INDIRECT($C$5&amp;"生成成长"),2))/((VLOOKUP($B192,INDIRECT($B$5&amp;"生成成长"),4))/(VLOOKUP(EO$72,INDIRECT($C$5&amp;"生成成长"),5))*(VLOOKUP($B$5,标准坦克设计!$B$24:$U$30,MATCH("对"&amp;LEFT($C$5,2)&amp;"输出",标准坦克设计!$B$23:$U$23,0)))*(VLOOKUP($B192,INDIRECT($B$5&amp;"生成成长"),3))*(VLOOKUP($B$5,标准坦克设计!$B$14:$K$20,9)/30))</f>
        <v>24.232675112478436</v>
      </c>
      <c r="EP192" s="173">
        <f ca="1">(VLOOKUP(EP$72,INDIRECT($C$5&amp;"生成成长"),2))/((VLOOKUP($B192,INDIRECT($B$5&amp;"生成成长"),4))/(VLOOKUP(EP$72,INDIRECT($C$5&amp;"生成成长"),5))*(VLOOKUP($B$5,标准坦克设计!$B$24:$U$30,MATCH("对"&amp;LEFT($C$5,2)&amp;"输出",标准坦克设计!$B$23:$U$23,0)))*(VLOOKUP($B192,INDIRECT($B$5&amp;"生成成长"),3))*(VLOOKUP($B$5,标准坦克设计!$B$14:$K$20,9)/30))</f>
        <v>25.870487916176309</v>
      </c>
      <c r="EQ192" s="173">
        <f ca="1">(VLOOKUP(EQ$72,INDIRECT($C$5&amp;"生成成长"),2))/((VLOOKUP($B192,INDIRECT($B$5&amp;"生成成长"),4))/(VLOOKUP(EQ$72,INDIRECT($C$5&amp;"生成成长"),5))*(VLOOKUP($B$5,标准坦克设计!$B$24:$U$30,MATCH("对"&amp;LEFT($C$5,2)&amp;"输出",标准坦克设计!$B$23:$U$23,0)))*(VLOOKUP($B192,INDIRECT($B$5&amp;"生成成长"),3))*(VLOOKUP($B$5,标准坦克设计!$B$14:$K$20,9)/30))</f>
        <v>11.43642582636623</v>
      </c>
      <c r="ER192" s="173">
        <f ca="1">(VLOOKUP(ER$72,INDIRECT($C$5&amp;"生成成长"),2))/((VLOOKUP($B192,INDIRECT($B$5&amp;"生成成长"),4))/(VLOOKUP(ER$72,INDIRECT($C$5&amp;"生成成长"),5))*(VLOOKUP($B$5,标准坦克设计!$B$24:$U$30,MATCH("对"&amp;LEFT($C$5,2)&amp;"输出",标准坦克设计!$B$23:$U$23,0)))*(VLOOKUP($B192,INDIRECT($B$5&amp;"生成成长"),3))*(VLOOKUP($B$5,标准坦克设计!$B$14:$K$20,9)/30))</f>
        <v>12.473446944238963</v>
      </c>
      <c r="ES192" s="173">
        <f ca="1">(VLOOKUP(ES$72,INDIRECT($C$5&amp;"生成成长"),2))/((VLOOKUP($B192,INDIRECT($B$5&amp;"生成成长"),4))/(VLOOKUP(ES$72,INDIRECT($C$5&amp;"生成成长"),5))*(VLOOKUP($B$5,标准坦克设计!$B$24:$U$30,MATCH("对"&amp;LEFT($C$5,2)&amp;"输出",标准坦克设计!$B$23:$U$23,0)))*(VLOOKUP($B192,INDIRECT($B$5&amp;"生成成长"),3))*(VLOOKUP($B$5,标准坦克设计!$B$14:$K$20,9)/30))</f>
        <v>13.555467006082502</v>
      </c>
      <c r="ET192" s="173">
        <f ca="1">(VLOOKUP(ET$72,INDIRECT($C$5&amp;"生成成长"),2))/((VLOOKUP($B192,INDIRECT($B$5&amp;"生成成长"),4))/(VLOOKUP(ET$72,INDIRECT($C$5&amp;"生成成长"),5))*(VLOOKUP($B$5,标准坦克设计!$B$24:$U$30,MATCH("对"&amp;LEFT($C$5,2)&amp;"输出",标准坦克设计!$B$23:$U$23,0)))*(VLOOKUP($B192,INDIRECT($B$5&amp;"生成成长"),3))*(VLOOKUP($B$5,标准坦克设计!$B$14:$K$20,9)/30))</f>
        <v>14.682486011896851</v>
      </c>
      <c r="EU192" s="173">
        <f ca="1">(VLOOKUP(EU$72,INDIRECT($C$5&amp;"生成成长"),2))/((VLOOKUP($B192,INDIRECT($B$5&amp;"生成成长"),4))/(VLOOKUP(EU$72,INDIRECT($C$5&amp;"生成成长"),5))*(VLOOKUP($B$5,标准坦克设计!$B$24:$U$30,MATCH("对"&amp;LEFT($C$5,2)&amp;"输出",标准坦克设计!$B$23:$U$23,0)))*(VLOOKUP($B192,INDIRECT($B$5&amp;"生成成长"),3))*(VLOOKUP($B$5,标准坦克设计!$B$14:$K$20,9)/30))</f>
        <v>15.854503961682012</v>
      </c>
      <c r="EV192" s="173">
        <f ca="1">(VLOOKUP(EV$72,INDIRECT($C$5&amp;"生成成长"),2))/((VLOOKUP($B192,INDIRECT($B$5&amp;"生成成长"),4))/(VLOOKUP(EV$72,INDIRECT($C$5&amp;"生成成长"),5))*(VLOOKUP($B$5,标准坦克设计!$B$24:$U$30,MATCH("对"&amp;LEFT($C$5,2)&amp;"输出",标准坦克设计!$B$23:$U$23,0)))*(VLOOKUP($B192,INDIRECT($B$5&amp;"生成成长"),3))*(VLOOKUP($B$5,标准坦克设计!$B$14:$K$20,9)/30))</f>
        <v>17.071520855437981</v>
      </c>
      <c r="EW192" s="173">
        <f ca="1">(VLOOKUP(EW$72,INDIRECT($C$5&amp;"生成成长"),2))/((VLOOKUP($B192,INDIRECT($B$5&amp;"生成成长"),4))/(VLOOKUP(EW$72,INDIRECT($C$5&amp;"生成成长"),5))*(VLOOKUP($B$5,标准坦克设计!$B$24:$U$30,MATCH("对"&amp;LEFT($C$5,2)&amp;"输出",标准坦克设计!$B$23:$U$23,0)))*(VLOOKUP($B192,INDIRECT($B$5&amp;"生成成长"),3))*(VLOOKUP($B$5,标准坦克设计!$B$14:$K$20,9)/30))</f>
        <v>18.333536693164756</v>
      </c>
      <c r="EX192" s="173">
        <f ca="1">(VLOOKUP(EX$72,INDIRECT($C$5&amp;"生成成长"),2))/((VLOOKUP($B192,INDIRECT($B$5&amp;"生成成长"),4))/(VLOOKUP(EX$72,INDIRECT($C$5&amp;"生成成长"),5))*(VLOOKUP($B$5,标准坦克设计!$B$24:$U$30,MATCH("对"&amp;LEFT($C$5,2)&amp;"输出",标准坦克设计!$B$23:$U$23,0)))*(VLOOKUP($B192,INDIRECT($B$5&amp;"生成成长"),3))*(VLOOKUP($B$5,标准坦克设计!$B$14:$K$20,9)/30))</f>
        <v>19.640551474862335</v>
      </c>
      <c r="EY192" s="173">
        <f ca="1">(VLOOKUP(EY$72,INDIRECT($C$5&amp;"生成成长"),2))/((VLOOKUP($B192,INDIRECT($B$5&amp;"生成成长"),4))/(VLOOKUP(EY$72,INDIRECT($C$5&amp;"生成成长"),5))*(VLOOKUP($B$5,标准坦克设计!$B$24:$U$30,MATCH("对"&amp;LEFT($C$5,2)&amp;"输出",标准坦克设计!$B$23:$U$23,0)))*(VLOOKUP($B192,INDIRECT($B$5&amp;"生成成长"),3))*(VLOOKUP($B$5,标准坦克设计!$B$14:$K$20,9)/30))</f>
        <v>20.992565200530731</v>
      </c>
      <c r="EZ192" s="173">
        <f ca="1">(VLOOKUP(EZ$72,INDIRECT($C$5&amp;"生成成长"),2))/((VLOOKUP($B192,INDIRECT($B$5&amp;"生成成长"),4))/(VLOOKUP(EZ$72,INDIRECT($C$5&amp;"生成成长"),5))*(VLOOKUP($B$5,标准坦克设计!$B$24:$U$30,MATCH("对"&amp;LEFT($C$5,2)&amp;"输出",标准坦克设计!$B$23:$U$23,0)))*(VLOOKUP($B192,INDIRECT($B$5&amp;"生成成长"),3))*(VLOOKUP($B$5,标准坦克设计!$B$14:$K$20,9)/30))</f>
        <v>22.389577870169937</v>
      </c>
      <c r="FA192" s="173">
        <f ca="1">(VLOOKUP(FA$72,INDIRECT($C$5&amp;"生成成长"),2))/((VLOOKUP($B192,INDIRECT($B$5&amp;"生成成长"),4))/(VLOOKUP(FA$72,INDIRECT($C$5&amp;"生成成长"),5))*(VLOOKUP($B$5,标准坦克设计!$B$24:$U$30,MATCH("对"&amp;LEFT($C$5,2)&amp;"输出",标准坦克设计!$B$23:$U$23,0)))*(VLOOKUP($B192,INDIRECT($B$5&amp;"生成成长"),3))*(VLOOKUP($B$5,标准坦克设计!$B$14:$K$20,9)/30))</f>
        <v>23.831589483779947</v>
      </c>
      <c r="FB192" s="173">
        <f ca="1">(VLOOKUP(FB$72,INDIRECT($C$5&amp;"生成成长"),2))/((VLOOKUP($B192,INDIRECT($B$5&amp;"生成成长"),4))/(VLOOKUP(FB$72,INDIRECT($C$5&amp;"生成成长"),5))*(VLOOKUP($B$5,标准坦克设计!$B$24:$U$30,MATCH("对"&amp;LEFT($C$5,2)&amp;"输出",标准坦克设计!$B$23:$U$23,0)))*(VLOOKUP($B192,INDIRECT($B$5&amp;"生成成长"),3))*(VLOOKUP($B$5,标准坦克设计!$B$14:$K$20,9)/30))</f>
        <v>25.318600041360764</v>
      </c>
      <c r="FC192" s="173">
        <f ca="1">(VLOOKUP(FC$72,INDIRECT($C$5&amp;"生成成长"),2))/((VLOOKUP($B192,INDIRECT($B$5&amp;"生成成长"),4))/(VLOOKUP(FC$72,INDIRECT($C$5&amp;"生成成长"),5))*(VLOOKUP($B$5,标准坦克设计!$B$24:$U$30,MATCH("对"&amp;LEFT($C$5,2)&amp;"输出",标准坦克设计!$B$23:$U$23,0)))*(VLOOKUP($B192,INDIRECT($B$5&amp;"生成成长"),3))*(VLOOKUP($B$5,标准坦克设计!$B$14:$K$20,9)/30))</f>
        <v>26.850609542912391</v>
      </c>
      <c r="FD192" s="173">
        <f ca="1">(VLOOKUP(FD$72,INDIRECT($C$5&amp;"生成成长"),2))/((VLOOKUP($B192,INDIRECT($B$5&amp;"生成成长"),4))/(VLOOKUP(FD$72,INDIRECT($C$5&amp;"生成成长"),5))*(VLOOKUP($B$5,标准坦克设计!$B$24:$U$30,MATCH("对"&amp;LEFT($C$5,2)&amp;"输出",标准坦克设计!$B$23:$U$23,0)))*(VLOOKUP($B192,INDIRECT($B$5&amp;"生成成长"),3))*(VLOOKUP($B$5,标准坦克设计!$B$14:$K$20,9)/30))</f>
        <v>28.427617988434832</v>
      </c>
      <c r="FE192" s="173">
        <f ca="1">(VLOOKUP(FE$72,INDIRECT($C$5&amp;"生成成长"),2))/((VLOOKUP($B192,INDIRECT($B$5&amp;"生成成长"),4))/(VLOOKUP(FE$72,INDIRECT($C$5&amp;"生成成长"),5))*(VLOOKUP($B$5,标准坦克设计!$B$24:$U$30,MATCH("对"&amp;LEFT($C$5,2)&amp;"输出",标准坦克设计!$B$23:$U$23,0)))*(VLOOKUP($B192,INDIRECT($B$5&amp;"生成成长"),3))*(VLOOKUP($B$5,标准坦克设计!$B$14:$K$20,9)/30))</f>
        <v>30.349370409667518</v>
      </c>
      <c r="FF192" s="173">
        <f ca="1">(VLOOKUP(FF$72,INDIRECT($C$5&amp;"生成成长"),2))/((VLOOKUP($B192,INDIRECT($B$5&amp;"生成成长"),4))/(VLOOKUP(FF$72,INDIRECT($C$5&amp;"生成成长"),5))*(VLOOKUP($B$5,标准坦克设计!$B$24:$U$30,MATCH("对"&amp;LEFT($C$5,2)&amp;"输出",标准坦克设计!$B$23:$U$23,0)))*(VLOOKUP($B192,INDIRECT($B$5&amp;"生成成长"),3))*(VLOOKUP($B$5,标准坦克设计!$B$14:$K$20,9)/30))</f>
        <v>32.333972595619755</v>
      </c>
      <c r="FG192" s="173">
        <f ca="1">(VLOOKUP(FG$72,INDIRECT($C$5&amp;"生成成长"),2))/((VLOOKUP($B192,INDIRECT($B$5&amp;"生成成长"),4))/(VLOOKUP(FG$72,INDIRECT($C$5&amp;"生成成长"),5))*(VLOOKUP($B$5,标准坦克设计!$B$24:$U$30,MATCH("对"&amp;LEFT($C$5,2)&amp;"输出",标准坦克设计!$B$23:$U$23,0)))*(VLOOKUP($B192,INDIRECT($B$5&amp;"生成成长"),3))*(VLOOKUP($B$5,标准坦克设计!$B$14:$K$20,9)/30))</f>
        <v>34.381424546291562</v>
      </c>
      <c r="FH192" s="173">
        <f ca="1">(VLOOKUP(FH$72,INDIRECT($C$5&amp;"生成成长"),2))/((VLOOKUP($B192,INDIRECT($B$5&amp;"生成成长"),4))/(VLOOKUP(FH$72,INDIRECT($C$5&amp;"生成成长"),5))*(VLOOKUP($B$5,标准坦克设计!$B$24:$U$30,MATCH("对"&amp;LEFT($C$5,2)&amp;"输出",标准坦克设计!$B$23:$U$23,0)))*(VLOOKUP($B192,INDIRECT($B$5&amp;"生成成长"),3))*(VLOOKUP($B$5,标准坦克设计!$B$14:$K$20,9)/30))</f>
        <v>36.491726261682921</v>
      </c>
      <c r="FI192" s="173">
        <f ca="1">(VLOOKUP(FI$72,INDIRECT($C$5&amp;"生成成长"),2))/((VLOOKUP($B192,INDIRECT($B$5&amp;"生成成长"),4))/(VLOOKUP(FI$72,INDIRECT($C$5&amp;"生成成长"),5))*(VLOOKUP($B$5,标准坦克设计!$B$24:$U$30,MATCH("对"&amp;LEFT($C$5,2)&amp;"输出",标准坦克设计!$B$23:$U$23,0)))*(VLOOKUP($B192,INDIRECT($B$5&amp;"生成成长"),3))*(VLOOKUP($B$5,标准坦克设计!$B$14:$K$20,9)/30))</f>
        <v>38.664877741793852</v>
      </c>
      <c r="FJ192" s="173">
        <f ca="1">(VLOOKUP(FJ$72,INDIRECT($C$5&amp;"生成成长"),2))/((VLOOKUP($B192,INDIRECT($B$5&amp;"生成成长"),4))/(VLOOKUP(FJ$72,INDIRECT($C$5&amp;"生成成长"),5))*(VLOOKUP($B$5,标准坦克设计!$B$24:$U$30,MATCH("对"&amp;LEFT($C$5,2)&amp;"输出",标准坦克设计!$B$23:$U$23,0)))*(VLOOKUP($B192,INDIRECT($B$5&amp;"生成成长"),3))*(VLOOKUP($B$5,标准坦克设计!$B$14:$K$20,9)/30))</f>
        <v>40.900878986624328</v>
      </c>
      <c r="FK192" s="173">
        <f ca="1">(VLOOKUP(FK$72,INDIRECT($C$5&amp;"生成成长"),2))/((VLOOKUP($B192,INDIRECT($B$5&amp;"生成成长"),4))/(VLOOKUP(FK$72,INDIRECT($C$5&amp;"生成成长"),5))*(VLOOKUP($B$5,标准坦克设计!$B$24:$U$30,MATCH("对"&amp;LEFT($C$5,2)&amp;"输出",标准坦克设计!$B$23:$U$23,0)))*(VLOOKUP($B192,INDIRECT($B$5&amp;"生成成长"),3))*(VLOOKUP($B$5,标准坦克设计!$B$14:$K$20,9)/30))</f>
        <v>43.199729996174362</v>
      </c>
    </row>
    <row r="193" spans="1:167" x14ac:dyDescent="0.15">
      <c r="A193" s="171" t="str">
        <f t="shared" si="12"/>
        <v>T3高品质10级</v>
      </c>
      <c r="B193" s="172">
        <v>30310</v>
      </c>
      <c r="C193" s="173">
        <f ca="1">(VLOOKUP(C$72,INDIRECT($C$5&amp;"生成成长"),2))/((VLOOKUP($B193,INDIRECT($B$5&amp;"生成成长"),4))/(VLOOKUP(C$72,INDIRECT($C$5&amp;"生成成长"),5))*(VLOOKUP($B$5,标准坦克设计!$B$24:$U$30,MATCH("对"&amp;LEFT($C$5,2)&amp;"输出",标准坦克设计!$B$23:$U$23,0)))*(VLOOKUP($B193,INDIRECT($B$5&amp;"生成成长"),3))*(VLOOKUP($B$5,标准坦克设计!$B$14:$K$20,9)/30))</f>
        <v>1.7183553195617629</v>
      </c>
      <c r="D193" s="173">
        <f ca="1">(VLOOKUP(D$72,INDIRECT($C$5&amp;"生成成长"),2))/((VLOOKUP($B193,INDIRECT($B$5&amp;"生成成长"),4))/(VLOOKUP(D$72,INDIRECT($C$5&amp;"生成成长"),5))*(VLOOKUP($B$5,标准坦克设计!$B$24:$U$30,MATCH("对"&amp;LEFT($C$5,2)&amp;"输出",标准坦克设计!$B$23:$U$23,0)))*(VLOOKUP($B193,INDIRECT($B$5&amp;"生成成长"),3))*(VLOOKUP($B$5,标准坦克设计!$B$14:$K$20,9)/30))</f>
        <v>1.9307440370595965</v>
      </c>
      <c r="E193" s="173">
        <f ca="1">(VLOOKUP(E$72,INDIRECT($C$5&amp;"生成成长"),2))/((VLOOKUP($B193,INDIRECT($B$5&amp;"生成成长"),4))/(VLOOKUP(E$72,INDIRECT($C$5&amp;"生成成长"),5))*(VLOOKUP($B$5,标准坦克设计!$B$24:$U$30,MATCH("对"&amp;LEFT($C$5,2)&amp;"输出",标准坦克设计!$B$23:$U$23,0)))*(VLOOKUP($B193,INDIRECT($B$5&amp;"生成成长"),3))*(VLOOKUP($B$5,标准坦克设计!$B$14:$K$20,9)/30))</f>
        <v>2.1555049128582757</v>
      </c>
      <c r="F193" s="173">
        <f ca="1">(VLOOKUP(F$72,INDIRECT($C$5&amp;"生成成长"),2))/((VLOOKUP($B193,INDIRECT($B$5&amp;"生成成长"),4))/(VLOOKUP(F$72,INDIRECT($C$5&amp;"生成成长"),5))*(VLOOKUP($B$5,标准坦克设计!$B$24:$U$30,MATCH("对"&amp;LEFT($C$5,2)&amp;"输出",标准坦克设计!$B$23:$U$23,0)))*(VLOOKUP($B193,INDIRECT($B$5&amp;"生成成长"),3))*(VLOOKUP($B$5,标准坦克设计!$B$14:$K$20,9)/30))</f>
        <v>2.392637946957799</v>
      </c>
      <c r="G193" s="173">
        <f ca="1">(VLOOKUP(G$72,INDIRECT($C$5&amp;"生成成长"),2))/((VLOOKUP($B193,INDIRECT($B$5&amp;"生成成长"),4))/(VLOOKUP(G$72,INDIRECT($C$5&amp;"生成成长"),5))*(VLOOKUP($B$5,标准坦克设计!$B$24:$U$30,MATCH("对"&amp;LEFT($C$5,2)&amp;"输出",标准坦克设计!$B$23:$U$23,0)))*(VLOOKUP($B193,INDIRECT($B$5&amp;"生成成长"),3))*(VLOOKUP($B$5,标准坦克设计!$B$14:$K$20,9)/30))</f>
        <v>2.6421431393581667</v>
      </c>
      <c r="H193" s="173">
        <f ca="1">(VLOOKUP(H$72,INDIRECT($C$5&amp;"生成成长"),2))/((VLOOKUP($B193,INDIRECT($B$5&amp;"生成成长"),4))/(VLOOKUP(H$72,INDIRECT($C$5&amp;"生成成长"),5))*(VLOOKUP($B$5,标准坦克设计!$B$24:$U$30,MATCH("对"&amp;LEFT($C$5,2)&amp;"输出",标准坦克设计!$B$23:$U$23,0)))*(VLOOKUP($B193,INDIRECT($B$5&amp;"生成成长"),3))*(VLOOKUP($B$5,标准坦克设计!$B$14:$K$20,9)/30))</f>
        <v>2.3122189180023081</v>
      </c>
      <c r="I193" s="173">
        <f ca="1">(VLOOKUP(I$72,INDIRECT($C$5&amp;"生成成长"),2))/((VLOOKUP($B193,INDIRECT($B$5&amp;"生成成长"),4))/(VLOOKUP(I$72,INDIRECT($C$5&amp;"生成成长"),5))*(VLOOKUP($B$5,标准坦克设计!$B$24:$U$30,MATCH("对"&amp;LEFT($C$5,2)&amp;"输出",标准坦克设计!$B$23:$U$23,0)))*(VLOOKUP($B193,INDIRECT($B$5&amp;"生成成长"),3))*(VLOOKUP($B$5,标准坦克设计!$B$14:$K$20,9)/30))</f>
        <v>2.6421431393581667</v>
      </c>
      <c r="J193" s="173">
        <f ca="1">(VLOOKUP(J$72,INDIRECT($C$5&amp;"生成成长"),2))/((VLOOKUP($B193,INDIRECT($B$5&amp;"生成成长"),4))/(VLOOKUP(J$72,INDIRECT($C$5&amp;"生成成长"),5))*(VLOOKUP($B$5,标准坦克设计!$B$24:$U$30,MATCH("对"&amp;LEFT($C$5,2)&amp;"输出",标准坦克设计!$B$23:$U$23,0)))*(VLOOKUP($B193,INDIRECT($B$5&amp;"生成成长"),3))*(VLOOKUP($B$5,标准坦克设计!$B$14:$K$20,9)/30))</f>
        <v>2.9940623088044158</v>
      </c>
      <c r="K193" s="173">
        <f ca="1">(VLOOKUP(K$72,INDIRECT($C$5&amp;"生成成长"),2))/((VLOOKUP($B193,INDIRECT($B$5&amp;"生成成长"),4))/(VLOOKUP(K$72,INDIRECT($C$5&amp;"生成成长"),5))*(VLOOKUP($B$5,标准坦克设计!$B$24:$U$30,MATCH("对"&amp;LEFT($C$5,2)&amp;"输出",标准坦克设计!$B$23:$U$23,0)))*(VLOOKUP($B193,INDIRECT($B$5&amp;"生成成长"),3))*(VLOOKUP($B$5,标准坦克设计!$B$14:$K$20,9)/30))</f>
        <v>3.3679764263410554</v>
      </c>
      <c r="L193" s="173">
        <f ca="1">(VLOOKUP(L$72,INDIRECT($C$5&amp;"生成成长"),2))/((VLOOKUP($B193,INDIRECT($B$5&amp;"生成成长"),4))/(VLOOKUP(L$72,INDIRECT($C$5&amp;"生成成长"),5))*(VLOOKUP($B$5,标准坦克设计!$B$24:$U$30,MATCH("对"&amp;LEFT($C$5,2)&amp;"输出",标准坦克设计!$B$23:$U$23,0)))*(VLOOKUP($B193,INDIRECT($B$5&amp;"生成成长"),3))*(VLOOKUP($B$5,标准坦克设计!$B$14:$K$20,9)/30))</f>
        <v>3.763885491968086</v>
      </c>
      <c r="M193" s="173">
        <f ca="1">(VLOOKUP(M$72,INDIRECT($C$5&amp;"生成成长"),2))/((VLOOKUP($B193,INDIRECT($B$5&amp;"生成成长"),4))/(VLOOKUP(M$72,INDIRECT($C$5&amp;"生成成长"),5))*(VLOOKUP($B$5,标准坦克设计!$B$24:$U$30,MATCH("对"&amp;LEFT($C$5,2)&amp;"输出",标准坦克设计!$B$23:$U$23,0)))*(VLOOKUP($B193,INDIRECT($B$5&amp;"生成成长"),3))*(VLOOKUP($B$5,标准坦克设计!$B$14:$K$20,9)/30))</f>
        <v>4.1817895056855052</v>
      </c>
      <c r="N193" s="173">
        <f ca="1">(VLOOKUP(N$72,INDIRECT($C$5&amp;"生成成长"),2))/((VLOOKUP($B193,INDIRECT($B$5&amp;"生成成长"),4))/(VLOOKUP(N$72,INDIRECT($C$5&amp;"生成成长"),5))*(VLOOKUP($B$5,标准坦克设计!$B$24:$U$30,MATCH("对"&amp;LEFT($C$5,2)&amp;"输出",标准坦克设计!$B$23:$U$23,0)))*(VLOOKUP($B193,INDIRECT($B$5&amp;"生成成长"),3))*(VLOOKUP($B$5,标准坦克设计!$B$14:$K$20,9)/30))</f>
        <v>4.6216884674933176</v>
      </c>
      <c r="O193" s="173">
        <f ca="1">(VLOOKUP(O$72,INDIRECT($C$5&amp;"生成成长"),2))/((VLOOKUP($B193,INDIRECT($B$5&amp;"生成成长"),4))/(VLOOKUP(O$72,INDIRECT($C$5&amp;"生成成长"),5))*(VLOOKUP($B$5,标准坦克设计!$B$24:$U$30,MATCH("对"&amp;LEFT($C$5,2)&amp;"输出",标准坦克设计!$B$23:$U$23,0)))*(VLOOKUP($B193,INDIRECT($B$5&amp;"生成成长"),3))*(VLOOKUP($B$5,标准坦克设计!$B$14:$K$20,9)/30))</f>
        <v>3.5138647929718489</v>
      </c>
      <c r="P193" s="173">
        <f ca="1">(VLOOKUP(P$72,INDIRECT($C$5&amp;"生成成长"),2))/((VLOOKUP($B193,INDIRECT($B$5&amp;"生成成长"),4))/(VLOOKUP(P$72,INDIRECT($C$5&amp;"生成成长"),5))*(VLOOKUP($B$5,标准坦克设计!$B$24:$U$30,MATCH("对"&amp;LEFT($C$5,2)&amp;"输出",标准坦克设计!$B$23:$U$23,0)))*(VLOOKUP($B193,INDIRECT($B$5&amp;"生成成长"),3))*(VLOOKUP($B$5,标准坦克设计!$B$14:$K$20,9)/30))</f>
        <v>3.9700881303154976</v>
      </c>
      <c r="Q193" s="173">
        <f ca="1">(VLOOKUP(Q$72,INDIRECT($C$5&amp;"生成成长"),2))/((VLOOKUP($B193,INDIRECT($B$5&amp;"生成成长"),4))/(VLOOKUP(Q$72,INDIRECT($C$5&amp;"生成成长"),5))*(VLOOKUP($B$5,标准坦克设计!$B$24:$U$30,MATCH("对"&amp;LEFT($C$5,2)&amp;"输出",标准坦克设计!$B$23:$U$23,0)))*(VLOOKUP($B193,INDIRECT($B$5&amp;"生成成长"),3))*(VLOOKUP($B$5,标准坦克设计!$B$14:$K$20,9)/30))</f>
        <v>4.4541488238360456</v>
      </c>
      <c r="R193" s="173">
        <f ca="1">(VLOOKUP(R$72,INDIRECT($C$5&amp;"生成成长"),2))/((VLOOKUP($B193,INDIRECT($B$5&amp;"生成成长"),4))/(VLOOKUP(R$72,INDIRECT($C$5&amp;"生成成长"),5))*(VLOOKUP($B$5,标准坦克设计!$B$24:$U$30,MATCH("对"&amp;LEFT($C$5,2)&amp;"输出",标准坦克设计!$B$23:$U$23,0)))*(VLOOKUP($B193,INDIRECT($B$5&amp;"生成成长"),3))*(VLOOKUP($B$5,标准坦克设计!$B$14:$K$20,9)/30))</f>
        <v>4.9660468735334948</v>
      </c>
      <c r="S193" s="173">
        <f ca="1">(VLOOKUP(S$72,INDIRECT($C$5&amp;"生成成长"),2))/((VLOOKUP($B193,INDIRECT($B$5&amp;"生成成长"),4))/(VLOOKUP(S$72,INDIRECT($C$5&amp;"生成成长"),5))*(VLOOKUP($B$5,标准坦克设计!$B$24:$U$30,MATCH("对"&amp;LEFT($C$5,2)&amp;"输出",标准坦克设计!$B$23:$U$23,0)))*(VLOOKUP($B193,INDIRECT($B$5&amp;"生成成长"),3))*(VLOOKUP($B$5,标准坦克设计!$B$14:$K$20,9)/30))</f>
        <v>5.5057822794078444</v>
      </c>
      <c r="T193" s="173">
        <f ca="1">(VLOOKUP(T$72,INDIRECT($C$5&amp;"生成成长"),2))/((VLOOKUP($B193,INDIRECT($B$5&amp;"生成成长"),4))/(VLOOKUP(T$72,INDIRECT($C$5&amp;"生成成长"),5))*(VLOOKUP($B$5,标准坦克设计!$B$24:$U$30,MATCH("对"&amp;LEFT($C$5,2)&amp;"输出",标准坦克设计!$B$23:$U$23,0)))*(VLOOKUP($B193,INDIRECT($B$5&amp;"生成成长"),3))*(VLOOKUP($B$5,标准坦克设计!$B$14:$K$20,9)/30))</f>
        <v>6.073355041459096</v>
      </c>
      <c r="U193" s="173">
        <f ca="1">(VLOOKUP(U$72,INDIRECT($C$5&amp;"生成成长"),2))/((VLOOKUP($B193,INDIRECT($B$5&amp;"生成成长"),4))/(VLOOKUP(U$72,INDIRECT($C$5&amp;"生成成长"),5))*(VLOOKUP($B$5,标准坦克设计!$B$24:$U$30,MATCH("对"&amp;LEFT($C$5,2)&amp;"输出",标准坦克设计!$B$23:$U$23,0)))*(VLOOKUP($B193,INDIRECT($B$5&amp;"生成成长"),3))*(VLOOKUP($B$5,标准坦克设计!$B$14:$K$20,9)/30))</f>
        <v>6.6687651596872461</v>
      </c>
      <c r="V193" s="173">
        <f ca="1">(VLOOKUP(V$72,INDIRECT($C$5&amp;"生成成长"),2))/((VLOOKUP($B193,INDIRECT($B$5&amp;"生成成长"),4))/(VLOOKUP(V$72,INDIRECT($C$5&amp;"生成成长"),5))*(VLOOKUP($B$5,标准坦克设计!$B$24:$U$30,MATCH("对"&amp;LEFT($C$5,2)&amp;"输出",标准坦克设计!$B$23:$U$23,0)))*(VLOOKUP($B193,INDIRECT($B$5&amp;"生成成长"),3))*(VLOOKUP($B$5,标准坦克设计!$B$14:$K$20,9)/30))</f>
        <v>7.2920126340922975</v>
      </c>
      <c r="W193" s="173">
        <f ca="1">(VLOOKUP(W$72,INDIRECT($C$5&amp;"生成成长"),2))/((VLOOKUP($B193,INDIRECT($B$5&amp;"生成成长"),4))/(VLOOKUP(W$72,INDIRECT($C$5&amp;"生成成长"),5))*(VLOOKUP($B$5,标准坦克设计!$B$24:$U$30,MATCH("对"&amp;LEFT($C$5,2)&amp;"输出",标准坦克设计!$B$23:$U$23,0)))*(VLOOKUP($B193,INDIRECT($B$5&amp;"生成成长"),3))*(VLOOKUP($B$5,标准坦克设计!$B$14:$K$20,9)/30))</f>
        <v>7.94309746467425</v>
      </c>
      <c r="X193" s="173">
        <f ca="1">(VLOOKUP(X$72,INDIRECT($C$5&amp;"生成成长"),2))/((VLOOKUP($B193,INDIRECT($B$5&amp;"生成成长"),4))/(VLOOKUP(X$72,INDIRECT($C$5&amp;"生成成长"),5))*(VLOOKUP($B$5,标准坦克设计!$B$24:$U$30,MATCH("对"&amp;LEFT($C$5,2)&amp;"输出",标准坦克设计!$B$23:$U$23,0)))*(VLOOKUP($B193,INDIRECT($B$5&amp;"生成成长"),3))*(VLOOKUP($B$5,标准坦克设计!$B$14:$K$20,9)/30))</f>
        <v>5.7546001296803873</v>
      </c>
      <c r="Y193" s="173">
        <f ca="1">(VLOOKUP(Y$72,INDIRECT($C$5&amp;"生成成长"),2))/((VLOOKUP($B193,INDIRECT($B$5&amp;"生成成长"),4))/(VLOOKUP(Y$72,INDIRECT($C$5&amp;"生成成长"),5))*(VLOOKUP($B$5,标准坦克设计!$B$24:$U$30,MATCH("对"&amp;LEFT($C$5,2)&amp;"输出",标准坦克设计!$B$23:$U$23,0)))*(VLOOKUP($B193,INDIRECT($B$5&amp;"生成成长"),3))*(VLOOKUP($B$5,标准坦克设计!$B$14:$K$20,9)/30))</f>
        <v>6.4007017298356104</v>
      </c>
      <c r="Z193" s="173">
        <f ca="1">(VLOOKUP(Z$72,INDIRECT($C$5&amp;"生成成长"),2))/((VLOOKUP($B193,INDIRECT($B$5&amp;"生成成长"),4))/(VLOOKUP(Z$72,INDIRECT($C$5&amp;"生成成长"),5))*(VLOOKUP($B$5,标准坦克设计!$B$24:$U$30,MATCH("对"&amp;LEFT($C$5,2)&amp;"输出",标准坦克设计!$B$23:$U$23,0)))*(VLOOKUP($B193,INDIRECT($B$5&amp;"生成成长"),3))*(VLOOKUP($B$5,标准坦克设计!$B$14:$K$20,9)/30))</f>
        <v>7.0811704363820693</v>
      </c>
      <c r="AA193" s="173">
        <f ca="1">(VLOOKUP(AA$72,INDIRECT($C$5&amp;"生成成长"),2))/((VLOOKUP($B193,INDIRECT($B$5&amp;"生成成长"),4))/(VLOOKUP(AA$72,INDIRECT($C$5&amp;"生成成长"),5))*(VLOOKUP($B$5,标准坦克设计!$B$24:$U$30,MATCH("对"&amp;LEFT($C$5,2)&amp;"输出",标准坦克设计!$B$23:$U$23,0)))*(VLOOKUP($B193,INDIRECT($B$5&amp;"生成成长"),3))*(VLOOKUP($B$5,标准坦克设计!$B$14:$K$20,9)/30))</f>
        <v>7.7960062493197624</v>
      </c>
      <c r="AB193" s="173">
        <f ca="1">(VLOOKUP(AB$72,INDIRECT($C$5&amp;"生成成长"),2))/((VLOOKUP($B193,INDIRECT($B$5&amp;"生成成长"),4))/(VLOOKUP(AB$72,INDIRECT($C$5&amp;"生成成长"),5))*(VLOOKUP($B$5,标准坦克设计!$B$24:$U$30,MATCH("对"&amp;LEFT($C$5,2)&amp;"输出",标准坦克设计!$B$23:$U$23,0)))*(VLOOKUP($B193,INDIRECT($B$5&amp;"生成成长"),3))*(VLOOKUP($B$5,标准坦克设计!$B$14:$K$20,9)/30))</f>
        <v>8.5452091686486895</v>
      </c>
      <c r="AC193" s="173">
        <f ca="1">(VLOOKUP(AC$72,INDIRECT($C$5&amp;"生成成长"),2))/((VLOOKUP($B193,INDIRECT($B$5&amp;"生成成长"),4))/(VLOOKUP(AC$72,INDIRECT($C$5&amp;"生成成长"),5))*(VLOOKUP($B$5,标准坦克设计!$B$24:$U$30,MATCH("对"&amp;LEFT($C$5,2)&amp;"输出",标准坦克设计!$B$23:$U$23,0)))*(VLOOKUP($B193,INDIRECT($B$5&amp;"生成成长"),3))*(VLOOKUP($B$5,标准坦克设计!$B$14:$K$20,9)/30))</f>
        <v>9.3287791943688543</v>
      </c>
      <c r="AD193" s="173">
        <f ca="1">(VLOOKUP(AD$72,INDIRECT($C$5&amp;"生成成长"),2))/((VLOOKUP($B193,INDIRECT($B$5&amp;"生成成长"),4))/(VLOOKUP(AD$72,INDIRECT($C$5&amp;"生成成长"),5))*(VLOOKUP($B$5,标准坦克设计!$B$24:$U$30,MATCH("对"&amp;LEFT($C$5,2)&amp;"输出",标准坦克设计!$B$23:$U$23,0)))*(VLOOKUP($B193,INDIRECT($B$5&amp;"生成成长"),3))*(VLOOKUP($B$5,标准坦克设计!$B$14:$K$20,9)/30))</f>
        <v>10.146716326480254</v>
      </c>
      <c r="AE193" s="173">
        <f ca="1">(VLOOKUP(AE$72,INDIRECT($C$5&amp;"生成成长"),2))/((VLOOKUP($B193,INDIRECT($B$5&amp;"生成成长"),4))/(VLOOKUP(AE$72,INDIRECT($C$5&amp;"生成成长"),5))*(VLOOKUP($B$5,标准坦克设计!$B$24:$U$30,MATCH("对"&amp;LEFT($C$5,2)&amp;"输出",标准坦克设计!$B$23:$U$23,0)))*(VLOOKUP($B193,INDIRECT($B$5&amp;"生成成长"),3))*(VLOOKUP($B$5,标准坦克设计!$B$14:$K$20,9)/30))</f>
        <v>10.999020564982889</v>
      </c>
      <c r="AF193" s="173">
        <f ca="1">(VLOOKUP(AF$72,INDIRECT($C$5&amp;"生成成长"),2))/((VLOOKUP($B193,INDIRECT($B$5&amp;"生成成长"),4))/(VLOOKUP(AF$72,INDIRECT($C$5&amp;"生成成长"),5))*(VLOOKUP($B$5,标准坦克设计!$B$24:$U$30,MATCH("对"&amp;LEFT($C$5,2)&amp;"输出",标准坦克设计!$B$23:$U$23,0)))*(VLOOKUP($B193,INDIRECT($B$5&amp;"生成成长"),3))*(VLOOKUP($B$5,标准坦克设计!$B$14:$K$20,9)/30))</f>
        <v>11.885691909876757</v>
      </c>
      <c r="AG193" s="173">
        <f ca="1">(VLOOKUP(AG$72,INDIRECT($C$5&amp;"生成成长"),2))/((VLOOKUP($B193,INDIRECT($B$5&amp;"生成成长"),4))/(VLOOKUP(AG$72,INDIRECT($C$5&amp;"生成成长"),5))*(VLOOKUP($B$5,标准坦克设计!$B$24:$U$30,MATCH("对"&amp;LEFT($C$5,2)&amp;"输出",标准坦克设计!$B$23:$U$23,0)))*(VLOOKUP($B193,INDIRECT($B$5&amp;"生成成长"),3))*(VLOOKUP($B$5,标准坦克设计!$B$14:$K$20,9)/30))</f>
        <v>12.806730361161861</v>
      </c>
      <c r="AH193" s="173">
        <f ca="1">(VLOOKUP(AH$72,INDIRECT($C$5&amp;"生成成长"),2))/((VLOOKUP($B193,INDIRECT($B$5&amp;"生成成长"),4))/(VLOOKUP(AH$72,INDIRECT($C$5&amp;"生成成长"),5))*(VLOOKUP($B$5,标准坦克设计!$B$24:$U$30,MATCH("对"&amp;LEFT($C$5,2)&amp;"输出",标准坦克设计!$B$23:$U$23,0)))*(VLOOKUP($B193,INDIRECT($B$5&amp;"生成成长"),3))*(VLOOKUP($B$5,标准坦克设计!$B$14:$K$20,9)/30))</f>
        <v>13.762135918838201</v>
      </c>
      <c r="AI193" s="173">
        <f ca="1">(VLOOKUP(AI$72,INDIRECT($C$5&amp;"生成成长"),2))/((VLOOKUP($B193,INDIRECT($B$5&amp;"生成成长"),4))/(VLOOKUP(AI$72,INDIRECT($C$5&amp;"生成成长"),5))*(VLOOKUP($B$5,标准坦克设计!$B$24:$U$30,MATCH("对"&amp;LEFT($C$5,2)&amp;"输出",标准坦克设计!$B$23:$U$23,0)))*(VLOOKUP($B193,INDIRECT($B$5&amp;"生成成长"),3))*(VLOOKUP($B$5,标准坦克设计!$B$14:$K$20,9)/30))</f>
        <v>9.7334518721256504</v>
      </c>
      <c r="AJ193" s="173">
        <f ca="1">(VLOOKUP(AJ$72,INDIRECT($C$5&amp;"生成成长"),2))/((VLOOKUP($B193,INDIRECT($B$5&amp;"生成成长"),4))/(VLOOKUP(AJ$72,INDIRECT($C$5&amp;"生成成长"),5))*(VLOOKUP($B$5,标准坦克设计!$B$24:$U$30,MATCH("对"&amp;LEFT($C$5,2)&amp;"输出",标准坦克设计!$B$23:$U$23,0)))*(VLOOKUP($B193,INDIRECT($B$5&amp;"生成成长"),3))*(VLOOKUP($B$5,标准坦克设计!$B$14:$K$20,9)/30))</f>
        <v>10.653974816814886</v>
      </c>
      <c r="AK193" s="173">
        <f ca="1">(VLOOKUP(AK$72,INDIRECT($C$5&amp;"生成成长"),2))/((VLOOKUP($B193,INDIRECT($B$5&amp;"生成成长"),4))/(VLOOKUP(AK$72,INDIRECT($C$5&amp;"生成成长"),5))*(VLOOKUP($B$5,标准坦克设计!$B$24:$U$30,MATCH("对"&amp;LEFT($C$5,2)&amp;"输出",标准坦克设计!$B$23:$U$23,0)))*(VLOOKUP($B193,INDIRECT($B$5&amp;"生成成长"),3))*(VLOOKUP($B$5,标准坦克设计!$B$14:$K$20,9)/30))</f>
        <v>11.616081960237519</v>
      </c>
      <c r="AL193" s="173">
        <f ca="1">(VLOOKUP(AL$72,INDIRECT($C$5&amp;"生成成长"),2))/((VLOOKUP($B193,INDIRECT($B$5&amp;"生成成长"),4))/(VLOOKUP(AL$72,INDIRECT($C$5&amp;"生成成长"),5))*(VLOOKUP($B$5,标准坦克设计!$B$24:$U$30,MATCH("对"&amp;LEFT($C$5,2)&amp;"输出",标准坦克设计!$B$23:$U$23,0)))*(VLOOKUP($B193,INDIRECT($B$5&amp;"生成成长"),3))*(VLOOKUP($B$5,标准坦克设计!$B$14:$K$20,9)/30))</f>
        <v>12.619773302393542</v>
      </c>
      <c r="AM193" s="173">
        <f ca="1">(VLOOKUP(AM$72,INDIRECT($C$5&amp;"生成成长"),2))/((VLOOKUP($B193,INDIRECT($B$5&amp;"生成成长"),4))/(VLOOKUP(AM$72,INDIRECT($C$5&amp;"生成成长"),5))*(VLOOKUP($B$5,标准坦克设计!$B$24:$U$30,MATCH("对"&amp;LEFT($C$5,2)&amp;"输出",标准坦克设计!$B$23:$U$23,0)))*(VLOOKUP($B193,INDIRECT($B$5&amp;"生成成长"),3))*(VLOOKUP($B$5,标准坦克设计!$B$14:$K$20,9)/30))</f>
        <v>13.665048843282966</v>
      </c>
      <c r="AN193" s="173">
        <f ca="1">(VLOOKUP(AN$72,INDIRECT($C$5&amp;"生成成长"),2))/((VLOOKUP($B193,INDIRECT($B$5&amp;"生成成长"),4))/(VLOOKUP(AN$72,INDIRECT($C$5&amp;"生成成长"),5))*(VLOOKUP($B$5,标准坦克设计!$B$24:$U$30,MATCH("对"&amp;LEFT($C$5,2)&amp;"输出",标准坦克设计!$B$23:$U$23,0)))*(VLOOKUP($B193,INDIRECT($B$5&amp;"生成成长"),3))*(VLOOKUP($B$5,标准坦克设计!$B$14:$K$20,9)/30))</f>
        <v>14.751908582905777</v>
      </c>
      <c r="AO193" s="173">
        <f ca="1">(VLOOKUP(AO$72,INDIRECT($C$5&amp;"生成成长"),2))/((VLOOKUP($B193,INDIRECT($B$5&amp;"生成成长"),4))/(VLOOKUP(AO$72,INDIRECT($C$5&amp;"生成成长"),5))*(VLOOKUP($B$5,标准坦克设计!$B$24:$U$30,MATCH("对"&amp;LEFT($C$5,2)&amp;"输出",标准坦克设计!$B$23:$U$23,0)))*(VLOOKUP($B193,INDIRECT($B$5&amp;"生成成长"),3))*(VLOOKUP($B$5,标准坦克设计!$B$14:$K$20,9)/30))</f>
        <v>15.88035252126199</v>
      </c>
      <c r="AP193" s="173">
        <f ca="1">(VLOOKUP(AP$72,INDIRECT($C$5&amp;"生成成长"),2))/((VLOOKUP($B193,INDIRECT($B$5&amp;"生成成长"),4))/(VLOOKUP(AP$72,INDIRECT($C$5&amp;"生成成长"),5))*(VLOOKUP($B$5,标准坦克设计!$B$24:$U$30,MATCH("对"&amp;LEFT($C$5,2)&amp;"输出",标准坦克设计!$B$23:$U$23,0)))*(VLOOKUP($B193,INDIRECT($B$5&amp;"生成成长"),3))*(VLOOKUP($B$5,标准坦克设计!$B$14:$K$20,9)/30))</f>
        <v>17.050380658351592</v>
      </c>
      <c r="AQ193" s="173">
        <f ca="1">(VLOOKUP(AQ$72,INDIRECT($C$5&amp;"生成成长"),2))/((VLOOKUP($B193,INDIRECT($B$5&amp;"生成成长"),4))/(VLOOKUP(AQ$72,INDIRECT($C$5&amp;"生成成长"),5))*(VLOOKUP($B$5,标准坦克设计!$B$24:$U$30,MATCH("对"&amp;LEFT($C$5,2)&amp;"输出",标准坦克设计!$B$23:$U$23,0)))*(VLOOKUP($B193,INDIRECT($B$5&amp;"生成成长"),3))*(VLOOKUP($B$5,标准坦克设计!$B$14:$K$20,9)/30))</f>
        <v>18.261992994174591</v>
      </c>
      <c r="AR193" s="173">
        <f ca="1">(VLOOKUP(AR$72,INDIRECT($C$5&amp;"生成成长"),2))/((VLOOKUP($B193,INDIRECT($B$5&amp;"生成成长"),4))/(VLOOKUP(AR$72,INDIRECT($C$5&amp;"生成成长"),5))*(VLOOKUP($B$5,标准坦克设计!$B$24:$U$30,MATCH("对"&amp;LEFT($C$5,2)&amp;"输出",标准坦克设计!$B$23:$U$23,0)))*(VLOOKUP($B193,INDIRECT($B$5&amp;"生成成长"),3))*(VLOOKUP($B$5,标准坦克设计!$B$14:$K$20,9)/30))</f>
        <v>19.515189528730986</v>
      </c>
      <c r="AS193" s="173">
        <f ca="1">(VLOOKUP(AS$72,INDIRECT($C$5&amp;"生成成长"),2))/((VLOOKUP($B193,INDIRECT($B$5&amp;"生成成长"),4))/(VLOOKUP(AS$72,INDIRECT($C$5&amp;"生成成长"),5))*(VLOOKUP($B$5,标准坦克设计!$B$24:$U$30,MATCH("对"&amp;LEFT($C$5,2)&amp;"输出",标准坦克设计!$B$23:$U$23,0)))*(VLOOKUP($B193,INDIRECT($B$5&amp;"生成成长"),3))*(VLOOKUP($B$5,标准坦克设计!$B$14:$K$20,9)/30))</f>
        <v>20.809970262020776</v>
      </c>
      <c r="AT193" s="173">
        <f ca="1">(VLOOKUP(AT$72,INDIRECT($C$5&amp;"生成成长"),2))/((VLOOKUP($B193,INDIRECT($B$5&amp;"生成成长"),4))/(VLOOKUP(AT$72,INDIRECT($C$5&amp;"生成成长"),5))*(VLOOKUP($B$5,标准坦克设计!$B$24:$U$30,MATCH("对"&amp;LEFT($C$5,2)&amp;"输出",标准坦克设计!$B$23:$U$23,0)))*(VLOOKUP($B193,INDIRECT($B$5&amp;"生成成长"),3))*(VLOOKUP($B$5,标准坦克设计!$B$14:$K$20,9)/30))</f>
        <v>22.146335194043957</v>
      </c>
      <c r="AU193" s="173">
        <f ca="1">(VLOOKUP(AU$72,INDIRECT($C$5&amp;"生成成长"),2))/((VLOOKUP($B193,INDIRECT($B$5&amp;"生成成长"),4))/(VLOOKUP(AU$72,INDIRECT($C$5&amp;"生成成长"),5))*(VLOOKUP($B$5,标准坦克设计!$B$24:$U$30,MATCH("对"&amp;LEFT($C$5,2)&amp;"输出",标准坦克设计!$B$23:$U$23,0)))*(VLOOKUP($B193,INDIRECT($B$5&amp;"生成成长"),3))*(VLOOKUP($B$5,标准坦克设计!$B$14:$K$20,9)/30))</f>
        <v>23.524284324800533</v>
      </c>
      <c r="AV193" s="173">
        <f ca="1">(VLOOKUP(AV$72,INDIRECT($C$5&amp;"生成成长"),2))/((VLOOKUP($B193,INDIRECT($B$5&amp;"生成成长"),4))/(VLOOKUP(AV$72,INDIRECT($C$5&amp;"生成成长"),5))*(VLOOKUP($B$5,标准坦克设计!$B$24:$U$30,MATCH("对"&amp;LEFT($C$5,2)&amp;"输出",标准坦克设计!$B$23:$U$23,0)))*(VLOOKUP($B193,INDIRECT($B$5&amp;"生成成长"),3))*(VLOOKUP($B$5,标准坦克设计!$B$14:$K$20,9)/30))</f>
        <v>2.392637946957799</v>
      </c>
      <c r="AW193" s="173">
        <f ca="1">(VLOOKUP(AW$72,INDIRECT($C$5&amp;"生成成长"),2))/((VLOOKUP($B193,INDIRECT($B$5&amp;"生成成长"),4))/(VLOOKUP(AW$72,INDIRECT($C$5&amp;"生成成长"),5))*(VLOOKUP($B$5,标准坦克设计!$B$24:$U$30,MATCH("对"&amp;LEFT($C$5,2)&amp;"输出",标准坦克设计!$B$23:$U$23,0)))*(VLOOKUP($B193,INDIRECT($B$5&amp;"生成成长"),3))*(VLOOKUP($B$5,标准坦克设计!$B$14:$K$20,9)/30))</f>
        <v>2.7280609053362546</v>
      </c>
      <c r="AX193" s="173">
        <f ca="1">(VLOOKUP(AX$72,INDIRECT($C$5&amp;"生成成长"),2))/((VLOOKUP($B193,INDIRECT($B$5&amp;"生成成长"),4))/(VLOOKUP(AX$72,INDIRECT($C$5&amp;"生成成长"),5))*(VLOOKUP($B$5,标准坦克设计!$B$24:$U$30,MATCH("对"&amp;LEFT($C$5,2)&amp;"输出",标准坦克设计!$B$23:$U$23,0)))*(VLOOKUP($B193,INDIRECT($B$5&amp;"生成成长"),3))*(VLOOKUP($B$5,标准坦克设计!$B$14:$K$20,9)/30))</f>
        <v>3.0854788118051011</v>
      </c>
      <c r="AY193" s="173">
        <f ca="1">(VLOOKUP(AY$72,INDIRECT($C$5&amp;"生成成长"),2))/((VLOOKUP($B193,INDIRECT($B$5&amp;"生成成长"),4))/(VLOOKUP(AY$72,INDIRECT($C$5&amp;"生成成长"),5))*(VLOOKUP($B$5,标准坦克设计!$B$24:$U$30,MATCH("对"&amp;LEFT($C$5,2)&amp;"输出",标准坦克设计!$B$23:$U$23,0)))*(VLOOKUP($B193,INDIRECT($B$5&amp;"生成成长"),3))*(VLOOKUP($B$5,标准坦克设计!$B$14:$K$20,9)/30))</f>
        <v>3.4648916663643385</v>
      </c>
      <c r="AZ193" s="173">
        <f ca="1">(VLOOKUP(AZ$72,INDIRECT($C$5&amp;"生成成长"),2))/((VLOOKUP($B193,INDIRECT($B$5&amp;"生成成长"),4))/(VLOOKUP(AZ$72,INDIRECT($C$5&amp;"生成成长"),5))*(VLOOKUP($B$5,标准坦克设计!$B$24:$U$30,MATCH("对"&amp;LEFT($C$5,2)&amp;"输出",标准坦克设计!$B$23:$U$23,0)))*(VLOOKUP($B193,INDIRECT($B$5&amp;"生成成长"),3))*(VLOOKUP($B$5,标准坦克设计!$B$14:$K$20,9)/30))</f>
        <v>3.8662994690139665</v>
      </c>
      <c r="BA193" s="173">
        <f ca="1">(VLOOKUP(BA$72,INDIRECT($C$5&amp;"生成成长"),2))/((VLOOKUP($B193,INDIRECT($B$5&amp;"生成成长"),4))/(VLOOKUP(BA$72,INDIRECT($C$5&amp;"生成成长"),5))*(VLOOKUP($B$5,标准坦克设计!$B$24:$U$30,MATCH("对"&amp;LEFT($C$5,2)&amp;"输出",标准坦克设计!$B$23:$U$23,0)))*(VLOOKUP($B193,INDIRECT($B$5&amp;"生成成长"),3))*(VLOOKUP($B$5,标准坦克设计!$B$14:$K$20,9)/30))</f>
        <v>4.2897022197539849</v>
      </c>
      <c r="BB193" s="173">
        <f ca="1">(VLOOKUP(BB$72,INDIRECT($C$5&amp;"生成成长"),2))/((VLOOKUP($B193,INDIRECT($B$5&amp;"生成成长"),4))/(VLOOKUP(BB$72,INDIRECT($C$5&amp;"生成成长"),5))*(VLOOKUP($B$5,标准坦克设计!$B$24:$U$30,MATCH("对"&amp;LEFT($C$5,2)&amp;"输出",标准坦克设计!$B$23:$U$23,0)))*(VLOOKUP($B193,INDIRECT($B$5&amp;"生成成长"),3))*(VLOOKUP($B$5,标准坦克设计!$B$14:$K$20,9)/30))</f>
        <v>4.7350999185843943</v>
      </c>
      <c r="BC193" s="173">
        <f ca="1">(VLOOKUP(BC$72,INDIRECT($C$5&amp;"生成成长"),2))/((VLOOKUP($B193,INDIRECT($B$5&amp;"生成成长"),4))/(VLOOKUP(BC$72,INDIRECT($C$5&amp;"生成成长"),5))*(VLOOKUP($B$5,标准坦克设计!$B$24:$U$30,MATCH("对"&amp;LEFT($C$5,2)&amp;"输出",标准坦克设计!$B$23:$U$23,0)))*(VLOOKUP($B193,INDIRECT($B$5&amp;"生成成长"),3))*(VLOOKUP($B$5,标准坦克设计!$B$14:$K$20,9)/30))</f>
        <v>5.2024925655051941</v>
      </c>
      <c r="BD193" s="173">
        <f ca="1">(VLOOKUP(BD$72,INDIRECT($C$5&amp;"生成成长"),2))/((VLOOKUP($B193,INDIRECT($B$5&amp;"生成成长"),4))/(VLOOKUP(BD$72,INDIRECT($C$5&amp;"生成成长"),5))*(VLOOKUP($B$5,标准坦克设计!$B$24:$U$30,MATCH("对"&amp;LEFT($C$5,2)&amp;"输出",标准坦克设计!$B$23:$U$23,0)))*(VLOOKUP($B193,INDIRECT($B$5&amp;"生成成长"),3))*(VLOOKUP($B$5,标准坦克设计!$B$14:$K$20,9)/30))</f>
        <v>5.7546001296803873</v>
      </c>
      <c r="BE193" s="173">
        <f ca="1">(VLOOKUP(BE$72,INDIRECT($C$5&amp;"生成成长"),2))/((VLOOKUP($B193,INDIRECT($B$5&amp;"生成成长"),4))/(VLOOKUP(BE$72,INDIRECT($C$5&amp;"生成成长"),5))*(VLOOKUP($B$5,标准坦克设计!$B$24:$U$30,MATCH("对"&amp;LEFT($C$5,2)&amp;"输出",标准坦克设计!$B$23:$U$23,0)))*(VLOOKUP($B193,INDIRECT($B$5&amp;"生成成长"),3))*(VLOOKUP($B$5,标准坦克设计!$B$14:$K$20,9)/30))</f>
        <v>6.3345450500324825</v>
      </c>
      <c r="BF193" s="173">
        <f ca="1">(VLOOKUP(BF$72,INDIRECT($C$5&amp;"生成成长"),2))/((VLOOKUP($B193,INDIRECT($B$5&amp;"生成成长"),4))/(VLOOKUP(BF$72,INDIRECT($C$5&amp;"生成成长"),5))*(VLOOKUP($B$5,标准坦克设计!$B$24:$U$30,MATCH("对"&amp;LEFT($C$5,2)&amp;"输出",标准坦克设计!$B$23:$U$23,0)))*(VLOOKUP($B193,INDIRECT($B$5&amp;"生成成长"),3))*(VLOOKUP($B$5,标准坦克设计!$B$14:$K$20,9)/30))</f>
        <v>6.9423273265614789</v>
      </c>
      <c r="BG193" s="173">
        <f ca="1">(VLOOKUP(BG$72,INDIRECT($C$5&amp;"生成成长"),2))/((VLOOKUP($B193,INDIRECT($B$5&amp;"生成成长"),4))/(VLOOKUP(BG$72,INDIRECT($C$5&amp;"生成成长"),5))*(VLOOKUP($B$5,标准坦克设计!$B$24:$U$30,MATCH("对"&amp;LEFT($C$5,2)&amp;"输出",标准坦克设计!$B$23:$U$23,0)))*(VLOOKUP($B193,INDIRECT($B$5&amp;"生成成长"),3))*(VLOOKUP($B$5,标准坦克设计!$B$14:$K$20,9)/30))</f>
        <v>7.5779469592673738</v>
      </c>
      <c r="BH193" s="173">
        <f ca="1">(VLOOKUP(BH$72,INDIRECT($C$5&amp;"生成成长"),2))/((VLOOKUP($B193,INDIRECT($B$5&amp;"生成成长"),4))/(VLOOKUP(BH$72,INDIRECT($C$5&amp;"生成成长"),5))*(VLOOKUP($B$5,标准坦克设计!$B$24:$U$30,MATCH("对"&amp;LEFT($C$5,2)&amp;"输出",标准坦克设计!$B$23:$U$23,0)))*(VLOOKUP($B193,INDIRECT($B$5&amp;"生成成长"),3))*(VLOOKUP($B$5,标准坦克设计!$B$14:$K$20,9)/30))</f>
        <v>3.6628461991778543</v>
      </c>
      <c r="BI193" s="173">
        <f ca="1">(VLOOKUP(BI$72,INDIRECT($C$5&amp;"生成成长"),2))/((VLOOKUP($B193,INDIRECT($B$5&amp;"生成成长"),4))/(VLOOKUP(BI$72,INDIRECT($C$5&amp;"生成成长"),5))*(VLOOKUP($B$5,标准坦克设计!$B$24:$U$30,MATCH("对"&amp;LEFT($C$5,2)&amp;"输出",标准坦克设计!$B$23:$U$23,0)))*(VLOOKUP($B193,INDIRECT($B$5&amp;"生成成长"),3))*(VLOOKUP($B$5,标准坦克设计!$B$14:$K$20,9)/30))</f>
        <v>4.1283486552471347</v>
      </c>
      <c r="BJ193" s="173">
        <f ca="1">(VLOOKUP(BJ$72,INDIRECT($C$5&amp;"生成成长"),2))/((VLOOKUP($B193,INDIRECT($B$5&amp;"生成成长"),4))/(VLOOKUP(BJ$72,INDIRECT($C$5&amp;"生成成长"),5))*(VLOOKUP($B$5,标准坦克设计!$B$24:$U$30,MATCH("对"&amp;LEFT($C$5,2)&amp;"输出",标准坦克设计!$B$23:$U$23,0)))*(VLOOKUP($B193,INDIRECT($B$5&amp;"生成成长"),3))*(VLOOKUP($B$5,标准坦克设计!$B$14:$K$20,9)/30))</f>
        <v>4.6216884674933176</v>
      </c>
      <c r="BK193" s="173">
        <f ca="1">(VLOOKUP(BK$72,INDIRECT($C$5&amp;"生成成长"),2))/((VLOOKUP($B193,INDIRECT($B$5&amp;"生成成长"),4))/(VLOOKUP(BK$72,INDIRECT($C$5&amp;"生成成长"),5))*(VLOOKUP($B$5,标准坦克设计!$B$24:$U$30,MATCH("对"&amp;LEFT($C$5,2)&amp;"输出",标准坦克设计!$B$23:$U$23,0)))*(VLOOKUP($B193,INDIRECT($B$5&amp;"生成成长"),3))*(VLOOKUP($B$5,标准坦克设计!$B$14:$K$20,9)/30))</f>
        <v>5.1428656359164009</v>
      </c>
      <c r="BL193" s="173">
        <f ca="1">(VLOOKUP(BL$72,INDIRECT($C$5&amp;"生成成长"),2))/((VLOOKUP($B193,INDIRECT($B$5&amp;"生成成长"),4))/(VLOOKUP(BL$72,INDIRECT($C$5&amp;"生成成长"),5))*(VLOOKUP($B$5,标准坦克设计!$B$24:$U$30,MATCH("对"&amp;LEFT($C$5,2)&amp;"输出",标准坦克设计!$B$23:$U$23,0)))*(VLOOKUP($B193,INDIRECT($B$5&amp;"生成成长"),3))*(VLOOKUP($B$5,标准坦克设计!$B$14:$K$20,9)/30))</f>
        <v>5.6918801605163827</v>
      </c>
      <c r="BM193" s="173">
        <f ca="1">(VLOOKUP(BM$72,INDIRECT($C$5&amp;"生成成长"),2))/((VLOOKUP($B193,INDIRECT($B$5&amp;"生成成长"),4))/(VLOOKUP(BM$72,INDIRECT($C$5&amp;"生成成长"),5))*(VLOOKUP($B$5,标准坦克设计!$B$24:$U$30,MATCH("对"&amp;LEFT($C$5,2)&amp;"输出",标准坦克设计!$B$23:$U$23,0)))*(VLOOKUP($B193,INDIRECT($B$5&amp;"生成成长"),3))*(VLOOKUP($B$5,标准坦克设计!$B$14:$K$20,9)/30))</f>
        <v>6.2687320412932674</v>
      </c>
      <c r="BN193" s="173">
        <f ca="1">(VLOOKUP(BN$72,INDIRECT($C$5&amp;"生成成长"),2))/((VLOOKUP($B193,INDIRECT($B$5&amp;"生成成长"),4))/(VLOOKUP(BN$72,INDIRECT($C$5&amp;"生成成长"),5))*(VLOOKUP($B$5,标准坦克设计!$B$24:$U$30,MATCH("对"&amp;LEFT($C$5,2)&amp;"输出",标准坦克设计!$B$23:$U$23,0)))*(VLOOKUP($B193,INDIRECT($B$5&amp;"生成成长"),3))*(VLOOKUP($B$5,标准坦克设计!$B$14:$K$20,9)/30))</f>
        <v>6.8734212782470516</v>
      </c>
      <c r="BO193" s="173">
        <f ca="1">(VLOOKUP(BO$72,INDIRECT($C$5&amp;"生成成长"),2))/((VLOOKUP($B193,INDIRECT($B$5&amp;"生成成长"),4))/(VLOOKUP(BO$72,INDIRECT($C$5&amp;"生成成长"),5))*(VLOOKUP($B$5,标准坦克设计!$B$24:$U$30,MATCH("对"&amp;LEFT($C$5,2)&amp;"输出",标准坦克设计!$B$23:$U$23,0)))*(VLOOKUP($B193,INDIRECT($B$5&amp;"生成成长"),3))*(VLOOKUP($B$5,标准坦克设计!$B$14:$K$20,9)/30))</f>
        <v>7.505947871377737</v>
      </c>
      <c r="BP193" s="173">
        <f ca="1">(VLOOKUP(BP$72,INDIRECT($C$5&amp;"生成成长"),2))/((VLOOKUP($B193,INDIRECT($B$5&amp;"生成成长"),4))/(VLOOKUP(BP$72,INDIRECT($C$5&amp;"生成成长"),5))*(VLOOKUP($B$5,标准坦克设计!$B$24:$U$30,MATCH("对"&amp;LEFT($C$5,2)&amp;"输出",标准坦克设计!$B$23:$U$23,0)))*(VLOOKUP($B193,INDIRECT($B$5&amp;"生成成长"),3))*(VLOOKUP($B$5,标准坦克设计!$B$14:$K$20,9)/30))</f>
        <v>8.1663118206853227</v>
      </c>
      <c r="BQ193" s="173">
        <f ca="1">(VLOOKUP(BQ$72,INDIRECT($C$5&amp;"生成成长"),2))/((VLOOKUP($B193,INDIRECT($B$5&amp;"生成成长"),4))/(VLOOKUP(BQ$72,INDIRECT($C$5&amp;"生成成长"),5))*(VLOOKUP($B$5,标准坦克设计!$B$24:$U$30,MATCH("对"&amp;LEFT($C$5,2)&amp;"输出",标准坦克设计!$B$23:$U$23,0)))*(VLOOKUP($B193,INDIRECT($B$5&amp;"生成成长"),3))*(VLOOKUP($B$5,标准坦克设计!$B$14:$K$20,9)/30))</f>
        <v>8.8545131261698078</v>
      </c>
      <c r="BR193" s="173">
        <f ca="1">(VLOOKUP(BR$72,INDIRECT($C$5&amp;"生成成长"),2))/((VLOOKUP($B193,INDIRECT($B$5&amp;"生成成长"),4))/(VLOOKUP(BR$72,INDIRECT($C$5&amp;"生成成长"),5))*(VLOOKUP($B$5,标准坦克设计!$B$24:$U$30,MATCH("对"&amp;LEFT($C$5,2)&amp;"输出",标准坦克设计!$B$23:$U$23,0)))*(VLOOKUP($B193,INDIRECT($B$5&amp;"生成成长"),3))*(VLOOKUP($B$5,标准坦克设计!$B$14:$K$20,9)/30))</f>
        <v>9.6518299944464676</v>
      </c>
      <c r="BS193" s="173">
        <f ca="1">(VLOOKUP(BS$72,INDIRECT($C$5&amp;"生成成长"),2))/((VLOOKUP($B193,INDIRECT($B$5&amp;"生成成长"),4))/(VLOOKUP(BS$72,INDIRECT($C$5&amp;"生成成长"),5))*(VLOOKUP($B$5,标准坦克设计!$B$24:$U$30,MATCH("对"&amp;LEFT($C$5,2)&amp;"输出",标准坦克设计!$B$23:$U$23,0)))*(VLOOKUP($B193,INDIRECT($B$5&amp;"生成成长"),3))*(VLOOKUP($B$5,标准坦克设计!$B$14:$K$20,9)/30))</f>
        <v>10.483513969114359</v>
      </c>
      <c r="BT193" s="173">
        <f ca="1">(VLOOKUP(BT$72,INDIRECT($C$5&amp;"生成成长"),2))/((VLOOKUP($B193,INDIRECT($B$5&amp;"生成成长"),4))/(VLOOKUP(BT$72,INDIRECT($C$5&amp;"生成成长"),5))*(VLOOKUP($B$5,标准坦克设计!$B$24:$U$30,MATCH("对"&amp;LEFT($C$5,2)&amp;"输出",标准坦克设计!$B$23:$U$23,0)))*(VLOOKUP($B193,INDIRECT($B$5&amp;"生成成长"),3))*(VLOOKUP($B$5,标准坦克设计!$B$14:$K$20,9)/30))</f>
        <v>11.349565050173487</v>
      </c>
      <c r="BU193" s="173">
        <f ca="1">(VLOOKUP(BU$72,INDIRECT($C$5&amp;"生成成长"),2))/((VLOOKUP($B193,INDIRECT($B$5&amp;"生成成长"),4))/(VLOOKUP(BU$72,INDIRECT($C$5&amp;"生成成长"),5))*(VLOOKUP($B$5,标准坦克设计!$B$24:$U$30,MATCH("对"&amp;LEFT($C$5,2)&amp;"输出",标准坦克设计!$B$23:$U$23,0)))*(VLOOKUP($B193,INDIRECT($B$5&amp;"生成成长"),3))*(VLOOKUP($B$5,标准坦克设计!$B$14:$K$20,9)/30))</f>
        <v>12.249983237623853</v>
      </c>
      <c r="BV193" s="173">
        <f ca="1">(VLOOKUP(BV$72,INDIRECT($C$5&amp;"生成成长"),2))/((VLOOKUP($B193,INDIRECT($B$5&amp;"生成成长"),4))/(VLOOKUP(BV$72,INDIRECT($C$5&amp;"生成成长"),5))*(VLOOKUP($B$5,标准坦克设计!$B$24:$U$30,MATCH("对"&amp;LEFT($C$5,2)&amp;"输出",标准坦克设计!$B$23:$U$23,0)))*(VLOOKUP($B193,INDIRECT($B$5&amp;"生成成长"),3))*(VLOOKUP($B$5,标准坦克设计!$B$14:$K$20,9)/30))</f>
        <v>13.184768531465451</v>
      </c>
      <c r="BW193" s="173">
        <f ca="1">(VLOOKUP(BW$72,INDIRECT($C$5&amp;"生成成长"),2))/((VLOOKUP($B193,INDIRECT($B$5&amp;"生成成长"),4))/(VLOOKUP(BW$72,INDIRECT($C$5&amp;"生成成长"),5))*(VLOOKUP($B$5,标准坦克设计!$B$24:$U$30,MATCH("对"&amp;LEFT($C$5,2)&amp;"输出",标准坦克设计!$B$23:$U$23,0)))*(VLOOKUP($B193,INDIRECT($B$5&amp;"生成成长"),3))*(VLOOKUP($B$5,标准坦克设计!$B$14:$K$20,9)/30))</f>
        <v>6.008916716975528</v>
      </c>
      <c r="BX193" s="173">
        <f ca="1">(VLOOKUP(BX$72,INDIRECT($C$5&amp;"生成成长"),2))/((VLOOKUP($B193,INDIRECT($B$5&amp;"生成成长"),4))/(VLOOKUP(BX$72,INDIRECT($C$5&amp;"生成成长"),5))*(VLOOKUP($B$5,标准坦克设计!$B$24:$U$30,MATCH("对"&amp;LEFT($C$5,2)&amp;"输出",标准坦克设计!$B$23:$U$23,0)))*(VLOOKUP($B193,INDIRECT($B$5&amp;"生成成长"),3))*(VLOOKUP($B$5,标准坦克设计!$B$14:$K$20,9)/30))</f>
        <v>6.6687651596872461</v>
      </c>
      <c r="BY193" s="173">
        <f ca="1">(VLOOKUP(BY$72,INDIRECT($C$5&amp;"生成成长"),2))/((VLOOKUP($B193,INDIRECT($B$5&amp;"生成成长"),4))/(VLOOKUP(BY$72,INDIRECT($C$5&amp;"生成成长"),5))*(VLOOKUP($B$5,标准坦克设计!$B$24:$U$30,MATCH("对"&amp;LEFT($C$5,2)&amp;"输出",标准坦克设计!$B$23:$U$23,0)))*(VLOOKUP($B193,INDIRECT($B$5&amp;"生成成长"),3))*(VLOOKUP($B$5,标准坦克设计!$B$14:$K$20,9)/30))</f>
        <v>7.3629807087901975</v>
      </c>
      <c r="BZ193" s="173">
        <f ca="1">(VLOOKUP(BZ$72,INDIRECT($C$5&amp;"生成成长"),2))/((VLOOKUP($B193,INDIRECT($B$5&amp;"生成成长"),4))/(VLOOKUP(BZ$72,INDIRECT($C$5&amp;"生成成长"),5))*(VLOOKUP($B$5,标准坦克设计!$B$24:$U$30,MATCH("对"&amp;LEFT($C$5,2)&amp;"输出",标准坦克设计!$B$23:$U$23,0)))*(VLOOKUP($B193,INDIRECT($B$5&amp;"生成成长"),3))*(VLOOKUP($B$5,标准坦克设计!$B$14:$K$20,9)/30))</f>
        <v>8.0915633642843829</v>
      </c>
      <c r="CA193" s="173">
        <f ca="1">(VLOOKUP(CA$72,INDIRECT($C$5&amp;"生成成长"),2))/((VLOOKUP($B193,INDIRECT($B$5&amp;"生成成长"),4))/(VLOOKUP(CA$72,INDIRECT($C$5&amp;"生成成长"),5))*(VLOOKUP($B$5,标准坦克设计!$B$24:$U$30,MATCH("对"&amp;LEFT($C$5,2)&amp;"输出",标准坦克设计!$B$23:$U$23,0)))*(VLOOKUP($B193,INDIRECT($B$5&amp;"生成成长"),3))*(VLOOKUP($B$5,标准坦克设计!$B$14:$K$20,9)/30))</f>
        <v>8.8545131261698078</v>
      </c>
      <c r="CB193" s="173">
        <f ca="1">(VLOOKUP(CB$72,INDIRECT($C$5&amp;"生成成长"),2))/((VLOOKUP($B193,INDIRECT($B$5&amp;"生成成长"),4))/(VLOOKUP(CB$72,INDIRECT($C$5&amp;"生成成长"),5))*(VLOOKUP($B$5,标准坦克设计!$B$24:$U$30,MATCH("对"&amp;LEFT($C$5,2)&amp;"输出",标准坦克设计!$B$23:$U$23,0)))*(VLOOKUP($B193,INDIRECT($B$5&amp;"生成成长"),3))*(VLOOKUP($B$5,标准坦克设计!$B$14:$K$20,9)/30))</f>
        <v>9.6518299944464676</v>
      </c>
      <c r="CC193" s="173">
        <f ca="1">(VLOOKUP(CC$72,INDIRECT($C$5&amp;"生成成长"),2))/((VLOOKUP($B193,INDIRECT($B$5&amp;"生成成长"),4))/(VLOOKUP(CC$72,INDIRECT($C$5&amp;"生成成长"),5))*(VLOOKUP($B$5,标准坦克设计!$B$24:$U$30,MATCH("对"&amp;LEFT($C$5,2)&amp;"输出",标准坦克设计!$B$23:$U$23,0)))*(VLOOKUP($B193,INDIRECT($B$5&amp;"生成成长"),3))*(VLOOKUP($B$5,标准坦克设计!$B$14:$K$20,9)/30))</f>
        <v>10.483513969114359</v>
      </c>
      <c r="CD193" s="173">
        <f ca="1">(VLOOKUP(CD$72,INDIRECT($C$5&amp;"生成成长"),2))/((VLOOKUP($B193,INDIRECT($B$5&amp;"生成成长"),4))/(VLOOKUP(CD$72,INDIRECT($C$5&amp;"生成成长"),5))*(VLOOKUP($B$5,标准坦克设计!$B$24:$U$30,MATCH("对"&amp;LEFT($C$5,2)&amp;"输出",标准坦克设计!$B$23:$U$23,0)))*(VLOOKUP($B193,INDIRECT($B$5&amp;"生成成长"),3))*(VLOOKUP($B$5,标准坦克设计!$B$14:$K$20,9)/30))</f>
        <v>11.349565050173487</v>
      </c>
      <c r="CE193" s="173">
        <f ca="1">(VLOOKUP(CE$72,INDIRECT($C$5&amp;"生成成长"),2))/((VLOOKUP($B193,INDIRECT($B$5&amp;"生成成长"),4))/(VLOOKUP(CE$72,INDIRECT($C$5&amp;"生成成长"),5))*(VLOOKUP($B$5,标准坦克设计!$B$24:$U$30,MATCH("对"&amp;LEFT($C$5,2)&amp;"输出",标准坦克设计!$B$23:$U$23,0)))*(VLOOKUP($B193,INDIRECT($B$5&amp;"生成成长"),3))*(VLOOKUP($B$5,标准坦克设计!$B$14:$K$20,9)/30))</f>
        <v>12.249983237623853</v>
      </c>
      <c r="CF193" s="173">
        <f ca="1">(VLOOKUP(CF$72,INDIRECT($C$5&amp;"生成成长"),2))/((VLOOKUP($B193,INDIRECT($B$5&amp;"生成成长"),4))/(VLOOKUP(CF$72,INDIRECT($C$5&amp;"生成成长"),5))*(VLOOKUP($B$5,标准坦克设计!$B$24:$U$30,MATCH("对"&amp;LEFT($C$5,2)&amp;"输出",标准坦克设计!$B$23:$U$23,0)))*(VLOOKUP($B193,INDIRECT($B$5&amp;"生成成长"),3))*(VLOOKUP($B$5,标准坦克设计!$B$14:$K$20,9)/30))</f>
        <v>13.184768531465451</v>
      </c>
      <c r="CG193" s="173">
        <f ca="1">(VLOOKUP(CG$72,INDIRECT($C$5&amp;"生成成长"),2))/((VLOOKUP($B193,INDIRECT($B$5&amp;"生成成长"),4))/(VLOOKUP(CG$72,INDIRECT($C$5&amp;"生成成长"),5))*(VLOOKUP($B$5,标准坦克设计!$B$24:$U$30,MATCH("对"&amp;LEFT($C$5,2)&amp;"输出",标准坦克设计!$B$23:$U$23,0)))*(VLOOKUP($B193,INDIRECT($B$5&amp;"生成成长"),3))*(VLOOKUP($B$5,标准坦克设计!$B$14:$K$20,9)/30))</f>
        <v>14.153920931698288</v>
      </c>
      <c r="CH193" s="173">
        <f ca="1">(VLOOKUP(CH$72,INDIRECT($C$5&amp;"生成成长"),2))/((VLOOKUP($B193,INDIRECT($B$5&amp;"生成成长"),4))/(VLOOKUP(CH$72,INDIRECT($C$5&amp;"生成成长"),5))*(VLOOKUP($B$5,标准坦克设计!$B$24:$U$30,MATCH("对"&amp;LEFT($C$5,2)&amp;"输出",标准坦克设计!$B$23:$U$23,0)))*(VLOOKUP($B193,INDIRECT($B$5&amp;"生成成长"),3))*(VLOOKUP($B$5,标准坦克设计!$B$14:$K$20,9)/30))</f>
        <v>15.157440438322354</v>
      </c>
      <c r="CI193" s="173">
        <f ca="1">(VLOOKUP(CI$72,INDIRECT($C$5&amp;"生成成长"),2))/((VLOOKUP($B193,INDIRECT($B$5&amp;"生成成长"),4))/(VLOOKUP(CI$72,INDIRECT($C$5&amp;"生成成长"),5))*(VLOOKUP($B$5,标准坦克设计!$B$24:$U$30,MATCH("对"&amp;LEFT($C$5,2)&amp;"输出",标准坦克设计!$B$23:$U$23,0)))*(VLOOKUP($B193,INDIRECT($B$5&amp;"生成成长"),3))*(VLOOKUP($B$5,标准坦克设计!$B$14:$K$20,9)/30))</f>
        <v>16.301005903490708</v>
      </c>
      <c r="CJ193" s="173">
        <f ca="1">(VLOOKUP(CJ$72,INDIRECT($C$5&amp;"生成成长"),2))/((VLOOKUP($B193,INDIRECT($B$5&amp;"生成成长"),4))/(VLOOKUP(CJ$72,INDIRECT($C$5&amp;"生成成长"),5))*(VLOOKUP($B$5,标准坦克设计!$B$24:$U$30,MATCH("对"&amp;LEFT($C$5,2)&amp;"输出",标准坦克设计!$B$23:$U$23,0)))*(VLOOKUP($B193,INDIRECT($B$5&amp;"生成成长"),3))*(VLOOKUP($B$5,标准坦克设计!$B$14:$K$20,9)/30))</f>
        <v>17.486155567392455</v>
      </c>
      <c r="CK193" s="173">
        <f ca="1">(VLOOKUP(CK$72,INDIRECT($C$5&amp;"生成成长"),2))/((VLOOKUP($B193,INDIRECT($B$5&amp;"生成成长"),4))/(VLOOKUP(CK$72,INDIRECT($C$5&amp;"生成成长"),5))*(VLOOKUP($B$5,标准坦克设计!$B$24:$U$30,MATCH("对"&amp;LEFT($C$5,2)&amp;"输出",标准坦克设计!$B$23:$U$23,0)))*(VLOOKUP($B193,INDIRECT($B$5&amp;"生成成长"),3))*(VLOOKUP($B$5,标准坦克设计!$B$14:$K$20,9)/30))</f>
        <v>18.712889430027598</v>
      </c>
      <c r="CL193" s="173">
        <f ca="1">(VLOOKUP(CL$72,INDIRECT($C$5&amp;"生成成长"),2))/((VLOOKUP($B193,INDIRECT($B$5&amp;"生成成长"),4))/(VLOOKUP(CL$72,INDIRECT($C$5&amp;"生成成长"),5))*(VLOOKUP($B$5,标准坦克设计!$B$24:$U$30,MATCH("对"&amp;LEFT($C$5,2)&amp;"输出",标准坦克设计!$B$23:$U$23,0)))*(VLOOKUP($B193,INDIRECT($B$5&amp;"生成成长"),3))*(VLOOKUP($B$5,标准坦克设计!$B$14:$K$20,9)/30))</f>
        <v>19.981207491396141</v>
      </c>
      <c r="CM193" s="173">
        <f ca="1">(VLOOKUP(CM$72,INDIRECT($C$5&amp;"生成成长"),2))/((VLOOKUP($B193,INDIRECT($B$5&amp;"生成成长"),4))/(VLOOKUP(CM$72,INDIRECT($C$5&amp;"生成成长"),5))*(VLOOKUP($B$5,标准坦克设计!$B$24:$U$30,MATCH("对"&amp;LEFT($C$5,2)&amp;"输出",标准坦克设计!$B$23:$U$23,0)))*(VLOOKUP($B193,INDIRECT($B$5&amp;"生成成长"),3))*(VLOOKUP($B$5,标准坦克设计!$B$14:$K$20,9)/30))</f>
        <v>21.29110975149807</v>
      </c>
      <c r="CN193" s="173">
        <f ca="1">(VLOOKUP(CN$72,INDIRECT($C$5&amp;"生成成长"),2))/((VLOOKUP($B193,INDIRECT($B$5&amp;"生成成长"),4))/(VLOOKUP(CN$72,INDIRECT($C$5&amp;"生成成长"),5))*(VLOOKUP($B$5,标准坦克设计!$B$24:$U$30,MATCH("对"&amp;LEFT($C$5,2)&amp;"输出",标准坦克设计!$B$23:$U$23,0)))*(VLOOKUP($B193,INDIRECT($B$5&amp;"生成成长"),3))*(VLOOKUP($B$5,标准坦克设计!$B$14:$K$20,9)/30))</f>
        <v>22.642596210333394</v>
      </c>
      <c r="CO193" s="173">
        <f ca="1">(VLOOKUP(CO$72,INDIRECT($C$5&amp;"生成成长"),2))/((VLOOKUP($B193,INDIRECT($B$5&amp;"生成成长"),4))/(VLOOKUP(CO$72,INDIRECT($C$5&amp;"生成成长"),5))*(VLOOKUP($B$5,标准坦克设计!$B$24:$U$30,MATCH("对"&amp;LEFT($C$5,2)&amp;"输出",标准坦克设计!$B$23:$U$23,0)))*(VLOOKUP($B193,INDIRECT($B$5&amp;"生成成长"),3))*(VLOOKUP($B$5,标准坦克设计!$B$14:$K$20,9)/30))</f>
        <v>10.146716326480254</v>
      </c>
      <c r="CP193" s="173">
        <f ca="1">(VLOOKUP(CP$72,INDIRECT($C$5&amp;"生成成长"),2))/((VLOOKUP($B193,INDIRECT($B$5&amp;"生成成长"),4))/(VLOOKUP(CP$72,INDIRECT($C$5&amp;"生成成长"),5))*(VLOOKUP($B$5,标准坦克设计!$B$24:$U$30,MATCH("对"&amp;LEFT($C$5,2)&amp;"输出",标准坦克设计!$B$23:$U$23,0)))*(VLOOKUP($B193,INDIRECT($B$5&amp;"生成成长"),3))*(VLOOKUP($B$5,标准坦克设计!$B$14:$K$20,9)/30))</f>
        <v>11.08614117968467</v>
      </c>
      <c r="CQ193" s="173">
        <f ca="1">(VLOOKUP(CQ$72,INDIRECT($C$5&amp;"生成成长"),2))/((VLOOKUP($B193,INDIRECT($B$5&amp;"生成成长"),4))/(VLOOKUP(CQ$72,INDIRECT($C$5&amp;"生成成长"),5))*(VLOOKUP($B$5,标准坦克设计!$B$24:$U$30,MATCH("对"&amp;LEFT($C$5,2)&amp;"输出",标准坦克设计!$B$23:$U$23,0)))*(VLOOKUP($B193,INDIRECT($B$5&amp;"生成成长"),3))*(VLOOKUP($B$5,标准坦克设计!$B$14:$K$20,9)/30))</f>
        <v>12.067150231622481</v>
      </c>
      <c r="CR193" s="173">
        <f ca="1">(VLOOKUP(CR$72,INDIRECT($C$5&amp;"生成成长"),2))/((VLOOKUP($B193,INDIRECT($B$5&amp;"生成成长"),4))/(VLOOKUP(CR$72,INDIRECT($C$5&amp;"生成成长"),5))*(VLOOKUP($B$5,标准坦克设计!$B$24:$U$30,MATCH("对"&amp;LEFT($C$5,2)&amp;"输出",标准坦克设计!$B$23:$U$23,0)))*(VLOOKUP($B193,INDIRECT($B$5&amp;"生成成长"),3))*(VLOOKUP($B$5,标准坦克设计!$B$14:$K$20,9)/30))</f>
        <v>13.089743482293684</v>
      </c>
      <c r="CS193" s="173">
        <f ca="1">(VLOOKUP(CS$72,INDIRECT($C$5&amp;"生成成长"),2))/((VLOOKUP($B193,INDIRECT($B$5&amp;"生成成长"),4))/(VLOOKUP(CS$72,INDIRECT($C$5&amp;"生成成长"),5))*(VLOOKUP($B$5,标准坦克设计!$B$24:$U$30,MATCH("对"&amp;LEFT($C$5,2)&amp;"输出",标准坦克设计!$B$23:$U$23,0)))*(VLOOKUP($B193,INDIRECT($B$5&amp;"生成成长"),3))*(VLOOKUP($B$5,标准坦克设计!$B$14:$K$20,9)/30))</f>
        <v>14.153920931698288</v>
      </c>
      <c r="CT193" s="173">
        <f ca="1">(VLOOKUP(CT$72,INDIRECT($C$5&amp;"生成成长"),2))/((VLOOKUP($B193,INDIRECT($B$5&amp;"生成成长"),4))/(VLOOKUP(CT$72,INDIRECT($C$5&amp;"生成成长"),5))*(VLOOKUP($B$5,标准坦克设计!$B$24:$U$30,MATCH("对"&amp;LEFT($C$5,2)&amp;"输出",标准坦克设计!$B$23:$U$23,0)))*(VLOOKUP($B193,INDIRECT($B$5&amp;"生成成长"),3))*(VLOOKUP($B$5,标准坦克设计!$B$14:$K$20,9)/30))</f>
        <v>15.25968257983628</v>
      </c>
      <c r="CU193" s="173">
        <f ca="1">(VLOOKUP(CU$72,INDIRECT($C$5&amp;"生成成长"),2))/((VLOOKUP($B193,INDIRECT($B$5&amp;"生成成长"),4))/(VLOOKUP(CU$72,INDIRECT($C$5&amp;"生成成长"),5))*(VLOOKUP($B$5,标准坦克设计!$B$24:$U$30,MATCH("对"&amp;LEFT($C$5,2)&amp;"输出",标准坦克设计!$B$23:$U$23,0)))*(VLOOKUP($B193,INDIRECT($B$5&amp;"生成成长"),3))*(VLOOKUP($B$5,标准坦克设计!$B$14:$K$20,9)/30))</f>
        <v>16.407028426707669</v>
      </c>
      <c r="CV193" s="173">
        <f ca="1">(VLOOKUP(CV$72,INDIRECT($C$5&amp;"生成成长"),2))/((VLOOKUP($B193,INDIRECT($B$5&amp;"生成成长"),4))/(VLOOKUP(CV$72,INDIRECT($C$5&amp;"生成成长"),5))*(VLOOKUP($B$5,标准坦克设计!$B$24:$U$30,MATCH("对"&amp;LEFT($C$5,2)&amp;"输出",标准坦克设计!$B$23:$U$23,0)))*(VLOOKUP($B193,INDIRECT($B$5&amp;"生成成长"),3))*(VLOOKUP($B$5,标准坦克设计!$B$14:$K$20,9)/30))</f>
        <v>17.59595847231245</v>
      </c>
      <c r="CW193" s="173">
        <f ca="1">(VLOOKUP(CW$72,INDIRECT($C$5&amp;"生成成长"),2))/((VLOOKUP($B193,INDIRECT($B$5&amp;"生成成长"),4))/(VLOOKUP(CW$72,INDIRECT($C$5&amp;"生成成长"),5))*(VLOOKUP($B$5,标准坦克设计!$B$24:$U$30,MATCH("对"&amp;LEFT($C$5,2)&amp;"输出",标准坦克设计!$B$23:$U$23,0)))*(VLOOKUP($B193,INDIRECT($B$5&amp;"生成成长"),3))*(VLOOKUP($B$5,标准坦克设计!$B$14:$K$20,9)/30))</f>
        <v>18.826472716650631</v>
      </c>
      <c r="CX193" s="173">
        <f ca="1">(VLOOKUP(CX$72,INDIRECT($C$5&amp;"生成成长"),2))/((VLOOKUP($B193,INDIRECT($B$5&amp;"生成成长"),4))/(VLOOKUP(CX$72,INDIRECT($C$5&amp;"生成成长"),5))*(VLOOKUP($B$5,标准坦克设计!$B$24:$U$30,MATCH("对"&amp;LEFT($C$5,2)&amp;"输出",标准坦克设计!$B$23:$U$23,0)))*(VLOOKUP($B193,INDIRECT($B$5&amp;"生成成长"),3))*(VLOOKUP($B$5,标准坦克设计!$B$14:$K$20,9)/30))</f>
        <v>20.098571159722201</v>
      </c>
      <c r="CY193" s="173">
        <f ca="1">(VLOOKUP(CY$72,INDIRECT($C$5&amp;"生成成长"),2))/((VLOOKUP($B193,INDIRECT($B$5&amp;"生成成长"),4))/(VLOOKUP(CY$72,INDIRECT($C$5&amp;"生成成长"),5))*(VLOOKUP($B$5,标准坦克设计!$B$24:$U$30,MATCH("对"&amp;LEFT($C$5,2)&amp;"输出",标准坦克设计!$B$23:$U$23,0)))*(VLOOKUP($B193,INDIRECT($B$5&amp;"生成成长"),3))*(VLOOKUP($B$5,标准坦克设计!$B$14:$K$20,9)/30))</f>
        <v>21.412253801527175</v>
      </c>
      <c r="CZ193" s="173">
        <f ca="1">(VLOOKUP(CZ$72,INDIRECT($C$5&amp;"生成成长"),2))/((VLOOKUP($B193,INDIRECT($B$5&amp;"生成成长"),4))/(VLOOKUP(CZ$72,INDIRECT($C$5&amp;"生成成长"),5))*(VLOOKUP($B$5,标准坦克设计!$B$24:$U$30,MATCH("对"&amp;LEFT($C$5,2)&amp;"输出",标准坦克设计!$B$23:$U$23,0)))*(VLOOKUP($B193,INDIRECT($B$5&amp;"生成成长"),3))*(VLOOKUP($B$5,标准坦克设计!$B$14:$K$20,9)/30))</f>
        <v>22.767520642065531</v>
      </c>
      <c r="DA193" s="173">
        <f ca="1">(VLOOKUP(DA$72,INDIRECT($C$5&amp;"生成成长"),2))/((VLOOKUP($B193,INDIRECT($B$5&amp;"生成成长"),4))/(VLOOKUP(DA$72,INDIRECT($C$5&amp;"生成成长"),5))*(VLOOKUP($B$5,标准坦克设计!$B$24:$U$30,MATCH("对"&amp;LEFT($C$5,2)&amp;"输出",标准坦克设计!$B$23:$U$23,0)))*(VLOOKUP($B193,INDIRECT($B$5&amp;"生成成长"),3))*(VLOOKUP($B$5,标准坦克设计!$B$14:$K$20,9)/30))</f>
        <v>24.164371681337293</v>
      </c>
      <c r="DB193" s="173">
        <f ca="1">(VLOOKUP(DB$72,INDIRECT($C$5&amp;"生成成长"),2))/((VLOOKUP($B193,INDIRECT($B$5&amp;"生成成长"),4))/(VLOOKUP(DB$72,INDIRECT($C$5&amp;"生成成长"),5))*(VLOOKUP($B$5,标准坦克设计!$B$24:$U$30,MATCH("对"&amp;LEFT($C$5,2)&amp;"输出",标准坦克设计!$B$23:$U$23,0)))*(VLOOKUP($B193,INDIRECT($B$5&amp;"生成成长"),3))*(VLOOKUP($B$5,标准坦克设计!$B$14:$K$20,9)/30))</f>
        <v>25.602806919342441</v>
      </c>
      <c r="DC193" s="173">
        <f ca="1">(VLOOKUP(DC$72,INDIRECT($C$5&amp;"生成成长"),2))/((VLOOKUP($B193,INDIRECT($B$5&amp;"生成成长"),4))/(VLOOKUP(DC$72,INDIRECT($C$5&amp;"生成成长"),5))*(VLOOKUP($B$5,标准坦克设计!$B$24:$U$30,MATCH("对"&amp;LEFT($C$5,2)&amp;"输出",标准坦克设计!$B$23:$U$23,0)))*(VLOOKUP($B193,INDIRECT($B$5&amp;"生成成长"),3))*(VLOOKUP($B$5,标准坦克设计!$B$14:$K$20,9)/30))</f>
        <v>27.219435603986152</v>
      </c>
      <c r="DD193" s="173">
        <f ca="1">(VLOOKUP(DD$72,INDIRECT($C$5&amp;"生成成长"),2))/((VLOOKUP($B193,INDIRECT($B$5&amp;"生成成长"),4))/(VLOOKUP(DD$72,INDIRECT($C$5&amp;"生成成长"),5))*(VLOOKUP($B$5,标准坦克设计!$B$24:$U$30,MATCH("对"&amp;LEFT($C$5,2)&amp;"输出",标准坦克设计!$B$23:$U$23,0)))*(VLOOKUP($B193,INDIRECT($B$5&amp;"生成成长"),3))*(VLOOKUP($B$5,标准坦克设计!$B$14:$K$20,9)/30))</f>
        <v>28.885552921833234</v>
      </c>
      <c r="DE193" s="173">
        <f ca="1">(VLOOKUP(DE$72,INDIRECT($C$5&amp;"生成成长"),2))/((VLOOKUP($B193,INDIRECT($B$5&amp;"生成成长"),4))/(VLOOKUP(DE$72,INDIRECT($C$5&amp;"生成成长"),5))*(VLOOKUP($B$5,标准坦克设计!$B$24:$U$30,MATCH("对"&amp;LEFT($C$5,2)&amp;"输出",标准坦克设计!$B$23:$U$23,0)))*(VLOOKUP($B193,INDIRECT($B$5&amp;"生成成长"),3))*(VLOOKUP($B$5,标准坦克设计!$B$14:$K$20,9)/30))</f>
        <v>30.601158872883701</v>
      </c>
      <c r="DF193" s="173">
        <f ca="1">(VLOOKUP(DF$72,INDIRECT($C$5&amp;"生成成长"),2))/((VLOOKUP($B193,INDIRECT($B$5&amp;"生成成长"),4))/(VLOOKUP(DF$72,INDIRECT($C$5&amp;"生成成长"),5))*(VLOOKUP($B$5,标准坦克设计!$B$24:$U$30,MATCH("对"&amp;LEFT($C$5,2)&amp;"输出",标准坦克设计!$B$23:$U$23,0)))*(VLOOKUP($B193,INDIRECT($B$5&amp;"生成成长"),3))*(VLOOKUP($B$5,标准坦克设计!$B$14:$K$20,9)/30))</f>
        <v>32.366253457137532</v>
      </c>
      <c r="DG193" s="173">
        <f ca="1">(VLOOKUP(DG$72,INDIRECT($C$5&amp;"生成成长"),2))/((VLOOKUP($B193,INDIRECT($B$5&amp;"生成成长"),4))/(VLOOKUP(DG$72,INDIRECT($C$5&amp;"生成成长"),5))*(VLOOKUP($B$5,标准坦克设计!$B$24:$U$30,MATCH("对"&amp;LEFT($C$5,2)&amp;"输出",标准坦克设计!$B$23:$U$23,0)))*(VLOOKUP($B193,INDIRECT($B$5&amp;"生成成长"),3))*(VLOOKUP($B$5,标准坦克设计!$B$14:$K$20,9)/30))</f>
        <v>34.180836674594758</v>
      </c>
      <c r="DH193" s="173">
        <f ca="1">(VLOOKUP(DH$72,INDIRECT($C$5&amp;"生成成长"),2))/((VLOOKUP($B193,INDIRECT($B$5&amp;"生成成长"),4))/(VLOOKUP(DH$72,INDIRECT($C$5&amp;"生成成长"),5))*(VLOOKUP($B$5,标准坦克设计!$B$24:$U$30,MATCH("对"&amp;LEFT($C$5,2)&amp;"输出",标准坦克设计!$B$23:$U$23,0)))*(VLOOKUP($B193,INDIRECT($B$5&amp;"生成成长"),3))*(VLOOKUP($B$5,标准坦克设计!$B$14:$K$20,9)/30))</f>
        <v>36.044908525255366</v>
      </c>
      <c r="DI193" s="173">
        <f ca="1">(VLOOKUP(DI$72,INDIRECT($C$5&amp;"生成成长"),2))/((VLOOKUP($B193,INDIRECT($B$5&amp;"生成成长"),4))/(VLOOKUP(DI$72,INDIRECT($C$5&amp;"生成成长"),5))*(VLOOKUP($B$5,标准坦克设计!$B$24:$U$30,MATCH("对"&amp;LEFT($C$5,2)&amp;"输出",标准坦克设计!$B$23:$U$23,0)))*(VLOOKUP($B193,INDIRECT($B$5&amp;"生成成长"),3))*(VLOOKUP($B$5,标准坦克设计!$B$14:$K$20,9)/30))</f>
        <v>37.958469009119348</v>
      </c>
      <c r="DJ193" s="173">
        <f ca="1">(VLOOKUP(DJ$72,INDIRECT($C$5&amp;"生成成长"),2))/((VLOOKUP($B193,INDIRECT($B$5&amp;"生成成长"),4))/(VLOOKUP(DJ$72,INDIRECT($C$5&amp;"生成成长"),5))*(VLOOKUP($B$5,标准坦克设计!$B$24:$U$30,MATCH("对"&amp;LEFT($C$5,2)&amp;"输出",标准坦克设计!$B$23:$U$23,0)))*(VLOOKUP($B193,INDIRECT($B$5&amp;"生成成长"),3))*(VLOOKUP($B$5,标准坦克设计!$B$14:$K$20,9)/30))</f>
        <v>3.81492064495907</v>
      </c>
      <c r="DK193" s="173">
        <f ca="1">(VLOOKUP(DK$72,INDIRECT($C$5&amp;"生成成长"),2))/((VLOOKUP($B193,INDIRECT($B$5&amp;"生成成长"),4))/(VLOOKUP(DK$72,INDIRECT($C$5&amp;"生成成长"),5))*(VLOOKUP($B$5,标准坦克设计!$B$24:$U$30,MATCH("对"&amp;LEFT($C$5,2)&amp;"输出",标准坦克设计!$B$23:$U$23,0)))*(VLOOKUP($B193,INDIRECT($B$5&amp;"生成成长"),3))*(VLOOKUP($B$5,标准坦克设计!$B$14:$K$20,9)/30))</f>
        <v>4.2897022197539849</v>
      </c>
      <c r="DL193" s="173">
        <f ca="1">(VLOOKUP(DL$72,INDIRECT($C$5&amp;"生成成长"),2))/((VLOOKUP($B193,INDIRECT($B$5&amp;"生成成长"),4))/(VLOOKUP(DL$72,INDIRECT($C$5&amp;"生成成长"),5))*(VLOOKUP($B$5,标准坦克设计!$B$24:$U$30,MATCH("对"&amp;LEFT($C$5,2)&amp;"输出",标准坦克设计!$B$23:$U$23,0)))*(VLOOKUP($B193,INDIRECT($B$5&amp;"生成成长"),3))*(VLOOKUP($B$5,标准坦克设计!$B$14:$K$20,9)/30))</f>
        <v>4.792321150725801</v>
      </c>
      <c r="DM193" s="173">
        <f ca="1">(VLOOKUP(DM$72,INDIRECT($C$5&amp;"生成成长"),2))/((VLOOKUP($B193,INDIRECT($B$5&amp;"生成成长"),4))/(VLOOKUP(DM$72,INDIRECT($C$5&amp;"生成成长"),5))*(VLOOKUP($B$5,标准坦克设计!$B$24:$U$30,MATCH("对"&amp;LEFT($C$5,2)&amp;"输出",标准坦克设计!$B$23:$U$23,0)))*(VLOOKUP($B193,INDIRECT($B$5&amp;"生成成长"),3))*(VLOOKUP($B$5,标准坦克设计!$B$14:$K$20,9)/30))</f>
        <v>5.3227774378745174</v>
      </c>
      <c r="DN193" s="173">
        <f ca="1">(VLOOKUP(DN$72,INDIRECT($C$5&amp;"生成成长"),2))/((VLOOKUP($B193,INDIRECT($B$5&amp;"生成成长"),4))/(VLOOKUP(DN$72,INDIRECT($C$5&amp;"生成成长"),5))*(VLOOKUP($B$5,标准坦克设计!$B$24:$U$30,MATCH("对"&amp;LEFT($C$5,2)&amp;"输出",标准坦克设计!$B$23:$U$23,0)))*(VLOOKUP($B193,INDIRECT($B$5&amp;"生成成长"),3))*(VLOOKUP($B$5,标准坦克设计!$B$14:$K$20,9)/30))</f>
        <v>5.8810710812001332</v>
      </c>
      <c r="DO193" s="173">
        <f ca="1">(VLOOKUP(DO$72,INDIRECT($C$5&amp;"生成成长"),2))/((VLOOKUP($B193,INDIRECT($B$5&amp;"生成成长"),4))/(VLOOKUP(DO$72,INDIRECT($C$5&amp;"生成成长"),5))*(VLOOKUP($B$5,标准坦克设计!$B$24:$U$30,MATCH("对"&amp;LEFT($C$5,2)&amp;"输出",标准坦克设计!$B$23:$U$23,0)))*(VLOOKUP($B193,INDIRECT($B$5&amp;"生成成长"),3))*(VLOOKUP($B$5,标准坦克设计!$B$14:$K$20,9)/30))</f>
        <v>6.467202080702652</v>
      </c>
      <c r="DP193" s="173">
        <f ca="1">(VLOOKUP(DP$72,INDIRECT($C$5&amp;"生成成长"),2))/((VLOOKUP($B193,INDIRECT($B$5&amp;"生成成长"),4))/(VLOOKUP(DP$72,INDIRECT($C$5&amp;"生成成长"),5))*(VLOOKUP($B$5,标准坦克设计!$B$24:$U$30,MATCH("对"&amp;LEFT($C$5,2)&amp;"输出",标准坦克设计!$B$23:$U$23,0)))*(VLOOKUP($B193,INDIRECT($B$5&amp;"生成成长"),3))*(VLOOKUP($B$5,标准坦克设计!$B$14:$K$20,9)/30))</f>
        <v>7.0811704363820693</v>
      </c>
      <c r="DQ193" s="173">
        <f ca="1">(VLOOKUP(DQ$72,INDIRECT($C$5&amp;"生成成长"),2))/((VLOOKUP($B193,INDIRECT($B$5&amp;"生成成长"),4))/(VLOOKUP(DQ$72,INDIRECT($C$5&amp;"生成成长"),5))*(VLOOKUP($B$5,标准坦克设计!$B$24:$U$30,MATCH("对"&amp;LEFT($C$5,2)&amp;"输出",标准坦克设计!$B$23:$U$23,0)))*(VLOOKUP($B193,INDIRECT($B$5&amp;"生成成长"),3))*(VLOOKUP($B$5,标准坦克设计!$B$14:$K$20,9)/30))</f>
        <v>7.7229761482383861</v>
      </c>
      <c r="DR193" s="173">
        <f ca="1">(VLOOKUP(DR$72,INDIRECT($C$5&amp;"生成成长"),2))/((VLOOKUP($B193,INDIRECT($B$5&amp;"生成成长"),4))/(VLOOKUP(DR$72,INDIRECT($C$5&amp;"生成成长"),5))*(VLOOKUP($B$5,标准坦克设计!$B$24:$U$30,MATCH("对"&amp;LEFT($C$5,2)&amp;"输出",标准坦克设计!$B$23:$U$23,0)))*(VLOOKUP($B193,INDIRECT($B$5&amp;"生成成长"),3))*(VLOOKUP($B$5,标准坦克设计!$B$14:$K$20,9)/30))</f>
        <v>8.3926192162716049</v>
      </c>
      <c r="DS193" s="173">
        <f ca="1">(VLOOKUP(DS$72,INDIRECT($C$5&amp;"生成成长"),2))/((VLOOKUP($B193,INDIRECT($B$5&amp;"生成成长"),4))/(VLOOKUP(DS$72,INDIRECT($C$5&amp;"生成成长"),5))*(VLOOKUP($B$5,标准坦克设计!$B$24:$U$30,MATCH("对"&amp;LEFT($C$5,2)&amp;"输出",标准坦克设计!$B$23:$U$23,0)))*(VLOOKUP($B193,INDIRECT($B$5&amp;"生成成长"),3))*(VLOOKUP($B$5,标准坦克设计!$B$14:$K$20,9)/30))</f>
        <v>9.0900996404817249</v>
      </c>
      <c r="DT193" s="173">
        <f ca="1">(VLOOKUP(DT$72,INDIRECT($C$5&amp;"生成成长"),2))/((VLOOKUP($B193,INDIRECT($B$5&amp;"生成成长"),4))/(VLOOKUP(DT$72,INDIRECT($C$5&amp;"生成成长"),5))*(VLOOKUP($B$5,标准坦克设计!$B$24:$U$30,MATCH("对"&amp;LEFT($C$5,2)&amp;"输出",标准坦克设计!$B$23:$U$23,0)))*(VLOOKUP($B193,INDIRECT($B$5&amp;"生成成长"),3))*(VLOOKUP($B$5,标准坦克设计!$B$14:$K$20,9)/30))</f>
        <v>9.9803795315466743</v>
      </c>
      <c r="DU193" s="173">
        <f ca="1">(VLOOKUP(DU$72,INDIRECT($C$5&amp;"生成成长"),2))/((VLOOKUP($B193,INDIRECT($B$5&amp;"生成成长"),4))/(VLOOKUP(DU$72,INDIRECT($C$5&amp;"生成成长"),5))*(VLOOKUP($B$5,标准坦克设计!$B$24:$U$30,MATCH("对"&amp;LEFT($C$5,2)&amp;"输出",标准坦克设计!$B$23:$U$23,0)))*(VLOOKUP($B193,INDIRECT($B$5&amp;"生成成长"),3))*(VLOOKUP($B$5,标准坦克设计!$B$14:$K$20,9)/30))</f>
        <v>10.912243621345018</v>
      </c>
      <c r="DV193" s="173">
        <f ca="1">(VLOOKUP(DV$72,INDIRECT($C$5&amp;"生成成长"),2))/((VLOOKUP($B193,INDIRECT($B$5&amp;"生成成长"),4))/(VLOOKUP(DV$72,INDIRECT($C$5&amp;"生成成长"),5))*(VLOOKUP($B$5,标准坦克设计!$B$24:$U$30,MATCH("对"&amp;LEFT($C$5,2)&amp;"输出",标准坦克设计!$B$23:$U$23,0)))*(VLOOKUP($B193,INDIRECT($B$5&amp;"生成成长"),3))*(VLOOKUP($B$5,标准坦克设计!$B$14:$K$20,9)/30))</f>
        <v>11.885691909876757</v>
      </c>
      <c r="DW193" s="173">
        <f ca="1">(VLOOKUP(DW$72,INDIRECT($C$5&amp;"生成成长"),2))/((VLOOKUP($B193,INDIRECT($B$5&amp;"生成成长"),4))/(VLOOKUP(DW$72,INDIRECT($C$5&amp;"生成成长"),5))*(VLOOKUP($B$5,标准坦克设计!$B$24:$U$30,MATCH("对"&amp;LEFT($C$5,2)&amp;"输出",标准坦克设计!$B$23:$U$23,0)))*(VLOOKUP($B193,INDIRECT($B$5&amp;"生成成长"),3))*(VLOOKUP($B$5,标准坦克设计!$B$14:$K$20,9)/30))</f>
        <v>12.900724397141889</v>
      </c>
      <c r="DX193" s="173">
        <f ca="1">(VLOOKUP(DX$72,INDIRECT($C$5&amp;"生成成长"),2))/((VLOOKUP($B193,INDIRECT($B$5&amp;"生成成长"),4))/(VLOOKUP(DX$72,INDIRECT($C$5&amp;"生成成长"),5))*(VLOOKUP($B$5,标准坦克设计!$B$24:$U$30,MATCH("对"&amp;LEFT($C$5,2)&amp;"输出",标准坦克设计!$B$23:$U$23,0)))*(VLOOKUP($B193,INDIRECT($B$5&amp;"生成成长"),3))*(VLOOKUP($B$5,标准坦克设计!$B$14:$K$20,9)/30))</f>
        <v>13.95734108314042</v>
      </c>
      <c r="DY193" s="173">
        <f ca="1">(VLOOKUP(DY$72,INDIRECT($C$5&amp;"生成成长"),2))/((VLOOKUP($B193,INDIRECT($B$5&amp;"生成成长"),4))/(VLOOKUP(DY$72,INDIRECT($C$5&amp;"生成成长"),5))*(VLOOKUP($B$5,标准坦克设计!$B$24:$U$30,MATCH("对"&amp;LEFT($C$5,2)&amp;"输出",标准坦克设计!$B$23:$U$23,0)))*(VLOOKUP($B193,INDIRECT($B$5&amp;"生成成长"),3))*(VLOOKUP($B$5,标准坦克设计!$B$14:$K$20,9)/30))</f>
        <v>6.2687320412932674</v>
      </c>
      <c r="DZ193" s="173">
        <f ca="1">(VLOOKUP(DZ$72,INDIRECT($C$5&amp;"生成成长"),2))/((VLOOKUP($B193,INDIRECT($B$5&amp;"生成成长"),4))/(VLOOKUP(DZ$72,INDIRECT($C$5&amp;"生成成长"),5))*(VLOOKUP($B$5,标准坦克设计!$B$24:$U$30,MATCH("对"&amp;LEFT($C$5,2)&amp;"输出",标准坦克设计!$B$23:$U$23,0)))*(VLOOKUP($B193,INDIRECT($B$5&amp;"生成成长"),3))*(VLOOKUP($B$5,标准坦克设计!$B$14:$K$20,9)/30))</f>
        <v>6.9423273265614789</v>
      </c>
      <c r="EA193" s="173">
        <f ca="1">(VLOOKUP(EA$72,INDIRECT($C$5&amp;"生成成长"),2))/((VLOOKUP($B193,INDIRECT($B$5&amp;"生成成长"),4))/(VLOOKUP(EA$72,INDIRECT($C$5&amp;"生成成长"),5))*(VLOOKUP($B$5,标准坦克设计!$B$24:$U$30,MATCH("对"&amp;LEFT($C$5,2)&amp;"输出",标准坦克设计!$B$23:$U$23,0)))*(VLOOKUP($B193,INDIRECT($B$5&amp;"生成成长"),3))*(VLOOKUP($B$5,标准坦克设计!$B$14:$K$20,9)/30))</f>
        <v>7.6502897182209253</v>
      </c>
      <c r="EB193" s="173">
        <f ca="1">(VLOOKUP(EB$72,INDIRECT($C$5&amp;"生成成长"),2))/((VLOOKUP($B193,INDIRECT($B$5&amp;"生成成长"),4))/(VLOOKUP(EB$72,INDIRECT($C$5&amp;"生成成长"),5))*(VLOOKUP($B$5,标准坦克设计!$B$24:$U$30,MATCH("对"&amp;LEFT($C$5,2)&amp;"输出",标准坦克设计!$B$23:$U$23,0)))*(VLOOKUP($B193,INDIRECT($B$5&amp;"生成成长"),3))*(VLOOKUP($B$5,标准坦克设计!$B$14:$K$20,9)/30))</f>
        <v>8.3926192162716049</v>
      </c>
      <c r="EC193" s="173">
        <f ca="1">(VLOOKUP(EC$72,INDIRECT($C$5&amp;"生成成长"),2))/((VLOOKUP($B193,INDIRECT($B$5&amp;"生成成长"),4))/(VLOOKUP(EC$72,INDIRECT($C$5&amp;"生成成长"),5))*(VLOOKUP($B$5,标准坦克设计!$B$24:$U$30,MATCH("对"&amp;LEFT($C$5,2)&amp;"输出",标准坦克设计!$B$23:$U$23,0)))*(VLOOKUP($B193,INDIRECT($B$5&amp;"生成成长"),3))*(VLOOKUP($B$5,标准坦克设计!$B$14:$K$20,9)/30))</f>
        <v>9.169315820713523</v>
      </c>
      <c r="ED193" s="173">
        <f ca="1">(VLOOKUP(ED$72,INDIRECT($C$5&amp;"生成成长"),2))/((VLOOKUP($B193,INDIRECT($B$5&amp;"生成成长"),4))/(VLOOKUP(ED$72,INDIRECT($C$5&amp;"生成成长"),5))*(VLOOKUP($B$5,标准坦克设计!$B$24:$U$30,MATCH("对"&amp;LEFT($C$5,2)&amp;"输出",标准坦克设计!$B$23:$U$23,0)))*(VLOOKUP($B193,INDIRECT($B$5&amp;"生成成长"),3))*(VLOOKUP($B$5,标准坦克设计!$B$14:$K$20,9)/30))</f>
        <v>9.9803795315466743</v>
      </c>
      <c r="EE193" s="173">
        <f ca="1">(VLOOKUP(EE$72,INDIRECT($C$5&amp;"生成成长"),2))/((VLOOKUP($B193,INDIRECT($B$5&amp;"生成成长"),4))/(VLOOKUP(EE$72,INDIRECT($C$5&amp;"生成成长"),5))*(VLOOKUP($B$5,标准坦克设计!$B$24:$U$30,MATCH("对"&amp;LEFT($C$5,2)&amp;"输出",标准坦克设计!$B$23:$U$23,0)))*(VLOOKUP($B193,INDIRECT($B$5&amp;"生成成长"),3))*(VLOOKUP($B$5,标准坦克设计!$B$14:$K$20,9)/30))</f>
        <v>10.825810348771062</v>
      </c>
      <c r="EF193" s="173">
        <f ca="1">(VLOOKUP(EF$72,INDIRECT($C$5&amp;"生成成长"),2))/((VLOOKUP($B193,INDIRECT($B$5&amp;"生成成长"),4))/(VLOOKUP(EF$72,INDIRECT($C$5&amp;"生成成长"),5))*(VLOOKUP($B$5,标准坦克设计!$B$24:$U$30,MATCH("对"&amp;LEFT($C$5,2)&amp;"输出",标准坦克设计!$B$23:$U$23,0)))*(VLOOKUP($B193,INDIRECT($B$5&amp;"生成成长"),3))*(VLOOKUP($B$5,标准坦克设计!$B$14:$K$20,9)/30))</f>
        <v>11.705608272386685</v>
      </c>
      <c r="EG193" s="173">
        <f ca="1">(VLOOKUP(EG$72,INDIRECT($C$5&amp;"生成成长"),2))/((VLOOKUP($B193,INDIRECT($B$5&amp;"生成成长"),4))/(VLOOKUP(EG$72,INDIRECT($C$5&amp;"生成成长"),5))*(VLOOKUP($B$5,标准坦克设计!$B$24:$U$30,MATCH("对"&amp;LEFT($C$5,2)&amp;"输出",标准坦克设计!$B$23:$U$23,0)))*(VLOOKUP($B193,INDIRECT($B$5&amp;"生成成长"),3))*(VLOOKUP($B$5,标准坦克设计!$B$14:$K$20,9)/30))</f>
        <v>12.619773302393542</v>
      </c>
      <c r="EH193" s="173">
        <f ca="1">(VLOOKUP(EH$72,INDIRECT($C$5&amp;"生成成长"),2))/((VLOOKUP($B193,INDIRECT($B$5&amp;"生成成长"),4))/(VLOOKUP(EH$72,INDIRECT($C$5&amp;"生成成长"),5))*(VLOOKUP($B$5,标准坦克设计!$B$24:$U$30,MATCH("对"&amp;LEFT($C$5,2)&amp;"输出",标准坦克设计!$B$23:$U$23,0)))*(VLOOKUP($B193,INDIRECT($B$5&amp;"生成成长"),3))*(VLOOKUP($B$5,标准坦克设计!$B$14:$K$20,9)/30))</f>
        <v>13.568305438791635</v>
      </c>
      <c r="EI193" s="173">
        <f ca="1">(VLOOKUP(EI$72,INDIRECT($C$5&amp;"生成成长"),2))/((VLOOKUP($B193,INDIRECT($B$5&amp;"生成成长"),4))/(VLOOKUP(EI$72,INDIRECT($C$5&amp;"生成成长"),5))*(VLOOKUP($B$5,标准坦克设计!$B$24:$U$30,MATCH("对"&amp;LEFT($C$5,2)&amp;"输出",标准坦克设计!$B$23:$U$23,0)))*(VLOOKUP($B193,INDIRECT($B$5&amp;"生成成长"),3))*(VLOOKUP($B$5,标准坦克设计!$B$14:$K$20,9)/30))</f>
        <v>14.551204681580964</v>
      </c>
      <c r="EJ193" s="173">
        <f ca="1">(VLOOKUP(EJ$72,INDIRECT($C$5&amp;"生成成长"),2))/((VLOOKUP($B193,INDIRECT($B$5&amp;"生成成长"),4))/(VLOOKUP(EJ$72,INDIRECT($C$5&amp;"生成成长"),5))*(VLOOKUP($B$5,标准坦克设计!$B$24:$U$30,MATCH("对"&amp;LEFT($C$5,2)&amp;"输出",标准坦克设计!$B$23:$U$23,0)))*(VLOOKUP($B193,INDIRECT($B$5&amp;"生成成长"),3))*(VLOOKUP($B$5,标准坦克设计!$B$14:$K$20,9)/30))</f>
        <v>15.568471030761529</v>
      </c>
      <c r="EK193" s="173">
        <f ca="1">(VLOOKUP(EK$72,INDIRECT($C$5&amp;"生成成长"),2))/((VLOOKUP($B193,INDIRECT($B$5&amp;"生成成长"),4))/(VLOOKUP(EK$72,INDIRECT($C$5&amp;"生成成长"),5))*(VLOOKUP($B$5,标准坦克设计!$B$24:$U$30,MATCH("对"&amp;LEFT($C$5,2)&amp;"输出",标准坦克设计!$B$23:$U$23,0)))*(VLOOKUP($B193,INDIRECT($B$5&amp;"生成成长"),3))*(VLOOKUP($B$5,标准坦克设计!$B$14:$K$20,9)/30))</f>
        <v>16.834555230214633</v>
      </c>
      <c r="EL193" s="173">
        <f ca="1">(VLOOKUP(EL$72,INDIRECT($C$5&amp;"生成成长"),2))/((VLOOKUP($B193,INDIRECT($B$5&amp;"生成成长"),4))/(VLOOKUP(EL$72,INDIRECT($C$5&amp;"生成成长"),5))*(VLOOKUP($B$5,标准坦克设计!$B$24:$U$30,MATCH("对"&amp;LEFT($C$5,2)&amp;"输出",标准坦克设计!$B$23:$U$23,0)))*(VLOOKUP($B193,INDIRECT($B$5&amp;"生成成长"),3))*(VLOOKUP($B$5,标准坦克设计!$B$14:$K$20,9)/30))</f>
        <v>18.150128062871119</v>
      </c>
      <c r="EM193" s="173">
        <f ca="1">(VLOOKUP(EM$72,INDIRECT($C$5&amp;"生成成长"),2))/((VLOOKUP($B193,INDIRECT($B$5&amp;"生成成长"),4))/(VLOOKUP(EM$72,INDIRECT($C$5&amp;"生成成长"),5))*(VLOOKUP($B$5,标准坦克设计!$B$24:$U$30,MATCH("对"&amp;LEFT($C$5,2)&amp;"输出",标准坦克设计!$B$23:$U$23,0)))*(VLOOKUP($B193,INDIRECT($B$5&amp;"生成成长"),3))*(VLOOKUP($B$5,标准坦克设计!$B$14:$K$20,9)/30))</f>
        <v>19.515189528730986</v>
      </c>
      <c r="EN193" s="173">
        <f ca="1">(VLOOKUP(EN$72,INDIRECT($C$5&amp;"生成成长"),2))/((VLOOKUP($B193,INDIRECT($B$5&amp;"生成成长"),4))/(VLOOKUP(EN$72,INDIRECT($C$5&amp;"生成成长"),5))*(VLOOKUP($B$5,标准坦克设计!$B$24:$U$30,MATCH("对"&amp;LEFT($C$5,2)&amp;"输出",标准坦克设计!$B$23:$U$23,0)))*(VLOOKUP($B193,INDIRECT($B$5&amp;"生成成长"),3))*(VLOOKUP($B$5,标准坦克设计!$B$14:$K$20,9)/30))</f>
        <v>20.929739627794227</v>
      </c>
      <c r="EO193" s="173">
        <f ca="1">(VLOOKUP(EO$72,INDIRECT($C$5&amp;"生成成长"),2))/((VLOOKUP($B193,INDIRECT($B$5&amp;"生成成长"),4))/(VLOOKUP(EO$72,INDIRECT($C$5&amp;"生成成长"),5))*(VLOOKUP($B$5,标准坦克设计!$B$24:$U$30,MATCH("对"&amp;LEFT($C$5,2)&amp;"输出",标准坦克设计!$B$23:$U$23,0)))*(VLOOKUP($B193,INDIRECT($B$5&amp;"生成成长"),3))*(VLOOKUP($B$5,标准坦克设计!$B$14:$K$20,9)/30))</f>
        <v>22.39377836006085</v>
      </c>
      <c r="EP193" s="173">
        <f ca="1">(VLOOKUP(EP$72,INDIRECT($C$5&amp;"生成成长"),2))/((VLOOKUP($B193,INDIRECT($B$5&amp;"生成成长"),4))/(VLOOKUP(EP$72,INDIRECT($C$5&amp;"生成成长"),5))*(VLOOKUP($B$5,标准坦克设计!$B$24:$U$30,MATCH("对"&amp;LEFT($C$5,2)&amp;"输出",标准坦克设计!$B$23:$U$23,0)))*(VLOOKUP($B193,INDIRECT($B$5&amp;"生成成长"),3))*(VLOOKUP($B$5,标准坦克设计!$B$14:$K$20,9)/30))</f>
        <v>23.907305725530854</v>
      </c>
      <c r="EQ193" s="173">
        <f ca="1">(VLOOKUP(EQ$72,INDIRECT($C$5&amp;"生成成长"),2))/((VLOOKUP($B193,INDIRECT($B$5&amp;"生成成长"),4))/(VLOOKUP(EQ$72,INDIRECT($C$5&amp;"生成成长"),5))*(VLOOKUP($B$5,标准坦克设计!$B$24:$U$30,MATCH("对"&amp;LEFT($C$5,2)&amp;"输出",标准坦克设计!$B$23:$U$23,0)))*(VLOOKUP($B193,INDIRECT($B$5&amp;"生成成长"),3))*(VLOOKUP($B$5,标准坦克设计!$B$14:$K$20,9)/30))</f>
        <v>10.568572557432667</v>
      </c>
      <c r="ER193" s="173">
        <f ca="1">(VLOOKUP(ER$72,INDIRECT($C$5&amp;"生成成长"),2))/((VLOOKUP($B193,INDIRECT($B$5&amp;"生成成长"),4))/(VLOOKUP(ER$72,INDIRECT($C$5&amp;"生成成长"),5))*(VLOOKUP($B$5,标准坦克设计!$B$24:$U$30,MATCH("对"&amp;LEFT($C$5,2)&amp;"输出",标准坦克设计!$B$23:$U$23,0)))*(VLOOKUP($B193,INDIRECT($B$5&amp;"生成成长"),3))*(VLOOKUP($B$5,标准坦克设计!$B$14:$K$20,9)/30))</f>
        <v>11.526899319152262</v>
      </c>
      <c r="ES193" s="173">
        <f ca="1">(VLOOKUP(ES$72,INDIRECT($C$5&amp;"生成成长"),2))/((VLOOKUP($B193,INDIRECT($B$5&amp;"生成成长"),4))/(VLOOKUP(ES$72,INDIRECT($C$5&amp;"生成成长"),5))*(VLOOKUP($B$5,标准坦克设计!$B$24:$U$30,MATCH("对"&amp;LEFT($C$5,2)&amp;"输出",标准坦克设计!$B$23:$U$23,0)))*(VLOOKUP($B193,INDIRECT($B$5&amp;"生成成长"),3))*(VLOOKUP($B$5,标准坦克设计!$B$14:$K$20,9)/30))</f>
        <v>12.526810279605252</v>
      </c>
      <c r="ET193" s="173">
        <f ca="1">(VLOOKUP(ET$72,INDIRECT($C$5&amp;"生成成长"),2))/((VLOOKUP($B193,INDIRECT($B$5&amp;"生成成长"),4))/(VLOOKUP(ET$72,INDIRECT($C$5&amp;"生成成长"),5))*(VLOOKUP($B$5,标准坦克设计!$B$24:$U$30,MATCH("对"&amp;LEFT($C$5,2)&amp;"输出",标准坦克设计!$B$23:$U$23,0)))*(VLOOKUP($B193,INDIRECT($B$5&amp;"生成成长"),3))*(VLOOKUP($B$5,标准坦克设计!$B$14:$K$20,9)/30))</f>
        <v>13.568305438791635</v>
      </c>
      <c r="EU193" s="173">
        <f ca="1">(VLOOKUP(EU$72,INDIRECT($C$5&amp;"生成成长"),2))/((VLOOKUP($B193,INDIRECT($B$5&amp;"生成成长"),4))/(VLOOKUP(EU$72,INDIRECT($C$5&amp;"生成成长"),5))*(VLOOKUP($B$5,标准坦克设计!$B$24:$U$30,MATCH("对"&amp;LEFT($C$5,2)&amp;"输出",标准坦克设计!$B$23:$U$23,0)))*(VLOOKUP($B193,INDIRECT($B$5&amp;"生成成长"),3))*(VLOOKUP($B$5,标准坦克设计!$B$14:$K$20,9)/30))</f>
        <v>14.651384796711417</v>
      </c>
      <c r="EV193" s="173">
        <f ca="1">(VLOOKUP(EV$72,INDIRECT($C$5&amp;"生成成长"),2))/((VLOOKUP($B193,INDIRECT($B$5&amp;"生成成长"),4))/(VLOOKUP(EV$72,INDIRECT($C$5&amp;"生成成长"),5))*(VLOOKUP($B$5,标准坦克设计!$B$24:$U$30,MATCH("对"&amp;LEFT($C$5,2)&amp;"输出",标准坦克设计!$B$23:$U$23,0)))*(VLOOKUP($B193,INDIRECT($B$5&amp;"生成成长"),3))*(VLOOKUP($B$5,标准坦克设计!$B$14:$K$20,9)/30))</f>
        <v>15.77604835336459</v>
      </c>
      <c r="EW193" s="173">
        <f ca="1">(VLOOKUP(EW$72,INDIRECT($C$5&amp;"生成成长"),2))/((VLOOKUP($B193,INDIRECT($B$5&amp;"生成成长"),4))/(VLOOKUP(EW$72,INDIRECT($C$5&amp;"生成成长"),5))*(VLOOKUP($B$5,标准坦克设计!$B$24:$U$30,MATCH("对"&amp;LEFT($C$5,2)&amp;"输出",标准坦克设计!$B$23:$U$23,0)))*(VLOOKUP($B193,INDIRECT($B$5&amp;"生成成长"),3))*(VLOOKUP($B$5,标准坦克设计!$B$14:$K$20,9)/30))</f>
        <v>16.942296108751162</v>
      </c>
      <c r="EX193" s="173">
        <f ca="1">(VLOOKUP(EX$72,INDIRECT($C$5&amp;"生成成长"),2))/((VLOOKUP($B193,INDIRECT($B$5&amp;"生成成长"),4))/(VLOOKUP(EX$72,INDIRECT($C$5&amp;"生成成长"),5))*(VLOOKUP($B$5,标准坦克设计!$B$24:$U$30,MATCH("对"&amp;LEFT($C$5,2)&amp;"输出",标准坦克设计!$B$23:$U$23,0)))*(VLOOKUP($B193,INDIRECT($B$5&amp;"生成成长"),3))*(VLOOKUP($B$5,标准坦克设计!$B$14:$K$20,9)/30))</f>
        <v>18.150128062871119</v>
      </c>
      <c r="EY193" s="173">
        <f ca="1">(VLOOKUP(EY$72,INDIRECT($C$5&amp;"生成成长"),2))/((VLOOKUP($B193,INDIRECT($B$5&amp;"生成成长"),4))/(VLOOKUP(EY$72,INDIRECT($C$5&amp;"生成成长"),5))*(VLOOKUP($B$5,标准坦克设计!$B$24:$U$30,MATCH("对"&amp;LEFT($C$5,2)&amp;"输出",标准坦克设计!$B$23:$U$23,0)))*(VLOOKUP($B193,INDIRECT($B$5&amp;"生成成长"),3))*(VLOOKUP($B$5,标准坦克设计!$B$14:$K$20,9)/30))</f>
        <v>19.399544215724475</v>
      </c>
      <c r="EZ193" s="173">
        <f ca="1">(VLOOKUP(EZ$72,INDIRECT($C$5&amp;"生成成长"),2))/((VLOOKUP($B193,INDIRECT($B$5&amp;"生成成长"),4))/(VLOOKUP(EZ$72,INDIRECT($C$5&amp;"生成成长"),5))*(VLOOKUP($B$5,标准坦克设计!$B$24:$U$30,MATCH("对"&amp;LEFT($C$5,2)&amp;"输出",标准坦克设计!$B$23:$U$23,0)))*(VLOOKUP($B193,INDIRECT($B$5&amp;"生成成长"),3))*(VLOOKUP($B$5,标准坦克设计!$B$14:$K$20,9)/30))</f>
        <v>20.690544567311232</v>
      </c>
      <c r="FA193" s="173">
        <f ca="1">(VLOOKUP(FA$72,INDIRECT($C$5&amp;"生成成长"),2))/((VLOOKUP($B193,INDIRECT($B$5&amp;"生成成长"),4))/(VLOOKUP(FA$72,INDIRECT($C$5&amp;"生成成长"),5))*(VLOOKUP($B$5,标准坦克设计!$B$24:$U$30,MATCH("对"&amp;LEFT($C$5,2)&amp;"输出",标准坦克设计!$B$23:$U$23,0)))*(VLOOKUP($B193,INDIRECT($B$5&amp;"生成成长"),3))*(VLOOKUP($B$5,标准坦克设计!$B$14:$K$20,9)/30))</f>
        <v>22.023129117631377</v>
      </c>
      <c r="FB193" s="173">
        <f ca="1">(VLOOKUP(FB$72,INDIRECT($C$5&amp;"生成成长"),2))/((VLOOKUP($B193,INDIRECT($B$5&amp;"生成成长"),4))/(VLOOKUP(FB$72,INDIRECT($C$5&amp;"生成成长"),5))*(VLOOKUP($B$5,标准坦克设计!$B$24:$U$30,MATCH("对"&amp;LEFT($C$5,2)&amp;"输出",标准坦克设计!$B$23:$U$23,0)))*(VLOOKUP($B193,INDIRECT($B$5&amp;"生成成长"),3))*(VLOOKUP($B$5,标准坦克设计!$B$14:$K$20,9)/30))</f>
        <v>23.397297866684923</v>
      </c>
      <c r="FC193" s="173">
        <f ca="1">(VLOOKUP(FC$72,INDIRECT($C$5&amp;"生成成长"),2))/((VLOOKUP($B193,INDIRECT($B$5&amp;"生成成长"),4))/(VLOOKUP(FC$72,INDIRECT($C$5&amp;"生成成长"),5))*(VLOOKUP($B$5,标准坦克设计!$B$24:$U$30,MATCH("对"&amp;LEFT($C$5,2)&amp;"输出",标准坦克设计!$B$23:$U$23,0)))*(VLOOKUP($B193,INDIRECT($B$5&amp;"生成成长"),3))*(VLOOKUP($B$5,标准坦克设计!$B$14:$K$20,9)/30))</f>
        <v>24.813050814471854</v>
      </c>
      <c r="FD193" s="173">
        <f ca="1">(VLOOKUP(FD$72,INDIRECT($C$5&amp;"生成成长"),2))/((VLOOKUP($B193,INDIRECT($B$5&amp;"生成成长"),4))/(VLOOKUP(FD$72,INDIRECT($C$5&amp;"生成成长"),5))*(VLOOKUP($B$5,标准坦克设计!$B$24:$U$30,MATCH("对"&amp;LEFT($C$5,2)&amp;"输出",标准坦克设计!$B$23:$U$23,0)))*(VLOOKUP($B193,INDIRECT($B$5&amp;"生成成长"),3))*(VLOOKUP($B$5,标准坦克设计!$B$14:$K$20,9)/30))</f>
        <v>26.270387960992188</v>
      </c>
      <c r="FE193" s="173">
        <f ca="1">(VLOOKUP(FE$72,INDIRECT($C$5&amp;"生成成长"),2))/((VLOOKUP($B193,INDIRECT($B$5&amp;"生成成长"),4))/(VLOOKUP(FE$72,INDIRECT($C$5&amp;"生成成长"),5))*(VLOOKUP($B$5,标准坦克设计!$B$24:$U$30,MATCH("对"&amp;LEFT($C$5,2)&amp;"输出",标准坦克设计!$B$23:$U$23,0)))*(VLOOKUP($B193,INDIRECT($B$5&amp;"生成成长"),3))*(VLOOKUP($B$5,标准坦克设计!$B$14:$K$20,9)/30))</f>
        <v>28.046308183759276</v>
      </c>
      <c r="FF193" s="173">
        <f ca="1">(VLOOKUP(FF$72,INDIRECT($C$5&amp;"生成成长"),2))/((VLOOKUP($B193,INDIRECT($B$5&amp;"生成成长"),4))/(VLOOKUP(FF$72,INDIRECT($C$5&amp;"生成成长"),5))*(VLOOKUP($B$5,标准坦克设计!$B$24:$U$30,MATCH("对"&amp;LEFT($C$5,2)&amp;"输出",标准坦克设计!$B$23:$U$23,0)))*(VLOOKUP($B193,INDIRECT($B$5&amp;"生成成长"),3))*(VLOOKUP($B$5,标准坦克设计!$B$14:$K$20,9)/30))</f>
        <v>29.880308816327535</v>
      </c>
      <c r="FG193" s="173">
        <f ca="1">(VLOOKUP(FG$72,INDIRECT($C$5&amp;"生成成长"),2))/((VLOOKUP($B193,INDIRECT($B$5&amp;"生成成长"),4))/(VLOOKUP(FG$72,INDIRECT($C$5&amp;"生成成长"),5))*(VLOOKUP($B$5,标准坦克设计!$B$24:$U$30,MATCH("对"&amp;LEFT($C$5,2)&amp;"输出",标准坦克设计!$B$23:$U$23,0)))*(VLOOKUP($B193,INDIRECT($B$5&amp;"生成成长"),3))*(VLOOKUP($B$5,标准坦克设计!$B$14:$K$20,9)/30))</f>
        <v>31.772389858697</v>
      </c>
      <c r="FH193" s="173">
        <f ca="1">(VLOOKUP(FH$72,INDIRECT($C$5&amp;"生成成长"),2))/((VLOOKUP($B193,INDIRECT($B$5&amp;"生成成长"),4))/(VLOOKUP(FH$72,INDIRECT($C$5&amp;"生成成长"),5))*(VLOOKUP($B$5,标准坦克设计!$B$24:$U$30,MATCH("对"&amp;LEFT($C$5,2)&amp;"输出",标准坦克设计!$B$23:$U$23,0)))*(VLOOKUP($B193,INDIRECT($B$5&amp;"生成成长"),3))*(VLOOKUP($B$5,标准坦克设计!$B$14:$K$20,9)/30))</f>
        <v>33.722551310867644</v>
      </c>
      <c r="FI193" s="173">
        <f ca="1">(VLOOKUP(FI$72,INDIRECT($C$5&amp;"生成成长"),2))/((VLOOKUP($B193,INDIRECT($B$5&amp;"生成成长"),4))/(VLOOKUP(FI$72,INDIRECT($C$5&amp;"生成成长"),5))*(VLOOKUP($B$5,标准坦克设计!$B$24:$U$30,MATCH("对"&amp;LEFT($C$5,2)&amp;"输出",标准坦克设计!$B$23:$U$23,0)))*(VLOOKUP($B193,INDIRECT($B$5&amp;"生成成长"),3))*(VLOOKUP($B$5,标准坦克设计!$B$14:$K$20,9)/30))</f>
        <v>35.730793172839469</v>
      </c>
      <c r="FJ193" s="173">
        <f ca="1">(VLOOKUP(FJ$72,INDIRECT($C$5&amp;"生成成长"),2))/((VLOOKUP($B193,INDIRECT($B$5&amp;"生成成长"),4))/(VLOOKUP(FJ$72,INDIRECT($C$5&amp;"生成成长"),5))*(VLOOKUP($B$5,标准坦克设计!$B$24:$U$30,MATCH("对"&amp;LEFT($C$5,2)&amp;"输出",标准坦克设计!$B$23:$U$23,0)))*(VLOOKUP($B193,INDIRECT($B$5&amp;"生成成长"),3))*(VLOOKUP($B$5,标准坦克设计!$B$14:$K$20,9)/30))</f>
        <v>37.797115444612494</v>
      </c>
      <c r="FK193" s="173">
        <f ca="1">(VLOOKUP(FK$72,INDIRECT($C$5&amp;"生成成长"),2))/((VLOOKUP($B193,INDIRECT($B$5&amp;"生成成长"),4))/(VLOOKUP(FK$72,INDIRECT($C$5&amp;"生成成长"),5))*(VLOOKUP($B$5,标准坦克设计!$B$24:$U$30,MATCH("对"&amp;LEFT($C$5,2)&amp;"输出",标准坦克设计!$B$23:$U$23,0)))*(VLOOKUP($B193,INDIRECT($B$5&amp;"生成成长"),3))*(VLOOKUP($B$5,标准坦克设计!$B$14:$K$20,9)/30))</f>
        <v>39.921518126186697</v>
      </c>
    </row>
    <row r="194" spans="1:167" x14ac:dyDescent="0.15">
      <c r="A194" s="171" t="str">
        <f t="shared" si="12"/>
        <v>T3高品质11级</v>
      </c>
      <c r="B194" s="172">
        <v>30311</v>
      </c>
      <c r="C194" s="173">
        <f ca="1">(VLOOKUP(C$72,INDIRECT($C$5&amp;"生成成长"),2))/((VLOOKUP($B194,INDIRECT($B$5&amp;"生成成长"),4))/(VLOOKUP(C$72,INDIRECT($C$5&amp;"生成成长"),5))*(VLOOKUP($B$5,标准坦克设计!$B$24:$U$30,MATCH("对"&amp;LEFT($C$5,2)&amp;"输出",标准坦克设计!$B$23:$U$23,0)))*(VLOOKUP($B194,INDIRECT($B$5&amp;"生成成长"),3))*(VLOOKUP($B$5,标准坦克设计!$B$14:$K$20,9)/30))</f>
        <v>1.5630527187144405</v>
      </c>
      <c r="D194" s="173">
        <f ca="1">(VLOOKUP(D$72,INDIRECT($C$5&amp;"生成成长"),2))/((VLOOKUP($B194,INDIRECT($B$5&amp;"生成成长"),4))/(VLOOKUP(D$72,INDIRECT($C$5&amp;"生成成长"),5))*(VLOOKUP($B$5,标准坦克设计!$B$24:$U$30,MATCH("对"&amp;LEFT($C$5,2)&amp;"输出",标准坦克设计!$B$23:$U$23,0)))*(VLOOKUP($B194,INDIRECT($B$5&amp;"生成成长"),3))*(VLOOKUP($B$5,标准坦克设计!$B$14:$K$20,9)/30))</f>
        <v>1.7562460347475455</v>
      </c>
      <c r="E194" s="173">
        <f ca="1">(VLOOKUP(E$72,INDIRECT($C$5&amp;"生成成长"),2))/((VLOOKUP($B194,INDIRECT($B$5&amp;"生成成长"),4))/(VLOOKUP(E$72,INDIRECT($C$5&amp;"生成成长"),5))*(VLOOKUP($B$5,标准坦克设计!$B$24:$U$30,MATCH("对"&amp;LEFT($C$5,2)&amp;"输出",标准坦克设计!$B$23:$U$23,0)))*(VLOOKUP($B194,INDIRECT($B$5&amp;"生成成长"),3))*(VLOOKUP($B$5,标准坦克设计!$B$14:$K$20,9)/30))</f>
        <v>1.9606933303553942</v>
      </c>
      <c r="F194" s="173">
        <f ca="1">(VLOOKUP(F$72,INDIRECT($C$5&amp;"生成成长"),2))/((VLOOKUP($B194,INDIRECT($B$5&amp;"生成成长"),4))/(VLOOKUP(F$72,INDIRECT($C$5&amp;"生成成长"),5))*(VLOOKUP($B$5,标准坦克设计!$B$24:$U$30,MATCH("对"&amp;LEFT($C$5,2)&amp;"输出",标准坦克设计!$B$23:$U$23,0)))*(VLOOKUP($B194,INDIRECT($B$5&amp;"生成成长"),3))*(VLOOKUP($B$5,标准坦克设计!$B$14:$K$20,9)/30))</f>
        <v>2.1763946055379875</v>
      </c>
      <c r="G194" s="173">
        <f ca="1">(VLOOKUP(G$72,INDIRECT($C$5&amp;"生成成长"),2))/((VLOOKUP($B194,INDIRECT($B$5&amp;"生成成长"),4))/(VLOOKUP(G$72,INDIRECT($C$5&amp;"生成成长"),5))*(VLOOKUP($B$5,标准坦克设计!$B$24:$U$30,MATCH("对"&amp;LEFT($C$5,2)&amp;"输出",标准坦克设计!$B$23:$U$23,0)))*(VLOOKUP($B194,INDIRECT($B$5&amp;"生成成长"),3))*(VLOOKUP($B$5,标准坦克设计!$B$14:$K$20,9)/30))</f>
        <v>2.4033498602953238</v>
      </c>
      <c r="H194" s="173">
        <f ca="1">(VLOOKUP(H$72,INDIRECT($C$5&amp;"生成成长"),2))/((VLOOKUP($B194,INDIRECT($B$5&amp;"生成成长"),4))/(VLOOKUP(H$72,INDIRECT($C$5&amp;"生成成长"),5))*(VLOOKUP($B$5,标准坦克设计!$B$24:$U$30,MATCH("对"&amp;LEFT($C$5,2)&amp;"输出",标准坦克设计!$B$23:$U$23,0)))*(VLOOKUP($B194,INDIRECT($B$5&amp;"生成成长"),3))*(VLOOKUP($B$5,标准坦克设计!$B$14:$K$20,9)/30))</f>
        <v>2.1032437383021514</v>
      </c>
      <c r="I194" s="173">
        <f ca="1">(VLOOKUP(I$72,INDIRECT($C$5&amp;"生成成长"),2))/((VLOOKUP($B194,INDIRECT($B$5&amp;"生成成长"),4))/(VLOOKUP(I$72,INDIRECT($C$5&amp;"生成成长"),5))*(VLOOKUP($B$5,标准坦克设计!$B$24:$U$30,MATCH("对"&amp;LEFT($C$5,2)&amp;"输出",标准坦克设计!$B$23:$U$23,0)))*(VLOOKUP($B194,INDIRECT($B$5&amp;"生成成长"),3))*(VLOOKUP($B$5,标准坦克设计!$B$14:$K$20,9)/30))</f>
        <v>2.4033498602953238</v>
      </c>
      <c r="J194" s="173">
        <f ca="1">(VLOOKUP(J$72,INDIRECT($C$5&amp;"生成成长"),2))/((VLOOKUP($B194,INDIRECT($B$5&amp;"生成成长"),4))/(VLOOKUP(J$72,INDIRECT($C$5&amp;"生成成长"),5))*(VLOOKUP($B$5,标准坦克设计!$B$24:$U$30,MATCH("对"&amp;LEFT($C$5,2)&amp;"输出",标准坦克设计!$B$23:$U$23,0)))*(VLOOKUP($B194,INDIRECT($B$5&amp;"生成成长"),3))*(VLOOKUP($B$5,标准坦克设计!$B$14:$K$20,9)/30))</f>
        <v>2.723463057088042</v>
      </c>
      <c r="K194" s="173">
        <f ca="1">(VLOOKUP(K$72,INDIRECT($C$5&amp;"生成成长"),2))/((VLOOKUP($B194,INDIRECT($B$5&amp;"生成成长"),4))/(VLOOKUP(K$72,INDIRECT($C$5&amp;"生成成长"),5))*(VLOOKUP($B$5,标准坦克设计!$B$24:$U$30,MATCH("对"&amp;LEFT($C$5,2)&amp;"输出",标准坦克设计!$B$23:$U$23,0)))*(VLOOKUP($B194,INDIRECT($B$5&amp;"生成成长"),3))*(VLOOKUP($B$5,标准坦克设计!$B$14:$K$20,9)/30))</f>
        <v>3.0635833286803038</v>
      </c>
      <c r="L194" s="173">
        <f ca="1">(VLOOKUP(L$72,INDIRECT($C$5&amp;"生成成长"),2))/((VLOOKUP($B194,INDIRECT($B$5&amp;"生成成长"),4))/(VLOOKUP(L$72,INDIRECT($C$5&amp;"生成成长"),5))*(VLOOKUP($B$5,标准坦克设计!$B$24:$U$30,MATCH("对"&amp;LEFT($C$5,2)&amp;"输出",标准坦克设计!$B$23:$U$23,0)))*(VLOOKUP($B194,INDIRECT($B$5&amp;"生成成长"),3))*(VLOOKUP($B$5,标准坦克设计!$B$14:$K$20,9)/30))</f>
        <v>3.4237106750721109</v>
      </c>
      <c r="M194" s="173">
        <f ca="1">(VLOOKUP(M$72,INDIRECT($C$5&amp;"生成成长"),2))/((VLOOKUP($B194,INDIRECT($B$5&amp;"生成成长"),4))/(VLOOKUP(M$72,INDIRECT($C$5&amp;"生成成长"),5))*(VLOOKUP($B$5,标准坦克设计!$B$24:$U$30,MATCH("对"&amp;LEFT($C$5,2)&amp;"输出",标准坦克设计!$B$23:$U$23,0)))*(VLOOKUP($B194,INDIRECT($B$5&amp;"生成成长"),3))*(VLOOKUP($B$5,标准坦克设计!$B$14:$K$20,9)/30))</f>
        <v>3.8038450962634633</v>
      </c>
      <c r="N194" s="173">
        <f ca="1">(VLOOKUP(N$72,INDIRECT($C$5&amp;"生成成长"),2))/((VLOOKUP($B194,INDIRECT($B$5&amp;"生成成长"),4))/(VLOOKUP(N$72,INDIRECT($C$5&amp;"生成成长"),5))*(VLOOKUP($B$5,标准坦克设计!$B$24:$U$30,MATCH("对"&amp;LEFT($C$5,2)&amp;"输出",标准坦克设计!$B$23:$U$23,0)))*(VLOOKUP($B194,INDIRECT($B$5&amp;"生成成长"),3))*(VLOOKUP($B$5,标准坦克设计!$B$14:$K$20,9)/30))</f>
        <v>4.2039865922543589</v>
      </c>
      <c r="O194" s="173">
        <f ca="1">(VLOOKUP(O$72,INDIRECT($C$5&amp;"生成成长"),2))/((VLOOKUP($B194,INDIRECT($B$5&amp;"生成成长"),4))/(VLOOKUP(O$72,INDIRECT($C$5&amp;"生成成长"),5))*(VLOOKUP($B$5,标准坦克设计!$B$24:$U$30,MATCH("对"&amp;LEFT($C$5,2)&amp;"输出",标准坦克设计!$B$23:$U$23,0)))*(VLOOKUP($B194,INDIRECT($B$5&amp;"生成成长"),3))*(VLOOKUP($B$5,标准坦克设计!$B$14:$K$20,9)/30))</f>
        <v>3.19628650449916</v>
      </c>
      <c r="P194" s="173">
        <f ca="1">(VLOOKUP(P$72,INDIRECT($C$5&amp;"生成成长"),2))/((VLOOKUP($B194,INDIRECT($B$5&amp;"生成成长"),4))/(VLOOKUP(P$72,INDIRECT($C$5&amp;"生成成长"),5))*(VLOOKUP($B$5,标准坦克设计!$B$24:$U$30,MATCH("对"&amp;LEFT($C$5,2)&amp;"输出",标准坦克设计!$B$23:$U$23,0)))*(VLOOKUP($B194,INDIRECT($B$5&amp;"生成成长"),3))*(VLOOKUP($B$5,标准坦克设计!$B$14:$K$20,9)/30))</f>
        <v>3.6112770013178435</v>
      </c>
      <c r="Q194" s="173">
        <f ca="1">(VLOOKUP(Q$72,INDIRECT($C$5&amp;"生成成长"),2))/((VLOOKUP($B194,INDIRECT($B$5&amp;"生成成长"),4))/(VLOOKUP(Q$72,INDIRECT($C$5&amp;"生成成长"),5))*(VLOOKUP($B$5,标准坦克设计!$B$24:$U$30,MATCH("对"&amp;LEFT($C$5,2)&amp;"输出",标准坦克设计!$B$23:$U$23,0)))*(VLOOKUP($B194,INDIRECT($B$5&amp;"生成成长"),3))*(VLOOKUP($B$5,标准坦克设计!$B$14:$K$20,9)/30))</f>
        <v>4.0515889521797019</v>
      </c>
      <c r="R194" s="173">
        <f ca="1">(VLOOKUP(R$72,INDIRECT($C$5&amp;"生成成长"),2))/((VLOOKUP($B194,INDIRECT($B$5&amp;"生成成长"),4))/(VLOOKUP(R$72,INDIRECT($C$5&amp;"生成成长"),5))*(VLOOKUP($B$5,标准坦克设计!$B$24:$U$30,MATCH("对"&amp;LEFT($C$5,2)&amp;"输出",标准坦克设计!$B$23:$U$23,0)))*(VLOOKUP($B194,INDIRECT($B$5&amp;"生成成长"),3))*(VLOOKUP($B$5,标准坦克设计!$B$14:$K$20,9)/30))</f>
        <v>4.5172223570847336</v>
      </c>
      <c r="S194" s="173">
        <f ca="1">(VLOOKUP(S$72,INDIRECT($C$5&amp;"生成成长"),2))/((VLOOKUP($B194,INDIRECT($B$5&amp;"生成成长"),4))/(VLOOKUP(S$72,INDIRECT($C$5&amp;"生成成长"),5))*(VLOOKUP($B$5,标准坦克设计!$B$24:$U$30,MATCH("对"&amp;LEFT($C$5,2)&amp;"输出",标准坦克设计!$B$23:$U$23,0)))*(VLOOKUP($B194,INDIRECT($B$5&amp;"生成成长"),3))*(VLOOKUP($B$5,标准坦克设计!$B$14:$K$20,9)/30))</f>
        <v>5.008177216032939</v>
      </c>
      <c r="T194" s="173">
        <f ca="1">(VLOOKUP(T$72,INDIRECT($C$5&amp;"生成成长"),2))/((VLOOKUP($B194,INDIRECT($B$5&amp;"生成成长"),4))/(VLOOKUP(T$72,INDIRECT($C$5&amp;"生成成长"),5))*(VLOOKUP($B$5,标准坦克设计!$B$24:$U$30,MATCH("对"&amp;LEFT($C$5,2)&amp;"输出",标准坦克设计!$B$23:$U$23,0)))*(VLOOKUP($B194,INDIRECT($B$5&amp;"生成成长"),3))*(VLOOKUP($B$5,标准坦克设计!$B$14:$K$20,9)/30))</f>
        <v>5.5244535290243189</v>
      </c>
      <c r="U194" s="173">
        <f ca="1">(VLOOKUP(U$72,INDIRECT($C$5&amp;"生成成长"),2))/((VLOOKUP($B194,INDIRECT($B$5&amp;"生成成长"),4))/(VLOOKUP(U$72,INDIRECT($C$5&amp;"生成成长"),5))*(VLOOKUP($B$5,标准坦克设计!$B$24:$U$30,MATCH("对"&amp;LEFT($C$5,2)&amp;"输出",标准坦克设计!$B$23:$U$23,0)))*(VLOOKUP($B194,INDIRECT($B$5&amp;"生成成长"),3))*(VLOOKUP($B$5,标准坦克设计!$B$14:$K$20,9)/30))</f>
        <v>6.0660512960588733</v>
      </c>
      <c r="V194" s="173">
        <f ca="1">(VLOOKUP(V$72,INDIRECT($C$5&amp;"生成成长"),2))/((VLOOKUP($B194,INDIRECT($B$5&amp;"生成成长"),4))/(VLOOKUP(V$72,INDIRECT($C$5&amp;"生成成长"),5))*(VLOOKUP($B$5,标准坦克设计!$B$24:$U$30,MATCH("对"&amp;LEFT($C$5,2)&amp;"输出",标准坦克设计!$B$23:$U$23,0)))*(VLOOKUP($B194,INDIRECT($B$5&amp;"生成成长"),3))*(VLOOKUP($B$5,标准坦克设计!$B$14:$K$20,9)/30))</f>
        <v>6.6329705171366014</v>
      </c>
      <c r="W194" s="173">
        <f ca="1">(VLOOKUP(W$72,INDIRECT($C$5&amp;"生成成长"),2))/((VLOOKUP($B194,INDIRECT($B$5&amp;"生成成长"),4))/(VLOOKUP(W$72,INDIRECT($C$5&amp;"生成成长"),5))*(VLOOKUP($B$5,标准坦克设计!$B$24:$U$30,MATCH("对"&amp;LEFT($C$5,2)&amp;"输出",标准坦克设计!$B$23:$U$23,0)))*(VLOOKUP($B194,INDIRECT($B$5&amp;"生成成长"),3))*(VLOOKUP($B$5,标准坦克设计!$B$14:$K$20,9)/30))</f>
        <v>7.2252111922575031</v>
      </c>
      <c r="X194" s="173">
        <f ca="1">(VLOOKUP(X$72,INDIRECT($C$5&amp;"生成成长"),2))/((VLOOKUP($B194,INDIRECT($B$5&amp;"生成成长"),4))/(VLOOKUP(X$72,INDIRECT($C$5&amp;"生成成长"),5))*(VLOOKUP($B$5,标准坦克设计!$B$24:$U$30,MATCH("对"&amp;LEFT($C$5,2)&amp;"输出",标准坦克设计!$B$23:$U$23,0)))*(VLOOKUP($B194,INDIRECT($B$5&amp;"生成成长"),3))*(VLOOKUP($B$5,标准坦克设计!$B$14:$K$20,9)/30))</f>
        <v>5.2345072497027907</v>
      </c>
      <c r="Y194" s="173">
        <f ca="1">(VLOOKUP(Y$72,INDIRECT($C$5&amp;"生成成长"),2))/((VLOOKUP($B194,INDIRECT($B$5&amp;"生成成长"),4))/(VLOOKUP(Y$72,INDIRECT($C$5&amp;"生成成长"),5))*(VLOOKUP($B$5,标准坦克设计!$B$24:$U$30,MATCH("对"&amp;LEFT($C$5,2)&amp;"输出",标准坦克设计!$B$23:$U$23,0)))*(VLOOKUP($B194,INDIRECT($B$5&amp;"生成成长"),3))*(VLOOKUP($B$5,标准坦克设计!$B$14:$K$20,9)/30))</f>
        <v>5.8222150719394214</v>
      </c>
      <c r="Z194" s="173">
        <f ca="1">(VLOOKUP(Z$72,INDIRECT($C$5&amp;"生成成长"),2))/((VLOOKUP($B194,INDIRECT($B$5&amp;"生成成长"),4))/(VLOOKUP(Z$72,INDIRECT($C$5&amp;"生成成长"),5))*(VLOOKUP($B$5,标准坦克设计!$B$24:$U$30,MATCH("对"&amp;LEFT($C$5,2)&amp;"输出",标准坦克设计!$B$23:$U$23,0)))*(VLOOKUP($B194,INDIRECT($B$5&amp;"生成成长"),3))*(VLOOKUP($B$5,标准坦克设计!$B$14:$K$20,9)/30))</f>
        <v>6.4411839485503393</v>
      </c>
      <c r="AA194" s="173">
        <f ca="1">(VLOOKUP(AA$72,INDIRECT($C$5&amp;"生成成长"),2))/((VLOOKUP($B194,INDIRECT($B$5&amp;"生成成长"),4))/(VLOOKUP(AA$72,INDIRECT($C$5&amp;"生成成长"),5))*(VLOOKUP($B$5,标准坦克设计!$B$24:$U$30,MATCH("对"&amp;LEFT($C$5,2)&amp;"输出",标准坦克设计!$B$23:$U$23,0)))*(VLOOKUP($B194,INDIRECT($B$5&amp;"生成成长"),3))*(VLOOKUP($B$5,标准坦克设计!$B$14:$K$20,9)/30))</f>
        <v>7.0914138795355468</v>
      </c>
      <c r="AB194" s="173">
        <f ca="1">(VLOOKUP(AB$72,INDIRECT($C$5&amp;"生成成长"),2))/((VLOOKUP($B194,INDIRECT($B$5&amp;"生成成长"),4))/(VLOOKUP(AB$72,INDIRECT($C$5&amp;"生成成长"),5))*(VLOOKUP($B$5,标准坦克设计!$B$24:$U$30,MATCH("对"&amp;LEFT($C$5,2)&amp;"输出",标准坦克设计!$B$23:$U$23,0)))*(VLOOKUP($B194,INDIRECT($B$5&amp;"生成成长"),3))*(VLOOKUP($B$5,标准坦克设计!$B$14:$K$20,9)/30))</f>
        <v>7.7729048648950432</v>
      </c>
      <c r="AC194" s="173">
        <f ca="1">(VLOOKUP(AC$72,INDIRECT($C$5&amp;"生成成长"),2))/((VLOOKUP($B194,INDIRECT($B$5&amp;"生成成长"),4))/(VLOOKUP(AC$72,INDIRECT($C$5&amp;"生成成长"),5))*(VLOOKUP($B$5,标准坦克设计!$B$24:$U$30,MATCH("对"&amp;LEFT($C$5,2)&amp;"输出",标准坦克设计!$B$23:$U$23,0)))*(VLOOKUP($B194,INDIRECT($B$5&amp;"生成成长"),3))*(VLOOKUP($B$5,标准坦克设计!$B$14:$K$20,9)/30))</f>
        <v>8.4856569046288275</v>
      </c>
      <c r="AD194" s="173">
        <f ca="1">(VLOOKUP(AD$72,INDIRECT($C$5&amp;"生成成长"),2))/((VLOOKUP($B194,INDIRECT($B$5&amp;"生成成长"),4))/(VLOOKUP(AD$72,INDIRECT($C$5&amp;"生成成长"),5))*(VLOOKUP($B$5,标准坦克设计!$B$24:$U$30,MATCH("对"&amp;LEFT($C$5,2)&amp;"输出",标准坦克设计!$B$23:$U$23,0)))*(VLOOKUP($B194,INDIRECT($B$5&amp;"生成成长"),3))*(VLOOKUP($B$5,标准坦克设计!$B$14:$K$20,9)/30))</f>
        <v>9.2296699987369024</v>
      </c>
      <c r="AE194" s="173">
        <f ca="1">(VLOOKUP(AE$72,INDIRECT($C$5&amp;"生成成长"),2))/((VLOOKUP($B194,INDIRECT($B$5&amp;"生成成长"),4))/(VLOOKUP(AE$72,INDIRECT($C$5&amp;"生成成长"),5))*(VLOOKUP($B$5,标准坦克设计!$B$24:$U$30,MATCH("对"&amp;LEFT($C$5,2)&amp;"输出",标准坦克设计!$B$23:$U$23,0)))*(VLOOKUP($B194,INDIRECT($B$5&amp;"生成成长"),3))*(VLOOKUP($B$5,标准坦克设计!$B$14:$K$20,9)/30))</f>
        <v>10.004944147219264</v>
      </c>
      <c r="AF194" s="173">
        <f ca="1">(VLOOKUP(AF$72,INDIRECT($C$5&amp;"生成成长"),2))/((VLOOKUP($B194,INDIRECT($B$5&amp;"生成成长"),4))/(VLOOKUP(AF$72,INDIRECT($C$5&amp;"生成成长"),5))*(VLOOKUP($B$5,标准坦克设计!$B$24:$U$30,MATCH("对"&amp;LEFT($C$5,2)&amp;"输出",标准坦克设计!$B$23:$U$23,0)))*(VLOOKUP($B194,INDIRECT($B$5&amp;"生成成长"),3))*(VLOOKUP($B$5,标准坦克设计!$B$14:$K$20,9)/30))</f>
        <v>10.811479350075915</v>
      </c>
      <c r="AG194" s="173">
        <f ca="1">(VLOOKUP(AG$72,INDIRECT($C$5&amp;"生成成长"),2))/((VLOOKUP($B194,INDIRECT($B$5&amp;"生成成长"),4))/(VLOOKUP(AG$72,INDIRECT($C$5&amp;"生成成长"),5))*(VLOOKUP($B$5,标准坦克设计!$B$24:$U$30,MATCH("对"&amp;LEFT($C$5,2)&amp;"输出",标准坦克设计!$B$23:$U$23,0)))*(VLOOKUP($B194,INDIRECT($B$5&amp;"生成成长"),3))*(VLOOKUP($B$5,标准坦克设计!$B$14:$K$20,9)/30))</f>
        <v>11.649275607306855</v>
      </c>
      <c r="AH194" s="173">
        <f ca="1">(VLOOKUP(AH$72,INDIRECT($C$5&amp;"生成成长"),2))/((VLOOKUP($B194,INDIRECT($B$5&amp;"生成成长"),4))/(VLOOKUP(AH$72,INDIRECT($C$5&amp;"生成成长"),5))*(VLOOKUP($B$5,标准坦克设计!$B$24:$U$30,MATCH("对"&amp;LEFT($C$5,2)&amp;"输出",标准坦克设计!$B$23:$U$23,0)))*(VLOOKUP($B194,INDIRECT($B$5&amp;"生成成长"),3))*(VLOOKUP($B$5,标准坦克设计!$B$14:$K$20,9)/30))</f>
        <v>12.518332918912085</v>
      </c>
      <c r="AI194" s="173">
        <f ca="1">(VLOOKUP(AI$72,INDIRECT($C$5&amp;"生成成长"),2))/((VLOOKUP($B194,INDIRECT($B$5&amp;"生成成长"),4))/(VLOOKUP(AI$72,INDIRECT($C$5&amp;"生成成长"),5))*(VLOOKUP($B$5,标准坦克设计!$B$24:$U$30,MATCH("对"&amp;LEFT($C$5,2)&amp;"输出",标准坦克设计!$B$23:$U$23,0)))*(VLOOKUP($B194,INDIRECT($B$5&amp;"生成成长"),3))*(VLOOKUP($B$5,标准坦克设计!$B$14:$K$20,9)/30))</f>
        <v>8.8537558198860786</v>
      </c>
      <c r="AJ194" s="173">
        <f ca="1">(VLOOKUP(AJ$72,INDIRECT($C$5&amp;"生成成长"),2))/((VLOOKUP($B194,INDIRECT($B$5&amp;"生成成长"),4))/(VLOOKUP(AJ$72,INDIRECT($C$5&amp;"生成成长"),5))*(VLOOKUP($B$5,标准坦克设计!$B$24:$U$30,MATCH("对"&amp;LEFT($C$5,2)&amp;"输出",标准坦克设计!$B$23:$U$23,0)))*(VLOOKUP($B194,INDIRECT($B$5&amp;"生成成长"),3))*(VLOOKUP($B$5,标准坦克设计!$B$14:$K$20,9)/30))</f>
        <v>9.691083161301405</v>
      </c>
      <c r="AK194" s="173">
        <f ca="1">(VLOOKUP(AK$72,INDIRECT($C$5&amp;"生成成长"),2))/((VLOOKUP($B194,INDIRECT($B$5&amp;"生成成长"),4))/(VLOOKUP(AK$72,INDIRECT($C$5&amp;"生成成长"),5))*(VLOOKUP($B$5,标准坦克设计!$B$24:$U$30,MATCH("对"&amp;LEFT($C$5,2)&amp;"输出",标准坦克设计!$B$23:$U$23,0)))*(VLOOKUP($B194,INDIRECT($B$5&amp;"生成成长"),3))*(VLOOKUP($B$5,标准坦克设计!$B$14:$K$20,9)/30))</f>
        <v>10.566236378509618</v>
      </c>
      <c r="AL194" s="173">
        <f ca="1">(VLOOKUP(AL$72,INDIRECT($C$5&amp;"生成成长"),2))/((VLOOKUP($B194,INDIRECT($B$5&amp;"生成成长"),4))/(VLOOKUP(AL$72,INDIRECT($C$5&amp;"生成成长"),5))*(VLOOKUP($B$5,标准坦克设计!$B$24:$U$30,MATCH("对"&amp;LEFT($C$5,2)&amp;"输出",标准坦克设计!$B$23:$U$23,0)))*(VLOOKUP($B194,INDIRECT($B$5&amp;"生成成长"),3))*(VLOOKUP($B$5,标准坦克设计!$B$14:$K$20,9)/30))</f>
        <v>11.479215471510726</v>
      </c>
      <c r="AM194" s="173">
        <f ca="1">(VLOOKUP(AM$72,INDIRECT($C$5&amp;"生成成长"),2))/((VLOOKUP($B194,INDIRECT($B$5&amp;"生成成长"),4))/(VLOOKUP(AM$72,INDIRECT($C$5&amp;"生成成长"),5))*(VLOOKUP($B$5,标准坦克设计!$B$24:$U$30,MATCH("对"&amp;LEFT($C$5,2)&amp;"输出",标准坦克设计!$B$23:$U$23,0)))*(VLOOKUP($B194,INDIRECT($B$5&amp;"生成成长"),3))*(VLOOKUP($B$5,标准坦克设计!$B$14:$K$20,9)/30))</f>
        <v>12.430020440304718</v>
      </c>
      <c r="AN194" s="173">
        <f ca="1">(VLOOKUP(AN$72,INDIRECT($C$5&amp;"生成成长"),2))/((VLOOKUP($B194,INDIRECT($B$5&amp;"生成成长"),4))/(VLOOKUP(AN$72,INDIRECT($C$5&amp;"生成成长"),5))*(VLOOKUP($B$5,标准坦克设计!$B$24:$U$30,MATCH("对"&amp;LEFT($C$5,2)&amp;"输出",标准坦克设计!$B$23:$U$23,0)))*(VLOOKUP($B194,INDIRECT($B$5&amp;"生成成长"),3))*(VLOOKUP($B$5,标准坦克设计!$B$14:$K$20,9)/30))</f>
        <v>13.418651284891599</v>
      </c>
      <c r="AO194" s="173">
        <f ca="1">(VLOOKUP(AO$72,INDIRECT($C$5&amp;"生成成长"),2))/((VLOOKUP($B194,INDIRECT($B$5&amp;"生成成长"),4))/(VLOOKUP(AO$72,INDIRECT($C$5&amp;"生成成长"),5))*(VLOOKUP($B$5,标准坦克设计!$B$24:$U$30,MATCH("对"&amp;LEFT($C$5,2)&amp;"输出",标准坦克设计!$B$23:$U$23,0)))*(VLOOKUP($B194,INDIRECT($B$5&amp;"生成成长"),3))*(VLOOKUP($B$5,标准坦克设计!$B$14:$K$20,9)/30))</f>
        <v>14.445108005271374</v>
      </c>
      <c r="AP194" s="173">
        <f ca="1">(VLOOKUP(AP$72,INDIRECT($C$5&amp;"生成成长"),2))/((VLOOKUP($B194,INDIRECT($B$5&amp;"生成成长"),4))/(VLOOKUP(AP$72,INDIRECT($C$5&amp;"生成成长"),5))*(VLOOKUP($B$5,标准坦克设计!$B$24:$U$30,MATCH("对"&amp;LEFT($C$5,2)&amp;"输出",标准坦克设计!$B$23:$U$23,0)))*(VLOOKUP($B194,INDIRECT($B$5&amp;"生成成长"),3))*(VLOOKUP($B$5,标准坦克设计!$B$14:$K$20,9)/30))</f>
        <v>15.509390601444041</v>
      </c>
      <c r="AQ194" s="173">
        <f ca="1">(VLOOKUP(AQ$72,INDIRECT($C$5&amp;"生成成长"),2))/((VLOOKUP($B194,INDIRECT($B$5&amp;"生成成长"),4))/(VLOOKUP(AQ$72,INDIRECT($C$5&amp;"生成成长"),5))*(VLOOKUP($B$5,标准坦克设计!$B$24:$U$30,MATCH("对"&amp;LEFT($C$5,2)&amp;"输出",标准坦克设计!$B$23:$U$23,0)))*(VLOOKUP($B194,INDIRECT($B$5&amp;"生成成长"),3))*(VLOOKUP($B$5,标准坦克设计!$B$14:$K$20,9)/30))</f>
        <v>16.611499073409593</v>
      </c>
      <c r="AR194" s="173">
        <f ca="1">(VLOOKUP(AR$72,INDIRECT($C$5&amp;"生成成长"),2))/((VLOOKUP($B194,INDIRECT($B$5&amp;"生成成长"),4))/(VLOOKUP(AR$72,INDIRECT($C$5&amp;"生成成长"),5))*(VLOOKUP($B$5,标准坦克设计!$B$24:$U$30,MATCH("对"&amp;LEFT($C$5,2)&amp;"输出",标准坦克设计!$B$23:$U$23,0)))*(VLOOKUP($B194,INDIRECT($B$5&amp;"生成成长"),3))*(VLOOKUP($B$5,标准坦克设计!$B$14:$K$20,9)/30))</f>
        <v>17.751433421168031</v>
      </c>
      <c r="AS194" s="173">
        <f ca="1">(VLOOKUP(AS$72,INDIRECT($C$5&amp;"生成成长"),2))/((VLOOKUP($B194,INDIRECT($B$5&amp;"生成成长"),4))/(VLOOKUP(AS$72,INDIRECT($C$5&amp;"生成成长"),5))*(VLOOKUP($B$5,标准坦克设计!$B$24:$U$30,MATCH("对"&amp;LEFT($C$5,2)&amp;"输出",标准坦克设计!$B$23:$U$23,0)))*(VLOOKUP($B194,INDIRECT($B$5&amp;"生成成长"),3))*(VLOOKUP($B$5,标准坦克设计!$B$14:$K$20,9)/30))</f>
        <v>18.929193644719366</v>
      </c>
      <c r="AT194" s="173">
        <f ca="1">(VLOOKUP(AT$72,INDIRECT($C$5&amp;"生成成长"),2))/((VLOOKUP($B194,INDIRECT($B$5&amp;"生成成长"),4))/(VLOOKUP(AT$72,INDIRECT($C$5&amp;"生成成长"),5))*(VLOOKUP($B$5,标准坦克设计!$B$24:$U$30,MATCH("对"&amp;LEFT($C$5,2)&amp;"输出",标准坦克设计!$B$23:$U$23,0)))*(VLOOKUP($B194,INDIRECT($B$5&amp;"生成成长"),3))*(VLOOKUP($B$5,标准坦克设计!$B$14:$K$20,9)/30))</f>
        <v>20.144779744063587</v>
      </c>
      <c r="AU194" s="173">
        <f ca="1">(VLOOKUP(AU$72,INDIRECT($C$5&amp;"生成成长"),2))/((VLOOKUP($B194,INDIRECT($B$5&amp;"生成成长"),4))/(VLOOKUP(AU$72,INDIRECT($C$5&amp;"生成成长"),5))*(VLOOKUP($B$5,标准坦克设计!$B$24:$U$30,MATCH("对"&amp;LEFT($C$5,2)&amp;"输出",标准坦克设计!$B$23:$U$23,0)))*(VLOOKUP($B194,INDIRECT($B$5&amp;"生成成长"),3))*(VLOOKUP($B$5,标准坦克设计!$B$14:$K$20,9)/30))</f>
        <v>21.398191719200693</v>
      </c>
      <c r="AV194" s="173">
        <f ca="1">(VLOOKUP(AV$72,INDIRECT($C$5&amp;"生成成长"),2))/((VLOOKUP($B194,INDIRECT($B$5&amp;"生成成长"),4))/(VLOOKUP(AV$72,INDIRECT($C$5&amp;"生成成长"),5))*(VLOOKUP($B$5,标准坦克设计!$B$24:$U$30,MATCH("对"&amp;LEFT($C$5,2)&amp;"输出",标准坦克设计!$B$23:$U$23,0)))*(VLOOKUP($B194,INDIRECT($B$5&amp;"生成成长"),3))*(VLOOKUP($B$5,标准坦克设计!$B$14:$K$20,9)/30))</f>
        <v>2.1763946055379875</v>
      </c>
      <c r="AW194" s="173">
        <f ca="1">(VLOOKUP(AW$72,INDIRECT($C$5&amp;"生成成长"),2))/((VLOOKUP($B194,INDIRECT($B$5&amp;"生成成长"),4))/(VLOOKUP(AW$72,INDIRECT($C$5&amp;"生成成长"),5))*(VLOOKUP($B$5,标准坦克设计!$B$24:$U$30,MATCH("对"&amp;LEFT($C$5,2)&amp;"输出",标准坦克设计!$B$23:$U$23,0)))*(VLOOKUP($B194,INDIRECT($B$5&amp;"生成成长"),3))*(VLOOKUP($B$5,标准坦克设计!$B$14:$K$20,9)/30))</f>
        <v>2.4815024962310464</v>
      </c>
      <c r="AX194" s="173">
        <f ca="1">(VLOOKUP(AX$72,INDIRECT($C$5&amp;"生成成长"),2))/((VLOOKUP($B194,INDIRECT($B$5&amp;"生成成长"),4))/(VLOOKUP(AX$72,INDIRECT($C$5&amp;"生成成长"),5))*(VLOOKUP($B$5,标准坦克设计!$B$24:$U$30,MATCH("对"&amp;LEFT($C$5,2)&amp;"输出",标准坦克设计!$B$23:$U$23,0)))*(VLOOKUP($B194,INDIRECT($B$5&amp;"生成成长"),3))*(VLOOKUP($B$5,标准坦克设计!$B$14:$K$20,9)/30))</f>
        <v>2.8066174617236501</v>
      </c>
      <c r="AY194" s="173">
        <f ca="1">(VLOOKUP(AY$72,INDIRECT($C$5&amp;"生成成长"),2))/((VLOOKUP($B194,INDIRECT($B$5&amp;"生成成长"),4))/(VLOOKUP(AY$72,INDIRECT($C$5&amp;"生成成长"),5))*(VLOOKUP($B$5,标准坦克设计!$B$24:$U$30,MATCH("对"&amp;LEFT($C$5,2)&amp;"输出",标准坦克设计!$B$23:$U$23,0)))*(VLOOKUP($B194,INDIRECT($B$5&amp;"生成成长"),3))*(VLOOKUP($B$5,标准坦克设计!$B$14:$K$20,9)/30))</f>
        <v>3.1517395020157983</v>
      </c>
      <c r="AZ194" s="173">
        <f ca="1">(VLOOKUP(AZ$72,INDIRECT($C$5&amp;"生成成长"),2))/((VLOOKUP($B194,INDIRECT($B$5&amp;"生成成长"),4))/(VLOOKUP(AZ$72,INDIRECT($C$5&amp;"生成成长"),5))*(VLOOKUP($B$5,标准坦克设计!$B$24:$U$30,MATCH("对"&amp;LEFT($C$5,2)&amp;"输出",标准坦克设计!$B$23:$U$23,0)))*(VLOOKUP($B194,INDIRECT($B$5&amp;"生成成长"),3))*(VLOOKUP($B$5,标准坦克设计!$B$14:$K$20,9)/30))</f>
        <v>3.5168686171074914</v>
      </c>
      <c r="BA194" s="173">
        <f ca="1">(VLOOKUP(BA$72,INDIRECT($C$5&amp;"生成成长"),2))/((VLOOKUP($B194,INDIRECT($B$5&amp;"生成成长"),4))/(VLOOKUP(BA$72,INDIRECT($C$5&amp;"生成成长"),5))*(VLOOKUP($B$5,标准坦克设计!$B$24:$U$30,MATCH("对"&amp;LEFT($C$5,2)&amp;"输出",标准坦克设计!$B$23:$U$23,0)))*(VLOOKUP($B194,INDIRECT($B$5&amp;"生成成长"),3))*(VLOOKUP($B$5,标准坦克设计!$B$14:$K$20,9)/30))</f>
        <v>3.9020048069987299</v>
      </c>
      <c r="BB194" s="173">
        <f ca="1">(VLOOKUP(BB$72,INDIRECT($C$5&amp;"生成成长"),2))/((VLOOKUP($B194,INDIRECT($B$5&amp;"生成成长"),4))/(VLOOKUP(BB$72,INDIRECT($C$5&amp;"生成成长"),5))*(VLOOKUP($B$5,标准坦克设计!$B$24:$U$30,MATCH("对"&amp;LEFT($C$5,2)&amp;"输出",标准坦克设计!$B$23:$U$23,0)))*(VLOOKUP($B194,INDIRECT($B$5&amp;"生成成长"),3))*(VLOOKUP($B$5,标准坦克设计!$B$14:$K$20,9)/30))</f>
        <v>4.3071480716895119</v>
      </c>
      <c r="BC194" s="173">
        <f ca="1">(VLOOKUP(BC$72,INDIRECT($C$5&amp;"生成成长"),2))/((VLOOKUP($B194,INDIRECT($B$5&amp;"生成成长"),4))/(VLOOKUP(BC$72,INDIRECT($C$5&amp;"生成成长"),5))*(VLOOKUP($B$5,标准坦克设计!$B$24:$U$30,MATCH("对"&amp;LEFT($C$5,2)&amp;"输出",标准坦克设计!$B$23:$U$23,0)))*(VLOOKUP($B194,INDIRECT($B$5&amp;"生成成长"),3))*(VLOOKUP($B$5,标准坦克设计!$B$14:$K$20,9)/30))</f>
        <v>4.7322984111798414</v>
      </c>
      <c r="BD194" s="173">
        <f ca="1">(VLOOKUP(BD$72,INDIRECT($C$5&amp;"生成成长"),2))/((VLOOKUP($B194,INDIRECT($B$5&amp;"生成成长"),4))/(VLOOKUP(BD$72,INDIRECT($C$5&amp;"生成成长"),5))*(VLOOKUP($B$5,标准坦克设计!$B$24:$U$30,MATCH("对"&amp;LEFT($C$5,2)&amp;"输出",标准坦克设计!$B$23:$U$23,0)))*(VLOOKUP($B194,INDIRECT($B$5&amp;"生成成长"),3))*(VLOOKUP($B$5,标准坦克设计!$B$14:$K$20,9)/30))</f>
        <v>5.2345072497027907</v>
      </c>
      <c r="BE194" s="173">
        <f ca="1">(VLOOKUP(BE$72,INDIRECT($C$5&amp;"生成成长"),2))/((VLOOKUP($B194,INDIRECT($B$5&amp;"生成成长"),4))/(VLOOKUP(BE$72,INDIRECT($C$5&amp;"生成成长"),5))*(VLOOKUP($B$5,标准坦克设计!$B$24:$U$30,MATCH("对"&amp;LEFT($C$5,2)&amp;"输出",标准坦克设计!$B$23:$U$23,0)))*(VLOOKUP($B194,INDIRECT($B$5&amp;"生成成长"),3))*(VLOOKUP($B$5,标准坦克设计!$B$14:$K$20,9)/30))</f>
        <v>5.7620375422689154</v>
      </c>
      <c r="BF194" s="173">
        <f ca="1">(VLOOKUP(BF$72,INDIRECT($C$5&amp;"生成成长"),2))/((VLOOKUP($B194,INDIRECT($B$5&amp;"生成成长"),4))/(VLOOKUP(BF$72,INDIRECT($C$5&amp;"生成成长"),5))*(VLOOKUP($B$5,标准坦克设计!$B$24:$U$30,MATCH("对"&amp;LEFT($C$5,2)&amp;"输出",标准坦克设计!$B$23:$U$23,0)))*(VLOOKUP($B194,INDIRECT($B$5&amp;"生成成长"),3))*(VLOOKUP($B$5,标准坦克设计!$B$14:$K$20,9)/30))</f>
        <v>6.314889288878212</v>
      </c>
      <c r="BG194" s="173">
        <f ca="1">(VLOOKUP(BG$72,INDIRECT($C$5&amp;"生成成长"),2))/((VLOOKUP($B194,INDIRECT($B$5&amp;"生成成长"),4))/(VLOOKUP(BG$72,INDIRECT($C$5&amp;"生成成长"),5))*(VLOOKUP($B$5,标准坦克设计!$B$24:$U$30,MATCH("对"&amp;LEFT($C$5,2)&amp;"输出",标准坦克设计!$B$23:$U$23,0)))*(VLOOKUP($B194,INDIRECT($B$5&amp;"生成成长"),3))*(VLOOKUP($B$5,标准坦克设计!$B$14:$K$20,9)/30))</f>
        <v>6.8930624895306849</v>
      </c>
      <c r="BH194" s="173">
        <f ca="1">(VLOOKUP(BH$72,INDIRECT($C$5&amp;"生成成长"),2))/((VLOOKUP($B194,INDIRECT($B$5&amp;"生成成长"),4))/(VLOOKUP(BH$72,INDIRECT($C$5&amp;"生成成长"),5))*(VLOOKUP($B$5,标准坦克设计!$B$24:$U$30,MATCH("对"&amp;LEFT($C$5,2)&amp;"输出",标准坦克设计!$B$23:$U$23,0)))*(VLOOKUP($B194,INDIRECT($B$5&amp;"生成成长"),3))*(VLOOKUP($B$5,标准坦克设计!$B$14:$K$20,9)/30))</f>
        <v>3.3318031752117014</v>
      </c>
      <c r="BI194" s="173">
        <f ca="1">(VLOOKUP(BI$72,INDIRECT($C$5&amp;"生成成长"),2))/((VLOOKUP($B194,INDIRECT($B$5&amp;"生成成长"),4))/(VLOOKUP(BI$72,INDIRECT($C$5&amp;"生成成长"),5))*(VLOOKUP($B$5,标准坦克设计!$B$24:$U$30,MATCH("对"&amp;LEFT($C$5,2)&amp;"输出",标准坦克设计!$B$23:$U$23,0)))*(VLOOKUP($B194,INDIRECT($B$5&amp;"生成成长"),3))*(VLOOKUP($B$5,标准坦克设计!$B$14:$K$20,9)/30))</f>
        <v>3.7552341567114436</v>
      </c>
      <c r="BJ194" s="173">
        <f ca="1">(VLOOKUP(BJ$72,INDIRECT($C$5&amp;"生成成长"),2))/((VLOOKUP($B194,INDIRECT($B$5&amp;"生成成长"),4))/(VLOOKUP(BJ$72,INDIRECT($C$5&amp;"生成成长"),5))*(VLOOKUP($B$5,标准坦克设计!$B$24:$U$30,MATCH("对"&amp;LEFT($C$5,2)&amp;"输出",标准坦克设计!$B$23:$U$23,0)))*(VLOOKUP($B194,INDIRECT($B$5&amp;"生成成长"),3))*(VLOOKUP($B$5,标准坦克设计!$B$14:$K$20,9)/30))</f>
        <v>4.2039865922543589</v>
      </c>
      <c r="BK194" s="173">
        <f ca="1">(VLOOKUP(BK$72,INDIRECT($C$5&amp;"生成成长"),2))/((VLOOKUP($B194,INDIRECT($B$5&amp;"生成成长"),4))/(VLOOKUP(BK$72,INDIRECT($C$5&amp;"生成成长"),5))*(VLOOKUP($B$5,标准坦克设计!$B$24:$U$30,MATCH("对"&amp;LEFT($C$5,2)&amp;"输出",标准坦克设计!$B$23:$U$23,0)))*(VLOOKUP($B194,INDIRECT($B$5&amp;"生成成长"),3))*(VLOOKUP($B$5,标准坦克设计!$B$14:$K$20,9)/30))</f>
        <v>4.6780604818404488</v>
      </c>
      <c r="BL194" s="173">
        <f ca="1">(VLOOKUP(BL$72,INDIRECT($C$5&amp;"生成成长"),2))/((VLOOKUP($B194,INDIRECT($B$5&amp;"生成成长"),4))/(VLOOKUP(BL$72,INDIRECT($C$5&amp;"生成成长"),5))*(VLOOKUP($B$5,标准坦克设计!$B$24:$U$30,MATCH("对"&amp;LEFT($C$5,2)&amp;"输出",标准坦克设计!$B$23:$U$23,0)))*(VLOOKUP($B194,INDIRECT($B$5&amp;"生成成长"),3))*(VLOOKUP($B$5,标准坦克设计!$B$14:$K$20,9)/30))</f>
        <v>5.1774558254697132</v>
      </c>
      <c r="BM194" s="173">
        <f ca="1">(VLOOKUP(BM$72,INDIRECT($C$5&amp;"生成成长"),2))/((VLOOKUP($B194,INDIRECT($B$5&amp;"生成成长"),4))/(VLOOKUP(BM$72,INDIRECT($C$5&amp;"生成成长"),5))*(VLOOKUP($B$5,标准坦克设计!$B$24:$U$30,MATCH("对"&amp;LEFT($C$5,2)&amp;"输出",标准坦克设计!$B$23:$U$23,0)))*(VLOOKUP($B194,INDIRECT($B$5&amp;"生成成长"),3))*(VLOOKUP($B$5,标准坦克设计!$B$14:$K$20,9)/30))</f>
        <v>5.7021726231421512</v>
      </c>
      <c r="BN194" s="173">
        <f ca="1">(VLOOKUP(BN$72,INDIRECT($C$5&amp;"生成成长"),2))/((VLOOKUP($B194,INDIRECT($B$5&amp;"生成成长"),4))/(VLOOKUP(BN$72,INDIRECT($C$5&amp;"生成成长"),5))*(VLOOKUP($B$5,标准坦克设计!$B$24:$U$30,MATCH("对"&amp;LEFT($C$5,2)&amp;"输出",标准坦克设计!$B$23:$U$23,0)))*(VLOOKUP($B194,INDIRECT($B$5&amp;"生成成长"),3))*(VLOOKUP($B$5,标准坦克设计!$B$14:$K$20,9)/30))</f>
        <v>6.2522108748577621</v>
      </c>
      <c r="BO194" s="173">
        <f ca="1">(VLOOKUP(BO$72,INDIRECT($C$5&amp;"生成成长"),2))/((VLOOKUP($B194,INDIRECT($B$5&amp;"生成成长"),4))/(VLOOKUP(BO$72,INDIRECT($C$5&amp;"生成成长"),5))*(VLOOKUP($B$5,标准坦克设计!$B$24:$U$30,MATCH("对"&amp;LEFT($C$5,2)&amp;"输出",标准坦克设计!$B$23:$U$23,0)))*(VLOOKUP($B194,INDIRECT($B$5&amp;"生成成长"),3))*(VLOOKUP($B$5,标准坦克设计!$B$14:$K$20,9)/30))</f>
        <v>6.8275705806165492</v>
      </c>
      <c r="BP194" s="173">
        <f ca="1">(VLOOKUP(BP$72,INDIRECT($C$5&amp;"生成成长"),2))/((VLOOKUP($B194,INDIRECT($B$5&amp;"生成成长"),4))/(VLOOKUP(BP$72,INDIRECT($C$5&amp;"生成成长"),5))*(VLOOKUP($B$5,标准坦克设计!$B$24:$U$30,MATCH("对"&amp;LEFT($C$5,2)&amp;"输出",标准坦克设计!$B$23:$U$23,0)))*(VLOOKUP($B194,INDIRECT($B$5&amp;"生成成长"),3))*(VLOOKUP($B$5,标准坦克设计!$B$14:$K$20,9)/30))</f>
        <v>7.4282517404185082</v>
      </c>
      <c r="BQ194" s="173">
        <f ca="1">(VLOOKUP(BQ$72,INDIRECT($C$5&amp;"生成成长"),2))/((VLOOKUP($B194,INDIRECT($B$5&amp;"生成成长"),4))/(VLOOKUP(BQ$72,INDIRECT($C$5&amp;"生成成长"),5))*(VLOOKUP($B$5,标准坦克设计!$B$24:$U$30,MATCH("对"&amp;LEFT($C$5,2)&amp;"输出",标准坦克设计!$B$23:$U$23,0)))*(VLOOKUP($B194,INDIRECT($B$5&amp;"生成成长"),3))*(VLOOKUP($B$5,标准坦克设计!$B$14:$K$20,9)/30))</f>
        <v>8.0542543542636409</v>
      </c>
      <c r="BR194" s="173">
        <f ca="1">(VLOOKUP(BR$72,INDIRECT($C$5&amp;"生成成长"),2))/((VLOOKUP($B194,INDIRECT($B$5&amp;"生成成长"),4))/(VLOOKUP(BR$72,INDIRECT($C$5&amp;"生成成长"),5))*(VLOOKUP($B$5,标准坦克设计!$B$24:$U$30,MATCH("对"&amp;LEFT($C$5,2)&amp;"输出",标准坦克设计!$B$23:$U$23,0)))*(VLOOKUP($B194,INDIRECT($B$5&amp;"生成成长"),3))*(VLOOKUP($B$5,标准坦克设计!$B$14:$K$20,9)/30))</f>
        <v>8.7795108157471429</v>
      </c>
      <c r="BS194" s="173">
        <f ca="1">(VLOOKUP(BS$72,INDIRECT($C$5&amp;"生成成长"),2))/((VLOOKUP($B194,INDIRECT($B$5&amp;"生成成长"),4))/(VLOOKUP(BS$72,INDIRECT($C$5&amp;"生成成长"),5))*(VLOOKUP($B$5,标准坦克设计!$B$24:$U$30,MATCH("对"&amp;LEFT($C$5,2)&amp;"输出",标准坦克设计!$B$23:$U$23,0)))*(VLOOKUP($B194,INDIRECT($B$5&amp;"生成成长"),3))*(VLOOKUP($B$5,标准坦克设计!$B$14:$K$20,9)/30))</f>
        <v>9.5360283316049319</v>
      </c>
      <c r="BT194" s="173">
        <f ca="1">(VLOOKUP(BT$72,INDIRECT($C$5&amp;"生成成长"),2))/((VLOOKUP($B194,INDIRECT($B$5&amp;"生成成长"),4))/(VLOOKUP(BT$72,INDIRECT($C$5&amp;"生成成长"),5))*(VLOOKUP($B$5,标准坦克设计!$B$24:$U$30,MATCH("对"&amp;LEFT($C$5,2)&amp;"输出",标准坦克设计!$B$23:$U$23,0)))*(VLOOKUP($B194,INDIRECT($B$5&amp;"生成成长"),3))*(VLOOKUP($B$5,标准坦克设计!$B$14:$K$20,9)/30))</f>
        <v>10.32380690183701</v>
      </c>
      <c r="BU194" s="173">
        <f ca="1">(VLOOKUP(BU$72,INDIRECT($C$5&amp;"生成成长"),2))/((VLOOKUP($B194,INDIRECT($B$5&amp;"生成成长"),4))/(VLOOKUP(BU$72,INDIRECT($C$5&amp;"生成成长"),5))*(VLOOKUP($B$5,标准坦克设计!$B$24:$U$30,MATCH("对"&amp;LEFT($C$5,2)&amp;"输出",标准坦克设计!$B$23:$U$23,0)))*(VLOOKUP($B194,INDIRECT($B$5&amp;"生成成长"),3))*(VLOOKUP($B$5,标准坦克设计!$B$14:$K$20,9)/30))</f>
        <v>11.142846526443376</v>
      </c>
      <c r="BV194" s="173">
        <f ca="1">(VLOOKUP(BV$72,INDIRECT($C$5&amp;"生成成长"),2))/((VLOOKUP($B194,INDIRECT($B$5&amp;"生成成长"),4))/(VLOOKUP(BV$72,INDIRECT($C$5&amp;"生成成长"),5))*(VLOOKUP($B$5,标准坦克设计!$B$24:$U$30,MATCH("对"&amp;LEFT($C$5,2)&amp;"输出",标准坦克设计!$B$23:$U$23,0)))*(VLOOKUP($B194,INDIRECT($B$5&amp;"生成成长"),3))*(VLOOKUP($B$5,标准坦克设计!$B$14:$K$20,9)/30))</f>
        <v>11.993147205424032</v>
      </c>
      <c r="BW194" s="173">
        <f ca="1">(VLOOKUP(BW$72,INDIRECT($C$5&amp;"生成成长"),2))/((VLOOKUP($B194,INDIRECT($B$5&amp;"生成成长"),4))/(VLOOKUP(BW$72,INDIRECT($C$5&amp;"生成成长"),5))*(VLOOKUP($B$5,标准坦克设计!$B$24:$U$30,MATCH("对"&amp;LEFT($C$5,2)&amp;"输出",标准坦克设计!$B$23:$U$23,0)))*(VLOOKUP($B194,INDIRECT($B$5&amp;"生成成长"),3))*(VLOOKUP($B$5,标准坦克设计!$B$14:$K$20,9)/30))</f>
        <v>5.4658390520725275</v>
      </c>
      <c r="BX194" s="173">
        <f ca="1">(VLOOKUP(BX$72,INDIRECT($C$5&amp;"生成成长"),2))/((VLOOKUP($B194,INDIRECT($B$5&amp;"生成成长"),4))/(VLOOKUP(BX$72,INDIRECT($C$5&amp;"生成成长"),5))*(VLOOKUP($B$5,标准坦克设计!$B$24:$U$30,MATCH("对"&amp;LEFT($C$5,2)&amp;"输出",标准坦克设计!$B$23:$U$23,0)))*(VLOOKUP($B194,INDIRECT($B$5&amp;"生成成长"),3))*(VLOOKUP($B$5,标准坦克设计!$B$14:$K$20,9)/30))</f>
        <v>6.0660512960588733</v>
      </c>
      <c r="BY194" s="173">
        <f ca="1">(VLOOKUP(BY$72,INDIRECT($C$5&amp;"生成成长"),2))/((VLOOKUP($B194,INDIRECT($B$5&amp;"生成成长"),4))/(VLOOKUP(BY$72,INDIRECT($C$5&amp;"生成成长"),5))*(VLOOKUP($B$5,标准坦克设计!$B$24:$U$30,MATCH("对"&amp;LEFT($C$5,2)&amp;"输出",标准坦克设计!$B$23:$U$23,0)))*(VLOOKUP($B194,INDIRECT($B$5&amp;"生成成长"),3))*(VLOOKUP($B$5,标准坦克设计!$B$14:$K$20,9)/30))</f>
        <v>6.6975245944195061</v>
      </c>
      <c r="BZ194" s="173">
        <f ca="1">(VLOOKUP(BZ$72,INDIRECT($C$5&amp;"生成成长"),2))/((VLOOKUP($B194,INDIRECT($B$5&amp;"生成成长"),4))/(VLOOKUP(BZ$72,INDIRECT($C$5&amp;"生成成长"),5))*(VLOOKUP($B$5,标准坦克设计!$B$24:$U$30,MATCH("对"&amp;LEFT($C$5,2)&amp;"输出",标准坦克设计!$B$23:$U$23,0)))*(VLOOKUP($B194,INDIRECT($B$5&amp;"生成成长"),3))*(VLOOKUP($B$5,标准坦克设计!$B$14:$K$20,9)/30))</f>
        <v>7.3602589471544295</v>
      </c>
      <c r="CA194" s="173">
        <f ca="1">(VLOOKUP(CA$72,INDIRECT($C$5&amp;"生成成长"),2))/((VLOOKUP($B194,INDIRECT($B$5&amp;"生成成长"),4))/(VLOOKUP(CA$72,INDIRECT($C$5&amp;"生成成长"),5))*(VLOOKUP($B$5,标准坦克设计!$B$24:$U$30,MATCH("对"&amp;LEFT($C$5,2)&amp;"输出",标准坦克设计!$B$23:$U$23,0)))*(VLOOKUP($B194,INDIRECT($B$5&amp;"生成成长"),3))*(VLOOKUP($B$5,标准坦克设计!$B$14:$K$20,9)/30))</f>
        <v>8.0542543542636409</v>
      </c>
      <c r="CB194" s="173">
        <f ca="1">(VLOOKUP(CB$72,INDIRECT($C$5&amp;"生成成长"),2))/((VLOOKUP($B194,INDIRECT($B$5&amp;"生成成长"),4))/(VLOOKUP(CB$72,INDIRECT($C$5&amp;"生成成长"),5))*(VLOOKUP($B$5,标准坦克设计!$B$24:$U$30,MATCH("对"&amp;LEFT($C$5,2)&amp;"输出",标准坦克设计!$B$23:$U$23,0)))*(VLOOKUP($B194,INDIRECT($B$5&amp;"生成成长"),3))*(VLOOKUP($B$5,标准坦克设计!$B$14:$K$20,9)/30))</f>
        <v>8.7795108157471429</v>
      </c>
      <c r="CC194" s="173">
        <f ca="1">(VLOOKUP(CC$72,INDIRECT($C$5&amp;"生成成长"),2))/((VLOOKUP($B194,INDIRECT($B$5&amp;"生成成长"),4))/(VLOOKUP(CC$72,INDIRECT($C$5&amp;"生成成长"),5))*(VLOOKUP($B$5,标准坦克设计!$B$24:$U$30,MATCH("对"&amp;LEFT($C$5,2)&amp;"输出",标准坦克设计!$B$23:$U$23,0)))*(VLOOKUP($B194,INDIRECT($B$5&amp;"生成成长"),3))*(VLOOKUP($B$5,标准坦克设计!$B$14:$K$20,9)/30))</f>
        <v>9.5360283316049319</v>
      </c>
      <c r="CD194" s="173">
        <f ca="1">(VLOOKUP(CD$72,INDIRECT($C$5&amp;"生成成长"),2))/((VLOOKUP($B194,INDIRECT($B$5&amp;"生成成长"),4))/(VLOOKUP(CD$72,INDIRECT($C$5&amp;"生成成长"),5))*(VLOOKUP($B$5,标准坦克设计!$B$24:$U$30,MATCH("对"&amp;LEFT($C$5,2)&amp;"输出",标准坦克设计!$B$23:$U$23,0)))*(VLOOKUP($B194,INDIRECT($B$5&amp;"生成成长"),3))*(VLOOKUP($B$5,标准坦克设计!$B$14:$K$20,9)/30))</f>
        <v>10.32380690183701</v>
      </c>
      <c r="CE194" s="173">
        <f ca="1">(VLOOKUP(CE$72,INDIRECT($C$5&amp;"生成成长"),2))/((VLOOKUP($B194,INDIRECT($B$5&amp;"生成成长"),4))/(VLOOKUP(CE$72,INDIRECT($C$5&amp;"生成成长"),5))*(VLOOKUP($B$5,标准坦克设计!$B$24:$U$30,MATCH("对"&amp;LEFT($C$5,2)&amp;"输出",标准坦克设计!$B$23:$U$23,0)))*(VLOOKUP($B194,INDIRECT($B$5&amp;"生成成长"),3))*(VLOOKUP($B$5,标准坦克设计!$B$14:$K$20,9)/30))</f>
        <v>11.142846526443376</v>
      </c>
      <c r="CF194" s="173">
        <f ca="1">(VLOOKUP(CF$72,INDIRECT($C$5&amp;"生成成长"),2))/((VLOOKUP($B194,INDIRECT($B$5&amp;"生成成长"),4))/(VLOOKUP(CF$72,INDIRECT($C$5&amp;"生成成长"),5))*(VLOOKUP($B$5,标准坦克设计!$B$24:$U$30,MATCH("对"&amp;LEFT($C$5,2)&amp;"输出",标准坦克设计!$B$23:$U$23,0)))*(VLOOKUP($B194,INDIRECT($B$5&amp;"生成成长"),3))*(VLOOKUP($B$5,标准坦克设计!$B$14:$K$20,9)/30))</f>
        <v>11.993147205424032</v>
      </c>
      <c r="CG194" s="173">
        <f ca="1">(VLOOKUP(CG$72,INDIRECT($C$5&amp;"生成成长"),2))/((VLOOKUP($B194,INDIRECT($B$5&amp;"生成成长"),4))/(VLOOKUP(CG$72,INDIRECT($C$5&amp;"生成成长"),5))*(VLOOKUP($B$5,标准坦克设计!$B$24:$U$30,MATCH("对"&amp;LEFT($C$5,2)&amp;"输出",标准坦克设计!$B$23:$U$23,0)))*(VLOOKUP($B194,INDIRECT($B$5&amp;"生成成长"),3))*(VLOOKUP($B$5,标准坦克设计!$B$14:$K$20,9)/30))</f>
        <v>12.874708938778976</v>
      </c>
      <c r="CH194" s="173">
        <f ca="1">(VLOOKUP(CH$72,INDIRECT($C$5&amp;"生成成长"),2))/((VLOOKUP($B194,INDIRECT($B$5&amp;"生成成长"),4))/(VLOOKUP(CH$72,INDIRECT($C$5&amp;"生成成长"),5))*(VLOOKUP($B$5,标准坦克设计!$B$24:$U$30,MATCH("对"&amp;LEFT($C$5,2)&amp;"输出",标准坦克设计!$B$23:$U$23,0)))*(VLOOKUP($B194,INDIRECT($B$5&amp;"生成成长"),3))*(VLOOKUP($B$5,标准坦克设计!$B$14:$K$20,9)/30))</f>
        <v>13.78753172650821</v>
      </c>
      <c r="CI194" s="173">
        <f ca="1">(VLOOKUP(CI$72,INDIRECT($C$5&amp;"生成成长"),2))/((VLOOKUP($B194,INDIRECT($B$5&amp;"生成成长"),4))/(VLOOKUP(CI$72,INDIRECT($C$5&amp;"生成成长"),5))*(VLOOKUP($B$5,标准坦克设计!$B$24:$U$30,MATCH("对"&amp;LEFT($C$5,2)&amp;"输出",标准坦克设计!$B$23:$U$23,0)))*(VLOOKUP($B194,INDIRECT($B$5&amp;"生成成长"),3))*(VLOOKUP($B$5,标准坦克设计!$B$14:$K$20,9)/30))</f>
        <v>14.82774331081267</v>
      </c>
      <c r="CJ194" s="173">
        <f ca="1">(VLOOKUP(CJ$72,INDIRECT($C$5&amp;"生成成长"),2))/((VLOOKUP($B194,INDIRECT($B$5&amp;"生成成长"),4))/(VLOOKUP(CJ$72,INDIRECT($C$5&amp;"生成成长"),5))*(VLOOKUP($B$5,标准坦克设计!$B$24:$U$30,MATCH("对"&amp;LEFT($C$5,2)&amp;"输出",标准坦克设计!$B$23:$U$23,0)))*(VLOOKUP($B194,INDIRECT($B$5&amp;"生成成长"),3))*(VLOOKUP($B$5,标准坦克设计!$B$14:$K$20,9)/30))</f>
        <v>15.90578077091002</v>
      </c>
      <c r="CK194" s="173">
        <f ca="1">(VLOOKUP(CK$72,INDIRECT($C$5&amp;"生成成长"),2))/((VLOOKUP($B194,INDIRECT($B$5&amp;"生成成长"),4))/(VLOOKUP(CK$72,INDIRECT($C$5&amp;"生成成长"),5))*(VLOOKUP($B$5,标准坦克设计!$B$24:$U$30,MATCH("对"&amp;LEFT($C$5,2)&amp;"输出",标准坦克设计!$B$23:$U$23,0)))*(VLOOKUP($B194,INDIRECT($B$5&amp;"生成成长"),3))*(VLOOKUP($B$5,标准坦克设计!$B$14:$K$20,9)/30))</f>
        <v>17.02164410680026</v>
      </c>
      <c r="CL194" s="173">
        <f ca="1">(VLOOKUP(CL$72,INDIRECT($C$5&amp;"生成成长"),2))/((VLOOKUP($B194,INDIRECT($B$5&amp;"生成成长"),4))/(VLOOKUP(CL$72,INDIRECT($C$5&amp;"生成成长"),5))*(VLOOKUP($B$5,标准坦克设计!$B$24:$U$30,MATCH("对"&amp;LEFT($C$5,2)&amp;"输出",标准坦克设计!$B$23:$U$23,0)))*(VLOOKUP($B194,INDIRECT($B$5&amp;"生成成长"),3))*(VLOOKUP($B$5,标准坦克设计!$B$14:$K$20,9)/30))</f>
        <v>18.175333318483386</v>
      </c>
      <c r="CM194" s="173">
        <f ca="1">(VLOOKUP(CM$72,INDIRECT($C$5&amp;"生成成长"),2))/((VLOOKUP($B194,INDIRECT($B$5&amp;"生成成长"),4))/(VLOOKUP(CM$72,INDIRECT($C$5&amp;"生成成长"),5))*(VLOOKUP($B$5,标准坦克设计!$B$24:$U$30,MATCH("对"&amp;LEFT($C$5,2)&amp;"输出",标准坦克设计!$B$23:$U$23,0)))*(VLOOKUP($B194,INDIRECT($B$5&amp;"生成成长"),3))*(VLOOKUP($B$5,标准坦克设计!$B$14:$K$20,9)/30))</f>
        <v>19.366848405959406</v>
      </c>
      <c r="CN194" s="173">
        <f ca="1">(VLOOKUP(CN$72,INDIRECT($C$5&amp;"生成成长"),2))/((VLOOKUP($B194,INDIRECT($B$5&amp;"生成成长"),4))/(VLOOKUP(CN$72,INDIRECT($C$5&amp;"生成成长"),5))*(VLOOKUP($B$5,标准坦克设计!$B$24:$U$30,MATCH("对"&amp;LEFT($C$5,2)&amp;"输出",标准坦克设计!$B$23:$U$23,0)))*(VLOOKUP($B194,INDIRECT($B$5&amp;"生成成长"),3))*(VLOOKUP($B$5,标准坦克设计!$B$14:$K$20,9)/30))</f>
        <v>20.596189369228316</v>
      </c>
      <c r="CO194" s="173">
        <f ca="1">(VLOOKUP(CO$72,INDIRECT($C$5&amp;"生成成长"),2))/((VLOOKUP($B194,INDIRECT($B$5&amp;"生成成长"),4))/(VLOOKUP(CO$72,INDIRECT($C$5&amp;"生成成长"),5))*(VLOOKUP($B$5,标准坦克设计!$B$24:$U$30,MATCH("对"&amp;LEFT($C$5,2)&amp;"输出",标准坦克设计!$B$23:$U$23,0)))*(VLOOKUP($B194,INDIRECT($B$5&amp;"生成成长"),3))*(VLOOKUP($B$5,标准坦克设计!$B$14:$K$20,9)/30))</f>
        <v>9.2296699987369024</v>
      </c>
      <c r="CP194" s="173">
        <f ca="1">(VLOOKUP(CP$72,INDIRECT($C$5&amp;"生成成长"),2))/((VLOOKUP($B194,INDIRECT($B$5&amp;"生成成长"),4))/(VLOOKUP(CP$72,INDIRECT($C$5&amp;"生成成长"),5))*(VLOOKUP($B$5,标准坦克设计!$B$24:$U$30,MATCH("对"&amp;LEFT($C$5,2)&amp;"输出",标准坦克设计!$B$23:$U$23,0)))*(VLOOKUP($B194,INDIRECT($B$5&amp;"生成成长"),3))*(VLOOKUP($B$5,标准坦克设计!$B$14:$K$20,9)/30))</f>
        <v>10.084190920058088</v>
      </c>
      <c r="CQ194" s="173">
        <f ca="1">(VLOOKUP(CQ$72,INDIRECT($C$5&amp;"生成成长"),2))/((VLOOKUP($B194,INDIRECT($B$5&amp;"生成成长"),4))/(VLOOKUP(CQ$72,INDIRECT($C$5&amp;"生成成长"),5))*(VLOOKUP($B$5,标准坦克设计!$B$24:$U$30,MATCH("对"&amp;LEFT($C$5,2)&amp;"输出",标准坦克设计!$B$23:$U$23,0)))*(VLOOKUP($B194,INDIRECT($B$5&amp;"生成成长"),3))*(VLOOKUP($B$5,标准坦克设计!$B$14:$K$20,9)/30))</f>
        <v>10.976537717172159</v>
      </c>
      <c r="CR194" s="173">
        <f ca="1">(VLOOKUP(CR$72,INDIRECT($C$5&amp;"生成成长"),2))/((VLOOKUP($B194,INDIRECT($B$5&amp;"生成成长"),4))/(VLOOKUP(CR$72,INDIRECT($C$5&amp;"生成成长"),5))*(VLOOKUP($B$5,标准坦克设计!$B$24:$U$30,MATCH("对"&amp;LEFT($C$5,2)&amp;"输出",标准坦克设计!$B$23:$U$23,0)))*(VLOOKUP($B194,INDIRECT($B$5&amp;"生成成长"),3))*(VLOOKUP($B$5,标准坦克设计!$B$14:$K$20,9)/30))</f>
        <v>11.906710390079123</v>
      </c>
      <c r="CS194" s="173">
        <f ca="1">(VLOOKUP(CS$72,INDIRECT($C$5&amp;"生成成长"),2))/((VLOOKUP($B194,INDIRECT($B$5&amp;"生成成长"),4))/(VLOOKUP(CS$72,INDIRECT($C$5&amp;"生成成长"),5))*(VLOOKUP($B$5,标准坦克设计!$B$24:$U$30,MATCH("对"&amp;LEFT($C$5,2)&amp;"输出",标准坦克设计!$B$23:$U$23,0)))*(VLOOKUP($B194,INDIRECT($B$5&amp;"生成成长"),3))*(VLOOKUP($B$5,标准坦克设计!$B$14:$K$20,9)/30))</f>
        <v>12.874708938778976</v>
      </c>
      <c r="CT194" s="173">
        <f ca="1">(VLOOKUP(CT$72,INDIRECT($C$5&amp;"生成成长"),2))/((VLOOKUP($B194,INDIRECT($B$5&amp;"生成成长"),4))/(VLOOKUP(CT$72,INDIRECT($C$5&amp;"生成成长"),5))*(VLOOKUP($B$5,标准坦克设计!$B$24:$U$30,MATCH("对"&amp;LEFT($C$5,2)&amp;"输出",标准坦克设计!$B$23:$U$23,0)))*(VLOOKUP($B194,INDIRECT($B$5&amp;"生成成长"),3))*(VLOOKUP($B$5,标准坦克设计!$B$14:$K$20,9)/30))</f>
        <v>13.88053336327172</v>
      </c>
      <c r="CU194" s="173">
        <f ca="1">(VLOOKUP(CU$72,INDIRECT($C$5&amp;"生成成长"),2))/((VLOOKUP($B194,INDIRECT($B$5&amp;"生成成长"),4))/(VLOOKUP(CU$72,INDIRECT($C$5&amp;"生成成长"),5))*(VLOOKUP($B$5,标准坦克设计!$B$24:$U$30,MATCH("对"&amp;LEFT($C$5,2)&amp;"输出",标准坦克设计!$B$23:$U$23,0)))*(VLOOKUP($B194,INDIRECT($B$5&amp;"生成成长"),3))*(VLOOKUP($B$5,标准坦克设计!$B$14:$K$20,9)/30))</f>
        <v>14.924183663557352</v>
      </c>
      <c r="CV194" s="173">
        <f ca="1">(VLOOKUP(CV$72,INDIRECT($C$5&amp;"生成成长"),2))/((VLOOKUP($B194,INDIRECT($B$5&amp;"生成成长"),4))/(VLOOKUP(CV$72,INDIRECT($C$5&amp;"生成成长"),5))*(VLOOKUP($B$5,标准坦克设计!$B$24:$U$30,MATCH("对"&amp;LEFT($C$5,2)&amp;"输出",标准坦克设计!$B$23:$U$23,0)))*(VLOOKUP($B194,INDIRECT($B$5&amp;"生成成长"),3))*(VLOOKUP($B$5,标准坦克设计!$B$14:$K$20,9)/30))</f>
        <v>16.005659839635872</v>
      </c>
      <c r="CW194" s="173">
        <f ca="1">(VLOOKUP(CW$72,INDIRECT($C$5&amp;"生成成长"),2))/((VLOOKUP($B194,INDIRECT($B$5&amp;"生成成长"),4))/(VLOOKUP(CW$72,INDIRECT($C$5&amp;"生成成长"),5))*(VLOOKUP($B$5,标准坦克设计!$B$24:$U$30,MATCH("对"&amp;LEFT($C$5,2)&amp;"输出",标准坦克设计!$B$23:$U$23,0)))*(VLOOKUP($B194,INDIRECT($B$5&amp;"生成成长"),3))*(VLOOKUP($B$5,标准坦克设计!$B$14:$K$20,9)/30))</f>
        <v>17.124961891507283</v>
      </c>
      <c r="CX194" s="173">
        <f ca="1">(VLOOKUP(CX$72,INDIRECT($C$5&amp;"生成成长"),2))/((VLOOKUP($B194,INDIRECT($B$5&amp;"生成成长"),4))/(VLOOKUP(CX$72,INDIRECT($C$5&amp;"生成成长"),5))*(VLOOKUP($B$5,标准坦克设计!$B$24:$U$30,MATCH("对"&amp;LEFT($C$5,2)&amp;"输出",标准坦克设计!$B$23:$U$23,0)))*(VLOOKUP($B194,INDIRECT($B$5&amp;"生成成长"),3))*(VLOOKUP($B$5,标准坦克设计!$B$14:$K$20,9)/30))</f>
        <v>18.282089819171585</v>
      </c>
      <c r="CY194" s="173">
        <f ca="1">(VLOOKUP(CY$72,INDIRECT($C$5&amp;"生成成长"),2))/((VLOOKUP($B194,INDIRECT($B$5&amp;"生成成长"),4))/(VLOOKUP(CY$72,INDIRECT($C$5&amp;"生成成长"),5))*(VLOOKUP($B$5,标准坦克设计!$B$24:$U$30,MATCH("对"&amp;LEFT($C$5,2)&amp;"输出",标准坦克设计!$B$23:$U$23,0)))*(VLOOKUP($B194,INDIRECT($B$5&amp;"生成成长"),3))*(VLOOKUP($B$5,标准坦克设计!$B$14:$K$20,9)/30))</f>
        <v>19.477043622628774</v>
      </c>
      <c r="CZ194" s="173">
        <f ca="1">(VLOOKUP(CZ$72,INDIRECT($C$5&amp;"生成成长"),2))/((VLOOKUP($B194,INDIRECT($B$5&amp;"生成成长"),4))/(VLOOKUP(CZ$72,INDIRECT($C$5&amp;"生成成长"),5))*(VLOOKUP($B$5,标准坦克设计!$B$24:$U$30,MATCH("对"&amp;LEFT($C$5,2)&amp;"输出",标准坦克设计!$B$23:$U$23,0)))*(VLOOKUP($B194,INDIRECT($B$5&amp;"生成成长"),3))*(VLOOKUP($B$5,标准坦克设计!$B$14:$K$20,9)/30))</f>
        <v>20.709823301878853</v>
      </c>
      <c r="DA194" s="173">
        <f ca="1">(VLOOKUP(DA$72,INDIRECT($C$5&amp;"生成成长"),2))/((VLOOKUP($B194,INDIRECT($B$5&amp;"生成成长"),4))/(VLOOKUP(DA$72,INDIRECT($C$5&amp;"生成成长"),5))*(VLOOKUP($B$5,标准坦克设计!$B$24:$U$30,MATCH("对"&amp;LEFT($C$5,2)&amp;"输出",标准坦克设计!$B$23:$U$23,0)))*(VLOOKUP($B194,INDIRECT($B$5&amp;"生成成长"),3))*(VLOOKUP($B$5,标准坦克设计!$B$14:$K$20,9)/30))</f>
        <v>21.980428856921819</v>
      </c>
      <c r="DB194" s="173">
        <f ca="1">(VLOOKUP(DB$72,INDIRECT($C$5&amp;"生成成长"),2))/((VLOOKUP($B194,INDIRECT($B$5&amp;"生成成长"),4))/(VLOOKUP(DB$72,INDIRECT($C$5&amp;"生成成长"),5))*(VLOOKUP($B$5,标准坦克设计!$B$24:$U$30,MATCH("对"&amp;LEFT($C$5,2)&amp;"输出",标准坦克设计!$B$23:$U$23,0)))*(VLOOKUP($B194,INDIRECT($B$5&amp;"生成成长"),3))*(VLOOKUP($B$5,标准坦克设计!$B$14:$K$20,9)/30))</f>
        <v>23.288860287757686</v>
      </c>
      <c r="DC194" s="173">
        <f ca="1">(VLOOKUP(DC$72,INDIRECT($C$5&amp;"生成成长"),2))/((VLOOKUP($B194,INDIRECT($B$5&amp;"生成成长"),4))/(VLOOKUP(DC$72,INDIRECT($C$5&amp;"生成成长"),5))*(VLOOKUP($B$5,标准坦克设计!$B$24:$U$30,MATCH("对"&amp;LEFT($C$5,2)&amp;"输出",标准坦克设计!$B$23:$U$23,0)))*(VLOOKUP($B194,INDIRECT($B$5&amp;"生成成长"),3))*(VLOOKUP($B$5,标准坦克设计!$B$14:$K$20,9)/30))</f>
        <v>24.759380285524223</v>
      </c>
      <c r="DD194" s="173">
        <f ca="1">(VLOOKUP(DD$72,INDIRECT($C$5&amp;"生成成长"),2))/((VLOOKUP($B194,INDIRECT($B$5&amp;"生成成长"),4))/(VLOOKUP(DD$72,INDIRECT($C$5&amp;"生成成长"),5))*(VLOOKUP($B$5,标准坦克设计!$B$24:$U$30,MATCH("对"&amp;LEFT($C$5,2)&amp;"输出",标准坦克设计!$B$23:$U$23,0)))*(VLOOKUP($B194,INDIRECT($B$5&amp;"生成成长"),3))*(VLOOKUP($B$5,标准坦克设计!$B$14:$K$20,9)/30))</f>
        <v>26.27491620158975</v>
      </c>
      <c r="DE194" s="173">
        <f ca="1">(VLOOKUP(DE$72,INDIRECT($C$5&amp;"生成成长"),2))/((VLOOKUP($B194,INDIRECT($B$5&amp;"生成成长"),4))/(VLOOKUP(DE$72,INDIRECT($C$5&amp;"生成成长"),5))*(VLOOKUP($B$5,标准坦克设计!$B$24:$U$30,MATCH("对"&amp;LEFT($C$5,2)&amp;"输出",标准坦克设计!$B$23:$U$23,0)))*(VLOOKUP($B194,INDIRECT($B$5&amp;"生成成长"),3))*(VLOOKUP($B$5,标准坦克设计!$B$14:$K$20,9)/30))</f>
        <v>27.83546803595425</v>
      </c>
      <c r="DF194" s="173">
        <f ca="1">(VLOOKUP(DF$72,INDIRECT($C$5&amp;"生成成长"),2))/((VLOOKUP($B194,INDIRECT($B$5&amp;"生成成长"),4))/(VLOOKUP(DF$72,INDIRECT($C$5&amp;"生成成长"),5))*(VLOOKUP($B$5,标准坦克设计!$B$24:$U$30,MATCH("对"&amp;LEFT($C$5,2)&amp;"输出",标准坦克设计!$B$23:$U$23,0)))*(VLOOKUP($B194,INDIRECT($B$5&amp;"生成成长"),3))*(VLOOKUP($B$5,标准坦克设计!$B$14:$K$20,9)/30))</f>
        <v>29.441035788617718</v>
      </c>
      <c r="DG194" s="173">
        <f ca="1">(VLOOKUP(DG$72,INDIRECT($C$5&amp;"生成成长"),2))/((VLOOKUP($B194,INDIRECT($B$5&amp;"生成成长"),4))/(VLOOKUP(DG$72,INDIRECT($C$5&amp;"生成成长"),5))*(VLOOKUP($B$5,标准坦克设计!$B$24:$U$30,MATCH("对"&amp;LEFT($C$5,2)&amp;"输出",标准坦克设计!$B$23:$U$23,0)))*(VLOOKUP($B194,INDIRECT($B$5&amp;"生成成长"),3))*(VLOOKUP($B$5,标准坦克设计!$B$14:$K$20,9)/30))</f>
        <v>31.091619459580173</v>
      </c>
      <c r="DH194" s="173">
        <f ca="1">(VLOOKUP(DH$72,INDIRECT($C$5&amp;"生成成长"),2))/((VLOOKUP($B194,INDIRECT($B$5&amp;"生成成长"),4))/(VLOOKUP(DH$72,INDIRECT($C$5&amp;"生成成长"),5))*(VLOOKUP($B$5,标准坦克设计!$B$24:$U$30,MATCH("对"&amp;LEFT($C$5,2)&amp;"输出",标准坦克设计!$B$23:$U$23,0)))*(VLOOKUP($B194,INDIRECT($B$5&amp;"生成成长"),3))*(VLOOKUP($B$5,标准坦克设计!$B$14:$K$20,9)/30))</f>
        <v>32.7872190488416</v>
      </c>
      <c r="DI194" s="173">
        <f ca="1">(VLOOKUP(DI$72,INDIRECT($C$5&amp;"生成成长"),2))/((VLOOKUP($B194,INDIRECT($B$5&amp;"生成成长"),4))/(VLOOKUP(DI$72,INDIRECT($C$5&amp;"生成成长"),5))*(VLOOKUP($B$5,标准坦克设计!$B$24:$U$30,MATCH("对"&amp;LEFT($C$5,2)&amp;"输出",标准坦克设计!$B$23:$U$23,0)))*(VLOOKUP($B194,INDIRECT($B$5&amp;"生成成长"),3))*(VLOOKUP($B$5,标准坦克设计!$B$14:$K$20,9)/30))</f>
        <v>34.527834556401992</v>
      </c>
      <c r="DJ194" s="173">
        <f ca="1">(VLOOKUP(DJ$72,INDIRECT($C$5&amp;"生成成长"),2))/((VLOOKUP($B194,INDIRECT($B$5&amp;"生成成长"),4))/(VLOOKUP(DJ$72,INDIRECT($C$5&amp;"生成成长"),5))*(VLOOKUP($B$5,标准坦克设计!$B$24:$U$30,MATCH("对"&amp;LEFT($C$5,2)&amp;"输出",标准坦克设计!$B$23:$U$23,0)))*(VLOOKUP($B194,INDIRECT($B$5&amp;"生成成长"),3))*(VLOOKUP($B$5,标准坦克设计!$B$14:$K$20,9)/30))</f>
        <v>3.47013334081793</v>
      </c>
      <c r="DK194" s="173">
        <f ca="1">(VLOOKUP(DK$72,INDIRECT($C$5&amp;"生成成长"),2))/((VLOOKUP($B194,INDIRECT($B$5&amp;"生成成长"),4))/(VLOOKUP(DK$72,INDIRECT($C$5&amp;"生成成长"),5))*(VLOOKUP($B$5,标准坦克设计!$B$24:$U$30,MATCH("对"&amp;LEFT($C$5,2)&amp;"输出",标准坦克设计!$B$23:$U$23,0)))*(VLOOKUP($B194,INDIRECT($B$5&amp;"生成成长"),3))*(VLOOKUP($B$5,标准坦克设计!$B$14:$K$20,9)/30))</f>
        <v>3.9020048069987299</v>
      </c>
      <c r="DL194" s="173">
        <f ca="1">(VLOOKUP(DL$72,INDIRECT($C$5&amp;"生成成长"),2))/((VLOOKUP($B194,INDIRECT($B$5&amp;"生成成长"),4))/(VLOOKUP(DL$72,INDIRECT($C$5&amp;"生成成长"),5))*(VLOOKUP($B$5,标准坦克设计!$B$24:$U$30,MATCH("对"&amp;LEFT($C$5,2)&amp;"输出",标准坦克设计!$B$23:$U$23,0)))*(VLOOKUP($B194,INDIRECT($B$5&amp;"生成成长"),3))*(VLOOKUP($B$5,标准坦克设计!$B$14:$K$20,9)/30))</f>
        <v>4.3591977272227034</v>
      </c>
      <c r="DM194" s="173">
        <f ca="1">(VLOOKUP(DM$72,INDIRECT($C$5&amp;"生成成长"),2))/((VLOOKUP($B194,INDIRECT($B$5&amp;"生成成长"),4))/(VLOOKUP(DM$72,INDIRECT($C$5&amp;"生成成长"),5))*(VLOOKUP($B$5,标准坦克设计!$B$24:$U$30,MATCH("对"&amp;LEFT($C$5,2)&amp;"输出",标准坦克设计!$B$23:$U$23,0)))*(VLOOKUP($B194,INDIRECT($B$5&amp;"生成成长"),3))*(VLOOKUP($B$5,标准坦克设计!$B$14:$K$20,9)/30))</f>
        <v>4.8417121014898514</v>
      </c>
      <c r="DN194" s="173">
        <f ca="1">(VLOOKUP(DN$72,INDIRECT($C$5&amp;"生成成长"),2))/((VLOOKUP($B194,INDIRECT($B$5&amp;"生成成长"),4))/(VLOOKUP(DN$72,INDIRECT($C$5&amp;"生成成长"),5))*(VLOOKUP($B$5,标准坦克设计!$B$24:$U$30,MATCH("对"&amp;LEFT($C$5,2)&amp;"输出",标准坦克设计!$B$23:$U$23,0)))*(VLOOKUP($B194,INDIRECT($B$5&amp;"生成成长"),3))*(VLOOKUP($B$5,标准坦克设计!$B$14:$K$20,9)/30))</f>
        <v>5.3495479298001731</v>
      </c>
      <c r="DO194" s="173">
        <f ca="1">(VLOOKUP(DO$72,INDIRECT($C$5&amp;"生成成长"),2))/((VLOOKUP($B194,INDIRECT($B$5&amp;"生成成长"),4))/(VLOOKUP(DO$72,INDIRECT($C$5&amp;"生成成长"),5))*(VLOOKUP($B$5,标准坦克设计!$B$24:$U$30,MATCH("对"&amp;LEFT($C$5,2)&amp;"输出",标准坦克设计!$B$23:$U$23,0)))*(VLOOKUP($B194,INDIRECT($B$5&amp;"生成成长"),3))*(VLOOKUP($B$5,标准坦克设计!$B$14:$K$20,9)/30))</f>
        <v>5.8827052121536685</v>
      </c>
      <c r="DP194" s="173">
        <f ca="1">(VLOOKUP(DP$72,INDIRECT($C$5&amp;"生成成长"),2))/((VLOOKUP($B194,INDIRECT($B$5&amp;"生成成长"),4))/(VLOOKUP(DP$72,INDIRECT($C$5&amp;"生成成长"),5))*(VLOOKUP($B$5,标准坦克设计!$B$24:$U$30,MATCH("对"&amp;LEFT($C$5,2)&amp;"输出",标准坦克设计!$B$23:$U$23,0)))*(VLOOKUP($B194,INDIRECT($B$5&amp;"生成成长"),3))*(VLOOKUP($B$5,标准坦克设计!$B$14:$K$20,9)/30))</f>
        <v>6.4411839485503393</v>
      </c>
      <c r="DQ194" s="173">
        <f ca="1">(VLOOKUP(DQ$72,INDIRECT($C$5&amp;"生成成长"),2))/((VLOOKUP($B194,INDIRECT($B$5&amp;"生成成长"),4))/(VLOOKUP(DQ$72,INDIRECT($C$5&amp;"生成成长"),5))*(VLOOKUP($B$5,标准坦克设计!$B$24:$U$30,MATCH("对"&amp;LEFT($C$5,2)&amp;"输出",标准坦克设计!$B$23:$U$23,0)))*(VLOOKUP($B194,INDIRECT($B$5&amp;"生成成长"),3))*(VLOOKUP($B$5,标准坦克设计!$B$14:$K$20,9)/30))</f>
        <v>7.0249841389901819</v>
      </c>
      <c r="DR194" s="173">
        <f ca="1">(VLOOKUP(DR$72,INDIRECT($C$5&amp;"生成成长"),2))/((VLOOKUP($B194,INDIRECT($B$5&amp;"生成成长"),4))/(VLOOKUP(DR$72,INDIRECT($C$5&amp;"生成成长"),5))*(VLOOKUP($B$5,标准坦克设计!$B$24:$U$30,MATCH("对"&amp;LEFT($C$5,2)&amp;"输出",标准坦克设计!$B$23:$U$23,0)))*(VLOOKUP($B194,INDIRECT($B$5&amp;"生成成长"),3))*(VLOOKUP($B$5,标准坦克设计!$B$14:$K$20,9)/30))</f>
        <v>7.6341057834732009</v>
      </c>
      <c r="DS194" s="173">
        <f ca="1">(VLOOKUP(DS$72,INDIRECT($C$5&amp;"生成成长"),2))/((VLOOKUP($B194,INDIRECT($B$5&amp;"生成成长"),4))/(VLOOKUP(DS$72,INDIRECT($C$5&amp;"生成成长"),5))*(VLOOKUP($B$5,标准坦克设计!$B$24:$U$30,MATCH("对"&amp;LEFT($C$5,2)&amp;"输出",标准坦克设计!$B$23:$U$23,0)))*(VLOOKUP($B194,INDIRECT($B$5&amp;"生成成长"),3))*(VLOOKUP($B$5,标准坦克设计!$B$14:$K$20,9)/30))</f>
        <v>8.2685488819993918</v>
      </c>
      <c r="DT194" s="173">
        <f ca="1">(VLOOKUP(DT$72,INDIRECT($C$5&amp;"生成成长"),2))/((VLOOKUP($B194,INDIRECT($B$5&amp;"生成成长"),4))/(VLOOKUP(DT$72,INDIRECT($C$5&amp;"生成成长"),5))*(VLOOKUP($B$5,标准坦克设计!$B$24:$U$30,MATCH("对"&amp;LEFT($C$5,2)&amp;"输出",标准坦克设计!$B$23:$U$23,0)))*(VLOOKUP($B194,INDIRECT($B$5&amp;"生成成长"),3))*(VLOOKUP($B$5,标准坦克设计!$B$14:$K$20,9)/30))</f>
        <v>9.0783664955653443</v>
      </c>
      <c r="DU194" s="173">
        <f ca="1">(VLOOKUP(DU$72,INDIRECT($C$5&amp;"生成成长"),2))/((VLOOKUP($B194,INDIRECT($B$5&amp;"生成成长"),4))/(VLOOKUP(DU$72,INDIRECT($C$5&amp;"生成成长"),5))*(VLOOKUP($B$5,标准坦克设计!$B$24:$U$30,MATCH("对"&amp;LEFT($C$5,2)&amp;"输出",标准坦克设计!$B$23:$U$23,0)))*(VLOOKUP($B194,INDIRECT($B$5&amp;"生成成长"),3))*(VLOOKUP($B$5,标准坦克设计!$B$14:$K$20,9)/30))</f>
        <v>9.9260099849241854</v>
      </c>
      <c r="DV194" s="173">
        <f ca="1">(VLOOKUP(DV$72,INDIRECT($C$5&amp;"生成成长"),2))/((VLOOKUP($B194,INDIRECT($B$5&amp;"生成成长"),4))/(VLOOKUP(DV$72,INDIRECT($C$5&amp;"生成成长"),5))*(VLOOKUP($B$5,标准坦克设计!$B$24:$U$30,MATCH("对"&amp;LEFT($C$5,2)&amp;"输出",标准坦克设计!$B$23:$U$23,0)))*(VLOOKUP($B194,INDIRECT($B$5&amp;"生成成长"),3))*(VLOOKUP($B$5,标准坦克设计!$B$14:$K$20,9)/30))</f>
        <v>10.811479350075915</v>
      </c>
      <c r="DW194" s="173">
        <f ca="1">(VLOOKUP(DW$72,INDIRECT($C$5&amp;"生成成长"),2))/((VLOOKUP($B194,INDIRECT($B$5&amp;"生成成长"),4))/(VLOOKUP(DW$72,INDIRECT($C$5&amp;"生成成长"),5))*(VLOOKUP($B$5,标准坦克设计!$B$24:$U$30,MATCH("对"&amp;LEFT($C$5,2)&amp;"输出",标准坦克设计!$B$23:$U$23,0)))*(VLOOKUP($B194,INDIRECT($B$5&amp;"生成成长"),3))*(VLOOKUP($B$5,标准坦克设计!$B$14:$K$20,9)/30))</f>
        <v>11.734774591020537</v>
      </c>
      <c r="DX194" s="173">
        <f ca="1">(VLOOKUP(DX$72,INDIRECT($C$5&amp;"生成成长"),2))/((VLOOKUP($B194,INDIRECT($B$5&amp;"生成成长"),4))/(VLOOKUP(DX$72,INDIRECT($C$5&amp;"生成成长"),5))*(VLOOKUP($B$5,标准坦克设计!$B$24:$U$30,MATCH("对"&amp;LEFT($C$5,2)&amp;"输出",标准坦克设计!$B$23:$U$23,0)))*(VLOOKUP($B194,INDIRECT($B$5&amp;"生成成长"),3))*(VLOOKUP($B$5,标准坦克设计!$B$14:$K$20,9)/30))</f>
        <v>12.695895707758046</v>
      </c>
      <c r="DY194" s="173">
        <f ca="1">(VLOOKUP(DY$72,INDIRECT($C$5&amp;"生成成长"),2))/((VLOOKUP($B194,INDIRECT($B$5&amp;"生成成长"),4))/(VLOOKUP(DY$72,INDIRECT($C$5&amp;"生成成长"),5))*(VLOOKUP($B$5,标准坦克设计!$B$24:$U$30,MATCH("对"&amp;LEFT($C$5,2)&amp;"输出",标准坦克设计!$B$23:$U$23,0)))*(VLOOKUP($B194,INDIRECT($B$5&amp;"生成成长"),3))*(VLOOKUP($B$5,标准坦克设计!$B$14:$K$20,9)/30))</f>
        <v>5.7021726231421512</v>
      </c>
      <c r="DZ194" s="173">
        <f ca="1">(VLOOKUP(DZ$72,INDIRECT($C$5&amp;"生成成长"),2))/((VLOOKUP($B194,INDIRECT($B$5&amp;"生成成长"),4))/(VLOOKUP(DZ$72,INDIRECT($C$5&amp;"生成成长"),5))*(VLOOKUP($B$5,标准坦克设计!$B$24:$U$30,MATCH("对"&amp;LEFT($C$5,2)&amp;"输出",标准坦克设计!$B$23:$U$23,0)))*(VLOOKUP($B194,INDIRECT($B$5&amp;"生成成长"),3))*(VLOOKUP($B$5,标准坦克设计!$B$14:$K$20,9)/30))</f>
        <v>6.314889288878212</v>
      </c>
      <c r="EA194" s="173">
        <f ca="1">(VLOOKUP(EA$72,INDIRECT($C$5&amp;"生成成长"),2))/((VLOOKUP($B194,INDIRECT($B$5&amp;"生成成长"),4))/(VLOOKUP(EA$72,INDIRECT($C$5&amp;"生成成长"),5))*(VLOOKUP($B$5,标准坦克设计!$B$24:$U$30,MATCH("对"&amp;LEFT($C$5,2)&amp;"输出",标准坦克设计!$B$23:$U$23,0)))*(VLOOKUP($B194,INDIRECT($B$5&amp;"生成成长"),3))*(VLOOKUP($B$5,标准坦克设计!$B$14:$K$20,9)/30))</f>
        <v>6.9588670089885625</v>
      </c>
      <c r="EB194" s="173">
        <f ca="1">(VLOOKUP(EB$72,INDIRECT($C$5&amp;"生成成长"),2))/((VLOOKUP($B194,INDIRECT($B$5&amp;"生成成长"),4))/(VLOOKUP(EB$72,INDIRECT($C$5&amp;"生成成长"),5))*(VLOOKUP($B$5,标准坦克设计!$B$24:$U$30,MATCH("对"&amp;LEFT($C$5,2)&amp;"输出",标准坦克设计!$B$23:$U$23,0)))*(VLOOKUP($B194,INDIRECT($B$5&amp;"生成成长"),3))*(VLOOKUP($B$5,标准坦克设计!$B$14:$K$20,9)/30))</f>
        <v>7.6341057834732009</v>
      </c>
      <c r="EC194" s="173">
        <f ca="1">(VLOOKUP(EC$72,INDIRECT($C$5&amp;"生成成长"),2))/((VLOOKUP($B194,INDIRECT($B$5&amp;"生成成长"),4))/(VLOOKUP(EC$72,INDIRECT($C$5&amp;"生成成长"),5))*(VLOOKUP($B$5,标准坦克设计!$B$24:$U$30,MATCH("对"&amp;LEFT($C$5,2)&amp;"输出",标准坦克设计!$B$23:$U$23,0)))*(VLOOKUP($B194,INDIRECT($B$5&amp;"生成成长"),3))*(VLOOKUP($B$5,标准坦克设计!$B$14:$K$20,9)/30))</f>
        <v>8.3406056123321246</v>
      </c>
      <c r="ED194" s="173">
        <f ca="1">(VLOOKUP(ED$72,INDIRECT($C$5&amp;"生成成长"),2))/((VLOOKUP($B194,INDIRECT($B$5&amp;"生成成长"),4))/(VLOOKUP(ED$72,INDIRECT($C$5&amp;"生成成长"),5))*(VLOOKUP($B$5,标准坦克设计!$B$24:$U$30,MATCH("对"&amp;LEFT($C$5,2)&amp;"输出",标准坦克设计!$B$23:$U$23,0)))*(VLOOKUP($B194,INDIRECT($B$5&amp;"生成成长"),3))*(VLOOKUP($B$5,标准坦克设计!$B$14:$K$20,9)/30))</f>
        <v>9.0783664955653443</v>
      </c>
      <c r="EE194" s="173">
        <f ca="1">(VLOOKUP(EE$72,INDIRECT($C$5&amp;"生成成长"),2))/((VLOOKUP($B194,INDIRECT($B$5&amp;"生成成长"),4))/(VLOOKUP(EE$72,INDIRECT($C$5&amp;"生成成长"),5))*(VLOOKUP($B$5,标准坦克设计!$B$24:$U$30,MATCH("对"&amp;LEFT($C$5,2)&amp;"输出",标准坦克设计!$B$23:$U$23,0)))*(VLOOKUP($B194,INDIRECT($B$5&amp;"生成成长"),3))*(VLOOKUP($B$5,标准坦克设计!$B$14:$K$20,9)/30))</f>
        <v>9.8473884331728474</v>
      </c>
      <c r="EF194" s="173">
        <f ca="1">(VLOOKUP(EF$72,INDIRECT($C$5&amp;"生成成长"),2))/((VLOOKUP($B194,INDIRECT($B$5&amp;"生成成长"),4))/(VLOOKUP(EF$72,INDIRECT($C$5&amp;"生成成长"),5))*(VLOOKUP($B$5,标准坦克设计!$B$24:$U$30,MATCH("对"&amp;LEFT($C$5,2)&amp;"输出",标准坦克设计!$B$23:$U$23,0)))*(VLOOKUP($B194,INDIRECT($B$5&amp;"生成成长"),3))*(VLOOKUP($B$5,标准坦克设计!$B$14:$K$20,9)/30))</f>
        <v>10.647671425154643</v>
      </c>
      <c r="EG194" s="173">
        <f ca="1">(VLOOKUP(EG$72,INDIRECT($C$5&amp;"生成成长"),2))/((VLOOKUP($B194,INDIRECT($B$5&amp;"生成成长"),4))/(VLOOKUP(EG$72,INDIRECT($C$5&amp;"生成成长"),5))*(VLOOKUP($B$5,标准坦克设计!$B$24:$U$30,MATCH("对"&amp;LEFT($C$5,2)&amp;"输出",标准坦克设计!$B$23:$U$23,0)))*(VLOOKUP($B194,INDIRECT($B$5&amp;"生成成长"),3))*(VLOOKUP($B$5,标准坦克设计!$B$14:$K$20,9)/30))</f>
        <v>11.479215471510726</v>
      </c>
      <c r="EH194" s="173">
        <f ca="1">(VLOOKUP(EH$72,INDIRECT($C$5&amp;"生成成长"),2))/((VLOOKUP($B194,INDIRECT($B$5&amp;"生成成长"),4))/(VLOOKUP(EH$72,INDIRECT($C$5&amp;"生成成长"),5))*(VLOOKUP($B$5,标准坦克设计!$B$24:$U$30,MATCH("对"&amp;LEFT($C$5,2)&amp;"输出",标准坦克设计!$B$23:$U$23,0)))*(VLOOKUP($B194,INDIRECT($B$5&amp;"生成成长"),3))*(VLOOKUP($B$5,标准坦克设计!$B$14:$K$20,9)/30))</f>
        <v>12.342020572241095</v>
      </c>
      <c r="EI194" s="173">
        <f ca="1">(VLOOKUP(EI$72,INDIRECT($C$5&amp;"生成成长"),2))/((VLOOKUP($B194,INDIRECT($B$5&amp;"生成成长"),4))/(VLOOKUP(EI$72,INDIRECT($C$5&amp;"生成成长"),5))*(VLOOKUP($B$5,标准坦克设计!$B$24:$U$30,MATCH("对"&amp;LEFT($C$5,2)&amp;"输出",标准坦克设计!$B$23:$U$23,0)))*(VLOOKUP($B194,INDIRECT($B$5&amp;"生成成长"),3))*(VLOOKUP($B$5,标准坦克设计!$B$14:$K$20,9)/30))</f>
        <v>13.236086727345754</v>
      </c>
      <c r="EJ194" s="173">
        <f ca="1">(VLOOKUP(EJ$72,INDIRECT($C$5&amp;"生成成长"),2))/((VLOOKUP($B194,INDIRECT($B$5&amp;"生成成长"),4))/(VLOOKUP(EJ$72,INDIRECT($C$5&amp;"生成成长"),5))*(VLOOKUP($B$5,标准坦克设计!$B$24:$U$30,MATCH("对"&amp;LEFT($C$5,2)&amp;"输出",标准坦克设计!$B$23:$U$23,0)))*(VLOOKUP($B194,INDIRECT($B$5&amp;"生成成长"),3))*(VLOOKUP($B$5,标准坦克设计!$B$14:$K$20,9)/30))</f>
        <v>14.161413936824703</v>
      </c>
      <c r="EK194" s="173">
        <f ca="1">(VLOOKUP(EK$72,INDIRECT($C$5&amp;"生成成长"),2))/((VLOOKUP($B194,INDIRECT($B$5&amp;"生成成长"),4))/(VLOOKUP(EK$72,INDIRECT($C$5&amp;"生成成长"),5))*(VLOOKUP($B$5,标准坦克设计!$B$24:$U$30,MATCH("对"&amp;LEFT($C$5,2)&amp;"输出",标准坦克设计!$B$23:$U$23,0)))*(VLOOKUP($B194,INDIRECT($B$5&amp;"生成成长"),3))*(VLOOKUP($B$5,标准坦克设计!$B$14:$K$20,9)/30))</f>
        <v>15.313071179973504</v>
      </c>
      <c r="EL194" s="173">
        <f ca="1">(VLOOKUP(EL$72,INDIRECT($C$5&amp;"生成成长"),2))/((VLOOKUP($B194,INDIRECT($B$5&amp;"生成成长"),4))/(VLOOKUP(EL$72,INDIRECT($C$5&amp;"生成成长"),5))*(VLOOKUP($B$5,标准坦克设计!$B$24:$U$30,MATCH("对"&amp;LEFT($C$5,2)&amp;"输出",标准坦克设计!$B$23:$U$23,0)))*(VLOOKUP($B194,INDIRECT($B$5&amp;"生成成长"),3))*(VLOOKUP($B$5,标准坦克设计!$B$14:$K$20,9)/30))</f>
        <v>16.509744341421282</v>
      </c>
      <c r="EM194" s="173">
        <f ca="1">(VLOOKUP(EM$72,INDIRECT($C$5&amp;"生成成长"),2))/((VLOOKUP($B194,INDIRECT($B$5&amp;"生成成长"),4))/(VLOOKUP(EM$72,INDIRECT($C$5&amp;"生成成长"),5))*(VLOOKUP($B$5,标准坦克设计!$B$24:$U$30,MATCH("对"&amp;LEFT($C$5,2)&amp;"输出",标准坦克设计!$B$23:$U$23,0)))*(VLOOKUP($B194,INDIRECT($B$5&amp;"生成成长"),3))*(VLOOKUP($B$5,标准坦克设计!$B$14:$K$20,9)/30))</f>
        <v>17.751433421168031</v>
      </c>
      <c r="EN194" s="173">
        <f ca="1">(VLOOKUP(EN$72,INDIRECT($C$5&amp;"生成成长"),2))/((VLOOKUP($B194,INDIRECT($B$5&amp;"生成成长"),4))/(VLOOKUP(EN$72,INDIRECT($C$5&amp;"生成成长"),5))*(VLOOKUP($B$5,标准坦克设计!$B$24:$U$30,MATCH("对"&amp;LEFT($C$5,2)&amp;"输出",标准坦克设计!$B$23:$U$23,0)))*(VLOOKUP($B194,INDIRECT($B$5&amp;"生成成长"),3))*(VLOOKUP($B$5,标准坦克设计!$B$14:$K$20,9)/30))</f>
        <v>19.038138419213759</v>
      </c>
      <c r="EO194" s="173">
        <f ca="1">(VLOOKUP(EO$72,INDIRECT($C$5&amp;"生成成长"),2))/((VLOOKUP($B194,INDIRECT($B$5&amp;"生成成长"),4))/(VLOOKUP(EO$72,INDIRECT($C$5&amp;"生成成长"),5))*(VLOOKUP($B$5,标准坦克设计!$B$24:$U$30,MATCH("对"&amp;LEFT($C$5,2)&amp;"输出",标准坦克设计!$B$23:$U$23,0)))*(VLOOKUP($B194,INDIRECT($B$5&amp;"生成成长"),3))*(VLOOKUP($B$5,标准坦克设计!$B$14:$K$20,9)/30))</f>
        <v>20.369859335558466</v>
      </c>
      <c r="EP194" s="173">
        <f ca="1">(VLOOKUP(EP$72,INDIRECT($C$5&amp;"生成成长"),2))/((VLOOKUP($B194,INDIRECT($B$5&amp;"生成成长"),4))/(VLOOKUP(EP$72,INDIRECT($C$5&amp;"生成成长"),5))*(VLOOKUP($B$5,标准坦克设计!$B$24:$U$30,MATCH("对"&amp;LEFT($C$5,2)&amp;"输出",标准坦克设计!$B$23:$U$23,0)))*(VLOOKUP($B194,INDIRECT($B$5&amp;"生成成长"),3))*(VLOOKUP($B$5,标准坦克设计!$B$14:$K$20,9)/30))</f>
        <v>21.746596170202142</v>
      </c>
      <c r="EQ194" s="173">
        <f ca="1">(VLOOKUP(EQ$72,INDIRECT($C$5&amp;"生成成长"),2))/((VLOOKUP($B194,INDIRECT($B$5&amp;"生成成长"),4))/(VLOOKUP(EQ$72,INDIRECT($C$5&amp;"生成成长"),5))*(VLOOKUP($B$5,标准坦克设计!$B$24:$U$30,MATCH("对"&amp;LEFT($C$5,2)&amp;"输出",标准坦克设计!$B$23:$U$23,0)))*(VLOOKUP($B194,INDIRECT($B$5&amp;"生成成长"),3))*(VLOOKUP($B$5,标准坦克设计!$B$14:$K$20,9)/30))</f>
        <v>9.6133994411812953</v>
      </c>
      <c r="ER194" s="173">
        <f ca="1">(VLOOKUP(ER$72,INDIRECT($C$5&amp;"生成成长"),2))/((VLOOKUP($B194,INDIRECT($B$5&amp;"生成成长"),4))/(VLOOKUP(ER$72,INDIRECT($C$5&amp;"生成成长"),5))*(VLOOKUP($B$5,标准坦克设计!$B$24:$U$30,MATCH("对"&amp;LEFT($C$5,2)&amp;"输出",标准坦克设计!$B$23:$U$23,0)))*(VLOOKUP($B194,INDIRECT($B$5&amp;"生成成长"),3))*(VLOOKUP($B$5,标准坦克设计!$B$14:$K$20,9)/30))</f>
        <v>10.485113942408338</v>
      </c>
      <c r="ES194" s="173">
        <f ca="1">(VLOOKUP(ES$72,INDIRECT($C$5&amp;"生成成长"),2))/((VLOOKUP($B194,INDIRECT($B$5&amp;"生成成长"),4))/(VLOOKUP(ES$72,INDIRECT($C$5&amp;"生成成长"),5))*(VLOOKUP($B$5,标准坦克设计!$B$24:$U$30,MATCH("对"&amp;LEFT($C$5,2)&amp;"输出",标准坦克设计!$B$23:$U$23,0)))*(VLOOKUP($B194,INDIRECT($B$5&amp;"生成成长"),3))*(VLOOKUP($B$5,标准坦克设计!$B$14:$K$20,9)/30))</f>
        <v>11.394654319428273</v>
      </c>
      <c r="ET194" s="173">
        <f ca="1">(VLOOKUP(ET$72,INDIRECT($C$5&amp;"生成成长"),2))/((VLOOKUP($B194,INDIRECT($B$5&amp;"生成成长"),4))/(VLOOKUP(ET$72,INDIRECT($C$5&amp;"生成成长"),5))*(VLOOKUP($B$5,标准坦克设计!$B$24:$U$30,MATCH("对"&amp;LEFT($C$5,2)&amp;"输出",标准坦克设计!$B$23:$U$23,0)))*(VLOOKUP($B194,INDIRECT($B$5&amp;"生成成长"),3))*(VLOOKUP($B$5,标准坦克设计!$B$14:$K$20,9)/30))</f>
        <v>12.342020572241095</v>
      </c>
      <c r="EU194" s="173">
        <f ca="1">(VLOOKUP(EU$72,INDIRECT($C$5&amp;"生成成长"),2))/((VLOOKUP($B194,INDIRECT($B$5&amp;"生成成长"),4))/(VLOOKUP(EU$72,INDIRECT($C$5&amp;"生成成长"),5))*(VLOOKUP($B$5,标准坦克设计!$B$24:$U$30,MATCH("对"&amp;LEFT($C$5,2)&amp;"输出",标准坦克设计!$B$23:$U$23,0)))*(VLOOKUP($B194,INDIRECT($B$5&amp;"生成成长"),3))*(VLOOKUP($B$5,标准坦克设计!$B$14:$K$20,9)/30))</f>
        <v>13.327212700846806</v>
      </c>
      <c r="EV194" s="173">
        <f ca="1">(VLOOKUP(EV$72,INDIRECT($C$5&amp;"生成成长"),2))/((VLOOKUP($B194,INDIRECT($B$5&amp;"生成成长"),4))/(VLOOKUP(EV$72,INDIRECT($C$5&amp;"生成成长"),5))*(VLOOKUP($B$5,标准坦克设计!$B$24:$U$30,MATCH("对"&amp;LEFT($C$5,2)&amp;"输出",标准坦克设计!$B$23:$U$23,0)))*(VLOOKUP($B194,INDIRECT($B$5&amp;"生成成长"),3))*(VLOOKUP($B$5,标准坦克设计!$B$14:$K$20,9)/30))</f>
        <v>14.350230705245412</v>
      </c>
      <c r="EW194" s="173">
        <f ca="1">(VLOOKUP(EW$72,INDIRECT($C$5&amp;"生成成长"),2))/((VLOOKUP($B194,INDIRECT($B$5&amp;"生成成长"),4))/(VLOOKUP(EW$72,INDIRECT($C$5&amp;"生成成长"),5))*(VLOOKUP($B$5,标准坦克设计!$B$24:$U$30,MATCH("对"&amp;LEFT($C$5,2)&amp;"输出",标准坦克设计!$B$23:$U$23,0)))*(VLOOKUP($B194,INDIRECT($B$5&amp;"生成成长"),3))*(VLOOKUP($B$5,标准坦克设计!$B$14:$K$20,9)/30))</f>
        <v>15.411074585436898</v>
      </c>
      <c r="EX194" s="173">
        <f ca="1">(VLOOKUP(EX$72,INDIRECT($C$5&amp;"生成成长"),2))/((VLOOKUP($B194,INDIRECT($B$5&amp;"生成成长"),4))/(VLOOKUP(EX$72,INDIRECT($C$5&amp;"生成成长"),5))*(VLOOKUP($B$5,标准坦克设计!$B$24:$U$30,MATCH("对"&amp;LEFT($C$5,2)&amp;"输出",标准坦克设计!$B$23:$U$23,0)))*(VLOOKUP($B194,INDIRECT($B$5&amp;"生成成长"),3))*(VLOOKUP($B$5,标准坦克设计!$B$14:$K$20,9)/30))</f>
        <v>16.509744341421282</v>
      </c>
      <c r="EY194" s="173">
        <f ca="1">(VLOOKUP(EY$72,INDIRECT($C$5&amp;"生成成长"),2))/((VLOOKUP($B194,INDIRECT($B$5&amp;"生成成长"),4))/(VLOOKUP(EY$72,INDIRECT($C$5&amp;"生成成长"),5))*(VLOOKUP($B$5,标准坦克设计!$B$24:$U$30,MATCH("对"&amp;LEFT($C$5,2)&amp;"输出",标准坦克设计!$B$23:$U$23,0)))*(VLOOKUP($B194,INDIRECT($B$5&amp;"生成成长"),3))*(VLOOKUP($B$5,标准坦克设计!$B$14:$K$20,9)/30))</f>
        <v>17.646239973198551</v>
      </c>
      <c r="EZ194" s="173">
        <f ca="1">(VLOOKUP(EZ$72,INDIRECT($C$5&amp;"生成成长"),2))/((VLOOKUP($B194,INDIRECT($B$5&amp;"生成成长"),4))/(VLOOKUP(EZ$72,INDIRECT($C$5&amp;"生成成长"),5))*(VLOOKUP($B$5,标准坦克设计!$B$24:$U$30,MATCH("对"&amp;LEFT($C$5,2)&amp;"输出",标准坦克设计!$B$23:$U$23,0)))*(VLOOKUP($B194,INDIRECT($B$5&amp;"生成成长"),3))*(VLOOKUP($B$5,标准坦克设计!$B$14:$K$20,9)/30))</f>
        <v>18.820561480768713</v>
      </c>
      <c r="FA194" s="173">
        <f ca="1">(VLOOKUP(FA$72,INDIRECT($C$5&amp;"生成成长"),2))/((VLOOKUP($B194,INDIRECT($B$5&amp;"生成成长"),4))/(VLOOKUP(FA$72,INDIRECT($C$5&amp;"生成成长"),5))*(VLOOKUP($B$5,标准坦克设计!$B$24:$U$30,MATCH("对"&amp;LEFT($C$5,2)&amp;"输出",标准坦克设计!$B$23:$U$23,0)))*(VLOOKUP($B194,INDIRECT($B$5&amp;"生成成长"),3))*(VLOOKUP($B$5,标准坦克设计!$B$14:$K$20,9)/30))</f>
        <v>20.032708864131756</v>
      </c>
      <c r="FB194" s="173">
        <f ca="1">(VLOOKUP(FB$72,INDIRECT($C$5&amp;"生成成长"),2))/((VLOOKUP($B194,INDIRECT($B$5&amp;"生成成长"),4))/(VLOOKUP(FB$72,INDIRECT($C$5&amp;"生成成长"),5))*(VLOOKUP($B$5,标准坦克设计!$B$24:$U$30,MATCH("对"&amp;LEFT($C$5,2)&amp;"输出",标准坦克设计!$B$23:$U$23,0)))*(VLOOKUP($B194,INDIRECT($B$5&amp;"生成成长"),3))*(VLOOKUP($B$5,标准坦克设计!$B$14:$K$20,9)/30))</f>
        <v>21.282682123287696</v>
      </c>
      <c r="FC194" s="173">
        <f ca="1">(VLOOKUP(FC$72,INDIRECT($C$5&amp;"生成成长"),2))/((VLOOKUP($B194,INDIRECT($B$5&amp;"生成成长"),4))/(VLOOKUP(FC$72,INDIRECT($C$5&amp;"生成成长"),5))*(VLOOKUP($B$5,标准坦克设计!$B$24:$U$30,MATCH("对"&amp;LEFT($C$5,2)&amp;"输出",标准坦克设计!$B$23:$U$23,0)))*(VLOOKUP($B194,INDIRECT($B$5&amp;"生成成长"),3))*(VLOOKUP($B$5,标准坦克设计!$B$14:$K$20,9)/30))</f>
        <v>22.570481258236526</v>
      </c>
      <c r="FD194" s="173">
        <f ca="1">(VLOOKUP(FD$72,INDIRECT($C$5&amp;"生成成长"),2))/((VLOOKUP($B194,INDIRECT($B$5&amp;"生成成长"),4))/(VLOOKUP(FD$72,INDIRECT($C$5&amp;"生成成长"),5))*(VLOOKUP($B$5,标准坦克设计!$B$24:$U$30,MATCH("对"&amp;LEFT($C$5,2)&amp;"输出",标准坦克设计!$B$23:$U$23,0)))*(VLOOKUP($B194,INDIRECT($B$5&amp;"生成成长"),3))*(VLOOKUP($B$5,标准坦克设计!$B$14:$K$20,9)/30))</f>
        <v>23.896106268978244</v>
      </c>
      <c r="FE194" s="173">
        <f ca="1">(VLOOKUP(FE$72,INDIRECT($C$5&amp;"生成成长"),2))/((VLOOKUP($B194,INDIRECT($B$5&amp;"生成成长"),4))/(VLOOKUP(FE$72,INDIRECT($C$5&amp;"生成成长"),5))*(VLOOKUP($B$5,标准坦克设计!$B$24:$U$30,MATCH("对"&amp;LEFT($C$5,2)&amp;"输出",标准坦克设计!$B$23:$U$23,0)))*(VLOOKUP($B194,INDIRECT($B$5&amp;"生成成长"),3))*(VLOOKUP($B$5,标准坦克设计!$B$14:$K$20,9)/30))</f>
        <v>25.511521253769615</v>
      </c>
      <c r="FF194" s="173">
        <f ca="1">(VLOOKUP(FF$72,INDIRECT($C$5&amp;"生成成长"),2))/((VLOOKUP($B194,INDIRECT($B$5&amp;"生成成长"),4))/(VLOOKUP(FF$72,INDIRECT($C$5&amp;"生成成长"),5))*(VLOOKUP($B$5,标准坦克设计!$B$24:$U$30,MATCH("对"&amp;LEFT($C$5,2)&amp;"输出",标准坦克设计!$B$23:$U$23,0)))*(VLOOKUP($B194,INDIRECT($B$5&amp;"生成成长"),3))*(VLOOKUP($B$5,标准坦克设计!$B$14:$K$20,9)/30))</f>
        <v>27.17976742045354</v>
      </c>
      <c r="FG194" s="173">
        <f ca="1">(VLOOKUP(FG$72,INDIRECT($C$5&amp;"生成成长"),2))/((VLOOKUP($B194,INDIRECT($B$5&amp;"生成成长"),4))/(VLOOKUP(FG$72,INDIRECT($C$5&amp;"生成成长"),5))*(VLOOKUP($B$5,标准坦克设计!$B$24:$U$30,MATCH("对"&amp;LEFT($C$5,2)&amp;"输出",标准坦克设计!$B$23:$U$23,0)))*(VLOOKUP($B194,INDIRECT($B$5&amp;"生成成长"),3))*(VLOOKUP($B$5,标准坦克设计!$B$14:$K$20,9)/30))</f>
        <v>28.900844769030012</v>
      </c>
      <c r="FH194" s="173">
        <f ca="1">(VLOOKUP(FH$72,INDIRECT($C$5&amp;"生成成长"),2))/((VLOOKUP($B194,INDIRECT($B$5&amp;"生成成长"),4))/(VLOOKUP(FH$72,INDIRECT($C$5&amp;"生成成长"),5))*(VLOOKUP($B$5,标准坦克设计!$B$24:$U$30,MATCH("对"&amp;LEFT($C$5,2)&amp;"输出",标准坦克设计!$B$23:$U$23,0)))*(VLOOKUP($B194,INDIRECT($B$5&amp;"生成成长"),3))*(VLOOKUP($B$5,标准坦克设计!$B$14:$K$20,9)/30))</f>
        <v>30.674753299499031</v>
      </c>
      <c r="FI194" s="173">
        <f ca="1">(VLOOKUP(FI$72,INDIRECT($C$5&amp;"生成成长"),2))/((VLOOKUP($B194,INDIRECT($B$5&amp;"生成成长"),4))/(VLOOKUP(FI$72,INDIRECT($C$5&amp;"生成成长"),5))*(VLOOKUP($B$5,标准坦克设计!$B$24:$U$30,MATCH("对"&amp;LEFT($C$5,2)&amp;"输出",标准坦克设计!$B$23:$U$23,0)))*(VLOOKUP($B194,INDIRECT($B$5&amp;"生成成长"),3))*(VLOOKUP($B$5,标准坦克设计!$B$14:$K$20,9)/30))</f>
        <v>32.501493011860589</v>
      </c>
      <c r="FJ194" s="173">
        <f ca="1">(VLOOKUP(FJ$72,INDIRECT($C$5&amp;"生成成长"),2))/((VLOOKUP($B194,INDIRECT($B$5&amp;"生成成长"),4))/(VLOOKUP(FJ$72,INDIRECT($C$5&amp;"生成成长"),5))*(VLOOKUP($B$5,标准坦克设计!$B$24:$U$30,MATCH("对"&amp;LEFT($C$5,2)&amp;"输出",标准坦克设计!$B$23:$U$23,0)))*(VLOOKUP($B194,INDIRECT($B$5&amp;"生成成长"),3))*(VLOOKUP($B$5,标准坦克设计!$B$14:$K$20,9)/30))</f>
        <v>34.381063906114711</v>
      </c>
      <c r="FK194" s="173">
        <f ca="1">(VLOOKUP(FK$72,INDIRECT($C$5&amp;"生成成长"),2))/((VLOOKUP($B194,INDIRECT($B$5&amp;"生成成长"),4))/(VLOOKUP(FK$72,INDIRECT($C$5&amp;"生成成长"),5))*(VLOOKUP($B$5,标准坦克设计!$B$24:$U$30,MATCH("对"&amp;LEFT($C$5,2)&amp;"输出",标准坦克设计!$B$23:$U$23,0)))*(VLOOKUP($B194,INDIRECT($B$5&amp;"生成成长"),3))*(VLOOKUP($B$5,标准坦克设计!$B$14:$K$20,9)/30))</f>
        <v>36.313465982261377</v>
      </c>
    </row>
    <row r="195" spans="1:167" x14ac:dyDescent="0.15">
      <c r="A195" s="171" t="str">
        <f t="shared" si="12"/>
        <v>T3高品质12级</v>
      </c>
      <c r="B195" s="172">
        <v>30312</v>
      </c>
      <c r="C195" s="173">
        <f ca="1">(VLOOKUP(C$72,INDIRECT($C$5&amp;"生成成长"),2))/((VLOOKUP($B195,INDIRECT($B$5&amp;"生成成长"),4))/(VLOOKUP(C$72,INDIRECT($C$5&amp;"生成成长"),5))*(VLOOKUP($B$5,标准坦克设计!$B$24:$U$30,MATCH("对"&amp;LEFT($C$5,2)&amp;"输出",标准坦克设计!$B$23:$U$23,0)))*(VLOOKUP($B195,INDIRECT($B$5&amp;"生成成长"),3))*(VLOOKUP($B$5,标准坦克设计!$B$14:$K$20,9)/30))</f>
        <v>1.4278917989487998</v>
      </c>
      <c r="D195" s="173">
        <f ca="1">(VLOOKUP(D$72,INDIRECT($C$5&amp;"生成成长"),2))/((VLOOKUP($B195,INDIRECT($B$5&amp;"生成成长"),4))/(VLOOKUP(D$72,INDIRECT($C$5&amp;"生成成长"),5))*(VLOOKUP($B$5,标准坦克设计!$B$24:$U$30,MATCH("对"&amp;LEFT($C$5,2)&amp;"输出",标准坦克设计!$B$23:$U$23,0)))*(VLOOKUP($B195,INDIRECT($B$5&amp;"生成成长"),3))*(VLOOKUP($B$5,标准坦克设计!$B$14:$K$20,9)/30))</f>
        <v>1.6043792252988711</v>
      </c>
      <c r="E195" s="173">
        <f ca="1">(VLOOKUP(E$72,INDIRECT($C$5&amp;"生成成长"),2))/((VLOOKUP($B195,INDIRECT($B$5&amp;"生成成长"),4))/(VLOOKUP(E$72,INDIRECT($C$5&amp;"生成成长"),5))*(VLOOKUP($B$5,标准坦克设计!$B$24:$U$30,MATCH("对"&amp;LEFT($C$5,2)&amp;"输出",标准坦克设计!$B$23:$U$23,0)))*(VLOOKUP($B195,INDIRECT($B$5&amp;"生成成长"),3))*(VLOOKUP($B$5,标准坦克设计!$B$14:$K$20,9)/30))</f>
        <v>1.7911474726013743</v>
      </c>
      <c r="F195" s="173">
        <f ca="1">(VLOOKUP(F$72,INDIRECT($C$5&amp;"生成成长"),2))/((VLOOKUP($B195,INDIRECT($B$5&amp;"生成成长"),4))/(VLOOKUP(F$72,INDIRECT($C$5&amp;"生成成长"),5))*(VLOOKUP($B$5,标准坦克设计!$B$24:$U$30,MATCH("对"&amp;LEFT($C$5,2)&amp;"输出",标准坦克设计!$B$23:$U$23,0)))*(VLOOKUP($B195,INDIRECT($B$5&amp;"生成成长"),3))*(VLOOKUP($B$5,标准坦克设计!$B$14:$K$20,9)/30))</f>
        <v>1.9881965408563085</v>
      </c>
      <c r="G195" s="173">
        <f ca="1">(VLOOKUP(G$72,INDIRECT($C$5&amp;"生成成长"),2))/((VLOOKUP($B195,INDIRECT($B$5&amp;"生成成长"),4))/(VLOOKUP(G$72,INDIRECT($C$5&amp;"生成成长"),5))*(VLOOKUP($B$5,标准坦克设计!$B$24:$U$30,MATCH("对"&amp;LEFT($C$5,2)&amp;"输出",标准坦克设计!$B$23:$U$23,0)))*(VLOOKUP($B195,INDIRECT($B$5&amp;"生成成长"),3))*(VLOOKUP($B$5,标准坦克设计!$B$14:$K$20,9)/30))</f>
        <v>2.1955264300636741</v>
      </c>
      <c r="H195" s="173">
        <f ca="1">(VLOOKUP(H$72,INDIRECT($C$5&amp;"生成成长"),2))/((VLOOKUP($B195,INDIRECT($B$5&amp;"生成成长"),4))/(VLOOKUP(H$72,INDIRECT($C$5&amp;"生成成长"),5))*(VLOOKUP($B$5,标准坦克设计!$B$24:$U$30,MATCH("对"&amp;LEFT($C$5,2)&amp;"输出",标准坦克设计!$B$23:$U$23,0)))*(VLOOKUP($B195,INDIRECT($B$5&amp;"生成成长"),3))*(VLOOKUP($B$5,标准坦克设计!$B$14:$K$20,9)/30))</f>
        <v>1.9213712046655047</v>
      </c>
      <c r="I195" s="173">
        <f ca="1">(VLOOKUP(I$72,INDIRECT($C$5&amp;"生成成长"),2))/((VLOOKUP($B195,INDIRECT($B$5&amp;"生成成长"),4))/(VLOOKUP(I$72,INDIRECT($C$5&amp;"生成成长"),5))*(VLOOKUP($B$5,标准坦克设计!$B$24:$U$30,MATCH("对"&amp;LEFT($C$5,2)&amp;"输出",标准坦克设计!$B$23:$U$23,0)))*(VLOOKUP($B195,INDIRECT($B$5&amp;"生成成长"),3))*(VLOOKUP($B$5,标准坦克设计!$B$14:$K$20,9)/30))</f>
        <v>2.1955264300636741</v>
      </c>
      <c r="J195" s="173">
        <f ca="1">(VLOOKUP(J$72,INDIRECT($C$5&amp;"生成成长"),2))/((VLOOKUP($B195,INDIRECT($B$5&amp;"生成成长"),4))/(VLOOKUP(J$72,INDIRECT($C$5&amp;"生成成长"),5))*(VLOOKUP($B$5,标准坦克设计!$B$24:$U$30,MATCH("对"&amp;LEFT($C$5,2)&amp;"输出",标准坦克设计!$B$23:$U$23,0)))*(VLOOKUP($B195,INDIRECT($B$5&amp;"生成成长"),3))*(VLOOKUP($B$5,标准坦克设计!$B$14:$K$20,9)/30))</f>
        <v>2.4879586704883887</v>
      </c>
      <c r="K195" s="173">
        <f ca="1">(VLOOKUP(K$72,INDIRECT($C$5&amp;"生成成长"),2))/((VLOOKUP($B195,INDIRECT($B$5&amp;"生成成长"),4))/(VLOOKUP(K$72,INDIRECT($C$5&amp;"生成成长"),5))*(VLOOKUP($B$5,标准坦克设计!$B$24:$U$30,MATCH("对"&amp;LEFT($C$5,2)&amp;"输出",标准坦克设计!$B$23:$U$23,0)))*(VLOOKUP($B195,INDIRECT($B$5&amp;"生成成长"),3))*(VLOOKUP($B$5,标准坦克设计!$B$14:$K$20,9)/30))</f>
        <v>2.7986679259396472</v>
      </c>
      <c r="L195" s="173">
        <f ca="1">(VLOOKUP(L$72,INDIRECT($C$5&amp;"生成成长"),2))/((VLOOKUP($B195,INDIRECT($B$5&amp;"生成成长"),4))/(VLOOKUP(L$72,INDIRECT($C$5&amp;"生成成长"),5))*(VLOOKUP($B$5,标准坦克设计!$B$24:$U$30,MATCH("对"&amp;LEFT($C$5,2)&amp;"输出",标准坦克设计!$B$23:$U$23,0)))*(VLOOKUP($B195,INDIRECT($B$5&amp;"生成成长"),3))*(VLOOKUP($B$5,标准坦克设计!$B$14:$K$20,9)/30))</f>
        <v>3.1276541964174509</v>
      </c>
      <c r="M195" s="173">
        <f ca="1">(VLOOKUP(M$72,INDIRECT($C$5&amp;"生成成长"),2))/((VLOOKUP($B195,INDIRECT($B$5&amp;"生成成长"),4))/(VLOOKUP(M$72,INDIRECT($C$5&amp;"生成成长"),5))*(VLOOKUP($B$5,标准坦克设计!$B$24:$U$30,MATCH("对"&amp;LEFT($C$5,2)&amp;"输出",标准坦克设计!$B$23:$U$23,0)))*(VLOOKUP($B195,INDIRECT($B$5&amp;"生成成长"),3))*(VLOOKUP($B$5,标准坦克设计!$B$14:$K$20,9)/30))</f>
        <v>3.4749174819217985</v>
      </c>
      <c r="N195" s="173">
        <f ca="1">(VLOOKUP(N$72,INDIRECT($C$5&amp;"生成成长"),2))/((VLOOKUP($B195,INDIRECT($B$5&amp;"生成成长"),4))/(VLOOKUP(N$72,INDIRECT($C$5&amp;"生成成长"),5))*(VLOOKUP($B$5,标准坦克设计!$B$24:$U$30,MATCH("对"&amp;LEFT($C$5,2)&amp;"输出",标准坦克设计!$B$23:$U$23,0)))*(VLOOKUP($B195,INDIRECT($B$5&amp;"生成成长"),3))*(VLOOKUP($B$5,标准坦克设计!$B$14:$K$20,9)/30))</f>
        <v>3.8404577824526913</v>
      </c>
      <c r="O195" s="173">
        <f ca="1">(VLOOKUP(O$72,INDIRECT($C$5&amp;"生成成长"),2))/((VLOOKUP($B195,INDIRECT($B$5&amp;"生成成长"),4))/(VLOOKUP(O$72,INDIRECT($C$5&amp;"生成成长"),5))*(VLOOKUP($B$5,标准坦克设计!$B$24:$U$30,MATCH("对"&amp;LEFT($C$5,2)&amp;"输出",标准坦克设计!$B$23:$U$23,0)))*(VLOOKUP($B195,INDIRECT($B$5&amp;"生成成长"),3))*(VLOOKUP($B$5,标准坦克设计!$B$14:$K$20,9)/30))</f>
        <v>2.919895939670401</v>
      </c>
      <c r="P195" s="173">
        <f ca="1">(VLOOKUP(P$72,INDIRECT($C$5&amp;"生成成长"),2))/((VLOOKUP($B195,INDIRECT($B$5&amp;"生成成长"),4))/(VLOOKUP(P$72,INDIRECT($C$5&amp;"生成成长"),5))*(VLOOKUP($B$5,标准坦克设计!$B$24:$U$30,MATCH("对"&amp;LEFT($C$5,2)&amp;"输出",标准坦克设计!$B$23:$U$23,0)))*(VLOOKUP($B195,INDIRECT($B$5&amp;"生成成长"),3))*(VLOOKUP($B$5,标准坦克设计!$B$14:$K$20,9)/30))</f>
        <v>3.2990012122913064</v>
      </c>
      <c r="Q195" s="173">
        <f ca="1">(VLOOKUP(Q$72,INDIRECT($C$5&amp;"生成成长"),2))/((VLOOKUP($B195,INDIRECT($B$5&amp;"生成成长"),4))/(VLOOKUP(Q$72,INDIRECT($C$5&amp;"生成成长"),5))*(VLOOKUP($B$5,标准坦克设计!$B$24:$U$30,MATCH("对"&amp;LEFT($C$5,2)&amp;"输出",标准坦克设计!$B$23:$U$23,0)))*(VLOOKUP($B195,INDIRECT($B$5&amp;"生成成长"),3))*(VLOOKUP($B$5,标准坦克设计!$B$14:$K$20,9)/30))</f>
        <v>3.7012383320551829</v>
      </c>
      <c r="R195" s="173">
        <f ca="1">(VLOOKUP(R$72,INDIRECT($C$5&amp;"生成成长"),2))/((VLOOKUP($B195,INDIRECT($B$5&amp;"生成成长"),4))/(VLOOKUP(R$72,INDIRECT($C$5&amp;"生成成长"),5))*(VLOOKUP($B$5,标准坦克设计!$B$24:$U$30,MATCH("对"&amp;LEFT($C$5,2)&amp;"输出",标准坦克设计!$B$23:$U$23,0)))*(VLOOKUP($B195,INDIRECT($B$5&amp;"生成成长"),3))*(VLOOKUP($B$5,标准坦克设计!$B$14:$K$20,9)/30))</f>
        <v>4.126607298962031</v>
      </c>
      <c r="S195" s="173">
        <f ca="1">(VLOOKUP(S$72,INDIRECT($C$5&amp;"生成成长"),2))/((VLOOKUP($B195,INDIRECT($B$5&amp;"生成成长"),4))/(VLOOKUP(S$72,INDIRECT($C$5&amp;"生成成长"),5))*(VLOOKUP($B$5,标准坦克设计!$B$24:$U$30,MATCH("对"&amp;LEFT($C$5,2)&amp;"输出",标准坦克设计!$B$23:$U$23,0)))*(VLOOKUP($B195,INDIRECT($B$5&amp;"生成成长"),3))*(VLOOKUP($B$5,标准坦克设计!$B$14:$K$20,9)/30))</f>
        <v>4.5751081130118489</v>
      </c>
      <c r="T195" s="173">
        <f ca="1">(VLOOKUP(T$72,INDIRECT($C$5&amp;"生成成长"),2))/((VLOOKUP($B195,INDIRECT($B$5&amp;"生成成长"),4))/(VLOOKUP(T$72,INDIRECT($C$5&amp;"生成成长"),5))*(VLOOKUP($B$5,标准坦克设计!$B$24:$U$30,MATCH("对"&amp;LEFT($C$5,2)&amp;"输出",标准坦克设计!$B$23:$U$23,0)))*(VLOOKUP($B195,INDIRECT($B$5&amp;"生成成长"),3))*(VLOOKUP($B$5,标准坦克设计!$B$14:$K$20,9)/30))</f>
        <v>5.0467407742046371</v>
      </c>
      <c r="U195" s="173">
        <f ca="1">(VLOOKUP(U$72,INDIRECT($C$5&amp;"生成成长"),2))/((VLOOKUP($B195,INDIRECT($B$5&amp;"生成成长"),4))/(VLOOKUP(U$72,INDIRECT($C$5&amp;"生成成长"),5))*(VLOOKUP($B$5,标准坦克设计!$B$24:$U$30,MATCH("对"&amp;LEFT($C$5,2)&amp;"输出",标准坦克设计!$B$23:$U$23,0)))*(VLOOKUP($B195,INDIRECT($B$5&amp;"生成成长"),3))*(VLOOKUP($B$5,标准坦克设计!$B$14:$K$20,9)/30))</f>
        <v>5.5415052825403963</v>
      </c>
      <c r="V195" s="173">
        <f ca="1">(VLOOKUP(V$72,INDIRECT($C$5&amp;"生成成长"),2))/((VLOOKUP($B195,INDIRECT($B$5&amp;"生成成长"),4))/(VLOOKUP(V$72,INDIRECT($C$5&amp;"生成成长"),5))*(VLOOKUP($B$5,标准坦克设计!$B$24:$U$30,MATCH("对"&amp;LEFT($C$5,2)&amp;"输出",标准坦克设计!$B$23:$U$23,0)))*(VLOOKUP($B195,INDIRECT($B$5&amp;"生成成长"),3))*(VLOOKUP($B$5,标准坦克设计!$B$14:$K$20,9)/30))</f>
        <v>6.0594016380191276</v>
      </c>
      <c r="W195" s="173">
        <f ca="1">(VLOOKUP(W$72,INDIRECT($C$5&amp;"生成成长"),2))/((VLOOKUP($B195,INDIRECT($B$5&amp;"生成成长"),4))/(VLOOKUP(W$72,INDIRECT($C$5&amp;"生成成长"),5))*(VLOOKUP($B$5,标准坦克设计!$B$24:$U$30,MATCH("对"&amp;LEFT($C$5,2)&amp;"输出",标准坦克设计!$B$23:$U$23,0)))*(VLOOKUP($B195,INDIRECT($B$5&amp;"生成成长"),3))*(VLOOKUP($B$5,标准坦克设计!$B$14:$K$20,9)/30))</f>
        <v>6.6004298406408273</v>
      </c>
      <c r="X195" s="173">
        <f ca="1">(VLOOKUP(X$72,INDIRECT($C$5&amp;"生成成长"),2))/((VLOOKUP($B195,INDIRECT($B$5&amp;"生成成长"),4))/(VLOOKUP(X$72,INDIRECT($C$5&amp;"生成成长"),5))*(VLOOKUP($B$5,标准坦克设计!$B$24:$U$30,MATCH("对"&amp;LEFT($C$5,2)&amp;"输出",标准坦克设计!$B$23:$U$23,0)))*(VLOOKUP($B195,INDIRECT($B$5&amp;"生成成长"),3))*(VLOOKUP($B$5,标准坦克设计!$B$14:$K$20,9)/30))</f>
        <v>4.7818668454996347</v>
      </c>
      <c r="Y195" s="173">
        <f ca="1">(VLOOKUP(Y$72,INDIRECT($C$5&amp;"生成成长"),2))/((VLOOKUP($B195,INDIRECT($B$5&amp;"生成成长"),4))/(VLOOKUP(Y$72,INDIRECT($C$5&amp;"生成成长"),5))*(VLOOKUP($B$5,标准坦克设计!$B$24:$U$30,MATCH("对"&amp;LEFT($C$5,2)&amp;"输出",标准坦克设计!$B$23:$U$23,0)))*(VLOOKUP($B195,INDIRECT($B$5&amp;"生成成长"),3))*(VLOOKUP($B$5,标准坦克设计!$B$14:$K$20,9)/30))</f>
        <v>5.3187541619043843</v>
      </c>
      <c r="Z195" s="173">
        <f ca="1">(VLOOKUP(Z$72,INDIRECT($C$5&amp;"生成成长"),2))/((VLOOKUP($B195,INDIRECT($B$5&amp;"生成成长"),4))/(VLOOKUP(Z$72,INDIRECT($C$5&amp;"生成成长"),5))*(VLOOKUP($B$5,标准坦克设计!$B$24:$U$30,MATCH("对"&amp;LEFT($C$5,2)&amp;"输出",标准坦克设计!$B$23:$U$23,0)))*(VLOOKUP($B195,INDIRECT($B$5&amp;"生成成长"),3))*(VLOOKUP($B$5,标准坦克设计!$B$14:$K$20,9)/30))</f>
        <v>5.8841993142881082</v>
      </c>
      <c r="AA195" s="173">
        <f ca="1">(VLOOKUP(AA$72,INDIRECT($C$5&amp;"生成成长"),2))/((VLOOKUP($B195,INDIRECT($B$5&amp;"生成成长"),4))/(VLOOKUP(AA$72,INDIRECT($C$5&amp;"生成成长"),5))*(VLOOKUP($B$5,标准坦克设计!$B$24:$U$30,MATCH("对"&amp;LEFT($C$5,2)&amp;"输出",标准坦克设计!$B$23:$U$23,0)))*(VLOOKUP($B195,INDIRECT($B$5&amp;"生成成长"),3))*(VLOOKUP($B$5,标准坦克设计!$B$14:$K$20,9)/30))</f>
        <v>6.4782023026508098</v>
      </c>
      <c r="AB195" s="173">
        <f ca="1">(VLOOKUP(AB$72,INDIRECT($C$5&amp;"生成成长"),2))/((VLOOKUP($B195,INDIRECT($B$5&amp;"生成成长"),4))/(VLOOKUP(AB$72,INDIRECT($C$5&amp;"生成成长"),5))*(VLOOKUP($B$5,标准坦克设计!$B$24:$U$30,MATCH("对"&amp;LEFT($C$5,2)&amp;"输出",标准坦克设计!$B$23:$U$23,0)))*(VLOOKUP($B195,INDIRECT($B$5&amp;"生成成长"),3))*(VLOOKUP($B$5,标准坦克设计!$B$14:$K$20,9)/30))</f>
        <v>7.1007631269924874</v>
      </c>
      <c r="AC195" s="173">
        <f ca="1">(VLOOKUP(AC$72,INDIRECT($C$5&amp;"生成成长"),2))/((VLOOKUP($B195,INDIRECT($B$5&amp;"生成成长"),4))/(VLOOKUP(AC$72,INDIRECT($C$5&amp;"生成成长"),5))*(VLOOKUP($B$5,标准坦克设计!$B$24:$U$30,MATCH("对"&amp;LEFT($C$5,2)&amp;"输出",标准坦克设计!$B$23:$U$23,0)))*(VLOOKUP($B195,INDIRECT($B$5&amp;"生成成长"),3))*(VLOOKUP($B$5,标准坦克设计!$B$14:$K$20,9)/30))</f>
        <v>7.7518817873131383</v>
      </c>
      <c r="AD195" s="173">
        <f ca="1">(VLOOKUP(AD$72,INDIRECT($C$5&amp;"生成成长"),2))/((VLOOKUP($B195,INDIRECT($B$5&amp;"生成成长"),4))/(VLOOKUP(AD$72,INDIRECT($C$5&amp;"生成成长"),5))*(VLOOKUP($B$5,标准坦克设计!$B$24:$U$30,MATCH("对"&amp;LEFT($C$5,2)&amp;"输出",标准坦克设计!$B$23:$U$23,0)))*(VLOOKUP($B195,INDIRECT($B$5&amp;"生成成长"),3))*(VLOOKUP($B$5,标准坦克设计!$B$14:$K$20,9)/30))</f>
        <v>8.4315582836127696</v>
      </c>
      <c r="AE195" s="173">
        <f ca="1">(VLOOKUP(AE$72,INDIRECT($C$5&amp;"生成成长"),2))/((VLOOKUP($B195,INDIRECT($B$5&amp;"生成成长"),4))/(VLOOKUP(AE$72,INDIRECT($C$5&amp;"生成成长"),5))*(VLOOKUP($B$5,标准坦克设计!$B$24:$U$30,MATCH("对"&amp;LEFT($C$5,2)&amp;"输出",标准坦克设计!$B$23:$U$23,0)))*(VLOOKUP($B195,INDIRECT($B$5&amp;"生成成长"),3))*(VLOOKUP($B$5,标准坦克设计!$B$14:$K$20,9)/30))</f>
        <v>9.1397926158913716</v>
      </c>
      <c r="AF195" s="173">
        <f ca="1">(VLOOKUP(AF$72,INDIRECT($C$5&amp;"生成成长"),2))/((VLOOKUP($B195,INDIRECT($B$5&amp;"生成成长"),4))/(VLOOKUP(AF$72,INDIRECT($C$5&amp;"生成成长"),5))*(VLOOKUP($B$5,标准坦克设计!$B$24:$U$30,MATCH("对"&amp;LEFT($C$5,2)&amp;"输出",标准坦克设计!$B$23:$U$23,0)))*(VLOOKUP($B195,INDIRECT($B$5&amp;"生成成长"),3))*(VLOOKUP($B$5,标准坦克设计!$B$14:$K$20,9)/30))</f>
        <v>9.8765847841489531</v>
      </c>
      <c r="AG195" s="173">
        <f ca="1">(VLOOKUP(AG$72,INDIRECT($C$5&amp;"生成成长"),2))/((VLOOKUP($B195,INDIRECT($B$5&amp;"生成成长"),4))/(VLOOKUP(AG$72,INDIRECT($C$5&amp;"生成成长"),5))*(VLOOKUP($B$5,标准坦克设计!$B$24:$U$30,MATCH("对"&amp;LEFT($C$5,2)&amp;"输出",标准坦克设计!$B$23:$U$23,0)))*(VLOOKUP($B195,INDIRECT($B$5&amp;"生成成长"),3))*(VLOOKUP($B$5,标准坦克设计!$B$14:$K$20,9)/30))</f>
        <v>10.641934788385507</v>
      </c>
      <c r="AH195" s="173">
        <f ca="1">(VLOOKUP(AH$72,INDIRECT($C$5&amp;"生成成长"),2))/((VLOOKUP($B195,INDIRECT($B$5&amp;"生成成长"),4))/(VLOOKUP(AH$72,INDIRECT($C$5&amp;"生成成长"),5))*(VLOOKUP($B$5,标准坦克设计!$B$24:$U$30,MATCH("对"&amp;LEFT($C$5,2)&amp;"输出",标准坦克设计!$B$23:$U$23,0)))*(VLOOKUP($B195,INDIRECT($B$5&amp;"生成成长"),3))*(VLOOKUP($B$5,标准坦克设计!$B$14:$K$20,9)/30))</f>
        <v>11.435842628601041</v>
      </c>
      <c r="AI195" s="173">
        <f ca="1">(VLOOKUP(AI$72,INDIRECT($C$5&amp;"生成成长"),2))/((VLOOKUP($B195,INDIRECT($B$5&amp;"生成成长"),4))/(VLOOKUP(AI$72,INDIRECT($C$5&amp;"生成成长"),5))*(VLOOKUP($B$5,标准坦克设计!$B$24:$U$30,MATCH("对"&amp;LEFT($C$5,2)&amp;"输出",标准坦克设计!$B$23:$U$23,0)))*(VLOOKUP($B195,INDIRECT($B$5&amp;"生成成长"),3))*(VLOOKUP($B$5,标准坦克设计!$B$14:$K$20,9)/30))</f>
        <v>8.0881503059655806</v>
      </c>
      <c r="AJ195" s="173">
        <f ca="1">(VLOOKUP(AJ$72,INDIRECT($C$5&amp;"生成成长"),2))/((VLOOKUP($B195,INDIRECT($B$5&amp;"生成成长"),4))/(VLOOKUP(AJ$72,INDIRECT($C$5&amp;"生成成长"),5))*(VLOOKUP($B$5,标准坦克设计!$B$24:$U$30,MATCH("对"&amp;LEFT($C$5,2)&amp;"输出",标准坦克设计!$B$23:$U$23,0)))*(VLOOKUP($B195,INDIRECT($B$5&amp;"生成成长"),3))*(VLOOKUP($B$5,标准坦克设计!$B$14:$K$20,9)/30))</f>
        <v>8.8530719426624529</v>
      </c>
      <c r="AK195" s="173">
        <f ca="1">(VLOOKUP(AK$72,INDIRECT($C$5&amp;"生成成长"),2))/((VLOOKUP($B195,INDIRECT($B$5&amp;"生成成长"),4))/(VLOOKUP(AK$72,INDIRECT($C$5&amp;"生成成长"),5))*(VLOOKUP($B$5,标准坦克设计!$B$24:$U$30,MATCH("对"&amp;LEFT($C$5,2)&amp;"输出",标准坦克设计!$B$23:$U$23,0)))*(VLOOKUP($B195,INDIRECT($B$5&amp;"生成成长"),3))*(VLOOKUP($B$5,标准坦克设计!$B$14:$K$20,9)/30))</f>
        <v>9.6525485608938855</v>
      </c>
      <c r="AL195" s="173">
        <f ca="1">(VLOOKUP(AL$72,INDIRECT($C$5&amp;"生成成长"),2))/((VLOOKUP($B195,INDIRECT($B$5&amp;"生成成长"),4))/(VLOOKUP(AL$72,INDIRECT($C$5&amp;"生成成长"),5))*(VLOOKUP($B$5,标准坦克设计!$B$24:$U$30,MATCH("对"&amp;LEFT($C$5,2)&amp;"输出",标准坦克设计!$B$23:$U$23,0)))*(VLOOKUP($B195,INDIRECT($B$5&amp;"生成成长"),3))*(VLOOKUP($B$5,标准坦克设计!$B$14:$K$20,9)/30))</f>
        <v>10.48658016065988</v>
      </c>
      <c r="AM195" s="173">
        <f ca="1">(VLOOKUP(AM$72,INDIRECT($C$5&amp;"生成成长"),2))/((VLOOKUP($B195,INDIRECT($B$5&amp;"生成成长"),4))/(VLOOKUP(AM$72,INDIRECT($C$5&amp;"生成成长"),5))*(VLOOKUP($B$5,标准坦克设计!$B$24:$U$30,MATCH("对"&amp;LEFT($C$5,2)&amp;"输出",标准坦克设计!$B$23:$U$23,0)))*(VLOOKUP($B195,INDIRECT($B$5&amp;"生成成长"),3))*(VLOOKUP($B$5,标准坦克设计!$B$14:$K$20,9)/30))</f>
        <v>11.355166741960435</v>
      </c>
      <c r="AN195" s="173">
        <f ca="1">(VLOOKUP(AN$72,INDIRECT($C$5&amp;"生成成长"),2))/((VLOOKUP($B195,INDIRECT($B$5&amp;"生成成长"),4))/(VLOOKUP(AN$72,INDIRECT($C$5&amp;"生成成长"),5))*(VLOOKUP($B$5,标准坦克设计!$B$24:$U$30,MATCH("对"&amp;LEFT($C$5,2)&amp;"输出",标准坦克设计!$B$23:$U$23,0)))*(VLOOKUP($B195,INDIRECT($B$5&amp;"生成成长"),3))*(VLOOKUP($B$5,标准坦克设计!$B$14:$K$20,9)/30))</f>
        <v>12.25830830479555</v>
      </c>
      <c r="AO195" s="173">
        <f ca="1">(VLOOKUP(AO$72,INDIRECT($C$5&amp;"生成成长"),2))/((VLOOKUP($B195,INDIRECT($B$5&amp;"生成成长"),4))/(VLOOKUP(AO$72,INDIRECT($C$5&amp;"生成成长"),5))*(VLOOKUP($B$5,标准坦克设计!$B$24:$U$30,MATCH("对"&amp;LEFT($C$5,2)&amp;"输出",标准坦克设计!$B$23:$U$23,0)))*(VLOOKUP($B195,INDIRECT($B$5&amp;"生成成长"),3))*(VLOOKUP($B$5,标准坦克设计!$B$14:$K$20,9)/30))</f>
        <v>13.196004849165226</v>
      </c>
      <c r="AP195" s="173">
        <f ca="1">(VLOOKUP(AP$72,INDIRECT($C$5&amp;"生成成长"),2))/((VLOOKUP($B195,INDIRECT($B$5&amp;"生成成长"),4))/(VLOOKUP(AP$72,INDIRECT($C$5&amp;"生成成长"),5))*(VLOOKUP($B$5,标准坦克设计!$B$24:$U$30,MATCH("对"&amp;LEFT($C$5,2)&amp;"输出",标准坦克设计!$B$23:$U$23,0)))*(VLOOKUP($B195,INDIRECT($B$5&amp;"生成成长"),3))*(VLOOKUP($B$5,标准坦克设计!$B$14:$K$20,9)/30))</f>
        <v>14.168256375069465</v>
      </c>
      <c r="AQ195" s="173">
        <f ca="1">(VLOOKUP(AQ$72,INDIRECT($C$5&amp;"生成成长"),2))/((VLOOKUP($B195,INDIRECT($B$5&amp;"生成成长"),4))/(VLOOKUP(AQ$72,INDIRECT($C$5&amp;"生成成长"),5))*(VLOOKUP($B$5,标准坦克设计!$B$24:$U$30,MATCH("对"&amp;LEFT($C$5,2)&amp;"输出",标准坦克设计!$B$23:$U$23,0)))*(VLOOKUP($B195,INDIRECT($B$5&amp;"生成成长"),3))*(VLOOKUP($B$5,标准坦克设计!$B$14:$K$20,9)/30))</f>
        <v>15.175062882508263</v>
      </c>
      <c r="AR195" s="173">
        <f ca="1">(VLOOKUP(AR$72,INDIRECT($C$5&amp;"生成成长"),2))/((VLOOKUP($B195,INDIRECT($B$5&amp;"生成成长"),4))/(VLOOKUP(AR$72,INDIRECT($C$5&amp;"生成成长"),5))*(VLOOKUP($B$5,标准坦克设计!$B$24:$U$30,MATCH("对"&amp;LEFT($C$5,2)&amp;"输出",标准坦克设计!$B$23:$U$23,0)))*(VLOOKUP($B195,INDIRECT($B$5&amp;"生成成长"),3))*(VLOOKUP($B$5,标准坦克设计!$B$14:$K$20,9)/30))</f>
        <v>16.216424371481622</v>
      </c>
      <c r="AS195" s="173">
        <f ca="1">(VLOOKUP(AS$72,INDIRECT($C$5&amp;"生成成长"),2))/((VLOOKUP($B195,INDIRECT($B$5&amp;"生成成长"),4))/(VLOOKUP(AS$72,INDIRECT($C$5&amp;"生成成长"),5))*(VLOOKUP($B$5,标准坦克设计!$B$24:$U$30,MATCH("对"&amp;LEFT($C$5,2)&amp;"输出",标准坦克设计!$B$23:$U$23,0)))*(VLOOKUP($B195,INDIRECT($B$5&amp;"生成成长"),3))*(VLOOKUP($B$5,标准坦克设计!$B$14:$K$20,9)/30))</f>
        <v>17.292340841989546</v>
      </c>
      <c r="AT195" s="173">
        <f ca="1">(VLOOKUP(AT$72,INDIRECT($C$5&amp;"生成成长"),2))/((VLOOKUP($B195,INDIRECT($B$5&amp;"生成成长"),4))/(VLOOKUP(AT$72,INDIRECT($C$5&amp;"生成成长"),5))*(VLOOKUP($B$5,标准坦克设计!$B$24:$U$30,MATCH("对"&amp;LEFT($C$5,2)&amp;"输出",标准坦克设计!$B$23:$U$23,0)))*(VLOOKUP($B195,INDIRECT($B$5&amp;"生成成长"),3))*(VLOOKUP($B$5,标准坦克设计!$B$14:$K$20,9)/30))</f>
        <v>18.402812294032024</v>
      </c>
      <c r="AU195" s="173">
        <f ca="1">(VLOOKUP(AU$72,INDIRECT($C$5&amp;"生成成长"),2))/((VLOOKUP($B195,INDIRECT($B$5&amp;"生成成长"),4))/(VLOOKUP(AU$72,INDIRECT($C$5&amp;"生成成长"),5))*(VLOOKUP($B$5,标准坦克设计!$B$24:$U$30,MATCH("对"&amp;LEFT($C$5,2)&amp;"输出",标准坦克设计!$B$23:$U$23,0)))*(VLOOKUP($B195,INDIRECT($B$5&amp;"生成成长"),3))*(VLOOKUP($B$5,标准坦克设计!$B$14:$K$20,9)/30))</f>
        <v>19.547838727609065</v>
      </c>
      <c r="AV195" s="173">
        <f ca="1">(VLOOKUP(AV$72,INDIRECT($C$5&amp;"生成成长"),2))/((VLOOKUP($B195,INDIRECT($B$5&amp;"生成成长"),4))/(VLOOKUP(AV$72,INDIRECT($C$5&amp;"生成成长"),5))*(VLOOKUP($B$5,标准坦克设计!$B$24:$U$30,MATCH("对"&amp;LEFT($C$5,2)&amp;"输出",标准坦克设计!$B$23:$U$23,0)))*(VLOOKUP($B195,INDIRECT($B$5&amp;"生成成长"),3))*(VLOOKUP($B$5,标准坦克设计!$B$14:$K$20,9)/30))</f>
        <v>1.9881965408563085</v>
      </c>
      <c r="AW195" s="173">
        <f ca="1">(VLOOKUP(AW$72,INDIRECT($C$5&amp;"生成成长"),2))/((VLOOKUP($B195,INDIRECT($B$5&amp;"生成成长"),4))/(VLOOKUP(AW$72,INDIRECT($C$5&amp;"生成成长"),5))*(VLOOKUP($B$5,标准坦克设计!$B$24:$U$30,MATCH("对"&amp;LEFT($C$5,2)&amp;"输出",标准坦克设计!$B$23:$U$23,0)))*(VLOOKUP($B195,INDIRECT($B$5&amp;"生成成长"),3))*(VLOOKUP($B$5,标准坦克设计!$B$14:$K$20,9)/30))</f>
        <v>2.2669210200111145</v>
      </c>
      <c r="AX195" s="173">
        <f ca="1">(VLOOKUP(AX$72,INDIRECT($C$5&amp;"生成成长"),2))/((VLOOKUP($B195,INDIRECT($B$5&amp;"生成成长"),4))/(VLOOKUP(AX$72,INDIRECT($C$5&amp;"生成成长"),5))*(VLOOKUP($B$5,标准坦克设计!$B$24:$U$30,MATCH("对"&amp;LEFT($C$5,2)&amp;"输出",标准坦克设计!$B$23:$U$23,0)))*(VLOOKUP($B195,INDIRECT($B$5&amp;"生成成长"),3))*(VLOOKUP($B$5,标准坦克设计!$B$14:$K$20,9)/30))</f>
        <v>2.5639225141924644</v>
      </c>
      <c r="AY195" s="173">
        <f ca="1">(VLOOKUP(AY$72,INDIRECT($C$5&amp;"生成成长"),2))/((VLOOKUP($B195,INDIRECT($B$5&amp;"生成成长"),4))/(VLOOKUP(AY$72,INDIRECT($C$5&amp;"生成成长"),5))*(VLOOKUP($B$5,标准坦克设计!$B$24:$U$30,MATCH("对"&amp;LEFT($C$5,2)&amp;"输出",标准坦克设计!$B$23:$U$23,0)))*(VLOOKUP($B195,INDIRECT($B$5&amp;"生成成长"),3))*(VLOOKUP($B$5,标准坦克设计!$B$14:$K$20,9)/30))</f>
        <v>2.8792010234003595</v>
      </c>
      <c r="AZ195" s="173">
        <f ca="1">(VLOOKUP(AZ$72,INDIRECT($C$5&amp;"生成成长"),2))/((VLOOKUP($B195,INDIRECT($B$5&amp;"生成成长"),4))/(VLOOKUP(AZ$72,INDIRECT($C$5&amp;"生成成长"),5))*(VLOOKUP($B$5,标准坦克设计!$B$24:$U$30,MATCH("对"&amp;LEFT($C$5,2)&amp;"输出",标准坦克设计!$B$23:$U$23,0)))*(VLOOKUP($B195,INDIRECT($B$5&amp;"生成成长"),3))*(VLOOKUP($B$5,标准坦克设计!$B$14:$K$20,9)/30))</f>
        <v>3.2127565476347995</v>
      </c>
      <c r="BA195" s="173">
        <f ca="1">(VLOOKUP(BA$72,INDIRECT($C$5&amp;"生成成长"),2))/((VLOOKUP($B195,INDIRECT($B$5&amp;"生成成长"),4))/(VLOOKUP(BA$72,INDIRECT($C$5&amp;"生成成长"),5))*(VLOOKUP($B$5,标准坦克设计!$B$24:$U$30,MATCH("对"&amp;LEFT($C$5,2)&amp;"输出",标准坦克设计!$B$23:$U$23,0)))*(VLOOKUP($B195,INDIRECT($B$5&amp;"生成成长"),3))*(VLOOKUP($B$5,标准坦克设计!$B$14:$K$20,9)/30))</f>
        <v>3.5645890868957837</v>
      </c>
      <c r="BB195" s="173">
        <f ca="1">(VLOOKUP(BB$72,INDIRECT($C$5&amp;"生成成长"),2))/((VLOOKUP($B195,INDIRECT($B$5&amp;"生成成长"),4))/(VLOOKUP(BB$72,INDIRECT($C$5&amp;"生成成长"),5))*(VLOOKUP($B$5,标准坦克设计!$B$24:$U$30,MATCH("对"&amp;LEFT($C$5,2)&amp;"输出",标准坦克设计!$B$23:$U$23,0)))*(VLOOKUP($B195,INDIRECT($B$5&amp;"生成成长"),3))*(VLOOKUP($B$5,标准坦克设计!$B$14:$K$20,9)/30))</f>
        <v>3.9346986411833123</v>
      </c>
      <c r="BC195" s="173">
        <f ca="1">(VLOOKUP(BC$72,INDIRECT($C$5&amp;"生成成长"),2))/((VLOOKUP($B195,INDIRECT($B$5&amp;"生成成长"),4))/(VLOOKUP(BC$72,INDIRECT($C$5&amp;"生成成长"),5))*(VLOOKUP($B$5,标准坦克设计!$B$24:$U$30,MATCH("对"&amp;LEFT($C$5,2)&amp;"输出",标准坦克设计!$B$23:$U$23,0)))*(VLOOKUP($B195,INDIRECT($B$5&amp;"生成成长"),3))*(VLOOKUP($B$5,标准坦克设计!$B$14:$K$20,9)/30))</f>
        <v>4.3230852104973865</v>
      </c>
      <c r="BD195" s="173">
        <f ca="1">(VLOOKUP(BD$72,INDIRECT($C$5&amp;"生成成长"),2))/((VLOOKUP($B195,INDIRECT($B$5&amp;"生成成长"),4))/(VLOOKUP(BD$72,INDIRECT($C$5&amp;"生成成长"),5))*(VLOOKUP($B$5,标准坦克设计!$B$24:$U$30,MATCH("对"&amp;LEFT($C$5,2)&amp;"输出",标准坦克设计!$B$23:$U$23,0)))*(VLOOKUP($B195,INDIRECT($B$5&amp;"生成成长"),3))*(VLOOKUP($B$5,标准坦克设计!$B$14:$K$20,9)/30))</f>
        <v>4.7818668454996347</v>
      </c>
      <c r="BE195" s="173">
        <f ca="1">(VLOOKUP(BE$72,INDIRECT($C$5&amp;"生成成长"),2))/((VLOOKUP($B195,INDIRECT($B$5&amp;"生成成长"),4))/(VLOOKUP(BE$72,INDIRECT($C$5&amp;"生成成长"),5))*(VLOOKUP($B$5,标准坦克设计!$B$24:$U$30,MATCH("对"&amp;LEFT($C$5,2)&amp;"输出",标准坦克设计!$B$23:$U$23,0)))*(VLOOKUP($B195,INDIRECT($B$5&amp;"生成成长"),3))*(VLOOKUP($B$5,标准坦克设计!$B$14:$K$20,9)/30))</f>
        <v>5.2637803276448558</v>
      </c>
      <c r="BF195" s="173">
        <f ca="1">(VLOOKUP(BF$72,INDIRECT($C$5&amp;"生成成长"),2))/((VLOOKUP($B195,INDIRECT($B$5&amp;"生成成长"),4))/(VLOOKUP(BF$72,INDIRECT($C$5&amp;"生成成长"),5))*(VLOOKUP($B$5,标准坦克设计!$B$24:$U$30,MATCH("对"&amp;LEFT($C$5,2)&amp;"输出",标准坦克设计!$B$23:$U$23,0)))*(VLOOKUP($B195,INDIRECT($B$5&amp;"生成成长"),3))*(VLOOKUP($B$5,标准坦克设计!$B$14:$K$20,9)/30))</f>
        <v>5.7688256569330454</v>
      </c>
      <c r="BG195" s="173">
        <f ca="1">(VLOOKUP(BG$72,INDIRECT($C$5&amp;"生成成长"),2))/((VLOOKUP($B195,INDIRECT($B$5&amp;"生成成长"),4))/(VLOOKUP(BG$72,INDIRECT($C$5&amp;"生成成长"),5))*(VLOOKUP($B$5,标准坦克设计!$B$24:$U$30,MATCH("对"&amp;LEFT($C$5,2)&amp;"输出",标准坦克设计!$B$23:$U$23,0)))*(VLOOKUP($B195,INDIRECT($B$5&amp;"生成成长"),3))*(VLOOKUP($B$5,标准坦克设计!$B$14:$K$20,9)/30))</f>
        <v>6.297002833364207</v>
      </c>
      <c r="BH195" s="173">
        <f ca="1">(VLOOKUP(BH$72,INDIRECT($C$5&amp;"生成成长"),2))/((VLOOKUP($B195,INDIRECT($B$5&amp;"生成成长"),4))/(VLOOKUP(BH$72,INDIRECT($C$5&amp;"生成成长"),5))*(VLOOKUP($B$5,标准坦克设计!$B$24:$U$30,MATCH("对"&amp;LEFT($C$5,2)&amp;"输出",标准坦克设计!$B$23:$U$23,0)))*(VLOOKUP($B195,INDIRECT($B$5&amp;"生成成长"),3))*(VLOOKUP($B$5,标准坦克设计!$B$14:$K$20,9)/30))</f>
        <v>3.0436941586392612</v>
      </c>
      <c r="BI195" s="173">
        <f ca="1">(VLOOKUP(BI$72,INDIRECT($C$5&amp;"生成成长"),2))/((VLOOKUP($B195,INDIRECT($B$5&amp;"生成成长"),4))/(VLOOKUP(BI$72,INDIRECT($C$5&amp;"生成成长"),5))*(VLOOKUP($B$5,标准坦克设计!$B$24:$U$30,MATCH("对"&amp;LEFT($C$5,2)&amp;"输出",标准坦克设计!$B$23:$U$23,0)))*(VLOOKUP($B195,INDIRECT($B$5&amp;"生成成长"),3))*(VLOOKUP($B$5,标准坦克设计!$B$14:$K$20,9)/30))</f>
        <v>3.4305100469744914</v>
      </c>
      <c r="BJ195" s="173">
        <f ca="1">(VLOOKUP(BJ$72,INDIRECT($C$5&amp;"生成成长"),2))/((VLOOKUP($B195,INDIRECT($B$5&amp;"生成成长"),4))/(VLOOKUP(BJ$72,INDIRECT($C$5&amp;"生成成长"),5))*(VLOOKUP($B$5,标准坦克设计!$B$24:$U$30,MATCH("对"&amp;LEFT($C$5,2)&amp;"输出",标准坦克设计!$B$23:$U$23,0)))*(VLOOKUP($B195,INDIRECT($B$5&amp;"生成成长"),3))*(VLOOKUP($B$5,标准坦克设计!$B$14:$K$20,9)/30))</f>
        <v>3.8404577824526913</v>
      </c>
      <c r="BK195" s="173">
        <f ca="1">(VLOOKUP(BK$72,INDIRECT($C$5&amp;"生成成长"),2))/((VLOOKUP($B195,INDIRECT($B$5&amp;"生成成长"),4))/(VLOOKUP(BK$72,INDIRECT($C$5&amp;"生成成长"),5))*(VLOOKUP($B$5,标准坦克设计!$B$24:$U$30,MATCH("对"&amp;LEFT($C$5,2)&amp;"输出",标准坦克设计!$B$23:$U$23,0)))*(VLOOKUP($B195,INDIRECT($B$5&amp;"生成成长"),3))*(VLOOKUP($B$5,标准坦克设计!$B$14:$K$20,9)/30))</f>
        <v>4.2735373650738637</v>
      </c>
      <c r="BL195" s="173">
        <f ca="1">(VLOOKUP(BL$72,INDIRECT($C$5&amp;"生成成长"),2))/((VLOOKUP($B195,INDIRECT($B$5&amp;"生成成长"),4))/(VLOOKUP(BL$72,INDIRECT($C$5&amp;"生成成长"),5))*(VLOOKUP($B$5,标准坦克设计!$B$24:$U$30,MATCH("对"&amp;LEFT($C$5,2)&amp;"输出",标准坦克设计!$B$23:$U$23,0)))*(VLOOKUP($B195,INDIRECT($B$5&amp;"生成成长"),3))*(VLOOKUP($B$5,标准坦克设计!$B$14:$K$20,9)/30))</f>
        <v>4.729748794838005</v>
      </c>
      <c r="BM195" s="173">
        <f ca="1">(VLOOKUP(BM$72,INDIRECT($C$5&amp;"生成成长"),2))/((VLOOKUP($B195,INDIRECT($B$5&amp;"生成成长"),4))/(VLOOKUP(BM$72,INDIRECT($C$5&amp;"生成成长"),5))*(VLOOKUP($B$5,标准坦克设计!$B$24:$U$30,MATCH("对"&amp;LEFT($C$5,2)&amp;"输出",标准坦克设计!$B$23:$U$23,0)))*(VLOOKUP($B195,INDIRECT($B$5&amp;"生成成长"),3))*(VLOOKUP($B$5,标准坦克设计!$B$14:$K$20,9)/30))</f>
        <v>5.2090920717451157</v>
      </c>
      <c r="BN195" s="173">
        <f ca="1">(VLOOKUP(BN$72,INDIRECT($C$5&amp;"生成成长"),2))/((VLOOKUP($B195,INDIRECT($B$5&amp;"生成成长"),4))/(VLOOKUP(BN$72,INDIRECT($C$5&amp;"生成成长"),5))*(VLOOKUP($B$5,标准坦克设计!$B$24:$U$30,MATCH("对"&amp;LEFT($C$5,2)&amp;"输出",标准坦克设计!$B$23:$U$23,0)))*(VLOOKUP($B195,INDIRECT($B$5&amp;"生成成长"),3))*(VLOOKUP($B$5,标准坦克设计!$B$14:$K$20,9)/30))</f>
        <v>5.7115671957951992</v>
      </c>
      <c r="BO195" s="173">
        <f ca="1">(VLOOKUP(BO$72,INDIRECT($C$5&amp;"生成成长"),2))/((VLOOKUP($B195,INDIRECT($B$5&amp;"生成成长"),4))/(VLOOKUP(BO$72,INDIRECT($C$5&amp;"生成成长"),5))*(VLOOKUP($B$5,标准坦克设计!$B$24:$U$30,MATCH("对"&amp;LEFT($C$5,2)&amp;"输出",标准坦克设计!$B$23:$U$23,0)))*(VLOOKUP($B195,INDIRECT($B$5&amp;"生成成长"),3))*(VLOOKUP($B$5,标准坦克设计!$B$14:$K$20,9)/30))</f>
        <v>6.2371741669882512</v>
      </c>
      <c r="BP195" s="173">
        <f ca="1">(VLOOKUP(BP$72,INDIRECT($C$5&amp;"生成成长"),2))/((VLOOKUP($B195,INDIRECT($B$5&amp;"生成成长"),4))/(VLOOKUP(BP$72,INDIRECT($C$5&amp;"生成成长"),5))*(VLOOKUP($B$5,标准坦克设计!$B$24:$U$30,MATCH("对"&amp;LEFT($C$5,2)&amp;"输出",标准坦克设计!$B$23:$U$23,0)))*(VLOOKUP($B195,INDIRECT($B$5&amp;"生成成长"),3))*(VLOOKUP($B$5,标准坦克设计!$B$14:$K$20,9)/30))</f>
        <v>6.7859129853242752</v>
      </c>
      <c r="BQ195" s="173">
        <f ca="1">(VLOOKUP(BQ$72,INDIRECT($C$5&amp;"生成成长"),2))/((VLOOKUP($B195,INDIRECT($B$5&amp;"生成成长"),4))/(VLOOKUP(BQ$72,INDIRECT($C$5&amp;"生成成长"),5))*(VLOOKUP($B$5,标准坦克设计!$B$24:$U$30,MATCH("对"&amp;LEFT($C$5,2)&amp;"输出",标准坦克设计!$B$23:$U$23,0)))*(VLOOKUP($B195,INDIRECT($B$5&amp;"生成成长"),3))*(VLOOKUP($B$5,标准坦克设计!$B$14:$K$20,9)/30))</f>
        <v>7.3577836508032703</v>
      </c>
      <c r="BR195" s="173">
        <f ca="1">(VLOOKUP(BR$72,INDIRECT($C$5&amp;"生成成长"),2))/((VLOOKUP($B195,INDIRECT($B$5&amp;"生成成长"),4))/(VLOOKUP(BR$72,INDIRECT($C$5&amp;"生成成长"),5))*(VLOOKUP($B$5,标准坦克设计!$B$24:$U$30,MATCH("对"&amp;LEFT($C$5,2)&amp;"输出",标准坦克设计!$B$23:$U$23,0)))*(VLOOKUP($B195,INDIRECT($B$5&amp;"生成成长"),3))*(VLOOKUP($B$5,标准坦克设计!$B$14:$K$20,9)/30))</f>
        <v>8.020325445515514</v>
      </c>
      <c r="BS195" s="173">
        <f ca="1">(VLOOKUP(BS$72,INDIRECT($C$5&amp;"生成成长"),2))/((VLOOKUP($B195,INDIRECT($B$5&amp;"生成成长"),4))/(VLOOKUP(BS$72,INDIRECT($C$5&amp;"生成成长"),5))*(VLOOKUP($B$5,标准坦克设计!$B$24:$U$30,MATCH("对"&amp;LEFT($C$5,2)&amp;"输出",标准坦克设计!$B$23:$U$23,0)))*(VLOOKUP($B195,INDIRECT($B$5&amp;"生成成长"),3))*(VLOOKUP($B$5,标准坦克设计!$B$14:$K$20,9)/30))</f>
        <v>8.7114250762067336</v>
      </c>
      <c r="BT195" s="173">
        <f ca="1">(VLOOKUP(BT$72,INDIRECT($C$5&amp;"生成成长"),2))/((VLOOKUP($B195,INDIRECT($B$5&amp;"生成成长"),4))/(VLOOKUP(BT$72,INDIRECT($C$5&amp;"生成成长"),5))*(VLOOKUP($B$5,标准坦克设计!$B$24:$U$30,MATCH("对"&amp;LEFT($C$5,2)&amp;"输出",标准坦克设计!$B$23:$U$23,0)))*(VLOOKUP($B195,INDIRECT($B$5&amp;"生成成长"),3))*(VLOOKUP($B$5,标准坦克设计!$B$14:$K$20,9)/30))</f>
        <v>9.4310825428769274</v>
      </c>
      <c r="BU195" s="173">
        <f ca="1">(VLOOKUP(BU$72,INDIRECT($C$5&amp;"生成成长"),2))/((VLOOKUP($B195,INDIRECT($B$5&amp;"生成成长"),4))/(VLOOKUP(BU$72,INDIRECT($C$5&amp;"生成成长"),5))*(VLOOKUP($B$5,标准坦克设计!$B$24:$U$30,MATCH("对"&amp;LEFT($C$5,2)&amp;"输出",标准坦克设计!$B$23:$U$23,0)))*(VLOOKUP($B195,INDIRECT($B$5&amp;"生成成长"),3))*(VLOOKUP($B$5,标准坦克设计!$B$14:$K$20,9)/30))</f>
        <v>10.179297845526099</v>
      </c>
      <c r="BV195" s="173">
        <f ca="1">(VLOOKUP(BV$72,INDIRECT($C$5&amp;"生成成长"),2))/((VLOOKUP($B195,INDIRECT($B$5&amp;"生成成长"),4))/(VLOOKUP(BV$72,INDIRECT($C$5&amp;"生成成长"),5))*(VLOOKUP($B$5,标准坦克设计!$B$24:$U$30,MATCH("对"&amp;LEFT($C$5,2)&amp;"输出",标准坦克设计!$B$23:$U$23,0)))*(VLOOKUP($B195,INDIRECT($B$5&amp;"生成成长"),3))*(VLOOKUP($B$5,标准坦克设计!$B$14:$K$20,9)/30))</f>
        <v>10.956070984154243</v>
      </c>
      <c r="BW195" s="173">
        <f ca="1">(VLOOKUP(BW$72,INDIRECT($C$5&amp;"生成成长"),2))/((VLOOKUP($B195,INDIRECT($B$5&amp;"生成成长"),4))/(VLOOKUP(BW$72,INDIRECT($C$5&amp;"生成成长"),5))*(VLOOKUP($B$5,标准坦克设计!$B$24:$U$30,MATCH("对"&amp;LEFT($C$5,2)&amp;"输出",标准坦克设计!$B$23:$U$23,0)))*(VLOOKUP($B195,INDIRECT($B$5&amp;"生成成长"),3))*(VLOOKUP($B$5,标准坦克设计!$B$14:$K$20,9)/30))</f>
        <v>4.9931948317440575</v>
      </c>
      <c r="BX195" s="173">
        <f ca="1">(VLOOKUP(BX$72,INDIRECT($C$5&amp;"生成成长"),2))/((VLOOKUP($B195,INDIRECT($B$5&amp;"生成成长"),4))/(VLOOKUP(BX$72,INDIRECT($C$5&amp;"生成成长"),5))*(VLOOKUP($B$5,标准坦克设计!$B$24:$U$30,MATCH("对"&amp;LEFT($C$5,2)&amp;"输出",标准坦克设计!$B$23:$U$23,0)))*(VLOOKUP($B195,INDIRECT($B$5&amp;"生成成长"),3))*(VLOOKUP($B$5,标准坦克设计!$B$14:$K$20,9)/30))</f>
        <v>5.5415052825403963</v>
      </c>
      <c r="BY195" s="173">
        <f ca="1">(VLOOKUP(BY$72,INDIRECT($C$5&amp;"生成成长"),2))/((VLOOKUP($B195,INDIRECT($B$5&amp;"生成成长"),4))/(VLOOKUP(BY$72,INDIRECT($C$5&amp;"生成成长"),5))*(VLOOKUP($B$5,标准坦克设计!$B$24:$U$30,MATCH("对"&amp;LEFT($C$5,2)&amp;"输出",标准坦克设计!$B$23:$U$23,0)))*(VLOOKUP($B195,INDIRECT($B$5&amp;"生成成长"),3))*(VLOOKUP($B$5,标准坦克设计!$B$14:$K$20,9)/30))</f>
        <v>6.1183735693157111</v>
      </c>
      <c r="BZ195" s="173">
        <f ca="1">(VLOOKUP(BZ$72,INDIRECT($C$5&amp;"生成成长"),2))/((VLOOKUP($B195,INDIRECT($B$5&amp;"生成成长"),4))/(VLOOKUP(BZ$72,INDIRECT($C$5&amp;"生成成长"),5))*(VLOOKUP($B$5,标准坦克设计!$B$24:$U$30,MATCH("对"&amp;LEFT($C$5,2)&amp;"输出",标准坦克设计!$B$23:$U$23,0)))*(VLOOKUP($B195,INDIRECT($B$5&amp;"生成成长"),3))*(VLOOKUP($B$5,标准坦克设计!$B$14:$K$20,9)/30))</f>
        <v>6.7237996920700027</v>
      </c>
      <c r="CA195" s="173">
        <f ca="1">(VLOOKUP(CA$72,INDIRECT($C$5&amp;"生成成长"),2))/((VLOOKUP($B195,INDIRECT($B$5&amp;"生成成长"),4))/(VLOOKUP(CA$72,INDIRECT($C$5&amp;"生成成长"),5))*(VLOOKUP($B$5,标准坦克设计!$B$24:$U$30,MATCH("对"&amp;LEFT($C$5,2)&amp;"输出",标准坦克设计!$B$23:$U$23,0)))*(VLOOKUP($B195,INDIRECT($B$5&amp;"生成成长"),3))*(VLOOKUP($B$5,标准坦克设计!$B$14:$K$20,9)/30))</f>
        <v>7.3577836508032703</v>
      </c>
      <c r="CB195" s="173">
        <f ca="1">(VLOOKUP(CB$72,INDIRECT($C$5&amp;"生成成长"),2))/((VLOOKUP($B195,INDIRECT($B$5&amp;"生成成长"),4))/(VLOOKUP(CB$72,INDIRECT($C$5&amp;"生成成长"),5))*(VLOOKUP($B$5,标准坦克设计!$B$24:$U$30,MATCH("对"&amp;LEFT($C$5,2)&amp;"输出",标准坦克设计!$B$23:$U$23,0)))*(VLOOKUP($B195,INDIRECT($B$5&amp;"生成成长"),3))*(VLOOKUP($B$5,标准坦克设计!$B$14:$K$20,9)/30))</f>
        <v>8.020325445515514</v>
      </c>
      <c r="CC195" s="173">
        <f ca="1">(VLOOKUP(CC$72,INDIRECT($C$5&amp;"生成成长"),2))/((VLOOKUP($B195,INDIRECT($B$5&amp;"生成成长"),4))/(VLOOKUP(CC$72,INDIRECT($C$5&amp;"生成成长"),5))*(VLOOKUP($B$5,标准坦克设计!$B$24:$U$30,MATCH("对"&amp;LEFT($C$5,2)&amp;"输出",标准坦克设计!$B$23:$U$23,0)))*(VLOOKUP($B195,INDIRECT($B$5&amp;"生成成长"),3))*(VLOOKUP($B$5,标准坦克设计!$B$14:$K$20,9)/30))</f>
        <v>8.7114250762067336</v>
      </c>
      <c r="CD195" s="173">
        <f ca="1">(VLOOKUP(CD$72,INDIRECT($C$5&amp;"生成成长"),2))/((VLOOKUP($B195,INDIRECT($B$5&amp;"生成成长"),4))/(VLOOKUP(CD$72,INDIRECT($C$5&amp;"生成成长"),5))*(VLOOKUP($B$5,标准坦克设计!$B$24:$U$30,MATCH("对"&amp;LEFT($C$5,2)&amp;"输出",标准坦克设计!$B$23:$U$23,0)))*(VLOOKUP($B195,INDIRECT($B$5&amp;"生成成长"),3))*(VLOOKUP($B$5,标准坦克设计!$B$14:$K$20,9)/30))</f>
        <v>9.4310825428769274</v>
      </c>
      <c r="CE195" s="173">
        <f ca="1">(VLOOKUP(CE$72,INDIRECT($C$5&amp;"生成成长"),2))/((VLOOKUP($B195,INDIRECT($B$5&amp;"生成成长"),4))/(VLOOKUP(CE$72,INDIRECT($C$5&amp;"生成成长"),5))*(VLOOKUP($B$5,标准坦克设计!$B$24:$U$30,MATCH("对"&amp;LEFT($C$5,2)&amp;"输出",标准坦克设计!$B$23:$U$23,0)))*(VLOOKUP($B195,INDIRECT($B$5&amp;"生成成长"),3))*(VLOOKUP($B$5,标准坦克设计!$B$14:$K$20,9)/30))</f>
        <v>10.179297845526099</v>
      </c>
      <c r="CF195" s="173">
        <f ca="1">(VLOOKUP(CF$72,INDIRECT($C$5&amp;"生成成长"),2))/((VLOOKUP($B195,INDIRECT($B$5&amp;"生成成长"),4))/(VLOOKUP(CF$72,INDIRECT($C$5&amp;"生成成长"),5))*(VLOOKUP($B$5,标准坦克设计!$B$24:$U$30,MATCH("对"&amp;LEFT($C$5,2)&amp;"输出",标准坦克设计!$B$23:$U$23,0)))*(VLOOKUP($B195,INDIRECT($B$5&amp;"生成成长"),3))*(VLOOKUP($B$5,标准坦克设计!$B$14:$K$20,9)/30))</f>
        <v>10.956070984154243</v>
      </c>
      <c r="CG195" s="173">
        <f ca="1">(VLOOKUP(CG$72,INDIRECT($C$5&amp;"生成成长"),2))/((VLOOKUP($B195,INDIRECT($B$5&amp;"生成成长"),4))/(VLOOKUP(CG$72,INDIRECT($C$5&amp;"生成成长"),5))*(VLOOKUP($B$5,标准坦克设计!$B$24:$U$30,MATCH("对"&amp;LEFT($C$5,2)&amp;"输出",标准坦克设计!$B$23:$U$23,0)))*(VLOOKUP($B195,INDIRECT($B$5&amp;"生成成长"),3))*(VLOOKUP($B$5,标准坦克设计!$B$14:$K$20,9)/30))</f>
        <v>11.761401958761367</v>
      </c>
      <c r="CH195" s="173">
        <f ca="1">(VLOOKUP(CH$72,INDIRECT($C$5&amp;"生成成长"),2))/((VLOOKUP($B195,INDIRECT($B$5&amp;"生成成长"),4))/(VLOOKUP(CH$72,INDIRECT($C$5&amp;"生成成长"),5))*(VLOOKUP($B$5,标准坦克设计!$B$24:$U$30,MATCH("对"&amp;LEFT($C$5,2)&amp;"输出",标准坦克设计!$B$23:$U$23,0)))*(VLOOKUP($B195,INDIRECT($B$5&amp;"生成成长"),3))*(VLOOKUP($B$5,标准坦克设计!$B$14:$K$20,9)/30))</f>
        <v>12.595290769347466</v>
      </c>
      <c r="CI195" s="173">
        <f ca="1">(VLOOKUP(CI$72,INDIRECT($C$5&amp;"生成成长"),2))/((VLOOKUP($B195,INDIRECT($B$5&amp;"生成成长"),4))/(VLOOKUP(CI$72,INDIRECT($C$5&amp;"生成成长"),5))*(VLOOKUP($B$5,标准坦克设计!$B$24:$U$30,MATCH("对"&amp;LEFT($C$5,2)&amp;"输出",标准坦克设计!$B$23:$U$23,0)))*(VLOOKUP($B195,INDIRECT($B$5&amp;"生成成长"),3))*(VLOOKUP($B$5,标准坦克设计!$B$14:$K$20,9)/30))</f>
        <v>13.545552761547892</v>
      </c>
      <c r="CJ195" s="173">
        <f ca="1">(VLOOKUP(CJ$72,INDIRECT($C$5&amp;"生成成长"),2))/((VLOOKUP($B195,INDIRECT($B$5&amp;"生成成长"),4))/(VLOOKUP(CJ$72,INDIRECT($C$5&amp;"生成成长"),5))*(VLOOKUP($B$5,标准坦克设计!$B$24:$U$30,MATCH("对"&amp;LEFT($C$5,2)&amp;"输出",标准坦克设计!$B$23:$U$23,0)))*(VLOOKUP($B195,INDIRECT($B$5&amp;"生成成长"),3))*(VLOOKUP($B$5,标准坦克设计!$B$14:$K$20,9)/30))</f>
        <v>14.53036973528288</v>
      </c>
      <c r="CK195" s="173">
        <f ca="1">(VLOOKUP(CK$72,INDIRECT($C$5&amp;"生成成长"),2))/((VLOOKUP($B195,INDIRECT($B$5&amp;"生成成长"),4))/(VLOOKUP(CK$72,INDIRECT($C$5&amp;"生成成长"),5))*(VLOOKUP($B$5,标准坦克设计!$B$24:$U$30,MATCH("对"&amp;LEFT($C$5,2)&amp;"输出",标准坦克设计!$B$23:$U$23,0)))*(VLOOKUP($B195,INDIRECT($B$5&amp;"生成成长"),3))*(VLOOKUP($B$5,标准坦克设计!$B$14:$K$20,9)/30))</f>
        <v>15.549741690552427</v>
      </c>
      <c r="CL195" s="173">
        <f ca="1">(VLOOKUP(CL$72,INDIRECT($C$5&amp;"生成成长"),2))/((VLOOKUP($B195,INDIRECT($B$5&amp;"生成成长"),4))/(VLOOKUP(CL$72,INDIRECT($C$5&amp;"生成成长"),5))*(VLOOKUP($B$5,标准坦克设计!$B$24:$U$30,MATCH("对"&amp;LEFT($C$5,2)&amp;"输出",标准坦克设计!$B$23:$U$23,0)))*(VLOOKUP($B195,INDIRECT($B$5&amp;"生成成长"),3))*(VLOOKUP($B$5,标准坦克设计!$B$14:$K$20,9)/30))</f>
        <v>16.603668627356537</v>
      </c>
      <c r="CM195" s="173">
        <f ca="1">(VLOOKUP(CM$72,INDIRECT($C$5&amp;"生成成长"),2))/((VLOOKUP($B195,INDIRECT($B$5&amp;"生成成长"),4))/(VLOOKUP(CM$72,INDIRECT($C$5&amp;"生成成长"),5))*(VLOOKUP($B$5,标准坦克设计!$B$24:$U$30,MATCH("对"&amp;LEFT($C$5,2)&amp;"输出",标准坦克设计!$B$23:$U$23,0)))*(VLOOKUP($B195,INDIRECT($B$5&amp;"生成成长"),3))*(VLOOKUP($B$5,标准坦克设计!$B$14:$K$20,9)/30))</f>
        <v>17.692150545695206</v>
      </c>
      <c r="CN195" s="173">
        <f ca="1">(VLOOKUP(CN$72,INDIRECT($C$5&amp;"生成成长"),2))/((VLOOKUP($B195,INDIRECT($B$5&amp;"生成成长"),4))/(VLOOKUP(CN$72,INDIRECT($C$5&amp;"生成成长"),5))*(VLOOKUP($B$5,标准坦克设计!$B$24:$U$30,MATCH("对"&amp;LEFT($C$5,2)&amp;"输出",标准坦克设计!$B$23:$U$23,0)))*(VLOOKUP($B195,INDIRECT($B$5&amp;"生成成长"),3))*(VLOOKUP($B$5,标准坦克设计!$B$14:$K$20,9)/30))</f>
        <v>18.815187445568437</v>
      </c>
      <c r="CO195" s="173">
        <f ca="1">(VLOOKUP(CO$72,INDIRECT($C$5&amp;"生成成长"),2))/((VLOOKUP($B195,INDIRECT($B$5&amp;"生成成长"),4))/(VLOOKUP(CO$72,INDIRECT($C$5&amp;"生成成长"),5))*(VLOOKUP($B$5,标准坦克设计!$B$24:$U$30,MATCH("对"&amp;LEFT($C$5,2)&amp;"输出",标准坦克设计!$B$23:$U$23,0)))*(VLOOKUP($B195,INDIRECT($B$5&amp;"生成成长"),3))*(VLOOKUP($B$5,标准坦克设计!$B$14:$K$20,9)/30))</f>
        <v>8.4315582836127696</v>
      </c>
      <c r="CP195" s="173">
        <f ca="1">(VLOOKUP(CP$72,INDIRECT($C$5&amp;"生成成长"),2))/((VLOOKUP($B195,INDIRECT($B$5&amp;"生成成长"),4))/(VLOOKUP(CP$72,INDIRECT($C$5&amp;"生成成长"),5))*(VLOOKUP($B$5,标准坦克设计!$B$24:$U$30,MATCH("对"&amp;LEFT($C$5,2)&amp;"输出",标准坦克设计!$B$23:$U$23,0)))*(VLOOKUP($B195,INDIRECT($B$5&amp;"生成成长"),3))*(VLOOKUP($B$5,标准坦克设计!$B$14:$K$20,9)/30))</f>
        <v>9.2121867300980753</v>
      </c>
      <c r="CQ195" s="173">
        <f ca="1">(VLOOKUP(CQ$72,INDIRECT($C$5&amp;"生成成长"),2))/((VLOOKUP($B195,INDIRECT($B$5&amp;"生成成长"),4))/(VLOOKUP(CQ$72,INDIRECT($C$5&amp;"生成成长"),5))*(VLOOKUP($B$5,标准坦克设计!$B$24:$U$30,MATCH("对"&amp;LEFT($C$5,2)&amp;"输出",标准坦克设计!$B$23:$U$23,0)))*(VLOOKUP($B195,INDIRECT($B$5&amp;"生成成长"),3))*(VLOOKUP($B$5,标准坦克设计!$B$14:$K$20,9)/30))</f>
        <v>10.027370158117947</v>
      </c>
      <c r="CR195" s="173">
        <f ca="1">(VLOOKUP(CR$72,INDIRECT($C$5&amp;"生成成长"),2))/((VLOOKUP($B195,INDIRECT($B$5&amp;"生成成长"),4))/(VLOOKUP(CR$72,INDIRECT($C$5&amp;"生成成长"),5))*(VLOOKUP($B$5,标准坦克设计!$B$24:$U$30,MATCH("对"&amp;LEFT($C$5,2)&amp;"输出",标准坦克设计!$B$23:$U$23,0)))*(VLOOKUP($B195,INDIRECT($B$5&amp;"生成成长"),3))*(VLOOKUP($B$5,标准坦克设计!$B$14:$K$20,9)/30))</f>
        <v>10.877108567672376</v>
      </c>
      <c r="CS195" s="173">
        <f ca="1">(VLOOKUP(CS$72,INDIRECT($C$5&amp;"生成成长"),2))/((VLOOKUP($B195,INDIRECT($B$5&amp;"生成成长"),4))/(VLOOKUP(CS$72,INDIRECT($C$5&amp;"生成成长"),5))*(VLOOKUP($B$5,标准坦克设计!$B$24:$U$30,MATCH("对"&amp;LEFT($C$5,2)&amp;"输出",标准坦克设计!$B$23:$U$23,0)))*(VLOOKUP($B195,INDIRECT($B$5&amp;"生成成长"),3))*(VLOOKUP($B$5,标准坦克设计!$B$14:$K$20,9)/30))</f>
        <v>11.761401958761367</v>
      </c>
      <c r="CT195" s="173">
        <f ca="1">(VLOOKUP(CT$72,INDIRECT($C$5&amp;"生成成长"),2))/((VLOOKUP($B195,INDIRECT($B$5&amp;"生成成长"),4))/(VLOOKUP(CT$72,INDIRECT($C$5&amp;"生成成长"),5))*(VLOOKUP($B$5,标准坦克设计!$B$24:$U$30,MATCH("对"&amp;LEFT($C$5,2)&amp;"输出",标准坦克设计!$B$23:$U$23,0)))*(VLOOKUP($B195,INDIRECT($B$5&amp;"生成成长"),3))*(VLOOKUP($B$5,标准坦克设计!$B$14:$K$20,9)/30))</f>
        <v>12.68025033138492</v>
      </c>
      <c r="CU195" s="173">
        <f ca="1">(VLOOKUP(CU$72,INDIRECT($C$5&amp;"生成成长"),2))/((VLOOKUP($B195,INDIRECT($B$5&amp;"生成成长"),4))/(VLOOKUP(CU$72,INDIRECT($C$5&amp;"生成成长"),5))*(VLOOKUP($B$5,标准坦克设计!$B$24:$U$30,MATCH("对"&amp;LEFT($C$5,2)&amp;"输出",标准坦克设计!$B$23:$U$23,0)))*(VLOOKUP($B195,INDIRECT($B$5&amp;"生成成长"),3))*(VLOOKUP($B$5,标准坦克设计!$B$14:$K$20,9)/30))</f>
        <v>13.633653685543035</v>
      </c>
      <c r="CV195" s="173">
        <f ca="1">(VLOOKUP(CV$72,INDIRECT($C$5&amp;"生成成长"),2))/((VLOOKUP($B195,INDIRECT($B$5&amp;"生成成长"),4))/(VLOOKUP(CV$72,INDIRECT($C$5&amp;"生成成长"),5))*(VLOOKUP($B$5,标准坦克设计!$B$24:$U$30,MATCH("对"&amp;LEFT($C$5,2)&amp;"输出",标准坦克设计!$B$23:$U$23,0)))*(VLOOKUP($B195,INDIRECT($B$5&amp;"生成成长"),3))*(VLOOKUP($B$5,标准坦克设计!$B$14:$K$20,9)/30))</f>
        <v>14.621612021235709</v>
      </c>
      <c r="CW195" s="173">
        <f ca="1">(VLOOKUP(CW$72,INDIRECT($C$5&amp;"生成成长"),2))/((VLOOKUP($B195,INDIRECT($B$5&amp;"生成成长"),4))/(VLOOKUP(CW$72,INDIRECT($C$5&amp;"生成成长"),5))*(VLOOKUP($B$5,标准坦克设计!$B$24:$U$30,MATCH("对"&amp;LEFT($C$5,2)&amp;"输出",标准坦克设计!$B$23:$U$23,0)))*(VLOOKUP($B195,INDIRECT($B$5&amp;"生成成长"),3))*(VLOOKUP($B$5,标准坦克设计!$B$14:$K$20,9)/30))</f>
        <v>15.644125338462944</v>
      </c>
      <c r="CX195" s="173">
        <f ca="1">(VLOOKUP(CX$72,INDIRECT($C$5&amp;"生成成长"),2))/((VLOOKUP($B195,INDIRECT($B$5&amp;"生成成长"),4))/(VLOOKUP(CX$72,INDIRECT($C$5&amp;"生成成长"),5))*(VLOOKUP($B$5,标准坦克设计!$B$24:$U$30,MATCH("对"&amp;LEFT($C$5,2)&amp;"输出",标准坦克设计!$B$23:$U$23,0)))*(VLOOKUP($B195,INDIRECT($B$5&amp;"生成成长"),3))*(VLOOKUP($B$5,标准坦克设计!$B$14:$K$20,9)/30))</f>
        <v>16.701193637224744</v>
      </c>
      <c r="CY195" s="173">
        <f ca="1">(VLOOKUP(CY$72,INDIRECT($C$5&amp;"生成成长"),2))/((VLOOKUP($B195,INDIRECT($B$5&amp;"生成成长"),4))/(VLOOKUP(CY$72,INDIRECT($C$5&amp;"生成成长"),5))*(VLOOKUP($B$5,标准坦克设计!$B$24:$U$30,MATCH("对"&amp;LEFT($C$5,2)&amp;"输出",标准坦克设计!$B$23:$U$23,0)))*(VLOOKUP($B195,INDIRECT($B$5&amp;"生成成长"),3))*(VLOOKUP($B$5,标准坦克设计!$B$14:$K$20,9)/30))</f>
        <v>17.792816917521101</v>
      </c>
      <c r="CZ195" s="173">
        <f ca="1">(VLOOKUP(CZ$72,INDIRECT($C$5&amp;"生成成长"),2))/((VLOOKUP($B195,INDIRECT($B$5&amp;"生成成长"),4))/(VLOOKUP(CZ$72,INDIRECT($C$5&amp;"生成成长"),5))*(VLOOKUP($B$5,标准坦克设计!$B$24:$U$30,MATCH("对"&amp;LEFT($C$5,2)&amp;"输出",标准坦克设计!$B$23:$U$23,0)))*(VLOOKUP($B195,INDIRECT($B$5&amp;"生成成长"),3))*(VLOOKUP($B$5,标准坦克设计!$B$14:$K$20,9)/30))</f>
        <v>18.91899517935202</v>
      </c>
      <c r="DA195" s="173">
        <f ca="1">(VLOOKUP(DA$72,INDIRECT($C$5&amp;"生成成长"),2))/((VLOOKUP($B195,INDIRECT($B$5&amp;"生成成长"),4))/(VLOOKUP(DA$72,INDIRECT($C$5&amp;"生成成长"),5))*(VLOOKUP($B$5,标准坦克设计!$B$24:$U$30,MATCH("对"&amp;LEFT($C$5,2)&amp;"输出",标准坦克设计!$B$23:$U$23,0)))*(VLOOKUP($B195,INDIRECT($B$5&amp;"生成成长"),3))*(VLOOKUP($B$5,标准坦克设计!$B$14:$K$20,9)/30))</f>
        <v>20.079728422717494</v>
      </c>
      <c r="DB195" s="173">
        <f ca="1">(VLOOKUP(DB$72,INDIRECT($C$5&amp;"生成成长"),2))/((VLOOKUP($B195,INDIRECT($B$5&amp;"生成成长"),4))/(VLOOKUP(DB$72,INDIRECT($C$5&amp;"生成成长"),5))*(VLOOKUP($B$5,标准坦克设计!$B$24:$U$30,MATCH("对"&amp;LEFT($C$5,2)&amp;"输出",标准坦克设计!$B$23:$U$23,0)))*(VLOOKUP($B195,INDIRECT($B$5&amp;"生成成长"),3))*(VLOOKUP($B$5,标准坦克设计!$B$14:$K$20,9)/30))</f>
        <v>21.275016647617537</v>
      </c>
      <c r="DC195" s="173">
        <f ca="1">(VLOOKUP(DC$72,INDIRECT($C$5&amp;"生成成长"),2))/((VLOOKUP($B195,INDIRECT($B$5&amp;"生成成长"),4))/(VLOOKUP(DC$72,INDIRECT($C$5&amp;"生成成长"),5))*(VLOOKUP($B$5,标准坦克设计!$B$24:$U$30,MATCH("对"&amp;LEFT($C$5,2)&amp;"输出",标准坦克设计!$B$23:$U$23,0)))*(VLOOKUP($B195,INDIRECT($B$5&amp;"生成成长"),3))*(VLOOKUP($B$5,标准坦克设计!$B$14:$K$20,9)/30))</f>
        <v>22.618377252068566</v>
      </c>
      <c r="DD195" s="173">
        <f ca="1">(VLOOKUP(DD$72,INDIRECT($C$5&amp;"生成成长"),2))/((VLOOKUP($B195,INDIRECT($B$5&amp;"生成成长"),4))/(VLOOKUP(DD$72,INDIRECT($C$5&amp;"生成成长"),5))*(VLOOKUP($B$5,标准坦克设计!$B$24:$U$30,MATCH("对"&amp;LEFT($C$5,2)&amp;"输出",标准坦克设计!$B$23:$U$23,0)))*(VLOOKUP($B195,INDIRECT($B$5&amp;"生成成长"),3))*(VLOOKUP($B$5,标准坦克设计!$B$14:$K$20,9)/30))</f>
        <v>24.002861140329326</v>
      </c>
      <c r="DE195" s="173">
        <f ca="1">(VLOOKUP(DE$72,INDIRECT($C$5&amp;"生成成长"),2))/((VLOOKUP($B195,INDIRECT($B$5&amp;"生成成长"),4))/(VLOOKUP(DE$72,INDIRECT($C$5&amp;"生成成长"),5))*(VLOOKUP($B$5,标准坦克设计!$B$24:$U$30,MATCH("对"&amp;LEFT($C$5,2)&amp;"输出",标准坦克设计!$B$23:$U$23,0)))*(VLOOKUP($B195,INDIRECT($B$5&amp;"生成成长"),3))*(VLOOKUP($B$5,标准坦克设计!$B$14:$K$20,9)/30))</f>
        <v>25.428468312399804</v>
      </c>
      <c r="DF195" s="173">
        <f ca="1">(VLOOKUP(DF$72,INDIRECT($C$5&amp;"生成成长"),2))/((VLOOKUP($B195,INDIRECT($B$5&amp;"生成成长"),4))/(VLOOKUP(DF$72,INDIRECT($C$5&amp;"生成成长"),5))*(VLOOKUP($B$5,标准坦克设计!$B$24:$U$30,MATCH("对"&amp;LEFT($C$5,2)&amp;"输出",标准坦克设计!$B$23:$U$23,0)))*(VLOOKUP($B195,INDIRECT($B$5&amp;"生成成长"),3))*(VLOOKUP($B$5,标准坦克设计!$B$14:$K$20,9)/30))</f>
        <v>26.895198768280011</v>
      </c>
      <c r="DG195" s="173">
        <f ca="1">(VLOOKUP(DG$72,INDIRECT($C$5&amp;"生成成长"),2))/((VLOOKUP($B195,INDIRECT($B$5&amp;"生成成长"),4))/(VLOOKUP(DG$72,INDIRECT($C$5&amp;"生成成长"),5))*(VLOOKUP($B$5,标准坦克设计!$B$24:$U$30,MATCH("对"&amp;LEFT($C$5,2)&amp;"输出",标准坦克设计!$B$23:$U$23,0)))*(VLOOKUP($B195,INDIRECT($B$5&amp;"生成成长"),3))*(VLOOKUP($B$5,标准坦克设计!$B$14:$K$20,9)/30))</f>
        <v>28.403052507969949</v>
      </c>
      <c r="DH195" s="173">
        <f ca="1">(VLOOKUP(DH$72,INDIRECT($C$5&amp;"生成成长"),2))/((VLOOKUP($B195,INDIRECT($B$5&amp;"生成成长"),4))/(VLOOKUP(DH$72,INDIRECT($C$5&amp;"生成成长"),5))*(VLOOKUP($B$5,标准坦克设计!$B$24:$U$30,MATCH("对"&amp;LEFT($C$5,2)&amp;"输出",标准坦克设计!$B$23:$U$23,0)))*(VLOOKUP($B195,INDIRECT($B$5&amp;"生成成长"),3))*(VLOOKUP($B$5,标准坦克设计!$B$14:$K$20,9)/30))</f>
        <v>29.952029531469606</v>
      </c>
      <c r="DI195" s="173">
        <f ca="1">(VLOOKUP(DI$72,INDIRECT($C$5&amp;"生成成长"),2))/((VLOOKUP($B195,INDIRECT($B$5&amp;"生成成长"),4))/(VLOOKUP(DI$72,INDIRECT($C$5&amp;"生成成长"),5))*(VLOOKUP($B$5,标准坦克设计!$B$24:$U$30,MATCH("对"&amp;LEFT($C$5,2)&amp;"输出",标准坦克设计!$B$23:$U$23,0)))*(VLOOKUP($B195,INDIRECT($B$5&amp;"生成成长"),3))*(VLOOKUP($B$5,标准坦克设计!$B$14:$K$20,9)/30))</f>
        <v>31.542129838778983</v>
      </c>
      <c r="DJ195" s="173">
        <f ca="1">(VLOOKUP(DJ$72,INDIRECT($C$5&amp;"生成成长"),2))/((VLOOKUP($B195,INDIRECT($B$5&amp;"生成成长"),4))/(VLOOKUP(DJ$72,INDIRECT($C$5&amp;"生成成长"),5))*(VLOOKUP($B$5,标准坦克设计!$B$24:$U$30,MATCH("对"&amp;LEFT($C$5,2)&amp;"输出",标准坦克设计!$B$23:$U$23,0)))*(VLOOKUP($B195,INDIRECT($B$5&amp;"生成成长"),3))*(VLOOKUP($B$5,标准坦克设计!$B$14:$K$20,9)/30))</f>
        <v>3.1700625828462301</v>
      </c>
      <c r="DK195" s="173">
        <f ca="1">(VLOOKUP(DK$72,INDIRECT($C$5&amp;"生成成长"),2))/((VLOOKUP($B195,INDIRECT($B$5&amp;"生成成长"),4))/(VLOOKUP(DK$72,INDIRECT($C$5&amp;"生成成长"),5))*(VLOOKUP($B$5,标准坦克设计!$B$24:$U$30,MATCH("对"&amp;LEFT($C$5,2)&amp;"输出",标准坦克设计!$B$23:$U$23,0)))*(VLOOKUP($B195,INDIRECT($B$5&amp;"生成成长"),3))*(VLOOKUP($B$5,标准坦克设计!$B$14:$K$20,9)/30))</f>
        <v>3.5645890868957837</v>
      </c>
      <c r="DL195" s="173">
        <f ca="1">(VLOOKUP(DL$72,INDIRECT($C$5&amp;"生成成长"),2))/((VLOOKUP($B195,INDIRECT($B$5&amp;"生成成长"),4))/(VLOOKUP(DL$72,INDIRECT($C$5&amp;"生成成长"),5))*(VLOOKUP($B$5,标准坦克设计!$B$24:$U$30,MATCH("对"&amp;LEFT($C$5,2)&amp;"输出",标准坦克设计!$B$23:$U$23,0)))*(VLOOKUP($B195,INDIRECT($B$5&amp;"生成成长"),3))*(VLOOKUP($B$5,标准坦克设计!$B$14:$K$20,9)/30))</f>
        <v>3.9822474380883075</v>
      </c>
      <c r="DM195" s="173">
        <f ca="1">(VLOOKUP(DM$72,INDIRECT($C$5&amp;"生成成长"),2))/((VLOOKUP($B195,INDIRECT($B$5&amp;"生成成长"),4))/(VLOOKUP(DM$72,INDIRECT($C$5&amp;"生成成长"),5))*(VLOOKUP($B$5,标准坦克设计!$B$24:$U$30,MATCH("对"&amp;LEFT($C$5,2)&amp;"输出",标准坦克设计!$B$23:$U$23,0)))*(VLOOKUP($B195,INDIRECT($B$5&amp;"生成成长"),3))*(VLOOKUP($B$5,标准坦克设计!$B$14:$K$20,9)/30))</f>
        <v>4.4230376364238015</v>
      </c>
      <c r="DN195" s="173">
        <f ca="1">(VLOOKUP(DN$72,INDIRECT($C$5&amp;"生成成长"),2))/((VLOOKUP($B195,INDIRECT($B$5&amp;"生成成长"),4))/(VLOOKUP(DN$72,INDIRECT($C$5&amp;"生成成长"),5))*(VLOOKUP($B$5,标准坦克设计!$B$24:$U$30,MATCH("对"&amp;LEFT($C$5,2)&amp;"输出",标准坦克设计!$B$23:$U$23,0)))*(VLOOKUP($B195,INDIRECT($B$5&amp;"生成成长"),3))*(VLOOKUP($B$5,标准坦克设计!$B$14:$K$20,9)/30))</f>
        <v>4.8869596819022663</v>
      </c>
      <c r="DO195" s="173">
        <f ca="1">(VLOOKUP(DO$72,INDIRECT($C$5&amp;"生成成长"),2))/((VLOOKUP($B195,INDIRECT($B$5&amp;"生成成长"),4))/(VLOOKUP(DO$72,INDIRECT($C$5&amp;"生成成长"),5))*(VLOOKUP($B$5,标准坦克设计!$B$24:$U$30,MATCH("对"&amp;LEFT($C$5,2)&amp;"输出",标准坦克设计!$B$23:$U$23,0)))*(VLOOKUP($B195,INDIRECT($B$5&amp;"生成成长"),3))*(VLOOKUP($B$5,标准坦克设计!$B$14:$K$20,9)/30))</f>
        <v>5.3740135745237021</v>
      </c>
      <c r="DP195" s="173">
        <f ca="1">(VLOOKUP(DP$72,INDIRECT($C$5&amp;"生成成长"),2))/((VLOOKUP($B195,INDIRECT($B$5&amp;"生成成长"),4))/(VLOOKUP(DP$72,INDIRECT($C$5&amp;"生成成长"),5))*(VLOOKUP($B$5,标准坦克设计!$B$24:$U$30,MATCH("对"&amp;LEFT($C$5,2)&amp;"输出",标准坦克设计!$B$23:$U$23,0)))*(VLOOKUP($B195,INDIRECT($B$5&amp;"生成成长"),3))*(VLOOKUP($B$5,标准坦克设计!$B$14:$K$20,9)/30))</f>
        <v>5.8841993142881082</v>
      </c>
      <c r="DQ195" s="173">
        <f ca="1">(VLOOKUP(DQ$72,INDIRECT($C$5&amp;"生成成长"),2))/((VLOOKUP($B195,INDIRECT($B$5&amp;"生成成长"),4))/(VLOOKUP(DQ$72,INDIRECT($C$5&amp;"生成成长"),5))*(VLOOKUP($B$5,标准坦克设计!$B$24:$U$30,MATCH("对"&amp;LEFT($C$5,2)&amp;"输出",标准坦克设计!$B$23:$U$23,0)))*(VLOOKUP($B195,INDIRECT($B$5&amp;"生成成长"),3))*(VLOOKUP($B$5,标准坦克设计!$B$14:$K$20,9)/30))</f>
        <v>6.4175169011954845</v>
      </c>
      <c r="DR195" s="173">
        <f ca="1">(VLOOKUP(DR$72,INDIRECT($C$5&amp;"生成成长"),2))/((VLOOKUP($B195,INDIRECT($B$5&amp;"生成成长"),4))/(VLOOKUP(DR$72,INDIRECT($C$5&amp;"生成成长"),5))*(VLOOKUP($B$5,标准坦克设计!$B$24:$U$30,MATCH("对"&amp;LEFT($C$5,2)&amp;"输出",标准坦克设计!$B$23:$U$23,0)))*(VLOOKUP($B195,INDIRECT($B$5&amp;"生成成长"),3))*(VLOOKUP($B$5,标准坦克设计!$B$14:$K$20,9)/30))</f>
        <v>6.9739663352458328</v>
      </c>
      <c r="DS195" s="173">
        <f ca="1">(VLOOKUP(DS$72,INDIRECT($C$5&amp;"生成成长"),2))/((VLOOKUP($B195,INDIRECT($B$5&amp;"生成成长"),4))/(VLOOKUP(DS$72,INDIRECT($C$5&amp;"生成成长"),5))*(VLOOKUP($B$5,标准坦克设计!$B$24:$U$30,MATCH("对"&amp;LEFT($C$5,2)&amp;"输出",标准坦克设计!$B$23:$U$23,0)))*(VLOOKUP($B195,INDIRECT($B$5&amp;"生成成长"),3))*(VLOOKUP($B$5,标准坦克设计!$B$14:$K$20,9)/30))</f>
        <v>7.5535476164391513</v>
      </c>
      <c r="DT195" s="173">
        <f ca="1">(VLOOKUP(DT$72,INDIRECT($C$5&amp;"生成成长"),2))/((VLOOKUP($B195,INDIRECT($B$5&amp;"生成成长"),4))/(VLOOKUP(DT$72,INDIRECT($C$5&amp;"生成成长"),5))*(VLOOKUP($B$5,标准坦克设计!$B$24:$U$30,MATCH("对"&amp;LEFT($C$5,2)&amp;"输出",标准坦克设计!$B$23:$U$23,0)))*(VLOOKUP($B195,INDIRECT($B$5&amp;"生成成长"),3))*(VLOOKUP($B$5,标准坦克设计!$B$14:$K$20,9)/30))</f>
        <v>8.2933383574745214</v>
      </c>
      <c r="DU195" s="173">
        <f ca="1">(VLOOKUP(DU$72,INDIRECT($C$5&amp;"生成成长"),2))/((VLOOKUP($B195,INDIRECT($B$5&amp;"生成成长"),4))/(VLOOKUP(DU$72,INDIRECT($C$5&amp;"生成成长"),5))*(VLOOKUP($B$5,标准坦克设计!$B$24:$U$30,MATCH("对"&amp;LEFT($C$5,2)&amp;"输出",标准坦克设计!$B$23:$U$23,0)))*(VLOOKUP($B195,INDIRECT($B$5&amp;"生成成长"),3))*(VLOOKUP($B$5,标准坦克设计!$B$14:$K$20,9)/30))</f>
        <v>9.067684080044458</v>
      </c>
      <c r="DV195" s="173">
        <f ca="1">(VLOOKUP(DV$72,INDIRECT($C$5&amp;"生成成长"),2))/((VLOOKUP($B195,INDIRECT($B$5&amp;"生成成长"),4))/(VLOOKUP(DV$72,INDIRECT($C$5&amp;"生成成长"),5))*(VLOOKUP($B$5,标准坦克设计!$B$24:$U$30,MATCH("对"&amp;LEFT($C$5,2)&amp;"输出",标准坦克设计!$B$23:$U$23,0)))*(VLOOKUP($B195,INDIRECT($B$5&amp;"生成成长"),3))*(VLOOKUP($B$5,标准坦克设计!$B$14:$K$20,9)/30))</f>
        <v>9.8765847841489531</v>
      </c>
      <c r="DW195" s="173">
        <f ca="1">(VLOOKUP(DW$72,INDIRECT($C$5&amp;"生成成长"),2))/((VLOOKUP($B195,INDIRECT($B$5&amp;"生成成长"),4))/(VLOOKUP(DW$72,INDIRECT($C$5&amp;"生成成长"),5))*(VLOOKUP($B$5,标准坦克设计!$B$24:$U$30,MATCH("对"&amp;LEFT($C$5,2)&amp;"输出",标准坦克设计!$B$23:$U$23,0)))*(VLOOKUP($B195,INDIRECT($B$5&amp;"生成成长"),3))*(VLOOKUP($B$5,标准坦克设计!$B$14:$K$20,9)/30))</f>
        <v>10.720040469788009</v>
      </c>
      <c r="DX195" s="173">
        <f ca="1">(VLOOKUP(DX$72,INDIRECT($C$5&amp;"生成成长"),2))/((VLOOKUP($B195,INDIRECT($B$5&amp;"生成成长"),4))/(VLOOKUP(DX$72,INDIRECT($C$5&amp;"生成成长"),5))*(VLOOKUP($B$5,标准坦克设计!$B$24:$U$30,MATCH("对"&amp;LEFT($C$5,2)&amp;"输出",标准坦克设计!$B$23:$U$23,0)))*(VLOOKUP($B195,INDIRECT($B$5&amp;"生成成长"),3))*(VLOOKUP($B$5,标准坦克设计!$B$14:$K$20,9)/30))</f>
        <v>11.598051136961628</v>
      </c>
      <c r="DY195" s="173">
        <f ca="1">(VLOOKUP(DY$72,INDIRECT($C$5&amp;"生成成长"),2))/((VLOOKUP($B195,INDIRECT($B$5&amp;"生成成长"),4))/(VLOOKUP(DY$72,INDIRECT($C$5&amp;"生成成长"),5))*(VLOOKUP($B$5,标准坦克设计!$B$24:$U$30,MATCH("对"&amp;LEFT($C$5,2)&amp;"输出",标准坦克设计!$B$23:$U$23,0)))*(VLOOKUP($B195,INDIRECT($B$5&amp;"生成成长"),3))*(VLOOKUP($B$5,标准坦克设计!$B$14:$K$20,9)/30))</f>
        <v>5.2090920717451157</v>
      </c>
      <c r="DZ195" s="173">
        <f ca="1">(VLOOKUP(DZ$72,INDIRECT($C$5&amp;"生成成长"),2))/((VLOOKUP($B195,INDIRECT($B$5&amp;"生成成长"),4))/(VLOOKUP(DZ$72,INDIRECT($C$5&amp;"生成成长"),5))*(VLOOKUP($B$5,标准坦克设计!$B$24:$U$30,MATCH("对"&amp;LEFT($C$5,2)&amp;"输出",标准坦克设计!$B$23:$U$23,0)))*(VLOOKUP($B195,INDIRECT($B$5&amp;"生成成长"),3))*(VLOOKUP($B$5,标准坦克设计!$B$14:$K$20,9)/30))</f>
        <v>5.7688256569330454</v>
      </c>
      <c r="EA195" s="173">
        <f ca="1">(VLOOKUP(EA$72,INDIRECT($C$5&amp;"生成成长"),2))/((VLOOKUP($B195,INDIRECT($B$5&amp;"生成成长"),4))/(VLOOKUP(EA$72,INDIRECT($C$5&amp;"生成成长"),5))*(VLOOKUP($B$5,标准坦克设计!$B$24:$U$30,MATCH("对"&amp;LEFT($C$5,2)&amp;"输出",标准坦克设计!$B$23:$U$23,0)))*(VLOOKUP($B195,INDIRECT($B$5&amp;"生成成长"),3))*(VLOOKUP($B$5,标准坦克设计!$B$14:$K$20,9)/30))</f>
        <v>6.3571170780999511</v>
      </c>
      <c r="EB195" s="173">
        <f ca="1">(VLOOKUP(EB$72,INDIRECT($C$5&amp;"生成成长"),2))/((VLOOKUP($B195,INDIRECT($B$5&amp;"生成成长"),4))/(VLOOKUP(EB$72,INDIRECT($C$5&amp;"生成成长"),5))*(VLOOKUP($B$5,标准坦克设计!$B$24:$U$30,MATCH("对"&amp;LEFT($C$5,2)&amp;"输出",标准坦克设计!$B$23:$U$23,0)))*(VLOOKUP($B195,INDIRECT($B$5&amp;"生成成长"),3))*(VLOOKUP($B$5,标准坦克设计!$B$14:$K$20,9)/30))</f>
        <v>6.9739663352458328</v>
      </c>
      <c r="EC195" s="173">
        <f ca="1">(VLOOKUP(EC$72,INDIRECT($C$5&amp;"生成成长"),2))/((VLOOKUP($B195,INDIRECT($B$5&amp;"生成成长"),4))/(VLOOKUP(EC$72,INDIRECT($C$5&amp;"生成成长"),5))*(VLOOKUP($B$5,标准坦克设计!$B$24:$U$30,MATCH("对"&amp;LEFT($C$5,2)&amp;"输出",标准坦克设计!$B$23:$U$23,0)))*(VLOOKUP($B195,INDIRECT($B$5&amp;"生成成长"),3))*(VLOOKUP($B$5,标准坦克设计!$B$14:$K$20,9)/30))</f>
        <v>7.6193734283706904</v>
      </c>
      <c r="ED195" s="173">
        <f ca="1">(VLOOKUP(ED$72,INDIRECT($C$5&amp;"生成成长"),2))/((VLOOKUP($B195,INDIRECT($B$5&amp;"生成成长"),4))/(VLOOKUP(ED$72,INDIRECT($C$5&amp;"生成成长"),5))*(VLOOKUP($B$5,标准坦克设计!$B$24:$U$30,MATCH("对"&amp;LEFT($C$5,2)&amp;"输出",标准坦克设计!$B$23:$U$23,0)))*(VLOOKUP($B195,INDIRECT($B$5&amp;"生成成长"),3))*(VLOOKUP($B$5,标准坦克设计!$B$14:$K$20,9)/30))</f>
        <v>8.2933383574745214</v>
      </c>
      <c r="EE195" s="173">
        <f ca="1">(VLOOKUP(EE$72,INDIRECT($C$5&amp;"生成成长"),2))/((VLOOKUP($B195,INDIRECT($B$5&amp;"生成成长"),4))/(VLOOKUP(EE$72,INDIRECT($C$5&amp;"生成成长"),5))*(VLOOKUP($B$5,标准坦克设计!$B$24:$U$30,MATCH("对"&amp;LEFT($C$5,2)&amp;"输出",标准坦克设计!$B$23:$U$23,0)))*(VLOOKUP($B195,INDIRECT($B$5&amp;"生成成长"),3))*(VLOOKUP($B$5,标准坦克设计!$B$14:$K$20,9)/30))</f>
        <v>8.9958611225573328</v>
      </c>
      <c r="EF195" s="173">
        <f ca="1">(VLOOKUP(EF$72,INDIRECT($C$5&amp;"生成成长"),2))/((VLOOKUP($B195,INDIRECT($B$5&amp;"生成成长"),4))/(VLOOKUP(EF$72,INDIRECT($C$5&amp;"生成成长"),5))*(VLOOKUP($B$5,标准坦克设计!$B$24:$U$30,MATCH("对"&amp;LEFT($C$5,2)&amp;"输出",标准坦克设计!$B$23:$U$23,0)))*(VLOOKUP($B195,INDIRECT($B$5&amp;"生成成长"),3))*(VLOOKUP($B$5,标准坦克设计!$B$14:$K$20,9)/30))</f>
        <v>9.7269417236191167</v>
      </c>
      <c r="EG195" s="173">
        <f ca="1">(VLOOKUP(EG$72,INDIRECT($C$5&amp;"生成成长"),2))/((VLOOKUP($B195,INDIRECT($B$5&amp;"生成成长"),4))/(VLOOKUP(EG$72,INDIRECT($C$5&amp;"生成成长"),5))*(VLOOKUP($B$5,标准坦克设计!$B$24:$U$30,MATCH("对"&amp;LEFT($C$5,2)&amp;"输出",标准坦克设计!$B$23:$U$23,0)))*(VLOOKUP($B195,INDIRECT($B$5&amp;"生成成长"),3))*(VLOOKUP($B$5,标准坦克设计!$B$14:$K$20,9)/30))</f>
        <v>10.48658016065988</v>
      </c>
      <c r="EH195" s="173">
        <f ca="1">(VLOOKUP(EH$72,INDIRECT($C$5&amp;"生成成长"),2))/((VLOOKUP($B195,INDIRECT($B$5&amp;"生成成长"),4))/(VLOOKUP(EH$72,INDIRECT($C$5&amp;"生成成长"),5))*(VLOOKUP($B$5,标准坦克设计!$B$24:$U$30,MATCH("对"&amp;LEFT($C$5,2)&amp;"输出",标准坦克设计!$B$23:$U$23,0)))*(VLOOKUP($B195,INDIRECT($B$5&amp;"生成成长"),3))*(VLOOKUP($B$5,标准坦克设计!$B$14:$K$20,9)/30))</f>
        <v>11.274776433679616</v>
      </c>
      <c r="EI195" s="173">
        <f ca="1">(VLOOKUP(EI$72,INDIRECT($C$5&amp;"生成成长"),2))/((VLOOKUP($B195,INDIRECT($B$5&amp;"生成成长"),4))/(VLOOKUP(EI$72,INDIRECT($C$5&amp;"生成成长"),5))*(VLOOKUP($B$5,标准坦克设计!$B$24:$U$30,MATCH("对"&amp;LEFT($C$5,2)&amp;"输出",标准坦克设计!$B$23:$U$23,0)))*(VLOOKUP($B195,INDIRECT($B$5&amp;"生成成长"),3))*(VLOOKUP($B$5,标准坦克设计!$B$14:$K$20,9)/30))</f>
        <v>12.091530542678329</v>
      </c>
      <c r="EJ195" s="173">
        <f ca="1">(VLOOKUP(EJ$72,INDIRECT($C$5&amp;"生成成长"),2))/((VLOOKUP($B195,INDIRECT($B$5&amp;"生成成长"),4))/(VLOOKUP(EJ$72,INDIRECT($C$5&amp;"生成成长"),5))*(VLOOKUP($B$5,标准坦克设计!$B$24:$U$30,MATCH("对"&amp;LEFT($C$5,2)&amp;"输出",标准坦克设计!$B$23:$U$23,0)))*(VLOOKUP($B195,INDIRECT($B$5&amp;"生成成长"),3))*(VLOOKUP($B$5,标准坦克设计!$B$14:$K$20,9)/30))</f>
        <v>12.936842487656017</v>
      </c>
      <c r="EK195" s="173">
        <f ca="1">(VLOOKUP(EK$72,INDIRECT($C$5&amp;"生成成长"),2))/((VLOOKUP($B195,INDIRECT($B$5&amp;"生成成长"),4))/(VLOOKUP(EK$72,INDIRECT($C$5&amp;"生成成长"),5))*(VLOOKUP($B$5,标准坦克设计!$B$24:$U$30,MATCH("对"&amp;LEFT($C$5,2)&amp;"输出",标准坦克设计!$B$23:$U$23,0)))*(VLOOKUP($B195,INDIRECT($B$5&amp;"生成成长"),3))*(VLOOKUP($B$5,标准坦克设计!$B$14:$K$20,9)/30))</f>
        <v>13.988913165121495</v>
      </c>
      <c r="EL195" s="173">
        <f ca="1">(VLOOKUP(EL$72,INDIRECT($C$5&amp;"生成成长"),2))/((VLOOKUP($B195,INDIRECT($B$5&amp;"生成成长"),4))/(VLOOKUP(EL$72,INDIRECT($C$5&amp;"生成成长"),5))*(VLOOKUP($B$5,标准坦克设计!$B$24:$U$30,MATCH("对"&amp;LEFT($C$5,2)&amp;"输出",标准坦克设计!$B$23:$U$23,0)))*(VLOOKUP($B195,INDIRECT($B$5&amp;"生成成长"),3))*(VLOOKUP($B$5,标准坦克设计!$B$14:$K$20,9)/30))</f>
        <v>15.082107126396698</v>
      </c>
      <c r="EM195" s="173">
        <f ca="1">(VLOOKUP(EM$72,INDIRECT($C$5&amp;"生成成长"),2))/((VLOOKUP($B195,INDIRECT($B$5&amp;"生成成长"),4))/(VLOOKUP(EM$72,INDIRECT($C$5&amp;"生成成长"),5))*(VLOOKUP($B$5,标准坦克设计!$B$24:$U$30,MATCH("对"&amp;LEFT($C$5,2)&amp;"输出",标准坦克设计!$B$23:$U$23,0)))*(VLOOKUP($B195,INDIRECT($B$5&amp;"生成成长"),3))*(VLOOKUP($B$5,标准坦克设计!$B$14:$K$20,9)/30))</f>
        <v>16.216424371481622</v>
      </c>
      <c r="EN195" s="173">
        <f ca="1">(VLOOKUP(EN$72,INDIRECT($C$5&amp;"生成成长"),2))/((VLOOKUP($B195,INDIRECT($B$5&amp;"生成成长"),4))/(VLOOKUP(EN$72,INDIRECT($C$5&amp;"生成成长"),5))*(VLOOKUP($B$5,标准坦克设计!$B$24:$U$30,MATCH("对"&amp;LEFT($C$5,2)&amp;"输出",标准坦克设计!$B$23:$U$23,0)))*(VLOOKUP($B195,INDIRECT($B$5&amp;"生成成长"),3))*(VLOOKUP($B$5,标准坦克设计!$B$14:$K$20,9)/30))</f>
        <v>17.391864900376277</v>
      </c>
      <c r="EO195" s="173">
        <f ca="1">(VLOOKUP(EO$72,INDIRECT($C$5&amp;"生成成长"),2))/((VLOOKUP($B195,INDIRECT($B$5&amp;"生成成长"),4))/(VLOOKUP(EO$72,INDIRECT($C$5&amp;"生成成长"),5))*(VLOOKUP($B$5,标准坦克设计!$B$24:$U$30,MATCH("对"&amp;LEFT($C$5,2)&amp;"输出",标准坦克设计!$B$23:$U$23,0)))*(VLOOKUP($B195,INDIRECT($B$5&amp;"生成成长"),3))*(VLOOKUP($B$5,标准坦克设计!$B$14:$K$20,9)/30))</f>
        <v>18.608428713080652</v>
      </c>
      <c r="EP195" s="173">
        <f ca="1">(VLOOKUP(EP$72,INDIRECT($C$5&amp;"生成成长"),2))/((VLOOKUP($B195,INDIRECT($B$5&amp;"生成成长"),4))/(VLOOKUP(EP$72,INDIRECT($C$5&amp;"生成成长"),5))*(VLOOKUP($B$5,标准坦克设计!$B$24:$U$30,MATCH("对"&amp;LEFT($C$5,2)&amp;"输出",标准坦克设计!$B$23:$U$23,0)))*(VLOOKUP($B195,INDIRECT($B$5&amp;"生成成长"),3))*(VLOOKUP($B$5,标准坦克设计!$B$14:$K$20,9)/30))</f>
        <v>19.866115809594753</v>
      </c>
      <c r="EQ195" s="173">
        <f ca="1">(VLOOKUP(EQ$72,INDIRECT($C$5&amp;"生成成长"),2))/((VLOOKUP($B195,INDIRECT($B$5&amp;"生成成长"),4))/(VLOOKUP(EQ$72,INDIRECT($C$5&amp;"生成成长"),5))*(VLOOKUP($B$5,标准坦克设计!$B$24:$U$30,MATCH("对"&amp;LEFT($C$5,2)&amp;"输出",标准坦克设计!$B$23:$U$23,0)))*(VLOOKUP($B195,INDIRECT($B$5&amp;"生成成长"),3))*(VLOOKUP($B$5,标准坦克设计!$B$14:$K$20,9)/30))</f>
        <v>8.7821057202546964</v>
      </c>
      <c r="ER195" s="173">
        <f ca="1">(VLOOKUP(ER$72,INDIRECT($C$5&amp;"生成成长"),2))/((VLOOKUP($B195,INDIRECT($B$5&amp;"生成成长"),4))/(VLOOKUP(ER$72,INDIRECT($C$5&amp;"生成成长"),5))*(VLOOKUP($B$5,标准坦克设计!$B$24:$U$30,MATCH("对"&amp;LEFT($C$5,2)&amp;"输出",标准坦克设计!$B$23:$U$23,0)))*(VLOOKUP($B195,INDIRECT($B$5&amp;"生成成长"),3))*(VLOOKUP($B$5,标准坦克设计!$B$14:$K$20,9)/30))</f>
        <v>9.5784409765284426</v>
      </c>
      <c r="ES195" s="173">
        <f ca="1">(VLOOKUP(ES$72,INDIRECT($C$5&amp;"生成成长"),2))/((VLOOKUP($B195,INDIRECT($B$5&amp;"生成成长"),4))/(VLOOKUP(ES$72,INDIRECT($C$5&amp;"生成成长"),5))*(VLOOKUP($B$5,标准坦克设计!$B$24:$U$30,MATCH("对"&amp;LEFT($C$5,2)&amp;"输出",标准坦克设计!$B$23:$U$23,0)))*(VLOOKUP($B195,INDIRECT($B$5&amp;"生成成长"),3))*(VLOOKUP($B$5,标准坦克设计!$B$14:$K$20,9)/30))</f>
        <v>10.409331214336751</v>
      </c>
      <c r="ET195" s="173">
        <f ca="1">(VLOOKUP(ET$72,INDIRECT($C$5&amp;"生成成长"),2))/((VLOOKUP($B195,INDIRECT($B$5&amp;"生成成长"),4))/(VLOOKUP(ET$72,INDIRECT($C$5&amp;"生成成长"),5))*(VLOOKUP($B$5,标准坦克设计!$B$24:$U$30,MATCH("对"&amp;LEFT($C$5,2)&amp;"输出",标准坦克设计!$B$23:$U$23,0)))*(VLOOKUP($B195,INDIRECT($B$5&amp;"生成成长"),3))*(VLOOKUP($B$5,标准坦克设计!$B$14:$K$20,9)/30))</f>
        <v>11.274776433679616</v>
      </c>
      <c r="EU195" s="173">
        <f ca="1">(VLOOKUP(EU$72,INDIRECT($C$5&amp;"生成成长"),2))/((VLOOKUP($B195,INDIRECT($B$5&amp;"生成成长"),4))/(VLOOKUP(EU$72,INDIRECT($C$5&amp;"生成成长"),5))*(VLOOKUP($B$5,标准坦克设计!$B$24:$U$30,MATCH("对"&amp;LEFT($C$5,2)&amp;"输出",标准坦克设计!$B$23:$U$23,0)))*(VLOOKUP($B195,INDIRECT($B$5&amp;"生成成长"),3))*(VLOOKUP($B$5,标准坦克设计!$B$14:$K$20,9)/30))</f>
        <v>12.174776634557045</v>
      </c>
      <c r="EV195" s="173">
        <f ca="1">(VLOOKUP(EV$72,INDIRECT($C$5&amp;"生成成长"),2))/((VLOOKUP($B195,INDIRECT($B$5&amp;"生成成长"),4))/(VLOOKUP(EV$72,INDIRECT($C$5&amp;"生成成长"),5))*(VLOOKUP($B$5,标准坦克设计!$B$24:$U$30,MATCH("对"&amp;LEFT($C$5,2)&amp;"输出",标准坦克设计!$B$23:$U$23,0)))*(VLOOKUP($B195,INDIRECT($B$5&amp;"生成成长"),3))*(VLOOKUP($B$5,标准坦克设计!$B$14:$K$20,9)/30))</f>
        <v>13.109331816969036</v>
      </c>
      <c r="EW195" s="173">
        <f ca="1">(VLOOKUP(EW$72,INDIRECT($C$5&amp;"生成成长"),2))/((VLOOKUP($B195,INDIRECT($B$5&amp;"生成成长"),4))/(VLOOKUP(EW$72,INDIRECT($C$5&amp;"生成成长"),5))*(VLOOKUP($B$5,标准坦克设计!$B$24:$U$30,MATCH("对"&amp;LEFT($C$5,2)&amp;"输出",标准坦克设计!$B$23:$U$23,0)))*(VLOOKUP($B195,INDIRECT($B$5&amp;"生成成长"),3))*(VLOOKUP($B$5,标准坦克设计!$B$14:$K$20,9)/30))</f>
        <v>14.078441980915587</v>
      </c>
      <c r="EX195" s="173">
        <f ca="1">(VLOOKUP(EX$72,INDIRECT($C$5&amp;"生成成长"),2))/((VLOOKUP($B195,INDIRECT($B$5&amp;"生成成长"),4))/(VLOOKUP(EX$72,INDIRECT($C$5&amp;"生成成长"),5))*(VLOOKUP($B$5,标准坦克设计!$B$24:$U$30,MATCH("对"&amp;LEFT($C$5,2)&amp;"输出",标准坦克设计!$B$23:$U$23,0)))*(VLOOKUP($B195,INDIRECT($B$5&amp;"生成成长"),3))*(VLOOKUP($B$5,标准坦克设计!$B$14:$K$20,9)/30))</f>
        <v>15.082107126396698</v>
      </c>
      <c r="EY195" s="173">
        <f ca="1">(VLOOKUP(EY$72,INDIRECT($C$5&amp;"生成成长"),2))/((VLOOKUP($B195,INDIRECT($B$5&amp;"生成成长"),4))/(VLOOKUP(EY$72,INDIRECT($C$5&amp;"生成成长"),5))*(VLOOKUP($B$5,标准坦克设计!$B$24:$U$30,MATCH("对"&amp;LEFT($C$5,2)&amp;"输出",标准坦克设计!$B$23:$U$23,0)))*(VLOOKUP($B195,INDIRECT($B$5&amp;"生成成长"),3))*(VLOOKUP($B$5,标准坦克设计!$B$14:$K$20,9)/30))</f>
        <v>16.12032725341237</v>
      </c>
      <c r="EZ195" s="173">
        <f ca="1">(VLOOKUP(EZ$72,INDIRECT($C$5&amp;"生成成长"),2))/((VLOOKUP($B195,INDIRECT($B$5&amp;"生成成长"),4))/(VLOOKUP(EZ$72,INDIRECT($C$5&amp;"生成成长"),5))*(VLOOKUP($B$5,标准坦克设计!$B$24:$U$30,MATCH("对"&amp;LEFT($C$5,2)&amp;"输出",标准坦克设计!$B$23:$U$23,0)))*(VLOOKUP($B195,INDIRECT($B$5&amp;"生成成长"),3))*(VLOOKUP($B$5,标准坦克设计!$B$14:$K$20,9)/30))</f>
        <v>17.193102361962605</v>
      </c>
      <c r="FA195" s="173">
        <f ca="1">(VLOOKUP(FA$72,INDIRECT($C$5&amp;"生成成长"),2))/((VLOOKUP($B195,INDIRECT($B$5&amp;"生成成长"),4))/(VLOOKUP(FA$72,INDIRECT($C$5&amp;"生成成长"),5))*(VLOOKUP($B$5,标准坦克设计!$B$24:$U$30,MATCH("对"&amp;LEFT($C$5,2)&amp;"输出",标准坦克设计!$B$23:$U$23,0)))*(VLOOKUP($B195,INDIRECT($B$5&amp;"生成成长"),3))*(VLOOKUP($B$5,标准坦克设计!$B$14:$K$20,9)/30))</f>
        <v>18.300432452047396</v>
      </c>
      <c r="FB195" s="173">
        <f ca="1">(VLOOKUP(FB$72,INDIRECT($C$5&amp;"生成成长"),2))/((VLOOKUP($B195,INDIRECT($B$5&amp;"生成成长"),4))/(VLOOKUP(FB$72,INDIRECT($C$5&amp;"生成成长"),5))*(VLOOKUP($B$5,标准坦克设计!$B$24:$U$30,MATCH("对"&amp;LEFT($C$5,2)&amp;"输出",标准坦克设计!$B$23:$U$23,0)))*(VLOOKUP($B195,INDIRECT($B$5&amp;"生成成长"),3))*(VLOOKUP($B$5,标准坦克设计!$B$14:$K$20,9)/30))</f>
        <v>19.442317523666752</v>
      </c>
      <c r="FC195" s="173">
        <f ca="1">(VLOOKUP(FC$72,INDIRECT($C$5&amp;"生成成长"),2))/((VLOOKUP($B195,INDIRECT($B$5&amp;"生成成长"),4))/(VLOOKUP(FC$72,INDIRECT($C$5&amp;"生成成长"),5))*(VLOOKUP($B$5,标准坦克设计!$B$24:$U$30,MATCH("对"&amp;LEFT($C$5,2)&amp;"输出",标准坦克设计!$B$23:$U$23,0)))*(VLOOKUP($B195,INDIRECT($B$5&amp;"生成成长"),3))*(VLOOKUP($B$5,标准坦克设计!$B$14:$K$20,9)/30))</f>
        <v>20.618757576820673</v>
      </c>
      <c r="FD195" s="173">
        <f ca="1">(VLOOKUP(FD$72,INDIRECT($C$5&amp;"生成成长"),2))/((VLOOKUP($B195,INDIRECT($B$5&amp;"生成成长"),4))/(VLOOKUP(FD$72,INDIRECT($C$5&amp;"生成成长"),5))*(VLOOKUP($B$5,标准坦克设计!$B$24:$U$30,MATCH("对"&amp;LEFT($C$5,2)&amp;"输出",标准坦克设计!$B$23:$U$23,0)))*(VLOOKUP($B195,INDIRECT($B$5&amp;"生成成长"),3))*(VLOOKUP($B$5,标准坦克设计!$B$14:$K$20,9)/30))</f>
        <v>21.829752611509143</v>
      </c>
      <c r="FE195" s="173">
        <f ca="1">(VLOOKUP(FE$72,INDIRECT($C$5&amp;"生成成长"),2))/((VLOOKUP($B195,INDIRECT($B$5&amp;"生成成长"),4))/(VLOOKUP(FE$72,INDIRECT($C$5&amp;"生成成长"),5))*(VLOOKUP($B$5,标准坦克设计!$B$24:$U$30,MATCH("对"&amp;LEFT($C$5,2)&amp;"输出",标准坦克设计!$B$23:$U$23,0)))*(VLOOKUP($B195,INDIRECT($B$5&amp;"生成成长"),3))*(VLOOKUP($B$5,标准坦克设计!$B$14:$K$20,9)/30))</f>
        <v>23.305478785722727</v>
      </c>
      <c r="FF195" s="173">
        <f ca="1">(VLOOKUP(FF$72,INDIRECT($C$5&amp;"生成成长"),2))/((VLOOKUP($B195,INDIRECT($B$5&amp;"生成成长"),4))/(VLOOKUP(FF$72,INDIRECT($C$5&amp;"生成成长"),5))*(VLOOKUP($B$5,标准坦克设计!$B$24:$U$30,MATCH("对"&amp;LEFT($C$5,2)&amp;"输出",标准坦克设计!$B$23:$U$23,0)))*(VLOOKUP($B195,INDIRECT($B$5&amp;"生成成长"),3))*(VLOOKUP($B$5,标准坦克设计!$B$14:$K$20,9)/30))</f>
        <v>24.829467702740786</v>
      </c>
      <c r="FG195" s="173">
        <f ca="1">(VLOOKUP(FG$72,INDIRECT($C$5&amp;"生成成长"),2))/((VLOOKUP($B195,INDIRECT($B$5&amp;"生成成长"),4))/(VLOOKUP(FG$72,INDIRECT($C$5&amp;"生成成长"),5))*(VLOOKUP($B$5,标准坦克设计!$B$24:$U$30,MATCH("对"&amp;LEFT($C$5,2)&amp;"输出",标准坦克设计!$B$23:$U$23,0)))*(VLOOKUP($B195,INDIRECT($B$5&amp;"生成成长"),3))*(VLOOKUP($B$5,标准坦克设计!$B$14:$K$20,9)/30))</f>
        <v>26.401719362563309</v>
      </c>
      <c r="FH195" s="173">
        <f ca="1">(VLOOKUP(FH$72,INDIRECT($C$5&amp;"生成成长"),2))/((VLOOKUP($B195,INDIRECT($B$5&amp;"生成成长"),4))/(VLOOKUP(FH$72,INDIRECT($C$5&amp;"生成成长"),5))*(VLOOKUP($B$5,标准坦克设计!$B$24:$U$30,MATCH("对"&amp;LEFT($C$5,2)&amp;"输出",标准坦克设计!$B$23:$U$23,0)))*(VLOOKUP($B195,INDIRECT($B$5&amp;"生成成长"),3))*(VLOOKUP($B$5,标准坦克设计!$B$14:$K$20,9)/30))</f>
        <v>28.022233765190297</v>
      </c>
      <c r="FI195" s="173">
        <f ca="1">(VLOOKUP(FI$72,INDIRECT($C$5&amp;"生成成长"),2))/((VLOOKUP($B195,INDIRECT($B$5&amp;"生成成长"),4))/(VLOOKUP(FI$72,INDIRECT($C$5&amp;"生成成长"),5))*(VLOOKUP($B$5,标准坦克设计!$B$24:$U$30,MATCH("对"&amp;LEFT($C$5,2)&amp;"输出",标准坦克设计!$B$23:$U$23,0)))*(VLOOKUP($B195,INDIRECT($B$5&amp;"生成成长"),3))*(VLOOKUP($B$5,标准坦克设计!$B$14:$K$20,9)/30))</f>
        <v>29.69101091062176</v>
      </c>
      <c r="FJ195" s="173">
        <f ca="1">(VLOOKUP(FJ$72,INDIRECT($C$5&amp;"生成成长"),2))/((VLOOKUP($B195,INDIRECT($B$5&amp;"生成成长"),4))/(VLOOKUP(FJ$72,INDIRECT($C$5&amp;"生成成长"),5))*(VLOOKUP($B$5,标准坦克设计!$B$24:$U$30,MATCH("对"&amp;LEFT($C$5,2)&amp;"输出",标准坦克设计!$B$23:$U$23,0)))*(VLOOKUP($B195,INDIRECT($B$5&amp;"生成成长"),3))*(VLOOKUP($B$5,标准坦克设计!$B$14:$K$20,9)/30))</f>
        <v>31.40805079885769</v>
      </c>
      <c r="FK195" s="173">
        <f ca="1">(VLOOKUP(FK$72,INDIRECT($C$5&amp;"生成成长"),2))/((VLOOKUP($B195,INDIRECT($B$5&amp;"生成成长"),4))/(VLOOKUP(FK$72,INDIRECT($C$5&amp;"生成成长"),5))*(VLOOKUP($B$5,标准坦克设计!$B$24:$U$30,MATCH("对"&amp;LEFT($C$5,2)&amp;"输出",标准坦克设计!$B$23:$U$23,0)))*(VLOOKUP($B195,INDIRECT($B$5&amp;"生成成长"),3))*(VLOOKUP($B$5,标准坦克设计!$B$14:$K$20,9)/30))</f>
        <v>33.173353429898086</v>
      </c>
    </row>
    <row r="196" spans="1:167" x14ac:dyDescent="0.15">
      <c r="A196" s="171" t="str">
        <f t="shared" si="12"/>
        <v>T3高品质13级</v>
      </c>
      <c r="B196" s="172">
        <v>30313</v>
      </c>
      <c r="C196" s="173">
        <f ca="1">(VLOOKUP(C$72,INDIRECT($C$5&amp;"生成成长"),2))/((VLOOKUP($B196,INDIRECT($B$5&amp;"生成成长"),4))/(VLOOKUP(C$72,INDIRECT($C$5&amp;"生成成长"),5))*(VLOOKUP($B$5,标准坦克设计!$B$24:$U$30,MATCH("对"&amp;LEFT($C$5,2)&amp;"输出",标准坦克设计!$B$23:$U$23,0)))*(VLOOKUP($B196,INDIRECT($B$5&amp;"生成成长"),3))*(VLOOKUP($B$5,标准坦克设计!$B$14:$K$20,9)/30))</f>
        <v>1.3095342277811806</v>
      </c>
      <c r="D196" s="173">
        <f ca="1">(VLOOKUP(D$72,INDIRECT($C$5&amp;"生成成长"),2))/((VLOOKUP($B196,INDIRECT($B$5&amp;"生成成长"),4))/(VLOOKUP(D$72,INDIRECT($C$5&amp;"生成成长"),5))*(VLOOKUP($B$5,标准坦克设计!$B$24:$U$30,MATCH("对"&amp;LEFT($C$5,2)&amp;"输出",标准坦克设计!$B$23:$U$23,0)))*(VLOOKUP($B196,INDIRECT($B$5&amp;"生成成长"),3))*(VLOOKUP($B$5,标准坦克设计!$B$14:$K$20,9)/30))</f>
        <v>1.4713926583349344</v>
      </c>
      <c r="E196" s="173">
        <f ca="1">(VLOOKUP(E$72,INDIRECT($C$5&amp;"生成成长"),2))/((VLOOKUP($B196,INDIRECT($B$5&amp;"生成成长"),4))/(VLOOKUP(E$72,INDIRECT($C$5&amp;"生成成长"),5))*(VLOOKUP($B$5,标准坦克设计!$B$24:$U$30,MATCH("对"&amp;LEFT($C$5,2)&amp;"输出",标准坦克设计!$B$23:$U$23,0)))*(VLOOKUP($B196,INDIRECT($B$5&amp;"生成成长"),3))*(VLOOKUP($B$5,标准坦克设计!$B$14:$K$20,9)/30))</f>
        <v>1.642679735328713</v>
      </c>
      <c r="F196" s="173">
        <f ca="1">(VLOOKUP(F$72,INDIRECT($C$5&amp;"生成成长"),2))/((VLOOKUP($B196,INDIRECT($B$5&amp;"生成成长"),4))/(VLOOKUP(F$72,INDIRECT($C$5&amp;"生成成长"),5))*(VLOOKUP($B$5,标准坦克设计!$B$24:$U$30,MATCH("对"&amp;LEFT($C$5,2)&amp;"输出",标准坦克设计!$B$23:$U$23,0)))*(VLOOKUP($B196,INDIRECT($B$5&amp;"生成成长"),3))*(VLOOKUP($B$5,标准坦克设计!$B$14:$K$20,9)/30))</f>
        <v>1.8233954587625161</v>
      </c>
      <c r="G196" s="173">
        <f ca="1">(VLOOKUP(G$72,INDIRECT($C$5&amp;"生成成长"),2))/((VLOOKUP($B196,INDIRECT($B$5&amp;"生成成长"),4))/(VLOOKUP(G$72,INDIRECT($C$5&amp;"生成成长"),5))*(VLOOKUP($B$5,标准坦克设计!$B$24:$U$30,MATCH("对"&amp;LEFT($C$5,2)&amp;"输出",标准坦克设计!$B$23:$U$23,0)))*(VLOOKUP($B196,INDIRECT($B$5&amp;"生成成长"),3))*(VLOOKUP($B$5,标准坦克设计!$B$14:$K$20,9)/30))</f>
        <v>2.0135398286363428</v>
      </c>
      <c r="H196" s="173">
        <f ca="1">(VLOOKUP(H$72,INDIRECT($C$5&amp;"生成成长"),2))/((VLOOKUP($B196,INDIRECT($B$5&amp;"生成成长"),4))/(VLOOKUP(H$72,INDIRECT($C$5&amp;"生成成长"),5))*(VLOOKUP($B$5,标准坦克设计!$B$24:$U$30,MATCH("对"&amp;LEFT($C$5,2)&amp;"输出",标准坦克设计!$B$23:$U$23,0)))*(VLOOKUP($B196,INDIRECT($B$5&amp;"生成成长"),3))*(VLOOKUP($B$5,标准坦克设计!$B$14:$K$20,9)/30))</f>
        <v>1.7621092569023564</v>
      </c>
      <c r="I196" s="173">
        <f ca="1">(VLOOKUP(I$72,INDIRECT($C$5&amp;"生成成长"),2))/((VLOOKUP($B196,INDIRECT($B$5&amp;"生成成长"),4))/(VLOOKUP(I$72,INDIRECT($C$5&amp;"生成成长"),5))*(VLOOKUP($B$5,标准坦克设计!$B$24:$U$30,MATCH("对"&amp;LEFT($C$5,2)&amp;"输出",标准坦克设计!$B$23:$U$23,0)))*(VLOOKUP($B196,INDIRECT($B$5&amp;"生成成长"),3))*(VLOOKUP($B$5,标准坦克设计!$B$14:$K$20,9)/30))</f>
        <v>2.0135398286363428</v>
      </c>
      <c r="J196" s="173">
        <f ca="1">(VLOOKUP(J$72,INDIRECT($C$5&amp;"生成成长"),2))/((VLOOKUP($B196,INDIRECT($B$5&amp;"生成成长"),4))/(VLOOKUP(J$72,INDIRECT($C$5&amp;"生成成长"),5))*(VLOOKUP($B$5,标准坦克设计!$B$24:$U$30,MATCH("对"&amp;LEFT($C$5,2)&amp;"输出",标准坦克设计!$B$23:$U$23,0)))*(VLOOKUP($B196,INDIRECT($B$5&amp;"生成成长"),3))*(VLOOKUP($B$5,标准坦克设计!$B$14:$K$20,9)/30))</f>
        <v>2.2817324384859288</v>
      </c>
      <c r="K196" s="173">
        <f ca="1">(VLOOKUP(K$72,INDIRECT($C$5&amp;"生成成长"),2))/((VLOOKUP($B196,INDIRECT($B$5&amp;"生成成长"),4))/(VLOOKUP(K$72,INDIRECT($C$5&amp;"生成成长"),5))*(VLOOKUP($B$5,标准坦克设计!$B$24:$U$30,MATCH("对"&amp;LEFT($C$5,2)&amp;"输出",标准坦克设计!$B$23:$U$23,0)))*(VLOOKUP($B196,INDIRECT($B$5&amp;"生成成长"),3))*(VLOOKUP($B$5,标准坦克设计!$B$14:$K$20,9)/30))</f>
        <v>2.5666870864511138</v>
      </c>
      <c r="L196" s="173">
        <f ca="1">(VLOOKUP(L$72,INDIRECT($C$5&amp;"生成成长"),2))/((VLOOKUP($B196,INDIRECT($B$5&amp;"生成成长"),4))/(VLOOKUP(L$72,INDIRECT($C$5&amp;"生成成长"),5))*(VLOOKUP($B$5,标准坦克设计!$B$24:$U$30,MATCH("对"&amp;LEFT($C$5,2)&amp;"输出",标准坦克设计!$B$23:$U$23,0)))*(VLOOKUP($B196,INDIRECT($B$5&amp;"生成成长"),3))*(VLOOKUP($B$5,标准坦克设计!$B$14:$K$20,9)/30))</f>
        <v>2.8684037725318983</v>
      </c>
      <c r="M196" s="173">
        <f ca="1">(VLOOKUP(M$72,INDIRECT($C$5&amp;"生成成长"),2))/((VLOOKUP($B196,INDIRECT($B$5&amp;"生成成长"),4))/(VLOOKUP(M$72,INDIRECT($C$5&amp;"生成成长"),5))*(VLOOKUP($B$5,标准坦克设计!$B$24:$U$30,MATCH("对"&amp;LEFT($C$5,2)&amp;"输出",标准坦克设计!$B$23:$U$23,0)))*(VLOOKUP($B196,INDIRECT($B$5&amp;"生成成长"),3))*(VLOOKUP($B$5,标准坦克设计!$B$14:$K$20,9)/30))</f>
        <v>3.1868824967282809</v>
      </c>
      <c r="N196" s="173">
        <f ca="1">(VLOOKUP(N$72,INDIRECT($C$5&amp;"生成成长"),2))/((VLOOKUP($B196,INDIRECT($B$5&amp;"生成成长"),4))/(VLOOKUP(N$72,INDIRECT($C$5&amp;"生成成长"),5))*(VLOOKUP($B$5,标准坦克设计!$B$24:$U$30,MATCH("对"&amp;LEFT($C$5,2)&amp;"输出",标准坦克设计!$B$23:$U$23,0)))*(VLOOKUP($B196,INDIRECT($B$5&amp;"生成成长"),3))*(VLOOKUP($B$5,标准坦克设计!$B$14:$K$20,9)/30))</f>
        <v>3.5221232590402627</v>
      </c>
      <c r="O196" s="173">
        <f ca="1">(VLOOKUP(O$72,INDIRECT($C$5&amp;"生成成长"),2))/((VLOOKUP($B196,INDIRECT($B$5&amp;"生成成长"),4))/(VLOOKUP(O$72,INDIRECT($C$5&amp;"生成成长"),5))*(VLOOKUP($B$5,标准坦克设计!$B$24:$U$30,MATCH("对"&amp;LEFT($C$5,2)&amp;"输出",标准坦克设计!$B$23:$U$23,0)))*(VLOOKUP($B196,INDIRECT($B$5&amp;"生成成长"),3))*(VLOOKUP($B$5,标准坦克设计!$B$14:$K$20,9)/30))</f>
        <v>2.6778665423897361</v>
      </c>
      <c r="P196" s="173">
        <f ca="1">(VLOOKUP(P$72,INDIRECT($C$5&amp;"生成成长"),2))/((VLOOKUP($B196,INDIRECT($B$5&amp;"生成成长"),4))/(VLOOKUP(P$72,INDIRECT($C$5&amp;"生成成长"),5))*(VLOOKUP($B$5,标准坦克设计!$B$24:$U$30,MATCH("对"&amp;LEFT($C$5,2)&amp;"输出",标准坦克设计!$B$23:$U$23,0)))*(VLOOKUP($B196,INDIRECT($B$5&amp;"生成成长"),3))*(VLOOKUP($B$5,标准坦克设计!$B$14:$K$20,9)/30))</f>
        <v>3.0255478798656394</v>
      </c>
      <c r="Q196" s="173">
        <f ca="1">(VLOOKUP(Q$72,INDIRECT($C$5&amp;"生成成长"),2))/((VLOOKUP($B196,INDIRECT($B$5&amp;"生成成长"),4))/(VLOOKUP(Q$72,INDIRECT($C$5&amp;"生成成长"),5))*(VLOOKUP($B$5,标准坦克设计!$B$24:$U$30,MATCH("对"&amp;LEFT($C$5,2)&amp;"输出",标准坦克设计!$B$23:$U$23,0)))*(VLOOKUP($B196,INDIRECT($B$5&amp;"生成成长"),3))*(VLOOKUP($B$5,标准坦克设计!$B$14:$K$20,9)/30))</f>
        <v>3.3944436718315982</v>
      </c>
      <c r="R196" s="173">
        <f ca="1">(VLOOKUP(R$72,INDIRECT($C$5&amp;"生成成长"),2))/((VLOOKUP($B196,INDIRECT($B$5&amp;"生成成长"),4))/(VLOOKUP(R$72,INDIRECT($C$5&amp;"生成成长"),5))*(VLOOKUP($B$5,标准坦克设计!$B$24:$U$30,MATCH("对"&amp;LEFT($C$5,2)&amp;"输出",标准坦克设计!$B$23:$U$23,0)))*(VLOOKUP($B196,INDIRECT($B$5&amp;"生成成长"),3))*(VLOOKUP($B$5,标准坦克设计!$B$14:$K$20,9)/30))</f>
        <v>3.7845539182876116</v>
      </c>
      <c r="S196" s="173">
        <f ca="1">(VLOOKUP(S$72,INDIRECT($C$5&amp;"生成成长"),2))/((VLOOKUP($B196,INDIRECT($B$5&amp;"生成成长"),4))/(VLOOKUP(S$72,INDIRECT($C$5&amp;"生成成长"),5))*(VLOOKUP($B$5,标准坦克设计!$B$24:$U$30,MATCH("对"&amp;LEFT($C$5,2)&amp;"输出",标准坦克设计!$B$23:$U$23,0)))*(VLOOKUP($B196,INDIRECT($B$5&amp;"生成成长"),3))*(VLOOKUP($B$5,标准坦克设计!$B$14:$K$20,9)/30))</f>
        <v>4.1958786192336808</v>
      </c>
      <c r="T196" s="173">
        <f ca="1">(VLOOKUP(T$72,INDIRECT($C$5&amp;"生成成长"),2))/((VLOOKUP($B196,INDIRECT($B$5&amp;"生成成长"),4))/(VLOOKUP(T$72,INDIRECT($C$5&amp;"生成成长"),5))*(VLOOKUP($B$5,标准坦克设计!$B$24:$U$30,MATCH("对"&amp;LEFT($C$5,2)&amp;"输出",标准坦克设计!$B$23:$U$23,0)))*(VLOOKUP($B196,INDIRECT($B$5&amp;"生成成长"),3))*(VLOOKUP($B$5,标准坦克设计!$B$14:$K$20,9)/30))</f>
        <v>4.6284177746698045</v>
      </c>
      <c r="U196" s="173">
        <f ca="1">(VLOOKUP(U$72,INDIRECT($C$5&amp;"生成成长"),2))/((VLOOKUP($B196,INDIRECT($B$5&amp;"生成成长"),4))/(VLOOKUP(U$72,INDIRECT($C$5&amp;"生成成长"),5))*(VLOOKUP($B$5,标准坦克设计!$B$24:$U$30,MATCH("对"&amp;LEFT($C$5,2)&amp;"输出",标准坦克设计!$B$23:$U$23,0)))*(VLOOKUP($B196,INDIRECT($B$5&amp;"生成成长"),3))*(VLOOKUP($B$5,标准坦克设计!$B$14:$K$20,9)/30))</f>
        <v>5.0821713845959842</v>
      </c>
      <c r="V196" s="173">
        <f ca="1">(VLOOKUP(V$72,INDIRECT($C$5&amp;"生成成长"),2))/((VLOOKUP($B196,INDIRECT($B$5&amp;"生成成长"),4))/(VLOOKUP(V$72,INDIRECT($C$5&amp;"生成成长"),5))*(VLOOKUP($B$5,标准坦克设计!$B$24:$U$30,MATCH("对"&amp;LEFT($C$5,2)&amp;"输出",标准坦克设计!$B$23:$U$23,0)))*(VLOOKUP($B196,INDIRECT($B$5&amp;"生成成长"),3))*(VLOOKUP($B$5,标准坦克设计!$B$14:$K$20,9)/30))</f>
        <v>5.5571394490122179</v>
      </c>
      <c r="W196" s="173">
        <f ca="1">(VLOOKUP(W$72,INDIRECT($C$5&amp;"生成成长"),2))/((VLOOKUP($B196,INDIRECT($B$5&amp;"生成成长"),4))/(VLOOKUP(W$72,INDIRECT($C$5&amp;"生成成长"),5))*(VLOOKUP($B$5,标准坦克设计!$B$24:$U$30,MATCH("对"&amp;LEFT($C$5,2)&amp;"输出",标准坦克设计!$B$23:$U$23,0)))*(VLOOKUP($B196,INDIRECT($B$5&amp;"生成成长"),3))*(VLOOKUP($B$5,标准坦克设计!$B$14:$K$20,9)/30))</f>
        <v>6.0533219679185066</v>
      </c>
      <c r="X196" s="173">
        <f ca="1">(VLOOKUP(X$72,INDIRECT($C$5&amp;"生成成长"),2))/((VLOOKUP($B196,INDIRECT($B$5&amp;"生成成长"),4))/(VLOOKUP(X$72,INDIRECT($C$5&amp;"生成成长"),5))*(VLOOKUP($B$5,标准坦克设计!$B$24:$U$30,MATCH("对"&amp;LEFT($C$5,2)&amp;"输出",标准坦克设计!$B$23:$U$23,0)))*(VLOOKUP($B196,INDIRECT($B$5&amp;"生成成长"),3))*(VLOOKUP($B$5,标准坦克设计!$B$14:$K$20,9)/30))</f>
        <v>4.3854991754163963</v>
      </c>
      <c r="Y196" s="173">
        <f ca="1">(VLOOKUP(Y$72,INDIRECT($C$5&amp;"生成成长"),2))/((VLOOKUP($B196,INDIRECT($B$5&amp;"生成成长"),4))/(VLOOKUP(Y$72,INDIRECT($C$5&amp;"生成成长"),5))*(VLOOKUP($B$5,标准坦克设计!$B$24:$U$30,MATCH("对"&amp;LEFT($C$5,2)&amp;"输出",标准坦克设计!$B$23:$U$23,0)))*(VLOOKUP($B196,INDIRECT($B$5&amp;"生成成长"),3))*(VLOOKUP($B$5,标准坦克设计!$B$14:$K$20,9)/30))</f>
        <v>4.8778840450621193</v>
      </c>
      <c r="Z196" s="173">
        <f ca="1">(VLOOKUP(Z$72,INDIRECT($C$5&amp;"生成成长"),2))/((VLOOKUP($B196,INDIRECT($B$5&amp;"生成成长"),4))/(VLOOKUP(Z$72,INDIRECT($C$5&amp;"生成成长"),5))*(VLOOKUP($B$5,标准坦克设计!$B$24:$U$30,MATCH("对"&amp;LEFT($C$5,2)&amp;"输出",标准坦克设计!$B$23:$U$23,0)))*(VLOOKUP($B196,INDIRECT($B$5&amp;"生成成长"),3))*(VLOOKUP($B$5,标准坦克设计!$B$14:$K$20,9)/30))</f>
        <v>5.3964595992634665</v>
      </c>
      <c r="AA196" s="173">
        <f ca="1">(VLOOKUP(AA$72,INDIRECT($C$5&amp;"生成成长"),2))/((VLOOKUP($B196,INDIRECT($B$5&amp;"生成成长"),4))/(VLOOKUP(AA$72,INDIRECT($C$5&amp;"生成成长"),5))*(VLOOKUP($B$5,标准坦克设计!$B$24:$U$30,MATCH("对"&amp;LEFT($C$5,2)&amp;"输出",标准坦克设计!$B$23:$U$23,0)))*(VLOOKUP($B196,INDIRECT($B$5&amp;"生成成长"),3))*(VLOOKUP($B$5,标准坦克设计!$B$14:$K$20,9)/30))</f>
        <v>5.9412258380204381</v>
      </c>
      <c r="AB196" s="173">
        <f ca="1">(VLOOKUP(AB$72,INDIRECT($C$5&amp;"生成成长"),2))/((VLOOKUP($B196,INDIRECT($B$5&amp;"生成成长"),4))/(VLOOKUP(AB$72,INDIRECT($C$5&amp;"生成成长"),5))*(VLOOKUP($B$5,标准坦克设计!$B$24:$U$30,MATCH("对"&amp;LEFT($C$5,2)&amp;"输出",标准坦克设计!$B$23:$U$23,0)))*(VLOOKUP($B196,INDIRECT($B$5&amp;"生成成长"),3))*(VLOOKUP($B$5,标准坦克设计!$B$14:$K$20,9)/30))</f>
        <v>6.5121827613330323</v>
      </c>
      <c r="AC196" s="173">
        <f ca="1">(VLOOKUP(AC$72,INDIRECT($C$5&amp;"生成成长"),2))/((VLOOKUP($B196,INDIRECT($B$5&amp;"生成成长"),4))/(VLOOKUP(AC$72,INDIRECT($C$5&amp;"生成成长"),5))*(VLOOKUP($B$5,标准坦克设计!$B$24:$U$30,MATCH("对"&amp;LEFT($C$5,2)&amp;"输出",标准坦克设计!$B$23:$U$23,0)))*(VLOOKUP($B196,INDIRECT($B$5&amp;"生成成长"),3))*(VLOOKUP($B$5,标准坦克设计!$B$14:$K$20,9)/30))</f>
        <v>7.1093303692012517</v>
      </c>
      <c r="AD196" s="173">
        <f ca="1">(VLOOKUP(AD$72,INDIRECT($C$5&amp;"生成成长"),2))/((VLOOKUP($B196,INDIRECT($B$5&amp;"生成成长"),4))/(VLOOKUP(AD$72,INDIRECT($C$5&amp;"生成成长"),5))*(VLOOKUP($B$5,标准坦克设计!$B$24:$U$30,MATCH("对"&amp;LEFT($C$5,2)&amp;"输出",标准坦克设计!$B$23:$U$23,0)))*(VLOOKUP($B196,INDIRECT($B$5&amp;"生成成长"),3))*(VLOOKUP($B$5,标准坦克设计!$B$14:$K$20,9)/30))</f>
        <v>7.7326686616250919</v>
      </c>
      <c r="AE196" s="173">
        <f ca="1">(VLOOKUP(AE$72,INDIRECT($C$5&amp;"生成成长"),2))/((VLOOKUP($B196,INDIRECT($B$5&amp;"生成成长"),4))/(VLOOKUP(AE$72,INDIRECT($C$5&amp;"生成成长"),5))*(VLOOKUP($B$5,标准坦克设计!$B$24:$U$30,MATCH("对"&amp;LEFT($C$5,2)&amp;"输出",标准坦克设计!$B$23:$U$23,0)))*(VLOOKUP($B196,INDIRECT($B$5&amp;"生成成长"),3))*(VLOOKUP($B$5,标准坦克设计!$B$14:$K$20,9)/30))</f>
        <v>8.3821976386045591</v>
      </c>
      <c r="AF196" s="173">
        <f ca="1">(VLOOKUP(AF$72,INDIRECT($C$5&amp;"生成成长"),2))/((VLOOKUP($B196,INDIRECT($B$5&amp;"生成成长"),4))/(VLOOKUP(AF$72,INDIRECT($C$5&amp;"生成成长"),5))*(VLOOKUP($B$5,标准坦克设计!$B$24:$U$30,MATCH("对"&amp;LEFT($C$5,2)&amp;"输出",标准坦克设计!$B$23:$U$23,0)))*(VLOOKUP($B196,INDIRECT($B$5&amp;"生成成长"),3))*(VLOOKUP($B$5,标准坦克设计!$B$14:$K$20,9)/30))</f>
        <v>9.057917300139648</v>
      </c>
      <c r="AG196" s="173">
        <f ca="1">(VLOOKUP(AG$72,INDIRECT($C$5&amp;"生成成长"),2))/((VLOOKUP($B196,INDIRECT($B$5&amp;"生成成长"),4))/(VLOOKUP(AG$72,INDIRECT($C$5&amp;"生成成长"),5))*(VLOOKUP($B$5,标准坦克设计!$B$24:$U$30,MATCH("对"&amp;LEFT($C$5,2)&amp;"输出",标准坦克设计!$B$23:$U$23,0)))*(VLOOKUP($B196,INDIRECT($B$5&amp;"生成成长"),3))*(VLOOKUP($B$5,标准坦克设计!$B$14:$K$20,9)/30))</f>
        <v>9.7598276462303613</v>
      </c>
      <c r="AH196" s="173">
        <f ca="1">(VLOOKUP(AH$72,INDIRECT($C$5&amp;"生成成长"),2))/((VLOOKUP($B196,INDIRECT($B$5&amp;"生成成长"),4))/(VLOOKUP(AH$72,INDIRECT($C$5&amp;"生成成长"),5))*(VLOOKUP($B$5,标准坦克设计!$B$24:$U$30,MATCH("对"&amp;LEFT($C$5,2)&amp;"输出",标准坦克设计!$B$23:$U$23,0)))*(VLOOKUP($B196,INDIRECT($B$5&amp;"生成成长"),3))*(VLOOKUP($B$5,标准坦克设计!$B$14:$K$20,9)/30))</f>
        <v>10.487928676876697</v>
      </c>
      <c r="AI196" s="173">
        <f ca="1">(VLOOKUP(AI$72,INDIRECT($C$5&amp;"生成成长"),2))/((VLOOKUP($B196,INDIRECT($B$5&amp;"生成成长"),4))/(VLOOKUP(AI$72,INDIRECT($C$5&amp;"生成成长"),5))*(VLOOKUP($B$5,标准坦克设计!$B$24:$U$30,MATCH("对"&amp;LEFT($C$5,2)&amp;"输出",标准坦克设计!$B$23:$U$23,0)))*(VLOOKUP($B196,INDIRECT($B$5&amp;"生成成长"),3))*(VLOOKUP($B$5,标准坦克设计!$B$14:$K$20,9)/30))</f>
        <v>7.4177256798437181</v>
      </c>
      <c r="AJ196" s="173">
        <f ca="1">(VLOOKUP(AJ$72,INDIRECT($C$5&amp;"生成成长"),2))/((VLOOKUP($B196,INDIRECT($B$5&amp;"生成成长"),4))/(VLOOKUP(AJ$72,INDIRECT($C$5&amp;"生成成长"),5))*(VLOOKUP($B$5,标准坦克设计!$B$24:$U$30,MATCH("对"&amp;LEFT($C$5,2)&amp;"输出",标准坦克设计!$B$23:$U$23,0)))*(VLOOKUP($B196,INDIRECT($B$5&amp;"生成成长"),3))*(VLOOKUP($B$5,标准坦克设计!$B$14:$K$20,9)/30))</f>
        <v>8.1192431656660968</v>
      </c>
      <c r="AK196" s="173">
        <f ca="1">(VLOOKUP(AK$72,INDIRECT($C$5&amp;"生成成长"),2))/((VLOOKUP($B196,INDIRECT($B$5&amp;"生成成长"),4))/(VLOOKUP(AK$72,INDIRECT($C$5&amp;"生成成长"),5))*(VLOOKUP($B$5,标准坦克设计!$B$24:$U$30,MATCH("对"&amp;LEFT($C$5,2)&amp;"输出",标准坦克设计!$B$23:$U$23,0)))*(VLOOKUP($B196,INDIRECT($B$5&amp;"生成成长"),3))*(VLOOKUP($B$5,标准坦克设计!$B$14:$K$20,9)/30))</f>
        <v>8.8524513798007813</v>
      </c>
      <c r="AL196" s="173">
        <f ca="1">(VLOOKUP(AL$72,INDIRECT($C$5&amp;"生成成长"),2))/((VLOOKUP($B196,INDIRECT($B$5&amp;"生成成长"),4))/(VLOOKUP(AL$72,INDIRECT($C$5&amp;"生成成长"),5))*(VLOOKUP($B$5,标准坦克设计!$B$24:$U$30,MATCH("对"&amp;LEFT($C$5,2)&amp;"输出",标准坦克设计!$B$23:$U$23,0)))*(VLOOKUP($B196,INDIRECT($B$5&amp;"生成成长"),3))*(VLOOKUP($B$5,标准坦克设计!$B$14:$K$20,9)/30))</f>
        <v>9.6173503222477681</v>
      </c>
      <c r="AM196" s="173">
        <f ca="1">(VLOOKUP(AM$72,INDIRECT($C$5&amp;"生成成长"),2))/((VLOOKUP($B196,INDIRECT($B$5&amp;"生成成长"),4))/(VLOOKUP(AM$72,INDIRECT($C$5&amp;"生成成长"),5))*(VLOOKUP($B$5,标准坦克设计!$B$24:$U$30,MATCH("对"&amp;LEFT($C$5,2)&amp;"输出",标准坦克设计!$B$23:$U$23,0)))*(VLOOKUP($B196,INDIRECT($B$5&amp;"生成成长"),3))*(VLOOKUP($B$5,标准坦克设计!$B$14:$K$20,9)/30))</f>
        <v>10.413939993007061</v>
      </c>
      <c r="AN196" s="173">
        <f ca="1">(VLOOKUP(AN$72,INDIRECT($C$5&amp;"生成成长"),2))/((VLOOKUP($B196,INDIRECT($B$5&amp;"生成成长"),4))/(VLOOKUP(AN$72,INDIRECT($C$5&amp;"生成成长"),5))*(VLOOKUP($B$5,标准坦克设计!$B$24:$U$30,MATCH("对"&amp;LEFT($C$5,2)&amp;"输出",标准坦克设计!$B$23:$U$23,0)))*(VLOOKUP($B196,INDIRECT($B$5&amp;"生成成长"),3))*(VLOOKUP($B$5,标准坦克设计!$B$14:$K$20,9)/30))</f>
        <v>11.242220392078657</v>
      </c>
      <c r="AO196" s="173">
        <f ca="1">(VLOOKUP(AO$72,INDIRECT($C$5&amp;"生成成长"),2))/((VLOOKUP($B196,INDIRECT($B$5&amp;"生成成长"),4))/(VLOOKUP(AO$72,INDIRECT($C$5&amp;"生成成长"),5))*(VLOOKUP($B$5,标准坦克设计!$B$24:$U$30,MATCH("对"&amp;LEFT($C$5,2)&amp;"输出",标准坦克设计!$B$23:$U$23,0)))*(VLOOKUP($B196,INDIRECT($B$5&amp;"生成成长"),3))*(VLOOKUP($B$5,标准坦克设计!$B$14:$K$20,9)/30))</f>
        <v>12.102191519462558</v>
      </c>
      <c r="AP196" s="173">
        <f ca="1">(VLOOKUP(AP$72,INDIRECT($C$5&amp;"生成成长"),2))/((VLOOKUP($B196,INDIRECT($B$5&amp;"生成成长"),4))/(VLOOKUP(AP$72,INDIRECT($C$5&amp;"生成成长"),5))*(VLOOKUP($B$5,标准坦克设计!$B$24:$U$30,MATCH("对"&amp;LEFT($C$5,2)&amp;"输出",标准坦克设计!$B$23:$U$23,0)))*(VLOOKUP($B196,INDIRECT($B$5&amp;"生成成长"),3))*(VLOOKUP($B$5,标准坦克设计!$B$14:$K$20,9)/30))</f>
        <v>12.993853375158762</v>
      </c>
      <c r="AQ196" s="173">
        <f ca="1">(VLOOKUP(AQ$72,INDIRECT($C$5&amp;"生成成长"),2))/((VLOOKUP($B196,INDIRECT($B$5&amp;"生成成长"),4))/(VLOOKUP(AQ$72,INDIRECT($C$5&amp;"生成成长"),5))*(VLOOKUP($B$5,标准坦克设计!$B$24:$U$30,MATCH("对"&amp;LEFT($C$5,2)&amp;"输出",标准坦克设计!$B$23:$U$23,0)))*(VLOOKUP($B196,INDIRECT($B$5&amp;"生成成长"),3))*(VLOOKUP($B$5,标准坦克设计!$B$14:$K$20,9)/30))</f>
        <v>13.917205959167275</v>
      </c>
      <c r="AR196" s="173">
        <f ca="1">(VLOOKUP(AR$72,INDIRECT($C$5&amp;"生成成长"),2))/((VLOOKUP($B196,INDIRECT($B$5&amp;"生成成长"),4))/(VLOOKUP(AR$72,INDIRECT($C$5&amp;"生成成长"),5))*(VLOOKUP($B$5,标准坦克设计!$B$24:$U$30,MATCH("对"&amp;LEFT($C$5,2)&amp;"输出",标准坦克设计!$B$23:$U$23,0)))*(VLOOKUP($B196,INDIRECT($B$5&amp;"生成成长"),3))*(VLOOKUP($B$5,标准坦克设计!$B$14:$K$20,9)/30))</f>
        <v>14.872249271488091</v>
      </c>
      <c r="AS196" s="173">
        <f ca="1">(VLOOKUP(AS$72,INDIRECT($C$5&amp;"生成成长"),2))/((VLOOKUP($B196,INDIRECT($B$5&amp;"生成成长"),4))/(VLOOKUP(AS$72,INDIRECT($C$5&amp;"生成成长"),5))*(VLOOKUP($B$5,标准坦克设计!$B$24:$U$30,MATCH("对"&amp;LEFT($C$5,2)&amp;"输出",标准坦克设计!$B$23:$U$23,0)))*(VLOOKUP($B196,INDIRECT($B$5&amp;"生成成长"),3))*(VLOOKUP($B$5,标准坦克设计!$B$14:$K$20,9)/30))</f>
        <v>15.858983312121207</v>
      </c>
      <c r="AT196" s="173">
        <f ca="1">(VLOOKUP(AT$72,INDIRECT($C$5&amp;"生成成长"),2))/((VLOOKUP($B196,INDIRECT($B$5&amp;"生成成长"),4))/(VLOOKUP(AT$72,INDIRECT($C$5&amp;"生成成长"),5))*(VLOOKUP($B$5,标准坦克设计!$B$24:$U$30,MATCH("对"&amp;LEFT($C$5,2)&amp;"输出",标准坦克设计!$B$23:$U$23,0)))*(VLOOKUP($B196,INDIRECT($B$5&amp;"生成成长"),3))*(VLOOKUP($B$5,标准坦克设计!$B$14:$K$20,9)/30))</f>
        <v>16.87740808106663</v>
      </c>
      <c r="AU196" s="173">
        <f ca="1">(VLOOKUP(AU$72,INDIRECT($C$5&amp;"生成成长"),2))/((VLOOKUP($B196,INDIRECT($B$5&amp;"生成成长"),4))/(VLOOKUP(AU$72,INDIRECT($C$5&amp;"生成成长"),5))*(VLOOKUP($B$5,标准坦克设计!$B$24:$U$30,MATCH("对"&amp;LEFT($C$5,2)&amp;"输出",标准坦克设计!$B$23:$U$23,0)))*(VLOOKUP($B196,INDIRECT($B$5&amp;"生成成长"),3))*(VLOOKUP($B$5,标准坦克设计!$B$14:$K$20,9)/30))</f>
        <v>17.927523578324362</v>
      </c>
      <c r="AV196" s="173">
        <f ca="1">(VLOOKUP(AV$72,INDIRECT($C$5&amp;"生成成长"),2))/((VLOOKUP($B196,INDIRECT($B$5&amp;"生成成长"),4))/(VLOOKUP(AV$72,INDIRECT($C$5&amp;"生成成长"),5))*(VLOOKUP($B$5,标准坦克设计!$B$24:$U$30,MATCH("对"&amp;LEFT($C$5,2)&amp;"输出",标准坦克设计!$B$23:$U$23,0)))*(VLOOKUP($B196,INDIRECT($B$5&amp;"生成成长"),3))*(VLOOKUP($B$5,标准坦克设计!$B$14:$K$20,9)/30))</f>
        <v>1.8233954587625161</v>
      </c>
      <c r="AW196" s="173">
        <f ca="1">(VLOOKUP(AW$72,INDIRECT($C$5&amp;"生成成长"),2))/((VLOOKUP($B196,INDIRECT($B$5&amp;"生成成长"),4))/(VLOOKUP(AW$72,INDIRECT($C$5&amp;"生成成长"),5))*(VLOOKUP($B$5,标准坦克设计!$B$24:$U$30,MATCH("对"&amp;LEFT($C$5,2)&amp;"输出",标准坦克设计!$B$23:$U$23,0)))*(VLOOKUP($B196,INDIRECT($B$5&amp;"生成成长"),3))*(VLOOKUP($B$5,标准坦克设计!$B$14:$K$20,9)/30))</f>
        <v>2.0790165400254024</v>
      </c>
      <c r="AX196" s="173">
        <f ca="1">(VLOOKUP(AX$72,INDIRECT($C$5&amp;"生成成长"),2))/((VLOOKUP($B196,INDIRECT($B$5&amp;"生成成长"),4))/(VLOOKUP(AX$72,INDIRECT($C$5&amp;"生成成长"),5))*(VLOOKUP($B$5,标准坦克设计!$B$24:$U$30,MATCH("对"&amp;LEFT($C$5,2)&amp;"输出",标准坦克设计!$B$23:$U$23,0)))*(VLOOKUP($B196,INDIRECT($B$5&amp;"生成成长"),3))*(VLOOKUP($B$5,标准坦克设计!$B$14:$K$20,9)/30))</f>
        <v>2.3513996594038873</v>
      </c>
      <c r="AY196" s="173">
        <f ca="1">(VLOOKUP(AY$72,INDIRECT($C$5&amp;"生成成长"),2))/((VLOOKUP($B196,INDIRECT($B$5&amp;"生成成长"),4))/(VLOOKUP(AY$72,INDIRECT($C$5&amp;"生成成长"),5))*(VLOOKUP($B$5,标准坦克设计!$B$24:$U$30,MATCH("对"&amp;LEFT($C$5,2)&amp;"输出",标准坦克设计!$B$23:$U$23,0)))*(VLOOKUP($B196,INDIRECT($B$5&amp;"生成成长"),3))*(VLOOKUP($B$5,标准坦克设计!$B$14:$K$20,9)/30))</f>
        <v>2.6405448168979722</v>
      </c>
      <c r="AZ196" s="173">
        <f ca="1">(VLOOKUP(AZ$72,INDIRECT($C$5&amp;"生成成长"),2))/((VLOOKUP($B196,INDIRECT($B$5&amp;"生成成长"),4))/(VLOOKUP(AZ$72,INDIRECT($C$5&amp;"生成成长"),5))*(VLOOKUP($B$5,标准坦克设计!$B$24:$U$30,MATCH("对"&amp;LEFT($C$5,2)&amp;"输出",标准坦克设计!$B$23:$U$23,0)))*(VLOOKUP($B196,INDIRECT($B$5&amp;"生成成长"),3))*(VLOOKUP($B$5,标准坦克设计!$B$14:$K$20,9)/30))</f>
        <v>2.9464520125076565</v>
      </c>
      <c r="BA196" s="173">
        <f ca="1">(VLOOKUP(BA$72,INDIRECT($C$5&amp;"生成成长"),2))/((VLOOKUP($B196,INDIRECT($B$5&amp;"生成成长"),4))/(VLOOKUP(BA$72,INDIRECT($C$5&amp;"生成成长"),5))*(VLOOKUP($B$5,标准坦克设计!$B$24:$U$30,MATCH("对"&amp;LEFT($C$5,2)&amp;"输出",标准坦克设计!$B$23:$U$23,0)))*(VLOOKUP($B196,INDIRECT($B$5&amp;"生成成长"),3))*(VLOOKUP($B$5,标准坦克设计!$B$14:$K$20,9)/30))</f>
        <v>3.2691212462329391</v>
      </c>
      <c r="BB196" s="173">
        <f ca="1">(VLOOKUP(BB$72,INDIRECT($C$5&amp;"生成成长"),2))/((VLOOKUP($B196,INDIRECT($B$5&amp;"生成成长"),4))/(VLOOKUP(BB$72,INDIRECT($C$5&amp;"生成成长"),5))*(VLOOKUP($B$5,标准坦克设计!$B$24:$U$30,MATCH("对"&amp;LEFT($C$5,2)&amp;"输出",标准坦克设计!$B$23:$U$23,0)))*(VLOOKUP($B196,INDIRECT($B$5&amp;"生成成长"),3))*(VLOOKUP($B$5,标准坦克设计!$B$14:$K$20,9)/30))</f>
        <v>3.6085525180738212</v>
      </c>
      <c r="BC196" s="173">
        <f ca="1">(VLOOKUP(BC$72,INDIRECT($C$5&amp;"生成成长"),2))/((VLOOKUP($B196,INDIRECT($B$5&amp;"生成成长"),4))/(VLOOKUP(BC$72,INDIRECT($C$5&amp;"生成成长"),5))*(VLOOKUP($B$5,标准坦克设计!$B$24:$U$30,MATCH("对"&amp;LEFT($C$5,2)&amp;"输出",标准坦克设计!$B$23:$U$23,0)))*(VLOOKUP($B196,INDIRECT($B$5&amp;"生成成长"),3))*(VLOOKUP($B$5,标准坦克设计!$B$14:$K$20,9)/30))</f>
        <v>3.9647458280303018</v>
      </c>
      <c r="BD196" s="173">
        <f ca="1">(VLOOKUP(BD$72,INDIRECT($C$5&amp;"生成成长"),2))/((VLOOKUP($B196,INDIRECT($B$5&amp;"生成成长"),4))/(VLOOKUP(BD$72,INDIRECT($C$5&amp;"生成成长"),5))*(VLOOKUP($B$5,标准坦克设计!$B$24:$U$30,MATCH("对"&amp;LEFT($C$5,2)&amp;"输出",标准坦克设计!$B$23:$U$23,0)))*(VLOOKUP($B196,INDIRECT($B$5&amp;"生成成长"),3))*(VLOOKUP($B$5,标准坦克设计!$B$14:$K$20,9)/30))</f>
        <v>4.3854991754163963</v>
      </c>
      <c r="BE196" s="173">
        <f ca="1">(VLOOKUP(BE$72,INDIRECT($C$5&amp;"生成成长"),2))/((VLOOKUP($B196,INDIRECT($B$5&amp;"生成成长"),4))/(VLOOKUP(BE$72,INDIRECT($C$5&amp;"生成成长"),5))*(VLOOKUP($B$5,标准坦克设计!$B$24:$U$30,MATCH("对"&amp;LEFT($C$5,2)&amp;"输出",标准坦克设计!$B$23:$U$23,0)))*(VLOOKUP($B196,INDIRECT($B$5&amp;"生成成长"),3))*(VLOOKUP($B$5,标准坦克设计!$B$14:$K$20,9)/30))</f>
        <v>4.8274669772925431</v>
      </c>
      <c r="BF196" s="173">
        <f ca="1">(VLOOKUP(BF$72,INDIRECT($C$5&amp;"生成成长"),2))/((VLOOKUP($B196,INDIRECT($B$5&amp;"生成成长"),4))/(VLOOKUP(BF$72,INDIRECT($C$5&amp;"生成成长"),5))*(VLOOKUP($B$5,标准坦克设计!$B$24:$U$30,MATCH("对"&amp;LEFT($C$5,2)&amp;"输出",标准坦克设计!$B$23:$U$23,0)))*(VLOOKUP($B196,INDIRECT($B$5&amp;"生成成长"),3))*(VLOOKUP($B$5,标准坦克设计!$B$14:$K$20,9)/30))</f>
        <v>5.2906492336587476</v>
      </c>
      <c r="BG196" s="173">
        <f ca="1">(VLOOKUP(BG$72,INDIRECT($C$5&amp;"生成成长"),2))/((VLOOKUP($B196,INDIRECT($B$5&amp;"生成成长"),4))/(VLOOKUP(BG$72,INDIRECT($C$5&amp;"生成成长"),5))*(VLOOKUP($B$5,标准坦克设计!$B$24:$U$30,MATCH("对"&amp;LEFT($C$5,2)&amp;"输出",标准坦克设计!$B$23:$U$23,0)))*(VLOOKUP($B196,INDIRECT($B$5&amp;"生成成长"),3))*(VLOOKUP($B$5,标准坦克设计!$B$14:$K$20,9)/30))</f>
        <v>5.7750459445150062</v>
      </c>
      <c r="BH196" s="173">
        <f ca="1">(VLOOKUP(BH$72,INDIRECT($C$5&amp;"生成成长"),2))/((VLOOKUP($B196,INDIRECT($B$5&amp;"生成成长"),4))/(VLOOKUP(BH$72,INDIRECT($C$5&amp;"生成成长"),5))*(VLOOKUP($B$5,标准坦克设计!$B$24:$U$30,MATCH("对"&amp;LEFT($C$5,2)&amp;"输出",标准坦克设计!$B$23:$U$23,0)))*(VLOOKUP($B196,INDIRECT($B$5&amp;"生成成长"),3))*(VLOOKUP($B$5,标准坦克设计!$B$14:$K$20,9)/30))</f>
        <v>2.7914031599383642</v>
      </c>
      <c r="BI196" s="173">
        <f ca="1">(VLOOKUP(BI$72,INDIRECT($C$5&amp;"生成成长"),2))/((VLOOKUP($B196,INDIRECT($B$5&amp;"生成成长"),4))/(VLOOKUP(BI$72,INDIRECT($C$5&amp;"生成成长"),5))*(VLOOKUP($B$5,标准坦克设计!$B$24:$U$30,MATCH("对"&amp;LEFT($C$5,2)&amp;"输出",标准坦克设计!$B$23:$U$23,0)))*(VLOOKUP($B196,INDIRECT($B$5&amp;"生成成长"),3))*(VLOOKUP($B$5,标准坦克设计!$B$14:$K$20,9)/30))</f>
        <v>3.1461559822442862</v>
      </c>
      <c r="BJ196" s="173">
        <f ca="1">(VLOOKUP(BJ$72,INDIRECT($C$5&amp;"生成成长"),2))/((VLOOKUP($B196,INDIRECT($B$5&amp;"生成成长"),4))/(VLOOKUP(BJ$72,INDIRECT($C$5&amp;"生成成长"),5))*(VLOOKUP($B$5,标准坦克设计!$B$24:$U$30,MATCH("对"&amp;LEFT($C$5,2)&amp;"输出",标准坦克设计!$B$23:$U$23,0)))*(VLOOKUP($B196,INDIRECT($B$5&amp;"生成成长"),3))*(VLOOKUP($B$5,标准坦克设计!$B$14:$K$20,9)/30))</f>
        <v>3.5221232590402627</v>
      </c>
      <c r="BK196" s="173">
        <f ca="1">(VLOOKUP(BK$72,INDIRECT($C$5&amp;"生成成长"),2))/((VLOOKUP($B196,INDIRECT($B$5&amp;"生成成长"),4))/(VLOOKUP(BK$72,INDIRECT($C$5&amp;"生成成长"),5))*(VLOOKUP($B$5,标准坦克设计!$B$24:$U$30,MATCH("对"&amp;LEFT($C$5,2)&amp;"输出",标准坦克设计!$B$23:$U$23,0)))*(VLOOKUP($B196,INDIRECT($B$5&amp;"生成成长"),3))*(VLOOKUP($B$5,标准坦克设计!$B$14:$K$20,9)/30))</f>
        <v>3.9193049903262955</v>
      </c>
      <c r="BL196" s="173">
        <f ca="1">(VLOOKUP(BL$72,INDIRECT($C$5&amp;"生成成长"),2))/((VLOOKUP($B196,INDIRECT($B$5&amp;"生成成长"),4))/(VLOOKUP(BL$72,INDIRECT($C$5&amp;"生成成长"),5))*(VLOOKUP($B$5,标准坦克设计!$B$24:$U$30,MATCH("对"&amp;LEFT($C$5,2)&amp;"输出",标准坦克设计!$B$23:$U$23,0)))*(VLOOKUP($B196,INDIRECT($B$5&amp;"生成成长"),3))*(VLOOKUP($B$5,标准坦克设计!$B$14:$K$20,9)/30))</f>
        <v>4.3377011761023825</v>
      </c>
      <c r="BM196" s="173">
        <f ca="1">(VLOOKUP(BM$72,INDIRECT($C$5&amp;"生成成长"),2))/((VLOOKUP($B196,INDIRECT($B$5&amp;"生成成长"),4))/(VLOOKUP(BM$72,INDIRECT($C$5&amp;"生成成长"),5))*(VLOOKUP($B$5,标准坦克设计!$B$24:$U$30,MATCH("对"&amp;LEFT($C$5,2)&amp;"输出",标准坦克设计!$B$23:$U$23,0)))*(VLOOKUP($B196,INDIRECT($B$5&amp;"生成成长"),3))*(VLOOKUP($B$5,标准坦克设计!$B$14:$K$20,9)/30))</f>
        <v>4.7773118163685249</v>
      </c>
      <c r="BN196" s="173">
        <f ca="1">(VLOOKUP(BN$72,INDIRECT($C$5&amp;"生成成长"),2))/((VLOOKUP($B196,INDIRECT($B$5&amp;"生成成长"),4))/(VLOOKUP(BN$72,INDIRECT($C$5&amp;"生成成长"),5))*(VLOOKUP($B$5,标准坦克设计!$B$24:$U$30,MATCH("对"&amp;LEFT($C$5,2)&amp;"输出",标准坦克设计!$B$23:$U$23,0)))*(VLOOKUP($B196,INDIRECT($B$5&amp;"生成成长"),3))*(VLOOKUP($B$5,标准坦克设计!$B$14:$K$20,9)/30))</f>
        <v>5.2381369111247222</v>
      </c>
      <c r="BO196" s="173">
        <f ca="1">(VLOOKUP(BO$72,INDIRECT($C$5&amp;"生成成长"),2))/((VLOOKUP($B196,INDIRECT($B$5&amp;"生成成长"),4))/(VLOOKUP(BO$72,INDIRECT($C$5&amp;"生成成长"),5))*(VLOOKUP($B$5,标准坦克设计!$B$24:$U$30,MATCH("对"&amp;LEFT($C$5,2)&amp;"输出",标准坦克设计!$B$23:$U$23,0)))*(VLOOKUP($B196,INDIRECT($B$5&amp;"生成成长"),3))*(VLOOKUP($B$5,标准坦克设计!$B$14:$K$20,9)/30))</f>
        <v>5.7201764603709746</v>
      </c>
      <c r="BP196" s="173">
        <f ca="1">(VLOOKUP(BP$72,INDIRECT($C$5&amp;"生成成长"),2))/((VLOOKUP($B196,INDIRECT($B$5&amp;"生成成长"),4))/(VLOOKUP(BP$72,INDIRECT($C$5&amp;"生成成长"),5))*(VLOOKUP($B$5,标准坦克设计!$B$24:$U$30,MATCH("对"&amp;LEFT($C$5,2)&amp;"输出",标准坦克设计!$B$23:$U$23,0)))*(VLOOKUP($B196,INDIRECT($B$5&amp;"生成成长"),3))*(VLOOKUP($B$5,标准坦克设计!$B$14:$K$20,9)/30))</f>
        <v>6.223430464107282</v>
      </c>
      <c r="BQ196" s="173">
        <f ca="1">(VLOOKUP(BQ$72,INDIRECT($C$5&amp;"生成成长"),2))/((VLOOKUP($B196,INDIRECT($B$5&amp;"生成成长"),4))/(VLOOKUP(BQ$72,INDIRECT($C$5&amp;"生成成长"),5))*(VLOOKUP($B$5,标准坦克设计!$B$24:$U$30,MATCH("对"&amp;LEFT($C$5,2)&amp;"输出",标准坦克设计!$B$23:$U$23,0)))*(VLOOKUP($B196,INDIRECT($B$5&amp;"生成成长"),3))*(VLOOKUP($B$5,标准坦克设计!$B$14:$K$20,9)/30))</f>
        <v>6.7478989223336461</v>
      </c>
      <c r="BR196" s="173">
        <f ca="1">(VLOOKUP(BR$72,INDIRECT($C$5&amp;"生成成长"),2))/((VLOOKUP($B196,INDIRECT($B$5&amp;"生成成长"),4))/(VLOOKUP(BR$72,INDIRECT($C$5&amp;"生成成长"),5))*(VLOOKUP($B$5,标准坦克设计!$B$24:$U$30,MATCH("对"&amp;LEFT($C$5,2)&amp;"输出",标准坦克设计!$B$23:$U$23,0)))*(VLOOKUP($B196,INDIRECT($B$5&amp;"生成成长"),3))*(VLOOKUP($B$5,标准坦克设计!$B$14:$K$20,9)/30))</f>
        <v>7.3555228040241136</v>
      </c>
      <c r="BS196" s="173">
        <f ca="1">(VLOOKUP(BS$72,INDIRECT($C$5&amp;"生成成长"),2))/((VLOOKUP($B196,INDIRECT($B$5&amp;"生成成长"),4))/(VLOOKUP(BS$72,INDIRECT($C$5&amp;"生成成长"),5))*(VLOOKUP($B$5,标准坦克设计!$B$24:$U$30,MATCH("对"&amp;LEFT($C$5,2)&amp;"输出",标准坦克设计!$B$23:$U$23,0)))*(VLOOKUP($B196,INDIRECT($B$5&amp;"生成成长"),3))*(VLOOKUP($B$5,标准坦克设计!$B$14:$K$20,9)/30))</f>
        <v>7.9893373702702064</v>
      </c>
      <c r="BT196" s="173">
        <f ca="1">(VLOOKUP(BT$72,INDIRECT($C$5&amp;"生成成长"),2))/((VLOOKUP($B196,INDIRECT($B$5&amp;"生成成长"),4))/(VLOOKUP(BT$72,INDIRECT($C$5&amp;"生成成长"),5))*(VLOOKUP($B$5,标准坦克设计!$B$24:$U$30,MATCH("对"&amp;LEFT($C$5,2)&amp;"输出",标准坦克设计!$B$23:$U$23,0)))*(VLOOKUP($B196,INDIRECT($B$5&amp;"生成成长"),3))*(VLOOKUP($B$5,标准坦克设计!$B$14:$K$20,9)/30))</f>
        <v>8.64934262107192</v>
      </c>
      <c r="BU196" s="173">
        <f ca="1">(VLOOKUP(BU$72,INDIRECT($C$5&amp;"生成成长"),2))/((VLOOKUP($B196,INDIRECT($B$5&amp;"生成成长"),4))/(VLOOKUP(BU$72,INDIRECT($C$5&amp;"生成成长"),5))*(VLOOKUP($B$5,标准坦克设计!$B$24:$U$30,MATCH("对"&amp;LEFT($C$5,2)&amp;"输出",标准坦克设计!$B$23:$U$23,0)))*(VLOOKUP($B196,INDIRECT($B$5&amp;"生成成长"),3))*(VLOOKUP($B$5,标准坦克设计!$B$14:$K$20,9)/30))</f>
        <v>9.3355385564292579</v>
      </c>
      <c r="BV196" s="173">
        <f ca="1">(VLOOKUP(BV$72,INDIRECT($C$5&amp;"生成成长"),2))/((VLOOKUP($B196,INDIRECT($B$5&amp;"生成成长"),4))/(VLOOKUP(BV$72,INDIRECT($C$5&amp;"生成成长"),5))*(VLOOKUP($B$5,标准坦克设计!$B$24:$U$30,MATCH("对"&amp;LEFT($C$5,2)&amp;"输出",标准坦克设计!$B$23:$U$23,0)))*(VLOOKUP($B196,INDIRECT($B$5&amp;"生成成长"),3))*(VLOOKUP($B$5,标准坦克设计!$B$14:$K$20,9)/30))</f>
        <v>10.047925176342222</v>
      </c>
      <c r="BW196" s="173">
        <f ca="1">(VLOOKUP(BW$72,INDIRECT($C$5&amp;"生成成长"),2))/((VLOOKUP($B196,INDIRECT($B$5&amp;"生成成长"),4))/(VLOOKUP(BW$72,INDIRECT($C$5&amp;"生成成长"),5))*(VLOOKUP($B$5,标准坦克设计!$B$24:$U$30,MATCH("对"&amp;LEFT($C$5,2)&amp;"输出",标准坦克设计!$B$23:$U$23,0)))*(VLOOKUP($B196,INDIRECT($B$5&amp;"生成成长"),3))*(VLOOKUP($B$5,标准坦克设计!$B$14:$K$20,9)/30))</f>
        <v>4.5793102411280096</v>
      </c>
      <c r="BX196" s="173">
        <f ca="1">(VLOOKUP(BX$72,INDIRECT($C$5&amp;"生成成长"),2))/((VLOOKUP($B196,INDIRECT($B$5&amp;"生成成长"),4))/(VLOOKUP(BX$72,INDIRECT($C$5&amp;"生成成长"),5))*(VLOOKUP($B$5,标准坦克设计!$B$24:$U$30,MATCH("对"&amp;LEFT($C$5,2)&amp;"输出",标准坦克设计!$B$23:$U$23,0)))*(VLOOKUP($B196,INDIRECT($B$5&amp;"生成成长"),3))*(VLOOKUP($B$5,标准坦克设计!$B$14:$K$20,9)/30))</f>
        <v>5.0821713845959842</v>
      </c>
      <c r="BY196" s="173">
        <f ca="1">(VLOOKUP(BY$72,INDIRECT($C$5&amp;"生成成长"),2))/((VLOOKUP($B196,INDIRECT($B$5&amp;"生成成长"),4))/(VLOOKUP(BY$72,INDIRECT($C$5&amp;"生成成长"),5))*(VLOOKUP($B$5,标准坦克设计!$B$24:$U$30,MATCH("对"&amp;LEFT($C$5,2)&amp;"输出",标准坦克设计!$B$23:$U$23,0)))*(VLOOKUP($B196,INDIRECT($B$5&amp;"生成成长"),3))*(VLOOKUP($B$5,标准坦克设计!$B$14:$K$20,9)/30))</f>
        <v>5.6112232126195796</v>
      </c>
      <c r="BZ196" s="173">
        <f ca="1">(VLOOKUP(BZ$72,INDIRECT($C$5&amp;"生成成长"),2))/((VLOOKUP($B196,INDIRECT($B$5&amp;"生成成长"),4))/(VLOOKUP(BZ$72,INDIRECT($C$5&amp;"生成成长"),5))*(VLOOKUP($B$5,标准坦克设计!$B$24:$U$30,MATCH("对"&amp;LEFT($C$5,2)&amp;"输出",标准坦克设计!$B$23:$U$23,0)))*(VLOOKUP($B196,INDIRECT($B$5&amp;"生成成长"),3))*(VLOOKUP($B$5,标准坦克设计!$B$14:$K$20,9)/30))</f>
        <v>6.1664657251988002</v>
      </c>
      <c r="CA196" s="173">
        <f ca="1">(VLOOKUP(CA$72,INDIRECT($C$5&amp;"生成成长"),2))/((VLOOKUP($B196,INDIRECT($B$5&amp;"生成成长"),4))/(VLOOKUP(CA$72,INDIRECT($C$5&amp;"生成成长"),5))*(VLOOKUP($B$5,标准坦克设计!$B$24:$U$30,MATCH("对"&amp;LEFT($C$5,2)&amp;"输出",标准坦克设计!$B$23:$U$23,0)))*(VLOOKUP($B196,INDIRECT($B$5&amp;"生成成长"),3))*(VLOOKUP($B$5,标准坦克设计!$B$14:$K$20,9)/30))</f>
        <v>6.7478989223336461</v>
      </c>
      <c r="CB196" s="173">
        <f ca="1">(VLOOKUP(CB$72,INDIRECT($C$5&amp;"生成成长"),2))/((VLOOKUP($B196,INDIRECT($B$5&amp;"生成成长"),4))/(VLOOKUP(CB$72,INDIRECT($C$5&amp;"生成成长"),5))*(VLOOKUP($B$5,标准坦克设计!$B$24:$U$30,MATCH("对"&amp;LEFT($C$5,2)&amp;"输出",标准坦克设计!$B$23:$U$23,0)))*(VLOOKUP($B196,INDIRECT($B$5&amp;"生成成长"),3))*(VLOOKUP($B$5,标准坦克设计!$B$14:$K$20,9)/30))</f>
        <v>7.3555228040241136</v>
      </c>
      <c r="CC196" s="173">
        <f ca="1">(VLOOKUP(CC$72,INDIRECT($C$5&amp;"生成成长"),2))/((VLOOKUP($B196,INDIRECT($B$5&amp;"生成成长"),4))/(VLOOKUP(CC$72,INDIRECT($C$5&amp;"生成成长"),5))*(VLOOKUP($B$5,标准坦克设计!$B$24:$U$30,MATCH("对"&amp;LEFT($C$5,2)&amp;"输出",标准坦克设计!$B$23:$U$23,0)))*(VLOOKUP($B196,INDIRECT($B$5&amp;"生成成长"),3))*(VLOOKUP($B$5,标准坦克设计!$B$14:$K$20,9)/30))</f>
        <v>7.9893373702702064</v>
      </c>
      <c r="CD196" s="173">
        <f ca="1">(VLOOKUP(CD$72,INDIRECT($C$5&amp;"生成成长"),2))/((VLOOKUP($B196,INDIRECT($B$5&amp;"生成成长"),4))/(VLOOKUP(CD$72,INDIRECT($C$5&amp;"生成成长"),5))*(VLOOKUP($B$5,标准坦克设计!$B$24:$U$30,MATCH("对"&amp;LEFT($C$5,2)&amp;"输出",标准坦克设计!$B$23:$U$23,0)))*(VLOOKUP($B196,INDIRECT($B$5&amp;"生成成长"),3))*(VLOOKUP($B$5,标准坦克设计!$B$14:$K$20,9)/30))</f>
        <v>8.64934262107192</v>
      </c>
      <c r="CE196" s="173">
        <f ca="1">(VLOOKUP(CE$72,INDIRECT($C$5&amp;"生成成长"),2))/((VLOOKUP($B196,INDIRECT($B$5&amp;"生成成长"),4))/(VLOOKUP(CE$72,INDIRECT($C$5&amp;"生成成长"),5))*(VLOOKUP($B$5,标准坦克设计!$B$24:$U$30,MATCH("对"&amp;LEFT($C$5,2)&amp;"输出",标准坦克设计!$B$23:$U$23,0)))*(VLOOKUP($B196,INDIRECT($B$5&amp;"生成成长"),3))*(VLOOKUP($B$5,标准坦克设计!$B$14:$K$20,9)/30))</f>
        <v>9.3355385564292579</v>
      </c>
      <c r="CF196" s="173">
        <f ca="1">(VLOOKUP(CF$72,INDIRECT($C$5&amp;"生成成长"),2))/((VLOOKUP($B196,INDIRECT($B$5&amp;"生成成长"),4))/(VLOOKUP(CF$72,INDIRECT($C$5&amp;"生成成长"),5))*(VLOOKUP($B$5,标准坦克设计!$B$24:$U$30,MATCH("对"&amp;LEFT($C$5,2)&amp;"输出",标准坦克设计!$B$23:$U$23,0)))*(VLOOKUP($B196,INDIRECT($B$5&amp;"生成成长"),3))*(VLOOKUP($B$5,标准坦克设计!$B$14:$K$20,9)/30))</f>
        <v>10.047925176342222</v>
      </c>
      <c r="CG196" s="173">
        <f ca="1">(VLOOKUP(CG$72,INDIRECT($C$5&amp;"生成成长"),2))/((VLOOKUP($B196,INDIRECT($B$5&amp;"生成成长"),4))/(VLOOKUP(CG$72,INDIRECT($C$5&amp;"生成成长"),5))*(VLOOKUP($B$5,标准坦克设计!$B$24:$U$30,MATCH("对"&amp;LEFT($C$5,2)&amp;"输出",标准坦克设计!$B$23:$U$23,0)))*(VLOOKUP($B196,INDIRECT($B$5&amp;"生成成长"),3))*(VLOOKUP($B$5,标准坦克设计!$B$14:$K$20,9)/30))</f>
        <v>10.786502480810805</v>
      </c>
      <c r="CH196" s="173">
        <f ca="1">(VLOOKUP(CH$72,INDIRECT($C$5&amp;"生成成长"),2))/((VLOOKUP($B196,INDIRECT($B$5&amp;"生成成长"),4))/(VLOOKUP(CH$72,INDIRECT($C$5&amp;"生成成长"),5))*(VLOOKUP($B$5,标准坦克设计!$B$24:$U$30,MATCH("对"&amp;LEFT($C$5,2)&amp;"输出",标准坦克设计!$B$23:$U$23,0)))*(VLOOKUP($B196,INDIRECT($B$5&amp;"生成成长"),3))*(VLOOKUP($B$5,标准坦克设计!$B$14:$K$20,9)/30))</f>
        <v>11.551270469835016</v>
      </c>
      <c r="CI196" s="173">
        <f ca="1">(VLOOKUP(CI$72,INDIRECT($C$5&amp;"生成成长"),2))/((VLOOKUP($B196,INDIRECT($B$5&amp;"生成成长"),4))/(VLOOKUP(CI$72,INDIRECT($C$5&amp;"生成成长"),5))*(VLOOKUP($B$5,标准坦克设计!$B$24:$U$30,MATCH("对"&amp;LEFT($C$5,2)&amp;"输出",标准坦克设计!$B$23:$U$23,0)))*(VLOOKUP($B196,INDIRECT($B$5&amp;"生成成长"),3))*(VLOOKUP($B$5,标准坦克设计!$B$14:$K$20,9)/30))</f>
        <v>12.422765498423392</v>
      </c>
      <c r="CJ196" s="173">
        <f ca="1">(VLOOKUP(CJ$72,INDIRECT($C$5&amp;"生成成长"),2))/((VLOOKUP($B196,INDIRECT($B$5&amp;"生成成长"),4))/(VLOOKUP(CJ$72,INDIRECT($C$5&amp;"生成成长"),5))*(VLOOKUP($B$5,标准坦克设计!$B$24:$U$30,MATCH("对"&amp;LEFT($C$5,2)&amp;"输出",标准坦克设计!$B$23:$U$23,0)))*(VLOOKUP($B196,INDIRECT($B$5&amp;"生成成长"),3))*(VLOOKUP($B$5,标准坦克设计!$B$14:$K$20,9)/30))</f>
        <v>13.325951255324073</v>
      </c>
      <c r="CK196" s="173">
        <f ca="1">(VLOOKUP(CK$72,INDIRECT($C$5&amp;"生成成长"),2))/((VLOOKUP($B196,INDIRECT($B$5&amp;"生成成长"),4))/(VLOOKUP(CK$72,INDIRECT($C$5&amp;"生成成长"),5))*(VLOOKUP($B$5,标准坦克设计!$B$24:$U$30,MATCH("对"&amp;LEFT($C$5,2)&amp;"输出",标准坦克设计!$B$23:$U$23,0)))*(VLOOKUP($B196,INDIRECT($B$5&amp;"生成成长"),3))*(VLOOKUP($B$5,标准坦克设计!$B$14:$K$20,9)/30))</f>
        <v>14.260827740537056</v>
      </c>
      <c r="CL196" s="173">
        <f ca="1">(VLOOKUP(CL$72,INDIRECT($C$5&amp;"生成成长"),2))/((VLOOKUP($B196,INDIRECT($B$5&amp;"生成成长"),4))/(VLOOKUP(CL$72,INDIRECT($C$5&amp;"生成成长"),5))*(VLOOKUP($B$5,标准坦克设计!$B$24:$U$30,MATCH("对"&amp;LEFT($C$5,2)&amp;"输出",标准坦克设计!$B$23:$U$23,0)))*(VLOOKUP($B196,INDIRECT($B$5&amp;"生成成长"),3))*(VLOOKUP($B$5,标准坦克设计!$B$14:$K$20,9)/30))</f>
        <v>15.227394954062348</v>
      </c>
      <c r="CM196" s="173">
        <f ca="1">(VLOOKUP(CM$72,INDIRECT($C$5&amp;"生成成长"),2))/((VLOOKUP($B196,INDIRECT($B$5&amp;"生成成长"),4))/(VLOOKUP(CM$72,INDIRECT($C$5&amp;"生成成长"),5))*(VLOOKUP($B$5,标准坦克设计!$B$24:$U$30,MATCH("对"&amp;LEFT($C$5,2)&amp;"输出",标准坦克设计!$B$23:$U$23,0)))*(VLOOKUP($B196,INDIRECT($B$5&amp;"生成成长"),3))*(VLOOKUP($B$5,标准坦克设计!$B$14:$K$20,9)/30))</f>
        <v>16.225652895899941</v>
      </c>
      <c r="CN196" s="173">
        <f ca="1">(VLOOKUP(CN$72,INDIRECT($C$5&amp;"生成成长"),2))/((VLOOKUP($B196,INDIRECT($B$5&amp;"生成成长"),4))/(VLOOKUP(CN$72,INDIRECT($C$5&amp;"生成成长"),5))*(VLOOKUP($B$5,标准坦克设计!$B$24:$U$30,MATCH("对"&amp;LEFT($C$5,2)&amp;"输出",标准坦克设计!$B$23:$U$23,0)))*(VLOOKUP($B196,INDIRECT($B$5&amp;"生成成长"),3))*(VLOOKUP($B$5,标准坦克设计!$B$14:$K$20,9)/30))</f>
        <v>17.255601566049837</v>
      </c>
      <c r="CO196" s="173">
        <f ca="1">(VLOOKUP(CO$72,INDIRECT($C$5&amp;"生成成长"),2))/((VLOOKUP($B196,INDIRECT($B$5&amp;"生成成长"),4))/(VLOOKUP(CO$72,INDIRECT($C$5&amp;"生成成长"),5))*(VLOOKUP($B$5,标准坦克设计!$B$24:$U$30,MATCH("对"&amp;LEFT($C$5,2)&amp;"输出",标准坦克设计!$B$23:$U$23,0)))*(VLOOKUP($B196,INDIRECT($B$5&amp;"生成成长"),3))*(VLOOKUP($B$5,标准坦克设计!$B$14:$K$20,9)/30))</f>
        <v>7.7326686616250919</v>
      </c>
      <c r="CP196" s="173">
        <f ca="1">(VLOOKUP(CP$72,INDIRECT($C$5&amp;"生成成长"),2))/((VLOOKUP($B196,INDIRECT($B$5&amp;"生成成长"),4))/(VLOOKUP(CP$72,INDIRECT($C$5&amp;"生成成长"),5))*(VLOOKUP($B$5,标准坦克设计!$B$24:$U$30,MATCH("对"&amp;LEFT($C$5,2)&amp;"输出",标准坦克设计!$B$23:$U$23,0)))*(VLOOKUP($B196,INDIRECT($B$5&amp;"生成成长"),3))*(VLOOKUP($B$5,标准坦克设计!$B$14:$K$20,9)/30))</f>
        <v>8.4485910239530657</v>
      </c>
      <c r="CQ196" s="173">
        <f ca="1">(VLOOKUP(CQ$72,INDIRECT($C$5&amp;"生成成长"),2))/((VLOOKUP($B196,INDIRECT($B$5&amp;"生成成长"),4))/(VLOOKUP(CQ$72,INDIRECT($C$5&amp;"生成成长"),5))*(VLOOKUP($B$5,标准坦克设计!$B$24:$U$30,MATCH("对"&amp;LEFT($C$5,2)&amp;"输出",标准坦克设计!$B$23:$U$23,0)))*(VLOOKUP($B196,INDIRECT($B$5&amp;"生成成长"),3))*(VLOOKUP($B$5,标准坦克设计!$B$14:$K$20,9)/30))</f>
        <v>9.1962041145933391</v>
      </c>
      <c r="CR196" s="173">
        <f ca="1">(VLOOKUP(CR$72,INDIRECT($C$5&amp;"生成成长"),2))/((VLOOKUP($B196,INDIRECT($B$5&amp;"生成成长"),4))/(VLOOKUP(CR$72,INDIRECT($C$5&amp;"生成成长"),5))*(VLOOKUP($B$5,标准坦克设计!$B$24:$U$30,MATCH("对"&amp;LEFT($C$5,2)&amp;"输出",标准坦克设计!$B$23:$U$23,0)))*(VLOOKUP($B196,INDIRECT($B$5&amp;"生成成长"),3))*(VLOOKUP($B$5,标准坦克设计!$B$14:$K$20,9)/30))</f>
        <v>9.9755079335459218</v>
      </c>
      <c r="CS196" s="173">
        <f ca="1">(VLOOKUP(CS$72,INDIRECT($C$5&amp;"生成成长"),2))/((VLOOKUP($B196,INDIRECT($B$5&amp;"生成成长"),4))/(VLOOKUP(CS$72,INDIRECT($C$5&amp;"生成成长"),5))*(VLOOKUP($B$5,标准坦克设计!$B$24:$U$30,MATCH("对"&amp;LEFT($C$5,2)&amp;"输出",标准坦克设计!$B$23:$U$23,0)))*(VLOOKUP($B196,INDIRECT($B$5&amp;"生成成长"),3))*(VLOOKUP($B$5,标准坦克设计!$B$14:$K$20,9)/30))</f>
        <v>10.786502480810805</v>
      </c>
      <c r="CT196" s="173">
        <f ca="1">(VLOOKUP(CT$72,INDIRECT($C$5&amp;"生成成长"),2))/((VLOOKUP($B196,INDIRECT($B$5&amp;"生成成长"),4))/(VLOOKUP(CT$72,INDIRECT($C$5&amp;"生成成长"),5))*(VLOOKUP($B$5,标准坦克设计!$B$24:$U$30,MATCH("对"&amp;LEFT($C$5,2)&amp;"输出",标准坦克设计!$B$23:$U$23,0)))*(VLOOKUP($B196,INDIRECT($B$5&amp;"生成成长"),3))*(VLOOKUP($B$5,标准坦克设计!$B$14:$K$20,9)/30))</f>
        <v>11.629187756387996</v>
      </c>
      <c r="CU196" s="173">
        <f ca="1">(VLOOKUP(CU$72,INDIRECT($C$5&amp;"生成成长"),2))/((VLOOKUP($B196,INDIRECT($B$5&amp;"生成成长"),4))/(VLOOKUP(CU$72,INDIRECT($C$5&amp;"生成成长"),5))*(VLOOKUP($B$5,标准坦克设计!$B$24:$U$30,MATCH("对"&amp;LEFT($C$5,2)&amp;"输出",标准坦克设计!$B$23:$U$23,0)))*(VLOOKUP($B196,INDIRECT($B$5&amp;"生成成长"),3))*(VLOOKUP($B$5,标准坦克设计!$B$14:$K$20,9)/30))</f>
        <v>12.503563760277487</v>
      </c>
      <c r="CV196" s="173">
        <f ca="1">(VLOOKUP(CV$72,INDIRECT($C$5&amp;"生成成长"),2))/((VLOOKUP($B196,INDIRECT($B$5&amp;"生成成长"),4))/(VLOOKUP(CV$72,INDIRECT($C$5&amp;"生成成长"),5))*(VLOOKUP($B$5,标准坦克设计!$B$24:$U$30,MATCH("对"&amp;LEFT($C$5,2)&amp;"输出",标准坦克设计!$B$23:$U$23,0)))*(VLOOKUP($B196,INDIRECT($B$5&amp;"生成成长"),3))*(VLOOKUP($B$5,标准坦克设计!$B$14:$K$20,9)/30))</f>
        <v>13.409630492479289</v>
      </c>
      <c r="CW196" s="173">
        <f ca="1">(VLOOKUP(CW$72,INDIRECT($C$5&amp;"生成成长"),2))/((VLOOKUP($B196,INDIRECT($B$5&amp;"生成成长"),4))/(VLOOKUP(CW$72,INDIRECT($C$5&amp;"生成成长"),5))*(VLOOKUP($B$5,标准坦克设计!$B$24:$U$30,MATCH("对"&amp;LEFT($C$5,2)&amp;"输出",标准坦克设计!$B$23:$U$23,0)))*(VLOOKUP($B196,INDIRECT($B$5&amp;"生成成长"),3))*(VLOOKUP($B$5,标准坦克设计!$B$14:$K$20,9)/30))</f>
        <v>14.347387952993394</v>
      </c>
      <c r="CX196" s="173">
        <f ca="1">(VLOOKUP(CX$72,INDIRECT($C$5&amp;"生成成长"),2))/((VLOOKUP($B196,INDIRECT($B$5&amp;"生成成长"),4))/(VLOOKUP(CX$72,INDIRECT($C$5&amp;"生成成长"),5))*(VLOOKUP($B$5,标准坦克设计!$B$24:$U$30,MATCH("对"&amp;LEFT($C$5,2)&amp;"输出",标准坦克设计!$B$23:$U$23,0)))*(VLOOKUP($B196,INDIRECT($B$5&amp;"生成成长"),3))*(VLOOKUP($B$5,标准坦克设计!$B$14:$K$20,9)/30))</f>
        <v>15.316836141819799</v>
      </c>
      <c r="CY196" s="173">
        <f ca="1">(VLOOKUP(CY$72,INDIRECT($C$5&amp;"生成成长"),2))/((VLOOKUP($B196,INDIRECT($B$5&amp;"生成成长"),4))/(VLOOKUP(CY$72,INDIRECT($C$5&amp;"生成成长"),5))*(VLOOKUP($B$5,标准坦克设计!$B$24:$U$30,MATCH("对"&amp;LEFT($C$5,2)&amp;"输出",标准坦克设计!$B$23:$U$23,0)))*(VLOOKUP($B196,INDIRECT($B$5&amp;"生成成长"),3))*(VLOOKUP($B$5,标准坦克设计!$B$14:$K$20,9)/30))</f>
        <v>16.317975058958513</v>
      </c>
      <c r="CZ196" s="173">
        <f ca="1">(VLOOKUP(CZ$72,INDIRECT($C$5&amp;"生成成长"),2))/((VLOOKUP($B196,INDIRECT($B$5&amp;"生成成长"),4))/(VLOOKUP(CZ$72,INDIRECT($C$5&amp;"生成成长"),5))*(VLOOKUP($B$5,标准坦克设计!$B$24:$U$30,MATCH("对"&amp;LEFT($C$5,2)&amp;"输出",标准坦克设计!$B$23:$U$23,0)))*(VLOOKUP($B196,INDIRECT($B$5&amp;"生成成长"),3))*(VLOOKUP($B$5,标准坦克设计!$B$14:$K$20,9)/30))</f>
        <v>17.35080470440953</v>
      </c>
      <c r="DA196" s="173">
        <f ca="1">(VLOOKUP(DA$72,INDIRECT($C$5&amp;"生成成长"),2))/((VLOOKUP($B196,INDIRECT($B$5&amp;"生成成长"),4))/(VLOOKUP(DA$72,INDIRECT($C$5&amp;"生成成长"),5))*(VLOOKUP($B$5,标准坦克设计!$B$24:$U$30,MATCH("对"&amp;LEFT($C$5,2)&amp;"输出",标准坦克设计!$B$23:$U$23,0)))*(VLOOKUP($B196,INDIRECT($B$5&amp;"生成成长"),3))*(VLOOKUP($B$5,标准坦克设计!$B$14:$K$20,9)/30))</f>
        <v>18.415325078172849</v>
      </c>
      <c r="DB196" s="173">
        <f ca="1">(VLOOKUP(DB$72,INDIRECT($C$5&amp;"生成成长"),2))/((VLOOKUP($B196,INDIRECT($B$5&amp;"生成成长"),4))/(VLOOKUP(DB$72,INDIRECT($C$5&amp;"生成成长"),5))*(VLOOKUP($B$5,标准坦克设计!$B$24:$U$30,MATCH("对"&amp;LEFT($C$5,2)&amp;"输出",标准坦克设计!$B$23:$U$23,0)))*(VLOOKUP($B196,INDIRECT($B$5&amp;"生成成长"),3))*(VLOOKUP($B$5,标准坦克设计!$B$14:$K$20,9)/30))</f>
        <v>19.511536180248477</v>
      </c>
      <c r="DC196" s="173">
        <f ca="1">(VLOOKUP(DC$72,INDIRECT($C$5&amp;"生成成长"),2))/((VLOOKUP($B196,INDIRECT($B$5&amp;"生成成长"),4))/(VLOOKUP(DC$72,INDIRECT($C$5&amp;"生成成长"),5))*(VLOOKUP($B$5,标准坦克设计!$B$24:$U$30,MATCH("对"&amp;LEFT($C$5,2)&amp;"输出",标准坦克设计!$B$23:$U$23,0)))*(VLOOKUP($B196,INDIRECT($B$5&amp;"生成成长"),3))*(VLOOKUP($B$5,标准坦克设计!$B$14:$K$20,9)/30))</f>
        <v>20.743545981745012</v>
      </c>
      <c r="DD196" s="173">
        <f ca="1">(VLOOKUP(DD$72,INDIRECT($C$5&amp;"生成成长"),2))/((VLOOKUP($B196,INDIRECT($B$5&amp;"生成成长"),4))/(VLOOKUP(DD$72,INDIRECT($C$5&amp;"生成成长"),5))*(VLOOKUP($B$5,标准坦克设计!$B$24:$U$30,MATCH("对"&amp;LEFT($C$5,2)&amp;"输出",标准坦克设计!$B$23:$U$23,0)))*(VLOOKUP($B196,INDIRECT($B$5&amp;"生成成长"),3))*(VLOOKUP($B$5,标准坦克设计!$B$14:$K$20,9)/30))</f>
        <v>22.013270369001642</v>
      </c>
      <c r="DE196" s="173">
        <f ca="1">(VLOOKUP(DE$72,INDIRECT($C$5&amp;"生成成长"),2))/((VLOOKUP($B196,INDIRECT($B$5&amp;"生成成长"),4))/(VLOOKUP(DE$72,INDIRECT($C$5&amp;"生成成长"),5))*(VLOOKUP($B$5,标准坦克设计!$B$24:$U$30,MATCH("对"&amp;LEFT($C$5,2)&amp;"输出",标准坦克设计!$B$23:$U$23,0)))*(VLOOKUP($B196,INDIRECT($B$5&amp;"生成成长"),3))*(VLOOKUP($B$5,标准坦克设计!$B$14:$K$20,9)/30))</f>
        <v>23.320709342018372</v>
      </c>
      <c r="DF196" s="173">
        <f ca="1">(VLOOKUP(DF$72,INDIRECT($C$5&amp;"生成成长"),2))/((VLOOKUP($B196,INDIRECT($B$5&amp;"生成成长"),4))/(VLOOKUP(DF$72,INDIRECT($C$5&amp;"生成成长"),5))*(VLOOKUP($B$5,标准坦克设计!$B$24:$U$30,MATCH("对"&amp;LEFT($C$5,2)&amp;"输出",标准坦克设计!$B$23:$U$23,0)))*(VLOOKUP($B196,INDIRECT($B$5&amp;"生成成长"),3))*(VLOOKUP($B$5,标准坦克设计!$B$14:$K$20,9)/30))</f>
        <v>24.665862900795201</v>
      </c>
      <c r="DG196" s="173">
        <f ca="1">(VLOOKUP(DG$72,INDIRECT($C$5&amp;"生成成长"),2))/((VLOOKUP($B196,INDIRECT($B$5&amp;"生成成长"),4))/(VLOOKUP(DG$72,INDIRECT($C$5&amp;"生成成长"),5))*(VLOOKUP($B$5,标准坦克设计!$B$24:$U$30,MATCH("对"&amp;LEFT($C$5,2)&amp;"输出",标准坦克设计!$B$23:$U$23,0)))*(VLOOKUP($B196,INDIRECT($B$5&amp;"生成成长"),3))*(VLOOKUP($B$5,标准坦克设计!$B$14:$K$20,9)/30))</f>
        <v>26.048731045332129</v>
      </c>
      <c r="DH196" s="173">
        <f ca="1">(VLOOKUP(DH$72,INDIRECT($C$5&amp;"生成成长"),2))/((VLOOKUP($B196,INDIRECT($B$5&amp;"生成成长"),4))/(VLOOKUP(DH$72,INDIRECT($C$5&amp;"生成成长"),5))*(VLOOKUP($B$5,标准坦克设计!$B$24:$U$30,MATCH("对"&amp;LEFT($C$5,2)&amp;"输出",标准坦克设计!$B$23:$U$23,0)))*(VLOOKUP($B196,INDIRECT($B$5&amp;"生成成长"),3))*(VLOOKUP($B$5,标准坦克设计!$B$14:$K$20,9)/30))</f>
        <v>27.469313775629161</v>
      </c>
      <c r="DI196" s="173">
        <f ca="1">(VLOOKUP(DI$72,INDIRECT($C$5&amp;"生成成长"),2))/((VLOOKUP($B196,INDIRECT($B$5&amp;"生成成长"),4))/(VLOOKUP(DI$72,INDIRECT($C$5&amp;"生成成长"),5))*(VLOOKUP($B$5,标准坦克设计!$B$24:$U$30,MATCH("对"&amp;LEFT($C$5,2)&amp;"输出",标准坦克设计!$B$23:$U$23,0)))*(VLOOKUP($B196,INDIRECT($B$5&amp;"生成成长"),3))*(VLOOKUP($B$5,标准坦克设计!$B$14:$K$20,9)/30))</f>
        <v>28.927611091686284</v>
      </c>
      <c r="DJ196" s="173">
        <f ca="1">(VLOOKUP(DJ$72,INDIRECT($C$5&amp;"生成成长"),2))/((VLOOKUP($B196,INDIRECT($B$5&amp;"生成成长"),4))/(VLOOKUP(DJ$72,INDIRECT($C$5&amp;"生成成长"),5))*(VLOOKUP($B$5,标准坦克设计!$B$24:$U$30,MATCH("对"&amp;LEFT($C$5,2)&amp;"输出",标准坦克设计!$B$23:$U$23,0)))*(VLOOKUP($B196,INDIRECT($B$5&amp;"生成成长"),3))*(VLOOKUP($B$5,标准坦克设计!$B$14:$K$20,9)/30))</f>
        <v>2.9072969390969989</v>
      </c>
      <c r="DK196" s="173">
        <f ca="1">(VLOOKUP(DK$72,INDIRECT($C$5&amp;"生成成长"),2))/((VLOOKUP($B196,INDIRECT($B$5&amp;"生成成长"),4))/(VLOOKUP(DK$72,INDIRECT($C$5&amp;"生成成长"),5))*(VLOOKUP($B$5,标准坦克设计!$B$24:$U$30,MATCH("对"&amp;LEFT($C$5,2)&amp;"输出",标准坦克设计!$B$23:$U$23,0)))*(VLOOKUP($B196,INDIRECT($B$5&amp;"生成成长"),3))*(VLOOKUP($B$5,标准坦克设计!$B$14:$K$20,9)/30))</f>
        <v>3.2691212462329391</v>
      </c>
      <c r="DL196" s="173">
        <f ca="1">(VLOOKUP(DL$72,INDIRECT($C$5&amp;"生成成长"),2))/((VLOOKUP($B196,INDIRECT($B$5&amp;"生成成长"),4))/(VLOOKUP(DL$72,INDIRECT($C$5&amp;"生成成长"),5))*(VLOOKUP($B$5,标准坦克设计!$B$24:$U$30,MATCH("对"&amp;LEFT($C$5,2)&amp;"输出",标准坦克设计!$B$23:$U$23,0)))*(VLOOKUP($B196,INDIRECT($B$5&amp;"生成成长"),3))*(VLOOKUP($B$5,标准坦克设计!$B$14:$K$20,9)/30))</f>
        <v>3.6521600078589342</v>
      </c>
      <c r="DM196" s="173">
        <f ca="1">(VLOOKUP(DM$72,INDIRECT($C$5&amp;"生成成长"),2))/((VLOOKUP($B196,INDIRECT($B$5&amp;"生成成长"),4))/(VLOOKUP(DM$72,INDIRECT($C$5&amp;"生成成长"),5))*(VLOOKUP($B$5,标准坦克设计!$B$24:$U$30,MATCH("对"&amp;LEFT($C$5,2)&amp;"输出",标准坦克设计!$B$23:$U$23,0)))*(VLOOKUP($B196,INDIRECT($B$5&amp;"生成成长"),3))*(VLOOKUP($B$5,标准坦克设计!$B$14:$K$20,9)/30))</f>
        <v>4.0564132239749853</v>
      </c>
      <c r="DN196" s="173">
        <f ca="1">(VLOOKUP(DN$72,INDIRECT($C$5&amp;"生成成长"),2))/((VLOOKUP($B196,INDIRECT($B$5&amp;"生成成长"),4))/(VLOOKUP(DN$72,INDIRECT($C$5&amp;"生成成长"),5))*(VLOOKUP($B$5,标准坦克设计!$B$24:$U$30,MATCH("对"&amp;LEFT($C$5,2)&amp;"输出",标准坦克设计!$B$23:$U$23,0)))*(VLOOKUP($B196,INDIRECT($B$5&amp;"生成成长"),3))*(VLOOKUP($B$5,标准坦克设计!$B$14:$K$20,9)/30))</f>
        <v>4.4818808945810904</v>
      </c>
      <c r="DO196" s="173">
        <f ca="1">(VLOOKUP(DO$72,INDIRECT($C$5&amp;"生成成长"),2))/((VLOOKUP($B196,INDIRECT($B$5&amp;"生成成长"),4))/(VLOOKUP(DO$72,INDIRECT($C$5&amp;"生成成长"),5))*(VLOOKUP($B$5,标准坦克设计!$B$24:$U$30,MATCH("对"&amp;LEFT($C$5,2)&amp;"输出",标准坦克设计!$B$23:$U$23,0)))*(VLOOKUP($B196,INDIRECT($B$5&amp;"生成成长"),3))*(VLOOKUP($B$5,标准坦克设计!$B$14:$K$20,9)/30))</f>
        <v>4.9285630196772514</v>
      </c>
      <c r="DP196" s="173">
        <f ca="1">(VLOOKUP(DP$72,INDIRECT($C$5&amp;"生成成长"),2))/((VLOOKUP($B196,INDIRECT($B$5&amp;"生成成长"),4))/(VLOOKUP(DP$72,INDIRECT($C$5&amp;"生成成长"),5))*(VLOOKUP($B$5,标准坦克设计!$B$24:$U$30,MATCH("对"&amp;LEFT($C$5,2)&amp;"输出",标准坦克设计!$B$23:$U$23,0)))*(VLOOKUP($B196,INDIRECT($B$5&amp;"生成成长"),3))*(VLOOKUP($B$5,标准坦克设计!$B$14:$K$20,9)/30))</f>
        <v>5.3964595992634665</v>
      </c>
      <c r="DQ196" s="173">
        <f ca="1">(VLOOKUP(DQ$72,INDIRECT($C$5&amp;"生成成长"),2))/((VLOOKUP($B196,INDIRECT($B$5&amp;"生成成长"),4))/(VLOOKUP(DQ$72,INDIRECT($C$5&amp;"生成成长"),5))*(VLOOKUP($B$5,标准坦克设计!$B$24:$U$30,MATCH("对"&amp;LEFT($C$5,2)&amp;"输出",标准坦克设计!$B$23:$U$23,0)))*(VLOOKUP($B196,INDIRECT($B$5&amp;"生成成长"),3))*(VLOOKUP($B$5,标准坦克设计!$B$14:$K$20,9)/30))</f>
        <v>5.8855706333397375</v>
      </c>
      <c r="DR196" s="173">
        <f ca="1">(VLOOKUP(DR$72,INDIRECT($C$5&amp;"生成成长"),2))/((VLOOKUP($B196,INDIRECT($B$5&amp;"生成成长"),4))/(VLOOKUP(DR$72,INDIRECT($C$5&amp;"生成成长"),5))*(VLOOKUP($B$5,标准坦克设计!$B$24:$U$30,MATCH("对"&amp;LEFT($C$5,2)&amp;"输出",标准坦克设计!$B$23:$U$23,0)))*(VLOOKUP($B196,INDIRECT($B$5&amp;"生成成长"),3))*(VLOOKUP($B$5,标准坦克设计!$B$14:$K$20,9)/30))</f>
        <v>6.3958961219060644</v>
      </c>
      <c r="DS196" s="173">
        <f ca="1">(VLOOKUP(DS$72,INDIRECT($C$5&amp;"生成成长"),2))/((VLOOKUP($B196,INDIRECT($B$5&amp;"生成成长"),4))/(VLOOKUP(DS$72,INDIRECT($C$5&amp;"生成成长"),5))*(VLOOKUP($B$5,标准坦克设计!$B$24:$U$30,MATCH("对"&amp;LEFT($C$5,2)&amp;"输出",标准坦克设计!$B$23:$U$23,0)))*(VLOOKUP($B196,INDIRECT($B$5&amp;"生成成长"),3))*(VLOOKUP($B$5,标准坦克设计!$B$14:$K$20,9)/30))</f>
        <v>6.9274360649624454</v>
      </c>
      <c r="DT196" s="173">
        <f ca="1">(VLOOKUP(DT$72,INDIRECT($C$5&amp;"生成成长"),2))/((VLOOKUP($B196,INDIRECT($B$5&amp;"生成成长"),4))/(VLOOKUP(DT$72,INDIRECT($C$5&amp;"生成成长"),5))*(VLOOKUP($B$5,标准坦克设计!$B$24:$U$30,MATCH("对"&amp;LEFT($C$5,2)&amp;"输出",标准坦克设计!$B$23:$U$23,0)))*(VLOOKUP($B196,INDIRECT($B$5&amp;"生成成长"),3))*(VLOOKUP($B$5,标准坦克设计!$B$14:$K$20,9)/30))</f>
        <v>7.6059057483758767</v>
      </c>
      <c r="DU196" s="173">
        <f ca="1">(VLOOKUP(DU$72,INDIRECT($C$5&amp;"生成成长"),2))/((VLOOKUP($B196,INDIRECT($B$5&amp;"生成成长"),4))/(VLOOKUP(DU$72,INDIRECT($C$5&amp;"生成成长"),5))*(VLOOKUP($B$5,标准坦克设计!$B$24:$U$30,MATCH("对"&amp;LEFT($C$5,2)&amp;"输出",标准坦克设计!$B$23:$U$23,0)))*(VLOOKUP($B196,INDIRECT($B$5&amp;"生成成长"),3))*(VLOOKUP($B$5,标准坦克设计!$B$14:$K$20,9)/30))</f>
        <v>8.3160661601016095</v>
      </c>
      <c r="DV196" s="173">
        <f ca="1">(VLOOKUP(DV$72,INDIRECT($C$5&amp;"生成成长"),2))/((VLOOKUP($B196,INDIRECT($B$5&amp;"生成成长"),4))/(VLOOKUP(DV$72,INDIRECT($C$5&amp;"生成成长"),5))*(VLOOKUP($B$5,标准坦克设计!$B$24:$U$30,MATCH("对"&amp;LEFT($C$5,2)&amp;"输出",标准坦克设计!$B$23:$U$23,0)))*(VLOOKUP($B196,INDIRECT($B$5&amp;"生成成长"),3))*(VLOOKUP($B$5,标准坦克设计!$B$14:$K$20,9)/30))</f>
        <v>9.057917300139648</v>
      </c>
      <c r="DW196" s="173">
        <f ca="1">(VLOOKUP(DW$72,INDIRECT($C$5&amp;"生成成长"),2))/((VLOOKUP($B196,INDIRECT($B$5&amp;"生成成长"),4))/(VLOOKUP(DW$72,INDIRECT($C$5&amp;"生成成长"),5))*(VLOOKUP($B$5,标准坦克设计!$B$24:$U$30,MATCH("对"&amp;LEFT($C$5,2)&amp;"输出",标准坦克设计!$B$23:$U$23,0)))*(VLOOKUP($B196,INDIRECT($B$5&amp;"生成成长"),3))*(VLOOKUP($B$5,标准坦克设计!$B$14:$K$20,9)/30))</f>
        <v>9.8314591684899924</v>
      </c>
      <c r="DX196" s="173">
        <f ca="1">(VLOOKUP(DX$72,INDIRECT($C$5&amp;"生成成长"),2))/((VLOOKUP($B196,INDIRECT($B$5&amp;"生成成长"),4))/(VLOOKUP(DX$72,INDIRECT($C$5&amp;"生成成长"),5))*(VLOOKUP($B$5,标准坦克设计!$B$24:$U$30,MATCH("对"&amp;LEFT($C$5,2)&amp;"输出",标准坦克设计!$B$23:$U$23,0)))*(VLOOKUP($B196,INDIRECT($B$5&amp;"生成成长"),3))*(VLOOKUP($B$5,标准坦克设计!$B$14:$K$20,9)/30))</f>
        <v>10.636691765152637</v>
      </c>
      <c r="DY196" s="173">
        <f ca="1">(VLOOKUP(DY$72,INDIRECT($C$5&amp;"生成成长"),2))/((VLOOKUP($B196,INDIRECT($B$5&amp;"生成成长"),4))/(VLOOKUP(DY$72,INDIRECT($C$5&amp;"生成成长"),5))*(VLOOKUP($B$5,标准坦克设计!$B$24:$U$30,MATCH("对"&amp;LEFT($C$5,2)&amp;"输出",标准坦克设计!$B$23:$U$23,0)))*(VLOOKUP($B196,INDIRECT($B$5&amp;"生成成长"),3))*(VLOOKUP($B$5,标准坦克设计!$B$14:$K$20,9)/30))</f>
        <v>4.7773118163685249</v>
      </c>
      <c r="DZ196" s="173">
        <f ca="1">(VLOOKUP(DZ$72,INDIRECT($C$5&amp;"生成成长"),2))/((VLOOKUP($B196,INDIRECT($B$5&amp;"生成成长"),4))/(VLOOKUP(DZ$72,INDIRECT($C$5&amp;"生成成长"),5))*(VLOOKUP($B$5,标准坦克设计!$B$24:$U$30,MATCH("对"&amp;LEFT($C$5,2)&amp;"输出",标准坦克设计!$B$23:$U$23,0)))*(VLOOKUP($B196,INDIRECT($B$5&amp;"生成成长"),3))*(VLOOKUP($B$5,标准坦克设计!$B$14:$K$20,9)/30))</f>
        <v>5.2906492336587476</v>
      </c>
      <c r="EA196" s="173">
        <f ca="1">(VLOOKUP(EA$72,INDIRECT($C$5&amp;"生成成长"),2))/((VLOOKUP($B196,INDIRECT($B$5&amp;"生成成长"),4))/(VLOOKUP(EA$72,INDIRECT($C$5&amp;"生成成长"),5))*(VLOOKUP($B$5,标准坦克设计!$B$24:$U$30,MATCH("对"&amp;LEFT($C$5,2)&amp;"输出",标准坦克设计!$B$23:$U$23,0)))*(VLOOKUP($B196,INDIRECT($B$5&amp;"生成成长"),3))*(VLOOKUP($B$5,标准坦克设计!$B$14:$K$20,9)/30))</f>
        <v>5.8301773355045929</v>
      </c>
      <c r="EB196" s="173">
        <f ca="1">(VLOOKUP(EB$72,INDIRECT($C$5&amp;"生成成长"),2))/((VLOOKUP($B196,INDIRECT($B$5&amp;"生成成长"),4))/(VLOOKUP(EB$72,INDIRECT($C$5&amp;"生成成长"),5))*(VLOOKUP($B$5,标准坦克设计!$B$24:$U$30,MATCH("对"&amp;LEFT($C$5,2)&amp;"输出",标准坦克设计!$B$23:$U$23,0)))*(VLOOKUP($B196,INDIRECT($B$5&amp;"生成成长"),3))*(VLOOKUP($B$5,标准坦克设计!$B$14:$K$20,9)/30))</f>
        <v>6.3958961219060644</v>
      </c>
      <c r="EC196" s="173">
        <f ca="1">(VLOOKUP(EC$72,INDIRECT($C$5&amp;"生成成长"),2))/((VLOOKUP($B196,INDIRECT($B$5&amp;"生成成长"),4))/(VLOOKUP(EC$72,INDIRECT($C$5&amp;"生成成长"),5))*(VLOOKUP($B$5,标准坦克设计!$B$24:$U$30,MATCH("对"&amp;LEFT($C$5,2)&amp;"输出",标准坦克设计!$B$23:$U$23,0)))*(VLOOKUP($B196,INDIRECT($B$5&amp;"生成成长"),3))*(VLOOKUP($B$5,标准坦克设计!$B$14:$K$20,9)/30))</f>
        <v>6.9878055928631575</v>
      </c>
      <c r="ED196" s="173">
        <f ca="1">(VLOOKUP(ED$72,INDIRECT($C$5&amp;"生成成长"),2))/((VLOOKUP($B196,INDIRECT($B$5&amp;"生成成长"),4))/(VLOOKUP(ED$72,INDIRECT($C$5&amp;"生成成长"),5))*(VLOOKUP($B$5,标准坦克设计!$B$24:$U$30,MATCH("对"&amp;LEFT($C$5,2)&amp;"输出",标准坦克设计!$B$23:$U$23,0)))*(VLOOKUP($B196,INDIRECT($B$5&amp;"生成成长"),3))*(VLOOKUP($B$5,标准坦克设计!$B$14:$K$20,9)/30))</f>
        <v>7.6059057483758767</v>
      </c>
      <c r="EE196" s="173">
        <f ca="1">(VLOOKUP(EE$72,INDIRECT($C$5&amp;"生成成长"),2))/((VLOOKUP($B196,INDIRECT($B$5&amp;"生成成长"),4))/(VLOOKUP(EE$72,INDIRECT($C$5&amp;"生成成长"),5))*(VLOOKUP($B$5,标准坦克设计!$B$24:$U$30,MATCH("对"&amp;LEFT($C$5,2)&amp;"输出",标准坦克设计!$B$23:$U$23,0)))*(VLOOKUP($B196,INDIRECT($B$5&amp;"生成成长"),3))*(VLOOKUP($B$5,标准坦克设计!$B$14:$K$20,9)/30))</f>
        <v>8.250196588444215</v>
      </c>
      <c r="EF196" s="173">
        <f ca="1">(VLOOKUP(EF$72,INDIRECT($C$5&amp;"生成成长"),2))/((VLOOKUP($B196,INDIRECT($B$5&amp;"生成成长"),4))/(VLOOKUP(EF$72,INDIRECT($C$5&amp;"生成成长"),5))*(VLOOKUP($B$5,标准坦克设计!$B$24:$U$30,MATCH("对"&amp;LEFT($C$5,2)&amp;"输出",标准坦克设计!$B$23:$U$23,0)))*(VLOOKUP($B196,INDIRECT($B$5&amp;"生成成长"),3))*(VLOOKUP($B$5,标准坦克设计!$B$14:$K$20,9)/30))</f>
        <v>8.9206781130681794</v>
      </c>
      <c r="EG196" s="173">
        <f ca="1">(VLOOKUP(EG$72,INDIRECT($C$5&amp;"生成成长"),2))/((VLOOKUP($B196,INDIRECT($B$5&amp;"生成成长"),4))/(VLOOKUP(EG$72,INDIRECT($C$5&amp;"生成成长"),5))*(VLOOKUP($B$5,标准坦克设计!$B$24:$U$30,MATCH("对"&amp;LEFT($C$5,2)&amp;"输出",标准坦克设计!$B$23:$U$23,0)))*(VLOOKUP($B196,INDIRECT($B$5&amp;"生成成长"),3))*(VLOOKUP($B$5,标准坦克设计!$B$14:$K$20,9)/30))</f>
        <v>9.6173503222477681</v>
      </c>
      <c r="EH196" s="173">
        <f ca="1">(VLOOKUP(EH$72,INDIRECT($C$5&amp;"生成成长"),2))/((VLOOKUP($B196,INDIRECT($B$5&amp;"生成成长"),4))/(VLOOKUP(EH$72,INDIRECT($C$5&amp;"生成成长"),5))*(VLOOKUP($B$5,标准坦克设计!$B$24:$U$30,MATCH("对"&amp;LEFT($C$5,2)&amp;"输出",标准坦克设计!$B$23:$U$23,0)))*(VLOOKUP($B196,INDIRECT($B$5&amp;"生成成长"),3))*(VLOOKUP($B$5,标准坦克设计!$B$14:$K$20,9)/30))</f>
        <v>10.340213215982979</v>
      </c>
      <c r="EI196" s="173">
        <f ca="1">(VLOOKUP(EI$72,INDIRECT($C$5&amp;"生成成长"),2))/((VLOOKUP($B196,INDIRECT($B$5&amp;"生成成长"),4))/(VLOOKUP(EI$72,INDIRECT($C$5&amp;"生成成长"),5))*(VLOOKUP($B$5,标准坦克设计!$B$24:$U$30,MATCH("对"&amp;LEFT($C$5,2)&amp;"输出",标准坦克设计!$B$23:$U$23,0)))*(VLOOKUP($B196,INDIRECT($B$5&amp;"生成成长"),3))*(VLOOKUP($B$5,标准坦克设计!$B$14:$K$20,9)/30))</f>
        <v>11.089266794273813</v>
      </c>
      <c r="EJ196" s="173">
        <f ca="1">(VLOOKUP(EJ$72,INDIRECT($C$5&amp;"生成成长"),2))/((VLOOKUP($B196,INDIRECT($B$5&amp;"生成成长"),4))/(VLOOKUP(EJ$72,INDIRECT($C$5&amp;"生成成长"),5))*(VLOOKUP($B$5,标准坦克设计!$B$24:$U$30,MATCH("对"&amp;LEFT($C$5,2)&amp;"输出",标准坦克设计!$B$23:$U$23,0)))*(VLOOKUP($B196,INDIRECT($B$5&amp;"生成成长"),3))*(VLOOKUP($B$5,标准坦克设计!$B$14:$K$20,9)/30))</f>
        <v>11.864511057120275</v>
      </c>
      <c r="EK196" s="173">
        <f ca="1">(VLOOKUP(EK$72,INDIRECT($C$5&amp;"生成成长"),2))/((VLOOKUP($B196,INDIRECT($B$5&amp;"生成成长"),4))/(VLOOKUP(EK$72,INDIRECT($C$5&amp;"生成成长"),5))*(VLOOKUP($B$5,标准坦克设计!$B$24:$U$30,MATCH("对"&amp;LEFT($C$5,2)&amp;"输出",标准坦克设计!$B$23:$U$23,0)))*(VLOOKUP($B196,INDIRECT($B$5&amp;"生成成长"),3))*(VLOOKUP($B$5,标准坦克设计!$B$14:$K$20,9)/30))</f>
        <v>12.829375876149447</v>
      </c>
      <c r="EL196" s="173">
        <f ca="1">(VLOOKUP(EL$72,INDIRECT($C$5&amp;"生成成长"),2))/((VLOOKUP($B196,INDIRECT($B$5&amp;"生成成长"),4))/(VLOOKUP(EL$72,INDIRECT($C$5&amp;"生成成长"),5))*(VLOOKUP($B$5,标准坦克设计!$B$24:$U$30,MATCH("对"&amp;LEFT($C$5,2)&amp;"输出",标准坦克设计!$B$23:$U$23,0)))*(VLOOKUP($B196,INDIRECT($B$5&amp;"生成成长"),3))*(VLOOKUP($B$5,标准坦克设计!$B$14:$K$20,9)/30))</f>
        <v>13.831955280938722</v>
      </c>
      <c r="EM196" s="173">
        <f ca="1">(VLOOKUP(EM$72,INDIRECT($C$5&amp;"生成成长"),2))/((VLOOKUP($B196,INDIRECT($B$5&amp;"生成成长"),4))/(VLOOKUP(EM$72,INDIRECT($C$5&amp;"生成成长"),5))*(VLOOKUP($B$5,标准坦克设计!$B$24:$U$30,MATCH("对"&amp;LEFT($C$5,2)&amp;"输出",标准坦克设计!$B$23:$U$23,0)))*(VLOOKUP($B196,INDIRECT($B$5&amp;"生成成长"),3))*(VLOOKUP($B$5,标准坦克设计!$B$14:$K$20,9)/30))</f>
        <v>14.872249271488091</v>
      </c>
      <c r="EN196" s="173">
        <f ca="1">(VLOOKUP(EN$72,INDIRECT($C$5&amp;"生成成长"),2))/((VLOOKUP($B196,INDIRECT($B$5&amp;"生成成长"),4))/(VLOOKUP(EN$72,INDIRECT($C$5&amp;"生成成长"),5))*(VLOOKUP($B$5,标准坦克设计!$B$24:$U$30,MATCH("对"&amp;LEFT($C$5,2)&amp;"输出",标准坦克设计!$B$23:$U$23,0)))*(VLOOKUP($B196,INDIRECT($B$5&amp;"生成成长"),3))*(VLOOKUP($B$5,标准坦克设计!$B$14:$K$20,9)/30))</f>
        <v>15.950257847797559</v>
      </c>
      <c r="EO196" s="173">
        <f ca="1">(VLOOKUP(EO$72,INDIRECT($C$5&amp;"生成成长"),2))/((VLOOKUP($B196,INDIRECT($B$5&amp;"生成成长"),4))/(VLOOKUP(EO$72,INDIRECT($C$5&amp;"生成成长"),5))*(VLOOKUP($B$5,标准坦克设计!$B$24:$U$30,MATCH("对"&amp;LEFT($C$5,2)&amp;"输出",标准坦克设计!$B$23:$U$23,0)))*(VLOOKUP($B196,INDIRECT($B$5&amp;"生成成长"),3))*(VLOOKUP($B$5,标准坦克设计!$B$14:$K$20,9)/30))</f>
        <v>17.065981009867123</v>
      </c>
      <c r="EP196" s="173">
        <f ca="1">(VLOOKUP(EP$72,INDIRECT($C$5&amp;"生成成长"),2))/((VLOOKUP($B196,INDIRECT($B$5&amp;"生成成长"),4))/(VLOOKUP(EP$72,INDIRECT($C$5&amp;"生成成长"),5))*(VLOOKUP($B$5,标准坦克设计!$B$24:$U$30,MATCH("对"&amp;LEFT($C$5,2)&amp;"输出",标准坦克设计!$B$23:$U$23,0)))*(VLOOKUP($B196,INDIRECT($B$5&amp;"生成成长"),3))*(VLOOKUP($B$5,标准坦克设计!$B$14:$K$20,9)/30))</f>
        <v>18.219418757696783</v>
      </c>
      <c r="EQ196" s="173">
        <f ca="1">(VLOOKUP(EQ$72,INDIRECT($C$5&amp;"生成成长"),2))/((VLOOKUP($B196,INDIRECT($B$5&amp;"生成成长"),4))/(VLOOKUP(EQ$72,INDIRECT($C$5&amp;"生成成长"),5))*(VLOOKUP($B$5,标准坦克设计!$B$24:$U$30,MATCH("对"&amp;LEFT($C$5,2)&amp;"输出",标准坦克设计!$B$23:$U$23,0)))*(VLOOKUP($B196,INDIRECT($B$5&amp;"生成成长"),3))*(VLOOKUP($B$5,标准坦克设计!$B$14:$K$20,9)/30))</f>
        <v>8.0541593145453714</v>
      </c>
      <c r="ER196" s="173">
        <f ca="1">(VLOOKUP(ER$72,INDIRECT($C$5&amp;"生成成长"),2))/((VLOOKUP($B196,INDIRECT($B$5&amp;"生成成长"),4))/(VLOOKUP(ER$72,INDIRECT($C$5&amp;"生成成长"),5))*(VLOOKUP($B$5,标准坦克设计!$B$24:$U$30,MATCH("对"&amp;LEFT($C$5,2)&amp;"输出",标准坦克设计!$B$23:$U$23,0)))*(VLOOKUP($B196,INDIRECT($B$5&amp;"生成成长"),3))*(VLOOKUP($B$5,标准坦克设计!$B$14:$K$20,9)/30))</f>
        <v>8.7844865533789367</v>
      </c>
      <c r="ES196" s="173">
        <f ca="1">(VLOOKUP(ES$72,INDIRECT($C$5&amp;"生成成长"),2))/((VLOOKUP($B196,INDIRECT($B$5&amp;"生成成长"),4))/(VLOOKUP(ES$72,INDIRECT($C$5&amp;"生成成长"),5))*(VLOOKUP($B$5,标准坦克设计!$B$24:$U$30,MATCH("对"&amp;LEFT($C$5,2)&amp;"输出",标准坦克设计!$B$23:$U$23,0)))*(VLOOKUP($B196,INDIRECT($B$5&amp;"生成成长"),3))*(VLOOKUP($B$5,标准坦克设计!$B$14:$K$20,9)/30))</f>
        <v>9.546504520524806</v>
      </c>
      <c r="ET196" s="173">
        <f ca="1">(VLOOKUP(ET$72,INDIRECT($C$5&amp;"生成成长"),2))/((VLOOKUP($B196,INDIRECT($B$5&amp;"生成成长"),4))/(VLOOKUP(ET$72,INDIRECT($C$5&amp;"生成成长"),5))*(VLOOKUP($B$5,标准坦克设计!$B$24:$U$30,MATCH("对"&amp;LEFT($C$5,2)&amp;"输出",标准坦克设计!$B$23:$U$23,0)))*(VLOOKUP($B196,INDIRECT($B$5&amp;"生成成长"),3))*(VLOOKUP($B$5,标准坦克设计!$B$14:$K$20,9)/30))</f>
        <v>10.340213215982979</v>
      </c>
      <c r="EU196" s="173">
        <f ca="1">(VLOOKUP(EU$72,INDIRECT($C$5&amp;"生成成长"),2))/((VLOOKUP($B196,INDIRECT($B$5&amp;"生成成长"),4))/(VLOOKUP(EU$72,INDIRECT($C$5&amp;"生成成长"),5))*(VLOOKUP($B$5,标准坦克设计!$B$24:$U$30,MATCH("对"&amp;LEFT($C$5,2)&amp;"输出",标准坦克设计!$B$23:$U$23,0)))*(VLOOKUP($B196,INDIRECT($B$5&amp;"生成成长"),3))*(VLOOKUP($B$5,标准坦克设计!$B$14:$K$20,9)/30))</f>
        <v>11.165612639753457</v>
      </c>
      <c r="EV196" s="173">
        <f ca="1">(VLOOKUP(EV$72,INDIRECT($C$5&amp;"生成成长"),2))/((VLOOKUP($B196,INDIRECT($B$5&amp;"生成成长"),4))/(VLOOKUP(EV$72,INDIRECT($C$5&amp;"生成成长"),5))*(VLOOKUP($B$5,标准坦克设计!$B$24:$U$30,MATCH("对"&amp;LEFT($C$5,2)&amp;"输出",标准坦克设计!$B$23:$U$23,0)))*(VLOOKUP($B196,INDIRECT($B$5&amp;"生成成长"),3))*(VLOOKUP($B$5,标准坦克设计!$B$14:$K$20,9)/30))</f>
        <v>12.02270279183624</v>
      </c>
      <c r="EW196" s="173">
        <f ca="1">(VLOOKUP(EW$72,INDIRECT($C$5&amp;"生成成长"),2))/((VLOOKUP($B196,INDIRECT($B$5&amp;"生成成长"),4))/(VLOOKUP(EW$72,INDIRECT($C$5&amp;"生成成长"),5))*(VLOOKUP($B$5,标准坦克设计!$B$24:$U$30,MATCH("对"&amp;LEFT($C$5,2)&amp;"输出",标准坦克设计!$B$23:$U$23,0)))*(VLOOKUP($B196,INDIRECT($B$5&amp;"生成成长"),3))*(VLOOKUP($B$5,标准坦克设计!$B$14:$K$20,9)/30))</f>
        <v>12.911483672231327</v>
      </c>
      <c r="EX196" s="173">
        <f ca="1">(VLOOKUP(EX$72,INDIRECT($C$5&amp;"生成成长"),2))/((VLOOKUP($B196,INDIRECT($B$5&amp;"生成成长"),4))/(VLOOKUP(EX$72,INDIRECT($C$5&amp;"生成成长"),5))*(VLOOKUP($B$5,标准坦克设计!$B$24:$U$30,MATCH("对"&amp;LEFT($C$5,2)&amp;"输出",标准坦克设计!$B$23:$U$23,0)))*(VLOOKUP($B196,INDIRECT($B$5&amp;"生成成长"),3))*(VLOOKUP($B$5,标准坦克设计!$B$14:$K$20,9)/30))</f>
        <v>13.831955280938722</v>
      </c>
      <c r="EY196" s="173">
        <f ca="1">(VLOOKUP(EY$72,INDIRECT($C$5&amp;"生成成长"),2))/((VLOOKUP($B196,INDIRECT($B$5&amp;"生成成长"),4))/(VLOOKUP(EY$72,INDIRECT($C$5&amp;"生成成长"),5))*(VLOOKUP($B$5,标准坦克设计!$B$24:$U$30,MATCH("对"&amp;LEFT($C$5,2)&amp;"输出",标准坦克设计!$B$23:$U$23,0)))*(VLOOKUP($B196,INDIRECT($B$5&amp;"生成成长"),3))*(VLOOKUP($B$5,标准坦克设计!$B$14:$K$20,9)/30))</f>
        <v>14.784117617958417</v>
      </c>
      <c r="EZ196" s="173">
        <f ca="1">(VLOOKUP(EZ$72,INDIRECT($C$5&amp;"生成成长"),2))/((VLOOKUP($B196,INDIRECT($B$5&amp;"生成成长"),4))/(VLOOKUP(EZ$72,INDIRECT($C$5&amp;"生成成长"),5))*(VLOOKUP($B$5,标准坦克设计!$B$24:$U$30,MATCH("对"&amp;LEFT($C$5,2)&amp;"输出",标准坦克设计!$B$23:$U$23,0)))*(VLOOKUP($B196,INDIRECT($B$5&amp;"生成成长"),3))*(VLOOKUP($B$5,标准坦克设计!$B$14:$K$20,9)/30))</f>
        <v>15.76797068329042</v>
      </c>
      <c r="FA196" s="173">
        <f ca="1">(VLOOKUP(FA$72,INDIRECT($C$5&amp;"生成成长"),2))/((VLOOKUP($B196,INDIRECT($B$5&amp;"生成成长"),4))/(VLOOKUP(FA$72,INDIRECT($C$5&amp;"生成成长"),5))*(VLOOKUP($B$5,标准坦克设计!$B$24:$U$30,MATCH("对"&amp;LEFT($C$5,2)&amp;"输出",标准坦克设计!$B$23:$U$23,0)))*(VLOOKUP($B196,INDIRECT($B$5&amp;"生成成长"),3))*(VLOOKUP($B$5,标准坦克设计!$B$14:$K$20,9)/30))</f>
        <v>16.783514476934723</v>
      </c>
      <c r="FB196" s="173">
        <f ca="1">(VLOOKUP(FB$72,INDIRECT($C$5&amp;"生成成长"),2))/((VLOOKUP($B196,INDIRECT($B$5&amp;"生成成长"),4))/(VLOOKUP(FB$72,INDIRECT($C$5&amp;"生成成长"),5))*(VLOOKUP($B$5,标准坦克设计!$B$24:$U$30,MATCH("对"&amp;LEFT($C$5,2)&amp;"输出",标准坦克设计!$B$23:$U$23,0)))*(VLOOKUP($B196,INDIRECT($B$5&amp;"生成成长"),3))*(VLOOKUP($B$5,标准坦克设计!$B$14:$K$20,9)/30))</f>
        <v>17.830748998891334</v>
      </c>
      <c r="FC196" s="173">
        <f ca="1">(VLOOKUP(FC$72,INDIRECT($C$5&amp;"生成成长"),2))/((VLOOKUP($B196,INDIRECT($B$5&amp;"生成成长"),4))/(VLOOKUP(FC$72,INDIRECT($C$5&amp;"生成成长"),5))*(VLOOKUP($B$5,标准坦克设计!$B$24:$U$30,MATCH("对"&amp;LEFT($C$5,2)&amp;"输出",标准坦克设计!$B$23:$U$23,0)))*(VLOOKUP($B196,INDIRECT($B$5&amp;"生成成长"),3))*(VLOOKUP($B$5,标准坦克设计!$B$14:$K$20,9)/30))</f>
        <v>18.909674249160243</v>
      </c>
      <c r="FD196" s="173">
        <f ca="1">(VLOOKUP(FD$72,INDIRECT($C$5&amp;"生成成长"),2))/((VLOOKUP($B196,INDIRECT($B$5&amp;"生成成长"),4))/(VLOOKUP(FD$72,INDIRECT($C$5&amp;"生成成长"),5))*(VLOOKUP($B$5,标准坦克设计!$B$24:$U$30,MATCH("对"&amp;LEFT($C$5,2)&amp;"输出",标准坦克设计!$B$23:$U$23,0)))*(VLOOKUP($B196,INDIRECT($B$5&amp;"生成成长"),3))*(VLOOKUP($B$5,标准坦克设计!$B$14:$K$20,9)/30))</f>
        <v>20.020290227741462</v>
      </c>
      <c r="FE196" s="173">
        <f ca="1">(VLOOKUP(FE$72,INDIRECT($C$5&amp;"生成成长"),2))/((VLOOKUP($B196,INDIRECT($B$5&amp;"生成成长"),4))/(VLOOKUP(FE$72,INDIRECT($C$5&amp;"生成成长"),5))*(VLOOKUP($B$5,标准坦克设计!$B$24:$U$30,MATCH("对"&amp;LEFT($C$5,2)&amp;"输出",标准坦克设计!$B$23:$U$23,0)))*(VLOOKUP($B196,INDIRECT($B$5&amp;"生成成长"),3))*(VLOOKUP($B$5,标准坦克设计!$B$14:$K$20,9)/30))</f>
        <v>21.373693852153316</v>
      </c>
      <c r="FF196" s="173">
        <f ca="1">(VLOOKUP(FF$72,INDIRECT($C$5&amp;"生成成长"),2))/((VLOOKUP($B196,INDIRECT($B$5&amp;"生成成长"),4))/(VLOOKUP(FF$72,INDIRECT($C$5&amp;"生成成长"),5))*(VLOOKUP($B$5,标准坦克设计!$B$24:$U$30,MATCH("对"&amp;LEFT($C$5,2)&amp;"输出",标准坦克设计!$B$23:$U$23,0)))*(VLOOKUP($B196,INDIRECT($B$5&amp;"生成成长"),3))*(VLOOKUP($B$5,标准坦克设计!$B$14:$K$20,9)/30))</f>
        <v>22.771359733464173</v>
      </c>
      <c r="FG196" s="173">
        <f ca="1">(VLOOKUP(FG$72,INDIRECT($C$5&amp;"生成成长"),2))/((VLOOKUP($B196,INDIRECT($B$5&amp;"生成成长"),4))/(VLOOKUP(FG$72,INDIRECT($C$5&amp;"生成成长"),5))*(VLOOKUP($B$5,标准坦克设计!$B$24:$U$30,MATCH("对"&amp;LEFT($C$5,2)&amp;"输出",标准坦克设计!$B$23:$U$23,0)))*(VLOOKUP($B196,INDIRECT($B$5&amp;"生成成长"),3))*(VLOOKUP($B$5,标准坦克设计!$B$14:$K$20,9)/30))</f>
        <v>24.213287871674027</v>
      </c>
      <c r="FH196" s="173">
        <f ca="1">(VLOOKUP(FH$72,INDIRECT($C$5&amp;"生成成长"),2))/((VLOOKUP($B196,INDIRECT($B$5&amp;"生成成长"),4))/(VLOOKUP(FH$72,INDIRECT($C$5&amp;"生成成长"),5))*(VLOOKUP($B$5,标准坦克设计!$B$24:$U$30,MATCH("对"&amp;LEFT($C$5,2)&amp;"输出",标准坦克设计!$B$23:$U$23,0)))*(VLOOKUP($B196,INDIRECT($B$5&amp;"生成成长"),3))*(VLOOKUP($B$5,标准坦克设计!$B$14:$K$20,9)/30))</f>
        <v>25.699478266782886</v>
      </c>
      <c r="FI196" s="173">
        <f ca="1">(VLOOKUP(FI$72,INDIRECT($C$5&amp;"生成成长"),2))/((VLOOKUP($B196,INDIRECT($B$5&amp;"生成成长"),4))/(VLOOKUP(FI$72,INDIRECT($C$5&amp;"生成成长"),5))*(VLOOKUP($B$5,标准坦克设计!$B$24:$U$30,MATCH("对"&amp;LEFT($C$5,2)&amp;"输出",标准坦克设计!$B$23:$U$23,0)))*(VLOOKUP($B196,INDIRECT($B$5&amp;"生成成长"),3))*(VLOOKUP($B$5,标准坦克设计!$B$14:$K$20,9)/30))</f>
        <v>27.229930918790757</v>
      </c>
      <c r="FJ196" s="173">
        <f ca="1">(VLOOKUP(FJ$72,INDIRECT($C$5&amp;"生成成长"),2))/((VLOOKUP($B196,INDIRECT($B$5&amp;"生成成长"),4))/(VLOOKUP(FJ$72,INDIRECT($C$5&amp;"生成成长"),5))*(VLOOKUP($B$5,标准坦克设计!$B$24:$U$30,MATCH("对"&amp;LEFT($C$5,2)&amp;"输出",标准坦克设计!$B$23:$U$23,0)))*(VLOOKUP($B196,INDIRECT($B$5&amp;"生成成长"),3))*(VLOOKUP($B$5,标准坦克设计!$B$14:$K$20,9)/30))</f>
        <v>28.804645827697623</v>
      </c>
      <c r="FK196" s="173">
        <f ca="1">(VLOOKUP(FK$72,INDIRECT($C$5&amp;"生成成长"),2))/((VLOOKUP($B196,INDIRECT($B$5&amp;"生成成长"),4))/(VLOOKUP(FK$72,INDIRECT($C$5&amp;"生成成长"),5))*(VLOOKUP($B$5,标准坦克设计!$B$24:$U$30,MATCH("对"&amp;LEFT($C$5,2)&amp;"输出",标准坦克设计!$B$23:$U$23,0)))*(VLOOKUP($B196,INDIRECT($B$5&amp;"生成成长"),3))*(VLOOKUP($B$5,标准坦克设计!$B$14:$K$20,9)/30))</f>
        <v>30.423622993503507</v>
      </c>
    </row>
    <row r="197" spans="1:167" x14ac:dyDescent="0.15">
      <c r="A197" s="171" t="str">
        <f t="shared" si="12"/>
        <v>T3高品质14级</v>
      </c>
      <c r="B197" s="172">
        <v>30314</v>
      </c>
      <c r="C197" s="173">
        <f ca="1">(VLOOKUP(C$72,INDIRECT($C$5&amp;"生成成长"),2))/((VLOOKUP($B197,INDIRECT($B$5&amp;"生成成长"),4))/(VLOOKUP(C$72,INDIRECT($C$5&amp;"生成成长"),5))*(VLOOKUP($B$5,标准坦克设计!$B$24:$U$30,MATCH("对"&amp;LEFT($C$5,2)&amp;"输出",标准坦克设计!$B$23:$U$23,0)))*(VLOOKUP($B197,INDIRECT($B$5&amp;"生成成长"),3))*(VLOOKUP($B$5,标准坦克设计!$B$14:$K$20,9)/30))</f>
        <v>1.2108346514490491</v>
      </c>
      <c r="D197" s="173">
        <f ca="1">(VLOOKUP(D$72,INDIRECT($C$5&amp;"生成成长"),2))/((VLOOKUP($B197,INDIRECT($B$5&amp;"生成成长"),4))/(VLOOKUP(D$72,INDIRECT($C$5&amp;"生成成长"),5))*(VLOOKUP($B$5,标准坦克设计!$B$24:$U$30,MATCH("对"&amp;LEFT($C$5,2)&amp;"输出",标准坦克设计!$B$23:$U$23,0)))*(VLOOKUP($B197,INDIRECT($B$5&amp;"生成成长"),3))*(VLOOKUP($B$5,标准坦克设计!$B$14:$K$20,9)/30))</f>
        <v>1.3604938143681515</v>
      </c>
      <c r="E197" s="173">
        <f ca="1">(VLOOKUP(E$72,INDIRECT($C$5&amp;"生成成长"),2))/((VLOOKUP($B197,INDIRECT($B$5&amp;"生成成长"),4))/(VLOOKUP(E$72,INDIRECT($C$5&amp;"生成成长"),5))*(VLOOKUP($B$5,标准坦克设计!$B$24:$U$30,MATCH("对"&amp;LEFT($C$5,2)&amp;"输出",标准坦克设计!$B$23:$U$23,0)))*(VLOOKUP($B197,INDIRECT($B$5&amp;"生成成长"),3))*(VLOOKUP($B$5,标准坦克设计!$B$14:$K$20,9)/30))</f>
        <v>1.5188709867776873</v>
      </c>
      <c r="F197" s="173">
        <f ca="1">(VLOOKUP(F$72,INDIRECT($C$5&amp;"生成成长"),2))/((VLOOKUP($B197,INDIRECT($B$5&amp;"生成成长"),4))/(VLOOKUP(F$72,INDIRECT($C$5&amp;"生成成长"),5))*(VLOOKUP($B$5,标准坦克设计!$B$24:$U$30,MATCH("对"&amp;LEFT($C$5,2)&amp;"输出",标准坦克设计!$B$23:$U$23,0)))*(VLOOKUP($B197,INDIRECT($B$5&amp;"生成成长"),3))*(VLOOKUP($B$5,标准坦克设计!$B$14:$K$20,9)/30))</f>
        <v>1.6859661686776559</v>
      </c>
      <c r="G197" s="173">
        <f ca="1">(VLOOKUP(G$72,INDIRECT($C$5&amp;"生成成长"),2))/((VLOOKUP($B197,INDIRECT($B$5&amp;"生成成长"),4))/(VLOOKUP(G$72,INDIRECT($C$5&amp;"生成成长"),5))*(VLOOKUP($B$5,标准坦克设计!$B$24:$U$30,MATCH("对"&amp;LEFT($C$5,2)&amp;"输出",标准坦克设计!$B$23:$U$23,0)))*(VLOOKUP($B197,INDIRECT($B$5&amp;"生成成长"),3))*(VLOOKUP($B$5,标准坦克设计!$B$14:$K$20,9)/30))</f>
        <v>1.8617793600680581</v>
      </c>
      <c r="H197" s="173">
        <f ca="1">(VLOOKUP(H$72,INDIRECT($C$5&amp;"生成成长"),2))/((VLOOKUP($B197,INDIRECT($B$5&amp;"生成成长"),4))/(VLOOKUP(H$72,INDIRECT($C$5&amp;"生成成长"),5))*(VLOOKUP($B$5,标准坦克设计!$B$24:$U$30,MATCH("对"&amp;LEFT($C$5,2)&amp;"输出",标准坦克设计!$B$23:$U$23,0)))*(VLOOKUP($B197,INDIRECT($B$5&amp;"生成成长"),3))*(VLOOKUP($B$5,标准坦克设计!$B$14:$K$20,9)/30))</f>
        <v>1.6292991069898404</v>
      </c>
      <c r="I197" s="173">
        <f ca="1">(VLOOKUP(I$72,INDIRECT($C$5&amp;"生成成长"),2))/((VLOOKUP($B197,INDIRECT($B$5&amp;"生成成长"),4))/(VLOOKUP(I$72,INDIRECT($C$5&amp;"生成成长"),5))*(VLOOKUP($B$5,标准坦克设计!$B$24:$U$30,MATCH("对"&amp;LEFT($C$5,2)&amp;"输出",标准坦克设计!$B$23:$U$23,0)))*(VLOOKUP($B197,INDIRECT($B$5&amp;"生成成长"),3))*(VLOOKUP($B$5,标准坦克设计!$B$14:$K$20,9)/30))</f>
        <v>1.8617793600680581</v>
      </c>
      <c r="J197" s="173">
        <f ca="1">(VLOOKUP(J$72,INDIRECT($C$5&amp;"生成成长"),2))/((VLOOKUP($B197,INDIRECT($B$5&amp;"生成成长"),4))/(VLOOKUP(J$72,INDIRECT($C$5&amp;"生成成长"),5))*(VLOOKUP($B$5,标准坦克设计!$B$24:$U$30,MATCH("对"&amp;LEFT($C$5,2)&amp;"输出",标准坦克设计!$B$23:$U$23,0)))*(VLOOKUP($B197,INDIRECT($B$5&amp;"生成成长"),3))*(VLOOKUP($B$5,标准坦克设计!$B$14:$K$20,9)/30))</f>
        <v>2.1097582966848232</v>
      </c>
      <c r="K197" s="173">
        <f ca="1">(VLOOKUP(K$72,INDIRECT($C$5&amp;"生成成长"),2))/((VLOOKUP($B197,INDIRECT($B$5&amp;"生成成长"),4))/(VLOOKUP(K$72,INDIRECT($C$5&amp;"生成成长"),5))*(VLOOKUP($B$5,标准坦克设计!$B$24:$U$30,MATCH("对"&amp;LEFT($C$5,2)&amp;"输出",标准坦克设计!$B$23:$U$23,0)))*(VLOOKUP($B197,INDIRECT($B$5&amp;"生成成长"),3))*(VLOOKUP($B$5,标准坦克设计!$B$14:$K$20,9)/30))</f>
        <v>2.373235916840136</v>
      </c>
      <c r="L197" s="173">
        <f ca="1">(VLOOKUP(L$72,INDIRECT($C$5&amp;"生成成长"),2))/((VLOOKUP($B197,INDIRECT($B$5&amp;"生成成长"),4))/(VLOOKUP(L$72,INDIRECT($C$5&amp;"生成成长"),5))*(VLOOKUP($B$5,标准坦克设计!$B$24:$U$30,MATCH("对"&amp;LEFT($C$5,2)&amp;"输出",标准坦克设计!$B$23:$U$23,0)))*(VLOOKUP($B197,INDIRECT($B$5&amp;"生成成长"),3))*(VLOOKUP($B$5,标准坦克设计!$B$14:$K$20,9)/30))</f>
        <v>2.6522122205339969</v>
      </c>
      <c r="M197" s="173">
        <f ca="1">(VLOOKUP(M$72,INDIRECT($C$5&amp;"生成成长"),2))/((VLOOKUP($B197,INDIRECT($B$5&amp;"生成成长"),4))/(VLOOKUP(M$72,INDIRECT($C$5&amp;"生成成长"),5))*(VLOOKUP($B$5,标准坦克设计!$B$24:$U$30,MATCH("对"&amp;LEFT($C$5,2)&amp;"输出",标准坦克设计!$B$23:$U$23,0)))*(VLOOKUP($B197,INDIRECT($B$5&amp;"生成成长"),3))*(VLOOKUP($B$5,标准坦克设计!$B$14:$K$20,9)/30))</f>
        <v>2.9466872077664061</v>
      </c>
      <c r="N197" s="173">
        <f ca="1">(VLOOKUP(N$72,INDIRECT($C$5&amp;"生成成长"),2))/((VLOOKUP($B197,INDIRECT($B$5&amp;"生成成长"),4))/(VLOOKUP(N$72,INDIRECT($C$5&amp;"生成成长"),5))*(VLOOKUP($B$5,标准坦克设计!$B$24:$U$30,MATCH("对"&amp;LEFT($C$5,2)&amp;"输出",标准坦克设计!$B$23:$U$23,0)))*(VLOOKUP($B197,INDIRECT($B$5&amp;"生成成长"),3))*(VLOOKUP($B$5,标准坦克设计!$B$14:$K$20,9)/30))</f>
        <v>3.2566608785373625</v>
      </c>
      <c r="O197" s="173">
        <f ca="1">(VLOOKUP(O$72,INDIRECT($C$5&amp;"生成成长"),2))/((VLOOKUP($B197,INDIRECT($B$5&amp;"生成成长"),4))/(VLOOKUP(O$72,INDIRECT($C$5&amp;"生成成长"),5))*(VLOOKUP($B$5,标准坦克设计!$B$24:$U$30,MATCH("对"&amp;LEFT($C$5,2)&amp;"输出",标准坦克设计!$B$23:$U$23,0)))*(VLOOKUP($B197,INDIRECT($B$5&amp;"生成成长"),3))*(VLOOKUP($B$5,标准坦克设计!$B$14:$K$20,9)/30))</f>
        <v>2.4760357787481602</v>
      </c>
      <c r="P197" s="173">
        <f ca="1">(VLOOKUP(P$72,INDIRECT($C$5&amp;"生成成长"),2))/((VLOOKUP($B197,INDIRECT($B$5&amp;"生成成长"),4))/(VLOOKUP(P$72,INDIRECT($C$5&amp;"生成成长"),5))*(VLOOKUP($B$5,标准坦克设计!$B$24:$U$30,MATCH("对"&amp;LEFT($C$5,2)&amp;"输出",标准坦克设计!$B$23:$U$23,0)))*(VLOOKUP($B197,INDIRECT($B$5&amp;"生成成长"),3))*(VLOOKUP($B$5,标准坦克设计!$B$14:$K$20,9)/30))</f>
        <v>2.7975123787078831</v>
      </c>
      <c r="Q197" s="173">
        <f ca="1">(VLOOKUP(Q$72,INDIRECT($C$5&amp;"生成成长"),2))/((VLOOKUP($B197,INDIRECT($B$5&amp;"生成成长"),4))/(VLOOKUP(Q$72,INDIRECT($C$5&amp;"生成成长"),5))*(VLOOKUP($B$5,标准坦克设计!$B$24:$U$30,MATCH("对"&amp;LEFT($C$5,2)&amp;"输出",标准坦克设计!$B$23:$U$23,0)))*(VLOOKUP($B197,INDIRECT($B$5&amp;"生成成长"),3))*(VLOOKUP($B$5,标准坦克设计!$B$14:$K$20,9)/30))</f>
        <v>3.1386045000210796</v>
      </c>
      <c r="R197" s="173">
        <f ca="1">(VLOOKUP(R$72,INDIRECT($C$5&amp;"生成成长"),2))/((VLOOKUP($B197,INDIRECT($B$5&amp;"生成成长"),4))/(VLOOKUP(R$72,INDIRECT($C$5&amp;"生成成长"),5))*(VLOOKUP($B$5,标准坦克设计!$B$24:$U$30,MATCH("对"&amp;LEFT($C$5,2)&amp;"输出",标准坦克设计!$B$23:$U$23,0)))*(VLOOKUP($B197,INDIRECT($B$5&amp;"生成成长"),3))*(VLOOKUP($B$5,标准坦克设计!$B$14:$K$20,9)/30))</f>
        <v>3.4993121426877516</v>
      </c>
      <c r="S197" s="173">
        <f ca="1">(VLOOKUP(S$72,INDIRECT($C$5&amp;"生成成长"),2))/((VLOOKUP($B197,INDIRECT($B$5&amp;"生成成长"),4))/(VLOOKUP(S$72,INDIRECT($C$5&amp;"生成成长"),5))*(VLOOKUP($B$5,标准坦克设计!$B$24:$U$30,MATCH("对"&amp;LEFT($C$5,2)&amp;"输出",标准坦克设计!$B$23:$U$23,0)))*(VLOOKUP($B197,INDIRECT($B$5&amp;"生成成长"),3))*(VLOOKUP($B$5,标准坦克设计!$B$14:$K$20,9)/30))</f>
        <v>3.8796353067078981</v>
      </c>
      <c r="T197" s="173">
        <f ca="1">(VLOOKUP(T$72,INDIRECT($C$5&amp;"生成成长"),2))/((VLOOKUP($B197,INDIRECT($B$5&amp;"生成成长"),4))/(VLOOKUP(T$72,INDIRECT($C$5&amp;"生成成长"),5))*(VLOOKUP($B$5,标准坦克设计!$B$24:$U$30,MATCH("对"&amp;LEFT($C$5,2)&amp;"输出",标准坦克设计!$B$23:$U$23,0)))*(VLOOKUP($B197,INDIRECT($B$5&amp;"生成成长"),3))*(VLOOKUP($B$5,标准坦克设计!$B$14:$K$20,9)/30))</f>
        <v>4.2795739920815201</v>
      </c>
      <c r="U197" s="173">
        <f ca="1">(VLOOKUP(U$72,INDIRECT($C$5&amp;"生成成长"),2))/((VLOOKUP($B197,INDIRECT($B$5&amp;"生成成长"),4))/(VLOOKUP(U$72,INDIRECT($C$5&amp;"生成成长"),5))*(VLOOKUP($B$5,标准坦克设计!$B$24:$U$30,MATCH("对"&amp;LEFT($C$5,2)&amp;"输出",标准坦克设计!$B$23:$U$23,0)))*(VLOOKUP($B197,INDIRECT($B$5&amp;"生成成长"),3))*(VLOOKUP($B$5,标准坦克设计!$B$14:$K$20,9)/30))</f>
        <v>4.6991281988086149</v>
      </c>
      <c r="V197" s="173">
        <f ca="1">(VLOOKUP(V$72,INDIRECT($C$5&amp;"生成成长"),2))/((VLOOKUP($B197,INDIRECT($B$5&amp;"生成成长"),4))/(VLOOKUP(V$72,INDIRECT($C$5&amp;"生成成长"),5))*(VLOOKUP($B$5,标准坦克设计!$B$24:$U$30,MATCH("对"&amp;LEFT($C$5,2)&amp;"输出",标准坦克设计!$B$23:$U$23,0)))*(VLOOKUP($B197,INDIRECT($B$5&amp;"生成成长"),3))*(VLOOKUP($B$5,标准坦克设计!$B$14:$K$20,9)/30))</f>
        <v>5.1382979268891846</v>
      </c>
      <c r="W197" s="173">
        <f ca="1">(VLOOKUP(W$72,INDIRECT($C$5&amp;"生成成长"),2))/((VLOOKUP($B197,INDIRECT($B$5&amp;"生成成长"),4))/(VLOOKUP(W$72,INDIRECT($C$5&amp;"生成成长"),5))*(VLOOKUP($B$5,标准坦克设计!$B$24:$U$30,MATCH("对"&amp;LEFT($C$5,2)&amp;"输出",标准坦克设计!$B$23:$U$23,0)))*(VLOOKUP($B197,INDIRECT($B$5&amp;"生成成长"),3))*(VLOOKUP($B$5,标准坦克设计!$B$14:$K$20,9)/30))</f>
        <v>5.5970831763232285</v>
      </c>
      <c r="X197" s="173">
        <f ca="1">(VLOOKUP(X$72,INDIRECT($C$5&amp;"生成成长"),2))/((VLOOKUP($B197,INDIRECT($B$5&amp;"生成成长"),4))/(VLOOKUP(X$72,INDIRECT($C$5&amp;"生成成长"),5))*(VLOOKUP($B$5,标准坦克设计!$B$24:$U$30,MATCH("对"&amp;LEFT($C$5,2)&amp;"输出",标准坦克设计!$B$23:$U$23,0)))*(VLOOKUP($B197,INDIRECT($B$5&amp;"生成成长"),3))*(VLOOKUP($B$5,标准坦克设计!$B$14:$K$20,9)/30))</f>
        <v>4.0549641642377203</v>
      </c>
      <c r="Y197" s="173">
        <f ca="1">(VLOOKUP(Y$72,INDIRECT($C$5&amp;"生成成长"),2))/((VLOOKUP($B197,INDIRECT($B$5&amp;"生成成长"),4))/(VLOOKUP(Y$72,INDIRECT($C$5&amp;"生成成长"),5))*(VLOOKUP($B$5,标准坦克设计!$B$24:$U$30,MATCH("对"&amp;LEFT($C$5,2)&amp;"输出",标准坦克设计!$B$23:$U$23,0)))*(VLOOKUP($B197,INDIRECT($B$5&amp;"生成成长"),3))*(VLOOKUP($B$5,标准坦克设计!$B$14:$K$20,9)/30))</f>
        <v>4.5102379931825629</v>
      </c>
      <c r="Z197" s="173">
        <f ca="1">(VLOOKUP(Z$72,INDIRECT($C$5&amp;"生成成长"),2))/((VLOOKUP($B197,INDIRECT($B$5&amp;"生成成长"),4))/(VLOOKUP(Z$72,INDIRECT($C$5&amp;"生成成长"),5))*(VLOOKUP($B$5,标准坦克设计!$B$24:$U$30,MATCH("对"&amp;LEFT($C$5,2)&amp;"输出",标准坦克设计!$B$23:$U$23,0)))*(VLOOKUP($B197,INDIRECT($B$5&amp;"生成成长"),3))*(VLOOKUP($B$5,标准坦克设计!$B$14:$K$20,9)/30))</f>
        <v>4.9897285151563873</v>
      </c>
      <c r="AA197" s="173">
        <f ca="1">(VLOOKUP(AA$72,INDIRECT($C$5&amp;"生成成长"),2))/((VLOOKUP($B197,INDIRECT($B$5&amp;"生成成长"),4))/(VLOOKUP(AA$72,INDIRECT($C$5&amp;"生成成长"),5))*(VLOOKUP($B$5,标准坦克设计!$B$24:$U$30,MATCH("对"&amp;LEFT($C$5,2)&amp;"输出",标准坦克设计!$B$23:$U$23,0)))*(VLOOKUP($B197,INDIRECT($B$5&amp;"生成成长"),3))*(VLOOKUP($B$5,标准坦克设计!$B$14:$K$20,9)/30))</f>
        <v>5.4934357301591907</v>
      </c>
      <c r="AB197" s="173">
        <f ca="1">(VLOOKUP(AB$72,INDIRECT($C$5&amp;"生成成长"),2))/((VLOOKUP($B197,INDIRECT($B$5&amp;"生成成长"),4))/(VLOOKUP(AB$72,INDIRECT($C$5&amp;"生成成长"),5))*(VLOOKUP($B$5,标准坦克设计!$B$24:$U$30,MATCH("对"&amp;LEFT($C$5,2)&amp;"输出",标准坦克设计!$B$23:$U$23,0)))*(VLOOKUP($B197,INDIRECT($B$5&amp;"生成成长"),3))*(VLOOKUP($B$5,标准坦克设计!$B$14:$K$20,9)/30))</f>
        <v>6.021359638190976</v>
      </c>
      <c r="AC197" s="173">
        <f ca="1">(VLOOKUP(AC$72,INDIRECT($C$5&amp;"生成成长"),2))/((VLOOKUP($B197,INDIRECT($B$5&amp;"生成成长"),4))/(VLOOKUP(AC$72,INDIRECT($C$5&amp;"生成成长"),5))*(VLOOKUP($B$5,标准坦克设计!$B$24:$U$30,MATCH("对"&amp;LEFT($C$5,2)&amp;"输出",标准坦克设计!$B$23:$U$23,0)))*(VLOOKUP($B197,INDIRECT($B$5&amp;"生成成长"),3))*(VLOOKUP($B$5,标准坦克设计!$B$14:$K$20,9)/30))</f>
        <v>6.5735002392517439</v>
      </c>
      <c r="AD197" s="173">
        <f ca="1">(VLOOKUP(AD$72,INDIRECT($C$5&amp;"生成成长"),2))/((VLOOKUP($B197,INDIRECT($B$5&amp;"生成成长"),4))/(VLOOKUP(AD$72,INDIRECT($C$5&amp;"生成成长"),5))*(VLOOKUP($B$5,标准坦克设计!$B$24:$U$30,MATCH("对"&amp;LEFT($C$5,2)&amp;"输出",标准坦克设计!$B$23:$U$23,0)))*(VLOOKUP($B197,INDIRECT($B$5&amp;"生成成长"),3))*(VLOOKUP($B$5,标准坦克设计!$B$14:$K$20,9)/30))</f>
        <v>7.14985753334149</v>
      </c>
      <c r="AE197" s="173">
        <f ca="1">(VLOOKUP(AE$72,INDIRECT($C$5&amp;"生成成长"),2))/((VLOOKUP($B197,INDIRECT($B$5&amp;"生成成长"),4))/(VLOOKUP(AE$72,INDIRECT($C$5&amp;"生成成长"),5))*(VLOOKUP($B$5,标准坦克设计!$B$24:$U$30,MATCH("对"&amp;LEFT($C$5,2)&amp;"输出",标准坦克设计!$B$23:$U$23,0)))*(VLOOKUP($B197,INDIRECT($B$5&amp;"生成成长"),3))*(VLOOKUP($B$5,标准坦克设计!$B$14:$K$20,9)/30))</f>
        <v>7.7504315204602179</v>
      </c>
      <c r="AF197" s="173">
        <f ca="1">(VLOOKUP(AF$72,INDIRECT($C$5&amp;"生成成长"),2))/((VLOOKUP($B197,INDIRECT($B$5&amp;"生成成长"),4))/(VLOOKUP(AF$72,INDIRECT($C$5&amp;"生成成长"),5))*(VLOOKUP($B$5,标准坦克设计!$B$24:$U$30,MATCH("对"&amp;LEFT($C$5,2)&amp;"输出",标准坦克设计!$B$23:$U$23,0)))*(VLOOKUP($B197,INDIRECT($B$5&amp;"生成成长"),3))*(VLOOKUP($B$5,标准坦克设计!$B$14:$K$20,9)/30))</f>
        <v>8.3752222006079275</v>
      </c>
      <c r="AG197" s="173">
        <f ca="1">(VLOOKUP(AG$72,INDIRECT($C$5&amp;"生成成长"),2))/((VLOOKUP($B197,INDIRECT($B$5&amp;"生成成长"),4))/(VLOOKUP(AG$72,INDIRECT($C$5&amp;"生成成长"),5))*(VLOOKUP($B$5,标准坦克设计!$B$24:$U$30,MATCH("对"&amp;LEFT($C$5,2)&amp;"输出",标准坦克设计!$B$23:$U$23,0)))*(VLOOKUP($B197,INDIRECT($B$5&amp;"生成成长"),3))*(VLOOKUP($B$5,标准坦克设计!$B$14:$K$20,9)/30))</f>
        <v>9.0242295737846181</v>
      </c>
      <c r="AH197" s="173">
        <f ca="1">(VLOOKUP(AH$72,INDIRECT($C$5&amp;"生成成长"),2))/((VLOOKUP($B197,INDIRECT($B$5&amp;"生成成长"),4))/(VLOOKUP(AH$72,INDIRECT($C$5&amp;"生成成长"),5))*(VLOOKUP($B$5,标准坦克设计!$B$24:$U$30,MATCH("对"&amp;LEFT($C$5,2)&amp;"输出",标准坦克设计!$B$23:$U$23,0)))*(VLOOKUP($B197,INDIRECT($B$5&amp;"生成成长"),3))*(VLOOKUP($B$5,标准坦克设计!$B$14:$K$20,9)/30))</f>
        <v>9.6974536399902913</v>
      </c>
      <c r="AI197" s="173">
        <f ca="1">(VLOOKUP(AI$72,INDIRECT($C$5&amp;"生成成长"),2))/((VLOOKUP($B197,INDIRECT($B$5&amp;"生成成长"),4))/(VLOOKUP(AI$72,INDIRECT($C$5&amp;"生成成长"),5))*(VLOOKUP($B$5,标准坦克设计!$B$24:$U$30,MATCH("对"&amp;LEFT($C$5,2)&amp;"输出",标准坦克设计!$B$23:$U$23,0)))*(VLOOKUP($B197,INDIRECT($B$5&amp;"生成成长"),3))*(VLOOKUP($B$5,标准坦克设计!$B$14:$K$20,9)/30))</f>
        <v>6.8586517996679932</v>
      </c>
      <c r="AJ197" s="173">
        <f ca="1">(VLOOKUP(AJ$72,INDIRECT($C$5&amp;"生成成长"),2))/((VLOOKUP($B197,INDIRECT($B$5&amp;"生成成长"),4))/(VLOOKUP(AJ$72,INDIRECT($C$5&amp;"生成成长"),5))*(VLOOKUP($B$5,标准坦克设计!$B$24:$U$30,MATCH("对"&amp;LEFT($C$5,2)&amp;"输出",标准坦克设计!$B$23:$U$23,0)))*(VLOOKUP($B197,INDIRECT($B$5&amp;"生成成长"),3))*(VLOOKUP($B$5,标准坦克设计!$B$14:$K$20,9)/30))</f>
        <v>7.5072959224492504</v>
      </c>
      <c r="AK197" s="173">
        <f ca="1">(VLOOKUP(AK$72,INDIRECT($C$5&amp;"生成成长"),2))/((VLOOKUP($B197,INDIRECT($B$5&amp;"生成成长"),4))/(VLOOKUP(AK$72,INDIRECT($C$5&amp;"生成成长"),5))*(VLOOKUP($B$5,标准坦克设计!$B$24:$U$30,MATCH("对"&amp;LEFT($C$5,2)&amp;"输出",标准坦克设计!$B$23:$U$23,0)))*(VLOOKUP($B197,INDIRECT($B$5&amp;"生成成长"),3))*(VLOOKUP($B$5,标准坦克设计!$B$14:$K$20,9)/30))</f>
        <v>8.185242243795571</v>
      </c>
      <c r="AL197" s="173">
        <f ca="1">(VLOOKUP(AL$72,INDIRECT($C$5&amp;"生成成长"),2))/((VLOOKUP($B197,INDIRECT($B$5&amp;"生成成长"),4))/(VLOOKUP(AL$72,INDIRECT($C$5&amp;"生成成长"),5))*(VLOOKUP($B$5,标准坦克设计!$B$24:$U$30,MATCH("对"&amp;LEFT($C$5,2)&amp;"输出",标准坦克设计!$B$23:$U$23,0)))*(VLOOKUP($B197,INDIRECT($B$5&amp;"生成成长"),3))*(VLOOKUP($B$5,标准坦克设计!$B$14:$K$20,9)/30))</f>
        <v>8.8924907637069612</v>
      </c>
      <c r="AM197" s="173">
        <f ca="1">(VLOOKUP(AM$72,INDIRECT($C$5&amp;"生成成长"),2))/((VLOOKUP($B197,INDIRECT($B$5&amp;"生成成长"),4))/(VLOOKUP(AM$72,INDIRECT($C$5&amp;"生成成长"),5))*(VLOOKUP($B$5,标准坦克设计!$B$24:$U$30,MATCH("对"&amp;LEFT($C$5,2)&amp;"输出",标准坦克设计!$B$23:$U$23,0)))*(VLOOKUP($B197,INDIRECT($B$5&amp;"生成成长"),3))*(VLOOKUP($B$5,标准坦克设计!$B$14:$K$20,9)/30))</f>
        <v>9.6290414821834176</v>
      </c>
      <c r="AN197" s="173">
        <f ca="1">(VLOOKUP(AN$72,INDIRECT($C$5&amp;"生成成长"),2))/((VLOOKUP($B197,INDIRECT($B$5&amp;"生成成长"),4))/(VLOOKUP(AN$72,INDIRECT($C$5&amp;"生成成长"),5))*(VLOOKUP($B$5,标准坦克设计!$B$24:$U$30,MATCH("对"&amp;LEFT($C$5,2)&amp;"输出",标准坦克设计!$B$23:$U$23,0)))*(VLOOKUP($B197,INDIRECT($B$5&amp;"生成成长"),3))*(VLOOKUP($B$5,标准坦克设计!$B$14:$K$20,9)/30))</f>
        <v>10.394894399224942</v>
      </c>
      <c r="AO197" s="173">
        <f ca="1">(VLOOKUP(AO$72,INDIRECT($C$5&amp;"生成成长"),2))/((VLOOKUP($B197,INDIRECT($B$5&amp;"生成成长"),4))/(VLOOKUP(AO$72,INDIRECT($C$5&amp;"生成成长"),5))*(VLOOKUP($B$5,标准坦克设计!$B$24:$U$30,MATCH("对"&amp;LEFT($C$5,2)&amp;"输出",标准坦克设计!$B$23:$U$23,0)))*(VLOOKUP($B197,INDIRECT($B$5&amp;"生成成长"),3))*(VLOOKUP($B$5,标准坦克设计!$B$14:$K$20,9)/30))</f>
        <v>11.190049514831532</v>
      </c>
      <c r="AP197" s="173">
        <f ca="1">(VLOOKUP(AP$72,INDIRECT($C$5&amp;"生成成长"),2))/((VLOOKUP($B197,INDIRECT($B$5&amp;"生成成长"),4))/(VLOOKUP(AP$72,INDIRECT($C$5&amp;"生成成长"),5))*(VLOOKUP($B$5,标准坦克设计!$B$24:$U$30,MATCH("对"&amp;LEFT($C$5,2)&amp;"输出",标准坦克设计!$B$23:$U$23,0)))*(VLOOKUP($B197,INDIRECT($B$5&amp;"生成成长"),3))*(VLOOKUP($B$5,标准坦克设计!$B$14:$K$20,9)/30))</f>
        <v>12.01450682900319</v>
      </c>
      <c r="AQ197" s="173">
        <f ca="1">(VLOOKUP(AQ$72,INDIRECT($C$5&amp;"生成成长"),2))/((VLOOKUP($B197,INDIRECT($B$5&amp;"生成成长"),4))/(VLOOKUP(AQ$72,INDIRECT($C$5&amp;"生成成长"),5))*(VLOOKUP($B$5,标准坦克设计!$B$24:$U$30,MATCH("对"&amp;LEFT($C$5,2)&amp;"输出",标准坦克设计!$B$23:$U$23,0)))*(VLOOKUP($B197,INDIRECT($B$5&amp;"生成成长"),3))*(VLOOKUP($B$5,标准坦克设计!$B$14:$K$20,9)/30))</f>
        <v>12.868266341739913</v>
      </c>
      <c r="AR197" s="173">
        <f ca="1">(VLOOKUP(AR$72,INDIRECT($C$5&amp;"生成成长"),2))/((VLOOKUP($B197,INDIRECT($B$5&amp;"生成成长"),4))/(VLOOKUP(AR$72,INDIRECT($C$5&amp;"生成成长"),5))*(VLOOKUP($B$5,标准坦克设计!$B$24:$U$30,MATCH("对"&amp;LEFT($C$5,2)&amp;"输出",标准坦克设计!$B$23:$U$23,0)))*(VLOOKUP($B197,INDIRECT($B$5&amp;"生成成长"),3))*(VLOOKUP($B$5,标准坦克设计!$B$14:$K$20,9)/30))</f>
        <v>13.751328053041707</v>
      </c>
      <c r="AS197" s="173">
        <f ca="1">(VLOOKUP(AS$72,INDIRECT($C$5&amp;"生成成长"),2))/((VLOOKUP($B197,INDIRECT($B$5&amp;"生成成长"),4))/(VLOOKUP(AS$72,INDIRECT($C$5&amp;"生成成长"),5))*(VLOOKUP($B$5,标准坦克设计!$B$24:$U$30,MATCH("对"&amp;LEFT($C$5,2)&amp;"输出",标准坦克设计!$B$23:$U$23,0)))*(VLOOKUP($B197,INDIRECT($B$5&amp;"生成成长"),3))*(VLOOKUP($B$5,标准坦克设计!$B$14:$K$20,9)/30))</f>
        <v>14.663691962908565</v>
      </c>
      <c r="AT197" s="173">
        <f ca="1">(VLOOKUP(AT$72,INDIRECT($C$5&amp;"生成成长"),2))/((VLOOKUP($B197,INDIRECT($B$5&amp;"生成成长"),4))/(VLOOKUP(AT$72,INDIRECT($C$5&amp;"生成成长"),5))*(VLOOKUP($B$5,标准坦克设计!$B$24:$U$30,MATCH("对"&amp;LEFT($C$5,2)&amp;"输出",标准坦克设计!$B$23:$U$23,0)))*(VLOOKUP($B197,INDIRECT($B$5&amp;"生成成长"),3))*(VLOOKUP($B$5,标准坦克设计!$B$14:$K$20,9)/30))</f>
        <v>15.60535807134049</v>
      </c>
      <c r="AU197" s="173">
        <f ca="1">(VLOOKUP(AU$72,INDIRECT($C$5&amp;"生成成长"),2))/((VLOOKUP($B197,INDIRECT($B$5&amp;"生成成长"),4))/(VLOOKUP(AU$72,INDIRECT($C$5&amp;"生成成长"),5))*(VLOOKUP($B$5,标准坦克设计!$B$24:$U$30,MATCH("对"&amp;LEFT($C$5,2)&amp;"输出",标准坦克设计!$B$23:$U$23,0)))*(VLOOKUP($B197,INDIRECT($B$5&amp;"生成成长"),3))*(VLOOKUP($B$5,标准坦克设计!$B$14:$K$20,9)/30))</f>
        <v>16.57632637833748</v>
      </c>
      <c r="AV197" s="173">
        <f ca="1">(VLOOKUP(AV$72,INDIRECT($C$5&amp;"生成成长"),2))/((VLOOKUP($B197,INDIRECT($B$5&amp;"生成成长"),4))/(VLOOKUP(AV$72,INDIRECT($C$5&amp;"生成成长"),5))*(VLOOKUP($B$5,标准坦克设计!$B$24:$U$30,MATCH("对"&amp;LEFT($C$5,2)&amp;"输出",标准坦克设计!$B$23:$U$23,0)))*(VLOOKUP($B197,INDIRECT($B$5&amp;"生成成长"),3))*(VLOOKUP($B$5,标准坦克设计!$B$14:$K$20,9)/30))</f>
        <v>1.6859661686776559</v>
      </c>
      <c r="AW197" s="173">
        <f ca="1">(VLOOKUP(AW$72,INDIRECT($C$5&amp;"生成成长"),2))/((VLOOKUP($B197,INDIRECT($B$5&amp;"生成成长"),4))/(VLOOKUP(AW$72,INDIRECT($C$5&amp;"生成成长"),5))*(VLOOKUP($B$5,标准坦克设计!$B$24:$U$30,MATCH("对"&amp;LEFT($C$5,2)&amp;"输出",标准坦克设计!$B$23:$U$23,0)))*(VLOOKUP($B197,INDIRECT($B$5&amp;"生成成长"),3))*(VLOOKUP($B$5,标准坦克设计!$B$14:$K$20,9)/30))</f>
        <v>1.9223210926405105</v>
      </c>
      <c r="AX197" s="173">
        <f ca="1">(VLOOKUP(AX$72,INDIRECT($C$5&amp;"生成成长"),2))/((VLOOKUP($B197,INDIRECT($B$5&amp;"生成成长"),4))/(VLOOKUP(AX$72,INDIRECT($C$5&amp;"生成成长"),5))*(VLOOKUP($B$5,标准坦克设计!$B$24:$U$30,MATCH("对"&amp;LEFT($C$5,2)&amp;"输出",标准坦克设计!$B$23:$U$23,0)))*(VLOOKUP($B197,INDIRECT($B$5&amp;"生成成长"),3))*(VLOOKUP($B$5,标准坦克设计!$B$14:$K$20,9)/30))</f>
        <v>2.1741747001419127</v>
      </c>
      <c r="AY197" s="173">
        <f ca="1">(VLOOKUP(AY$72,INDIRECT($C$5&amp;"生成成长"),2))/((VLOOKUP($B197,INDIRECT($B$5&amp;"生成成长"),4))/(VLOOKUP(AY$72,INDIRECT($C$5&amp;"生成成长"),5))*(VLOOKUP($B$5,标准坦克设计!$B$24:$U$30,MATCH("对"&amp;LEFT($C$5,2)&amp;"输出",标准坦克设计!$B$23:$U$23,0)))*(VLOOKUP($B197,INDIRECT($B$5&amp;"生成成长"),3))*(VLOOKUP($B$5,标准坦克设计!$B$14:$K$20,9)/30))</f>
        <v>2.4415269911818629</v>
      </c>
      <c r="AZ197" s="173">
        <f ca="1">(VLOOKUP(AZ$72,INDIRECT($C$5&amp;"生成成长"),2))/((VLOOKUP($B197,INDIRECT($B$5&amp;"生成成长"),4))/(VLOOKUP(AZ$72,INDIRECT($C$5&amp;"生成成长"),5))*(VLOOKUP($B$5,标准坦克设计!$B$24:$U$30,MATCH("对"&amp;LEFT($C$5,2)&amp;"输出",标准坦克设计!$B$23:$U$23,0)))*(VLOOKUP($B197,INDIRECT($B$5&amp;"生成成长"),3))*(VLOOKUP($B$5,标准坦克设计!$B$14:$K$20,9)/30))</f>
        <v>2.7243779657603606</v>
      </c>
      <c r="BA197" s="173">
        <f ca="1">(VLOOKUP(BA$72,INDIRECT($C$5&amp;"生成成长"),2))/((VLOOKUP($B197,INDIRECT($B$5&amp;"生成成长"),4))/(VLOOKUP(BA$72,INDIRECT($C$5&amp;"生成成长"),5))*(VLOOKUP($B$5,标准坦克设计!$B$24:$U$30,MATCH("对"&amp;LEFT($C$5,2)&amp;"输出",标准坦克设计!$B$23:$U$23,0)))*(VLOOKUP($B197,INDIRECT($B$5&amp;"生成成长"),3))*(VLOOKUP($B$5,标准坦克设计!$B$14:$K$20,9)/30))</f>
        <v>3.0227276238774063</v>
      </c>
      <c r="BB197" s="173">
        <f ca="1">(VLOOKUP(BB$72,INDIRECT($C$5&amp;"生成成长"),2))/((VLOOKUP($B197,INDIRECT($B$5&amp;"生成成长"),4))/(VLOOKUP(BB$72,INDIRECT($C$5&amp;"生成成长"),5))*(VLOOKUP($B$5,标准坦克设计!$B$24:$U$30,MATCH("对"&amp;LEFT($C$5,2)&amp;"输出",标准坦克设计!$B$23:$U$23,0)))*(VLOOKUP($B197,INDIRECT($B$5&amp;"生成成长"),3))*(VLOOKUP($B$5,标准坦克设计!$B$14:$K$20,9)/30))</f>
        <v>3.3365759655329992</v>
      </c>
      <c r="BC197" s="173">
        <f ca="1">(VLOOKUP(BC$72,INDIRECT($C$5&amp;"生成成长"),2))/((VLOOKUP($B197,INDIRECT($B$5&amp;"生成成长"),4))/(VLOOKUP(BC$72,INDIRECT($C$5&amp;"生成成长"),5))*(VLOOKUP($B$5,标准坦克设计!$B$24:$U$30,MATCH("对"&amp;LEFT($C$5,2)&amp;"输出",标准坦克设计!$B$23:$U$23,0)))*(VLOOKUP($B197,INDIRECT($B$5&amp;"生成成长"),3))*(VLOOKUP($B$5,标准坦克设计!$B$14:$K$20,9)/30))</f>
        <v>3.6659229907271413</v>
      </c>
      <c r="BD197" s="173">
        <f ca="1">(VLOOKUP(BD$72,INDIRECT($C$5&amp;"生成成长"),2))/((VLOOKUP($B197,INDIRECT($B$5&amp;"生成成长"),4))/(VLOOKUP(BD$72,INDIRECT($C$5&amp;"生成成长"),5))*(VLOOKUP($B$5,标准坦克设计!$B$24:$U$30,MATCH("对"&amp;LEFT($C$5,2)&amp;"输出",标准坦克设计!$B$23:$U$23,0)))*(VLOOKUP($B197,INDIRECT($B$5&amp;"生成成长"),3))*(VLOOKUP($B$5,标准坦克设计!$B$14:$K$20,9)/30))</f>
        <v>4.0549641642377203</v>
      </c>
      <c r="BE197" s="173">
        <f ca="1">(VLOOKUP(BE$72,INDIRECT($C$5&amp;"生成成长"),2))/((VLOOKUP($B197,INDIRECT($B$5&amp;"生成成长"),4))/(VLOOKUP(BE$72,INDIRECT($C$5&amp;"生成成长"),5))*(VLOOKUP($B$5,标准坦克设计!$B$24:$U$30,MATCH("对"&amp;LEFT($C$5,2)&amp;"输出",标准坦克设计!$B$23:$U$23,0)))*(VLOOKUP($B197,INDIRECT($B$5&amp;"生成成长"),3))*(VLOOKUP($B$5,标准坦克设计!$B$14:$K$20,9)/30))</f>
        <v>4.4636208591017752</v>
      </c>
      <c r="BF197" s="173">
        <f ca="1">(VLOOKUP(BF$72,INDIRECT($C$5&amp;"生成成长"),2))/((VLOOKUP($B197,INDIRECT($B$5&amp;"生成成长"),4))/(VLOOKUP(BF$72,INDIRECT($C$5&amp;"生成成长"),5))*(VLOOKUP($B$5,标准坦克设计!$B$24:$U$30,MATCH("对"&amp;LEFT($C$5,2)&amp;"输出",标准坦克设计!$B$23:$U$23,0)))*(VLOOKUP($B197,INDIRECT($B$5&amp;"生成成长"),3))*(VLOOKUP($B$5,标准坦克设计!$B$14:$K$20,9)/30))</f>
        <v>4.8918930753193024</v>
      </c>
      <c r="BG197" s="173">
        <f ca="1">(VLOOKUP(BG$72,INDIRECT($C$5&amp;"生成成长"),2))/((VLOOKUP($B197,INDIRECT($B$5&amp;"生成成长"),4))/(VLOOKUP(BG$72,INDIRECT($C$5&amp;"生成成长"),5))*(VLOOKUP($B$5,标准坦克设计!$B$24:$U$30,MATCH("对"&amp;LEFT($C$5,2)&amp;"输出",标准坦克设计!$B$23:$U$23,0)))*(VLOOKUP($B197,INDIRECT($B$5&amp;"生成成长"),3))*(VLOOKUP($B$5,标准坦克设计!$B$14:$K$20,9)/30))</f>
        <v>5.3397808128903055</v>
      </c>
      <c r="BH197" s="173">
        <f ca="1">(VLOOKUP(BH$72,INDIRECT($C$5&amp;"生成成长"),2))/((VLOOKUP($B197,INDIRECT($B$5&amp;"生成成长"),4))/(VLOOKUP(BH$72,INDIRECT($C$5&amp;"生成成长"),5))*(VLOOKUP($B$5,标准坦克设计!$B$24:$U$30,MATCH("对"&amp;LEFT($C$5,2)&amp;"输出",标准坦克设计!$B$23:$U$23,0)))*(VLOOKUP($B197,INDIRECT($B$5&amp;"生成成长"),3))*(VLOOKUP($B$5,标准坦克设计!$B$14:$K$20,9)/30))</f>
        <v>2.5810151430287931</v>
      </c>
      <c r="BI197" s="173">
        <f ca="1">(VLOOKUP(BI$72,INDIRECT($C$5&amp;"生成成长"),2))/((VLOOKUP($B197,INDIRECT($B$5&amp;"生成成长"),4))/(VLOOKUP(BI$72,INDIRECT($C$5&amp;"生成成长"),5))*(VLOOKUP($B$5,标准坦克设计!$B$24:$U$30,MATCH("对"&amp;LEFT($C$5,2)&amp;"输出",标准坦克设计!$B$23:$U$23,0)))*(VLOOKUP($B197,INDIRECT($B$5&amp;"生成成长"),3))*(VLOOKUP($B$5,标准坦克设计!$B$14:$K$20,9)/30))</f>
        <v>2.9090302501063405</v>
      </c>
      <c r="BJ197" s="173">
        <f ca="1">(VLOOKUP(BJ$72,INDIRECT($C$5&amp;"生成成长"),2))/((VLOOKUP($B197,INDIRECT($B$5&amp;"生成成长"),4))/(VLOOKUP(BJ$72,INDIRECT($C$5&amp;"生成成长"),5))*(VLOOKUP($B$5,标准坦克设计!$B$24:$U$30,MATCH("对"&amp;LEFT($C$5,2)&amp;"输出",标准坦克设计!$B$23:$U$23,0)))*(VLOOKUP($B197,INDIRECT($B$5&amp;"生成成长"),3))*(VLOOKUP($B$5,标准坦克设计!$B$14:$K$20,9)/30))</f>
        <v>3.2566608785373625</v>
      </c>
      <c r="BK197" s="173">
        <f ca="1">(VLOOKUP(BK$72,INDIRECT($C$5&amp;"生成成长"),2))/((VLOOKUP($B197,INDIRECT($B$5&amp;"生成成长"),4))/(VLOOKUP(BK$72,INDIRECT($C$5&amp;"生成成长"),5))*(VLOOKUP($B$5,标准坦克设计!$B$24:$U$30,MATCH("对"&amp;LEFT($C$5,2)&amp;"输出",标准坦克设计!$B$23:$U$23,0)))*(VLOOKUP($B197,INDIRECT($B$5&amp;"生成成长"),3))*(VLOOKUP($B$5,标准坦克设计!$B$14:$K$20,9)/30))</f>
        <v>3.6239070283218586</v>
      </c>
      <c r="BL197" s="173">
        <f ca="1">(VLOOKUP(BL$72,INDIRECT($C$5&amp;"生成成长"),2))/((VLOOKUP($B197,INDIRECT($B$5&amp;"生成成长"),4))/(VLOOKUP(BL$72,INDIRECT($C$5&amp;"生成成长"),5))*(VLOOKUP($B$5,标准坦克设计!$B$24:$U$30,MATCH("对"&amp;LEFT($C$5,2)&amp;"输出",标准坦克设计!$B$23:$U$23,0)))*(VLOOKUP($B197,INDIRECT($B$5&amp;"生成成长"),3))*(VLOOKUP($B$5,标准坦克设计!$B$14:$K$20,9)/30))</f>
        <v>4.0107686994598302</v>
      </c>
      <c r="BM197" s="173">
        <f ca="1">(VLOOKUP(BM$72,INDIRECT($C$5&amp;"生成成长"),2))/((VLOOKUP($B197,INDIRECT($B$5&amp;"生成成长"),4))/(VLOOKUP(BM$72,INDIRECT($C$5&amp;"生成成长"),5))*(VLOOKUP($B$5,标准坦克设计!$B$24:$U$30,MATCH("对"&amp;LEFT($C$5,2)&amp;"输出",标准坦克设计!$B$23:$U$23,0)))*(VLOOKUP($B197,INDIRECT($B$5&amp;"生成成长"),3))*(VLOOKUP($B$5,标准坦克设计!$B$14:$K$20,9)/30))</f>
        <v>4.4172458919512767</v>
      </c>
      <c r="BN197" s="173">
        <f ca="1">(VLOOKUP(BN$72,INDIRECT($C$5&amp;"生成成长"),2))/((VLOOKUP($B197,INDIRECT($B$5&amp;"生成成长"),4))/(VLOOKUP(BN$72,INDIRECT($C$5&amp;"生成成长"),5))*(VLOOKUP($B$5,标准坦克设计!$B$24:$U$30,MATCH("对"&amp;LEFT($C$5,2)&amp;"输出",标准坦克设计!$B$23:$U$23,0)))*(VLOOKUP($B197,INDIRECT($B$5&amp;"生成成长"),3))*(VLOOKUP($B$5,标准坦克设计!$B$14:$K$20,9)/30))</f>
        <v>4.8433386057961965</v>
      </c>
      <c r="BO197" s="173">
        <f ca="1">(VLOOKUP(BO$72,INDIRECT($C$5&amp;"生成成长"),2))/((VLOOKUP($B197,INDIRECT($B$5&amp;"生成成长"),4))/(VLOOKUP(BO$72,INDIRECT($C$5&amp;"生成成长"),5))*(VLOOKUP($B$5,标准坦克设计!$B$24:$U$30,MATCH("对"&amp;LEFT($C$5,2)&amp;"输出",标准坦克设计!$B$23:$U$23,0)))*(VLOOKUP($B197,INDIRECT($B$5&amp;"生成成长"),3))*(VLOOKUP($B$5,标准坦克设计!$B$14:$K$20,9)/30))</f>
        <v>5.2890468409945921</v>
      </c>
      <c r="BP197" s="173">
        <f ca="1">(VLOOKUP(BP$72,INDIRECT($C$5&amp;"生成成长"),2))/((VLOOKUP($B197,INDIRECT($B$5&amp;"生成成长"),4))/(VLOOKUP(BP$72,INDIRECT($C$5&amp;"生成成长"),5))*(VLOOKUP($B$5,标准坦克设计!$B$24:$U$30,MATCH("对"&amp;LEFT($C$5,2)&amp;"输出",标准坦克设计!$B$23:$U$23,0)))*(VLOOKUP($B197,INDIRECT($B$5&amp;"生成成长"),3))*(VLOOKUP($B$5,标准坦克设计!$B$14:$K$20,9)/30))</f>
        <v>5.7543705975464619</v>
      </c>
      <c r="BQ197" s="173">
        <f ca="1">(VLOOKUP(BQ$72,INDIRECT($C$5&amp;"生成成长"),2))/((VLOOKUP($B197,INDIRECT($B$5&amp;"生成成长"),4))/(VLOOKUP(BQ$72,INDIRECT($C$5&amp;"生成成长"),5))*(VLOOKUP($B$5,标准坦克设计!$B$24:$U$30,MATCH("对"&amp;LEFT($C$5,2)&amp;"输出",标准坦克设计!$B$23:$U$23,0)))*(VLOOKUP($B197,INDIRECT($B$5&amp;"生成成长"),3))*(VLOOKUP($B$5,标准坦克设计!$B$14:$K$20,9)/30))</f>
        <v>6.2393098754518048</v>
      </c>
      <c r="BR197" s="173">
        <f ca="1">(VLOOKUP(BR$72,INDIRECT($C$5&amp;"生成成长"),2))/((VLOOKUP($B197,INDIRECT($B$5&amp;"生成成长"),4))/(VLOOKUP(BR$72,INDIRECT($C$5&amp;"生成成长"),5))*(VLOOKUP($B$5,标准坦克设计!$B$24:$U$30,MATCH("对"&amp;LEFT($C$5,2)&amp;"输出",标准坦克设计!$B$23:$U$23,0)))*(VLOOKUP($B197,INDIRECT($B$5&amp;"生成成长"),3))*(VLOOKUP($B$5,标准坦克设计!$B$14:$K$20,9)/30))</f>
        <v>6.8011371537241638</v>
      </c>
      <c r="BS197" s="173">
        <f ca="1">(VLOOKUP(BS$72,INDIRECT($C$5&amp;"生成成长"),2))/((VLOOKUP($B197,INDIRECT($B$5&amp;"生成成长"),4))/(VLOOKUP(BS$72,INDIRECT($C$5&amp;"生成成长"),5))*(VLOOKUP($B$5,标准坦克设计!$B$24:$U$30,MATCH("对"&amp;LEFT($C$5,2)&amp;"输出",标准坦克设计!$B$23:$U$23,0)))*(VLOOKUP($B197,INDIRECT($B$5&amp;"生成成长"),3))*(VLOOKUP($B$5,标准坦克设计!$B$14:$K$20,9)/30))</f>
        <v>7.3871811250255037</v>
      </c>
      <c r="BT197" s="173">
        <f ca="1">(VLOOKUP(BT$72,INDIRECT($C$5&amp;"生成成长"),2))/((VLOOKUP($B197,INDIRECT($B$5&amp;"生成成长"),4))/(VLOOKUP(BT$72,INDIRECT($C$5&amp;"生成成长"),5))*(VLOOKUP($B$5,标准坦克设计!$B$24:$U$30,MATCH("对"&amp;LEFT($C$5,2)&amp;"输出",标准坦克设计!$B$23:$U$23,0)))*(VLOOKUP($B197,INDIRECT($B$5&amp;"生成成长"),3))*(VLOOKUP($B$5,标准坦克设计!$B$14:$K$20,9)/30))</f>
        <v>7.9974417893558245</v>
      </c>
      <c r="BU197" s="173">
        <f ca="1">(VLOOKUP(BU$72,INDIRECT($C$5&amp;"生成成长"),2))/((VLOOKUP($B197,INDIRECT($B$5&amp;"生成成长"),4))/(VLOOKUP(BU$72,INDIRECT($C$5&amp;"生成成长"),5))*(VLOOKUP($B$5,标准坦克设计!$B$24:$U$30,MATCH("对"&amp;LEFT($C$5,2)&amp;"输出",标准坦克设计!$B$23:$U$23,0)))*(VLOOKUP($B197,INDIRECT($B$5&amp;"生成成长"),3))*(VLOOKUP($B$5,标准坦克设计!$B$14:$K$20,9)/30))</f>
        <v>8.6319191467151253</v>
      </c>
      <c r="BV197" s="173">
        <f ca="1">(VLOOKUP(BV$72,INDIRECT($C$5&amp;"生成成长"),2))/((VLOOKUP($B197,INDIRECT($B$5&amp;"生成成长"),4))/(VLOOKUP(BV$72,INDIRECT($C$5&amp;"生成成长"),5))*(VLOOKUP($B$5,标准坦克设计!$B$24:$U$30,MATCH("对"&amp;LEFT($C$5,2)&amp;"输出",标准坦克设计!$B$23:$U$23,0)))*(VLOOKUP($B197,INDIRECT($B$5&amp;"生成成长"),3))*(VLOOKUP($B$5,标准坦克设计!$B$14:$K$20,9)/30))</f>
        <v>9.2906131971034096</v>
      </c>
      <c r="BW197" s="173">
        <f ca="1">(VLOOKUP(BW$72,INDIRECT($C$5&amp;"生成成长"),2))/((VLOOKUP($B197,INDIRECT($B$5&amp;"生成成长"),4))/(VLOOKUP(BW$72,INDIRECT($C$5&amp;"生成成长"),5))*(VLOOKUP($B$5,标准坦克设计!$B$24:$U$30,MATCH("对"&amp;LEFT($C$5,2)&amp;"输出",标准坦克设计!$B$23:$U$23,0)))*(VLOOKUP($B197,INDIRECT($B$5&amp;"生成成长"),3))*(VLOOKUP($B$5,标准坦克设计!$B$14:$K$20,9)/30))</f>
        <v>4.2341676926521794</v>
      </c>
      <c r="BX197" s="173">
        <f ca="1">(VLOOKUP(BX$72,INDIRECT($C$5&amp;"生成成长"),2))/((VLOOKUP($B197,INDIRECT($B$5&amp;"生成成长"),4))/(VLOOKUP(BX$72,INDIRECT($C$5&amp;"生成成长"),5))*(VLOOKUP($B$5,标准坦克设计!$B$24:$U$30,MATCH("对"&amp;LEFT($C$5,2)&amp;"输出",标准坦克设计!$B$23:$U$23,0)))*(VLOOKUP($B197,INDIRECT($B$5&amp;"生成成长"),3))*(VLOOKUP($B$5,标准坦克设计!$B$14:$K$20,9)/30))</f>
        <v>4.6991281988086149</v>
      </c>
      <c r="BY197" s="173">
        <f ca="1">(VLOOKUP(BY$72,INDIRECT($C$5&amp;"生成成长"),2))/((VLOOKUP($B197,INDIRECT($B$5&amp;"生成成长"),4))/(VLOOKUP(BY$72,INDIRECT($C$5&amp;"生成成长"),5))*(VLOOKUP($B$5,标准坦克设计!$B$24:$U$30,MATCH("对"&amp;LEFT($C$5,2)&amp;"输出",标准坦克设计!$B$23:$U$23,0)))*(VLOOKUP($B197,INDIRECT($B$5&amp;"生成成长"),3))*(VLOOKUP($B$5,标准坦克设计!$B$14:$K$20,9)/30))</f>
        <v>5.1883053979940303</v>
      </c>
      <c r="BZ197" s="173">
        <f ca="1">(VLOOKUP(BZ$72,INDIRECT($C$5&amp;"生成成长"),2))/((VLOOKUP($B197,INDIRECT($B$5&amp;"生成成长"),4))/(VLOOKUP(BZ$72,INDIRECT($C$5&amp;"生成成长"),5))*(VLOOKUP($B$5,标准坦克设计!$B$24:$U$30,MATCH("对"&amp;LEFT($C$5,2)&amp;"输出",标准坦克设计!$B$23:$U$23,0)))*(VLOOKUP($B197,INDIRECT($B$5&amp;"生成成长"),3))*(VLOOKUP($B$5,标准坦克设计!$B$14:$K$20,9)/30))</f>
        <v>5.7016992902084267</v>
      </c>
      <c r="CA197" s="173">
        <f ca="1">(VLOOKUP(CA$72,INDIRECT($C$5&amp;"生成成长"),2))/((VLOOKUP($B197,INDIRECT($B$5&amp;"生成成长"),4))/(VLOOKUP(CA$72,INDIRECT($C$5&amp;"生成成长"),5))*(VLOOKUP($B$5,标准坦克设计!$B$24:$U$30,MATCH("对"&amp;LEFT($C$5,2)&amp;"输出",标准坦克设计!$B$23:$U$23,0)))*(VLOOKUP($B197,INDIRECT($B$5&amp;"生成成长"),3))*(VLOOKUP($B$5,标准坦克设计!$B$14:$K$20,9)/30))</f>
        <v>6.2393098754518048</v>
      </c>
      <c r="CB197" s="173">
        <f ca="1">(VLOOKUP(CB$72,INDIRECT($C$5&amp;"生成成长"),2))/((VLOOKUP($B197,INDIRECT($B$5&amp;"生成成长"),4))/(VLOOKUP(CB$72,INDIRECT($C$5&amp;"生成成长"),5))*(VLOOKUP($B$5,标准坦克设计!$B$24:$U$30,MATCH("对"&amp;LEFT($C$5,2)&amp;"输出",标准坦克设计!$B$23:$U$23,0)))*(VLOOKUP($B197,INDIRECT($B$5&amp;"生成成长"),3))*(VLOOKUP($B$5,标准坦克设计!$B$14:$K$20,9)/30))</f>
        <v>6.8011371537241638</v>
      </c>
      <c r="CC197" s="173">
        <f ca="1">(VLOOKUP(CC$72,INDIRECT($C$5&amp;"生成成长"),2))/((VLOOKUP($B197,INDIRECT($B$5&amp;"生成成长"),4))/(VLOOKUP(CC$72,INDIRECT($C$5&amp;"生成成长"),5))*(VLOOKUP($B$5,标准坦克设计!$B$24:$U$30,MATCH("对"&amp;LEFT($C$5,2)&amp;"输出",标准坦克设计!$B$23:$U$23,0)))*(VLOOKUP($B197,INDIRECT($B$5&amp;"生成成长"),3))*(VLOOKUP($B$5,标准坦克设计!$B$14:$K$20,9)/30))</f>
        <v>7.3871811250255037</v>
      </c>
      <c r="CD197" s="173">
        <f ca="1">(VLOOKUP(CD$72,INDIRECT($C$5&amp;"生成成长"),2))/((VLOOKUP($B197,INDIRECT($B$5&amp;"生成成长"),4))/(VLOOKUP(CD$72,INDIRECT($C$5&amp;"生成成长"),5))*(VLOOKUP($B$5,标准坦克设计!$B$24:$U$30,MATCH("对"&amp;LEFT($C$5,2)&amp;"输出",标准坦克设计!$B$23:$U$23,0)))*(VLOOKUP($B197,INDIRECT($B$5&amp;"生成成长"),3))*(VLOOKUP($B$5,标准坦克设计!$B$14:$K$20,9)/30))</f>
        <v>7.9974417893558245</v>
      </c>
      <c r="CE197" s="173">
        <f ca="1">(VLOOKUP(CE$72,INDIRECT($C$5&amp;"生成成长"),2))/((VLOOKUP($B197,INDIRECT($B$5&amp;"生成成长"),4))/(VLOOKUP(CE$72,INDIRECT($C$5&amp;"生成成长"),5))*(VLOOKUP($B$5,标准坦克设计!$B$24:$U$30,MATCH("对"&amp;LEFT($C$5,2)&amp;"输出",标准坦克设计!$B$23:$U$23,0)))*(VLOOKUP($B197,INDIRECT($B$5&amp;"生成成长"),3))*(VLOOKUP($B$5,标准坦克设计!$B$14:$K$20,9)/30))</f>
        <v>8.6319191467151253</v>
      </c>
      <c r="CF197" s="173">
        <f ca="1">(VLOOKUP(CF$72,INDIRECT($C$5&amp;"生成成长"),2))/((VLOOKUP($B197,INDIRECT($B$5&amp;"生成成长"),4))/(VLOOKUP(CF$72,INDIRECT($C$5&amp;"生成成长"),5))*(VLOOKUP($B$5,标准坦克设计!$B$24:$U$30,MATCH("对"&amp;LEFT($C$5,2)&amp;"输出",标准坦克设计!$B$23:$U$23,0)))*(VLOOKUP($B197,INDIRECT($B$5&amp;"生成成长"),3))*(VLOOKUP($B$5,标准坦克设计!$B$14:$K$20,9)/30))</f>
        <v>9.2906131971034096</v>
      </c>
      <c r="CG197" s="173">
        <f ca="1">(VLOOKUP(CG$72,INDIRECT($C$5&amp;"生成成长"),2))/((VLOOKUP($B197,INDIRECT($B$5&amp;"生成成长"),4))/(VLOOKUP(CG$72,INDIRECT($C$5&amp;"生成成长"),5))*(VLOOKUP($B$5,标准坦克设计!$B$24:$U$30,MATCH("对"&amp;LEFT($C$5,2)&amp;"输出",标准坦克设计!$B$23:$U$23,0)))*(VLOOKUP($B197,INDIRECT($B$5&amp;"生成成长"),3))*(VLOOKUP($B$5,标准坦克设计!$B$14:$K$20,9)/30))</f>
        <v>9.973523940520673</v>
      </c>
      <c r="CH197" s="173">
        <f ca="1">(VLOOKUP(CH$72,INDIRECT($C$5&amp;"生成成长"),2))/((VLOOKUP($B197,INDIRECT($B$5&amp;"生成成长"),4))/(VLOOKUP(CH$72,INDIRECT($C$5&amp;"生成成长"),5))*(VLOOKUP($B$5,标准坦克设计!$B$24:$U$30,MATCH("对"&amp;LEFT($C$5,2)&amp;"输出",标准坦克设计!$B$23:$U$23,0)))*(VLOOKUP($B197,INDIRECT($B$5&amp;"生成成长"),3))*(VLOOKUP($B$5,标准坦克设计!$B$14:$K$20,9)/30))</f>
        <v>10.680651376966916</v>
      </c>
      <c r="CI197" s="173">
        <f ca="1">(VLOOKUP(CI$72,INDIRECT($C$5&amp;"生成成长"),2))/((VLOOKUP($B197,INDIRECT($B$5&amp;"生成成长"),4))/(VLOOKUP(CI$72,INDIRECT($C$5&amp;"生成成长"),5))*(VLOOKUP($B$5,标准坦克设计!$B$24:$U$30,MATCH("对"&amp;LEFT($C$5,2)&amp;"输出",标准坦克设计!$B$23:$U$23,0)))*(VLOOKUP($B197,INDIRECT($B$5&amp;"生成成长"),3))*(VLOOKUP($B$5,标准坦克设计!$B$14:$K$20,9)/30))</f>
        <v>11.48646183750626</v>
      </c>
      <c r="CJ197" s="173">
        <f ca="1">(VLOOKUP(CJ$72,INDIRECT($C$5&amp;"生成成长"),2))/((VLOOKUP($B197,INDIRECT($B$5&amp;"生成成长"),4))/(VLOOKUP(CJ$72,INDIRECT($C$5&amp;"生成成长"),5))*(VLOOKUP($B$5,标准坦克设计!$B$24:$U$30,MATCH("对"&amp;LEFT($C$5,2)&amp;"输出",标准坦克设计!$B$23:$U$23,0)))*(VLOOKUP($B197,INDIRECT($B$5&amp;"生成成长"),3))*(VLOOKUP($B$5,标准坦克设计!$B$14:$K$20,9)/30))</f>
        <v>12.321574496610669</v>
      </c>
      <c r="CK197" s="173">
        <f ca="1">(VLOOKUP(CK$72,INDIRECT($C$5&amp;"生成成长"),2))/((VLOOKUP($B197,INDIRECT($B$5&amp;"生成成长"),4))/(VLOOKUP(CK$72,INDIRECT($C$5&amp;"生成成长"),5))*(VLOOKUP($B$5,标准坦克设计!$B$24:$U$30,MATCH("对"&amp;LEFT($C$5,2)&amp;"输出",标准坦克设计!$B$23:$U$23,0)))*(VLOOKUP($B197,INDIRECT($B$5&amp;"生成成长"),3))*(VLOOKUP($B$5,标准坦克设计!$B$14:$K$20,9)/30))</f>
        <v>13.185989354280146</v>
      </c>
      <c r="CL197" s="173">
        <f ca="1">(VLOOKUP(CL$72,INDIRECT($C$5&amp;"生成成长"),2))/((VLOOKUP($B197,INDIRECT($B$5&amp;"生成成长"),4))/(VLOOKUP(CL$72,INDIRECT($C$5&amp;"生成成长"),5))*(VLOOKUP($B$5,标准坦克设计!$B$24:$U$30,MATCH("对"&amp;LEFT($C$5,2)&amp;"输出",标准坦克设计!$B$23:$U$23,0)))*(VLOOKUP($B197,INDIRECT($B$5&amp;"生成成长"),3))*(VLOOKUP($B$5,标准坦克设计!$B$14:$K$20,9)/30))</f>
        <v>14.079706410514687</v>
      </c>
      <c r="CM197" s="173">
        <f ca="1">(VLOOKUP(CM$72,INDIRECT($C$5&amp;"生成成长"),2))/((VLOOKUP($B197,INDIRECT($B$5&amp;"生成成长"),4))/(VLOOKUP(CM$72,INDIRECT($C$5&amp;"生成成长"),5))*(VLOOKUP($B$5,标准坦克设计!$B$24:$U$30,MATCH("对"&amp;LEFT($C$5,2)&amp;"输出",标准坦克设计!$B$23:$U$23,0)))*(VLOOKUP($B197,INDIRECT($B$5&amp;"生成成长"),3))*(VLOOKUP($B$5,标准坦克设计!$B$14:$K$20,9)/30))</f>
        <v>15.002725665314298</v>
      </c>
      <c r="CN197" s="173">
        <f ca="1">(VLOOKUP(CN$72,INDIRECT($C$5&amp;"生成成长"),2))/((VLOOKUP($B197,INDIRECT($B$5&amp;"生成成长"),4))/(VLOOKUP(CN$72,INDIRECT($C$5&amp;"生成成长"),5))*(VLOOKUP($B$5,标准坦克设计!$B$24:$U$30,MATCH("对"&amp;LEFT($C$5,2)&amp;"输出",标准坦克设计!$B$23:$U$23,0)))*(VLOOKUP($B197,INDIRECT($B$5&amp;"生成成长"),3))*(VLOOKUP($B$5,标准坦克设计!$B$14:$K$20,9)/30))</f>
        <v>15.955047118678975</v>
      </c>
      <c r="CO197" s="173">
        <f ca="1">(VLOOKUP(CO$72,INDIRECT($C$5&amp;"生成成长"),2))/((VLOOKUP($B197,INDIRECT($B$5&amp;"生成成长"),4))/(VLOOKUP(CO$72,INDIRECT($C$5&amp;"生成成长"),5))*(VLOOKUP($B$5,标准坦克设计!$B$24:$U$30,MATCH("对"&amp;LEFT($C$5,2)&amp;"输出",标准坦克设计!$B$23:$U$23,0)))*(VLOOKUP($B197,INDIRECT($B$5&amp;"生成成长"),3))*(VLOOKUP($B$5,标准坦克设计!$B$14:$K$20,9)/30))</f>
        <v>7.14985753334149</v>
      </c>
      <c r="CP197" s="173">
        <f ca="1">(VLOOKUP(CP$72,INDIRECT($C$5&amp;"生成成长"),2))/((VLOOKUP($B197,INDIRECT($B$5&amp;"生成成长"),4))/(VLOOKUP(CP$72,INDIRECT($C$5&amp;"生成成长"),5))*(VLOOKUP($B$5,标准坦克设计!$B$24:$U$30,MATCH("对"&amp;LEFT($C$5,2)&amp;"输出",标准坦克设计!$B$23:$U$23,0)))*(VLOOKUP($B197,INDIRECT($B$5&amp;"生成成长"),3))*(VLOOKUP($B$5,标准坦克设计!$B$14:$K$20,9)/30))</f>
        <v>7.8118208372886864</v>
      </c>
      <c r="CQ197" s="173">
        <f ca="1">(VLOOKUP(CQ$72,INDIRECT($C$5&amp;"生成成长"),2))/((VLOOKUP($B197,INDIRECT($B$5&amp;"生成成长"),4))/(VLOOKUP(CQ$72,INDIRECT($C$5&amp;"生成成长"),5))*(VLOOKUP($B$5,标准坦克设计!$B$24:$U$30,MATCH("对"&amp;LEFT($C$5,2)&amp;"输出",标准坦克设计!$B$23:$U$23,0)))*(VLOOKUP($B197,INDIRECT($B$5&amp;"生成成长"),3))*(VLOOKUP($B$5,标准坦克设计!$B$14:$K$20,9)/30))</f>
        <v>8.503086339800948</v>
      </c>
      <c r="CR197" s="173">
        <f ca="1">(VLOOKUP(CR$72,INDIRECT($C$5&amp;"生成成长"),2))/((VLOOKUP($B197,INDIRECT($B$5&amp;"生成成长"),4))/(VLOOKUP(CR$72,INDIRECT($C$5&amp;"生成成长"),5))*(VLOOKUP($B$5,标准坦克设计!$B$24:$U$30,MATCH("对"&amp;LEFT($C$5,2)&amp;"输出",标准坦克设计!$B$23:$U$23,0)))*(VLOOKUP($B197,INDIRECT($B$5&amp;"生成成长"),3))*(VLOOKUP($B$5,标准坦克设计!$B$14:$K$20,9)/30))</f>
        <v>9.2236540408782766</v>
      </c>
      <c r="CS197" s="173">
        <f ca="1">(VLOOKUP(CS$72,INDIRECT($C$5&amp;"生成成长"),2))/((VLOOKUP($B197,INDIRECT($B$5&amp;"生成成长"),4))/(VLOOKUP(CS$72,INDIRECT($C$5&amp;"生成成长"),5))*(VLOOKUP($B$5,标准坦克设计!$B$24:$U$30,MATCH("对"&amp;LEFT($C$5,2)&amp;"输出",标准坦克设计!$B$23:$U$23,0)))*(VLOOKUP($B197,INDIRECT($B$5&amp;"生成成长"),3))*(VLOOKUP($B$5,标准坦克设计!$B$14:$K$20,9)/30))</f>
        <v>9.973523940520673</v>
      </c>
      <c r="CT197" s="173">
        <f ca="1">(VLOOKUP(CT$72,INDIRECT($C$5&amp;"生成成长"),2))/((VLOOKUP($B197,INDIRECT($B$5&amp;"生成成长"),4))/(VLOOKUP(CT$72,INDIRECT($C$5&amp;"生成成长"),5))*(VLOOKUP($B$5,标准坦克设计!$B$24:$U$30,MATCH("对"&amp;LEFT($C$5,2)&amp;"输出",标准坦克设计!$B$23:$U$23,0)))*(VLOOKUP($B197,INDIRECT($B$5&amp;"生成成长"),3))*(VLOOKUP($B$5,标准坦克设计!$B$14:$K$20,9)/30))</f>
        <v>10.752696038728136</v>
      </c>
      <c r="CU197" s="173">
        <f ca="1">(VLOOKUP(CU$72,INDIRECT($C$5&amp;"生成成长"),2))/((VLOOKUP($B197,INDIRECT($B$5&amp;"生成成长"),4))/(VLOOKUP(CU$72,INDIRECT($C$5&amp;"生成成长"),5))*(VLOOKUP($B$5,标准坦克设计!$B$24:$U$30,MATCH("对"&amp;LEFT($C$5,2)&amp;"输出",标准坦克设计!$B$23:$U$23,0)))*(VLOOKUP($B197,INDIRECT($B$5&amp;"生成成长"),3))*(VLOOKUP($B$5,标准坦克设计!$B$14:$K$20,9)/30))</f>
        <v>11.561170335500666</v>
      </c>
      <c r="CV197" s="173">
        <f ca="1">(VLOOKUP(CV$72,INDIRECT($C$5&amp;"生成成长"),2))/((VLOOKUP($B197,INDIRECT($B$5&amp;"生成成长"),4))/(VLOOKUP(CV$72,INDIRECT($C$5&amp;"生成成长"),5))*(VLOOKUP($B$5,标准坦克设计!$B$24:$U$30,MATCH("对"&amp;LEFT($C$5,2)&amp;"输出",标准坦克设计!$B$23:$U$23,0)))*(VLOOKUP($B197,INDIRECT($B$5&amp;"生成成长"),3))*(VLOOKUP($B$5,标准坦克设计!$B$14:$K$20,9)/30))</f>
        <v>12.398946830838264</v>
      </c>
      <c r="CW197" s="173">
        <f ca="1">(VLOOKUP(CW$72,INDIRECT($C$5&amp;"生成成长"),2))/((VLOOKUP($B197,INDIRECT($B$5&amp;"生成成长"),4))/(VLOOKUP(CW$72,INDIRECT($C$5&amp;"生成成长"),5))*(VLOOKUP($B$5,标准坦克设计!$B$24:$U$30,MATCH("对"&amp;LEFT($C$5,2)&amp;"输出",标准坦克设计!$B$23:$U$23,0)))*(VLOOKUP($B197,INDIRECT($B$5&amp;"生成成长"),3))*(VLOOKUP($B$5,标准坦克设计!$B$14:$K$20,9)/30))</f>
        <v>13.266025524740927</v>
      </c>
      <c r="CX197" s="173">
        <f ca="1">(VLOOKUP(CX$72,INDIRECT($C$5&amp;"生成成长"),2))/((VLOOKUP($B197,INDIRECT($B$5&amp;"生成成长"),4))/(VLOOKUP(CX$72,INDIRECT($C$5&amp;"生成成长"),5))*(VLOOKUP($B$5,标准坦克设计!$B$24:$U$30,MATCH("对"&amp;LEFT($C$5,2)&amp;"输出",标准坦克设计!$B$23:$U$23,0)))*(VLOOKUP($B197,INDIRECT($B$5&amp;"生成成长"),3))*(VLOOKUP($B$5,标准坦克设计!$B$14:$K$20,9)/30))</f>
        <v>14.162406417208659</v>
      </c>
      <c r="CY197" s="173">
        <f ca="1">(VLOOKUP(CY$72,INDIRECT($C$5&amp;"生成成长"),2))/((VLOOKUP($B197,INDIRECT($B$5&amp;"生成成长"),4))/(VLOOKUP(CY$72,INDIRECT($C$5&amp;"生成成长"),5))*(VLOOKUP($B$5,标准坦克设计!$B$24:$U$30,MATCH("对"&amp;LEFT($C$5,2)&amp;"输出",标准坦克设计!$B$23:$U$23,0)))*(VLOOKUP($B197,INDIRECT($B$5&amp;"生成成长"),3))*(VLOOKUP($B$5,标准坦克设计!$B$14:$K$20,9)/30))</f>
        <v>15.088089508241454</v>
      </c>
      <c r="CZ197" s="173">
        <f ca="1">(VLOOKUP(CZ$72,INDIRECT($C$5&amp;"生成成长"),2))/((VLOOKUP($B197,INDIRECT($B$5&amp;"生成成长"),4))/(VLOOKUP(CZ$72,INDIRECT($C$5&amp;"生成成长"),5))*(VLOOKUP($B$5,标准坦克设计!$B$24:$U$30,MATCH("对"&amp;LEFT($C$5,2)&amp;"输出",标准坦克设计!$B$23:$U$23,0)))*(VLOOKUP($B197,INDIRECT($B$5&amp;"生成成长"),3))*(VLOOKUP($B$5,标准坦克设计!$B$14:$K$20,9)/30))</f>
        <v>16.043074797839321</v>
      </c>
      <c r="DA197" s="173">
        <f ca="1">(VLOOKUP(DA$72,INDIRECT($C$5&amp;"生成成长"),2))/((VLOOKUP($B197,INDIRECT($B$5&amp;"生成成长"),4))/(VLOOKUP(DA$72,INDIRECT($C$5&amp;"生成成长"),5))*(VLOOKUP($B$5,标准坦克设计!$B$24:$U$30,MATCH("对"&amp;LEFT($C$5,2)&amp;"输出",标准坦克设计!$B$23:$U$23,0)))*(VLOOKUP($B197,INDIRECT($B$5&amp;"生成成长"),3))*(VLOOKUP($B$5,标准坦克设计!$B$14:$K$20,9)/30))</f>
        <v>17.027362286002251</v>
      </c>
      <c r="DB197" s="173">
        <f ca="1">(VLOOKUP(DB$72,INDIRECT($C$5&amp;"生成成长"),2))/((VLOOKUP($B197,INDIRECT($B$5&amp;"生成成长"),4))/(VLOOKUP(DB$72,INDIRECT($C$5&amp;"生成成长"),5))*(VLOOKUP($B$5,标准坦克设计!$B$24:$U$30,MATCH("对"&amp;LEFT($C$5,2)&amp;"输出",标准坦克设计!$B$23:$U$23,0)))*(VLOOKUP($B197,INDIRECT($B$5&amp;"生成成长"),3))*(VLOOKUP($B$5,标准坦克设计!$B$14:$K$20,9)/30))</f>
        <v>18.040951972730252</v>
      </c>
      <c r="DC197" s="173">
        <f ca="1">(VLOOKUP(DC$72,INDIRECT($C$5&amp;"生成成长"),2))/((VLOOKUP($B197,INDIRECT($B$5&amp;"生成成长"),4))/(VLOOKUP(DC$72,INDIRECT($C$5&amp;"生成成长"),5))*(VLOOKUP($B$5,标准坦克设计!$B$24:$U$30,MATCH("对"&amp;LEFT($C$5,2)&amp;"输出",标准坦克设计!$B$23:$U$23,0)))*(VLOOKUP($B197,INDIRECT($B$5&amp;"生成成长"),3))*(VLOOKUP($B$5,标准坦克设计!$B$14:$K$20,9)/30))</f>
        <v>19.180105212813519</v>
      </c>
      <c r="DD197" s="173">
        <f ca="1">(VLOOKUP(DD$72,INDIRECT($C$5&amp;"生成成长"),2))/((VLOOKUP($B197,INDIRECT($B$5&amp;"生成成长"),4))/(VLOOKUP(DD$72,INDIRECT($C$5&amp;"生成成长"),5))*(VLOOKUP($B$5,标准坦克设计!$B$24:$U$30,MATCH("对"&amp;LEFT($C$5,2)&amp;"输出",标准坦克设计!$B$23:$U$23,0)))*(VLOOKUP($B197,INDIRECT($B$5&amp;"生成成长"),3))*(VLOOKUP($B$5,标准坦克设计!$B$14:$K$20,9)/30))</f>
        <v>20.354130490858513</v>
      </c>
      <c r="DE197" s="173">
        <f ca="1">(VLOOKUP(DE$72,INDIRECT($C$5&amp;"生成成长"),2))/((VLOOKUP($B197,INDIRECT($B$5&amp;"生成成长"),4))/(VLOOKUP(DE$72,INDIRECT($C$5&amp;"生成成长"),5))*(VLOOKUP($B$5,标准坦克设计!$B$24:$U$30,MATCH("对"&amp;LEFT($C$5,2)&amp;"输出",标准坦克设计!$B$23:$U$23,0)))*(VLOOKUP($B197,INDIRECT($B$5&amp;"生成成长"),3))*(VLOOKUP($B$5,标准坦克设计!$B$14:$K$20,9)/30))</f>
        <v>21.563027806865243</v>
      </c>
      <c r="DF197" s="173">
        <f ca="1">(VLOOKUP(DF$72,INDIRECT($C$5&amp;"生成成长"),2))/((VLOOKUP($B197,INDIRECT($B$5&amp;"生成成长"),4))/(VLOOKUP(DF$72,INDIRECT($C$5&amp;"生成成长"),5))*(VLOOKUP($B$5,标准坦克设计!$B$24:$U$30,MATCH("对"&amp;LEFT($C$5,2)&amp;"输出",标准坦克设计!$B$23:$U$23,0)))*(VLOOKUP($B197,INDIRECT($B$5&amp;"生成成长"),3))*(VLOOKUP($B$5,标准坦克设计!$B$14:$K$20,9)/30))</f>
        <v>22.806797160833707</v>
      </c>
      <c r="DG197" s="173">
        <f ca="1">(VLOOKUP(DG$72,INDIRECT($C$5&amp;"生成成长"),2))/((VLOOKUP($B197,INDIRECT($B$5&amp;"生成成长"),4))/(VLOOKUP(DG$72,INDIRECT($C$5&amp;"生成成长"),5))*(VLOOKUP($B$5,标准坦克设计!$B$24:$U$30,MATCH("对"&amp;LEFT($C$5,2)&amp;"输出",标准坦克设计!$B$23:$U$23,0)))*(VLOOKUP($B197,INDIRECT($B$5&amp;"生成成长"),3))*(VLOOKUP($B$5,标准坦克设计!$B$14:$K$20,9)/30))</f>
        <v>24.085438552763904</v>
      </c>
      <c r="DH197" s="173">
        <f ca="1">(VLOOKUP(DH$72,INDIRECT($C$5&amp;"生成成长"),2))/((VLOOKUP($B197,INDIRECT($B$5&amp;"生成成长"),4))/(VLOOKUP(DH$72,INDIRECT($C$5&amp;"生成成长"),5))*(VLOOKUP($B$5,标准坦克设计!$B$24:$U$30,MATCH("对"&amp;LEFT($C$5,2)&amp;"输出",标准坦克设计!$B$23:$U$23,0)))*(VLOOKUP($B197,INDIRECT($B$5&amp;"生成成长"),3))*(VLOOKUP($B$5,标准坦克设计!$B$14:$K$20,9)/30))</f>
        <v>25.398951982655834</v>
      </c>
      <c r="DI197" s="173">
        <f ca="1">(VLOOKUP(DI$72,INDIRECT($C$5&amp;"生成成长"),2))/((VLOOKUP($B197,INDIRECT($B$5&amp;"生成成长"),4))/(VLOOKUP(DI$72,INDIRECT($C$5&amp;"生成成长"),5))*(VLOOKUP($B$5,标准坦克设计!$B$24:$U$30,MATCH("对"&amp;LEFT($C$5,2)&amp;"输出",标准坦克设计!$B$23:$U$23,0)))*(VLOOKUP($B197,INDIRECT($B$5&amp;"生成成长"),3))*(VLOOKUP($B$5,标准坦克设计!$B$14:$K$20,9)/30))</f>
        <v>26.747337450509498</v>
      </c>
      <c r="DJ197" s="173">
        <f ca="1">(VLOOKUP(DJ$72,INDIRECT($C$5&amp;"生成成长"),2))/((VLOOKUP($B197,INDIRECT($B$5&amp;"生成成长"),4))/(VLOOKUP(DJ$72,INDIRECT($C$5&amp;"生成成长"),5))*(VLOOKUP($B$5,标准坦克设计!$B$24:$U$30,MATCH("对"&amp;LEFT($C$5,2)&amp;"输出",标准坦克设计!$B$23:$U$23,0)))*(VLOOKUP($B197,INDIRECT($B$5&amp;"生成成长"),3))*(VLOOKUP($B$5,标准坦克设计!$B$14:$K$20,9)/30))</f>
        <v>2.6881740096820339</v>
      </c>
      <c r="DK197" s="173">
        <f ca="1">(VLOOKUP(DK$72,INDIRECT($C$5&amp;"生成成长"),2))/((VLOOKUP($B197,INDIRECT($B$5&amp;"生成成长"),4))/(VLOOKUP(DK$72,INDIRECT($C$5&amp;"生成成长"),5))*(VLOOKUP($B$5,标准坦克设计!$B$24:$U$30,MATCH("对"&amp;LEFT($C$5,2)&amp;"输出",标准坦克设计!$B$23:$U$23,0)))*(VLOOKUP($B197,INDIRECT($B$5&amp;"生成成长"),3))*(VLOOKUP($B$5,标准坦克设计!$B$14:$K$20,9)/30))</f>
        <v>3.0227276238774063</v>
      </c>
      <c r="DL197" s="173">
        <f ca="1">(VLOOKUP(DL$72,INDIRECT($C$5&amp;"生成成长"),2))/((VLOOKUP($B197,INDIRECT($B$5&amp;"生成成长"),4))/(VLOOKUP(DL$72,INDIRECT($C$5&amp;"生成成长"),5))*(VLOOKUP($B$5,标准坦克设计!$B$24:$U$30,MATCH("对"&amp;LEFT($C$5,2)&amp;"输出",标准坦克设计!$B$23:$U$23,0)))*(VLOOKUP($B197,INDIRECT($B$5&amp;"生成成长"),3))*(VLOOKUP($B$5,标准坦克设计!$B$14:$K$20,9)/30))</f>
        <v>3.3768967594262524</v>
      </c>
      <c r="DM197" s="173">
        <f ca="1">(VLOOKUP(DM$72,INDIRECT($C$5&amp;"生成成长"),2))/((VLOOKUP($B197,INDIRECT($B$5&amp;"生成成长"),4))/(VLOOKUP(DM$72,INDIRECT($C$5&amp;"生成成长"),5))*(VLOOKUP($B$5,标准坦克设计!$B$24:$U$30,MATCH("对"&amp;LEFT($C$5,2)&amp;"输出",标准坦克设计!$B$23:$U$23,0)))*(VLOOKUP($B197,INDIRECT($B$5&amp;"生成成长"),3))*(VLOOKUP($B$5,标准坦克设计!$B$14:$K$20,9)/30))</f>
        <v>3.7506814163285744</v>
      </c>
      <c r="DN197" s="173">
        <f ca="1">(VLOOKUP(DN$72,INDIRECT($C$5&amp;"生成成长"),2))/((VLOOKUP($B197,INDIRECT($B$5&amp;"生成成长"),4))/(VLOOKUP(DN$72,INDIRECT($C$5&amp;"生成成长"),5))*(VLOOKUP($B$5,标准坦克设计!$B$24:$U$30,MATCH("对"&amp;LEFT($C$5,2)&amp;"输出",标准坦克设计!$B$23:$U$23,0)))*(VLOOKUP($B197,INDIRECT($B$5&amp;"生成成长"),3))*(VLOOKUP($B$5,标准坦克设计!$B$14:$K$20,9)/30))</f>
        <v>4.1440815945843701</v>
      </c>
      <c r="DO197" s="173">
        <f ca="1">(VLOOKUP(DO$72,INDIRECT($C$5&amp;"生成成长"),2))/((VLOOKUP($B197,INDIRECT($B$5&amp;"生成成长"),4))/(VLOOKUP(DO$72,INDIRECT($C$5&amp;"生成成长"),5))*(VLOOKUP($B$5,标准坦克设计!$B$24:$U$30,MATCH("对"&amp;LEFT($C$5,2)&amp;"输出",标准坦克设计!$B$23:$U$23,0)))*(VLOOKUP($B197,INDIRECT($B$5&amp;"生成成长"),3))*(VLOOKUP($B$5,标准坦克设计!$B$14:$K$20,9)/30))</f>
        <v>4.5570972941936407</v>
      </c>
      <c r="DP197" s="173">
        <f ca="1">(VLOOKUP(DP$72,INDIRECT($C$5&amp;"生成成长"),2))/((VLOOKUP($B197,INDIRECT($B$5&amp;"生成成长"),4))/(VLOOKUP(DP$72,INDIRECT($C$5&amp;"生成成长"),5))*(VLOOKUP($B$5,标准坦克设计!$B$24:$U$30,MATCH("对"&amp;LEFT($C$5,2)&amp;"输出",标准坦克设计!$B$23:$U$23,0)))*(VLOOKUP($B197,INDIRECT($B$5&amp;"生成成长"),3))*(VLOOKUP($B$5,标准坦克设计!$B$14:$K$20,9)/30))</f>
        <v>4.9897285151563873</v>
      </c>
      <c r="DQ197" s="173">
        <f ca="1">(VLOOKUP(DQ$72,INDIRECT($C$5&amp;"生成成长"),2))/((VLOOKUP($B197,INDIRECT($B$5&amp;"生成成长"),4))/(VLOOKUP(DQ$72,INDIRECT($C$5&amp;"生成成长"),5))*(VLOOKUP($B$5,标准坦克设计!$B$24:$U$30,MATCH("对"&amp;LEFT($C$5,2)&amp;"输出",标准坦克设计!$B$23:$U$23,0)))*(VLOOKUP($B197,INDIRECT($B$5&amp;"生成成长"),3))*(VLOOKUP($B$5,标准坦克设计!$B$14:$K$20,9)/30))</f>
        <v>5.4419752574726061</v>
      </c>
      <c r="DR197" s="173">
        <f ca="1">(VLOOKUP(DR$72,INDIRECT($C$5&amp;"生成成长"),2))/((VLOOKUP($B197,INDIRECT($B$5&amp;"生成成长"),4))/(VLOOKUP(DR$72,INDIRECT($C$5&amp;"生成成长"),5))*(VLOOKUP($B$5,标准坦克设计!$B$24:$U$30,MATCH("对"&amp;LEFT($C$5,2)&amp;"输出",标准坦克设计!$B$23:$U$23,0)))*(VLOOKUP($B197,INDIRECT($B$5&amp;"生成成长"),3))*(VLOOKUP($B$5,标准坦克设计!$B$14:$K$20,9)/30))</f>
        <v>5.9138375211423009</v>
      </c>
      <c r="DS197" s="173">
        <f ca="1">(VLOOKUP(DS$72,INDIRECT($C$5&amp;"生成成长"),2))/((VLOOKUP($B197,INDIRECT($B$5&amp;"生成成长"),4))/(VLOOKUP(DS$72,INDIRECT($C$5&amp;"生成成长"),5))*(VLOOKUP($B$5,标准坦克设计!$B$24:$U$30,MATCH("对"&amp;LEFT($C$5,2)&amp;"输出",标准坦克设计!$B$23:$U$23,0)))*(VLOOKUP($B197,INDIRECT($B$5&amp;"生成成长"),3))*(VLOOKUP($B$5,标准坦克设计!$B$14:$K$20,9)/30))</f>
        <v>6.4053153061654697</v>
      </c>
      <c r="DT197" s="173">
        <f ca="1">(VLOOKUP(DT$72,INDIRECT($C$5&amp;"生成成长"),2))/((VLOOKUP($B197,INDIRECT($B$5&amp;"生成成长"),4))/(VLOOKUP(DT$72,INDIRECT($C$5&amp;"生成成长"),5))*(VLOOKUP($B$5,标准坦克设计!$B$24:$U$30,MATCH("对"&amp;LEFT($C$5,2)&amp;"输出",标准坦克设计!$B$23:$U$23,0)))*(VLOOKUP($B197,INDIRECT($B$5&amp;"生成成长"),3))*(VLOOKUP($B$5,标准坦克设计!$B$14:$K$20,9)/30))</f>
        <v>7.032648739081222</v>
      </c>
      <c r="DU197" s="173">
        <f ca="1">(VLOOKUP(DU$72,INDIRECT($C$5&amp;"生成成长"),2))/((VLOOKUP($B197,INDIRECT($B$5&amp;"生成成长"),4))/(VLOOKUP(DU$72,INDIRECT($C$5&amp;"生成成长"),5))*(VLOOKUP($B$5,标准坦克设计!$B$24:$U$30,MATCH("对"&amp;LEFT($C$5,2)&amp;"输出",标准坦克设计!$B$23:$U$23,0)))*(VLOOKUP($B197,INDIRECT($B$5&amp;"生成成长"),3))*(VLOOKUP($B$5,标准坦克设计!$B$14:$K$20,9)/30))</f>
        <v>7.6892843705620422</v>
      </c>
      <c r="DV197" s="173">
        <f ca="1">(VLOOKUP(DV$72,INDIRECT($C$5&amp;"生成成长"),2))/((VLOOKUP($B197,INDIRECT($B$5&amp;"生成成长"),4))/(VLOOKUP(DV$72,INDIRECT($C$5&amp;"生成成长"),5))*(VLOOKUP($B$5,标准坦克设计!$B$24:$U$30,MATCH("对"&amp;LEFT($C$5,2)&amp;"输出",标准坦克设计!$B$23:$U$23,0)))*(VLOOKUP($B197,INDIRECT($B$5&amp;"生成成长"),3))*(VLOOKUP($B$5,标准坦克设计!$B$14:$K$20,9)/30))</f>
        <v>8.3752222006079275</v>
      </c>
      <c r="DW197" s="173">
        <f ca="1">(VLOOKUP(DW$72,INDIRECT($C$5&amp;"生成成长"),2))/((VLOOKUP($B197,INDIRECT($B$5&amp;"生成成长"),4))/(VLOOKUP(DW$72,INDIRECT($C$5&amp;"生成成长"),5))*(VLOOKUP($B$5,标准坦克设计!$B$24:$U$30,MATCH("对"&amp;LEFT($C$5,2)&amp;"输出",标准坦克设计!$B$23:$U$23,0)))*(VLOOKUP($B197,INDIRECT($B$5&amp;"生成成长"),3))*(VLOOKUP($B$5,标准坦克设计!$B$14:$K$20,9)/30))</f>
        <v>9.0904622292188826</v>
      </c>
      <c r="DX197" s="173">
        <f ca="1">(VLOOKUP(DX$72,INDIRECT($C$5&amp;"生成成长"),2))/((VLOOKUP($B197,INDIRECT($B$5&amp;"生成成长"),4))/(VLOOKUP(DX$72,INDIRECT($C$5&amp;"生成成长"),5))*(VLOOKUP($B$5,标准坦克设计!$B$24:$U$30,MATCH("对"&amp;LEFT($C$5,2)&amp;"输出",标准坦克设计!$B$23:$U$23,0)))*(VLOOKUP($B197,INDIRECT($B$5&amp;"生成成长"),3))*(VLOOKUP($B$5,标准坦克设计!$B$14:$K$20,9)/30))</f>
        <v>9.8350044563949002</v>
      </c>
      <c r="DY197" s="173">
        <f ca="1">(VLOOKUP(DY$72,INDIRECT($C$5&amp;"生成成长"),2))/((VLOOKUP($B197,INDIRECT($B$5&amp;"生成成长"),4))/(VLOOKUP(DY$72,INDIRECT($C$5&amp;"生成成长"),5))*(VLOOKUP($B$5,标准坦克设计!$B$24:$U$30,MATCH("对"&amp;LEFT($C$5,2)&amp;"输出",标准坦克设计!$B$23:$U$23,0)))*(VLOOKUP($B197,INDIRECT($B$5&amp;"生成成长"),3))*(VLOOKUP($B$5,标准坦克设计!$B$14:$K$20,9)/30))</f>
        <v>4.4172458919512767</v>
      </c>
      <c r="DZ197" s="173">
        <f ca="1">(VLOOKUP(DZ$72,INDIRECT($C$5&amp;"生成成长"),2))/((VLOOKUP($B197,INDIRECT($B$5&amp;"生成成长"),4))/(VLOOKUP(DZ$72,INDIRECT($C$5&amp;"生成成长"),5))*(VLOOKUP($B$5,标准坦克设计!$B$24:$U$30,MATCH("对"&amp;LEFT($C$5,2)&amp;"输出",标准坦克设计!$B$23:$U$23,0)))*(VLOOKUP($B197,INDIRECT($B$5&amp;"生成成长"),3))*(VLOOKUP($B$5,标准坦克设计!$B$14:$K$20,9)/30))</f>
        <v>4.8918930753193024</v>
      </c>
      <c r="EA197" s="173">
        <f ca="1">(VLOOKUP(EA$72,INDIRECT($C$5&amp;"生成成长"),2))/((VLOOKUP($B197,INDIRECT($B$5&amp;"生成成长"),4))/(VLOOKUP(EA$72,INDIRECT($C$5&amp;"生成成长"),5))*(VLOOKUP($B$5,标准坦克设计!$B$24:$U$30,MATCH("对"&amp;LEFT($C$5,2)&amp;"输出",标准坦克设计!$B$23:$U$23,0)))*(VLOOKUP($B197,INDIRECT($B$5&amp;"生成成长"),3))*(VLOOKUP($B$5,标准坦克设计!$B$14:$K$20,9)/30))</f>
        <v>5.3907569517163108</v>
      </c>
      <c r="EB197" s="173">
        <f ca="1">(VLOOKUP(EB$72,INDIRECT($C$5&amp;"生成成长"),2))/((VLOOKUP($B197,INDIRECT($B$5&amp;"生成成长"),4))/(VLOOKUP(EB$72,INDIRECT($C$5&amp;"生成成长"),5))*(VLOOKUP($B$5,标准坦克设计!$B$24:$U$30,MATCH("对"&amp;LEFT($C$5,2)&amp;"输出",标准坦克设计!$B$23:$U$23,0)))*(VLOOKUP($B197,INDIRECT($B$5&amp;"生成成长"),3))*(VLOOKUP($B$5,标准坦克设计!$B$14:$K$20,9)/30))</f>
        <v>5.9138375211423009</v>
      </c>
      <c r="EC197" s="173">
        <f ca="1">(VLOOKUP(EC$72,INDIRECT($C$5&amp;"生成成长"),2))/((VLOOKUP($B197,INDIRECT($B$5&amp;"生成成长"),4))/(VLOOKUP(EC$72,INDIRECT($C$5&amp;"生成成长"),5))*(VLOOKUP($B$5,标准坦克设计!$B$24:$U$30,MATCH("对"&amp;LEFT($C$5,2)&amp;"输出",标准坦克设计!$B$23:$U$23,0)))*(VLOOKUP($B197,INDIRECT($B$5&amp;"生成成长"),3))*(VLOOKUP($B$5,标准坦克设计!$B$14:$K$20,9)/30))</f>
        <v>6.461134783597271</v>
      </c>
      <c r="ED197" s="173">
        <f ca="1">(VLOOKUP(ED$72,INDIRECT($C$5&amp;"生成成长"),2))/((VLOOKUP($B197,INDIRECT($B$5&amp;"生成成长"),4))/(VLOOKUP(ED$72,INDIRECT($C$5&amp;"生成成长"),5))*(VLOOKUP($B$5,标准坦克设计!$B$24:$U$30,MATCH("对"&amp;LEFT($C$5,2)&amp;"输出",标准坦克设计!$B$23:$U$23,0)))*(VLOOKUP($B197,INDIRECT($B$5&amp;"生成成长"),3))*(VLOOKUP($B$5,标准坦克设计!$B$14:$K$20,9)/30))</f>
        <v>7.032648739081222</v>
      </c>
      <c r="EE197" s="173">
        <f ca="1">(VLOOKUP(EE$72,INDIRECT($C$5&amp;"生成成长"),2))/((VLOOKUP($B197,INDIRECT($B$5&amp;"生成成长"),4))/(VLOOKUP(EE$72,INDIRECT($C$5&amp;"生成成长"),5))*(VLOOKUP($B$5,标准坦克设计!$B$24:$U$30,MATCH("对"&amp;LEFT($C$5,2)&amp;"输出",标准坦克设计!$B$23:$U$23,0)))*(VLOOKUP($B197,INDIRECT($B$5&amp;"生成成长"),3))*(VLOOKUP($B$5,标准坦克设计!$B$14:$K$20,9)/30))</f>
        <v>7.6283793875941539</v>
      </c>
      <c r="EF197" s="173">
        <f ca="1">(VLOOKUP(EF$72,INDIRECT($C$5&amp;"生成成长"),2))/((VLOOKUP($B197,INDIRECT($B$5&amp;"生成成长"),4))/(VLOOKUP(EF$72,INDIRECT($C$5&amp;"生成成长"),5))*(VLOOKUP($B$5,标准坦克设计!$B$24:$U$30,MATCH("对"&amp;LEFT($C$5,2)&amp;"输出",标准坦克设计!$B$23:$U$23,0)))*(VLOOKUP($B197,INDIRECT($B$5&amp;"生成成长"),3))*(VLOOKUP($B$5,标准坦克设计!$B$14:$K$20,9)/30))</f>
        <v>8.2483267291360676</v>
      </c>
      <c r="EG197" s="173">
        <f ca="1">(VLOOKUP(EG$72,INDIRECT($C$5&amp;"生成成长"),2))/((VLOOKUP($B197,INDIRECT($B$5&amp;"生成成长"),4))/(VLOOKUP(EG$72,INDIRECT($C$5&amp;"生成成长"),5))*(VLOOKUP($B$5,标准坦克设计!$B$24:$U$30,MATCH("对"&amp;LEFT($C$5,2)&amp;"输出",标准坦克设计!$B$23:$U$23,0)))*(VLOOKUP($B197,INDIRECT($B$5&amp;"生成成长"),3))*(VLOOKUP($B$5,标准坦克设计!$B$14:$K$20,9)/30))</f>
        <v>8.8924907637069612</v>
      </c>
      <c r="EH197" s="173">
        <f ca="1">(VLOOKUP(EH$72,INDIRECT($C$5&amp;"生成成长"),2))/((VLOOKUP($B197,INDIRECT($B$5&amp;"生成成长"),4))/(VLOOKUP(EH$72,INDIRECT($C$5&amp;"生成成长"),5))*(VLOOKUP($B$5,标准坦克设计!$B$24:$U$30,MATCH("对"&amp;LEFT($C$5,2)&amp;"输出",标准坦克设计!$B$23:$U$23,0)))*(VLOOKUP($B197,INDIRECT($B$5&amp;"生成成长"),3))*(VLOOKUP($B$5,标准坦克设计!$B$14:$K$20,9)/30))</f>
        <v>9.5608714913068358</v>
      </c>
      <c r="EI197" s="173">
        <f ca="1">(VLOOKUP(EI$72,INDIRECT($C$5&amp;"生成成长"),2))/((VLOOKUP($B197,INDIRECT($B$5&amp;"生成成长"),4))/(VLOOKUP(EI$72,INDIRECT($C$5&amp;"生成成长"),5))*(VLOOKUP($B$5,标准坦克设计!$B$24:$U$30,MATCH("对"&amp;LEFT($C$5,2)&amp;"输出",标准坦克设计!$B$23:$U$23,0)))*(VLOOKUP($B197,INDIRECT($B$5&amp;"生成成长"),3))*(VLOOKUP($B$5,标准坦克设计!$B$14:$K$20,9)/30))</f>
        <v>10.253468911935693</v>
      </c>
      <c r="EJ197" s="173">
        <f ca="1">(VLOOKUP(EJ$72,INDIRECT($C$5&amp;"生成成长"),2))/((VLOOKUP($B197,INDIRECT($B$5&amp;"生成成长"),4))/(VLOOKUP(EJ$72,INDIRECT($C$5&amp;"生成成长"),5))*(VLOOKUP($B$5,标准坦克设计!$B$24:$U$30,MATCH("对"&amp;LEFT($C$5,2)&amp;"输出",标准坦克设计!$B$23:$U$23,0)))*(VLOOKUP($B197,INDIRECT($B$5&amp;"生成成长"),3))*(VLOOKUP($B$5,标准坦克设计!$B$14:$K$20,9)/30))</f>
        <v>10.970283025593529</v>
      </c>
      <c r="EK197" s="173">
        <f ca="1">(VLOOKUP(EK$72,INDIRECT($C$5&amp;"生成成长"),2))/((VLOOKUP($B197,INDIRECT($B$5&amp;"生成成长"),4))/(VLOOKUP(EK$72,INDIRECT($C$5&amp;"生成成长"),5))*(VLOOKUP($B$5,标准坦克设计!$B$24:$U$30,MATCH("对"&amp;LEFT($C$5,2)&amp;"输出",标准坦克设计!$B$23:$U$23,0)))*(VLOOKUP($B197,INDIRECT($B$5&amp;"生成成长"),3))*(VLOOKUP($B$5,标准坦克设计!$B$14:$K$20,9)/30))</f>
        <v>11.862425996781189</v>
      </c>
      <c r="EL197" s="173">
        <f ca="1">(VLOOKUP(EL$72,INDIRECT($C$5&amp;"生成成长"),2))/((VLOOKUP($B197,INDIRECT($B$5&amp;"生成成长"),4))/(VLOOKUP(EL$72,INDIRECT($C$5&amp;"生成成长"),5))*(VLOOKUP($B$5,标准坦克设计!$B$24:$U$30,MATCH("对"&amp;LEFT($C$5,2)&amp;"输出",标准坦克设计!$B$23:$U$23,0)))*(VLOOKUP($B197,INDIRECT($B$5&amp;"生成成长"),3))*(VLOOKUP($B$5,标准坦克设计!$B$14:$K$20,9)/30))</f>
        <v>12.789441005930581</v>
      </c>
      <c r="EM197" s="173">
        <f ca="1">(VLOOKUP(EM$72,INDIRECT($C$5&amp;"生成成长"),2))/((VLOOKUP($B197,INDIRECT($B$5&amp;"生成成长"),4))/(VLOOKUP(EM$72,INDIRECT($C$5&amp;"生成成长"),5))*(VLOOKUP($B$5,标准坦克设计!$B$24:$U$30,MATCH("对"&amp;LEFT($C$5,2)&amp;"输出",标准坦克设计!$B$23:$U$23,0)))*(VLOOKUP($B197,INDIRECT($B$5&amp;"生成成长"),3))*(VLOOKUP($B$5,标准坦克设计!$B$14:$K$20,9)/30))</f>
        <v>13.751328053041707</v>
      </c>
      <c r="EN197" s="173">
        <f ca="1">(VLOOKUP(EN$72,INDIRECT($C$5&amp;"生成成长"),2))/((VLOOKUP($B197,INDIRECT($B$5&amp;"生成成长"),4))/(VLOOKUP(EN$72,INDIRECT($C$5&amp;"生成成长"),5))*(VLOOKUP($B$5,标准坦克设计!$B$24:$U$30,MATCH("对"&amp;LEFT($C$5,2)&amp;"输出",标准坦克设计!$B$23:$U$23,0)))*(VLOOKUP($B197,INDIRECT($B$5&amp;"生成成长"),3))*(VLOOKUP($B$5,标准坦克设计!$B$14:$K$20,9)/30))</f>
        <v>14.748087138114563</v>
      </c>
      <c r="EO197" s="173">
        <f ca="1">(VLOOKUP(EO$72,INDIRECT($C$5&amp;"生成成长"),2))/((VLOOKUP($B197,INDIRECT($B$5&amp;"生成成长"),4))/(VLOOKUP(EO$72,INDIRECT($C$5&amp;"生成成长"),5))*(VLOOKUP($B$5,标准坦克设计!$B$24:$U$30,MATCH("对"&amp;LEFT($C$5,2)&amp;"输出",标准坦克设计!$B$23:$U$23,0)))*(VLOOKUP($B197,INDIRECT($B$5&amp;"生成成长"),3))*(VLOOKUP($B$5,标准坦克设计!$B$14:$K$20,9)/30))</f>
        <v>15.779718261149153</v>
      </c>
      <c r="EP197" s="173">
        <f ca="1">(VLOOKUP(EP$72,INDIRECT($C$5&amp;"生成成长"),2))/((VLOOKUP($B197,INDIRECT($B$5&amp;"生成成长"),4))/(VLOOKUP(EP$72,INDIRECT($C$5&amp;"生成成长"),5))*(VLOOKUP($B$5,标准坦克设计!$B$24:$U$30,MATCH("对"&amp;LEFT($C$5,2)&amp;"输出",标准坦克设计!$B$23:$U$23,0)))*(VLOOKUP($B197,INDIRECT($B$5&amp;"生成成长"),3))*(VLOOKUP($B$5,标准坦克设计!$B$14:$K$20,9)/30))</f>
        <v>16.846221422145476</v>
      </c>
      <c r="EQ197" s="173">
        <f ca="1">(VLOOKUP(EQ$72,INDIRECT($C$5&amp;"生成成长"),2))/((VLOOKUP($B197,INDIRECT($B$5&amp;"生成成长"),4))/(VLOOKUP(EQ$72,INDIRECT($C$5&amp;"生成成长"),5))*(VLOOKUP($B$5,标准坦克设计!$B$24:$U$30,MATCH("对"&amp;LEFT($C$5,2)&amp;"输出",标准坦克设计!$B$23:$U$23,0)))*(VLOOKUP($B197,INDIRECT($B$5&amp;"生成成长"),3))*(VLOOKUP($B$5,标准坦克设计!$B$14:$K$20,9)/30))</f>
        <v>7.4471174402722324</v>
      </c>
      <c r="ER197" s="173">
        <f ca="1">(VLOOKUP(ER$72,INDIRECT($C$5&amp;"生成成长"),2))/((VLOOKUP($B197,INDIRECT($B$5&amp;"生成成长"),4))/(VLOOKUP(ER$72,INDIRECT($C$5&amp;"生成成长"),5))*(VLOOKUP($B$5,标准坦克设计!$B$24:$U$30,MATCH("对"&amp;LEFT($C$5,2)&amp;"输出",标准坦克设计!$B$23:$U$23,0)))*(VLOOKUP($B197,INDIRECT($B$5&amp;"生成成长"),3))*(VLOOKUP($B$5,标准坦克设计!$B$14:$K$20,9)/30))</f>
        <v>8.1223999253853663</v>
      </c>
      <c r="ES197" s="173">
        <f ca="1">(VLOOKUP(ES$72,INDIRECT($C$5&amp;"生成成长"),2))/((VLOOKUP($B197,INDIRECT($B$5&amp;"生成成长"),4))/(VLOOKUP(ES$72,INDIRECT($C$5&amp;"生成成长"),5))*(VLOOKUP($B$5,标准坦克设计!$B$24:$U$30,MATCH("对"&amp;LEFT($C$5,2)&amp;"输出",标准坦克设计!$B$23:$U$23,0)))*(VLOOKUP($B197,INDIRECT($B$5&amp;"生成成长"),3))*(VLOOKUP($B$5,标准坦克设计!$B$14:$K$20,9)/30))</f>
        <v>8.8269846090635671</v>
      </c>
      <c r="ET197" s="173">
        <f ca="1">(VLOOKUP(ET$72,INDIRECT($C$5&amp;"生成成长"),2))/((VLOOKUP($B197,INDIRECT($B$5&amp;"生成成长"),4))/(VLOOKUP(ET$72,INDIRECT($C$5&amp;"生成成长"),5))*(VLOOKUP($B$5,标准坦克设计!$B$24:$U$30,MATCH("对"&amp;LEFT($C$5,2)&amp;"输出",标准坦克设计!$B$23:$U$23,0)))*(VLOOKUP($B197,INDIRECT($B$5&amp;"生成成长"),3))*(VLOOKUP($B$5,标准坦克设计!$B$14:$K$20,9)/30))</f>
        <v>9.5608714913068358</v>
      </c>
      <c r="EU197" s="173">
        <f ca="1">(VLOOKUP(EU$72,INDIRECT($C$5&amp;"生成成长"),2))/((VLOOKUP($B197,INDIRECT($B$5&amp;"生成成长"),4))/(VLOOKUP(EU$72,INDIRECT($C$5&amp;"生成成长"),5))*(VLOOKUP($B$5,标准坦克设计!$B$24:$U$30,MATCH("对"&amp;LEFT($C$5,2)&amp;"输出",标准坦克设计!$B$23:$U$23,0)))*(VLOOKUP($B197,INDIRECT($B$5&amp;"生成成长"),3))*(VLOOKUP($B$5,标准坦克设计!$B$14:$K$20,9)/30))</f>
        <v>10.324060572115172</v>
      </c>
      <c r="EV197" s="173">
        <f ca="1">(VLOOKUP(EV$72,INDIRECT($C$5&amp;"生成成长"),2))/((VLOOKUP($B197,INDIRECT($B$5&amp;"生成成长"),4))/(VLOOKUP(EV$72,INDIRECT($C$5&amp;"生成成长"),5))*(VLOOKUP($B$5,标准坦克设计!$B$24:$U$30,MATCH("对"&amp;LEFT($C$5,2)&amp;"输出",标准坦克设计!$B$23:$U$23,0)))*(VLOOKUP($B197,INDIRECT($B$5&amp;"生成成长"),3))*(VLOOKUP($B$5,标准坦克设计!$B$14:$K$20,9)/30))</f>
        <v>11.116551851488577</v>
      </c>
      <c r="EW197" s="173">
        <f ca="1">(VLOOKUP(EW$72,INDIRECT($C$5&amp;"生成成长"),2))/((VLOOKUP($B197,INDIRECT($B$5&amp;"生成成长"),4))/(VLOOKUP(EW$72,INDIRECT($C$5&amp;"生成成长"),5))*(VLOOKUP($B$5,标准坦克设计!$B$24:$U$30,MATCH("对"&amp;LEFT($C$5,2)&amp;"输出",标准坦克设计!$B$23:$U$23,0)))*(VLOOKUP($B197,INDIRECT($B$5&amp;"生成成长"),3))*(VLOOKUP($B$5,标准坦克设计!$B$14:$K$20,9)/30))</f>
        <v>11.938345329427044</v>
      </c>
      <c r="EX197" s="173">
        <f ca="1">(VLOOKUP(EX$72,INDIRECT($C$5&amp;"生成成长"),2))/((VLOOKUP($B197,INDIRECT($B$5&amp;"生成成长"),4))/(VLOOKUP(EX$72,INDIRECT($C$5&amp;"生成成长"),5))*(VLOOKUP($B$5,标准坦克设计!$B$24:$U$30,MATCH("对"&amp;LEFT($C$5,2)&amp;"输出",标准坦克设计!$B$23:$U$23,0)))*(VLOOKUP($B197,INDIRECT($B$5&amp;"生成成长"),3))*(VLOOKUP($B$5,标准坦克设计!$B$14:$K$20,9)/30))</f>
        <v>12.789441005930581</v>
      </c>
      <c r="EY197" s="173">
        <f ca="1">(VLOOKUP(EY$72,INDIRECT($C$5&amp;"生成成长"),2))/((VLOOKUP($B197,INDIRECT($B$5&amp;"生成成长"),4))/(VLOOKUP(EY$72,INDIRECT($C$5&amp;"生成成长"),5))*(VLOOKUP($B$5,标准坦克设计!$B$24:$U$30,MATCH("对"&amp;LEFT($C$5,2)&amp;"输出",标准坦克设计!$B$23:$U$23,0)))*(VLOOKUP($B197,INDIRECT($B$5&amp;"生成成长"),3))*(VLOOKUP($B$5,标准坦克设计!$B$14:$K$20,9)/30))</f>
        <v>13.669838880999187</v>
      </c>
      <c r="EZ197" s="173">
        <f ca="1">(VLOOKUP(EZ$72,INDIRECT($C$5&amp;"生成成长"),2))/((VLOOKUP($B197,INDIRECT($B$5&amp;"生成成长"),4))/(VLOOKUP(EZ$72,INDIRECT($C$5&amp;"生成成长"),5))*(VLOOKUP($B$5,标准坦克设计!$B$24:$U$30,MATCH("对"&amp;LEFT($C$5,2)&amp;"输出",标准坦克设计!$B$23:$U$23,0)))*(VLOOKUP($B197,INDIRECT($B$5&amp;"生成成长"),3))*(VLOOKUP($B$5,标准坦克设计!$B$14:$K$20,9)/30))</f>
        <v>14.579538954632856</v>
      </c>
      <c r="FA197" s="173">
        <f ca="1">(VLOOKUP(FA$72,INDIRECT($C$5&amp;"生成成长"),2))/((VLOOKUP($B197,INDIRECT($B$5&amp;"生成成长"),4))/(VLOOKUP(FA$72,INDIRECT($C$5&amp;"生成成长"),5))*(VLOOKUP($B$5,标准坦克设计!$B$24:$U$30,MATCH("对"&amp;LEFT($C$5,2)&amp;"输出",标准坦克设计!$B$23:$U$23,0)))*(VLOOKUP($B197,INDIRECT($B$5&amp;"生成成长"),3))*(VLOOKUP($B$5,标准坦克设计!$B$14:$K$20,9)/30))</f>
        <v>15.518541226831593</v>
      </c>
      <c r="FB197" s="173">
        <f ca="1">(VLOOKUP(FB$72,INDIRECT($C$5&amp;"生成成长"),2))/((VLOOKUP($B197,INDIRECT($B$5&amp;"生成成长"),4))/(VLOOKUP(FB$72,INDIRECT($C$5&amp;"生成成长"),5))*(VLOOKUP($B$5,标准坦克设计!$B$24:$U$30,MATCH("对"&amp;LEFT($C$5,2)&amp;"输出",标准坦克设计!$B$23:$U$23,0)))*(VLOOKUP($B197,INDIRECT($B$5&amp;"生成成长"),3))*(VLOOKUP($B$5,标准坦克设计!$B$14:$K$20,9)/30))</f>
        <v>16.486845697595395</v>
      </c>
      <c r="FC197" s="173">
        <f ca="1">(VLOOKUP(FC$72,INDIRECT($C$5&amp;"生成成长"),2))/((VLOOKUP($B197,INDIRECT($B$5&amp;"生成成长"),4))/(VLOOKUP(FC$72,INDIRECT($C$5&amp;"生成成长"),5))*(VLOOKUP($B$5,标准坦克设计!$B$24:$U$30,MATCH("对"&amp;LEFT($C$5,2)&amp;"输出",标准坦克设计!$B$23:$U$23,0)))*(VLOOKUP($B197,INDIRECT($B$5&amp;"生成成长"),3))*(VLOOKUP($B$5,标准坦克设计!$B$14:$K$20,9)/30))</f>
        <v>17.48445236692427</v>
      </c>
      <c r="FD197" s="173">
        <f ca="1">(VLOOKUP(FD$72,INDIRECT($C$5&amp;"生成成长"),2))/((VLOOKUP($B197,INDIRECT($B$5&amp;"生成成长"),4))/(VLOOKUP(FD$72,INDIRECT($C$5&amp;"生成成长"),5))*(VLOOKUP($B$5,标准坦克设计!$B$24:$U$30,MATCH("对"&amp;LEFT($C$5,2)&amp;"输出",标准坦克设计!$B$23:$U$23,0)))*(VLOOKUP($B197,INDIRECT($B$5&amp;"生成成长"),3))*(VLOOKUP($B$5,标准坦克设计!$B$14:$K$20,9)/30))</f>
        <v>18.51136123481821</v>
      </c>
      <c r="FE197" s="173">
        <f ca="1">(VLOOKUP(FE$72,INDIRECT($C$5&amp;"生成成长"),2))/((VLOOKUP($B197,INDIRECT($B$5&amp;"生成成长"),4))/(VLOOKUP(FE$72,INDIRECT($C$5&amp;"生成成长"),5))*(VLOOKUP($B$5,标准坦克设计!$B$24:$U$30,MATCH("对"&amp;LEFT($C$5,2)&amp;"输出",标准坦克设计!$B$23:$U$23,0)))*(VLOOKUP($B197,INDIRECT($B$5&amp;"生成成长"),3))*(VLOOKUP($B$5,标准坦克设计!$B$14:$K$20,9)/30))</f>
        <v>19.762758847090801</v>
      </c>
      <c r="FF197" s="173">
        <f ca="1">(VLOOKUP(FF$72,INDIRECT($C$5&amp;"生成成长"),2))/((VLOOKUP($B197,INDIRECT($B$5&amp;"生成成长"),4))/(VLOOKUP(FF$72,INDIRECT($C$5&amp;"生成成长"),5))*(VLOOKUP($B$5,标准坦克设计!$B$24:$U$30,MATCH("对"&amp;LEFT($C$5,2)&amp;"输出",标准坦克设计!$B$23:$U$23,0)))*(VLOOKUP($B197,INDIRECT($B$5&amp;"生成成长"),3))*(VLOOKUP($B$5,标准坦克设计!$B$14:$K$20,9)/30))</f>
        <v>21.055082670582369</v>
      </c>
      <c r="FG197" s="173">
        <f ca="1">(VLOOKUP(FG$72,INDIRECT($C$5&amp;"生成成长"),2))/((VLOOKUP($B197,INDIRECT($B$5&amp;"生成成长"),4))/(VLOOKUP(FG$72,INDIRECT($C$5&amp;"生成成长"),5))*(VLOOKUP($B$5,标准坦克设计!$B$24:$U$30,MATCH("对"&amp;LEFT($C$5,2)&amp;"输出",标准坦克设计!$B$23:$U$23,0)))*(VLOOKUP($B197,INDIRECT($B$5&amp;"生成成长"),3))*(VLOOKUP($B$5,标准坦克设计!$B$14:$K$20,9)/30))</f>
        <v>22.388332705292914</v>
      </c>
      <c r="FH197" s="173">
        <f ca="1">(VLOOKUP(FH$72,INDIRECT($C$5&amp;"生成成长"),2))/((VLOOKUP($B197,INDIRECT($B$5&amp;"生成成长"),4))/(VLOOKUP(FH$72,INDIRECT($C$5&amp;"生成成长"),5))*(VLOOKUP($B$5,标准坦克设计!$B$24:$U$30,MATCH("对"&amp;LEFT($C$5,2)&amp;"输出",标准坦克设计!$B$23:$U$23,0)))*(VLOOKUP($B197,INDIRECT($B$5&amp;"生成成长"),3))*(VLOOKUP($B$5,标准坦克设计!$B$14:$K$20,9)/30))</f>
        <v>23.762508951222443</v>
      </c>
      <c r="FI197" s="173">
        <f ca="1">(VLOOKUP(FI$72,INDIRECT($C$5&amp;"生成成长"),2))/((VLOOKUP($B197,INDIRECT($B$5&amp;"生成成长"),4))/(VLOOKUP(FI$72,INDIRECT($C$5&amp;"生成成长"),5))*(VLOOKUP($B$5,标准坦克设计!$B$24:$U$30,MATCH("对"&amp;LEFT($C$5,2)&amp;"输出",标准坦克设计!$B$23:$U$23,0)))*(VLOOKUP($B197,INDIRECT($B$5&amp;"生成成长"),3))*(VLOOKUP($B$5,标准坦克设计!$B$14:$K$20,9)/30))</f>
        <v>25.17761140837095</v>
      </c>
      <c r="FJ197" s="173">
        <f ca="1">(VLOOKUP(FJ$72,INDIRECT($C$5&amp;"生成成长"),2))/((VLOOKUP($B197,INDIRECT($B$5&amp;"生成成长"),4))/(VLOOKUP(FJ$72,INDIRECT($C$5&amp;"生成成长"),5))*(VLOOKUP($B$5,标准坦克设计!$B$24:$U$30,MATCH("对"&amp;LEFT($C$5,2)&amp;"输出",标准坦克设计!$B$23:$U$23,0)))*(VLOOKUP($B197,INDIRECT($B$5&amp;"生成成长"),3))*(VLOOKUP($B$5,标准坦克设计!$B$14:$K$20,9)/30))</f>
        <v>26.63364007673843</v>
      </c>
      <c r="FK197" s="173">
        <f ca="1">(VLOOKUP(FK$72,INDIRECT($C$5&amp;"生成成长"),2))/((VLOOKUP($B197,INDIRECT($B$5&amp;"生成成长"),4))/(VLOOKUP(FK$72,INDIRECT($C$5&amp;"生成成长"),5))*(VLOOKUP($B$5,标准坦克设计!$B$24:$U$30,MATCH("对"&amp;LEFT($C$5,2)&amp;"输出",标准坦克设计!$B$23:$U$23,0)))*(VLOOKUP($B197,INDIRECT($B$5&amp;"生成成长"),3))*(VLOOKUP($B$5,标准坦克设计!$B$14:$K$20,9)/30))</f>
        <v>28.130594956324888</v>
      </c>
    </row>
    <row r="198" spans="1:167" x14ac:dyDescent="0.15">
      <c r="A198" s="171" t="str">
        <f t="shared" si="12"/>
        <v>T3高品质15级</v>
      </c>
      <c r="B198" s="172">
        <v>30315</v>
      </c>
      <c r="C198" s="173">
        <f ca="1">(VLOOKUP(C$72,INDIRECT($C$5&amp;"生成成长"),2))/((VLOOKUP($B198,INDIRECT($B$5&amp;"生成成长"),4))/(VLOOKUP(C$72,INDIRECT($C$5&amp;"生成成长"),5))*(VLOOKUP($B$5,标准坦克设计!$B$24:$U$30,MATCH("对"&amp;LEFT($C$5,2)&amp;"输出",标准坦克设计!$B$23:$U$23,0)))*(VLOOKUP($B198,INDIRECT($B$5&amp;"生成成长"),3))*(VLOOKUP($B$5,标准坦克设计!$B$14:$K$20,9)/30))</f>
        <v>1.1179469108950399</v>
      </c>
      <c r="D198" s="173">
        <f ca="1">(VLOOKUP(D$72,INDIRECT($C$5&amp;"生成成长"),2))/((VLOOKUP($B198,INDIRECT($B$5&amp;"生成成长"),4))/(VLOOKUP(D$72,INDIRECT($C$5&amp;"生成成长"),5))*(VLOOKUP($B$5,标准坦克设计!$B$24:$U$30,MATCH("对"&amp;LEFT($C$5,2)&amp;"输出",标准坦克设计!$B$23:$U$23,0)))*(VLOOKUP($B198,INDIRECT($B$5&amp;"生成成长"),3))*(VLOOKUP($B$5,标准坦克设计!$B$14:$K$20,9)/30))</f>
        <v>1.2561251490816669</v>
      </c>
      <c r="E198" s="173">
        <f ca="1">(VLOOKUP(E$72,INDIRECT($C$5&amp;"生成成长"),2))/((VLOOKUP($B198,INDIRECT($B$5&amp;"生成成长"),4))/(VLOOKUP(E$72,INDIRECT($C$5&amp;"生成成长"),5))*(VLOOKUP($B$5,标准坦克设计!$B$24:$U$30,MATCH("对"&amp;LEFT($C$5,2)&amp;"输出",标准坦克设计!$B$23:$U$23,0)))*(VLOOKUP($B198,INDIRECT($B$5&amp;"生成成长"),3))*(VLOOKUP($B$5,标准坦克设计!$B$14:$K$20,9)/30))</f>
        <v>1.4023526050267379</v>
      </c>
      <c r="F198" s="173">
        <f ca="1">(VLOOKUP(F$72,INDIRECT($C$5&amp;"生成成长"),2))/((VLOOKUP($B198,INDIRECT($B$5&amp;"生成成长"),4))/(VLOOKUP(F$72,INDIRECT($C$5&amp;"生成成长"),5))*(VLOOKUP($B$5,标准坦克设计!$B$24:$U$30,MATCH("对"&amp;LEFT($C$5,2)&amp;"输出",标准坦克设计!$B$23:$U$23,0)))*(VLOOKUP($B198,INDIRECT($B$5&amp;"生成成长"),3))*(VLOOKUP($B$5,标准坦克设计!$B$14:$K$20,9)/30))</f>
        <v>1.5566292787302538</v>
      </c>
      <c r="G198" s="173">
        <f ca="1">(VLOOKUP(G$72,INDIRECT($C$5&amp;"生成成长"),2))/((VLOOKUP($B198,INDIRECT($B$5&amp;"生成成长"),4))/(VLOOKUP(G$72,INDIRECT($C$5&amp;"生成成长"),5))*(VLOOKUP($B$5,标准坦克设计!$B$24:$U$30,MATCH("对"&amp;LEFT($C$5,2)&amp;"输出",标准坦克设计!$B$23:$U$23,0)))*(VLOOKUP($B198,INDIRECT($B$5&amp;"生成成长"),3))*(VLOOKUP($B$5,标准坦克设计!$B$14:$K$20,9)/30))</f>
        <v>1.7189551701922134</v>
      </c>
      <c r="H198" s="173">
        <f ca="1">(VLOOKUP(H$72,INDIRECT($C$5&amp;"生成成长"),2))/((VLOOKUP($B198,INDIRECT($B$5&amp;"生成成长"),4))/(VLOOKUP(H$72,INDIRECT($C$5&amp;"生成成长"),5))*(VLOOKUP($B$5,标准坦克设计!$B$24:$U$30,MATCH("对"&amp;LEFT($C$5,2)&amp;"输出",标准坦克设计!$B$23:$U$23,0)))*(VLOOKUP($B198,INDIRECT($B$5&amp;"生成成长"),3))*(VLOOKUP($B$5,标准坦克设计!$B$14:$K$20,9)/30))</f>
        <v>1.5043093633003657</v>
      </c>
      <c r="I198" s="173">
        <f ca="1">(VLOOKUP(I$72,INDIRECT($C$5&amp;"生成成长"),2))/((VLOOKUP($B198,INDIRECT($B$5&amp;"生成成长"),4))/(VLOOKUP(I$72,INDIRECT($C$5&amp;"生成成长"),5))*(VLOOKUP($B$5,标准坦克设计!$B$24:$U$30,MATCH("对"&amp;LEFT($C$5,2)&amp;"输出",标准坦克设计!$B$23:$U$23,0)))*(VLOOKUP($B198,INDIRECT($B$5&amp;"生成成长"),3))*(VLOOKUP($B$5,标准坦克设计!$B$14:$K$20,9)/30))</f>
        <v>1.7189551701922134</v>
      </c>
      <c r="J198" s="173">
        <f ca="1">(VLOOKUP(J$72,INDIRECT($C$5&amp;"生成成长"),2))/((VLOOKUP($B198,INDIRECT($B$5&amp;"生成成长"),4))/(VLOOKUP(J$72,INDIRECT($C$5&amp;"生成成长"),5))*(VLOOKUP($B$5,标准坦克设计!$B$24:$U$30,MATCH("对"&amp;LEFT($C$5,2)&amp;"输出",标准坦克设计!$B$23:$U$23,0)))*(VLOOKUP($B198,INDIRECT($B$5&amp;"生成成长"),3))*(VLOOKUP($B$5,标准坦克设计!$B$14:$K$20,9)/30))</f>
        <v>1.9479106975435176</v>
      </c>
      <c r="K198" s="173">
        <f ca="1">(VLOOKUP(K$72,INDIRECT($C$5&amp;"生成成长"),2))/((VLOOKUP($B198,INDIRECT($B$5&amp;"生成成长"),4))/(VLOOKUP(K$72,INDIRECT($C$5&amp;"生成成长"),5))*(VLOOKUP($B$5,标准坦克设计!$B$24:$U$30,MATCH("对"&amp;LEFT($C$5,2)&amp;"输出",标准坦克设计!$B$23:$U$23,0)))*(VLOOKUP($B198,INDIRECT($B$5&amp;"生成成长"),3))*(VLOOKUP($B$5,标准坦克设计!$B$14:$K$20,9)/30))</f>
        <v>2.1911759453542783</v>
      </c>
      <c r="L198" s="173">
        <f ca="1">(VLOOKUP(L$72,INDIRECT($C$5&amp;"生成成长"),2))/((VLOOKUP($B198,INDIRECT($B$5&amp;"生成成长"),4))/(VLOOKUP(L$72,INDIRECT($C$5&amp;"生成成长"),5))*(VLOOKUP($B$5,标准坦克设计!$B$24:$U$30,MATCH("对"&amp;LEFT($C$5,2)&amp;"输出",标准坦克设计!$B$23:$U$23,0)))*(VLOOKUP($B198,INDIRECT($B$5&amp;"生成成长"),3))*(VLOOKUP($B$5,标准坦克设计!$B$14:$K$20,9)/30))</f>
        <v>2.4487509136244952</v>
      </c>
      <c r="M198" s="173">
        <f ca="1">(VLOOKUP(M$72,INDIRECT($C$5&amp;"生成成长"),2))/((VLOOKUP($B198,INDIRECT($B$5&amp;"生成成长"),4))/(VLOOKUP(M$72,INDIRECT($C$5&amp;"生成成长"),5))*(VLOOKUP($B$5,标准坦克设计!$B$24:$U$30,MATCH("对"&amp;LEFT($C$5,2)&amp;"输出",标准坦克设计!$B$23:$U$23,0)))*(VLOOKUP($B198,INDIRECT($B$5&amp;"生成成长"),3))*(VLOOKUP($B$5,标准坦克设计!$B$14:$K$20,9)/30))</f>
        <v>2.7206356023541693</v>
      </c>
      <c r="N198" s="173">
        <f ca="1">(VLOOKUP(N$72,INDIRECT($C$5&amp;"生成成长"),2))/((VLOOKUP($B198,INDIRECT($B$5&amp;"生成成长"),4))/(VLOOKUP(N$72,INDIRECT($C$5&amp;"生成成长"),5))*(VLOOKUP($B$5,标准坦克设计!$B$24:$U$30,MATCH("对"&amp;LEFT($C$5,2)&amp;"输出",标准坦克设计!$B$23:$U$23,0)))*(VLOOKUP($B198,INDIRECT($B$5&amp;"生成成长"),3))*(VLOOKUP($B$5,标准坦克设计!$B$14:$K$20,9)/30))</f>
        <v>3.0068300115432991</v>
      </c>
      <c r="O198" s="173">
        <f ca="1">(VLOOKUP(O$72,INDIRECT($C$5&amp;"生成成长"),2))/((VLOOKUP($B198,INDIRECT($B$5&amp;"生成成长"),4))/(VLOOKUP(O$72,INDIRECT($C$5&amp;"生成成长"),5))*(VLOOKUP($B$5,标准坦克设计!$B$24:$U$30,MATCH("对"&amp;LEFT($C$5,2)&amp;"输出",标准坦克设计!$B$23:$U$23,0)))*(VLOOKUP($B198,INDIRECT($B$5&amp;"生成成长"),3))*(VLOOKUP($B$5,标准坦克设计!$B$14:$K$20,9)/30))</f>
        <v>2.2860896380892672</v>
      </c>
      <c r="P198" s="173">
        <f ca="1">(VLOOKUP(P$72,INDIRECT($C$5&amp;"生成成长"),2))/((VLOOKUP($B198,INDIRECT($B$5&amp;"生成成长"),4))/(VLOOKUP(P$72,INDIRECT($C$5&amp;"生成成长"),5))*(VLOOKUP($B$5,标准坦克设计!$B$24:$U$30,MATCH("对"&amp;LEFT($C$5,2)&amp;"输出",标准坦克设计!$B$23:$U$23,0)))*(VLOOKUP($B198,INDIRECT($B$5&amp;"生成成长"),3))*(VLOOKUP($B$5,标准坦克设计!$B$14:$K$20,9)/30))</f>
        <v>2.5829045429319</v>
      </c>
      <c r="Q198" s="173">
        <f ca="1">(VLOOKUP(Q$72,INDIRECT($C$5&amp;"生成成长"),2))/((VLOOKUP($B198,INDIRECT($B$5&amp;"生成成长"),4))/(VLOOKUP(Q$72,INDIRECT($C$5&amp;"生成成长"),5))*(VLOOKUP($B$5,标准坦克设计!$B$24:$U$30,MATCH("对"&amp;LEFT($C$5,2)&amp;"输出",标准坦克设计!$B$23:$U$23,0)))*(VLOOKUP($B198,INDIRECT($B$5&amp;"生成成长"),3))*(VLOOKUP($B$5,标准坦克设计!$B$14:$K$20,9)/30))</f>
        <v>2.8978301877310328</v>
      </c>
      <c r="R198" s="173">
        <f ca="1">(VLOOKUP(R$72,INDIRECT($C$5&amp;"生成成长"),2))/((VLOOKUP($B198,INDIRECT($B$5&amp;"生成成长"),4))/(VLOOKUP(R$72,INDIRECT($C$5&amp;"生成成长"),5))*(VLOOKUP($B$5,标准坦克设计!$B$24:$U$30,MATCH("对"&amp;LEFT($C$5,2)&amp;"输出",标准坦克设计!$B$23:$U$23,0)))*(VLOOKUP($B198,INDIRECT($B$5&amp;"生成成长"),3))*(VLOOKUP($B$5,标准坦克设计!$B$14:$K$20,9)/30))</f>
        <v>3.230866572486665</v>
      </c>
      <c r="S198" s="173">
        <f ca="1">(VLOOKUP(S$72,INDIRECT($C$5&amp;"生成成长"),2))/((VLOOKUP($B198,INDIRECT($B$5&amp;"生成成长"),4))/(VLOOKUP(S$72,INDIRECT($C$5&amp;"生成成长"),5))*(VLOOKUP($B$5,标准坦克设计!$B$24:$U$30,MATCH("对"&amp;LEFT($C$5,2)&amp;"输出",标准坦克设计!$B$23:$U$23,0)))*(VLOOKUP($B198,INDIRECT($B$5&amp;"生成成长"),3))*(VLOOKUP($B$5,标准坦克设计!$B$14:$K$20,9)/30))</f>
        <v>3.5820136971987968</v>
      </c>
      <c r="T198" s="173">
        <f ca="1">(VLOOKUP(T$72,INDIRECT($C$5&amp;"生成成长"),2))/((VLOOKUP($B198,INDIRECT($B$5&amp;"生成成长"),4))/(VLOOKUP(T$72,INDIRECT($C$5&amp;"生成成长"),5))*(VLOOKUP($B$5,标准坦克设计!$B$24:$U$30,MATCH("对"&amp;LEFT($C$5,2)&amp;"输出",标准坦克设计!$B$23:$U$23,0)))*(VLOOKUP($B198,INDIRECT($B$5&amp;"生成成长"),3))*(VLOOKUP($B$5,标准坦克设计!$B$14:$K$20,9)/30))</f>
        <v>3.9512715618674288</v>
      </c>
      <c r="U198" s="173">
        <f ca="1">(VLOOKUP(U$72,INDIRECT($C$5&amp;"生成成长"),2))/((VLOOKUP($B198,INDIRECT($B$5&amp;"生成成长"),4))/(VLOOKUP(U$72,INDIRECT($C$5&amp;"生成成长"),5))*(VLOOKUP($B$5,标准坦克设计!$B$24:$U$30,MATCH("对"&amp;LEFT($C$5,2)&amp;"输出",标准坦克设计!$B$23:$U$23,0)))*(VLOOKUP($B198,INDIRECT($B$5&amp;"生成成长"),3))*(VLOOKUP($B$5,标准坦克设计!$B$14:$K$20,9)/30))</f>
        <v>4.33864016649256</v>
      </c>
      <c r="V198" s="173">
        <f ca="1">(VLOOKUP(V$72,INDIRECT($C$5&amp;"生成成长"),2))/((VLOOKUP($B198,INDIRECT($B$5&amp;"生成成长"),4))/(VLOOKUP(V$72,INDIRECT($C$5&amp;"生成成长"),5))*(VLOOKUP($B$5,标准坦克设计!$B$24:$U$30,MATCH("对"&amp;LEFT($C$5,2)&amp;"输出",标准坦克设计!$B$23:$U$23,0)))*(VLOOKUP($B198,INDIRECT($B$5&amp;"生成成长"),3))*(VLOOKUP($B$5,标准坦克设计!$B$14:$K$20,9)/30))</f>
        <v>4.7441195110741905</v>
      </c>
      <c r="W198" s="173">
        <f ca="1">(VLOOKUP(W$72,INDIRECT($C$5&amp;"生成成长"),2))/((VLOOKUP($B198,INDIRECT($B$5&amp;"生成成长"),4))/(VLOOKUP(W$72,INDIRECT($C$5&amp;"生成成长"),5))*(VLOOKUP($B$5,标准坦克设计!$B$24:$U$30,MATCH("对"&amp;LEFT($C$5,2)&amp;"输出",标准坦克设计!$B$23:$U$23,0)))*(VLOOKUP($B198,INDIRECT($B$5&amp;"生成成长"),3))*(VLOOKUP($B$5,标准坦克设计!$B$14:$K$20,9)/30))</f>
        <v>5.1677095956123207</v>
      </c>
      <c r="X198" s="173">
        <f ca="1">(VLOOKUP(X$72,INDIRECT($C$5&amp;"生成成长"),2))/((VLOOKUP($B198,INDIRECT($B$5&amp;"生成成长"),4))/(VLOOKUP(X$72,INDIRECT($C$5&amp;"生成成长"),5))*(VLOOKUP($B$5,标准坦克设计!$B$24:$U$30,MATCH("对"&amp;LEFT($C$5,2)&amp;"输出",标准坦克设计!$B$23:$U$23,0)))*(VLOOKUP($B198,INDIRECT($B$5&amp;"生成成长"),3))*(VLOOKUP($B$5,标准坦克设计!$B$14:$K$20,9)/30))</f>
        <v>3.7438924098963988</v>
      </c>
      <c r="Y198" s="173">
        <f ca="1">(VLOOKUP(Y$72,INDIRECT($C$5&amp;"生成成长"),2))/((VLOOKUP($B198,INDIRECT($B$5&amp;"生成成长"),4))/(VLOOKUP(Y$72,INDIRECT($C$5&amp;"生成成长"),5))*(VLOOKUP($B$5,标准坦克设计!$B$24:$U$30,MATCH("对"&amp;LEFT($C$5,2)&amp;"输出",标准坦克设计!$B$23:$U$23,0)))*(VLOOKUP($B198,INDIRECT($B$5&amp;"生成成长"),3))*(VLOOKUP($B$5,标准坦克设计!$B$14:$K$20,9)/30))</f>
        <v>4.1642404483929347</v>
      </c>
      <c r="Z198" s="173">
        <f ca="1">(VLOOKUP(Z$72,INDIRECT($C$5&amp;"生成成长"),2))/((VLOOKUP($B198,INDIRECT($B$5&amp;"生成成长"),4))/(VLOOKUP(Z$72,INDIRECT($C$5&amp;"生成成长"),5))*(VLOOKUP($B$5,标准坦克设计!$B$24:$U$30,MATCH("对"&amp;LEFT($C$5,2)&amp;"输出",标准坦克设计!$B$23:$U$23,0)))*(VLOOKUP($B198,INDIRECT($B$5&amp;"生成成长"),3))*(VLOOKUP($B$5,标准坦克设计!$B$14:$K$20,9)/30))</f>
        <v>4.6069474251073697</v>
      </c>
      <c r="AA198" s="173">
        <f ca="1">(VLOOKUP(AA$72,INDIRECT($C$5&amp;"生成成长"),2))/((VLOOKUP($B198,INDIRECT($B$5&amp;"生成成长"),4))/(VLOOKUP(AA$72,INDIRECT($C$5&amp;"生成成长"),5))*(VLOOKUP($B$5,标准坦克设计!$B$24:$U$30,MATCH("对"&amp;LEFT($C$5,2)&amp;"输出",标准坦克设计!$B$23:$U$23,0)))*(VLOOKUP($B198,INDIRECT($B$5&amp;"生成成长"),3))*(VLOOKUP($B$5,标准坦克设计!$B$14:$K$20,9)/30))</f>
        <v>5.0720133400397058</v>
      </c>
      <c r="AB198" s="173">
        <f ca="1">(VLOOKUP(AB$72,INDIRECT($C$5&amp;"生成成长"),2))/((VLOOKUP($B198,INDIRECT($B$5&amp;"生成成长"),4))/(VLOOKUP(AB$72,INDIRECT($C$5&amp;"生成成长"),5))*(VLOOKUP($B$5,标准坦克设计!$B$24:$U$30,MATCH("对"&amp;LEFT($C$5,2)&amp;"输出",标准坦克设计!$B$23:$U$23,0)))*(VLOOKUP($B198,INDIRECT($B$5&amp;"生成成长"),3))*(VLOOKUP($B$5,标准坦克设计!$B$14:$K$20,9)/30))</f>
        <v>5.5594381931899441</v>
      </c>
      <c r="AC198" s="173">
        <f ca="1">(VLOOKUP(AC$72,INDIRECT($C$5&amp;"生成成长"),2))/((VLOOKUP($B198,INDIRECT($B$5&amp;"生成成长"),4))/(VLOOKUP(AC$72,INDIRECT($C$5&amp;"生成成长"),5))*(VLOOKUP($B$5,标准坦克设计!$B$24:$U$30,MATCH("对"&amp;LEFT($C$5,2)&amp;"输出",标准坦克设计!$B$23:$U$23,0)))*(VLOOKUP($B198,INDIRECT($B$5&amp;"生成成长"),3))*(VLOOKUP($B$5,标准坦克设计!$B$14:$K$20,9)/30))</f>
        <v>6.069221984558081</v>
      </c>
      <c r="AD198" s="173">
        <f ca="1">(VLOOKUP(AD$72,INDIRECT($C$5&amp;"生成成长"),2))/((VLOOKUP($B198,INDIRECT($B$5&amp;"生成成长"),4))/(VLOOKUP(AD$72,INDIRECT($C$5&amp;"生成成长"),5))*(VLOOKUP($B$5,标准坦克设计!$B$24:$U$30,MATCH("对"&amp;LEFT($C$5,2)&amp;"输出",标准坦克设计!$B$23:$U$23,0)))*(VLOOKUP($B198,INDIRECT($B$5&amp;"生成成长"),3))*(VLOOKUP($B$5,标准坦克设计!$B$14:$K$20,9)/30))</f>
        <v>6.6013647141441201</v>
      </c>
      <c r="AE198" s="173">
        <f ca="1">(VLOOKUP(AE$72,INDIRECT($C$5&amp;"生成成长"),2))/((VLOOKUP($B198,INDIRECT($B$5&amp;"生成成长"),4))/(VLOOKUP(AE$72,INDIRECT($C$5&amp;"生成成长"),5))*(VLOOKUP($B$5,标准坦克设计!$B$24:$U$30,MATCH("对"&amp;LEFT($C$5,2)&amp;"输出",标准坦克设计!$B$23:$U$23,0)))*(VLOOKUP($B198,INDIRECT($B$5&amp;"生成成长"),3))*(VLOOKUP($B$5,标准坦克设计!$B$14:$K$20,9)/30))</f>
        <v>7.1558663819480604</v>
      </c>
      <c r="AF198" s="173">
        <f ca="1">(VLOOKUP(AF$72,INDIRECT($C$5&amp;"生成成长"),2))/((VLOOKUP($B198,INDIRECT($B$5&amp;"生成成长"),4))/(VLOOKUP(AF$72,INDIRECT($C$5&amp;"生成成长"),5))*(VLOOKUP($B$5,标准坦克设计!$B$24:$U$30,MATCH("对"&amp;LEFT($C$5,2)&amp;"输出",标准坦克设计!$B$23:$U$23,0)))*(VLOOKUP($B198,INDIRECT($B$5&amp;"生成成长"),3))*(VLOOKUP($B$5,标准坦克设计!$B$14:$K$20,9)/30))</f>
        <v>7.7327269879699001</v>
      </c>
      <c r="AG198" s="173">
        <f ca="1">(VLOOKUP(AG$72,INDIRECT($C$5&amp;"生成成长"),2))/((VLOOKUP($B198,INDIRECT($B$5&amp;"生成成长"),4))/(VLOOKUP(AG$72,INDIRECT($C$5&amp;"生成成长"),5))*(VLOOKUP($B$5,标准坦克设计!$B$24:$U$30,MATCH("对"&amp;LEFT($C$5,2)&amp;"输出",标准坦克设计!$B$23:$U$23,0)))*(VLOOKUP($B198,INDIRECT($B$5&amp;"生成成长"),3))*(VLOOKUP($B$5,标准坦克设计!$B$14:$K$20,9)/30))</f>
        <v>8.331946532209642</v>
      </c>
      <c r="AH198" s="173">
        <f ca="1">(VLOOKUP(AH$72,INDIRECT($C$5&amp;"生成成长"),2))/((VLOOKUP($B198,INDIRECT($B$5&amp;"生成成长"),4))/(VLOOKUP(AH$72,INDIRECT($C$5&amp;"生成成长"),5))*(VLOOKUP($B$5,标准坦克设计!$B$24:$U$30,MATCH("对"&amp;LEFT($C$5,2)&amp;"输出",标准坦克设计!$B$23:$U$23,0)))*(VLOOKUP($B198,INDIRECT($B$5&amp;"生成成长"),3))*(VLOOKUP($B$5,标准坦克设计!$B$14:$K$20,9)/30))</f>
        <v>8.9535250146672851</v>
      </c>
      <c r="AI198" s="173">
        <f ca="1">(VLOOKUP(AI$72,INDIRECT($C$5&amp;"生成成长"),2))/((VLOOKUP($B198,INDIRECT($B$5&amp;"生成成长"),4))/(VLOOKUP(AI$72,INDIRECT($C$5&amp;"生成成长"),5))*(VLOOKUP($B$5,标准坦克设计!$B$24:$U$30,MATCH("对"&amp;LEFT($C$5,2)&amp;"输出",标准坦克设计!$B$23:$U$23,0)))*(VLOOKUP($B198,INDIRECT($B$5&amp;"生成成长"),3))*(VLOOKUP($B$5,标准坦克设计!$B$14:$K$20,9)/30))</f>
        <v>6.3324984820738637</v>
      </c>
      <c r="AJ198" s="173">
        <f ca="1">(VLOOKUP(AJ$72,INDIRECT($C$5&amp;"生成成长"),2))/((VLOOKUP($B198,INDIRECT($B$5&amp;"生成成长"),4))/(VLOOKUP(AJ$72,INDIRECT($C$5&amp;"生成成长"),5))*(VLOOKUP($B$5,标准坦克设计!$B$24:$U$30,MATCH("对"&amp;LEFT($C$5,2)&amp;"输出",标准坦克设计!$B$23:$U$23,0)))*(VLOOKUP($B198,INDIRECT($B$5&amp;"生成成长"),3))*(VLOOKUP($B$5,标准坦克设计!$B$14:$K$20,9)/30))</f>
        <v>6.9313826422403366</v>
      </c>
      <c r="AK198" s="173">
        <f ca="1">(VLOOKUP(AK$72,INDIRECT($C$5&amp;"生成成长"),2))/((VLOOKUP($B198,INDIRECT($B$5&amp;"生成成长"),4))/(VLOOKUP(AK$72,INDIRECT($C$5&amp;"生成成长"),5))*(VLOOKUP($B$5,标准坦克设计!$B$24:$U$30,MATCH("对"&amp;LEFT($C$5,2)&amp;"输出",标准坦克设计!$B$23:$U$23,0)))*(VLOOKUP($B198,INDIRECT($B$5&amp;"生成成长"),3))*(VLOOKUP($B$5,标准坦克设计!$B$14:$K$20,9)/30))</f>
        <v>7.5573211176504689</v>
      </c>
      <c r="AL198" s="173">
        <f ca="1">(VLOOKUP(AL$72,INDIRECT($C$5&amp;"生成成长"),2))/((VLOOKUP($B198,INDIRECT($B$5&amp;"生成成长"),4))/(VLOOKUP(AL$72,INDIRECT($C$5&amp;"生成成长"),5))*(VLOOKUP($B$5,标准坦克设计!$B$24:$U$30,MATCH("对"&amp;LEFT($C$5,2)&amp;"输出",标准坦克设计!$B$23:$U$23,0)))*(VLOOKUP($B198,INDIRECT($B$5&amp;"生成成长"),3))*(VLOOKUP($B$5,标准坦克设计!$B$14:$K$20,9)/30))</f>
        <v>8.2103139083042631</v>
      </c>
      <c r="AM198" s="173">
        <f ca="1">(VLOOKUP(AM$72,INDIRECT($C$5&amp;"生成成长"),2))/((VLOOKUP($B198,INDIRECT($B$5&amp;"生成成长"),4))/(VLOOKUP(AM$72,INDIRECT($C$5&amp;"生成成长"),5))*(VLOOKUP($B$5,标准坦克设计!$B$24:$U$30,MATCH("对"&amp;LEFT($C$5,2)&amp;"输出",标准坦克设计!$B$23:$U$23,0)))*(VLOOKUP($B198,INDIRECT($B$5&amp;"生成成长"),3))*(VLOOKUP($B$5,标准坦克设计!$B$14:$K$20,9)/30))</f>
        <v>8.890361014201714</v>
      </c>
      <c r="AN198" s="173">
        <f ca="1">(VLOOKUP(AN$72,INDIRECT($C$5&amp;"生成成长"),2))/((VLOOKUP($B198,INDIRECT($B$5&amp;"生成成长"),4))/(VLOOKUP(AN$72,INDIRECT($C$5&amp;"生成成长"),5))*(VLOOKUP($B$5,标准坦克设计!$B$24:$U$30,MATCH("对"&amp;LEFT($C$5,2)&amp;"输出",标准坦克设计!$B$23:$U$23,0)))*(VLOOKUP($B198,INDIRECT($B$5&amp;"生成成长"),3))*(VLOOKUP($B$5,标准坦克设计!$B$14:$K$20,9)/30))</f>
        <v>9.5974624353428286</v>
      </c>
      <c r="AO198" s="173">
        <f ca="1">(VLOOKUP(AO$72,INDIRECT($C$5&amp;"生成成长"),2))/((VLOOKUP($B198,INDIRECT($B$5&amp;"生成成长"),4))/(VLOOKUP(AO$72,INDIRECT($C$5&amp;"生成成长"),5))*(VLOOKUP($B$5,标准坦克设计!$B$24:$U$30,MATCH("对"&amp;LEFT($C$5,2)&amp;"输出",标准坦克设计!$B$23:$U$23,0)))*(VLOOKUP($B198,INDIRECT($B$5&amp;"生成成长"),3))*(VLOOKUP($B$5,标准坦克设计!$B$14:$K$20,9)/30))</f>
        <v>10.3316181717276</v>
      </c>
      <c r="AP198" s="173">
        <f ca="1">(VLOOKUP(AP$72,INDIRECT($C$5&amp;"生成成长"),2))/((VLOOKUP($B198,INDIRECT($B$5&amp;"生成成长"),4))/(VLOOKUP(AP$72,INDIRECT($C$5&amp;"生成成长"),5))*(VLOOKUP($B$5,标准坦克设计!$B$24:$U$30,MATCH("对"&amp;LEFT($C$5,2)&amp;"输出",标准坦克设计!$B$23:$U$23,0)))*(VLOOKUP($B198,INDIRECT($B$5&amp;"生成成长"),3))*(VLOOKUP($B$5,标准坦克设计!$B$14:$K$20,9)/30))</f>
        <v>11.092828223356033</v>
      </c>
      <c r="AQ198" s="173">
        <f ca="1">(VLOOKUP(AQ$72,INDIRECT($C$5&amp;"生成成长"),2))/((VLOOKUP($B198,INDIRECT($B$5&amp;"生成成长"),4))/(VLOOKUP(AQ$72,INDIRECT($C$5&amp;"生成成长"),5))*(VLOOKUP($B$5,标准坦克设计!$B$24:$U$30,MATCH("对"&amp;LEFT($C$5,2)&amp;"输出",标准坦克设计!$B$23:$U$23,0)))*(VLOOKUP($B198,INDIRECT($B$5&amp;"生成成长"),3))*(VLOOKUP($B$5,标准坦克设计!$B$14:$K$20,9)/30))</f>
        <v>11.881092590228127</v>
      </c>
      <c r="AR198" s="173">
        <f ca="1">(VLOOKUP(AR$72,INDIRECT($C$5&amp;"生成成长"),2))/((VLOOKUP($B198,INDIRECT($B$5&amp;"生成成长"),4))/(VLOOKUP(AR$72,INDIRECT($C$5&amp;"生成成长"),5))*(VLOOKUP($B$5,标准坦克设计!$B$24:$U$30,MATCH("对"&amp;LEFT($C$5,2)&amp;"输出",标准坦克设计!$B$23:$U$23,0)))*(VLOOKUP($B198,INDIRECT($B$5&amp;"生成成长"),3))*(VLOOKUP($B$5,标准坦克设计!$B$14:$K$20,9)/30))</f>
        <v>12.696411272343877</v>
      </c>
      <c r="AS198" s="173">
        <f ca="1">(VLOOKUP(AS$72,INDIRECT($C$5&amp;"生成成长"),2))/((VLOOKUP($B198,INDIRECT($B$5&amp;"生成成长"),4))/(VLOOKUP(AS$72,INDIRECT($C$5&amp;"生成成长"),5))*(VLOOKUP($B$5,标准坦克设计!$B$24:$U$30,MATCH("对"&amp;LEFT($C$5,2)&amp;"输出",标准坦克设计!$B$23:$U$23,0)))*(VLOOKUP($B198,INDIRECT($B$5&amp;"生成成长"),3))*(VLOOKUP($B$5,标准坦克设计!$B$14:$K$20,9)/30))</f>
        <v>13.538784269703287</v>
      </c>
      <c r="AT198" s="173">
        <f ca="1">(VLOOKUP(AT$72,INDIRECT($C$5&amp;"生成成长"),2))/((VLOOKUP($B198,INDIRECT($B$5&amp;"生成成长"),4))/(VLOOKUP(AT$72,INDIRECT($C$5&amp;"生成成长"),5))*(VLOOKUP($B$5,标准坦克设计!$B$24:$U$30,MATCH("对"&amp;LEFT($C$5,2)&amp;"输出",标准坦克设计!$B$23:$U$23,0)))*(VLOOKUP($B198,INDIRECT($B$5&amp;"生成成长"),3))*(VLOOKUP($B$5,标准坦克设计!$B$14:$K$20,9)/30))</f>
        <v>14.408211582306363</v>
      </c>
      <c r="AU198" s="173">
        <f ca="1">(VLOOKUP(AU$72,INDIRECT($C$5&amp;"生成成长"),2))/((VLOOKUP($B198,INDIRECT($B$5&amp;"生成成长"),4))/(VLOOKUP(AU$72,INDIRECT($C$5&amp;"生成成长"),5))*(VLOOKUP($B$5,标准坦克设计!$B$24:$U$30,MATCH("对"&amp;LEFT($C$5,2)&amp;"输出",标准坦克设计!$B$23:$U$23,0)))*(VLOOKUP($B198,INDIRECT($B$5&amp;"生成成长"),3))*(VLOOKUP($B$5,标准坦克设计!$B$14:$K$20,9)/30))</f>
        <v>15.304693210153095</v>
      </c>
      <c r="AV198" s="173">
        <f ca="1">(VLOOKUP(AV$72,INDIRECT($C$5&amp;"生成成长"),2))/((VLOOKUP($B198,INDIRECT($B$5&amp;"生成成长"),4))/(VLOOKUP(AV$72,INDIRECT($C$5&amp;"生成成长"),5))*(VLOOKUP($B$5,标准坦克设计!$B$24:$U$30,MATCH("对"&amp;LEFT($C$5,2)&amp;"输出",标准坦克设计!$B$23:$U$23,0)))*(VLOOKUP($B198,INDIRECT($B$5&amp;"生成成长"),3))*(VLOOKUP($B$5,标准坦克设计!$B$14:$K$20,9)/30))</f>
        <v>1.5566292787302538</v>
      </c>
      <c r="AW198" s="173">
        <f ca="1">(VLOOKUP(AW$72,INDIRECT($C$5&amp;"生成成长"),2))/((VLOOKUP($B198,INDIRECT($B$5&amp;"生成成长"),4))/(VLOOKUP(AW$72,INDIRECT($C$5&amp;"生成成长"),5))*(VLOOKUP($B$5,标准坦克设计!$B$24:$U$30,MATCH("对"&amp;LEFT($C$5,2)&amp;"输出",标准坦克设计!$B$23:$U$23,0)))*(VLOOKUP($B198,INDIRECT($B$5&amp;"生成成长"),3))*(VLOOKUP($B$5,标准坦克设计!$B$14:$K$20,9)/30))</f>
        <v>1.7748525157369652</v>
      </c>
      <c r="AX198" s="173">
        <f ca="1">(VLOOKUP(AX$72,INDIRECT($C$5&amp;"生成成长"),2))/((VLOOKUP($B198,INDIRECT($B$5&amp;"生成成长"),4))/(VLOOKUP(AX$72,INDIRECT($C$5&amp;"生成成长"),5))*(VLOOKUP($B$5,标准坦克设计!$B$24:$U$30,MATCH("对"&amp;LEFT($C$5,2)&amp;"输出",标准坦克设计!$B$23:$U$23,0)))*(VLOOKUP($B198,INDIRECT($B$5&amp;"生成成长"),3))*(VLOOKUP($B$5,标准坦克设计!$B$14:$K$20,9)/30))</f>
        <v>2.0073854732031333</v>
      </c>
      <c r="AY198" s="173">
        <f ca="1">(VLOOKUP(AY$72,INDIRECT($C$5&amp;"生成成长"),2))/((VLOOKUP($B198,INDIRECT($B$5&amp;"生成成长"),4))/(VLOOKUP(AY$72,INDIRECT($C$5&amp;"生成成长"),5))*(VLOOKUP($B$5,标准坦克设计!$B$24:$U$30,MATCH("对"&amp;LEFT($C$5,2)&amp;"输出",标准坦克设计!$B$23:$U$23,0)))*(VLOOKUP($B198,INDIRECT($B$5&amp;"生成成长"),3))*(VLOOKUP($B$5,标准坦克设计!$B$14:$K$20,9)/30))</f>
        <v>2.2542281511287583</v>
      </c>
      <c r="AZ198" s="173">
        <f ca="1">(VLOOKUP(AZ$72,INDIRECT($C$5&amp;"生成成长"),2))/((VLOOKUP($B198,INDIRECT($B$5&amp;"生成成长"),4))/(VLOOKUP(AZ$72,INDIRECT($C$5&amp;"生成成长"),5))*(VLOOKUP($B$5,标准坦克设计!$B$24:$U$30,MATCH("对"&amp;LEFT($C$5,2)&amp;"输出",标准坦克设计!$B$23:$U$23,0)))*(VLOOKUP($B198,INDIRECT($B$5&amp;"生成成长"),3))*(VLOOKUP($B$5,标准坦克设计!$B$14:$K$20,9)/30))</f>
        <v>2.5153805495138393</v>
      </c>
      <c r="BA198" s="173">
        <f ca="1">(VLOOKUP(BA$72,INDIRECT($C$5&amp;"生成成长"),2))/((VLOOKUP($B198,INDIRECT($B$5&amp;"生成成长"),4))/(VLOOKUP(BA$72,INDIRECT($C$5&amp;"生成成长"),5))*(VLOOKUP($B$5,标准坦克设计!$B$24:$U$30,MATCH("对"&amp;LEFT($C$5,2)&amp;"输出",标准坦克设计!$B$23:$U$23,0)))*(VLOOKUP($B198,INDIRECT($B$5&amp;"生成成长"),3))*(VLOOKUP($B$5,标准坦克设计!$B$14:$K$20,9)/30))</f>
        <v>2.7908426683583771</v>
      </c>
      <c r="BB198" s="173">
        <f ca="1">(VLOOKUP(BB$72,INDIRECT($C$5&amp;"生成成长"),2))/((VLOOKUP($B198,INDIRECT($B$5&amp;"生成成长"),4))/(VLOOKUP(BB$72,INDIRECT($C$5&amp;"生成成长"),5))*(VLOOKUP($B$5,标准坦克设计!$B$24:$U$30,MATCH("对"&amp;LEFT($C$5,2)&amp;"输出",标准坦克设计!$B$23:$U$23,0)))*(VLOOKUP($B198,INDIRECT($B$5&amp;"生成成长"),3))*(VLOOKUP($B$5,标准坦克设计!$B$14:$K$20,9)/30))</f>
        <v>3.0806145076623719</v>
      </c>
      <c r="BC198" s="173">
        <f ca="1">(VLOOKUP(BC$72,INDIRECT($C$5&amp;"生成成长"),2))/((VLOOKUP($B198,INDIRECT($B$5&amp;"生成成长"),4))/(VLOOKUP(BC$72,INDIRECT($C$5&amp;"生成成长"),5))*(VLOOKUP($B$5,标准坦克设计!$B$24:$U$30,MATCH("对"&amp;LEFT($C$5,2)&amp;"输出",标准坦克设计!$B$23:$U$23,0)))*(VLOOKUP($B198,INDIRECT($B$5&amp;"生成成长"),3))*(VLOOKUP($B$5,标准坦克设计!$B$14:$K$20,9)/30))</f>
        <v>3.3846960674258217</v>
      </c>
      <c r="BD198" s="173">
        <f ca="1">(VLOOKUP(BD$72,INDIRECT($C$5&amp;"生成成长"),2))/((VLOOKUP($B198,INDIRECT($B$5&amp;"生成成长"),4))/(VLOOKUP(BD$72,INDIRECT($C$5&amp;"生成成长"),5))*(VLOOKUP($B$5,标准坦克设计!$B$24:$U$30,MATCH("对"&amp;LEFT($C$5,2)&amp;"输出",标准坦克设计!$B$23:$U$23,0)))*(VLOOKUP($B198,INDIRECT($B$5&amp;"生成成长"),3))*(VLOOKUP($B$5,标准坦克设计!$B$14:$K$20,9)/30))</f>
        <v>3.7438924098963988</v>
      </c>
      <c r="BE198" s="173">
        <f ca="1">(VLOOKUP(BE$72,INDIRECT($C$5&amp;"生成成长"),2))/((VLOOKUP($B198,INDIRECT($B$5&amp;"生成成长"),4))/(VLOOKUP(BE$72,INDIRECT($C$5&amp;"生成成长"),5))*(VLOOKUP($B$5,标准坦克设计!$B$24:$U$30,MATCH("对"&amp;LEFT($C$5,2)&amp;"输出",标准坦克设计!$B$23:$U$23,0)))*(VLOOKUP($B198,INDIRECT($B$5&amp;"生成成长"),3))*(VLOOKUP($B$5,标准坦克设计!$B$14:$K$20,9)/30))</f>
        <v>4.1211994923234752</v>
      </c>
      <c r="BF198" s="173">
        <f ca="1">(VLOOKUP(BF$72,INDIRECT($C$5&amp;"生成成长"),2))/((VLOOKUP($B198,INDIRECT($B$5&amp;"生成成长"),4))/(VLOOKUP(BF$72,INDIRECT($C$5&amp;"生成成长"),5))*(VLOOKUP($B$5,标准坦克设计!$B$24:$U$30,MATCH("对"&amp;LEFT($C$5,2)&amp;"输出",标准坦克设计!$B$23:$U$23,0)))*(VLOOKUP($B198,INDIRECT($B$5&amp;"生成成长"),3))*(VLOOKUP($B$5,标准坦克设计!$B$14:$K$20,9)/30))</f>
        <v>4.5166173147070499</v>
      </c>
      <c r="BG198" s="173">
        <f ca="1">(VLOOKUP(BG$72,INDIRECT($C$5&amp;"生成成长"),2))/((VLOOKUP($B198,INDIRECT($B$5&amp;"生成成长"),4))/(VLOOKUP(BG$72,INDIRECT($C$5&amp;"生成成长"),5))*(VLOOKUP($B$5,标准坦克设计!$B$24:$U$30,MATCH("对"&amp;LEFT($C$5,2)&amp;"输出",标准坦克设计!$B$23:$U$23,0)))*(VLOOKUP($B198,INDIRECT($B$5&amp;"生成成长"),3))*(VLOOKUP($B$5,标准坦克设计!$B$14:$K$20,9)/30))</f>
        <v>4.9301458770471251</v>
      </c>
      <c r="BH198" s="173">
        <f ca="1">(VLOOKUP(BH$72,INDIRECT($C$5&amp;"生成成长"),2))/((VLOOKUP($B198,INDIRECT($B$5&amp;"生成成长"),4))/(VLOOKUP(BH$72,INDIRECT($C$5&amp;"生成成长"),5))*(VLOOKUP($B$5,标准坦克设计!$B$24:$U$30,MATCH("对"&amp;LEFT($C$5,2)&amp;"输出",标准坦克设计!$B$23:$U$23,0)))*(VLOOKUP($B198,INDIRECT($B$5&amp;"生成成长"),3))*(VLOOKUP($B$5,标准坦克设计!$B$14:$K$20,9)/30))</f>
        <v>2.3830156352638672</v>
      </c>
      <c r="BI198" s="173">
        <f ca="1">(VLOOKUP(BI$72,INDIRECT($C$5&amp;"生成成长"),2))/((VLOOKUP($B198,INDIRECT($B$5&amp;"生成成长"),4))/(VLOOKUP(BI$72,INDIRECT($C$5&amp;"生成成长"),5))*(VLOOKUP($B$5,标准坦克设计!$B$24:$U$30,MATCH("对"&amp;LEFT($C$5,2)&amp;"输出",标准坦克设计!$B$23:$U$23,0)))*(VLOOKUP($B198,INDIRECT($B$5&amp;"生成成长"),3))*(VLOOKUP($B$5,标准坦克设计!$B$14:$K$20,9)/30))</f>
        <v>2.6858674534253333</v>
      </c>
      <c r="BJ198" s="173">
        <f ca="1">(VLOOKUP(BJ$72,INDIRECT($C$5&amp;"生成成长"),2))/((VLOOKUP($B198,INDIRECT($B$5&amp;"生成成长"),4))/(VLOOKUP(BJ$72,INDIRECT($C$5&amp;"生成成长"),5))*(VLOOKUP($B$5,标准坦克设计!$B$24:$U$30,MATCH("对"&amp;LEFT($C$5,2)&amp;"输出",标准坦克设计!$B$23:$U$23,0)))*(VLOOKUP($B198,INDIRECT($B$5&amp;"生成成长"),3))*(VLOOKUP($B$5,标准坦克设计!$B$14:$K$20,9)/30))</f>
        <v>3.0068300115432991</v>
      </c>
      <c r="BK198" s="173">
        <f ca="1">(VLOOKUP(BK$72,INDIRECT($C$5&amp;"生成成长"),2))/((VLOOKUP($B198,INDIRECT($B$5&amp;"生成成长"),4))/(VLOOKUP(BK$72,INDIRECT($C$5&amp;"生成成长"),5))*(VLOOKUP($B$5,标准坦克设计!$B$24:$U$30,MATCH("对"&amp;LEFT($C$5,2)&amp;"输出",标准坦克设计!$B$23:$U$23,0)))*(VLOOKUP($B198,INDIRECT($B$5&amp;"生成成长"),3))*(VLOOKUP($B$5,标准坦克设计!$B$14:$K$20,9)/30))</f>
        <v>3.3459033096177651</v>
      </c>
      <c r="BL198" s="173">
        <f ca="1">(VLOOKUP(BL$72,INDIRECT($C$5&amp;"生成成长"),2))/((VLOOKUP($B198,INDIRECT($B$5&amp;"生成成长"),4))/(VLOOKUP(BL$72,INDIRECT($C$5&amp;"生成成长"),5))*(VLOOKUP($B$5,标准坦克设计!$B$24:$U$30,MATCH("对"&amp;LEFT($C$5,2)&amp;"输出",标准坦克设计!$B$23:$U$23,0)))*(VLOOKUP($B198,INDIRECT($B$5&amp;"生成成长"),3))*(VLOOKUP($B$5,标准坦克设计!$B$14:$K$20,9)/30))</f>
        <v>3.7030873476487298</v>
      </c>
      <c r="BM198" s="173">
        <f ca="1">(VLOOKUP(BM$72,INDIRECT($C$5&amp;"生成成长"),2))/((VLOOKUP($B198,INDIRECT($B$5&amp;"生成成长"),4))/(VLOOKUP(BM$72,INDIRECT($C$5&amp;"生成成长"),5))*(VLOOKUP($B$5,标准坦克设计!$B$24:$U$30,MATCH("对"&amp;LEFT($C$5,2)&amp;"输出",标准坦克设计!$B$23:$U$23,0)))*(VLOOKUP($B198,INDIRECT($B$5&amp;"生成成长"),3))*(VLOOKUP($B$5,标准坦克设计!$B$14:$K$20,9)/30))</f>
        <v>4.0783821256361943</v>
      </c>
      <c r="BN198" s="173">
        <f ca="1">(VLOOKUP(BN$72,INDIRECT($C$5&amp;"生成成长"),2))/((VLOOKUP($B198,INDIRECT($B$5&amp;"生成成长"),4))/(VLOOKUP(BN$72,INDIRECT($C$5&amp;"生成成长"),5))*(VLOOKUP($B$5,标准坦克设计!$B$24:$U$30,MATCH("对"&amp;LEFT($C$5,2)&amp;"输出",标准坦克设计!$B$23:$U$23,0)))*(VLOOKUP($B198,INDIRECT($B$5&amp;"生成成长"),3))*(VLOOKUP($B$5,标准坦克设计!$B$14:$K$20,9)/30))</f>
        <v>4.4717876435801598</v>
      </c>
      <c r="BO198" s="173">
        <f ca="1">(VLOOKUP(BO$72,INDIRECT($C$5&amp;"生成成长"),2))/((VLOOKUP($B198,INDIRECT($B$5&amp;"生成成长"),4))/(VLOOKUP(BO$72,INDIRECT($C$5&amp;"生成成长"),5))*(VLOOKUP($B$5,标准坦克设计!$B$24:$U$30,MATCH("对"&amp;LEFT($C$5,2)&amp;"输出",标准坦克设计!$B$23:$U$23,0)))*(VLOOKUP($B198,INDIRECT($B$5&amp;"生成成长"),3))*(VLOOKUP($B$5,标准坦克设计!$B$14:$K$20,9)/30))</f>
        <v>4.8833039014806232</v>
      </c>
      <c r="BP198" s="173">
        <f ca="1">(VLOOKUP(BP$72,INDIRECT($C$5&amp;"生成成长"),2))/((VLOOKUP($B198,INDIRECT($B$5&amp;"生成成长"),4))/(VLOOKUP(BP$72,INDIRECT($C$5&amp;"生成成长"),5))*(VLOOKUP($B$5,标准坦克设计!$B$24:$U$30,MATCH("对"&amp;LEFT($C$5,2)&amp;"输出",标准坦克设计!$B$23:$U$23,0)))*(VLOOKUP($B198,INDIRECT($B$5&amp;"生成成长"),3))*(VLOOKUP($B$5,标准坦克设计!$B$14:$K$20,9)/30))</f>
        <v>5.3129308993375863</v>
      </c>
      <c r="BQ198" s="173">
        <f ca="1">(VLOOKUP(BQ$72,INDIRECT($C$5&amp;"生成成长"),2))/((VLOOKUP($B198,INDIRECT($B$5&amp;"生成成长"),4))/(VLOOKUP(BQ$72,INDIRECT($C$5&amp;"生成成长"),5))*(VLOOKUP($B$5,标准坦克设计!$B$24:$U$30,MATCH("对"&amp;LEFT($C$5,2)&amp;"输出",标准坦克设计!$B$23:$U$23,0)))*(VLOOKUP($B198,INDIRECT($B$5&amp;"生成成长"),3))*(VLOOKUP($B$5,标准坦克设计!$B$14:$K$20,9)/30))</f>
        <v>5.7606686371510518</v>
      </c>
      <c r="BR198" s="173">
        <f ca="1">(VLOOKUP(BR$72,INDIRECT($C$5&amp;"生成成长"),2))/((VLOOKUP($B198,INDIRECT($B$5&amp;"生成成长"),4))/(VLOOKUP(BR$72,INDIRECT($C$5&amp;"生成成长"),5))*(VLOOKUP($B$5,标准坦克设计!$B$24:$U$30,MATCH("对"&amp;LEFT($C$5,2)&amp;"输出",标准坦克设计!$B$23:$U$23,0)))*(VLOOKUP($B198,INDIRECT($B$5&amp;"生成成长"),3))*(VLOOKUP($B$5,标准坦克设计!$B$14:$K$20,9)/30))</f>
        <v>6.2793960038063492</v>
      </c>
      <c r="BS198" s="173">
        <f ca="1">(VLOOKUP(BS$72,INDIRECT($C$5&amp;"生成成长"),2))/((VLOOKUP($B198,INDIRECT($B$5&amp;"生成成长"),4))/(VLOOKUP(BS$72,INDIRECT($C$5&amp;"生成成长"),5))*(VLOOKUP($B$5,标准坦克设计!$B$24:$U$30,MATCH("对"&amp;LEFT($C$5,2)&amp;"输出",标准坦克设计!$B$23:$U$23,0)))*(VLOOKUP($B198,INDIRECT($B$5&amp;"生成成长"),3))*(VLOOKUP($B$5,标准坦克设计!$B$14:$K$20,9)/30))</f>
        <v>6.8204823086795496</v>
      </c>
      <c r="BT198" s="173">
        <f ca="1">(VLOOKUP(BT$72,INDIRECT($C$5&amp;"生成成长"),2))/((VLOOKUP($B198,INDIRECT($B$5&amp;"生成成长"),4))/(VLOOKUP(BT$72,INDIRECT($C$5&amp;"生成成长"),5))*(VLOOKUP($B$5,标准坦克设计!$B$24:$U$30,MATCH("对"&amp;LEFT($C$5,2)&amp;"输出",标准坦克设计!$B$23:$U$23,0)))*(VLOOKUP($B198,INDIRECT($B$5&amp;"生成成长"),3))*(VLOOKUP($B$5,标准坦克设计!$B$14:$K$20,9)/30))</f>
        <v>7.3839275517706469</v>
      </c>
      <c r="BU198" s="173">
        <f ca="1">(VLOOKUP(BU$72,INDIRECT($C$5&amp;"生成成长"),2))/((VLOOKUP($B198,INDIRECT($B$5&amp;"生成成长"),4))/(VLOOKUP(BU$72,INDIRECT($C$5&amp;"生成成长"),5))*(VLOOKUP($B$5,标准坦克设计!$B$24:$U$30,MATCH("对"&amp;LEFT($C$5,2)&amp;"输出",标准坦克设计!$B$23:$U$23,0)))*(VLOOKUP($B198,INDIRECT($B$5&amp;"生成成长"),3))*(VLOOKUP($B$5,标准坦克设计!$B$14:$K$20,9)/30))</f>
        <v>7.9697317330796507</v>
      </c>
      <c r="BV198" s="173">
        <f ca="1">(VLOOKUP(BV$72,INDIRECT($C$5&amp;"生成成长"),2))/((VLOOKUP($B198,INDIRECT($B$5&amp;"生成成长"),4))/(VLOOKUP(BV$72,INDIRECT($C$5&amp;"生成成长"),5))*(VLOOKUP($B$5,标准坦克设计!$B$24:$U$30,MATCH("对"&amp;LEFT($C$5,2)&amp;"输出",标准坦克设计!$B$23:$U$23,0)))*(VLOOKUP($B198,INDIRECT($B$5&amp;"生成成长"),3))*(VLOOKUP($B$5,标准坦克设计!$B$14:$K$20,9)/30))</f>
        <v>8.5778948526065513</v>
      </c>
      <c r="BW198" s="173">
        <f ca="1">(VLOOKUP(BW$72,INDIRECT($C$5&amp;"生成成长"),2))/((VLOOKUP($B198,INDIRECT($B$5&amp;"生成成长"),4))/(VLOOKUP(BW$72,INDIRECT($C$5&amp;"生成成长"),5))*(VLOOKUP($B$5,标准坦克设计!$B$24:$U$30,MATCH("对"&amp;LEFT($C$5,2)&amp;"输出",标准坦克设计!$B$23:$U$23,0)))*(VLOOKUP($B198,INDIRECT($B$5&amp;"生成成长"),3))*(VLOOKUP($B$5,标准坦克设计!$B$14:$K$20,9)/30))</f>
        <v>3.9093485527088641</v>
      </c>
      <c r="BX198" s="173">
        <f ca="1">(VLOOKUP(BX$72,INDIRECT($C$5&amp;"生成成长"),2))/((VLOOKUP($B198,INDIRECT($B$5&amp;"生成成长"),4))/(VLOOKUP(BX$72,INDIRECT($C$5&amp;"生成成长"),5))*(VLOOKUP($B$5,标准坦克设计!$B$24:$U$30,MATCH("对"&amp;LEFT($C$5,2)&amp;"输出",标准坦克设计!$B$23:$U$23,0)))*(VLOOKUP($B198,INDIRECT($B$5&amp;"生成成长"),3))*(VLOOKUP($B$5,标准坦克设计!$B$14:$K$20,9)/30))</f>
        <v>4.33864016649256</v>
      </c>
      <c r="BY198" s="173">
        <f ca="1">(VLOOKUP(BY$72,INDIRECT($C$5&amp;"生成成长"),2))/((VLOOKUP($B198,INDIRECT($B$5&amp;"生成成长"),4))/(VLOOKUP(BY$72,INDIRECT($C$5&amp;"生成成长"),5))*(VLOOKUP($B$5,标准坦克设计!$B$24:$U$30,MATCH("对"&amp;LEFT($C$5,2)&amp;"输出",标准坦克设计!$B$23:$U$23,0)))*(VLOOKUP($B198,INDIRECT($B$5&amp;"生成成长"),3))*(VLOOKUP($B$5,标准坦克设计!$B$14:$K$20,9)/30))</f>
        <v>4.7902907184941563</v>
      </c>
      <c r="BZ198" s="173">
        <f ca="1">(VLOOKUP(BZ$72,INDIRECT($C$5&amp;"生成成长"),2))/((VLOOKUP($B198,INDIRECT($B$5&amp;"生成成长"),4))/(VLOOKUP(BZ$72,INDIRECT($C$5&amp;"生成成长"),5))*(VLOOKUP($B$5,标准坦克设计!$B$24:$U$30,MATCH("对"&amp;LEFT($C$5,2)&amp;"输出",标准坦克设计!$B$23:$U$23,0)))*(VLOOKUP($B198,INDIRECT($B$5&amp;"生成成长"),3))*(VLOOKUP($B$5,标准坦克设计!$B$14:$K$20,9)/30))</f>
        <v>5.264300208713653</v>
      </c>
      <c r="CA198" s="173">
        <f ca="1">(VLOOKUP(CA$72,INDIRECT($C$5&amp;"生成成长"),2))/((VLOOKUP($B198,INDIRECT($B$5&amp;"生成成长"),4))/(VLOOKUP(CA$72,INDIRECT($C$5&amp;"生成成长"),5))*(VLOOKUP($B$5,标准坦克设计!$B$24:$U$30,MATCH("对"&amp;LEFT($C$5,2)&amp;"输出",标准坦克设计!$B$23:$U$23,0)))*(VLOOKUP($B198,INDIRECT($B$5&amp;"生成成长"),3))*(VLOOKUP($B$5,标准坦克设计!$B$14:$K$20,9)/30))</f>
        <v>5.7606686371510518</v>
      </c>
      <c r="CB198" s="173">
        <f ca="1">(VLOOKUP(CB$72,INDIRECT($C$5&amp;"生成成长"),2))/((VLOOKUP($B198,INDIRECT($B$5&amp;"生成成长"),4))/(VLOOKUP(CB$72,INDIRECT($C$5&amp;"生成成长"),5))*(VLOOKUP($B$5,标准坦克设计!$B$24:$U$30,MATCH("对"&amp;LEFT($C$5,2)&amp;"输出",标准坦克设计!$B$23:$U$23,0)))*(VLOOKUP($B198,INDIRECT($B$5&amp;"生成成长"),3))*(VLOOKUP($B$5,标准坦克设计!$B$14:$K$20,9)/30))</f>
        <v>6.2793960038063492</v>
      </c>
      <c r="CC198" s="173">
        <f ca="1">(VLOOKUP(CC$72,INDIRECT($C$5&amp;"生成成长"),2))/((VLOOKUP($B198,INDIRECT($B$5&amp;"生成成长"),4))/(VLOOKUP(CC$72,INDIRECT($C$5&amp;"生成成长"),5))*(VLOOKUP($B$5,标准坦克设计!$B$24:$U$30,MATCH("对"&amp;LEFT($C$5,2)&amp;"输出",标准坦克设计!$B$23:$U$23,0)))*(VLOOKUP($B198,INDIRECT($B$5&amp;"生成成长"),3))*(VLOOKUP($B$5,标准坦克设计!$B$14:$K$20,9)/30))</f>
        <v>6.8204823086795496</v>
      </c>
      <c r="CD198" s="173">
        <f ca="1">(VLOOKUP(CD$72,INDIRECT($C$5&amp;"生成成长"),2))/((VLOOKUP($B198,INDIRECT($B$5&amp;"生成成长"),4))/(VLOOKUP(CD$72,INDIRECT($C$5&amp;"生成成长"),5))*(VLOOKUP($B$5,标准坦克设计!$B$24:$U$30,MATCH("对"&amp;LEFT($C$5,2)&amp;"输出",标准坦克设计!$B$23:$U$23,0)))*(VLOOKUP($B198,INDIRECT($B$5&amp;"生成成长"),3))*(VLOOKUP($B$5,标准坦克设计!$B$14:$K$20,9)/30))</f>
        <v>7.3839275517706469</v>
      </c>
      <c r="CE198" s="173">
        <f ca="1">(VLOOKUP(CE$72,INDIRECT($C$5&amp;"生成成长"),2))/((VLOOKUP($B198,INDIRECT($B$5&amp;"生成成长"),4))/(VLOOKUP(CE$72,INDIRECT($C$5&amp;"生成成长"),5))*(VLOOKUP($B$5,标准坦克设计!$B$24:$U$30,MATCH("对"&amp;LEFT($C$5,2)&amp;"输出",标准坦克设计!$B$23:$U$23,0)))*(VLOOKUP($B198,INDIRECT($B$5&amp;"生成成长"),3))*(VLOOKUP($B$5,标准坦克设计!$B$14:$K$20,9)/30))</f>
        <v>7.9697317330796507</v>
      </c>
      <c r="CF198" s="173">
        <f ca="1">(VLOOKUP(CF$72,INDIRECT($C$5&amp;"生成成长"),2))/((VLOOKUP($B198,INDIRECT($B$5&amp;"生成成长"),4))/(VLOOKUP(CF$72,INDIRECT($C$5&amp;"生成成长"),5))*(VLOOKUP($B$5,标准坦克设计!$B$24:$U$30,MATCH("对"&amp;LEFT($C$5,2)&amp;"输出",标准坦克设计!$B$23:$U$23,0)))*(VLOOKUP($B198,INDIRECT($B$5&amp;"生成成长"),3))*(VLOOKUP($B$5,标准坦克设计!$B$14:$K$20,9)/30))</f>
        <v>8.5778948526065513</v>
      </c>
      <c r="CG198" s="173">
        <f ca="1">(VLOOKUP(CG$72,INDIRECT($C$5&amp;"生成成长"),2))/((VLOOKUP($B198,INDIRECT($B$5&amp;"生成成长"),4))/(VLOOKUP(CG$72,INDIRECT($C$5&amp;"生成成长"),5))*(VLOOKUP($B$5,标准坦克设计!$B$24:$U$30,MATCH("对"&amp;LEFT($C$5,2)&amp;"输出",标准坦克设计!$B$23:$U$23,0)))*(VLOOKUP($B198,INDIRECT($B$5&amp;"生成成长"),3))*(VLOOKUP($B$5,标准坦克设计!$B$14:$K$20,9)/30))</f>
        <v>9.2084169103513513</v>
      </c>
      <c r="CH198" s="173">
        <f ca="1">(VLOOKUP(CH$72,INDIRECT($C$5&amp;"生成成长"),2))/((VLOOKUP($B198,INDIRECT($B$5&amp;"生成成长"),4))/(VLOOKUP(CH$72,INDIRECT($C$5&amp;"生成成长"),5))*(VLOOKUP($B$5,标准坦克设计!$B$24:$U$30,MATCH("对"&amp;LEFT($C$5,2)&amp;"输出",标准坦克设计!$B$23:$U$23,0)))*(VLOOKUP($B198,INDIRECT($B$5&amp;"生成成长"),3))*(VLOOKUP($B$5,标准坦克设计!$B$14:$K$20,9)/30))</f>
        <v>9.8612979063140589</v>
      </c>
      <c r="CI198" s="173">
        <f ca="1">(VLOOKUP(CI$72,INDIRECT($C$5&amp;"生成成长"),2))/((VLOOKUP($B198,INDIRECT($B$5&amp;"生成成长"),4))/(VLOOKUP(CI$72,INDIRECT($C$5&amp;"生成成长"),5))*(VLOOKUP($B$5,标准坦克设计!$B$24:$U$30,MATCH("对"&amp;LEFT($C$5,2)&amp;"输出",标准坦克设计!$B$23:$U$23,0)))*(VLOOKUP($B198,INDIRECT($B$5&amp;"生成成长"),3))*(VLOOKUP($B$5,标准坦克设计!$B$14:$K$20,9)/30))</f>
        <v>10.605291575514705</v>
      </c>
      <c r="CJ198" s="173">
        <f ca="1">(VLOOKUP(CJ$72,INDIRECT($C$5&amp;"生成成长"),2))/((VLOOKUP($B198,INDIRECT($B$5&amp;"生成成长"),4))/(VLOOKUP(CJ$72,INDIRECT($C$5&amp;"生成成长"),5))*(VLOOKUP($B$5,标准坦克设计!$B$24:$U$30,MATCH("对"&amp;LEFT($C$5,2)&amp;"输出",标准坦克设计!$B$23:$U$23,0)))*(VLOOKUP($B198,INDIRECT($B$5&amp;"生成成长"),3))*(VLOOKUP($B$5,标准坦克设计!$B$14:$K$20,9)/30))</f>
        <v>11.376339559959014</v>
      </c>
      <c r="CK198" s="173">
        <f ca="1">(VLOOKUP(CK$72,INDIRECT($C$5&amp;"生成成长"),2))/((VLOOKUP($B198,INDIRECT($B$5&amp;"生成成长"),4))/(VLOOKUP(CK$72,INDIRECT($C$5&amp;"生成成长"),5))*(VLOOKUP($B$5,标准坦克设计!$B$24:$U$30,MATCH("对"&amp;LEFT($C$5,2)&amp;"输出",标准坦克设计!$B$23:$U$23,0)))*(VLOOKUP($B198,INDIRECT($B$5&amp;"生成成长"),3))*(VLOOKUP($B$5,标准坦克设计!$B$14:$K$20,9)/30))</f>
        <v>12.174441859646983</v>
      </c>
      <c r="CL198" s="173">
        <f ca="1">(VLOOKUP(CL$72,INDIRECT($C$5&amp;"生成成长"),2))/((VLOOKUP($B198,INDIRECT($B$5&amp;"生成成长"),4))/(VLOOKUP(CL$72,INDIRECT($C$5&amp;"生成成长"),5))*(VLOOKUP($B$5,标准坦克设计!$B$24:$U$30,MATCH("对"&amp;LEFT($C$5,2)&amp;"输出",标准坦克设计!$B$23:$U$23,0)))*(VLOOKUP($B198,INDIRECT($B$5&amp;"生成成长"),3))*(VLOOKUP($B$5,标准坦克设计!$B$14:$K$20,9)/30))</f>
        <v>12.999598474578612</v>
      </c>
      <c r="CM198" s="173">
        <f ca="1">(VLOOKUP(CM$72,INDIRECT($C$5&amp;"生成成长"),2))/((VLOOKUP($B198,INDIRECT($B$5&amp;"生成成长"),4))/(VLOOKUP(CM$72,INDIRECT($C$5&amp;"生成成长"),5))*(VLOOKUP($B$5,标准坦克设计!$B$24:$U$30,MATCH("对"&amp;LEFT($C$5,2)&amp;"输出",标准坦克设计!$B$23:$U$23,0)))*(VLOOKUP($B198,INDIRECT($B$5&amp;"生成成长"),3))*(VLOOKUP($B$5,标准坦克设计!$B$14:$K$20,9)/30))</f>
        <v>13.851809404753903</v>
      </c>
      <c r="CN198" s="173">
        <f ca="1">(VLOOKUP(CN$72,INDIRECT($C$5&amp;"生成成长"),2))/((VLOOKUP($B198,INDIRECT($B$5&amp;"生成成长"),4))/(VLOOKUP(CN$72,INDIRECT($C$5&amp;"生成成长"),5))*(VLOOKUP($B$5,标准坦克设计!$B$24:$U$30,MATCH("对"&amp;LEFT($C$5,2)&amp;"输出",标准坦克设计!$B$23:$U$23,0)))*(VLOOKUP($B198,INDIRECT($B$5&amp;"生成成长"),3))*(VLOOKUP($B$5,标准坦克设计!$B$14:$K$20,9)/30))</f>
        <v>14.73107465017285</v>
      </c>
      <c r="CO198" s="173">
        <f ca="1">(VLOOKUP(CO$72,INDIRECT($C$5&amp;"生成成长"),2))/((VLOOKUP($B198,INDIRECT($B$5&amp;"生成成长"),4))/(VLOOKUP(CO$72,INDIRECT($C$5&amp;"生成成长"),5))*(VLOOKUP($B$5,标准坦克设计!$B$24:$U$30,MATCH("对"&amp;LEFT($C$5,2)&amp;"输出",标准坦克设计!$B$23:$U$23,0)))*(VLOOKUP($B198,INDIRECT($B$5&amp;"生成成长"),3))*(VLOOKUP($B$5,标准坦克设计!$B$14:$K$20,9)/30))</f>
        <v>6.6013647141441201</v>
      </c>
      <c r="CP198" s="173">
        <f ca="1">(VLOOKUP(CP$72,INDIRECT($C$5&amp;"生成成长"),2))/((VLOOKUP($B198,INDIRECT($B$5&amp;"生成成长"),4))/(VLOOKUP(CP$72,INDIRECT($C$5&amp;"生成成长"),5))*(VLOOKUP($B$5,标准坦克设计!$B$24:$U$30,MATCH("对"&amp;LEFT($C$5,2)&amp;"输出",标准坦克设计!$B$23:$U$23,0)))*(VLOOKUP($B198,INDIRECT($B$5&amp;"生成成长"),3))*(VLOOKUP($B$5,标准坦克设计!$B$14:$K$20,9)/30))</f>
        <v>7.2125462903304394</v>
      </c>
      <c r="CQ198" s="173">
        <f ca="1">(VLOOKUP(CQ$72,INDIRECT($C$5&amp;"生成成长"),2))/((VLOOKUP($B198,INDIRECT($B$5&amp;"生成成长"),4))/(VLOOKUP(CQ$72,INDIRECT($C$5&amp;"生成成长"),5))*(VLOOKUP($B$5,标准坦克设计!$B$24:$U$30,MATCH("对"&amp;LEFT($C$5,2)&amp;"输出",标准坦克设计!$B$23:$U$23,0)))*(VLOOKUP($B198,INDIRECT($B$5&amp;"生成成长"),3))*(VLOOKUP($B$5,标准坦克设计!$B$14:$K$20,9)/30))</f>
        <v>7.850782181760418</v>
      </c>
      <c r="CR198" s="173">
        <f ca="1">(VLOOKUP(CR$72,INDIRECT($C$5&amp;"生成成长"),2))/((VLOOKUP($B198,INDIRECT($B$5&amp;"生成成长"),4))/(VLOOKUP(CR$72,INDIRECT($C$5&amp;"生成成长"),5))*(VLOOKUP($B$5,标准坦克设计!$B$24:$U$30,MATCH("对"&amp;LEFT($C$5,2)&amp;"输出",标准坦克设计!$B$23:$U$23,0)))*(VLOOKUP($B198,INDIRECT($B$5&amp;"生成成长"),3))*(VLOOKUP($B$5,标准坦克设计!$B$14:$K$20,9)/30))</f>
        <v>8.5160723884340559</v>
      </c>
      <c r="CS198" s="173">
        <f ca="1">(VLOOKUP(CS$72,INDIRECT($C$5&amp;"生成成长"),2))/((VLOOKUP($B198,INDIRECT($B$5&amp;"生成成长"),4))/(VLOOKUP(CS$72,INDIRECT($C$5&amp;"生成成长"),5))*(VLOOKUP($B$5,标准坦克设计!$B$24:$U$30,MATCH("对"&amp;LEFT($C$5,2)&amp;"输出",标准坦克设计!$B$23:$U$23,0)))*(VLOOKUP($B198,INDIRECT($B$5&amp;"生成成长"),3))*(VLOOKUP($B$5,标准坦克设计!$B$14:$K$20,9)/30))</f>
        <v>9.2084169103513513</v>
      </c>
      <c r="CT198" s="173">
        <f ca="1">(VLOOKUP(CT$72,INDIRECT($C$5&amp;"生成成长"),2))/((VLOOKUP($B198,INDIRECT($B$5&amp;"生成成长"),4))/(VLOOKUP(CT$72,INDIRECT($C$5&amp;"生成成长"),5))*(VLOOKUP($B$5,标准坦克设计!$B$24:$U$30,MATCH("对"&amp;LEFT($C$5,2)&amp;"输出",标准坦克设计!$B$23:$U$23,0)))*(VLOOKUP($B198,INDIRECT($B$5&amp;"生成成长"),3))*(VLOOKUP($B$5,标准坦克设计!$B$14:$K$20,9)/30))</f>
        <v>9.9278157475123141</v>
      </c>
      <c r="CU198" s="173">
        <f ca="1">(VLOOKUP(CU$72,INDIRECT($C$5&amp;"生成成长"),2))/((VLOOKUP($B198,INDIRECT($B$5&amp;"生成成长"),4))/(VLOOKUP(CU$72,INDIRECT($C$5&amp;"生成成长"),5))*(VLOOKUP($B$5,标准坦克设计!$B$24:$U$30,MATCH("对"&amp;LEFT($C$5,2)&amp;"输出",标准坦克设计!$B$23:$U$23,0)))*(VLOOKUP($B198,INDIRECT($B$5&amp;"生成成长"),3))*(VLOOKUP($B$5,标准坦克设计!$B$14:$K$20,9)/30))</f>
        <v>10.674268899916928</v>
      </c>
      <c r="CV198" s="173">
        <f ca="1">(VLOOKUP(CV$72,INDIRECT($C$5&amp;"生成成长"),2))/((VLOOKUP($B198,INDIRECT($B$5&amp;"生成成长"),4))/(VLOOKUP(CV$72,INDIRECT($C$5&amp;"生成成长"),5))*(VLOOKUP($B$5,标准坦克设计!$B$24:$U$30,MATCH("对"&amp;LEFT($C$5,2)&amp;"输出",标准坦克设计!$B$23:$U$23,0)))*(VLOOKUP($B198,INDIRECT($B$5&amp;"生成成长"),3))*(VLOOKUP($B$5,标准坦克设计!$B$14:$K$20,9)/30))</f>
        <v>11.447776367565208</v>
      </c>
      <c r="CW198" s="173">
        <f ca="1">(VLOOKUP(CW$72,INDIRECT($C$5&amp;"生成成长"),2))/((VLOOKUP($B198,INDIRECT($B$5&amp;"生成成长"),4))/(VLOOKUP(CW$72,INDIRECT($C$5&amp;"生成成长"),5))*(VLOOKUP($B$5,标准坦克设计!$B$24:$U$30,MATCH("对"&amp;LEFT($C$5,2)&amp;"输出",标准坦克设计!$B$23:$U$23,0)))*(VLOOKUP($B198,INDIRECT($B$5&amp;"生成成长"),3))*(VLOOKUP($B$5,标准坦克设计!$B$14:$K$20,9)/30))</f>
        <v>12.248338150457146</v>
      </c>
      <c r="CX198" s="173">
        <f ca="1">(VLOOKUP(CX$72,INDIRECT($C$5&amp;"生成成长"),2))/((VLOOKUP($B198,INDIRECT($B$5&amp;"生成成长"),4))/(VLOOKUP(CX$72,INDIRECT($C$5&amp;"生成成长"),5))*(VLOOKUP($B$5,标准坦克设计!$B$24:$U$30,MATCH("对"&amp;LEFT($C$5,2)&amp;"输出",标准坦克设计!$B$23:$U$23,0)))*(VLOOKUP($B198,INDIRECT($B$5&amp;"生成成长"),3))*(VLOOKUP($B$5,标准坦克设计!$B$14:$K$20,9)/30))</f>
        <v>13.075954248592744</v>
      </c>
      <c r="CY198" s="173">
        <f ca="1">(VLOOKUP(CY$72,INDIRECT($C$5&amp;"生成成长"),2))/((VLOOKUP($B198,INDIRECT($B$5&amp;"生成成长"),4))/(VLOOKUP(CY$72,INDIRECT($C$5&amp;"生成成长"),5))*(VLOOKUP($B$5,标准坦克设计!$B$24:$U$30,MATCH("对"&amp;LEFT($C$5,2)&amp;"输出",标准坦克设计!$B$23:$U$23,0)))*(VLOOKUP($B198,INDIRECT($B$5&amp;"生成成长"),3))*(VLOOKUP($B$5,标准坦克设计!$B$14:$K$20,9)/30))</f>
        <v>13.930624661972001</v>
      </c>
      <c r="CZ198" s="173">
        <f ca="1">(VLOOKUP(CZ$72,INDIRECT($C$5&amp;"生成成长"),2))/((VLOOKUP($B198,INDIRECT($B$5&amp;"生成成长"),4))/(VLOOKUP(CZ$72,INDIRECT($C$5&amp;"生成成长"),5))*(VLOOKUP($B$5,标准坦克设计!$B$24:$U$30,MATCH("对"&amp;LEFT($C$5,2)&amp;"输出",标准坦克设计!$B$23:$U$23,0)))*(VLOOKUP($B198,INDIRECT($B$5&amp;"生成成长"),3))*(VLOOKUP($B$5,标准坦克设计!$B$14:$K$20,9)/30))</f>
        <v>14.812349390594919</v>
      </c>
      <c r="DA198" s="173">
        <f ca="1">(VLOOKUP(DA$72,INDIRECT($C$5&amp;"生成成长"),2))/((VLOOKUP($B198,INDIRECT($B$5&amp;"生成成长"),4))/(VLOOKUP(DA$72,INDIRECT($C$5&amp;"生成成长"),5))*(VLOOKUP($B$5,标准坦克设计!$B$24:$U$30,MATCH("对"&amp;LEFT($C$5,2)&amp;"输出",标准坦克设计!$B$23:$U$23,0)))*(VLOOKUP($B198,INDIRECT($B$5&amp;"生成成长"),3))*(VLOOKUP($B$5,标准坦克设计!$B$14:$K$20,9)/30))</f>
        <v>15.721128434461496</v>
      </c>
      <c r="DB198" s="173">
        <f ca="1">(VLOOKUP(DB$72,INDIRECT($C$5&amp;"生成成长"),2))/((VLOOKUP($B198,INDIRECT($B$5&amp;"生成成长"),4))/(VLOOKUP(DB$72,INDIRECT($C$5&amp;"生成成长"),5))*(VLOOKUP($B$5,标准坦克设计!$B$24:$U$30,MATCH("对"&amp;LEFT($C$5,2)&amp;"输出",标准坦克设计!$B$23:$U$23,0)))*(VLOOKUP($B198,INDIRECT($B$5&amp;"生成成长"),3))*(VLOOKUP($B$5,标准坦克设计!$B$14:$K$20,9)/30))</f>
        <v>16.656961793571739</v>
      </c>
      <c r="DC198" s="173">
        <f ca="1">(VLOOKUP(DC$72,INDIRECT($C$5&amp;"生成成长"),2))/((VLOOKUP($B198,INDIRECT($B$5&amp;"生成成长"),4))/(VLOOKUP(DC$72,INDIRECT($C$5&amp;"生成成长"),5))*(VLOOKUP($B$5,标准坦克设计!$B$24:$U$30,MATCH("对"&amp;LEFT($C$5,2)&amp;"输出",标准坦克设计!$B$23:$U$23,0)))*(VLOOKUP($B198,INDIRECT($B$5&amp;"生成成长"),3))*(VLOOKUP($B$5,标准坦克设计!$B$14:$K$20,9)/30))</f>
        <v>17.708726247341787</v>
      </c>
      <c r="DD198" s="173">
        <f ca="1">(VLOOKUP(DD$72,INDIRECT($C$5&amp;"生成成长"),2))/((VLOOKUP($B198,INDIRECT($B$5&amp;"生成成长"),4))/(VLOOKUP(DD$72,INDIRECT($C$5&amp;"生成成长"),5))*(VLOOKUP($B$5,标准坦克设计!$B$24:$U$30,MATCH("对"&amp;LEFT($C$5,2)&amp;"输出",标准坦克设计!$B$23:$U$23,0)))*(VLOOKUP($B198,INDIRECT($B$5&amp;"生成成长"),3))*(VLOOKUP($B$5,标准坦克设计!$B$14:$K$20,9)/30))</f>
        <v>18.792687572145624</v>
      </c>
      <c r="DE198" s="173">
        <f ca="1">(VLOOKUP(DE$72,INDIRECT($C$5&amp;"生成成长"),2))/((VLOOKUP($B198,INDIRECT($B$5&amp;"生成成长"),4))/(VLOOKUP(DE$72,INDIRECT($C$5&amp;"生成成长"),5))*(VLOOKUP($B$5,标准坦克设计!$B$24:$U$30,MATCH("对"&amp;LEFT($C$5,2)&amp;"输出",标准坦克设计!$B$23:$U$23,0)))*(VLOOKUP($B198,INDIRECT($B$5&amp;"生成成长"),3))*(VLOOKUP($B$5,标准坦克设计!$B$14:$K$20,9)/30))</f>
        <v>19.908845767983227</v>
      </c>
      <c r="DF198" s="173">
        <f ca="1">(VLOOKUP(DF$72,INDIRECT($C$5&amp;"生成成长"),2))/((VLOOKUP($B198,INDIRECT($B$5&amp;"生成成长"),4))/(VLOOKUP(DF$72,INDIRECT($C$5&amp;"生成成长"),5))*(VLOOKUP($B$5,标准坦克设计!$B$24:$U$30,MATCH("对"&amp;LEFT($C$5,2)&amp;"输出",标准坦克设计!$B$23:$U$23,0)))*(VLOOKUP($B198,INDIRECT($B$5&amp;"生成成长"),3))*(VLOOKUP($B$5,标准坦克设计!$B$14:$K$20,9)/30))</f>
        <v>21.057200834854612</v>
      </c>
      <c r="DG198" s="173">
        <f ca="1">(VLOOKUP(DG$72,INDIRECT($C$5&amp;"生成成长"),2))/((VLOOKUP($B198,INDIRECT($B$5&amp;"生成成长"),4))/(VLOOKUP(DG$72,INDIRECT($C$5&amp;"生成成长"),5))*(VLOOKUP($B$5,标准坦克设计!$B$24:$U$30,MATCH("对"&amp;LEFT($C$5,2)&amp;"输出",标准坦克设计!$B$23:$U$23,0)))*(VLOOKUP($B198,INDIRECT($B$5&amp;"生成成长"),3))*(VLOOKUP($B$5,标准坦克设计!$B$14:$K$20,9)/30))</f>
        <v>22.237752772759777</v>
      </c>
      <c r="DH198" s="173">
        <f ca="1">(VLOOKUP(DH$72,INDIRECT($C$5&amp;"生成成长"),2))/((VLOOKUP($B198,INDIRECT($B$5&amp;"生成成长"),4))/(VLOOKUP(DH$72,INDIRECT($C$5&amp;"生成成长"),5))*(VLOOKUP($B$5,标准坦克设计!$B$24:$U$30,MATCH("对"&amp;LEFT($C$5,2)&amp;"输出",标准坦克设计!$B$23:$U$23,0)))*(VLOOKUP($B198,INDIRECT($B$5&amp;"生成成长"),3))*(VLOOKUP($B$5,标准坦克设计!$B$14:$K$20,9)/30))</f>
        <v>23.450501581698717</v>
      </c>
      <c r="DI198" s="173">
        <f ca="1">(VLOOKUP(DI$72,INDIRECT($C$5&amp;"生成成长"),2))/((VLOOKUP($B198,INDIRECT($B$5&amp;"生成成长"),4))/(VLOOKUP(DI$72,INDIRECT($C$5&amp;"生成成长"),5))*(VLOOKUP($B$5,标准坦克设计!$B$24:$U$30,MATCH("对"&amp;LEFT($C$5,2)&amp;"输出",标准坦克设计!$B$23:$U$23,0)))*(VLOOKUP($B198,INDIRECT($B$5&amp;"生成成长"),3))*(VLOOKUP($B$5,标准坦克设计!$B$14:$K$20,9)/30))</f>
        <v>24.695447261671429</v>
      </c>
      <c r="DJ198" s="173">
        <f ca="1">(VLOOKUP(DJ$72,INDIRECT($C$5&amp;"生成成长"),2))/((VLOOKUP($B198,INDIRECT($B$5&amp;"生成成长"),4))/(VLOOKUP(DJ$72,INDIRECT($C$5&amp;"生成成长"),5))*(VLOOKUP($B$5,标准坦克设计!$B$24:$U$30,MATCH("对"&amp;LEFT($C$5,2)&amp;"输出",标准坦克设计!$B$23:$U$23,0)))*(VLOOKUP($B198,INDIRECT($B$5&amp;"生成成长"),3))*(VLOOKUP($B$5,标准坦克设计!$B$14:$K$20,9)/30))</f>
        <v>2.4819539368780785</v>
      </c>
      <c r="DK198" s="173">
        <f ca="1">(VLOOKUP(DK$72,INDIRECT($C$5&amp;"生成成长"),2))/((VLOOKUP($B198,INDIRECT($B$5&amp;"生成成长"),4))/(VLOOKUP(DK$72,INDIRECT($C$5&amp;"生成成长"),5))*(VLOOKUP($B$5,标准坦克设计!$B$24:$U$30,MATCH("对"&amp;LEFT($C$5,2)&amp;"输出",标准坦克设计!$B$23:$U$23,0)))*(VLOOKUP($B198,INDIRECT($B$5&amp;"生成成长"),3))*(VLOOKUP($B$5,标准坦克设计!$B$14:$K$20,9)/30))</f>
        <v>2.7908426683583771</v>
      </c>
      <c r="DL198" s="173">
        <f ca="1">(VLOOKUP(DL$72,INDIRECT($C$5&amp;"生成成长"),2))/((VLOOKUP($B198,INDIRECT($B$5&amp;"生成成长"),4))/(VLOOKUP(DL$72,INDIRECT($C$5&amp;"生成成长"),5))*(VLOOKUP($B$5,标准坦克设计!$B$24:$U$30,MATCH("对"&amp;LEFT($C$5,2)&amp;"输出",标准坦克设计!$B$23:$U$23,0)))*(VLOOKUP($B198,INDIRECT($B$5&amp;"生成成长"),3))*(VLOOKUP($B$5,标准坦克设计!$B$14:$K$20,9)/30))</f>
        <v>3.1178421397951768</v>
      </c>
      <c r="DM198" s="173">
        <f ca="1">(VLOOKUP(DM$72,INDIRECT($C$5&amp;"生成成长"),2))/((VLOOKUP($B198,INDIRECT($B$5&amp;"生成成长"),4))/(VLOOKUP(DM$72,INDIRECT($C$5&amp;"生成成长"),5))*(VLOOKUP($B$5,标准坦克设计!$B$24:$U$30,MATCH("对"&amp;LEFT($C$5,2)&amp;"输出",标准坦克设计!$B$23:$U$23,0)))*(VLOOKUP($B198,INDIRECT($B$5&amp;"生成成长"),3))*(VLOOKUP($B$5,标准坦克设计!$B$14:$K$20,9)/30))</f>
        <v>3.4629523511884757</v>
      </c>
      <c r="DN198" s="173">
        <f ca="1">(VLOOKUP(DN$72,INDIRECT($C$5&amp;"生成成长"),2))/((VLOOKUP($B198,INDIRECT($B$5&amp;"生成成长"),4))/(VLOOKUP(DN$72,INDIRECT($C$5&amp;"生成成长"),5))*(VLOOKUP($B$5,标准坦克设计!$B$24:$U$30,MATCH("对"&amp;LEFT($C$5,2)&amp;"输出",标准坦克设计!$B$23:$U$23,0)))*(VLOOKUP($B198,INDIRECT($B$5&amp;"生成成长"),3))*(VLOOKUP($B$5,标准坦克设计!$B$14:$K$20,9)/30))</f>
        <v>3.8261733025382738</v>
      </c>
      <c r="DO198" s="173">
        <f ca="1">(VLOOKUP(DO$72,INDIRECT($C$5&amp;"生成成长"),2))/((VLOOKUP($B198,INDIRECT($B$5&amp;"生成成长"),4))/(VLOOKUP(DO$72,INDIRECT($C$5&amp;"生成成长"),5))*(VLOOKUP($B$5,标准坦克设计!$B$24:$U$30,MATCH("对"&amp;LEFT($C$5,2)&amp;"输出",标准坦克设计!$B$23:$U$23,0)))*(VLOOKUP($B198,INDIRECT($B$5&amp;"生成成长"),3))*(VLOOKUP($B$5,标准坦克设计!$B$14:$K$20,9)/30))</f>
        <v>4.2075049938445712</v>
      </c>
      <c r="DP198" s="173">
        <f ca="1">(VLOOKUP(DP$72,INDIRECT($C$5&amp;"生成成长"),2))/((VLOOKUP($B198,INDIRECT($B$5&amp;"生成成长"),4))/(VLOOKUP(DP$72,INDIRECT($C$5&amp;"生成成长"),5))*(VLOOKUP($B$5,标准坦克设计!$B$24:$U$30,MATCH("对"&amp;LEFT($C$5,2)&amp;"输出",标准坦克设计!$B$23:$U$23,0)))*(VLOOKUP($B198,INDIRECT($B$5&amp;"生成成长"),3))*(VLOOKUP($B$5,标准坦克设计!$B$14:$K$20,9)/30))</f>
        <v>4.6069474251073697</v>
      </c>
      <c r="DQ198" s="173">
        <f ca="1">(VLOOKUP(DQ$72,INDIRECT($C$5&amp;"生成成长"),2))/((VLOOKUP($B198,INDIRECT($B$5&amp;"生成成长"),4))/(VLOOKUP(DQ$72,INDIRECT($C$5&amp;"生成成长"),5))*(VLOOKUP($B$5,标准坦克设计!$B$24:$U$30,MATCH("对"&amp;LEFT($C$5,2)&amp;"输出",标准坦克设计!$B$23:$U$23,0)))*(VLOOKUP($B198,INDIRECT($B$5&amp;"生成成长"),3))*(VLOOKUP($B$5,标准坦克设计!$B$14:$K$20,9)/30))</f>
        <v>5.0245005963266678</v>
      </c>
      <c r="DR198" s="173">
        <f ca="1">(VLOOKUP(DR$72,INDIRECT($C$5&amp;"生成成长"),2))/((VLOOKUP($B198,INDIRECT($B$5&amp;"生成成长"),4))/(VLOOKUP(DR$72,INDIRECT($C$5&amp;"生成成长"),5))*(VLOOKUP($B$5,标准坦克设计!$B$24:$U$30,MATCH("对"&amp;LEFT($C$5,2)&amp;"输出",标准坦克设计!$B$23:$U$23,0)))*(VLOOKUP($B198,INDIRECT($B$5&amp;"生成成长"),3))*(VLOOKUP($B$5,标准坦克设计!$B$14:$K$20,9)/30))</f>
        <v>5.4601645075024638</v>
      </c>
      <c r="DS198" s="173">
        <f ca="1">(VLOOKUP(DS$72,INDIRECT($C$5&amp;"生成成长"),2))/((VLOOKUP($B198,INDIRECT($B$5&amp;"生成成长"),4))/(VLOOKUP(DS$72,INDIRECT($C$5&amp;"生成成长"),5))*(VLOOKUP($B$5,标准坦克设计!$B$24:$U$30,MATCH("对"&amp;LEFT($C$5,2)&amp;"输出",标准坦克设计!$B$23:$U$23,0)))*(VLOOKUP($B198,INDIRECT($B$5&amp;"生成成长"),3))*(VLOOKUP($B$5,标准坦克设计!$B$14:$K$20,9)/30))</f>
        <v>5.9139391586347605</v>
      </c>
      <c r="DT198" s="173">
        <f ca="1">(VLOOKUP(DT$72,INDIRECT($C$5&amp;"生成成长"),2))/((VLOOKUP($B198,INDIRECT($B$5&amp;"生成成长"),4))/(VLOOKUP(DT$72,INDIRECT($C$5&amp;"生成成长"),5))*(VLOOKUP($B$5,标准坦克设计!$B$24:$U$30,MATCH("对"&amp;LEFT($C$5,2)&amp;"输出",标准坦克设计!$B$23:$U$23,0)))*(VLOOKUP($B198,INDIRECT($B$5&amp;"生成成长"),3))*(VLOOKUP($B$5,标准坦克设计!$B$14:$K$20,9)/30))</f>
        <v>6.4931474531694802</v>
      </c>
      <c r="DU198" s="173">
        <f ca="1">(VLOOKUP(DU$72,INDIRECT($C$5&amp;"生成成长"),2))/((VLOOKUP($B198,INDIRECT($B$5&amp;"生成成长"),4))/(VLOOKUP(DU$72,INDIRECT($C$5&amp;"生成成长"),5))*(VLOOKUP($B$5,标准坦克设计!$B$24:$U$30,MATCH("对"&amp;LEFT($C$5,2)&amp;"输出",标准坦克设计!$B$23:$U$23,0)))*(VLOOKUP($B198,INDIRECT($B$5&amp;"生成成长"),3))*(VLOOKUP($B$5,标准坦克设计!$B$14:$K$20,9)/30))</f>
        <v>7.0994100629478609</v>
      </c>
      <c r="DV198" s="173">
        <f ca="1">(VLOOKUP(DV$72,INDIRECT($C$5&amp;"生成成长"),2))/((VLOOKUP($B198,INDIRECT($B$5&amp;"生成成长"),4))/(VLOOKUP(DV$72,INDIRECT($C$5&amp;"生成成长"),5))*(VLOOKUP($B$5,标准坦克设计!$B$24:$U$30,MATCH("对"&amp;LEFT($C$5,2)&amp;"输出",标准坦克设计!$B$23:$U$23,0)))*(VLOOKUP($B198,INDIRECT($B$5&amp;"生成成长"),3))*(VLOOKUP($B$5,标准坦克设计!$B$14:$K$20,9)/30))</f>
        <v>7.7327269879699001</v>
      </c>
      <c r="DW198" s="173">
        <f ca="1">(VLOOKUP(DW$72,INDIRECT($C$5&amp;"生成成长"),2))/((VLOOKUP($B198,INDIRECT($B$5&amp;"生成成长"),4))/(VLOOKUP(DW$72,INDIRECT($C$5&amp;"生成成长"),5))*(VLOOKUP($B$5,标准坦克设计!$B$24:$U$30,MATCH("对"&amp;LEFT($C$5,2)&amp;"输出",标准坦克设计!$B$23:$U$23,0)))*(VLOOKUP($B198,INDIRECT($B$5&amp;"生成成长"),3))*(VLOOKUP($B$5,标准坦克设计!$B$14:$K$20,9)/30))</f>
        <v>8.3930982282356013</v>
      </c>
      <c r="DX198" s="173">
        <f ca="1">(VLOOKUP(DX$72,INDIRECT($C$5&amp;"生成成长"),2))/((VLOOKUP($B198,INDIRECT($B$5&amp;"生成成长"),4))/(VLOOKUP(DX$72,INDIRECT($C$5&amp;"生成成长"),5))*(VLOOKUP($B$5,标准坦克设计!$B$24:$U$30,MATCH("对"&amp;LEFT($C$5,2)&amp;"输出",标准坦克设计!$B$23:$U$23,0)))*(VLOOKUP($B198,INDIRECT($B$5&amp;"生成成长"),3))*(VLOOKUP($B$5,标准坦克设计!$B$14:$K$20,9)/30))</f>
        <v>9.0805237837449599</v>
      </c>
      <c r="DY198" s="173">
        <f ca="1">(VLOOKUP(DY$72,INDIRECT($C$5&amp;"生成成长"),2))/((VLOOKUP($B198,INDIRECT($B$5&amp;"生成成长"),4))/(VLOOKUP(DY$72,INDIRECT($C$5&amp;"生成成长"),5))*(VLOOKUP($B$5,标准坦克设计!$B$24:$U$30,MATCH("对"&amp;LEFT($C$5,2)&amp;"输出",标准坦克设计!$B$23:$U$23,0)))*(VLOOKUP($B198,INDIRECT($B$5&amp;"生成成长"),3))*(VLOOKUP($B$5,标准坦克设计!$B$14:$K$20,9)/30))</f>
        <v>4.0783821256361943</v>
      </c>
      <c r="DZ198" s="173">
        <f ca="1">(VLOOKUP(DZ$72,INDIRECT($C$5&amp;"生成成长"),2))/((VLOOKUP($B198,INDIRECT($B$5&amp;"生成成长"),4))/(VLOOKUP(DZ$72,INDIRECT($C$5&amp;"生成成长"),5))*(VLOOKUP($B$5,标准坦克设计!$B$24:$U$30,MATCH("对"&amp;LEFT($C$5,2)&amp;"输出",标准坦克设计!$B$23:$U$23,0)))*(VLOOKUP($B198,INDIRECT($B$5&amp;"生成成长"),3))*(VLOOKUP($B$5,标准坦克设计!$B$14:$K$20,9)/30))</f>
        <v>4.5166173147070499</v>
      </c>
      <c r="EA198" s="173">
        <f ca="1">(VLOOKUP(EA$72,INDIRECT($C$5&amp;"生成成长"),2))/((VLOOKUP($B198,INDIRECT($B$5&amp;"生成成长"),4))/(VLOOKUP(EA$72,INDIRECT($C$5&amp;"生成成长"),5))*(VLOOKUP($B$5,标准坦克设计!$B$24:$U$30,MATCH("对"&amp;LEFT($C$5,2)&amp;"输出",标准坦克设计!$B$23:$U$23,0)))*(VLOOKUP($B198,INDIRECT($B$5&amp;"生成成长"),3))*(VLOOKUP($B$5,标准坦克设计!$B$14:$K$20,9)/30))</f>
        <v>4.9772114419958067</v>
      </c>
      <c r="EB198" s="173">
        <f ca="1">(VLOOKUP(EB$72,INDIRECT($C$5&amp;"生成成长"),2))/((VLOOKUP($B198,INDIRECT($B$5&amp;"生成成长"),4))/(VLOOKUP(EB$72,INDIRECT($C$5&amp;"生成成长"),5))*(VLOOKUP($B$5,标准坦克设计!$B$24:$U$30,MATCH("对"&amp;LEFT($C$5,2)&amp;"输出",标准坦克设计!$B$23:$U$23,0)))*(VLOOKUP($B198,INDIRECT($B$5&amp;"生成成长"),3))*(VLOOKUP($B$5,标准坦克设计!$B$14:$K$20,9)/30))</f>
        <v>5.4601645075024638</v>
      </c>
      <c r="EC198" s="173">
        <f ca="1">(VLOOKUP(EC$72,INDIRECT($C$5&amp;"生成成长"),2))/((VLOOKUP($B198,INDIRECT($B$5&amp;"生成成长"),4))/(VLOOKUP(EC$72,INDIRECT($C$5&amp;"生成成长"),5))*(VLOOKUP($B$5,标准坦克设计!$B$24:$U$30,MATCH("对"&amp;LEFT($C$5,2)&amp;"输出",标准坦克设计!$B$23:$U$23,0)))*(VLOOKUP($B198,INDIRECT($B$5&amp;"生成成长"),3))*(VLOOKUP($B$5,标准坦克设计!$B$14:$K$20,9)/30))</f>
        <v>5.9654765112270214</v>
      </c>
      <c r="ED198" s="173">
        <f ca="1">(VLOOKUP(ED$72,INDIRECT($C$5&amp;"生成成长"),2))/((VLOOKUP($B198,INDIRECT($B$5&amp;"生成成长"),4))/(VLOOKUP(ED$72,INDIRECT($C$5&amp;"生成成长"),5))*(VLOOKUP($B$5,标准坦克设计!$B$24:$U$30,MATCH("对"&amp;LEFT($C$5,2)&amp;"输出",标准坦克设计!$B$23:$U$23,0)))*(VLOOKUP($B198,INDIRECT($B$5&amp;"生成成长"),3))*(VLOOKUP($B$5,标准坦克设计!$B$14:$K$20,9)/30))</f>
        <v>6.4931474531694802</v>
      </c>
      <c r="EE198" s="173">
        <f ca="1">(VLOOKUP(EE$72,INDIRECT($C$5&amp;"生成成长"),2))/((VLOOKUP($B198,INDIRECT($B$5&amp;"生成成长"),4))/(VLOOKUP(EE$72,INDIRECT($C$5&amp;"生成成长"),5))*(VLOOKUP($B$5,标准坦克设计!$B$24:$U$30,MATCH("对"&amp;LEFT($C$5,2)&amp;"输出",标准坦克设计!$B$23:$U$23,0)))*(VLOOKUP($B198,INDIRECT($B$5&amp;"生成成长"),3))*(VLOOKUP($B$5,标准坦克设计!$B$14:$K$20,9)/30))</f>
        <v>7.0431773333298402</v>
      </c>
      <c r="EF198" s="173">
        <f ca="1">(VLOOKUP(EF$72,INDIRECT($C$5&amp;"生成成长"),2))/((VLOOKUP($B198,INDIRECT($B$5&amp;"生成成长"),4))/(VLOOKUP(EF$72,INDIRECT($C$5&amp;"生成成长"),5))*(VLOOKUP($B$5,标准坦克设计!$B$24:$U$30,MATCH("对"&amp;LEFT($C$5,2)&amp;"输出",标准坦克设计!$B$23:$U$23,0)))*(VLOOKUP($B198,INDIRECT($B$5&amp;"生成成长"),3))*(VLOOKUP($B$5,标准坦克设计!$B$14:$K$20,9)/30))</f>
        <v>7.6155661517081015</v>
      </c>
      <c r="EG198" s="173">
        <f ca="1">(VLOOKUP(EG$72,INDIRECT($C$5&amp;"生成成长"),2))/((VLOOKUP($B198,INDIRECT($B$5&amp;"生成成长"),4))/(VLOOKUP(EG$72,INDIRECT($C$5&amp;"生成成长"),5))*(VLOOKUP($B$5,标准坦克设计!$B$24:$U$30,MATCH("对"&amp;LEFT($C$5,2)&amp;"输出",标准坦克设计!$B$23:$U$23,0)))*(VLOOKUP($B198,INDIRECT($B$5&amp;"生成成长"),3))*(VLOOKUP($B$5,标准坦克设计!$B$14:$K$20,9)/30))</f>
        <v>8.2103139083042631</v>
      </c>
      <c r="EH198" s="173">
        <f ca="1">(VLOOKUP(EH$72,INDIRECT($C$5&amp;"生成成长"),2))/((VLOOKUP($B198,INDIRECT($B$5&amp;"生成成长"),4))/(VLOOKUP(EH$72,INDIRECT($C$5&amp;"生成成长"),5))*(VLOOKUP($B$5,标准坦克设计!$B$24:$U$30,MATCH("对"&amp;LEFT($C$5,2)&amp;"输出",标准坦克设计!$B$23:$U$23,0)))*(VLOOKUP($B198,INDIRECT($B$5&amp;"生成成长"),3))*(VLOOKUP($B$5,标准坦克设计!$B$14:$K$20,9)/30))</f>
        <v>8.8274206031183251</v>
      </c>
      <c r="EI198" s="173">
        <f ca="1">(VLOOKUP(EI$72,INDIRECT($C$5&amp;"生成成长"),2))/((VLOOKUP($B198,INDIRECT($B$5&amp;"生成成长"),4))/(VLOOKUP(EI$72,INDIRECT($C$5&amp;"生成成长"),5))*(VLOOKUP($B$5,标准坦克设计!$B$24:$U$30,MATCH("对"&amp;LEFT($C$5,2)&amp;"输出",标准坦克设计!$B$23:$U$23,0)))*(VLOOKUP($B198,INDIRECT($B$5&amp;"生成成长"),3))*(VLOOKUP($B$5,标准坦克设计!$B$14:$K$20,9)/30))</f>
        <v>9.4668862361502875</v>
      </c>
      <c r="EJ198" s="173">
        <f ca="1">(VLOOKUP(EJ$72,INDIRECT($C$5&amp;"生成成长"),2))/((VLOOKUP($B198,INDIRECT($B$5&amp;"生成成长"),4))/(VLOOKUP(EJ$72,INDIRECT($C$5&amp;"生成成长"),5))*(VLOOKUP($B$5,标准坦克设计!$B$24:$U$30,MATCH("对"&amp;LEFT($C$5,2)&amp;"输出",标准坦克设计!$B$23:$U$23,0)))*(VLOOKUP($B198,INDIRECT($B$5&amp;"生成成长"),3))*(VLOOKUP($B$5,标准坦克设计!$B$14:$K$20,9)/30))</f>
        <v>10.128710807400152</v>
      </c>
      <c r="EK198" s="173">
        <f ca="1">(VLOOKUP(EK$72,INDIRECT($C$5&amp;"生成成长"),2))/((VLOOKUP($B198,INDIRECT($B$5&amp;"生成成长"),4))/(VLOOKUP(EK$72,INDIRECT($C$5&amp;"生成成长"),5))*(VLOOKUP($B$5,标准坦克设计!$B$24:$U$30,MATCH("对"&amp;LEFT($C$5,2)&amp;"输出",标准坦克设计!$B$23:$U$23,0)))*(VLOOKUP($B198,INDIRECT($B$5&amp;"生成成长"),3))*(VLOOKUP($B$5,标准坦克设计!$B$14:$K$20,9)/30))</f>
        <v>10.952414091347617</v>
      </c>
      <c r="EL198" s="173">
        <f ca="1">(VLOOKUP(EL$72,INDIRECT($C$5&amp;"生成成长"),2))/((VLOOKUP($B198,INDIRECT($B$5&amp;"生成成长"),4))/(VLOOKUP(EL$72,INDIRECT($C$5&amp;"生成成长"),5))*(VLOOKUP($B$5,标准坦克设计!$B$24:$U$30,MATCH("对"&amp;LEFT($C$5,2)&amp;"输出",标准坦克设计!$B$23:$U$23,0)))*(VLOOKUP($B198,INDIRECT($B$5&amp;"生成成长"),3))*(VLOOKUP($B$5,标准坦克设计!$B$14:$K$20,9)/30))</f>
        <v>11.808314246328861</v>
      </c>
      <c r="EM198" s="173">
        <f ca="1">(VLOOKUP(EM$72,INDIRECT($C$5&amp;"生成成长"),2))/((VLOOKUP($B198,INDIRECT($B$5&amp;"生成成长"),4))/(VLOOKUP(EM$72,INDIRECT($C$5&amp;"生成成长"),5))*(VLOOKUP($B$5,标准坦克设计!$B$24:$U$30,MATCH("对"&amp;LEFT($C$5,2)&amp;"输出",标准坦克设计!$B$23:$U$23,0)))*(VLOOKUP($B198,INDIRECT($B$5&amp;"生成成长"),3))*(VLOOKUP($B$5,标准坦克设计!$B$14:$K$20,9)/30))</f>
        <v>12.696411272343877</v>
      </c>
      <c r="EN198" s="173">
        <f ca="1">(VLOOKUP(EN$72,INDIRECT($C$5&amp;"生成成长"),2))/((VLOOKUP($B198,INDIRECT($B$5&amp;"生成成长"),4))/(VLOOKUP(EN$72,INDIRECT($C$5&amp;"生成成长"),5))*(VLOOKUP($B$5,标准坦克设计!$B$24:$U$30,MATCH("对"&amp;LEFT($C$5,2)&amp;"输出",标准坦克设计!$B$23:$U$23,0)))*(VLOOKUP($B198,INDIRECT($B$5&amp;"生成成长"),3))*(VLOOKUP($B$5,标准坦克设计!$B$14:$K$20,9)/30))</f>
        <v>13.616705169392676</v>
      </c>
      <c r="EO198" s="173">
        <f ca="1">(VLOOKUP(EO$72,INDIRECT($C$5&amp;"生成成长"),2))/((VLOOKUP($B198,INDIRECT($B$5&amp;"生成成长"),4))/(VLOOKUP(EO$72,INDIRECT($C$5&amp;"生成成长"),5))*(VLOOKUP($B$5,标准坦克设计!$B$24:$U$30,MATCH("对"&amp;LEFT($C$5,2)&amp;"输出",标准坦克设计!$B$23:$U$23,0)))*(VLOOKUP($B198,INDIRECT($B$5&amp;"生成成长"),3))*(VLOOKUP($B$5,标准坦克设计!$B$14:$K$20,9)/30))</f>
        <v>14.569195937475252</v>
      </c>
      <c r="EP198" s="173">
        <f ca="1">(VLOOKUP(EP$72,INDIRECT($C$5&amp;"生成成长"),2))/((VLOOKUP($B198,INDIRECT($B$5&amp;"生成成长"),4))/(VLOOKUP(EP$72,INDIRECT($C$5&amp;"生成成长"),5))*(VLOOKUP($B$5,标准坦克设计!$B$24:$U$30,MATCH("对"&amp;LEFT($C$5,2)&amp;"输出",标准坦克设计!$B$23:$U$23,0)))*(VLOOKUP($B198,INDIRECT($B$5&amp;"生成成长"),3))*(VLOOKUP($B$5,标准坦克设计!$B$14:$K$20,9)/30))</f>
        <v>15.5538835765916</v>
      </c>
      <c r="EQ198" s="173">
        <f ca="1">(VLOOKUP(EQ$72,INDIRECT($C$5&amp;"生成成长"),2))/((VLOOKUP($B198,INDIRECT($B$5&amp;"生成成长"),4))/(VLOOKUP(EQ$72,INDIRECT($C$5&amp;"生成成长"),5))*(VLOOKUP($B$5,标准坦克设计!$B$24:$U$30,MATCH("对"&amp;LEFT($C$5,2)&amp;"输出",标准坦克设计!$B$23:$U$23,0)))*(VLOOKUP($B198,INDIRECT($B$5&amp;"生成成长"),3))*(VLOOKUP($B$5,标准坦克设计!$B$14:$K$20,9)/30))</f>
        <v>6.8758206807688538</v>
      </c>
      <c r="ER198" s="173">
        <f ca="1">(VLOOKUP(ER$72,INDIRECT($C$5&amp;"生成成长"),2))/((VLOOKUP($B198,INDIRECT($B$5&amp;"生成成长"),4))/(VLOOKUP(ER$72,INDIRECT($C$5&amp;"生成成长"),5))*(VLOOKUP($B$5,标准坦克设计!$B$24:$U$30,MATCH("对"&amp;LEFT($C$5,2)&amp;"输出",标准坦克设计!$B$23:$U$23,0)))*(VLOOKUP($B198,INDIRECT($B$5&amp;"生成成长"),3))*(VLOOKUP($B$5,标准坦克设计!$B$14:$K$20,9)/30))</f>
        <v>7.4992996729750159</v>
      </c>
      <c r="ES198" s="173">
        <f ca="1">(VLOOKUP(ES$72,INDIRECT($C$5&amp;"生成成长"),2))/((VLOOKUP($B198,INDIRECT($B$5&amp;"生成成长"),4))/(VLOOKUP(ES$72,INDIRECT($C$5&amp;"生成成长"),5))*(VLOOKUP($B$5,标准坦克设计!$B$24:$U$30,MATCH("对"&amp;LEFT($C$5,2)&amp;"输出",标准坦克设计!$B$23:$U$23,0)))*(VLOOKUP($B198,INDIRECT($B$5&amp;"生成成长"),3))*(VLOOKUP($B$5,标准坦克设计!$B$14:$K$20,9)/30))</f>
        <v>8.1498329804248399</v>
      </c>
      <c r="ET198" s="173">
        <f ca="1">(VLOOKUP(ET$72,INDIRECT($C$5&amp;"生成成长"),2))/((VLOOKUP($B198,INDIRECT($B$5&amp;"生成成长"),4))/(VLOOKUP(ET$72,INDIRECT($C$5&amp;"生成成长"),5))*(VLOOKUP($B$5,标准坦克设计!$B$24:$U$30,MATCH("对"&amp;LEFT($C$5,2)&amp;"输出",标准坦克设计!$B$23:$U$23,0)))*(VLOOKUP($B198,INDIRECT($B$5&amp;"生成成长"),3))*(VLOOKUP($B$5,标准坦克设计!$B$14:$K$20,9)/30))</f>
        <v>8.8274206031183251</v>
      </c>
      <c r="EU198" s="173">
        <f ca="1">(VLOOKUP(EU$72,INDIRECT($C$5&amp;"生成成长"),2))/((VLOOKUP($B198,INDIRECT($B$5&amp;"生成成长"),4))/(VLOOKUP(EU$72,INDIRECT($C$5&amp;"生成成长"),5))*(VLOOKUP($B$5,标准坦克设计!$B$24:$U$30,MATCH("对"&amp;LEFT($C$5,2)&amp;"输出",标准坦克设计!$B$23:$U$23,0)))*(VLOOKUP($B198,INDIRECT($B$5&amp;"生成成长"),3))*(VLOOKUP($B$5,标准坦克设计!$B$14:$K$20,9)/30))</f>
        <v>9.5320625410554687</v>
      </c>
      <c r="EV198" s="173">
        <f ca="1">(VLOOKUP(EV$72,INDIRECT($C$5&amp;"生成成长"),2))/((VLOOKUP($B198,INDIRECT($B$5&amp;"生成成长"),4))/(VLOOKUP(EV$72,INDIRECT($C$5&amp;"生成成长"),5))*(VLOOKUP($B$5,标准坦克设计!$B$24:$U$30,MATCH("对"&amp;LEFT($C$5,2)&amp;"输出",标准坦克设计!$B$23:$U$23,0)))*(VLOOKUP($B198,INDIRECT($B$5&amp;"生成成长"),3))*(VLOOKUP($B$5,标准坦克设计!$B$14:$K$20,9)/30))</f>
        <v>10.263758794236272</v>
      </c>
      <c r="EW198" s="173">
        <f ca="1">(VLOOKUP(EW$72,INDIRECT($C$5&amp;"生成成长"),2))/((VLOOKUP($B198,INDIRECT($B$5&amp;"生成成长"),4))/(VLOOKUP(EW$72,INDIRECT($C$5&amp;"生成成长"),5))*(VLOOKUP($B$5,标准坦克设计!$B$24:$U$30,MATCH("对"&amp;LEFT($C$5,2)&amp;"输出",标准坦克设计!$B$23:$U$23,0)))*(VLOOKUP($B198,INDIRECT($B$5&amp;"生成成长"),3))*(VLOOKUP($B$5,标准坦克设计!$B$14:$K$20,9)/30))</f>
        <v>11.022509362660735</v>
      </c>
      <c r="EX198" s="173">
        <f ca="1">(VLOOKUP(EX$72,INDIRECT($C$5&amp;"生成成长"),2))/((VLOOKUP($B198,INDIRECT($B$5&amp;"生成成长"),4))/(VLOOKUP(EX$72,INDIRECT($C$5&amp;"生成成长"),5))*(VLOOKUP($B$5,标准坦克设计!$B$24:$U$30,MATCH("对"&amp;LEFT($C$5,2)&amp;"输出",标准坦克设计!$B$23:$U$23,0)))*(VLOOKUP($B198,INDIRECT($B$5&amp;"生成成长"),3))*(VLOOKUP($B$5,标准坦克设计!$B$14:$K$20,9)/30))</f>
        <v>11.808314246328861</v>
      </c>
      <c r="EY198" s="173">
        <f ca="1">(VLOOKUP(EY$72,INDIRECT($C$5&amp;"生成成长"),2))/((VLOOKUP($B198,INDIRECT($B$5&amp;"生成成长"),4))/(VLOOKUP(EY$72,INDIRECT($C$5&amp;"生成成长"),5))*(VLOOKUP($B$5,标准坦克设计!$B$24:$U$30,MATCH("对"&amp;LEFT($C$5,2)&amp;"输出",标准坦克设计!$B$23:$U$23,0)))*(VLOOKUP($B198,INDIRECT($B$5&amp;"生成成长"),3))*(VLOOKUP($B$5,标准坦克设计!$B$14:$K$20,9)/30))</f>
        <v>12.621173445240643</v>
      </c>
      <c r="EZ198" s="173">
        <f ca="1">(VLOOKUP(EZ$72,INDIRECT($C$5&amp;"生成成长"),2))/((VLOOKUP($B198,INDIRECT($B$5&amp;"生成成长"),4))/(VLOOKUP(EZ$72,INDIRECT($C$5&amp;"生成成长"),5))*(VLOOKUP($B$5,标准坦克设计!$B$24:$U$30,MATCH("对"&amp;LEFT($C$5,2)&amp;"输出",标准坦克设计!$B$23:$U$23,0)))*(VLOOKUP($B198,INDIRECT($B$5&amp;"生成成长"),3))*(VLOOKUP($B$5,标准坦克设计!$B$14:$K$20,9)/30))</f>
        <v>13.461086959396086</v>
      </c>
      <c r="FA198" s="173">
        <f ca="1">(VLOOKUP(FA$72,INDIRECT($C$5&amp;"生成成长"),2))/((VLOOKUP($B198,INDIRECT($B$5&amp;"生成成长"),4))/(VLOOKUP(FA$72,INDIRECT($C$5&amp;"生成成长"),5))*(VLOOKUP($B$5,标准坦克设计!$B$24:$U$30,MATCH("对"&amp;LEFT($C$5,2)&amp;"输出",标准坦克设计!$B$23:$U$23,0)))*(VLOOKUP($B198,INDIRECT($B$5&amp;"生成成长"),3))*(VLOOKUP($B$5,标准坦克设计!$B$14:$K$20,9)/30))</f>
        <v>14.328054788795187</v>
      </c>
      <c r="FB198" s="173">
        <f ca="1">(VLOOKUP(FB$72,INDIRECT($C$5&amp;"生成成长"),2))/((VLOOKUP($B198,INDIRECT($B$5&amp;"生成成长"),4))/(VLOOKUP(FB$72,INDIRECT($C$5&amp;"生成成长"),5))*(VLOOKUP($B$5,标准坦克设计!$B$24:$U$30,MATCH("对"&amp;LEFT($C$5,2)&amp;"输出",标准坦克设计!$B$23:$U$23,0)))*(VLOOKUP($B198,INDIRECT($B$5&amp;"生成成长"),3))*(VLOOKUP($B$5,标准坦克设计!$B$14:$K$20,9)/30))</f>
        <v>15.222076933437952</v>
      </c>
      <c r="FC198" s="173">
        <f ca="1">(VLOOKUP(FC$72,INDIRECT($C$5&amp;"生成成长"),2))/((VLOOKUP($B198,INDIRECT($B$5&amp;"生成成长"),4))/(VLOOKUP(FC$72,INDIRECT($C$5&amp;"生成成长"),5))*(VLOOKUP($B$5,标准坦克设计!$B$24:$U$30,MATCH("对"&amp;LEFT($C$5,2)&amp;"输出",标准坦克设计!$B$23:$U$23,0)))*(VLOOKUP($B198,INDIRECT($B$5&amp;"生成成长"),3))*(VLOOKUP($B$5,标准坦克设计!$B$14:$K$20,9)/30))</f>
        <v>16.143153393324376</v>
      </c>
      <c r="FD198" s="173">
        <f ca="1">(VLOOKUP(FD$72,INDIRECT($C$5&amp;"生成成长"),2))/((VLOOKUP($B198,INDIRECT($B$5&amp;"生成成长"),4))/(VLOOKUP(FD$72,INDIRECT($C$5&amp;"生成成长"),5))*(VLOOKUP($B$5,标准坦克设计!$B$24:$U$30,MATCH("对"&amp;LEFT($C$5,2)&amp;"输出",标准坦克设计!$B$23:$U$23,0)))*(VLOOKUP($B198,INDIRECT($B$5&amp;"生成成长"),3))*(VLOOKUP($B$5,标准坦克设计!$B$14:$K$20,9)/30))</f>
        <v>17.091284168454457</v>
      </c>
      <c r="FE198" s="173">
        <f ca="1">(VLOOKUP(FE$72,INDIRECT($C$5&amp;"生成成长"),2))/((VLOOKUP($B198,INDIRECT($B$5&amp;"生成成长"),4))/(VLOOKUP(FE$72,INDIRECT($C$5&amp;"生成成长"),5))*(VLOOKUP($B$5,标准坦克设计!$B$24:$U$30,MATCH("对"&amp;LEFT($C$5,2)&amp;"输出",标准坦克设计!$B$23:$U$23,0)))*(VLOOKUP($B198,INDIRECT($B$5&amp;"生成成长"),3))*(VLOOKUP($B$5,标准坦克设计!$B$14:$K$20,9)/30))</f>
        <v>18.246682300864482</v>
      </c>
      <c r="FF198" s="173">
        <f ca="1">(VLOOKUP(FF$72,INDIRECT($C$5&amp;"生成成长"),2))/((VLOOKUP($B198,INDIRECT($B$5&amp;"生成成长"),4))/(VLOOKUP(FF$72,INDIRECT($C$5&amp;"生成成长"),5))*(VLOOKUP($B$5,标准坦克设计!$B$24:$U$30,MATCH("对"&amp;LEFT($C$5,2)&amp;"输出",标准坦克设计!$B$23:$U$23,0)))*(VLOOKUP($B198,INDIRECT($B$5&amp;"生成成长"),3))*(VLOOKUP($B$5,标准坦克设计!$B$14:$K$20,9)/30))</f>
        <v>19.439867038862758</v>
      </c>
      <c r="FG198" s="173">
        <f ca="1">(VLOOKUP(FG$72,INDIRECT($C$5&amp;"生成成长"),2))/((VLOOKUP($B198,INDIRECT($B$5&amp;"生成成长"),4))/(VLOOKUP(FG$72,INDIRECT($C$5&amp;"生成成长"),5))*(VLOOKUP($B$5,标准坦克设计!$B$24:$U$30,MATCH("对"&amp;LEFT($C$5,2)&amp;"输出",标准坦克设计!$B$23:$U$23,0)))*(VLOOKUP($B198,INDIRECT($B$5&amp;"生成成长"),3))*(VLOOKUP($B$5,标准坦克设计!$B$14:$K$20,9)/30))</f>
        <v>20.670838382449283</v>
      </c>
      <c r="FH198" s="173">
        <f ca="1">(VLOOKUP(FH$72,INDIRECT($C$5&amp;"生成成长"),2))/((VLOOKUP($B198,INDIRECT($B$5&amp;"生成成长"),4))/(VLOOKUP(FH$72,INDIRECT($C$5&amp;"生成成长"),5))*(VLOOKUP($B$5,标准坦克设计!$B$24:$U$30,MATCH("对"&amp;LEFT($C$5,2)&amp;"输出",标准坦克设计!$B$23:$U$23,0)))*(VLOOKUP($B198,INDIRECT($B$5&amp;"生成成长"),3))*(VLOOKUP($B$5,标准坦克设计!$B$14:$K$20,9)/30))</f>
        <v>21.93959633162407</v>
      </c>
      <c r="FI198" s="173">
        <f ca="1">(VLOOKUP(FI$72,INDIRECT($C$5&amp;"生成成长"),2))/((VLOOKUP($B198,INDIRECT($B$5&amp;"生成成长"),4))/(VLOOKUP(FI$72,INDIRECT($C$5&amp;"生成成长"),5))*(VLOOKUP($B$5,标准坦克设计!$B$24:$U$30,MATCH("对"&amp;LEFT($C$5,2)&amp;"输出",标准坦克设计!$B$23:$U$23,0)))*(VLOOKUP($B198,INDIRECT($B$5&amp;"生成成长"),3))*(VLOOKUP($B$5,标准坦克设计!$B$14:$K$20,9)/30))</f>
        <v>23.246140886387099</v>
      </c>
      <c r="FJ198" s="173">
        <f ca="1">(VLOOKUP(FJ$72,INDIRECT($C$5&amp;"生成成长"),2))/((VLOOKUP($B198,INDIRECT($B$5&amp;"生成成长"),4))/(VLOOKUP(FJ$72,INDIRECT($C$5&amp;"生成成长"),5))*(VLOOKUP($B$5,标准坦克设计!$B$24:$U$30,MATCH("对"&amp;LEFT($C$5,2)&amp;"输出",标准坦克设计!$B$23:$U$23,0)))*(VLOOKUP($B198,INDIRECT($B$5&amp;"生成成长"),3))*(VLOOKUP($B$5,标准坦克设计!$B$14:$K$20,9)/30))</f>
        <v>24.590472046738387</v>
      </c>
      <c r="FK198" s="173">
        <f ca="1">(VLOOKUP(FK$72,INDIRECT($C$5&amp;"生成成长"),2))/((VLOOKUP($B198,INDIRECT($B$5&amp;"生成成长"),4))/(VLOOKUP(FK$72,INDIRECT($C$5&amp;"生成成长"),5))*(VLOOKUP($B$5,标准坦克设计!$B$24:$U$30,MATCH("对"&amp;LEFT($C$5,2)&amp;"输出",标准坦克设计!$B$23:$U$23,0)))*(VLOOKUP($B198,INDIRECT($B$5&amp;"生成成长"),3))*(VLOOKUP($B$5,标准坦克设计!$B$14:$K$20,9)/30))</f>
        <v>25.972589812677921</v>
      </c>
    </row>
    <row r="199" spans="1:167" x14ac:dyDescent="0.15">
      <c r="A199" s="171" t="str">
        <f t="shared" si="12"/>
        <v>T4高品质1级</v>
      </c>
      <c r="B199" s="172">
        <v>30401</v>
      </c>
      <c r="C199" s="173">
        <f ca="1">(VLOOKUP(C$72,INDIRECT($C$5&amp;"生成成长"),2))/((VLOOKUP($B199,INDIRECT($B$5&amp;"生成成长"),4))/(VLOOKUP(C$72,INDIRECT($C$5&amp;"生成成长"),5))*(VLOOKUP($B$5,标准坦克设计!$B$24:$U$30,MATCH("对"&amp;LEFT($C$5,2)&amp;"输出",标准坦克设计!$B$23:$U$23,0)))*(VLOOKUP($B199,INDIRECT($B$5&amp;"生成成长"),3))*(VLOOKUP($B$5,标准坦克设计!$B$14:$K$20,9)/30))</f>
        <v>2.4912364081136196</v>
      </c>
      <c r="D199" s="173">
        <f ca="1">(VLOOKUP(D$72,INDIRECT($C$5&amp;"生成成长"),2))/((VLOOKUP($B199,INDIRECT($B$5&amp;"生成成长"),4))/(VLOOKUP(D$72,INDIRECT($C$5&amp;"生成成长"),5))*(VLOOKUP($B$5,标准坦克设计!$B$24:$U$30,MATCH("对"&amp;LEFT($C$5,2)&amp;"输出",标准坦克设计!$B$23:$U$23,0)))*(VLOOKUP($B199,INDIRECT($B$5&amp;"生成成长"),3))*(VLOOKUP($B$5,标准坦克设计!$B$14:$K$20,9)/30))</f>
        <v>2.7991532281564631</v>
      </c>
      <c r="E199" s="173">
        <f ca="1">(VLOOKUP(E$72,INDIRECT($C$5&amp;"生成成长"),2))/((VLOOKUP($B199,INDIRECT($B$5&amp;"生成成长"),4))/(VLOOKUP(E$72,INDIRECT($C$5&amp;"生成成长"),5))*(VLOOKUP($B$5,标准坦克设计!$B$24:$U$30,MATCH("对"&amp;LEFT($C$5,2)&amp;"输出",标准坦克设计!$B$23:$U$23,0)))*(VLOOKUP($B199,INDIRECT($B$5&amp;"生成成长"),3))*(VLOOKUP($B$5,标准坦克设计!$B$14:$K$20,9)/30))</f>
        <v>3.1250069503377245</v>
      </c>
      <c r="F199" s="173">
        <f ca="1">(VLOOKUP(F$72,INDIRECT($C$5&amp;"生成成长"),2))/((VLOOKUP($B199,INDIRECT($B$5&amp;"生成成长"),4))/(VLOOKUP(F$72,INDIRECT($C$5&amp;"生成成长"),5))*(VLOOKUP($B$5,标准坦克设计!$B$24:$U$30,MATCH("对"&amp;LEFT($C$5,2)&amp;"输出",标准坦克设计!$B$23:$U$23,0)))*(VLOOKUP($B199,INDIRECT($B$5&amp;"生成成长"),3))*(VLOOKUP($B$5,标准坦克设计!$B$14:$K$20,9)/30))</f>
        <v>3.4687975746574042</v>
      </c>
      <c r="G199" s="173">
        <f ca="1">(VLOOKUP(G$72,INDIRECT($C$5&amp;"生成成长"),2))/((VLOOKUP($B199,INDIRECT($B$5&amp;"生成成长"),4))/(VLOOKUP(G$72,INDIRECT($C$5&amp;"生成成长"),5))*(VLOOKUP($B$5,标准坦克设计!$B$24:$U$30,MATCH("对"&amp;LEFT($C$5,2)&amp;"输出",标准坦克设计!$B$23:$U$23,0)))*(VLOOKUP($B199,INDIRECT($B$5&amp;"生成成长"),3))*(VLOOKUP($B$5,标准坦克设计!$B$14:$K$20,9)/30))</f>
        <v>3.8305251011155015</v>
      </c>
      <c r="H199" s="173">
        <f ca="1">(VLOOKUP(H$72,INDIRECT($C$5&amp;"生成成长"),2))/((VLOOKUP($B199,INDIRECT($B$5&amp;"生成成长"),4))/(VLOOKUP(H$72,INDIRECT($C$5&amp;"生成成长"),5))*(VLOOKUP($B$5,标准坦克设计!$B$24:$U$30,MATCH("对"&amp;LEFT($C$5,2)&amp;"输出",标准坦克设计!$B$23:$U$23,0)))*(VLOOKUP($B199,INDIRECT($B$5&amp;"生成成长"),3))*(VLOOKUP($B$5,标准坦克设计!$B$14:$K$20,9)/30))</f>
        <v>3.3522077107576864</v>
      </c>
      <c r="I199" s="173">
        <f ca="1">(VLOOKUP(I$72,INDIRECT($C$5&amp;"生成成长"),2))/((VLOOKUP($B199,INDIRECT($B$5&amp;"生成成长"),4))/(VLOOKUP(I$72,INDIRECT($C$5&amp;"生成成长"),5))*(VLOOKUP($B$5,标准坦克设计!$B$24:$U$30,MATCH("对"&amp;LEFT($C$5,2)&amp;"输出",标准坦克设计!$B$23:$U$23,0)))*(VLOOKUP($B199,INDIRECT($B$5&amp;"生成成长"),3))*(VLOOKUP($B$5,标准坦克设计!$B$14:$K$20,9)/30))</f>
        <v>3.8305251011155015</v>
      </c>
      <c r="J199" s="173">
        <f ca="1">(VLOOKUP(J$72,INDIRECT($C$5&amp;"生成成长"),2))/((VLOOKUP($B199,INDIRECT($B$5&amp;"生成成长"),4))/(VLOOKUP(J$72,INDIRECT($C$5&amp;"生成成长"),5))*(VLOOKUP($B$5,标准坦克设计!$B$24:$U$30,MATCH("对"&amp;LEFT($C$5,2)&amp;"输出",标准坦克设计!$B$23:$U$23,0)))*(VLOOKUP($B199,INDIRECT($B$5&amp;"生成成长"),3))*(VLOOKUP($B$5,标准坦克设计!$B$14:$K$20,9)/30))</f>
        <v>4.3407303174971705</v>
      </c>
      <c r="K199" s="173">
        <f ca="1">(VLOOKUP(K$72,INDIRECT($C$5&amp;"生成成长"),2))/((VLOOKUP($B199,INDIRECT($B$5&amp;"生成成长"),4))/(VLOOKUP(K$72,INDIRECT($C$5&amp;"生成成长"),5))*(VLOOKUP($B$5,标准坦克设计!$B$24:$U$30,MATCH("对"&amp;LEFT($C$5,2)&amp;"输出",标准坦克设计!$B$23:$U$23,0)))*(VLOOKUP($B199,INDIRECT($B$5&amp;"生成成长"),3))*(VLOOKUP($B$5,标准坦克设计!$B$14:$K$20,9)/30))</f>
        <v>4.8828233599026936</v>
      </c>
      <c r="L199" s="173">
        <f ca="1">(VLOOKUP(L$72,INDIRECT($C$5&amp;"生成成长"),2))/((VLOOKUP($B199,INDIRECT($B$5&amp;"生成成长"),4))/(VLOOKUP(L$72,INDIRECT($C$5&amp;"生成成长"),5))*(VLOOKUP($B$5,标准坦克设计!$B$24:$U$30,MATCH("对"&amp;LEFT($C$5,2)&amp;"输出",标准坦克设计!$B$23:$U$23,0)))*(VLOOKUP($B199,INDIRECT($B$5&amp;"生成成长"),3))*(VLOOKUP($B$5,标准坦克设计!$B$14:$K$20,9)/30))</f>
        <v>5.4568042283320715</v>
      </c>
      <c r="M199" s="173">
        <f ca="1">(VLOOKUP(M$72,INDIRECT($C$5&amp;"生成成长"),2))/((VLOOKUP($B199,INDIRECT($B$5&amp;"生成成长"),4))/(VLOOKUP(M$72,INDIRECT($C$5&amp;"生成成长"),5))*(VLOOKUP($B$5,标准坦克设计!$B$24:$U$30,MATCH("对"&amp;LEFT($C$5,2)&amp;"输出",标准坦克设计!$B$23:$U$23,0)))*(VLOOKUP($B199,INDIRECT($B$5&amp;"生成成长"),3))*(VLOOKUP($B$5,标准坦克设计!$B$14:$K$20,9)/30))</f>
        <v>6.0626729227853042</v>
      </c>
      <c r="N199" s="173">
        <f ca="1">(VLOOKUP(N$72,INDIRECT($C$5&amp;"生成成长"),2))/((VLOOKUP($B199,INDIRECT($B$5&amp;"生成成长"),4))/(VLOOKUP(N$72,INDIRECT($C$5&amp;"生成成长"),5))*(VLOOKUP($B$5,标准坦克设计!$B$24:$U$30,MATCH("对"&amp;LEFT($C$5,2)&amp;"输出",标准坦克设计!$B$23:$U$23,0)))*(VLOOKUP($B199,INDIRECT($B$5&amp;"生成成长"),3))*(VLOOKUP($B$5,标准坦克设计!$B$14:$K$20,9)/30))</f>
        <v>6.7004294432623919</v>
      </c>
      <c r="O199" s="173">
        <f ca="1">(VLOOKUP(O$72,INDIRECT($C$5&amp;"生成成长"),2))/((VLOOKUP($B199,INDIRECT($B$5&amp;"生成成长"),4))/(VLOOKUP(O$72,INDIRECT($C$5&amp;"生成成长"),5))*(VLOOKUP($B$5,标准坦克设计!$B$24:$U$30,MATCH("对"&amp;LEFT($C$5,2)&amp;"输出",标准坦克设计!$B$23:$U$23,0)))*(VLOOKUP($B199,INDIRECT($B$5&amp;"生成成长"),3))*(VLOOKUP($B$5,标准坦克设计!$B$14:$K$20,9)/30))</f>
        <v>5.0943293309515409</v>
      </c>
      <c r="P199" s="173">
        <f ca="1">(VLOOKUP(P$72,INDIRECT($C$5&amp;"生成成长"),2))/((VLOOKUP($B199,INDIRECT($B$5&amp;"生成成长"),4))/(VLOOKUP(P$72,INDIRECT($C$5&amp;"生成成长"),5))*(VLOOKUP($B$5,标准坦克设计!$B$24:$U$30,MATCH("对"&amp;LEFT($C$5,2)&amp;"输出",标准坦克设计!$B$23:$U$23,0)))*(VLOOKUP($B199,INDIRECT($B$5&amp;"生成成长"),3))*(VLOOKUP($B$5,标准坦克设计!$B$14:$K$20,9)/30))</f>
        <v>5.7557525973057064</v>
      </c>
      <c r="Q199" s="173">
        <f ca="1">(VLOOKUP(Q$72,INDIRECT($C$5&amp;"生成成长"),2))/((VLOOKUP($B199,INDIRECT($B$5&amp;"生成成长"),4))/(VLOOKUP(Q$72,INDIRECT($C$5&amp;"生成成长"),5))*(VLOOKUP($B$5,标准坦克设计!$B$24:$U$30,MATCH("对"&amp;LEFT($C$5,2)&amp;"输出",标准坦克设计!$B$23:$U$23,0)))*(VLOOKUP($B199,INDIRECT($B$5&amp;"生成成长"),3))*(VLOOKUP($B$5,标准坦克设计!$B$14:$K$20,9)/30))</f>
        <v>6.4575338934713145</v>
      </c>
      <c r="R199" s="173">
        <f ca="1">(VLOOKUP(R$72,INDIRECT($C$5&amp;"生成成长"),2))/((VLOOKUP($B199,INDIRECT($B$5&amp;"生成成长"),4))/(VLOOKUP(R$72,INDIRECT($C$5&amp;"生成成长"),5))*(VLOOKUP($B$5,标准坦克设计!$B$24:$U$30,MATCH("对"&amp;LEFT($C$5,2)&amp;"输出",标准坦克设计!$B$23:$U$23,0)))*(VLOOKUP($B199,INDIRECT($B$5&amp;"生成成长"),3))*(VLOOKUP($B$5,标准坦克设计!$B$14:$K$20,9)/30))</f>
        <v>7.1996732194483597</v>
      </c>
      <c r="S199" s="173">
        <f ca="1">(VLOOKUP(S$72,INDIRECT($C$5&amp;"生成成长"),2))/((VLOOKUP($B199,INDIRECT($B$5&amp;"生成成长"),4))/(VLOOKUP(S$72,INDIRECT($C$5&amp;"生成成长"),5))*(VLOOKUP($B$5,标准坦克设计!$B$24:$U$30,MATCH("对"&amp;LEFT($C$5,2)&amp;"输出",标准坦克设计!$B$23:$U$23,0)))*(VLOOKUP($B199,INDIRECT($B$5&amp;"生成成长"),3))*(VLOOKUP($B$5,标准坦克设计!$B$14:$K$20,9)/30))</f>
        <v>7.9821705752368493</v>
      </c>
      <c r="T199" s="173">
        <f ca="1">(VLOOKUP(T$72,INDIRECT($C$5&amp;"生成成长"),2))/((VLOOKUP($B199,INDIRECT($B$5&amp;"生成成长"),4))/(VLOOKUP(T$72,INDIRECT($C$5&amp;"生成成长"),5))*(VLOOKUP($B$5,标准坦克设计!$B$24:$U$30,MATCH("对"&amp;LEFT($C$5,2)&amp;"输出",标准坦克设计!$B$23:$U$23,0)))*(VLOOKUP($B199,INDIRECT($B$5&amp;"生成成长"),3))*(VLOOKUP($B$5,标准坦克设计!$B$14:$K$20,9)/30))</f>
        <v>8.8050259608367742</v>
      </c>
      <c r="U199" s="173">
        <f ca="1">(VLOOKUP(U$72,INDIRECT($C$5&amp;"生成成长"),2))/((VLOOKUP($B199,INDIRECT($B$5&amp;"生成成长"),4))/(VLOOKUP(U$72,INDIRECT($C$5&amp;"生成成长"),5))*(VLOOKUP($B$5,标准坦克设计!$B$24:$U$30,MATCH("对"&amp;LEFT($C$5,2)&amp;"输出",标准坦克设计!$B$23:$U$23,0)))*(VLOOKUP($B199,INDIRECT($B$5&amp;"生成成长"),3))*(VLOOKUP($B$5,标准坦克设计!$B$14:$K$20,9)/30))</f>
        <v>9.6682393762481453</v>
      </c>
      <c r="V199" s="173">
        <f ca="1">(VLOOKUP(V$72,INDIRECT($C$5&amp;"生成成长"),2))/((VLOOKUP($B199,INDIRECT($B$5&amp;"生成成长"),4))/(VLOOKUP(V$72,INDIRECT($C$5&amp;"生成成长"),5))*(VLOOKUP($B$5,标准坦克设计!$B$24:$U$30,MATCH("对"&amp;LEFT($C$5,2)&amp;"输出",标准坦克设计!$B$23:$U$23,0)))*(VLOOKUP($B199,INDIRECT($B$5&amp;"生成成长"),3))*(VLOOKUP($B$5,标准坦克设计!$B$14:$K$20,9)/30))</f>
        <v>10.571810821470955</v>
      </c>
      <c r="W199" s="173">
        <f ca="1">(VLOOKUP(W$72,INDIRECT($C$5&amp;"生成成长"),2))/((VLOOKUP($B199,INDIRECT($B$5&amp;"生成成长"),4))/(VLOOKUP(W$72,INDIRECT($C$5&amp;"生成成长"),5))*(VLOOKUP($B$5,标准坦克设计!$B$24:$U$30,MATCH("对"&amp;LEFT($C$5,2)&amp;"输出",标准坦克设计!$B$23:$U$23,0)))*(VLOOKUP($B199,INDIRECT($B$5&amp;"生成成长"),3))*(VLOOKUP($B$5,标准坦克设计!$B$14:$K$20,9)/30))</f>
        <v>11.515740296505205</v>
      </c>
      <c r="X199" s="173">
        <f ca="1">(VLOOKUP(X$72,INDIRECT($C$5&amp;"生成成长"),2))/((VLOOKUP($B199,INDIRECT($B$5&amp;"生成成长"),4))/(VLOOKUP(X$72,INDIRECT($C$5&amp;"生成成长"),5))*(VLOOKUP($B$5,标准坦克设计!$B$24:$U$30,MATCH("对"&amp;LEFT($C$5,2)&amp;"输出",标准坦克设计!$B$23:$U$23,0)))*(VLOOKUP($B199,INDIRECT($B$5&amp;"生成成长"),3))*(VLOOKUP($B$5,标准坦克设计!$B$14:$K$20,9)/30))</f>
        <v>8.342901607131699</v>
      </c>
      <c r="Y199" s="173">
        <f ca="1">(VLOOKUP(Y$72,INDIRECT($C$5&amp;"生成成长"),2))/((VLOOKUP($B199,INDIRECT($B$5&amp;"生成成长"),4))/(VLOOKUP(Y$72,INDIRECT($C$5&amp;"生成成长"),5))*(VLOOKUP($B$5,标准坦克设计!$B$24:$U$30,MATCH("对"&amp;LEFT($C$5,2)&amp;"输出",标准坦克设计!$B$23:$U$23,0)))*(VLOOKUP($B199,INDIRECT($B$5&amp;"生成成长"),3))*(VLOOKUP($B$5,标准坦克设计!$B$14:$K$20,9)/30))</f>
        <v>9.2796064965824208</v>
      </c>
      <c r="Z199" s="173">
        <f ca="1">(VLOOKUP(Z$72,INDIRECT($C$5&amp;"生成成长"),2))/((VLOOKUP($B199,INDIRECT($B$5&amp;"生成成长"),4))/(VLOOKUP(Z$72,INDIRECT($C$5&amp;"生成成长"),5))*(VLOOKUP($B$5,标准坦克设计!$B$24:$U$30,MATCH("对"&amp;LEFT($C$5,2)&amp;"输出",标准坦克设计!$B$23:$U$23,0)))*(VLOOKUP($B199,INDIRECT($B$5&amp;"生成成长"),3))*(VLOOKUP($B$5,标准坦克设计!$B$14:$K$20,9)/30))</f>
        <v>10.266136114195413</v>
      </c>
      <c r="AA199" s="173">
        <f ca="1">(VLOOKUP(AA$72,INDIRECT($C$5&amp;"生成成长"),2))/((VLOOKUP($B199,INDIRECT($B$5&amp;"生成成长"),4))/(VLOOKUP(AA$72,INDIRECT($C$5&amp;"生成成长"),5))*(VLOOKUP($B$5,标准坦克设计!$B$24:$U$30,MATCH("对"&amp;LEFT($C$5,2)&amp;"输出",标准坦克设计!$B$23:$U$23,0)))*(VLOOKUP($B199,INDIRECT($B$5&amp;"生成成长"),3))*(VLOOKUP($B$5,标准坦克设计!$B$14:$K$20,9)/30))</f>
        <v>11.302490459970683</v>
      </c>
      <c r="AB199" s="173">
        <f ca="1">(VLOOKUP(AB$72,INDIRECT($C$5&amp;"生成成长"),2))/((VLOOKUP($B199,INDIRECT($B$5&amp;"生成成长"),4))/(VLOOKUP(AB$72,INDIRECT($C$5&amp;"生成成长"),5))*(VLOOKUP($B$5,标准坦克设计!$B$24:$U$30,MATCH("对"&amp;LEFT($C$5,2)&amp;"输出",标准坦克设计!$B$23:$U$23,0)))*(VLOOKUP($B199,INDIRECT($B$5&amp;"生成成长"),3))*(VLOOKUP($B$5,标准坦克设计!$B$14:$K$20,9)/30))</f>
        <v>12.388669533908217</v>
      </c>
      <c r="AC199" s="173">
        <f ca="1">(VLOOKUP(AC$72,INDIRECT($C$5&amp;"生成成长"),2))/((VLOOKUP($B199,INDIRECT($B$5&amp;"生成成长"),4))/(VLOOKUP(AC$72,INDIRECT($C$5&amp;"生成成长"),5))*(VLOOKUP($B$5,标准坦克设计!$B$24:$U$30,MATCH("对"&amp;LEFT($C$5,2)&amp;"输出",标准坦克设计!$B$23:$U$23,0)))*(VLOOKUP($B199,INDIRECT($B$5&amp;"生成成长"),3))*(VLOOKUP($B$5,标准坦克设计!$B$14:$K$20,9)/30))</f>
        <v>13.524673336008028</v>
      </c>
      <c r="AD199" s="173">
        <f ca="1">(VLOOKUP(AD$72,INDIRECT($C$5&amp;"生成成长"),2))/((VLOOKUP($B199,INDIRECT($B$5&amp;"生成成长"),4))/(VLOOKUP(AD$72,INDIRECT($C$5&amp;"生成成长"),5))*(VLOOKUP($B$5,标准坦克设计!$B$24:$U$30,MATCH("对"&amp;LEFT($C$5,2)&amp;"输出",标准坦克设计!$B$23:$U$23,0)))*(VLOOKUP($B199,INDIRECT($B$5&amp;"生成成长"),3))*(VLOOKUP($B$5,标准坦克设计!$B$14:$K$20,9)/30))</f>
        <v>14.710501866270112</v>
      </c>
      <c r="AE199" s="173">
        <f ca="1">(VLOOKUP(AE$72,INDIRECT($C$5&amp;"生成成长"),2))/((VLOOKUP($B199,INDIRECT($B$5&amp;"生成成长"),4))/(VLOOKUP(AE$72,INDIRECT($C$5&amp;"生成成长"),5))*(VLOOKUP($B$5,标准坦克设计!$B$24:$U$30,MATCH("对"&amp;LEFT($C$5,2)&amp;"输出",标准坦克设计!$B$23:$U$23,0)))*(VLOOKUP($B199,INDIRECT($B$5&amp;"生成成长"),3))*(VLOOKUP($B$5,标准坦克设计!$B$14:$K$20,9)/30))</f>
        <v>15.946155124694469</v>
      </c>
      <c r="AF199" s="173">
        <f ca="1">(VLOOKUP(AF$72,INDIRECT($C$5&amp;"生成成长"),2))/((VLOOKUP($B199,INDIRECT($B$5&amp;"生成成长"),4))/(VLOOKUP(AF$72,INDIRECT($C$5&amp;"生成成长"),5))*(VLOOKUP($B$5,标准坦克设计!$B$24:$U$30,MATCH("对"&amp;LEFT($C$5,2)&amp;"输出",标准坦克设计!$B$23:$U$23,0)))*(VLOOKUP($B199,INDIRECT($B$5&amp;"生成成长"),3))*(VLOOKUP($B$5,标准坦克设计!$B$14:$K$20,9)/30))</f>
        <v>17.231633111281095</v>
      </c>
      <c r="AG199" s="173">
        <f ca="1">(VLOOKUP(AG$72,INDIRECT($C$5&amp;"生成成长"),2))/((VLOOKUP($B199,INDIRECT($B$5&amp;"生成成长"),4))/(VLOOKUP(AG$72,INDIRECT($C$5&amp;"生成成长"),5))*(VLOOKUP($B$5,标准坦克设计!$B$24:$U$30,MATCH("对"&amp;LEFT($C$5,2)&amp;"输出",标准坦克设计!$B$23:$U$23,0)))*(VLOOKUP($B199,INDIRECT($B$5&amp;"生成成长"),3))*(VLOOKUP($B$5,标准坦克设计!$B$14:$K$20,9)/30))</f>
        <v>18.566935826029997</v>
      </c>
      <c r="AH199" s="173">
        <f ca="1">(VLOOKUP(AH$72,INDIRECT($C$5&amp;"生成成长"),2))/((VLOOKUP($B199,INDIRECT($B$5&amp;"生成成长"),4))/(VLOOKUP(AH$72,INDIRECT($C$5&amp;"生成成长"),5))*(VLOOKUP($B$5,标准坦克设计!$B$24:$U$30,MATCH("对"&amp;LEFT($C$5,2)&amp;"输出",标准坦克设计!$B$23:$U$23,0)))*(VLOOKUP($B199,INDIRECT($B$5&amp;"生成成长"),3))*(VLOOKUP($B$5,标准坦克设计!$B$14:$K$20,9)/30))</f>
        <v>19.952063268941167</v>
      </c>
      <c r="AI199" s="173">
        <f ca="1">(VLOOKUP(AI$72,INDIRECT($C$5&amp;"生成成长"),2))/((VLOOKUP($B199,INDIRECT($B$5&amp;"生成成长"),4))/(VLOOKUP(AI$72,INDIRECT($C$5&amp;"生成成长"),5))*(VLOOKUP($B$5,标准坦克设计!$B$24:$U$30,MATCH("对"&amp;LEFT($C$5,2)&amp;"输出",标准坦克设计!$B$23:$U$23,0)))*(VLOOKUP($B199,INDIRECT($B$5&amp;"生成成长"),3))*(VLOOKUP($B$5,标准坦克设计!$B$14:$K$20,9)/30))</f>
        <v>14.111359510118788</v>
      </c>
      <c r="AJ199" s="173">
        <f ca="1">(VLOOKUP(AJ$72,INDIRECT($C$5&amp;"生成成长"),2))/((VLOOKUP($B199,INDIRECT($B$5&amp;"生成成长"),4))/(VLOOKUP(AJ$72,INDIRECT($C$5&amp;"生成成长"),5))*(VLOOKUP($B$5,标准坦克设计!$B$24:$U$30,MATCH("对"&amp;LEFT($C$5,2)&amp;"输出",标准坦克设计!$B$23:$U$23,0)))*(VLOOKUP($B199,INDIRECT($B$5&amp;"生成成长"),3))*(VLOOKUP($B$5,标准坦克设计!$B$14:$K$20,9)/30))</f>
        <v>15.445914853945254</v>
      </c>
      <c r="AK199" s="173">
        <f ca="1">(VLOOKUP(AK$72,INDIRECT($C$5&amp;"生成成长"),2))/((VLOOKUP($B199,INDIRECT($B$5&amp;"生成成长"),4))/(VLOOKUP(AK$72,INDIRECT($C$5&amp;"生成成长"),5))*(VLOOKUP($B$5,标准坦克设计!$B$24:$U$30,MATCH("对"&amp;LEFT($C$5,2)&amp;"输出",标准坦克设计!$B$23:$U$23,0)))*(VLOOKUP($B199,INDIRECT($B$5&amp;"生成成长"),3))*(VLOOKUP($B$5,标准坦克设计!$B$14:$K$20,9)/30))</f>
        <v>16.840758118848068</v>
      </c>
      <c r="AL199" s="173">
        <f ca="1">(VLOOKUP(AL$72,INDIRECT($C$5&amp;"生成成长"),2))/((VLOOKUP($B199,INDIRECT($B$5&amp;"生成成长"),4))/(VLOOKUP(AL$72,INDIRECT($C$5&amp;"生成成长"),5))*(VLOOKUP($B$5,标准坦克设计!$B$24:$U$30,MATCH("对"&amp;LEFT($C$5,2)&amp;"输出",标准坦克设计!$B$23:$U$23,0)))*(VLOOKUP($B199,INDIRECT($B$5&amp;"生成成长"),3))*(VLOOKUP($B$5,标准坦克设计!$B$14:$K$20,9)/30))</f>
        <v>18.295889304827234</v>
      </c>
      <c r="AM199" s="173">
        <f ca="1">(VLOOKUP(AM$72,INDIRECT($C$5&amp;"生成成长"),2))/((VLOOKUP($B199,INDIRECT($B$5&amp;"生成成长"),4))/(VLOOKUP(AM$72,INDIRECT($C$5&amp;"生成成长"),5))*(VLOOKUP($B$5,标准坦克设计!$B$24:$U$30,MATCH("对"&amp;LEFT($C$5,2)&amp;"输出",标准坦克设计!$B$23:$U$23,0)))*(VLOOKUP($B199,INDIRECT($B$5&amp;"生成成长"),3))*(VLOOKUP($B$5,标准坦克设计!$B$14:$K$20,9)/30))</f>
        <v>19.811308411882749</v>
      </c>
      <c r="AN199" s="173">
        <f ca="1">(VLOOKUP(AN$72,INDIRECT($C$5&amp;"生成成长"),2))/((VLOOKUP($B199,INDIRECT($B$5&amp;"生成成长"),4))/(VLOOKUP(AN$72,INDIRECT($C$5&amp;"生成成长"),5))*(VLOOKUP($B$5,标准坦克设计!$B$24:$U$30,MATCH("对"&amp;LEFT($C$5,2)&amp;"输出",标准坦克设计!$B$23:$U$23,0)))*(VLOOKUP($B199,INDIRECT($B$5&amp;"生成成长"),3))*(VLOOKUP($B$5,标准坦克设计!$B$14:$K$20,9)/30))</f>
        <v>21.387015440014608</v>
      </c>
      <c r="AO199" s="173">
        <f ca="1">(VLOOKUP(AO$72,INDIRECT($C$5&amp;"生成成长"),2))/((VLOOKUP($B199,INDIRECT($B$5&amp;"生成成长"),4))/(VLOOKUP(AO$72,INDIRECT($C$5&amp;"生成成长"),5))*(VLOOKUP($B$5,标准坦克设计!$B$24:$U$30,MATCH("对"&amp;LEFT($C$5,2)&amp;"输出",标准坦克设计!$B$23:$U$23,0)))*(VLOOKUP($B199,INDIRECT($B$5&amp;"生成成长"),3))*(VLOOKUP($B$5,标准坦克设计!$B$14:$K$20,9)/30))</f>
        <v>23.023010389222826</v>
      </c>
      <c r="AP199" s="173">
        <f ca="1">(VLOOKUP(AP$72,INDIRECT($C$5&amp;"生成成长"),2))/((VLOOKUP($B199,INDIRECT($B$5&amp;"生成成长"),4))/(VLOOKUP(AP$72,INDIRECT($C$5&amp;"生成成长"),5))*(VLOOKUP($B$5,标准坦克设计!$B$24:$U$30,MATCH("对"&amp;LEFT($C$5,2)&amp;"输出",标准坦克设计!$B$23:$U$23,0)))*(VLOOKUP($B199,INDIRECT($B$5&amp;"生成成长"),3))*(VLOOKUP($B$5,标准坦克设计!$B$14:$K$20,9)/30))</f>
        <v>24.719293259507392</v>
      </c>
      <c r="AQ199" s="173">
        <f ca="1">(VLOOKUP(AQ$72,INDIRECT($C$5&amp;"生成成长"),2))/((VLOOKUP($B199,INDIRECT($B$5&amp;"生成成长"),4))/(VLOOKUP(AQ$72,INDIRECT($C$5&amp;"生成成长"),5))*(VLOOKUP($B$5,标准坦克设计!$B$24:$U$30,MATCH("对"&amp;LEFT($C$5,2)&amp;"输出",标准坦克设计!$B$23:$U$23,0)))*(VLOOKUP($B199,INDIRECT($B$5&amp;"生成成长"),3))*(VLOOKUP($B$5,标准坦克设计!$B$14:$K$20,9)/30))</f>
        <v>26.475864050868307</v>
      </c>
      <c r="AR199" s="173">
        <f ca="1">(VLOOKUP(AR$72,INDIRECT($C$5&amp;"生成成长"),2))/((VLOOKUP($B199,INDIRECT($B$5&amp;"生成成长"),4))/(VLOOKUP(AR$72,INDIRECT($C$5&amp;"生成成长"),5))*(VLOOKUP($B$5,标准坦克设计!$B$24:$U$30,MATCH("对"&amp;LEFT($C$5,2)&amp;"输出",标准坦克设计!$B$23:$U$23,0)))*(VLOOKUP($B199,INDIRECT($B$5&amp;"生成成长"),3))*(VLOOKUP($B$5,标准坦克设计!$B$14:$K$20,9)/30))</f>
        <v>28.292722763305562</v>
      </c>
      <c r="AS199" s="173">
        <f ca="1">(VLOOKUP(AS$72,INDIRECT($C$5&amp;"生成成长"),2))/((VLOOKUP($B199,INDIRECT($B$5&amp;"生成成长"),4))/(VLOOKUP(AS$72,INDIRECT($C$5&amp;"生成成长"),5))*(VLOOKUP($B$5,标准坦克设计!$B$24:$U$30,MATCH("对"&amp;LEFT($C$5,2)&amp;"输出",标准坦克设计!$B$23:$U$23,0)))*(VLOOKUP($B199,INDIRECT($B$5&amp;"生成成长"),3))*(VLOOKUP($B$5,标准坦克设计!$B$14:$K$20,9)/30))</f>
        <v>30.169869396819177</v>
      </c>
      <c r="AT199" s="173">
        <f ca="1">(VLOOKUP(AT$72,INDIRECT($C$5&amp;"生成成长"),2))/((VLOOKUP($B199,INDIRECT($B$5&amp;"生成成长"),4))/(VLOOKUP(AT$72,INDIRECT($C$5&amp;"生成成长"),5))*(VLOOKUP($B$5,标准坦克设计!$B$24:$U$30,MATCH("对"&amp;LEFT($C$5,2)&amp;"输出",标准坦克设计!$B$23:$U$23,0)))*(VLOOKUP($B199,INDIRECT($B$5&amp;"生成成长"),3))*(VLOOKUP($B$5,标准坦克设计!$B$14:$K$20,9)/30))</f>
        <v>32.107303951409136</v>
      </c>
      <c r="AU199" s="173">
        <f ca="1">(VLOOKUP(AU$72,INDIRECT($C$5&amp;"生成成长"),2))/((VLOOKUP($B199,INDIRECT($B$5&amp;"生成成长"),4))/(VLOOKUP(AU$72,INDIRECT($C$5&amp;"生成成长"),5))*(VLOOKUP($B$5,标准坦克设计!$B$24:$U$30,MATCH("对"&amp;LEFT($C$5,2)&amp;"输出",标准坦克设计!$B$23:$U$23,0)))*(VLOOKUP($B199,INDIRECT($B$5&amp;"生成成长"),3))*(VLOOKUP($B$5,标准坦克设计!$B$14:$K$20,9)/30))</f>
        <v>34.105026427075458</v>
      </c>
      <c r="AV199" s="173">
        <f ca="1">(VLOOKUP(AV$72,INDIRECT($C$5&amp;"生成成长"),2))/((VLOOKUP($B199,INDIRECT($B$5&amp;"生成成长"),4))/(VLOOKUP(AV$72,INDIRECT($C$5&amp;"生成成长"),5))*(VLOOKUP($B$5,标准坦克设计!$B$24:$U$30,MATCH("对"&amp;LEFT($C$5,2)&amp;"输出",标准坦克设计!$B$23:$U$23,0)))*(VLOOKUP($B199,INDIRECT($B$5&amp;"生成成长"),3))*(VLOOKUP($B$5,标准坦克设计!$B$14:$K$20,9)/30))</f>
        <v>3.4687975746574042</v>
      </c>
      <c r="AW199" s="173">
        <f ca="1">(VLOOKUP(AW$72,INDIRECT($C$5&amp;"生成成长"),2))/((VLOOKUP($B199,INDIRECT($B$5&amp;"生成成长"),4))/(VLOOKUP(AW$72,INDIRECT($C$5&amp;"生成成长"),5))*(VLOOKUP($B$5,标准坦克设计!$B$24:$U$30,MATCH("对"&amp;LEFT($C$5,2)&amp;"输出",标准坦克设计!$B$23:$U$23,0)))*(VLOOKUP($B199,INDIRECT($B$5&amp;"生成成长"),3))*(VLOOKUP($B$5,标准坦克设计!$B$14:$K$20,9)/30))</f>
        <v>3.9550869215211821</v>
      </c>
      <c r="AX199" s="173">
        <f ca="1">(VLOOKUP(AX$72,INDIRECT($C$5&amp;"生成成长"),2))/((VLOOKUP($B199,INDIRECT($B$5&amp;"生成成长"),4))/(VLOOKUP(AX$72,INDIRECT($C$5&amp;"生成成长"),5))*(VLOOKUP($B$5,标准坦克设计!$B$24:$U$30,MATCH("对"&amp;LEFT($C$5,2)&amp;"输出",标准坦克设计!$B$23:$U$23,0)))*(VLOOKUP($B199,INDIRECT($B$5&amp;"生成成长"),3))*(VLOOKUP($B$5,标准坦克设计!$B$14:$K$20,9)/30))</f>
        <v>4.4732640944088153</v>
      </c>
      <c r="AY199" s="173">
        <f ca="1">(VLOOKUP(AY$72,INDIRECT($C$5&amp;"生成成长"),2))/((VLOOKUP($B199,INDIRECT($B$5&amp;"生成成长"),4))/(VLOOKUP(AY$72,INDIRECT($C$5&amp;"生成成长"),5))*(VLOOKUP($B$5,标准坦克设计!$B$24:$U$30,MATCH("对"&amp;LEFT($C$5,2)&amp;"输出",标准坦克设计!$B$23:$U$23,0)))*(VLOOKUP($B199,INDIRECT($B$5&amp;"生成成长"),3))*(VLOOKUP($B$5,标准坦克设计!$B$14:$K$20,9)/30))</f>
        <v>5.0233290933203021</v>
      </c>
      <c r="AZ199" s="173">
        <f ca="1">(VLOOKUP(AZ$72,INDIRECT($C$5&amp;"生成成长"),2))/((VLOOKUP($B199,INDIRECT($B$5&amp;"生成成长"),4))/(VLOOKUP(AZ$72,INDIRECT($C$5&amp;"生成成长"),5))*(VLOOKUP($B$5,标准坦克设计!$B$24:$U$30,MATCH("对"&amp;LEFT($C$5,2)&amp;"输出",标准坦克设计!$B$23:$U$23,0)))*(VLOOKUP($B199,INDIRECT($B$5&amp;"生成成长"),3))*(VLOOKUP($B$5,标准坦克设计!$B$14:$K$20,9)/30))</f>
        <v>5.6052819182556428</v>
      </c>
      <c r="BA199" s="173">
        <f ca="1">(VLOOKUP(BA$72,INDIRECT($C$5&amp;"生成成长"),2))/((VLOOKUP($B199,INDIRECT($B$5&amp;"生成成长"),4))/(VLOOKUP(BA$72,INDIRECT($C$5&amp;"生成成长"),5))*(VLOOKUP($B$5,标准坦克设计!$B$24:$U$30,MATCH("对"&amp;LEFT($C$5,2)&amp;"输出",标准坦克设计!$B$23:$U$23,0)))*(VLOOKUP($B199,INDIRECT($B$5&amp;"生成成长"),3))*(VLOOKUP($B$5,标准坦克设计!$B$14:$K$20,9)/30))</f>
        <v>6.2191225692148402</v>
      </c>
      <c r="BB199" s="173">
        <f ca="1">(VLOOKUP(BB$72,INDIRECT($C$5&amp;"生成成长"),2))/((VLOOKUP($B199,INDIRECT($B$5&amp;"生成成长"),4))/(VLOOKUP(BB$72,INDIRECT($C$5&amp;"生成成长"),5))*(VLOOKUP($B$5,标准坦克设计!$B$24:$U$30,MATCH("对"&amp;LEFT($C$5,2)&amp;"输出",标准坦克设计!$B$23:$U$23,0)))*(VLOOKUP($B199,INDIRECT($B$5&amp;"生成成长"),3))*(VLOOKUP($B$5,标准坦克设计!$B$14:$K$20,9)/30))</f>
        <v>6.8648510461978898</v>
      </c>
      <c r="BC199" s="173">
        <f ca="1">(VLOOKUP(BC$72,INDIRECT($C$5&amp;"生成成长"),2))/((VLOOKUP($B199,INDIRECT($B$5&amp;"生成成长"),4))/(VLOOKUP(BC$72,INDIRECT($C$5&amp;"生成成长"),5))*(VLOOKUP($B$5,标准坦克设计!$B$24:$U$30,MATCH("对"&amp;LEFT($C$5,2)&amp;"输出",标准坦克设计!$B$23:$U$23,0)))*(VLOOKUP($B199,INDIRECT($B$5&amp;"生成成长"),3))*(VLOOKUP($B$5,标准坦克设计!$B$14:$K$20,9)/30))</f>
        <v>7.5424673492047942</v>
      </c>
      <c r="BD199" s="173">
        <f ca="1">(VLOOKUP(BD$72,INDIRECT($C$5&amp;"生成成长"),2))/((VLOOKUP($B199,INDIRECT($B$5&amp;"生成成长"),4))/(VLOOKUP(BD$72,INDIRECT($C$5&amp;"生成成长"),5))*(VLOOKUP($B$5,标准坦克设计!$B$24:$U$30,MATCH("对"&amp;LEFT($C$5,2)&amp;"输出",标准坦克设计!$B$23:$U$23,0)))*(VLOOKUP($B199,INDIRECT($B$5&amp;"生成成长"),3))*(VLOOKUP($B$5,标准坦克设计!$B$14:$K$20,9)/30))</f>
        <v>8.342901607131699</v>
      </c>
      <c r="BE199" s="173">
        <f ca="1">(VLOOKUP(BE$72,INDIRECT($C$5&amp;"生成成长"),2))/((VLOOKUP($B199,INDIRECT($B$5&amp;"生成成长"),4))/(VLOOKUP(BE$72,INDIRECT($C$5&amp;"生成成长"),5))*(VLOOKUP($B$5,标准坦克设计!$B$24:$U$30,MATCH("对"&amp;LEFT($C$5,2)&amp;"输出",标准坦克设计!$B$23:$U$23,0)))*(VLOOKUP($B199,INDIRECT($B$5&amp;"生成成长"),3))*(VLOOKUP($B$5,标准坦克设计!$B$14:$K$20,9)/30))</f>
        <v>9.1836938948700464</v>
      </c>
      <c r="BF199" s="173">
        <f ca="1">(VLOOKUP(BF$72,INDIRECT($C$5&amp;"生成成长"),2))/((VLOOKUP($B199,INDIRECT($B$5&amp;"生成成长"),4))/(VLOOKUP(BF$72,INDIRECT($C$5&amp;"生成成长"),5))*(VLOOKUP($B$5,标准坦克设计!$B$24:$U$30,MATCH("对"&amp;LEFT($C$5,2)&amp;"输出",标准坦克设计!$B$23:$U$23,0)))*(VLOOKUP($B199,INDIRECT($B$5&amp;"生成成长"),3))*(VLOOKUP($B$5,标准坦克设计!$B$14:$K$20,9)/30))</f>
        <v>10.064844212419834</v>
      </c>
      <c r="BG199" s="173">
        <f ca="1">(VLOOKUP(BG$72,INDIRECT($C$5&amp;"生成成长"),2))/((VLOOKUP($B199,INDIRECT($B$5&amp;"生成成长"),4))/(VLOOKUP(BG$72,INDIRECT($C$5&amp;"生成成长"),5))*(VLOOKUP($B$5,标准坦克设计!$B$24:$U$30,MATCH("对"&amp;LEFT($C$5,2)&amp;"输出",标准坦克设计!$B$23:$U$23,0)))*(VLOOKUP($B199,INDIRECT($B$5&amp;"生成成长"),3))*(VLOOKUP($B$5,标准坦克设计!$B$14:$K$20,9)/30))</f>
        <v>10.986352559781061</v>
      </c>
      <c r="BH199" s="173">
        <f ca="1">(VLOOKUP(BH$72,INDIRECT($C$5&amp;"生成成长"),2))/((VLOOKUP($B199,INDIRECT($B$5&amp;"生成成长"),4))/(VLOOKUP(BH$72,INDIRECT($C$5&amp;"生成成长"),5))*(VLOOKUP($B$5,标准坦克设计!$B$24:$U$30,MATCH("对"&amp;LEFT($C$5,2)&amp;"输出",标准坦克设计!$B$23:$U$23,0)))*(VLOOKUP($B199,INDIRECT($B$5&amp;"生成成长"),3))*(VLOOKUP($B$5,标准坦克设计!$B$14:$K$20,9)/30))</f>
        <v>5.3103195275349915</v>
      </c>
      <c r="BI199" s="173">
        <f ca="1">(VLOOKUP(BI$72,INDIRECT($C$5&amp;"生成成长"),2))/((VLOOKUP($B199,INDIRECT($B$5&amp;"生成成长"),4))/(VLOOKUP(BI$72,INDIRECT($C$5&amp;"生成成长"),5))*(VLOOKUP($B$5,标准坦克设计!$B$24:$U$30,MATCH("对"&amp;LEFT($C$5,2)&amp;"输出",标准坦克设计!$B$23:$U$23,0)))*(VLOOKUP($B199,INDIRECT($B$5&amp;"生成成长"),3))*(VLOOKUP($B$5,标准坦克设计!$B$14:$K$20,9)/30))</f>
        <v>5.9851954704929717</v>
      </c>
      <c r="BJ199" s="173">
        <f ca="1">(VLOOKUP(BJ$72,INDIRECT($C$5&amp;"生成成长"),2))/((VLOOKUP($B199,INDIRECT($B$5&amp;"生成成长"),4))/(VLOOKUP(BJ$72,INDIRECT($C$5&amp;"生成成长"),5))*(VLOOKUP($B$5,标准坦克设计!$B$24:$U$30,MATCH("对"&amp;LEFT($C$5,2)&amp;"输出",标准坦克设计!$B$23:$U$23,0)))*(VLOOKUP($B199,INDIRECT($B$5&amp;"生成成长"),3))*(VLOOKUP($B$5,标准坦克设计!$B$14:$K$20,9)/30))</f>
        <v>6.7004294432623919</v>
      </c>
      <c r="BK199" s="173">
        <f ca="1">(VLOOKUP(BK$72,INDIRECT($C$5&amp;"生成成长"),2))/((VLOOKUP($B199,INDIRECT($B$5&amp;"生成成长"),4))/(VLOOKUP(BK$72,INDIRECT($C$5&amp;"生成成长"),5))*(VLOOKUP($B$5,标准坦克设计!$B$24:$U$30,MATCH("对"&amp;LEFT($C$5,2)&amp;"输出",标准坦克设计!$B$23:$U$23,0)))*(VLOOKUP($B199,INDIRECT($B$5&amp;"生成成长"),3))*(VLOOKUP($B$5,标准坦克设计!$B$14:$K$20,9)/30))</f>
        <v>7.456021445843251</v>
      </c>
      <c r="BL199" s="173">
        <f ca="1">(VLOOKUP(BL$72,INDIRECT($C$5&amp;"生成成长"),2))/((VLOOKUP($B199,INDIRECT($B$5&amp;"生成成长"),4))/(VLOOKUP(BL$72,INDIRECT($C$5&amp;"生成成长"),5))*(VLOOKUP($B$5,标准坦克设计!$B$24:$U$30,MATCH("对"&amp;LEFT($C$5,2)&amp;"输出",标准坦克设计!$B$23:$U$23,0)))*(VLOOKUP($B199,INDIRECT($B$5&amp;"生成成长"),3))*(VLOOKUP($B$5,标准坦克设计!$B$14:$K$20,9)/30))</f>
        <v>8.2519714782355518</v>
      </c>
      <c r="BM199" s="173">
        <f ca="1">(VLOOKUP(BM$72,INDIRECT($C$5&amp;"生成成长"),2))/((VLOOKUP($B199,INDIRECT($B$5&amp;"生成成长"),4))/(VLOOKUP(BM$72,INDIRECT($C$5&amp;"生成成长"),5))*(VLOOKUP($B$5,标准坦克设计!$B$24:$U$30,MATCH("对"&amp;LEFT($C$5,2)&amp;"输出",标准坦克设计!$B$23:$U$23,0)))*(VLOOKUP($B199,INDIRECT($B$5&amp;"生成成长"),3))*(VLOOKUP($B$5,标准坦克设计!$B$14:$K$20,9)/30))</f>
        <v>9.0882795404392951</v>
      </c>
      <c r="BN199" s="173">
        <f ca="1">(VLOOKUP(BN$72,INDIRECT($C$5&amp;"生成成长"),2))/((VLOOKUP($B199,INDIRECT($B$5&amp;"生成成长"),4))/(VLOOKUP(BN$72,INDIRECT($C$5&amp;"生成成长"),5))*(VLOOKUP($B$5,标准坦克设计!$B$24:$U$30,MATCH("对"&amp;LEFT($C$5,2)&amp;"输出",标准坦克设计!$B$23:$U$23,0)))*(VLOOKUP($B199,INDIRECT($B$5&amp;"生成成长"),3))*(VLOOKUP($B$5,标准坦克设计!$B$14:$K$20,9)/30))</f>
        <v>9.9649456324544783</v>
      </c>
      <c r="BO199" s="173">
        <f ca="1">(VLOOKUP(BO$72,INDIRECT($C$5&amp;"生成成长"),2))/((VLOOKUP($B199,INDIRECT($B$5&amp;"生成成长"),4))/(VLOOKUP(BO$72,INDIRECT($C$5&amp;"生成成长"),5))*(VLOOKUP($B$5,标准坦克设计!$B$24:$U$30,MATCH("对"&amp;LEFT($C$5,2)&amp;"输出",标准坦克设计!$B$23:$U$23,0)))*(VLOOKUP($B199,INDIRECT($B$5&amp;"生成成长"),3))*(VLOOKUP($B$5,标准坦克设计!$B$14:$K$20,9)/30))</f>
        <v>10.881969754281101</v>
      </c>
      <c r="BP199" s="173">
        <f ca="1">(VLOOKUP(BP$72,INDIRECT($C$5&amp;"生成成长"),2))/((VLOOKUP($B199,INDIRECT($B$5&amp;"生成成长"),4))/(VLOOKUP(BP$72,INDIRECT($C$5&amp;"生成成长"),5))*(VLOOKUP($B$5,标准坦克设计!$B$24:$U$30,MATCH("对"&amp;LEFT($C$5,2)&amp;"输出",标准坦克设计!$B$23:$U$23,0)))*(VLOOKUP($B199,INDIRECT($B$5&amp;"生成成长"),3))*(VLOOKUP($B$5,标准坦克设计!$B$14:$K$20,9)/30))</f>
        <v>11.839351905919164</v>
      </c>
      <c r="BQ199" s="173">
        <f ca="1">(VLOOKUP(BQ$72,INDIRECT($C$5&amp;"生成成长"),2))/((VLOOKUP($B199,INDIRECT($B$5&amp;"生成成长"),4))/(VLOOKUP(BQ$72,INDIRECT($C$5&amp;"生成成长"),5))*(VLOOKUP($B$5,标准坦克设计!$B$24:$U$30,MATCH("对"&amp;LEFT($C$5,2)&amp;"输出",标准坦克设计!$B$23:$U$23,0)))*(VLOOKUP($B199,INDIRECT($B$5&amp;"生成成长"),3))*(VLOOKUP($B$5,标准坦克设计!$B$14:$K$20,9)/30))</f>
        <v>12.837092087368671</v>
      </c>
      <c r="BR199" s="173">
        <f ca="1">(VLOOKUP(BR$72,INDIRECT($C$5&amp;"生成成长"),2))/((VLOOKUP($B199,INDIRECT($B$5&amp;"生成成长"),4))/(VLOOKUP(BR$72,INDIRECT($C$5&amp;"生成成长"),5))*(VLOOKUP($B$5,标准坦克设计!$B$24:$U$30,MATCH("对"&amp;LEFT($C$5,2)&amp;"输出",标准坦克设计!$B$23:$U$23,0)))*(VLOOKUP($B199,INDIRECT($B$5&amp;"生成成长"),3))*(VLOOKUP($B$5,标准坦克设计!$B$14:$K$20,9)/30))</f>
        <v>13.993025780733388</v>
      </c>
      <c r="BS199" s="173">
        <f ca="1">(VLOOKUP(BS$72,INDIRECT($C$5&amp;"生成成长"),2))/((VLOOKUP($B199,INDIRECT($B$5&amp;"生成成长"),4))/(VLOOKUP(BS$72,INDIRECT($C$5&amp;"生成成长"),5))*(VLOOKUP($B$5,标准坦克设计!$B$24:$U$30,MATCH("对"&amp;LEFT($C$5,2)&amp;"输出",标准坦克设计!$B$23:$U$23,0)))*(VLOOKUP($B199,INDIRECT($B$5&amp;"生成成长"),3))*(VLOOKUP($B$5,标准坦克设计!$B$14:$K$20,9)/30))</f>
        <v>15.198784202260381</v>
      </c>
      <c r="BT199" s="173">
        <f ca="1">(VLOOKUP(BT$72,INDIRECT($C$5&amp;"生成成长"),2))/((VLOOKUP($B199,INDIRECT($B$5&amp;"生成成长"),4))/(VLOOKUP(BT$72,INDIRECT($C$5&amp;"生成成长"),5))*(VLOOKUP($B$5,标准坦克设计!$B$24:$U$30,MATCH("对"&amp;LEFT($C$5,2)&amp;"输出",标准坦克设计!$B$23:$U$23,0)))*(VLOOKUP($B199,INDIRECT($B$5&amp;"生成成长"),3))*(VLOOKUP($B$5,标准坦克设计!$B$14:$K$20,9)/30))</f>
        <v>16.454367351949642</v>
      </c>
      <c r="BU199" s="173">
        <f ca="1">(VLOOKUP(BU$72,INDIRECT($C$5&amp;"生成成长"),2))/((VLOOKUP($B199,INDIRECT($B$5&amp;"生成成长"),4))/(VLOOKUP(BU$72,INDIRECT($C$5&amp;"生成成长"),5))*(VLOOKUP($B$5,标准坦克设计!$B$24:$U$30,MATCH("对"&amp;LEFT($C$5,2)&amp;"输出",标准坦克设计!$B$23:$U$23,0)))*(VLOOKUP($B199,INDIRECT($B$5&amp;"生成成长"),3))*(VLOOKUP($B$5,标准坦克设计!$B$14:$K$20,9)/30))</f>
        <v>17.759775229801182</v>
      </c>
      <c r="BV199" s="173">
        <f ca="1">(VLOOKUP(BV$72,INDIRECT($C$5&amp;"生成成长"),2))/((VLOOKUP($B199,INDIRECT($B$5&amp;"生成成长"),4))/(VLOOKUP(BV$72,INDIRECT($C$5&amp;"生成成长"),5))*(VLOOKUP($B$5,标准坦克设计!$B$24:$U$30,MATCH("对"&amp;LEFT($C$5,2)&amp;"输出",标准坦克设计!$B$23:$U$23,0)))*(VLOOKUP($B199,INDIRECT($B$5&amp;"生成成长"),3))*(VLOOKUP($B$5,标准坦克设计!$B$14:$K$20,9)/30))</f>
        <v>19.115007835814989</v>
      </c>
      <c r="BW199" s="173">
        <f ca="1">(VLOOKUP(BW$72,INDIRECT($C$5&amp;"生成成长"),2))/((VLOOKUP($B199,INDIRECT($B$5&amp;"生成成长"),4))/(VLOOKUP(BW$72,INDIRECT($C$5&amp;"生成成长"),5))*(VLOOKUP($B$5,标准坦克设计!$B$24:$U$30,MATCH("对"&amp;LEFT($C$5,2)&amp;"输出",标准坦克设计!$B$23:$U$23,0)))*(VLOOKUP($B199,INDIRECT($B$5&amp;"生成成长"),3))*(VLOOKUP($B$5,标准坦克设计!$B$14:$K$20,9)/30))</f>
        <v>8.7116045955325152</v>
      </c>
      <c r="BX199" s="173">
        <f ca="1">(VLOOKUP(BX$72,INDIRECT($C$5&amp;"生成成长"),2))/((VLOOKUP($B199,INDIRECT($B$5&amp;"生成成长"),4))/(VLOOKUP(BX$72,INDIRECT($C$5&amp;"生成成长"),5))*(VLOOKUP($B$5,标准坦克设计!$B$24:$U$30,MATCH("对"&amp;LEFT($C$5,2)&amp;"输出",标准坦克设计!$B$23:$U$23,0)))*(VLOOKUP($B199,INDIRECT($B$5&amp;"生成成长"),3))*(VLOOKUP($B$5,标准坦克设计!$B$14:$K$20,9)/30))</f>
        <v>9.6682393762481453</v>
      </c>
      <c r="BY199" s="173">
        <f ca="1">(VLOOKUP(BY$72,INDIRECT($C$5&amp;"生成成长"),2))/((VLOOKUP($B199,INDIRECT($B$5&amp;"生成成长"),4))/(VLOOKUP(BY$72,INDIRECT($C$5&amp;"生成成长"),5))*(VLOOKUP($B$5,标准坦克设计!$B$24:$U$30,MATCH("对"&amp;LEFT($C$5,2)&amp;"输出",标准坦克设计!$B$23:$U$23,0)))*(VLOOKUP($B199,INDIRECT($B$5&amp;"生成成长"),3))*(VLOOKUP($B$5,标准坦克设计!$B$14:$K$20,9)/30))</f>
        <v>10.674698885126048</v>
      </c>
      <c r="BZ199" s="173">
        <f ca="1">(VLOOKUP(BZ$72,INDIRECT($C$5&amp;"生成成长"),2))/((VLOOKUP($B199,INDIRECT($B$5&amp;"生成成长"),4))/(VLOOKUP(BZ$72,INDIRECT($C$5&amp;"生成成长"),5))*(VLOOKUP($B$5,标准坦克设计!$B$24:$U$30,MATCH("对"&amp;LEFT($C$5,2)&amp;"输出",标准坦克设计!$B$23:$U$23,0)))*(VLOOKUP($B199,INDIRECT($B$5&amp;"生成成长"),3))*(VLOOKUP($B$5,标准坦克设计!$B$14:$K$20,9)/30))</f>
        <v>11.730983122166222</v>
      </c>
      <c r="CA199" s="173">
        <f ca="1">(VLOOKUP(CA$72,INDIRECT($C$5&amp;"生成成长"),2))/((VLOOKUP($B199,INDIRECT($B$5&amp;"生成成长"),4))/(VLOOKUP(CA$72,INDIRECT($C$5&amp;"生成成长"),5))*(VLOOKUP($B$5,标准坦克设计!$B$24:$U$30,MATCH("对"&amp;LEFT($C$5,2)&amp;"输出",标准坦克设计!$B$23:$U$23,0)))*(VLOOKUP($B199,INDIRECT($B$5&amp;"生成成长"),3))*(VLOOKUP($B$5,标准坦克设计!$B$14:$K$20,9)/30))</f>
        <v>12.837092087368671</v>
      </c>
      <c r="CB199" s="173">
        <f ca="1">(VLOOKUP(CB$72,INDIRECT($C$5&amp;"生成成长"),2))/((VLOOKUP($B199,INDIRECT($B$5&amp;"生成成长"),4))/(VLOOKUP(CB$72,INDIRECT($C$5&amp;"生成成长"),5))*(VLOOKUP($B$5,标准坦克设计!$B$24:$U$30,MATCH("对"&amp;LEFT($C$5,2)&amp;"输出",标准坦克设计!$B$23:$U$23,0)))*(VLOOKUP($B199,INDIRECT($B$5&amp;"生成成长"),3))*(VLOOKUP($B$5,标准坦克设计!$B$14:$K$20,9)/30))</f>
        <v>13.993025780733388</v>
      </c>
      <c r="CC199" s="173">
        <f ca="1">(VLOOKUP(CC$72,INDIRECT($C$5&amp;"生成成长"),2))/((VLOOKUP($B199,INDIRECT($B$5&amp;"生成成长"),4))/(VLOOKUP(CC$72,INDIRECT($C$5&amp;"生成成长"),5))*(VLOOKUP($B$5,标准坦克设计!$B$24:$U$30,MATCH("对"&amp;LEFT($C$5,2)&amp;"输出",标准坦克设计!$B$23:$U$23,0)))*(VLOOKUP($B199,INDIRECT($B$5&amp;"生成成长"),3))*(VLOOKUP($B$5,标准坦克设计!$B$14:$K$20,9)/30))</f>
        <v>15.198784202260381</v>
      </c>
      <c r="CD199" s="173">
        <f ca="1">(VLOOKUP(CD$72,INDIRECT($C$5&amp;"生成成长"),2))/((VLOOKUP($B199,INDIRECT($B$5&amp;"生成成长"),4))/(VLOOKUP(CD$72,INDIRECT($C$5&amp;"生成成长"),5))*(VLOOKUP($B$5,标准坦克设计!$B$24:$U$30,MATCH("对"&amp;LEFT($C$5,2)&amp;"输出",标准坦克设计!$B$23:$U$23,0)))*(VLOOKUP($B199,INDIRECT($B$5&amp;"生成成长"),3))*(VLOOKUP($B$5,标准坦克设计!$B$14:$K$20,9)/30))</f>
        <v>16.454367351949642</v>
      </c>
      <c r="CE199" s="173">
        <f ca="1">(VLOOKUP(CE$72,INDIRECT($C$5&amp;"生成成长"),2))/((VLOOKUP($B199,INDIRECT($B$5&amp;"生成成长"),4))/(VLOOKUP(CE$72,INDIRECT($C$5&amp;"生成成长"),5))*(VLOOKUP($B$5,标准坦克设计!$B$24:$U$30,MATCH("对"&amp;LEFT($C$5,2)&amp;"输出",标准坦克设计!$B$23:$U$23,0)))*(VLOOKUP($B199,INDIRECT($B$5&amp;"生成成长"),3))*(VLOOKUP($B$5,标准坦克设计!$B$14:$K$20,9)/30))</f>
        <v>17.759775229801182</v>
      </c>
      <c r="CF199" s="173">
        <f ca="1">(VLOOKUP(CF$72,INDIRECT($C$5&amp;"生成成长"),2))/((VLOOKUP($B199,INDIRECT($B$5&amp;"生成成长"),4))/(VLOOKUP(CF$72,INDIRECT($C$5&amp;"生成成长"),5))*(VLOOKUP($B$5,标准坦克设计!$B$24:$U$30,MATCH("对"&amp;LEFT($C$5,2)&amp;"输出",标准坦克设计!$B$23:$U$23,0)))*(VLOOKUP($B199,INDIRECT($B$5&amp;"生成成长"),3))*(VLOOKUP($B$5,标准坦克设计!$B$14:$K$20,9)/30))</f>
        <v>19.115007835814989</v>
      </c>
      <c r="CG199" s="173">
        <f ca="1">(VLOOKUP(CG$72,INDIRECT($C$5&amp;"生成成长"),2))/((VLOOKUP($B199,INDIRECT($B$5&amp;"生成成长"),4))/(VLOOKUP(CG$72,INDIRECT($C$5&amp;"生成成长"),5))*(VLOOKUP($B$5,标准坦克设计!$B$24:$U$30,MATCH("对"&amp;LEFT($C$5,2)&amp;"输出",标准坦克设计!$B$23:$U$23,0)))*(VLOOKUP($B199,INDIRECT($B$5&amp;"生成成长"),3))*(VLOOKUP($B$5,标准坦克设计!$B$14:$K$20,9)/30))</f>
        <v>20.520065169991074</v>
      </c>
      <c r="CH199" s="173">
        <f ca="1">(VLOOKUP(CH$72,INDIRECT($C$5&amp;"生成成长"),2))/((VLOOKUP($B199,INDIRECT($B$5&amp;"生成成长"),4))/(VLOOKUP(CH$72,INDIRECT($C$5&amp;"生成成长"),5))*(VLOOKUP($B$5,标准坦克设计!$B$24:$U$30,MATCH("对"&amp;LEFT($C$5,2)&amp;"输出",标准坦克设计!$B$23:$U$23,0)))*(VLOOKUP($B199,INDIRECT($B$5&amp;"生成成长"),3))*(VLOOKUP($B$5,标准坦克设计!$B$14:$K$20,9)/30))</f>
        <v>21.974947232329431</v>
      </c>
      <c r="CI199" s="173">
        <f ca="1">(VLOOKUP(CI$72,INDIRECT($C$5&amp;"生成成长"),2))/((VLOOKUP($B199,INDIRECT($B$5&amp;"生成成长"),4))/(VLOOKUP(CI$72,INDIRECT($C$5&amp;"生成成长"),5))*(VLOOKUP($B$5,标准坦克设计!$B$24:$U$30,MATCH("对"&amp;LEFT($C$5,2)&amp;"输出",标准坦克设计!$B$23:$U$23,0)))*(VLOOKUP($B199,INDIRECT($B$5&amp;"生成成长"),3))*(VLOOKUP($B$5,标准坦克设计!$B$14:$K$20,9)/30))</f>
        <v>23.632865061929042</v>
      </c>
      <c r="CJ199" s="173">
        <f ca="1">(VLOOKUP(CJ$72,INDIRECT($C$5&amp;"生成成长"),2))/((VLOOKUP($B199,INDIRECT($B$5&amp;"生成成长"),4))/(VLOOKUP(CJ$72,INDIRECT($C$5&amp;"生成成长"),5))*(VLOOKUP($B$5,标准坦克设计!$B$24:$U$30,MATCH("对"&amp;LEFT($C$5,2)&amp;"输出",标准坦克设计!$B$23:$U$23,0)))*(VLOOKUP($B199,INDIRECT($B$5&amp;"生成成长"),3))*(VLOOKUP($B$5,标准坦克设计!$B$14:$K$20,9)/30))</f>
        <v>25.351070812605002</v>
      </c>
      <c r="CK199" s="173">
        <f ca="1">(VLOOKUP(CK$72,INDIRECT($C$5&amp;"生成成长"),2))/((VLOOKUP($B199,INDIRECT($B$5&amp;"生成成长"),4))/(VLOOKUP(CK$72,INDIRECT($C$5&amp;"生成成长"),5))*(VLOOKUP($B$5,标准坦克设计!$B$24:$U$30,MATCH("对"&amp;LEFT($C$5,2)&amp;"输出",标准坦克设计!$B$23:$U$23,0)))*(VLOOKUP($B199,INDIRECT($B$5&amp;"生成成长"),3))*(VLOOKUP($B$5,标准坦克设计!$B$14:$K$20,9)/30))</f>
        <v>27.129564484357321</v>
      </c>
      <c r="CL199" s="173">
        <f ca="1">(VLOOKUP(CL$72,INDIRECT($C$5&amp;"生成成长"),2))/((VLOOKUP($B199,INDIRECT($B$5&amp;"生成成长"),4))/(VLOOKUP(CL$72,INDIRECT($C$5&amp;"生成成长"),5))*(VLOOKUP($B$5,标准坦克设计!$B$24:$U$30,MATCH("对"&amp;LEFT($C$5,2)&amp;"输出",标准坦克设计!$B$23:$U$23,0)))*(VLOOKUP($B199,INDIRECT($B$5&amp;"生成成长"),3))*(VLOOKUP($B$5,标准坦克设计!$B$14:$K$20,9)/30))</f>
        <v>28.968346077185981</v>
      </c>
      <c r="CM199" s="173">
        <f ca="1">(VLOOKUP(CM$72,INDIRECT($C$5&amp;"生成成长"),2))/((VLOOKUP($B199,INDIRECT($B$5&amp;"生成成长"),4))/(VLOOKUP(CM$72,INDIRECT($C$5&amp;"生成成长"),5))*(VLOOKUP($B$5,标准坦克设计!$B$24:$U$30,MATCH("对"&amp;LEFT($C$5,2)&amp;"输出",标准坦克设计!$B$23:$U$23,0)))*(VLOOKUP($B199,INDIRECT($B$5&amp;"生成成长"),3))*(VLOOKUP($B$5,标准坦克设计!$B$14:$K$20,9)/30))</f>
        <v>30.867415591090996</v>
      </c>
      <c r="CN199" s="173">
        <f ca="1">(VLOOKUP(CN$72,INDIRECT($C$5&amp;"生成成长"),2))/((VLOOKUP($B199,INDIRECT($B$5&amp;"生成成长"),4))/(VLOOKUP(CN$72,INDIRECT($C$5&amp;"生成成长"),5))*(VLOOKUP($B$5,标准坦克设计!$B$24:$U$30,MATCH("对"&amp;LEFT($C$5,2)&amp;"输出",标准坦克设计!$B$23:$U$23,0)))*(VLOOKUP($B199,INDIRECT($B$5&amp;"生成成长"),3))*(VLOOKUP($B$5,标准坦克设计!$B$14:$K$20,9)/30))</f>
        <v>32.82677302607236</v>
      </c>
      <c r="CO199" s="173">
        <f ca="1">(VLOOKUP(CO$72,INDIRECT($C$5&amp;"生成成长"),2))/((VLOOKUP($B199,INDIRECT($B$5&amp;"生成成长"),4))/(VLOOKUP(CO$72,INDIRECT($C$5&amp;"生成成长"),5))*(VLOOKUP($B$5,标准坦克设计!$B$24:$U$30,MATCH("对"&amp;LEFT($C$5,2)&amp;"输出",标准坦克设计!$B$23:$U$23,0)))*(VLOOKUP($B199,INDIRECT($B$5&amp;"生成成长"),3))*(VLOOKUP($B$5,标准坦克设计!$B$14:$K$20,9)/30))</f>
        <v>14.710501866270112</v>
      </c>
      <c r="CP199" s="173">
        <f ca="1">(VLOOKUP(CP$72,INDIRECT($C$5&amp;"生成成长"),2))/((VLOOKUP($B199,INDIRECT($B$5&amp;"生成成长"),4))/(VLOOKUP(CP$72,INDIRECT($C$5&amp;"生成成长"),5))*(VLOOKUP($B$5,标准坦克设计!$B$24:$U$30,MATCH("对"&amp;LEFT($C$5,2)&amp;"输出",标准坦克设计!$B$23:$U$23,0)))*(VLOOKUP($B199,INDIRECT($B$5&amp;"生成成长"),3))*(VLOOKUP($B$5,标准坦克设计!$B$14:$K$20,9)/30))</f>
        <v>16.072460810585831</v>
      </c>
      <c r="CQ199" s="173">
        <f ca="1">(VLOOKUP(CQ$72,INDIRECT($C$5&amp;"生成成长"),2))/((VLOOKUP($B199,INDIRECT($B$5&amp;"生成成长"),4))/(VLOOKUP(CQ$72,INDIRECT($C$5&amp;"生成成长"),5))*(VLOOKUP($B$5,标准坦克设计!$B$24:$U$30,MATCH("对"&amp;LEFT($C$5,2)&amp;"输出",标准坦克设计!$B$23:$U$23,0)))*(VLOOKUP($B199,INDIRECT($B$5&amp;"生成成长"),3))*(VLOOKUP($B$5,标准坦克设计!$B$14:$K$20,9)/30))</f>
        <v>17.494707675977896</v>
      </c>
      <c r="CR199" s="173">
        <f ca="1">(VLOOKUP(CR$72,INDIRECT($C$5&amp;"生成成长"),2))/((VLOOKUP($B199,INDIRECT($B$5&amp;"生成成长"),4))/(VLOOKUP(CR$72,INDIRECT($C$5&amp;"生成成长"),5))*(VLOOKUP($B$5,标准坦克设计!$B$24:$U$30,MATCH("对"&amp;LEFT($C$5,2)&amp;"输出",标准坦克设计!$B$23:$U$23,0)))*(VLOOKUP($B199,INDIRECT($B$5&amp;"生成成长"),3))*(VLOOKUP($B$5,标准坦克设计!$B$14:$K$20,9)/30))</f>
        <v>18.977242462446309</v>
      </c>
      <c r="CS199" s="173">
        <f ca="1">(VLOOKUP(CS$72,INDIRECT($C$5&amp;"生成成长"),2))/((VLOOKUP($B199,INDIRECT($B$5&amp;"生成成长"),4))/(VLOOKUP(CS$72,INDIRECT($C$5&amp;"生成成长"),5))*(VLOOKUP($B$5,标准坦克设计!$B$24:$U$30,MATCH("对"&amp;LEFT($C$5,2)&amp;"输出",标准坦克设计!$B$23:$U$23,0)))*(VLOOKUP($B199,INDIRECT($B$5&amp;"生成成长"),3))*(VLOOKUP($B$5,标准坦克设计!$B$14:$K$20,9)/30))</f>
        <v>20.520065169991074</v>
      </c>
      <c r="CT199" s="173">
        <f ca="1">(VLOOKUP(CT$72,INDIRECT($C$5&amp;"生成成长"),2))/((VLOOKUP($B199,INDIRECT($B$5&amp;"生成成长"),4))/(VLOOKUP(CT$72,INDIRECT($C$5&amp;"生成成长"),5))*(VLOOKUP($B$5,标准坦克设计!$B$24:$U$30,MATCH("对"&amp;LEFT($C$5,2)&amp;"输出",标准坦克设计!$B$23:$U$23,0)))*(VLOOKUP($B199,INDIRECT($B$5&amp;"生成成长"),3))*(VLOOKUP($B$5,标准坦克设计!$B$14:$K$20,9)/30))</f>
        <v>22.123175798612184</v>
      </c>
      <c r="CU199" s="173">
        <f ca="1">(VLOOKUP(CU$72,INDIRECT($C$5&amp;"生成成长"),2))/((VLOOKUP($B199,INDIRECT($B$5&amp;"生成成长"),4))/(VLOOKUP(CU$72,INDIRECT($C$5&amp;"生成成长"),5))*(VLOOKUP($B$5,标准坦克设计!$B$24:$U$30,MATCH("对"&amp;LEFT($C$5,2)&amp;"输出",标准坦克设计!$B$23:$U$23,0)))*(VLOOKUP($B199,INDIRECT($B$5&amp;"生成成长"),3))*(VLOOKUP($B$5,标准坦克设计!$B$14:$K$20,9)/30))</f>
        <v>23.786574348309653</v>
      </c>
      <c r="CV199" s="173">
        <f ca="1">(VLOOKUP(CV$72,INDIRECT($C$5&amp;"生成成长"),2))/((VLOOKUP($B199,INDIRECT($B$5&amp;"生成成长"),4))/(VLOOKUP(CV$72,INDIRECT($C$5&amp;"生成成长"),5))*(VLOOKUP($B$5,标准坦克设计!$B$24:$U$30,MATCH("对"&amp;LEFT($C$5,2)&amp;"输出",标准坦克设计!$B$23:$U$23,0)))*(VLOOKUP($B199,INDIRECT($B$5&amp;"生成成长"),3))*(VLOOKUP($B$5,标准坦克设计!$B$14:$K$20,9)/30))</f>
        <v>25.510260819083459</v>
      </c>
      <c r="CW199" s="173">
        <f ca="1">(VLOOKUP(CW$72,INDIRECT($C$5&amp;"生成成长"),2))/((VLOOKUP($B199,INDIRECT($B$5&amp;"生成成长"),4))/(VLOOKUP(CW$72,INDIRECT($C$5&amp;"生成成长"),5))*(VLOOKUP($B$5,标准坦克设计!$B$24:$U$30,MATCH("对"&amp;LEFT($C$5,2)&amp;"输出",标准坦克设计!$B$23:$U$23,0)))*(VLOOKUP($B199,INDIRECT($B$5&amp;"生成成长"),3))*(VLOOKUP($B$5,标准坦克设计!$B$14:$K$20,9)/30))</f>
        <v>27.294235210933632</v>
      </c>
      <c r="CX199" s="173">
        <f ca="1">(VLOOKUP(CX$72,INDIRECT($C$5&amp;"生成成长"),2))/((VLOOKUP($B199,INDIRECT($B$5&amp;"生成成长"),4))/(VLOOKUP(CX$72,INDIRECT($C$5&amp;"生成成长"),5))*(VLOOKUP($B$5,标准坦克设计!$B$24:$U$30,MATCH("对"&amp;LEFT($C$5,2)&amp;"输出",标准坦克设计!$B$23:$U$23,0)))*(VLOOKUP($B199,INDIRECT($B$5&amp;"生成成长"),3))*(VLOOKUP($B$5,标准坦克设计!$B$14:$K$20,9)/30))</f>
        <v>29.138497523860138</v>
      </c>
      <c r="CY199" s="173">
        <f ca="1">(VLOOKUP(CY$72,INDIRECT($C$5&amp;"生成成长"),2))/((VLOOKUP($B199,INDIRECT($B$5&amp;"生成成长"),4))/(VLOOKUP(CY$72,INDIRECT($C$5&amp;"生成成长"),5))*(VLOOKUP($B$5,标准坦克设计!$B$24:$U$30,MATCH("对"&amp;LEFT($C$5,2)&amp;"输出",标准坦克设计!$B$23:$U$23,0)))*(VLOOKUP($B199,INDIRECT($B$5&amp;"生成成长"),3))*(VLOOKUP($B$5,标准坦克设计!$B$14:$K$20,9)/30))</f>
        <v>31.043047757863004</v>
      </c>
      <c r="CZ199" s="173">
        <f ca="1">(VLOOKUP(CZ$72,INDIRECT($C$5&amp;"生成成长"),2))/((VLOOKUP($B199,INDIRECT($B$5&amp;"生成成长"),4))/(VLOOKUP(CZ$72,INDIRECT($C$5&amp;"生成成长"),5))*(VLOOKUP($B$5,标准坦克设计!$B$24:$U$30,MATCH("对"&amp;LEFT($C$5,2)&amp;"输出",标准坦克设计!$B$23:$U$23,0)))*(VLOOKUP($B199,INDIRECT($B$5&amp;"生成成长"),3))*(VLOOKUP($B$5,标准坦克设计!$B$14:$K$20,9)/30))</f>
        <v>33.007885912942207</v>
      </c>
      <c r="DA199" s="173">
        <f ca="1">(VLOOKUP(DA$72,INDIRECT($C$5&amp;"生成成长"),2))/((VLOOKUP($B199,INDIRECT($B$5&amp;"生成成长"),4))/(VLOOKUP(DA$72,INDIRECT($C$5&amp;"生成成长"),5))*(VLOOKUP($B$5,标准坦克设计!$B$24:$U$30,MATCH("对"&amp;LEFT($C$5,2)&amp;"输出",标准坦克设计!$B$23:$U$23,0)))*(VLOOKUP($B199,INDIRECT($B$5&amp;"生成成长"),3))*(VLOOKUP($B$5,标准坦克设计!$B$14:$K$20,9)/30))</f>
        <v>35.03301198909778</v>
      </c>
      <c r="DB199" s="173">
        <f ca="1">(VLOOKUP(DB$72,INDIRECT($C$5&amp;"生成成长"),2))/((VLOOKUP($B199,INDIRECT($B$5&amp;"生成成长"),4))/(VLOOKUP(DB$72,INDIRECT($C$5&amp;"生成成长"),5))*(VLOOKUP($B$5,标准坦克设计!$B$24:$U$30,MATCH("对"&amp;LEFT($C$5,2)&amp;"输出",标准坦克设计!$B$23:$U$23,0)))*(VLOOKUP($B199,INDIRECT($B$5&amp;"生成成长"),3))*(VLOOKUP($B$5,标准坦克设计!$B$14:$K$20,9)/30))</f>
        <v>37.118425986329683</v>
      </c>
      <c r="DC199" s="173">
        <f ca="1">(VLOOKUP(DC$72,INDIRECT($C$5&amp;"生成成长"),2))/((VLOOKUP($B199,INDIRECT($B$5&amp;"生成成长"),4))/(VLOOKUP(DC$72,INDIRECT($C$5&amp;"生成成长"),5))*(VLOOKUP($B$5,标准坦克设计!$B$24:$U$30,MATCH("对"&amp;LEFT($C$5,2)&amp;"输出",标准坦克设计!$B$23:$U$23,0)))*(VLOOKUP($B199,INDIRECT($B$5&amp;"生成成长"),3))*(VLOOKUP($B$5,标准坦克设计!$B$14:$K$20,9)/30))</f>
        <v>39.462181199082977</v>
      </c>
      <c r="DD199" s="173">
        <f ca="1">(VLOOKUP(DD$72,INDIRECT($C$5&amp;"生成成长"),2))/((VLOOKUP($B199,INDIRECT($B$5&amp;"生成成长"),4))/(VLOOKUP(DD$72,INDIRECT($C$5&amp;"生成成长"),5))*(VLOOKUP($B$5,标准坦克设计!$B$24:$U$30,MATCH("对"&amp;LEFT($C$5,2)&amp;"输出",标准坦克设计!$B$23:$U$23,0)))*(VLOOKUP($B199,INDIRECT($B$5&amp;"生成成长"),3))*(VLOOKUP($B$5,标准坦克设计!$B$14:$K$20,9)/30))</f>
        <v>41.877684020389943</v>
      </c>
      <c r="DE199" s="173">
        <f ca="1">(VLOOKUP(DE$72,INDIRECT($C$5&amp;"生成成长"),2))/((VLOOKUP($B199,INDIRECT($B$5&amp;"生成成长"),4))/(VLOOKUP(DE$72,INDIRECT($C$5&amp;"生成成长"),5))*(VLOOKUP($B$5,标准坦克设计!$B$24:$U$30,MATCH("对"&amp;LEFT($C$5,2)&amp;"输出",标准坦克设计!$B$23:$U$23,0)))*(VLOOKUP($B199,INDIRECT($B$5&amp;"生成成长"),3))*(VLOOKUP($B$5,标准坦克设计!$B$14:$K$20,9)/30))</f>
        <v>44.36493445025058</v>
      </c>
      <c r="DF199" s="173">
        <f ca="1">(VLOOKUP(DF$72,INDIRECT($C$5&amp;"生成成长"),2))/((VLOOKUP($B199,INDIRECT($B$5&amp;"生成成长"),4))/(VLOOKUP(DF$72,INDIRECT($C$5&amp;"生成成长"),5))*(VLOOKUP($B$5,标准坦克设计!$B$24:$U$30,MATCH("对"&amp;LEFT($C$5,2)&amp;"输出",标准坦克设计!$B$23:$U$23,0)))*(VLOOKUP($B199,INDIRECT($B$5&amp;"生成成长"),3))*(VLOOKUP($B$5,标准坦克设计!$B$14:$K$20,9)/30))</f>
        <v>46.923932488664889</v>
      </c>
      <c r="DG199" s="173">
        <f ca="1">(VLOOKUP(DG$72,INDIRECT($C$5&amp;"生成成长"),2))/((VLOOKUP($B199,INDIRECT($B$5&amp;"生成成长"),4))/(VLOOKUP(DG$72,INDIRECT($C$5&amp;"生成成长"),5))*(VLOOKUP($B$5,标准坦克设计!$B$24:$U$30,MATCH("对"&amp;LEFT($C$5,2)&amp;"输出",标准坦克设计!$B$23:$U$23,0)))*(VLOOKUP($B199,INDIRECT($B$5&amp;"生成成长"),3))*(VLOOKUP($B$5,标准坦克设计!$B$14:$K$20,9)/30))</f>
        <v>49.554678135632869</v>
      </c>
      <c r="DH199" s="173">
        <f ca="1">(VLOOKUP(DH$72,INDIRECT($C$5&amp;"生成成长"),2))/((VLOOKUP($B199,INDIRECT($B$5&amp;"生成成长"),4))/(VLOOKUP(DH$72,INDIRECT($C$5&amp;"生成成长"),5))*(VLOOKUP($B$5,标准坦克设计!$B$24:$U$30,MATCH("对"&amp;LEFT($C$5,2)&amp;"输出",标准坦克设计!$B$23:$U$23,0)))*(VLOOKUP($B199,INDIRECT($B$5&amp;"生成成长"),3))*(VLOOKUP($B$5,标准坦克设计!$B$14:$K$20,9)/30))</f>
        <v>52.257171391154536</v>
      </c>
      <c r="DI199" s="173">
        <f ca="1">(VLOOKUP(DI$72,INDIRECT($C$5&amp;"生成成长"),2))/((VLOOKUP($B199,INDIRECT($B$5&amp;"生成成长"),4))/(VLOOKUP(DI$72,INDIRECT($C$5&amp;"生成成长"),5))*(VLOOKUP($B$5,标准坦克设计!$B$24:$U$30,MATCH("对"&amp;LEFT($C$5,2)&amp;"输出",标准坦克设计!$B$23:$U$23,0)))*(VLOOKUP($B199,INDIRECT($B$5&amp;"生成成长"),3))*(VLOOKUP($B$5,标准坦克设计!$B$14:$K$20,9)/30))</f>
        <v>55.031412255229846</v>
      </c>
      <c r="DJ199" s="173">
        <f ca="1">(VLOOKUP(DJ$72,INDIRECT($C$5&amp;"生成成长"),2))/((VLOOKUP($B199,INDIRECT($B$5&amp;"生成成长"),4))/(VLOOKUP(DJ$72,INDIRECT($C$5&amp;"生成成长"),5))*(VLOOKUP($B$5,标准坦克设计!$B$24:$U$30,MATCH("对"&amp;LEFT($C$5,2)&amp;"输出",标准坦克设计!$B$23:$U$23,0)))*(VLOOKUP($B199,INDIRECT($B$5&amp;"生成成长"),3))*(VLOOKUP($B$5,标准坦克设计!$B$14:$K$20,9)/30))</f>
        <v>5.530793949653046</v>
      </c>
      <c r="DK199" s="173">
        <f ca="1">(VLOOKUP(DK$72,INDIRECT($C$5&amp;"生成成长"),2))/((VLOOKUP($B199,INDIRECT($B$5&amp;"生成成长"),4))/(VLOOKUP(DK$72,INDIRECT($C$5&amp;"生成成长"),5))*(VLOOKUP($B$5,标准坦克设计!$B$24:$U$30,MATCH("对"&amp;LEFT($C$5,2)&amp;"输出",标准坦克设计!$B$23:$U$23,0)))*(VLOOKUP($B199,INDIRECT($B$5&amp;"生成成长"),3))*(VLOOKUP($B$5,标准坦克设计!$B$14:$K$20,9)/30))</f>
        <v>6.2191225692148402</v>
      </c>
      <c r="DL199" s="173">
        <f ca="1">(VLOOKUP(DL$72,INDIRECT($C$5&amp;"生成成长"),2))/((VLOOKUP($B199,INDIRECT($B$5&amp;"生成成长"),4))/(VLOOKUP(DL$72,INDIRECT($C$5&amp;"生成成长"),5))*(VLOOKUP($B$5,标准坦克设计!$B$24:$U$30,MATCH("对"&amp;LEFT($C$5,2)&amp;"输出",标准坦克设计!$B$23:$U$23,0)))*(VLOOKUP($B199,INDIRECT($B$5&amp;"生成成长"),3))*(VLOOKUP($B$5,标准坦克设计!$B$14:$K$20,9)/30))</f>
        <v>6.9478092185880733</v>
      </c>
      <c r="DM199" s="173">
        <f ca="1">(VLOOKUP(DM$72,INDIRECT($C$5&amp;"生成成长"),2))/((VLOOKUP($B199,INDIRECT($B$5&amp;"生成成长"),4))/(VLOOKUP(DM$72,INDIRECT($C$5&amp;"生成成长"),5))*(VLOOKUP($B$5,标准坦克设计!$B$24:$U$30,MATCH("对"&amp;LEFT($C$5,2)&amp;"输出",标准坦克设计!$B$23:$U$23,0)))*(VLOOKUP($B199,INDIRECT($B$5&amp;"生成成长"),3))*(VLOOKUP($B$5,标准坦克设计!$B$14:$K$20,9)/30))</f>
        <v>7.716853897772749</v>
      </c>
      <c r="DN199" s="173">
        <f ca="1">(VLOOKUP(DN$72,INDIRECT($C$5&amp;"生成成长"),2))/((VLOOKUP($B199,INDIRECT($B$5&amp;"生成成长"),4))/(VLOOKUP(DN$72,INDIRECT($C$5&amp;"生成成长"),5))*(VLOOKUP($B$5,标准坦克设计!$B$24:$U$30,MATCH("对"&amp;LEFT($C$5,2)&amp;"输出",标准坦克设计!$B$23:$U$23,0)))*(VLOOKUP($B199,INDIRECT($B$5&amp;"生成成长"),3))*(VLOOKUP($B$5,标准坦克设计!$B$14:$K$20,9)/30))</f>
        <v>8.5262566067688645</v>
      </c>
      <c r="DO199" s="173">
        <f ca="1">(VLOOKUP(DO$72,INDIRECT($C$5&amp;"生成成长"),2))/((VLOOKUP($B199,INDIRECT($B$5&amp;"生成成长"),4))/(VLOOKUP(DO$72,INDIRECT($C$5&amp;"生成成长"),5))*(VLOOKUP($B$5,标准坦克设计!$B$24:$U$30,MATCH("对"&amp;LEFT($C$5,2)&amp;"输出",标准坦克设计!$B$23:$U$23,0)))*(VLOOKUP($B199,INDIRECT($B$5&amp;"生成成长"),3))*(VLOOKUP($B$5,标准坦克设计!$B$14:$K$20,9)/30))</f>
        <v>9.3760173455764182</v>
      </c>
      <c r="DP199" s="173">
        <f ca="1">(VLOOKUP(DP$72,INDIRECT($C$5&amp;"生成成长"),2))/((VLOOKUP($B199,INDIRECT($B$5&amp;"生成成长"),4))/(VLOOKUP(DP$72,INDIRECT($C$5&amp;"生成成长"),5))*(VLOOKUP($B$5,标准坦克设计!$B$24:$U$30,MATCH("对"&amp;LEFT($C$5,2)&amp;"输出",标准坦克设计!$B$23:$U$23,0)))*(VLOOKUP($B199,INDIRECT($B$5&amp;"生成成长"),3))*(VLOOKUP($B$5,标准坦克设计!$B$14:$K$20,9)/30))</f>
        <v>10.266136114195413</v>
      </c>
      <c r="DQ199" s="173">
        <f ca="1">(VLOOKUP(DQ$72,INDIRECT($C$5&amp;"生成成长"),2))/((VLOOKUP($B199,INDIRECT($B$5&amp;"生成成长"),4))/(VLOOKUP(DQ$72,INDIRECT($C$5&amp;"生成成长"),5))*(VLOOKUP($B$5,标准坦克设计!$B$24:$U$30,MATCH("对"&amp;LEFT($C$5,2)&amp;"输出",标准坦克设计!$B$23:$U$23,0)))*(VLOOKUP($B199,INDIRECT($B$5&amp;"生成成长"),3))*(VLOOKUP($B$5,标准坦克设计!$B$14:$K$20,9)/30))</f>
        <v>11.196612912625852</v>
      </c>
      <c r="DR199" s="173">
        <f ca="1">(VLOOKUP(DR$72,INDIRECT($C$5&amp;"生成成长"),2))/((VLOOKUP($B199,INDIRECT($B$5&amp;"生成成长"),4))/(VLOOKUP(DR$72,INDIRECT($C$5&amp;"生成成长"),5))*(VLOOKUP($B$5,标准坦克设计!$B$24:$U$30,MATCH("对"&amp;LEFT($C$5,2)&amp;"输出",标准坦克设计!$B$23:$U$23,0)))*(VLOOKUP($B199,INDIRECT($B$5&amp;"生成成长"),3))*(VLOOKUP($B$5,标准坦克设计!$B$14:$K$20,9)/30))</f>
        <v>12.167447740867727</v>
      </c>
      <c r="DS199" s="173">
        <f ca="1">(VLOOKUP(DS$72,INDIRECT($C$5&amp;"生成成长"),2))/((VLOOKUP($B199,INDIRECT($B$5&amp;"生成成长"),4))/(VLOOKUP(DS$72,INDIRECT($C$5&amp;"生成成长"),5))*(VLOOKUP($B$5,标准坦克设计!$B$24:$U$30,MATCH("对"&amp;LEFT($C$5,2)&amp;"输出",标准坦克设计!$B$23:$U$23,0)))*(VLOOKUP($B199,INDIRECT($B$5&amp;"生成成长"),3))*(VLOOKUP($B$5,标准坦克设计!$B$14:$K$20,9)/30))</f>
        <v>13.178640598921048</v>
      </c>
      <c r="DT199" s="173">
        <f ca="1">(VLOOKUP(DT$72,INDIRECT($C$5&amp;"生成成长"),2))/((VLOOKUP($B199,INDIRECT($B$5&amp;"生成成长"),4))/(VLOOKUP(DT$72,INDIRECT($C$5&amp;"生成成长"),5))*(VLOOKUP($B$5,标准坦克设计!$B$24:$U$30,MATCH("对"&amp;LEFT($C$5,2)&amp;"输出",标准坦克设计!$B$23:$U$23,0)))*(VLOOKUP($B199,INDIRECT($B$5&amp;"生成成长"),3))*(VLOOKUP($B$5,标准坦克设计!$B$14:$K$20,9)/30))</f>
        <v>14.469350181964714</v>
      </c>
      <c r="DU199" s="173">
        <f ca="1">(VLOOKUP(DU$72,INDIRECT($C$5&amp;"生成成长"),2))/((VLOOKUP($B199,INDIRECT($B$5&amp;"生成成长"),4))/(VLOOKUP(DU$72,INDIRECT($C$5&amp;"生成成长"),5))*(VLOOKUP($B$5,标准坦克设计!$B$24:$U$30,MATCH("对"&amp;LEFT($C$5,2)&amp;"输出",标准坦克设计!$B$23:$U$23,0)))*(VLOOKUP($B199,INDIRECT($B$5&amp;"生成成长"),3))*(VLOOKUP($B$5,标准坦克设计!$B$14:$K$20,9)/30))</f>
        <v>15.820347686084729</v>
      </c>
      <c r="DV199" s="173">
        <f ca="1">(VLOOKUP(DV$72,INDIRECT($C$5&amp;"生成成长"),2))/((VLOOKUP($B199,INDIRECT($B$5&amp;"生成成长"),4))/(VLOOKUP(DV$72,INDIRECT($C$5&amp;"生成成长"),5))*(VLOOKUP($B$5,标准坦克设计!$B$24:$U$30,MATCH("对"&amp;LEFT($C$5,2)&amp;"输出",标准坦克设计!$B$23:$U$23,0)))*(VLOOKUP($B199,INDIRECT($B$5&amp;"生成成长"),3))*(VLOOKUP($B$5,标准坦克设计!$B$14:$K$20,9)/30))</f>
        <v>17.231633111281095</v>
      </c>
      <c r="DW199" s="173">
        <f ca="1">(VLOOKUP(DW$72,INDIRECT($C$5&amp;"生成成长"),2))/((VLOOKUP($B199,INDIRECT($B$5&amp;"生成成长"),4))/(VLOOKUP(DW$72,INDIRECT($C$5&amp;"生成成长"),5))*(VLOOKUP($B$5,标准坦克设计!$B$24:$U$30,MATCH("对"&amp;LEFT($C$5,2)&amp;"输出",标准坦克设计!$B$23:$U$23,0)))*(VLOOKUP($B199,INDIRECT($B$5&amp;"生成成长"),3))*(VLOOKUP($B$5,标准坦克设计!$B$14:$K$20,9)/30))</f>
        <v>18.703206457553812</v>
      </c>
      <c r="DX199" s="173">
        <f ca="1">(VLOOKUP(DX$72,INDIRECT($C$5&amp;"生成成长"),2))/((VLOOKUP($B199,INDIRECT($B$5&amp;"生成成长"),4))/(VLOOKUP(DX$72,INDIRECT($C$5&amp;"生成成长"),5))*(VLOOKUP($B$5,标准坦克设计!$B$24:$U$30,MATCH("对"&amp;LEFT($C$5,2)&amp;"输出",标准坦克设计!$B$23:$U$23,0)))*(VLOOKUP($B199,INDIRECT($B$5&amp;"生成成长"),3))*(VLOOKUP($B$5,标准坦克设计!$B$14:$K$20,9)/30))</f>
        <v>20.23506772490288</v>
      </c>
      <c r="DY199" s="173">
        <f ca="1">(VLOOKUP(DY$72,INDIRECT($C$5&amp;"生成成长"),2))/((VLOOKUP($B199,INDIRECT($B$5&amp;"生成成长"),4))/(VLOOKUP(DY$72,INDIRECT($C$5&amp;"生成成长"),5))*(VLOOKUP($B$5,标准坦克设计!$B$24:$U$30,MATCH("对"&amp;LEFT($C$5,2)&amp;"输出",标准坦克设计!$B$23:$U$23,0)))*(VLOOKUP($B199,INDIRECT($B$5&amp;"生成成长"),3))*(VLOOKUP($B$5,标准坦克设计!$B$14:$K$20,9)/30))</f>
        <v>9.0882795404392951</v>
      </c>
      <c r="DZ199" s="173">
        <f ca="1">(VLOOKUP(DZ$72,INDIRECT($C$5&amp;"生成成长"),2))/((VLOOKUP($B199,INDIRECT($B$5&amp;"生成成长"),4))/(VLOOKUP(DZ$72,INDIRECT($C$5&amp;"生成成长"),5))*(VLOOKUP($B$5,标准坦克设计!$B$24:$U$30,MATCH("对"&amp;LEFT($C$5,2)&amp;"输出",标准坦克设计!$B$23:$U$23,0)))*(VLOOKUP($B199,INDIRECT($B$5&amp;"生成成长"),3))*(VLOOKUP($B$5,标准坦克设计!$B$14:$K$20,9)/30))</f>
        <v>10.064844212419834</v>
      </c>
      <c r="EA199" s="173">
        <f ca="1">(VLOOKUP(EA$72,INDIRECT($C$5&amp;"生成成长"),2))/((VLOOKUP($B199,INDIRECT($B$5&amp;"生成成长"),4))/(VLOOKUP(EA$72,INDIRECT($C$5&amp;"生成成长"),5))*(VLOOKUP($B$5,标准坦克设计!$B$24:$U$30,MATCH("对"&amp;LEFT($C$5,2)&amp;"输出",标准坦克设计!$B$23:$U$23,0)))*(VLOOKUP($B199,INDIRECT($B$5&amp;"生成成长"),3))*(VLOOKUP($B$5,标准坦克设计!$B$14:$K$20,9)/30))</f>
        <v>11.091233612562645</v>
      </c>
      <c r="EB199" s="173">
        <f ca="1">(VLOOKUP(EB$72,INDIRECT($C$5&amp;"生成成长"),2))/((VLOOKUP($B199,INDIRECT($B$5&amp;"生成成长"),4))/(VLOOKUP(EB$72,INDIRECT($C$5&amp;"生成成长"),5))*(VLOOKUP($B$5,标准坦克设计!$B$24:$U$30,MATCH("对"&amp;LEFT($C$5,2)&amp;"输出",标准坦克设计!$B$23:$U$23,0)))*(VLOOKUP($B199,INDIRECT($B$5&amp;"生成成长"),3))*(VLOOKUP($B$5,标准坦克设计!$B$14:$K$20,9)/30))</f>
        <v>12.167447740867727</v>
      </c>
      <c r="EC199" s="173">
        <f ca="1">(VLOOKUP(EC$72,INDIRECT($C$5&amp;"生成成长"),2))/((VLOOKUP($B199,INDIRECT($B$5&amp;"生成成长"),4))/(VLOOKUP(EC$72,INDIRECT($C$5&amp;"生成成长"),5))*(VLOOKUP($B$5,标准坦克设计!$B$24:$U$30,MATCH("对"&amp;LEFT($C$5,2)&amp;"输出",标准坦克设计!$B$23:$U$23,0)))*(VLOOKUP($B199,INDIRECT($B$5&amp;"生成成长"),3))*(VLOOKUP($B$5,标准坦克设计!$B$14:$K$20,9)/30))</f>
        <v>13.293486597335084</v>
      </c>
      <c r="ED199" s="173">
        <f ca="1">(VLOOKUP(ED$72,INDIRECT($C$5&amp;"生成成长"),2))/((VLOOKUP($B199,INDIRECT($B$5&amp;"生成成长"),4))/(VLOOKUP(ED$72,INDIRECT($C$5&amp;"生成成长"),5))*(VLOOKUP($B$5,标准坦克设计!$B$24:$U$30,MATCH("对"&amp;LEFT($C$5,2)&amp;"输出",标准坦克设计!$B$23:$U$23,0)))*(VLOOKUP($B199,INDIRECT($B$5&amp;"生成成长"),3))*(VLOOKUP($B$5,标准坦克设计!$B$14:$K$20,9)/30))</f>
        <v>14.469350181964714</v>
      </c>
      <c r="EE199" s="173">
        <f ca="1">(VLOOKUP(EE$72,INDIRECT($C$5&amp;"生成成长"),2))/((VLOOKUP($B199,INDIRECT($B$5&amp;"生成成长"),4))/(VLOOKUP(EE$72,INDIRECT($C$5&amp;"生成成长"),5))*(VLOOKUP($B$5,标准坦克设计!$B$24:$U$30,MATCH("对"&amp;LEFT($C$5,2)&amp;"输出",标准坦克设计!$B$23:$U$23,0)))*(VLOOKUP($B199,INDIRECT($B$5&amp;"生成成长"),3))*(VLOOKUP($B$5,标准坦克设计!$B$14:$K$20,9)/30))</f>
        <v>15.695038494756615</v>
      </c>
      <c r="EF199" s="173">
        <f ca="1">(VLOOKUP(EF$72,INDIRECT($C$5&amp;"生成成长"),2))/((VLOOKUP($B199,INDIRECT($B$5&amp;"生成成长"),4))/(VLOOKUP(EF$72,INDIRECT($C$5&amp;"生成成长"),5))*(VLOOKUP($B$5,标准坦克设计!$B$24:$U$30,MATCH("对"&amp;LEFT($C$5,2)&amp;"输出",标准坦克设计!$B$23:$U$23,0)))*(VLOOKUP($B199,INDIRECT($B$5&amp;"生成成长"),3))*(VLOOKUP($B$5,标准坦克设计!$B$14:$K$20,9)/30))</f>
        <v>16.97055153571079</v>
      </c>
      <c r="EG199" s="173">
        <f ca="1">(VLOOKUP(EG$72,INDIRECT($C$5&amp;"生成成长"),2))/((VLOOKUP($B199,INDIRECT($B$5&amp;"生成成长"),4))/(VLOOKUP(EG$72,INDIRECT($C$5&amp;"生成成长"),5))*(VLOOKUP($B$5,标准坦克设计!$B$24:$U$30,MATCH("对"&amp;LEFT($C$5,2)&amp;"输出",标准坦克设计!$B$23:$U$23,0)))*(VLOOKUP($B199,INDIRECT($B$5&amp;"生成成长"),3))*(VLOOKUP($B$5,标准坦克设计!$B$14:$K$20,9)/30))</f>
        <v>18.295889304827234</v>
      </c>
      <c r="EH199" s="173">
        <f ca="1">(VLOOKUP(EH$72,INDIRECT($C$5&amp;"生成成长"),2))/((VLOOKUP($B199,INDIRECT($B$5&amp;"生成成长"),4))/(VLOOKUP(EH$72,INDIRECT($C$5&amp;"生成成长"),5))*(VLOOKUP($B$5,标准坦克设计!$B$24:$U$30,MATCH("对"&amp;LEFT($C$5,2)&amp;"输出",标准坦克设计!$B$23:$U$23,0)))*(VLOOKUP($B199,INDIRECT($B$5&amp;"生成成长"),3))*(VLOOKUP($B$5,标准坦克设计!$B$14:$K$20,9)/30))</f>
        <v>19.67105180210595</v>
      </c>
      <c r="EI199" s="173">
        <f ca="1">(VLOOKUP(EI$72,INDIRECT($C$5&amp;"生成成长"),2))/((VLOOKUP($B199,INDIRECT($B$5&amp;"生成成长"),4))/(VLOOKUP(EI$72,INDIRECT($C$5&amp;"生成成长"),5))*(VLOOKUP($B$5,标准坦克设计!$B$24:$U$30,MATCH("对"&amp;LEFT($C$5,2)&amp;"输出",标准坦克设计!$B$23:$U$23,0)))*(VLOOKUP($B199,INDIRECT($B$5&amp;"生成成长"),3))*(VLOOKUP($B$5,标准坦克设计!$B$14:$K$20,9)/30))</f>
        <v>21.09603902754694</v>
      </c>
      <c r="EJ199" s="173">
        <f ca="1">(VLOOKUP(EJ$72,INDIRECT($C$5&amp;"生成成长"),2))/((VLOOKUP($B199,INDIRECT($B$5&amp;"生成成长"),4))/(VLOOKUP(EJ$72,INDIRECT($C$5&amp;"生成成长"),5))*(VLOOKUP($B$5,标准坦克设计!$B$24:$U$30,MATCH("对"&amp;LEFT($C$5,2)&amp;"输出",标准坦克设计!$B$23:$U$23,0)))*(VLOOKUP($B199,INDIRECT($B$5&amp;"生成成长"),3))*(VLOOKUP($B$5,标准坦克设计!$B$14:$K$20,9)/30))</f>
        <v>22.570850981150201</v>
      </c>
      <c r="EK199" s="173">
        <f ca="1">(VLOOKUP(EK$72,INDIRECT($C$5&amp;"生成成长"),2))/((VLOOKUP($B199,INDIRECT($B$5&amp;"生成成长"),4))/(VLOOKUP(EK$72,INDIRECT($C$5&amp;"生成成长"),5))*(VLOOKUP($B$5,标准坦克设计!$B$24:$U$30,MATCH("对"&amp;LEFT($C$5,2)&amp;"输出",标准坦克设计!$B$23:$U$23,0)))*(VLOOKUP($B199,INDIRECT($B$5&amp;"生成成长"),3))*(VLOOKUP($B$5,标准坦克设计!$B$14:$K$20,9)/30))</f>
        <v>24.406393966648317</v>
      </c>
      <c r="EL199" s="173">
        <f ca="1">(VLOOKUP(EL$72,INDIRECT($C$5&amp;"生成成长"),2))/((VLOOKUP($B199,INDIRECT($B$5&amp;"生成成长"),4))/(VLOOKUP(EL$72,INDIRECT($C$5&amp;"生成成长"),5))*(VLOOKUP($B$5,标准坦克设计!$B$24:$U$30,MATCH("对"&amp;LEFT($C$5,2)&amp;"输出",标准坦克设计!$B$23:$U$23,0)))*(VLOOKUP($B199,INDIRECT($B$5&amp;"生成成长"),3))*(VLOOKUP($B$5,标准坦克设计!$B$14:$K$20,9)/30))</f>
        <v>26.3136845607001</v>
      </c>
      <c r="EM199" s="173">
        <f ca="1">(VLOOKUP(EM$72,INDIRECT($C$5&amp;"生成成长"),2))/((VLOOKUP($B199,INDIRECT($B$5&amp;"生成成长"),4))/(VLOOKUP(EM$72,INDIRECT($C$5&amp;"生成成长"),5))*(VLOOKUP($B$5,标准坦克设计!$B$24:$U$30,MATCH("对"&amp;LEFT($C$5,2)&amp;"输出",标准坦克设计!$B$23:$U$23,0)))*(VLOOKUP($B199,INDIRECT($B$5&amp;"生成成长"),3))*(VLOOKUP($B$5,标准坦克设计!$B$14:$K$20,9)/30))</f>
        <v>28.292722763305562</v>
      </c>
      <c r="EN199" s="173">
        <f ca="1">(VLOOKUP(EN$72,INDIRECT($C$5&amp;"生成成长"),2))/((VLOOKUP($B199,INDIRECT($B$5&amp;"生成成长"),4))/(VLOOKUP(EN$72,INDIRECT($C$5&amp;"生成成长"),5))*(VLOOKUP($B$5,标准坦克设计!$B$24:$U$30,MATCH("对"&amp;LEFT($C$5,2)&amp;"输出",标准坦克设计!$B$23:$U$23,0)))*(VLOOKUP($B199,INDIRECT($B$5&amp;"生成成长"),3))*(VLOOKUP($B$5,标准坦克设计!$B$14:$K$20,9)/30))</f>
        <v>30.343508574464696</v>
      </c>
      <c r="EO199" s="173">
        <f ca="1">(VLOOKUP(EO$72,INDIRECT($C$5&amp;"生成成长"),2))/((VLOOKUP($B199,INDIRECT($B$5&amp;"生成成长"),4))/(VLOOKUP(EO$72,INDIRECT($C$5&amp;"生成成长"),5))*(VLOOKUP($B$5,标准坦克设计!$B$24:$U$30,MATCH("对"&amp;LEFT($C$5,2)&amp;"输出",标准坦克设计!$B$23:$U$23,0)))*(VLOOKUP($B199,INDIRECT($B$5&amp;"生成成长"),3))*(VLOOKUP($B$5,标准坦克设计!$B$14:$K$20,9)/30))</f>
        <v>32.466041994177495</v>
      </c>
      <c r="EP199" s="173">
        <f ca="1">(VLOOKUP(EP$72,INDIRECT($C$5&amp;"生成成长"),2))/((VLOOKUP($B199,INDIRECT($B$5&amp;"生成成长"),4))/(VLOOKUP(EP$72,INDIRECT($C$5&amp;"生成成长"),5))*(VLOOKUP($B$5,标准坦克设计!$B$24:$U$30,MATCH("对"&amp;LEFT($C$5,2)&amp;"输出",标准坦克设计!$B$23:$U$23,0)))*(VLOOKUP($B199,INDIRECT($B$5&amp;"生成成长"),3))*(VLOOKUP($B$5,标准坦克设计!$B$14:$K$20,9)/30))</f>
        <v>34.660323022443968</v>
      </c>
      <c r="EQ199" s="173">
        <f ca="1">(VLOOKUP(EQ$72,INDIRECT($C$5&amp;"生成成长"),2))/((VLOOKUP($B199,INDIRECT($B$5&amp;"生成成长"),4))/(VLOOKUP(EQ$72,INDIRECT($C$5&amp;"生成成长"),5))*(VLOOKUP($B$5,标准坦克设计!$B$24:$U$30,MATCH("对"&amp;LEFT($C$5,2)&amp;"输出",标准坦克设计!$B$23:$U$23,0)))*(VLOOKUP($B199,INDIRECT($B$5&amp;"生成成长"),3))*(VLOOKUP($B$5,标准坦克设计!$B$14:$K$20,9)/30))</f>
        <v>15.322100404462006</v>
      </c>
      <c r="ER199" s="173">
        <f ca="1">(VLOOKUP(ER$72,INDIRECT($C$5&amp;"生成成长"),2))/((VLOOKUP($B199,INDIRECT($B$5&amp;"生成成长"),4))/(VLOOKUP(ER$72,INDIRECT($C$5&amp;"生成成长"),5))*(VLOOKUP($B$5,标准坦克设计!$B$24:$U$30,MATCH("对"&amp;LEFT($C$5,2)&amp;"输出",标准坦克设计!$B$23:$U$23,0)))*(VLOOKUP($B199,INDIRECT($B$5&amp;"生成成长"),3))*(VLOOKUP($B$5,标准坦克设计!$B$14:$K$20,9)/30))</f>
        <v>16.71146294926697</v>
      </c>
      <c r="ES199" s="173">
        <f ca="1">(VLOOKUP(ES$72,INDIRECT($C$5&amp;"生成成长"),2))/((VLOOKUP($B199,INDIRECT($B$5&amp;"生成成长"),4))/(VLOOKUP(ES$72,INDIRECT($C$5&amp;"生成成长"),5))*(VLOOKUP($B$5,标准坦克设计!$B$24:$U$30,MATCH("对"&amp;LEFT($C$5,2)&amp;"输出",标准坦克设计!$B$23:$U$23,0)))*(VLOOKUP($B199,INDIRECT($B$5&amp;"生成成长"),3))*(VLOOKUP($B$5,标准坦克设计!$B$14:$K$20,9)/30))</f>
        <v>18.161113415148286</v>
      </c>
      <c r="ET199" s="173">
        <f ca="1">(VLOOKUP(ET$72,INDIRECT($C$5&amp;"生成成长"),2))/((VLOOKUP($B199,INDIRECT($B$5&amp;"生成成长"),4))/(VLOOKUP(ET$72,INDIRECT($C$5&amp;"生成成长"),5))*(VLOOKUP($B$5,标准坦克设计!$B$24:$U$30,MATCH("对"&amp;LEFT($C$5,2)&amp;"输出",标准坦克设计!$B$23:$U$23,0)))*(VLOOKUP($B199,INDIRECT($B$5&amp;"生成成长"),3))*(VLOOKUP($B$5,标准坦克设计!$B$14:$K$20,9)/30))</f>
        <v>19.67105180210595</v>
      </c>
      <c r="EU199" s="173">
        <f ca="1">(VLOOKUP(EU$72,INDIRECT($C$5&amp;"生成成长"),2))/((VLOOKUP($B199,INDIRECT($B$5&amp;"生成成长"),4))/(VLOOKUP(EU$72,INDIRECT($C$5&amp;"生成成长"),5))*(VLOOKUP($B$5,标准坦克设计!$B$24:$U$30,MATCH("对"&amp;LEFT($C$5,2)&amp;"输出",标准坦克设计!$B$23:$U$23,0)))*(VLOOKUP($B199,INDIRECT($B$5&amp;"生成成长"),3))*(VLOOKUP($B$5,标准坦克设计!$B$14:$K$20,9)/30))</f>
        <v>21.241278110139966</v>
      </c>
      <c r="EV199" s="173">
        <f ca="1">(VLOOKUP(EV$72,INDIRECT($C$5&amp;"生成成长"),2))/((VLOOKUP($B199,INDIRECT($B$5&amp;"生成成长"),4))/(VLOOKUP(EV$72,INDIRECT($C$5&amp;"生成成长"),5))*(VLOOKUP($B$5,标准坦克设计!$B$24:$U$30,MATCH("对"&amp;LEFT($C$5,2)&amp;"输出",标准坦克设计!$B$23:$U$23,0)))*(VLOOKUP($B199,INDIRECT($B$5&amp;"生成成长"),3))*(VLOOKUP($B$5,标准坦克设计!$B$14:$K$20,9)/30))</f>
        <v>22.87179233925033</v>
      </c>
      <c r="EW199" s="173">
        <f ca="1">(VLOOKUP(EW$72,INDIRECT($C$5&amp;"生成成长"),2))/((VLOOKUP($B199,INDIRECT($B$5&amp;"生成成长"),4))/(VLOOKUP(EW$72,INDIRECT($C$5&amp;"生成成长"),5))*(VLOOKUP($B$5,标准坦克设计!$B$24:$U$30,MATCH("对"&amp;LEFT($C$5,2)&amp;"输出",标准坦克设计!$B$23:$U$23,0)))*(VLOOKUP($B199,INDIRECT($B$5&amp;"生成成长"),3))*(VLOOKUP($B$5,标准坦克设计!$B$14:$K$20,9)/30))</f>
        <v>24.562594489437046</v>
      </c>
      <c r="EX199" s="173">
        <f ca="1">(VLOOKUP(EX$72,INDIRECT($C$5&amp;"生成成长"),2))/((VLOOKUP($B199,INDIRECT($B$5&amp;"生成成长"),4))/(VLOOKUP(EX$72,INDIRECT($C$5&amp;"生成成长"),5))*(VLOOKUP($B$5,标准坦克设计!$B$24:$U$30,MATCH("对"&amp;LEFT($C$5,2)&amp;"输出",标准坦克设计!$B$23:$U$23,0)))*(VLOOKUP($B199,INDIRECT($B$5&amp;"生成成长"),3))*(VLOOKUP($B$5,标准坦克设计!$B$14:$K$20,9)/30))</f>
        <v>26.3136845607001</v>
      </c>
      <c r="EY199" s="173">
        <f ca="1">(VLOOKUP(EY$72,INDIRECT($C$5&amp;"生成成长"),2))/((VLOOKUP($B199,INDIRECT($B$5&amp;"生成成长"),4))/(VLOOKUP(EY$72,INDIRECT($C$5&amp;"生成成长"),5))*(VLOOKUP($B$5,标准坦克设计!$B$24:$U$30,MATCH("对"&amp;LEFT($C$5,2)&amp;"输出",标准坦克设计!$B$23:$U$23,0)))*(VLOOKUP($B199,INDIRECT($B$5&amp;"生成成长"),3))*(VLOOKUP($B$5,标准坦克设计!$B$14:$K$20,9)/30))</f>
        <v>28.125062553039523</v>
      </c>
      <c r="EZ199" s="173">
        <f ca="1">(VLOOKUP(EZ$72,INDIRECT($C$5&amp;"生成成长"),2))/((VLOOKUP($B199,INDIRECT($B$5&amp;"生成成长"),4))/(VLOOKUP(EZ$72,INDIRECT($C$5&amp;"生成成长"),5))*(VLOOKUP($B$5,标准坦克设计!$B$24:$U$30,MATCH("对"&amp;LEFT($C$5,2)&amp;"输出",标准坦克设计!$B$23:$U$23,0)))*(VLOOKUP($B199,INDIRECT($B$5&amp;"生成成长"),3))*(VLOOKUP($B$5,标准坦克设计!$B$14:$K$20,9)/30))</f>
        <v>29.996728466455284</v>
      </c>
      <c r="FA199" s="173">
        <f ca="1">(VLOOKUP(FA$72,INDIRECT($C$5&amp;"生成成长"),2))/((VLOOKUP($B199,INDIRECT($B$5&amp;"生成成长"),4))/(VLOOKUP(FA$72,INDIRECT($C$5&amp;"生成成长"),5))*(VLOOKUP($B$5,标准坦克设计!$B$24:$U$30,MATCH("对"&amp;LEFT($C$5,2)&amp;"输出",标准坦克设计!$B$23:$U$23,0)))*(VLOOKUP($B199,INDIRECT($B$5&amp;"生成成长"),3))*(VLOOKUP($B$5,标准坦克设计!$B$14:$K$20,9)/30))</f>
        <v>31.928682300947397</v>
      </c>
      <c r="FB199" s="173">
        <f ca="1">(VLOOKUP(FB$72,INDIRECT($C$5&amp;"生成成长"),2))/((VLOOKUP($B199,INDIRECT($B$5&amp;"生成成长"),4))/(VLOOKUP(FB$72,INDIRECT($C$5&amp;"生成成长"),5))*(VLOOKUP($B$5,标准坦克设计!$B$24:$U$30,MATCH("对"&amp;LEFT($C$5,2)&amp;"输出",标准坦克设计!$B$23:$U$23,0)))*(VLOOKUP($B199,INDIRECT($B$5&amp;"生成成长"),3))*(VLOOKUP($B$5,标准坦克设计!$B$14:$K$20,9)/30))</f>
        <v>33.920924056515851</v>
      </c>
      <c r="FC199" s="173">
        <f ca="1">(VLOOKUP(FC$72,INDIRECT($C$5&amp;"生成成长"),2))/((VLOOKUP($B199,INDIRECT($B$5&amp;"生成成长"),4))/(VLOOKUP(FC$72,INDIRECT($C$5&amp;"生成成长"),5))*(VLOOKUP($B$5,标准坦克设计!$B$24:$U$30,MATCH("对"&amp;LEFT($C$5,2)&amp;"输出",标准坦克设计!$B$23:$U$23,0)))*(VLOOKUP($B199,INDIRECT($B$5&amp;"生成成长"),3))*(VLOOKUP($B$5,标准坦克设计!$B$14:$K$20,9)/30))</f>
        <v>35.973453733160667</v>
      </c>
      <c r="FD199" s="173">
        <f ca="1">(VLOOKUP(FD$72,INDIRECT($C$5&amp;"生成成长"),2))/((VLOOKUP($B199,INDIRECT($B$5&amp;"生成成长"),4))/(VLOOKUP(FD$72,INDIRECT($C$5&amp;"生成成长"),5))*(VLOOKUP($B$5,标准坦克设计!$B$24:$U$30,MATCH("对"&amp;LEFT($C$5,2)&amp;"输出",标准坦克设计!$B$23:$U$23,0)))*(VLOOKUP($B199,INDIRECT($B$5&amp;"生成成长"),3))*(VLOOKUP($B$5,标准坦克设计!$B$14:$K$20,9)/30))</f>
        <v>38.086271330881821</v>
      </c>
      <c r="FE199" s="173">
        <f ca="1">(VLOOKUP(FE$72,INDIRECT($C$5&amp;"生成成长"),2))/((VLOOKUP($B199,INDIRECT($B$5&amp;"生成成长"),4))/(VLOOKUP(FE$72,INDIRECT($C$5&amp;"生成成长"),5))*(VLOOKUP($B$5,标准坦克设计!$B$24:$U$30,MATCH("对"&amp;LEFT($C$5,2)&amp;"输出",标准坦克设计!$B$23:$U$23,0)))*(VLOOKUP($B199,INDIRECT($B$5&amp;"生成成长"),3))*(VLOOKUP($B$5,标准坦克设计!$B$14:$K$20,9)/30))</f>
        <v>40.660964158667255</v>
      </c>
      <c r="FF199" s="173">
        <f ca="1">(VLOOKUP(FF$72,INDIRECT($C$5&amp;"生成成长"),2))/((VLOOKUP($B199,INDIRECT($B$5&amp;"生成成长"),4))/(VLOOKUP(FF$72,INDIRECT($C$5&amp;"生成成长"),5))*(VLOOKUP($B$5,标准坦克设计!$B$24:$U$30,MATCH("对"&amp;LEFT($C$5,2)&amp;"输出",标准坦克设计!$B$23:$U$23,0)))*(VLOOKUP($B199,INDIRECT($B$5&amp;"生成成长"),3))*(VLOOKUP($B$5,标准坦克设计!$B$14:$K$20,9)/30))</f>
        <v>43.31986077704692</v>
      </c>
      <c r="FG199" s="173">
        <f ca="1">(VLOOKUP(FG$72,INDIRECT($C$5&amp;"生成成长"),2))/((VLOOKUP($B199,INDIRECT($B$5&amp;"生成成长"),4))/(VLOOKUP(FG$72,INDIRECT($C$5&amp;"生成成长"),5))*(VLOOKUP($B$5,标准坦克设计!$B$24:$U$30,MATCH("对"&amp;LEFT($C$5,2)&amp;"输出",标准坦克设计!$B$23:$U$23,0)))*(VLOOKUP($B199,INDIRECT($B$5&amp;"生成成长"),3))*(VLOOKUP($B$5,标准坦克设计!$B$14:$K$20,9)/30))</f>
        <v>46.062961186020821</v>
      </c>
      <c r="FH199" s="173">
        <f ca="1">(VLOOKUP(FH$72,INDIRECT($C$5&amp;"生成成长"),2))/((VLOOKUP($B199,INDIRECT($B$5&amp;"生成成长"),4))/(VLOOKUP(FH$72,INDIRECT($C$5&amp;"生成成长"),5))*(VLOOKUP($B$5,标准坦克设计!$B$24:$U$30,MATCH("对"&amp;LEFT($C$5,2)&amp;"输出",标准坦克设计!$B$23:$U$23,0)))*(VLOOKUP($B199,INDIRECT($B$5&amp;"生成成长"),3))*(VLOOKUP($B$5,标准坦克设计!$B$14:$K$20,9)/30))</f>
        <v>48.890265385588982</v>
      </c>
      <c r="FI199" s="173">
        <f ca="1">(VLOOKUP(FI$72,INDIRECT($C$5&amp;"生成成长"),2))/((VLOOKUP($B199,INDIRECT($B$5&amp;"生成成长"),4))/(VLOOKUP(FI$72,INDIRECT($C$5&amp;"生成成长"),5))*(VLOOKUP($B$5,标准坦克设计!$B$24:$U$30,MATCH("对"&amp;LEFT($C$5,2)&amp;"输出",标准坦克设计!$B$23:$U$23,0)))*(VLOOKUP($B199,INDIRECT($B$5&amp;"生成成长"),3))*(VLOOKUP($B$5,标准坦克设计!$B$14:$K$20,9)/30))</f>
        <v>51.80177337575136</v>
      </c>
      <c r="FJ199" s="173">
        <f ca="1">(VLOOKUP(FJ$72,INDIRECT($C$5&amp;"生成成长"),2))/((VLOOKUP($B199,INDIRECT($B$5&amp;"生成成长"),4))/(VLOOKUP(FJ$72,INDIRECT($C$5&amp;"生成成长"),5))*(VLOOKUP($B$5,标准坦克设计!$B$24:$U$30,MATCH("对"&amp;LEFT($C$5,2)&amp;"输出",标准坦克设计!$B$23:$U$23,0)))*(VLOOKUP($B199,INDIRECT($B$5&amp;"生成成长"),3))*(VLOOKUP($B$5,标准坦克设计!$B$14:$K$20,9)/30))</f>
        <v>54.797485156507989</v>
      </c>
      <c r="FK199" s="173">
        <f ca="1">(VLOOKUP(FK$72,INDIRECT($C$5&amp;"生成成长"),2))/((VLOOKUP($B199,INDIRECT($B$5&amp;"生成成长"),4))/(VLOOKUP(FK$72,INDIRECT($C$5&amp;"生成成长"),5))*(VLOOKUP($B$5,标准坦克设计!$B$24:$U$30,MATCH("对"&amp;LEFT($C$5,2)&amp;"输出",标准坦克设计!$B$23:$U$23,0)))*(VLOOKUP($B199,INDIRECT($B$5&amp;"生成成长"),3))*(VLOOKUP($B$5,标准坦克设计!$B$14:$K$20,9)/30))</f>
        <v>57.877400727858856</v>
      </c>
    </row>
    <row r="200" spans="1:167" x14ac:dyDescent="0.15">
      <c r="A200" s="171" t="str">
        <f t="shared" si="12"/>
        <v>T4高品质2级</v>
      </c>
      <c r="B200" s="172">
        <v>30402</v>
      </c>
      <c r="C200" s="173">
        <f ca="1">(VLOOKUP(C$72,INDIRECT($C$5&amp;"生成成长"),2))/((VLOOKUP($B200,INDIRECT($B$5&amp;"生成成长"),4))/(VLOOKUP(C$72,INDIRECT($C$5&amp;"生成成长"),5))*(VLOOKUP($B$5,标准坦克设计!$B$24:$U$30,MATCH("对"&amp;LEFT($C$5,2)&amp;"输出",标准坦克设计!$B$23:$U$23,0)))*(VLOOKUP($B200,INDIRECT($B$5&amp;"生成成长"),3))*(VLOOKUP($B$5,标准坦克设计!$B$14:$K$20,9)/30))</f>
        <v>2.2489295833443599</v>
      </c>
      <c r="D200" s="173">
        <f ca="1">(VLOOKUP(D$72,INDIRECT($C$5&amp;"生成成长"),2))/((VLOOKUP($B200,INDIRECT($B$5&amp;"生成成长"),4))/(VLOOKUP(D$72,INDIRECT($C$5&amp;"生成成长"),5))*(VLOOKUP($B$5,标准坦克设计!$B$24:$U$30,MATCH("对"&amp;LEFT($C$5,2)&amp;"输出",标准坦克设计!$B$23:$U$23,0)))*(VLOOKUP($B200,INDIRECT($B$5&amp;"生成成长"),3))*(VLOOKUP($B$5,标准坦克设计!$B$14:$K$20,9)/30))</f>
        <v>2.5268972798457225</v>
      </c>
      <c r="E200" s="173">
        <f ca="1">(VLOOKUP(E$72,INDIRECT($C$5&amp;"生成成长"),2))/((VLOOKUP($B200,INDIRECT($B$5&amp;"生成成长"),4))/(VLOOKUP(E$72,INDIRECT($C$5&amp;"生成成长"),5))*(VLOOKUP($B$5,标准坦克设计!$B$24:$U$30,MATCH("对"&amp;LEFT($C$5,2)&amp;"输出",标准坦克设计!$B$23:$U$23,0)))*(VLOOKUP($B200,INDIRECT($B$5&amp;"生成成长"),3))*(VLOOKUP($B$5,标准坦克设计!$B$14:$K$20,9)/30))</f>
        <v>2.8210572693471647</v>
      </c>
      <c r="F200" s="173">
        <f ca="1">(VLOOKUP(F$72,INDIRECT($C$5&amp;"生成成长"),2))/((VLOOKUP($B200,INDIRECT($B$5&amp;"生成成长"),4))/(VLOOKUP(F$72,INDIRECT($C$5&amp;"生成成长"),5))*(VLOOKUP($B$5,标准坦克设计!$B$24:$U$30,MATCH("对"&amp;LEFT($C$5,2)&amp;"输出",标准坦克设计!$B$23:$U$23,0)))*(VLOOKUP($B200,INDIRECT($B$5&amp;"生成成长"),3))*(VLOOKUP($B$5,标准坦克设计!$B$14:$K$20,9)/30))</f>
        <v>3.1314095518486864</v>
      </c>
      <c r="G200" s="173">
        <f ca="1">(VLOOKUP(G$72,INDIRECT($C$5&amp;"生成成长"),2))/((VLOOKUP($B200,INDIRECT($B$5&amp;"生成成长"),4))/(VLOOKUP(G$72,INDIRECT($C$5&amp;"生成成长"),5))*(VLOOKUP($B$5,标准坦克设计!$B$24:$U$30,MATCH("对"&amp;LEFT($C$5,2)&amp;"输出",标准坦克设计!$B$23:$U$23,0)))*(VLOOKUP($B200,INDIRECT($B$5&amp;"生成成长"),3))*(VLOOKUP($B$5,标准坦克设计!$B$14:$K$20,9)/30))</f>
        <v>3.4579541273502867</v>
      </c>
      <c r="H200" s="173">
        <f ca="1">(VLOOKUP(H$72,INDIRECT($C$5&amp;"生成成长"),2))/((VLOOKUP($B200,INDIRECT($B$5&amp;"生成成长"),4))/(VLOOKUP(H$72,INDIRECT($C$5&amp;"生成成长"),5))*(VLOOKUP($B$5,标准坦克设计!$B$24:$U$30,MATCH("对"&amp;LEFT($C$5,2)&amp;"输出",标准坦克设计!$B$23:$U$23,0)))*(VLOOKUP($B200,INDIRECT($B$5&amp;"生成成长"),3))*(VLOOKUP($B$5,标准坦克设计!$B$14:$K$20,9)/30))</f>
        <v>3.0261596473481704</v>
      </c>
      <c r="I200" s="173">
        <f ca="1">(VLOOKUP(I$72,INDIRECT($C$5&amp;"生成成长"),2))/((VLOOKUP($B200,INDIRECT($B$5&amp;"生成成长"),4))/(VLOOKUP(I$72,INDIRECT($C$5&amp;"生成成长"),5))*(VLOOKUP($B$5,标准坦克设计!$B$24:$U$30,MATCH("对"&amp;LEFT($C$5,2)&amp;"输出",标准坦克设计!$B$23:$U$23,0)))*(VLOOKUP($B200,INDIRECT($B$5&amp;"生成成长"),3))*(VLOOKUP($B$5,标准坦克设计!$B$14:$K$20,9)/30))</f>
        <v>3.4579541273502867</v>
      </c>
      <c r="J200" s="173">
        <f ca="1">(VLOOKUP(J$72,INDIRECT($C$5&amp;"生成成长"),2))/((VLOOKUP($B200,INDIRECT($B$5&amp;"生成成长"),4))/(VLOOKUP(J$72,INDIRECT($C$5&amp;"生成成长"),5))*(VLOOKUP($B$5,标准坦克设计!$B$24:$U$30,MATCH("对"&amp;LEFT($C$5,2)&amp;"输出",标准坦克设计!$B$23:$U$23,0)))*(VLOOKUP($B200,INDIRECT($B$5&amp;"生成成长"),3))*(VLOOKUP($B$5,标准坦克设计!$B$14:$K$20,9)/30))</f>
        <v>3.9185349060192127</v>
      </c>
      <c r="K200" s="173">
        <f ca="1">(VLOOKUP(K$72,INDIRECT($C$5&amp;"生成成长"),2))/((VLOOKUP($B200,INDIRECT($B$5&amp;"生成成长"),4))/(VLOOKUP(K$72,INDIRECT($C$5&amp;"生成成长"),5))*(VLOOKUP($B$5,标准坦克设计!$B$24:$U$30,MATCH("对"&amp;LEFT($C$5,2)&amp;"输出",标准坦克设计!$B$23:$U$23,0)))*(VLOOKUP($B200,INDIRECT($B$5&amp;"生成成长"),3))*(VLOOKUP($B$5,标准坦克设计!$B$14:$K$20,9)/30))</f>
        <v>4.407901983354944</v>
      </c>
      <c r="L200" s="173">
        <f ca="1">(VLOOKUP(L$72,INDIRECT($C$5&amp;"生成成长"),2))/((VLOOKUP($B200,INDIRECT($B$5&amp;"生成成长"),4))/(VLOOKUP(L$72,INDIRECT($C$5&amp;"生成成长"),5))*(VLOOKUP($B$5,标准坦克设计!$B$24:$U$30,MATCH("对"&amp;LEFT($C$5,2)&amp;"输出",标准坦克设计!$B$23:$U$23,0)))*(VLOOKUP($B200,INDIRECT($B$5&amp;"生成成长"),3))*(VLOOKUP($B$5,标准坦克设计!$B$14:$K$20,9)/30))</f>
        <v>4.926055359357485</v>
      </c>
      <c r="M200" s="173">
        <f ca="1">(VLOOKUP(M$72,INDIRECT($C$5&amp;"生成成长"),2))/((VLOOKUP($B200,INDIRECT($B$5&amp;"生成成长"),4))/(VLOOKUP(M$72,INDIRECT($C$5&amp;"生成成长"),5))*(VLOOKUP($B$5,标准坦克设计!$B$24:$U$30,MATCH("对"&amp;LEFT($C$5,2)&amp;"输出",标准坦克设计!$B$23:$U$23,0)))*(VLOOKUP($B200,INDIRECT($B$5&amp;"生成成长"),3))*(VLOOKUP($B$5,标准坦克设计!$B$14:$K$20,9)/30))</f>
        <v>5.472995034026833</v>
      </c>
      <c r="N200" s="173">
        <f ca="1">(VLOOKUP(N$72,INDIRECT($C$5&amp;"生成成长"),2))/((VLOOKUP($B200,INDIRECT($B$5&amp;"生成成长"),4))/(VLOOKUP(N$72,INDIRECT($C$5&amp;"生成成长"),5))*(VLOOKUP($B$5,标准坦克设计!$B$24:$U$30,MATCH("对"&amp;LEFT($C$5,2)&amp;"输出",标准坦克设计!$B$23:$U$23,0)))*(VLOOKUP($B200,INDIRECT($B$5&amp;"生成成长"),3))*(VLOOKUP($B$5,标准坦克设计!$B$14:$K$20,9)/30))</f>
        <v>6.0487210073629889</v>
      </c>
      <c r="O200" s="173">
        <f ca="1">(VLOOKUP(O$72,INDIRECT($C$5&amp;"生成成长"),2))/((VLOOKUP($B200,INDIRECT($B$5&amp;"生成成长"),4))/(VLOOKUP(O$72,INDIRECT($C$5&amp;"生成成长"),5))*(VLOOKUP($B$5,标准坦克设计!$B$24:$U$30,MATCH("对"&amp;LEFT($C$5,2)&amp;"输出",标准坦克设计!$B$23:$U$23,0)))*(VLOOKUP($B200,INDIRECT($B$5&amp;"生成成长"),3))*(VLOOKUP($B$5,标准坦克设计!$B$14:$K$20,9)/30))</f>
        <v>4.5988361049808804</v>
      </c>
      <c r="P200" s="173">
        <f ca="1">(VLOOKUP(P$72,INDIRECT($C$5&amp;"生成成长"),2))/((VLOOKUP($B200,INDIRECT($B$5&amp;"生成成长"),4))/(VLOOKUP(P$72,INDIRECT($C$5&amp;"生成成长"),5))*(VLOOKUP($B$5,标准坦克设计!$B$24:$U$30,MATCH("对"&amp;LEFT($C$5,2)&amp;"输出",标准坦克设计!$B$23:$U$23,0)))*(VLOOKUP($B200,INDIRECT($B$5&amp;"生成成长"),3))*(VLOOKUP($B$5,标准坦克设计!$B$14:$K$20,9)/30))</f>
        <v>5.1959269093588079</v>
      </c>
      <c r="Q200" s="173">
        <f ca="1">(VLOOKUP(Q$72,INDIRECT($C$5&amp;"生成成长"),2))/((VLOOKUP($B200,INDIRECT($B$5&amp;"生成成长"),4))/(VLOOKUP(Q$72,INDIRECT($C$5&amp;"生成成长"),5))*(VLOOKUP($B$5,标准坦克设计!$B$24:$U$30,MATCH("对"&amp;LEFT($C$5,2)&amp;"输出",标准坦克设计!$B$23:$U$23,0)))*(VLOOKUP($B200,INDIRECT($B$5&amp;"生成成长"),3))*(VLOOKUP($B$5,标准坦克设计!$B$14:$K$20,9)/30))</f>
        <v>5.8294503729869138</v>
      </c>
      <c r="R200" s="173">
        <f ca="1">(VLOOKUP(R$72,INDIRECT($C$5&amp;"生成成长"),2))/((VLOOKUP($B200,INDIRECT($B$5&amp;"生成成长"),4))/(VLOOKUP(R$72,INDIRECT($C$5&amp;"生成成长"),5))*(VLOOKUP($B$5,标准坦克设计!$B$24:$U$30,MATCH("对"&amp;LEFT($C$5,2)&amp;"输出",标准坦克设计!$B$23:$U$23,0)))*(VLOOKUP($B200,INDIRECT($B$5&amp;"生成成长"),3))*(VLOOKUP($B$5,标准坦克设计!$B$14:$K$20,9)/30))</f>
        <v>6.4994064958651991</v>
      </c>
      <c r="S200" s="173">
        <f ca="1">(VLOOKUP(S$72,INDIRECT($C$5&amp;"生成成长"),2))/((VLOOKUP($B200,INDIRECT($B$5&amp;"生成成长"),4))/(VLOOKUP(S$72,INDIRECT($C$5&amp;"生成成长"),5))*(VLOOKUP($B$5,标准坦克设计!$B$24:$U$30,MATCH("对"&amp;LEFT($C$5,2)&amp;"输出",标准坦克设计!$B$23:$U$23,0)))*(VLOOKUP($B200,INDIRECT($B$5&amp;"生成成长"),3))*(VLOOKUP($B$5,标准坦克设计!$B$14:$K$20,9)/30))</f>
        <v>7.2057952779936612</v>
      </c>
      <c r="T200" s="173">
        <f ca="1">(VLOOKUP(T$72,INDIRECT($C$5&amp;"生成成长"),2))/((VLOOKUP($B200,INDIRECT($B$5&amp;"生成成长"),4))/(VLOOKUP(T$72,INDIRECT($C$5&amp;"生成成长"),5))*(VLOOKUP($B$5,标准坦克设计!$B$24:$U$30,MATCH("对"&amp;LEFT($C$5,2)&amp;"输出",标准坦克设计!$B$23:$U$23,0)))*(VLOOKUP($B200,INDIRECT($B$5&amp;"生成成长"),3))*(VLOOKUP($B$5,标准坦克设计!$B$14:$K$20,9)/30))</f>
        <v>7.9486167193723052</v>
      </c>
      <c r="U200" s="173">
        <f ca="1">(VLOOKUP(U$72,INDIRECT($C$5&amp;"生成成长"),2))/((VLOOKUP($B200,INDIRECT($B$5&amp;"生成成长"),4))/(VLOOKUP(U$72,INDIRECT($C$5&amp;"生成成长"),5))*(VLOOKUP($B$5,标准坦克设计!$B$24:$U$30,MATCH("对"&amp;LEFT($C$5,2)&amp;"输出",标准坦克设计!$B$23:$U$23,0)))*(VLOOKUP($B200,INDIRECT($B$5&amp;"生成成长"),3))*(VLOOKUP($B$5,标准坦克设计!$B$14:$K$20,9)/30))</f>
        <v>8.7278708200011224</v>
      </c>
      <c r="V200" s="173">
        <f ca="1">(VLOOKUP(V$72,INDIRECT($C$5&amp;"生成成长"),2))/((VLOOKUP($B200,INDIRECT($B$5&amp;"生成成长"),4))/(VLOOKUP(V$72,INDIRECT($C$5&amp;"生成成长"),5))*(VLOOKUP($B$5,标准坦克设计!$B$24:$U$30,MATCH("对"&amp;LEFT($C$5,2)&amp;"输出",标准坦克设计!$B$23:$U$23,0)))*(VLOOKUP($B200,INDIRECT($B$5&amp;"生成成长"),3))*(VLOOKUP($B$5,标准坦克设计!$B$14:$K$20,9)/30))</f>
        <v>9.5435575798801242</v>
      </c>
      <c r="W200" s="173">
        <f ca="1">(VLOOKUP(W$72,INDIRECT($C$5&amp;"生成成长"),2))/((VLOOKUP($B200,INDIRECT($B$5&amp;"生成成长"),4))/(VLOOKUP(W$72,INDIRECT($C$5&amp;"生成成长"),5))*(VLOOKUP($B$5,标准坦克设计!$B$24:$U$30,MATCH("对"&amp;LEFT($C$5,2)&amp;"输出",标准坦克设计!$B$23:$U$23,0)))*(VLOOKUP($B200,INDIRECT($B$5&amp;"生成成长"),3))*(VLOOKUP($B$5,标准坦克设计!$B$14:$K$20,9)/30))</f>
        <v>10.395676999009302</v>
      </c>
      <c r="X200" s="173">
        <f ca="1">(VLOOKUP(X$72,INDIRECT($C$5&amp;"生成成长"),2))/((VLOOKUP($B200,INDIRECT($B$5&amp;"生成成长"),4))/(VLOOKUP(X$72,INDIRECT($C$5&amp;"生成成长"),5))*(VLOOKUP($B$5,标准坦克设计!$B$24:$U$30,MATCH("对"&amp;LEFT($C$5,2)&amp;"输出",标准坦克设计!$B$23:$U$23,0)))*(VLOOKUP($B200,INDIRECT($B$5&amp;"生成成长"),3))*(VLOOKUP($B$5,标准坦克设计!$B$14:$K$20,9)/30))</f>
        <v>7.5314402816619239</v>
      </c>
      <c r="Y200" s="173">
        <f ca="1">(VLOOKUP(Y$72,INDIRECT($C$5&amp;"生成成长"),2))/((VLOOKUP($B200,INDIRECT($B$5&amp;"生成成长"),4))/(VLOOKUP(Y$72,INDIRECT($C$5&amp;"生成成长"),5))*(VLOOKUP($B$5,标准坦克设计!$B$24:$U$30,MATCH("对"&amp;LEFT($C$5,2)&amp;"输出",标准坦克设计!$B$23:$U$23,0)))*(VLOOKUP($B200,INDIRECT($B$5&amp;"生成成长"),3))*(VLOOKUP($B$5,标准坦克设计!$B$14:$K$20,9)/30))</f>
        <v>8.3770378049994036</v>
      </c>
      <c r="Z200" s="173">
        <f ca="1">(VLOOKUP(Z$72,INDIRECT($C$5&amp;"生成成长"),2))/((VLOOKUP($B200,INDIRECT($B$5&amp;"生成成长"),4))/(VLOOKUP(Z$72,INDIRECT($C$5&amp;"生成成长"),5))*(VLOOKUP($B$5,标准坦克设计!$B$24:$U$30,MATCH("对"&amp;LEFT($C$5,2)&amp;"输出",标准坦克设计!$B$23:$U$23,0)))*(VLOOKUP($B200,INDIRECT($B$5&amp;"生成成长"),3))*(VLOOKUP($B$5,标准坦克设计!$B$14:$K$20,9)/30))</f>
        <v>9.2676139200037717</v>
      </c>
      <c r="AA200" s="173">
        <f ca="1">(VLOOKUP(AA$72,INDIRECT($C$5&amp;"生成成长"),2))/((VLOOKUP($B200,INDIRECT($B$5&amp;"生成成长"),4))/(VLOOKUP(AA$72,INDIRECT($C$5&amp;"生成成长"),5))*(VLOOKUP($B$5,标准坦克设计!$B$24:$U$30,MATCH("对"&amp;LEFT($C$5,2)&amp;"输出",标准坦克设计!$B$23:$U$23,0)))*(VLOOKUP($B200,INDIRECT($B$5&amp;"生成成长"),3))*(VLOOKUP($B$5,标准坦克设计!$B$14:$K$20,9)/30))</f>
        <v>10.203168626675025</v>
      </c>
      <c r="AB200" s="173">
        <f ca="1">(VLOOKUP(AB$72,INDIRECT($C$5&amp;"生成成长"),2))/((VLOOKUP($B200,INDIRECT($B$5&amp;"生成成长"),4))/(VLOOKUP(AB$72,INDIRECT($C$5&amp;"生成成长"),5))*(VLOOKUP($B$5,标准坦克设计!$B$24:$U$30,MATCH("对"&amp;LEFT($C$5,2)&amp;"输出",标准坦克设计!$B$23:$U$23,0)))*(VLOOKUP($B200,INDIRECT($B$5&amp;"生成成长"),3))*(VLOOKUP($B$5,标准坦克设计!$B$14:$K$20,9)/30))</f>
        <v>11.183701925013164</v>
      </c>
      <c r="AC200" s="173">
        <f ca="1">(VLOOKUP(AC$72,INDIRECT($C$5&amp;"生成成长"),2))/((VLOOKUP($B200,INDIRECT($B$5&amp;"生成成长"),4))/(VLOOKUP(AC$72,INDIRECT($C$5&amp;"生成成长"),5))*(VLOOKUP($B$5,标准坦克设计!$B$24:$U$30,MATCH("对"&amp;LEFT($C$5,2)&amp;"输出",标准坦克设计!$B$23:$U$23,0)))*(VLOOKUP($B200,INDIRECT($B$5&amp;"生成成长"),3))*(VLOOKUP($B$5,标准坦克设计!$B$14:$K$20,9)/30))</f>
        <v>12.209213815018192</v>
      </c>
      <c r="AD200" s="173">
        <f ca="1">(VLOOKUP(AD$72,INDIRECT($C$5&amp;"生成成长"),2))/((VLOOKUP($B200,INDIRECT($B$5&amp;"生成成长"),4))/(VLOOKUP(AD$72,INDIRECT($C$5&amp;"生成成长"),5))*(VLOOKUP($B$5,标准坦克设计!$B$24:$U$30,MATCH("对"&amp;LEFT($C$5,2)&amp;"输出",标准坦克设计!$B$23:$U$23,0)))*(VLOOKUP($B200,INDIRECT($B$5&amp;"生成成长"),3))*(VLOOKUP($B$5,标准坦克设计!$B$14:$K$20,9)/30))</f>
        <v>13.279704296690108</v>
      </c>
      <c r="AE200" s="173">
        <f ca="1">(VLOOKUP(AE$72,INDIRECT($C$5&amp;"生成成长"),2))/((VLOOKUP($B200,INDIRECT($B$5&amp;"生成成长"),4))/(VLOOKUP(AE$72,INDIRECT($C$5&amp;"生成成长"),5))*(VLOOKUP($B$5,标准坦克设计!$B$24:$U$30,MATCH("对"&amp;LEFT($C$5,2)&amp;"输出",标准坦克设计!$B$23:$U$23,0)))*(VLOOKUP($B200,INDIRECT($B$5&amp;"生成成长"),3))*(VLOOKUP($B$5,标准坦克设计!$B$14:$K$20,9)/30))</f>
        <v>14.395173370028909</v>
      </c>
      <c r="AF200" s="173">
        <f ca="1">(VLOOKUP(AF$72,INDIRECT($C$5&amp;"生成成长"),2))/((VLOOKUP($B200,INDIRECT($B$5&amp;"生成成长"),4))/(VLOOKUP(AF$72,INDIRECT($C$5&amp;"生成成长"),5))*(VLOOKUP($B$5,标准坦克设计!$B$24:$U$30,MATCH("对"&amp;LEFT($C$5,2)&amp;"输出",标准坦克设计!$B$23:$U$23,0)))*(VLOOKUP($B200,INDIRECT($B$5&amp;"生成成长"),3))*(VLOOKUP($B$5,标准坦克设计!$B$14:$K$20,9)/30))</f>
        <v>15.555621035034603</v>
      </c>
      <c r="AG200" s="173">
        <f ca="1">(VLOOKUP(AG$72,INDIRECT($C$5&amp;"生成成长"),2))/((VLOOKUP($B200,INDIRECT($B$5&amp;"生成成长"),4))/(VLOOKUP(AG$72,INDIRECT($C$5&amp;"生成成长"),5))*(VLOOKUP($B$5,标准坦克设计!$B$24:$U$30,MATCH("对"&amp;LEFT($C$5,2)&amp;"输出",标准坦克设计!$B$23:$U$23,0)))*(VLOOKUP($B200,INDIRECT($B$5&amp;"生成成长"),3))*(VLOOKUP($B$5,标准坦克设计!$B$14:$K$20,9)/30))</f>
        <v>16.761047291707175</v>
      </c>
      <c r="AH200" s="173">
        <f ca="1">(VLOOKUP(AH$72,INDIRECT($C$5&amp;"生成成长"),2))/((VLOOKUP($B200,INDIRECT($B$5&amp;"生成成长"),4))/(VLOOKUP(AH$72,INDIRECT($C$5&amp;"生成成长"),5))*(VLOOKUP($B$5,标准坦克设计!$B$24:$U$30,MATCH("对"&amp;LEFT($C$5,2)&amp;"输出",标准坦克设计!$B$23:$U$23,0)))*(VLOOKUP($B200,INDIRECT($B$5&amp;"生成成长"),3))*(VLOOKUP($B$5,标准坦克设计!$B$14:$K$20,9)/30))</f>
        <v>18.011452140046636</v>
      </c>
      <c r="AI200" s="173">
        <f ca="1">(VLOOKUP(AI$72,INDIRECT($C$5&amp;"生成成长"),2))/((VLOOKUP($B200,INDIRECT($B$5&amp;"生成成长"),4))/(VLOOKUP(AI$72,INDIRECT($C$5&amp;"生成成长"),5))*(VLOOKUP($B$5,标准坦克设计!$B$24:$U$30,MATCH("对"&amp;LEFT($C$5,2)&amp;"输出",标准坦克设计!$B$23:$U$23,0)))*(VLOOKUP($B200,INDIRECT($B$5&amp;"生成成长"),3))*(VLOOKUP($B$5,标准坦克设计!$B$14:$K$20,9)/30))</f>
        <v>12.738836731895789</v>
      </c>
      <c r="AJ200" s="173">
        <f ca="1">(VLOOKUP(AJ$72,INDIRECT($C$5&amp;"生成成长"),2))/((VLOOKUP($B200,INDIRECT($B$5&amp;"生成成长"),4))/(VLOOKUP(AJ$72,INDIRECT($C$5&amp;"生成成长"),5))*(VLOOKUP($B$5,标准坦克设计!$B$24:$U$30,MATCH("对"&amp;LEFT($C$5,2)&amp;"输出",标准坦克设计!$B$23:$U$23,0)))*(VLOOKUP($B200,INDIRECT($B$5&amp;"生成成长"),3))*(VLOOKUP($B$5,标准坦克设计!$B$14:$K$20,9)/30))</f>
        <v>13.943588309693364</v>
      </c>
      <c r="AK200" s="173">
        <f ca="1">(VLOOKUP(AK$72,INDIRECT($C$5&amp;"生成成长"),2))/((VLOOKUP($B200,INDIRECT($B$5&amp;"生成成长"),4))/(VLOOKUP(AK$72,INDIRECT($C$5&amp;"生成成长"),5))*(VLOOKUP($B$5,标准坦克设计!$B$24:$U$30,MATCH("对"&amp;LEFT($C$5,2)&amp;"输出",标准坦克设计!$B$23:$U$23,0)))*(VLOOKUP($B200,INDIRECT($B$5&amp;"生成成长"),3))*(VLOOKUP($B$5,标准坦克设计!$B$14:$K$20,9)/30))</f>
        <v>15.202763983407872</v>
      </c>
      <c r="AL200" s="173">
        <f ca="1">(VLOOKUP(AL$72,INDIRECT($C$5&amp;"生成成长"),2))/((VLOOKUP($B200,INDIRECT($B$5&amp;"生成成长"),4))/(VLOOKUP(AL$72,INDIRECT($C$5&amp;"生成成长"),5))*(VLOOKUP($B$5,标准坦克设计!$B$24:$U$30,MATCH("对"&amp;LEFT($C$5,2)&amp;"输出",标准坦克设计!$B$23:$U$23,0)))*(VLOOKUP($B200,INDIRECT($B$5&amp;"生成成长"),3))*(VLOOKUP($B$5,标准坦克设计!$B$14:$K$20,9)/30))</f>
        <v>16.516363753039311</v>
      </c>
      <c r="AM200" s="173">
        <f ca="1">(VLOOKUP(AM$72,INDIRECT($C$5&amp;"生成成长"),2))/((VLOOKUP($B200,INDIRECT($B$5&amp;"生成成长"),4))/(VLOOKUP(AM$72,INDIRECT($C$5&amp;"生成成长"),5))*(VLOOKUP($B$5,标准坦克设计!$B$24:$U$30,MATCH("对"&amp;LEFT($C$5,2)&amp;"输出",标准坦克设计!$B$23:$U$23,0)))*(VLOOKUP($B200,INDIRECT($B$5&amp;"生成成长"),3))*(VLOOKUP($B$5,标准坦克设计!$B$14:$K$20,9)/30))</f>
        <v>17.884387618587688</v>
      </c>
      <c r="AN200" s="173">
        <f ca="1">(VLOOKUP(AN$72,INDIRECT($C$5&amp;"生成成长"),2))/((VLOOKUP($B200,INDIRECT($B$5&amp;"生成成长"),4))/(VLOOKUP(AN$72,INDIRECT($C$5&amp;"生成成长"),5))*(VLOOKUP($B$5,标准坦克设计!$B$24:$U$30,MATCH("对"&amp;LEFT($C$5,2)&amp;"输出",标准坦克设计!$B$23:$U$23,0)))*(VLOOKUP($B200,INDIRECT($B$5&amp;"生成成长"),3))*(VLOOKUP($B$5,标准坦克设计!$B$14:$K$20,9)/30))</f>
        <v>19.306835580052994</v>
      </c>
      <c r="AO200" s="173">
        <f ca="1">(VLOOKUP(AO$72,INDIRECT($C$5&amp;"生成成长"),2))/((VLOOKUP($B200,INDIRECT($B$5&amp;"生成成长"),4))/(VLOOKUP(AO$72,INDIRECT($C$5&amp;"生成成长"),5))*(VLOOKUP($B$5,标准坦克设计!$B$24:$U$30,MATCH("对"&amp;LEFT($C$5,2)&amp;"输出",标准坦克设计!$B$23:$U$23,0)))*(VLOOKUP($B200,INDIRECT($B$5&amp;"生成成长"),3))*(VLOOKUP($B$5,标准坦克设计!$B$14:$K$20,9)/30))</f>
        <v>20.783707637435231</v>
      </c>
      <c r="AP200" s="173">
        <f ca="1">(VLOOKUP(AP$72,INDIRECT($C$5&amp;"生成成长"),2))/((VLOOKUP($B200,INDIRECT($B$5&amp;"生成成长"),4))/(VLOOKUP(AP$72,INDIRECT($C$5&amp;"生成成长"),5))*(VLOOKUP($B$5,标准坦克设计!$B$24:$U$30,MATCH("对"&amp;LEFT($C$5,2)&amp;"输出",标准坦克设计!$B$23:$U$23,0)))*(VLOOKUP($B200,INDIRECT($B$5&amp;"生成成长"),3))*(VLOOKUP($B$5,标准坦克设计!$B$14:$K$20,9)/30))</f>
        <v>22.315003790734409</v>
      </c>
      <c r="AQ200" s="173">
        <f ca="1">(VLOOKUP(AQ$72,INDIRECT($C$5&amp;"生成成长"),2))/((VLOOKUP($B200,INDIRECT($B$5&amp;"生成成长"),4))/(VLOOKUP(AQ$72,INDIRECT($C$5&amp;"生成成长"),5))*(VLOOKUP($B$5,标准坦克设计!$B$24:$U$30,MATCH("对"&amp;LEFT($C$5,2)&amp;"输出",标准坦克设计!$B$23:$U$23,0)))*(VLOOKUP($B200,INDIRECT($B$5&amp;"生成成长"),3))*(VLOOKUP($B$5,标准坦克设计!$B$14:$K$20,9)/30))</f>
        <v>23.900724039950518</v>
      </c>
      <c r="AR200" s="173">
        <f ca="1">(VLOOKUP(AR$72,INDIRECT($C$5&amp;"生成成长"),2))/((VLOOKUP($B200,INDIRECT($B$5&amp;"生成成长"),4))/(VLOOKUP(AR$72,INDIRECT($C$5&amp;"生成成长"),5))*(VLOOKUP($B$5,标准坦克设计!$B$24:$U$30,MATCH("对"&amp;LEFT($C$5,2)&amp;"输出",标准坦克设计!$B$23:$U$23,0)))*(VLOOKUP($B200,INDIRECT($B$5&amp;"生成成长"),3))*(VLOOKUP($B$5,标准坦克设计!$B$14:$K$20,9)/30))</f>
        <v>25.540868385083556</v>
      </c>
      <c r="AS200" s="173">
        <f ca="1">(VLOOKUP(AS$72,INDIRECT($C$5&amp;"生成成长"),2))/((VLOOKUP($B200,INDIRECT($B$5&amp;"生成成长"),4))/(VLOOKUP(AS$72,INDIRECT($C$5&amp;"生成成长"),5))*(VLOOKUP($B$5,标准坦克设计!$B$24:$U$30,MATCH("对"&amp;LEFT($C$5,2)&amp;"输出",标准坦克设计!$B$23:$U$23,0)))*(VLOOKUP($B200,INDIRECT($B$5&amp;"生成成长"),3))*(VLOOKUP($B$5,标准坦克设计!$B$14:$K$20,9)/30))</f>
        <v>27.235436826133533</v>
      </c>
      <c r="AT200" s="173">
        <f ca="1">(VLOOKUP(AT$72,INDIRECT($C$5&amp;"生成成长"),2))/((VLOOKUP($B200,INDIRECT($B$5&amp;"生成成长"),4))/(VLOOKUP(AT$72,INDIRECT($C$5&amp;"生成成长"),5))*(VLOOKUP($B$5,标准坦克设计!$B$24:$U$30,MATCH("对"&amp;LEFT($C$5,2)&amp;"输出",标准坦克设计!$B$23:$U$23,0)))*(VLOOKUP($B200,INDIRECT($B$5&amp;"生成成长"),3))*(VLOOKUP($B$5,标准坦克设计!$B$14:$K$20,9)/30))</f>
        <v>28.984429363100443</v>
      </c>
      <c r="AU200" s="173">
        <f ca="1">(VLOOKUP(AU$72,INDIRECT($C$5&amp;"生成成长"),2))/((VLOOKUP($B200,INDIRECT($B$5&amp;"生成成长"),4))/(VLOOKUP(AU$72,INDIRECT($C$5&amp;"生成成长"),5))*(VLOOKUP($B$5,标准坦克设计!$B$24:$U$30,MATCH("对"&amp;LEFT($C$5,2)&amp;"输出",标准坦克设计!$B$23:$U$23,0)))*(VLOOKUP($B200,INDIRECT($B$5&amp;"生成成长"),3))*(VLOOKUP($B$5,标准坦克设计!$B$14:$K$20,9)/30))</f>
        <v>30.787845995984281</v>
      </c>
      <c r="AV200" s="173">
        <f ca="1">(VLOOKUP(AV$72,INDIRECT($C$5&amp;"生成成长"),2))/((VLOOKUP($B200,INDIRECT($B$5&amp;"生成成长"),4))/(VLOOKUP(AV$72,INDIRECT($C$5&amp;"生成成长"),5))*(VLOOKUP($B$5,标准坦克设计!$B$24:$U$30,MATCH("对"&amp;LEFT($C$5,2)&amp;"输出",标准坦克设计!$B$23:$U$23,0)))*(VLOOKUP($B200,INDIRECT($B$5&amp;"生成成长"),3))*(VLOOKUP($B$5,标准坦克设计!$B$14:$K$20,9)/30))</f>
        <v>3.1314095518486864</v>
      </c>
      <c r="AW200" s="173">
        <f ca="1">(VLOOKUP(AW$72,INDIRECT($C$5&amp;"生成成长"),2))/((VLOOKUP($B200,INDIRECT($B$5&amp;"生成成长"),4))/(VLOOKUP(AW$72,INDIRECT($C$5&amp;"生成成长"),5))*(VLOOKUP($B$5,标准坦克设计!$B$24:$U$30,MATCH("对"&amp;LEFT($C$5,2)&amp;"输出",标准坦克设计!$B$23:$U$23,0)))*(VLOOKUP($B200,INDIRECT($B$5&amp;"生成成长"),3))*(VLOOKUP($B$5,标准坦克设计!$B$14:$K$20,9)/30))</f>
        <v>3.5704006065175045</v>
      </c>
      <c r="AX200" s="173">
        <f ca="1">(VLOOKUP(AX$72,INDIRECT($C$5&amp;"生成成长"),2))/((VLOOKUP($B200,INDIRECT($B$5&amp;"生成成长"),4))/(VLOOKUP(AX$72,INDIRECT($C$5&amp;"生成成长"),5))*(VLOOKUP($B$5,标准坦克设计!$B$24:$U$30,MATCH("对"&amp;LEFT($C$5,2)&amp;"输出",标准坦克设计!$B$23:$U$23,0)))*(VLOOKUP($B200,INDIRECT($B$5&amp;"生成成长"),3))*(VLOOKUP($B$5,标准坦克设计!$B$14:$K$20,9)/30))</f>
        <v>4.0381779598531322</v>
      </c>
      <c r="AY200" s="173">
        <f ca="1">(VLOOKUP(AY$72,INDIRECT($C$5&amp;"生成成长"),2))/((VLOOKUP($B200,INDIRECT($B$5&amp;"生成成长"),4))/(VLOOKUP(AY$72,INDIRECT($C$5&amp;"生成成长"),5))*(VLOOKUP($B$5,标准坦克设计!$B$24:$U$30,MATCH("对"&amp;LEFT($C$5,2)&amp;"输出",标准坦克设计!$B$23:$U$23,0)))*(VLOOKUP($B200,INDIRECT($B$5&amp;"生成成长"),3))*(VLOOKUP($B$5,标准坦克设计!$B$14:$K$20,9)/30))</f>
        <v>4.5347416118555675</v>
      </c>
      <c r="AZ200" s="173">
        <f ca="1">(VLOOKUP(AZ$72,INDIRECT($C$5&amp;"生成成长"),2))/((VLOOKUP($B200,INDIRECT($B$5&amp;"生成成长"),4))/(VLOOKUP(AZ$72,INDIRECT($C$5&amp;"生成成长"),5))*(VLOOKUP($B$5,标准坦克设计!$B$24:$U$30,MATCH("对"&amp;LEFT($C$5,2)&amp;"输出",标准坦克设计!$B$23:$U$23,0)))*(VLOOKUP($B200,INDIRECT($B$5&amp;"生成成长"),3))*(VLOOKUP($B$5,标准坦克设计!$B$14:$K$20,9)/30))</f>
        <v>5.0600915625248089</v>
      </c>
      <c r="BA200" s="173">
        <f ca="1">(VLOOKUP(BA$72,INDIRECT($C$5&amp;"生成成长"),2))/((VLOOKUP($B200,INDIRECT($B$5&amp;"生成成长"),4))/(VLOOKUP(BA$72,INDIRECT($C$5&amp;"生成成长"),5))*(VLOOKUP($B$5,标准坦克设计!$B$24:$U$30,MATCH("对"&amp;LEFT($C$5,2)&amp;"输出",标准坦克设计!$B$23:$U$23,0)))*(VLOOKUP($B200,INDIRECT($B$5&amp;"生成成长"),3))*(VLOOKUP($B$5,标准坦克设计!$B$14:$K$20,9)/30))</f>
        <v>5.61422781186086</v>
      </c>
      <c r="BB200" s="173">
        <f ca="1">(VLOOKUP(BB$72,INDIRECT($C$5&amp;"生成成长"),2))/((VLOOKUP($B200,INDIRECT($B$5&amp;"生成成长"),4))/(VLOOKUP(BB$72,INDIRECT($C$5&amp;"生成成长"),5))*(VLOOKUP($B$5,标准坦克设计!$B$24:$U$30,MATCH("对"&amp;LEFT($C$5,2)&amp;"输出",标准坦克设计!$B$23:$U$23,0)))*(VLOOKUP($B200,INDIRECT($B$5&amp;"生成成长"),3))*(VLOOKUP($B$5,标准坦克设计!$B$14:$K$20,9)/30))</f>
        <v>6.1971503598637172</v>
      </c>
      <c r="BC200" s="173">
        <f ca="1">(VLOOKUP(BC$72,INDIRECT($C$5&amp;"生成成长"),2))/((VLOOKUP($B200,INDIRECT($B$5&amp;"生成成长"),4))/(VLOOKUP(BC$72,INDIRECT($C$5&amp;"生成成长"),5))*(VLOOKUP($B$5,标准坦克设计!$B$24:$U$30,MATCH("对"&amp;LEFT($C$5,2)&amp;"输出",标准坦克设计!$B$23:$U$23,0)))*(VLOOKUP($B200,INDIRECT($B$5&amp;"生成成长"),3))*(VLOOKUP($B$5,标准坦克设计!$B$14:$K$20,9)/30))</f>
        <v>6.8088592065333833</v>
      </c>
      <c r="BD200" s="173">
        <f ca="1">(VLOOKUP(BD$72,INDIRECT($C$5&amp;"生成成长"),2))/((VLOOKUP($B200,INDIRECT($B$5&amp;"生成成长"),4))/(VLOOKUP(BD$72,INDIRECT($C$5&amp;"生成成长"),5))*(VLOOKUP($B$5,标准坦克设计!$B$24:$U$30,MATCH("对"&amp;LEFT($C$5,2)&amp;"输出",标准坦克设计!$B$23:$U$23,0)))*(VLOOKUP($B200,INDIRECT($B$5&amp;"生成成长"),3))*(VLOOKUP($B$5,标准坦克设计!$B$14:$K$20,9)/30))</f>
        <v>7.5314402816619239</v>
      </c>
      <c r="BE200" s="173">
        <f ca="1">(VLOOKUP(BE$72,INDIRECT($C$5&amp;"生成成长"),2))/((VLOOKUP($B200,INDIRECT($B$5&amp;"生成成长"),4))/(VLOOKUP(BE$72,INDIRECT($C$5&amp;"生成成长"),5))*(VLOOKUP($B$5,标准坦克设计!$B$24:$U$30,MATCH("对"&amp;LEFT($C$5,2)&amp;"输出",标准坦克设计!$B$23:$U$23,0)))*(VLOOKUP($B200,INDIRECT($B$5&amp;"生成成长"),3))*(VLOOKUP($B$5,标准坦克设计!$B$14:$K$20,9)/30))</f>
        <v>8.2904540160406466</v>
      </c>
      <c r="BF200" s="173">
        <f ca="1">(VLOOKUP(BF$72,INDIRECT($C$5&amp;"生成成长"),2))/((VLOOKUP($B200,INDIRECT($B$5&amp;"生成成长"),4))/(VLOOKUP(BF$72,INDIRECT($C$5&amp;"生成成长"),5))*(VLOOKUP($B$5,标准坦克设计!$B$24:$U$30,MATCH("对"&amp;LEFT($C$5,2)&amp;"输出",标准坦克设计!$B$23:$U$23,0)))*(VLOOKUP($B200,INDIRECT($B$5&amp;"生成成长"),3))*(VLOOKUP($B$5,标准坦克设计!$B$14:$K$20,9)/30))</f>
        <v>9.0859004096695468</v>
      </c>
      <c r="BG200" s="173">
        <f ca="1">(VLOOKUP(BG$72,INDIRECT($C$5&amp;"生成成长"),2))/((VLOOKUP($B200,INDIRECT($B$5&amp;"生成成长"),4))/(VLOOKUP(BG$72,INDIRECT($C$5&amp;"生成成长"),5))*(VLOOKUP($B$5,标准坦克设计!$B$24:$U$30,MATCH("对"&amp;LEFT($C$5,2)&amp;"输出",标准坦克设计!$B$23:$U$23,0)))*(VLOOKUP($B200,INDIRECT($B$5&amp;"生成成长"),3))*(VLOOKUP($B$5,标准坦克设计!$B$14:$K$20,9)/30))</f>
        <v>9.9177794625486246</v>
      </c>
      <c r="BH200" s="173">
        <f ca="1">(VLOOKUP(BH$72,INDIRECT($C$5&amp;"生成成长"),2))/((VLOOKUP($B200,INDIRECT($B$5&amp;"生成成长"),4))/(VLOOKUP(BH$72,INDIRECT($C$5&amp;"生成成长"),5))*(VLOOKUP($B$5,标准坦克设计!$B$24:$U$30,MATCH("对"&amp;LEFT($C$5,2)&amp;"输出",标准坦克设计!$B$23:$U$23,0)))*(VLOOKUP($B200,INDIRECT($B$5&amp;"生成成长"),3))*(VLOOKUP($B$5,标准坦克设计!$B$14:$K$20,9)/30))</f>
        <v>4.7938182998568371</v>
      </c>
      <c r="BI200" s="173">
        <f ca="1">(VLOOKUP(BI$72,INDIRECT($C$5&amp;"生成成长"),2))/((VLOOKUP($B200,INDIRECT($B$5&amp;"生成成长"),4))/(VLOOKUP(BI$72,INDIRECT($C$5&amp;"生成成长"),5))*(VLOOKUP($B$5,标准坦克设计!$B$24:$U$30,MATCH("对"&amp;LEFT($C$5,2)&amp;"输出",标准坦克设计!$B$23:$U$23,0)))*(VLOOKUP($B200,INDIRECT($B$5&amp;"生成成长"),3))*(VLOOKUP($B$5,标准坦克设计!$B$14:$K$20,9)/30))</f>
        <v>5.4030533239848237</v>
      </c>
      <c r="BJ200" s="173">
        <f ca="1">(VLOOKUP(BJ$72,INDIRECT($C$5&amp;"生成成长"),2))/((VLOOKUP($B200,INDIRECT($B$5&amp;"生成成长"),4))/(VLOOKUP(BJ$72,INDIRECT($C$5&amp;"生成成长"),5))*(VLOOKUP($B$5,标准坦克设计!$B$24:$U$30,MATCH("对"&amp;LEFT($C$5,2)&amp;"输出",标准坦克设计!$B$23:$U$23,0)))*(VLOOKUP($B200,INDIRECT($B$5&amp;"生成成长"),3))*(VLOOKUP($B$5,标准坦克设计!$B$14:$K$20,9)/30))</f>
        <v>6.0487210073629889</v>
      </c>
      <c r="BK200" s="173">
        <f ca="1">(VLOOKUP(BK$72,INDIRECT($C$5&amp;"生成成长"),2))/((VLOOKUP($B200,INDIRECT($B$5&amp;"生成成长"),4))/(VLOOKUP(BK$72,INDIRECT($C$5&amp;"生成成长"),5))*(VLOOKUP($B$5,标准坦克设计!$B$24:$U$30,MATCH("对"&amp;LEFT($C$5,2)&amp;"输出",标准坦克设计!$B$23:$U$23,0)))*(VLOOKUP($B200,INDIRECT($B$5&amp;"生成成长"),3))*(VLOOKUP($B$5,标准坦克设计!$B$14:$K$20,9)/30))</f>
        <v>6.7308213499913352</v>
      </c>
      <c r="BL200" s="173">
        <f ca="1">(VLOOKUP(BL$72,INDIRECT($C$5&amp;"生成成长"),2))/((VLOOKUP($B200,INDIRECT($B$5&amp;"生成成长"),4))/(VLOOKUP(BL$72,INDIRECT($C$5&amp;"生成成长"),5))*(VLOOKUP($B$5,标准坦克设计!$B$24:$U$30,MATCH("对"&amp;LEFT($C$5,2)&amp;"输出",标准坦克设计!$B$23:$U$23,0)))*(VLOOKUP($B200,INDIRECT($B$5&amp;"生成成长"),3))*(VLOOKUP($B$5,标准坦克设计!$B$14:$K$20,9)/30))</f>
        <v>7.4493543518698564</v>
      </c>
      <c r="BM200" s="173">
        <f ca="1">(VLOOKUP(BM$72,INDIRECT($C$5&amp;"生成成长"),2))/((VLOOKUP($B200,INDIRECT($B$5&amp;"生成成长"),4))/(VLOOKUP(BM$72,INDIRECT($C$5&amp;"生成成长"),5))*(VLOOKUP($B$5,标准坦克设计!$B$24:$U$30,MATCH("对"&amp;LEFT($C$5,2)&amp;"输出",标准坦克设计!$B$23:$U$23,0)))*(VLOOKUP($B200,INDIRECT($B$5&amp;"生成成长"),3))*(VLOOKUP($B$5,标准坦克设计!$B$14:$K$20,9)/30))</f>
        <v>8.2043200129985578</v>
      </c>
      <c r="BN200" s="173">
        <f ca="1">(VLOOKUP(BN$72,INDIRECT($C$5&amp;"生成成长"),2))/((VLOOKUP($B200,INDIRECT($B$5&amp;"生成成长"),4))/(VLOOKUP(BN$72,INDIRECT($C$5&amp;"生成成长"),5))*(VLOOKUP($B$5,标准坦克设计!$B$24:$U$30,MATCH("对"&amp;LEFT($C$5,2)&amp;"输出",标准坦克设计!$B$23:$U$23,0)))*(VLOOKUP($B200,INDIRECT($B$5&amp;"生成成长"),3))*(VLOOKUP($B$5,标准坦克设计!$B$14:$K$20,9)/30))</f>
        <v>8.9957183333774395</v>
      </c>
      <c r="BO200" s="173">
        <f ca="1">(VLOOKUP(BO$72,INDIRECT($C$5&amp;"生成成长"),2))/((VLOOKUP($B200,INDIRECT($B$5&amp;"生成成长"),4))/(VLOOKUP(BO$72,INDIRECT($C$5&amp;"生成成长"),5))*(VLOOKUP($B$5,标准坦克设计!$B$24:$U$30,MATCH("对"&amp;LEFT($C$5,2)&amp;"输出",标准坦克设计!$B$23:$U$23,0)))*(VLOOKUP($B200,INDIRECT($B$5&amp;"生成成长"),3))*(VLOOKUP($B$5,标准坦克设计!$B$14:$K$20,9)/30))</f>
        <v>9.8235493130064953</v>
      </c>
      <c r="BP200" s="173">
        <f ca="1">(VLOOKUP(BP$72,INDIRECT($C$5&amp;"生成成长"),2))/((VLOOKUP($B200,INDIRECT($B$5&amp;"生成成长"),4))/(VLOOKUP(BP$72,INDIRECT($C$5&amp;"生成成长"),5))*(VLOOKUP($B$5,标准坦克设计!$B$24:$U$30,MATCH("对"&amp;LEFT($C$5,2)&amp;"输出",标准坦克设计!$B$23:$U$23,0)))*(VLOOKUP($B200,INDIRECT($B$5&amp;"生成成长"),3))*(VLOOKUP($B$5,标准坦克设计!$B$14:$K$20,9)/30))</f>
        <v>10.687812951885734</v>
      </c>
      <c r="BQ200" s="173">
        <f ca="1">(VLOOKUP(BQ$72,INDIRECT($C$5&amp;"生成成长"),2))/((VLOOKUP($B200,INDIRECT($B$5&amp;"生成成长"),4))/(VLOOKUP(BQ$72,INDIRECT($C$5&amp;"生成成长"),5))*(VLOOKUP($B$5,标准坦克设计!$B$24:$U$30,MATCH("对"&amp;LEFT($C$5,2)&amp;"输出",标准坦克设计!$B$23:$U$23,0)))*(VLOOKUP($B200,INDIRECT($B$5&amp;"生成成长"),3))*(VLOOKUP($B$5,标准坦克设计!$B$14:$K$20,9)/30))</f>
        <v>11.58850925001515</v>
      </c>
      <c r="BR200" s="173">
        <f ca="1">(VLOOKUP(BR$72,INDIRECT($C$5&amp;"生成成长"),2))/((VLOOKUP($B200,INDIRECT($B$5&amp;"生成成长"),4))/(VLOOKUP(BR$72,INDIRECT($C$5&amp;"生成成长"),5))*(VLOOKUP($B$5,标准坦克设计!$B$24:$U$30,MATCH("对"&amp;LEFT($C$5,2)&amp;"输出",标准坦克设计!$B$23:$U$23,0)))*(VLOOKUP($B200,INDIRECT($B$5&amp;"生成成长"),3))*(VLOOKUP($B$5,标准坦克设计!$B$14:$K$20,9)/30))</f>
        <v>12.632012576686934</v>
      </c>
      <c r="BS200" s="173">
        <f ca="1">(VLOOKUP(BS$72,INDIRECT($C$5&amp;"生成成长"),2))/((VLOOKUP($B200,INDIRECT($B$5&amp;"生成成长"),4))/(VLOOKUP(BS$72,INDIRECT($C$5&amp;"生成成长"),5))*(VLOOKUP($B$5,标准坦克设计!$B$24:$U$30,MATCH("对"&amp;LEFT($C$5,2)&amp;"输出",标准坦克设计!$B$23:$U$23,0)))*(VLOOKUP($B200,INDIRECT($B$5&amp;"生成成长"),3))*(VLOOKUP($B$5,标准坦克设计!$B$14:$K$20,9)/30))</f>
        <v>13.720494495025605</v>
      </c>
      <c r="BT200" s="173">
        <f ca="1">(VLOOKUP(BT$72,INDIRECT($C$5&amp;"生成成长"),2))/((VLOOKUP($B200,INDIRECT($B$5&amp;"生成成长"),4))/(VLOOKUP(BT$72,INDIRECT($C$5&amp;"生成成长"),5))*(VLOOKUP($B$5,标准坦克设计!$B$24:$U$30,MATCH("对"&amp;LEFT($C$5,2)&amp;"输出",标准坦克设计!$B$23:$U$23,0)))*(VLOOKUP($B200,INDIRECT($B$5&amp;"生成成长"),3))*(VLOOKUP($B$5,标准坦克设计!$B$14:$K$20,9)/30))</f>
        <v>14.853955005031159</v>
      </c>
      <c r="BU200" s="173">
        <f ca="1">(VLOOKUP(BU$72,INDIRECT($C$5&amp;"生成成长"),2))/((VLOOKUP($B200,INDIRECT($B$5&amp;"生成成长"),4))/(VLOOKUP(BU$72,INDIRECT($C$5&amp;"生成成长"),5))*(VLOOKUP($B$5,标准坦克设计!$B$24:$U$30,MATCH("对"&amp;LEFT($C$5,2)&amp;"输出",标准坦克设计!$B$23:$U$23,0)))*(VLOOKUP($B200,INDIRECT($B$5&amp;"生成成长"),3))*(VLOOKUP($B$5,标准坦克设计!$B$14:$K$20,9)/30))</f>
        <v>16.032394106703602</v>
      </c>
      <c r="BV200" s="173">
        <f ca="1">(VLOOKUP(BV$72,INDIRECT($C$5&amp;"生成成长"),2))/((VLOOKUP($B200,INDIRECT($B$5&amp;"生成成长"),4))/(VLOOKUP(BV$72,INDIRECT($C$5&amp;"生成成长"),5))*(VLOOKUP($B$5,标准坦克设计!$B$24:$U$30,MATCH("对"&amp;LEFT($C$5,2)&amp;"输出",标准坦克设计!$B$23:$U$23,0)))*(VLOOKUP($B200,INDIRECT($B$5&amp;"生成成长"),3))*(VLOOKUP($B$5,标准坦克设计!$B$14:$K$20,9)/30))</f>
        <v>17.255811800042935</v>
      </c>
      <c r="BW200" s="173">
        <f ca="1">(VLOOKUP(BW$72,INDIRECT($C$5&amp;"生成成长"),2))/((VLOOKUP($B200,INDIRECT($B$5&amp;"生成成长"),4))/(VLOOKUP(BW$72,INDIRECT($C$5&amp;"生成成长"),5))*(VLOOKUP($B$5,标准坦克设计!$B$24:$U$30,MATCH("对"&amp;LEFT($C$5,2)&amp;"输出",标准坦克设计!$B$23:$U$23,0)))*(VLOOKUP($B200,INDIRECT($B$5&amp;"生成成长"),3))*(VLOOKUP($B$5,标准坦克设计!$B$14:$K$20,9)/30))</f>
        <v>7.8642818599968898</v>
      </c>
      <c r="BX200" s="173">
        <f ca="1">(VLOOKUP(BX$72,INDIRECT($C$5&amp;"生成成长"),2))/((VLOOKUP($B200,INDIRECT($B$5&amp;"生成成长"),4))/(VLOOKUP(BX$72,INDIRECT($C$5&amp;"生成成长"),5))*(VLOOKUP($B$5,标准坦克设计!$B$24:$U$30,MATCH("对"&amp;LEFT($C$5,2)&amp;"输出",标准坦克设计!$B$23:$U$23,0)))*(VLOOKUP($B200,INDIRECT($B$5&amp;"生成成长"),3))*(VLOOKUP($B$5,标准坦克设计!$B$14:$K$20,9)/30))</f>
        <v>8.7278708200011224</v>
      </c>
      <c r="BY200" s="173">
        <f ca="1">(VLOOKUP(BY$72,INDIRECT($C$5&amp;"生成成长"),2))/((VLOOKUP($B200,INDIRECT($B$5&amp;"生成成长"),4))/(VLOOKUP(BY$72,INDIRECT($C$5&amp;"生成成长"),5))*(VLOOKUP($B$5,标准坦克设计!$B$24:$U$30,MATCH("对"&amp;LEFT($C$5,2)&amp;"输出",标准坦克设计!$B$23:$U$23,0)))*(VLOOKUP($B200,INDIRECT($B$5&amp;"生成成长"),3))*(VLOOKUP($B$5,标准坦克设计!$B$14:$K$20,9)/30))</f>
        <v>9.6364383716722468</v>
      </c>
      <c r="BZ200" s="173">
        <f ca="1">(VLOOKUP(BZ$72,INDIRECT($C$5&amp;"生成成长"),2))/((VLOOKUP($B200,INDIRECT($B$5&amp;"生成成长"),4))/(VLOOKUP(BZ$72,INDIRECT($C$5&amp;"生成成长"),5))*(VLOOKUP($B$5,标准坦克设计!$B$24:$U$30,MATCH("对"&amp;LEFT($C$5,2)&amp;"输出",标准坦克设计!$B$23:$U$23,0)))*(VLOOKUP($B200,INDIRECT($B$5&amp;"生成成长"),3))*(VLOOKUP($B$5,标准坦克设计!$B$14:$K$20,9)/30))</f>
        <v>10.589984515010253</v>
      </c>
      <c r="CA200" s="173">
        <f ca="1">(VLOOKUP(CA$72,INDIRECT($C$5&amp;"生成成长"),2))/((VLOOKUP($B200,INDIRECT($B$5&amp;"生成成长"),4))/(VLOOKUP(CA$72,INDIRECT($C$5&amp;"生成成长"),5))*(VLOOKUP($B$5,标准坦克设计!$B$24:$U$30,MATCH("对"&amp;LEFT($C$5,2)&amp;"输出",标准坦克设计!$B$23:$U$23,0)))*(VLOOKUP($B200,INDIRECT($B$5&amp;"生成成长"),3))*(VLOOKUP($B$5,标准坦克设计!$B$14:$K$20,9)/30))</f>
        <v>11.58850925001515</v>
      </c>
      <c r="CB200" s="173">
        <f ca="1">(VLOOKUP(CB$72,INDIRECT($C$5&amp;"生成成长"),2))/((VLOOKUP($B200,INDIRECT($B$5&amp;"生成成长"),4))/(VLOOKUP(CB$72,INDIRECT($C$5&amp;"生成成长"),5))*(VLOOKUP($B$5,标准坦克设计!$B$24:$U$30,MATCH("对"&amp;LEFT($C$5,2)&amp;"输出",标准坦克设计!$B$23:$U$23,0)))*(VLOOKUP($B200,INDIRECT($B$5&amp;"生成成长"),3))*(VLOOKUP($B$5,标准坦克设计!$B$14:$K$20,9)/30))</f>
        <v>12.632012576686934</v>
      </c>
      <c r="CC200" s="173">
        <f ca="1">(VLOOKUP(CC$72,INDIRECT($C$5&amp;"生成成长"),2))/((VLOOKUP($B200,INDIRECT($B$5&amp;"生成成长"),4))/(VLOOKUP(CC$72,INDIRECT($C$5&amp;"生成成长"),5))*(VLOOKUP($B$5,标准坦克设计!$B$24:$U$30,MATCH("对"&amp;LEFT($C$5,2)&amp;"输出",标准坦克设计!$B$23:$U$23,0)))*(VLOOKUP($B200,INDIRECT($B$5&amp;"生成成长"),3))*(VLOOKUP($B$5,标准坦克设计!$B$14:$K$20,9)/30))</f>
        <v>13.720494495025605</v>
      </c>
      <c r="CD200" s="173">
        <f ca="1">(VLOOKUP(CD$72,INDIRECT($C$5&amp;"生成成长"),2))/((VLOOKUP($B200,INDIRECT($B$5&amp;"生成成长"),4))/(VLOOKUP(CD$72,INDIRECT($C$5&amp;"生成成长"),5))*(VLOOKUP($B$5,标准坦克设计!$B$24:$U$30,MATCH("对"&amp;LEFT($C$5,2)&amp;"输出",标准坦克设计!$B$23:$U$23,0)))*(VLOOKUP($B200,INDIRECT($B$5&amp;"生成成长"),3))*(VLOOKUP($B$5,标准坦克设计!$B$14:$K$20,9)/30))</f>
        <v>14.853955005031159</v>
      </c>
      <c r="CE200" s="173">
        <f ca="1">(VLOOKUP(CE$72,INDIRECT($C$5&amp;"生成成长"),2))/((VLOOKUP($B200,INDIRECT($B$5&amp;"生成成长"),4))/(VLOOKUP(CE$72,INDIRECT($C$5&amp;"生成成长"),5))*(VLOOKUP($B$5,标准坦克设计!$B$24:$U$30,MATCH("对"&amp;LEFT($C$5,2)&amp;"输出",标准坦克设计!$B$23:$U$23,0)))*(VLOOKUP($B200,INDIRECT($B$5&amp;"生成成长"),3))*(VLOOKUP($B$5,标准坦克设计!$B$14:$K$20,9)/30))</f>
        <v>16.032394106703602</v>
      </c>
      <c r="CF200" s="173">
        <f ca="1">(VLOOKUP(CF$72,INDIRECT($C$5&amp;"生成成长"),2))/((VLOOKUP($B200,INDIRECT($B$5&amp;"生成成长"),4))/(VLOOKUP(CF$72,INDIRECT($C$5&amp;"生成成长"),5))*(VLOOKUP($B$5,标准坦克设计!$B$24:$U$30,MATCH("对"&amp;LEFT($C$5,2)&amp;"输出",标准坦克设计!$B$23:$U$23,0)))*(VLOOKUP($B200,INDIRECT($B$5&amp;"生成成长"),3))*(VLOOKUP($B$5,标准坦克设计!$B$14:$K$20,9)/30))</f>
        <v>17.255811800042935</v>
      </c>
      <c r="CG200" s="173">
        <f ca="1">(VLOOKUP(CG$72,INDIRECT($C$5&amp;"生成成长"),2))/((VLOOKUP($B200,INDIRECT($B$5&amp;"生成成长"),4))/(VLOOKUP(CG$72,INDIRECT($C$5&amp;"生成成长"),5))*(VLOOKUP($B$5,标准坦克设计!$B$24:$U$30,MATCH("对"&amp;LEFT($C$5,2)&amp;"输出",标准坦克设计!$B$23:$U$23,0)))*(VLOOKUP($B200,INDIRECT($B$5&amp;"生成成长"),3))*(VLOOKUP($B$5,标准坦克设计!$B$14:$K$20,9)/30))</f>
        <v>18.524208085049157</v>
      </c>
      <c r="CH200" s="173">
        <f ca="1">(VLOOKUP(CH$72,INDIRECT($C$5&amp;"生成成长"),2))/((VLOOKUP($B200,INDIRECT($B$5&amp;"生成成长"),4))/(VLOOKUP(CH$72,INDIRECT($C$5&amp;"生成成长"),5))*(VLOOKUP($B$5,标准坦克设计!$B$24:$U$30,MATCH("对"&amp;LEFT($C$5,2)&amp;"输出",标准坦克设计!$B$23:$U$23,0)))*(VLOOKUP($B200,INDIRECT($B$5&amp;"生成成长"),3))*(VLOOKUP($B$5,标准坦克设计!$B$14:$K$20,9)/30))</f>
        <v>19.837582961722259</v>
      </c>
      <c r="CI200" s="173">
        <f ca="1">(VLOOKUP(CI$72,INDIRECT($C$5&amp;"生成成长"),2))/((VLOOKUP($B200,INDIRECT($B$5&amp;"生成成长"),4))/(VLOOKUP(CI$72,INDIRECT($C$5&amp;"生成成长"),5))*(VLOOKUP($B$5,标准坦克设计!$B$24:$U$30,MATCH("对"&amp;LEFT($C$5,2)&amp;"输出",标准坦克设计!$B$23:$U$23,0)))*(VLOOKUP($B200,INDIRECT($B$5&amp;"生成成长"),3))*(VLOOKUP($B$5,标准坦克设计!$B$14:$K$20,9)/30))</f>
        <v>21.334245599437928</v>
      </c>
      <c r="CJ200" s="173">
        <f ca="1">(VLOOKUP(CJ$72,INDIRECT($C$5&amp;"生成成长"),2))/((VLOOKUP($B200,INDIRECT($B$5&amp;"生成成长"),4))/(VLOOKUP(CJ$72,INDIRECT($C$5&amp;"生成成长"),5))*(VLOOKUP($B$5,标准坦克设计!$B$24:$U$30,MATCH("对"&amp;LEFT($C$5,2)&amp;"输出",标准坦克设计!$B$23:$U$23,0)))*(VLOOKUP($B200,INDIRECT($B$5&amp;"生成成长"),3))*(VLOOKUP($B$5,标准坦克设计!$B$14:$K$20,9)/30))</f>
        <v>22.88533233307054</v>
      </c>
      <c r="CK200" s="173">
        <f ca="1">(VLOOKUP(CK$72,INDIRECT($C$5&amp;"生成成长"),2))/((VLOOKUP($B200,INDIRECT($B$5&amp;"生成成长"),4))/(VLOOKUP(CK$72,INDIRECT($C$5&amp;"生成成长"),5))*(VLOOKUP($B$5,标准坦克设计!$B$24:$U$30,MATCH("对"&amp;LEFT($C$5,2)&amp;"输出",标准坦克设计!$B$23:$U$23,0)))*(VLOOKUP($B200,INDIRECT($B$5&amp;"生成成长"),3))*(VLOOKUP($B$5,标准坦克设计!$B$14:$K$20,9)/30))</f>
        <v>24.490843162620074</v>
      </c>
      <c r="CL200" s="173">
        <f ca="1">(VLOOKUP(CL$72,INDIRECT($C$5&amp;"生成成长"),2))/((VLOOKUP($B200,INDIRECT($B$5&amp;"生成成长"),4))/(VLOOKUP(CL$72,INDIRECT($C$5&amp;"生成成长"),5))*(VLOOKUP($B$5,标准坦克设计!$B$24:$U$30,MATCH("对"&amp;LEFT($C$5,2)&amp;"输出",标准坦克设计!$B$23:$U$23,0)))*(VLOOKUP($B200,INDIRECT($B$5&amp;"生成成长"),3))*(VLOOKUP($B$5,标准坦克设计!$B$14:$K$20,9)/30))</f>
        <v>26.150778088086547</v>
      </c>
      <c r="CM200" s="173">
        <f ca="1">(VLOOKUP(CM$72,INDIRECT($C$5&amp;"生成成长"),2))/((VLOOKUP($B200,INDIRECT($B$5&amp;"生成成长"),4))/(VLOOKUP(CM$72,INDIRECT($C$5&amp;"生成成长"),5))*(VLOOKUP($B$5,标准坦克设计!$B$24:$U$30,MATCH("对"&amp;LEFT($C$5,2)&amp;"输出",标准坦克设计!$B$23:$U$23,0)))*(VLOOKUP($B200,INDIRECT($B$5&amp;"生成成长"),3))*(VLOOKUP($B$5,标准坦克设计!$B$14:$K$20,9)/30))</f>
        <v>27.865137109469952</v>
      </c>
      <c r="CN200" s="173">
        <f ca="1">(VLOOKUP(CN$72,INDIRECT($C$5&amp;"生成成长"),2))/((VLOOKUP($B200,INDIRECT($B$5&amp;"生成成长"),4))/(VLOOKUP(CN$72,INDIRECT($C$5&amp;"生成成长"),5))*(VLOOKUP($B$5,标准坦克设计!$B$24:$U$30,MATCH("对"&amp;LEFT($C$5,2)&amp;"输出",标准坦克设计!$B$23:$U$23,0)))*(VLOOKUP($B200,INDIRECT($B$5&amp;"生成成长"),3))*(VLOOKUP($B$5,标准坦克设计!$B$14:$K$20,9)/30))</f>
        <v>29.633920226770286</v>
      </c>
      <c r="CO200" s="173">
        <f ca="1">(VLOOKUP(CO$72,INDIRECT($C$5&amp;"生成成长"),2))/((VLOOKUP($B200,INDIRECT($B$5&amp;"生成成长"),4))/(VLOOKUP(CO$72,INDIRECT($C$5&amp;"生成成长"),5))*(VLOOKUP($B$5,标准坦克设计!$B$24:$U$30,MATCH("对"&amp;LEFT($C$5,2)&amp;"输出",标准坦克设计!$B$23:$U$23,0)))*(VLOOKUP($B200,INDIRECT($B$5&amp;"生成成长"),3))*(VLOOKUP($B$5,标准坦克设计!$B$14:$K$20,9)/30))</f>
        <v>13.279704296690108</v>
      </c>
      <c r="CP200" s="173">
        <f ca="1">(VLOOKUP(CP$72,INDIRECT($C$5&amp;"生成成长"),2))/((VLOOKUP($B200,INDIRECT($B$5&amp;"生成成长"),4))/(VLOOKUP(CP$72,INDIRECT($C$5&amp;"生成成长"),5))*(VLOOKUP($B$5,标准坦克设计!$B$24:$U$30,MATCH("对"&amp;LEFT($C$5,2)&amp;"输出",标准坦克设计!$B$23:$U$23,0)))*(VLOOKUP($B200,INDIRECT($B$5&amp;"生成成长"),3))*(VLOOKUP($B$5,标准坦克设计!$B$14:$K$20,9)/30))</f>
        <v>14.50919409990447</v>
      </c>
      <c r="CQ200" s="173">
        <f ca="1">(VLOOKUP(CQ$72,INDIRECT($C$5&amp;"生成成长"),2))/((VLOOKUP($B200,INDIRECT($B$5&amp;"生成成长"),4))/(VLOOKUP(CQ$72,INDIRECT($C$5&amp;"生成成长"),5))*(VLOOKUP($B$5,标准坦克设计!$B$24:$U$30,MATCH("对"&amp;LEFT($C$5,2)&amp;"输出",标准坦克设计!$B$23:$U$23,0)))*(VLOOKUP($B200,INDIRECT($B$5&amp;"生成成长"),3))*(VLOOKUP($B$5,标准坦克设计!$B$14:$K$20,9)/30))</f>
        <v>15.793107999035763</v>
      </c>
      <c r="CR200" s="173">
        <f ca="1">(VLOOKUP(CR$72,INDIRECT($C$5&amp;"生成成长"),2))/((VLOOKUP($B200,INDIRECT($B$5&amp;"生成成长"),4))/(VLOOKUP(CR$72,INDIRECT($C$5&amp;"生成成长"),5))*(VLOOKUP($B$5,标准坦克设计!$B$24:$U$30,MATCH("对"&amp;LEFT($C$5,2)&amp;"输出",标准坦克设计!$B$23:$U$23,0)))*(VLOOKUP($B200,INDIRECT($B$5&amp;"生成成长"),3))*(VLOOKUP($B$5,标准坦克设计!$B$14:$K$20,9)/30))</f>
        <v>17.131445994083993</v>
      </c>
      <c r="CS200" s="173">
        <f ca="1">(VLOOKUP(CS$72,INDIRECT($C$5&amp;"生成成长"),2))/((VLOOKUP($B200,INDIRECT($B$5&amp;"生成成长"),4))/(VLOOKUP(CS$72,INDIRECT($C$5&amp;"生成成长"),5))*(VLOOKUP($B$5,标准坦克设计!$B$24:$U$30,MATCH("对"&amp;LEFT($C$5,2)&amp;"输出",标准坦克设计!$B$23:$U$23,0)))*(VLOOKUP($B200,INDIRECT($B$5&amp;"生成成长"),3))*(VLOOKUP($B$5,标准坦克设计!$B$14:$K$20,9)/30))</f>
        <v>18.524208085049157</v>
      </c>
      <c r="CT200" s="173">
        <f ca="1">(VLOOKUP(CT$72,INDIRECT($C$5&amp;"生成成长"),2))/((VLOOKUP($B200,INDIRECT($B$5&amp;"生成成长"),4))/(VLOOKUP(CT$72,INDIRECT($C$5&amp;"生成成长"),5))*(VLOOKUP($B$5,标准坦克设计!$B$24:$U$30,MATCH("对"&amp;LEFT($C$5,2)&amp;"输出",标准坦克设计!$B$23:$U$23,0)))*(VLOOKUP($B200,INDIRECT($B$5&amp;"生成成长"),3))*(VLOOKUP($B$5,标准坦克设计!$B$14:$K$20,9)/30))</f>
        <v>19.971394271931249</v>
      </c>
      <c r="CU200" s="173">
        <f ca="1">(VLOOKUP(CU$72,INDIRECT($C$5&amp;"生成成长"),2))/((VLOOKUP($B200,INDIRECT($B$5&amp;"生成成长"),4))/(VLOOKUP(CU$72,INDIRECT($C$5&amp;"生成成长"),5))*(VLOOKUP($B$5,标准坦克设计!$B$24:$U$30,MATCH("对"&amp;LEFT($C$5,2)&amp;"输出",标准坦克设计!$B$23:$U$23,0)))*(VLOOKUP($B200,INDIRECT($B$5&amp;"生成成长"),3))*(VLOOKUP($B$5,标准坦克设计!$B$14:$K$20,9)/30))</f>
        <v>21.473004554730277</v>
      </c>
      <c r="CV200" s="173">
        <f ca="1">(VLOOKUP(CV$72,INDIRECT($C$5&amp;"生成成长"),2))/((VLOOKUP($B200,INDIRECT($B$5&amp;"生成成长"),4))/(VLOOKUP(CV$72,INDIRECT($C$5&amp;"生成成长"),5))*(VLOOKUP($B$5,标准坦克设计!$B$24:$U$30,MATCH("对"&amp;LEFT($C$5,2)&amp;"输出",标准坦克设计!$B$23:$U$23,0)))*(VLOOKUP($B200,INDIRECT($B$5&amp;"生成成长"),3))*(VLOOKUP($B$5,标准坦克设计!$B$14:$K$20,9)/30))</f>
        <v>23.029038933446241</v>
      </c>
      <c r="CW200" s="173">
        <f ca="1">(VLOOKUP(CW$72,INDIRECT($C$5&amp;"生成成长"),2))/((VLOOKUP($B200,INDIRECT($B$5&amp;"生成成长"),4))/(VLOOKUP(CW$72,INDIRECT($C$5&amp;"生成成长"),5))*(VLOOKUP($B$5,标准坦克设计!$B$24:$U$30,MATCH("对"&amp;LEFT($C$5,2)&amp;"输出",标准坦克设计!$B$23:$U$23,0)))*(VLOOKUP($B200,INDIRECT($B$5&amp;"生成成长"),3))*(VLOOKUP($B$5,标准坦克设计!$B$14:$K$20,9)/30))</f>
        <v>24.63949740807913</v>
      </c>
      <c r="CX200" s="173">
        <f ca="1">(VLOOKUP(CX$72,INDIRECT($C$5&amp;"生成成长"),2))/((VLOOKUP($B200,INDIRECT($B$5&amp;"生成成长"),4))/(VLOOKUP(CX$72,INDIRECT($C$5&amp;"生成成长"),5))*(VLOOKUP($B$5,标准坦克设计!$B$24:$U$30,MATCH("对"&amp;LEFT($C$5,2)&amp;"输出",标准坦克设计!$B$23:$U$23,0)))*(VLOOKUP($B200,INDIRECT($B$5&amp;"生成成长"),3))*(VLOOKUP($B$5,标准坦克设计!$B$14:$K$20,9)/30))</f>
        <v>26.304379978628965</v>
      </c>
      <c r="CY200" s="173">
        <f ca="1">(VLOOKUP(CY$72,INDIRECT($C$5&amp;"生成成长"),2))/((VLOOKUP($B200,INDIRECT($B$5&amp;"生成成长"),4))/(VLOOKUP(CY$72,INDIRECT($C$5&amp;"生成成长"),5))*(VLOOKUP($B$5,标准坦克设计!$B$24:$U$30,MATCH("对"&amp;LEFT($C$5,2)&amp;"输出",标准坦克设计!$B$23:$U$23,0)))*(VLOOKUP($B200,INDIRECT($B$5&amp;"生成成长"),3))*(VLOOKUP($B$5,标准坦克设计!$B$14:$K$20,9)/30))</f>
        <v>28.023686645095733</v>
      </c>
      <c r="CZ200" s="173">
        <f ca="1">(VLOOKUP(CZ$72,INDIRECT($C$5&amp;"生成成长"),2))/((VLOOKUP($B200,INDIRECT($B$5&amp;"生成成长"),4))/(VLOOKUP(CZ$72,INDIRECT($C$5&amp;"生成成长"),5))*(VLOOKUP($B$5,标准坦克设计!$B$24:$U$30,MATCH("对"&amp;LEFT($C$5,2)&amp;"输出",标准坦克设计!$B$23:$U$23,0)))*(VLOOKUP($B200,INDIRECT($B$5&amp;"生成成长"),3))*(VLOOKUP($B$5,标准坦克设计!$B$14:$K$20,9)/30))</f>
        <v>29.797417407479426</v>
      </c>
      <c r="DA200" s="173">
        <f ca="1">(VLOOKUP(DA$72,INDIRECT($C$5&amp;"生成成长"),2))/((VLOOKUP($B200,INDIRECT($B$5&amp;"生成成长"),4))/(VLOOKUP(DA$72,INDIRECT($C$5&amp;"生成成长"),5))*(VLOOKUP($B$5,标准坦克设计!$B$24:$U$30,MATCH("对"&amp;LEFT($C$5,2)&amp;"输出",标准坦克设计!$B$23:$U$23,0)))*(VLOOKUP($B200,INDIRECT($B$5&amp;"生成成长"),3))*(VLOOKUP($B$5,标准坦克设计!$B$14:$K$20,9)/30))</f>
        <v>31.625572265780054</v>
      </c>
      <c r="DB200" s="173">
        <f ca="1">(VLOOKUP(DB$72,INDIRECT($C$5&amp;"生成成长"),2))/((VLOOKUP($B200,INDIRECT($B$5&amp;"生成成长"),4))/(VLOOKUP(DB$72,INDIRECT($C$5&amp;"生成成长"),5))*(VLOOKUP($B$5,标准坦克设计!$B$24:$U$30,MATCH("对"&amp;LEFT($C$5,2)&amp;"输出",标准坦克设计!$B$23:$U$23,0)))*(VLOOKUP($B200,INDIRECT($B$5&amp;"生成成长"),3))*(VLOOKUP($B$5,标准坦克设计!$B$14:$K$20,9)/30))</f>
        <v>33.508151219997615</v>
      </c>
      <c r="DC200" s="173">
        <f ca="1">(VLOOKUP(DC$72,INDIRECT($C$5&amp;"生成成长"),2))/((VLOOKUP($B200,INDIRECT($B$5&amp;"生成成长"),4))/(VLOOKUP(DC$72,INDIRECT($C$5&amp;"生成成长"),5))*(VLOOKUP($B$5,标准坦克设计!$B$24:$U$30,MATCH("对"&amp;LEFT($C$5,2)&amp;"输出",标准坦克设计!$B$23:$U$23,0)))*(VLOOKUP($B200,INDIRECT($B$5&amp;"生成成长"),3))*(VLOOKUP($B$5,标准坦克设计!$B$14:$K$20,9)/30))</f>
        <v>35.623944172007988</v>
      </c>
      <c r="DD200" s="173">
        <f ca="1">(VLOOKUP(DD$72,INDIRECT($C$5&amp;"生成成长"),2))/((VLOOKUP($B200,INDIRECT($B$5&amp;"生成成长"),4))/(VLOOKUP(DD$72,INDIRECT($C$5&amp;"生成成长"),5))*(VLOOKUP($B$5,标准坦克设计!$B$24:$U$30,MATCH("对"&amp;LEFT($C$5,2)&amp;"输出",标准坦克设计!$B$23:$U$23,0)))*(VLOOKUP($B200,INDIRECT($B$5&amp;"生成成长"),3))*(VLOOKUP($B$5,标准坦克设计!$B$14:$K$20,9)/30))</f>
        <v>37.804506296018687</v>
      </c>
      <c r="DE200" s="173">
        <f ca="1">(VLOOKUP(DE$72,INDIRECT($C$5&amp;"生成成长"),2))/((VLOOKUP($B200,INDIRECT($B$5&amp;"生成成长"),4))/(VLOOKUP(DE$72,INDIRECT($C$5&amp;"生成成长"),5))*(VLOOKUP($B$5,标准坦克设计!$B$24:$U$30,MATCH("对"&amp;LEFT($C$5,2)&amp;"输出",标准坦克设计!$B$23:$U$23,0)))*(VLOOKUP($B200,INDIRECT($B$5&amp;"生成成长"),3))*(VLOOKUP($B$5,标准坦克设计!$B$14:$K$20,9)/30))</f>
        <v>40.049837592029697</v>
      </c>
      <c r="DF200" s="173">
        <f ca="1">(VLOOKUP(DF$72,INDIRECT($C$5&amp;"生成成长"),2))/((VLOOKUP($B200,INDIRECT($B$5&amp;"生成成长"),4))/(VLOOKUP(DF$72,INDIRECT($C$5&amp;"生成成长"),5))*(VLOOKUP($B$5,标准坦克设计!$B$24:$U$30,MATCH("对"&amp;LEFT($C$5,2)&amp;"输出",标准坦克设计!$B$23:$U$23,0)))*(VLOOKUP($B200,INDIRECT($B$5&amp;"生成成长"),3))*(VLOOKUP($B$5,标准坦克设计!$B$14:$K$20,9)/30))</f>
        <v>42.35993806004101</v>
      </c>
      <c r="DG200" s="173">
        <f ca="1">(VLOOKUP(DG$72,INDIRECT($C$5&amp;"生成成长"),2))/((VLOOKUP($B200,INDIRECT($B$5&amp;"生成成长"),4))/(VLOOKUP(DG$72,INDIRECT($C$5&amp;"生成成长"),5))*(VLOOKUP($B$5,标准坦克设计!$B$24:$U$30,MATCH("对"&amp;LEFT($C$5,2)&amp;"输出",标准坦克设计!$B$23:$U$23,0)))*(VLOOKUP($B200,INDIRECT($B$5&amp;"生成成长"),3))*(VLOOKUP($B$5,标准坦克设计!$B$14:$K$20,9)/30))</f>
        <v>44.734807700052656</v>
      </c>
      <c r="DH200" s="173">
        <f ca="1">(VLOOKUP(DH$72,INDIRECT($C$5&amp;"生成成长"),2))/((VLOOKUP($B200,INDIRECT($B$5&amp;"生成成长"),4))/(VLOOKUP(DH$72,INDIRECT($C$5&amp;"生成成长"),5))*(VLOOKUP($B$5,标准坦克设计!$B$24:$U$30,MATCH("对"&amp;LEFT($C$5,2)&amp;"输出",标准坦克设计!$B$23:$U$23,0)))*(VLOOKUP($B200,INDIRECT($B$5&amp;"生成成长"),3))*(VLOOKUP($B$5,标准坦克设计!$B$14:$K$20,9)/30))</f>
        <v>47.17444651206462</v>
      </c>
      <c r="DI200" s="173">
        <f ca="1">(VLOOKUP(DI$72,INDIRECT($C$5&amp;"生成成长"),2))/((VLOOKUP($B200,INDIRECT($B$5&amp;"生成成长"),4))/(VLOOKUP(DI$72,INDIRECT($C$5&amp;"生成成长"),5))*(VLOOKUP($B$5,标准坦克设计!$B$24:$U$30,MATCH("对"&amp;LEFT($C$5,2)&amp;"输出",标准坦克设计!$B$23:$U$23,0)))*(VLOOKUP($B200,INDIRECT($B$5&amp;"生成成长"),3))*(VLOOKUP($B$5,标准坦克设计!$B$14:$K$20,9)/30))</f>
        <v>49.678854496076902</v>
      </c>
      <c r="DJ200" s="173">
        <f ca="1">(VLOOKUP(DJ$72,INDIRECT($C$5&amp;"生成成长"),2))/((VLOOKUP($B200,INDIRECT($B$5&amp;"生成成长"),4))/(VLOOKUP(DJ$72,INDIRECT($C$5&amp;"生成成长"),5))*(VLOOKUP($B$5,标准坦克设计!$B$24:$U$30,MATCH("对"&amp;LEFT($C$5,2)&amp;"输出",标准坦克设计!$B$23:$U$23,0)))*(VLOOKUP($B200,INDIRECT($B$5&amp;"生成成长"),3))*(VLOOKUP($B$5,标准坦克设计!$B$14:$K$20,9)/30))</f>
        <v>4.9928485679828123</v>
      </c>
      <c r="DK200" s="173">
        <f ca="1">(VLOOKUP(DK$72,INDIRECT($C$5&amp;"生成成长"),2))/((VLOOKUP($B200,INDIRECT($B$5&amp;"生成成长"),4))/(VLOOKUP(DK$72,INDIRECT($C$5&amp;"生成成长"),5))*(VLOOKUP($B$5,标准坦克设计!$B$24:$U$30,MATCH("对"&amp;LEFT($C$5,2)&amp;"输出",标准坦克设计!$B$23:$U$23,0)))*(VLOOKUP($B200,INDIRECT($B$5&amp;"生成成长"),3))*(VLOOKUP($B$5,标准坦克设计!$B$14:$K$20,9)/30))</f>
        <v>5.61422781186086</v>
      </c>
      <c r="DL200" s="173">
        <f ca="1">(VLOOKUP(DL$72,INDIRECT($C$5&amp;"生成成长"),2))/((VLOOKUP($B200,INDIRECT($B$5&amp;"生成成长"),4))/(VLOOKUP(DL$72,INDIRECT($C$5&amp;"生成成长"),5))*(VLOOKUP($B$5,标准坦克设计!$B$24:$U$30,MATCH("对"&amp;LEFT($C$5,2)&amp;"输出",标准坦克设计!$B$23:$U$23,0)))*(VLOOKUP($B200,INDIRECT($B$5&amp;"生成成长"),3))*(VLOOKUP($B$5,标准坦克设计!$B$14:$K$20,9)/30))</f>
        <v>6.2720397149890843</v>
      </c>
      <c r="DM200" s="173">
        <f ca="1">(VLOOKUP(DM$72,INDIRECT($C$5&amp;"生成成长"),2))/((VLOOKUP($B200,INDIRECT($B$5&amp;"生成成长"),4))/(VLOOKUP(DM$72,INDIRECT($C$5&amp;"生成成长"),5))*(VLOOKUP($B$5,标准坦克设计!$B$24:$U$30,MATCH("对"&amp;LEFT($C$5,2)&amp;"输出",标准坦克设计!$B$23:$U$23,0)))*(VLOOKUP($B200,INDIRECT($B$5&amp;"生成成长"),3))*(VLOOKUP($B$5,标准坦克设计!$B$14:$K$20,9)/30))</f>
        <v>6.966284277367488</v>
      </c>
      <c r="DN200" s="173">
        <f ca="1">(VLOOKUP(DN$72,INDIRECT($C$5&amp;"生成成长"),2))/((VLOOKUP($B200,INDIRECT($B$5&amp;"生成成长"),4))/(VLOOKUP(DN$72,INDIRECT($C$5&amp;"生成成长"),5))*(VLOOKUP($B$5,标准坦克设计!$B$24:$U$30,MATCH("对"&amp;LEFT($C$5,2)&amp;"输出",标准坦克设计!$B$23:$U$23,0)))*(VLOOKUP($B200,INDIRECT($B$5&amp;"生成成长"),3))*(VLOOKUP($B$5,标准坦克设计!$B$14:$K$20,9)/30))</f>
        <v>7.6969614989960702</v>
      </c>
      <c r="DO200" s="173">
        <f ca="1">(VLOOKUP(DO$72,INDIRECT($C$5&amp;"生成成长"),2))/((VLOOKUP($B200,INDIRECT($B$5&amp;"生成成长"),4))/(VLOOKUP(DO$72,INDIRECT($C$5&amp;"生成成长"),5))*(VLOOKUP($B$5,标准坦克设计!$B$24:$U$30,MATCH("对"&amp;LEFT($C$5,2)&amp;"输出",标准坦克设计!$B$23:$U$23,0)))*(VLOOKUP($B200,INDIRECT($B$5&amp;"生成成长"),3))*(VLOOKUP($B$5,标准坦克设计!$B$14:$K$20,9)/30))</f>
        <v>8.4640713798748308</v>
      </c>
      <c r="DP200" s="173">
        <f ca="1">(VLOOKUP(DP$72,INDIRECT($C$5&amp;"生成成长"),2))/((VLOOKUP($B200,INDIRECT($B$5&amp;"生成成长"),4))/(VLOOKUP(DP$72,INDIRECT($C$5&amp;"生成成长"),5))*(VLOOKUP($B$5,标准坦克设计!$B$24:$U$30,MATCH("对"&amp;LEFT($C$5,2)&amp;"输出",标准坦克设计!$B$23:$U$23,0)))*(VLOOKUP($B200,INDIRECT($B$5&amp;"生成成长"),3))*(VLOOKUP($B$5,标准坦克设计!$B$14:$K$20,9)/30))</f>
        <v>9.2676139200037717</v>
      </c>
      <c r="DQ200" s="173">
        <f ca="1">(VLOOKUP(DQ$72,INDIRECT($C$5&amp;"生成成长"),2))/((VLOOKUP($B200,INDIRECT($B$5&amp;"生成成长"),4))/(VLOOKUP(DQ$72,INDIRECT($C$5&amp;"生成成长"),5))*(VLOOKUP($B$5,标准坦克设计!$B$24:$U$30,MATCH("对"&amp;LEFT($C$5,2)&amp;"输出",标准坦克设计!$B$23:$U$23,0)))*(VLOOKUP($B200,INDIRECT($B$5&amp;"生成成长"),3))*(VLOOKUP($B$5,标准坦克设计!$B$14:$K$20,9)/30))</f>
        <v>10.10758911938289</v>
      </c>
      <c r="DR200" s="173">
        <f ca="1">(VLOOKUP(DR$72,INDIRECT($C$5&amp;"生成成长"),2))/((VLOOKUP($B200,INDIRECT($B$5&amp;"生成成长"),4))/(VLOOKUP(DR$72,INDIRECT($C$5&amp;"生成成长"),5))*(VLOOKUP($B$5,标准坦克设计!$B$24:$U$30,MATCH("对"&amp;LEFT($C$5,2)&amp;"输出",标准坦克设计!$B$23:$U$23,0)))*(VLOOKUP($B200,INDIRECT($B$5&amp;"生成成长"),3))*(VLOOKUP($B$5,标准坦克设计!$B$14:$K$20,9)/30))</f>
        <v>10.983996978012186</v>
      </c>
      <c r="DS200" s="173">
        <f ca="1">(VLOOKUP(DS$72,INDIRECT($C$5&amp;"生成成长"),2))/((VLOOKUP($B200,INDIRECT($B$5&amp;"生成成长"),4))/(VLOOKUP(DS$72,INDIRECT($C$5&amp;"生成成长"),5))*(VLOOKUP($B$5,标准坦克设计!$B$24:$U$30,MATCH("对"&amp;LEFT($C$5,2)&amp;"输出",标准坦克设计!$B$23:$U$23,0)))*(VLOOKUP($B200,INDIRECT($B$5&amp;"生成成长"),3))*(VLOOKUP($B$5,标准坦克设计!$B$14:$K$20,9)/30))</f>
        <v>11.896837495891662</v>
      </c>
      <c r="DT200" s="173">
        <f ca="1">(VLOOKUP(DT$72,INDIRECT($C$5&amp;"生成成长"),2))/((VLOOKUP($B200,INDIRECT($B$5&amp;"生成成长"),4))/(VLOOKUP(DT$72,INDIRECT($C$5&amp;"生成成长"),5))*(VLOOKUP($B$5,标准坦克设计!$B$24:$U$30,MATCH("对"&amp;LEFT($C$5,2)&amp;"输出",标准坦克设计!$B$23:$U$23,0)))*(VLOOKUP($B200,INDIRECT($B$5&amp;"生成成长"),3))*(VLOOKUP($B$5,标准坦克设计!$B$14:$K$20,9)/30))</f>
        <v>13.062007913022374</v>
      </c>
      <c r="DU200" s="173">
        <f ca="1">(VLOOKUP(DU$72,INDIRECT($C$5&amp;"生成成长"),2))/((VLOOKUP($B200,INDIRECT($B$5&amp;"生成成长"),4))/(VLOOKUP(DU$72,INDIRECT($C$5&amp;"生成成长"),5))*(VLOOKUP($B$5,标准坦克设计!$B$24:$U$30,MATCH("对"&amp;LEFT($C$5,2)&amp;"输出",标准坦克设计!$B$23:$U$23,0)))*(VLOOKUP($B200,INDIRECT($B$5&amp;"生成成长"),3))*(VLOOKUP($B$5,标准坦克设计!$B$14:$K$20,9)/30))</f>
        <v>14.281602426070018</v>
      </c>
      <c r="DV200" s="173">
        <f ca="1">(VLOOKUP(DV$72,INDIRECT($C$5&amp;"生成成长"),2))/((VLOOKUP($B200,INDIRECT($B$5&amp;"生成成长"),4))/(VLOOKUP(DV$72,INDIRECT($C$5&amp;"生成成长"),5))*(VLOOKUP($B$5,标准坦克设计!$B$24:$U$30,MATCH("对"&amp;LEFT($C$5,2)&amp;"输出",标准坦克设计!$B$23:$U$23,0)))*(VLOOKUP($B200,INDIRECT($B$5&amp;"生成成长"),3))*(VLOOKUP($B$5,标准坦克设计!$B$14:$K$20,9)/30))</f>
        <v>15.555621035034603</v>
      </c>
      <c r="DW200" s="173">
        <f ca="1">(VLOOKUP(DW$72,INDIRECT($C$5&amp;"生成成长"),2))/((VLOOKUP($B200,INDIRECT($B$5&amp;"生成成长"),4))/(VLOOKUP(DW$72,INDIRECT($C$5&amp;"生成成长"),5))*(VLOOKUP($B$5,标准坦克设计!$B$24:$U$30,MATCH("对"&amp;LEFT($C$5,2)&amp;"输出",标准坦克设计!$B$23:$U$23,0)))*(VLOOKUP($B200,INDIRECT($B$5&amp;"生成成长"),3))*(VLOOKUP($B$5,标准坦克设计!$B$14:$K$20,9)/30))</f>
        <v>16.884063739916112</v>
      </c>
      <c r="DX200" s="173">
        <f ca="1">(VLOOKUP(DX$72,INDIRECT($C$5&amp;"生成成长"),2))/((VLOOKUP($B200,INDIRECT($B$5&amp;"生成成长"),4))/(VLOOKUP(DX$72,INDIRECT($C$5&amp;"生成成长"),5))*(VLOOKUP($B$5,标准坦克设计!$B$24:$U$30,MATCH("对"&amp;LEFT($C$5,2)&amp;"输出",标准坦克设计!$B$23:$U$23,0)))*(VLOOKUP($B200,INDIRECT($B$5&amp;"生成成长"),3))*(VLOOKUP($B$5,标准坦克设计!$B$14:$K$20,9)/30))</f>
        <v>18.266930540714561</v>
      </c>
      <c r="DY200" s="173">
        <f ca="1">(VLOOKUP(DY$72,INDIRECT($C$5&amp;"生成成长"),2))/((VLOOKUP($B200,INDIRECT($B$5&amp;"生成成长"),4))/(VLOOKUP(DY$72,INDIRECT($C$5&amp;"生成成长"),5))*(VLOOKUP($B$5,标准坦克设计!$B$24:$U$30,MATCH("对"&amp;LEFT($C$5,2)&amp;"输出",标准坦克设计!$B$23:$U$23,0)))*(VLOOKUP($B200,INDIRECT($B$5&amp;"生成成长"),3))*(VLOOKUP($B$5,标准坦克设计!$B$14:$K$20,9)/30))</f>
        <v>8.2043200129985578</v>
      </c>
      <c r="DZ200" s="173">
        <f ca="1">(VLOOKUP(DZ$72,INDIRECT($C$5&amp;"生成成长"),2))/((VLOOKUP($B200,INDIRECT($B$5&amp;"生成成长"),4))/(VLOOKUP(DZ$72,INDIRECT($C$5&amp;"生成成长"),5))*(VLOOKUP($B$5,标准坦克设计!$B$24:$U$30,MATCH("对"&amp;LEFT($C$5,2)&amp;"输出",标准坦克设计!$B$23:$U$23,0)))*(VLOOKUP($B200,INDIRECT($B$5&amp;"生成成长"),3))*(VLOOKUP($B$5,标准坦克设计!$B$14:$K$20,9)/30))</f>
        <v>9.0859004096695468</v>
      </c>
      <c r="EA200" s="173">
        <f ca="1">(VLOOKUP(EA$72,INDIRECT($C$5&amp;"生成成长"),2))/((VLOOKUP($B200,INDIRECT($B$5&amp;"生成成长"),4))/(VLOOKUP(EA$72,INDIRECT($C$5&amp;"生成成长"),5))*(VLOOKUP($B$5,标准坦克设计!$B$24:$U$30,MATCH("对"&amp;LEFT($C$5,2)&amp;"输出",标准坦克设计!$B$23:$U$23,0)))*(VLOOKUP($B200,INDIRECT($B$5&amp;"生成成长"),3))*(VLOOKUP($B$5,标准坦克设计!$B$14:$K$20,9)/30))</f>
        <v>10.012459398007424</v>
      </c>
      <c r="EB200" s="173">
        <f ca="1">(VLOOKUP(EB$72,INDIRECT($C$5&amp;"生成成长"),2))/((VLOOKUP($B200,INDIRECT($B$5&amp;"生成成长"),4))/(VLOOKUP(EB$72,INDIRECT($C$5&amp;"生成成长"),5))*(VLOOKUP($B$5,标准坦克设计!$B$24:$U$30,MATCH("对"&amp;LEFT($C$5,2)&amp;"输出",标准坦克设计!$B$23:$U$23,0)))*(VLOOKUP($B200,INDIRECT($B$5&amp;"生成成长"),3))*(VLOOKUP($B$5,标准坦克设计!$B$14:$K$20,9)/30))</f>
        <v>10.983996978012186</v>
      </c>
      <c r="EC200" s="173">
        <f ca="1">(VLOOKUP(EC$72,INDIRECT($C$5&amp;"生成成长"),2))/((VLOOKUP($B200,INDIRECT($B$5&amp;"生成成长"),4))/(VLOOKUP(EC$72,INDIRECT($C$5&amp;"生成成长"),5))*(VLOOKUP($B$5,标准坦克设计!$B$24:$U$30,MATCH("对"&amp;LEFT($C$5,2)&amp;"输出",标准坦克设计!$B$23:$U$23,0)))*(VLOOKUP($B200,INDIRECT($B$5&amp;"生成成长"),3))*(VLOOKUP($B$5,标准坦克设计!$B$14:$K$20,9)/30))</f>
        <v>12.000513149683835</v>
      </c>
      <c r="ED200" s="173">
        <f ca="1">(VLOOKUP(ED$72,INDIRECT($C$5&amp;"生成成长"),2))/((VLOOKUP($B200,INDIRECT($B$5&amp;"生成成长"),4))/(VLOOKUP(ED$72,INDIRECT($C$5&amp;"生成成长"),5))*(VLOOKUP($B$5,标准坦克设计!$B$24:$U$30,MATCH("对"&amp;LEFT($C$5,2)&amp;"输出",标准坦克设计!$B$23:$U$23,0)))*(VLOOKUP($B200,INDIRECT($B$5&amp;"生成成长"),3))*(VLOOKUP($B$5,标准坦克设计!$B$14:$K$20,9)/30))</f>
        <v>13.062007913022374</v>
      </c>
      <c r="EE200" s="173">
        <f ca="1">(VLOOKUP(EE$72,INDIRECT($C$5&amp;"生成成长"),2))/((VLOOKUP($B200,INDIRECT($B$5&amp;"生成成长"),4))/(VLOOKUP(EE$72,INDIRECT($C$5&amp;"生成成长"),5))*(VLOOKUP($B$5,标准坦克设计!$B$24:$U$30,MATCH("对"&amp;LEFT($C$5,2)&amp;"输出",标准坦克设计!$B$23:$U$23,0)))*(VLOOKUP($B200,INDIRECT($B$5&amp;"生成成长"),3))*(VLOOKUP($B$5,标准坦克设计!$B$14:$K$20,9)/30))</f>
        <v>14.168481268027801</v>
      </c>
      <c r="EF200" s="173">
        <f ca="1">(VLOOKUP(EF$72,INDIRECT($C$5&amp;"生成成长"),2))/((VLOOKUP($B200,INDIRECT($B$5&amp;"生成成长"),4))/(VLOOKUP(EF$72,INDIRECT($C$5&amp;"生成成长"),5))*(VLOOKUP($B$5,标准坦克设计!$B$24:$U$30,MATCH("对"&amp;LEFT($C$5,2)&amp;"输出",标准坦克设计!$B$23:$U$23,0)))*(VLOOKUP($B200,INDIRECT($B$5&amp;"生成成长"),3))*(VLOOKUP($B$5,标准坦克设计!$B$14:$K$20,9)/30))</f>
        <v>15.319933214700111</v>
      </c>
      <c r="EG200" s="173">
        <f ca="1">(VLOOKUP(EG$72,INDIRECT($C$5&amp;"生成成长"),2))/((VLOOKUP($B200,INDIRECT($B$5&amp;"生成成长"),4))/(VLOOKUP(EG$72,INDIRECT($C$5&amp;"生成成长"),5))*(VLOOKUP($B$5,标准坦克设计!$B$24:$U$30,MATCH("对"&amp;LEFT($C$5,2)&amp;"输出",标准坦克设计!$B$23:$U$23,0)))*(VLOOKUP($B200,INDIRECT($B$5&amp;"生成成长"),3))*(VLOOKUP($B$5,标准坦克设计!$B$14:$K$20,9)/30))</f>
        <v>16.516363753039311</v>
      </c>
      <c r="EH200" s="173">
        <f ca="1">(VLOOKUP(EH$72,INDIRECT($C$5&amp;"生成成长"),2))/((VLOOKUP($B200,INDIRECT($B$5&amp;"生成成长"),4))/(VLOOKUP(EH$72,INDIRECT($C$5&amp;"生成成长"),5))*(VLOOKUP($B$5,标准坦克设计!$B$24:$U$30,MATCH("对"&amp;LEFT($C$5,2)&amp;"输出",标准坦克设计!$B$23:$U$23,0)))*(VLOOKUP($B200,INDIRECT($B$5&amp;"生成成长"),3))*(VLOOKUP($B$5,标准坦克设计!$B$14:$K$20,9)/30))</f>
        <v>17.757772883045394</v>
      </c>
      <c r="EI200" s="173">
        <f ca="1">(VLOOKUP(EI$72,INDIRECT($C$5&amp;"生成成长"),2))/((VLOOKUP($B200,INDIRECT($B$5&amp;"生成成长"),4))/(VLOOKUP(EI$72,INDIRECT($C$5&amp;"生成成长"),5))*(VLOOKUP($B$5,标准坦克设计!$B$24:$U$30,MATCH("对"&amp;LEFT($C$5,2)&amp;"输出",标准坦克设计!$B$23:$U$23,0)))*(VLOOKUP($B200,INDIRECT($B$5&amp;"生成成长"),3))*(VLOOKUP($B$5,标准坦克设计!$B$14:$K$20,9)/30))</f>
        <v>19.044160604718371</v>
      </c>
      <c r="EJ200" s="173">
        <f ca="1">(VLOOKUP(EJ$72,INDIRECT($C$5&amp;"生成成长"),2))/((VLOOKUP($B200,INDIRECT($B$5&amp;"生成成长"),4))/(VLOOKUP(EJ$72,INDIRECT($C$5&amp;"生成成长"),5))*(VLOOKUP($B$5,标准坦克设计!$B$24:$U$30,MATCH("对"&amp;LEFT($C$5,2)&amp;"输出",标准坦克设计!$B$23:$U$23,0)))*(VLOOKUP($B200,INDIRECT($B$5&amp;"生成成长"),3))*(VLOOKUP($B$5,标准坦克设计!$B$14:$K$20,9)/30))</f>
        <v>20.375526918058227</v>
      </c>
      <c r="EK200" s="173">
        <f ca="1">(VLOOKUP(EK$72,INDIRECT($C$5&amp;"生成成长"),2))/((VLOOKUP($B200,INDIRECT($B$5&amp;"生成成长"),4))/(VLOOKUP(EK$72,INDIRECT($C$5&amp;"生成成长"),5))*(VLOOKUP($B$5,标准坦克设计!$B$24:$U$30,MATCH("对"&amp;LEFT($C$5,2)&amp;"输出",标准坦克设计!$B$23:$U$23,0)))*(VLOOKUP($B200,INDIRECT($B$5&amp;"生成成长"),3))*(VLOOKUP($B$5,标准坦克设计!$B$14:$K$20,9)/30))</f>
        <v>22.032538235066358</v>
      </c>
      <c r="EL200" s="173">
        <f ca="1">(VLOOKUP(EL$72,INDIRECT($C$5&amp;"生成成长"),2))/((VLOOKUP($B200,INDIRECT($B$5&amp;"生成成长"),4))/(VLOOKUP(EL$72,INDIRECT($C$5&amp;"生成成长"),5))*(VLOOKUP($B$5,标准坦克设计!$B$24:$U$30,MATCH("对"&amp;LEFT($C$5,2)&amp;"输出",标准坦克设计!$B$23:$U$23,0)))*(VLOOKUP($B200,INDIRECT($B$5&amp;"生成成长"),3))*(VLOOKUP($B$5,标准坦克设计!$B$14:$K$20,9)/30))</f>
        <v>23.754318724074796</v>
      </c>
      <c r="EM200" s="173">
        <f ca="1">(VLOOKUP(EM$72,INDIRECT($C$5&amp;"生成成长"),2))/((VLOOKUP($B200,INDIRECT($B$5&amp;"生成成长"),4))/(VLOOKUP(EM$72,INDIRECT($C$5&amp;"生成成长"),5))*(VLOOKUP($B$5,标准坦克设计!$B$24:$U$30,MATCH("对"&amp;LEFT($C$5,2)&amp;"输出",标准坦克设计!$B$23:$U$23,0)))*(VLOOKUP($B200,INDIRECT($B$5&amp;"生成成长"),3))*(VLOOKUP($B$5,标准坦克设计!$B$14:$K$20,9)/30))</f>
        <v>25.540868385083556</v>
      </c>
      <c r="EN200" s="173">
        <f ca="1">(VLOOKUP(EN$72,INDIRECT($C$5&amp;"生成成长"),2))/((VLOOKUP($B200,INDIRECT($B$5&amp;"生成成长"),4))/(VLOOKUP(EN$72,INDIRECT($C$5&amp;"生成成长"),5))*(VLOOKUP($B$5,标准坦克设计!$B$24:$U$30,MATCH("对"&amp;LEFT($C$5,2)&amp;"输出",标准坦克设计!$B$23:$U$23,0)))*(VLOOKUP($B200,INDIRECT($B$5&amp;"生成成长"),3))*(VLOOKUP($B$5,标准坦克设计!$B$14:$K$20,9)/30))</f>
        <v>27.392187218092634</v>
      </c>
      <c r="EO200" s="173">
        <f ca="1">(VLOOKUP(EO$72,INDIRECT($C$5&amp;"生成成长"),2))/((VLOOKUP($B200,INDIRECT($B$5&amp;"生成成长"),4))/(VLOOKUP(EO$72,INDIRECT($C$5&amp;"生成成长"),5))*(VLOOKUP($B$5,标准坦克设计!$B$24:$U$30,MATCH("对"&amp;LEFT($C$5,2)&amp;"输出",标准坦克设计!$B$23:$U$23,0)))*(VLOOKUP($B200,INDIRECT($B$5&amp;"生成成长"),3))*(VLOOKUP($B$5,标准坦克设计!$B$14:$K$20,9)/30))</f>
        <v>29.308275223102026</v>
      </c>
      <c r="EP200" s="173">
        <f ca="1">(VLOOKUP(EP$72,INDIRECT($C$5&amp;"生成成长"),2))/((VLOOKUP($B200,INDIRECT($B$5&amp;"生成成长"),4))/(VLOOKUP(EP$72,INDIRECT($C$5&amp;"生成成长"),5))*(VLOOKUP($B$5,标准坦克设计!$B$24:$U$30,MATCH("对"&amp;LEFT($C$5,2)&amp;"输出",标准坦克设计!$B$23:$U$23,0)))*(VLOOKUP($B200,INDIRECT($B$5&amp;"生成成长"),3))*(VLOOKUP($B$5,标准坦克设计!$B$14:$K$20,9)/30))</f>
        <v>31.289132400111736</v>
      </c>
      <c r="EQ200" s="173">
        <f ca="1">(VLOOKUP(EQ$72,INDIRECT($C$5&amp;"生成成长"),2))/((VLOOKUP($B200,INDIRECT($B$5&amp;"生成成长"),4))/(VLOOKUP(EQ$72,INDIRECT($C$5&amp;"生成成长"),5))*(VLOOKUP($B$5,标准坦克设计!$B$24:$U$30,MATCH("对"&amp;LEFT($C$5,2)&amp;"输出",标准坦克设计!$B$23:$U$23,0)))*(VLOOKUP($B200,INDIRECT($B$5&amp;"生成成长"),3))*(VLOOKUP($B$5,标准坦克设计!$B$14:$K$20,9)/30))</f>
        <v>13.831816509401147</v>
      </c>
      <c r="ER200" s="173">
        <f ca="1">(VLOOKUP(ER$72,INDIRECT($C$5&amp;"生成成长"),2))/((VLOOKUP($B200,INDIRECT($B$5&amp;"生成成长"),4))/(VLOOKUP(ER$72,INDIRECT($C$5&amp;"生成成长"),5))*(VLOOKUP($B$5,标准坦克设计!$B$24:$U$30,MATCH("对"&amp;LEFT($C$5,2)&amp;"输出",标准坦克设计!$B$23:$U$23,0)))*(VLOOKUP($B200,INDIRECT($B$5&amp;"生成成长"),3))*(VLOOKUP($B$5,标准坦克设计!$B$14:$K$20,9)/30))</f>
        <v>15.086044538032299</v>
      </c>
      <c r="ES200" s="173">
        <f ca="1">(VLOOKUP(ES$72,INDIRECT($C$5&amp;"生成成长"),2))/((VLOOKUP($B200,INDIRECT($B$5&amp;"生成成长"),4))/(VLOOKUP(ES$72,INDIRECT($C$5&amp;"生成成长"),5))*(VLOOKUP($B$5,标准坦克设计!$B$24:$U$30,MATCH("对"&amp;LEFT($C$5,2)&amp;"输出",标准坦克设计!$B$23:$U$23,0)))*(VLOOKUP($B200,INDIRECT($B$5&amp;"生成成长"),3))*(VLOOKUP($B$5,标准坦克设计!$B$14:$K$20,9)/30))</f>
        <v>16.39469666258038</v>
      </c>
      <c r="ET200" s="173">
        <f ca="1">(VLOOKUP(ET$72,INDIRECT($C$5&amp;"生成成长"),2))/((VLOOKUP($B200,INDIRECT($B$5&amp;"生成成长"),4))/(VLOOKUP(ET$72,INDIRECT($C$5&amp;"生成成长"),5))*(VLOOKUP($B$5,标准坦克设计!$B$24:$U$30,MATCH("对"&amp;LEFT($C$5,2)&amp;"输出",标准坦克设计!$B$23:$U$23,0)))*(VLOOKUP($B200,INDIRECT($B$5&amp;"生成成长"),3))*(VLOOKUP($B$5,标准坦克设计!$B$14:$K$20,9)/30))</f>
        <v>17.757772883045394</v>
      </c>
      <c r="EU200" s="173">
        <f ca="1">(VLOOKUP(EU$72,INDIRECT($C$5&amp;"生成成长"),2))/((VLOOKUP($B200,INDIRECT($B$5&amp;"生成成长"),4))/(VLOOKUP(EU$72,INDIRECT($C$5&amp;"生成成长"),5))*(VLOOKUP($B$5,标准坦克设计!$B$24:$U$30,MATCH("对"&amp;LEFT($C$5,2)&amp;"输出",标准坦克设计!$B$23:$U$23,0)))*(VLOOKUP($B200,INDIRECT($B$5&amp;"生成成长"),3))*(VLOOKUP($B$5,标准坦克设计!$B$14:$K$20,9)/30))</f>
        <v>19.175273199427348</v>
      </c>
      <c r="EV200" s="173">
        <f ca="1">(VLOOKUP(EV$72,INDIRECT($C$5&amp;"生成成长"),2))/((VLOOKUP($B200,INDIRECT($B$5&amp;"生成成长"),4))/(VLOOKUP(EV$72,INDIRECT($C$5&amp;"生成成长"),5))*(VLOOKUP($B$5,标准坦克设计!$B$24:$U$30,MATCH("对"&amp;LEFT($C$5,2)&amp;"输出",标准坦克设计!$B$23:$U$23,0)))*(VLOOKUP($B200,INDIRECT($B$5&amp;"生成成长"),3))*(VLOOKUP($B$5,标准坦克设计!$B$14:$K$20,9)/30))</f>
        <v>20.647197611726231</v>
      </c>
      <c r="EW200" s="173">
        <f ca="1">(VLOOKUP(EW$72,INDIRECT($C$5&amp;"生成成长"),2))/((VLOOKUP($B200,INDIRECT($B$5&amp;"生成成长"),4))/(VLOOKUP(EW$72,INDIRECT($C$5&amp;"生成成长"),5))*(VLOOKUP($B$5,标准坦克设计!$B$24:$U$30,MATCH("对"&amp;LEFT($C$5,2)&amp;"输出",标准坦克设计!$B$23:$U$23,0)))*(VLOOKUP($B200,INDIRECT($B$5&amp;"生成成长"),3))*(VLOOKUP($B$5,标准坦克设计!$B$14:$K$20,9)/30))</f>
        <v>22.173546119942049</v>
      </c>
      <c r="EX200" s="173">
        <f ca="1">(VLOOKUP(EX$72,INDIRECT($C$5&amp;"生成成长"),2))/((VLOOKUP($B200,INDIRECT($B$5&amp;"生成成长"),4))/(VLOOKUP(EX$72,INDIRECT($C$5&amp;"生成成长"),5))*(VLOOKUP($B$5,标准坦克设计!$B$24:$U$30,MATCH("对"&amp;LEFT($C$5,2)&amp;"输出",标准坦克设计!$B$23:$U$23,0)))*(VLOOKUP($B200,INDIRECT($B$5&amp;"生成成长"),3))*(VLOOKUP($B$5,标准坦克设计!$B$14:$K$20,9)/30))</f>
        <v>23.754318724074796</v>
      </c>
      <c r="EY200" s="173">
        <f ca="1">(VLOOKUP(EY$72,INDIRECT($C$5&amp;"生成成长"),2))/((VLOOKUP($B200,INDIRECT($B$5&amp;"生成成长"),4))/(VLOOKUP(EY$72,INDIRECT($C$5&amp;"生成成长"),5))*(VLOOKUP($B$5,标准坦克设计!$B$24:$U$30,MATCH("对"&amp;LEFT($C$5,2)&amp;"输出",标准坦克设计!$B$23:$U$23,0)))*(VLOOKUP($B200,INDIRECT($B$5&amp;"生成成长"),3))*(VLOOKUP($B$5,标准坦克设计!$B$14:$K$20,9)/30))</f>
        <v>25.389515424124482</v>
      </c>
      <c r="EZ200" s="173">
        <f ca="1">(VLOOKUP(EZ$72,INDIRECT($C$5&amp;"生成成长"),2))/((VLOOKUP($B200,INDIRECT($B$5&amp;"生成成长"),4))/(VLOOKUP(EZ$72,INDIRECT($C$5&amp;"生成成长"),5))*(VLOOKUP($B$5,标准坦克设计!$B$24:$U$30,MATCH("对"&amp;LEFT($C$5,2)&amp;"输出",标准坦克设计!$B$23:$U$23,0)))*(VLOOKUP($B200,INDIRECT($B$5&amp;"生成成长"),3))*(VLOOKUP($B$5,标准坦克设计!$B$14:$K$20,9)/30))</f>
        <v>27.079136220091101</v>
      </c>
      <c r="FA200" s="173">
        <f ca="1">(VLOOKUP(FA$72,INDIRECT($C$5&amp;"生成成长"),2))/((VLOOKUP($B200,INDIRECT($B$5&amp;"生成成长"),4))/(VLOOKUP(FA$72,INDIRECT($C$5&amp;"生成成长"),5))*(VLOOKUP($B$5,标准坦克设计!$B$24:$U$30,MATCH("对"&amp;LEFT($C$5,2)&amp;"输出",标准坦克设计!$B$23:$U$23,0)))*(VLOOKUP($B200,INDIRECT($B$5&amp;"生成成长"),3))*(VLOOKUP($B$5,标准坦克设计!$B$14:$K$20,9)/30))</f>
        <v>28.823181111974645</v>
      </c>
      <c r="FB200" s="173">
        <f ca="1">(VLOOKUP(FB$72,INDIRECT($C$5&amp;"生成成长"),2))/((VLOOKUP($B200,INDIRECT($B$5&amp;"生成成长"),4))/(VLOOKUP(FB$72,INDIRECT($C$5&amp;"生成成长"),5))*(VLOOKUP($B$5,标准坦克设计!$B$24:$U$30,MATCH("对"&amp;LEFT($C$5,2)&amp;"输出",标准坦克设计!$B$23:$U$23,0)))*(VLOOKUP($B200,INDIRECT($B$5&amp;"生成成长"),3))*(VLOOKUP($B$5,标准坦克设计!$B$14:$K$20,9)/30))</f>
        <v>30.621650099775135</v>
      </c>
      <c r="FC200" s="173">
        <f ca="1">(VLOOKUP(FC$72,INDIRECT($C$5&amp;"生成成长"),2))/((VLOOKUP($B200,INDIRECT($B$5&amp;"生成成长"),4))/(VLOOKUP(FC$72,INDIRECT($C$5&amp;"生成成长"),5))*(VLOOKUP($B$5,标准坦克设计!$B$24:$U$30,MATCH("对"&amp;LEFT($C$5,2)&amp;"输出",标准坦克设计!$B$23:$U$23,0)))*(VLOOKUP($B200,INDIRECT($B$5&amp;"生成成长"),3))*(VLOOKUP($B$5,标准坦克设计!$B$14:$K$20,9)/30))</f>
        <v>32.47454318349255</v>
      </c>
      <c r="FD200" s="173">
        <f ca="1">(VLOOKUP(FD$72,INDIRECT($C$5&amp;"生成成长"),2))/((VLOOKUP($B200,INDIRECT($B$5&amp;"生成成长"),4))/(VLOOKUP(FD$72,INDIRECT($C$5&amp;"生成成长"),5))*(VLOOKUP($B$5,标准坦克设计!$B$24:$U$30,MATCH("对"&amp;LEFT($C$5,2)&amp;"输出",标准坦克设计!$B$23:$U$23,0)))*(VLOOKUP($B200,INDIRECT($B$5&amp;"生成成长"),3))*(VLOOKUP($B$5,标准坦克设计!$B$14:$K$20,9)/30))</f>
        <v>34.381860363126904</v>
      </c>
      <c r="FE200" s="173">
        <f ca="1">(VLOOKUP(FE$72,INDIRECT($C$5&amp;"生成成长"),2))/((VLOOKUP($B200,INDIRECT($B$5&amp;"生成成长"),4))/(VLOOKUP(FE$72,INDIRECT($C$5&amp;"生成成长"),5))*(VLOOKUP($B$5,标准坦克设计!$B$24:$U$30,MATCH("对"&amp;LEFT($C$5,2)&amp;"输出",标准坦克设计!$B$23:$U$23,0)))*(VLOOKUP($B200,INDIRECT($B$5&amp;"生成成长"),3))*(VLOOKUP($B$5,标准坦克设计!$B$14:$K$20,9)/30))</f>
        <v>36.706129087513297</v>
      </c>
      <c r="FF200" s="173">
        <f ca="1">(VLOOKUP(FF$72,INDIRECT($C$5&amp;"生成成长"),2))/((VLOOKUP($B200,INDIRECT($B$5&amp;"生成成长"),4))/(VLOOKUP(FF$72,INDIRECT($C$5&amp;"生成成长"),5))*(VLOOKUP($B$5,标准坦克设计!$B$24:$U$30,MATCH("对"&amp;LEFT($C$5,2)&amp;"输出",标准坦克设计!$B$23:$U$23,0)))*(VLOOKUP($B200,INDIRECT($B$5&amp;"生成成长"),3))*(VLOOKUP($B$5,标准坦克设计!$B$14:$K$20,9)/30))</f>
        <v>39.106411631816734</v>
      </c>
      <c r="FG200" s="173">
        <f ca="1">(VLOOKUP(FG$72,INDIRECT($C$5&amp;"生成成长"),2))/((VLOOKUP($B200,INDIRECT($B$5&amp;"生成成长"),4))/(VLOOKUP(FG$72,INDIRECT($C$5&amp;"生成成长"),5))*(VLOOKUP($B$5,标准坦克设计!$B$24:$U$30,MATCH("对"&amp;LEFT($C$5,2)&amp;"输出",标准坦克设计!$B$23:$U$23,0)))*(VLOOKUP($B200,INDIRECT($B$5&amp;"生成成长"),3))*(VLOOKUP($B$5,标准坦克设计!$B$14:$K$20,9)/30))</f>
        <v>41.582707996037207</v>
      </c>
      <c r="FH200" s="173">
        <f ca="1">(VLOOKUP(FH$72,INDIRECT($C$5&amp;"生成成长"),2))/((VLOOKUP($B200,INDIRECT($B$5&amp;"生成成长"),4))/(VLOOKUP(FH$72,INDIRECT($C$5&amp;"生成成长"),5))*(VLOOKUP($B$5,标准坦克设计!$B$24:$U$30,MATCH("对"&amp;LEFT($C$5,2)&amp;"输出",标准坦克设计!$B$23:$U$23,0)))*(VLOOKUP($B200,INDIRECT($B$5&amp;"生成成长"),3))*(VLOOKUP($B$5,标准坦克设计!$B$14:$K$20,9)/30))</f>
        <v>44.135018180174725</v>
      </c>
      <c r="FI200" s="173">
        <f ca="1">(VLOOKUP(FI$72,INDIRECT($C$5&amp;"生成成长"),2))/((VLOOKUP($B200,INDIRECT($B$5&amp;"生成成长"),4))/(VLOOKUP(FI$72,INDIRECT($C$5&amp;"生成成长"),5))*(VLOOKUP($B$5,标准坦克设计!$B$24:$U$30,MATCH("对"&amp;LEFT($C$5,2)&amp;"输出",标准坦克设计!$B$23:$U$23,0)))*(VLOOKUP($B200,INDIRECT($B$5&amp;"生成成长"),3))*(VLOOKUP($B$5,标准坦克设计!$B$14:$K$20,9)/30))</f>
        <v>46.76334218422928</v>
      </c>
      <c r="FJ200" s="173">
        <f ca="1">(VLOOKUP(FJ$72,INDIRECT($C$5&amp;"生成成长"),2))/((VLOOKUP($B200,INDIRECT($B$5&amp;"生成成长"),4))/(VLOOKUP(FJ$72,INDIRECT($C$5&amp;"生成成长"),5))*(VLOOKUP($B$5,标准坦克设计!$B$24:$U$30,MATCH("对"&amp;LEFT($C$5,2)&amp;"输出",标准坦克设计!$B$23:$U$23,0)))*(VLOOKUP($B200,INDIRECT($B$5&amp;"生成成长"),3))*(VLOOKUP($B$5,标准坦克设计!$B$14:$K$20,9)/30))</f>
        <v>49.467680008200873</v>
      </c>
      <c r="FK200" s="173">
        <f ca="1">(VLOOKUP(FK$72,INDIRECT($C$5&amp;"生成成长"),2))/((VLOOKUP($B200,INDIRECT($B$5&amp;"生成成长"),4))/(VLOOKUP(FK$72,INDIRECT($C$5&amp;"生成成长"),5))*(VLOOKUP($B$5,标准坦克设计!$B$24:$U$30,MATCH("对"&amp;LEFT($C$5,2)&amp;"输出",标准坦克设计!$B$23:$U$23,0)))*(VLOOKUP($B200,INDIRECT($B$5&amp;"生成成长"),3))*(VLOOKUP($B$5,标准坦克设计!$B$14:$K$20,9)/30))</f>
        <v>52.248031652089495</v>
      </c>
    </row>
    <row r="201" spans="1:167" x14ac:dyDescent="0.15">
      <c r="A201" s="171" t="str">
        <f t="shared" si="12"/>
        <v>T4高品质3级</v>
      </c>
      <c r="B201" s="172">
        <v>30403</v>
      </c>
      <c r="C201" s="173">
        <f ca="1">(VLOOKUP(C$72,INDIRECT($C$5&amp;"生成成长"),2))/((VLOOKUP($B201,INDIRECT($B$5&amp;"生成成长"),4))/(VLOOKUP(C$72,INDIRECT($C$5&amp;"生成成长"),5))*(VLOOKUP($B$5,标准坦克设计!$B$24:$U$30,MATCH("对"&amp;LEFT($C$5,2)&amp;"输出",标准坦克设计!$B$23:$U$23,0)))*(VLOOKUP($B201,INDIRECT($B$5&amp;"生成成长"),3))*(VLOOKUP($B$5,标准坦克设计!$B$14:$K$20,9)/30))</f>
        <v>2.0403288027633324</v>
      </c>
      <c r="D201" s="173">
        <f ca="1">(VLOOKUP(D$72,INDIRECT($C$5&amp;"生成成长"),2))/((VLOOKUP($B201,INDIRECT($B$5&amp;"生成成长"),4))/(VLOOKUP(D$72,INDIRECT($C$5&amp;"生成成长"),5))*(VLOOKUP($B$5,标准坦克设计!$B$24:$U$30,MATCH("对"&amp;LEFT($C$5,2)&amp;"输出",标准坦克设计!$B$23:$U$23,0)))*(VLOOKUP($B201,INDIRECT($B$5&amp;"生成成长"),3))*(VLOOKUP($B$5,标准坦克设计!$B$14:$K$20,9)/30))</f>
        <v>2.2925134427848799</v>
      </c>
      <c r="E201" s="173">
        <f ca="1">(VLOOKUP(E$72,INDIRECT($C$5&amp;"生成成长"),2))/((VLOOKUP($B201,INDIRECT($B$5&amp;"生成成长"),4))/(VLOOKUP(E$72,INDIRECT($C$5&amp;"生成成长"),5))*(VLOOKUP($B$5,标准坦克设计!$B$24:$U$30,MATCH("对"&amp;LEFT($C$5,2)&amp;"输出",标准坦克设计!$B$23:$U$23,0)))*(VLOOKUP($B201,INDIRECT($B$5&amp;"生成成长"),3))*(VLOOKUP($B$5,标准坦克设计!$B$14:$K$20,9)/30))</f>
        <v>2.559388450186324</v>
      </c>
      <c r="F201" s="173">
        <f ca="1">(VLOOKUP(F$72,INDIRECT($C$5&amp;"生成成长"),2))/((VLOOKUP($B201,INDIRECT($B$5&amp;"生成成长"),4))/(VLOOKUP(F$72,INDIRECT($C$5&amp;"生成成长"),5))*(VLOOKUP($B$5,标准坦克设计!$B$24:$U$30,MATCH("对"&amp;LEFT($C$5,2)&amp;"输出",标准坦克设计!$B$23:$U$23,0)))*(VLOOKUP($B201,INDIRECT($B$5&amp;"生成成长"),3))*(VLOOKUP($B$5,标准坦克设计!$B$14:$K$20,9)/30))</f>
        <v>2.8409538249676638</v>
      </c>
      <c r="G201" s="173">
        <f ca="1">(VLOOKUP(G$72,INDIRECT($C$5&amp;"生成成长"),2))/((VLOOKUP($B201,INDIRECT($B$5&amp;"生成成长"),4))/(VLOOKUP(G$72,INDIRECT($C$5&amp;"生成成长"),5))*(VLOOKUP($B$5,标准坦克设计!$B$24:$U$30,MATCH("对"&amp;LEFT($C$5,2)&amp;"输出",标准坦克设计!$B$23:$U$23,0)))*(VLOOKUP($B201,INDIRECT($B$5&amp;"生成成长"),3))*(VLOOKUP($B$5,标准坦克设计!$B$14:$K$20,9)/30))</f>
        <v>3.1372095671288993</v>
      </c>
      <c r="H201" s="173">
        <f ca="1">(VLOOKUP(H$72,INDIRECT($C$5&amp;"生成成长"),2))/((VLOOKUP($B201,INDIRECT($B$5&amp;"生成成长"),4))/(VLOOKUP(H$72,INDIRECT($C$5&amp;"生成成长"),5))*(VLOOKUP($B$5,标准坦克设计!$B$24:$U$30,MATCH("对"&amp;LEFT($C$5,2)&amp;"输出",标准坦克设计!$B$23:$U$23,0)))*(VLOOKUP($B201,INDIRECT($B$5&amp;"生成成长"),3))*(VLOOKUP($B$5,标准坦克设计!$B$14:$K$20,9)/30))</f>
        <v>2.7454664369983401</v>
      </c>
      <c r="I201" s="173">
        <f ca="1">(VLOOKUP(I$72,INDIRECT($C$5&amp;"生成成长"),2))/((VLOOKUP($B201,INDIRECT($B$5&amp;"生成成长"),4))/(VLOOKUP(I$72,INDIRECT($C$5&amp;"生成成长"),5))*(VLOOKUP($B$5,标准坦克设计!$B$24:$U$30,MATCH("对"&amp;LEFT($C$5,2)&amp;"输出",标准坦克设计!$B$23:$U$23,0)))*(VLOOKUP($B201,INDIRECT($B$5&amp;"生成成长"),3))*(VLOOKUP($B$5,标准坦克设计!$B$14:$K$20,9)/30))</f>
        <v>3.1372095671288993</v>
      </c>
      <c r="J201" s="173">
        <f ca="1">(VLOOKUP(J$72,INDIRECT($C$5&amp;"生成成长"),2))/((VLOOKUP($B201,INDIRECT($B$5&amp;"生成成长"),4))/(VLOOKUP(J$72,INDIRECT($C$5&amp;"生成成长"),5))*(VLOOKUP($B$5,标准坦克设计!$B$24:$U$30,MATCH("对"&amp;LEFT($C$5,2)&amp;"输出",标准坦克设计!$B$23:$U$23,0)))*(VLOOKUP($B201,INDIRECT($B$5&amp;"生成成长"),3))*(VLOOKUP($B$5,标准坦克设计!$B$14:$K$20,9)/30))</f>
        <v>3.5550689059348302</v>
      </c>
      <c r="K201" s="173">
        <f ca="1">(VLOOKUP(K$72,INDIRECT($C$5&amp;"生成成长"),2))/((VLOOKUP($B201,INDIRECT($B$5&amp;"生成成长"),4))/(VLOOKUP(K$72,INDIRECT($C$5&amp;"生成成长"),5))*(VLOOKUP($B$5,标准坦克设计!$B$24:$U$30,MATCH("对"&amp;LEFT($C$5,2)&amp;"输出",标准坦克设计!$B$23:$U$23,0)))*(VLOOKUP($B201,INDIRECT($B$5&amp;"生成成长"),3))*(VLOOKUP($B$5,标准坦克设计!$B$14:$K$20,9)/30))</f>
        <v>3.9990444534161309</v>
      </c>
      <c r="L201" s="173">
        <f ca="1">(VLOOKUP(L$72,INDIRECT($C$5&amp;"生成成长"),2))/((VLOOKUP($B201,INDIRECT($B$5&amp;"生成成长"),4))/(VLOOKUP(L$72,INDIRECT($C$5&amp;"生成成长"),5))*(VLOOKUP($B$5,标准坦克设计!$B$24:$U$30,MATCH("对"&amp;LEFT($C$5,2)&amp;"输出",标准坦克设计!$B$23:$U$23,0)))*(VLOOKUP($B201,INDIRECT($B$5&amp;"生成成长"),3))*(VLOOKUP($B$5,标准坦克设计!$B$14:$K$20,9)/30))</f>
        <v>4.4691362095728033</v>
      </c>
      <c r="M201" s="173">
        <f ca="1">(VLOOKUP(M$72,INDIRECT($C$5&amp;"生成成长"),2))/((VLOOKUP($B201,INDIRECT($B$5&amp;"生成成长"),4))/(VLOOKUP(M$72,INDIRECT($C$5&amp;"生成成长"),5))*(VLOOKUP($B$5,标准坦克设计!$B$24:$U$30,MATCH("对"&amp;LEFT($C$5,2)&amp;"输出",标准坦克设计!$B$23:$U$23,0)))*(VLOOKUP($B201,INDIRECT($B$5&amp;"生成成长"),3))*(VLOOKUP($B$5,标准坦克设计!$B$14:$K$20,9)/30))</f>
        <v>4.9653441744048452</v>
      </c>
      <c r="N201" s="173">
        <f ca="1">(VLOOKUP(N$72,INDIRECT($C$5&amp;"生成成长"),2))/((VLOOKUP($B201,INDIRECT($B$5&amp;"生成成长"),4))/(VLOOKUP(N$72,INDIRECT($C$5&amp;"生成成长"),5))*(VLOOKUP($B$5,标准坦克设计!$B$24:$U$30,MATCH("对"&amp;LEFT($C$5,2)&amp;"输出",标准坦克设计!$B$23:$U$23,0)))*(VLOOKUP($B201,INDIRECT($B$5&amp;"生成成长"),3))*(VLOOKUP($B$5,标准坦克设计!$B$14:$K$20,9)/30))</f>
        <v>5.4876683479122592</v>
      </c>
      <c r="O201" s="173">
        <f ca="1">(VLOOKUP(O$72,INDIRECT($C$5&amp;"生成成长"),2))/((VLOOKUP($B201,INDIRECT($B$5&amp;"生成成长"),4))/(VLOOKUP(O$72,INDIRECT($C$5&amp;"生成成长"),5))*(VLOOKUP($B$5,标准坦克设计!$B$24:$U$30,MATCH("对"&amp;LEFT($C$5,2)&amp;"输出",标准坦克设计!$B$23:$U$23,0)))*(VLOOKUP($B201,INDIRECT($B$5&amp;"生成成长"),3))*(VLOOKUP($B$5,标准坦克设计!$B$14:$K$20,9)/30))</f>
        <v>4.1722683687707374</v>
      </c>
      <c r="P201" s="173">
        <f ca="1">(VLOOKUP(P$72,INDIRECT($C$5&amp;"生成成长"),2))/((VLOOKUP($B201,INDIRECT($B$5&amp;"生成成长"),4))/(VLOOKUP(P$72,INDIRECT($C$5&amp;"生成成长"),5))*(VLOOKUP($B$5,标准坦克设计!$B$24:$U$30,MATCH("对"&amp;LEFT($C$5,2)&amp;"输出",标准坦克设计!$B$23:$U$23,0)))*(VLOOKUP($B201,INDIRECT($B$5&amp;"生成成长"),3))*(VLOOKUP($B$5,标准坦克设计!$B$14:$K$20,9)/30))</f>
        <v>4.7139756659044023</v>
      </c>
      <c r="Q201" s="173">
        <f ca="1">(VLOOKUP(Q$72,INDIRECT($C$5&amp;"生成成长"),2))/((VLOOKUP($B201,INDIRECT($B$5&amp;"生成成长"),4))/(VLOOKUP(Q$72,INDIRECT($C$5&amp;"生成成长"),5))*(VLOOKUP($B$5,标准坦克设计!$B$24:$U$30,MATCH("对"&amp;LEFT($C$5,2)&amp;"输出",标准坦克设计!$B$23:$U$23,0)))*(VLOOKUP($B201,INDIRECT($B$5&amp;"生成成长"),3))*(VLOOKUP($B$5,标准坦克设计!$B$14:$K$20,9)/30))</f>
        <v>5.2887362896428334</v>
      </c>
      <c r="R201" s="173">
        <f ca="1">(VLOOKUP(R$72,INDIRECT($C$5&amp;"生成成长"),2))/((VLOOKUP($B201,INDIRECT($B$5&amp;"生成成长"),4))/(VLOOKUP(R$72,INDIRECT($C$5&amp;"生成成长"),5))*(VLOOKUP($B$5,标准坦克设计!$B$24:$U$30,MATCH("对"&amp;LEFT($C$5,2)&amp;"输出",标准坦克设计!$B$23:$U$23,0)))*(VLOOKUP($B201,INDIRECT($B$5&amp;"生成成长"),3))*(VLOOKUP($B$5,标准坦克设计!$B$14:$K$20,9)/30))</f>
        <v>5.8965502399860297</v>
      </c>
      <c r="S201" s="173">
        <f ca="1">(VLOOKUP(S$72,INDIRECT($C$5&amp;"生成成长"),2))/((VLOOKUP($B201,INDIRECT($B$5&amp;"生成成长"),4))/(VLOOKUP(S$72,INDIRECT($C$5&amp;"生成成长"),5))*(VLOOKUP($B$5,标准坦克设计!$B$24:$U$30,MATCH("对"&amp;LEFT($C$5,2)&amp;"输出",标准坦克设计!$B$23:$U$23,0)))*(VLOOKUP($B201,INDIRECT($B$5&amp;"生成成长"),3))*(VLOOKUP($B$5,标准坦克设计!$B$14:$K$20,9)/30))</f>
        <v>6.5374175169339921</v>
      </c>
      <c r="T201" s="173">
        <f ca="1">(VLOOKUP(T$72,INDIRECT($C$5&amp;"生成成长"),2))/((VLOOKUP($B201,INDIRECT($B$5&amp;"生成成长"),4))/(VLOOKUP(T$72,INDIRECT($C$5&amp;"生成成长"),5))*(VLOOKUP($B$5,标准坦克设计!$B$24:$U$30,MATCH("对"&amp;LEFT($C$5,2)&amp;"输出",标准坦克设计!$B$23:$U$23,0)))*(VLOOKUP($B201,INDIRECT($B$5&amp;"生成成长"),3))*(VLOOKUP($B$5,标准坦克设计!$B$14:$K$20,9)/30))</f>
        <v>7.2113381204867206</v>
      </c>
      <c r="U201" s="173">
        <f ca="1">(VLOOKUP(U$72,INDIRECT($C$5&amp;"生成成长"),2))/((VLOOKUP($B201,INDIRECT($B$5&amp;"生成成长"),4))/(VLOOKUP(U$72,INDIRECT($C$5&amp;"生成成长"),5))*(VLOOKUP($B$5,标准坦克设计!$B$24:$U$30,MATCH("对"&amp;LEFT($C$5,2)&amp;"输出",标准坦克设计!$B$23:$U$23,0)))*(VLOOKUP($B201,INDIRECT($B$5&amp;"生成成长"),3))*(VLOOKUP($B$5,标准坦克设计!$B$14:$K$20,9)/30))</f>
        <v>7.9183120506442162</v>
      </c>
      <c r="V201" s="173">
        <f ca="1">(VLOOKUP(V$72,INDIRECT($C$5&amp;"生成成长"),2))/((VLOOKUP($B201,INDIRECT($B$5&amp;"生成成长"),4))/(VLOOKUP(V$72,INDIRECT($C$5&amp;"生成成长"),5))*(VLOOKUP($B$5,标准坦克设计!$B$24:$U$30,MATCH("对"&amp;LEFT($C$5,2)&amp;"输出",标准坦克设计!$B$23:$U$23,0)))*(VLOOKUP($B201,INDIRECT($B$5&amp;"生成成长"),3))*(VLOOKUP($B$5,标准坦克设计!$B$14:$K$20,9)/30))</f>
        <v>8.6583393074064752</v>
      </c>
      <c r="W201" s="173">
        <f ca="1">(VLOOKUP(W$72,INDIRECT($C$5&amp;"生成成长"),2))/((VLOOKUP($B201,INDIRECT($B$5&amp;"生成成长"),4))/(VLOOKUP(W$72,INDIRECT($C$5&amp;"生成成长"),5))*(VLOOKUP($B$5,标准坦克设计!$B$24:$U$30,MATCH("对"&amp;LEFT($C$5,2)&amp;"输出",标准坦克设计!$B$23:$U$23,0)))*(VLOOKUP($B201,INDIRECT($B$5&amp;"生成成长"),3))*(VLOOKUP($B$5,标准坦克设计!$B$14:$K$20,9)/30))</f>
        <v>9.4314198907735047</v>
      </c>
      <c r="X201" s="173">
        <f ca="1">(VLOOKUP(X$72,INDIRECT($C$5&amp;"生成成长"),2))/((VLOOKUP($B201,INDIRECT($B$5&amp;"生成成长"),4))/(VLOOKUP(X$72,INDIRECT($C$5&amp;"生成成长"),5))*(VLOOKUP($B$5,标准坦克设计!$B$24:$U$30,MATCH("对"&amp;LEFT($C$5,2)&amp;"输出",标准坦克设计!$B$23:$U$23,0)))*(VLOOKUP($B201,INDIRECT($B$5&amp;"生成成长"),3))*(VLOOKUP($B$5,标准坦克设计!$B$14:$K$20,9)/30))</f>
        <v>6.8328571275741234</v>
      </c>
      <c r="Y201" s="173">
        <f ca="1">(VLOOKUP(Y$72,INDIRECT($C$5&amp;"生成成长"),2))/((VLOOKUP($B201,INDIRECT($B$5&amp;"生成成长"),4))/(VLOOKUP(Y$72,INDIRECT($C$5&amp;"生成成长"),5))*(VLOOKUP($B$5,标准坦克设计!$B$24:$U$30,MATCH("对"&amp;LEFT($C$5,2)&amp;"输出",标准坦克设计!$B$23:$U$23,0)))*(VLOOKUP($B201,INDIRECT($B$5&amp;"生成成长"),3))*(VLOOKUP($B$5,标准坦克设计!$B$14:$K$20,9)/30))</f>
        <v>7.6000207574131364</v>
      </c>
      <c r="Z201" s="173">
        <f ca="1">(VLOOKUP(Z$72,INDIRECT($C$5&amp;"生成成长"),2))/((VLOOKUP($B201,INDIRECT($B$5&amp;"生成成长"),4))/(VLOOKUP(Z$72,INDIRECT($C$5&amp;"生成成长"),5))*(VLOOKUP($B$5,标准坦克设计!$B$24:$U$30,MATCH("对"&amp;LEFT($C$5,2)&amp;"输出",标准坦克设计!$B$23:$U$23,0)))*(VLOOKUP($B201,INDIRECT($B$5&amp;"生成成长"),3))*(VLOOKUP($B$5,标准坦克设计!$B$14:$K$20,9)/30))</f>
        <v>8.4079909633074159</v>
      </c>
      <c r="AA201" s="173">
        <f ca="1">(VLOOKUP(AA$72,INDIRECT($C$5&amp;"生成成长"),2))/((VLOOKUP($B201,INDIRECT($B$5&amp;"生成成长"),4))/(VLOOKUP(AA$72,INDIRECT($C$5&amp;"生成成长"),5))*(VLOOKUP($B$5,标准坦克设计!$B$24:$U$30,MATCH("对"&amp;LEFT($C$5,2)&amp;"输出",标准坦克设计!$B$23:$U$23,0)))*(VLOOKUP($B201,INDIRECT($B$5&amp;"生成成长"),3))*(VLOOKUP($B$5,标准坦克设计!$B$14:$K$20,9)/30))</f>
        <v>9.2567677452569619</v>
      </c>
      <c r="AB201" s="173">
        <f ca="1">(VLOOKUP(AB$72,INDIRECT($C$5&amp;"生成成长"),2))/((VLOOKUP($B201,INDIRECT($B$5&amp;"生成成长"),4))/(VLOOKUP(AB$72,INDIRECT($C$5&amp;"生成成长"),5))*(VLOOKUP($B$5,标准坦克设计!$B$24:$U$30,MATCH("对"&amp;LEFT($C$5,2)&amp;"输出",标准坦克设计!$B$23:$U$23,0)))*(VLOOKUP($B201,INDIRECT($B$5&amp;"生成成长"),3))*(VLOOKUP($B$5,标准坦克设计!$B$14:$K$20,9)/30))</f>
        <v>10.146351103261775</v>
      </c>
      <c r="AC201" s="173">
        <f ca="1">(VLOOKUP(AC$72,INDIRECT($C$5&amp;"生成成长"),2))/((VLOOKUP($B201,INDIRECT($B$5&amp;"生成成长"),4))/(VLOOKUP(AC$72,INDIRECT($C$5&amp;"生成成长"),5))*(VLOOKUP($B$5,标准坦克设计!$B$24:$U$30,MATCH("对"&amp;LEFT($C$5,2)&amp;"输出",标准坦克设计!$B$23:$U$23,0)))*(VLOOKUP($B201,INDIRECT($B$5&amp;"生成成长"),3))*(VLOOKUP($B$5,标准坦克设计!$B$14:$K$20,9)/30))</f>
        <v>11.076741037321854</v>
      </c>
      <c r="AD201" s="173">
        <f ca="1">(VLOOKUP(AD$72,INDIRECT($C$5&amp;"生成成长"),2))/((VLOOKUP($B201,INDIRECT($B$5&amp;"生成成长"),4))/(VLOOKUP(AD$72,INDIRECT($C$5&amp;"生成成长"),5))*(VLOOKUP($B$5,标准坦克设计!$B$24:$U$30,MATCH("对"&amp;LEFT($C$5,2)&amp;"输出",标准坦克设计!$B$23:$U$23,0)))*(VLOOKUP($B201,INDIRECT($B$5&amp;"生成成长"),3))*(VLOOKUP($B$5,标准坦克设计!$B$14:$K$20,9)/30))</f>
        <v>12.047937547437202</v>
      </c>
      <c r="AE201" s="173">
        <f ca="1">(VLOOKUP(AE$72,INDIRECT($C$5&amp;"生成成长"),2))/((VLOOKUP($B201,INDIRECT($B$5&amp;"生成成长"),4))/(VLOOKUP(AE$72,INDIRECT($C$5&amp;"生成成长"),5))*(VLOOKUP($B$5,标准坦克设计!$B$24:$U$30,MATCH("对"&amp;LEFT($C$5,2)&amp;"输出",标准坦克设计!$B$23:$U$23,0)))*(VLOOKUP($B201,INDIRECT($B$5&amp;"生成成长"),3))*(VLOOKUP($B$5,标准坦克设计!$B$14:$K$20,9)/30))</f>
        <v>13.059940633607814</v>
      </c>
      <c r="AF201" s="173">
        <f ca="1">(VLOOKUP(AF$72,INDIRECT($C$5&amp;"生成成长"),2))/((VLOOKUP($B201,INDIRECT($B$5&amp;"生成成长"),4))/(VLOOKUP(AF$72,INDIRECT($C$5&amp;"生成成长"),5))*(VLOOKUP($B$5,标准坦克设计!$B$24:$U$30,MATCH("对"&amp;LEFT($C$5,2)&amp;"输出",标准坦克设计!$B$23:$U$23,0)))*(VLOOKUP($B201,INDIRECT($B$5&amp;"生成成长"),3))*(VLOOKUP($B$5,标准坦克设计!$B$14:$K$20,9)/30))</f>
        <v>14.112750295833692</v>
      </c>
      <c r="AG201" s="173">
        <f ca="1">(VLOOKUP(AG$72,INDIRECT($C$5&amp;"生成成长"),2))/((VLOOKUP($B201,INDIRECT($B$5&amp;"生成成长"),4))/(VLOOKUP(AG$72,INDIRECT($C$5&amp;"生成成长"),5))*(VLOOKUP($B$5,标准坦克设计!$B$24:$U$30,MATCH("对"&amp;LEFT($C$5,2)&amp;"输出",标准坦克设计!$B$23:$U$23,0)))*(VLOOKUP($B201,INDIRECT($B$5&amp;"生成成长"),3))*(VLOOKUP($B$5,标准坦克设计!$B$14:$K$20,9)/30))</f>
        <v>15.20636653411484</v>
      </c>
      <c r="AH201" s="173">
        <f ca="1">(VLOOKUP(AH$72,INDIRECT($C$5&amp;"生成成长"),2))/((VLOOKUP($B201,INDIRECT($B$5&amp;"生成成长"),4))/(VLOOKUP(AH$72,INDIRECT($C$5&amp;"生成成长"),5))*(VLOOKUP($B$5,标准坦克设计!$B$24:$U$30,MATCH("对"&amp;LEFT($C$5,2)&amp;"输出",标准坦克设计!$B$23:$U$23,0)))*(VLOOKUP($B201,INDIRECT($B$5&amp;"生成成长"),3))*(VLOOKUP($B$5,标准坦克设计!$B$14:$K$20,9)/30))</f>
        <v>16.340789348451249</v>
      </c>
      <c r="AI201" s="173">
        <f ca="1">(VLOOKUP(AI$72,INDIRECT($C$5&amp;"生成成长"),2))/((VLOOKUP($B201,INDIRECT($B$5&amp;"生成成长"),4))/(VLOOKUP(AI$72,INDIRECT($C$5&amp;"生成成长"),5))*(VLOOKUP($B$5,标准坦克设计!$B$24:$U$30,MATCH("对"&amp;LEFT($C$5,2)&amp;"输出",标准坦克设计!$B$23:$U$23,0)))*(VLOOKUP($B201,INDIRECT($B$5&amp;"生成成长"),3))*(VLOOKUP($B$5,标准坦克设计!$B$14:$K$20,9)/30))</f>
        <v>11.557238470372621</v>
      </c>
      <c r="AJ201" s="173">
        <f ca="1">(VLOOKUP(AJ$72,INDIRECT($C$5&amp;"生成成长"),2))/((VLOOKUP($B201,INDIRECT($B$5&amp;"生成成长"),4))/(VLOOKUP(AJ$72,INDIRECT($C$5&amp;"生成成长"),5))*(VLOOKUP($B$5,标准坦克设计!$B$24:$U$30,MATCH("对"&amp;LEFT($C$5,2)&amp;"输出",标准坦克设计!$B$23:$U$23,0)))*(VLOOKUP($B201,INDIRECT($B$5&amp;"生成成长"),3))*(VLOOKUP($B$5,标准坦克设计!$B$14:$K$20,9)/30))</f>
        <v>12.650242610012935</v>
      </c>
      <c r="AK201" s="173">
        <f ca="1">(VLOOKUP(AK$72,INDIRECT($C$5&amp;"生成成长"),2))/((VLOOKUP($B201,INDIRECT($B$5&amp;"生成成长"),4))/(VLOOKUP(AK$72,INDIRECT($C$5&amp;"生成成长"),5))*(VLOOKUP($B$5,标准坦克设计!$B$24:$U$30,MATCH("对"&amp;LEFT($C$5,2)&amp;"输出",标准坦克设计!$B$23:$U$23,0)))*(VLOOKUP($B201,INDIRECT($B$5&amp;"生成成长"),3))*(VLOOKUP($B$5,标准坦克设计!$B$14:$K$20,9)/30))</f>
        <v>13.792622706680126</v>
      </c>
      <c r="AL201" s="173">
        <f ca="1">(VLOOKUP(AL$72,INDIRECT($C$5&amp;"生成成长"),2))/((VLOOKUP($B201,INDIRECT($B$5&amp;"生成成长"),4))/(VLOOKUP(AL$72,INDIRECT($C$5&amp;"生成成长"),5))*(VLOOKUP($B$5,标准坦克设计!$B$24:$U$30,MATCH("对"&amp;LEFT($C$5,2)&amp;"输出",标准坦克设计!$B$23:$U$23,0)))*(VLOOKUP($B201,INDIRECT($B$5&amp;"生成成长"),3))*(VLOOKUP($B$5,标准坦克设计!$B$14:$K$20,9)/30))</f>
        <v>14.98437876037419</v>
      </c>
      <c r="AM201" s="173">
        <f ca="1">(VLOOKUP(AM$72,INDIRECT($C$5&amp;"生成成长"),2))/((VLOOKUP($B201,INDIRECT($B$5&amp;"生成成长"),4))/(VLOOKUP(AM$72,INDIRECT($C$5&amp;"生成成长"),5))*(VLOOKUP($B$5,标准坦克设计!$B$24:$U$30,MATCH("对"&amp;LEFT($C$5,2)&amp;"输出",标准坦克设计!$B$23:$U$23,0)))*(VLOOKUP($B201,INDIRECT($B$5&amp;"生成成长"),3))*(VLOOKUP($B$5,标准坦克设计!$B$14:$K$20,9)/30))</f>
        <v>16.225510771095124</v>
      </c>
      <c r="AN201" s="173">
        <f ca="1">(VLOOKUP(AN$72,INDIRECT($C$5&amp;"生成成长"),2))/((VLOOKUP($B201,INDIRECT($B$5&amp;"生成成长"),4))/(VLOOKUP(AN$72,INDIRECT($C$5&amp;"生成成长"),5))*(VLOOKUP($B$5,标准坦克设计!$B$24:$U$30,MATCH("对"&amp;LEFT($C$5,2)&amp;"输出",标准坦克设计!$B$23:$U$23,0)))*(VLOOKUP($B201,INDIRECT($B$5&amp;"生成成长"),3))*(VLOOKUP($B$5,标准坦克设计!$B$14:$K$20,9)/30))</f>
        <v>17.516018738842927</v>
      </c>
      <c r="AO201" s="173">
        <f ca="1">(VLOOKUP(AO$72,INDIRECT($C$5&amp;"生成成长"),2))/((VLOOKUP($B201,INDIRECT($B$5&amp;"生成成长"),4))/(VLOOKUP(AO$72,INDIRECT($C$5&amp;"生成成长"),5))*(VLOOKUP($B$5,标准坦克设计!$B$24:$U$30,MATCH("对"&amp;LEFT($C$5,2)&amp;"输出",标准坦克设计!$B$23:$U$23,0)))*(VLOOKUP($B201,INDIRECT($B$5&amp;"生成成长"),3))*(VLOOKUP($B$5,标准坦克设计!$B$14:$K$20,9)/30))</f>
        <v>18.855902663617609</v>
      </c>
      <c r="AP201" s="173">
        <f ca="1">(VLOOKUP(AP$72,INDIRECT($C$5&amp;"生成成长"),2))/((VLOOKUP($B201,INDIRECT($B$5&amp;"生成成长"),4))/(VLOOKUP(AP$72,INDIRECT($C$5&amp;"生成成长"),5))*(VLOOKUP($B$5,标准坦克设计!$B$24:$U$30,MATCH("对"&amp;LEFT($C$5,2)&amp;"输出",标准坦克设计!$B$23:$U$23,0)))*(VLOOKUP($B201,INDIRECT($B$5&amp;"生成成长"),3))*(VLOOKUP($B$5,标准坦克设计!$B$14:$K$20,9)/30))</f>
        <v>20.245162545419166</v>
      </c>
      <c r="AQ201" s="173">
        <f ca="1">(VLOOKUP(AQ$72,INDIRECT($C$5&amp;"生成成长"),2))/((VLOOKUP($B201,INDIRECT($B$5&amp;"生成成长"),4))/(VLOOKUP(AQ$72,INDIRECT($C$5&amp;"生成成长"),5))*(VLOOKUP($B$5,标准坦克设计!$B$24:$U$30,MATCH("对"&amp;LEFT($C$5,2)&amp;"输出",标准坦克设计!$B$23:$U$23,0)))*(VLOOKUP($B201,INDIRECT($B$5&amp;"生成成长"),3))*(VLOOKUP($B$5,标准坦克设计!$B$14:$K$20,9)/30))</f>
        <v>21.683798384247588</v>
      </c>
      <c r="AR201" s="173">
        <f ca="1">(VLOOKUP(AR$72,INDIRECT($C$5&amp;"生成成长"),2))/((VLOOKUP($B201,INDIRECT($B$5&amp;"生成成长"),4))/(VLOOKUP(AR$72,INDIRECT($C$5&amp;"生成成长"),5))*(VLOOKUP($B$5,标准坦克设计!$B$24:$U$30,MATCH("对"&amp;LEFT($C$5,2)&amp;"输出",标准坦克设计!$B$23:$U$23,0)))*(VLOOKUP($B201,INDIRECT($B$5&amp;"生成成长"),3))*(VLOOKUP($B$5,标准坦克设计!$B$14:$K$20,9)/30))</f>
        <v>23.171810180102888</v>
      </c>
      <c r="AS201" s="173">
        <f ca="1">(VLOOKUP(AS$72,INDIRECT($C$5&amp;"生成成长"),2))/((VLOOKUP($B201,INDIRECT($B$5&amp;"生成成长"),4))/(VLOOKUP(AS$72,INDIRECT($C$5&amp;"生成成长"),5))*(VLOOKUP($B$5,标准坦克设计!$B$24:$U$30,MATCH("对"&amp;LEFT($C$5,2)&amp;"输出",标准坦克设计!$B$23:$U$23,0)))*(VLOOKUP($B201,INDIRECT($B$5&amp;"生成成长"),3))*(VLOOKUP($B$5,标准坦克设计!$B$14:$K$20,9)/30))</f>
        <v>24.70919793298506</v>
      </c>
      <c r="AT201" s="173">
        <f ca="1">(VLOOKUP(AT$72,INDIRECT($C$5&amp;"生成成长"),2))/((VLOOKUP($B201,INDIRECT($B$5&amp;"生成成长"),4))/(VLOOKUP(AT$72,INDIRECT($C$5&amp;"生成成长"),5))*(VLOOKUP($B$5,标准坦克设计!$B$24:$U$30,MATCH("对"&amp;LEFT($C$5,2)&amp;"输出",标准坦克设计!$B$23:$U$23,0)))*(VLOOKUP($B201,INDIRECT($B$5&amp;"生成成长"),3))*(VLOOKUP($B$5,标准坦克设计!$B$14:$K$20,9)/30))</f>
        <v>26.295961642894099</v>
      </c>
      <c r="AU201" s="173">
        <f ca="1">(VLOOKUP(AU$72,INDIRECT($C$5&amp;"生成成长"),2))/((VLOOKUP($B201,INDIRECT($B$5&amp;"生成成长"),4))/(VLOOKUP(AU$72,INDIRECT($C$5&amp;"生成成长"),5))*(VLOOKUP($B$5,标准坦克设计!$B$24:$U$30,MATCH("对"&amp;LEFT($C$5,2)&amp;"输出",标准坦克设计!$B$23:$U$23,0)))*(VLOOKUP($B201,INDIRECT($B$5&amp;"生成成长"),3))*(VLOOKUP($B$5,标准坦克设计!$B$14:$K$20,9)/30))</f>
        <v>27.932101309830021</v>
      </c>
      <c r="AV201" s="173">
        <f ca="1">(VLOOKUP(AV$72,INDIRECT($C$5&amp;"生成成长"),2))/((VLOOKUP($B201,INDIRECT($B$5&amp;"生成成长"),4))/(VLOOKUP(AV$72,INDIRECT($C$5&amp;"生成成长"),5))*(VLOOKUP($B$5,标准坦克设计!$B$24:$U$30,MATCH("对"&amp;LEFT($C$5,2)&amp;"输出",标准坦克设计!$B$23:$U$23,0)))*(VLOOKUP($B201,INDIRECT($B$5&amp;"生成成长"),3))*(VLOOKUP($B$5,标准坦克设计!$B$14:$K$20,9)/30))</f>
        <v>2.8409538249676638</v>
      </c>
      <c r="AW201" s="173">
        <f ca="1">(VLOOKUP(AW$72,INDIRECT($C$5&amp;"生成成长"),2))/((VLOOKUP($B201,INDIRECT($B$5&amp;"生成成长"),4))/(VLOOKUP(AW$72,INDIRECT($C$5&amp;"生成成长"),5))*(VLOOKUP($B$5,标准坦克设计!$B$24:$U$30,MATCH("对"&amp;LEFT($C$5,2)&amp;"输出",标准坦克设计!$B$23:$U$23,0)))*(VLOOKUP($B201,INDIRECT($B$5&amp;"生成成长"),3))*(VLOOKUP($B$5,标准坦克设计!$B$14:$K$20,9)/30))</f>
        <v>3.2392260072670664</v>
      </c>
      <c r="AX201" s="173">
        <f ca="1">(VLOOKUP(AX$72,INDIRECT($C$5&amp;"生成成长"),2))/((VLOOKUP($B201,INDIRECT($B$5&amp;"生成成长"),4))/(VLOOKUP(AX$72,INDIRECT($C$5&amp;"生成成长"),5))*(VLOOKUP($B$5,标准坦克设计!$B$24:$U$30,MATCH("对"&amp;LEFT($C$5,2)&amp;"输出",标准坦克设计!$B$23:$U$23,0)))*(VLOOKUP($B201,INDIRECT($B$5&amp;"生成成长"),3))*(VLOOKUP($B$5,标准坦克设计!$B$14:$K$20,9)/30))</f>
        <v>3.6636143982418399</v>
      </c>
      <c r="AY201" s="173">
        <f ca="1">(VLOOKUP(AY$72,INDIRECT($C$5&amp;"生成成长"),2))/((VLOOKUP($B201,INDIRECT($B$5&amp;"生成成长"),4))/(VLOOKUP(AY$72,INDIRECT($C$5&amp;"生成成长"),5))*(VLOOKUP($B$5,标准坦克设计!$B$24:$U$30,MATCH("对"&amp;LEFT($C$5,2)&amp;"输出",标准坦克设计!$B$23:$U$23,0)))*(VLOOKUP($B201,INDIRECT($B$5&amp;"生成成长"),3))*(VLOOKUP($B$5,标准坦克设计!$B$14:$K$20,9)/30))</f>
        <v>4.1141189978919837</v>
      </c>
      <c r="AZ201" s="173">
        <f ca="1">(VLOOKUP(AZ$72,INDIRECT($C$5&amp;"生成成长"),2))/((VLOOKUP($B201,INDIRECT($B$5&amp;"生成成长"),4))/(VLOOKUP(AZ$72,INDIRECT($C$5&amp;"生成成长"),5))*(VLOOKUP($B$5,标准坦克设计!$B$24:$U$30,MATCH("对"&amp;LEFT($C$5,2)&amp;"输出",标准坦克设计!$B$23:$U$23,0)))*(VLOOKUP($B201,INDIRECT($B$5&amp;"生成成长"),3))*(VLOOKUP($B$5,标准坦克设计!$B$14:$K$20,9)/30))</f>
        <v>4.5907398062174964</v>
      </c>
      <c r="BA201" s="173">
        <f ca="1">(VLOOKUP(BA$72,INDIRECT($C$5&amp;"生成成长"),2))/((VLOOKUP($B201,INDIRECT($B$5&amp;"生成成长"),4))/(VLOOKUP(BA$72,INDIRECT($C$5&amp;"生成成长"),5))*(VLOOKUP($B$5,标准坦克设计!$B$24:$U$30,MATCH("对"&amp;LEFT($C$5,2)&amp;"输出",标准坦克设计!$B$23:$U$23,0)))*(VLOOKUP($B201,INDIRECT($B$5&amp;"生成成长"),3))*(VLOOKUP($B$5,标准坦克设计!$B$14:$K$20,9)/30))</f>
        <v>5.0934768232183831</v>
      </c>
      <c r="BB201" s="173">
        <f ca="1">(VLOOKUP(BB$72,INDIRECT($C$5&amp;"生成成长"),2))/((VLOOKUP($B201,INDIRECT($B$5&amp;"生成成长"),4))/(VLOOKUP(BB$72,INDIRECT($C$5&amp;"生成成长"),5))*(VLOOKUP($B$5,标准坦克设计!$B$24:$U$30,MATCH("对"&amp;LEFT($C$5,2)&amp;"输出",标准坦克设计!$B$23:$U$23,0)))*(VLOOKUP($B201,INDIRECT($B$5&amp;"生成成长"),3))*(VLOOKUP($B$5,标准坦克设计!$B$14:$K$20,9)/30))</f>
        <v>5.6223300488946375</v>
      </c>
      <c r="BC201" s="173">
        <f ca="1">(VLOOKUP(BC$72,INDIRECT($C$5&amp;"生成成长"),2))/((VLOOKUP($B201,INDIRECT($B$5&amp;"生成成长"),4))/(VLOOKUP(BC$72,INDIRECT($C$5&amp;"生成成长"),5))*(VLOOKUP($B$5,标准坦克设计!$B$24:$U$30,MATCH("对"&amp;LEFT($C$5,2)&amp;"输出",标准坦克设计!$B$23:$U$23,0)))*(VLOOKUP($B201,INDIRECT($B$5&amp;"生成成长"),3))*(VLOOKUP($B$5,标准坦克设计!$B$14:$K$20,9)/30))</f>
        <v>6.1772994832462649</v>
      </c>
      <c r="BD201" s="173">
        <f ca="1">(VLOOKUP(BD$72,INDIRECT($C$5&amp;"生成成长"),2))/((VLOOKUP($B201,INDIRECT($B$5&amp;"生成成长"),4))/(VLOOKUP(BD$72,INDIRECT($C$5&amp;"生成成长"),5))*(VLOOKUP($B$5,标准坦克设计!$B$24:$U$30,MATCH("对"&amp;LEFT($C$5,2)&amp;"输出",标准坦克设计!$B$23:$U$23,0)))*(VLOOKUP($B201,INDIRECT($B$5&amp;"生成成长"),3))*(VLOOKUP($B$5,标准坦克设计!$B$14:$K$20,9)/30))</f>
        <v>6.8328571275741234</v>
      </c>
      <c r="BE201" s="173">
        <f ca="1">(VLOOKUP(BE$72,INDIRECT($C$5&amp;"生成成长"),2))/((VLOOKUP($B201,INDIRECT($B$5&amp;"生成成长"),4))/(VLOOKUP(BE$72,INDIRECT($C$5&amp;"生成成长"),5))*(VLOOKUP($B$5,标准坦克设计!$B$24:$U$30,MATCH("对"&amp;LEFT($C$5,2)&amp;"输出",标准坦克设计!$B$23:$U$23,0)))*(VLOOKUP($B201,INDIRECT($B$5&amp;"生成成长"),3))*(VLOOKUP($B$5,标准坦克设计!$B$14:$K$20,9)/30))</f>
        <v>7.521468098506749</v>
      </c>
      <c r="BF201" s="173">
        <f ca="1">(VLOOKUP(BF$72,INDIRECT($C$5&amp;"生成成长"),2))/((VLOOKUP($B201,INDIRECT($B$5&amp;"生成成长"),4))/(VLOOKUP(BF$72,INDIRECT($C$5&amp;"生成成长"),5))*(VLOOKUP($B$5,标准坦克设计!$B$24:$U$30,MATCH("对"&amp;LEFT($C$5,2)&amp;"输出",标准坦克设计!$B$23:$U$23,0)))*(VLOOKUP($B201,INDIRECT($B$5&amp;"生成成长"),3))*(VLOOKUP($B$5,标准坦克设计!$B$14:$K$20,9)/30))</f>
        <v>8.2431323960441389</v>
      </c>
      <c r="BG201" s="173">
        <f ca="1">(VLOOKUP(BG$72,INDIRECT($C$5&amp;"生成成长"),2))/((VLOOKUP($B201,INDIRECT($B$5&amp;"生成成长"),4))/(VLOOKUP(BG$72,INDIRECT($C$5&amp;"生成成长"),5))*(VLOOKUP($B$5,标准坦克设计!$B$24:$U$30,MATCH("对"&amp;LEFT($C$5,2)&amp;"输出",标准坦克设计!$B$23:$U$23,0)))*(VLOOKUP($B201,INDIRECT($B$5&amp;"生成成长"),3))*(VLOOKUP($B$5,标准坦克设计!$B$14:$K$20,9)/30))</f>
        <v>8.997850020186295</v>
      </c>
      <c r="BH201" s="173">
        <f ca="1">(VLOOKUP(BH$72,INDIRECT($C$5&amp;"生成成长"),2))/((VLOOKUP($B201,INDIRECT($B$5&amp;"生成成长"),4))/(VLOOKUP(BH$72,INDIRECT($C$5&amp;"生成成长"),5))*(VLOOKUP($B$5,标准坦克设计!$B$24:$U$30,MATCH("对"&amp;LEFT($C$5,2)&amp;"输出",标准坦克设计!$B$23:$U$23,0)))*(VLOOKUP($B201,INDIRECT($B$5&amp;"生成成长"),3))*(VLOOKUP($B$5,标准坦克设计!$B$14:$K$20,9)/30))</f>
        <v>4.3491648759703194</v>
      </c>
      <c r="BI201" s="173">
        <f ca="1">(VLOOKUP(BI$72,INDIRECT($C$5&amp;"生成成长"),2))/((VLOOKUP($B201,INDIRECT($B$5&amp;"生成成长"),4))/(VLOOKUP(BI$72,INDIRECT($C$5&amp;"生成成长"),5))*(VLOOKUP($B$5,标准坦克设计!$B$24:$U$30,MATCH("对"&amp;LEFT($C$5,2)&amp;"输出",标准坦克设计!$B$23:$U$23,0)))*(VLOOKUP($B201,INDIRECT($B$5&amp;"生成成长"),3))*(VLOOKUP($B$5,标准坦克设计!$B$14:$K$20,9)/30))</f>
        <v>4.9018899486389058</v>
      </c>
      <c r="BJ201" s="173">
        <f ca="1">(VLOOKUP(BJ$72,INDIRECT($C$5&amp;"生成成长"),2))/((VLOOKUP($B201,INDIRECT($B$5&amp;"生成成长"),4))/(VLOOKUP(BJ$72,INDIRECT($C$5&amp;"生成成长"),5))*(VLOOKUP($B$5,标准坦克设计!$B$24:$U$30,MATCH("对"&amp;LEFT($C$5,2)&amp;"输出",标准坦克设计!$B$23:$U$23,0)))*(VLOOKUP($B201,INDIRECT($B$5&amp;"生成成长"),3))*(VLOOKUP($B$5,标准坦克设计!$B$14:$K$20,9)/30))</f>
        <v>5.4876683479122592</v>
      </c>
      <c r="BK201" s="173">
        <f ca="1">(VLOOKUP(BK$72,INDIRECT($C$5&amp;"生成成长"),2))/((VLOOKUP($B201,INDIRECT($B$5&amp;"生成成长"),4))/(VLOOKUP(BK$72,INDIRECT($C$5&amp;"生成成长"),5))*(VLOOKUP($B$5,标准坦克设计!$B$24:$U$30,MATCH("对"&amp;LEFT($C$5,2)&amp;"输出",标准坦克设计!$B$23:$U$23,0)))*(VLOOKUP($B201,INDIRECT($B$5&amp;"生成成长"),3))*(VLOOKUP($B$5,标准坦克设计!$B$14:$K$20,9)/30))</f>
        <v>6.106500073790377</v>
      </c>
      <c r="BL201" s="173">
        <f ca="1">(VLOOKUP(BL$72,INDIRECT($C$5&amp;"生成成长"),2))/((VLOOKUP($B201,INDIRECT($B$5&amp;"生成成长"),4))/(VLOOKUP(BL$72,INDIRECT($C$5&amp;"生成成长"),5))*(VLOOKUP($B$5,标准坦克设计!$B$24:$U$30,MATCH("对"&amp;LEFT($C$5,2)&amp;"输出",标准坦克设计!$B$23:$U$23,0)))*(VLOOKUP($B201,INDIRECT($B$5&amp;"生成成长"),3))*(VLOOKUP($B$5,标准坦克设计!$B$14:$K$20,9)/30))</f>
        <v>6.7583851262732608</v>
      </c>
      <c r="BM201" s="173">
        <f ca="1">(VLOOKUP(BM$72,INDIRECT($C$5&amp;"生成成长"),2))/((VLOOKUP($B201,INDIRECT($B$5&amp;"生成成长"),4))/(VLOOKUP(BM$72,INDIRECT($C$5&amp;"生成成长"),5))*(VLOOKUP($B$5,标准坦克设计!$B$24:$U$30,MATCH("对"&amp;LEFT($C$5,2)&amp;"输出",标准坦克设计!$B$23:$U$23,0)))*(VLOOKUP($B201,INDIRECT($B$5&amp;"生成成长"),3))*(VLOOKUP($B$5,标准坦克设计!$B$14:$K$20,9)/30))</f>
        <v>7.4433235053609117</v>
      </c>
      <c r="BN201" s="173">
        <f ca="1">(VLOOKUP(BN$72,INDIRECT($C$5&amp;"生成成长"),2))/((VLOOKUP($B201,INDIRECT($B$5&amp;"生成成长"),4))/(VLOOKUP(BN$72,INDIRECT($C$5&amp;"生成成长"),5))*(VLOOKUP($B$5,标准坦克设计!$B$24:$U$30,MATCH("对"&amp;LEFT($C$5,2)&amp;"输出",标准坦克设计!$B$23:$U$23,0)))*(VLOOKUP($B201,INDIRECT($B$5&amp;"生成成长"),3))*(VLOOKUP($B$5,标准坦克设计!$B$14:$K$20,9)/30))</f>
        <v>8.1613152110533296</v>
      </c>
      <c r="BO201" s="173">
        <f ca="1">(VLOOKUP(BO$72,INDIRECT($C$5&amp;"生成成长"),2))/((VLOOKUP($B201,INDIRECT($B$5&amp;"生成成长"),4))/(VLOOKUP(BO$72,INDIRECT($C$5&amp;"生成成长"),5))*(VLOOKUP($B$5,标准坦克设计!$B$24:$U$30,MATCH("对"&amp;LEFT($C$5,2)&amp;"输出",标准坦克设计!$B$23:$U$23,0)))*(VLOOKUP($B201,INDIRECT($B$5&amp;"生成成长"),3))*(VLOOKUP($B$5,标准坦克设计!$B$14:$K$20,9)/30))</f>
        <v>8.9123602433505109</v>
      </c>
      <c r="BP201" s="173">
        <f ca="1">(VLOOKUP(BP$72,INDIRECT($C$5&amp;"生成成长"),2))/((VLOOKUP($B201,INDIRECT($B$5&amp;"生成成长"),4))/(VLOOKUP(BP$72,INDIRECT($C$5&amp;"生成成长"),5))*(VLOOKUP($B$5,标准坦克设计!$B$24:$U$30,MATCH("对"&amp;LEFT($C$5,2)&amp;"输出",标准坦克设计!$B$23:$U$23,0)))*(VLOOKUP($B201,INDIRECT($B$5&amp;"生成成长"),3))*(VLOOKUP($B$5,标准坦克设计!$B$14:$K$20,9)/30))</f>
        <v>9.696458602252461</v>
      </c>
      <c r="BQ201" s="173">
        <f ca="1">(VLOOKUP(BQ$72,INDIRECT($C$5&amp;"生成成长"),2))/((VLOOKUP($B201,INDIRECT($B$5&amp;"生成成长"),4))/(VLOOKUP(BQ$72,INDIRECT($C$5&amp;"生成成长"),5))*(VLOOKUP($B$5,标准坦克设计!$B$24:$U$30,MATCH("对"&amp;LEFT($C$5,2)&amp;"输出",标准坦克设计!$B$23:$U$23,0)))*(VLOOKUP($B201,INDIRECT($B$5&amp;"生成成长"),3))*(VLOOKUP($B$5,标准坦克设计!$B$14:$K$20,9)/30))</f>
        <v>10.513610287759175</v>
      </c>
      <c r="BR201" s="173">
        <f ca="1">(VLOOKUP(BR$72,INDIRECT($C$5&amp;"生成成长"),2))/((VLOOKUP($B201,INDIRECT($B$5&amp;"生成成长"),4))/(VLOOKUP(BR$72,INDIRECT($C$5&amp;"生成成长"),5))*(VLOOKUP($B$5,标准坦克设计!$B$24:$U$30,MATCH("对"&amp;LEFT($C$5,2)&amp;"输出",标准坦克设计!$B$23:$U$23,0)))*(VLOOKUP($B201,INDIRECT($B$5&amp;"生成成长"),3))*(VLOOKUP($B$5,标准坦克设计!$B$14:$K$20,9)/30))</f>
        <v>11.46032285224136</v>
      </c>
      <c r="BS201" s="173">
        <f ca="1">(VLOOKUP(BS$72,INDIRECT($C$5&amp;"生成成长"),2))/((VLOOKUP($B201,INDIRECT($B$5&amp;"生成成长"),4))/(VLOOKUP(BS$72,INDIRECT($C$5&amp;"生成成长"),5))*(VLOOKUP($B$5,标准坦克设计!$B$24:$U$30,MATCH("对"&amp;LEFT($C$5,2)&amp;"输出",标准坦克设计!$B$23:$U$23,0)))*(VLOOKUP($B201,INDIRECT($B$5&amp;"生成成长"),3))*(VLOOKUP($B$5,标准坦克设计!$B$14:$K$20,9)/30))</f>
        <v>12.447841992778812</v>
      </c>
      <c r="BT201" s="173">
        <f ca="1">(VLOOKUP(BT$72,INDIRECT($C$5&amp;"生成成长"),2))/((VLOOKUP($B201,INDIRECT($B$5&amp;"生成成长"),4))/(VLOOKUP(BT$72,INDIRECT($C$5&amp;"生成成长"),5))*(VLOOKUP($B$5,标准坦克设计!$B$24:$U$30,MATCH("对"&amp;LEFT($C$5,2)&amp;"输出",标准坦克设计!$B$23:$U$23,0)))*(VLOOKUP($B201,INDIRECT($B$5&amp;"生成成长"),3))*(VLOOKUP($B$5,标准坦克设计!$B$14:$K$20,9)/30))</f>
        <v>13.476167709371534</v>
      </c>
      <c r="BU201" s="173">
        <f ca="1">(VLOOKUP(BU$72,INDIRECT($C$5&amp;"生成成长"),2))/((VLOOKUP($B201,INDIRECT($B$5&amp;"生成成长"),4))/(VLOOKUP(BU$72,INDIRECT($C$5&amp;"生成成长"),5))*(VLOOKUP($B$5,标准坦克设计!$B$24:$U$30,MATCH("对"&amp;LEFT($C$5,2)&amp;"输出",标准坦克设计!$B$23:$U$23,0)))*(VLOOKUP($B201,INDIRECT($B$5&amp;"生成成长"),3))*(VLOOKUP($B$5,标准坦克设计!$B$14:$K$20,9)/30))</f>
        <v>14.545300002019518</v>
      </c>
      <c r="BV201" s="173">
        <f ca="1">(VLOOKUP(BV$72,INDIRECT($C$5&amp;"生成成长"),2))/((VLOOKUP($B201,INDIRECT($B$5&amp;"生成成长"),4))/(VLOOKUP(BV$72,INDIRECT($C$5&amp;"生成成长"),5))*(VLOOKUP($B$5,标准坦克设计!$B$24:$U$30,MATCH("对"&amp;LEFT($C$5,2)&amp;"输出",标准坦克设计!$B$23:$U$23,0)))*(VLOOKUP($B201,INDIRECT($B$5&amp;"生成成长"),3))*(VLOOKUP($B$5,标准坦克设计!$B$14:$K$20,9)/30))</f>
        <v>15.655238870722773</v>
      </c>
      <c r="BW201" s="173">
        <f ca="1">(VLOOKUP(BW$72,INDIRECT($C$5&amp;"生成成长"),2))/((VLOOKUP($B201,INDIRECT($B$5&amp;"生成成长"),4))/(VLOOKUP(BW$72,INDIRECT($C$5&amp;"生成成长"),5))*(VLOOKUP($B$5,标准坦克设计!$B$24:$U$30,MATCH("对"&amp;LEFT($C$5,2)&amp;"输出",标准坦克设计!$B$23:$U$23,0)))*(VLOOKUP($B201,INDIRECT($B$5&amp;"生成成长"),3))*(VLOOKUP($B$5,标准坦克设计!$B$14:$K$20,9)/30))</f>
        <v>7.1348257903830961</v>
      </c>
      <c r="BX201" s="173">
        <f ca="1">(VLOOKUP(BX$72,INDIRECT($C$5&amp;"生成成长"),2))/((VLOOKUP($B201,INDIRECT($B$5&amp;"生成成长"),4))/(VLOOKUP(BX$72,INDIRECT($C$5&amp;"生成成长"),5))*(VLOOKUP($B$5,标准坦克设计!$B$24:$U$30,MATCH("对"&amp;LEFT($C$5,2)&amp;"输出",标准坦克设计!$B$23:$U$23,0)))*(VLOOKUP($B201,INDIRECT($B$5&amp;"生成成长"),3))*(VLOOKUP($B$5,标准坦克设计!$B$14:$K$20,9)/30))</f>
        <v>7.9183120506442162</v>
      </c>
      <c r="BY201" s="173">
        <f ca="1">(VLOOKUP(BY$72,INDIRECT($C$5&amp;"生成成长"),2))/((VLOOKUP($B201,INDIRECT($B$5&amp;"生成成长"),4))/(VLOOKUP(BY$72,INDIRECT($C$5&amp;"生成成长"),5))*(VLOOKUP($B$5,标准坦克设计!$B$24:$U$30,MATCH("对"&amp;LEFT($C$5,2)&amp;"输出",标准坦克设计!$B$23:$U$23,0)))*(VLOOKUP($B201,INDIRECT($B$5&amp;"生成成长"),3))*(VLOOKUP($B$5,标准坦克设计!$B$14:$K$20,9)/30))</f>
        <v>8.742604886960601</v>
      </c>
      <c r="BZ201" s="173">
        <f ca="1">(VLOOKUP(BZ$72,INDIRECT($C$5&amp;"生成成长"),2))/((VLOOKUP($B201,INDIRECT($B$5&amp;"生成成长"),4))/(VLOOKUP(BZ$72,INDIRECT($C$5&amp;"生成成长"),5))*(VLOOKUP($B$5,标准坦克设计!$B$24:$U$30,MATCH("对"&amp;LEFT($C$5,2)&amp;"输出",标准坦克设计!$B$23:$U$23,0)))*(VLOOKUP($B201,INDIRECT($B$5&amp;"生成成长"),3))*(VLOOKUP($B$5,标准坦克设计!$B$14:$K$20,9)/30))</f>
        <v>9.6077042993322532</v>
      </c>
      <c r="CA201" s="173">
        <f ca="1">(VLOOKUP(CA$72,INDIRECT($C$5&amp;"生成成长"),2))/((VLOOKUP($B201,INDIRECT($B$5&amp;"生成成长"),4))/(VLOOKUP(CA$72,INDIRECT($C$5&amp;"生成成长"),5))*(VLOOKUP($B$5,标准坦克设计!$B$24:$U$30,MATCH("对"&amp;LEFT($C$5,2)&amp;"输出",标准坦克设计!$B$23:$U$23,0)))*(VLOOKUP($B201,INDIRECT($B$5&amp;"生成成长"),3))*(VLOOKUP($B$5,标准坦克设计!$B$14:$K$20,9)/30))</f>
        <v>10.513610287759175</v>
      </c>
      <c r="CB201" s="173">
        <f ca="1">(VLOOKUP(CB$72,INDIRECT($C$5&amp;"生成成长"),2))/((VLOOKUP($B201,INDIRECT($B$5&amp;"生成成长"),4))/(VLOOKUP(CB$72,INDIRECT($C$5&amp;"生成成长"),5))*(VLOOKUP($B$5,标准坦克设计!$B$24:$U$30,MATCH("对"&amp;LEFT($C$5,2)&amp;"输出",标准坦克设计!$B$23:$U$23,0)))*(VLOOKUP($B201,INDIRECT($B$5&amp;"生成成长"),3))*(VLOOKUP($B$5,标准坦克设计!$B$14:$K$20,9)/30))</f>
        <v>11.46032285224136</v>
      </c>
      <c r="CC201" s="173">
        <f ca="1">(VLOOKUP(CC$72,INDIRECT($C$5&amp;"生成成长"),2))/((VLOOKUP($B201,INDIRECT($B$5&amp;"生成成长"),4))/(VLOOKUP(CC$72,INDIRECT($C$5&amp;"生成成长"),5))*(VLOOKUP($B$5,标准坦克设计!$B$24:$U$30,MATCH("对"&amp;LEFT($C$5,2)&amp;"输出",标准坦克设计!$B$23:$U$23,0)))*(VLOOKUP($B201,INDIRECT($B$5&amp;"生成成长"),3))*(VLOOKUP($B$5,标准坦克设计!$B$14:$K$20,9)/30))</f>
        <v>12.447841992778812</v>
      </c>
      <c r="CD201" s="173">
        <f ca="1">(VLOOKUP(CD$72,INDIRECT($C$5&amp;"生成成长"),2))/((VLOOKUP($B201,INDIRECT($B$5&amp;"生成成长"),4))/(VLOOKUP(CD$72,INDIRECT($C$5&amp;"生成成长"),5))*(VLOOKUP($B$5,标准坦克设计!$B$24:$U$30,MATCH("对"&amp;LEFT($C$5,2)&amp;"输出",标准坦克设计!$B$23:$U$23,0)))*(VLOOKUP($B201,INDIRECT($B$5&amp;"生成成长"),3))*(VLOOKUP($B$5,标准坦克设计!$B$14:$K$20,9)/30))</f>
        <v>13.476167709371534</v>
      </c>
      <c r="CE201" s="173">
        <f ca="1">(VLOOKUP(CE$72,INDIRECT($C$5&amp;"生成成长"),2))/((VLOOKUP($B201,INDIRECT($B$5&amp;"生成成长"),4))/(VLOOKUP(CE$72,INDIRECT($C$5&amp;"生成成长"),5))*(VLOOKUP($B$5,标准坦克设计!$B$24:$U$30,MATCH("对"&amp;LEFT($C$5,2)&amp;"输出",标准坦克设计!$B$23:$U$23,0)))*(VLOOKUP($B201,INDIRECT($B$5&amp;"生成成长"),3))*(VLOOKUP($B$5,标准坦克设计!$B$14:$K$20,9)/30))</f>
        <v>14.545300002019518</v>
      </c>
      <c r="CF201" s="173">
        <f ca="1">(VLOOKUP(CF$72,INDIRECT($C$5&amp;"生成成长"),2))/((VLOOKUP($B201,INDIRECT($B$5&amp;"生成成长"),4))/(VLOOKUP(CF$72,INDIRECT($C$5&amp;"生成成长"),5))*(VLOOKUP($B$5,标准坦克设计!$B$24:$U$30,MATCH("对"&amp;LEFT($C$5,2)&amp;"输出",标准坦克设计!$B$23:$U$23,0)))*(VLOOKUP($B201,INDIRECT($B$5&amp;"生成成长"),3))*(VLOOKUP($B$5,标准坦克设计!$B$14:$K$20,9)/30))</f>
        <v>15.655238870722773</v>
      </c>
      <c r="CG201" s="173">
        <f ca="1">(VLOOKUP(CG$72,INDIRECT($C$5&amp;"生成成长"),2))/((VLOOKUP($B201,INDIRECT($B$5&amp;"生成成长"),4))/(VLOOKUP(CG$72,INDIRECT($C$5&amp;"生成成长"),5))*(VLOOKUP($B$5,标准坦克设计!$B$24:$U$30,MATCH("对"&amp;LEFT($C$5,2)&amp;"输出",标准坦克设计!$B$23:$U$23,0)))*(VLOOKUP($B201,INDIRECT($B$5&amp;"生成成长"),3))*(VLOOKUP($B$5,标准坦克设计!$B$14:$K$20,9)/30))</f>
        <v>16.805984315481293</v>
      </c>
      <c r="CH201" s="173">
        <f ca="1">(VLOOKUP(CH$72,INDIRECT($C$5&amp;"生成成长"),2))/((VLOOKUP($B201,INDIRECT($B$5&amp;"生成成长"),4))/(VLOOKUP(CH$72,INDIRECT($C$5&amp;"生成成长"),5))*(VLOOKUP($B$5,标准坦克设计!$B$24:$U$30,MATCH("对"&amp;LEFT($C$5,2)&amp;"输出",标准坦克设计!$B$23:$U$23,0)))*(VLOOKUP($B201,INDIRECT($B$5&amp;"生成成长"),3))*(VLOOKUP($B$5,标准坦克设计!$B$14:$K$20,9)/30))</f>
        <v>17.997536336295077</v>
      </c>
      <c r="CI201" s="173">
        <f ca="1">(VLOOKUP(CI$72,INDIRECT($C$5&amp;"生成成长"),2))/((VLOOKUP($B201,INDIRECT($B$5&amp;"生成成长"),4))/(VLOOKUP(CI$72,INDIRECT($C$5&amp;"生成成长"),5))*(VLOOKUP($B$5,标准坦克设计!$B$24:$U$30,MATCH("对"&amp;LEFT($C$5,2)&amp;"输出",标准坦克设计!$B$23:$U$23,0)))*(VLOOKUP($B201,INDIRECT($B$5&amp;"生成成长"),3))*(VLOOKUP($B$5,标准坦克设计!$B$14:$K$20,9)/30))</f>
        <v>19.355375154534073</v>
      </c>
      <c r="CJ201" s="173">
        <f ca="1">(VLOOKUP(CJ$72,INDIRECT($C$5&amp;"生成成长"),2))/((VLOOKUP($B201,INDIRECT($B$5&amp;"生成成长"),4))/(VLOOKUP(CJ$72,INDIRECT($C$5&amp;"生成成长"),5))*(VLOOKUP($B$5,标准坦克设计!$B$24:$U$30,MATCH("对"&amp;LEFT($C$5,2)&amp;"输出",标准坦克设计!$B$23:$U$23,0)))*(VLOOKUP($B201,INDIRECT($B$5&amp;"生成成长"),3))*(VLOOKUP($B$5,标准坦克设计!$B$14:$K$20,9)/30))</f>
        <v>20.762589929799947</v>
      </c>
      <c r="CK201" s="173">
        <f ca="1">(VLOOKUP(CK$72,INDIRECT($C$5&amp;"生成成长"),2))/((VLOOKUP($B201,INDIRECT($B$5&amp;"生成成长"),4))/(VLOOKUP(CK$72,INDIRECT($C$5&amp;"生成成长"),5))*(VLOOKUP($B$5,标准坦克设计!$B$24:$U$30,MATCH("对"&amp;LEFT($C$5,2)&amp;"输出",标准坦克设计!$B$23:$U$23,0)))*(VLOOKUP($B201,INDIRECT($B$5&amp;"生成成长"),3))*(VLOOKUP($B$5,标准坦克设计!$B$14:$K$20,9)/30))</f>
        <v>22.21918066209269</v>
      </c>
      <c r="CL201" s="173">
        <f ca="1">(VLOOKUP(CL$72,INDIRECT($C$5&amp;"生成成长"),2))/((VLOOKUP($B201,INDIRECT($B$5&amp;"生成成长"),4))/(VLOOKUP(CL$72,INDIRECT($C$5&amp;"生成成长"),5))*(VLOOKUP($B$5,标准坦克设计!$B$24:$U$30,MATCH("对"&amp;LEFT($C$5,2)&amp;"输出",标准坦克设计!$B$23:$U$23,0)))*(VLOOKUP($B201,INDIRECT($B$5&amp;"生成成长"),3))*(VLOOKUP($B$5,标准坦克设计!$B$14:$K$20,9)/30))</f>
        <v>23.725147351412307</v>
      </c>
      <c r="CM201" s="173">
        <f ca="1">(VLOOKUP(CM$72,INDIRECT($C$5&amp;"生成成长"),2))/((VLOOKUP($B201,INDIRECT($B$5&amp;"生成成长"),4))/(VLOOKUP(CM$72,INDIRECT($C$5&amp;"生成成长"),5))*(VLOOKUP($B$5,标准坦克设计!$B$24:$U$30,MATCH("对"&amp;LEFT($C$5,2)&amp;"输出",标准坦克设计!$B$23:$U$23,0)))*(VLOOKUP($B201,INDIRECT($B$5&amp;"生成成长"),3))*(VLOOKUP($B$5,标准坦克设计!$B$14:$K$20,9)/30))</f>
        <v>25.280489997758792</v>
      </c>
      <c r="CN201" s="173">
        <f ca="1">(VLOOKUP(CN$72,INDIRECT($C$5&amp;"生成成长"),2))/((VLOOKUP($B201,INDIRECT($B$5&amp;"生成成长"),4))/(VLOOKUP(CN$72,INDIRECT($C$5&amp;"生成成长"),5))*(VLOOKUP($B$5,标准坦克设计!$B$24:$U$30,MATCH("对"&amp;LEFT($C$5,2)&amp;"输出",标准坦克设计!$B$23:$U$23,0)))*(VLOOKUP($B201,INDIRECT($B$5&amp;"生成成长"),3))*(VLOOKUP($B$5,标准坦克设计!$B$14:$K$20,9)/30))</f>
        <v>26.885208601132152</v>
      </c>
      <c r="CO201" s="173">
        <f ca="1">(VLOOKUP(CO$72,INDIRECT($C$5&amp;"生成成长"),2))/((VLOOKUP($B201,INDIRECT($B$5&amp;"生成成长"),4))/(VLOOKUP(CO$72,INDIRECT($C$5&amp;"生成成长"),5))*(VLOOKUP($B$5,标准坦克设计!$B$24:$U$30,MATCH("对"&amp;LEFT($C$5,2)&amp;"输出",标准坦克设计!$B$23:$U$23,0)))*(VLOOKUP($B201,INDIRECT($B$5&amp;"生成成长"),3))*(VLOOKUP($B$5,标准坦克设计!$B$14:$K$20,9)/30))</f>
        <v>12.047937547437202</v>
      </c>
      <c r="CP201" s="173">
        <f ca="1">(VLOOKUP(CP$72,INDIRECT($C$5&amp;"生成成长"),2))/((VLOOKUP($B201,INDIRECT($B$5&amp;"生成成长"),4))/(VLOOKUP(CP$72,INDIRECT($C$5&amp;"生成成长"),5))*(VLOOKUP($B$5,标准坦克设计!$B$24:$U$30,MATCH("对"&amp;LEFT($C$5,2)&amp;"输出",标准坦克设计!$B$23:$U$23,0)))*(VLOOKUP($B201,INDIRECT($B$5&amp;"生成成长"),3))*(VLOOKUP($B$5,标准坦克设计!$B$14:$K$20,9)/30))</f>
        <v>13.163385303907916</v>
      </c>
      <c r="CQ201" s="173">
        <f ca="1">(VLOOKUP(CQ$72,INDIRECT($C$5&amp;"生成成长"),2))/((VLOOKUP($B201,INDIRECT($B$5&amp;"生成成长"),4))/(VLOOKUP(CQ$72,INDIRECT($C$5&amp;"生成成长"),5))*(VLOOKUP($B$5,标准坦克设计!$B$24:$U$30,MATCH("对"&amp;LEFT($C$5,2)&amp;"输出",标准坦克设计!$B$23:$U$23,0)))*(VLOOKUP($B201,INDIRECT($B$5&amp;"生成成长"),3))*(VLOOKUP($B$5,标准坦克设计!$B$14:$K$20,9)/30))</f>
        <v>14.3282090174055</v>
      </c>
      <c r="CR201" s="173">
        <f ca="1">(VLOOKUP(CR$72,INDIRECT($C$5&amp;"生成成长"),2))/((VLOOKUP($B201,INDIRECT($B$5&amp;"生成成长"),4))/(VLOOKUP(CR$72,INDIRECT($C$5&amp;"生成成长"),5))*(VLOOKUP($B$5,标准坦克设计!$B$24:$U$30,MATCH("对"&amp;LEFT($C$5,2)&amp;"输出",标准坦克设计!$B$23:$U$23,0)))*(VLOOKUP($B201,INDIRECT($B$5&amp;"生成成长"),3))*(VLOOKUP($B$5,标准坦克设计!$B$14:$K$20,9)/30))</f>
        <v>15.54240868792996</v>
      </c>
      <c r="CS201" s="173">
        <f ca="1">(VLOOKUP(CS$72,INDIRECT($C$5&amp;"生成成长"),2))/((VLOOKUP($B201,INDIRECT($B$5&amp;"生成成长"),4))/(VLOOKUP(CS$72,INDIRECT($C$5&amp;"生成成长"),5))*(VLOOKUP($B$5,标准坦克设计!$B$24:$U$30,MATCH("对"&amp;LEFT($C$5,2)&amp;"输出",标准坦克设计!$B$23:$U$23,0)))*(VLOOKUP($B201,INDIRECT($B$5&amp;"生成成长"),3))*(VLOOKUP($B$5,标准坦克设计!$B$14:$K$20,9)/30))</f>
        <v>16.805984315481293</v>
      </c>
      <c r="CT201" s="173">
        <f ca="1">(VLOOKUP(CT$72,INDIRECT($C$5&amp;"生成成长"),2))/((VLOOKUP($B201,INDIRECT($B$5&amp;"生成成长"),4))/(VLOOKUP(CT$72,INDIRECT($C$5&amp;"生成成长"),5))*(VLOOKUP($B$5,标准坦克设计!$B$24:$U$30,MATCH("对"&amp;LEFT($C$5,2)&amp;"输出",标准坦克设计!$B$23:$U$23,0)))*(VLOOKUP($B201,INDIRECT($B$5&amp;"生成成长"),3))*(VLOOKUP($B$5,标准坦克设计!$B$14:$K$20,9)/30))</f>
        <v>18.118935900059491</v>
      </c>
      <c r="CU201" s="173">
        <f ca="1">(VLOOKUP(CU$72,INDIRECT($C$5&amp;"生成成长"),2))/((VLOOKUP($B201,INDIRECT($B$5&amp;"生成成长"),4))/(VLOOKUP(CU$72,INDIRECT($C$5&amp;"生成成长"),5))*(VLOOKUP($B$5,标准坦克设计!$B$24:$U$30,MATCH("对"&amp;LEFT($C$5,2)&amp;"输出",标准坦克设计!$B$23:$U$23,0)))*(VLOOKUP($B201,INDIRECT($B$5&amp;"生成成长"),3))*(VLOOKUP($B$5,标准坦克设计!$B$14:$K$20,9)/30))</f>
        <v>19.481263441664574</v>
      </c>
      <c r="CV201" s="173">
        <f ca="1">(VLOOKUP(CV$72,INDIRECT($C$5&amp;"生成成长"),2))/((VLOOKUP($B201,INDIRECT($B$5&amp;"生成成长"),4))/(VLOOKUP(CV$72,INDIRECT($C$5&amp;"生成成长"),5))*(VLOOKUP($B$5,标准坦克设计!$B$24:$U$30,MATCH("对"&amp;LEFT($C$5,2)&amp;"输出",标准坦克设计!$B$23:$U$23,0)))*(VLOOKUP($B201,INDIRECT($B$5&amp;"生成成长"),3))*(VLOOKUP($B$5,标准坦克设计!$B$14:$K$20,9)/30))</f>
        <v>20.892966940296517</v>
      </c>
      <c r="CW201" s="173">
        <f ca="1">(VLOOKUP(CW$72,INDIRECT($C$5&amp;"生成成长"),2))/((VLOOKUP($B201,INDIRECT($B$5&amp;"生成成长"),4))/(VLOOKUP(CW$72,INDIRECT($C$5&amp;"生成成长"),5))*(VLOOKUP($B$5,标准坦克设计!$B$24:$U$30,MATCH("对"&amp;LEFT($C$5,2)&amp;"输出",标准坦克设计!$B$23:$U$23,0)))*(VLOOKUP($B201,INDIRECT($B$5&amp;"生成成长"),3))*(VLOOKUP($B$5,标准坦克设计!$B$14:$K$20,9)/30))</f>
        <v>22.354046395955347</v>
      </c>
      <c r="CX201" s="173">
        <f ca="1">(VLOOKUP(CX$72,INDIRECT($C$5&amp;"生成成长"),2))/((VLOOKUP($B201,INDIRECT($B$5&amp;"生成成长"),4))/(VLOOKUP(CX$72,INDIRECT($C$5&amp;"生成成长"),5))*(VLOOKUP($B$5,标准坦克设计!$B$24:$U$30,MATCH("对"&amp;LEFT($C$5,2)&amp;"输出",标准坦克设计!$B$23:$U$23,0)))*(VLOOKUP($B201,INDIRECT($B$5&amp;"生成成长"),3))*(VLOOKUP($B$5,标准坦克设计!$B$14:$K$20,9)/30))</f>
        <v>23.864501808641041</v>
      </c>
      <c r="CY201" s="173">
        <f ca="1">(VLOOKUP(CY$72,INDIRECT($C$5&amp;"生成成长"),2))/((VLOOKUP($B201,INDIRECT($B$5&amp;"生成成长"),4))/(VLOOKUP(CY$72,INDIRECT($C$5&amp;"生成成长"),5))*(VLOOKUP($B$5,标准坦克设计!$B$24:$U$30,MATCH("对"&amp;LEFT($C$5,2)&amp;"输出",标准坦克设计!$B$23:$U$23,0)))*(VLOOKUP($B201,INDIRECT($B$5&amp;"生成成长"),3))*(VLOOKUP($B$5,标准坦克设计!$B$14:$K$20,9)/30))</f>
        <v>25.424333178353606</v>
      </c>
      <c r="CZ201" s="173">
        <f ca="1">(VLOOKUP(CZ$72,INDIRECT($C$5&amp;"生成成长"),2))/((VLOOKUP($B201,INDIRECT($B$5&amp;"生成成长"),4))/(VLOOKUP(CZ$72,INDIRECT($C$5&amp;"生成成长"),5))*(VLOOKUP($B$5,标准坦克设计!$B$24:$U$30,MATCH("对"&amp;LEFT($C$5,2)&amp;"输出",标准坦克设计!$B$23:$U$23,0)))*(VLOOKUP($B201,INDIRECT($B$5&amp;"生成成长"),3))*(VLOOKUP($B$5,标准坦克设计!$B$14:$K$20,9)/30))</f>
        <v>27.033540505093043</v>
      </c>
      <c r="DA201" s="173">
        <f ca="1">(VLOOKUP(DA$72,INDIRECT($C$5&amp;"生成成长"),2))/((VLOOKUP($B201,INDIRECT($B$5&amp;"生成成长"),4))/(VLOOKUP(DA$72,INDIRECT($C$5&amp;"生成成长"),5))*(VLOOKUP($B$5,标准坦克设计!$B$24:$U$30,MATCH("对"&amp;LEFT($C$5,2)&amp;"输出",标准坦克设计!$B$23:$U$23,0)))*(VLOOKUP($B201,INDIRECT($B$5&amp;"生成成长"),3))*(VLOOKUP($B$5,标准坦克设计!$B$14:$K$20,9)/30))</f>
        <v>28.692123788859359</v>
      </c>
      <c r="DB201" s="173">
        <f ca="1">(VLOOKUP(DB$72,INDIRECT($C$5&amp;"生成成长"),2))/((VLOOKUP($B201,INDIRECT($B$5&amp;"生成成长"),4))/(VLOOKUP(DB$72,INDIRECT($C$5&amp;"生成成长"),5))*(VLOOKUP($B$5,标准坦克设计!$B$24:$U$30,MATCH("对"&amp;LEFT($C$5,2)&amp;"输出",标准坦克设计!$B$23:$U$23,0)))*(VLOOKUP($B201,INDIRECT($B$5&amp;"生成成长"),3))*(VLOOKUP($B$5,标准坦克设计!$B$14:$K$20,9)/30))</f>
        <v>30.400083029652546</v>
      </c>
      <c r="DC201" s="173">
        <f ca="1">(VLOOKUP(DC$72,INDIRECT($C$5&amp;"生成成长"),2))/((VLOOKUP($B201,INDIRECT($B$5&amp;"生成成长"),4))/(VLOOKUP(DC$72,INDIRECT($C$5&amp;"生成成长"),5))*(VLOOKUP($B$5,标准坦克设计!$B$24:$U$30,MATCH("对"&amp;LEFT($C$5,2)&amp;"输出",标准坦克设计!$B$23:$U$23,0)))*(VLOOKUP($B201,INDIRECT($B$5&amp;"生成成长"),3))*(VLOOKUP($B$5,标准坦克设计!$B$14:$K$20,9)/30))</f>
        <v>32.319624367292285</v>
      </c>
      <c r="DD201" s="173">
        <f ca="1">(VLOOKUP(DD$72,INDIRECT($C$5&amp;"生成成长"),2))/((VLOOKUP($B201,INDIRECT($B$5&amp;"生成成长"),4))/(VLOOKUP(DD$72,INDIRECT($C$5&amp;"生成成长"),5))*(VLOOKUP($B$5,标准坦克设计!$B$24:$U$30,MATCH("对"&amp;LEFT($C$5,2)&amp;"输出",标准坦克设计!$B$23:$U$23,0)))*(VLOOKUP($B201,INDIRECT($B$5&amp;"生成成长"),3))*(VLOOKUP($B$5,标准坦克设计!$B$14:$K$20,9)/30))</f>
        <v>34.297927174451615</v>
      </c>
      <c r="DE201" s="173">
        <f ca="1">(VLOOKUP(DE$72,INDIRECT($C$5&amp;"生成成长"),2))/((VLOOKUP($B201,INDIRECT($B$5&amp;"生成成长"),4))/(VLOOKUP(DE$72,INDIRECT($C$5&amp;"生成成长"),5))*(VLOOKUP($B$5,标准坦克设计!$B$24:$U$30,MATCH("对"&amp;LEFT($C$5,2)&amp;"输出",标准坦克设计!$B$23:$U$23,0)))*(VLOOKUP($B201,INDIRECT($B$5&amp;"生成成长"),3))*(VLOOKUP($B$5,标准坦克设计!$B$14:$K$20,9)/30))</f>
        <v>36.334991451130527</v>
      </c>
      <c r="DF201" s="173">
        <f ca="1">(VLOOKUP(DF$72,INDIRECT($C$5&amp;"生成成长"),2))/((VLOOKUP($B201,INDIRECT($B$5&amp;"生成成长"),4))/(VLOOKUP(DF$72,INDIRECT($C$5&amp;"生成成长"),5))*(VLOOKUP($B$5,标准坦克设计!$B$24:$U$30,MATCH("对"&amp;LEFT($C$5,2)&amp;"输出",标准坦克设计!$B$23:$U$23,0)))*(VLOOKUP($B201,INDIRECT($B$5&amp;"生成成长"),3))*(VLOOKUP($B$5,标准坦克设计!$B$14:$K$20,9)/30))</f>
        <v>38.430817197329013</v>
      </c>
      <c r="DG201" s="173">
        <f ca="1">(VLOOKUP(DG$72,INDIRECT($C$5&amp;"生成成长"),2))/((VLOOKUP($B201,INDIRECT($B$5&amp;"生成成长"),4))/(VLOOKUP(DG$72,INDIRECT($C$5&amp;"生成成长"),5))*(VLOOKUP($B$5,标准坦克设计!$B$24:$U$30,MATCH("对"&amp;LEFT($C$5,2)&amp;"输出",标准坦克设计!$B$23:$U$23,0)))*(VLOOKUP($B201,INDIRECT($B$5&amp;"生成成长"),3))*(VLOOKUP($B$5,标准坦克设计!$B$14:$K$20,9)/30))</f>
        <v>40.585404413047101</v>
      </c>
      <c r="DH201" s="173">
        <f ca="1">(VLOOKUP(DH$72,INDIRECT($C$5&amp;"生成成长"),2))/((VLOOKUP($B201,INDIRECT($B$5&amp;"生成成长"),4))/(VLOOKUP(DH$72,INDIRECT($C$5&amp;"生成成长"),5))*(VLOOKUP($B$5,标准坦克设计!$B$24:$U$30,MATCH("对"&amp;LEFT($C$5,2)&amp;"输出",标准坦克设计!$B$23:$U$23,0)))*(VLOOKUP($B201,INDIRECT($B$5&amp;"生成成长"),3))*(VLOOKUP($B$5,标准坦克设计!$B$14:$K$20,9)/30))</f>
        <v>42.79875309828477</v>
      </c>
      <c r="DI201" s="173">
        <f ca="1">(VLOOKUP(DI$72,INDIRECT($C$5&amp;"生成成长"),2))/((VLOOKUP($B201,INDIRECT($B$5&amp;"生成成长"),4))/(VLOOKUP(DI$72,INDIRECT($C$5&amp;"生成成长"),5))*(VLOOKUP($B$5,标准坦克设计!$B$24:$U$30,MATCH("对"&amp;LEFT($C$5,2)&amp;"输出",标准坦克设计!$B$23:$U$23,0)))*(VLOOKUP($B201,INDIRECT($B$5&amp;"生成成长"),3))*(VLOOKUP($B$5,标准坦克设计!$B$14:$K$20,9)/30))</f>
        <v>45.070863253042006</v>
      </c>
      <c r="DJ201" s="173">
        <f ca="1">(VLOOKUP(DJ$72,INDIRECT($C$5&amp;"生成成长"),2))/((VLOOKUP($B201,INDIRECT($B$5&amp;"生成成长"),4))/(VLOOKUP(DJ$72,INDIRECT($C$5&amp;"生成成长"),5))*(VLOOKUP($B$5,标准坦克设计!$B$24:$U$30,MATCH("对"&amp;LEFT($C$5,2)&amp;"输出",标准坦克设计!$B$23:$U$23,0)))*(VLOOKUP($B201,INDIRECT($B$5&amp;"生成成长"),3))*(VLOOKUP($B$5,标准坦克设计!$B$14:$K$20,9)/30))</f>
        <v>4.5297339750148726</v>
      </c>
      <c r="DK201" s="173">
        <f ca="1">(VLOOKUP(DK$72,INDIRECT($C$5&amp;"生成成长"),2))/((VLOOKUP($B201,INDIRECT($B$5&amp;"生成成长"),4))/(VLOOKUP(DK$72,INDIRECT($C$5&amp;"生成成长"),5))*(VLOOKUP($B$5,标准坦克设计!$B$24:$U$30,MATCH("对"&amp;LEFT($C$5,2)&amp;"输出",标准坦克设计!$B$23:$U$23,0)))*(VLOOKUP($B201,INDIRECT($B$5&amp;"生成成长"),3))*(VLOOKUP($B$5,标准坦克设计!$B$14:$K$20,9)/30))</f>
        <v>5.0934768232183831</v>
      </c>
      <c r="DL201" s="173">
        <f ca="1">(VLOOKUP(DL$72,INDIRECT($C$5&amp;"生成成长"),2))/((VLOOKUP($B201,INDIRECT($B$5&amp;"生成成长"),4))/(VLOOKUP(DL$72,INDIRECT($C$5&amp;"生成成长"),5))*(VLOOKUP($B$5,标准坦克设计!$B$24:$U$30,MATCH("对"&amp;LEFT($C$5,2)&amp;"输出",标准坦克设计!$B$23:$U$23,0)))*(VLOOKUP($B201,INDIRECT($B$5&amp;"生成成长"),3))*(VLOOKUP($B$5,标准坦克设计!$B$14:$K$20,9)/30))</f>
        <v>5.6902729980266571</v>
      </c>
      <c r="DM201" s="173">
        <f ca="1">(VLOOKUP(DM$72,INDIRECT($C$5&amp;"生成成长"),2))/((VLOOKUP($B201,INDIRECT($B$5&amp;"生成成长"),4))/(VLOOKUP(DM$72,INDIRECT($C$5&amp;"生成成长"),5))*(VLOOKUP($B$5,标准坦克设计!$B$24:$U$30,MATCH("对"&amp;LEFT($C$5,2)&amp;"输出",标准坦克设计!$B$23:$U$23,0)))*(VLOOKUP($B201,INDIRECT($B$5&amp;"生成成长"),3))*(VLOOKUP($B$5,标准坦克设计!$B$14:$K$20,9)/30))</f>
        <v>6.3201224994396981</v>
      </c>
      <c r="DN201" s="173">
        <f ca="1">(VLOOKUP(DN$72,INDIRECT($C$5&amp;"生成成长"),2))/((VLOOKUP($B201,INDIRECT($B$5&amp;"生成成长"),4))/(VLOOKUP(DN$72,INDIRECT($C$5&amp;"生成成长"),5))*(VLOOKUP($B$5,标准坦克设计!$B$24:$U$30,MATCH("对"&amp;LEFT($C$5,2)&amp;"输出",标准坦克设计!$B$23:$U$23,0)))*(VLOOKUP($B201,INDIRECT($B$5&amp;"生成成长"),3))*(VLOOKUP($B$5,标准坦克设计!$B$14:$K$20,9)/30))</f>
        <v>6.9830253274575051</v>
      </c>
      <c r="DO201" s="173">
        <f ca="1">(VLOOKUP(DO$72,INDIRECT($C$5&amp;"生成成长"),2))/((VLOOKUP($B201,INDIRECT($B$5&amp;"生成成长"),4))/(VLOOKUP(DO$72,INDIRECT($C$5&amp;"生成成长"),5))*(VLOOKUP($B$5,标准坦克设计!$B$24:$U$30,MATCH("对"&amp;LEFT($C$5,2)&amp;"输出",标准坦克设计!$B$23:$U$23,0)))*(VLOOKUP($B201,INDIRECT($B$5&amp;"生成成长"),3))*(VLOOKUP($B$5,标准坦克设计!$B$14:$K$20,9)/30))</f>
        <v>7.6789814820800784</v>
      </c>
      <c r="DP201" s="173">
        <f ca="1">(VLOOKUP(DP$72,INDIRECT($C$5&amp;"生成成长"),2))/((VLOOKUP($B201,INDIRECT($B$5&amp;"生成成长"),4))/(VLOOKUP(DP$72,INDIRECT($C$5&amp;"生成成长"),5))*(VLOOKUP($B$5,标准坦克设计!$B$24:$U$30,MATCH("对"&amp;LEFT($C$5,2)&amp;"输出",标准坦克设计!$B$23:$U$23,0)))*(VLOOKUP($B201,INDIRECT($B$5&amp;"生成成长"),3))*(VLOOKUP($B$5,标准坦克设计!$B$14:$K$20,9)/30))</f>
        <v>8.4079909633074159</v>
      </c>
      <c r="DQ201" s="173">
        <f ca="1">(VLOOKUP(DQ$72,INDIRECT($C$5&amp;"生成成长"),2))/((VLOOKUP($B201,INDIRECT($B$5&amp;"生成成长"),4))/(VLOOKUP(DQ$72,INDIRECT($C$5&amp;"生成成长"),5))*(VLOOKUP($B$5,标准坦克设计!$B$24:$U$30,MATCH("对"&amp;LEFT($C$5,2)&amp;"输出",标准坦克设计!$B$23:$U$23,0)))*(VLOOKUP($B201,INDIRECT($B$5&amp;"生成成长"),3))*(VLOOKUP($B$5,标准坦克设计!$B$14:$K$20,9)/30))</f>
        <v>9.1700537711395196</v>
      </c>
      <c r="DR201" s="173">
        <f ca="1">(VLOOKUP(DR$72,INDIRECT($C$5&amp;"生成成长"),2))/((VLOOKUP($B201,INDIRECT($B$5&amp;"生成成长"),4))/(VLOOKUP(DR$72,INDIRECT($C$5&amp;"生成成长"),5))*(VLOOKUP($B$5,标准坦克设计!$B$24:$U$30,MATCH("对"&amp;LEFT($C$5,2)&amp;"输出",标准坦克设计!$B$23:$U$23,0)))*(VLOOKUP($B201,INDIRECT($B$5&amp;"生成成长"),3))*(VLOOKUP($B$5,标准坦克设计!$B$14:$K$20,9)/30))</f>
        <v>9.9651699055763885</v>
      </c>
      <c r="DS201" s="173">
        <f ca="1">(VLOOKUP(DS$72,INDIRECT($C$5&amp;"生成成长"),2))/((VLOOKUP($B201,INDIRECT($B$5&amp;"生成成长"),4))/(VLOOKUP(DS$72,INDIRECT($C$5&amp;"生成成长"),5))*(VLOOKUP($B$5,标准坦克设计!$B$24:$U$30,MATCH("对"&amp;LEFT($C$5,2)&amp;"输出",标准坦克设计!$B$23:$U$23,0)))*(VLOOKUP($B201,INDIRECT($B$5&amp;"生成成长"),3))*(VLOOKUP($B$5,标准坦克设计!$B$14:$K$20,9)/30))</f>
        <v>10.793339366618026</v>
      </c>
      <c r="DT201" s="173">
        <f ca="1">(VLOOKUP(DT$72,INDIRECT($C$5&amp;"生成成长"),2))/((VLOOKUP($B201,INDIRECT($B$5&amp;"生成成长"),4))/(VLOOKUP(DT$72,INDIRECT($C$5&amp;"生成成长"),5))*(VLOOKUP($B$5,标准坦克设计!$B$24:$U$30,MATCH("对"&amp;LEFT($C$5,2)&amp;"输出",标准坦克设计!$B$23:$U$23,0)))*(VLOOKUP($B201,INDIRECT($B$5&amp;"生成成长"),3))*(VLOOKUP($B$5,标准坦克设计!$B$14:$K$20,9)/30))</f>
        <v>11.850433719329709</v>
      </c>
      <c r="DU201" s="173">
        <f ca="1">(VLOOKUP(DU$72,INDIRECT($C$5&amp;"生成成长"),2))/((VLOOKUP($B201,INDIRECT($B$5&amp;"生成成长"),4))/(VLOOKUP(DU$72,INDIRECT($C$5&amp;"生成成长"),5))*(VLOOKUP($B$5,标准坦克设计!$B$24:$U$30,MATCH("对"&amp;LEFT($C$5,2)&amp;"输出",标准坦克设计!$B$23:$U$23,0)))*(VLOOKUP($B201,INDIRECT($B$5&amp;"生成成长"),3))*(VLOOKUP($B$5,标准坦克设计!$B$14:$K$20,9)/30))</f>
        <v>12.956904029068266</v>
      </c>
      <c r="DV201" s="173">
        <f ca="1">(VLOOKUP(DV$72,INDIRECT($C$5&amp;"生成成长"),2))/((VLOOKUP($B201,INDIRECT($B$5&amp;"生成成长"),4))/(VLOOKUP(DV$72,INDIRECT($C$5&amp;"生成成长"),5))*(VLOOKUP($B$5,标准坦克设计!$B$24:$U$30,MATCH("对"&amp;LEFT($C$5,2)&amp;"输出",标准坦克设计!$B$23:$U$23,0)))*(VLOOKUP($B201,INDIRECT($B$5&amp;"生成成长"),3))*(VLOOKUP($B$5,标准坦克设计!$B$14:$K$20,9)/30))</f>
        <v>14.112750295833692</v>
      </c>
      <c r="DW201" s="173">
        <f ca="1">(VLOOKUP(DW$72,INDIRECT($C$5&amp;"生成成长"),2))/((VLOOKUP($B201,INDIRECT($B$5&amp;"生成成长"),4))/(VLOOKUP(DW$72,INDIRECT($C$5&amp;"生成成长"),5))*(VLOOKUP($B$5,标准坦克设计!$B$24:$U$30,MATCH("对"&amp;LEFT($C$5,2)&amp;"输出",标准坦克设计!$B$23:$U$23,0)))*(VLOOKUP($B201,INDIRECT($B$5&amp;"生成成长"),3))*(VLOOKUP($B$5,标准坦克设计!$B$14:$K$20,9)/30))</f>
        <v>15.317972519625995</v>
      </c>
      <c r="DX201" s="173">
        <f ca="1">(VLOOKUP(DX$72,INDIRECT($C$5&amp;"生成成长"),2))/((VLOOKUP($B201,INDIRECT($B$5&amp;"生成成长"),4))/(VLOOKUP(DX$72,INDIRECT($C$5&amp;"生成成长"),5))*(VLOOKUP($B$5,标准坦克设计!$B$24:$U$30,MATCH("对"&amp;LEFT($C$5,2)&amp;"输出",标准坦克设计!$B$23:$U$23,0)))*(VLOOKUP($B201,INDIRECT($B$5&amp;"生成成长"),3))*(VLOOKUP($B$5,标准坦克设计!$B$14:$K$20,9)/30))</f>
        <v>16.572570700445169</v>
      </c>
      <c r="DY201" s="173">
        <f ca="1">(VLOOKUP(DY$72,INDIRECT($C$5&amp;"生成成长"),2))/((VLOOKUP($B201,INDIRECT($B$5&amp;"生成成长"),4))/(VLOOKUP(DY$72,INDIRECT($C$5&amp;"生成成长"),5))*(VLOOKUP($B$5,标准坦克设计!$B$24:$U$30,MATCH("对"&amp;LEFT($C$5,2)&amp;"输出",标准坦克设计!$B$23:$U$23,0)))*(VLOOKUP($B201,INDIRECT($B$5&amp;"生成成长"),3))*(VLOOKUP($B$5,标准坦克设计!$B$14:$K$20,9)/30))</f>
        <v>7.4433235053609117</v>
      </c>
      <c r="DZ201" s="173">
        <f ca="1">(VLOOKUP(DZ$72,INDIRECT($C$5&amp;"生成成长"),2))/((VLOOKUP($B201,INDIRECT($B$5&amp;"生成成长"),4))/(VLOOKUP(DZ$72,INDIRECT($C$5&amp;"生成成长"),5))*(VLOOKUP($B$5,标准坦克设计!$B$24:$U$30,MATCH("对"&amp;LEFT($C$5,2)&amp;"输出",标准坦克设计!$B$23:$U$23,0)))*(VLOOKUP($B201,INDIRECT($B$5&amp;"生成成长"),3))*(VLOOKUP($B$5,标准坦克设计!$B$14:$K$20,9)/30))</f>
        <v>8.2431323960441389</v>
      </c>
      <c r="EA201" s="173">
        <f ca="1">(VLOOKUP(EA$72,INDIRECT($C$5&amp;"生成成长"),2))/((VLOOKUP($B201,INDIRECT($B$5&amp;"生成成长"),4))/(VLOOKUP(EA$72,INDIRECT($C$5&amp;"生成成长"),5))*(VLOOKUP($B$5,标准坦克设计!$B$24:$U$30,MATCH("对"&amp;LEFT($C$5,2)&amp;"输出",标准坦克设计!$B$23:$U$23,0)))*(VLOOKUP($B201,INDIRECT($B$5&amp;"生成成长"),3))*(VLOOKUP($B$5,标准坦克设计!$B$14:$K$20,9)/30))</f>
        <v>9.0837478627826318</v>
      </c>
      <c r="EB201" s="173">
        <f ca="1">(VLOOKUP(EB$72,INDIRECT($C$5&amp;"生成成长"),2))/((VLOOKUP($B201,INDIRECT($B$5&amp;"生成成长"),4))/(VLOOKUP(EB$72,INDIRECT($C$5&amp;"生成成长"),5))*(VLOOKUP($B$5,标准坦克设计!$B$24:$U$30,MATCH("对"&amp;LEFT($C$5,2)&amp;"输出",标准坦克设计!$B$23:$U$23,0)))*(VLOOKUP($B201,INDIRECT($B$5&amp;"生成成长"),3))*(VLOOKUP($B$5,标准坦克设计!$B$14:$K$20,9)/30))</f>
        <v>9.9651699055763885</v>
      </c>
      <c r="EC201" s="173">
        <f ca="1">(VLOOKUP(EC$72,INDIRECT($C$5&amp;"生成成长"),2))/((VLOOKUP($B201,INDIRECT($B$5&amp;"生成成长"),4))/(VLOOKUP(EC$72,INDIRECT($C$5&amp;"生成成长"),5))*(VLOOKUP($B$5,标准坦克设计!$B$24:$U$30,MATCH("对"&amp;LEFT($C$5,2)&amp;"输出",标准坦克设计!$B$23:$U$23,0)))*(VLOOKUP($B201,INDIRECT($B$5&amp;"生成成长"),3))*(VLOOKUP($B$5,标准坦克设计!$B$14:$K$20,9)/30))</f>
        <v>10.887398524425416</v>
      </c>
      <c r="ED201" s="173">
        <f ca="1">(VLOOKUP(ED$72,INDIRECT($C$5&amp;"生成成长"),2))/((VLOOKUP($B201,INDIRECT($B$5&amp;"生成成长"),4))/(VLOOKUP(ED$72,INDIRECT($C$5&amp;"生成成长"),5))*(VLOOKUP($B$5,标准坦克设计!$B$24:$U$30,MATCH("对"&amp;LEFT($C$5,2)&amp;"输出",标准坦克设计!$B$23:$U$23,0)))*(VLOOKUP($B201,INDIRECT($B$5&amp;"生成成长"),3))*(VLOOKUP($B$5,标准坦克设计!$B$14:$K$20,9)/30))</f>
        <v>11.850433719329709</v>
      </c>
      <c r="EE201" s="173">
        <f ca="1">(VLOOKUP(EE$72,INDIRECT($C$5&amp;"生成成长"),2))/((VLOOKUP($B201,INDIRECT($B$5&amp;"生成成长"),4))/(VLOOKUP(EE$72,INDIRECT($C$5&amp;"生成成长"),5))*(VLOOKUP($B$5,标准坦克设计!$B$24:$U$30,MATCH("对"&amp;LEFT($C$5,2)&amp;"输出",标准坦克设计!$B$23:$U$23,0)))*(VLOOKUP($B201,INDIRECT($B$5&amp;"生成成长"),3))*(VLOOKUP($B$5,标准坦克设计!$B$14:$K$20,9)/30))</f>
        <v>12.854275490289268</v>
      </c>
      <c r="EF201" s="173">
        <f ca="1">(VLOOKUP(EF$72,INDIRECT($C$5&amp;"生成成长"),2))/((VLOOKUP($B201,INDIRECT($B$5&amp;"生成成长"),4))/(VLOOKUP(EF$72,INDIRECT($C$5&amp;"生成成长"),5))*(VLOOKUP($B$5,标准坦克设计!$B$24:$U$30,MATCH("对"&amp;LEFT($C$5,2)&amp;"输出",标准坦克设计!$B$23:$U$23,0)))*(VLOOKUP($B201,INDIRECT($B$5&amp;"生成成长"),3))*(VLOOKUP($B$5,标准坦克设计!$B$14:$K$20,9)/30))</f>
        <v>13.898923837304094</v>
      </c>
      <c r="EG201" s="173">
        <f ca="1">(VLOOKUP(EG$72,INDIRECT($C$5&amp;"生成成长"),2))/((VLOOKUP($B201,INDIRECT($B$5&amp;"生成成长"),4))/(VLOOKUP(EG$72,INDIRECT($C$5&amp;"生成成长"),5))*(VLOOKUP($B$5,标准坦克设计!$B$24:$U$30,MATCH("对"&amp;LEFT($C$5,2)&amp;"输出",标准坦克设计!$B$23:$U$23,0)))*(VLOOKUP($B201,INDIRECT($B$5&amp;"生成成长"),3))*(VLOOKUP($B$5,标准坦克设计!$B$14:$K$20,9)/30))</f>
        <v>14.98437876037419</v>
      </c>
      <c r="EH201" s="173">
        <f ca="1">(VLOOKUP(EH$72,INDIRECT($C$5&amp;"生成成长"),2))/((VLOOKUP($B201,INDIRECT($B$5&amp;"生成成长"),4))/(VLOOKUP(EH$72,INDIRECT($C$5&amp;"生成成长"),5))*(VLOOKUP($B$5,标准坦克设计!$B$24:$U$30,MATCH("对"&amp;LEFT($C$5,2)&amp;"输出",标准坦克设计!$B$23:$U$23,0)))*(VLOOKUP($B201,INDIRECT($B$5&amp;"生成成长"),3))*(VLOOKUP($B$5,标准坦克设计!$B$14:$K$20,9)/30))</f>
        <v>16.110640259499547</v>
      </c>
      <c r="EI201" s="173">
        <f ca="1">(VLOOKUP(EI$72,INDIRECT($C$5&amp;"生成成长"),2))/((VLOOKUP($B201,INDIRECT($B$5&amp;"生成成长"),4))/(VLOOKUP(EI$72,INDIRECT($C$5&amp;"生成成长"),5))*(VLOOKUP($B$5,标准坦克设计!$B$24:$U$30,MATCH("对"&amp;LEFT($C$5,2)&amp;"输出",标准坦克设计!$B$23:$U$23,0)))*(VLOOKUP($B201,INDIRECT($B$5&amp;"生成成长"),3))*(VLOOKUP($B$5,标准坦克设计!$B$14:$K$20,9)/30))</f>
        <v>17.277708334680174</v>
      </c>
      <c r="EJ201" s="173">
        <f ca="1">(VLOOKUP(EJ$72,INDIRECT($C$5&amp;"生成成长"),2))/((VLOOKUP($B201,INDIRECT($B$5&amp;"生成成长"),4))/(VLOOKUP(EJ$72,INDIRECT($C$5&amp;"生成成长"),5))*(VLOOKUP($B$5,标准坦克设计!$B$24:$U$30,MATCH("对"&amp;LEFT($C$5,2)&amp;"输出",标准坦克设计!$B$23:$U$23,0)))*(VLOOKUP($B201,INDIRECT($B$5&amp;"生成成长"),3))*(VLOOKUP($B$5,标准坦克设计!$B$14:$K$20,9)/30))</f>
        <v>18.485582985916068</v>
      </c>
      <c r="EK201" s="173">
        <f ca="1">(VLOOKUP(EK$72,INDIRECT($C$5&amp;"生成成长"),2))/((VLOOKUP($B201,INDIRECT($B$5&amp;"生成成长"),4))/(VLOOKUP(EK$72,INDIRECT($C$5&amp;"生成成长"),5))*(VLOOKUP($B$5,标准坦克设计!$B$24:$U$30,MATCH("对"&amp;LEFT($C$5,2)&amp;"输出",标准坦克设计!$B$23:$U$23,0)))*(VLOOKUP($B201,INDIRECT($B$5&amp;"生成成长"),3))*(VLOOKUP($B$5,标准坦克设计!$B$14:$K$20,9)/30))</f>
        <v>19.988897247792092</v>
      </c>
      <c r="EL201" s="173">
        <f ca="1">(VLOOKUP(EL$72,INDIRECT($C$5&amp;"生成成长"),2))/((VLOOKUP($B201,INDIRECT($B$5&amp;"生成成长"),4))/(VLOOKUP(EL$72,INDIRECT($C$5&amp;"生成成长"),5))*(VLOOKUP($B$5,标准坦克设计!$B$24:$U$30,MATCH("对"&amp;LEFT($C$5,2)&amp;"输出",标准坦克设计!$B$23:$U$23,0)))*(VLOOKUP($B201,INDIRECT($B$5&amp;"生成成长"),3))*(VLOOKUP($B$5,标准坦克设计!$B$14:$K$20,9)/30))</f>
        <v>21.550972979187694</v>
      </c>
      <c r="EM201" s="173">
        <f ca="1">(VLOOKUP(EM$72,INDIRECT($C$5&amp;"生成成长"),2))/((VLOOKUP($B201,INDIRECT($B$5&amp;"生成成长"),4))/(VLOOKUP(EM$72,INDIRECT($C$5&amp;"生成成长"),5))*(VLOOKUP($B$5,标准坦克设计!$B$24:$U$30,MATCH("对"&amp;LEFT($C$5,2)&amp;"输出",标准坦克设计!$B$23:$U$23,0)))*(VLOOKUP($B201,INDIRECT($B$5&amp;"生成成长"),3))*(VLOOKUP($B$5,标准坦克设计!$B$14:$K$20,9)/30))</f>
        <v>23.171810180102888</v>
      </c>
      <c r="EN201" s="173">
        <f ca="1">(VLOOKUP(EN$72,INDIRECT($C$5&amp;"生成成长"),2))/((VLOOKUP($B201,INDIRECT($B$5&amp;"生成成长"),4))/(VLOOKUP(EN$72,INDIRECT($C$5&amp;"生成成长"),5))*(VLOOKUP($B$5,标准坦克设计!$B$24:$U$30,MATCH("对"&amp;LEFT($C$5,2)&amp;"输出",标准坦克设计!$B$23:$U$23,0)))*(VLOOKUP($B201,INDIRECT($B$5&amp;"生成成长"),3))*(VLOOKUP($B$5,标准坦克设计!$B$14:$K$20,9)/30))</f>
        <v>24.851408850537659</v>
      </c>
      <c r="EO201" s="173">
        <f ca="1">(VLOOKUP(EO$72,INDIRECT($C$5&amp;"生成成长"),2))/((VLOOKUP($B201,INDIRECT($B$5&amp;"生成成长"),4))/(VLOOKUP(EO$72,INDIRECT($C$5&amp;"生成成长"),5))*(VLOOKUP($B$5,标准坦克设计!$B$24:$U$30,MATCH("对"&amp;LEFT($C$5,2)&amp;"输出",标准坦克设计!$B$23:$U$23,0)))*(VLOOKUP($B201,INDIRECT($B$5&amp;"生成成长"),3))*(VLOOKUP($B$5,标准坦克设计!$B$14:$K$20,9)/30))</f>
        <v>26.589768990492026</v>
      </c>
      <c r="EP201" s="173">
        <f ca="1">(VLOOKUP(EP$72,INDIRECT($C$5&amp;"生成成长"),2))/((VLOOKUP($B201,INDIRECT($B$5&amp;"生成成长"),4))/(VLOOKUP(EP$72,INDIRECT($C$5&amp;"生成成长"),5))*(VLOOKUP($B$5,标准坦克设计!$B$24:$U$30,MATCH("对"&amp;LEFT($C$5,2)&amp;"输出",标准坦克设计!$B$23:$U$23,0)))*(VLOOKUP($B201,INDIRECT($B$5&amp;"生成成长"),3))*(VLOOKUP($B$5,标准坦克设计!$B$14:$K$20,9)/30))</f>
        <v>28.386890599965962</v>
      </c>
      <c r="EQ201" s="173">
        <f ca="1">(VLOOKUP(EQ$72,INDIRECT($C$5&amp;"生成成长"),2))/((VLOOKUP($B201,INDIRECT($B$5&amp;"生成成长"),4))/(VLOOKUP(EQ$72,INDIRECT($C$5&amp;"生成成长"),5))*(VLOOKUP($B$5,标准坦克设计!$B$24:$U$30,MATCH("对"&amp;LEFT($C$5,2)&amp;"输出",标准坦克设计!$B$23:$U$23,0)))*(VLOOKUP($B201,INDIRECT($B$5&amp;"生成成长"),3))*(VLOOKUP($B$5,标准坦克设计!$B$14:$K$20,9)/30))</f>
        <v>12.548838268515597</v>
      </c>
      <c r="ER201" s="173">
        <f ca="1">(VLOOKUP(ER$72,INDIRECT($C$5&amp;"生成成长"),2))/((VLOOKUP($B201,INDIRECT($B$5&amp;"生成成长"),4))/(VLOOKUP(ER$72,INDIRECT($C$5&amp;"生成成长"),5))*(VLOOKUP($B$5,标准坦克设计!$B$24:$U$30,MATCH("对"&amp;LEFT($C$5,2)&amp;"输出",标准坦克设计!$B$23:$U$23,0)))*(VLOOKUP($B201,INDIRECT($B$5&amp;"生成成长"),3))*(VLOOKUP($B$5,标准坦克设计!$B$14:$K$20,9)/30))</f>
        <v>13.686729641816706</v>
      </c>
      <c r="ES201" s="173">
        <f ca="1">(VLOOKUP(ES$72,INDIRECT($C$5&amp;"生成成长"),2))/((VLOOKUP($B201,INDIRECT($B$5&amp;"生成成长"),4))/(VLOOKUP(ES$72,INDIRECT($C$5&amp;"生成成长"),5))*(VLOOKUP($B$5,标准坦克设计!$B$24:$U$30,MATCH("对"&amp;LEFT($C$5,2)&amp;"输出",标准坦克设计!$B$23:$U$23,0)))*(VLOOKUP($B201,INDIRECT($B$5&amp;"生成成长"),3))*(VLOOKUP($B$5,标准坦克设计!$B$14:$K$20,9)/30))</f>
        <v>14.873996972144694</v>
      </c>
      <c r="ET201" s="173">
        <f ca="1">(VLOOKUP(ET$72,INDIRECT($C$5&amp;"生成成长"),2))/((VLOOKUP($B201,INDIRECT($B$5&amp;"生成成长"),4))/(VLOOKUP(ET$72,INDIRECT($C$5&amp;"生成成长"),5))*(VLOOKUP($B$5,标准坦克设计!$B$24:$U$30,MATCH("对"&amp;LEFT($C$5,2)&amp;"输出",标准坦克设计!$B$23:$U$23,0)))*(VLOOKUP($B201,INDIRECT($B$5&amp;"生成成长"),3))*(VLOOKUP($B$5,标准坦克设计!$B$14:$K$20,9)/30))</f>
        <v>16.110640259499547</v>
      </c>
      <c r="EU201" s="173">
        <f ca="1">(VLOOKUP(EU$72,INDIRECT($C$5&amp;"生成成长"),2))/((VLOOKUP($B201,INDIRECT($B$5&amp;"生成成长"),4))/(VLOOKUP(EU$72,INDIRECT($C$5&amp;"生成成长"),5))*(VLOOKUP($B$5,标准坦克设计!$B$24:$U$30,MATCH("对"&amp;LEFT($C$5,2)&amp;"输出",标准坦克设计!$B$23:$U$23,0)))*(VLOOKUP($B201,INDIRECT($B$5&amp;"生成成长"),3))*(VLOOKUP($B$5,标准坦克设计!$B$14:$K$20,9)/30))</f>
        <v>17.396659503881278</v>
      </c>
      <c r="EV201" s="173">
        <f ca="1">(VLOOKUP(EV$72,INDIRECT($C$5&amp;"生成成长"),2))/((VLOOKUP($B201,INDIRECT($B$5&amp;"生成成长"),4))/(VLOOKUP(EV$72,INDIRECT($C$5&amp;"生成成长"),5))*(VLOOKUP($B$5,标准坦克设计!$B$24:$U$30,MATCH("对"&amp;LEFT($C$5,2)&amp;"输出",标准坦克设计!$B$23:$U$23,0)))*(VLOOKUP($B201,INDIRECT($B$5&amp;"生成成长"),3))*(VLOOKUP($B$5,标准坦克设计!$B$14:$K$20,9)/30))</f>
        <v>18.73205470528988</v>
      </c>
      <c r="EW201" s="173">
        <f ca="1">(VLOOKUP(EW$72,INDIRECT($C$5&amp;"生成成长"),2))/((VLOOKUP($B201,INDIRECT($B$5&amp;"生成成长"),4))/(VLOOKUP(EW$72,INDIRECT($C$5&amp;"生成成长"),5))*(VLOOKUP($B$5,标准坦克设计!$B$24:$U$30,MATCH("对"&amp;LEFT($C$5,2)&amp;"输出",标准坦克设计!$B$23:$U$23,0)))*(VLOOKUP($B201,INDIRECT($B$5&amp;"生成成长"),3))*(VLOOKUP($B$5,标准坦克设计!$B$14:$K$20,9)/30))</f>
        <v>20.116825863725353</v>
      </c>
      <c r="EX201" s="173">
        <f ca="1">(VLOOKUP(EX$72,INDIRECT($C$5&amp;"生成成长"),2))/((VLOOKUP($B201,INDIRECT($B$5&amp;"生成成长"),4))/(VLOOKUP(EX$72,INDIRECT($C$5&amp;"生成成长"),5))*(VLOOKUP($B$5,标准坦克设计!$B$24:$U$30,MATCH("对"&amp;LEFT($C$5,2)&amp;"输出",标准坦克设计!$B$23:$U$23,0)))*(VLOOKUP($B201,INDIRECT($B$5&amp;"生成成长"),3))*(VLOOKUP($B$5,标准坦克设计!$B$14:$K$20,9)/30))</f>
        <v>21.550972979187694</v>
      </c>
      <c r="EY201" s="173">
        <f ca="1">(VLOOKUP(EY$72,INDIRECT($C$5&amp;"生成成长"),2))/((VLOOKUP($B201,INDIRECT($B$5&amp;"生成成长"),4))/(VLOOKUP(EY$72,INDIRECT($C$5&amp;"生成成长"),5))*(VLOOKUP($B$5,标准坦克设计!$B$24:$U$30,MATCH("对"&amp;LEFT($C$5,2)&amp;"输出",标准坦克设计!$B$23:$U$23,0)))*(VLOOKUP($B201,INDIRECT($B$5&amp;"生成成长"),3))*(VLOOKUP($B$5,标准坦克设计!$B$14:$K$20,9)/30))</f>
        <v>23.034496051676918</v>
      </c>
      <c r="EZ201" s="173">
        <f ca="1">(VLOOKUP(EZ$72,INDIRECT($C$5&amp;"生成成长"),2))/((VLOOKUP($B201,INDIRECT($B$5&amp;"生成成长"),4))/(VLOOKUP(EZ$72,INDIRECT($C$5&amp;"生成成长"),5))*(VLOOKUP($B$5,标准坦克设计!$B$24:$U$30,MATCH("对"&amp;LEFT($C$5,2)&amp;"输出",标准坦克设计!$B$23:$U$23,0)))*(VLOOKUP($B201,INDIRECT($B$5&amp;"生成成长"),3))*(VLOOKUP($B$5,标准坦克设计!$B$14:$K$20,9)/30))</f>
        <v>24.567395081193006</v>
      </c>
      <c r="FA201" s="173">
        <f ca="1">(VLOOKUP(FA$72,INDIRECT($C$5&amp;"生成成长"),2))/((VLOOKUP($B201,INDIRECT($B$5&amp;"生成成长"),4))/(VLOOKUP(FA$72,INDIRECT($C$5&amp;"生成成长"),5))*(VLOOKUP($B$5,标准坦克设计!$B$24:$U$30,MATCH("对"&amp;LEFT($C$5,2)&amp;"输出",标准坦克设计!$B$23:$U$23,0)))*(VLOOKUP($B201,INDIRECT($B$5&amp;"生成成长"),3))*(VLOOKUP($B$5,标准坦克设计!$B$14:$K$20,9)/30))</f>
        <v>26.149670067735968</v>
      </c>
      <c r="FB201" s="173">
        <f ca="1">(VLOOKUP(FB$72,INDIRECT($C$5&amp;"生成成长"),2))/((VLOOKUP($B201,INDIRECT($B$5&amp;"生成成长"),4))/(VLOOKUP(FB$72,INDIRECT($C$5&amp;"生成成长"),5))*(VLOOKUP($B$5,标准坦克设计!$B$24:$U$30,MATCH("对"&amp;LEFT($C$5,2)&amp;"输出",标准坦克设计!$B$23:$U$23,0)))*(VLOOKUP($B201,INDIRECT($B$5&amp;"生成成长"),3))*(VLOOKUP($B$5,标准坦克设计!$B$14:$K$20,9)/30))</f>
        <v>27.781321011305806</v>
      </c>
      <c r="FC201" s="173">
        <f ca="1">(VLOOKUP(FC$72,INDIRECT($C$5&amp;"生成成长"),2))/((VLOOKUP($B201,INDIRECT($B$5&amp;"生成成长"),4))/(VLOOKUP(FC$72,INDIRECT($C$5&amp;"生成成长"),5))*(VLOOKUP($B$5,标准坦克设计!$B$24:$U$30,MATCH("对"&amp;LEFT($C$5,2)&amp;"输出",标准坦克设计!$B$23:$U$23,0)))*(VLOOKUP($B201,INDIRECT($B$5&amp;"生成成长"),3))*(VLOOKUP($B$5,标准坦克设计!$B$14:$K$20,9)/30))</f>
        <v>29.462347911902516</v>
      </c>
      <c r="FD201" s="173">
        <f ca="1">(VLOOKUP(FD$72,INDIRECT($C$5&amp;"生成成长"),2))/((VLOOKUP($B201,INDIRECT($B$5&amp;"生成成长"),4))/(VLOOKUP(FD$72,INDIRECT($C$5&amp;"生成成长"),5))*(VLOOKUP($B$5,标准坦克设计!$B$24:$U$30,MATCH("对"&amp;LEFT($C$5,2)&amp;"输出",标准坦克设计!$B$23:$U$23,0)))*(VLOOKUP($B201,INDIRECT($B$5&amp;"生成成长"),3))*(VLOOKUP($B$5,标准坦克设计!$B$14:$K$20,9)/30))</f>
        <v>31.1927507695261</v>
      </c>
      <c r="FE201" s="173">
        <f ca="1">(VLOOKUP(FE$72,INDIRECT($C$5&amp;"生成成长"),2))/((VLOOKUP($B201,INDIRECT($B$5&amp;"生成成长"),4))/(VLOOKUP(FE$72,INDIRECT($C$5&amp;"生成成长"),5))*(VLOOKUP($B$5,标准坦克设计!$B$24:$U$30,MATCH("对"&amp;LEFT($C$5,2)&amp;"输出",标准坦克设计!$B$23:$U$23,0)))*(VLOOKUP($B201,INDIRECT($B$5&amp;"生成成长"),3))*(VLOOKUP($B$5,标准坦克设计!$B$14:$K$20,9)/30))</f>
        <v>33.301430587182004</v>
      </c>
      <c r="FF201" s="173">
        <f ca="1">(VLOOKUP(FF$72,INDIRECT($C$5&amp;"生成成长"),2))/((VLOOKUP($B201,INDIRECT($B$5&amp;"生成成长"),4))/(VLOOKUP(FF$72,INDIRECT($C$5&amp;"生成成长"),5))*(VLOOKUP($B$5,标准坦克设计!$B$24:$U$30,MATCH("对"&amp;LEFT($C$5,2)&amp;"输出",标准坦克设计!$B$23:$U$23,0)))*(VLOOKUP($B201,INDIRECT($B$5&amp;"生成成长"),3))*(VLOOKUP($B$5,标准坦克设计!$B$14:$K$20,9)/30))</f>
        <v>35.479073518371308</v>
      </c>
      <c r="FG201" s="173">
        <f ca="1">(VLOOKUP(FG$72,INDIRECT($C$5&amp;"生成成长"),2))/((VLOOKUP($B201,INDIRECT($B$5&amp;"生成成长"),4))/(VLOOKUP(FG$72,INDIRECT($C$5&amp;"生成成长"),5))*(VLOOKUP($B$5,标准坦克设计!$B$24:$U$30,MATCH("对"&amp;LEFT($C$5,2)&amp;"输出",标准坦克设计!$B$23:$U$23,0)))*(VLOOKUP($B201,INDIRECT($B$5&amp;"生成成长"),3))*(VLOOKUP($B$5,标准坦克设计!$B$14:$K$20,9)/30))</f>
        <v>37.725679563094019</v>
      </c>
      <c r="FH201" s="173">
        <f ca="1">(VLOOKUP(FH$72,INDIRECT($C$5&amp;"生成成长"),2))/((VLOOKUP($B201,INDIRECT($B$5&amp;"生成成长"),4))/(VLOOKUP(FH$72,INDIRECT($C$5&amp;"生成成长"),5))*(VLOOKUP($B$5,标准坦克设计!$B$24:$U$30,MATCH("对"&amp;LEFT($C$5,2)&amp;"输出",标准坦克设计!$B$23:$U$23,0)))*(VLOOKUP($B201,INDIRECT($B$5&amp;"生成成长"),3))*(VLOOKUP($B$5,标准坦克设计!$B$14:$K$20,9)/30))</f>
        <v>40.041248721350122</v>
      </c>
      <c r="FI201" s="173">
        <f ca="1">(VLOOKUP(FI$72,INDIRECT($C$5&amp;"生成成长"),2))/((VLOOKUP($B201,INDIRECT($B$5&amp;"生成成长"),4))/(VLOOKUP(FI$72,INDIRECT($C$5&amp;"生成成长"),5))*(VLOOKUP($B$5,标准坦克设计!$B$24:$U$30,MATCH("对"&amp;LEFT($C$5,2)&amp;"输出",标准坦克设计!$B$23:$U$23,0)))*(VLOOKUP($B201,INDIRECT($B$5&amp;"生成成长"),3))*(VLOOKUP($B$5,标准坦克设计!$B$14:$K$20,9)/30))</f>
        <v>42.425780993139625</v>
      </c>
      <c r="FJ201" s="173">
        <f ca="1">(VLOOKUP(FJ$72,INDIRECT($C$5&amp;"生成成长"),2))/((VLOOKUP($B201,INDIRECT($B$5&amp;"生成成长"),4))/(VLOOKUP(FJ$72,INDIRECT($C$5&amp;"生成成长"),5))*(VLOOKUP($B$5,标准坦克设计!$B$24:$U$30,MATCH("对"&amp;LEFT($C$5,2)&amp;"输出",标准坦克设计!$B$23:$U$23,0)))*(VLOOKUP($B201,INDIRECT($B$5&amp;"生成成长"),3))*(VLOOKUP($B$5,标准坦克设计!$B$14:$K$20,9)/30))</f>
        <v>44.879276378462528</v>
      </c>
      <c r="FK201" s="173">
        <f ca="1">(VLOOKUP(FK$72,INDIRECT($C$5&amp;"生成成长"),2))/((VLOOKUP($B201,INDIRECT($B$5&amp;"生成成长"),4))/(VLOOKUP(FK$72,INDIRECT($C$5&amp;"生成成长"),5))*(VLOOKUP($B$5,标准坦克设计!$B$24:$U$30,MATCH("对"&amp;LEFT($C$5,2)&amp;"输出",标准坦克设计!$B$23:$U$23,0)))*(VLOOKUP($B201,INDIRECT($B$5&amp;"生成成长"),3))*(VLOOKUP($B$5,标准坦克设计!$B$14:$K$20,9)/30))</f>
        <v>47.401734877318837</v>
      </c>
    </row>
    <row r="202" spans="1:167" x14ac:dyDescent="0.15">
      <c r="A202" s="171" t="str">
        <f t="shared" ref="A202:A237" si="13">"T"&amp;LEFT(RIGHT(B202,3),1)&amp;""&amp;IF(LEFT(B202,1)="1","低品质",IF(LEFT(B202,1)="2","中品质","高品质"))&amp;""&amp;IF(LEFT(RIGHT(B202,2),1)="0",RIGHT(B202,1),RIGHT(B202,2))&amp;"级"</f>
        <v>T4高品质4级</v>
      </c>
      <c r="B202" s="172">
        <v>30404</v>
      </c>
      <c r="C202" s="173">
        <f ca="1">(VLOOKUP(C$72,INDIRECT($C$5&amp;"生成成长"),2))/((VLOOKUP($B202,INDIRECT($B$5&amp;"生成成长"),4))/(VLOOKUP(C$72,INDIRECT($C$5&amp;"生成成长"),5))*(VLOOKUP($B$5,标准坦克设计!$B$24:$U$30,MATCH("对"&amp;LEFT($C$5,2)&amp;"输出",标准坦克设计!$B$23:$U$23,0)))*(VLOOKUP($B202,INDIRECT($B$5&amp;"生成成长"),3))*(VLOOKUP($B$5,标准坦克设计!$B$14:$K$20,9)/30))</f>
        <v>1.859460494661523</v>
      </c>
      <c r="D202" s="173">
        <f ca="1">(VLOOKUP(D$72,INDIRECT($C$5&amp;"生成成长"),2))/((VLOOKUP($B202,INDIRECT($B$5&amp;"生成成长"),4))/(VLOOKUP(D$72,INDIRECT($C$5&amp;"生成成长"),5))*(VLOOKUP($B$5,标准坦克设计!$B$24:$U$30,MATCH("对"&amp;LEFT($C$5,2)&amp;"输出",标准坦克设计!$B$23:$U$23,0)))*(VLOOKUP($B202,INDIRECT($B$5&amp;"生成成长"),3))*(VLOOKUP($B$5,标准坦克设计!$B$14:$K$20,9)/30))</f>
        <v>2.0892898118016872</v>
      </c>
      <c r="E202" s="173">
        <f ca="1">(VLOOKUP(E$72,INDIRECT($C$5&amp;"生成成长"),2))/((VLOOKUP($B202,INDIRECT($B$5&amp;"生成成长"),4))/(VLOOKUP(E$72,INDIRECT($C$5&amp;"生成成长"),5))*(VLOOKUP($B$5,标准坦克设计!$B$24:$U$30,MATCH("对"&amp;LEFT($C$5,2)&amp;"输出",标准坦克设计!$B$23:$U$23,0)))*(VLOOKUP($B202,INDIRECT($B$5&amp;"生成成长"),3))*(VLOOKUP($B$5,标准坦克设计!$B$14:$K$20,9)/30))</f>
        <v>2.3325072445034145</v>
      </c>
      <c r="F202" s="173">
        <f ca="1">(VLOOKUP(F$72,INDIRECT($C$5&amp;"生成成长"),2))/((VLOOKUP($B202,INDIRECT($B$5&amp;"生成成长"),4))/(VLOOKUP(F$72,INDIRECT($C$5&amp;"生成成长"),5))*(VLOOKUP($B$5,标准坦克设计!$B$24:$U$30,MATCH("对"&amp;LEFT($C$5,2)&amp;"输出",标准坦克设计!$B$23:$U$23,0)))*(VLOOKUP($B202,INDIRECT($B$5&amp;"生成成长"),3))*(VLOOKUP($B$5,标准坦克设计!$B$14:$K$20,9)/30))</f>
        <v>2.5891127927667048</v>
      </c>
      <c r="G202" s="173">
        <f ca="1">(VLOOKUP(G$72,INDIRECT($C$5&amp;"生成成长"),2))/((VLOOKUP($B202,INDIRECT($B$5&amp;"生成成长"),4))/(VLOOKUP(G$72,INDIRECT($C$5&amp;"生成成长"),5))*(VLOOKUP($B$5,标准坦克设计!$B$24:$U$30,MATCH("对"&amp;LEFT($C$5,2)&amp;"输出",标准坦克设计!$B$23:$U$23,0)))*(VLOOKUP($B202,INDIRECT($B$5&amp;"生成成长"),3))*(VLOOKUP($B$5,标准坦克设计!$B$14:$K$20,9)/30))</f>
        <v>2.8591064565915576</v>
      </c>
      <c r="H202" s="173">
        <f ca="1">(VLOOKUP(H$72,INDIRECT($C$5&amp;"生成成长"),2))/((VLOOKUP($B202,INDIRECT($B$5&amp;"生成成长"),4))/(VLOOKUP(H$72,INDIRECT($C$5&amp;"生成成长"),5))*(VLOOKUP($B$5,标准坦克设计!$B$24:$U$30,MATCH("对"&amp;LEFT($C$5,2)&amp;"输出",标准坦克设计!$B$23:$U$23,0)))*(VLOOKUP($B202,INDIRECT($B$5&amp;"生成成长"),3))*(VLOOKUP($B$5,标准坦克设计!$B$14:$K$20,9)/30))</f>
        <v>2.5020900416165452</v>
      </c>
      <c r="I202" s="173">
        <f ca="1">(VLOOKUP(I$72,INDIRECT($C$5&amp;"生成成长"),2))/((VLOOKUP($B202,INDIRECT($B$5&amp;"生成成长"),4))/(VLOOKUP(I$72,INDIRECT($C$5&amp;"生成成长"),5))*(VLOOKUP($B$5,标准坦克设计!$B$24:$U$30,MATCH("对"&amp;LEFT($C$5,2)&amp;"输出",标准坦克设计!$B$23:$U$23,0)))*(VLOOKUP($B202,INDIRECT($B$5&amp;"生成成长"),3))*(VLOOKUP($B$5,标准坦克设计!$B$14:$K$20,9)/30))</f>
        <v>2.8591064565915576</v>
      </c>
      <c r="J202" s="173">
        <f ca="1">(VLOOKUP(J$72,INDIRECT($C$5&amp;"生成成长"),2))/((VLOOKUP($B202,INDIRECT($B$5&amp;"生成成长"),4))/(VLOOKUP(J$72,INDIRECT($C$5&amp;"生成成长"),5))*(VLOOKUP($B$5,标准坦克设计!$B$24:$U$30,MATCH("对"&amp;LEFT($C$5,2)&amp;"输出",标准坦克设计!$B$23:$U$23,0)))*(VLOOKUP($B202,INDIRECT($B$5&amp;"生成成长"),3))*(VLOOKUP($B$5,标准坦克设计!$B$14:$K$20,9)/30))</f>
        <v>3.2399239658982375</v>
      </c>
      <c r="K202" s="173">
        <f ca="1">(VLOOKUP(K$72,INDIRECT($C$5&amp;"生成成长"),2))/((VLOOKUP($B202,INDIRECT($B$5&amp;"生成成长"),4))/(VLOOKUP(K$72,INDIRECT($C$5&amp;"生成成长"),5))*(VLOOKUP($B$5,标准坦克设计!$B$24:$U$30,MATCH("对"&amp;LEFT($C$5,2)&amp;"输出",标准坦克设计!$B$23:$U$23,0)))*(VLOOKUP($B202,INDIRECT($B$5&amp;"生成成长"),3))*(VLOOKUP($B$5,标准坦克设计!$B$14:$K$20,9)/30))</f>
        <v>3.644542569536585</v>
      </c>
      <c r="L202" s="173">
        <f ca="1">(VLOOKUP(L$72,INDIRECT($C$5&amp;"生成成长"),2))/((VLOOKUP($B202,INDIRECT($B$5&amp;"生成成长"),4))/(VLOOKUP(L$72,INDIRECT($C$5&amp;"生成成长"),5))*(VLOOKUP($B$5,标准坦克设计!$B$24:$U$30,MATCH("对"&amp;LEFT($C$5,2)&amp;"输出",标准坦克设计!$B$23:$U$23,0)))*(VLOOKUP($B202,INDIRECT($B$5&amp;"生成成长"),3))*(VLOOKUP($B$5,标准坦克设计!$B$14:$K$20,9)/30))</f>
        <v>4.0729622675066004</v>
      </c>
      <c r="M202" s="173">
        <f ca="1">(VLOOKUP(M$72,INDIRECT($C$5&amp;"生成成长"),2))/((VLOOKUP($B202,INDIRECT($B$5&amp;"生成成长"),4))/(VLOOKUP(M$72,INDIRECT($C$5&amp;"生成成长"),5))*(VLOOKUP($B$5,标准坦克设计!$B$24:$U$30,MATCH("对"&amp;LEFT($C$5,2)&amp;"输出",标准坦克设计!$B$23:$U$23,0)))*(VLOOKUP($B202,INDIRECT($B$5&amp;"生成成长"),3))*(VLOOKUP($B$5,标准坦克设计!$B$14:$K$20,9)/30))</f>
        <v>4.5251830598082829</v>
      </c>
      <c r="N202" s="173">
        <f ca="1">(VLOOKUP(N$72,INDIRECT($C$5&amp;"生成成长"),2))/((VLOOKUP($B202,INDIRECT($B$5&amp;"生成成长"),4))/(VLOOKUP(N$72,INDIRECT($C$5&amp;"生成成长"),5))*(VLOOKUP($B$5,标准坦克设计!$B$24:$U$30,MATCH("对"&amp;LEFT($C$5,2)&amp;"输出",标准坦克设计!$B$23:$U$23,0)))*(VLOOKUP($B202,INDIRECT($B$5&amp;"生成成长"),3))*(VLOOKUP($B$5,标准坦克设计!$B$14:$K$20,9)/30))</f>
        <v>5.0012049464416322</v>
      </c>
      <c r="O202" s="173">
        <f ca="1">(VLOOKUP(O$72,INDIRECT($C$5&amp;"生成成长"),2))/((VLOOKUP($B202,INDIRECT($B$5&amp;"生成成长"),4))/(VLOOKUP(O$72,INDIRECT($C$5&amp;"生成成长"),5))*(VLOOKUP($B$5,标准坦克设计!$B$24:$U$30,MATCH("对"&amp;LEFT($C$5,2)&amp;"输出",标准坦克设计!$B$23:$U$23,0)))*(VLOOKUP($B202,INDIRECT($B$5&amp;"生成成长"),3))*(VLOOKUP($B$5,标准坦克设计!$B$14:$K$20,9)/30))</f>
        <v>3.8024107655333492</v>
      </c>
      <c r="P202" s="173">
        <f ca="1">(VLOOKUP(P$72,INDIRECT($C$5&amp;"生成成长"),2))/((VLOOKUP($B202,INDIRECT($B$5&amp;"生成成长"),4))/(VLOOKUP(P$72,INDIRECT($C$5&amp;"生成成长"),5))*(VLOOKUP($B$5,标准坦克设计!$B$24:$U$30,MATCH("对"&amp;LEFT($C$5,2)&amp;"输出",标准坦克设计!$B$23:$U$23,0)))*(VLOOKUP($B202,INDIRECT($B$5&amp;"生成成长"),3))*(VLOOKUP($B$5,标准坦克设计!$B$14:$K$20,9)/30))</f>
        <v>4.2960975268659825</v>
      </c>
      <c r="Q202" s="173">
        <f ca="1">(VLOOKUP(Q$72,INDIRECT($C$5&amp;"生成成长"),2))/((VLOOKUP($B202,INDIRECT($B$5&amp;"生成成长"),4))/(VLOOKUP(Q$72,INDIRECT($C$5&amp;"生成成长"),5))*(VLOOKUP($B$5,标准坦克设计!$B$24:$U$30,MATCH("对"&amp;LEFT($C$5,2)&amp;"输出",标准坦克设计!$B$23:$U$23,0)))*(VLOOKUP($B202,INDIRECT($B$5&amp;"生成成长"),3))*(VLOOKUP($B$5,标准坦克设计!$B$14:$K$20,9)/30))</f>
        <v>4.8199075482121341</v>
      </c>
      <c r="R202" s="173">
        <f ca="1">(VLOOKUP(R$72,INDIRECT($C$5&amp;"生成成长"),2))/((VLOOKUP($B202,INDIRECT($B$5&amp;"生成成长"),4))/(VLOOKUP(R$72,INDIRECT($C$5&amp;"生成成长"),5))*(VLOOKUP($B$5,标准坦克设计!$B$24:$U$30,MATCH("对"&amp;LEFT($C$5,2)&amp;"输出",标准坦克设计!$B$23:$U$23,0)))*(VLOOKUP($B202,INDIRECT($B$5&amp;"生成成长"),3))*(VLOOKUP($B$5,标准坦克设计!$B$14:$K$20,9)/30))</f>
        <v>5.373840829571801</v>
      </c>
      <c r="S202" s="173">
        <f ca="1">(VLOOKUP(S$72,INDIRECT($C$5&amp;"生成成长"),2))/((VLOOKUP($B202,INDIRECT($B$5&amp;"生成成长"),4))/(VLOOKUP(S$72,INDIRECT($C$5&amp;"生成成长"),5))*(VLOOKUP($B$5,标准坦克设计!$B$24:$U$30,MATCH("对"&amp;LEFT($C$5,2)&amp;"输出",标准坦克设计!$B$23:$U$23,0)))*(VLOOKUP($B202,INDIRECT($B$5&amp;"生成成长"),3))*(VLOOKUP($B$5,标准坦克设计!$B$14:$K$20,9)/30))</f>
        <v>5.9578973709449867</v>
      </c>
      <c r="T202" s="173">
        <f ca="1">(VLOOKUP(T$72,INDIRECT($C$5&amp;"生成成长"),2))/((VLOOKUP($B202,INDIRECT($B$5&amp;"生成成长"),4))/(VLOOKUP(T$72,INDIRECT($C$5&amp;"生成成长"),5))*(VLOOKUP($B$5,标准坦克设计!$B$24:$U$30,MATCH("对"&amp;LEFT($C$5,2)&amp;"输出",标准坦克设计!$B$23:$U$23,0)))*(VLOOKUP($B202,INDIRECT($B$5&amp;"生成成长"),3))*(VLOOKUP($B$5,标准坦克设计!$B$14:$K$20,9)/30))</f>
        <v>6.5720771723316869</v>
      </c>
      <c r="U202" s="173">
        <f ca="1">(VLOOKUP(U$72,INDIRECT($C$5&amp;"生成成长"),2))/((VLOOKUP($B202,INDIRECT($B$5&amp;"生成成长"),4))/(VLOOKUP(U$72,INDIRECT($C$5&amp;"生成成长"),5))*(VLOOKUP($B$5,标准坦克设计!$B$24:$U$30,MATCH("对"&amp;LEFT($C$5,2)&amp;"输出",标准坦克设计!$B$23:$U$23,0)))*(VLOOKUP($B202,INDIRECT($B$5&amp;"生成成长"),3))*(VLOOKUP($B$5,标准坦克设计!$B$14:$K$20,9)/30))</f>
        <v>7.2163802337319058</v>
      </c>
      <c r="V202" s="173">
        <f ca="1">(VLOOKUP(V$72,INDIRECT($C$5&amp;"生成成长"),2))/((VLOOKUP($B202,INDIRECT($B$5&amp;"生成成长"),4))/(VLOOKUP(V$72,INDIRECT($C$5&amp;"生成成长"),5))*(VLOOKUP($B$5,标准坦克设计!$B$24:$U$30,MATCH("对"&amp;LEFT($C$5,2)&amp;"输出",标准坦克设计!$B$23:$U$23,0)))*(VLOOKUP($B202,INDIRECT($B$5&amp;"生成成长"),3))*(VLOOKUP($B$5,标准坦克设计!$B$14:$K$20,9)/30))</f>
        <v>7.8908065551456392</v>
      </c>
      <c r="W202" s="173">
        <f ca="1">(VLOOKUP(W$72,INDIRECT($C$5&amp;"生成成长"),2))/((VLOOKUP($B202,INDIRECT($B$5&amp;"生成成长"),4))/(VLOOKUP(W$72,INDIRECT($C$5&amp;"生成成长"),5))*(VLOOKUP($B$5,标准坦克设计!$B$24:$U$30,MATCH("对"&amp;LEFT($C$5,2)&amp;"输出",标准坦克设计!$B$23:$U$23,0)))*(VLOOKUP($B202,INDIRECT($B$5&amp;"生成成长"),3))*(VLOOKUP($B$5,标准坦克设计!$B$14:$K$20,9)/30))</f>
        <v>8.5953561365728905</v>
      </c>
      <c r="X202" s="173">
        <f ca="1">(VLOOKUP(X$72,INDIRECT($C$5&amp;"生成成长"),2))/((VLOOKUP($B202,INDIRECT($B$5&amp;"生成成长"),4))/(VLOOKUP(X$72,INDIRECT($C$5&amp;"生成成长"),5))*(VLOOKUP($B$5,标准坦克设计!$B$24:$U$30,MATCH("对"&amp;LEFT($C$5,2)&amp;"输出",标准坦克设计!$B$23:$U$23,0)))*(VLOOKUP($B202,INDIRECT($B$5&amp;"生成成长"),3))*(VLOOKUP($B$5,标准坦克设计!$B$14:$K$20,9)/30))</f>
        <v>6.2271472505719752</v>
      </c>
      <c r="Y202" s="173">
        <f ca="1">(VLOOKUP(Y$72,INDIRECT($C$5&amp;"生成成长"),2))/((VLOOKUP($B202,INDIRECT($B$5&amp;"生成成长"),4))/(VLOOKUP(Y$72,INDIRECT($C$5&amp;"生成成长"),5))*(VLOOKUP($B$5,标准坦克设计!$B$24:$U$30,MATCH("对"&amp;LEFT($C$5,2)&amp;"输出",标准坦克设计!$B$23:$U$23,0)))*(VLOOKUP($B202,INDIRECT($B$5&amp;"生成成长"),3))*(VLOOKUP($B$5,标准坦克设计!$B$14:$K$20,9)/30))</f>
        <v>6.9263043965647055</v>
      </c>
      <c r="Z202" s="173">
        <f ca="1">(VLOOKUP(Z$72,INDIRECT($C$5&amp;"生成成长"),2))/((VLOOKUP($B202,INDIRECT($B$5&amp;"生成成长"),4))/(VLOOKUP(Z$72,INDIRECT($C$5&amp;"生成成长"),5))*(VLOOKUP($B$5,标准坦克设计!$B$24:$U$30,MATCH("对"&amp;LEFT($C$5,2)&amp;"输出",标准坦克设计!$B$23:$U$23,0)))*(VLOOKUP($B202,INDIRECT($B$5&amp;"生成成长"),3))*(VLOOKUP($B$5,标准坦克设计!$B$14:$K$20,9)/30))</f>
        <v>7.6626507524506708</v>
      </c>
      <c r="AA202" s="173">
        <f ca="1">(VLOOKUP(AA$72,INDIRECT($C$5&amp;"生成成长"),2))/((VLOOKUP($B202,INDIRECT($B$5&amp;"生成成长"),4))/(VLOOKUP(AA$72,INDIRECT($C$5&amp;"生成成长"),5))*(VLOOKUP($B$5,标准坦克设计!$B$24:$U$30,MATCH("对"&amp;LEFT($C$5,2)&amp;"输出",标准坦克设计!$B$23:$U$23,0)))*(VLOOKUP($B202,INDIRECT($B$5&amp;"生成成长"),3))*(VLOOKUP($B$5,标准坦克设计!$B$14:$K$20,9)/30))</f>
        <v>8.4361863182298631</v>
      </c>
      <c r="AB202" s="173">
        <f ca="1">(VLOOKUP(AB$72,INDIRECT($C$5&amp;"生成成长"),2))/((VLOOKUP($B202,INDIRECT($B$5&amp;"生成成长"),4))/(VLOOKUP(AB$72,INDIRECT($C$5&amp;"生成成长"),5))*(VLOOKUP($B$5,标准坦克设计!$B$24:$U$30,MATCH("对"&amp;LEFT($C$5,2)&amp;"输出",标准坦克设计!$B$23:$U$23,0)))*(VLOOKUP($B202,INDIRECT($B$5&amp;"生成成长"),3))*(VLOOKUP($B$5,标准坦克设计!$B$14:$K$20,9)/30))</f>
        <v>9.2469110939022876</v>
      </c>
      <c r="AC202" s="173">
        <f ca="1">(VLOOKUP(AC$72,INDIRECT($C$5&amp;"生成成长"),2))/((VLOOKUP($B202,INDIRECT($B$5&amp;"生成成长"),4))/(VLOOKUP(AC$72,INDIRECT($C$5&amp;"生成成长"),5))*(VLOOKUP($B$5,标准坦克设计!$B$24:$U$30,MATCH("对"&amp;LEFT($C$5,2)&amp;"输出",标准坦克设计!$B$23:$U$23,0)))*(VLOOKUP($B202,INDIRECT($B$5&amp;"生成成长"),3))*(VLOOKUP($B$5,标准坦克设计!$B$14:$K$20,9)/30))</f>
        <v>10.094825079467943</v>
      </c>
      <c r="AD202" s="173">
        <f ca="1">(VLOOKUP(AD$72,INDIRECT($C$5&amp;"生成成长"),2))/((VLOOKUP($B202,INDIRECT($B$5&amp;"生成成长"),4))/(VLOOKUP(AD$72,INDIRECT($C$5&amp;"生成成长"),5))*(VLOOKUP($B$5,标准坦克设计!$B$24:$U$30,MATCH("对"&amp;LEFT($C$5,2)&amp;"输出",标准坦克设计!$B$23:$U$23,0)))*(VLOOKUP($B202,INDIRECT($B$5&amp;"生成成长"),3))*(VLOOKUP($B$5,标准坦克设计!$B$14:$K$20,9)/30))</f>
        <v>10.979928274926829</v>
      </c>
      <c r="AE202" s="173">
        <f ca="1">(VLOOKUP(AE$72,INDIRECT($C$5&amp;"生成成长"),2))/((VLOOKUP($B202,INDIRECT($B$5&amp;"生成成长"),4))/(VLOOKUP(AE$72,INDIRECT($C$5&amp;"生成成长"),5))*(VLOOKUP($B$5,标准坦克设计!$B$24:$U$30,MATCH("对"&amp;LEFT($C$5,2)&amp;"输出",标准坦克设计!$B$23:$U$23,0)))*(VLOOKUP($B202,INDIRECT($B$5&amp;"生成成长"),3))*(VLOOKUP($B$5,标准坦克设计!$B$14:$K$20,9)/30))</f>
        <v>11.902220680278944</v>
      </c>
      <c r="AF202" s="173">
        <f ca="1">(VLOOKUP(AF$72,INDIRECT($C$5&amp;"生成成长"),2))/((VLOOKUP($B202,INDIRECT($B$5&amp;"生成成长"),4))/(VLOOKUP(AF$72,INDIRECT($C$5&amp;"生成成长"),5))*(VLOOKUP($B$5,标准坦克设计!$B$24:$U$30,MATCH("对"&amp;LEFT($C$5,2)&amp;"输出",标准坦克设计!$B$23:$U$23,0)))*(VLOOKUP($B202,INDIRECT($B$5&amp;"生成成长"),3))*(VLOOKUP($B$5,标准坦克设计!$B$14:$K$20,9)/30))</f>
        <v>12.861702295524289</v>
      </c>
      <c r="AG202" s="173">
        <f ca="1">(VLOOKUP(AG$72,INDIRECT($C$5&amp;"生成成长"),2))/((VLOOKUP($B202,INDIRECT($B$5&amp;"生成成长"),4))/(VLOOKUP(AG$72,INDIRECT($C$5&amp;"生成成长"),5))*(VLOOKUP($B$5,标准坦克设计!$B$24:$U$30,MATCH("对"&amp;LEFT($C$5,2)&amp;"输出",标准坦克设计!$B$23:$U$23,0)))*(VLOOKUP($B202,INDIRECT($B$5&amp;"生成成长"),3))*(VLOOKUP($B$5,标准坦克设计!$B$14:$K$20,9)/30))</f>
        <v>13.858373120662865</v>
      </c>
      <c r="AH202" s="173">
        <f ca="1">(VLOOKUP(AH$72,INDIRECT($C$5&amp;"生成成长"),2))/((VLOOKUP($B202,INDIRECT($B$5&amp;"生成成长"),4))/(VLOOKUP(AH$72,INDIRECT($C$5&amp;"生成成长"),5))*(VLOOKUP($B$5,标准坦克设计!$B$24:$U$30,MATCH("对"&amp;LEFT($C$5,2)&amp;"输出",标准坦克设计!$B$23:$U$23,0)))*(VLOOKUP($B202,INDIRECT($B$5&amp;"生成成长"),3))*(VLOOKUP($B$5,标准坦克设计!$B$14:$K$20,9)/30))</f>
        <v>14.892233155694674</v>
      </c>
      <c r="AI202" s="173">
        <f ca="1">(VLOOKUP(AI$72,INDIRECT($C$5&amp;"生成成长"),2))/((VLOOKUP($B202,INDIRECT($B$5&amp;"生成成长"),4))/(VLOOKUP(AI$72,INDIRECT($C$5&amp;"生成成长"),5))*(VLOOKUP($B$5,标准坦克设计!$B$24:$U$30,MATCH("对"&amp;LEFT($C$5,2)&amp;"输出",标准坦克设计!$B$23:$U$23,0)))*(VLOOKUP($B202,INDIRECT($B$5&amp;"生成成长"),3))*(VLOOKUP($B$5,标准坦克设计!$B$14:$K$20,9)/30))</f>
        <v>10.532728025960731</v>
      </c>
      <c r="AJ202" s="173">
        <f ca="1">(VLOOKUP(AJ$72,INDIRECT($C$5&amp;"生成成长"),2))/((VLOOKUP($B202,INDIRECT($B$5&amp;"生成成长"),4))/(VLOOKUP(AJ$72,INDIRECT($C$5&amp;"生成成长"),5))*(VLOOKUP($B$5,标准坦克设计!$B$24:$U$30,MATCH("对"&amp;LEFT($C$5,2)&amp;"输出",标准坦克设计!$B$23:$U$23,0)))*(VLOOKUP($B202,INDIRECT($B$5&amp;"生成成长"),3))*(VLOOKUP($B$5,标准坦克设计!$B$14:$K$20,9)/30))</f>
        <v>11.528841012950911</v>
      </c>
      <c r="AK202" s="173">
        <f ca="1">(VLOOKUP(AK$72,INDIRECT($C$5&amp;"生成成长"),2))/((VLOOKUP($B202,INDIRECT($B$5&amp;"生成成长"),4))/(VLOOKUP(AK$72,INDIRECT($C$5&amp;"生成成长"),5))*(VLOOKUP($B$5,标准坦克设计!$B$24:$U$30,MATCH("对"&amp;LEFT($C$5,2)&amp;"输出",标准坦克设计!$B$23:$U$23,0)))*(VLOOKUP($B202,INDIRECT($B$5&amp;"生成成长"),3))*(VLOOKUP($B$5,标准坦克设计!$B$14:$K$20,9)/30))</f>
        <v>12.569952943911895</v>
      </c>
      <c r="AL202" s="173">
        <f ca="1">(VLOOKUP(AL$72,INDIRECT($C$5&amp;"生成成长"),2))/((VLOOKUP($B202,INDIRECT($B$5&amp;"生成成长"),4))/(VLOOKUP(AL$72,INDIRECT($C$5&amp;"生成成长"),5))*(VLOOKUP($B$5,标准坦克设计!$B$24:$U$30,MATCH("对"&amp;LEFT($C$5,2)&amp;"输出",标准坦克设计!$B$23:$U$23,0)))*(VLOOKUP($B202,INDIRECT($B$5&amp;"生成成长"),3))*(VLOOKUP($B$5,标准坦克设计!$B$14:$K$20,9)/30))</f>
        <v>13.656063818843691</v>
      </c>
      <c r="AM202" s="173">
        <f ca="1">(VLOOKUP(AM$72,INDIRECT($C$5&amp;"生成成长"),2))/((VLOOKUP($B202,INDIRECT($B$5&amp;"生成成长"),4))/(VLOOKUP(AM$72,INDIRECT($C$5&amp;"生成成长"),5))*(VLOOKUP($B$5,标准坦克设计!$B$24:$U$30,MATCH("对"&amp;LEFT($C$5,2)&amp;"输出",标准坦克设计!$B$23:$U$23,0)))*(VLOOKUP($B202,INDIRECT($B$5&amp;"生成成长"),3))*(VLOOKUP($B$5,标准坦克设计!$B$14:$K$20,9)/30))</f>
        <v>14.787173637746298</v>
      </c>
      <c r="AN202" s="173">
        <f ca="1">(VLOOKUP(AN$72,INDIRECT($C$5&amp;"生成成长"),2))/((VLOOKUP($B202,INDIRECT($B$5&amp;"生成成长"),4))/(VLOOKUP(AN$72,INDIRECT($C$5&amp;"生成成长"),5))*(VLOOKUP($B$5,标准坦克设计!$B$24:$U$30,MATCH("对"&amp;LEFT($C$5,2)&amp;"输出",标准坦克设计!$B$23:$U$23,0)))*(VLOOKUP($B202,INDIRECT($B$5&amp;"生成成长"),3))*(VLOOKUP($B$5,标准坦克设计!$B$14:$K$20,9)/30))</f>
        <v>15.963282400619708</v>
      </c>
      <c r="AO202" s="173">
        <f ca="1">(VLOOKUP(AO$72,INDIRECT($C$5&amp;"生成成长"),2))/((VLOOKUP($B202,INDIRECT($B$5&amp;"生成成长"),4))/(VLOOKUP(AO$72,INDIRECT($C$5&amp;"生成成长"),5))*(VLOOKUP($B$5,标准坦克设计!$B$24:$U$30,MATCH("对"&amp;LEFT($C$5,2)&amp;"输出",标准坦克设计!$B$23:$U$23,0)))*(VLOOKUP($B202,INDIRECT($B$5&amp;"生成成长"),3))*(VLOOKUP($B$5,标准坦克设计!$B$14:$K$20,9)/30))</f>
        <v>17.18439010746393</v>
      </c>
      <c r="AP202" s="173">
        <f ca="1">(VLOOKUP(AP$72,INDIRECT($C$5&amp;"生成成长"),2))/((VLOOKUP($B202,INDIRECT($B$5&amp;"生成成长"),4))/(VLOOKUP(AP$72,INDIRECT($C$5&amp;"生成成长"),5))*(VLOOKUP($B$5,标准坦克设计!$B$24:$U$30,MATCH("对"&amp;LEFT($C$5,2)&amp;"输出",标准坦克设计!$B$23:$U$23,0)))*(VLOOKUP($B202,INDIRECT($B$5&amp;"生成成长"),3))*(VLOOKUP($B$5,标准坦克设计!$B$14:$K$20,9)/30))</f>
        <v>18.450496758278963</v>
      </c>
      <c r="AQ202" s="173">
        <f ca="1">(VLOOKUP(AQ$72,INDIRECT($C$5&amp;"生成成长"),2))/((VLOOKUP($B202,INDIRECT($B$5&amp;"生成成长"),4))/(VLOOKUP(AQ$72,INDIRECT($C$5&amp;"生成成长"),5))*(VLOOKUP($B$5,标准坦克设计!$B$24:$U$30,MATCH("对"&amp;LEFT($C$5,2)&amp;"输出",标准坦克设计!$B$23:$U$23,0)))*(VLOOKUP($B202,INDIRECT($B$5&amp;"生成成长"),3))*(VLOOKUP($B$5,标准坦克设计!$B$14:$K$20,9)/30))</f>
        <v>19.761602353064802</v>
      </c>
      <c r="AR202" s="173">
        <f ca="1">(VLOOKUP(AR$72,INDIRECT($C$5&amp;"生成成长"),2))/((VLOOKUP($B202,INDIRECT($B$5&amp;"生成成长"),4))/(VLOOKUP(AR$72,INDIRECT($C$5&amp;"生成成长"),5))*(VLOOKUP($B$5,标准坦克设计!$B$24:$U$30,MATCH("对"&amp;LEFT($C$5,2)&amp;"输出",标准坦克设计!$B$23:$U$23,0)))*(VLOOKUP($B202,INDIRECT($B$5&amp;"生成成长"),3))*(VLOOKUP($B$5,标准坦克设计!$B$14:$K$20,9)/30))</f>
        <v>21.117706891821452</v>
      </c>
      <c r="AS202" s="173">
        <f ca="1">(VLOOKUP(AS$72,INDIRECT($C$5&amp;"生成成长"),2))/((VLOOKUP($B202,INDIRECT($B$5&amp;"生成成长"),4))/(VLOOKUP(AS$72,INDIRECT($C$5&amp;"生成成长"),5))*(VLOOKUP($B$5,标准坦克设计!$B$24:$U$30,MATCH("对"&amp;LEFT($C$5,2)&amp;"输出",标准坦克设计!$B$23:$U$23,0)))*(VLOOKUP($B202,INDIRECT($B$5&amp;"生成成长"),3))*(VLOOKUP($B$5,标准坦克设计!$B$14:$K$20,9)/30))</f>
        <v>22.518810374548909</v>
      </c>
      <c r="AT202" s="173">
        <f ca="1">(VLOOKUP(AT$72,INDIRECT($C$5&amp;"生成成长"),2))/((VLOOKUP($B202,INDIRECT($B$5&amp;"生成成长"),4))/(VLOOKUP(AT$72,INDIRECT($C$5&amp;"生成成长"),5))*(VLOOKUP($B$5,标准坦克设计!$B$24:$U$30,MATCH("对"&amp;LEFT($C$5,2)&amp;"输出",标准坦克设计!$B$23:$U$23,0)))*(VLOOKUP($B202,INDIRECT($B$5&amp;"生成成长"),3))*(VLOOKUP($B$5,标准坦克设计!$B$14:$K$20,9)/30))</f>
        <v>23.964912801247177</v>
      </c>
      <c r="AU202" s="173">
        <f ca="1">(VLOOKUP(AU$72,INDIRECT($C$5&amp;"生成成长"),2))/((VLOOKUP($B202,INDIRECT($B$5&amp;"生成成长"),4))/(VLOOKUP(AU$72,INDIRECT($C$5&amp;"生成成长"),5))*(VLOOKUP($B$5,标准坦克设计!$B$24:$U$30,MATCH("对"&amp;LEFT($C$5,2)&amp;"输出",标准坦克设计!$B$23:$U$23,0)))*(VLOOKUP($B202,INDIRECT($B$5&amp;"生成成长"),3))*(VLOOKUP($B$5,标准坦克设计!$B$14:$K$20,9)/30))</f>
        <v>25.456014171916248</v>
      </c>
      <c r="AV202" s="173">
        <f ca="1">(VLOOKUP(AV$72,INDIRECT($C$5&amp;"生成成长"),2))/((VLOOKUP($B202,INDIRECT($B$5&amp;"生成成长"),4))/(VLOOKUP(AV$72,INDIRECT($C$5&amp;"生成成长"),5))*(VLOOKUP($B$5,标准坦克设计!$B$24:$U$30,MATCH("对"&amp;LEFT($C$5,2)&amp;"输出",标准坦克设计!$B$23:$U$23,0)))*(VLOOKUP($B202,INDIRECT($B$5&amp;"生成成长"),3))*(VLOOKUP($B$5,标准坦克设计!$B$14:$K$20,9)/30))</f>
        <v>2.5891127927667048</v>
      </c>
      <c r="AW202" s="173">
        <f ca="1">(VLOOKUP(AW$72,INDIRECT($C$5&amp;"生成成长"),2))/((VLOOKUP($B202,INDIRECT($B$5&amp;"生成成长"),4))/(VLOOKUP(AW$72,INDIRECT($C$5&amp;"生成成长"),5))*(VLOOKUP($B$5,标准坦克设计!$B$24:$U$30,MATCH("对"&amp;LEFT($C$5,2)&amp;"输出",标准坦克设计!$B$23:$U$23,0)))*(VLOOKUP($B202,INDIRECT($B$5&amp;"生成成长"),3))*(VLOOKUP($B$5,标准坦克设计!$B$14:$K$20,9)/30))</f>
        <v>2.9520794813246338</v>
      </c>
      <c r="AX202" s="173">
        <f ca="1">(VLOOKUP(AX$72,INDIRECT($C$5&amp;"生成成长"),2))/((VLOOKUP($B202,INDIRECT($B$5&amp;"生成成长"),4))/(VLOOKUP(AX$72,INDIRECT($C$5&amp;"生成成长"),5))*(VLOOKUP($B$5,标准坦克设计!$B$24:$U$30,MATCH("对"&amp;LEFT($C$5,2)&amp;"输出",标准坦克设计!$B$23:$U$23,0)))*(VLOOKUP($B202,INDIRECT($B$5&amp;"生成成长"),3))*(VLOOKUP($B$5,标准坦克设计!$B$14:$K$20,9)/30))</f>
        <v>3.3388472642142308</v>
      </c>
      <c r="AY202" s="173">
        <f ca="1">(VLOOKUP(AY$72,INDIRECT($C$5&amp;"生成成长"),2))/((VLOOKUP($B202,INDIRECT($B$5&amp;"生成成长"),4))/(VLOOKUP(AY$72,INDIRECT($C$5&amp;"生成成长"),5))*(VLOOKUP($B$5,标准坦克设计!$B$24:$U$30,MATCH("对"&amp;LEFT($C$5,2)&amp;"输出",标准坦克设计!$B$23:$U$23,0)))*(VLOOKUP($B202,INDIRECT($B$5&amp;"生成成长"),3))*(VLOOKUP($B$5,标准坦克设计!$B$14:$K$20,9)/30))</f>
        <v>3.7494161414354954</v>
      </c>
      <c r="AZ202" s="173">
        <f ca="1">(VLOOKUP(AZ$72,INDIRECT($C$5&amp;"生成成长"),2))/((VLOOKUP($B202,INDIRECT($B$5&amp;"生成成长"),4))/(VLOOKUP(AZ$72,INDIRECT($C$5&amp;"生成成长"),5))*(VLOOKUP($B$5,标准坦克设计!$B$24:$U$30,MATCH("对"&amp;LEFT($C$5,2)&amp;"输出",标准坦克设计!$B$23:$U$23,0)))*(VLOOKUP($B202,INDIRECT($B$5&amp;"生成成长"),3))*(VLOOKUP($B$5,标准坦克设计!$B$14:$K$20,9)/30))</f>
        <v>4.1837861129884271</v>
      </c>
      <c r="BA202" s="173">
        <f ca="1">(VLOOKUP(BA$72,INDIRECT($C$5&amp;"生成成长"),2))/((VLOOKUP($B202,INDIRECT($B$5&amp;"生成成长"),4))/(VLOOKUP(BA$72,INDIRECT($C$5&amp;"生成成长"),5))*(VLOOKUP($B$5,标准坦克设计!$B$24:$U$30,MATCH("对"&amp;LEFT($C$5,2)&amp;"输出",标准坦克设计!$B$23:$U$23,0)))*(VLOOKUP($B202,INDIRECT($B$5&amp;"生成成长"),3))*(VLOOKUP($B$5,标准坦克设计!$B$14:$K$20,9)/30))</f>
        <v>4.6419571788730263</v>
      </c>
      <c r="BB202" s="173">
        <f ca="1">(VLOOKUP(BB$72,INDIRECT($C$5&amp;"生成成长"),2))/((VLOOKUP($B202,INDIRECT($B$5&amp;"生成成长"),4))/(VLOOKUP(BB$72,INDIRECT($C$5&amp;"生成成长"),5))*(VLOOKUP($B$5,标准坦克设计!$B$24:$U$30,MATCH("对"&amp;LEFT($C$5,2)&amp;"输出",标准坦克设计!$B$23:$U$23,0)))*(VLOOKUP($B202,INDIRECT($B$5&amp;"生成成长"),3))*(VLOOKUP($B$5,标准坦克设计!$B$14:$K$20,9)/30))</f>
        <v>5.1239293390892939</v>
      </c>
      <c r="BC202" s="173">
        <f ca="1">(VLOOKUP(BC$72,INDIRECT($C$5&amp;"生成成长"),2))/((VLOOKUP($B202,INDIRECT($B$5&amp;"生成成长"),4))/(VLOOKUP(BC$72,INDIRECT($C$5&amp;"生成成长"),5))*(VLOOKUP($B$5,标准坦克设计!$B$24:$U$30,MATCH("对"&amp;LEFT($C$5,2)&amp;"输出",标准坦克设计!$B$23:$U$23,0)))*(VLOOKUP($B202,INDIRECT($B$5&amp;"生成成长"),3))*(VLOOKUP($B$5,标准坦克设计!$B$14:$K$20,9)/30))</f>
        <v>5.6297025936372274</v>
      </c>
      <c r="BD202" s="173">
        <f ca="1">(VLOOKUP(BD$72,INDIRECT($C$5&amp;"生成成长"),2))/((VLOOKUP($B202,INDIRECT($B$5&amp;"生成成长"),4))/(VLOOKUP(BD$72,INDIRECT($C$5&amp;"生成成长"),5))*(VLOOKUP($B$5,标准坦克设计!$B$24:$U$30,MATCH("对"&amp;LEFT($C$5,2)&amp;"输出",标准坦克设计!$B$23:$U$23,0)))*(VLOOKUP($B202,INDIRECT($B$5&amp;"生成成长"),3))*(VLOOKUP($B$5,标准坦克设计!$B$14:$K$20,9)/30))</f>
        <v>6.2271472505719752</v>
      </c>
      <c r="BE202" s="173">
        <f ca="1">(VLOOKUP(BE$72,INDIRECT($C$5&amp;"生成成长"),2))/((VLOOKUP($B202,INDIRECT($B$5&amp;"生成成长"),4))/(VLOOKUP(BE$72,INDIRECT($C$5&amp;"生成成长"),5))*(VLOOKUP($B$5,标准坦克设计!$B$24:$U$30,MATCH("对"&amp;LEFT($C$5,2)&amp;"输出",标准坦克设计!$B$23:$U$23,0)))*(VLOOKUP($B202,INDIRECT($B$5&amp;"生成成长"),3))*(VLOOKUP($B$5,标准坦克设计!$B$14:$K$20,9)/30))</f>
        <v>6.8547151675202382</v>
      </c>
      <c r="BF202" s="173">
        <f ca="1">(VLOOKUP(BF$72,INDIRECT($C$5&amp;"生成成长"),2))/((VLOOKUP($B202,INDIRECT($B$5&amp;"生成成长"),4))/(VLOOKUP(BF$72,INDIRECT($C$5&amp;"生成成长"),5))*(VLOOKUP($B$5,标准坦克设计!$B$24:$U$30,MATCH("对"&amp;LEFT($C$5,2)&amp;"输出",标准坦克设计!$B$23:$U$23,0)))*(VLOOKUP($B202,INDIRECT($B$5&amp;"生成成长"),3))*(VLOOKUP($B$5,标准坦克设计!$B$14:$K$20,9)/30))</f>
        <v>7.5124063444820193</v>
      </c>
      <c r="BG202" s="173">
        <f ca="1">(VLOOKUP(BG$72,INDIRECT($C$5&amp;"生成成长"),2))/((VLOOKUP($B202,INDIRECT($B$5&amp;"生成成长"),4))/(VLOOKUP(BG$72,INDIRECT($C$5&amp;"生成成长"),5))*(VLOOKUP($B$5,标准坦克设计!$B$24:$U$30,MATCH("对"&amp;LEFT($C$5,2)&amp;"输出",标准坦克设计!$B$23:$U$23,0)))*(VLOOKUP($B202,INDIRECT($B$5&amp;"生成成长"),3))*(VLOOKUP($B$5,标准坦克设计!$B$14:$K$20,9)/30))</f>
        <v>8.2002207814573165</v>
      </c>
      <c r="BH202" s="173">
        <f ca="1">(VLOOKUP(BH$72,INDIRECT($C$5&amp;"生成成长"),2))/((VLOOKUP($B202,INDIRECT($B$5&amp;"生成成长"),4))/(VLOOKUP(BH$72,INDIRECT($C$5&amp;"生成成长"),5))*(VLOOKUP($B$5,标准坦克设计!$B$24:$U$30,MATCH("对"&amp;LEFT($C$5,2)&amp;"输出",标准坦克设计!$B$23:$U$23,0)))*(VLOOKUP($B202,INDIRECT($B$5&amp;"生成成长"),3))*(VLOOKUP($B$5,标准坦克设计!$B$14:$K$20,9)/30))</f>
        <v>3.9636259904205029</v>
      </c>
      <c r="BI202" s="173">
        <f ca="1">(VLOOKUP(BI$72,INDIRECT($C$5&amp;"生成成长"),2))/((VLOOKUP($B202,INDIRECT($B$5&amp;"生成成长"),4))/(VLOOKUP(BI$72,INDIRECT($C$5&amp;"生成成长"),5))*(VLOOKUP($B$5,标准坦克设计!$B$24:$U$30,MATCH("对"&amp;LEFT($C$5,2)&amp;"输出",标准坦克设计!$B$23:$U$23,0)))*(VLOOKUP($B202,INDIRECT($B$5&amp;"生成成长"),3))*(VLOOKUP($B$5,标准坦克设计!$B$14:$K$20,9)/30))</f>
        <v>4.4673538384243088</v>
      </c>
      <c r="BJ202" s="173">
        <f ca="1">(VLOOKUP(BJ$72,INDIRECT($C$5&amp;"生成成长"),2))/((VLOOKUP($B202,INDIRECT($B$5&amp;"生成成长"),4))/(VLOOKUP(BJ$72,INDIRECT($C$5&amp;"生成成长"),5))*(VLOOKUP($B$5,标准坦克设计!$B$24:$U$30,MATCH("对"&amp;LEFT($C$5,2)&amp;"输出",标准坦克设计!$B$23:$U$23,0)))*(VLOOKUP($B202,INDIRECT($B$5&amp;"生成成长"),3))*(VLOOKUP($B$5,标准坦克设计!$B$14:$K$20,9)/30))</f>
        <v>5.0012049464416322</v>
      </c>
      <c r="BK202" s="173">
        <f ca="1">(VLOOKUP(BK$72,INDIRECT($C$5&amp;"生成成长"),2))/((VLOOKUP($B202,INDIRECT($B$5&amp;"生成成长"),4))/(VLOOKUP(BK$72,INDIRECT($C$5&amp;"生成成长"),5))*(VLOOKUP($B$5,标准坦克设计!$B$24:$U$30,MATCH("对"&amp;LEFT($C$5,2)&amp;"输出",标准坦克设计!$B$23:$U$23,0)))*(VLOOKUP($B202,INDIRECT($B$5&amp;"生成成长"),3))*(VLOOKUP($B$5,标准坦克设计!$B$14:$K$20,9)/30))</f>
        <v>5.5651793144724717</v>
      </c>
      <c r="BL202" s="173">
        <f ca="1">(VLOOKUP(BL$72,INDIRECT($C$5&amp;"生成成长"),2))/((VLOOKUP($B202,INDIRECT($B$5&amp;"生成成长"),4))/(VLOOKUP(BL$72,INDIRECT($C$5&amp;"生成成长"),5))*(VLOOKUP($B$5,标准坦克设计!$B$24:$U$30,MATCH("对"&amp;LEFT($C$5,2)&amp;"输出",标准坦克设计!$B$23:$U$23,0)))*(VLOOKUP($B202,INDIRECT($B$5&amp;"生成成长"),3))*(VLOOKUP($B$5,标准坦克设计!$B$14:$K$20,9)/30))</f>
        <v>6.1592769425168292</v>
      </c>
      <c r="BM202" s="173">
        <f ca="1">(VLOOKUP(BM$72,INDIRECT($C$5&amp;"生成成长"),2))/((VLOOKUP($B202,INDIRECT($B$5&amp;"生成成长"),4))/(VLOOKUP(BM$72,INDIRECT($C$5&amp;"生成成长"),5))*(VLOOKUP($B$5,标准坦克设计!$B$24:$U$30,MATCH("对"&amp;LEFT($C$5,2)&amp;"输出",标准坦克设计!$B$23:$U$23,0)))*(VLOOKUP($B202,INDIRECT($B$5&amp;"生成成长"),3))*(VLOOKUP($B$5,标准坦克设计!$B$14:$K$20,9)/30))</f>
        <v>6.7834978305747011</v>
      </c>
      <c r="BN202" s="173">
        <f ca="1">(VLOOKUP(BN$72,INDIRECT($C$5&amp;"生成成长"),2))/((VLOOKUP($B202,INDIRECT($B$5&amp;"生成成长"),4))/(VLOOKUP(BN$72,INDIRECT($C$5&amp;"生成成长"),5))*(VLOOKUP($B$5,标准坦克设计!$B$24:$U$30,MATCH("对"&amp;LEFT($C$5,2)&amp;"输出",标准坦克设计!$B$23:$U$23,0)))*(VLOOKUP($B202,INDIRECT($B$5&amp;"生成成长"),3))*(VLOOKUP($B$5,标准坦克设计!$B$14:$K$20,9)/30))</f>
        <v>7.4378419786460919</v>
      </c>
      <c r="BO202" s="173">
        <f ca="1">(VLOOKUP(BO$72,INDIRECT($C$5&amp;"生成成长"),2))/((VLOOKUP($B202,INDIRECT($B$5&amp;"生成成长"),4))/(VLOOKUP(BO$72,INDIRECT($C$5&amp;"生成成长"),5))*(VLOOKUP($B$5,标准坦克设计!$B$24:$U$30,MATCH("对"&amp;LEFT($C$5,2)&amp;"输出",标准坦克设计!$B$23:$U$23,0)))*(VLOOKUP($B202,INDIRECT($B$5&amp;"生成成长"),3))*(VLOOKUP($B$5,标准坦克设计!$B$14:$K$20,9)/30))</f>
        <v>8.1223093867309988</v>
      </c>
      <c r="BP202" s="173">
        <f ca="1">(VLOOKUP(BP$72,INDIRECT($C$5&amp;"生成成长"),2))/((VLOOKUP($B202,INDIRECT($B$5&amp;"生成成长"),4))/(VLOOKUP(BP$72,INDIRECT($C$5&amp;"生成成长"),5))*(VLOOKUP($B$5,标准坦克设计!$B$24:$U$30,MATCH("对"&amp;LEFT($C$5,2)&amp;"输出",标准坦克设计!$B$23:$U$23,0)))*(VLOOKUP($B202,INDIRECT($B$5&amp;"生成成长"),3))*(VLOOKUP($B$5,标准坦克设计!$B$14:$K$20,9)/30))</f>
        <v>8.8369000548294228</v>
      </c>
      <c r="BQ202" s="173">
        <f ca="1">(VLOOKUP(BQ$72,INDIRECT($C$5&amp;"生成成长"),2))/((VLOOKUP($B202,INDIRECT($B$5&amp;"生成成长"),4))/(VLOOKUP(BQ$72,INDIRECT($C$5&amp;"生成成长"),5))*(VLOOKUP($B$5,标准坦克设计!$B$24:$U$30,MATCH("对"&amp;LEFT($C$5,2)&amp;"输出",标准坦克设计!$B$23:$U$23,0)))*(VLOOKUP($B202,INDIRECT($B$5&amp;"生成成长"),3))*(VLOOKUP($B$5,标准坦克设计!$B$14:$K$20,9)/30))</f>
        <v>9.5816139829413611</v>
      </c>
      <c r="BR202" s="173">
        <f ca="1">(VLOOKUP(BR$72,INDIRECT($C$5&amp;"生成成长"),2))/((VLOOKUP($B202,INDIRECT($B$5&amp;"生成成长"),4))/(VLOOKUP(BR$72,INDIRECT($C$5&amp;"生成成长"),5))*(VLOOKUP($B$5,标准坦克设计!$B$24:$U$30,MATCH("对"&amp;LEFT($C$5,2)&amp;"输出",标准坦克设计!$B$23:$U$23,0)))*(VLOOKUP($B202,INDIRECT($B$5&amp;"生成成长"),3))*(VLOOKUP($B$5,标准坦克设计!$B$14:$K$20,9)/30))</f>
        <v>10.44440365246431</v>
      </c>
      <c r="BS202" s="173">
        <f ca="1">(VLOOKUP(BS$72,INDIRECT($C$5&amp;"生成成长"),2))/((VLOOKUP($B202,INDIRECT($B$5&amp;"生成成长"),4))/(VLOOKUP(BS$72,INDIRECT($C$5&amp;"生成成长"),5))*(VLOOKUP($B$5,标准坦克设计!$B$24:$U$30,MATCH("对"&amp;LEFT($C$5,2)&amp;"输出",标准坦克设计!$B$23:$U$23,0)))*(VLOOKUP($B202,INDIRECT($B$5&amp;"生成成长"),3))*(VLOOKUP($B$5,标准坦克设计!$B$14:$K$20,9)/30))</f>
        <v>11.344382531880488</v>
      </c>
      <c r="BT202" s="173">
        <f ca="1">(VLOOKUP(BT$72,INDIRECT($C$5&amp;"生成成长"),2))/((VLOOKUP($B202,INDIRECT($B$5&amp;"生成成长"),4))/(VLOOKUP(BT$72,INDIRECT($C$5&amp;"生成成长"),5))*(VLOOKUP($B$5,标准坦克设计!$B$24:$U$30,MATCH("对"&amp;LEFT($C$5,2)&amp;"输出",标准坦克设计!$B$23:$U$23,0)))*(VLOOKUP($B202,INDIRECT($B$5&amp;"生成成长"),3))*(VLOOKUP($B$5,标准坦克设计!$B$14:$K$20,9)/30))</f>
        <v>12.281550621189893</v>
      </c>
      <c r="BU202" s="173">
        <f ca="1">(VLOOKUP(BU$72,INDIRECT($C$5&amp;"生成成长"),2))/((VLOOKUP($B202,INDIRECT($B$5&amp;"生成成长"),4))/(VLOOKUP(BU$72,INDIRECT($C$5&amp;"生成成长"),5))*(VLOOKUP($B$5,标准坦克设计!$B$24:$U$30,MATCH("对"&amp;LEFT($C$5,2)&amp;"输出",标准坦克设计!$B$23:$U$23,0)))*(VLOOKUP($B202,INDIRECT($B$5&amp;"生成成长"),3))*(VLOOKUP($B$5,标准坦克设计!$B$14:$K$20,9)/30))</f>
        <v>13.255907920392531</v>
      </c>
      <c r="BV202" s="173">
        <f ca="1">(VLOOKUP(BV$72,INDIRECT($C$5&amp;"生成成长"),2))/((VLOOKUP($B202,INDIRECT($B$5&amp;"生成成长"),4))/(VLOOKUP(BV$72,INDIRECT($C$5&amp;"生成成长"),5))*(VLOOKUP($B$5,标准坦克设计!$B$24:$U$30,MATCH("对"&amp;LEFT($C$5,2)&amp;"输出",标准坦克设计!$B$23:$U$23,0)))*(VLOOKUP($B202,INDIRECT($B$5&amp;"生成成长"),3))*(VLOOKUP($B$5,标准坦克设计!$B$14:$K$20,9)/30))</f>
        <v>14.267454429488403</v>
      </c>
      <c r="BW202" s="173">
        <f ca="1">(VLOOKUP(BW$72,INDIRECT($C$5&amp;"生成成长"),2))/((VLOOKUP($B202,INDIRECT($B$5&amp;"生成成长"),4))/(VLOOKUP(BW$72,INDIRECT($C$5&amp;"生成成长"),5))*(VLOOKUP($B$5,标准坦克设计!$B$24:$U$30,MATCH("对"&amp;LEFT($C$5,2)&amp;"输出",标准坦克设计!$B$23:$U$23,0)))*(VLOOKUP($B202,INDIRECT($B$5&amp;"生成成长"),3))*(VLOOKUP($B$5,标准坦克设计!$B$14:$K$20,9)/30))</f>
        <v>6.5023474037818803</v>
      </c>
      <c r="BX202" s="173">
        <f ca="1">(VLOOKUP(BX$72,INDIRECT($C$5&amp;"生成成长"),2))/((VLOOKUP($B202,INDIRECT($B$5&amp;"生成成长"),4))/(VLOOKUP(BX$72,INDIRECT($C$5&amp;"生成成长"),5))*(VLOOKUP($B$5,标准坦克设计!$B$24:$U$30,MATCH("对"&amp;LEFT($C$5,2)&amp;"输出",标准坦克设计!$B$23:$U$23,0)))*(VLOOKUP($B202,INDIRECT($B$5&amp;"生成成长"),3))*(VLOOKUP($B$5,标准坦克设计!$B$14:$K$20,9)/30))</f>
        <v>7.2163802337319058</v>
      </c>
      <c r="BY202" s="173">
        <f ca="1">(VLOOKUP(BY$72,INDIRECT($C$5&amp;"生成成长"),2))/((VLOOKUP($B202,INDIRECT($B$5&amp;"生成成长"),4))/(VLOOKUP(BY$72,INDIRECT($C$5&amp;"生成成长"),5))*(VLOOKUP($B$5,标准坦克设计!$B$24:$U$30,MATCH("对"&amp;LEFT($C$5,2)&amp;"输出",标准坦克设计!$B$23:$U$23,0)))*(VLOOKUP($B202,INDIRECT($B$5&amp;"生成成长"),3))*(VLOOKUP($B$5,标准坦克设计!$B$14:$K$20,9)/30))</f>
        <v>7.9676022735751593</v>
      </c>
      <c r="BZ202" s="173">
        <f ca="1">(VLOOKUP(BZ$72,INDIRECT($C$5&amp;"生成成长"),2))/((VLOOKUP($B202,INDIRECT($B$5&amp;"生成成长"),4))/(VLOOKUP(BZ$72,INDIRECT($C$5&amp;"生成成长"),5))*(VLOOKUP($B$5,标准坦克设计!$B$24:$U$30,MATCH("对"&amp;LEFT($C$5,2)&amp;"输出",标准坦克设计!$B$23:$U$23,0)))*(VLOOKUP($B202,INDIRECT($B$5&amp;"生成成长"),3))*(VLOOKUP($B$5,标准坦克设计!$B$14:$K$20,9)/30))</f>
        <v>8.7560135233116476</v>
      </c>
      <c r="CA202" s="173">
        <f ca="1">(VLOOKUP(CA$72,INDIRECT($C$5&amp;"生成成长"),2))/((VLOOKUP($B202,INDIRECT($B$5&amp;"生成成长"),4))/(VLOOKUP(CA$72,INDIRECT($C$5&amp;"生成成长"),5))*(VLOOKUP($B$5,标准坦克设计!$B$24:$U$30,MATCH("对"&amp;LEFT($C$5,2)&amp;"输出",标准坦克设计!$B$23:$U$23,0)))*(VLOOKUP($B202,INDIRECT($B$5&amp;"生成成长"),3))*(VLOOKUP($B$5,标准坦克设计!$B$14:$K$20,9)/30))</f>
        <v>9.5816139829413611</v>
      </c>
      <c r="CB202" s="173">
        <f ca="1">(VLOOKUP(CB$72,INDIRECT($C$5&amp;"生成成长"),2))/((VLOOKUP($B202,INDIRECT($B$5&amp;"生成成长"),4))/(VLOOKUP(CB$72,INDIRECT($C$5&amp;"生成成长"),5))*(VLOOKUP($B$5,标准坦克设计!$B$24:$U$30,MATCH("对"&amp;LEFT($C$5,2)&amp;"输出",标准坦克设计!$B$23:$U$23,0)))*(VLOOKUP($B202,INDIRECT($B$5&amp;"生成成长"),3))*(VLOOKUP($B$5,标准坦克设计!$B$14:$K$20,9)/30))</f>
        <v>10.44440365246431</v>
      </c>
      <c r="CC202" s="173">
        <f ca="1">(VLOOKUP(CC$72,INDIRECT($C$5&amp;"生成成长"),2))/((VLOOKUP($B202,INDIRECT($B$5&amp;"生成成长"),4))/(VLOOKUP(CC$72,INDIRECT($C$5&amp;"生成成长"),5))*(VLOOKUP($B$5,标准坦克设计!$B$24:$U$30,MATCH("对"&amp;LEFT($C$5,2)&amp;"输出",标准坦克设计!$B$23:$U$23,0)))*(VLOOKUP($B202,INDIRECT($B$5&amp;"生成成长"),3))*(VLOOKUP($B$5,标准坦克设计!$B$14:$K$20,9)/30))</f>
        <v>11.344382531880488</v>
      </c>
      <c r="CD202" s="173">
        <f ca="1">(VLOOKUP(CD$72,INDIRECT($C$5&amp;"生成成长"),2))/((VLOOKUP($B202,INDIRECT($B$5&amp;"生成成长"),4))/(VLOOKUP(CD$72,INDIRECT($C$5&amp;"生成成长"),5))*(VLOOKUP($B$5,标准坦克设计!$B$24:$U$30,MATCH("对"&amp;LEFT($C$5,2)&amp;"输出",标准坦克设计!$B$23:$U$23,0)))*(VLOOKUP($B202,INDIRECT($B$5&amp;"生成成长"),3))*(VLOOKUP($B$5,标准坦克设计!$B$14:$K$20,9)/30))</f>
        <v>12.281550621189893</v>
      </c>
      <c r="CE202" s="173">
        <f ca="1">(VLOOKUP(CE$72,INDIRECT($C$5&amp;"生成成长"),2))/((VLOOKUP($B202,INDIRECT($B$5&amp;"生成成长"),4))/(VLOOKUP(CE$72,INDIRECT($C$5&amp;"生成成长"),5))*(VLOOKUP($B$5,标准坦克设计!$B$24:$U$30,MATCH("对"&amp;LEFT($C$5,2)&amp;"输出",标准坦克设计!$B$23:$U$23,0)))*(VLOOKUP($B202,INDIRECT($B$5&amp;"生成成长"),3))*(VLOOKUP($B$5,标准坦克设计!$B$14:$K$20,9)/30))</f>
        <v>13.255907920392531</v>
      </c>
      <c r="CF202" s="173">
        <f ca="1">(VLOOKUP(CF$72,INDIRECT($C$5&amp;"生成成长"),2))/((VLOOKUP($B202,INDIRECT($B$5&amp;"生成成长"),4))/(VLOOKUP(CF$72,INDIRECT($C$5&amp;"生成成长"),5))*(VLOOKUP($B$5,标准坦克设计!$B$24:$U$30,MATCH("对"&amp;LEFT($C$5,2)&amp;"输出",标准坦克设计!$B$23:$U$23,0)))*(VLOOKUP($B202,INDIRECT($B$5&amp;"生成成长"),3))*(VLOOKUP($B$5,标准坦克设计!$B$14:$K$20,9)/30))</f>
        <v>14.267454429488403</v>
      </c>
      <c r="CG202" s="173">
        <f ca="1">(VLOOKUP(CG$72,INDIRECT($C$5&amp;"生成成长"),2))/((VLOOKUP($B202,INDIRECT($B$5&amp;"生成成长"),4))/(VLOOKUP(CG$72,INDIRECT($C$5&amp;"生成成长"),5))*(VLOOKUP($B$5,标准坦克设计!$B$24:$U$30,MATCH("对"&amp;LEFT($C$5,2)&amp;"输出",标准坦克设计!$B$23:$U$23,0)))*(VLOOKUP($B202,INDIRECT($B$5&amp;"生成成长"),3))*(VLOOKUP($B$5,标准坦克设计!$B$14:$K$20,9)/30))</f>
        <v>15.316190148477498</v>
      </c>
      <c r="CH202" s="173">
        <f ca="1">(VLOOKUP(CH$72,INDIRECT($C$5&amp;"生成成长"),2))/((VLOOKUP($B202,INDIRECT($B$5&amp;"生成成长"),4))/(VLOOKUP(CH$72,INDIRECT($C$5&amp;"生成成长"),5))*(VLOOKUP($B$5,标准坦克设计!$B$24:$U$30,MATCH("对"&amp;LEFT($C$5,2)&amp;"输出",标准坦克设计!$B$23:$U$23,0)))*(VLOOKUP($B202,INDIRECT($B$5&amp;"生成成长"),3))*(VLOOKUP($B$5,标准坦克设计!$B$14:$K$20,9)/30))</f>
        <v>16.402115077359827</v>
      </c>
      <c r="CI202" s="173">
        <f ca="1">(VLOOKUP(CI$72,INDIRECT($C$5&amp;"生成成长"),2))/((VLOOKUP($B202,INDIRECT($B$5&amp;"生成成长"),4))/(VLOOKUP(CI$72,INDIRECT($C$5&amp;"生成成长"),5))*(VLOOKUP($B$5,标准坦克设计!$B$24:$U$30,MATCH("对"&amp;LEFT($C$5,2)&amp;"输出",标准坦克设计!$B$23:$U$23,0)))*(VLOOKUP($B202,INDIRECT($B$5&amp;"生成成长"),3))*(VLOOKUP($B$5,标准坦克设计!$B$14:$K$20,9)/30))</f>
        <v>17.639586036557073</v>
      </c>
      <c r="CJ202" s="173">
        <f ca="1">(VLOOKUP(CJ$72,INDIRECT($C$5&amp;"生成成长"),2))/((VLOOKUP($B202,INDIRECT($B$5&amp;"生成成长"),4))/(VLOOKUP(CJ$72,INDIRECT($C$5&amp;"生成成长"),5))*(VLOOKUP($B$5,标准坦克设计!$B$24:$U$30,MATCH("对"&amp;LEFT($C$5,2)&amp;"输出",标准坦克设计!$B$23:$U$23,0)))*(VLOOKUP($B202,INDIRECT($B$5&amp;"生成成长"),3))*(VLOOKUP($B$5,标准坦克设计!$B$14:$K$20,9)/30))</f>
        <v>18.922055939725126</v>
      </c>
      <c r="CK202" s="173">
        <f ca="1">(VLOOKUP(CK$72,INDIRECT($C$5&amp;"生成成长"),2))/((VLOOKUP($B202,INDIRECT($B$5&amp;"生成成长"),4))/(VLOOKUP(CK$72,INDIRECT($C$5&amp;"生成成长"),5))*(VLOOKUP($B$5,标准坦克设计!$B$24:$U$30,MATCH("对"&amp;LEFT($C$5,2)&amp;"输出",标准坦克设计!$B$23:$U$23,0)))*(VLOOKUP($B202,INDIRECT($B$5&amp;"生成成长"),3))*(VLOOKUP($B$5,标准坦克设计!$B$14:$K$20,9)/30))</f>
        <v>20.24952478686399</v>
      </c>
      <c r="CL202" s="173">
        <f ca="1">(VLOOKUP(CL$72,INDIRECT($C$5&amp;"生成成长"),2))/((VLOOKUP($B202,INDIRECT($B$5&amp;"生成成长"),4))/(VLOOKUP(CL$72,INDIRECT($C$5&amp;"生成成长"),5))*(VLOOKUP($B$5,标准坦克设计!$B$24:$U$30,MATCH("对"&amp;LEFT($C$5,2)&amp;"输出",标准坦克设计!$B$23:$U$23,0)))*(VLOOKUP($B202,INDIRECT($B$5&amp;"生成成长"),3))*(VLOOKUP($B$5,标准坦克设计!$B$14:$K$20,9)/30))</f>
        <v>21.621992577973661</v>
      </c>
      <c r="CM202" s="173">
        <f ca="1">(VLOOKUP(CM$72,INDIRECT($C$5&amp;"生成成长"),2))/((VLOOKUP($B202,INDIRECT($B$5&amp;"生成成长"),4))/(VLOOKUP(CM$72,INDIRECT($C$5&amp;"生成成长"),5))*(VLOOKUP($B$5,标准坦克设计!$B$24:$U$30,MATCH("对"&amp;LEFT($C$5,2)&amp;"输出",标准坦克设计!$B$23:$U$23,0)))*(VLOOKUP($B202,INDIRECT($B$5&amp;"生成成长"),3))*(VLOOKUP($B$5,标准坦克设计!$B$14:$K$20,9)/30))</f>
        <v>23.039459313054138</v>
      </c>
      <c r="CN202" s="173">
        <f ca="1">(VLOOKUP(CN$72,INDIRECT($C$5&amp;"生成成长"),2))/((VLOOKUP($B202,INDIRECT($B$5&amp;"生成成长"),4))/(VLOOKUP(CN$72,INDIRECT($C$5&amp;"生成成长"),5))*(VLOOKUP($B$5,标准坦克设计!$B$24:$U$30,MATCH("对"&amp;LEFT($C$5,2)&amp;"输出",标准坦克设计!$B$23:$U$23,0)))*(VLOOKUP($B202,INDIRECT($B$5&amp;"生成成长"),3))*(VLOOKUP($B$5,标准坦克设计!$B$14:$K$20,9)/30))</f>
        <v>24.501924992105423</v>
      </c>
      <c r="CO202" s="173">
        <f ca="1">(VLOOKUP(CO$72,INDIRECT($C$5&amp;"生成成长"),2))/((VLOOKUP($B202,INDIRECT($B$5&amp;"生成成长"),4))/(VLOOKUP(CO$72,INDIRECT($C$5&amp;"生成成长"),5))*(VLOOKUP($B$5,标准坦克设计!$B$24:$U$30,MATCH("对"&amp;LEFT($C$5,2)&amp;"输出",标准坦克设计!$B$23:$U$23,0)))*(VLOOKUP($B202,INDIRECT($B$5&amp;"生成成长"),3))*(VLOOKUP($B$5,标准坦克设计!$B$14:$K$20,9)/30))</f>
        <v>10.979928274926829</v>
      </c>
      <c r="CP202" s="173">
        <f ca="1">(VLOOKUP(CP$72,INDIRECT($C$5&amp;"生成成长"),2))/((VLOOKUP($B202,INDIRECT($B$5&amp;"生成成长"),4))/(VLOOKUP(CP$72,INDIRECT($C$5&amp;"生成成长"),5))*(VLOOKUP($B$5,标准坦克设计!$B$24:$U$30,MATCH("对"&amp;LEFT($C$5,2)&amp;"输出",标准坦克设计!$B$23:$U$23,0)))*(VLOOKUP($B202,INDIRECT($B$5&amp;"生成成长"),3))*(VLOOKUP($B$5,标准坦克设计!$B$14:$K$20,9)/30))</f>
        <v>11.99649532735828</v>
      </c>
      <c r="CQ202" s="173">
        <f ca="1">(VLOOKUP(CQ$72,INDIRECT($C$5&amp;"生成成长"),2))/((VLOOKUP($B202,INDIRECT($B$5&amp;"生成成长"),4))/(VLOOKUP(CQ$72,INDIRECT($C$5&amp;"生成成长"),5))*(VLOOKUP($B$5,标准坦克设计!$B$24:$U$30,MATCH("对"&amp;LEFT($C$5,2)&amp;"输出",标准坦克设计!$B$23:$U$23,0)))*(VLOOKUP($B202,INDIRECT($B$5&amp;"生成成长"),3))*(VLOOKUP($B$5,标准坦克设计!$B$14:$K$20,9)/30))</f>
        <v>13.058061323760546</v>
      </c>
      <c r="CR202" s="173">
        <f ca="1">(VLOOKUP(CR$72,INDIRECT($C$5&amp;"生成成长"),2))/((VLOOKUP($B202,INDIRECT($B$5&amp;"生成成长"),4))/(VLOOKUP(CR$72,INDIRECT($C$5&amp;"生成成长"),5))*(VLOOKUP($B$5,标准坦克设计!$B$24:$U$30,MATCH("对"&amp;LEFT($C$5,2)&amp;"输出",标准坦克设计!$B$23:$U$23,0)))*(VLOOKUP($B202,INDIRECT($B$5&amp;"生成成长"),3))*(VLOOKUP($B$5,标准坦克设计!$B$14:$K$20,9)/30))</f>
        <v>14.164626264133618</v>
      </c>
      <c r="CS202" s="173">
        <f ca="1">(VLOOKUP(CS$72,INDIRECT($C$5&amp;"生成成长"),2))/((VLOOKUP($B202,INDIRECT($B$5&amp;"生成成长"),4))/(VLOOKUP(CS$72,INDIRECT($C$5&amp;"生成成长"),5))*(VLOOKUP($B$5,标准坦克设计!$B$24:$U$30,MATCH("对"&amp;LEFT($C$5,2)&amp;"输出",标准坦克设计!$B$23:$U$23,0)))*(VLOOKUP($B202,INDIRECT($B$5&amp;"生成成长"),3))*(VLOOKUP($B$5,标准坦克设计!$B$14:$K$20,9)/30))</f>
        <v>15.316190148477498</v>
      </c>
      <c r="CT202" s="173">
        <f ca="1">(VLOOKUP(CT$72,INDIRECT($C$5&amp;"生成成长"),2))/((VLOOKUP($B202,INDIRECT($B$5&amp;"生成成长"),4))/(VLOOKUP(CT$72,INDIRECT($C$5&amp;"生成成长"),5))*(VLOOKUP($B$5,标准坦克设计!$B$24:$U$30,MATCH("对"&amp;LEFT($C$5,2)&amp;"输出",标准坦克设计!$B$23:$U$23,0)))*(VLOOKUP($B202,INDIRECT($B$5&amp;"生成成长"),3))*(VLOOKUP($B$5,标准坦克设计!$B$14:$K$20,9)/30))</f>
        <v>16.512752976792189</v>
      </c>
      <c r="CU202" s="173">
        <f ca="1">(VLOOKUP(CU$72,INDIRECT($C$5&amp;"生成成长"),2))/((VLOOKUP($B202,INDIRECT($B$5&amp;"生成成长"),4))/(VLOOKUP(CU$72,INDIRECT($C$5&amp;"生成成长"),5))*(VLOOKUP($B$5,标准坦克设计!$B$24:$U$30,MATCH("对"&amp;LEFT($C$5,2)&amp;"输出",标准坦克设计!$B$23:$U$23,0)))*(VLOOKUP($B202,INDIRECT($B$5&amp;"生成成长"),3))*(VLOOKUP($B$5,标准坦克设计!$B$14:$K$20,9)/30))</f>
        <v>17.75431474907769</v>
      </c>
      <c r="CV202" s="173">
        <f ca="1">(VLOOKUP(CV$72,INDIRECT($C$5&amp;"生成成长"),2))/((VLOOKUP($B202,INDIRECT($B$5&amp;"生成成长"),4))/(VLOOKUP(CV$72,INDIRECT($C$5&amp;"生成成长"),5))*(VLOOKUP($B$5,标准坦克设计!$B$24:$U$30,MATCH("对"&amp;LEFT($C$5,2)&amp;"输出",标准坦克设计!$B$23:$U$23,0)))*(VLOOKUP($B202,INDIRECT($B$5&amp;"生成成长"),3))*(VLOOKUP($B$5,标准坦克设计!$B$14:$K$20,9)/30))</f>
        <v>19.040875465333993</v>
      </c>
      <c r="CW202" s="173">
        <f ca="1">(VLOOKUP(CW$72,INDIRECT($C$5&amp;"生成成长"),2))/((VLOOKUP($B202,INDIRECT($B$5&amp;"生成成长"),4))/(VLOOKUP(CW$72,INDIRECT($C$5&amp;"生成成长"),5))*(VLOOKUP($B$5,标准坦克设计!$B$24:$U$30,MATCH("对"&amp;LEFT($C$5,2)&amp;"输出",标准坦克设计!$B$23:$U$23,0)))*(VLOOKUP($B202,INDIRECT($B$5&amp;"生成成长"),3))*(VLOOKUP($B$5,标准坦克设计!$B$14:$K$20,9)/30))</f>
        <v>20.372435125561115</v>
      </c>
      <c r="CX202" s="173">
        <f ca="1">(VLOOKUP(CX$72,INDIRECT($C$5&amp;"生成成长"),2))/((VLOOKUP($B202,INDIRECT($B$5&amp;"生成成长"),4))/(VLOOKUP(CX$72,INDIRECT($C$5&amp;"生成成长"),5))*(VLOOKUP($B$5,标准坦克设计!$B$24:$U$30,MATCH("对"&amp;LEFT($C$5,2)&amp;"输出",标准坦克设计!$B$23:$U$23,0)))*(VLOOKUP($B202,INDIRECT($B$5&amp;"生成成长"),3))*(VLOOKUP($B$5,标准坦克设计!$B$14:$K$20,9)/30))</f>
        <v>21.748993729759039</v>
      </c>
      <c r="CY202" s="173">
        <f ca="1">(VLOOKUP(CY$72,INDIRECT($C$5&amp;"生成成长"),2))/((VLOOKUP($B202,INDIRECT($B$5&amp;"生成成长"),4))/(VLOOKUP(CY$72,INDIRECT($C$5&amp;"生成成长"),5))*(VLOOKUP($B$5,标准坦克设计!$B$24:$U$30,MATCH("对"&amp;LEFT($C$5,2)&amp;"输出",标准坦克设计!$B$23:$U$23,0)))*(VLOOKUP($B202,INDIRECT($B$5&amp;"生成成长"),3))*(VLOOKUP($B$5,标准坦克设计!$B$14:$K$20,9)/30))</f>
        <v>23.170551277927771</v>
      </c>
      <c r="CZ202" s="173">
        <f ca="1">(VLOOKUP(CZ$72,INDIRECT($C$5&amp;"生成成长"),2))/((VLOOKUP($B202,INDIRECT($B$5&amp;"生成成长"),4))/(VLOOKUP(CZ$72,INDIRECT($C$5&amp;"生成成长"),5))*(VLOOKUP($B$5,标准坦克设计!$B$24:$U$30,MATCH("对"&amp;LEFT($C$5,2)&amp;"输出",标准坦克设计!$B$23:$U$23,0)))*(VLOOKUP($B202,INDIRECT($B$5&amp;"生成成长"),3))*(VLOOKUP($B$5,标准坦克设计!$B$14:$K$20,9)/30))</f>
        <v>24.637107770067317</v>
      </c>
      <c r="DA202" s="173">
        <f ca="1">(VLOOKUP(DA$72,INDIRECT($C$5&amp;"生成成长"),2))/((VLOOKUP($B202,INDIRECT($B$5&amp;"生成成长"),4))/(VLOOKUP(DA$72,INDIRECT($C$5&amp;"生成成长"),5))*(VLOOKUP($B$5,标准坦克设计!$B$24:$U$30,MATCH("对"&amp;LEFT($C$5,2)&amp;"输出",标准坦克设计!$B$23:$U$23,0)))*(VLOOKUP($B202,INDIRECT($B$5&amp;"生成成长"),3))*(VLOOKUP($B$5,标准坦克设计!$B$14:$K$20,9)/30))</f>
        <v>26.148663206177662</v>
      </c>
      <c r="DB202" s="173">
        <f ca="1">(VLOOKUP(DB$72,INDIRECT($C$5&amp;"生成成长"),2))/((VLOOKUP($B202,INDIRECT($B$5&amp;"生成成长"),4))/(VLOOKUP(DB$72,INDIRECT($C$5&amp;"生成成长"),5))*(VLOOKUP($B$5,标准坦克设计!$B$24:$U$30,MATCH("对"&amp;LEFT($C$5,2)&amp;"输出",标准坦克设计!$B$23:$U$23,0)))*(VLOOKUP($B202,INDIRECT($B$5&amp;"生成成长"),3))*(VLOOKUP($B$5,标准坦克设计!$B$14:$K$20,9)/30))</f>
        <v>27.705217586258822</v>
      </c>
      <c r="DC202" s="173">
        <f ca="1">(VLOOKUP(DC$72,INDIRECT($C$5&amp;"生成成长"),2))/((VLOOKUP($B202,INDIRECT($B$5&amp;"生成成长"),4))/(VLOOKUP(DC$72,INDIRECT($C$5&amp;"生成成长"),5))*(VLOOKUP($B$5,标准坦克设计!$B$24:$U$30,MATCH("对"&amp;LEFT($C$5,2)&amp;"输出",标准坦克设计!$B$23:$U$23,0)))*(VLOOKUP($B202,INDIRECT($B$5&amp;"生成成长"),3))*(VLOOKUP($B$5,标准坦克设计!$B$14:$K$20,9)/30))</f>
        <v>29.454598019636386</v>
      </c>
      <c r="DD202" s="173">
        <f ca="1">(VLOOKUP(DD$72,INDIRECT($C$5&amp;"生成成长"),2))/((VLOOKUP($B202,INDIRECT($B$5&amp;"生成成长"),4))/(VLOOKUP(DD$72,INDIRECT($C$5&amp;"生成成长"),5))*(VLOOKUP($B$5,标准坦克设计!$B$24:$U$30,MATCH("对"&amp;LEFT($C$5,2)&amp;"输出",标准坦克设计!$B$23:$U$23,0)))*(VLOOKUP($B202,INDIRECT($B$5&amp;"生成成长"),3))*(VLOOKUP($B$5,标准坦克设计!$B$14:$K$20,9)/30))</f>
        <v>31.257530915260201</v>
      </c>
      <c r="DE202" s="173">
        <f ca="1">(VLOOKUP(DE$72,INDIRECT($C$5&amp;"生成成长"),2))/((VLOOKUP($B202,INDIRECT($B$5&amp;"生成成长"),4))/(VLOOKUP(DE$72,INDIRECT($C$5&amp;"生成成长"),5))*(VLOOKUP($B$5,标准坦克设计!$B$24:$U$30,MATCH("对"&amp;LEFT($C$5,2)&amp;"输出",标准坦克设计!$B$23:$U$23,0)))*(VLOOKUP($B202,INDIRECT($B$5&amp;"生成成长"),3))*(VLOOKUP($B$5,标准坦克设计!$B$14:$K$20,9)/30))</f>
        <v>33.114016273130268</v>
      </c>
      <c r="DF202" s="173">
        <f ca="1">(VLOOKUP(DF$72,INDIRECT($C$5&amp;"生成成长"),2))/((VLOOKUP($B202,INDIRECT($B$5&amp;"生成成长"),4))/(VLOOKUP(DF$72,INDIRECT($C$5&amp;"生成成长"),5))*(VLOOKUP($B$5,标准坦克设计!$B$24:$U$30,MATCH("对"&amp;LEFT($C$5,2)&amp;"输出",标准坦克设计!$B$23:$U$23,0)))*(VLOOKUP($B202,INDIRECT($B$5&amp;"生成成长"),3))*(VLOOKUP($B$5,标准坦克设计!$B$14:$K$20,9)/30))</f>
        <v>35.02405409324659</v>
      </c>
      <c r="DG202" s="173">
        <f ca="1">(VLOOKUP(DG$72,INDIRECT($C$5&amp;"生成成长"),2))/((VLOOKUP($B202,INDIRECT($B$5&amp;"生成成长"),4))/(VLOOKUP(DG$72,INDIRECT($C$5&amp;"生成成长"),5))*(VLOOKUP($B$5,标准坦克设计!$B$24:$U$30,MATCH("对"&amp;LEFT($C$5,2)&amp;"输出",标准坦克设计!$B$23:$U$23,0)))*(VLOOKUP($B202,INDIRECT($B$5&amp;"生成成长"),3))*(VLOOKUP($B$5,标准坦克设计!$B$14:$K$20,9)/30))</f>
        <v>36.98764437560915</v>
      </c>
      <c r="DH202" s="173">
        <f ca="1">(VLOOKUP(DH$72,INDIRECT($C$5&amp;"生成成长"),2))/((VLOOKUP($B202,INDIRECT($B$5&amp;"生成成长"),4))/(VLOOKUP(DH$72,INDIRECT($C$5&amp;"生成成长"),5))*(VLOOKUP($B$5,标准坦克设计!$B$24:$U$30,MATCH("对"&amp;LEFT($C$5,2)&amp;"输出",标准坦克设计!$B$23:$U$23,0)))*(VLOOKUP($B202,INDIRECT($B$5&amp;"生成成长"),3))*(VLOOKUP($B$5,标准坦克设计!$B$14:$K$20,9)/30))</f>
        <v>39.004787120217969</v>
      </c>
      <c r="DI202" s="173">
        <f ca="1">(VLOOKUP(DI$72,INDIRECT($C$5&amp;"生成成长"),2))/((VLOOKUP($B202,INDIRECT($B$5&amp;"生成成长"),4))/(VLOOKUP(DI$72,INDIRECT($C$5&amp;"生成成长"),5))*(VLOOKUP($B$5,标准坦克设计!$B$24:$U$30,MATCH("对"&amp;LEFT($C$5,2)&amp;"输出",标准坦克设计!$B$23:$U$23,0)))*(VLOOKUP($B202,INDIRECT($B$5&amp;"生成成长"),3))*(VLOOKUP($B$5,标准坦克设计!$B$14:$K$20,9)/30))</f>
        <v>41.07548232707304</v>
      </c>
      <c r="DJ202" s="173">
        <f ca="1">(VLOOKUP(DJ$72,INDIRECT($C$5&amp;"生成成长"),2))/((VLOOKUP($B202,INDIRECT($B$5&amp;"生成成长"),4))/(VLOOKUP(DJ$72,INDIRECT($C$5&amp;"生成成长"),5))*(VLOOKUP($B$5,标准坦克设计!$B$24:$U$30,MATCH("对"&amp;LEFT($C$5,2)&amp;"输出",标准坦克设计!$B$23:$U$23,0)))*(VLOOKUP($B202,INDIRECT($B$5&amp;"生成成长"),3))*(VLOOKUP($B$5,标准坦克设计!$B$14:$K$20,9)/30))</f>
        <v>4.1281882441980473</v>
      </c>
      <c r="DK202" s="173">
        <f ca="1">(VLOOKUP(DK$72,INDIRECT($C$5&amp;"生成成长"),2))/((VLOOKUP($B202,INDIRECT($B$5&amp;"生成成长"),4))/(VLOOKUP(DK$72,INDIRECT($C$5&amp;"生成成长"),5))*(VLOOKUP($B$5,标准坦克设计!$B$24:$U$30,MATCH("对"&amp;LEFT($C$5,2)&amp;"输出",标准坦克设计!$B$23:$U$23,0)))*(VLOOKUP($B202,INDIRECT($B$5&amp;"生成成长"),3))*(VLOOKUP($B$5,标准坦克设计!$B$14:$K$20,9)/30))</f>
        <v>4.6419571788730263</v>
      </c>
      <c r="DL202" s="173">
        <f ca="1">(VLOOKUP(DL$72,INDIRECT($C$5&amp;"生成成长"),2))/((VLOOKUP($B202,INDIRECT($B$5&amp;"生成成长"),4))/(VLOOKUP(DL$72,INDIRECT($C$5&amp;"生成成长"),5))*(VLOOKUP($B$5,标准坦克设计!$B$24:$U$30,MATCH("对"&amp;LEFT($C$5,2)&amp;"输出",标准坦克设计!$B$23:$U$23,0)))*(VLOOKUP($B202,INDIRECT($B$5&amp;"生成成长"),3))*(VLOOKUP($B$5,标准坦克设计!$B$14:$K$20,9)/30))</f>
        <v>5.1858493735615205</v>
      </c>
      <c r="DM202" s="173">
        <f ca="1">(VLOOKUP(DM$72,INDIRECT($C$5&amp;"生成成长"),2))/((VLOOKUP($B202,INDIRECT($B$5&amp;"生成成长"),4))/(VLOOKUP(DM$72,INDIRECT($C$5&amp;"生成成长"),5))*(VLOOKUP($B$5,标准坦克设计!$B$24:$U$30,MATCH("对"&amp;LEFT($C$5,2)&amp;"输出",标准坦克设计!$B$23:$U$23,0)))*(VLOOKUP($B202,INDIRECT($B$5&amp;"生成成长"),3))*(VLOOKUP($B$5,标准坦克设计!$B$14:$K$20,9)/30))</f>
        <v>5.7598648282635345</v>
      </c>
      <c r="DN202" s="173">
        <f ca="1">(VLOOKUP(DN$72,INDIRECT($C$5&amp;"生成成长"),2))/((VLOOKUP($B202,INDIRECT($B$5&amp;"生成成长"),4))/(VLOOKUP(DN$72,INDIRECT($C$5&amp;"生成成长"),5))*(VLOOKUP($B$5,标准坦克设计!$B$24:$U$30,MATCH("对"&amp;LEFT($C$5,2)&amp;"输出",标准坦克设计!$B$23:$U$23,0)))*(VLOOKUP($B202,INDIRECT($B$5&amp;"生成成长"),3))*(VLOOKUP($B$5,标准坦克设计!$B$14:$K$20,9)/30))</f>
        <v>6.364003542979062</v>
      </c>
      <c r="DO202" s="173">
        <f ca="1">(VLOOKUP(DO$72,INDIRECT($C$5&amp;"生成成长"),2))/((VLOOKUP($B202,INDIRECT($B$5&amp;"生成成长"),4))/(VLOOKUP(DO$72,INDIRECT($C$5&amp;"生成成长"),5))*(VLOOKUP($B$5,标准坦克设计!$B$24:$U$30,MATCH("对"&amp;LEFT($C$5,2)&amp;"输出",标准坦克设计!$B$23:$U$23,0)))*(VLOOKUP($B202,INDIRECT($B$5&amp;"生成成长"),3))*(VLOOKUP($B$5,标准坦克设计!$B$14:$K$20,9)/30))</f>
        <v>6.9982655177081083</v>
      </c>
      <c r="DP202" s="173">
        <f ca="1">(VLOOKUP(DP$72,INDIRECT($C$5&amp;"生成成长"),2))/((VLOOKUP($B202,INDIRECT($B$5&amp;"生成成长"),4))/(VLOOKUP(DP$72,INDIRECT($C$5&amp;"生成成长"),5))*(VLOOKUP($B$5,标准坦克设计!$B$24:$U$30,MATCH("对"&amp;LEFT($C$5,2)&amp;"输出",标准坦克设计!$B$23:$U$23,0)))*(VLOOKUP($B202,INDIRECT($B$5&amp;"生成成长"),3))*(VLOOKUP($B$5,标准坦克设计!$B$14:$K$20,9)/30))</f>
        <v>7.6626507524506708</v>
      </c>
      <c r="DQ202" s="173">
        <f ca="1">(VLOOKUP(DQ$72,INDIRECT($C$5&amp;"生成成长"),2))/((VLOOKUP($B202,INDIRECT($B$5&amp;"生成成长"),4))/(VLOOKUP(DQ$72,INDIRECT($C$5&amp;"生成成长"),5))*(VLOOKUP($B$5,标准坦克设计!$B$24:$U$30,MATCH("对"&amp;LEFT($C$5,2)&amp;"输出",标准坦克设计!$B$23:$U$23,0)))*(VLOOKUP($B202,INDIRECT($B$5&amp;"生成成长"),3))*(VLOOKUP($B$5,标准坦克设计!$B$14:$K$20,9)/30))</f>
        <v>8.3571592472067486</v>
      </c>
      <c r="DR202" s="173">
        <f ca="1">(VLOOKUP(DR$72,INDIRECT($C$5&amp;"生成成长"),2))/((VLOOKUP($B202,INDIRECT($B$5&amp;"生成成长"),4))/(VLOOKUP(DR$72,INDIRECT($C$5&amp;"生成成长"),5))*(VLOOKUP($B$5,标准坦克设计!$B$24:$U$30,MATCH("对"&amp;LEFT($C$5,2)&amp;"输出",标准坦克设计!$B$23:$U$23,0)))*(VLOOKUP($B202,INDIRECT($B$5&amp;"生成成长"),3))*(VLOOKUP($B$5,标准坦克设计!$B$14:$K$20,9)/30))</f>
        <v>9.0817910019763453</v>
      </c>
      <c r="DS202" s="173">
        <f ca="1">(VLOOKUP(DS$72,INDIRECT($C$5&amp;"生成成长"),2))/((VLOOKUP($B202,INDIRECT($B$5&amp;"生成成长"),4))/(VLOOKUP(DS$72,INDIRECT($C$5&amp;"生成成长"),5))*(VLOOKUP($B$5,标准坦克设计!$B$24:$U$30,MATCH("对"&amp;LEFT($C$5,2)&amp;"输出",标准坦克设计!$B$23:$U$23,0)))*(VLOOKUP($B202,INDIRECT($B$5&amp;"生成成长"),3))*(VLOOKUP($B$5,标准坦克设计!$B$14:$K$20,9)/30))</f>
        <v>9.8365460167594563</v>
      </c>
      <c r="DT202" s="173">
        <f ca="1">(VLOOKUP(DT$72,INDIRECT($C$5&amp;"生成成长"),2))/((VLOOKUP($B202,INDIRECT($B$5&amp;"生成成长"),4))/(VLOOKUP(DT$72,INDIRECT($C$5&amp;"生成成长"),5))*(VLOOKUP($B$5,标准坦克设计!$B$24:$U$30,MATCH("对"&amp;LEFT($C$5,2)&amp;"输出",标准坦克设计!$B$23:$U$23,0)))*(VLOOKUP($B202,INDIRECT($B$5&amp;"生成成长"),3))*(VLOOKUP($B$5,标准坦克设计!$B$14:$K$20,9)/30))</f>
        <v>10.799932499043591</v>
      </c>
      <c r="DU202" s="173">
        <f ca="1">(VLOOKUP(DU$72,INDIRECT($C$5&amp;"生成成长"),2))/((VLOOKUP($B202,INDIRECT($B$5&amp;"生成成长"),4))/(VLOOKUP(DU$72,INDIRECT($C$5&amp;"生成成长"),5))*(VLOOKUP($B$5,标准坦克设计!$B$24:$U$30,MATCH("对"&amp;LEFT($C$5,2)&amp;"输出",标准坦克设计!$B$23:$U$23,0)))*(VLOOKUP($B202,INDIRECT($B$5&amp;"生成成长"),3))*(VLOOKUP($B$5,标准坦克设计!$B$14:$K$20,9)/30))</f>
        <v>11.808317925298535</v>
      </c>
      <c r="DV202" s="173">
        <f ca="1">(VLOOKUP(DV$72,INDIRECT($C$5&amp;"生成成长"),2))/((VLOOKUP($B202,INDIRECT($B$5&amp;"生成成长"),4))/(VLOOKUP(DV$72,INDIRECT($C$5&amp;"生成成长"),5))*(VLOOKUP($B$5,标准坦克设计!$B$24:$U$30,MATCH("对"&amp;LEFT($C$5,2)&amp;"输出",标准坦克设计!$B$23:$U$23,0)))*(VLOOKUP($B202,INDIRECT($B$5&amp;"生成成长"),3))*(VLOOKUP($B$5,标准坦克设计!$B$14:$K$20,9)/30))</f>
        <v>12.861702295524289</v>
      </c>
      <c r="DW202" s="173">
        <f ca="1">(VLOOKUP(DW$72,INDIRECT($C$5&amp;"生成成长"),2))/((VLOOKUP($B202,INDIRECT($B$5&amp;"生成成长"),4))/(VLOOKUP(DW$72,INDIRECT($C$5&amp;"生成成长"),5))*(VLOOKUP($B$5,标准坦克设计!$B$24:$U$30,MATCH("对"&amp;LEFT($C$5,2)&amp;"输出",标准坦克设计!$B$23:$U$23,0)))*(VLOOKUP($B202,INDIRECT($B$5&amp;"生成成长"),3))*(VLOOKUP($B$5,标准坦克设计!$B$14:$K$20,9)/30))</f>
        <v>13.960085609720853</v>
      </c>
      <c r="DX202" s="173">
        <f ca="1">(VLOOKUP(DX$72,INDIRECT($C$5&amp;"生成成长"),2))/((VLOOKUP($B202,INDIRECT($B$5&amp;"生成成长"),4))/(VLOOKUP(DX$72,INDIRECT($C$5&amp;"生成成长"),5))*(VLOOKUP($B$5,标准坦克设计!$B$24:$U$30,MATCH("对"&amp;LEFT($C$5,2)&amp;"输出",标准坦克设计!$B$23:$U$23,0)))*(VLOOKUP($B202,INDIRECT($B$5&amp;"生成成长"),3))*(VLOOKUP($B$5,标准坦克设计!$B$14:$K$20,9)/30))</f>
        <v>15.103467867888224</v>
      </c>
      <c r="DY202" s="173">
        <f ca="1">(VLOOKUP(DY$72,INDIRECT($C$5&amp;"生成成长"),2))/((VLOOKUP($B202,INDIRECT($B$5&amp;"生成成长"),4))/(VLOOKUP(DY$72,INDIRECT($C$5&amp;"生成成长"),5))*(VLOOKUP($B$5,标准坦克设计!$B$24:$U$30,MATCH("对"&amp;LEFT($C$5,2)&amp;"输出",标准坦克设计!$B$23:$U$23,0)))*(VLOOKUP($B202,INDIRECT($B$5&amp;"生成成长"),3))*(VLOOKUP($B$5,标准坦克设计!$B$14:$K$20,9)/30))</f>
        <v>6.7834978305747011</v>
      </c>
      <c r="DZ202" s="173">
        <f ca="1">(VLOOKUP(DZ$72,INDIRECT($C$5&amp;"生成成长"),2))/((VLOOKUP($B202,INDIRECT($B$5&amp;"生成成长"),4))/(VLOOKUP(DZ$72,INDIRECT($C$5&amp;"生成成长"),5))*(VLOOKUP($B$5,标准坦克设计!$B$24:$U$30,MATCH("对"&amp;LEFT($C$5,2)&amp;"输出",标准坦克设计!$B$23:$U$23,0)))*(VLOOKUP($B202,INDIRECT($B$5&amp;"生成成长"),3))*(VLOOKUP($B$5,标准坦克设计!$B$14:$K$20,9)/30))</f>
        <v>7.5124063444820193</v>
      </c>
      <c r="EA202" s="173">
        <f ca="1">(VLOOKUP(EA$72,INDIRECT($C$5&amp;"生成成长"),2))/((VLOOKUP($B202,INDIRECT($B$5&amp;"生成成长"),4))/(VLOOKUP(EA$72,INDIRECT($C$5&amp;"生成成长"),5))*(VLOOKUP($B$5,标准坦克设计!$B$24:$U$30,MATCH("对"&amp;LEFT($C$5,2)&amp;"输出",标准坦克设计!$B$23:$U$23,0)))*(VLOOKUP($B202,INDIRECT($B$5&amp;"生成成长"),3))*(VLOOKUP($B$5,标准坦克设计!$B$14:$K$20,9)/30))</f>
        <v>8.278504068282567</v>
      </c>
      <c r="EB202" s="173">
        <f ca="1">(VLOOKUP(EB$72,INDIRECT($C$5&amp;"生成成长"),2))/((VLOOKUP($B202,INDIRECT($B$5&amp;"生成成长"),4))/(VLOOKUP(EB$72,INDIRECT($C$5&amp;"生成成长"),5))*(VLOOKUP($B$5,标准坦克设计!$B$24:$U$30,MATCH("对"&amp;LEFT($C$5,2)&amp;"输出",标准坦克设计!$B$23:$U$23,0)))*(VLOOKUP($B202,INDIRECT($B$5&amp;"生成成长"),3))*(VLOOKUP($B$5,标准坦克设计!$B$14:$K$20,9)/30))</f>
        <v>9.0817910019763453</v>
      </c>
      <c r="EC202" s="173">
        <f ca="1">(VLOOKUP(EC$72,INDIRECT($C$5&amp;"生成成长"),2))/((VLOOKUP($B202,INDIRECT($B$5&amp;"生成成长"),4))/(VLOOKUP(EC$72,INDIRECT($C$5&amp;"生成成长"),5))*(VLOOKUP($B$5,标准坦克设计!$B$24:$U$30,MATCH("对"&amp;LEFT($C$5,2)&amp;"输出",标准坦克设计!$B$23:$U$23,0)))*(VLOOKUP($B202,INDIRECT($B$5&amp;"生成成长"),3))*(VLOOKUP($B$5,标准坦克设计!$B$14:$K$20,9)/30))</f>
        <v>9.9222671455633531</v>
      </c>
      <c r="ED202" s="173">
        <f ca="1">(VLOOKUP(ED$72,INDIRECT($C$5&amp;"生成成长"),2))/((VLOOKUP($B202,INDIRECT($B$5&amp;"生成成长"),4))/(VLOOKUP(ED$72,INDIRECT($C$5&amp;"生成成长"),5))*(VLOOKUP($B$5,标准坦克设计!$B$24:$U$30,MATCH("对"&amp;LEFT($C$5,2)&amp;"输出",标准坦克设计!$B$23:$U$23,0)))*(VLOOKUP($B202,INDIRECT($B$5&amp;"生成成长"),3))*(VLOOKUP($B$5,标准坦克设计!$B$14:$K$20,9)/30))</f>
        <v>10.799932499043591</v>
      </c>
      <c r="EE202" s="173">
        <f ca="1">(VLOOKUP(EE$72,INDIRECT($C$5&amp;"生成成长"),2))/((VLOOKUP($B202,INDIRECT($B$5&amp;"生成成长"),4))/(VLOOKUP(EE$72,INDIRECT($C$5&amp;"生成成长"),5))*(VLOOKUP($B$5,标准坦克设计!$B$24:$U$30,MATCH("对"&amp;LEFT($C$5,2)&amp;"输出",标准坦克设计!$B$23:$U$23,0)))*(VLOOKUP($B202,INDIRECT($B$5&amp;"生成成长"),3))*(VLOOKUP($B$5,标准坦克设计!$B$14:$K$20,9)/30))</f>
        <v>11.714787062417061</v>
      </c>
      <c r="EF202" s="173">
        <f ca="1">(VLOOKUP(EF$72,INDIRECT($C$5&amp;"生成成长"),2))/((VLOOKUP($B202,INDIRECT($B$5&amp;"生成成长"),4))/(VLOOKUP(EF$72,INDIRECT($C$5&amp;"生成成长"),5))*(VLOOKUP($B$5,标准坦克设计!$B$24:$U$30,MATCH("对"&amp;LEFT($C$5,2)&amp;"输出",标准坦克设计!$B$23:$U$23,0)))*(VLOOKUP($B202,INDIRECT($B$5&amp;"生成成长"),3))*(VLOOKUP($B$5,标准坦克设计!$B$14:$K$20,9)/30))</f>
        <v>12.666830835683761</v>
      </c>
      <c r="EG202" s="173">
        <f ca="1">(VLOOKUP(EG$72,INDIRECT($C$5&amp;"生成成长"),2))/((VLOOKUP($B202,INDIRECT($B$5&amp;"生成成长"),4))/(VLOOKUP(EG$72,INDIRECT($C$5&amp;"生成成长"),5))*(VLOOKUP($B$5,标准坦克设计!$B$24:$U$30,MATCH("对"&amp;LEFT($C$5,2)&amp;"输出",标准坦克设计!$B$23:$U$23,0)))*(VLOOKUP($B202,INDIRECT($B$5&amp;"生成成长"),3))*(VLOOKUP($B$5,标准坦克设计!$B$14:$K$20,9)/30))</f>
        <v>13.656063818843691</v>
      </c>
      <c r="EH202" s="173">
        <f ca="1">(VLOOKUP(EH$72,INDIRECT($C$5&amp;"生成成长"),2))/((VLOOKUP($B202,INDIRECT($B$5&amp;"生成成长"),4))/(VLOOKUP(EH$72,INDIRECT($C$5&amp;"生成成长"),5))*(VLOOKUP($B$5,标准坦克设计!$B$24:$U$30,MATCH("对"&amp;LEFT($C$5,2)&amp;"输出",标准坦克设计!$B$23:$U$23,0)))*(VLOOKUP($B202,INDIRECT($B$5&amp;"生成成长"),3))*(VLOOKUP($B$5,标准坦克设计!$B$14:$K$20,9)/30))</f>
        <v>14.682486011896851</v>
      </c>
      <c r="EI202" s="173">
        <f ca="1">(VLOOKUP(EI$72,INDIRECT($C$5&amp;"生成成长"),2))/((VLOOKUP($B202,INDIRECT($B$5&amp;"生成成长"),4))/(VLOOKUP(EI$72,INDIRECT($C$5&amp;"生成成长"),5))*(VLOOKUP($B$5,标准坦克设计!$B$24:$U$30,MATCH("对"&amp;LEFT($C$5,2)&amp;"输出",标准坦克设计!$B$23:$U$23,0)))*(VLOOKUP($B202,INDIRECT($B$5&amp;"生成成长"),3))*(VLOOKUP($B$5,标准坦克设计!$B$14:$K$20,9)/30))</f>
        <v>15.746097414843245</v>
      </c>
      <c r="EJ202" s="173">
        <f ca="1">(VLOOKUP(EJ$72,INDIRECT($C$5&amp;"生成成长"),2))/((VLOOKUP($B202,INDIRECT($B$5&amp;"生成成长"),4))/(VLOOKUP(EJ$72,INDIRECT($C$5&amp;"生成成长"),5))*(VLOOKUP($B$5,标准坦克设计!$B$24:$U$30,MATCH("对"&amp;LEFT($C$5,2)&amp;"输出",标准坦克设计!$B$23:$U$23,0)))*(VLOOKUP($B202,INDIRECT($B$5&amp;"生成成长"),3))*(VLOOKUP($B$5,标准坦克设计!$B$14:$K$20,9)/30))</f>
        <v>16.846898027682862</v>
      </c>
      <c r="EK202" s="173">
        <f ca="1">(VLOOKUP(EK$72,INDIRECT($C$5&amp;"生成成长"),2))/((VLOOKUP($B202,INDIRECT($B$5&amp;"生成成长"),4))/(VLOOKUP(EK$72,INDIRECT($C$5&amp;"生成成长"),5))*(VLOOKUP($B$5,标准坦克设计!$B$24:$U$30,MATCH("对"&amp;LEFT($C$5,2)&amp;"输出",标准坦克设计!$B$23:$U$23,0)))*(VLOOKUP($B202,INDIRECT($B$5&amp;"生成成长"),3))*(VLOOKUP($B$5,标准坦克设计!$B$14:$K$20,9)/30))</f>
        <v>18.216948520149476</v>
      </c>
      <c r="EL202" s="173">
        <f ca="1">(VLOOKUP(EL$72,INDIRECT($C$5&amp;"生成成长"),2))/((VLOOKUP($B202,INDIRECT($B$5&amp;"生成成长"),4))/(VLOOKUP(EL$72,INDIRECT($C$5&amp;"生成成长"),5))*(VLOOKUP($B$5,标准坦克设计!$B$24:$U$30,MATCH("对"&amp;LEFT($C$5,2)&amp;"输出",标准坦克设计!$B$23:$U$23,0)))*(VLOOKUP($B202,INDIRECT($B$5&amp;"生成成长"),3))*(VLOOKUP($B$5,标准坦克设计!$B$14:$K$20,9)/30))</f>
        <v>19.640551474862335</v>
      </c>
      <c r="EM202" s="173">
        <f ca="1">(VLOOKUP(EM$72,INDIRECT($C$5&amp;"生成成长"),2))/((VLOOKUP($B202,INDIRECT($B$5&amp;"生成成长"),4))/(VLOOKUP(EM$72,INDIRECT($C$5&amp;"生成成长"),5))*(VLOOKUP($B$5,标准坦克设计!$B$24:$U$30,MATCH("对"&amp;LEFT($C$5,2)&amp;"输出",标准坦克设计!$B$23:$U$23,0)))*(VLOOKUP($B202,INDIRECT($B$5&amp;"生成成长"),3))*(VLOOKUP($B$5,标准坦克设计!$B$14:$K$20,9)/30))</f>
        <v>21.117706891821452</v>
      </c>
      <c r="EN202" s="173">
        <f ca="1">(VLOOKUP(EN$72,INDIRECT($C$5&amp;"生成成长"),2))/((VLOOKUP($B202,INDIRECT($B$5&amp;"生成成长"),4))/(VLOOKUP(EN$72,INDIRECT($C$5&amp;"生成成长"),5))*(VLOOKUP($B$5,标准坦克设计!$B$24:$U$30,MATCH("对"&amp;LEFT($C$5,2)&amp;"输出",标准坦克设计!$B$23:$U$23,0)))*(VLOOKUP($B202,INDIRECT($B$5&amp;"生成成长"),3))*(VLOOKUP($B$5,标准坦克设计!$B$14:$K$20,9)/30))</f>
        <v>22.648414771026818</v>
      </c>
      <c r="EO202" s="173">
        <f ca="1">(VLOOKUP(EO$72,INDIRECT($C$5&amp;"生成成长"),2))/((VLOOKUP($B202,INDIRECT($B$5&amp;"生成成长"),4))/(VLOOKUP(EO$72,INDIRECT($C$5&amp;"生成成长"),5))*(VLOOKUP($B$5,标准坦克设计!$B$24:$U$30,MATCH("对"&amp;LEFT($C$5,2)&amp;"输出",标准坦克设计!$B$23:$U$23,0)))*(VLOOKUP($B202,INDIRECT($B$5&amp;"生成成长"),3))*(VLOOKUP($B$5,标准坦克设计!$B$14:$K$20,9)/30))</f>
        <v>24.232675112478436</v>
      </c>
      <c r="EP202" s="173">
        <f ca="1">(VLOOKUP(EP$72,INDIRECT($C$5&amp;"生成成长"),2))/((VLOOKUP($B202,INDIRECT($B$5&amp;"生成成长"),4))/(VLOOKUP(EP$72,INDIRECT($C$5&amp;"生成成长"),5))*(VLOOKUP($B$5,标准坦克设计!$B$24:$U$30,MATCH("对"&amp;LEFT($C$5,2)&amp;"输出",标准坦克设计!$B$23:$U$23,0)))*(VLOOKUP($B202,INDIRECT($B$5&amp;"生成成长"),3))*(VLOOKUP($B$5,标准坦克设计!$B$14:$K$20,9)/30))</f>
        <v>25.870487916176309</v>
      </c>
      <c r="EQ202" s="173">
        <f ca="1">(VLOOKUP(EQ$72,INDIRECT($C$5&amp;"生成成长"),2))/((VLOOKUP($B202,INDIRECT($B$5&amp;"生成成长"),4))/(VLOOKUP(EQ$72,INDIRECT($C$5&amp;"生成成长"),5))*(VLOOKUP($B$5,标准坦克设计!$B$24:$U$30,MATCH("对"&amp;LEFT($C$5,2)&amp;"输出",标准坦克设计!$B$23:$U$23,0)))*(VLOOKUP($B202,INDIRECT($B$5&amp;"生成成长"),3))*(VLOOKUP($B$5,标准坦克设计!$B$14:$K$20,9)/30))</f>
        <v>11.43642582636623</v>
      </c>
      <c r="ER202" s="173">
        <f ca="1">(VLOOKUP(ER$72,INDIRECT($C$5&amp;"生成成长"),2))/((VLOOKUP($B202,INDIRECT($B$5&amp;"生成成长"),4))/(VLOOKUP(ER$72,INDIRECT($C$5&amp;"生成成长"),5))*(VLOOKUP($B$5,标准坦克设计!$B$24:$U$30,MATCH("对"&amp;LEFT($C$5,2)&amp;"输出",标准坦克设计!$B$23:$U$23,0)))*(VLOOKUP($B202,INDIRECT($B$5&amp;"生成成长"),3))*(VLOOKUP($B$5,标准坦克设计!$B$14:$K$20,9)/30))</f>
        <v>12.473446944238963</v>
      </c>
      <c r="ES202" s="173">
        <f ca="1">(VLOOKUP(ES$72,INDIRECT($C$5&amp;"生成成长"),2))/((VLOOKUP($B202,INDIRECT($B$5&amp;"生成成长"),4))/(VLOOKUP(ES$72,INDIRECT($C$5&amp;"生成成长"),5))*(VLOOKUP($B$5,标准坦克设计!$B$24:$U$30,MATCH("对"&amp;LEFT($C$5,2)&amp;"输出",标准坦克设计!$B$23:$U$23,0)))*(VLOOKUP($B202,INDIRECT($B$5&amp;"生成成长"),3))*(VLOOKUP($B$5,标准坦克设计!$B$14:$K$20,9)/30))</f>
        <v>13.555467006082502</v>
      </c>
      <c r="ET202" s="173">
        <f ca="1">(VLOOKUP(ET$72,INDIRECT($C$5&amp;"生成成长"),2))/((VLOOKUP($B202,INDIRECT($B$5&amp;"生成成长"),4))/(VLOOKUP(ET$72,INDIRECT($C$5&amp;"生成成长"),5))*(VLOOKUP($B$5,标准坦克设计!$B$24:$U$30,MATCH("对"&amp;LEFT($C$5,2)&amp;"输出",标准坦克设计!$B$23:$U$23,0)))*(VLOOKUP($B202,INDIRECT($B$5&amp;"生成成长"),3))*(VLOOKUP($B$5,标准坦克设计!$B$14:$K$20,9)/30))</f>
        <v>14.682486011896851</v>
      </c>
      <c r="EU202" s="173">
        <f ca="1">(VLOOKUP(EU$72,INDIRECT($C$5&amp;"生成成长"),2))/((VLOOKUP($B202,INDIRECT($B$5&amp;"生成成长"),4))/(VLOOKUP(EU$72,INDIRECT($C$5&amp;"生成成长"),5))*(VLOOKUP($B$5,标准坦克设计!$B$24:$U$30,MATCH("对"&amp;LEFT($C$5,2)&amp;"输出",标准坦克设计!$B$23:$U$23,0)))*(VLOOKUP($B202,INDIRECT($B$5&amp;"生成成长"),3))*(VLOOKUP($B$5,标准坦克设计!$B$14:$K$20,9)/30))</f>
        <v>15.854503961682012</v>
      </c>
      <c r="EV202" s="173">
        <f ca="1">(VLOOKUP(EV$72,INDIRECT($C$5&amp;"生成成长"),2))/((VLOOKUP($B202,INDIRECT($B$5&amp;"生成成长"),4))/(VLOOKUP(EV$72,INDIRECT($C$5&amp;"生成成长"),5))*(VLOOKUP($B$5,标准坦克设计!$B$24:$U$30,MATCH("对"&amp;LEFT($C$5,2)&amp;"输出",标准坦克设计!$B$23:$U$23,0)))*(VLOOKUP($B202,INDIRECT($B$5&amp;"生成成长"),3))*(VLOOKUP($B$5,标准坦克设计!$B$14:$K$20,9)/30))</f>
        <v>17.071520855437981</v>
      </c>
      <c r="EW202" s="173">
        <f ca="1">(VLOOKUP(EW$72,INDIRECT($C$5&amp;"生成成长"),2))/((VLOOKUP($B202,INDIRECT($B$5&amp;"生成成长"),4))/(VLOOKUP(EW$72,INDIRECT($C$5&amp;"生成成长"),5))*(VLOOKUP($B$5,标准坦克设计!$B$24:$U$30,MATCH("对"&amp;LEFT($C$5,2)&amp;"输出",标准坦克设计!$B$23:$U$23,0)))*(VLOOKUP($B202,INDIRECT($B$5&amp;"生成成长"),3))*(VLOOKUP($B$5,标准坦克设计!$B$14:$K$20,9)/30))</f>
        <v>18.333536693164756</v>
      </c>
      <c r="EX202" s="173">
        <f ca="1">(VLOOKUP(EX$72,INDIRECT($C$5&amp;"生成成长"),2))/((VLOOKUP($B202,INDIRECT($B$5&amp;"生成成长"),4))/(VLOOKUP(EX$72,INDIRECT($C$5&amp;"生成成长"),5))*(VLOOKUP($B$5,标准坦克设计!$B$24:$U$30,MATCH("对"&amp;LEFT($C$5,2)&amp;"输出",标准坦克设计!$B$23:$U$23,0)))*(VLOOKUP($B202,INDIRECT($B$5&amp;"生成成长"),3))*(VLOOKUP($B$5,标准坦克设计!$B$14:$K$20,9)/30))</f>
        <v>19.640551474862335</v>
      </c>
      <c r="EY202" s="173">
        <f ca="1">(VLOOKUP(EY$72,INDIRECT($C$5&amp;"生成成长"),2))/((VLOOKUP($B202,INDIRECT($B$5&amp;"生成成长"),4))/(VLOOKUP(EY$72,INDIRECT($C$5&amp;"生成成长"),5))*(VLOOKUP($B$5,标准坦克设计!$B$24:$U$30,MATCH("对"&amp;LEFT($C$5,2)&amp;"输出",标准坦克设计!$B$23:$U$23,0)))*(VLOOKUP($B202,INDIRECT($B$5&amp;"生成成长"),3))*(VLOOKUP($B$5,标准坦克设计!$B$14:$K$20,9)/30))</f>
        <v>20.992565200530731</v>
      </c>
      <c r="EZ202" s="173">
        <f ca="1">(VLOOKUP(EZ$72,INDIRECT($C$5&amp;"生成成长"),2))/((VLOOKUP($B202,INDIRECT($B$5&amp;"生成成长"),4))/(VLOOKUP(EZ$72,INDIRECT($C$5&amp;"生成成长"),5))*(VLOOKUP($B$5,标准坦克设计!$B$24:$U$30,MATCH("对"&amp;LEFT($C$5,2)&amp;"输出",标准坦克设计!$B$23:$U$23,0)))*(VLOOKUP($B202,INDIRECT($B$5&amp;"生成成长"),3))*(VLOOKUP($B$5,标准坦克设计!$B$14:$K$20,9)/30))</f>
        <v>22.389577870169937</v>
      </c>
      <c r="FA202" s="173">
        <f ca="1">(VLOOKUP(FA$72,INDIRECT($C$5&amp;"生成成长"),2))/((VLOOKUP($B202,INDIRECT($B$5&amp;"生成成长"),4))/(VLOOKUP(FA$72,INDIRECT($C$5&amp;"生成成长"),5))*(VLOOKUP($B$5,标准坦克设计!$B$24:$U$30,MATCH("对"&amp;LEFT($C$5,2)&amp;"输出",标准坦克设计!$B$23:$U$23,0)))*(VLOOKUP($B202,INDIRECT($B$5&amp;"生成成长"),3))*(VLOOKUP($B$5,标准坦克设计!$B$14:$K$20,9)/30))</f>
        <v>23.831589483779947</v>
      </c>
      <c r="FB202" s="173">
        <f ca="1">(VLOOKUP(FB$72,INDIRECT($C$5&amp;"生成成长"),2))/((VLOOKUP($B202,INDIRECT($B$5&amp;"生成成长"),4))/(VLOOKUP(FB$72,INDIRECT($C$5&amp;"生成成长"),5))*(VLOOKUP($B$5,标准坦克设计!$B$24:$U$30,MATCH("对"&amp;LEFT($C$5,2)&amp;"输出",标准坦克设计!$B$23:$U$23,0)))*(VLOOKUP($B202,INDIRECT($B$5&amp;"生成成长"),3))*(VLOOKUP($B$5,标准坦克设计!$B$14:$K$20,9)/30))</f>
        <v>25.318600041360764</v>
      </c>
      <c r="FC202" s="173">
        <f ca="1">(VLOOKUP(FC$72,INDIRECT($C$5&amp;"生成成长"),2))/((VLOOKUP($B202,INDIRECT($B$5&amp;"生成成长"),4))/(VLOOKUP(FC$72,INDIRECT($C$5&amp;"生成成长"),5))*(VLOOKUP($B$5,标准坦克设计!$B$24:$U$30,MATCH("对"&amp;LEFT($C$5,2)&amp;"输出",标准坦克设计!$B$23:$U$23,0)))*(VLOOKUP($B202,INDIRECT($B$5&amp;"生成成长"),3))*(VLOOKUP($B$5,标准坦克设计!$B$14:$K$20,9)/30))</f>
        <v>26.850609542912391</v>
      </c>
      <c r="FD202" s="173">
        <f ca="1">(VLOOKUP(FD$72,INDIRECT($C$5&amp;"生成成长"),2))/((VLOOKUP($B202,INDIRECT($B$5&amp;"生成成长"),4))/(VLOOKUP(FD$72,INDIRECT($C$5&amp;"生成成长"),5))*(VLOOKUP($B$5,标准坦克设计!$B$24:$U$30,MATCH("对"&amp;LEFT($C$5,2)&amp;"输出",标准坦克设计!$B$23:$U$23,0)))*(VLOOKUP($B202,INDIRECT($B$5&amp;"生成成长"),3))*(VLOOKUP($B$5,标准坦克设计!$B$14:$K$20,9)/30))</f>
        <v>28.427617988434832</v>
      </c>
      <c r="FE202" s="173">
        <f ca="1">(VLOOKUP(FE$72,INDIRECT($C$5&amp;"生成成长"),2))/((VLOOKUP($B202,INDIRECT($B$5&amp;"生成成长"),4))/(VLOOKUP(FE$72,INDIRECT($C$5&amp;"生成成长"),5))*(VLOOKUP($B$5,标准坦克设计!$B$24:$U$30,MATCH("对"&amp;LEFT($C$5,2)&amp;"输出",标准坦克设计!$B$23:$U$23,0)))*(VLOOKUP($B202,INDIRECT($B$5&amp;"生成成长"),3))*(VLOOKUP($B$5,标准坦克设计!$B$14:$K$20,9)/30))</f>
        <v>30.349370409667518</v>
      </c>
      <c r="FF202" s="173">
        <f ca="1">(VLOOKUP(FF$72,INDIRECT($C$5&amp;"生成成长"),2))/((VLOOKUP($B202,INDIRECT($B$5&amp;"生成成长"),4))/(VLOOKUP(FF$72,INDIRECT($C$5&amp;"生成成长"),5))*(VLOOKUP($B$5,标准坦克设计!$B$24:$U$30,MATCH("对"&amp;LEFT($C$5,2)&amp;"输出",标准坦克设计!$B$23:$U$23,0)))*(VLOOKUP($B202,INDIRECT($B$5&amp;"生成成长"),3))*(VLOOKUP($B$5,标准坦克设计!$B$14:$K$20,9)/30))</f>
        <v>32.333972595619755</v>
      </c>
      <c r="FG202" s="173">
        <f ca="1">(VLOOKUP(FG$72,INDIRECT($C$5&amp;"生成成长"),2))/((VLOOKUP($B202,INDIRECT($B$5&amp;"生成成长"),4))/(VLOOKUP(FG$72,INDIRECT($C$5&amp;"生成成长"),5))*(VLOOKUP($B$5,标准坦克设计!$B$24:$U$30,MATCH("对"&amp;LEFT($C$5,2)&amp;"输出",标准坦克设计!$B$23:$U$23,0)))*(VLOOKUP($B202,INDIRECT($B$5&amp;"生成成长"),3))*(VLOOKUP($B$5,标准坦克设计!$B$14:$K$20,9)/30))</f>
        <v>34.381424546291562</v>
      </c>
      <c r="FH202" s="173">
        <f ca="1">(VLOOKUP(FH$72,INDIRECT($C$5&amp;"生成成长"),2))/((VLOOKUP($B202,INDIRECT($B$5&amp;"生成成长"),4))/(VLOOKUP(FH$72,INDIRECT($C$5&amp;"生成成长"),5))*(VLOOKUP($B$5,标准坦克设计!$B$24:$U$30,MATCH("对"&amp;LEFT($C$5,2)&amp;"输出",标准坦克设计!$B$23:$U$23,0)))*(VLOOKUP($B202,INDIRECT($B$5&amp;"生成成长"),3))*(VLOOKUP($B$5,标准坦克设计!$B$14:$K$20,9)/30))</f>
        <v>36.491726261682921</v>
      </c>
      <c r="FI202" s="173">
        <f ca="1">(VLOOKUP(FI$72,INDIRECT($C$5&amp;"生成成长"),2))/((VLOOKUP($B202,INDIRECT($B$5&amp;"生成成长"),4))/(VLOOKUP(FI$72,INDIRECT($C$5&amp;"生成成长"),5))*(VLOOKUP($B$5,标准坦克设计!$B$24:$U$30,MATCH("对"&amp;LEFT($C$5,2)&amp;"输出",标准坦克设计!$B$23:$U$23,0)))*(VLOOKUP($B202,INDIRECT($B$5&amp;"生成成长"),3))*(VLOOKUP($B$5,标准坦克设计!$B$14:$K$20,9)/30))</f>
        <v>38.664877741793852</v>
      </c>
      <c r="FJ202" s="173">
        <f ca="1">(VLOOKUP(FJ$72,INDIRECT($C$5&amp;"生成成长"),2))/((VLOOKUP($B202,INDIRECT($B$5&amp;"生成成长"),4))/(VLOOKUP(FJ$72,INDIRECT($C$5&amp;"生成成长"),5))*(VLOOKUP($B$5,标准坦克设计!$B$24:$U$30,MATCH("对"&amp;LEFT($C$5,2)&amp;"输出",标准坦克设计!$B$23:$U$23,0)))*(VLOOKUP($B202,INDIRECT($B$5&amp;"生成成长"),3))*(VLOOKUP($B$5,标准坦克设计!$B$14:$K$20,9)/30))</f>
        <v>40.900878986624328</v>
      </c>
      <c r="FK202" s="173">
        <f ca="1">(VLOOKUP(FK$72,INDIRECT($C$5&amp;"生成成长"),2))/((VLOOKUP($B202,INDIRECT($B$5&amp;"生成成长"),4))/(VLOOKUP(FK$72,INDIRECT($C$5&amp;"生成成长"),5))*(VLOOKUP($B$5,标准坦克设计!$B$24:$U$30,MATCH("对"&amp;LEFT($C$5,2)&amp;"输出",标准坦克设计!$B$23:$U$23,0)))*(VLOOKUP($B202,INDIRECT($B$5&amp;"生成成长"),3))*(VLOOKUP($B$5,标准坦克设计!$B$14:$K$20,9)/30))</f>
        <v>43.199729996174362</v>
      </c>
    </row>
    <row r="203" spans="1:167" x14ac:dyDescent="0.15">
      <c r="A203" s="171" t="str">
        <f t="shared" si="13"/>
        <v>T4高品质5级</v>
      </c>
      <c r="B203" s="172">
        <v>30405</v>
      </c>
      <c r="C203" s="173">
        <f ca="1">(VLOOKUP(C$72,INDIRECT($C$5&amp;"生成成长"),2))/((VLOOKUP($B203,INDIRECT($B$5&amp;"生成成长"),4))/(VLOOKUP(C$72,INDIRECT($C$5&amp;"生成成长"),5))*(VLOOKUP($B$5,标准坦克设计!$B$24:$U$30,MATCH("对"&amp;LEFT($C$5,2)&amp;"输出",标准坦克设计!$B$23:$U$23,0)))*(VLOOKUP($B203,INDIRECT($B$5&amp;"生成成长"),3))*(VLOOKUP($B$5,标准坦克设计!$B$14:$K$20,9)/30))</f>
        <v>1.7016180924231745</v>
      </c>
      <c r="D203" s="173">
        <f ca="1">(VLOOKUP(D$72,INDIRECT($C$5&amp;"生成成长"),2))/((VLOOKUP($B203,INDIRECT($B$5&amp;"生成成长"),4))/(VLOOKUP(D$72,INDIRECT($C$5&amp;"生成成长"),5))*(VLOOKUP($B$5,标准坦克设计!$B$24:$U$30,MATCH("对"&amp;LEFT($C$5,2)&amp;"输出",标准坦克设计!$B$23:$U$23,0)))*(VLOOKUP($B203,INDIRECT($B$5&amp;"生成成长"),3))*(VLOOKUP($B$5,标准坦克设计!$B$14:$K$20,9)/30))</f>
        <v>1.9119380886466788</v>
      </c>
      <c r="E203" s="173">
        <f ca="1">(VLOOKUP(E$72,INDIRECT($C$5&amp;"生成成长"),2))/((VLOOKUP($B203,INDIRECT($B$5&amp;"生成成长"),4))/(VLOOKUP(E$72,INDIRECT($C$5&amp;"生成成长"),5))*(VLOOKUP($B$5,标准坦克设计!$B$24:$U$30,MATCH("对"&amp;LEFT($C$5,2)&amp;"输出",标准坦克设计!$B$23:$U$23,0)))*(VLOOKUP($B203,INDIRECT($B$5&amp;"生成成长"),3))*(VLOOKUP($B$5,标准坦克设计!$B$14:$K$20,9)/30))</f>
        <v>2.1345097351356301</v>
      </c>
      <c r="F203" s="173">
        <f ca="1">(VLOOKUP(F$72,INDIRECT($C$5&amp;"生成成长"),2))/((VLOOKUP($B203,INDIRECT($B$5&amp;"生成成长"),4))/(VLOOKUP(F$72,INDIRECT($C$5&amp;"生成成长"),5))*(VLOOKUP($B$5,标准坦克设计!$B$24:$U$30,MATCH("对"&amp;LEFT($C$5,2)&amp;"输出",标准坦克设计!$B$23:$U$23,0)))*(VLOOKUP($B203,INDIRECT($B$5&amp;"生成成长"),3))*(VLOOKUP($B$5,标准坦克设计!$B$14:$K$20,9)/30))</f>
        <v>2.3693330318900281</v>
      </c>
      <c r="G203" s="173">
        <f ca="1">(VLOOKUP(G$72,INDIRECT($C$5&amp;"生成成长"),2))/((VLOOKUP($B203,INDIRECT($B$5&amp;"生成成长"),4))/(VLOOKUP(G$72,INDIRECT($C$5&amp;"生成成长"),5))*(VLOOKUP($B$5,标准坦克设计!$B$24:$U$30,MATCH("对"&amp;LEFT($C$5,2)&amp;"输出",标准坦克设计!$B$23:$U$23,0)))*(VLOOKUP($B203,INDIRECT($B$5&amp;"生成成长"),3))*(VLOOKUP($B$5,标准坦克设计!$B$14:$K$20,9)/30))</f>
        <v>2.6164079789098729</v>
      </c>
      <c r="H203" s="173">
        <f ca="1">(VLOOKUP(H$72,INDIRECT($C$5&amp;"生成成长"),2))/((VLOOKUP($B203,INDIRECT($B$5&amp;"生成成长"),4))/(VLOOKUP(H$72,INDIRECT($C$5&amp;"生成成长"),5))*(VLOOKUP($B$5,标准坦克设计!$B$24:$U$30,MATCH("对"&amp;LEFT($C$5,2)&amp;"输出",标准坦克设计!$B$23:$U$23,0)))*(VLOOKUP($B203,INDIRECT($B$5&amp;"生成成长"),3))*(VLOOKUP($B$5,标准坦克设计!$B$14:$K$20,9)/30))</f>
        <v>2.2896973051646232</v>
      </c>
      <c r="I203" s="173">
        <f ca="1">(VLOOKUP(I$72,INDIRECT($C$5&amp;"生成成长"),2))/((VLOOKUP($B203,INDIRECT($B$5&amp;"生成成长"),4))/(VLOOKUP(I$72,INDIRECT($C$5&amp;"生成成长"),5))*(VLOOKUP($B$5,标准坦克设计!$B$24:$U$30,MATCH("对"&amp;LEFT($C$5,2)&amp;"输出",标准坦克设计!$B$23:$U$23,0)))*(VLOOKUP($B203,INDIRECT($B$5&amp;"生成成长"),3))*(VLOOKUP($B$5,标准坦克设计!$B$14:$K$20,9)/30))</f>
        <v>2.6164079789098729</v>
      </c>
      <c r="J203" s="173">
        <f ca="1">(VLOOKUP(J$72,INDIRECT($C$5&amp;"生成成长"),2))/((VLOOKUP($B203,INDIRECT($B$5&amp;"生成成长"),4))/(VLOOKUP(J$72,INDIRECT($C$5&amp;"生成成长"),5))*(VLOOKUP($B$5,标准坦克设计!$B$24:$U$30,MATCH("对"&amp;LEFT($C$5,2)&amp;"输出",标准坦克设计!$B$23:$U$23,0)))*(VLOOKUP($B203,INDIRECT($B$5&amp;"生成成长"),3))*(VLOOKUP($B$5,标准坦克设计!$B$14:$K$20,9)/30))</f>
        <v>2.9648993642381387</v>
      </c>
      <c r="K203" s="173">
        <f ca="1">(VLOOKUP(K$72,INDIRECT($C$5&amp;"生成成长"),2))/((VLOOKUP($B203,INDIRECT($B$5&amp;"生成成长"),4))/(VLOOKUP(K$72,INDIRECT($C$5&amp;"生成成长"),5))*(VLOOKUP($B$5,标准坦克设计!$B$24:$U$30,MATCH("对"&amp;LEFT($C$5,2)&amp;"输出",标准坦克设计!$B$23:$U$23,0)))*(VLOOKUP($B203,INDIRECT($B$5&amp;"生成成长"),3))*(VLOOKUP($B$5,标准坦克设计!$B$14:$K$20,9)/30))</f>
        <v>3.3351714611494221</v>
      </c>
      <c r="L203" s="173">
        <f ca="1">(VLOOKUP(L$72,INDIRECT($C$5&amp;"生成成长"),2))/((VLOOKUP($B203,INDIRECT($B$5&amp;"生成成长"),4))/(VLOOKUP(L$72,INDIRECT($C$5&amp;"生成成长"),5))*(VLOOKUP($B$5,标准坦克设计!$B$24:$U$30,MATCH("对"&amp;LEFT($C$5,2)&amp;"输出",标准坦克设计!$B$23:$U$23,0)))*(VLOOKUP($B203,INDIRECT($B$5&amp;"生成成长"),3))*(VLOOKUP($B$5,标准坦克设计!$B$14:$K$20,9)/30))</f>
        <v>3.7272242696437208</v>
      </c>
      <c r="M203" s="173">
        <f ca="1">(VLOOKUP(M$72,INDIRECT($C$5&amp;"生成成长"),2))/((VLOOKUP($B203,INDIRECT($B$5&amp;"生成成长"),4))/(VLOOKUP(M$72,INDIRECT($C$5&amp;"生成成长"),5))*(VLOOKUP($B$5,标准坦克设计!$B$24:$U$30,MATCH("对"&amp;LEFT($C$5,2)&amp;"输出",标准坦克设计!$B$23:$U$23,0)))*(VLOOKUP($B203,INDIRECT($B$5&amp;"生成成长"),3))*(VLOOKUP($B$5,标准坦克设计!$B$14:$K$20,9)/30))</f>
        <v>4.1410577897210361</v>
      </c>
      <c r="N203" s="173">
        <f ca="1">(VLOOKUP(N$72,INDIRECT($C$5&amp;"生成成长"),2))/((VLOOKUP($B203,INDIRECT($B$5&amp;"生成成长"),4))/(VLOOKUP(N$72,INDIRECT($C$5&amp;"生成成长"),5))*(VLOOKUP($B$5,标准坦克设计!$B$24:$U$30,MATCH("对"&amp;LEFT($C$5,2)&amp;"输出",标准坦克设计!$B$23:$U$23,0)))*(VLOOKUP($B203,INDIRECT($B$5&amp;"生成成长"),3))*(VLOOKUP($B$5,标准坦克设计!$B$14:$K$20,9)/30))</f>
        <v>4.576672021381369</v>
      </c>
      <c r="O203" s="173">
        <f ca="1">(VLOOKUP(O$72,INDIRECT($C$5&amp;"生成成长"),2))/((VLOOKUP($B203,INDIRECT($B$5&amp;"生成成长"),4))/(VLOOKUP(O$72,INDIRECT($C$5&amp;"生成成长"),5))*(VLOOKUP($B$5,标准坦克设计!$B$24:$U$30,MATCH("对"&amp;LEFT($C$5,2)&amp;"输出",标准坦克设计!$B$23:$U$23,0)))*(VLOOKUP($B203,INDIRECT($B$5&amp;"生成成长"),3))*(VLOOKUP($B$5,标准坦克设计!$B$14:$K$20,9)/30))</f>
        <v>3.4796388371961484</v>
      </c>
      <c r="P203" s="173">
        <f ca="1">(VLOOKUP(P$72,INDIRECT($C$5&amp;"生成成长"),2))/((VLOOKUP($B203,INDIRECT($B$5&amp;"生成成长"),4))/(VLOOKUP(P$72,INDIRECT($C$5&amp;"生成成长"),5))*(VLOOKUP($B$5,标准坦克设计!$B$24:$U$30,MATCH("对"&amp;LEFT($C$5,2)&amp;"输出",标准坦克设计!$B$23:$U$23,0)))*(VLOOKUP($B203,INDIRECT($B$5&amp;"生成成长"),3))*(VLOOKUP($B$5,标准坦克设计!$B$14:$K$20,9)/30))</f>
        <v>3.9314184407345021</v>
      </c>
      <c r="Q203" s="173">
        <f ca="1">(VLOOKUP(Q$72,INDIRECT($C$5&amp;"生成成长"),2))/((VLOOKUP($B203,INDIRECT($B$5&amp;"生成成长"),4))/(VLOOKUP(Q$72,INDIRECT($C$5&amp;"生成成长"),5))*(VLOOKUP($B$5,标准坦克设计!$B$24:$U$30,MATCH("对"&amp;LEFT($C$5,2)&amp;"输出",标准坦克设计!$B$23:$U$23,0)))*(VLOOKUP($B203,INDIRECT($B$5&amp;"生成成长"),3))*(VLOOKUP($B$5,标准坦克设计!$B$14:$K$20,9)/30))</f>
        <v>4.4107642573701105</v>
      </c>
      <c r="R203" s="173">
        <f ca="1">(VLOOKUP(R$72,INDIRECT($C$5&amp;"生成成长"),2))/((VLOOKUP($B203,INDIRECT($B$5&amp;"生成成长"),4))/(VLOOKUP(R$72,INDIRECT($C$5&amp;"生成成长"),5))*(VLOOKUP($B$5,标准坦克设计!$B$24:$U$30,MATCH("对"&amp;LEFT($C$5,2)&amp;"输出",标准坦克设计!$B$23:$U$23,0)))*(VLOOKUP($B203,INDIRECT($B$5&amp;"生成成长"),3))*(VLOOKUP($B$5,标准坦克设计!$B$14:$K$20,9)/30))</f>
        <v>4.9176762871029744</v>
      </c>
      <c r="S203" s="173">
        <f ca="1">(VLOOKUP(S$72,INDIRECT($C$5&amp;"生成成长"),2))/((VLOOKUP($B203,INDIRECT($B$5&amp;"生成成长"),4))/(VLOOKUP(S$72,INDIRECT($C$5&amp;"生成成长"),5))*(VLOOKUP($B$5,标准坦克设计!$B$24:$U$30,MATCH("对"&amp;LEFT($C$5,2)&amp;"输出",标准坦克设计!$B$23:$U$23,0)))*(VLOOKUP($B203,INDIRECT($B$5&amp;"生成成长"),3))*(VLOOKUP($B$5,标准坦克设计!$B$14:$K$20,9)/30))</f>
        <v>5.4521545299330931</v>
      </c>
      <c r="T203" s="173">
        <f ca="1">(VLOOKUP(T$72,INDIRECT($C$5&amp;"生成成长"),2))/((VLOOKUP($B203,INDIRECT($B$5&amp;"生成成长"),4))/(VLOOKUP(T$72,INDIRECT($C$5&amp;"生成成长"),5))*(VLOOKUP($B$5,标准坦克设计!$B$24:$U$30,MATCH("对"&amp;LEFT($C$5,2)&amp;"输出",标准坦克设计!$B$23:$U$23,0)))*(VLOOKUP($B203,INDIRECT($B$5&amp;"生成成长"),3))*(VLOOKUP($B$5,标准坦克设计!$B$14:$K$20,9)/30))</f>
        <v>6.0141989858604665</v>
      </c>
      <c r="U203" s="173">
        <f ca="1">(VLOOKUP(U$72,INDIRECT($C$5&amp;"生成成长"),2))/((VLOOKUP($B203,INDIRECT($B$5&amp;"生成成长"),4))/(VLOOKUP(U$72,INDIRECT($C$5&amp;"生成成长"),5))*(VLOOKUP($B$5,标准坦克设计!$B$24:$U$30,MATCH("对"&amp;LEFT($C$5,2)&amp;"输出",标准坦克设计!$B$23:$U$23,0)))*(VLOOKUP($B203,INDIRECT($B$5&amp;"生成成长"),3))*(VLOOKUP($B$5,标准坦克设计!$B$14:$K$20,9)/30))</f>
        <v>6.6038096548850964</v>
      </c>
      <c r="V203" s="173">
        <f ca="1">(VLOOKUP(V$72,INDIRECT($C$5&amp;"生成成长"),2))/((VLOOKUP($B203,INDIRECT($B$5&amp;"生成成长"),4))/(VLOOKUP(V$72,INDIRECT($C$5&amp;"生成成长"),5))*(VLOOKUP($B$5,标准坦克设计!$B$24:$U$30,MATCH("对"&amp;LEFT($C$5,2)&amp;"输出",标准坦克设计!$B$23:$U$23,0)))*(VLOOKUP($B203,INDIRECT($B$5&amp;"生成成长"),3))*(VLOOKUP($B$5,标准坦克设计!$B$14:$K$20,9)/30))</f>
        <v>7.2209865370069828</v>
      </c>
      <c r="W203" s="173">
        <f ca="1">(VLOOKUP(W$72,INDIRECT($C$5&amp;"生成成长"),2))/((VLOOKUP($B203,INDIRECT($B$5&amp;"生成成长"),4))/(VLOOKUP(W$72,INDIRECT($C$5&amp;"生成成长"),5))*(VLOOKUP($B$5,标准坦克设计!$B$24:$U$30,MATCH("对"&amp;LEFT($C$5,2)&amp;"输出",标准坦克设计!$B$23:$U$23,0)))*(VLOOKUP($B203,INDIRECT($B$5&amp;"生成成长"),3))*(VLOOKUP($B$5,标准坦克设计!$B$14:$K$20,9)/30))</f>
        <v>7.865729632226123</v>
      </c>
      <c r="X203" s="173">
        <f ca="1">(VLOOKUP(X$72,INDIRECT($C$5&amp;"生成成长"),2))/((VLOOKUP($B203,INDIRECT($B$5&amp;"生成成长"),4))/(VLOOKUP(X$72,INDIRECT($C$5&amp;"生成成长"),5))*(VLOOKUP($B$5,标准坦克设计!$B$24:$U$30,MATCH("对"&amp;LEFT($C$5,2)&amp;"输出",标准坦克设计!$B$23:$U$23,0)))*(VLOOKUP($B203,INDIRECT($B$5&amp;"生成成长"),3))*(VLOOKUP($B$5,标准坦克设计!$B$14:$K$20,9)/30))</f>
        <v>5.6985488297159677</v>
      </c>
      <c r="Y203" s="173">
        <f ca="1">(VLOOKUP(Y$72,INDIRECT($C$5&amp;"生成成长"),2))/((VLOOKUP($B203,INDIRECT($B$5&amp;"生成成长"),4))/(VLOOKUP(Y$72,INDIRECT($C$5&amp;"生成成长"),5))*(VLOOKUP($B$5,标准坦克设计!$B$24:$U$30,MATCH("对"&amp;LEFT($C$5,2)&amp;"输出",标准坦克设计!$B$23:$U$23,0)))*(VLOOKUP($B203,INDIRECT($B$5&amp;"生成成长"),3))*(VLOOKUP($B$5,标准坦克设计!$B$14:$K$20,9)/30))</f>
        <v>6.3383572324670823</v>
      </c>
      <c r="Z203" s="173">
        <f ca="1">(VLOOKUP(Z$72,INDIRECT($C$5&amp;"生成成长"),2))/((VLOOKUP($B203,INDIRECT($B$5&amp;"生成成长"),4))/(VLOOKUP(Z$72,INDIRECT($C$5&amp;"生成成长"),5))*(VLOOKUP($B$5,标准坦克设计!$B$24:$U$30,MATCH("对"&amp;LEFT($C$5,2)&amp;"输出",标准坦克设计!$B$23:$U$23,0)))*(VLOOKUP($B203,INDIRECT($B$5&amp;"生成成长"),3))*(VLOOKUP($B$5,标准坦克设计!$B$14:$K$20,9)/30))</f>
        <v>7.0121979970666581</v>
      </c>
      <c r="AA203" s="173">
        <f ca="1">(VLOOKUP(AA$72,INDIRECT($C$5&amp;"生成成长"),2))/((VLOOKUP($B203,INDIRECT($B$5&amp;"生成成长"),4))/(VLOOKUP(AA$72,INDIRECT($C$5&amp;"生成成长"),5))*(VLOOKUP($B$5,标准坦克设计!$B$24:$U$30,MATCH("对"&amp;LEFT($C$5,2)&amp;"输出",标准坦克设计!$B$23:$U$23,0)))*(VLOOKUP($B203,INDIRECT($B$5&amp;"生成成长"),3))*(VLOOKUP($B$5,标准坦克设计!$B$14:$K$20,9)/30))</f>
        <v>7.7200711235146988</v>
      </c>
      <c r="AB203" s="173">
        <f ca="1">(VLOOKUP(AB$72,INDIRECT($C$5&amp;"生成成长"),2))/((VLOOKUP($B203,INDIRECT($B$5&amp;"生成成长"),4))/(VLOOKUP(AB$72,INDIRECT($C$5&amp;"生成成长"),5))*(VLOOKUP($B$5,标准坦克设计!$B$24:$U$30,MATCH("对"&amp;LEFT($C$5,2)&amp;"输出",标准坦克设计!$B$23:$U$23,0)))*(VLOOKUP($B203,INDIRECT($B$5&amp;"生成成长"),3))*(VLOOKUP($B$5,标准坦克设计!$B$14:$K$20,9)/30))</f>
        <v>8.4619766118112025</v>
      </c>
      <c r="AC203" s="173">
        <f ca="1">(VLOOKUP(AC$72,INDIRECT($C$5&amp;"生成成长"),2))/((VLOOKUP($B203,INDIRECT($B$5&amp;"生成成长"),4))/(VLOOKUP(AC$72,INDIRECT($C$5&amp;"生成成长"),5))*(VLOOKUP($B$5,标准坦克设计!$B$24:$U$30,MATCH("对"&amp;LEFT($C$5,2)&amp;"输出",标准坦克设计!$B$23:$U$23,0)))*(VLOOKUP($B203,INDIRECT($B$5&amp;"生成成长"),3))*(VLOOKUP($B$5,标准坦克设计!$B$14:$K$20,9)/30))</f>
        <v>9.2379144619561693</v>
      </c>
      <c r="AD203" s="173">
        <f ca="1">(VLOOKUP(AD$72,INDIRECT($C$5&amp;"生成成长"),2))/((VLOOKUP($B203,INDIRECT($B$5&amp;"生成成长"),4))/(VLOOKUP(AD$72,INDIRECT($C$5&amp;"生成成长"),5))*(VLOOKUP($B$5,标准坦克设计!$B$24:$U$30,MATCH("对"&amp;LEFT($C$5,2)&amp;"输出",标准坦克设计!$B$23:$U$23,0)))*(VLOOKUP($B203,INDIRECT($B$5&amp;"生成成长"),3))*(VLOOKUP($B$5,标准坦克设计!$B$14:$K$20,9)/30))</f>
        <v>10.047884673949602</v>
      </c>
      <c r="AE203" s="173">
        <f ca="1">(VLOOKUP(AE$72,INDIRECT($C$5&amp;"生成成长"),2))/((VLOOKUP($B203,INDIRECT($B$5&amp;"生成成长"),4))/(VLOOKUP(AE$72,INDIRECT($C$5&amp;"生成成长"),5))*(VLOOKUP($B$5,标准坦克设计!$B$24:$U$30,MATCH("对"&amp;LEFT($C$5,2)&amp;"输出",标准坦克设计!$B$23:$U$23,0)))*(VLOOKUP($B203,INDIRECT($B$5&amp;"生成成长"),3))*(VLOOKUP($B$5,标准坦克设计!$B$14:$K$20,9)/30))</f>
        <v>10.891887247791498</v>
      </c>
      <c r="AF203" s="173">
        <f ca="1">(VLOOKUP(AF$72,INDIRECT($C$5&amp;"生成成长"),2))/((VLOOKUP($B203,INDIRECT($B$5&amp;"生成成长"),4))/(VLOOKUP(AF$72,INDIRECT($C$5&amp;"生成成长"),5))*(VLOOKUP($B$5,标准坦克设计!$B$24:$U$30,MATCH("对"&amp;LEFT($C$5,2)&amp;"输出",标准坦克设计!$B$23:$U$23,0)))*(VLOOKUP($B203,INDIRECT($B$5&amp;"生成成长"),3))*(VLOOKUP($B$5,标准坦克设计!$B$14:$K$20,9)/30))</f>
        <v>11.769922183481853</v>
      </c>
      <c r="AG203" s="173">
        <f ca="1">(VLOOKUP(AG$72,INDIRECT($C$5&amp;"生成成长"),2))/((VLOOKUP($B203,INDIRECT($B$5&amp;"生成成长"),4))/(VLOOKUP(AG$72,INDIRECT($C$5&amp;"生成成长"),5))*(VLOOKUP($B$5,标准坦克设计!$B$24:$U$30,MATCH("对"&amp;LEFT($C$5,2)&amp;"输出",标准坦克设计!$B$23:$U$23,0)))*(VLOOKUP($B203,INDIRECT($B$5&amp;"生成成长"),3))*(VLOOKUP($B$5,标准坦克设计!$B$14:$K$20,9)/30))</f>
        <v>12.681989481020674</v>
      </c>
      <c r="AH203" s="173">
        <f ca="1">(VLOOKUP(AH$72,INDIRECT($C$5&amp;"生成成长"),2))/((VLOOKUP($B203,INDIRECT($B$5&amp;"生成成长"),4))/(VLOOKUP(AH$72,INDIRECT($C$5&amp;"生成成长"),5))*(VLOOKUP($B$5,标准坦克设计!$B$24:$U$30,MATCH("对"&amp;LEFT($C$5,2)&amp;"输出",标准坦克设计!$B$23:$U$23,0)))*(VLOOKUP($B203,INDIRECT($B$5&amp;"生成成长"),3))*(VLOOKUP($B$5,标准坦克设计!$B$14:$K$20,9)/30))</f>
        <v>13.628089140407962</v>
      </c>
      <c r="AI203" s="173">
        <f ca="1">(VLOOKUP(AI$72,INDIRECT($C$5&amp;"生成成长"),2))/((VLOOKUP($B203,INDIRECT($B$5&amp;"生成成长"),4))/(VLOOKUP(AI$72,INDIRECT($C$5&amp;"生成成长"),5))*(VLOOKUP($B$5,标准坦克设计!$B$24:$U$30,MATCH("对"&amp;LEFT($C$5,2)&amp;"输出",标准坦克设计!$B$23:$U$23,0)))*(VLOOKUP($B203,INDIRECT($B$5&amp;"生成成长"),3))*(VLOOKUP($B$5,标准坦克设计!$B$14:$K$20,9)/30))</f>
        <v>9.6386455227218288</v>
      </c>
      <c r="AJ203" s="173">
        <f ca="1">(VLOOKUP(AJ$72,INDIRECT($C$5&amp;"生成成长"),2))/((VLOOKUP($B203,INDIRECT($B$5&amp;"生成成长"),4))/(VLOOKUP(AJ$72,INDIRECT($C$5&amp;"生成成长"),5))*(VLOOKUP($B$5,标准坦克设计!$B$24:$U$30,MATCH("对"&amp;LEFT($C$5,2)&amp;"输出",标准坦克设计!$B$23:$U$23,0)))*(VLOOKUP($B203,INDIRECT($B$5&amp;"生成成长"),3))*(VLOOKUP($B$5,标准坦克设计!$B$14:$K$20,9)/30))</f>
        <v>10.550202334832923</v>
      </c>
      <c r="AK203" s="173">
        <f ca="1">(VLOOKUP(AK$72,INDIRECT($C$5&amp;"生成成长"),2))/((VLOOKUP($B203,INDIRECT($B$5&amp;"生成成长"),4))/(VLOOKUP(AK$72,INDIRECT($C$5&amp;"生成成长"),5))*(VLOOKUP($B$5,标准坦克设计!$B$24:$U$30,MATCH("对"&amp;LEFT($C$5,2)&amp;"输出",标准坦克设计!$B$23:$U$23,0)))*(VLOOKUP($B203,INDIRECT($B$5&amp;"生成成长"),3))*(VLOOKUP($B$5,标准坦克设计!$B$14:$K$20,9)/30))</f>
        <v>11.50293830478066</v>
      </c>
      <c r="AL203" s="173">
        <f ca="1">(VLOOKUP(AL$72,INDIRECT($C$5&amp;"生成成长"),2))/((VLOOKUP($B203,INDIRECT($B$5&amp;"生成成长"),4))/(VLOOKUP(AL$72,INDIRECT($C$5&amp;"生成成长"),5))*(VLOOKUP($B$5,标准坦克设计!$B$24:$U$30,MATCH("对"&amp;LEFT($C$5,2)&amp;"输出",标准坦克设计!$B$23:$U$23,0)))*(VLOOKUP($B203,INDIRECT($B$5&amp;"生成成长"),3))*(VLOOKUP($B$5,标准坦克设计!$B$14:$K$20,9)/30))</f>
        <v>12.496853432565034</v>
      </c>
      <c r="AM203" s="173">
        <f ca="1">(VLOOKUP(AM$72,INDIRECT($C$5&amp;"生成成长"),2))/((VLOOKUP($B203,INDIRECT($B$5&amp;"生成成长"),4))/(VLOOKUP(AM$72,INDIRECT($C$5&amp;"生成成长"),5))*(VLOOKUP($B$5,标准坦克设计!$B$24:$U$30,MATCH("对"&amp;LEFT($C$5,2)&amp;"输出",标准坦克设计!$B$23:$U$23,0)))*(VLOOKUP($B203,INDIRECT($B$5&amp;"生成成长"),3))*(VLOOKUP($B$5,标准坦克设计!$B$14:$K$20,9)/30))</f>
        <v>13.531947718186053</v>
      </c>
      <c r="AN203" s="173">
        <f ca="1">(VLOOKUP(AN$72,INDIRECT($C$5&amp;"生成成长"),2))/((VLOOKUP($B203,INDIRECT($B$5&amp;"生成成长"),4))/(VLOOKUP(AN$72,INDIRECT($C$5&amp;"生成成长"),5))*(VLOOKUP($B$5,标准坦克设计!$B$24:$U$30,MATCH("对"&amp;LEFT($C$5,2)&amp;"输出",标准坦克设计!$B$23:$U$23,0)))*(VLOOKUP($B203,INDIRECT($B$5&amp;"生成成长"),3))*(VLOOKUP($B$5,标准坦克设计!$B$14:$K$20,9)/30))</f>
        <v>14.608221161643712</v>
      </c>
      <c r="AO203" s="173">
        <f ca="1">(VLOOKUP(AO$72,INDIRECT($C$5&amp;"生成成长"),2))/((VLOOKUP($B203,INDIRECT($B$5&amp;"生成成长"),4))/(VLOOKUP(AO$72,INDIRECT($C$5&amp;"生成成长"),5))*(VLOOKUP($B$5,标准坦克设计!$B$24:$U$30,MATCH("对"&amp;LEFT($C$5,2)&amp;"输出",标准坦克设计!$B$23:$U$23,0)))*(VLOOKUP($B203,INDIRECT($B$5&amp;"生成成长"),3))*(VLOOKUP($B$5,标准坦克设计!$B$14:$K$20,9)/30))</f>
        <v>15.725673762938008</v>
      </c>
      <c r="AP203" s="173">
        <f ca="1">(VLOOKUP(AP$72,INDIRECT($C$5&amp;"生成成长"),2))/((VLOOKUP($B203,INDIRECT($B$5&amp;"生成成长"),4))/(VLOOKUP(AP$72,INDIRECT($C$5&amp;"生成成长"),5))*(VLOOKUP($B$5,标准坦克设计!$B$24:$U$30,MATCH("对"&amp;LEFT($C$5,2)&amp;"输出",标准坦克设计!$B$23:$U$23,0)))*(VLOOKUP($B203,INDIRECT($B$5&amp;"生成成长"),3))*(VLOOKUP($B$5,标准坦克设计!$B$14:$K$20,9)/30))</f>
        <v>16.884305522068949</v>
      </c>
      <c r="AQ203" s="173">
        <f ca="1">(VLOOKUP(AQ$72,INDIRECT($C$5&amp;"生成成长"),2))/((VLOOKUP($B203,INDIRECT($B$5&amp;"生成成长"),4))/(VLOOKUP(AQ$72,INDIRECT($C$5&amp;"生成成长"),5))*(VLOOKUP($B$5,标准坦克设计!$B$24:$U$30,MATCH("对"&amp;LEFT($C$5,2)&amp;"输出",标准坦克设计!$B$23:$U$23,0)))*(VLOOKUP($B203,INDIRECT($B$5&amp;"生成成长"),3))*(VLOOKUP($B$5,标准坦克设计!$B$14:$K$20,9)/30))</f>
        <v>18.084116439036531</v>
      </c>
      <c r="AR203" s="173">
        <f ca="1">(VLOOKUP(AR$72,INDIRECT($C$5&amp;"生成成长"),2))/((VLOOKUP($B203,INDIRECT($B$5&amp;"生成成长"),4))/(VLOOKUP(AR$72,INDIRECT($C$5&amp;"生成成长"),5))*(VLOOKUP($B$5,标准坦克设计!$B$24:$U$30,MATCH("对"&amp;LEFT($C$5,2)&amp;"输出",标准坦克设计!$B$23:$U$23,0)))*(VLOOKUP($B203,INDIRECT($B$5&amp;"生成成长"),3))*(VLOOKUP($B$5,标准坦克设计!$B$14:$K$20,9)/30))</f>
        <v>19.325106513840748</v>
      </c>
      <c r="AS203" s="173">
        <f ca="1">(VLOOKUP(AS$72,INDIRECT($C$5&amp;"生成成长"),2))/((VLOOKUP($B203,INDIRECT($B$5&amp;"生成成长"),4))/(VLOOKUP(AS$72,INDIRECT($C$5&amp;"生成成长"),5))*(VLOOKUP($B$5,标准坦克设计!$B$24:$U$30,MATCH("对"&amp;LEFT($C$5,2)&amp;"输出",标准坦克设计!$B$23:$U$23,0)))*(VLOOKUP($B203,INDIRECT($B$5&amp;"生成成长"),3))*(VLOOKUP($B$5,标准坦克设计!$B$14:$K$20,9)/30))</f>
        <v>20.607275746481612</v>
      </c>
      <c r="AT203" s="173">
        <f ca="1">(VLOOKUP(AT$72,INDIRECT($C$5&amp;"生成成长"),2))/((VLOOKUP($B203,INDIRECT($B$5&amp;"生成成长"),4))/(VLOOKUP(AT$72,INDIRECT($C$5&amp;"生成成长"),5))*(VLOOKUP($B$5,标准坦克设计!$B$24:$U$30,MATCH("对"&amp;LEFT($C$5,2)&amp;"输出",标准坦克设计!$B$23:$U$23,0)))*(VLOOKUP($B203,INDIRECT($B$5&amp;"生成成长"),3))*(VLOOKUP($B$5,标准坦克设计!$B$14:$K$20,9)/30))</f>
        <v>21.930624136959111</v>
      </c>
      <c r="AU203" s="173">
        <f ca="1">(VLOOKUP(AU$72,INDIRECT($C$5&amp;"生成成长"),2))/((VLOOKUP($B203,INDIRECT($B$5&amp;"生成成长"),4))/(VLOOKUP(AU$72,INDIRECT($C$5&amp;"生成成长"),5))*(VLOOKUP($B$5,标准坦克设计!$B$24:$U$30,MATCH("对"&amp;LEFT($C$5,2)&amp;"输出",标准坦克设计!$B$23:$U$23,0)))*(VLOOKUP($B203,INDIRECT($B$5&amp;"生成成长"),3))*(VLOOKUP($B$5,标准坦克设计!$B$14:$K$20,9)/30))</f>
        <v>23.295151685273261</v>
      </c>
      <c r="AV203" s="173">
        <f ca="1">(VLOOKUP(AV$72,INDIRECT($C$5&amp;"生成成长"),2))/((VLOOKUP($B203,INDIRECT($B$5&amp;"生成成长"),4))/(VLOOKUP(AV$72,INDIRECT($C$5&amp;"生成成长"),5))*(VLOOKUP($B$5,标准坦克设计!$B$24:$U$30,MATCH("对"&amp;LEFT($C$5,2)&amp;"输出",标准坦克设计!$B$23:$U$23,0)))*(VLOOKUP($B203,INDIRECT($B$5&amp;"生成成长"),3))*(VLOOKUP($B$5,标准坦克设计!$B$14:$K$20,9)/30))</f>
        <v>2.3693330318900281</v>
      </c>
      <c r="AW203" s="173">
        <f ca="1">(VLOOKUP(AW$72,INDIRECT($C$5&amp;"生成成长"),2))/((VLOOKUP($B203,INDIRECT($B$5&amp;"生成成长"),4))/(VLOOKUP(AW$72,INDIRECT($C$5&amp;"生成成长"),5))*(VLOOKUP($B$5,标准坦克设计!$B$24:$U$30,MATCH("对"&amp;LEFT($C$5,2)&amp;"输出",标准坦克设计!$B$23:$U$23,0)))*(VLOOKUP($B203,INDIRECT($B$5&amp;"生成成长"),3))*(VLOOKUP($B$5,标准坦克设计!$B$14:$K$20,9)/30))</f>
        <v>2.7014888835310318</v>
      </c>
      <c r="AX203" s="173">
        <f ca="1">(VLOOKUP(AX$72,INDIRECT($C$5&amp;"生成成长"),2))/((VLOOKUP($B203,INDIRECT($B$5&amp;"生成成长"),4))/(VLOOKUP(AX$72,INDIRECT($C$5&amp;"生成成长"),5))*(VLOOKUP($B$5,标准坦克设计!$B$24:$U$30,MATCH("对"&amp;LEFT($C$5,2)&amp;"输出",标准坦克设计!$B$23:$U$23,0)))*(VLOOKUP($B203,INDIRECT($B$5&amp;"生成成长"),3))*(VLOOKUP($B$5,标准坦克设计!$B$14:$K$20,9)/30))</f>
        <v>3.0554254467550517</v>
      </c>
      <c r="AY203" s="173">
        <f ca="1">(VLOOKUP(AY$72,INDIRECT($C$5&amp;"生成成长"),2))/((VLOOKUP($B203,INDIRECT($B$5&amp;"生成成长"),4))/(VLOOKUP(AY$72,INDIRECT($C$5&amp;"生成成长"),5))*(VLOOKUP($B$5,标准坦克设计!$B$24:$U$30,MATCH("对"&amp;LEFT($C$5,2)&amp;"输出",标准坦克设计!$B$23:$U$23,0)))*(VLOOKUP($B203,INDIRECT($B$5&amp;"生成成长"),3))*(VLOOKUP($B$5,标准坦克设计!$B$14:$K$20,9)/30))</f>
        <v>3.4311427215620887</v>
      </c>
      <c r="AZ203" s="173">
        <f ca="1">(VLOOKUP(AZ$72,INDIRECT($C$5&amp;"生成成长"),2))/((VLOOKUP($B203,INDIRECT($B$5&amp;"生成成长"),4))/(VLOOKUP(AZ$72,INDIRECT($C$5&amp;"生成成长"),5))*(VLOOKUP($B$5,标准坦克设计!$B$24:$U$30,MATCH("对"&amp;LEFT($C$5,2)&amp;"输出",标准坦克设计!$B$23:$U$23,0)))*(VLOOKUP($B203,INDIRECT($B$5&amp;"生成成长"),3))*(VLOOKUP($B$5,标准坦克设计!$B$14:$K$20,9)/30))</f>
        <v>3.8286407079521423</v>
      </c>
      <c r="BA203" s="173">
        <f ca="1">(VLOOKUP(BA$72,INDIRECT($C$5&amp;"生成成长"),2))/((VLOOKUP($B203,INDIRECT($B$5&amp;"生成成长"),4))/(VLOOKUP(BA$72,INDIRECT($C$5&amp;"生成成长"),5))*(VLOOKUP($B$5,标准坦克设计!$B$24:$U$30,MATCH("对"&amp;LEFT($C$5,2)&amp;"输出",标准坦克设计!$B$23:$U$23,0)))*(VLOOKUP($B203,INDIRECT($B$5&amp;"生成成长"),3))*(VLOOKUP($B$5,标准坦克设计!$B$14:$K$20,9)/30))</f>
        <v>4.2479194059252121</v>
      </c>
      <c r="BB203" s="173">
        <f ca="1">(VLOOKUP(BB$72,INDIRECT($C$5&amp;"生成成长"),2))/((VLOOKUP($B203,INDIRECT($B$5&amp;"生成成长"),4))/(VLOOKUP(BB$72,INDIRECT($C$5&amp;"生成成长"),5))*(VLOOKUP($B$5,标准坦克设计!$B$24:$U$30,MATCH("对"&amp;LEFT($C$5,2)&amp;"输出",标准坦克设计!$B$23:$U$23,0)))*(VLOOKUP($B203,INDIRECT($B$5&amp;"生成成长"),3))*(VLOOKUP($B$5,标准坦克设计!$B$14:$K$20,9)/30))</f>
        <v>4.688978815481299</v>
      </c>
      <c r="BC203" s="173">
        <f ca="1">(VLOOKUP(BC$72,INDIRECT($C$5&amp;"生成成长"),2))/((VLOOKUP($B203,INDIRECT($B$5&amp;"生成成长"),4))/(VLOOKUP(BC$72,INDIRECT($C$5&amp;"生成成长"),5))*(VLOOKUP($B$5,标准坦克设计!$B$24:$U$30,MATCH("对"&amp;LEFT($C$5,2)&amp;"输出",标准坦克设计!$B$23:$U$23,0)))*(VLOOKUP($B203,INDIRECT($B$5&amp;"生成成长"),3))*(VLOOKUP($B$5,标准坦克设计!$B$14:$K$20,9)/30))</f>
        <v>5.151818936620403</v>
      </c>
      <c r="BD203" s="173">
        <f ca="1">(VLOOKUP(BD$72,INDIRECT($C$5&amp;"生成成长"),2))/((VLOOKUP($B203,INDIRECT($B$5&amp;"生成成长"),4))/(VLOOKUP(BD$72,INDIRECT($C$5&amp;"生成成长"),5))*(VLOOKUP($B$5,标准坦克设计!$B$24:$U$30,MATCH("对"&amp;LEFT($C$5,2)&amp;"输出",标准坦克设计!$B$23:$U$23,0)))*(VLOOKUP($B203,INDIRECT($B$5&amp;"生成成长"),3))*(VLOOKUP($B$5,标准坦克设计!$B$14:$K$20,9)/30))</f>
        <v>5.6985488297159677</v>
      </c>
      <c r="BE203" s="173">
        <f ca="1">(VLOOKUP(BE$72,INDIRECT($C$5&amp;"生成成长"),2))/((VLOOKUP($B203,INDIRECT($B$5&amp;"生成成长"),4))/(VLOOKUP(BE$72,INDIRECT($C$5&amp;"生成成长"),5))*(VLOOKUP($B$5,标准坦克设计!$B$24:$U$30,MATCH("对"&amp;LEFT($C$5,2)&amp;"输出",标准坦克设计!$B$23:$U$23,0)))*(VLOOKUP($B203,INDIRECT($B$5&amp;"生成成长"),3))*(VLOOKUP($B$5,标准坦克设计!$B$14:$K$20,9)/30))</f>
        <v>6.2728449359087888</v>
      </c>
      <c r="BF203" s="173">
        <f ca="1">(VLOOKUP(BF$72,INDIRECT($C$5&amp;"生成成长"),2))/((VLOOKUP($B203,INDIRECT($B$5&amp;"生成成长"),4))/(VLOOKUP(BF$72,INDIRECT($C$5&amp;"生成成长"),5))*(VLOOKUP($B$5,标准坦克设计!$B$24:$U$30,MATCH("对"&amp;LEFT($C$5,2)&amp;"输出",标准坦克设计!$B$23:$U$23,0)))*(VLOOKUP($B203,INDIRECT($B$5&amp;"生成成长"),3))*(VLOOKUP($B$5,标准坦克设计!$B$14:$K$20,9)/30))</f>
        <v>6.8747072551988664</v>
      </c>
      <c r="BG203" s="173">
        <f ca="1">(VLOOKUP(BG$72,INDIRECT($C$5&amp;"生成成长"),2))/((VLOOKUP($B203,INDIRECT($B$5&amp;"生成成长"),4))/(VLOOKUP(BG$72,INDIRECT($C$5&amp;"生成成长"),5))*(VLOOKUP($B$5,标准坦克设计!$B$24:$U$30,MATCH("对"&amp;LEFT($C$5,2)&amp;"输出",标准坦克设计!$B$23:$U$23,0)))*(VLOOKUP($B203,INDIRECT($B$5&amp;"生成成长"),3))*(VLOOKUP($B$5,标准坦克设计!$B$14:$K$20,9)/30))</f>
        <v>7.5041357875861978</v>
      </c>
      <c r="BH203" s="173">
        <f ca="1">(VLOOKUP(BH$72,INDIRECT($C$5&amp;"生成成长"),2))/((VLOOKUP($B203,INDIRECT($B$5&amp;"生成成长"),4))/(VLOOKUP(BH$72,INDIRECT($C$5&amp;"生成成长"),5))*(VLOOKUP($B$5,标准坦克设计!$B$24:$U$30,MATCH("对"&amp;LEFT($C$5,2)&amp;"输出",标准坦克设计!$B$23:$U$23,0)))*(VLOOKUP($B203,INDIRECT($B$5&amp;"生成成长"),3))*(VLOOKUP($B$5,标准坦克设计!$B$14:$K$20,9)/30))</f>
        <v>3.6271691258092389</v>
      </c>
      <c r="BI203" s="173">
        <f ca="1">(VLOOKUP(BI$72,INDIRECT($C$5&amp;"生成成长"),2))/((VLOOKUP($B203,INDIRECT($B$5&amp;"生成成长"),4))/(VLOOKUP(BI$72,INDIRECT($C$5&amp;"生成成长"),5))*(VLOOKUP($B$5,标准坦克设计!$B$24:$U$30,MATCH("对"&amp;LEFT($C$5,2)&amp;"输出",标准坦克设计!$B$23:$U$23,0)))*(VLOOKUP($B203,INDIRECT($B$5&amp;"生成成长"),3))*(VLOOKUP($B$5,标准坦克设计!$B$14:$K$20,9)/30))</f>
        <v>4.0881374670466766</v>
      </c>
      <c r="BJ203" s="173">
        <f ca="1">(VLOOKUP(BJ$72,INDIRECT($C$5&amp;"生成成长"),2))/((VLOOKUP($B203,INDIRECT($B$5&amp;"生成成长"),4))/(VLOOKUP(BJ$72,INDIRECT($C$5&amp;"生成成长"),5))*(VLOOKUP($B$5,标准坦克设计!$B$24:$U$30,MATCH("对"&amp;LEFT($C$5,2)&amp;"输出",标准坦克设计!$B$23:$U$23,0)))*(VLOOKUP($B203,INDIRECT($B$5&amp;"生成成长"),3))*(VLOOKUP($B$5,标准坦克设计!$B$14:$K$20,9)/30))</f>
        <v>4.576672021381369</v>
      </c>
      <c r="BK203" s="173">
        <f ca="1">(VLOOKUP(BK$72,INDIRECT($C$5&amp;"生成成长"),2))/((VLOOKUP($B203,INDIRECT($B$5&amp;"生成成长"),4))/(VLOOKUP(BK$72,INDIRECT($C$5&amp;"生成成长"),5))*(VLOOKUP($B$5,标准坦克设计!$B$24:$U$30,MATCH("对"&amp;LEFT($C$5,2)&amp;"输出",标准坦克设计!$B$23:$U$23,0)))*(VLOOKUP($B203,INDIRECT($B$5&amp;"生成成长"),3))*(VLOOKUP($B$5,标准坦克设计!$B$14:$K$20,9)/30))</f>
        <v>5.0927727888133187</v>
      </c>
      <c r="BL203" s="173">
        <f ca="1">(VLOOKUP(BL$72,INDIRECT($C$5&amp;"生成成长"),2))/((VLOOKUP($B203,INDIRECT($B$5&amp;"生成成长"),4))/(VLOOKUP(BL$72,INDIRECT($C$5&amp;"生成成长"),5))*(VLOOKUP($B$5,标准坦克设计!$B$24:$U$30,MATCH("对"&amp;LEFT($C$5,2)&amp;"输出",标准坦克设计!$B$23:$U$23,0)))*(VLOOKUP($B203,INDIRECT($B$5&amp;"生成成长"),3))*(VLOOKUP($B$5,标准坦克设计!$B$14:$K$20,9)/30))</f>
        <v>5.6364397693425232</v>
      </c>
      <c r="BM203" s="173">
        <f ca="1">(VLOOKUP(BM$72,INDIRECT($C$5&amp;"生成成长"),2))/((VLOOKUP($B203,INDIRECT($B$5&amp;"生成成长"),4))/(VLOOKUP(BM$72,INDIRECT($C$5&amp;"生成成长"),5))*(VLOOKUP($B$5,标准坦克设计!$B$24:$U$30,MATCH("对"&amp;LEFT($C$5,2)&amp;"输出",标准坦克设计!$B$23:$U$23,0)))*(VLOOKUP($B203,INDIRECT($B$5&amp;"生成成长"),3))*(VLOOKUP($B$5,标准坦克设计!$B$14:$K$20,9)/30))</f>
        <v>6.2076729629689824</v>
      </c>
      <c r="BN203" s="173">
        <f ca="1">(VLOOKUP(BN$72,INDIRECT($C$5&amp;"生成成长"),2))/((VLOOKUP($B203,INDIRECT($B$5&amp;"生成成长"),4))/(VLOOKUP(BN$72,INDIRECT($C$5&amp;"生成成长"),5))*(VLOOKUP($B$5,标准坦克设计!$B$24:$U$30,MATCH("对"&amp;LEFT($C$5,2)&amp;"输出",标准坦克设计!$B$23:$U$23,0)))*(VLOOKUP($B203,INDIRECT($B$5&amp;"生成成长"),3))*(VLOOKUP($B$5,标准坦克设计!$B$14:$K$20,9)/30))</f>
        <v>6.8064723696926981</v>
      </c>
      <c r="BO203" s="173">
        <f ca="1">(VLOOKUP(BO$72,INDIRECT($C$5&amp;"生成成长"),2))/((VLOOKUP($B203,INDIRECT($B$5&amp;"生成成长"),4))/(VLOOKUP(BO$72,INDIRECT($C$5&amp;"生成成长"),5))*(VLOOKUP($B$5,标准坦克设计!$B$24:$U$30,MATCH("对"&amp;LEFT($C$5,2)&amp;"输出",标准坦克设计!$B$23:$U$23,0)))*(VLOOKUP($B203,INDIRECT($B$5&amp;"生成成长"),3))*(VLOOKUP($B$5,标准坦克设计!$B$14:$K$20,9)/30))</f>
        <v>7.4328379895136676</v>
      </c>
      <c r="BP203" s="173">
        <f ca="1">(VLOOKUP(BP$72,INDIRECT($C$5&amp;"生成成长"),2))/((VLOOKUP($B203,INDIRECT($B$5&amp;"生成成长"),4))/(VLOOKUP(BP$72,INDIRECT($C$5&amp;"生成成长"),5))*(VLOOKUP($B$5,标准坦克设计!$B$24:$U$30,MATCH("对"&amp;LEFT($C$5,2)&amp;"输出",标准坦克设计!$B$23:$U$23,0)))*(VLOOKUP($B203,INDIRECT($B$5&amp;"生成成长"),3))*(VLOOKUP($B$5,标准坦克设计!$B$14:$K$20,9)/30))</f>
        <v>8.0867698224318936</v>
      </c>
      <c r="BQ203" s="173">
        <f ca="1">(VLOOKUP(BQ$72,INDIRECT($C$5&amp;"生成成长"),2))/((VLOOKUP($B203,INDIRECT($B$5&amp;"生成成长"),4))/(VLOOKUP(BQ$72,INDIRECT($C$5&amp;"生成成长"),5))*(VLOOKUP($B$5,标准坦克设计!$B$24:$U$30,MATCH("对"&amp;LEFT($C$5,2)&amp;"输出",标准坦克设计!$B$23:$U$23,0)))*(VLOOKUP($B203,INDIRECT($B$5&amp;"生成成长"),3))*(VLOOKUP($B$5,标准坦克设计!$B$14:$K$20,9)/30))</f>
        <v>8.7682678684473743</v>
      </c>
      <c r="BR203" s="173">
        <f ca="1">(VLOOKUP(BR$72,INDIRECT($C$5&amp;"生成成长"),2))/((VLOOKUP($B203,INDIRECT($B$5&amp;"生成成长"),4))/(VLOOKUP(BR$72,INDIRECT($C$5&amp;"生成成长"),5))*(VLOOKUP($B$5,标准坦克设计!$B$24:$U$30,MATCH("对"&amp;LEFT($C$5,2)&amp;"输出",标准坦克设计!$B$23:$U$23,0)))*(VLOOKUP($B203,INDIRECT($B$5&amp;"生成成长"),3))*(VLOOKUP($B$5,标准坦克设计!$B$14:$K$20,9)/30))</f>
        <v>9.5578186633317266</v>
      </c>
      <c r="BS203" s="173">
        <f ca="1">(VLOOKUP(BS$72,INDIRECT($C$5&amp;"生成成长"),2))/((VLOOKUP($B203,INDIRECT($B$5&amp;"生成成长"),4))/(VLOOKUP(BS$72,INDIRECT($C$5&amp;"生成成长"),5))*(VLOOKUP($B$5,标准坦克设计!$B$24:$U$30,MATCH("对"&amp;LEFT($C$5,2)&amp;"输出",标准坦克设计!$B$23:$U$23,0)))*(VLOOKUP($B203,INDIRECT($B$5&amp;"生成成长"),3))*(VLOOKUP($B$5,标准坦克设计!$B$14:$K$20,9)/30))</f>
        <v>10.381401820064543</v>
      </c>
      <c r="BT203" s="173">
        <f ca="1">(VLOOKUP(BT$72,INDIRECT($C$5&amp;"生成成长"),2))/((VLOOKUP($B203,INDIRECT($B$5&amp;"生成成长"),4))/(VLOOKUP(BT$72,INDIRECT($C$5&amp;"生成成长"),5))*(VLOOKUP($B$5,标准坦克设计!$B$24:$U$30,MATCH("对"&amp;LEFT($C$5,2)&amp;"输出",标准坦克设计!$B$23:$U$23,0)))*(VLOOKUP($B203,INDIRECT($B$5&amp;"生成成长"),3))*(VLOOKUP($B$5,标准坦克设计!$B$14:$K$20,9)/30))</f>
        <v>11.239017338645825</v>
      </c>
      <c r="BU203" s="173">
        <f ca="1">(VLOOKUP(BU$72,INDIRECT($C$5&amp;"生成成长"),2))/((VLOOKUP($B203,INDIRECT($B$5&amp;"生成成长"),4))/(VLOOKUP(BU$72,INDIRECT($C$5&amp;"生成成长"),5))*(VLOOKUP($B$5,标准坦克设计!$B$24:$U$30,MATCH("对"&amp;LEFT($C$5,2)&amp;"输出",标准坦克设计!$B$23:$U$23,0)))*(VLOOKUP($B203,INDIRECT($B$5&amp;"生成成长"),3))*(VLOOKUP($B$5,标准坦克设计!$B$14:$K$20,9)/30))</f>
        <v>12.130665219075567</v>
      </c>
      <c r="BV203" s="173">
        <f ca="1">(VLOOKUP(BV$72,INDIRECT($C$5&amp;"生成成长"),2))/((VLOOKUP($B203,INDIRECT($B$5&amp;"生成成长"),4))/(VLOOKUP(BV$72,INDIRECT($C$5&amp;"生成成长"),5))*(VLOOKUP($B$5,标准坦克设计!$B$24:$U$30,MATCH("对"&amp;LEFT($C$5,2)&amp;"输出",标准坦克设计!$B$23:$U$23,0)))*(VLOOKUP($B203,INDIRECT($B$5&amp;"生成成长"),3))*(VLOOKUP($B$5,标准坦克设计!$B$14:$K$20,9)/30))</f>
        <v>13.056345461353773</v>
      </c>
      <c r="BW203" s="173">
        <f ca="1">(VLOOKUP(BW$72,INDIRECT($C$5&amp;"生成成长"),2))/((VLOOKUP($B203,INDIRECT($B$5&amp;"生成成长"),4))/(VLOOKUP(BW$72,INDIRECT($C$5&amp;"生成成长"),5))*(VLOOKUP($B$5,标准坦克设计!$B$24:$U$30,MATCH("对"&amp;LEFT($C$5,2)&amp;"输出",标准坦克设计!$B$23:$U$23,0)))*(VLOOKUP($B203,INDIRECT($B$5&amp;"生成成长"),3))*(VLOOKUP($B$5,标准坦克设计!$B$14:$K$20,9)/30))</f>
        <v>5.9503883073945971</v>
      </c>
      <c r="BX203" s="173">
        <f ca="1">(VLOOKUP(BX$72,INDIRECT($C$5&amp;"生成成长"),2))/((VLOOKUP($B203,INDIRECT($B$5&amp;"生成成长"),4))/(VLOOKUP(BX$72,INDIRECT($C$5&amp;"生成成长"),5))*(VLOOKUP($B$5,标准坦克设计!$B$24:$U$30,MATCH("对"&amp;LEFT($C$5,2)&amp;"输出",标准坦克设计!$B$23:$U$23,0)))*(VLOOKUP($B203,INDIRECT($B$5&amp;"生成成长"),3))*(VLOOKUP($B$5,标准坦克设计!$B$14:$K$20,9)/30))</f>
        <v>6.6038096548850964</v>
      </c>
      <c r="BY203" s="173">
        <f ca="1">(VLOOKUP(BY$72,INDIRECT($C$5&amp;"生成成长"),2))/((VLOOKUP($B203,INDIRECT($B$5&amp;"生成成长"),4))/(VLOOKUP(BY$72,INDIRECT($C$5&amp;"生成成长"),5))*(VLOOKUP($B$5,标准坦克设计!$B$24:$U$30,MATCH("对"&amp;LEFT($C$5,2)&amp;"输出",标准坦克设计!$B$23:$U$23,0)))*(VLOOKUP($B203,INDIRECT($B$5&amp;"生成成长"),3))*(VLOOKUP($B$5,标准坦克设计!$B$14:$K$20,9)/30))</f>
        <v>7.2912633642240587</v>
      </c>
      <c r="BZ203" s="173">
        <f ca="1">(VLOOKUP(BZ$72,INDIRECT($C$5&amp;"生成成长"),2))/((VLOOKUP($B203,INDIRECT($B$5&amp;"生成成长"),4))/(VLOOKUP(BZ$72,INDIRECT($C$5&amp;"生成成长"),5))*(VLOOKUP($B$5,标准坦克设计!$B$24:$U$30,MATCH("对"&amp;LEFT($C$5,2)&amp;"输出",标准坦克设计!$B$23:$U$23,0)))*(VLOOKUP($B203,INDIRECT($B$5&amp;"生成成长"),3))*(VLOOKUP($B$5,标准坦克设计!$B$14:$K$20,9)/30))</f>
        <v>8.0127494354114859</v>
      </c>
      <c r="CA203" s="173">
        <f ca="1">(VLOOKUP(CA$72,INDIRECT($C$5&amp;"生成成长"),2))/((VLOOKUP($B203,INDIRECT($B$5&amp;"生成成长"),4))/(VLOOKUP(CA$72,INDIRECT($C$5&amp;"生成成长"),5))*(VLOOKUP($B$5,标准坦克设计!$B$24:$U$30,MATCH("对"&amp;LEFT($C$5,2)&amp;"输出",标准坦克设计!$B$23:$U$23,0)))*(VLOOKUP($B203,INDIRECT($B$5&amp;"生成成长"),3))*(VLOOKUP($B$5,标准坦克设计!$B$14:$K$20,9)/30))</f>
        <v>8.7682678684473743</v>
      </c>
      <c r="CB203" s="173">
        <f ca="1">(VLOOKUP(CB$72,INDIRECT($C$5&amp;"生成成长"),2))/((VLOOKUP($B203,INDIRECT($B$5&amp;"生成成长"),4))/(VLOOKUP(CB$72,INDIRECT($C$5&amp;"生成成长"),5))*(VLOOKUP($B$5,标准坦克设计!$B$24:$U$30,MATCH("对"&amp;LEFT($C$5,2)&amp;"输出",标准坦克设计!$B$23:$U$23,0)))*(VLOOKUP($B203,INDIRECT($B$5&amp;"生成成长"),3))*(VLOOKUP($B$5,标准坦克设计!$B$14:$K$20,9)/30))</f>
        <v>9.5578186633317266</v>
      </c>
      <c r="CC203" s="173">
        <f ca="1">(VLOOKUP(CC$72,INDIRECT($C$5&amp;"生成成长"),2))/((VLOOKUP($B203,INDIRECT($B$5&amp;"生成成长"),4))/(VLOOKUP(CC$72,INDIRECT($C$5&amp;"生成成长"),5))*(VLOOKUP($B$5,标准坦克设计!$B$24:$U$30,MATCH("对"&amp;LEFT($C$5,2)&amp;"输出",标准坦克设计!$B$23:$U$23,0)))*(VLOOKUP($B203,INDIRECT($B$5&amp;"生成成长"),3))*(VLOOKUP($B$5,标准坦克设计!$B$14:$K$20,9)/30))</f>
        <v>10.381401820064543</v>
      </c>
      <c r="CD203" s="173">
        <f ca="1">(VLOOKUP(CD$72,INDIRECT($C$5&amp;"生成成长"),2))/((VLOOKUP($B203,INDIRECT($B$5&amp;"生成成长"),4))/(VLOOKUP(CD$72,INDIRECT($C$5&amp;"生成成长"),5))*(VLOOKUP($B$5,标准坦克设计!$B$24:$U$30,MATCH("对"&amp;LEFT($C$5,2)&amp;"输出",标准坦克设计!$B$23:$U$23,0)))*(VLOOKUP($B203,INDIRECT($B$5&amp;"生成成长"),3))*(VLOOKUP($B$5,标准坦克设计!$B$14:$K$20,9)/30))</f>
        <v>11.239017338645825</v>
      </c>
      <c r="CE203" s="173">
        <f ca="1">(VLOOKUP(CE$72,INDIRECT($C$5&amp;"生成成长"),2))/((VLOOKUP($B203,INDIRECT($B$5&amp;"生成成长"),4))/(VLOOKUP(CE$72,INDIRECT($C$5&amp;"生成成长"),5))*(VLOOKUP($B$5,标准坦克设计!$B$24:$U$30,MATCH("对"&amp;LEFT($C$5,2)&amp;"输出",标准坦克设计!$B$23:$U$23,0)))*(VLOOKUP($B203,INDIRECT($B$5&amp;"生成成长"),3))*(VLOOKUP($B$5,标准坦克设计!$B$14:$K$20,9)/30))</f>
        <v>12.130665219075567</v>
      </c>
      <c r="CF203" s="173">
        <f ca="1">(VLOOKUP(CF$72,INDIRECT($C$5&amp;"生成成长"),2))/((VLOOKUP($B203,INDIRECT($B$5&amp;"生成成长"),4))/(VLOOKUP(CF$72,INDIRECT($C$5&amp;"生成成长"),5))*(VLOOKUP($B$5,标准坦克设计!$B$24:$U$30,MATCH("对"&amp;LEFT($C$5,2)&amp;"输出",标准坦克设计!$B$23:$U$23,0)))*(VLOOKUP($B203,INDIRECT($B$5&amp;"生成成长"),3))*(VLOOKUP($B$5,标准坦克设计!$B$14:$K$20,9)/30))</f>
        <v>13.056345461353773</v>
      </c>
      <c r="CG203" s="173">
        <f ca="1">(VLOOKUP(CG$72,INDIRECT($C$5&amp;"生成成长"),2))/((VLOOKUP($B203,INDIRECT($B$5&amp;"生成成长"),4))/(VLOOKUP(CG$72,INDIRECT($C$5&amp;"生成成长"),5))*(VLOOKUP($B$5,标准坦克设计!$B$24:$U$30,MATCH("对"&amp;LEFT($C$5,2)&amp;"输出",标准坦克设计!$B$23:$U$23,0)))*(VLOOKUP($B203,INDIRECT($B$5&amp;"生成成长"),3))*(VLOOKUP($B$5,标准坦克设计!$B$14:$K$20,9)/30))</f>
        <v>14.016058065480445</v>
      </c>
      <c r="CH203" s="173">
        <f ca="1">(VLOOKUP(CH$72,INDIRECT($C$5&amp;"生成成长"),2))/((VLOOKUP($B203,INDIRECT($B$5&amp;"生成成长"),4))/(VLOOKUP(CH$72,INDIRECT($C$5&amp;"生成成长"),5))*(VLOOKUP($B$5,标准坦克设计!$B$24:$U$30,MATCH("对"&amp;LEFT($C$5,2)&amp;"输出",标准坦克设计!$B$23:$U$23,0)))*(VLOOKUP($B203,INDIRECT($B$5&amp;"生成成长"),3))*(VLOOKUP($B$5,标准坦克设计!$B$14:$K$20,9)/30))</f>
        <v>15.009803031455579</v>
      </c>
      <c r="CI203" s="173">
        <f ca="1">(VLOOKUP(CI$72,INDIRECT($C$5&amp;"生成成长"),2))/((VLOOKUP($B203,INDIRECT($B$5&amp;"生成成长"),4))/(VLOOKUP(CI$72,INDIRECT($C$5&amp;"生成成长"),5))*(VLOOKUP($B$5,标准坦克设计!$B$24:$U$30,MATCH("对"&amp;LEFT($C$5,2)&amp;"输出",标准坦克设计!$B$23:$U$23,0)))*(VLOOKUP($B203,INDIRECT($B$5&amp;"生成成长"),3))*(VLOOKUP($B$5,标准坦克设计!$B$14:$K$20,9)/30))</f>
        <v>16.142229871963199</v>
      </c>
      <c r="CJ203" s="173">
        <f ca="1">(VLOOKUP(CJ$72,INDIRECT($C$5&amp;"生成成长"),2))/((VLOOKUP($B203,INDIRECT($B$5&amp;"生成成长"),4))/(VLOOKUP(CJ$72,INDIRECT($C$5&amp;"生成成长"),5))*(VLOOKUP($B$5,标准坦克设计!$B$24:$U$30,MATCH("对"&amp;LEFT($C$5,2)&amp;"输出",标准坦克设计!$B$23:$U$23,0)))*(VLOOKUP($B203,INDIRECT($B$5&amp;"生成成长"),3))*(VLOOKUP($B$5,标准坦克设计!$B$14:$K$20,9)/30))</f>
        <v>17.315835870307463</v>
      </c>
      <c r="CK203" s="173">
        <f ca="1">(VLOOKUP(CK$72,INDIRECT($C$5&amp;"生成成长"),2))/((VLOOKUP($B203,INDIRECT($B$5&amp;"生成成长"),4))/(VLOOKUP(CK$72,INDIRECT($C$5&amp;"生成成长"),5))*(VLOOKUP($B$5,标准坦克设计!$B$24:$U$30,MATCH("对"&amp;LEFT($C$5,2)&amp;"输出",标准坦克设计!$B$23:$U$23,0)))*(VLOOKUP($B203,INDIRECT($B$5&amp;"生成成长"),3))*(VLOOKUP($B$5,标准坦克设计!$B$14:$K$20,9)/30))</f>
        <v>18.530621026488372</v>
      </c>
      <c r="CL203" s="173">
        <f ca="1">(VLOOKUP(CL$72,INDIRECT($C$5&amp;"生成成长"),2))/((VLOOKUP($B203,INDIRECT($B$5&amp;"生成成长"),4))/(VLOOKUP(CL$72,INDIRECT($C$5&amp;"生成成长"),5))*(VLOOKUP($B$5,标准坦克设计!$B$24:$U$30,MATCH("对"&amp;LEFT($C$5,2)&amp;"输出",标准坦克设计!$B$23:$U$23,0)))*(VLOOKUP($B203,INDIRECT($B$5&amp;"生成成长"),3))*(VLOOKUP($B$5,标准坦克设计!$B$14:$K$20,9)/30))</f>
        <v>19.786585340505916</v>
      </c>
      <c r="CM203" s="173">
        <f ca="1">(VLOOKUP(CM$72,INDIRECT($C$5&amp;"生成成长"),2))/((VLOOKUP($B203,INDIRECT($B$5&amp;"生成成长"),4))/(VLOOKUP(CM$72,INDIRECT($C$5&amp;"生成成长"),5))*(VLOOKUP($B$5,标准坦克设计!$B$24:$U$30,MATCH("对"&amp;LEFT($C$5,2)&amp;"输出",标准坦克设计!$B$23:$U$23,0)))*(VLOOKUP($B203,INDIRECT($B$5&amp;"生成成长"),3))*(VLOOKUP($B$5,标准坦克设计!$B$14:$K$20,9)/30))</f>
        <v>21.0837288123601</v>
      </c>
      <c r="CN203" s="173">
        <f ca="1">(VLOOKUP(CN$72,INDIRECT($C$5&amp;"生成成长"),2))/((VLOOKUP($B203,INDIRECT($B$5&amp;"生成成长"),4))/(VLOOKUP(CN$72,INDIRECT($C$5&amp;"生成成长"),5))*(VLOOKUP($B$5,标准坦克设计!$B$24:$U$30,MATCH("对"&amp;LEFT($C$5,2)&amp;"输出",标准坦克设计!$B$23:$U$23,0)))*(VLOOKUP($B203,INDIRECT($B$5&amp;"生成成长"),3))*(VLOOKUP($B$5,标准坦克设计!$B$14:$K$20,9)/30))</f>
        <v>22.422051442050925</v>
      </c>
      <c r="CO203" s="173">
        <f ca="1">(VLOOKUP(CO$72,INDIRECT($C$5&amp;"生成成长"),2))/((VLOOKUP($B203,INDIRECT($B$5&amp;"生成成长"),4))/(VLOOKUP(CO$72,INDIRECT($C$5&amp;"生成成长"),5))*(VLOOKUP($B$5,标准坦克设计!$B$24:$U$30,MATCH("对"&amp;LEFT($C$5,2)&amp;"输出",标准坦克设计!$B$23:$U$23,0)))*(VLOOKUP($B203,INDIRECT($B$5&amp;"生成成长"),3))*(VLOOKUP($B$5,标准坦克设计!$B$14:$K$20,9)/30))</f>
        <v>10.047884673949602</v>
      </c>
      <c r="CP203" s="173">
        <f ca="1">(VLOOKUP(CP$72,INDIRECT($C$5&amp;"生成成长"),2))/((VLOOKUP($B203,INDIRECT($B$5&amp;"生成成长"),4))/(VLOOKUP(CP$72,INDIRECT($C$5&amp;"生成成长"),5))*(VLOOKUP($B$5,标准坦克设计!$B$24:$U$30,MATCH("对"&amp;LEFT($C$5,2)&amp;"输出",标准坦克设计!$B$23:$U$23,0)))*(VLOOKUP($B203,INDIRECT($B$5&amp;"生成成长"),3))*(VLOOKUP($B$5,标准坦克设计!$B$14:$K$20,9)/30))</f>
        <v>10.978159285077352</v>
      </c>
      <c r="CQ203" s="173">
        <f ca="1">(VLOOKUP(CQ$72,INDIRECT($C$5&amp;"生成成长"),2))/((VLOOKUP($B203,INDIRECT($B$5&amp;"生成成长"),4))/(VLOOKUP(CQ$72,INDIRECT($C$5&amp;"生成成长"),5))*(VLOOKUP($B$5,标准坦克设计!$B$24:$U$30,MATCH("对"&amp;LEFT($C$5,2)&amp;"输出",标准坦克设计!$B$23:$U$23,0)))*(VLOOKUP($B203,INDIRECT($B$5&amp;"生成成长"),3))*(VLOOKUP($B$5,标准坦克设计!$B$14:$K$20,9)/30))</f>
        <v>11.949613054041743</v>
      </c>
      <c r="CR203" s="173">
        <f ca="1">(VLOOKUP(CR$72,INDIRECT($C$5&amp;"生成成长"),2))/((VLOOKUP($B203,INDIRECT($B$5&amp;"生成成长"),4))/(VLOOKUP(CR$72,INDIRECT($C$5&amp;"生成成长"),5))*(VLOOKUP($B$5,标准坦克设计!$B$24:$U$30,MATCH("对"&amp;LEFT($C$5,2)&amp;"输出",标准坦克设计!$B$23:$U$23,0)))*(VLOOKUP($B203,INDIRECT($B$5&amp;"生成成长"),3))*(VLOOKUP($B$5,标准坦克设计!$B$14:$K$20,9)/30))</f>
        <v>12.96224598084277</v>
      </c>
      <c r="CS203" s="173">
        <f ca="1">(VLOOKUP(CS$72,INDIRECT($C$5&amp;"生成成长"),2))/((VLOOKUP($B203,INDIRECT($B$5&amp;"生成成长"),4))/(VLOOKUP(CS$72,INDIRECT($C$5&amp;"生成成长"),5))*(VLOOKUP($B$5,标准坦克设计!$B$24:$U$30,MATCH("对"&amp;LEFT($C$5,2)&amp;"输出",标准坦克设计!$B$23:$U$23,0)))*(VLOOKUP($B203,INDIRECT($B$5&amp;"生成成长"),3))*(VLOOKUP($B$5,标准坦克设计!$B$14:$K$20,9)/30))</f>
        <v>14.016058065480445</v>
      </c>
      <c r="CT203" s="173">
        <f ca="1">(VLOOKUP(CT$72,INDIRECT($C$5&amp;"生成成长"),2))/((VLOOKUP($B203,INDIRECT($B$5&amp;"生成成长"),4))/(VLOOKUP(CT$72,INDIRECT($C$5&amp;"生成成长"),5))*(VLOOKUP($B$5,标准坦克设计!$B$24:$U$30,MATCH("对"&amp;LEFT($C$5,2)&amp;"输出",标准坦克设计!$B$23:$U$23,0)))*(VLOOKUP($B203,INDIRECT($B$5&amp;"生成成长"),3))*(VLOOKUP($B$5,标准坦克设计!$B$14:$K$20,9)/30))</f>
        <v>15.111049307954756</v>
      </c>
      <c r="CU203" s="173">
        <f ca="1">(VLOOKUP(CU$72,INDIRECT($C$5&amp;"生成成长"),2))/((VLOOKUP($B203,INDIRECT($B$5&amp;"生成成长"),4))/(VLOOKUP(CU$72,INDIRECT($C$5&amp;"生成成长"),5))*(VLOOKUP($B$5,标准坦克设计!$B$24:$U$30,MATCH("对"&amp;LEFT($C$5,2)&amp;"输出",标准坦克设计!$B$23:$U$23,0)))*(VLOOKUP($B203,INDIRECT($B$5&amp;"生成成长"),3))*(VLOOKUP($B$5,标准坦克设计!$B$14:$K$20,9)/30))</f>
        <v>16.24721970826571</v>
      </c>
      <c r="CV203" s="173">
        <f ca="1">(VLOOKUP(CV$72,INDIRECT($C$5&amp;"生成成长"),2))/((VLOOKUP($B203,INDIRECT($B$5&amp;"生成成长"),4))/(VLOOKUP(CV$72,INDIRECT($C$5&amp;"生成成长"),5))*(VLOOKUP($B$5,标准坦克设计!$B$24:$U$30,MATCH("对"&amp;LEFT($C$5,2)&amp;"输出",标准坦克设计!$B$23:$U$23,0)))*(VLOOKUP($B203,INDIRECT($B$5&amp;"生成成长"),3))*(VLOOKUP($B$5,标准坦克设计!$B$14:$K$20,9)/30))</f>
        <v>17.424569266413304</v>
      </c>
      <c r="CW203" s="173">
        <f ca="1">(VLOOKUP(CW$72,INDIRECT($C$5&amp;"生成成长"),2))/((VLOOKUP($B203,INDIRECT($B$5&amp;"生成成长"),4))/(VLOOKUP(CW$72,INDIRECT($C$5&amp;"生成成长"),5))*(VLOOKUP($B$5,标准坦克设计!$B$24:$U$30,MATCH("对"&amp;LEFT($C$5,2)&amp;"输出",标准坦克设计!$B$23:$U$23,0)))*(VLOOKUP($B203,INDIRECT($B$5&amp;"生成成长"),3))*(VLOOKUP($B$5,标准坦克设计!$B$14:$K$20,9)/30))</f>
        <v>18.643097982397542</v>
      </c>
      <c r="CX203" s="173">
        <f ca="1">(VLOOKUP(CX$72,INDIRECT($C$5&amp;"生成成长"),2))/((VLOOKUP($B203,INDIRECT($B$5&amp;"生成成长"),4))/(VLOOKUP(CX$72,INDIRECT($C$5&amp;"生成成长"),5))*(VLOOKUP($B$5,标准坦克设计!$B$24:$U$30,MATCH("对"&amp;LEFT($C$5,2)&amp;"输出",标准坦克设计!$B$23:$U$23,0)))*(VLOOKUP($B203,INDIRECT($B$5&amp;"生成成长"),3))*(VLOOKUP($B$5,标准坦克设计!$B$14:$K$20,9)/30))</f>
        <v>19.902805856218418</v>
      </c>
      <c r="CY203" s="173">
        <f ca="1">(VLOOKUP(CY$72,INDIRECT($C$5&amp;"生成成长"),2))/((VLOOKUP($B203,INDIRECT($B$5&amp;"生成成长"),4))/(VLOOKUP(CY$72,INDIRECT($C$5&amp;"生成成长"),5))*(VLOOKUP($B$5,标准坦克设计!$B$24:$U$30,MATCH("对"&amp;LEFT($C$5,2)&amp;"输出",标准坦克设计!$B$23:$U$23,0)))*(VLOOKUP($B203,INDIRECT($B$5&amp;"生成成长"),3))*(VLOOKUP($B$5,标准坦克设计!$B$14:$K$20,9)/30))</f>
        <v>21.203692887875931</v>
      </c>
      <c r="CZ203" s="173">
        <f ca="1">(VLOOKUP(CZ$72,INDIRECT($C$5&amp;"生成成长"),2))/((VLOOKUP($B203,INDIRECT($B$5&amp;"生成成长"),4))/(VLOOKUP(CZ$72,INDIRECT($C$5&amp;"生成成长"),5))*(VLOOKUP($B$5,标准坦克设计!$B$24:$U$30,MATCH("对"&amp;LEFT($C$5,2)&amp;"输出",标准坦克设计!$B$23:$U$23,0)))*(VLOOKUP($B203,INDIRECT($B$5&amp;"生成成长"),3))*(VLOOKUP($B$5,标准坦克设计!$B$14:$K$20,9)/30))</f>
        <v>22.545759077370093</v>
      </c>
      <c r="DA203" s="173">
        <f ca="1">(VLOOKUP(DA$72,INDIRECT($C$5&amp;"生成成长"),2))/((VLOOKUP($B203,INDIRECT($B$5&amp;"生成成长"),4))/(VLOOKUP(DA$72,INDIRECT($C$5&amp;"生成成长"),5))*(VLOOKUP($B$5,标准坦克设计!$B$24:$U$30,MATCH("对"&amp;LEFT($C$5,2)&amp;"输出",标准坦克设计!$B$23:$U$23,0)))*(VLOOKUP($B203,INDIRECT($B$5&amp;"生成成长"),3))*(VLOOKUP($B$5,标准坦克设计!$B$14:$K$20,9)/30))</f>
        <v>23.929004424700892</v>
      </c>
      <c r="DB203" s="173">
        <f ca="1">(VLOOKUP(DB$72,INDIRECT($C$5&amp;"生成成长"),2))/((VLOOKUP($B203,INDIRECT($B$5&amp;"生成成长"),4))/(VLOOKUP(DB$72,INDIRECT($C$5&amp;"生成成长"),5))*(VLOOKUP($B$5,标准坦克设计!$B$24:$U$30,MATCH("对"&amp;LEFT($C$5,2)&amp;"输出",标准坦克设计!$B$23:$U$23,0)))*(VLOOKUP($B203,INDIRECT($B$5&amp;"生成成长"),3))*(VLOOKUP($B$5,标准坦克设计!$B$14:$K$20,9)/30))</f>
        <v>25.353428929868329</v>
      </c>
      <c r="DC203" s="173">
        <f ca="1">(VLOOKUP(DC$72,INDIRECT($C$5&amp;"生成成长"),2))/((VLOOKUP($B203,INDIRECT($B$5&amp;"生成成长"),4))/(VLOOKUP(DC$72,INDIRECT($C$5&amp;"生成成长"),5))*(VLOOKUP($B$5,标准坦克设计!$B$24:$U$30,MATCH("对"&amp;LEFT($C$5,2)&amp;"输出",标准坦克设计!$B$23:$U$23,0)))*(VLOOKUP($B203,INDIRECT($B$5&amp;"生成成长"),3))*(VLOOKUP($B$5,标准坦克设计!$B$14:$K$20,9)/30))</f>
        <v>26.95431123122005</v>
      </c>
      <c r="DD203" s="173">
        <f ca="1">(VLOOKUP(DD$72,INDIRECT($C$5&amp;"生成成长"),2))/((VLOOKUP($B203,INDIRECT($B$5&amp;"生成成长"),4))/(VLOOKUP(DD$72,INDIRECT($C$5&amp;"生成成长"),5))*(VLOOKUP($B$5,标准坦克设计!$B$24:$U$30,MATCH("对"&amp;LEFT($C$5,2)&amp;"输出",标准坦克设计!$B$23:$U$23,0)))*(VLOOKUP($B203,INDIRECT($B$5&amp;"生成成长"),3))*(VLOOKUP($B$5,标准坦克设计!$B$14:$K$20,9)/30))</f>
        <v>28.604200133633565</v>
      </c>
      <c r="DE203" s="173">
        <f ca="1">(VLOOKUP(DE$72,INDIRECT($C$5&amp;"生成成长"),2))/((VLOOKUP($B203,INDIRECT($B$5&amp;"生成成长"),4))/(VLOOKUP(DE$72,INDIRECT($C$5&amp;"生成成长"),5))*(VLOOKUP($B$5,标准坦克设计!$B$24:$U$30,MATCH("对"&amp;LEFT($C$5,2)&amp;"输出",标准坦克设计!$B$23:$U$23,0)))*(VLOOKUP($B203,INDIRECT($B$5&amp;"生成成长"),3))*(VLOOKUP($B$5,标准坦克设计!$B$14:$K$20,9)/30))</f>
        <v>30.30309563710885</v>
      </c>
      <c r="DF203" s="173">
        <f ca="1">(VLOOKUP(DF$72,INDIRECT($C$5&amp;"生成成长"),2))/((VLOOKUP($B203,INDIRECT($B$5&amp;"生成成长"),4))/(VLOOKUP(DF$72,INDIRECT($C$5&amp;"生成成长"),5))*(VLOOKUP($B$5,标准坦克设计!$B$24:$U$30,MATCH("对"&amp;LEFT($C$5,2)&amp;"输出",标准坦克设计!$B$23:$U$23,0)))*(VLOOKUP($B203,INDIRECT($B$5&amp;"生成成长"),3))*(VLOOKUP($B$5,标准坦克设计!$B$14:$K$20,9)/30))</f>
        <v>32.050997741645944</v>
      </c>
      <c r="DG203" s="173">
        <f ca="1">(VLOOKUP(DG$72,INDIRECT($C$5&amp;"生成成长"),2))/((VLOOKUP($B203,INDIRECT($B$5&amp;"生成成长"),4))/(VLOOKUP(DG$72,INDIRECT($C$5&amp;"生成成长"),5))*(VLOOKUP($B$5,标准坦克设计!$B$24:$U$30,MATCH("对"&amp;LEFT($C$5,2)&amp;"输出",标准坦克设计!$B$23:$U$23,0)))*(VLOOKUP($B203,INDIRECT($B$5&amp;"生成成长"),3))*(VLOOKUP($B$5,标准坦克设计!$B$14:$K$20,9)/30))</f>
        <v>33.84790644724481</v>
      </c>
      <c r="DH203" s="173">
        <f ca="1">(VLOOKUP(DH$72,INDIRECT($C$5&amp;"生成成长"),2))/((VLOOKUP($B203,INDIRECT($B$5&amp;"生成成长"),4))/(VLOOKUP(DH$72,INDIRECT($C$5&amp;"生成成长"),5))*(VLOOKUP($B$5,标准坦克设计!$B$24:$U$30,MATCH("对"&amp;LEFT($C$5,2)&amp;"输出",标准坦克设计!$B$23:$U$23,0)))*(VLOOKUP($B203,INDIRECT($B$5&amp;"生成成长"),3))*(VLOOKUP($B$5,标准坦克设计!$B$14:$K$20,9)/30))</f>
        <v>35.693821753905468</v>
      </c>
      <c r="DI203" s="173">
        <f ca="1">(VLOOKUP(DI$72,INDIRECT($C$5&amp;"生成成长"),2))/((VLOOKUP($B203,INDIRECT($B$5&amp;"生成成长"),4))/(VLOOKUP(DI$72,INDIRECT($C$5&amp;"生成成长"),5))*(VLOOKUP($B$5,标准坦克设计!$B$24:$U$30,MATCH("对"&amp;LEFT($C$5,2)&amp;"输出",标准坦克设计!$B$23:$U$23,0)))*(VLOOKUP($B203,INDIRECT($B$5&amp;"生成成长"),3))*(VLOOKUP($B$5,标准坦克设计!$B$14:$K$20,9)/30))</f>
        <v>37.588743661627916</v>
      </c>
      <c r="DJ203" s="173">
        <f ca="1">(VLOOKUP(DJ$72,INDIRECT($C$5&amp;"生成成长"),2))/((VLOOKUP($B203,INDIRECT($B$5&amp;"生成成长"),4))/(VLOOKUP(DJ$72,INDIRECT($C$5&amp;"生成成长"),5))*(VLOOKUP($B$5,标准坦克设计!$B$24:$U$30,MATCH("对"&amp;LEFT($C$5,2)&amp;"输出",标准坦克设计!$B$23:$U$23,0)))*(VLOOKUP($B203,INDIRECT($B$5&amp;"生成成长"),3))*(VLOOKUP($B$5,标准坦克设计!$B$14:$K$20,9)/30))</f>
        <v>3.7777623269886891</v>
      </c>
      <c r="DK203" s="173">
        <f ca="1">(VLOOKUP(DK$72,INDIRECT($C$5&amp;"生成成长"),2))/((VLOOKUP($B203,INDIRECT($B$5&amp;"生成成长"),4))/(VLOOKUP(DK$72,INDIRECT($C$5&amp;"生成成长"),5))*(VLOOKUP($B$5,标准坦克设计!$B$24:$U$30,MATCH("对"&amp;LEFT($C$5,2)&amp;"输出",标准坦克设计!$B$23:$U$23,0)))*(VLOOKUP($B203,INDIRECT($B$5&amp;"生成成长"),3))*(VLOOKUP($B$5,标准坦克设计!$B$14:$K$20,9)/30))</f>
        <v>4.2479194059252121</v>
      </c>
      <c r="DL203" s="173">
        <f ca="1">(VLOOKUP(DL$72,INDIRECT($C$5&amp;"生成成长"),2))/((VLOOKUP($B203,INDIRECT($B$5&amp;"生成成长"),4))/(VLOOKUP(DL$72,INDIRECT($C$5&amp;"生成成长"),5))*(VLOOKUP($B$5,标准坦克设计!$B$24:$U$30,MATCH("对"&amp;LEFT($C$5,2)&amp;"输出",标准坦克设计!$B$23:$U$23,0)))*(VLOOKUP($B203,INDIRECT($B$5&amp;"生成成长"),3))*(VLOOKUP($B$5,标准坦克设计!$B$14:$K$20,9)/30))</f>
        <v>4.7456426979589912</v>
      </c>
      <c r="DM203" s="173">
        <f ca="1">(VLOOKUP(DM$72,INDIRECT($C$5&amp;"生成成长"),2))/((VLOOKUP($B203,INDIRECT($B$5&amp;"生成成长"),4))/(VLOOKUP(DM$72,INDIRECT($C$5&amp;"生成成长"),5))*(VLOOKUP($B$5,标准坦克设计!$B$24:$U$30,MATCH("对"&amp;LEFT($C$5,2)&amp;"输出",标准坦克设计!$B$23:$U$23,0)))*(VLOOKUP($B203,INDIRECT($B$5&amp;"生成成长"),3))*(VLOOKUP($B$5,标准坦克设计!$B$14:$K$20,9)/30))</f>
        <v>5.270932203090025</v>
      </c>
      <c r="DN203" s="173">
        <f ca="1">(VLOOKUP(DN$72,INDIRECT($C$5&amp;"生成成长"),2))/((VLOOKUP($B203,INDIRECT($B$5&amp;"生成成长"),4))/(VLOOKUP(DN$72,INDIRECT($C$5&amp;"生成成长"),5))*(VLOOKUP($B$5,标准坦克设计!$B$24:$U$30,MATCH("对"&amp;LEFT($C$5,2)&amp;"输出",标准坦克设计!$B$23:$U$23,0)))*(VLOOKUP($B203,INDIRECT($B$5&amp;"生成成长"),3))*(VLOOKUP($B$5,标准坦克设计!$B$14:$K$20,9)/30))</f>
        <v>5.8237879213183152</v>
      </c>
      <c r="DO203" s="173">
        <f ca="1">(VLOOKUP(DO$72,INDIRECT($C$5&amp;"生成成长"),2))/((VLOOKUP($B203,INDIRECT($B$5&amp;"生成成长"),4))/(VLOOKUP(DO$72,INDIRECT($C$5&amp;"生成成长"),5))*(VLOOKUP($B$5,标准坦克设计!$B$24:$U$30,MATCH("对"&amp;LEFT($C$5,2)&amp;"输出",标准坦克设计!$B$23:$U$23,0)))*(VLOOKUP($B203,INDIRECT($B$5&amp;"生成成长"),3))*(VLOOKUP($B$5,标准坦克设计!$B$14:$K$20,9)/30))</f>
        <v>6.4042098526438593</v>
      </c>
      <c r="DP203" s="173">
        <f ca="1">(VLOOKUP(DP$72,INDIRECT($C$5&amp;"生成成长"),2))/((VLOOKUP($B203,INDIRECT($B$5&amp;"生成成长"),4))/(VLOOKUP(DP$72,INDIRECT($C$5&amp;"生成成长"),5))*(VLOOKUP($B$5,标准坦克设计!$B$24:$U$30,MATCH("对"&amp;LEFT($C$5,2)&amp;"输出",标准坦克设计!$B$23:$U$23,0)))*(VLOOKUP($B203,INDIRECT($B$5&amp;"生成成长"),3))*(VLOOKUP($B$5,标准坦克设计!$B$14:$K$20,9)/30))</f>
        <v>7.0121979970666581</v>
      </c>
      <c r="DQ203" s="173">
        <f ca="1">(VLOOKUP(DQ$72,INDIRECT($C$5&amp;"生成成长"),2))/((VLOOKUP($B203,INDIRECT($B$5&amp;"生成成长"),4))/(VLOOKUP(DQ$72,INDIRECT($C$5&amp;"生成成长"),5))*(VLOOKUP($B$5,标准坦克设计!$B$24:$U$30,MATCH("对"&amp;LEFT($C$5,2)&amp;"输出",标准坦克设计!$B$23:$U$23,0)))*(VLOOKUP($B203,INDIRECT($B$5&amp;"生成成长"),3))*(VLOOKUP($B$5,标准坦克设计!$B$14:$K$20,9)/30))</f>
        <v>7.6477523545867152</v>
      </c>
      <c r="DR203" s="173">
        <f ca="1">(VLOOKUP(DR$72,INDIRECT($C$5&amp;"生成成长"),2))/((VLOOKUP($B203,INDIRECT($B$5&amp;"生成成长"),4))/(VLOOKUP(DR$72,INDIRECT($C$5&amp;"生成成长"),5))*(VLOOKUP($B$5,标准坦克设计!$B$24:$U$30,MATCH("对"&amp;LEFT($C$5,2)&amp;"输出",标准坦克设计!$B$23:$U$23,0)))*(VLOOKUP($B203,INDIRECT($B$5&amp;"生成成长"),3))*(VLOOKUP($B$5,标准坦克设计!$B$14:$K$20,9)/30))</f>
        <v>8.3108729252040252</v>
      </c>
      <c r="DS203" s="173">
        <f ca="1">(VLOOKUP(DS$72,INDIRECT($C$5&amp;"生成成长"),2))/((VLOOKUP($B203,INDIRECT($B$5&amp;"生成成长"),4))/(VLOOKUP(DS$72,INDIRECT($C$5&amp;"生成成长"),5))*(VLOOKUP($B$5,标准坦克设计!$B$24:$U$30,MATCH("对"&amp;LEFT($C$5,2)&amp;"输出",标准坦克设计!$B$23:$U$23,0)))*(VLOOKUP($B203,INDIRECT($B$5&amp;"生成成长"),3))*(VLOOKUP($B$5,标准坦克设计!$B$14:$K$20,9)/30))</f>
        <v>9.0015597089185917</v>
      </c>
      <c r="DT203" s="173">
        <f ca="1">(VLOOKUP(DT$72,INDIRECT($C$5&amp;"生成成长"),2))/((VLOOKUP($B203,INDIRECT($B$5&amp;"生成成长"),4))/(VLOOKUP(DT$72,INDIRECT($C$5&amp;"生成成长"),5))*(VLOOKUP($B$5,标准坦克设计!$B$24:$U$30,MATCH("对"&amp;LEFT($C$5,2)&amp;"输出",标准坦克设计!$B$23:$U$23,0)))*(VLOOKUP($B203,INDIRECT($B$5&amp;"生成成长"),3))*(VLOOKUP($B$5,标准坦克设计!$B$14:$K$20,9)/30))</f>
        <v>9.8831680426030371</v>
      </c>
      <c r="DU203" s="173">
        <f ca="1">(VLOOKUP(DU$72,INDIRECT($C$5&amp;"生成成长"),2))/((VLOOKUP($B203,INDIRECT($B$5&amp;"生成成长"),4))/(VLOOKUP(DU$72,INDIRECT($C$5&amp;"生成成长"),5))*(VLOOKUP($B$5,标准坦克设计!$B$24:$U$30,MATCH("对"&amp;LEFT($C$5,2)&amp;"输出",标准坦克设计!$B$23:$U$23,0)))*(VLOOKUP($B203,INDIRECT($B$5&amp;"生成成长"),3))*(VLOOKUP($B$5,标准坦克设计!$B$14:$K$20,9)/30))</f>
        <v>10.805955534124127</v>
      </c>
      <c r="DV203" s="173">
        <f ca="1">(VLOOKUP(DV$72,INDIRECT($C$5&amp;"生成成长"),2))/((VLOOKUP($B203,INDIRECT($B$5&amp;"生成成长"),4))/(VLOOKUP(DV$72,INDIRECT($C$5&amp;"生成成长"),5))*(VLOOKUP($B$5,标准坦克设计!$B$24:$U$30,MATCH("对"&amp;LEFT($C$5,2)&amp;"输出",标准坦克设计!$B$23:$U$23,0)))*(VLOOKUP($B203,INDIRECT($B$5&amp;"生成成长"),3))*(VLOOKUP($B$5,标准坦克设计!$B$14:$K$20,9)/30))</f>
        <v>11.769922183481853</v>
      </c>
      <c r="DW203" s="173">
        <f ca="1">(VLOOKUP(DW$72,INDIRECT($C$5&amp;"生成成长"),2))/((VLOOKUP($B203,INDIRECT($B$5&amp;"生成成长"),4))/(VLOOKUP(DW$72,INDIRECT($C$5&amp;"生成成长"),5))*(VLOOKUP($B$5,标准坦克设计!$B$24:$U$30,MATCH("对"&amp;LEFT($C$5,2)&amp;"输出",标准坦克设计!$B$23:$U$23,0)))*(VLOOKUP($B203,INDIRECT($B$5&amp;"生成成长"),3))*(VLOOKUP($B$5,标准坦克设计!$B$14:$K$20,9)/30))</f>
        <v>12.775067990676225</v>
      </c>
      <c r="DX203" s="173">
        <f ca="1">(VLOOKUP(DX$72,INDIRECT($C$5&amp;"生成成长"),2))/((VLOOKUP($B203,INDIRECT($B$5&amp;"生成成长"),4))/(VLOOKUP(DX$72,INDIRECT($C$5&amp;"生成成长"),5))*(VLOOKUP($B$5,标准坦克设计!$B$24:$U$30,MATCH("对"&amp;LEFT($C$5,2)&amp;"输出",标准坦克设计!$B$23:$U$23,0)))*(VLOOKUP($B203,INDIRECT($B$5&amp;"生成成长"),3))*(VLOOKUP($B$5,标准坦克设计!$B$14:$K$20,9)/30))</f>
        <v>13.821392955707235</v>
      </c>
      <c r="DY203" s="173">
        <f ca="1">(VLOOKUP(DY$72,INDIRECT($C$5&amp;"生成成长"),2))/((VLOOKUP($B203,INDIRECT($B$5&amp;"生成成长"),4))/(VLOOKUP(DY$72,INDIRECT($C$5&amp;"生成成长"),5))*(VLOOKUP($B$5,标准坦克设计!$B$24:$U$30,MATCH("对"&amp;LEFT($C$5,2)&amp;"输出",标准坦克设计!$B$23:$U$23,0)))*(VLOOKUP($B203,INDIRECT($B$5&amp;"生成成长"),3))*(VLOOKUP($B$5,标准坦克设计!$B$14:$K$20,9)/30))</f>
        <v>6.2076729629689824</v>
      </c>
      <c r="DZ203" s="173">
        <f ca="1">(VLOOKUP(DZ$72,INDIRECT($C$5&amp;"生成成长"),2))/((VLOOKUP($B203,INDIRECT($B$5&amp;"生成成长"),4))/(VLOOKUP(DZ$72,INDIRECT($C$5&amp;"生成成长"),5))*(VLOOKUP($B$5,标准坦克设计!$B$24:$U$30,MATCH("对"&amp;LEFT($C$5,2)&amp;"输出",标准坦克设计!$B$23:$U$23,0)))*(VLOOKUP($B203,INDIRECT($B$5&amp;"生成成长"),3))*(VLOOKUP($B$5,标准坦克设计!$B$14:$K$20,9)/30))</f>
        <v>6.8747072551988664</v>
      </c>
      <c r="EA203" s="173">
        <f ca="1">(VLOOKUP(EA$72,INDIRECT($C$5&amp;"生成成长"),2))/((VLOOKUP($B203,INDIRECT($B$5&amp;"生成成长"),4))/(VLOOKUP(EA$72,INDIRECT($C$5&amp;"生成成长"),5))*(VLOOKUP($B$5,标准坦克设计!$B$24:$U$30,MATCH("对"&amp;LEFT($C$5,2)&amp;"输出",标准坦克设计!$B$23:$U$23,0)))*(VLOOKUP($B203,INDIRECT($B$5&amp;"生成成长"),3))*(VLOOKUP($B$5,标准坦克设计!$B$14:$K$20,9)/30))</f>
        <v>7.5757739092772125</v>
      </c>
      <c r="EB203" s="173">
        <f ca="1">(VLOOKUP(EB$72,INDIRECT($C$5&amp;"生成成长"),2))/((VLOOKUP($B203,INDIRECT($B$5&amp;"生成成长"),4))/(VLOOKUP(EB$72,INDIRECT($C$5&amp;"生成成长"),5))*(VLOOKUP($B$5,标准坦克设计!$B$24:$U$30,MATCH("对"&amp;LEFT($C$5,2)&amp;"输出",标准坦克设计!$B$23:$U$23,0)))*(VLOOKUP($B203,INDIRECT($B$5&amp;"生成成长"),3))*(VLOOKUP($B$5,标准坦克设计!$B$14:$K$20,9)/30))</f>
        <v>8.3108729252040252</v>
      </c>
      <c r="EC203" s="173">
        <f ca="1">(VLOOKUP(EC$72,INDIRECT($C$5&amp;"生成成长"),2))/((VLOOKUP($B203,INDIRECT($B$5&amp;"生成成长"),4))/(VLOOKUP(EC$72,INDIRECT($C$5&amp;"生成成长"),5))*(VLOOKUP($B$5,标准坦克设计!$B$24:$U$30,MATCH("对"&amp;LEFT($C$5,2)&amp;"输出",标准坦克设计!$B$23:$U$23,0)))*(VLOOKUP($B203,INDIRECT($B$5&amp;"生成成长"),3))*(VLOOKUP($B$5,标准坦克设计!$B$14:$K$20,9)/30))</f>
        <v>9.0800043029793009</v>
      </c>
      <c r="ED203" s="173">
        <f ca="1">(VLOOKUP(ED$72,INDIRECT($C$5&amp;"生成成长"),2))/((VLOOKUP($B203,INDIRECT($B$5&amp;"生成成长"),4))/(VLOOKUP(ED$72,INDIRECT($C$5&amp;"生成成长"),5))*(VLOOKUP($B$5,标准坦克设计!$B$24:$U$30,MATCH("对"&amp;LEFT($C$5,2)&amp;"输出",标准坦克设计!$B$23:$U$23,0)))*(VLOOKUP($B203,INDIRECT($B$5&amp;"生成成长"),3))*(VLOOKUP($B$5,标准坦克设计!$B$14:$K$20,9)/30))</f>
        <v>9.8831680426030371</v>
      </c>
      <c r="EE203" s="173">
        <f ca="1">(VLOOKUP(EE$72,INDIRECT($C$5&amp;"生成成长"),2))/((VLOOKUP($B203,INDIRECT($B$5&amp;"生成成长"),4))/(VLOOKUP(EE$72,INDIRECT($C$5&amp;"生成成长"),5))*(VLOOKUP($B$5,标准坦克设计!$B$24:$U$30,MATCH("对"&amp;LEFT($C$5,2)&amp;"输出",标准坦克设计!$B$23:$U$23,0)))*(VLOOKUP($B203,INDIRECT($B$5&amp;"生成成长"),3))*(VLOOKUP($B$5,标准坦克设计!$B$14:$K$20,9)/30))</f>
        <v>10.720364144075242</v>
      </c>
      <c r="EF203" s="173">
        <f ca="1">(VLOOKUP(EF$72,INDIRECT($C$5&amp;"生成成长"),2))/((VLOOKUP($B203,INDIRECT($B$5&amp;"生成成长"),4))/(VLOOKUP(EF$72,INDIRECT($C$5&amp;"生成成长"),5))*(VLOOKUP($B$5,标准坦克设计!$B$24:$U$30,MATCH("对"&amp;LEFT($C$5,2)&amp;"输出",标准坦克设计!$B$23:$U$23,0)))*(VLOOKUP($B203,INDIRECT($B$5&amp;"生成成长"),3))*(VLOOKUP($B$5,标准坦克设计!$B$14:$K$20,9)/30))</f>
        <v>11.591592607395906</v>
      </c>
      <c r="EG203" s="173">
        <f ca="1">(VLOOKUP(EG$72,INDIRECT($C$5&amp;"生成成长"),2))/((VLOOKUP($B203,INDIRECT($B$5&amp;"生成成长"),4))/(VLOOKUP(EG$72,INDIRECT($C$5&amp;"生成成长"),5))*(VLOOKUP($B$5,标准坦克设计!$B$24:$U$30,MATCH("对"&amp;LEFT($C$5,2)&amp;"输出",标准坦克设计!$B$23:$U$23,0)))*(VLOOKUP($B203,INDIRECT($B$5&amp;"生成成长"),3))*(VLOOKUP($B$5,标准坦克设计!$B$14:$K$20,9)/30))</f>
        <v>12.496853432565034</v>
      </c>
      <c r="EH203" s="173">
        <f ca="1">(VLOOKUP(EH$72,INDIRECT($C$5&amp;"生成成长"),2))/((VLOOKUP($B203,INDIRECT($B$5&amp;"生成成长"),4))/(VLOOKUP(EH$72,INDIRECT($C$5&amp;"生成成长"),5))*(VLOOKUP($B$5,标准坦克设计!$B$24:$U$30,MATCH("对"&amp;LEFT($C$5,2)&amp;"输出",标准坦克设计!$B$23:$U$23,0)))*(VLOOKUP($B203,INDIRECT($B$5&amp;"生成成长"),3))*(VLOOKUP($B$5,标准坦克设计!$B$14:$K$20,9)/30))</f>
        <v>13.436146619582626</v>
      </c>
      <c r="EI203" s="173">
        <f ca="1">(VLOOKUP(EI$72,INDIRECT($C$5&amp;"生成成长"),2))/((VLOOKUP($B203,INDIRECT($B$5&amp;"生成成长"),4))/(VLOOKUP(EI$72,INDIRECT($C$5&amp;"生成成长"),5))*(VLOOKUP($B$5,标准坦克设计!$B$24:$U$30,MATCH("对"&amp;LEFT($C$5,2)&amp;"输出",标准坦克设计!$B$23:$U$23,0)))*(VLOOKUP($B203,INDIRECT($B$5&amp;"生成成长"),3))*(VLOOKUP($B$5,标准坦克设计!$B$14:$K$20,9)/30))</f>
        <v>14.409472168448684</v>
      </c>
      <c r="EJ203" s="173">
        <f ca="1">(VLOOKUP(EJ$72,INDIRECT($C$5&amp;"生成成长"),2))/((VLOOKUP($B203,INDIRECT($B$5&amp;"生成成长"),4))/(VLOOKUP(EJ$72,INDIRECT($C$5&amp;"生成成长"),5))*(VLOOKUP($B$5,标准坦克设计!$B$24:$U$30,MATCH("对"&amp;LEFT($C$5,2)&amp;"输出",标准坦克设计!$B$23:$U$23,0)))*(VLOOKUP($B203,INDIRECT($B$5&amp;"生成成长"),3))*(VLOOKUP($B$5,标准坦克设计!$B$14:$K$20,9)/30))</f>
        <v>15.4168300791632</v>
      </c>
      <c r="EK203" s="173">
        <f ca="1">(VLOOKUP(EK$72,INDIRECT($C$5&amp;"生成成长"),2))/((VLOOKUP($B203,INDIRECT($B$5&amp;"生成成长"),4))/(VLOOKUP(EK$72,INDIRECT($C$5&amp;"生成成长"),5))*(VLOOKUP($B$5,标准坦克设计!$B$24:$U$30,MATCH("对"&amp;LEFT($C$5,2)&amp;"输出",标准坦克设计!$B$23:$U$23,0)))*(VLOOKUP($B203,INDIRECT($B$5&amp;"生成成长"),3))*(VLOOKUP($B$5,标准坦克设计!$B$14:$K$20,9)/30))</f>
        <v>16.670582289660594</v>
      </c>
      <c r="EL203" s="173">
        <f ca="1">(VLOOKUP(EL$72,INDIRECT($C$5&amp;"生成成长"),2))/((VLOOKUP($B203,INDIRECT($B$5&amp;"生成成长"),4))/(VLOOKUP(EL$72,INDIRECT($C$5&amp;"生成成长"),5))*(VLOOKUP($B$5,标准坦克设计!$B$24:$U$30,MATCH("对"&amp;LEFT($C$5,2)&amp;"输出",标准坦克设计!$B$23:$U$23,0)))*(VLOOKUP($B203,INDIRECT($B$5&amp;"生成成长"),3))*(VLOOKUP($B$5,标准坦克设计!$B$14:$K$20,9)/30))</f>
        <v>17.973341101219777</v>
      </c>
      <c r="EM203" s="173">
        <f ca="1">(VLOOKUP(EM$72,INDIRECT($C$5&amp;"生成成长"),2))/((VLOOKUP($B203,INDIRECT($B$5&amp;"生成成长"),4))/(VLOOKUP(EM$72,INDIRECT($C$5&amp;"生成成长"),5))*(VLOOKUP($B$5,标准坦克设计!$B$24:$U$30,MATCH("对"&amp;LEFT($C$5,2)&amp;"输出",标准坦克设计!$B$23:$U$23,0)))*(VLOOKUP($B203,INDIRECT($B$5&amp;"生成成长"),3))*(VLOOKUP($B$5,标准坦克设计!$B$14:$K$20,9)/30))</f>
        <v>19.325106513840748</v>
      </c>
      <c r="EN203" s="173">
        <f ca="1">(VLOOKUP(EN$72,INDIRECT($C$5&amp;"生成成长"),2))/((VLOOKUP($B203,INDIRECT($B$5&amp;"生成成长"),4))/(VLOOKUP(EN$72,INDIRECT($C$5&amp;"生成成长"),5))*(VLOOKUP($B$5,标准坦克设计!$B$24:$U$30,MATCH("对"&amp;LEFT($C$5,2)&amp;"输出",标准坦克设计!$B$23:$U$23,0)))*(VLOOKUP($B203,INDIRECT($B$5&amp;"生成成长"),3))*(VLOOKUP($B$5,标准坦克设计!$B$14:$K$20,9)/30))</f>
        <v>20.725878527523506</v>
      </c>
      <c r="EO203" s="173">
        <f ca="1">(VLOOKUP(EO$72,INDIRECT($C$5&amp;"生成成长"),2))/((VLOOKUP($B203,INDIRECT($B$5&amp;"生成成长"),4))/(VLOOKUP(EO$72,INDIRECT($C$5&amp;"生成成长"),5))*(VLOOKUP($B$5,标准坦克设计!$B$24:$U$30,MATCH("对"&amp;LEFT($C$5,2)&amp;"输出",标准坦克设计!$B$23:$U$23,0)))*(VLOOKUP($B203,INDIRECT($B$5&amp;"生成成长"),3))*(VLOOKUP($B$5,标准坦克设计!$B$14:$K$20,9)/30))</f>
        <v>22.175657142268051</v>
      </c>
      <c r="EP203" s="173">
        <f ca="1">(VLOOKUP(EP$72,INDIRECT($C$5&amp;"生成成长"),2))/((VLOOKUP($B203,INDIRECT($B$5&amp;"生成成长"),4))/(VLOOKUP(EP$72,INDIRECT($C$5&amp;"生成成长"),5))*(VLOOKUP($B$5,标准坦克设计!$B$24:$U$30,MATCH("对"&amp;LEFT($C$5,2)&amp;"输出",标准坦克设计!$B$23:$U$23,0)))*(VLOOKUP($B203,INDIRECT($B$5&amp;"生成成长"),3))*(VLOOKUP($B$5,标准坦克设计!$B$14:$K$20,9)/30))</f>
        <v>23.67444235807438</v>
      </c>
      <c r="EQ203" s="173">
        <f ca="1">(VLOOKUP(EQ$72,INDIRECT($C$5&amp;"生成成长"),2))/((VLOOKUP($B203,INDIRECT($B$5&amp;"生成成长"),4))/(VLOOKUP(EQ$72,INDIRECT($C$5&amp;"生成成长"),5))*(VLOOKUP($B$5,标准坦克设计!$B$24:$U$30,MATCH("对"&amp;LEFT($C$5,2)&amp;"输出",标准坦克设计!$B$23:$U$23,0)))*(VLOOKUP($B203,INDIRECT($B$5&amp;"生成成长"),3))*(VLOOKUP($B$5,标准坦克设计!$B$14:$K$20,9)/30))</f>
        <v>10.465631915639491</v>
      </c>
      <c r="ER203" s="173">
        <f ca="1">(VLOOKUP(ER$72,INDIRECT($C$5&amp;"生成成长"),2))/((VLOOKUP($B203,INDIRECT($B$5&amp;"生成成长"),4))/(VLOOKUP(ER$72,INDIRECT($C$5&amp;"生成成长"),5))*(VLOOKUP($B$5,标准坦克设计!$B$24:$U$30,MATCH("对"&amp;LEFT($C$5,2)&amp;"输出",标准坦克设计!$B$23:$U$23,0)))*(VLOOKUP($B203,INDIRECT($B$5&amp;"生成成长"),3))*(VLOOKUP($B$5,标准坦克设计!$B$14:$K$20,9)/30))</f>
        <v>11.414624325783894</v>
      </c>
      <c r="ES203" s="173">
        <f ca="1">(VLOOKUP(ES$72,INDIRECT($C$5&amp;"生成成长"),2))/((VLOOKUP($B203,INDIRECT($B$5&amp;"生成成长"),4))/(VLOOKUP(ES$72,INDIRECT($C$5&amp;"生成成长"),5))*(VLOOKUP($B$5,标准坦克设计!$B$24:$U$30,MATCH("对"&amp;LEFT($C$5,2)&amp;"输出",标准坦克设计!$B$23:$U$23,0)))*(VLOOKUP($B203,INDIRECT($B$5&amp;"生成成长"),3))*(VLOOKUP($B$5,标准坦克设计!$B$14:$K$20,9)/30))</f>
        <v>12.404795893764945</v>
      </c>
      <c r="ET203" s="173">
        <f ca="1">(VLOOKUP(ET$72,INDIRECT($C$5&amp;"生成成长"),2))/((VLOOKUP($B203,INDIRECT($B$5&amp;"生成成长"),4))/(VLOOKUP(ET$72,INDIRECT($C$5&amp;"生成成长"),5))*(VLOOKUP($B$5,标准坦克设计!$B$24:$U$30,MATCH("对"&amp;LEFT($C$5,2)&amp;"输出",标准坦克设计!$B$23:$U$23,0)))*(VLOOKUP($B203,INDIRECT($B$5&amp;"生成成长"),3))*(VLOOKUP($B$5,标准坦克设计!$B$14:$K$20,9)/30))</f>
        <v>13.436146619582626</v>
      </c>
      <c r="EU203" s="173">
        <f ca="1">(VLOOKUP(EU$72,INDIRECT($C$5&amp;"生成成长"),2))/((VLOOKUP($B203,INDIRECT($B$5&amp;"生成成长"),4))/(VLOOKUP(EU$72,INDIRECT($C$5&amp;"生成成长"),5))*(VLOOKUP($B$5,标准坦克设计!$B$24:$U$30,MATCH("对"&amp;LEFT($C$5,2)&amp;"输出",标准坦克设计!$B$23:$U$23,0)))*(VLOOKUP($B203,INDIRECT($B$5&amp;"生成成长"),3))*(VLOOKUP($B$5,标准坦克设计!$B$14:$K$20,9)/30))</f>
        <v>14.508676503236956</v>
      </c>
      <c r="EV203" s="173">
        <f ca="1">(VLOOKUP(EV$72,INDIRECT($C$5&amp;"生成成长"),2))/((VLOOKUP($B203,INDIRECT($B$5&amp;"生成成长"),4))/(VLOOKUP(EV$72,INDIRECT($C$5&amp;"生成成长"),5))*(VLOOKUP($B$5,标准坦克设计!$B$24:$U$30,MATCH("对"&amp;LEFT($C$5,2)&amp;"输出",标准坦克设计!$B$23:$U$23,0)))*(VLOOKUP($B203,INDIRECT($B$5&amp;"生成成长"),3))*(VLOOKUP($B$5,标准坦克设计!$B$14:$K$20,9)/30))</f>
        <v>15.622385544727919</v>
      </c>
      <c r="EW203" s="173">
        <f ca="1">(VLOOKUP(EW$72,INDIRECT($C$5&amp;"生成成长"),2))/((VLOOKUP($B203,INDIRECT($B$5&amp;"生成成长"),4))/(VLOOKUP(EW$72,INDIRECT($C$5&amp;"生成成长"),5))*(VLOOKUP($B$5,标准坦克设计!$B$24:$U$30,MATCH("对"&amp;LEFT($C$5,2)&amp;"输出",标准坦克设计!$B$23:$U$23,0)))*(VLOOKUP($B203,INDIRECT($B$5&amp;"生成成长"),3))*(VLOOKUP($B$5,标准坦克设计!$B$14:$K$20,9)/30))</f>
        <v>16.777273744055531</v>
      </c>
      <c r="EX203" s="173">
        <f ca="1">(VLOOKUP(EX$72,INDIRECT($C$5&amp;"生成成长"),2))/((VLOOKUP($B203,INDIRECT($B$5&amp;"生成成长"),4))/(VLOOKUP(EX$72,INDIRECT($C$5&amp;"生成成长"),5))*(VLOOKUP($B$5,标准坦克设计!$B$24:$U$30,MATCH("对"&amp;LEFT($C$5,2)&amp;"输出",标准坦克设计!$B$23:$U$23,0)))*(VLOOKUP($B203,INDIRECT($B$5&amp;"生成成长"),3))*(VLOOKUP($B$5,标准坦克设计!$B$14:$K$20,9)/30))</f>
        <v>17.973341101219777</v>
      </c>
      <c r="EY203" s="173">
        <f ca="1">(VLOOKUP(EY$72,INDIRECT($C$5&amp;"生成成长"),2))/((VLOOKUP($B203,INDIRECT($B$5&amp;"生成成长"),4))/(VLOOKUP(EY$72,INDIRECT($C$5&amp;"生成成长"),5))*(VLOOKUP($B$5,标准坦克设计!$B$24:$U$30,MATCH("对"&amp;LEFT($C$5,2)&amp;"输出",标准坦克设计!$B$23:$U$23,0)))*(VLOOKUP($B203,INDIRECT($B$5&amp;"生成成长"),3))*(VLOOKUP($B$5,标准坦克设计!$B$14:$K$20,9)/30))</f>
        <v>19.210587616220668</v>
      </c>
      <c r="EZ203" s="173">
        <f ca="1">(VLOOKUP(EZ$72,INDIRECT($C$5&amp;"生成成长"),2))/((VLOOKUP($B203,INDIRECT($B$5&amp;"生成成长"),4))/(VLOOKUP(EZ$72,INDIRECT($C$5&amp;"生成成长"),5))*(VLOOKUP($B$5,标准坦克设计!$B$24:$U$30,MATCH("对"&amp;LEFT($C$5,2)&amp;"输出",标准坦克设计!$B$23:$U$23,0)))*(VLOOKUP($B203,INDIRECT($B$5&amp;"生成成长"),3))*(VLOOKUP($B$5,标准坦克设计!$B$14:$K$20,9)/30))</f>
        <v>20.4890132890582</v>
      </c>
      <c r="FA203" s="173">
        <f ca="1">(VLOOKUP(FA$72,INDIRECT($C$5&amp;"生成成长"),2))/((VLOOKUP($B203,INDIRECT($B$5&amp;"生成成长"),4))/(VLOOKUP(FA$72,INDIRECT($C$5&amp;"生成成长"),5))*(VLOOKUP($B$5,标准坦克设计!$B$24:$U$30,MATCH("对"&amp;LEFT($C$5,2)&amp;"输出",标准坦克设计!$B$23:$U$23,0)))*(VLOOKUP($B203,INDIRECT($B$5&amp;"生成成长"),3))*(VLOOKUP($B$5,标准坦克设计!$B$14:$K$20,9)/30))</f>
        <v>21.808618119732373</v>
      </c>
      <c r="FB203" s="173">
        <f ca="1">(VLOOKUP(FB$72,INDIRECT($C$5&amp;"生成成长"),2))/((VLOOKUP($B203,INDIRECT($B$5&amp;"生成成长"),4))/(VLOOKUP(FB$72,INDIRECT($C$5&amp;"生成成长"),5))*(VLOOKUP($B$5,标准坦克设计!$B$24:$U$30,MATCH("对"&amp;LEFT($C$5,2)&amp;"输出",标准坦克设计!$B$23:$U$23,0)))*(VLOOKUP($B203,INDIRECT($B$5&amp;"生成成长"),3))*(VLOOKUP($B$5,标准坦克设计!$B$14:$K$20,9)/30))</f>
        <v>23.169402108243183</v>
      </c>
      <c r="FC203" s="173">
        <f ca="1">(VLOOKUP(FC$72,INDIRECT($C$5&amp;"生成成长"),2))/((VLOOKUP($B203,INDIRECT($B$5&amp;"生成成长"),4))/(VLOOKUP(FC$72,INDIRECT($C$5&amp;"生成成长"),5))*(VLOOKUP($B$5,标准坦克设计!$B$24:$U$30,MATCH("对"&amp;LEFT($C$5,2)&amp;"输出",标准坦克设计!$B$23:$U$23,0)))*(VLOOKUP($B203,INDIRECT($B$5&amp;"生成成长"),3))*(VLOOKUP($B$5,标准坦克设计!$B$14:$K$20,9)/30))</f>
        <v>24.571365254590638</v>
      </c>
      <c r="FD203" s="173">
        <f ca="1">(VLOOKUP(FD$72,INDIRECT($C$5&amp;"生成成长"),2))/((VLOOKUP($B203,INDIRECT($B$5&amp;"生成成长"),4))/(VLOOKUP(FD$72,INDIRECT($C$5&amp;"生成成长"),5))*(VLOOKUP($B$5,标准坦克设计!$B$24:$U$30,MATCH("对"&amp;LEFT($C$5,2)&amp;"输出",标准坦克设计!$B$23:$U$23,0)))*(VLOOKUP($B203,INDIRECT($B$5&amp;"生成成长"),3))*(VLOOKUP($B$5,标准坦克设计!$B$14:$K$20,9)/30))</f>
        <v>26.014507558774731</v>
      </c>
      <c r="FE203" s="173">
        <f ca="1">(VLOOKUP(FE$72,INDIRECT($C$5&amp;"生成成长"),2))/((VLOOKUP($B203,INDIRECT($B$5&amp;"生成成长"),4))/(VLOOKUP(FE$72,INDIRECT($C$5&amp;"生成成长"),5))*(VLOOKUP($B$5,标准坦克设计!$B$24:$U$30,MATCH("对"&amp;LEFT($C$5,2)&amp;"输出",标准坦克设计!$B$23:$U$23,0)))*(VLOOKUP($B203,INDIRECT($B$5&amp;"生成成长"),3))*(VLOOKUP($B$5,标准坦克设计!$B$14:$K$20,9)/30))</f>
        <v>27.773129857294084</v>
      </c>
      <c r="FF203" s="173">
        <f ca="1">(VLOOKUP(FF$72,INDIRECT($C$5&amp;"生成成长"),2))/((VLOOKUP($B203,INDIRECT($B$5&amp;"生成成长"),4))/(VLOOKUP(FF$72,INDIRECT($C$5&amp;"生成成长"),5))*(VLOOKUP($B$5,标准坦克设计!$B$24:$U$30,MATCH("对"&amp;LEFT($C$5,2)&amp;"输出",标准坦克设计!$B$23:$U$23,0)))*(VLOOKUP($B203,INDIRECT($B$5&amp;"生成成长"),3))*(VLOOKUP($B$5,标准坦克设计!$B$14:$K$20,9)/30))</f>
        <v>29.589266847337338</v>
      </c>
      <c r="FG203" s="173">
        <f ca="1">(VLOOKUP(FG$72,INDIRECT($C$5&amp;"生成成长"),2))/((VLOOKUP($B203,INDIRECT($B$5&amp;"生成成长"),4))/(VLOOKUP(FG$72,INDIRECT($C$5&amp;"生成成长"),5))*(VLOOKUP($B$5,标准坦克设计!$B$24:$U$30,MATCH("对"&amp;LEFT($C$5,2)&amp;"输出",标准坦克设计!$B$23:$U$23,0)))*(VLOOKUP($B203,INDIRECT($B$5&amp;"生成成长"),3))*(VLOOKUP($B$5,标准坦克设计!$B$14:$K$20,9)/30))</f>
        <v>31.462918528904492</v>
      </c>
      <c r="FH203" s="173">
        <f ca="1">(VLOOKUP(FH$72,INDIRECT($C$5&amp;"生成成长"),2))/((VLOOKUP($B203,INDIRECT($B$5&amp;"生成成长"),4))/(VLOOKUP(FH$72,INDIRECT($C$5&amp;"生成成长"),5))*(VLOOKUP($B$5,标准坦克设计!$B$24:$U$30,MATCH("对"&amp;LEFT($C$5,2)&amp;"输出",标准坦克设计!$B$23:$U$23,0)))*(VLOOKUP($B203,INDIRECT($B$5&amp;"生成成长"),3))*(VLOOKUP($B$5,标准坦克设计!$B$14:$K$20,9)/30))</f>
        <v>33.394084901995548</v>
      </c>
      <c r="FI203" s="173">
        <f ca="1">(VLOOKUP(FI$72,INDIRECT($C$5&amp;"生成成长"),2))/((VLOOKUP($B203,INDIRECT($B$5&amp;"生成成长"),4))/(VLOOKUP(FI$72,INDIRECT($C$5&amp;"生成成长"),5))*(VLOOKUP($B$5,标准坦克设计!$B$24:$U$30,MATCH("对"&amp;LEFT($C$5,2)&amp;"输出",标准坦克设计!$B$23:$U$23,0)))*(VLOOKUP($B203,INDIRECT($B$5&amp;"生成成长"),3))*(VLOOKUP($B$5,标准坦克设计!$B$14:$K$20,9)/30))</f>
        <v>35.382765966610521</v>
      </c>
      <c r="FJ203" s="173">
        <f ca="1">(VLOOKUP(FJ$72,INDIRECT($C$5&amp;"生成成长"),2))/((VLOOKUP($B203,INDIRECT($B$5&amp;"生成成长"),4))/(VLOOKUP(FJ$72,INDIRECT($C$5&amp;"生成成长"),5))*(VLOOKUP($B$5,标准坦克设计!$B$24:$U$30,MATCH("对"&amp;LEFT($C$5,2)&amp;"输出",标准坦克设计!$B$23:$U$23,0)))*(VLOOKUP($B203,INDIRECT($B$5&amp;"生成成长"),3))*(VLOOKUP($B$5,标准坦克设计!$B$14:$K$20,9)/30))</f>
        <v>37.428961722749385</v>
      </c>
      <c r="FK203" s="173">
        <f ca="1">(VLOOKUP(FK$72,INDIRECT($C$5&amp;"生成成长"),2))/((VLOOKUP($B203,INDIRECT($B$5&amp;"生成成长"),4))/(VLOOKUP(FK$72,INDIRECT($C$5&amp;"生成成长"),5))*(VLOOKUP($B$5,标准坦克设计!$B$24:$U$30,MATCH("对"&amp;LEFT($C$5,2)&amp;"输出",标准坦克设计!$B$23:$U$23,0)))*(VLOOKUP($B203,INDIRECT($B$5&amp;"生成成长"),3))*(VLOOKUP($B$5,标准坦克设计!$B$14:$K$20,9)/30))</f>
        <v>39.532672170412148</v>
      </c>
    </row>
    <row r="204" spans="1:167" x14ac:dyDescent="0.15">
      <c r="A204" s="171" t="str">
        <f t="shared" si="13"/>
        <v>T4高品质6级</v>
      </c>
      <c r="B204" s="172">
        <v>30406</v>
      </c>
      <c r="C204" s="173">
        <f ca="1">(VLOOKUP(C$72,INDIRECT($C$5&amp;"生成成长"),2))/((VLOOKUP($B204,INDIRECT($B$5&amp;"生成成长"),4))/(VLOOKUP(C$72,INDIRECT($C$5&amp;"生成成长"),5))*(VLOOKUP($B$5,标准坦克设计!$B$24:$U$30,MATCH("对"&amp;LEFT($C$5,2)&amp;"输出",标准坦克设计!$B$23:$U$23,0)))*(VLOOKUP($B204,INDIRECT($B$5&amp;"生成成长"),3))*(VLOOKUP($B$5,标准坦克设计!$B$14:$K$20,9)/30))</f>
        <v>1.5630527187144405</v>
      </c>
      <c r="D204" s="173">
        <f ca="1">(VLOOKUP(D$72,INDIRECT($C$5&amp;"生成成长"),2))/((VLOOKUP($B204,INDIRECT($B$5&amp;"生成成长"),4))/(VLOOKUP(D$72,INDIRECT($C$5&amp;"生成成长"),5))*(VLOOKUP($B$5,标准坦克设计!$B$24:$U$30,MATCH("对"&amp;LEFT($C$5,2)&amp;"输出",标准坦克设计!$B$23:$U$23,0)))*(VLOOKUP($B204,INDIRECT($B$5&amp;"生成成长"),3))*(VLOOKUP($B$5,标准坦克设计!$B$14:$K$20,9)/30))</f>
        <v>1.7562460347475455</v>
      </c>
      <c r="E204" s="173">
        <f ca="1">(VLOOKUP(E$72,INDIRECT($C$5&amp;"生成成长"),2))/((VLOOKUP($B204,INDIRECT($B$5&amp;"生成成长"),4))/(VLOOKUP(E$72,INDIRECT($C$5&amp;"生成成长"),5))*(VLOOKUP($B$5,标准坦克设计!$B$24:$U$30,MATCH("对"&amp;LEFT($C$5,2)&amp;"输出",标准坦克设计!$B$23:$U$23,0)))*(VLOOKUP($B204,INDIRECT($B$5&amp;"生成成长"),3))*(VLOOKUP($B$5,标准坦克设计!$B$14:$K$20,9)/30))</f>
        <v>1.9606933303553942</v>
      </c>
      <c r="F204" s="173">
        <f ca="1">(VLOOKUP(F$72,INDIRECT($C$5&amp;"生成成长"),2))/((VLOOKUP($B204,INDIRECT($B$5&amp;"生成成长"),4))/(VLOOKUP(F$72,INDIRECT($C$5&amp;"生成成长"),5))*(VLOOKUP($B$5,标准坦克设计!$B$24:$U$30,MATCH("对"&amp;LEFT($C$5,2)&amp;"输出",标准坦克设计!$B$23:$U$23,0)))*(VLOOKUP($B204,INDIRECT($B$5&amp;"生成成长"),3))*(VLOOKUP($B$5,标准坦克设计!$B$14:$K$20,9)/30))</f>
        <v>2.1763946055379875</v>
      </c>
      <c r="G204" s="173">
        <f ca="1">(VLOOKUP(G$72,INDIRECT($C$5&amp;"生成成长"),2))/((VLOOKUP($B204,INDIRECT($B$5&amp;"生成成长"),4))/(VLOOKUP(G$72,INDIRECT($C$5&amp;"生成成长"),5))*(VLOOKUP($B$5,标准坦克设计!$B$24:$U$30,MATCH("对"&amp;LEFT($C$5,2)&amp;"输出",标准坦克设计!$B$23:$U$23,0)))*(VLOOKUP($B204,INDIRECT($B$5&amp;"生成成长"),3))*(VLOOKUP($B$5,标准坦克设计!$B$14:$K$20,9)/30))</f>
        <v>2.4033498602953238</v>
      </c>
      <c r="H204" s="173">
        <f ca="1">(VLOOKUP(H$72,INDIRECT($C$5&amp;"生成成长"),2))/((VLOOKUP($B204,INDIRECT($B$5&amp;"生成成长"),4))/(VLOOKUP(H$72,INDIRECT($C$5&amp;"生成成长"),5))*(VLOOKUP($B$5,标准坦克设计!$B$24:$U$30,MATCH("对"&amp;LEFT($C$5,2)&amp;"输出",标准坦克设计!$B$23:$U$23,0)))*(VLOOKUP($B204,INDIRECT($B$5&amp;"生成成长"),3))*(VLOOKUP($B$5,标准坦克设计!$B$14:$K$20,9)/30))</f>
        <v>2.1032437383021514</v>
      </c>
      <c r="I204" s="173">
        <f ca="1">(VLOOKUP(I$72,INDIRECT($C$5&amp;"生成成长"),2))/((VLOOKUP($B204,INDIRECT($B$5&amp;"生成成长"),4))/(VLOOKUP(I$72,INDIRECT($C$5&amp;"生成成长"),5))*(VLOOKUP($B$5,标准坦克设计!$B$24:$U$30,MATCH("对"&amp;LEFT($C$5,2)&amp;"输出",标准坦克设计!$B$23:$U$23,0)))*(VLOOKUP($B204,INDIRECT($B$5&amp;"生成成长"),3))*(VLOOKUP($B$5,标准坦克设计!$B$14:$K$20,9)/30))</f>
        <v>2.4033498602953238</v>
      </c>
      <c r="J204" s="173">
        <f ca="1">(VLOOKUP(J$72,INDIRECT($C$5&amp;"生成成长"),2))/((VLOOKUP($B204,INDIRECT($B$5&amp;"生成成长"),4))/(VLOOKUP(J$72,INDIRECT($C$5&amp;"生成成长"),5))*(VLOOKUP($B$5,标准坦克设计!$B$24:$U$30,MATCH("对"&amp;LEFT($C$5,2)&amp;"输出",标准坦克设计!$B$23:$U$23,0)))*(VLOOKUP($B204,INDIRECT($B$5&amp;"生成成长"),3))*(VLOOKUP($B$5,标准坦克设计!$B$14:$K$20,9)/30))</f>
        <v>2.723463057088042</v>
      </c>
      <c r="K204" s="173">
        <f ca="1">(VLOOKUP(K$72,INDIRECT($C$5&amp;"生成成长"),2))/((VLOOKUP($B204,INDIRECT($B$5&amp;"生成成长"),4))/(VLOOKUP(K$72,INDIRECT($C$5&amp;"生成成长"),5))*(VLOOKUP($B$5,标准坦克设计!$B$24:$U$30,MATCH("对"&amp;LEFT($C$5,2)&amp;"输出",标准坦克设计!$B$23:$U$23,0)))*(VLOOKUP($B204,INDIRECT($B$5&amp;"生成成长"),3))*(VLOOKUP($B$5,标准坦克设计!$B$14:$K$20,9)/30))</f>
        <v>3.0635833286803038</v>
      </c>
      <c r="L204" s="173">
        <f ca="1">(VLOOKUP(L$72,INDIRECT($C$5&amp;"生成成长"),2))/((VLOOKUP($B204,INDIRECT($B$5&amp;"生成成长"),4))/(VLOOKUP(L$72,INDIRECT($C$5&amp;"生成成长"),5))*(VLOOKUP($B$5,标准坦克设计!$B$24:$U$30,MATCH("对"&amp;LEFT($C$5,2)&amp;"输出",标准坦克设计!$B$23:$U$23,0)))*(VLOOKUP($B204,INDIRECT($B$5&amp;"生成成长"),3))*(VLOOKUP($B$5,标准坦克设计!$B$14:$K$20,9)/30))</f>
        <v>3.4237106750721109</v>
      </c>
      <c r="M204" s="173">
        <f ca="1">(VLOOKUP(M$72,INDIRECT($C$5&amp;"生成成长"),2))/((VLOOKUP($B204,INDIRECT($B$5&amp;"生成成长"),4))/(VLOOKUP(M$72,INDIRECT($C$5&amp;"生成成长"),5))*(VLOOKUP($B$5,标准坦克设计!$B$24:$U$30,MATCH("对"&amp;LEFT($C$5,2)&amp;"输出",标准坦克设计!$B$23:$U$23,0)))*(VLOOKUP($B204,INDIRECT($B$5&amp;"生成成长"),3))*(VLOOKUP($B$5,标准坦克设计!$B$14:$K$20,9)/30))</f>
        <v>3.8038450962634633</v>
      </c>
      <c r="N204" s="173">
        <f ca="1">(VLOOKUP(N$72,INDIRECT($C$5&amp;"生成成长"),2))/((VLOOKUP($B204,INDIRECT($B$5&amp;"生成成长"),4))/(VLOOKUP(N$72,INDIRECT($C$5&amp;"生成成长"),5))*(VLOOKUP($B$5,标准坦克设计!$B$24:$U$30,MATCH("对"&amp;LEFT($C$5,2)&amp;"输出",标准坦克设计!$B$23:$U$23,0)))*(VLOOKUP($B204,INDIRECT($B$5&amp;"生成成长"),3))*(VLOOKUP($B$5,标准坦克设计!$B$14:$K$20,9)/30))</f>
        <v>4.2039865922543589</v>
      </c>
      <c r="O204" s="173">
        <f ca="1">(VLOOKUP(O$72,INDIRECT($C$5&amp;"生成成长"),2))/((VLOOKUP($B204,INDIRECT($B$5&amp;"生成成长"),4))/(VLOOKUP(O$72,INDIRECT($C$5&amp;"生成成长"),5))*(VLOOKUP($B$5,标准坦克设计!$B$24:$U$30,MATCH("对"&amp;LEFT($C$5,2)&amp;"输出",标准坦克设计!$B$23:$U$23,0)))*(VLOOKUP($B204,INDIRECT($B$5&amp;"生成成长"),3))*(VLOOKUP($B$5,标准坦克设计!$B$14:$K$20,9)/30))</f>
        <v>3.19628650449916</v>
      </c>
      <c r="P204" s="173">
        <f ca="1">(VLOOKUP(P$72,INDIRECT($C$5&amp;"生成成长"),2))/((VLOOKUP($B204,INDIRECT($B$5&amp;"生成成长"),4))/(VLOOKUP(P$72,INDIRECT($C$5&amp;"生成成长"),5))*(VLOOKUP($B$5,标准坦克设计!$B$24:$U$30,MATCH("对"&amp;LEFT($C$5,2)&amp;"输出",标准坦克设计!$B$23:$U$23,0)))*(VLOOKUP($B204,INDIRECT($B$5&amp;"生成成长"),3))*(VLOOKUP($B$5,标准坦克设计!$B$14:$K$20,9)/30))</f>
        <v>3.6112770013178435</v>
      </c>
      <c r="Q204" s="173">
        <f ca="1">(VLOOKUP(Q$72,INDIRECT($C$5&amp;"生成成长"),2))/((VLOOKUP($B204,INDIRECT($B$5&amp;"生成成长"),4))/(VLOOKUP(Q$72,INDIRECT($C$5&amp;"生成成长"),5))*(VLOOKUP($B$5,标准坦克设计!$B$24:$U$30,MATCH("对"&amp;LEFT($C$5,2)&amp;"输出",标准坦克设计!$B$23:$U$23,0)))*(VLOOKUP($B204,INDIRECT($B$5&amp;"生成成长"),3))*(VLOOKUP($B$5,标准坦克设计!$B$14:$K$20,9)/30))</f>
        <v>4.0515889521797019</v>
      </c>
      <c r="R204" s="173">
        <f ca="1">(VLOOKUP(R$72,INDIRECT($C$5&amp;"生成成长"),2))/((VLOOKUP($B204,INDIRECT($B$5&amp;"生成成长"),4))/(VLOOKUP(R$72,INDIRECT($C$5&amp;"生成成长"),5))*(VLOOKUP($B$5,标准坦克设计!$B$24:$U$30,MATCH("对"&amp;LEFT($C$5,2)&amp;"输出",标准坦克设计!$B$23:$U$23,0)))*(VLOOKUP($B204,INDIRECT($B$5&amp;"生成成长"),3))*(VLOOKUP($B$5,标准坦克设计!$B$14:$K$20,9)/30))</f>
        <v>4.5172223570847336</v>
      </c>
      <c r="S204" s="173">
        <f ca="1">(VLOOKUP(S$72,INDIRECT($C$5&amp;"生成成长"),2))/((VLOOKUP($B204,INDIRECT($B$5&amp;"生成成长"),4))/(VLOOKUP(S$72,INDIRECT($C$5&amp;"生成成长"),5))*(VLOOKUP($B$5,标准坦克设计!$B$24:$U$30,MATCH("对"&amp;LEFT($C$5,2)&amp;"输出",标准坦克设计!$B$23:$U$23,0)))*(VLOOKUP($B204,INDIRECT($B$5&amp;"生成成长"),3))*(VLOOKUP($B$5,标准坦克设计!$B$14:$K$20,9)/30))</f>
        <v>5.008177216032939</v>
      </c>
      <c r="T204" s="173">
        <f ca="1">(VLOOKUP(T$72,INDIRECT($C$5&amp;"生成成长"),2))/((VLOOKUP($B204,INDIRECT($B$5&amp;"生成成长"),4))/(VLOOKUP(T$72,INDIRECT($C$5&amp;"生成成长"),5))*(VLOOKUP($B$5,标准坦克设计!$B$24:$U$30,MATCH("对"&amp;LEFT($C$5,2)&amp;"输出",标准坦克设计!$B$23:$U$23,0)))*(VLOOKUP($B204,INDIRECT($B$5&amp;"生成成长"),3))*(VLOOKUP($B$5,标准坦克设计!$B$14:$K$20,9)/30))</f>
        <v>5.5244535290243189</v>
      </c>
      <c r="U204" s="173">
        <f ca="1">(VLOOKUP(U$72,INDIRECT($C$5&amp;"生成成长"),2))/((VLOOKUP($B204,INDIRECT($B$5&amp;"生成成长"),4))/(VLOOKUP(U$72,INDIRECT($C$5&amp;"生成成长"),5))*(VLOOKUP($B$5,标准坦克设计!$B$24:$U$30,MATCH("对"&amp;LEFT($C$5,2)&amp;"输出",标准坦克设计!$B$23:$U$23,0)))*(VLOOKUP($B204,INDIRECT($B$5&amp;"生成成长"),3))*(VLOOKUP($B$5,标准坦克设计!$B$14:$K$20,9)/30))</f>
        <v>6.0660512960588733</v>
      </c>
      <c r="V204" s="173">
        <f ca="1">(VLOOKUP(V$72,INDIRECT($C$5&amp;"生成成长"),2))/((VLOOKUP($B204,INDIRECT($B$5&amp;"生成成长"),4))/(VLOOKUP(V$72,INDIRECT($C$5&amp;"生成成长"),5))*(VLOOKUP($B$5,标准坦克设计!$B$24:$U$30,MATCH("对"&amp;LEFT($C$5,2)&amp;"输出",标准坦克设计!$B$23:$U$23,0)))*(VLOOKUP($B204,INDIRECT($B$5&amp;"生成成长"),3))*(VLOOKUP($B$5,标准坦克设计!$B$14:$K$20,9)/30))</f>
        <v>6.6329705171366014</v>
      </c>
      <c r="W204" s="173">
        <f ca="1">(VLOOKUP(W$72,INDIRECT($C$5&amp;"生成成长"),2))/((VLOOKUP($B204,INDIRECT($B$5&amp;"生成成长"),4))/(VLOOKUP(W$72,INDIRECT($C$5&amp;"生成成长"),5))*(VLOOKUP($B$5,标准坦克设计!$B$24:$U$30,MATCH("对"&amp;LEFT($C$5,2)&amp;"输出",标准坦克设计!$B$23:$U$23,0)))*(VLOOKUP($B204,INDIRECT($B$5&amp;"生成成长"),3))*(VLOOKUP($B$5,标准坦克设计!$B$14:$K$20,9)/30))</f>
        <v>7.2252111922575031</v>
      </c>
      <c r="X204" s="173">
        <f ca="1">(VLOOKUP(X$72,INDIRECT($C$5&amp;"生成成长"),2))/((VLOOKUP($B204,INDIRECT($B$5&amp;"生成成长"),4))/(VLOOKUP(X$72,INDIRECT($C$5&amp;"生成成长"),5))*(VLOOKUP($B$5,标准坦克设计!$B$24:$U$30,MATCH("对"&amp;LEFT($C$5,2)&amp;"输出",标准坦克设计!$B$23:$U$23,0)))*(VLOOKUP($B204,INDIRECT($B$5&amp;"生成成长"),3))*(VLOOKUP($B$5,标准坦克设计!$B$14:$K$20,9)/30))</f>
        <v>5.2345072497027907</v>
      </c>
      <c r="Y204" s="173">
        <f ca="1">(VLOOKUP(Y$72,INDIRECT($C$5&amp;"生成成长"),2))/((VLOOKUP($B204,INDIRECT($B$5&amp;"生成成长"),4))/(VLOOKUP(Y$72,INDIRECT($C$5&amp;"生成成长"),5))*(VLOOKUP($B$5,标准坦克设计!$B$24:$U$30,MATCH("对"&amp;LEFT($C$5,2)&amp;"输出",标准坦克设计!$B$23:$U$23,0)))*(VLOOKUP($B204,INDIRECT($B$5&amp;"生成成长"),3))*(VLOOKUP($B$5,标准坦克设计!$B$14:$K$20,9)/30))</f>
        <v>5.8222150719394214</v>
      </c>
      <c r="Z204" s="173">
        <f ca="1">(VLOOKUP(Z$72,INDIRECT($C$5&amp;"生成成长"),2))/((VLOOKUP($B204,INDIRECT($B$5&amp;"生成成长"),4))/(VLOOKUP(Z$72,INDIRECT($C$5&amp;"生成成长"),5))*(VLOOKUP($B$5,标准坦克设计!$B$24:$U$30,MATCH("对"&amp;LEFT($C$5,2)&amp;"输出",标准坦克设计!$B$23:$U$23,0)))*(VLOOKUP($B204,INDIRECT($B$5&amp;"生成成长"),3))*(VLOOKUP($B$5,标准坦克设计!$B$14:$K$20,9)/30))</f>
        <v>6.4411839485503393</v>
      </c>
      <c r="AA204" s="173">
        <f ca="1">(VLOOKUP(AA$72,INDIRECT($C$5&amp;"生成成长"),2))/((VLOOKUP($B204,INDIRECT($B$5&amp;"生成成长"),4))/(VLOOKUP(AA$72,INDIRECT($C$5&amp;"生成成长"),5))*(VLOOKUP($B$5,标准坦克设计!$B$24:$U$30,MATCH("对"&amp;LEFT($C$5,2)&amp;"输出",标准坦克设计!$B$23:$U$23,0)))*(VLOOKUP($B204,INDIRECT($B$5&amp;"生成成长"),3))*(VLOOKUP($B$5,标准坦克设计!$B$14:$K$20,9)/30))</f>
        <v>7.0914138795355468</v>
      </c>
      <c r="AB204" s="173">
        <f ca="1">(VLOOKUP(AB$72,INDIRECT($C$5&amp;"生成成长"),2))/((VLOOKUP($B204,INDIRECT($B$5&amp;"生成成长"),4))/(VLOOKUP(AB$72,INDIRECT($C$5&amp;"生成成长"),5))*(VLOOKUP($B$5,标准坦克设计!$B$24:$U$30,MATCH("对"&amp;LEFT($C$5,2)&amp;"输出",标准坦克设计!$B$23:$U$23,0)))*(VLOOKUP($B204,INDIRECT($B$5&amp;"生成成长"),3))*(VLOOKUP($B$5,标准坦克设计!$B$14:$K$20,9)/30))</f>
        <v>7.7729048648950432</v>
      </c>
      <c r="AC204" s="173">
        <f ca="1">(VLOOKUP(AC$72,INDIRECT($C$5&amp;"生成成长"),2))/((VLOOKUP($B204,INDIRECT($B$5&amp;"生成成长"),4))/(VLOOKUP(AC$72,INDIRECT($C$5&amp;"生成成长"),5))*(VLOOKUP($B$5,标准坦克设计!$B$24:$U$30,MATCH("对"&amp;LEFT($C$5,2)&amp;"输出",标准坦克设计!$B$23:$U$23,0)))*(VLOOKUP($B204,INDIRECT($B$5&amp;"生成成长"),3))*(VLOOKUP($B$5,标准坦克设计!$B$14:$K$20,9)/30))</f>
        <v>8.4856569046288275</v>
      </c>
      <c r="AD204" s="173">
        <f ca="1">(VLOOKUP(AD$72,INDIRECT($C$5&amp;"生成成长"),2))/((VLOOKUP($B204,INDIRECT($B$5&amp;"生成成长"),4))/(VLOOKUP(AD$72,INDIRECT($C$5&amp;"生成成长"),5))*(VLOOKUP($B$5,标准坦克设计!$B$24:$U$30,MATCH("对"&amp;LEFT($C$5,2)&amp;"输出",标准坦克设计!$B$23:$U$23,0)))*(VLOOKUP($B204,INDIRECT($B$5&amp;"生成成长"),3))*(VLOOKUP($B$5,标准坦克设计!$B$14:$K$20,9)/30))</f>
        <v>9.2296699987369024</v>
      </c>
      <c r="AE204" s="173">
        <f ca="1">(VLOOKUP(AE$72,INDIRECT($C$5&amp;"生成成长"),2))/((VLOOKUP($B204,INDIRECT($B$5&amp;"生成成长"),4))/(VLOOKUP(AE$72,INDIRECT($C$5&amp;"生成成长"),5))*(VLOOKUP($B$5,标准坦克设计!$B$24:$U$30,MATCH("对"&amp;LEFT($C$5,2)&amp;"输出",标准坦克设计!$B$23:$U$23,0)))*(VLOOKUP($B204,INDIRECT($B$5&amp;"生成成长"),3))*(VLOOKUP($B$5,标准坦克设计!$B$14:$K$20,9)/30))</f>
        <v>10.004944147219264</v>
      </c>
      <c r="AF204" s="173">
        <f ca="1">(VLOOKUP(AF$72,INDIRECT($C$5&amp;"生成成长"),2))/((VLOOKUP($B204,INDIRECT($B$5&amp;"生成成长"),4))/(VLOOKUP(AF$72,INDIRECT($C$5&amp;"生成成长"),5))*(VLOOKUP($B$5,标准坦克设计!$B$24:$U$30,MATCH("对"&amp;LEFT($C$5,2)&amp;"输出",标准坦克设计!$B$23:$U$23,0)))*(VLOOKUP($B204,INDIRECT($B$5&amp;"生成成长"),3))*(VLOOKUP($B$5,标准坦克设计!$B$14:$K$20,9)/30))</f>
        <v>10.811479350075915</v>
      </c>
      <c r="AG204" s="173">
        <f ca="1">(VLOOKUP(AG$72,INDIRECT($C$5&amp;"生成成长"),2))/((VLOOKUP($B204,INDIRECT($B$5&amp;"生成成长"),4))/(VLOOKUP(AG$72,INDIRECT($C$5&amp;"生成成长"),5))*(VLOOKUP($B$5,标准坦克设计!$B$24:$U$30,MATCH("对"&amp;LEFT($C$5,2)&amp;"输出",标准坦克设计!$B$23:$U$23,0)))*(VLOOKUP($B204,INDIRECT($B$5&amp;"生成成长"),3))*(VLOOKUP($B$5,标准坦克设计!$B$14:$K$20,9)/30))</f>
        <v>11.649275607306855</v>
      </c>
      <c r="AH204" s="173">
        <f ca="1">(VLOOKUP(AH$72,INDIRECT($C$5&amp;"生成成长"),2))/((VLOOKUP($B204,INDIRECT($B$5&amp;"生成成长"),4))/(VLOOKUP(AH$72,INDIRECT($C$5&amp;"生成成长"),5))*(VLOOKUP($B$5,标准坦克设计!$B$24:$U$30,MATCH("对"&amp;LEFT($C$5,2)&amp;"输出",标准坦克设计!$B$23:$U$23,0)))*(VLOOKUP($B204,INDIRECT($B$5&amp;"生成成长"),3))*(VLOOKUP($B$5,标准坦克设计!$B$14:$K$20,9)/30))</f>
        <v>12.518332918912085</v>
      </c>
      <c r="AI204" s="173">
        <f ca="1">(VLOOKUP(AI$72,INDIRECT($C$5&amp;"生成成长"),2))/((VLOOKUP($B204,INDIRECT($B$5&amp;"生成成长"),4))/(VLOOKUP(AI$72,INDIRECT($C$5&amp;"生成成长"),5))*(VLOOKUP($B$5,标准坦克设计!$B$24:$U$30,MATCH("对"&amp;LEFT($C$5,2)&amp;"输出",标准坦克设计!$B$23:$U$23,0)))*(VLOOKUP($B204,INDIRECT($B$5&amp;"生成成长"),3))*(VLOOKUP($B$5,标准坦克设计!$B$14:$K$20,9)/30))</f>
        <v>8.8537558198860786</v>
      </c>
      <c r="AJ204" s="173">
        <f ca="1">(VLOOKUP(AJ$72,INDIRECT($C$5&amp;"生成成长"),2))/((VLOOKUP($B204,INDIRECT($B$5&amp;"生成成长"),4))/(VLOOKUP(AJ$72,INDIRECT($C$5&amp;"生成成长"),5))*(VLOOKUP($B$5,标准坦克设计!$B$24:$U$30,MATCH("对"&amp;LEFT($C$5,2)&amp;"输出",标准坦克设计!$B$23:$U$23,0)))*(VLOOKUP($B204,INDIRECT($B$5&amp;"生成成长"),3))*(VLOOKUP($B$5,标准坦克设计!$B$14:$K$20,9)/30))</f>
        <v>9.691083161301405</v>
      </c>
      <c r="AK204" s="173">
        <f ca="1">(VLOOKUP(AK$72,INDIRECT($C$5&amp;"生成成长"),2))/((VLOOKUP($B204,INDIRECT($B$5&amp;"生成成长"),4))/(VLOOKUP(AK$72,INDIRECT($C$5&amp;"生成成长"),5))*(VLOOKUP($B$5,标准坦克设计!$B$24:$U$30,MATCH("对"&amp;LEFT($C$5,2)&amp;"输出",标准坦克设计!$B$23:$U$23,0)))*(VLOOKUP($B204,INDIRECT($B$5&amp;"生成成长"),3))*(VLOOKUP($B$5,标准坦克设计!$B$14:$K$20,9)/30))</f>
        <v>10.566236378509618</v>
      </c>
      <c r="AL204" s="173">
        <f ca="1">(VLOOKUP(AL$72,INDIRECT($C$5&amp;"生成成长"),2))/((VLOOKUP($B204,INDIRECT($B$5&amp;"生成成长"),4))/(VLOOKUP(AL$72,INDIRECT($C$5&amp;"生成成长"),5))*(VLOOKUP($B$5,标准坦克设计!$B$24:$U$30,MATCH("对"&amp;LEFT($C$5,2)&amp;"输出",标准坦克设计!$B$23:$U$23,0)))*(VLOOKUP($B204,INDIRECT($B$5&amp;"生成成长"),3))*(VLOOKUP($B$5,标准坦克设计!$B$14:$K$20,9)/30))</f>
        <v>11.479215471510726</v>
      </c>
      <c r="AM204" s="173">
        <f ca="1">(VLOOKUP(AM$72,INDIRECT($C$5&amp;"生成成长"),2))/((VLOOKUP($B204,INDIRECT($B$5&amp;"生成成长"),4))/(VLOOKUP(AM$72,INDIRECT($C$5&amp;"生成成长"),5))*(VLOOKUP($B$5,标准坦克设计!$B$24:$U$30,MATCH("对"&amp;LEFT($C$5,2)&amp;"输出",标准坦克设计!$B$23:$U$23,0)))*(VLOOKUP($B204,INDIRECT($B$5&amp;"生成成长"),3))*(VLOOKUP($B$5,标准坦克设计!$B$14:$K$20,9)/30))</f>
        <v>12.430020440304718</v>
      </c>
      <c r="AN204" s="173">
        <f ca="1">(VLOOKUP(AN$72,INDIRECT($C$5&amp;"生成成长"),2))/((VLOOKUP($B204,INDIRECT($B$5&amp;"生成成长"),4))/(VLOOKUP(AN$72,INDIRECT($C$5&amp;"生成成长"),5))*(VLOOKUP($B$5,标准坦克设计!$B$24:$U$30,MATCH("对"&amp;LEFT($C$5,2)&amp;"输出",标准坦克设计!$B$23:$U$23,0)))*(VLOOKUP($B204,INDIRECT($B$5&amp;"生成成长"),3))*(VLOOKUP($B$5,标准坦克设计!$B$14:$K$20,9)/30))</f>
        <v>13.418651284891599</v>
      </c>
      <c r="AO204" s="173">
        <f ca="1">(VLOOKUP(AO$72,INDIRECT($C$5&amp;"生成成长"),2))/((VLOOKUP($B204,INDIRECT($B$5&amp;"生成成长"),4))/(VLOOKUP(AO$72,INDIRECT($C$5&amp;"生成成长"),5))*(VLOOKUP($B$5,标准坦克设计!$B$24:$U$30,MATCH("对"&amp;LEFT($C$5,2)&amp;"输出",标准坦克设计!$B$23:$U$23,0)))*(VLOOKUP($B204,INDIRECT($B$5&amp;"生成成长"),3))*(VLOOKUP($B$5,标准坦克设计!$B$14:$K$20,9)/30))</f>
        <v>14.445108005271374</v>
      </c>
      <c r="AP204" s="173">
        <f ca="1">(VLOOKUP(AP$72,INDIRECT($C$5&amp;"生成成长"),2))/((VLOOKUP($B204,INDIRECT($B$5&amp;"生成成长"),4))/(VLOOKUP(AP$72,INDIRECT($C$5&amp;"生成成长"),5))*(VLOOKUP($B$5,标准坦克设计!$B$24:$U$30,MATCH("对"&amp;LEFT($C$5,2)&amp;"输出",标准坦克设计!$B$23:$U$23,0)))*(VLOOKUP($B204,INDIRECT($B$5&amp;"生成成长"),3))*(VLOOKUP($B$5,标准坦克设计!$B$14:$K$20,9)/30))</f>
        <v>15.509390601444041</v>
      </c>
      <c r="AQ204" s="173">
        <f ca="1">(VLOOKUP(AQ$72,INDIRECT($C$5&amp;"生成成长"),2))/((VLOOKUP($B204,INDIRECT($B$5&amp;"生成成长"),4))/(VLOOKUP(AQ$72,INDIRECT($C$5&amp;"生成成长"),5))*(VLOOKUP($B$5,标准坦克设计!$B$24:$U$30,MATCH("对"&amp;LEFT($C$5,2)&amp;"输出",标准坦克设计!$B$23:$U$23,0)))*(VLOOKUP($B204,INDIRECT($B$5&amp;"生成成长"),3))*(VLOOKUP($B$5,标准坦克设计!$B$14:$K$20,9)/30))</f>
        <v>16.611499073409593</v>
      </c>
      <c r="AR204" s="173">
        <f ca="1">(VLOOKUP(AR$72,INDIRECT($C$5&amp;"生成成长"),2))/((VLOOKUP($B204,INDIRECT($B$5&amp;"生成成长"),4))/(VLOOKUP(AR$72,INDIRECT($C$5&amp;"生成成长"),5))*(VLOOKUP($B$5,标准坦克设计!$B$24:$U$30,MATCH("对"&amp;LEFT($C$5,2)&amp;"输出",标准坦克设计!$B$23:$U$23,0)))*(VLOOKUP($B204,INDIRECT($B$5&amp;"生成成长"),3))*(VLOOKUP($B$5,标准坦克设计!$B$14:$K$20,9)/30))</f>
        <v>17.751433421168031</v>
      </c>
      <c r="AS204" s="173">
        <f ca="1">(VLOOKUP(AS$72,INDIRECT($C$5&amp;"生成成长"),2))/((VLOOKUP($B204,INDIRECT($B$5&amp;"生成成长"),4))/(VLOOKUP(AS$72,INDIRECT($C$5&amp;"生成成长"),5))*(VLOOKUP($B$5,标准坦克设计!$B$24:$U$30,MATCH("对"&amp;LEFT($C$5,2)&amp;"输出",标准坦克设计!$B$23:$U$23,0)))*(VLOOKUP($B204,INDIRECT($B$5&amp;"生成成长"),3))*(VLOOKUP($B$5,标准坦克设计!$B$14:$K$20,9)/30))</f>
        <v>18.929193644719366</v>
      </c>
      <c r="AT204" s="173">
        <f ca="1">(VLOOKUP(AT$72,INDIRECT($C$5&amp;"生成成长"),2))/((VLOOKUP($B204,INDIRECT($B$5&amp;"生成成长"),4))/(VLOOKUP(AT$72,INDIRECT($C$5&amp;"生成成长"),5))*(VLOOKUP($B$5,标准坦克设计!$B$24:$U$30,MATCH("对"&amp;LEFT($C$5,2)&amp;"输出",标准坦克设计!$B$23:$U$23,0)))*(VLOOKUP($B204,INDIRECT($B$5&amp;"生成成长"),3))*(VLOOKUP($B$5,标准坦克设计!$B$14:$K$20,9)/30))</f>
        <v>20.144779744063587</v>
      </c>
      <c r="AU204" s="173">
        <f ca="1">(VLOOKUP(AU$72,INDIRECT($C$5&amp;"生成成长"),2))/((VLOOKUP($B204,INDIRECT($B$5&amp;"生成成长"),4))/(VLOOKUP(AU$72,INDIRECT($C$5&amp;"生成成长"),5))*(VLOOKUP($B$5,标准坦克设计!$B$24:$U$30,MATCH("对"&amp;LEFT($C$5,2)&amp;"输出",标准坦克设计!$B$23:$U$23,0)))*(VLOOKUP($B204,INDIRECT($B$5&amp;"生成成长"),3))*(VLOOKUP($B$5,标准坦克设计!$B$14:$K$20,9)/30))</f>
        <v>21.398191719200693</v>
      </c>
      <c r="AV204" s="173">
        <f ca="1">(VLOOKUP(AV$72,INDIRECT($C$5&amp;"生成成长"),2))/((VLOOKUP($B204,INDIRECT($B$5&amp;"生成成长"),4))/(VLOOKUP(AV$72,INDIRECT($C$5&amp;"生成成长"),5))*(VLOOKUP($B$5,标准坦克设计!$B$24:$U$30,MATCH("对"&amp;LEFT($C$5,2)&amp;"输出",标准坦克设计!$B$23:$U$23,0)))*(VLOOKUP($B204,INDIRECT($B$5&amp;"生成成长"),3))*(VLOOKUP($B$5,标准坦克设计!$B$14:$K$20,9)/30))</f>
        <v>2.1763946055379875</v>
      </c>
      <c r="AW204" s="173">
        <f ca="1">(VLOOKUP(AW$72,INDIRECT($C$5&amp;"生成成长"),2))/((VLOOKUP($B204,INDIRECT($B$5&amp;"生成成长"),4))/(VLOOKUP(AW$72,INDIRECT($C$5&amp;"生成成长"),5))*(VLOOKUP($B$5,标准坦克设计!$B$24:$U$30,MATCH("对"&amp;LEFT($C$5,2)&amp;"输出",标准坦克设计!$B$23:$U$23,0)))*(VLOOKUP($B204,INDIRECT($B$5&amp;"生成成长"),3))*(VLOOKUP($B$5,标准坦克设计!$B$14:$K$20,9)/30))</f>
        <v>2.4815024962310464</v>
      </c>
      <c r="AX204" s="173">
        <f ca="1">(VLOOKUP(AX$72,INDIRECT($C$5&amp;"生成成长"),2))/((VLOOKUP($B204,INDIRECT($B$5&amp;"生成成长"),4))/(VLOOKUP(AX$72,INDIRECT($C$5&amp;"生成成长"),5))*(VLOOKUP($B$5,标准坦克设计!$B$24:$U$30,MATCH("对"&amp;LEFT($C$5,2)&amp;"输出",标准坦克设计!$B$23:$U$23,0)))*(VLOOKUP($B204,INDIRECT($B$5&amp;"生成成长"),3))*(VLOOKUP($B$5,标准坦克设计!$B$14:$K$20,9)/30))</f>
        <v>2.8066174617236501</v>
      </c>
      <c r="AY204" s="173">
        <f ca="1">(VLOOKUP(AY$72,INDIRECT($C$5&amp;"生成成长"),2))/((VLOOKUP($B204,INDIRECT($B$5&amp;"生成成长"),4))/(VLOOKUP(AY$72,INDIRECT($C$5&amp;"生成成长"),5))*(VLOOKUP($B$5,标准坦克设计!$B$24:$U$30,MATCH("对"&amp;LEFT($C$5,2)&amp;"输出",标准坦克设计!$B$23:$U$23,0)))*(VLOOKUP($B204,INDIRECT($B$5&amp;"生成成长"),3))*(VLOOKUP($B$5,标准坦克设计!$B$14:$K$20,9)/30))</f>
        <v>3.1517395020157983</v>
      </c>
      <c r="AZ204" s="173">
        <f ca="1">(VLOOKUP(AZ$72,INDIRECT($C$5&amp;"生成成长"),2))/((VLOOKUP($B204,INDIRECT($B$5&amp;"生成成长"),4))/(VLOOKUP(AZ$72,INDIRECT($C$5&amp;"生成成长"),5))*(VLOOKUP($B$5,标准坦克设计!$B$24:$U$30,MATCH("对"&amp;LEFT($C$5,2)&amp;"输出",标准坦克设计!$B$23:$U$23,0)))*(VLOOKUP($B204,INDIRECT($B$5&amp;"生成成长"),3))*(VLOOKUP($B$5,标准坦克设计!$B$14:$K$20,9)/30))</f>
        <v>3.5168686171074914</v>
      </c>
      <c r="BA204" s="173">
        <f ca="1">(VLOOKUP(BA$72,INDIRECT($C$5&amp;"生成成长"),2))/((VLOOKUP($B204,INDIRECT($B$5&amp;"生成成长"),4))/(VLOOKUP(BA$72,INDIRECT($C$5&amp;"生成成长"),5))*(VLOOKUP($B$5,标准坦克设计!$B$24:$U$30,MATCH("对"&amp;LEFT($C$5,2)&amp;"输出",标准坦克设计!$B$23:$U$23,0)))*(VLOOKUP($B204,INDIRECT($B$5&amp;"生成成长"),3))*(VLOOKUP($B$5,标准坦克设计!$B$14:$K$20,9)/30))</f>
        <v>3.9020048069987299</v>
      </c>
      <c r="BB204" s="173">
        <f ca="1">(VLOOKUP(BB$72,INDIRECT($C$5&amp;"生成成长"),2))/((VLOOKUP($B204,INDIRECT($B$5&amp;"生成成长"),4))/(VLOOKUP(BB$72,INDIRECT($C$5&amp;"生成成长"),5))*(VLOOKUP($B$5,标准坦克设计!$B$24:$U$30,MATCH("对"&amp;LEFT($C$5,2)&amp;"输出",标准坦克设计!$B$23:$U$23,0)))*(VLOOKUP($B204,INDIRECT($B$5&amp;"生成成长"),3))*(VLOOKUP($B$5,标准坦克设计!$B$14:$K$20,9)/30))</f>
        <v>4.3071480716895119</v>
      </c>
      <c r="BC204" s="173">
        <f ca="1">(VLOOKUP(BC$72,INDIRECT($C$5&amp;"生成成长"),2))/((VLOOKUP($B204,INDIRECT($B$5&amp;"生成成长"),4))/(VLOOKUP(BC$72,INDIRECT($C$5&amp;"生成成长"),5))*(VLOOKUP($B$5,标准坦克设计!$B$24:$U$30,MATCH("对"&amp;LEFT($C$5,2)&amp;"输出",标准坦克设计!$B$23:$U$23,0)))*(VLOOKUP($B204,INDIRECT($B$5&amp;"生成成长"),3))*(VLOOKUP($B$5,标准坦克设计!$B$14:$K$20,9)/30))</f>
        <v>4.7322984111798414</v>
      </c>
      <c r="BD204" s="173">
        <f ca="1">(VLOOKUP(BD$72,INDIRECT($C$5&amp;"生成成长"),2))/((VLOOKUP($B204,INDIRECT($B$5&amp;"生成成长"),4))/(VLOOKUP(BD$72,INDIRECT($C$5&amp;"生成成长"),5))*(VLOOKUP($B$5,标准坦克设计!$B$24:$U$30,MATCH("对"&amp;LEFT($C$5,2)&amp;"输出",标准坦克设计!$B$23:$U$23,0)))*(VLOOKUP($B204,INDIRECT($B$5&amp;"生成成长"),3))*(VLOOKUP($B$5,标准坦克设计!$B$14:$K$20,9)/30))</f>
        <v>5.2345072497027907</v>
      </c>
      <c r="BE204" s="173">
        <f ca="1">(VLOOKUP(BE$72,INDIRECT($C$5&amp;"生成成长"),2))/((VLOOKUP($B204,INDIRECT($B$5&amp;"生成成长"),4))/(VLOOKUP(BE$72,INDIRECT($C$5&amp;"生成成长"),5))*(VLOOKUP($B$5,标准坦克设计!$B$24:$U$30,MATCH("对"&amp;LEFT($C$5,2)&amp;"输出",标准坦克设计!$B$23:$U$23,0)))*(VLOOKUP($B204,INDIRECT($B$5&amp;"生成成长"),3))*(VLOOKUP($B$5,标准坦克设计!$B$14:$K$20,9)/30))</f>
        <v>5.7620375422689154</v>
      </c>
      <c r="BF204" s="173">
        <f ca="1">(VLOOKUP(BF$72,INDIRECT($C$5&amp;"生成成长"),2))/((VLOOKUP($B204,INDIRECT($B$5&amp;"生成成长"),4))/(VLOOKUP(BF$72,INDIRECT($C$5&amp;"生成成长"),5))*(VLOOKUP($B$5,标准坦克设计!$B$24:$U$30,MATCH("对"&amp;LEFT($C$5,2)&amp;"输出",标准坦克设计!$B$23:$U$23,0)))*(VLOOKUP($B204,INDIRECT($B$5&amp;"生成成长"),3))*(VLOOKUP($B$5,标准坦克设计!$B$14:$K$20,9)/30))</f>
        <v>6.314889288878212</v>
      </c>
      <c r="BG204" s="173">
        <f ca="1">(VLOOKUP(BG$72,INDIRECT($C$5&amp;"生成成长"),2))/((VLOOKUP($B204,INDIRECT($B$5&amp;"生成成长"),4))/(VLOOKUP(BG$72,INDIRECT($C$5&amp;"生成成长"),5))*(VLOOKUP($B$5,标准坦克设计!$B$24:$U$30,MATCH("对"&amp;LEFT($C$5,2)&amp;"输出",标准坦克设计!$B$23:$U$23,0)))*(VLOOKUP($B204,INDIRECT($B$5&amp;"生成成长"),3))*(VLOOKUP($B$5,标准坦克设计!$B$14:$K$20,9)/30))</f>
        <v>6.8930624895306849</v>
      </c>
      <c r="BH204" s="173">
        <f ca="1">(VLOOKUP(BH$72,INDIRECT($C$5&amp;"生成成长"),2))/((VLOOKUP($B204,INDIRECT($B$5&amp;"生成成长"),4))/(VLOOKUP(BH$72,INDIRECT($C$5&amp;"生成成长"),5))*(VLOOKUP($B$5,标准坦克设计!$B$24:$U$30,MATCH("对"&amp;LEFT($C$5,2)&amp;"输出",标准坦克设计!$B$23:$U$23,0)))*(VLOOKUP($B204,INDIRECT($B$5&amp;"生成成长"),3))*(VLOOKUP($B$5,标准坦克设计!$B$14:$K$20,9)/30))</f>
        <v>3.3318031752117014</v>
      </c>
      <c r="BI204" s="173">
        <f ca="1">(VLOOKUP(BI$72,INDIRECT($C$5&amp;"生成成长"),2))/((VLOOKUP($B204,INDIRECT($B$5&amp;"生成成长"),4))/(VLOOKUP(BI$72,INDIRECT($C$5&amp;"生成成长"),5))*(VLOOKUP($B$5,标准坦克设计!$B$24:$U$30,MATCH("对"&amp;LEFT($C$5,2)&amp;"输出",标准坦克设计!$B$23:$U$23,0)))*(VLOOKUP($B204,INDIRECT($B$5&amp;"生成成长"),3))*(VLOOKUP($B$5,标准坦克设计!$B$14:$K$20,9)/30))</f>
        <v>3.7552341567114436</v>
      </c>
      <c r="BJ204" s="173">
        <f ca="1">(VLOOKUP(BJ$72,INDIRECT($C$5&amp;"生成成长"),2))/((VLOOKUP($B204,INDIRECT($B$5&amp;"生成成长"),4))/(VLOOKUP(BJ$72,INDIRECT($C$5&amp;"生成成长"),5))*(VLOOKUP($B$5,标准坦克设计!$B$24:$U$30,MATCH("对"&amp;LEFT($C$5,2)&amp;"输出",标准坦克设计!$B$23:$U$23,0)))*(VLOOKUP($B204,INDIRECT($B$5&amp;"生成成长"),3))*(VLOOKUP($B$5,标准坦克设计!$B$14:$K$20,9)/30))</f>
        <v>4.2039865922543589</v>
      </c>
      <c r="BK204" s="173">
        <f ca="1">(VLOOKUP(BK$72,INDIRECT($C$5&amp;"生成成长"),2))/((VLOOKUP($B204,INDIRECT($B$5&amp;"生成成长"),4))/(VLOOKUP(BK$72,INDIRECT($C$5&amp;"生成成长"),5))*(VLOOKUP($B$5,标准坦克设计!$B$24:$U$30,MATCH("对"&amp;LEFT($C$5,2)&amp;"输出",标准坦克设计!$B$23:$U$23,0)))*(VLOOKUP($B204,INDIRECT($B$5&amp;"生成成长"),3))*(VLOOKUP($B$5,标准坦克设计!$B$14:$K$20,9)/30))</f>
        <v>4.6780604818404488</v>
      </c>
      <c r="BL204" s="173">
        <f ca="1">(VLOOKUP(BL$72,INDIRECT($C$5&amp;"生成成长"),2))/((VLOOKUP($B204,INDIRECT($B$5&amp;"生成成长"),4))/(VLOOKUP(BL$72,INDIRECT($C$5&amp;"生成成长"),5))*(VLOOKUP($B$5,标准坦克设计!$B$24:$U$30,MATCH("对"&amp;LEFT($C$5,2)&amp;"输出",标准坦克设计!$B$23:$U$23,0)))*(VLOOKUP($B204,INDIRECT($B$5&amp;"生成成长"),3))*(VLOOKUP($B$5,标准坦克设计!$B$14:$K$20,9)/30))</f>
        <v>5.1774558254697132</v>
      </c>
      <c r="BM204" s="173">
        <f ca="1">(VLOOKUP(BM$72,INDIRECT($C$5&amp;"生成成长"),2))/((VLOOKUP($B204,INDIRECT($B$5&amp;"生成成长"),4))/(VLOOKUP(BM$72,INDIRECT($C$5&amp;"生成成长"),5))*(VLOOKUP($B$5,标准坦克设计!$B$24:$U$30,MATCH("对"&amp;LEFT($C$5,2)&amp;"输出",标准坦克设计!$B$23:$U$23,0)))*(VLOOKUP($B204,INDIRECT($B$5&amp;"生成成长"),3))*(VLOOKUP($B$5,标准坦克设计!$B$14:$K$20,9)/30))</f>
        <v>5.7021726231421512</v>
      </c>
      <c r="BN204" s="173">
        <f ca="1">(VLOOKUP(BN$72,INDIRECT($C$5&amp;"生成成长"),2))/((VLOOKUP($B204,INDIRECT($B$5&amp;"生成成长"),4))/(VLOOKUP(BN$72,INDIRECT($C$5&amp;"生成成长"),5))*(VLOOKUP($B$5,标准坦克设计!$B$24:$U$30,MATCH("对"&amp;LEFT($C$5,2)&amp;"输出",标准坦克设计!$B$23:$U$23,0)))*(VLOOKUP($B204,INDIRECT($B$5&amp;"生成成长"),3))*(VLOOKUP($B$5,标准坦克设计!$B$14:$K$20,9)/30))</f>
        <v>6.2522108748577621</v>
      </c>
      <c r="BO204" s="173">
        <f ca="1">(VLOOKUP(BO$72,INDIRECT($C$5&amp;"生成成长"),2))/((VLOOKUP($B204,INDIRECT($B$5&amp;"生成成长"),4))/(VLOOKUP(BO$72,INDIRECT($C$5&amp;"生成成长"),5))*(VLOOKUP($B$5,标准坦克设计!$B$24:$U$30,MATCH("对"&amp;LEFT($C$5,2)&amp;"输出",标准坦克设计!$B$23:$U$23,0)))*(VLOOKUP($B204,INDIRECT($B$5&amp;"生成成长"),3))*(VLOOKUP($B$5,标准坦克设计!$B$14:$K$20,9)/30))</f>
        <v>6.8275705806165492</v>
      </c>
      <c r="BP204" s="173">
        <f ca="1">(VLOOKUP(BP$72,INDIRECT($C$5&amp;"生成成长"),2))/((VLOOKUP($B204,INDIRECT($B$5&amp;"生成成长"),4))/(VLOOKUP(BP$72,INDIRECT($C$5&amp;"生成成长"),5))*(VLOOKUP($B$5,标准坦克设计!$B$24:$U$30,MATCH("对"&amp;LEFT($C$5,2)&amp;"输出",标准坦克设计!$B$23:$U$23,0)))*(VLOOKUP($B204,INDIRECT($B$5&amp;"生成成长"),3))*(VLOOKUP($B$5,标准坦克设计!$B$14:$K$20,9)/30))</f>
        <v>7.4282517404185082</v>
      </c>
      <c r="BQ204" s="173">
        <f ca="1">(VLOOKUP(BQ$72,INDIRECT($C$5&amp;"生成成长"),2))/((VLOOKUP($B204,INDIRECT($B$5&amp;"生成成长"),4))/(VLOOKUP(BQ$72,INDIRECT($C$5&amp;"生成成长"),5))*(VLOOKUP($B$5,标准坦克设计!$B$24:$U$30,MATCH("对"&amp;LEFT($C$5,2)&amp;"输出",标准坦克设计!$B$23:$U$23,0)))*(VLOOKUP($B204,INDIRECT($B$5&amp;"生成成长"),3))*(VLOOKUP($B$5,标准坦克设计!$B$14:$K$20,9)/30))</f>
        <v>8.0542543542636409</v>
      </c>
      <c r="BR204" s="173">
        <f ca="1">(VLOOKUP(BR$72,INDIRECT($C$5&amp;"生成成长"),2))/((VLOOKUP($B204,INDIRECT($B$5&amp;"生成成长"),4))/(VLOOKUP(BR$72,INDIRECT($C$5&amp;"生成成长"),5))*(VLOOKUP($B$5,标准坦克设计!$B$24:$U$30,MATCH("对"&amp;LEFT($C$5,2)&amp;"输出",标准坦克设计!$B$23:$U$23,0)))*(VLOOKUP($B204,INDIRECT($B$5&amp;"生成成长"),3))*(VLOOKUP($B$5,标准坦克设计!$B$14:$K$20,9)/30))</f>
        <v>8.7795108157471429</v>
      </c>
      <c r="BS204" s="173">
        <f ca="1">(VLOOKUP(BS$72,INDIRECT($C$5&amp;"生成成长"),2))/((VLOOKUP($B204,INDIRECT($B$5&amp;"生成成长"),4))/(VLOOKUP(BS$72,INDIRECT($C$5&amp;"生成成长"),5))*(VLOOKUP($B$5,标准坦克设计!$B$24:$U$30,MATCH("对"&amp;LEFT($C$5,2)&amp;"输出",标准坦克设计!$B$23:$U$23,0)))*(VLOOKUP($B204,INDIRECT($B$5&amp;"生成成长"),3))*(VLOOKUP($B$5,标准坦克设计!$B$14:$K$20,9)/30))</f>
        <v>9.5360283316049319</v>
      </c>
      <c r="BT204" s="173">
        <f ca="1">(VLOOKUP(BT$72,INDIRECT($C$5&amp;"生成成长"),2))/((VLOOKUP($B204,INDIRECT($B$5&amp;"生成成长"),4))/(VLOOKUP(BT$72,INDIRECT($C$5&amp;"生成成长"),5))*(VLOOKUP($B$5,标准坦克设计!$B$24:$U$30,MATCH("对"&amp;LEFT($C$5,2)&amp;"输出",标准坦克设计!$B$23:$U$23,0)))*(VLOOKUP($B204,INDIRECT($B$5&amp;"生成成长"),3))*(VLOOKUP($B$5,标准坦克设计!$B$14:$K$20,9)/30))</f>
        <v>10.32380690183701</v>
      </c>
      <c r="BU204" s="173">
        <f ca="1">(VLOOKUP(BU$72,INDIRECT($C$5&amp;"生成成长"),2))/((VLOOKUP($B204,INDIRECT($B$5&amp;"生成成长"),4))/(VLOOKUP(BU$72,INDIRECT($C$5&amp;"生成成长"),5))*(VLOOKUP($B$5,标准坦克设计!$B$24:$U$30,MATCH("对"&amp;LEFT($C$5,2)&amp;"输出",标准坦克设计!$B$23:$U$23,0)))*(VLOOKUP($B204,INDIRECT($B$5&amp;"生成成长"),3))*(VLOOKUP($B$5,标准坦克设计!$B$14:$K$20,9)/30))</f>
        <v>11.142846526443376</v>
      </c>
      <c r="BV204" s="173">
        <f ca="1">(VLOOKUP(BV$72,INDIRECT($C$5&amp;"生成成长"),2))/((VLOOKUP($B204,INDIRECT($B$5&amp;"生成成长"),4))/(VLOOKUP(BV$72,INDIRECT($C$5&amp;"生成成长"),5))*(VLOOKUP($B$5,标准坦克设计!$B$24:$U$30,MATCH("对"&amp;LEFT($C$5,2)&amp;"输出",标准坦克设计!$B$23:$U$23,0)))*(VLOOKUP($B204,INDIRECT($B$5&amp;"生成成长"),3))*(VLOOKUP($B$5,标准坦克设计!$B$14:$K$20,9)/30))</f>
        <v>11.993147205424032</v>
      </c>
      <c r="BW204" s="173">
        <f ca="1">(VLOOKUP(BW$72,INDIRECT($C$5&amp;"生成成长"),2))/((VLOOKUP($B204,INDIRECT($B$5&amp;"生成成长"),4))/(VLOOKUP(BW$72,INDIRECT($C$5&amp;"生成成长"),5))*(VLOOKUP($B$5,标准坦克设计!$B$24:$U$30,MATCH("对"&amp;LEFT($C$5,2)&amp;"输出",标准坦克设计!$B$23:$U$23,0)))*(VLOOKUP($B204,INDIRECT($B$5&amp;"生成成长"),3))*(VLOOKUP($B$5,标准坦克设计!$B$14:$K$20,9)/30))</f>
        <v>5.4658390520725275</v>
      </c>
      <c r="BX204" s="173">
        <f ca="1">(VLOOKUP(BX$72,INDIRECT($C$5&amp;"生成成长"),2))/((VLOOKUP($B204,INDIRECT($B$5&amp;"生成成长"),4))/(VLOOKUP(BX$72,INDIRECT($C$5&amp;"生成成长"),5))*(VLOOKUP($B$5,标准坦克设计!$B$24:$U$30,MATCH("对"&amp;LEFT($C$5,2)&amp;"输出",标准坦克设计!$B$23:$U$23,0)))*(VLOOKUP($B204,INDIRECT($B$5&amp;"生成成长"),3))*(VLOOKUP($B$5,标准坦克设计!$B$14:$K$20,9)/30))</f>
        <v>6.0660512960588733</v>
      </c>
      <c r="BY204" s="173">
        <f ca="1">(VLOOKUP(BY$72,INDIRECT($C$5&amp;"生成成长"),2))/((VLOOKUP($B204,INDIRECT($B$5&amp;"生成成长"),4))/(VLOOKUP(BY$72,INDIRECT($C$5&amp;"生成成长"),5))*(VLOOKUP($B$5,标准坦克设计!$B$24:$U$30,MATCH("对"&amp;LEFT($C$5,2)&amp;"输出",标准坦克设计!$B$23:$U$23,0)))*(VLOOKUP($B204,INDIRECT($B$5&amp;"生成成长"),3))*(VLOOKUP($B$5,标准坦克设计!$B$14:$K$20,9)/30))</f>
        <v>6.6975245944195061</v>
      </c>
      <c r="BZ204" s="173">
        <f ca="1">(VLOOKUP(BZ$72,INDIRECT($C$5&amp;"生成成长"),2))/((VLOOKUP($B204,INDIRECT($B$5&amp;"生成成长"),4))/(VLOOKUP(BZ$72,INDIRECT($C$5&amp;"生成成长"),5))*(VLOOKUP($B$5,标准坦克设计!$B$24:$U$30,MATCH("对"&amp;LEFT($C$5,2)&amp;"输出",标准坦克设计!$B$23:$U$23,0)))*(VLOOKUP($B204,INDIRECT($B$5&amp;"生成成长"),3))*(VLOOKUP($B$5,标准坦克设计!$B$14:$K$20,9)/30))</f>
        <v>7.3602589471544295</v>
      </c>
      <c r="CA204" s="173">
        <f ca="1">(VLOOKUP(CA$72,INDIRECT($C$5&amp;"生成成长"),2))/((VLOOKUP($B204,INDIRECT($B$5&amp;"生成成长"),4))/(VLOOKUP(CA$72,INDIRECT($C$5&amp;"生成成长"),5))*(VLOOKUP($B$5,标准坦克设计!$B$24:$U$30,MATCH("对"&amp;LEFT($C$5,2)&amp;"输出",标准坦克设计!$B$23:$U$23,0)))*(VLOOKUP($B204,INDIRECT($B$5&amp;"生成成长"),3))*(VLOOKUP($B$5,标准坦克设计!$B$14:$K$20,9)/30))</f>
        <v>8.0542543542636409</v>
      </c>
      <c r="CB204" s="173">
        <f ca="1">(VLOOKUP(CB$72,INDIRECT($C$5&amp;"生成成长"),2))/((VLOOKUP($B204,INDIRECT($B$5&amp;"生成成长"),4))/(VLOOKUP(CB$72,INDIRECT($C$5&amp;"生成成长"),5))*(VLOOKUP($B$5,标准坦克设计!$B$24:$U$30,MATCH("对"&amp;LEFT($C$5,2)&amp;"输出",标准坦克设计!$B$23:$U$23,0)))*(VLOOKUP($B204,INDIRECT($B$5&amp;"生成成长"),3))*(VLOOKUP($B$5,标准坦克设计!$B$14:$K$20,9)/30))</f>
        <v>8.7795108157471429</v>
      </c>
      <c r="CC204" s="173">
        <f ca="1">(VLOOKUP(CC$72,INDIRECT($C$5&amp;"生成成长"),2))/((VLOOKUP($B204,INDIRECT($B$5&amp;"生成成长"),4))/(VLOOKUP(CC$72,INDIRECT($C$5&amp;"生成成长"),5))*(VLOOKUP($B$5,标准坦克设计!$B$24:$U$30,MATCH("对"&amp;LEFT($C$5,2)&amp;"输出",标准坦克设计!$B$23:$U$23,0)))*(VLOOKUP($B204,INDIRECT($B$5&amp;"生成成长"),3))*(VLOOKUP($B$5,标准坦克设计!$B$14:$K$20,9)/30))</f>
        <v>9.5360283316049319</v>
      </c>
      <c r="CD204" s="173">
        <f ca="1">(VLOOKUP(CD$72,INDIRECT($C$5&amp;"生成成长"),2))/((VLOOKUP($B204,INDIRECT($B$5&amp;"生成成长"),4))/(VLOOKUP(CD$72,INDIRECT($C$5&amp;"生成成长"),5))*(VLOOKUP($B$5,标准坦克设计!$B$24:$U$30,MATCH("对"&amp;LEFT($C$5,2)&amp;"输出",标准坦克设计!$B$23:$U$23,0)))*(VLOOKUP($B204,INDIRECT($B$5&amp;"生成成长"),3))*(VLOOKUP($B$5,标准坦克设计!$B$14:$K$20,9)/30))</f>
        <v>10.32380690183701</v>
      </c>
      <c r="CE204" s="173">
        <f ca="1">(VLOOKUP(CE$72,INDIRECT($C$5&amp;"生成成长"),2))/((VLOOKUP($B204,INDIRECT($B$5&amp;"生成成长"),4))/(VLOOKUP(CE$72,INDIRECT($C$5&amp;"生成成长"),5))*(VLOOKUP($B$5,标准坦克设计!$B$24:$U$30,MATCH("对"&amp;LEFT($C$5,2)&amp;"输出",标准坦克设计!$B$23:$U$23,0)))*(VLOOKUP($B204,INDIRECT($B$5&amp;"生成成长"),3))*(VLOOKUP($B$5,标准坦克设计!$B$14:$K$20,9)/30))</f>
        <v>11.142846526443376</v>
      </c>
      <c r="CF204" s="173">
        <f ca="1">(VLOOKUP(CF$72,INDIRECT($C$5&amp;"生成成长"),2))/((VLOOKUP($B204,INDIRECT($B$5&amp;"生成成长"),4))/(VLOOKUP(CF$72,INDIRECT($C$5&amp;"生成成长"),5))*(VLOOKUP($B$5,标准坦克设计!$B$24:$U$30,MATCH("对"&amp;LEFT($C$5,2)&amp;"输出",标准坦克设计!$B$23:$U$23,0)))*(VLOOKUP($B204,INDIRECT($B$5&amp;"生成成长"),3))*(VLOOKUP($B$5,标准坦克设计!$B$14:$K$20,9)/30))</f>
        <v>11.993147205424032</v>
      </c>
      <c r="CG204" s="173">
        <f ca="1">(VLOOKUP(CG$72,INDIRECT($C$5&amp;"生成成长"),2))/((VLOOKUP($B204,INDIRECT($B$5&amp;"生成成长"),4))/(VLOOKUP(CG$72,INDIRECT($C$5&amp;"生成成长"),5))*(VLOOKUP($B$5,标准坦克设计!$B$24:$U$30,MATCH("对"&amp;LEFT($C$5,2)&amp;"输出",标准坦克设计!$B$23:$U$23,0)))*(VLOOKUP($B204,INDIRECT($B$5&amp;"生成成长"),3))*(VLOOKUP($B$5,标准坦克设计!$B$14:$K$20,9)/30))</f>
        <v>12.874708938778976</v>
      </c>
      <c r="CH204" s="173">
        <f ca="1">(VLOOKUP(CH$72,INDIRECT($C$5&amp;"生成成长"),2))/((VLOOKUP($B204,INDIRECT($B$5&amp;"生成成长"),4))/(VLOOKUP(CH$72,INDIRECT($C$5&amp;"生成成长"),5))*(VLOOKUP($B$5,标准坦克设计!$B$24:$U$30,MATCH("对"&amp;LEFT($C$5,2)&amp;"输出",标准坦克设计!$B$23:$U$23,0)))*(VLOOKUP($B204,INDIRECT($B$5&amp;"生成成长"),3))*(VLOOKUP($B$5,标准坦克设计!$B$14:$K$20,9)/30))</f>
        <v>13.78753172650821</v>
      </c>
      <c r="CI204" s="173">
        <f ca="1">(VLOOKUP(CI$72,INDIRECT($C$5&amp;"生成成长"),2))/((VLOOKUP($B204,INDIRECT($B$5&amp;"生成成长"),4))/(VLOOKUP(CI$72,INDIRECT($C$5&amp;"生成成长"),5))*(VLOOKUP($B$5,标准坦克设计!$B$24:$U$30,MATCH("对"&amp;LEFT($C$5,2)&amp;"输出",标准坦克设计!$B$23:$U$23,0)))*(VLOOKUP($B204,INDIRECT($B$5&amp;"生成成长"),3))*(VLOOKUP($B$5,标准坦克设计!$B$14:$K$20,9)/30))</f>
        <v>14.82774331081267</v>
      </c>
      <c r="CJ204" s="173">
        <f ca="1">(VLOOKUP(CJ$72,INDIRECT($C$5&amp;"生成成长"),2))/((VLOOKUP($B204,INDIRECT($B$5&amp;"生成成长"),4))/(VLOOKUP(CJ$72,INDIRECT($C$5&amp;"生成成长"),5))*(VLOOKUP($B$5,标准坦克设计!$B$24:$U$30,MATCH("对"&amp;LEFT($C$5,2)&amp;"输出",标准坦克设计!$B$23:$U$23,0)))*(VLOOKUP($B204,INDIRECT($B$5&amp;"生成成长"),3))*(VLOOKUP($B$5,标准坦克设计!$B$14:$K$20,9)/30))</f>
        <v>15.90578077091002</v>
      </c>
      <c r="CK204" s="173">
        <f ca="1">(VLOOKUP(CK$72,INDIRECT($C$5&amp;"生成成长"),2))/((VLOOKUP($B204,INDIRECT($B$5&amp;"生成成长"),4))/(VLOOKUP(CK$72,INDIRECT($C$5&amp;"生成成长"),5))*(VLOOKUP($B$5,标准坦克设计!$B$24:$U$30,MATCH("对"&amp;LEFT($C$5,2)&amp;"输出",标准坦克设计!$B$23:$U$23,0)))*(VLOOKUP($B204,INDIRECT($B$5&amp;"生成成长"),3))*(VLOOKUP($B$5,标准坦克设计!$B$14:$K$20,9)/30))</f>
        <v>17.02164410680026</v>
      </c>
      <c r="CL204" s="173">
        <f ca="1">(VLOOKUP(CL$72,INDIRECT($C$5&amp;"生成成长"),2))/((VLOOKUP($B204,INDIRECT($B$5&amp;"生成成长"),4))/(VLOOKUP(CL$72,INDIRECT($C$5&amp;"生成成长"),5))*(VLOOKUP($B$5,标准坦克设计!$B$24:$U$30,MATCH("对"&amp;LEFT($C$5,2)&amp;"输出",标准坦克设计!$B$23:$U$23,0)))*(VLOOKUP($B204,INDIRECT($B$5&amp;"生成成长"),3))*(VLOOKUP($B$5,标准坦克设计!$B$14:$K$20,9)/30))</f>
        <v>18.175333318483386</v>
      </c>
      <c r="CM204" s="173">
        <f ca="1">(VLOOKUP(CM$72,INDIRECT($C$5&amp;"生成成长"),2))/((VLOOKUP($B204,INDIRECT($B$5&amp;"生成成长"),4))/(VLOOKUP(CM$72,INDIRECT($C$5&amp;"生成成长"),5))*(VLOOKUP($B$5,标准坦克设计!$B$24:$U$30,MATCH("对"&amp;LEFT($C$5,2)&amp;"输出",标准坦克设计!$B$23:$U$23,0)))*(VLOOKUP($B204,INDIRECT($B$5&amp;"生成成长"),3))*(VLOOKUP($B$5,标准坦克设计!$B$14:$K$20,9)/30))</f>
        <v>19.366848405959406</v>
      </c>
      <c r="CN204" s="173">
        <f ca="1">(VLOOKUP(CN$72,INDIRECT($C$5&amp;"生成成长"),2))/((VLOOKUP($B204,INDIRECT($B$5&amp;"生成成长"),4))/(VLOOKUP(CN$72,INDIRECT($C$5&amp;"生成成长"),5))*(VLOOKUP($B$5,标准坦克设计!$B$24:$U$30,MATCH("对"&amp;LEFT($C$5,2)&amp;"输出",标准坦克设计!$B$23:$U$23,0)))*(VLOOKUP($B204,INDIRECT($B$5&amp;"生成成长"),3))*(VLOOKUP($B$5,标准坦克设计!$B$14:$K$20,9)/30))</f>
        <v>20.596189369228316</v>
      </c>
      <c r="CO204" s="173">
        <f ca="1">(VLOOKUP(CO$72,INDIRECT($C$5&amp;"生成成长"),2))/((VLOOKUP($B204,INDIRECT($B$5&amp;"生成成长"),4))/(VLOOKUP(CO$72,INDIRECT($C$5&amp;"生成成长"),5))*(VLOOKUP($B$5,标准坦克设计!$B$24:$U$30,MATCH("对"&amp;LEFT($C$5,2)&amp;"输出",标准坦克设计!$B$23:$U$23,0)))*(VLOOKUP($B204,INDIRECT($B$5&amp;"生成成长"),3))*(VLOOKUP($B$5,标准坦克设计!$B$14:$K$20,9)/30))</f>
        <v>9.2296699987369024</v>
      </c>
      <c r="CP204" s="173">
        <f ca="1">(VLOOKUP(CP$72,INDIRECT($C$5&amp;"生成成长"),2))/((VLOOKUP($B204,INDIRECT($B$5&amp;"生成成长"),4))/(VLOOKUP(CP$72,INDIRECT($C$5&amp;"生成成长"),5))*(VLOOKUP($B$5,标准坦克设计!$B$24:$U$30,MATCH("对"&amp;LEFT($C$5,2)&amp;"输出",标准坦克设计!$B$23:$U$23,0)))*(VLOOKUP($B204,INDIRECT($B$5&amp;"生成成长"),3))*(VLOOKUP($B$5,标准坦克设计!$B$14:$K$20,9)/30))</f>
        <v>10.084190920058088</v>
      </c>
      <c r="CQ204" s="173">
        <f ca="1">(VLOOKUP(CQ$72,INDIRECT($C$5&amp;"生成成长"),2))/((VLOOKUP($B204,INDIRECT($B$5&amp;"生成成长"),4))/(VLOOKUP(CQ$72,INDIRECT($C$5&amp;"生成成长"),5))*(VLOOKUP($B$5,标准坦克设计!$B$24:$U$30,MATCH("对"&amp;LEFT($C$5,2)&amp;"输出",标准坦克设计!$B$23:$U$23,0)))*(VLOOKUP($B204,INDIRECT($B$5&amp;"生成成长"),3))*(VLOOKUP($B$5,标准坦克设计!$B$14:$K$20,9)/30))</f>
        <v>10.976537717172159</v>
      </c>
      <c r="CR204" s="173">
        <f ca="1">(VLOOKUP(CR$72,INDIRECT($C$5&amp;"生成成长"),2))/((VLOOKUP($B204,INDIRECT($B$5&amp;"生成成长"),4))/(VLOOKUP(CR$72,INDIRECT($C$5&amp;"生成成长"),5))*(VLOOKUP($B$5,标准坦克设计!$B$24:$U$30,MATCH("对"&amp;LEFT($C$5,2)&amp;"输出",标准坦克设计!$B$23:$U$23,0)))*(VLOOKUP($B204,INDIRECT($B$5&amp;"生成成长"),3))*(VLOOKUP($B$5,标准坦克设计!$B$14:$K$20,9)/30))</f>
        <v>11.906710390079123</v>
      </c>
      <c r="CS204" s="173">
        <f ca="1">(VLOOKUP(CS$72,INDIRECT($C$5&amp;"生成成长"),2))/((VLOOKUP($B204,INDIRECT($B$5&amp;"生成成长"),4))/(VLOOKUP(CS$72,INDIRECT($C$5&amp;"生成成长"),5))*(VLOOKUP($B$5,标准坦克设计!$B$24:$U$30,MATCH("对"&amp;LEFT($C$5,2)&amp;"输出",标准坦克设计!$B$23:$U$23,0)))*(VLOOKUP($B204,INDIRECT($B$5&amp;"生成成长"),3))*(VLOOKUP($B$5,标准坦克设计!$B$14:$K$20,9)/30))</f>
        <v>12.874708938778976</v>
      </c>
      <c r="CT204" s="173">
        <f ca="1">(VLOOKUP(CT$72,INDIRECT($C$5&amp;"生成成长"),2))/((VLOOKUP($B204,INDIRECT($B$5&amp;"生成成长"),4))/(VLOOKUP(CT$72,INDIRECT($C$5&amp;"生成成长"),5))*(VLOOKUP($B$5,标准坦克设计!$B$24:$U$30,MATCH("对"&amp;LEFT($C$5,2)&amp;"输出",标准坦克设计!$B$23:$U$23,0)))*(VLOOKUP($B204,INDIRECT($B$5&amp;"生成成长"),3))*(VLOOKUP($B$5,标准坦克设计!$B$14:$K$20,9)/30))</f>
        <v>13.88053336327172</v>
      </c>
      <c r="CU204" s="173">
        <f ca="1">(VLOOKUP(CU$72,INDIRECT($C$5&amp;"生成成长"),2))/((VLOOKUP($B204,INDIRECT($B$5&amp;"生成成长"),4))/(VLOOKUP(CU$72,INDIRECT($C$5&amp;"生成成长"),5))*(VLOOKUP($B$5,标准坦克设计!$B$24:$U$30,MATCH("对"&amp;LEFT($C$5,2)&amp;"输出",标准坦克设计!$B$23:$U$23,0)))*(VLOOKUP($B204,INDIRECT($B$5&amp;"生成成长"),3))*(VLOOKUP($B$5,标准坦克设计!$B$14:$K$20,9)/30))</f>
        <v>14.924183663557352</v>
      </c>
      <c r="CV204" s="173">
        <f ca="1">(VLOOKUP(CV$72,INDIRECT($C$5&amp;"生成成长"),2))/((VLOOKUP($B204,INDIRECT($B$5&amp;"生成成长"),4))/(VLOOKUP(CV$72,INDIRECT($C$5&amp;"生成成长"),5))*(VLOOKUP($B$5,标准坦克设计!$B$24:$U$30,MATCH("对"&amp;LEFT($C$5,2)&amp;"输出",标准坦克设计!$B$23:$U$23,0)))*(VLOOKUP($B204,INDIRECT($B$5&amp;"生成成长"),3))*(VLOOKUP($B$5,标准坦克设计!$B$14:$K$20,9)/30))</f>
        <v>16.005659839635872</v>
      </c>
      <c r="CW204" s="173">
        <f ca="1">(VLOOKUP(CW$72,INDIRECT($C$5&amp;"生成成长"),2))/((VLOOKUP($B204,INDIRECT($B$5&amp;"生成成长"),4))/(VLOOKUP(CW$72,INDIRECT($C$5&amp;"生成成长"),5))*(VLOOKUP($B$5,标准坦克设计!$B$24:$U$30,MATCH("对"&amp;LEFT($C$5,2)&amp;"输出",标准坦克设计!$B$23:$U$23,0)))*(VLOOKUP($B204,INDIRECT($B$5&amp;"生成成长"),3))*(VLOOKUP($B$5,标准坦克设计!$B$14:$K$20,9)/30))</f>
        <v>17.124961891507283</v>
      </c>
      <c r="CX204" s="173">
        <f ca="1">(VLOOKUP(CX$72,INDIRECT($C$5&amp;"生成成长"),2))/((VLOOKUP($B204,INDIRECT($B$5&amp;"生成成长"),4))/(VLOOKUP(CX$72,INDIRECT($C$5&amp;"生成成长"),5))*(VLOOKUP($B$5,标准坦克设计!$B$24:$U$30,MATCH("对"&amp;LEFT($C$5,2)&amp;"输出",标准坦克设计!$B$23:$U$23,0)))*(VLOOKUP($B204,INDIRECT($B$5&amp;"生成成长"),3))*(VLOOKUP($B$5,标准坦克设计!$B$14:$K$20,9)/30))</f>
        <v>18.282089819171585</v>
      </c>
      <c r="CY204" s="173">
        <f ca="1">(VLOOKUP(CY$72,INDIRECT($C$5&amp;"生成成长"),2))/((VLOOKUP($B204,INDIRECT($B$5&amp;"生成成长"),4))/(VLOOKUP(CY$72,INDIRECT($C$5&amp;"生成成长"),5))*(VLOOKUP($B$5,标准坦克设计!$B$24:$U$30,MATCH("对"&amp;LEFT($C$5,2)&amp;"输出",标准坦克设计!$B$23:$U$23,0)))*(VLOOKUP($B204,INDIRECT($B$5&amp;"生成成长"),3))*(VLOOKUP($B$5,标准坦克设计!$B$14:$K$20,9)/30))</f>
        <v>19.477043622628774</v>
      </c>
      <c r="CZ204" s="173">
        <f ca="1">(VLOOKUP(CZ$72,INDIRECT($C$5&amp;"生成成长"),2))/((VLOOKUP($B204,INDIRECT($B$5&amp;"生成成长"),4))/(VLOOKUP(CZ$72,INDIRECT($C$5&amp;"生成成长"),5))*(VLOOKUP($B$5,标准坦克设计!$B$24:$U$30,MATCH("对"&amp;LEFT($C$5,2)&amp;"输出",标准坦克设计!$B$23:$U$23,0)))*(VLOOKUP($B204,INDIRECT($B$5&amp;"生成成长"),3))*(VLOOKUP($B$5,标准坦克设计!$B$14:$K$20,9)/30))</f>
        <v>20.709823301878853</v>
      </c>
      <c r="DA204" s="173">
        <f ca="1">(VLOOKUP(DA$72,INDIRECT($C$5&amp;"生成成长"),2))/((VLOOKUP($B204,INDIRECT($B$5&amp;"生成成长"),4))/(VLOOKUP(DA$72,INDIRECT($C$5&amp;"生成成长"),5))*(VLOOKUP($B$5,标准坦克设计!$B$24:$U$30,MATCH("对"&amp;LEFT($C$5,2)&amp;"输出",标准坦克设计!$B$23:$U$23,0)))*(VLOOKUP($B204,INDIRECT($B$5&amp;"生成成长"),3))*(VLOOKUP($B$5,标准坦克设计!$B$14:$K$20,9)/30))</f>
        <v>21.980428856921819</v>
      </c>
      <c r="DB204" s="173">
        <f ca="1">(VLOOKUP(DB$72,INDIRECT($C$5&amp;"生成成长"),2))/((VLOOKUP($B204,INDIRECT($B$5&amp;"生成成长"),4))/(VLOOKUP(DB$72,INDIRECT($C$5&amp;"生成成长"),5))*(VLOOKUP($B$5,标准坦克设计!$B$24:$U$30,MATCH("对"&amp;LEFT($C$5,2)&amp;"输出",标准坦克设计!$B$23:$U$23,0)))*(VLOOKUP($B204,INDIRECT($B$5&amp;"生成成长"),3))*(VLOOKUP($B$5,标准坦克设计!$B$14:$K$20,9)/30))</f>
        <v>23.288860287757686</v>
      </c>
      <c r="DC204" s="173">
        <f ca="1">(VLOOKUP(DC$72,INDIRECT($C$5&amp;"生成成长"),2))/((VLOOKUP($B204,INDIRECT($B$5&amp;"生成成长"),4))/(VLOOKUP(DC$72,INDIRECT($C$5&amp;"生成成长"),5))*(VLOOKUP($B$5,标准坦克设计!$B$24:$U$30,MATCH("对"&amp;LEFT($C$5,2)&amp;"输出",标准坦克设计!$B$23:$U$23,0)))*(VLOOKUP($B204,INDIRECT($B$5&amp;"生成成长"),3))*(VLOOKUP($B$5,标准坦克设计!$B$14:$K$20,9)/30))</f>
        <v>24.759380285524223</v>
      </c>
      <c r="DD204" s="173">
        <f ca="1">(VLOOKUP(DD$72,INDIRECT($C$5&amp;"生成成长"),2))/((VLOOKUP($B204,INDIRECT($B$5&amp;"生成成长"),4))/(VLOOKUP(DD$72,INDIRECT($C$5&amp;"生成成长"),5))*(VLOOKUP($B$5,标准坦克设计!$B$24:$U$30,MATCH("对"&amp;LEFT($C$5,2)&amp;"输出",标准坦克设计!$B$23:$U$23,0)))*(VLOOKUP($B204,INDIRECT($B$5&amp;"生成成长"),3))*(VLOOKUP($B$5,标准坦克设计!$B$14:$K$20,9)/30))</f>
        <v>26.27491620158975</v>
      </c>
      <c r="DE204" s="173">
        <f ca="1">(VLOOKUP(DE$72,INDIRECT($C$5&amp;"生成成长"),2))/((VLOOKUP($B204,INDIRECT($B$5&amp;"生成成长"),4))/(VLOOKUP(DE$72,INDIRECT($C$5&amp;"生成成长"),5))*(VLOOKUP($B$5,标准坦克设计!$B$24:$U$30,MATCH("对"&amp;LEFT($C$5,2)&amp;"输出",标准坦克设计!$B$23:$U$23,0)))*(VLOOKUP($B204,INDIRECT($B$5&amp;"生成成长"),3))*(VLOOKUP($B$5,标准坦克设计!$B$14:$K$20,9)/30))</f>
        <v>27.83546803595425</v>
      </c>
      <c r="DF204" s="173">
        <f ca="1">(VLOOKUP(DF$72,INDIRECT($C$5&amp;"生成成长"),2))/((VLOOKUP($B204,INDIRECT($B$5&amp;"生成成长"),4))/(VLOOKUP(DF$72,INDIRECT($C$5&amp;"生成成长"),5))*(VLOOKUP($B$5,标准坦克设计!$B$24:$U$30,MATCH("对"&amp;LEFT($C$5,2)&amp;"输出",标准坦克设计!$B$23:$U$23,0)))*(VLOOKUP($B204,INDIRECT($B$5&amp;"生成成长"),3))*(VLOOKUP($B$5,标准坦克设计!$B$14:$K$20,9)/30))</f>
        <v>29.441035788617718</v>
      </c>
      <c r="DG204" s="173">
        <f ca="1">(VLOOKUP(DG$72,INDIRECT($C$5&amp;"生成成长"),2))/((VLOOKUP($B204,INDIRECT($B$5&amp;"生成成长"),4))/(VLOOKUP(DG$72,INDIRECT($C$5&amp;"生成成长"),5))*(VLOOKUP($B$5,标准坦克设计!$B$24:$U$30,MATCH("对"&amp;LEFT($C$5,2)&amp;"输出",标准坦克设计!$B$23:$U$23,0)))*(VLOOKUP($B204,INDIRECT($B$5&amp;"生成成长"),3))*(VLOOKUP($B$5,标准坦克设计!$B$14:$K$20,9)/30))</f>
        <v>31.091619459580173</v>
      </c>
      <c r="DH204" s="173">
        <f ca="1">(VLOOKUP(DH$72,INDIRECT($C$5&amp;"生成成长"),2))/((VLOOKUP($B204,INDIRECT($B$5&amp;"生成成长"),4))/(VLOOKUP(DH$72,INDIRECT($C$5&amp;"生成成长"),5))*(VLOOKUP($B$5,标准坦克设计!$B$24:$U$30,MATCH("对"&amp;LEFT($C$5,2)&amp;"输出",标准坦克设计!$B$23:$U$23,0)))*(VLOOKUP($B204,INDIRECT($B$5&amp;"生成成长"),3))*(VLOOKUP($B$5,标准坦克设计!$B$14:$K$20,9)/30))</f>
        <v>32.7872190488416</v>
      </c>
      <c r="DI204" s="173">
        <f ca="1">(VLOOKUP(DI$72,INDIRECT($C$5&amp;"生成成长"),2))/((VLOOKUP($B204,INDIRECT($B$5&amp;"生成成长"),4))/(VLOOKUP(DI$72,INDIRECT($C$5&amp;"生成成长"),5))*(VLOOKUP($B$5,标准坦克设计!$B$24:$U$30,MATCH("对"&amp;LEFT($C$5,2)&amp;"输出",标准坦克设计!$B$23:$U$23,0)))*(VLOOKUP($B204,INDIRECT($B$5&amp;"生成成长"),3))*(VLOOKUP($B$5,标准坦克设计!$B$14:$K$20,9)/30))</f>
        <v>34.527834556401992</v>
      </c>
      <c r="DJ204" s="173">
        <f ca="1">(VLOOKUP(DJ$72,INDIRECT($C$5&amp;"生成成长"),2))/((VLOOKUP($B204,INDIRECT($B$5&amp;"生成成长"),4))/(VLOOKUP(DJ$72,INDIRECT($C$5&amp;"生成成长"),5))*(VLOOKUP($B$5,标准坦克设计!$B$24:$U$30,MATCH("对"&amp;LEFT($C$5,2)&amp;"输出",标准坦克设计!$B$23:$U$23,0)))*(VLOOKUP($B204,INDIRECT($B$5&amp;"生成成长"),3))*(VLOOKUP($B$5,标准坦克设计!$B$14:$K$20,9)/30))</f>
        <v>3.47013334081793</v>
      </c>
      <c r="DK204" s="173">
        <f ca="1">(VLOOKUP(DK$72,INDIRECT($C$5&amp;"生成成长"),2))/((VLOOKUP($B204,INDIRECT($B$5&amp;"生成成长"),4))/(VLOOKUP(DK$72,INDIRECT($C$5&amp;"生成成长"),5))*(VLOOKUP($B$5,标准坦克设计!$B$24:$U$30,MATCH("对"&amp;LEFT($C$5,2)&amp;"输出",标准坦克设计!$B$23:$U$23,0)))*(VLOOKUP($B204,INDIRECT($B$5&amp;"生成成长"),3))*(VLOOKUP($B$5,标准坦克设计!$B$14:$K$20,9)/30))</f>
        <v>3.9020048069987299</v>
      </c>
      <c r="DL204" s="173">
        <f ca="1">(VLOOKUP(DL$72,INDIRECT($C$5&amp;"生成成长"),2))/((VLOOKUP($B204,INDIRECT($B$5&amp;"生成成长"),4))/(VLOOKUP(DL$72,INDIRECT($C$5&amp;"生成成长"),5))*(VLOOKUP($B$5,标准坦克设计!$B$24:$U$30,MATCH("对"&amp;LEFT($C$5,2)&amp;"输出",标准坦克设计!$B$23:$U$23,0)))*(VLOOKUP($B204,INDIRECT($B$5&amp;"生成成长"),3))*(VLOOKUP($B$5,标准坦克设计!$B$14:$K$20,9)/30))</f>
        <v>4.3591977272227034</v>
      </c>
      <c r="DM204" s="173">
        <f ca="1">(VLOOKUP(DM$72,INDIRECT($C$5&amp;"生成成长"),2))/((VLOOKUP($B204,INDIRECT($B$5&amp;"生成成长"),4))/(VLOOKUP(DM$72,INDIRECT($C$5&amp;"生成成长"),5))*(VLOOKUP($B$5,标准坦克设计!$B$24:$U$30,MATCH("对"&amp;LEFT($C$5,2)&amp;"输出",标准坦克设计!$B$23:$U$23,0)))*(VLOOKUP($B204,INDIRECT($B$5&amp;"生成成长"),3))*(VLOOKUP($B$5,标准坦克设计!$B$14:$K$20,9)/30))</f>
        <v>4.8417121014898514</v>
      </c>
      <c r="DN204" s="173">
        <f ca="1">(VLOOKUP(DN$72,INDIRECT($C$5&amp;"生成成长"),2))/((VLOOKUP($B204,INDIRECT($B$5&amp;"生成成长"),4))/(VLOOKUP(DN$72,INDIRECT($C$5&amp;"生成成长"),5))*(VLOOKUP($B$5,标准坦克设计!$B$24:$U$30,MATCH("对"&amp;LEFT($C$5,2)&amp;"输出",标准坦克设计!$B$23:$U$23,0)))*(VLOOKUP($B204,INDIRECT($B$5&amp;"生成成长"),3))*(VLOOKUP($B$5,标准坦克设计!$B$14:$K$20,9)/30))</f>
        <v>5.3495479298001731</v>
      </c>
      <c r="DO204" s="173">
        <f ca="1">(VLOOKUP(DO$72,INDIRECT($C$5&amp;"生成成长"),2))/((VLOOKUP($B204,INDIRECT($B$5&amp;"生成成长"),4))/(VLOOKUP(DO$72,INDIRECT($C$5&amp;"生成成长"),5))*(VLOOKUP($B$5,标准坦克设计!$B$24:$U$30,MATCH("对"&amp;LEFT($C$5,2)&amp;"输出",标准坦克设计!$B$23:$U$23,0)))*(VLOOKUP($B204,INDIRECT($B$5&amp;"生成成长"),3))*(VLOOKUP($B$5,标准坦克设计!$B$14:$K$20,9)/30))</f>
        <v>5.8827052121536685</v>
      </c>
      <c r="DP204" s="173">
        <f ca="1">(VLOOKUP(DP$72,INDIRECT($C$5&amp;"生成成长"),2))/((VLOOKUP($B204,INDIRECT($B$5&amp;"生成成长"),4))/(VLOOKUP(DP$72,INDIRECT($C$5&amp;"生成成长"),5))*(VLOOKUP($B$5,标准坦克设计!$B$24:$U$30,MATCH("对"&amp;LEFT($C$5,2)&amp;"输出",标准坦克设计!$B$23:$U$23,0)))*(VLOOKUP($B204,INDIRECT($B$5&amp;"生成成长"),3))*(VLOOKUP($B$5,标准坦克设计!$B$14:$K$20,9)/30))</f>
        <v>6.4411839485503393</v>
      </c>
      <c r="DQ204" s="173">
        <f ca="1">(VLOOKUP(DQ$72,INDIRECT($C$5&amp;"生成成长"),2))/((VLOOKUP($B204,INDIRECT($B$5&amp;"生成成长"),4))/(VLOOKUP(DQ$72,INDIRECT($C$5&amp;"生成成长"),5))*(VLOOKUP($B$5,标准坦克设计!$B$24:$U$30,MATCH("对"&amp;LEFT($C$5,2)&amp;"输出",标准坦克设计!$B$23:$U$23,0)))*(VLOOKUP($B204,INDIRECT($B$5&amp;"生成成长"),3))*(VLOOKUP($B$5,标准坦克设计!$B$14:$K$20,9)/30))</f>
        <v>7.0249841389901819</v>
      </c>
      <c r="DR204" s="173">
        <f ca="1">(VLOOKUP(DR$72,INDIRECT($C$5&amp;"生成成长"),2))/((VLOOKUP($B204,INDIRECT($B$5&amp;"生成成长"),4))/(VLOOKUP(DR$72,INDIRECT($C$5&amp;"生成成长"),5))*(VLOOKUP($B$5,标准坦克设计!$B$24:$U$30,MATCH("对"&amp;LEFT($C$5,2)&amp;"输出",标准坦克设计!$B$23:$U$23,0)))*(VLOOKUP($B204,INDIRECT($B$5&amp;"生成成长"),3))*(VLOOKUP($B$5,标准坦克设计!$B$14:$K$20,9)/30))</f>
        <v>7.6341057834732009</v>
      </c>
      <c r="DS204" s="173">
        <f ca="1">(VLOOKUP(DS$72,INDIRECT($C$5&amp;"生成成长"),2))/((VLOOKUP($B204,INDIRECT($B$5&amp;"生成成长"),4))/(VLOOKUP(DS$72,INDIRECT($C$5&amp;"生成成长"),5))*(VLOOKUP($B$5,标准坦克设计!$B$24:$U$30,MATCH("对"&amp;LEFT($C$5,2)&amp;"输出",标准坦克设计!$B$23:$U$23,0)))*(VLOOKUP($B204,INDIRECT($B$5&amp;"生成成长"),3))*(VLOOKUP($B$5,标准坦克设计!$B$14:$K$20,9)/30))</f>
        <v>8.2685488819993918</v>
      </c>
      <c r="DT204" s="173">
        <f ca="1">(VLOOKUP(DT$72,INDIRECT($C$5&amp;"生成成长"),2))/((VLOOKUP($B204,INDIRECT($B$5&amp;"生成成长"),4))/(VLOOKUP(DT$72,INDIRECT($C$5&amp;"生成成长"),5))*(VLOOKUP($B$5,标准坦克设计!$B$24:$U$30,MATCH("对"&amp;LEFT($C$5,2)&amp;"输出",标准坦克设计!$B$23:$U$23,0)))*(VLOOKUP($B204,INDIRECT($B$5&amp;"生成成长"),3))*(VLOOKUP($B$5,标准坦克设计!$B$14:$K$20,9)/30))</f>
        <v>9.0783664955653443</v>
      </c>
      <c r="DU204" s="173">
        <f ca="1">(VLOOKUP(DU$72,INDIRECT($C$5&amp;"生成成长"),2))/((VLOOKUP($B204,INDIRECT($B$5&amp;"生成成长"),4))/(VLOOKUP(DU$72,INDIRECT($C$5&amp;"生成成长"),5))*(VLOOKUP($B$5,标准坦克设计!$B$24:$U$30,MATCH("对"&amp;LEFT($C$5,2)&amp;"输出",标准坦克设计!$B$23:$U$23,0)))*(VLOOKUP($B204,INDIRECT($B$5&amp;"生成成长"),3))*(VLOOKUP($B$5,标准坦克设计!$B$14:$K$20,9)/30))</f>
        <v>9.9260099849241854</v>
      </c>
      <c r="DV204" s="173">
        <f ca="1">(VLOOKUP(DV$72,INDIRECT($C$5&amp;"生成成长"),2))/((VLOOKUP($B204,INDIRECT($B$5&amp;"生成成长"),4))/(VLOOKUP(DV$72,INDIRECT($C$5&amp;"生成成长"),5))*(VLOOKUP($B$5,标准坦克设计!$B$24:$U$30,MATCH("对"&amp;LEFT($C$5,2)&amp;"输出",标准坦克设计!$B$23:$U$23,0)))*(VLOOKUP($B204,INDIRECT($B$5&amp;"生成成长"),3))*(VLOOKUP($B$5,标准坦克设计!$B$14:$K$20,9)/30))</f>
        <v>10.811479350075915</v>
      </c>
      <c r="DW204" s="173">
        <f ca="1">(VLOOKUP(DW$72,INDIRECT($C$5&amp;"生成成长"),2))/((VLOOKUP($B204,INDIRECT($B$5&amp;"生成成长"),4))/(VLOOKUP(DW$72,INDIRECT($C$5&amp;"生成成长"),5))*(VLOOKUP($B$5,标准坦克设计!$B$24:$U$30,MATCH("对"&amp;LEFT($C$5,2)&amp;"输出",标准坦克设计!$B$23:$U$23,0)))*(VLOOKUP($B204,INDIRECT($B$5&amp;"生成成长"),3))*(VLOOKUP($B$5,标准坦克设计!$B$14:$K$20,9)/30))</f>
        <v>11.734774591020537</v>
      </c>
      <c r="DX204" s="173">
        <f ca="1">(VLOOKUP(DX$72,INDIRECT($C$5&amp;"生成成长"),2))/((VLOOKUP($B204,INDIRECT($B$5&amp;"生成成长"),4))/(VLOOKUP(DX$72,INDIRECT($C$5&amp;"生成成长"),5))*(VLOOKUP($B$5,标准坦克设计!$B$24:$U$30,MATCH("对"&amp;LEFT($C$5,2)&amp;"输出",标准坦克设计!$B$23:$U$23,0)))*(VLOOKUP($B204,INDIRECT($B$5&amp;"生成成长"),3))*(VLOOKUP($B$5,标准坦克设计!$B$14:$K$20,9)/30))</f>
        <v>12.695895707758046</v>
      </c>
      <c r="DY204" s="173">
        <f ca="1">(VLOOKUP(DY$72,INDIRECT($C$5&amp;"生成成长"),2))/((VLOOKUP($B204,INDIRECT($B$5&amp;"生成成长"),4))/(VLOOKUP(DY$72,INDIRECT($C$5&amp;"生成成长"),5))*(VLOOKUP($B$5,标准坦克设计!$B$24:$U$30,MATCH("对"&amp;LEFT($C$5,2)&amp;"输出",标准坦克设计!$B$23:$U$23,0)))*(VLOOKUP($B204,INDIRECT($B$5&amp;"生成成长"),3))*(VLOOKUP($B$5,标准坦克设计!$B$14:$K$20,9)/30))</f>
        <v>5.7021726231421512</v>
      </c>
      <c r="DZ204" s="173">
        <f ca="1">(VLOOKUP(DZ$72,INDIRECT($C$5&amp;"生成成长"),2))/((VLOOKUP($B204,INDIRECT($B$5&amp;"生成成长"),4))/(VLOOKUP(DZ$72,INDIRECT($C$5&amp;"生成成长"),5))*(VLOOKUP($B$5,标准坦克设计!$B$24:$U$30,MATCH("对"&amp;LEFT($C$5,2)&amp;"输出",标准坦克设计!$B$23:$U$23,0)))*(VLOOKUP($B204,INDIRECT($B$5&amp;"生成成长"),3))*(VLOOKUP($B$5,标准坦克设计!$B$14:$K$20,9)/30))</f>
        <v>6.314889288878212</v>
      </c>
      <c r="EA204" s="173">
        <f ca="1">(VLOOKUP(EA$72,INDIRECT($C$5&amp;"生成成长"),2))/((VLOOKUP($B204,INDIRECT($B$5&amp;"生成成长"),4))/(VLOOKUP(EA$72,INDIRECT($C$5&amp;"生成成长"),5))*(VLOOKUP($B$5,标准坦克设计!$B$24:$U$30,MATCH("对"&amp;LEFT($C$5,2)&amp;"输出",标准坦克设计!$B$23:$U$23,0)))*(VLOOKUP($B204,INDIRECT($B$5&amp;"生成成长"),3))*(VLOOKUP($B$5,标准坦克设计!$B$14:$K$20,9)/30))</f>
        <v>6.9588670089885625</v>
      </c>
      <c r="EB204" s="173">
        <f ca="1">(VLOOKUP(EB$72,INDIRECT($C$5&amp;"生成成长"),2))/((VLOOKUP($B204,INDIRECT($B$5&amp;"生成成长"),4))/(VLOOKUP(EB$72,INDIRECT($C$5&amp;"生成成长"),5))*(VLOOKUP($B$5,标准坦克设计!$B$24:$U$30,MATCH("对"&amp;LEFT($C$5,2)&amp;"输出",标准坦克设计!$B$23:$U$23,0)))*(VLOOKUP($B204,INDIRECT($B$5&amp;"生成成长"),3))*(VLOOKUP($B$5,标准坦克设计!$B$14:$K$20,9)/30))</f>
        <v>7.6341057834732009</v>
      </c>
      <c r="EC204" s="173">
        <f ca="1">(VLOOKUP(EC$72,INDIRECT($C$5&amp;"生成成长"),2))/((VLOOKUP($B204,INDIRECT($B$5&amp;"生成成长"),4))/(VLOOKUP(EC$72,INDIRECT($C$5&amp;"生成成长"),5))*(VLOOKUP($B$5,标准坦克设计!$B$24:$U$30,MATCH("对"&amp;LEFT($C$5,2)&amp;"输出",标准坦克设计!$B$23:$U$23,0)))*(VLOOKUP($B204,INDIRECT($B$5&amp;"生成成长"),3))*(VLOOKUP($B$5,标准坦克设计!$B$14:$K$20,9)/30))</f>
        <v>8.3406056123321246</v>
      </c>
      <c r="ED204" s="173">
        <f ca="1">(VLOOKUP(ED$72,INDIRECT($C$5&amp;"生成成长"),2))/((VLOOKUP($B204,INDIRECT($B$5&amp;"生成成长"),4))/(VLOOKUP(ED$72,INDIRECT($C$5&amp;"生成成长"),5))*(VLOOKUP($B$5,标准坦克设计!$B$24:$U$30,MATCH("对"&amp;LEFT($C$5,2)&amp;"输出",标准坦克设计!$B$23:$U$23,0)))*(VLOOKUP($B204,INDIRECT($B$5&amp;"生成成长"),3))*(VLOOKUP($B$5,标准坦克设计!$B$14:$K$20,9)/30))</f>
        <v>9.0783664955653443</v>
      </c>
      <c r="EE204" s="173">
        <f ca="1">(VLOOKUP(EE$72,INDIRECT($C$5&amp;"生成成长"),2))/((VLOOKUP($B204,INDIRECT($B$5&amp;"生成成长"),4))/(VLOOKUP(EE$72,INDIRECT($C$5&amp;"生成成长"),5))*(VLOOKUP($B$5,标准坦克设计!$B$24:$U$30,MATCH("对"&amp;LEFT($C$5,2)&amp;"输出",标准坦克设计!$B$23:$U$23,0)))*(VLOOKUP($B204,INDIRECT($B$5&amp;"生成成长"),3))*(VLOOKUP($B$5,标准坦克设计!$B$14:$K$20,9)/30))</f>
        <v>9.8473884331728474</v>
      </c>
      <c r="EF204" s="173">
        <f ca="1">(VLOOKUP(EF$72,INDIRECT($C$5&amp;"生成成长"),2))/((VLOOKUP($B204,INDIRECT($B$5&amp;"生成成长"),4))/(VLOOKUP(EF$72,INDIRECT($C$5&amp;"生成成长"),5))*(VLOOKUP($B$5,标准坦克设计!$B$24:$U$30,MATCH("对"&amp;LEFT($C$5,2)&amp;"输出",标准坦克设计!$B$23:$U$23,0)))*(VLOOKUP($B204,INDIRECT($B$5&amp;"生成成长"),3))*(VLOOKUP($B$5,标准坦克设计!$B$14:$K$20,9)/30))</f>
        <v>10.647671425154643</v>
      </c>
      <c r="EG204" s="173">
        <f ca="1">(VLOOKUP(EG$72,INDIRECT($C$5&amp;"生成成长"),2))/((VLOOKUP($B204,INDIRECT($B$5&amp;"生成成长"),4))/(VLOOKUP(EG$72,INDIRECT($C$5&amp;"生成成长"),5))*(VLOOKUP($B$5,标准坦克设计!$B$24:$U$30,MATCH("对"&amp;LEFT($C$5,2)&amp;"输出",标准坦克设计!$B$23:$U$23,0)))*(VLOOKUP($B204,INDIRECT($B$5&amp;"生成成长"),3))*(VLOOKUP($B$5,标准坦克设计!$B$14:$K$20,9)/30))</f>
        <v>11.479215471510726</v>
      </c>
      <c r="EH204" s="173">
        <f ca="1">(VLOOKUP(EH$72,INDIRECT($C$5&amp;"生成成长"),2))/((VLOOKUP($B204,INDIRECT($B$5&amp;"生成成长"),4))/(VLOOKUP(EH$72,INDIRECT($C$5&amp;"生成成长"),5))*(VLOOKUP($B$5,标准坦克设计!$B$24:$U$30,MATCH("对"&amp;LEFT($C$5,2)&amp;"输出",标准坦克设计!$B$23:$U$23,0)))*(VLOOKUP($B204,INDIRECT($B$5&amp;"生成成长"),3))*(VLOOKUP($B$5,标准坦克设计!$B$14:$K$20,9)/30))</f>
        <v>12.342020572241095</v>
      </c>
      <c r="EI204" s="173">
        <f ca="1">(VLOOKUP(EI$72,INDIRECT($C$5&amp;"生成成长"),2))/((VLOOKUP($B204,INDIRECT($B$5&amp;"生成成长"),4))/(VLOOKUP(EI$72,INDIRECT($C$5&amp;"生成成长"),5))*(VLOOKUP($B$5,标准坦克设计!$B$24:$U$30,MATCH("对"&amp;LEFT($C$5,2)&amp;"输出",标准坦克设计!$B$23:$U$23,0)))*(VLOOKUP($B204,INDIRECT($B$5&amp;"生成成长"),3))*(VLOOKUP($B$5,标准坦克设计!$B$14:$K$20,9)/30))</f>
        <v>13.236086727345754</v>
      </c>
      <c r="EJ204" s="173">
        <f ca="1">(VLOOKUP(EJ$72,INDIRECT($C$5&amp;"生成成长"),2))/((VLOOKUP($B204,INDIRECT($B$5&amp;"生成成长"),4))/(VLOOKUP(EJ$72,INDIRECT($C$5&amp;"生成成长"),5))*(VLOOKUP($B$5,标准坦克设计!$B$24:$U$30,MATCH("对"&amp;LEFT($C$5,2)&amp;"输出",标准坦克设计!$B$23:$U$23,0)))*(VLOOKUP($B204,INDIRECT($B$5&amp;"生成成长"),3))*(VLOOKUP($B$5,标准坦克设计!$B$14:$K$20,9)/30))</f>
        <v>14.161413936824703</v>
      </c>
      <c r="EK204" s="173">
        <f ca="1">(VLOOKUP(EK$72,INDIRECT($C$5&amp;"生成成长"),2))/((VLOOKUP($B204,INDIRECT($B$5&amp;"生成成长"),4))/(VLOOKUP(EK$72,INDIRECT($C$5&amp;"生成成长"),5))*(VLOOKUP($B$5,标准坦克设计!$B$24:$U$30,MATCH("对"&amp;LEFT($C$5,2)&amp;"输出",标准坦克设计!$B$23:$U$23,0)))*(VLOOKUP($B204,INDIRECT($B$5&amp;"生成成长"),3))*(VLOOKUP($B$5,标准坦克设计!$B$14:$K$20,9)/30))</f>
        <v>15.313071179973504</v>
      </c>
      <c r="EL204" s="173">
        <f ca="1">(VLOOKUP(EL$72,INDIRECT($C$5&amp;"生成成长"),2))/((VLOOKUP($B204,INDIRECT($B$5&amp;"生成成长"),4))/(VLOOKUP(EL$72,INDIRECT($C$5&amp;"生成成长"),5))*(VLOOKUP($B$5,标准坦克设计!$B$24:$U$30,MATCH("对"&amp;LEFT($C$5,2)&amp;"输出",标准坦克设计!$B$23:$U$23,0)))*(VLOOKUP($B204,INDIRECT($B$5&amp;"生成成长"),3))*(VLOOKUP($B$5,标准坦克设计!$B$14:$K$20,9)/30))</f>
        <v>16.509744341421282</v>
      </c>
      <c r="EM204" s="173">
        <f ca="1">(VLOOKUP(EM$72,INDIRECT($C$5&amp;"生成成长"),2))/((VLOOKUP($B204,INDIRECT($B$5&amp;"生成成长"),4))/(VLOOKUP(EM$72,INDIRECT($C$5&amp;"生成成长"),5))*(VLOOKUP($B$5,标准坦克设计!$B$24:$U$30,MATCH("对"&amp;LEFT($C$5,2)&amp;"输出",标准坦克设计!$B$23:$U$23,0)))*(VLOOKUP($B204,INDIRECT($B$5&amp;"生成成长"),3))*(VLOOKUP($B$5,标准坦克设计!$B$14:$K$20,9)/30))</f>
        <v>17.751433421168031</v>
      </c>
      <c r="EN204" s="173">
        <f ca="1">(VLOOKUP(EN$72,INDIRECT($C$5&amp;"生成成长"),2))/((VLOOKUP($B204,INDIRECT($B$5&amp;"生成成长"),4))/(VLOOKUP(EN$72,INDIRECT($C$5&amp;"生成成长"),5))*(VLOOKUP($B$5,标准坦克设计!$B$24:$U$30,MATCH("对"&amp;LEFT($C$5,2)&amp;"输出",标准坦克设计!$B$23:$U$23,0)))*(VLOOKUP($B204,INDIRECT($B$5&amp;"生成成长"),3))*(VLOOKUP($B$5,标准坦克设计!$B$14:$K$20,9)/30))</f>
        <v>19.038138419213759</v>
      </c>
      <c r="EO204" s="173">
        <f ca="1">(VLOOKUP(EO$72,INDIRECT($C$5&amp;"生成成长"),2))/((VLOOKUP($B204,INDIRECT($B$5&amp;"生成成长"),4))/(VLOOKUP(EO$72,INDIRECT($C$5&amp;"生成成长"),5))*(VLOOKUP($B$5,标准坦克设计!$B$24:$U$30,MATCH("对"&amp;LEFT($C$5,2)&amp;"输出",标准坦克设计!$B$23:$U$23,0)))*(VLOOKUP($B204,INDIRECT($B$5&amp;"生成成长"),3))*(VLOOKUP($B$5,标准坦克设计!$B$14:$K$20,9)/30))</f>
        <v>20.369859335558466</v>
      </c>
      <c r="EP204" s="173">
        <f ca="1">(VLOOKUP(EP$72,INDIRECT($C$5&amp;"生成成长"),2))/((VLOOKUP($B204,INDIRECT($B$5&amp;"生成成长"),4))/(VLOOKUP(EP$72,INDIRECT($C$5&amp;"生成成长"),5))*(VLOOKUP($B$5,标准坦克设计!$B$24:$U$30,MATCH("对"&amp;LEFT($C$5,2)&amp;"输出",标准坦克设计!$B$23:$U$23,0)))*(VLOOKUP($B204,INDIRECT($B$5&amp;"生成成长"),3))*(VLOOKUP($B$5,标准坦克设计!$B$14:$K$20,9)/30))</f>
        <v>21.746596170202142</v>
      </c>
      <c r="EQ204" s="173">
        <f ca="1">(VLOOKUP(EQ$72,INDIRECT($C$5&amp;"生成成长"),2))/((VLOOKUP($B204,INDIRECT($B$5&amp;"生成成长"),4))/(VLOOKUP(EQ$72,INDIRECT($C$5&amp;"生成成长"),5))*(VLOOKUP($B$5,标准坦克设计!$B$24:$U$30,MATCH("对"&amp;LEFT($C$5,2)&amp;"输出",标准坦克设计!$B$23:$U$23,0)))*(VLOOKUP($B204,INDIRECT($B$5&amp;"生成成长"),3))*(VLOOKUP($B$5,标准坦克设计!$B$14:$K$20,9)/30))</f>
        <v>9.6133994411812953</v>
      </c>
      <c r="ER204" s="173">
        <f ca="1">(VLOOKUP(ER$72,INDIRECT($C$5&amp;"生成成长"),2))/((VLOOKUP($B204,INDIRECT($B$5&amp;"生成成长"),4))/(VLOOKUP(ER$72,INDIRECT($C$5&amp;"生成成长"),5))*(VLOOKUP($B$5,标准坦克设计!$B$24:$U$30,MATCH("对"&amp;LEFT($C$5,2)&amp;"输出",标准坦克设计!$B$23:$U$23,0)))*(VLOOKUP($B204,INDIRECT($B$5&amp;"生成成长"),3))*(VLOOKUP($B$5,标准坦克设计!$B$14:$K$20,9)/30))</f>
        <v>10.485113942408338</v>
      </c>
      <c r="ES204" s="173">
        <f ca="1">(VLOOKUP(ES$72,INDIRECT($C$5&amp;"生成成长"),2))/((VLOOKUP($B204,INDIRECT($B$5&amp;"生成成长"),4))/(VLOOKUP(ES$72,INDIRECT($C$5&amp;"生成成长"),5))*(VLOOKUP($B$5,标准坦克设计!$B$24:$U$30,MATCH("对"&amp;LEFT($C$5,2)&amp;"输出",标准坦克设计!$B$23:$U$23,0)))*(VLOOKUP($B204,INDIRECT($B$5&amp;"生成成长"),3))*(VLOOKUP($B$5,标准坦克设计!$B$14:$K$20,9)/30))</f>
        <v>11.394654319428273</v>
      </c>
      <c r="ET204" s="173">
        <f ca="1">(VLOOKUP(ET$72,INDIRECT($C$5&amp;"生成成长"),2))/((VLOOKUP($B204,INDIRECT($B$5&amp;"生成成长"),4))/(VLOOKUP(ET$72,INDIRECT($C$5&amp;"生成成长"),5))*(VLOOKUP($B$5,标准坦克设计!$B$24:$U$30,MATCH("对"&amp;LEFT($C$5,2)&amp;"输出",标准坦克设计!$B$23:$U$23,0)))*(VLOOKUP($B204,INDIRECT($B$5&amp;"生成成长"),3))*(VLOOKUP($B$5,标准坦克设计!$B$14:$K$20,9)/30))</f>
        <v>12.342020572241095</v>
      </c>
      <c r="EU204" s="173">
        <f ca="1">(VLOOKUP(EU$72,INDIRECT($C$5&amp;"生成成长"),2))/((VLOOKUP($B204,INDIRECT($B$5&amp;"生成成长"),4))/(VLOOKUP(EU$72,INDIRECT($C$5&amp;"生成成长"),5))*(VLOOKUP($B$5,标准坦克设计!$B$24:$U$30,MATCH("对"&amp;LEFT($C$5,2)&amp;"输出",标准坦克设计!$B$23:$U$23,0)))*(VLOOKUP($B204,INDIRECT($B$5&amp;"生成成长"),3))*(VLOOKUP($B$5,标准坦克设计!$B$14:$K$20,9)/30))</f>
        <v>13.327212700846806</v>
      </c>
      <c r="EV204" s="173">
        <f ca="1">(VLOOKUP(EV$72,INDIRECT($C$5&amp;"生成成长"),2))/((VLOOKUP($B204,INDIRECT($B$5&amp;"生成成长"),4))/(VLOOKUP(EV$72,INDIRECT($C$5&amp;"生成成长"),5))*(VLOOKUP($B$5,标准坦克设计!$B$24:$U$30,MATCH("对"&amp;LEFT($C$5,2)&amp;"输出",标准坦克设计!$B$23:$U$23,0)))*(VLOOKUP($B204,INDIRECT($B$5&amp;"生成成长"),3))*(VLOOKUP($B$5,标准坦克设计!$B$14:$K$20,9)/30))</f>
        <v>14.350230705245412</v>
      </c>
      <c r="EW204" s="173">
        <f ca="1">(VLOOKUP(EW$72,INDIRECT($C$5&amp;"生成成长"),2))/((VLOOKUP($B204,INDIRECT($B$5&amp;"生成成长"),4))/(VLOOKUP(EW$72,INDIRECT($C$5&amp;"生成成长"),5))*(VLOOKUP($B$5,标准坦克设计!$B$24:$U$30,MATCH("对"&amp;LEFT($C$5,2)&amp;"输出",标准坦克设计!$B$23:$U$23,0)))*(VLOOKUP($B204,INDIRECT($B$5&amp;"生成成长"),3))*(VLOOKUP($B$5,标准坦克设计!$B$14:$K$20,9)/30))</f>
        <v>15.411074585436898</v>
      </c>
      <c r="EX204" s="173">
        <f ca="1">(VLOOKUP(EX$72,INDIRECT($C$5&amp;"生成成长"),2))/((VLOOKUP($B204,INDIRECT($B$5&amp;"生成成长"),4))/(VLOOKUP(EX$72,INDIRECT($C$5&amp;"生成成长"),5))*(VLOOKUP($B$5,标准坦克设计!$B$24:$U$30,MATCH("对"&amp;LEFT($C$5,2)&amp;"输出",标准坦克设计!$B$23:$U$23,0)))*(VLOOKUP($B204,INDIRECT($B$5&amp;"生成成长"),3))*(VLOOKUP($B$5,标准坦克设计!$B$14:$K$20,9)/30))</f>
        <v>16.509744341421282</v>
      </c>
      <c r="EY204" s="173">
        <f ca="1">(VLOOKUP(EY$72,INDIRECT($C$5&amp;"生成成长"),2))/((VLOOKUP($B204,INDIRECT($B$5&amp;"生成成长"),4))/(VLOOKUP(EY$72,INDIRECT($C$5&amp;"生成成长"),5))*(VLOOKUP($B$5,标准坦克设计!$B$24:$U$30,MATCH("对"&amp;LEFT($C$5,2)&amp;"输出",标准坦克设计!$B$23:$U$23,0)))*(VLOOKUP($B204,INDIRECT($B$5&amp;"生成成长"),3))*(VLOOKUP($B$5,标准坦克设计!$B$14:$K$20,9)/30))</f>
        <v>17.646239973198551</v>
      </c>
      <c r="EZ204" s="173">
        <f ca="1">(VLOOKUP(EZ$72,INDIRECT($C$5&amp;"生成成长"),2))/((VLOOKUP($B204,INDIRECT($B$5&amp;"生成成长"),4))/(VLOOKUP(EZ$72,INDIRECT($C$5&amp;"生成成长"),5))*(VLOOKUP($B$5,标准坦克设计!$B$24:$U$30,MATCH("对"&amp;LEFT($C$5,2)&amp;"输出",标准坦克设计!$B$23:$U$23,0)))*(VLOOKUP($B204,INDIRECT($B$5&amp;"生成成长"),3))*(VLOOKUP($B$5,标准坦克设计!$B$14:$K$20,9)/30))</f>
        <v>18.820561480768713</v>
      </c>
      <c r="FA204" s="173">
        <f ca="1">(VLOOKUP(FA$72,INDIRECT($C$5&amp;"生成成长"),2))/((VLOOKUP($B204,INDIRECT($B$5&amp;"生成成长"),4))/(VLOOKUP(FA$72,INDIRECT($C$5&amp;"生成成长"),5))*(VLOOKUP($B$5,标准坦克设计!$B$24:$U$30,MATCH("对"&amp;LEFT($C$5,2)&amp;"输出",标准坦克设计!$B$23:$U$23,0)))*(VLOOKUP($B204,INDIRECT($B$5&amp;"生成成长"),3))*(VLOOKUP($B$5,标准坦克设计!$B$14:$K$20,9)/30))</f>
        <v>20.032708864131756</v>
      </c>
      <c r="FB204" s="173">
        <f ca="1">(VLOOKUP(FB$72,INDIRECT($C$5&amp;"生成成长"),2))/((VLOOKUP($B204,INDIRECT($B$5&amp;"生成成长"),4))/(VLOOKUP(FB$72,INDIRECT($C$5&amp;"生成成长"),5))*(VLOOKUP($B$5,标准坦克设计!$B$24:$U$30,MATCH("对"&amp;LEFT($C$5,2)&amp;"输出",标准坦克设计!$B$23:$U$23,0)))*(VLOOKUP($B204,INDIRECT($B$5&amp;"生成成长"),3))*(VLOOKUP($B$5,标准坦克设计!$B$14:$K$20,9)/30))</f>
        <v>21.282682123287696</v>
      </c>
      <c r="FC204" s="173">
        <f ca="1">(VLOOKUP(FC$72,INDIRECT($C$5&amp;"生成成长"),2))/((VLOOKUP($B204,INDIRECT($B$5&amp;"生成成长"),4))/(VLOOKUP(FC$72,INDIRECT($C$5&amp;"生成成长"),5))*(VLOOKUP($B$5,标准坦克设计!$B$24:$U$30,MATCH("对"&amp;LEFT($C$5,2)&amp;"输出",标准坦克设计!$B$23:$U$23,0)))*(VLOOKUP($B204,INDIRECT($B$5&amp;"生成成长"),3))*(VLOOKUP($B$5,标准坦克设计!$B$14:$K$20,9)/30))</f>
        <v>22.570481258236526</v>
      </c>
      <c r="FD204" s="173">
        <f ca="1">(VLOOKUP(FD$72,INDIRECT($C$5&amp;"生成成长"),2))/((VLOOKUP($B204,INDIRECT($B$5&amp;"生成成长"),4))/(VLOOKUP(FD$72,INDIRECT($C$5&amp;"生成成长"),5))*(VLOOKUP($B$5,标准坦克设计!$B$24:$U$30,MATCH("对"&amp;LEFT($C$5,2)&amp;"输出",标准坦克设计!$B$23:$U$23,0)))*(VLOOKUP($B204,INDIRECT($B$5&amp;"生成成长"),3))*(VLOOKUP($B$5,标准坦克设计!$B$14:$K$20,9)/30))</f>
        <v>23.896106268978244</v>
      </c>
      <c r="FE204" s="173">
        <f ca="1">(VLOOKUP(FE$72,INDIRECT($C$5&amp;"生成成长"),2))/((VLOOKUP($B204,INDIRECT($B$5&amp;"生成成长"),4))/(VLOOKUP(FE$72,INDIRECT($C$5&amp;"生成成长"),5))*(VLOOKUP($B$5,标准坦克设计!$B$24:$U$30,MATCH("对"&amp;LEFT($C$5,2)&amp;"输出",标准坦克设计!$B$23:$U$23,0)))*(VLOOKUP($B204,INDIRECT($B$5&amp;"生成成长"),3))*(VLOOKUP($B$5,标准坦克设计!$B$14:$K$20,9)/30))</f>
        <v>25.511521253769615</v>
      </c>
      <c r="FF204" s="173">
        <f ca="1">(VLOOKUP(FF$72,INDIRECT($C$5&amp;"生成成长"),2))/((VLOOKUP($B204,INDIRECT($B$5&amp;"生成成长"),4))/(VLOOKUP(FF$72,INDIRECT($C$5&amp;"生成成长"),5))*(VLOOKUP($B$5,标准坦克设计!$B$24:$U$30,MATCH("对"&amp;LEFT($C$5,2)&amp;"输出",标准坦克设计!$B$23:$U$23,0)))*(VLOOKUP($B204,INDIRECT($B$5&amp;"生成成长"),3))*(VLOOKUP($B$5,标准坦克设计!$B$14:$K$20,9)/30))</f>
        <v>27.17976742045354</v>
      </c>
      <c r="FG204" s="173">
        <f ca="1">(VLOOKUP(FG$72,INDIRECT($C$5&amp;"生成成长"),2))/((VLOOKUP($B204,INDIRECT($B$5&amp;"生成成长"),4))/(VLOOKUP(FG$72,INDIRECT($C$5&amp;"生成成长"),5))*(VLOOKUP($B$5,标准坦克设计!$B$24:$U$30,MATCH("对"&amp;LEFT($C$5,2)&amp;"输出",标准坦克设计!$B$23:$U$23,0)))*(VLOOKUP($B204,INDIRECT($B$5&amp;"生成成长"),3))*(VLOOKUP($B$5,标准坦克设计!$B$14:$K$20,9)/30))</f>
        <v>28.900844769030012</v>
      </c>
      <c r="FH204" s="173">
        <f ca="1">(VLOOKUP(FH$72,INDIRECT($C$5&amp;"生成成长"),2))/((VLOOKUP($B204,INDIRECT($B$5&amp;"生成成长"),4))/(VLOOKUP(FH$72,INDIRECT($C$5&amp;"生成成长"),5))*(VLOOKUP($B$5,标准坦克设计!$B$24:$U$30,MATCH("对"&amp;LEFT($C$5,2)&amp;"输出",标准坦克设计!$B$23:$U$23,0)))*(VLOOKUP($B204,INDIRECT($B$5&amp;"生成成长"),3))*(VLOOKUP($B$5,标准坦克设计!$B$14:$K$20,9)/30))</f>
        <v>30.674753299499031</v>
      </c>
      <c r="FI204" s="173">
        <f ca="1">(VLOOKUP(FI$72,INDIRECT($C$5&amp;"生成成长"),2))/((VLOOKUP($B204,INDIRECT($B$5&amp;"生成成长"),4))/(VLOOKUP(FI$72,INDIRECT($C$5&amp;"生成成长"),5))*(VLOOKUP($B$5,标准坦克设计!$B$24:$U$30,MATCH("对"&amp;LEFT($C$5,2)&amp;"输出",标准坦克设计!$B$23:$U$23,0)))*(VLOOKUP($B204,INDIRECT($B$5&amp;"生成成长"),3))*(VLOOKUP($B$5,标准坦克设计!$B$14:$K$20,9)/30))</f>
        <v>32.501493011860589</v>
      </c>
      <c r="FJ204" s="173">
        <f ca="1">(VLOOKUP(FJ$72,INDIRECT($C$5&amp;"生成成长"),2))/((VLOOKUP($B204,INDIRECT($B$5&amp;"生成成长"),4))/(VLOOKUP(FJ$72,INDIRECT($C$5&amp;"生成成长"),5))*(VLOOKUP($B$5,标准坦克设计!$B$24:$U$30,MATCH("对"&amp;LEFT($C$5,2)&amp;"输出",标准坦克设计!$B$23:$U$23,0)))*(VLOOKUP($B204,INDIRECT($B$5&amp;"生成成长"),3))*(VLOOKUP($B$5,标准坦克设计!$B$14:$K$20,9)/30))</f>
        <v>34.381063906114711</v>
      </c>
      <c r="FK204" s="173">
        <f ca="1">(VLOOKUP(FK$72,INDIRECT($C$5&amp;"生成成长"),2))/((VLOOKUP($B204,INDIRECT($B$5&amp;"生成成长"),4))/(VLOOKUP(FK$72,INDIRECT($C$5&amp;"生成成长"),5))*(VLOOKUP($B$5,标准坦克设计!$B$24:$U$30,MATCH("对"&amp;LEFT($C$5,2)&amp;"输出",标准坦克设计!$B$23:$U$23,0)))*(VLOOKUP($B204,INDIRECT($B$5&amp;"生成成长"),3))*(VLOOKUP($B$5,标准坦克设计!$B$14:$K$20,9)/30))</f>
        <v>36.313465982261377</v>
      </c>
    </row>
    <row r="205" spans="1:167" x14ac:dyDescent="0.15">
      <c r="A205" s="171" t="str">
        <f t="shared" si="13"/>
        <v>T4高品质7级</v>
      </c>
      <c r="B205" s="172">
        <v>30407</v>
      </c>
      <c r="C205" s="173">
        <f ca="1">(VLOOKUP(C$72,INDIRECT($C$5&amp;"生成成长"),2))/((VLOOKUP($B205,INDIRECT($B$5&amp;"生成成长"),4))/(VLOOKUP(C$72,INDIRECT($C$5&amp;"生成成长"),5))*(VLOOKUP($B$5,标准坦克设计!$B$24:$U$30,MATCH("对"&amp;LEFT($C$5,2)&amp;"输出",标准坦克设计!$B$23:$U$23,0)))*(VLOOKUP($B205,INDIRECT($B$5&amp;"生成成长"),3))*(VLOOKUP($B$5,标准坦克设计!$B$14:$K$20,9)/30))</f>
        <v>1.4407485139512872</v>
      </c>
      <c r="D205" s="173">
        <f ca="1">(VLOOKUP(D$72,INDIRECT($C$5&amp;"生成成长"),2))/((VLOOKUP($B205,INDIRECT($B$5&amp;"生成成长"),4))/(VLOOKUP(D$72,INDIRECT($C$5&amp;"生成成长"),5))*(VLOOKUP($B$5,标准坦克设计!$B$24:$U$30,MATCH("对"&amp;LEFT($C$5,2)&amp;"输出",标准坦克设计!$B$23:$U$23,0)))*(VLOOKUP($B205,INDIRECT($B$5&amp;"生成成长"),3))*(VLOOKUP($B$5,标准坦克设计!$B$14:$K$20,9)/30))</f>
        <v>1.6188250302756659</v>
      </c>
      <c r="E205" s="173">
        <f ca="1">(VLOOKUP(E$72,INDIRECT($C$5&amp;"生成成长"),2))/((VLOOKUP($B205,INDIRECT($B$5&amp;"生成成长"),4))/(VLOOKUP(E$72,INDIRECT($C$5&amp;"生成成长"),5))*(VLOOKUP($B$5,标准坦克设计!$B$24:$U$30,MATCH("对"&amp;LEFT($C$5,2)&amp;"输出",标准坦克设计!$B$23:$U$23,0)))*(VLOOKUP($B205,INDIRECT($B$5&amp;"生成成长"),3))*(VLOOKUP($B$5,标准坦克设计!$B$14:$K$20,9)/30))</f>
        <v>1.8072749359004945</v>
      </c>
      <c r="F205" s="173">
        <f ca="1">(VLOOKUP(F$72,INDIRECT($C$5&amp;"生成成长"),2))/((VLOOKUP($B205,INDIRECT($B$5&amp;"生成成长"),4))/(VLOOKUP(F$72,INDIRECT($C$5&amp;"生成成长"),5))*(VLOOKUP($B$5,标准坦克设计!$B$24:$U$30,MATCH("对"&amp;LEFT($C$5,2)&amp;"输出",标准坦克设计!$B$23:$U$23,0)))*(VLOOKUP($B205,INDIRECT($B$5&amp;"生成成长"),3))*(VLOOKUP($B$5,标准坦克设计!$B$14:$K$20,9)/30))</f>
        <v>2.0060982308257715</v>
      </c>
      <c r="G205" s="173">
        <f ca="1">(VLOOKUP(G$72,INDIRECT($C$5&amp;"生成成长"),2))/((VLOOKUP($B205,INDIRECT($B$5&amp;"生成成长"),4))/(VLOOKUP(G$72,INDIRECT($C$5&amp;"生成成长"),5))*(VLOOKUP($B$5,标准坦克设计!$B$24:$U$30,MATCH("对"&amp;LEFT($C$5,2)&amp;"输出",标准坦克设计!$B$23:$U$23,0)))*(VLOOKUP($B205,INDIRECT($B$5&amp;"生成成长"),3))*(VLOOKUP($B$5,标准坦克设计!$B$14:$K$20,9)/30))</f>
        <v>2.2152949150514987</v>
      </c>
      <c r="H205" s="173">
        <f ca="1">(VLOOKUP(H$72,INDIRECT($C$5&amp;"生成成长"),2))/((VLOOKUP($B205,INDIRECT($B$5&amp;"生成成长"),4))/(VLOOKUP(H$72,INDIRECT($C$5&amp;"生成成长"),5))*(VLOOKUP($B$5,标准坦克设计!$B$24:$U$30,MATCH("对"&amp;LEFT($C$5,2)&amp;"输出",标准坦克设计!$B$23:$U$23,0)))*(VLOOKUP($B205,INDIRECT($B$5&amp;"生成成长"),3))*(VLOOKUP($B$5,标准坦克设计!$B$14:$K$20,9)/30))</f>
        <v>1.9386712003728519</v>
      </c>
      <c r="I205" s="173">
        <f ca="1">(VLOOKUP(I$72,INDIRECT($C$5&amp;"生成成长"),2))/((VLOOKUP($B205,INDIRECT($B$5&amp;"生成成长"),4))/(VLOOKUP(I$72,INDIRECT($C$5&amp;"生成成长"),5))*(VLOOKUP($B$5,标准坦克设计!$B$24:$U$30,MATCH("对"&amp;LEFT($C$5,2)&amp;"输出",标准坦克设计!$B$23:$U$23,0)))*(VLOOKUP($B205,INDIRECT($B$5&amp;"生成成长"),3))*(VLOOKUP($B$5,标准坦克设计!$B$14:$K$20,9)/30))</f>
        <v>2.2152949150514987</v>
      </c>
      <c r="J205" s="173">
        <f ca="1">(VLOOKUP(J$72,INDIRECT($C$5&amp;"生成成长"),2))/((VLOOKUP($B205,INDIRECT($B$5&amp;"生成成长"),4))/(VLOOKUP(J$72,INDIRECT($C$5&amp;"生成成长"),5))*(VLOOKUP($B$5,标准坦克设计!$B$24:$U$30,MATCH("对"&amp;LEFT($C$5,2)&amp;"输出",标准坦克设计!$B$23:$U$23,0)))*(VLOOKUP($B205,INDIRECT($B$5&amp;"生成成长"),3))*(VLOOKUP($B$5,标准坦克设计!$B$14:$K$20,9)/30))</f>
        <v>2.5103602107087224</v>
      </c>
      <c r="K205" s="173">
        <f ca="1">(VLOOKUP(K$72,INDIRECT($C$5&amp;"生成成长"),2))/((VLOOKUP($B205,INDIRECT($B$5&amp;"生成成长"),4))/(VLOOKUP(K$72,INDIRECT($C$5&amp;"生成成长"),5))*(VLOOKUP($B$5,标准坦克设计!$B$24:$U$30,MATCH("对"&amp;LEFT($C$5,2)&amp;"输出",标准坦克设计!$B$23:$U$23,0)))*(VLOOKUP($B205,INDIRECT($B$5&amp;"生成成长"),3))*(VLOOKUP($B$5,标准坦克设计!$B$14:$K$20,9)/30))</f>
        <v>2.8238670873445226</v>
      </c>
      <c r="L205" s="173">
        <f ca="1">(VLOOKUP(L$72,INDIRECT($C$5&amp;"生成成长"),2))/((VLOOKUP($B205,INDIRECT($B$5&amp;"生成成长"),4))/(VLOOKUP(L$72,INDIRECT($C$5&amp;"生成成长"),5))*(VLOOKUP($B$5,标准坦克设计!$B$24:$U$30,MATCH("对"&amp;LEFT($C$5,2)&amp;"输出",标准坦克设计!$B$23:$U$23,0)))*(VLOOKUP($B205,INDIRECT($B$5&amp;"生成成长"),3))*(VLOOKUP($B$5,标准坦克设计!$B$14:$K$20,9)/30))</f>
        <v>3.1558155449588985</v>
      </c>
      <c r="M205" s="173">
        <f ca="1">(VLOOKUP(M$72,INDIRECT($C$5&amp;"生成成长"),2))/((VLOOKUP($B205,INDIRECT($B$5&amp;"生成成长"),4))/(VLOOKUP(M$72,INDIRECT($C$5&amp;"生成成长"),5))*(VLOOKUP($B$5,标准坦克设计!$B$24:$U$30,MATCH("对"&amp;LEFT($C$5,2)&amp;"输出",标准坦克设计!$B$23:$U$23,0)))*(VLOOKUP($B205,INDIRECT($B$5&amp;"生成成长"),3))*(VLOOKUP($B$5,标准坦克设计!$B$14:$K$20,9)/30))</f>
        <v>3.5062055835518513</v>
      </c>
      <c r="N205" s="173">
        <f ca="1">(VLOOKUP(N$72,INDIRECT($C$5&amp;"生成成长"),2))/((VLOOKUP($B205,INDIRECT($B$5&amp;"生成成长"),4))/(VLOOKUP(N$72,INDIRECT($C$5&amp;"生成成长"),5))*(VLOOKUP($B$5,标准坦克设计!$B$24:$U$30,MATCH("对"&amp;LEFT($C$5,2)&amp;"输出",标准坦克设计!$B$23:$U$23,0)))*(VLOOKUP($B205,INDIRECT($B$5&amp;"生成成长"),3))*(VLOOKUP($B$5,标准坦克设计!$B$14:$K$20,9)/30))</f>
        <v>3.8750372031233811</v>
      </c>
      <c r="O205" s="173">
        <f ca="1">(VLOOKUP(O$72,INDIRECT($C$5&amp;"生成成长"),2))/((VLOOKUP($B205,INDIRECT($B$5&amp;"生成成长"),4))/(VLOOKUP(O$72,INDIRECT($C$5&amp;"生成成长"),5))*(VLOOKUP($B$5,标准坦克设计!$B$24:$U$30,MATCH("对"&amp;LEFT($C$5,2)&amp;"输出",标准坦克设计!$B$23:$U$23,0)))*(VLOOKUP($B205,INDIRECT($B$5&amp;"生成成长"),3))*(VLOOKUP($B$5,标准坦克设计!$B$14:$K$20,9)/30))</f>
        <v>2.9461866361789864</v>
      </c>
      <c r="P205" s="173">
        <f ca="1">(VLOOKUP(P$72,INDIRECT($C$5&amp;"生成成长"),2))/((VLOOKUP($B205,INDIRECT($B$5&amp;"生成成长"),4))/(VLOOKUP(P$72,INDIRECT($C$5&amp;"生成成长"),5))*(VLOOKUP($B$5,标准坦克设计!$B$24:$U$30,MATCH("对"&amp;LEFT($C$5,2)&amp;"输出",标准坦克设计!$B$23:$U$23,0)))*(VLOOKUP($B205,INDIRECT($B$5&amp;"生成成长"),3))*(VLOOKUP($B$5,标准坦克设计!$B$14:$K$20,9)/30))</f>
        <v>3.3287053666330531</v>
      </c>
      <c r="Q205" s="173">
        <f ca="1">(VLOOKUP(Q$72,INDIRECT($C$5&amp;"生成成长"),2))/((VLOOKUP($B205,INDIRECT($B$5&amp;"生成成长"),4))/(VLOOKUP(Q$72,INDIRECT($C$5&amp;"生成成长"),5))*(VLOOKUP($B$5,标准坦克设计!$B$24:$U$30,MATCH("对"&amp;LEFT($C$5,2)&amp;"输出",标准坦克设计!$B$23:$U$23,0)))*(VLOOKUP($B205,INDIRECT($B$5&amp;"生成成长"),3))*(VLOOKUP($B$5,标准坦克设计!$B$14:$K$20,9)/30))</f>
        <v>3.7345642230131308</v>
      </c>
      <c r="R205" s="173">
        <f ca="1">(VLOOKUP(R$72,INDIRECT($C$5&amp;"生成成长"),2))/((VLOOKUP($B205,INDIRECT($B$5&amp;"生成成长"),4))/(VLOOKUP(R$72,INDIRECT($C$5&amp;"生成成长"),5))*(VLOOKUP($B$5,标准坦克设计!$B$24:$U$30,MATCH("对"&amp;LEFT($C$5,2)&amp;"输出",标准坦克设计!$B$23:$U$23,0)))*(VLOOKUP($B205,INDIRECT($B$5&amp;"生成成长"),3))*(VLOOKUP($B$5,标准坦克设计!$B$14:$K$20,9)/30))</f>
        <v>4.1637632053192188</v>
      </c>
      <c r="S205" s="173">
        <f ca="1">(VLOOKUP(S$72,INDIRECT($C$5&amp;"生成成长"),2))/((VLOOKUP($B205,INDIRECT($B$5&amp;"生成成长"),4))/(VLOOKUP(S$72,INDIRECT($C$5&amp;"生成成长"),5))*(VLOOKUP($B$5,标准坦克设计!$B$24:$U$30,MATCH("对"&amp;LEFT($C$5,2)&amp;"输出",标准坦克设计!$B$23:$U$23,0)))*(VLOOKUP($B205,INDIRECT($B$5&amp;"生成成长"),3))*(VLOOKUP($B$5,标准坦克设计!$B$14:$K$20,9)/30))</f>
        <v>4.6163023135513184</v>
      </c>
      <c r="T205" s="173">
        <f ca="1">(VLOOKUP(T$72,INDIRECT($C$5&amp;"生成成长"),2))/((VLOOKUP($B205,INDIRECT($B$5&amp;"生成成长"),4))/(VLOOKUP(T$72,INDIRECT($C$5&amp;"生成成长"),5))*(VLOOKUP($B$5,标准坦克设计!$B$24:$U$30,MATCH("对"&amp;LEFT($C$5,2)&amp;"输出",标准坦克设计!$B$23:$U$23,0)))*(VLOOKUP($B205,INDIRECT($B$5&amp;"生成成长"),3))*(VLOOKUP($B$5,标准坦克设计!$B$14:$K$20,9)/30))</f>
        <v>5.092181547709429</v>
      </c>
      <c r="U205" s="173">
        <f ca="1">(VLOOKUP(U$72,INDIRECT($C$5&amp;"生成成长"),2))/((VLOOKUP($B205,INDIRECT($B$5&amp;"生成成长"),4))/(VLOOKUP(U$72,INDIRECT($C$5&amp;"生成成长"),5))*(VLOOKUP($B$5,标准坦克设计!$B$24:$U$30,MATCH("对"&amp;LEFT($C$5,2)&amp;"输出",标准坦克设计!$B$23:$U$23,0)))*(VLOOKUP($B205,INDIRECT($B$5&amp;"生成成长"),3))*(VLOOKUP($B$5,标准坦克设计!$B$14:$K$20,9)/30))</f>
        <v>5.5914009077935489</v>
      </c>
      <c r="V205" s="173">
        <f ca="1">(VLOOKUP(V$72,INDIRECT($C$5&amp;"生成成长"),2))/((VLOOKUP($B205,INDIRECT($B$5&amp;"生成成长"),4))/(VLOOKUP(V$72,INDIRECT($C$5&amp;"生成成长"),5))*(VLOOKUP($B$5,标准坦克设计!$B$24:$U$30,MATCH("对"&amp;LEFT($C$5,2)&amp;"输出",标准坦克设计!$B$23:$U$23,0)))*(VLOOKUP($B205,INDIRECT($B$5&amp;"生成成长"),3))*(VLOOKUP($B$5,标准坦克设计!$B$14:$K$20,9)/30))</f>
        <v>6.1139603938036817</v>
      </c>
      <c r="W205" s="173">
        <f ca="1">(VLOOKUP(W$72,INDIRECT($C$5&amp;"生成成长"),2))/((VLOOKUP($B205,INDIRECT($B$5&amp;"生成成长"),4))/(VLOOKUP(W$72,INDIRECT($C$5&amp;"生成成长"),5))*(VLOOKUP($B$5,标准坦克设计!$B$24:$U$30,MATCH("对"&amp;LEFT($C$5,2)&amp;"输出",标准坦克设计!$B$23:$U$23,0)))*(VLOOKUP($B205,INDIRECT($B$5&amp;"生成成长"),3))*(VLOOKUP($B$5,标准坦克设计!$B$14:$K$20,9)/30))</f>
        <v>6.6598600057398247</v>
      </c>
      <c r="X205" s="173">
        <f ca="1">(VLOOKUP(X$72,INDIRECT($C$5&amp;"生成成长"),2))/((VLOOKUP($B205,INDIRECT($B$5&amp;"生成成长"),4))/(VLOOKUP(X$72,INDIRECT($C$5&amp;"生成成长"),5))*(VLOOKUP($B$5,标准坦克设计!$B$24:$U$30,MATCH("对"&amp;LEFT($C$5,2)&amp;"输出",标准坦克设计!$B$23:$U$23,0)))*(VLOOKUP($B205,INDIRECT($B$5&amp;"生成成长"),3))*(VLOOKUP($B$5,标准坦克设计!$B$14:$K$20,9)/30))</f>
        <v>4.8249226983714646</v>
      </c>
      <c r="Y205" s="173">
        <f ca="1">(VLOOKUP(Y$72,INDIRECT($C$5&amp;"生成成长"),2))/((VLOOKUP($B205,INDIRECT($B$5&amp;"生成成长"),4))/(VLOOKUP(Y$72,INDIRECT($C$5&amp;"生成成长"),5))*(VLOOKUP($B$5,标准坦克设计!$B$24:$U$30,MATCH("对"&amp;LEFT($C$5,2)&amp;"输出",标准坦克设计!$B$23:$U$23,0)))*(VLOOKUP($B205,INDIRECT($B$5&amp;"生成成长"),3))*(VLOOKUP($B$5,标准坦克设计!$B$14:$K$20,9)/30))</f>
        <v>5.366644139617148</v>
      </c>
      <c r="Z205" s="173">
        <f ca="1">(VLOOKUP(Z$72,INDIRECT($C$5&amp;"生成成长"),2))/((VLOOKUP($B205,INDIRECT($B$5&amp;"生成成长"),4))/(VLOOKUP(Z$72,INDIRECT($C$5&amp;"生成成长"),5))*(VLOOKUP($B$5,标准坦克设计!$B$24:$U$30,MATCH("对"&amp;LEFT($C$5,2)&amp;"输出",标准坦克设计!$B$23:$U$23,0)))*(VLOOKUP($B205,INDIRECT($B$5&amp;"生成成长"),3))*(VLOOKUP($B$5,标准坦克设计!$B$14:$K$20,9)/30))</f>
        <v>5.9371805511418581</v>
      </c>
      <c r="AA205" s="173">
        <f ca="1">(VLOOKUP(AA$72,INDIRECT($C$5&amp;"生成成长"),2))/((VLOOKUP($B205,INDIRECT($B$5&amp;"生成成长"),4))/(VLOOKUP(AA$72,INDIRECT($C$5&amp;"生成成长"),5))*(VLOOKUP($B$5,标准坦克设计!$B$24:$U$30,MATCH("对"&amp;LEFT($C$5,2)&amp;"输出",标准坦克设计!$B$23:$U$23,0)))*(VLOOKUP($B205,INDIRECT($B$5&amp;"生成成长"),3))*(VLOOKUP($B$5,标准坦克设计!$B$14:$K$20,9)/30))</f>
        <v>6.5365319329455938</v>
      </c>
      <c r="AB205" s="173">
        <f ca="1">(VLOOKUP(AB$72,INDIRECT($C$5&amp;"生成成长"),2))/((VLOOKUP($B205,INDIRECT($B$5&amp;"生成成长"),4))/(VLOOKUP(AB$72,INDIRECT($C$5&amp;"生成成长"),5))*(VLOOKUP($B$5,标准坦克设计!$B$24:$U$30,MATCH("对"&amp;LEFT($C$5,2)&amp;"输出",标准坦克设计!$B$23:$U$23,0)))*(VLOOKUP($B205,INDIRECT($B$5&amp;"生成成长"),3))*(VLOOKUP($B$5,标准坦克设计!$B$14:$K$20,9)/30))</f>
        <v>7.1646982850283552</v>
      </c>
      <c r="AC205" s="173">
        <f ca="1">(VLOOKUP(AC$72,INDIRECT($C$5&amp;"生成成长"),2))/((VLOOKUP($B205,INDIRECT($B$5&amp;"生成成长"),4))/(VLOOKUP(AC$72,INDIRECT($C$5&amp;"生成成长"),5))*(VLOOKUP($B$5,标准坦克设计!$B$24:$U$30,MATCH("对"&amp;LEFT($C$5,2)&amp;"输出",标准坦克设计!$B$23:$U$23,0)))*(VLOOKUP($B205,INDIRECT($B$5&amp;"生成成长"),3))*(VLOOKUP($B$5,标准坦克设计!$B$14:$K$20,9)/30))</f>
        <v>7.8216796073901413</v>
      </c>
      <c r="AD205" s="173">
        <f ca="1">(VLOOKUP(AD$72,INDIRECT($C$5&amp;"生成成长"),2))/((VLOOKUP($B205,INDIRECT($B$5&amp;"生成成长"),4))/(VLOOKUP(AD$72,INDIRECT($C$5&amp;"生成成长"),5))*(VLOOKUP($B$5,标准坦克设计!$B$24:$U$30,MATCH("对"&amp;LEFT($C$5,2)&amp;"输出",标准坦克设计!$B$23:$U$23,0)))*(VLOOKUP($B205,INDIRECT($B$5&amp;"生成成长"),3))*(VLOOKUP($B$5,标准坦克设计!$B$14:$K$20,9)/30))</f>
        <v>8.5074759000309541</v>
      </c>
      <c r="AE205" s="173">
        <f ca="1">(VLOOKUP(AE$72,INDIRECT($C$5&amp;"生成成长"),2))/((VLOOKUP($B205,INDIRECT($B$5&amp;"生成成长"),4))/(VLOOKUP(AE$72,INDIRECT($C$5&amp;"生成成长"),5))*(VLOOKUP($B$5,标准坦克设计!$B$24:$U$30,MATCH("对"&amp;LEFT($C$5,2)&amp;"输出",标准坦克设计!$B$23:$U$23,0)))*(VLOOKUP($B205,INDIRECT($B$5&amp;"生成成长"),3))*(VLOOKUP($B$5,标准坦克设计!$B$14:$K$20,9)/30))</f>
        <v>9.2220871629507908</v>
      </c>
      <c r="AF205" s="173">
        <f ca="1">(VLOOKUP(AF$72,INDIRECT($C$5&amp;"生成成长"),2))/((VLOOKUP($B205,INDIRECT($B$5&amp;"生成成长"),4))/(VLOOKUP(AF$72,INDIRECT($C$5&amp;"生成成长"),5))*(VLOOKUP($B$5,标准坦克设计!$B$24:$U$30,MATCH("对"&amp;LEFT($C$5,2)&amp;"输出",标准坦克设计!$B$23:$U$23,0)))*(VLOOKUP($B205,INDIRECT($B$5&amp;"生成成长"),3))*(VLOOKUP($B$5,标准坦克设计!$B$14:$K$20,9)/30))</f>
        <v>9.9655133961496549</v>
      </c>
      <c r="AG205" s="173">
        <f ca="1">(VLOOKUP(AG$72,INDIRECT($C$5&amp;"生成成长"),2))/((VLOOKUP($B205,INDIRECT($B$5&amp;"生成成长"),4))/(VLOOKUP(AG$72,INDIRECT($C$5&amp;"生成成长"),5))*(VLOOKUP($B$5,标准坦克设计!$B$24:$U$30,MATCH("对"&amp;LEFT($C$5,2)&amp;"输出",标准坦克设计!$B$23:$U$23,0)))*(VLOOKUP($B205,INDIRECT($B$5&amp;"生成成长"),3))*(VLOOKUP($B$5,标准坦克设计!$B$14:$K$20,9)/30))</f>
        <v>10.737754599627547</v>
      </c>
      <c r="AH205" s="173">
        <f ca="1">(VLOOKUP(AH$72,INDIRECT($C$5&amp;"生成成长"),2))/((VLOOKUP($B205,INDIRECT($B$5&amp;"生成成长"),4))/(VLOOKUP(AH$72,INDIRECT($C$5&amp;"生成成长"),5))*(VLOOKUP($B$5,标准坦克设计!$B$24:$U$30,MATCH("对"&amp;LEFT($C$5,2)&amp;"输出",标准坦克设计!$B$23:$U$23,0)))*(VLOOKUP($B205,INDIRECT($B$5&amp;"生成成长"),3))*(VLOOKUP($B$5,标准坦克设计!$B$14:$K$20,9)/30))</f>
        <v>11.538810773384462</v>
      </c>
      <c r="AI205" s="173">
        <f ca="1">(VLOOKUP(AI$72,INDIRECT($C$5&amp;"生成成长"),2))/((VLOOKUP($B205,INDIRECT($B$5&amp;"生成成长"),4))/(VLOOKUP(AI$72,INDIRECT($C$5&amp;"生成成长"),5))*(VLOOKUP($B$5,标准坦克设计!$B$24:$U$30,MATCH("对"&amp;LEFT($C$5,2)&amp;"输出",标准坦克设计!$B$23:$U$23,0)))*(VLOOKUP($B205,INDIRECT($B$5&amp;"生成成长"),3))*(VLOOKUP($B$5,标准坦克设计!$B$14:$K$20,9)/30))</f>
        <v>8.1609758824256691</v>
      </c>
      <c r="AJ205" s="173">
        <f ca="1">(VLOOKUP(AJ$72,INDIRECT($C$5&amp;"生成成长"),2))/((VLOOKUP($B205,INDIRECT($B$5&amp;"生成成长"),4))/(VLOOKUP(AJ$72,INDIRECT($C$5&amp;"生成成长"),5))*(VLOOKUP($B$5,标准坦克设计!$B$24:$U$30,MATCH("对"&amp;LEFT($C$5,2)&amp;"输出",标准坦克设计!$B$23:$U$23,0)))*(VLOOKUP($B205,INDIRECT($B$5&amp;"生成成长"),3))*(VLOOKUP($B$5,标准坦克设计!$B$14:$K$20,9)/30))</f>
        <v>8.9327848613493739</v>
      </c>
      <c r="AK205" s="173">
        <f ca="1">(VLOOKUP(AK$72,INDIRECT($C$5&amp;"生成成长"),2))/((VLOOKUP($B205,INDIRECT($B$5&amp;"生成成长"),4))/(VLOOKUP(AK$72,INDIRECT($C$5&amp;"生成成长"),5))*(VLOOKUP($B$5,标准坦克设计!$B$24:$U$30,MATCH("对"&amp;LEFT($C$5,2)&amp;"输出",标准坦克设计!$B$23:$U$23,0)))*(VLOOKUP($B205,INDIRECT($B$5&amp;"生成成长"),3))*(VLOOKUP($B$5,标准坦克设计!$B$14:$K$20,9)/30))</f>
        <v>9.7394599543106981</v>
      </c>
      <c r="AL205" s="173">
        <f ca="1">(VLOOKUP(AL$72,INDIRECT($C$5&amp;"生成成长"),2))/((VLOOKUP($B205,INDIRECT($B$5&amp;"生成成长"),4))/(VLOOKUP(AL$72,INDIRECT($C$5&amp;"生成成长"),5))*(VLOOKUP($B$5,标准坦克设计!$B$24:$U$30,MATCH("对"&amp;LEFT($C$5,2)&amp;"输出",标准坦克设计!$B$23:$U$23,0)))*(VLOOKUP($B205,INDIRECT($B$5&amp;"生成成长"),3))*(VLOOKUP($B$5,标准坦克设计!$B$14:$K$20,9)/30))</f>
        <v>10.581001161309645</v>
      </c>
      <c r="AM205" s="173">
        <f ca="1">(VLOOKUP(AM$72,INDIRECT($C$5&amp;"生成成长"),2))/((VLOOKUP($B205,INDIRECT($B$5&amp;"生成成长"),4))/(VLOOKUP(AM$72,INDIRECT($C$5&amp;"生成成长"),5))*(VLOOKUP($B$5,标准坦克设计!$B$24:$U$30,MATCH("对"&amp;LEFT($C$5,2)&amp;"输出",标准坦克设计!$B$23:$U$23,0)))*(VLOOKUP($B205,INDIRECT($B$5&amp;"生成成长"),3))*(VLOOKUP($B$5,标准坦克设计!$B$14:$K$20,9)/30))</f>
        <v>11.457408482346215</v>
      </c>
      <c r="AN205" s="173">
        <f ca="1">(VLOOKUP(AN$72,INDIRECT($C$5&amp;"生成成长"),2))/((VLOOKUP($B205,INDIRECT($B$5&amp;"生成成长"),4))/(VLOOKUP(AN$72,INDIRECT($C$5&amp;"生成成长"),5))*(VLOOKUP($B$5,标准坦克设计!$B$24:$U$30,MATCH("对"&amp;LEFT($C$5,2)&amp;"输出",标准坦克设计!$B$23:$U$23,0)))*(VLOOKUP($B205,INDIRECT($B$5&amp;"生成成长"),3))*(VLOOKUP($B$5,标准坦克设计!$B$14:$K$20,9)/30))</f>
        <v>12.368681917420403</v>
      </c>
      <c r="AO205" s="173">
        <f ca="1">(VLOOKUP(AO$72,INDIRECT($C$5&amp;"生成成长"),2))/((VLOOKUP($B205,INDIRECT($B$5&amp;"生成成长"),4))/(VLOOKUP(AO$72,INDIRECT($C$5&amp;"生成成长"),5))*(VLOOKUP($B$5,标准坦克设计!$B$24:$U$30,MATCH("对"&amp;LEFT($C$5,2)&amp;"输出",标准坦克设计!$B$23:$U$23,0)))*(VLOOKUP($B205,INDIRECT($B$5&amp;"生成成长"),3))*(VLOOKUP($B$5,标准坦克设计!$B$14:$K$20,9)/30))</f>
        <v>13.314821466532212</v>
      </c>
      <c r="AP205" s="173">
        <f ca="1">(VLOOKUP(AP$72,INDIRECT($C$5&amp;"生成成长"),2))/((VLOOKUP($B205,INDIRECT($B$5&amp;"生成成长"),4))/(VLOOKUP(AP$72,INDIRECT($C$5&amp;"生成成长"),5))*(VLOOKUP($B$5,标准坦克设计!$B$24:$U$30,MATCH("对"&amp;LEFT($C$5,2)&amp;"输出",标准坦克设计!$B$23:$U$23,0)))*(VLOOKUP($B205,INDIRECT($B$5&amp;"生成成长"),3))*(VLOOKUP($B$5,标准坦克设计!$B$14:$K$20,9)/30))</f>
        <v>14.295827129681646</v>
      </c>
      <c r="AQ205" s="173">
        <f ca="1">(VLOOKUP(AQ$72,INDIRECT($C$5&amp;"生成成长"),2))/((VLOOKUP($B205,INDIRECT($B$5&amp;"生成成长"),4))/(VLOOKUP(AQ$72,INDIRECT($C$5&amp;"生成成长"),5))*(VLOOKUP($B$5,标准坦克设计!$B$24:$U$30,MATCH("对"&amp;LEFT($C$5,2)&amp;"输出",标准坦克设计!$B$23:$U$23,0)))*(VLOOKUP($B205,INDIRECT($B$5&amp;"生成成长"),3))*(VLOOKUP($B$5,标准坦克设计!$B$14:$K$20,9)/30))</f>
        <v>15.311698906868694</v>
      </c>
      <c r="AR205" s="173">
        <f ca="1">(VLOOKUP(AR$72,INDIRECT($C$5&amp;"生成成长"),2))/((VLOOKUP($B205,INDIRECT($B$5&amp;"生成成长"),4))/(VLOOKUP(AR$72,INDIRECT($C$5&amp;"生成成长"),5))*(VLOOKUP($B$5,标准坦克设计!$B$24:$U$30,MATCH("对"&amp;LEFT($C$5,2)&amp;"输出",标准坦克设计!$B$23:$U$23,0)))*(VLOOKUP($B205,INDIRECT($B$5&amp;"生成成长"),3))*(VLOOKUP($B$5,标准坦克设计!$B$14:$K$20,9)/30))</f>
        <v>16.36243679809337</v>
      </c>
      <c r="AS205" s="173">
        <f ca="1">(VLOOKUP(AS$72,INDIRECT($C$5&amp;"生成成长"),2))/((VLOOKUP($B205,INDIRECT($B$5&amp;"生成成长"),4))/(VLOOKUP(AS$72,INDIRECT($C$5&amp;"生成成长"),5))*(VLOOKUP($B$5,标准坦克设计!$B$24:$U$30,MATCH("对"&amp;LEFT($C$5,2)&amp;"输出",标准坦克设计!$B$23:$U$23,0)))*(VLOOKUP($B205,INDIRECT($B$5&amp;"生成成长"),3))*(VLOOKUP($B$5,标准坦克设计!$B$14:$K$20,9)/30))</f>
        <v>17.448040803355664</v>
      </c>
      <c r="AT205" s="173">
        <f ca="1">(VLOOKUP(AT$72,INDIRECT($C$5&amp;"生成成长"),2))/((VLOOKUP($B205,INDIRECT($B$5&amp;"生成成长"),4))/(VLOOKUP(AT$72,INDIRECT($C$5&amp;"生成成长"),5))*(VLOOKUP($B$5,标准坦克设计!$B$24:$U$30,MATCH("对"&amp;LEFT($C$5,2)&amp;"输出",标准坦克设计!$B$23:$U$23,0)))*(VLOOKUP($B205,INDIRECT($B$5&amp;"生成成长"),3))*(VLOOKUP($B$5,标准坦克设计!$B$14:$K$20,9)/30))</f>
        <v>18.56851092265558</v>
      </c>
      <c r="AU205" s="173">
        <f ca="1">(VLOOKUP(AU$72,INDIRECT($C$5&amp;"生成成长"),2))/((VLOOKUP($B205,INDIRECT($B$5&amp;"生成成长"),4))/(VLOOKUP(AU$72,INDIRECT($C$5&amp;"生成成长"),5))*(VLOOKUP($B$5,标准坦克设计!$B$24:$U$30,MATCH("对"&amp;LEFT($C$5,2)&amp;"输出",标准坦克设计!$B$23:$U$23,0)))*(VLOOKUP($B205,INDIRECT($B$5&amp;"生成成长"),3))*(VLOOKUP($B$5,标准坦克设计!$B$14:$K$20,9)/30))</f>
        <v>19.72384715599312</v>
      </c>
      <c r="AV205" s="173">
        <f ca="1">(VLOOKUP(AV$72,INDIRECT($C$5&amp;"生成成长"),2))/((VLOOKUP($B205,INDIRECT($B$5&amp;"生成成长"),4))/(VLOOKUP(AV$72,INDIRECT($C$5&amp;"生成成长"),5))*(VLOOKUP($B$5,标准坦克设计!$B$24:$U$30,MATCH("对"&amp;LEFT($C$5,2)&amp;"输出",标准坦克设计!$B$23:$U$23,0)))*(VLOOKUP($B205,INDIRECT($B$5&amp;"生成成长"),3))*(VLOOKUP($B$5,标准坦克设计!$B$14:$K$20,9)/30))</f>
        <v>2.0060982308257715</v>
      </c>
      <c r="AW205" s="173">
        <f ca="1">(VLOOKUP(AW$72,INDIRECT($C$5&amp;"生成成长"),2))/((VLOOKUP($B205,INDIRECT($B$5&amp;"生成成长"),4))/(VLOOKUP(AW$72,INDIRECT($C$5&amp;"生成成长"),5))*(VLOOKUP($B$5,标准坦克设计!$B$24:$U$30,MATCH("对"&amp;LEFT($C$5,2)&amp;"输出",标准坦克设计!$B$23:$U$23,0)))*(VLOOKUP($B205,INDIRECT($B$5&amp;"生成成长"),3))*(VLOOKUP($B$5,标准坦克设计!$B$14:$K$20,9)/30))</f>
        <v>2.2873323407490629</v>
      </c>
      <c r="AX205" s="173">
        <f ca="1">(VLOOKUP(AX$72,INDIRECT($C$5&amp;"生成成长"),2))/((VLOOKUP($B205,INDIRECT($B$5&amp;"生成成长"),4))/(VLOOKUP(AX$72,INDIRECT($C$5&amp;"生成成长"),5))*(VLOOKUP($B$5,标准坦克设计!$B$24:$U$30,MATCH("对"&amp;LEFT($C$5,2)&amp;"输出",标准坦克设计!$B$23:$U$23,0)))*(VLOOKUP($B205,INDIRECT($B$5&amp;"生成成长"),3))*(VLOOKUP($B$5,标准坦克设计!$B$14:$K$20,9)/30))</f>
        <v>2.5870080316509307</v>
      </c>
      <c r="AY205" s="173">
        <f ca="1">(VLOOKUP(AY$72,INDIRECT($C$5&amp;"生成成长"),2))/((VLOOKUP($B205,INDIRECT($B$5&amp;"生成成长"),4))/(VLOOKUP(AY$72,INDIRECT($C$5&amp;"生成成长"),5))*(VLOOKUP($B$5,标准坦克设计!$B$24:$U$30,MATCH("对"&amp;LEFT($C$5,2)&amp;"输出",标准坦克设计!$B$23:$U$23,0)))*(VLOOKUP($B205,INDIRECT($B$5&amp;"生成成长"),3))*(VLOOKUP($B$5,标准坦克设计!$B$14:$K$20,9)/30))</f>
        <v>2.9051253035313747</v>
      </c>
      <c r="AZ205" s="173">
        <f ca="1">(VLOOKUP(AZ$72,INDIRECT($C$5&amp;"生成成长"),2))/((VLOOKUP($B205,INDIRECT($B$5&amp;"生成成长"),4))/(VLOOKUP(AZ$72,INDIRECT($C$5&amp;"生成成长"),5))*(VLOOKUP($B$5,标准坦克设计!$B$24:$U$30,MATCH("对"&amp;LEFT($C$5,2)&amp;"输出",标准坦克设计!$B$23:$U$23,0)))*(VLOOKUP($B205,INDIRECT($B$5&amp;"生成成长"),3))*(VLOOKUP($B$5,标准坦克设计!$B$14:$K$20,9)/30))</f>
        <v>3.2416841563903955</v>
      </c>
      <c r="BA205" s="173">
        <f ca="1">(VLOOKUP(BA$72,INDIRECT($C$5&amp;"生成成长"),2))/((VLOOKUP($B205,INDIRECT($B$5&amp;"生成成长"),4))/(VLOOKUP(BA$72,INDIRECT($C$5&amp;"生成成长"),5))*(VLOOKUP($B$5,标准坦克设计!$B$24:$U$30,MATCH("对"&amp;LEFT($C$5,2)&amp;"输出",标准坦克设计!$B$23:$U$23,0)))*(VLOOKUP($B205,INDIRECT($B$5&amp;"生成成长"),3))*(VLOOKUP($B$5,标准坦克设计!$B$14:$K$20,9)/30))</f>
        <v>3.5966845902279925</v>
      </c>
      <c r="BB205" s="173">
        <f ca="1">(VLOOKUP(BB$72,INDIRECT($C$5&amp;"生成成长"),2))/((VLOOKUP($B205,INDIRECT($B$5&amp;"生成成长"),4))/(VLOOKUP(BB$72,INDIRECT($C$5&amp;"生成成长"),5))*(VLOOKUP($B$5,标准坦克设计!$B$24:$U$30,MATCH("对"&amp;LEFT($C$5,2)&amp;"输出",标准坦克设计!$B$23:$U$23,0)))*(VLOOKUP($B205,INDIRECT($B$5&amp;"生成成长"),3))*(VLOOKUP($B$5,标准坦克设计!$B$14:$K$20,9)/30))</f>
        <v>3.9701266050441659</v>
      </c>
      <c r="BC205" s="173">
        <f ca="1">(VLOOKUP(BC$72,INDIRECT($C$5&amp;"生成成长"),2))/((VLOOKUP($B205,INDIRECT($B$5&amp;"生成成长"),4))/(VLOOKUP(BC$72,INDIRECT($C$5&amp;"生成成长"),5))*(VLOOKUP($B$5,标准坦克设计!$B$24:$U$30,MATCH("对"&amp;LEFT($C$5,2)&amp;"输出",标准坦克设计!$B$23:$U$23,0)))*(VLOOKUP($B205,INDIRECT($B$5&amp;"生成成长"),3))*(VLOOKUP($B$5,标准坦克设计!$B$14:$K$20,9)/30))</f>
        <v>4.3620102008389159</v>
      </c>
      <c r="BD205" s="173">
        <f ca="1">(VLOOKUP(BD$72,INDIRECT($C$5&amp;"生成成长"),2))/((VLOOKUP($B205,INDIRECT($B$5&amp;"生成成长"),4))/(VLOOKUP(BD$72,INDIRECT($C$5&amp;"生成成长"),5))*(VLOOKUP($B$5,标准坦克设计!$B$24:$U$30,MATCH("对"&amp;LEFT($C$5,2)&amp;"输出",标准坦克设计!$B$23:$U$23,0)))*(VLOOKUP($B205,INDIRECT($B$5&amp;"生成成长"),3))*(VLOOKUP($B$5,标准坦克设计!$B$14:$K$20,9)/30))</f>
        <v>4.8249226983714646</v>
      </c>
      <c r="BE205" s="173">
        <f ca="1">(VLOOKUP(BE$72,INDIRECT($C$5&amp;"生成成长"),2))/((VLOOKUP($B205,INDIRECT($B$5&amp;"生成成长"),4))/(VLOOKUP(BE$72,INDIRECT($C$5&amp;"生成成长"),5))*(VLOOKUP($B$5,标准坦克设计!$B$24:$U$30,MATCH("对"&amp;LEFT($C$5,2)&amp;"输出",标准坦克设计!$B$23:$U$23,0)))*(VLOOKUP($B205,INDIRECT($B$5&amp;"生成成长"),3))*(VLOOKUP($B$5,标准坦克设计!$B$14:$K$20,9)/30))</f>
        <v>5.3111753218300226</v>
      </c>
      <c r="BF205" s="173">
        <f ca="1">(VLOOKUP(BF$72,INDIRECT($C$5&amp;"生成成长"),2))/((VLOOKUP($B205,INDIRECT($B$5&amp;"生成成长"),4))/(VLOOKUP(BF$72,INDIRECT($C$5&amp;"生成成长"),5))*(VLOOKUP($B$5,标准坦克设计!$B$24:$U$30,MATCH("对"&amp;LEFT($C$5,2)&amp;"输出",标准坦克设计!$B$23:$U$23,0)))*(VLOOKUP($B205,INDIRECT($B$5&amp;"生成成长"),3))*(VLOOKUP($B$5,标准坦克设计!$B$14:$K$20,9)/30))</f>
        <v>5.8207680712145944</v>
      </c>
      <c r="BG205" s="173">
        <f ca="1">(VLOOKUP(BG$72,INDIRECT($C$5&amp;"生成成长"),2))/((VLOOKUP($B205,INDIRECT($B$5&amp;"生成成长"),4))/(VLOOKUP(BG$72,INDIRECT($C$5&amp;"生成成长"),5))*(VLOOKUP($B$5,标准坦克设计!$B$24:$U$30,MATCH("对"&amp;LEFT($C$5,2)&amp;"输出",标准坦克设计!$B$23:$U$23,0)))*(VLOOKUP($B205,INDIRECT($B$5&amp;"生成成长"),3))*(VLOOKUP($B$5,标准坦克设计!$B$14:$K$20,9)/30))</f>
        <v>6.3537009465251755</v>
      </c>
      <c r="BH205" s="173">
        <f ca="1">(VLOOKUP(BH$72,INDIRECT($C$5&amp;"生成成长"),2))/((VLOOKUP($B205,INDIRECT($B$5&amp;"生成成长"),4))/(VLOOKUP(BH$72,INDIRECT($C$5&amp;"生成成长"),5))*(VLOOKUP($B$5,标准坦克设计!$B$24:$U$30,MATCH("对"&amp;LEFT($C$5,2)&amp;"输出",标准坦克设计!$B$23:$U$23,0)))*(VLOOKUP($B205,INDIRECT($B$5&amp;"生成成长"),3))*(VLOOKUP($B$5,标准坦克设计!$B$14:$K$20,9)/30))</f>
        <v>3.0710995323385633</v>
      </c>
      <c r="BI205" s="173">
        <f ca="1">(VLOOKUP(BI$72,INDIRECT($C$5&amp;"生成成长"),2))/((VLOOKUP($B205,INDIRECT($B$5&amp;"生成成长"),4))/(VLOOKUP(BI$72,INDIRECT($C$5&amp;"生成成长"),5))*(VLOOKUP($B$5,标准坦克设计!$B$24:$U$30,MATCH("对"&amp;LEFT($C$5,2)&amp;"输出",标准坦克设计!$B$23:$U$23,0)))*(VLOOKUP($B205,INDIRECT($B$5&amp;"生成成长"),3))*(VLOOKUP($B$5,标准坦克设计!$B$14:$K$20,9)/30))</f>
        <v>3.4613983047679668</v>
      </c>
      <c r="BJ205" s="173">
        <f ca="1">(VLOOKUP(BJ$72,INDIRECT($C$5&amp;"生成成长"),2))/((VLOOKUP($B205,INDIRECT($B$5&amp;"生成成长"),4))/(VLOOKUP(BJ$72,INDIRECT($C$5&amp;"生成成长"),5))*(VLOOKUP($B$5,标准坦克设计!$B$24:$U$30,MATCH("对"&amp;LEFT($C$5,2)&amp;"输出",标准坦克设计!$B$23:$U$23,0)))*(VLOOKUP($B205,INDIRECT($B$5&amp;"生成成长"),3))*(VLOOKUP($B$5,标准坦克设计!$B$14:$K$20,9)/30))</f>
        <v>3.8750372031233811</v>
      </c>
      <c r="BK205" s="173">
        <f ca="1">(VLOOKUP(BK$72,INDIRECT($C$5&amp;"生成成长"),2))/((VLOOKUP($B205,INDIRECT($B$5&amp;"生成成长"),4))/(VLOOKUP(BK$72,INDIRECT($C$5&amp;"生成成长"),5))*(VLOOKUP($B$5,标准坦克设计!$B$24:$U$30,MATCH("对"&amp;LEFT($C$5,2)&amp;"输出",标准坦克设计!$B$23:$U$23,0)))*(VLOOKUP($B205,INDIRECT($B$5&amp;"生成成长"),3))*(VLOOKUP($B$5,标准坦克设计!$B$14:$K$20,9)/30))</f>
        <v>4.3120162274048059</v>
      </c>
      <c r="BL205" s="173">
        <f ca="1">(VLOOKUP(BL$72,INDIRECT($C$5&amp;"生成成长"),2))/((VLOOKUP($B205,INDIRECT($B$5&amp;"生成成长"),4))/(VLOOKUP(BL$72,INDIRECT($C$5&amp;"生成成长"),5))*(VLOOKUP($B$5,标准坦克设计!$B$24:$U$30,MATCH("对"&amp;LEFT($C$5,2)&amp;"输出",标准坦克设计!$B$23:$U$23,0)))*(VLOOKUP($B205,INDIRECT($B$5&amp;"生成成长"),3))*(VLOOKUP($B$5,标准坦克设计!$B$14:$K$20,9)/30))</f>
        <v>4.7723353776122428</v>
      </c>
      <c r="BM205" s="173">
        <f ca="1">(VLOOKUP(BM$72,INDIRECT($C$5&amp;"生成成长"),2))/((VLOOKUP($B205,INDIRECT($B$5&amp;"生成成长"),4))/(VLOOKUP(BM$72,INDIRECT($C$5&amp;"生成成长"),5))*(VLOOKUP($B$5,标准坦克设计!$B$24:$U$30,MATCH("对"&amp;LEFT($C$5,2)&amp;"输出",标准坦克设计!$B$23:$U$23,0)))*(VLOOKUP($B205,INDIRECT($B$5&amp;"生成成长"),3))*(VLOOKUP($B$5,标准坦克设计!$B$14:$K$20,9)/30))</f>
        <v>5.255994653745689</v>
      </c>
      <c r="BN205" s="173">
        <f ca="1">(VLOOKUP(BN$72,INDIRECT($C$5&amp;"生成成长"),2))/((VLOOKUP($B205,INDIRECT($B$5&amp;"生成成长"),4))/(VLOOKUP(BN$72,INDIRECT($C$5&amp;"生成成长"),5))*(VLOOKUP($B$5,标准坦克设计!$B$24:$U$30,MATCH("对"&amp;LEFT($C$5,2)&amp;"输出",标准坦克设计!$B$23:$U$23,0)))*(VLOOKUP($B205,INDIRECT($B$5&amp;"生成成长"),3))*(VLOOKUP($B$5,标准坦克设计!$B$14:$K$20,9)/30))</f>
        <v>5.7629940558051489</v>
      </c>
      <c r="BO205" s="173">
        <f ca="1">(VLOOKUP(BO$72,INDIRECT($C$5&amp;"生成成长"),2))/((VLOOKUP($B205,INDIRECT($B$5&amp;"生成成长"),4))/(VLOOKUP(BO$72,INDIRECT($C$5&amp;"生成成长"),5))*(VLOOKUP($B$5,标准坦克设计!$B$24:$U$30,MATCH("对"&amp;LEFT($C$5,2)&amp;"输出",标准坦克设计!$B$23:$U$23,0)))*(VLOOKUP($B205,INDIRECT($B$5&amp;"生成成长"),3))*(VLOOKUP($B$5,标准坦克设计!$B$14:$K$20,9)/30))</f>
        <v>6.2933335837906164</v>
      </c>
      <c r="BP205" s="173">
        <f ca="1">(VLOOKUP(BP$72,INDIRECT($C$5&amp;"生成成长"),2))/((VLOOKUP($B205,INDIRECT($B$5&amp;"生成成长"),4))/(VLOOKUP(BP$72,INDIRECT($C$5&amp;"生成成长"),5))*(VLOOKUP($B$5,标准坦克设计!$B$24:$U$30,MATCH("对"&amp;LEFT($C$5,2)&amp;"输出",标准坦克设计!$B$23:$U$23,0)))*(VLOOKUP($B205,INDIRECT($B$5&amp;"生成成长"),3))*(VLOOKUP($B$5,标准坦克设计!$B$14:$K$20,9)/30))</f>
        <v>6.847013237702094</v>
      </c>
      <c r="BQ205" s="173">
        <f ca="1">(VLOOKUP(BQ$72,INDIRECT($C$5&amp;"生成成长"),2))/((VLOOKUP($B205,INDIRECT($B$5&amp;"生成成长"),4))/(VLOOKUP(BQ$72,INDIRECT($C$5&amp;"生成成长"),5))*(VLOOKUP($B$5,标准坦克设计!$B$24:$U$30,MATCH("对"&amp;LEFT($C$5,2)&amp;"输出",标准坦克设计!$B$23:$U$23,0)))*(VLOOKUP($B205,INDIRECT($B$5&amp;"生成成长"),3))*(VLOOKUP($B$5,标准坦克设计!$B$14:$K$20,9)/30))</f>
        <v>7.4240330175395872</v>
      </c>
      <c r="BR205" s="173">
        <f ca="1">(VLOOKUP(BR$72,INDIRECT($C$5&amp;"生成成长"),2))/((VLOOKUP($B205,INDIRECT($B$5&amp;"生成成长"),4))/(VLOOKUP(BR$72,INDIRECT($C$5&amp;"生成成长"),5))*(VLOOKUP($B$5,标准坦克设计!$B$24:$U$30,MATCH("对"&amp;LEFT($C$5,2)&amp;"输出",标准坦克设计!$B$23:$U$23,0)))*(VLOOKUP($B205,INDIRECT($B$5&amp;"生成成长"),3))*(VLOOKUP($B$5,标准坦克设计!$B$14:$K$20,9)/30))</f>
        <v>8.0925403280129853</v>
      </c>
      <c r="BS205" s="173">
        <f ca="1">(VLOOKUP(BS$72,INDIRECT($C$5&amp;"生成成长"),2))/((VLOOKUP($B205,INDIRECT($B$5&amp;"生成成长"),4))/(VLOOKUP(BS$72,INDIRECT($C$5&amp;"生成成长"),5))*(VLOOKUP($B$5,标准坦克设计!$B$24:$U$30,MATCH("对"&amp;LEFT($C$5,2)&amp;"输出",标准坦克设计!$B$23:$U$23,0)))*(VLOOKUP($B205,INDIRECT($B$5&amp;"生成成长"),3))*(VLOOKUP($B$5,标准坦克设计!$B$14:$K$20,9)/30))</f>
        <v>8.7898626087654055</v>
      </c>
      <c r="BT205" s="173">
        <f ca="1">(VLOOKUP(BT$72,INDIRECT($C$5&amp;"生成成长"),2))/((VLOOKUP($B205,INDIRECT($B$5&amp;"生成成长"),4))/(VLOOKUP(BT$72,INDIRECT($C$5&amp;"生成成长"),5))*(VLOOKUP($B$5,标准坦克设计!$B$24:$U$30,MATCH("对"&amp;LEFT($C$5,2)&amp;"输出",标准坦克设计!$B$23:$U$23,0)))*(VLOOKUP($B205,INDIRECT($B$5&amp;"生成成长"),3))*(VLOOKUP($B$5,标准坦克设计!$B$14:$K$20,9)/30))</f>
        <v>9.5159998597968549</v>
      </c>
      <c r="BU205" s="173">
        <f ca="1">(VLOOKUP(BU$72,INDIRECT($C$5&amp;"生成成长"),2))/((VLOOKUP($B205,INDIRECT($B$5&amp;"生成成长"),4))/(VLOOKUP(BU$72,INDIRECT($C$5&amp;"生成成长"),5))*(VLOOKUP($B$5,标准坦克设计!$B$24:$U$30,MATCH("对"&amp;LEFT($C$5,2)&amp;"输出",标准坦克设计!$B$23:$U$23,0)))*(VLOOKUP($B205,INDIRECT($B$5&amp;"生成成长"),3))*(VLOOKUP($B$5,标准坦克设计!$B$14:$K$20,9)/30))</f>
        <v>10.27095208110733</v>
      </c>
      <c r="BV205" s="173">
        <f ca="1">(VLOOKUP(BV$72,INDIRECT($C$5&amp;"生成成长"),2))/((VLOOKUP($B205,INDIRECT($B$5&amp;"生成成长"),4))/(VLOOKUP(BV$72,INDIRECT($C$5&amp;"生成成长"),5))*(VLOOKUP($B$5,标准坦克设计!$B$24:$U$30,MATCH("对"&amp;LEFT($C$5,2)&amp;"输出",标准坦克设计!$B$23:$U$23,0)))*(VLOOKUP($B205,INDIRECT($B$5&amp;"生成成长"),3))*(VLOOKUP($B$5,标准坦克设计!$B$14:$K$20,9)/30))</f>
        <v>11.054719272696829</v>
      </c>
      <c r="BW205" s="173">
        <f ca="1">(VLOOKUP(BW$72,INDIRECT($C$5&amp;"生成成长"),2))/((VLOOKUP($B205,INDIRECT($B$5&amp;"生成成长"),4))/(VLOOKUP(BW$72,INDIRECT($C$5&amp;"生成成长"),5))*(VLOOKUP($B$5,标准坦克设计!$B$24:$U$30,MATCH("对"&amp;LEFT($C$5,2)&amp;"输出",标准坦克设计!$B$23:$U$23,0)))*(VLOOKUP($B205,INDIRECT($B$5&amp;"生成成长"),3))*(VLOOKUP($B$5,标准坦克设计!$B$14:$K$20,9)/30))</f>
        <v>5.0381534784362545</v>
      </c>
      <c r="BX205" s="173">
        <f ca="1">(VLOOKUP(BX$72,INDIRECT($C$5&amp;"生成成长"),2))/((VLOOKUP($B205,INDIRECT($B$5&amp;"生成成长"),4))/(VLOOKUP(BX$72,INDIRECT($C$5&amp;"生成成长"),5))*(VLOOKUP($B$5,标准坦克设计!$B$24:$U$30,MATCH("对"&amp;LEFT($C$5,2)&amp;"输出",标准坦克设计!$B$23:$U$23,0)))*(VLOOKUP($B205,INDIRECT($B$5&amp;"生成成长"),3))*(VLOOKUP($B$5,标准坦克设计!$B$14:$K$20,9)/30))</f>
        <v>5.5914009077935489</v>
      </c>
      <c r="BY205" s="173">
        <f ca="1">(VLOOKUP(BY$72,INDIRECT($C$5&amp;"生成成长"),2))/((VLOOKUP($B205,INDIRECT($B$5&amp;"生成成长"),4))/(VLOOKUP(BY$72,INDIRECT($C$5&amp;"生成成长"),5))*(VLOOKUP($B$5,标准坦克设计!$B$24:$U$30,MATCH("对"&amp;LEFT($C$5,2)&amp;"输出",标准坦克设计!$B$23:$U$23,0)))*(VLOOKUP($B205,INDIRECT($B$5&amp;"生成成长"),3))*(VLOOKUP($B$5,标准坦克设计!$B$14:$K$20,9)/30))</f>
        <v>6.173463307429869</v>
      </c>
      <c r="BZ205" s="173">
        <f ca="1">(VLOOKUP(BZ$72,INDIRECT($C$5&amp;"生成成长"),2))/((VLOOKUP($B205,INDIRECT($B$5&amp;"生成成长"),4))/(VLOOKUP(BZ$72,INDIRECT($C$5&amp;"生成成长"),5))*(VLOOKUP($B$5,标准坦克设计!$B$24:$U$30,MATCH("对"&amp;LEFT($C$5,2)&amp;"输出",标准坦克设计!$B$23:$U$23,0)))*(VLOOKUP($B205,INDIRECT($B$5&amp;"生成成长"),3))*(VLOOKUP($B$5,标准坦克设计!$B$14:$K$20,9)/30))</f>
        <v>6.7843406773452148</v>
      </c>
      <c r="CA205" s="173">
        <f ca="1">(VLOOKUP(CA$72,INDIRECT($C$5&amp;"生成成长"),2))/((VLOOKUP($B205,INDIRECT($B$5&amp;"生成成长"),4))/(VLOOKUP(CA$72,INDIRECT($C$5&amp;"生成成长"),5))*(VLOOKUP($B$5,标准坦克设计!$B$24:$U$30,MATCH("对"&amp;LEFT($C$5,2)&amp;"输出",标准坦克设计!$B$23:$U$23,0)))*(VLOOKUP($B205,INDIRECT($B$5&amp;"生成成长"),3))*(VLOOKUP($B$5,标准坦克设计!$B$14:$K$20,9)/30))</f>
        <v>7.4240330175395872</v>
      </c>
      <c r="CB205" s="173">
        <f ca="1">(VLOOKUP(CB$72,INDIRECT($C$5&amp;"生成成长"),2))/((VLOOKUP($B205,INDIRECT($B$5&amp;"生成成长"),4))/(VLOOKUP(CB$72,INDIRECT($C$5&amp;"生成成长"),5))*(VLOOKUP($B$5,标准坦克设计!$B$24:$U$30,MATCH("对"&amp;LEFT($C$5,2)&amp;"输出",标准坦克设计!$B$23:$U$23,0)))*(VLOOKUP($B205,INDIRECT($B$5&amp;"生成成长"),3))*(VLOOKUP($B$5,标准坦克设计!$B$14:$K$20,9)/30))</f>
        <v>8.0925403280129853</v>
      </c>
      <c r="CC205" s="173">
        <f ca="1">(VLOOKUP(CC$72,INDIRECT($C$5&amp;"生成成长"),2))/((VLOOKUP($B205,INDIRECT($B$5&amp;"生成成长"),4))/(VLOOKUP(CC$72,INDIRECT($C$5&amp;"生成成长"),5))*(VLOOKUP($B$5,标准坦克设计!$B$24:$U$30,MATCH("对"&amp;LEFT($C$5,2)&amp;"输出",标准坦克设计!$B$23:$U$23,0)))*(VLOOKUP($B205,INDIRECT($B$5&amp;"生成成长"),3))*(VLOOKUP($B$5,标准坦克设计!$B$14:$K$20,9)/30))</f>
        <v>8.7898626087654055</v>
      </c>
      <c r="CD205" s="173">
        <f ca="1">(VLOOKUP(CD$72,INDIRECT($C$5&amp;"生成成长"),2))/((VLOOKUP($B205,INDIRECT($B$5&amp;"生成成长"),4))/(VLOOKUP(CD$72,INDIRECT($C$5&amp;"生成成长"),5))*(VLOOKUP($B$5,标准坦克设计!$B$24:$U$30,MATCH("对"&amp;LEFT($C$5,2)&amp;"输出",标准坦克设计!$B$23:$U$23,0)))*(VLOOKUP($B205,INDIRECT($B$5&amp;"生成成长"),3))*(VLOOKUP($B$5,标准坦克设计!$B$14:$K$20,9)/30))</f>
        <v>9.5159998597968549</v>
      </c>
      <c r="CE205" s="173">
        <f ca="1">(VLOOKUP(CE$72,INDIRECT($C$5&amp;"生成成长"),2))/((VLOOKUP($B205,INDIRECT($B$5&amp;"生成成长"),4))/(VLOOKUP(CE$72,INDIRECT($C$5&amp;"生成成长"),5))*(VLOOKUP($B$5,标准坦克设计!$B$24:$U$30,MATCH("对"&amp;LEFT($C$5,2)&amp;"输出",标准坦克设计!$B$23:$U$23,0)))*(VLOOKUP($B205,INDIRECT($B$5&amp;"生成成长"),3))*(VLOOKUP($B$5,标准坦克设计!$B$14:$K$20,9)/30))</f>
        <v>10.27095208110733</v>
      </c>
      <c r="CF205" s="173">
        <f ca="1">(VLOOKUP(CF$72,INDIRECT($C$5&amp;"生成成长"),2))/((VLOOKUP($B205,INDIRECT($B$5&amp;"生成成长"),4))/(VLOOKUP(CF$72,INDIRECT($C$5&amp;"生成成长"),5))*(VLOOKUP($B$5,标准坦克设计!$B$24:$U$30,MATCH("对"&amp;LEFT($C$5,2)&amp;"输出",标准坦克设计!$B$23:$U$23,0)))*(VLOOKUP($B205,INDIRECT($B$5&amp;"生成成长"),3))*(VLOOKUP($B$5,标准坦克设计!$B$14:$K$20,9)/30))</f>
        <v>11.054719272696829</v>
      </c>
      <c r="CG205" s="173">
        <f ca="1">(VLOOKUP(CG$72,INDIRECT($C$5&amp;"生成成长"),2))/((VLOOKUP($B205,INDIRECT($B$5&amp;"生成成长"),4))/(VLOOKUP(CG$72,INDIRECT($C$5&amp;"生成成长"),5))*(VLOOKUP($B$5,标准坦克设计!$B$24:$U$30,MATCH("对"&amp;LEFT($C$5,2)&amp;"输出",标准坦克设计!$B$23:$U$23,0)))*(VLOOKUP($B205,INDIRECT($B$5&amp;"生成成长"),3))*(VLOOKUP($B$5,标准坦克设计!$B$14:$K$20,9)/30))</f>
        <v>11.867301434565354</v>
      </c>
      <c r="CH205" s="173">
        <f ca="1">(VLOOKUP(CH$72,INDIRECT($C$5&amp;"生成成长"),2))/((VLOOKUP($B205,INDIRECT($B$5&amp;"生成成长"),4))/(VLOOKUP(CH$72,INDIRECT($C$5&amp;"生成成长"),5))*(VLOOKUP($B$5,标准坦克设计!$B$24:$U$30,MATCH("对"&amp;LEFT($C$5,2)&amp;"输出",标准坦克设计!$B$23:$U$23,0)))*(VLOOKUP($B205,INDIRECT($B$5&amp;"生成成长"),3))*(VLOOKUP($B$5,标准坦克设计!$B$14:$K$20,9)/30))</f>
        <v>12.708698566712906</v>
      </c>
      <c r="CI205" s="173">
        <f ca="1">(VLOOKUP(CI$72,INDIRECT($C$5&amp;"生成成长"),2))/((VLOOKUP($B205,INDIRECT($B$5&amp;"生成成长"),4))/(VLOOKUP(CI$72,INDIRECT($C$5&amp;"生成成长"),5))*(VLOOKUP($B$5,标准坦克设计!$B$24:$U$30,MATCH("对"&amp;LEFT($C$5,2)&amp;"输出",标准坦克设计!$B$23:$U$23,0)))*(VLOOKUP($B205,INDIRECT($B$5&amp;"生成成长"),3))*(VLOOKUP($B$5,标准坦克设计!$B$14:$K$20,9)/30))</f>
        <v>13.667516702747488</v>
      </c>
      <c r="CJ205" s="173">
        <f ca="1">(VLOOKUP(CJ$72,INDIRECT($C$5&amp;"生成成长"),2))/((VLOOKUP($B205,INDIRECT($B$5&amp;"生成成长"),4))/(VLOOKUP(CJ$72,INDIRECT($C$5&amp;"生成成长"),5))*(VLOOKUP($B$5,标准坦克设计!$B$24:$U$30,MATCH("对"&amp;LEFT($C$5,2)&amp;"输出",标准坦克设计!$B$23:$U$23,0)))*(VLOOKUP($B205,INDIRECT($B$5&amp;"生成成长"),3))*(VLOOKUP($B$5,标准坦克设计!$B$14:$K$20,9)/30))</f>
        <v>14.661200952819692</v>
      </c>
      <c r="CK205" s="173">
        <f ca="1">(VLOOKUP(CK$72,INDIRECT($C$5&amp;"生成成长"),2))/((VLOOKUP($B205,INDIRECT($B$5&amp;"生成成长"),4))/(VLOOKUP(CK$72,INDIRECT($C$5&amp;"生成成长"),5))*(VLOOKUP($B$5,标准坦克设计!$B$24:$U$30,MATCH("对"&amp;LEFT($C$5,2)&amp;"输出",标准坦克设计!$B$23:$U$23,0)))*(VLOOKUP($B205,INDIRECT($B$5&amp;"生成成长"),3))*(VLOOKUP($B$5,标准坦克设计!$B$14:$K$20,9)/30))</f>
        <v>15.689751316929513</v>
      </c>
      <c r="CL205" s="173">
        <f ca="1">(VLOOKUP(CL$72,INDIRECT($C$5&amp;"生成成长"),2))/((VLOOKUP($B205,INDIRECT($B$5&amp;"生成成长"),4))/(VLOOKUP(CL$72,INDIRECT($C$5&amp;"生成成长"),5))*(VLOOKUP($B$5,标准坦克设计!$B$24:$U$30,MATCH("对"&amp;LEFT($C$5,2)&amp;"输出",标准坦克设计!$B$23:$U$23,0)))*(VLOOKUP($B205,INDIRECT($B$5&amp;"生成成长"),3))*(VLOOKUP($B$5,标准坦克设计!$B$14:$K$20,9)/30))</f>
        <v>16.753167795076962</v>
      </c>
      <c r="CM205" s="173">
        <f ca="1">(VLOOKUP(CM$72,INDIRECT($C$5&amp;"生成成长"),2))/((VLOOKUP($B205,INDIRECT($B$5&amp;"生成成长"),4))/(VLOOKUP(CM$72,INDIRECT($C$5&amp;"生成成长"),5))*(VLOOKUP($B$5,标准坦克设计!$B$24:$U$30,MATCH("对"&amp;LEFT($C$5,2)&amp;"输出",标准坦克设计!$B$23:$U$23,0)))*(VLOOKUP($B205,INDIRECT($B$5&amp;"生成成长"),3))*(VLOOKUP($B$5,标准坦克设计!$B$14:$K$20,9)/30))</f>
        <v>17.851450387262027</v>
      </c>
      <c r="CN205" s="173">
        <f ca="1">(VLOOKUP(CN$72,INDIRECT($C$5&amp;"生成成长"),2))/((VLOOKUP($B205,INDIRECT($B$5&amp;"生成成长"),4))/(VLOOKUP(CN$72,INDIRECT($C$5&amp;"生成成长"),5))*(VLOOKUP($B$5,标准坦克设计!$B$24:$U$30,MATCH("对"&amp;LEFT($C$5,2)&amp;"输出",标准坦克设计!$B$23:$U$23,0)))*(VLOOKUP($B205,INDIRECT($B$5&amp;"生成成长"),3))*(VLOOKUP($B$5,标准坦克设计!$B$14:$K$20,9)/30))</f>
        <v>18.984599093484711</v>
      </c>
      <c r="CO205" s="173">
        <f ca="1">(VLOOKUP(CO$72,INDIRECT($C$5&amp;"生成成长"),2))/((VLOOKUP($B205,INDIRECT($B$5&amp;"生成成长"),4))/(VLOOKUP(CO$72,INDIRECT($C$5&amp;"生成成长"),5))*(VLOOKUP($B$5,标准坦克设计!$B$24:$U$30,MATCH("对"&amp;LEFT($C$5,2)&amp;"输出",标准坦克设计!$B$23:$U$23,0)))*(VLOOKUP($B205,INDIRECT($B$5&amp;"生成成长"),3))*(VLOOKUP($B$5,标准坦克设计!$B$14:$K$20,9)/30))</f>
        <v>8.5074759000309541</v>
      </c>
      <c r="CP205" s="173">
        <f ca="1">(VLOOKUP(CP$72,INDIRECT($C$5&amp;"生成成长"),2))/((VLOOKUP($B205,INDIRECT($B$5&amp;"生成成长"),4))/(VLOOKUP(CP$72,INDIRECT($C$5&amp;"生成成长"),5))*(VLOOKUP($B$5,标准坦克设计!$B$24:$U$30,MATCH("对"&amp;LEFT($C$5,2)&amp;"输出",标准坦克设计!$B$23:$U$23,0)))*(VLOOKUP($B205,INDIRECT($B$5&amp;"生成成长"),3))*(VLOOKUP($B$5,标准坦克设计!$B$14:$K$20,9)/30))</f>
        <v>9.2951331126081218</v>
      </c>
      <c r="CQ205" s="173">
        <f ca="1">(VLOOKUP(CQ$72,INDIRECT($C$5&amp;"生成成长"),2))/((VLOOKUP($B205,INDIRECT($B$5&amp;"生成成长"),4))/(VLOOKUP(CQ$72,INDIRECT($C$5&amp;"生成成长"),5))*(VLOOKUP($B$5,标准坦克设计!$B$24:$U$30,MATCH("对"&amp;LEFT($C$5,2)&amp;"输出",标准坦克设计!$B$23:$U$23,0)))*(VLOOKUP($B205,INDIRECT($B$5&amp;"生成成长"),3))*(VLOOKUP($B$5,标准坦克设计!$B$14:$K$20,9)/30))</f>
        <v>10.117656439222911</v>
      </c>
      <c r="CR205" s="173">
        <f ca="1">(VLOOKUP(CR$72,INDIRECT($C$5&amp;"生成成长"),2))/((VLOOKUP($B205,INDIRECT($B$5&amp;"生成成长"),4))/(VLOOKUP(CR$72,INDIRECT($C$5&amp;"生成成长"),5))*(VLOOKUP($B$5,标准坦克设计!$B$24:$U$30,MATCH("对"&amp;LEFT($C$5,2)&amp;"输出",标准坦克设计!$B$23:$U$23,0)))*(VLOOKUP($B205,INDIRECT($B$5&amp;"生成成长"),3))*(VLOOKUP($B$5,标准坦克设计!$B$14:$K$20,9)/30))</f>
        <v>10.975045879875323</v>
      </c>
      <c r="CS205" s="173">
        <f ca="1">(VLOOKUP(CS$72,INDIRECT($C$5&amp;"生成成长"),2))/((VLOOKUP($B205,INDIRECT($B$5&amp;"生成成长"),4))/(VLOOKUP(CS$72,INDIRECT($C$5&amp;"生成成长"),5))*(VLOOKUP($B$5,标准坦克设计!$B$24:$U$30,MATCH("对"&amp;LEFT($C$5,2)&amp;"输出",标准坦克设计!$B$23:$U$23,0)))*(VLOOKUP($B205,INDIRECT($B$5&amp;"生成成长"),3))*(VLOOKUP($B$5,标准坦克设计!$B$14:$K$20,9)/30))</f>
        <v>11.867301434565354</v>
      </c>
      <c r="CT205" s="173">
        <f ca="1">(VLOOKUP(CT$72,INDIRECT($C$5&amp;"生成成长"),2))/((VLOOKUP($B205,INDIRECT($B$5&amp;"生成成长"),4))/(VLOOKUP(CT$72,INDIRECT($C$5&amp;"生成成长"),5))*(VLOOKUP($B$5,标准坦克设计!$B$24:$U$30,MATCH("对"&amp;LEFT($C$5,2)&amp;"输出",标准坦克设计!$B$23:$U$23,0)))*(VLOOKUP($B205,INDIRECT($B$5&amp;"生成成长"),3))*(VLOOKUP($B$5,标准坦克设计!$B$14:$K$20,9)/30))</f>
        <v>12.794423103293008</v>
      </c>
      <c r="CU205" s="173">
        <f ca="1">(VLOOKUP(CU$72,INDIRECT($C$5&amp;"生成成长"),2))/((VLOOKUP($B205,INDIRECT($B$5&amp;"生成成长"),4))/(VLOOKUP(CU$72,INDIRECT($C$5&amp;"生成成长"),5))*(VLOOKUP($B$5,标准坦克设计!$B$24:$U$30,MATCH("对"&amp;LEFT($C$5,2)&amp;"输出",标准坦克设计!$B$23:$U$23,0)))*(VLOOKUP($B205,INDIRECT($B$5&amp;"生成成长"),3))*(VLOOKUP($B$5,标准坦克设计!$B$14:$K$20,9)/30))</f>
        <v>13.756410886058282</v>
      </c>
      <c r="CV205" s="173">
        <f ca="1">(VLOOKUP(CV$72,INDIRECT($C$5&amp;"生成成长"),2))/((VLOOKUP($B205,INDIRECT($B$5&amp;"生成成长"),4))/(VLOOKUP(CV$72,INDIRECT($C$5&amp;"生成成长"),5))*(VLOOKUP($B$5,标准坦克设计!$B$24:$U$30,MATCH("对"&amp;LEFT($C$5,2)&amp;"输出",标准坦克设计!$B$23:$U$23,0)))*(VLOOKUP($B205,INDIRECT($B$5&amp;"生成成长"),3))*(VLOOKUP($B$5,标准坦克设计!$B$14:$K$20,9)/30))</f>
        <v>14.753264782861176</v>
      </c>
      <c r="CW205" s="173">
        <f ca="1">(VLOOKUP(CW$72,INDIRECT($C$5&amp;"生成成长"),2))/((VLOOKUP($B205,INDIRECT($B$5&amp;"生成成长"),4))/(VLOOKUP(CW$72,INDIRECT($C$5&amp;"生成成长"),5))*(VLOOKUP($B$5,标准坦克设计!$B$24:$U$30,MATCH("对"&amp;LEFT($C$5,2)&amp;"输出",标准坦克设计!$B$23:$U$23,0)))*(VLOOKUP($B205,INDIRECT($B$5&amp;"生成成长"),3))*(VLOOKUP($B$5,标准坦克设计!$B$14:$K$20,9)/30))</f>
        <v>15.784984793701694</v>
      </c>
      <c r="CX205" s="173">
        <f ca="1">(VLOOKUP(CX$72,INDIRECT($C$5&amp;"生成成长"),2))/((VLOOKUP($B205,INDIRECT($B$5&amp;"生成成长"),4))/(VLOOKUP(CX$72,INDIRECT($C$5&amp;"生成成长"),5))*(VLOOKUP($B$5,标准坦克设计!$B$24:$U$30,MATCH("对"&amp;LEFT($C$5,2)&amp;"输出",标准坦克设计!$B$23:$U$23,0)))*(VLOOKUP($B205,INDIRECT($B$5&amp;"生成成长"),3))*(VLOOKUP($B$5,标准坦克设计!$B$14:$K$20,9)/30))</f>
        <v>16.851570918579831</v>
      </c>
      <c r="CY205" s="173">
        <f ca="1">(VLOOKUP(CY$72,INDIRECT($C$5&amp;"生成成长"),2))/((VLOOKUP($B205,INDIRECT($B$5&amp;"生成成长"),4))/(VLOOKUP(CY$72,INDIRECT($C$5&amp;"生成成长"),5))*(VLOOKUP($B$5,标准坦克设计!$B$24:$U$30,MATCH("对"&amp;LEFT($C$5,2)&amp;"输出",标准坦克设计!$B$23:$U$23,0)))*(VLOOKUP($B205,INDIRECT($B$5&amp;"生成成长"),3))*(VLOOKUP($B$5,标准坦克设计!$B$14:$K$20,9)/30))</f>
        <v>17.953023157495586</v>
      </c>
      <c r="CZ205" s="173">
        <f ca="1">(VLOOKUP(CZ$72,INDIRECT($C$5&amp;"生成成长"),2))/((VLOOKUP($B205,INDIRECT($B$5&amp;"生成成长"),4))/(VLOOKUP(CZ$72,INDIRECT($C$5&amp;"生成成长"),5))*(VLOOKUP($B$5,标准坦克设计!$B$24:$U$30,MATCH("对"&amp;LEFT($C$5,2)&amp;"输出",标准坦克设计!$B$23:$U$23,0)))*(VLOOKUP($B205,INDIRECT($B$5&amp;"生成成长"),3))*(VLOOKUP($B$5,标准坦克设计!$B$14:$K$20,9)/30))</f>
        <v>19.089341510448971</v>
      </c>
      <c r="DA205" s="173">
        <f ca="1">(VLOOKUP(DA$72,INDIRECT($C$5&amp;"生成成长"),2))/((VLOOKUP($B205,INDIRECT($B$5&amp;"生成成长"),4))/(VLOOKUP(DA$72,INDIRECT($C$5&amp;"生成成长"),5))*(VLOOKUP($B$5,标准坦克设计!$B$24:$U$30,MATCH("对"&amp;LEFT($C$5,2)&amp;"输出",标准坦克设计!$B$23:$U$23,0)))*(VLOOKUP($B205,INDIRECT($B$5&amp;"生成成长"),3))*(VLOOKUP($B$5,标准坦克设计!$B$14:$K$20,9)/30))</f>
        <v>20.260525977439976</v>
      </c>
      <c r="DB205" s="173">
        <f ca="1">(VLOOKUP(DB$72,INDIRECT($C$5&amp;"生成成长"),2))/((VLOOKUP($B205,INDIRECT($B$5&amp;"生成成长"),4))/(VLOOKUP(DB$72,INDIRECT($C$5&amp;"生成成长"),5))*(VLOOKUP($B$5,标准坦克设计!$B$24:$U$30,MATCH("对"&amp;LEFT($C$5,2)&amp;"输出",标准坦克设计!$B$23:$U$23,0)))*(VLOOKUP($B205,INDIRECT($B$5&amp;"生成成长"),3))*(VLOOKUP($B$5,标准坦克设计!$B$14:$K$20,9)/30))</f>
        <v>21.466576558468592</v>
      </c>
      <c r="DC205" s="173">
        <f ca="1">(VLOOKUP(DC$72,INDIRECT($C$5&amp;"生成成长"),2))/((VLOOKUP($B205,INDIRECT($B$5&amp;"生成成长"),4))/(VLOOKUP(DC$72,INDIRECT($C$5&amp;"生成成长"),5))*(VLOOKUP($B$5,标准坦克设计!$B$24:$U$30,MATCH("对"&amp;LEFT($C$5,2)&amp;"输出",标准坦克设计!$B$23:$U$23,0)))*(VLOOKUP($B205,INDIRECT($B$5&amp;"生成成长"),3))*(VLOOKUP($B$5,标准坦克设计!$B$14:$K$20,9)/30))</f>
        <v>22.822032760393963</v>
      </c>
      <c r="DD205" s="173">
        <f ca="1">(VLOOKUP(DD$72,INDIRECT($C$5&amp;"生成成长"),2))/((VLOOKUP($B205,INDIRECT($B$5&amp;"生成成长"),4))/(VLOOKUP(DD$72,INDIRECT($C$5&amp;"生成成长"),5))*(VLOOKUP($B$5,标准坦克设计!$B$24:$U$30,MATCH("对"&amp;LEFT($C$5,2)&amp;"输出",标准坦克设计!$B$23:$U$23,0)))*(VLOOKUP($B205,INDIRECT($B$5&amp;"生成成长"),3))*(VLOOKUP($B$5,标准坦克设计!$B$14:$K$20,9)/30))</f>
        <v>24.218982519521134</v>
      </c>
      <c r="DE205" s="173">
        <f ca="1">(VLOOKUP(DE$72,INDIRECT($C$5&amp;"生成成长"),2))/((VLOOKUP($B205,INDIRECT($B$5&amp;"生成成长"),4))/(VLOOKUP(DE$72,INDIRECT($C$5&amp;"生成成长"),5))*(VLOOKUP($B$5,标准坦克设计!$B$24:$U$30,MATCH("对"&amp;LEFT($C$5,2)&amp;"输出",标准坦克设计!$B$23:$U$23,0)))*(VLOOKUP($B205,INDIRECT($B$5&amp;"生成成长"),3))*(VLOOKUP($B$5,标准坦克设计!$B$14:$K$20,9)/30))</f>
        <v>25.657425835850098</v>
      </c>
      <c r="DF205" s="173">
        <f ca="1">(VLOOKUP(DF$72,INDIRECT($C$5&amp;"生成成长"),2))/((VLOOKUP($B205,INDIRECT($B$5&amp;"生成成长"),4))/(VLOOKUP(DF$72,INDIRECT($C$5&amp;"生成成长"),5))*(VLOOKUP($B$5,标准坦克设计!$B$24:$U$30,MATCH("对"&amp;LEFT($C$5,2)&amp;"输出",标准坦克设计!$B$23:$U$23,0)))*(VLOOKUP($B205,INDIRECT($B$5&amp;"生成成长"),3))*(VLOOKUP($B$5,标准坦克设计!$B$14:$K$20,9)/30))</f>
        <v>27.137362709380859</v>
      </c>
      <c r="DG205" s="173">
        <f ca="1">(VLOOKUP(DG$72,INDIRECT($C$5&amp;"生成成长"),2))/((VLOOKUP($B205,INDIRECT($B$5&amp;"生成成长"),4))/(VLOOKUP(DG$72,INDIRECT($C$5&amp;"生成成长"),5))*(VLOOKUP($B$5,标准坦克设计!$B$24:$U$30,MATCH("对"&amp;LEFT($C$5,2)&amp;"输出",标准坦克设计!$B$23:$U$23,0)))*(VLOOKUP($B205,INDIRECT($B$5&amp;"生成成长"),3))*(VLOOKUP($B$5,标准坦克设计!$B$14:$K$20,9)/30))</f>
        <v>28.658793140113421</v>
      </c>
      <c r="DH205" s="173">
        <f ca="1">(VLOOKUP(DH$72,INDIRECT($C$5&amp;"生成成长"),2))/((VLOOKUP($B205,INDIRECT($B$5&amp;"生成成长"),4))/(VLOOKUP(DH$72,INDIRECT($C$5&amp;"生成成长"),5))*(VLOOKUP($B$5,标准坦克设计!$B$24:$U$30,MATCH("对"&amp;LEFT($C$5,2)&amp;"输出",标准坦克设计!$B$23:$U$23,0)))*(VLOOKUP($B205,INDIRECT($B$5&amp;"生成成长"),3))*(VLOOKUP($B$5,标准坦克设计!$B$14:$K$20,9)/30))</f>
        <v>30.221717128047771</v>
      </c>
      <c r="DI205" s="173">
        <f ca="1">(VLOOKUP(DI$72,INDIRECT($C$5&amp;"生成成长"),2))/((VLOOKUP($B205,INDIRECT($B$5&amp;"生成成长"),4))/(VLOOKUP(DI$72,INDIRECT($C$5&amp;"生成成长"),5))*(VLOOKUP($B$5,标准坦克设计!$B$24:$U$30,MATCH("对"&amp;LEFT($C$5,2)&amp;"输出",标准坦克设计!$B$23:$U$23,0)))*(VLOOKUP($B205,INDIRECT($B$5&amp;"生成成长"),3))*(VLOOKUP($B$5,标准坦克设计!$B$14:$K$20,9)/30))</f>
        <v>31.826134673183926</v>
      </c>
      <c r="DJ205" s="173">
        <f ca="1">(VLOOKUP(DJ$72,INDIRECT($C$5&amp;"生成成长"),2))/((VLOOKUP($B205,INDIRECT($B$5&amp;"生成成长"),4))/(VLOOKUP(DJ$72,INDIRECT($C$5&amp;"生成成长"),5))*(VLOOKUP($B$5,标准坦克设计!$B$24:$U$30,MATCH("对"&amp;LEFT($C$5,2)&amp;"输出",标准坦克设计!$B$23:$U$23,0)))*(VLOOKUP($B205,INDIRECT($B$5&amp;"生成成长"),3))*(VLOOKUP($B$5,标准坦克设计!$B$14:$K$20,9)/30))</f>
        <v>3.198605775823252</v>
      </c>
      <c r="DK205" s="173">
        <f ca="1">(VLOOKUP(DK$72,INDIRECT($C$5&amp;"生成成长"),2))/((VLOOKUP($B205,INDIRECT($B$5&amp;"生成成长"),4))/(VLOOKUP(DK$72,INDIRECT($C$5&amp;"生成成长"),5))*(VLOOKUP($B$5,标准坦克设计!$B$24:$U$30,MATCH("对"&amp;LEFT($C$5,2)&amp;"输出",标准坦克设计!$B$23:$U$23,0)))*(VLOOKUP($B205,INDIRECT($B$5&amp;"生成成长"),3))*(VLOOKUP($B$5,标准坦克设计!$B$14:$K$20,9)/30))</f>
        <v>3.5966845902279925</v>
      </c>
      <c r="DL205" s="173">
        <f ca="1">(VLOOKUP(DL$72,INDIRECT($C$5&amp;"生成成长"),2))/((VLOOKUP($B205,INDIRECT($B$5&amp;"生成成长"),4))/(VLOOKUP(DL$72,INDIRECT($C$5&amp;"生成成长"),5))*(VLOOKUP($B$5,标准坦克设计!$B$24:$U$30,MATCH("对"&amp;LEFT($C$5,2)&amp;"输出",标准坦克设计!$B$23:$U$23,0)))*(VLOOKUP($B205,INDIRECT($B$5&amp;"生成成长"),3))*(VLOOKUP($B$5,标准坦克设计!$B$14:$K$20,9)/30))</f>
        <v>4.0181035305587436</v>
      </c>
      <c r="DM205" s="173">
        <f ca="1">(VLOOKUP(DM$72,INDIRECT($C$5&amp;"生成成长"),2))/((VLOOKUP($B205,INDIRECT($B$5&amp;"生成成长"),4))/(VLOOKUP(DM$72,INDIRECT($C$5&amp;"生成成长"),5))*(VLOOKUP($B$5,标准坦克设计!$B$24:$U$30,MATCH("对"&amp;LEFT($C$5,2)&amp;"输出",标准坦克设计!$B$23:$U$23,0)))*(VLOOKUP($B205,INDIRECT($B$5&amp;"生成成长"),3))*(VLOOKUP($B$5,标准坦克设计!$B$14:$K$20,9)/30))</f>
        <v>4.4628625968155067</v>
      </c>
      <c r="DN205" s="173">
        <f ca="1">(VLOOKUP(DN$72,INDIRECT($C$5&amp;"生成成长"),2))/((VLOOKUP($B205,INDIRECT($B$5&amp;"生成成长"),4))/(VLOOKUP(DN$72,INDIRECT($C$5&amp;"生成成长"),5))*(VLOOKUP($B$5,标准坦克设计!$B$24:$U$30,MATCH("对"&amp;LEFT($C$5,2)&amp;"输出",标准坦克设计!$B$23:$U$23,0)))*(VLOOKUP($B205,INDIRECT($B$5&amp;"生成成长"),3))*(VLOOKUP($B$5,标准坦克设计!$B$14:$K$20,9)/30))</f>
        <v>4.93096178899828</v>
      </c>
      <c r="DO205" s="173">
        <f ca="1">(VLOOKUP(DO$72,INDIRECT($C$5&amp;"生成成长"),2))/((VLOOKUP($B205,INDIRECT($B$5&amp;"生成成长"),4))/(VLOOKUP(DO$72,INDIRECT($C$5&amp;"生成成长"),5))*(VLOOKUP($B$5,标准坦克设计!$B$24:$U$30,MATCH("对"&amp;LEFT($C$5,2)&amp;"输出",标准坦克设计!$B$23:$U$23,0)))*(VLOOKUP($B205,INDIRECT($B$5&amp;"生成成长"),3))*(VLOOKUP($B$5,标准坦克设计!$B$14:$K$20,9)/30))</f>
        <v>5.4224011071070626</v>
      </c>
      <c r="DP205" s="173">
        <f ca="1">(VLOOKUP(DP$72,INDIRECT($C$5&amp;"生成成长"),2))/((VLOOKUP($B205,INDIRECT($B$5&amp;"生成成长"),4))/(VLOOKUP(DP$72,INDIRECT($C$5&amp;"生成成长"),5))*(VLOOKUP($B$5,标准坦克设计!$B$24:$U$30,MATCH("对"&amp;LEFT($C$5,2)&amp;"输出",标准坦克设计!$B$23:$U$23,0)))*(VLOOKUP($B205,INDIRECT($B$5&amp;"生成成长"),3))*(VLOOKUP($B$5,标准坦克设计!$B$14:$K$20,9)/30))</f>
        <v>5.9371805511418581</v>
      </c>
      <c r="DQ205" s="173">
        <f ca="1">(VLOOKUP(DQ$72,INDIRECT($C$5&amp;"生成成长"),2))/((VLOOKUP($B205,INDIRECT($B$5&amp;"生成成长"),4))/(VLOOKUP(DQ$72,INDIRECT($C$5&amp;"生成成长"),5))*(VLOOKUP($B$5,标准坦克设计!$B$24:$U$30,MATCH("对"&amp;LEFT($C$5,2)&amp;"输出",标准坦克设计!$B$23:$U$23,0)))*(VLOOKUP($B205,INDIRECT($B$5&amp;"生成成长"),3))*(VLOOKUP($B$5,标准坦克设计!$B$14:$K$20,9)/30))</f>
        <v>6.4753001211026637</v>
      </c>
      <c r="DR205" s="173">
        <f ca="1">(VLOOKUP(DR$72,INDIRECT($C$5&amp;"生成成长"),2))/((VLOOKUP($B205,INDIRECT($B$5&amp;"生成成长"),4))/(VLOOKUP(DR$72,INDIRECT($C$5&amp;"生成成长"),5))*(VLOOKUP($B$5,标准坦克设计!$B$24:$U$30,MATCH("对"&amp;LEFT($C$5,2)&amp;"输出",标准坦克设计!$B$23:$U$23,0)))*(VLOOKUP($B205,INDIRECT($B$5&amp;"生成成长"),3))*(VLOOKUP($B$5,标准坦克设计!$B$14:$K$20,9)/30))</f>
        <v>7.0367598169894814</v>
      </c>
      <c r="DS205" s="173">
        <f ca="1">(VLOOKUP(DS$72,INDIRECT($C$5&amp;"生成成长"),2))/((VLOOKUP($B205,INDIRECT($B$5&amp;"生成成长"),4))/(VLOOKUP(DS$72,INDIRECT($C$5&amp;"生成成长"),5))*(VLOOKUP($B$5,标准坦克设计!$B$24:$U$30,MATCH("对"&amp;LEFT($C$5,2)&amp;"输出",标准坦克设计!$B$23:$U$23,0)))*(VLOOKUP($B205,INDIRECT($B$5&amp;"生成成长"),3))*(VLOOKUP($B$5,标准坦克设计!$B$14:$K$20,9)/30))</f>
        <v>7.6215596388023075</v>
      </c>
      <c r="DT205" s="173">
        <f ca="1">(VLOOKUP(DT$72,INDIRECT($C$5&amp;"生成成长"),2))/((VLOOKUP($B205,INDIRECT($B$5&amp;"生成成长"),4))/(VLOOKUP(DT$72,INDIRECT($C$5&amp;"生成成长"),5))*(VLOOKUP($B$5,标准坦克设计!$B$24:$U$30,MATCH("对"&amp;LEFT($C$5,2)&amp;"输出",标准坦克设计!$B$23:$U$23,0)))*(VLOOKUP($B205,INDIRECT($B$5&amp;"生成成长"),3))*(VLOOKUP($B$5,标准坦克设计!$B$14:$K$20,9)/30))</f>
        <v>8.3680114438804676</v>
      </c>
      <c r="DU205" s="173">
        <f ca="1">(VLOOKUP(DU$72,INDIRECT($C$5&amp;"生成成长"),2))/((VLOOKUP($B205,INDIRECT($B$5&amp;"生成成长"),4))/(VLOOKUP(DU$72,INDIRECT($C$5&amp;"生成成长"),5))*(VLOOKUP($B$5,标准坦克设计!$B$24:$U$30,MATCH("对"&amp;LEFT($C$5,2)&amp;"输出",标准坦克设计!$B$23:$U$23,0)))*(VLOOKUP($B205,INDIRECT($B$5&amp;"生成成长"),3))*(VLOOKUP($B$5,标准坦克设计!$B$14:$K$20,9)/30))</f>
        <v>9.1493293629962515</v>
      </c>
      <c r="DV205" s="173">
        <f ca="1">(VLOOKUP(DV$72,INDIRECT($C$5&amp;"生成成长"),2))/((VLOOKUP($B205,INDIRECT($B$5&amp;"生成成长"),4))/(VLOOKUP(DV$72,INDIRECT($C$5&amp;"生成成长"),5))*(VLOOKUP($B$5,标准坦克设计!$B$24:$U$30,MATCH("对"&amp;LEFT($C$5,2)&amp;"输出",标准坦克设计!$B$23:$U$23,0)))*(VLOOKUP($B205,INDIRECT($B$5&amp;"生成成长"),3))*(VLOOKUP($B$5,标准坦克设计!$B$14:$K$20,9)/30))</f>
        <v>9.9655133961496549</v>
      </c>
      <c r="DW205" s="173">
        <f ca="1">(VLOOKUP(DW$72,INDIRECT($C$5&amp;"生成成长"),2))/((VLOOKUP($B205,INDIRECT($B$5&amp;"生成成长"),4))/(VLOOKUP(DW$72,INDIRECT($C$5&amp;"生成成长"),5))*(VLOOKUP($B$5,标准坦克设计!$B$24:$U$30,MATCH("对"&amp;LEFT($C$5,2)&amp;"输出",标准坦克设计!$B$23:$U$23,0)))*(VLOOKUP($B205,INDIRECT($B$5&amp;"生成成长"),3))*(VLOOKUP($B$5,标准坦克设计!$B$14:$K$20,9)/30))</f>
        <v>10.816563543340679</v>
      </c>
      <c r="DX205" s="173">
        <f ca="1">(VLOOKUP(DX$72,INDIRECT($C$5&amp;"生成成长"),2))/((VLOOKUP($B205,INDIRECT($B$5&amp;"生成成长"),4))/(VLOOKUP(DX$72,INDIRECT($C$5&amp;"生成成长"),5))*(VLOOKUP($B$5,标准坦克设计!$B$24:$U$30,MATCH("对"&amp;LEFT($C$5,2)&amp;"输出",标准坦克设计!$B$23:$U$23,0)))*(VLOOKUP($B205,INDIRECT($B$5&amp;"生成成长"),3))*(VLOOKUP($B$5,标准坦克设计!$B$14:$K$20,9)/30))</f>
        <v>11.702479804569329</v>
      </c>
      <c r="DY205" s="173">
        <f ca="1">(VLOOKUP(DY$72,INDIRECT($C$5&amp;"生成成长"),2))/((VLOOKUP($B205,INDIRECT($B$5&amp;"生成成长"),4))/(VLOOKUP(DY$72,INDIRECT($C$5&amp;"生成成长"),5))*(VLOOKUP($B$5,标准坦克设计!$B$24:$U$30,MATCH("对"&amp;LEFT($C$5,2)&amp;"输出",标准坦克设计!$B$23:$U$23,0)))*(VLOOKUP($B205,INDIRECT($B$5&amp;"生成成长"),3))*(VLOOKUP($B$5,标准坦克设计!$B$14:$K$20,9)/30))</f>
        <v>5.255994653745689</v>
      </c>
      <c r="DZ205" s="173">
        <f ca="1">(VLOOKUP(DZ$72,INDIRECT($C$5&amp;"生成成长"),2))/((VLOOKUP($B205,INDIRECT($B$5&amp;"生成成长"),4))/(VLOOKUP(DZ$72,INDIRECT($C$5&amp;"生成成长"),5))*(VLOOKUP($B$5,标准坦克设计!$B$24:$U$30,MATCH("对"&amp;LEFT($C$5,2)&amp;"输出",标准坦克设计!$B$23:$U$23,0)))*(VLOOKUP($B205,INDIRECT($B$5&amp;"生成成长"),3))*(VLOOKUP($B$5,标准坦克设计!$B$14:$K$20,9)/30))</f>
        <v>5.8207680712145944</v>
      </c>
      <c r="EA205" s="173">
        <f ca="1">(VLOOKUP(EA$72,INDIRECT($C$5&amp;"生成成长"),2))/((VLOOKUP($B205,INDIRECT($B$5&amp;"生成成长"),4))/(VLOOKUP(EA$72,INDIRECT($C$5&amp;"生成成长"),5))*(VLOOKUP($B$5,标准坦克设计!$B$24:$U$30,MATCH("对"&amp;LEFT($C$5,2)&amp;"输出",标准坦克设计!$B$23:$U$23,0)))*(VLOOKUP($B205,INDIRECT($B$5&amp;"生成成长"),3))*(VLOOKUP($B$5,标准坦克设计!$B$14:$K$20,9)/30))</f>
        <v>6.4143564589625246</v>
      </c>
      <c r="EB205" s="173">
        <f ca="1">(VLOOKUP(EB$72,INDIRECT($C$5&amp;"生成成长"),2))/((VLOOKUP($B205,INDIRECT($B$5&amp;"生成成长"),4))/(VLOOKUP(EB$72,INDIRECT($C$5&amp;"生成成长"),5))*(VLOOKUP($B$5,标准坦克设计!$B$24:$U$30,MATCH("对"&amp;LEFT($C$5,2)&amp;"输出",标准坦克设计!$B$23:$U$23,0)))*(VLOOKUP($B205,INDIRECT($B$5&amp;"生成成长"),3))*(VLOOKUP($B$5,标准坦克设计!$B$14:$K$20,9)/30))</f>
        <v>7.0367598169894814</v>
      </c>
      <c r="EC205" s="173">
        <f ca="1">(VLOOKUP(EC$72,INDIRECT($C$5&amp;"生成成长"),2))/((VLOOKUP($B205,INDIRECT($B$5&amp;"生成成长"),4))/(VLOOKUP(EC$72,INDIRECT($C$5&amp;"生成成长"),5))*(VLOOKUP($B$5,标准坦克设计!$B$24:$U$30,MATCH("对"&amp;LEFT($C$5,2)&amp;"输出",标准坦克设计!$B$23:$U$23,0)))*(VLOOKUP($B205,INDIRECT($B$5&amp;"生成成长"),3))*(VLOOKUP($B$5,标准坦克设计!$B$14:$K$20,9)/30))</f>
        <v>7.6879781452954621</v>
      </c>
      <c r="ED205" s="173">
        <f ca="1">(VLOOKUP(ED$72,INDIRECT($C$5&amp;"生成成长"),2))/((VLOOKUP($B205,INDIRECT($B$5&amp;"生成成长"),4))/(VLOOKUP(ED$72,INDIRECT($C$5&amp;"生成成长"),5))*(VLOOKUP($B$5,标准坦克设计!$B$24:$U$30,MATCH("对"&amp;LEFT($C$5,2)&amp;"输出",标准坦克设计!$B$23:$U$23,0)))*(VLOOKUP($B205,INDIRECT($B$5&amp;"生成成长"),3))*(VLOOKUP($B$5,标准坦克设计!$B$14:$K$20,9)/30))</f>
        <v>8.3680114438804676</v>
      </c>
      <c r="EE205" s="173">
        <f ca="1">(VLOOKUP(EE$72,INDIRECT($C$5&amp;"生成成长"),2))/((VLOOKUP($B205,INDIRECT($B$5&amp;"生成成长"),4))/(VLOOKUP(EE$72,INDIRECT($C$5&amp;"生成成长"),5))*(VLOOKUP($B$5,标准坦克设计!$B$24:$U$30,MATCH("对"&amp;LEFT($C$5,2)&amp;"输出",标准坦克设计!$B$23:$U$23,0)))*(VLOOKUP($B205,INDIRECT($B$5&amp;"生成成长"),3))*(VLOOKUP($B$5,标准坦克设计!$B$14:$K$20,9)/30))</f>
        <v>9.0768597127445023</v>
      </c>
      <c r="EF205" s="173">
        <f ca="1">(VLOOKUP(EF$72,INDIRECT($C$5&amp;"生成成长"),2))/((VLOOKUP($B205,INDIRECT($B$5&amp;"生成成长"),4))/(VLOOKUP(EF$72,INDIRECT($C$5&amp;"生成成长"),5))*(VLOOKUP($B$5,标准坦克设计!$B$24:$U$30,MATCH("对"&amp;LEFT($C$5,2)&amp;"输出",标准坦克设计!$B$23:$U$23,0)))*(VLOOKUP($B205,INDIRECT($B$5&amp;"生成成长"),3))*(VLOOKUP($B$5,标准坦克设计!$B$14:$K$20,9)/30))</f>
        <v>9.814522951887561</v>
      </c>
      <c r="EG205" s="173">
        <f ca="1">(VLOOKUP(EG$72,INDIRECT($C$5&amp;"生成成长"),2))/((VLOOKUP($B205,INDIRECT($B$5&amp;"生成成长"),4))/(VLOOKUP(EG$72,INDIRECT($C$5&amp;"生成成长"),5))*(VLOOKUP($B$5,标准坦克设计!$B$24:$U$30,MATCH("对"&amp;LEFT($C$5,2)&amp;"输出",标准坦克设计!$B$23:$U$23,0)))*(VLOOKUP($B205,INDIRECT($B$5&amp;"生成成长"),3))*(VLOOKUP($B$5,标准坦克设计!$B$14:$K$20,9)/30))</f>
        <v>10.581001161309645</v>
      </c>
      <c r="EH205" s="173">
        <f ca="1">(VLOOKUP(EH$72,INDIRECT($C$5&amp;"生成成长"),2))/((VLOOKUP($B205,INDIRECT($B$5&amp;"生成成长"),4))/(VLOOKUP(EH$72,INDIRECT($C$5&amp;"生成成长"),5))*(VLOOKUP($B$5,标准坦克设计!$B$24:$U$30,MATCH("对"&amp;LEFT($C$5,2)&amp;"输出",标准坦克设计!$B$23:$U$23,0)))*(VLOOKUP($B205,INDIRECT($B$5&amp;"生成成长"),3))*(VLOOKUP($B$5,标准坦克设计!$B$14:$K$20,9)/30))</f>
        <v>11.376294341010757</v>
      </c>
      <c r="EI205" s="173">
        <f ca="1">(VLOOKUP(EI$72,INDIRECT($C$5&amp;"生成成长"),2))/((VLOOKUP($B205,INDIRECT($B$5&amp;"生成成长"),4))/(VLOOKUP(EI$72,INDIRECT($C$5&amp;"生成成长"),5))*(VLOOKUP($B$5,标准坦克设计!$B$24:$U$30,MATCH("对"&amp;LEFT($C$5,2)&amp;"输出",标准坦克设计!$B$23:$U$23,0)))*(VLOOKUP($B205,INDIRECT($B$5&amp;"生成成长"),3))*(VLOOKUP($B$5,标准坦克设计!$B$14:$K$20,9)/30))</f>
        <v>12.200402490990893</v>
      </c>
      <c r="EJ205" s="173">
        <f ca="1">(VLOOKUP(EJ$72,INDIRECT($C$5&amp;"生成成长"),2))/((VLOOKUP($B205,INDIRECT($B$5&amp;"生成成长"),4))/(VLOOKUP(EJ$72,INDIRECT($C$5&amp;"生成成长"),5))*(VLOOKUP($B$5,标准坦克设计!$B$24:$U$30,MATCH("对"&amp;LEFT($C$5,2)&amp;"输出",标准坦克设计!$B$23:$U$23,0)))*(VLOOKUP($B205,INDIRECT($B$5&amp;"生成成长"),3))*(VLOOKUP($B$5,标准坦克设计!$B$14:$K$20,9)/30))</f>
        <v>13.053325611250052</v>
      </c>
      <c r="EK205" s="173">
        <f ca="1">(VLOOKUP(EK$72,INDIRECT($C$5&amp;"生成成长"),2))/((VLOOKUP($B205,INDIRECT($B$5&amp;"生成成长"),4))/(VLOOKUP(EK$72,INDIRECT($C$5&amp;"生成成长"),5))*(VLOOKUP($B$5,标准坦克设计!$B$24:$U$30,MATCH("对"&amp;LEFT($C$5,2)&amp;"输出",标准坦克设计!$B$23:$U$23,0)))*(VLOOKUP($B205,INDIRECT($B$5&amp;"生成成长"),3))*(VLOOKUP($B$5,标准坦克设计!$B$14:$K$20,9)/30))</f>
        <v>14.114869116329364</v>
      </c>
      <c r="EL205" s="173">
        <f ca="1">(VLOOKUP(EL$72,INDIRECT($C$5&amp;"生成成长"),2))/((VLOOKUP($B205,INDIRECT($B$5&amp;"生成成长"),4))/(VLOOKUP(EL$72,INDIRECT($C$5&amp;"生成成长"),5))*(VLOOKUP($B$5,标准坦克设计!$B$24:$U$30,MATCH("对"&amp;LEFT($C$5,2)&amp;"输出",标准坦克设计!$B$23:$U$23,0)))*(VLOOKUP($B205,INDIRECT($B$5&amp;"生成成长"),3))*(VLOOKUP($B$5,标准坦克设计!$B$14:$K$20,9)/30))</f>
        <v>15.217906178610466</v>
      </c>
      <c r="EM205" s="173">
        <f ca="1">(VLOOKUP(EM$72,INDIRECT($C$5&amp;"生成成长"),2))/((VLOOKUP($B205,INDIRECT($B$5&amp;"生成成长"),4))/(VLOOKUP(EM$72,INDIRECT($C$5&amp;"生成成长"),5))*(VLOOKUP($B$5,标准坦克设计!$B$24:$U$30,MATCH("对"&amp;LEFT($C$5,2)&amp;"输出",标准坦克设计!$B$23:$U$23,0)))*(VLOOKUP($B205,INDIRECT($B$5&amp;"生成成长"),3))*(VLOOKUP($B$5,标准坦克设计!$B$14:$K$20,9)/30))</f>
        <v>16.36243679809337</v>
      </c>
      <c r="EN205" s="173">
        <f ca="1">(VLOOKUP(EN$72,INDIRECT($C$5&amp;"生成成长"),2))/((VLOOKUP($B205,INDIRECT($B$5&amp;"生成成长"),4))/(VLOOKUP(EN$72,INDIRECT($C$5&amp;"生成成长"),5))*(VLOOKUP($B$5,标准坦克设计!$B$24:$U$30,MATCH("对"&amp;LEFT($C$5,2)&amp;"输出",标准坦克设计!$B$23:$U$23,0)))*(VLOOKUP($B205,INDIRECT($B$5&amp;"生成成长"),3))*(VLOOKUP($B$5,标准坦克设计!$B$14:$K$20,9)/30))</f>
        <v>17.54846097477807</v>
      </c>
      <c r="EO205" s="173">
        <f ca="1">(VLOOKUP(EO$72,INDIRECT($C$5&amp;"生成成长"),2))/((VLOOKUP($B205,INDIRECT($B$5&amp;"生成成长"),4))/(VLOOKUP(EO$72,INDIRECT($C$5&amp;"生成成长"),5))*(VLOOKUP($B$5,标准坦克设计!$B$24:$U$30,MATCH("对"&amp;LEFT($C$5,2)&amp;"输出",标准坦克设计!$B$23:$U$23,0)))*(VLOOKUP($B205,INDIRECT($B$5&amp;"生成成长"),3))*(VLOOKUP($B$5,标准坦克设计!$B$14:$K$20,9)/30))</f>
        <v>18.775978708664564</v>
      </c>
      <c r="EP205" s="173">
        <f ca="1">(VLOOKUP(EP$72,INDIRECT($C$5&amp;"生成成长"),2))/((VLOOKUP($B205,INDIRECT($B$5&amp;"生成成长"),4))/(VLOOKUP(EP$72,INDIRECT($C$5&amp;"生成成长"),5))*(VLOOKUP($B$5,标准坦克设计!$B$24:$U$30,MATCH("对"&amp;LEFT($C$5,2)&amp;"输出",标准坦克设计!$B$23:$U$23,0)))*(VLOOKUP($B205,INDIRECT($B$5&amp;"生成成长"),3))*(VLOOKUP($B$5,标准坦克设计!$B$14:$K$20,9)/30))</f>
        <v>20.044989999752858</v>
      </c>
      <c r="EQ205" s="173">
        <f ca="1">(VLOOKUP(EQ$72,INDIRECT($C$5&amp;"生成成长"),2))/((VLOOKUP($B205,INDIRECT($B$5&amp;"生成成长"),4))/(VLOOKUP(EQ$72,INDIRECT($C$5&amp;"生成成长"),5))*(VLOOKUP($B$5,标准坦克设计!$B$24:$U$30,MATCH("对"&amp;LEFT($C$5,2)&amp;"输出",标准坦克设计!$B$23:$U$23,0)))*(VLOOKUP($B205,INDIRECT($B$5&amp;"生成成长"),3))*(VLOOKUP($B$5,标准坦克设计!$B$14:$K$20,9)/30))</f>
        <v>8.8611796602059947</v>
      </c>
      <c r="ER205" s="173">
        <f ca="1">(VLOOKUP(ER$72,INDIRECT($C$5&amp;"生成成长"),2))/((VLOOKUP($B205,INDIRECT($B$5&amp;"生成成长"),4))/(VLOOKUP(ER$72,INDIRECT($C$5&amp;"生成成长"),5))*(VLOOKUP($B$5,标准坦克设计!$B$24:$U$30,MATCH("对"&amp;LEFT($C$5,2)&amp;"输出",标准坦克设计!$B$23:$U$23,0)))*(VLOOKUP($B205,INDIRECT($B$5&amp;"生成成长"),3))*(VLOOKUP($B$5,标准坦克设计!$B$14:$K$20,9)/30))</f>
        <v>9.664685106436627</v>
      </c>
      <c r="ES205" s="173">
        <f ca="1">(VLOOKUP(ES$72,INDIRECT($C$5&amp;"生成成长"),2))/((VLOOKUP($B205,INDIRECT($B$5&amp;"生成成长"),4))/(VLOOKUP(ES$72,INDIRECT($C$5&amp;"生成成长"),5))*(VLOOKUP($B$5,标准坦克设计!$B$24:$U$30,MATCH("对"&amp;LEFT($C$5,2)&amp;"输出",标准坦克设计!$B$23:$U$23,0)))*(VLOOKUP($B205,INDIRECT($B$5&amp;"生成成长"),3))*(VLOOKUP($B$5,标准坦克设计!$B$14:$K$20,9)/30))</f>
        <v>10.503056666704882</v>
      </c>
      <c r="ET205" s="173">
        <f ca="1">(VLOOKUP(ET$72,INDIRECT($C$5&amp;"生成成长"),2))/((VLOOKUP($B205,INDIRECT($B$5&amp;"生成成长"),4))/(VLOOKUP(ET$72,INDIRECT($C$5&amp;"生成成长"),5))*(VLOOKUP($B$5,标准坦克设计!$B$24:$U$30,MATCH("对"&amp;LEFT($C$5,2)&amp;"输出",标准坦克设计!$B$23:$U$23,0)))*(VLOOKUP($B205,INDIRECT($B$5&amp;"生成成长"),3))*(VLOOKUP($B$5,标准坦克设计!$B$14:$K$20,9)/30))</f>
        <v>11.376294341010757</v>
      </c>
      <c r="EU205" s="173">
        <f ca="1">(VLOOKUP(EU$72,INDIRECT($C$5&amp;"生成成长"),2))/((VLOOKUP($B205,INDIRECT($B$5&amp;"生成成长"),4))/(VLOOKUP(EU$72,INDIRECT($C$5&amp;"生成成长"),5))*(VLOOKUP($B$5,标准坦克设计!$B$24:$U$30,MATCH("对"&amp;LEFT($C$5,2)&amp;"输出",标准坦克设计!$B$23:$U$23,0)))*(VLOOKUP($B205,INDIRECT($B$5&amp;"生成成长"),3))*(VLOOKUP($B$5,标准坦克设计!$B$14:$K$20,9)/30))</f>
        <v>12.284398129354253</v>
      </c>
      <c r="EV205" s="173">
        <f ca="1">(VLOOKUP(EV$72,INDIRECT($C$5&amp;"生成成长"),2))/((VLOOKUP($B205,INDIRECT($B$5&amp;"生成成长"),4))/(VLOOKUP(EV$72,INDIRECT($C$5&amp;"生成成长"),5))*(VLOOKUP($B$5,标准坦克设计!$B$24:$U$30,MATCH("对"&amp;LEFT($C$5,2)&amp;"输出",标准坦克设计!$B$23:$U$23,0)))*(VLOOKUP($B205,INDIRECT($B$5&amp;"生成成长"),3))*(VLOOKUP($B$5,标准坦克设计!$B$14:$K$20,9)/30))</f>
        <v>13.22736803173537</v>
      </c>
      <c r="EW205" s="173">
        <f ca="1">(VLOOKUP(EW$72,INDIRECT($C$5&amp;"生成成长"),2))/((VLOOKUP($B205,INDIRECT($B$5&amp;"生成成长"),4))/(VLOOKUP(EW$72,INDIRECT($C$5&amp;"生成成长"),5))*(VLOOKUP($B$5,标准坦克设计!$B$24:$U$30,MATCH("对"&amp;LEFT($C$5,2)&amp;"输出",标准坦克设计!$B$23:$U$23,0)))*(VLOOKUP($B205,INDIRECT($B$5&amp;"生成成长"),3))*(VLOOKUP($B$5,标准坦克设计!$B$14:$K$20,9)/30))</f>
        <v>14.205204048154107</v>
      </c>
      <c r="EX205" s="173">
        <f ca="1">(VLOOKUP(EX$72,INDIRECT($C$5&amp;"生成成长"),2))/((VLOOKUP($B205,INDIRECT($B$5&amp;"生成成长"),4))/(VLOOKUP(EX$72,INDIRECT($C$5&amp;"生成成长"),5))*(VLOOKUP($B$5,标准坦克设计!$B$24:$U$30,MATCH("对"&amp;LEFT($C$5,2)&amp;"输出",标准坦克设计!$B$23:$U$23,0)))*(VLOOKUP($B205,INDIRECT($B$5&amp;"生成成长"),3))*(VLOOKUP($B$5,标准坦克设计!$B$14:$K$20,9)/30))</f>
        <v>15.217906178610466</v>
      </c>
      <c r="EY205" s="173">
        <f ca="1">(VLOOKUP(EY$72,INDIRECT($C$5&amp;"生成成长"),2))/((VLOOKUP($B205,INDIRECT($B$5&amp;"生成成长"),4))/(VLOOKUP(EY$72,INDIRECT($C$5&amp;"生成成长"),5))*(VLOOKUP($B$5,标准坦克设计!$B$24:$U$30,MATCH("对"&amp;LEFT($C$5,2)&amp;"输出",标准坦克设计!$B$23:$U$23,0)))*(VLOOKUP($B205,INDIRECT($B$5&amp;"生成成长"),3))*(VLOOKUP($B$5,标准坦克设计!$B$14:$K$20,9)/30))</f>
        <v>16.26547442310445</v>
      </c>
      <c r="EZ205" s="173">
        <f ca="1">(VLOOKUP(EZ$72,INDIRECT($C$5&amp;"生成成长"),2))/((VLOOKUP($B205,INDIRECT($B$5&amp;"生成成长"),4))/(VLOOKUP(EZ$72,INDIRECT($C$5&amp;"生成成长"),5))*(VLOOKUP($B$5,标准坦克设计!$B$24:$U$30,MATCH("对"&amp;LEFT($C$5,2)&amp;"输出",标准坦克设计!$B$23:$U$23,0)))*(VLOOKUP($B205,INDIRECT($B$5&amp;"生成成长"),3))*(VLOOKUP($B$5,标准坦克设计!$B$14:$K$20,9)/30))</f>
        <v>17.34790878163605</v>
      </c>
      <c r="FA205" s="173">
        <f ca="1">(VLOOKUP(FA$72,INDIRECT($C$5&amp;"生成成长"),2))/((VLOOKUP($B205,INDIRECT($B$5&amp;"生成成长"),4))/(VLOOKUP(FA$72,INDIRECT($C$5&amp;"生成成长"),5))*(VLOOKUP($B$5,标准坦克设计!$B$24:$U$30,MATCH("对"&amp;LEFT($C$5,2)&amp;"输出",标准坦克设计!$B$23:$U$23,0)))*(VLOOKUP($B205,INDIRECT($B$5&amp;"生成成长"),3))*(VLOOKUP($B$5,标准坦克设计!$B$14:$K$20,9)/30))</f>
        <v>18.465209254205273</v>
      </c>
      <c r="FB205" s="173">
        <f ca="1">(VLOOKUP(FB$72,INDIRECT($C$5&amp;"生成成长"),2))/((VLOOKUP($B205,INDIRECT($B$5&amp;"生成成长"),4))/(VLOOKUP(FB$72,INDIRECT($C$5&amp;"生成成长"),5))*(VLOOKUP($B$5,标准坦克设计!$B$24:$U$30,MATCH("对"&amp;LEFT($C$5,2)&amp;"输出",标准坦克设计!$B$23:$U$23,0)))*(VLOOKUP($B205,INDIRECT($B$5&amp;"生成成长"),3))*(VLOOKUP($B$5,标准坦克设计!$B$14:$K$20,9)/30))</f>
        <v>19.617375840812119</v>
      </c>
      <c r="FC205" s="173">
        <f ca="1">(VLOOKUP(FC$72,INDIRECT($C$5&amp;"生成成长"),2))/((VLOOKUP($B205,INDIRECT($B$5&amp;"生成成长"),4))/(VLOOKUP(FC$72,INDIRECT($C$5&amp;"生成成长"),5))*(VLOOKUP($B$5,标准坦克设计!$B$24:$U$30,MATCH("对"&amp;LEFT($C$5,2)&amp;"输出",标准坦克设计!$B$23:$U$23,0)))*(VLOOKUP($B205,INDIRECT($B$5&amp;"生成成长"),3))*(VLOOKUP($B$5,标准坦克设计!$B$14:$K$20,9)/30))</f>
        <v>20.804408541456581</v>
      </c>
      <c r="FD205" s="173">
        <f ca="1">(VLOOKUP(FD$72,INDIRECT($C$5&amp;"生成成长"),2))/((VLOOKUP($B205,INDIRECT($B$5&amp;"生成成长"),4))/(VLOOKUP(FD$72,INDIRECT($C$5&amp;"生成成长"),5))*(VLOOKUP($B$5,标准坦克设计!$B$24:$U$30,MATCH("对"&amp;LEFT($C$5,2)&amp;"输出",标准坦克设计!$B$23:$U$23,0)))*(VLOOKUP($B205,INDIRECT($B$5&amp;"生成成长"),3))*(VLOOKUP($B$5,标准坦克设计!$B$14:$K$20,9)/30))</f>
        <v>22.02630735613867</v>
      </c>
      <c r="FE205" s="173">
        <f ca="1">(VLOOKUP(FE$72,INDIRECT($C$5&amp;"生成成长"),2))/((VLOOKUP($B205,INDIRECT($B$5&amp;"生成成长"),4))/(VLOOKUP(FE$72,INDIRECT($C$5&amp;"生成成长"),5))*(VLOOKUP($B$5,标准坦克设计!$B$24:$U$30,MATCH("对"&amp;LEFT($C$5,2)&amp;"输出",标准坦克设计!$B$23:$U$23,0)))*(VLOOKUP($B205,INDIRECT($B$5&amp;"生成成长"),3))*(VLOOKUP($B$5,标准坦克设计!$B$14:$K$20,9)/30))</f>
        <v>23.515320945307323</v>
      </c>
      <c r="FF205" s="173">
        <f ca="1">(VLOOKUP(FF$72,INDIRECT($C$5&amp;"生成成长"),2))/((VLOOKUP($B205,INDIRECT($B$5&amp;"生成成长"),4))/(VLOOKUP(FF$72,INDIRECT($C$5&amp;"生成成长"),5))*(VLOOKUP($B$5,标准坦克设计!$B$24:$U$30,MATCH("对"&amp;LEFT($C$5,2)&amp;"输出",标准坦克设计!$B$23:$U$23,0)))*(VLOOKUP($B205,INDIRECT($B$5&amp;"生成成长"),3))*(VLOOKUP($B$5,标准坦克设计!$B$14:$K$20,9)/30))</f>
        <v>25.053031834247534</v>
      </c>
      <c r="FG205" s="173">
        <f ca="1">(VLOOKUP(FG$72,INDIRECT($C$5&amp;"生成成长"),2))/((VLOOKUP($B205,INDIRECT($B$5&amp;"生成成长"),4))/(VLOOKUP(FG$72,INDIRECT($C$5&amp;"生成成长"),5))*(VLOOKUP($B$5,标准坦克设计!$B$24:$U$30,MATCH("对"&amp;LEFT($C$5,2)&amp;"输出",标准坦克设计!$B$23:$U$23,0)))*(VLOOKUP($B205,INDIRECT($B$5&amp;"生成成长"),3))*(VLOOKUP($B$5,标准坦克设计!$B$14:$K$20,9)/30))</f>
        <v>26.639440022959299</v>
      </c>
      <c r="FH205" s="173">
        <f ca="1">(VLOOKUP(FH$72,INDIRECT($C$5&amp;"生成成长"),2))/((VLOOKUP($B205,INDIRECT($B$5&amp;"生成成长"),4))/(VLOOKUP(FH$72,INDIRECT($C$5&amp;"生成成长"),5))*(VLOOKUP($B$5,标准坦克设计!$B$24:$U$30,MATCH("对"&amp;LEFT($C$5,2)&amp;"输出",标准坦克设计!$B$23:$U$23,0)))*(VLOOKUP($B205,INDIRECT($B$5&amp;"生成成长"),3))*(VLOOKUP($B$5,标准坦克设计!$B$14:$K$20,9)/30))</f>
        <v>28.274545511442607</v>
      </c>
      <c r="FI205" s="173">
        <f ca="1">(VLOOKUP(FI$72,INDIRECT($C$5&amp;"生成成长"),2))/((VLOOKUP($B205,INDIRECT($B$5&amp;"生成成长"),4))/(VLOOKUP(FI$72,INDIRECT($C$5&amp;"生成成长"),5))*(VLOOKUP($B$5,标准坦克设计!$B$24:$U$30,MATCH("对"&amp;LEFT($C$5,2)&amp;"输出",标准坦克设计!$B$23:$U$23,0)))*(VLOOKUP($B205,INDIRECT($B$5&amp;"生成成长"),3))*(VLOOKUP($B$5,标准坦克设计!$B$14:$K$20,9)/30))</f>
        <v>29.95834829969748</v>
      </c>
      <c r="FJ205" s="173">
        <f ca="1">(VLOOKUP(FJ$72,INDIRECT($C$5&amp;"生成成长"),2))/((VLOOKUP($B205,INDIRECT($B$5&amp;"生成成长"),4))/(VLOOKUP(FJ$72,INDIRECT($C$5&amp;"生成成长"),5))*(VLOOKUP($B$5,标准坦克设计!$B$24:$U$30,MATCH("对"&amp;LEFT($C$5,2)&amp;"输出",标准坦克设计!$B$23:$U$23,0)))*(VLOOKUP($B205,INDIRECT($B$5&amp;"生成成长"),3))*(VLOOKUP($B$5,标准坦克设计!$B$14:$K$20,9)/30))</f>
        <v>31.6908483877239</v>
      </c>
      <c r="FK205" s="173">
        <f ca="1">(VLOOKUP(FK$72,INDIRECT($C$5&amp;"生成成长"),2))/((VLOOKUP($B205,INDIRECT($B$5&amp;"生成成长"),4))/(VLOOKUP(FK$72,INDIRECT($C$5&amp;"生成成长"),5))*(VLOOKUP($B$5,标准坦克设计!$B$24:$U$30,MATCH("对"&amp;LEFT($C$5,2)&amp;"输出",标准坦克设计!$B$23:$U$23,0)))*(VLOOKUP($B205,INDIRECT($B$5&amp;"生成成长"),3))*(VLOOKUP($B$5,标准坦克设计!$B$14:$K$20,9)/30))</f>
        <v>33.47204577552187</v>
      </c>
    </row>
    <row r="206" spans="1:167" x14ac:dyDescent="0.15">
      <c r="A206" s="171" t="str">
        <f t="shared" si="13"/>
        <v>T4高品质8级</v>
      </c>
      <c r="B206" s="172">
        <v>30408</v>
      </c>
      <c r="C206" s="173">
        <f ca="1">(VLOOKUP(C$72,INDIRECT($C$5&amp;"生成成长"),2))/((VLOOKUP($B206,INDIRECT($B$5&amp;"生成成长"),4))/(VLOOKUP(C$72,INDIRECT($C$5&amp;"生成成长"),5))*(VLOOKUP($B$5,标准坦克设计!$B$24:$U$30,MATCH("对"&amp;LEFT($C$5,2)&amp;"输出",标准坦克设计!$B$23:$U$23,0)))*(VLOOKUP($B206,INDIRECT($B$5&amp;"生成成长"),3))*(VLOOKUP($B$5,标准坦克设计!$B$14:$K$20,9)/30))</f>
        <v>1.3322571360218576</v>
      </c>
      <c r="D206" s="173">
        <f ca="1">(VLOOKUP(D$72,INDIRECT($C$5&amp;"生成成长"),2))/((VLOOKUP($B206,INDIRECT($B$5&amp;"生成成长"),4))/(VLOOKUP(D$72,INDIRECT($C$5&amp;"生成成长"),5))*(VLOOKUP($B$5,标准坦克设计!$B$24:$U$30,MATCH("对"&amp;LEFT($C$5,2)&amp;"输出",标准坦克设计!$B$23:$U$23,0)))*(VLOOKUP($B206,INDIRECT($B$5&amp;"生成成长"),3))*(VLOOKUP($B$5,标准坦克设计!$B$14:$K$20,9)/30))</f>
        <v>1.4969241180341588</v>
      </c>
      <c r="E206" s="173">
        <f ca="1">(VLOOKUP(E$72,INDIRECT($C$5&amp;"生成成长"),2))/((VLOOKUP($B206,INDIRECT($B$5&amp;"生成成长"),4))/(VLOOKUP(E$72,INDIRECT($C$5&amp;"生成成长"),5))*(VLOOKUP($B$5,标准坦克设计!$B$24:$U$30,MATCH("对"&amp;LEFT($C$5,2)&amp;"输出",标准坦克设计!$B$23:$U$23,0)))*(VLOOKUP($B206,INDIRECT($B$5&amp;"生成成长"),3))*(VLOOKUP($B$5,标准坦克设计!$B$14:$K$20,9)/30))</f>
        <v>1.6711833514258179</v>
      </c>
      <c r="F206" s="173">
        <f ca="1">(VLOOKUP(F$72,INDIRECT($C$5&amp;"生成成长"),2))/((VLOOKUP($B206,INDIRECT($B$5&amp;"生成成长"),4))/(VLOOKUP(F$72,INDIRECT($C$5&amp;"生成成长"),5))*(VLOOKUP($B$5,标准坦克设计!$B$24:$U$30,MATCH("对"&amp;LEFT($C$5,2)&amp;"输出",标准坦克设计!$B$23:$U$23,0)))*(VLOOKUP($B206,INDIRECT($B$5&amp;"生成成长"),3))*(VLOOKUP($B$5,标准坦克设计!$B$14:$K$20,9)/30))</f>
        <v>1.8550348361968347</v>
      </c>
      <c r="G206" s="173">
        <f ca="1">(VLOOKUP(G$72,INDIRECT($C$5&amp;"生成成长"),2))/((VLOOKUP($B206,INDIRECT($B$5&amp;"生成成长"),4))/(VLOOKUP(G$72,INDIRECT($C$5&amp;"生成成长"),5))*(VLOOKUP($B$5,标准坦克设计!$B$24:$U$30,MATCH("对"&amp;LEFT($C$5,2)&amp;"输出",标准坦克设计!$B$23:$U$23,0)))*(VLOOKUP($B206,INDIRECT($B$5&amp;"生成成长"),3))*(VLOOKUP($B$5,标准坦克设计!$B$14:$K$20,9)/30))</f>
        <v>2.0484785723472076</v>
      </c>
      <c r="H206" s="173">
        <f ca="1">(VLOOKUP(H$72,INDIRECT($C$5&amp;"生成成长"),2))/((VLOOKUP($B206,INDIRECT($B$5&amp;"生成成长"),4))/(VLOOKUP(H$72,INDIRECT($C$5&amp;"生成成长"),5))*(VLOOKUP($B$5,标准坦克设计!$B$24:$U$30,MATCH("对"&amp;LEFT($C$5,2)&amp;"输出",标准坦克设计!$B$23:$U$23,0)))*(VLOOKUP($B206,INDIRECT($B$5&amp;"生成成长"),3))*(VLOOKUP($B$5,标准坦克设计!$B$14:$K$20,9)/30))</f>
        <v>1.7926852022310114</v>
      </c>
      <c r="I206" s="173">
        <f ca="1">(VLOOKUP(I$72,INDIRECT($C$5&amp;"生成成长"),2))/((VLOOKUP($B206,INDIRECT($B$5&amp;"生成成长"),4))/(VLOOKUP(I$72,INDIRECT($C$5&amp;"生成成长"),5))*(VLOOKUP($B$5,标准坦克设计!$B$24:$U$30,MATCH("对"&amp;LEFT($C$5,2)&amp;"输出",标准坦克设计!$B$23:$U$23,0)))*(VLOOKUP($B206,INDIRECT($B$5&amp;"生成成长"),3))*(VLOOKUP($B$5,标准坦克设计!$B$14:$K$20,9)/30))</f>
        <v>2.0484785723472076</v>
      </c>
      <c r="J206" s="173">
        <f ca="1">(VLOOKUP(J$72,INDIRECT($C$5&amp;"生成成长"),2))/((VLOOKUP($B206,INDIRECT($B$5&amp;"生成成长"),4))/(VLOOKUP(J$72,INDIRECT($C$5&amp;"生成成长"),5))*(VLOOKUP($B$5,标准坦克设计!$B$24:$U$30,MATCH("对"&amp;LEFT($C$5,2)&amp;"输出",标准坦克设计!$B$23:$U$23,0)))*(VLOOKUP($B206,INDIRECT($B$5&amp;"生成成长"),3))*(VLOOKUP($B$5,标准坦克设计!$B$14:$K$20,9)/30))</f>
        <v>2.3213248338044843</v>
      </c>
      <c r="K206" s="173">
        <f ca="1">(VLOOKUP(K$72,INDIRECT($C$5&amp;"生成成长"),2))/((VLOOKUP($B206,INDIRECT($B$5&amp;"生成成长"),4))/(VLOOKUP(K$72,INDIRECT($C$5&amp;"生成成长"),5))*(VLOOKUP($B$5,标准坦克设计!$B$24:$U$30,MATCH("对"&amp;LEFT($C$5,2)&amp;"输出",标准坦克设计!$B$23:$U$23,0)))*(VLOOKUP($B206,INDIRECT($B$5&amp;"生成成长"),3))*(VLOOKUP($B$5,标准坦克设计!$B$14:$K$20,9)/30))</f>
        <v>2.6112239866028406</v>
      </c>
      <c r="L206" s="173">
        <f ca="1">(VLOOKUP(L$72,INDIRECT($C$5&amp;"生成成长"),2))/((VLOOKUP($B206,INDIRECT($B$5&amp;"生成成长"),4))/(VLOOKUP(L$72,INDIRECT($C$5&amp;"生成成长"),5))*(VLOOKUP($B$5,标准坦克设计!$B$24:$U$30,MATCH("对"&amp;LEFT($C$5,2)&amp;"输出",标准坦克设计!$B$23:$U$23,0)))*(VLOOKUP($B206,INDIRECT($B$5&amp;"生成成长"),3))*(VLOOKUP($B$5,标准坦克设计!$B$14:$K$20,9)/30))</f>
        <v>2.9181760307422766</v>
      </c>
      <c r="M206" s="173">
        <f ca="1">(VLOOKUP(M$72,INDIRECT($C$5&amp;"生成成长"),2))/((VLOOKUP($B206,INDIRECT($B$5&amp;"生成成长"),4))/(VLOOKUP(M$72,INDIRECT($C$5&amp;"生成成长"),5))*(VLOOKUP($B$5,标准坦克设计!$B$24:$U$30,MATCH("对"&amp;LEFT($C$5,2)&amp;"输出",标准坦克设计!$B$23:$U$23,0)))*(VLOOKUP($B206,INDIRECT($B$5&amp;"生成成长"),3))*(VLOOKUP($B$5,标准坦克设计!$B$14:$K$20,9)/30))</f>
        <v>3.2421809662227923</v>
      </c>
      <c r="N206" s="173">
        <f ca="1">(VLOOKUP(N$72,INDIRECT($C$5&amp;"生成成长"),2))/((VLOOKUP($B206,INDIRECT($B$5&amp;"生成成长"),4))/(VLOOKUP(N$72,INDIRECT($C$5&amp;"生成成长"),5))*(VLOOKUP($B$5,标准坦克设计!$B$24:$U$30,MATCH("对"&amp;LEFT($C$5,2)&amp;"输出",标准坦克设计!$B$23:$U$23,0)))*(VLOOKUP($B206,INDIRECT($B$5&amp;"生成成长"),3))*(VLOOKUP($B$5,标准坦克设计!$B$14:$K$20,9)/30))</f>
        <v>3.5832387930443876</v>
      </c>
      <c r="O206" s="173">
        <f ca="1">(VLOOKUP(O$72,INDIRECT($C$5&amp;"生成成长"),2))/((VLOOKUP($B206,INDIRECT($B$5&amp;"生成成长"),4))/(VLOOKUP(O$72,INDIRECT($C$5&amp;"生成成长"),5))*(VLOOKUP($B$5,标准坦克设计!$B$24:$U$30,MATCH("对"&amp;LEFT($C$5,2)&amp;"输出",标准坦克设计!$B$23:$U$23,0)))*(VLOOKUP($B206,INDIRECT($B$5&amp;"生成成长"),3))*(VLOOKUP($B$5,标准坦克设计!$B$14:$K$20,9)/30))</f>
        <v>2.7243326174510964</v>
      </c>
      <c r="P206" s="173">
        <f ca="1">(VLOOKUP(P$72,INDIRECT($C$5&amp;"生成成长"),2))/((VLOOKUP($B206,INDIRECT($B$5&amp;"生成成长"),4))/(VLOOKUP(P$72,INDIRECT($C$5&amp;"生成成长"),5))*(VLOOKUP($B$5,标准坦克设计!$B$24:$U$30,MATCH("对"&amp;LEFT($C$5,2)&amp;"输出",标准坦克设计!$B$23:$U$23,0)))*(VLOOKUP($B206,INDIRECT($B$5&amp;"生成成长"),3))*(VLOOKUP($B$5,标准坦克设计!$B$14:$K$20,9)/30))</f>
        <v>3.0780468870648998</v>
      </c>
      <c r="Q206" s="173">
        <f ca="1">(VLOOKUP(Q$72,INDIRECT($C$5&amp;"生成成长"),2))/((VLOOKUP($B206,INDIRECT($B$5&amp;"生成成长"),4))/(VLOOKUP(Q$72,INDIRECT($C$5&amp;"生成成长"),5))*(VLOOKUP($B$5,标准坦克设计!$B$24:$U$30,MATCH("对"&amp;LEFT($C$5,2)&amp;"输出",标准坦克设计!$B$23:$U$23,0)))*(VLOOKUP($B206,INDIRECT($B$5&amp;"生成成长"),3))*(VLOOKUP($B$5,标准坦克设计!$B$14:$K$20,9)/30))</f>
        <v>3.4533437222822569</v>
      </c>
      <c r="R206" s="173">
        <f ca="1">(VLOOKUP(R$72,INDIRECT($C$5&amp;"生成成长"),2))/((VLOOKUP($B206,INDIRECT($B$5&amp;"生成成长"),4))/(VLOOKUP(R$72,INDIRECT($C$5&amp;"生成成长"),5))*(VLOOKUP($B$5,标准坦克设计!$B$24:$U$30,MATCH("对"&amp;LEFT($C$5,2)&amp;"输出",标准坦克设计!$B$23:$U$23,0)))*(VLOOKUP($B206,INDIRECT($B$5&amp;"生成成长"),3))*(VLOOKUP($B$5,标准坦克设计!$B$14:$K$20,9)/30))</f>
        <v>3.8502231231031678</v>
      </c>
      <c r="S206" s="173">
        <f ca="1">(VLOOKUP(S$72,INDIRECT($C$5&amp;"生成成长"),2))/((VLOOKUP($B206,INDIRECT($B$5&amp;"生成成长"),4))/(VLOOKUP(S$72,INDIRECT($C$5&amp;"生成成长"),5))*(VLOOKUP($B$5,标准坦克设计!$B$24:$U$30,MATCH("对"&amp;LEFT($C$5,2)&amp;"输出",标准坦克设计!$B$23:$U$23,0)))*(VLOOKUP($B206,INDIRECT($B$5&amp;"生成成长"),3))*(VLOOKUP($B$5,标准坦克设计!$B$14:$K$20,9)/30))</f>
        <v>4.2686850895276338</v>
      </c>
      <c r="T206" s="173">
        <f ca="1">(VLOOKUP(T$72,INDIRECT($C$5&amp;"生成成长"),2))/((VLOOKUP($B206,INDIRECT($B$5&amp;"生成成长"),4))/(VLOOKUP(T$72,INDIRECT($C$5&amp;"生成成长"),5))*(VLOOKUP($B$5,标准坦克设计!$B$24:$U$30,MATCH("对"&amp;LEFT($C$5,2)&amp;"输出",标准坦克设计!$B$23:$U$23,0)))*(VLOOKUP($B206,INDIRECT($B$5&amp;"生成成长"),3))*(VLOOKUP($B$5,标准坦克设计!$B$14:$K$20,9)/30))</f>
        <v>4.708729621555654</v>
      </c>
      <c r="U206" s="173">
        <f ca="1">(VLOOKUP(U$72,INDIRECT($C$5&amp;"生成成长"),2))/((VLOOKUP($B206,INDIRECT($B$5&amp;"生成成长"),4))/(VLOOKUP(U$72,INDIRECT($C$5&amp;"生成成长"),5))*(VLOOKUP($B$5,标准坦克设计!$B$24:$U$30,MATCH("对"&amp;LEFT($C$5,2)&amp;"输出",标准坦克设计!$B$23:$U$23,0)))*(VLOOKUP($B206,INDIRECT($B$5&amp;"生成成长"),3))*(VLOOKUP($B$5,标准坦克设计!$B$14:$K$20,9)/30))</f>
        <v>5.1703567191872271</v>
      </c>
      <c r="V206" s="173">
        <f ca="1">(VLOOKUP(V$72,INDIRECT($C$5&amp;"生成成长"),2))/((VLOOKUP($B206,INDIRECT($B$5&amp;"生成成长"),4))/(VLOOKUP(V$72,INDIRECT($C$5&amp;"生成成长"),5))*(VLOOKUP($B$5,标准坦克设计!$B$24:$U$30,MATCH("对"&amp;LEFT($C$5,2)&amp;"输出",标准坦克设计!$B$23:$U$23,0)))*(VLOOKUP($B206,INDIRECT($B$5&amp;"生成成长"),3))*(VLOOKUP($B$5,标准坦克设计!$B$14:$K$20,9)/30))</f>
        <v>5.6535663824223539</v>
      </c>
      <c r="W206" s="173">
        <f ca="1">(VLOOKUP(W$72,INDIRECT($C$5&amp;"生成成长"),2))/((VLOOKUP($B206,INDIRECT($B$5&amp;"生成成长"),4))/(VLOOKUP(W$72,INDIRECT($C$5&amp;"生成成长"),5))*(VLOOKUP($B$5,标准坦克设计!$B$24:$U$30,MATCH("对"&amp;LEFT($C$5,2)&amp;"输出",标准坦克设计!$B$23:$U$23,0)))*(VLOOKUP($B206,INDIRECT($B$5&amp;"生成成长"),3))*(VLOOKUP($B$5,标准坦克设计!$B$14:$K$20,9)/30))</f>
        <v>6.1583586112610362</v>
      </c>
      <c r="X206" s="173">
        <f ca="1">(VLOOKUP(X$72,INDIRECT($C$5&amp;"生成成长"),2))/((VLOOKUP($B206,INDIRECT($B$5&amp;"生成成长"),4))/(VLOOKUP(X$72,INDIRECT($C$5&amp;"生成成长"),5))*(VLOOKUP($B$5,标准坦克设计!$B$24:$U$30,MATCH("对"&amp;LEFT($C$5,2)&amp;"输出",标准坦克设计!$B$23:$U$23,0)))*(VLOOKUP($B206,INDIRECT($B$5&amp;"生成成长"),3))*(VLOOKUP($B$5,标准坦克设计!$B$14:$K$20,9)/30))</f>
        <v>4.461595922823598</v>
      </c>
      <c r="Y206" s="173">
        <f ca="1">(VLOOKUP(Y$72,INDIRECT($C$5&amp;"生成成长"),2))/((VLOOKUP($B206,INDIRECT($B$5&amp;"生成成长"),4))/(VLOOKUP(Y$72,INDIRECT($C$5&amp;"生成成长"),5))*(VLOOKUP($B$5,标准坦克设计!$B$24:$U$30,MATCH("对"&amp;LEFT($C$5,2)&amp;"输出",标准坦克设计!$B$23:$U$23,0)))*(VLOOKUP($B206,INDIRECT($B$5&amp;"生成成长"),3))*(VLOOKUP($B$5,标准坦克设计!$B$14:$K$20,9)/30))</f>
        <v>4.9625246059678174</v>
      </c>
      <c r="Z206" s="173">
        <f ca="1">(VLOOKUP(Z$72,INDIRECT($C$5&amp;"生成成长"),2))/((VLOOKUP($B206,INDIRECT($B$5&amp;"生成成长"),4))/(VLOOKUP(Z$72,INDIRECT($C$5&amp;"生成成长"),5))*(VLOOKUP($B$5,标准坦克设计!$B$24:$U$30,MATCH("对"&amp;LEFT($C$5,2)&amp;"输出",标准坦克设计!$B$23:$U$23,0)))*(VLOOKUP($B206,INDIRECT($B$5&amp;"生成成长"),3))*(VLOOKUP($B$5,标准坦克设计!$B$14:$K$20,9)/30))</f>
        <v>5.4900984318324726</v>
      </c>
      <c r="AA206" s="173">
        <f ca="1">(VLOOKUP(AA$72,INDIRECT($C$5&amp;"生成成长"),2))/((VLOOKUP($B206,INDIRECT($B$5&amp;"生成成长"),4))/(VLOOKUP(AA$72,INDIRECT($C$5&amp;"生成成长"),5))*(VLOOKUP($B$5,标准坦克设计!$B$24:$U$30,MATCH("对"&amp;LEFT($C$5,2)&amp;"输出",标准坦克设计!$B$23:$U$23,0)))*(VLOOKUP($B206,INDIRECT($B$5&amp;"生成成长"),3))*(VLOOKUP($B$5,标准坦克设计!$B$14:$K$20,9)/30))</f>
        <v>6.0443174004175653</v>
      </c>
      <c r="AB206" s="173">
        <f ca="1">(VLOOKUP(AB$72,INDIRECT($C$5&amp;"生成成长"),2))/((VLOOKUP($B206,INDIRECT($B$5&amp;"生成成长"),4))/(VLOOKUP(AB$72,INDIRECT($C$5&amp;"生成成长"),5))*(VLOOKUP($B$5,标准坦克设计!$B$24:$U$30,MATCH("对"&amp;LEFT($C$5,2)&amp;"输出",标准坦克设计!$B$23:$U$23,0)))*(VLOOKUP($B206,INDIRECT($B$5&amp;"生成成长"),3))*(VLOOKUP($B$5,标准坦克设计!$B$14:$K$20,9)/30))</f>
        <v>6.6251815117230946</v>
      </c>
      <c r="AC206" s="173">
        <f ca="1">(VLOOKUP(AC$72,INDIRECT($C$5&amp;"生成成长"),2))/((VLOOKUP($B206,INDIRECT($B$5&amp;"生成成长"),4))/(VLOOKUP(AC$72,INDIRECT($C$5&amp;"生成成长"),5))*(VLOOKUP($B$5,标准坦克设计!$B$24:$U$30,MATCH("对"&amp;LEFT($C$5,2)&amp;"输出",标准坦克设计!$B$23:$U$23,0)))*(VLOOKUP($B206,INDIRECT($B$5&amp;"生成成长"),3))*(VLOOKUP($B$5,标准坦克设计!$B$14:$K$20,9)/30))</f>
        <v>7.2326907657490613</v>
      </c>
      <c r="AD206" s="173">
        <f ca="1">(VLOOKUP(AD$72,INDIRECT($C$5&amp;"生成成长"),2))/((VLOOKUP($B206,INDIRECT($B$5&amp;"生成成长"),4))/(VLOOKUP(AD$72,INDIRECT($C$5&amp;"生成成长"),5))*(VLOOKUP($B$5,标准坦克设计!$B$24:$U$30,MATCH("对"&amp;LEFT($C$5,2)&amp;"输出",标准坦克设计!$B$23:$U$23,0)))*(VLOOKUP($B206,INDIRECT($B$5&amp;"生成成长"),3))*(VLOOKUP($B$5,标准坦克设计!$B$14:$K$20,9)/30))</f>
        <v>7.8668451624954665</v>
      </c>
      <c r="AE206" s="173">
        <f ca="1">(VLOOKUP(AE$72,INDIRECT($C$5&amp;"生成成长"),2))/((VLOOKUP($B206,INDIRECT($B$5&amp;"生成成长"),4))/(VLOOKUP(AE$72,INDIRECT($C$5&amp;"生成成长"),5))*(VLOOKUP($B$5,标准坦克设计!$B$24:$U$30,MATCH("对"&amp;LEFT($C$5,2)&amp;"输出",标准坦克设计!$B$23:$U$23,0)))*(VLOOKUP($B206,INDIRECT($B$5&amp;"生成成长"),3))*(VLOOKUP($B$5,标准坦克设计!$B$14:$K$20,9)/30))</f>
        <v>8.5276447019623074</v>
      </c>
      <c r="AF206" s="173">
        <f ca="1">(VLOOKUP(AF$72,INDIRECT($C$5&amp;"生成成长"),2))/((VLOOKUP($B206,INDIRECT($B$5&amp;"生成成长"),4))/(VLOOKUP(AF$72,INDIRECT($C$5&amp;"生成成长"),5))*(VLOOKUP($B$5,标准坦克设计!$B$24:$U$30,MATCH("对"&amp;LEFT($C$5,2)&amp;"输出",标准坦克设计!$B$23:$U$23,0)))*(VLOOKUP($B206,INDIRECT($B$5&amp;"生成成长"),3))*(VLOOKUP($B$5,标准坦克设计!$B$14:$K$20,9)/30))</f>
        <v>9.2150893841495858</v>
      </c>
      <c r="AG206" s="173">
        <f ca="1">(VLOOKUP(AG$72,INDIRECT($C$5&amp;"生成成长"),2))/((VLOOKUP($B206,INDIRECT($B$5&amp;"生成成长"),4))/(VLOOKUP(AG$72,INDIRECT($C$5&amp;"生成成长"),5))*(VLOOKUP($B$5,标准坦克设计!$B$24:$U$30,MATCH("对"&amp;LEFT($C$5,2)&amp;"输出",标准坦克设计!$B$23:$U$23,0)))*(VLOOKUP($B206,INDIRECT($B$5&amp;"生成成长"),3))*(VLOOKUP($B$5,标准坦克设计!$B$14:$K$20,9)/30))</f>
        <v>9.9291792090573008</v>
      </c>
      <c r="AH206" s="173">
        <f ca="1">(VLOOKUP(AH$72,INDIRECT($C$5&amp;"生成成长"),2))/((VLOOKUP($B206,INDIRECT($B$5&amp;"生成成长"),4))/(VLOOKUP(AH$72,INDIRECT($C$5&amp;"生成成长"),5))*(VLOOKUP($B$5,标准坦克设计!$B$24:$U$30,MATCH("对"&amp;LEFT($C$5,2)&amp;"输出",标准坦克设计!$B$23:$U$23,0)))*(VLOOKUP($B206,INDIRECT($B$5&amp;"生成成长"),3))*(VLOOKUP($B$5,标准坦克设计!$B$14:$K$20,9)/30))</f>
        <v>10.669914176685456</v>
      </c>
      <c r="AI206" s="173">
        <f ca="1">(VLOOKUP(AI$72,INDIRECT($C$5&amp;"生成成长"),2))/((VLOOKUP($B206,INDIRECT($B$5&amp;"生成成长"),4))/(VLOOKUP(AI$72,INDIRECT($C$5&amp;"生成成长"),5))*(VLOOKUP($B$5,标准坦克设计!$B$24:$U$30,MATCH("对"&amp;LEFT($C$5,2)&amp;"输出",标准坦克设计!$B$23:$U$23,0)))*(VLOOKUP($B206,INDIRECT($B$5&amp;"生成成长"),3))*(VLOOKUP($B$5,标准坦克设计!$B$14:$K$20,9)/30))</f>
        <v>7.5464373212822089</v>
      </c>
      <c r="AJ206" s="173">
        <f ca="1">(VLOOKUP(AJ$72,INDIRECT($C$5&amp;"生成成长"),2))/((VLOOKUP($B206,INDIRECT($B$5&amp;"生成成长"),4))/(VLOOKUP(AJ$72,INDIRECT($C$5&amp;"生成成长"),5))*(VLOOKUP($B$5,标准坦克设计!$B$24:$U$30,MATCH("对"&amp;LEFT($C$5,2)&amp;"输出",标准坦克设计!$B$23:$U$23,0)))*(VLOOKUP($B206,INDIRECT($B$5&amp;"生成成长"),3))*(VLOOKUP($B$5,标准坦克设计!$B$14:$K$20,9)/30))</f>
        <v>8.2601274690491184</v>
      </c>
      <c r="AK206" s="173">
        <f ca="1">(VLOOKUP(AK$72,INDIRECT($C$5&amp;"生成成长"),2))/((VLOOKUP($B206,INDIRECT($B$5&amp;"生成成长"),4))/(VLOOKUP(AK$72,INDIRECT($C$5&amp;"生成成长"),5))*(VLOOKUP($B$5,标准坦克设计!$B$24:$U$30,MATCH("对"&amp;LEFT($C$5,2)&amp;"输出",标准坦克设计!$B$23:$U$23,0)))*(VLOOKUP($B206,INDIRECT($B$5&amp;"生成成长"),3))*(VLOOKUP($B$5,标准坦克设计!$B$14:$K$20,9)/30))</f>
        <v>9.0060582395077571</v>
      </c>
      <c r="AL206" s="173">
        <f ca="1">(VLOOKUP(AL$72,INDIRECT($C$5&amp;"生成成长"),2))/((VLOOKUP($B206,INDIRECT($B$5&amp;"生成成长"),4))/(VLOOKUP(AL$72,INDIRECT($C$5&amp;"生成成长"),5))*(VLOOKUP($B$5,标准坦克设计!$B$24:$U$30,MATCH("对"&amp;LEFT($C$5,2)&amp;"输出",标准坦克设计!$B$23:$U$23,0)))*(VLOOKUP($B206,INDIRECT($B$5&amp;"生成成长"),3))*(VLOOKUP($B$5,标准坦克设计!$B$14:$K$20,9)/30))</f>
        <v>9.7842296326581231</v>
      </c>
      <c r="AM206" s="173">
        <f ca="1">(VLOOKUP(AM$72,INDIRECT($C$5&amp;"生成成长"),2))/((VLOOKUP($B206,INDIRECT($B$5&amp;"生成成长"),4))/(VLOOKUP(AM$72,INDIRECT($C$5&amp;"生成成长"),5))*(VLOOKUP($B$5,标准坦克设计!$B$24:$U$30,MATCH("对"&amp;LEFT($C$5,2)&amp;"输出",标准坦克设计!$B$23:$U$23,0)))*(VLOOKUP($B206,INDIRECT($B$5&amp;"生成成长"),3))*(VLOOKUP($B$5,标准坦克设计!$B$14:$K$20,9)/30))</f>
        <v>10.59464164850022</v>
      </c>
      <c r="AN206" s="173">
        <f ca="1">(VLOOKUP(AN$72,INDIRECT($C$5&amp;"生成成长"),2))/((VLOOKUP($B206,INDIRECT($B$5&amp;"生成成长"),4))/(VLOOKUP(AN$72,INDIRECT($C$5&amp;"生成成长"),5))*(VLOOKUP($B$5,标准坦克设计!$B$24:$U$30,MATCH("对"&amp;LEFT($C$5,2)&amp;"输出",标准坦克设计!$B$23:$U$23,0)))*(VLOOKUP($B206,INDIRECT($B$5&amp;"生成成长"),3))*(VLOOKUP($B$5,标准坦克设计!$B$14:$K$20,9)/30))</f>
        <v>11.437294287034044</v>
      </c>
      <c r="AO206" s="173">
        <f ca="1">(VLOOKUP(AO$72,INDIRECT($C$5&amp;"生成成长"),2))/((VLOOKUP($B206,INDIRECT($B$5&amp;"生成成长"),4))/(VLOOKUP(AO$72,INDIRECT($C$5&amp;"生成成长"),5))*(VLOOKUP($B$5,标准坦克设计!$B$24:$U$30,MATCH("对"&amp;LEFT($C$5,2)&amp;"输出",标准坦克设计!$B$23:$U$23,0)))*(VLOOKUP($B206,INDIRECT($B$5&amp;"生成成长"),3))*(VLOOKUP($B$5,标准坦克设计!$B$14:$K$20,9)/30))</f>
        <v>12.312187548259599</v>
      </c>
      <c r="AP206" s="173">
        <f ca="1">(VLOOKUP(AP$72,INDIRECT($C$5&amp;"生成成长"),2))/((VLOOKUP($B206,INDIRECT($B$5&amp;"生成成长"),4))/(VLOOKUP(AP$72,INDIRECT($C$5&amp;"生成成长"),5))*(VLOOKUP($B$5,标准坦克设计!$B$24:$U$30,MATCH("对"&amp;LEFT($C$5,2)&amp;"输出",标准坦克设计!$B$23:$U$23,0)))*(VLOOKUP($B206,INDIRECT($B$5&amp;"生成成长"),3))*(VLOOKUP($B$5,标准坦克设计!$B$14:$K$20,9)/30))</f>
        <v>13.21932143217688</v>
      </c>
      <c r="AQ206" s="173">
        <f ca="1">(VLOOKUP(AQ$72,INDIRECT($C$5&amp;"生成成长"),2))/((VLOOKUP($B206,INDIRECT($B$5&amp;"生成成长"),4))/(VLOOKUP(AQ$72,INDIRECT($C$5&amp;"生成成长"),5))*(VLOOKUP($B$5,标准坦克设计!$B$24:$U$30,MATCH("对"&amp;LEFT($C$5,2)&amp;"输出",标准坦克设计!$B$23:$U$23,0)))*(VLOOKUP($B206,INDIRECT($B$5&amp;"生成成长"),3))*(VLOOKUP($B$5,标准坦克设计!$B$14:$K$20,9)/30))</f>
        <v>14.158695938785891</v>
      </c>
      <c r="AR206" s="173">
        <f ca="1">(VLOOKUP(AR$72,INDIRECT($C$5&amp;"生成成长"),2))/((VLOOKUP($B206,INDIRECT($B$5&amp;"生成成长"),4))/(VLOOKUP(AR$72,INDIRECT($C$5&amp;"生成成长"),5))*(VLOOKUP($B$5,标准坦克设计!$B$24:$U$30,MATCH("对"&amp;LEFT($C$5,2)&amp;"输出",标准坦克设计!$B$23:$U$23,0)))*(VLOOKUP($B206,INDIRECT($B$5&amp;"生成成长"),3))*(VLOOKUP($B$5,标准坦克设计!$B$14:$K$20,9)/30))</f>
        <v>15.130311068086632</v>
      </c>
      <c r="AS206" s="173">
        <f ca="1">(VLOOKUP(AS$72,INDIRECT($C$5&amp;"生成成长"),2))/((VLOOKUP($B206,INDIRECT($B$5&amp;"生成成长"),4))/(VLOOKUP(AS$72,INDIRECT($C$5&amp;"生成成长"),5))*(VLOOKUP($B$5,标准坦克设计!$B$24:$U$30,MATCH("对"&amp;LEFT($C$5,2)&amp;"输出",标准坦克设计!$B$23:$U$23,0)))*(VLOOKUP($B206,INDIRECT($B$5&amp;"生成成长"),3))*(VLOOKUP($B$5,标准坦克设计!$B$14:$K$20,9)/30))</f>
        <v>16.134166820079106</v>
      </c>
      <c r="AT206" s="173">
        <f ca="1">(VLOOKUP(AT$72,INDIRECT($C$5&amp;"生成成长"),2))/((VLOOKUP($B206,INDIRECT($B$5&amp;"生成成长"),4))/(VLOOKUP(AT$72,INDIRECT($C$5&amp;"生成成长"),5))*(VLOOKUP($B$5,标准坦克设计!$B$24:$U$30,MATCH("对"&amp;LEFT($C$5,2)&amp;"输出",标准坦克设计!$B$23:$U$23,0)))*(VLOOKUP($B206,INDIRECT($B$5&amp;"生成成长"),3))*(VLOOKUP($B$5,标准坦克设计!$B$14:$K$20,9)/30))</f>
        <v>17.170263194763304</v>
      </c>
      <c r="AU206" s="173">
        <f ca="1">(VLOOKUP(AU$72,INDIRECT($C$5&amp;"生成成长"),2))/((VLOOKUP($B206,INDIRECT($B$5&amp;"生成成长"),4))/(VLOOKUP(AU$72,INDIRECT($C$5&amp;"生成成长"),5))*(VLOOKUP($B$5,标准坦克设计!$B$24:$U$30,MATCH("对"&amp;LEFT($C$5,2)&amp;"输出",标准坦克设计!$B$23:$U$23,0)))*(VLOOKUP($B206,INDIRECT($B$5&amp;"生成成长"),3))*(VLOOKUP($B$5,标准坦克设计!$B$14:$K$20,9)/30))</f>
        <v>18.238600192139231</v>
      </c>
      <c r="AV206" s="173">
        <f ca="1">(VLOOKUP(AV$72,INDIRECT($C$5&amp;"生成成长"),2))/((VLOOKUP($B206,INDIRECT($B$5&amp;"生成成长"),4))/(VLOOKUP(AV$72,INDIRECT($C$5&amp;"生成成长"),5))*(VLOOKUP($B$5,标准坦克设计!$B$24:$U$30,MATCH("对"&amp;LEFT($C$5,2)&amp;"输出",标准坦克设计!$B$23:$U$23,0)))*(VLOOKUP($B206,INDIRECT($B$5&amp;"生成成长"),3))*(VLOOKUP($B$5,标准坦克设计!$B$14:$K$20,9)/30))</f>
        <v>1.8550348361968347</v>
      </c>
      <c r="AW206" s="173">
        <f ca="1">(VLOOKUP(AW$72,INDIRECT($C$5&amp;"生成成长"),2))/((VLOOKUP($B206,INDIRECT($B$5&amp;"生成成长"),4))/(VLOOKUP(AW$72,INDIRECT($C$5&amp;"生成成长"),5))*(VLOOKUP($B$5,标准坦克设计!$B$24:$U$30,MATCH("对"&amp;LEFT($C$5,2)&amp;"输出",标准坦克设计!$B$23:$U$23,0)))*(VLOOKUP($B206,INDIRECT($B$5&amp;"生成成长"),3))*(VLOOKUP($B$5,标准坦克设计!$B$14:$K$20,9)/30))</f>
        <v>2.1150914291483009</v>
      </c>
      <c r="AX206" s="173">
        <f ca="1">(VLOOKUP(AX$72,INDIRECT($C$5&amp;"生成成长"),2))/((VLOOKUP($B206,INDIRECT($B$5&amp;"生成成长"),4))/(VLOOKUP(AX$72,INDIRECT($C$5&amp;"生成成长"),5))*(VLOOKUP($B$5,标准坦克设计!$B$24:$U$30,MATCH("对"&amp;LEFT($C$5,2)&amp;"输出",标准坦克设计!$B$23:$U$23,0)))*(VLOOKUP($B206,INDIRECT($B$5&amp;"生成成长"),3))*(VLOOKUP($B$5,标准坦克设计!$B$14:$K$20,9)/30))</f>
        <v>2.3922009134408473</v>
      </c>
      <c r="AY206" s="173">
        <f ca="1">(VLOOKUP(AY$72,INDIRECT($C$5&amp;"生成成长"),2))/((VLOOKUP($B206,INDIRECT($B$5&amp;"生成成长"),4))/(VLOOKUP(AY$72,INDIRECT($C$5&amp;"生成成长"),5))*(VLOOKUP($B$5,标准坦克设计!$B$24:$U$30,MATCH("对"&amp;LEFT($C$5,2)&amp;"输出",标准坦克设计!$B$23:$U$23,0)))*(VLOOKUP($B206,INDIRECT($B$5&amp;"生成成长"),3))*(VLOOKUP($B$5,标准坦克设计!$B$14:$K$20,9)/30))</f>
        <v>2.6863632890744733</v>
      </c>
      <c r="AZ206" s="173">
        <f ca="1">(VLOOKUP(AZ$72,INDIRECT($C$5&amp;"生成成长"),2))/((VLOOKUP($B206,INDIRECT($B$5&amp;"生成成长"),4))/(VLOOKUP(AZ$72,INDIRECT($C$5&amp;"生成成长"),5))*(VLOOKUP($B$5,标准坦克设计!$B$24:$U$30,MATCH("对"&amp;LEFT($C$5,2)&amp;"输出",标准坦克设计!$B$23:$U$23,0)))*(VLOOKUP($B206,INDIRECT($B$5&amp;"生成成长"),3))*(VLOOKUP($B$5,标准坦克设计!$B$14:$K$20,9)/30))</f>
        <v>2.9975785560491794</v>
      </c>
      <c r="BA206" s="173">
        <f ca="1">(VLOOKUP(BA$72,INDIRECT($C$5&amp;"生成成长"),2))/((VLOOKUP($B206,INDIRECT($B$5&amp;"生成成长"),4))/(VLOOKUP(BA$72,INDIRECT($C$5&amp;"生成成长"),5))*(VLOOKUP($B$5,标准坦克设计!$B$24:$U$30,MATCH("对"&amp;LEFT($C$5,2)&amp;"输出",标准坦克设计!$B$23:$U$23,0)))*(VLOOKUP($B206,INDIRECT($B$5&amp;"生成成长"),3))*(VLOOKUP($B$5,标准坦克设计!$B$14:$K$20,9)/30))</f>
        <v>3.3258467143649653</v>
      </c>
      <c r="BB206" s="173">
        <f ca="1">(VLOOKUP(BB$72,INDIRECT($C$5&amp;"生成成长"),2))/((VLOOKUP($B206,INDIRECT($B$5&amp;"生成成长"),4))/(VLOOKUP(BB$72,INDIRECT($C$5&amp;"生成成长"),5))*(VLOOKUP($B$5,标准坦克设计!$B$24:$U$30,MATCH("对"&amp;LEFT($C$5,2)&amp;"输出",标准坦克设计!$B$23:$U$23,0)))*(VLOOKUP($B206,INDIRECT($B$5&amp;"生成成长"),3))*(VLOOKUP($B$5,标准坦克设计!$B$14:$K$20,9)/30))</f>
        <v>3.6711677640218303</v>
      </c>
      <c r="BC206" s="173">
        <f ca="1">(VLOOKUP(BC$72,INDIRECT($C$5&amp;"生成成长"),2))/((VLOOKUP($B206,INDIRECT($B$5&amp;"生成成长"),4))/(VLOOKUP(BC$72,INDIRECT($C$5&amp;"生成成长"),5))*(VLOOKUP($B$5,标准坦克设计!$B$24:$U$30,MATCH("对"&amp;LEFT($C$5,2)&amp;"输出",标准坦克设计!$B$23:$U$23,0)))*(VLOOKUP($B206,INDIRECT($B$5&amp;"生成成长"),3))*(VLOOKUP($B$5,标准坦克设计!$B$14:$K$20,9)/30))</f>
        <v>4.0335417050197764</v>
      </c>
      <c r="BD206" s="173">
        <f ca="1">(VLOOKUP(BD$72,INDIRECT($C$5&amp;"生成成长"),2))/((VLOOKUP($B206,INDIRECT($B$5&amp;"生成成长"),4))/(VLOOKUP(BD$72,INDIRECT($C$5&amp;"生成成长"),5))*(VLOOKUP($B$5,标准坦克设计!$B$24:$U$30,MATCH("对"&amp;LEFT($C$5,2)&amp;"输出",标准坦克设计!$B$23:$U$23,0)))*(VLOOKUP($B206,INDIRECT($B$5&amp;"生成成长"),3))*(VLOOKUP($B$5,标准坦克设计!$B$14:$K$20,9)/30))</f>
        <v>4.461595922823598</v>
      </c>
      <c r="BE206" s="173">
        <f ca="1">(VLOOKUP(BE$72,INDIRECT($C$5&amp;"生成成长"),2))/((VLOOKUP($B206,INDIRECT($B$5&amp;"生成成长"),4))/(VLOOKUP(BE$72,INDIRECT($C$5&amp;"生成成长"),5))*(VLOOKUP($B$5,标准坦克设计!$B$24:$U$30,MATCH("对"&amp;LEFT($C$5,2)&amp;"输出",标准坦克设计!$B$23:$U$23,0)))*(VLOOKUP($B206,INDIRECT($B$5&amp;"生成成长"),3))*(VLOOKUP($B$5,标准坦克设计!$B$14:$K$20,9)/30))</f>
        <v>4.9112327062309751</v>
      </c>
      <c r="BF206" s="173">
        <f ca="1">(VLOOKUP(BF$72,INDIRECT($C$5&amp;"生成成长"),2))/((VLOOKUP($B206,INDIRECT($B$5&amp;"生成成长"),4))/(VLOOKUP(BF$72,INDIRECT($C$5&amp;"生成成长"),5))*(VLOOKUP($B$5,标准坦克设计!$B$24:$U$30,MATCH("对"&amp;LEFT($C$5,2)&amp;"输出",标准坦克设计!$B$23:$U$23,0)))*(VLOOKUP($B206,INDIRECT($B$5&amp;"生成成长"),3))*(VLOOKUP($B$5,标准坦克设计!$B$14:$K$20,9)/30))</f>
        <v>5.3824520552419077</v>
      </c>
      <c r="BG206" s="173">
        <f ca="1">(VLOOKUP(BG$72,INDIRECT($C$5&amp;"生成成长"),2))/((VLOOKUP($B206,INDIRECT($B$5&amp;"生成成长"),4))/(VLOOKUP(BG$72,INDIRECT($C$5&amp;"生成成长"),5))*(VLOOKUP($B$5,标准坦克设计!$B$24:$U$30,MATCH("对"&amp;LEFT($C$5,2)&amp;"输出",标准坦克设计!$B$23:$U$23,0)))*(VLOOKUP($B206,INDIRECT($B$5&amp;"生成成长"),3))*(VLOOKUP($B$5,标准坦克设计!$B$14:$K$20,9)/30))</f>
        <v>5.8752539698563915</v>
      </c>
      <c r="BH206" s="173">
        <f ca="1">(VLOOKUP(BH$72,INDIRECT($C$5&amp;"生成成长"),2))/((VLOOKUP($B206,INDIRECT($B$5&amp;"生成成长"),4))/(VLOOKUP(BH$72,INDIRECT($C$5&amp;"生成成长"),5))*(VLOOKUP($B$5,标准坦克设计!$B$24:$U$30,MATCH("对"&amp;LEFT($C$5,2)&amp;"输出",标准坦克设计!$B$23:$U$23,0)))*(VLOOKUP($B206,INDIRECT($B$5&amp;"生成成长"),3))*(VLOOKUP($B$5,标准坦克设计!$B$14:$K$20,9)/30))</f>
        <v>2.8398393111441917</v>
      </c>
      <c r="BI206" s="173">
        <f ca="1">(VLOOKUP(BI$72,INDIRECT($C$5&amp;"生成成长"),2))/((VLOOKUP($B206,INDIRECT($B$5&amp;"生成成长"),4))/(VLOOKUP(BI$72,INDIRECT($C$5&amp;"生成成长"),5))*(VLOOKUP($B$5,标准坦克设计!$B$24:$U$30,MATCH("对"&amp;LEFT($C$5,2)&amp;"输出",标准坦克设计!$B$23:$U$23,0)))*(VLOOKUP($B206,INDIRECT($B$5&amp;"生成成长"),3))*(VLOOKUP($B$5,标准坦克设计!$B$14:$K$20,9)/30))</f>
        <v>3.2007477692925126</v>
      </c>
      <c r="BJ206" s="173">
        <f ca="1">(VLOOKUP(BJ$72,INDIRECT($C$5&amp;"生成成长"),2))/((VLOOKUP($B206,INDIRECT($B$5&amp;"生成成长"),4))/(VLOOKUP(BJ$72,INDIRECT($C$5&amp;"生成成长"),5))*(VLOOKUP($B$5,标准坦克设计!$B$24:$U$30,MATCH("对"&amp;LEFT($C$5,2)&amp;"输出",标准坦克设计!$B$23:$U$23,0)))*(VLOOKUP($B206,INDIRECT($B$5&amp;"生成成长"),3))*(VLOOKUP($B$5,标准坦克设计!$B$14:$K$20,9)/30))</f>
        <v>3.5832387930443876</v>
      </c>
      <c r="BK206" s="173">
        <f ca="1">(VLOOKUP(BK$72,INDIRECT($C$5&amp;"生成成长"),2))/((VLOOKUP($B206,INDIRECT($B$5&amp;"生成成长"),4))/(VLOOKUP(BK$72,INDIRECT($C$5&amp;"生成成长"),5))*(VLOOKUP($B$5,标准坦克设计!$B$24:$U$30,MATCH("对"&amp;LEFT($C$5,2)&amp;"输出",标准坦克设计!$B$23:$U$23,0)))*(VLOOKUP($B206,INDIRECT($B$5&amp;"生成成长"),3))*(VLOOKUP($B$5,标准坦克设计!$B$14:$K$20,9)/30))</f>
        <v>3.9873123823998169</v>
      </c>
      <c r="BL206" s="173">
        <f ca="1">(VLOOKUP(BL$72,INDIRECT($C$5&amp;"生成成长"),2))/((VLOOKUP($B206,INDIRECT($B$5&amp;"生成成长"),4))/(VLOOKUP(BL$72,INDIRECT($C$5&amp;"生成成长"),5))*(VLOOKUP($B$5,标准坦克设计!$B$24:$U$30,MATCH("对"&amp;LEFT($C$5,2)&amp;"输出",标准坦克设计!$B$23:$U$23,0)))*(VLOOKUP($B206,INDIRECT($B$5&amp;"生成成长"),3))*(VLOOKUP($B$5,标准坦克设计!$B$14:$K$20,9)/30))</f>
        <v>4.4129685373588003</v>
      </c>
      <c r="BM206" s="173">
        <f ca="1">(VLOOKUP(BM$72,INDIRECT($C$5&amp;"生成成长"),2))/((VLOOKUP($B206,INDIRECT($B$5&amp;"生成成长"),4))/(VLOOKUP(BM$72,INDIRECT($C$5&amp;"生成成长"),5))*(VLOOKUP($B$5,标准坦克设计!$B$24:$U$30,MATCH("对"&amp;LEFT($C$5,2)&amp;"输出",标准坦克设计!$B$23:$U$23,0)))*(VLOOKUP($B206,INDIRECT($B$5&amp;"生成成长"),3))*(VLOOKUP($B$5,标准坦克设计!$B$14:$K$20,9)/30))</f>
        <v>4.8602072579213385</v>
      </c>
      <c r="BN206" s="173">
        <f ca="1">(VLOOKUP(BN$72,INDIRECT($C$5&amp;"生成成长"),2))/((VLOOKUP($B206,INDIRECT($B$5&amp;"生成成长"),4))/(VLOOKUP(BN$72,INDIRECT($C$5&amp;"生成成长"),5))*(VLOOKUP($B$5,标准坦克设计!$B$24:$U$30,MATCH("对"&amp;LEFT($C$5,2)&amp;"输出",标准坦克设计!$B$23:$U$23,0)))*(VLOOKUP($B206,INDIRECT($B$5&amp;"生成成长"),3))*(VLOOKUP($B$5,标准坦克设计!$B$14:$K$20,9)/30))</f>
        <v>5.3290285440874303</v>
      </c>
      <c r="BO206" s="173">
        <f ca="1">(VLOOKUP(BO$72,INDIRECT($C$5&amp;"生成成长"),2))/((VLOOKUP($B206,INDIRECT($B$5&amp;"生成成长"),4))/(VLOOKUP(BO$72,INDIRECT($C$5&amp;"生成成长"),5))*(VLOOKUP($B$5,标准坦克设计!$B$24:$U$30,MATCH("对"&amp;LEFT($C$5,2)&amp;"输出",标准坦克设计!$B$23:$U$23,0)))*(VLOOKUP($B206,INDIRECT($B$5&amp;"生成成长"),3))*(VLOOKUP($B$5,标准坦克设计!$B$14:$K$20,9)/30))</f>
        <v>5.8194323958570759</v>
      </c>
      <c r="BP206" s="173">
        <f ca="1">(VLOOKUP(BP$72,INDIRECT($C$5&amp;"生成成长"),2))/((VLOOKUP($B206,INDIRECT($B$5&amp;"生成成长"),4))/(VLOOKUP(BP$72,INDIRECT($C$5&amp;"生成成长"),5))*(VLOOKUP($B$5,标准坦克设计!$B$24:$U$30,MATCH("对"&amp;LEFT($C$5,2)&amp;"输出",标准坦克设计!$B$23:$U$23,0)))*(VLOOKUP($B206,INDIRECT($B$5&amp;"生成成长"),3))*(VLOOKUP($B$5,标准坦克设计!$B$14:$K$20,9)/30))</f>
        <v>6.3314188132302762</v>
      </c>
      <c r="BQ206" s="173">
        <f ca="1">(VLOOKUP(BQ$72,INDIRECT($C$5&amp;"生成成长"),2))/((VLOOKUP($B206,INDIRECT($B$5&amp;"生成成长"),4))/(VLOOKUP(BQ$72,INDIRECT($C$5&amp;"生成成长"),5))*(VLOOKUP($B$5,标准坦克设计!$B$24:$U$30,MATCH("对"&amp;LEFT($C$5,2)&amp;"输出",标准坦克设计!$B$23:$U$23,0)))*(VLOOKUP($B206,INDIRECT($B$5&amp;"生成成长"),3))*(VLOOKUP($B$5,标准坦克设计!$B$14:$K$20,9)/30))</f>
        <v>6.8649877962070303</v>
      </c>
      <c r="BR206" s="173">
        <f ca="1">(VLOOKUP(BR$72,INDIRECT($C$5&amp;"生成成长"),2))/((VLOOKUP($B206,INDIRECT($B$5&amp;"生成成长"),4))/(VLOOKUP(BR$72,INDIRECT($C$5&amp;"生成成长"),5))*(VLOOKUP($B$5,标准坦克设计!$B$24:$U$30,MATCH("对"&amp;LEFT($C$5,2)&amp;"输出",标准坦克设计!$B$23:$U$23,0)))*(VLOOKUP($B206,INDIRECT($B$5&amp;"生成成长"),3))*(VLOOKUP($B$5,标准坦克设计!$B$14:$K$20,9)/30))</f>
        <v>7.4831551073211715</v>
      </c>
      <c r="BS206" s="173">
        <f ca="1">(VLOOKUP(BS$72,INDIRECT($C$5&amp;"生成成长"),2))/((VLOOKUP($B206,INDIRECT($B$5&amp;"生成成长"),4))/(VLOOKUP(BS$72,INDIRECT($C$5&amp;"生成成长"),5))*(VLOOKUP($B$5,标准坦克设计!$B$24:$U$30,MATCH("对"&amp;LEFT($C$5,2)&amp;"输出",标准坦克设计!$B$23:$U$23,0)))*(VLOOKUP($B206,INDIRECT($B$5&amp;"生成成长"),3))*(VLOOKUP($B$5,标准坦克设计!$B$14:$K$20,9)/30))</f>
        <v>8.1279675611557494</v>
      </c>
      <c r="BT206" s="173">
        <f ca="1">(VLOOKUP(BT$72,INDIRECT($C$5&amp;"生成成长"),2))/((VLOOKUP($B206,INDIRECT($B$5&amp;"生成成长"),4))/(VLOOKUP(BT$72,INDIRECT($C$5&amp;"生成成长"),5))*(VLOOKUP($B$5,标准坦克设计!$B$24:$U$30,MATCH("对"&amp;LEFT($C$5,2)&amp;"输出",标准坦克设计!$B$23:$U$23,0)))*(VLOOKUP($B206,INDIRECT($B$5&amp;"生成成长"),3))*(VLOOKUP($B$5,标准坦克设计!$B$14:$K$20,9)/30))</f>
        <v>8.7994251577107665</v>
      </c>
      <c r="BU206" s="173">
        <f ca="1">(VLOOKUP(BU$72,INDIRECT($C$5&amp;"生成成长"),2))/((VLOOKUP($B206,INDIRECT($B$5&amp;"生成成长"),4))/(VLOOKUP(BU$72,INDIRECT($C$5&amp;"生成成长"),5))*(VLOOKUP($B$5,标准坦克设计!$B$24:$U$30,MATCH("对"&amp;LEFT($C$5,2)&amp;"输出",标准坦克设计!$B$23:$U$23,0)))*(VLOOKUP($B206,INDIRECT($B$5&amp;"生成成长"),3))*(VLOOKUP($B$5,标准坦克设计!$B$14:$K$20,9)/30))</f>
        <v>9.4975278969862202</v>
      </c>
      <c r="BV206" s="173">
        <f ca="1">(VLOOKUP(BV$72,INDIRECT($C$5&amp;"生成成长"),2))/((VLOOKUP($B206,INDIRECT($B$5&amp;"生成成长"),4))/(VLOOKUP(BV$72,INDIRECT($C$5&amp;"生成成长"),5))*(VLOOKUP($B$5,标准坦克设计!$B$24:$U$30,MATCH("对"&amp;LEFT($C$5,2)&amp;"输出",标准坦克设计!$B$23:$U$23,0)))*(VLOOKUP($B206,INDIRECT($B$5&amp;"生成成长"),3))*(VLOOKUP($B$5,标准坦克设计!$B$14:$K$20,9)/30))</f>
        <v>10.222275778982111</v>
      </c>
      <c r="BW206" s="173">
        <f ca="1">(VLOOKUP(BW$72,INDIRECT($C$5&amp;"生成成长"),2))/((VLOOKUP($B206,INDIRECT($B$5&amp;"生成成长"),4))/(VLOOKUP(BW$72,INDIRECT($C$5&amp;"生成成长"),5))*(VLOOKUP($B$5,标准坦克设计!$B$24:$U$30,MATCH("对"&amp;LEFT($C$5,2)&amp;"输出",标准坦克设计!$B$23:$U$23,0)))*(VLOOKUP($B206,INDIRECT($B$5&amp;"生成成长"),3))*(VLOOKUP($B$5,标准坦克设计!$B$14:$K$20,9)/30))</f>
        <v>4.6587699789548331</v>
      </c>
      <c r="BX206" s="173">
        <f ca="1">(VLOOKUP(BX$72,INDIRECT($C$5&amp;"生成成长"),2))/((VLOOKUP($B206,INDIRECT($B$5&amp;"生成成长"),4))/(VLOOKUP(BX$72,INDIRECT($C$5&amp;"生成成长"),5))*(VLOOKUP($B$5,标准坦克设计!$B$24:$U$30,MATCH("对"&amp;LEFT($C$5,2)&amp;"输出",标准坦克设计!$B$23:$U$23,0)))*(VLOOKUP($B206,INDIRECT($B$5&amp;"生成成长"),3))*(VLOOKUP($B$5,标准坦克设计!$B$14:$K$20,9)/30))</f>
        <v>5.1703567191872271</v>
      </c>
      <c r="BY206" s="173">
        <f ca="1">(VLOOKUP(BY$72,INDIRECT($C$5&amp;"生成成长"),2))/((VLOOKUP($B206,INDIRECT($B$5&amp;"生成成长"),4))/(VLOOKUP(BY$72,INDIRECT($C$5&amp;"生成成长"),5))*(VLOOKUP($B$5,标准坦克设计!$B$24:$U$30,MATCH("对"&amp;LEFT($C$5,2)&amp;"输出",标准坦克设计!$B$23:$U$23,0)))*(VLOOKUP($B206,INDIRECT($B$5&amp;"生成成长"),3))*(VLOOKUP($B$5,标准坦克设计!$B$14:$K$20,9)/30))</f>
        <v>5.7085886021400576</v>
      </c>
      <c r="BZ206" s="173">
        <f ca="1">(VLOOKUP(BZ$72,INDIRECT($C$5&amp;"生成成长"),2))/((VLOOKUP($B206,INDIRECT($B$5&amp;"生成成长"),4))/(VLOOKUP(BZ$72,INDIRECT($C$5&amp;"生成成长"),5))*(VLOOKUP($B$5,标准坦克设计!$B$24:$U$30,MATCH("对"&amp;LEFT($C$5,2)&amp;"输出",标准坦克设计!$B$23:$U$23,0)))*(VLOOKUP($B206,INDIRECT($B$5&amp;"生成成长"),3))*(VLOOKUP($B$5,标准坦克设计!$B$14:$K$20,9)/30))</f>
        <v>6.2734656278133238</v>
      </c>
      <c r="CA206" s="173">
        <f ca="1">(VLOOKUP(CA$72,INDIRECT($C$5&amp;"生成成长"),2))/((VLOOKUP($B206,INDIRECT($B$5&amp;"生成成长"),4))/(VLOOKUP(CA$72,INDIRECT($C$5&amp;"生成成长"),5))*(VLOOKUP($B$5,标准坦克设计!$B$24:$U$30,MATCH("对"&amp;LEFT($C$5,2)&amp;"输出",标准坦克设计!$B$23:$U$23,0)))*(VLOOKUP($B206,INDIRECT($B$5&amp;"生成成长"),3))*(VLOOKUP($B$5,标准坦克设计!$B$14:$K$20,9)/30))</f>
        <v>6.8649877962070303</v>
      </c>
      <c r="CB206" s="173">
        <f ca="1">(VLOOKUP(CB$72,INDIRECT($C$5&amp;"生成成长"),2))/((VLOOKUP($B206,INDIRECT($B$5&amp;"生成成长"),4))/(VLOOKUP(CB$72,INDIRECT($C$5&amp;"生成成长"),5))*(VLOOKUP($B$5,标准坦克设计!$B$24:$U$30,MATCH("对"&amp;LEFT($C$5,2)&amp;"输出",标准坦克设计!$B$23:$U$23,0)))*(VLOOKUP($B206,INDIRECT($B$5&amp;"生成成长"),3))*(VLOOKUP($B$5,标准坦克设计!$B$14:$K$20,9)/30))</f>
        <v>7.4831551073211715</v>
      </c>
      <c r="CC206" s="173">
        <f ca="1">(VLOOKUP(CC$72,INDIRECT($C$5&amp;"生成成长"),2))/((VLOOKUP($B206,INDIRECT($B$5&amp;"生成成长"),4))/(VLOOKUP(CC$72,INDIRECT($C$5&amp;"生成成长"),5))*(VLOOKUP($B$5,标准坦克设计!$B$24:$U$30,MATCH("对"&amp;LEFT($C$5,2)&amp;"输出",标准坦克设计!$B$23:$U$23,0)))*(VLOOKUP($B206,INDIRECT($B$5&amp;"生成成长"),3))*(VLOOKUP($B$5,标准坦克设计!$B$14:$K$20,9)/30))</f>
        <v>8.1279675611557494</v>
      </c>
      <c r="CD206" s="173">
        <f ca="1">(VLOOKUP(CD$72,INDIRECT($C$5&amp;"生成成长"),2))/((VLOOKUP($B206,INDIRECT($B$5&amp;"生成成长"),4))/(VLOOKUP(CD$72,INDIRECT($C$5&amp;"生成成长"),5))*(VLOOKUP($B$5,标准坦克设计!$B$24:$U$30,MATCH("对"&amp;LEFT($C$5,2)&amp;"输出",标准坦克设计!$B$23:$U$23,0)))*(VLOOKUP($B206,INDIRECT($B$5&amp;"生成成长"),3))*(VLOOKUP($B$5,标准坦克设计!$B$14:$K$20,9)/30))</f>
        <v>8.7994251577107665</v>
      </c>
      <c r="CE206" s="173">
        <f ca="1">(VLOOKUP(CE$72,INDIRECT($C$5&amp;"生成成长"),2))/((VLOOKUP($B206,INDIRECT($B$5&amp;"生成成长"),4))/(VLOOKUP(CE$72,INDIRECT($C$5&amp;"生成成长"),5))*(VLOOKUP($B$5,标准坦克设计!$B$24:$U$30,MATCH("对"&amp;LEFT($C$5,2)&amp;"输出",标准坦克设计!$B$23:$U$23,0)))*(VLOOKUP($B206,INDIRECT($B$5&amp;"生成成长"),3))*(VLOOKUP($B$5,标准坦克设计!$B$14:$K$20,9)/30))</f>
        <v>9.4975278969862202</v>
      </c>
      <c r="CF206" s="173">
        <f ca="1">(VLOOKUP(CF$72,INDIRECT($C$5&amp;"生成成长"),2))/((VLOOKUP($B206,INDIRECT($B$5&amp;"生成成长"),4))/(VLOOKUP(CF$72,INDIRECT($C$5&amp;"生成成长"),5))*(VLOOKUP($B$5,标准坦克设计!$B$24:$U$30,MATCH("对"&amp;LEFT($C$5,2)&amp;"输出",标准坦克设计!$B$23:$U$23,0)))*(VLOOKUP($B206,INDIRECT($B$5&amp;"生成成长"),3))*(VLOOKUP($B$5,标准坦克设计!$B$14:$K$20,9)/30))</f>
        <v>10.222275778982111</v>
      </c>
      <c r="CG206" s="173">
        <f ca="1">(VLOOKUP(CG$72,INDIRECT($C$5&amp;"生成成长"),2))/((VLOOKUP($B206,INDIRECT($B$5&amp;"生成成长"),4))/(VLOOKUP(CG$72,INDIRECT($C$5&amp;"生成成长"),5))*(VLOOKUP($B$5,标准坦克设计!$B$24:$U$30,MATCH("对"&amp;LEFT($C$5,2)&amp;"输出",标准坦克设计!$B$23:$U$23,0)))*(VLOOKUP($B206,INDIRECT($B$5&amp;"生成成长"),3))*(VLOOKUP($B$5,标准坦克设计!$B$14:$K$20,9)/30))</f>
        <v>10.973668803698439</v>
      </c>
      <c r="CH206" s="173">
        <f ca="1">(VLOOKUP(CH$72,INDIRECT($C$5&amp;"生成成长"),2))/((VLOOKUP($B206,INDIRECT($B$5&amp;"生成成长"),4))/(VLOOKUP(CH$72,INDIRECT($C$5&amp;"生成成长"),5))*(VLOOKUP($B$5,标准坦克设计!$B$24:$U$30,MATCH("对"&amp;LEFT($C$5,2)&amp;"输出",标准坦克设计!$B$23:$U$23,0)))*(VLOOKUP($B206,INDIRECT($B$5&amp;"生成成长"),3))*(VLOOKUP($B$5,标准坦克设计!$B$14:$K$20,9)/30))</f>
        <v>11.751706971135201</v>
      </c>
      <c r="CI206" s="173">
        <f ca="1">(VLOOKUP(CI$72,INDIRECT($C$5&amp;"生成成长"),2))/((VLOOKUP($B206,INDIRECT($B$5&amp;"生成成长"),4))/(VLOOKUP(CI$72,INDIRECT($C$5&amp;"生成成长"),5))*(VLOOKUP($B$5,标准坦克设计!$B$24:$U$30,MATCH("对"&amp;LEFT($C$5,2)&amp;"输出",标准坦克设计!$B$23:$U$23,0)))*(VLOOKUP($B206,INDIRECT($B$5&amp;"生成成长"),3))*(VLOOKUP($B$5,标准坦克设计!$B$14:$K$20,9)/30))</f>
        <v>12.638324095157749</v>
      </c>
      <c r="CJ206" s="173">
        <f ca="1">(VLOOKUP(CJ$72,INDIRECT($C$5&amp;"生成成长"),2))/((VLOOKUP($B206,INDIRECT($B$5&amp;"生成成长"),4))/(VLOOKUP(CJ$72,INDIRECT($C$5&amp;"生成成长"),5))*(VLOOKUP($B$5,标准坦克设计!$B$24:$U$30,MATCH("对"&amp;LEFT($C$5,2)&amp;"输出",标准坦克设计!$B$23:$U$23,0)))*(VLOOKUP($B206,INDIRECT($B$5&amp;"生成成长"),3))*(VLOOKUP($B$5,标准坦克设计!$B$14:$K$20,9)/30))</f>
        <v>13.557181841872024</v>
      </c>
      <c r="CK206" s="173">
        <f ca="1">(VLOOKUP(CK$72,INDIRECT($C$5&amp;"生成成长"),2))/((VLOOKUP($B206,INDIRECT($B$5&amp;"生成成长"),4))/(VLOOKUP(CK$72,INDIRECT($C$5&amp;"生成成长"),5))*(VLOOKUP($B$5,标准坦克设计!$B$24:$U$30,MATCH("对"&amp;LEFT($C$5,2)&amp;"输出",标准坦克设计!$B$23:$U$23,0)))*(VLOOKUP($B206,INDIRECT($B$5&amp;"生成成长"),3))*(VLOOKUP($B$5,标准坦克设计!$B$14:$K$20,9)/30))</f>
        <v>14.508280211278027</v>
      </c>
      <c r="CL206" s="173">
        <f ca="1">(VLOOKUP(CL$72,INDIRECT($C$5&amp;"生成成长"),2))/((VLOOKUP($B206,INDIRECT($B$5&amp;"生成成长"),4))/(VLOOKUP(CL$72,INDIRECT($C$5&amp;"生成成长"),5))*(VLOOKUP($B$5,标准坦克设计!$B$24:$U$30,MATCH("对"&amp;LEFT($C$5,2)&amp;"输出",标准坦克设计!$B$23:$U$23,0)))*(VLOOKUP($B206,INDIRECT($B$5&amp;"生成成长"),3))*(VLOOKUP($B$5,标准坦克设计!$B$14:$K$20,9)/30))</f>
        <v>15.491619203375762</v>
      </c>
      <c r="CM206" s="173">
        <f ca="1">(VLOOKUP(CM$72,INDIRECT($C$5&amp;"生成成长"),2))/((VLOOKUP($B206,INDIRECT($B$5&amp;"生成成长"),4))/(VLOOKUP(CM$72,INDIRECT($C$5&amp;"生成成长"),5))*(VLOOKUP($B$5,标准坦克设计!$B$24:$U$30,MATCH("对"&amp;LEFT($C$5,2)&amp;"输出",标准坦克设计!$B$23:$U$23,0)))*(VLOOKUP($B206,INDIRECT($B$5&amp;"生成成长"),3))*(VLOOKUP($B$5,标准坦克设计!$B$14:$K$20,9)/30))</f>
        <v>16.507198818165225</v>
      </c>
      <c r="CN206" s="173">
        <f ca="1">(VLOOKUP(CN$72,INDIRECT($C$5&amp;"生成成长"),2))/((VLOOKUP($B206,INDIRECT($B$5&amp;"生成成长"),4))/(VLOOKUP(CN$72,INDIRECT($C$5&amp;"生成成长"),5))*(VLOOKUP($B$5,标准坦克设计!$B$24:$U$30,MATCH("对"&amp;LEFT($C$5,2)&amp;"输出",标准坦克设计!$B$23:$U$23,0)))*(VLOOKUP($B206,INDIRECT($B$5&amp;"生成成长"),3))*(VLOOKUP($B$5,标准坦克设计!$B$14:$K$20,9)/30))</f>
        <v>17.555019055646415</v>
      </c>
      <c r="CO206" s="173">
        <f ca="1">(VLOOKUP(CO$72,INDIRECT($C$5&amp;"生成成长"),2))/((VLOOKUP($B206,INDIRECT($B$5&amp;"生成成长"),4))/(VLOOKUP(CO$72,INDIRECT($C$5&amp;"生成成长"),5))*(VLOOKUP($B$5,标准坦克设计!$B$24:$U$30,MATCH("对"&amp;LEFT($C$5,2)&amp;"输出",标准坦克设计!$B$23:$U$23,0)))*(VLOOKUP($B206,INDIRECT($B$5&amp;"生成成长"),3))*(VLOOKUP($B$5,标准坦克设计!$B$14:$K$20,9)/30))</f>
        <v>7.8668451624954665</v>
      </c>
      <c r="CP206" s="173">
        <f ca="1">(VLOOKUP(CP$72,INDIRECT($C$5&amp;"生成成长"),2))/((VLOOKUP($B206,INDIRECT($B$5&amp;"生成成长"),4))/(VLOOKUP(CP$72,INDIRECT($C$5&amp;"生成成长"),5))*(VLOOKUP($B$5,标准坦克设计!$B$24:$U$30,MATCH("对"&amp;LEFT($C$5,2)&amp;"输出",标准坦克设计!$B$23:$U$23,0)))*(VLOOKUP($B206,INDIRECT($B$5&amp;"生成成长"),3))*(VLOOKUP($B$5,标准坦克设计!$B$14:$K$20,9)/30))</f>
        <v>8.5951901387586176</v>
      </c>
      <c r="CQ206" s="173">
        <f ca="1">(VLOOKUP(CQ$72,INDIRECT($C$5&amp;"生成成长"),2))/((VLOOKUP($B206,INDIRECT($B$5&amp;"生成成长"),4))/(VLOOKUP(CQ$72,INDIRECT($C$5&amp;"生成成长"),5))*(VLOOKUP($B$5,标准坦克设计!$B$24:$U$30,MATCH("对"&amp;LEFT($C$5,2)&amp;"输出",标准坦克设计!$B$23:$U$23,0)))*(VLOOKUP($B206,INDIRECT($B$5&amp;"生成成长"),3))*(VLOOKUP($B$5,标准坦克设计!$B$14:$K$20,9)/30))</f>
        <v>9.3557757377134951</v>
      </c>
      <c r="CR206" s="173">
        <f ca="1">(VLOOKUP(CR$72,INDIRECT($C$5&amp;"生成成长"),2))/((VLOOKUP($B206,INDIRECT($B$5&amp;"生成成长"),4))/(VLOOKUP(CR$72,INDIRECT($C$5&amp;"生成成长"),5))*(VLOOKUP($B$5,标准坦克设计!$B$24:$U$30,MATCH("对"&amp;LEFT($C$5,2)&amp;"输出",标准坦克设计!$B$23:$U$23,0)))*(VLOOKUP($B206,INDIRECT($B$5&amp;"生成成长"),3))*(VLOOKUP($B$5,标准坦克设计!$B$14:$K$20,9)/30))</f>
        <v>10.148601959360102</v>
      </c>
      <c r="CS206" s="173">
        <f ca="1">(VLOOKUP(CS$72,INDIRECT($C$5&amp;"生成成长"),2))/((VLOOKUP($B206,INDIRECT($B$5&amp;"生成成长"),4))/(VLOOKUP(CS$72,INDIRECT($C$5&amp;"生成成长"),5))*(VLOOKUP($B$5,标准坦克设计!$B$24:$U$30,MATCH("对"&amp;LEFT($C$5,2)&amp;"输出",标准坦克设计!$B$23:$U$23,0)))*(VLOOKUP($B206,INDIRECT($B$5&amp;"生成成长"),3))*(VLOOKUP($B$5,标准坦克设计!$B$14:$K$20,9)/30))</f>
        <v>10.973668803698439</v>
      </c>
      <c r="CT206" s="173">
        <f ca="1">(VLOOKUP(CT$72,INDIRECT($C$5&amp;"生成成长"),2))/((VLOOKUP($B206,INDIRECT($B$5&amp;"生成成长"),4))/(VLOOKUP(CT$72,INDIRECT($C$5&amp;"生成成长"),5))*(VLOOKUP($B$5,标准坦克设计!$B$24:$U$30,MATCH("对"&amp;LEFT($C$5,2)&amp;"输出",标准坦克设计!$B$23:$U$23,0)))*(VLOOKUP($B206,INDIRECT($B$5&amp;"生成成长"),3))*(VLOOKUP($B$5,标准坦克设计!$B$14:$K$20,9)/30))</f>
        <v>11.830976270728504</v>
      </c>
      <c r="CU206" s="173">
        <f ca="1">(VLOOKUP(CU$72,INDIRECT($C$5&amp;"生成成长"),2))/((VLOOKUP($B206,INDIRECT($B$5&amp;"生成成长"),4))/(VLOOKUP(CU$72,INDIRECT($C$5&amp;"生成成长"),5))*(VLOOKUP($B$5,标准坦克设计!$B$24:$U$30,MATCH("对"&amp;LEFT($C$5,2)&amp;"输出",标准坦克设计!$B$23:$U$23,0)))*(VLOOKUP($B206,INDIRECT($B$5&amp;"生成成长"),3))*(VLOOKUP($B$5,标准坦克设计!$B$14:$K$20,9)/30))</f>
        <v>12.720524360450298</v>
      </c>
      <c r="CV206" s="173">
        <f ca="1">(VLOOKUP(CV$72,INDIRECT($C$5&amp;"生成成长"),2))/((VLOOKUP($B206,INDIRECT($B$5&amp;"生成成长"),4))/(VLOOKUP(CV$72,INDIRECT($C$5&amp;"生成成长"),5))*(VLOOKUP($B$5,标准坦克设计!$B$24:$U$30,MATCH("对"&amp;LEFT($C$5,2)&amp;"输出",标准坦克设计!$B$23:$U$23,0)))*(VLOOKUP($B206,INDIRECT($B$5&amp;"生成成长"),3))*(VLOOKUP($B$5,标准坦克设计!$B$14:$K$20,9)/30))</f>
        <v>13.64231307286382</v>
      </c>
      <c r="CW206" s="173">
        <f ca="1">(VLOOKUP(CW$72,INDIRECT($C$5&amp;"生成成长"),2))/((VLOOKUP($B206,INDIRECT($B$5&amp;"生成成长"),4))/(VLOOKUP(CW$72,INDIRECT($C$5&amp;"生成成长"),5))*(VLOOKUP($B$5,标准坦克设计!$B$24:$U$30,MATCH("对"&amp;LEFT($C$5,2)&amp;"输出",标准坦克设计!$B$23:$U$23,0)))*(VLOOKUP($B206,INDIRECT($B$5&amp;"生成成长"),3))*(VLOOKUP($B$5,标准坦克设计!$B$14:$K$20,9)/30))</f>
        <v>14.596342407969074</v>
      </c>
      <c r="CX206" s="173">
        <f ca="1">(VLOOKUP(CX$72,INDIRECT($C$5&amp;"生成成长"),2))/((VLOOKUP($B206,INDIRECT($B$5&amp;"生成成长"),4))/(VLOOKUP(CX$72,INDIRECT($C$5&amp;"生成成长"),5))*(VLOOKUP($B$5,标准坦克设计!$B$24:$U$30,MATCH("对"&amp;LEFT($C$5,2)&amp;"输出",标准坦克设计!$B$23:$U$23,0)))*(VLOOKUP($B206,INDIRECT($B$5&amp;"生成成长"),3))*(VLOOKUP($B$5,标准坦克设计!$B$14:$K$20,9)/30))</f>
        <v>15.582612365766055</v>
      </c>
      <c r="CY206" s="173">
        <f ca="1">(VLOOKUP(CY$72,INDIRECT($C$5&amp;"生成成长"),2))/((VLOOKUP($B206,INDIRECT($B$5&amp;"生成成长"),4))/(VLOOKUP(CY$72,INDIRECT($C$5&amp;"生成成长"),5))*(VLOOKUP($B$5,标准坦克设计!$B$24:$U$30,MATCH("对"&amp;LEFT($C$5,2)&amp;"输出",标准坦克设计!$B$23:$U$23,0)))*(VLOOKUP($B206,INDIRECT($B$5&amp;"生成成长"),3))*(VLOOKUP($B$5,标准坦克设计!$B$14:$K$20,9)/30))</f>
        <v>16.601122946254765</v>
      </c>
      <c r="CZ206" s="173">
        <f ca="1">(VLOOKUP(CZ$72,INDIRECT($C$5&amp;"生成成长"),2))/((VLOOKUP($B206,INDIRECT($B$5&amp;"生成成长"),4))/(VLOOKUP(CZ$72,INDIRECT($C$5&amp;"生成成长"),5))*(VLOOKUP($B$5,标准坦克设计!$B$24:$U$30,MATCH("对"&amp;LEFT($C$5,2)&amp;"输出",标准坦克设计!$B$23:$U$23,0)))*(VLOOKUP($B206,INDIRECT($B$5&amp;"生成成长"),3))*(VLOOKUP($B$5,标准坦克设计!$B$14:$K$20,9)/30))</f>
        <v>17.651874149435201</v>
      </c>
      <c r="DA206" s="173">
        <f ca="1">(VLOOKUP(DA$72,INDIRECT($C$5&amp;"生成成长"),2))/((VLOOKUP($B206,INDIRECT($B$5&amp;"生成成长"),4))/(VLOOKUP(DA$72,INDIRECT($C$5&amp;"生成成长"),5))*(VLOOKUP($B$5,标准坦克设计!$B$24:$U$30,MATCH("对"&amp;LEFT($C$5,2)&amp;"输出",标准坦克设计!$B$23:$U$23,0)))*(VLOOKUP($B206,INDIRECT($B$5&amp;"生成成长"),3))*(VLOOKUP($B$5,标准坦克设计!$B$14:$K$20,9)/30))</f>
        <v>18.734865975307372</v>
      </c>
      <c r="DB206" s="173">
        <f ca="1">(VLOOKUP(DB$72,INDIRECT($C$5&amp;"生成成长"),2))/((VLOOKUP($B206,INDIRECT($B$5&amp;"生成成长"),4))/(VLOOKUP(DB$72,INDIRECT($C$5&amp;"生成成长"),5))*(VLOOKUP($B$5,标准坦克设计!$B$24:$U$30,MATCH("对"&amp;LEFT($C$5,2)&amp;"输出",标准坦克设计!$B$23:$U$23,0)))*(VLOOKUP($B206,INDIRECT($B$5&amp;"生成成长"),3))*(VLOOKUP($B$5,标准坦克设计!$B$14:$K$20,9)/30))</f>
        <v>19.85009842387127</v>
      </c>
      <c r="DC206" s="173">
        <f ca="1">(VLOOKUP(DC$72,INDIRECT($C$5&amp;"生成成长"),2))/((VLOOKUP($B206,INDIRECT($B$5&amp;"生成成长"),4))/(VLOOKUP(DC$72,INDIRECT($C$5&amp;"生成成长"),5))*(VLOOKUP($B$5,标准坦克设计!$B$24:$U$30,MATCH("对"&amp;LEFT($C$5,2)&amp;"输出",标准坦克设计!$B$23:$U$23,0)))*(VLOOKUP($B206,INDIRECT($B$5&amp;"生成成长"),3))*(VLOOKUP($B$5,标准坦克设计!$B$14:$K$20,9)/30))</f>
        <v>21.103485937440631</v>
      </c>
      <c r="DD206" s="173">
        <f ca="1">(VLOOKUP(DD$72,INDIRECT($C$5&amp;"生成成长"),2))/((VLOOKUP($B206,INDIRECT($B$5&amp;"生成成长"),4))/(VLOOKUP(DD$72,INDIRECT($C$5&amp;"生成成长"),5))*(VLOOKUP($B$5,标准坦克设计!$B$24:$U$30,MATCH("对"&amp;LEFT($C$5,2)&amp;"输出",标准坦克设计!$B$23:$U$23,0)))*(VLOOKUP($B206,INDIRECT($B$5&amp;"生成成长"),3))*(VLOOKUP($B$5,标准坦克设计!$B$14:$K$20,9)/30))</f>
        <v>22.395242456527427</v>
      </c>
      <c r="DE206" s="173">
        <f ca="1">(VLOOKUP(DE$72,INDIRECT($C$5&amp;"生成成长"),2))/((VLOOKUP($B206,INDIRECT($B$5&amp;"生成成长"),4))/(VLOOKUP(DE$72,INDIRECT($C$5&amp;"生成成长"),5))*(VLOOKUP($B$5,标准坦克设计!$B$24:$U$30,MATCH("对"&amp;LEFT($C$5,2)&amp;"输出",标准坦克设计!$B$23:$U$23,0)))*(VLOOKUP($B206,INDIRECT($B$5&amp;"生成成长"),3))*(VLOOKUP($B$5,标准坦克设计!$B$14:$K$20,9)/30))</f>
        <v>23.725367981131644</v>
      </c>
      <c r="DF206" s="173">
        <f ca="1">(VLOOKUP(DF$72,INDIRECT($C$5&amp;"生成成长"),2))/((VLOOKUP($B206,INDIRECT($B$5&amp;"生成成长"),4))/(VLOOKUP(DF$72,INDIRECT($C$5&amp;"生成成长"),5))*(VLOOKUP($B$5,标准坦克设计!$B$24:$U$30,MATCH("对"&amp;LEFT($C$5,2)&amp;"输出",标准坦克设计!$B$23:$U$23,0)))*(VLOOKUP($B206,INDIRECT($B$5&amp;"生成成长"),3))*(VLOOKUP($B$5,标准坦克设计!$B$14:$K$20,9)/30))</f>
        <v>25.093862511253295</v>
      </c>
      <c r="DG206" s="173">
        <f ca="1">(VLOOKUP(DG$72,INDIRECT($C$5&amp;"生成成长"),2))/((VLOOKUP($B206,INDIRECT($B$5&amp;"生成成长"),4))/(VLOOKUP(DG$72,INDIRECT($C$5&amp;"生成成长"),5))*(VLOOKUP($B$5,标准坦克设计!$B$24:$U$30,MATCH("对"&amp;LEFT($C$5,2)&amp;"输出",标准坦克设计!$B$23:$U$23,0)))*(VLOOKUP($B206,INDIRECT($B$5&amp;"生成成长"),3))*(VLOOKUP($B$5,标准坦克设计!$B$14:$K$20,9)/30))</f>
        <v>26.500726046892378</v>
      </c>
      <c r="DH206" s="173">
        <f ca="1">(VLOOKUP(DH$72,INDIRECT($C$5&amp;"生成成长"),2))/((VLOOKUP($B206,INDIRECT($B$5&amp;"生成成长"),4))/(VLOOKUP(DH$72,INDIRECT($C$5&amp;"生成成长"),5))*(VLOOKUP($B$5,标准坦克设计!$B$24:$U$30,MATCH("对"&amp;LEFT($C$5,2)&amp;"输出",标准坦克设计!$B$23:$U$23,0)))*(VLOOKUP($B206,INDIRECT($B$5&amp;"生成成长"),3))*(VLOOKUP($B$5,标准坦克设计!$B$14:$K$20,9)/30))</f>
        <v>27.945958588048896</v>
      </c>
      <c r="DI206" s="173">
        <f ca="1">(VLOOKUP(DI$72,INDIRECT($C$5&amp;"生成成长"),2))/((VLOOKUP($B206,INDIRECT($B$5&amp;"生成成长"),4))/(VLOOKUP(DI$72,INDIRECT($C$5&amp;"生成成长"),5))*(VLOOKUP($B$5,标准坦克设计!$B$24:$U$30,MATCH("对"&amp;LEFT($C$5,2)&amp;"输出",标准坦克设计!$B$23:$U$23,0)))*(VLOOKUP($B206,INDIRECT($B$5&amp;"生成成长"),3))*(VLOOKUP($B$5,标准坦克设计!$B$14:$K$20,9)/30))</f>
        <v>29.429560134722831</v>
      </c>
      <c r="DJ206" s="173">
        <f ca="1">(VLOOKUP(DJ$72,INDIRECT($C$5&amp;"生成成长"),2))/((VLOOKUP($B206,INDIRECT($B$5&amp;"生成成长"),4))/(VLOOKUP(DJ$72,INDIRECT($C$5&amp;"生成成长"),5))*(VLOOKUP($B$5,标准坦克设计!$B$24:$U$30,MATCH("对"&amp;LEFT($C$5,2)&amp;"输出",标准坦克设计!$B$23:$U$23,0)))*(VLOOKUP($B206,INDIRECT($B$5&amp;"生成成长"),3))*(VLOOKUP($B$5,标准坦克设计!$B$14:$K$20,9)/30))</f>
        <v>2.9577440676821261</v>
      </c>
      <c r="DK206" s="173">
        <f ca="1">(VLOOKUP(DK$72,INDIRECT($C$5&amp;"生成成长"),2))/((VLOOKUP($B206,INDIRECT($B$5&amp;"生成成长"),4))/(VLOOKUP(DK$72,INDIRECT($C$5&amp;"生成成长"),5))*(VLOOKUP($B$5,标准坦克设计!$B$24:$U$30,MATCH("对"&amp;LEFT($C$5,2)&amp;"输出",标准坦克设计!$B$23:$U$23,0)))*(VLOOKUP($B206,INDIRECT($B$5&amp;"生成成长"),3))*(VLOOKUP($B$5,标准坦克设计!$B$14:$K$20,9)/30))</f>
        <v>3.3258467143649653</v>
      </c>
      <c r="DL206" s="173">
        <f ca="1">(VLOOKUP(DL$72,INDIRECT($C$5&amp;"生成成长"),2))/((VLOOKUP($B206,INDIRECT($B$5&amp;"生成成长"),4))/(VLOOKUP(DL$72,INDIRECT($C$5&amp;"生成成长"),5))*(VLOOKUP($B$5,标准坦克设计!$B$24:$U$30,MATCH("对"&amp;LEFT($C$5,2)&amp;"输出",标准坦克设计!$B$23:$U$23,0)))*(VLOOKUP($B206,INDIRECT($B$5&amp;"生成成长"),3))*(VLOOKUP($B$5,标准坦克设计!$B$14:$K$20,9)/30))</f>
        <v>3.7155319266513587</v>
      </c>
      <c r="DM206" s="173">
        <f ca="1">(VLOOKUP(DM$72,INDIRECT($C$5&amp;"生成成长"),2))/((VLOOKUP($B206,INDIRECT($B$5&amp;"生成成长"),4))/(VLOOKUP(DM$72,INDIRECT($C$5&amp;"生成成长"),5))*(VLOOKUP($B$5,标准坦克设计!$B$24:$U$30,MATCH("对"&amp;LEFT($C$5,2)&amp;"输出",标准坦克设计!$B$23:$U$23,0)))*(VLOOKUP($B206,INDIRECT($B$5&amp;"生成成长"),3))*(VLOOKUP($B$5,标准坦克设计!$B$14:$K$20,9)/30))</f>
        <v>4.1267997045413063</v>
      </c>
      <c r="DN206" s="173">
        <f ca="1">(VLOOKUP(DN$72,INDIRECT($C$5&amp;"生成成长"),2))/((VLOOKUP($B206,INDIRECT($B$5&amp;"生成成长"),4))/(VLOOKUP(DN$72,INDIRECT($C$5&amp;"生成成长"),5))*(VLOOKUP($B$5,标准坦克设计!$B$24:$U$30,MATCH("对"&amp;LEFT($C$5,2)&amp;"输出",标准坦克设计!$B$23:$U$23,0)))*(VLOOKUP($B206,INDIRECT($B$5&amp;"生成成长"),3))*(VLOOKUP($B$5,标准坦克设计!$B$14:$K$20,9)/30))</f>
        <v>4.5596500480348077</v>
      </c>
      <c r="DO206" s="173">
        <f ca="1">(VLOOKUP(DO$72,INDIRECT($C$5&amp;"生成成长"),2))/((VLOOKUP($B206,INDIRECT($B$5&amp;"生成成长"),4))/(VLOOKUP(DO$72,INDIRECT($C$5&amp;"生成成长"),5))*(VLOOKUP($B$5,标准坦克设计!$B$24:$U$30,MATCH("对"&amp;LEFT($C$5,2)&amp;"输出",标准坦克设计!$B$23:$U$23,0)))*(VLOOKUP($B206,INDIRECT($B$5&amp;"生成成长"),3))*(VLOOKUP($B$5,标准坦克设计!$B$14:$K$20,9)/30))</f>
        <v>5.0140829571318619</v>
      </c>
      <c r="DP206" s="173">
        <f ca="1">(VLOOKUP(DP$72,INDIRECT($C$5&amp;"生成成长"),2))/((VLOOKUP($B206,INDIRECT($B$5&amp;"生成成长"),4))/(VLOOKUP(DP$72,INDIRECT($C$5&amp;"生成成长"),5))*(VLOOKUP($B$5,标准坦克设计!$B$24:$U$30,MATCH("对"&amp;LEFT($C$5,2)&amp;"输出",标准坦克设计!$B$23:$U$23,0)))*(VLOOKUP($B206,INDIRECT($B$5&amp;"生成成长"),3))*(VLOOKUP($B$5,标准坦克设计!$B$14:$K$20,9)/30))</f>
        <v>5.4900984318324726</v>
      </c>
      <c r="DQ206" s="173">
        <f ca="1">(VLOOKUP(DQ$72,INDIRECT($C$5&amp;"生成成长"),2))/((VLOOKUP($B206,INDIRECT($B$5&amp;"生成成长"),4))/(VLOOKUP(DQ$72,INDIRECT($C$5&amp;"生成成长"),5))*(VLOOKUP($B$5,标准坦克设计!$B$24:$U$30,MATCH("对"&amp;LEFT($C$5,2)&amp;"输出",标准坦克设计!$B$23:$U$23,0)))*(VLOOKUP($B206,INDIRECT($B$5&amp;"生成成长"),3))*(VLOOKUP($B$5,标准坦克设计!$B$14:$K$20,9)/30))</f>
        <v>5.9876964721366353</v>
      </c>
      <c r="DR206" s="173">
        <f ca="1">(VLOOKUP(DR$72,INDIRECT($C$5&amp;"生成成长"),2))/((VLOOKUP($B206,INDIRECT($B$5&amp;"生成成长"),4))/(VLOOKUP(DR$72,INDIRECT($C$5&amp;"生成成长"),5))*(VLOOKUP($B$5,标准坦克设计!$B$24:$U$30,MATCH("对"&amp;LEFT($C$5,2)&amp;"输出",标准坦克设计!$B$23:$U$23,0)))*(VLOOKUP($B206,INDIRECT($B$5&amp;"生成成长"),3))*(VLOOKUP($B$5,标准坦克设计!$B$14:$K$20,9)/30))</f>
        <v>6.5068770780443543</v>
      </c>
      <c r="DS206" s="173">
        <f ca="1">(VLOOKUP(DS$72,INDIRECT($C$5&amp;"生成成长"),2))/((VLOOKUP($B206,INDIRECT($B$5&amp;"生成成长"),4))/(VLOOKUP(DS$72,INDIRECT($C$5&amp;"生成成长"),5))*(VLOOKUP($B$5,标准坦克设计!$B$24:$U$30,MATCH("对"&amp;LEFT($C$5,2)&amp;"输出",标准坦克设计!$B$23:$U$23,0)))*(VLOOKUP($B206,INDIRECT($B$5&amp;"生成成长"),3))*(VLOOKUP($B$5,标准坦克设计!$B$14:$K$20,9)/30))</f>
        <v>7.0476402495556263</v>
      </c>
      <c r="DT206" s="173">
        <f ca="1">(VLOOKUP(DT$72,INDIRECT($C$5&amp;"生成成长"),2))/((VLOOKUP($B206,INDIRECT($B$5&amp;"生成成长"),4))/(VLOOKUP(DT$72,INDIRECT($C$5&amp;"生成成长"),5))*(VLOOKUP($B$5,标准坦克设计!$B$24:$U$30,MATCH("对"&amp;LEFT($C$5,2)&amp;"输出",标准坦克设计!$B$23:$U$23,0)))*(VLOOKUP($B206,INDIRECT($B$5&amp;"生成成长"),3))*(VLOOKUP($B$5,标准坦克设计!$B$14:$K$20,9)/30))</f>
        <v>7.7378826717285509</v>
      </c>
      <c r="DU206" s="173">
        <f ca="1">(VLOOKUP(DU$72,INDIRECT($C$5&amp;"生成成长"),2))/((VLOOKUP($B206,INDIRECT($B$5&amp;"生成成长"),4))/(VLOOKUP(DU$72,INDIRECT($C$5&amp;"生成成长"),5))*(VLOOKUP($B$5,标准坦克设计!$B$24:$U$30,MATCH("对"&amp;LEFT($C$5,2)&amp;"输出",标准坦克设计!$B$23:$U$23,0)))*(VLOOKUP($B206,INDIRECT($B$5&amp;"生成成长"),3))*(VLOOKUP($B$5,标准坦克设计!$B$14:$K$20,9)/30))</f>
        <v>8.4603657165932038</v>
      </c>
      <c r="DV206" s="173">
        <f ca="1">(VLOOKUP(DV$72,INDIRECT($C$5&amp;"生成成长"),2))/((VLOOKUP($B206,INDIRECT($B$5&amp;"生成成长"),4))/(VLOOKUP(DV$72,INDIRECT($C$5&amp;"生成成长"),5))*(VLOOKUP($B$5,标准坦克设计!$B$24:$U$30,MATCH("对"&amp;LEFT($C$5,2)&amp;"输出",标准坦克设计!$B$23:$U$23,0)))*(VLOOKUP($B206,INDIRECT($B$5&amp;"生成成长"),3))*(VLOOKUP($B$5,标准坦克设计!$B$14:$K$20,9)/30))</f>
        <v>9.2150893841495858</v>
      </c>
      <c r="DW206" s="173">
        <f ca="1">(VLOOKUP(DW$72,INDIRECT($C$5&amp;"生成成长"),2))/((VLOOKUP($B206,INDIRECT($B$5&amp;"生成成长"),4))/(VLOOKUP(DW$72,INDIRECT($C$5&amp;"生成成长"),5))*(VLOOKUP($B$5,标准坦克设计!$B$24:$U$30,MATCH("对"&amp;LEFT($C$5,2)&amp;"输出",标准坦克设计!$B$23:$U$23,0)))*(VLOOKUP($B206,INDIRECT($B$5&amp;"生成成长"),3))*(VLOOKUP($B$5,标准坦克设计!$B$14:$K$20,9)/30))</f>
        <v>10.002053674397697</v>
      </c>
      <c r="DX206" s="173">
        <f ca="1">(VLOOKUP(DX$72,INDIRECT($C$5&amp;"生成成长"),2))/((VLOOKUP($B206,INDIRECT($B$5&amp;"生成成长"),4))/(VLOOKUP(DX$72,INDIRECT($C$5&amp;"生成成长"),5))*(VLOOKUP($B$5,标准坦克设计!$B$24:$U$30,MATCH("对"&amp;LEFT($C$5,2)&amp;"输出",标准坦克设计!$B$23:$U$23,0)))*(VLOOKUP($B206,INDIRECT($B$5&amp;"生成成长"),3))*(VLOOKUP($B$5,标准坦克设计!$B$14:$K$20,9)/30))</f>
        <v>10.821258587337539</v>
      </c>
      <c r="DY206" s="173">
        <f ca="1">(VLOOKUP(DY$72,INDIRECT($C$5&amp;"生成成长"),2))/((VLOOKUP($B206,INDIRECT($B$5&amp;"生成成长"),4))/(VLOOKUP(DY$72,INDIRECT($C$5&amp;"生成成长"),5))*(VLOOKUP($B$5,标准坦克设计!$B$24:$U$30,MATCH("对"&amp;LEFT($C$5,2)&amp;"输出",标准坦克设计!$B$23:$U$23,0)))*(VLOOKUP($B206,INDIRECT($B$5&amp;"生成成长"),3))*(VLOOKUP($B$5,标准坦克设计!$B$14:$K$20,9)/30))</f>
        <v>4.8602072579213385</v>
      </c>
      <c r="DZ206" s="173">
        <f ca="1">(VLOOKUP(DZ$72,INDIRECT($C$5&amp;"生成成长"),2))/((VLOOKUP($B206,INDIRECT($B$5&amp;"生成成长"),4))/(VLOOKUP(DZ$72,INDIRECT($C$5&amp;"生成成长"),5))*(VLOOKUP($B$5,标准坦克设计!$B$24:$U$30,MATCH("对"&amp;LEFT($C$5,2)&amp;"输出",标准坦克设计!$B$23:$U$23,0)))*(VLOOKUP($B206,INDIRECT($B$5&amp;"生成成长"),3))*(VLOOKUP($B$5,标准坦克设计!$B$14:$K$20,9)/30))</f>
        <v>5.3824520552419077</v>
      </c>
      <c r="EA206" s="173">
        <f ca="1">(VLOOKUP(EA$72,INDIRECT($C$5&amp;"生成成长"),2))/((VLOOKUP($B206,INDIRECT($B$5&amp;"生成成长"),4))/(VLOOKUP(EA$72,INDIRECT($C$5&amp;"生成成长"),5))*(VLOOKUP($B$5,标准坦克设计!$B$24:$U$30,MATCH("对"&amp;LEFT($C$5,2)&amp;"输出",标准坦克设计!$B$23:$U$23,0)))*(VLOOKUP($B206,INDIRECT($B$5&amp;"生成成长"),3))*(VLOOKUP($B$5,标准坦克设计!$B$14:$K$20,9)/30))</f>
        <v>5.931341995282911</v>
      </c>
      <c r="EB206" s="173">
        <f ca="1">(VLOOKUP(EB$72,INDIRECT($C$5&amp;"生成成长"),2))/((VLOOKUP($B206,INDIRECT($B$5&amp;"生成成长"),4))/(VLOOKUP(EB$72,INDIRECT($C$5&amp;"生成成长"),5))*(VLOOKUP($B$5,标准坦克设计!$B$24:$U$30,MATCH("对"&amp;LEFT($C$5,2)&amp;"输出",标准坦克设计!$B$23:$U$23,0)))*(VLOOKUP($B206,INDIRECT($B$5&amp;"生成成长"),3))*(VLOOKUP($B$5,标准坦克设计!$B$14:$K$20,9)/30))</f>
        <v>6.5068770780443543</v>
      </c>
      <c r="EC206" s="173">
        <f ca="1">(VLOOKUP(EC$72,INDIRECT($C$5&amp;"生成成长"),2))/((VLOOKUP($B206,INDIRECT($B$5&amp;"生成成长"),4))/(VLOOKUP(EC$72,INDIRECT($C$5&amp;"生成成长"),5))*(VLOOKUP($B$5,标准坦克设计!$B$24:$U$30,MATCH("对"&amp;LEFT($C$5,2)&amp;"输出",标准坦克设计!$B$23:$U$23,0)))*(VLOOKUP($B206,INDIRECT($B$5&amp;"生成成长"),3))*(VLOOKUP($B$5,标准坦克设计!$B$14:$K$20,9)/30))</f>
        <v>7.1090573035262343</v>
      </c>
      <c r="ED206" s="173">
        <f ca="1">(VLOOKUP(ED$72,INDIRECT($C$5&amp;"生成成长"),2))/((VLOOKUP($B206,INDIRECT($B$5&amp;"生成成长"),4))/(VLOOKUP(ED$72,INDIRECT($C$5&amp;"生成成长"),5))*(VLOOKUP($B$5,标准坦克设计!$B$24:$U$30,MATCH("对"&amp;LEFT($C$5,2)&amp;"输出",标准坦克设计!$B$23:$U$23,0)))*(VLOOKUP($B206,INDIRECT($B$5&amp;"生成成长"),3))*(VLOOKUP($B$5,标准坦克设计!$B$14:$K$20,9)/30))</f>
        <v>7.7378826717285509</v>
      </c>
      <c r="EE206" s="173">
        <f ca="1">(VLOOKUP(EE$72,INDIRECT($C$5&amp;"生成成长"),2))/((VLOOKUP($B206,INDIRECT($B$5&amp;"生成成长"),4))/(VLOOKUP(EE$72,INDIRECT($C$5&amp;"生成成长"),5))*(VLOOKUP($B$5,标准坦克设计!$B$24:$U$30,MATCH("对"&amp;LEFT($C$5,2)&amp;"输出",标准坦克设计!$B$23:$U$23,0)))*(VLOOKUP($B206,INDIRECT($B$5&amp;"生成成长"),3))*(VLOOKUP($B$5,标准坦克设计!$B$14:$K$20,9)/30))</f>
        <v>8.393353182651305</v>
      </c>
      <c r="EF206" s="173">
        <f ca="1">(VLOOKUP(EF$72,INDIRECT($C$5&amp;"生成成长"),2))/((VLOOKUP($B206,INDIRECT($B$5&amp;"生成成长"),4))/(VLOOKUP(EF$72,INDIRECT($C$5&amp;"生成成长"),5))*(VLOOKUP($B$5,标准坦克设计!$B$24:$U$30,MATCH("对"&amp;LEFT($C$5,2)&amp;"输出",标准坦克设计!$B$23:$U$23,0)))*(VLOOKUP($B206,INDIRECT($B$5&amp;"生成成长"),3))*(VLOOKUP($B$5,标准坦克设计!$B$14:$K$20,9)/30))</f>
        <v>9.0754688362944957</v>
      </c>
      <c r="EG206" s="173">
        <f ca="1">(VLOOKUP(EG$72,INDIRECT($C$5&amp;"生成成长"),2))/((VLOOKUP($B206,INDIRECT($B$5&amp;"生成成长"),4))/(VLOOKUP(EG$72,INDIRECT($C$5&amp;"生成成长"),5))*(VLOOKUP($B$5,标准坦克设计!$B$24:$U$30,MATCH("对"&amp;LEFT($C$5,2)&amp;"输出",标准坦克设计!$B$23:$U$23,0)))*(VLOOKUP($B206,INDIRECT($B$5&amp;"生成成长"),3))*(VLOOKUP($B$5,标准坦克设计!$B$14:$K$20,9)/30))</f>
        <v>9.7842296326581231</v>
      </c>
      <c r="EH206" s="173">
        <f ca="1">(VLOOKUP(EH$72,INDIRECT($C$5&amp;"生成成长"),2))/((VLOOKUP($B206,INDIRECT($B$5&amp;"生成成长"),4))/(VLOOKUP(EH$72,INDIRECT($C$5&amp;"生成成长"),5))*(VLOOKUP($B$5,标准坦克设计!$B$24:$U$30,MATCH("对"&amp;LEFT($C$5,2)&amp;"输出",标准坦克设计!$B$23:$U$23,0)))*(VLOOKUP($B206,INDIRECT($B$5&amp;"生成成长"),3))*(VLOOKUP($B$5,标准坦克设计!$B$14:$K$20,9)/30))</f>
        <v>10.519635571742189</v>
      </c>
      <c r="EI206" s="173">
        <f ca="1">(VLOOKUP(EI$72,INDIRECT($C$5&amp;"生成成长"),2))/((VLOOKUP($B206,INDIRECT($B$5&amp;"生成成长"),4))/(VLOOKUP(EI$72,INDIRECT($C$5&amp;"生成成长"),5))*(VLOOKUP($B$5,标准坦克设计!$B$24:$U$30,MATCH("对"&amp;LEFT($C$5,2)&amp;"输出",标准坦克设计!$B$23:$U$23,0)))*(VLOOKUP($B206,INDIRECT($B$5&amp;"生成成长"),3))*(VLOOKUP($B$5,标准坦克设计!$B$14:$K$20,9)/30))</f>
        <v>11.281686653546691</v>
      </c>
      <c r="EJ206" s="173">
        <f ca="1">(VLOOKUP(EJ$72,INDIRECT($C$5&amp;"生成成长"),2))/((VLOOKUP($B206,INDIRECT($B$5&amp;"生成成长"),4))/(VLOOKUP(EJ$72,INDIRECT($C$5&amp;"生成成长"),5))*(VLOOKUP($B$5,标准坦克设计!$B$24:$U$30,MATCH("对"&amp;LEFT($C$5,2)&amp;"输出",标准坦克设计!$B$23:$U$23,0)))*(VLOOKUP($B206,INDIRECT($B$5&amp;"生成成长"),3))*(VLOOKUP($B$5,标准坦克设计!$B$14:$K$20,9)/30))</f>
        <v>12.07038287807163</v>
      </c>
      <c r="EK206" s="173">
        <f ca="1">(VLOOKUP(EK$72,INDIRECT($C$5&amp;"生成成长"),2))/((VLOOKUP($B206,INDIRECT($B$5&amp;"生成成长"),4))/(VLOOKUP(EK$72,INDIRECT($C$5&amp;"生成成长"),5))*(VLOOKUP($B$5,标准坦克设计!$B$24:$U$30,MATCH("对"&amp;LEFT($C$5,2)&amp;"输出",标准坦克设计!$B$23:$U$23,0)))*(VLOOKUP($B206,INDIRECT($B$5&amp;"生成成长"),3))*(VLOOKUP($B$5,标准坦克设计!$B$14:$K$20,9)/30))</f>
        <v>13.051989935892536</v>
      </c>
      <c r="EL206" s="173">
        <f ca="1">(VLOOKUP(EL$72,INDIRECT($C$5&amp;"生成成长"),2))/((VLOOKUP($B206,INDIRECT($B$5&amp;"生成成长"),4))/(VLOOKUP(EL$72,INDIRECT($C$5&amp;"生成成长"),5))*(VLOOKUP($B$5,标准坦克设计!$B$24:$U$30,MATCH("对"&amp;LEFT($C$5,2)&amp;"输出",标准坦克设计!$B$23:$U$23,0)))*(VLOOKUP($B206,INDIRECT($B$5&amp;"生成成长"),3))*(VLOOKUP($B$5,标准坦克设计!$B$14:$K$20,9)/30))</f>
        <v>14.071965999230869</v>
      </c>
      <c r="EM206" s="173">
        <f ca="1">(VLOOKUP(EM$72,INDIRECT($C$5&amp;"生成成长"),2))/((VLOOKUP($B206,INDIRECT($B$5&amp;"生成成长"),4))/(VLOOKUP(EM$72,INDIRECT($C$5&amp;"生成成长"),5))*(VLOOKUP($B$5,标准坦克设计!$B$24:$U$30,MATCH("对"&amp;LEFT($C$5,2)&amp;"输出",标准坦克设计!$B$23:$U$23,0)))*(VLOOKUP($B206,INDIRECT($B$5&amp;"生成成长"),3))*(VLOOKUP($B$5,标准坦克设计!$B$14:$K$20,9)/30))</f>
        <v>15.130311068086632</v>
      </c>
      <c r="EN206" s="173">
        <f ca="1">(VLOOKUP(EN$72,INDIRECT($C$5&amp;"生成成长"),2))/((VLOOKUP($B206,INDIRECT($B$5&amp;"生成成长"),4))/(VLOOKUP(EN$72,INDIRECT($C$5&amp;"生成成长"),5))*(VLOOKUP($B$5,标准坦克设计!$B$24:$U$30,MATCH("对"&amp;LEFT($C$5,2)&amp;"输出",标准坦克设计!$B$23:$U$23,0)))*(VLOOKUP($B206,INDIRECT($B$5&amp;"生成成长"),3))*(VLOOKUP($B$5,标准坦克设计!$B$14:$K$20,9)/30))</f>
        <v>16.227025142459826</v>
      </c>
      <c r="EO206" s="173">
        <f ca="1">(VLOOKUP(EO$72,INDIRECT($C$5&amp;"生成成长"),2))/((VLOOKUP($B206,INDIRECT($B$5&amp;"生成成长"),4))/(VLOOKUP(EO$72,INDIRECT($C$5&amp;"生成成长"),5))*(VLOOKUP($B$5,标准坦克设计!$B$24:$U$30,MATCH("对"&amp;LEFT($C$5,2)&amp;"输出",标准坦克设计!$B$23:$U$23,0)))*(VLOOKUP($B206,INDIRECT($B$5&amp;"生成成长"),3))*(VLOOKUP($B$5,标准坦克设计!$B$14:$K$20,9)/30))</f>
        <v>17.36210822235045</v>
      </c>
      <c r="EP206" s="173">
        <f ca="1">(VLOOKUP(EP$72,INDIRECT($C$5&amp;"生成成长"),2))/((VLOOKUP($B206,INDIRECT($B$5&amp;"生成成长"),4))/(VLOOKUP(EP$72,INDIRECT($C$5&amp;"生成成长"),5))*(VLOOKUP($B$5,标准坦克设计!$B$24:$U$30,MATCH("对"&amp;LEFT($C$5,2)&amp;"输出",标准坦克设计!$B$23:$U$23,0)))*(VLOOKUP($B206,INDIRECT($B$5&amp;"生成成长"),3))*(VLOOKUP($B$5,标准坦克设计!$B$14:$K$20,9)/30))</f>
        <v>18.535560307758502</v>
      </c>
      <c r="EQ206" s="173">
        <f ca="1">(VLOOKUP(EQ$72,INDIRECT($C$5&amp;"生成成长"),2))/((VLOOKUP($B206,INDIRECT($B$5&amp;"生成成长"),4))/(VLOOKUP(EQ$72,INDIRECT($C$5&amp;"生成成长"),5))*(VLOOKUP($B$5,标准坦克设计!$B$24:$U$30,MATCH("对"&amp;LEFT($C$5,2)&amp;"输出",标准坦克设计!$B$23:$U$23,0)))*(VLOOKUP($B206,INDIRECT($B$5&amp;"生成成长"),3))*(VLOOKUP($B$5,标准坦克设计!$B$14:$K$20,9)/30))</f>
        <v>8.1939142893888306</v>
      </c>
      <c r="ER206" s="173">
        <f ca="1">(VLOOKUP(ER$72,INDIRECT($C$5&amp;"生成成长"),2))/((VLOOKUP($B206,INDIRECT($B$5&amp;"生成成长"),4))/(VLOOKUP(ER$72,INDIRECT($C$5&amp;"生成成长"),5))*(VLOOKUP($B$5,标准坦克设计!$B$24:$U$30,MATCH("对"&amp;LEFT($C$5,2)&amp;"输出",标准坦克设计!$B$23:$U$23,0)))*(VLOOKUP($B206,INDIRECT($B$5&amp;"生成成长"),3))*(VLOOKUP($B$5,标准坦克设计!$B$14:$K$20,9)/30))</f>
        <v>8.9369140941482215</v>
      </c>
      <c r="ES206" s="173">
        <f ca="1">(VLOOKUP(ES$72,INDIRECT($C$5&amp;"生成成长"),2))/((VLOOKUP($B206,INDIRECT($B$5&amp;"生成成长"),4))/(VLOOKUP(ES$72,INDIRECT($C$5&amp;"生成成长"),5))*(VLOOKUP($B$5,标准坦克设计!$B$24:$U$30,MATCH("对"&amp;LEFT($C$5,2)&amp;"输出",标准坦克设计!$B$23:$U$23,0)))*(VLOOKUP($B206,INDIRECT($B$5&amp;"生成成长"),3))*(VLOOKUP($B$5,标准坦克设计!$B$14:$K$20,9)/30))</f>
        <v>9.7121545215993415</v>
      </c>
      <c r="ET206" s="173">
        <f ca="1">(VLOOKUP(ET$72,INDIRECT($C$5&amp;"生成成长"),2))/((VLOOKUP($B206,INDIRECT($B$5&amp;"生成成长"),4))/(VLOOKUP(ET$72,INDIRECT($C$5&amp;"生成成长"),5))*(VLOOKUP($B$5,标准坦克设计!$B$24:$U$30,MATCH("对"&amp;LEFT($C$5,2)&amp;"输出",标准坦克设计!$B$23:$U$23,0)))*(VLOOKUP($B206,INDIRECT($B$5&amp;"生成成长"),3))*(VLOOKUP($B$5,标准坦克设计!$B$14:$K$20,9)/30))</f>
        <v>10.519635571742189</v>
      </c>
      <c r="EU206" s="173">
        <f ca="1">(VLOOKUP(EU$72,INDIRECT($C$5&amp;"生成成长"),2))/((VLOOKUP($B206,INDIRECT($B$5&amp;"生成成长"),4))/(VLOOKUP(EU$72,INDIRECT($C$5&amp;"生成成长"),5))*(VLOOKUP($B$5,标准坦克设计!$B$24:$U$30,MATCH("对"&amp;LEFT($C$5,2)&amp;"输出",标准坦克设计!$B$23:$U$23,0)))*(VLOOKUP($B206,INDIRECT($B$5&amp;"生成成长"),3))*(VLOOKUP($B$5,标准坦克设计!$B$14:$K$20,9)/30))</f>
        <v>11.359357244576767</v>
      </c>
      <c r="EV206" s="173">
        <f ca="1">(VLOOKUP(EV$72,INDIRECT($C$5&amp;"生成成长"),2))/((VLOOKUP($B206,INDIRECT($B$5&amp;"生成成长"),4))/(VLOOKUP(EV$72,INDIRECT($C$5&amp;"生成成长"),5))*(VLOOKUP($B$5,标准坦克设计!$B$24:$U$30,MATCH("对"&amp;LEFT($C$5,2)&amp;"输出",标准坦克设计!$B$23:$U$23,0)))*(VLOOKUP($B206,INDIRECT($B$5&amp;"生成成长"),3))*(VLOOKUP($B$5,标准坦克设计!$B$14:$K$20,9)/30))</f>
        <v>12.231319540103073</v>
      </c>
      <c r="EW206" s="173">
        <f ca="1">(VLOOKUP(EW$72,INDIRECT($C$5&amp;"生成成长"),2))/((VLOOKUP($B206,INDIRECT($B$5&amp;"生成成长"),4))/(VLOOKUP(EW$72,INDIRECT($C$5&amp;"生成成长"),5))*(VLOOKUP($B$5,标准坦克设计!$B$24:$U$30,MATCH("对"&amp;LEFT($C$5,2)&amp;"输出",标准坦克设计!$B$23:$U$23,0)))*(VLOOKUP($B206,INDIRECT($B$5&amp;"生成成长"),3))*(VLOOKUP($B$5,标准坦克设计!$B$14:$K$20,9)/30))</f>
        <v>13.135522458321107</v>
      </c>
      <c r="EX206" s="173">
        <f ca="1">(VLOOKUP(EX$72,INDIRECT($C$5&amp;"生成成长"),2))/((VLOOKUP($B206,INDIRECT($B$5&amp;"生成成长"),4))/(VLOOKUP(EX$72,INDIRECT($C$5&amp;"生成成长"),5))*(VLOOKUP($B$5,标准坦克设计!$B$24:$U$30,MATCH("对"&amp;LEFT($C$5,2)&amp;"输出",标准坦克设计!$B$23:$U$23,0)))*(VLOOKUP($B206,INDIRECT($B$5&amp;"生成成长"),3))*(VLOOKUP($B$5,标准坦克设计!$B$14:$K$20,9)/30))</f>
        <v>14.071965999230869</v>
      </c>
      <c r="EY206" s="173">
        <f ca="1">(VLOOKUP(EY$72,INDIRECT($C$5&amp;"生成成长"),2))/((VLOOKUP($B206,INDIRECT($B$5&amp;"生成成长"),4))/(VLOOKUP(EY$72,INDIRECT($C$5&amp;"生成成长"),5))*(VLOOKUP($B$5,标准坦克设计!$B$24:$U$30,MATCH("对"&amp;LEFT($C$5,2)&amp;"输出",标准坦克设计!$B$23:$U$23,0)))*(VLOOKUP($B206,INDIRECT($B$5&amp;"生成成长"),3))*(VLOOKUP($B$5,标准坦克设计!$B$14:$K$20,9)/30))</f>
        <v>15.04065016283236</v>
      </c>
      <c r="EZ206" s="173">
        <f ca="1">(VLOOKUP(EZ$72,INDIRECT($C$5&amp;"生成成长"),2))/((VLOOKUP($B206,INDIRECT($B$5&amp;"生成成长"),4))/(VLOOKUP(EZ$72,INDIRECT($C$5&amp;"生成成长"),5))*(VLOOKUP($B$5,标准坦克设计!$B$24:$U$30,MATCH("对"&amp;LEFT($C$5,2)&amp;"输出",标准坦克设计!$B$23:$U$23,0)))*(VLOOKUP($B206,INDIRECT($B$5&amp;"生成成长"),3))*(VLOOKUP($B$5,标准坦克设计!$B$14:$K$20,9)/30))</f>
        <v>16.041574949125582</v>
      </c>
      <c r="FA206" s="173">
        <f ca="1">(VLOOKUP(FA$72,INDIRECT($C$5&amp;"生成成长"),2))/((VLOOKUP($B206,INDIRECT($B$5&amp;"生成成长"),4))/(VLOOKUP(FA$72,INDIRECT($C$5&amp;"生成成长"),5))*(VLOOKUP($B$5,标准坦克设计!$B$24:$U$30,MATCH("对"&amp;LEFT($C$5,2)&amp;"输出",标准坦克设计!$B$23:$U$23,0)))*(VLOOKUP($B206,INDIRECT($B$5&amp;"生成成长"),3))*(VLOOKUP($B$5,标准坦克设计!$B$14:$K$20,9)/30))</f>
        <v>17.074740358110535</v>
      </c>
      <c r="FB206" s="173">
        <f ca="1">(VLOOKUP(FB$72,INDIRECT($C$5&amp;"生成成长"),2))/((VLOOKUP($B206,INDIRECT($B$5&amp;"生成成长"),4))/(VLOOKUP(FB$72,INDIRECT($C$5&amp;"生成成长"),5))*(VLOOKUP($B$5,标准坦克设计!$B$24:$U$30,MATCH("对"&amp;LEFT($C$5,2)&amp;"输出",标准坦克设计!$B$23:$U$23,0)))*(VLOOKUP($B206,INDIRECT($B$5&amp;"生成成长"),3))*(VLOOKUP($B$5,标准坦克设计!$B$14:$K$20,9)/30))</f>
        <v>18.140146389787215</v>
      </c>
      <c r="FC206" s="173">
        <f ca="1">(VLOOKUP(FC$72,INDIRECT($C$5&amp;"生成成长"),2))/((VLOOKUP($B206,INDIRECT($B$5&amp;"生成成长"),4))/(VLOOKUP(FC$72,INDIRECT($C$5&amp;"生成成长"),5))*(VLOOKUP($B$5,标准坦克设计!$B$24:$U$30,MATCH("对"&amp;LEFT($C$5,2)&amp;"输出",标准坦克设计!$B$23:$U$23,0)))*(VLOOKUP($B206,INDIRECT($B$5&amp;"生成成长"),3))*(VLOOKUP($B$5,标准坦克设计!$B$14:$K$20,9)/30))</f>
        <v>19.237793044155623</v>
      </c>
      <c r="FD206" s="173">
        <f ca="1">(VLOOKUP(FD$72,INDIRECT($C$5&amp;"生成成长"),2))/((VLOOKUP($B206,INDIRECT($B$5&amp;"生成成长"),4))/(VLOOKUP(FD$72,INDIRECT($C$5&amp;"生成成长"),5))*(VLOOKUP($B$5,标准坦克设计!$B$24:$U$30,MATCH("对"&amp;LEFT($C$5,2)&amp;"输出",标准坦克设计!$B$23:$U$23,0)))*(VLOOKUP($B206,INDIRECT($B$5&amp;"生成成长"),3))*(VLOOKUP($B$5,标准坦克设计!$B$14:$K$20,9)/30))</f>
        <v>20.367680321215754</v>
      </c>
      <c r="FE206" s="173">
        <f ca="1">(VLOOKUP(FE$72,INDIRECT($C$5&amp;"生成成长"),2))/((VLOOKUP($B206,INDIRECT($B$5&amp;"生成成长"),4))/(VLOOKUP(FE$72,INDIRECT($C$5&amp;"生成成长"),5))*(VLOOKUP($B$5,标准坦克设计!$B$24:$U$30,MATCH("对"&amp;LEFT($C$5,2)&amp;"输出",标准坦克设计!$B$23:$U$23,0)))*(VLOOKUP($B206,INDIRECT($B$5&amp;"生成成长"),3))*(VLOOKUP($B$5,标准坦克设计!$B$14:$K$20,9)/30))</f>
        <v>21.744568071294349</v>
      </c>
      <c r="FF206" s="173">
        <f ca="1">(VLOOKUP(FF$72,INDIRECT($C$5&amp;"生成成长"),2))/((VLOOKUP($B206,INDIRECT($B$5&amp;"生成成长"),4))/(VLOOKUP(FF$72,INDIRECT($C$5&amp;"生成成长"),5))*(VLOOKUP($B$5,标准坦克设计!$B$24:$U$30,MATCH("对"&amp;LEFT($C$5,2)&amp;"输出",标准坦克设计!$B$23:$U$23,0)))*(VLOOKUP($B206,INDIRECT($B$5&amp;"生成成长"),3))*(VLOOKUP($B$5,标准坦克设计!$B$14:$K$20,9)/30))</f>
        <v>23.166486112570478</v>
      </c>
      <c r="FG206" s="173">
        <f ca="1">(VLOOKUP(FG$72,INDIRECT($C$5&amp;"生成成长"),2))/((VLOOKUP($B206,INDIRECT($B$5&amp;"生成成长"),4))/(VLOOKUP(FG$72,INDIRECT($C$5&amp;"生成成长"),5))*(VLOOKUP($B$5,标准坦克设计!$B$24:$U$30,MATCH("对"&amp;LEFT($C$5,2)&amp;"输出",标准坦克设计!$B$23:$U$23,0)))*(VLOOKUP($B206,INDIRECT($B$5&amp;"生成成长"),3))*(VLOOKUP($B$5,标准坦克设计!$B$14:$K$20,9)/30))</f>
        <v>24.633434445044145</v>
      </c>
      <c r="FH206" s="173">
        <f ca="1">(VLOOKUP(FH$72,INDIRECT($C$5&amp;"生成成长"),2))/((VLOOKUP($B206,INDIRECT($B$5&amp;"生成成长"),4))/(VLOOKUP(FH$72,INDIRECT($C$5&amp;"生成成长"),5))*(VLOOKUP($B$5,标准坦克设计!$B$24:$U$30,MATCH("对"&amp;LEFT($C$5,2)&amp;"输出",标准坦克设计!$B$23:$U$23,0)))*(VLOOKUP($B206,INDIRECT($B$5&amp;"生成成长"),3))*(VLOOKUP($B$5,标准坦克设计!$B$14:$K$20,9)/30))</f>
        <v>26.145413068715353</v>
      </c>
      <c r="FI206" s="173">
        <f ca="1">(VLOOKUP(FI$72,INDIRECT($C$5&amp;"生成成长"),2))/((VLOOKUP($B206,INDIRECT($B$5&amp;"生成成长"),4))/(VLOOKUP(FI$72,INDIRECT($C$5&amp;"生成成长"),5))*(VLOOKUP($B$5,标准坦克设计!$B$24:$U$30,MATCH("对"&amp;LEFT($C$5,2)&amp;"输出",标准坦克设计!$B$23:$U$23,0)))*(VLOOKUP($B206,INDIRECT($B$5&amp;"生成成长"),3))*(VLOOKUP($B$5,标准坦克设计!$B$14:$K$20,9)/30))</f>
        <v>27.702421983584102</v>
      </c>
      <c r="FJ206" s="173">
        <f ca="1">(VLOOKUP(FJ$72,INDIRECT($C$5&amp;"生成成长"),2))/((VLOOKUP($B206,INDIRECT($B$5&amp;"生成成长"),4))/(VLOOKUP(FJ$72,INDIRECT($C$5&amp;"生成成长"),5))*(VLOOKUP($B$5,标准坦克设计!$B$24:$U$30,MATCH("对"&amp;LEFT($C$5,2)&amp;"输出",标准坦克设计!$B$23:$U$23,0)))*(VLOOKUP($B206,INDIRECT($B$5&amp;"生成成长"),3))*(VLOOKUP($B$5,标准坦克设计!$B$14:$K$20,9)/30))</f>
        <v>29.304461189650382</v>
      </c>
      <c r="FK206" s="173">
        <f ca="1">(VLOOKUP(FK$72,INDIRECT($C$5&amp;"生成成长"),2))/((VLOOKUP($B206,INDIRECT($B$5&amp;"生成成长"),4))/(VLOOKUP(FK$72,INDIRECT($C$5&amp;"生成成长"),5))*(VLOOKUP($B$5,标准坦克设计!$B$24:$U$30,MATCH("对"&amp;LEFT($C$5,2)&amp;"输出",标准坦克设计!$B$23:$U$23,0)))*(VLOOKUP($B206,INDIRECT($B$5&amp;"生成成长"),3))*(VLOOKUP($B$5,标准坦克设计!$B$14:$K$20,9)/30))</f>
        <v>30.951530686914204</v>
      </c>
    </row>
    <row r="207" spans="1:167" x14ac:dyDescent="0.15">
      <c r="A207" s="171" t="str">
        <f t="shared" si="13"/>
        <v>T4高品质9级</v>
      </c>
      <c r="B207" s="172">
        <v>30409</v>
      </c>
      <c r="C207" s="173">
        <f ca="1">(VLOOKUP(C$72,INDIRECT($C$5&amp;"生成成长"),2))/((VLOOKUP($B207,INDIRECT($B$5&amp;"生成成长"),4))/(VLOOKUP(C$72,INDIRECT($C$5&amp;"生成成长"),5))*(VLOOKUP($B$5,标准坦克设计!$B$24:$U$30,MATCH("对"&amp;LEFT($C$5,2)&amp;"输出",标准坦克设计!$B$23:$U$23,0)))*(VLOOKUP($B207,INDIRECT($B$5&amp;"生成成长"),3))*(VLOOKUP($B$5,标准坦克设计!$B$14:$K$20,9)/30))</f>
        <v>1.2355742688320794</v>
      </c>
      <c r="D207" s="173">
        <f ca="1">(VLOOKUP(D$72,INDIRECT($C$5&amp;"生成成长"),2))/((VLOOKUP($B207,INDIRECT($B$5&amp;"生成成长"),4))/(VLOOKUP(D$72,INDIRECT($C$5&amp;"生成成长"),5))*(VLOOKUP($B$5,标准坦克设计!$B$24:$U$30,MATCH("对"&amp;LEFT($C$5,2)&amp;"输出",标准坦克设计!$B$23:$U$23,0)))*(VLOOKUP($B207,INDIRECT($B$5&amp;"生成成长"),3))*(VLOOKUP($B$5,标准坦克设计!$B$14:$K$20,9)/30))</f>
        <v>1.3882912484597243</v>
      </c>
      <c r="E207" s="173">
        <f ca="1">(VLOOKUP(E$72,INDIRECT($C$5&amp;"生成成长"),2))/((VLOOKUP($B207,INDIRECT($B$5&amp;"生成成长"),4))/(VLOOKUP(E$72,INDIRECT($C$5&amp;"生成成长"),5))*(VLOOKUP($B$5,标准坦克设计!$B$24:$U$30,MATCH("对"&amp;LEFT($C$5,2)&amp;"输出",标准坦克设计!$B$23:$U$23,0)))*(VLOOKUP($B207,INDIRECT($B$5&amp;"生成成长"),3))*(VLOOKUP($B$5,标准坦克设计!$B$14:$K$20,9)/30))</f>
        <v>1.5499043628229605</v>
      </c>
      <c r="F207" s="173">
        <f ca="1">(VLOOKUP(F$72,INDIRECT($C$5&amp;"生成成长"),2))/((VLOOKUP($B207,INDIRECT($B$5&amp;"生成成长"),4))/(VLOOKUP(F$72,INDIRECT($C$5&amp;"生成成长"),5))*(VLOOKUP($B$5,标准坦克设计!$B$24:$U$30,MATCH("对"&amp;LEFT($C$5,2)&amp;"输出",标准坦克设计!$B$23:$U$23,0)))*(VLOOKUP($B207,INDIRECT($B$5&amp;"生成成长"),3))*(VLOOKUP($B$5,标准坦克设计!$B$14:$K$20,9)/30))</f>
        <v>1.7204136119217872</v>
      </c>
      <c r="G207" s="173">
        <f ca="1">(VLOOKUP(G$72,INDIRECT($C$5&amp;"生成成长"),2))/((VLOOKUP($B207,INDIRECT($B$5&amp;"生成成长"),4))/(VLOOKUP(G$72,INDIRECT($C$5&amp;"生成成长"),5))*(VLOOKUP($B$5,标准坦克设计!$B$24:$U$30,MATCH("对"&amp;LEFT($C$5,2)&amp;"输出",标准坦克设计!$B$23:$U$23,0)))*(VLOOKUP($B207,INDIRECT($B$5&amp;"生成成长"),3))*(VLOOKUP($B$5,标准坦克设计!$B$14:$K$20,9)/30))</f>
        <v>1.8998189957562055</v>
      </c>
      <c r="H207" s="173">
        <f ca="1">(VLOOKUP(H$72,INDIRECT($C$5&amp;"生成成长"),2))/((VLOOKUP($B207,INDIRECT($B$5&amp;"生成成长"),4))/(VLOOKUP(H$72,INDIRECT($C$5&amp;"生成成长"),5))*(VLOOKUP($B$5,标准坦克设计!$B$24:$U$30,MATCH("对"&amp;LEFT($C$5,2)&amp;"输出",标准坦克设计!$B$23:$U$23,0)))*(VLOOKUP($B207,INDIRECT($B$5&amp;"生成成长"),3))*(VLOOKUP($B$5,标准坦克设计!$B$14:$K$20,9)/30))</f>
        <v>1.6625887361404463</v>
      </c>
      <c r="I207" s="173">
        <f ca="1">(VLOOKUP(I$72,INDIRECT($C$5&amp;"生成成长"),2))/((VLOOKUP($B207,INDIRECT($B$5&amp;"生成成长"),4))/(VLOOKUP(I$72,INDIRECT($C$5&amp;"生成成长"),5))*(VLOOKUP($B$5,标准坦克设计!$B$24:$U$30,MATCH("对"&amp;LEFT($C$5,2)&amp;"输出",标准坦克设计!$B$23:$U$23,0)))*(VLOOKUP($B207,INDIRECT($B$5&amp;"生成成长"),3))*(VLOOKUP($B$5,标准坦克设计!$B$14:$K$20,9)/30))</f>
        <v>1.8998189957562055</v>
      </c>
      <c r="J207" s="173">
        <f ca="1">(VLOOKUP(J$72,INDIRECT($C$5&amp;"生成成长"),2))/((VLOOKUP($B207,INDIRECT($B$5&amp;"生成成长"),4))/(VLOOKUP(J$72,INDIRECT($C$5&amp;"生成成长"),5))*(VLOOKUP($B$5,标准坦克设计!$B$24:$U$30,MATCH("对"&amp;LEFT($C$5,2)&amp;"输出",标准坦克设计!$B$23:$U$23,0)))*(VLOOKUP($B207,INDIRECT($B$5&amp;"生成成长"),3))*(VLOOKUP($B$5,标准坦克设计!$B$14:$K$20,9)/30))</f>
        <v>2.152864606013015</v>
      </c>
      <c r="K207" s="173">
        <f ca="1">(VLOOKUP(K$72,INDIRECT($C$5&amp;"生成成长"),2))/((VLOOKUP($B207,INDIRECT($B$5&amp;"生成成长"),4))/(VLOOKUP(K$72,INDIRECT($C$5&amp;"生成成长"),5))*(VLOOKUP($B$5,标准坦克设计!$B$24:$U$30,MATCH("对"&amp;LEFT($C$5,2)&amp;"输出",标准坦克设计!$B$23:$U$23,0)))*(VLOOKUP($B207,INDIRECT($B$5&amp;"生成成长"),3))*(VLOOKUP($B$5,标准坦克设计!$B$14:$K$20,9)/30))</f>
        <v>2.4217255669108759</v>
      </c>
      <c r="L207" s="173">
        <f ca="1">(VLOOKUP(L$72,INDIRECT($C$5&amp;"生成成长"),2))/((VLOOKUP($B207,INDIRECT($B$5&amp;"生成成长"),4))/(VLOOKUP(L$72,INDIRECT($C$5&amp;"生成成长"),5))*(VLOOKUP($B$5,标准坦克设计!$B$24:$U$30,MATCH("对"&amp;LEFT($C$5,2)&amp;"输出",标准坦克设计!$B$23:$U$23,0)))*(VLOOKUP($B207,INDIRECT($B$5&amp;"生成成长"),3))*(VLOOKUP($B$5,标准坦克设计!$B$14:$K$20,9)/30))</f>
        <v>2.7064018784497867</v>
      </c>
      <c r="M207" s="173">
        <f ca="1">(VLOOKUP(M$72,INDIRECT($C$5&amp;"生成成长"),2))/((VLOOKUP($B207,INDIRECT($B$5&amp;"生成成长"),4))/(VLOOKUP(M$72,INDIRECT($C$5&amp;"生成成长"),5))*(VLOOKUP($B$5,标准坦克设计!$B$24:$U$30,MATCH("对"&amp;LEFT($C$5,2)&amp;"输出",标准坦克设计!$B$23:$U$23,0)))*(VLOOKUP($B207,INDIRECT($B$5&amp;"生成成长"),3))*(VLOOKUP($B$5,标准坦克设计!$B$14:$K$20,9)/30))</f>
        <v>3.0068935406297483</v>
      </c>
      <c r="N207" s="173">
        <f ca="1">(VLOOKUP(N$72,INDIRECT($C$5&amp;"生成成长"),2))/((VLOOKUP($B207,INDIRECT($B$5&amp;"生成成长"),4))/(VLOOKUP(N$72,INDIRECT($C$5&amp;"生成成长"),5))*(VLOOKUP($B$5,标准坦克设计!$B$24:$U$30,MATCH("对"&amp;LEFT($C$5,2)&amp;"输出",标准坦克设计!$B$23:$U$23,0)))*(VLOOKUP($B207,INDIRECT($B$5&amp;"生成成长"),3))*(VLOOKUP($B$5,标准坦克设计!$B$14:$K$20,9)/30))</f>
        <v>3.3232005534507612</v>
      </c>
      <c r="O207" s="173">
        <f ca="1">(VLOOKUP(O$72,INDIRECT($C$5&amp;"生成成长"),2))/((VLOOKUP($B207,INDIRECT($B$5&amp;"生成成长"),4))/(VLOOKUP(O$72,INDIRECT($C$5&amp;"生成成长"),5))*(VLOOKUP($B$5,标准坦克设计!$B$24:$U$30,MATCH("对"&amp;LEFT($C$5,2)&amp;"输出",标准坦克设计!$B$23:$U$23,0)))*(VLOOKUP($B207,INDIRECT($B$5&amp;"生成成长"),3))*(VLOOKUP($B$5,标准坦克设计!$B$14:$K$20,9)/30))</f>
        <v>2.5266258223347196</v>
      </c>
      <c r="P207" s="173">
        <f ca="1">(VLOOKUP(P$72,INDIRECT($C$5&amp;"生成成长"),2))/((VLOOKUP($B207,INDIRECT($B$5&amp;"生成成长"),4))/(VLOOKUP(P$72,INDIRECT($C$5&amp;"生成成长"),5))*(VLOOKUP($B$5,标准坦克设计!$B$24:$U$30,MATCH("对"&amp;LEFT($C$5,2)&amp;"输出",标准坦克设计!$B$23:$U$23,0)))*(VLOOKUP($B207,INDIRECT($B$5&amp;"生成成长"),3))*(VLOOKUP($B$5,标准坦克设计!$B$14:$K$20,9)/30))</f>
        <v>2.8546707907096365</v>
      </c>
      <c r="Q207" s="173">
        <f ca="1">(VLOOKUP(Q$72,INDIRECT($C$5&amp;"生成成长"),2))/((VLOOKUP($B207,INDIRECT($B$5&amp;"生成成长"),4))/(VLOOKUP(Q$72,INDIRECT($C$5&amp;"生成成长"),5))*(VLOOKUP($B$5,标准坦克设计!$B$24:$U$30,MATCH("对"&amp;LEFT($C$5,2)&amp;"输出",标准坦克设计!$B$23:$U$23,0)))*(VLOOKUP($B207,INDIRECT($B$5&amp;"生成成长"),3))*(VLOOKUP($B$5,标准坦克设计!$B$14:$K$20,9)/30))</f>
        <v>3.2027320622396327</v>
      </c>
      <c r="R207" s="173">
        <f ca="1">(VLOOKUP(R$72,INDIRECT($C$5&amp;"生成成长"),2))/((VLOOKUP($B207,INDIRECT($B$5&amp;"生成成长"),4))/(VLOOKUP(R$72,INDIRECT($C$5&amp;"生成成长"),5))*(VLOOKUP($B$5,标准坦克设计!$B$24:$U$30,MATCH("对"&amp;LEFT($C$5,2)&amp;"输出",标准坦克设计!$B$23:$U$23,0)))*(VLOOKUP($B207,INDIRECT($B$5&amp;"生成成长"),3))*(VLOOKUP($B$5,标准坦克设计!$B$14:$K$20,9)/30))</f>
        <v>3.5708096369247095</v>
      </c>
      <c r="S207" s="173">
        <f ca="1">(VLOOKUP(S$72,INDIRECT($C$5&amp;"生成成长"),2))/((VLOOKUP($B207,INDIRECT($B$5&amp;"生成成长"),4))/(VLOOKUP(S$72,INDIRECT($C$5&amp;"生成成长"),5))*(VLOOKUP($B$5,标准坦克设计!$B$24:$U$30,MATCH("对"&amp;LEFT($C$5,2)&amp;"输出",标准坦克设计!$B$23:$U$23,0)))*(VLOOKUP($B207,INDIRECT($B$5&amp;"生成成长"),3))*(VLOOKUP($B$5,标准坦克设计!$B$14:$K$20,9)/30))</f>
        <v>3.9589035147648657</v>
      </c>
      <c r="T207" s="173">
        <f ca="1">(VLOOKUP(T$72,INDIRECT($C$5&amp;"生成成长"),2))/((VLOOKUP($B207,INDIRECT($B$5&amp;"生成成长"),4))/(VLOOKUP(T$72,INDIRECT($C$5&amp;"生成成长"),5))*(VLOOKUP($B$5,标准坦克设计!$B$24:$U$30,MATCH("对"&amp;LEFT($C$5,2)&amp;"输出",标准坦克设计!$B$23:$U$23,0)))*(VLOOKUP($B207,INDIRECT($B$5&amp;"生成成长"),3))*(VLOOKUP($B$5,标准坦克设计!$B$14:$K$20,9)/30))</f>
        <v>4.367013695760102</v>
      </c>
      <c r="U207" s="173">
        <f ca="1">(VLOOKUP(U$72,INDIRECT($C$5&amp;"生成成长"),2))/((VLOOKUP($B207,INDIRECT($B$5&amp;"生成成长"),4))/(VLOOKUP(U$72,INDIRECT($C$5&amp;"生成成长"),5))*(VLOOKUP($B$5,标准坦克设计!$B$24:$U$30,MATCH("对"&amp;LEFT($C$5,2)&amp;"输出",标准坦克设计!$B$23:$U$23,0)))*(VLOOKUP($B207,INDIRECT($B$5&amp;"生成成长"),3))*(VLOOKUP($B$5,标准坦克设计!$B$14:$K$20,9)/30))</f>
        <v>4.7951401799104172</v>
      </c>
      <c r="V207" s="173">
        <f ca="1">(VLOOKUP(V$72,INDIRECT($C$5&amp;"生成成长"),2))/((VLOOKUP($B207,INDIRECT($B$5&amp;"生成成长"),4))/(VLOOKUP(V$72,INDIRECT($C$5&amp;"生成成长"),5))*(VLOOKUP($B$5,标准坦克设计!$B$24:$U$30,MATCH("对"&amp;LEFT($C$5,2)&amp;"输出",标准坦克设计!$B$23:$U$23,0)))*(VLOOKUP($B207,INDIRECT($B$5&amp;"生成成长"),3))*(VLOOKUP($B$5,标准坦克设计!$B$14:$K$20,9)/30))</f>
        <v>5.2432829672158121</v>
      </c>
      <c r="W207" s="173">
        <f ca="1">(VLOOKUP(W$72,INDIRECT($C$5&amp;"生成成长"),2))/((VLOOKUP($B207,INDIRECT($B$5&amp;"生成成长"),4))/(VLOOKUP(W$72,INDIRECT($C$5&amp;"生成成长"),5))*(VLOOKUP($B$5,标准坦克设计!$B$24:$U$30,MATCH("对"&amp;LEFT($C$5,2)&amp;"输出",标准坦克设计!$B$23:$U$23,0)))*(VLOOKUP($B207,INDIRECT($B$5&amp;"生成成长"),3))*(VLOOKUP($B$5,标准坦克设计!$B$14:$K$20,9)/30))</f>
        <v>5.7114420576762868</v>
      </c>
      <c r="X207" s="173">
        <f ca="1">(VLOOKUP(X$72,INDIRECT($C$5&amp;"生成成长"),2))/((VLOOKUP($B207,INDIRECT($B$5&amp;"生成成长"),4))/(VLOOKUP(X$72,INDIRECT($C$5&amp;"生成成长"),5))*(VLOOKUP($B$5,标准坦克设计!$B$24:$U$30,MATCH("对"&amp;LEFT($C$5,2)&amp;"输出",标准坦克设计!$B$23:$U$23,0)))*(VLOOKUP($B207,INDIRECT($B$5&amp;"生成成长"),3))*(VLOOKUP($B$5,标准坦克设计!$B$14:$K$20,9)/30))</f>
        <v>4.1378146688917505</v>
      </c>
      <c r="Y207" s="173">
        <f ca="1">(VLOOKUP(Y$72,INDIRECT($C$5&amp;"生成成长"),2))/((VLOOKUP($B207,INDIRECT($B$5&amp;"生成成长"),4))/(VLOOKUP(Y$72,INDIRECT($C$5&amp;"生成成长"),5))*(VLOOKUP($B$5,标准坦克设计!$B$24:$U$30,MATCH("对"&amp;LEFT($C$5,2)&amp;"输出",标准坦克设计!$B$23:$U$23,0)))*(VLOOKUP($B207,INDIRECT($B$5&amp;"生成成长"),3))*(VLOOKUP($B$5,标准坦克设计!$B$14:$K$20,9)/30))</f>
        <v>4.6023905939726122</v>
      </c>
      <c r="Z207" s="173">
        <f ca="1">(VLOOKUP(Z$72,INDIRECT($C$5&amp;"生成成长"),2))/((VLOOKUP($B207,INDIRECT($B$5&amp;"生成成长"),4))/(VLOOKUP(Z$72,INDIRECT($C$5&amp;"生成成长"),5))*(VLOOKUP($B$5,标准坦克设计!$B$24:$U$30,MATCH("对"&amp;LEFT($C$5,2)&amp;"输出",标准坦克设计!$B$23:$U$23,0)))*(VLOOKUP($B207,INDIRECT($B$5&amp;"生成成长"),3))*(VLOOKUP($B$5,标准坦克设计!$B$14:$K$20,9)/30))</f>
        <v>5.0916780044301158</v>
      </c>
      <c r="AA207" s="173">
        <f ca="1">(VLOOKUP(AA$72,INDIRECT($C$5&amp;"生成成长"),2))/((VLOOKUP($B207,INDIRECT($B$5&amp;"生成成长"),4))/(VLOOKUP(AA$72,INDIRECT($C$5&amp;"生成成长"),5))*(VLOOKUP($B$5,标准坦克设计!$B$24:$U$30,MATCH("对"&amp;LEFT($C$5,2)&amp;"输出",标准坦克设计!$B$23:$U$23,0)))*(VLOOKUP($B207,INDIRECT($B$5&amp;"生成成长"),3))*(VLOOKUP($B$5,标准坦克设计!$B$14:$K$20,9)/30))</f>
        <v>5.6056769002642621</v>
      </c>
      <c r="AB207" s="173">
        <f ca="1">(VLOOKUP(AB$72,INDIRECT($C$5&amp;"生成成长"),2))/((VLOOKUP($B207,INDIRECT($B$5&amp;"生成成长"),4))/(VLOOKUP(AB$72,INDIRECT($C$5&amp;"生成成长"),5))*(VLOOKUP($B$5,标准坦克设计!$B$24:$U$30,MATCH("对"&amp;LEFT($C$5,2)&amp;"输出",标准坦克设计!$B$23:$U$23,0)))*(VLOOKUP($B207,INDIRECT($B$5&amp;"生成成长"),3))*(VLOOKUP($B$5,标准坦克设计!$B$14:$K$20,9)/30))</f>
        <v>6.1443872814750486</v>
      </c>
      <c r="AC207" s="173">
        <f ca="1">(VLOOKUP(AC$72,INDIRECT($C$5&amp;"生成成长"),2))/((VLOOKUP($B207,INDIRECT($B$5&amp;"生成成长"),4))/(VLOOKUP(AC$72,INDIRECT($C$5&amp;"生成成长"),5))*(VLOOKUP($B$5,标准坦克设计!$B$24:$U$30,MATCH("对"&amp;LEFT($C$5,2)&amp;"输出",标准坦克设计!$B$23:$U$23,0)))*(VLOOKUP($B207,INDIRECT($B$5&amp;"生成成长"),3))*(VLOOKUP($B$5,标准坦克设计!$B$14:$K$20,9)/30))</f>
        <v>6.7078091480624753</v>
      </c>
      <c r="AD207" s="173">
        <f ca="1">(VLOOKUP(AD$72,INDIRECT($C$5&amp;"生成成长"),2))/((VLOOKUP($B207,INDIRECT($B$5&amp;"生成成长"),4))/(VLOOKUP(AD$72,INDIRECT($C$5&amp;"生成成长"),5))*(VLOOKUP($B$5,标准坦克设计!$B$24:$U$30,MATCH("对"&amp;LEFT($C$5,2)&amp;"输出",标准坦克设计!$B$23:$U$23,0)))*(VLOOKUP($B207,INDIRECT($B$5&amp;"生成成长"),3))*(VLOOKUP($B$5,标准坦克设计!$B$14:$K$20,9)/30))</f>
        <v>7.2959425000265457</v>
      </c>
      <c r="AE207" s="173">
        <f ca="1">(VLOOKUP(AE$72,INDIRECT($C$5&amp;"生成成长"),2))/((VLOOKUP($B207,INDIRECT($B$5&amp;"生成成长"),4))/(VLOOKUP(AE$72,INDIRECT($C$5&amp;"生成成长"),5))*(VLOOKUP($B$5,标准坦克设计!$B$24:$U$30,MATCH("对"&amp;LEFT($C$5,2)&amp;"输出",标准坦克设计!$B$23:$U$23,0)))*(VLOOKUP($B207,INDIRECT($B$5&amp;"生成成长"),3))*(VLOOKUP($B$5,标准坦克设计!$B$14:$K$20,9)/30))</f>
        <v>7.9087873373672579</v>
      </c>
      <c r="AF207" s="173">
        <f ca="1">(VLOOKUP(AF$72,INDIRECT($C$5&amp;"生成成长"),2))/((VLOOKUP($B207,INDIRECT($B$5&amp;"生成成长"),4))/(VLOOKUP(AF$72,INDIRECT($C$5&amp;"生成成长"),5))*(VLOOKUP($B$5,标准坦克设计!$B$24:$U$30,MATCH("对"&amp;LEFT($C$5,2)&amp;"输出",标准坦克设计!$B$23:$U$23,0)))*(VLOOKUP($B207,INDIRECT($B$5&amp;"生成成长"),3))*(VLOOKUP($B$5,标准坦克设计!$B$14:$K$20,9)/30))</f>
        <v>8.5463436600846094</v>
      </c>
      <c r="AG207" s="173">
        <f ca="1">(VLOOKUP(AG$72,INDIRECT($C$5&amp;"生成成长"),2))/((VLOOKUP($B207,INDIRECT($B$5&amp;"生成成长"),4))/(VLOOKUP(AG$72,INDIRECT($C$5&amp;"生成成长"),5))*(VLOOKUP($B$5,标准坦克设计!$B$24:$U$30,MATCH("对"&amp;LEFT($C$5,2)&amp;"输出",标准坦克设计!$B$23:$U$23,0)))*(VLOOKUP($B207,INDIRECT($B$5&amp;"生成成长"),3))*(VLOOKUP($B$5,标准坦克设计!$B$14:$K$20,9)/30))</f>
        <v>9.2086114681786029</v>
      </c>
      <c r="AH207" s="173">
        <f ca="1">(VLOOKUP(AH$72,INDIRECT($C$5&amp;"生成成长"),2))/((VLOOKUP($B207,INDIRECT($B$5&amp;"生成成长"),4))/(VLOOKUP(AH$72,INDIRECT($C$5&amp;"生成成长"),5))*(VLOOKUP($B$5,标准坦克设计!$B$24:$U$30,MATCH("对"&amp;LEFT($C$5,2)&amp;"输出",标准坦克设计!$B$23:$U$23,0)))*(VLOOKUP($B207,INDIRECT($B$5&amp;"生成成长"),3))*(VLOOKUP($B$5,标准坦克设计!$B$14:$K$20,9)/30))</f>
        <v>9.89559076164924</v>
      </c>
      <c r="AI207" s="173">
        <f ca="1">(VLOOKUP(AI$72,INDIRECT($C$5&amp;"生成成长"),2))/((VLOOKUP($B207,INDIRECT($B$5&amp;"生成成长"),4))/(VLOOKUP(AI$72,INDIRECT($C$5&amp;"生成成长"),5))*(VLOOKUP($B$5,标准坦克设计!$B$24:$U$30,MATCH("对"&amp;LEFT($C$5,2)&amp;"输出",标准坦克设计!$B$23:$U$23,0)))*(VLOOKUP($B207,INDIRECT($B$5&amp;"生成成长"),3))*(VLOOKUP($B$5,标准坦克设计!$B$14:$K$20,9)/30))</f>
        <v>6.9987868883724316</v>
      </c>
      <c r="AJ207" s="173">
        <f ca="1">(VLOOKUP(AJ$72,INDIRECT($C$5&amp;"生成成长"),2))/((VLOOKUP($B207,INDIRECT($B$5&amp;"生成成长"),4))/(VLOOKUP(AJ$72,INDIRECT($C$5&amp;"生成成长"),5))*(VLOOKUP($B$5,标准坦克设计!$B$24:$U$30,MATCH("对"&amp;LEFT($C$5,2)&amp;"输出",标准坦克设计!$B$23:$U$23,0)))*(VLOOKUP($B207,INDIRECT($B$5&amp;"生成成长"),3))*(VLOOKUP($B$5,标准坦克设计!$B$14:$K$20,9)/30))</f>
        <v>7.6606840241857759</v>
      </c>
      <c r="AK207" s="173">
        <f ca="1">(VLOOKUP(AK$72,INDIRECT($C$5&amp;"生成成长"),2))/((VLOOKUP($B207,INDIRECT($B$5&amp;"生成成长"),4))/(VLOOKUP(AK$72,INDIRECT($C$5&amp;"生成成长"),5))*(VLOOKUP($B$5,标准坦克设计!$B$24:$U$30,MATCH("对"&amp;LEFT($C$5,2)&amp;"输出",标准坦克设计!$B$23:$U$23,0)))*(VLOOKUP($B207,INDIRECT($B$5&amp;"生成成长"),3))*(VLOOKUP($B$5,标准坦克设计!$B$14:$K$20,9)/30))</f>
        <v>8.3524820573048562</v>
      </c>
      <c r="AL207" s="173">
        <f ca="1">(VLOOKUP(AL$72,INDIRECT($C$5&amp;"生成成长"),2))/((VLOOKUP($B207,INDIRECT($B$5&amp;"生成成长"),4))/(VLOOKUP(AL$72,INDIRECT($C$5&amp;"生成成长"),5))*(VLOOKUP($B$5,标准坦克设计!$B$24:$U$30,MATCH("对"&amp;LEFT($C$5,2)&amp;"输出",标准坦克设计!$B$23:$U$23,0)))*(VLOOKUP($B207,INDIRECT($B$5&amp;"生成成长"),3))*(VLOOKUP($B$5,标准坦克设计!$B$14:$K$20,9)/30))</f>
        <v>9.0741809877296742</v>
      </c>
      <c r="AM207" s="173">
        <f ca="1">(VLOOKUP(AM$72,INDIRECT($C$5&amp;"生成成长"),2))/((VLOOKUP($B207,INDIRECT($B$5&amp;"生成成长"),4))/(VLOOKUP(AM$72,INDIRECT($C$5&amp;"生成成长"),5))*(VLOOKUP($B$5,标准坦克设计!$B$24:$U$30,MATCH("对"&amp;LEFT($C$5,2)&amp;"输出",标准坦克设计!$B$23:$U$23,0)))*(VLOOKUP($B207,INDIRECT($B$5&amp;"生成成长"),3))*(VLOOKUP($B$5,标准坦克设计!$B$14:$K$20,9)/30))</f>
        <v>9.8257808154602273</v>
      </c>
      <c r="AN207" s="173">
        <f ca="1">(VLOOKUP(AN$72,INDIRECT($C$5&amp;"生成成长"),2))/((VLOOKUP($B207,INDIRECT($B$5&amp;"生成成长"),4))/(VLOOKUP(AN$72,INDIRECT($C$5&amp;"生成成长"),5))*(VLOOKUP($B$5,标准坦克设计!$B$24:$U$30,MATCH("对"&amp;LEFT($C$5,2)&amp;"输出",标准坦克设计!$B$23:$U$23,0)))*(VLOOKUP($B207,INDIRECT($B$5&amp;"生成成长"),3))*(VLOOKUP($B$5,标准坦克设计!$B$14:$K$20,9)/30))</f>
        <v>10.607281540496517</v>
      </c>
      <c r="AO207" s="173">
        <f ca="1">(VLOOKUP(AO$72,INDIRECT($C$5&amp;"生成成长"),2))/((VLOOKUP($B207,INDIRECT($B$5&amp;"生成成长"),4))/(VLOOKUP(AO$72,INDIRECT($C$5&amp;"生成成长"),5))*(VLOOKUP($B$5,标准坦克设计!$B$24:$U$30,MATCH("对"&amp;LEFT($C$5,2)&amp;"输出",标准坦克设计!$B$23:$U$23,0)))*(VLOOKUP($B207,INDIRECT($B$5&amp;"生成成长"),3))*(VLOOKUP($B$5,标准坦克设计!$B$14:$K$20,9)/30))</f>
        <v>11.418683162838546</v>
      </c>
      <c r="AP207" s="173">
        <f ca="1">(VLOOKUP(AP$72,INDIRECT($C$5&amp;"生成成长"),2))/((VLOOKUP($B207,INDIRECT($B$5&amp;"生成成长"),4))/(VLOOKUP(AP$72,INDIRECT($C$5&amp;"生成成长"),5))*(VLOOKUP($B$5,标准坦克设计!$B$24:$U$30,MATCH("对"&amp;LEFT($C$5,2)&amp;"输出",标准坦克设计!$B$23:$U$23,0)))*(VLOOKUP($B207,INDIRECT($B$5&amp;"生成成长"),3))*(VLOOKUP($B$5,标准坦克设计!$B$14:$K$20,9)/30))</f>
        <v>12.259985682486308</v>
      </c>
      <c r="AQ207" s="173">
        <f ca="1">(VLOOKUP(AQ$72,INDIRECT($C$5&amp;"生成成长"),2))/((VLOOKUP($B207,INDIRECT($B$5&amp;"生成成长"),4))/(VLOOKUP(AQ$72,INDIRECT($C$5&amp;"生成成长"),5))*(VLOOKUP($B$5,标准坦克设计!$B$24:$U$30,MATCH("对"&amp;LEFT($C$5,2)&amp;"输出",标准坦克设计!$B$23:$U$23,0)))*(VLOOKUP($B207,INDIRECT($B$5&amp;"生成成长"),3))*(VLOOKUP($B$5,标准坦克设计!$B$14:$K$20,9)/30))</f>
        <v>13.131189099439808</v>
      </c>
      <c r="AR207" s="173">
        <f ca="1">(VLOOKUP(AR$72,INDIRECT($C$5&amp;"生成成长"),2))/((VLOOKUP($B207,INDIRECT($B$5&amp;"生成成长"),4))/(VLOOKUP(AR$72,INDIRECT($C$5&amp;"生成成长"),5))*(VLOOKUP($B$5,标准坦克设计!$B$24:$U$30,MATCH("对"&amp;LEFT($C$5,2)&amp;"输出",标准坦克设计!$B$23:$U$23,0)))*(VLOOKUP($B207,INDIRECT($B$5&amp;"生成成长"),3))*(VLOOKUP($B$5,标准坦克设计!$B$14:$K$20,9)/30))</f>
        <v>14.032293413699042</v>
      </c>
      <c r="AS207" s="173">
        <f ca="1">(VLOOKUP(AS$72,INDIRECT($C$5&amp;"生成成长"),2))/((VLOOKUP($B207,INDIRECT($B$5&amp;"生成成长"),4))/(VLOOKUP(AS$72,INDIRECT($C$5&amp;"生成成长"),5))*(VLOOKUP($B$5,标准坦克设计!$B$24:$U$30,MATCH("对"&amp;LEFT($C$5,2)&amp;"输出",标准坦克设计!$B$23:$U$23,0)))*(VLOOKUP($B207,INDIRECT($B$5&amp;"生成成长"),3))*(VLOOKUP($B$5,标准坦克设计!$B$14:$K$20,9)/30))</f>
        <v>14.963298625264013</v>
      </c>
      <c r="AT207" s="173">
        <f ca="1">(VLOOKUP(AT$72,INDIRECT($C$5&amp;"生成成长"),2))/((VLOOKUP($B207,INDIRECT($B$5&amp;"生成成长"),4))/(VLOOKUP(AT$72,INDIRECT($C$5&amp;"生成成长"),5))*(VLOOKUP($B$5,标准坦克设计!$B$24:$U$30,MATCH("对"&amp;LEFT($C$5,2)&amp;"输出",标准坦克设计!$B$23:$U$23,0)))*(VLOOKUP($B207,INDIRECT($B$5&amp;"生成成长"),3))*(VLOOKUP($B$5,标准坦克设计!$B$14:$K$20,9)/30))</f>
        <v>15.924204734134722</v>
      </c>
      <c r="AU207" s="173">
        <f ca="1">(VLOOKUP(AU$72,INDIRECT($C$5&amp;"生成成长"),2))/((VLOOKUP($B207,INDIRECT($B$5&amp;"生成成长"),4))/(VLOOKUP(AU$72,INDIRECT($C$5&amp;"生成成长"),5))*(VLOOKUP($B$5,标准坦克设计!$B$24:$U$30,MATCH("对"&amp;LEFT($C$5,2)&amp;"输出",标准坦克设计!$B$23:$U$23,0)))*(VLOOKUP($B207,INDIRECT($B$5&amp;"生成成长"),3))*(VLOOKUP($B$5,标准坦克设计!$B$14:$K$20,9)/30))</f>
        <v>16.915011740311169</v>
      </c>
      <c r="AV207" s="173">
        <f ca="1">(VLOOKUP(AV$72,INDIRECT($C$5&amp;"生成成长"),2))/((VLOOKUP($B207,INDIRECT($B$5&amp;"生成成长"),4))/(VLOOKUP(AV$72,INDIRECT($C$5&amp;"生成成长"),5))*(VLOOKUP($B$5,标准坦克设计!$B$24:$U$30,MATCH("对"&amp;LEFT($C$5,2)&amp;"输出",标准坦克设计!$B$23:$U$23,0)))*(VLOOKUP($B207,INDIRECT($B$5&amp;"生成成长"),3))*(VLOOKUP($B$5,标准坦克设计!$B$14:$K$20,9)/30))</f>
        <v>1.7204136119217872</v>
      </c>
      <c r="AW207" s="173">
        <f ca="1">(VLOOKUP(AW$72,INDIRECT($C$5&amp;"生成成长"),2))/((VLOOKUP($B207,INDIRECT($B$5&amp;"生成成长"),4))/(VLOOKUP(AW$72,INDIRECT($C$5&amp;"生成成长"),5))*(VLOOKUP($B$5,标准坦克设计!$B$24:$U$30,MATCH("对"&amp;LEFT($C$5,2)&amp;"输出",标准坦克设计!$B$23:$U$23,0)))*(VLOOKUP($B207,INDIRECT($B$5&amp;"生成成长"),3))*(VLOOKUP($B$5,标准坦克设计!$B$14:$K$20,9)/30))</f>
        <v>1.9615977091978094</v>
      </c>
      <c r="AX207" s="173">
        <f ca="1">(VLOOKUP(AX$72,INDIRECT($C$5&amp;"生成成长"),2))/((VLOOKUP($B207,INDIRECT($B$5&amp;"生成成长"),4))/(VLOOKUP(AX$72,INDIRECT($C$5&amp;"生成成长"),5))*(VLOOKUP($B$5,标准坦克设计!$B$24:$U$30,MATCH("对"&amp;LEFT($C$5,2)&amp;"输出",标准坦克设计!$B$23:$U$23,0)))*(VLOOKUP($B207,INDIRECT($B$5&amp;"生成成长"),3))*(VLOOKUP($B$5,标准坦克设计!$B$14:$K$20,9)/30))</f>
        <v>2.2185971571148815</v>
      </c>
      <c r="AY207" s="173">
        <f ca="1">(VLOOKUP(AY$72,INDIRECT($C$5&amp;"生成成长"),2))/((VLOOKUP($B207,INDIRECT($B$5&amp;"生成成长"),4))/(VLOOKUP(AY$72,INDIRECT($C$5&amp;"生成成长"),5))*(VLOOKUP($B$5,标准坦克设计!$B$24:$U$30,MATCH("对"&amp;LEFT($C$5,2)&amp;"输出",标准坦克设计!$B$23:$U$23,0)))*(VLOOKUP($B207,INDIRECT($B$5&amp;"生成成长"),3))*(VLOOKUP($B$5,标准坦克设计!$B$14:$K$20,9)/30))</f>
        <v>2.491411955673005</v>
      </c>
      <c r="AZ207" s="173">
        <f ca="1">(VLOOKUP(AZ$72,INDIRECT($C$5&amp;"生成成长"),2))/((VLOOKUP($B207,INDIRECT($B$5&amp;"生成成长"),4))/(VLOOKUP(AZ$72,INDIRECT($C$5&amp;"生成成长"),5))*(VLOOKUP($B$5,标准坦克设计!$B$24:$U$30,MATCH("对"&amp;LEFT($C$5,2)&amp;"输出",标准坦克设计!$B$23:$U$23,0)))*(VLOOKUP($B207,INDIRECT($B$5&amp;"生成成长"),3))*(VLOOKUP($B$5,标准坦克设计!$B$14:$K$20,9)/30))</f>
        <v>2.7800421048721784</v>
      </c>
      <c r="BA207" s="173">
        <f ca="1">(VLOOKUP(BA$72,INDIRECT($C$5&amp;"生成成长"),2))/((VLOOKUP($B207,INDIRECT($B$5&amp;"生成成长"),4))/(VLOOKUP(BA$72,INDIRECT($C$5&amp;"生成成长"),5))*(VLOOKUP($B$5,标准坦克设计!$B$24:$U$30,MATCH("对"&amp;LEFT($C$5,2)&amp;"输出",标准坦克设计!$B$23:$U$23,0)))*(VLOOKUP($B207,INDIRECT($B$5&amp;"生成成长"),3))*(VLOOKUP($B$5,标准坦克设计!$B$14:$K$20,9)/30))</f>
        <v>3.084487604712403</v>
      </c>
      <c r="BB207" s="173">
        <f ca="1">(VLOOKUP(BB$72,INDIRECT($C$5&amp;"生成成长"),2))/((VLOOKUP($B207,INDIRECT($B$5&amp;"生成成长"),4))/(VLOOKUP(BB$72,INDIRECT($C$5&amp;"生成成长"),5))*(VLOOKUP($B$5,标准坦克设计!$B$24:$U$30,MATCH("对"&amp;LEFT($C$5,2)&amp;"输出",标准坦克设计!$B$23:$U$23,0)))*(VLOOKUP($B207,INDIRECT($B$5&amp;"生成成长"),3))*(VLOOKUP($B$5,标准坦克设计!$B$14:$K$20,9)/30))</f>
        <v>3.4047484551936775</v>
      </c>
      <c r="BC207" s="173">
        <f ca="1">(VLOOKUP(BC$72,INDIRECT($C$5&amp;"生成成长"),2))/((VLOOKUP($B207,INDIRECT($B$5&amp;"生成成长"),4))/(VLOOKUP(BC$72,INDIRECT($C$5&amp;"生成成长"),5))*(VLOOKUP($B$5,标准坦克设计!$B$24:$U$30,MATCH("对"&amp;LEFT($C$5,2)&amp;"输出",标准坦克设计!$B$23:$U$23,0)))*(VLOOKUP($B207,INDIRECT($B$5&amp;"生成成长"),3))*(VLOOKUP($B$5,标准坦克设计!$B$14:$K$20,9)/30))</f>
        <v>3.7408246563160032</v>
      </c>
      <c r="BD207" s="173">
        <f ca="1">(VLOOKUP(BD$72,INDIRECT($C$5&amp;"生成成长"),2))/((VLOOKUP($B207,INDIRECT($B$5&amp;"生成成长"),4))/(VLOOKUP(BD$72,INDIRECT($C$5&amp;"生成成长"),5))*(VLOOKUP($B$5,标准坦克设计!$B$24:$U$30,MATCH("对"&amp;LEFT($C$5,2)&amp;"输出",标准坦克设计!$B$23:$U$23,0)))*(VLOOKUP($B207,INDIRECT($B$5&amp;"生成成长"),3))*(VLOOKUP($B$5,标准坦克设计!$B$14:$K$20,9)/30))</f>
        <v>4.1378146688917505</v>
      </c>
      <c r="BE207" s="173">
        <f ca="1">(VLOOKUP(BE$72,INDIRECT($C$5&amp;"生成成长"),2))/((VLOOKUP($B207,INDIRECT($B$5&amp;"生成成长"),4))/(VLOOKUP(BE$72,INDIRECT($C$5&amp;"生成成长"),5))*(VLOOKUP($B$5,标准坦克设计!$B$24:$U$30,MATCH("对"&amp;LEFT($C$5,2)&amp;"输出",标准坦克设计!$B$23:$U$23,0)))*(VLOOKUP($B207,INDIRECT($B$5&amp;"生成成长"),3))*(VLOOKUP($B$5,标准坦克设计!$B$14:$K$20,9)/30))</f>
        <v>4.5548209846225776</v>
      </c>
      <c r="BF207" s="173">
        <f ca="1">(VLOOKUP(BF$72,INDIRECT($C$5&amp;"生成成长"),2))/((VLOOKUP($B207,INDIRECT($B$5&amp;"生成成长"),4))/(VLOOKUP(BF$72,INDIRECT($C$5&amp;"生成成长"),5))*(VLOOKUP($B$5,标准坦克设计!$B$24:$U$30,MATCH("对"&amp;LEFT($C$5,2)&amp;"输出",标准坦克设计!$B$23:$U$23,0)))*(VLOOKUP($B207,INDIRECT($B$5&amp;"生成成长"),3))*(VLOOKUP($B$5,标准坦克设计!$B$14:$K$20,9)/30))</f>
        <v>4.9918436035084843</v>
      </c>
      <c r="BG207" s="173">
        <f ca="1">(VLOOKUP(BG$72,INDIRECT($C$5&amp;"生成成长"),2))/((VLOOKUP($B207,INDIRECT($B$5&amp;"生成成长"),4))/(VLOOKUP(BG$72,INDIRECT($C$5&amp;"生成成长"),5))*(VLOOKUP($B$5,标准坦克设计!$B$24:$U$30,MATCH("对"&amp;LEFT($C$5,2)&amp;"输出",标准坦克设计!$B$23:$U$23,0)))*(VLOOKUP($B207,INDIRECT($B$5&amp;"生成成长"),3))*(VLOOKUP($B$5,标准坦克设计!$B$14:$K$20,9)/30))</f>
        <v>5.4488825255494691</v>
      </c>
      <c r="BH207" s="173">
        <f ca="1">(VLOOKUP(BH$72,INDIRECT($C$5&amp;"生成成长"),2))/((VLOOKUP($B207,INDIRECT($B$5&amp;"生成成长"),4))/(VLOOKUP(BH$72,INDIRECT($C$5&amp;"生成成长"),5))*(VLOOKUP($B$5,标准坦克设计!$B$24:$U$30,MATCH("对"&amp;LEFT($C$5,2)&amp;"输出",标准坦克设计!$B$23:$U$23,0)))*(VLOOKUP($B207,INDIRECT($B$5&amp;"生成成长"),3))*(VLOOKUP($B$5,标准坦克设计!$B$14:$K$20,9)/30))</f>
        <v>2.6337501114424602</v>
      </c>
      <c r="BI207" s="173">
        <f ca="1">(VLOOKUP(BI$72,INDIRECT($C$5&amp;"生成成长"),2))/((VLOOKUP($B207,INDIRECT($B$5&amp;"生成成长"),4))/(VLOOKUP(BI$72,INDIRECT($C$5&amp;"生成成长"),5))*(VLOOKUP($B$5,标准坦克设计!$B$24:$U$30,MATCH("对"&amp;LEFT($C$5,2)&amp;"输出",标准坦克设计!$B$23:$U$23,0)))*(VLOOKUP($B207,INDIRECT($B$5&amp;"生成成长"),3))*(VLOOKUP($B$5,标准坦克设计!$B$14:$K$20,9)/30))</f>
        <v>2.9684671808690712</v>
      </c>
      <c r="BJ207" s="173">
        <f ca="1">(VLOOKUP(BJ$72,INDIRECT($C$5&amp;"生成成长"),2))/((VLOOKUP($B207,INDIRECT($B$5&amp;"生成成长"),4))/(VLOOKUP(BJ$72,INDIRECT($C$5&amp;"生成成长"),5))*(VLOOKUP($B$5,标准坦克设计!$B$24:$U$30,MATCH("对"&amp;LEFT($C$5,2)&amp;"输出",标准坦克设计!$B$23:$U$23,0)))*(VLOOKUP($B207,INDIRECT($B$5&amp;"生成成长"),3))*(VLOOKUP($B$5,标准坦克设计!$B$14:$K$20,9)/30))</f>
        <v>3.3232005534507612</v>
      </c>
      <c r="BK207" s="173">
        <f ca="1">(VLOOKUP(BK$72,INDIRECT($C$5&amp;"生成成长"),2))/((VLOOKUP($B207,INDIRECT($B$5&amp;"生成成长"),4))/(VLOOKUP(BK$72,INDIRECT($C$5&amp;"生成成长"),5))*(VLOOKUP($B$5,标准坦克设计!$B$24:$U$30,MATCH("对"&amp;LEFT($C$5,2)&amp;"输出",标准坦克设计!$B$23:$U$23,0)))*(VLOOKUP($B207,INDIRECT($B$5&amp;"生成成长"),3))*(VLOOKUP($B$5,标准坦克设计!$B$14:$K$20,9)/30))</f>
        <v>3.6979502291875304</v>
      </c>
      <c r="BL207" s="173">
        <f ca="1">(VLOOKUP(BL$72,INDIRECT($C$5&amp;"生成成长"),2))/((VLOOKUP($B207,INDIRECT($B$5&amp;"生成成长"),4))/(VLOOKUP(BL$72,INDIRECT($C$5&amp;"生成成长"),5))*(VLOOKUP($B$5,标准坦克设计!$B$24:$U$30,MATCH("对"&amp;LEFT($C$5,2)&amp;"输出",标准坦克设计!$B$23:$U$23,0)))*(VLOOKUP($B207,INDIRECT($B$5&amp;"生成成长"),3))*(VLOOKUP($B$5,标准坦克设计!$B$14:$K$20,9)/30))</f>
        <v>4.0927162080793797</v>
      </c>
      <c r="BM207" s="173">
        <f ca="1">(VLOOKUP(BM$72,INDIRECT($C$5&amp;"生成成长"),2))/((VLOOKUP($B207,INDIRECT($B$5&amp;"生成成长"),4))/(VLOOKUP(BM$72,INDIRECT($C$5&amp;"生成成长"),5))*(VLOOKUP($B$5,标准坦克设计!$B$24:$U$30,MATCH("对"&amp;LEFT($C$5,2)&amp;"输出",标准坦克设计!$B$23:$U$23,0)))*(VLOOKUP($B207,INDIRECT($B$5&amp;"生成成长"),3))*(VLOOKUP($B$5,标准坦克设计!$B$14:$K$20,9)/30))</f>
        <v>4.5074984901263093</v>
      </c>
      <c r="BN207" s="173">
        <f ca="1">(VLOOKUP(BN$72,INDIRECT($C$5&amp;"生成成长"),2))/((VLOOKUP($B207,INDIRECT($B$5&amp;"生成成长"),4))/(VLOOKUP(BN$72,INDIRECT($C$5&amp;"生成成长"),5))*(VLOOKUP($B$5,标准坦克设计!$B$24:$U$30,MATCH("对"&amp;LEFT($C$5,2)&amp;"输出",标准坦克设计!$B$23:$U$23,0)))*(VLOOKUP($B207,INDIRECT($B$5&amp;"生成成长"),3))*(VLOOKUP($B$5,标准坦克设计!$B$14:$K$20,9)/30))</f>
        <v>4.9422970753283177</v>
      </c>
      <c r="BO207" s="173">
        <f ca="1">(VLOOKUP(BO$72,INDIRECT($C$5&amp;"生成成长"),2))/((VLOOKUP($B207,INDIRECT($B$5&amp;"生成成长"),4))/(VLOOKUP(BO$72,INDIRECT($C$5&amp;"生成成长"),5))*(VLOOKUP($B$5,标准坦克设计!$B$24:$U$30,MATCH("对"&amp;LEFT($C$5,2)&amp;"输出",标准坦克设计!$B$23:$U$23,0)))*(VLOOKUP($B207,INDIRECT($B$5&amp;"生成成长"),3))*(VLOOKUP($B$5,标准坦克设计!$B$14:$K$20,9)/30))</f>
        <v>5.3971119636854059</v>
      </c>
      <c r="BP207" s="173">
        <f ca="1">(VLOOKUP(BP$72,INDIRECT($C$5&amp;"生成成长"),2))/((VLOOKUP($B207,INDIRECT($B$5&amp;"生成成长"),4))/(VLOOKUP(BP$72,INDIRECT($C$5&amp;"生成成长"),5))*(VLOOKUP($B$5,标准坦克设计!$B$24:$U$30,MATCH("对"&amp;LEFT($C$5,2)&amp;"输出",标准坦克设计!$B$23:$U$23,0)))*(VLOOKUP($B207,INDIRECT($B$5&amp;"生成成长"),3))*(VLOOKUP($B$5,标准坦克设计!$B$14:$K$20,9)/30))</f>
        <v>5.8719431551975747</v>
      </c>
      <c r="BQ207" s="173">
        <f ca="1">(VLOOKUP(BQ$72,INDIRECT($C$5&amp;"生成成长"),2))/((VLOOKUP($B207,INDIRECT($B$5&amp;"生成成长"),4))/(VLOOKUP(BQ$72,INDIRECT($C$5&amp;"生成成长"),5))*(VLOOKUP($B$5,标准坦克设计!$B$24:$U$30,MATCH("对"&amp;LEFT($C$5,2)&amp;"输出",标准坦克设计!$B$23:$U$23,0)))*(VLOOKUP($B207,INDIRECT($B$5&amp;"生成成长"),3))*(VLOOKUP($B$5,标准坦克设计!$B$14:$K$20,9)/30))</f>
        <v>6.3667906498648223</v>
      </c>
      <c r="BR207" s="173">
        <f ca="1">(VLOOKUP(BR$72,INDIRECT($C$5&amp;"生成成长"),2))/((VLOOKUP($B207,INDIRECT($B$5&amp;"生成成长"),4))/(VLOOKUP(BR$72,INDIRECT($C$5&amp;"生成成长"),5))*(VLOOKUP($B$5,标准坦克设计!$B$24:$U$30,MATCH("对"&amp;LEFT($C$5,2)&amp;"输出",标准坦克设计!$B$23:$U$23,0)))*(VLOOKUP($B207,INDIRECT($B$5&amp;"生成成长"),3))*(VLOOKUP($B$5,标准坦克设计!$B$14:$K$20,9)/30))</f>
        <v>6.940097110602907</v>
      </c>
      <c r="BS207" s="173">
        <f ca="1">(VLOOKUP(BS$72,INDIRECT($C$5&amp;"生成成长"),2))/((VLOOKUP($B207,INDIRECT($B$5&amp;"生成成长"),4))/(VLOOKUP(BS$72,INDIRECT($C$5&amp;"生成成长"),5))*(VLOOKUP($B$5,标准坦克设计!$B$24:$U$30,MATCH("对"&amp;LEFT($C$5,2)&amp;"输出",标准坦克设计!$B$23:$U$23,0)))*(VLOOKUP($B207,INDIRECT($B$5&amp;"生成成长"),3))*(VLOOKUP($B$5,标准坦克设计!$B$14:$K$20,9)/30))</f>
        <v>7.5381150567176327</v>
      </c>
      <c r="BT207" s="173">
        <f ca="1">(VLOOKUP(BT$72,INDIRECT($C$5&amp;"生成成长"),2))/((VLOOKUP($B207,INDIRECT($B$5&amp;"生成成长"),4))/(VLOOKUP(BT$72,INDIRECT($C$5&amp;"生成成长"),5))*(VLOOKUP($B$5,标准坦克设计!$B$24:$U$30,MATCH("对"&amp;LEFT($C$5,2)&amp;"输出",标准坦克设计!$B$23:$U$23,0)))*(VLOOKUP($B207,INDIRECT($B$5&amp;"生成成长"),3))*(VLOOKUP($B$5,标准坦克设计!$B$14:$K$20,9)/30))</f>
        <v>8.1608444882090012</v>
      </c>
      <c r="BU207" s="173">
        <f ca="1">(VLOOKUP(BU$72,INDIRECT($C$5&amp;"生成成长"),2))/((VLOOKUP($B207,INDIRECT($B$5&amp;"生成成长"),4))/(VLOOKUP(BU$72,INDIRECT($C$5&amp;"生成成长"),5))*(VLOOKUP($B$5,标准坦克设计!$B$24:$U$30,MATCH("对"&amp;LEFT($C$5,2)&amp;"输出",标准坦克设计!$B$23:$U$23,0)))*(VLOOKUP($B207,INDIRECT($B$5&amp;"生成成长"),3))*(VLOOKUP($B$5,标准坦克设计!$B$14:$K$20,9)/30))</f>
        <v>8.8082854050770099</v>
      </c>
      <c r="BV207" s="173">
        <f ca="1">(VLOOKUP(BV$72,INDIRECT($C$5&amp;"生成成长"),2))/((VLOOKUP($B207,INDIRECT($B$5&amp;"生成成长"),4))/(VLOOKUP(BV$72,INDIRECT($C$5&amp;"生成成长"),5))*(VLOOKUP($B$5,标准坦克设计!$B$24:$U$30,MATCH("对"&amp;LEFT($C$5,2)&amp;"输出",标准坦克设计!$B$23:$U$23,0)))*(VLOOKUP($B207,INDIRECT($B$5&amp;"生成成长"),3))*(VLOOKUP($B$5,标准坦克设计!$B$14:$K$20,9)/30))</f>
        <v>9.4804378073216622</v>
      </c>
      <c r="BW207" s="173">
        <f ca="1">(VLOOKUP(BW$72,INDIRECT($C$5&amp;"生成成长"),2))/((VLOOKUP($B207,INDIRECT($B$5&amp;"生成成长"),4))/(VLOOKUP(BW$72,INDIRECT($C$5&amp;"生成成长"),5))*(VLOOKUP($B$5,标准坦克设计!$B$24:$U$30,MATCH("对"&amp;LEFT($C$5,2)&amp;"输出",标准坦克设计!$B$23:$U$23,0)))*(VLOOKUP($B207,INDIRECT($B$5&amp;"生成成长"),3))*(VLOOKUP($B$5,标准坦克设计!$B$14:$K$20,9)/30))</f>
        <v>4.3206796606788984</v>
      </c>
      <c r="BX207" s="173">
        <f ca="1">(VLOOKUP(BX$72,INDIRECT($C$5&amp;"生成成长"),2))/((VLOOKUP($B207,INDIRECT($B$5&amp;"生成成长"),4))/(VLOOKUP(BX$72,INDIRECT($C$5&amp;"生成成长"),5))*(VLOOKUP($B$5,标准坦克设计!$B$24:$U$30,MATCH("对"&amp;LEFT($C$5,2)&amp;"输出",标准坦克设计!$B$23:$U$23,0)))*(VLOOKUP($B207,INDIRECT($B$5&amp;"生成成长"),3))*(VLOOKUP($B$5,标准坦克设计!$B$14:$K$20,9)/30))</f>
        <v>4.7951401799104172</v>
      </c>
      <c r="BY207" s="173">
        <f ca="1">(VLOOKUP(BY$72,INDIRECT($C$5&amp;"生成成长"),2))/((VLOOKUP($B207,INDIRECT($B$5&amp;"生成成长"),4))/(VLOOKUP(BY$72,INDIRECT($C$5&amp;"生成成长"),5))*(VLOOKUP($B$5,标准坦克设计!$B$24:$U$30,MATCH("对"&amp;LEFT($C$5,2)&amp;"输出",标准坦克设计!$B$23:$U$23,0)))*(VLOOKUP($B207,INDIRECT($B$5&amp;"生成成长"),3))*(VLOOKUP($B$5,标准坦克设计!$B$14:$K$20,9)/30))</f>
        <v>5.294312184518577</v>
      </c>
      <c r="BZ207" s="173">
        <f ca="1">(VLOOKUP(BZ$72,INDIRECT($C$5&amp;"生成成长"),2))/((VLOOKUP($B207,INDIRECT($B$5&amp;"生成成长"),4))/(VLOOKUP(BZ$72,INDIRECT($C$5&amp;"生成成长"),5))*(VLOOKUP($B$5,标准坦克设计!$B$24:$U$30,MATCH("对"&amp;LEFT($C$5,2)&amp;"输出",标准坦克设计!$B$23:$U$23,0)))*(VLOOKUP($B207,INDIRECT($B$5&amp;"生成成长"),3))*(VLOOKUP($B$5,标准坦克设计!$B$14:$K$20,9)/30))</f>
        <v>5.8181956745033787</v>
      </c>
      <c r="CA207" s="173">
        <f ca="1">(VLOOKUP(CA$72,INDIRECT($C$5&amp;"生成成长"),2))/((VLOOKUP($B207,INDIRECT($B$5&amp;"生成成长"),4))/(VLOOKUP(CA$72,INDIRECT($C$5&amp;"生成成长"),5))*(VLOOKUP($B$5,标准坦克设计!$B$24:$U$30,MATCH("对"&amp;LEFT($C$5,2)&amp;"输出",标准坦克设计!$B$23:$U$23,0)))*(VLOOKUP($B207,INDIRECT($B$5&amp;"生成成长"),3))*(VLOOKUP($B$5,标准坦克设计!$B$14:$K$20,9)/30))</f>
        <v>6.3667906498648223</v>
      </c>
      <c r="CB207" s="173">
        <f ca="1">(VLOOKUP(CB$72,INDIRECT($C$5&amp;"生成成长"),2))/((VLOOKUP($B207,INDIRECT($B$5&amp;"生成成长"),4))/(VLOOKUP(CB$72,INDIRECT($C$5&amp;"生成成长"),5))*(VLOOKUP($B$5,标准坦克设计!$B$24:$U$30,MATCH("对"&amp;LEFT($C$5,2)&amp;"输出",标准坦克设计!$B$23:$U$23,0)))*(VLOOKUP($B207,INDIRECT($B$5&amp;"生成成长"),3))*(VLOOKUP($B$5,标准坦克设计!$B$14:$K$20,9)/30))</f>
        <v>6.940097110602907</v>
      </c>
      <c r="CC207" s="173">
        <f ca="1">(VLOOKUP(CC$72,INDIRECT($C$5&amp;"生成成长"),2))/((VLOOKUP($B207,INDIRECT($B$5&amp;"生成成长"),4))/(VLOOKUP(CC$72,INDIRECT($C$5&amp;"生成成长"),5))*(VLOOKUP($B$5,标准坦克设计!$B$24:$U$30,MATCH("对"&amp;LEFT($C$5,2)&amp;"输出",标准坦克设计!$B$23:$U$23,0)))*(VLOOKUP($B207,INDIRECT($B$5&amp;"生成成长"),3))*(VLOOKUP($B$5,标准坦克设计!$B$14:$K$20,9)/30))</f>
        <v>7.5381150567176327</v>
      </c>
      <c r="CD207" s="173">
        <f ca="1">(VLOOKUP(CD$72,INDIRECT($C$5&amp;"生成成长"),2))/((VLOOKUP($B207,INDIRECT($B$5&amp;"生成成长"),4))/(VLOOKUP(CD$72,INDIRECT($C$5&amp;"生成成长"),5))*(VLOOKUP($B$5,标准坦克设计!$B$24:$U$30,MATCH("对"&amp;LEFT($C$5,2)&amp;"输出",标准坦克设计!$B$23:$U$23,0)))*(VLOOKUP($B207,INDIRECT($B$5&amp;"生成成长"),3))*(VLOOKUP($B$5,标准坦克设计!$B$14:$K$20,9)/30))</f>
        <v>8.1608444882090012</v>
      </c>
      <c r="CE207" s="173">
        <f ca="1">(VLOOKUP(CE$72,INDIRECT($C$5&amp;"生成成长"),2))/((VLOOKUP($B207,INDIRECT($B$5&amp;"生成成长"),4))/(VLOOKUP(CE$72,INDIRECT($C$5&amp;"生成成长"),5))*(VLOOKUP($B$5,标准坦克设计!$B$24:$U$30,MATCH("对"&amp;LEFT($C$5,2)&amp;"输出",标准坦克设计!$B$23:$U$23,0)))*(VLOOKUP($B207,INDIRECT($B$5&amp;"生成成长"),3))*(VLOOKUP($B$5,标准坦克设计!$B$14:$K$20,9)/30))</f>
        <v>8.8082854050770099</v>
      </c>
      <c r="CF207" s="173">
        <f ca="1">(VLOOKUP(CF$72,INDIRECT($C$5&amp;"生成成长"),2))/((VLOOKUP($B207,INDIRECT($B$5&amp;"生成成长"),4))/(VLOOKUP(CF$72,INDIRECT($C$5&amp;"生成成长"),5))*(VLOOKUP($B$5,标准坦克设计!$B$24:$U$30,MATCH("对"&amp;LEFT($C$5,2)&amp;"输出",标准坦克设计!$B$23:$U$23,0)))*(VLOOKUP($B207,INDIRECT($B$5&amp;"生成成长"),3))*(VLOOKUP($B$5,标准坦克设计!$B$14:$K$20,9)/30))</f>
        <v>9.4804378073216622</v>
      </c>
      <c r="CG207" s="173">
        <f ca="1">(VLOOKUP(CG$72,INDIRECT($C$5&amp;"生成成长"),2))/((VLOOKUP($B207,INDIRECT($B$5&amp;"生成成长"),4))/(VLOOKUP(CG$72,INDIRECT($C$5&amp;"生成成长"),5))*(VLOOKUP($B$5,标准坦克设计!$B$24:$U$30,MATCH("对"&amp;LEFT($C$5,2)&amp;"输出",标准坦克设计!$B$23:$U$23,0)))*(VLOOKUP($B207,INDIRECT($B$5&amp;"生成成长"),3))*(VLOOKUP($B$5,标准坦克设计!$B$14:$K$20,9)/30))</f>
        <v>10.177301694942953</v>
      </c>
      <c r="CH207" s="173">
        <f ca="1">(VLOOKUP(CH$72,INDIRECT($C$5&amp;"生成成长"),2))/((VLOOKUP($B207,INDIRECT($B$5&amp;"生成成长"),4))/(VLOOKUP(CH$72,INDIRECT($C$5&amp;"生成成长"),5))*(VLOOKUP($B$5,标准坦克设计!$B$24:$U$30,MATCH("对"&amp;LEFT($C$5,2)&amp;"输出",标准坦克设计!$B$23:$U$23,0)))*(VLOOKUP($B207,INDIRECT($B$5&amp;"生成成长"),3))*(VLOOKUP($B$5,标准坦克设计!$B$14:$K$20,9)/30))</f>
        <v>10.898877067940891</v>
      </c>
      <c r="CI207" s="173">
        <f ca="1">(VLOOKUP(CI$72,INDIRECT($C$5&amp;"生成成长"),2))/((VLOOKUP($B207,INDIRECT($B$5&amp;"生成成长"),4))/(VLOOKUP(CI$72,INDIRECT($C$5&amp;"生成成长"),5))*(VLOOKUP($B$5,标准坦克设计!$B$24:$U$30,MATCH("对"&amp;LEFT($C$5,2)&amp;"输出",标准坦克设计!$B$23:$U$23,0)))*(VLOOKUP($B207,INDIRECT($B$5&amp;"生成成长"),3))*(VLOOKUP($B$5,标准坦克设计!$B$14:$K$20,9)/30))</f>
        <v>11.721151743848637</v>
      </c>
      <c r="CJ207" s="173">
        <f ca="1">(VLOOKUP(CJ$72,INDIRECT($C$5&amp;"生成成长"),2))/((VLOOKUP($B207,INDIRECT($B$5&amp;"生成成长"),4))/(VLOOKUP(CJ$72,INDIRECT($C$5&amp;"生成成长"),5))*(VLOOKUP($B$5,标准坦克设计!$B$24:$U$30,MATCH("对"&amp;LEFT($C$5,2)&amp;"输出",标准坦克设计!$B$23:$U$23,0)))*(VLOOKUP($B207,INDIRECT($B$5&amp;"生成成长"),3))*(VLOOKUP($B$5,标准坦克设计!$B$14:$K$20,9)/30))</f>
        <v>12.573327317062125</v>
      </c>
      <c r="CK207" s="173">
        <f ca="1">(VLOOKUP(CK$72,INDIRECT($C$5&amp;"生成成长"),2))/((VLOOKUP($B207,INDIRECT($B$5&amp;"生成成长"),4))/(VLOOKUP(CK$72,INDIRECT($C$5&amp;"生成成长"),5))*(VLOOKUP($B$5,标准坦克设计!$B$24:$U$30,MATCH("对"&amp;LEFT($C$5,2)&amp;"输出",标准坦克设计!$B$23:$U$23,0)))*(VLOOKUP($B207,INDIRECT($B$5&amp;"生成成长"),3))*(VLOOKUP($B$5,标准坦克设计!$B$14:$K$20,9)/30))</f>
        <v>13.455403787581346</v>
      </c>
      <c r="CL207" s="173">
        <f ca="1">(VLOOKUP(CL$72,INDIRECT($C$5&amp;"生成成长"),2))/((VLOOKUP($B207,INDIRECT($B$5&amp;"生成成长"),4))/(VLOOKUP(CL$72,INDIRECT($C$5&amp;"生成成长"),5))*(VLOOKUP($B$5,标准坦克设计!$B$24:$U$30,MATCH("对"&amp;LEFT($C$5,2)&amp;"输出",标准坦克设计!$B$23:$U$23,0)))*(VLOOKUP($B207,INDIRECT($B$5&amp;"生成成长"),3))*(VLOOKUP($B$5,标准坦克设计!$B$14:$K$20,9)/30))</f>
        <v>14.367381155406305</v>
      </c>
      <c r="CM207" s="173">
        <f ca="1">(VLOOKUP(CM$72,INDIRECT($C$5&amp;"生成成长"),2))/((VLOOKUP($B207,INDIRECT($B$5&amp;"生成成长"),4))/(VLOOKUP(CM$72,INDIRECT($C$5&amp;"生成成长"),5))*(VLOOKUP($B$5,标准坦克设计!$B$24:$U$30,MATCH("对"&amp;LEFT($C$5,2)&amp;"输出",标准坦克设计!$B$23:$U$23,0)))*(VLOOKUP($B207,INDIRECT($B$5&amp;"生成成长"),3))*(VLOOKUP($B$5,标准坦克设计!$B$14:$K$20,9)/30))</f>
        <v>15.309259420536996</v>
      </c>
      <c r="CN207" s="173">
        <f ca="1">(VLOOKUP(CN$72,INDIRECT($C$5&amp;"生成成长"),2))/((VLOOKUP($B207,INDIRECT($B$5&amp;"生成成长"),4))/(VLOOKUP(CN$72,INDIRECT($C$5&amp;"生成成长"),5))*(VLOOKUP($B$5,标准坦克设计!$B$24:$U$30,MATCH("对"&amp;LEFT($C$5,2)&amp;"输出",标准坦克设计!$B$23:$U$23,0)))*(VLOOKUP($B207,INDIRECT($B$5&amp;"生成成长"),3))*(VLOOKUP($B$5,标准坦克设计!$B$14:$K$20,9)/30))</f>
        <v>16.28103858297343</v>
      </c>
      <c r="CO207" s="173">
        <f ca="1">(VLOOKUP(CO$72,INDIRECT($C$5&amp;"生成成长"),2))/((VLOOKUP($B207,INDIRECT($B$5&amp;"生成成长"),4))/(VLOOKUP(CO$72,INDIRECT($C$5&amp;"生成成长"),5))*(VLOOKUP($B$5,标准坦克设计!$B$24:$U$30,MATCH("对"&amp;LEFT($C$5,2)&amp;"输出",标准坦克设计!$B$23:$U$23,0)))*(VLOOKUP($B207,INDIRECT($B$5&amp;"生成成长"),3))*(VLOOKUP($B$5,标准坦克设计!$B$14:$K$20,9)/30))</f>
        <v>7.2959425000265457</v>
      </c>
      <c r="CP207" s="173">
        <f ca="1">(VLOOKUP(CP$72,INDIRECT($C$5&amp;"生成成长"),2))/((VLOOKUP($B207,INDIRECT($B$5&amp;"生成成长"),4))/(VLOOKUP(CP$72,INDIRECT($C$5&amp;"生成成长"),5))*(VLOOKUP($B$5,标准坦克设计!$B$24:$U$30,MATCH("对"&amp;LEFT($C$5,2)&amp;"输出",标准坦克设计!$B$23:$U$23,0)))*(VLOOKUP($B207,INDIRECT($B$5&amp;"生成成长"),3))*(VLOOKUP($B$5,标准坦克设计!$B$14:$K$20,9)/30))</f>
        <v>7.9714309527970419</v>
      </c>
      <c r="CQ207" s="173">
        <f ca="1">(VLOOKUP(CQ$72,INDIRECT($C$5&amp;"生成成长"),2))/((VLOOKUP($B207,INDIRECT($B$5&amp;"生成成长"),4))/(VLOOKUP(CQ$72,INDIRECT($C$5&amp;"生成成长"),5))*(VLOOKUP($B$5,标准坦克设计!$B$24:$U$30,MATCH("对"&amp;LEFT($C$5,2)&amp;"输出",标准坦克设计!$B$23:$U$23,0)))*(VLOOKUP($B207,INDIRECT($B$5&amp;"生成成长"),3))*(VLOOKUP($B$5,标准坦克设计!$B$14:$K$20,9)/30))</f>
        <v>8.6768203028732778</v>
      </c>
      <c r="CR207" s="173">
        <f ca="1">(VLOOKUP(CR$72,INDIRECT($C$5&amp;"生成成长"),2))/((VLOOKUP($B207,INDIRECT($B$5&amp;"生成成长"),4))/(VLOOKUP(CR$72,INDIRECT($C$5&amp;"生成成长"),5))*(VLOOKUP($B$5,标准坦克设计!$B$24:$U$30,MATCH("对"&amp;LEFT($C$5,2)&amp;"输出",标准坦克设计!$B$23:$U$23,0)))*(VLOOKUP($B207,INDIRECT($B$5&amp;"生成成长"),3))*(VLOOKUP($B$5,标准坦克设计!$B$14:$K$20,9)/30))</f>
        <v>9.4121105502552478</v>
      </c>
      <c r="CS207" s="173">
        <f ca="1">(VLOOKUP(CS$72,INDIRECT($C$5&amp;"生成成长"),2))/((VLOOKUP($B207,INDIRECT($B$5&amp;"生成成长"),4))/(VLOOKUP(CS$72,INDIRECT($C$5&amp;"生成成长"),5))*(VLOOKUP($B$5,标准坦克设计!$B$24:$U$30,MATCH("对"&amp;LEFT($C$5,2)&amp;"输出",标准坦克设计!$B$23:$U$23,0)))*(VLOOKUP($B207,INDIRECT($B$5&amp;"生成成长"),3))*(VLOOKUP($B$5,标准坦克设计!$B$14:$K$20,9)/30))</f>
        <v>10.177301694942953</v>
      </c>
      <c r="CT207" s="173">
        <f ca="1">(VLOOKUP(CT$72,INDIRECT($C$5&amp;"生成成长"),2))/((VLOOKUP($B207,INDIRECT($B$5&amp;"生成成长"),4))/(VLOOKUP(CT$72,INDIRECT($C$5&amp;"生成成长"),5))*(VLOOKUP($B$5,标准坦克设计!$B$24:$U$30,MATCH("对"&amp;LEFT($C$5,2)&amp;"输出",标准坦克设计!$B$23:$U$23,0)))*(VLOOKUP($B207,INDIRECT($B$5&amp;"生成成长"),3))*(VLOOKUP($B$5,标准坦克设计!$B$14:$K$20,9)/30))</f>
        <v>10.972393736936397</v>
      </c>
      <c r="CU207" s="173">
        <f ca="1">(VLOOKUP(CU$72,INDIRECT($C$5&amp;"生成成长"),2))/((VLOOKUP($B207,INDIRECT($B$5&amp;"生成成长"),4))/(VLOOKUP(CU$72,INDIRECT($C$5&amp;"生成成长"),5))*(VLOOKUP($B$5,标准坦克设计!$B$24:$U$30,MATCH("对"&amp;LEFT($C$5,2)&amp;"输出",标准坦克设计!$B$23:$U$23,0)))*(VLOOKUP($B207,INDIRECT($B$5&amp;"生成成长"),3))*(VLOOKUP($B$5,标准坦克设计!$B$14:$K$20,9)/30))</f>
        <v>11.797386676235577</v>
      </c>
      <c r="CV207" s="173">
        <f ca="1">(VLOOKUP(CV$72,INDIRECT($C$5&amp;"生成成长"),2))/((VLOOKUP($B207,INDIRECT($B$5&amp;"生成成长"),4))/(VLOOKUP(CV$72,INDIRECT($C$5&amp;"生成成长"),5))*(VLOOKUP($B$5,标准坦克设计!$B$24:$U$30,MATCH("对"&amp;LEFT($C$5,2)&amp;"输出",标准坦克设计!$B$23:$U$23,0)))*(VLOOKUP($B207,INDIRECT($B$5&amp;"生成成长"),3))*(VLOOKUP($B$5,标准坦克设计!$B$14:$K$20,9)/30))</f>
        <v>12.652280512840493</v>
      </c>
      <c r="CW207" s="173">
        <f ca="1">(VLOOKUP(CW$72,INDIRECT($C$5&amp;"生成成长"),2))/((VLOOKUP($B207,INDIRECT($B$5&amp;"生成成长"),4))/(VLOOKUP(CW$72,INDIRECT($C$5&amp;"生成成长"),5))*(VLOOKUP($B$5,标准坦克设计!$B$24:$U$30,MATCH("对"&amp;LEFT($C$5,2)&amp;"输出",标准坦克设计!$B$23:$U$23,0)))*(VLOOKUP($B207,INDIRECT($B$5&amp;"生成成长"),3))*(VLOOKUP($B$5,标准坦克设计!$B$14:$K$20,9)/30))</f>
        <v>13.537075246751147</v>
      </c>
      <c r="CX207" s="173">
        <f ca="1">(VLOOKUP(CX$72,INDIRECT($C$5&amp;"生成成长"),2))/((VLOOKUP($B207,INDIRECT($B$5&amp;"生成成长"),4))/(VLOOKUP(CX$72,INDIRECT($C$5&amp;"生成成长"),5))*(VLOOKUP($B$5,标准坦克设计!$B$24:$U$30,MATCH("对"&amp;LEFT($C$5,2)&amp;"输出",标准坦克设计!$B$23:$U$23,0)))*(VLOOKUP($B207,INDIRECT($B$5&amp;"生成成长"),3))*(VLOOKUP($B$5,标准坦克设计!$B$14:$K$20,9)/30))</f>
        <v>14.451770877967535</v>
      </c>
      <c r="CY207" s="173">
        <f ca="1">(VLOOKUP(CY$72,INDIRECT($C$5&amp;"生成成长"),2))/((VLOOKUP($B207,INDIRECT($B$5&amp;"生成成长"),4))/(VLOOKUP(CY$72,INDIRECT($C$5&amp;"生成成长"),5))*(VLOOKUP($B$5,标准坦克设计!$B$24:$U$30,MATCH("对"&amp;LEFT($C$5,2)&amp;"输出",标准坦克设计!$B$23:$U$23,0)))*(VLOOKUP($B207,INDIRECT($B$5&amp;"生成成长"),3))*(VLOOKUP($B$5,标准坦克设计!$B$14:$K$20,9)/30))</f>
        <v>15.396367406489659</v>
      </c>
      <c r="CZ207" s="173">
        <f ca="1">(VLOOKUP(CZ$72,INDIRECT($C$5&amp;"生成成长"),2))/((VLOOKUP($B207,INDIRECT($B$5&amp;"生成成长"),4))/(VLOOKUP(CZ$72,INDIRECT($C$5&amp;"生成成长"),5))*(VLOOKUP($B$5,标准坦克设计!$B$24:$U$30,MATCH("对"&amp;LEFT($C$5,2)&amp;"输出",标准坦克设计!$B$23:$U$23,0)))*(VLOOKUP($B207,INDIRECT($B$5&amp;"生成成长"),3))*(VLOOKUP($B$5,标准坦克设计!$B$14:$K$20,9)/30))</f>
        <v>16.370864832317519</v>
      </c>
      <c r="DA207" s="173">
        <f ca="1">(VLOOKUP(DA$72,INDIRECT($C$5&amp;"生成成长"),2))/((VLOOKUP($B207,INDIRECT($B$5&amp;"生成成长"),4))/(VLOOKUP(DA$72,INDIRECT($C$5&amp;"生成成长"),5))*(VLOOKUP($B$5,标准坦克设计!$B$24:$U$30,MATCH("对"&amp;LEFT($C$5,2)&amp;"输出",标准坦克设计!$B$23:$U$23,0)))*(VLOOKUP($B207,INDIRECT($B$5&amp;"生成成长"),3))*(VLOOKUP($B$5,标准坦克设计!$B$14:$K$20,9)/30))</f>
        <v>17.375263155451115</v>
      </c>
      <c r="DB207" s="173">
        <f ca="1">(VLOOKUP(DB$72,INDIRECT($C$5&amp;"生成成长"),2))/((VLOOKUP($B207,INDIRECT($B$5&amp;"生成成长"),4))/(VLOOKUP(DB$72,INDIRECT($C$5&amp;"生成成长"),5))*(VLOOKUP($B$5,标准坦克设计!$B$24:$U$30,MATCH("对"&amp;LEFT($C$5,2)&amp;"输出",标准坦克设计!$B$23:$U$23,0)))*(VLOOKUP($B207,INDIRECT($B$5&amp;"生成成长"),3))*(VLOOKUP($B$5,标准坦克设计!$B$14:$K$20,9)/30))</f>
        <v>18.409562375890449</v>
      </c>
      <c r="DC207" s="173">
        <f ca="1">(VLOOKUP(DC$72,INDIRECT($C$5&amp;"生成成长"),2))/((VLOOKUP($B207,INDIRECT($B$5&amp;"生成成长"),4))/(VLOOKUP(DC$72,INDIRECT($C$5&amp;"生成成长"),5))*(VLOOKUP($B$5,标准坦克设计!$B$24:$U$30,MATCH("对"&amp;LEFT($C$5,2)&amp;"输出",标准坦克设计!$B$23:$U$23,0)))*(VLOOKUP($B207,INDIRECT($B$5&amp;"生成成长"),3))*(VLOOKUP($B$5,标准坦克设计!$B$14:$K$20,9)/30))</f>
        <v>19.57199064800767</v>
      </c>
      <c r="DD207" s="173">
        <f ca="1">(VLOOKUP(DD$72,INDIRECT($C$5&amp;"生成成长"),2))/((VLOOKUP($B207,INDIRECT($B$5&amp;"生成成长"),4))/(VLOOKUP(DD$72,INDIRECT($C$5&amp;"生成成长"),5))*(VLOOKUP($B$5,标准坦克设计!$B$24:$U$30,MATCH("对"&amp;LEFT($C$5,2)&amp;"输出",标准坦克设计!$B$23:$U$23,0)))*(VLOOKUP($B207,INDIRECT($B$5&amp;"生成成长"),3))*(VLOOKUP($B$5,标准坦克设计!$B$14:$K$20,9)/30))</f>
        <v>20.770003459067254</v>
      </c>
      <c r="DE207" s="173">
        <f ca="1">(VLOOKUP(DE$72,INDIRECT($C$5&amp;"生成成长"),2))/((VLOOKUP($B207,INDIRECT($B$5&amp;"生成成长"),4))/(VLOOKUP(DE$72,INDIRECT($C$5&amp;"生成成长"),5))*(VLOOKUP($B$5,标准坦克设计!$B$24:$U$30,MATCH("对"&amp;LEFT($C$5,2)&amp;"输出",标准坦克设计!$B$23:$U$23,0)))*(VLOOKUP($B207,INDIRECT($B$5&amp;"生成成长"),3))*(VLOOKUP($B$5,标准坦克设计!$B$14:$K$20,9)/30))</f>
        <v>22.003600809069201</v>
      </c>
      <c r="DF207" s="173">
        <f ca="1">(VLOOKUP(DF$72,INDIRECT($C$5&amp;"生成成长"),2))/((VLOOKUP($B207,INDIRECT($B$5&amp;"生成成长"),4))/(VLOOKUP(DF$72,INDIRECT($C$5&amp;"生成成长"),5))*(VLOOKUP($B$5,标准坦克设计!$B$24:$U$30,MATCH("对"&amp;LEFT($C$5,2)&amp;"输出",标准坦克设计!$B$23:$U$23,0)))*(VLOOKUP($B207,INDIRECT($B$5&amp;"生成成长"),3))*(VLOOKUP($B$5,标准坦克设计!$B$14:$K$20,9)/30))</f>
        <v>23.272782698013515</v>
      </c>
      <c r="DG207" s="173">
        <f ca="1">(VLOOKUP(DG$72,INDIRECT($C$5&amp;"生成成长"),2))/((VLOOKUP($B207,INDIRECT($B$5&amp;"生成成长"),4))/(VLOOKUP(DG$72,INDIRECT($C$5&amp;"生成成长"),5))*(VLOOKUP($B$5,标准坦克设计!$B$24:$U$30,MATCH("对"&amp;LEFT($C$5,2)&amp;"输出",标准坦克设计!$B$23:$U$23,0)))*(VLOOKUP($B207,INDIRECT($B$5&amp;"生成成长"),3))*(VLOOKUP($B$5,标准坦克设计!$B$14:$K$20,9)/30))</f>
        <v>24.577549125900195</v>
      </c>
      <c r="DH207" s="173">
        <f ca="1">(VLOOKUP(DH$72,INDIRECT($C$5&amp;"生成成长"),2))/((VLOOKUP($B207,INDIRECT($B$5&amp;"生成成长"),4))/(VLOOKUP(DH$72,INDIRECT($C$5&amp;"生成成长"),5))*(VLOOKUP($B$5,标准坦克设计!$B$24:$U$30,MATCH("对"&amp;LEFT($C$5,2)&amp;"输出",标准坦克设计!$B$23:$U$23,0)))*(VLOOKUP($B207,INDIRECT($B$5&amp;"生成成长"),3))*(VLOOKUP($B$5,标准坦克设计!$B$14:$K$20,9)/30))</f>
        <v>25.91790009272923</v>
      </c>
      <c r="DI207" s="173">
        <f ca="1">(VLOOKUP(DI$72,INDIRECT($C$5&amp;"生成成长"),2))/((VLOOKUP($B207,INDIRECT($B$5&amp;"生成成长"),4))/(VLOOKUP(DI$72,INDIRECT($C$5&amp;"生成成长"),5))*(VLOOKUP($B$5,标准坦克设计!$B$24:$U$30,MATCH("对"&amp;LEFT($C$5,2)&amp;"输出",标准坦克设计!$B$23:$U$23,0)))*(VLOOKUP($B207,INDIRECT($B$5&amp;"生成成长"),3))*(VLOOKUP($B$5,标准坦克设计!$B$14:$K$20,9)/30))</f>
        <v>27.293835598500635</v>
      </c>
      <c r="DJ207" s="173">
        <f ca="1">(VLOOKUP(DJ$72,INDIRECT($C$5&amp;"生成成长"),2))/((VLOOKUP($B207,INDIRECT($B$5&amp;"生成成长"),4))/(VLOOKUP(DJ$72,INDIRECT($C$5&amp;"生成成长"),5))*(VLOOKUP($B$5,标准坦克设计!$B$24:$U$30,MATCH("对"&amp;LEFT($C$5,2)&amp;"输出",标准坦克设计!$B$23:$U$23,0)))*(VLOOKUP($B207,INDIRECT($B$5&amp;"生成成长"),3))*(VLOOKUP($B$5,标准坦克设计!$B$14:$K$20,9)/30))</f>
        <v>2.7430984342340992</v>
      </c>
      <c r="DK207" s="173">
        <f ca="1">(VLOOKUP(DK$72,INDIRECT($C$5&amp;"生成成长"),2))/((VLOOKUP($B207,INDIRECT($B$5&amp;"生成成长"),4))/(VLOOKUP(DK$72,INDIRECT($C$5&amp;"生成成长"),5))*(VLOOKUP($B$5,标准坦克设计!$B$24:$U$30,MATCH("对"&amp;LEFT($C$5,2)&amp;"输出",标准坦克设计!$B$23:$U$23,0)))*(VLOOKUP($B207,INDIRECT($B$5&amp;"生成成长"),3))*(VLOOKUP($B$5,标准坦克设计!$B$14:$K$20,9)/30))</f>
        <v>3.084487604712403</v>
      </c>
      <c r="DL207" s="173">
        <f ca="1">(VLOOKUP(DL$72,INDIRECT($C$5&amp;"生成成长"),2))/((VLOOKUP($B207,INDIRECT($B$5&amp;"生成成长"),4))/(VLOOKUP(DL$72,INDIRECT($C$5&amp;"生成成长"),5))*(VLOOKUP($B$5,标准坦克设计!$B$24:$U$30,MATCH("对"&amp;LEFT($C$5,2)&amp;"输出",标准坦克设计!$B$23:$U$23,0)))*(VLOOKUP($B207,INDIRECT($B$5&amp;"生成成长"),3))*(VLOOKUP($B$5,标准坦克设计!$B$14:$K$20,9)/30))</f>
        <v>3.4458930783457866</v>
      </c>
      <c r="DM207" s="173">
        <f ca="1">(VLOOKUP(DM$72,INDIRECT($C$5&amp;"生成成长"),2))/((VLOOKUP($B207,INDIRECT($B$5&amp;"生成成长"),4))/(VLOOKUP(DM$72,INDIRECT($C$5&amp;"生成成长"),5))*(VLOOKUP($B$5,标准坦克设计!$B$24:$U$30,MATCH("对"&amp;LEFT($C$5,2)&amp;"输出",标准坦克设计!$B$23:$U$23,0)))*(VLOOKUP($B207,INDIRECT($B$5&amp;"生成成长"),3))*(VLOOKUP($B$5,标准坦克设计!$B$14:$K$20,9)/30))</f>
        <v>3.8273148551342491</v>
      </c>
      <c r="DN207" s="173">
        <f ca="1">(VLOOKUP(DN$72,INDIRECT($C$5&amp;"生成成长"),2))/((VLOOKUP($B207,INDIRECT($B$5&amp;"生成成长"),4))/(VLOOKUP(DN$72,INDIRECT($C$5&amp;"生成成长"),5))*(VLOOKUP($B$5,标准坦克设计!$B$24:$U$30,MATCH("对"&amp;LEFT($C$5,2)&amp;"输出",标准坦克设计!$B$23:$U$23,0)))*(VLOOKUP($B207,INDIRECT($B$5&amp;"生成成长"),3))*(VLOOKUP($B$5,标准坦克设计!$B$14:$K$20,9)/30))</f>
        <v>4.2287529350777922</v>
      </c>
      <c r="DO207" s="173">
        <f ca="1">(VLOOKUP(DO$72,INDIRECT($C$5&amp;"生成成长"),2))/((VLOOKUP($B207,INDIRECT($B$5&amp;"生成成长"),4))/(VLOOKUP(DO$72,INDIRECT($C$5&amp;"生成成长"),5))*(VLOOKUP($B$5,标准坦克设计!$B$24:$U$30,MATCH("对"&amp;LEFT($C$5,2)&amp;"输出",标准坦克设计!$B$23:$U$23,0)))*(VLOOKUP($B207,INDIRECT($B$5&amp;"生成成长"),3))*(VLOOKUP($B$5,标准坦克设计!$B$14:$K$20,9)/30))</f>
        <v>4.650207318176415</v>
      </c>
      <c r="DP207" s="173">
        <f ca="1">(VLOOKUP(DP$72,INDIRECT($C$5&amp;"生成成长"),2))/((VLOOKUP($B207,INDIRECT($B$5&amp;"生成成长"),4))/(VLOOKUP(DP$72,INDIRECT($C$5&amp;"生成成长"),5))*(VLOOKUP($B$5,标准坦克设计!$B$24:$U$30,MATCH("对"&amp;LEFT($C$5,2)&amp;"输出",标准坦克设计!$B$23:$U$23,0)))*(VLOOKUP($B207,INDIRECT($B$5&amp;"生成成长"),3))*(VLOOKUP($B$5,标准坦克设计!$B$14:$K$20,9)/30))</f>
        <v>5.0916780044301158</v>
      </c>
      <c r="DQ207" s="173">
        <f ca="1">(VLOOKUP(DQ$72,INDIRECT($C$5&amp;"生成成长"),2))/((VLOOKUP($B207,INDIRECT($B$5&amp;"生成成长"),4))/(VLOOKUP(DQ$72,INDIRECT($C$5&amp;"生成成长"),5))*(VLOOKUP($B$5,标准坦克设计!$B$24:$U$30,MATCH("对"&amp;LEFT($C$5,2)&amp;"输出",标准坦克设计!$B$23:$U$23,0)))*(VLOOKUP($B207,INDIRECT($B$5&amp;"生成成长"),3))*(VLOOKUP($B$5,标准坦克设计!$B$14:$K$20,9)/30))</f>
        <v>5.5531649938388972</v>
      </c>
      <c r="DR207" s="173">
        <f ca="1">(VLOOKUP(DR$72,INDIRECT($C$5&amp;"生成成长"),2))/((VLOOKUP($B207,INDIRECT($B$5&amp;"生成成长"),4))/(VLOOKUP(DR$72,INDIRECT($C$5&amp;"生成成长"),5))*(VLOOKUP($B$5,标准坦克设计!$B$24:$U$30,MATCH("对"&amp;LEFT($C$5,2)&amp;"输出",标准坦克设计!$B$23:$U$23,0)))*(VLOOKUP($B207,INDIRECT($B$5&amp;"生成成长"),3))*(VLOOKUP($B$5,标准坦克设计!$B$14:$K$20,9)/30))</f>
        <v>6.0346682864027592</v>
      </c>
      <c r="DS207" s="173">
        <f ca="1">(VLOOKUP(DS$72,INDIRECT($C$5&amp;"生成成长"),2))/((VLOOKUP($B207,INDIRECT($B$5&amp;"生成成长"),4))/(VLOOKUP(DS$72,INDIRECT($C$5&amp;"生成成长"),5))*(VLOOKUP($B$5,标准坦克设计!$B$24:$U$30,MATCH("对"&amp;LEFT($C$5,2)&amp;"输出",标准坦克设计!$B$23:$U$23,0)))*(VLOOKUP($B207,INDIRECT($B$5&amp;"生成成长"),3))*(VLOOKUP($B$5,标准坦克设计!$B$14:$K$20,9)/30))</f>
        <v>6.5361878821217001</v>
      </c>
      <c r="DT207" s="173">
        <f ca="1">(VLOOKUP(DT$72,INDIRECT($C$5&amp;"生成成长"),2))/((VLOOKUP($B207,INDIRECT($B$5&amp;"生成成长"),4))/(VLOOKUP(DT$72,INDIRECT($C$5&amp;"生成成长"),5))*(VLOOKUP($B$5,标准坦克设计!$B$24:$U$30,MATCH("对"&amp;LEFT($C$5,2)&amp;"输出",标准坦克设计!$B$23:$U$23,0)))*(VLOOKUP($B207,INDIRECT($B$5&amp;"生成成长"),3))*(VLOOKUP($B$5,标准坦克设计!$B$14:$K$20,9)/30))</f>
        <v>7.1763389108036018</v>
      </c>
      <c r="DU207" s="173">
        <f ca="1">(VLOOKUP(DU$72,INDIRECT($C$5&amp;"生成成长"),2))/((VLOOKUP($B207,INDIRECT($B$5&amp;"生成成长"),4))/(VLOOKUP(DU$72,INDIRECT($C$5&amp;"生成成长"),5))*(VLOOKUP($B$5,标准坦克设计!$B$24:$U$30,MATCH("对"&amp;LEFT($C$5,2)&amp;"输出",标准坦克设计!$B$23:$U$23,0)))*(VLOOKUP($B207,INDIRECT($B$5&amp;"生成成长"),3))*(VLOOKUP($B$5,标准坦克设计!$B$14:$K$20,9)/30))</f>
        <v>7.8463908367912376</v>
      </c>
      <c r="DV207" s="173">
        <f ca="1">(VLOOKUP(DV$72,INDIRECT($C$5&amp;"生成成长"),2))/((VLOOKUP($B207,INDIRECT($B$5&amp;"生成成长"),4))/(VLOOKUP(DV$72,INDIRECT($C$5&amp;"生成成长"),5))*(VLOOKUP($B$5,标准坦克设计!$B$24:$U$30,MATCH("对"&amp;LEFT($C$5,2)&amp;"输出",标准坦克设计!$B$23:$U$23,0)))*(VLOOKUP($B207,INDIRECT($B$5&amp;"生成成长"),3))*(VLOOKUP($B$5,标准坦克设计!$B$14:$K$20,9)/30))</f>
        <v>8.5463436600846094</v>
      </c>
      <c r="DW207" s="173">
        <f ca="1">(VLOOKUP(DW$72,INDIRECT($C$5&amp;"生成成长"),2))/((VLOOKUP($B207,INDIRECT($B$5&amp;"生成成长"),4))/(VLOOKUP(DW$72,INDIRECT($C$5&amp;"生成成长"),5))*(VLOOKUP($B$5,标准坦克设计!$B$24:$U$30,MATCH("对"&amp;LEFT($C$5,2)&amp;"输出",标准坦克设计!$B$23:$U$23,0)))*(VLOOKUP($B207,INDIRECT($B$5&amp;"生成成长"),3))*(VLOOKUP($B$5,标准坦克设计!$B$14:$K$20,9)/30))</f>
        <v>9.276197380683719</v>
      </c>
      <c r="DX207" s="173">
        <f ca="1">(VLOOKUP(DX$72,INDIRECT($C$5&amp;"生成成长"),2))/((VLOOKUP($B207,INDIRECT($B$5&amp;"生成成长"),4))/(VLOOKUP(DX$72,INDIRECT($C$5&amp;"生成成长"),5))*(VLOOKUP($B$5,标准坦克设计!$B$24:$U$30,MATCH("对"&amp;LEFT($C$5,2)&amp;"输出",标准坦克设计!$B$23:$U$23,0)))*(VLOOKUP($B207,INDIRECT($B$5&amp;"生成成长"),3))*(VLOOKUP($B$5,标准坦克设计!$B$14:$K$20,9)/30))</f>
        <v>10.035951998588565</v>
      </c>
      <c r="DY207" s="173">
        <f ca="1">(VLOOKUP(DY$72,INDIRECT($C$5&amp;"生成成长"),2))/((VLOOKUP($B207,INDIRECT($B$5&amp;"生成成长"),4))/(VLOOKUP(DY$72,INDIRECT($C$5&amp;"生成成长"),5))*(VLOOKUP($B$5,标准坦克设计!$B$24:$U$30,MATCH("对"&amp;LEFT($C$5,2)&amp;"输出",标准坦克设计!$B$23:$U$23,0)))*(VLOOKUP($B207,INDIRECT($B$5&amp;"生成成长"),3))*(VLOOKUP($B$5,标准坦克设计!$B$14:$K$20,9)/30))</f>
        <v>4.5074984901263093</v>
      </c>
      <c r="DZ207" s="173">
        <f ca="1">(VLOOKUP(DZ$72,INDIRECT($C$5&amp;"生成成长"),2))/((VLOOKUP($B207,INDIRECT($B$5&amp;"生成成长"),4))/(VLOOKUP(DZ$72,INDIRECT($C$5&amp;"生成成长"),5))*(VLOOKUP($B$5,标准坦克设计!$B$24:$U$30,MATCH("对"&amp;LEFT($C$5,2)&amp;"输出",标准坦克设计!$B$23:$U$23,0)))*(VLOOKUP($B207,INDIRECT($B$5&amp;"生成成长"),3))*(VLOOKUP($B$5,标准坦克设计!$B$14:$K$20,9)/30))</f>
        <v>4.9918436035084843</v>
      </c>
      <c r="EA207" s="173">
        <f ca="1">(VLOOKUP(EA$72,INDIRECT($C$5&amp;"生成成长"),2))/((VLOOKUP($B207,INDIRECT($B$5&amp;"生成成长"),4))/(VLOOKUP(EA$72,INDIRECT($C$5&amp;"生成成长"),5))*(VLOOKUP($B$5,标准坦克设计!$B$24:$U$30,MATCH("对"&amp;LEFT($C$5,2)&amp;"输出",标准坦克设计!$B$23:$U$23,0)))*(VLOOKUP($B207,INDIRECT($B$5&amp;"生成成长"),3))*(VLOOKUP($B$5,标准坦克设计!$B$14:$K$20,9)/30))</f>
        <v>5.5009002022673004</v>
      </c>
      <c r="EB207" s="173">
        <f ca="1">(VLOOKUP(EB$72,INDIRECT($C$5&amp;"生成成长"),2))/((VLOOKUP($B207,INDIRECT($B$5&amp;"生成成长"),4))/(VLOOKUP(EB$72,INDIRECT($C$5&amp;"生成成长"),5))*(VLOOKUP($B$5,标准坦克设计!$B$24:$U$30,MATCH("对"&amp;LEFT($C$5,2)&amp;"输出",标准坦克设计!$B$23:$U$23,0)))*(VLOOKUP($B207,INDIRECT($B$5&amp;"生成成长"),3))*(VLOOKUP($B$5,标准坦克设计!$B$14:$K$20,9)/30))</f>
        <v>6.0346682864027592</v>
      </c>
      <c r="EC207" s="173">
        <f ca="1">(VLOOKUP(EC$72,INDIRECT($C$5&amp;"生成成长"),2))/((VLOOKUP($B207,INDIRECT($B$5&amp;"生成成长"),4))/(VLOOKUP(EC$72,INDIRECT($C$5&amp;"生成成长"),5))*(VLOOKUP($B$5,标准坦克设计!$B$24:$U$30,MATCH("对"&amp;LEFT($C$5,2)&amp;"输出",标准坦克设计!$B$23:$U$23,0)))*(VLOOKUP($B207,INDIRECT($B$5&amp;"生成成长"),3))*(VLOOKUP($B$5,标准坦克设计!$B$14:$K$20,9)/30))</f>
        <v>6.5931478559148582</v>
      </c>
      <c r="ED207" s="173">
        <f ca="1">(VLOOKUP(ED$72,INDIRECT($C$5&amp;"生成成长"),2))/((VLOOKUP($B207,INDIRECT($B$5&amp;"生成成长"),4))/(VLOOKUP(ED$72,INDIRECT($C$5&amp;"生成成长"),5))*(VLOOKUP($B$5,标准坦克设计!$B$24:$U$30,MATCH("对"&amp;LEFT($C$5,2)&amp;"输出",标准坦克设计!$B$23:$U$23,0)))*(VLOOKUP($B207,INDIRECT($B$5&amp;"生成成长"),3))*(VLOOKUP($B$5,标准坦克设计!$B$14:$K$20,9)/30))</f>
        <v>7.1763389108036018</v>
      </c>
      <c r="EE207" s="173">
        <f ca="1">(VLOOKUP(EE$72,INDIRECT($C$5&amp;"生成成长"),2))/((VLOOKUP($B207,INDIRECT($B$5&amp;"生成成长"),4))/(VLOOKUP(EE$72,INDIRECT($C$5&amp;"生成成长"),5))*(VLOOKUP($B$5,标准坦克设计!$B$24:$U$30,MATCH("对"&amp;LEFT($C$5,2)&amp;"输出",标准坦克设计!$B$23:$U$23,0)))*(VLOOKUP($B207,INDIRECT($B$5&amp;"生成成长"),3))*(VLOOKUP($B$5,标准坦克设计!$B$14:$K$20,9)/30))</f>
        <v>7.7842414510689846</v>
      </c>
      <c r="EF207" s="173">
        <f ca="1">(VLOOKUP(EF$72,INDIRECT($C$5&amp;"生成成长"),2))/((VLOOKUP($B207,INDIRECT($B$5&amp;"生成成长"),4))/(VLOOKUP(EF$72,INDIRECT($C$5&amp;"生成成长"),5))*(VLOOKUP($B$5,标准坦克设计!$B$24:$U$30,MATCH("对"&amp;LEFT($C$5,2)&amp;"输出",标准坦克设计!$B$23:$U$23,0)))*(VLOOKUP($B207,INDIRECT($B$5&amp;"生成成长"),3))*(VLOOKUP($B$5,标准坦克设计!$B$14:$K$20,9)/30))</f>
        <v>8.4168554767110066</v>
      </c>
      <c r="EG207" s="173">
        <f ca="1">(VLOOKUP(EG$72,INDIRECT($C$5&amp;"生成成长"),2))/((VLOOKUP($B207,INDIRECT($B$5&amp;"生成成长"),4))/(VLOOKUP(EG$72,INDIRECT($C$5&amp;"生成成长"),5))*(VLOOKUP($B$5,标准坦克设计!$B$24:$U$30,MATCH("对"&amp;LEFT($C$5,2)&amp;"输出",标准坦克设计!$B$23:$U$23,0)))*(VLOOKUP($B207,INDIRECT($B$5&amp;"生成成长"),3))*(VLOOKUP($B$5,标准坦克设计!$B$14:$K$20,9)/30))</f>
        <v>9.0741809877296742</v>
      </c>
      <c r="EH207" s="173">
        <f ca="1">(VLOOKUP(EH$72,INDIRECT($C$5&amp;"生成成长"),2))/((VLOOKUP($B207,INDIRECT($B$5&amp;"生成成长"),4))/(VLOOKUP(EH$72,INDIRECT($C$5&amp;"生成成长"),5))*(VLOOKUP($B$5,标准坦克设计!$B$24:$U$30,MATCH("对"&amp;LEFT($C$5,2)&amp;"输出",标准坦克设计!$B$23:$U$23,0)))*(VLOOKUP($B207,INDIRECT($B$5&amp;"生成成长"),3))*(VLOOKUP($B$5,标准坦克设计!$B$14:$K$20,9)/30))</f>
        <v>9.7562179841249801</v>
      </c>
      <c r="EI207" s="173">
        <f ca="1">(VLOOKUP(EI$72,INDIRECT($C$5&amp;"生成成长"),2))/((VLOOKUP($B207,INDIRECT($B$5&amp;"生成成长"),4))/(VLOOKUP(EI$72,INDIRECT($C$5&amp;"生成成长"),5))*(VLOOKUP($B$5,标准坦克设计!$B$24:$U$30,MATCH("对"&amp;LEFT($C$5,2)&amp;"输出",标准坦克设计!$B$23:$U$23,0)))*(VLOOKUP($B207,INDIRECT($B$5&amp;"生成成长"),3))*(VLOOKUP($B$5,标准坦克设计!$B$14:$K$20,9)/30))</f>
        <v>10.462966465896931</v>
      </c>
      <c r="EJ207" s="173">
        <f ca="1">(VLOOKUP(EJ$72,INDIRECT($C$5&amp;"生成成长"),2))/((VLOOKUP($B207,INDIRECT($B$5&amp;"生成成长"),4))/(VLOOKUP(EJ$72,INDIRECT($C$5&amp;"生成成长"),5))*(VLOOKUP($B$5,标准坦克设计!$B$24:$U$30,MATCH("对"&amp;LEFT($C$5,2)&amp;"输出",标准坦克设计!$B$23:$U$23,0)))*(VLOOKUP($B207,INDIRECT($B$5&amp;"生成成长"),3))*(VLOOKUP($B$5,标准坦克设计!$B$14:$K$20,9)/30))</f>
        <v>11.194426433045523</v>
      </c>
      <c r="EK207" s="173">
        <f ca="1">(VLOOKUP(EK$72,INDIRECT($C$5&amp;"生成成长"),2))/((VLOOKUP($B207,INDIRECT($B$5&amp;"生成成长"),4))/(VLOOKUP(EK$72,INDIRECT($C$5&amp;"生成成长"),5))*(VLOOKUP($B$5,标准坦克设计!$B$24:$U$30,MATCH("对"&amp;LEFT($C$5,2)&amp;"输出",标准坦克设计!$B$23:$U$23,0)))*(VLOOKUP($B207,INDIRECT($B$5&amp;"生成成长"),3))*(VLOOKUP($B$5,标准坦克设计!$B$14:$K$20,9)/30))</f>
        <v>12.104797554320998</v>
      </c>
      <c r="EL207" s="173">
        <f ca="1">(VLOOKUP(EL$72,INDIRECT($C$5&amp;"生成成长"),2))/((VLOOKUP($B207,INDIRECT($B$5&amp;"生成成长"),4))/(VLOOKUP(EL$72,INDIRECT($C$5&amp;"生成成长"),5))*(VLOOKUP($B$5,标准坦克设计!$B$24:$U$30,MATCH("对"&amp;LEFT($C$5,2)&amp;"输出",标准坦克设计!$B$23:$U$23,0)))*(VLOOKUP($B207,INDIRECT($B$5&amp;"生成成长"),3))*(VLOOKUP($B$5,标准坦克设计!$B$14:$K$20,9)/30))</f>
        <v>13.05075321453884</v>
      </c>
      <c r="EM207" s="173">
        <f ca="1">(VLOOKUP(EM$72,INDIRECT($C$5&amp;"生成成长"),2))/((VLOOKUP($B207,INDIRECT($B$5&amp;"生成成长"),4))/(VLOOKUP(EM$72,INDIRECT($C$5&amp;"生成成长"),5))*(VLOOKUP($B$5,标准坦克设计!$B$24:$U$30,MATCH("对"&amp;LEFT($C$5,2)&amp;"输出",标准坦克设计!$B$23:$U$23,0)))*(VLOOKUP($B207,INDIRECT($B$5&amp;"生成成长"),3))*(VLOOKUP($B$5,标准坦克设计!$B$14:$K$20,9)/30))</f>
        <v>14.032293413699042</v>
      </c>
      <c r="EN207" s="173">
        <f ca="1">(VLOOKUP(EN$72,INDIRECT($C$5&amp;"生成成长"),2))/((VLOOKUP($B207,INDIRECT($B$5&amp;"生成成长"),4))/(VLOOKUP(EN$72,INDIRECT($C$5&amp;"生成成长"),5))*(VLOOKUP($B$5,标准坦克设计!$B$24:$U$30,MATCH("对"&amp;LEFT($C$5,2)&amp;"输出",标准坦克设计!$B$23:$U$23,0)))*(VLOOKUP($B207,INDIRECT($B$5&amp;"生成成长"),3))*(VLOOKUP($B$5,标准坦克设计!$B$14:$K$20,9)/30))</f>
        <v>15.049418151801611</v>
      </c>
      <c r="EO207" s="173">
        <f ca="1">(VLOOKUP(EO$72,INDIRECT($C$5&amp;"生成成长"),2))/((VLOOKUP($B207,INDIRECT($B$5&amp;"生成成长"),4))/(VLOOKUP(EO$72,INDIRECT($C$5&amp;"生成成长"),5))*(VLOOKUP($B$5,标准坦克设计!$B$24:$U$30,MATCH("对"&amp;LEFT($C$5,2)&amp;"输出",标准坦克设计!$B$23:$U$23,0)))*(VLOOKUP($B207,INDIRECT($B$5&amp;"生成成长"),3))*(VLOOKUP($B$5,标准坦克设计!$B$14:$K$20,9)/30))</f>
        <v>16.10212742884654</v>
      </c>
      <c r="EP207" s="173">
        <f ca="1">(VLOOKUP(EP$72,INDIRECT($C$5&amp;"生成成长"),2))/((VLOOKUP($B207,INDIRECT($B$5&amp;"生成成长"),4))/(VLOOKUP(EP$72,INDIRECT($C$5&amp;"生成成长"),5))*(VLOOKUP($B$5,标准坦克设计!$B$24:$U$30,MATCH("对"&amp;LEFT($C$5,2)&amp;"输出",标准坦克设计!$B$23:$U$23,0)))*(VLOOKUP($B207,INDIRECT($B$5&amp;"生成成长"),3))*(VLOOKUP($B$5,标准坦克设计!$B$14:$K$20,9)/30))</f>
        <v>17.190421244833836</v>
      </c>
      <c r="EQ207" s="173">
        <f ca="1">(VLOOKUP(EQ$72,INDIRECT($C$5&amp;"生成成长"),2))/((VLOOKUP($B207,INDIRECT($B$5&amp;"生成成长"),4))/(VLOOKUP(EQ$72,INDIRECT($C$5&amp;"生成成长"),5))*(VLOOKUP($B$5,标准坦克设计!$B$24:$U$30,MATCH("对"&amp;LEFT($C$5,2)&amp;"输出",标准坦克设计!$B$23:$U$23,0)))*(VLOOKUP($B207,INDIRECT($B$5&amp;"生成成长"),3))*(VLOOKUP($B$5,标准坦克设计!$B$14:$K$20,9)/30))</f>
        <v>7.599275983024822</v>
      </c>
      <c r="ER207" s="173">
        <f ca="1">(VLOOKUP(ER$72,INDIRECT($C$5&amp;"生成成长"),2))/((VLOOKUP($B207,INDIRECT($B$5&amp;"生成成长"),4))/(VLOOKUP(ER$72,INDIRECT($C$5&amp;"生成成长"),5))*(VLOOKUP($B$5,标准坦克设计!$B$24:$U$30,MATCH("对"&amp;LEFT($C$5,2)&amp;"输出",标准坦克设计!$B$23:$U$23,0)))*(VLOOKUP($B207,INDIRECT($B$5&amp;"生成成长"),3))*(VLOOKUP($B$5,标准坦克设计!$B$14:$K$20,9)/30))</f>
        <v>8.2883557527524729</v>
      </c>
      <c r="ES207" s="173">
        <f ca="1">(VLOOKUP(ES$72,INDIRECT($C$5&amp;"生成成长"),2))/((VLOOKUP($B207,INDIRECT($B$5&amp;"生成成长"),4))/(VLOOKUP(ES$72,INDIRECT($C$5&amp;"生成成长"),5))*(VLOOKUP($B$5,标准坦克设计!$B$24:$U$30,MATCH("对"&amp;LEFT($C$5,2)&amp;"输出",标准坦克设计!$B$23:$U$23,0)))*(VLOOKUP($B207,INDIRECT($B$5&amp;"生成成长"),3))*(VLOOKUP($B$5,标准坦克设计!$B$14:$K$20,9)/30))</f>
        <v>9.0073364197858581</v>
      </c>
      <c r="ET207" s="173">
        <f ca="1">(VLOOKUP(ET$72,INDIRECT($C$5&amp;"生成成长"),2))/((VLOOKUP($B207,INDIRECT($B$5&amp;"生成成长"),4))/(VLOOKUP(ET$72,INDIRECT($C$5&amp;"生成成长"),5))*(VLOOKUP($B$5,标准坦克设计!$B$24:$U$30,MATCH("对"&amp;LEFT($C$5,2)&amp;"输出",标准坦克设计!$B$23:$U$23,0)))*(VLOOKUP($B207,INDIRECT($B$5&amp;"生成成长"),3))*(VLOOKUP($B$5,标准坦克设计!$B$14:$K$20,9)/30))</f>
        <v>9.7562179841249801</v>
      </c>
      <c r="EU207" s="173">
        <f ca="1">(VLOOKUP(EU$72,INDIRECT($C$5&amp;"生成成长"),2))/((VLOOKUP($B207,INDIRECT($B$5&amp;"生成成长"),4))/(VLOOKUP(EU$72,INDIRECT($C$5&amp;"生成成长"),5))*(VLOOKUP($B$5,标准坦克设计!$B$24:$U$30,MATCH("对"&amp;LEFT($C$5,2)&amp;"输出",标准坦克设计!$B$23:$U$23,0)))*(VLOOKUP($B207,INDIRECT($B$5&amp;"生成成长"),3))*(VLOOKUP($B$5,标准坦克设计!$B$14:$K$20,9)/30))</f>
        <v>10.535000445769841</v>
      </c>
      <c r="EV207" s="173">
        <f ca="1">(VLOOKUP(EV$72,INDIRECT($C$5&amp;"生成成长"),2))/((VLOOKUP($B207,INDIRECT($B$5&amp;"生成成长"),4))/(VLOOKUP(EV$72,INDIRECT($C$5&amp;"生成成长"),5))*(VLOOKUP($B$5,标准坦克设计!$B$24:$U$30,MATCH("对"&amp;LEFT($C$5,2)&amp;"输出",标准坦克设计!$B$23:$U$23,0)))*(VLOOKUP($B207,INDIRECT($B$5&amp;"生成成长"),3))*(VLOOKUP($B$5,标准坦克设计!$B$14:$K$20,9)/30))</f>
        <v>11.343683804720436</v>
      </c>
      <c r="EW207" s="173">
        <f ca="1">(VLOOKUP(EW$72,INDIRECT($C$5&amp;"生成成长"),2))/((VLOOKUP($B207,INDIRECT($B$5&amp;"生成成长"),4))/(VLOOKUP(EW$72,INDIRECT($C$5&amp;"生成成长"),5))*(VLOOKUP($B$5,标准坦克设计!$B$24:$U$30,MATCH("对"&amp;LEFT($C$5,2)&amp;"输出",标准坦克设计!$B$23:$U$23,0)))*(VLOOKUP($B207,INDIRECT($B$5&amp;"生成成长"),3))*(VLOOKUP($B$5,标准坦克设计!$B$14:$K$20,9)/30))</f>
        <v>12.182268060976771</v>
      </c>
      <c r="EX207" s="173">
        <f ca="1">(VLOOKUP(EX$72,INDIRECT($C$5&amp;"生成成长"),2))/((VLOOKUP($B207,INDIRECT($B$5&amp;"生成成长"),4))/(VLOOKUP(EX$72,INDIRECT($C$5&amp;"生成成长"),5))*(VLOOKUP($B$5,标准坦克设计!$B$24:$U$30,MATCH("对"&amp;LEFT($C$5,2)&amp;"输出",标准坦克设计!$B$23:$U$23,0)))*(VLOOKUP($B207,INDIRECT($B$5&amp;"生成成长"),3))*(VLOOKUP($B$5,标准坦克设计!$B$14:$K$20,9)/30))</f>
        <v>13.05075321453884</v>
      </c>
      <c r="EY207" s="173">
        <f ca="1">(VLOOKUP(EY$72,INDIRECT($C$5&amp;"生成成长"),2))/((VLOOKUP($B207,INDIRECT($B$5&amp;"生成成长"),4))/(VLOOKUP(EY$72,INDIRECT($C$5&amp;"生成成长"),5))*(VLOOKUP($B$5,标准坦克设计!$B$24:$U$30,MATCH("对"&amp;LEFT($C$5,2)&amp;"输出",标准坦克设计!$B$23:$U$23,0)))*(VLOOKUP($B207,INDIRECT($B$5&amp;"生成成长"),3))*(VLOOKUP($B$5,标准坦克设计!$B$14:$K$20,9)/30))</f>
        <v>13.949139265406643</v>
      </c>
      <c r="EZ207" s="173">
        <f ca="1">(VLOOKUP(EZ$72,INDIRECT($C$5&amp;"生成成长"),2))/((VLOOKUP($B207,INDIRECT($B$5&amp;"生成成长"),4))/(VLOOKUP(EZ$72,INDIRECT($C$5&amp;"生成成长"),5))*(VLOOKUP($B$5,标准坦克设计!$B$24:$U$30,MATCH("对"&amp;LEFT($C$5,2)&amp;"输出",标准坦克设计!$B$23:$U$23,0)))*(VLOOKUP($B207,INDIRECT($B$5&amp;"生成成长"),3))*(VLOOKUP($B$5,标准坦克设计!$B$14:$K$20,9)/30))</f>
        <v>14.877426213580184</v>
      </c>
      <c r="FA207" s="173">
        <f ca="1">(VLOOKUP(FA$72,INDIRECT($C$5&amp;"生成成长"),2))/((VLOOKUP($B207,INDIRECT($B$5&amp;"生成成长"),4))/(VLOOKUP(FA$72,INDIRECT($C$5&amp;"生成成长"),5))*(VLOOKUP($B$5,标准坦克设计!$B$24:$U$30,MATCH("对"&amp;LEFT($C$5,2)&amp;"输出",标准坦克设计!$B$23:$U$23,0)))*(VLOOKUP($B207,INDIRECT($B$5&amp;"生成成长"),3))*(VLOOKUP($B$5,标准坦克设计!$B$14:$K$20,9)/30))</f>
        <v>15.835614059059463</v>
      </c>
      <c r="FB207" s="173">
        <f ca="1">(VLOOKUP(FB$72,INDIRECT($C$5&amp;"生成成长"),2))/((VLOOKUP($B207,INDIRECT($B$5&amp;"生成成长"),4))/(VLOOKUP(FB$72,INDIRECT($C$5&amp;"生成成长"),5))*(VLOOKUP($B$5,标准坦克设计!$B$24:$U$30,MATCH("对"&amp;LEFT($C$5,2)&amp;"输出",标准坦克设计!$B$23:$U$23,0)))*(VLOOKUP($B207,INDIRECT($B$5&amp;"生成成长"),3))*(VLOOKUP($B$5,标准坦克设计!$B$14:$K$20,9)/30))</f>
        <v>16.823702801844476</v>
      </c>
      <c r="FC207" s="173">
        <f ca="1">(VLOOKUP(FC$72,INDIRECT($C$5&amp;"生成成长"),2))/((VLOOKUP($B207,INDIRECT($B$5&amp;"生成成长"),4))/(VLOOKUP(FC$72,INDIRECT($C$5&amp;"生成成长"),5))*(VLOOKUP($B$5,标准坦克设计!$B$24:$U$30,MATCH("对"&amp;LEFT($C$5,2)&amp;"输出",标准坦克设计!$B$23:$U$23,0)))*(VLOOKUP($B207,INDIRECT($B$5&amp;"生成成长"),3))*(VLOOKUP($B$5,标准坦克设计!$B$14:$K$20,9)/30))</f>
        <v>17.841692441935226</v>
      </c>
      <c r="FD207" s="173">
        <f ca="1">(VLOOKUP(FD$72,INDIRECT($C$5&amp;"生成成长"),2))/((VLOOKUP($B207,INDIRECT($B$5&amp;"生成成长"),4))/(VLOOKUP(FD$72,INDIRECT($C$5&amp;"生成成长"),5))*(VLOOKUP($B$5,标准坦克设计!$B$24:$U$30,MATCH("对"&amp;LEFT($C$5,2)&amp;"输出",标准坦克设计!$B$23:$U$23,0)))*(VLOOKUP($B207,INDIRECT($B$5&amp;"生成成长"),3))*(VLOOKUP($B$5,标准坦克设计!$B$14:$K$20,9)/30))</f>
        <v>18.889582979331713</v>
      </c>
      <c r="FE207" s="173">
        <f ca="1">(VLOOKUP(FE$72,INDIRECT($C$5&amp;"生成成长"),2))/((VLOOKUP($B207,INDIRECT($B$5&amp;"生成成长"),4))/(VLOOKUP(FE$72,INDIRECT($C$5&amp;"生成成长"),5))*(VLOOKUP($B$5,标准坦克设计!$B$24:$U$30,MATCH("对"&amp;LEFT($C$5,2)&amp;"输出",标准坦克设计!$B$23:$U$23,0)))*(VLOOKUP($B207,INDIRECT($B$5&amp;"生成成长"),3))*(VLOOKUP($B$5,标准坦克设计!$B$14:$K$20,9)/30))</f>
        <v>20.166548986169666</v>
      </c>
      <c r="FF207" s="173">
        <f ca="1">(VLOOKUP(FF$72,INDIRECT($C$5&amp;"生成成长"),2))/((VLOOKUP($B207,INDIRECT($B$5&amp;"生成成长"),4))/(VLOOKUP(FF$72,INDIRECT($C$5&amp;"生成成长"),5))*(VLOOKUP($B$5,标准坦克设计!$B$24:$U$30,MATCH("对"&amp;LEFT($C$5,2)&amp;"输出",标准坦克设计!$B$23:$U$23,0)))*(VLOOKUP($B207,INDIRECT($B$5&amp;"生成成长"),3))*(VLOOKUP($B$5,标准坦克设计!$B$14:$K$20,9)/30))</f>
        <v>21.485277403294145</v>
      </c>
      <c r="FG207" s="173">
        <f ca="1">(VLOOKUP(FG$72,INDIRECT($C$5&amp;"生成成长"),2))/((VLOOKUP($B207,INDIRECT($B$5&amp;"生成成长"),4))/(VLOOKUP(FG$72,INDIRECT($C$5&amp;"生成成长"),5))*(VLOOKUP($B$5,标准坦克设计!$B$24:$U$30,MATCH("对"&amp;LEFT($C$5,2)&amp;"输出",标准坦克设计!$B$23:$U$23,0)))*(VLOOKUP($B207,INDIRECT($B$5&amp;"生成成长"),3))*(VLOOKUP($B$5,标准坦克设计!$B$14:$K$20,9)/30))</f>
        <v>22.845768230705147</v>
      </c>
      <c r="FH207" s="173">
        <f ca="1">(VLOOKUP(FH$72,INDIRECT($C$5&amp;"生成成长"),2))/((VLOOKUP($B207,INDIRECT($B$5&amp;"生成成长"),4))/(VLOOKUP(FH$72,INDIRECT($C$5&amp;"生成成长"),5))*(VLOOKUP($B$5,标准坦克设计!$B$24:$U$30,MATCH("对"&amp;LEFT($C$5,2)&amp;"输出",标准坦克设计!$B$23:$U$23,0)))*(VLOOKUP($B207,INDIRECT($B$5&amp;"生成成长"),3))*(VLOOKUP($B$5,标准坦克设计!$B$14:$K$20,9)/30))</f>
        <v>24.248021468402673</v>
      </c>
      <c r="FI207" s="173">
        <f ca="1">(VLOOKUP(FI$72,INDIRECT($C$5&amp;"生成成长"),2))/((VLOOKUP($B207,INDIRECT($B$5&amp;"生成成长"),4))/(VLOOKUP(FI$72,INDIRECT($C$5&amp;"生成成长"),5))*(VLOOKUP($B$5,标准坦克设计!$B$24:$U$30,MATCH("对"&amp;LEFT($C$5,2)&amp;"输出",标准坦克设计!$B$23:$U$23,0)))*(VLOOKUP($B207,INDIRECT($B$5&amp;"生成成长"),3))*(VLOOKUP($B$5,标准坦克设计!$B$14:$K$20,9)/30))</f>
        <v>25.692037116386722</v>
      </c>
      <c r="FJ207" s="173">
        <f ca="1">(VLOOKUP(FJ$72,INDIRECT($C$5&amp;"生成成长"),2))/((VLOOKUP($B207,INDIRECT($B$5&amp;"生成成长"),4))/(VLOOKUP(FJ$72,INDIRECT($C$5&amp;"生成成长"),5))*(VLOOKUP($B$5,标准坦克设计!$B$24:$U$30,MATCH("对"&amp;LEFT($C$5,2)&amp;"输出",标准坦克设计!$B$23:$U$23,0)))*(VLOOKUP($B207,INDIRECT($B$5&amp;"生成成长"),3))*(VLOOKUP($B$5,标准坦克设计!$B$14:$K$20,9)/30))</f>
        <v>27.177815174657301</v>
      </c>
      <c r="FK207" s="173">
        <f ca="1">(VLOOKUP(FK$72,INDIRECT($C$5&amp;"生成成长"),2))/((VLOOKUP($B207,INDIRECT($B$5&amp;"生成成长"),4))/(VLOOKUP(FK$72,INDIRECT($C$5&amp;"生成成长"),5))*(VLOOKUP($B$5,标准坦克设计!$B$24:$U$30,MATCH("对"&amp;LEFT($C$5,2)&amp;"输出",标准坦克设计!$B$23:$U$23,0)))*(VLOOKUP($B207,INDIRECT($B$5&amp;"生成成长"),3))*(VLOOKUP($B$5,标准坦克设计!$B$14:$K$20,9)/30))</f>
        <v>28.705355643214407</v>
      </c>
    </row>
    <row r="208" spans="1:167" x14ac:dyDescent="0.15">
      <c r="A208" s="171" t="str">
        <f t="shared" si="13"/>
        <v>T4高品质10级</v>
      </c>
      <c r="B208" s="172">
        <v>30410</v>
      </c>
      <c r="C208" s="173">
        <f ca="1">(VLOOKUP(C$72,INDIRECT($C$5&amp;"生成成长"),2))/((VLOOKUP($B208,INDIRECT($B$5&amp;"生成成长"),4))/(VLOOKUP(C$72,INDIRECT($C$5&amp;"生成成长"),5))*(VLOOKUP($B$5,标准坦克设计!$B$24:$U$30,MATCH("对"&amp;LEFT($C$5,2)&amp;"输出",标准坦克设计!$B$23:$U$23,0)))*(VLOOKUP($B208,INDIRECT($B$5&amp;"生成成长"),3))*(VLOOKUP($B$5,标准坦克设计!$B$14:$K$20,9)/30))</f>
        <v>1.1490463809156488</v>
      </c>
      <c r="D208" s="173">
        <f ca="1">(VLOOKUP(D$72,INDIRECT($C$5&amp;"生成成长"),2))/((VLOOKUP($B208,INDIRECT($B$5&amp;"生成成长"),4))/(VLOOKUP(D$72,INDIRECT($C$5&amp;"生成成长"),5))*(VLOOKUP($B$5,标准坦克设计!$B$24:$U$30,MATCH("对"&amp;LEFT($C$5,2)&amp;"输出",标准坦克设计!$B$23:$U$23,0)))*(VLOOKUP($B208,INDIRECT($B$5&amp;"生成成长"),3))*(VLOOKUP($B$5,标准坦克设计!$B$14:$K$20,9)/30))</f>
        <v>1.2910685135968232</v>
      </c>
      <c r="E208" s="173">
        <f ca="1">(VLOOKUP(E$72,INDIRECT($C$5&amp;"生成成长"),2))/((VLOOKUP($B208,INDIRECT($B$5&amp;"生成成长"),4))/(VLOOKUP(E$72,INDIRECT($C$5&amp;"生成成长"),5))*(VLOOKUP($B$5,标准坦克设计!$B$24:$U$30,MATCH("对"&amp;LEFT($C$5,2)&amp;"输出",标准坦克设计!$B$23:$U$23,0)))*(VLOOKUP($B208,INDIRECT($B$5&amp;"生成成长"),3))*(VLOOKUP($B$5,标准坦克设计!$B$14:$K$20,9)/30))</f>
        <v>1.4413637802205899</v>
      </c>
      <c r="F208" s="173">
        <f ca="1">(VLOOKUP(F$72,INDIRECT($C$5&amp;"生成成长"),2))/((VLOOKUP($B208,INDIRECT($B$5&amp;"生成成长"),4))/(VLOOKUP(F$72,INDIRECT($C$5&amp;"生成成长"),5))*(VLOOKUP($B$5,标准坦克设计!$B$24:$U$30,MATCH("对"&amp;LEFT($C$5,2)&amp;"输出",标准坦克设计!$B$23:$U$23,0)))*(VLOOKUP($B208,INDIRECT($B$5&amp;"生成成长"),3))*(VLOOKUP($B$5,标准坦克设计!$B$14:$K$20,9)/30))</f>
        <v>1.5999321807869498</v>
      </c>
      <c r="G208" s="173">
        <f ca="1">(VLOOKUP(G$72,INDIRECT($C$5&amp;"生成成长"),2))/((VLOOKUP($B208,INDIRECT($B$5&amp;"生成成长"),4))/(VLOOKUP(G$72,INDIRECT($C$5&amp;"生成成长"),5))*(VLOOKUP($B$5,标准坦克设计!$B$24:$U$30,MATCH("对"&amp;LEFT($C$5,2)&amp;"输出",标准坦克设计!$B$23:$U$23,0)))*(VLOOKUP($B208,INDIRECT($B$5&amp;"生成成长"),3))*(VLOOKUP($B$5,标准坦克设计!$B$14:$K$20,9)/30))</f>
        <v>1.7667737152959015</v>
      </c>
      <c r="H208" s="173">
        <f ca="1">(VLOOKUP(H$72,INDIRECT($C$5&amp;"生成成长"),2))/((VLOOKUP($B208,INDIRECT($B$5&amp;"生成成长"),4))/(VLOOKUP(H$72,INDIRECT($C$5&amp;"生成成长"),5))*(VLOOKUP($B$5,标准坦克设计!$B$24:$U$30,MATCH("对"&amp;LEFT($C$5,2)&amp;"输出",标准坦克设计!$B$23:$U$23,0)))*(VLOOKUP($B208,INDIRECT($B$5&amp;"生成成长"),3))*(VLOOKUP($B$5,标准坦克设计!$B$14:$K$20,9)/30))</f>
        <v>1.5461568101600973</v>
      </c>
      <c r="I208" s="173">
        <f ca="1">(VLOOKUP(I$72,INDIRECT($C$5&amp;"生成成长"),2))/((VLOOKUP($B208,INDIRECT($B$5&amp;"生成成长"),4))/(VLOOKUP(I$72,INDIRECT($C$5&amp;"生成成长"),5))*(VLOOKUP($B$5,标准坦克设计!$B$24:$U$30,MATCH("对"&amp;LEFT($C$5,2)&amp;"输出",标准坦克设计!$B$23:$U$23,0)))*(VLOOKUP($B208,INDIRECT($B$5&amp;"生成成长"),3))*(VLOOKUP($B$5,标准坦克设计!$B$14:$K$20,9)/30))</f>
        <v>1.7667737152959015</v>
      </c>
      <c r="J208" s="173">
        <f ca="1">(VLOOKUP(J$72,INDIRECT($C$5&amp;"生成成长"),2))/((VLOOKUP($B208,INDIRECT($B$5&amp;"生成成长"),4))/(VLOOKUP(J$72,INDIRECT($C$5&amp;"生成成长"),5))*(VLOOKUP($B$5,标准坦克设计!$B$24:$U$30,MATCH("对"&amp;LEFT($C$5,2)&amp;"输出",标准坦克设计!$B$23:$U$23,0)))*(VLOOKUP($B208,INDIRECT($B$5&amp;"生成成长"),3))*(VLOOKUP($B$5,标准坦克设计!$B$14:$K$20,9)/30))</f>
        <v>2.0020984141074263</v>
      </c>
      <c r="K208" s="173">
        <f ca="1">(VLOOKUP(K$72,INDIRECT($C$5&amp;"生成成长"),2))/((VLOOKUP($B208,INDIRECT($B$5&amp;"生成成长"),4))/(VLOOKUP(K$72,INDIRECT($C$5&amp;"生成成长"),5))*(VLOOKUP($B$5,标准坦克设计!$B$24:$U$30,MATCH("对"&amp;LEFT($C$5,2)&amp;"输出",标准坦克设计!$B$23:$U$23,0)))*(VLOOKUP($B208,INDIRECT($B$5&amp;"生成成长"),3))*(VLOOKUP($B$5,标准坦克设计!$B$14:$K$20,9)/30))</f>
        <v>2.252130906594672</v>
      </c>
      <c r="L208" s="173">
        <f ca="1">(VLOOKUP(L$72,INDIRECT($C$5&amp;"生成成长"),2))/((VLOOKUP($B208,INDIRECT($B$5&amp;"生成成长"),4))/(VLOOKUP(L$72,INDIRECT($C$5&amp;"生成成长"),5))*(VLOOKUP($B$5,标准坦克设计!$B$24:$U$30,MATCH("对"&amp;LEFT($C$5,2)&amp;"输出",标准坦克设计!$B$23:$U$23,0)))*(VLOOKUP($B208,INDIRECT($B$5&amp;"生成成长"),3))*(VLOOKUP($B$5,标准坦克设计!$B$14:$K$20,9)/30))</f>
        <v>2.5168711927576375</v>
      </c>
      <c r="M208" s="173">
        <f ca="1">(VLOOKUP(M$72,INDIRECT($C$5&amp;"生成成长"),2))/((VLOOKUP($B208,INDIRECT($B$5&amp;"生成成长"),4))/(VLOOKUP(M$72,INDIRECT($C$5&amp;"生成成长"),5))*(VLOOKUP($B$5,标准坦克设计!$B$24:$U$30,MATCH("对"&amp;LEFT($C$5,2)&amp;"输出",标准坦克设计!$B$23:$U$23,0)))*(VLOOKUP($B208,INDIRECT($B$5&amp;"生成成长"),3))*(VLOOKUP($B$5,标准坦克设计!$B$14:$K$20,9)/30))</f>
        <v>2.7963192725963228</v>
      </c>
      <c r="N208" s="173">
        <f ca="1">(VLOOKUP(N$72,INDIRECT($C$5&amp;"生成成长"),2))/((VLOOKUP($B208,INDIRECT($B$5&amp;"生成成长"),4))/(VLOOKUP(N$72,INDIRECT($C$5&amp;"生成成长"),5))*(VLOOKUP($B$5,标准坦克设计!$B$24:$U$30,MATCH("对"&amp;LEFT($C$5,2)&amp;"输出",标准坦克设计!$B$23:$U$23,0)))*(VLOOKUP($B208,INDIRECT($B$5&amp;"生成成长"),3))*(VLOOKUP($B$5,标准坦克设计!$B$14:$K$20,9)/30))</f>
        <v>3.0904751461107289</v>
      </c>
      <c r="O208" s="173">
        <f ca="1">(VLOOKUP(O$72,INDIRECT($C$5&amp;"生成成长"),2))/((VLOOKUP($B208,INDIRECT($B$5&amp;"生成成长"),4))/(VLOOKUP(O$72,INDIRECT($C$5&amp;"生成成长"),5))*(VLOOKUP($B$5,标准坦克设计!$B$24:$U$30,MATCH("对"&amp;LEFT($C$5,2)&amp;"输出",标准坦克设计!$B$23:$U$23,0)))*(VLOOKUP($B208,INDIRECT($B$5&amp;"生成成长"),3))*(VLOOKUP($B$5,标准坦克设计!$B$14:$K$20,9)/30))</f>
        <v>2.3496849443344106</v>
      </c>
      <c r="P208" s="173">
        <f ca="1">(VLOOKUP(P$72,INDIRECT($C$5&amp;"生成成长"),2))/((VLOOKUP($B208,INDIRECT($B$5&amp;"生成成长"),4))/(VLOOKUP(P$72,INDIRECT($C$5&amp;"生成成长"),5))*(VLOOKUP($B$5,标准坦克设计!$B$24:$U$30,MATCH("对"&amp;LEFT($C$5,2)&amp;"输出",标准坦克设计!$B$23:$U$23,0)))*(VLOOKUP($B208,INDIRECT($B$5&amp;"生成成长"),3))*(VLOOKUP($B$5,标准坦克设计!$B$14:$K$20,9)/30))</f>
        <v>2.6547567584675149</v>
      </c>
      <c r="Q208" s="173">
        <f ca="1">(VLOOKUP(Q$72,INDIRECT($C$5&amp;"生成成长"),2))/((VLOOKUP($B208,INDIRECT($B$5&amp;"生成成长"),4))/(VLOOKUP(Q$72,INDIRECT($C$5&amp;"生成成长"),5))*(VLOOKUP($B$5,标准坦克设计!$B$24:$U$30,MATCH("对"&amp;LEFT($C$5,2)&amp;"输出",标准坦克设计!$B$23:$U$23,0)))*(VLOOKUP($B208,INDIRECT($B$5&amp;"生成成长"),3))*(VLOOKUP($B$5,标准坦克设计!$B$14:$K$20,9)/30))</f>
        <v>2.9784431239714535</v>
      </c>
      <c r="R208" s="173">
        <f ca="1">(VLOOKUP(R$72,INDIRECT($C$5&amp;"生成成长"),2))/((VLOOKUP($B208,INDIRECT($B$5&amp;"生成成长"),4))/(VLOOKUP(R$72,INDIRECT($C$5&amp;"生成成长"),5))*(VLOOKUP($B$5,标准坦克设计!$B$24:$U$30,MATCH("对"&amp;LEFT($C$5,2)&amp;"输出",标准坦克设计!$B$23:$U$23,0)))*(VLOOKUP($B208,INDIRECT($B$5&amp;"生成成长"),3))*(VLOOKUP($B$5,标准坦克设计!$B$14:$K$20,9)/30))</f>
        <v>3.3207440408462254</v>
      </c>
      <c r="S208" s="173">
        <f ca="1">(VLOOKUP(S$72,INDIRECT($C$5&amp;"生成成长"),2))/((VLOOKUP($B208,INDIRECT($B$5&amp;"生成成长"),4))/(VLOOKUP(S$72,INDIRECT($C$5&amp;"生成成长"),5))*(VLOOKUP($B$5,标准坦克设计!$B$24:$U$30,MATCH("对"&amp;LEFT($C$5,2)&amp;"输出",标准坦克设计!$B$23:$U$23,0)))*(VLOOKUP($B208,INDIRECT($B$5&amp;"生成成长"),3))*(VLOOKUP($B$5,标准坦克设计!$B$14:$K$20,9)/30))</f>
        <v>3.6816595090918303</v>
      </c>
      <c r="T208" s="173">
        <f ca="1">(VLOOKUP(T$72,INDIRECT($C$5&amp;"生成成长"),2))/((VLOOKUP($B208,INDIRECT($B$5&amp;"生成成长"),4))/(VLOOKUP(T$72,INDIRECT($C$5&amp;"生成成长"),5))*(VLOOKUP($B$5,标准坦克设计!$B$24:$U$30,MATCH("对"&amp;LEFT($C$5,2)&amp;"输出",标准坦克设计!$B$23:$U$23,0)))*(VLOOKUP($B208,INDIRECT($B$5&amp;"生成成长"),3))*(VLOOKUP($B$5,标准坦克设计!$B$14:$K$20,9)/30))</f>
        <v>4.0611895287082698</v>
      </c>
      <c r="U208" s="173">
        <f ca="1">(VLOOKUP(U$72,INDIRECT($C$5&amp;"生成成长"),2))/((VLOOKUP($B208,INDIRECT($B$5&amp;"生成成长"),4))/(VLOOKUP(U$72,INDIRECT($C$5&amp;"生成成长"),5))*(VLOOKUP($B$5,标准坦克设计!$B$24:$U$30,MATCH("对"&amp;LEFT($C$5,2)&amp;"输出",标准坦克设计!$B$23:$U$23,0)))*(VLOOKUP($B208,INDIRECT($B$5&amp;"生成成长"),3))*(VLOOKUP($B$5,标准坦克设计!$B$14:$K$20,9)/30))</f>
        <v>4.4593340996955417</v>
      </c>
      <c r="V208" s="173">
        <f ca="1">(VLOOKUP(V$72,INDIRECT($C$5&amp;"生成成长"),2))/((VLOOKUP($B208,INDIRECT($B$5&amp;"生成成长"),4))/(VLOOKUP(V$72,INDIRECT($C$5&amp;"生成成长"),5))*(VLOOKUP($B$5,标准坦克设计!$B$24:$U$30,MATCH("对"&amp;LEFT($C$5,2)&amp;"输出",标准坦克设计!$B$23:$U$23,0)))*(VLOOKUP($B208,INDIRECT($B$5&amp;"生成成长"),3))*(VLOOKUP($B$5,标准坦克设计!$B$14:$K$20,9)/30))</f>
        <v>4.8760932220536475</v>
      </c>
      <c r="W208" s="173">
        <f ca="1">(VLOOKUP(W$72,INDIRECT($C$5&amp;"生成成长"),2))/((VLOOKUP($B208,INDIRECT($B$5&amp;"生成成长"),4))/(VLOOKUP(W$72,INDIRECT($C$5&amp;"生成成长"),5))*(VLOOKUP($B$5,标准坦克设计!$B$24:$U$30,MATCH("对"&amp;LEFT($C$5,2)&amp;"输出",标准坦克设计!$B$23:$U$23,0)))*(VLOOKUP($B208,INDIRECT($B$5&amp;"生成成长"),3))*(VLOOKUP($B$5,标准坦克设计!$B$14:$K$20,9)/30))</f>
        <v>5.311466895782587</v>
      </c>
      <c r="X208" s="173">
        <f ca="1">(VLOOKUP(X$72,INDIRECT($C$5&amp;"生成成长"),2))/((VLOOKUP($B208,INDIRECT($B$5&amp;"生成成长"),4))/(VLOOKUP(X$72,INDIRECT($C$5&amp;"生成成长"),5))*(VLOOKUP($B$5,标准坦克设计!$B$24:$U$30,MATCH("对"&amp;LEFT($C$5,2)&amp;"输出",标准坦克设计!$B$23:$U$23,0)))*(VLOOKUP($B208,INDIRECT($B$5&amp;"生成成长"),3))*(VLOOKUP($B$5,标准坦克设计!$B$14:$K$20,9)/30))</f>
        <v>3.8480414250484163</v>
      </c>
      <c r="Y208" s="173">
        <f ca="1">(VLOOKUP(Y$72,INDIRECT($C$5&amp;"生成成长"),2))/((VLOOKUP($B208,INDIRECT($B$5&amp;"生成成长"),4))/(VLOOKUP(Y$72,INDIRECT($C$5&amp;"生成成长"),5))*(VLOOKUP($B$5,标准坦克设计!$B$24:$U$30,MATCH("对"&amp;LEFT($C$5,2)&amp;"输出",标准坦克设计!$B$23:$U$23,0)))*(VLOOKUP($B208,INDIRECT($B$5&amp;"生成成长"),3))*(VLOOKUP($B$5,标准坦克设计!$B$14:$K$20,9)/30))</f>
        <v>4.2800828642726998</v>
      </c>
      <c r="Z208" s="173">
        <f ca="1">(VLOOKUP(Z$72,INDIRECT($C$5&amp;"生成成长"),2))/((VLOOKUP($B208,INDIRECT($B$5&amp;"生成成长"),4))/(VLOOKUP(Z$72,INDIRECT($C$5&amp;"生成成长"),5))*(VLOOKUP($B$5,标准坦克设计!$B$24:$U$30,MATCH("对"&amp;LEFT($C$5,2)&amp;"输出",标准坦克设计!$B$23:$U$23,0)))*(VLOOKUP($B208,INDIRECT($B$5&amp;"生成成长"),3))*(VLOOKUP($B$5,标准坦克设计!$B$14:$K$20,9)/30))</f>
        <v>4.7351052311152975</v>
      </c>
      <c r="AA208" s="173">
        <f ca="1">(VLOOKUP(AA$72,INDIRECT($C$5&amp;"生成成长"),2))/((VLOOKUP($B208,INDIRECT($B$5&amp;"生成成长"),4))/(VLOOKUP(AA$72,INDIRECT($C$5&amp;"生成成长"),5))*(VLOOKUP($B$5,标准坦克设计!$B$24:$U$30,MATCH("对"&amp;LEFT($C$5,2)&amp;"输出",标准坦克设计!$B$23:$U$23,0)))*(VLOOKUP($B208,INDIRECT($B$5&amp;"生成成长"),3))*(VLOOKUP($B$5,标准坦克设计!$B$14:$K$20,9)/30))</f>
        <v>5.2131085255762075</v>
      </c>
      <c r="AB208" s="173">
        <f ca="1">(VLOOKUP(AB$72,INDIRECT($C$5&amp;"生成成长"),2))/((VLOOKUP($B208,INDIRECT($B$5&amp;"生成成长"),4))/(VLOOKUP(AB$72,INDIRECT($C$5&amp;"生成成长"),5))*(VLOOKUP($B$5,标准坦克设计!$B$24:$U$30,MATCH("对"&amp;LEFT($C$5,2)&amp;"输出",标准坦克设计!$B$23:$U$23,0)))*(VLOOKUP($B208,INDIRECT($B$5&amp;"生成成长"),3))*(VLOOKUP($B$5,标准坦克设计!$B$14:$K$20,9)/30))</f>
        <v>5.71409274765543</v>
      </c>
      <c r="AC208" s="173">
        <f ca="1">(VLOOKUP(AC$72,INDIRECT($C$5&amp;"生成成长"),2))/((VLOOKUP($B208,INDIRECT($B$5&amp;"生成成长"),4))/(VLOOKUP(AC$72,INDIRECT($C$5&amp;"生成成长"),5))*(VLOOKUP($B$5,标准坦克设计!$B$24:$U$30,MATCH("对"&amp;LEFT($C$5,2)&amp;"输出",标准坦克设计!$B$23:$U$23,0)))*(VLOOKUP($B208,INDIRECT($B$5&amp;"生成成长"),3))*(VLOOKUP($B$5,标准坦克设计!$B$14:$K$20,9)/30))</f>
        <v>6.2380578973529666</v>
      </c>
      <c r="AD208" s="173">
        <f ca="1">(VLOOKUP(AD$72,INDIRECT($C$5&amp;"生成成长"),2))/((VLOOKUP($B208,INDIRECT($B$5&amp;"生成成长"),4))/(VLOOKUP(AD$72,INDIRECT($C$5&amp;"生成成长"),5))*(VLOOKUP($B$5,标准坦克设计!$B$24:$U$30,MATCH("对"&amp;LEFT($C$5,2)&amp;"输出",标准坦克设计!$B$23:$U$23,0)))*(VLOOKUP($B208,INDIRECT($B$5&amp;"生成成长"),3))*(VLOOKUP($B$5,标准坦克设计!$B$14:$K$20,9)/30))</f>
        <v>6.7850039746688147</v>
      </c>
      <c r="AE208" s="173">
        <f ca="1">(VLOOKUP(AE$72,INDIRECT($C$5&amp;"生成成长"),2))/((VLOOKUP($B208,INDIRECT($B$5&amp;"生成成长"),4))/(VLOOKUP(AE$72,INDIRECT($C$5&amp;"生成成长"),5))*(VLOOKUP($B$5,标准坦克设计!$B$24:$U$30,MATCH("对"&amp;LEFT($C$5,2)&amp;"输出",标准坦克设计!$B$23:$U$23,0)))*(VLOOKUP($B208,INDIRECT($B$5&amp;"生成成长"),3))*(VLOOKUP($B$5,标准坦克设计!$B$14:$K$20,9)/30))</f>
        <v>7.3549309796029769</v>
      </c>
      <c r="AF208" s="173">
        <f ca="1">(VLOOKUP(AF$72,INDIRECT($C$5&amp;"生成成长"),2))/((VLOOKUP($B208,INDIRECT($B$5&amp;"生成成长"),4))/(VLOOKUP(AF$72,INDIRECT($C$5&amp;"生成成长"),5))*(VLOOKUP($B$5,标准坦克设计!$B$24:$U$30,MATCH("对"&amp;LEFT($C$5,2)&amp;"输出",标准坦克设计!$B$23:$U$23,0)))*(VLOOKUP($B208,INDIRECT($B$5&amp;"生成成长"),3))*(VLOOKUP($B$5,标准坦克设计!$B$14:$K$20,9)/30))</f>
        <v>7.9478389121554525</v>
      </c>
      <c r="AG208" s="173">
        <f ca="1">(VLOOKUP(AG$72,INDIRECT($C$5&amp;"生成成长"),2))/((VLOOKUP($B208,INDIRECT($B$5&amp;"生成成长"),4))/(VLOOKUP(AG$72,INDIRECT($C$5&amp;"生成成长"),5))*(VLOOKUP($B$5,标准坦克设计!$B$24:$U$30,MATCH("对"&amp;LEFT($C$5,2)&amp;"输出",标准坦克设计!$B$23:$U$23,0)))*(VLOOKUP($B208,INDIRECT($B$5&amp;"生成成长"),3))*(VLOOKUP($B$5,标准坦克设计!$B$14:$K$20,9)/30))</f>
        <v>8.5637277723262404</v>
      </c>
      <c r="AH208" s="173">
        <f ca="1">(VLOOKUP(AH$72,INDIRECT($C$5&amp;"生成成长"),2))/((VLOOKUP($B208,INDIRECT($B$5&amp;"生成成长"),4))/(VLOOKUP(AH$72,INDIRECT($C$5&amp;"生成成长"),5))*(VLOOKUP($B$5,标准坦克设计!$B$24:$U$30,MATCH("对"&amp;LEFT($C$5,2)&amp;"输出",标准坦克设计!$B$23:$U$23,0)))*(VLOOKUP($B208,INDIRECT($B$5&amp;"生成成长"),3))*(VLOOKUP($B$5,标准坦克设计!$B$14:$K$20,9)/30))</f>
        <v>9.2025975601153398</v>
      </c>
      <c r="AI208" s="173">
        <f ca="1">(VLOOKUP(AI$72,INDIRECT($C$5&amp;"生成成长"),2))/((VLOOKUP($B208,INDIRECT($B$5&amp;"生成成长"),4))/(VLOOKUP(AI$72,INDIRECT($C$5&amp;"生成成长"),5))*(VLOOKUP($B$5,标准坦克设计!$B$24:$U$30,MATCH("对"&amp;LEFT($C$5,2)&amp;"输出",标准坦克设计!$B$23:$U$23,0)))*(VLOOKUP($B208,INDIRECT($B$5&amp;"生成成长"),3))*(VLOOKUP($B$5,标准坦克设计!$B$14:$K$20,9)/30))</f>
        <v>6.5086583200586015</v>
      </c>
      <c r="AJ208" s="173">
        <f ca="1">(VLOOKUP(AJ$72,INDIRECT($C$5&amp;"生成成长"),2))/((VLOOKUP($B208,INDIRECT($B$5&amp;"生成成长"),4))/(VLOOKUP(AJ$72,INDIRECT($C$5&amp;"生成成长"),5))*(VLOOKUP($B$5,标准坦克设计!$B$24:$U$30,MATCH("对"&amp;LEFT($C$5,2)&amp;"输出",标准坦克设计!$B$23:$U$23,0)))*(VLOOKUP($B208,INDIRECT($B$5&amp;"生成成长"),3))*(VLOOKUP($B$5,标准坦克设计!$B$14:$K$20,9)/30))</f>
        <v>7.124202466315114</v>
      </c>
      <c r="AK208" s="173">
        <f ca="1">(VLOOKUP(AK$72,INDIRECT($C$5&amp;"生成成长"),2))/((VLOOKUP($B208,INDIRECT($B$5&amp;"生成成长"),4))/(VLOOKUP(AK$72,INDIRECT($C$5&amp;"生成成长"),5))*(VLOOKUP($B$5,标准坦克设计!$B$24:$U$30,MATCH("对"&amp;LEFT($C$5,2)&amp;"输出",标准坦克设计!$B$23:$U$23,0)))*(VLOOKUP($B208,INDIRECT($B$5&amp;"生成成长"),3))*(VLOOKUP($B$5,标准坦克设计!$B$14:$K$20,9)/30))</f>
        <v>7.7675535349897871</v>
      </c>
      <c r="AL208" s="173">
        <f ca="1">(VLOOKUP(AL$72,INDIRECT($C$5&amp;"生成成长"),2))/((VLOOKUP($B208,INDIRECT($B$5&amp;"生成成长"),4))/(VLOOKUP(AL$72,INDIRECT($C$5&amp;"生成成长"),5))*(VLOOKUP($B$5,标准坦克设计!$B$24:$U$30,MATCH("对"&amp;LEFT($C$5,2)&amp;"输出",标准坦克设计!$B$23:$U$23,0)))*(VLOOKUP($B208,INDIRECT($B$5&amp;"生成成长"),3))*(VLOOKUP($B$5,标准坦克设计!$B$14:$K$20,9)/30))</f>
        <v>8.4387115260826171</v>
      </c>
      <c r="AM208" s="173">
        <f ca="1">(VLOOKUP(AM$72,INDIRECT($C$5&amp;"生成成长"),2))/((VLOOKUP($B208,INDIRECT($B$5&amp;"生成成长"),4))/(VLOOKUP(AM$72,INDIRECT($C$5&amp;"生成成长"),5))*(VLOOKUP($B$5,标准坦克设计!$B$24:$U$30,MATCH("对"&amp;LEFT($C$5,2)&amp;"输出",标准坦克设计!$B$23:$U$23,0)))*(VLOOKUP($B208,INDIRECT($B$5&amp;"生成成长"),3))*(VLOOKUP($B$5,标准坦克设计!$B$14:$K$20,9)/30))</f>
        <v>9.1376764395936068</v>
      </c>
      <c r="AN208" s="173">
        <f ca="1">(VLOOKUP(AN$72,INDIRECT($C$5&amp;"生成成长"),2))/((VLOOKUP($B208,INDIRECT($B$5&amp;"生成成长"),4))/(VLOOKUP(AN$72,INDIRECT($C$5&amp;"生成成长"),5))*(VLOOKUP($B$5,标准坦克设计!$B$24:$U$30,MATCH("对"&amp;LEFT($C$5,2)&amp;"输出",标准坦克设计!$B$23:$U$23,0)))*(VLOOKUP($B208,INDIRECT($B$5&amp;"生成成长"),3))*(VLOOKUP($B$5,标准坦克设计!$B$14:$K$20,9)/30))</f>
        <v>9.8644482755227525</v>
      </c>
      <c r="AO208" s="173">
        <f ca="1">(VLOOKUP(AO$72,INDIRECT($C$5&amp;"生成成长"),2))/((VLOOKUP($B208,INDIRECT($B$5&amp;"生成成长"),4))/(VLOOKUP(AO$72,INDIRECT($C$5&amp;"生成成长"),5))*(VLOOKUP($B$5,标准坦克设计!$B$24:$U$30,MATCH("对"&amp;LEFT($C$5,2)&amp;"输出",标准坦克设计!$B$23:$U$23,0)))*(VLOOKUP($B208,INDIRECT($B$5&amp;"生成成长"),3))*(VLOOKUP($B$5,标准坦克设计!$B$14:$K$20,9)/30))</f>
        <v>10.61902703387006</v>
      </c>
      <c r="AP208" s="173">
        <f ca="1">(VLOOKUP(AP$72,INDIRECT($C$5&amp;"生成成长"),2))/((VLOOKUP($B208,INDIRECT($B$5&amp;"生成成长"),4))/(VLOOKUP(AP$72,INDIRECT($C$5&amp;"生成成长"),5))*(VLOOKUP($B$5,标准坦克设计!$B$24:$U$30,MATCH("对"&amp;LEFT($C$5,2)&amp;"输出",标准坦克设计!$B$23:$U$23,0)))*(VLOOKUP($B208,INDIRECT($B$5&amp;"生成成长"),3))*(VLOOKUP($B$5,标准坦克设计!$B$14:$K$20,9)/30))</f>
        <v>11.401412714635526</v>
      </c>
      <c r="AQ208" s="173">
        <f ca="1">(VLOOKUP(AQ$72,INDIRECT($C$5&amp;"生成成长"),2))/((VLOOKUP($B208,INDIRECT($B$5&amp;"生成成长"),4))/(VLOOKUP(AQ$72,INDIRECT($C$5&amp;"生成成长"),5))*(VLOOKUP($B$5,标准坦克设计!$B$24:$U$30,MATCH("对"&amp;LEFT($C$5,2)&amp;"输出",标准坦克设计!$B$23:$U$23,0)))*(VLOOKUP($B208,INDIRECT($B$5&amp;"生成成长"),3))*(VLOOKUP($B$5,标准坦克设计!$B$14:$K$20,9)/30))</f>
        <v>12.211605317819151</v>
      </c>
      <c r="AR208" s="173">
        <f ca="1">(VLOOKUP(AR$72,INDIRECT($C$5&amp;"生成成长"),2))/((VLOOKUP($B208,INDIRECT($B$5&amp;"生成成长"),4))/(VLOOKUP(AR$72,INDIRECT($C$5&amp;"生成成长"),5))*(VLOOKUP($B$5,标准坦克设计!$B$24:$U$30,MATCH("对"&amp;LEFT($C$5,2)&amp;"输出",标准坦克设计!$B$23:$U$23,0)))*(VLOOKUP($B208,INDIRECT($B$5&amp;"生成成长"),3))*(VLOOKUP($B$5,标准坦克设计!$B$14:$K$20,9)/30))</f>
        <v>13.049604843420932</v>
      </c>
      <c r="AS208" s="173">
        <f ca="1">(VLOOKUP(AS$72,INDIRECT($C$5&amp;"生成成长"),2))/((VLOOKUP($B208,INDIRECT($B$5&amp;"生成成长"),4))/(VLOOKUP(AS$72,INDIRECT($C$5&amp;"生成成长"),5))*(VLOOKUP($B$5,标准坦克设计!$B$24:$U$30,MATCH("对"&amp;LEFT($C$5,2)&amp;"输出",标准坦克设计!$B$23:$U$23,0)))*(VLOOKUP($B208,INDIRECT($B$5&amp;"生成成长"),3))*(VLOOKUP($B$5,标准坦克设计!$B$14:$K$20,9)/30))</f>
        <v>13.915411291440876</v>
      </c>
      <c r="AT208" s="173">
        <f ca="1">(VLOOKUP(AT$72,INDIRECT($C$5&amp;"生成成长"),2))/((VLOOKUP($B208,INDIRECT($B$5&amp;"生成成长"),4))/(VLOOKUP(AT$72,INDIRECT($C$5&amp;"生成成长"),5))*(VLOOKUP($B$5,标准坦克设计!$B$24:$U$30,MATCH("对"&amp;LEFT($C$5,2)&amp;"输出",标准坦克设计!$B$23:$U$23,0)))*(VLOOKUP($B208,INDIRECT($B$5&amp;"生成成长"),3))*(VLOOKUP($B$5,标准坦克设计!$B$14:$K$20,9)/30))</f>
        <v>14.809024661878974</v>
      </c>
      <c r="AU208" s="173">
        <f ca="1">(VLOOKUP(AU$72,INDIRECT($C$5&amp;"生成成长"),2))/((VLOOKUP($B208,INDIRECT($B$5&amp;"生成成长"),4))/(VLOOKUP(AU$72,INDIRECT($C$5&amp;"生成成长"),5))*(VLOOKUP($B$5,标准坦克设计!$B$24:$U$30,MATCH("对"&amp;LEFT($C$5,2)&amp;"输出",标准坦克设计!$B$23:$U$23,0)))*(VLOOKUP($B208,INDIRECT($B$5&amp;"生成成长"),3))*(VLOOKUP($B$5,标准坦克设计!$B$14:$K$20,9)/30))</f>
        <v>15.730444954735233</v>
      </c>
      <c r="AV208" s="173">
        <f ca="1">(VLOOKUP(AV$72,INDIRECT($C$5&amp;"生成成长"),2))/((VLOOKUP($B208,INDIRECT($B$5&amp;"生成成长"),4))/(VLOOKUP(AV$72,INDIRECT($C$5&amp;"生成成长"),5))*(VLOOKUP($B$5,标准坦克设计!$B$24:$U$30,MATCH("对"&amp;LEFT($C$5,2)&amp;"输出",标准坦克设计!$B$23:$U$23,0)))*(VLOOKUP($B208,INDIRECT($B$5&amp;"生成成长"),3))*(VLOOKUP($B$5,标准坦克设计!$B$14:$K$20,9)/30))</f>
        <v>1.5999321807869498</v>
      </c>
      <c r="AW208" s="173">
        <f ca="1">(VLOOKUP(AW$72,INDIRECT($C$5&amp;"生成成长"),2))/((VLOOKUP($B208,INDIRECT($B$5&amp;"生成成长"),4))/(VLOOKUP(AW$72,INDIRECT($C$5&amp;"生成成长"),5))*(VLOOKUP($B$5,标准坦克设计!$B$24:$U$30,MATCH("对"&amp;LEFT($C$5,2)&amp;"输出",标准坦克设计!$B$23:$U$23,0)))*(VLOOKUP($B208,INDIRECT($B$5&amp;"生成成长"),3))*(VLOOKUP($B$5,标准坦克设计!$B$14:$K$20,9)/30))</f>
        <v>1.8242260343416841</v>
      </c>
      <c r="AX208" s="173">
        <f ca="1">(VLOOKUP(AX$72,INDIRECT($C$5&amp;"生成成长"),2))/((VLOOKUP($B208,INDIRECT($B$5&amp;"生成成长"),4))/(VLOOKUP(AX$72,INDIRECT($C$5&amp;"生成成长"),5))*(VLOOKUP($B$5,标准坦克设计!$B$24:$U$30,MATCH("对"&amp;LEFT($C$5,2)&amp;"输出",标准坦克设计!$B$23:$U$23,0)))*(VLOOKUP($B208,INDIRECT($B$5&amp;"生成成长"),3))*(VLOOKUP($B$5,标准坦克设计!$B$14:$K$20,9)/30))</f>
        <v>2.0632276815721391</v>
      </c>
      <c r="AY208" s="173">
        <f ca="1">(VLOOKUP(AY$72,INDIRECT($C$5&amp;"生成成长"),2))/((VLOOKUP($B208,INDIRECT($B$5&amp;"生成成长"),4))/(VLOOKUP(AY$72,INDIRECT($C$5&amp;"生成成长"),5))*(VLOOKUP($B$5,标准坦克设计!$B$24:$U$30,MATCH("对"&amp;LEFT($C$5,2)&amp;"输出",标准坦克设计!$B$23:$U$23,0)))*(VLOOKUP($B208,INDIRECT($B$5&amp;"生成成长"),3))*(VLOOKUP($B$5,标准坦克设计!$B$14:$K$20,9)/30))</f>
        <v>2.3169371224783144</v>
      </c>
      <c r="AZ208" s="173">
        <f ca="1">(VLOOKUP(AZ$72,INDIRECT($C$5&amp;"生成成长"),2))/((VLOOKUP($B208,INDIRECT($B$5&amp;"生成成长"),4))/(VLOOKUP(AZ$72,INDIRECT($C$5&amp;"生成成长"),5))*(VLOOKUP($B$5,标准坦克设计!$B$24:$U$30,MATCH("对"&amp;LEFT($C$5,2)&amp;"输出",标准坦克设计!$B$23:$U$23,0)))*(VLOOKUP($B208,INDIRECT($B$5&amp;"生成成长"),3))*(VLOOKUP($B$5,标准坦克设计!$B$14:$K$20,9)/30))</f>
        <v>2.5853543570602104</v>
      </c>
      <c r="BA208" s="173">
        <f ca="1">(VLOOKUP(BA$72,INDIRECT($C$5&amp;"生成成长"),2))/((VLOOKUP($B208,INDIRECT($B$5&amp;"生成成长"),4))/(VLOOKUP(BA$72,INDIRECT($C$5&amp;"生成成长"),5))*(VLOOKUP($B$5,标准坦克设计!$B$24:$U$30,MATCH("对"&amp;LEFT($C$5,2)&amp;"输出",标准坦克设计!$B$23:$U$23,0)))*(VLOOKUP($B208,INDIRECT($B$5&amp;"生成成长"),3))*(VLOOKUP($B$5,标准坦克设计!$B$14:$K$20,9)/30))</f>
        <v>2.8684793853178259</v>
      </c>
      <c r="BB208" s="173">
        <f ca="1">(VLOOKUP(BB$72,INDIRECT($C$5&amp;"生成成长"),2))/((VLOOKUP($B208,INDIRECT($B$5&amp;"生成成长"),4))/(VLOOKUP(BB$72,INDIRECT($C$5&amp;"生成成长"),5))*(VLOOKUP($B$5,标准坦克设计!$B$24:$U$30,MATCH("对"&amp;LEFT($C$5,2)&amp;"输出",标准坦克设计!$B$23:$U$23,0)))*(VLOOKUP($B208,INDIRECT($B$5&amp;"生成成长"),3))*(VLOOKUP($B$5,标准坦克设计!$B$14:$K$20,9)/30))</f>
        <v>3.1663122072511616</v>
      </c>
      <c r="BC208" s="173">
        <f ca="1">(VLOOKUP(BC$72,INDIRECT($C$5&amp;"生成成长"),2))/((VLOOKUP($B208,INDIRECT($B$5&amp;"生成成长"),4))/(VLOOKUP(BC$72,INDIRECT($C$5&amp;"生成成长"),5))*(VLOOKUP($B$5,标准坦克设计!$B$24:$U$30,MATCH("对"&amp;LEFT($C$5,2)&amp;"输出",标准坦克设计!$B$23:$U$23,0)))*(VLOOKUP($B208,INDIRECT($B$5&amp;"生成成长"),3))*(VLOOKUP($B$5,标准坦克设计!$B$14:$K$20,9)/30))</f>
        <v>3.4788528228602189</v>
      </c>
      <c r="BD208" s="173">
        <f ca="1">(VLOOKUP(BD$72,INDIRECT($C$5&amp;"生成成长"),2))/((VLOOKUP($B208,INDIRECT($B$5&amp;"生成成长"),4))/(VLOOKUP(BD$72,INDIRECT($C$5&amp;"生成成长"),5))*(VLOOKUP($B$5,标准坦克设计!$B$24:$U$30,MATCH("对"&amp;LEFT($C$5,2)&amp;"输出",标准坦克设计!$B$23:$U$23,0)))*(VLOOKUP($B208,INDIRECT($B$5&amp;"生成成长"),3))*(VLOOKUP($B$5,标准坦克设计!$B$14:$K$20,9)/30))</f>
        <v>3.8480414250484163</v>
      </c>
      <c r="BE208" s="173">
        <f ca="1">(VLOOKUP(BE$72,INDIRECT($C$5&amp;"生成成长"),2))/((VLOOKUP($B208,INDIRECT($B$5&amp;"生成成长"),4))/(VLOOKUP(BE$72,INDIRECT($C$5&amp;"生成成长"),5))*(VLOOKUP($B$5,标准坦克设计!$B$24:$U$30,MATCH("对"&amp;LEFT($C$5,2)&amp;"输出",标准坦克设计!$B$23:$U$23,0)))*(VLOOKUP($B208,INDIRECT($B$5&amp;"生成成长"),3))*(VLOOKUP($B$5,标准坦克设计!$B$14:$K$20,9)/30))</f>
        <v>4.2358445786074483</v>
      </c>
      <c r="BF208" s="173">
        <f ca="1">(VLOOKUP(BF$72,INDIRECT($C$5&amp;"生成成长"),2))/((VLOOKUP($B208,INDIRECT($B$5&amp;"生成成长"),4))/(VLOOKUP(BF$72,INDIRECT($C$5&amp;"生成成长"),5))*(VLOOKUP($B$5,标准坦克设计!$B$24:$U$30,MATCH("对"&amp;LEFT($C$5,2)&amp;"输出",标准坦克设计!$B$23:$U$23,0)))*(VLOOKUP($B208,INDIRECT($B$5&amp;"生成成长"),3))*(VLOOKUP($B$5,标准坦克设计!$B$14:$K$20,9)/30))</f>
        <v>4.6422622835373124</v>
      </c>
      <c r="BG208" s="173">
        <f ca="1">(VLOOKUP(BG$72,INDIRECT($C$5&amp;"生成成长"),2))/((VLOOKUP($B208,INDIRECT($B$5&amp;"生成成长"),4))/(VLOOKUP(BG$72,INDIRECT($C$5&amp;"生成成长"),5))*(VLOOKUP($B$5,标准坦克设计!$B$24:$U$30,MATCH("对"&amp;LEFT($C$5,2)&amp;"输出",标准坦克设计!$B$23:$U$23,0)))*(VLOOKUP($B208,INDIRECT($B$5&amp;"生成成长"),3))*(VLOOKUP($B$5,标准坦克设计!$B$14:$K$20,9)/30))</f>
        <v>5.067294539838012</v>
      </c>
      <c r="BH208" s="173">
        <f ca="1">(VLOOKUP(BH$72,INDIRECT($C$5&amp;"生成成长"),2))/((VLOOKUP($B208,INDIRECT($B$5&amp;"生成成长"),4))/(VLOOKUP(BH$72,INDIRECT($C$5&amp;"生成成长"),5))*(VLOOKUP($B$5,标准坦克设计!$B$24:$U$30,MATCH("对"&amp;LEFT($C$5,2)&amp;"输出",标准坦克设计!$B$23:$U$23,0)))*(VLOOKUP($B208,INDIRECT($B$5&amp;"生成成长"),3))*(VLOOKUP($B$5,标准坦克设计!$B$14:$K$20,9)/30))</f>
        <v>2.4493072655597969</v>
      </c>
      <c r="BI208" s="173">
        <f ca="1">(VLOOKUP(BI$72,INDIRECT($C$5&amp;"生成成长"),2))/((VLOOKUP($B208,INDIRECT($B$5&amp;"生成成长"),4))/(VLOOKUP(BI$72,INDIRECT($C$5&amp;"生成成长"),5))*(VLOOKUP($B$5,标准坦克设计!$B$24:$U$30,MATCH("对"&amp;LEFT($C$5,2)&amp;"输出",标准坦克设计!$B$23:$U$23,0)))*(VLOOKUP($B208,INDIRECT($B$5&amp;"生成成长"),3))*(VLOOKUP($B$5,标准坦克设计!$B$14:$K$20,9)/30))</f>
        <v>2.7605839301498465</v>
      </c>
      <c r="BJ208" s="173">
        <f ca="1">(VLOOKUP(BJ$72,INDIRECT($C$5&amp;"生成成长"),2))/((VLOOKUP($B208,INDIRECT($B$5&amp;"生成成长"),4))/(VLOOKUP(BJ$72,INDIRECT($C$5&amp;"生成成长"),5))*(VLOOKUP($B$5,标准坦克设计!$B$24:$U$30,MATCH("对"&amp;LEFT($C$5,2)&amp;"输出",标准坦克设计!$B$23:$U$23,0)))*(VLOOKUP($B208,INDIRECT($B$5&amp;"生成成长"),3))*(VLOOKUP($B$5,标准坦克设计!$B$14:$K$20,9)/30))</f>
        <v>3.0904751461107289</v>
      </c>
      <c r="BK208" s="173">
        <f ca="1">(VLOOKUP(BK$72,INDIRECT($C$5&amp;"生成成长"),2))/((VLOOKUP($B208,INDIRECT($B$5&amp;"生成成长"),4))/(VLOOKUP(BK$72,INDIRECT($C$5&amp;"生成成长"),5))*(VLOOKUP($B$5,标准坦克设计!$B$24:$U$30,MATCH("对"&amp;LEFT($C$5,2)&amp;"输出",标准坦克设计!$B$23:$U$23,0)))*(VLOOKUP($B208,INDIRECT($B$5&amp;"生成成长"),3))*(VLOOKUP($B$5,标准坦克设计!$B$14:$K$20,9)/30))</f>
        <v>3.4389809134424456</v>
      </c>
      <c r="BL208" s="173">
        <f ca="1">(VLOOKUP(BL$72,INDIRECT($C$5&amp;"生成成长"),2))/((VLOOKUP($B208,INDIRECT($B$5&amp;"生成成长"),4))/(VLOOKUP(BL$72,INDIRECT($C$5&amp;"生成成长"),5))*(VLOOKUP($B$5,标准坦克设计!$B$24:$U$30,MATCH("对"&amp;LEFT($C$5,2)&amp;"输出",标准坦克设计!$B$23:$U$23,0)))*(VLOOKUP($B208,INDIRECT($B$5&amp;"生成成长"),3))*(VLOOKUP($B$5,标准坦克设计!$B$14:$K$20,9)/30))</f>
        <v>3.8061012321449952</v>
      </c>
      <c r="BM208" s="173">
        <f ca="1">(VLOOKUP(BM$72,INDIRECT($C$5&amp;"生成成长"),2))/((VLOOKUP($B208,INDIRECT($B$5&amp;"生成成长"),4))/(VLOOKUP(BM$72,INDIRECT($C$5&amp;"生成成长"),5))*(VLOOKUP($B$5,标准坦克设计!$B$24:$U$30,MATCH("对"&amp;LEFT($C$5,2)&amp;"输出",标准坦克设计!$B$23:$U$23,0)))*(VLOOKUP($B208,INDIRECT($B$5&amp;"生成成长"),3))*(VLOOKUP($B$5,标准坦克设计!$B$14:$K$20,9)/30))</f>
        <v>4.191836102218379</v>
      </c>
      <c r="BN208" s="173">
        <f ca="1">(VLOOKUP(BN$72,INDIRECT($C$5&amp;"生成成长"),2))/((VLOOKUP($B208,INDIRECT($B$5&amp;"生成成长"),4))/(VLOOKUP(BN$72,INDIRECT($C$5&amp;"生成成长"),5))*(VLOOKUP($B$5,标准坦克设计!$B$24:$U$30,MATCH("对"&amp;LEFT($C$5,2)&amp;"输出",标准坦克设计!$B$23:$U$23,0)))*(VLOOKUP($B208,INDIRECT($B$5&amp;"生成成长"),3))*(VLOOKUP($B$5,标准坦克设计!$B$14:$K$20,9)/30))</f>
        <v>4.5961855236625953</v>
      </c>
      <c r="BO208" s="173">
        <f ca="1">(VLOOKUP(BO$72,INDIRECT($C$5&amp;"生成成长"),2))/((VLOOKUP($B208,INDIRECT($B$5&amp;"生成成长"),4))/(VLOOKUP(BO$72,INDIRECT($C$5&amp;"生成成长"),5))*(VLOOKUP($B$5,标准坦克设计!$B$24:$U$30,MATCH("对"&amp;LEFT($C$5,2)&amp;"输出",标准坦克设计!$B$23:$U$23,0)))*(VLOOKUP($B208,INDIRECT($B$5&amp;"生成成长"),3))*(VLOOKUP($B$5,标准坦克设计!$B$14:$K$20,9)/30))</f>
        <v>5.0191494964776453</v>
      </c>
      <c r="BP208" s="173">
        <f ca="1">(VLOOKUP(BP$72,INDIRECT($C$5&amp;"生成成长"),2))/((VLOOKUP($B208,INDIRECT($B$5&amp;"生成成长"),4))/(VLOOKUP(BP$72,INDIRECT($C$5&amp;"生成成长"),5))*(VLOOKUP($B$5,标准坦克设计!$B$24:$U$30,MATCH("对"&amp;LEFT($C$5,2)&amp;"输出",标准坦克设计!$B$23:$U$23,0)))*(VLOOKUP($B208,INDIRECT($B$5&amp;"生成成长"),3))*(VLOOKUP($B$5,标准坦克设计!$B$14:$K$20,9)/30))</f>
        <v>5.4607280206635291</v>
      </c>
      <c r="BQ208" s="173">
        <f ca="1">(VLOOKUP(BQ$72,INDIRECT($C$5&amp;"生成成长"),2))/((VLOOKUP($B208,INDIRECT($B$5&amp;"生成成长"),4))/(VLOOKUP(BQ$72,INDIRECT($C$5&amp;"生成成长"),5))*(VLOOKUP($B$5,标准坦克设计!$B$24:$U$30,MATCH("对"&amp;LEFT($C$5,2)&amp;"输出",标准坦克设计!$B$23:$U$23,0)))*(VLOOKUP($B208,INDIRECT($B$5&amp;"生成成长"),3))*(VLOOKUP($B$5,标准坦克设计!$B$14:$K$20,9)/30))</f>
        <v>5.9209210962202459</v>
      </c>
      <c r="BR208" s="173">
        <f ca="1">(VLOOKUP(BR$72,INDIRECT($C$5&amp;"生成成长"),2))/((VLOOKUP($B208,INDIRECT($B$5&amp;"生成成长"),4))/(VLOOKUP(BR$72,INDIRECT($C$5&amp;"生成成长"),5))*(VLOOKUP($B$5,标准坦克设计!$B$24:$U$30,MATCH("对"&amp;LEFT($C$5,2)&amp;"输出",标准坦克设计!$B$23:$U$23,0)))*(VLOOKUP($B208,INDIRECT($B$5&amp;"生成成长"),3))*(VLOOKUP($B$5,标准坦克设计!$B$14:$K$20,9)/30))</f>
        <v>6.4540786169651092</v>
      </c>
      <c r="BS208" s="173">
        <f ca="1">(VLOOKUP(BS$72,INDIRECT($C$5&amp;"生成成长"),2))/((VLOOKUP($B208,INDIRECT($B$5&amp;"生成成长"),4))/(VLOOKUP(BS$72,INDIRECT($C$5&amp;"生成成长"),5))*(VLOOKUP($B$5,标准坦克设计!$B$24:$U$30,MATCH("对"&amp;LEFT($C$5,2)&amp;"输出",标准坦克设计!$B$23:$U$23,0)))*(VLOOKUP($B208,INDIRECT($B$5&amp;"生成成长"),3))*(VLOOKUP($B$5,标准坦克设计!$B$14:$K$20,9)/30))</f>
        <v>7.0102170653282831</v>
      </c>
      <c r="BT208" s="173">
        <f ca="1">(VLOOKUP(BT$72,INDIRECT($C$5&amp;"生成成长"),2))/((VLOOKUP($B208,INDIRECT($B$5&amp;"生成成长"),4))/(VLOOKUP(BT$72,INDIRECT($C$5&amp;"生成成长"),5))*(VLOOKUP($B$5,标准坦克设计!$B$24:$U$30,MATCH("对"&amp;LEFT($C$5,2)&amp;"输出",标准坦克设计!$B$23:$U$23,0)))*(VLOOKUP($B208,INDIRECT($B$5&amp;"生成成长"),3))*(VLOOKUP($B$5,标准坦克设计!$B$14:$K$20,9)/30))</f>
        <v>7.5893364413097695</v>
      </c>
      <c r="BU208" s="173">
        <f ca="1">(VLOOKUP(BU$72,INDIRECT($C$5&amp;"生成成长"),2))/((VLOOKUP($B208,INDIRECT($B$5&amp;"生成成长"),4))/(VLOOKUP(BU$72,INDIRECT($C$5&amp;"生成成长"),5))*(VLOOKUP($B$5,标准坦克设计!$B$24:$U$30,MATCH("对"&amp;LEFT($C$5,2)&amp;"输出",标准坦克设计!$B$23:$U$23,0)))*(VLOOKUP($B208,INDIRECT($B$5&amp;"生成成长"),3))*(VLOOKUP($B$5,标准坦克设计!$B$14:$K$20,9)/30))</f>
        <v>8.19143674490957</v>
      </c>
      <c r="BV208" s="173">
        <f ca="1">(VLOOKUP(BV$72,INDIRECT($C$5&amp;"生成成长"),2))/((VLOOKUP($B208,INDIRECT($B$5&amp;"生成成长"),4))/(VLOOKUP(BV$72,INDIRECT($C$5&amp;"生成成长"),5))*(VLOOKUP($B$5,标准坦克设计!$B$24:$U$30,MATCH("对"&amp;LEFT($C$5,2)&amp;"输出",标准坦克设计!$B$23:$U$23,0)))*(VLOOKUP($B208,INDIRECT($B$5&amp;"生成成长"),3))*(VLOOKUP($B$5,标准坦克设计!$B$14:$K$20,9)/30))</f>
        <v>8.8165179761276828</v>
      </c>
      <c r="BW208" s="173">
        <f ca="1">(VLOOKUP(BW$72,INDIRECT($C$5&amp;"生成成长"),2))/((VLOOKUP($B208,INDIRECT($B$5&amp;"生成成长"),4))/(VLOOKUP(BW$72,INDIRECT($C$5&amp;"生成成长"),5))*(VLOOKUP($B$5,标准坦克设计!$B$24:$U$30,MATCH("对"&amp;LEFT($C$5,2)&amp;"输出",标准坦克设计!$B$23:$U$23,0)))*(VLOOKUP($B208,INDIRECT($B$5&amp;"生成成长"),3))*(VLOOKUP($B$5,标准坦克设计!$B$14:$K$20,9)/30))</f>
        <v>4.0181002894239324</v>
      </c>
      <c r="BX208" s="173">
        <f ca="1">(VLOOKUP(BX$72,INDIRECT($C$5&amp;"生成成长"),2))/((VLOOKUP($B208,INDIRECT($B$5&amp;"生成成长"),4))/(VLOOKUP(BX$72,INDIRECT($C$5&amp;"生成成长"),5))*(VLOOKUP($B$5,标准坦克设计!$B$24:$U$30,MATCH("对"&amp;LEFT($C$5,2)&amp;"输出",标准坦克设计!$B$23:$U$23,0)))*(VLOOKUP($B208,INDIRECT($B$5&amp;"生成成长"),3))*(VLOOKUP($B$5,标准坦克设计!$B$14:$K$20,9)/30))</f>
        <v>4.4593340996955417</v>
      </c>
      <c r="BY208" s="173">
        <f ca="1">(VLOOKUP(BY$72,INDIRECT($C$5&amp;"生成成长"),2))/((VLOOKUP($B208,INDIRECT($B$5&amp;"生成成长"),4))/(VLOOKUP(BY$72,INDIRECT($C$5&amp;"生成成长"),5))*(VLOOKUP($B$5,标准坦克设计!$B$24:$U$30,MATCH("对"&amp;LEFT($C$5,2)&amp;"输出",标准坦克设计!$B$23:$U$23,0)))*(VLOOKUP($B208,INDIRECT($B$5&amp;"生成成长"),3))*(VLOOKUP($B$5,标准坦克设计!$B$14:$K$20,9)/30))</f>
        <v>4.9235488375854635</v>
      </c>
      <c r="BZ208" s="173">
        <f ca="1">(VLOOKUP(BZ$72,INDIRECT($C$5&amp;"生成成长"),2))/((VLOOKUP($B208,INDIRECT($B$5&amp;"生成成长"),4))/(VLOOKUP(BZ$72,INDIRECT($C$5&amp;"生成成长"),5))*(VLOOKUP($B$5,标准坦克设计!$B$24:$U$30,MATCH("对"&amp;LEFT($C$5,2)&amp;"输出",标准坦克设计!$B$23:$U$23,0)))*(VLOOKUP($B208,INDIRECT($B$5&amp;"生成成长"),3))*(VLOOKUP($B$5,标准坦克设计!$B$14:$K$20,9)/30))</f>
        <v>5.4107445030936985</v>
      </c>
      <c r="CA208" s="173">
        <f ca="1">(VLOOKUP(CA$72,INDIRECT($C$5&amp;"生成成长"),2))/((VLOOKUP($B208,INDIRECT($B$5&amp;"生成成长"),4))/(VLOOKUP(CA$72,INDIRECT($C$5&amp;"生成成长"),5))*(VLOOKUP($B$5,标准坦克设计!$B$24:$U$30,MATCH("对"&amp;LEFT($C$5,2)&amp;"输出",标准坦克设计!$B$23:$U$23,0)))*(VLOOKUP($B208,INDIRECT($B$5&amp;"生成成长"),3))*(VLOOKUP($B$5,标准坦克设计!$B$14:$K$20,9)/30))</f>
        <v>5.9209210962202459</v>
      </c>
      <c r="CB208" s="173">
        <f ca="1">(VLOOKUP(CB$72,INDIRECT($C$5&amp;"生成成长"),2))/((VLOOKUP($B208,INDIRECT($B$5&amp;"生成成长"),4))/(VLOOKUP(CB$72,INDIRECT($C$5&amp;"生成成长"),5))*(VLOOKUP($B$5,标准坦克设计!$B$24:$U$30,MATCH("对"&amp;LEFT($C$5,2)&amp;"输出",标准坦克设计!$B$23:$U$23,0)))*(VLOOKUP($B208,INDIRECT($B$5&amp;"生成成长"),3))*(VLOOKUP($B$5,标准坦克设计!$B$14:$K$20,9)/30))</f>
        <v>6.4540786169651092</v>
      </c>
      <c r="CC208" s="173">
        <f ca="1">(VLOOKUP(CC$72,INDIRECT($C$5&amp;"生成成长"),2))/((VLOOKUP($B208,INDIRECT($B$5&amp;"生成成长"),4))/(VLOOKUP(CC$72,INDIRECT($C$5&amp;"生成成长"),5))*(VLOOKUP($B$5,标准坦克设计!$B$24:$U$30,MATCH("对"&amp;LEFT($C$5,2)&amp;"输出",标准坦克设计!$B$23:$U$23,0)))*(VLOOKUP($B208,INDIRECT($B$5&amp;"生成成长"),3))*(VLOOKUP($B$5,标准坦克设计!$B$14:$K$20,9)/30))</f>
        <v>7.0102170653282831</v>
      </c>
      <c r="CD208" s="173">
        <f ca="1">(VLOOKUP(CD$72,INDIRECT($C$5&amp;"生成成长"),2))/((VLOOKUP($B208,INDIRECT($B$5&amp;"生成成长"),4))/(VLOOKUP(CD$72,INDIRECT($C$5&amp;"生成成长"),5))*(VLOOKUP($B$5,标准坦克设计!$B$24:$U$30,MATCH("对"&amp;LEFT($C$5,2)&amp;"输出",标准坦克设计!$B$23:$U$23,0)))*(VLOOKUP($B208,INDIRECT($B$5&amp;"生成成长"),3))*(VLOOKUP($B$5,标准坦克设计!$B$14:$K$20,9)/30))</f>
        <v>7.5893364413097695</v>
      </c>
      <c r="CE208" s="173">
        <f ca="1">(VLOOKUP(CE$72,INDIRECT($C$5&amp;"生成成长"),2))/((VLOOKUP($B208,INDIRECT($B$5&amp;"生成成长"),4))/(VLOOKUP(CE$72,INDIRECT($C$5&amp;"生成成长"),5))*(VLOOKUP($B$5,标准坦克设计!$B$24:$U$30,MATCH("对"&amp;LEFT($C$5,2)&amp;"输出",标准坦克设计!$B$23:$U$23,0)))*(VLOOKUP($B208,INDIRECT($B$5&amp;"生成成长"),3))*(VLOOKUP($B$5,标准坦克设计!$B$14:$K$20,9)/30))</f>
        <v>8.19143674490957</v>
      </c>
      <c r="CF208" s="173">
        <f ca="1">(VLOOKUP(CF$72,INDIRECT($C$5&amp;"生成成长"),2))/((VLOOKUP($B208,INDIRECT($B$5&amp;"生成成长"),4))/(VLOOKUP(CF$72,INDIRECT($C$5&amp;"生成成长"),5))*(VLOOKUP($B$5,标准坦克设计!$B$24:$U$30,MATCH("对"&amp;LEFT($C$5,2)&amp;"输出",标准坦克设计!$B$23:$U$23,0)))*(VLOOKUP($B208,INDIRECT($B$5&amp;"生成成长"),3))*(VLOOKUP($B$5,标准坦克设计!$B$14:$K$20,9)/30))</f>
        <v>8.8165179761276828</v>
      </c>
      <c r="CG208" s="173">
        <f ca="1">(VLOOKUP(CG$72,INDIRECT($C$5&amp;"生成成长"),2))/((VLOOKUP($B208,INDIRECT($B$5&amp;"生成成长"),4))/(VLOOKUP(CG$72,INDIRECT($C$5&amp;"生成成长"),5))*(VLOOKUP($B$5,标准坦克设计!$B$24:$U$30,MATCH("对"&amp;LEFT($C$5,2)&amp;"输出",标准坦克设计!$B$23:$U$23,0)))*(VLOOKUP($B208,INDIRECT($B$5&amp;"生成成长"),3))*(VLOOKUP($B$5,标准坦克设计!$B$14:$K$20,9)/30))</f>
        <v>9.4645801349641072</v>
      </c>
      <c r="CH208" s="173">
        <f ca="1">(VLOOKUP(CH$72,INDIRECT($C$5&amp;"生成成长"),2))/((VLOOKUP($B208,INDIRECT($B$5&amp;"生成成长"),4))/(VLOOKUP(CH$72,INDIRECT($C$5&amp;"生成成长"),5))*(VLOOKUP($B$5,标准坦克设计!$B$24:$U$30,MATCH("对"&amp;LEFT($C$5,2)&amp;"输出",标准坦克设计!$B$23:$U$23,0)))*(VLOOKUP($B208,INDIRECT($B$5&amp;"生成成长"),3))*(VLOOKUP($B$5,标准坦克设计!$B$14:$K$20,9)/30))</f>
        <v>10.135623221418847</v>
      </c>
      <c r="CI208" s="173">
        <f ca="1">(VLOOKUP(CI$72,INDIRECT($C$5&amp;"生成成长"),2))/((VLOOKUP($B208,INDIRECT($B$5&amp;"生成成长"),4))/(VLOOKUP(CI$72,INDIRECT($C$5&amp;"生成成长"),5))*(VLOOKUP($B$5,标准坦克设计!$B$24:$U$30,MATCH("对"&amp;LEFT($C$5,2)&amp;"输出",标准坦克设计!$B$23:$U$23,0)))*(VLOOKUP($B208,INDIRECT($B$5&amp;"生成成长"),3))*(VLOOKUP($B$5,标准坦克设计!$B$14:$K$20,9)/30))</f>
        <v>10.900313587918214</v>
      </c>
      <c r="CJ208" s="173">
        <f ca="1">(VLOOKUP(CJ$72,INDIRECT($C$5&amp;"生成成长"),2))/((VLOOKUP($B208,INDIRECT($B$5&amp;"生成成长"),4))/(VLOOKUP(CJ$72,INDIRECT($C$5&amp;"生成成长"),5))*(VLOOKUP($B$5,标准坦克设计!$B$24:$U$30,MATCH("对"&amp;LEFT($C$5,2)&amp;"输出",标准坦克设计!$B$23:$U$23,0)))*(VLOOKUP($B208,INDIRECT($B$5&amp;"生成成长"),3))*(VLOOKUP($B$5,标准坦克设计!$B$14:$K$20,9)/30))</f>
        <v>11.692810876835733</v>
      </c>
      <c r="CK208" s="173">
        <f ca="1">(VLOOKUP(CK$72,INDIRECT($C$5&amp;"生成成长"),2))/((VLOOKUP($B208,INDIRECT($B$5&amp;"生成成长"),4))/(VLOOKUP(CK$72,INDIRECT($C$5&amp;"生成成长"),5))*(VLOOKUP($B$5,标准坦克设计!$B$24:$U$30,MATCH("对"&amp;LEFT($C$5,2)&amp;"输出",标准坦克设计!$B$23:$U$23,0)))*(VLOOKUP($B208,INDIRECT($B$5&amp;"生成成长"),3))*(VLOOKUP($B$5,标准坦克设计!$B$14:$K$20,9)/30))</f>
        <v>12.513115088171412</v>
      </c>
      <c r="CL208" s="173">
        <f ca="1">(VLOOKUP(CL$72,INDIRECT($C$5&amp;"生成成长"),2))/((VLOOKUP($B208,INDIRECT($B$5&amp;"生成成长"),4))/(VLOOKUP(CL$72,INDIRECT($C$5&amp;"生成成长"),5))*(VLOOKUP($B$5,标准坦克设计!$B$24:$U$30,MATCH("对"&amp;LEFT($C$5,2)&amp;"输出",标准坦克设计!$B$23:$U$23,0)))*(VLOOKUP($B208,INDIRECT($B$5&amp;"生成成长"),3))*(VLOOKUP($B$5,标准坦克设计!$B$14:$K$20,9)/30))</f>
        <v>13.361226221925255</v>
      </c>
      <c r="CM208" s="173">
        <f ca="1">(VLOOKUP(CM$72,INDIRECT($C$5&amp;"生成成长"),2))/((VLOOKUP($B208,INDIRECT($B$5&amp;"生成成长"),4))/(VLOOKUP(CM$72,INDIRECT($C$5&amp;"生成成长"),5))*(VLOOKUP($B$5,标准坦克设计!$B$24:$U$30,MATCH("对"&amp;LEFT($C$5,2)&amp;"输出",标准坦克设计!$B$23:$U$23,0)))*(VLOOKUP($B208,INDIRECT($B$5&amp;"生成成长"),3))*(VLOOKUP($B$5,标准坦克设计!$B$14:$K$20,9)/30))</f>
        <v>14.237144278097254</v>
      </c>
      <c r="CN208" s="173">
        <f ca="1">(VLOOKUP(CN$72,INDIRECT($C$5&amp;"生成成长"),2))/((VLOOKUP($B208,INDIRECT($B$5&amp;"生成成长"),4))/(VLOOKUP(CN$72,INDIRECT($C$5&amp;"生成成长"),5))*(VLOOKUP($B$5,标准坦克设计!$B$24:$U$30,MATCH("对"&amp;LEFT($C$5,2)&amp;"输出",标准坦克设计!$B$23:$U$23,0)))*(VLOOKUP($B208,INDIRECT($B$5&amp;"生成成长"),3))*(VLOOKUP($B$5,标准坦克设计!$B$14:$K$20,9)/30))</f>
        <v>15.140869256687413</v>
      </c>
      <c r="CO208" s="173">
        <f ca="1">(VLOOKUP(CO$72,INDIRECT($C$5&amp;"生成成长"),2))/((VLOOKUP($B208,INDIRECT($B$5&amp;"生成成长"),4))/(VLOOKUP(CO$72,INDIRECT($C$5&amp;"生成成长"),5))*(VLOOKUP($B$5,标准坦克设计!$B$24:$U$30,MATCH("对"&amp;LEFT($C$5,2)&amp;"输出",标准坦克设计!$B$23:$U$23,0)))*(VLOOKUP($B208,INDIRECT($B$5&amp;"生成成长"),3))*(VLOOKUP($B$5,标准坦克设计!$B$14:$K$20,9)/30))</f>
        <v>6.7850039746688147</v>
      </c>
      <c r="CP208" s="173">
        <f ca="1">(VLOOKUP(CP$72,INDIRECT($C$5&amp;"生成成长"),2))/((VLOOKUP($B208,INDIRECT($B$5&amp;"生成成长"),4))/(VLOOKUP(CP$72,INDIRECT($C$5&amp;"生成成长"),5))*(VLOOKUP($B$5,标准坦克设计!$B$24:$U$30,MATCH("对"&amp;LEFT($C$5,2)&amp;"输出",标准坦克设计!$B$23:$U$23,0)))*(VLOOKUP($B208,INDIRECT($B$5&amp;"生成成长"),3))*(VLOOKUP($B$5,标准坦克设计!$B$14:$K$20,9)/30))</f>
        <v>7.4131876311154006</v>
      </c>
      <c r="CQ208" s="173">
        <f ca="1">(VLOOKUP(CQ$72,INDIRECT($C$5&amp;"生成成长"),2))/((VLOOKUP($B208,INDIRECT($B$5&amp;"生成成长"),4))/(VLOOKUP(CQ$72,INDIRECT($C$5&amp;"生成成长"),5))*(VLOOKUP($B$5,标准坦克设计!$B$24:$U$30,MATCH("对"&amp;LEFT($C$5,2)&amp;"输出",标准坦克设计!$B$23:$U$23,0)))*(VLOOKUP($B208,INDIRECT($B$5&amp;"生成成长"),3))*(VLOOKUP($B$5,标准坦克设计!$B$14:$K$20,9)/30))</f>
        <v>8.0691782099801426</v>
      </c>
      <c r="CR208" s="173">
        <f ca="1">(VLOOKUP(CR$72,INDIRECT($C$5&amp;"生成成长"),2))/((VLOOKUP($B208,INDIRECT($B$5&amp;"生成成长"),4))/(VLOOKUP(CR$72,INDIRECT($C$5&amp;"生成成长"),5))*(VLOOKUP($B$5,标准坦克设计!$B$24:$U$30,MATCH("对"&amp;LEFT($C$5,2)&amp;"输出",标准坦克设计!$B$23:$U$23,0)))*(VLOOKUP($B208,INDIRECT($B$5&amp;"生成成长"),3))*(VLOOKUP($B$5,标准坦克设计!$B$14:$K$20,9)/30))</f>
        <v>8.752975711263046</v>
      </c>
      <c r="CS208" s="173">
        <f ca="1">(VLOOKUP(CS$72,INDIRECT($C$5&amp;"生成成长"),2))/((VLOOKUP($B208,INDIRECT($B$5&amp;"生成成长"),4))/(VLOOKUP(CS$72,INDIRECT($C$5&amp;"生成成长"),5))*(VLOOKUP($B$5,标准坦克设计!$B$24:$U$30,MATCH("对"&amp;LEFT($C$5,2)&amp;"输出",标准坦克设计!$B$23:$U$23,0)))*(VLOOKUP($B208,INDIRECT($B$5&amp;"生成成长"),3))*(VLOOKUP($B$5,标准坦克设计!$B$14:$K$20,9)/30))</f>
        <v>9.4645801349641072</v>
      </c>
      <c r="CT208" s="173">
        <f ca="1">(VLOOKUP(CT$72,INDIRECT($C$5&amp;"生成成长"),2))/((VLOOKUP($B208,INDIRECT($B$5&amp;"生成成长"),4))/(VLOOKUP(CT$72,INDIRECT($C$5&amp;"生成成长"),5))*(VLOOKUP($B$5,标准坦克设计!$B$24:$U$30,MATCH("对"&amp;LEFT($C$5,2)&amp;"输出",标准坦克设计!$B$23:$U$23,0)))*(VLOOKUP($B208,INDIRECT($B$5&amp;"生成成长"),3))*(VLOOKUP($B$5,标准坦克设计!$B$14:$K$20,9)/30))</f>
        <v>10.203991481083328</v>
      </c>
      <c r="CU208" s="173">
        <f ca="1">(VLOOKUP(CU$72,INDIRECT($C$5&amp;"生成成长"),2))/((VLOOKUP($B208,INDIRECT($B$5&amp;"生成成长"),4))/(VLOOKUP(CU$72,INDIRECT($C$5&amp;"生成成长"),5))*(VLOOKUP($B$5,标准坦克设计!$B$24:$U$30,MATCH("对"&amp;LEFT($C$5,2)&amp;"输出",标准坦克设计!$B$23:$U$23,0)))*(VLOOKUP($B208,INDIRECT($B$5&amp;"生成成长"),3))*(VLOOKUP($B$5,标准坦克设计!$B$14:$K$20,9)/30))</f>
        <v>10.971209749620705</v>
      </c>
      <c r="CV208" s="173">
        <f ca="1">(VLOOKUP(CV$72,INDIRECT($C$5&amp;"生成成长"),2))/((VLOOKUP($B208,INDIRECT($B$5&amp;"生成成长"),4))/(VLOOKUP(CV$72,INDIRECT($C$5&amp;"生成成长"),5))*(VLOOKUP($B$5,标准坦克设计!$B$24:$U$30,MATCH("对"&amp;LEFT($C$5,2)&amp;"输出",标准坦克设计!$B$23:$U$23,0)))*(VLOOKUP($B208,INDIRECT($B$5&amp;"生成成长"),3))*(VLOOKUP($B$5,标准坦克设计!$B$14:$K$20,9)/30))</f>
        <v>11.766234940576243</v>
      </c>
      <c r="CW208" s="173">
        <f ca="1">(VLOOKUP(CW$72,INDIRECT($C$5&amp;"生成成长"),2))/((VLOOKUP($B208,INDIRECT($B$5&amp;"生成成长"),4))/(VLOOKUP(CW$72,INDIRECT($C$5&amp;"生成成长"),5))*(VLOOKUP($B$5,标准坦克设计!$B$24:$U$30,MATCH("对"&amp;LEFT($C$5,2)&amp;"输出",标准坦克设计!$B$23:$U$23,0)))*(VLOOKUP($B208,INDIRECT($B$5&amp;"生成成长"),3))*(VLOOKUP($B$5,标准坦克设计!$B$14:$K$20,9)/30))</f>
        <v>12.589067053949941</v>
      </c>
      <c r="CX208" s="173">
        <f ca="1">(VLOOKUP(CX$72,INDIRECT($C$5&amp;"生成成长"),2))/((VLOOKUP($B208,INDIRECT($B$5&amp;"生成成长"),4))/(VLOOKUP(CX$72,INDIRECT($C$5&amp;"生成成长"),5))*(VLOOKUP($B$5,标准坦克设计!$B$24:$U$30,MATCH("对"&amp;LEFT($C$5,2)&amp;"输出",标准坦克设计!$B$23:$U$23,0)))*(VLOOKUP($B208,INDIRECT($B$5&amp;"生成成长"),3))*(VLOOKUP($B$5,标准坦克设计!$B$14:$K$20,9)/30))</f>
        <v>13.439706089741795</v>
      </c>
      <c r="CY208" s="173">
        <f ca="1">(VLOOKUP(CY$72,INDIRECT($C$5&amp;"生成成长"),2))/((VLOOKUP($B208,INDIRECT($B$5&amp;"生成成长"),4))/(VLOOKUP(CY$72,INDIRECT($C$5&amp;"生成成长"),5))*(VLOOKUP($B$5,标准坦克设计!$B$24:$U$30,MATCH("对"&amp;LEFT($C$5,2)&amp;"输出",标准坦克设计!$B$23:$U$23,0)))*(VLOOKUP($B208,INDIRECT($B$5&amp;"生成成长"),3))*(VLOOKUP($B$5,标准坦克设计!$B$14:$K$20,9)/30))</f>
        <v>14.318152047951807</v>
      </c>
      <c r="CZ208" s="173">
        <f ca="1">(VLOOKUP(CZ$72,INDIRECT($C$5&amp;"生成成长"),2))/((VLOOKUP($B208,INDIRECT($B$5&amp;"生成成长"),4))/(VLOOKUP(CZ$72,INDIRECT($C$5&amp;"生成成长"),5))*(VLOOKUP($B$5,标准坦克设计!$B$24:$U$30,MATCH("对"&amp;LEFT($C$5,2)&amp;"输出",标准坦克设计!$B$23:$U$23,0)))*(VLOOKUP($B208,INDIRECT($B$5&amp;"生成成长"),3))*(VLOOKUP($B$5,标准坦克设计!$B$14:$K$20,9)/30))</f>
        <v>15.224404928579981</v>
      </c>
      <c r="DA208" s="173">
        <f ca="1">(VLOOKUP(DA$72,INDIRECT($C$5&amp;"生成成长"),2))/((VLOOKUP($B208,INDIRECT($B$5&amp;"生成成长"),4))/(VLOOKUP(DA$72,INDIRECT($C$5&amp;"生成成长"),5))*(VLOOKUP($B$5,标准坦克设计!$B$24:$U$30,MATCH("对"&amp;LEFT($C$5,2)&amp;"输出",标准坦克设计!$B$23:$U$23,0)))*(VLOOKUP($B208,INDIRECT($B$5&amp;"生成成长"),3))*(VLOOKUP($B$5,标准坦克设计!$B$14:$K$20,9)/30))</f>
        <v>16.158464731626314</v>
      </c>
      <c r="DB208" s="173">
        <f ca="1">(VLOOKUP(DB$72,INDIRECT($C$5&amp;"生成成长"),2))/((VLOOKUP($B208,INDIRECT($B$5&amp;"生成成长"),4))/(VLOOKUP(DB$72,INDIRECT($C$5&amp;"生成成长"),5))*(VLOOKUP($B$5,标准坦克设计!$B$24:$U$30,MATCH("对"&amp;LEFT($C$5,2)&amp;"输出",标准坦克设计!$B$23:$U$23,0)))*(VLOOKUP($B208,INDIRECT($B$5&amp;"生成成长"),3))*(VLOOKUP($B$5,标准坦克设计!$B$14:$K$20,9)/30))</f>
        <v>17.120331457090799</v>
      </c>
      <c r="DC208" s="173">
        <f ca="1">(VLOOKUP(DC$72,INDIRECT($C$5&amp;"生成成长"),2))/((VLOOKUP($B208,INDIRECT($B$5&amp;"生成成长"),4))/(VLOOKUP(DC$72,INDIRECT($C$5&amp;"生成成长"),5))*(VLOOKUP($B$5,标准坦克设计!$B$24:$U$30,MATCH("对"&amp;LEFT($C$5,2)&amp;"输出",标准坦克设计!$B$23:$U$23,0)))*(VLOOKUP($B208,INDIRECT($B$5&amp;"生成成长"),3))*(VLOOKUP($B$5,标准坦克设计!$B$14:$K$20,9)/30))</f>
        <v>18.201354292256241</v>
      </c>
      <c r="DD208" s="173">
        <f ca="1">(VLOOKUP(DD$72,INDIRECT($C$5&amp;"生成成长"),2))/((VLOOKUP($B208,INDIRECT($B$5&amp;"生成成长"),4))/(VLOOKUP(DD$72,INDIRECT($C$5&amp;"生成成长"),5))*(VLOOKUP($B$5,标准坦克设计!$B$24:$U$30,MATCH("对"&amp;LEFT($C$5,2)&amp;"输出",标准坦克设计!$B$23:$U$23,0)))*(VLOOKUP($B208,INDIRECT($B$5&amp;"生成成长"),3))*(VLOOKUP($B$5,标准坦克设计!$B$14:$K$20,9)/30))</f>
        <v>19.315469663192054</v>
      </c>
      <c r="DE208" s="173">
        <f ca="1">(VLOOKUP(DE$72,INDIRECT($C$5&amp;"生成成长"),2))/((VLOOKUP($B208,INDIRECT($B$5&amp;"生成成长"),4))/(VLOOKUP(DE$72,INDIRECT($C$5&amp;"生成成长"),5))*(VLOOKUP($B$5,标准坦克设计!$B$24:$U$30,MATCH("对"&amp;LEFT($C$5,2)&amp;"输出",标准坦克设计!$B$23:$U$23,0)))*(VLOOKUP($B208,INDIRECT($B$5&amp;"生成成长"),3))*(VLOOKUP($B$5,标准坦克设计!$B$14:$K$20,9)/30))</f>
        <v>20.46267756989824</v>
      </c>
      <c r="DF208" s="173">
        <f ca="1">(VLOOKUP(DF$72,INDIRECT($C$5&amp;"生成成长"),2))/((VLOOKUP($B208,INDIRECT($B$5&amp;"生成成长"),4))/(VLOOKUP(DF$72,INDIRECT($C$5&amp;"生成成长"),5))*(VLOOKUP($B$5,标准坦克设计!$B$24:$U$30,MATCH("对"&amp;LEFT($C$5,2)&amp;"输出",标准坦克设计!$B$23:$U$23,0)))*(VLOOKUP($B208,INDIRECT($B$5&amp;"生成成长"),3))*(VLOOKUP($B$5,标准坦克设计!$B$14:$K$20,9)/30))</f>
        <v>21.642978012374794</v>
      </c>
      <c r="DG208" s="173">
        <f ca="1">(VLOOKUP(DG$72,INDIRECT($C$5&amp;"生成成长"),2))/((VLOOKUP($B208,INDIRECT($B$5&amp;"生成成长"),4))/(VLOOKUP(DG$72,INDIRECT($C$5&amp;"生成成长"),5))*(VLOOKUP($B$5,标准坦克设计!$B$24:$U$30,MATCH("对"&amp;LEFT($C$5,2)&amp;"输出",标准坦克设计!$B$23:$U$23,0)))*(VLOOKUP($B208,INDIRECT($B$5&amp;"生成成长"),3))*(VLOOKUP($B$5,标准坦克设计!$B$14:$K$20,9)/30))</f>
        <v>22.85637099062172</v>
      </c>
      <c r="DH208" s="173">
        <f ca="1">(VLOOKUP(DH$72,INDIRECT($C$5&amp;"生成成长"),2))/((VLOOKUP($B208,INDIRECT($B$5&amp;"生成成长"),4))/(VLOOKUP(DH$72,INDIRECT($C$5&amp;"生成成长"),5))*(VLOOKUP($B$5,标准坦克设计!$B$24:$U$30,MATCH("对"&amp;LEFT($C$5,2)&amp;"输出",标准坦克设计!$B$23:$U$23,0)))*(VLOOKUP($B208,INDIRECT($B$5&amp;"生成成长"),3))*(VLOOKUP($B$5,标准坦克设计!$B$14:$K$20,9)/30))</f>
        <v>24.102856504639014</v>
      </c>
      <c r="DI208" s="173">
        <f ca="1">(VLOOKUP(DI$72,INDIRECT($C$5&amp;"生成成长"),2))/((VLOOKUP($B208,INDIRECT($B$5&amp;"生成成长"),4))/(VLOOKUP(DI$72,INDIRECT($C$5&amp;"生成成长"),5))*(VLOOKUP($B$5,标准坦克设计!$B$24:$U$30,MATCH("对"&amp;LEFT($C$5,2)&amp;"输出",标准坦克设计!$B$23:$U$23,0)))*(VLOOKUP($B208,INDIRECT($B$5&amp;"生成成长"),3))*(VLOOKUP($B$5,标准坦克设计!$B$14:$K$20,9)/30))</f>
        <v>25.382434554426684</v>
      </c>
      <c r="DJ208" s="173">
        <f ca="1">(VLOOKUP(DJ$72,INDIRECT($C$5&amp;"生成成长"),2))/((VLOOKUP($B208,INDIRECT($B$5&amp;"生成成长"),4))/(VLOOKUP(DJ$72,INDIRECT($C$5&amp;"生成成长"),5))*(VLOOKUP($B$5,标准坦克设计!$B$24:$U$30,MATCH("对"&amp;LEFT($C$5,2)&amp;"输出",标准坦克设计!$B$23:$U$23,0)))*(VLOOKUP($B208,INDIRECT($B$5&amp;"生成成长"),3))*(VLOOKUP($B$5,标准坦克设计!$B$14:$K$20,9)/30))</f>
        <v>2.550997870270832</v>
      </c>
      <c r="DK208" s="173">
        <f ca="1">(VLOOKUP(DK$72,INDIRECT($C$5&amp;"生成成长"),2))/((VLOOKUP($B208,INDIRECT($B$5&amp;"生成成长"),4))/(VLOOKUP(DK$72,INDIRECT($C$5&amp;"生成成长"),5))*(VLOOKUP($B$5,标准坦克设计!$B$24:$U$30,MATCH("对"&amp;LEFT($C$5,2)&amp;"输出",标准坦克设计!$B$23:$U$23,0)))*(VLOOKUP($B208,INDIRECT($B$5&amp;"生成成长"),3))*(VLOOKUP($B$5,标准坦克设计!$B$14:$K$20,9)/30))</f>
        <v>2.8684793853178259</v>
      </c>
      <c r="DL208" s="173">
        <f ca="1">(VLOOKUP(DL$72,INDIRECT($C$5&amp;"生成成长"),2))/((VLOOKUP($B208,INDIRECT($B$5&amp;"生成成长"),4))/(VLOOKUP(DL$72,INDIRECT($C$5&amp;"生成成长"),5))*(VLOOKUP($B$5,标准坦克设计!$B$24:$U$30,MATCH("对"&amp;LEFT($C$5,2)&amp;"输出",标准坦克设计!$B$23:$U$23,0)))*(VLOOKUP($B208,INDIRECT($B$5&amp;"生成成长"),3))*(VLOOKUP($B$5,标准坦克设计!$B$14:$K$20,9)/30))</f>
        <v>3.2045754517356526</v>
      </c>
      <c r="DM208" s="173">
        <f ca="1">(VLOOKUP(DM$72,INDIRECT($C$5&amp;"生成成长"),2))/((VLOOKUP($B208,INDIRECT($B$5&amp;"生成成长"),4))/(VLOOKUP(DM$72,INDIRECT($C$5&amp;"生成成长"),5))*(VLOOKUP($B$5,标准坦克设计!$B$24:$U$30,MATCH("对"&amp;LEFT($C$5,2)&amp;"输出",标准坦克设计!$B$23:$U$23,0)))*(VLOOKUP($B208,INDIRECT($B$5&amp;"生成成长"),3))*(VLOOKUP($B$5,标准坦克设计!$B$14:$K$20,9)/30))</f>
        <v>3.5592860695243136</v>
      </c>
      <c r="DN208" s="173">
        <f ca="1">(VLOOKUP(DN$72,INDIRECT($C$5&amp;"生成成长"),2))/((VLOOKUP($B208,INDIRECT($B$5&amp;"生成成长"),4))/(VLOOKUP(DN$72,INDIRECT($C$5&amp;"生成成长"),5))*(VLOOKUP($B$5,标准坦克设计!$B$24:$U$30,MATCH("对"&amp;LEFT($C$5,2)&amp;"输出",标准坦克设计!$B$23:$U$23,0)))*(VLOOKUP($B208,INDIRECT($B$5&amp;"生成成长"),3))*(VLOOKUP($B$5,标准坦克设计!$B$14:$K$20,9)/30))</f>
        <v>3.9326112386838084</v>
      </c>
      <c r="DO208" s="173">
        <f ca="1">(VLOOKUP(DO$72,INDIRECT($C$5&amp;"生成成长"),2))/((VLOOKUP($B208,INDIRECT($B$5&amp;"生成成长"),4))/(VLOOKUP(DO$72,INDIRECT($C$5&amp;"生成成长"),5))*(VLOOKUP($B$5,标准坦克设计!$B$24:$U$30,MATCH("对"&amp;LEFT($C$5,2)&amp;"输出",标准坦克设计!$B$23:$U$23,0)))*(VLOOKUP($B208,INDIRECT($B$5&amp;"生成成长"),3))*(VLOOKUP($B$5,标准坦克设计!$B$14:$K$20,9)/30))</f>
        <v>4.3245509592141369</v>
      </c>
      <c r="DP208" s="173">
        <f ca="1">(VLOOKUP(DP$72,INDIRECT($C$5&amp;"生成成长"),2))/((VLOOKUP($B208,INDIRECT($B$5&amp;"生成成长"),4))/(VLOOKUP(DP$72,INDIRECT($C$5&amp;"生成成长"),5))*(VLOOKUP($B$5,标准坦克设计!$B$24:$U$30,MATCH("对"&amp;LEFT($C$5,2)&amp;"输出",标准坦克设计!$B$23:$U$23,0)))*(VLOOKUP($B208,INDIRECT($B$5&amp;"生成成长"),3))*(VLOOKUP($B$5,标准坦克设计!$B$14:$K$20,9)/30))</f>
        <v>4.7351052311152975</v>
      </c>
      <c r="DQ208" s="173">
        <f ca="1">(VLOOKUP(DQ$72,INDIRECT($C$5&amp;"生成成长"),2))/((VLOOKUP($B208,INDIRECT($B$5&amp;"生成成长"),4))/(VLOOKUP(DQ$72,INDIRECT($C$5&amp;"生成成长"),5))*(VLOOKUP($B$5,标准坦克设计!$B$24:$U$30,MATCH("对"&amp;LEFT($C$5,2)&amp;"输出",标准坦克设计!$B$23:$U$23,0)))*(VLOOKUP($B208,INDIRECT($B$5&amp;"生成成长"),3))*(VLOOKUP($B$5,标准坦克设计!$B$14:$K$20,9)/30))</f>
        <v>5.1642740543872927</v>
      </c>
      <c r="DR208" s="173">
        <f ca="1">(VLOOKUP(DR$72,INDIRECT($C$5&amp;"生成成长"),2))/((VLOOKUP($B208,INDIRECT($B$5&amp;"生成成长"),4))/(VLOOKUP(DR$72,INDIRECT($C$5&amp;"生成成长"),5))*(VLOOKUP($B$5,标准坦克设计!$B$24:$U$30,MATCH("对"&amp;LEFT($C$5,2)&amp;"输出",标准坦克设计!$B$23:$U$23,0)))*(VLOOKUP($B208,INDIRECT($B$5&amp;"生成成长"),3))*(VLOOKUP($B$5,标准坦克设计!$B$14:$K$20,9)/30))</f>
        <v>5.6120574290301199</v>
      </c>
      <c r="DS208" s="173">
        <f ca="1">(VLOOKUP(DS$72,INDIRECT($C$5&amp;"生成成长"),2))/((VLOOKUP($B208,INDIRECT($B$5&amp;"生成成长"),4))/(VLOOKUP(DS$72,INDIRECT($C$5&amp;"生成成长"),5))*(VLOOKUP($B$5,标准坦克设计!$B$24:$U$30,MATCH("对"&amp;LEFT($C$5,2)&amp;"输出",标准坦克设计!$B$23:$U$23,0)))*(VLOOKUP($B208,INDIRECT($B$5&amp;"生成成长"),3))*(VLOOKUP($B$5,标准坦克设计!$B$14:$K$20,9)/30))</f>
        <v>6.0784553550437819</v>
      </c>
      <c r="DT208" s="173">
        <f ca="1">(VLOOKUP(DT$72,INDIRECT($C$5&amp;"生成成长"),2))/((VLOOKUP($B208,INDIRECT($B$5&amp;"生成成长"),4))/(VLOOKUP(DT$72,INDIRECT($C$5&amp;"生成成长"),5))*(VLOOKUP($B$5,标准坦克设计!$B$24:$U$30,MATCH("对"&amp;LEFT($C$5,2)&amp;"输出",标准坦克设计!$B$23:$U$23,0)))*(VLOOKUP($B208,INDIRECT($B$5&amp;"生成成长"),3))*(VLOOKUP($B$5,标准坦克设计!$B$14:$K$20,9)/30))</f>
        <v>6.6737762849961788</v>
      </c>
      <c r="DU208" s="173">
        <f ca="1">(VLOOKUP(DU$72,INDIRECT($C$5&amp;"生成成长"),2))/((VLOOKUP($B208,INDIRECT($B$5&amp;"生成成长"),4))/(VLOOKUP(DU$72,INDIRECT($C$5&amp;"生成成长"),5))*(VLOOKUP($B$5,标准坦克设计!$B$24:$U$30,MATCH("对"&amp;LEFT($C$5,2)&amp;"输出",标准坦克设计!$B$23:$U$23,0)))*(VLOOKUP($B208,INDIRECT($B$5&amp;"生成成长"),3))*(VLOOKUP($B$5,标准坦克设计!$B$14:$K$20,9)/30))</f>
        <v>7.2969041373667363</v>
      </c>
      <c r="DV208" s="173">
        <f ca="1">(VLOOKUP(DV$72,INDIRECT($C$5&amp;"生成成长"),2))/((VLOOKUP($B208,INDIRECT($B$5&amp;"生成成长"),4))/(VLOOKUP(DV$72,INDIRECT($C$5&amp;"生成成长"),5))*(VLOOKUP($B$5,标准坦克设计!$B$24:$U$30,MATCH("对"&amp;LEFT($C$5,2)&amp;"输出",标准坦克设计!$B$23:$U$23,0)))*(VLOOKUP($B208,INDIRECT($B$5&amp;"生成成长"),3))*(VLOOKUP($B$5,标准坦克设计!$B$14:$K$20,9)/30))</f>
        <v>7.9478389121554525</v>
      </c>
      <c r="DW208" s="173">
        <f ca="1">(VLOOKUP(DW$72,INDIRECT($C$5&amp;"生成成长"),2))/((VLOOKUP($B208,INDIRECT($B$5&amp;"生成成长"),4))/(VLOOKUP(DW$72,INDIRECT($C$5&amp;"生成成长"),5))*(VLOOKUP($B$5,标准坦克设计!$B$24:$U$30,MATCH("对"&amp;LEFT($C$5,2)&amp;"输出",标准坦克设计!$B$23:$U$23,0)))*(VLOOKUP($B208,INDIRECT($B$5&amp;"生成成长"),3))*(VLOOKUP($B$5,标准坦克设计!$B$14:$K$20,9)/30))</f>
        <v>8.6265806093623265</v>
      </c>
      <c r="DX208" s="173">
        <f ca="1">(VLOOKUP(DX$72,INDIRECT($C$5&amp;"生成成长"),2))/((VLOOKUP($B208,INDIRECT($B$5&amp;"生成成长"),4))/(VLOOKUP(DX$72,INDIRECT($C$5&amp;"生成成长"),5))*(VLOOKUP($B$5,标准坦克设计!$B$24:$U$30,MATCH("对"&amp;LEFT($C$5,2)&amp;"输出",标准坦克设计!$B$23:$U$23,0)))*(VLOOKUP($B208,INDIRECT($B$5&amp;"生成成长"),3))*(VLOOKUP($B$5,标准坦克设计!$B$14:$K$20,9)/30))</f>
        <v>9.3331292289873584</v>
      </c>
      <c r="DY208" s="173">
        <f ca="1">(VLOOKUP(DY$72,INDIRECT($C$5&amp;"生成成长"),2))/((VLOOKUP($B208,INDIRECT($B$5&amp;"生成成长"),4))/(VLOOKUP(DY$72,INDIRECT($C$5&amp;"生成成长"),5))*(VLOOKUP($B$5,标准坦克设计!$B$24:$U$30,MATCH("对"&amp;LEFT($C$5,2)&amp;"输出",标准坦克设计!$B$23:$U$23,0)))*(VLOOKUP($B208,INDIRECT($B$5&amp;"生成成长"),3))*(VLOOKUP($B$5,标准坦克设计!$B$14:$K$20,9)/30))</f>
        <v>4.191836102218379</v>
      </c>
      <c r="DZ208" s="173">
        <f ca="1">(VLOOKUP(DZ$72,INDIRECT($C$5&amp;"生成成长"),2))/((VLOOKUP($B208,INDIRECT($B$5&amp;"生成成长"),4))/(VLOOKUP(DZ$72,INDIRECT($C$5&amp;"生成成长"),5))*(VLOOKUP($B$5,标准坦克设计!$B$24:$U$30,MATCH("对"&amp;LEFT($C$5,2)&amp;"输出",标准坦克设计!$B$23:$U$23,0)))*(VLOOKUP($B208,INDIRECT($B$5&amp;"生成成长"),3))*(VLOOKUP($B$5,标准坦克设计!$B$14:$K$20,9)/30))</f>
        <v>4.6422622835373124</v>
      </c>
      <c r="EA208" s="173">
        <f ca="1">(VLOOKUP(EA$72,INDIRECT($C$5&amp;"生成成长"),2))/((VLOOKUP($B208,INDIRECT($B$5&amp;"生成成长"),4))/(VLOOKUP(EA$72,INDIRECT($C$5&amp;"生成成长"),5))*(VLOOKUP($B$5,标准坦克设计!$B$24:$U$30,MATCH("对"&amp;LEFT($C$5,2)&amp;"输出",标准坦克设计!$B$23:$U$23,0)))*(VLOOKUP($B208,INDIRECT($B$5&amp;"生成成长"),3))*(VLOOKUP($B$5,标准坦克设计!$B$14:$K$20,9)/30))</f>
        <v>5.11566939247456</v>
      </c>
      <c r="EB208" s="173">
        <f ca="1">(VLOOKUP(EB$72,INDIRECT($C$5&amp;"生成成长"),2))/((VLOOKUP($B208,INDIRECT($B$5&amp;"生成成长"),4))/(VLOOKUP(EB$72,INDIRECT($C$5&amp;"生成成长"),5))*(VLOOKUP($B$5,标准坦克设计!$B$24:$U$30,MATCH("对"&amp;LEFT($C$5,2)&amp;"输出",标准坦克设计!$B$23:$U$23,0)))*(VLOOKUP($B208,INDIRECT($B$5&amp;"生成成长"),3))*(VLOOKUP($B$5,标准坦克设计!$B$14:$K$20,9)/30))</f>
        <v>5.6120574290301199</v>
      </c>
      <c r="EC208" s="173">
        <f ca="1">(VLOOKUP(EC$72,INDIRECT($C$5&amp;"生成成长"),2))/((VLOOKUP($B208,INDIRECT($B$5&amp;"生成成长"),4))/(VLOOKUP(EC$72,INDIRECT($C$5&amp;"生成成长"),5))*(VLOOKUP($B$5,标准坦克设计!$B$24:$U$30,MATCH("对"&amp;LEFT($C$5,2)&amp;"输出",标准坦克设计!$B$23:$U$23,0)))*(VLOOKUP($B208,INDIRECT($B$5&amp;"生成成长"),3))*(VLOOKUP($B$5,标准坦克设计!$B$14:$K$20,9)/30))</f>
        <v>6.1314263932039941</v>
      </c>
      <c r="ED208" s="173">
        <f ca="1">(VLOOKUP(ED$72,INDIRECT($C$5&amp;"生成成长"),2))/((VLOOKUP($B208,INDIRECT($B$5&amp;"生成成长"),4))/(VLOOKUP(ED$72,INDIRECT($C$5&amp;"生成成长"),5))*(VLOOKUP($B$5,标准坦克设计!$B$24:$U$30,MATCH("对"&amp;LEFT($C$5,2)&amp;"输出",标准坦克设计!$B$23:$U$23,0)))*(VLOOKUP($B208,INDIRECT($B$5&amp;"生成成长"),3))*(VLOOKUP($B$5,标准坦克设计!$B$14:$K$20,9)/30))</f>
        <v>6.6737762849961788</v>
      </c>
      <c r="EE208" s="173">
        <f ca="1">(VLOOKUP(EE$72,INDIRECT($C$5&amp;"生成成长"),2))/((VLOOKUP($B208,INDIRECT($B$5&amp;"生成成长"),4))/(VLOOKUP(EE$72,INDIRECT($C$5&amp;"生成成长"),5))*(VLOOKUP($B$5,标准坦克设计!$B$24:$U$30,MATCH("对"&amp;LEFT($C$5,2)&amp;"输出",标准坦克设计!$B$23:$U$23,0)))*(VLOOKUP($B208,INDIRECT($B$5&amp;"生成成长"),3))*(VLOOKUP($B$5,标准坦克设计!$B$14:$K$20,9)/30))</f>
        <v>7.2391071044066813</v>
      </c>
      <c r="EF208" s="173">
        <f ca="1">(VLOOKUP(EF$72,INDIRECT($C$5&amp;"生成成长"),2))/((VLOOKUP($B208,INDIRECT($B$5&amp;"生成成长"),4))/(VLOOKUP(EF$72,INDIRECT($C$5&amp;"生成成长"),5))*(VLOOKUP($B$5,标准坦克设计!$B$24:$U$30,MATCH("对"&amp;LEFT($C$5,2)&amp;"输出",标准坦克设计!$B$23:$U$23,0)))*(VLOOKUP($B208,INDIRECT($B$5&amp;"生成成长"),3))*(VLOOKUP($B$5,标准坦克设计!$B$14:$K$20,9)/30))</f>
        <v>7.8274188514354917</v>
      </c>
      <c r="EG208" s="173">
        <f ca="1">(VLOOKUP(EG$72,INDIRECT($C$5&amp;"生成成长"),2))/((VLOOKUP($B208,INDIRECT($B$5&amp;"生成成长"),4))/(VLOOKUP(EG$72,INDIRECT($C$5&amp;"生成成长"),5))*(VLOOKUP($B$5,标准坦克设计!$B$24:$U$30,MATCH("对"&amp;LEFT($C$5,2)&amp;"输出",标准坦克设计!$B$23:$U$23,0)))*(VLOOKUP($B208,INDIRECT($B$5&amp;"生成成长"),3))*(VLOOKUP($B$5,标准坦克设计!$B$14:$K$20,9)/30))</f>
        <v>8.4387115260826171</v>
      </c>
      <c r="EH208" s="173">
        <f ca="1">(VLOOKUP(EH$72,INDIRECT($C$5&amp;"生成成长"),2))/((VLOOKUP($B208,INDIRECT($B$5&amp;"生成成长"),4))/(VLOOKUP(EH$72,INDIRECT($C$5&amp;"生成成长"),5))*(VLOOKUP($B$5,标准坦克设计!$B$24:$U$30,MATCH("对"&amp;LEFT($C$5,2)&amp;"输出",标准坦克设计!$B$23:$U$23,0)))*(VLOOKUP($B208,INDIRECT($B$5&amp;"生成成长"),3))*(VLOOKUP($B$5,标准坦克设计!$B$14:$K$20,9)/30))</f>
        <v>9.0729851283480549</v>
      </c>
      <c r="EI208" s="173">
        <f ca="1">(VLOOKUP(EI$72,INDIRECT($C$5&amp;"生成成长"),2))/((VLOOKUP($B208,INDIRECT($B$5&amp;"生成成长"),4))/(VLOOKUP(EI$72,INDIRECT($C$5&amp;"生成成长"),5))*(VLOOKUP($B$5,标准坦克设计!$B$24:$U$30,MATCH("对"&amp;LEFT($C$5,2)&amp;"输出",标准坦克设计!$B$23:$U$23,0)))*(VLOOKUP($B208,INDIRECT($B$5&amp;"生成成长"),3))*(VLOOKUP($B$5,标准坦克设计!$B$14:$K$20,9)/30))</f>
        <v>9.730239658231806</v>
      </c>
      <c r="EJ208" s="173">
        <f ca="1">(VLOOKUP(EJ$72,INDIRECT($C$5&amp;"生成成长"),2))/((VLOOKUP($B208,INDIRECT($B$5&amp;"生成成长"),4))/(VLOOKUP(EJ$72,INDIRECT($C$5&amp;"生成成长"),5))*(VLOOKUP($B$5,标准坦克设计!$B$24:$U$30,MATCH("对"&amp;LEFT($C$5,2)&amp;"输出",标准坦克设计!$B$23:$U$23,0)))*(VLOOKUP($B208,INDIRECT($B$5&amp;"生成成长"),3))*(VLOOKUP($B$5,标准坦克设计!$B$14:$K$20,9)/30))</f>
        <v>10.41047511573387</v>
      </c>
      <c r="EK208" s="173">
        <f ca="1">(VLOOKUP(EK$72,INDIRECT($C$5&amp;"生成成长"),2))/((VLOOKUP($B208,INDIRECT($B$5&amp;"生成成长"),4))/(VLOOKUP(EK$72,INDIRECT($C$5&amp;"生成成长"),5))*(VLOOKUP($B$5,标准坦克设计!$B$24:$U$30,MATCH("对"&amp;LEFT($C$5,2)&amp;"输出",标准坦克设计!$B$23:$U$23,0)))*(VLOOKUP($B208,INDIRECT($B$5&amp;"生成成长"),3))*(VLOOKUP($B$5,标准坦克设计!$B$14:$K$20,9)/30))</f>
        <v>11.257092489192521</v>
      </c>
      <c r="EL208" s="173">
        <f ca="1">(VLOOKUP(EL$72,INDIRECT($C$5&amp;"生成成长"),2))/((VLOOKUP($B208,INDIRECT($B$5&amp;"生成成长"),4))/(VLOOKUP(EL$72,INDIRECT($C$5&amp;"生成成长"),5))*(VLOOKUP($B$5,标准坦克设计!$B$24:$U$30,MATCH("对"&amp;LEFT($C$5,2)&amp;"输出",标准坦克设计!$B$23:$U$23,0)))*(VLOOKUP($B208,INDIRECT($B$5&amp;"生成成长"),3))*(VLOOKUP($B$5,标准坦克设计!$B$14:$K$20,9)/30))</f>
        <v>12.136802398421541</v>
      </c>
      <c r="EM208" s="173">
        <f ca="1">(VLOOKUP(EM$72,INDIRECT($C$5&amp;"生成成长"),2))/((VLOOKUP($B208,INDIRECT($B$5&amp;"生成成长"),4))/(VLOOKUP(EM$72,INDIRECT($C$5&amp;"生成成长"),5))*(VLOOKUP($B$5,标准坦克设计!$B$24:$U$30,MATCH("对"&amp;LEFT($C$5,2)&amp;"输出",标准坦克设计!$B$23:$U$23,0)))*(VLOOKUP($B208,INDIRECT($B$5&amp;"生成成长"),3))*(VLOOKUP($B$5,标准坦克设计!$B$14:$K$20,9)/30))</f>
        <v>13.049604843420932</v>
      </c>
      <c r="EN208" s="173">
        <f ca="1">(VLOOKUP(EN$72,INDIRECT($C$5&amp;"生成成长"),2))/((VLOOKUP($B208,INDIRECT($B$5&amp;"生成成长"),4))/(VLOOKUP(EN$72,INDIRECT($C$5&amp;"生成成长"),5))*(VLOOKUP($B$5,标准坦克设计!$B$24:$U$30,MATCH("对"&amp;LEFT($C$5,2)&amp;"输出",标准坦克设计!$B$23:$U$23,0)))*(VLOOKUP($B208,INDIRECT($B$5&amp;"生成成长"),3))*(VLOOKUP($B$5,标准坦克设计!$B$14:$K$20,9)/30))</f>
        <v>13.995499824190695</v>
      </c>
      <c r="EO208" s="173">
        <f ca="1">(VLOOKUP(EO$72,INDIRECT($C$5&amp;"生成成长"),2))/((VLOOKUP($B208,INDIRECT($B$5&amp;"生成成长"),4))/(VLOOKUP(EO$72,INDIRECT($C$5&amp;"生成成长"),5))*(VLOOKUP($B$5,标准坦克设计!$B$24:$U$30,MATCH("对"&amp;LEFT($C$5,2)&amp;"输出",标准坦克设计!$B$23:$U$23,0)))*(VLOOKUP($B208,INDIRECT($B$5&amp;"生成成长"),3))*(VLOOKUP($B$5,标准坦克设计!$B$14:$K$20,9)/30))</f>
        <v>14.974487340730827</v>
      </c>
      <c r="EP208" s="173">
        <f ca="1">(VLOOKUP(EP$72,INDIRECT($C$5&amp;"生成成长"),2))/((VLOOKUP($B208,INDIRECT($B$5&amp;"生成成长"),4))/(VLOOKUP(EP$72,INDIRECT($C$5&amp;"生成成长"),5))*(VLOOKUP($B$5,标准坦克设计!$B$24:$U$30,MATCH("对"&amp;LEFT($C$5,2)&amp;"输出",标准坦克设计!$B$23:$U$23,0)))*(VLOOKUP($B208,INDIRECT($B$5&amp;"生成成长"),3))*(VLOOKUP($B$5,标准坦克设计!$B$14:$K$20,9)/30))</f>
        <v>15.986567393041332</v>
      </c>
      <c r="EQ208" s="173">
        <f ca="1">(VLOOKUP(EQ$72,INDIRECT($C$5&amp;"生成成长"),2))/((VLOOKUP($B208,INDIRECT($B$5&amp;"生成成长"),4))/(VLOOKUP(EQ$72,INDIRECT($C$5&amp;"生成成长"),5))*(VLOOKUP($B$5,标准坦克设计!$B$24:$U$30,MATCH("对"&amp;LEFT($C$5,2)&amp;"输出",标准坦克设计!$B$23:$U$23,0)))*(VLOOKUP($B208,INDIRECT($B$5&amp;"生成成长"),3))*(VLOOKUP($B$5,标准坦克设计!$B$14:$K$20,9)/30))</f>
        <v>7.0670948611836062</v>
      </c>
      <c r="ER208" s="173">
        <f ca="1">(VLOOKUP(ER$72,INDIRECT($C$5&amp;"生成成长"),2))/((VLOOKUP($B208,INDIRECT($B$5&amp;"生成成长"),4))/(VLOOKUP(ER$72,INDIRECT($C$5&amp;"生成成长"),5))*(VLOOKUP($B$5,标准坦克设计!$B$24:$U$30,MATCH("对"&amp;LEFT($C$5,2)&amp;"输出",标准坦克设计!$B$23:$U$23,0)))*(VLOOKUP($B208,INDIRECT($B$5&amp;"生成成长"),3))*(VLOOKUP($B$5,标准坦克设计!$B$14:$K$20,9)/30))</f>
        <v>7.7079180278202655</v>
      </c>
      <c r="ES208" s="173">
        <f ca="1">(VLOOKUP(ES$72,INDIRECT($C$5&amp;"生成成长"),2))/((VLOOKUP($B208,INDIRECT($B$5&amp;"生成成长"),4))/(VLOOKUP(ES$72,INDIRECT($C$5&amp;"生成成长"),5))*(VLOOKUP($B$5,标准坦克设计!$B$24:$U$30,MATCH("对"&amp;LEFT($C$5,2)&amp;"输出",标准坦克设计!$B$23:$U$23,0)))*(VLOOKUP($B208,INDIRECT($B$5&amp;"生成成长"),3))*(VLOOKUP($B$5,标准坦克设计!$B$14:$K$20,9)/30))</f>
        <v>8.3765481168750799</v>
      </c>
      <c r="ET208" s="173">
        <f ca="1">(VLOOKUP(ET$72,INDIRECT($C$5&amp;"生成成长"),2))/((VLOOKUP($B208,INDIRECT($B$5&amp;"生成成长"),4))/(VLOOKUP(ET$72,INDIRECT($C$5&amp;"生成成长"),5))*(VLOOKUP($B$5,标准坦克设计!$B$24:$U$30,MATCH("对"&amp;LEFT($C$5,2)&amp;"输出",标准坦克设计!$B$23:$U$23,0)))*(VLOOKUP($B208,INDIRECT($B$5&amp;"生成成长"),3))*(VLOOKUP($B$5,标准坦克设计!$B$14:$K$20,9)/30))</f>
        <v>9.0729851283480549</v>
      </c>
      <c r="EU208" s="173">
        <f ca="1">(VLOOKUP(EU$72,INDIRECT($C$5&amp;"生成成长"),2))/((VLOOKUP($B208,INDIRECT($B$5&amp;"生成成长"),4))/(VLOOKUP(EU$72,INDIRECT($C$5&amp;"生成成长"),5))*(VLOOKUP($B$5,标准坦克设计!$B$24:$U$30,MATCH("对"&amp;LEFT($C$5,2)&amp;"输出",标准坦克设计!$B$23:$U$23,0)))*(VLOOKUP($B208,INDIRECT($B$5&amp;"生成成长"),3))*(VLOOKUP($B$5,标准坦克设计!$B$14:$K$20,9)/30))</f>
        <v>9.7972290622391878</v>
      </c>
      <c r="EV208" s="173">
        <f ca="1">(VLOOKUP(EV$72,INDIRECT($C$5&amp;"生成成长"),2))/((VLOOKUP($B208,INDIRECT($B$5&amp;"生成成长"),4))/(VLOOKUP(EV$72,INDIRECT($C$5&amp;"生成成长"),5))*(VLOOKUP($B$5,标准坦克设计!$B$24:$U$30,MATCH("对"&amp;LEFT($C$5,2)&amp;"输出",标准坦克设计!$B$23:$U$23,0)))*(VLOOKUP($B208,INDIRECT($B$5&amp;"生成成长"),3))*(VLOOKUP($B$5,标准坦克设计!$B$14:$K$20,9)/30))</f>
        <v>10.549279918548478</v>
      </c>
      <c r="EW208" s="173">
        <f ca="1">(VLOOKUP(EW$72,INDIRECT($C$5&amp;"生成成长"),2))/((VLOOKUP($B208,INDIRECT($B$5&amp;"生成成长"),4))/(VLOOKUP(EW$72,INDIRECT($C$5&amp;"生成成长"),5))*(VLOOKUP($B$5,标准坦克设计!$B$24:$U$30,MATCH("对"&amp;LEFT($C$5,2)&amp;"输出",标准坦克设计!$B$23:$U$23,0)))*(VLOOKUP($B208,INDIRECT($B$5&amp;"生成成长"),3))*(VLOOKUP($B$5,标准坦克设计!$B$14:$K$20,9)/30))</f>
        <v>11.329137697275932</v>
      </c>
      <c r="EX208" s="173">
        <f ca="1">(VLOOKUP(EX$72,INDIRECT($C$5&amp;"生成成长"),2))/((VLOOKUP($B208,INDIRECT($B$5&amp;"生成成长"),4))/(VLOOKUP(EX$72,INDIRECT($C$5&amp;"生成成长"),5))*(VLOOKUP($B$5,标准坦克设计!$B$24:$U$30,MATCH("对"&amp;LEFT($C$5,2)&amp;"输出",标准坦克设计!$B$23:$U$23,0)))*(VLOOKUP($B208,INDIRECT($B$5&amp;"生成成长"),3))*(VLOOKUP($B$5,标准坦克设计!$B$14:$K$20,9)/30))</f>
        <v>12.136802398421541</v>
      </c>
      <c r="EY208" s="173">
        <f ca="1">(VLOOKUP(EY$72,INDIRECT($C$5&amp;"生成成长"),2))/((VLOOKUP($B208,INDIRECT($B$5&amp;"生成成长"),4))/(VLOOKUP(EY$72,INDIRECT($C$5&amp;"生成成长"),5))*(VLOOKUP($B$5,标准坦克设计!$B$24:$U$30,MATCH("对"&amp;LEFT($C$5,2)&amp;"输出",标准坦克设计!$B$23:$U$23,0)))*(VLOOKUP($B208,INDIRECT($B$5&amp;"生成成长"),3))*(VLOOKUP($B$5,标准坦克设计!$B$14:$K$20,9)/30))</f>
        <v>12.972274021985312</v>
      </c>
      <c r="EZ208" s="173">
        <f ca="1">(VLOOKUP(EZ$72,INDIRECT($C$5&amp;"生成成长"),2))/((VLOOKUP($B208,INDIRECT($B$5&amp;"生成成长"),4))/(VLOOKUP(EZ$72,INDIRECT($C$5&amp;"生成成长"),5))*(VLOOKUP($B$5,标准坦克设计!$B$24:$U$30,MATCH("对"&amp;LEFT($C$5,2)&amp;"输出",标准坦克设计!$B$23:$U$23,0)))*(VLOOKUP($B208,INDIRECT($B$5&amp;"生成成长"),3))*(VLOOKUP($B$5,标准坦克设计!$B$14:$K$20,9)/30))</f>
        <v>13.835552567967236</v>
      </c>
      <c r="FA208" s="173">
        <f ca="1">(VLOOKUP(FA$72,INDIRECT($C$5&amp;"生成成长"),2))/((VLOOKUP($B208,INDIRECT($B$5&amp;"生成成长"),4))/(VLOOKUP(FA$72,INDIRECT($C$5&amp;"生成成长"),5))*(VLOOKUP($B$5,标准坦克设计!$B$24:$U$30,MATCH("对"&amp;LEFT($C$5,2)&amp;"输出",标准坦克设计!$B$23:$U$23,0)))*(VLOOKUP($B208,INDIRECT($B$5&amp;"生成成长"),3))*(VLOOKUP($B$5,标准坦克设计!$B$14:$K$20,9)/30))</f>
        <v>14.726638036367321</v>
      </c>
      <c r="FB208" s="173">
        <f ca="1">(VLOOKUP(FB$72,INDIRECT($C$5&amp;"生成成长"),2))/((VLOOKUP($B208,INDIRECT($B$5&amp;"生成成长"),4))/(VLOOKUP(FB$72,INDIRECT($C$5&amp;"生成成长"),5))*(VLOOKUP($B$5,标准坦克设计!$B$24:$U$30,MATCH("对"&amp;LEFT($C$5,2)&amp;"输出",标准坦克设计!$B$23:$U$23,0)))*(VLOOKUP($B208,INDIRECT($B$5&amp;"生成成长"),3))*(VLOOKUP($B$5,标准坦克设计!$B$14:$K$20,9)/30))</f>
        <v>15.645530427185566</v>
      </c>
      <c r="FC208" s="173">
        <f ca="1">(VLOOKUP(FC$72,INDIRECT($C$5&amp;"生成成长"),2))/((VLOOKUP($B208,INDIRECT($B$5&amp;"生成成长"),4))/(VLOOKUP(FC$72,INDIRECT($C$5&amp;"生成成长"),5))*(VLOOKUP($B$5,标准坦克设计!$B$24:$U$30,MATCH("对"&amp;LEFT($C$5,2)&amp;"输出",标准坦克设计!$B$23:$U$23,0)))*(VLOOKUP($B208,INDIRECT($B$5&amp;"生成成长"),3))*(VLOOKUP($B$5,标准坦克设计!$B$14:$K$20,9)/30))</f>
        <v>16.592229740421971</v>
      </c>
      <c r="FD208" s="173">
        <f ca="1">(VLOOKUP(FD$72,INDIRECT($C$5&amp;"生成成长"),2))/((VLOOKUP($B208,INDIRECT($B$5&amp;"生成成长"),4))/(VLOOKUP(FD$72,INDIRECT($C$5&amp;"生成成长"),5))*(VLOOKUP($B$5,标准坦克设计!$B$24:$U$30,MATCH("对"&amp;LEFT($C$5,2)&amp;"输出",标准坦克设计!$B$23:$U$23,0)))*(VLOOKUP($B208,INDIRECT($B$5&amp;"生成成长"),3))*(VLOOKUP($B$5,标准坦克设计!$B$14:$K$20,9)/30))</f>
        <v>17.566735976076529</v>
      </c>
      <c r="FE208" s="173">
        <f ca="1">(VLOOKUP(FE$72,INDIRECT($C$5&amp;"生成成长"),2))/((VLOOKUP($B208,INDIRECT($B$5&amp;"生成成长"),4))/(VLOOKUP(FE$72,INDIRECT($C$5&amp;"生成成长"),5))*(VLOOKUP($B$5,标准坦克设计!$B$24:$U$30,MATCH("对"&amp;LEFT($C$5,2)&amp;"输出",标准坦克设计!$B$23:$U$23,0)))*(VLOOKUP($B208,INDIRECT($B$5&amp;"生成成长"),3))*(VLOOKUP($B$5,标准坦克设计!$B$14:$K$20,9)/30))</f>
        <v>18.754275410752857</v>
      </c>
      <c r="FF208" s="173">
        <f ca="1">(VLOOKUP(FF$72,INDIRECT($C$5&amp;"生成成长"),2))/((VLOOKUP($B208,INDIRECT($B$5&amp;"生成成长"),4))/(VLOOKUP(FF$72,INDIRECT($C$5&amp;"生成成长"),5))*(VLOOKUP($B$5,标准坦克设计!$B$24:$U$30,MATCH("对"&amp;LEFT($C$5,2)&amp;"输出",标准坦克设计!$B$23:$U$23,0)))*(VLOOKUP($B208,INDIRECT($B$5&amp;"生成成长"),3))*(VLOOKUP($B$5,标准坦克设计!$B$14:$K$20,9)/30))</f>
        <v>19.980652613104127</v>
      </c>
      <c r="FG208" s="173">
        <f ca="1">(VLOOKUP(FG$72,INDIRECT($C$5&amp;"生成成长"),2))/((VLOOKUP($B208,INDIRECT($B$5&amp;"生成成长"),4))/(VLOOKUP(FG$72,INDIRECT($C$5&amp;"生成成长"),5))*(VLOOKUP($B$5,标准坦克设计!$B$24:$U$30,MATCH("对"&amp;LEFT($C$5,2)&amp;"输出",标准坦克设计!$B$23:$U$23,0)))*(VLOOKUP($B208,INDIRECT($B$5&amp;"生成成长"),3))*(VLOOKUP($B$5,标准坦克设计!$B$14:$K$20,9)/30))</f>
        <v>21.245867583130348</v>
      </c>
      <c r="FH208" s="173">
        <f ca="1">(VLOOKUP(FH$72,INDIRECT($C$5&amp;"生成成长"),2))/((VLOOKUP($B208,INDIRECT($B$5&amp;"生成成长"),4))/(VLOOKUP(FH$72,INDIRECT($C$5&amp;"生成成长"),5))*(VLOOKUP($B$5,标准坦克设计!$B$24:$U$30,MATCH("对"&amp;LEFT($C$5,2)&amp;"输出",标准坦克设计!$B$23:$U$23,0)))*(VLOOKUP($B208,INDIRECT($B$5&amp;"生成成长"),3))*(VLOOKUP($B$5,标准坦克设计!$B$14:$K$20,9)/30))</f>
        <v>22.549920320831514</v>
      </c>
      <c r="FI208" s="173">
        <f ca="1">(VLOOKUP(FI$72,INDIRECT($C$5&amp;"生成成长"),2))/((VLOOKUP($B208,INDIRECT($B$5&amp;"生成成长"),4))/(VLOOKUP(FI$72,INDIRECT($C$5&amp;"生成成长"),5))*(VLOOKUP($B$5,标准坦克设计!$B$24:$U$30,MATCH("对"&amp;LEFT($C$5,2)&amp;"输出",标准坦克设计!$B$23:$U$23,0)))*(VLOOKUP($B208,INDIRECT($B$5&amp;"生成成长"),3))*(VLOOKUP($B$5,标准坦克设计!$B$14:$K$20,9)/30))</f>
        <v>23.89281082620764</v>
      </c>
      <c r="FJ208" s="173">
        <f ca="1">(VLOOKUP(FJ$72,INDIRECT($C$5&amp;"生成成长"),2))/((VLOOKUP($B208,INDIRECT($B$5&amp;"生成成长"),4))/(VLOOKUP(FJ$72,INDIRECT($C$5&amp;"生成成长"),5))*(VLOOKUP($B$5,标准坦克设计!$B$24:$U$30,MATCH("对"&amp;LEFT($C$5,2)&amp;"输出",标准坦克设计!$B$23:$U$23,0)))*(VLOOKUP($B208,INDIRECT($B$5&amp;"生成成长"),3))*(VLOOKUP($B$5,标准坦克设计!$B$14:$K$20,9)/30))</f>
        <v>25.274539099258703</v>
      </c>
      <c r="FK208" s="173">
        <f ca="1">(VLOOKUP(FK$72,INDIRECT($C$5&amp;"生成成长"),2))/((VLOOKUP($B208,INDIRECT($B$5&amp;"生成成长"),4))/(VLOOKUP(FK$72,INDIRECT($C$5&amp;"生成成长"),5))*(VLOOKUP($B$5,标准坦克设计!$B$24:$U$30,MATCH("对"&amp;LEFT($C$5,2)&amp;"输出",标准坦克设计!$B$23:$U$23,0)))*(VLOOKUP($B208,INDIRECT($B$5&amp;"生成成长"),3))*(VLOOKUP($B$5,标准坦克设计!$B$14:$K$20,9)/30))</f>
        <v>26.695105139984715</v>
      </c>
    </row>
    <row r="209" spans="1:167" x14ac:dyDescent="0.15">
      <c r="A209" s="171" t="str">
        <f t="shared" si="13"/>
        <v>T4高品质11级</v>
      </c>
      <c r="B209" s="172">
        <v>30411</v>
      </c>
      <c r="C209" s="173">
        <f ca="1">(VLOOKUP(C$72,INDIRECT($C$5&amp;"生成成长"),2))/((VLOOKUP($B209,INDIRECT($B$5&amp;"生成成长"),4))/(VLOOKUP(C$72,INDIRECT($C$5&amp;"生成成长"),5))*(VLOOKUP($B$5,标准坦克设计!$B$24:$U$30,MATCH("对"&amp;LEFT($C$5,2)&amp;"输出",标准坦克设计!$B$23:$U$23,0)))*(VLOOKUP($B209,INDIRECT($B$5&amp;"生成成长"),3))*(VLOOKUP($B$5,标准坦克设计!$B$14:$K$20,9)/30))</f>
        <v>1.0712995526773699</v>
      </c>
      <c r="D209" s="173">
        <f ca="1">(VLOOKUP(D$72,INDIRECT($C$5&amp;"生成成长"),2))/((VLOOKUP($B209,INDIRECT($B$5&amp;"生成成长"),4))/(VLOOKUP(D$72,INDIRECT($C$5&amp;"生成成长"),5))*(VLOOKUP($B$5,标准坦克设计!$B$24:$U$30,MATCH("对"&amp;LEFT($C$5,2)&amp;"输出",标准坦克设计!$B$23:$U$23,0)))*(VLOOKUP($B209,INDIRECT($B$5&amp;"生成成长"),3))*(VLOOKUP($B$5,标准坦克设计!$B$14:$K$20,9)/30))</f>
        <v>1.2037121773882928</v>
      </c>
      <c r="E209" s="173">
        <f ca="1">(VLOOKUP(E$72,INDIRECT($C$5&amp;"生成成长"),2))/((VLOOKUP($B209,INDIRECT($B$5&amp;"生成成长"),4))/(VLOOKUP(E$72,INDIRECT($C$5&amp;"生成成长"),5))*(VLOOKUP($B$5,标准坦克设计!$B$24:$U$30,MATCH("对"&amp;LEFT($C$5,2)&amp;"输出",标准坦克设计!$B$23:$U$23,0)))*(VLOOKUP($B209,INDIRECT($B$5&amp;"生成成长"),3))*(VLOOKUP($B$5,标准坦克设计!$B$14:$K$20,9)/30))</f>
        <v>1.3438381588784929</v>
      </c>
      <c r="F209" s="173">
        <f ca="1">(VLOOKUP(F$72,INDIRECT($C$5&amp;"生成成长"),2))/((VLOOKUP($B209,INDIRECT($B$5&amp;"生成成长"),4))/(VLOOKUP(F$72,INDIRECT($C$5&amp;"生成成长"),5))*(VLOOKUP($B$5,标准坦克设计!$B$24:$U$30,MATCH("对"&amp;LEFT($C$5,2)&amp;"输出",标准坦克设计!$B$23:$U$23,0)))*(VLOOKUP($B209,INDIRECT($B$5&amp;"生成成长"),3))*(VLOOKUP($B$5,标准坦克设计!$B$14:$K$20,9)/30))</f>
        <v>1.4916774971479698</v>
      </c>
      <c r="G209" s="173">
        <f ca="1">(VLOOKUP(G$72,INDIRECT($C$5&amp;"生成成长"),2))/((VLOOKUP($B209,INDIRECT($B$5&amp;"生成成长"),4))/(VLOOKUP(G$72,INDIRECT($C$5&amp;"生成成长"),5))*(VLOOKUP($B$5,标准坦克设计!$B$24:$U$30,MATCH("对"&amp;LEFT($C$5,2)&amp;"输出",标准坦克设计!$B$23:$U$23,0)))*(VLOOKUP($B209,INDIRECT($B$5&amp;"生成成长"),3))*(VLOOKUP($B$5,标准坦克设计!$B$14:$K$20,9)/30))</f>
        <v>1.6472301921967241</v>
      </c>
      <c r="H209" s="173">
        <f ca="1">(VLOOKUP(H$72,INDIRECT($C$5&amp;"生成成长"),2))/((VLOOKUP($B209,INDIRECT($B$5&amp;"生成成长"),4))/(VLOOKUP(H$72,INDIRECT($C$5&amp;"生成成长"),5))*(VLOOKUP($B$5,标准坦克设计!$B$24:$U$30,MATCH("对"&amp;LEFT($C$5,2)&amp;"输出",标准坦克设计!$B$23:$U$23,0)))*(VLOOKUP($B209,INDIRECT($B$5&amp;"生成成长"),3))*(VLOOKUP($B$5,标准坦克设计!$B$14:$K$20,9)/30))</f>
        <v>1.4415406780826689</v>
      </c>
      <c r="I209" s="173">
        <f ca="1">(VLOOKUP(I$72,INDIRECT($C$5&amp;"生成成长"),2))/((VLOOKUP($B209,INDIRECT($B$5&amp;"生成成长"),4))/(VLOOKUP(I$72,INDIRECT($C$5&amp;"生成成长"),5))*(VLOOKUP($B$5,标准坦克设计!$B$24:$U$30,MATCH("对"&amp;LEFT($C$5,2)&amp;"输出",标准坦克设计!$B$23:$U$23,0)))*(VLOOKUP($B209,INDIRECT($B$5&amp;"生成成长"),3))*(VLOOKUP($B$5,标准坦克设计!$B$14:$K$20,9)/30))</f>
        <v>1.6472301921967241</v>
      </c>
      <c r="J209" s="173">
        <f ca="1">(VLOOKUP(J$72,INDIRECT($C$5&amp;"生成成长"),2))/((VLOOKUP($B209,INDIRECT($B$5&amp;"生成成长"),4))/(VLOOKUP(J$72,INDIRECT($C$5&amp;"生成成长"),5))*(VLOOKUP($B$5,标准坦克设计!$B$24:$U$30,MATCH("对"&amp;LEFT($C$5,2)&amp;"输出",标准坦克设计!$B$23:$U$23,0)))*(VLOOKUP($B209,INDIRECT($B$5&amp;"生成成长"),3))*(VLOOKUP($B$5,标准坦克设计!$B$14:$K$20,9)/30))</f>
        <v>1.8666323405850493</v>
      </c>
      <c r="K209" s="173">
        <f ca="1">(VLOOKUP(K$72,INDIRECT($C$5&amp;"生成成长"),2))/((VLOOKUP($B209,INDIRECT($B$5&amp;"生成成长"),4))/(VLOOKUP(K$72,INDIRECT($C$5&amp;"生成成长"),5))*(VLOOKUP($B$5,标准坦克设计!$B$24:$U$30,MATCH("对"&amp;LEFT($C$5,2)&amp;"输出",标准坦克设计!$B$23:$U$23,0)))*(VLOOKUP($B209,INDIRECT($B$5&amp;"生成成长"),3))*(VLOOKUP($B$5,标准坦克设计!$B$14:$K$20,9)/30))</f>
        <v>2.0997471232476452</v>
      </c>
      <c r="L209" s="173">
        <f ca="1">(VLOOKUP(L$72,INDIRECT($C$5&amp;"生成成长"),2))/((VLOOKUP($B209,INDIRECT($B$5&amp;"生成成长"),4))/(VLOOKUP(L$72,INDIRECT($C$5&amp;"生成成长"),5))*(VLOOKUP($B$5,标准坦克设计!$B$24:$U$30,MATCH("对"&amp;LEFT($C$5,2)&amp;"输出",标准坦克设计!$B$23:$U$23,0)))*(VLOOKUP($B209,INDIRECT($B$5&amp;"生成成长"),3))*(VLOOKUP($B$5,标准坦克设计!$B$14:$K$20,9)/30))</f>
        <v>2.3465745401845113</v>
      </c>
      <c r="M209" s="173">
        <f ca="1">(VLOOKUP(M$72,INDIRECT($C$5&amp;"生成成长"),2))/((VLOOKUP($B209,INDIRECT($B$5&amp;"生成成长"),4))/(VLOOKUP(M$72,INDIRECT($C$5&amp;"生成成长"),5))*(VLOOKUP($B$5,标准坦克设计!$B$24:$U$30,MATCH("对"&amp;LEFT($C$5,2)&amp;"输出",标准坦克设计!$B$23:$U$23,0)))*(VLOOKUP($B209,INDIRECT($B$5&amp;"生成成长"),3))*(VLOOKUP($B$5,标准坦克设计!$B$14:$K$20,9)/30))</f>
        <v>2.6071145913956477</v>
      </c>
      <c r="N209" s="173">
        <f ca="1">(VLOOKUP(N$72,INDIRECT($C$5&amp;"生成成长"),2))/((VLOOKUP($B209,INDIRECT($B$5&amp;"生成成长"),4))/(VLOOKUP(N$72,INDIRECT($C$5&amp;"生成成长"),5))*(VLOOKUP($B$5,标准坦克设计!$B$24:$U$30,MATCH("对"&amp;LEFT($C$5,2)&amp;"输出",标准坦克设计!$B$23:$U$23,0)))*(VLOOKUP($B209,INDIRECT($B$5&amp;"生成成长"),3))*(VLOOKUP($B$5,标准坦克设计!$B$14:$K$20,9)/30))</f>
        <v>2.8813672768810541</v>
      </c>
      <c r="O209" s="173">
        <f ca="1">(VLOOKUP(O$72,INDIRECT($C$5&amp;"生成成长"),2))/((VLOOKUP($B209,INDIRECT($B$5&amp;"生成成长"),4))/(VLOOKUP(O$72,INDIRECT($C$5&amp;"生成成长"),5))*(VLOOKUP($B$5,标准坦克设计!$B$24:$U$30,MATCH("对"&amp;LEFT($C$5,2)&amp;"输出",标准坦克设计!$B$23:$U$23,0)))*(VLOOKUP($B209,INDIRECT($B$5&amp;"生成成长"),3))*(VLOOKUP($B$5,标准坦克设计!$B$14:$K$20,9)/30))</f>
        <v>2.1907004552699543</v>
      </c>
      <c r="P209" s="173">
        <f ca="1">(VLOOKUP(P$72,INDIRECT($C$5&amp;"生成成长"),2))/((VLOOKUP($B209,INDIRECT($B$5&amp;"生成成长"),4))/(VLOOKUP(P$72,INDIRECT($C$5&amp;"生成成长"),5))*(VLOOKUP($B$5,标准坦克设计!$B$24:$U$30,MATCH("对"&amp;LEFT($C$5,2)&amp;"输出",标准坦克设计!$B$23:$U$23,0)))*(VLOOKUP($B209,INDIRECT($B$5&amp;"生成成长"),3))*(VLOOKUP($B$5,标准坦克设计!$B$14:$K$20,9)/30))</f>
        <v>2.4751304865057953</v>
      </c>
      <c r="Q209" s="173">
        <f ca="1">(VLOOKUP(Q$72,INDIRECT($C$5&amp;"生成成长"),2))/((VLOOKUP($B209,INDIRECT($B$5&amp;"生成成长"),4))/(VLOOKUP(Q$72,INDIRECT($C$5&amp;"生成成长"),5))*(VLOOKUP($B$5,标准坦克设计!$B$24:$U$30,MATCH("对"&amp;LEFT($C$5,2)&amp;"输出",标准坦克设计!$B$23:$U$23,0)))*(VLOOKUP($B209,INDIRECT($B$5&amp;"生成成长"),3))*(VLOOKUP($B$5,标准坦克设计!$B$14:$K$20,9)/30))</f>
        <v>2.7769155704950106</v>
      </c>
      <c r="R209" s="173">
        <f ca="1">(VLOOKUP(R$72,INDIRECT($C$5&amp;"生成成长"),2))/((VLOOKUP($B209,INDIRECT($B$5&amp;"生成成长"),4))/(VLOOKUP(R$72,INDIRECT($C$5&amp;"生成成长"),5))*(VLOOKUP($B$5,标准坦克设计!$B$24:$U$30,MATCH("对"&amp;LEFT($C$5,2)&amp;"输出",标准坦克设计!$B$23:$U$23,0)))*(VLOOKUP($B209,INDIRECT($B$5&amp;"生成成长"),3))*(VLOOKUP($B$5,标准坦克设计!$B$14:$K$20,9)/30))</f>
        <v>3.0960557072375994</v>
      </c>
      <c r="S209" s="173">
        <f ca="1">(VLOOKUP(S$72,INDIRECT($C$5&amp;"生成成长"),2))/((VLOOKUP($B209,INDIRECT($B$5&amp;"生成成长"),4))/(VLOOKUP(S$72,INDIRECT($C$5&amp;"生成成长"),5))*(VLOOKUP($B$5,标准坦克设计!$B$24:$U$30,MATCH("对"&amp;LEFT($C$5,2)&amp;"输出",标准坦克设计!$B$23:$U$23,0)))*(VLOOKUP($B209,INDIRECT($B$5&amp;"生成成长"),3))*(VLOOKUP($B$5,标准坦克设计!$B$14:$K$20,9)/30))</f>
        <v>3.4325508967335612</v>
      </c>
      <c r="T209" s="173">
        <f ca="1">(VLOOKUP(T$72,INDIRECT($C$5&amp;"生成成长"),2))/((VLOOKUP($B209,INDIRECT($B$5&amp;"生成成长"),4))/(VLOOKUP(T$72,INDIRECT($C$5&amp;"生成成长"),5))*(VLOOKUP($B$5,标准坦克设计!$B$24:$U$30,MATCH("对"&amp;LEFT($C$5,2)&amp;"输出",标准坦克设计!$B$23:$U$23,0)))*(VLOOKUP($B209,INDIRECT($B$5&amp;"生成成长"),3))*(VLOOKUP($B$5,标准坦克设计!$B$14:$K$20,9)/30))</f>
        <v>3.7864011389828964</v>
      </c>
      <c r="U209" s="173">
        <f ca="1">(VLOOKUP(U$72,INDIRECT($C$5&amp;"生成成长"),2))/((VLOOKUP($B209,INDIRECT($B$5&amp;"生成成长"),4))/(VLOOKUP(U$72,INDIRECT($C$5&amp;"生成成长"),5))*(VLOOKUP($B$5,标准坦克设计!$B$24:$U$30,MATCH("对"&amp;LEFT($C$5,2)&amp;"输出",标准坦克设计!$B$23:$U$23,0)))*(VLOOKUP($B209,INDIRECT($B$5&amp;"生成成长"),3))*(VLOOKUP($B$5,标准坦克设计!$B$14:$K$20,9)/30))</f>
        <v>4.1576064339856043</v>
      </c>
      <c r="V209" s="173">
        <f ca="1">(VLOOKUP(V$72,INDIRECT($C$5&amp;"生成成长"),2))/((VLOOKUP($B209,INDIRECT($B$5&amp;"生成成长"),4))/(VLOOKUP(V$72,INDIRECT($C$5&amp;"生成成长"),5))*(VLOOKUP($B$5,标准坦克设计!$B$24:$U$30,MATCH("对"&amp;LEFT($C$5,2)&amp;"输出",标准坦克设计!$B$23:$U$23,0)))*(VLOOKUP($B209,INDIRECT($B$5&amp;"生成成长"),3))*(VLOOKUP($B$5,标准坦克设计!$B$14:$K$20,9)/30))</f>
        <v>4.5461667817416869</v>
      </c>
      <c r="W209" s="173">
        <f ca="1">(VLOOKUP(W$72,INDIRECT($C$5&amp;"生成成长"),2))/((VLOOKUP($B209,INDIRECT($B$5&amp;"生成成长"),4))/(VLOOKUP(W$72,INDIRECT($C$5&amp;"生成成长"),5))*(VLOOKUP($B$5,标准坦克设计!$B$24:$U$30,MATCH("对"&amp;LEFT($C$5,2)&amp;"输出",标准坦克设计!$B$23:$U$23,0)))*(VLOOKUP($B209,INDIRECT($B$5&amp;"生成成长"),3))*(VLOOKUP($B$5,标准坦克设计!$B$14:$K$20,9)/30))</f>
        <v>4.9520821822511429</v>
      </c>
      <c r="X209" s="173">
        <f ca="1">(VLOOKUP(X$72,INDIRECT($C$5&amp;"生成成长"),2))/((VLOOKUP($B209,INDIRECT($B$5&amp;"生成成长"),4))/(VLOOKUP(X$72,INDIRECT($C$5&amp;"生成成长"),5))*(VLOOKUP($B$5,标准坦克设计!$B$24:$U$30,MATCH("对"&amp;LEFT($C$5,2)&amp;"输出",标准坦克设计!$B$23:$U$23,0)))*(VLOOKUP($B209,INDIRECT($B$5&amp;"生成成长"),3))*(VLOOKUP($B$5,标准坦克设计!$B$14:$K$20,9)/30))</f>
        <v>3.5876750719612445</v>
      </c>
      <c r="Y209" s="173">
        <f ca="1">(VLOOKUP(Y$72,INDIRECT($C$5&amp;"生成成长"),2))/((VLOOKUP($B209,INDIRECT($B$5&amp;"生成成长"),4))/(VLOOKUP(Y$72,INDIRECT($C$5&amp;"生成成长"),5))*(VLOOKUP($B$5,标准坦克设计!$B$24:$U$30,MATCH("对"&amp;LEFT($C$5,2)&amp;"输出",标准坦克设计!$B$23:$U$23,0)))*(VLOOKUP($B209,INDIRECT($B$5&amp;"生成成长"),3))*(VLOOKUP($B$5,标准坦克设计!$B$14:$K$20,9)/30))</f>
        <v>3.9904837037679357</v>
      </c>
      <c r="Z209" s="173">
        <f ca="1">(VLOOKUP(Z$72,INDIRECT($C$5&amp;"生成成长"),2))/((VLOOKUP($B209,INDIRECT($B$5&amp;"生成成长"),4))/(VLOOKUP(Z$72,INDIRECT($C$5&amp;"生成成长"),5))*(VLOOKUP($B$5,标准坦克设计!$B$24:$U$30,MATCH("对"&amp;LEFT($C$5,2)&amp;"输出",标准坦克设计!$B$23:$U$23,0)))*(VLOOKUP($B209,INDIRECT($B$5&amp;"生成成长"),3))*(VLOOKUP($B$5,标准坦克设计!$B$14:$K$20,9)/30))</f>
        <v>4.414718326628174</v>
      </c>
      <c r="AA209" s="173">
        <f ca="1">(VLOOKUP(AA$72,INDIRECT($C$5&amp;"生成成长"),2))/((VLOOKUP($B209,INDIRECT($B$5&amp;"生成成长"),4))/(VLOOKUP(AA$72,INDIRECT($C$5&amp;"生成成长"),5))*(VLOOKUP($B$5,标准坦克设计!$B$24:$U$30,MATCH("对"&amp;LEFT($C$5,2)&amp;"输出",标准坦克设计!$B$23:$U$23,0)))*(VLOOKUP($B209,INDIRECT($B$5&amp;"生成成长"),3))*(VLOOKUP($B$5,标准坦克设计!$B$14:$K$20,9)/30))</f>
        <v>4.8603789405419606</v>
      </c>
      <c r="AB209" s="173">
        <f ca="1">(VLOOKUP(AB$72,INDIRECT($C$5&amp;"生成成长"),2))/((VLOOKUP($B209,INDIRECT($B$5&amp;"生成成长"),4))/(VLOOKUP(AB$72,INDIRECT($C$5&amp;"生成成长"),5))*(VLOOKUP($B$5,标准坦克设计!$B$24:$U$30,MATCH("对"&amp;LEFT($C$5,2)&amp;"输出",标准坦克设计!$B$23:$U$23,0)))*(VLOOKUP($B209,INDIRECT($B$5&amp;"生成成长"),3))*(VLOOKUP($B$5,标准坦克设计!$B$14:$K$20,9)/30))</f>
        <v>5.3274655455092921</v>
      </c>
      <c r="AC209" s="173">
        <f ca="1">(VLOOKUP(AC$72,INDIRECT($C$5&amp;"生成成长"),2))/((VLOOKUP($B209,INDIRECT($B$5&amp;"生成成长"),4))/(VLOOKUP(AC$72,INDIRECT($C$5&amp;"生成成长"),5))*(VLOOKUP($B$5,标准坦克设计!$B$24:$U$30,MATCH("对"&amp;LEFT($C$5,2)&amp;"输出",标准坦克设计!$B$23:$U$23,0)))*(VLOOKUP($B209,INDIRECT($B$5&amp;"生成成长"),3))*(VLOOKUP($B$5,标准坦克设计!$B$14:$K$20,9)/30))</f>
        <v>5.8159781415301746</v>
      </c>
      <c r="AD209" s="173">
        <f ca="1">(VLOOKUP(AD$72,INDIRECT($C$5&amp;"生成成长"),2))/((VLOOKUP($B209,INDIRECT($B$5&amp;"生成成长"),4))/(VLOOKUP(AD$72,INDIRECT($C$5&amp;"生成成长"),5))*(VLOOKUP($B$5,标准坦克设计!$B$24:$U$30,MATCH("对"&amp;LEFT($C$5,2)&amp;"输出",标准坦克设计!$B$23:$U$23,0)))*(VLOOKUP($B209,INDIRECT($B$5&amp;"生成成长"),3))*(VLOOKUP($B$5,标准坦克设计!$B$14:$K$20,9)/30))</f>
        <v>6.3259167286046019</v>
      </c>
      <c r="AE209" s="173">
        <f ca="1">(VLOOKUP(AE$72,INDIRECT($C$5&amp;"生成成长"),2))/((VLOOKUP($B209,INDIRECT($B$5&amp;"生成成长"),4))/(VLOOKUP(AE$72,INDIRECT($C$5&amp;"生成成长"),5))*(VLOOKUP($B$5,标准坦克设计!$B$24:$U$30,MATCH("对"&amp;LEFT($C$5,2)&amp;"输出",标准坦克设计!$B$23:$U$23,0)))*(VLOOKUP($B209,INDIRECT($B$5&amp;"生成成长"),3))*(VLOOKUP($B$5,标准坦克设计!$B$14:$K$20,9)/30))</f>
        <v>6.8572813067325766</v>
      </c>
      <c r="AF209" s="173">
        <f ca="1">(VLOOKUP(AF$72,INDIRECT($C$5&amp;"生成成长"),2))/((VLOOKUP($B209,INDIRECT($B$5&amp;"生成成长"),4))/(VLOOKUP(AF$72,INDIRECT($C$5&amp;"生成成长"),5))*(VLOOKUP($B$5,标准坦克设计!$B$24:$U$30,MATCH("对"&amp;LEFT($C$5,2)&amp;"输出",标准坦克设计!$B$23:$U$23,0)))*(VLOOKUP($B209,INDIRECT($B$5&amp;"生成成长"),3))*(VLOOKUP($B$5,标准坦克设计!$B$14:$K$20,9)/30))</f>
        <v>7.4100718759140998</v>
      </c>
      <c r="AG209" s="173">
        <f ca="1">(VLOOKUP(AG$72,INDIRECT($C$5&amp;"生成成长"),2))/((VLOOKUP($B209,INDIRECT($B$5&amp;"生成成长"),4))/(VLOOKUP(AG$72,INDIRECT($C$5&amp;"生成成长"),5))*(VLOOKUP($B$5,标准坦克设计!$B$24:$U$30,MATCH("对"&amp;LEFT($C$5,2)&amp;"输出",标准坦克设计!$B$23:$U$23,0)))*(VLOOKUP($B209,INDIRECT($B$5&amp;"生成成长"),3))*(VLOOKUP($B$5,标准坦克设计!$B$14:$K$20,9)/30))</f>
        <v>7.9842884361491713</v>
      </c>
      <c r="AH209" s="173">
        <f ca="1">(VLOOKUP(AH$72,INDIRECT($C$5&amp;"生成成长"),2))/((VLOOKUP($B209,INDIRECT($B$5&amp;"生成成长"),4))/(VLOOKUP(AH$72,INDIRECT($C$5&amp;"生成成长"),5))*(VLOOKUP($B$5,标准坦克设计!$B$24:$U$30,MATCH("对"&amp;LEFT($C$5,2)&amp;"输出",标准坦克设计!$B$23:$U$23,0)))*(VLOOKUP($B209,INDIRECT($B$5&amp;"生成成长"),3))*(VLOOKUP($B$5,标准坦克设计!$B$14:$K$20,9)/30))</f>
        <v>8.5799309874377894</v>
      </c>
      <c r="AI209" s="173">
        <f ca="1">(VLOOKUP(AI$72,INDIRECT($C$5&amp;"生成成长"),2))/((VLOOKUP($B209,INDIRECT($B$5&amp;"生成成长"),4))/(VLOOKUP(AI$72,INDIRECT($C$5&amp;"生成成长"),5))*(VLOOKUP($B$5,标准坦克设计!$B$24:$U$30,MATCH("对"&amp;LEFT($C$5,2)&amp;"输出",标准坦克设计!$B$23:$U$23,0)))*(VLOOKUP($B209,INDIRECT($B$5&amp;"生成成长"),3))*(VLOOKUP($B$5,标准坦克设计!$B$14:$K$20,9)/30))</f>
        <v>6.0682691861856943</v>
      </c>
      <c r="AJ209" s="173">
        <f ca="1">(VLOOKUP(AJ$72,INDIRECT($C$5&amp;"生成成长"),2))/((VLOOKUP($B209,INDIRECT($B$5&amp;"生成成长"),4))/(VLOOKUP(AJ$72,INDIRECT($C$5&amp;"生成成长"),5))*(VLOOKUP($B$5,标准坦克设计!$B$24:$U$30,MATCH("对"&amp;LEFT($C$5,2)&amp;"输出",标准坦克设计!$B$23:$U$23,0)))*(VLOOKUP($B209,INDIRECT($B$5&amp;"生成成长"),3))*(VLOOKUP($B$5,标准坦克设计!$B$14:$K$20,9)/30))</f>
        <v>6.64216435655496</v>
      </c>
      <c r="AK209" s="173">
        <f ca="1">(VLOOKUP(AK$72,INDIRECT($C$5&amp;"生成成长"),2))/((VLOOKUP($B209,INDIRECT($B$5&amp;"生成成长"),4))/(VLOOKUP(AK$72,INDIRECT($C$5&amp;"生成成长"),5))*(VLOOKUP($B$5,标准坦克设计!$B$24:$U$30,MATCH("对"&amp;LEFT($C$5,2)&amp;"输出",标准坦克设计!$B$23:$U$23,0)))*(VLOOKUP($B209,INDIRECT($B$5&amp;"生成成长"),3))*(VLOOKUP($B$5,标准坦克设计!$B$14:$K$20,9)/30))</f>
        <v>7.2419849760990207</v>
      </c>
      <c r="AL209" s="173">
        <f ca="1">(VLOOKUP(AL$72,INDIRECT($C$5&amp;"生成成长"),2))/((VLOOKUP($B209,INDIRECT($B$5&amp;"生成成长"),4))/(VLOOKUP(AL$72,INDIRECT($C$5&amp;"生成成长"),5))*(VLOOKUP($B$5,标准坦克设计!$B$24:$U$30,MATCH("对"&amp;LEFT($C$5,2)&amp;"输出",标准坦克设计!$B$23:$U$23,0)))*(VLOOKUP($B209,INDIRECT($B$5&amp;"生成成长"),3))*(VLOOKUP($B$5,标准坦克设计!$B$14:$K$20,9)/30))</f>
        <v>7.867731044817873</v>
      </c>
      <c r="AM209" s="173">
        <f ca="1">(VLOOKUP(AM$72,INDIRECT($C$5&amp;"生成成长"),2))/((VLOOKUP($B209,INDIRECT($B$5&amp;"生成成长"),4))/(VLOOKUP(AM$72,INDIRECT($C$5&amp;"生成成长"),5))*(VLOOKUP($B$5,标准坦克设计!$B$24:$U$30,MATCH("对"&amp;LEFT($C$5,2)&amp;"输出",标准坦克设计!$B$23:$U$23,0)))*(VLOOKUP($B209,INDIRECT($B$5&amp;"生成成长"),3))*(VLOOKUP($B$5,标准坦克设计!$B$14:$K$20,9)/30))</f>
        <v>8.5194025627115177</v>
      </c>
      <c r="AN209" s="173">
        <f ca="1">(VLOOKUP(AN$72,INDIRECT($C$5&amp;"生成成长"),2))/((VLOOKUP($B209,INDIRECT($B$5&amp;"生成成长"),4))/(VLOOKUP(AN$72,INDIRECT($C$5&amp;"生成成长"),5))*(VLOOKUP($B$5,标准坦克设计!$B$24:$U$30,MATCH("对"&amp;LEFT($C$5,2)&amp;"输出",标准坦克设计!$B$23:$U$23,0)))*(VLOOKUP($B209,INDIRECT($B$5&amp;"生成成长"),3))*(VLOOKUP($B$5,标准坦克设计!$B$14:$K$20,9)/30))</f>
        <v>9.1969995297799532</v>
      </c>
      <c r="AO209" s="173">
        <f ca="1">(VLOOKUP(AO$72,INDIRECT($C$5&amp;"生成成长"),2))/((VLOOKUP($B209,INDIRECT($B$5&amp;"生成成长"),4))/(VLOOKUP(AO$72,INDIRECT($C$5&amp;"生成成长"),5))*(VLOOKUP($B$5,标准坦克设计!$B$24:$U$30,MATCH("对"&amp;LEFT($C$5,2)&amp;"输出",标准坦克设计!$B$23:$U$23,0)))*(VLOOKUP($B209,INDIRECT($B$5&amp;"生成成长"),3))*(VLOOKUP($B$5,标准坦克设计!$B$14:$K$20,9)/30))</f>
        <v>9.900521946023181</v>
      </c>
      <c r="AP209" s="173">
        <f ca="1">(VLOOKUP(AP$72,INDIRECT($C$5&amp;"生成成长"),2))/((VLOOKUP($B209,INDIRECT($B$5&amp;"生成成长"),4))/(VLOOKUP(AP$72,INDIRECT($C$5&amp;"生成成长"),5))*(VLOOKUP($B$5,标准坦克设计!$B$24:$U$30,MATCH("对"&amp;LEFT($C$5,2)&amp;"输出",标准坦克设计!$B$23:$U$23,0)))*(VLOOKUP($B209,INDIRECT($B$5&amp;"生成成长"),3))*(VLOOKUP($B$5,标准坦克设计!$B$14:$K$20,9)/30))</f>
        <v>10.629969811441205</v>
      </c>
      <c r="AQ209" s="173">
        <f ca="1">(VLOOKUP(AQ$72,INDIRECT($C$5&amp;"生成成长"),2))/((VLOOKUP($B209,INDIRECT($B$5&amp;"生成成长"),4))/(VLOOKUP(AQ$72,INDIRECT($C$5&amp;"生成成长"),5))*(VLOOKUP($B$5,标准坦克设计!$B$24:$U$30,MATCH("对"&amp;LEFT($C$5,2)&amp;"输出",标准坦克设计!$B$23:$U$23,0)))*(VLOOKUP($B209,INDIRECT($B$5&amp;"生成成长"),3))*(VLOOKUP($B$5,标准坦克设计!$B$14:$K$20,9)/30))</f>
        <v>11.385343126034021</v>
      </c>
      <c r="AR209" s="173">
        <f ca="1">(VLOOKUP(AR$72,INDIRECT($C$5&amp;"生成成长"),2))/((VLOOKUP($B209,INDIRECT($B$5&amp;"生成成长"),4))/(VLOOKUP(AR$72,INDIRECT($C$5&amp;"生成成长"),5))*(VLOOKUP($B$5,标准坦克设计!$B$24:$U$30,MATCH("对"&amp;LEFT($C$5,2)&amp;"输出",标准坦克设计!$B$23:$U$23,0)))*(VLOOKUP($B209,INDIRECT($B$5&amp;"生成成长"),3))*(VLOOKUP($B$5,标准坦克设计!$B$14:$K$20,9)/30))</f>
        <v>12.166641889801625</v>
      </c>
      <c r="AS209" s="173">
        <f ca="1">(VLOOKUP(AS$72,INDIRECT($C$5&amp;"生成成长"),2))/((VLOOKUP($B209,INDIRECT($B$5&amp;"生成成长"),4))/(VLOOKUP(AS$72,INDIRECT($C$5&amp;"生成成长"),5))*(VLOOKUP($B$5,标准坦克设计!$B$24:$U$30,MATCH("对"&amp;LEFT($C$5,2)&amp;"输出",标准坦克设计!$B$23:$U$23,0)))*(VLOOKUP($B209,INDIRECT($B$5&amp;"生成成长"),3))*(VLOOKUP($B$5,标准坦克设计!$B$14:$K$20,9)/30))</f>
        <v>12.973866102744021</v>
      </c>
      <c r="AT209" s="173">
        <f ca="1">(VLOOKUP(AT$72,INDIRECT($C$5&amp;"生成成长"),2))/((VLOOKUP($B209,INDIRECT($B$5&amp;"生成成长"),4))/(VLOOKUP(AT$72,INDIRECT($C$5&amp;"生成成长"),5))*(VLOOKUP($B$5,标准坦克设计!$B$24:$U$30,MATCH("对"&amp;LEFT($C$5,2)&amp;"输出",标准坦克设计!$B$23:$U$23,0)))*(VLOOKUP($B209,INDIRECT($B$5&amp;"生成成长"),3))*(VLOOKUP($B$5,标准坦克设计!$B$14:$K$20,9)/30))</f>
        <v>13.807015764861211</v>
      </c>
      <c r="AU209" s="173">
        <f ca="1">(VLOOKUP(AU$72,INDIRECT($C$5&amp;"生成成长"),2))/((VLOOKUP($B209,INDIRECT($B$5&amp;"生成成长"),4))/(VLOOKUP(AU$72,INDIRECT($C$5&amp;"生成成长"),5))*(VLOOKUP($B$5,标准坦克设计!$B$24:$U$30,MATCH("对"&amp;LEFT($C$5,2)&amp;"输出",标准坦克设计!$B$23:$U$23,0)))*(VLOOKUP($B209,INDIRECT($B$5&amp;"生成成长"),3))*(VLOOKUP($B$5,标准坦克设计!$B$14:$K$20,9)/30))</f>
        <v>14.666090876153197</v>
      </c>
      <c r="AV209" s="173">
        <f ca="1">(VLOOKUP(AV$72,INDIRECT($C$5&amp;"生成成长"),2))/((VLOOKUP($B209,INDIRECT($B$5&amp;"生成成长"),4))/(VLOOKUP(AV$72,INDIRECT($C$5&amp;"生成成长"),5))*(VLOOKUP($B$5,标准坦克设计!$B$24:$U$30,MATCH("对"&amp;LEFT($C$5,2)&amp;"输出",标准坦克设计!$B$23:$U$23,0)))*(VLOOKUP($B209,INDIRECT($B$5&amp;"生成成长"),3))*(VLOOKUP($B$5,标准坦克设计!$B$14:$K$20,9)/30))</f>
        <v>1.4916774971479698</v>
      </c>
      <c r="AW209" s="173">
        <f ca="1">(VLOOKUP(AW$72,INDIRECT($C$5&amp;"生成成长"),2))/((VLOOKUP($B209,INDIRECT($B$5&amp;"生成成长"),4))/(VLOOKUP(AW$72,INDIRECT($C$5&amp;"生成成长"),5))*(VLOOKUP($B$5,标准坦克设计!$B$24:$U$30,MATCH("对"&amp;LEFT($C$5,2)&amp;"输出",标准坦克设计!$B$23:$U$23,0)))*(VLOOKUP($B209,INDIRECT($B$5&amp;"生成成长"),3))*(VLOOKUP($B$5,标准坦克设计!$B$14:$K$20,9)/30))</f>
        <v>1.7007951698305925</v>
      </c>
      <c r="AX209" s="173">
        <f ca="1">(VLOOKUP(AX$72,INDIRECT($C$5&amp;"生成成长"),2))/((VLOOKUP($B209,INDIRECT($B$5&amp;"生成成长"),4))/(VLOOKUP(AX$72,INDIRECT($C$5&amp;"生成成长"),5))*(VLOOKUP($B$5,标准坦克设计!$B$24:$U$30,MATCH("对"&amp;LEFT($C$5,2)&amp;"输出",标准坦克设计!$B$23:$U$23,0)))*(VLOOKUP($B209,INDIRECT($B$5&amp;"生成成长"),3))*(VLOOKUP($B$5,标准坦克设计!$B$14:$K$20,9)/30))</f>
        <v>1.9236254767874859</v>
      </c>
      <c r="AY209" s="173">
        <f ca="1">(VLOOKUP(AY$72,INDIRECT($C$5&amp;"生成成长"),2))/((VLOOKUP($B209,INDIRECT($B$5&amp;"生成成长"),4))/(VLOOKUP(AY$72,INDIRECT($C$5&amp;"生成成长"),5))*(VLOOKUP($B$5,标准坦克设计!$B$24:$U$30,MATCH("对"&amp;LEFT($C$5,2)&amp;"输出",标准坦克设计!$B$23:$U$23,0)))*(VLOOKUP($B209,INDIRECT($B$5&amp;"生成成长"),3))*(VLOOKUP($B$5,标准坦克设计!$B$14:$K$20,9)/30))</f>
        <v>2.1601684180186487</v>
      </c>
      <c r="AZ209" s="173">
        <f ca="1">(VLOOKUP(AZ$72,INDIRECT($C$5&amp;"生成成长"),2))/((VLOOKUP($B209,INDIRECT($B$5&amp;"生成成长"),4))/(VLOOKUP(AZ$72,INDIRECT($C$5&amp;"生成成长"),5))*(VLOOKUP($B$5,标准坦克设计!$B$24:$U$30,MATCH("对"&amp;LEFT($C$5,2)&amp;"输出",标准坦克设计!$B$23:$U$23,0)))*(VLOOKUP($B209,INDIRECT($B$5&amp;"生成成长"),3))*(VLOOKUP($B$5,标准坦克设计!$B$14:$K$20,9)/30))</f>
        <v>2.4104239935240828</v>
      </c>
      <c r="BA209" s="173">
        <f ca="1">(VLOOKUP(BA$72,INDIRECT($C$5&amp;"生成成长"),2))/((VLOOKUP($B209,INDIRECT($B$5&amp;"生成成长"),4))/(VLOOKUP(BA$72,INDIRECT($C$5&amp;"生成成长"),5))*(VLOOKUP($B$5,标准坦克设计!$B$24:$U$30,MATCH("对"&amp;LEFT($C$5,2)&amp;"输出",标准坦克设计!$B$23:$U$23,0)))*(VLOOKUP($B209,INDIRECT($B$5&amp;"生成成长"),3))*(VLOOKUP($B$5,标准坦克设计!$B$14:$K$20,9)/30))</f>
        <v>2.6743922033037864</v>
      </c>
      <c r="BB209" s="173">
        <f ca="1">(VLOOKUP(BB$72,INDIRECT($C$5&amp;"生成成长"),2))/((VLOOKUP($B209,INDIRECT($B$5&amp;"生成成长"),4))/(VLOOKUP(BB$72,INDIRECT($C$5&amp;"生成成长"),5))*(VLOOKUP($B$5,标准坦克设计!$B$24:$U$30,MATCH("对"&amp;LEFT($C$5,2)&amp;"输出",标准坦克设计!$B$23:$U$23,0)))*(VLOOKUP($B209,INDIRECT($B$5&amp;"生成成长"),3))*(VLOOKUP($B$5,标准坦克设计!$B$14:$K$20,9)/30))</f>
        <v>2.9520730473577603</v>
      </c>
      <c r="BC209" s="173">
        <f ca="1">(VLOOKUP(BC$72,INDIRECT($C$5&amp;"生成成长"),2))/((VLOOKUP($B209,INDIRECT($B$5&amp;"生成成长"),4))/(VLOOKUP(BC$72,INDIRECT($C$5&amp;"生成成长"),5))*(VLOOKUP($B$5,标准坦克设计!$B$24:$U$30,MATCH("对"&amp;LEFT($C$5,2)&amp;"输出",标准坦克设计!$B$23:$U$23,0)))*(VLOOKUP($B209,INDIRECT($B$5&amp;"生成成长"),3))*(VLOOKUP($B$5,标准坦克设计!$B$14:$K$20,9)/30))</f>
        <v>3.2434665256860051</v>
      </c>
      <c r="BD209" s="173">
        <f ca="1">(VLOOKUP(BD$72,INDIRECT($C$5&amp;"生成成长"),2))/((VLOOKUP($B209,INDIRECT($B$5&amp;"生成成长"),4))/(VLOOKUP(BD$72,INDIRECT($C$5&amp;"生成成长"),5))*(VLOOKUP($B$5,标准坦克设计!$B$24:$U$30,MATCH("对"&amp;LEFT($C$5,2)&amp;"输出",标准坦克设计!$B$23:$U$23,0)))*(VLOOKUP($B209,INDIRECT($B$5&amp;"生成成长"),3))*(VLOOKUP($B$5,标准坦克设计!$B$14:$K$20,9)/30))</f>
        <v>3.5876750719612445</v>
      </c>
      <c r="BE209" s="173">
        <f ca="1">(VLOOKUP(BE$72,INDIRECT($C$5&amp;"生成成长"),2))/((VLOOKUP($B209,INDIRECT($B$5&amp;"生成成长"),4))/(VLOOKUP(BE$72,INDIRECT($C$5&amp;"生成成长"),5))*(VLOOKUP($B$5,标准坦克设计!$B$24:$U$30,MATCH("对"&amp;LEFT($C$5,2)&amp;"输出",标准坦克设计!$B$23:$U$23,0)))*(VLOOKUP($B209,INDIRECT($B$5&amp;"生成成长"),3))*(VLOOKUP($B$5,标准坦克设计!$B$14:$K$20,9)/30))</f>
        <v>3.9492386709898568</v>
      </c>
      <c r="BF209" s="173">
        <f ca="1">(VLOOKUP(BF$72,INDIRECT($C$5&amp;"生成成长"),2))/((VLOOKUP($B209,INDIRECT($B$5&amp;"生成成长"),4))/(VLOOKUP(BF$72,INDIRECT($C$5&amp;"生成成长"),5))*(VLOOKUP($B$5,标准坦克设计!$B$24:$U$30,MATCH("对"&amp;LEFT($C$5,2)&amp;"输出",标准坦克设计!$B$23:$U$23,0)))*(VLOOKUP($B209,INDIRECT($B$5&amp;"生成成长"),3))*(VLOOKUP($B$5,标准坦克设计!$B$14:$K$20,9)/30))</f>
        <v>4.3281573227718422</v>
      </c>
      <c r="BG209" s="173">
        <f ca="1">(VLOOKUP(BG$72,INDIRECT($C$5&amp;"生成成长"),2))/((VLOOKUP($B209,INDIRECT($B$5&amp;"生成成长"),4))/(VLOOKUP(BG$72,INDIRECT($C$5&amp;"生成成长"),5))*(VLOOKUP($B$5,标准坦克设计!$B$24:$U$30,MATCH("对"&amp;LEFT($C$5,2)&amp;"输出",标准坦克设计!$B$23:$U$23,0)))*(VLOOKUP($B209,INDIRECT($B$5&amp;"生成成长"),3))*(VLOOKUP($B$5,标准坦克设计!$B$14:$K$20,9)/30))</f>
        <v>4.7244310273072019</v>
      </c>
      <c r="BH209" s="173">
        <f ca="1">(VLOOKUP(BH$72,INDIRECT($C$5&amp;"生成成长"),2))/((VLOOKUP($B209,INDIRECT($B$5&amp;"生成成长"),4))/(VLOOKUP(BH$72,INDIRECT($C$5&amp;"生成成长"),5))*(VLOOKUP($B$5,标准坦克设计!$B$24:$U$30,MATCH("对"&amp;LEFT($C$5,2)&amp;"输出",标准坦克设计!$B$23:$U$23,0)))*(VLOOKUP($B209,INDIRECT($B$5&amp;"生成成长"),3))*(VLOOKUP($B$5,标准坦克设计!$B$14:$K$20,9)/30))</f>
        <v>2.2835821264870817</v>
      </c>
      <c r="BI209" s="173">
        <f ca="1">(VLOOKUP(BI$72,INDIRECT($C$5&amp;"生成成长"),2))/((VLOOKUP($B209,INDIRECT($B$5&amp;"生成成长"),4))/(VLOOKUP(BI$72,INDIRECT($C$5&amp;"生成成长"),5))*(VLOOKUP($B$5,标准坦克设计!$B$24:$U$30,MATCH("对"&amp;LEFT($C$5,2)&amp;"输出",标准坦克设计!$B$23:$U$23,0)))*(VLOOKUP($B209,INDIRECT($B$5&amp;"生成成长"),3))*(VLOOKUP($B$5,标准坦克设计!$B$14:$K$20,9)/30))</f>
        <v>2.5737971753073814</v>
      </c>
      <c r="BJ209" s="173">
        <f ca="1">(VLOOKUP(BJ$72,INDIRECT($C$5&amp;"生成成长"),2))/((VLOOKUP($B209,INDIRECT($B$5&amp;"生成成长"),4))/(VLOOKUP(BJ$72,INDIRECT($C$5&amp;"生成成长"),5))*(VLOOKUP($B$5,标准坦克设计!$B$24:$U$30,MATCH("对"&amp;LEFT($C$5,2)&amp;"输出",标准坦克设计!$B$23:$U$23,0)))*(VLOOKUP($B209,INDIRECT($B$5&amp;"生成成长"),3))*(VLOOKUP($B$5,标准坦克设计!$B$14:$K$20,9)/30))</f>
        <v>2.8813672768810541</v>
      </c>
      <c r="BK209" s="173">
        <f ca="1">(VLOOKUP(BK$72,INDIRECT($C$5&amp;"生成成长"),2))/((VLOOKUP($B209,INDIRECT($B$5&amp;"生成成长"),4))/(VLOOKUP(BK$72,INDIRECT($C$5&amp;"生成成长"),5))*(VLOOKUP($B$5,标准坦克设计!$B$24:$U$30,MATCH("对"&amp;LEFT($C$5,2)&amp;"输出",标准坦克设计!$B$23:$U$23,0)))*(VLOOKUP($B209,INDIRECT($B$5&amp;"生成成长"),3))*(VLOOKUP($B$5,标准坦克设计!$B$14:$K$20,9)/30))</f>
        <v>3.2062924312081003</v>
      </c>
      <c r="BL209" s="173">
        <f ca="1">(VLOOKUP(BL$72,INDIRECT($C$5&amp;"生成成长"),2))/((VLOOKUP($B209,INDIRECT($B$5&amp;"生成成长"),4))/(VLOOKUP(BL$72,INDIRECT($C$5&amp;"生成成长"),5))*(VLOOKUP($B$5,标准坦克设计!$B$24:$U$30,MATCH("对"&amp;LEFT($C$5,2)&amp;"输出",标准坦克设计!$B$23:$U$23,0)))*(VLOOKUP($B209,INDIRECT($B$5&amp;"生成成长"),3))*(VLOOKUP($B$5,标准坦克设计!$B$14:$K$20,9)/30))</f>
        <v>3.5485726382885203</v>
      </c>
      <c r="BM209" s="173">
        <f ca="1">(VLOOKUP(BM$72,INDIRECT($C$5&amp;"生成成长"),2))/((VLOOKUP($B209,INDIRECT($B$5&amp;"生成成长"),4))/(VLOOKUP(BM$72,INDIRECT($C$5&amp;"生成成长"),5))*(VLOOKUP($B$5,标准坦克设计!$B$24:$U$30,MATCH("对"&amp;LEFT($C$5,2)&amp;"输出",标准坦克设计!$B$23:$U$23,0)))*(VLOOKUP($B209,INDIRECT($B$5&amp;"生成成长"),3))*(VLOOKUP($B$5,标准坦克设计!$B$14:$K$20,9)/30))</f>
        <v>3.9082078981223134</v>
      </c>
      <c r="BN209" s="173">
        <f ca="1">(VLOOKUP(BN$72,INDIRECT($C$5&amp;"生成成长"),2))/((VLOOKUP($B209,INDIRECT($B$5&amp;"生成成长"),4))/(VLOOKUP(BN$72,INDIRECT($C$5&amp;"生成成长"),5))*(VLOOKUP($B$5,标准坦克设计!$B$24:$U$30,MATCH("对"&amp;LEFT($C$5,2)&amp;"输出",标准坦克设计!$B$23:$U$23,0)))*(VLOOKUP($B209,INDIRECT($B$5&amp;"生成成长"),3))*(VLOOKUP($B$5,标准坦克设计!$B$14:$K$20,9)/30))</f>
        <v>4.2851982107094795</v>
      </c>
      <c r="BO209" s="173">
        <f ca="1">(VLOOKUP(BO$72,INDIRECT($C$5&amp;"生成成长"),2))/((VLOOKUP($B209,INDIRECT($B$5&amp;"生成成长"),4))/(VLOOKUP(BO$72,INDIRECT($C$5&amp;"生成成长"),5))*(VLOOKUP($B$5,标准坦克设计!$B$24:$U$30,MATCH("对"&amp;LEFT($C$5,2)&amp;"输出",标准坦克设计!$B$23:$U$23,0)))*(VLOOKUP($B209,INDIRECT($B$5&amp;"生成成长"),3))*(VLOOKUP($B$5,标准坦克设计!$B$14:$K$20,9)/30))</f>
        <v>4.6795435760500199</v>
      </c>
      <c r="BP209" s="173">
        <f ca="1">(VLOOKUP(BP$72,INDIRECT($C$5&amp;"生成成长"),2))/((VLOOKUP($B209,INDIRECT($B$5&amp;"生成成长"),4))/(VLOOKUP(BP$72,INDIRECT($C$5&amp;"生成成长"),5))*(VLOOKUP($B$5,标准坦克设计!$B$24:$U$30,MATCH("对"&amp;LEFT($C$5,2)&amp;"输出",标准坦克设计!$B$23:$U$23,0)))*(VLOOKUP($B209,INDIRECT($B$5&amp;"生成成长"),3))*(VLOOKUP($B$5,标准坦克设计!$B$14:$K$20,9)/30))</f>
        <v>5.091243994143932</v>
      </c>
      <c r="BQ209" s="173">
        <f ca="1">(VLOOKUP(BQ$72,INDIRECT($C$5&amp;"生成成长"),2))/((VLOOKUP($B209,INDIRECT($B$5&amp;"生成成长"),4))/(VLOOKUP(BQ$72,INDIRECT($C$5&amp;"生成成长"),5))*(VLOOKUP($B$5,标准坦克设计!$B$24:$U$30,MATCH("对"&amp;LEFT($C$5,2)&amp;"输出",标准坦克设计!$B$23:$U$23,0)))*(VLOOKUP($B209,INDIRECT($B$5&amp;"生成成长"),3))*(VLOOKUP($B$5,标准坦克设计!$B$14:$K$20,9)/30))</f>
        <v>5.5202994649912203</v>
      </c>
      <c r="BR209" s="173">
        <f ca="1">(VLOOKUP(BR$72,INDIRECT($C$5&amp;"生成成长"),2))/((VLOOKUP($B209,INDIRECT($B$5&amp;"生成成长"),4))/(VLOOKUP(BR$72,INDIRECT($C$5&amp;"生成成长"),5))*(VLOOKUP($B$5,标准坦克设计!$B$24:$U$30,MATCH("对"&amp;LEFT($C$5,2)&amp;"输出",标准坦克设计!$B$23:$U$23,0)))*(VLOOKUP($B209,INDIRECT($B$5&amp;"生成成长"),3))*(VLOOKUP($B$5,标准坦克设计!$B$14:$K$20,9)/30))</f>
        <v>6.01738245743352</v>
      </c>
      <c r="BS209" s="173">
        <f ca="1">(VLOOKUP(BS$72,INDIRECT($C$5&amp;"生成成长"),2))/((VLOOKUP($B209,INDIRECT($B$5&amp;"生成成长"),4))/(VLOOKUP(BS$72,INDIRECT($C$5&amp;"生成成长"),5))*(VLOOKUP($B$5,标准坦克设计!$B$24:$U$30,MATCH("对"&amp;LEFT($C$5,2)&amp;"输出",标准坦克设计!$B$23:$U$23,0)))*(VLOOKUP($B209,INDIRECT($B$5&amp;"生成成长"),3))*(VLOOKUP($B$5,标准坦克设计!$B$14:$K$20,9)/30))</f>
        <v>6.5358914409293671</v>
      </c>
      <c r="BT209" s="173">
        <f ca="1">(VLOOKUP(BT$72,INDIRECT($C$5&amp;"生成成长"),2))/((VLOOKUP($B209,INDIRECT($B$5&amp;"生成成长"),4))/(VLOOKUP(BT$72,INDIRECT($C$5&amp;"生成成长"),5))*(VLOOKUP($B$5,标准坦克设计!$B$24:$U$30,MATCH("对"&amp;LEFT($C$5,2)&amp;"输出",标准坦克设计!$B$23:$U$23,0)))*(VLOOKUP($B209,INDIRECT($B$5&amp;"生成成长"),3))*(VLOOKUP($B$5,标准坦克设计!$B$14:$K$20,9)/30))</f>
        <v>7.0758264154787609</v>
      </c>
      <c r="BU209" s="173">
        <f ca="1">(VLOOKUP(BU$72,INDIRECT($C$5&amp;"生成成长"),2))/((VLOOKUP($B209,INDIRECT($B$5&amp;"生成成长"),4))/(VLOOKUP(BU$72,INDIRECT($C$5&amp;"生成成长"),5))*(VLOOKUP($B$5,标准坦克设计!$B$24:$U$30,MATCH("对"&amp;LEFT($C$5,2)&amp;"输出",标准坦克设计!$B$23:$U$23,0)))*(VLOOKUP($B209,INDIRECT($B$5&amp;"生成成长"),3))*(VLOOKUP($B$5,标准坦克设计!$B$14:$K$20,9)/30))</f>
        <v>7.637187381081703</v>
      </c>
      <c r="BV209" s="173">
        <f ca="1">(VLOOKUP(BV$72,INDIRECT($C$5&amp;"生成成长"),2))/((VLOOKUP($B209,INDIRECT($B$5&amp;"生成成长"),4))/(VLOOKUP(BV$72,INDIRECT($C$5&amp;"生成成长"),5))*(VLOOKUP($B$5,标准坦克设计!$B$24:$U$30,MATCH("对"&amp;LEFT($C$5,2)&amp;"输出",标准坦克设计!$B$23:$U$23,0)))*(VLOOKUP($B209,INDIRECT($B$5&amp;"生成成长"),3))*(VLOOKUP($B$5,标准坦克设计!$B$14:$K$20,9)/30))</f>
        <v>8.21997433773819</v>
      </c>
      <c r="BW209" s="173">
        <f ca="1">(VLOOKUP(BW$72,INDIRECT($C$5&amp;"生成成长"),2))/((VLOOKUP($B209,INDIRECT($B$5&amp;"生成成长"),4))/(VLOOKUP(BW$72,INDIRECT($C$5&amp;"生成成长"),5))*(VLOOKUP($B$5,标准坦克设计!$B$24:$U$30,MATCH("对"&amp;LEFT($C$5,2)&amp;"输出",标准坦克设计!$B$23:$U$23,0)))*(VLOOKUP($B209,INDIRECT($B$5&amp;"生成成长"),3))*(VLOOKUP($B$5,标准坦克设计!$B$14:$K$20,9)/30))</f>
        <v>3.7462274057574954</v>
      </c>
      <c r="BX209" s="173">
        <f ca="1">(VLOOKUP(BX$72,INDIRECT($C$5&amp;"生成成长"),2))/((VLOOKUP($B209,INDIRECT($B$5&amp;"生成成长"),4))/(VLOOKUP(BX$72,INDIRECT($C$5&amp;"生成成长"),5))*(VLOOKUP($B$5,标准坦克设计!$B$24:$U$30,MATCH("对"&amp;LEFT($C$5,2)&amp;"输出",标准坦克设计!$B$23:$U$23,0)))*(VLOOKUP($B209,INDIRECT($B$5&amp;"生成成长"),3))*(VLOOKUP($B$5,标准坦克设计!$B$14:$K$20,9)/30))</f>
        <v>4.1576064339856043</v>
      </c>
      <c r="BY209" s="173">
        <f ca="1">(VLOOKUP(BY$72,INDIRECT($C$5&amp;"生成成长"),2))/((VLOOKUP($B209,INDIRECT($B$5&amp;"生成成长"),4))/(VLOOKUP(BY$72,INDIRECT($C$5&amp;"生成成长"),5))*(VLOOKUP($B$5,标准坦克设计!$B$24:$U$30,MATCH("对"&amp;LEFT($C$5,2)&amp;"输出",标准坦克设计!$B$23:$U$23,0)))*(VLOOKUP($B209,INDIRECT($B$5&amp;"生成成长"),3))*(VLOOKUP($B$5,标准坦克设计!$B$14:$K$20,9)/30))</f>
        <v>4.5904114532672624</v>
      </c>
      <c r="BZ209" s="173">
        <f ca="1">(VLOOKUP(BZ$72,INDIRECT($C$5&amp;"生成成长"),2))/((VLOOKUP($B209,INDIRECT($B$5&amp;"生成成长"),4))/(VLOOKUP(BZ$72,INDIRECT($C$5&amp;"生成成长"),5))*(VLOOKUP($B$5,标准坦克设计!$B$24:$U$30,MATCH("对"&amp;LEFT($C$5,2)&amp;"输出",标准坦克设计!$B$23:$U$23,0)))*(VLOOKUP($B209,INDIRECT($B$5&amp;"生成成长"),3))*(VLOOKUP($B$5,标准坦克设计!$B$14:$K$20,9)/30))</f>
        <v>5.0446424636024672</v>
      </c>
      <c r="CA209" s="173">
        <f ca="1">(VLOOKUP(CA$72,INDIRECT($C$5&amp;"生成成长"),2))/((VLOOKUP($B209,INDIRECT($B$5&amp;"生成成长"),4))/(VLOOKUP(CA$72,INDIRECT($C$5&amp;"生成成长"),5))*(VLOOKUP($B$5,标准坦克设计!$B$24:$U$30,MATCH("对"&amp;LEFT($C$5,2)&amp;"输出",标准坦克设计!$B$23:$U$23,0)))*(VLOOKUP($B209,INDIRECT($B$5&amp;"生成成长"),3))*(VLOOKUP($B$5,标准坦克设计!$B$14:$K$20,9)/30))</f>
        <v>5.5202994649912203</v>
      </c>
      <c r="CB209" s="173">
        <f ca="1">(VLOOKUP(CB$72,INDIRECT($C$5&amp;"生成成长"),2))/((VLOOKUP($B209,INDIRECT($B$5&amp;"生成成长"),4))/(VLOOKUP(CB$72,INDIRECT($C$5&amp;"生成成长"),5))*(VLOOKUP($B$5,标准坦克设计!$B$24:$U$30,MATCH("对"&amp;LEFT($C$5,2)&amp;"输出",标准坦克设计!$B$23:$U$23,0)))*(VLOOKUP($B209,INDIRECT($B$5&amp;"生成成长"),3))*(VLOOKUP($B$5,标准坦克设计!$B$14:$K$20,9)/30))</f>
        <v>6.01738245743352</v>
      </c>
      <c r="CC209" s="173">
        <f ca="1">(VLOOKUP(CC$72,INDIRECT($C$5&amp;"生成成长"),2))/((VLOOKUP($B209,INDIRECT($B$5&amp;"生成成长"),4))/(VLOOKUP(CC$72,INDIRECT($C$5&amp;"生成成长"),5))*(VLOOKUP($B$5,标准坦克设计!$B$24:$U$30,MATCH("对"&amp;LEFT($C$5,2)&amp;"输出",标准坦克设计!$B$23:$U$23,0)))*(VLOOKUP($B209,INDIRECT($B$5&amp;"生成成长"),3))*(VLOOKUP($B$5,标准坦克设计!$B$14:$K$20,9)/30))</f>
        <v>6.5358914409293671</v>
      </c>
      <c r="CD209" s="173">
        <f ca="1">(VLOOKUP(CD$72,INDIRECT($C$5&amp;"生成成长"),2))/((VLOOKUP($B209,INDIRECT($B$5&amp;"生成成长"),4))/(VLOOKUP(CD$72,INDIRECT($C$5&amp;"生成成长"),5))*(VLOOKUP($B$5,标准坦克设计!$B$24:$U$30,MATCH("对"&amp;LEFT($C$5,2)&amp;"输出",标准坦克设计!$B$23:$U$23,0)))*(VLOOKUP($B209,INDIRECT($B$5&amp;"生成成长"),3))*(VLOOKUP($B$5,标准坦克设计!$B$14:$K$20,9)/30))</f>
        <v>7.0758264154787609</v>
      </c>
      <c r="CE209" s="173">
        <f ca="1">(VLOOKUP(CE$72,INDIRECT($C$5&amp;"生成成长"),2))/((VLOOKUP($B209,INDIRECT($B$5&amp;"生成成长"),4))/(VLOOKUP(CE$72,INDIRECT($C$5&amp;"生成成长"),5))*(VLOOKUP($B$5,标准坦克设计!$B$24:$U$30,MATCH("对"&amp;LEFT($C$5,2)&amp;"输出",标准坦克设计!$B$23:$U$23,0)))*(VLOOKUP($B209,INDIRECT($B$5&amp;"生成成长"),3))*(VLOOKUP($B$5,标准坦克设计!$B$14:$K$20,9)/30))</f>
        <v>7.637187381081703</v>
      </c>
      <c r="CF209" s="173">
        <f ca="1">(VLOOKUP(CF$72,INDIRECT($C$5&amp;"生成成长"),2))/((VLOOKUP($B209,INDIRECT($B$5&amp;"生成成长"),4))/(VLOOKUP(CF$72,INDIRECT($C$5&amp;"生成成长"),5))*(VLOOKUP($B$5,标准坦克设计!$B$24:$U$30,MATCH("对"&amp;LEFT($C$5,2)&amp;"输出",标准坦克设计!$B$23:$U$23,0)))*(VLOOKUP($B209,INDIRECT($B$5&amp;"生成成长"),3))*(VLOOKUP($B$5,标准坦克设计!$B$14:$K$20,9)/30))</f>
        <v>8.21997433773819</v>
      </c>
      <c r="CG209" s="173">
        <f ca="1">(VLOOKUP(CG$72,INDIRECT($C$5&amp;"生成成长"),2))/((VLOOKUP($B209,INDIRECT($B$5&amp;"生成成长"),4))/(VLOOKUP(CG$72,INDIRECT($C$5&amp;"生成成长"),5))*(VLOOKUP($B$5,标准坦克设计!$B$24:$U$30,MATCH("对"&amp;LEFT($C$5,2)&amp;"输出",标准坦克设计!$B$23:$U$23,0)))*(VLOOKUP($B209,INDIRECT($B$5&amp;"生成成长"),3))*(VLOOKUP($B$5,标准坦克设计!$B$14:$K$20,9)/30))</f>
        <v>8.8241872854482288</v>
      </c>
      <c r="CH209" s="173">
        <f ca="1">(VLOOKUP(CH$72,INDIRECT($C$5&amp;"生成成长"),2))/((VLOOKUP($B209,INDIRECT($B$5&amp;"生成成长"),4))/(VLOOKUP(CH$72,INDIRECT($C$5&amp;"生成成长"),5))*(VLOOKUP($B$5,标准坦克设计!$B$24:$U$30,MATCH("对"&amp;LEFT($C$5,2)&amp;"输出",标准坦克设计!$B$23:$U$23,0)))*(VLOOKUP($B209,INDIRECT($B$5&amp;"生成成长"),3))*(VLOOKUP($B$5,标准坦克设计!$B$14:$K$20,9)/30))</f>
        <v>9.4498262242118134</v>
      </c>
      <c r="CI209" s="173">
        <f ca="1">(VLOOKUP(CI$72,INDIRECT($C$5&amp;"生成成长"),2))/((VLOOKUP($B209,INDIRECT($B$5&amp;"生成成长"),4))/(VLOOKUP(CI$72,INDIRECT($C$5&amp;"生成成长"),5))*(VLOOKUP($B$5,标准坦克设计!$B$24:$U$30,MATCH("对"&amp;LEFT($C$5,2)&amp;"输出",标准坦克设计!$B$23:$U$23,0)))*(VLOOKUP($B209,INDIRECT($B$5&amp;"生成成长"),3))*(VLOOKUP($B$5,标准坦克设计!$B$14:$K$20,9)/30))</f>
        <v>10.162776076518604</v>
      </c>
      <c r="CJ209" s="173">
        <f ca="1">(VLOOKUP(CJ$72,INDIRECT($C$5&amp;"生成成长"),2))/((VLOOKUP($B209,INDIRECT($B$5&amp;"生成成长"),4))/(VLOOKUP(CJ$72,INDIRECT($C$5&amp;"生成成长"),5))*(VLOOKUP($B$5,标准坦克设计!$B$24:$U$30,MATCH("对"&amp;LEFT($C$5,2)&amp;"输出",标准坦克设计!$B$23:$U$23,0)))*(VLOOKUP($B209,INDIRECT($B$5&amp;"生成成长"),3))*(VLOOKUP($B$5,标准坦克设计!$B$14:$K$20,9)/30))</f>
        <v>10.901651378000185</v>
      </c>
      <c r="CK209" s="173">
        <f ca="1">(VLOOKUP(CK$72,INDIRECT($C$5&amp;"生成成长"),2))/((VLOOKUP($B209,INDIRECT($B$5&amp;"生成成长"),4))/(VLOOKUP(CK$72,INDIRECT($C$5&amp;"生成成长"),5))*(VLOOKUP($B$5,标准坦克设计!$B$24:$U$30,MATCH("对"&amp;LEFT($C$5,2)&amp;"输出",标准坦克设计!$B$23:$U$23,0)))*(VLOOKUP($B209,INDIRECT($B$5&amp;"生成成长"),3))*(VLOOKUP($B$5,标准坦克设计!$B$14:$K$20,9)/30))</f>
        <v>11.666452128656561</v>
      </c>
      <c r="CL209" s="173">
        <f ca="1">(VLOOKUP(CL$72,INDIRECT($C$5&amp;"生成成长"),2))/((VLOOKUP($B209,INDIRECT($B$5&amp;"生成成长"),4))/(VLOOKUP(CL$72,INDIRECT($C$5&amp;"生成成长"),5))*(VLOOKUP($B$5,标准坦克设计!$B$24:$U$30,MATCH("对"&amp;LEFT($C$5,2)&amp;"输出",标准坦克设计!$B$23:$U$23,0)))*(VLOOKUP($B209,INDIRECT($B$5&amp;"生成成长"),3))*(VLOOKUP($B$5,标准坦克设计!$B$14:$K$20,9)/30))</f>
        <v>12.457178328487727</v>
      </c>
      <c r="CM209" s="173">
        <f ca="1">(VLOOKUP(CM$72,INDIRECT($C$5&amp;"生成成长"),2))/((VLOOKUP($B209,INDIRECT($B$5&amp;"生成成长"),4))/(VLOOKUP(CM$72,INDIRECT($C$5&amp;"生成成长"),5))*(VLOOKUP($B$5,标准坦克设计!$B$24:$U$30,MATCH("对"&amp;LEFT($C$5,2)&amp;"输出",标准坦克设计!$B$23:$U$23,0)))*(VLOOKUP($B209,INDIRECT($B$5&amp;"生成成长"),3))*(VLOOKUP($B$5,标准坦克设计!$B$14:$K$20,9)/30))</f>
        <v>13.273829977493687</v>
      </c>
      <c r="CN209" s="173">
        <f ca="1">(VLOOKUP(CN$72,INDIRECT($C$5&amp;"生成成长"),2))/((VLOOKUP($B209,INDIRECT($B$5&amp;"生成成长"),4))/(VLOOKUP(CN$72,INDIRECT($C$5&amp;"生成成长"),5))*(VLOOKUP($B$5,标准坦克设计!$B$24:$U$30,MATCH("对"&amp;LEFT($C$5,2)&amp;"输出",标准坦克设计!$B$23:$U$23,0)))*(VLOOKUP($B209,INDIRECT($B$5&amp;"生成成长"),3))*(VLOOKUP($B$5,标准坦克设计!$B$14:$K$20,9)/30))</f>
        <v>14.116407075674434</v>
      </c>
      <c r="CO209" s="173">
        <f ca="1">(VLOOKUP(CO$72,INDIRECT($C$5&amp;"生成成长"),2))/((VLOOKUP($B209,INDIRECT($B$5&amp;"生成成长"),4))/(VLOOKUP(CO$72,INDIRECT($C$5&amp;"生成成长"),5))*(VLOOKUP($B$5,标准坦克设计!$B$24:$U$30,MATCH("对"&amp;LEFT($C$5,2)&amp;"输出",标准坦克设计!$B$23:$U$23,0)))*(VLOOKUP($B209,INDIRECT($B$5&amp;"生成成长"),3))*(VLOOKUP($B$5,标准坦克设计!$B$14:$K$20,9)/30))</f>
        <v>6.3259167286046019</v>
      </c>
      <c r="CP209" s="173">
        <f ca="1">(VLOOKUP(CP$72,INDIRECT($C$5&amp;"生成成长"),2))/((VLOOKUP($B209,INDIRECT($B$5&amp;"生成成长"),4))/(VLOOKUP(CP$72,INDIRECT($C$5&amp;"生成成长"),5))*(VLOOKUP($B$5,标准坦克设计!$B$24:$U$30,MATCH("对"&amp;LEFT($C$5,2)&amp;"输出",标准坦克设计!$B$23:$U$23,0)))*(VLOOKUP($B209,INDIRECT($B$5&amp;"生成成长"),3))*(VLOOKUP($B$5,标准坦克设计!$B$14:$K$20,9)/30))</f>
        <v>6.9115961940533195</v>
      </c>
      <c r="CQ209" s="173">
        <f ca="1">(VLOOKUP(CQ$72,INDIRECT($C$5&amp;"生成成长"),2))/((VLOOKUP($B209,INDIRECT($B$5&amp;"生成成长"),4))/(VLOOKUP(CQ$72,INDIRECT($C$5&amp;"生成成长"),5))*(VLOOKUP($B$5,标准坦克设计!$B$24:$U$30,MATCH("对"&amp;LEFT($C$5,2)&amp;"输出",标准坦克设计!$B$23:$U$23,0)))*(VLOOKUP($B209,INDIRECT($B$5&amp;"生成成长"),3))*(VLOOKUP($B$5,标准坦克设计!$B$14:$K$20,9)/30))</f>
        <v>7.5232011086768305</v>
      </c>
      <c r="CR209" s="173">
        <f ca="1">(VLOOKUP(CR$72,INDIRECT($C$5&amp;"生成成长"),2))/((VLOOKUP($B209,INDIRECT($B$5&amp;"生成成长"),4))/(VLOOKUP(CR$72,INDIRECT($C$5&amp;"生成成长"),5))*(VLOOKUP($B$5,标准坦克设计!$B$24:$U$30,MATCH("对"&amp;LEFT($C$5,2)&amp;"输出",标准坦克设计!$B$23:$U$23,0)))*(VLOOKUP($B209,INDIRECT($B$5&amp;"生成成长"),3))*(VLOOKUP($B$5,标准坦克设计!$B$14:$K$20,9)/30))</f>
        <v>8.160731472475133</v>
      </c>
      <c r="CS209" s="173">
        <f ca="1">(VLOOKUP(CS$72,INDIRECT($C$5&amp;"生成成长"),2))/((VLOOKUP($B209,INDIRECT($B$5&amp;"生成成长"),4))/(VLOOKUP(CS$72,INDIRECT($C$5&amp;"生成成长"),5))*(VLOOKUP($B$5,标准坦克设计!$B$24:$U$30,MATCH("对"&amp;LEFT($C$5,2)&amp;"输出",标准坦克设计!$B$23:$U$23,0)))*(VLOOKUP($B209,INDIRECT($B$5&amp;"生成成长"),3))*(VLOOKUP($B$5,标准坦克设计!$B$14:$K$20,9)/30))</f>
        <v>8.8241872854482288</v>
      </c>
      <c r="CT209" s="173">
        <f ca="1">(VLOOKUP(CT$72,INDIRECT($C$5&amp;"生成成长"),2))/((VLOOKUP($B209,INDIRECT($B$5&amp;"生成成长"),4))/(VLOOKUP(CT$72,INDIRECT($C$5&amp;"生成成长"),5))*(VLOOKUP($B$5,标准坦克设计!$B$24:$U$30,MATCH("对"&amp;LEFT($C$5,2)&amp;"输出",标准坦克设计!$B$23:$U$23,0)))*(VLOOKUP($B209,INDIRECT($B$5&amp;"生成成长"),3))*(VLOOKUP($B$5,标准坦克设计!$B$14:$K$20,9)/30))</f>
        <v>9.5135685475961171</v>
      </c>
      <c r="CU209" s="173">
        <f ca="1">(VLOOKUP(CU$72,INDIRECT($C$5&amp;"生成成长"),2))/((VLOOKUP($B209,INDIRECT($B$5&amp;"生成成长"),4))/(VLOOKUP(CU$72,INDIRECT($C$5&amp;"生成成长"),5))*(VLOOKUP($B$5,标准坦克设计!$B$24:$U$30,MATCH("对"&amp;LEFT($C$5,2)&amp;"输出",标准坦克设计!$B$23:$U$23,0)))*(VLOOKUP($B209,INDIRECT($B$5&amp;"生成成长"),3))*(VLOOKUP($B$5,标准坦克设计!$B$14:$K$20,9)/30))</f>
        <v>10.228875258918794</v>
      </c>
      <c r="CV209" s="173">
        <f ca="1">(VLOOKUP(CV$72,INDIRECT($C$5&amp;"生成成长"),2))/((VLOOKUP($B209,INDIRECT($B$5&amp;"生成成长"),4))/(VLOOKUP(CV$72,INDIRECT($C$5&amp;"生成成长"),5))*(VLOOKUP($B$5,标准坦克设计!$B$24:$U$30,MATCH("对"&amp;LEFT($C$5,2)&amp;"输出",标准坦克设计!$B$23:$U$23,0)))*(VLOOKUP($B209,INDIRECT($B$5&amp;"生成成长"),3))*(VLOOKUP($B$5,标准坦克设计!$B$14:$K$20,9)/30))</f>
        <v>10.970107419416268</v>
      </c>
      <c r="CW209" s="173">
        <f ca="1">(VLOOKUP(CW$72,INDIRECT($C$5&amp;"生成成长"),2))/((VLOOKUP($B209,INDIRECT($B$5&amp;"生成成长"),4))/(VLOOKUP(CW$72,INDIRECT($C$5&amp;"生成成长"),5))*(VLOOKUP($B$5,标准坦克设计!$B$24:$U$30,MATCH("对"&amp;LEFT($C$5,2)&amp;"输出",标准坦克设计!$B$23:$U$23,0)))*(VLOOKUP($B209,INDIRECT($B$5&amp;"生成成长"),3))*(VLOOKUP($B$5,标准坦克设计!$B$14:$K$20,9)/30))</f>
        <v>11.737265029088533</v>
      </c>
      <c r="CX209" s="173">
        <f ca="1">(VLOOKUP(CX$72,INDIRECT($C$5&amp;"生成成长"),2))/((VLOOKUP($B209,INDIRECT($B$5&amp;"生成成长"),4))/(VLOOKUP(CX$72,INDIRECT($C$5&amp;"生成成长"),5))*(VLOOKUP($B$5,标准坦克设计!$B$24:$U$30,MATCH("对"&amp;LEFT($C$5,2)&amp;"输出",标准坦克设计!$B$23:$U$23,0)))*(VLOOKUP($B209,INDIRECT($B$5&amp;"生成成长"),3))*(VLOOKUP($B$5,标准坦克设计!$B$14:$K$20,9)/30))</f>
        <v>12.530348087935588</v>
      </c>
      <c r="CY209" s="173">
        <f ca="1">(VLOOKUP(CY$72,INDIRECT($C$5&amp;"生成成长"),2))/((VLOOKUP($B209,INDIRECT($B$5&amp;"生成成长"),4))/(VLOOKUP(CY$72,INDIRECT($C$5&amp;"生成成长"),5))*(VLOOKUP($B$5,标准坦克设计!$B$24:$U$30,MATCH("对"&amp;LEFT($C$5,2)&amp;"输出",标准坦克设计!$B$23:$U$23,0)))*(VLOOKUP($B209,INDIRECT($B$5&amp;"生成成长"),3))*(VLOOKUP($B$5,标准坦克设计!$B$14:$K$20,9)/30))</f>
        <v>13.34935659595744</v>
      </c>
      <c r="CZ209" s="173">
        <f ca="1">(VLOOKUP(CZ$72,INDIRECT($C$5&amp;"生成成长"),2))/((VLOOKUP($B209,INDIRECT($B$5&amp;"生成成长"),4))/(VLOOKUP(CZ$72,INDIRECT($C$5&amp;"生成成长"),5))*(VLOOKUP($B$5,标准坦克设计!$B$24:$U$30,MATCH("对"&amp;LEFT($C$5,2)&amp;"输出",标准坦克设计!$B$23:$U$23,0)))*(VLOOKUP($B209,INDIRECT($B$5&amp;"生成成长"),3))*(VLOOKUP($B$5,标准坦克设计!$B$14:$K$20,9)/30))</f>
        <v>14.194290553154081</v>
      </c>
      <c r="DA209" s="173">
        <f ca="1">(VLOOKUP(DA$72,INDIRECT($C$5&amp;"生成成长"),2))/((VLOOKUP($B209,INDIRECT($B$5&amp;"生成成长"),4))/(VLOOKUP(DA$72,INDIRECT($C$5&amp;"生成成长"),5))*(VLOOKUP($B$5,标准坦克设计!$B$24:$U$30,MATCH("对"&amp;LEFT($C$5,2)&amp;"输出",标准坦克设计!$B$23:$U$23,0)))*(VLOOKUP($B209,INDIRECT($B$5&amp;"生成成长"),3))*(VLOOKUP($B$5,标准坦克设计!$B$14:$K$20,9)/30))</f>
        <v>15.065149959525515</v>
      </c>
      <c r="DB209" s="173">
        <f ca="1">(VLOOKUP(DB$72,INDIRECT($C$5&amp;"生成成长"),2))/((VLOOKUP($B209,INDIRECT($B$5&amp;"生成成长"),4))/(VLOOKUP(DB$72,INDIRECT($C$5&amp;"生成成长"),5))*(VLOOKUP($B$5,标准坦克设计!$B$24:$U$30,MATCH("对"&amp;LEFT($C$5,2)&amp;"输出",标准坦克设计!$B$23:$U$23,0)))*(VLOOKUP($B209,INDIRECT($B$5&amp;"生成成长"),3))*(VLOOKUP($B$5,标准坦克设计!$B$14:$K$20,9)/30))</f>
        <v>15.961934815071743</v>
      </c>
      <c r="DC209" s="173">
        <f ca="1">(VLOOKUP(DC$72,INDIRECT($C$5&amp;"生成成长"),2))/((VLOOKUP($B209,INDIRECT($B$5&amp;"生成成长"),4))/(VLOOKUP(DC$72,INDIRECT($C$5&amp;"生成成长"),5))*(VLOOKUP($B$5,标准坦克设计!$B$24:$U$30,MATCH("对"&amp;LEFT($C$5,2)&amp;"输出",标准坦克设计!$B$23:$U$23,0)))*(VLOOKUP($B209,INDIRECT($B$5&amp;"生成成长"),3))*(VLOOKUP($B$5,标准坦克设计!$B$14:$K$20,9)/30))</f>
        <v>16.969813434230609</v>
      </c>
      <c r="DD209" s="173">
        <f ca="1">(VLOOKUP(DD$72,INDIRECT($C$5&amp;"生成成长"),2))/((VLOOKUP($B209,INDIRECT($B$5&amp;"生成成长"),4))/(VLOOKUP(DD$72,INDIRECT($C$5&amp;"生成成长"),5))*(VLOOKUP($B$5,标准坦克设计!$B$24:$U$30,MATCH("对"&amp;LEFT($C$5,2)&amp;"输出",标准坦克设计!$B$23:$U$23,0)))*(VLOOKUP($B209,INDIRECT($B$5&amp;"生成成长"),3))*(VLOOKUP($B$5,标准坦克设计!$B$14:$K$20,9)/30))</f>
        <v>18.008545480506591</v>
      </c>
      <c r="DE209" s="173">
        <f ca="1">(VLOOKUP(DE$72,INDIRECT($C$5&amp;"生成成长"),2))/((VLOOKUP($B209,INDIRECT($B$5&amp;"生成成长"),4))/(VLOOKUP(DE$72,INDIRECT($C$5&amp;"生成成长"),5))*(VLOOKUP($B$5,标准坦克设计!$B$24:$U$30,MATCH("对"&amp;LEFT($C$5,2)&amp;"输出",标准坦克设计!$B$23:$U$23,0)))*(VLOOKUP($B209,INDIRECT($B$5&amp;"生成成长"),3))*(VLOOKUP($B$5,标准坦克设计!$B$14:$K$20,9)/30))</f>
        <v>19.078130953899674</v>
      </c>
      <c r="DF209" s="173">
        <f ca="1">(VLOOKUP(DF$72,INDIRECT($C$5&amp;"生成成长"),2))/((VLOOKUP($B209,INDIRECT($B$5&amp;"生成成长"),4))/(VLOOKUP(DF$72,INDIRECT($C$5&amp;"生成成长"),5))*(VLOOKUP($B$5,标准坦克设计!$B$24:$U$30,MATCH("对"&amp;LEFT($C$5,2)&amp;"输出",标准坦克设计!$B$23:$U$23,0)))*(VLOOKUP($B209,INDIRECT($B$5&amp;"生成成长"),3))*(VLOOKUP($B$5,标准坦克设计!$B$14:$K$20,9)/30))</f>
        <v>20.178569854409869</v>
      </c>
      <c r="DG209" s="173">
        <f ca="1">(VLOOKUP(DG$72,INDIRECT($C$5&amp;"生成成长"),2))/((VLOOKUP($B209,INDIRECT($B$5&amp;"生成成长"),4))/(VLOOKUP(DG$72,INDIRECT($C$5&amp;"生成成长"),5))*(VLOOKUP($B$5,标准坦克设计!$B$24:$U$30,MATCH("对"&amp;LEFT($C$5,2)&amp;"输出",标准坦克设计!$B$23:$U$23,0)))*(VLOOKUP($B209,INDIRECT($B$5&amp;"生成成长"),3))*(VLOOKUP($B$5,标准坦克设计!$B$14:$K$20,9)/30))</f>
        <v>21.309862182037168</v>
      </c>
      <c r="DH209" s="173">
        <f ca="1">(VLOOKUP(DH$72,INDIRECT($C$5&amp;"生成成长"),2))/((VLOOKUP($B209,INDIRECT($B$5&amp;"生成成长"),4))/(VLOOKUP(DH$72,INDIRECT($C$5&amp;"生成成长"),5))*(VLOOKUP($B$5,标准坦克设计!$B$24:$U$30,MATCH("对"&amp;LEFT($C$5,2)&amp;"输出",标准坦克设计!$B$23:$U$23,0)))*(VLOOKUP($B209,INDIRECT($B$5&amp;"生成成长"),3))*(VLOOKUP($B$5,标准坦克设计!$B$14:$K$20,9)/30))</f>
        <v>22.472007936781583</v>
      </c>
      <c r="DI209" s="173">
        <f ca="1">(VLOOKUP(DI$72,INDIRECT($C$5&amp;"生成成长"),2))/((VLOOKUP($B209,INDIRECT($B$5&amp;"生成成长"),4))/(VLOOKUP(DI$72,INDIRECT($C$5&amp;"生成成长"),5))*(VLOOKUP($B$5,标准坦克设计!$B$24:$U$30,MATCH("对"&amp;LEFT($C$5,2)&amp;"输出",标准坦克设计!$B$23:$U$23,0)))*(VLOOKUP($B209,INDIRECT($B$5&amp;"生成成长"),3))*(VLOOKUP($B$5,标准坦克设计!$B$14:$K$20,9)/30))</f>
        <v>23.665007118643107</v>
      </c>
      <c r="DJ209" s="173">
        <f ca="1">(VLOOKUP(DJ$72,INDIRECT($C$5&amp;"生成成长"),2))/((VLOOKUP($B209,INDIRECT($B$5&amp;"生成成长"),4))/(VLOOKUP(DJ$72,INDIRECT($C$5&amp;"生成成长"),5))*(VLOOKUP($B$5,标准坦克设计!$B$24:$U$30,MATCH("对"&amp;LEFT($C$5,2)&amp;"输出",标准坦克设计!$B$23:$U$23,0)))*(VLOOKUP($B209,INDIRECT($B$5&amp;"生成成长"),3))*(VLOOKUP($B$5,标准坦克设计!$B$14:$K$20,9)/30))</f>
        <v>2.3783921368990293</v>
      </c>
      <c r="DK209" s="173">
        <f ca="1">(VLOOKUP(DK$72,INDIRECT($C$5&amp;"生成成长"),2))/((VLOOKUP($B209,INDIRECT($B$5&amp;"生成成长"),4))/(VLOOKUP(DK$72,INDIRECT($C$5&amp;"生成成长"),5))*(VLOOKUP($B$5,标准坦克设计!$B$24:$U$30,MATCH("对"&amp;LEFT($C$5,2)&amp;"输出",标准坦克设计!$B$23:$U$23,0)))*(VLOOKUP($B209,INDIRECT($B$5&amp;"生成成长"),3))*(VLOOKUP($B$5,标准坦克设计!$B$14:$K$20,9)/30))</f>
        <v>2.6743922033037864</v>
      </c>
      <c r="DL209" s="173">
        <f ca="1">(VLOOKUP(DL$72,INDIRECT($C$5&amp;"生成成长"),2))/((VLOOKUP($B209,INDIRECT($B$5&amp;"生成成长"),4))/(VLOOKUP(DL$72,INDIRECT($C$5&amp;"生成成长"),5))*(VLOOKUP($B$5,标准坦克设计!$B$24:$U$30,MATCH("对"&amp;LEFT($C$5,2)&amp;"输出",标准坦克设计!$B$23:$U$23,0)))*(VLOOKUP($B209,INDIRECT($B$5&amp;"生成成长"),3))*(VLOOKUP($B$5,标准坦克设计!$B$14:$K$20,9)/30))</f>
        <v>2.9877473224619169</v>
      </c>
      <c r="DM209" s="173">
        <f ca="1">(VLOOKUP(DM$72,INDIRECT($C$5&amp;"生成成长"),2))/((VLOOKUP($B209,INDIRECT($B$5&amp;"生成成长"),4))/(VLOOKUP(DM$72,INDIRECT($C$5&amp;"生成成长"),5))*(VLOOKUP($B$5,标准坦克设计!$B$24:$U$30,MATCH("对"&amp;LEFT($C$5,2)&amp;"输出",标准坦克设计!$B$23:$U$23,0)))*(VLOOKUP($B209,INDIRECT($B$5&amp;"生成成长"),3))*(VLOOKUP($B$5,标准坦克设计!$B$14:$K$20,9)/30))</f>
        <v>3.3184574943734217</v>
      </c>
      <c r="DN209" s="173">
        <f ca="1">(VLOOKUP(DN$72,INDIRECT($C$5&amp;"生成成长"),2))/((VLOOKUP($B209,INDIRECT($B$5&amp;"生成成长"),4))/(VLOOKUP(DN$72,INDIRECT($C$5&amp;"生成成长"),5))*(VLOOKUP($B$5,标准坦克设计!$B$24:$U$30,MATCH("对"&amp;LEFT($C$5,2)&amp;"输出",标准坦克设计!$B$23:$U$23,0)))*(VLOOKUP($B209,INDIRECT($B$5&amp;"生成成长"),3))*(VLOOKUP($B$5,标准坦克设计!$B$14:$K$20,9)/30))</f>
        <v>3.6665227190382992</v>
      </c>
      <c r="DO209" s="173">
        <f ca="1">(VLOOKUP(DO$72,INDIRECT($C$5&amp;"生成成长"),2))/((VLOOKUP($B209,INDIRECT($B$5&amp;"生成成长"),4))/(VLOOKUP(DO$72,INDIRECT($C$5&amp;"生成成长"),5))*(VLOOKUP($B$5,标准坦克设计!$B$24:$U$30,MATCH("对"&amp;LEFT($C$5,2)&amp;"输出",标准坦克设计!$B$23:$U$23,0)))*(VLOOKUP($B209,INDIRECT($B$5&amp;"生成成长"),3))*(VLOOKUP($B$5,标准坦克设计!$B$14:$K$20,9)/30))</f>
        <v>4.0319429964565492</v>
      </c>
      <c r="DP209" s="173">
        <f ca="1">(VLOOKUP(DP$72,INDIRECT($C$5&amp;"生成成长"),2))/((VLOOKUP($B209,INDIRECT($B$5&amp;"生成成长"),4))/(VLOOKUP(DP$72,INDIRECT($C$5&amp;"生成成长"),5))*(VLOOKUP($B$5,标准坦克设计!$B$24:$U$30,MATCH("对"&amp;LEFT($C$5,2)&amp;"输出",标准坦克设计!$B$23:$U$23,0)))*(VLOOKUP($B209,INDIRECT($B$5&amp;"生成成长"),3))*(VLOOKUP($B$5,标准坦克设计!$B$14:$K$20,9)/30))</f>
        <v>4.414718326628174</v>
      </c>
      <c r="DQ209" s="173">
        <f ca="1">(VLOOKUP(DQ$72,INDIRECT($C$5&amp;"生成成长"),2))/((VLOOKUP($B209,INDIRECT($B$5&amp;"生成成长"),4))/(VLOOKUP(DQ$72,INDIRECT($C$5&amp;"生成成长"),5))*(VLOOKUP($B$5,标准坦克设计!$B$24:$U$30,MATCH("对"&amp;LEFT($C$5,2)&amp;"输出",标准坦克设计!$B$23:$U$23,0)))*(VLOOKUP($B209,INDIRECT($B$5&amp;"生成成长"),3))*(VLOOKUP($B$5,标准坦克设计!$B$14:$K$20,9)/30))</f>
        <v>4.8148487095531713</v>
      </c>
      <c r="DR209" s="173">
        <f ca="1">(VLOOKUP(DR$72,INDIRECT($C$5&amp;"生成成长"),2))/((VLOOKUP($B209,INDIRECT($B$5&amp;"生成成长"),4))/(VLOOKUP(DR$72,INDIRECT($C$5&amp;"生成成长"),5))*(VLOOKUP($B$5,标准坦克设计!$B$24:$U$30,MATCH("对"&amp;LEFT($C$5,2)&amp;"输出",标准坦克设计!$B$23:$U$23,0)))*(VLOOKUP($B209,INDIRECT($B$5&amp;"生成成长"),3))*(VLOOKUP($B$5,标准坦克设计!$B$14:$K$20,9)/30))</f>
        <v>5.2323341452315422</v>
      </c>
      <c r="DS209" s="173">
        <f ca="1">(VLOOKUP(DS$72,INDIRECT($C$5&amp;"生成成长"),2))/((VLOOKUP($B209,INDIRECT($B$5&amp;"生成成长"),4))/(VLOOKUP(DS$72,INDIRECT($C$5&amp;"生成成长"),5))*(VLOOKUP($B$5,标准坦克设计!$B$24:$U$30,MATCH("对"&amp;LEFT($C$5,2)&amp;"输出",标准坦克设计!$B$23:$U$23,0)))*(VLOOKUP($B209,INDIRECT($B$5&amp;"生成成长"),3))*(VLOOKUP($B$5,标准坦克设计!$B$14:$K$20,9)/30))</f>
        <v>5.6671746336632864</v>
      </c>
      <c r="DT209" s="173">
        <f ca="1">(VLOOKUP(DT$72,INDIRECT($C$5&amp;"生成成长"),2))/((VLOOKUP($B209,INDIRECT($B$5&amp;"生成成长"),4))/(VLOOKUP(DT$72,INDIRECT($C$5&amp;"生成成长"),5))*(VLOOKUP($B$5,标准坦克设计!$B$24:$U$30,MATCH("对"&amp;LEFT($C$5,2)&amp;"输出",标准坦克设计!$B$23:$U$23,0)))*(VLOOKUP($B209,INDIRECT($B$5&amp;"生成成长"),3))*(VLOOKUP($B$5,标准坦克设计!$B$14:$K$20,9)/30))</f>
        <v>6.222214931905433</v>
      </c>
      <c r="DU209" s="173">
        <f ca="1">(VLOOKUP(DU$72,INDIRECT($C$5&amp;"生成成长"),2))/((VLOOKUP($B209,INDIRECT($B$5&amp;"生成成长"),4))/(VLOOKUP(DU$72,INDIRECT($C$5&amp;"生成成长"),5))*(VLOOKUP($B$5,标准坦克设计!$B$24:$U$30,MATCH("对"&amp;LEFT($C$5,2)&amp;"输出",标准坦克设计!$B$23:$U$23,0)))*(VLOOKUP($B209,INDIRECT($B$5&amp;"生成成长"),3))*(VLOOKUP($B$5,标准坦克设计!$B$14:$K$20,9)/30))</f>
        <v>6.8031806793223701</v>
      </c>
      <c r="DV209" s="173">
        <f ca="1">(VLOOKUP(DV$72,INDIRECT($C$5&amp;"生成成长"),2))/((VLOOKUP($B209,INDIRECT($B$5&amp;"生成成长"),4))/(VLOOKUP(DV$72,INDIRECT($C$5&amp;"生成成长"),5))*(VLOOKUP($B$5,标准坦克设计!$B$24:$U$30,MATCH("对"&amp;LEFT($C$5,2)&amp;"输出",标准坦克设计!$B$23:$U$23,0)))*(VLOOKUP($B209,INDIRECT($B$5&amp;"生成成长"),3))*(VLOOKUP($B$5,标准坦克设计!$B$14:$K$20,9)/30))</f>
        <v>7.4100718759140998</v>
      </c>
      <c r="DW209" s="173">
        <f ca="1">(VLOOKUP(DW$72,INDIRECT($C$5&amp;"生成成长"),2))/((VLOOKUP($B209,INDIRECT($B$5&amp;"生成成长"),4))/(VLOOKUP(DW$72,INDIRECT($C$5&amp;"生成成长"),5))*(VLOOKUP($B$5,标准坦克设计!$B$24:$U$30,MATCH("对"&amp;LEFT($C$5,2)&amp;"输出",标准坦克设计!$B$23:$U$23,0)))*(VLOOKUP($B209,INDIRECT($B$5&amp;"生成成长"),3))*(VLOOKUP($B$5,标准坦克设计!$B$14:$K$20,9)/30))</f>
        <v>8.0428885216806218</v>
      </c>
      <c r="DX209" s="173">
        <f ca="1">(VLOOKUP(DX$72,INDIRECT($C$5&amp;"生成成长"),2))/((VLOOKUP($B209,INDIRECT($B$5&amp;"生成成长"),4))/(VLOOKUP(DX$72,INDIRECT($C$5&amp;"生成成长"),5))*(VLOOKUP($B$5,标准坦克设计!$B$24:$U$30,MATCH("对"&amp;LEFT($C$5,2)&amp;"输出",标准坦克设计!$B$23:$U$23,0)))*(VLOOKUP($B209,INDIRECT($B$5&amp;"生成成长"),3))*(VLOOKUP($B$5,标准坦克设计!$B$14:$K$20,9)/30))</f>
        <v>8.7016306166219373</v>
      </c>
      <c r="DY209" s="173">
        <f ca="1">(VLOOKUP(DY$72,INDIRECT($C$5&amp;"生成成长"),2))/((VLOOKUP($B209,INDIRECT($B$5&amp;"生成成长"),4))/(VLOOKUP(DY$72,INDIRECT($C$5&amp;"生成成长"),5))*(VLOOKUP($B$5,标准坦克设计!$B$24:$U$30,MATCH("对"&amp;LEFT($C$5,2)&amp;"输出",标准坦克设计!$B$23:$U$23,0)))*(VLOOKUP($B209,INDIRECT($B$5&amp;"生成成长"),3))*(VLOOKUP($B$5,标准坦克设计!$B$14:$K$20,9)/30))</f>
        <v>3.9082078981223134</v>
      </c>
      <c r="DZ209" s="173">
        <f ca="1">(VLOOKUP(DZ$72,INDIRECT($C$5&amp;"生成成长"),2))/((VLOOKUP($B209,INDIRECT($B$5&amp;"生成成长"),4))/(VLOOKUP(DZ$72,INDIRECT($C$5&amp;"生成成长"),5))*(VLOOKUP($B$5,标准坦克设计!$B$24:$U$30,MATCH("对"&amp;LEFT($C$5,2)&amp;"输出",标准坦克设计!$B$23:$U$23,0)))*(VLOOKUP($B209,INDIRECT($B$5&amp;"生成成长"),3))*(VLOOKUP($B$5,标准坦克设计!$B$14:$K$20,9)/30))</f>
        <v>4.3281573227718422</v>
      </c>
      <c r="EA209" s="173">
        <f ca="1">(VLOOKUP(EA$72,INDIRECT($C$5&amp;"生成成长"),2))/((VLOOKUP($B209,INDIRECT($B$5&amp;"生成成长"),4))/(VLOOKUP(EA$72,INDIRECT($C$5&amp;"生成成长"),5))*(VLOOKUP($B$5,标准坦克设计!$B$24:$U$30,MATCH("对"&amp;LEFT($C$5,2)&amp;"输出",标准坦克设计!$B$23:$U$23,0)))*(VLOOKUP($B209,INDIRECT($B$5&amp;"生成成长"),3))*(VLOOKUP($B$5,标准坦克设计!$B$14:$K$20,9)/30))</f>
        <v>4.7695327384749184</v>
      </c>
      <c r="EB209" s="173">
        <f ca="1">(VLOOKUP(EB$72,INDIRECT($C$5&amp;"生成成长"),2))/((VLOOKUP($B209,INDIRECT($B$5&amp;"生成成长"),4))/(VLOOKUP(EB$72,INDIRECT($C$5&amp;"生成成长"),5))*(VLOOKUP($B$5,标准坦克设计!$B$24:$U$30,MATCH("对"&amp;LEFT($C$5,2)&amp;"输出",标准坦克设计!$B$23:$U$23,0)))*(VLOOKUP($B209,INDIRECT($B$5&amp;"生成成长"),3))*(VLOOKUP($B$5,标准坦克设计!$B$14:$K$20,9)/30))</f>
        <v>5.2323341452315422</v>
      </c>
      <c r="EC209" s="173">
        <f ca="1">(VLOOKUP(EC$72,INDIRECT($C$5&amp;"生成成长"),2))/((VLOOKUP($B209,INDIRECT($B$5&amp;"生成成长"),4))/(VLOOKUP(EC$72,INDIRECT($C$5&amp;"生成成长"),5))*(VLOOKUP($B$5,标准坦克设计!$B$24:$U$30,MATCH("对"&amp;LEFT($C$5,2)&amp;"输出",标准坦克设计!$B$23:$U$23,0)))*(VLOOKUP($B209,INDIRECT($B$5&amp;"生成成长"),3))*(VLOOKUP($B$5,标准坦克设计!$B$14:$K$20,9)/30))</f>
        <v>5.7165615430417143</v>
      </c>
      <c r="ED209" s="173">
        <f ca="1">(VLOOKUP(ED$72,INDIRECT($C$5&amp;"生成成长"),2))/((VLOOKUP($B209,INDIRECT($B$5&amp;"生成成长"),4))/(VLOOKUP(ED$72,INDIRECT($C$5&amp;"生成成长"),5))*(VLOOKUP($B$5,标准坦克设计!$B$24:$U$30,MATCH("对"&amp;LEFT($C$5,2)&amp;"输出",标准坦克设计!$B$23:$U$23,0)))*(VLOOKUP($B209,INDIRECT($B$5&amp;"生成成长"),3))*(VLOOKUP($B$5,标准坦克设计!$B$14:$K$20,9)/30))</f>
        <v>6.222214931905433</v>
      </c>
      <c r="EE209" s="173">
        <f ca="1">(VLOOKUP(EE$72,INDIRECT($C$5&amp;"生成成长"),2))/((VLOOKUP($B209,INDIRECT($B$5&amp;"生成成长"),4))/(VLOOKUP(EE$72,INDIRECT($C$5&amp;"生成成长"),5))*(VLOOKUP($B$5,标准坦克设计!$B$24:$U$30,MATCH("对"&amp;LEFT($C$5,2)&amp;"输出",标准坦克设计!$B$23:$U$23,0)))*(VLOOKUP($B209,INDIRECT($B$5&amp;"生成成长"),3))*(VLOOKUP($B$5,标准坦克设计!$B$14:$K$20,9)/30))</f>
        <v>6.7492943118226982</v>
      </c>
      <c r="EF209" s="173">
        <f ca="1">(VLOOKUP(EF$72,INDIRECT($C$5&amp;"生成成长"),2))/((VLOOKUP($B209,INDIRECT($B$5&amp;"生成成长"),4))/(VLOOKUP(EF$72,INDIRECT($C$5&amp;"生成成长"),5))*(VLOOKUP($B$5,标准坦克设计!$B$24:$U$30,MATCH("对"&amp;LEFT($C$5,2)&amp;"输出",标准坦克设计!$B$23:$U$23,0)))*(VLOOKUP($B209,INDIRECT($B$5&amp;"生成成长"),3))*(VLOOKUP($B$5,标准坦克设计!$B$14:$K$20,9)/30))</f>
        <v>7.2977996827935119</v>
      </c>
      <c r="EG209" s="173">
        <f ca="1">(VLOOKUP(EG$72,INDIRECT($C$5&amp;"生成成长"),2))/((VLOOKUP($B209,INDIRECT($B$5&amp;"生成成长"),4))/(VLOOKUP(EG$72,INDIRECT($C$5&amp;"生成成长"),5))*(VLOOKUP($B$5,标准坦克设计!$B$24:$U$30,MATCH("对"&amp;LEFT($C$5,2)&amp;"输出",标准坦克设计!$B$23:$U$23,0)))*(VLOOKUP($B209,INDIRECT($B$5&amp;"生成成长"),3))*(VLOOKUP($B$5,标准坦克设计!$B$14:$K$20,9)/30))</f>
        <v>7.867731044817873</v>
      </c>
      <c r="EH209" s="173">
        <f ca="1">(VLOOKUP(EH$72,INDIRECT($C$5&amp;"生成成长"),2))/((VLOOKUP($B209,INDIRECT($B$5&amp;"生成成长"),4))/(VLOOKUP(EH$72,INDIRECT($C$5&amp;"生成成长"),5))*(VLOOKUP($B$5,标准坦克设计!$B$24:$U$30,MATCH("对"&amp;LEFT($C$5,2)&amp;"输出",标准坦克设计!$B$23:$U$23,0)))*(VLOOKUP($B209,INDIRECT($B$5&amp;"生成成长"),3))*(VLOOKUP($B$5,标准坦克设计!$B$14:$K$20,9)/30))</f>
        <v>8.4590883978957798</v>
      </c>
      <c r="EI209" s="173">
        <f ca="1">(VLOOKUP(EI$72,INDIRECT($C$5&amp;"生成成长"),2))/((VLOOKUP($B209,INDIRECT($B$5&amp;"生成成长"),4))/(VLOOKUP(EI$72,INDIRECT($C$5&amp;"生成成长"),5))*(VLOOKUP($B$5,标准坦克设计!$B$24:$U$30,MATCH("对"&amp;LEFT($C$5,2)&amp;"输出",标准坦克设计!$B$23:$U$23,0)))*(VLOOKUP($B209,INDIRECT($B$5&amp;"生成成长"),3))*(VLOOKUP($B$5,标准坦克设计!$B$14:$K$20,9)/30))</f>
        <v>9.0718717420272359</v>
      </c>
      <c r="EJ209" s="173">
        <f ca="1">(VLOOKUP(EJ$72,INDIRECT($C$5&amp;"生成成长"),2))/((VLOOKUP($B209,INDIRECT($B$5&amp;"生成成长"),4))/(VLOOKUP(EJ$72,INDIRECT($C$5&amp;"生成成长"),5))*(VLOOKUP($B$5,标准坦克设计!$B$24:$U$30,MATCH("对"&amp;LEFT($C$5,2)&amp;"输出",标准坦克设计!$B$23:$U$23,0)))*(VLOOKUP($B209,INDIRECT($B$5&amp;"生成成长"),3))*(VLOOKUP($B$5,标准坦克设计!$B$14:$K$20,9)/30))</f>
        <v>9.7060810772122412</v>
      </c>
      <c r="EK209" s="173">
        <f ca="1">(VLOOKUP(EK$72,INDIRECT($C$5&amp;"生成成长"),2))/((VLOOKUP($B209,INDIRECT($B$5&amp;"生成成长"),4))/(VLOOKUP(EK$72,INDIRECT($C$5&amp;"生成成长"),5))*(VLOOKUP($B$5,标准坦克设计!$B$24:$U$30,MATCH("对"&amp;LEFT($C$5,2)&amp;"输出",标准坦克设计!$B$23:$U$23,0)))*(VLOOKUP($B209,INDIRECT($B$5&amp;"生成成长"),3))*(VLOOKUP($B$5,标准坦克设计!$B$14:$K$20,9)/30))</f>
        <v>10.495414587624927</v>
      </c>
      <c r="EL209" s="173">
        <f ca="1">(VLOOKUP(EL$72,INDIRECT($C$5&amp;"生成成长"),2))/((VLOOKUP($B209,INDIRECT($B$5&amp;"生成成长"),4))/(VLOOKUP(EL$72,INDIRECT($C$5&amp;"生成成长"),5))*(VLOOKUP($B$5,标准坦克设计!$B$24:$U$30,MATCH("对"&amp;LEFT($C$5,2)&amp;"输出",标准坦克设计!$B$23:$U$23,0)))*(VLOOKUP($B209,INDIRECT($B$5&amp;"生成成长"),3))*(VLOOKUP($B$5,标准坦克设计!$B$14:$K$20,9)/30))</f>
        <v>11.315601525154721</v>
      </c>
      <c r="EM209" s="173">
        <f ca="1">(VLOOKUP(EM$72,INDIRECT($C$5&amp;"生成成长"),2))/((VLOOKUP($B209,INDIRECT($B$5&amp;"生成成长"),4))/(VLOOKUP(EM$72,INDIRECT($C$5&amp;"生成成长"),5))*(VLOOKUP($B$5,标准坦克设计!$B$24:$U$30,MATCH("对"&amp;LEFT($C$5,2)&amp;"输出",标准坦克设计!$B$23:$U$23,0)))*(VLOOKUP($B209,INDIRECT($B$5&amp;"生成成长"),3))*(VLOOKUP($B$5,标准坦克设计!$B$14:$K$20,9)/30))</f>
        <v>12.166641889801625</v>
      </c>
      <c r="EN209" s="173">
        <f ca="1">(VLOOKUP(EN$72,INDIRECT($C$5&amp;"生成成长"),2))/((VLOOKUP($B209,INDIRECT($B$5&amp;"生成成长"),4))/(VLOOKUP(EN$72,INDIRECT($C$5&amp;"生成成长"),5))*(VLOOKUP($B$5,标准坦克设计!$B$24:$U$30,MATCH("对"&amp;LEFT($C$5,2)&amp;"输出",标准坦克设计!$B$23:$U$23,0)))*(VLOOKUP($B209,INDIRECT($B$5&amp;"生成成长"),3))*(VLOOKUP($B$5,标准坦克设计!$B$14:$K$20,9)/30))</f>
        <v>13.048535681565635</v>
      </c>
      <c r="EO209" s="173">
        <f ca="1">(VLOOKUP(EO$72,INDIRECT($C$5&amp;"生成成长"),2))/((VLOOKUP($B209,INDIRECT($B$5&amp;"生成成长"),4))/(VLOOKUP(EO$72,INDIRECT($C$5&amp;"生成成长"),5))*(VLOOKUP($B$5,标准坦克设计!$B$24:$U$30,MATCH("对"&amp;LEFT($C$5,2)&amp;"输出",标准坦克设计!$B$23:$U$23,0)))*(VLOOKUP($B209,INDIRECT($B$5&amp;"生成成长"),3))*(VLOOKUP($B$5,标准坦克设计!$B$14:$K$20,9)/30))</f>
        <v>13.961282900446754</v>
      </c>
      <c r="EP209" s="173">
        <f ca="1">(VLOOKUP(EP$72,INDIRECT($C$5&amp;"生成成长"),2))/((VLOOKUP($B209,INDIRECT($B$5&amp;"生成成长"),4))/(VLOOKUP(EP$72,INDIRECT($C$5&amp;"生成成长"),5))*(VLOOKUP($B$5,标准坦克设计!$B$24:$U$30,MATCH("对"&amp;LEFT($C$5,2)&amp;"输出",标准坦克设计!$B$23:$U$23,0)))*(VLOOKUP($B209,INDIRECT($B$5&amp;"生成成长"),3))*(VLOOKUP($B$5,标准坦克设计!$B$14:$K$20,9)/30))</f>
        <v>14.90488354644498</v>
      </c>
      <c r="EQ209" s="173">
        <f ca="1">(VLOOKUP(EQ$72,INDIRECT($C$5&amp;"生成成长"),2))/((VLOOKUP($B209,INDIRECT($B$5&amp;"生成成长"),4))/(VLOOKUP(EQ$72,INDIRECT($C$5&amp;"生成成长"),5))*(VLOOKUP($B$5,标准坦克设计!$B$24:$U$30,MATCH("对"&amp;LEFT($C$5,2)&amp;"输出",标准坦克设计!$B$23:$U$23,0)))*(VLOOKUP($B209,INDIRECT($B$5&amp;"生成成长"),3))*(VLOOKUP($B$5,标准坦克设计!$B$14:$K$20,9)/30))</f>
        <v>6.5889207687868963</v>
      </c>
      <c r="ER209" s="173">
        <f ca="1">(VLOOKUP(ER$72,INDIRECT($C$5&amp;"生成成长"),2))/((VLOOKUP($B209,INDIRECT($B$5&amp;"生成成长"),4))/(VLOOKUP(ER$72,INDIRECT($C$5&amp;"生成成长"),5))*(VLOOKUP($B$5,标准坦克设计!$B$24:$U$30,MATCH("对"&amp;LEFT($C$5,2)&amp;"输出",标准坦克设计!$B$23:$U$23,0)))*(VLOOKUP($B209,INDIRECT($B$5&amp;"生成成长"),3))*(VLOOKUP($B$5,标准坦克设计!$B$14:$K$20,9)/30))</f>
        <v>7.186384529315065</v>
      </c>
      <c r="ES209" s="173">
        <f ca="1">(VLOOKUP(ES$72,INDIRECT($C$5&amp;"生成成长"),2))/((VLOOKUP($B209,INDIRECT($B$5&amp;"生成成长"),4))/(VLOOKUP(ES$72,INDIRECT($C$5&amp;"生成成长"),5))*(VLOOKUP($B$5,标准坦克设计!$B$24:$U$30,MATCH("对"&amp;LEFT($C$5,2)&amp;"输出",标准坦克设计!$B$23:$U$23,0)))*(VLOOKUP($B209,INDIRECT($B$5&amp;"生成成长"),3))*(VLOOKUP($B$5,标准坦克设计!$B$14:$K$20,9)/30))</f>
        <v>7.8097737390180288</v>
      </c>
      <c r="ET209" s="173">
        <f ca="1">(VLOOKUP(ET$72,INDIRECT($C$5&amp;"生成成长"),2))/((VLOOKUP($B209,INDIRECT($B$5&amp;"生成成长"),4))/(VLOOKUP(ET$72,INDIRECT($C$5&amp;"生成成长"),5))*(VLOOKUP($B$5,标准坦克设计!$B$24:$U$30,MATCH("对"&amp;LEFT($C$5,2)&amp;"输出",标准坦克设计!$B$23:$U$23,0)))*(VLOOKUP($B209,INDIRECT($B$5&amp;"生成成长"),3))*(VLOOKUP($B$5,标准坦克设计!$B$14:$K$20,9)/30))</f>
        <v>8.4590883978957798</v>
      </c>
      <c r="EU209" s="173">
        <f ca="1">(VLOOKUP(EU$72,INDIRECT($C$5&amp;"生成成长"),2))/((VLOOKUP($B209,INDIRECT($B$5&amp;"生成成长"),4))/(VLOOKUP(EU$72,INDIRECT($C$5&amp;"生成成长"),5))*(VLOOKUP($B$5,标准坦克设计!$B$24:$U$30,MATCH("对"&amp;LEFT($C$5,2)&amp;"输出",标准坦克设计!$B$23:$U$23,0)))*(VLOOKUP($B209,INDIRECT($B$5&amp;"生成成长"),3))*(VLOOKUP($B$5,标准坦克设计!$B$14:$K$20,9)/30))</f>
        <v>9.1343285059483268</v>
      </c>
      <c r="EV209" s="173">
        <f ca="1">(VLOOKUP(EV$72,INDIRECT($C$5&amp;"生成成长"),2))/((VLOOKUP($B209,INDIRECT($B$5&amp;"生成成长"),4))/(VLOOKUP(EV$72,INDIRECT($C$5&amp;"生成成长"),5))*(VLOOKUP($B$5,标准坦克设计!$B$24:$U$30,MATCH("对"&amp;LEFT($C$5,2)&amp;"输出",标准坦克设计!$B$23:$U$23,0)))*(VLOOKUP($B209,INDIRECT($B$5&amp;"生成成长"),3))*(VLOOKUP($B$5,标准坦克设计!$B$14:$K$20,9)/30))</f>
        <v>9.8354940631756662</v>
      </c>
      <c r="EW209" s="173">
        <f ca="1">(VLOOKUP(EW$72,INDIRECT($C$5&amp;"生成成长"),2))/((VLOOKUP($B209,INDIRECT($B$5&amp;"生成成长"),4))/(VLOOKUP(EW$72,INDIRECT($C$5&amp;"生成成长"),5))*(VLOOKUP($B$5,标准坦克设计!$B$24:$U$30,MATCH("对"&amp;LEFT($C$5,2)&amp;"输出",标准坦克设计!$B$23:$U$23,0)))*(VLOOKUP($B209,INDIRECT($B$5&amp;"生成成长"),3))*(VLOOKUP($B$5,标准坦克设计!$B$14:$K$20,9)/30))</f>
        <v>10.562585069577796</v>
      </c>
      <c r="EX209" s="173">
        <f ca="1">(VLOOKUP(EX$72,INDIRECT($C$5&amp;"生成成长"),2))/((VLOOKUP($B209,INDIRECT($B$5&amp;"生成成长"),4))/(VLOOKUP(EX$72,INDIRECT($C$5&amp;"生成成长"),5))*(VLOOKUP($B$5,标准坦克设计!$B$24:$U$30,MATCH("对"&amp;LEFT($C$5,2)&amp;"输出",标准坦克设计!$B$23:$U$23,0)))*(VLOOKUP($B209,INDIRECT($B$5&amp;"生成成长"),3))*(VLOOKUP($B$5,标准坦克设计!$B$14:$K$20,9)/30))</f>
        <v>11.315601525154721</v>
      </c>
      <c r="EY209" s="173">
        <f ca="1">(VLOOKUP(EY$72,INDIRECT($C$5&amp;"生成成长"),2))/((VLOOKUP($B209,INDIRECT($B$5&amp;"生成成长"),4))/(VLOOKUP(EY$72,INDIRECT($C$5&amp;"生成成长"),5))*(VLOOKUP($B$5,标准坦克设计!$B$24:$U$30,MATCH("对"&amp;LEFT($C$5,2)&amp;"输出",标准坦克设计!$B$23:$U$23,0)))*(VLOOKUP($B209,INDIRECT($B$5&amp;"生成成长"),3))*(VLOOKUP($B$5,标准坦克设计!$B$14:$K$20,9)/30))</f>
        <v>12.094543429906436</v>
      </c>
      <c r="EZ209" s="173">
        <f ca="1">(VLOOKUP(EZ$72,INDIRECT($C$5&amp;"生成成长"),2))/((VLOOKUP($B209,INDIRECT($B$5&amp;"生成成长"),4))/(VLOOKUP(EZ$72,INDIRECT($C$5&amp;"生成成长"),5))*(VLOOKUP($B$5,标准坦克设计!$B$24:$U$30,MATCH("对"&amp;LEFT($C$5,2)&amp;"输出",标准坦克设计!$B$23:$U$23,0)))*(VLOOKUP($B209,INDIRECT($B$5&amp;"生成成长"),3))*(VLOOKUP($B$5,标准坦克设计!$B$14:$K$20,9)/30))</f>
        <v>12.899410783832945</v>
      </c>
      <c r="FA209" s="173">
        <f ca="1">(VLOOKUP(FA$72,INDIRECT($C$5&amp;"生成成长"),2))/((VLOOKUP($B209,INDIRECT($B$5&amp;"生成成长"),4))/(VLOOKUP(FA$72,INDIRECT($C$5&amp;"生成成长"),5))*(VLOOKUP($B$5,标准坦克设计!$B$24:$U$30,MATCH("对"&amp;LEFT($C$5,2)&amp;"输出",标准坦克设计!$B$23:$U$23,0)))*(VLOOKUP($B209,INDIRECT($B$5&amp;"生成成长"),3))*(VLOOKUP($B$5,标准坦克设计!$B$14:$K$20,9)/30))</f>
        <v>13.730203586934245</v>
      </c>
      <c r="FB209" s="173">
        <f ca="1">(VLOOKUP(FB$72,INDIRECT($C$5&amp;"生成成长"),2))/((VLOOKUP($B209,INDIRECT($B$5&amp;"生成成长"),4))/(VLOOKUP(FB$72,INDIRECT($C$5&amp;"生成成长"),5))*(VLOOKUP($B$5,标准坦克设计!$B$24:$U$30,MATCH("对"&amp;LEFT($C$5,2)&amp;"输出",标准坦克设计!$B$23:$U$23,0)))*(VLOOKUP($B209,INDIRECT($B$5&amp;"生成成长"),3))*(VLOOKUP($B$5,标准坦克设计!$B$14:$K$20,9)/30))</f>
        <v>14.586921839210337</v>
      </c>
      <c r="FC209" s="173">
        <f ca="1">(VLOOKUP(FC$72,INDIRECT($C$5&amp;"生成成长"),2))/((VLOOKUP($B209,INDIRECT($B$5&amp;"生成成长"),4))/(VLOOKUP(FC$72,INDIRECT($C$5&amp;"生成成长"),5))*(VLOOKUP($B$5,标准坦克设计!$B$24:$U$30,MATCH("对"&amp;LEFT($C$5,2)&amp;"输出",标准坦克设计!$B$23:$U$23,0)))*(VLOOKUP($B209,INDIRECT($B$5&amp;"生成成长"),3))*(VLOOKUP($B$5,标准坦克设计!$B$14:$K$20,9)/30))</f>
        <v>15.469565540661222</v>
      </c>
      <c r="FD209" s="173">
        <f ca="1">(VLOOKUP(FD$72,INDIRECT($C$5&amp;"生成成长"),2))/((VLOOKUP($B209,INDIRECT($B$5&amp;"生成成长"),4))/(VLOOKUP(FD$72,INDIRECT($C$5&amp;"生成成长"),5))*(VLOOKUP($B$5,标准坦克设计!$B$24:$U$30,MATCH("对"&amp;LEFT($C$5,2)&amp;"输出",标准坦克设计!$B$23:$U$23,0)))*(VLOOKUP($B209,INDIRECT($B$5&amp;"生成成长"),3))*(VLOOKUP($B$5,标准坦克设计!$B$14:$K$20,9)/30))</f>
        <v>16.378134691286899</v>
      </c>
      <c r="FE209" s="173">
        <f ca="1">(VLOOKUP(FE$72,INDIRECT($C$5&amp;"生成成长"),2))/((VLOOKUP($B209,INDIRECT($B$5&amp;"生成成长"),4))/(VLOOKUP(FE$72,INDIRECT($C$5&amp;"生成成长"),5))*(VLOOKUP($B$5,标准坦克设计!$B$24:$U$30,MATCH("对"&amp;LEFT($C$5,2)&amp;"输出",标准坦克设计!$B$23:$U$23,0)))*(VLOOKUP($B209,INDIRECT($B$5&amp;"生成成长"),3))*(VLOOKUP($B$5,标准坦克设计!$B$14:$K$20,9)/30))</f>
        <v>17.485322778978965</v>
      </c>
      <c r="FF209" s="173">
        <f ca="1">(VLOOKUP(FF$72,INDIRECT($C$5&amp;"生成成长"),2))/((VLOOKUP($B209,INDIRECT($B$5&amp;"生成成长"),4))/(VLOOKUP(FF$72,INDIRECT($C$5&amp;"生成成长"),5))*(VLOOKUP($B$5,标准坦克设计!$B$24:$U$30,MATCH("对"&amp;LEFT($C$5,2)&amp;"输出",标准坦克设计!$B$23:$U$23,0)))*(VLOOKUP($B209,INDIRECT($B$5&amp;"生成成长"),3))*(VLOOKUP($B$5,标准坦克设计!$B$14:$K$20,9)/30))</f>
        <v>18.628720791551519</v>
      </c>
      <c r="FG209" s="173">
        <f ca="1">(VLOOKUP(FG$72,INDIRECT($C$5&amp;"生成成长"),2))/((VLOOKUP($B209,INDIRECT($B$5&amp;"生成成长"),4))/(VLOOKUP(FG$72,INDIRECT($C$5&amp;"生成成长"),5))*(VLOOKUP($B$5,标准坦克设计!$B$24:$U$30,MATCH("对"&amp;LEFT($C$5,2)&amp;"输出",标准坦克设计!$B$23:$U$23,0)))*(VLOOKUP($B209,INDIRECT($B$5&amp;"生成成长"),3))*(VLOOKUP($B$5,标准坦克设计!$B$14:$K$20,9)/30))</f>
        <v>19.808328729004572</v>
      </c>
      <c r="FH209" s="173">
        <f ca="1">(VLOOKUP(FH$72,INDIRECT($C$5&amp;"生成成长"),2))/((VLOOKUP($B209,INDIRECT($B$5&amp;"生成成长"),4))/(VLOOKUP(FH$72,INDIRECT($C$5&amp;"生成成长"),5))*(VLOOKUP($B$5,标准坦克设计!$B$24:$U$30,MATCH("对"&amp;LEFT($C$5,2)&amp;"输出",标准坦克设计!$B$23:$U$23,0)))*(VLOOKUP($B209,INDIRECT($B$5&amp;"生成成长"),3))*(VLOOKUP($B$5,标准坦克设计!$B$14:$K$20,9)/30))</f>
        <v>21.02414659133812</v>
      </c>
      <c r="FI209" s="173">
        <f ca="1">(VLOOKUP(FI$72,INDIRECT($C$5&amp;"生成成长"),2))/((VLOOKUP($B209,INDIRECT($B$5&amp;"生成成长"),4))/(VLOOKUP(FI$72,INDIRECT($C$5&amp;"生成成长"),5))*(VLOOKUP($B$5,标准坦克设计!$B$24:$U$30,MATCH("对"&amp;LEFT($C$5,2)&amp;"输出",标准坦克设计!$B$23:$U$23,0)))*(VLOOKUP($B209,INDIRECT($B$5&amp;"生成成长"),3))*(VLOOKUP($B$5,标准坦克设计!$B$14:$K$20,9)/30))</f>
        <v>22.27617437855216</v>
      </c>
      <c r="FJ209" s="173">
        <f ca="1">(VLOOKUP(FJ$72,INDIRECT($C$5&amp;"生成成长"),2))/((VLOOKUP($B209,INDIRECT($B$5&amp;"生成成长"),4))/(VLOOKUP(FJ$72,INDIRECT($C$5&amp;"生成成长"),5))*(VLOOKUP($B$5,标准坦克设计!$B$24:$U$30,MATCH("对"&amp;LEFT($C$5,2)&amp;"输出",标准坦克设计!$B$23:$U$23,0)))*(VLOOKUP($B209,INDIRECT($B$5&amp;"生成成长"),3))*(VLOOKUP($B$5,标准坦克设计!$B$14:$K$20,9)/30))</f>
        <v>23.564412090646698</v>
      </c>
      <c r="FK209" s="173">
        <f ca="1">(VLOOKUP(FK$72,INDIRECT($C$5&amp;"生成成长"),2))/((VLOOKUP($B209,INDIRECT($B$5&amp;"生成成长"),4))/(VLOOKUP(FK$72,INDIRECT($C$5&amp;"生成成长"),5))*(VLOOKUP($B$5,标准坦克设计!$B$24:$U$30,MATCH("对"&amp;LEFT($C$5,2)&amp;"输出",标准坦克设计!$B$23:$U$23,0)))*(VLOOKUP($B209,INDIRECT($B$5&amp;"生成成长"),3))*(VLOOKUP($B$5,标准坦克设计!$B$14:$K$20,9)/30))</f>
        <v>24.888859727621732</v>
      </c>
    </row>
    <row r="210" spans="1:167" x14ac:dyDescent="0.15">
      <c r="A210" s="171" t="str">
        <f t="shared" si="13"/>
        <v>T4高品质12级</v>
      </c>
      <c r="B210" s="172">
        <v>30412</v>
      </c>
      <c r="C210" s="173">
        <f ca="1">(VLOOKUP(C$72,INDIRECT($C$5&amp;"生成成长"),2))/((VLOOKUP($B210,INDIRECT($B$5&amp;"生成成长"),4))/(VLOOKUP(C$72,INDIRECT($C$5&amp;"生成成长"),5))*(VLOOKUP($B$5,标准坦克设计!$B$24:$U$30,MATCH("对"&amp;LEFT($C$5,2)&amp;"输出",标准坦克设计!$B$23:$U$23,0)))*(VLOOKUP($B210,INDIRECT($B$5&amp;"生成成长"),3))*(VLOOKUP($B$5,标准坦克设计!$B$14:$K$20,9)/30))</f>
        <v>1.001184598565263</v>
      </c>
      <c r="D210" s="173">
        <f ca="1">(VLOOKUP(D$72,INDIRECT($C$5&amp;"生成成长"),2))/((VLOOKUP($B210,INDIRECT($B$5&amp;"生成成长"),4))/(VLOOKUP(D$72,INDIRECT($C$5&amp;"生成成长"),5))*(VLOOKUP($B$5,标准坦克设计!$B$24:$U$30,MATCH("对"&amp;LEFT($C$5,2)&amp;"输出",标准坦克设计!$B$23:$U$23,0)))*(VLOOKUP($B210,INDIRECT($B$5&amp;"生成成长"),3))*(VLOOKUP($B$5,标准坦克设计!$B$14:$K$20,9)/30))</f>
        <v>1.1249310149479295</v>
      </c>
      <c r="E210" s="173">
        <f ca="1">(VLOOKUP(E$72,INDIRECT($C$5&amp;"生成成长"),2))/((VLOOKUP($B210,INDIRECT($B$5&amp;"生成成长"),4))/(VLOOKUP(E$72,INDIRECT($C$5&amp;"生成成长"),5))*(VLOOKUP($B$5,标准坦克设计!$B$24:$U$30,MATCH("对"&amp;LEFT($C$5,2)&amp;"输出",标准坦克设计!$B$23:$U$23,0)))*(VLOOKUP($B210,INDIRECT($B$5&amp;"生成成长"),3))*(VLOOKUP($B$5,标准坦克设计!$B$14:$K$20,9)/30))</f>
        <v>1.2558859604402659</v>
      </c>
      <c r="F210" s="173">
        <f ca="1">(VLOOKUP(F$72,INDIRECT($C$5&amp;"生成成长"),2))/((VLOOKUP($B210,INDIRECT($B$5&amp;"生成成长"),4))/(VLOOKUP(F$72,INDIRECT($C$5&amp;"生成成长"),5))*(VLOOKUP($B$5,标准坦克设计!$B$24:$U$30,MATCH("对"&amp;LEFT($C$5,2)&amp;"输出",标准坦克设计!$B$23:$U$23,0)))*(VLOOKUP($B210,INDIRECT($B$5&amp;"生成成长"),3))*(VLOOKUP($B$5,标准坦克设计!$B$14:$K$20,9)/30))</f>
        <v>1.3940494350422725</v>
      </c>
      <c r="G210" s="173">
        <f ca="1">(VLOOKUP(G$72,INDIRECT($C$5&amp;"生成成长"),2))/((VLOOKUP($B210,INDIRECT($B$5&amp;"生成成长"),4))/(VLOOKUP(G$72,INDIRECT($C$5&amp;"生成成长"),5))*(VLOOKUP($B$5,标准坦克设计!$B$24:$U$30,MATCH("对"&amp;LEFT($C$5,2)&amp;"输出",标准坦克设计!$B$23:$U$23,0)))*(VLOOKUP($B210,INDIRECT($B$5&amp;"生成成长"),3))*(VLOOKUP($B$5,标准坦克设计!$B$14:$K$20,9)/30))</f>
        <v>1.5394214387539487</v>
      </c>
      <c r="H210" s="173">
        <f ca="1">(VLOOKUP(H$72,INDIRECT($C$5&amp;"生成成长"),2))/((VLOOKUP($B210,INDIRECT($B$5&amp;"生成成长"),4))/(VLOOKUP(H$72,INDIRECT($C$5&amp;"生成成长"),5))*(VLOOKUP($B$5,标准坦克设计!$B$24:$U$30,MATCH("对"&amp;LEFT($C$5,2)&amp;"输出",标准坦克设计!$B$23:$U$23,0)))*(VLOOKUP($B210,INDIRECT($B$5&amp;"生成成长"),3))*(VLOOKUP($B$5,标准坦克设计!$B$14:$K$20,9)/30))</f>
        <v>1.3471939958294179</v>
      </c>
      <c r="I210" s="173">
        <f ca="1">(VLOOKUP(I$72,INDIRECT($C$5&amp;"生成成长"),2))/((VLOOKUP($B210,INDIRECT($B$5&amp;"生成成长"),4))/(VLOOKUP(I$72,INDIRECT($C$5&amp;"生成成长"),5))*(VLOOKUP($B$5,标准坦克设计!$B$24:$U$30,MATCH("对"&amp;LEFT($C$5,2)&amp;"输出",标准坦克设计!$B$23:$U$23,0)))*(VLOOKUP($B210,INDIRECT($B$5&amp;"生成成长"),3))*(VLOOKUP($B$5,标准坦克设计!$B$14:$K$20,9)/30))</f>
        <v>1.5394214387539487</v>
      </c>
      <c r="J210" s="173">
        <f ca="1">(VLOOKUP(J$72,INDIRECT($C$5&amp;"生成成长"),2))/((VLOOKUP($B210,INDIRECT($B$5&amp;"生成成长"),4))/(VLOOKUP(J$72,INDIRECT($C$5&amp;"生成成长"),5))*(VLOOKUP($B$5,标准坦克设计!$B$24:$U$30,MATCH("对"&amp;LEFT($C$5,2)&amp;"输出",标准坦克设计!$B$23:$U$23,0)))*(VLOOKUP($B210,INDIRECT($B$5&amp;"生成成长"),3))*(VLOOKUP($B$5,标准坦克设计!$B$14:$K$20,9)/30))</f>
        <v>1.7444640445401143</v>
      </c>
      <c r="K210" s="173">
        <f ca="1">(VLOOKUP(K$72,INDIRECT($C$5&amp;"生成成长"),2))/((VLOOKUP($B210,INDIRECT($B$5&amp;"生成成长"),4))/(VLOOKUP(K$72,INDIRECT($C$5&amp;"生成成长"),5))*(VLOOKUP($B$5,标准坦克设计!$B$24:$U$30,MATCH("对"&amp;LEFT($C$5,2)&amp;"输出",标准坦克设计!$B$23:$U$23,0)))*(VLOOKUP($B210,INDIRECT($B$5&amp;"生成成长"),3))*(VLOOKUP($B$5,标准坦克设计!$B$14:$K$20,9)/30))</f>
        <v>1.9623218131879154</v>
      </c>
      <c r="L210" s="173">
        <f ca="1">(VLOOKUP(L$72,INDIRECT($C$5&amp;"生成成长"),2))/((VLOOKUP($B210,INDIRECT($B$5&amp;"生成成长"),4))/(VLOOKUP(L$72,INDIRECT($C$5&amp;"生成成长"),5))*(VLOOKUP($B$5,标准坦克设计!$B$24:$U$30,MATCH("对"&amp;LEFT($C$5,2)&amp;"输出",标准坦克设计!$B$23:$U$23,0)))*(VLOOKUP($B210,INDIRECT($B$5&amp;"生成成长"),3))*(VLOOKUP($B$5,标准坦克设计!$B$14:$K$20,9)/30))</f>
        <v>2.1929947446973519</v>
      </c>
      <c r="M210" s="173">
        <f ca="1">(VLOOKUP(M$72,INDIRECT($C$5&amp;"生成成长"),2))/((VLOOKUP($B210,INDIRECT($B$5&amp;"生成成长"),4))/(VLOOKUP(M$72,INDIRECT($C$5&amp;"生成成长"),5))*(VLOOKUP($B$5,标准坦克设计!$B$24:$U$30,MATCH("对"&amp;LEFT($C$5,2)&amp;"输出",标准坦克设计!$B$23:$U$23,0)))*(VLOOKUP($B210,INDIRECT($B$5&amp;"生成成长"),3))*(VLOOKUP($B$5,标准坦克设计!$B$14:$K$20,9)/30))</f>
        <v>2.4364828390684239</v>
      </c>
      <c r="N210" s="173">
        <f ca="1">(VLOOKUP(N$72,INDIRECT($C$5&amp;"生成成长"),2))/((VLOOKUP($B210,INDIRECT($B$5&amp;"生成成长"),4))/(VLOOKUP(N$72,INDIRECT($C$5&amp;"生成成长"),5))*(VLOOKUP($B$5,标准坦克设计!$B$24:$U$30,MATCH("对"&amp;LEFT($C$5,2)&amp;"输出",标准坦克设计!$B$23:$U$23,0)))*(VLOOKUP($B210,INDIRECT($B$5&amp;"生成成长"),3))*(VLOOKUP($B$5,标准坦克设计!$B$14:$K$20,9)/30))</f>
        <v>2.6927860963011314</v>
      </c>
      <c r="O210" s="173">
        <f ca="1">(VLOOKUP(O$72,INDIRECT($C$5&amp;"生成成长"),2))/((VLOOKUP($B210,INDIRECT($B$5&amp;"生成成长"),4))/(VLOOKUP(O$72,INDIRECT($C$5&amp;"生成成长"),5))*(VLOOKUP($B$5,标准坦克设计!$B$24:$U$30,MATCH("对"&amp;LEFT($C$5,2)&amp;"输出",标准坦克设计!$B$23:$U$23,0)))*(VLOOKUP($B210,INDIRECT($B$5&amp;"生成成长"),3))*(VLOOKUP($B$5,标准坦克设计!$B$14:$K$20,9)/30))</f>
        <v>2.047322385606106</v>
      </c>
      <c r="P210" s="173">
        <f ca="1">(VLOOKUP(P$72,INDIRECT($C$5&amp;"生成成长"),2))/((VLOOKUP($B210,INDIRECT($B$5&amp;"生成成长"),4))/(VLOOKUP(P$72,INDIRECT($C$5&amp;"生成成长"),5))*(VLOOKUP($B$5,标准坦克设计!$B$24:$U$30,MATCH("对"&amp;LEFT($C$5,2)&amp;"输出",标准坦克设计!$B$23:$U$23,0)))*(VLOOKUP($B210,INDIRECT($B$5&amp;"生成成长"),3))*(VLOOKUP($B$5,标准坦克设计!$B$14:$K$20,9)/30))</f>
        <v>2.3131368965251839</v>
      </c>
      <c r="Q210" s="173">
        <f ca="1">(VLOOKUP(Q$72,INDIRECT($C$5&amp;"生成成长"),2))/((VLOOKUP($B210,INDIRECT($B$5&amp;"生成成长"),4))/(VLOOKUP(Q$72,INDIRECT($C$5&amp;"生成成长"),5))*(VLOOKUP($B$5,标准坦克设计!$B$24:$U$30,MATCH("对"&amp;LEFT($C$5,2)&amp;"输出",标准坦克设计!$B$23:$U$23,0)))*(VLOOKUP($B210,INDIRECT($B$5&amp;"生成成长"),3))*(VLOOKUP($B$5,标准坦克设计!$B$14:$K$20,9)/30))</f>
        <v>2.5951705979410185</v>
      </c>
      <c r="R210" s="173">
        <f ca="1">(VLOOKUP(R$72,INDIRECT($C$5&amp;"生成成长"),2))/((VLOOKUP($B210,INDIRECT($B$5&amp;"生成成长"),4))/(VLOOKUP(R$72,INDIRECT($C$5&amp;"生成成长"),5))*(VLOOKUP($B$5,标准坦克设计!$B$24:$U$30,MATCH("对"&amp;LEFT($C$5,2)&amp;"输出",标准坦克设计!$B$23:$U$23,0)))*(VLOOKUP($B210,INDIRECT($B$5&amp;"生成成长"),3))*(VLOOKUP($B$5,标准坦克设计!$B$14:$K$20,9)/30))</f>
        <v>2.89342348985361</v>
      </c>
      <c r="S210" s="173">
        <f ca="1">(VLOOKUP(S$72,INDIRECT($C$5&amp;"生成成长"),2))/((VLOOKUP($B210,INDIRECT($B$5&amp;"生成成长"),4))/(VLOOKUP(S$72,INDIRECT($C$5&amp;"生成成长"),5))*(VLOOKUP($B$5,标准坦克设计!$B$24:$U$30,MATCH("对"&amp;LEFT($C$5,2)&amp;"输出",标准坦克设计!$B$23:$U$23,0)))*(VLOOKUP($B210,INDIRECT($B$5&amp;"生成成长"),3))*(VLOOKUP($B$5,标准坦克设计!$B$14:$K$20,9)/30))</f>
        <v>3.207895572262959</v>
      </c>
      <c r="T210" s="173">
        <f ca="1">(VLOOKUP(T$72,INDIRECT($C$5&amp;"生成成长"),2))/((VLOOKUP($B210,INDIRECT($B$5&amp;"生成成长"),4))/(VLOOKUP(T$72,INDIRECT($C$5&amp;"生成成长"),5))*(VLOOKUP($B$5,标准坦克设计!$B$24:$U$30,MATCH("对"&amp;LEFT($C$5,2)&amp;"输出",标准坦克设计!$B$23:$U$23,0)))*(VLOOKUP($B210,INDIRECT($B$5&amp;"生成成长"),3))*(VLOOKUP($B$5,标准坦克设计!$B$14:$K$20,9)/30))</f>
        <v>3.5385868451690659</v>
      </c>
      <c r="U210" s="173">
        <f ca="1">(VLOOKUP(U$72,INDIRECT($C$5&amp;"生成成长"),2))/((VLOOKUP($B210,INDIRECT($B$5&amp;"生成成长"),4))/(VLOOKUP(U$72,INDIRECT($C$5&amp;"生成成长"),5))*(VLOOKUP($B$5,标准坦克设计!$B$24:$U$30,MATCH("对"&amp;LEFT($C$5,2)&amp;"输出",标准坦克设计!$B$23:$U$23,0)))*(VLOOKUP($B210,INDIRECT($B$5&amp;"生成成长"),3))*(VLOOKUP($B$5,标准坦克设计!$B$14:$K$20,9)/30))</f>
        <v>3.8854973085719293</v>
      </c>
      <c r="V210" s="173">
        <f ca="1">(VLOOKUP(V$72,INDIRECT($C$5&amp;"生成成长"),2))/((VLOOKUP($B210,INDIRECT($B$5&amp;"生成成长"),4))/(VLOOKUP(V$72,INDIRECT($C$5&amp;"生成成长"),5))*(VLOOKUP($B$5,标准坦克设计!$B$24:$U$30,MATCH("对"&amp;LEFT($C$5,2)&amp;"输出",标准坦克设计!$B$23:$U$23,0)))*(VLOOKUP($B210,INDIRECT($B$5&amp;"生成成长"),3))*(VLOOKUP($B$5,标准坦克设计!$B$14:$K$20,9)/30))</f>
        <v>4.2486269624715503</v>
      </c>
      <c r="W210" s="173">
        <f ca="1">(VLOOKUP(W$72,INDIRECT($C$5&amp;"生成成长"),2))/((VLOOKUP($B210,INDIRECT($B$5&amp;"生成成长"),4))/(VLOOKUP(W$72,INDIRECT($C$5&amp;"生成成长"),5))*(VLOOKUP($B$5,标准坦克设计!$B$24:$U$30,MATCH("对"&amp;LEFT($C$5,2)&amp;"输出",标准坦克设计!$B$23:$U$23,0)))*(VLOOKUP($B210,INDIRECT($B$5&amp;"生成成长"),3))*(VLOOKUP($B$5,标准坦克设计!$B$14:$K$20,9)/30))</f>
        <v>4.6279758068679291</v>
      </c>
      <c r="X210" s="173">
        <f ca="1">(VLOOKUP(X$72,INDIRECT($C$5&amp;"生成成长"),2))/((VLOOKUP($B210,INDIRECT($B$5&amp;"生成成长"),4))/(VLOOKUP(X$72,INDIRECT($C$5&amp;"生成成长"),5))*(VLOOKUP($B$5,标准坦克设计!$B$24:$U$30,MATCH("对"&amp;LEFT($C$5,2)&amp;"输出",标准坦克设计!$B$23:$U$23,0)))*(VLOOKUP($B210,INDIRECT($B$5&amp;"生成成长"),3))*(VLOOKUP($B$5,标准坦克设计!$B$14:$K$20,9)/30))</f>
        <v>3.352867102135209</v>
      </c>
      <c r="Y210" s="173">
        <f ca="1">(VLOOKUP(Y$72,INDIRECT($C$5&amp;"生成成长"),2))/((VLOOKUP($B210,INDIRECT($B$5&amp;"生成成长"),4))/(VLOOKUP(Y$72,INDIRECT($C$5&amp;"生成成长"),5))*(VLOOKUP($B$5,标准坦克设计!$B$24:$U$30,MATCH("对"&amp;LEFT($C$5,2)&amp;"输出",标准坦克设计!$B$23:$U$23,0)))*(VLOOKUP($B210,INDIRECT($B$5&amp;"生成成长"),3))*(VLOOKUP($B$5,标准坦克设计!$B$14:$K$20,9)/30))</f>
        <v>3.7293125111957481</v>
      </c>
      <c r="Z210" s="173">
        <f ca="1">(VLOOKUP(Z$72,INDIRECT($C$5&amp;"生成成长"),2))/((VLOOKUP($B210,INDIRECT($B$5&amp;"生成成长"),4))/(VLOOKUP(Z$72,INDIRECT($C$5&amp;"生成成长"),5))*(VLOOKUP($B$5,标准坦克设计!$B$24:$U$30,MATCH("对"&amp;LEFT($C$5,2)&amp;"输出",标准坦克设计!$B$23:$U$23,0)))*(VLOOKUP($B210,INDIRECT($B$5&amp;"生成成长"),3))*(VLOOKUP($B$5,标准坦克设计!$B$14:$K$20,9)/30))</f>
        <v>4.125781612227593</v>
      </c>
      <c r="AA210" s="173">
        <f ca="1">(VLOOKUP(AA$72,INDIRECT($C$5&amp;"生成成长"),2))/((VLOOKUP($B210,INDIRECT($B$5&amp;"生成成长"),4))/(VLOOKUP(AA$72,INDIRECT($C$5&amp;"生成成长"),5))*(VLOOKUP($B$5,标准坦克设计!$B$24:$U$30,MATCH("对"&amp;LEFT($C$5,2)&amp;"输出",标准坦克设计!$B$23:$U$23,0)))*(VLOOKUP($B210,INDIRECT($B$5&amp;"生成成长"),3))*(VLOOKUP($B$5,标准坦克设计!$B$14:$K$20,9)/30))</f>
        <v>4.5422744052307413</v>
      </c>
      <c r="AB210" s="173">
        <f ca="1">(VLOOKUP(AB$72,INDIRECT($C$5&amp;"生成成长"),2))/((VLOOKUP($B210,INDIRECT($B$5&amp;"生成成长"),4))/(VLOOKUP(AB$72,INDIRECT($C$5&amp;"生成成长"),5))*(VLOOKUP($B$5,标准坦克设计!$B$24:$U$30,MATCH("对"&amp;LEFT($C$5,2)&amp;"输出",标准坦克设计!$B$23:$U$23,0)))*(VLOOKUP($B210,INDIRECT($B$5&amp;"生成成长"),3))*(VLOOKUP($B$5,标准坦克设计!$B$14:$K$20,9)/30))</f>
        <v>4.9787908902051976</v>
      </c>
      <c r="AC210" s="173">
        <f ca="1">(VLOOKUP(AC$72,INDIRECT($C$5&amp;"生成成长"),2))/((VLOOKUP($B210,INDIRECT($B$5&amp;"生成成长"),4))/(VLOOKUP(AC$72,INDIRECT($C$5&amp;"生成成长"),5))*(VLOOKUP($B$5,标准坦克设计!$B$24:$U$30,MATCH("对"&amp;LEFT($C$5,2)&amp;"输出",标准坦克设计!$B$23:$U$23,0)))*(VLOOKUP($B210,INDIRECT($B$5&amp;"生成成长"),3))*(VLOOKUP($B$5,标准坦克设计!$B$14:$K$20,9)/30))</f>
        <v>5.4353310671509574</v>
      </c>
      <c r="AD210" s="173">
        <f ca="1">(VLOOKUP(AD$72,INDIRECT($C$5&amp;"生成成长"),2))/((VLOOKUP($B210,INDIRECT($B$5&amp;"生成成长"),4))/(VLOOKUP(AD$72,INDIRECT($C$5&amp;"生成成长"),5))*(VLOOKUP($B$5,标准坦克设计!$B$24:$U$30,MATCH("对"&amp;LEFT($C$5,2)&amp;"输出",标准坦克设计!$B$23:$U$23,0)))*(VLOOKUP($B210,INDIRECT($B$5&amp;"生成成长"),3))*(VLOOKUP($B$5,标准坦克设计!$B$14:$K$20,9)/30))</f>
        <v>5.9118949360680224</v>
      </c>
      <c r="AE210" s="173">
        <f ca="1">(VLOOKUP(AE$72,INDIRECT($C$5&amp;"生成成长"),2))/((VLOOKUP($B210,INDIRECT($B$5&amp;"生成成长"),4))/(VLOOKUP(AE$72,INDIRECT($C$5&amp;"生成成长"),5))*(VLOOKUP($B$5,标准坦克设计!$B$24:$U$30,MATCH("对"&amp;LEFT($C$5,2)&amp;"输出",标准坦克设计!$B$23:$U$23,0)))*(VLOOKUP($B210,INDIRECT($B$5&amp;"生成成长"),3))*(VLOOKUP($B$5,标准坦克设计!$B$14:$K$20,9)/30))</f>
        <v>6.4084824969563918</v>
      </c>
      <c r="AF210" s="173">
        <f ca="1">(VLOOKUP(AF$72,INDIRECT($C$5&amp;"生成成长"),2))/((VLOOKUP($B210,INDIRECT($B$5&amp;"生成成长"),4))/(VLOOKUP(AF$72,INDIRECT($C$5&amp;"生成成长"),5))*(VLOOKUP($B$5,标准坦克设计!$B$24:$U$30,MATCH("对"&amp;LEFT($C$5,2)&amp;"输出",标准坦克设计!$B$23:$U$23,0)))*(VLOOKUP($B210,INDIRECT($B$5&amp;"生成成长"),3))*(VLOOKUP($B$5,标准坦克设计!$B$14:$K$20,9)/30))</f>
        <v>6.9250937498160692</v>
      </c>
      <c r="AG210" s="173">
        <f ca="1">(VLOOKUP(AG$72,INDIRECT($C$5&amp;"生成成长"),2))/((VLOOKUP($B210,INDIRECT($B$5&amp;"生成成长"),4))/(VLOOKUP(AG$72,INDIRECT($C$5&amp;"生成成长"),5))*(VLOOKUP($B$5,标准坦克设计!$B$24:$U$30,MATCH("对"&amp;LEFT($C$5,2)&amp;"输出",标准坦克设计!$B$23:$U$23,0)))*(VLOOKUP($B210,INDIRECT($B$5&amp;"生成成长"),3))*(VLOOKUP($B$5,标准坦克设计!$B$14:$K$20,9)/30))</f>
        <v>7.4617286946470482</v>
      </c>
      <c r="AH210" s="173">
        <f ca="1">(VLOOKUP(AH$72,INDIRECT($C$5&amp;"生成成长"),2))/((VLOOKUP($B210,INDIRECT($B$5&amp;"生成成长"),4))/(VLOOKUP(AH$72,INDIRECT($C$5&amp;"生成成长"),5))*(VLOOKUP($B$5,标准坦克设计!$B$24:$U$30,MATCH("对"&amp;LEFT($C$5,2)&amp;"输出",标准坦克设计!$B$23:$U$23,0)))*(VLOOKUP($B210,INDIRECT($B$5&amp;"生成成长"),3))*(VLOOKUP($B$5,标准坦克设计!$B$14:$K$20,9)/30))</f>
        <v>8.0183873314493361</v>
      </c>
      <c r="AI210" s="173">
        <f ca="1">(VLOOKUP(AI$72,INDIRECT($C$5&amp;"生成成长"),2))/((VLOOKUP($B210,INDIRECT($B$5&amp;"生成成长"),4))/(VLOOKUP(AI$72,INDIRECT($C$5&amp;"生成成长"),5))*(VLOOKUP($B$5,标准坦克设计!$B$24:$U$30,MATCH("对"&amp;LEFT($C$5,2)&amp;"输出",标准坦克设计!$B$23:$U$23,0)))*(VLOOKUP($B210,INDIRECT($B$5&amp;"生成成长"),3))*(VLOOKUP($B$5,标准坦克设计!$B$14:$K$20,9)/30))</f>
        <v>5.6711100401130752</v>
      </c>
      <c r="AJ210" s="173">
        <f ca="1">(VLOOKUP(AJ$72,INDIRECT($C$5&amp;"生成成长"),2))/((VLOOKUP($B210,INDIRECT($B$5&amp;"生成成长"),4))/(VLOOKUP(AJ$72,INDIRECT($C$5&amp;"生成成长"),5))*(VLOOKUP($B$5,标准坦克设计!$B$24:$U$30,MATCH("对"&amp;LEFT($C$5,2)&amp;"输出",标准坦克设计!$B$23:$U$23,0)))*(VLOOKUP($B210,INDIRECT($B$5&amp;"生成成长"),3))*(VLOOKUP($B$5,标准坦克设计!$B$14:$K$20,9)/30))</f>
        <v>6.2074446295644865</v>
      </c>
      <c r="AK210" s="173">
        <f ca="1">(VLOOKUP(AK$72,INDIRECT($C$5&amp;"生成成长"),2))/((VLOOKUP($B210,INDIRECT($B$5&amp;"生成成长"),4))/(VLOOKUP(AK$72,INDIRECT($C$5&amp;"生成成长"),5))*(VLOOKUP($B$5,标准坦克设计!$B$24:$U$30,MATCH("对"&amp;LEFT($C$5,2)&amp;"输出",标准坦克设计!$B$23:$U$23,0)))*(VLOOKUP($B210,INDIRECT($B$5&amp;"生成成长"),3))*(VLOOKUP($B$5,标准坦克设计!$B$14:$K$20,9)/30))</f>
        <v>6.7680078863011781</v>
      </c>
      <c r="AL210" s="173">
        <f ca="1">(VLOOKUP(AL$72,INDIRECT($C$5&amp;"生成成长"),2))/((VLOOKUP($B210,INDIRECT($B$5&amp;"生成成长"),4))/(VLOOKUP(AL$72,INDIRECT($C$5&amp;"生成成长"),5))*(VLOOKUP($B$5,标准坦克设计!$B$24:$U$30,MATCH("对"&amp;LEFT($C$5,2)&amp;"输出",标准坦克设计!$B$23:$U$23,0)))*(VLOOKUP($B210,INDIRECT($B$5&amp;"生成成长"),3))*(VLOOKUP($B$5,标准坦克设计!$B$14:$K$20,9)/30))</f>
        <v>7.3527998103231473</v>
      </c>
      <c r="AM210" s="173">
        <f ca="1">(VLOOKUP(AM$72,INDIRECT($C$5&amp;"生成成长"),2))/((VLOOKUP($B210,INDIRECT($B$5&amp;"生成成长"),4))/(VLOOKUP(AM$72,INDIRECT($C$5&amp;"生成成长"),5))*(VLOOKUP($B$5,标准坦克设计!$B$24:$U$30,MATCH("对"&amp;LEFT($C$5,2)&amp;"输出",标准坦克设计!$B$23:$U$23,0)))*(VLOOKUP($B210,INDIRECT($B$5&amp;"生成成长"),3))*(VLOOKUP($B$5,标准坦克设计!$B$14:$K$20,9)/30))</f>
        <v>7.9618204016303968</v>
      </c>
      <c r="AN210" s="173">
        <f ca="1">(VLOOKUP(AN$72,INDIRECT($C$5&amp;"生成成长"),2))/((VLOOKUP($B210,INDIRECT($B$5&amp;"生成成长"),4))/(VLOOKUP(AN$72,INDIRECT($C$5&amp;"生成成长"),5))*(VLOOKUP($B$5,标准坦克设计!$B$24:$U$30,MATCH("对"&amp;LEFT($C$5,2)&amp;"输出",标准坦克设计!$B$23:$U$23,0)))*(VLOOKUP($B210,INDIRECT($B$5&amp;"生成成长"),3))*(VLOOKUP($B$5,标准坦克设计!$B$14:$K$20,9)/30))</f>
        <v>8.5950696602229275</v>
      </c>
      <c r="AO210" s="173">
        <f ca="1">(VLOOKUP(AO$72,INDIRECT($C$5&amp;"生成成长"),2))/((VLOOKUP($B210,INDIRECT($B$5&amp;"生成成长"),4))/(VLOOKUP(AO$72,INDIRECT($C$5&amp;"生成成长"),5))*(VLOOKUP($B$5,标准坦克设计!$B$24:$U$30,MATCH("对"&amp;LEFT($C$5,2)&amp;"输出",标准坦克设计!$B$23:$U$23,0)))*(VLOOKUP($B210,INDIRECT($B$5&amp;"生成成长"),3))*(VLOOKUP($B$5,标准坦克设计!$B$14:$K$20,9)/30))</f>
        <v>9.2525475861007358</v>
      </c>
      <c r="AP210" s="173">
        <f ca="1">(VLOOKUP(AP$72,INDIRECT($C$5&amp;"生成成长"),2))/((VLOOKUP($B210,INDIRECT($B$5&amp;"生成成长"),4))/(VLOOKUP(AP$72,INDIRECT($C$5&amp;"生成成长"),5))*(VLOOKUP($B$5,标准坦克设计!$B$24:$U$30,MATCH("对"&amp;LEFT($C$5,2)&amp;"输出",标准坦克设计!$B$23:$U$23,0)))*(VLOOKUP($B210,INDIRECT($B$5&amp;"生成成长"),3))*(VLOOKUP($B$5,标准坦克设计!$B$14:$K$20,9)/30))</f>
        <v>9.9342541792638226</v>
      </c>
      <c r="AQ210" s="173">
        <f ca="1">(VLOOKUP(AQ$72,INDIRECT($C$5&amp;"生成成长"),2))/((VLOOKUP($B210,INDIRECT($B$5&amp;"生成成长"),4))/(VLOOKUP(AQ$72,INDIRECT($C$5&amp;"生成成长"),5))*(VLOOKUP($B$5,标准坦克设计!$B$24:$U$30,MATCH("对"&amp;LEFT($C$5,2)&amp;"输出",标准坦克设计!$B$23:$U$23,0)))*(VLOOKUP($B210,INDIRECT($B$5&amp;"生成成长"),3))*(VLOOKUP($B$5,标准坦克设计!$B$14:$K$20,9)/30))</f>
        <v>10.64018943971219</v>
      </c>
      <c r="AR210" s="173">
        <f ca="1">(VLOOKUP(AR$72,INDIRECT($C$5&amp;"生成成长"),2))/((VLOOKUP($B210,INDIRECT($B$5&amp;"生成成长"),4))/(VLOOKUP(AR$72,INDIRECT($C$5&amp;"生成成长"),5))*(VLOOKUP($B$5,标准坦克设计!$B$24:$U$30,MATCH("对"&amp;LEFT($C$5,2)&amp;"输出",标准坦克设计!$B$23:$U$23,0)))*(VLOOKUP($B210,INDIRECT($B$5&amp;"生成成长"),3))*(VLOOKUP($B$5,标准坦克设计!$B$14:$K$20,9)/30))</f>
        <v>11.370353367445837</v>
      </c>
      <c r="AS210" s="173">
        <f ca="1">(VLOOKUP(AS$72,INDIRECT($C$5&amp;"生成成长"),2))/((VLOOKUP($B210,INDIRECT($B$5&amp;"生成成长"),4))/(VLOOKUP(AS$72,INDIRECT($C$5&amp;"生成成长"),5))*(VLOOKUP($B$5,标准坦克设计!$B$24:$U$30,MATCH("对"&amp;LEFT($C$5,2)&amp;"输出",标准坦克设计!$B$23:$U$23,0)))*(VLOOKUP($B210,INDIRECT($B$5&amp;"生成成长"),3))*(VLOOKUP($B$5,标准坦克设计!$B$14:$K$20,9)/30))</f>
        <v>12.124745962464763</v>
      </c>
      <c r="AT210" s="173">
        <f ca="1">(VLOOKUP(AT$72,INDIRECT($C$5&amp;"生成成长"),2))/((VLOOKUP($B210,INDIRECT($B$5&amp;"生成成长"),4))/(VLOOKUP(AT$72,INDIRECT($C$5&amp;"生成成长"),5))*(VLOOKUP($B$5,标准坦克设计!$B$24:$U$30,MATCH("对"&amp;LEFT($C$5,2)&amp;"输出",标准坦克设计!$B$23:$U$23,0)))*(VLOOKUP($B210,INDIRECT($B$5&amp;"生成成长"),3))*(VLOOKUP($B$5,标准坦克设计!$B$14:$K$20,9)/30))</f>
        <v>12.903367224768967</v>
      </c>
      <c r="AU210" s="173">
        <f ca="1">(VLOOKUP(AU$72,INDIRECT($C$5&amp;"生成成长"),2))/((VLOOKUP($B210,INDIRECT($B$5&amp;"生成成长"),4))/(VLOOKUP(AU$72,INDIRECT($C$5&amp;"生成成长"),5))*(VLOOKUP($B$5,标准坦克设计!$B$24:$U$30,MATCH("对"&amp;LEFT($C$5,2)&amp;"输出",标准坦克设计!$B$23:$U$23,0)))*(VLOOKUP($B210,INDIRECT($B$5&amp;"生成成长"),3))*(VLOOKUP($B$5,标准坦克设计!$B$14:$K$20,9)/30))</f>
        <v>13.706217154358452</v>
      </c>
      <c r="AV210" s="173">
        <f ca="1">(VLOOKUP(AV$72,INDIRECT($C$5&amp;"生成成长"),2))/((VLOOKUP($B210,INDIRECT($B$5&amp;"生成成长"),4))/(VLOOKUP(AV$72,INDIRECT($C$5&amp;"生成成长"),5))*(VLOOKUP($B$5,标准坦克设计!$B$24:$U$30,MATCH("对"&amp;LEFT($C$5,2)&amp;"输出",标准坦克设计!$B$23:$U$23,0)))*(VLOOKUP($B210,INDIRECT($B$5&amp;"生成成长"),3))*(VLOOKUP($B$5,标准坦克设计!$B$14:$K$20,9)/30))</f>
        <v>1.3940494350422725</v>
      </c>
      <c r="AW210" s="173">
        <f ca="1">(VLOOKUP(AW$72,INDIRECT($C$5&amp;"生成成长"),2))/((VLOOKUP($B210,INDIRECT($B$5&amp;"生成成长"),4))/(VLOOKUP(AW$72,INDIRECT($C$5&amp;"生成成长"),5))*(VLOOKUP($B$5,标准坦克设计!$B$24:$U$30,MATCH("对"&amp;LEFT($C$5,2)&amp;"输出",标准坦克设计!$B$23:$U$23,0)))*(VLOOKUP($B210,INDIRECT($B$5&amp;"生成成长"),3))*(VLOOKUP($B$5,标准坦克设计!$B$14:$K$20,9)/30))</f>
        <v>1.5894806686822116</v>
      </c>
      <c r="AX210" s="173">
        <f ca="1">(VLOOKUP(AX$72,INDIRECT($C$5&amp;"生成成长"),2))/((VLOOKUP($B210,INDIRECT($B$5&amp;"生成成长"),4))/(VLOOKUP(AX$72,INDIRECT($C$5&amp;"生成成长"),5))*(VLOOKUP($B$5,标准坦克设计!$B$24:$U$30,MATCH("对"&amp;LEFT($C$5,2)&amp;"输出",标准坦克设计!$B$23:$U$23,0)))*(VLOOKUP($B210,INDIRECT($B$5&amp;"生成成长"),3))*(VLOOKUP($B$5,标准坦克设计!$B$14:$K$20,9)/30))</f>
        <v>1.7977270651837862</v>
      </c>
      <c r="AY210" s="173">
        <f ca="1">(VLOOKUP(AY$72,INDIRECT($C$5&amp;"生成成长"),2))/((VLOOKUP($B210,INDIRECT($B$5&amp;"生成成长"),4))/(VLOOKUP(AY$72,INDIRECT($C$5&amp;"生成成长"),5))*(VLOOKUP($B$5,标准坦克设计!$B$24:$U$30,MATCH("对"&amp;LEFT($C$5,2)&amp;"输出",标准坦克设计!$B$23:$U$23,0)))*(VLOOKUP($B210,INDIRECT($B$5&amp;"生成成长"),3))*(VLOOKUP($B$5,标准坦克设计!$B$14:$K$20,9)/30))</f>
        <v>2.0187886245469961</v>
      </c>
      <c r="AZ210" s="173">
        <f ca="1">(VLOOKUP(AZ$72,INDIRECT($C$5&amp;"生成成长"),2))/((VLOOKUP($B210,INDIRECT($B$5&amp;"生成成长"),4))/(VLOOKUP(AZ$72,INDIRECT($C$5&amp;"生成成长"),5))*(VLOOKUP($B$5,标准坦克设计!$B$24:$U$30,MATCH("对"&amp;LEFT($C$5,2)&amp;"输出",标准坦克设计!$B$23:$U$23,0)))*(VLOOKUP($B210,INDIRECT($B$5&amp;"生成成长"),3))*(VLOOKUP($B$5,标准坦克设计!$B$14:$K$20,9)/30))</f>
        <v>2.2526653467718414</v>
      </c>
      <c r="BA210" s="173">
        <f ca="1">(VLOOKUP(BA$72,INDIRECT($C$5&amp;"生成成长"),2))/((VLOOKUP($B210,INDIRECT($B$5&amp;"生成成长"),4))/(VLOOKUP(BA$72,INDIRECT($C$5&amp;"生成成长"),5))*(VLOOKUP($B$5,标准坦克设计!$B$24:$U$30,MATCH("对"&amp;LEFT($C$5,2)&amp;"输出",标准坦克设计!$B$23:$U$23,0)))*(VLOOKUP($B210,INDIRECT($B$5&amp;"生成成长"),3))*(VLOOKUP($B$5,标准坦克设计!$B$14:$K$20,9)/30))</f>
        <v>2.4993572318583226</v>
      </c>
      <c r="BB210" s="173">
        <f ca="1">(VLOOKUP(BB$72,INDIRECT($C$5&amp;"生成成长"),2))/((VLOOKUP($B210,INDIRECT($B$5&amp;"生成成长"),4))/(VLOOKUP(BB$72,INDIRECT($C$5&amp;"生成成长"),5))*(VLOOKUP($B$5,标准坦克设计!$B$24:$U$30,MATCH("对"&amp;LEFT($C$5,2)&amp;"输出",标准坦克设计!$B$23:$U$23,0)))*(VLOOKUP($B210,INDIRECT($B$5&amp;"生成成长"),3))*(VLOOKUP($B$5,标准坦克设计!$B$14:$K$20,9)/30))</f>
        <v>2.7588642798064389</v>
      </c>
      <c r="BC210" s="173">
        <f ca="1">(VLOOKUP(BC$72,INDIRECT($C$5&amp;"生成成长"),2))/((VLOOKUP($B210,INDIRECT($B$5&amp;"生成成长"),4))/(VLOOKUP(BC$72,INDIRECT($C$5&amp;"生成成长"),5))*(VLOOKUP($B$5,标准坦克设计!$B$24:$U$30,MATCH("对"&amp;LEFT($C$5,2)&amp;"输出",标准坦克设计!$B$23:$U$23,0)))*(VLOOKUP($B210,INDIRECT($B$5&amp;"生成成长"),3))*(VLOOKUP($B$5,标准坦克设计!$B$14:$K$20,9)/30))</f>
        <v>3.0311864906161907</v>
      </c>
      <c r="BD210" s="173">
        <f ca="1">(VLOOKUP(BD$72,INDIRECT($C$5&amp;"生成成长"),2))/((VLOOKUP($B210,INDIRECT($B$5&amp;"生成成长"),4))/(VLOOKUP(BD$72,INDIRECT($C$5&amp;"生成成长"),5))*(VLOOKUP($B$5,标准坦克设计!$B$24:$U$30,MATCH("对"&amp;LEFT($C$5,2)&amp;"输出",标准坦克设计!$B$23:$U$23,0)))*(VLOOKUP($B210,INDIRECT($B$5&amp;"生成成长"),3))*(VLOOKUP($B$5,标准坦克设计!$B$14:$K$20,9)/30))</f>
        <v>3.352867102135209</v>
      </c>
      <c r="BE210" s="173">
        <f ca="1">(VLOOKUP(BE$72,INDIRECT($C$5&amp;"生成成长"),2))/((VLOOKUP($B210,INDIRECT($B$5&amp;"生成成长"),4))/(VLOOKUP(BE$72,INDIRECT($C$5&amp;"生成成长"),5))*(VLOOKUP($B$5,标准坦克设计!$B$24:$U$30,MATCH("对"&amp;LEFT($C$5,2)&amp;"输出",标准坦克设计!$B$23:$U$23,0)))*(VLOOKUP($B210,INDIRECT($B$5&amp;"生成成长"),3))*(VLOOKUP($B$5,标准坦克设计!$B$14:$K$20,9)/30))</f>
        <v>3.6907669041509861</v>
      </c>
      <c r="BF210" s="173">
        <f ca="1">(VLOOKUP(BF$72,INDIRECT($C$5&amp;"生成成长"),2))/((VLOOKUP($B210,INDIRECT($B$5&amp;"生成成长"),4))/(VLOOKUP(BF$72,INDIRECT($C$5&amp;"生成成长"),5))*(VLOOKUP($B$5,标准坦克设计!$B$24:$U$30,MATCH("对"&amp;LEFT($C$5,2)&amp;"输出",标准坦克设计!$B$23:$U$23,0)))*(VLOOKUP($B210,INDIRECT($B$5&amp;"生成成长"),3))*(VLOOKUP($B$5,标准坦克设计!$B$14:$K$20,9)/30))</f>
        <v>4.0448858966635193</v>
      </c>
      <c r="BG210" s="173">
        <f ca="1">(VLOOKUP(BG$72,INDIRECT($C$5&amp;"生成成长"),2))/((VLOOKUP($B210,INDIRECT($B$5&amp;"生成成长"),4))/(VLOOKUP(BG$72,INDIRECT($C$5&amp;"生成成长"),5))*(VLOOKUP($B$5,标准坦克设计!$B$24:$U$30,MATCH("对"&amp;LEFT($C$5,2)&amp;"输出",标准坦克设计!$B$23:$U$23,0)))*(VLOOKUP($B210,INDIRECT($B$5&amp;"生成成长"),3))*(VLOOKUP($B$5,标准坦克设计!$B$14:$K$20,9)/30))</f>
        <v>4.4152240796728099</v>
      </c>
      <c r="BH210" s="173">
        <f ca="1">(VLOOKUP(BH$72,INDIRECT($C$5&amp;"生成成长"),2))/((VLOOKUP($B210,INDIRECT($B$5&amp;"生成成长"),4))/(VLOOKUP(BH$72,INDIRECT($C$5&amp;"生成成长"),5))*(VLOOKUP($B$5,标准坦克设计!$B$24:$U$30,MATCH("对"&amp;LEFT($C$5,2)&amp;"输出",标准坦克设计!$B$23:$U$23,0)))*(VLOOKUP($B210,INDIRECT($B$5&amp;"生成成长"),3))*(VLOOKUP($B$5,标准坦克设计!$B$14:$K$20,9)/30))</f>
        <v>2.1341250903017146</v>
      </c>
      <c r="BI210" s="173">
        <f ca="1">(VLOOKUP(BI$72,INDIRECT($C$5&amp;"生成成长"),2))/((VLOOKUP($B210,INDIRECT($B$5&amp;"生成成长"),4))/(VLOOKUP(BI$72,INDIRECT($C$5&amp;"生成成长"),5))*(VLOOKUP($B$5,标准坦克设计!$B$24:$U$30,MATCH("对"&amp;LEFT($C$5,2)&amp;"输出",标准坦克设计!$B$23:$U$23,0)))*(VLOOKUP($B210,INDIRECT($B$5&amp;"生成成长"),3))*(VLOOKUP($B$5,标准坦克设计!$B$14:$K$20,9)/30))</f>
        <v>2.4053459980530447</v>
      </c>
      <c r="BJ210" s="173">
        <f ca="1">(VLOOKUP(BJ$72,INDIRECT($C$5&amp;"生成成长"),2))/((VLOOKUP($B210,INDIRECT($B$5&amp;"生成成长"),4))/(VLOOKUP(BJ$72,INDIRECT($C$5&amp;"生成成长"),5))*(VLOOKUP($B$5,标准坦克设计!$B$24:$U$30,MATCH("对"&amp;LEFT($C$5,2)&amp;"输出",标准坦克设计!$B$23:$U$23,0)))*(VLOOKUP($B210,INDIRECT($B$5&amp;"生成成长"),3))*(VLOOKUP($B$5,标准坦克设计!$B$14:$K$20,9)/30))</f>
        <v>2.6927860963011314</v>
      </c>
      <c r="BK210" s="173">
        <f ca="1">(VLOOKUP(BK$72,INDIRECT($C$5&amp;"生成成长"),2))/((VLOOKUP($B210,INDIRECT($B$5&amp;"生成成长"),4))/(VLOOKUP(BK$72,INDIRECT($C$5&amp;"生成成长"),5))*(VLOOKUP($B$5,标准坦克设计!$B$24:$U$30,MATCH("对"&amp;LEFT($C$5,2)&amp;"输出",标准坦克设计!$B$23:$U$23,0)))*(VLOOKUP($B210,INDIRECT($B$5&amp;"生成成长"),3))*(VLOOKUP($B$5,标准坦克设计!$B$14:$K$20,9)/30))</f>
        <v>2.996445385045976</v>
      </c>
      <c r="BL210" s="173">
        <f ca="1">(VLOOKUP(BL$72,INDIRECT($C$5&amp;"生成成长"),2))/((VLOOKUP($B210,INDIRECT($B$5&amp;"生成成长"),4))/(VLOOKUP(BL$72,INDIRECT($C$5&amp;"生成成长"),5))*(VLOOKUP($B$5,标准坦克设计!$B$24:$U$30,MATCH("对"&amp;LEFT($C$5,2)&amp;"输出",标准坦克设计!$B$23:$U$23,0)))*(VLOOKUP($B210,INDIRECT($B$5&amp;"生成成长"),3))*(VLOOKUP($B$5,标准坦克设计!$B$14:$K$20,9)/30))</f>
        <v>3.3163238642875781</v>
      </c>
      <c r="BM210" s="173">
        <f ca="1">(VLOOKUP(BM$72,INDIRECT($C$5&amp;"生成成长"),2))/((VLOOKUP($B210,INDIRECT($B$5&amp;"生成成长"),4))/(VLOOKUP(BM$72,INDIRECT($C$5&amp;"生成成长"),5))*(VLOOKUP($B$5,标准坦克设计!$B$24:$U$30,MATCH("对"&amp;LEFT($C$5,2)&amp;"输出",标准坦克设计!$B$23:$U$23,0)))*(VLOOKUP($B210,INDIRECT($B$5&amp;"生成成长"),3))*(VLOOKUP($B$5,标准坦克设计!$B$14:$K$20,9)/30))</f>
        <v>3.6524215340259363</v>
      </c>
      <c r="BN210" s="173">
        <f ca="1">(VLOOKUP(BN$72,INDIRECT($C$5&amp;"生成成长"),2))/((VLOOKUP($B210,INDIRECT($B$5&amp;"生成成长"),4))/(VLOOKUP(BN$72,INDIRECT($C$5&amp;"生成成长"),5))*(VLOOKUP($B$5,标准坦克设计!$B$24:$U$30,MATCH("对"&amp;LEFT($C$5,2)&amp;"输出",标准坦克设计!$B$23:$U$23,0)))*(VLOOKUP($B210,INDIRECT($B$5&amp;"生成成长"),3))*(VLOOKUP($B$5,标准坦克设计!$B$14:$K$20,9)/30))</f>
        <v>4.0047383942610519</v>
      </c>
      <c r="BO210" s="173">
        <f ca="1">(VLOOKUP(BO$72,INDIRECT($C$5&amp;"生成成长"),2))/((VLOOKUP($B210,INDIRECT($B$5&amp;"生成成长"),4))/(VLOOKUP(BO$72,INDIRECT($C$5&amp;"生成成长"),5))*(VLOOKUP($B$5,标准坦克设计!$B$24:$U$30,MATCH("对"&amp;LEFT($C$5,2)&amp;"输出",标准坦克设计!$B$23:$U$23,0)))*(VLOOKUP($B210,INDIRECT($B$5&amp;"生成成长"),3))*(VLOOKUP($B$5,标准坦克设计!$B$14:$K$20,9)/30))</f>
        <v>4.3732744449929255</v>
      </c>
      <c r="BP210" s="173">
        <f ca="1">(VLOOKUP(BP$72,INDIRECT($C$5&amp;"生成成长"),2))/((VLOOKUP($B210,INDIRECT($B$5&amp;"生成成长"),4))/(VLOOKUP(BP$72,INDIRECT($C$5&amp;"生成成长"),5))*(VLOOKUP($B$5,标准坦克设计!$B$24:$U$30,MATCH("对"&amp;LEFT($C$5,2)&amp;"输出",标准坦克设计!$B$23:$U$23,0)))*(VLOOKUP($B210,INDIRECT($B$5&amp;"生成成长"),3))*(VLOOKUP($B$5,标准坦克设计!$B$14:$K$20,9)/30))</f>
        <v>4.7580296862215565</v>
      </c>
      <c r="BQ210" s="173">
        <f ca="1">(VLOOKUP(BQ$72,INDIRECT($C$5&amp;"生成成长"),2))/((VLOOKUP($B210,INDIRECT($B$5&amp;"生成成长"),4))/(VLOOKUP(BQ$72,INDIRECT($C$5&amp;"生成成长"),5))*(VLOOKUP($B$5,标准坦克设计!$B$24:$U$30,MATCH("对"&amp;LEFT($C$5,2)&amp;"输出",标准坦克设计!$B$23:$U$23,0)))*(VLOOKUP($B210,INDIRECT($B$5&amp;"生成成长"),3))*(VLOOKUP($B$5,标准坦克设计!$B$14:$K$20,9)/30))</f>
        <v>5.1590041179469441</v>
      </c>
      <c r="BR210" s="173">
        <f ca="1">(VLOOKUP(BR$72,INDIRECT($C$5&amp;"生成成长"),2))/((VLOOKUP($B210,INDIRECT($B$5&amp;"生成成长"),4))/(VLOOKUP(BR$72,INDIRECT($C$5&amp;"生成成长"),5))*(VLOOKUP($B$5,标准坦克设计!$B$24:$U$30,MATCH("对"&amp;LEFT($C$5,2)&amp;"输出",标准坦克设计!$B$23:$U$23,0)))*(VLOOKUP($B210,INDIRECT($B$5&amp;"生成成长"),3))*(VLOOKUP($B$5,标准坦克设计!$B$14:$K$20,9)/30))</f>
        <v>5.6235537716812258</v>
      </c>
      <c r="BS210" s="173">
        <f ca="1">(VLOOKUP(BS$72,INDIRECT($C$5&amp;"生成成长"),2))/((VLOOKUP($B210,INDIRECT($B$5&amp;"生成成长"),4))/(VLOOKUP(BS$72,INDIRECT($C$5&amp;"生成成长"),5))*(VLOOKUP($B$5,标准坦克设计!$B$24:$U$30,MATCH("对"&amp;LEFT($C$5,2)&amp;"输出",标准坦克设计!$B$23:$U$23,0)))*(VLOOKUP($B210,INDIRECT($B$5&amp;"生成成长"),3))*(VLOOKUP($B$5,标准坦克设计!$B$14:$K$20,9)/30))</f>
        <v>6.1081271173868128</v>
      </c>
      <c r="BT210" s="173">
        <f ca="1">(VLOOKUP(BT$72,INDIRECT($C$5&amp;"生成成长"),2))/((VLOOKUP($B210,INDIRECT($B$5&amp;"生成成长"),4))/(VLOOKUP(BT$72,INDIRECT($C$5&amp;"生成成长"),5))*(VLOOKUP($B$5,标准坦克设计!$B$24:$U$30,MATCH("对"&amp;LEFT($C$5,2)&amp;"输出",标准坦克设计!$B$23:$U$23,0)))*(VLOOKUP($B210,INDIRECT($B$5&amp;"生成成长"),3))*(VLOOKUP($B$5,标准坦克设计!$B$14:$K$20,9)/30))</f>
        <v>6.612724155063705</v>
      </c>
      <c r="BU210" s="173">
        <f ca="1">(VLOOKUP(BU$72,INDIRECT($C$5&amp;"生成成长"),2))/((VLOOKUP($B210,INDIRECT($B$5&amp;"生成成长"),4))/(VLOOKUP(BU$72,INDIRECT($C$5&amp;"生成成长"),5))*(VLOOKUP($B$5,标准坦克设计!$B$24:$U$30,MATCH("对"&amp;LEFT($C$5,2)&amp;"输出",标准坦克设计!$B$23:$U$23,0)))*(VLOOKUP($B210,INDIRECT($B$5&amp;"生成成长"),3))*(VLOOKUP($B$5,标准坦克设计!$B$14:$K$20,9)/30))</f>
        <v>7.1373448847119034</v>
      </c>
      <c r="BV210" s="173">
        <f ca="1">(VLOOKUP(BV$72,INDIRECT($C$5&amp;"生成成长"),2))/((VLOOKUP($B210,INDIRECT($B$5&amp;"生成成长"),4))/(VLOOKUP(BV$72,INDIRECT($C$5&amp;"生成成长"),5))*(VLOOKUP($B$5,标准坦克设计!$B$24:$U$30,MATCH("对"&amp;LEFT($C$5,2)&amp;"输出",标准坦克设计!$B$23:$U$23,0)))*(VLOOKUP($B210,INDIRECT($B$5&amp;"生成成长"),3))*(VLOOKUP($B$5,标准坦克设计!$B$14:$K$20,9)/30))</f>
        <v>7.681989306331408</v>
      </c>
      <c r="BW210" s="173">
        <f ca="1">(VLOOKUP(BW$72,INDIRECT($C$5&amp;"生成成长"),2))/((VLOOKUP($B210,INDIRECT($B$5&amp;"生成成长"),4))/(VLOOKUP(BW$72,INDIRECT($C$5&amp;"生成成长"),5))*(VLOOKUP($B$5,标准坦克设计!$B$24:$U$30,MATCH("对"&amp;LEFT($C$5,2)&amp;"输出",标准坦克设计!$B$23:$U$23,0)))*(VLOOKUP($B210,INDIRECT($B$5&amp;"生成成长"),3))*(VLOOKUP($B$5,标准坦克设计!$B$14:$K$20,9)/30))</f>
        <v>3.5010424227228683</v>
      </c>
      <c r="BX210" s="173">
        <f ca="1">(VLOOKUP(BX$72,INDIRECT($C$5&amp;"生成成长"),2))/((VLOOKUP($B210,INDIRECT($B$5&amp;"生成成长"),4))/(VLOOKUP(BX$72,INDIRECT($C$5&amp;"生成成长"),5))*(VLOOKUP($B$5,标准坦克设计!$B$24:$U$30,MATCH("对"&amp;LEFT($C$5,2)&amp;"输出",标准坦克设计!$B$23:$U$23,0)))*(VLOOKUP($B210,INDIRECT($B$5&amp;"生成成长"),3))*(VLOOKUP($B$5,标准坦克设计!$B$14:$K$20,9)/30))</f>
        <v>3.8854973085719293</v>
      </c>
      <c r="BY210" s="173">
        <f ca="1">(VLOOKUP(BY$72,INDIRECT($C$5&amp;"生成成长"),2))/((VLOOKUP($B210,INDIRECT($B$5&amp;"生成成长"),4))/(VLOOKUP(BY$72,INDIRECT($C$5&amp;"生成成长"),5))*(VLOOKUP($B$5,标准坦克设计!$B$24:$U$30,MATCH("对"&amp;LEFT($C$5,2)&amp;"输出",标准坦克设计!$B$23:$U$23,0)))*(VLOOKUP($B210,INDIRECT($B$5&amp;"生成成长"),3))*(VLOOKUP($B$5,标准坦克设计!$B$14:$K$20,9)/30))</f>
        <v>4.2899758863922957</v>
      </c>
      <c r="BZ210" s="173">
        <f ca="1">(VLOOKUP(BZ$72,INDIRECT($C$5&amp;"生成成长"),2))/((VLOOKUP($B210,INDIRECT($B$5&amp;"生成成长"),4))/(VLOOKUP(BZ$72,INDIRECT($C$5&amp;"生成成长"),5))*(VLOOKUP($B$5,标准坦克设计!$B$24:$U$30,MATCH("对"&amp;LEFT($C$5,2)&amp;"输出",标准坦克设计!$B$23:$U$23,0)))*(VLOOKUP($B210,INDIRECT($B$5&amp;"生成成长"),3))*(VLOOKUP($B$5,标准坦克设计!$B$14:$K$20,9)/30))</f>
        <v>4.7144781561839659</v>
      </c>
      <c r="CA210" s="173">
        <f ca="1">(VLOOKUP(CA$72,INDIRECT($C$5&amp;"生成成长"),2))/((VLOOKUP($B210,INDIRECT($B$5&amp;"生成成长"),4))/(VLOOKUP(CA$72,INDIRECT($C$5&amp;"生成成长"),5))*(VLOOKUP($B$5,标准坦克设计!$B$24:$U$30,MATCH("对"&amp;LEFT($C$5,2)&amp;"输出",标准坦克设计!$B$23:$U$23,0)))*(VLOOKUP($B210,INDIRECT($B$5&amp;"生成成长"),3))*(VLOOKUP($B$5,标准坦克设计!$B$14:$K$20,9)/30))</f>
        <v>5.1590041179469441</v>
      </c>
      <c r="CB210" s="173">
        <f ca="1">(VLOOKUP(CB$72,INDIRECT($C$5&amp;"生成成长"),2))/((VLOOKUP($B210,INDIRECT($B$5&amp;"生成成长"),4))/(VLOOKUP(CB$72,INDIRECT($C$5&amp;"生成成长"),5))*(VLOOKUP($B$5,标准坦克设计!$B$24:$U$30,MATCH("对"&amp;LEFT($C$5,2)&amp;"输出",标准坦克设计!$B$23:$U$23,0)))*(VLOOKUP($B210,INDIRECT($B$5&amp;"生成成长"),3))*(VLOOKUP($B$5,标准坦克设计!$B$14:$K$20,9)/30))</f>
        <v>5.6235537716812258</v>
      </c>
      <c r="CC210" s="173">
        <f ca="1">(VLOOKUP(CC$72,INDIRECT($C$5&amp;"生成成长"),2))/((VLOOKUP($B210,INDIRECT($B$5&amp;"生成成长"),4))/(VLOOKUP(CC$72,INDIRECT($C$5&amp;"生成成长"),5))*(VLOOKUP($B$5,标准坦克设计!$B$24:$U$30,MATCH("对"&amp;LEFT($C$5,2)&amp;"输出",标准坦克设计!$B$23:$U$23,0)))*(VLOOKUP($B210,INDIRECT($B$5&amp;"生成成长"),3))*(VLOOKUP($B$5,标准坦克设计!$B$14:$K$20,9)/30))</f>
        <v>6.1081271173868128</v>
      </c>
      <c r="CD210" s="173">
        <f ca="1">(VLOOKUP(CD$72,INDIRECT($C$5&amp;"生成成长"),2))/((VLOOKUP($B210,INDIRECT($B$5&amp;"生成成长"),4))/(VLOOKUP(CD$72,INDIRECT($C$5&amp;"生成成长"),5))*(VLOOKUP($B$5,标准坦克设计!$B$24:$U$30,MATCH("对"&amp;LEFT($C$5,2)&amp;"输出",标准坦克设计!$B$23:$U$23,0)))*(VLOOKUP($B210,INDIRECT($B$5&amp;"生成成长"),3))*(VLOOKUP($B$5,标准坦克设计!$B$14:$K$20,9)/30))</f>
        <v>6.612724155063705</v>
      </c>
      <c r="CE210" s="173">
        <f ca="1">(VLOOKUP(CE$72,INDIRECT($C$5&amp;"生成成长"),2))/((VLOOKUP($B210,INDIRECT($B$5&amp;"生成成长"),4))/(VLOOKUP(CE$72,INDIRECT($C$5&amp;"生成成长"),5))*(VLOOKUP($B$5,标准坦克设计!$B$24:$U$30,MATCH("对"&amp;LEFT($C$5,2)&amp;"输出",标准坦克设计!$B$23:$U$23,0)))*(VLOOKUP($B210,INDIRECT($B$5&amp;"生成成长"),3))*(VLOOKUP($B$5,标准坦克设计!$B$14:$K$20,9)/30))</f>
        <v>7.1373448847119034</v>
      </c>
      <c r="CF210" s="173">
        <f ca="1">(VLOOKUP(CF$72,INDIRECT($C$5&amp;"生成成长"),2))/((VLOOKUP($B210,INDIRECT($B$5&amp;"生成成长"),4))/(VLOOKUP(CF$72,INDIRECT($C$5&amp;"生成成长"),5))*(VLOOKUP($B$5,标准坦克设计!$B$24:$U$30,MATCH("对"&amp;LEFT($C$5,2)&amp;"输出",标准坦克设计!$B$23:$U$23,0)))*(VLOOKUP($B210,INDIRECT($B$5&amp;"生成成长"),3))*(VLOOKUP($B$5,标准坦克设计!$B$14:$K$20,9)/30))</f>
        <v>7.681989306331408</v>
      </c>
      <c r="CG210" s="173">
        <f ca="1">(VLOOKUP(CG$72,INDIRECT($C$5&amp;"生成成长"),2))/((VLOOKUP($B210,INDIRECT($B$5&amp;"生成成长"),4))/(VLOOKUP(CG$72,INDIRECT($C$5&amp;"生成成长"),5))*(VLOOKUP($B$5,标准坦克设计!$B$24:$U$30,MATCH("对"&amp;LEFT($C$5,2)&amp;"输出",标准坦克设计!$B$23:$U$23,0)))*(VLOOKUP($B210,INDIRECT($B$5&amp;"生成成长"),3))*(VLOOKUP($B$5,标准坦克设计!$B$14:$K$20,9)/30))</f>
        <v>8.2466574199222151</v>
      </c>
      <c r="CH210" s="173">
        <f ca="1">(VLOOKUP(CH$72,INDIRECT($C$5&amp;"生成成长"),2))/((VLOOKUP($B210,INDIRECT($B$5&amp;"生成成长"),4))/(VLOOKUP(CH$72,INDIRECT($C$5&amp;"生成成长"),5))*(VLOOKUP($B$5,标准坦克设计!$B$24:$U$30,MATCH("对"&amp;LEFT($C$5,2)&amp;"输出",标准坦克设计!$B$23:$U$23,0)))*(VLOOKUP($B210,INDIRECT($B$5&amp;"生成成长"),3))*(VLOOKUP($B$5,标准坦克设计!$B$14:$K$20,9)/30))</f>
        <v>8.8313492254843293</v>
      </c>
      <c r="CI210" s="173">
        <f ca="1">(VLOOKUP(CI$72,INDIRECT($C$5&amp;"生成成长"),2))/((VLOOKUP($B210,INDIRECT($B$5&amp;"生成成长"),4))/(VLOOKUP(CI$72,INDIRECT($C$5&amp;"生成成长"),5))*(VLOOKUP($B$5,标准坦克设计!$B$24:$U$30,MATCH("对"&amp;LEFT($C$5,2)&amp;"输出",标准坦克设计!$B$23:$U$23,0)))*(VLOOKUP($B210,INDIRECT($B$5&amp;"生成成长"),3))*(VLOOKUP($B$5,标准坦克设计!$B$14:$K$20,9)/30))</f>
        <v>9.4976375758295113</v>
      </c>
      <c r="CJ210" s="173">
        <f ca="1">(VLOOKUP(CJ$72,INDIRECT($C$5&amp;"生成成长"),2))/((VLOOKUP($B210,INDIRECT($B$5&amp;"生成成长"),4))/(VLOOKUP(CJ$72,INDIRECT($C$5&amp;"生成成长"),5))*(VLOOKUP($B$5,标准坦克设计!$B$24:$U$30,MATCH("对"&amp;LEFT($C$5,2)&amp;"输出",标准坦克设计!$B$23:$U$23,0)))*(VLOOKUP($B210,INDIRECT($B$5&amp;"生成成长"),3))*(VLOOKUP($B$5,标准坦克设计!$B$14:$K$20,9)/30))</f>
        <v>10.188154593459972</v>
      </c>
      <c r="CK210" s="173">
        <f ca="1">(VLOOKUP(CK$72,INDIRECT($C$5&amp;"生成成长"),2))/((VLOOKUP($B210,INDIRECT($B$5&amp;"生成成长"),4))/(VLOOKUP(CK$72,INDIRECT($C$5&amp;"生成成长"),5))*(VLOOKUP($B$5,标准坦克设计!$B$24:$U$30,MATCH("对"&amp;LEFT($C$5,2)&amp;"输出",标准坦克设计!$B$23:$U$23,0)))*(VLOOKUP($B210,INDIRECT($B$5&amp;"生成成长"),3))*(VLOOKUP($B$5,标准坦克设计!$B$14:$K$20,9)/30))</f>
        <v>10.902900278375713</v>
      </c>
      <c r="CL210" s="173">
        <f ca="1">(VLOOKUP(CL$72,INDIRECT($C$5&amp;"生成成长"),2))/((VLOOKUP($B210,INDIRECT($B$5&amp;"生成成长"),4))/(VLOOKUP(CL$72,INDIRECT($C$5&amp;"生成成长"),5))*(VLOOKUP($B$5,标准坦克设计!$B$24:$U$30,MATCH("对"&amp;LEFT($C$5,2)&amp;"输出",标准坦克设计!$B$23:$U$23,0)))*(VLOOKUP($B210,INDIRECT($B$5&amp;"生成成长"),3))*(VLOOKUP($B$5,标准坦克设计!$B$14:$K$20,9)/30))</f>
        <v>11.641874630576734</v>
      </c>
      <c r="CM210" s="173">
        <f ca="1">(VLOOKUP(CM$72,INDIRECT($C$5&amp;"生成成长"),2))/((VLOOKUP($B210,INDIRECT($B$5&amp;"生成成长"),4))/(VLOOKUP(CM$72,INDIRECT($C$5&amp;"生成成长"),5))*(VLOOKUP($B$5,标准坦克设计!$B$24:$U$30,MATCH("对"&amp;LEFT($C$5,2)&amp;"输出",标准坦克设计!$B$23:$U$23,0)))*(VLOOKUP($B210,INDIRECT($B$5&amp;"生成成长"),3))*(VLOOKUP($B$5,标准坦克设计!$B$14:$K$20,9)/30))</f>
        <v>12.405077650063037</v>
      </c>
      <c r="CN210" s="173">
        <f ca="1">(VLOOKUP(CN$72,INDIRECT($C$5&amp;"生成成长"),2))/((VLOOKUP($B210,INDIRECT($B$5&amp;"生成成长"),4))/(VLOOKUP(CN$72,INDIRECT($C$5&amp;"生成成长"),5))*(VLOOKUP($B$5,标准坦克设计!$B$24:$U$30,MATCH("对"&amp;LEFT($C$5,2)&amp;"输出",标准坦克设计!$B$23:$U$23,0)))*(VLOOKUP($B210,INDIRECT($B$5&amp;"生成成长"),3))*(VLOOKUP($B$5,标准坦克设计!$B$14:$K$20,9)/30))</f>
        <v>13.192509336834613</v>
      </c>
      <c r="CO210" s="173">
        <f ca="1">(VLOOKUP(CO$72,INDIRECT($C$5&amp;"生成成长"),2))/((VLOOKUP($B210,INDIRECT($B$5&amp;"生成成长"),4))/(VLOOKUP(CO$72,INDIRECT($C$5&amp;"生成成长"),5))*(VLOOKUP($B$5,标准坦克设计!$B$24:$U$30,MATCH("对"&amp;LEFT($C$5,2)&amp;"输出",标准坦克设计!$B$23:$U$23,0)))*(VLOOKUP($B210,INDIRECT($B$5&amp;"生成成长"),3))*(VLOOKUP($B$5,标准坦克设计!$B$14:$K$20,9)/30))</f>
        <v>5.9118949360680224</v>
      </c>
      <c r="CP210" s="173">
        <f ca="1">(VLOOKUP(CP$72,INDIRECT($C$5&amp;"生成成长"),2))/((VLOOKUP($B210,INDIRECT($B$5&amp;"生成成长"),4))/(VLOOKUP(CP$72,INDIRECT($C$5&amp;"生成成长"),5))*(VLOOKUP($B$5,标准坦克设计!$B$24:$U$30,MATCH("对"&amp;LEFT($C$5,2)&amp;"输出",标准坦克设计!$B$23:$U$23,0)))*(VLOOKUP($B210,INDIRECT($B$5&amp;"生成成长"),3))*(VLOOKUP($B$5,标准坦克设计!$B$14:$K$20,9)/30))</f>
        <v>6.4592425561036517</v>
      </c>
      <c r="CQ210" s="173">
        <f ca="1">(VLOOKUP(CQ$72,INDIRECT($C$5&amp;"生成成长"),2))/((VLOOKUP($B210,INDIRECT($B$5&amp;"生成成长"),4))/(VLOOKUP(CQ$72,INDIRECT($C$5&amp;"生成成长"),5))*(VLOOKUP($B$5,标准坦克设计!$B$24:$U$30,MATCH("对"&amp;LEFT($C$5,2)&amp;"输出",标准坦克设计!$B$23:$U$23,0)))*(VLOOKUP($B210,INDIRECT($B$5&amp;"生成成长"),3))*(VLOOKUP($B$5,标准坦克设计!$B$14:$K$20,9)/30))</f>
        <v>7.0308188434245595</v>
      </c>
      <c r="CR210" s="173">
        <f ca="1">(VLOOKUP(CR$72,INDIRECT($C$5&amp;"生成成长"),2))/((VLOOKUP($B210,INDIRECT($B$5&amp;"生成成长"),4))/(VLOOKUP(CR$72,INDIRECT($C$5&amp;"生成成长"),5))*(VLOOKUP($B$5,标准坦克设计!$B$24:$U$30,MATCH("对"&amp;LEFT($C$5,2)&amp;"输出",标准坦克设计!$B$23:$U$23,0)))*(VLOOKUP($B210,INDIRECT($B$5&amp;"生成成长"),3))*(VLOOKUP($B$5,标准坦克设计!$B$14:$K$20,9)/30))</f>
        <v>7.6266237980307476</v>
      </c>
      <c r="CS210" s="173">
        <f ca="1">(VLOOKUP(CS$72,INDIRECT($C$5&amp;"生成成长"),2))/((VLOOKUP($B210,INDIRECT($B$5&amp;"生成成长"),4))/(VLOOKUP(CS$72,INDIRECT($C$5&amp;"生成成长"),5))*(VLOOKUP($B$5,标准坦克设计!$B$24:$U$30,MATCH("对"&amp;LEFT($C$5,2)&amp;"输出",标准坦克设计!$B$23:$U$23,0)))*(VLOOKUP($B210,INDIRECT($B$5&amp;"生成成长"),3))*(VLOOKUP($B$5,标准坦克设计!$B$14:$K$20,9)/30))</f>
        <v>8.2466574199222151</v>
      </c>
      <c r="CT210" s="173">
        <f ca="1">(VLOOKUP(CT$72,INDIRECT($C$5&amp;"生成成长"),2))/((VLOOKUP($B210,INDIRECT($B$5&amp;"生成成长"),4))/(VLOOKUP(CT$72,INDIRECT($C$5&amp;"生成成长"),5))*(VLOOKUP($B$5,标准坦克设计!$B$24:$U$30,MATCH("对"&amp;LEFT($C$5,2)&amp;"输出",标准坦克设计!$B$23:$U$23,0)))*(VLOOKUP($B210,INDIRECT($B$5&amp;"生成成长"),3))*(VLOOKUP($B$5,标准坦克设计!$B$14:$K$20,9)/30))</f>
        <v>8.8909197090989629</v>
      </c>
      <c r="CU210" s="173">
        <f ca="1">(VLOOKUP(CU$72,INDIRECT($C$5&amp;"生成成长"),2))/((VLOOKUP($B210,INDIRECT($B$5&amp;"生成成长"),4))/(VLOOKUP(CU$72,INDIRECT($C$5&amp;"生成成长"),5))*(VLOOKUP($B$5,标准坦克设计!$B$24:$U$30,MATCH("对"&amp;LEFT($C$5,2)&amp;"输出",标准坦克设计!$B$23:$U$23,0)))*(VLOOKUP($B210,INDIRECT($B$5&amp;"生成成长"),3))*(VLOOKUP($B$5,标准坦克设计!$B$14:$K$20,9)/30))</f>
        <v>9.5594106655609874</v>
      </c>
      <c r="CV210" s="173">
        <f ca="1">(VLOOKUP(CV$72,INDIRECT($C$5&amp;"生成成长"),2))/((VLOOKUP($B210,INDIRECT($B$5&amp;"生成成长"),4))/(VLOOKUP(CV$72,INDIRECT($C$5&amp;"生成成长"),5))*(VLOOKUP($B$5,标准坦克设计!$B$24:$U$30,MATCH("对"&amp;LEFT($C$5,2)&amp;"输出",标准坦克设计!$B$23:$U$23,0)))*(VLOOKUP($B210,INDIRECT($B$5&amp;"生成成长"),3))*(VLOOKUP($B$5,标准坦克设计!$B$14:$K$20,9)/30))</f>
        <v>10.252130289308294</v>
      </c>
      <c r="CW210" s="173">
        <f ca="1">(VLOOKUP(CW$72,INDIRECT($C$5&amp;"生成成长"),2))/((VLOOKUP($B210,INDIRECT($B$5&amp;"生成成长"),4))/(VLOOKUP(CW$72,INDIRECT($C$5&amp;"生成成长"),5))*(VLOOKUP($B$5,标准坦克设计!$B$24:$U$30,MATCH("对"&amp;LEFT($C$5,2)&amp;"输出",标准坦克设计!$B$23:$U$23,0)))*(VLOOKUP($B210,INDIRECT($B$5&amp;"生成成长"),3))*(VLOOKUP($B$5,标准坦克设计!$B$14:$K$20,9)/30))</f>
        <v>10.969078580340877</v>
      </c>
      <c r="CX210" s="173">
        <f ca="1">(VLOOKUP(CX$72,INDIRECT($C$5&amp;"生成成长"),2))/((VLOOKUP($B210,INDIRECT($B$5&amp;"生成成长"),4))/(VLOOKUP(CX$72,INDIRECT($C$5&amp;"生成成长"),5))*(VLOOKUP($B$5,标准坦克设计!$B$24:$U$30,MATCH("对"&amp;LEFT($C$5,2)&amp;"输出",标准坦克设计!$B$23:$U$23,0)))*(VLOOKUP($B210,INDIRECT($B$5&amp;"生成成长"),3))*(VLOOKUP($B$5,标准坦克设计!$B$14:$K$20,9)/30))</f>
        <v>11.710255538658743</v>
      </c>
      <c r="CY210" s="173">
        <f ca="1">(VLOOKUP(CY$72,INDIRECT($C$5&amp;"生成成长"),2))/((VLOOKUP($B210,INDIRECT($B$5&amp;"生成成长"),4))/(VLOOKUP(CY$72,INDIRECT($C$5&amp;"生成成长"),5))*(VLOOKUP($B$5,标准坦克设计!$B$24:$U$30,MATCH("对"&amp;LEFT($C$5,2)&amp;"输出",标准坦克设计!$B$23:$U$23,0)))*(VLOOKUP($B210,INDIRECT($B$5&amp;"生成成长"),3))*(VLOOKUP($B$5,标准坦克设计!$B$14:$K$20,9)/30))</f>
        <v>12.475661164261885</v>
      </c>
      <c r="CZ210" s="173">
        <f ca="1">(VLOOKUP(CZ$72,INDIRECT($C$5&amp;"生成成长"),2))/((VLOOKUP($B210,INDIRECT($B$5&amp;"生成成长"),4))/(VLOOKUP(CZ$72,INDIRECT($C$5&amp;"生成成长"),5))*(VLOOKUP($B$5,标准坦克设计!$B$24:$U$30,MATCH("对"&amp;LEFT($C$5,2)&amp;"输出",标准坦克设计!$B$23:$U$23,0)))*(VLOOKUP($B210,INDIRECT($B$5&amp;"生成成长"),3))*(VLOOKUP($B$5,标准坦克设计!$B$14:$K$20,9)/30))</f>
        <v>13.265295457150312</v>
      </c>
      <c r="DA210" s="173">
        <f ca="1">(VLOOKUP(DA$72,INDIRECT($C$5&amp;"生成成长"),2))/((VLOOKUP($B210,INDIRECT($B$5&amp;"生成成长"),4))/(VLOOKUP(DA$72,INDIRECT($C$5&amp;"生成成长"),5))*(VLOOKUP($B$5,标准坦克设计!$B$24:$U$30,MATCH("对"&amp;LEFT($C$5,2)&amp;"输出",标准坦克设计!$B$23:$U$23,0)))*(VLOOKUP($B210,INDIRECT($B$5&amp;"生成成长"),3))*(VLOOKUP($B$5,标准坦克设计!$B$14:$K$20,9)/30))</f>
        <v>14.079158417324011</v>
      </c>
      <c r="DB210" s="173">
        <f ca="1">(VLOOKUP(DB$72,INDIRECT($C$5&amp;"生成成长"),2))/((VLOOKUP($B210,INDIRECT($B$5&amp;"生成成长"),4))/(VLOOKUP(DB$72,INDIRECT($C$5&amp;"生成成长"),5))*(VLOOKUP($B$5,标准坦克设计!$B$24:$U$30,MATCH("对"&amp;LEFT($C$5,2)&amp;"输出",标准坦克设计!$B$23:$U$23,0)))*(VLOOKUP($B210,INDIRECT($B$5&amp;"生成成长"),3))*(VLOOKUP($B$5,标准坦克设计!$B$14:$K$20,9)/30))</f>
        <v>14.917250044782993</v>
      </c>
      <c r="DC210" s="173">
        <f ca="1">(VLOOKUP(DC$72,INDIRECT($C$5&amp;"生成成长"),2))/((VLOOKUP($B210,INDIRECT($B$5&amp;"生成成长"),4))/(VLOOKUP(DC$72,INDIRECT($C$5&amp;"生成成长"),5))*(VLOOKUP($B$5,标准坦克设计!$B$24:$U$30,MATCH("对"&amp;LEFT($C$5,2)&amp;"输出",标准坦克设计!$B$23:$U$23,0)))*(VLOOKUP($B210,INDIRECT($B$5&amp;"生成成长"),3))*(VLOOKUP($B$5,标准坦克设计!$B$14:$K$20,9)/30))</f>
        <v>15.859164515113191</v>
      </c>
      <c r="DD210" s="173">
        <f ca="1">(VLOOKUP(DD$72,INDIRECT($C$5&amp;"生成成长"),2))/((VLOOKUP($B210,INDIRECT($B$5&amp;"生成成长"),4))/(VLOOKUP(DD$72,INDIRECT($C$5&amp;"生成成长"),5))*(VLOOKUP($B$5,标准坦克设计!$B$24:$U$30,MATCH("对"&amp;LEFT($C$5,2)&amp;"输出",标准坦克设计!$B$23:$U$23,0)))*(VLOOKUP($B210,INDIRECT($B$5&amp;"生成成长"),3))*(VLOOKUP($B$5,标准坦克设计!$B$14:$K$20,9)/30))</f>
        <v>16.82991310188207</v>
      </c>
      <c r="DE210" s="173">
        <f ca="1">(VLOOKUP(DE$72,INDIRECT($C$5&amp;"生成成长"),2))/((VLOOKUP($B210,INDIRECT($B$5&amp;"生成成长"),4))/(VLOOKUP(DE$72,INDIRECT($C$5&amp;"生成成长"),5))*(VLOOKUP($B$5,标准坦克设计!$B$24:$U$30,MATCH("对"&amp;LEFT($C$5,2)&amp;"输出",标准坦克设计!$B$23:$U$23,0)))*(VLOOKUP($B210,INDIRECT($B$5&amp;"生成成长"),3))*(VLOOKUP($B$5,标准坦克设计!$B$14:$K$20,9)/30))</f>
        <v>17.829495805089632</v>
      </c>
      <c r="DF210" s="173">
        <f ca="1">(VLOOKUP(DF$72,INDIRECT($C$5&amp;"生成成长"),2))/((VLOOKUP($B210,INDIRECT($B$5&amp;"生成成长"),4))/(VLOOKUP(DF$72,INDIRECT($C$5&amp;"生成成长"),5))*(VLOOKUP($B$5,标准坦克设计!$B$24:$U$30,MATCH("对"&amp;LEFT($C$5,2)&amp;"输出",标准坦克设计!$B$23:$U$23,0)))*(VLOOKUP($B210,INDIRECT($B$5&amp;"生成成长"),3))*(VLOOKUP($B$5,标准坦克设计!$B$14:$K$20,9)/30))</f>
        <v>18.857912624735864</v>
      </c>
      <c r="DG210" s="173">
        <f ca="1">(VLOOKUP(DG$72,INDIRECT($C$5&amp;"生成成长"),2))/((VLOOKUP($B210,INDIRECT($B$5&amp;"生成成长"),4))/(VLOOKUP(DG$72,INDIRECT($C$5&amp;"生成成长"),5))*(VLOOKUP($B$5,标准坦克设计!$B$24:$U$30,MATCH("对"&amp;LEFT($C$5,2)&amp;"输出",标准坦克设计!$B$23:$U$23,0)))*(VLOOKUP($B210,INDIRECT($B$5&amp;"生成成长"),3))*(VLOOKUP($B$5,标准坦克设计!$B$14:$K$20,9)/30))</f>
        <v>19.91516356082079</v>
      </c>
      <c r="DH210" s="173">
        <f ca="1">(VLOOKUP(DH$72,INDIRECT($C$5&amp;"生成成长"),2))/((VLOOKUP($B210,INDIRECT($B$5&amp;"生成成长"),4))/(VLOOKUP(DH$72,INDIRECT($C$5&amp;"生成成长"),5))*(VLOOKUP($B$5,标准坦克设计!$B$24:$U$30,MATCH("对"&amp;LEFT($C$5,2)&amp;"输出",标准坦克设计!$B$23:$U$23,0)))*(VLOOKUP($B210,INDIRECT($B$5&amp;"生成成长"),3))*(VLOOKUP($B$5,标准坦克设计!$B$14:$K$20,9)/30))</f>
        <v>21.001248613344384</v>
      </c>
      <c r="DI210" s="173">
        <f ca="1">(VLOOKUP(DI$72,INDIRECT($C$5&amp;"生成成长"),2))/((VLOOKUP($B210,INDIRECT($B$5&amp;"生成成长"),4))/(VLOOKUP(DI$72,INDIRECT($C$5&amp;"生成成长"),5))*(VLOOKUP($B$5,标准坦克设计!$B$24:$U$30,MATCH("对"&amp;LEFT($C$5,2)&amp;"输出",标准坦克设计!$B$23:$U$23,0)))*(VLOOKUP($B210,INDIRECT($B$5&amp;"生成成长"),3))*(VLOOKUP($B$5,标准坦克设计!$B$14:$K$20,9)/30))</f>
        <v>22.116167782306661</v>
      </c>
      <c r="DJ210" s="173">
        <f ca="1">(VLOOKUP(DJ$72,INDIRECT($C$5&amp;"生成成长"),2))/((VLOOKUP($B210,INDIRECT($B$5&amp;"生成成长"),4))/(VLOOKUP(DJ$72,INDIRECT($C$5&amp;"生成成长"),5))*(VLOOKUP($B$5,标准坦克设计!$B$24:$U$30,MATCH("对"&amp;LEFT($C$5,2)&amp;"输出",标准坦克设计!$B$23:$U$23,0)))*(VLOOKUP($B210,INDIRECT($B$5&amp;"生成成长"),3))*(VLOOKUP($B$5,标准坦克设计!$B$14:$K$20,9)/30))</f>
        <v>2.2227299272747407</v>
      </c>
      <c r="DK210" s="173">
        <f ca="1">(VLOOKUP(DK$72,INDIRECT($C$5&amp;"生成成长"),2))/((VLOOKUP($B210,INDIRECT($B$5&amp;"生成成长"),4))/(VLOOKUP(DK$72,INDIRECT($C$5&amp;"生成成长"),5))*(VLOOKUP($B$5,标准坦克设计!$B$24:$U$30,MATCH("对"&amp;LEFT($C$5,2)&amp;"输出",标准坦克设计!$B$23:$U$23,0)))*(VLOOKUP($B210,INDIRECT($B$5&amp;"生成成长"),3))*(VLOOKUP($B$5,标准坦克设计!$B$14:$K$20,9)/30))</f>
        <v>2.4993572318583226</v>
      </c>
      <c r="DL210" s="173">
        <f ca="1">(VLOOKUP(DL$72,INDIRECT($C$5&amp;"生成成长"),2))/((VLOOKUP($B210,INDIRECT($B$5&amp;"生成成长"),4))/(VLOOKUP(DL$72,INDIRECT($C$5&amp;"生成成长"),5))*(VLOOKUP($B$5,标准坦克设计!$B$24:$U$30,MATCH("对"&amp;LEFT($C$5,2)&amp;"输出",标准坦克设计!$B$23:$U$23,0)))*(VLOOKUP($B210,INDIRECT($B$5&amp;"生成成长"),3))*(VLOOKUP($B$5,标准坦克设计!$B$14:$K$20,9)/30))</f>
        <v>2.7922037269386619</v>
      </c>
      <c r="DM210" s="173">
        <f ca="1">(VLOOKUP(DM$72,INDIRECT($C$5&amp;"生成成长"),2))/((VLOOKUP($B210,INDIRECT($B$5&amp;"生成成长"),4))/(VLOOKUP(DM$72,INDIRECT($C$5&amp;"生成成长"),5))*(VLOOKUP($B$5,标准坦克设计!$B$24:$U$30,MATCH("对"&amp;LEFT($C$5,2)&amp;"输出",标准坦克设计!$B$23:$U$23,0)))*(VLOOKUP($B210,INDIRECT($B$5&amp;"生成成长"),3))*(VLOOKUP($B$5,标准坦克设计!$B$14:$K$20,9)/30))</f>
        <v>3.1012694125157592</v>
      </c>
      <c r="DN210" s="173">
        <f ca="1">(VLOOKUP(DN$72,INDIRECT($C$5&amp;"生成成长"),2))/((VLOOKUP($B210,INDIRECT($B$5&amp;"生成成长"),4))/(VLOOKUP(DN$72,INDIRECT($C$5&amp;"生成成长"),5))*(VLOOKUP($B$5,标准坦克设计!$B$24:$U$30,MATCH("对"&amp;LEFT($C$5,2)&amp;"输出",标准坦克设计!$B$23:$U$23,0)))*(VLOOKUP($B210,INDIRECT($B$5&amp;"生成成长"),3))*(VLOOKUP($B$5,标准坦克设计!$B$14:$K$20,9)/30))</f>
        <v>3.426554288589613</v>
      </c>
      <c r="DO210" s="173">
        <f ca="1">(VLOOKUP(DO$72,INDIRECT($C$5&amp;"生成成长"),2))/((VLOOKUP($B210,INDIRECT($B$5&amp;"生成成长"),4))/(VLOOKUP(DO$72,INDIRECT($C$5&amp;"生成成长"),5))*(VLOOKUP($B$5,标准坦克设计!$B$24:$U$30,MATCH("对"&amp;LEFT($C$5,2)&amp;"输出",标准坦克设计!$B$23:$U$23,0)))*(VLOOKUP($B210,INDIRECT($B$5&amp;"生成成长"),3))*(VLOOKUP($B$5,标准坦克设计!$B$14:$K$20,9)/30))</f>
        <v>3.7680583551602234</v>
      </c>
      <c r="DP210" s="173">
        <f ca="1">(VLOOKUP(DP$72,INDIRECT($C$5&amp;"生成成长"),2))/((VLOOKUP($B210,INDIRECT($B$5&amp;"生成成长"),4))/(VLOOKUP(DP$72,INDIRECT($C$5&amp;"生成成长"),5))*(VLOOKUP($B$5,标准坦克设计!$B$24:$U$30,MATCH("对"&amp;LEFT($C$5,2)&amp;"输出",标准坦克设计!$B$23:$U$23,0)))*(VLOOKUP($B210,INDIRECT($B$5&amp;"生成成长"),3))*(VLOOKUP($B$5,标准坦克设计!$B$14:$K$20,9)/30))</f>
        <v>4.125781612227593</v>
      </c>
      <c r="DQ210" s="173">
        <f ca="1">(VLOOKUP(DQ$72,INDIRECT($C$5&amp;"生成成长"),2))/((VLOOKUP($B210,INDIRECT($B$5&amp;"生成成长"),4))/(VLOOKUP(DQ$72,INDIRECT($C$5&amp;"生成成长"),5))*(VLOOKUP($B$5,标准坦克设计!$B$24:$U$30,MATCH("对"&amp;LEFT($C$5,2)&amp;"输出",标准坦克设计!$B$23:$U$23,0)))*(VLOOKUP($B210,INDIRECT($B$5&amp;"生成成长"),3))*(VLOOKUP($B$5,标准坦克设计!$B$14:$K$20,9)/30))</f>
        <v>4.4997240597917179</v>
      </c>
      <c r="DR210" s="173">
        <f ca="1">(VLOOKUP(DR$72,INDIRECT($C$5&amp;"生成成长"),2))/((VLOOKUP($B210,INDIRECT($B$5&amp;"生成成长"),4))/(VLOOKUP(DR$72,INDIRECT($C$5&amp;"生成成长"),5))*(VLOOKUP($B$5,标准坦克设计!$B$24:$U$30,MATCH("对"&amp;LEFT($C$5,2)&amp;"输出",标准坦克设计!$B$23:$U$23,0)))*(VLOOKUP($B210,INDIRECT($B$5&amp;"生成成长"),3))*(VLOOKUP($B$5,标准坦克设计!$B$14:$K$20,9)/30))</f>
        <v>4.8898856978526011</v>
      </c>
      <c r="DS210" s="173">
        <f ca="1">(VLOOKUP(DS$72,INDIRECT($C$5&amp;"生成成长"),2))/((VLOOKUP($B210,INDIRECT($B$5&amp;"生成成长"),4))/(VLOOKUP(DS$72,INDIRECT($C$5&amp;"生成成长"),5))*(VLOOKUP($B$5,标准坦克设计!$B$24:$U$30,MATCH("对"&amp;LEFT($C$5,2)&amp;"输出",标准坦克设计!$B$23:$U$23,0)))*(VLOOKUP($B210,INDIRECT($B$5&amp;"生成成长"),3))*(VLOOKUP($B$5,标准坦克设计!$B$14:$K$20,9)/30))</f>
        <v>5.2962665264102409</v>
      </c>
      <c r="DT210" s="173">
        <f ca="1">(VLOOKUP(DT$72,INDIRECT($C$5&amp;"生成成长"),2))/((VLOOKUP($B210,INDIRECT($B$5&amp;"生成成长"),4))/(VLOOKUP(DT$72,INDIRECT($C$5&amp;"生成成长"),5))*(VLOOKUP($B$5,标准坦克设计!$B$24:$U$30,MATCH("对"&amp;LEFT($C$5,2)&amp;"输出",标准坦克设计!$B$23:$U$23,0)))*(VLOOKUP($B210,INDIRECT($B$5&amp;"生成成长"),3))*(VLOOKUP($B$5,标准坦克设计!$B$14:$K$20,9)/30))</f>
        <v>5.8149802669269031</v>
      </c>
      <c r="DU210" s="173">
        <f ca="1">(VLOOKUP(DU$72,INDIRECT($C$5&amp;"生成成长"),2))/((VLOOKUP($B210,INDIRECT($B$5&amp;"生成成长"),4))/(VLOOKUP(DU$72,INDIRECT($C$5&amp;"生成成长"),5))*(VLOOKUP($B$5,标准坦克设计!$B$24:$U$30,MATCH("对"&amp;LEFT($C$5,2)&amp;"输出",标准坦克设计!$B$23:$U$23,0)))*(VLOOKUP($B210,INDIRECT($B$5&amp;"生成成长"),3))*(VLOOKUP($B$5,标准坦克设计!$B$14:$K$20,9)/30))</f>
        <v>6.3579226747288464</v>
      </c>
      <c r="DV210" s="173">
        <f ca="1">(VLOOKUP(DV$72,INDIRECT($C$5&amp;"生成成长"),2))/((VLOOKUP($B210,INDIRECT($B$5&amp;"生成成长"),4))/(VLOOKUP(DV$72,INDIRECT($C$5&amp;"生成成长"),5))*(VLOOKUP($B$5,标准坦克设计!$B$24:$U$30,MATCH("对"&amp;LEFT($C$5,2)&amp;"输出",标准坦克设计!$B$23:$U$23,0)))*(VLOOKUP($B210,INDIRECT($B$5&amp;"生成成长"),3))*(VLOOKUP($B$5,标准坦克设计!$B$14:$K$20,9)/30))</f>
        <v>6.9250937498160692</v>
      </c>
      <c r="DW210" s="173">
        <f ca="1">(VLOOKUP(DW$72,INDIRECT($C$5&amp;"生成成长"),2))/((VLOOKUP($B210,INDIRECT($B$5&amp;"生成成长"),4))/(VLOOKUP(DW$72,INDIRECT($C$5&amp;"生成成长"),5))*(VLOOKUP($B$5,标准坦克设计!$B$24:$U$30,MATCH("对"&amp;LEFT($C$5,2)&amp;"输出",标准坦克设计!$B$23:$U$23,0)))*(VLOOKUP($B210,INDIRECT($B$5&amp;"生成成长"),3))*(VLOOKUP($B$5,标准坦克设计!$B$14:$K$20,9)/30))</f>
        <v>7.5164934921885695</v>
      </c>
      <c r="DX210" s="173">
        <f ca="1">(VLOOKUP(DX$72,INDIRECT($C$5&amp;"生成成长"),2))/((VLOOKUP($B210,INDIRECT($B$5&amp;"生成成长"),4))/(VLOOKUP(DX$72,INDIRECT($C$5&amp;"生成成长"),5))*(VLOOKUP($B$5,标准坦克设计!$B$24:$U$30,MATCH("对"&amp;LEFT($C$5,2)&amp;"输出",标准坦克设计!$B$23:$U$23,0)))*(VLOOKUP($B210,INDIRECT($B$5&amp;"生成成长"),3))*(VLOOKUP($B$5,标准坦克设计!$B$14:$K$20,9)/30))</f>
        <v>8.1321219018463502</v>
      </c>
      <c r="DY210" s="173">
        <f ca="1">(VLOOKUP(DY$72,INDIRECT($C$5&amp;"生成成长"),2))/((VLOOKUP($B210,INDIRECT($B$5&amp;"生成成长"),4))/(VLOOKUP(DY$72,INDIRECT($C$5&amp;"生成成长"),5))*(VLOOKUP($B$5,标准坦克设计!$B$24:$U$30,MATCH("对"&amp;LEFT($C$5,2)&amp;"输出",标准坦克设计!$B$23:$U$23,0)))*(VLOOKUP($B210,INDIRECT($B$5&amp;"生成成长"),3))*(VLOOKUP($B$5,标准坦克设计!$B$14:$K$20,9)/30))</f>
        <v>3.6524215340259363</v>
      </c>
      <c r="DZ210" s="173">
        <f ca="1">(VLOOKUP(DZ$72,INDIRECT($C$5&amp;"生成成长"),2))/((VLOOKUP($B210,INDIRECT($B$5&amp;"生成成长"),4))/(VLOOKUP(DZ$72,INDIRECT($C$5&amp;"生成成长"),5))*(VLOOKUP($B$5,标准坦克设计!$B$24:$U$30,MATCH("对"&amp;LEFT($C$5,2)&amp;"输出",标准坦克设计!$B$23:$U$23,0)))*(VLOOKUP($B210,INDIRECT($B$5&amp;"生成成长"),3))*(VLOOKUP($B$5,标准坦克设计!$B$14:$K$20,9)/30))</f>
        <v>4.0448858966635193</v>
      </c>
      <c r="EA210" s="173">
        <f ca="1">(VLOOKUP(EA$72,INDIRECT($C$5&amp;"生成成长"),2))/((VLOOKUP($B210,INDIRECT($B$5&amp;"生成成长"),4))/(VLOOKUP(EA$72,INDIRECT($C$5&amp;"生成成长"),5))*(VLOOKUP($B$5,标准坦克设计!$B$24:$U$30,MATCH("对"&amp;LEFT($C$5,2)&amp;"输出",标准坦克设计!$B$23:$U$23,0)))*(VLOOKUP($B210,INDIRECT($B$5&amp;"生成成长"),3))*(VLOOKUP($B$5,标准坦克设计!$B$14:$K$20,9)/30))</f>
        <v>4.457373951272408</v>
      </c>
      <c r="EB210" s="173">
        <f ca="1">(VLOOKUP(EB$72,INDIRECT($C$5&amp;"生成成长"),2))/((VLOOKUP($B210,INDIRECT($B$5&amp;"生成成长"),4))/(VLOOKUP(EB$72,INDIRECT($C$5&amp;"生成成长"),5))*(VLOOKUP($B$5,标准坦克设计!$B$24:$U$30,MATCH("对"&amp;LEFT($C$5,2)&amp;"输出",标准坦克设计!$B$23:$U$23,0)))*(VLOOKUP($B210,INDIRECT($B$5&amp;"生成成长"),3))*(VLOOKUP($B$5,标准坦克设计!$B$14:$K$20,9)/30))</f>
        <v>4.8898856978526011</v>
      </c>
      <c r="EC210" s="173">
        <f ca="1">(VLOOKUP(EC$72,INDIRECT($C$5&amp;"生成成长"),2))/((VLOOKUP($B210,INDIRECT($B$5&amp;"生成成长"),4))/(VLOOKUP(EC$72,INDIRECT($C$5&amp;"生成成长"),5))*(VLOOKUP($B$5,标准坦克设计!$B$24:$U$30,MATCH("对"&amp;LEFT($C$5,2)&amp;"输出",标准坦克设计!$B$23:$U$23,0)))*(VLOOKUP($B210,INDIRECT($B$5&amp;"生成成长"),3))*(VLOOKUP($B$5,标准坦克设计!$B$14:$K$20,9)/30))</f>
        <v>5.3424211364041012</v>
      </c>
      <c r="ED210" s="173">
        <f ca="1">(VLOOKUP(ED$72,INDIRECT($C$5&amp;"生成成长"),2))/((VLOOKUP($B210,INDIRECT($B$5&amp;"生成成长"),4))/(VLOOKUP(ED$72,INDIRECT($C$5&amp;"生成成长"),5))*(VLOOKUP($B$5,标准坦克设计!$B$24:$U$30,MATCH("对"&amp;LEFT($C$5,2)&amp;"输出",标准坦克设计!$B$23:$U$23,0)))*(VLOOKUP($B210,INDIRECT($B$5&amp;"生成成长"),3))*(VLOOKUP($B$5,标准坦克设计!$B$14:$K$20,9)/30))</f>
        <v>5.8149802669269031</v>
      </c>
      <c r="EE210" s="173">
        <f ca="1">(VLOOKUP(EE$72,INDIRECT($C$5&amp;"生成成长"),2))/((VLOOKUP($B210,INDIRECT($B$5&amp;"生成成长"),4))/(VLOOKUP(EE$72,INDIRECT($C$5&amp;"生成成长"),5))*(VLOOKUP($B$5,标准坦克设计!$B$24:$U$30,MATCH("对"&amp;LEFT($C$5,2)&amp;"输出",标准坦克设计!$B$23:$U$23,0)))*(VLOOKUP($B210,INDIRECT($B$5&amp;"生成成长"),3))*(VLOOKUP($B$5,标准坦克设计!$B$14:$K$20,9)/30))</f>
        <v>6.3075630894210128</v>
      </c>
      <c r="EF210" s="173">
        <f ca="1">(VLOOKUP(EF$72,INDIRECT($C$5&amp;"生成成长"),2))/((VLOOKUP($B210,INDIRECT($B$5&amp;"生成成长"),4))/(VLOOKUP(EF$72,INDIRECT($C$5&amp;"生成成长"),5))*(VLOOKUP($B$5,标准坦克设计!$B$24:$U$30,MATCH("对"&amp;LEFT($C$5,2)&amp;"输出",标准坦克设计!$B$23:$U$23,0)))*(VLOOKUP($B210,INDIRECT($B$5&amp;"生成成长"),3))*(VLOOKUP($B$5,标准坦克设计!$B$14:$K$20,9)/30))</f>
        <v>6.8201696038864279</v>
      </c>
      <c r="EG210" s="173">
        <f ca="1">(VLOOKUP(EG$72,INDIRECT($C$5&amp;"生成成长"),2))/((VLOOKUP($B210,INDIRECT($B$5&amp;"生成成长"),4))/(VLOOKUP(EG$72,INDIRECT($C$5&amp;"生成成长"),5))*(VLOOKUP($B$5,标准坦克设计!$B$24:$U$30,MATCH("对"&amp;LEFT($C$5,2)&amp;"输出",标准坦克设计!$B$23:$U$23,0)))*(VLOOKUP($B210,INDIRECT($B$5&amp;"生成成长"),3))*(VLOOKUP($B$5,标准坦克设计!$B$14:$K$20,9)/30))</f>
        <v>7.3527998103231473</v>
      </c>
      <c r="EH210" s="173">
        <f ca="1">(VLOOKUP(EH$72,INDIRECT($C$5&amp;"生成成长"),2))/((VLOOKUP($B210,INDIRECT($B$5&amp;"生成成长"),4))/(VLOOKUP(EH$72,INDIRECT($C$5&amp;"生成成长"),5))*(VLOOKUP($B$5,标准坦克设计!$B$24:$U$30,MATCH("对"&amp;LEFT($C$5,2)&amp;"输出",标准坦克设计!$B$23:$U$23,0)))*(VLOOKUP($B210,INDIRECT($B$5&amp;"生成成长"),3))*(VLOOKUP($B$5,标准坦克设计!$B$14:$K$20,9)/30))</f>
        <v>7.9054537087311747</v>
      </c>
      <c r="EI210" s="173">
        <f ca="1">(VLOOKUP(EI$72,INDIRECT($C$5&amp;"生成成长"),2))/((VLOOKUP($B210,INDIRECT($B$5&amp;"生成成长"),4))/(VLOOKUP(EI$72,INDIRECT($C$5&amp;"生成成长"),5))*(VLOOKUP($B$5,标准坦克设计!$B$24:$U$30,MATCH("对"&amp;LEFT($C$5,2)&amp;"输出",标准坦克设计!$B$23:$U$23,0)))*(VLOOKUP($B210,INDIRECT($B$5&amp;"生成成长"),3))*(VLOOKUP($B$5,标准坦克设计!$B$14:$K$20,9)/30))</f>
        <v>8.4781312991105011</v>
      </c>
      <c r="EJ210" s="173">
        <f ca="1">(VLOOKUP(EJ$72,INDIRECT($C$5&amp;"生成成长"),2))/((VLOOKUP($B210,INDIRECT($B$5&amp;"生成成长"),4))/(VLOOKUP(EJ$72,INDIRECT($C$5&amp;"生成成长"),5))*(VLOOKUP($B$5,标准坦克设计!$B$24:$U$30,MATCH("对"&amp;LEFT($C$5,2)&amp;"输出",标准坦克设计!$B$23:$U$23,0)))*(VLOOKUP($B210,INDIRECT($B$5&amp;"生成成长"),3))*(VLOOKUP($B$5,标准坦克设计!$B$14:$K$20,9)/30))</f>
        <v>9.0708325814611399</v>
      </c>
      <c r="EK210" s="173">
        <f ca="1">(VLOOKUP(EK$72,INDIRECT($C$5&amp;"生成成长"),2))/((VLOOKUP($B210,INDIRECT($B$5&amp;"生成成长"),4))/(VLOOKUP(EK$72,INDIRECT($C$5&amp;"生成成长"),5))*(VLOOKUP($B$5,标准坦克设计!$B$24:$U$30,MATCH("对"&amp;LEFT($C$5,2)&amp;"输出",标准坦克设计!$B$23:$U$23,0)))*(VLOOKUP($B210,INDIRECT($B$5&amp;"生成成长"),3))*(VLOOKUP($B$5,标准坦克设计!$B$14:$K$20,9)/30))</f>
        <v>9.8085053936840243</v>
      </c>
      <c r="EL210" s="173">
        <f ca="1">(VLOOKUP(EL$72,INDIRECT($C$5&amp;"生成成长"),2))/((VLOOKUP($B210,INDIRECT($B$5&amp;"生成成长"),4))/(VLOOKUP(EL$72,INDIRECT($C$5&amp;"生成成长"),5))*(VLOOKUP($B$5,标准坦克设计!$B$24:$U$30,MATCH("对"&amp;LEFT($C$5,2)&amp;"输出",标准坦克设计!$B$23:$U$23,0)))*(VLOOKUP($B210,INDIRECT($B$5&amp;"生成成长"),3))*(VLOOKUP($B$5,标准坦克设计!$B$14:$K$20,9)/30))</f>
        <v>10.575012322345593</v>
      </c>
      <c r="EM210" s="173">
        <f ca="1">(VLOOKUP(EM$72,INDIRECT($C$5&amp;"生成成长"),2))/((VLOOKUP($B210,INDIRECT($B$5&amp;"生成成长"),4))/(VLOOKUP(EM$72,INDIRECT($C$5&amp;"生成成长"),5))*(VLOOKUP($B$5,标准坦克设计!$B$24:$U$30,MATCH("对"&amp;LEFT($C$5,2)&amp;"输出",标准坦克设计!$B$23:$U$23,0)))*(VLOOKUP($B210,INDIRECT($B$5&amp;"生成成长"),3))*(VLOOKUP($B$5,标准坦克设计!$B$14:$K$20,9)/30))</f>
        <v>11.370353367445837</v>
      </c>
      <c r="EN210" s="173">
        <f ca="1">(VLOOKUP(EN$72,INDIRECT($C$5&amp;"生成成长"),2))/((VLOOKUP($B210,INDIRECT($B$5&amp;"生成成长"),4))/(VLOOKUP(EN$72,INDIRECT($C$5&amp;"生成成长"),5))*(VLOOKUP($B$5,标准坦克设计!$B$24:$U$30,MATCH("对"&amp;LEFT($C$5,2)&amp;"输出",标准坦克设计!$B$23:$U$23,0)))*(VLOOKUP($B210,INDIRECT($B$5&amp;"生成成长"),3))*(VLOOKUP($B$5,标准坦克设计!$B$14:$K$20,9)/30))</f>
        <v>12.19452852898476</v>
      </c>
      <c r="EO210" s="173">
        <f ca="1">(VLOOKUP(EO$72,INDIRECT($C$5&amp;"生成成长"),2))/((VLOOKUP($B210,INDIRECT($B$5&amp;"生成成长"),4))/(VLOOKUP(EO$72,INDIRECT($C$5&amp;"生成成长"),5))*(VLOOKUP($B$5,标准坦克设计!$B$24:$U$30,MATCH("对"&amp;LEFT($C$5,2)&amp;"输出",标准坦克设计!$B$23:$U$23,0)))*(VLOOKUP($B210,INDIRECT($B$5&amp;"生成成长"),3))*(VLOOKUP($B$5,标准坦克设计!$B$14:$K$20,9)/30))</f>
        <v>13.047537806962364</v>
      </c>
      <c r="EP210" s="173">
        <f ca="1">(VLOOKUP(EP$72,INDIRECT($C$5&amp;"生成成长"),2))/((VLOOKUP($B210,INDIRECT($B$5&amp;"生成成长"),4))/(VLOOKUP(EP$72,INDIRECT($C$5&amp;"生成成长"),5))*(VLOOKUP($B$5,标准坦克设计!$B$24:$U$30,MATCH("对"&amp;LEFT($C$5,2)&amp;"输出",标准坦克设计!$B$23:$U$23,0)))*(VLOOKUP($B210,INDIRECT($B$5&amp;"生成成长"),3))*(VLOOKUP($B$5,标准坦克设计!$B$14:$K$20,9)/30))</f>
        <v>13.929381201378648</v>
      </c>
      <c r="EQ210" s="173">
        <f ca="1">(VLOOKUP(EQ$72,INDIRECT($C$5&amp;"生成成长"),2))/((VLOOKUP($B210,INDIRECT($B$5&amp;"生成成长"),4))/(VLOOKUP(EQ$72,INDIRECT($C$5&amp;"生成成长"),5))*(VLOOKUP($B$5,标准坦克设计!$B$24:$U$30,MATCH("对"&amp;LEFT($C$5,2)&amp;"输出",标准坦克设计!$B$23:$U$23,0)))*(VLOOKUP($B210,INDIRECT($B$5&amp;"生成成长"),3))*(VLOOKUP($B$5,标准坦克设计!$B$14:$K$20,9)/30))</f>
        <v>6.1576857550157946</v>
      </c>
      <c r="ER210" s="173">
        <f ca="1">(VLOOKUP(ER$72,INDIRECT($C$5&amp;"生成成长"),2))/((VLOOKUP($B210,INDIRECT($B$5&amp;"生成成长"),4))/(VLOOKUP(ER$72,INDIRECT($C$5&amp;"生成成长"),5))*(VLOOKUP($B$5,标准坦克设计!$B$24:$U$30,MATCH("对"&amp;LEFT($C$5,2)&amp;"输出",标准坦克设计!$B$23:$U$23,0)))*(VLOOKUP($B210,INDIRECT($B$5&amp;"生成成长"),3))*(VLOOKUP($B$5,标准坦克设计!$B$14:$K$20,9)/30))</f>
        <v>6.716046405635641</v>
      </c>
      <c r="ES210" s="173">
        <f ca="1">(VLOOKUP(ES$72,INDIRECT($C$5&amp;"生成成长"),2))/((VLOOKUP($B210,INDIRECT($B$5&amp;"生成成长"),4))/(VLOOKUP(ES$72,INDIRECT($C$5&amp;"生成成长"),5))*(VLOOKUP($B$5,标准坦克设计!$B$24:$U$30,MATCH("对"&amp;LEFT($C$5,2)&amp;"输出",标准坦克设计!$B$23:$U$23,0)))*(VLOOKUP($B210,INDIRECT($B$5&amp;"生成成长"),3))*(VLOOKUP($B$5,标准坦克设计!$B$14:$K$20,9)/30))</f>
        <v>7.2986357235407668</v>
      </c>
      <c r="ET210" s="173">
        <f ca="1">(VLOOKUP(ET$72,INDIRECT($C$5&amp;"生成成长"),2))/((VLOOKUP($B210,INDIRECT($B$5&amp;"生成成长"),4))/(VLOOKUP(ET$72,INDIRECT($C$5&amp;"生成成长"),5))*(VLOOKUP($B$5,标准坦克设计!$B$24:$U$30,MATCH("对"&amp;LEFT($C$5,2)&amp;"输出",标准坦克设计!$B$23:$U$23,0)))*(VLOOKUP($B210,INDIRECT($B$5&amp;"生成成长"),3))*(VLOOKUP($B$5,标准坦克设计!$B$14:$K$20,9)/30))</f>
        <v>7.9054537087311747</v>
      </c>
      <c r="EU210" s="173">
        <f ca="1">(VLOOKUP(EU$72,INDIRECT($C$5&amp;"生成成长"),2))/((VLOOKUP($B210,INDIRECT($B$5&amp;"生成成长"),4))/(VLOOKUP(EU$72,INDIRECT($C$5&amp;"生成成长"),5))*(VLOOKUP($B$5,标准坦克设计!$B$24:$U$30,MATCH("对"&amp;LEFT($C$5,2)&amp;"输出",标准坦克设计!$B$23:$U$23,0)))*(VLOOKUP($B210,INDIRECT($B$5&amp;"生成成长"),3))*(VLOOKUP($B$5,标准坦克设计!$B$14:$K$20,9)/30))</f>
        <v>8.5365003612068584</v>
      </c>
      <c r="EV210" s="173">
        <f ca="1">(VLOOKUP(EV$72,INDIRECT($C$5&amp;"生成成长"),2))/((VLOOKUP($B210,INDIRECT($B$5&amp;"生成成长"),4))/(VLOOKUP(EV$72,INDIRECT($C$5&amp;"生成成长"),5))*(VLOOKUP($B$5,标准坦克设计!$B$24:$U$30,MATCH("对"&amp;LEFT($C$5,2)&amp;"输出",标准坦克设计!$B$23:$U$23,0)))*(VLOOKUP($B210,INDIRECT($B$5&amp;"生成成长"),3))*(VLOOKUP($B$5,标准坦克设计!$B$14:$K$20,9)/30))</f>
        <v>9.1917756809678224</v>
      </c>
      <c r="EW210" s="173">
        <f ca="1">(VLOOKUP(EW$72,INDIRECT($C$5&amp;"生成成长"),2))/((VLOOKUP($B210,INDIRECT($B$5&amp;"生成成长"),4))/(VLOOKUP(EW$72,INDIRECT($C$5&amp;"生成成长"),5))*(VLOOKUP($B$5,标准坦克设计!$B$24:$U$30,MATCH("对"&amp;LEFT($C$5,2)&amp;"输出",标准坦克设计!$B$23:$U$23,0)))*(VLOOKUP($B210,INDIRECT($B$5&amp;"生成成长"),3))*(VLOOKUP($B$5,标准坦克设计!$B$14:$K$20,9)/30))</f>
        <v>9.8712796680140684</v>
      </c>
      <c r="EX210" s="173">
        <f ca="1">(VLOOKUP(EX$72,INDIRECT($C$5&amp;"生成成长"),2))/((VLOOKUP($B210,INDIRECT($B$5&amp;"生成成长"),4))/(VLOOKUP(EX$72,INDIRECT($C$5&amp;"生成成长"),5))*(VLOOKUP($B$5,标准坦克设计!$B$24:$U$30,MATCH("对"&amp;LEFT($C$5,2)&amp;"输出",标准坦克设计!$B$23:$U$23,0)))*(VLOOKUP($B210,INDIRECT($B$5&amp;"生成成长"),3))*(VLOOKUP($B$5,标准坦克设计!$B$14:$K$20,9)/30))</f>
        <v>10.575012322345593</v>
      </c>
      <c r="EY210" s="173">
        <f ca="1">(VLOOKUP(EY$72,INDIRECT($C$5&amp;"生成成长"),2))/((VLOOKUP($B210,INDIRECT($B$5&amp;"生成成长"),4))/(VLOOKUP(EY$72,INDIRECT($C$5&amp;"生成成长"),5))*(VLOOKUP($B$5,标准坦克设计!$B$24:$U$30,MATCH("对"&amp;LEFT($C$5,2)&amp;"输出",标准坦克设计!$B$23:$U$23,0)))*(VLOOKUP($B210,INDIRECT($B$5&amp;"生成成长"),3))*(VLOOKUP($B$5,标准坦克设计!$B$14:$K$20,9)/30))</f>
        <v>11.302973643962396</v>
      </c>
      <c r="EZ210" s="173">
        <f ca="1">(VLOOKUP(EZ$72,INDIRECT($C$5&amp;"生成成长"),2))/((VLOOKUP($B210,INDIRECT($B$5&amp;"生成成长"),4))/(VLOOKUP(EZ$72,INDIRECT($C$5&amp;"生成成长"),5))*(VLOOKUP($B$5,标准坦克设计!$B$24:$U$30,MATCH("对"&amp;LEFT($C$5,2)&amp;"输出",标准坦克设计!$B$23:$U$23,0)))*(VLOOKUP($B210,INDIRECT($B$5&amp;"生成成长"),3))*(VLOOKUP($B$5,标准坦克设计!$B$14:$K$20,9)/30))</f>
        <v>12.055163632864476</v>
      </c>
      <c r="FA210" s="173">
        <f ca="1">(VLOOKUP(FA$72,INDIRECT($C$5&amp;"生成成长"),2))/((VLOOKUP($B210,INDIRECT($B$5&amp;"生成成长"),4))/(VLOOKUP(FA$72,INDIRECT($C$5&amp;"生成成长"),5))*(VLOOKUP($B$5,标准坦克设计!$B$24:$U$30,MATCH("对"&amp;LEFT($C$5,2)&amp;"输出",标准坦克设计!$B$23:$U$23,0)))*(VLOOKUP($B210,INDIRECT($B$5&amp;"生成成长"),3))*(VLOOKUP($B$5,标准坦克设计!$B$14:$K$20,9)/30))</f>
        <v>12.831582289051836</v>
      </c>
      <c r="FB210" s="173">
        <f ca="1">(VLOOKUP(FB$72,INDIRECT($C$5&amp;"生成成长"),2))/((VLOOKUP($B210,INDIRECT($B$5&amp;"生成成长"),4))/(VLOOKUP(FB$72,INDIRECT($C$5&amp;"生成成长"),5))*(VLOOKUP($B$5,标准坦克设计!$B$24:$U$30,MATCH("对"&amp;LEFT($C$5,2)&amp;"输出",标准坦克设计!$B$23:$U$23,0)))*(VLOOKUP($B210,INDIRECT($B$5&amp;"生成成长"),3))*(VLOOKUP($B$5,标准坦克设计!$B$14:$K$20,9)/30))</f>
        <v>13.63222961252448</v>
      </c>
      <c r="FC210" s="173">
        <f ca="1">(VLOOKUP(FC$72,INDIRECT($C$5&amp;"生成成长"),2))/((VLOOKUP($B210,INDIRECT($B$5&amp;"生成成长"),4))/(VLOOKUP(FC$72,INDIRECT($C$5&amp;"生成成长"),5))*(VLOOKUP($B$5,标准坦克设计!$B$24:$U$30,MATCH("对"&amp;LEFT($C$5,2)&amp;"输出",标准坦克设计!$B$23:$U$23,0)))*(VLOOKUP($B210,INDIRECT($B$5&amp;"生成成长"),3))*(VLOOKUP($B$5,标准坦克设计!$B$14:$K$20,9)/30))</f>
        <v>14.457105603282397</v>
      </c>
      <c r="FD210" s="173">
        <f ca="1">(VLOOKUP(FD$72,INDIRECT($C$5&amp;"生成成长"),2))/((VLOOKUP($B210,INDIRECT($B$5&amp;"生成成长"),4))/(VLOOKUP(FD$72,INDIRECT($C$5&amp;"生成成长"),5))*(VLOOKUP($B$5,标准坦克设计!$B$24:$U$30,MATCH("对"&amp;LEFT($C$5,2)&amp;"输出",标准坦克设计!$B$23:$U$23,0)))*(VLOOKUP($B210,INDIRECT($B$5&amp;"生成成长"),3))*(VLOOKUP($B$5,标准坦克设计!$B$14:$K$20,9)/30))</f>
        <v>15.306210261325596</v>
      </c>
      <c r="FE210" s="173">
        <f ca="1">(VLOOKUP(FE$72,INDIRECT($C$5&amp;"生成成长"),2))/((VLOOKUP($B210,INDIRECT($B$5&amp;"生成成长"),4))/(VLOOKUP(FE$72,INDIRECT($C$5&amp;"生成成长"),5))*(VLOOKUP($B$5,标准坦克设计!$B$24:$U$30,MATCH("对"&amp;LEFT($C$5,2)&amp;"输出",标准坦克设计!$B$23:$U$23,0)))*(VLOOKUP($B210,INDIRECT($B$5&amp;"生成成长"),3))*(VLOOKUP($B$5,标准坦克设计!$B$14:$K$20,9)/30))</f>
        <v>16.340934543942797</v>
      </c>
      <c r="FF210" s="173">
        <f ca="1">(VLOOKUP(FF$72,INDIRECT($C$5&amp;"生成成长"),2))/((VLOOKUP($B210,INDIRECT($B$5&amp;"生成成长"),4))/(VLOOKUP(FF$72,INDIRECT($C$5&amp;"生成成长"),5))*(VLOOKUP($B$5,标准坦克设计!$B$24:$U$30,MATCH("对"&amp;LEFT($C$5,2)&amp;"输出",标准坦克设计!$B$23:$U$23,0)))*(VLOOKUP($B210,INDIRECT($B$5&amp;"生成成长"),3))*(VLOOKUP($B$5,标准坦克设计!$B$14:$K$20,9)/30))</f>
        <v>17.409498865991505</v>
      </c>
      <c r="FG210" s="173">
        <f ca="1">(VLOOKUP(FG$72,INDIRECT($C$5&amp;"生成成长"),2))/((VLOOKUP($B210,INDIRECT($B$5&amp;"生成成长"),4))/(VLOOKUP(FG$72,INDIRECT($C$5&amp;"生成成长"),5))*(VLOOKUP($B$5,标准坦克设计!$B$24:$U$30,MATCH("对"&amp;LEFT($C$5,2)&amp;"输出",标准坦克设计!$B$23:$U$23,0)))*(VLOOKUP($B210,INDIRECT($B$5&amp;"生成成长"),3))*(VLOOKUP($B$5,标准坦克设计!$B$14:$K$20,9)/30))</f>
        <v>18.511903227471716</v>
      </c>
      <c r="FH210" s="173">
        <f ca="1">(VLOOKUP(FH$72,INDIRECT($C$5&amp;"生成成长"),2))/((VLOOKUP($B210,INDIRECT($B$5&amp;"生成成长"),4))/(VLOOKUP(FH$72,INDIRECT($C$5&amp;"生成成长"),5))*(VLOOKUP($B$5,标准坦克设计!$B$24:$U$30,MATCH("对"&amp;LEFT($C$5,2)&amp;"输出",标准坦克设计!$B$23:$U$23,0)))*(VLOOKUP($B210,INDIRECT($B$5&amp;"生成成长"),3))*(VLOOKUP($B$5,标准坦克设计!$B$14:$K$20,9)/30))</f>
        <v>19.64814762838343</v>
      </c>
      <c r="FI210" s="173">
        <f ca="1">(VLOOKUP(FI$72,INDIRECT($C$5&amp;"生成成长"),2))/((VLOOKUP($B210,INDIRECT($B$5&amp;"生成成长"),4))/(VLOOKUP(FI$72,INDIRECT($C$5&amp;"生成成长"),5))*(VLOOKUP($B$5,标准坦克设计!$B$24:$U$30,MATCH("对"&amp;LEFT($C$5,2)&amp;"输出",标准坦克设计!$B$23:$U$23,0)))*(VLOOKUP($B210,INDIRECT($B$5&amp;"生成成长"),3))*(VLOOKUP($B$5,标准坦克设计!$B$14:$K$20,9)/30))</f>
        <v>20.818232068726651</v>
      </c>
      <c r="FJ210" s="173">
        <f ca="1">(VLOOKUP(FJ$72,INDIRECT($C$5&amp;"生成成长"),2))/((VLOOKUP($B210,INDIRECT($B$5&amp;"生成成长"),4))/(VLOOKUP(FJ$72,INDIRECT($C$5&amp;"生成成长"),5))*(VLOOKUP($B$5,标准坦克设计!$B$24:$U$30,MATCH("对"&amp;LEFT($C$5,2)&amp;"输出",标准坦克设计!$B$23:$U$23,0)))*(VLOOKUP($B210,INDIRECT($B$5&amp;"生成成长"),3))*(VLOOKUP($B$5,标准坦克设计!$B$14:$K$20,9)/30))</f>
        <v>22.022156548501382</v>
      </c>
      <c r="FK210" s="173">
        <f ca="1">(VLOOKUP(FK$72,INDIRECT($C$5&amp;"生成成长"),2))/((VLOOKUP($B210,INDIRECT($B$5&amp;"生成成长"),4))/(VLOOKUP(FK$72,INDIRECT($C$5&amp;"生成成长"),5))*(VLOOKUP($B$5,标准坦克设计!$B$24:$U$30,MATCH("对"&amp;LEFT($C$5,2)&amp;"输出",标准坦克设计!$B$23:$U$23,0)))*(VLOOKUP($B210,INDIRECT($B$5&amp;"生成成长"),3))*(VLOOKUP($B$5,标准坦克设计!$B$14:$K$20,9)/30))</f>
        <v>23.259921067707612</v>
      </c>
    </row>
    <row r="211" spans="1:167" x14ac:dyDescent="0.15">
      <c r="A211" s="171" t="str">
        <f t="shared" si="13"/>
        <v>T4高品质13级</v>
      </c>
      <c r="B211" s="172">
        <v>30413</v>
      </c>
      <c r="C211" s="173">
        <f ca="1">(VLOOKUP(C$72,INDIRECT($C$5&amp;"生成成长"),2))/((VLOOKUP($B211,INDIRECT($B$5&amp;"生成成长"),4))/(VLOOKUP(C$72,INDIRECT($C$5&amp;"生成成长"),5))*(VLOOKUP($B$5,标准坦克设计!$B$24:$U$30,MATCH("对"&amp;LEFT($C$5,2)&amp;"输出",标准坦克设计!$B$23:$U$23,0)))*(VLOOKUP($B211,INDIRECT($B$5&amp;"生成成长"),3))*(VLOOKUP($B$5,标准坦克设计!$B$14:$K$20,9)/30))</f>
        <v>0.92428850351890857</v>
      </c>
      <c r="D211" s="173">
        <f ca="1">(VLOOKUP(D$72,INDIRECT($C$5&amp;"生成成长"),2))/((VLOOKUP($B211,INDIRECT($B$5&amp;"生成成长"),4))/(VLOOKUP(D$72,INDIRECT($C$5&amp;"生成成长"),5))*(VLOOKUP($B$5,标准坦克设计!$B$24:$U$30,MATCH("对"&amp;LEFT($C$5,2)&amp;"输出",标准坦克设计!$B$23:$U$23,0)))*(VLOOKUP($B211,INDIRECT($B$5&amp;"生成成长"),3))*(VLOOKUP($B$5,标准坦克设计!$B$14:$K$20,9)/30))</f>
        <v>1.0385305625538457</v>
      </c>
      <c r="E211" s="173">
        <f ca="1">(VLOOKUP(E$72,INDIRECT($C$5&amp;"生成成长"),2))/((VLOOKUP($B211,INDIRECT($B$5&amp;"生成成长"),4))/(VLOOKUP(E$72,INDIRECT($C$5&amp;"生成成长"),5))*(VLOOKUP($B$5,标准坦克设计!$B$24:$U$30,MATCH("对"&amp;LEFT($C$5,2)&amp;"输出",标准坦克设计!$B$23:$U$23,0)))*(VLOOKUP($B211,INDIRECT($B$5&amp;"生成成长"),3))*(VLOOKUP($B$5,标准坦克设计!$B$14:$K$20,9)/30))</f>
        <v>1.1594274988141189</v>
      </c>
      <c r="F211" s="173">
        <f ca="1">(VLOOKUP(F$72,INDIRECT($C$5&amp;"生成成长"),2))/((VLOOKUP($B211,INDIRECT($B$5&amp;"生成成长"),4))/(VLOOKUP(F$72,INDIRECT($C$5&amp;"生成成长"),5))*(VLOOKUP($B$5,标准坦克设计!$B$24:$U$30,MATCH("对"&amp;LEFT($C$5,2)&amp;"输出",标准坦克设计!$B$23:$U$23,0)))*(VLOOKUP($B211,INDIRECT($B$5&amp;"生成成长"),3))*(VLOOKUP($B$5,标准坦克设计!$B$14:$K$20,9)/30))</f>
        <v>1.2869793122997282</v>
      </c>
      <c r="G211" s="173">
        <f ca="1">(VLOOKUP(G$72,INDIRECT($C$5&amp;"生成成长"),2))/((VLOOKUP($B211,INDIRECT($B$5&amp;"生成成长"),4))/(VLOOKUP(G$72,INDIRECT($C$5&amp;"生成成长"),5))*(VLOOKUP($B$5,标准坦克设计!$B$24:$U$30,MATCH("对"&amp;LEFT($C$5,2)&amp;"输出",标准坦克设计!$B$23:$U$23,0)))*(VLOOKUP($B211,INDIRECT($B$5&amp;"生成成长"),3))*(VLOOKUP($B$5,标准坦克设计!$B$14:$K$20,9)/30))</f>
        <v>1.4211860030106738</v>
      </c>
      <c r="H211" s="173">
        <f ca="1">(VLOOKUP(H$72,INDIRECT($C$5&amp;"生成成长"),2))/((VLOOKUP($B211,INDIRECT($B$5&amp;"生成成长"),4))/(VLOOKUP(H$72,INDIRECT($C$5&amp;"生成成长"),5))*(VLOOKUP($B$5,标准坦克设计!$B$24:$U$30,MATCH("对"&amp;LEFT($C$5,2)&amp;"输出",标准坦克设计!$B$23:$U$23,0)))*(VLOOKUP($B211,INDIRECT($B$5&amp;"生成成长"),3))*(VLOOKUP($B$5,标准坦克设计!$B$14:$K$20,9)/30))</f>
        <v>1.2437226103350436</v>
      </c>
      <c r="I211" s="173">
        <f ca="1">(VLOOKUP(I$72,INDIRECT($C$5&amp;"生成成长"),2))/((VLOOKUP($B211,INDIRECT($B$5&amp;"生成成长"),4))/(VLOOKUP(I$72,INDIRECT($C$5&amp;"生成成长"),5))*(VLOOKUP($B$5,标准坦克设计!$B$24:$U$30,MATCH("对"&amp;LEFT($C$5,2)&amp;"输出",标准坦克设计!$B$23:$U$23,0)))*(VLOOKUP($B211,INDIRECT($B$5&amp;"生成成长"),3))*(VLOOKUP($B$5,标准坦克设计!$B$14:$K$20,9)/30))</f>
        <v>1.4211860030106738</v>
      </c>
      <c r="J211" s="173">
        <f ca="1">(VLOOKUP(J$72,INDIRECT($C$5&amp;"生成成长"),2))/((VLOOKUP($B211,INDIRECT($B$5&amp;"生成成长"),4))/(VLOOKUP(J$72,INDIRECT($C$5&amp;"生成成长"),5))*(VLOOKUP($B$5,标准坦克设计!$B$24:$U$30,MATCH("对"&amp;LEFT($C$5,2)&amp;"输出",标准坦克设计!$B$23:$U$23,0)))*(VLOOKUP($B211,INDIRECT($B$5&amp;"生成成长"),3))*(VLOOKUP($B$5,标准坦克设计!$B$14:$K$20,9)/30))</f>
        <v>1.6104802885313465</v>
      </c>
      <c r="K211" s="173">
        <f ca="1">(VLOOKUP(K$72,INDIRECT($C$5&amp;"生成成长"),2))/((VLOOKUP($B211,INDIRECT($B$5&amp;"生成成长"),4))/(VLOOKUP(K$72,INDIRECT($C$5&amp;"生成成长"),5))*(VLOOKUP($B$5,标准坦克设计!$B$24:$U$30,MATCH("对"&amp;LEFT($C$5,2)&amp;"输出",标准坦克设计!$B$23:$U$23,0)))*(VLOOKUP($B211,INDIRECT($B$5&amp;"生成成长"),3))*(VLOOKUP($B$5,标准坦克设计!$B$14:$K$20,9)/30))</f>
        <v>1.8116054668970609</v>
      </c>
      <c r="L211" s="173">
        <f ca="1">(VLOOKUP(L$72,INDIRECT($C$5&amp;"生成成长"),2))/((VLOOKUP($B211,INDIRECT($B$5&amp;"生成成长"),4))/(VLOOKUP(L$72,INDIRECT($C$5&amp;"生成成长"),5))*(VLOOKUP($B$5,标准坦克设计!$B$24:$U$30,MATCH("对"&amp;LEFT($C$5,2)&amp;"输出",标准坦克设计!$B$23:$U$23,0)))*(VLOOKUP($B211,INDIRECT($B$5&amp;"生成成长"),3))*(VLOOKUP($B$5,标准坦克设计!$B$14:$K$20,9)/30))</f>
        <v>2.0245615381078172</v>
      </c>
      <c r="M211" s="173">
        <f ca="1">(VLOOKUP(M$72,INDIRECT($C$5&amp;"生成成长"),2))/((VLOOKUP($B211,INDIRECT($B$5&amp;"生成成长"),4))/(VLOOKUP(M$72,INDIRECT($C$5&amp;"生成成长"),5))*(VLOOKUP($B$5,标准坦克设计!$B$24:$U$30,MATCH("对"&amp;LEFT($C$5,2)&amp;"输出",标准坦克设计!$B$23:$U$23,0)))*(VLOOKUP($B211,INDIRECT($B$5&amp;"生成成长"),3))*(VLOOKUP($B$5,标准坦克设计!$B$14:$K$20,9)/30))</f>
        <v>2.2493485021636164</v>
      </c>
      <c r="N211" s="173">
        <f ca="1">(VLOOKUP(N$72,INDIRECT($C$5&amp;"生成成长"),2))/((VLOOKUP($B211,INDIRECT($B$5&amp;"生成成长"),4))/(VLOOKUP(N$72,INDIRECT($C$5&amp;"生成成长"),5))*(VLOOKUP($B$5,标准坦克设计!$B$24:$U$30,MATCH("对"&amp;LEFT($C$5,2)&amp;"输出",标准坦克设计!$B$23:$U$23,0)))*(VLOOKUP($B211,INDIRECT($B$5&amp;"生成成长"),3))*(VLOOKUP($B$5,标准坦克设计!$B$14:$K$20,9)/30))</f>
        <v>2.4859663590644563</v>
      </c>
      <c r="O211" s="173">
        <f ca="1">(VLOOKUP(O$72,INDIRECT($C$5&amp;"生成成长"),2))/((VLOOKUP($B211,INDIRECT($B$5&amp;"生成成长"),4))/(VLOOKUP(O$72,INDIRECT($C$5&amp;"生成成长"),5))*(VLOOKUP($B$5,标准坦克设计!$B$24:$U$30,MATCH("对"&amp;LEFT($C$5,2)&amp;"输出",标准坦克设计!$B$23:$U$23,0)))*(VLOOKUP($B211,INDIRECT($B$5&amp;"生成成长"),3))*(VLOOKUP($B$5,标准坦克设计!$B$14:$K$20,9)/30))</f>
        <v>1.8900775608458165</v>
      </c>
      <c r="P211" s="173">
        <f ca="1">(VLOOKUP(P$72,INDIRECT($C$5&amp;"生成成长"),2))/((VLOOKUP($B211,INDIRECT($B$5&amp;"生成成长"),4))/(VLOOKUP(P$72,INDIRECT($C$5&amp;"生成成长"),5))*(VLOOKUP($B$5,标准坦克设计!$B$24:$U$30,MATCH("对"&amp;LEFT($C$5,2)&amp;"输出",标准坦克设计!$B$23:$U$23,0)))*(VLOOKUP($B211,INDIRECT($B$5&amp;"生成成长"),3))*(VLOOKUP($B$5,标准坦克设计!$B$14:$K$20,9)/30))</f>
        <v>2.1354761585300865</v>
      </c>
      <c r="Q211" s="173">
        <f ca="1">(VLOOKUP(Q$72,INDIRECT($C$5&amp;"生成成长"),2))/((VLOOKUP($B211,INDIRECT($B$5&amp;"生成成长"),4))/(VLOOKUP(Q$72,INDIRECT($C$5&amp;"生成成长"),5))*(VLOOKUP($B$5,标准坦克设计!$B$24:$U$30,MATCH("对"&amp;LEFT($C$5,2)&amp;"输出",标准坦克设计!$B$23:$U$23,0)))*(VLOOKUP($B211,INDIRECT($B$5&amp;"生成成长"),3))*(VLOOKUP($B$5,标准坦克设计!$B$14:$K$20,9)/30))</f>
        <v>2.3958482299713633</v>
      </c>
      <c r="R211" s="173">
        <f ca="1">(VLOOKUP(R$72,INDIRECT($C$5&amp;"生成成长"),2))/((VLOOKUP($B211,INDIRECT($B$5&amp;"生成成长"),4))/(VLOOKUP(R$72,INDIRECT($C$5&amp;"生成成长"),5))*(VLOOKUP($B$5,标准坦克设计!$B$24:$U$30,MATCH("对"&amp;LEFT($C$5,2)&amp;"输出",标准坦克设计!$B$23:$U$23,0)))*(VLOOKUP($B211,INDIRECT($B$5&amp;"生成成长"),3))*(VLOOKUP($B$5,标准坦克设计!$B$14:$K$20,9)/30))</f>
        <v>2.671193775169646</v>
      </c>
      <c r="S211" s="173">
        <f ca="1">(VLOOKUP(S$72,INDIRECT($C$5&amp;"生成成长"),2))/((VLOOKUP($B211,INDIRECT($B$5&amp;"生成成长"),4))/(VLOOKUP(S$72,INDIRECT($C$5&amp;"生成成长"),5))*(VLOOKUP($B$5,标准坦克设计!$B$24:$U$30,MATCH("对"&amp;LEFT($C$5,2)&amp;"输出",标准坦克设计!$B$23:$U$23,0)))*(VLOOKUP($B211,INDIRECT($B$5&amp;"生成成长"),3))*(VLOOKUP($B$5,标准坦克设计!$B$14:$K$20,9)/30))</f>
        <v>2.9615127941249355</v>
      </c>
      <c r="T211" s="173">
        <f ca="1">(VLOOKUP(T$72,INDIRECT($C$5&amp;"生成成长"),2))/((VLOOKUP($B211,INDIRECT($B$5&amp;"生成成长"),4))/(VLOOKUP(T$72,INDIRECT($C$5&amp;"生成成长"),5))*(VLOOKUP($B$5,标准坦克设计!$B$24:$U$30,MATCH("对"&amp;LEFT($C$5,2)&amp;"输出",标准坦克设计!$B$23:$U$23,0)))*(VLOOKUP($B211,INDIRECT($B$5&amp;"生成成长"),3))*(VLOOKUP($B$5,标准坦克设计!$B$14:$K$20,9)/30))</f>
        <v>3.2668052868372306</v>
      </c>
      <c r="U211" s="173">
        <f ca="1">(VLOOKUP(U$72,INDIRECT($C$5&amp;"生成成长"),2))/((VLOOKUP($B211,INDIRECT($B$5&amp;"生成成长"),4))/(VLOOKUP(U$72,INDIRECT($C$5&amp;"生成成长"),5))*(VLOOKUP($B$5,标准坦克设计!$B$24:$U$30,MATCH("对"&amp;LEFT($C$5,2)&amp;"输出",标准坦克设计!$B$23:$U$23,0)))*(VLOOKUP($B211,INDIRECT($B$5&amp;"生成成长"),3))*(VLOOKUP($B$5,标准坦克设计!$B$14:$K$20,9)/30))</f>
        <v>3.5870712533065321</v>
      </c>
      <c r="V211" s="173">
        <f ca="1">(VLOOKUP(V$72,INDIRECT($C$5&amp;"生成成长"),2))/((VLOOKUP($B211,INDIRECT($B$5&amp;"生成成长"),4))/(VLOOKUP(V$72,INDIRECT($C$5&amp;"生成成长"),5))*(VLOOKUP($B$5,标准坦克设计!$B$24:$U$30,MATCH("对"&amp;LEFT($C$5,2)&amp;"输出",标准坦克设计!$B$23:$U$23,0)))*(VLOOKUP($B211,INDIRECT($B$5&amp;"生成成长"),3))*(VLOOKUP($B$5,标准坦克设计!$B$14:$K$20,9)/30))</f>
        <v>3.9223106935328409</v>
      </c>
      <c r="W211" s="173">
        <f ca="1">(VLOOKUP(W$72,INDIRECT($C$5&amp;"生成成长"),2))/((VLOOKUP($B211,INDIRECT($B$5&amp;"生成成长"),4))/(VLOOKUP(W$72,INDIRECT($C$5&amp;"生成成长"),5))*(VLOOKUP($B$5,标准坦克设计!$B$24:$U$30,MATCH("对"&amp;LEFT($C$5,2)&amp;"输出",标准坦克设计!$B$23:$U$23,0)))*(VLOOKUP($B211,INDIRECT($B$5&amp;"生成成长"),3))*(VLOOKUP($B$5,标准坦克设计!$B$14:$K$20,9)/30))</f>
        <v>4.2725236075161552</v>
      </c>
      <c r="X211" s="173">
        <f ca="1">(VLOOKUP(X$72,INDIRECT($C$5&amp;"生成成长"),2))/((VLOOKUP($B211,INDIRECT($B$5&amp;"生成成长"),4))/(VLOOKUP(X$72,INDIRECT($C$5&amp;"生成成长"),5))*(VLOOKUP($B$5,标准坦克设计!$B$24:$U$30,MATCH("对"&amp;LEFT($C$5,2)&amp;"输出",标准坦克设计!$B$23:$U$23,0)))*(VLOOKUP($B211,INDIRECT($B$5&amp;"生成成长"),3))*(VLOOKUP($B$5,标准坦克设计!$B$14:$K$20,9)/30))</f>
        <v>3.0953497694344736</v>
      </c>
      <c r="Y211" s="173">
        <f ca="1">(VLOOKUP(Y$72,INDIRECT($C$5&amp;"生成成长"),2))/((VLOOKUP($B211,INDIRECT($B$5&amp;"生成成长"),4))/(VLOOKUP(Y$72,INDIRECT($C$5&amp;"生成成长"),5))*(VLOOKUP($B$5,标准坦克设计!$B$24:$U$30,MATCH("对"&amp;LEFT($C$5,2)&amp;"输出",标准坦克设计!$B$23:$U$23,0)))*(VLOOKUP($B211,INDIRECT($B$5&amp;"生成成长"),3))*(VLOOKUP($B$5,标准坦克设计!$B$14:$K$20,9)/30))</f>
        <v>3.4428822467575824</v>
      </c>
      <c r="Z211" s="173">
        <f ca="1">(VLOOKUP(Z$72,INDIRECT($C$5&amp;"生成成长"),2))/((VLOOKUP($B211,INDIRECT($B$5&amp;"生成成长"),4))/(VLOOKUP(Z$72,INDIRECT($C$5&amp;"生成成长"),5))*(VLOOKUP($B$5,标准坦克设计!$B$24:$U$30,MATCH("对"&amp;LEFT($C$5,2)&amp;"输出",标准坦克设计!$B$23:$U$23,0)))*(VLOOKUP($B211,INDIRECT($B$5&amp;"生成成长"),3))*(VLOOKUP($B$5,标准坦克设计!$B$14:$K$20,9)/30))</f>
        <v>3.8089004941510707</v>
      </c>
      <c r="AA211" s="173">
        <f ca="1">(VLOOKUP(AA$72,INDIRECT($C$5&amp;"生成成长"),2))/((VLOOKUP($B211,INDIRECT($B$5&amp;"生成成长"),4))/(VLOOKUP(AA$72,INDIRECT($C$5&amp;"生成成长"),5))*(VLOOKUP($B$5,标准坦克设计!$B$24:$U$30,MATCH("对"&amp;LEFT($C$5,2)&amp;"输出",标准坦克设计!$B$23:$U$23,0)))*(VLOOKUP($B211,INDIRECT($B$5&amp;"生成成长"),3))*(VLOOKUP($B$5,标准坦克设计!$B$14:$K$20,9)/30))</f>
        <v>4.1934045116149363</v>
      </c>
      <c r="AB211" s="173">
        <f ca="1">(VLOOKUP(AB$72,INDIRECT($C$5&amp;"生成成长"),2))/((VLOOKUP($B211,INDIRECT($B$5&amp;"生成成长"),4))/(VLOOKUP(AB$72,INDIRECT($C$5&amp;"生成成长"),5))*(VLOOKUP($B$5,标准坦克设计!$B$24:$U$30,MATCH("对"&amp;LEFT($C$5,2)&amp;"输出",标准坦克设计!$B$23:$U$23,0)))*(VLOOKUP($B211,INDIRECT($B$5&amp;"生成成长"),3))*(VLOOKUP($B$5,标准坦克设计!$B$14:$K$20,9)/30))</f>
        <v>4.5963942991491811</v>
      </c>
      <c r="AC211" s="173">
        <f ca="1">(VLOOKUP(AC$72,INDIRECT($C$5&amp;"生成成长"),2))/((VLOOKUP($B211,INDIRECT($B$5&amp;"生成成长"),4))/(VLOOKUP(AC$72,INDIRECT($C$5&amp;"生成成长"),5))*(VLOOKUP($B$5,标准坦克设计!$B$24:$U$30,MATCH("对"&amp;LEFT($C$5,2)&amp;"输出",标准坦克设计!$B$23:$U$23,0)))*(VLOOKUP($B211,INDIRECT($B$5&amp;"生成成长"),3))*(VLOOKUP($B$5,标准坦克设计!$B$14:$K$20,9)/30))</f>
        <v>5.0178698567538023</v>
      </c>
      <c r="AD211" s="173">
        <f ca="1">(VLOOKUP(AD$72,INDIRECT($C$5&amp;"生成成长"),2))/((VLOOKUP($B211,INDIRECT($B$5&amp;"生成成长"),4))/(VLOOKUP(AD$72,INDIRECT($C$5&amp;"生成成长"),5))*(VLOOKUP($B$5,标准坦克设计!$B$24:$U$30,MATCH("对"&amp;LEFT($C$5,2)&amp;"输出",标准坦克设计!$B$23:$U$23,0)))*(VLOOKUP($B211,INDIRECT($B$5&amp;"生成成长"),3))*(VLOOKUP($B$5,标准坦克设计!$B$14:$K$20,9)/30))</f>
        <v>5.4578311844288034</v>
      </c>
      <c r="AE211" s="173">
        <f ca="1">(VLOOKUP(AE$72,INDIRECT($C$5&amp;"生成成长"),2))/((VLOOKUP($B211,INDIRECT($B$5&amp;"生成成长"),4))/(VLOOKUP(AE$72,INDIRECT($C$5&amp;"生成成长"),5))*(VLOOKUP($B$5,标准坦克设计!$B$24:$U$30,MATCH("对"&amp;LEFT($C$5,2)&amp;"输出",标准坦克设计!$B$23:$U$23,0)))*(VLOOKUP($B211,INDIRECT($B$5&amp;"生成成长"),3))*(VLOOKUP($B$5,标准坦克设计!$B$14:$K$20,9)/30))</f>
        <v>5.9162782821741828</v>
      </c>
      <c r="AF211" s="173">
        <f ca="1">(VLOOKUP(AF$72,INDIRECT($C$5&amp;"生成成长"),2))/((VLOOKUP($B211,INDIRECT($B$5&amp;"生成成长"),4))/(VLOOKUP(AF$72,INDIRECT($C$5&amp;"生成成长"),5))*(VLOOKUP($B$5,标准坦克设计!$B$24:$U$30,MATCH("对"&amp;LEFT($C$5,2)&amp;"输出",标准坦克设计!$B$23:$U$23,0)))*(VLOOKUP($B211,INDIRECT($B$5&amp;"生成成长"),3))*(VLOOKUP($B$5,标准坦克设计!$B$14:$K$20,9)/30))</f>
        <v>6.3932111499899396</v>
      </c>
      <c r="AG211" s="173">
        <f ca="1">(VLOOKUP(AG$72,INDIRECT($C$5&amp;"生成成长"),2))/((VLOOKUP($B211,INDIRECT($B$5&amp;"生成成长"),4))/(VLOOKUP(AG$72,INDIRECT($C$5&amp;"生成成长"),5))*(VLOOKUP($B$5,标准坦克设计!$B$24:$U$30,MATCH("对"&amp;LEFT($C$5,2)&amp;"输出",标准坦克设计!$B$23:$U$23,0)))*(VLOOKUP($B211,INDIRECT($B$5&amp;"生成成长"),3))*(VLOOKUP($B$5,标准坦克设计!$B$14:$K$20,9)/30))</f>
        <v>6.8886297878760745</v>
      </c>
      <c r="AH211" s="173">
        <f ca="1">(VLOOKUP(AH$72,INDIRECT($C$5&amp;"生成成长"),2))/((VLOOKUP($B211,INDIRECT($B$5&amp;"生成成长"),4))/(VLOOKUP(AH$72,INDIRECT($C$5&amp;"生成成长"),5))*(VLOOKUP($B$5,标准坦克设计!$B$24:$U$30,MATCH("对"&amp;LEFT($C$5,2)&amp;"输出",标准坦克设计!$B$23:$U$23,0)))*(VLOOKUP($B211,INDIRECT($B$5&amp;"生成成长"),3))*(VLOOKUP($B$5,标准坦克设计!$B$14:$K$20,9)/30))</f>
        <v>7.4025341958325868</v>
      </c>
      <c r="AI211" s="173">
        <f ca="1">(VLOOKUP(AI$72,INDIRECT($C$5&amp;"生成成长"),2))/((VLOOKUP($B211,INDIRECT($B$5&amp;"生成成长"),4))/(VLOOKUP(AI$72,INDIRECT($C$5&amp;"生成成长"),5))*(VLOOKUP($B$5,标准坦克设计!$B$24:$U$30,MATCH("对"&amp;LEFT($C$5,2)&amp;"输出",标准坦克设计!$B$23:$U$23,0)))*(VLOOKUP($B211,INDIRECT($B$5&amp;"生成成长"),3))*(VLOOKUP($B$5,标准坦克设计!$B$14:$K$20,9)/30))</f>
        <v>5.2355397993325061</v>
      </c>
      <c r="AJ211" s="173">
        <f ca="1">(VLOOKUP(AJ$72,INDIRECT($C$5&amp;"生成成长"),2))/((VLOOKUP($B211,INDIRECT($B$5&amp;"生成成长"),4))/(VLOOKUP(AJ$72,INDIRECT($C$5&amp;"生成成长"),5))*(VLOOKUP($B$5,标准坦克设计!$B$24:$U$30,MATCH("对"&amp;LEFT($C$5,2)&amp;"输出",标准坦克设计!$B$23:$U$23,0)))*(VLOOKUP($B211,INDIRECT($B$5&amp;"生成成长"),3))*(VLOOKUP($B$5,标准坦克设计!$B$14:$K$20,9)/30))</f>
        <v>5.7306811506675848</v>
      </c>
      <c r="AK211" s="173">
        <f ca="1">(VLOOKUP(AK$72,INDIRECT($C$5&amp;"生成成长"),2))/((VLOOKUP($B211,INDIRECT($B$5&amp;"生成成长"),4))/(VLOOKUP(AK$72,INDIRECT($C$5&amp;"生成成长"),5))*(VLOOKUP($B$5,标准坦克设计!$B$24:$U$30,MATCH("对"&amp;LEFT($C$5,2)&amp;"输出",标准坦克设计!$B$23:$U$23,0)))*(VLOOKUP($B211,INDIRECT($B$5&amp;"生成成长"),3))*(VLOOKUP($B$5,标准坦克设计!$B$14:$K$20,9)/30))</f>
        <v>6.2481902837878227</v>
      </c>
      <c r="AL211" s="173">
        <f ca="1">(VLOOKUP(AL$72,INDIRECT($C$5&amp;"生成成长"),2))/((VLOOKUP($B211,INDIRECT($B$5&amp;"生成成长"),4))/(VLOOKUP(AL$72,INDIRECT($C$5&amp;"生成成长"),5))*(VLOOKUP($B$5,标准坦克设计!$B$24:$U$30,MATCH("对"&amp;LEFT($C$5,2)&amp;"输出",标准坦克设计!$B$23:$U$23,0)))*(VLOOKUP($B211,INDIRECT($B$5&amp;"生成成长"),3))*(VLOOKUP($B$5,标准坦克设计!$B$14:$K$20,9)/30))</f>
        <v>6.7880671986932182</v>
      </c>
      <c r="AM211" s="173">
        <f ca="1">(VLOOKUP(AM$72,INDIRECT($C$5&amp;"生成成长"),2))/((VLOOKUP($B211,INDIRECT($B$5&amp;"生成成长"),4))/(VLOOKUP(AM$72,INDIRECT($C$5&amp;"生成成长"),5))*(VLOOKUP($B$5,标准坦克设计!$B$24:$U$30,MATCH("对"&amp;LEFT($C$5,2)&amp;"输出",标准坦克设计!$B$23:$U$23,0)))*(VLOOKUP($B211,INDIRECT($B$5&amp;"生成成长"),3))*(VLOOKUP($B$5,标准坦克设计!$B$14:$K$20,9)/30))</f>
        <v>7.3503118953837685</v>
      </c>
      <c r="AN211" s="173">
        <f ca="1">(VLOOKUP(AN$72,INDIRECT($C$5&amp;"生成成长"),2))/((VLOOKUP($B211,INDIRECT($B$5&amp;"生成成长"),4))/(VLOOKUP(AN$72,INDIRECT($C$5&amp;"生成成长"),5))*(VLOOKUP($B$5,标准坦克设计!$B$24:$U$30,MATCH("对"&amp;LEFT($C$5,2)&amp;"输出",标准坦克设计!$B$23:$U$23,0)))*(VLOOKUP($B211,INDIRECT($B$5&amp;"生成成长"),3))*(VLOOKUP($B$5,标准坦克设计!$B$14:$K$20,9)/30))</f>
        <v>7.934924373859479</v>
      </c>
      <c r="AO211" s="173">
        <f ca="1">(VLOOKUP(AO$72,INDIRECT($C$5&amp;"生成成长"),2))/((VLOOKUP($B211,INDIRECT($B$5&amp;"生成成长"),4))/(VLOOKUP(AO$72,INDIRECT($C$5&amp;"生成成长"),5))*(VLOOKUP($B$5,标准坦克设计!$B$24:$U$30,MATCH("对"&amp;LEFT($C$5,2)&amp;"输出",标准坦克设计!$B$23:$U$23,0)))*(VLOOKUP($B211,INDIRECT($B$5&amp;"生成成长"),3))*(VLOOKUP($B$5,标准坦克设计!$B$14:$K$20,9)/30))</f>
        <v>8.5419046341203462</v>
      </c>
      <c r="AP211" s="173">
        <f ca="1">(VLOOKUP(AP$72,INDIRECT($C$5&amp;"生成成长"),2))/((VLOOKUP($B211,INDIRECT($B$5&amp;"生成成长"),4))/(VLOOKUP(AP$72,INDIRECT($C$5&amp;"生成成长"),5))*(VLOOKUP($B$5,标准坦克设计!$B$24:$U$30,MATCH("对"&amp;LEFT($C$5,2)&amp;"输出",标准坦克设计!$B$23:$U$23,0)))*(VLOOKUP($B211,INDIRECT($B$5&amp;"生成成长"),3))*(VLOOKUP($B$5,标准坦克设计!$B$14:$K$20,9)/30))</f>
        <v>9.1712526761663717</v>
      </c>
      <c r="AQ211" s="173">
        <f ca="1">(VLOOKUP(AQ$72,INDIRECT($C$5&amp;"生成成长"),2))/((VLOOKUP($B211,INDIRECT($B$5&amp;"生成成长"),4))/(VLOOKUP(AQ$72,INDIRECT($C$5&amp;"生成成长"),5))*(VLOOKUP($B$5,标准坦克设计!$B$24:$U$30,MATCH("对"&amp;LEFT($C$5,2)&amp;"输出",标准坦克设计!$B$23:$U$23,0)))*(VLOOKUP($B211,INDIRECT($B$5&amp;"生成成长"),3))*(VLOOKUP($B$5,标准坦克设计!$B$14:$K$20,9)/30))</f>
        <v>9.8229684999975557</v>
      </c>
      <c r="AR211" s="173">
        <f ca="1">(VLOOKUP(AR$72,INDIRECT($C$5&amp;"生成成长"),2))/((VLOOKUP($B211,INDIRECT($B$5&amp;"生成成长"),4))/(VLOOKUP(AR$72,INDIRECT($C$5&amp;"生成成长"),5))*(VLOOKUP($B$5,标准坦克设计!$B$24:$U$30,MATCH("对"&amp;LEFT($C$5,2)&amp;"输出",标准坦克设计!$B$23:$U$23,0)))*(VLOOKUP($B211,INDIRECT($B$5&amp;"生成成长"),3))*(VLOOKUP($B$5,标准坦克设计!$B$14:$K$20,9)/30))</f>
        <v>10.497052105613893</v>
      </c>
      <c r="AS211" s="173">
        <f ca="1">(VLOOKUP(AS$72,INDIRECT($C$5&amp;"生成成长"),2))/((VLOOKUP($B211,INDIRECT($B$5&amp;"生成成长"),4))/(VLOOKUP(AS$72,INDIRECT($C$5&amp;"生成成长"),5))*(VLOOKUP($B$5,标准坦克设计!$B$24:$U$30,MATCH("对"&amp;LEFT($C$5,2)&amp;"输出",标准坦克设计!$B$23:$U$23,0)))*(VLOOKUP($B211,INDIRECT($B$5&amp;"生成成长"),3))*(VLOOKUP($B$5,标准坦克设计!$B$14:$K$20,9)/30))</f>
        <v>11.193503493015392</v>
      </c>
      <c r="AT211" s="173">
        <f ca="1">(VLOOKUP(AT$72,INDIRECT($C$5&amp;"生成成长"),2))/((VLOOKUP($B211,INDIRECT($B$5&amp;"生成成长"),4))/(VLOOKUP(AT$72,INDIRECT($C$5&amp;"生成成长"),5))*(VLOOKUP($B$5,标准坦克设计!$B$24:$U$30,MATCH("对"&amp;LEFT($C$5,2)&amp;"输出",标准坦克设计!$B$23:$U$23,0)))*(VLOOKUP($B211,INDIRECT($B$5&amp;"生成成长"),3))*(VLOOKUP($B$5,标准坦克设计!$B$14:$K$20,9)/30))</f>
        <v>11.912322662202047</v>
      </c>
      <c r="AU211" s="173">
        <f ca="1">(VLOOKUP(AU$72,INDIRECT($C$5&amp;"生成成长"),2))/((VLOOKUP($B211,INDIRECT($B$5&amp;"生成成长"),4))/(VLOOKUP(AU$72,INDIRECT($C$5&amp;"生成成长"),5))*(VLOOKUP($B$5,标准坦克设计!$B$24:$U$30,MATCH("对"&amp;LEFT($C$5,2)&amp;"输出",标准坦克设计!$B$23:$U$23,0)))*(VLOOKUP($B211,INDIRECT($B$5&amp;"生成成长"),3))*(VLOOKUP($B$5,标准坦克设计!$B$14:$K$20,9)/30))</f>
        <v>12.65350961317386</v>
      </c>
      <c r="AV211" s="173">
        <f ca="1">(VLOOKUP(AV$72,INDIRECT($C$5&amp;"生成成长"),2))/((VLOOKUP($B211,INDIRECT($B$5&amp;"生成成长"),4))/(VLOOKUP(AV$72,INDIRECT($C$5&amp;"生成成长"),5))*(VLOOKUP($B$5,标准坦克设计!$B$24:$U$30,MATCH("对"&amp;LEFT($C$5,2)&amp;"输出",标准坦克设计!$B$23:$U$23,0)))*(VLOOKUP($B211,INDIRECT($B$5&amp;"生成成长"),3))*(VLOOKUP($B$5,标准坦克设计!$B$14:$K$20,9)/30))</f>
        <v>1.2869793122997282</v>
      </c>
      <c r="AW211" s="173">
        <f ca="1">(VLOOKUP(AW$72,INDIRECT($C$5&amp;"生成成长"),2))/((VLOOKUP($B211,INDIRECT($B$5&amp;"生成成长"),4))/(VLOOKUP(AW$72,INDIRECT($C$5&amp;"生成成长"),5))*(VLOOKUP($B$5,标准坦克设计!$B$24:$U$30,MATCH("对"&amp;LEFT($C$5,2)&amp;"输出",标准坦克设计!$B$23:$U$23,0)))*(VLOOKUP($B211,INDIRECT($B$5&amp;"生成成长"),3))*(VLOOKUP($B$5,标准坦克设计!$B$14:$K$20,9)/30))</f>
        <v>1.4674004281866195</v>
      </c>
      <c r="AX211" s="173">
        <f ca="1">(VLOOKUP(AX$72,INDIRECT($C$5&amp;"生成成长"),2))/((VLOOKUP($B211,INDIRECT($B$5&amp;"生成成长"),4))/(VLOOKUP(AX$72,INDIRECT($C$5&amp;"生成成长"),5))*(VLOOKUP($B$5,标准坦克设计!$B$24:$U$30,MATCH("对"&amp;LEFT($C$5,2)&amp;"输出",标准坦克设计!$B$23:$U$23,0)))*(VLOOKUP($B211,INDIRECT($B$5&amp;"生成成长"),3))*(VLOOKUP($B$5,标准坦克设计!$B$14:$K$20,9)/30))</f>
        <v>1.6596524369185524</v>
      </c>
      <c r="AY211" s="173">
        <f ca="1">(VLOOKUP(AY$72,INDIRECT($C$5&amp;"生成成长"),2))/((VLOOKUP($B211,INDIRECT($B$5&amp;"生成成长"),4))/(VLOOKUP(AY$72,INDIRECT($C$5&amp;"生成成长"),5))*(VLOOKUP($B$5,标准坦克设计!$B$24:$U$30,MATCH("对"&amp;LEFT($C$5,2)&amp;"输出",标准坦克设计!$B$23:$U$23,0)))*(VLOOKUP($B211,INDIRECT($B$5&amp;"生成成长"),3))*(VLOOKUP($B$5,标准坦克设计!$B$14:$K$20,9)/30))</f>
        <v>1.8637353384955277</v>
      </c>
      <c r="AZ211" s="173">
        <f ca="1">(VLOOKUP(AZ$72,INDIRECT($C$5&amp;"生成成长"),2))/((VLOOKUP($B211,INDIRECT($B$5&amp;"生成成长"),4))/(VLOOKUP(AZ$72,INDIRECT($C$5&amp;"生成成长"),5))*(VLOOKUP($B$5,标准坦克设计!$B$24:$U$30,MATCH("对"&amp;LEFT($C$5,2)&amp;"输出",标准坦克设计!$B$23:$U$23,0)))*(VLOOKUP($B211,INDIRECT($B$5&amp;"生成成长"),3))*(VLOOKUP($B$5,标准坦克设计!$B$14:$K$20,9)/30))</f>
        <v>2.0796491329175448</v>
      </c>
      <c r="BA211" s="173">
        <f ca="1">(VLOOKUP(BA$72,INDIRECT($C$5&amp;"生成成长"),2))/((VLOOKUP($B211,INDIRECT($B$5&amp;"生成成长"),4))/(VLOOKUP(BA$72,INDIRECT($C$5&amp;"生成成长"),5))*(VLOOKUP($B$5,标准坦克设计!$B$24:$U$30,MATCH("对"&amp;LEFT($C$5,2)&amp;"输出",标准坦克设计!$B$23:$U$23,0)))*(VLOOKUP($B211,INDIRECT($B$5&amp;"生成成长"),3))*(VLOOKUP($B$5,标准坦克设计!$B$14:$K$20,9)/30))</f>
        <v>2.3073938201846036</v>
      </c>
      <c r="BB211" s="173">
        <f ca="1">(VLOOKUP(BB$72,INDIRECT($C$5&amp;"生成成长"),2))/((VLOOKUP($B211,INDIRECT($B$5&amp;"生成成长"),4))/(VLOOKUP(BB$72,INDIRECT($C$5&amp;"生成成长"),5))*(VLOOKUP($B$5,标准坦克设计!$B$24:$U$30,MATCH("对"&amp;LEFT($C$5,2)&amp;"输出",标准坦克设计!$B$23:$U$23,0)))*(VLOOKUP($B211,INDIRECT($B$5&amp;"生成成长"),3))*(VLOOKUP($B$5,标准坦克设计!$B$14:$K$20,9)/30))</f>
        <v>2.5469694002967049</v>
      </c>
      <c r="BC211" s="173">
        <f ca="1">(VLOOKUP(BC$72,INDIRECT($C$5&amp;"生成成长"),2))/((VLOOKUP($B211,INDIRECT($B$5&amp;"生成成长"),4))/(VLOOKUP(BC$72,INDIRECT($C$5&amp;"生成成长"),5))*(VLOOKUP($B$5,标准坦克设计!$B$24:$U$30,MATCH("对"&amp;LEFT($C$5,2)&amp;"输出",标准坦克设计!$B$23:$U$23,0)))*(VLOOKUP($B211,INDIRECT($B$5&amp;"生成成长"),3))*(VLOOKUP($B$5,标准坦克设计!$B$14:$K$20,9)/30))</f>
        <v>2.798375873253848</v>
      </c>
      <c r="BD211" s="173">
        <f ca="1">(VLOOKUP(BD$72,INDIRECT($C$5&amp;"生成成长"),2))/((VLOOKUP($B211,INDIRECT($B$5&amp;"生成成长"),4))/(VLOOKUP(BD$72,INDIRECT($C$5&amp;"生成成长"),5))*(VLOOKUP($B$5,标准坦克设计!$B$24:$U$30,MATCH("对"&amp;LEFT($C$5,2)&amp;"输出",标准坦克设计!$B$23:$U$23,0)))*(VLOOKUP($B211,INDIRECT($B$5&amp;"生成成长"),3))*(VLOOKUP($B$5,标准坦克设计!$B$14:$K$20,9)/30))</f>
        <v>3.0953497694344736</v>
      </c>
      <c r="BE211" s="173">
        <f ca="1">(VLOOKUP(BE$72,INDIRECT($C$5&amp;"生成成长"),2))/((VLOOKUP($B211,INDIRECT($B$5&amp;"生成成长"),4))/(VLOOKUP(BE$72,INDIRECT($C$5&amp;"生成成长"),5))*(VLOOKUP($B$5,标准坦克设计!$B$24:$U$30,MATCH("对"&amp;LEFT($C$5,2)&amp;"输出",标准坦克设计!$B$23:$U$23,0)))*(VLOOKUP($B211,INDIRECT($B$5&amp;"生成成长"),3))*(VLOOKUP($B$5,标准坦克设计!$B$14:$K$20,9)/30))</f>
        <v>3.4072971393721057</v>
      </c>
      <c r="BF211" s="173">
        <f ca="1">(VLOOKUP(BF$72,INDIRECT($C$5&amp;"生成成长"),2))/((VLOOKUP($B211,INDIRECT($B$5&amp;"生成成长"),4))/(VLOOKUP(BF$72,INDIRECT($C$5&amp;"生成成长"),5))*(VLOOKUP($B$5,标准坦克设计!$B$24:$U$30,MATCH("对"&amp;LEFT($C$5,2)&amp;"输出",标准坦克设计!$B$23:$U$23,0)))*(VLOOKUP($B211,INDIRECT($B$5&amp;"生成成长"),3))*(VLOOKUP($B$5,标准坦克设计!$B$14:$K$20,9)/30))</f>
        <v>3.7342179830667432</v>
      </c>
      <c r="BG211" s="173">
        <f ca="1">(VLOOKUP(BG$72,INDIRECT($C$5&amp;"生成成长"),2))/((VLOOKUP($B211,INDIRECT($B$5&amp;"生成成长"),4))/(VLOOKUP(BG$72,INDIRECT($C$5&amp;"生成成长"),5))*(VLOOKUP($B$5,标准坦克设计!$B$24:$U$30,MATCH("对"&amp;LEFT($C$5,2)&amp;"输出",标准坦克设计!$B$23:$U$23,0)))*(VLOOKUP($B211,INDIRECT($B$5&amp;"生成成长"),3))*(VLOOKUP($B$5,标准坦克设计!$B$14:$K$20,9)/30))</f>
        <v>4.0761123005183872</v>
      </c>
      <c r="BH211" s="173">
        <f ca="1">(VLOOKUP(BH$72,INDIRECT($C$5&amp;"生成成长"),2))/((VLOOKUP($B211,INDIRECT($B$5&amp;"生成成长"),4))/(VLOOKUP(BH$72,INDIRECT($C$5&amp;"生成成长"),5))*(VLOOKUP($B$5,标准坦克设计!$B$24:$U$30,MATCH("对"&amp;LEFT($C$5,2)&amp;"输出",标准坦克设计!$B$23:$U$23,0)))*(VLOOKUP($B211,INDIRECT($B$5&amp;"生成成长"),3))*(VLOOKUP($B$5,标准坦克设计!$B$14:$K$20,9)/30))</f>
        <v>1.9702133741009058</v>
      </c>
      <c r="BI211" s="173">
        <f ca="1">(VLOOKUP(BI$72,INDIRECT($C$5&amp;"生成成长"),2))/((VLOOKUP($B211,INDIRECT($B$5&amp;"生成成长"),4))/(VLOOKUP(BI$72,INDIRECT($C$5&amp;"生成成长"),5))*(VLOOKUP($B$5,标准坦克设计!$B$24:$U$30,MATCH("对"&amp;LEFT($C$5,2)&amp;"输出",标准坦克设计!$B$23:$U$23,0)))*(VLOOKUP($B211,INDIRECT($B$5&amp;"生成成长"),3))*(VLOOKUP($B$5,标准坦克设计!$B$14:$K$20,9)/30))</f>
        <v>2.2206031297041777</v>
      </c>
      <c r="BJ211" s="173">
        <f ca="1">(VLOOKUP(BJ$72,INDIRECT($C$5&amp;"生成成长"),2))/((VLOOKUP($B211,INDIRECT($B$5&amp;"生成成长"),4))/(VLOOKUP(BJ$72,INDIRECT($C$5&amp;"生成成长"),5))*(VLOOKUP($B$5,标准坦克设计!$B$24:$U$30,MATCH("对"&amp;LEFT($C$5,2)&amp;"输出",标准坦克设计!$B$23:$U$23,0)))*(VLOOKUP($B211,INDIRECT($B$5&amp;"生成成长"),3))*(VLOOKUP($B$5,标准坦克设计!$B$14:$K$20,9)/30))</f>
        <v>2.4859663590644563</v>
      </c>
      <c r="BK211" s="173">
        <f ca="1">(VLOOKUP(BK$72,INDIRECT($C$5&amp;"生成成长"),2))/((VLOOKUP($B211,INDIRECT($B$5&amp;"生成成长"),4))/(VLOOKUP(BK$72,INDIRECT($C$5&amp;"生成成长"),5))*(VLOOKUP($B$5,标准坦克设计!$B$24:$U$30,MATCH("对"&amp;LEFT($C$5,2)&amp;"输出",标准坦克设计!$B$23:$U$23,0)))*(VLOOKUP($B211,INDIRECT($B$5&amp;"生成成长"),3))*(VLOOKUP($B$5,标准坦克设计!$B$14:$K$20,9)/30))</f>
        <v>2.7663030621817417</v>
      </c>
      <c r="BL211" s="173">
        <f ca="1">(VLOOKUP(BL$72,INDIRECT($C$5&amp;"生成成长"),2))/((VLOOKUP($B211,INDIRECT($B$5&amp;"生成成长"),4))/(VLOOKUP(BL$72,INDIRECT($C$5&amp;"生成成长"),5))*(VLOOKUP($B$5,标准坦克设计!$B$24:$U$30,MATCH("对"&amp;LEFT($C$5,2)&amp;"输出",标准坦克设计!$B$23:$U$23,0)))*(VLOOKUP($B211,INDIRECT($B$5&amp;"生成成长"),3))*(VLOOKUP($B$5,标准坦克设计!$B$14:$K$20,9)/30))</f>
        <v>3.0616132390560327</v>
      </c>
      <c r="BM211" s="173">
        <f ca="1">(VLOOKUP(BM$72,INDIRECT($C$5&amp;"生成成长"),2))/((VLOOKUP($B211,INDIRECT($B$5&amp;"生成成长"),4))/(VLOOKUP(BM$72,INDIRECT($C$5&amp;"生成成长"),5))*(VLOOKUP($B$5,标准坦克设计!$B$24:$U$30,MATCH("对"&amp;LEFT($C$5,2)&amp;"输出",标准坦克设计!$B$23:$U$23,0)))*(VLOOKUP($B211,INDIRECT($B$5&amp;"生成成长"),3))*(VLOOKUP($B$5,标准坦克设计!$B$14:$K$20,9)/30))</f>
        <v>3.3718968896873309</v>
      </c>
      <c r="BN211" s="173">
        <f ca="1">(VLOOKUP(BN$72,INDIRECT($C$5&amp;"生成成长"),2))/((VLOOKUP($B211,INDIRECT($B$5&amp;"生成成长"),4))/(VLOOKUP(BN$72,INDIRECT($C$5&amp;"生成成长"),5))*(VLOOKUP($B$5,标准坦克设计!$B$24:$U$30,MATCH("对"&amp;LEFT($C$5,2)&amp;"输出",标准坦克设计!$B$23:$U$23,0)))*(VLOOKUP($B211,INDIRECT($B$5&amp;"生成成长"),3))*(VLOOKUP($B$5,标准坦克设计!$B$14:$K$20,9)/30))</f>
        <v>3.6971540140756343</v>
      </c>
      <c r="BO211" s="173">
        <f ca="1">(VLOOKUP(BO$72,INDIRECT($C$5&amp;"生成成长"),2))/((VLOOKUP($B211,INDIRECT($B$5&amp;"生成成长"),4))/(VLOOKUP(BO$72,INDIRECT($C$5&amp;"生成成长"),5))*(VLOOKUP($B$5,标准坦克设计!$B$24:$U$30,MATCH("对"&amp;LEFT($C$5,2)&amp;"输出",标准坦克设计!$B$23:$U$23,0)))*(VLOOKUP($B211,INDIRECT($B$5&amp;"生成成长"),3))*(VLOOKUP($B$5,标准坦克设计!$B$14:$K$20,9)/30))</f>
        <v>4.0373846122209445</v>
      </c>
      <c r="BP211" s="173">
        <f ca="1">(VLOOKUP(BP$72,INDIRECT($C$5&amp;"生成成长"),2))/((VLOOKUP($B211,INDIRECT($B$5&amp;"生成成长"),4))/(VLOOKUP(BP$72,INDIRECT($C$5&amp;"生成成长"),5))*(VLOOKUP($B$5,标准坦克设计!$B$24:$U$30,MATCH("对"&amp;LEFT($C$5,2)&amp;"输出",标准坦克设计!$B$23:$U$23,0)))*(VLOOKUP($B211,INDIRECT($B$5&amp;"生成成长"),3))*(VLOOKUP($B$5,标准坦克设计!$B$14:$K$20,9)/30))</f>
        <v>4.392588684123262</v>
      </c>
      <c r="BQ211" s="173">
        <f ca="1">(VLOOKUP(BQ$72,INDIRECT($C$5&amp;"生成成长"),2))/((VLOOKUP($B211,INDIRECT($B$5&amp;"生成成长"),4))/(VLOOKUP(BQ$72,INDIRECT($C$5&amp;"生成成长"),5))*(VLOOKUP($B$5,标准坦克设计!$B$24:$U$30,MATCH("对"&amp;LEFT($C$5,2)&amp;"输出",标准坦克设计!$B$23:$U$23,0)))*(VLOOKUP($B211,INDIRECT($B$5&amp;"生成成长"),3))*(VLOOKUP($B$5,标准坦克设计!$B$14:$K$20,9)/30))</f>
        <v>4.7627662297825841</v>
      </c>
      <c r="BR211" s="173">
        <f ca="1">(VLOOKUP(BR$72,INDIRECT($C$5&amp;"生成成长"),2))/((VLOOKUP($B211,INDIRECT($B$5&amp;"生成成长"),4))/(VLOOKUP(BR$72,INDIRECT($C$5&amp;"生成成长"),5))*(VLOOKUP($B$5,标准坦克设计!$B$24:$U$30,MATCH("对"&amp;LEFT($C$5,2)&amp;"输出",标准坦克设计!$B$23:$U$23,0)))*(VLOOKUP($B211,INDIRECT($B$5&amp;"生成成长"),3))*(VLOOKUP($B$5,标准坦克设计!$B$14:$K$20,9)/30))</f>
        <v>5.1916360954153582</v>
      </c>
      <c r="BS211" s="173">
        <f ca="1">(VLOOKUP(BS$72,INDIRECT($C$5&amp;"生成成长"),2))/((VLOOKUP($B211,INDIRECT($B$5&amp;"生成成长"),4))/(VLOOKUP(BS$72,INDIRECT($C$5&amp;"生成成长"),5))*(VLOOKUP($B$5,标准坦克设计!$B$24:$U$30,MATCH("对"&amp;LEFT($C$5,2)&amp;"输出",标准坦克设计!$B$23:$U$23,0)))*(VLOOKUP($B211,INDIRECT($B$5&amp;"生成成长"),3))*(VLOOKUP($B$5,标准坦克设计!$B$14:$K$20,9)/30))</f>
        <v>5.6389917311185087</v>
      </c>
      <c r="BT211" s="173">
        <f ca="1">(VLOOKUP(BT$72,INDIRECT($C$5&amp;"生成成长"),2))/((VLOOKUP($B211,INDIRECT($B$5&amp;"生成成长"),4))/(VLOOKUP(BT$72,INDIRECT($C$5&amp;"生成成长"),5))*(VLOOKUP($B$5,标准坦克设计!$B$24:$U$30,MATCH("对"&amp;LEFT($C$5,2)&amp;"输出",标准坦克设计!$B$23:$U$23,0)))*(VLOOKUP($B211,INDIRECT($B$5&amp;"生成成长"),3))*(VLOOKUP($B$5,标准坦克设计!$B$14:$K$20,9)/30))</f>
        <v>6.104833136892041</v>
      </c>
      <c r="BU211" s="173">
        <f ca="1">(VLOOKUP(BU$72,INDIRECT($C$5&amp;"生成成长"),2))/((VLOOKUP($B211,INDIRECT($B$5&amp;"生成成长"),4))/(VLOOKUP(BU$72,INDIRECT($C$5&amp;"生成成长"),5))*(VLOOKUP($B$5,标准坦克设计!$B$24:$U$30,MATCH("对"&amp;LEFT($C$5,2)&amp;"输出",标准坦克设计!$B$23:$U$23,0)))*(VLOOKUP($B211,INDIRECT($B$5&amp;"生成成长"),3))*(VLOOKUP($B$5,标准坦克设计!$B$14:$K$20,9)/30))</f>
        <v>6.5891603127359479</v>
      </c>
      <c r="BV211" s="173">
        <f ca="1">(VLOOKUP(BV$72,INDIRECT($C$5&amp;"生成成长"),2))/((VLOOKUP($B211,INDIRECT($B$5&amp;"生成成长"),4))/(VLOOKUP(BV$72,INDIRECT($C$5&amp;"生成成长"),5))*(VLOOKUP($B$5,标准坦克设计!$B$24:$U$30,MATCH("对"&amp;LEFT($C$5,2)&amp;"输出",标准坦克设计!$B$23:$U$23,0)))*(VLOOKUP($B211,INDIRECT($B$5&amp;"生成成长"),3))*(VLOOKUP($B$5,标准坦克设计!$B$14:$K$20,9)/30))</f>
        <v>7.0919732586502331</v>
      </c>
      <c r="BW211" s="173">
        <f ca="1">(VLOOKUP(BW$72,INDIRECT($C$5&amp;"生成成长"),2))/((VLOOKUP($B211,INDIRECT($B$5&amp;"生成成长"),4))/(VLOOKUP(BW$72,INDIRECT($C$5&amp;"生成成长"),5))*(VLOOKUP($B$5,标准坦克设计!$B$24:$U$30,MATCH("对"&amp;LEFT($C$5,2)&amp;"输出",标准坦克设计!$B$23:$U$23,0)))*(VLOOKUP($B211,INDIRECT($B$5&amp;"生成成长"),3))*(VLOOKUP($B$5,标准坦克设计!$B$14:$K$20,9)/30))</f>
        <v>3.2321444679552718</v>
      </c>
      <c r="BX211" s="173">
        <f ca="1">(VLOOKUP(BX$72,INDIRECT($C$5&amp;"生成成长"),2))/((VLOOKUP($B211,INDIRECT($B$5&amp;"生成成长"),4))/(VLOOKUP(BX$72,INDIRECT($C$5&amp;"生成成长"),5))*(VLOOKUP($B$5,标准坦克设计!$B$24:$U$30,MATCH("对"&amp;LEFT($C$5,2)&amp;"输出",标准坦克设计!$B$23:$U$23,0)))*(VLOOKUP($B211,INDIRECT($B$5&amp;"生成成长"),3))*(VLOOKUP($B$5,标准坦克设计!$B$14:$K$20,9)/30))</f>
        <v>3.5870712533065321</v>
      </c>
      <c r="BY211" s="173">
        <f ca="1">(VLOOKUP(BY$72,INDIRECT($C$5&amp;"生成成长"),2))/((VLOOKUP($B211,INDIRECT($B$5&amp;"生成成长"),4))/(VLOOKUP(BY$72,INDIRECT($C$5&amp;"生成成长"),5))*(VLOOKUP($B$5,标准坦克设计!$B$24:$U$30,MATCH("对"&amp;LEFT($C$5,2)&amp;"输出",标准坦克设计!$B$23:$U$23,0)))*(VLOOKUP($B211,INDIRECT($B$5&amp;"生成成长"),3))*(VLOOKUP($B$5,标准坦克设计!$B$14:$K$20,9)/30))</f>
        <v>3.960483808728172</v>
      </c>
      <c r="BZ211" s="173">
        <f ca="1">(VLOOKUP(BZ$72,INDIRECT($C$5&amp;"生成成长"),2))/((VLOOKUP($B211,INDIRECT($B$5&amp;"生成成长"),4))/(VLOOKUP(BZ$72,INDIRECT($C$5&amp;"生成成长"),5))*(VLOOKUP($B$5,标准坦克设计!$B$24:$U$30,MATCH("对"&amp;LEFT($C$5,2)&amp;"输出",标准坦克设计!$B$23:$U$23,0)))*(VLOOKUP($B211,INDIRECT($B$5&amp;"生成成长"),3))*(VLOOKUP($B$5,标准坦克设计!$B$14:$K$20,9)/30))</f>
        <v>4.3523821342201892</v>
      </c>
      <c r="CA211" s="173">
        <f ca="1">(VLOOKUP(CA$72,INDIRECT($C$5&amp;"生成成长"),2))/((VLOOKUP($B211,INDIRECT($B$5&amp;"生成成长"),4))/(VLOOKUP(CA$72,INDIRECT($C$5&amp;"生成成长"),5))*(VLOOKUP($B$5,标准坦克设计!$B$24:$U$30,MATCH("对"&amp;LEFT($C$5,2)&amp;"输出",标准坦克设计!$B$23:$U$23,0)))*(VLOOKUP($B211,INDIRECT($B$5&amp;"生成成长"),3))*(VLOOKUP($B$5,标准坦克设计!$B$14:$K$20,9)/30))</f>
        <v>4.7627662297825841</v>
      </c>
      <c r="CB211" s="173">
        <f ca="1">(VLOOKUP(CB$72,INDIRECT($C$5&amp;"生成成长"),2))/((VLOOKUP($B211,INDIRECT($B$5&amp;"生成成长"),4))/(VLOOKUP(CB$72,INDIRECT($C$5&amp;"生成成长"),5))*(VLOOKUP($B$5,标准坦克设计!$B$24:$U$30,MATCH("对"&amp;LEFT($C$5,2)&amp;"输出",标准坦克设计!$B$23:$U$23,0)))*(VLOOKUP($B211,INDIRECT($B$5&amp;"生成成长"),3))*(VLOOKUP($B$5,标准坦克设计!$B$14:$K$20,9)/30))</f>
        <v>5.1916360954153582</v>
      </c>
      <c r="CC211" s="173">
        <f ca="1">(VLOOKUP(CC$72,INDIRECT($C$5&amp;"生成成长"),2))/((VLOOKUP($B211,INDIRECT($B$5&amp;"生成成长"),4))/(VLOOKUP(CC$72,INDIRECT($C$5&amp;"生成成长"),5))*(VLOOKUP($B$5,标准坦克设计!$B$24:$U$30,MATCH("对"&amp;LEFT($C$5,2)&amp;"输出",标准坦克设计!$B$23:$U$23,0)))*(VLOOKUP($B211,INDIRECT($B$5&amp;"生成成长"),3))*(VLOOKUP($B$5,标准坦克设计!$B$14:$K$20,9)/30))</f>
        <v>5.6389917311185087</v>
      </c>
      <c r="CD211" s="173">
        <f ca="1">(VLOOKUP(CD$72,INDIRECT($C$5&amp;"生成成长"),2))/((VLOOKUP($B211,INDIRECT($B$5&amp;"生成成长"),4))/(VLOOKUP(CD$72,INDIRECT($C$5&amp;"生成成长"),5))*(VLOOKUP($B$5,标准坦克设计!$B$24:$U$30,MATCH("对"&amp;LEFT($C$5,2)&amp;"输出",标准坦克设计!$B$23:$U$23,0)))*(VLOOKUP($B211,INDIRECT($B$5&amp;"生成成长"),3))*(VLOOKUP($B$5,标准坦克设计!$B$14:$K$20,9)/30))</f>
        <v>6.104833136892041</v>
      </c>
      <c r="CE211" s="173">
        <f ca="1">(VLOOKUP(CE$72,INDIRECT($C$5&amp;"生成成长"),2))/((VLOOKUP($B211,INDIRECT($B$5&amp;"生成成长"),4))/(VLOOKUP(CE$72,INDIRECT($C$5&amp;"生成成长"),5))*(VLOOKUP($B$5,标准坦克设计!$B$24:$U$30,MATCH("对"&amp;LEFT($C$5,2)&amp;"输出",标准坦克设计!$B$23:$U$23,0)))*(VLOOKUP($B211,INDIRECT($B$5&amp;"生成成长"),3))*(VLOOKUP($B$5,标准坦克设计!$B$14:$K$20,9)/30))</f>
        <v>6.5891603127359479</v>
      </c>
      <c r="CF211" s="173">
        <f ca="1">(VLOOKUP(CF$72,INDIRECT($C$5&amp;"生成成长"),2))/((VLOOKUP($B211,INDIRECT($B$5&amp;"生成成长"),4))/(VLOOKUP(CF$72,INDIRECT($C$5&amp;"生成成长"),5))*(VLOOKUP($B$5,标准坦克设计!$B$24:$U$30,MATCH("对"&amp;LEFT($C$5,2)&amp;"输出",标准坦克设计!$B$23:$U$23,0)))*(VLOOKUP($B211,INDIRECT($B$5&amp;"生成成长"),3))*(VLOOKUP($B$5,标准坦克设计!$B$14:$K$20,9)/30))</f>
        <v>7.0919732586502331</v>
      </c>
      <c r="CG211" s="173">
        <f ca="1">(VLOOKUP(CG$72,INDIRECT($C$5&amp;"生成成长"),2))/((VLOOKUP($B211,INDIRECT($B$5&amp;"生成成长"),4))/(VLOOKUP(CG$72,INDIRECT($C$5&amp;"生成成长"),5))*(VLOOKUP($B$5,标准坦克设计!$B$24:$U$30,MATCH("对"&amp;LEFT($C$5,2)&amp;"输出",标准坦克设计!$B$23:$U$23,0)))*(VLOOKUP($B211,INDIRECT($B$5&amp;"生成成长"),3))*(VLOOKUP($B$5,标准坦克设计!$B$14:$K$20,9)/30))</f>
        <v>7.6132719746349009</v>
      </c>
      <c r="CH211" s="173">
        <f ca="1">(VLOOKUP(CH$72,INDIRECT($C$5&amp;"生成成长"),2))/((VLOOKUP($B211,INDIRECT($B$5&amp;"生成成长"),4))/(VLOOKUP(CH$72,INDIRECT($C$5&amp;"生成成长"),5))*(VLOOKUP($B$5,标准坦克设计!$B$24:$U$30,MATCH("对"&amp;LEFT($C$5,2)&amp;"输出",标准坦克设计!$B$23:$U$23,0)))*(VLOOKUP($B211,INDIRECT($B$5&amp;"生成成长"),3))*(VLOOKUP($B$5,标准坦克设计!$B$14:$K$20,9)/30))</f>
        <v>8.1530564606899425</v>
      </c>
      <c r="CI211" s="173">
        <f ca="1">(VLOOKUP(CI$72,INDIRECT($C$5&amp;"生成成长"),2))/((VLOOKUP($B211,INDIRECT($B$5&amp;"生成成长"),4))/(VLOOKUP(CI$72,INDIRECT($C$5&amp;"生成成长"),5))*(VLOOKUP($B$5,标准坦克设计!$B$24:$U$30,MATCH("对"&amp;LEFT($C$5,2)&amp;"输出",标准坦克设计!$B$23:$U$23,0)))*(VLOOKUP($B211,INDIRECT($B$5&amp;"生成成长"),3))*(VLOOKUP($B$5,标准坦克设计!$B$14:$K$20,9)/30))</f>
        <v>8.7681704597817749</v>
      </c>
      <c r="CJ211" s="173">
        <f ca="1">(VLOOKUP(CJ$72,INDIRECT($C$5&amp;"生成成长"),2))/((VLOOKUP($B211,INDIRECT($B$5&amp;"生成成长"),4))/(VLOOKUP(CJ$72,INDIRECT($C$5&amp;"生成成长"),5))*(VLOOKUP($B$5,标准坦克设计!$B$24:$U$30,MATCH("对"&amp;LEFT($C$5,2)&amp;"输出",标准坦克设计!$B$23:$U$23,0)))*(VLOOKUP($B211,INDIRECT($B$5&amp;"生成成长"),3))*(VLOOKUP($B$5,标准坦克设计!$B$14:$K$20,9)/30))</f>
        <v>9.4056522406587657</v>
      </c>
      <c r="CK211" s="173">
        <f ca="1">(VLOOKUP(CK$72,INDIRECT($C$5&amp;"生成成长"),2))/((VLOOKUP($B211,INDIRECT($B$5&amp;"生成成长"),4))/(VLOOKUP(CK$72,INDIRECT($C$5&amp;"生成成长"),5))*(VLOOKUP($B$5,标准坦克设计!$B$24:$U$30,MATCH("对"&amp;LEFT($C$5,2)&amp;"输出",标准坦克设计!$B$23:$U$23,0)))*(VLOOKUP($B211,INDIRECT($B$5&amp;"生成成长"),3))*(VLOOKUP($B$5,标准坦克设计!$B$14:$K$20,9)/30))</f>
        <v>10.065501803320913</v>
      </c>
      <c r="CL211" s="173">
        <f ca="1">(VLOOKUP(CL$72,INDIRECT($C$5&amp;"生成成长"),2))/((VLOOKUP($B211,INDIRECT($B$5&amp;"生成成长"),4))/(VLOOKUP(CL$72,INDIRECT($C$5&amp;"生成成长"),5))*(VLOOKUP($B$5,标准坦克设计!$B$24:$U$30,MATCH("对"&amp;LEFT($C$5,2)&amp;"输出",标准坦克设计!$B$23:$U$23,0)))*(VLOOKUP($B211,INDIRECT($B$5&amp;"生成成长"),3))*(VLOOKUP($B$5,标准坦克设计!$B$14:$K$20,9)/30))</f>
        <v>10.747719147768223</v>
      </c>
      <c r="CM211" s="173">
        <f ca="1">(VLOOKUP(CM$72,INDIRECT($C$5&amp;"生成成长"),2))/((VLOOKUP($B211,INDIRECT($B$5&amp;"生成成长"),4))/(VLOOKUP(CM$72,INDIRECT($C$5&amp;"生成成长"),5))*(VLOOKUP($B$5,标准坦克设计!$B$24:$U$30,MATCH("对"&amp;LEFT($C$5,2)&amp;"输出",标准坦克设计!$B$23:$U$23,0)))*(VLOOKUP($B211,INDIRECT($B$5&amp;"生成成长"),3))*(VLOOKUP($B$5,标准坦克设计!$B$14:$K$20,9)/30))</f>
        <v>11.452304274000687</v>
      </c>
      <c r="CN211" s="173">
        <f ca="1">(VLOOKUP(CN$72,INDIRECT($C$5&amp;"生成成长"),2))/((VLOOKUP($B211,INDIRECT($B$5&amp;"生成成长"),4))/(VLOOKUP(CN$72,INDIRECT($C$5&amp;"生成成长"),5))*(VLOOKUP($B$5,标准坦克设计!$B$24:$U$30,MATCH("对"&amp;LEFT($C$5,2)&amp;"输出",标准坦克设计!$B$23:$U$23,0)))*(VLOOKUP($B211,INDIRECT($B$5&amp;"生成成长"),3))*(VLOOKUP($B$5,标准坦克设计!$B$14:$K$20,9)/30))</f>
        <v>12.179257182018308</v>
      </c>
      <c r="CO211" s="173">
        <f ca="1">(VLOOKUP(CO$72,INDIRECT($C$5&amp;"生成成长"),2))/((VLOOKUP($B211,INDIRECT($B$5&amp;"生成成长"),4))/(VLOOKUP(CO$72,INDIRECT($C$5&amp;"生成成长"),5))*(VLOOKUP($B$5,标准坦克设计!$B$24:$U$30,MATCH("对"&amp;LEFT($C$5,2)&amp;"输出",标准坦克设计!$B$23:$U$23,0)))*(VLOOKUP($B211,INDIRECT($B$5&amp;"生成成长"),3))*(VLOOKUP($B$5,标准坦克设计!$B$14:$K$20,9)/30))</f>
        <v>5.4578311844288034</v>
      </c>
      <c r="CP211" s="173">
        <f ca="1">(VLOOKUP(CP$72,INDIRECT($C$5&amp;"生成成长"),2))/((VLOOKUP($B211,INDIRECT($B$5&amp;"生成成长"),4))/(VLOOKUP(CP$72,INDIRECT($C$5&amp;"生成成长"),5))*(VLOOKUP($B$5,标准坦克设计!$B$24:$U$30,MATCH("对"&amp;LEFT($C$5,2)&amp;"输出",标准坦克设计!$B$23:$U$23,0)))*(VLOOKUP($B211,INDIRECT($B$5&amp;"生成成长"),3))*(VLOOKUP($B$5,标准坦克设计!$B$14:$K$20,9)/30))</f>
        <v>5.9631397093025909</v>
      </c>
      <c r="CQ211" s="173">
        <f ca="1">(VLOOKUP(CQ$72,INDIRECT($C$5&amp;"生成成长"),2))/((VLOOKUP($B211,INDIRECT($B$5&amp;"生成成长"),4))/(VLOOKUP(CQ$72,INDIRECT($C$5&amp;"生成成长"),5))*(VLOOKUP($B$5,标准坦克设计!$B$24:$U$30,MATCH("对"&amp;LEFT($C$5,2)&amp;"输出",标准坦克设计!$B$23:$U$23,0)))*(VLOOKUP($B211,INDIRECT($B$5&amp;"生成成长"),3))*(VLOOKUP($B$5,标准坦克设计!$B$14:$K$20,9)/30))</f>
        <v>6.4908160159615358</v>
      </c>
      <c r="CR211" s="173">
        <f ca="1">(VLOOKUP(CR$72,INDIRECT($C$5&amp;"生成成长"),2))/((VLOOKUP($B211,INDIRECT($B$5&amp;"生成成长"),4))/(VLOOKUP(CR$72,INDIRECT($C$5&amp;"生成成长"),5))*(VLOOKUP($B$5,标准坦克设计!$B$24:$U$30,MATCH("对"&amp;LEFT($C$5,2)&amp;"输出",标准坦克设计!$B$23:$U$23,0)))*(VLOOKUP($B211,INDIRECT($B$5&amp;"生成成长"),3))*(VLOOKUP($B$5,标准坦克设计!$B$14:$K$20,9)/30))</f>
        <v>7.0408601044056391</v>
      </c>
      <c r="CS211" s="173">
        <f ca="1">(VLOOKUP(CS$72,INDIRECT($C$5&amp;"生成成长"),2))/((VLOOKUP($B211,INDIRECT($B$5&amp;"生成成长"),4))/(VLOOKUP(CS$72,INDIRECT($C$5&amp;"生成成长"),5))*(VLOOKUP($B$5,标准坦克设计!$B$24:$U$30,MATCH("对"&amp;LEFT($C$5,2)&amp;"输出",标准坦克设计!$B$23:$U$23,0)))*(VLOOKUP($B211,INDIRECT($B$5&amp;"生成成长"),3))*(VLOOKUP($B$5,标准坦克设计!$B$14:$K$20,9)/30))</f>
        <v>7.6132719746349009</v>
      </c>
      <c r="CT211" s="173">
        <f ca="1">(VLOOKUP(CT$72,INDIRECT($C$5&amp;"生成成长"),2))/((VLOOKUP($B211,INDIRECT($B$5&amp;"生成成长"),4))/(VLOOKUP(CT$72,INDIRECT($C$5&amp;"生成成长"),5))*(VLOOKUP($B$5,标准坦克设计!$B$24:$U$30,MATCH("对"&amp;LEFT($C$5,2)&amp;"输出",标准坦克设计!$B$23:$U$23,0)))*(VLOOKUP($B211,INDIRECT($B$5&amp;"生成成长"),3))*(VLOOKUP($B$5,标准坦克设计!$B$14:$K$20,9)/30))</f>
        <v>8.2080516266493149</v>
      </c>
      <c r="CU211" s="173">
        <f ca="1">(VLOOKUP(CU$72,INDIRECT($C$5&amp;"生成成长"),2))/((VLOOKUP($B211,INDIRECT($B$5&amp;"生成成长"),4))/(VLOOKUP(CU$72,INDIRECT($C$5&amp;"生成成长"),5))*(VLOOKUP($B$5,标准坦克设计!$B$24:$U$30,MATCH("对"&amp;LEFT($C$5,2)&amp;"输出",标准坦克设计!$B$23:$U$23,0)))*(VLOOKUP($B211,INDIRECT($B$5&amp;"生成成长"),3))*(VLOOKUP($B$5,标准坦克设计!$B$14:$K$20,9)/30))</f>
        <v>8.8251990604488899</v>
      </c>
      <c r="CV211" s="173">
        <f ca="1">(VLOOKUP(CV$72,INDIRECT($C$5&amp;"生成成长"),2))/((VLOOKUP($B211,INDIRECT($B$5&amp;"生成成长"),4))/(VLOOKUP(CV$72,INDIRECT($C$5&amp;"生成成长"),5))*(VLOOKUP($B$5,标准坦克设计!$B$24:$U$30,MATCH("对"&amp;LEFT($C$5,2)&amp;"输出",标准坦克设计!$B$23:$U$23,0)))*(VLOOKUP($B211,INDIRECT($B$5&amp;"生成成长"),3))*(VLOOKUP($B$5,标准坦克设计!$B$14:$K$20,9)/30))</f>
        <v>9.4647142760336234</v>
      </c>
      <c r="CW211" s="173">
        <f ca="1">(VLOOKUP(CW$72,INDIRECT($C$5&amp;"生成成长"),2))/((VLOOKUP($B211,INDIRECT($B$5&amp;"生成成长"),4))/(VLOOKUP(CW$72,INDIRECT($C$5&amp;"生成成长"),5))*(VLOOKUP($B$5,标准坦克设计!$B$24:$U$30,MATCH("对"&amp;LEFT($C$5,2)&amp;"输出",标准坦克设计!$B$23:$U$23,0)))*(VLOOKUP($B211,INDIRECT($B$5&amp;"生成成长"),3))*(VLOOKUP($B$5,标准坦克设计!$B$14:$K$20,9)/30))</f>
        <v>10.126597273403515</v>
      </c>
      <c r="CX211" s="173">
        <f ca="1">(VLOOKUP(CX$72,INDIRECT($C$5&amp;"生成成长"),2))/((VLOOKUP($B211,INDIRECT($B$5&amp;"生成成长"),4))/(VLOOKUP(CX$72,INDIRECT($C$5&amp;"生成成长"),5))*(VLOOKUP($B$5,标准坦克设计!$B$24:$U$30,MATCH("对"&amp;LEFT($C$5,2)&amp;"输出",标准坦克设计!$B$23:$U$23,0)))*(VLOOKUP($B211,INDIRECT($B$5&amp;"生成成长"),3))*(VLOOKUP($B$5,标准坦克设计!$B$14:$K$20,9)/30))</f>
        <v>10.810848052558564</v>
      </c>
      <c r="CY211" s="173">
        <f ca="1">(VLOOKUP(CY$72,INDIRECT($C$5&amp;"生成成长"),2))/((VLOOKUP($B211,INDIRECT($B$5&amp;"生成成长"),4))/(VLOOKUP(CY$72,INDIRECT($C$5&amp;"生成成长"),5))*(VLOOKUP($B$5,标准坦克设计!$B$24:$U$30,MATCH("对"&amp;LEFT($C$5,2)&amp;"输出",标准坦克设计!$B$23:$U$23,0)))*(VLOOKUP($B211,INDIRECT($B$5&amp;"生成成长"),3))*(VLOOKUP($B$5,标准坦克设计!$B$14:$K$20,9)/30))</f>
        <v>11.517466613498771</v>
      </c>
      <c r="CZ211" s="173">
        <f ca="1">(VLOOKUP(CZ$72,INDIRECT($C$5&amp;"生成成长"),2))/((VLOOKUP($B211,INDIRECT($B$5&amp;"生成成长"),4))/(VLOOKUP(CZ$72,INDIRECT($C$5&amp;"生成成长"),5))*(VLOOKUP($B$5,标准坦克设计!$B$24:$U$30,MATCH("对"&amp;LEFT($C$5,2)&amp;"输出",标准坦克设计!$B$23:$U$23,0)))*(VLOOKUP($B211,INDIRECT($B$5&amp;"生成成长"),3))*(VLOOKUP($B$5,标准坦克设计!$B$14:$K$20,9)/30))</f>
        <v>12.246452956224131</v>
      </c>
      <c r="DA211" s="173">
        <f ca="1">(VLOOKUP(DA$72,INDIRECT($C$5&amp;"生成成长"),2))/((VLOOKUP($B211,INDIRECT($B$5&amp;"生成成长"),4))/(VLOOKUP(DA$72,INDIRECT($C$5&amp;"生成成长"),5))*(VLOOKUP($B$5,标准坦克设计!$B$24:$U$30,MATCH("对"&amp;LEFT($C$5,2)&amp;"输出",标准坦克设计!$B$23:$U$23,0)))*(VLOOKUP($B211,INDIRECT($B$5&amp;"生成成长"),3))*(VLOOKUP($B$5,标准坦克设计!$B$14:$K$20,9)/30))</f>
        <v>12.997807080734653</v>
      </c>
      <c r="DB211" s="173">
        <f ca="1">(VLOOKUP(DB$72,INDIRECT($C$5&amp;"生成成长"),2))/((VLOOKUP($B211,INDIRECT($B$5&amp;"生成成长"),4))/(VLOOKUP(DB$72,INDIRECT($C$5&amp;"生成成长"),5))*(VLOOKUP($B$5,标准坦克设计!$B$24:$U$30,MATCH("对"&amp;LEFT($C$5,2)&amp;"输出",标准坦克设计!$B$23:$U$23,0)))*(VLOOKUP($B211,INDIRECT($B$5&amp;"生成成长"),3))*(VLOOKUP($B$5,标准坦克设计!$B$14:$K$20,9)/30))</f>
        <v>13.771528987030329</v>
      </c>
      <c r="DC211" s="173">
        <f ca="1">(VLOOKUP(DC$72,INDIRECT($C$5&amp;"生成成长"),2))/((VLOOKUP($B211,INDIRECT($B$5&amp;"生成成长"),4))/(VLOOKUP(DC$72,INDIRECT($C$5&amp;"生成成长"),5))*(VLOOKUP($B$5,标准坦克设计!$B$24:$U$30,MATCH("对"&amp;LEFT($C$5,2)&amp;"输出",标准坦克设计!$B$23:$U$23,0)))*(VLOOKUP($B211,INDIRECT($B$5&amp;"生成成长"),3))*(VLOOKUP($B$5,标准坦克设计!$B$14:$K$20,9)/30))</f>
        <v>14.64109961114092</v>
      </c>
      <c r="DD211" s="173">
        <f ca="1">(VLOOKUP(DD$72,INDIRECT($C$5&amp;"生成成长"),2))/((VLOOKUP($B211,INDIRECT($B$5&amp;"生成成长"),4))/(VLOOKUP(DD$72,INDIRECT($C$5&amp;"生成成长"),5))*(VLOOKUP($B$5,标准坦克设计!$B$24:$U$30,MATCH("对"&amp;LEFT($C$5,2)&amp;"输出",标准坦克设计!$B$23:$U$23,0)))*(VLOOKUP($B211,INDIRECT($B$5&amp;"生成成长"),3))*(VLOOKUP($B$5,标准坦克设计!$B$14:$K$20,9)/30))</f>
        <v>15.537289744152854</v>
      </c>
      <c r="DE211" s="173">
        <f ca="1">(VLOOKUP(DE$72,INDIRECT($C$5&amp;"生成成长"),2))/((VLOOKUP($B211,INDIRECT($B$5&amp;"生成成长"),4))/(VLOOKUP(DE$72,INDIRECT($C$5&amp;"生成成长"),5))*(VLOOKUP($B$5,标准坦克设计!$B$24:$U$30,MATCH("对"&amp;LEFT($C$5,2)&amp;"输出",标准坦克设计!$B$23:$U$23,0)))*(VLOOKUP($B211,INDIRECT($B$5&amp;"生成成长"),3))*(VLOOKUP($B$5,标准坦克设计!$B$14:$K$20,9)/30))</f>
        <v>16.460099386066133</v>
      </c>
      <c r="DF211" s="173">
        <f ca="1">(VLOOKUP(DF$72,INDIRECT($C$5&amp;"生成成长"),2))/((VLOOKUP($B211,INDIRECT($B$5&amp;"生成成长"),4))/(VLOOKUP(DF$72,INDIRECT($C$5&amp;"生成成长"),5))*(VLOOKUP($B$5,标准坦克设计!$B$24:$U$30,MATCH("对"&amp;LEFT($C$5,2)&amp;"输出",标准坦克设计!$B$23:$U$23,0)))*(VLOOKUP($B211,INDIRECT($B$5&amp;"生成成长"),3))*(VLOOKUP($B$5,标准坦克设计!$B$14:$K$20,9)/30))</f>
        <v>17.409528536880757</v>
      </c>
      <c r="DG211" s="173">
        <f ca="1">(VLOOKUP(DG$72,INDIRECT($C$5&amp;"生成成长"),2))/((VLOOKUP($B211,INDIRECT($B$5&amp;"生成成长"),4))/(VLOOKUP(DG$72,INDIRECT($C$5&amp;"生成成长"),5))*(VLOOKUP($B$5,标准坦克设计!$B$24:$U$30,MATCH("对"&amp;LEFT($C$5,2)&amp;"输出",标准坦克设计!$B$23:$U$23,0)))*(VLOOKUP($B211,INDIRECT($B$5&amp;"生成成长"),3))*(VLOOKUP($B$5,标准坦克设计!$B$14:$K$20,9)/30))</f>
        <v>18.385577196596724</v>
      </c>
      <c r="DH211" s="173">
        <f ca="1">(VLOOKUP(DH$72,INDIRECT($C$5&amp;"生成成长"),2))/((VLOOKUP($B211,INDIRECT($B$5&amp;"生成成长"),4))/(VLOOKUP(DH$72,INDIRECT($C$5&amp;"生成成长"),5))*(VLOOKUP($B$5,标准坦克设计!$B$24:$U$30,MATCH("对"&amp;LEFT($C$5,2)&amp;"输出",标准坦克设计!$B$23:$U$23,0)))*(VLOOKUP($B211,INDIRECT($B$5&amp;"生成成长"),3))*(VLOOKUP($B$5,标准坦克设计!$B$14:$K$20,9)/30))</f>
        <v>19.388245365214036</v>
      </c>
      <c r="DI211" s="173">
        <f ca="1">(VLOOKUP(DI$72,INDIRECT($C$5&amp;"生成成长"),2))/((VLOOKUP($B211,INDIRECT($B$5&amp;"生成成长"),4))/(VLOOKUP(DI$72,INDIRECT($C$5&amp;"生成成长"),5))*(VLOOKUP($B$5,标准坦克设计!$B$24:$U$30,MATCH("对"&amp;LEFT($C$5,2)&amp;"输出",标准坦克设计!$B$23:$U$23,0)))*(VLOOKUP($B211,INDIRECT($B$5&amp;"生成成长"),3))*(VLOOKUP($B$5,标准坦克设计!$B$14:$K$20,9)/30))</f>
        <v>20.417533042732693</v>
      </c>
      <c r="DJ211" s="173">
        <f ca="1">(VLOOKUP(DJ$72,INDIRECT($C$5&amp;"生成成长"),2))/((VLOOKUP($B211,INDIRECT($B$5&amp;"生成成长"),4))/(VLOOKUP(DJ$72,INDIRECT($C$5&amp;"生成成长"),5))*(VLOOKUP($B$5,标准坦克设计!$B$24:$U$30,MATCH("对"&amp;LEFT($C$5,2)&amp;"输出",标准坦克设计!$B$23:$U$23,0)))*(VLOOKUP($B211,INDIRECT($B$5&amp;"生成成长"),3))*(VLOOKUP($B$5,标准坦克设计!$B$14:$K$20,9)/30))</f>
        <v>2.0520129066623287</v>
      </c>
      <c r="DK211" s="173">
        <f ca="1">(VLOOKUP(DK$72,INDIRECT($C$5&amp;"生成成长"),2))/((VLOOKUP($B211,INDIRECT($B$5&amp;"生成成长"),4))/(VLOOKUP(DK$72,INDIRECT($C$5&amp;"生成成长"),5))*(VLOOKUP($B$5,标准坦克设计!$B$24:$U$30,MATCH("对"&amp;LEFT($C$5,2)&amp;"输出",标准坦克设计!$B$23:$U$23,0)))*(VLOOKUP($B211,INDIRECT($B$5&amp;"生成成长"),3))*(VLOOKUP($B$5,标准坦克设计!$B$14:$K$20,9)/30))</f>
        <v>2.3073938201846036</v>
      </c>
      <c r="DL211" s="173">
        <f ca="1">(VLOOKUP(DL$72,INDIRECT($C$5&amp;"生成成长"),2))/((VLOOKUP($B211,INDIRECT($B$5&amp;"生成成长"),4))/(VLOOKUP(DL$72,INDIRECT($C$5&amp;"生成成长"),5))*(VLOOKUP($B$5,标准坦克设计!$B$24:$U$30,MATCH("对"&amp;LEFT($C$5,2)&amp;"输出",标准坦克设计!$B$23:$U$23,0)))*(VLOOKUP($B211,INDIRECT($B$5&amp;"生成成长"),3))*(VLOOKUP($B$5,标准坦克设计!$B$14:$K$20,9)/30))</f>
        <v>2.577748207463884</v>
      </c>
      <c r="DM211" s="173">
        <f ca="1">(VLOOKUP(DM$72,INDIRECT($C$5&amp;"生成成长"),2))/((VLOOKUP($B211,INDIRECT($B$5&amp;"生成成长"),4))/(VLOOKUP(DM$72,INDIRECT($C$5&amp;"生成成长"),5))*(VLOOKUP($B$5,标准坦克设计!$B$24:$U$30,MATCH("对"&amp;LEFT($C$5,2)&amp;"输出",标准坦克设计!$B$23:$U$23,0)))*(VLOOKUP($B211,INDIRECT($B$5&amp;"生成成长"),3))*(VLOOKUP($B$5,标准坦克设计!$B$14:$K$20,9)/30))</f>
        <v>2.8630760685001717</v>
      </c>
      <c r="DN211" s="173">
        <f ca="1">(VLOOKUP(DN$72,INDIRECT($C$5&amp;"生成成长"),2))/((VLOOKUP($B211,INDIRECT($B$5&amp;"生成成长"),4))/(VLOOKUP(DN$72,INDIRECT($C$5&amp;"生成成长"),5))*(VLOOKUP($B$5,标准坦克设计!$B$24:$U$30,MATCH("对"&amp;LEFT($C$5,2)&amp;"输出",标准坦克设计!$B$23:$U$23,0)))*(VLOOKUP($B211,INDIRECT($B$5&amp;"生成成长"),3))*(VLOOKUP($B$5,标准坦克设计!$B$14:$K$20,9)/30))</f>
        <v>3.163377403293465</v>
      </c>
      <c r="DO211" s="173">
        <f ca="1">(VLOOKUP(DO$72,INDIRECT($C$5&amp;"生成成长"),2))/((VLOOKUP($B211,INDIRECT($B$5&amp;"生成成长"),4))/(VLOOKUP(DO$72,INDIRECT($C$5&amp;"生成成长"),5))*(VLOOKUP($B$5,标准坦克设计!$B$24:$U$30,MATCH("对"&amp;LEFT($C$5,2)&amp;"输出",标准坦克设计!$B$23:$U$23,0)))*(VLOOKUP($B211,INDIRECT($B$5&amp;"生成成长"),3))*(VLOOKUP($B$5,标准坦克设计!$B$14:$K$20,9)/30))</f>
        <v>3.4786522118437651</v>
      </c>
      <c r="DP211" s="173">
        <f ca="1">(VLOOKUP(DP$72,INDIRECT($C$5&amp;"生成成长"),2))/((VLOOKUP($B211,INDIRECT($B$5&amp;"生成成长"),4))/(VLOOKUP(DP$72,INDIRECT($C$5&amp;"生成成长"),5))*(VLOOKUP($B$5,标准坦克设计!$B$24:$U$30,MATCH("对"&amp;LEFT($C$5,2)&amp;"输出",标准坦克设计!$B$23:$U$23,0)))*(VLOOKUP($B211,INDIRECT($B$5&amp;"生成成长"),3))*(VLOOKUP($B$5,标准坦克设计!$B$14:$K$20,9)/30))</f>
        <v>3.8089004941510707</v>
      </c>
      <c r="DQ211" s="173">
        <f ca="1">(VLOOKUP(DQ$72,INDIRECT($C$5&amp;"生成成长"),2))/((VLOOKUP($B211,INDIRECT($B$5&amp;"生成成长"),4))/(VLOOKUP(DQ$72,INDIRECT($C$5&amp;"生成成长"),5))*(VLOOKUP($B$5,标准坦克设计!$B$24:$U$30,MATCH("对"&amp;LEFT($C$5,2)&amp;"输出",标准坦克设计!$B$23:$U$23,0)))*(VLOOKUP($B211,INDIRECT($B$5&amp;"生成成长"),3))*(VLOOKUP($B$5,标准坦克设计!$B$14:$K$20,9)/30))</f>
        <v>4.1541222502153827</v>
      </c>
      <c r="DR211" s="173">
        <f ca="1">(VLOOKUP(DR$72,INDIRECT($C$5&amp;"生成成长"),2))/((VLOOKUP($B211,INDIRECT($B$5&amp;"生成成长"),4))/(VLOOKUP(DR$72,INDIRECT($C$5&amp;"生成成长"),5))*(VLOOKUP($B$5,标准坦克设计!$B$24:$U$30,MATCH("对"&amp;LEFT($C$5,2)&amp;"输出",标准坦克设计!$B$23:$U$23,0)))*(VLOOKUP($B211,INDIRECT($B$5&amp;"生成成长"),3))*(VLOOKUP($B$5,标准坦克设计!$B$14:$K$20,9)/30))</f>
        <v>4.5143174800367021</v>
      </c>
      <c r="DS211" s="173">
        <f ca="1">(VLOOKUP(DS$72,INDIRECT($C$5&amp;"生成成长"),2))/((VLOOKUP($B211,INDIRECT($B$5&amp;"生成成长"),4))/(VLOOKUP(DS$72,INDIRECT($C$5&amp;"生成成长"),5))*(VLOOKUP($B$5,标准坦克设计!$B$24:$U$30,MATCH("对"&amp;LEFT($C$5,2)&amp;"输出",标准坦克设计!$B$23:$U$23,0)))*(VLOOKUP($B211,INDIRECT($B$5&amp;"生成成长"),3))*(VLOOKUP($B$5,标准坦克设计!$B$14:$K$20,9)/30))</f>
        <v>4.889486183615027</v>
      </c>
      <c r="DT211" s="173">
        <f ca="1">(VLOOKUP(DT$72,INDIRECT($C$5&amp;"生成成长"),2))/((VLOOKUP($B211,INDIRECT($B$5&amp;"生成成长"),4))/(VLOOKUP(DT$72,INDIRECT($C$5&amp;"生成成长"),5))*(VLOOKUP($B$5,标准坦克设计!$B$24:$U$30,MATCH("对"&amp;LEFT($C$5,2)&amp;"输出",标准坦克设计!$B$23:$U$23,0)))*(VLOOKUP($B211,INDIRECT($B$5&amp;"生成成长"),3))*(VLOOKUP($B$5,标准坦克设计!$B$14:$K$20,9)/30))</f>
        <v>5.3683600572881724</v>
      </c>
      <c r="DU211" s="173">
        <f ca="1">(VLOOKUP(DU$72,INDIRECT($C$5&amp;"生成成长"),2))/((VLOOKUP($B211,INDIRECT($B$5&amp;"生成成长"),4))/(VLOOKUP(DU$72,INDIRECT($C$5&amp;"生成成长"),5))*(VLOOKUP($B$5,标准坦克设计!$B$24:$U$30,MATCH("对"&amp;LEFT($C$5,2)&amp;"输出",标准坦克设计!$B$23:$U$23,0)))*(VLOOKUP($B211,INDIRECT($B$5&amp;"生成成长"),3))*(VLOOKUP($B$5,标准坦克设计!$B$14:$K$20,9)/30))</f>
        <v>5.8696017127464781</v>
      </c>
      <c r="DV211" s="173">
        <f ca="1">(VLOOKUP(DV$72,INDIRECT($C$5&amp;"生成成长"),2))/((VLOOKUP($B211,INDIRECT($B$5&amp;"生成成长"),4))/(VLOOKUP(DV$72,INDIRECT($C$5&amp;"生成成长"),5))*(VLOOKUP($B$5,标准坦克设计!$B$24:$U$30,MATCH("对"&amp;LEFT($C$5,2)&amp;"输出",标准坦克设计!$B$23:$U$23,0)))*(VLOOKUP($B211,INDIRECT($B$5&amp;"生成成长"),3))*(VLOOKUP($B$5,标准坦克设计!$B$14:$K$20,9)/30))</f>
        <v>6.3932111499899396</v>
      </c>
      <c r="DW211" s="173">
        <f ca="1">(VLOOKUP(DW$72,INDIRECT($C$5&amp;"生成成长"),2))/((VLOOKUP($B211,INDIRECT($B$5&amp;"生成成长"),4))/(VLOOKUP(DW$72,INDIRECT($C$5&amp;"生成成长"),5))*(VLOOKUP($B$5,标准坦克设计!$B$24:$U$30,MATCH("对"&amp;LEFT($C$5,2)&amp;"输出",标准坦克设计!$B$23:$U$23,0)))*(VLOOKUP($B211,INDIRECT($B$5&amp;"生成成长"),3))*(VLOOKUP($B$5,标准坦克设计!$B$14:$K$20,9)/30))</f>
        <v>6.9391883690185576</v>
      </c>
      <c r="DX211" s="173">
        <f ca="1">(VLOOKUP(DX$72,INDIRECT($C$5&amp;"生成成长"),2))/((VLOOKUP($B211,INDIRECT($B$5&amp;"生成成长"),4))/(VLOOKUP(DX$72,INDIRECT($C$5&amp;"生成成长"),5))*(VLOOKUP($B$5,标准坦克设计!$B$24:$U$30,MATCH("对"&amp;LEFT($C$5,2)&amp;"输出",标准坦克设计!$B$23:$U$23,0)))*(VLOOKUP($B211,INDIRECT($B$5&amp;"生成成长"),3))*(VLOOKUP($B$5,标准坦克设计!$B$14:$K$20,9)/30))</f>
        <v>7.5075333698323359</v>
      </c>
      <c r="DY211" s="173">
        <f ca="1">(VLOOKUP(DY$72,INDIRECT($C$5&amp;"生成成长"),2))/((VLOOKUP($B211,INDIRECT($B$5&amp;"生成成长"),4))/(VLOOKUP(DY$72,INDIRECT($C$5&amp;"生成成长"),5))*(VLOOKUP($B$5,标准坦克设计!$B$24:$U$30,MATCH("对"&amp;LEFT($C$5,2)&amp;"输出",标准坦克设计!$B$23:$U$23,0)))*(VLOOKUP($B211,INDIRECT($B$5&amp;"生成成长"),3))*(VLOOKUP($B$5,标准坦克设计!$B$14:$K$20,9)/30))</f>
        <v>3.3718968896873309</v>
      </c>
      <c r="DZ211" s="173">
        <f ca="1">(VLOOKUP(DZ$72,INDIRECT($C$5&amp;"生成成长"),2))/((VLOOKUP($B211,INDIRECT($B$5&amp;"生成成长"),4))/(VLOOKUP(DZ$72,INDIRECT($C$5&amp;"生成成长"),5))*(VLOOKUP($B$5,标准坦克设计!$B$24:$U$30,MATCH("对"&amp;LEFT($C$5,2)&amp;"输出",标准坦克设计!$B$23:$U$23,0)))*(VLOOKUP($B211,INDIRECT($B$5&amp;"生成成长"),3))*(VLOOKUP($B$5,标准坦克设计!$B$14:$K$20,9)/30))</f>
        <v>3.7342179830667432</v>
      </c>
      <c r="EA211" s="173">
        <f ca="1">(VLOOKUP(EA$72,INDIRECT($C$5&amp;"生成成长"),2))/((VLOOKUP($B211,INDIRECT($B$5&amp;"生成成长"),4))/(VLOOKUP(EA$72,INDIRECT($C$5&amp;"生成成长"),5))*(VLOOKUP($B$5,标准坦克设计!$B$24:$U$30,MATCH("对"&amp;LEFT($C$5,2)&amp;"输出",标准坦克设计!$B$23:$U$23,0)))*(VLOOKUP($B211,INDIRECT($B$5&amp;"生成成长"),3))*(VLOOKUP($B$5,标准坦克设计!$B$14:$K$20,9)/30))</f>
        <v>4.1150248465165333</v>
      </c>
      <c r="EB211" s="173">
        <f ca="1">(VLOOKUP(EB$72,INDIRECT($C$5&amp;"生成成长"),2))/((VLOOKUP($B211,INDIRECT($B$5&amp;"生成成长"),4))/(VLOOKUP(EB$72,INDIRECT($C$5&amp;"生成成长"),5))*(VLOOKUP($B$5,标准坦克设计!$B$24:$U$30,MATCH("对"&amp;LEFT($C$5,2)&amp;"输出",标准坦克设计!$B$23:$U$23,0)))*(VLOOKUP($B211,INDIRECT($B$5&amp;"生成成长"),3))*(VLOOKUP($B$5,标准坦克设计!$B$14:$K$20,9)/30))</f>
        <v>4.5143174800367021</v>
      </c>
      <c r="EC211" s="173">
        <f ca="1">(VLOOKUP(EC$72,INDIRECT($C$5&amp;"生成成长"),2))/((VLOOKUP($B211,INDIRECT($B$5&amp;"生成成长"),4))/(VLOOKUP(EC$72,INDIRECT($C$5&amp;"生成成长"),5))*(VLOOKUP($B$5,标准坦克设计!$B$24:$U$30,MATCH("对"&amp;LEFT($C$5,2)&amp;"输出",标准坦克设计!$B$23:$U$23,0)))*(VLOOKUP($B211,INDIRECT($B$5&amp;"生成成长"),3))*(VLOOKUP($B$5,标准坦克设计!$B$14:$K$20,9)/30))</f>
        <v>4.9320958836272482</v>
      </c>
      <c r="ED211" s="173">
        <f ca="1">(VLOOKUP(ED$72,INDIRECT($C$5&amp;"生成成长"),2))/((VLOOKUP($B211,INDIRECT($B$5&amp;"生成成长"),4))/(VLOOKUP(ED$72,INDIRECT($C$5&amp;"生成成长"),5))*(VLOOKUP($B$5,标准坦克设计!$B$24:$U$30,MATCH("对"&amp;LEFT($C$5,2)&amp;"输出",标准坦克设计!$B$23:$U$23,0)))*(VLOOKUP($B211,INDIRECT($B$5&amp;"生成成长"),3))*(VLOOKUP($B$5,标准坦克设计!$B$14:$K$20,9)/30))</f>
        <v>5.3683600572881724</v>
      </c>
      <c r="EE211" s="173">
        <f ca="1">(VLOOKUP(EE$72,INDIRECT($C$5&amp;"生成成长"),2))/((VLOOKUP($B211,INDIRECT($B$5&amp;"生成成长"),4))/(VLOOKUP(EE$72,INDIRECT($C$5&amp;"生成成长"),5))*(VLOOKUP($B$5,标准坦克设计!$B$24:$U$30,MATCH("对"&amp;LEFT($C$5,2)&amp;"输出",标准坦克设计!$B$23:$U$23,0)))*(VLOOKUP($B211,INDIRECT($B$5&amp;"生成成长"),3))*(VLOOKUP($B$5,标准坦克设计!$B$14:$K$20,9)/30))</f>
        <v>5.8231100010194758</v>
      </c>
      <c r="EF211" s="173">
        <f ca="1">(VLOOKUP(EF$72,INDIRECT($C$5&amp;"生成成长"),2))/((VLOOKUP($B211,INDIRECT($B$5&amp;"生成成长"),4))/(VLOOKUP(EF$72,INDIRECT($C$5&amp;"生成成长"),5))*(VLOOKUP($B$5,标准坦克设计!$B$24:$U$30,MATCH("对"&amp;LEFT($C$5,2)&amp;"输出",标准坦克设计!$B$23:$U$23,0)))*(VLOOKUP($B211,INDIRECT($B$5&amp;"生成成长"),3))*(VLOOKUP($B$5,标准坦克设计!$B$14:$K$20,9)/30))</f>
        <v>6.2963457148211575</v>
      </c>
      <c r="EG211" s="173">
        <f ca="1">(VLOOKUP(EG$72,INDIRECT($C$5&amp;"生成成长"),2))/((VLOOKUP($B211,INDIRECT($B$5&amp;"生成成长"),4))/(VLOOKUP(EG$72,INDIRECT($C$5&amp;"生成成长"),5))*(VLOOKUP($B$5,标准坦克设计!$B$24:$U$30,MATCH("对"&amp;LEFT($C$5,2)&amp;"输出",标准坦克设计!$B$23:$U$23,0)))*(VLOOKUP($B211,INDIRECT($B$5&amp;"生成成长"),3))*(VLOOKUP($B$5,标准坦克设计!$B$14:$K$20,9)/30))</f>
        <v>6.7880671986932182</v>
      </c>
      <c r="EH211" s="173">
        <f ca="1">(VLOOKUP(EH$72,INDIRECT($C$5&amp;"生成成长"),2))/((VLOOKUP($B211,INDIRECT($B$5&amp;"生成成长"),4))/(VLOOKUP(EH$72,INDIRECT($C$5&amp;"生成成长"),5))*(VLOOKUP($B$5,标准坦克设计!$B$24:$U$30,MATCH("对"&amp;LEFT($C$5,2)&amp;"输出",标准坦克设计!$B$23:$U$23,0)))*(VLOOKUP($B211,INDIRECT($B$5&amp;"生成成长"),3))*(VLOOKUP($B$5,标准坦克设计!$B$14:$K$20,9)/30))</f>
        <v>7.2982744526356544</v>
      </c>
      <c r="EI211" s="173">
        <f ca="1">(VLOOKUP(EI$72,INDIRECT($C$5&amp;"生成成长"),2))/((VLOOKUP($B211,INDIRECT($B$5&amp;"生成成长"),4))/(VLOOKUP(EI$72,INDIRECT($C$5&amp;"生成成长"),5))*(VLOOKUP($B$5,标准坦克设计!$B$24:$U$30,MATCH("对"&amp;LEFT($C$5,2)&amp;"输出",标准坦克设计!$B$23:$U$23,0)))*(VLOOKUP($B211,INDIRECT($B$5&amp;"生成成长"),3))*(VLOOKUP($B$5,标准坦克设计!$B$14:$K$20,9)/30))</f>
        <v>7.8269674766484716</v>
      </c>
      <c r="EJ211" s="173">
        <f ca="1">(VLOOKUP(EJ$72,INDIRECT($C$5&amp;"生成成长"),2))/((VLOOKUP($B211,INDIRECT($B$5&amp;"生成成长"),4))/(VLOOKUP(EJ$72,INDIRECT($C$5&amp;"生成成长"),5))*(VLOOKUP($B$5,标准坦克设计!$B$24:$U$30,MATCH("对"&amp;LEFT($C$5,2)&amp;"输出",标准坦克设计!$B$23:$U$23,0)))*(VLOOKUP($B211,INDIRECT($B$5&amp;"生成成长"),3))*(VLOOKUP($B$5,标准坦克设计!$B$14:$K$20,9)/30))</f>
        <v>8.3741462707316643</v>
      </c>
      <c r="EK211" s="173">
        <f ca="1">(VLOOKUP(EK$72,INDIRECT($C$5&amp;"生成成长"),2))/((VLOOKUP($B211,INDIRECT($B$5&amp;"生成成长"),4))/(VLOOKUP(EK$72,INDIRECT($C$5&amp;"生成成长"),5))*(VLOOKUP($B$5,标准坦克设计!$B$24:$U$30,MATCH("对"&amp;LEFT($C$5,2)&amp;"输出",标准坦克设计!$B$23:$U$23,0)))*(VLOOKUP($B211,INDIRECT($B$5&amp;"生成成长"),3))*(VLOOKUP($B$5,标准坦克设计!$B$14:$K$20,9)/30))</f>
        <v>9.0551620401243955</v>
      </c>
      <c r="EL211" s="173">
        <f ca="1">(VLOOKUP(EL$72,INDIRECT($C$5&amp;"生成成长"),2))/((VLOOKUP($B211,INDIRECT($B$5&amp;"生成成长"),4))/(VLOOKUP(EL$72,INDIRECT($C$5&amp;"生成成长"),5))*(VLOOKUP($B$5,标准坦克设计!$B$24:$U$30,MATCH("对"&amp;LEFT($C$5,2)&amp;"输出",标准坦克设计!$B$23:$U$23,0)))*(VLOOKUP($B211,INDIRECT($B$5&amp;"生成成长"),3))*(VLOOKUP($B$5,标准坦克设计!$B$14:$K$20,9)/30))</f>
        <v>9.7627973184184711</v>
      </c>
      <c r="EM211" s="173">
        <f ca="1">(VLOOKUP(EM$72,INDIRECT($C$5&amp;"生成成长"),2))/((VLOOKUP($B211,INDIRECT($B$5&amp;"生成成长"),4))/(VLOOKUP(EM$72,INDIRECT($C$5&amp;"生成成长"),5))*(VLOOKUP($B$5,标准坦克设计!$B$24:$U$30,MATCH("对"&amp;LEFT($C$5,2)&amp;"输出",标准坦克设计!$B$23:$U$23,0)))*(VLOOKUP($B211,INDIRECT($B$5&amp;"生成成长"),3))*(VLOOKUP($B$5,标准坦克设计!$B$14:$K$20,9)/30))</f>
        <v>10.497052105613893</v>
      </c>
      <c r="EN211" s="173">
        <f ca="1">(VLOOKUP(EN$72,INDIRECT($C$5&amp;"生成成长"),2))/((VLOOKUP($B211,INDIRECT($B$5&amp;"生成成长"),4))/(VLOOKUP(EN$72,INDIRECT($C$5&amp;"生成成长"),5))*(VLOOKUP($B$5,标准坦克设计!$B$24:$U$30,MATCH("对"&amp;LEFT($C$5,2)&amp;"输出",标准坦克设计!$B$23:$U$23,0)))*(VLOOKUP($B211,INDIRECT($B$5&amp;"生成成长"),3))*(VLOOKUP($B$5,标准坦克设计!$B$14:$K$20,9)/30))</f>
        <v>11.257926401710659</v>
      </c>
      <c r="EO211" s="173">
        <f ca="1">(VLOOKUP(EO$72,INDIRECT($C$5&amp;"生成成长"),2))/((VLOOKUP($B211,INDIRECT($B$5&amp;"生成成长"),4))/(VLOOKUP(EO$72,INDIRECT($C$5&amp;"生成成长"),5))*(VLOOKUP($B$5,标准坦克设计!$B$24:$U$30,MATCH("对"&amp;LEFT($C$5,2)&amp;"输出",标准坦克设计!$B$23:$U$23,0)))*(VLOOKUP($B211,INDIRECT($B$5&amp;"生成成长"),3))*(VLOOKUP($B$5,标准坦克设计!$B$14:$K$20,9)/30))</f>
        <v>12.045420206708771</v>
      </c>
      <c r="EP211" s="173">
        <f ca="1">(VLOOKUP(EP$72,INDIRECT($C$5&amp;"生成成长"),2))/((VLOOKUP($B211,INDIRECT($B$5&amp;"生成成长"),4))/(VLOOKUP(EP$72,INDIRECT($C$5&amp;"生成成长"),5))*(VLOOKUP($B$5,标准坦克设计!$B$24:$U$30,MATCH("对"&amp;LEFT($C$5,2)&amp;"输出",标准坦克设计!$B$23:$U$23,0)))*(VLOOKUP($B211,INDIRECT($B$5&amp;"生成成长"),3))*(VLOOKUP($B$5,标准坦克设计!$B$14:$K$20,9)/30))</f>
        <v>12.859533520608224</v>
      </c>
      <c r="EQ211" s="173">
        <f ca="1">(VLOOKUP(EQ$72,INDIRECT($C$5&amp;"生成成长"),2))/((VLOOKUP($B211,INDIRECT($B$5&amp;"生成成长"),4))/(VLOOKUP(EQ$72,INDIRECT($C$5&amp;"生成成长"),5))*(VLOOKUP($B$5,标准坦克设计!$B$24:$U$30,MATCH("对"&amp;LEFT($C$5,2)&amp;"输出",标准坦克设计!$B$23:$U$23,0)))*(VLOOKUP($B211,INDIRECT($B$5&amp;"生成成长"),3))*(VLOOKUP($B$5,标准坦克设计!$B$14:$K$20,9)/30))</f>
        <v>5.6847440120426951</v>
      </c>
      <c r="ER211" s="173">
        <f ca="1">(VLOOKUP(ER$72,INDIRECT($C$5&amp;"生成成长"),2))/((VLOOKUP($B211,INDIRECT($B$5&amp;"生成成长"),4))/(VLOOKUP(ER$72,INDIRECT($C$5&amp;"生成成长"),5))*(VLOOKUP($B$5,标准坦克设计!$B$24:$U$30,MATCH("对"&amp;LEFT($C$5,2)&amp;"输出",标准坦克设计!$B$23:$U$23,0)))*(VLOOKUP($B211,INDIRECT($B$5&amp;"生成成长"),3))*(VLOOKUP($B$5,标准坦克设计!$B$14:$K$20,9)/30))</f>
        <v>6.2002197104551913</v>
      </c>
      <c r="ES211" s="173">
        <f ca="1">(VLOOKUP(ES$72,INDIRECT($C$5&amp;"生成成长"),2))/((VLOOKUP($B211,INDIRECT($B$5&amp;"生成成长"),4))/(VLOOKUP(ES$72,INDIRECT($C$5&amp;"生成成长"),5))*(VLOOKUP($B$5,标准坦克设计!$B$24:$U$30,MATCH("对"&amp;LEFT($C$5,2)&amp;"输出",标准坦克设计!$B$23:$U$23,0)))*(VLOOKUP($B211,INDIRECT($B$5&amp;"生成成长"),3))*(VLOOKUP($B$5,标准坦克设计!$B$14:$K$20,9)/30))</f>
        <v>6.7380631906528441</v>
      </c>
      <c r="ET211" s="173">
        <f ca="1">(VLOOKUP(ET$72,INDIRECT($C$5&amp;"生成成长"),2))/((VLOOKUP($B211,INDIRECT($B$5&amp;"生成成长"),4))/(VLOOKUP(ET$72,INDIRECT($C$5&amp;"生成成长"),5))*(VLOOKUP($B$5,标准坦克设计!$B$24:$U$30,MATCH("对"&amp;LEFT($C$5,2)&amp;"输出",标准坦克设计!$B$23:$U$23,0)))*(VLOOKUP($B211,INDIRECT($B$5&amp;"生成成长"),3))*(VLOOKUP($B$5,标准坦克设计!$B$14:$K$20,9)/30))</f>
        <v>7.2982744526356544</v>
      </c>
      <c r="EU211" s="173">
        <f ca="1">(VLOOKUP(EU$72,INDIRECT($C$5&amp;"生成成长"),2))/((VLOOKUP($B211,INDIRECT($B$5&amp;"生成成长"),4))/(VLOOKUP(EU$72,INDIRECT($C$5&amp;"生成成长"),5))*(VLOOKUP($B$5,标准坦克设计!$B$24:$U$30,MATCH("对"&amp;LEFT($C$5,2)&amp;"输出",标准坦克设计!$B$23:$U$23,0)))*(VLOOKUP($B211,INDIRECT($B$5&amp;"生成成长"),3))*(VLOOKUP($B$5,标准坦克设计!$B$14:$K$20,9)/30))</f>
        <v>7.8808534964036232</v>
      </c>
      <c r="EV211" s="173">
        <f ca="1">(VLOOKUP(EV$72,INDIRECT($C$5&amp;"生成成长"),2))/((VLOOKUP($B211,INDIRECT($B$5&amp;"生成成长"),4))/(VLOOKUP(EV$72,INDIRECT($C$5&amp;"生成成长"),5))*(VLOOKUP($B$5,标准坦克设计!$B$24:$U$30,MATCH("对"&amp;LEFT($C$5,2)&amp;"输出",标准坦克设计!$B$23:$U$23,0)))*(VLOOKUP($B211,INDIRECT($B$5&amp;"生成成长"),3))*(VLOOKUP($B$5,标准坦克设计!$B$14:$K$20,9)/30))</f>
        <v>8.4858003219567504</v>
      </c>
      <c r="EW211" s="173">
        <f ca="1">(VLOOKUP(EW$72,INDIRECT($C$5&amp;"生成成长"),2))/((VLOOKUP($B211,INDIRECT($B$5&amp;"生成成长"),4))/(VLOOKUP(EW$72,INDIRECT($C$5&amp;"生成成长"),5))*(VLOOKUP($B$5,标准坦克设计!$B$24:$U$30,MATCH("对"&amp;LEFT($C$5,2)&amp;"输出",标准坦克设计!$B$23:$U$23,0)))*(VLOOKUP($B211,INDIRECT($B$5&amp;"生成成长"),3))*(VLOOKUP($B$5,标准坦克设计!$B$14:$K$20,9)/30))</f>
        <v>9.1131149292950315</v>
      </c>
      <c r="EX211" s="173">
        <f ca="1">(VLOOKUP(EX$72,INDIRECT($C$5&amp;"生成成长"),2))/((VLOOKUP($B211,INDIRECT($B$5&amp;"生成成长"),4))/(VLOOKUP(EX$72,INDIRECT($C$5&amp;"生成成长"),5))*(VLOOKUP($B$5,标准坦克设计!$B$24:$U$30,MATCH("对"&amp;LEFT($C$5,2)&amp;"输出",标准坦克设计!$B$23:$U$23,0)))*(VLOOKUP($B211,INDIRECT($B$5&amp;"生成成长"),3))*(VLOOKUP($B$5,标准坦克设计!$B$14:$K$20,9)/30))</f>
        <v>9.7627973184184711</v>
      </c>
      <c r="EY211" s="173">
        <f ca="1">(VLOOKUP(EY$72,INDIRECT($C$5&amp;"生成成长"),2))/((VLOOKUP($B211,INDIRECT($B$5&amp;"生成成长"),4))/(VLOOKUP(EY$72,INDIRECT($C$5&amp;"生成成长"),5))*(VLOOKUP($B$5,标准坦克设计!$B$24:$U$30,MATCH("对"&amp;LEFT($C$5,2)&amp;"输出",标准坦克设计!$B$23:$U$23,0)))*(VLOOKUP($B211,INDIRECT($B$5&amp;"生成成长"),3))*(VLOOKUP($B$5,标准坦克设计!$B$14:$K$20,9)/30))</f>
        <v>10.434847489327071</v>
      </c>
      <c r="EZ211" s="173">
        <f ca="1">(VLOOKUP(EZ$72,INDIRECT($C$5&amp;"生成成长"),2))/((VLOOKUP($B211,INDIRECT($B$5&amp;"生成成长"),4))/(VLOOKUP(EZ$72,INDIRECT($C$5&amp;"生成成长"),5))*(VLOOKUP($B$5,标准坦克设计!$B$24:$U$30,MATCH("对"&amp;LEFT($C$5,2)&amp;"输出",标准坦克设计!$B$23:$U$23,0)))*(VLOOKUP($B211,INDIRECT($B$5&amp;"生成成长"),3))*(VLOOKUP($B$5,标准坦克设计!$B$14:$K$20,9)/30))</f>
        <v>11.129265442020827</v>
      </c>
      <c r="FA211" s="173">
        <f ca="1">(VLOOKUP(FA$72,INDIRECT($C$5&amp;"生成成长"),2))/((VLOOKUP($B211,INDIRECT($B$5&amp;"生成成长"),4))/(VLOOKUP(FA$72,INDIRECT($C$5&amp;"生成成长"),5))*(VLOOKUP($B$5,标准坦克设计!$B$24:$U$30,MATCH("对"&amp;LEFT($C$5,2)&amp;"输出",标准坦克设计!$B$23:$U$23,0)))*(VLOOKUP($B211,INDIRECT($B$5&amp;"生成成长"),3))*(VLOOKUP($B$5,标准坦克设计!$B$14:$K$20,9)/30))</f>
        <v>11.846051176499742</v>
      </c>
      <c r="FB211" s="173">
        <f ca="1">(VLOOKUP(FB$72,INDIRECT($C$5&amp;"生成成长"),2))/((VLOOKUP($B211,INDIRECT($B$5&amp;"生成成长"),4))/(VLOOKUP(FB$72,INDIRECT($C$5&amp;"生成成长"),5))*(VLOOKUP($B$5,标准坦克设计!$B$24:$U$30,MATCH("对"&amp;LEFT($C$5,2)&amp;"输出",标准坦克设计!$B$23:$U$23,0)))*(VLOOKUP($B211,INDIRECT($B$5&amp;"生成成长"),3))*(VLOOKUP($B$5,标准坦克设计!$B$14:$K$20,9)/30))</f>
        <v>12.585204692763813</v>
      </c>
      <c r="FC211" s="173">
        <f ca="1">(VLOOKUP(FC$72,INDIRECT($C$5&amp;"生成成长"),2))/((VLOOKUP($B211,INDIRECT($B$5&amp;"生成成长"),4))/(VLOOKUP(FC$72,INDIRECT($C$5&amp;"生成成长"),5))*(VLOOKUP($B$5,标准坦克设计!$B$24:$U$30,MATCH("对"&amp;LEFT($C$5,2)&amp;"输出",标准坦克设计!$B$23:$U$23,0)))*(VLOOKUP($B211,INDIRECT($B$5&amp;"生成成长"),3))*(VLOOKUP($B$5,标准坦克设计!$B$14:$K$20,9)/30))</f>
        <v>13.346725990813042</v>
      </c>
      <c r="FD211" s="173">
        <f ca="1">(VLOOKUP(FD$72,INDIRECT($C$5&amp;"生成成长"),2))/((VLOOKUP($B211,INDIRECT($B$5&amp;"生成成长"),4))/(VLOOKUP(FD$72,INDIRECT($C$5&amp;"生成成长"),5))*(VLOOKUP($B$5,标准坦克设计!$B$24:$U$30,MATCH("对"&amp;LEFT($C$5,2)&amp;"输出",标准坦克设计!$B$23:$U$23,0)))*(VLOOKUP($B211,INDIRECT($B$5&amp;"生成成长"),3))*(VLOOKUP($B$5,标准坦克设计!$B$14:$K$20,9)/30))</f>
        <v>14.130615070647425</v>
      </c>
      <c r="FE211" s="173">
        <f ca="1">(VLOOKUP(FE$72,INDIRECT($C$5&amp;"生成成长"),2))/((VLOOKUP($B211,INDIRECT($B$5&amp;"生成成长"),4))/(VLOOKUP(FE$72,INDIRECT($C$5&amp;"生成成长"),5))*(VLOOKUP($B$5,标准坦克设计!$B$24:$U$30,MATCH("对"&amp;LEFT($C$5,2)&amp;"输出",标准坦克设计!$B$23:$U$23,0)))*(VLOOKUP($B211,INDIRECT($B$5&amp;"生成成长"),3))*(VLOOKUP($B$5,标准坦克设计!$B$14:$K$20,9)/30))</f>
        <v>15.085867239034219</v>
      </c>
      <c r="FF211" s="173">
        <f ca="1">(VLOOKUP(FF$72,INDIRECT($C$5&amp;"生成成长"),2))/((VLOOKUP($B211,INDIRECT($B$5&amp;"生成成长"),4))/(VLOOKUP(FF$72,INDIRECT($C$5&amp;"生成成长"),5))*(VLOOKUP($B$5,标准坦克设计!$B$24:$U$30,MATCH("对"&amp;LEFT($C$5,2)&amp;"输出",标准坦克设计!$B$23:$U$23,0)))*(VLOOKUP($B211,INDIRECT($B$5&amp;"生成成长"),3))*(VLOOKUP($B$5,标准坦克设计!$B$14:$K$20,9)/30))</f>
        <v>16.072360358839951</v>
      </c>
      <c r="FG211" s="173">
        <f ca="1">(VLOOKUP(FG$72,INDIRECT($C$5&amp;"生成成长"),2))/((VLOOKUP($B211,INDIRECT($B$5&amp;"生成成长"),4))/(VLOOKUP(FG$72,INDIRECT($C$5&amp;"生成成长"),5))*(VLOOKUP($B$5,标准坦克设计!$B$24:$U$30,MATCH("对"&amp;LEFT($C$5,2)&amp;"输出",标准坦克设计!$B$23:$U$23,0)))*(VLOOKUP($B211,INDIRECT($B$5&amp;"生成成长"),3))*(VLOOKUP($B$5,标准坦克设计!$B$14:$K$20,9)/30))</f>
        <v>17.090094430064621</v>
      </c>
      <c r="FH211" s="173">
        <f ca="1">(VLOOKUP(FH$72,INDIRECT($C$5&amp;"生成成长"),2))/((VLOOKUP($B211,INDIRECT($B$5&amp;"生成成长"),4))/(VLOOKUP(FH$72,INDIRECT($C$5&amp;"生成成长"),5))*(VLOOKUP($B$5,标准坦克设计!$B$24:$U$30,MATCH("对"&amp;LEFT($C$5,2)&amp;"输出",标准坦克设计!$B$23:$U$23,0)))*(VLOOKUP($B211,INDIRECT($B$5&amp;"生成成长"),3))*(VLOOKUP($B$5,标准坦克设计!$B$14:$K$20,9)/30))</f>
        <v>18.139069452708227</v>
      </c>
      <c r="FI211" s="173">
        <f ca="1">(VLOOKUP(FI$72,INDIRECT($C$5&amp;"生成成长"),2))/((VLOOKUP($B211,INDIRECT($B$5&amp;"生成成长"),4))/(VLOOKUP(FI$72,INDIRECT($C$5&amp;"生成成长"),5))*(VLOOKUP($B$5,标准坦克设计!$B$24:$U$30,MATCH("对"&amp;LEFT($C$5,2)&amp;"输出",标准坦克设计!$B$23:$U$23,0)))*(VLOOKUP($B211,INDIRECT($B$5&amp;"生成成长"),3))*(VLOOKUP($B$5,标准坦克设计!$B$14:$K$20,9)/30))</f>
        <v>19.219285426770782</v>
      </c>
      <c r="FJ211" s="173">
        <f ca="1">(VLOOKUP(FJ$72,INDIRECT($C$5&amp;"生成成长"),2))/((VLOOKUP($B211,INDIRECT($B$5&amp;"生成成长"),4))/(VLOOKUP(FJ$72,INDIRECT($C$5&amp;"生成成长"),5))*(VLOOKUP($B$5,标准坦克设计!$B$24:$U$30,MATCH("对"&amp;LEFT($C$5,2)&amp;"输出",标准坦克设计!$B$23:$U$23,0)))*(VLOOKUP($B211,INDIRECT($B$5&amp;"生成成长"),3))*(VLOOKUP($B$5,标准坦克设计!$B$14:$K$20,9)/30))</f>
        <v>20.330742352252262</v>
      </c>
      <c r="FK211" s="173">
        <f ca="1">(VLOOKUP(FK$72,INDIRECT($C$5&amp;"生成成长"),2))/((VLOOKUP($B211,INDIRECT($B$5&amp;"生成成长"),4))/(VLOOKUP(FK$72,INDIRECT($C$5&amp;"生成成长"),5))*(VLOOKUP($B$5,标准坦克设计!$B$24:$U$30,MATCH("对"&amp;LEFT($C$5,2)&amp;"输出",标准坦克设计!$B$23:$U$23,0)))*(VLOOKUP($B211,INDIRECT($B$5&amp;"生成成长"),3))*(VLOOKUP($B$5,标准坦克设计!$B$14:$K$20,9)/30))</f>
        <v>21.47344022915269</v>
      </c>
    </row>
    <row r="212" spans="1:167" x14ac:dyDescent="0.15">
      <c r="A212" s="171" t="str">
        <f t="shared" si="13"/>
        <v>T4高品质14级</v>
      </c>
      <c r="B212" s="172">
        <v>30414</v>
      </c>
      <c r="C212" s="173">
        <f ca="1">(VLOOKUP(C$72,INDIRECT($C$5&amp;"生成成长"),2))/((VLOOKUP($B212,INDIRECT($B$5&amp;"生成成长"),4))/(VLOOKUP(C$72,INDIRECT($C$5&amp;"生成成长"),5))*(VLOOKUP($B$5,标准坦克设计!$B$24:$U$30,MATCH("对"&amp;LEFT($C$5,2)&amp;"输出",标准坦克设计!$B$23:$U$23,0)))*(VLOOKUP($B212,INDIRECT($B$5&amp;"生成成长"),3))*(VLOOKUP($B$5,标准坦克设计!$B$14:$K$20,9)/30))</f>
        <v>0.85922869498490761</v>
      </c>
      <c r="D212" s="173">
        <f ca="1">(VLOOKUP(D$72,INDIRECT($C$5&amp;"生成成长"),2))/((VLOOKUP($B212,INDIRECT($B$5&amp;"生成成长"),4))/(VLOOKUP(D$72,INDIRECT($C$5&amp;"生成成长"),5))*(VLOOKUP($B$5,标准坦克设计!$B$24:$U$30,MATCH("对"&amp;LEFT($C$5,2)&amp;"输出",标准坦克设计!$B$23:$U$23,0)))*(VLOOKUP($B212,INDIRECT($B$5&amp;"生成成长"),3))*(VLOOKUP($B$5,标准坦克设计!$B$14:$K$20,9)/30))</f>
        <v>0.96542936168504234</v>
      </c>
      <c r="E212" s="173">
        <f ca="1">(VLOOKUP(E$72,INDIRECT($C$5&amp;"生成成长"),2))/((VLOOKUP($B212,INDIRECT($B$5&amp;"生成成长"),4))/(VLOOKUP(E$72,INDIRECT($C$5&amp;"生成成长"),5))*(VLOOKUP($B$5,标准坦克设计!$B$24:$U$30,MATCH("对"&amp;LEFT($C$5,2)&amp;"输出",标准坦克设计!$B$23:$U$23,0)))*(VLOOKUP($B212,INDIRECT($B$5&amp;"生成成长"),3))*(VLOOKUP($B$5,标准坦克设计!$B$14:$K$20,9)/30))</f>
        <v>1.0778164749890682</v>
      </c>
      <c r="F212" s="173">
        <f ca="1">(VLOOKUP(F$72,INDIRECT($C$5&amp;"生成成长"),2))/((VLOOKUP($B212,INDIRECT($B$5&amp;"生成成长"),4))/(VLOOKUP(F$72,INDIRECT($C$5&amp;"生成成长"),5))*(VLOOKUP($B$5,标准坦克设计!$B$24:$U$30,MATCH("对"&amp;LEFT($C$5,2)&amp;"输出",标准坦克设计!$B$23:$U$23,0)))*(VLOOKUP($B212,INDIRECT($B$5&amp;"生成成长"),3))*(VLOOKUP($B$5,标准坦克设计!$B$14:$K$20,9)/30))</f>
        <v>1.1963900348969854</v>
      </c>
      <c r="G212" s="173">
        <f ca="1">(VLOOKUP(G$72,INDIRECT($C$5&amp;"生成成长"),2))/((VLOOKUP($B212,INDIRECT($B$5&amp;"生成成长"),4))/(VLOOKUP(G$72,INDIRECT($C$5&amp;"生成成长"),5))*(VLOOKUP($B$5,标准坦克设计!$B$24:$U$30,MATCH("对"&amp;LEFT($C$5,2)&amp;"输出",标准坦克设计!$B$23:$U$23,0)))*(VLOOKUP($B212,INDIRECT($B$5&amp;"生成成长"),3))*(VLOOKUP($B$5,标准坦克设计!$B$14:$K$20,9)/30))</f>
        <v>1.3211500414087938</v>
      </c>
      <c r="H212" s="173">
        <f ca="1">(VLOOKUP(H$72,INDIRECT($C$5&amp;"生成成长"),2))/((VLOOKUP($B212,INDIRECT($B$5&amp;"生成成长"),4))/(VLOOKUP(H$72,INDIRECT($C$5&amp;"生成成长"),5))*(VLOOKUP($B$5,标准坦克设计!$B$24:$U$30,MATCH("对"&amp;LEFT($C$5,2)&amp;"输出",标准坦克设计!$B$23:$U$23,0)))*(VLOOKUP($B212,INDIRECT($B$5&amp;"生成成长"),3))*(VLOOKUP($B$5,标准坦克设计!$B$14:$K$20,9)/30))</f>
        <v>1.1561781319716917</v>
      </c>
      <c r="I212" s="173">
        <f ca="1">(VLOOKUP(I$72,INDIRECT($C$5&amp;"生成成长"),2))/((VLOOKUP($B212,INDIRECT($B$5&amp;"生成成长"),4))/(VLOOKUP(I$72,INDIRECT($C$5&amp;"生成成长"),5))*(VLOOKUP($B$5,标准坦克设计!$B$24:$U$30,MATCH("对"&amp;LEFT($C$5,2)&amp;"输出",标准坦克设计!$B$23:$U$23,0)))*(VLOOKUP($B212,INDIRECT($B$5&amp;"生成成长"),3))*(VLOOKUP($B$5,标准坦克设计!$B$14:$K$20,9)/30))</f>
        <v>1.3211500414087938</v>
      </c>
      <c r="J212" s="173">
        <f ca="1">(VLOOKUP(J$72,INDIRECT($C$5&amp;"生成成长"),2))/((VLOOKUP($B212,INDIRECT($B$5&amp;"生成成长"),4))/(VLOOKUP(J$72,INDIRECT($C$5&amp;"生成成长"),5))*(VLOOKUP($B$5,标准坦克设计!$B$24:$U$30,MATCH("对"&amp;LEFT($C$5,2)&amp;"输出",标准坦克设计!$B$23:$U$23,0)))*(VLOOKUP($B212,INDIRECT($B$5&amp;"生成成长"),3))*(VLOOKUP($B$5,标准坦克设计!$B$14:$K$20,9)/30))</f>
        <v>1.4971200781417033</v>
      </c>
      <c r="K212" s="173">
        <f ca="1">(VLOOKUP(K$72,INDIRECT($C$5&amp;"生成成长"),2))/((VLOOKUP($B212,INDIRECT($B$5&amp;"生成成长"),4))/(VLOOKUP(K$72,INDIRECT($C$5&amp;"生成成长"),5))*(VLOOKUP($B$5,标准坦克设计!$B$24:$U$30,MATCH("对"&amp;LEFT($C$5,2)&amp;"输出",标准坦克设计!$B$23:$U$23,0)))*(VLOOKUP($B212,INDIRECT($B$5&amp;"生成成长"),3))*(VLOOKUP($B$5,标准坦克设计!$B$14:$K$20,9)/30))</f>
        <v>1.6840882421704189</v>
      </c>
      <c r="L212" s="173">
        <f ca="1">(VLOOKUP(L$72,INDIRECT($C$5&amp;"生成成长"),2))/((VLOOKUP($B212,INDIRECT($B$5&amp;"生成成长"),4))/(VLOOKUP(L$72,INDIRECT($C$5&amp;"生成成长"),5))*(VLOOKUP($B$5,标准坦克设计!$B$24:$U$30,MATCH("对"&amp;LEFT($C$5,2)&amp;"输出",标准坦克设计!$B$23:$U$23,0)))*(VLOOKUP($B212,INDIRECT($B$5&amp;"生成成长"),3))*(VLOOKUP($B$5,标准坦克设计!$B$14:$K$20,9)/30))</f>
        <v>1.8820545334949415</v>
      </c>
      <c r="M212" s="173">
        <f ca="1">(VLOOKUP(M$72,INDIRECT($C$5&amp;"生成成长"),2))/((VLOOKUP($B212,INDIRECT($B$5&amp;"生成成长"),4))/(VLOOKUP(M$72,INDIRECT($C$5&amp;"生成成长"),5))*(VLOOKUP($B$5,标准坦克设计!$B$24:$U$30,MATCH("对"&amp;LEFT($C$5,2)&amp;"输出",标准坦克设计!$B$23:$U$23,0)))*(VLOOKUP($B212,INDIRECT($B$5&amp;"生成成长"),3))*(VLOOKUP($B$5,标准坦克设计!$B$14:$K$20,9)/30))</f>
        <v>2.0910189521152707</v>
      </c>
      <c r="N212" s="173">
        <f ca="1">(VLOOKUP(N$72,INDIRECT($C$5&amp;"生成成长"),2))/((VLOOKUP($B212,INDIRECT($B$5&amp;"生成成长"),4))/(VLOOKUP(N$72,INDIRECT($C$5&amp;"生成成长"),5))*(VLOOKUP($B$5,标准坦克设计!$B$24:$U$30,MATCH("对"&amp;LEFT($C$5,2)&amp;"输出",标准坦克设计!$B$23:$U$23,0)))*(VLOOKUP($B212,INDIRECT($B$5&amp;"生成成长"),3))*(VLOOKUP($B$5,标准坦克设计!$B$14:$K$20,9)/30))</f>
        <v>2.3109814980314076</v>
      </c>
      <c r="O212" s="173">
        <f ca="1">(VLOOKUP(O$72,INDIRECT($C$5&amp;"生成成长"),2))/((VLOOKUP($B212,INDIRECT($B$5&amp;"生成成长"),4))/(VLOOKUP(O$72,INDIRECT($C$5&amp;"生成成长"),5))*(VLOOKUP($B$5,标准坦克设计!$B$24:$U$30,MATCH("对"&amp;LEFT($C$5,2)&amp;"输出",标准坦克设计!$B$23:$U$23,0)))*(VLOOKUP($B212,INDIRECT($B$5&amp;"生成成长"),3))*(VLOOKUP($B$5,标准坦克设计!$B$14:$K$20,9)/30))</f>
        <v>1.7570367583746374</v>
      </c>
      <c r="P212" s="173">
        <f ca="1">(VLOOKUP(P$72,INDIRECT($C$5&amp;"生成成长"),2))/((VLOOKUP($B212,INDIRECT($B$5&amp;"生成成长"),4))/(VLOOKUP(P$72,INDIRECT($C$5&amp;"生成成长"),5))*(VLOOKUP($B$5,标准坦克设计!$B$24:$U$30,MATCH("对"&amp;LEFT($C$5,2)&amp;"输出",标准坦克设计!$B$23:$U$23,0)))*(VLOOKUP($B212,INDIRECT($B$5&amp;"生成成长"),3))*(VLOOKUP($B$5,标准坦克设计!$B$14:$K$20,9)/30))</f>
        <v>1.9851619768931306</v>
      </c>
      <c r="Q212" s="173">
        <f ca="1">(VLOOKUP(Q$72,INDIRECT($C$5&amp;"生成成长"),2))/((VLOOKUP($B212,INDIRECT($B$5&amp;"生成成长"),4))/(VLOOKUP(Q$72,INDIRECT($C$5&amp;"生成成长"),5))*(VLOOKUP($B$5,标准坦克设计!$B$24:$U$30,MATCH("对"&amp;LEFT($C$5,2)&amp;"输出",标准坦克设计!$B$23:$U$23,0)))*(VLOOKUP($B212,INDIRECT($B$5&amp;"生成成长"),3))*(VLOOKUP($B$5,标准坦克设计!$B$14:$K$20,9)/30))</f>
        <v>2.2272067002703788</v>
      </c>
      <c r="R212" s="173">
        <f ca="1">(VLOOKUP(R$72,INDIRECT($C$5&amp;"生成成长"),2))/((VLOOKUP($B212,INDIRECT($B$5&amp;"生成成长"),4))/(VLOOKUP(R$72,INDIRECT($C$5&amp;"生成成长"),5))*(VLOOKUP($B$5,标准坦克设计!$B$24:$U$30,MATCH("对"&amp;LEFT($C$5,2)&amp;"输出",标准坦克设计!$B$23:$U$23,0)))*(VLOOKUP($B212,INDIRECT($B$5&amp;"生成成长"),3))*(VLOOKUP($B$5,标准坦克设计!$B$14:$K$20,9)/30))</f>
        <v>2.4831709285063828</v>
      </c>
      <c r="S212" s="173">
        <f ca="1">(VLOOKUP(S$72,INDIRECT($C$5&amp;"生成成长"),2))/((VLOOKUP($B212,INDIRECT($B$5&amp;"生成成长"),4))/(VLOOKUP(S$72,INDIRECT($C$5&amp;"生成成长"),5))*(VLOOKUP($B$5,标准坦克设计!$B$24:$U$30,MATCH("对"&amp;LEFT($C$5,2)&amp;"输出",标准坦克设计!$B$23:$U$23,0)))*(VLOOKUP($B212,INDIRECT($B$5&amp;"生成成长"),3))*(VLOOKUP($B$5,标准坦克设计!$B$14:$K$20,9)/30))</f>
        <v>2.7530546616011424</v>
      </c>
      <c r="T212" s="173">
        <f ca="1">(VLOOKUP(T$72,INDIRECT($C$5&amp;"生成成长"),2))/((VLOOKUP($B212,INDIRECT($B$5&amp;"生成成长"),4))/(VLOOKUP(T$72,INDIRECT($C$5&amp;"生成成长"),5))*(VLOOKUP($B$5,标准坦克设计!$B$24:$U$30,MATCH("对"&amp;LEFT($C$5,2)&amp;"输出",标准坦克设计!$B$23:$U$23,0)))*(VLOOKUP($B212,INDIRECT($B$5&amp;"生成成长"),3))*(VLOOKUP($B$5,标准坦克设计!$B$14:$K$20,9)/30))</f>
        <v>3.0368578995546573</v>
      </c>
      <c r="U212" s="173">
        <f ca="1">(VLOOKUP(U$72,INDIRECT($C$5&amp;"生成成长"),2))/((VLOOKUP($B212,INDIRECT($B$5&amp;"生成成长"),4))/(VLOOKUP(U$72,INDIRECT($C$5&amp;"生成成长"),5))*(VLOOKUP($B$5,标准坦克设计!$B$24:$U$30,MATCH("对"&amp;LEFT($C$5,2)&amp;"输出",标准坦克设计!$B$23:$U$23,0)))*(VLOOKUP($B212,INDIRECT($B$5&amp;"生成成长"),3))*(VLOOKUP($B$5,标准坦克设计!$B$14:$K$20,9)/30))</f>
        <v>3.3345806423669284</v>
      </c>
      <c r="V212" s="173">
        <f ca="1">(VLOOKUP(V$72,INDIRECT($C$5&amp;"生成成长"),2))/((VLOOKUP($B212,INDIRECT($B$5&amp;"生成成长"),4))/(VLOOKUP(V$72,INDIRECT($C$5&amp;"生成成长"),5))*(VLOOKUP($B$5,标准坦克设计!$B$24:$U$30,MATCH("对"&amp;LEFT($C$5,2)&amp;"输出",标准坦克设计!$B$23:$U$23,0)))*(VLOOKUP($B212,INDIRECT($B$5&amp;"生成成长"),3))*(VLOOKUP($B$5,标准坦克设计!$B$14:$K$20,9)/30))</f>
        <v>3.6462228900379539</v>
      </c>
      <c r="W212" s="173">
        <f ca="1">(VLOOKUP(W$72,INDIRECT($C$5&amp;"生成成长"),2))/((VLOOKUP($B212,INDIRECT($B$5&amp;"生成成长"),4))/(VLOOKUP(W$72,INDIRECT($C$5&amp;"生成成长"),5))*(VLOOKUP($B$5,标准坦克设计!$B$24:$U$30,MATCH("对"&amp;LEFT($C$5,2)&amp;"输出",标准坦克设计!$B$23:$U$23,0)))*(VLOOKUP($B212,INDIRECT($B$5&amp;"生成成长"),3))*(VLOOKUP($B$5,标准坦克设计!$B$14:$K$20,9)/30))</f>
        <v>3.9717846425677354</v>
      </c>
      <c r="X212" s="173">
        <f ca="1">(VLOOKUP(X$72,INDIRECT($C$5&amp;"生成成长"),2))/((VLOOKUP($B212,INDIRECT($B$5&amp;"生成成长"),4))/(VLOOKUP(X$72,INDIRECT($C$5&amp;"生成成长"),5))*(VLOOKUP($B$5,标准坦克设计!$B$24:$U$30,MATCH("对"&amp;LEFT($C$5,2)&amp;"输出",标准坦克设计!$B$23:$U$23,0)))*(VLOOKUP($B212,INDIRECT($B$5&amp;"生成成长"),3))*(VLOOKUP($B$5,标准坦克设计!$B$14:$K$20,9)/30))</f>
        <v>2.8774709766349567</v>
      </c>
      <c r="Y212" s="173">
        <f ca="1">(VLOOKUP(Y$72,INDIRECT($C$5&amp;"生成成长"),2))/((VLOOKUP($B212,INDIRECT($B$5&amp;"生成成长"),4))/(VLOOKUP(Y$72,INDIRECT($C$5&amp;"生成成长"),5))*(VLOOKUP($B$5,标准坦克设计!$B$24:$U$30,MATCH("对"&amp;LEFT($C$5,2)&amp;"输出",标准坦克设计!$B$23:$U$23,0)))*(VLOOKUP($B212,INDIRECT($B$5&amp;"生成成长"),3))*(VLOOKUP($B$5,标准坦克设计!$B$14:$K$20,9)/30))</f>
        <v>3.2005409659492821</v>
      </c>
      <c r="Z212" s="173">
        <f ca="1">(VLOOKUP(Z$72,INDIRECT($C$5&amp;"生成成长"),2))/((VLOOKUP($B212,INDIRECT($B$5&amp;"生成成长"),4))/(VLOOKUP(Z$72,INDIRECT($C$5&amp;"生成成长"),5))*(VLOOKUP($B$5,标准坦克设计!$B$24:$U$30,MATCH("对"&amp;LEFT($C$5,2)&amp;"输出",标准坦克设计!$B$23:$U$23,0)))*(VLOOKUP($B212,INDIRECT($B$5&amp;"生成成长"),3))*(VLOOKUP($B$5,标准坦克设计!$B$14:$K$20,9)/30))</f>
        <v>3.5407955291633062</v>
      </c>
      <c r="AA212" s="173">
        <f ca="1">(VLOOKUP(AA$72,INDIRECT($C$5&amp;"生成成长"),2))/((VLOOKUP($B212,INDIRECT($B$5&amp;"生成成长"),4))/(VLOOKUP(AA$72,INDIRECT($C$5&amp;"生成成长"),5))*(VLOOKUP($B$5,标准坦克设计!$B$24:$U$30,MATCH("对"&amp;LEFT($C$5,2)&amp;"输出",标准坦克设计!$B$23:$U$23,0)))*(VLOOKUP($B212,INDIRECT($B$5&amp;"生成成长"),3))*(VLOOKUP($B$5,标准坦克设计!$B$14:$K$20,9)/30))</f>
        <v>3.8982346662770273</v>
      </c>
      <c r="AB212" s="173">
        <f ca="1">(VLOOKUP(AB$72,INDIRECT($C$5&amp;"生成成长"),2))/((VLOOKUP($B212,INDIRECT($B$5&amp;"生成成长"),4))/(VLOOKUP(AB$72,INDIRECT($C$5&amp;"生成成长"),5))*(VLOOKUP($B$5,标准坦克设计!$B$24:$U$30,MATCH("对"&amp;LEFT($C$5,2)&amp;"输出",标准坦克设计!$B$23:$U$23,0)))*(VLOOKUP($B212,INDIRECT($B$5&amp;"生成成长"),3))*(VLOOKUP($B$5,标准坦克设计!$B$14:$K$20,9)/30))</f>
        <v>4.2728583772904472</v>
      </c>
      <c r="AC212" s="173">
        <f ca="1">(VLOOKUP(AC$72,INDIRECT($C$5&amp;"生成成长"),2))/((VLOOKUP($B212,INDIRECT($B$5&amp;"生成成长"),4))/(VLOOKUP(AC$72,INDIRECT($C$5&amp;"生成成长"),5))*(VLOOKUP($B$5,标准坦克设计!$B$24:$U$30,MATCH("对"&amp;LEFT($C$5,2)&amp;"输出",标准坦克设计!$B$23:$U$23,0)))*(VLOOKUP($B212,INDIRECT($B$5&amp;"生成成长"),3))*(VLOOKUP($B$5,标准坦克设计!$B$14:$K$20,9)/30))</f>
        <v>4.6646666622035644</v>
      </c>
      <c r="AD212" s="173">
        <f ca="1">(VLOOKUP(AD$72,INDIRECT($C$5&amp;"生成成长"),2))/((VLOOKUP($B212,INDIRECT($B$5&amp;"生成成长"),4))/(VLOOKUP(AD$72,INDIRECT($C$5&amp;"生成成长"),5))*(VLOOKUP($B$5,标准坦克设计!$B$24:$U$30,MATCH("对"&amp;LEFT($C$5,2)&amp;"输出",标准坦克设计!$B$23:$U$23,0)))*(VLOOKUP($B212,INDIRECT($B$5&amp;"生成成长"),3))*(VLOOKUP($B$5,标准坦克设计!$B$14:$K$20,9)/30))</f>
        <v>5.0736595210163813</v>
      </c>
      <c r="AE212" s="173">
        <f ca="1">(VLOOKUP(AE$72,INDIRECT($C$5&amp;"生成成长"),2))/((VLOOKUP($B212,INDIRECT($B$5&amp;"生成成长"),4))/(VLOOKUP(AE$72,INDIRECT($C$5&amp;"生成成长"),5))*(VLOOKUP($B$5,标准坦克设计!$B$24:$U$30,MATCH("对"&amp;LEFT($C$5,2)&amp;"输出",标准坦克设计!$B$23:$U$23,0)))*(VLOOKUP($B212,INDIRECT($B$5&amp;"生成成长"),3))*(VLOOKUP($B$5,标准坦克设计!$B$14:$K$20,9)/30))</f>
        <v>5.499836953728896</v>
      </c>
      <c r="AF212" s="173">
        <f ca="1">(VLOOKUP(AF$72,INDIRECT($C$5&amp;"生成成长"),2))/((VLOOKUP($B212,INDIRECT($B$5&amp;"生成成长"),4))/(VLOOKUP(AF$72,INDIRECT($C$5&amp;"生成成长"),5))*(VLOOKUP($B$5,标准坦克设计!$B$24:$U$30,MATCH("对"&amp;LEFT($C$5,2)&amp;"输出",标准坦克设计!$B$23:$U$23,0)))*(VLOOKUP($B212,INDIRECT($B$5&amp;"生成成长"),3))*(VLOOKUP($B$5,标准坦克设计!$B$14:$K$20,9)/30))</f>
        <v>5.9431989603411068</v>
      </c>
      <c r="AG212" s="173">
        <f ca="1">(VLOOKUP(AG$72,INDIRECT($C$5&amp;"生成成长"),2))/((VLOOKUP($B212,INDIRECT($B$5&amp;"生成成长"),4))/(VLOOKUP(AG$72,INDIRECT($C$5&amp;"生成成长"),5))*(VLOOKUP($B$5,标准坦克设计!$B$24:$U$30,MATCH("对"&amp;LEFT($C$5,2)&amp;"输出",标准坦克设计!$B$23:$U$23,0)))*(VLOOKUP($B212,INDIRECT($B$5&amp;"生成成长"),3))*(VLOOKUP($B$5,标准坦克设计!$B$14:$K$20,9)/30))</f>
        <v>6.4037455408530173</v>
      </c>
      <c r="AH212" s="173">
        <f ca="1">(VLOOKUP(AH$72,INDIRECT($C$5&amp;"生成成长"),2))/((VLOOKUP($B212,INDIRECT($B$5&amp;"生成成长"),4))/(VLOOKUP(AH$72,INDIRECT($C$5&amp;"生成成长"),5))*(VLOOKUP($B$5,标准坦克设计!$B$24:$U$30,MATCH("对"&amp;LEFT($C$5,2)&amp;"输出",标准坦克设计!$B$23:$U$23,0)))*(VLOOKUP($B212,INDIRECT($B$5&amp;"生成成长"),3))*(VLOOKUP($B$5,标准坦克设计!$B$14:$K$20,9)/30))</f>
        <v>6.8814766952646274</v>
      </c>
      <c r="AI212" s="173">
        <f ca="1">(VLOOKUP(AI$72,INDIRECT($C$5&amp;"生成成长"),2))/((VLOOKUP($B212,INDIRECT($B$5&amp;"生成成长"),4))/(VLOOKUP(AI$72,INDIRECT($C$5&amp;"生成成长"),5))*(VLOOKUP($B$5,标准坦克设计!$B$24:$U$30,MATCH("对"&amp;LEFT($C$5,2)&amp;"输出",标准坦克设计!$B$23:$U$23,0)))*(VLOOKUP($B212,INDIRECT($B$5&amp;"生成成长"),3))*(VLOOKUP($B$5,标准坦克设计!$B$14:$K$20,9)/30))</f>
        <v>4.8670150198725102</v>
      </c>
      <c r="AJ212" s="173">
        <f ca="1">(VLOOKUP(AJ$72,INDIRECT($C$5&amp;"生成成长"),2))/((VLOOKUP($B212,INDIRECT($B$5&amp;"生成成长"),4))/(VLOOKUP(AJ$72,INDIRECT($C$5&amp;"生成成长"),5))*(VLOOKUP($B$5,标准坦克设计!$B$24:$U$30,MATCH("对"&amp;LEFT($C$5,2)&amp;"输出",标准坦克设计!$B$23:$U$23,0)))*(VLOOKUP($B212,INDIRECT($B$5&amp;"生成成长"),3))*(VLOOKUP($B$5,标准坦克设计!$B$14:$K$20,9)/30))</f>
        <v>5.327303831775926</v>
      </c>
      <c r="AK212" s="173">
        <f ca="1">(VLOOKUP(AK$72,INDIRECT($C$5&amp;"生成成长"),2))/((VLOOKUP($B212,INDIRECT($B$5&amp;"生成成长"),4))/(VLOOKUP(AK$72,INDIRECT($C$5&amp;"生成成长"),5))*(VLOOKUP($B$5,标准坦克设计!$B$24:$U$30,MATCH("对"&amp;LEFT($C$5,2)&amp;"输出",标准坦克设计!$B$23:$U$23,0)))*(VLOOKUP($B212,INDIRECT($B$5&amp;"生成成长"),3))*(VLOOKUP($B$5,标准坦克设计!$B$14:$K$20,9)/30))</f>
        <v>5.8083859780979754</v>
      </c>
      <c r="AL212" s="173">
        <f ca="1">(VLOOKUP(AL$72,INDIRECT($C$5&amp;"生成成长"),2))/((VLOOKUP($B212,INDIRECT($B$5&amp;"生成成长"),4))/(VLOOKUP(AL$72,INDIRECT($C$5&amp;"生成成长"),5))*(VLOOKUP($B$5,标准坦克设计!$B$24:$U$30,MATCH("对"&amp;LEFT($C$5,2)&amp;"输出",标准坦克设计!$B$23:$U$23,0)))*(VLOOKUP($B212,INDIRECT($B$5&amp;"生成成长"),3))*(VLOOKUP($B$5,标准坦克设计!$B$14:$K$20,9)/30))</f>
        <v>6.310261458838661</v>
      </c>
      <c r="AM212" s="173">
        <f ca="1">(VLOOKUP(AM$72,INDIRECT($C$5&amp;"生成成长"),2))/((VLOOKUP($B212,INDIRECT($B$5&amp;"生成成长"),4))/(VLOOKUP(AM$72,INDIRECT($C$5&amp;"生成成长"),5))*(VLOOKUP($B$5,标准坦克设计!$B$24:$U$30,MATCH("对"&amp;LEFT($C$5,2)&amp;"输出",标准坦克设计!$B$23:$U$23,0)))*(VLOOKUP($B212,INDIRECT($B$5&amp;"生成成长"),3))*(VLOOKUP($B$5,标准坦克设计!$B$14:$K$20,9)/30))</f>
        <v>6.8329302739979783</v>
      </c>
      <c r="AN212" s="173">
        <f ca="1">(VLOOKUP(AN$72,INDIRECT($C$5&amp;"生成成长"),2))/((VLOOKUP($B212,INDIRECT($B$5&amp;"生成成长"),4))/(VLOOKUP(AN$72,INDIRECT($C$5&amp;"生成成长"),5))*(VLOOKUP($B$5,标准坦克设计!$B$24:$U$30,MATCH("对"&amp;LEFT($C$5,2)&amp;"输出",标准坦克设计!$B$23:$U$23,0)))*(VLOOKUP($B212,INDIRECT($B$5&amp;"生成成长"),3))*(VLOOKUP($B$5,标准坦克设计!$B$14:$K$20,9)/30))</f>
        <v>7.3763924235759335</v>
      </c>
      <c r="AO212" s="173">
        <f ca="1">(VLOOKUP(AO$72,INDIRECT($C$5&amp;"生成成长"),2))/((VLOOKUP($B212,INDIRECT($B$5&amp;"生成成长"),4))/(VLOOKUP(AO$72,INDIRECT($C$5&amp;"生成成长"),5))*(VLOOKUP($B$5,标准坦克设计!$B$24:$U$30,MATCH("对"&amp;LEFT($C$5,2)&amp;"输出",标准坦克设计!$B$23:$U$23,0)))*(VLOOKUP($B212,INDIRECT($B$5&amp;"生成成长"),3))*(VLOOKUP($B$5,标准坦克设计!$B$14:$K$20,9)/30))</f>
        <v>7.9406479075725223</v>
      </c>
      <c r="AP212" s="173">
        <f ca="1">(VLOOKUP(AP$72,INDIRECT($C$5&amp;"生成成长"),2))/((VLOOKUP($B212,INDIRECT($B$5&amp;"生成成长"),4))/(VLOOKUP(AP$72,INDIRECT($C$5&amp;"生成成长"),5))*(VLOOKUP($B$5,标准坦克设计!$B$24:$U$30,MATCH("对"&amp;LEFT($C$5,2)&amp;"输出",标准坦克设计!$B$23:$U$23,0)))*(VLOOKUP($B212,INDIRECT($B$5&amp;"生成成长"),3))*(VLOOKUP($B$5,标准坦克设计!$B$14:$K$20,9)/30))</f>
        <v>8.5256967259877463</v>
      </c>
      <c r="AQ212" s="173">
        <f ca="1">(VLOOKUP(AQ$72,INDIRECT($C$5&amp;"生成成长"),2))/((VLOOKUP($B212,INDIRECT($B$5&amp;"生成成长"),4))/(VLOOKUP(AQ$72,INDIRECT($C$5&amp;"生成成长"),5))*(VLOOKUP($B$5,标准坦克设计!$B$24:$U$30,MATCH("对"&amp;LEFT($C$5,2)&amp;"输出",标准坦克设计!$B$23:$U$23,0)))*(VLOOKUP($B212,INDIRECT($B$5&amp;"生成成长"),3))*(VLOOKUP($B$5,标准坦克设计!$B$14:$K$20,9)/30))</f>
        <v>9.131538878821603</v>
      </c>
      <c r="AR212" s="173">
        <f ca="1">(VLOOKUP(AR$72,INDIRECT($C$5&amp;"生成成长"),2))/((VLOOKUP($B212,INDIRECT($B$5&amp;"生成成长"),4))/(VLOOKUP(AR$72,INDIRECT($C$5&amp;"生成成长"),5))*(VLOOKUP($B$5,标准坦克设计!$B$24:$U$30,MATCH("对"&amp;LEFT($C$5,2)&amp;"输出",标准坦克设计!$B$23:$U$23,0)))*(VLOOKUP($B212,INDIRECT($B$5&amp;"生成成长"),3))*(VLOOKUP($B$5,标准坦克设计!$B$14:$K$20,9)/30))</f>
        <v>9.7581743660740976</v>
      </c>
      <c r="AS212" s="173">
        <f ca="1">(VLOOKUP(AS$72,INDIRECT($C$5&amp;"生成成长"),2))/((VLOOKUP($B212,INDIRECT($B$5&amp;"生成成长"),4))/(VLOOKUP(AS$72,INDIRECT($C$5&amp;"生成成长"),5))*(VLOOKUP($B$5,标准坦克设计!$B$24:$U$30,MATCH("对"&amp;LEFT($C$5,2)&amp;"输出",标准坦克设计!$B$23:$U$23,0)))*(VLOOKUP($B212,INDIRECT($B$5&amp;"生成成长"),3))*(VLOOKUP($B$5,标准坦克设计!$B$14:$K$20,9)/30))</f>
        <v>10.405603187745227</v>
      </c>
      <c r="AT212" s="173">
        <f ca="1">(VLOOKUP(AT$72,INDIRECT($C$5&amp;"生成成长"),2))/((VLOOKUP($B212,INDIRECT($B$5&amp;"生成成长"),4))/(VLOOKUP(AT$72,INDIRECT($C$5&amp;"生成成长"),5))*(VLOOKUP($B$5,标准坦克设计!$B$24:$U$30,MATCH("对"&amp;LEFT($C$5,2)&amp;"输出",标准坦克设计!$B$23:$U$23,0)))*(VLOOKUP($B212,INDIRECT($B$5&amp;"生成成长"),3))*(VLOOKUP($B$5,标准坦克设计!$B$14:$K$20,9)/30))</f>
        <v>11.073825343834988</v>
      </c>
      <c r="AU212" s="173">
        <f ca="1">(VLOOKUP(AU$72,INDIRECT($C$5&amp;"生成成长"),2))/((VLOOKUP($B212,INDIRECT($B$5&amp;"生成成长"),4))/(VLOOKUP(AU$72,INDIRECT($C$5&amp;"生成成长"),5))*(VLOOKUP($B$5,标准坦克设计!$B$24:$U$30,MATCH("对"&amp;LEFT($C$5,2)&amp;"输出",标准坦克设计!$B$23:$U$23,0)))*(VLOOKUP($B212,INDIRECT($B$5&amp;"生成成长"),3))*(VLOOKUP($B$5,标准坦克设计!$B$14:$K$20,9)/30))</f>
        <v>11.762840834343386</v>
      </c>
      <c r="AV212" s="173">
        <f ca="1">(VLOOKUP(AV$72,INDIRECT($C$5&amp;"生成成长"),2))/((VLOOKUP($B212,INDIRECT($B$5&amp;"生成成长"),4))/(VLOOKUP(AV$72,INDIRECT($C$5&amp;"生成成长"),5))*(VLOOKUP($B$5,标准坦克设计!$B$24:$U$30,MATCH("对"&amp;LEFT($C$5,2)&amp;"输出",标准坦克设计!$B$23:$U$23,0)))*(VLOOKUP($B212,INDIRECT($B$5&amp;"生成成长"),3))*(VLOOKUP($B$5,标准坦克设计!$B$14:$K$20,9)/30))</f>
        <v>1.1963900348969854</v>
      </c>
      <c r="AW212" s="173">
        <f ca="1">(VLOOKUP(AW$72,INDIRECT($C$5&amp;"生成成长"),2))/((VLOOKUP($B212,INDIRECT($B$5&amp;"生成成长"),4))/(VLOOKUP(AW$72,INDIRECT($C$5&amp;"生成成长"),5))*(VLOOKUP($B$5,标准坦克设计!$B$24:$U$30,MATCH("对"&amp;LEFT($C$5,2)&amp;"输出",标准坦克设计!$B$23:$U$23,0)))*(VLOOKUP($B212,INDIRECT($B$5&amp;"生成成长"),3))*(VLOOKUP($B$5,标准坦克设计!$B$14:$K$20,9)/30))</f>
        <v>1.3641114761580393</v>
      </c>
      <c r="AX212" s="173">
        <f ca="1">(VLOOKUP(AX$72,INDIRECT($C$5&amp;"生成成长"),2))/((VLOOKUP($B212,INDIRECT($B$5&amp;"生成成长"),4))/(VLOOKUP(AX$72,INDIRECT($C$5&amp;"生成成长"),5))*(VLOOKUP($B$5,标准坦克设计!$B$24:$U$30,MATCH("对"&amp;LEFT($C$5,2)&amp;"输出",标准坦克设计!$B$23:$U$23,0)))*(VLOOKUP($B212,INDIRECT($B$5&amp;"生成成长"),3))*(VLOOKUP($B$5,标准坦克设计!$B$14:$K$20,9)/30))</f>
        <v>1.5428310447149001</v>
      </c>
      <c r="AY212" s="173">
        <f ca="1">(VLOOKUP(AY$72,INDIRECT($C$5&amp;"生成成长"),2))/((VLOOKUP($B212,INDIRECT($B$5&amp;"生成成长"),4))/(VLOOKUP(AY$72,INDIRECT($C$5&amp;"生成成长"),5))*(VLOOKUP($B$5,标准坦克设计!$B$24:$U$30,MATCH("对"&amp;LEFT($C$5,2)&amp;"输出",标准坦克设计!$B$23:$U$23,0)))*(VLOOKUP($B212,INDIRECT($B$5&amp;"生成成长"),3))*(VLOOKUP($B$5,标准坦克设计!$B$14:$K$20,9)/30))</f>
        <v>1.7325487405675681</v>
      </c>
      <c r="AZ212" s="173">
        <f ca="1">(VLOOKUP(AZ$72,INDIRECT($C$5&amp;"生成成长"),2))/((VLOOKUP($B212,INDIRECT($B$5&amp;"生成成长"),4))/(VLOOKUP(AZ$72,INDIRECT($C$5&amp;"生成成长"),5))*(VLOOKUP($B$5,标准坦克设计!$B$24:$U$30,MATCH("对"&amp;LEFT($C$5,2)&amp;"输出",标准坦克设计!$B$23:$U$23,0)))*(VLOOKUP($B212,INDIRECT($B$5&amp;"生成成长"),3))*(VLOOKUP($B$5,标准坦克设计!$B$14:$K$20,9)/30))</f>
        <v>1.9332645637160424</v>
      </c>
      <c r="BA212" s="173">
        <f ca="1">(VLOOKUP(BA$72,INDIRECT($C$5&amp;"生成成长"),2))/((VLOOKUP($B212,INDIRECT($B$5&amp;"生成成长"),4))/(VLOOKUP(BA$72,INDIRECT($C$5&amp;"生成成长"),5))*(VLOOKUP($B$5,标准坦克设计!$B$24:$U$30,MATCH("对"&amp;LEFT($C$5,2)&amp;"输出",标准坦克设计!$B$23:$U$23,0)))*(VLOOKUP($B212,INDIRECT($B$5&amp;"生成成长"),3))*(VLOOKUP($B$5,标准坦克设计!$B$14:$K$20,9)/30))</f>
        <v>2.1449785141603237</v>
      </c>
      <c r="BB212" s="173">
        <f ca="1">(VLOOKUP(BB$72,INDIRECT($C$5&amp;"生成成长"),2))/((VLOOKUP($B212,INDIRECT($B$5&amp;"生成成长"),4))/(VLOOKUP(BB$72,INDIRECT($C$5&amp;"生成成长"),5))*(VLOOKUP($B$5,标准坦克设计!$B$24:$U$30,MATCH("对"&amp;LEFT($C$5,2)&amp;"输出",标准坦克设计!$B$23:$U$23,0)))*(VLOOKUP($B212,INDIRECT($B$5&amp;"生成成长"),3))*(VLOOKUP($B$5,标准坦克设计!$B$14:$K$20,9)/30))</f>
        <v>2.367690591900411</v>
      </c>
      <c r="BC212" s="173">
        <f ca="1">(VLOOKUP(BC$72,INDIRECT($C$5&amp;"生成成长"),2))/((VLOOKUP($B212,INDIRECT($B$5&amp;"生成成长"),4))/(VLOOKUP(BC$72,INDIRECT($C$5&amp;"生成成长"),5))*(VLOOKUP($B$5,标准坦克设计!$B$24:$U$30,MATCH("对"&amp;LEFT($C$5,2)&amp;"输出",标准坦克设计!$B$23:$U$23,0)))*(VLOOKUP($B212,INDIRECT($B$5&amp;"生成成长"),3))*(VLOOKUP($B$5,标准坦克设计!$B$14:$K$20,9)/30))</f>
        <v>2.6014007969363067</v>
      </c>
      <c r="BD212" s="173">
        <f ca="1">(VLOOKUP(BD$72,INDIRECT($C$5&amp;"生成成长"),2))/((VLOOKUP($B212,INDIRECT($B$5&amp;"生成成长"),4))/(VLOOKUP(BD$72,INDIRECT($C$5&amp;"生成成长"),5))*(VLOOKUP($B$5,标准坦克设计!$B$24:$U$30,MATCH("对"&amp;LEFT($C$5,2)&amp;"输出",标准坦克设计!$B$23:$U$23,0)))*(VLOOKUP($B212,INDIRECT($B$5&amp;"生成成长"),3))*(VLOOKUP($B$5,标准坦克设计!$B$14:$K$20,9)/30))</f>
        <v>2.8774709766349567</v>
      </c>
      <c r="BE212" s="173">
        <f ca="1">(VLOOKUP(BE$72,INDIRECT($C$5&amp;"生成成长"),2))/((VLOOKUP($B212,INDIRECT($B$5&amp;"生成成长"),4))/(VLOOKUP(BE$72,INDIRECT($C$5&amp;"生成成长"),5))*(VLOOKUP($B$5,标准坦克设计!$B$24:$U$30,MATCH("对"&amp;LEFT($C$5,2)&amp;"输出",标准坦克设计!$B$23:$U$23,0)))*(VLOOKUP($B212,INDIRECT($B$5&amp;"生成成长"),3))*(VLOOKUP($B$5,标准坦克设计!$B$14:$K$20,9)/30))</f>
        <v>3.1674606611923641</v>
      </c>
      <c r="BF212" s="173">
        <f ca="1">(VLOOKUP(BF$72,INDIRECT($C$5&amp;"生成成长"),2))/((VLOOKUP($B212,INDIRECT($B$5&amp;"生成成长"),4))/(VLOOKUP(BF$72,INDIRECT($C$5&amp;"生成成长"),5))*(VLOOKUP($B$5,标准坦克设计!$B$24:$U$30,MATCH("对"&amp;LEFT($C$5,2)&amp;"输出",标准坦克设计!$B$23:$U$23,0)))*(VLOOKUP($B212,INDIRECT($B$5&amp;"生成成长"),3))*(VLOOKUP($B$5,标准坦克设计!$B$14:$K$20,9)/30))</f>
        <v>3.4713698506085255</v>
      </c>
      <c r="BG212" s="173">
        <f ca="1">(VLOOKUP(BG$72,INDIRECT($C$5&amp;"生成成长"),2))/((VLOOKUP($B212,INDIRECT($B$5&amp;"生成成长"),4))/(VLOOKUP(BG$72,INDIRECT($C$5&amp;"生成成长"),5))*(VLOOKUP($B$5,标准坦克设计!$B$24:$U$30,MATCH("对"&amp;LEFT($C$5,2)&amp;"输出",标准坦克设计!$B$23:$U$23,0)))*(VLOOKUP($B212,INDIRECT($B$5&amp;"生成成长"),3))*(VLOOKUP($B$5,标准坦克设计!$B$14:$K$20,9)/30))</f>
        <v>3.7891985448834427</v>
      </c>
      <c r="BH212" s="173">
        <f ca="1">(VLOOKUP(BH$72,INDIRECT($C$5&amp;"生成成长"),2))/((VLOOKUP($B212,INDIRECT($B$5&amp;"生成成长"),4))/(VLOOKUP(BH$72,INDIRECT($C$5&amp;"生成成长"),5))*(VLOOKUP($B$5,标准坦克设计!$B$24:$U$30,MATCH("对"&amp;LEFT($C$5,2)&amp;"输出",标准坦克设计!$B$23:$U$23,0)))*(VLOOKUP($B212,INDIRECT($B$5&amp;"生成成长"),3))*(VLOOKUP($B$5,标准坦克设计!$B$14:$K$20,9)/30))</f>
        <v>1.8315318862298295</v>
      </c>
      <c r="BI212" s="173">
        <f ca="1">(VLOOKUP(BI$72,INDIRECT($C$5&amp;"生成成长"),2))/((VLOOKUP($B212,INDIRECT($B$5&amp;"生成成长"),4))/(VLOOKUP(BI$72,INDIRECT($C$5&amp;"生成成长"),5))*(VLOOKUP($B$5,标准坦克设计!$B$24:$U$30,MATCH("对"&amp;LEFT($C$5,2)&amp;"输出",标准坦克设计!$B$23:$U$23,0)))*(VLOOKUP($B212,INDIRECT($B$5&amp;"生成成长"),3))*(VLOOKUP($B$5,标准坦克设计!$B$14:$K$20,9)/30))</f>
        <v>2.0642969397012405</v>
      </c>
      <c r="BJ212" s="173">
        <f ca="1">(VLOOKUP(BJ$72,INDIRECT($C$5&amp;"生成成长"),2))/((VLOOKUP($B212,INDIRECT($B$5&amp;"生成成长"),4))/(VLOOKUP(BJ$72,INDIRECT($C$5&amp;"生成成长"),5))*(VLOOKUP($B$5,标准坦克设计!$B$24:$U$30,MATCH("对"&amp;LEFT($C$5,2)&amp;"输出",标准坦克设计!$B$23:$U$23,0)))*(VLOOKUP($B212,INDIRECT($B$5&amp;"生成成长"),3))*(VLOOKUP($B$5,标准坦克设计!$B$14:$K$20,9)/30))</f>
        <v>2.3109814980314076</v>
      </c>
      <c r="BK212" s="173">
        <f ca="1">(VLOOKUP(BK$72,INDIRECT($C$5&amp;"生成成长"),2))/((VLOOKUP($B212,INDIRECT($B$5&amp;"生成成长"),4))/(VLOOKUP(BK$72,INDIRECT($C$5&amp;"生成成长"),5))*(VLOOKUP($B$5,标准坦克设计!$B$24:$U$30,MATCH("对"&amp;LEFT($C$5,2)&amp;"输出",标准坦克设计!$B$23:$U$23,0)))*(VLOOKUP($B212,INDIRECT($B$5&amp;"生成成长"),3))*(VLOOKUP($B$5,标准坦克设计!$B$14:$K$20,9)/30))</f>
        <v>2.57158556122033</v>
      </c>
      <c r="BL212" s="173">
        <f ca="1">(VLOOKUP(BL$72,INDIRECT($C$5&amp;"生成成长"),2))/((VLOOKUP($B212,INDIRECT($B$5&amp;"生成成长"),4))/(VLOOKUP(BL$72,INDIRECT($C$5&amp;"生成成长"),5))*(VLOOKUP($B$5,标准坦克设计!$B$24:$U$30,MATCH("对"&amp;LEFT($C$5,2)&amp;"输出",标准坦克设计!$B$23:$U$23,0)))*(VLOOKUP($B212,INDIRECT($B$5&amp;"生成成长"),3))*(VLOOKUP($B$5,标准坦克设计!$B$14:$K$20,9)/30))</f>
        <v>2.8461091292680081</v>
      </c>
      <c r="BM212" s="173">
        <f ca="1">(VLOOKUP(BM$72,INDIRECT($C$5&amp;"生成成长"),2))/((VLOOKUP($B212,INDIRECT($B$5&amp;"生成成长"),4))/(VLOOKUP(BM$72,INDIRECT($C$5&amp;"生成成长"),5))*(VLOOKUP($B$5,标准坦克设计!$B$24:$U$30,MATCH("对"&amp;LEFT($C$5,2)&amp;"输出",标准坦克设计!$B$23:$U$23,0)))*(VLOOKUP($B212,INDIRECT($B$5&amp;"生成成长"),3))*(VLOOKUP($B$5,标准坦克设计!$B$14:$K$20,9)/30))</f>
        <v>3.1345522021744419</v>
      </c>
      <c r="BN212" s="173">
        <f ca="1">(VLOOKUP(BN$72,INDIRECT($C$5&amp;"生成成长"),2))/((VLOOKUP($B212,INDIRECT($B$5&amp;"生成成长"),4))/(VLOOKUP(BN$72,INDIRECT($C$5&amp;"生成成长"),5))*(VLOOKUP($B$5,标准坦克设计!$B$24:$U$30,MATCH("对"&amp;LEFT($C$5,2)&amp;"输出",标准坦克设计!$B$23:$U$23,0)))*(VLOOKUP($B212,INDIRECT($B$5&amp;"生成成长"),3))*(VLOOKUP($B$5,标准坦克设计!$B$14:$K$20,9)/30))</f>
        <v>3.4369147799396305</v>
      </c>
      <c r="BO212" s="173">
        <f ca="1">(VLOOKUP(BO$72,INDIRECT($C$5&amp;"生成成长"),2))/((VLOOKUP($B212,INDIRECT($B$5&amp;"生成成长"),4))/(VLOOKUP(BO$72,INDIRECT($C$5&amp;"生成成长"),5))*(VLOOKUP($B$5,标准坦克设计!$B$24:$U$30,MATCH("对"&amp;LEFT($C$5,2)&amp;"输出",标准坦克设计!$B$23:$U$23,0)))*(VLOOKUP($B212,INDIRECT($B$5&amp;"生成成长"),3))*(VLOOKUP($B$5,标准坦克设计!$B$14:$K$20,9)/30))</f>
        <v>3.7531968625635752</v>
      </c>
      <c r="BP212" s="173">
        <f ca="1">(VLOOKUP(BP$72,INDIRECT($C$5&amp;"生成成长"),2))/((VLOOKUP($B212,INDIRECT($B$5&amp;"生成成长"),4))/(VLOOKUP(BP$72,INDIRECT($C$5&amp;"生成成长"),5))*(VLOOKUP($B$5,标准坦克设计!$B$24:$U$30,MATCH("对"&amp;LEFT($C$5,2)&amp;"输出",标准坦克设计!$B$23:$U$23,0)))*(VLOOKUP($B212,INDIRECT($B$5&amp;"生成成长"),3))*(VLOOKUP($B$5,标准坦克设计!$B$14:$K$20,9)/30))</f>
        <v>4.0833984500462748</v>
      </c>
      <c r="BQ212" s="173">
        <f ca="1">(VLOOKUP(BQ$72,INDIRECT($C$5&amp;"生成成长"),2))/((VLOOKUP($B212,INDIRECT($B$5&amp;"生成成长"),4))/(VLOOKUP(BQ$72,INDIRECT($C$5&amp;"生成成长"),5))*(VLOOKUP($B$5,标准坦克设计!$B$24:$U$30,MATCH("对"&amp;LEFT($C$5,2)&amp;"输出",标准坦克设计!$B$23:$U$23,0)))*(VLOOKUP($B212,INDIRECT($B$5&amp;"生成成长"),3))*(VLOOKUP($B$5,标准坦克设计!$B$14:$K$20,9)/30))</f>
        <v>4.4275195423877305</v>
      </c>
      <c r="BR212" s="173">
        <f ca="1">(VLOOKUP(BR$72,INDIRECT($C$5&amp;"生成成长"),2))/((VLOOKUP($B212,INDIRECT($B$5&amp;"生成成长"),4))/(VLOOKUP(BR$72,INDIRECT($C$5&amp;"生成成长"),5))*(VLOOKUP($B$5,标准坦克设计!$B$24:$U$30,MATCH("对"&amp;LEFT($C$5,2)&amp;"输出",标准坦克设计!$B$23:$U$23,0)))*(VLOOKUP($B212,INDIRECT($B$5&amp;"生成成长"),3))*(VLOOKUP($B$5,标准坦克设计!$B$14:$K$20,9)/30))</f>
        <v>4.8262016568607278</v>
      </c>
      <c r="BS212" s="173">
        <f ca="1">(VLOOKUP(BS$72,INDIRECT($C$5&amp;"生成成长"),2))/((VLOOKUP($B212,INDIRECT($B$5&amp;"生成成长"),4))/(VLOOKUP(BS$72,INDIRECT($C$5&amp;"生成成长"),5))*(VLOOKUP($B$5,标准坦克设计!$B$24:$U$30,MATCH("对"&amp;LEFT($C$5,2)&amp;"输出",标准坦克设计!$B$23:$U$23,0)))*(VLOOKUP($B212,INDIRECT($B$5&amp;"生成成长"),3))*(VLOOKUP($B$5,标准坦克设计!$B$14:$K$20,9)/30))</f>
        <v>5.2420683452334229</v>
      </c>
      <c r="BT212" s="173">
        <f ca="1">(VLOOKUP(BT$72,INDIRECT($C$5&amp;"生成成长"),2))/((VLOOKUP($B212,INDIRECT($B$5&amp;"生成成长"),4))/(VLOOKUP(BT$72,INDIRECT($C$5&amp;"生成成长"),5))*(VLOOKUP($B$5,标准坦克设计!$B$24:$U$30,MATCH("对"&amp;LEFT($C$5,2)&amp;"输出",标准坦克设计!$B$23:$U$23,0)))*(VLOOKUP($B212,INDIRECT($B$5&amp;"生成成长"),3))*(VLOOKUP($B$5,标准坦克设计!$B$14:$K$20,9)/30))</f>
        <v>5.6751196075058168</v>
      </c>
      <c r="BU212" s="173">
        <f ca="1">(VLOOKUP(BU$72,INDIRECT($C$5&amp;"生成成长"),2))/((VLOOKUP($B212,INDIRECT($B$5&amp;"生成成长"),4))/(VLOOKUP(BU$72,INDIRECT($C$5&amp;"生成成长"),5))*(VLOOKUP($B$5,标准坦克设计!$B$24:$U$30,MATCH("对"&amp;LEFT($C$5,2)&amp;"输出",标准坦克设计!$B$23:$U$23,0)))*(VLOOKUP($B212,INDIRECT($B$5&amp;"生成成长"),3))*(VLOOKUP($B$5,标准坦克设计!$B$14:$K$20,9)/30))</f>
        <v>6.1253554436779076</v>
      </c>
      <c r="BV212" s="173">
        <f ca="1">(VLOOKUP(BV$72,INDIRECT($C$5&amp;"生成成长"),2))/((VLOOKUP($B212,INDIRECT($B$5&amp;"生成成长"),4))/(VLOOKUP(BV$72,INDIRECT($C$5&amp;"生成成长"),5))*(VLOOKUP($B$5,标准坦克设计!$B$24:$U$30,MATCH("对"&amp;LEFT($C$5,2)&amp;"输出",标准坦克设计!$B$23:$U$23,0)))*(VLOOKUP($B212,INDIRECT($B$5&amp;"生成成长"),3))*(VLOOKUP($B$5,标准坦克设计!$B$14:$K$20,9)/30))</f>
        <v>6.5927758537496972</v>
      </c>
      <c r="BW212" s="173">
        <f ca="1">(VLOOKUP(BW$72,INDIRECT($C$5&amp;"生成成长"),2))/((VLOOKUP($B212,INDIRECT($B$5&amp;"生成成长"),4))/(VLOOKUP(BW$72,INDIRECT($C$5&amp;"生成成长"),5))*(VLOOKUP($B$5,标准坦克设计!$B$24:$U$30,MATCH("对"&amp;LEFT($C$5,2)&amp;"输出",标准坦克设计!$B$23:$U$23,0)))*(VLOOKUP($B212,INDIRECT($B$5&amp;"生成成长"),3))*(VLOOKUP($B$5,标准坦克设计!$B$14:$K$20,9)/30))</f>
        <v>3.0046368234927234</v>
      </c>
      <c r="BX212" s="173">
        <f ca="1">(VLOOKUP(BX$72,INDIRECT($C$5&amp;"生成成长"),2))/((VLOOKUP($B212,INDIRECT($B$5&amp;"生成成长"),4))/(VLOOKUP(BX$72,INDIRECT($C$5&amp;"生成成长"),5))*(VLOOKUP($B$5,标准坦克设计!$B$24:$U$30,MATCH("对"&amp;LEFT($C$5,2)&amp;"输出",标准坦克设计!$B$23:$U$23,0)))*(VLOOKUP($B212,INDIRECT($B$5&amp;"生成成长"),3))*(VLOOKUP($B$5,标准坦克设计!$B$14:$K$20,9)/30))</f>
        <v>3.3345806423669284</v>
      </c>
      <c r="BY212" s="173">
        <f ca="1">(VLOOKUP(BY$72,INDIRECT($C$5&amp;"生成成长"),2))/((VLOOKUP($B212,INDIRECT($B$5&amp;"生成成长"),4))/(VLOOKUP(BY$72,INDIRECT($C$5&amp;"生成成长"),5))*(VLOOKUP($B$5,标准坦克设计!$B$24:$U$30,MATCH("对"&amp;LEFT($C$5,2)&amp;"输出",标准坦克设计!$B$23:$U$23,0)))*(VLOOKUP($B212,INDIRECT($B$5&amp;"生成成长"),3))*(VLOOKUP($B$5,标准坦克设计!$B$14:$K$20,9)/30))</f>
        <v>3.6817090351408299</v>
      </c>
      <c r="BZ212" s="173">
        <f ca="1">(VLOOKUP(BZ$72,INDIRECT($C$5&amp;"生成成长"),2))/((VLOOKUP($B212,INDIRECT($B$5&amp;"生成成长"),4))/(VLOOKUP(BZ$72,INDIRECT($C$5&amp;"生成成长"),5))*(VLOOKUP($B$5,标准坦克设计!$B$24:$U$30,MATCH("对"&amp;LEFT($C$5,2)&amp;"输出",标准坦克设计!$B$23:$U$23,0)))*(VLOOKUP($B212,INDIRECT($B$5&amp;"生成成长"),3))*(VLOOKUP($B$5,标准坦克设计!$B$14:$K$20,9)/30))</f>
        <v>4.0460220018144319</v>
      </c>
      <c r="CA212" s="173">
        <f ca="1">(VLOOKUP(CA$72,INDIRECT($C$5&amp;"生成成长"),2))/((VLOOKUP($B212,INDIRECT($B$5&amp;"生成成长"),4))/(VLOOKUP(CA$72,INDIRECT($C$5&amp;"生成成长"),5))*(VLOOKUP($B$5,标准坦克设计!$B$24:$U$30,MATCH("对"&amp;LEFT($C$5,2)&amp;"输出",标准坦克设计!$B$23:$U$23,0)))*(VLOOKUP($B212,INDIRECT($B$5&amp;"生成成长"),3))*(VLOOKUP($B$5,标准坦克设计!$B$14:$K$20,9)/30))</f>
        <v>4.4275195423877305</v>
      </c>
      <c r="CB212" s="173">
        <f ca="1">(VLOOKUP(CB$72,INDIRECT($C$5&amp;"生成成长"),2))/((VLOOKUP($B212,INDIRECT($B$5&amp;"生成成长"),4))/(VLOOKUP(CB$72,INDIRECT($C$5&amp;"生成成长"),5))*(VLOOKUP($B$5,标准坦克设计!$B$24:$U$30,MATCH("对"&amp;LEFT($C$5,2)&amp;"输出",标准坦克设计!$B$23:$U$23,0)))*(VLOOKUP($B212,INDIRECT($B$5&amp;"生成成长"),3))*(VLOOKUP($B$5,标准坦克设计!$B$14:$K$20,9)/30))</f>
        <v>4.8262016568607278</v>
      </c>
      <c r="CC212" s="173">
        <f ca="1">(VLOOKUP(CC$72,INDIRECT($C$5&amp;"生成成长"),2))/((VLOOKUP($B212,INDIRECT($B$5&amp;"生成成长"),4))/(VLOOKUP(CC$72,INDIRECT($C$5&amp;"生成成长"),5))*(VLOOKUP($B$5,标准坦克设计!$B$24:$U$30,MATCH("对"&amp;LEFT($C$5,2)&amp;"输出",标准坦克设计!$B$23:$U$23,0)))*(VLOOKUP($B212,INDIRECT($B$5&amp;"生成成长"),3))*(VLOOKUP($B$5,标准坦克设计!$B$14:$K$20,9)/30))</f>
        <v>5.2420683452334229</v>
      </c>
      <c r="CD212" s="173">
        <f ca="1">(VLOOKUP(CD$72,INDIRECT($C$5&amp;"生成成长"),2))/((VLOOKUP($B212,INDIRECT($B$5&amp;"生成成长"),4))/(VLOOKUP(CD$72,INDIRECT($C$5&amp;"生成成长"),5))*(VLOOKUP($B$5,标准坦克设计!$B$24:$U$30,MATCH("对"&amp;LEFT($C$5,2)&amp;"输出",标准坦克设计!$B$23:$U$23,0)))*(VLOOKUP($B212,INDIRECT($B$5&amp;"生成成长"),3))*(VLOOKUP($B$5,标准坦克设计!$B$14:$K$20,9)/30))</f>
        <v>5.6751196075058168</v>
      </c>
      <c r="CE212" s="173">
        <f ca="1">(VLOOKUP(CE$72,INDIRECT($C$5&amp;"生成成长"),2))/((VLOOKUP($B212,INDIRECT($B$5&amp;"生成成长"),4))/(VLOOKUP(CE$72,INDIRECT($C$5&amp;"生成成长"),5))*(VLOOKUP($B$5,标准坦克设计!$B$24:$U$30,MATCH("对"&amp;LEFT($C$5,2)&amp;"输出",标准坦克设计!$B$23:$U$23,0)))*(VLOOKUP($B212,INDIRECT($B$5&amp;"生成成长"),3))*(VLOOKUP($B$5,标准坦克设计!$B$14:$K$20,9)/30))</f>
        <v>6.1253554436779076</v>
      </c>
      <c r="CF212" s="173">
        <f ca="1">(VLOOKUP(CF$72,INDIRECT($C$5&amp;"生成成长"),2))/((VLOOKUP($B212,INDIRECT($B$5&amp;"生成成长"),4))/(VLOOKUP(CF$72,INDIRECT($C$5&amp;"生成成长"),5))*(VLOOKUP($B$5,标准坦克设计!$B$24:$U$30,MATCH("对"&amp;LEFT($C$5,2)&amp;"输出",标准坦克设计!$B$23:$U$23,0)))*(VLOOKUP($B212,INDIRECT($B$5&amp;"生成成长"),3))*(VLOOKUP($B$5,标准坦克设计!$B$14:$K$20,9)/30))</f>
        <v>6.5927758537496972</v>
      </c>
      <c r="CG212" s="173">
        <f ca="1">(VLOOKUP(CG$72,INDIRECT($C$5&amp;"生成成长"),2))/((VLOOKUP($B212,INDIRECT($B$5&amp;"生成成长"),4))/(VLOOKUP(CG$72,INDIRECT($C$5&amp;"生成成长"),5))*(VLOOKUP($B$5,标准坦克设计!$B$24:$U$30,MATCH("对"&amp;LEFT($C$5,2)&amp;"输出",标准坦克设计!$B$23:$U$23,0)))*(VLOOKUP($B212,INDIRECT($B$5&amp;"生成成长"),3))*(VLOOKUP($B$5,标准坦克设计!$B$14:$K$20,9)/30))</f>
        <v>7.0773808377211846</v>
      </c>
      <c r="CH212" s="173">
        <f ca="1">(VLOOKUP(CH$72,INDIRECT($C$5&amp;"生成成长"),2))/((VLOOKUP($B212,INDIRECT($B$5&amp;"生成成长"),4))/(VLOOKUP(CH$72,INDIRECT($C$5&amp;"生成成长"),5))*(VLOOKUP($B$5,标准坦克设计!$B$24:$U$30,MATCH("对"&amp;LEFT($C$5,2)&amp;"输出",标准坦克设计!$B$23:$U$23,0)))*(VLOOKUP($B212,INDIRECT($B$5&amp;"生成成长"),3))*(VLOOKUP($B$5,标准坦克设计!$B$14:$K$20,9)/30))</f>
        <v>7.5791703955923708</v>
      </c>
      <c r="CI212" s="173">
        <f ca="1">(VLOOKUP(CI$72,INDIRECT($C$5&amp;"生成成长"),2))/((VLOOKUP($B212,INDIRECT($B$5&amp;"生成成长"),4))/(VLOOKUP(CI$72,INDIRECT($C$5&amp;"生成成长"),5))*(VLOOKUP($B$5,标准坦克设计!$B$24:$U$30,MATCH("对"&amp;LEFT($C$5,2)&amp;"输出",标准坦克设计!$B$23:$U$23,0)))*(VLOOKUP($B212,INDIRECT($B$5&amp;"生成成长"),3))*(VLOOKUP($B$5,标准坦克设计!$B$14:$K$20,9)/30))</f>
        <v>8.1509870921048275</v>
      </c>
      <c r="CJ212" s="173">
        <f ca="1">(VLOOKUP(CJ$72,INDIRECT($C$5&amp;"生成成长"),2))/((VLOOKUP($B212,INDIRECT($B$5&amp;"生成成长"),4))/(VLOOKUP(CJ$72,INDIRECT($C$5&amp;"生成成长"),5))*(VLOOKUP($B$5,标准坦克设计!$B$24:$U$30,MATCH("对"&amp;LEFT($C$5,2)&amp;"输出",标准坦克设计!$B$23:$U$23,0)))*(VLOOKUP($B212,INDIRECT($B$5&amp;"生成成长"),3))*(VLOOKUP($B$5,标准坦克设计!$B$14:$K$20,9)/30))</f>
        <v>8.7435971230359169</v>
      </c>
      <c r="CK212" s="173">
        <f ca="1">(VLOOKUP(CK$72,INDIRECT($C$5&amp;"生成成长"),2))/((VLOOKUP($B212,INDIRECT($B$5&amp;"生成成长"),4))/(VLOOKUP(CK$72,INDIRECT($C$5&amp;"生成成长"),5))*(VLOOKUP($B$5,标准坦克设计!$B$24:$U$30,MATCH("对"&amp;LEFT($C$5,2)&amp;"输出",标准坦克设计!$B$23:$U$23,0)))*(VLOOKUP($B212,INDIRECT($B$5&amp;"生成成长"),3))*(VLOOKUP($B$5,标准坦克设计!$B$14:$K$20,9)/30))</f>
        <v>9.3570004883856424</v>
      </c>
      <c r="CL212" s="173">
        <f ca="1">(VLOOKUP(CL$72,INDIRECT($C$5&amp;"生成成长"),2))/((VLOOKUP($B212,INDIRECT($B$5&amp;"生成成长"),4))/(VLOOKUP(CL$72,INDIRECT($C$5&amp;"生成成长"),5))*(VLOOKUP($B$5,标准坦克设计!$B$24:$U$30,MATCH("对"&amp;LEFT($C$5,2)&amp;"输出",标准坦克设计!$B$23:$U$23,0)))*(VLOOKUP($B212,INDIRECT($B$5&amp;"生成成长"),3))*(VLOOKUP($B$5,标准坦克设计!$B$14:$K$20,9)/30))</f>
        <v>9.9911971881540058</v>
      </c>
      <c r="CM212" s="173">
        <f ca="1">(VLOOKUP(CM$72,INDIRECT($C$5&amp;"生成成长"),2))/((VLOOKUP($B212,INDIRECT($B$5&amp;"生成成长"),4))/(VLOOKUP(CM$72,INDIRECT($C$5&amp;"生成成长"),5))*(VLOOKUP($B$5,标准坦克设计!$B$24:$U$30,MATCH("对"&amp;LEFT($C$5,2)&amp;"输出",标准坦克设计!$B$23:$U$23,0)))*(VLOOKUP($B212,INDIRECT($B$5&amp;"生成成长"),3))*(VLOOKUP($B$5,标准坦克设计!$B$14:$K$20,9)/30))</f>
        <v>10.646187222341</v>
      </c>
      <c r="CN212" s="173">
        <f ca="1">(VLOOKUP(CN$72,INDIRECT($C$5&amp;"生成成长"),2))/((VLOOKUP($B212,INDIRECT($B$5&amp;"生成成长"),4))/(VLOOKUP(CN$72,INDIRECT($C$5&amp;"生成成长"),5))*(VLOOKUP($B$5,标准坦克设计!$B$24:$U$30,MATCH("对"&amp;LEFT($C$5,2)&amp;"输出",标准坦克设计!$B$23:$U$23,0)))*(VLOOKUP($B212,INDIRECT($B$5&amp;"生成成长"),3))*(VLOOKUP($B$5,标准坦克设计!$B$14:$K$20,9)/30))</f>
        <v>11.321970590946629</v>
      </c>
      <c r="CO212" s="173">
        <f ca="1">(VLOOKUP(CO$72,INDIRECT($C$5&amp;"生成成长"),2))/((VLOOKUP($B212,INDIRECT($B$5&amp;"生成成长"),4))/(VLOOKUP(CO$72,INDIRECT($C$5&amp;"生成成长"),5))*(VLOOKUP($B$5,标准坦克设计!$B$24:$U$30,MATCH("对"&amp;LEFT($C$5,2)&amp;"输出",标准坦克设计!$B$23:$U$23,0)))*(VLOOKUP($B212,INDIRECT($B$5&amp;"生成成长"),3))*(VLOOKUP($B$5,标准坦克设计!$B$14:$K$20,9)/30))</f>
        <v>5.0736595210163813</v>
      </c>
      <c r="CP212" s="173">
        <f ca="1">(VLOOKUP(CP$72,INDIRECT($C$5&amp;"生成成长"),2))/((VLOOKUP($B212,INDIRECT($B$5&amp;"生成成长"),4))/(VLOOKUP(CP$72,INDIRECT($C$5&amp;"生成成长"),5))*(VLOOKUP($B$5,标准坦克设计!$B$24:$U$30,MATCH("对"&amp;LEFT($C$5,2)&amp;"输出",标准坦克设计!$B$23:$U$23,0)))*(VLOOKUP($B212,INDIRECT($B$5&amp;"生成成长"),3))*(VLOOKUP($B$5,标准坦克设计!$B$14:$K$20,9)/30))</f>
        <v>5.5433998485646301</v>
      </c>
      <c r="CQ212" s="173">
        <f ca="1">(VLOOKUP(CQ$72,INDIRECT($C$5&amp;"生成成长"),2))/((VLOOKUP($B212,INDIRECT($B$5&amp;"生成成长"),4))/(VLOOKUP(CQ$72,INDIRECT($C$5&amp;"生成成长"),5))*(VLOOKUP($B$5,标准坦克设计!$B$24:$U$30,MATCH("对"&amp;LEFT($C$5,2)&amp;"输出",标准坦克设计!$B$23:$U$23,0)))*(VLOOKUP($B212,INDIRECT($B$5&amp;"生成成长"),3))*(VLOOKUP($B$5,标准坦克设计!$B$14:$K$20,9)/30))</f>
        <v>6.0339335105315142</v>
      </c>
      <c r="CR212" s="173">
        <f ca="1">(VLOOKUP(CR$72,INDIRECT($C$5&amp;"生成成长"),2))/((VLOOKUP($B212,INDIRECT($B$5&amp;"生成成长"),4))/(VLOOKUP(CR$72,INDIRECT($C$5&amp;"生成成长"),5))*(VLOOKUP($B$5,标准坦克设计!$B$24:$U$30,MATCH("对"&amp;LEFT($C$5,2)&amp;"输出",标准坦克设计!$B$23:$U$23,0)))*(VLOOKUP($B212,INDIRECT($B$5&amp;"生成成长"),3))*(VLOOKUP($B$5,标准坦克设计!$B$14:$K$20,9)/30))</f>
        <v>6.5452605069170327</v>
      </c>
      <c r="CS212" s="173">
        <f ca="1">(VLOOKUP(CS$72,INDIRECT($C$5&amp;"生成成长"),2))/((VLOOKUP($B212,INDIRECT($B$5&amp;"生成成长"),4))/(VLOOKUP(CS$72,INDIRECT($C$5&amp;"生成成长"),5))*(VLOOKUP($B$5,标准坦克设计!$B$24:$U$30,MATCH("对"&amp;LEFT($C$5,2)&amp;"输出",标准坦克设计!$B$23:$U$23,0)))*(VLOOKUP($B212,INDIRECT($B$5&amp;"生成成长"),3))*(VLOOKUP($B$5,标准坦克设计!$B$14:$K$20,9)/30))</f>
        <v>7.0773808377211846</v>
      </c>
      <c r="CT212" s="173">
        <f ca="1">(VLOOKUP(CT$72,INDIRECT($C$5&amp;"生成成长"),2))/((VLOOKUP($B212,INDIRECT($B$5&amp;"生成成长"),4))/(VLOOKUP(CT$72,INDIRECT($C$5&amp;"生成成长"),5))*(VLOOKUP($B$5,标准坦克设计!$B$24:$U$30,MATCH("对"&amp;LEFT($C$5,2)&amp;"输出",标准坦克设计!$B$23:$U$23,0)))*(VLOOKUP($B212,INDIRECT($B$5&amp;"生成成长"),3))*(VLOOKUP($B$5,标准坦克设计!$B$14:$K$20,9)/30))</f>
        <v>7.6302945029439737</v>
      </c>
      <c r="CU212" s="173">
        <f ca="1">(VLOOKUP(CU$72,INDIRECT($C$5&amp;"生成成长"),2))/((VLOOKUP($B212,INDIRECT($B$5&amp;"生成成长"),4))/(VLOOKUP(CU$72,INDIRECT($C$5&amp;"生成成长"),5))*(VLOOKUP($B$5,标准坦克设计!$B$24:$U$30,MATCH("对"&amp;LEFT($C$5,2)&amp;"输出",标准坦克设计!$B$23:$U$23,0)))*(VLOOKUP($B212,INDIRECT($B$5&amp;"生成成长"),3))*(VLOOKUP($B$5,标准坦克设计!$B$14:$K$20,9)/30))</f>
        <v>8.2040015025853954</v>
      </c>
      <c r="CV212" s="173">
        <f ca="1">(VLOOKUP(CV$72,INDIRECT($C$5&amp;"生成成长"),2))/((VLOOKUP($B212,INDIRECT($B$5&amp;"生成成长"),4))/(VLOOKUP(CV$72,INDIRECT($C$5&amp;"生成成长"),5))*(VLOOKUP($B$5,标准坦克设计!$B$24:$U$30,MATCH("对"&amp;LEFT($C$5,2)&amp;"输出",标准坦克设计!$B$23:$U$23,0)))*(VLOOKUP($B212,INDIRECT($B$5&amp;"生成成长"),3))*(VLOOKUP($B$5,标准坦克设计!$B$14:$K$20,9)/30))</f>
        <v>8.7985018366454533</v>
      </c>
      <c r="CW212" s="173">
        <f ca="1">(VLOOKUP(CW$72,INDIRECT($C$5&amp;"生成成长"),2))/((VLOOKUP($B212,INDIRECT($B$5&amp;"生成成长"),4))/(VLOOKUP(CW$72,INDIRECT($C$5&amp;"生成成长"),5))*(VLOOKUP($B$5,标准坦克设计!$B$24:$U$30,MATCH("对"&amp;LEFT($C$5,2)&amp;"输出",标准坦克设计!$B$23:$U$23,0)))*(VLOOKUP($B212,INDIRECT($B$5&amp;"生成成长"),3))*(VLOOKUP($B$5,标准坦克设计!$B$14:$K$20,9)/30))</f>
        <v>9.4137955051241455</v>
      </c>
      <c r="CX212" s="173">
        <f ca="1">(VLOOKUP(CX$72,INDIRECT($C$5&amp;"生成成长"),2))/((VLOOKUP($B212,INDIRECT($B$5&amp;"生成成长"),4))/(VLOOKUP(CX$72,INDIRECT($C$5&amp;"生成成长"),5))*(VLOOKUP($B$5,标准坦克设计!$B$24:$U$30,MATCH("对"&amp;LEFT($C$5,2)&amp;"输出",标准坦克设计!$B$23:$U$23,0)))*(VLOOKUP($B212,INDIRECT($B$5&amp;"生成成长"),3))*(VLOOKUP($B$5,标准坦克设计!$B$14:$K$20,9)/30))</f>
        <v>10.049882508021474</v>
      </c>
      <c r="CY212" s="173">
        <f ca="1">(VLOOKUP(CY$72,INDIRECT($C$5&amp;"生成成长"),2))/((VLOOKUP($B212,INDIRECT($B$5&amp;"生成成长"),4))/(VLOOKUP(CY$72,INDIRECT($C$5&amp;"生成成长"),5))*(VLOOKUP($B$5,标准坦克设计!$B$24:$U$30,MATCH("对"&amp;LEFT($C$5,2)&amp;"输出",标准坦克设计!$B$23:$U$23,0)))*(VLOOKUP($B212,INDIRECT($B$5&amp;"生成成长"),3))*(VLOOKUP($B$5,标准坦克设计!$B$14:$K$20,9)/30))</f>
        <v>10.706762845337435</v>
      </c>
      <c r="CZ212" s="173">
        <f ca="1">(VLOOKUP(CZ$72,INDIRECT($C$5&amp;"生成成长"),2))/((VLOOKUP($B212,INDIRECT($B$5&amp;"生成成长"),4))/(VLOOKUP(CZ$72,INDIRECT($C$5&amp;"生成成长"),5))*(VLOOKUP($B$5,标准坦克设计!$B$24:$U$30,MATCH("对"&amp;LEFT($C$5,2)&amp;"输出",标准坦克设计!$B$23:$U$23,0)))*(VLOOKUP($B212,INDIRECT($B$5&amp;"生成成长"),3))*(VLOOKUP($B$5,标准坦克设计!$B$14:$K$20,9)/30))</f>
        <v>11.384436517072032</v>
      </c>
      <c r="DA212" s="173">
        <f ca="1">(VLOOKUP(DA$72,INDIRECT($C$5&amp;"生成成长"),2))/((VLOOKUP($B212,INDIRECT($B$5&amp;"生成成长"),4))/(VLOOKUP(DA$72,INDIRECT($C$5&amp;"生成成长"),5))*(VLOOKUP($B$5,标准坦克设计!$B$24:$U$30,MATCH("对"&amp;LEFT($C$5,2)&amp;"输出",标准坦克设计!$B$23:$U$23,0)))*(VLOOKUP($B212,INDIRECT($B$5&amp;"生成成长"),3))*(VLOOKUP($B$5,标准坦克设计!$B$14:$K$20,9)/30))</f>
        <v>12.082903523225262</v>
      </c>
      <c r="DB212" s="173">
        <f ca="1">(VLOOKUP(DB$72,INDIRECT($C$5&amp;"生成成长"),2))/((VLOOKUP($B212,INDIRECT($B$5&amp;"生成成长"),4))/(VLOOKUP(DB$72,INDIRECT($C$5&amp;"生成成长"),5))*(VLOOKUP($B$5,标准坦克设计!$B$24:$U$30,MATCH("对"&amp;LEFT($C$5,2)&amp;"输出",标准坦克设计!$B$23:$U$23,0)))*(VLOOKUP($B212,INDIRECT($B$5&amp;"生成成长"),3))*(VLOOKUP($B$5,标准坦克设计!$B$14:$K$20,9)/30))</f>
        <v>12.802163863797128</v>
      </c>
      <c r="DC212" s="173">
        <f ca="1">(VLOOKUP(DC$72,INDIRECT($C$5&amp;"生成成长"),2))/((VLOOKUP($B212,INDIRECT($B$5&amp;"生成成长"),4))/(VLOOKUP(DC$72,INDIRECT($C$5&amp;"生成成长"),5))*(VLOOKUP($B$5,标准坦克设计!$B$24:$U$30,MATCH("对"&amp;LEFT($C$5,2)&amp;"输出",标准坦克设计!$B$23:$U$23,0)))*(VLOOKUP($B212,INDIRECT($B$5&amp;"生成成长"),3))*(VLOOKUP($B$5,标准坦克设计!$B$14:$K$20,9)/30))</f>
        <v>13.610526220038931</v>
      </c>
      <c r="DD212" s="173">
        <f ca="1">(VLOOKUP(DD$72,INDIRECT($C$5&amp;"生成成长"),2))/((VLOOKUP($B212,INDIRECT($B$5&amp;"生成成长"),4))/(VLOOKUP(DD$72,INDIRECT($C$5&amp;"生成成长"),5))*(VLOOKUP($B$5,标准坦克设计!$B$24:$U$30,MATCH("对"&amp;LEFT($C$5,2)&amp;"输出",标准坦克设计!$B$23:$U$23,0)))*(VLOOKUP($B212,INDIRECT($B$5&amp;"生成成长"),3))*(VLOOKUP($B$5,标准坦克设计!$B$14:$K$20,9)/30))</f>
        <v>14.443634362696297</v>
      </c>
      <c r="DE212" s="173">
        <f ca="1">(VLOOKUP(DE$72,INDIRECT($C$5&amp;"生成成长"),2))/((VLOOKUP($B212,INDIRECT($B$5&amp;"生成成长"),4))/(VLOOKUP(DE$72,INDIRECT($C$5&amp;"生成成长"),5))*(VLOOKUP($B$5,标准坦克设计!$B$24:$U$30,MATCH("对"&amp;LEFT($C$5,2)&amp;"输出",标准坦克设计!$B$23:$U$23,0)))*(VLOOKUP($B212,INDIRECT($B$5&amp;"生成成长"),3))*(VLOOKUP($B$5,标准坦克设计!$B$14:$K$20,9)/30))</f>
        <v>15.301488291769232</v>
      </c>
      <c r="DF212" s="173">
        <f ca="1">(VLOOKUP(DF$72,INDIRECT($C$5&amp;"生成成长"),2))/((VLOOKUP($B212,INDIRECT($B$5&amp;"生成成长"),4))/(VLOOKUP(DF$72,INDIRECT($C$5&amp;"生成成长"),5))*(VLOOKUP($B$5,标准坦克设计!$B$24:$U$30,MATCH("对"&amp;LEFT($C$5,2)&amp;"输出",标准坦克设计!$B$23:$U$23,0)))*(VLOOKUP($B212,INDIRECT($B$5&amp;"生成成长"),3))*(VLOOKUP($B$5,标准坦克设计!$B$14:$K$20,9)/30))</f>
        <v>16.184088007257728</v>
      </c>
      <c r="DG212" s="173">
        <f ca="1">(VLOOKUP(DG$72,INDIRECT($C$5&amp;"生成成长"),2))/((VLOOKUP($B212,INDIRECT($B$5&amp;"生成成长"),4))/(VLOOKUP(DG$72,INDIRECT($C$5&amp;"生成成长"),5))*(VLOOKUP($B$5,标准坦克设计!$B$24:$U$30,MATCH("对"&amp;LEFT($C$5,2)&amp;"输出",标准坦克设计!$B$23:$U$23,0)))*(VLOOKUP($B212,INDIRECT($B$5&amp;"生成成长"),3))*(VLOOKUP($B$5,标准坦克设计!$B$14:$K$20,9)/30))</f>
        <v>17.091433509161789</v>
      </c>
      <c r="DH212" s="173">
        <f ca="1">(VLOOKUP(DH$72,INDIRECT($C$5&amp;"生成成长"),2))/((VLOOKUP($B212,INDIRECT($B$5&amp;"生成成长"),4))/(VLOOKUP(DH$72,INDIRECT($C$5&amp;"生成成长"),5))*(VLOOKUP($B$5,标准坦克设计!$B$24:$U$30,MATCH("对"&amp;LEFT($C$5,2)&amp;"输出",标准坦克设计!$B$23:$U$23,0)))*(VLOOKUP($B212,INDIRECT($B$5&amp;"生成成长"),3))*(VLOOKUP($B$5,标准坦克设计!$B$14:$K$20,9)/30))</f>
        <v>18.023524797481418</v>
      </c>
      <c r="DI212" s="173">
        <f ca="1">(VLOOKUP(DI$72,INDIRECT($C$5&amp;"生成成长"),2))/((VLOOKUP($B212,INDIRECT($B$5&amp;"生成成长"),4))/(VLOOKUP(DI$72,INDIRECT($C$5&amp;"生成成长"),5))*(VLOOKUP($B$5,标准坦克设计!$B$24:$U$30,MATCH("对"&amp;LEFT($C$5,2)&amp;"输出",标准坦克设计!$B$23:$U$23,0)))*(VLOOKUP($B212,INDIRECT($B$5&amp;"生成成长"),3))*(VLOOKUP($B$5,标准坦克设计!$B$14:$K$20,9)/30))</f>
        <v>18.980361872216609</v>
      </c>
      <c r="DJ212" s="173">
        <f ca="1">(VLOOKUP(DJ$72,INDIRECT($C$5&amp;"生成成长"),2))/((VLOOKUP($B212,INDIRECT($B$5&amp;"生成成长"),4))/(VLOOKUP(DJ$72,INDIRECT($C$5&amp;"生成成长"),5))*(VLOOKUP($B$5,标准坦克设计!$B$24:$U$30,MATCH("对"&amp;LEFT($C$5,2)&amp;"输出",标准坦克设计!$B$23:$U$23,0)))*(VLOOKUP($B212,INDIRECT($B$5&amp;"生成成长"),3))*(VLOOKUP($B$5,标准坦克设计!$B$14:$K$20,9)/30))</f>
        <v>1.9075736257359934</v>
      </c>
      <c r="DK212" s="173">
        <f ca="1">(VLOOKUP(DK$72,INDIRECT($C$5&amp;"生成成长"),2))/((VLOOKUP($B212,INDIRECT($B$5&amp;"生成成长"),4))/(VLOOKUP(DK$72,INDIRECT($C$5&amp;"生成成长"),5))*(VLOOKUP($B$5,标准坦克设计!$B$24:$U$30,MATCH("对"&amp;LEFT($C$5,2)&amp;"输出",标准坦克设计!$B$23:$U$23,0)))*(VLOOKUP($B212,INDIRECT($B$5&amp;"生成成长"),3))*(VLOOKUP($B$5,标准坦克设计!$B$14:$K$20,9)/30))</f>
        <v>2.1449785141603237</v>
      </c>
      <c r="DL212" s="173">
        <f ca="1">(VLOOKUP(DL$72,INDIRECT($C$5&amp;"生成成长"),2))/((VLOOKUP($B212,INDIRECT($B$5&amp;"生成成长"),4))/(VLOOKUP(DL$72,INDIRECT($C$5&amp;"生成成长"),5))*(VLOOKUP($B$5,标准坦克设计!$B$24:$U$30,MATCH("对"&amp;LEFT($C$5,2)&amp;"输出",标准坦克设计!$B$23:$U$23,0)))*(VLOOKUP($B212,INDIRECT($B$5&amp;"生成成长"),3))*(VLOOKUP($B$5,标准坦克设计!$B$14:$K$20,9)/30))</f>
        <v>2.3963029074434097</v>
      </c>
      <c r="DM212" s="173">
        <f ca="1">(VLOOKUP(DM$72,INDIRECT($C$5&amp;"生成成长"),2))/((VLOOKUP($B212,INDIRECT($B$5&amp;"生成成长"),4))/(VLOOKUP(DM$72,INDIRECT($C$5&amp;"生成成长"),5))*(VLOOKUP($B$5,标准坦克设计!$B$24:$U$30,MATCH("对"&amp;LEFT($C$5,2)&amp;"输出",标准坦克设计!$B$23:$U$23,0)))*(VLOOKUP($B212,INDIRECT($B$5&amp;"生成成长"),3))*(VLOOKUP($B$5,标准坦克设计!$B$14:$K$20,9)/30))</f>
        <v>2.66154680558525</v>
      </c>
      <c r="DN212" s="173">
        <f ca="1">(VLOOKUP(DN$72,INDIRECT($C$5&amp;"生成成长"),2))/((VLOOKUP($B212,INDIRECT($B$5&amp;"生成成长"),4))/(VLOOKUP(DN$72,INDIRECT($C$5&amp;"生成成长"),5))*(VLOOKUP($B$5,标准坦克设计!$B$24:$U$30,MATCH("对"&amp;LEFT($C$5,2)&amp;"输出",标准坦克设计!$B$23:$U$23,0)))*(VLOOKUP($B212,INDIRECT($B$5&amp;"生成成长"),3))*(VLOOKUP($B$5,标准坦克设计!$B$14:$K$20,9)/30))</f>
        <v>2.9407102085858465</v>
      </c>
      <c r="DO212" s="173">
        <f ca="1">(VLOOKUP(DO$72,INDIRECT($C$5&amp;"生成成长"),2))/((VLOOKUP($B212,INDIRECT($B$5&amp;"生成成长"),4))/(VLOOKUP(DO$72,INDIRECT($C$5&amp;"生成成长"),5))*(VLOOKUP($B$5,标准坦克设计!$B$24:$U$30,MATCH("对"&amp;LEFT($C$5,2)&amp;"输出",标准坦克设计!$B$23:$U$23,0)))*(VLOOKUP($B212,INDIRECT($B$5&amp;"生成成长"),3))*(VLOOKUP($B$5,标准坦克设计!$B$14:$K$20,9)/30))</f>
        <v>3.2337931164451987</v>
      </c>
      <c r="DP212" s="173">
        <f ca="1">(VLOOKUP(DP$72,INDIRECT($C$5&amp;"生成成长"),2))/((VLOOKUP($B212,INDIRECT($B$5&amp;"生成成长"),4))/(VLOOKUP(DP$72,INDIRECT($C$5&amp;"生成成长"),5))*(VLOOKUP($B$5,标准坦克设计!$B$24:$U$30,MATCH("对"&amp;LEFT($C$5,2)&amp;"输出",标准坦克设计!$B$23:$U$23,0)))*(VLOOKUP($B212,INDIRECT($B$5&amp;"生成成长"),3))*(VLOOKUP($B$5,标准坦克设计!$B$14:$K$20,9)/30))</f>
        <v>3.5407955291633062</v>
      </c>
      <c r="DQ212" s="173">
        <f ca="1">(VLOOKUP(DQ$72,INDIRECT($C$5&amp;"生成成长"),2))/((VLOOKUP($B212,INDIRECT($B$5&amp;"生成成长"),4))/(VLOOKUP(DQ$72,INDIRECT($C$5&amp;"生成成长"),5))*(VLOOKUP($B$5,标准坦克设计!$B$24:$U$30,MATCH("对"&amp;LEFT($C$5,2)&amp;"输出",标准坦克设计!$B$23:$U$23,0)))*(VLOOKUP($B212,INDIRECT($B$5&amp;"生成成长"),3))*(VLOOKUP($B$5,标准坦克设计!$B$14:$K$20,9)/30))</f>
        <v>3.8617174467401694</v>
      </c>
      <c r="DR212" s="173">
        <f ca="1">(VLOOKUP(DR$72,INDIRECT($C$5&amp;"生成成长"),2))/((VLOOKUP($B212,INDIRECT($B$5&amp;"生成成长"),4))/(VLOOKUP(DR$72,INDIRECT($C$5&amp;"生成成长"),5))*(VLOOKUP($B$5,标准坦克设计!$B$24:$U$30,MATCH("对"&amp;LEFT($C$5,2)&amp;"输出",标准坦克设计!$B$23:$U$23,0)))*(VLOOKUP($B212,INDIRECT($B$5&amp;"生成成长"),3))*(VLOOKUP($B$5,标准坦克设计!$B$14:$K$20,9)/30))</f>
        <v>4.1965588691757869</v>
      </c>
      <c r="DS212" s="173">
        <f ca="1">(VLOOKUP(DS$72,INDIRECT($C$5&amp;"生成成长"),2))/((VLOOKUP($B212,INDIRECT($B$5&amp;"生成成长"),4))/(VLOOKUP(DS$72,INDIRECT($C$5&amp;"生成成长"),5))*(VLOOKUP($B$5,标准坦克设计!$B$24:$U$30,MATCH("对"&amp;LEFT($C$5,2)&amp;"输出",标准坦克设计!$B$23:$U$23,0)))*(VLOOKUP($B212,INDIRECT($B$5&amp;"生成成长"),3))*(VLOOKUP($B$5,标准坦克设计!$B$14:$K$20,9)/30))</f>
        <v>4.545319796470161</v>
      </c>
      <c r="DT212" s="173">
        <f ca="1">(VLOOKUP(DT$72,INDIRECT($C$5&amp;"生成成长"),2))/((VLOOKUP($B212,INDIRECT($B$5&amp;"生成成长"),4))/(VLOOKUP(DT$72,INDIRECT($C$5&amp;"生成成长"),5))*(VLOOKUP($B$5,标准坦克设计!$B$24:$U$30,MATCH("对"&amp;LEFT($C$5,2)&amp;"输出",标准坦克设计!$B$23:$U$23,0)))*(VLOOKUP($B212,INDIRECT($B$5&amp;"生成成长"),3))*(VLOOKUP($B$5,标准坦克设计!$B$14:$K$20,9)/30))</f>
        <v>4.9904861833418419</v>
      </c>
      <c r="DU212" s="173">
        <f ca="1">(VLOOKUP(DU$72,INDIRECT($C$5&amp;"生成成长"),2))/((VLOOKUP($B212,INDIRECT($B$5&amp;"生成成长"),4))/(VLOOKUP(DU$72,INDIRECT($C$5&amp;"生成成长"),5))*(VLOOKUP($B$5,标准坦克设计!$B$24:$U$30,MATCH("对"&amp;LEFT($C$5,2)&amp;"输出",标准坦克设计!$B$23:$U$23,0)))*(VLOOKUP($B212,INDIRECT($B$5&amp;"生成成长"),3))*(VLOOKUP($B$5,标准坦克设计!$B$14:$K$20,9)/30))</f>
        <v>5.4564459046321572</v>
      </c>
      <c r="DV212" s="173">
        <f ca="1">(VLOOKUP(DV$72,INDIRECT($C$5&amp;"生成成长"),2))/((VLOOKUP($B212,INDIRECT($B$5&amp;"生成成长"),4))/(VLOOKUP(DV$72,INDIRECT($C$5&amp;"生成成长"),5))*(VLOOKUP($B$5,标准坦克设计!$B$24:$U$30,MATCH("对"&amp;LEFT($C$5,2)&amp;"输出",标准坦克设计!$B$23:$U$23,0)))*(VLOOKUP($B212,INDIRECT($B$5&amp;"生成成长"),3))*(VLOOKUP($B$5,标准坦克设计!$B$14:$K$20,9)/30))</f>
        <v>5.9431989603411068</v>
      </c>
      <c r="DW212" s="173">
        <f ca="1">(VLOOKUP(DW$72,INDIRECT($C$5&amp;"生成成长"),2))/((VLOOKUP($B212,INDIRECT($B$5&amp;"生成成长"),4))/(VLOOKUP(DW$72,INDIRECT($C$5&amp;"生成成长"),5))*(VLOOKUP($B$5,标准坦克设计!$B$24:$U$30,MATCH("对"&amp;LEFT($C$5,2)&amp;"输出",标准坦克设计!$B$23:$U$23,0)))*(VLOOKUP($B212,INDIRECT($B$5&amp;"生成成长"),3))*(VLOOKUP($B$5,标准坦克设计!$B$14:$K$20,9)/30))</f>
        <v>6.4507453504686927</v>
      </c>
      <c r="DX212" s="173">
        <f ca="1">(VLOOKUP(DX$72,INDIRECT($C$5&amp;"生成成长"),2))/((VLOOKUP($B212,INDIRECT($B$5&amp;"生成成长"),4))/(VLOOKUP(DX$72,INDIRECT($C$5&amp;"生成成长"),5))*(VLOOKUP($B$5,标准坦克设计!$B$24:$U$30,MATCH("对"&amp;LEFT($C$5,2)&amp;"输出",标准坦克设计!$B$23:$U$23,0)))*(VLOOKUP($B212,INDIRECT($B$5&amp;"生成成长"),3))*(VLOOKUP($B$5,标准坦克设计!$B$14:$K$20,9)/30))</f>
        <v>6.979085075014912</v>
      </c>
      <c r="DY212" s="173">
        <f ca="1">(VLOOKUP(DY$72,INDIRECT($C$5&amp;"生成成长"),2))/((VLOOKUP($B212,INDIRECT($B$5&amp;"生成成长"),4))/(VLOOKUP(DY$72,INDIRECT($C$5&amp;"生成成长"),5))*(VLOOKUP($B$5,标准坦克设计!$B$24:$U$30,MATCH("对"&amp;LEFT($C$5,2)&amp;"输出",标准坦克设计!$B$23:$U$23,0)))*(VLOOKUP($B212,INDIRECT($B$5&amp;"生成成长"),3))*(VLOOKUP($B$5,标准坦克设计!$B$14:$K$20,9)/30))</f>
        <v>3.1345522021744419</v>
      </c>
      <c r="DZ212" s="173">
        <f ca="1">(VLOOKUP(DZ$72,INDIRECT($C$5&amp;"生成成长"),2))/((VLOOKUP($B212,INDIRECT($B$5&amp;"生成成长"),4))/(VLOOKUP(DZ$72,INDIRECT($C$5&amp;"生成成长"),5))*(VLOOKUP($B$5,标准坦克设计!$B$24:$U$30,MATCH("对"&amp;LEFT($C$5,2)&amp;"输出",标准坦克设计!$B$23:$U$23,0)))*(VLOOKUP($B212,INDIRECT($B$5&amp;"生成成长"),3))*(VLOOKUP($B$5,标准坦克设计!$B$14:$K$20,9)/30))</f>
        <v>3.4713698506085255</v>
      </c>
      <c r="EA212" s="173">
        <f ca="1">(VLOOKUP(EA$72,INDIRECT($C$5&amp;"生成成长"),2))/((VLOOKUP($B212,INDIRECT($B$5&amp;"生成成长"),4))/(VLOOKUP(EA$72,INDIRECT($C$5&amp;"生成成长"),5))*(VLOOKUP($B$5,标准坦克设计!$B$24:$U$30,MATCH("对"&amp;LEFT($C$5,2)&amp;"输出",标准坦克设计!$B$23:$U$23,0)))*(VLOOKUP($B212,INDIRECT($B$5&amp;"生成成长"),3))*(VLOOKUP($B$5,标准坦克设计!$B$14:$K$20,9)/30))</f>
        <v>3.825372072942308</v>
      </c>
      <c r="EB212" s="173">
        <f ca="1">(VLOOKUP(EB$72,INDIRECT($C$5&amp;"生成成长"),2))/((VLOOKUP($B212,INDIRECT($B$5&amp;"生成成长"),4))/(VLOOKUP(EB$72,INDIRECT($C$5&amp;"生成成长"),5))*(VLOOKUP($B$5,标准坦克设计!$B$24:$U$30,MATCH("对"&amp;LEFT($C$5,2)&amp;"输出",标准坦克设计!$B$23:$U$23,0)))*(VLOOKUP($B212,INDIRECT($B$5&amp;"生成成长"),3))*(VLOOKUP($B$5,标准坦克设计!$B$14:$K$20,9)/30))</f>
        <v>4.1965588691757869</v>
      </c>
      <c r="EC212" s="173">
        <f ca="1">(VLOOKUP(EC$72,INDIRECT($C$5&amp;"生成成长"),2))/((VLOOKUP($B212,INDIRECT($B$5&amp;"生成成长"),4))/(VLOOKUP(EC$72,INDIRECT($C$5&amp;"生成成长"),5))*(VLOOKUP($B$5,标准坦克设计!$B$24:$U$30,MATCH("对"&amp;LEFT($C$5,2)&amp;"输出",标准坦克设计!$B$23:$U$23,0)))*(VLOOKUP($B212,INDIRECT($B$5&amp;"生成成长"),3))*(VLOOKUP($B$5,标准坦克设计!$B$14:$K$20,9)/30))</f>
        <v>4.5849302393089655</v>
      </c>
      <c r="ED212" s="173">
        <f ca="1">(VLOOKUP(ED$72,INDIRECT($C$5&amp;"生成成长"),2))/((VLOOKUP($B212,INDIRECT($B$5&amp;"生成成长"),4))/(VLOOKUP(ED$72,INDIRECT($C$5&amp;"生成成长"),5))*(VLOOKUP($B$5,标准坦克设计!$B$24:$U$30,MATCH("对"&amp;LEFT($C$5,2)&amp;"输出",标准坦克设计!$B$23:$U$23,0)))*(VLOOKUP($B212,INDIRECT($B$5&amp;"生成成长"),3))*(VLOOKUP($B$5,标准坦克设计!$B$14:$K$20,9)/30))</f>
        <v>4.9904861833418419</v>
      </c>
      <c r="EE212" s="173">
        <f ca="1">(VLOOKUP(EE$72,INDIRECT($C$5&amp;"生成成长"),2))/((VLOOKUP($B212,INDIRECT($B$5&amp;"生成成长"),4))/(VLOOKUP(EE$72,INDIRECT($C$5&amp;"生成成长"),5))*(VLOOKUP($B$5,标准坦克设计!$B$24:$U$30,MATCH("对"&amp;LEFT($C$5,2)&amp;"输出",标准坦克设计!$B$23:$U$23,0)))*(VLOOKUP($B212,INDIRECT($B$5&amp;"生成成长"),3))*(VLOOKUP($B$5,标准坦克设计!$B$14:$K$20,9)/30))</f>
        <v>5.4132267012744171</v>
      </c>
      <c r="EF212" s="173">
        <f ca="1">(VLOOKUP(EF$72,INDIRECT($C$5&amp;"生成成长"),2))/((VLOOKUP($B212,INDIRECT($B$5&amp;"生成成长"),4))/(VLOOKUP(EF$72,INDIRECT($C$5&amp;"生成成长"),5))*(VLOOKUP($B$5,标准坦克设计!$B$24:$U$30,MATCH("对"&amp;LEFT($C$5,2)&amp;"输出",标准坦克设计!$B$23:$U$23,0)))*(VLOOKUP($B212,INDIRECT($B$5&amp;"生成成长"),3))*(VLOOKUP($B$5,标准坦克设计!$B$14:$K$20,9)/30))</f>
        <v>5.8531517931066892</v>
      </c>
      <c r="EG212" s="173">
        <f ca="1">(VLOOKUP(EG$72,INDIRECT($C$5&amp;"生成成长"),2))/((VLOOKUP($B212,INDIRECT($B$5&amp;"生成成长"),4))/(VLOOKUP(EG$72,INDIRECT($C$5&amp;"生成成长"),5))*(VLOOKUP($B$5,标准坦克设计!$B$24:$U$30,MATCH("对"&amp;LEFT($C$5,2)&amp;"输出",标准坦克设计!$B$23:$U$23,0)))*(VLOOKUP($B212,INDIRECT($B$5&amp;"生成成长"),3))*(VLOOKUP($B$5,标准坦克设计!$B$14:$K$20,9)/30))</f>
        <v>6.310261458838661</v>
      </c>
      <c r="EH212" s="173">
        <f ca="1">(VLOOKUP(EH$72,INDIRECT($C$5&amp;"生成成长"),2))/((VLOOKUP($B212,INDIRECT($B$5&amp;"生成成长"),4))/(VLOOKUP(EH$72,INDIRECT($C$5&amp;"生成成长"),5))*(VLOOKUP($B$5,标准坦克设计!$B$24:$U$30,MATCH("对"&amp;LEFT($C$5,2)&amp;"输出",标准坦克设计!$B$23:$U$23,0)))*(VLOOKUP($B212,INDIRECT($B$5&amp;"生成成长"),3))*(VLOOKUP($B$5,标准坦克设计!$B$14:$K$20,9)/30))</f>
        <v>6.7845556984703306</v>
      </c>
      <c r="EI212" s="173">
        <f ca="1">(VLOOKUP(EI$72,INDIRECT($C$5&amp;"生成成长"),2))/((VLOOKUP($B212,INDIRECT($B$5&amp;"生成成长"),4))/(VLOOKUP(EI$72,INDIRECT($C$5&amp;"生成成长"),5))*(VLOOKUP($B$5,标准坦克设计!$B$24:$U$30,MATCH("对"&amp;LEFT($C$5,2)&amp;"输出",标准坦克设计!$B$23:$U$23,0)))*(VLOOKUP($B212,INDIRECT($B$5&amp;"生成成长"),3))*(VLOOKUP($B$5,标准坦克设计!$B$14:$K$20,9)/30))</f>
        <v>7.2760345120016945</v>
      </c>
      <c r="EJ212" s="173">
        <f ca="1">(VLOOKUP(EJ$72,INDIRECT($C$5&amp;"生成成长"),2))/((VLOOKUP($B212,INDIRECT($B$5&amp;"生成成长"),4))/(VLOOKUP(EJ$72,INDIRECT($C$5&amp;"生成成长"),5))*(VLOOKUP($B$5,标准坦克设计!$B$24:$U$30,MATCH("对"&amp;LEFT($C$5,2)&amp;"输出",标准坦克设计!$B$23:$U$23,0)))*(VLOOKUP($B212,INDIRECT($B$5&amp;"生成成长"),3))*(VLOOKUP($B$5,标准坦克设计!$B$14:$K$20,9)/30))</f>
        <v>7.7846978994327607</v>
      </c>
      <c r="EK212" s="173">
        <f ca="1">(VLOOKUP(EK$72,INDIRECT($C$5&amp;"生成成长"),2))/((VLOOKUP($B212,INDIRECT($B$5&amp;"生成成长"),4))/(VLOOKUP(EK$72,INDIRECT($C$5&amp;"生成成长"),5))*(VLOOKUP($B$5,标准坦克设计!$B$24:$U$30,MATCH("对"&amp;LEFT($C$5,2)&amp;"输出",标准坦克设计!$B$23:$U$23,0)))*(VLOOKUP($B212,INDIRECT($B$5&amp;"生成成长"),3))*(VLOOKUP($B$5,标准坦克设计!$B$14:$K$20,9)/30))</f>
        <v>8.417777601897642</v>
      </c>
      <c r="EL212" s="173">
        <f ca="1">(VLOOKUP(EL$72,INDIRECT($C$5&amp;"生成成长"),2))/((VLOOKUP($B212,INDIRECT($B$5&amp;"生成成长"),4))/(VLOOKUP(EL$72,INDIRECT($C$5&amp;"生成成长"),5))*(VLOOKUP($B$5,标准坦克设计!$B$24:$U$30,MATCH("对"&amp;LEFT($C$5,2)&amp;"输出",标准坦克设计!$B$23:$U$23,0)))*(VLOOKUP($B212,INDIRECT($B$5&amp;"生成成长"),3))*(VLOOKUP($B$5,标准坦克设计!$B$14:$K$20,9)/30))</f>
        <v>9.0756030907780882</v>
      </c>
      <c r="EM212" s="173">
        <f ca="1">(VLOOKUP(EM$72,INDIRECT($C$5&amp;"生成成长"),2))/((VLOOKUP($B212,INDIRECT($B$5&amp;"生成成长"),4))/(VLOOKUP(EM$72,INDIRECT($C$5&amp;"生成成长"),5))*(VLOOKUP($B$5,标准坦克设计!$B$24:$U$30,MATCH("对"&amp;LEFT($C$5,2)&amp;"输出",标准坦克设计!$B$23:$U$23,0)))*(VLOOKUP($B212,INDIRECT($B$5&amp;"生成成长"),3))*(VLOOKUP($B$5,标准坦克设计!$B$14:$K$20,9)/30))</f>
        <v>9.7581743660740976</v>
      </c>
      <c r="EN212" s="173">
        <f ca="1">(VLOOKUP(EN$72,INDIRECT($C$5&amp;"生成成长"),2))/((VLOOKUP($B212,INDIRECT($B$5&amp;"生成成长"),4))/(VLOOKUP(EN$72,INDIRECT($C$5&amp;"生成成长"),5))*(VLOOKUP($B$5,标准坦克设计!$B$24:$U$30,MATCH("对"&amp;LEFT($C$5,2)&amp;"输出",标准坦克设计!$B$23:$U$23,0)))*(VLOOKUP($B212,INDIRECT($B$5&amp;"生成成长"),3))*(VLOOKUP($B$5,标准坦克设计!$B$14:$K$20,9)/30))</f>
        <v>10.465491427785672</v>
      </c>
      <c r="EO212" s="173">
        <f ca="1">(VLOOKUP(EO$72,INDIRECT($C$5&amp;"生成成长"),2))/((VLOOKUP($B212,INDIRECT($B$5&amp;"生成成长"),4))/(VLOOKUP(EO$72,INDIRECT($C$5&amp;"生成成长"),5))*(VLOOKUP($B$5,标准坦克设计!$B$24:$U$30,MATCH("对"&amp;LEFT($C$5,2)&amp;"输出",标准坦克设计!$B$23:$U$23,0)))*(VLOOKUP($B212,INDIRECT($B$5&amp;"生成成长"),3))*(VLOOKUP($B$5,标准坦克设计!$B$14:$K$20,9)/30))</f>
        <v>11.197554275912815</v>
      </c>
      <c r="EP212" s="173">
        <f ca="1">(VLOOKUP(EP$72,INDIRECT($C$5&amp;"生成成长"),2))/((VLOOKUP($B212,INDIRECT($B$5&amp;"生成成长"),4))/(VLOOKUP(EP$72,INDIRECT($C$5&amp;"生成成长"),5))*(VLOOKUP($B$5,标准坦克设计!$B$24:$U$30,MATCH("对"&amp;LEFT($C$5,2)&amp;"输出",标准坦克设计!$B$23:$U$23,0)))*(VLOOKUP($B212,INDIRECT($B$5&amp;"生成成长"),3))*(VLOOKUP($B$5,标准坦克设计!$B$14:$K$20,9)/30))</f>
        <v>11.95436291045552</v>
      </c>
      <c r="EQ212" s="173">
        <f ca="1">(VLOOKUP(EQ$72,INDIRECT($C$5&amp;"生成成长"),2))/((VLOOKUP($B212,INDIRECT($B$5&amp;"生成成长"),4))/(VLOOKUP(EQ$72,INDIRECT($C$5&amp;"生成成长"),5))*(VLOOKUP($B$5,标准坦克设计!$B$24:$U$30,MATCH("对"&amp;LEFT($C$5,2)&amp;"输出",标准坦克设计!$B$23:$U$23,0)))*(VLOOKUP($B212,INDIRECT($B$5&amp;"生成成长"),3))*(VLOOKUP($B$5,标准坦克设计!$B$14:$K$20,9)/30))</f>
        <v>5.2846001656351751</v>
      </c>
      <c r="ER212" s="173">
        <f ca="1">(VLOOKUP(ER$72,INDIRECT($C$5&amp;"生成成长"),2))/((VLOOKUP($B212,INDIRECT($B$5&amp;"生成成长"),4))/(VLOOKUP(ER$72,INDIRECT($C$5&amp;"生成成长"),5))*(VLOOKUP($B$5,标准坦克设计!$B$24:$U$30,MATCH("对"&amp;LEFT($C$5,2)&amp;"输出",标准坦克设计!$B$23:$U$23,0)))*(VLOOKUP($B212,INDIRECT($B$5&amp;"生成成长"),3))*(VLOOKUP($B$5,标准坦克设计!$B$14:$K$20,9)/30))</f>
        <v>5.7637920088282595</v>
      </c>
      <c r="ES212" s="173">
        <f ca="1">(VLOOKUP(ES$72,INDIRECT($C$5&amp;"生成成长"),2))/((VLOOKUP($B212,INDIRECT($B$5&amp;"生成成长"),4))/(VLOOKUP(ES$72,INDIRECT($C$5&amp;"生成成长"),5))*(VLOOKUP($B$5,标准坦克设计!$B$24:$U$30,MATCH("对"&amp;LEFT($C$5,2)&amp;"输出",标准坦克设计!$B$23:$U$23,0)))*(VLOOKUP($B212,INDIRECT($B$5&amp;"生成成长"),3))*(VLOOKUP($B$5,标准坦克设计!$B$14:$K$20,9)/30))</f>
        <v>6.2637771864399765</v>
      </c>
      <c r="ET212" s="173">
        <f ca="1">(VLOOKUP(ET$72,INDIRECT($C$5&amp;"生成成长"),2))/((VLOOKUP($B212,INDIRECT($B$5&amp;"生成成长"),4))/(VLOOKUP(ET$72,INDIRECT($C$5&amp;"生成成长"),5))*(VLOOKUP($B$5,标准坦克设计!$B$24:$U$30,MATCH("对"&amp;LEFT($C$5,2)&amp;"输出",标准坦克设计!$B$23:$U$23,0)))*(VLOOKUP($B212,INDIRECT($B$5&amp;"生成成长"),3))*(VLOOKUP($B$5,标准坦克设计!$B$14:$K$20,9)/30))</f>
        <v>6.7845556984703306</v>
      </c>
      <c r="EU212" s="173">
        <f ca="1">(VLOOKUP(EU$72,INDIRECT($C$5&amp;"生成成长"),2))/((VLOOKUP($B212,INDIRECT($B$5&amp;"生成成长"),4))/(VLOOKUP(EU$72,INDIRECT($C$5&amp;"生成成长"),5))*(VLOOKUP($B$5,标准坦克设计!$B$24:$U$30,MATCH("对"&amp;LEFT($C$5,2)&amp;"输出",标准坦克设计!$B$23:$U$23,0)))*(VLOOKUP($B212,INDIRECT($B$5&amp;"生成成长"),3))*(VLOOKUP($B$5,标准坦克设计!$B$14:$K$20,9)/30))</f>
        <v>7.3261275449193182</v>
      </c>
      <c r="EV212" s="173">
        <f ca="1">(VLOOKUP(EV$72,INDIRECT($C$5&amp;"生成成长"),2))/((VLOOKUP($B212,INDIRECT($B$5&amp;"生成成长"),4))/(VLOOKUP(EV$72,INDIRECT($C$5&amp;"生成成长"),5))*(VLOOKUP($B$5,标准坦克设计!$B$24:$U$30,MATCH("对"&amp;LEFT($C$5,2)&amp;"输出",标准坦克设计!$B$23:$U$23,0)))*(VLOOKUP($B212,INDIRECT($B$5&amp;"生成成长"),3))*(VLOOKUP($B$5,标准坦克设计!$B$14:$K$20,9)/30))</f>
        <v>7.8884927257869393</v>
      </c>
      <c r="EW212" s="173">
        <f ca="1">(VLOOKUP(EW$72,INDIRECT($C$5&amp;"生成成长"),2))/((VLOOKUP($B212,INDIRECT($B$5&amp;"生成成长"),4))/(VLOOKUP(EW$72,INDIRECT($C$5&amp;"生成成长"),5))*(VLOOKUP($B$5,标准坦克设计!$B$24:$U$30,MATCH("对"&amp;LEFT($C$5,2)&amp;"输出",标准坦克设计!$B$23:$U$23,0)))*(VLOOKUP($B212,INDIRECT($B$5&amp;"生成成长"),3))*(VLOOKUP($B$5,标准坦克设计!$B$14:$K$20,9)/30))</f>
        <v>8.471651241073193</v>
      </c>
      <c r="EX212" s="173">
        <f ca="1">(VLOOKUP(EX$72,INDIRECT($C$5&amp;"生成成长"),2))/((VLOOKUP($B212,INDIRECT($B$5&amp;"生成成长"),4))/(VLOOKUP(EX$72,INDIRECT($C$5&amp;"生成成长"),5))*(VLOOKUP($B$5,标准坦克设计!$B$24:$U$30,MATCH("对"&amp;LEFT($C$5,2)&amp;"输出",标准坦克设计!$B$23:$U$23,0)))*(VLOOKUP($B212,INDIRECT($B$5&amp;"生成成长"),3))*(VLOOKUP($B$5,标准坦克设计!$B$14:$K$20,9)/30))</f>
        <v>9.0756030907780882</v>
      </c>
      <c r="EY212" s="173">
        <f ca="1">(VLOOKUP(EY$72,INDIRECT($C$5&amp;"生成成长"),2))/((VLOOKUP($B212,INDIRECT($B$5&amp;"生成成长"),4))/(VLOOKUP(EY$72,INDIRECT($C$5&amp;"生成成长"),5))*(VLOOKUP($B$5,标准坦克设计!$B$24:$U$30,MATCH("对"&amp;LEFT($C$5,2)&amp;"输出",标准坦克设计!$B$23:$U$23,0)))*(VLOOKUP($B212,INDIRECT($B$5&amp;"生成成长"),3))*(VLOOKUP($B$5,标准坦克设计!$B$14:$K$20,9)/30))</f>
        <v>9.7003482749016143</v>
      </c>
      <c r="EZ212" s="173">
        <f ca="1">(VLOOKUP(EZ$72,INDIRECT($C$5&amp;"生成成长"),2))/((VLOOKUP($B212,INDIRECT($B$5&amp;"生成成长"),4))/(VLOOKUP(EZ$72,INDIRECT($C$5&amp;"生成成长"),5))*(VLOOKUP($B$5,标准坦克设计!$B$24:$U$30,MATCH("对"&amp;LEFT($C$5,2)&amp;"输出",标准坦克设计!$B$23:$U$23,0)))*(VLOOKUP($B212,INDIRECT($B$5&amp;"生成成长"),3))*(VLOOKUP($B$5,标准坦克设计!$B$14:$K$20,9)/30))</f>
        <v>10.345886793443775</v>
      </c>
      <c r="FA212" s="173">
        <f ca="1">(VLOOKUP(FA$72,INDIRECT($C$5&amp;"生成成长"),2))/((VLOOKUP($B212,INDIRECT($B$5&amp;"生成成长"),4))/(VLOOKUP(FA$72,INDIRECT($C$5&amp;"生成成长"),5))*(VLOOKUP($B$5,标准坦克设计!$B$24:$U$30,MATCH("对"&amp;LEFT($C$5,2)&amp;"输出",标准坦克设计!$B$23:$U$23,0)))*(VLOOKUP($B212,INDIRECT($B$5&amp;"生成成长"),3))*(VLOOKUP($B$5,标准坦克设计!$B$14:$K$20,9)/30))</f>
        <v>11.01221864640457</v>
      </c>
      <c r="FB212" s="173">
        <f ca="1">(VLOOKUP(FB$72,INDIRECT($C$5&amp;"生成成长"),2))/((VLOOKUP($B212,INDIRECT($B$5&amp;"生成成长"),4))/(VLOOKUP(FB$72,INDIRECT($C$5&amp;"生成成长"),5))*(VLOOKUP($B$5,标准坦克设计!$B$24:$U$30,MATCH("对"&amp;LEFT($C$5,2)&amp;"输出",标准坦克设计!$B$23:$U$23,0)))*(VLOOKUP($B212,INDIRECT($B$5&amp;"生成成长"),3))*(VLOOKUP($B$5,标准坦克设计!$B$14:$K$20,9)/30))</f>
        <v>11.699343833784001</v>
      </c>
      <c r="FC212" s="173">
        <f ca="1">(VLOOKUP(FC$72,INDIRECT($C$5&amp;"生成成长"),2))/((VLOOKUP($B212,INDIRECT($B$5&amp;"生成成长"),4))/(VLOOKUP(FC$72,INDIRECT($C$5&amp;"生成成长"),5))*(VLOOKUP($B$5,标准坦克设计!$B$24:$U$30,MATCH("对"&amp;LEFT($C$5,2)&amp;"输出",标准坦克设计!$B$23:$U$23,0)))*(VLOOKUP($B212,INDIRECT($B$5&amp;"生成成长"),3))*(VLOOKUP($B$5,标准坦克设计!$B$14:$K$20,9)/30))</f>
        <v>12.407262355582066</v>
      </c>
      <c r="FD212" s="173">
        <f ca="1">(VLOOKUP(FD$72,INDIRECT($C$5&amp;"生成成长"),2))/((VLOOKUP($B212,INDIRECT($B$5&amp;"生成成长"),4))/(VLOOKUP(FD$72,INDIRECT($C$5&amp;"生成成长"),5))*(VLOOKUP($B$5,标准坦克设计!$B$24:$U$30,MATCH("对"&amp;LEFT($C$5,2)&amp;"输出",标准坦克设计!$B$23:$U$23,0)))*(VLOOKUP($B212,INDIRECT($B$5&amp;"生成成长"),3))*(VLOOKUP($B$5,标准坦克设计!$B$14:$K$20,9)/30))</f>
        <v>13.135974211798768</v>
      </c>
      <c r="FE212" s="173">
        <f ca="1">(VLOOKUP(FE$72,INDIRECT($C$5&amp;"生成成长"),2))/((VLOOKUP($B212,INDIRECT($B$5&amp;"生成成长"),4))/(VLOOKUP(FE$72,INDIRECT($C$5&amp;"生成成长"),5))*(VLOOKUP($B$5,标准坦克设计!$B$24:$U$30,MATCH("对"&amp;LEFT($C$5,2)&amp;"输出",标准坦克设计!$B$23:$U$23,0)))*(VLOOKUP($B212,INDIRECT($B$5&amp;"生成成长"),3))*(VLOOKUP($B$5,标准坦克设计!$B$14:$K$20,9)/30))</f>
        <v>14.023987068065669</v>
      </c>
      <c r="FF212" s="173">
        <f ca="1">(VLOOKUP(FF$72,INDIRECT($C$5&amp;"生成成长"),2))/((VLOOKUP($B212,INDIRECT($B$5&amp;"生成成长"),4))/(VLOOKUP(FF$72,INDIRECT($C$5&amp;"生成成长"),5))*(VLOOKUP($B$5,标准坦克设计!$B$24:$U$30,MATCH("对"&amp;LEFT($C$5,2)&amp;"输出",标准坦克设计!$B$23:$U$23,0)))*(VLOOKUP($B212,INDIRECT($B$5&amp;"生成成长"),3))*(VLOOKUP($B$5,标准坦克设计!$B$14:$K$20,9)/30))</f>
        <v>14.941041854223059</v>
      </c>
      <c r="FG212" s="173">
        <f ca="1">(VLOOKUP(FG$72,INDIRECT($C$5&amp;"生成成长"),2))/((VLOOKUP($B212,INDIRECT($B$5&amp;"生成成长"),4))/(VLOOKUP(FG$72,INDIRECT($C$5&amp;"生成成长"),5))*(VLOOKUP($B$5,标准坦克设计!$B$24:$U$30,MATCH("对"&amp;LEFT($C$5,2)&amp;"输出",标准坦克设计!$B$23:$U$23,0)))*(VLOOKUP($B212,INDIRECT($B$5&amp;"生成成长"),3))*(VLOOKUP($B$5,标准坦克设计!$B$14:$K$20,9)/30))</f>
        <v>15.887138570270942</v>
      </c>
      <c r="FH212" s="173">
        <f ca="1">(VLOOKUP(FH$72,INDIRECT($C$5&amp;"生成成长"),2))/((VLOOKUP($B212,INDIRECT($B$5&amp;"生成成长"),4))/(VLOOKUP(FH$72,INDIRECT($C$5&amp;"生成成长"),5))*(VLOOKUP($B$5,标准坦克设计!$B$24:$U$30,MATCH("对"&amp;LEFT($C$5,2)&amp;"输出",标准坦克设计!$B$23:$U$23,0)))*(VLOOKUP($B212,INDIRECT($B$5&amp;"生成成长"),3))*(VLOOKUP($B$5,标准坦克设计!$B$14:$K$20,9)/30))</f>
        <v>16.862277216209314</v>
      </c>
      <c r="FI212" s="173">
        <f ca="1">(VLOOKUP(FI$72,INDIRECT($C$5&amp;"生成成长"),2))/((VLOOKUP($B212,INDIRECT($B$5&amp;"生成成长"),4))/(VLOOKUP(FI$72,INDIRECT($C$5&amp;"生成成长"),5))*(VLOOKUP($B$5,标准坦克设计!$B$24:$U$30,MATCH("对"&amp;LEFT($C$5,2)&amp;"输出",标准坦克设计!$B$23:$U$23,0)))*(VLOOKUP($B212,INDIRECT($B$5&amp;"生成成长"),3))*(VLOOKUP($B$5,标准坦克设计!$B$14:$K$20,9)/30))</f>
        <v>17.866457792038172</v>
      </c>
      <c r="FJ212" s="173">
        <f ca="1">(VLOOKUP(FJ$72,INDIRECT($C$5&amp;"生成成长"),2))/((VLOOKUP($B212,INDIRECT($B$5&amp;"生成成长"),4))/(VLOOKUP(FJ$72,INDIRECT($C$5&amp;"生成成长"),5))*(VLOOKUP($B$5,标准坦克设计!$B$24:$U$30,MATCH("对"&amp;LEFT($C$5,2)&amp;"输出",标准坦克设计!$B$23:$U$23,0)))*(VLOOKUP($B212,INDIRECT($B$5&amp;"生成成长"),3))*(VLOOKUP($B$5,标准坦克设计!$B$14:$K$20,9)/30))</f>
        <v>18.899680297757527</v>
      </c>
      <c r="FK212" s="173">
        <f ca="1">(VLOOKUP(FK$72,INDIRECT($C$5&amp;"生成成长"),2))/((VLOOKUP($B212,INDIRECT($B$5&amp;"生成成长"),4))/(VLOOKUP(FK$72,INDIRECT($C$5&amp;"生成成长"),5))*(VLOOKUP($B$5,标准坦克设计!$B$24:$U$30,MATCH("对"&amp;LEFT($C$5,2)&amp;"输出",标准坦克设计!$B$23:$U$23,0)))*(VLOOKUP($B212,INDIRECT($B$5&amp;"生成成长"),3))*(VLOOKUP($B$5,标准坦克设计!$B$14:$K$20,9)/30))</f>
        <v>19.961944733367368</v>
      </c>
    </row>
    <row r="213" spans="1:167" x14ac:dyDescent="0.15">
      <c r="A213" s="171" t="str">
        <f t="shared" si="13"/>
        <v>T4高品质15级</v>
      </c>
      <c r="B213" s="172">
        <v>30415</v>
      </c>
      <c r="C213" s="173">
        <f ca="1">(VLOOKUP(C$72,INDIRECT($C$5&amp;"生成成长"),2))/((VLOOKUP($B213,INDIRECT($B$5&amp;"生成成长"),4))/(VLOOKUP(C$72,INDIRECT($C$5&amp;"生成成长"),5))*(VLOOKUP($B$5,标准坦克设计!$B$24:$U$30,MATCH("对"&amp;LEFT($C$5,2)&amp;"输出",标准坦克设计!$B$23:$U$23,0)))*(VLOOKUP($B213,INDIRECT($B$5&amp;"生成成长"),3))*(VLOOKUP($B$5,标准坦克设计!$B$14:$K$20,9)/30))</f>
        <v>0.79782881317060217</v>
      </c>
      <c r="D213" s="173">
        <f ca="1">(VLOOKUP(D$72,INDIRECT($C$5&amp;"生成成长"),2))/((VLOOKUP($B213,INDIRECT($B$5&amp;"生成成长"),4))/(VLOOKUP(D$72,INDIRECT($C$5&amp;"生成成长"),5))*(VLOOKUP($B$5,标准坦克设计!$B$24:$U$30,MATCH("对"&amp;LEFT($C$5,2)&amp;"输出",标准坦克设计!$B$23:$U$23,0)))*(VLOOKUP($B213,INDIRECT($B$5&amp;"生成成长"),3))*(VLOOKUP($B$5,标准坦克设计!$B$14:$K$20,9)/30))</f>
        <v>0.89644045447848864</v>
      </c>
      <c r="E213" s="173">
        <f ca="1">(VLOOKUP(E$72,INDIRECT($C$5&amp;"生成成长"),2))/((VLOOKUP($B213,INDIRECT($B$5&amp;"生成成长"),4))/(VLOOKUP(E$72,INDIRECT($C$5&amp;"生成成长"),5))*(VLOOKUP($B$5,标准坦克设计!$B$24:$U$30,MATCH("对"&amp;LEFT($C$5,2)&amp;"输出",标准坦克设计!$B$23:$U$23,0)))*(VLOOKUP($B213,INDIRECT($B$5&amp;"生成成长"),3))*(VLOOKUP($B$5,标准坦克设计!$B$14:$K$20,9)/30))</f>
        <v>1.0007964632412034</v>
      </c>
      <c r="F213" s="173">
        <f ca="1">(VLOOKUP(F$72,INDIRECT($C$5&amp;"生成成长"),2))/((VLOOKUP($B213,INDIRECT($B$5&amp;"生成成长"),4))/(VLOOKUP(F$72,INDIRECT($C$5&amp;"生成成长"),5))*(VLOOKUP($B$5,标准坦克设计!$B$24:$U$30,MATCH("对"&amp;LEFT($C$5,2)&amp;"输出",标准坦克设计!$B$23:$U$23,0)))*(VLOOKUP($B213,INDIRECT($B$5&amp;"生成成长"),3))*(VLOOKUP($B$5,标准坦克设计!$B$14:$K$20,9)/30))</f>
        <v>1.1108968394587466</v>
      </c>
      <c r="G213" s="173">
        <f ca="1">(VLOOKUP(G$72,INDIRECT($C$5&amp;"生成成长"),2))/((VLOOKUP($B213,INDIRECT($B$5&amp;"生成成长"),4))/(VLOOKUP(G$72,INDIRECT($C$5&amp;"生成成长"),5))*(VLOOKUP($B$5,标准坦克设计!$B$24:$U$30,MATCH("对"&amp;LEFT($C$5,2)&amp;"输出",标准坦克设计!$B$23:$U$23,0)))*(VLOOKUP($B213,INDIRECT($B$5&amp;"生成成长"),3))*(VLOOKUP($B$5,标准坦克设计!$B$14:$K$20,9)/30))</f>
        <v>1.2267415831311179</v>
      </c>
      <c r="H213" s="173">
        <f ca="1">(VLOOKUP(H$72,INDIRECT($C$5&amp;"生成成长"),2))/((VLOOKUP($B213,INDIRECT($B$5&amp;"生成成长"),4))/(VLOOKUP(H$72,INDIRECT($C$5&amp;"生成成长"),5))*(VLOOKUP($B$5,标准坦克设计!$B$24:$U$30,MATCH("对"&amp;LEFT($C$5,2)&amp;"输出",标准坦克设计!$B$23:$U$23,0)))*(VLOOKUP($B213,INDIRECT($B$5&amp;"生成成长"),3))*(VLOOKUP($B$5,标准坦克设计!$B$14:$K$20,9)/30))</f>
        <v>1.0735584510023624</v>
      </c>
      <c r="I213" s="173">
        <f ca="1">(VLOOKUP(I$72,INDIRECT($C$5&amp;"生成成长"),2))/((VLOOKUP($B213,INDIRECT($B$5&amp;"生成成长"),4))/(VLOOKUP(I$72,INDIRECT($C$5&amp;"生成成长"),5))*(VLOOKUP($B$5,标准坦克设计!$B$24:$U$30,MATCH("对"&amp;LEFT($C$5,2)&amp;"输出",标准坦克设计!$B$23:$U$23,0)))*(VLOOKUP($B213,INDIRECT($B$5&amp;"生成成长"),3))*(VLOOKUP($B$5,标准坦克设计!$B$14:$K$20,9)/30))</f>
        <v>1.2267415831311179</v>
      </c>
      <c r="J213" s="173">
        <f ca="1">(VLOOKUP(J$72,INDIRECT($C$5&amp;"生成成长"),2))/((VLOOKUP($B213,INDIRECT($B$5&amp;"生成成长"),4))/(VLOOKUP(J$72,INDIRECT($C$5&amp;"生成成长"),5))*(VLOOKUP($B$5,标准坦克设计!$B$24:$U$30,MATCH("对"&amp;LEFT($C$5,2)&amp;"输出",标准坦克设计!$B$23:$U$23,0)))*(VLOOKUP($B213,INDIRECT($B$5&amp;"生成成长"),3))*(VLOOKUP($B$5,标准坦克设计!$B$14:$K$20,9)/30))</f>
        <v>1.3901369240684573</v>
      </c>
      <c r="K213" s="173">
        <f ca="1">(VLOOKUP(K$72,INDIRECT($C$5&amp;"生成成长"),2))/((VLOOKUP($B213,INDIRECT($B$5&amp;"生成成长"),4))/(VLOOKUP(K$72,INDIRECT($C$5&amp;"生成成长"),5))*(VLOOKUP($B$5,标准坦克设计!$B$24:$U$30,MATCH("对"&amp;LEFT($C$5,2)&amp;"输出",标准坦克设计!$B$23:$U$23,0)))*(VLOOKUP($B213,INDIRECT($B$5&amp;"生成成长"),3))*(VLOOKUP($B$5,标准坦克设计!$B$14:$K$20,9)/30))</f>
        <v>1.5637444738143804</v>
      </c>
      <c r="L213" s="173">
        <f ca="1">(VLOOKUP(L$72,INDIRECT($C$5&amp;"生成成长"),2))/((VLOOKUP($B213,INDIRECT($B$5&amp;"生成成长"),4))/(VLOOKUP(L$72,INDIRECT($C$5&amp;"生成成长"),5))*(VLOOKUP($B$5,标准坦克设计!$B$24:$U$30,MATCH("对"&amp;LEFT($C$5,2)&amp;"输出",标准坦克设计!$B$23:$U$23,0)))*(VLOOKUP($B213,INDIRECT($B$5&amp;"生成成长"),3))*(VLOOKUP($B$5,标准坦克设计!$B$14:$K$20,9)/30))</f>
        <v>1.7475642323688869</v>
      </c>
      <c r="M213" s="173">
        <f ca="1">(VLOOKUP(M$72,INDIRECT($C$5&amp;"生成成长"),2))/((VLOOKUP($B213,INDIRECT($B$5&amp;"生成成长"),4))/(VLOOKUP(M$72,INDIRECT($C$5&amp;"生成成长"),5))*(VLOOKUP($B$5,标准坦克设计!$B$24:$U$30,MATCH("对"&amp;LEFT($C$5,2)&amp;"输出",标准坦克设计!$B$23:$U$23,0)))*(VLOOKUP($B213,INDIRECT($B$5&amp;"生成成长"),3))*(VLOOKUP($B$5,标准坦克设计!$B$14:$K$20,9)/30))</f>
        <v>1.9415961997319775</v>
      </c>
      <c r="N213" s="173">
        <f ca="1">(VLOOKUP(N$72,INDIRECT($C$5&amp;"生成成长"),2))/((VLOOKUP($B213,INDIRECT($B$5&amp;"生成成长"),4))/(VLOOKUP(N$72,INDIRECT($C$5&amp;"生成成长"),5))*(VLOOKUP($B$5,标准坦克设计!$B$24:$U$30,MATCH("对"&amp;LEFT($C$5,2)&amp;"输出",标准坦克设计!$B$23:$U$23,0)))*(VLOOKUP($B213,INDIRECT($B$5&amp;"生成成长"),3))*(VLOOKUP($B$5,标准坦克设计!$B$14:$K$20,9)/30))</f>
        <v>2.145840375903652</v>
      </c>
      <c r="O213" s="173">
        <f ca="1">(VLOOKUP(O$72,INDIRECT($C$5&amp;"生成成长"),2))/((VLOOKUP($B213,INDIRECT($B$5&amp;"生成成长"),4))/(VLOOKUP(O$72,INDIRECT($C$5&amp;"生成成长"),5))*(VLOOKUP($B$5,标准坦克设计!$B$24:$U$30,MATCH("对"&amp;LEFT($C$5,2)&amp;"输出",标准坦克设计!$B$23:$U$23,0)))*(VLOOKUP($B213,INDIRECT($B$5&amp;"生成成长"),3))*(VLOOKUP($B$5,标准坦克设计!$B$14:$K$20,9)/30))</f>
        <v>1.6314801400525645</v>
      </c>
      <c r="P213" s="173">
        <f ca="1">(VLOOKUP(P$72,INDIRECT($C$5&amp;"生成成长"),2))/((VLOOKUP($B213,INDIRECT($B$5&amp;"生成成长"),4))/(VLOOKUP(P$72,INDIRECT($C$5&amp;"生成成长"),5))*(VLOOKUP($B$5,标准坦克设计!$B$24:$U$30,MATCH("对"&amp;LEFT($C$5,2)&amp;"输出",标准坦克设计!$B$23:$U$23,0)))*(VLOOKUP($B213,INDIRECT($B$5&amp;"生成成长"),3))*(VLOOKUP($B$5,标准坦克设计!$B$14:$K$20,9)/30))</f>
        <v>1.8433036899493596</v>
      </c>
      <c r="Q213" s="173">
        <f ca="1">(VLOOKUP(Q$72,INDIRECT($C$5&amp;"生成成长"),2))/((VLOOKUP($B213,INDIRECT($B$5&amp;"生成成长"),4))/(VLOOKUP(Q$72,INDIRECT($C$5&amp;"生成成长"),5))*(VLOOKUP($B$5,标准坦克设计!$B$24:$U$30,MATCH("对"&amp;LEFT($C$5,2)&amp;"输出",标准坦克设计!$B$23:$U$23,0)))*(VLOOKUP($B213,INDIRECT($B$5&amp;"生成成长"),3))*(VLOOKUP($B$5,标准坦克设计!$B$14:$K$20,9)/30))</f>
        <v>2.0680520666195181</v>
      </c>
      <c r="R213" s="173">
        <f ca="1">(VLOOKUP(R$72,INDIRECT($C$5&amp;"生成成长"),2))/((VLOOKUP($B213,INDIRECT($B$5&amp;"生成成长"),4))/(VLOOKUP(R$72,INDIRECT($C$5&amp;"生成成长"),5))*(VLOOKUP($B$5,标准坦克设计!$B$24:$U$30,MATCH("对"&amp;LEFT($C$5,2)&amp;"输出",标准坦克设计!$B$23:$U$23,0)))*(VLOOKUP($B213,INDIRECT($B$5&amp;"生成成长"),3))*(VLOOKUP($B$5,标准坦克设计!$B$14:$K$20,9)/30))</f>
        <v>2.3057252700630402</v>
      </c>
      <c r="S213" s="173">
        <f ca="1">(VLOOKUP(S$72,INDIRECT($C$5&amp;"生成成长"),2))/((VLOOKUP($B213,INDIRECT($B$5&amp;"生成成长"),4))/(VLOOKUP(S$72,INDIRECT($C$5&amp;"生成成长"),5))*(VLOOKUP($B$5,标准坦克设计!$B$24:$U$30,MATCH("对"&amp;LEFT($C$5,2)&amp;"输出",标准坦克设计!$B$23:$U$23,0)))*(VLOOKUP($B213,INDIRECT($B$5&amp;"生成成长"),3))*(VLOOKUP($B$5,标准坦克设计!$B$14:$K$20,9)/30))</f>
        <v>2.5563233002799266</v>
      </c>
      <c r="T213" s="173">
        <f ca="1">(VLOOKUP(T$72,INDIRECT($C$5&amp;"生成成长"),2))/((VLOOKUP($B213,INDIRECT($B$5&amp;"生成成长"),4))/(VLOOKUP(T$72,INDIRECT($C$5&amp;"生成成长"),5))*(VLOOKUP($B$5,标准坦克设计!$B$24:$U$30,MATCH("对"&amp;LEFT($C$5,2)&amp;"输出",标准坦克设计!$B$23:$U$23,0)))*(VLOOKUP($B213,INDIRECT($B$5&amp;"生成成长"),3))*(VLOOKUP($B$5,标准坦克设计!$B$14:$K$20,9)/30))</f>
        <v>2.8198461572701765</v>
      </c>
      <c r="U213" s="173">
        <f ca="1">(VLOOKUP(U$72,INDIRECT($C$5&amp;"生成成长"),2))/((VLOOKUP($B213,INDIRECT($B$5&amp;"生成成长"),4))/(VLOOKUP(U$72,INDIRECT($C$5&amp;"生成成长"),5))*(VLOOKUP($B$5,标准坦克设计!$B$24:$U$30,MATCH("对"&amp;LEFT($C$5,2)&amp;"输出",标准坦克设计!$B$23:$U$23,0)))*(VLOOKUP($B213,INDIRECT($B$5&amp;"生成成长"),3))*(VLOOKUP($B$5,标准坦克设计!$B$14:$K$20,9)/30))</f>
        <v>3.0962938410337899</v>
      </c>
      <c r="V213" s="173">
        <f ca="1">(VLOOKUP(V$72,INDIRECT($C$5&amp;"生成成长"),2))/((VLOOKUP($B213,INDIRECT($B$5&amp;"生成成长"),4))/(VLOOKUP(V$72,INDIRECT($C$5&amp;"生成成长"),5))*(VLOOKUP($B$5,标准坦克设计!$B$24:$U$30,MATCH("对"&amp;LEFT($C$5,2)&amp;"输出",标准坦克设计!$B$23:$U$23,0)))*(VLOOKUP($B213,INDIRECT($B$5&amp;"生成成长"),3))*(VLOOKUP($B$5,标准坦克设计!$B$14:$K$20,9)/30))</f>
        <v>3.3856663515707677</v>
      </c>
      <c r="W213" s="173">
        <f ca="1">(VLOOKUP(W$72,INDIRECT($C$5&amp;"生成成长"),2))/((VLOOKUP($B213,INDIRECT($B$5&amp;"生成成长"),4))/(VLOOKUP(W$72,INDIRECT($C$5&amp;"生成成长"),5))*(VLOOKUP($B$5,标准坦克设计!$B$24:$U$30,MATCH("对"&amp;LEFT($C$5,2)&amp;"输出",标准坦克设计!$B$23:$U$23,0)))*(VLOOKUP($B213,INDIRECT($B$5&amp;"生成成长"),3))*(VLOOKUP($B$5,标准坦克设计!$B$14:$K$20,9)/30))</f>
        <v>3.6879636888811089</v>
      </c>
      <c r="X213" s="173">
        <f ca="1">(VLOOKUP(X$72,INDIRECT($C$5&amp;"生成成长"),2))/((VLOOKUP($B213,INDIRECT($B$5&amp;"生成成长"),4))/(VLOOKUP(X$72,INDIRECT($C$5&amp;"生成成长"),5))*(VLOOKUP($B$5,标准坦克设计!$B$24:$U$30,MATCH("对"&amp;LEFT($C$5,2)&amp;"输出",标准坦克设计!$B$23:$U$23,0)))*(VLOOKUP($B213,INDIRECT($B$5&amp;"生成成长"),3))*(VLOOKUP($B$5,标准坦克设计!$B$14:$K$20,9)/30))</f>
        <v>2.6718489124270297</v>
      </c>
      <c r="Y213" s="173">
        <f ca="1">(VLOOKUP(Y$72,INDIRECT($C$5&amp;"生成成长"),2))/((VLOOKUP($B213,INDIRECT($B$5&amp;"生成成长"),4))/(VLOOKUP(Y$72,INDIRECT($C$5&amp;"生成成长"),5))*(VLOOKUP($B$5,标准坦克设计!$B$24:$U$30,MATCH("对"&amp;LEFT($C$5,2)&amp;"输出",标准坦克设计!$B$23:$U$23,0)))*(VLOOKUP($B213,INDIRECT($B$5&amp;"生成成长"),3))*(VLOOKUP($B$5,标准坦克设计!$B$14:$K$20,9)/30))</f>
        <v>2.9718325461791761</v>
      </c>
      <c r="Z213" s="173">
        <f ca="1">(VLOOKUP(Z$72,INDIRECT($C$5&amp;"生成成长"),2))/((VLOOKUP($B213,INDIRECT($B$5&amp;"生成成长"),4))/(VLOOKUP(Z$72,INDIRECT($C$5&amp;"生成成长"),5))*(VLOOKUP($B$5,标准坦克设计!$B$24:$U$30,MATCH("对"&amp;LEFT($C$5,2)&amp;"输出",标准坦克设计!$B$23:$U$23,0)))*(VLOOKUP($B213,INDIRECT($B$5&amp;"生成成长"),3))*(VLOOKUP($B$5,标准坦克设计!$B$14:$K$20,9)/30))</f>
        <v>3.2877727561947343</v>
      </c>
      <c r="AA213" s="173">
        <f ca="1">(VLOOKUP(AA$72,INDIRECT($C$5&amp;"生成成长"),2))/((VLOOKUP($B213,INDIRECT($B$5&amp;"生成成长"),4))/(VLOOKUP(AA$72,INDIRECT($C$5&amp;"生成成长"),5))*(VLOOKUP($B$5,标准坦克设计!$B$24:$U$30,MATCH("对"&amp;LEFT($C$5,2)&amp;"输出",标准坦克设计!$B$23:$U$23,0)))*(VLOOKUP($B213,INDIRECT($B$5&amp;"生成成长"),3))*(VLOOKUP($B$5,标准坦克设计!$B$14:$K$20,9)/30))</f>
        <v>3.6196695424737042</v>
      </c>
      <c r="AB213" s="173">
        <f ca="1">(VLOOKUP(AB$72,INDIRECT($C$5&amp;"生成成长"),2))/((VLOOKUP($B213,INDIRECT($B$5&amp;"生成成长"),4))/(VLOOKUP(AB$72,INDIRECT($C$5&amp;"生成成长"),5))*(VLOOKUP($B$5,标准坦克设计!$B$24:$U$30,MATCH("对"&amp;LEFT($C$5,2)&amp;"输出",标准坦克设计!$B$23:$U$23,0)))*(VLOOKUP($B213,INDIRECT($B$5&amp;"生成成长"),3))*(VLOOKUP($B$5,标准坦克设计!$B$14:$K$20,9)/30))</f>
        <v>3.9675229050160881</v>
      </c>
      <c r="AC213" s="173">
        <f ca="1">(VLOOKUP(AC$72,INDIRECT($C$5&amp;"生成成长"),2))/((VLOOKUP($B213,INDIRECT($B$5&amp;"生成成长"),4))/(VLOOKUP(AC$72,INDIRECT($C$5&amp;"生成成长"),5))*(VLOOKUP($B$5,标准坦克设计!$B$24:$U$30,MATCH("对"&amp;LEFT($C$5,2)&amp;"输出",标准坦克设计!$B$23:$U$23,0)))*(VLOOKUP($B213,INDIRECT($B$5&amp;"生成成长"),3))*(VLOOKUP($B$5,标准坦克设计!$B$14:$K$20,9)/30))</f>
        <v>4.3313328438218823</v>
      </c>
      <c r="AD213" s="173">
        <f ca="1">(VLOOKUP(AD$72,INDIRECT($C$5&amp;"生成成长"),2))/((VLOOKUP($B213,INDIRECT($B$5&amp;"生成成长"),4))/(VLOOKUP(AD$72,INDIRECT($C$5&amp;"生成成长"),5))*(VLOOKUP($B$5,标准坦克设计!$B$24:$U$30,MATCH("对"&amp;LEFT($C$5,2)&amp;"输出",标准坦克设计!$B$23:$U$23,0)))*(VLOOKUP($B213,INDIRECT($B$5&amp;"生成成长"),3))*(VLOOKUP($B$5,标准坦克设计!$B$14:$K$20,9)/30))</f>
        <v>4.7110993588910892</v>
      </c>
      <c r="AE213" s="173">
        <f ca="1">(VLOOKUP(AE$72,INDIRECT($C$5&amp;"生成成长"),2))/((VLOOKUP($B213,INDIRECT($B$5&amp;"生成成长"),4))/(VLOOKUP(AE$72,INDIRECT($C$5&amp;"生成成长"),5))*(VLOOKUP($B$5,标准坦克设计!$B$24:$U$30,MATCH("对"&amp;LEFT($C$5,2)&amp;"输出",标准坦克设计!$B$23:$U$23,0)))*(VLOOKUP($B213,INDIRECT($B$5&amp;"生成成长"),3))*(VLOOKUP($B$5,标准坦克设计!$B$14:$K$20,9)/30))</f>
        <v>5.1068224502237083</v>
      </c>
      <c r="AF213" s="173">
        <f ca="1">(VLOOKUP(AF$72,INDIRECT($C$5&amp;"生成成长"),2))/((VLOOKUP($B213,INDIRECT($B$5&amp;"生成成长"),4))/(VLOOKUP(AF$72,INDIRECT($C$5&amp;"生成成长"),5))*(VLOOKUP($B$5,标准坦克设计!$B$24:$U$30,MATCH("对"&amp;LEFT($C$5,2)&amp;"输出",标准坦克设计!$B$23:$U$23,0)))*(VLOOKUP($B213,INDIRECT($B$5&amp;"生成成长"),3))*(VLOOKUP($B$5,标准坦克设计!$B$14:$K$20,9)/30))</f>
        <v>5.5185021178197387</v>
      </c>
      <c r="AG213" s="173">
        <f ca="1">(VLOOKUP(AG$72,INDIRECT($C$5&amp;"生成成长"),2))/((VLOOKUP($B213,INDIRECT($B$5&amp;"生成成长"),4))/(VLOOKUP(AG$72,INDIRECT($C$5&amp;"生成成长"),5))*(VLOOKUP($B$5,标准坦克设计!$B$24:$U$30,MATCH("对"&amp;LEFT($C$5,2)&amp;"输出",标准坦克设计!$B$23:$U$23,0)))*(VLOOKUP($B213,INDIRECT($B$5&amp;"生成成长"),3))*(VLOOKUP($B$5,标准坦克设计!$B$14:$K$20,9)/30))</f>
        <v>5.9461383616791803</v>
      </c>
      <c r="AH213" s="173">
        <f ca="1">(VLOOKUP(AH$72,INDIRECT($C$5&amp;"生成成长"),2))/((VLOOKUP($B213,INDIRECT($B$5&amp;"生成成长"),4))/(VLOOKUP(AH$72,INDIRECT($C$5&amp;"生成成长"),5))*(VLOOKUP($B$5,标准坦克设计!$B$24:$U$30,MATCH("对"&amp;LEFT($C$5,2)&amp;"输出",标准坦克设计!$B$23:$U$23,0)))*(VLOOKUP($B213,INDIRECT($B$5&amp;"生成成长"),3))*(VLOOKUP($B$5,标准坦克设计!$B$14:$K$20,9)/30))</f>
        <v>6.3897311818020368</v>
      </c>
      <c r="AI213" s="173">
        <f ca="1">(VLOOKUP(AI$72,INDIRECT($C$5&amp;"生成成长"),2))/((VLOOKUP($B213,INDIRECT($B$5&amp;"生成成长"),4))/(VLOOKUP(AI$72,INDIRECT($C$5&amp;"生成成长"),5))*(VLOOKUP($B$5,标准坦克设计!$B$24:$U$30,MATCH("对"&amp;LEFT($C$5,2)&amp;"输出",标准坦克设计!$B$23:$U$23,0)))*(VLOOKUP($B213,INDIRECT($B$5&amp;"生成成长"),3))*(VLOOKUP($B$5,标准坦克设计!$B$14:$K$20,9)/30))</f>
        <v>4.5192215293235591</v>
      </c>
      <c r="AJ213" s="173">
        <f ca="1">(VLOOKUP(AJ$72,INDIRECT($C$5&amp;"生成成长"),2))/((VLOOKUP($B213,INDIRECT($B$5&amp;"生成成长"),4))/(VLOOKUP(AJ$72,INDIRECT($C$5&amp;"生成成长"),5))*(VLOOKUP($B$5,标准坦克设计!$B$24:$U$30,MATCH("对"&amp;LEFT($C$5,2)&amp;"输出",标准坦克设计!$B$23:$U$23,0)))*(VLOOKUP($B213,INDIRECT($B$5&amp;"生成成长"),3))*(VLOOKUP($B$5,标准坦克设计!$B$14:$K$20,9)/30))</f>
        <v>4.9466184245390501</v>
      </c>
      <c r="AK213" s="173">
        <f ca="1">(VLOOKUP(AK$72,INDIRECT($C$5&amp;"生成成长"),2))/((VLOOKUP($B213,INDIRECT($B$5&amp;"生成成长"),4))/(VLOOKUP(AK$72,INDIRECT($C$5&amp;"生成成长"),5))*(VLOOKUP($B$5,标准坦克设计!$B$24:$U$30,MATCH("对"&amp;LEFT($C$5,2)&amp;"输出",标准坦克设计!$B$23:$U$23,0)))*(VLOOKUP($B213,INDIRECT($B$5&amp;"生成成长"),3))*(VLOOKUP($B$5,标准坦克设计!$B$14:$K$20,9)/30))</f>
        <v>5.393322777033271</v>
      </c>
      <c r="AL213" s="173">
        <f ca="1">(VLOOKUP(AL$72,INDIRECT($C$5&amp;"生成成长"),2))/((VLOOKUP($B213,INDIRECT($B$5&amp;"生成成长"),4))/(VLOOKUP(AL$72,INDIRECT($C$5&amp;"生成成长"),5))*(VLOOKUP($B$5,标准坦克设计!$B$24:$U$30,MATCH("对"&amp;LEFT($C$5,2)&amp;"输出",标准坦克设计!$B$23:$U$23,0)))*(VLOOKUP($B213,INDIRECT($B$5&amp;"生成成长"),3))*(VLOOKUP($B$5,标准坦克设计!$B$14:$K$20,9)/30))</f>
        <v>5.8593345868062201</v>
      </c>
      <c r="AM213" s="173">
        <f ca="1">(VLOOKUP(AM$72,INDIRECT($C$5&amp;"生成成长"),2))/((VLOOKUP($B213,INDIRECT($B$5&amp;"生成成长"),4))/(VLOOKUP(AM$72,INDIRECT($C$5&amp;"生成成长"),5))*(VLOOKUP($B$5,标准坦克设计!$B$24:$U$30,MATCH("对"&amp;LEFT($C$5,2)&amp;"输出",标准坦克设计!$B$23:$U$23,0)))*(VLOOKUP($B213,INDIRECT($B$5&amp;"生成成长"),3))*(VLOOKUP($B$5,标准坦克设计!$B$14:$K$20,9)/30))</f>
        <v>6.3446538538578974</v>
      </c>
      <c r="AN213" s="173">
        <f ca="1">(VLOOKUP(AN$72,INDIRECT($C$5&amp;"生成成长"),2))/((VLOOKUP($B213,INDIRECT($B$5&amp;"生成成长"),4))/(VLOOKUP(AN$72,INDIRECT($C$5&amp;"生成成长"),5))*(VLOOKUP($B$5,标准坦克设计!$B$24:$U$30,MATCH("对"&amp;LEFT($C$5,2)&amp;"输出",标准坦克设计!$B$23:$U$23,0)))*(VLOOKUP($B213,INDIRECT($B$5&amp;"生成成长"),3))*(VLOOKUP($B$5,标准坦克设计!$B$14:$K$20,9)/30))</f>
        <v>6.8492805781883019</v>
      </c>
      <c r="AO213" s="173">
        <f ca="1">(VLOOKUP(AO$72,INDIRECT($C$5&amp;"生成成长"),2))/((VLOOKUP($B213,INDIRECT($B$5&amp;"生成成长"),4))/(VLOOKUP(AO$72,INDIRECT($C$5&amp;"生成成长"),5))*(VLOOKUP($B$5,标准坦克设计!$B$24:$U$30,MATCH("对"&amp;LEFT($C$5,2)&amp;"输出",标准坦克设计!$B$23:$U$23,0)))*(VLOOKUP($B213,INDIRECT($B$5&amp;"生成成长"),3))*(VLOOKUP($B$5,标准坦克设计!$B$14:$K$20,9)/30))</f>
        <v>7.3732147597974382</v>
      </c>
      <c r="AP213" s="173">
        <f ca="1">(VLOOKUP(AP$72,INDIRECT($C$5&amp;"生成成长"),2))/((VLOOKUP($B213,INDIRECT($B$5&amp;"生成成长"),4))/(VLOOKUP(AP$72,INDIRECT($C$5&amp;"生成成长"),5))*(VLOOKUP($B$5,标准坦克设计!$B$24:$U$30,MATCH("对"&amp;LEFT($C$5,2)&amp;"输出",标准坦克设计!$B$23:$U$23,0)))*(VLOOKUP($B213,INDIRECT($B$5&amp;"生成成长"),3))*(VLOOKUP($B$5,标准坦克设计!$B$14:$K$20,9)/30))</f>
        <v>7.9164563986853009</v>
      </c>
      <c r="AQ213" s="173">
        <f ca="1">(VLOOKUP(AQ$72,INDIRECT($C$5&amp;"生成成长"),2))/((VLOOKUP($B213,INDIRECT($B$5&amp;"生成成长"),4))/(VLOOKUP(AQ$72,INDIRECT($C$5&amp;"生成成长"),5))*(VLOOKUP($B$5,标准坦克设计!$B$24:$U$30,MATCH("对"&amp;LEFT($C$5,2)&amp;"输出",标准坦克设计!$B$23:$U$23,0)))*(VLOOKUP($B213,INDIRECT($B$5&amp;"生成成长"),3))*(VLOOKUP($B$5,标准坦克设计!$B$14:$K$20,9)/30))</f>
        <v>8.4790054948518918</v>
      </c>
      <c r="AR213" s="173">
        <f ca="1">(VLOOKUP(AR$72,INDIRECT($C$5&amp;"生成成长"),2))/((VLOOKUP($B213,INDIRECT($B$5&amp;"生成成长"),4))/(VLOOKUP(AR$72,INDIRECT($C$5&amp;"生成成长"),5))*(VLOOKUP($B$5,标准坦克设计!$B$24:$U$30,MATCH("对"&amp;LEFT($C$5,2)&amp;"输出",标准坦克设计!$B$23:$U$23,0)))*(VLOOKUP($B213,INDIRECT($B$5&amp;"生成成长"),3))*(VLOOKUP($B$5,标准坦克设计!$B$14:$K$20,9)/30))</f>
        <v>9.0608620482972118</v>
      </c>
      <c r="AS213" s="173">
        <f ca="1">(VLOOKUP(AS$72,INDIRECT($C$5&amp;"生成成长"),2))/((VLOOKUP($B213,INDIRECT($B$5&amp;"生成成长"),4))/(VLOOKUP(AS$72,INDIRECT($C$5&amp;"生成成长"),5))*(VLOOKUP($B$5,标准坦克设计!$B$24:$U$30,MATCH("对"&amp;LEFT($C$5,2)&amp;"输出",标准坦克设计!$B$23:$U$23,0)))*(VLOOKUP($B213,INDIRECT($B$5&amp;"生成成长"),3))*(VLOOKUP($B$5,标准坦克设计!$B$14:$K$20,9)/30))</f>
        <v>9.6620260590212617</v>
      </c>
      <c r="AT213" s="173">
        <f ca="1">(VLOOKUP(AT$72,INDIRECT($C$5&amp;"生成成长"),2))/((VLOOKUP($B213,INDIRECT($B$5&amp;"生成成长"),4))/(VLOOKUP(AT$72,INDIRECT($C$5&amp;"生成成长"),5))*(VLOOKUP($B$5,标准坦克设计!$B$24:$U$30,MATCH("对"&amp;LEFT($C$5,2)&amp;"输出",标准坦克设计!$B$23:$U$23,0)))*(VLOOKUP($B213,INDIRECT($B$5&amp;"生成成长"),3))*(VLOOKUP($B$5,标准坦克设计!$B$14:$K$20,9)/30))</f>
        <v>10.28249752702404</v>
      </c>
      <c r="AU213" s="173">
        <f ca="1">(VLOOKUP(AU$72,INDIRECT($C$5&amp;"生成成长"),2))/((VLOOKUP($B213,INDIRECT($B$5&amp;"生成成长"),4))/(VLOOKUP(AU$72,INDIRECT($C$5&amp;"生成成长"),5))*(VLOOKUP($B$5,标准坦克设计!$B$24:$U$30,MATCH("对"&amp;LEFT($C$5,2)&amp;"输出",标准坦克设计!$B$23:$U$23,0)))*(VLOOKUP($B213,INDIRECT($B$5&amp;"生成成长"),3))*(VLOOKUP($B$5,标准坦克设计!$B$14:$K$20,9)/30))</f>
        <v>10.922276452305542</v>
      </c>
      <c r="AV213" s="173">
        <f ca="1">(VLOOKUP(AV$72,INDIRECT($C$5&amp;"生成成长"),2))/((VLOOKUP($B213,INDIRECT($B$5&amp;"生成成长"),4))/(VLOOKUP(AV$72,INDIRECT($C$5&amp;"生成成长"),5))*(VLOOKUP($B$5,标准坦克设计!$B$24:$U$30,MATCH("对"&amp;LEFT($C$5,2)&amp;"输出",标准坦克设计!$B$23:$U$23,0)))*(VLOOKUP($B213,INDIRECT($B$5&amp;"生成成长"),3))*(VLOOKUP($B$5,标准坦克设计!$B$14:$K$20,9)/30))</f>
        <v>1.1108968394587466</v>
      </c>
      <c r="AW213" s="173">
        <f ca="1">(VLOOKUP(AW$72,INDIRECT($C$5&amp;"生成成长"),2))/((VLOOKUP($B213,INDIRECT($B$5&amp;"生成成长"),4))/(VLOOKUP(AW$72,INDIRECT($C$5&amp;"生成成长"),5))*(VLOOKUP($B$5,标准坦克设计!$B$24:$U$30,MATCH("对"&amp;LEFT($C$5,2)&amp;"输出",标准坦克设计!$B$23:$U$23,0)))*(VLOOKUP($B213,INDIRECT($B$5&amp;"生成成长"),3))*(VLOOKUP($B$5,标准坦克设计!$B$14:$K$20,9)/30))</f>
        <v>1.2666330237896481</v>
      </c>
      <c r="AX213" s="173">
        <f ca="1">(VLOOKUP(AX$72,INDIRECT($C$5&amp;"生成成长"),2))/((VLOOKUP($B213,INDIRECT($B$5&amp;"生成成长"),4))/(VLOOKUP(AX$72,INDIRECT($C$5&amp;"生成成长"),5))*(VLOOKUP($B$5,标准坦克设计!$B$24:$U$30,MATCH("对"&amp;LEFT($C$5,2)&amp;"输出",标准坦克设计!$B$23:$U$23,0)))*(VLOOKUP($B213,INDIRECT($B$5&amp;"生成成长"),3))*(VLOOKUP($B$5,标准坦克设计!$B$14:$K$20,9)/30))</f>
        <v>1.4325814169291333</v>
      </c>
      <c r="AY213" s="173">
        <f ca="1">(VLOOKUP(AY$72,INDIRECT($C$5&amp;"生成成长"),2))/((VLOOKUP($B213,INDIRECT($B$5&amp;"生成成长"),4))/(VLOOKUP(AY$72,INDIRECT($C$5&amp;"生成成长"),5))*(VLOOKUP($B$5,标准坦克设计!$B$24:$U$30,MATCH("对"&amp;LEFT($C$5,2)&amp;"输出",标准坦克设计!$B$23:$U$23,0)))*(VLOOKUP($B213,INDIRECT($B$5&amp;"生成成长"),3))*(VLOOKUP($B$5,标准坦克设计!$B$14:$K$20,9)/30))</f>
        <v>1.6087420188772024</v>
      </c>
      <c r="AZ213" s="173">
        <f ca="1">(VLOOKUP(AZ$72,INDIRECT($C$5&amp;"生成成长"),2))/((VLOOKUP($B213,INDIRECT($B$5&amp;"生成成长"),4))/(VLOOKUP(AZ$72,INDIRECT($C$5&amp;"生成成长"),5))*(VLOOKUP($B$5,标准坦克设计!$B$24:$U$30,MATCH("对"&amp;LEFT($C$5,2)&amp;"输出",标准坦克设计!$B$23:$U$23,0)))*(VLOOKUP($B213,INDIRECT($B$5&amp;"生成成长"),3))*(VLOOKUP($B$5,标准坦克设计!$B$14:$K$20,9)/30))</f>
        <v>1.7951148296338548</v>
      </c>
      <c r="BA213" s="173">
        <f ca="1">(VLOOKUP(BA$72,INDIRECT($C$5&amp;"生成成长"),2))/((VLOOKUP($B213,INDIRECT($B$5&amp;"生成成长"),4))/(VLOOKUP(BA$72,INDIRECT($C$5&amp;"生成成长"),5))*(VLOOKUP($B$5,标准坦克设计!$B$24:$U$30,MATCH("对"&amp;LEFT($C$5,2)&amp;"输出",标准坦克设计!$B$23:$U$23,0)))*(VLOOKUP($B213,INDIRECT($B$5&amp;"生成成长"),3))*(VLOOKUP($B$5,标准坦克设计!$B$14:$K$20,9)/30))</f>
        <v>1.9916998491990916</v>
      </c>
      <c r="BB213" s="173">
        <f ca="1">(VLOOKUP(BB$72,INDIRECT($C$5&amp;"生成成长"),2))/((VLOOKUP($B213,INDIRECT($B$5&amp;"生成成长"),4))/(VLOOKUP(BB$72,INDIRECT($C$5&amp;"生成成长"),5))*(VLOOKUP($B$5,标准坦克设计!$B$24:$U$30,MATCH("对"&amp;LEFT($C$5,2)&amp;"输出",标准坦克设计!$B$23:$U$23,0)))*(VLOOKUP($B213,INDIRECT($B$5&amp;"生成成长"),3))*(VLOOKUP($B$5,标准坦克设计!$B$14:$K$20,9)/30))</f>
        <v>2.1984970775729114</v>
      </c>
      <c r="BC213" s="173">
        <f ca="1">(VLOOKUP(BC$72,INDIRECT($C$5&amp;"生成成长"),2))/((VLOOKUP($B213,INDIRECT($B$5&amp;"生成成长"),4))/(VLOOKUP(BC$72,INDIRECT($C$5&amp;"生成成长"),5))*(VLOOKUP($B$5,标准坦克设计!$B$24:$U$30,MATCH("对"&amp;LEFT($C$5,2)&amp;"输出",标准坦克设计!$B$23:$U$23,0)))*(VLOOKUP($B213,INDIRECT($B$5&amp;"生成成长"),3))*(VLOOKUP($B$5,标准坦克设计!$B$14:$K$20,9)/30))</f>
        <v>2.4155065147553154</v>
      </c>
      <c r="BD213" s="173">
        <f ca="1">(VLOOKUP(BD$72,INDIRECT($C$5&amp;"生成成长"),2))/((VLOOKUP($B213,INDIRECT($B$5&amp;"生成成长"),4))/(VLOOKUP(BD$72,INDIRECT($C$5&amp;"生成成长"),5))*(VLOOKUP($B$5,标准坦克设计!$B$24:$U$30,MATCH("对"&amp;LEFT($C$5,2)&amp;"输出",标准坦克设计!$B$23:$U$23,0)))*(VLOOKUP($B213,INDIRECT($B$5&amp;"生成成长"),3))*(VLOOKUP($B$5,标准坦克设计!$B$14:$K$20,9)/30))</f>
        <v>2.6718489124270297</v>
      </c>
      <c r="BE213" s="173">
        <f ca="1">(VLOOKUP(BE$72,INDIRECT($C$5&amp;"生成成长"),2))/((VLOOKUP($B213,INDIRECT($B$5&amp;"生成成长"),4))/(VLOOKUP(BE$72,INDIRECT($C$5&amp;"生成成长"),5))*(VLOOKUP($B$5,标准坦克设计!$B$24:$U$30,MATCH("对"&amp;LEFT($C$5,2)&amp;"输出",标准坦克设计!$B$23:$U$23,0)))*(VLOOKUP($B213,INDIRECT($B$5&amp;"生成成长"),3))*(VLOOKUP($B$5,标准坦克设计!$B$14:$K$20,9)/30))</f>
        <v>2.9411161368721079</v>
      </c>
      <c r="BF213" s="173">
        <f ca="1">(VLOOKUP(BF$72,INDIRECT($C$5&amp;"生成成长"),2))/((VLOOKUP($B213,INDIRECT($B$5&amp;"生成成长"),4))/(VLOOKUP(BF$72,INDIRECT($C$5&amp;"生成成长"),5))*(VLOOKUP($B$5,标准坦克设计!$B$24:$U$30,MATCH("对"&amp;LEFT($C$5,2)&amp;"输出",标准坦克设计!$B$23:$U$23,0)))*(VLOOKUP($B213,INDIRECT($B$5&amp;"生成成长"),3))*(VLOOKUP($B$5,标准坦克设计!$B$14:$K$20,9)/30))</f>
        <v>3.2233081880905496</v>
      </c>
      <c r="BG213" s="173">
        <f ca="1">(VLOOKUP(BG$72,INDIRECT($C$5&amp;"生成成长"),2))/((VLOOKUP($B213,INDIRECT($B$5&amp;"生成成长"),4))/(VLOOKUP(BG$72,INDIRECT($C$5&amp;"生成成长"),5))*(VLOOKUP($B$5,标准坦克设计!$B$24:$U$30,MATCH("对"&amp;LEFT($C$5,2)&amp;"输出",标准坦克设计!$B$23:$U$23,0)))*(VLOOKUP($B213,INDIRECT($B$5&amp;"生成成长"),3))*(VLOOKUP($B$5,标准坦克设计!$B$14:$K$20,9)/30))</f>
        <v>3.5184250660823553</v>
      </c>
      <c r="BH213" s="173">
        <f ca="1">(VLOOKUP(BH$72,INDIRECT($C$5&amp;"生成成长"),2))/((VLOOKUP($B213,INDIRECT($B$5&amp;"生成成长"),4))/(VLOOKUP(BH$72,INDIRECT($C$5&amp;"生成成长"),5))*(VLOOKUP($B$5,标准坦克设计!$B$24:$U$30,MATCH("对"&amp;LEFT($C$5,2)&amp;"输出",标准坦克设计!$B$23:$U$23,0)))*(VLOOKUP($B213,INDIRECT($B$5&amp;"生成成长"),3))*(VLOOKUP($B$5,标准坦克设计!$B$14:$K$20,9)/30))</f>
        <v>1.7006518981544556</v>
      </c>
      <c r="BI213" s="173">
        <f ca="1">(VLOOKUP(BI$72,INDIRECT($C$5&amp;"生成成长"),2))/((VLOOKUP($B213,INDIRECT($B$5&amp;"生成成长"),4))/(VLOOKUP(BI$72,INDIRECT($C$5&amp;"生成成长"),5))*(VLOOKUP($B$5,标准坦克设计!$B$24:$U$30,MATCH("对"&amp;LEFT($C$5,2)&amp;"输出",标准坦克设计!$B$23:$U$23,0)))*(VLOOKUP($B213,INDIRECT($B$5&amp;"生成成长"),3))*(VLOOKUP($B$5,标准坦克设计!$B$14:$K$20,9)/30))</f>
        <v>1.9167837236423717</v>
      </c>
      <c r="BJ213" s="173">
        <f ca="1">(VLOOKUP(BJ$72,INDIRECT($C$5&amp;"生成成长"),2))/((VLOOKUP($B213,INDIRECT($B$5&amp;"生成成长"),4))/(VLOOKUP(BJ$72,INDIRECT($C$5&amp;"生成成长"),5))*(VLOOKUP($B$5,标准坦克设计!$B$24:$U$30,MATCH("对"&amp;LEFT($C$5,2)&amp;"输出",标准坦克设计!$B$23:$U$23,0)))*(VLOOKUP($B213,INDIRECT($B$5&amp;"生成成长"),3))*(VLOOKUP($B$5,标准坦克设计!$B$14:$K$20,9)/30))</f>
        <v>2.145840375903652</v>
      </c>
      <c r="BK213" s="173">
        <f ca="1">(VLOOKUP(BK$72,INDIRECT($C$5&amp;"生成成长"),2))/((VLOOKUP($B213,INDIRECT($B$5&amp;"生成成长"),4))/(VLOOKUP(BK$72,INDIRECT($C$5&amp;"生成成长"),5))*(VLOOKUP($B$5,标准坦克设计!$B$24:$U$30,MATCH("对"&amp;LEFT($C$5,2)&amp;"输出",标准坦克设计!$B$23:$U$23,0)))*(VLOOKUP($B213,INDIRECT($B$5&amp;"生成成长"),3))*(VLOOKUP($B$5,标准坦克设计!$B$14:$K$20,9)/30))</f>
        <v>2.3878218549382955</v>
      </c>
      <c r="BL213" s="173">
        <f ca="1">(VLOOKUP(BL$72,INDIRECT($C$5&amp;"生成成长"),2))/((VLOOKUP($B213,INDIRECT($B$5&amp;"生成成长"),4))/(VLOOKUP(BL$72,INDIRECT($C$5&amp;"生成成长"),5))*(VLOOKUP($B$5,标准坦克设计!$B$24:$U$30,MATCH("对"&amp;LEFT($C$5,2)&amp;"输出",标准坦克设计!$B$23:$U$23,0)))*(VLOOKUP($B213,INDIRECT($B$5&amp;"生成成长"),3))*(VLOOKUP($B$5,标准坦克设计!$B$14:$K$20,9)/30))</f>
        <v>2.6427281607463025</v>
      </c>
      <c r="BM213" s="173">
        <f ca="1">(VLOOKUP(BM$72,INDIRECT($C$5&amp;"生成成长"),2))/((VLOOKUP($B213,INDIRECT($B$5&amp;"生成成长"),4))/(VLOOKUP(BM$72,INDIRECT($C$5&amp;"生成成长"),5))*(VLOOKUP($B$5,标准坦克设计!$B$24:$U$30,MATCH("对"&amp;LEFT($C$5,2)&amp;"输出",标准坦克设计!$B$23:$U$23,0)))*(VLOOKUP($B213,INDIRECT($B$5&amp;"生成成长"),3))*(VLOOKUP($B$5,标准坦克设计!$B$14:$K$20,9)/30))</f>
        <v>2.9105592933276734</v>
      </c>
      <c r="BN213" s="173">
        <f ca="1">(VLOOKUP(BN$72,INDIRECT($C$5&amp;"生成成长"),2))/((VLOOKUP($B213,INDIRECT($B$5&amp;"生成成长"),4))/(VLOOKUP(BN$72,INDIRECT($C$5&amp;"生成成长"),5))*(VLOOKUP($B$5,标准坦克设计!$B$24:$U$30,MATCH("对"&amp;LEFT($C$5,2)&amp;"输出",标准坦克设计!$B$23:$U$23,0)))*(VLOOKUP($B213,INDIRECT($B$5&amp;"生成成长"),3))*(VLOOKUP($B$5,标准坦克设计!$B$14:$K$20,9)/30))</f>
        <v>3.1913152526824087</v>
      </c>
      <c r="BO213" s="173">
        <f ca="1">(VLOOKUP(BO$72,INDIRECT($C$5&amp;"生成成长"),2))/((VLOOKUP($B213,INDIRECT($B$5&amp;"生成成长"),4))/(VLOOKUP(BO$72,INDIRECT($C$5&amp;"生成成长"),5))*(VLOOKUP($B$5,标准坦克设计!$B$24:$U$30,MATCH("对"&amp;LEFT($C$5,2)&amp;"输出",标准坦克设计!$B$23:$U$23,0)))*(VLOOKUP($B213,INDIRECT($B$5&amp;"生成成长"),3))*(VLOOKUP($B$5,标准坦克设计!$B$14:$K$20,9)/30))</f>
        <v>3.484996038810507</v>
      </c>
      <c r="BP213" s="173">
        <f ca="1">(VLOOKUP(BP$72,INDIRECT($C$5&amp;"生成成长"),2))/((VLOOKUP($B213,INDIRECT($B$5&amp;"生成成长"),4))/(VLOOKUP(BP$72,INDIRECT($C$5&amp;"生成成长"),5))*(VLOOKUP($B$5,标准坦克设计!$B$24:$U$30,MATCH("对"&amp;LEFT($C$5,2)&amp;"输出",标准坦克设计!$B$23:$U$23,0)))*(VLOOKUP($B213,INDIRECT($B$5&amp;"生成成长"),3))*(VLOOKUP($B$5,标准坦克设计!$B$14:$K$20,9)/30))</f>
        <v>3.7916016517119706</v>
      </c>
      <c r="BQ213" s="173">
        <f ca="1">(VLOOKUP(BQ$72,INDIRECT($C$5&amp;"生成成长"),2))/((VLOOKUP($B213,INDIRECT($B$5&amp;"生成成长"),4))/(VLOOKUP(BQ$72,INDIRECT($C$5&amp;"生成成长"),5))*(VLOOKUP($B$5,标准坦克设计!$B$24:$U$30,MATCH("对"&amp;LEFT($C$5,2)&amp;"输出",标准坦克设计!$B$23:$U$23,0)))*(VLOOKUP($B213,INDIRECT($B$5&amp;"生成成长"),3))*(VLOOKUP($B$5,标准坦克设计!$B$14:$K$20,9)/30))</f>
        <v>4.1111320913867964</v>
      </c>
      <c r="BR213" s="173">
        <f ca="1">(VLOOKUP(BR$72,INDIRECT($C$5&amp;"生成成长"),2))/((VLOOKUP($B213,INDIRECT($B$5&amp;"生成成长"),4))/(VLOOKUP(BR$72,INDIRECT($C$5&amp;"生成成长"),5))*(VLOOKUP($B$5,标准坦克设计!$B$24:$U$30,MATCH("对"&amp;LEFT($C$5,2)&amp;"输出",标准坦克设计!$B$23:$U$23,0)))*(VLOOKUP($B213,INDIRECT($B$5&amp;"生成成长"),3))*(VLOOKUP($B$5,标准坦克设计!$B$14:$K$20,9)/30))</f>
        <v>4.4813246606979558</v>
      </c>
      <c r="BS213" s="173">
        <f ca="1">(VLOOKUP(BS$72,INDIRECT($C$5&amp;"生成成长"),2))/((VLOOKUP($B213,INDIRECT($B$5&amp;"生成成长"),4))/(VLOOKUP(BS$72,INDIRECT($C$5&amp;"生成成长"),5))*(VLOOKUP($B$5,标准坦克设计!$B$24:$U$30,MATCH("对"&amp;LEFT($C$5,2)&amp;"输出",标准坦克设计!$B$23:$U$23,0)))*(VLOOKUP($B213,INDIRECT($B$5&amp;"生成成长"),3))*(VLOOKUP($B$5,标准坦克设计!$B$14:$K$20,9)/30))</f>
        <v>4.8674738062725265</v>
      </c>
      <c r="BT213" s="173">
        <f ca="1">(VLOOKUP(BT$72,INDIRECT($C$5&amp;"生成成长"),2))/((VLOOKUP($B213,INDIRECT($B$5&amp;"生成成长"),4))/(VLOOKUP(BT$72,INDIRECT($C$5&amp;"生成成长"),5))*(VLOOKUP($B$5,标准坦克设计!$B$24:$U$30,MATCH("对"&amp;LEFT($C$5,2)&amp;"输出",标准坦克设计!$B$23:$U$23,0)))*(VLOOKUP($B213,INDIRECT($B$5&amp;"生成成长"),3))*(VLOOKUP($B$5,标准坦克设计!$B$14:$K$20,9)/30))</f>
        <v>5.2695795281105102</v>
      </c>
      <c r="BU213" s="173">
        <f ca="1">(VLOOKUP(BU$72,INDIRECT($C$5&amp;"生成成长"),2))/((VLOOKUP($B213,INDIRECT($B$5&amp;"生成成长"),4))/(VLOOKUP(BU$72,INDIRECT($C$5&amp;"生成成长"),5))*(VLOOKUP($B$5,标准坦克设计!$B$24:$U$30,MATCH("对"&amp;LEFT($C$5,2)&amp;"输出",标准坦克设计!$B$23:$U$23,0)))*(VLOOKUP($B213,INDIRECT($B$5&amp;"生成成长"),3))*(VLOOKUP($B$5,标准坦克设计!$B$14:$K$20,9)/30))</f>
        <v>5.6876418262119062</v>
      </c>
      <c r="BV213" s="173">
        <f ca="1">(VLOOKUP(BV$72,INDIRECT($C$5&amp;"生成成长"),2))/((VLOOKUP($B213,INDIRECT($B$5&amp;"生成成长"),4))/(VLOOKUP(BV$72,INDIRECT($C$5&amp;"生成成长"),5))*(VLOOKUP($B$5,标准坦克设计!$B$24:$U$30,MATCH("对"&amp;LEFT($C$5,2)&amp;"输出",标准坦克设计!$B$23:$U$23,0)))*(VLOOKUP($B213,INDIRECT($B$5&amp;"生成成长"),3))*(VLOOKUP($B$5,标准坦克设计!$B$14:$K$20,9)/30))</f>
        <v>6.1216607005767143</v>
      </c>
      <c r="BW213" s="173">
        <f ca="1">(VLOOKUP(BW$72,INDIRECT($C$5&amp;"生成成长"),2))/((VLOOKUP($B213,INDIRECT($B$5&amp;"生成成长"),4))/(VLOOKUP(BW$72,INDIRECT($C$5&amp;"生成成长"),5))*(VLOOKUP($B$5,标准坦克设计!$B$24:$U$30,MATCH("对"&amp;LEFT($C$5,2)&amp;"输出",标准坦克设计!$B$23:$U$23,0)))*(VLOOKUP($B213,INDIRECT($B$5&amp;"生成成长"),3))*(VLOOKUP($B$5,标准坦克设计!$B$14:$K$20,9)/30))</f>
        <v>2.7899275767762788</v>
      </c>
      <c r="BX213" s="173">
        <f ca="1">(VLOOKUP(BX$72,INDIRECT($C$5&amp;"生成成长"),2))/((VLOOKUP($B213,INDIRECT($B$5&amp;"生成成长"),4))/(VLOOKUP(BX$72,INDIRECT($C$5&amp;"生成成长"),5))*(VLOOKUP($B$5,标准坦克设计!$B$24:$U$30,MATCH("对"&amp;LEFT($C$5,2)&amp;"输出",标准坦克设计!$B$23:$U$23,0)))*(VLOOKUP($B213,INDIRECT($B$5&amp;"生成成长"),3))*(VLOOKUP($B$5,标准坦克设计!$B$14:$K$20,9)/30))</f>
        <v>3.0962938410337899</v>
      </c>
      <c r="BY213" s="173">
        <f ca="1">(VLOOKUP(BY$72,INDIRECT($C$5&amp;"生成成长"),2))/((VLOOKUP($B213,INDIRECT($B$5&amp;"生成成长"),4))/(VLOOKUP(BY$72,INDIRECT($C$5&amp;"生成成长"),5))*(VLOOKUP($B$5,标准坦克设计!$B$24:$U$30,MATCH("对"&amp;LEFT($C$5,2)&amp;"输出",标准坦克设计!$B$23:$U$23,0)))*(VLOOKUP($B213,INDIRECT($B$5&amp;"生成成长"),3))*(VLOOKUP($B$5,标准坦克设计!$B$14:$K$20,9)/30))</f>
        <v>3.4186166815547141</v>
      </c>
      <c r="BZ213" s="173">
        <f ca="1">(VLOOKUP(BZ$72,INDIRECT($C$5&amp;"生成成长"),2))/((VLOOKUP($B213,INDIRECT($B$5&amp;"生成成长"),4))/(VLOOKUP(BZ$72,INDIRECT($C$5&amp;"生成成长"),5))*(VLOOKUP($B$5,标准坦克设计!$B$24:$U$30,MATCH("对"&amp;LEFT($C$5,2)&amp;"输出",标准坦克设计!$B$23:$U$23,0)))*(VLOOKUP($B213,INDIRECT($B$5&amp;"生成成长"),3))*(VLOOKUP($B$5,标准坦克设计!$B$14:$K$20,9)/30))</f>
        <v>3.7568960983390487</v>
      </c>
      <c r="CA213" s="173">
        <f ca="1">(VLOOKUP(CA$72,INDIRECT($C$5&amp;"生成成长"),2))/((VLOOKUP($B213,INDIRECT($B$5&amp;"生成成长"),4))/(VLOOKUP(CA$72,INDIRECT($C$5&amp;"生成成长"),5))*(VLOOKUP($B$5,标准坦克设计!$B$24:$U$30,MATCH("对"&amp;LEFT($C$5,2)&amp;"输出",标准坦克设计!$B$23:$U$23,0)))*(VLOOKUP($B213,INDIRECT($B$5&amp;"生成成长"),3))*(VLOOKUP($B$5,标准坦克设计!$B$14:$K$20,9)/30))</f>
        <v>4.1111320913867964</v>
      </c>
      <c r="CB213" s="173">
        <f ca="1">(VLOOKUP(CB$72,INDIRECT($C$5&amp;"生成成长"),2))/((VLOOKUP($B213,INDIRECT($B$5&amp;"生成成长"),4))/(VLOOKUP(CB$72,INDIRECT($C$5&amp;"生成成长"),5))*(VLOOKUP($B$5,标准坦克设计!$B$24:$U$30,MATCH("对"&amp;LEFT($C$5,2)&amp;"输出",标准坦克设计!$B$23:$U$23,0)))*(VLOOKUP($B213,INDIRECT($B$5&amp;"生成成长"),3))*(VLOOKUP($B$5,标准坦克设计!$B$14:$K$20,9)/30))</f>
        <v>4.4813246606979558</v>
      </c>
      <c r="CC213" s="173">
        <f ca="1">(VLOOKUP(CC$72,INDIRECT($C$5&amp;"生成成长"),2))/((VLOOKUP($B213,INDIRECT($B$5&amp;"生成成长"),4))/(VLOOKUP(CC$72,INDIRECT($C$5&amp;"生成成长"),5))*(VLOOKUP($B$5,标准坦克设计!$B$24:$U$30,MATCH("对"&amp;LEFT($C$5,2)&amp;"输出",标准坦克设计!$B$23:$U$23,0)))*(VLOOKUP($B213,INDIRECT($B$5&amp;"生成成长"),3))*(VLOOKUP($B$5,标准坦克设计!$B$14:$K$20,9)/30))</f>
        <v>4.8674738062725265</v>
      </c>
      <c r="CD213" s="173">
        <f ca="1">(VLOOKUP(CD$72,INDIRECT($C$5&amp;"生成成长"),2))/((VLOOKUP($B213,INDIRECT($B$5&amp;"生成成长"),4))/(VLOOKUP(CD$72,INDIRECT($C$5&amp;"生成成长"),5))*(VLOOKUP($B$5,标准坦克设计!$B$24:$U$30,MATCH("对"&amp;LEFT($C$5,2)&amp;"输出",标准坦克设计!$B$23:$U$23,0)))*(VLOOKUP($B213,INDIRECT($B$5&amp;"生成成长"),3))*(VLOOKUP($B$5,标准坦克设计!$B$14:$K$20,9)/30))</f>
        <v>5.2695795281105102</v>
      </c>
      <c r="CE213" s="173">
        <f ca="1">(VLOOKUP(CE$72,INDIRECT($C$5&amp;"生成成长"),2))/((VLOOKUP($B213,INDIRECT($B$5&amp;"生成成长"),4))/(VLOOKUP(CE$72,INDIRECT($C$5&amp;"生成成长"),5))*(VLOOKUP($B$5,标准坦克设计!$B$24:$U$30,MATCH("对"&amp;LEFT($C$5,2)&amp;"输出",标准坦克设计!$B$23:$U$23,0)))*(VLOOKUP($B213,INDIRECT($B$5&amp;"生成成长"),3))*(VLOOKUP($B$5,标准坦克设计!$B$14:$K$20,9)/30))</f>
        <v>5.6876418262119062</v>
      </c>
      <c r="CF213" s="173">
        <f ca="1">(VLOOKUP(CF$72,INDIRECT($C$5&amp;"生成成长"),2))/((VLOOKUP($B213,INDIRECT($B$5&amp;"生成成长"),4))/(VLOOKUP(CF$72,INDIRECT($C$5&amp;"生成成长"),5))*(VLOOKUP($B$5,标准坦克设计!$B$24:$U$30,MATCH("对"&amp;LEFT($C$5,2)&amp;"输出",标准坦克设计!$B$23:$U$23,0)))*(VLOOKUP($B213,INDIRECT($B$5&amp;"生成成长"),3))*(VLOOKUP($B$5,标准坦克设计!$B$14:$K$20,9)/30))</f>
        <v>6.1216607005767143</v>
      </c>
      <c r="CG213" s="173">
        <f ca="1">(VLOOKUP(CG$72,INDIRECT($C$5&amp;"生成成长"),2))/((VLOOKUP($B213,INDIRECT($B$5&amp;"生成成长"),4))/(VLOOKUP(CG$72,INDIRECT($C$5&amp;"生成成长"),5))*(VLOOKUP($B$5,标准坦克设计!$B$24:$U$30,MATCH("对"&amp;LEFT($C$5,2)&amp;"输出",标准坦克设计!$B$23:$U$23,0)))*(VLOOKUP($B213,INDIRECT($B$5&amp;"生成成长"),3))*(VLOOKUP($B$5,标准坦克设计!$B$14:$K$20,9)/30))</f>
        <v>6.5716361512049337</v>
      </c>
      <c r="CH213" s="173">
        <f ca="1">(VLOOKUP(CH$72,INDIRECT($C$5&amp;"生成成长"),2))/((VLOOKUP($B213,INDIRECT($B$5&amp;"生成成长"),4))/(VLOOKUP(CH$72,INDIRECT($C$5&amp;"生成成长"),5))*(VLOOKUP($B$5,标准坦克设计!$B$24:$U$30,MATCH("对"&amp;LEFT($C$5,2)&amp;"输出",标准坦克设计!$B$23:$U$23,0)))*(VLOOKUP($B213,INDIRECT($B$5&amp;"生成成长"),3))*(VLOOKUP($B$5,标准坦克设计!$B$14:$K$20,9)/30))</f>
        <v>7.0375681780965644</v>
      </c>
      <c r="CI213" s="173">
        <f ca="1">(VLOOKUP(CI$72,INDIRECT($C$5&amp;"生成成长"),2))/((VLOOKUP($B213,INDIRECT($B$5&amp;"生成成长"),4))/(VLOOKUP(CI$72,INDIRECT($C$5&amp;"生成成长"),5))*(VLOOKUP($B$5,标准坦克设计!$B$24:$U$30,MATCH("对"&amp;LEFT($C$5,2)&amp;"输出",标准坦克设计!$B$23:$U$23,0)))*(VLOOKUP($B213,INDIRECT($B$5&amp;"生成成长"),3))*(VLOOKUP($B$5,标准坦克设计!$B$14:$K$20,9)/30))</f>
        <v>7.5685232532616009</v>
      </c>
      <c r="CJ213" s="173">
        <f ca="1">(VLOOKUP(CJ$72,INDIRECT($C$5&amp;"生成成长"),2))/((VLOOKUP($B213,INDIRECT($B$5&amp;"生成成长"),4))/(VLOOKUP(CJ$72,INDIRECT($C$5&amp;"生成成长"),5))*(VLOOKUP($B$5,标准坦克设计!$B$24:$U$30,MATCH("对"&amp;LEFT($C$5,2)&amp;"输出",标准坦克设计!$B$23:$U$23,0)))*(VLOOKUP($B213,INDIRECT($B$5&amp;"生成成长"),3))*(VLOOKUP($B$5,标准坦克设计!$B$14:$K$20,9)/30))</f>
        <v>8.1187857857053647</v>
      </c>
      <c r="CK213" s="173">
        <f ca="1">(VLOOKUP(CK$72,INDIRECT($C$5&amp;"生成成长"),2))/((VLOOKUP($B213,INDIRECT($B$5&amp;"生成成长"),4))/(VLOOKUP(CK$72,INDIRECT($C$5&amp;"生成成长"),5))*(VLOOKUP($B$5,标准坦克设计!$B$24:$U$30,MATCH("对"&amp;LEFT($C$5,2)&amp;"输出",标准坦克设计!$B$23:$U$23,0)))*(VLOOKUP($B213,INDIRECT($B$5&amp;"生成成长"),3))*(VLOOKUP($B$5,标准坦克设计!$B$14:$K$20,9)/30))</f>
        <v>8.6883557754278566</v>
      </c>
      <c r="CL213" s="173">
        <f ca="1">(VLOOKUP(CL$72,INDIRECT($C$5&amp;"生成成长"),2))/((VLOOKUP($B213,INDIRECT($B$5&amp;"生成成长"),4))/(VLOOKUP(CL$72,INDIRECT($C$5&amp;"生成成长"),5))*(VLOOKUP($B$5,标准坦克设计!$B$24:$U$30,MATCH("对"&amp;LEFT($C$5,2)&amp;"输出",标准坦克设计!$B$23:$U$23,0)))*(VLOOKUP($B213,INDIRECT($B$5&amp;"生成成长"),3))*(VLOOKUP($B$5,标准坦克设计!$B$14:$K$20,9)/30))</f>
        <v>9.2772332224290803</v>
      </c>
      <c r="CM213" s="173">
        <f ca="1">(VLOOKUP(CM$72,INDIRECT($C$5&amp;"生成成长"),2))/((VLOOKUP($B213,INDIRECT($B$5&amp;"生成成长"),4))/(VLOOKUP(CM$72,INDIRECT($C$5&amp;"生成成长"),5))*(VLOOKUP($B$5,标准坦克设计!$B$24:$U$30,MATCH("对"&amp;LEFT($C$5,2)&amp;"输出",标准坦克设计!$B$23:$U$23,0)))*(VLOOKUP($B213,INDIRECT($B$5&amp;"生成成长"),3))*(VLOOKUP($B$5,标准坦克设计!$B$14:$K$20,9)/30))</f>
        <v>9.8854181267090322</v>
      </c>
      <c r="CN213" s="173">
        <f ca="1">(VLOOKUP(CN$72,INDIRECT($C$5&amp;"生成成长"),2))/((VLOOKUP($B213,INDIRECT($B$5&amp;"生成成长"),4))/(VLOOKUP(CN$72,INDIRECT($C$5&amp;"生成成长"),5))*(VLOOKUP($B$5,标准坦克设计!$B$24:$U$30,MATCH("对"&amp;LEFT($C$5,2)&amp;"输出",标准坦克设计!$B$23:$U$23,0)))*(VLOOKUP($B213,INDIRECT($B$5&amp;"生成成长"),3))*(VLOOKUP($B$5,标准坦克设计!$B$14:$K$20,9)/30))</f>
        <v>10.512910488267709</v>
      </c>
      <c r="CO213" s="173">
        <f ca="1">(VLOOKUP(CO$72,INDIRECT($C$5&amp;"生成成长"),2))/((VLOOKUP($B213,INDIRECT($B$5&amp;"生成成长"),4))/(VLOOKUP(CO$72,INDIRECT($C$5&amp;"生成成长"),5))*(VLOOKUP($B$5,标准坦克设计!$B$24:$U$30,MATCH("对"&amp;LEFT($C$5,2)&amp;"输出",标准坦克设计!$B$23:$U$23,0)))*(VLOOKUP($B213,INDIRECT($B$5&amp;"生成成长"),3))*(VLOOKUP($B$5,标准坦克设计!$B$14:$K$20,9)/30))</f>
        <v>4.7110993588910892</v>
      </c>
      <c r="CP213" s="173">
        <f ca="1">(VLOOKUP(CP$72,INDIRECT($C$5&amp;"生成成长"),2))/((VLOOKUP($B213,INDIRECT($B$5&amp;"生成成长"),4))/(VLOOKUP(CP$72,INDIRECT($C$5&amp;"生成成长"),5))*(VLOOKUP($B$5,标准坦克设计!$B$24:$U$30,MATCH("对"&amp;LEFT($C$5,2)&amp;"输出",标准坦克设计!$B$23:$U$23,0)))*(VLOOKUP($B213,INDIRECT($B$5&amp;"生成成长"),3))*(VLOOKUP($B$5,标准坦克设计!$B$14:$K$20,9)/30))</f>
        <v>5.1472723710514572</v>
      </c>
      <c r="CQ213" s="173">
        <f ca="1">(VLOOKUP(CQ$72,INDIRECT($C$5&amp;"生成成长"),2))/((VLOOKUP($B213,INDIRECT($B$5&amp;"生成成长"),4))/(VLOOKUP(CQ$72,INDIRECT($C$5&amp;"生成成长"),5))*(VLOOKUP($B$5,标准坦克设计!$B$24:$U$30,MATCH("对"&amp;LEFT($C$5,2)&amp;"输出",标准坦克设计!$B$23:$U$23,0)))*(VLOOKUP($B213,INDIRECT($B$5&amp;"生成成长"),3))*(VLOOKUP($B$5,标准坦克设计!$B$14:$K$20,9)/30))</f>
        <v>5.6027528404905551</v>
      </c>
      <c r="CR213" s="173">
        <f ca="1">(VLOOKUP(CR$72,INDIRECT($C$5&amp;"生成成长"),2))/((VLOOKUP($B213,INDIRECT($B$5&amp;"生成成长"),4))/(VLOOKUP(CR$72,INDIRECT($C$5&amp;"生成成长"),5))*(VLOOKUP($B$5,标准坦克设计!$B$24:$U$30,MATCH("对"&amp;LEFT($C$5,2)&amp;"输出",标准坦克设计!$B$23:$U$23,0)))*(VLOOKUP($B213,INDIRECT($B$5&amp;"生成成长"),3))*(VLOOKUP($B$5,标准坦克设计!$B$14:$K$20,9)/30))</f>
        <v>6.0775407672083794</v>
      </c>
      <c r="CS213" s="173">
        <f ca="1">(VLOOKUP(CS$72,INDIRECT($C$5&amp;"生成成长"),2))/((VLOOKUP($B213,INDIRECT($B$5&amp;"生成成长"),4))/(VLOOKUP(CS$72,INDIRECT($C$5&amp;"生成成长"),5))*(VLOOKUP($B$5,标准坦克设计!$B$24:$U$30,MATCH("对"&amp;LEFT($C$5,2)&amp;"输出",标准坦克设计!$B$23:$U$23,0)))*(VLOOKUP($B213,INDIRECT($B$5&amp;"生成成长"),3))*(VLOOKUP($B$5,标准坦克设计!$B$14:$K$20,9)/30))</f>
        <v>6.5716361512049337</v>
      </c>
      <c r="CT213" s="173">
        <f ca="1">(VLOOKUP(CT$72,INDIRECT($C$5&amp;"生成成长"),2))/((VLOOKUP($B213,INDIRECT($B$5&amp;"生成成长"),4))/(VLOOKUP(CT$72,INDIRECT($C$5&amp;"生成成长"),5))*(VLOOKUP($B$5,标准坦克设计!$B$24:$U$30,MATCH("对"&amp;LEFT($C$5,2)&amp;"输出",标准坦克设计!$B$23:$U$23,0)))*(VLOOKUP($B213,INDIRECT($B$5&amp;"生成成长"),3))*(VLOOKUP($B$5,标准坦克设计!$B$14:$K$20,9)/30))</f>
        <v>7.0850389924802162</v>
      </c>
      <c r="CU213" s="173">
        <f ca="1">(VLOOKUP(CU$72,INDIRECT($C$5&amp;"生成成长"),2))/((VLOOKUP($B213,INDIRECT($B$5&amp;"生成成长"),4))/(VLOOKUP(CU$72,INDIRECT($C$5&amp;"生成成长"),5))*(VLOOKUP($B$5,标准坦克设计!$B$24:$U$30,MATCH("对"&amp;LEFT($C$5,2)&amp;"输出",标准坦克设计!$B$23:$U$23,0)))*(VLOOKUP($B213,INDIRECT($B$5&amp;"生成成长"),3))*(VLOOKUP($B$5,标准坦克设计!$B$14:$K$20,9)/30))</f>
        <v>7.6177492910342277</v>
      </c>
      <c r="CV213" s="173">
        <f ca="1">(VLOOKUP(CV$72,INDIRECT($C$5&amp;"生成成长"),2))/((VLOOKUP($B213,INDIRECT($B$5&amp;"生成成长"),4))/(VLOOKUP(CV$72,INDIRECT($C$5&amp;"生成成长"),5))*(VLOOKUP($B$5,标准坦克设计!$B$24:$U$30,MATCH("对"&amp;LEFT($C$5,2)&amp;"输出",标准坦克设计!$B$23:$U$23,0)))*(VLOOKUP($B213,INDIRECT($B$5&amp;"生成成长"),3))*(VLOOKUP($B$5,标准坦克设计!$B$14:$K$20,9)/30))</f>
        <v>8.1697670468669656</v>
      </c>
      <c r="CW213" s="173">
        <f ca="1">(VLOOKUP(CW$72,INDIRECT($C$5&amp;"生成成长"),2))/((VLOOKUP($B213,INDIRECT($B$5&amp;"生成成长"),4))/(VLOOKUP(CW$72,INDIRECT($C$5&amp;"生成成长"),5))*(VLOOKUP($B$5,标准坦克设计!$B$24:$U$30,MATCH("对"&amp;LEFT($C$5,2)&amp;"输出",标准坦克设计!$B$23:$U$23,0)))*(VLOOKUP($B213,INDIRECT($B$5&amp;"生成成长"),3))*(VLOOKUP($B$5,标准坦克设计!$B$14:$K$20,9)/30))</f>
        <v>8.7410922599784335</v>
      </c>
      <c r="CX213" s="173">
        <f ca="1">(VLOOKUP(CX$72,INDIRECT($C$5&amp;"生成成长"),2))/((VLOOKUP($B213,INDIRECT($B$5&amp;"生成成长"),4))/(VLOOKUP(CX$72,INDIRECT($C$5&amp;"生成成长"),5))*(VLOOKUP($B$5,标准坦克设计!$B$24:$U$30,MATCH("对"&amp;LEFT($C$5,2)&amp;"输出",标准坦克设计!$B$23:$U$23,0)))*(VLOOKUP($B213,INDIRECT($B$5&amp;"生成成长"),3))*(VLOOKUP($B$5,标准坦克设计!$B$14:$K$20,9)/30))</f>
        <v>9.3317249303686296</v>
      </c>
      <c r="CY213" s="173">
        <f ca="1">(VLOOKUP(CY$72,INDIRECT($C$5&amp;"生成成长"),2))/((VLOOKUP($B213,INDIRECT($B$5&amp;"生成成长"),4))/(VLOOKUP(CY$72,INDIRECT($C$5&amp;"生成成长"),5))*(VLOOKUP($B$5,标准坦克设计!$B$24:$U$30,MATCH("对"&amp;LEFT($C$5,2)&amp;"输出",标准坦克设计!$B$23:$U$23,0)))*(VLOOKUP($B213,INDIRECT($B$5&amp;"生成成长"),3))*(VLOOKUP($B$5,标准坦克设计!$B$14:$K$20,9)/30))</f>
        <v>9.9416650580375574</v>
      </c>
      <c r="CZ213" s="173">
        <f ca="1">(VLOOKUP(CZ$72,INDIRECT($C$5&amp;"生成成长"),2))/((VLOOKUP($B213,INDIRECT($B$5&amp;"生成成长"),4))/(VLOOKUP(CZ$72,INDIRECT($C$5&amp;"生成成长"),5))*(VLOOKUP($B$5,标准坦克设计!$B$24:$U$30,MATCH("对"&amp;LEFT($C$5,2)&amp;"输出",标准坦克设计!$B$23:$U$23,0)))*(VLOOKUP($B213,INDIRECT($B$5&amp;"生成成长"),3))*(VLOOKUP($B$5,标准坦克设计!$B$14:$K$20,9)/30))</f>
        <v>10.57091264298521</v>
      </c>
      <c r="DA213" s="173">
        <f ca="1">(VLOOKUP(DA$72,INDIRECT($C$5&amp;"生成成长"),2))/((VLOOKUP($B213,INDIRECT($B$5&amp;"生成成长"),4))/(VLOOKUP(DA$72,INDIRECT($C$5&amp;"生成成长"),5))*(VLOOKUP($B$5,标准坦克设计!$B$24:$U$30,MATCH("对"&amp;LEFT($C$5,2)&amp;"输出",标准坦克设计!$B$23:$U$23,0)))*(VLOOKUP($B213,INDIRECT($B$5&amp;"生成成长"),3))*(VLOOKUP($B$5,标准坦克设计!$B$14:$K$20,9)/30))</f>
        <v>11.219467685211594</v>
      </c>
      <c r="DB213" s="173">
        <f ca="1">(VLOOKUP(DB$72,INDIRECT($C$5&amp;"生成成长"),2))/((VLOOKUP($B213,INDIRECT($B$5&amp;"生成成长"),4))/(VLOOKUP(DB$72,INDIRECT($C$5&amp;"生成成长"),5))*(VLOOKUP($B$5,标准坦克设计!$B$24:$U$30,MATCH("对"&amp;LEFT($C$5,2)&amp;"输出",标准坦克设计!$B$23:$U$23,0)))*(VLOOKUP($B213,INDIRECT($B$5&amp;"生成成长"),3))*(VLOOKUP($B$5,标准坦克设计!$B$14:$K$20,9)/30))</f>
        <v>11.887330184716705</v>
      </c>
      <c r="DC213" s="173">
        <f ca="1">(VLOOKUP(DC$72,INDIRECT($C$5&amp;"生成成长"),2))/((VLOOKUP($B213,INDIRECT($B$5&amp;"生成成长"),4))/(VLOOKUP(DC$72,INDIRECT($C$5&amp;"生成成长"),5))*(VLOOKUP($B$5,标准坦克设计!$B$24:$U$30,MATCH("对"&amp;LEFT($C$5,2)&amp;"输出",标准坦克设计!$B$23:$U$23,0)))*(VLOOKUP($B213,INDIRECT($B$5&amp;"生成成长"),3))*(VLOOKUP($B$5,标准坦克设计!$B$14:$K$20,9)/30))</f>
        <v>12.637927532147609</v>
      </c>
      <c r="DD213" s="173">
        <f ca="1">(VLOOKUP(DD$72,INDIRECT($C$5&amp;"生成成长"),2))/((VLOOKUP($B213,INDIRECT($B$5&amp;"生成成长"),4))/(VLOOKUP(DD$72,INDIRECT($C$5&amp;"生成成长"),5))*(VLOOKUP($B$5,标准坦克设计!$B$24:$U$30,MATCH("对"&amp;LEFT($C$5,2)&amp;"输出",标准坦克设计!$B$23:$U$23,0)))*(VLOOKUP($B213,INDIRECT($B$5&amp;"生成成长"),3))*(VLOOKUP($B$5,标准坦克设计!$B$14:$K$20,9)/30))</f>
        <v>13.411502349397827</v>
      </c>
      <c r="DE213" s="173">
        <f ca="1">(VLOOKUP(DE$72,INDIRECT($C$5&amp;"生成成长"),2))/((VLOOKUP($B213,INDIRECT($B$5&amp;"生成成长"),4))/(VLOOKUP(DE$72,INDIRECT($C$5&amp;"生成成长"),5))*(VLOOKUP($B$5,标准坦克设计!$B$24:$U$30,MATCH("对"&amp;LEFT($C$5,2)&amp;"输出",标准坦克设计!$B$23:$U$23,0)))*(VLOOKUP($B213,INDIRECT($B$5&amp;"生成成长"),3))*(VLOOKUP($B$5,标准坦克设计!$B$14:$K$20,9)/30))</f>
        <v>14.208054636467351</v>
      </c>
      <c r="DF213" s="173">
        <f ca="1">(VLOOKUP(DF$72,INDIRECT($C$5&amp;"生成成长"),2))/((VLOOKUP($B213,INDIRECT($B$5&amp;"生成成长"),4))/(VLOOKUP(DF$72,INDIRECT($C$5&amp;"生成成长"),5))*(VLOOKUP($B$5,标准坦克设计!$B$24:$U$30,MATCH("对"&amp;LEFT($C$5,2)&amp;"输出",标准坦克设计!$B$23:$U$23,0)))*(VLOOKUP($B213,INDIRECT($B$5&amp;"生成成长"),3))*(VLOOKUP($B$5,标准坦克设计!$B$14:$K$20,9)/30))</f>
        <v>15.027584393356195</v>
      </c>
      <c r="DG213" s="173">
        <f ca="1">(VLOOKUP(DG$72,INDIRECT($C$5&amp;"生成成长"),2))/((VLOOKUP($B213,INDIRECT($B$5&amp;"生成成长"),4))/(VLOOKUP(DG$72,INDIRECT($C$5&amp;"生成成长"),5))*(VLOOKUP($B$5,标准坦克设计!$B$24:$U$30,MATCH("对"&amp;LEFT($C$5,2)&amp;"输出",标准坦克设计!$B$23:$U$23,0)))*(VLOOKUP($B213,INDIRECT($B$5&amp;"生成成长"),3))*(VLOOKUP($B$5,标准坦克设计!$B$14:$K$20,9)/30))</f>
        <v>15.870091620064352</v>
      </c>
      <c r="DH213" s="173">
        <f ca="1">(VLOOKUP(DH$72,INDIRECT($C$5&amp;"生成成长"),2))/((VLOOKUP($B213,INDIRECT($B$5&amp;"生成成长"),4))/(VLOOKUP(DH$72,INDIRECT($C$5&amp;"生成成长"),5))*(VLOOKUP($B$5,标准坦克设计!$B$24:$U$30,MATCH("对"&amp;LEFT($C$5,2)&amp;"输出",标准坦克设计!$B$23:$U$23,0)))*(VLOOKUP($B213,INDIRECT($B$5&amp;"生成成长"),3))*(VLOOKUP($B$5,标准坦克设计!$B$14:$K$20,9)/30))</f>
        <v>16.735576316591821</v>
      </c>
      <c r="DI213" s="173">
        <f ca="1">(VLOOKUP(DI$72,INDIRECT($C$5&amp;"生成成长"),2))/((VLOOKUP($B213,INDIRECT($B$5&amp;"生成成长"),4))/(VLOOKUP(DI$72,INDIRECT($C$5&amp;"生成成长"),5))*(VLOOKUP($B$5,标准坦克设计!$B$24:$U$30,MATCH("对"&amp;LEFT($C$5,2)&amp;"输出",标准坦克设计!$B$23:$U$23,0)))*(VLOOKUP($B213,INDIRECT($B$5&amp;"生成成长"),3))*(VLOOKUP($B$5,标准坦克设计!$B$14:$K$20,9)/30))</f>
        <v>17.624038482938605</v>
      </c>
      <c r="DJ213" s="173">
        <f ca="1">(VLOOKUP(DJ$72,INDIRECT($C$5&amp;"生成成长"),2))/((VLOOKUP($B213,INDIRECT($B$5&amp;"生成成长"),4))/(VLOOKUP(DJ$72,INDIRECT($C$5&amp;"生成成长"),5))*(VLOOKUP($B$5,标准坦克设计!$B$24:$U$30,MATCH("对"&amp;LEFT($C$5,2)&amp;"输出",标准坦克设计!$B$23:$U$23,0)))*(VLOOKUP($B213,INDIRECT($B$5&amp;"生成成长"),3))*(VLOOKUP($B$5,标准坦克设计!$B$14:$K$20,9)/30))</f>
        <v>1.771259748120054</v>
      </c>
      <c r="DK213" s="173">
        <f ca="1">(VLOOKUP(DK$72,INDIRECT($C$5&amp;"生成成长"),2))/((VLOOKUP($B213,INDIRECT($B$5&amp;"生成成长"),4))/(VLOOKUP(DK$72,INDIRECT($C$5&amp;"生成成长"),5))*(VLOOKUP($B$5,标准坦克设计!$B$24:$U$30,MATCH("对"&amp;LEFT($C$5,2)&amp;"输出",标准坦克设计!$B$23:$U$23,0)))*(VLOOKUP($B213,INDIRECT($B$5&amp;"生成成长"),3))*(VLOOKUP($B$5,标准坦克设计!$B$14:$K$20,9)/30))</f>
        <v>1.9916998491990916</v>
      </c>
      <c r="DL213" s="173">
        <f ca="1">(VLOOKUP(DL$72,INDIRECT($C$5&amp;"生成成长"),2))/((VLOOKUP($B213,INDIRECT($B$5&amp;"生成成长"),4))/(VLOOKUP(DL$72,INDIRECT($C$5&amp;"生成成长"),5))*(VLOOKUP($B$5,标准坦克设计!$B$24:$U$30,MATCH("对"&amp;LEFT($C$5,2)&amp;"输出",标准坦克设计!$B$23:$U$23,0)))*(VLOOKUP($B213,INDIRECT($B$5&amp;"生成成长"),3))*(VLOOKUP($B$5,标准坦克设计!$B$14:$K$20,9)/30))</f>
        <v>2.2250647770514931</v>
      </c>
      <c r="DM213" s="173">
        <f ca="1">(VLOOKUP(DM$72,INDIRECT($C$5&amp;"生成成长"),2))/((VLOOKUP($B213,INDIRECT($B$5&amp;"生成成长"),4))/(VLOOKUP(DM$72,INDIRECT($C$5&amp;"生成成长"),5))*(VLOOKUP($B$5,标准坦克设计!$B$24:$U$30,MATCH("对"&amp;LEFT($C$5,2)&amp;"输出",标准坦克设计!$B$23:$U$23,0)))*(VLOOKUP($B213,INDIRECT($B$5&amp;"生成成长"),3))*(VLOOKUP($B$5,标准坦克设计!$B$14:$K$20,9)/30))</f>
        <v>2.471354531677258</v>
      </c>
      <c r="DN213" s="173">
        <f ca="1">(VLOOKUP(DN$72,INDIRECT($C$5&amp;"生成成长"),2))/((VLOOKUP($B213,INDIRECT($B$5&amp;"生成成长"),4))/(VLOOKUP(DN$72,INDIRECT($C$5&amp;"生成成长"),5))*(VLOOKUP($B$5,标准坦克设计!$B$24:$U$30,MATCH("对"&amp;LEFT($C$5,2)&amp;"输出",标准坦克设计!$B$23:$U$23,0)))*(VLOOKUP($B213,INDIRECT($B$5&amp;"生成成长"),3))*(VLOOKUP($B$5,标准坦克设计!$B$14:$K$20,9)/30))</f>
        <v>2.7305691130763856</v>
      </c>
      <c r="DO213" s="173">
        <f ca="1">(VLOOKUP(DO$72,INDIRECT($C$5&amp;"生成成长"),2))/((VLOOKUP($B213,INDIRECT($B$5&amp;"生成成长"),4))/(VLOOKUP(DO$72,INDIRECT($C$5&amp;"生成成长"),5))*(VLOOKUP($B$5,标准坦克设计!$B$24:$U$30,MATCH("对"&amp;LEFT($C$5,2)&amp;"输出",标准坦克设计!$B$23:$U$23,0)))*(VLOOKUP($B213,INDIRECT($B$5&amp;"生成成长"),3))*(VLOOKUP($B$5,标准坦克设计!$B$14:$K$20,9)/30))</f>
        <v>3.0027085212488784</v>
      </c>
      <c r="DP213" s="173">
        <f ca="1">(VLOOKUP(DP$72,INDIRECT($C$5&amp;"生成成长"),2))/((VLOOKUP($B213,INDIRECT($B$5&amp;"生成成长"),4))/(VLOOKUP(DP$72,INDIRECT($C$5&amp;"生成成长"),5))*(VLOOKUP($B$5,标准坦克设计!$B$24:$U$30,MATCH("对"&amp;LEFT($C$5,2)&amp;"输出",标准坦克设计!$B$23:$U$23,0)))*(VLOOKUP($B213,INDIRECT($B$5&amp;"生成成长"),3))*(VLOOKUP($B$5,标准坦克设计!$B$14:$K$20,9)/30))</f>
        <v>3.2877727561947343</v>
      </c>
      <c r="DQ213" s="173">
        <f ca="1">(VLOOKUP(DQ$72,INDIRECT($C$5&amp;"生成成长"),2))/((VLOOKUP($B213,INDIRECT($B$5&amp;"生成成长"),4))/(VLOOKUP(DQ$72,INDIRECT($C$5&amp;"生成成长"),5))*(VLOOKUP($B$5,标准坦克设计!$B$24:$U$30,MATCH("对"&amp;LEFT($C$5,2)&amp;"输出",标准坦克设计!$B$23:$U$23,0)))*(VLOOKUP($B213,INDIRECT($B$5&amp;"生成成长"),3))*(VLOOKUP($B$5,标准坦克设计!$B$14:$K$20,9)/30))</f>
        <v>3.5857618179139545</v>
      </c>
      <c r="DR213" s="173">
        <f ca="1">(VLOOKUP(DR$72,INDIRECT($C$5&amp;"生成成长"),2))/((VLOOKUP($B213,INDIRECT($B$5&amp;"生成成长"),4))/(VLOOKUP(DR$72,INDIRECT($C$5&amp;"生成成长"),5))*(VLOOKUP($B$5,标准坦克设计!$B$24:$U$30,MATCH("对"&amp;LEFT($C$5,2)&amp;"输出",标准坦克设计!$B$23:$U$23,0)))*(VLOOKUP($B213,INDIRECT($B$5&amp;"生成成长"),3))*(VLOOKUP($B$5,标准坦克设计!$B$14:$K$20,9)/30))</f>
        <v>3.8966757064065383</v>
      </c>
      <c r="DS213" s="173">
        <f ca="1">(VLOOKUP(DS$72,INDIRECT($C$5&amp;"生成成长"),2))/((VLOOKUP($B213,INDIRECT($B$5&amp;"生成成长"),4))/(VLOOKUP(DS$72,INDIRECT($C$5&amp;"生成成长"),5))*(VLOOKUP($B$5,标准坦克设计!$B$24:$U$30,MATCH("对"&amp;LEFT($C$5,2)&amp;"输出",标准坦克设计!$B$23:$U$23,0)))*(VLOOKUP($B213,INDIRECT($B$5&amp;"生成成长"),3))*(VLOOKUP($B$5,标准坦克设计!$B$14:$K$20,9)/30))</f>
        <v>4.220514421672485</v>
      </c>
      <c r="DT213" s="173">
        <f ca="1">(VLOOKUP(DT$72,INDIRECT($C$5&amp;"生成成长"),2))/((VLOOKUP($B213,INDIRECT($B$5&amp;"生成成长"),4))/(VLOOKUP(DT$72,INDIRECT($C$5&amp;"生成成长"),5))*(VLOOKUP($B$5,标准坦克设计!$B$24:$U$30,MATCH("对"&amp;LEFT($C$5,2)&amp;"输出",标准坦克设计!$B$23:$U$23,0)))*(VLOOKUP($B213,INDIRECT($B$5&amp;"生成成长"),3))*(VLOOKUP($B$5,标准坦克设计!$B$14:$K$20,9)/30))</f>
        <v>4.6338695297761756</v>
      </c>
      <c r="DU213" s="173">
        <f ca="1">(VLOOKUP(DU$72,INDIRECT($C$5&amp;"生成成长"),2))/((VLOOKUP($B213,INDIRECT($B$5&amp;"生成成长"),4))/(VLOOKUP(DU$72,INDIRECT($C$5&amp;"生成成长"),5))*(VLOOKUP($B$5,标准坦克设计!$B$24:$U$30,MATCH("对"&amp;LEFT($C$5,2)&amp;"输出",标准坦克设计!$B$23:$U$23,0)))*(VLOOKUP($B213,INDIRECT($B$5&amp;"生成成长"),3))*(VLOOKUP($B$5,标准坦克设计!$B$14:$K$20,9)/30))</f>
        <v>5.0665320951585926</v>
      </c>
      <c r="DV213" s="173">
        <f ca="1">(VLOOKUP(DV$72,INDIRECT($C$5&amp;"生成成长"),2))/((VLOOKUP($B213,INDIRECT($B$5&amp;"生成成长"),4))/(VLOOKUP(DV$72,INDIRECT($C$5&amp;"生成成长"),5))*(VLOOKUP($B$5,标准坦克设计!$B$24:$U$30,MATCH("对"&amp;LEFT($C$5,2)&amp;"输出",标准坦克设计!$B$23:$U$23,0)))*(VLOOKUP($B213,INDIRECT($B$5&amp;"生成成长"),3))*(VLOOKUP($B$5,标准坦克设计!$B$14:$K$20,9)/30))</f>
        <v>5.5185021178197387</v>
      </c>
      <c r="DW213" s="173">
        <f ca="1">(VLOOKUP(DW$72,INDIRECT($C$5&amp;"生成成长"),2))/((VLOOKUP($B213,INDIRECT($B$5&amp;"生成成长"),4))/(VLOOKUP(DW$72,INDIRECT($C$5&amp;"生成成长"),5))*(VLOOKUP($B$5,标准坦克设计!$B$24:$U$30,MATCH("对"&amp;LEFT($C$5,2)&amp;"输出",标准坦克设计!$B$23:$U$23,0)))*(VLOOKUP($B213,INDIRECT($B$5&amp;"生成成长"),3))*(VLOOKUP($B$5,标准坦克设计!$B$14:$K$20,9)/30))</f>
        <v>5.9897795977596129</v>
      </c>
      <c r="DX213" s="173">
        <f ca="1">(VLOOKUP(DX$72,INDIRECT($C$5&amp;"生成成长"),2))/((VLOOKUP($B213,INDIRECT($B$5&amp;"生成成长"),4))/(VLOOKUP(DX$72,INDIRECT($C$5&amp;"生成成长"),5))*(VLOOKUP($B$5,标准坦克设计!$B$24:$U$30,MATCH("对"&amp;LEFT($C$5,2)&amp;"输出",标准坦克设计!$B$23:$U$23,0)))*(VLOOKUP($B213,INDIRECT($B$5&amp;"生成成长"),3))*(VLOOKUP($B$5,标准坦克设计!$B$14:$K$20,9)/30))</f>
        <v>6.4803645349782171</v>
      </c>
      <c r="DY213" s="173">
        <f ca="1">(VLOOKUP(DY$72,INDIRECT($C$5&amp;"生成成长"),2))/((VLOOKUP($B213,INDIRECT($B$5&amp;"生成成长"),4))/(VLOOKUP(DY$72,INDIRECT($C$5&amp;"生成成长"),5))*(VLOOKUP($B$5,标准坦克设计!$B$24:$U$30,MATCH("对"&amp;LEFT($C$5,2)&amp;"输出",标准坦克设计!$B$23:$U$23,0)))*(VLOOKUP($B213,INDIRECT($B$5&amp;"生成成长"),3))*(VLOOKUP($B$5,标准坦克设计!$B$14:$K$20,9)/30))</f>
        <v>2.9105592933276734</v>
      </c>
      <c r="DZ213" s="173">
        <f ca="1">(VLOOKUP(DZ$72,INDIRECT($C$5&amp;"生成成长"),2))/((VLOOKUP($B213,INDIRECT($B$5&amp;"生成成长"),4))/(VLOOKUP(DZ$72,INDIRECT($C$5&amp;"生成成长"),5))*(VLOOKUP($B$5,标准坦克设计!$B$24:$U$30,MATCH("对"&amp;LEFT($C$5,2)&amp;"输出",标准坦克设计!$B$23:$U$23,0)))*(VLOOKUP($B213,INDIRECT($B$5&amp;"生成成长"),3))*(VLOOKUP($B$5,标准坦克设计!$B$14:$K$20,9)/30))</f>
        <v>3.2233081880905496</v>
      </c>
      <c r="EA213" s="173">
        <f ca="1">(VLOOKUP(EA$72,INDIRECT($C$5&amp;"生成成长"),2))/((VLOOKUP($B213,INDIRECT($B$5&amp;"生成成长"),4))/(VLOOKUP(EA$72,INDIRECT($C$5&amp;"生成成长"),5))*(VLOOKUP($B$5,标准坦克设计!$B$24:$U$30,MATCH("对"&amp;LEFT($C$5,2)&amp;"输出",标准坦克设计!$B$23:$U$23,0)))*(VLOOKUP($B213,INDIRECT($B$5&amp;"生成成长"),3))*(VLOOKUP($B$5,标准坦克设计!$B$14:$K$20,9)/30))</f>
        <v>3.5520136591168376</v>
      </c>
      <c r="EB213" s="173">
        <f ca="1">(VLOOKUP(EB$72,INDIRECT($C$5&amp;"生成成长"),2))/((VLOOKUP($B213,INDIRECT($B$5&amp;"生成成长"),4))/(VLOOKUP(EB$72,INDIRECT($C$5&amp;"生成成长"),5))*(VLOOKUP($B$5,标准坦克设计!$B$24:$U$30,MATCH("对"&amp;LEFT($C$5,2)&amp;"输出",标准坦克设计!$B$23:$U$23,0)))*(VLOOKUP($B213,INDIRECT($B$5&amp;"生成成长"),3))*(VLOOKUP($B$5,标准坦克设计!$B$14:$K$20,9)/30))</f>
        <v>3.8966757064065383</v>
      </c>
      <c r="EC213" s="173">
        <f ca="1">(VLOOKUP(EC$72,INDIRECT($C$5&amp;"生成成长"),2))/((VLOOKUP($B213,INDIRECT($B$5&amp;"生成成长"),4))/(VLOOKUP(EC$72,INDIRECT($C$5&amp;"生成成长"),5))*(VLOOKUP($B$5,标准坦克设计!$B$24:$U$30,MATCH("对"&amp;LEFT($C$5,2)&amp;"输出",标准坦克设计!$B$23:$U$23,0)))*(VLOOKUP($B213,INDIRECT($B$5&amp;"生成成长"),3))*(VLOOKUP($B$5,标准坦克设计!$B$14:$K$20,9)/30))</f>
        <v>4.2572943299596506</v>
      </c>
      <c r="ED213" s="173">
        <f ca="1">(VLOOKUP(ED$72,INDIRECT($C$5&amp;"生成成长"),2))/((VLOOKUP($B213,INDIRECT($B$5&amp;"生成成长"),4))/(VLOOKUP(ED$72,INDIRECT($C$5&amp;"生成成长"),5))*(VLOOKUP($B$5,标准坦克设计!$B$24:$U$30,MATCH("对"&amp;LEFT($C$5,2)&amp;"输出",标准坦克设计!$B$23:$U$23,0)))*(VLOOKUP($B213,INDIRECT($B$5&amp;"生成成长"),3))*(VLOOKUP($B$5,标准坦克设计!$B$14:$K$20,9)/30))</f>
        <v>4.6338695297761756</v>
      </c>
      <c r="EE213" s="173">
        <f ca="1">(VLOOKUP(EE$72,INDIRECT($C$5&amp;"生成成长"),2))/((VLOOKUP($B213,INDIRECT($B$5&amp;"生成成长"),4))/(VLOOKUP(EE$72,INDIRECT($C$5&amp;"生成成长"),5))*(VLOOKUP($B$5,标准坦克设计!$B$24:$U$30,MATCH("对"&amp;LEFT($C$5,2)&amp;"输出",标准坦克设计!$B$23:$U$23,0)))*(VLOOKUP($B213,INDIRECT($B$5&amp;"生成成长"),3))*(VLOOKUP($B$5,标准坦克设计!$B$14:$K$20,9)/30))</f>
        <v>5.026401305856111</v>
      </c>
      <c r="EF213" s="173">
        <f ca="1">(VLOOKUP(EF$72,INDIRECT($C$5&amp;"生成成长"),2))/((VLOOKUP($B213,INDIRECT($B$5&amp;"生成成长"),4))/(VLOOKUP(EF$72,INDIRECT($C$5&amp;"生成成长"),5))*(VLOOKUP($B$5,标准坦克设计!$B$24:$U$30,MATCH("对"&amp;LEFT($C$5,2)&amp;"输出",标准坦克设计!$B$23:$U$23,0)))*(VLOOKUP($B213,INDIRECT($B$5&amp;"生成成长"),3))*(VLOOKUP($B$5,标准坦克设计!$B$14:$K$20,9)/30))</f>
        <v>5.4348896581994595</v>
      </c>
      <c r="EG213" s="173">
        <f ca="1">(VLOOKUP(EG$72,INDIRECT($C$5&amp;"生成成长"),2))/((VLOOKUP($B213,INDIRECT($B$5&amp;"生成成长"),4))/(VLOOKUP(EG$72,INDIRECT($C$5&amp;"生成成长"),5))*(VLOOKUP($B$5,标准坦克设计!$B$24:$U$30,MATCH("对"&amp;LEFT($C$5,2)&amp;"输出",标准坦克设计!$B$23:$U$23,0)))*(VLOOKUP($B213,INDIRECT($B$5&amp;"生成成长"),3))*(VLOOKUP($B$5,标准坦克设计!$B$14:$K$20,9)/30))</f>
        <v>5.8593345868062201</v>
      </c>
      <c r="EH213" s="173">
        <f ca="1">(VLOOKUP(EH$72,INDIRECT($C$5&amp;"生成成长"),2))/((VLOOKUP($B213,INDIRECT($B$5&amp;"生成成长"),4))/(VLOOKUP(EH$72,INDIRECT($C$5&amp;"生成成长"),5))*(VLOOKUP($B$5,标准坦克设计!$B$24:$U$30,MATCH("对"&amp;LEFT($C$5,2)&amp;"输出",标准坦克设计!$B$23:$U$23,0)))*(VLOOKUP($B213,INDIRECT($B$5&amp;"生成成长"),3))*(VLOOKUP($B$5,标准坦克设计!$B$14:$K$20,9)/30))</f>
        <v>6.2997360916763911</v>
      </c>
      <c r="EI213" s="173">
        <f ca="1">(VLOOKUP(EI$72,INDIRECT($C$5&amp;"生成成长"),2))/((VLOOKUP($B213,INDIRECT($B$5&amp;"生成成长"),4))/(VLOOKUP(EI$72,INDIRECT($C$5&amp;"生成成长"),5))*(VLOOKUP($B$5,标准坦克设计!$B$24:$U$30,MATCH("对"&amp;LEFT($C$5,2)&amp;"输出",标准坦克设计!$B$23:$U$23,0)))*(VLOOKUP($B213,INDIRECT($B$5&amp;"生成成长"),3))*(VLOOKUP($B$5,标准坦克设计!$B$14:$K$20,9)/30))</f>
        <v>6.7560941728099762</v>
      </c>
      <c r="EJ213" s="173">
        <f ca="1">(VLOOKUP(EJ$72,INDIRECT($C$5&amp;"生成成长"),2))/((VLOOKUP($B213,INDIRECT($B$5&amp;"生成成长"),4))/(VLOOKUP(EJ$72,INDIRECT($C$5&amp;"生成成长"),5))*(VLOOKUP($B$5,标准坦克设计!$B$24:$U$30,MATCH("对"&amp;LEFT($C$5,2)&amp;"输出",标准坦克设计!$B$23:$U$23,0)))*(VLOOKUP($B213,INDIRECT($B$5&amp;"生成成长"),3))*(VLOOKUP($B$5,标准坦克设计!$B$14:$K$20,9)/30))</f>
        <v>7.2284088302069742</v>
      </c>
      <c r="EK213" s="173">
        <f ca="1">(VLOOKUP(EK$72,INDIRECT($C$5&amp;"生成成长"),2))/((VLOOKUP($B213,INDIRECT($B$5&amp;"生成成长"),4))/(VLOOKUP(EK$72,INDIRECT($C$5&amp;"生成成长"),5))*(VLOOKUP($B$5,标准坦克设计!$B$24:$U$30,MATCH("对"&amp;LEFT($C$5,2)&amp;"输出",标准坦克设计!$B$23:$U$23,0)))*(VLOOKUP($B213,INDIRECT($B$5&amp;"生成成长"),3))*(VLOOKUP($B$5,标准坦克设计!$B$14:$K$20,9)/30))</f>
        <v>7.8162490997510714</v>
      </c>
      <c r="EL213" s="173">
        <f ca="1">(VLOOKUP(EL$72,INDIRECT($C$5&amp;"生成成长"),2))/((VLOOKUP($B213,INDIRECT($B$5&amp;"生成成长"),4))/(VLOOKUP(EL$72,INDIRECT($C$5&amp;"生成成长"),5))*(VLOOKUP($B$5,标准坦克设计!$B$24:$U$30,MATCH("对"&amp;LEFT($C$5,2)&amp;"输出",标准坦克设计!$B$23:$U$23,0)))*(VLOOKUP($B213,INDIRECT($B$5&amp;"生成成长"),3))*(VLOOKUP($B$5,标准坦克设计!$B$14:$K$20,9)/30))</f>
        <v>8.4270668391144881</v>
      </c>
      <c r="EM213" s="173">
        <f ca="1">(VLOOKUP(EM$72,INDIRECT($C$5&amp;"生成成长"),2))/((VLOOKUP($B213,INDIRECT($B$5&amp;"生成成长"),4))/(VLOOKUP(EM$72,INDIRECT($C$5&amp;"生成成长"),5))*(VLOOKUP($B$5,标准坦克设计!$B$24:$U$30,MATCH("对"&amp;LEFT($C$5,2)&amp;"输出",标准坦克设计!$B$23:$U$23,0)))*(VLOOKUP($B213,INDIRECT($B$5&amp;"生成成长"),3))*(VLOOKUP($B$5,标准坦克设计!$B$14:$K$20,9)/30))</f>
        <v>9.0608620482972118</v>
      </c>
      <c r="EN213" s="173">
        <f ca="1">(VLOOKUP(EN$72,INDIRECT($C$5&amp;"生成成长"),2))/((VLOOKUP($B213,INDIRECT($B$5&amp;"生成成长"),4))/(VLOOKUP(EN$72,INDIRECT($C$5&amp;"生成成长"),5))*(VLOOKUP($B$5,标准坦克设计!$B$24:$U$30,MATCH("对"&amp;LEFT($C$5,2)&amp;"输出",标准坦克设计!$B$23:$U$23,0)))*(VLOOKUP($B213,INDIRECT($B$5&amp;"生成成长"),3))*(VLOOKUP($B$5,标准坦克设计!$B$14:$K$20,9)/30))</f>
        <v>9.7176347272992523</v>
      </c>
      <c r="EO213" s="173">
        <f ca="1">(VLOOKUP(EO$72,INDIRECT($C$5&amp;"生成成长"),2))/((VLOOKUP($B213,INDIRECT($B$5&amp;"生成成长"),4))/(VLOOKUP(EO$72,INDIRECT($C$5&amp;"生成成长"),5))*(VLOOKUP($B$5,标准坦克设计!$B$24:$U$30,MATCH("对"&amp;LEFT($C$5,2)&amp;"输出",标准坦克设计!$B$23:$U$23,0)))*(VLOOKUP($B213,INDIRECT($B$5&amp;"生成成长"),3))*(VLOOKUP($B$5,标准坦克设计!$B$14:$K$20,9)/30))</f>
        <v>10.397384876120606</v>
      </c>
      <c r="EP213" s="173">
        <f ca="1">(VLOOKUP(EP$72,INDIRECT($C$5&amp;"生成成长"),2))/((VLOOKUP($B213,INDIRECT($B$5&amp;"生成成长"),4))/(VLOOKUP(EP$72,INDIRECT($C$5&amp;"生成成长"),5))*(VLOOKUP($B$5,标准坦克设计!$B$24:$U$30,MATCH("对"&amp;LEFT($C$5,2)&amp;"输出",标准坦克设计!$B$23:$U$23,0)))*(VLOOKUP($B213,INDIRECT($B$5&amp;"生成成长"),3))*(VLOOKUP($B$5,标准坦克设计!$B$14:$K$20,9)/30))</f>
        <v>11.100112494761269</v>
      </c>
      <c r="EQ213" s="173">
        <f ca="1">(VLOOKUP(EQ$72,INDIRECT($C$5&amp;"生成成长"),2))/((VLOOKUP($B213,INDIRECT($B$5&amp;"生成成长"),4))/(VLOOKUP(EQ$72,INDIRECT($C$5&amp;"生成成长"),5))*(VLOOKUP($B$5,标准坦克设计!$B$24:$U$30,MATCH("对"&amp;LEFT($C$5,2)&amp;"输出",标准坦克设计!$B$23:$U$23,0)))*(VLOOKUP($B213,INDIRECT($B$5&amp;"生成成长"),3))*(VLOOKUP($B$5,标准坦克设计!$B$14:$K$20,9)/30))</f>
        <v>4.9069663325244717</v>
      </c>
      <c r="ER213" s="173">
        <f ca="1">(VLOOKUP(ER$72,INDIRECT($C$5&amp;"生成成长"),2))/((VLOOKUP($B213,INDIRECT($B$5&amp;"生成成长"),4))/(VLOOKUP(ER$72,INDIRECT($C$5&amp;"生成成长"),5))*(VLOOKUP($B$5,标准坦克设计!$B$24:$U$30,MATCH("对"&amp;LEFT($C$5,2)&amp;"输出",标准坦克设计!$B$23:$U$23,0)))*(VLOOKUP($B213,INDIRECT($B$5&amp;"生成成长"),3))*(VLOOKUP($B$5,标准坦克设计!$B$14:$K$20,9)/30))</f>
        <v>5.3519154616297158</v>
      </c>
      <c r="ES213" s="173">
        <f ca="1">(VLOOKUP(ES$72,INDIRECT($C$5&amp;"生成成长"),2))/((VLOOKUP($B213,INDIRECT($B$5&amp;"生成成长"),4))/(VLOOKUP(ES$72,INDIRECT($C$5&amp;"生成成长"),5))*(VLOOKUP($B$5,标准坦克设计!$B$24:$U$30,MATCH("对"&amp;LEFT($C$5,2)&amp;"输出",标准坦克设计!$B$23:$U$23,0)))*(VLOOKUP($B213,INDIRECT($B$5&amp;"生成成长"),3))*(VLOOKUP($B$5,标准坦克设计!$B$14:$K$20,9)/30))</f>
        <v>5.8161720480136898</v>
      </c>
      <c r="ET213" s="173">
        <f ca="1">(VLOOKUP(ET$72,INDIRECT($C$5&amp;"生成成长"),2))/((VLOOKUP($B213,INDIRECT($B$5&amp;"生成成长"),4))/(VLOOKUP(ET$72,INDIRECT($C$5&amp;"生成成长"),5))*(VLOOKUP($B$5,标准坦克设计!$B$24:$U$30,MATCH("对"&amp;LEFT($C$5,2)&amp;"输出",标准坦克设计!$B$23:$U$23,0)))*(VLOOKUP($B213,INDIRECT($B$5&amp;"生成成长"),3))*(VLOOKUP($B$5,标准坦克设计!$B$14:$K$20,9)/30))</f>
        <v>6.2997360916763911</v>
      </c>
      <c r="EU213" s="173">
        <f ca="1">(VLOOKUP(EU$72,INDIRECT($C$5&amp;"生成成长"),2))/((VLOOKUP($B213,INDIRECT($B$5&amp;"生成成长"),4))/(VLOOKUP(EU$72,INDIRECT($C$5&amp;"生成成长"),5))*(VLOOKUP($B$5,标准坦克设计!$B$24:$U$30,MATCH("对"&amp;LEFT($C$5,2)&amp;"输出",标准坦克设计!$B$23:$U$23,0)))*(VLOOKUP($B213,INDIRECT($B$5&amp;"生成成长"),3))*(VLOOKUP($B$5,标准坦克设计!$B$14:$K$20,9)/30))</f>
        <v>6.8026075926178224</v>
      </c>
      <c r="EV213" s="173">
        <f ca="1">(VLOOKUP(EV$72,INDIRECT($C$5&amp;"生成成长"),2))/((VLOOKUP($B213,INDIRECT($B$5&amp;"生成成长"),4))/(VLOOKUP(EV$72,INDIRECT($C$5&amp;"生成成长"),5))*(VLOOKUP($B$5,标准坦克设计!$B$24:$U$30,MATCH("对"&amp;LEFT($C$5,2)&amp;"输出",标准坦克设计!$B$23:$U$23,0)))*(VLOOKUP($B213,INDIRECT($B$5&amp;"生成成长"),3))*(VLOOKUP($B$5,标准坦克设计!$B$14:$K$20,9)/30))</f>
        <v>7.3247865508379819</v>
      </c>
      <c r="EW213" s="173">
        <f ca="1">(VLOOKUP(EW$72,INDIRECT($C$5&amp;"生成成长"),2))/((VLOOKUP($B213,INDIRECT($B$5&amp;"生成成长"),4))/(VLOOKUP(EW$72,INDIRECT($C$5&amp;"生成成长"),5))*(VLOOKUP($B$5,标准坦克设计!$B$24:$U$30,MATCH("对"&amp;LEFT($C$5,2)&amp;"输出",标准坦克设计!$B$23:$U$23,0)))*(VLOOKUP($B213,INDIRECT($B$5&amp;"生成成长"),3))*(VLOOKUP($B$5,标准坦克设计!$B$14:$K$20,9)/30))</f>
        <v>7.8662729663368687</v>
      </c>
      <c r="EX213" s="173">
        <f ca="1">(VLOOKUP(EX$72,INDIRECT($C$5&amp;"生成成长"),2))/((VLOOKUP($B213,INDIRECT($B$5&amp;"生成成长"),4))/(VLOOKUP(EX$72,INDIRECT($C$5&amp;"生成成长"),5))*(VLOOKUP($B$5,标准坦克设计!$B$24:$U$30,MATCH("对"&amp;LEFT($C$5,2)&amp;"输出",标准坦克设计!$B$23:$U$23,0)))*(VLOOKUP($B213,INDIRECT($B$5&amp;"生成成长"),3))*(VLOOKUP($B$5,标准坦克设计!$B$14:$K$20,9)/30))</f>
        <v>8.4270668391144881</v>
      </c>
      <c r="EY213" s="173">
        <f ca="1">(VLOOKUP(EY$72,INDIRECT($C$5&amp;"生成成长"),2))/((VLOOKUP($B213,INDIRECT($B$5&amp;"生成成长"),4))/(VLOOKUP(EY$72,INDIRECT($C$5&amp;"生成成长"),5))*(VLOOKUP($B$5,标准坦克设计!$B$24:$U$30,MATCH("对"&amp;LEFT($C$5,2)&amp;"输出",标准坦克设计!$B$23:$U$23,0)))*(VLOOKUP($B213,INDIRECT($B$5&amp;"生成成长"),3))*(VLOOKUP($B$5,标准坦克设计!$B$14:$K$20,9)/30))</f>
        <v>9.0071681691708303</v>
      </c>
      <c r="EZ213" s="173">
        <f ca="1">(VLOOKUP(EZ$72,INDIRECT($C$5&amp;"生成成长"),2))/((VLOOKUP($B213,INDIRECT($B$5&amp;"生成成长"),4))/(VLOOKUP(EZ$72,INDIRECT($C$5&amp;"生成成长"),5))*(VLOOKUP($B$5,标准坦克设计!$B$24:$U$30,MATCH("对"&amp;LEFT($C$5,2)&amp;"输出",标准坦克设计!$B$23:$U$23,0)))*(VLOOKUP($B213,INDIRECT($B$5&amp;"生成成长"),3))*(VLOOKUP($B$5,标准坦克设计!$B$14:$K$20,9)/30))</f>
        <v>9.6065769565059043</v>
      </c>
      <c r="FA213" s="173">
        <f ca="1">(VLOOKUP(FA$72,INDIRECT($C$5&amp;"生成成长"),2))/((VLOOKUP($B213,INDIRECT($B$5&amp;"生成成长"),4))/(VLOOKUP(FA$72,INDIRECT($C$5&amp;"生成成长"),5))*(VLOOKUP($B$5,标准坦克设计!$B$24:$U$30,MATCH("对"&amp;LEFT($C$5,2)&amp;"输出",标准坦克设计!$B$23:$U$23,0)))*(VLOOKUP($B213,INDIRECT($B$5&amp;"生成成长"),3))*(VLOOKUP($B$5,标准坦克设计!$B$14:$K$20,9)/30))</f>
        <v>10.225293201119706</v>
      </c>
      <c r="FB213" s="173">
        <f ca="1">(VLOOKUP(FB$72,INDIRECT($C$5&amp;"生成成长"),2))/((VLOOKUP($B213,INDIRECT($B$5&amp;"生成成长"),4))/(VLOOKUP(FB$72,INDIRECT($C$5&amp;"生成成长"),5))*(VLOOKUP($B$5,标准坦克设计!$B$24:$U$30,MATCH("对"&amp;LEFT($C$5,2)&amp;"输出",标准坦克设计!$B$23:$U$23,0)))*(VLOOKUP($B213,INDIRECT($B$5&amp;"生成成长"),3))*(VLOOKUP($B$5,标准坦克设计!$B$14:$K$20,9)/30))</f>
        <v>10.863316903012239</v>
      </c>
      <c r="FC213" s="173">
        <f ca="1">(VLOOKUP(FC$72,INDIRECT($C$5&amp;"生成成长"),2))/((VLOOKUP($B213,INDIRECT($B$5&amp;"生成成长"),4))/(VLOOKUP(FC$72,INDIRECT($C$5&amp;"生成成长"),5))*(VLOOKUP($B$5,标准坦克设计!$B$24:$U$30,MATCH("对"&amp;LEFT($C$5,2)&amp;"输出",标准坦克设计!$B$23:$U$23,0)))*(VLOOKUP($B213,INDIRECT($B$5&amp;"生成成长"),3))*(VLOOKUP($B$5,标准坦克设计!$B$14:$K$20,9)/30))</f>
        <v>11.520648062183495</v>
      </c>
      <c r="FD213" s="173">
        <f ca="1">(VLOOKUP(FD$72,INDIRECT($C$5&amp;"生成成长"),2))/((VLOOKUP($B213,INDIRECT($B$5&amp;"生成成长"),4))/(VLOOKUP(FD$72,INDIRECT($C$5&amp;"生成成长"),5))*(VLOOKUP($B$5,标准坦克设计!$B$24:$U$30,MATCH("对"&amp;LEFT($C$5,2)&amp;"输出",标准坦克设计!$B$23:$U$23,0)))*(VLOOKUP($B213,INDIRECT($B$5&amp;"生成成长"),3))*(VLOOKUP($B$5,标准坦克设计!$B$14:$K$20,9)/30))</f>
        <v>12.197286678633484</v>
      </c>
      <c r="FE213" s="173">
        <f ca="1">(VLOOKUP(FE$72,INDIRECT($C$5&amp;"生成成长"),2))/((VLOOKUP($B213,INDIRECT($B$5&amp;"生成成长"),4))/(VLOOKUP(FE$72,INDIRECT($C$5&amp;"生成成长"),5))*(VLOOKUP($B$5,标准坦克设计!$B$24:$U$30,MATCH("对"&amp;LEFT($C$5,2)&amp;"输出",标准坦克设计!$B$23:$U$23,0)))*(VLOOKUP($B213,INDIRECT($B$5&amp;"生成成长"),3))*(VLOOKUP($B$5,标准坦克设计!$B$14:$K$20,9)/30))</f>
        <v>13.021842757045302</v>
      </c>
      <c r="FF213" s="173">
        <f ca="1">(VLOOKUP(FF$72,INDIRECT($C$5&amp;"生成成长"),2))/((VLOOKUP($B213,INDIRECT($B$5&amp;"生成成长"),4))/(VLOOKUP(FF$72,INDIRECT($C$5&amp;"生成成长"),5))*(VLOOKUP($B$5,标准坦克设计!$B$24:$U$30,MATCH("对"&amp;LEFT($C$5,2)&amp;"输出",标准坦克设计!$B$23:$U$23,0)))*(VLOOKUP($B213,INDIRECT($B$5&amp;"生成成长"),3))*(VLOOKUP($B$5,标准坦克设计!$B$14:$K$20,9)/30))</f>
        <v>13.873365449342284</v>
      </c>
      <c r="FG213" s="173">
        <f ca="1">(VLOOKUP(FG$72,INDIRECT($C$5&amp;"生成成长"),2))/((VLOOKUP($B213,INDIRECT($B$5&amp;"生成成长"),4))/(VLOOKUP(FG$72,INDIRECT($C$5&amp;"生成成长"),5))*(VLOOKUP($B$5,标准坦克设计!$B$24:$U$30,MATCH("对"&amp;LEFT($C$5,2)&amp;"输出",标准坦克设计!$B$23:$U$23,0)))*(VLOOKUP($B213,INDIRECT($B$5&amp;"生成成长"),3))*(VLOOKUP($B$5,标准坦克设计!$B$14:$K$20,9)/30))</f>
        <v>14.751854755524436</v>
      </c>
      <c r="FH213" s="173">
        <f ca="1">(VLOOKUP(FH$72,INDIRECT($C$5&amp;"生成成长"),2))/((VLOOKUP($B213,INDIRECT($B$5&amp;"生成成长"),4))/(VLOOKUP(FH$72,INDIRECT($C$5&amp;"生成成长"),5))*(VLOOKUP($B$5,标准坦克设计!$B$24:$U$30,MATCH("对"&amp;LEFT($C$5,2)&amp;"输出",标准坦克设计!$B$23:$U$23,0)))*(VLOOKUP($B213,INDIRECT($B$5&amp;"生成成长"),3))*(VLOOKUP($B$5,标准坦克设计!$B$14:$K$20,9)/30))</f>
        <v>15.65731067559175</v>
      </c>
      <c r="FI213" s="173">
        <f ca="1">(VLOOKUP(FI$72,INDIRECT($C$5&amp;"生成成长"),2))/((VLOOKUP($B213,INDIRECT($B$5&amp;"生成成长"),4))/(VLOOKUP(FI$72,INDIRECT($C$5&amp;"生成成长"),5))*(VLOOKUP($B$5,标准坦克设计!$B$24:$U$30,MATCH("对"&amp;LEFT($C$5,2)&amp;"输出",标准坦克设计!$B$23:$U$23,0)))*(VLOOKUP($B213,INDIRECT($B$5&amp;"生成成长"),3))*(VLOOKUP($B$5,标准坦克设计!$B$14:$K$20,9)/30))</f>
        <v>16.589733209544232</v>
      </c>
      <c r="FJ213" s="173">
        <f ca="1">(VLOOKUP(FJ$72,INDIRECT($C$5&amp;"生成成长"),2))/((VLOOKUP($B213,INDIRECT($B$5&amp;"生成成长"),4))/(VLOOKUP(FJ$72,INDIRECT($C$5&amp;"生成成长"),5))*(VLOOKUP($B$5,标准坦克设计!$B$24:$U$30,MATCH("对"&amp;LEFT($C$5,2)&amp;"输出",标准坦克设计!$B$23:$U$23,0)))*(VLOOKUP($B213,INDIRECT($B$5&amp;"生成成长"),3))*(VLOOKUP($B$5,标准坦克设计!$B$14:$K$20,9)/30))</f>
        <v>17.549122357381879</v>
      </c>
      <c r="FK213" s="173">
        <f ca="1">(VLOOKUP(FK$72,INDIRECT($C$5&amp;"生成成长"),2))/((VLOOKUP($B213,INDIRECT($B$5&amp;"生成成长"),4))/(VLOOKUP(FK$72,INDIRECT($C$5&amp;"生成成长"),5))*(VLOOKUP($B$5,标准坦克设计!$B$24:$U$30,MATCH("对"&amp;LEFT($C$5,2)&amp;"输出",标准坦克设计!$B$23:$U$23,0)))*(VLOOKUP($B213,INDIRECT($B$5&amp;"生成成长"),3))*(VLOOKUP($B$5,标准坦克设计!$B$14:$K$20,9)/30))</f>
        <v>18.535478119104702</v>
      </c>
    </row>
    <row r="214" spans="1:167" x14ac:dyDescent="0.15">
      <c r="A214" s="171" t="str">
        <f t="shared" si="13"/>
        <v>T4高品质16级</v>
      </c>
      <c r="B214" s="172">
        <v>30416</v>
      </c>
      <c r="C214" s="173">
        <f ca="1">(VLOOKUP(C$72,INDIRECT($C$5&amp;"生成成长"),2))/((VLOOKUP($B214,INDIRECT($B$5&amp;"生成成长"),4))/(VLOOKUP(C$72,INDIRECT($C$5&amp;"生成成长"),5))*(VLOOKUP($B$5,标准坦克设计!$B$24:$U$30,MATCH("对"&amp;LEFT($C$5,2)&amp;"输出",标准坦克设计!$B$23:$U$23,0)))*(VLOOKUP($B214,INDIRECT($B$5&amp;"生成成长"),3))*(VLOOKUP($B$5,标准坦克设计!$B$14:$K$20,9)/30))</f>
        <v>0.74545541630098944</v>
      </c>
      <c r="D214" s="173">
        <f ca="1">(VLOOKUP(D$72,INDIRECT($C$5&amp;"生成成长"),2))/((VLOOKUP($B214,INDIRECT($B$5&amp;"生成成长"),4))/(VLOOKUP(D$72,INDIRECT($C$5&amp;"生成成长"),5))*(VLOOKUP($B$5,标准坦克设计!$B$24:$U$30,MATCH("对"&amp;LEFT($C$5,2)&amp;"输出",标准坦克设计!$B$23:$U$23,0)))*(VLOOKUP($B214,INDIRECT($B$5&amp;"生成成长"),3))*(VLOOKUP($B$5,标准坦克设计!$B$14:$K$20,9)/30))</f>
        <v>0.83759370575579173</v>
      </c>
      <c r="E214" s="173">
        <f ca="1">(VLOOKUP(E$72,INDIRECT($C$5&amp;"生成成长"),2))/((VLOOKUP($B214,INDIRECT($B$5&amp;"生成成长"),4))/(VLOOKUP(E$72,INDIRECT($C$5&amp;"生成成长"),5))*(VLOOKUP($B$5,标准坦克设计!$B$24:$U$30,MATCH("对"&amp;LEFT($C$5,2)&amp;"输出",标准坦克设计!$B$23:$U$23,0)))*(VLOOKUP($B214,INDIRECT($B$5&amp;"生成成长"),3))*(VLOOKUP($B$5,标准坦克设计!$B$14:$K$20,9)/30))</f>
        <v>0.93509927420796135</v>
      </c>
      <c r="F214" s="173">
        <f ca="1">(VLOOKUP(F$72,INDIRECT($C$5&amp;"生成成长"),2))/((VLOOKUP($B214,INDIRECT($B$5&amp;"生成成长"),4))/(VLOOKUP(F$72,INDIRECT($C$5&amp;"生成成长"),5))*(VLOOKUP($B$5,标准坦克设计!$B$24:$U$30,MATCH("对"&amp;LEFT($C$5,2)&amp;"输出",标准坦克设计!$B$23:$U$23,0)))*(VLOOKUP($B214,INDIRECT($B$5&amp;"生成成长"),3))*(VLOOKUP($B$5,标准坦克设计!$B$14:$K$20,9)/30))</f>
        <v>1.0379721216574977</v>
      </c>
      <c r="G214" s="173">
        <f ca="1">(VLOOKUP(G$72,INDIRECT($C$5&amp;"生成成长"),2))/((VLOOKUP($B214,INDIRECT($B$5&amp;"生成成长"),4))/(VLOOKUP(G$72,INDIRECT($C$5&amp;"生成成长"),5))*(VLOOKUP($B$5,标准坦克设计!$B$24:$U$30,MATCH("对"&amp;LEFT($C$5,2)&amp;"输出",标准坦克设计!$B$23:$U$23,0)))*(VLOOKUP($B214,INDIRECT($B$5&amp;"生成成长"),3))*(VLOOKUP($B$5,标准坦克设计!$B$14:$K$20,9)/30))</f>
        <v>1.1462122481044013</v>
      </c>
      <c r="H214" s="173">
        <f ca="1">(VLOOKUP(H$72,INDIRECT($C$5&amp;"生成成长"),2))/((VLOOKUP($B214,INDIRECT($B$5&amp;"生成成长"),4))/(VLOOKUP(H$72,INDIRECT($C$5&amp;"生成成长"),5))*(VLOOKUP($B$5,标准坦克设计!$B$24:$U$30,MATCH("对"&amp;LEFT($C$5,2)&amp;"输出",标准坦克设计!$B$23:$U$23,0)))*(VLOOKUP($B214,INDIRECT($B$5&amp;"生成成长"),3))*(VLOOKUP($B$5,标准坦克设计!$B$14:$K$20,9)/30))</f>
        <v>1.0030848081746113</v>
      </c>
      <c r="I214" s="173">
        <f ca="1">(VLOOKUP(I$72,INDIRECT($C$5&amp;"生成成长"),2))/((VLOOKUP($B214,INDIRECT($B$5&amp;"生成成长"),4))/(VLOOKUP(I$72,INDIRECT($C$5&amp;"生成成长"),5))*(VLOOKUP($B$5,标准坦克设计!$B$24:$U$30,MATCH("对"&amp;LEFT($C$5,2)&amp;"输出",标准坦克设计!$B$23:$U$23,0)))*(VLOOKUP($B214,INDIRECT($B$5&amp;"生成成长"),3))*(VLOOKUP($B$5,标准坦克设计!$B$14:$K$20,9)/30))</f>
        <v>1.1462122481044013</v>
      </c>
      <c r="J214" s="173">
        <f ca="1">(VLOOKUP(J$72,INDIRECT($C$5&amp;"生成成长"),2))/((VLOOKUP($B214,INDIRECT($B$5&amp;"生成成长"),4))/(VLOOKUP(J$72,INDIRECT($C$5&amp;"生成成长"),5))*(VLOOKUP($B$5,标准坦克设计!$B$24:$U$30,MATCH("对"&amp;LEFT($C$5,2)&amp;"输出",标准坦克设计!$B$23:$U$23,0)))*(VLOOKUP($B214,INDIRECT($B$5&amp;"生成成长"),3))*(VLOOKUP($B$5,标准坦克设计!$B$14:$K$20,9)/30))</f>
        <v>1.2988815173628441</v>
      </c>
      <c r="K214" s="173">
        <f ca="1">(VLOOKUP(K$72,INDIRECT($C$5&amp;"生成成长"),2))/((VLOOKUP($B214,INDIRECT($B$5&amp;"生成成长"),4))/(VLOOKUP(K$72,INDIRECT($C$5&amp;"生成成长"),5))*(VLOOKUP($B$5,标准坦克设计!$B$24:$U$30,MATCH("对"&amp;LEFT($C$5,2)&amp;"输出",标准坦克设计!$B$23:$U$23,0)))*(VLOOKUP($B214,INDIRECT($B$5&amp;"生成成长"),3))*(VLOOKUP($B$5,标准坦克设计!$B$14:$K$20,9)/30))</f>
        <v>1.4610926159499396</v>
      </c>
      <c r="L214" s="173">
        <f ca="1">(VLOOKUP(L$72,INDIRECT($C$5&amp;"生成成长"),2))/((VLOOKUP($B214,INDIRECT($B$5&amp;"生成成长"),4))/(VLOOKUP(L$72,INDIRECT($C$5&amp;"生成成长"),5))*(VLOOKUP($B$5,标准坦克设计!$B$24:$U$30,MATCH("对"&amp;LEFT($C$5,2)&amp;"输出",标准坦克设计!$B$23:$U$23,0)))*(VLOOKUP($B214,INDIRECT($B$5&amp;"生成成长"),3))*(VLOOKUP($B$5,标准坦克设计!$B$14:$K$20,9)/30))</f>
        <v>1.6328455438656877</v>
      </c>
      <c r="M214" s="173">
        <f ca="1">(VLOOKUP(M$72,INDIRECT($C$5&amp;"生成成长"),2))/((VLOOKUP($B214,INDIRECT($B$5&amp;"生成成长"),4))/(VLOOKUP(M$72,INDIRECT($C$5&amp;"生成成长"),5))*(VLOOKUP($B$5,标准坦克设计!$B$24:$U$30,MATCH("对"&amp;LEFT($C$5,2)&amp;"输出",标准坦克设计!$B$23:$U$23,0)))*(VLOOKUP($B214,INDIRECT($B$5&amp;"生成成长"),3))*(VLOOKUP($B$5,标准坦克设计!$B$14:$K$20,9)/30))</f>
        <v>1.8141403011100881</v>
      </c>
      <c r="N214" s="173">
        <f ca="1">(VLOOKUP(N$72,INDIRECT($C$5&amp;"生成成长"),2))/((VLOOKUP($B214,INDIRECT($B$5&amp;"生成成长"),4))/(VLOOKUP(N$72,INDIRECT($C$5&amp;"生成成长"),5))*(VLOOKUP($B$5,标准坦克设计!$B$24:$U$30,MATCH("对"&amp;LEFT($C$5,2)&amp;"输出",标准坦克设计!$B$23:$U$23,0)))*(VLOOKUP($B214,INDIRECT($B$5&amp;"生成成长"),3))*(VLOOKUP($B$5,标准坦克设计!$B$14:$K$20,9)/30))</f>
        <v>2.0049768876831418</v>
      </c>
      <c r="O214" s="173">
        <f ca="1">(VLOOKUP(O$72,INDIRECT($C$5&amp;"生成成长"),2))/((VLOOKUP($B214,INDIRECT($B$5&amp;"生成成长"),4))/(VLOOKUP(O$72,INDIRECT($C$5&amp;"生成成长"),5))*(VLOOKUP($B$5,标准坦克设计!$B$24:$U$30,MATCH("对"&amp;LEFT($C$5,2)&amp;"输出",标准坦克设计!$B$23:$U$23,0)))*(VLOOKUP($B214,INDIRECT($B$5&amp;"生成成长"),3))*(VLOOKUP($B$5,标准坦克设计!$B$14:$K$20,9)/30))</f>
        <v>1.5243817807938935</v>
      </c>
      <c r="P214" s="173">
        <f ca="1">(VLOOKUP(P$72,INDIRECT($C$5&amp;"生成成长"),2))/((VLOOKUP($B214,INDIRECT($B$5&amp;"生成成长"),4))/(VLOOKUP(P$72,INDIRECT($C$5&amp;"生成成长"),5))*(VLOOKUP($B$5,标准坦克设计!$B$24:$U$30,MATCH("对"&amp;LEFT($C$5,2)&amp;"输出",标准坦克设计!$B$23:$U$23,0)))*(VLOOKUP($B214,INDIRECT($B$5&amp;"生成成长"),3))*(VLOOKUP($B$5,标准坦克设计!$B$14:$K$20,9)/30))</f>
        <v>1.7223001938218061</v>
      </c>
      <c r="Q214" s="173">
        <f ca="1">(VLOOKUP(Q$72,INDIRECT($C$5&amp;"生成成长"),2))/((VLOOKUP($B214,INDIRECT($B$5&amp;"生成成长"),4))/(VLOOKUP(Q$72,INDIRECT($C$5&amp;"生成成长"),5))*(VLOOKUP($B$5,标准坦克设计!$B$24:$U$30,MATCH("对"&amp;LEFT($C$5,2)&amp;"输出",标准坦克设计!$B$23:$U$23,0)))*(VLOOKUP($B214,INDIRECT($B$5&amp;"生成成长"),3))*(VLOOKUP($B$5,标准坦克设计!$B$14:$K$20,9)/30))</f>
        <v>1.9322949845937947</v>
      </c>
      <c r="R214" s="173">
        <f ca="1">(VLOOKUP(R$72,INDIRECT($C$5&amp;"生成成长"),2))/((VLOOKUP($B214,INDIRECT($B$5&amp;"生成成长"),4))/(VLOOKUP(R$72,INDIRECT($C$5&amp;"生成成长"),5))*(VLOOKUP($B$5,标准坦克设计!$B$24:$U$30,MATCH("对"&amp;LEFT($C$5,2)&amp;"输出",标准坦克设计!$B$23:$U$23,0)))*(VLOOKUP($B214,INDIRECT($B$5&amp;"生成成长"),3))*(VLOOKUP($B$5,标准坦克设计!$B$14:$K$20,9)/30))</f>
        <v>2.1543661531098599</v>
      </c>
      <c r="S214" s="173">
        <f ca="1">(VLOOKUP(S$72,INDIRECT($C$5&amp;"生成成长"),2))/((VLOOKUP($B214,INDIRECT($B$5&amp;"生成成长"),4))/(VLOOKUP(S$72,INDIRECT($C$5&amp;"生成成长"),5))*(VLOOKUP($B$5,标准坦克设计!$B$24:$U$30,MATCH("对"&amp;LEFT($C$5,2)&amp;"输出",标准坦克设计!$B$23:$U$23,0)))*(VLOOKUP($B214,INDIRECT($B$5&amp;"生成成长"),3))*(VLOOKUP($B$5,标准坦克设计!$B$14:$K$20,9)/30))</f>
        <v>2.3885136993700007</v>
      </c>
      <c r="T214" s="173">
        <f ca="1">(VLOOKUP(T$72,INDIRECT($C$5&amp;"生成成长"),2))/((VLOOKUP($B214,INDIRECT($B$5&amp;"生成成长"),4))/(VLOOKUP(T$72,INDIRECT($C$5&amp;"生成成长"),5))*(VLOOKUP($B$5,标准坦克设计!$B$24:$U$30,MATCH("对"&amp;LEFT($C$5,2)&amp;"输出",标准坦克设计!$B$23:$U$23,0)))*(VLOOKUP($B214,INDIRECT($B$5&amp;"生成成长"),3))*(VLOOKUP($B$5,标准坦克设计!$B$14:$K$20,9)/30))</f>
        <v>2.6347376233742175</v>
      </c>
      <c r="U214" s="173">
        <f ca="1">(VLOOKUP(U$72,INDIRECT($C$5&amp;"生成成长"),2))/((VLOOKUP($B214,INDIRECT($B$5&amp;"生成成长"),4))/(VLOOKUP(U$72,INDIRECT($C$5&amp;"生成成长"),5))*(VLOOKUP($B$5,标准坦克设计!$B$24:$U$30,MATCH("对"&amp;LEFT($C$5,2)&amp;"输出",标准坦克设计!$B$23:$U$23,0)))*(VLOOKUP($B214,INDIRECT($B$5&amp;"生成成长"),3))*(VLOOKUP($B$5,标准坦克设计!$B$14:$K$20,9)/30))</f>
        <v>2.8930379251225098</v>
      </c>
      <c r="V214" s="173">
        <f ca="1">(VLOOKUP(V$72,INDIRECT($C$5&amp;"生成成长"),2))/((VLOOKUP($B214,INDIRECT($B$5&amp;"生成成长"),4))/(VLOOKUP(V$72,INDIRECT($C$5&amp;"生成成长"),5))*(VLOOKUP($B$5,标准坦克设计!$B$24:$U$30,MATCH("对"&amp;LEFT($C$5,2)&amp;"输出",标准坦克设计!$B$23:$U$23,0)))*(VLOOKUP($B214,INDIRECT($B$5&amp;"生成成长"),3))*(VLOOKUP($B$5,标准坦克设计!$B$14:$K$20,9)/30))</f>
        <v>3.1634146046148794</v>
      </c>
      <c r="W214" s="173">
        <f ca="1">(VLOOKUP(W$72,INDIRECT($C$5&amp;"生成成长"),2))/((VLOOKUP($B214,INDIRECT($B$5&amp;"生成成长"),4))/(VLOOKUP(W$72,INDIRECT($C$5&amp;"生成成长"),5))*(VLOOKUP($B$5,标准坦克设计!$B$24:$U$30,MATCH("对"&amp;LEFT($C$5,2)&amp;"输出",标准坦克设计!$B$23:$U$23,0)))*(VLOOKUP($B214,INDIRECT($B$5&amp;"生成成长"),3))*(VLOOKUP($B$5,标准坦克设计!$B$14:$K$20,9)/30))</f>
        <v>3.4458676618513233</v>
      </c>
      <c r="X214" s="173">
        <f ca="1">(VLOOKUP(X$72,INDIRECT($C$5&amp;"生成成长"),2))/((VLOOKUP($B214,INDIRECT($B$5&amp;"生成成长"),4))/(VLOOKUP(X$72,INDIRECT($C$5&amp;"生成成长"),5))*(VLOOKUP($B$5,标准坦克设计!$B$24:$U$30,MATCH("对"&amp;LEFT($C$5,2)&amp;"输出",标准坦克设计!$B$23:$U$23,0)))*(VLOOKUP($B214,INDIRECT($B$5&amp;"生成成长"),3))*(VLOOKUP($B$5,标准坦克设计!$B$14:$K$20,9)/30))</f>
        <v>2.4964556436503842</v>
      </c>
      <c r="Y214" s="173">
        <f ca="1">(VLOOKUP(Y$72,INDIRECT($C$5&amp;"生成成长"),2))/((VLOOKUP($B214,INDIRECT($B$5&amp;"生成成长"),4))/(VLOOKUP(Y$72,INDIRECT($C$5&amp;"生成成长"),5))*(VLOOKUP($B$5,标准坦克设计!$B$24:$U$30,MATCH("对"&amp;LEFT($C$5,2)&amp;"输出",标准坦克设计!$B$23:$U$23,0)))*(VLOOKUP($B214,INDIRECT($B$5&amp;"生成成长"),3))*(VLOOKUP($B$5,标准坦克设计!$B$14:$K$20,9)/30))</f>
        <v>2.7767468801795556</v>
      </c>
      <c r="Z214" s="173">
        <f ca="1">(VLOOKUP(Z$72,INDIRECT($C$5&amp;"生成成长"),2))/((VLOOKUP($B214,INDIRECT($B$5&amp;"生成成长"),4))/(VLOOKUP(Z$72,INDIRECT($C$5&amp;"生成成长"),5))*(VLOOKUP($B$5,标准坦克设计!$B$24:$U$30,MATCH("对"&amp;LEFT($C$5,2)&amp;"输出",标准坦克设计!$B$23:$U$23,0)))*(VLOOKUP($B214,INDIRECT($B$5&amp;"生成成长"),3))*(VLOOKUP($B$5,标准坦克设计!$B$14:$K$20,9)/30))</f>
        <v>3.0719472250347479</v>
      </c>
      <c r="AA214" s="173">
        <f ca="1">(VLOOKUP(AA$72,INDIRECT($C$5&amp;"生成成长"),2))/((VLOOKUP($B214,INDIRECT($B$5&amp;"生成成长"),4))/(VLOOKUP(AA$72,INDIRECT($C$5&amp;"生成成长"),5))*(VLOOKUP($B$5,标准坦克设计!$B$24:$U$30,MATCH("对"&amp;LEFT($C$5,2)&amp;"输出",标准坦克设计!$B$23:$U$23,0)))*(VLOOKUP($B214,INDIRECT($B$5&amp;"生成成长"),3))*(VLOOKUP($B$5,标准坦克设计!$B$14:$K$20,9)/30))</f>
        <v>3.3820566782159593</v>
      </c>
      <c r="AB214" s="173">
        <f ca="1">(VLOOKUP(AB$72,INDIRECT($C$5&amp;"生成成长"),2))/((VLOOKUP($B214,INDIRECT($B$5&amp;"生成成长"),4))/(VLOOKUP(AB$72,INDIRECT($C$5&amp;"生成成长"),5))*(VLOOKUP($B$5,标准坦克设计!$B$24:$U$30,MATCH("对"&amp;LEFT($C$5,2)&amp;"输出",标准坦克设计!$B$23:$U$23,0)))*(VLOOKUP($B214,INDIRECT($B$5&amp;"生成成长"),3))*(VLOOKUP($B$5,标准坦克设计!$B$14:$K$20,9)/30))</f>
        <v>3.7070752397231908</v>
      </c>
      <c r="AC214" s="173">
        <f ca="1">(VLOOKUP(AC$72,INDIRECT($C$5&amp;"生成成长"),2))/((VLOOKUP($B214,INDIRECT($B$5&amp;"生成成长"),4))/(VLOOKUP(AC$72,INDIRECT($C$5&amp;"生成成长"),5))*(VLOOKUP($B$5,标准坦克设计!$B$24:$U$30,MATCH("对"&amp;LEFT($C$5,2)&amp;"输出",标准坦克设计!$B$23:$U$23,0)))*(VLOOKUP($B214,INDIRECT($B$5&amp;"生成成长"),3))*(VLOOKUP($B$5,标准坦克设计!$B$14:$K$20,9)/30))</f>
        <v>4.0470029095564417</v>
      </c>
      <c r="AD214" s="173">
        <f ca="1">(VLOOKUP(AD$72,INDIRECT($C$5&amp;"生成成长"),2))/((VLOOKUP($B214,INDIRECT($B$5&amp;"生成成长"),4))/(VLOOKUP(AD$72,INDIRECT($C$5&amp;"生成成长"),5))*(VLOOKUP($B$5,标准坦克设计!$B$24:$U$30,MATCH("对"&amp;LEFT($C$5,2)&amp;"输出",标准坦克设计!$B$23:$U$23,0)))*(VLOOKUP($B214,INDIRECT($B$5&amp;"生成成长"),3))*(VLOOKUP($B$5,标准坦克设计!$B$14:$K$20,9)/30))</f>
        <v>4.4018396877157127</v>
      </c>
      <c r="AE214" s="173">
        <f ca="1">(VLOOKUP(AE$72,INDIRECT($C$5&amp;"生成成长"),2))/((VLOOKUP($B214,INDIRECT($B$5&amp;"生成成长"),4))/(VLOOKUP(AE$72,INDIRECT($C$5&amp;"生成成长"),5))*(VLOOKUP($B$5,标准坦克设计!$B$24:$U$30,MATCH("对"&amp;LEFT($C$5,2)&amp;"输出",标准坦克设计!$B$23:$U$23,0)))*(VLOOKUP($B214,INDIRECT($B$5&amp;"生成成长"),3))*(VLOOKUP($B$5,标准坦克设计!$B$14:$K$20,9)/30))</f>
        <v>4.771585574201004</v>
      </c>
      <c r="AF214" s="173">
        <f ca="1">(VLOOKUP(AF$72,INDIRECT($C$5&amp;"生成成长"),2))/((VLOOKUP($B214,INDIRECT($B$5&amp;"生成成长"),4))/(VLOOKUP(AF$72,INDIRECT($C$5&amp;"生成成长"),5))*(VLOOKUP($B$5,标准坦克设计!$B$24:$U$30,MATCH("对"&amp;LEFT($C$5,2)&amp;"输出",标准坦克设计!$B$23:$U$23,0)))*(VLOOKUP($B214,INDIRECT($B$5&amp;"生成成长"),3))*(VLOOKUP($B$5,标准坦克设计!$B$14:$K$20,9)/30))</f>
        <v>5.156240569012315</v>
      </c>
      <c r="AG214" s="173">
        <f ca="1">(VLOOKUP(AG$72,INDIRECT($C$5&amp;"生成成长"),2))/((VLOOKUP($B214,INDIRECT($B$5&amp;"生成成长"),4))/(VLOOKUP(AG$72,INDIRECT($C$5&amp;"生成成长"),5))*(VLOOKUP($B$5,标准坦克设计!$B$24:$U$30,MATCH("对"&amp;LEFT($C$5,2)&amp;"输出",标准坦克设计!$B$23:$U$23,0)))*(VLOOKUP($B214,INDIRECT($B$5&amp;"生成成长"),3))*(VLOOKUP($B$5,标准坦克设计!$B$14:$K$20,9)/30))</f>
        <v>5.5558046721496446</v>
      </c>
      <c r="AH214" s="173">
        <f ca="1">(VLOOKUP(AH$72,INDIRECT($C$5&amp;"生成成长"),2))/((VLOOKUP($B214,INDIRECT($B$5&amp;"生成成长"),4))/(VLOOKUP(AH$72,INDIRECT($C$5&amp;"生成成长"),5))*(VLOOKUP($B$5,标准坦克设计!$B$24:$U$30,MATCH("对"&amp;LEFT($C$5,2)&amp;"输出",标准坦克设计!$B$23:$U$23,0)))*(VLOOKUP($B214,INDIRECT($B$5&amp;"生成成长"),3))*(VLOOKUP($B$5,标准坦克设计!$B$14:$K$20,9)/30))</f>
        <v>5.9702778836129946</v>
      </c>
      <c r="AI214" s="173">
        <f ca="1">(VLOOKUP(AI$72,INDIRECT($C$5&amp;"生成成长"),2))/((VLOOKUP($B214,INDIRECT($B$5&amp;"生成成长"),4))/(VLOOKUP(AI$72,INDIRECT($C$5&amp;"生成成长"),5))*(VLOOKUP($B$5,标准坦克设计!$B$24:$U$30,MATCH("对"&amp;LEFT($C$5,2)&amp;"输出",标准坦克设计!$B$23:$U$23,0)))*(VLOOKUP($B214,INDIRECT($B$5&amp;"生成成长"),3))*(VLOOKUP($B$5,标准坦克设计!$B$14:$K$20,9)/30))</f>
        <v>4.2225576600953252</v>
      </c>
      <c r="AJ214" s="173">
        <f ca="1">(VLOOKUP(AJ$72,INDIRECT($C$5&amp;"生成成长"),2))/((VLOOKUP($B214,INDIRECT($B$5&amp;"生成成长"),4))/(VLOOKUP(AJ$72,INDIRECT($C$5&amp;"生成成长"),5))*(VLOOKUP($B$5,标准坦克设计!$B$24:$U$30,MATCH("对"&amp;LEFT($C$5,2)&amp;"输出",标准坦克设计!$B$23:$U$23,0)))*(VLOOKUP($B214,INDIRECT($B$5&amp;"生成成长"),3))*(VLOOKUP($B$5,标准坦克设计!$B$14:$K$20,9)/30))</f>
        <v>4.6218981266077641</v>
      </c>
      <c r="AK214" s="173">
        <f ca="1">(VLOOKUP(AK$72,INDIRECT($C$5&amp;"生成成长"),2))/((VLOOKUP($B214,INDIRECT($B$5&amp;"生成成长"),4))/(VLOOKUP(AK$72,INDIRECT($C$5&amp;"生成成长"),5))*(VLOOKUP($B$5,标准坦克设计!$B$24:$U$30,MATCH("对"&amp;LEFT($C$5,2)&amp;"输出",标准坦克设计!$B$23:$U$23,0)))*(VLOOKUP($B214,INDIRECT($B$5&amp;"生成成长"),3))*(VLOOKUP($B$5,标准坦克设计!$B$14:$K$20,9)/30))</f>
        <v>5.0392786141946893</v>
      </c>
      <c r="AL214" s="173">
        <f ca="1">(VLOOKUP(AL$72,INDIRECT($C$5&amp;"生成成长"),2))/((VLOOKUP($B214,INDIRECT($B$5&amp;"生成成长"),4))/(VLOOKUP(AL$72,INDIRECT($C$5&amp;"生成成长"),5))*(VLOOKUP($B$5,标准坦克设计!$B$24:$U$30,MATCH("对"&amp;LEFT($C$5,2)&amp;"输出",标准坦克设计!$B$23:$U$23,0)))*(VLOOKUP($B214,INDIRECT($B$5&amp;"生成成长"),3))*(VLOOKUP($B$5,标准坦克设计!$B$14:$K$20,9)/30))</f>
        <v>5.4746991228560962</v>
      </c>
      <c r="AM214" s="173">
        <f ca="1">(VLOOKUP(AM$72,INDIRECT($C$5&amp;"生成成长"),2))/((VLOOKUP($B214,INDIRECT($B$5&amp;"生成成长"),4))/(VLOOKUP(AM$72,INDIRECT($C$5&amp;"生成成长"),5))*(VLOOKUP($B$5,标准坦克设计!$B$24:$U$30,MATCH("对"&amp;LEFT($C$5,2)&amp;"输出",标准坦克设计!$B$23:$U$23,0)))*(VLOOKUP($B214,INDIRECT($B$5&amp;"生成成长"),3))*(VLOOKUP($B$5,标准坦克设计!$B$14:$K$20,9)/30))</f>
        <v>5.9281596525919884</v>
      </c>
      <c r="AN214" s="173">
        <f ca="1">(VLOOKUP(AN$72,INDIRECT($C$5&amp;"生成成长"),2))/((VLOOKUP($B214,INDIRECT($B$5&amp;"生成成长"),4))/(VLOOKUP(AN$72,INDIRECT($C$5&amp;"生成成长"),5))*(VLOOKUP($B$5,标准坦克设计!$B$24:$U$30,MATCH("对"&amp;LEFT($C$5,2)&amp;"输出",标准坦克设计!$B$23:$U$23,0)))*(VLOOKUP($B214,INDIRECT($B$5&amp;"生成成长"),3))*(VLOOKUP($B$5,标准坦克设计!$B$14:$K$20,9)/30))</f>
        <v>6.3996602034023651</v>
      </c>
      <c r="AO214" s="173">
        <f ca="1">(VLOOKUP(AO$72,INDIRECT($C$5&amp;"生成成长"),2))/((VLOOKUP($B214,INDIRECT($B$5&amp;"生成成长"),4))/(VLOOKUP(AO$72,INDIRECT($C$5&amp;"生成成长"),5))*(VLOOKUP($B$5,标准坦克设计!$B$24:$U$30,MATCH("对"&amp;LEFT($C$5,2)&amp;"输出",标准坦克设计!$B$23:$U$23,0)))*(VLOOKUP($B214,INDIRECT($B$5&amp;"生成成长"),3))*(VLOOKUP($B$5,标准坦克设计!$B$14:$K$20,9)/30))</f>
        <v>6.8892007752872244</v>
      </c>
      <c r="AP214" s="173">
        <f ca="1">(VLOOKUP(AP$72,INDIRECT($C$5&amp;"生成成长"),2))/((VLOOKUP($B214,INDIRECT($B$5&amp;"生成成长"),4))/(VLOOKUP(AP$72,INDIRECT($C$5&amp;"生成成长"),5))*(VLOOKUP($B$5,标准坦克设计!$B$24:$U$30,MATCH("对"&amp;LEFT($C$5,2)&amp;"输出",标准坦克设计!$B$23:$U$23,0)))*(VLOOKUP($B214,INDIRECT($B$5&amp;"生成成长"),3))*(VLOOKUP($B$5,标准坦克设计!$B$14:$K$20,9)/30))</f>
        <v>7.3967813682465682</v>
      </c>
      <c r="AQ214" s="173">
        <f ca="1">(VLOOKUP(AQ$72,INDIRECT($C$5&amp;"生成成长"),2))/((VLOOKUP($B214,INDIRECT($B$5&amp;"生成成长"),4))/(VLOOKUP(AQ$72,INDIRECT($C$5&amp;"生成成长"),5))*(VLOOKUP($B$5,标准坦克设计!$B$24:$U$30,MATCH("对"&amp;LEFT($C$5,2)&amp;"输出",标准坦克设计!$B$23:$U$23,0)))*(VLOOKUP($B214,INDIRECT($B$5&amp;"生成成长"),3))*(VLOOKUP($B$5,标准坦克设计!$B$14:$K$20,9)/30))</f>
        <v>7.9224019822803955</v>
      </c>
      <c r="AR214" s="173">
        <f ca="1">(VLOOKUP(AR$72,INDIRECT($C$5&amp;"生成成长"),2))/((VLOOKUP($B214,INDIRECT($B$5&amp;"生成成长"),4))/(VLOOKUP(AR$72,INDIRECT($C$5&amp;"生成成长"),5))*(VLOOKUP($B$5,标准坦克设计!$B$24:$U$30,MATCH("对"&amp;LEFT($C$5,2)&amp;"输出",标准坦克设计!$B$23:$U$23,0)))*(VLOOKUP($B214,INDIRECT($B$5&amp;"生成成长"),3))*(VLOOKUP($B$5,标准坦克设计!$B$14:$K$20,9)/30))</f>
        <v>8.4660626173887081</v>
      </c>
      <c r="AS214" s="173">
        <f ca="1">(VLOOKUP(AS$72,INDIRECT($C$5&amp;"生成成长"),2))/((VLOOKUP($B214,INDIRECT($B$5&amp;"生成成长"),4))/(VLOOKUP(AS$72,INDIRECT($C$5&amp;"生成成长"),5))*(VLOOKUP($B$5,标准坦克设计!$B$24:$U$30,MATCH("对"&amp;LEFT($C$5,2)&amp;"输出",标准坦克设计!$B$23:$U$23,0)))*(VLOOKUP($B214,INDIRECT($B$5&amp;"生成成长"),3))*(VLOOKUP($B$5,标准坦克设计!$B$14:$K$20,9)/30))</f>
        <v>9.0277632735715017</v>
      </c>
      <c r="AT214" s="173">
        <f ca="1">(VLOOKUP(AT$72,INDIRECT($C$5&amp;"生成成长"),2))/((VLOOKUP($B214,INDIRECT($B$5&amp;"生成成长"),4))/(VLOOKUP(AT$72,INDIRECT($C$5&amp;"生成成长"),5))*(VLOOKUP($B$5,标准坦克设计!$B$24:$U$30,MATCH("对"&amp;LEFT($C$5,2)&amp;"输出",标准坦克设计!$B$23:$U$23,0)))*(VLOOKUP($B214,INDIRECT($B$5&amp;"生成成长"),3))*(VLOOKUP($B$5,标准坦克设计!$B$14:$K$20,9)/30))</f>
        <v>9.6075039508287823</v>
      </c>
      <c r="AU214" s="173">
        <f ca="1">(VLOOKUP(AU$72,INDIRECT($C$5&amp;"生成成长"),2))/((VLOOKUP($B214,INDIRECT($B$5&amp;"生成成长"),4))/(VLOOKUP(AU$72,INDIRECT($C$5&amp;"生成成长"),5))*(VLOOKUP($B$5,标准坦克设计!$B$24:$U$30,MATCH("对"&amp;LEFT($C$5,2)&amp;"输出",标准坦克设计!$B$23:$U$23,0)))*(VLOOKUP($B214,INDIRECT($B$5&amp;"生成成长"),3))*(VLOOKUP($B$5,标准坦克设计!$B$14:$K$20,9)/30))</f>
        <v>10.205284649160545</v>
      </c>
      <c r="AV214" s="173">
        <f ca="1">(VLOOKUP(AV$72,INDIRECT($C$5&amp;"生成成长"),2))/((VLOOKUP($B214,INDIRECT($B$5&amp;"生成成长"),4))/(VLOOKUP(AV$72,INDIRECT($C$5&amp;"生成成长"),5))*(VLOOKUP($B$5,标准坦克设计!$B$24:$U$30,MATCH("对"&amp;LEFT($C$5,2)&amp;"输出",标准坦克设计!$B$23:$U$23,0)))*(VLOOKUP($B214,INDIRECT($B$5&amp;"生成成长"),3))*(VLOOKUP($B$5,标准坦克设计!$B$14:$K$20,9)/30))</f>
        <v>1.0379721216574977</v>
      </c>
      <c r="AW214" s="173">
        <f ca="1">(VLOOKUP(AW$72,INDIRECT($C$5&amp;"生成成长"),2))/((VLOOKUP($B214,INDIRECT($B$5&amp;"生成成长"),4))/(VLOOKUP(AW$72,INDIRECT($C$5&amp;"生成成长"),5))*(VLOOKUP($B$5,标准坦克设计!$B$24:$U$30,MATCH("对"&amp;LEFT($C$5,2)&amp;"输出",标准坦克设计!$B$23:$U$23,0)))*(VLOOKUP($B214,INDIRECT($B$5&amp;"生成成长"),3))*(VLOOKUP($B$5,标准坦克设计!$B$14:$K$20,9)/30))</f>
        <v>1.183485018919451</v>
      </c>
      <c r="AX214" s="173">
        <f ca="1">(VLOOKUP(AX$72,INDIRECT($C$5&amp;"生成成长"),2))/((VLOOKUP($B214,INDIRECT($B$5&amp;"生成成长"),4))/(VLOOKUP(AX$72,INDIRECT($C$5&amp;"生成成长"),5))*(VLOOKUP($B$5,标准坦克设计!$B$24:$U$30,MATCH("对"&amp;LEFT($C$5,2)&amp;"输出",标准坦克设计!$B$23:$U$23,0)))*(VLOOKUP($B214,INDIRECT($B$5&amp;"生成成长"),3))*(VLOOKUP($B$5,标准坦克设计!$B$14:$K$20,9)/30))</f>
        <v>1.3385397455100565</v>
      </c>
      <c r="AY214" s="173">
        <f ca="1">(VLOOKUP(AY$72,INDIRECT($C$5&amp;"生成成长"),2))/((VLOOKUP($B214,INDIRECT($B$5&amp;"生成成长"),4))/(VLOOKUP(AY$72,INDIRECT($C$5&amp;"生成成长"),5))*(VLOOKUP($B$5,标准坦克设计!$B$24:$U$30,MATCH("对"&amp;LEFT($C$5,2)&amp;"输出",标准坦克设计!$B$23:$U$23,0)))*(VLOOKUP($B214,INDIRECT($B$5&amp;"生成成长"),3))*(VLOOKUP($B$5,标准坦克设计!$B$14:$K$20,9)/30))</f>
        <v>1.5031363014293151</v>
      </c>
      <c r="AZ214" s="173">
        <f ca="1">(VLOOKUP(AZ$72,INDIRECT($C$5&amp;"生成成长"),2))/((VLOOKUP($B214,INDIRECT($B$5&amp;"生成成长"),4))/(VLOOKUP(AZ$72,INDIRECT($C$5&amp;"生成成长"),5))*(VLOOKUP($B$5,标准坦克设计!$B$24:$U$30,MATCH("对"&amp;LEFT($C$5,2)&amp;"输出",标准坦克设计!$B$23:$U$23,0)))*(VLOOKUP($B214,INDIRECT($B$5&amp;"生成成长"),3))*(VLOOKUP($B$5,标准坦克设计!$B$14:$K$20,9)/30))</f>
        <v>1.6772746866772263</v>
      </c>
      <c r="BA214" s="173">
        <f ca="1">(VLOOKUP(BA$72,INDIRECT($C$5&amp;"生成成长"),2))/((VLOOKUP($B214,INDIRECT($B$5&amp;"生成成长"),4))/(VLOOKUP(BA$72,INDIRECT($C$5&amp;"生成成长"),5))*(VLOOKUP($B$5,标准坦克设计!$B$24:$U$30,MATCH("对"&amp;LEFT($C$5,2)&amp;"输出",标准坦克设计!$B$23:$U$23,0)))*(VLOOKUP($B214,INDIRECT($B$5&amp;"生成成长"),3))*(VLOOKUP($B$5,标准坦克设计!$B$14:$K$20,9)/30))</f>
        <v>1.86095490125379</v>
      </c>
      <c r="BB214" s="173">
        <f ca="1">(VLOOKUP(BB$72,INDIRECT($C$5&amp;"生成成长"),2))/((VLOOKUP($B214,INDIRECT($B$5&amp;"生成成长"),4))/(VLOOKUP(BB$72,INDIRECT($C$5&amp;"生成成长"),5))*(VLOOKUP($B$5,标准坦克设计!$B$24:$U$30,MATCH("对"&amp;LEFT($C$5,2)&amp;"输出",标准坦克设计!$B$23:$U$23,0)))*(VLOOKUP($B214,INDIRECT($B$5&amp;"生成成长"),3))*(VLOOKUP($B$5,标准坦克设计!$B$14:$K$20,9)/30))</f>
        <v>2.0541769451590066</v>
      </c>
      <c r="BC214" s="173">
        <f ca="1">(VLOOKUP(BC$72,INDIRECT($C$5&amp;"生成成长"),2))/((VLOOKUP($B214,INDIRECT($B$5&amp;"生成成长"),4))/(VLOOKUP(BC$72,INDIRECT($C$5&amp;"生成成长"),5))*(VLOOKUP($B$5,标准坦克设计!$B$24:$U$30,MATCH("对"&amp;LEFT($C$5,2)&amp;"输出",标准坦克设计!$B$23:$U$23,0)))*(VLOOKUP($B214,INDIRECT($B$5&amp;"生成成长"),3))*(VLOOKUP($B$5,标准坦克设计!$B$14:$K$20,9)/30))</f>
        <v>2.2569408183928754</v>
      </c>
      <c r="BD214" s="173">
        <f ca="1">(VLOOKUP(BD$72,INDIRECT($C$5&amp;"生成成长"),2))/((VLOOKUP($B214,INDIRECT($B$5&amp;"生成成长"),4))/(VLOOKUP(BD$72,INDIRECT($C$5&amp;"生成成长"),5))*(VLOOKUP($B$5,标准坦克设计!$B$24:$U$30,MATCH("对"&amp;LEFT($C$5,2)&amp;"输出",标准坦克设计!$B$23:$U$23,0)))*(VLOOKUP($B214,INDIRECT($B$5&amp;"生成成长"),3))*(VLOOKUP($B$5,标准坦克设计!$B$14:$K$20,9)/30))</f>
        <v>2.4964556436503842</v>
      </c>
      <c r="BE214" s="173">
        <f ca="1">(VLOOKUP(BE$72,INDIRECT($C$5&amp;"生成成长"),2))/((VLOOKUP($B214,INDIRECT($B$5&amp;"生成成长"),4))/(VLOOKUP(BE$72,INDIRECT($C$5&amp;"生成成长"),5))*(VLOOKUP($B$5,标准坦克设计!$B$24:$U$30,MATCH("对"&amp;LEFT($C$5,2)&amp;"输出",标准坦克设计!$B$23:$U$23,0)))*(VLOOKUP($B214,INDIRECT($B$5&amp;"生成成长"),3))*(VLOOKUP($B$5,标准坦克设计!$B$14:$K$20,9)/30))</f>
        <v>2.7480468466519676</v>
      </c>
      <c r="BF214" s="173">
        <f ca="1">(VLOOKUP(BF$72,INDIRECT($C$5&amp;"生成成长"),2))/((VLOOKUP($B214,INDIRECT($B$5&amp;"生成成长"),4))/(VLOOKUP(BF$72,INDIRECT($C$5&amp;"生成成长"),5))*(VLOOKUP($B$5,标准坦克设计!$B$24:$U$30,MATCH("对"&amp;LEFT($C$5,2)&amp;"输出",标准坦克设计!$B$23:$U$23,0)))*(VLOOKUP($B214,INDIRECT($B$5&amp;"生成成长"),3))*(VLOOKUP($B$5,标准坦克设计!$B$14:$K$20,9)/30))</f>
        <v>3.011714427397628</v>
      </c>
      <c r="BG214" s="173">
        <f ca="1">(VLOOKUP(BG$72,INDIRECT($C$5&amp;"生成成长"),2))/((VLOOKUP($B214,INDIRECT($B$5&amp;"生成成长"),4))/(VLOOKUP(BG$72,INDIRECT($C$5&amp;"生成成长"),5))*(VLOOKUP($B$5,标准坦克设计!$B$24:$U$30,MATCH("对"&amp;LEFT($C$5,2)&amp;"输出",标准坦克设计!$B$23:$U$23,0)))*(VLOOKUP($B214,INDIRECT($B$5&amp;"生成成长"),3))*(VLOOKUP($B$5,标准坦克设计!$B$14:$K$20,9)/30))</f>
        <v>3.2874583858873634</v>
      </c>
      <c r="BH214" s="173">
        <f ca="1">(VLOOKUP(BH$72,INDIRECT($C$5&amp;"生成成长"),2))/((VLOOKUP($B214,INDIRECT($B$5&amp;"生成成长"),4))/(VLOOKUP(BH$72,INDIRECT($C$5&amp;"生成成长"),5))*(VLOOKUP($B$5,标准坦克设计!$B$24:$U$30,MATCH("对"&amp;LEFT($C$5,2)&amp;"输出",标准坦克设计!$B$23:$U$23,0)))*(VLOOKUP($B214,INDIRECT($B$5&amp;"生成成长"),3))*(VLOOKUP($B$5,标准坦克设计!$B$14:$K$20,9)/30))</f>
        <v>1.5890127653871891</v>
      </c>
      <c r="BI214" s="173">
        <f ca="1">(VLOOKUP(BI$72,INDIRECT($C$5&amp;"生成成长"),2))/((VLOOKUP($B214,INDIRECT($B$5&amp;"生成成长"),4))/(VLOOKUP(BI$72,INDIRECT($C$5&amp;"生成成长"),5))*(VLOOKUP($B$5,标准坦克设计!$B$24:$U$30,MATCH("对"&amp;LEFT($C$5,2)&amp;"输出",标准坦克设计!$B$23:$U$23,0)))*(VLOOKUP($B214,INDIRECT($B$5&amp;"生成成长"),3))*(VLOOKUP($B$5,标准坦克设计!$B$14:$K$20,9)/30))</f>
        <v>1.7909566376631276</v>
      </c>
      <c r="BJ214" s="173">
        <f ca="1">(VLOOKUP(BJ$72,INDIRECT($C$5&amp;"生成成长"),2))/((VLOOKUP($B214,INDIRECT($B$5&amp;"生成成长"),4))/(VLOOKUP(BJ$72,INDIRECT($C$5&amp;"生成成长"),5))*(VLOOKUP($B$5,标准坦克设计!$B$24:$U$30,MATCH("对"&amp;LEFT($C$5,2)&amp;"输出",标准坦克设计!$B$23:$U$23,0)))*(VLOOKUP($B214,INDIRECT($B$5&amp;"生成成长"),3))*(VLOOKUP($B$5,标准坦克设计!$B$14:$K$20,9)/30))</f>
        <v>2.0049768876831418</v>
      </c>
      <c r="BK214" s="173">
        <f ca="1">(VLOOKUP(BK$72,INDIRECT($C$5&amp;"生成成长"),2))/((VLOOKUP($B214,INDIRECT($B$5&amp;"生成成长"),4))/(VLOOKUP(BK$72,INDIRECT($C$5&amp;"生成成长"),5))*(VLOOKUP($B$5,标准坦克设计!$B$24:$U$30,MATCH("对"&amp;LEFT($C$5,2)&amp;"输出",标准坦克设计!$B$23:$U$23,0)))*(VLOOKUP($B214,INDIRECT($B$5&amp;"生成成长"),3))*(VLOOKUP($B$5,标准坦克设计!$B$14:$K$20,9)/30))</f>
        <v>2.2310735154472319</v>
      </c>
      <c r="BL214" s="173">
        <f ca="1">(VLOOKUP(BL$72,INDIRECT($C$5&amp;"生成成长"),2))/((VLOOKUP($B214,INDIRECT($B$5&amp;"生成成长"),4))/(VLOOKUP(BL$72,INDIRECT($C$5&amp;"生成成长"),5))*(VLOOKUP($B$5,标准坦克设计!$B$24:$U$30,MATCH("对"&amp;LEFT($C$5,2)&amp;"输出",标准坦克设计!$B$23:$U$23,0)))*(VLOOKUP($B214,INDIRECT($B$5&amp;"生成成长"),3))*(VLOOKUP($B$5,标准坦克设计!$B$14:$K$20,9)/30))</f>
        <v>2.4692465209553971</v>
      </c>
      <c r="BM214" s="173">
        <f ca="1">(VLOOKUP(BM$72,INDIRECT($C$5&amp;"生成成长"),2))/((VLOOKUP($B214,INDIRECT($B$5&amp;"生成成长"),4))/(VLOOKUP(BM$72,INDIRECT($C$5&amp;"生成成长"),5))*(VLOOKUP($B$5,标准坦克设计!$B$24:$U$30,MATCH("对"&amp;LEFT($C$5,2)&amp;"输出",标准坦克设计!$B$23:$U$23,0)))*(VLOOKUP($B214,INDIRECT($B$5&amp;"生成成长"),3))*(VLOOKUP($B$5,标准坦克设计!$B$14:$K$20,9)/30))</f>
        <v>2.7194959042076392</v>
      </c>
      <c r="BN214" s="173">
        <f ca="1">(VLOOKUP(BN$72,INDIRECT($C$5&amp;"生成成长"),2))/((VLOOKUP($B214,INDIRECT($B$5&amp;"生成成长"),4))/(VLOOKUP(BN$72,INDIRECT($C$5&amp;"生成成长"),5))*(VLOOKUP($B$5,标准坦克设计!$B$24:$U$30,MATCH("对"&amp;LEFT($C$5,2)&amp;"输出",标准坦克设计!$B$23:$U$23,0)))*(VLOOKUP($B214,INDIRECT($B$5&amp;"生成成长"),3))*(VLOOKUP($B$5,标准坦克设计!$B$14:$K$20,9)/30))</f>
        <v>2.9818216652039577</v>
      </c>
      <c r="BO214" s="173">
        <f ca="1">(VLOOKUP(BO$72,INDIRECT($C$5&amp;"生成成长"),2))/((VLOOKUP($B214,INDIRECT($B$5&amp;"生成成长"),4))/(VLOOKUP(BO$72,INDIRECT($C$5&amp;"生成成长"),5))*(VLOOKUP($B$5,标准坦克设计!$B$24:$U$30,MATCH("对"&amp;LEFT($C$5,2)&amp;"输出",标准坦克设计!$B$23:$U$23,0)))*(VLOOKUP($B214,INDIRECT($B$5&amp;"生成成长"),3))*(VLOOKUP($B$5,标准坦克设计!$B$14:$K$20,9)/30))</f>
        <v>3.2562238039443523</v>
      </c>
      <c r="BP214" s="173">
        <f ca="1">(VLOOKUP(BP$72,INDIRECT($C$5&amp;"生成成长"),2))/((VLOOKUP($B214,INDIRECT($B$5&amp;"生成成长"),4))/(VLOOKUP(BP$72,INDIRECT($C$5&amp;"生成成长"),5))*(VLOOKUP($B$5,标准坦克设计!$B$24:$U$30,MATCH("对"&amp;LEFT($C$5,2)&amp;"输出",标准坦克设计!$B$23:$U$23,0)))*(VLOOKUP($B214,INDIRECT($B$5&amp;"生成成长"),3))*(VLOOKUP($B$5,标准坦克设计!$B$14:$K$20,9)/30))</f>
        <v>3.5427023204288224</v>
      </c>
      <c r="BQ214" s="173">
        <f ca="1">(VLOOKUP(BQ$72,INDIRECT($C$5&amp;"生成成长"),2))/((VLOOKUP($B214,INDIRECT($B$5&amp;"生成成长"),4))/(VLOOKUP(BQ$72,INDIRECT($C$5&amp;"生成成长"),5))*(VLOOKUP($B$5,标准坦克设计!$B$24:$U$30,MATCH("对"&amp;LEFT($C$5,2)&amp;"输出",标准坦克设计!$B$23:$U$23,0)))*(VLOOKUP($B214,INDIRECT($B$5&amp;"生成成长"),3))*(VLOOKUP($B$5,标准坦克设计!$B$14:$K$20,9)/30))</f>
        <v>3.8412572146573685</v>
      </c>
      <c r="BR214" s="173">
        <f ca="1">(VLOOKUP(BR$72,INDIRECT($C$5&amp;"生成成长"),2))/((VLOOKUP($B214,INDIRECT($B$5&amp;"生成成长"),4))/(VLOOKUP(BR$72,INDIRECT($C$5&amp;"生成成长"),5))*(VLOOKUP($B$5,标准坦克设计!$B$24:$U$30,MATCH("对"&amp;LEFT($C$5,2)&amp;"输出",标准坦克设计!$B$23:$U$23,0)))*(VLOOKUP($B214,INDIRECT($B$5&amp;"生成成长"),3))*(VLOOKUP($B$5,标准坦克设计!$B$14:$K$20,9)/30))</f>
        <v>4.1871485278210274</v>
      </c>
      <c r="BS214" s="173">
        <f ca="1">(VLOOKUP(BS$72,INDIRECT($C$5&amp;"生成成长"),2))/((VLOOKUP($B214,INDIRECT($B$5&amp;"生成成长"),4))/(VLOOKUP(BS$72,INDIRECT($C$5&amp;"生成成长"),5))*(VLOOKUP($B$5,标准坦克设计!$B$24:$U$30,MATCH("对"&amp;LEFT($C$5,2)&amp;"输出",标准坦克设计!$B$23:$U$23,0)))*(VLOOKUP($B214,INDIRECT($B$5&amp;"生成成长"),3))*(VLOOKUP($B$5,标准坦克设计!$B$14:$K$20,9)/30))</f>
        <v>4.5479489493107073</v>
      </c>
      <c r="BT214" s="173">
        <f ca="1">(VLOOKUP(BT$72,INDIRECT($C$5&amp;"生成成长"),2))/((VLOOKUP($B214,INDIRECT($B$5&amp;"生成成长"),4))/(VLOOKUP(BT$72,INDIRECT($C$5&amp;"生成成长"),5))*(VLOOKUP($B$5,标准坦克设计!$B$24:$U$30,MATCH("对"&amp;LEFT($C$5,2)&amp;"输出",标准坦克设计!$B$23:$U$23,0)))*(VLOOKUP($B214,INDIRECT($B$5&amp;"生成成长"),3))*(VLOOKUP($B$5,标准坦克设计!$B$14:$K$20,9)/30))</f>
        <v>4.9236584791264049</v>
      </c>
      <c r="BU214" s="173">
        <f ca="1">(VLOOKUP(BU$72,INDIRECT($C$5&amp;"生成成长"),2))/((VLOOKUP($B214,INDIRECT($B$5&amp;"生成成长"),4))/(VLOOKUP(BU$72,INDIRECT($C$5&amp;"生成成长"),5))*(VLOOKUP($B$5,标准坦克设计!$B$24:$U$30,MATCH("对"&amp;LEFT($C$5,2)&amp;"输出",标准坦克设计!$B$23:$U$23,0)))*(VLOOKUP($B214,INDIRECT($B$5&amp;"生成成长"),3))*(VLOOKUP($B$5,标准坦克设计!$B$14:$K$20,9)/30))</f>
        <v>5.3142771172681238</v>
      </c>
      <c r="BV214" s="173">
        <f ca="1">(VLOOKUP(BV$72,INDIRECT($C$5&amp;"生成成长"),2))/((VLOOKUP($B214,INDIRECT($B$5&amp;"生成成长"),4))/(VLOOKUP(BV$72,INDIRECT($C$5&amp;"生成成长"),5))*(VLOOKUP($B$5,标准坦克设计!$B$24:$U$30,MATCH("对"&amp;LEFT($C$5,2)&amp;"输出",标准坦克设计!$B$23:$U$23,0)))*(VLOOKUP($B214,INDIRECT($B$5&amp;"生成成长"),3))*(VLOOKUP($B$5,标准坦克设计!$B$14:$K$20,9)/30))</f>
        <v>5.7198048637358623</v>
      </c>
      <c r="BW214" s="173">
        <f ca="1">(VLOOKUP(BW$72,INDIRECT($C$5&amp;"生成成长"),2))/((VLOOKUP($B214,INDIRECT($B$5&amp;"生成成长"),4))/(VLOOKUP(BW$72,INDIRECT($C$5&amp;"生成成长"),5))*(VLOOKUP($B$5,标准坦克设计!$B$24:$U$30,MATCH("对"&amp;LEFT($C$5,2)&amp;"输出",标准坦克设计!$B$23:$U$23,0)))*(VLOOKUP($B214,INDIRECT($B$5&amp;"生成成长"),3))*(VLOOKUP($B$5,标准坦克设计!$B$14:$K$20,9)/30))</f>
        <v>2.6067830452629299</v>
      </c>
      <c r="BX214" s="173">
        <f ca="1">(VLOOKUP(BX$72,INDIRECT($C$5&amp;"生成成长"),2))/((VLOOKUP($B214,INDIRECT($B$5&amp;"生成成长"),4))/(VLOOKUP(BX$72,INDIRECT($C$5&amp;"生成成长"),5))*(VLOOKUP($B$5,标准坦克设计!$B$24:$U$30,MATCH("对"&amp;LEFT($C$5,2)&amp;"输出",标准坦克设计!$B$23:$U$23,0)))*(VLOOKUP($B214,INDIRECT($B$5&amp;"生成成长"),3))*(VLOOKUP($B$5,标准坦克设计!$B$14:$K$20,9)/30))</f>
        <v>2.8930379251225098</v>
      </c>
      <c r="BY214" s="173">
        <f ca="1">(VLOOKUP(BY$72,INDIRECT($C$5&amp;"生成成长"),2))/((VLOOKUP($B214,INDIRECT($B$5&amp;"生成成长"),4))/(VLOOKUP(BY$72,INDIRECT($C$5&amp;"生成成长"),5))*(VLOOKUP($B$5,标准坦克设计!$B$24:$U$30,MATCH("对"&amp;LEFT($C$5,2)&amp;"输出",标准坦克设计!$B$23:$U$23,0)))*(VLOOKUP($B214,INDIRECT($B$5&amp;"生成成长"),3))*(VLOOKUP($B$5,标准坦克设计!$B$14:$K$20,9)/30))</f>
        <v>3.1942019133081101</v>
      </c>
      <c r="BZ214" s="173">
        <f ca="1">(VLOOKUP(BZ$72,INDIRECT($C$5&amp;"生成成长"),2))/((VLOOKUP($B214,INDIRECT($B$5&amp;"生成成长"),4))/(VLOOKUP(BZ$72,INDIRECT($C$5&amp;"生成成长"),5))*(VLOOKUP($B$5,标准坦克设计!$B$24:$U$30,MATCH("对"&amp;LEFT($C$5,2)&amp;"输出",标准坦克设计!$B$23:$U$23,0)))*(VLOOKUP($B214,INDIRECT($B$5&amp;"生成成长"),3))*(VLOOKUP($B$5,标准坦克设计!$B$14:$K$20,9)/30))</f>
        <v>3.5102750098197291</v>
      </c>
      <c r="CA214" s="173">
        <f ca="1">(VLOOKUP(CA$72,INDIRECT($C$5&amp;"生成成长"),2))/((VLOOKUP($B214,INDIRECT($B$5&amp;"生成成长"),4))/(VLOOKUP(CA$72,INDIRECT($C$5&amp;"生成成长"),5))*(VLOOKUP($B$5,标准坦克设计!$B$24:$U$30,MATCH("对"&amp;LEFT($C$5,2)&amp;"输出",标准坦克设计!$B$23:$U$23,0)))*(VLOOKUP($B214,INDIRECT($B$5&amp;"生成成长"),3))*(VLOOKUP($B$5,标准坦克设计!$B$14:$K$20,9)/30))</f>
        <v>3.8412572146573685</v>
      </c>
      <c r="CB214" s="173">
        <f ca="1">(VLOOKUP(CB$72,INDIRECT($C$5&amp;"生成成长"),2))/((VLOOKUP($B214,INDIRECT($B$5&amp;"生成成长"),4))/(VLOOKUP(CB$72,INDIRECT($C$5&amp;"生成成长"),5))*(VLOOKUP($B$5,标准坦克设计!$B$24:$U$30,MATCH("对"&amp;LEFT($C$5,2)&amp;"输出",标准坦克设计!$B$23:$U$23,0)))*(VLOOKUP($B214,INDIRECT($B$5&amp;"生成成长"),3))*(VLOOKUP($B$5,标准坦克设计!$B$14:$K$20,9)/30))</f>
        <v>4.1871485278210274</v>
      </c>
      <c r="CC214" s="173">
        <f ca="1">(VLOOKUP(CC$72,INDIRECT($C$5&amp;"生成成长"),2))/((VLOOKUP($B214,INDIRECT($B$5&amp;"生成成长"),4))/(VLOOKUP(CC$72,INDIRECT($C$5&amp;"生成成长"),5))*(VLOOKUP($B$5,标准坦克设计!$B$24:$U$30,MATCH("对"&amp;LEFT($C$5,2)&amp;"输出",标准坦克设计!$B$23:$U$23,0)))*(VLOOKUP($B214,INDIRECT($B$5&amp;"生成成长"),3))*(VLOOKUP($B$5,标准坦克设计!$B$14:$K$20,9)/30))</f>
        <v>4.5479489493107073</v>
      </c>
      <c r="CD214" s="173">
        <f ca="1">(VLOOKUP(CD$72,INDIRECT($C$5&amp;"生成成长"),2))/((VLOOKUP($B214,INDIRECT($B$5&amp;"生成成长"),4))/(VLOOKUP(CD$72,INDIRECT($C$5&amp;"生成成长"),5))*(VLOOKUP($B$5,标准坦克设计!$B$24:$U$30,MATCH("对"&amp;LEFT($C$5,2)&amp;"输出",标准坦克设计!$B$23:$U$23,0)))*(VLOOKUP($B214,INDIRECT($B$5&amp;"生成成长"),3))*(VLOOKUP($B$5,标准坦克设计!$B$14:$K$20,9)/30))</f>
        <v>4.9236584791264049</v>
      </c>
      <c r="CE214" s="173">
        <f ca="1">(VLOOKUP(CE$72,INDIRECT($C$5&amp;"生成成长"),2))/((VLOOKUP($B214,INDIRECT($B$5&amp;"生成成长"),4))/(VLOOKUP(CE$72,INDIRECT($C$5&amp;"生成成长"),5))*(VLOOKUP($B$5,标准坦克设计!$B$24:$U$30,MATCH("对"&amp;LEFT($C$5,2)&amp;"输出",标准坦克设计!$B$23:$U$23,0)))*(VLOOKUP($B214,INDIRECT($B$5&amp;"生成成长"),3))*(VLOOKUP($B$5,标准坦克设计!$B$14:$K$20,9)/30))</f>
        <v>5.3142771172681238</v>
      </c>
      <c r="CF214" s="173">
        <f ca="1">(VLOOKUP(CF$72,INDIRECT($C$5&amp;"生成成长"),2))/((VLOOKUP($B214,INDIRECT($B$5&amp;"生成成长"),4))/(VLOOKUP(CF$72,INDIRECT($C$5&amp;"生成成长"),5))*(VLOOKUP($B$5,标准坦克设计!$B$24:$U$30,MATCH("对"&amp;LEFT($C$5,2)&amp;"输出",标准坦克设计!$B$23:$U$23,0)))*(VLOOKUP($B214,INDIRECT($B$5&amp;"生成成长"),3))*(VLOOKUP($B$5,标准坦克设计!$B$14:$K$20,9)/30))</f>
        <v>5.7198048637358623</v>
      </c>
      <c r="CG214" s="173">
        <f ca="1">(VLOOKUP(CG$72,INDIRECT($C$5&amp;"生成成长"),2))/((VLOOKUP($B214,INDIRECT($B$5&amp;"生成成长"),4))/(VLOOKUP(CG$72,INDIRECT($C$5&amp;"生成成长"),5))*(VLOOKUP($B$5,标准坦克设计!$B$24:$U$30,MATCH("对"&amp;LEFT($C$5,2)&amp;"输出",标准坦克设计!$B$23:$U$23,0)))*(VLOOKUP($B214,INDIRECT($B$5&amp;"生成成长"),3))*(VLOOKUP($B$5,标准坦克设计!$B$14:$K$20,9)/30))</f>
        <v>6.1402417185296203</v>
      </c>
      <c r="CH214" s="173">
        <f ca="1">(VLOOKUP(CH$72,INDIRECT($C$5&amp;"生成成长"),2))/((VLOOKUP($B214,INDIRECT($B$5&amp;"生成成长"),4))/(VLOOKUP(CH$72,INDIRECT($C$5&amp;"生成成长"),5))*(VLOOKUP($B$5,标准坦克设计!$B$24:$U$30,MATCH("对"&amp;LEFT($C$5,2)&amp;"输出",标准坦克设计!$B$23:$U$23,0)))*(VLOOKUP($B214,INDIRECT($B$5&amp;"生成成长"),3))*(VLOOKUP($B$5,标准坦克设计!$B$14:$K$20,9)/30))</f>
        <v>6.575587681649397</v>
      </c>
      <c r="CI214" s="173">
        <f ca="1">(VLOOKUP(CI$72,INDIRECT($C$5&amp;"生成成长"),2))/((VLOOKUP($B214,INDIRECT($B$5&amp;"生成成长"),4))/(VLOOKUP(CI$72,INDIRECT($C$5&amp;"生成成长"),5))*(VLOOKUP($B$5,标准坦克设计!$B$24:$U$30,MATCH("对"&amp;LEFT($C$5,2)&amp;"输出",标准坦克设计!$B$23:$U$23,0)))*(VLOOKUP($B214,INDIRECT($B$5&amp;"生成成长"),3))*(VLOOKUP($B$5,标准坦克设计!$B$14:$K$20,9)/30))</f>
        <v>7.071688261197707</v>
      </c>
      <c r="CJ214" s="173">
        <f ca="1">(VLOOKUP(CJ$72,INDIRECT($C$5&amp;"生成成长"),2))/((VLOOKUP($B214,INDIRECT($B$5&amp;"生成成长"),4))/(VLOOKUP(CJ$72,INDIRECT($C$5&amp;"生成成长"),5))*(VLOOKUP($B$5,标准坦克设计!$B$24:$U$30,MATCH("对"&amp;LEFT($C$5,2)&amp;"输出",标准坦克设计!$B$23:$U$23,0)))*(VLOOKUP($B214,INDIRECT($B$5&amp;"生成成长"),3))*(VLOOKUP($B$5,标准坦克设计!$B$14:$K$20,9)/30))</f>
        <v>7.5858288618204988</v>
      </c>
      <c r="CK214" s="173">
        <f ca="1">(VLOOKUP(CK$72,INDIRECT($C$5&amp;"生成成长"),2))/((VLOOKUP($B214,INDIRECT($B$5&amp;"生成成长"),4))/(VLOOKUP(CK$72,INDIRECT($C$5&amp;"生成成长"),5))*(VLOOKUP($B$5,标准坦克设计!$B$24:$U$30,MATCH("对"&amp;LEFT($C$5,2)&amp;"输出",标准坦克设计!$B$23:$U$23,0)))*(VLOOKUP($B214,INDIRECT($B$5&amp;"生成成长"),3))*(VLOOKUP($B$5,标准坦克设计!$B$14:$K$20,9)/30))</f>
        <v>8.1180094835177758</v>
      </c>
      <c r="CL214" s="173">
        <f ca="1">(VLOOKUP(CL$72,INDIRECT($C$5&amp;"生成成长"),2))/((VLOOKUP($B214,INDIRECT($B$5&amp;"生成成长"),4))/(VLOOKUP(CL$72,INDIRECT($C$5&amp;"生成成长"),5))*(VLOOKUP($B$5,标准坦克设计!$B$24:$U$30,MATCH("对"&amp;LEFT($C$5,2)&amp;"输出",标准坦克设计!$B$23:$U$23,0)))*(VLOOKUP($B214,INDIRECT($B$5&amp;"生成成长"),3))*(VLOOKUP($B$5,标准坦克设计!$B$14:$K$20,9)/30))</f>
        <v>8.6682301262895365</v>
      </c>
      <c r="CM214" s="173">
        <f ca="1">(VLOOKUP(CM$72,INDIRECT($C$5&amp;"生成成长"),2))/((VLOOKUP($B214,INDIRECT($B$5&amp;"生成成长"),4))/(VLOOKUP(CM$72,INDIRECT($C$5&amp;"生成成长"),5))*(VLOOKUP($B$5,标准坦克设计!$B$24:$U$30,MATCH("对"&amp;LEFT($C$5,2)&amp;"输出",标准坦克设计!$B$23:$U$23,0)))*(VLOOKUP($B214,INDIRECT($B$5&amp;"生成成长"),3))*(VLOOKUP($B$5,标准坦克设计!$B$14:$K$20,9)/30))</f>
        <v>9.2364907901357807</v>
      </c>
      <c r="CN214" s="173">
        <f ca="1">(VLOOKUP(CN$72,INDIRECT($C$5&amp;"生成成长"),2))/((VLOOKUP($B214,INDIRECT($B$5&amp;"生成成长"),4))/(VLOOKUP(CN$72,INDIRECT($C$5&amp;"生成成长"),5))*(VLOOKUP($B$5,标准坦克设计!$B$24:$U$30,MATCH("对"&amp;LEFT($C$5,2)&amp;"输出",标准坦克设计!$B$23:$U$23,0)))*(VLOOKUP($B214,INDIRECT($B$5&amp;"生成成长"),3))*(VLOOKUP($B$5,标准坦克设计!$B$14:$K$20,9)/30))</f>
        <v>9.8227914750565084</v>
      </c>
      <c r="CO214" s="173">
        <f ca="1">(VLOOKUP(CO$72,INDIRECT($C$5&amp;"生成成长"),2))/((VLOOKUP($B214,INDIRECT($B$5&amp;"生成成长"),4))/(VLOOKUP(CO$72,INDIRECT($C$5&amp;"生成成长"),5))*(VLOOKUP($B$5,标准坦克设计!$B$24:$U$30,MATCH("对"&amp;LEFT($C$5,2)&amp;"输出",标准坦克设计!$B$23:$U$23,0)))*(VLOOKUP($B214,INDIRECT($B$5&amp;"生成成长"),3))*(VLOOKUP($B$5,标准坦克设计!$B$14:$K$20,9)/30))</f>
        <v>4.4018396877157127</v>
      </c>
      <c r="CP214" s="173">
        <f ca="1">(VLOOKUP(CP$72,INDIRECT($C$5&amp;"生成成长"),2))/((VLOOKUP($B214,INDIRECT($B$5&amp;"生成成长"),4))/(VLOOKUP(CP$72,INDIRECT($C$5&amp;"生成成长"),5))*(VLOOKUP($B$5,标准坦克设计!$B$24:$U$30,MATCH("对"&amp;LEFT($C$5,2)&amp;"输出",标准坦克设计!$B$23:$U$23,0)))*(VLOOKUP($B214,INDIRECT($B$5&amp;"生成成长"),3))*(VLOOKUP($B$5,标准坦克设计!$B$14:$K$20,9)/30))</f>
        <v>4.8093801638074636</v>
      </c>
      <c r="CQ214" s="173">
        <f ca="1">(VLOOKUP(CQ$72,INDIRECT($C$5&amp;"生成成长"),2))/((VLOOKUP($B214,INDIRECT($B$5&amp;"生成成长"),4))/(VLOOKUP(CQ$72,INDIRECT($C$5&amp;"生成成长"),5))*(VLOOKUP($B$5,标准坦克设计!$B$24:$U$30,MATCH("对"&amp;LEFT($C$5,2)&amp;"输出",标准坦克设计!$B$23:$U$23,0)))*(VLOOKUP($B214,INDIRECT($B$5&amp;"生成成长"),3))*(VLOOKUP($B$5,标准坦克设计!$B$14:$K$20,9)/30))</f>
        <v>5.2349606609736989</v>
      </c>
      <c r="CR214" s="173">
        <f ca="1">(VLOOKUP(CR$72,INDIRECT($C$5&amp;"生成成长"),2))/((VLOOKUP($B214,INDIRECT($B$5&amp;"生成成长"),4))/(VLOOKUP(CR$72,INDIRECT($C$5&amp;"生成成长"),5))*(VLOOKUP($B$5,标准坦克设计!$B$24:$U$30,MATCH("对"&amp;LEFT($C$5,2)&amp;"输出",标准坦克设计!$B$23:$U$23,0)))*(VLOOKUP($B214,INDIRECT($B$5&amp;"生成成长"),3))*(VLOOKUP($B$5,标准坦克设计!$B$14:$K$20,9)/30))</f>
        <v>5.678581179214417</v>
      </c>
      <c r="CS214" s="173">
        <f ca="1">(VLOOKUP(CS$72,INDIRECT($C$5&amp;"生成成长"),2))/((VLOOKUP($B214,INDIRECT($B$5&amp;"生成成长"),4))/(VLOOKUP(CS$72,INDIRECT($C$5&amp;"生成成长"),5))*(VLOOKUP($B$5,标准坦克设计!$B$24:$U$30,MATCH("对"&amp;LEFT($C$5,2)&amp;"输出",标准坦克设计!$B$23:$U$23,0)))*(VLOOKUP($B214,INDIRECT($B$5&amp;"生成成长"),3))*(VLOOKUP($B$5,标准坦克设计!$B$14:$K$20,9)/30))</f>
        <v>6.1402417185296203</v>
      </c>
      <c r="CT214" s="173">
        <f ca="1">(VLOOKUP(CT$72,INDIRECT($C$5&amp;"生成成长"),2))/((VLOOKUP($B214,INDIRECT($B$5&amp;"生成成长"),4))/(VLOOKUP(CT$72,INDIRECT($C$5&amp;"生成成长"),5))*(VLOOKUP($B$5,标准坦克设计!$B$24:$U$30,MATCH("对"&amp;LEFT($C$5,2)&amp;"输出",标准坦克设计!$B$23:$U$23,0)))*(VLOOKUP($B214,INDIRECT($B$5&amp;"生成成长"),3))*(VLOOKUP($B$5,标准坦克设计!$B$14:$K$20,9)/30))</f>
        <v>6.6199422789193081</v>
      </c>
      <c r="CU214" s="173">
        <f ca="1">(VLOOKUP(CU$72,INDIRECT($C$5&amp;"生成成长"),2))/((VLOOKUP($B214,INDIRECT($B$5&amp;"生成成长"),4))/(VLOOKUP(CU$72,INDIRECT($C$5&amp;"生成成长"),5))*(VLOOKUP($B$5,标准坦克设计!$B$24:$U$30,MATCH("对"&amp;LEFT($C$5,2)&amp;"输出",标准坦克设计!$B$23:$U$23,0)))*(VLOOKUP($B214,INDIRECT($B$5&amp;"生成成长"),3))*(VLOOKUP($B$5,标准坦克设计!$B$14:$K$20,9)/30))</f>
        <v>7.1176828603834768</v>
      </c>
      <c r="CV214" s="173">
        <f ca="1">(VLOOKUP(CV$72,INDIRECT($C$5&amp;"生成成长"),2))/((VLOOKUP($B214,INDIRECT($B$5&amp;"生成成长"),4))/(VLOOKUP(CV$72,INDIRECT($C$5&amp;"生成成长"),5))*(VLOOKUP($B$5,标准坦克设计!$B$24:$U$30,MATCH("对"&amp;LEFT($C$5,2)&amp;"输出",标准坦克设计!$B$23:$U$23,0)))*(VLOOKUP($B214,INDIRECT($B$5&amp;"生成成长"),3))*(VLOOKUP($B$5,标准坦克设计!$B$14:$K$20,9)/30))</f>
        <v>7.6334634629221325</v>
      </c>
      <c r="CW214" s="173">
        <f ca="1">(VLOOKUP(CW$72,INDIRECT($C$5&amp;"生成成长"),2))/((VLOOKUP($B214,INDIRECT($B$5&amp;"生成成长"),4))/(VLOOKUP(CW$72,INDIRECT($C$5&amp;"生成成长"),5))*(VLOOKUP($B$5,标准坦克设计!$B$24:$U$30,MATCH("对"&amp;LEFT($C$5,2)&amp;"输出",标准坦克设计!$B$23:$U$23,0)))*(VLOOKUP($B214,INDIRECT($B$5&amp;"生成成长"),3))*(VLOOKUP($B$5,标准坦克设计!$B$14:$K$20,9)/30))</f>
        <v>8.1672840865352718</v>
      </c>
      <c r="CX214" s="173">
        <f ca="1">(VLOOKUP(CX$72,INDIRECT($C$5&amp;"生成成长"),2))/((VLOOKUP($B214,INDIRECT($B$5&amp;"生成成长"),4))/(VLOOKUP(CX$72,INDIRECT($C$5&amp;"生成成长"),5))*(VLOOKUP($B$5,标准坦克设计!$B$24:$U$30,MATCH("对"&amp;LEFT($C$5,2)&amp;"输出",标准坦克设计!$B$23:$U$23,0)))*(VLOOKUP($B214,INDIRECT($B$5&amp;"生成成长"),3))*(VLOOKUP($B$5,标准坦克设计!$B$14:$K$20,9)/30))</f>
        <v>8.7191447312228938</v>
      </c>
      <c r="CY214" s="173">
        <f ca="1">(VLOOKUP(CY$72,INDIRECT($C$5&amp;"生成成长"),2))/((VLOOKUP($B214,INDIRECT($B$5&amp;"生成成长"),4))/(VLOOKUP(CY$72,INDIRECT($C$5&amp;"生成成长"),5))*(VLOOKUP($B$5,标准坦克设计!$B$24:$U$30,MATCH("对"&amp;LEFT($C$5,2)&amp;"输出",标准坦克设计!$B$23:$U$23,0)))*(VLOOKUP($B214,INDIRECT($B$5&amp;"生成成长"),3))*(VLOOKUP($B$5,标准坦克设计!$B$14:$K$20,9)/30))</f>
        <v>9.2890453969850011</v>
      </c>
      <c r="CZ214" s="173">
        <f ca="1">(VLOOKUP(CZ$72,INDIRECT($C$5&amp;"生成成长"),2))/((VLOOKUP($B214,INDIRECT($B$5&amp;"生成成长"),4))/(VLOOKUP(CZ$72,INDIRECT($C$5&amp;"生成成长"),5))*(VLOOKUP($B$5,标准坦克设计!$B$24:$U$30,MATCH("对"&amp;LEFT($C$5,2)&amp;"输出",标准坦克设计!$B$23:$U$23,0)))*(VLOOKUP($B214,INDIRECT($B$5&amp;"生成成长"),3))*(VLOOKUP($B$5,标准坦克设计!$B$14:$K$20,9)/30))</f>
        <v>9.8769860838215884</v>
      </c>
      <c r="DA214" s="173">
        <f ca="1">(VLOOKUP(DA$72,INDIRECT($C$5&amp;"生成成长"),2))/((VLOOKUP($B214,INDIRECT($B$5&amp;"生成成长"),4))/(VLOOKUP(DA$72,INDIRECT($C$5&amp;"生成成长"),5))*(VLOOKUP($B$5,标准坦克设计!$B$24:$U$30,MATCH("对"&amp;LEFT($C$5,2)&amp;"输出",标准坦克设计!$B$23:$U$23,0)))*(VLOOKUP($B214,INDIRECT($B$5&amp;"生成成长"),3))*(VLOOKUP($B$5,标准坦克设计!$B$14:$K$20,9)/30))</f>
        <v>10.482966791732665</v>
      </c>
      <c r="DB214" s="173">
        <f ca="1">(VLOOKUP(DB$72,INDIRECT($C$5&amp;"生成成长"),2))/((VLOOKUP($B214,INDIRECT($B$5&amp;"生成成长"),4))/(VLOOKUP(DB$72,INDIRECT($C$5&amp;"生成成长"),5))*(VLOOKUP($B$5,标准坦克设计!$B$24:$U$30,MATCH("对"&amp;LEFT($C$5,2)&amp;"输出",标准坦克设计!$B$23:$U$23,0)))*(VLOOKUP($B214,INDIRECT($B$5&amp;"生成成长"),3))*(VLOOKUP($B$5,标准坦克设计!$B$14:$K$20,9)/30))</f>
        <v>11.106987520718222</v>
      </c>
      <c r="DC214" s="173">
        <f ca="1">(VLOOKUP(DC$72,INDIRECT($C$5&amp;"生成成长"),2))/((VLOOKUP($B214,INDIRECT($B$5&amp;"生成成长"),4))/(VLOOKUP(DC$72,INDIRECT($C$5&amp;"生成成长"),5))*(VLOOKUP($B$5,标准坦克设计!$B$24:$U$30,MATCH("对"&amp;LEFT($C$5,2)&amp;"输出",标准坦克设计!$B$23:$U$23,0)))*(VLOOKUP($B214,INDIRECT($B$5&amp;"生成成长"),3))*(VLOOKUP($B$5,标准坦克设计!$B$14:$K$20,9)/30))</f>
        <v>11.808311976374194</v>
      </c>
      <c r="DD214" s="173">
        <f ca="1">(VLOOKUP(DD$72,INDIRECT($C$5&amp;"生成成长"),2))/((VLOOKUP($B214,INDIRECT($B$5&amp;"生成成长"),4))/(VLOOKUP(DD$72,INDIRECT($C$5&amp;"生成成长"),5))*(VLOOKUP($B$5,标准坦克设计!$B$24:$U$30,MATCH("对"&amp;LEFT($C$5,2)&amp;"输出",标准坦克设计!$B$23:$U$23,0)))*(VLOOKUP($B214,INDIRECT($B$5&amp;"生成成长"),3))*(VLOOKUP($B$5,标准坦克设计!$B$14:$K$20,9)/30))</f>
        <v>12.531105548019632</v>
      </c>
      <c r="DE214" s="173">
        <f ca="1">(VLOOKUP(DE$72,INDIRECT($C$5&amp;"生成成长"),2))/((VLOOKUP($B214,INDIRECT($B$5&amp;"生成成长"),4))/(VLOOKUP(DE$72,INDIRECT($C$5&amp;"生成成长"),5))*(VLOOKUP($B$5,标准坦克设计!$B$24:$U$30,MATCH("对"&amp;LEFT($C$5,2)&amp;"输出",标准坦克设计!$B$23:$U$23,0)))*(VLOOKUP($B214,INDIRECT($B$5&amp;"生成成长"),3))*(VLOOKUP($B$5,标准坦克设计!$B$14:$K$20,9)/30))</f>
        <v>13.275368235654541</v>
      </c>
      <c r="DF214" s="173">
        <f ca="1">(VLOOKUP(DF$72,INDIRECT($C$5&amp;"生成成长"),2))/((VLOOKUP($B214,INDIRECT($B$5&amp;"生成成长"),4))/(VLOOKUP(DF$72,INDIRECT($C$5&amp;"生成成长"),5))*(VLOOKUP($B$5,标准坦克设计!$B$24:$U$30,MATCH("对"&amp;LEFT($C$5,2)&amp;"输出",标准坦克设计!$B$23:$U$23,0)))*(VLOOKUP($B214,INDIRECT($B$5&amp;"生成成长"),3))*(VLOOKUP($B$5,标准坦克设计!$B$14:$K$20,9)/30))</f>
        <v>14.041100039278916</v>
      </c>
      <c r="DG214" s="173">
        <f ca="1">(VLOOKUP(DG$72,INDIRECT($C$5&amp;"生成成长"),2))/((VLOOKUP($B214,INDIRECT($B$5&amp;"生成成长"),4))/(VLOOKUP(DG$72,INDIRECT($C$5&amp;"生成成长"),5))*(VLOOKUP($B$5,标准坦克设计!$B$24:$U$30,MATCH("对"&amp;LEFT($C$5,2)&amp;"输出",标准坦克设计!$B$23:$U$23,0)))*(VLOOKUP($B214,INDIRECT($B$5&amp;"生成成长"),3))*(VLOOKUP($B$5,标准坦克设计!$B$14:$K$20,9)/30))</f>
        <v>14.828300958892763</v>
      </c>
      <c r="DH214" s="173">
        <f ca="1">(VLOOKUP(DH$72,INDIRECT($C$5&amp;"生成成长"),2))/((VLOOKUP($B214,INDIRECT($B$5&amp;"生成成长"),4))/(VLOOKUP(DH$72,INDIRECT($C$5&amp;"生成成长"),5))*(VLOOKUP($B$5,标准坦克设计!$B$24:$U$30,MATCH("对"&amp;LEFT($C$5,2)&amp;"输出",标准坦克设计!$B$23:$U$23,0)))*(VLOOKUP($B214,INDIRECT($B$5&amp;"生成成长"),3))*(VLOOKUP($B$5,标准坦克设计!$B$14:$K$20,9)/30))</f>
        <v>15.636970994496076</v>
      </c>
      <c r="DI214" s="173">
        <f ca="1">(VLOOKUP(DI$72,INDIRECT($C$5&amp;"生成成长"),2))/((VLOOKUP($B214,INDIRECT($B$5&amp;"生成成长"),4))/(VLOOKUP(DI$72,INDIRECT($C$5&amp;"生成成长"),5))*(VLOOKUP($B$5,标准坦克设计!$B$24:$U$30,MATCH("对"&amp;LEFT($C$5,2)&amp;"输出",标准坦克设计!$B$23:$U$23,0)))*(VLOOKUP($B214,INDIRECT($B$5&amp;"生成成长"),3))*(VLOOKUP($B$5,标准坦克设计!$B$14:$K$20,9)/30))</f>
        <v>16.46711014608886</v>
      </c>
      <c r="DJ214" s="173">
        <f ca="1">(VLOOKUP(DJ$72,INDIRECT($C$5&amp;"生成成长"),2))/((VLOOKUP($B214,INDIRECT($B$5&amp;"生成成长"),4))/(VLOOKUP(DJ$72,INDIRECT($C$5&amp;"生成成长"),5))*(VLOOKUP($B$5,标准坦克设计!$B$24:$U$30,MATCH("对"&amp;LEFT($C$5,2)&amp;"输出",标准坦克设计!$B$23:$U$23,0)))*(VLOOKUP($B214,INDIRECT($B$5&amp;"生成成长"),3))*(VLOOKUP($B$5,标准坦克设计!$B$14:$K$20,9)/30))</f>
        <v>1.654985569729827</v>
      </c>
      <c r="DK214" s="173">
        <f ca="1">(VLOOKUP(DK$72,INDIRECT($C$5&amp;"生成成长"),2))/((VLOOKUP($B214,INDIRECT($B$5&amp;"生成成长"),4))/(VLOOKUP(DK$72,INDIRECT($C$5&amp;"生成成长"),5))*(VLOOKUP($B$5,标准坦克设计!$B$24:$U$30,MATCH("对"&amp;LEFT($C$5,2)&amp;"输出",标准坦克设计!$B$23:$U$23,0)))*(VLOOKUP($B214,INDIRECT($B$5&amp;"生成成长"),3))*(VLOOKUP($B$5,标准坦克设计!$B$14:$K$20,9)/30))</f>
        <v>1.86095490125379</v>
      </c>
      <c r="DL214" s="173">
        <f ca="1">(VLOOKUP(DL$72,INDIRECT($C$5&amp;"生成成长"),2))/((VLOOKUP($B214,INDIRECT($B$5&amp;"生成成长"),4))/(VLOOKUP(DL$72,INDIRECT($C$5&amp;"生成成长"),5))*(VLOOKUP($B$5,标准坦克设计!$B$24:$U$30,MATCH("对"&amp;LEFT($C$5,2)&amp;"输出",标准坦克设计!$B$23:$U$23,0)))*(VLOOKUP($B214,INDIRECT($B$5&amp;"生成成长"),3))*(VLOOKUP($B$5,标准坦克设计!$B$14:$K$20,9)/30))</f>
        <v>2.0790006105218297</v>
      </c>
      <c r="DM214" s="173">
        <f ca="1">(VLOOKUP(DM$72,INDIRECT($C$5&amp;"生成成长"),2))/((VLOOKUP($B214,INDIRECT($B$5&amp;"生成成长"),4))/(VLOOKUP(DM$72,INDIRECT($C$5&amp;"生成成长"),5))*(VLOOKUP($B$5,标准坦克设计!$B$24:$U$30,MATCH("对"&amp;LEFT($C$5,2)&amp;"输出",标准坦克设计!$B$23:$U$23,0)))*(VLOOKUP($B214,INDIRECT($B$5&amp;"生成成长"),3))*(VLOOKUP($B$5,标准坦克设计!$B$14:$K$20,9)/30))</f>
        <v>2.3091226975339452</v>
      </c>
      <c r="DN214" s="173">
        <f ca="1">(VLOOKUP(DN$72,INDIRECT($C$5&amp;"生成成长"),2))/((VLOOKUP($B214,INDIRECT($B$5&amp;"生成成长"),4))/(VLOOKUP(DN$72,INDIRECT($C$5&amp;"生成成长"),5))*(VLOOKUP($B$5,标准坦克设计!$B$24:$U$30,MATCH("对"&amp;LEFT($C$5,2)&amp;"输出",标准坦克设计!$B$23:$U$23,0)))*(VLOOKUP($B214,INDIRECT($B$5&amp;"生成成长"),3))*(VLOOKUP($B$5,标准坦克设计!$B$14:$K$20,9)/30))</f>
        <v>2.5513211622901362</v>
      </c>
      <c r="DO214" s="173">
        <f ca="1">(VLOOKUP(DO$72,INDIRECT($C$5&amp;"生成成长"),2))/((VLOOKUP($B214,INDIRECT($B$5&amp;"生成成长"),4))/(VLOOKUP(DO$72,INDIRECT($C$5&amp;"生成成长"),5))*(VLOOKUP($B$5,标准坦克设计!$B$24:$U$30,MATCH("对"&amp;LEFT($C$5,2)&amp;"输出",标准坦克设计!$B$23:$U$23,0)))*(VLOOKUP($B214,INDIRECT($B$5&amp;"生成成长"),3))*(VLOOKUP($B$5,标准坦克设计!$B$14:$K$20,9)/30))</f>
        <v>2.8055960047904036</v>
      </c>
      <c r="DP214" s="173">
        <f ca="1">(VLOOKUP(DP$72,INDIRECT($C$5&amp;"生成成长"),2))/((VLOOKUP($B214,INDIRECT($B$5&amp;"生成成长"),4))/(VLOOKUP(DP$72,INDIRECT($C$5&amp;"生成成长"),5))*(VLOOKUP($B$5,标准坦克设计!$B$24:$U$30,MATCH("对"&amp;LEFT($C$5,2)&amp;"输出",标准坦克设计!$B$23:$U$23,0)))*(VLOOKUP($B214,INDIRECT($B$5&amp;"生成成长"),3))*(VLOOKUP($B$5,标准坦克设计!$B$14:$K$20,9)/30))</f>
        <v>3.0719472250347479</v>
      </c>
      <c r="DQ214" s="173">
        <f ca="1">(VLOOKUP(DQ$72,INDIRECT($C$5&amp;"生成成长"),2))/((VLOOKUP($B214,INDIRECT($B$5&amp;"生成成长"),4))/(VLOOKUP(DQ$72,INDIRECT($C$5&amp;"生成成长"),5))*(VLOOKUP($B$5,标准坦克设计!$B$24:$U$30,MATCH("对"&amp;LEFT($C$5,2)&amp;"输出",标准坦克设计!$B$23:$U$23,0)))*(VLOOKUP($B214,INDIRECT($B$5&amp;"生成成长"),3))*(VLOOKUP($B$5,标准坦克设计!$B$14:$K$20,9)/30))</f>
        <v>3.3503748230231669</v>
      </c>
      <c r="DR214" s="173">
        <f ca="1">(VLOOKUP(DR$72,INDIRECT($C$5&amp;"生成成长"),2))/((VLOOKUP($B214,INDIRECT($B$5&amp;"生成成长"),4))/(VLOOKUP(DR$72,INDIRECT($C$5&amp;"生成成长"),5))*(VLOOKUP($B$5,标准坦克设计!$B$24:$U$30,MATCH("对"&amp;LEFT($C$5,2)&amp;"输出",标准坦克设计!$B$23:$U$23,0)))*(VLOOKUP($B214,INDIRECT($B$5&amp;"生成成长"),3))*(VLOOKUP($B$5,标准坦克设计!$B$14:$K$20,9)/30))</f>
        <v>3.6408787987556623</v>
      </c>
      <c r="DS214" s="173">
        <f ca="1">(VLOOKUP(DS$72,INDIRECT($C$5&amp;"生成成长"),2))/((VLOOKUP($B214,INDIRECT($B$5&amp;"生成成长"),4))/(VLOOKUP(DS$72,INDIRECT($C$5&amp;"生成成长"),5))*(VLOOKUP($B$5,标准坦克设计!$B$24:$U$30,MATCH("对"&amp;LEFT($C$5,2)&amp;"输出",标准坦克设计!$B$23:$U$23,0)))*(VLOOKUP($B214,INDIRECT($B$5&amp;"生成成长"),3))*(VLOOKUP($B$5,标准坦克设计!$B$14:$K$20,9)/30))</f>
        <v>3.9434591522322351</v>
      </c>
      <c r="DT214" s="173">
        <f ca="1">(VLOOKUP(DT$72,INDIRECT($C$5&amp;"生成成长"),2))/((VLOOKUP($B214,INDIRECT($B$5&amp;"生成成长"),4))/(VLOOKUP(DT$72,INDIRECT($C$5&amp;"生成成长"),5))*(VLOOKUP($B$5,标准坦克设计!$B$24:$U$30,MATCH("对"&amp;LEFT($C$5,2)&amp;"输出",标准坦克设计!$B$23:$U$23,0)))*(VLOOKUP($B214,INDIRECT($B$5&amp;"生成成长"),3))*(VLOOKUP($B$5,标准坦克设计!$B$14:$K$20,9)/30))</f>
        <v>4.3296796034177776</v>
      </c>
      <c r="DU214" s="173">
        <f ca="1">(VLOOKUP(DU$72,INDIRECT($C$5&amp;"生成成长"),2))/((VLOOKUP($B214,INDIRECT($B$5&amp;"生成成长"),4))/(VLOOKUP(DU$72,INDIRECT($C$5&amp;"生成成长"),5))*(VLOOKUP($B$5,标准坦克设计!$B$24:$U$30,MATCH("对"&amp;LEFT($C$5,2)&amp;"输出",标准坦克设计!$B$23:$U$23,0)))*(VLOOKUP($B214,INDIRECT($B$5&amp;"生成成长"),3))*(VLOOKUP($B$5,标准坦克设计!$B$14:$K$20,9)/30))</f>
        <v>4.7339400756778041</v>
      </c>
      <c r="DV214" s="173">
        <f ca="1">(VLOOKUP(DV$72,INDIRECT($C$5&amp;"生成成长"),2))/((VLOOKUP($B214,INDIRECT($B$5&amp;"生成成长"),4))/(VLOOKUP(DV$72,INDIRECT($C$5&amp;"生成成长"),5))*(VLOOKUP($B$5,标准坦克设计!$B$24:$U$30,MATCH("对"&amp;LEFT($C$5,2)&amp;"输出",标准坦克设计!$B$23:$U$23,0)))*(VLOOKUP($B214,INDIRECT($B$5&amp;"生成成长"),3))*(VLOOKUP($B$5,标准坦克设计!$B$14:$K$20,9)/30))</f>
        <v>5.156240569012315</v>
      </c>
      <c r="DW214" s="173">
        <f ca="1">(VLOOKUP(DW$72,INDIRECT($C$5&amp;"生成成长"),2))/((VLOOKUP($B214,INDIRECT($B$5&amp;"生成成长"),4))/(VLOOKUP(DW$72,INDIRECT($C$5&amp;"生成成长"),5))*(VLOOKUP($B$5,标准坦克设计!$B$24:$U$30,MATCH("对"&amp;LEFT($C$5,2)&amp;"输出",标准坦克设计!$B$23:$U$23,0)))*(VLOOKUP($B214,INDIRECT($B$5&amp;"生成成长"),3))*(VLOOKUP($B$5,标准坦克设计!$B$14:$K$20,9)/30))</f>
        <v>5.5965810834213086</v>
      </c>
      <c r="DX214" s="173">
        <f ca="1">(VLOOKUP(DX$72,INDIRECT($C$5&amp;"生成成长"),2))/((VLOOKUP($B214,INDIRECT($B$5&amp;"生成成长"),4))/(VLOOKUP(DX$72,INDIRECT($C$5&amp;"生成成长"),5))*(VLOOKUP($B$5,标准坦克设计!$B$24:$U$30,MATCH("对"&amp;LEFT($C$5,2)&amp;"输出",标准坦克设计!$B$23:$U$23,0)))*(VLOOKUP($B214,INDIRECT($B$5&amp;"生成成长"),3))*(VLOOKUP($B$5,标准坦克设计!$B$14:$K$20,9)/30))</f>
        <v>6.0549616189047875</v>
      </c>
      <c r="DY214" s="173">
        <f ca="1">(VLOOKUP(DY$72,INDIRECT($C$5&amp;"生成成长"),2))/((VLOOKUP($B214,INDIRECT($B$5&amp;"生成成长"),4))/(VLOOKUP(DY$72,INDIRECT($C$5&amp;"生成成长"),5))*(VLOOKUP($B$5,标准坦克设计!$B$24:$U$30,MATCH("对"&amp;LEFT($C$5,2)&amp;"输出",标准坦克设计!$B$23:$U$23,0)))*(VLOOKUP($B214,INDIRECT($B$5&amp;"生成成长"),3))*(VLOOKUP($B$5,标准坦克设计!$B$14:$K$20,9)/30))</f>
        <v>2.7194959042076392</v>
      </c>
      <c r="DZ214" s="173">
        <f ca="1">(VLOOKUP(DZ$72,INDIRECT($C$5&amp;"生成成长"),2))/((VLOOKUP($B214,INDIRECT($B$5&amp;"生成成长"),4))/(VLOOKUP(DZ$72,INDIRECT($C$5&amp;"生成成长"),5))*(VLOOKUP($B$5,标准坦克设计!$B$24:$U$30,MATCH("对"&amp;LEFT($C$5,2)&amp;"输出",标准坦克设计!$B$23:$U$23,0)))*(VLOOKUP($B214,INDIRECT($B$5&amp;"生成成长"),3))*(VLOOKUP($B$5,标准坦克设计!$B$14:$K$20,9)/30))</f>
        <v>3.011714427397628</v>
      </c>
      <c r="EA214" s="173">
        <f ca="1">(VLOOKUP(EA$72,INDIRECT($C$5&amp;"生成成长"),2))/((VLOOKUP($B214,INDIRECT($B$5&amp;"生成成长"),4))/(VLOOKUP(EA$72,INDIRECT($C$5&amp;"生成成长"),5))*(VLOOKUP($B$5,标准坦克设计!$B$24:$U$30,MATCH("对"&amp;LEFT($C$5,2)&amp;"输出",标准坦克设计!$B$23:$U$23,0)))*(VLOOKUP($B214,INDIRECT($B$5&amp;"生成成长"),3))*(VLOOKUP($B$5,标准坦克设计!$B$14:$K$20,9)/30))</f>
        <v>3.3188420589136354</v>
      </c>
      <c r="EB214" s="173">
        <f ca="1">(VLOOKUP(EB$72,INDIRECT($C$5&amp;"生成成长"),2))/((VLOOKUP($B214,INDIRECT($B$5&amp;"生成成长"),4))/(VLOOKUP(EB$72,INDIRECT($C$5&amp;"生成成长"),5))*(VLOOKUP($B$5,标准坦克设计!$B$24:$U$30,MATCH("对"&amp;LEFT($C$5,2)&amp;"输出",标准坦克设计!$B$23:$U$23,0)))*(VLOOKUP($B214,INDIRECT($B$5&amp;"生成成长"),3))*(VLOOKUP($B$5,标准坦克设计!$B$14:$K$20,9)/30))</f>
        <v>3.6408787987556623</v>
      </c>
      <c r="EC214" s="173">
        <f ca="1">(VLOOKUP(EC$72,INDIRECT($C$5&amp;"生成成长"),2))/((VLOOKUP($B214,INDIRECT($B$5&amp;"生成成长"),4))/(VLOOKUP(EC$72,INDIRECT($C$5&amp;"生成成长"),5))*(VLOOKUP($B$5,标准坦克设计!$B$24:$U$30,MATCH("对"&amp;LEFT($C$5,2)&amp;"输出",标准坦克设计!$B$23:$U$23,0)))*(VLOOKUP($B214,INDIRECT($B$5&amp;"生成成长"),3))*(VLOOKUP($B$5,标准坦克设计!$B$14:$K$20,9)/30))</f>
        <v>3.9778246469237097</v>
      </c>
      <c r="ED214" s="173">
        <f ca="1">(VLOOKUP(ED$72,INDIRECT($C$5&amp;"生成成长"),2))/((VLOOKUP($B214,INDIRECT($B$5&amp;"生成成长"),4))/(VLOOKUP(ED$72,INDIRECT($C$5&amp;"生成成长"),5))*(VLOOKUP($B$5,标准坦克设计!$B$24:$U$30,MATCH("对"&amp;LEFT($C$5,2)&amp;"输出",标准坦克设计!$B$23:$U$23,0)))*(VLOOKUP($B214,INDIRECT($B$5&amp;"生成成长"),3))*(VLOOKUP($B$5,标准坦克设计!$B$14:$K$20,9)/30))</f>
        <v>4.3296796034177776</v>
      </c>
      <c r="EE214" s="173">
        <f ca="1">(VLOOKUP(EE$72,INDIRECT($C$5&amp;"生成成长"),2))/((VLOOKUP($B214,INDIRECT($B$5&amp;"生成成长"),4))/(VLOOKUP(EE$72,INDIRECT($C$5&amp;"生成成长"),5))*(VLOOKUP($B$5,标准坦克设计!$B$24:$U$30,MATCH("对"&amp;LEFT($C$5,2)&amp;"输出",标准坦克设计!$B$23:$U$23,0)))*(VLOOKUP($B214,INDIRECT($B$5&amp;"生成成长"),3))*(VLOOKUP($B$5,标准坦克设计!$B$14:$K$20,9)/30))</f>
        <v>4.6964436682378636</v>
      </c>
      <c r="EF214" s="173">
        <f ca="1">(VLOOKUP(EF$72,INDIRECT($C$5&amp;"生成成长"),2))/((VLOOKUP($B214,INDIRECT($B$5&amp;"生成成长"),4))/(VLOOKUP(EF$72,INDIRECT($C$5&amp;"生成成长"),5))*(VLOOKUP($B$5,标准坦克设计!$B$24:$U$30,MATCH("对"&amp;LEFT($C$5,2)&amp;"输出",标准坦克设计!$B$23:$U$23,0)))*(VLOOKUP($B214,INDIRECT($B$5&amp;"生成成长"),3))*(VLOOKUP($B$5,标准坦克设计!$B$14:$K$20,9)/30))</f>
        <v>5.078116841383971</v>
      </c>
      <c r="EG214" s="173">
        <f ca="1">(VLOOKUP(EG$72,INDIRECT($C$5&amp;"生成成长"),2))/((VLOOKUP($B214,INDIRECT($B$5&amp;"生成成长"),4))/(VLOOKUP(EG$72,INDIRECT($C$5&amp;"生成成长"),5))*(VLOOKUP($B$5,标准坦克设计!$B$24:$U$30,MATCH("对"&amp;LEFT($C$5,2)&amp;"输出",标准坦克设计!$B$23:$U$23,0)))*(VLOOKUP($B214,INDIRECT($B$5&amp;"生成成长"),3))*(VLOOKUP($B$5,标准坦克设计!$B$14:$K$20,9)/30))</f>
        <v>5.4746991228560962</v>
      </c>
      <c r="EH214" s="173">
        <f ca="1">(VLOOKUP(EH$72,INDIRECT($C$5&amp;"生成成长"),2))/((VLOOKUP($B214,INDIRECT($B$5&amp;"生成成长"),4))/(VLOOKUP(EH$72,INDIRECT($C$5&amp;"生成成长"),5))*(VLOOKUP($B$5,标准坦克设计!$B$24:$U$30,MATCH("对"&amp;LEFT($C$5,2)&amp;"输出",标准坦克设计!$B$23:$U$23,0)))*(VLOOKUP($B214,INDIRECT($B$5&amp;"生成成长"),3))*(VLOOKUP($B$5,标准坦克设计!$B$14:$K$20,9)/30))</f>
        <v>5.8861905126542426</v>
      </c>
      <c r="EI214" s="173">
        <f ca="1">(VLOOKUP(EI$72,INDIRECT($C$5&amp;"生成成长"),2))/((VLOOKUP($B214,INDIRECT($B$5&amp;"生成成长"),4))/(VLOOKUP(EI$72,INDIRECT($C$5&amp;"生成成长"),5))*(VLOOKUP($B$5,标准坦克设计!$B$24:$U$30,MATCH("对"&amp;LEFT($C$5,2)&amp;"输出",标准坦克设计!$B$23:$U$23,0)))*(VLOOKUP($B214,INDIRECT($B$5&amp;"生成成长"),3))*(VLOOKUP($B$5,标准坦克设计!$B$14:$K$20,9)/30))</f>
        <v>6.3125910107784096</v>
      </c>
      <c r="EJ214" s="173">
        <f ca="1">(VLOOKUP(EJ$72,INDIRECT($C$5&amp;"生成成长"),2))/((VLOOKUP($B214,INDIRECT($B$5&amp;"生成成长"),4))/(VLOOKUP(EJ$72,INDIRECT($C$5&amp;"生成成长"),5))*(VLOOKUP($B$5,标准坦克设计!$B$24:$U$30,MATCH("对"&amp;LEFT($C$5,2)&amp;"输出",标准坦克设计!$B$23:$U$23,0)))*(VLOOKUP($B214,INDIRECT($B$5&amp;"生成成长"),3))*(VLOOKUP($B$5,标准坦克设计!$B$14:$K$20,9)/30))</f>
        <v>6.7539006172285951</v>
      </c>
      <c r="EK214" s="173">
        <f ca="1">(VLOOKUP(EK$72,INDIRECT($C$5&amp;"生成成长"),2))/((VLOOKUP($B214,INDIRECT($B$5&amp;"生成成长"),4))/(VLOOKUP(EK$72,INDIRECT($C$5&amp;"生成成长"),5))*(VLOOKUP($B$5,标准坦克设计!$B$24:$U$30,MATCH("对"&amp;LEFT($C$5,2)&amp;"输出",标准坦克设计!$B$23:$U$23,0)))*(VLOOKUP($B214,INDIRECT($B$5&amp;"生成成长"),3))*(VLOOKUP($B$5,标准坦克设计!$B$14:$K$20,9)/30))</f>
        <v>7.3031521679591638</v>
      </c>
      <c r="EL214" s="173">
        <f ca="1">(VLOOKUP(EL$72,INDIRECT($C$5&amp;"生成成长"),2))/((VLOOKUP($B214,INDIRECT($B$5&amp;"生成成长"),4))/(VLOOKUP(EL$72,INDIRECT($C$5&amp;"生成成长"),5))*(VLOOKUP($B$5,标准坦克设计!$B$24:$U$30,MATCH("对"&amp;LEFT($C$5,2)&amp;"输出",标准坦克设计!$B$23:$U$23,0)))*(VLOOKUP($B214,INDIRECT($B$5&amp;"生成成长"),3))*(VLOOKUP($B$5,标准坦克设计!$B$14:$K$20,9)/30))</f>
        <v>7.8738728346792017</v>
      </c>
      <c r="EM214" s="173">
        <f ca="1">(VLOOKUP(EM$72,INDIRECT($C$5&amp;"生成成长"),2))/((VLOOKUP($B214,INDIRECT($B$5&amp;"生成成长"),4))/(VLOOKUP(EM$72,INDIRECT($C$5&amp;"生成成长"),5))*(VLOOKUP($B$5,标准坦克设计!$B$24:$U$30,MATCH("对"&amp;LEFT($C$5,2)&amp;"输出",标准坦克设计!$B$23:$U$23,0)))*(VLOOKUP($B214,INDIRECT($B$5&amp;"生成成长"),3))*(VLOOKUP($B$5,标准坦克设计!$B$14:$K$20,9)/30))</f>
        <v>8.4660626173887081</v>
      </c>
      <c r="EN214" s="173">
        <f ca="1">(VLOOKUP(EN$72,INDIRECT($C$5&amp;"生成成长"),2))/((VLOOKUP($B214,INDIRECT($B$5&amp;"生成成长"),4))/(VLOOKUP(EN$72,INDIRECT($C$5&amp;"生成成长"),5))*(VLOOKUP($B$5,标准坦克设计!$B$24:$U$30,MATCH("对"&amp;LEFT($C$5,2)&amp;"输出",标准坦克设计!$B$23:$U$23,0)))*(VLOOKUP($B214,INDIRECT($B$5&amp;"生成成长"),3))*(VLOOKUP($B$5,标准坦克设计!$B$14:$K$20,9)/30))</f>
        <v>9.0797215160876821</v>
      </c>
      <c r="EO214" s="173">
        <f ca="1">(VLOOKUP(EO$72,INDIRECT($C$5&amp;"生成成长"),2))/((VLOOKUP($B214,INDIRECT($B$5&amp;"生成成长"),4))/(VLOOKUP(EO$72,INDIRECT($C$5&amp;"生成成长"),5))*(VLOOKUP($B$5,标准坦克设计!$B$24:$U$30,MATCH("对"&amp;LEFT($C$5,2)&amp;"输出",标准坦克设计!$B$23:$U$23,0)))*(VLOOKUP($B214,INDIRECT($B$5&amp;"生成成长"),3))*(VLOOKUP($B$5,标准坦克设计!$B$14:$K$20,9)/30))</f>
        <v>9.7148495307761245</v>
      </c>
      <c r="EP214" s="173">
        <f ca="1">(VLOOKUP(EP$72,INDIRECT($C$5&amp;"生成成长"),2))/((VLOOKUP($B214,INDIRECT($B$5&amp;"生成成长"),4))/(VLOOKUP(EP$72,INDIRECT($C$5&amp;"生成成长"),5))*(VLOOKUP($B$5,标准坦克设计!$B$24:$U$30,MATCH("对"&amp;LEFT($C$5,2)&amp;"输出",标准坦克设计!$B$23:$U$23,0)))*(VLOOKUP($B214,INDIRECT($B$5&amp;"生成成长"),3))*(VLOOKUP($B$5,标准坦克设计!$B$14:$K$20,9)/30))</f>
        <v>10.371446661454037</v>
      </c>
      <c r="EQ214" s="173">
        <f ca="1">(VLOOKUP(EQ$72,INDIRECT($C$5&amp;"生成成长"),2))/((VLOOKUP($B214,INDIRECT($B$5&amp;"生成成长"),4))/(VLOOKUP(EQ$72,INDIRECT($C$5&amp;"生成成长"),5))*(VLOOKUP($B$5,标准坦克设计!$B$24:$U$30,MATCH("对"&amp;LEFT($C$5,2)&amp;"输出",标准坦克设计!$B$23:$U$23,0)))*(VLOOKUP($B214,INDIRECT($B$5&amp;"生成成长"),3))*(VLOOKUP($B$5,标准坦克设计!$B$14:$K$20,9)/30))</f>
        <v>4.584848992417605</v>
      </c>
      <c r="ER214" s="173">
        <f ca="1">(VLOOKUP(ER$72,INDIRECT($C$5&amp;"生成成长"),2))/((VLOOKUP($B214,INDIRECT($B$5&amp;"生成成长"),4))/(VLOOKUP(ER$72,INDIRECT($C$5&amp;"生成成长"),5))*(VLOOKUP($B$5,标准坦克设计!$B$24:$U$30,MATCH("对"&amp;LEFT($C$5,2)&amp;"输出",标准坦克设计!$B$23:$U$23,0)))*(VLOOKUP($B214,INDIRECT($B$5&amp;"生成成长"),3))*(VLOOKUP($B$5,标准坦克设计!$B$14:$K$20,9)/30))</f>
        <v>5.0005894780886671</v>
      </c>
      <c r="ES214" s="173">
        <f ca="1">(VLOOKUP(ES$72,INDIRECT($C$5&amp;"生成成长"),2))/((VLOOKUP($B214,INDIRECT($B$5&amp;"生成成长"),4))/(VLOOKUP(ES$72,INDIRECT($C$5&amp;"生成成长"),5))*(VLOOKUP($B$5,标准坦克设计!$B$24:$U$30,MATCH("对"&amp;LEFT($C$5,2)&amp;"输出",标准坦克设计!$B$23:$U$23,0)))*(VLOOKUP($B214,INDIRECT($B$5&amp;"生成成长"),3))*(VLOOKUP($B$5,标准坦克设计!$B$14:$K$20,9)/30))</f>
        <v>5.4343699848342135</v>
      </c>
      <c r="ET214" s="173">
        <f ca="1">(VLOOKUP(ET$72,INDIRECT($C$5&amp;"生成成长"),2))/((VLOOKUP($B214,INDIRECT($B$5&amp;"生成成长"),4))/(VLOOKUP(ET$72,INDIRECT($C$5&amp;"生成成长"),5))*(VLOOKUP($B$5,标准坦克设计!$B$24:$U$30,MATCH("对"&amp;LEFT($C$5,2)&amp;"输出",标准坦克设计!$B$23:$U$23,0)))*(VLOOKUP($B214,INDIRECT($B$5&amp;"生成成长"),3))*(VLOOKUP($B$5,标准坦克设计!$B$14:$K$20,9)/30))</f>
        <v>5.8861905126542426</v>
      </c>
      <c r="EU214" s="173">
        <f ca="1">(VLOOKUP(EU$72,INDIRECT($C$5&amp;"生成成长"),2))/((VLOOKUP($B214,INDIRECT($B$5&amp;"生成成长"),4))/(VLOOKUP(EU$72,INDIRECT($C$5&amp;"生成成长"),5))*(VLOOKUP($B$5,标准坦克设计!$B$24:$U$30,MATCH("对"&amp;LEFT($C$5,2)&amp;"输出",标准坦克设计!$B$23:$U$23,0)))*(VLOOKUP($B214,INDIRECT($B$5&amp;"生成成长"),3))*(VLOOKUP($B$5,标准坦克设计!$B$14:$K$20,9)/30))</f>
        <v>6.3560510615487562</v>
      </c>
      <c r="EV214" s="173">
        <f ca="1">(VLOOKUP(EV$72,INDIRECT($C$5&amp;"生成成长"),2))/((VLOOKUP($B214,INDIRECT($B$5&amp;"生成成长"),4))/(VLOOKUP(EV$72,INDIRECT($C$5&amp;"生成成长"),5))*(VLOOKUP($B$5,标准坦克设计!$B$24:$U$30,MATCH("对"&amp;LEFT($C$5,2)&amp;"输出",标准坦克设计!$B$23:$U$23,0)))*(VLOOKUP($B214,INDIRECT($B$5&amp;"生成成长"),3))*(VLOOKUP($B$5,标准坦克设计!$B$14:$K$20,9)/30))</f>
        <v>6.8439516315177533</v>
      </c>
      <c r="EW214" s="173">
        <f ca="1">(VLOOKUP(EW$72,INDIRECT($C$5&amp;"生成成长"),2))/((VLOOKUP($B214,INDIRECT($B$5&amp;"生成成长"),4))/(VLOOKUP(EW$72,INDIRECT($C$5&amp;"生成成长"),5))*(VLOOKUP($B$5,标准坦克设计!$B$24:$U$30,MATCH("对"&amp;LEFT($C$5,2)&amp;"输出",标准坦克设计!$B$23:$U$23,0)))*(VLOOKUP($B214,INDIRECT($B$5&amp;"生成成长"),3))*(VLOOKUP($B$5,标准坦克设计!$B$14:$K$20,9)/30))</f>
        <v>7.3498922225612358</v>
      </c>
      <c r="EX214" s="173">
        <f ca="1">(VLOOKUP(EX$72,INDIRECT($C$5&amp;"生成成长"),2))/((VLOOKUP($B214,INDIRECT($B$5&amp;"生成成长"),4))/(VLOOKUP(EX$72,INDIRECT($C$5&amp;"生成成长"),5))*(VLOOKUP($B$5,标准坦克设计!$B$24:$U$30,MATCH("对"&amp;LEFT($C$5,2)&amp;"输出",标准坦克设计!$B$23:$U$23,0)))*(VLOOKUP($B214,INDIRECT($B$5&amp;"生成成长"),3))*(VLOOKUP($B$5,标准坦克设计!$B$14:$K$20,9)/30))</f>
        <v>7.8738728346792017</v>
      </c>
      <c r="EY214" s="173">
        <f ca="1">(VLOOKUP(EY$72,INDIRECT($C$5&amp;"生成成长"),2))/((VLOOKUP($B214,INDIRECT($B$5&amp;"生成成长"),4))/(VLOOKUP(EY$72,INDIRECT($C$5&amp;"生成成长"),5))*(VLOOKUP($B$5,标准坦克设计!$B$24:$U$30,MATCH("对"&amp;LEFT($C$5,2)&amp;"输出",标准坦克设计!$B$23:$U$23,0)))*(VLOOKUP($B214,INDIRECT($B$5&amp;"生成成长"),3))*(VLOOKUP($B$5,标准坦克设计!$B$14:$K$20,9)/30))</f>
        <v>8.4158934678716495</v>
      </c>
      <c r="EZ214" s="173">
        <f ca="1">(VLOOKUP(EZ$72,INDIRECT($C$5&amp;"生成成长"),2))/((VLOOKUP($B214,INDIRECT($B$5&amp;"生成成长"),4))/(VLOOKUP(EZ$72,INDIRECT($C$5&amp;"生成成长"),5))*(VLOOKUP($B$5,标准坦克设计!$B$24:$U$30,MATCH("对"&amp;LEFT($C$5,2)&amp;"输出",标准坦克设计!$B$23:$U$23,0)))*(VLOOKUP($B214,INDIRECT($B$5&amp;"生成成长"),3))*(VLOOKUP($B$5,标准坦克设计!$B$14:$K$20,9)/30))</f>
        <v>8.9759541221385835</v>
      </c>
      <c r="FA214" s="173">
        <f ca="1">(VLOOKUP(FA$72,INDIRECT($C$5&amp;"生成成长"),2))/((VLOOKUP($B214,INDIRECT($B$5&amp;"生成成长"),4))/(VLOOKUP(FA$72,INDIRECT($C$5&amp;"生成成长"),5))*(VLOOKUP($B$5,标准坦克设计!$B$24:$U$30,MATCH("对"&amp;LEFT($C$5,2)&amp;"输出",标准坦克设计!$B$23:$U$23,0)))*(VLOOKUP($B214,INDIRECT($B$5&amp;"生成成长"),3))*(VLOOKUP($B$5,标准坦克设计!$B$14:$K$20,9)/30))</f>
        <v>9.5540547974800027</v>
      </c>
      <c r="FB214" s="173">
        <f ca="1">(VLOOKUP(FB$72,INDIRECT($C$5&amp;"生成成长"),2))/((VLOOKUP($B214,INDIRECT($B$5&amp;"生成成长"),4))/(VLOOKUP(FB$72,INDIRECT($C$5&amp;"生成成长"),5))*(VLOOKUP($B$5,标准坦克设计!$B$24:$U$30,MATCH("对"&amp;LEFT($C$5,2)&amp;"输出",标准坦克设计!$B$23:$U$23,0)))*(VLOOKUP($B214,INDIRECT($B$5&amp;"生成成长"),3))*(VLOOKUP($B$5,标准坦克设计!$B$14:$K$20,9)/30))</f>
        <v>10.150195493895902</v>
      </c>
      <c r="FC214" s="173">
        <f ca="1">(VLOOKUP(FC$72,INDIRECT($C$5&amp;"生成成长"),2))/((VLOOKUP($B214,INDIRECT($B$5&amp;"生成成长"),4))/(VLOOKUP(FC$72,INDIRECT($C$5&amp;"生成成长"),5))*(VLOOKUP($B$5,标准坦克设计!$B$24:$U$30,MATCH("对"&amp;LEFT($C$5,2)&amp;"输出",标准坦克设计!$B$23:$U$23,0)))*(VLOOKUP($B214,INDIRECT($B$5&amp;"生成成长"),3))*(VLOOKUP($B$5,标准坦克设计!$B$14:$K$20,9)/30))</f>
        <v>10.76437621138629</v>
      </c>
      <c r="FD214" s="173">
        <f ca="1">(VLOOKUP(FD$72,INDIRECT($C$5&amp;"生成成长"),2))/((VLOOKUP($B214,INDIRECT($B$5&amp;"生成成长"),4))/(VLOOKUP(FD$72,INDIRECT($C$5&amp;"生成成长"),5))*(VLOOKUP($B$5,标准坦克设计!$B$24:$U$30,MATCH("对"&amp;LEFT($C$5,2)&amp;"输出",标准坦克设计!$B$23:$U$23,0)))*(VLOOKUP($B214,INDIRECT($B$5&amp;"生成成长"),3))*(VLOOKUP($B$5,标准坦克设计!$B$14:$K$20,9)/30))</f>
        <v>11.396596949951157</v>
      </c>
      <c r="FE214" s="173">
        <f ca="1">(VLOOKUP(FE$72,INDIRECT($C$5&amp;"生成成长"),2))/((VLOOKUP($B214,INDIRECT($B$5&amp;"生成成长"),4))/(VLOOKUP(FE$72,INDIRECT($C$5&amp;"生成成长"),5))*(VLOOKUP($B$5,标准坦克设计!$B$24:$U$30,MATCH("对"&amp;LEFT($C$5,2)&amp;"输出",标准坦克设计!$B$23:$U$23,0)))*(VLOOKUP($B214,INDIRECT($B$5&amp;"生成成长"),3))*(VLOOKUP($B$5,标准坦克设计!$B$14:$K$20,9)/30))</f>
        <v>12.167025122698231</v>
      </c>
      <c r="FF214" s="173">
        <f ca="1">(VLOOKUP(FF$72,INDIRECT($C$5&amp;"生成成长"),2))/((VLOOKUP($B214,INDIRECT($B$5&amp;"生成成长"),4))/(VLOOKUP(FF$72,INDIRECT($C$5&amp;"生成成长"),5))*(VLOOKUP($B$5,标准坦克设计!$B$24:$U$30,MATCH("对"&amp;LEFT($C$5,2)&amp;"输出",标准坦克设计!$B$23:$U$23,0)))*(VLOOKUP($B214,INDIRECT($B$5&amp;"生成成长"),3))*(VLOOKUP($B$5,标准坦克设计!$B$14:$K$20,9)/30))</f>
        <v>12.962649688516276</v>
      </c>
      <c r="FG214" s="173">
        <f ca="1">(VLOOKUP(FG$72,INDIRECT($C$5&amp;"生成成长"),2))/((VLOOKUP($B214,INDIRECT($B$5&amp;"生成成长"),4))/(VLOOKUP(FG$72,INDIRECT($C$5&amp;"生成成长"),5))*(VLOOKUP($B$5,标准坦克设计!$B$24:$U$30,MATCH("对"&amp;LEFT($C$5,2)&amp;"输出",标准坦克设计!$B$23:$U$23,0)))*(VLOOKUP($B214,INDIRECT($B$5&amp;"生成成长"),3))*(VLOOKUP($B$5,标准坦克设计!$B$14:$K$20,9)/30))</f>
        <v>13.783470647405293</v>
      </c>
      <c r="FH214" s="173">
        <f ca="1">(VLOOKUP(FH$72,INDIRECT($C$5&amp;"生成成长"),2))/((VLOOKUP($B214,INDIRECT($B$5&amp;"生成成长"),4))/(VLOOKUP(FH$72,INDIRECT($C$5&amp;"生成成长"),5))*(VLOOKUP($B$5,标准坦克设计!$B$24:$U$30,MATCH("对"&amp;LEFT($C$5,2)&amp;"输出",标准坦克设计!$B$23:$U$23,0)))*(VLOOKUP($B214,INDIRECT($B$5&amp;"生成成长"),3))*(VLOOKUP($B$5,标准坦克设计!$B$14:$K$20,9)/30))</f>
        <v>14.629487999365287</v>
      </c>
      <c r="FI214" s="173">
        <f ca="1">(VLOOKUP(FI$72,INDIRECT($C$5&amp;"生成成长"),2))/((VLOOKUP($B214,INDIRECT($B$5&amp;"生成成长"),4))/(VLOOKUP(FI$72,INDIRECT($C$5&amp;"生成成长"),5))*(VLOOKUP($B$5,标准坦克设计!$B$24:$U$30,MATCH("对"&amp;LEFT($C$5,2)&amp;"输出",标准坦克设计!$B$23:$U$23,0)))*(VLOOKUP($B214,INDIRECT($B$5&amp;"生成成长"),3))*(VLOOKUP($B$5,标准坦克设计!$B$14:$K$20,9)/30))</f>
        <v>15.500701744396256</v>
      </c>
      <c r="FJ214" s="173">
        <f ca="1">(VLOOKUP(FJ$72,INDIRECT($C$5&amp;"生成成长"),2))/((VLOOKUP($B214,INDIRECT($B$5&amp;"生成成长"),4))/(VLOOKUP(FJ$72,INDIRECT($C$5&amp;"生成成长"),5))*(VLOOKUP($B$5,标准坦克设计!$B$24:$U$30,MATCH("对"&amp;LEFT($C$5,2)&amp;"输出",标准坦克设计!$B$23:$U$23,0)))*(VLOOKUP($B214,INDIRECT($B$5&amp;"生成成长"),3))*(VLOOKUP($B$5,标准坦克设计!$B$14:$K$20,9)/30))</f>
        <v>16.397111882498194</v>
      </c>
      <c r="FK214" s="173">
        <f ca="1">(VLOOKUP(FK$72,INDIRECT($C$5&amp;"生成成长"),2))/((VLOOKUP($B214,INDIRECT($B$5&amp;"生成成长"),4))/(VLOOKUP(FK$72,INDIRECT($C$5&amp;"生成成长"),5))*(VLOOKUP($B$5,标准坦克设计!$B$24:$U$30,MATCH("对"&amp;LEFT($C$5,2)&amp;"输出",标准坦克设计!$B$23:$U$23,0)))*(VLOOKUP($B214,INDIRECT($B$5&amp;"生成成长"),3))*(VLOOKUP($B$5,标准坦克设计!$B$14:$K$20,9)/30))</f>
        <v>17.31871841367111</v>
      </c>
    </row>
    <row r="215" spans="1:167" x14ac:dyDescent="0.15">
      <c r="A215" s="171" t="str">
        <f t="shared" si="13"/>
        <v>T4高品质17级</v>
      </c>
      <c r="B215" s="172">
        <v>30417</v>
      </c>
      <c r="C215" s="173">
        <f ca="1">(VLOOKUP(C$72,INDIRECT($C$5&amp;"生成成长"),2))/((VLOOKUP($B215,INDIRECT($B$5&amp;"生成成长"),4))/(VLOOKUP(C$72,INDIRECT($C$5&amp;"生成成长"),5))*(VLOOKUP($B$5,标准坦克设计!$B$24:$U$30,MATCH("对"&amp;LEFT($C$5,2)&amp;"输出",标准坦克设计!$B$23:$U$23,0)))*(VLOOKUP($B215,INDIRECT($B$5&amp;"生成成长"),3))*(VLOOKUP($B$5,标准坦克设计!$B$14:$K$20,9)/30))</f>
        <v>0.69565227185628864</v>
      </c>
      <c r="D215" s="173">
        <f ca="1">(VLOOKUP(D$72,INDIRECT($C$5&amp;"生成成长"),2))/((VLOOKUP($B215,INDIRECT($B$5&amp;"生成成长"),4))/(VLOOKUP(D$72,INDIRECT($C$5&amp;"生成成长"),5))*(VLOOKUP($B$5,标准坦克设计!$B$24:$U$30,MATCH("对"&amp;LEFT($C$5,2)&amp;"输出",标准坦克设计!$B$23:$U$23,0)))*(VLOOKUP($B215,INDIRECT($B$5&amp;"生成成长"),3))*(VLOOKUP($B$5,标准坦克设计!$B$14:$K$20,9)/30))</f>
        <v>0.7816348926577259</v>
      </c>
      <c r="E215" s="173">
        <f ca="1">(VLOOKUP(E$72,INDIRECT($C$5&amp;"生成成长"),2))/((VLOOKUP($B215,INDIRECT($B$5&amp;"生成成长"),4))/(VLOOKUP(E$72,INDIRECT($C$5&amp;"生成成长"),5))*(VLOOKUP($B$5,标准坦克设计!$B$24:$U$30,MATCH("对"&amp;LEFT($C$5,2)&amp;"输出",标准坦克设计!$B$23:$U$23,0)))*(VLOOKUP($B215,INDIRECT($B$5&amp;"生成成长"),3))*(VLOOKUP($B$5,标准坦克设计!$B$14:$K$20,9)/30))</f>
        <v>0.87262620981652828</v>
      </c>
      <c r="F215" s="173">
        <f ca="1">(VLOOKUP(F$72,INDIRECT($C$5&amp;"生成成长"),2))/((VLOOKUP($B215,INDIRECT($B$5&amp;"生成成长"),4))/(VLOOKUP(F$72,INDIRECT($C$5&amp;"生成成长"),5))*(VLOOKUP($B$5,标准坦克设计!$B$24:$U$30,MATCH("对"&amp;LEFT($C$5,2)&amp;"输出",标准坦克设计!$B$23:$U$23,0)))*(VLOOKUP($B215,INDIRECT($B$5&amp;"生成成长"),3))*(VLOOKUP($B$5,标准坦克设计!$B$14:$K$20,9)/30))</f>
        <v>0.96862622333269621</v>
      </c>
      <c r="G215" s="173">
        <f ca="1">(VLOOKUP(G$72,INDIRECT($C$5&amp;"生成成长"),2))/((VLOOKUP($B215,INDIRECT($B$5&amp;"生成成长"),4))/(VLOOKUP(G$72,INDIRECT($C$5&amp;"生成成长"),5))*(VLOOKUP($B$5,标准坦克设计!$B$24:$U$30,MATCH("对"&amp;LEFT($C$5,2)&amp;"输出",标准坦克设计!$B$23:$U$23,0)))*(VLOOKUP($B215,INDIRECT($B$5&amp;"生成成长"),3))*(VLOOKUP($B$5,标准坦克设计!$B$14:$K$20,9)/30))</f>
        <v>1.0696349332062294</v>
      </c>
      <c r="H215" s="173">
        <f ca="1">(VLOOKUP(H$72,INDIRECT($C$5&amp;"生成成长"),2))/((VLOOKUP($B215,INDIRECT($B$5&amp;"生成成长"),4))/(VLOOKUP(H$72,INDIRECT($C$5&amp;"生成成长"),5))*(VLOOKUP($B$5,标准坦克设计!$B$24:$U$30,MATCH("对"&amp;LEFT($C$5,2)&amp;"输出",标准坦克设计!$B$23:$U$23,0)))*(VLOOKUP($B215,INDIRECT($B$5&amp;"生成成长"),3))*(VLOOKUP($B$5,标准坦克设计!$B$14:$K$20,9)/30))</f>
        <v>0.93606969700982168</v>
      </c>
      <c r="I215" s="173">
        <f ca="1">(VLOOKUP(I$72,INDIRECT($C$5&amp;"生成成长"),2))/((VLOOKUP($B215,INDIRECT($B$5&amp;"生成成长"),4))/(VLOOKUP(I$72,INDIRECT($C$5&amp;"生成成长"),5))*(VLOOKUP($B$5,标准坦克设计!$B$24:$U$30,MATCH("对"&amp;LEFT($C$5,2)&amp;"输出",标准坦克设计!$B$23:$U$23,0)))*(VLOOKUP($B215,INDIRECT($B$5&amp;"生成成长"),3))*(VLOOKUP($B$5,标准坦克设计!$B$14:$K$20,9)/30))</f>
        <v>1.0696349332062294</v>
      </c>
      <c r="J215" s="173">
        <f ca="1">(VLOOKUP(J$72,INDIRECT($C$5&amp;"生成成长"),2))/((VLOOKUP($B215,INDIRECT($B$5&amp;"生成成长"),4))/(VLOOKUP(J$72,INDIRECT($C$5&amp;"生成成长"),5))*(VLOOKUP($B$5,标准坦克设计!$B$24:$U$30,MATCH("对"&amp;LEFT($C$5,2)&amp;"输出",标准坦克设计!$B$23:$U$23,0)))*(VLOOKUP($B215,INDIRECT($B$5&amp;"生成成长"),3))*(VLOOKUP($B$5,标准坦克设计!$B$14:$K$20,9)/30))</f>
        <v>1.2121045184823971</v>
      </c>
      <c r="K215" s="173">
        <f ca="1">(VLOOKUP(K$72,INDIRECT($C$5&amp;"生成成长"),2))/((VLOOKUP($B215,INDIRECT($B$5&amp;"生成成长"),4))/(VLOOKUP(K$72,INDIRECT($C$5&amp;"生成成长"),5))*(VLOOKUP($B$5,标准坦克设计!$B$24:$U$30,MATCH("对"&amp;LEFT($C$5,2)&amp;"输出",标准坦克设计!$B$23:$U$23,0)))*(VLOOKUP($B215,INDIRECT($B$5&amp;"生成成长"),3))*(VLOOKUP($B$5,标准坦克设计!$B$14:$K$20,9)/30))</f>
        <v>1.3634784528383252</v>
      </c>
      <c r="L215" s="173">
        <f ca="1">(VLOOKUP(L$72,INDIRECT($C$5&amp;"生成成长"),2))/((VLOOKUP($B215,INDIRECT($B$5&amp;"生成成长"),4))/(VLOOKUP(L$72,INDIRECT($C$5&amp;"生成成长"),5))*(VLOOKUP($B$5,标准坦克设计!$B$24:$U$30,MATCH("对"&amp;LEFT($C$5,2)&amp;"输出",标准坦克设计!$B$23:$U$23,0)))*(VLOOKUP($B215,INDIRECT($B$5&amp;"生成成长"),3))*(VLOOKUP($B$5,标准坦克设计!$B$14:$K$20,9)/30))</f>
        <v>1.5237567362740145</v>
      </c>
      <c r="M215" s="173">
        <f ca="1">(VLOOKUP(M$72,INDIRECT($C$5&amp;"生成成长"),2))/((VLOOKUP($B215,INDIRECT($B$5&amp;"生成成长"),4))/(VLOOKUP(M$72,INDIRECT($C$5&amp;"生成成长"),5))*(VLOOKUP($B$5,标准坦克设计!$B$24:$U$30,MATCH("对"&amp;LEFT($C$5,2)&amp;"输出",标准坦克设计!$B$23:$U$23,0)))*(VLOOKUP($B215,INDIRECT($B$5&amp;"生成成长"),3))*(VLOOKUP($B$5,标准坦克设计!$B$14:$K$20,9)/30))</f>
        <v>1.6929393687894634</v>
      </c>
      <c r="N215" s="173">
        <f ca="1">(VLOOKUP(N$72,INDIRECT($C$5&amp;"生成成长"),2))/((VLOOKUP($B215,INDIRECT($B$5&amp;"生成成长"),4))/(VLOOKUP(N$72,INDIRECT($C$5&amp;"生成成长"),5))*(VLOOKUP($B$5,标准坦克设计!$B$24:$U$30,MATCH("对"&amp;LEFT($C$5,2)&amp;"输出",标准坦克设计!$B$23:$U$23,0)))*(VLOOKUP($B215,INDIRECT($B$5&amp;"生成成长"),3))*(VLOOKUP($B$5,标准坦克设计!$B$14:$K$20,9)/30))</f>
        <v>1.8710263503846736</v>
      </c>
      <c r="O215" s="173">
        <f ca="1">(VLOOKUP(O$72,INDIRECT($C$5&amp;"生成成长"),2))/((VLOOKUP($B215,INDIRECT($B$5&amp;"生成成长"),4))/(VLOOKUP(O$72,INDIRECT($C$5&amp;"生成成长"),5))*(VLOOKUP($B$5,标准坦克设计!$B$24:$U$30,MATCH("对"&amp;LEFT($C$5,2)&amp;"输出",标准坦克设计!$B$23:$U$23,0)))*(VLOOKUP($B215,INDIRECT($B$5&amp;"生成成长"),3))*(VLOOKUP($B$5,标准坦克设计!$B$14:$K$20,9)/30))</f>
        <v>1.4225393307189245</v>
      </c>
      <c r="P215" s="173">
        <f ca="1">(VLOOKUP(P$72,INDIRECT($C$5&amp;"生成成长"),2))/((VLOOKUP($B215,INDIRECT($B$5&amp;"生成成长"),4))/(VLOOKUP(P$72,INDIRECT($C$5&amp;"生成成长"),5))*(VLOOKUP($B$5,标准坦克设计!$B$24:$U$30,MATCH("对"&amp;LEFT($C$5,2)&amp;"输出",标准坦克设计!$B$23:$U$23,0)))*(VLOOKUP($B215,INDIRECT($B$5&amp;"生成成长"),3))*(VLOOKUP($B$5,标准坦克设计!$B$14:$K$20,9)/30))</f>
        <v>1.6072350088967688</v>
      </c>
      <c r="Q215" s="173">
        <f ca="1">(VLOOKUP(Q$72,INDIRECT($C$5&amp;"生成成长"),2))/((VLOOKUP($B215,INDIRECT($B$5&amp;"生成成长"),4))/(VLOOKUP(Q$72,INDIRECT($C$5&amp;"生成成长"),5))*(VLOOKUP($B$5,标准坦克设计!$B$24:$U$30,MATCH("对"&amp;LEFT($C$5,2)&amp;"输出",标准坦克设计!$B$23:$U$23,0)))*(VLOOKUP($B215,INDIRECT($B$5&amp;"生成成长"),3))*(VLOOKUP($B$5,标准坦克设计!$B$14:$K$20,9)/30))</f>
        <v>1.8032002538786853</v>
      </c>
      <c r="R215" s="173">
        <f ca="1">(VLOOKUP(R$72,INDIRECT($C$5&amp;"生成成长"),2))/((VLOOKUP($B215,INDIRECT($B$5&amp;"生成成长"),4))/(VLOOKUP(R$72,INDIRECT($C$5&amp;"生成成长"),5))*(VLOOKUP($B$5,标准坦克设计!$B$24:$U$30,MATCH("对"&amp;LEFT($C$5,2)&amp;"输出",标准坦克设计!$B$23:$U$23,0)))*(VLOOKUP($B215,INDIRECT($B$5&amp;"生成成长"),3))*(VLOOKUP($B$5,标准坦克设计!$B$14:$K$20,9)/30))</f>
        <v>2.0104350656646734</v>
      </c>
      <c r="S215" s="173">
        <f ca="1">(VLOOKUP(S$72,INDIRECT($C$5&amp;"生成成长"),2))/((VLOOKUP($B215,INDIRECT($B$5&amp;"生成成长"),4))/(VLOOKUP(S$72,INDIRECT($C$5&amp;"生成成长"),5))*(VLOOKUP($B$5,标准坦克设计!$B$24:$U$30,MATCH("对"&amp;LEFT($C$5,2)&amp;"输出",标准坦克设计!$B$23:$U$23,0)))*(VLOOKUP($B215,INDIRECT($B$5&amp;"生成成长"),3))*(VLOOKUP($B$5,标准坦克设计!$B$14:$K$20,9)/30))</f>
        <v>2.2289394442547339</v>
      </c>
      <c r="T215" s="173">
        <f ca="1">(VLOOKUP(T$72,INDIRECT($C$5&amp;"生成成长"),2))/((VLOOKUP($B215,INDIRECT($B$5&amp;"生成成长"),4))/(VLOOKUP(T$72,INDIRECT($C$5&amp;"生成成长"),5))*(VLOOKUP($B$5,标准坦克设计!$B$24:$U$30,MATCH("对"&amp;LEFT($C$5,2)&amp;"输出",标准坦克设计!$B$23:$U$23,0)))*(VLOOKUP($B215,INDIRECT($B$5&amp;"生成成长"),3))*(VLOOKUP($B$5,标准坦克设计!$B$14:$K$20,9)/30))</f>
        <v>2.4587133896488655</v>
      </c>
      <c r="U215" s="173">
        <f ca="1">(VLOOKUP(U$72,INDIRECT($C$5&amp;"生成成长"),2))/((VLOOKUP($B215,INDIRECT($B$5&amp;"生成成长"),4))/(VLOOKUP(U$72,INDIRECT($C$5&amp;"生成成长"),5))*(VLOOKUP($B$5,标准坦克设计!$B$24:$U$30,MATCH("对"&amp;LEFT($C$5,2)&amp;"输出",标准坦克设计!$B$23:$U$23,0)))*(VLOOKUP($B215,INDIRECT($B$5&amp;"生成成长"),3))*(VLOOKUP($B$5,标准坦克设计!$B$14:$K$20,9)/30))</f>
        <v>2.6997569018470697</v>
      </c>
      <c r="V215" s="173">
        <f ca="1">(VLOOKUP(V$72,INDIRECT($C$5&amp;"生成成长"),2))/((VLOOKUP($B215,INDIRECT($B$5&amp;"生成成长"),4))/(VLOOKUP(V$72,INDIRECT($C$5&amp;"生成成长"),5))*(VLOOKUP($B$5,标准坦克设计!$B$24:$U$30,MATCH("对"&amp;LEFT($C$5,2)&amp;"输出",标准坦克设计!$B$23:$U$23,0)))*(VLOOKUP($B215,INDIRECT($B$5&amp;"生成成长"),3))*(VLOOKUP($B$5,标准坦克设计!$B$14:$K$20,9)/30))</f>
        <v>2.9520699808493456</v>
      </c>
      <c r="W215" s="173">
        <f ca="1">(VLOOKUP(W$72,INDIRECT($C$5&amp;"生成成长"),2))/((VLOOKUP($B215,INDIRECT($B$5&amp;"生成成长"),4))/(VLOOKUP(W$72,INDIRECT($C$5&amp;"生成成长"),5))*(VLOOKUP($B$5,标准坦克设计!$B$24:$U$30,MATCH("对"&amp;LEFT($C$5,2)&amp;"输出",标准坦克设计!$B$23:$U$23,0)))*(VLOOKUP($B215,INDIRECT($B$5&amp;"生成成长"),3))*(VLOOKUP($B$5,标准坦克设计!$B$14:$K$20,9)/30))</f>
        <v>3.215652626655694</v>
      </c>
      <c r="X215" s="173">
        <f ca="1">(VLOOKUP(X$72,INDIRECT($C$5&amp;"生成成长"),2))/((VLOOKUP($B215,INDIRECT($B$5&amp;"生成成长"),4))/(VLOOKUP(X$72,INDIRECT($C$5&amp;"生成成长"),5))*(VLOOKUP($B$5,标准坦克设计!$B$24:$U$30,MATCH("对"&amp;LEFT($C$5,2)&amp;"输出",标准坦克设计!$B$23:$U$23,0)))*(VLOOKUP($B215,INDIRECT($B$5&amp;"生成成长"),3))*(VLOOKUP($B$5,标准坦克设计!$B$14:$K$20,9)/30))</f>
        <v>2.3296698932195241</v>
      </c>
      <c r="Y215" s="173">
        <f ca="1">(VLOOKUP(Y$72,INDIRECT($C$5&amp;"生成成长"),2))/((VLOOKUP($B215,INDIRECT($B$5&amp;"生成成长"),4))/(VLOOKUP(Y$72,INDIRECT($C$5&amp;"生成成长"),5))*(VLOOKUP($B$5,标准坦克设计!$B$24:$U$30,MATCH("对"&amp;LEFT($C$5,2)&amp;"输出",标准坦克设计!$B$23:$U$23,0)))*(VLOOKUP($B215,INDIRECT($B$5&amp;"生成成长"),3))*(VLOOKUP($B$5,标准坦克设计!$B$14:$K$20,9)/30))</f>
        <v>2.5912351474374886</v>
      </c>
      <c r="Z215" s="173">
        <f ca="1">(VLOOKUP(Z$72,INDIRECT($C$5&amp;"生成成长"),2))/((VLOOKUP($B215,INDIRECT($B$5&amp;"生成成长"),4))/(VLOOKUP(Z$72,INDIRECT($C$5&amp;"生成成长"),5))*(VLOOKUP($B$5,标准坦克设计!$B$24:$U$30,MATCH("对"&amp;LEFT($C$5,2)&amp;"输出",标准坦克设计!$B$23:$U$23,0)))*(VLOOKUP($B215,INDIRECT($B$5&amp;"生成成长"),3))*(VLOOKUP($B$5,标准坦克设计!$B$14:$K$20,9)/30))</f>
        <v>2.8667134470925792</v>
      </c>
      <c r="AA215" s="173">
        <f ca="1">(VLOOKUP(AA$72,INDIRECT($C$5&amp;"生成成长"),2))/((VLOOKUP($B215,INDIRECT($B$5&amp;"生成成长"),4))/(VLOOKUP(AA$72,INDIRECT($C$5&amp;"生成成长"),5))*(VLOOKUP($B$5,标准坦克设计!$B$24:$U$30,MATCH("对"&amp;LEFT($C$5,2)&amp;"输出",标准坦克设计!$B$23:$U$23,0)))*(VLOOKUP($B215,INDIRECT($B$5&amp;"生成成长"),3))*(VLOOKUP($B$5,标准坦克设计!$B$14:$K$20,9)/30))</f>
        <v>3.1561047921847947</v>
      </c>
      <c r="AB215" s="173">
        <f ca="1">(VLOOKUP(AB$72,INDIRECT($C$5&amp;"生成成长"),2))/((VLOOKUP($B215,INDIRECT($B$5&amp;"生成成长"),4))/(VLOOKUP(AB$72,INDIRECT($C$5&amp;"生成成长"),5))*(VLOOKUP($B$5,标准坦克设计!$B$24:$U$30,MATCH("对"&amp;LEFT($C$5,2)&amp;"输出",标准坦克设计!$B$23:$U$23,0)))*(VLOOKUP($B215,INDIRECT($B$5&amp;"生成成长"),3))*(VLOOKUP($B$5,标准坦克设计!$B$14:$K$20,9)/30))</f>
        <v>3.4594091827141371</v>
      </c>
      <c r="AC215" s="173">
        <f ca="1">(VLOOKUP(AC$72,INDIRECT($C$5&amp;"生成成长"),2))/((VLOOKUP($B215,INDIRECT($B$5&amp;"生成成长"),4))/(VLOOKUP(AC$72,INDIRECT($C$5&amp;"生成成长"),5))*(VLOOKUP($B$5,标准坦克设计!$B$24:$U$30,MATCH("对"&amp;LEFT($C$5,2)&amp;"输出",标准坦克设计!$B$23:$U$23,0)))*(VLOOKUP($B215,INDIRECT($B$5&amp;"生成成长"),3))*(VLOOKUP($B$5,标准坦克设计!$B$14:$K$20,9)/30))</f>
        <v>3.7766266186806043</v>
      </c>
      <c r="AD215" s="173">
        <f ca="1">(VLOOKUP(AD$72,INDIRECT($C$5&amp;"生成成长"),2))/((VLOOKUP($B215,INDIRECT($B$5&amp;"生成成长"),4))/(VLOOKUP(AD$72,INDIRECT($C$5&amp;"生成成长"),5))*(VLOOKUP($B$5,标准坦克设计!$B$24:$U$30,MATCH("对"&amp;LEFT($C$5,2)&amp;"输出",标准坦克设计!$B$23:$U$23,0)))*(VLOOKUP($B215,INDIRECT($B$5&amp;"生成成长"),3))*(VLOOKUP($B$5,标准坦克设计!$B$14:$K$20,9)/30))</f>
        <v>4.1077571000841981</v>
      </c>
      <c r="AE215" s="173">
        <f ca="1">(VLOOKUP(AE$72,INDIRECT($C$5&amp;"生成成长"),2))/((VLOOKUP($B215,INDIRECT($B$5&amp;"生成成长"),4))/(VLOOKUP(AE$72,INDIRECT($C$5&amp;"生成成长"),5))*(VLOOKUP($B$5,标准坦克设计!$B$24:$U$30,MATCH("对"&amp;LEFT($C$5,2)&amp;"输出",标准坦克设计!$B$23:$U$23,0)))*(VLOOKUP($B215,INDIRECT($B$5&amp;"生成成长"),3))*(VLOOKUP($B$5,标准坦克设计!$B$14:$K$20,9)/30))</f>
        <v>4.4528006269249163</v>
      </c>
      <c r="AF215" s="173">
        <f ca="1">(VLOOKUP(AF$72,INDIRECT($C$5&amp;"生成成长"),2))/((VLOOKUP($B215,INDIRECT($B$5&amp;"生成成长"),4))/(VLOOKUP(AF$72,INDIRECT($C$5&amp;"生成成长"),5))*(VLOOKUP($B$5,标准坦克设计!$B$24:$U$30,MATCH("对"&amp;LEFT($C$5,2)&amp;"输出",标准坦克设计!$B$23:$U$23,0)))*(VLOOKUP($B215,INDIRECT($B$5&amp;"生成成长"),3))*(VLOOKUP($B$5,标准坦克设计!$B$14:$K$20,9)/30))</f>
        <v>4.8117571992027619</v>
      </c>
      <c r="AG215" s="173">
        <f ca="1">(VLOOKUP(AG$72,INDIRECT($C$5&amp;"生成成长"),2))/((VLOOKUP($B215,INDIRECT($B$5&amp;"生成成长"),4))/(VLOOKUP(AG$72,INDIRECT($C$5&amp;"生成成长"),5))*(VLOOKUP($B$5,标准坦克设计!$B$24:$U$30,MATCH("对"&amp;LEFT($C$5,2)&amp;"输出",标准坦克设计!$B$23:$U$23,0)))*(VLOOKUP($B215,INDIRECT($B$5&amp;"生成成长"),3))*(VLOOKUP($B$5,标准坦克设计!$B$14:$K$20,9)/30))</f>
        <v>5.1846268169177323</v>
      </c>
      <c r="AH215" s="173">
        <f ca="1">(VLOOKUP(AH$72,INDIRECT($C$5&amp;"生成成长"),2))/((VLOOKUP($B215,INDIRECT($B$5&amp;"生成成长"),4))/(VLOOKUP(AH$72,INDIRECT($C$5&amp;"生成成长"),5))*(VLOOKUP($B$5,标准坦克设计!$B$24:$U$30,MATCH("对"&amp;LEFT($C$5,2)&amp;"输出",标准坦克设计!$B$23:$U$23,0)))*(VLOOKUP($B215,INDIRECT($B$5&amp;"生成成长"),3))*(VLOOKUP($B$5,标准坦克设计!$B$14:$K$20,9)/30))</f>
        <v>5.5714094800698293</v>
      </c>
      <c r="AI215" s="173">
        <f ca="1">(VLOOKUP(AI$72,INDIRECT($C$5&amp;"生成成长"),2))/((VLOOKUP($B215,INDIRECT($B$5&amp;"生成成长"),4))/(VLOOKUP(AI$72,INDIRECT($C$5&amp;"生成成长"),5))*(VLOOKUP($B$5,标准坦克设计!$B$24:$U$30,MATCH("对"&amp;LEFT($C$5,2)&amp;"输出",标准坦克设计!$B$23:$U$23,0)))*(VLOOKUP($B215,INDIRECT($B$5&amp;"生成成长"),3))*(VLOOKUP($B$5,标准坦克设计!$B$14:$K$20,9)/30))</f>
        <v>3.94045272870276</v>
      </c>
      <c r="AJ215" s="173">
        <f ca="1">(VLOOKUP(AJ$72,INDIRECT($C$5&amp;"生成成长"),2))/((VLOOKUP($B215,INDIRECT($B$5&amp;"生成成长"),4))/(VLOOKUP(AJ$72,INDIRECT($C$5&amp;"生成成长"),5))*(VLOOKUP($B$5,标准坦克设计!$B$24:$U$30,MATCH("对"&amp;LEFT($C$5,2)&amp;"输出",标准坦克设计!$B$23:$U$23,0)))*(VLOOKUP($B215,INDIRECT($B$5&amp;"生成成长"),3))*(VLOOKUP($B$5,标准坦克设计!$B$14:$K$20,9)/30))</f>
        <v>4.3131136507361747</v>
      </c>
      <c r="AK215" s="173">
        <f ca="1">(VLOOKUP(AK$72,INDIRECT($C$5&amp;"生成成长"),2))/((VLOOKUP($B215,INDIRECT($B$5&amp;"生成成长"),4))/(VLOOKUP(AK$72,INDIRECT($C$5&amp;"生成成长"),5))*(VLOOKUP($B$5,标准坦克设计!$B$24:$U$30,MATCH("对"&amp;LEFT($C$5,2)&amp;"输出",标准坦克设计!$B$23:$U$23,0)))*(VLOOKUP($B215,INDIRECT($B$5&amp;"生成成长"),3))*(VLOOKUP($B$5,标准坦克设计!$B$14:$K$20,9)/30))</f>
        <v>4.7026093577485106</v>
      </c>
      <c r="AL215" s="173">
        <f ca="1">(VLOOKUP(AL$72,INDIRECT($C$5&amp;"生成成长"),2))/((VLOOKUP($B215,INDIRECT($B$5&amp;"生成成长"),4))/(VLOOKUP(AL$72,INDIRECT($C$5&amp;"生成成长"),5))*(VLOOKUP($B$5,标准坦克设计!$B$24:$U$30,MATCH("对"&amp;LEFT($C$5,2)&amp;"输出",标准坦克设计!$B$23:$U$23,0)))*(VLOOKUP($B215,INDIRECT($B$5&amp;"生成成长"),3))*(VLOOKUP($B$5,标准坦克设计!$B$14:$K$20,9)/30))</f>
        <v>5.1089398497397687</v>
      </c>
      <c r="AM215" s="173">
        <f ca="1">(VLOOKUP(AM$72,INDIRECT($C$5&amp;"生成成长"),2))/((VLOOKUP($B215,INDIRECT($B$5&amp;"生成成长"),4))/(VLOOKUP(AM$72,INDIRECT($C$5&amp;"生成成长"),5))*(VLOOKUP($B$5,标准坦克设计!$B$24:$U$30,MATCH("对"&amp;LEFT($C$5,2)&amp;"输出",标准坦克设计!$B$23:$U$23,0)))*(VLOOKUP($B215,INDIRECT($B$5&amp;"生成成长"),3))*(VLOOKUP($B$5,标准坦克设计!$B$14:$K$20,9)/30))</f>
        <v>5.5321051267099488</v>
      </c>
      <c r="AN215" s="173">
        <f ca="1">(VLOOKUP(AN$72,INDIRECT($C$5&amp;"生成成长"),2))/((VLOOKUP($B215,INDIRECT($B$5&amp;"生成成长"),4))/(VLOOKUP(AN$72,INDIRECT($C$5&amp;"生成成长"),5))*(VLOOKUP($B$5,标准坦克设计!$B$24:$U$30,MATCH("对"&amp;LEFT($C$5,2)&amp;"输出",标准坦克设计!$B$23:$U$23,0)))*(VLOOKUP($B215,INDIRECT($B$5&amp;"生成成长"),3))*(VLOOKUP($B$5,标准坦克设计!$B$14:$K$20,9)/30))</f>
        <v>5.9721051886590519</v>
      </c>
      <c r="AO215" s="173">
        <f ca="1">(VLOOKUP(AO$72,INDIRECT($C$5&amp;"生成成长"),2))/((VLOOKUP($B215,INDIRECT($B$5&amp;"生成成长"),4))/(VLOOKUP(AO$72,INDIRECT($C$5&amp;"生成成长"),5))*(VLOOKUP($B$5,标准坦克设计!$B$24:$U$30,MATCH("对"&amp;LEFT($C$5,2)&amp;"输出",标准坦克设计!$B$23:$U$23,0)))*(VLOOKUP($B215,INDIRECT($B$5&amp;"生成成长"),3))*(VLOOKUP($B$5,标准坦克设计!$B$14:$K$20,9)/30))</f>
        <v>6.4289400355870754</v>
      </c>
      <c r="AP215" s="173">
        <f ca="1">(VLOOKUP(AP$72,INDIRECT($C$5&amp;"生成成长"),2))/((VLOOKUP($B215,INDIRECT($B$5&amp;"生成成长"),4))/(VLOOKUP(AP$72,INDIRECT($C$5&amp;"生成成长"),5))*(VLOOKUP($B$5,标准坦克设计!$B$24:$U$30,MATCH("对"&amp;LEFT($C$5,2)&amp;"输出",标准坦克设计!$B$23:$U$23,0)))*(VLOOKUP($B215,INDIRECT($B$5&amp;"生成成长"),3))*(VLOOKUP($B$5,标准坦克设计!$B$14:$K$20,9)/30))</f>
        <v>6.9026096674940218</v>
      </c>
      <c r="AQ215" s="173">
        <f ca="1">(VLOOKUP(AQ$72,INDIRECT($C$5&amp;"生成成长"),2))/((VLOOKUP($B215,INDIRECT($B$5&amp;"生成成长"),4))/(VLOOKUP(AQ$72,INDIRECT($C$5&amp;"生成成长"),5))*(VLOOKUP($B$5,标准坦克设计!$B$24:$U$30,MATCH("对"&amp;LEFT($C$5,2)&amp;"输出",标准坦克设计!$B$23:$U$23,0)))*(VLOOKUP($B215,INDIRECT($B$5&amp;"生成成长"),3))*(VLOOKUP($B$5,标准坦克设计!$B$14:$K$20,9)/30))</f>
        <v>7.3931140843798904</v>
      </c>
      <c r="AR215" s="173">
        <f ca="1">(VLOOKUP(AR$72,INDIRECT($C$5&amp;"生成成长"),2))/((VLOOKUP($B215,INDIRECT($B$5&amp;"生成成长"),4))/(VLOOKUP(AR$72,INDIRECT($C$5&amp;"生成成长"),5))*(VLOOKUP($B$5,标准坦克设计!$B$24:$U$30,MATCH("对"&amp;LEFT($C$5,2)&amp;"输出",标准坦克设计!$B$23:$U$23,0)))*(VLOOKUP($B215,INDIRECT($B$5&amp;"生成成长"),3))*(VLOOKUP($B$5,标准坦克设计!$B$14:$K$20,9)/30))</f>
        <v>7.9004532862446828</v>
      </c>
      <c r="AS215" s="173">
        <f ca="1">(VLOOKUP(AS$72,INDIRECT($C$5&amp;"生成成长"),2))/((VLOOKUP($B215,INDIRECT($B$5&amp;"生成成长"),4))/(VLOOKUP(AS$72,INDIRECT($C$5&amp;"生成成长"),5))*(VLOOKUP($B$5,标准坦克设计!$B$24:$U$30,MATCH("对"&amp;LEFT($C$5,2)&amp;"输出",标准坦克设计!$B$23:$U$23,0)))*(VLOOKUP($B215,INDIRECT($B$5&amp;"生成成长"),3))*(VLOOKUP($B$5,标准坦克设计!$B$14:$K$20,9)/30))</f>
        <v>8.4246272730883955</v>
      </c>
      <c r="AT215" s="173">
        <f ca="1">(VLOOKUP(AT$72,INDIRECT($C$5&amp;"生成成长"),2))/((VLOOKUP($B215,INDIRECT($B$5&amp;"生成成长"),4))/(VLOOKUP(AT$72,INDIRECT($C$5&amp;"生成成长"),5))*(VLOOKUP($B$5,标准坦克设计!$B$24:$U$30,MATCH("对"&amp;LEFT($C$5,2)&amp;"输出",标准坦克设计!$B$23:$U$23,0)))*(VLOOKUP($B215,INDIRECT($B$5&amp;"生成成长"),3))*(VLOOKUP($B$5,标准坦克设计!$B$14:$K$20,9)/30))</f>
        <v>8.9656360449110313</v>
      </c>
      <c r="AU215" s="173">
        <f ca="1">(VLOOKUP(AU$72,INDIRECT($C$5&amp;"生成成长"),2))/((VLOOKUP($B215,INDIRECT($B$5&amp;"生成成长"),4))/(VLOOKUP(AU$72,INDIRECT($C$5&amp;"生成成长"),5))*(VLOOKUP($B$5,标准坦克设计!$B$24:$U$30,MATCH("对"&amp;LEFT($C$5,2)&amp;"输出",标准坦克设计!$B$23:$U$23,0)))*(VLOOKUP($B215,INDIRECT($B$5&amp;"生成成长"),3))*(VLOOKUP($B$5,标准坦克设计!$B$14:$K$20,9)/30))</f>
        <v>9.5234796017125891</v>
      </c>
      <c r="AV215" s="173">
        <f ca="1">(VLOOKUP(AV$72,INDIRECT($C$5&amp;"生成成长"),2))/((VLOOKUP($B215,INDIRECT($B$5&amp;"生成成长"),4))/(VLOOKUP(AV$72,INDIRECT($C$5&amp;"生成成长"),5))*(VLOOKUP($B$5,标准坦克设计!$B$24:$U$30,MATCH("对"&amp;LEFT($C$5,2)&amp;"输出",标准坦克设计!$B$23:$U$23,0)))*(VLOOKUP($B215,INDIRECT($B$5&amp;"生成成长"),3))*(VLOOKUP($B$5,标准坦克设计!$B$14:$K$20,9)/30))</f>
        <v>0.96862622333269621</v>
      </c>
      <c r="AW215" s="173">
        <f ca="1">(VLOOKUP(AW$72,INDIRECT($C$5&amp;"生成成长"),2))/((VLOOKUP($B215,INDIRECT($B$5&amp;"生成成长"),4))/(VLOOKUP(AW$72,INDIRECT($C$5&amp;"生成成长"),5))*(VLOOKUP($B$5,标准坦克设计!$B$24:$U$30,MATCH("对"&amp;LEFT($C$5,2)&amp;"输出",标准坦克设计!$B$23:$U$23,0)))*(VLOOKUP($B215,INDIRECT($B$5&amp;"生成成长"),3))*(VLOOKUP($B$5,标准坦克设计!$B$14:$K$20,9)/30))</f>
        <v>1.1044175467990438</v>
      </c>
      <c r="AX215" s="173">
        <f ca="1">(VLOOKUP(AX$72,INDIRECT($C$5&amp;"生成成长"),2))/((VLOOKUP($B215,INDIRECT($B$5&amp;"生成成长"),4))/(VLOOKUP(AX$72,INDIRECT($C$5&amp;"生成成长"),5))*(VLOOKUP($B$5,标准坦克设计!$B$24:$U$30,MATCH("对"&amp;LEFT($C$5,2)&amp;"输出",标准坦克设计!$B$23:$U$23,0)))*(VLOOKUP($B215,INDIRECT($B$5&amp;"生成成长"),3))*(VLOOKUP($B$5,标准坦克设计!$B$14:$K$20,9)/30))</f>
        <v>1.2491132193451517</v>
      </c>
      <c r="AY215" s="173">
        <f ca="1">(VLOOKUP(AY$72,INDIRECT($C$5&amp;"生成成长"),2))/((VLOOKUP($B215,INDIRECT($B$5&amp;"生成成长"),4))/(VLOOKUP(AY$72,INDIRECT($C$5&amp;"生成成长"),5))*(VLOOKUP($B$5,标准坦克设计!$B$24:$U$30,MATCH("对"&amp;LEFT($C$5,2)&amp;"输出",标准坦克设计!$B$23:$U$23,0)))*(VLOOKUP($B215,INDIRECT($B$5&amp;"生成成长"),3))*(VLOOKUP($B$5,标准坦克设计!$B$14:$K$20,9)/30))</f>
        <v>1.4027132409710201</v>
      </c>
      <c r="AZ215" s="173">
        <f ca="1">(VLOOKUP(AZ$72,INDIRECT($C$5&amp;"生成成长"),2))/((VLOOKUP($B215,INDIRECT($B$5&amp;"生成成长"),4))/(VLOOKUP(AZ$72,INDIRECT($C$5&amp;"生成成长"),5))*(VLOOKUP($B$5,标准坦克设计!$B$24:$U$30,MATCH("对"&amp;LEFT($C$5,2)&amp;"输出",标准坦克设计!$B$23:$U$23,0)))*(VLOOKUP($B215,INDIRECT($B$5&amp;"生成成长"),3))*(VLOOKUP($B$5,标准坦克设计!$B$14:$K$20,9)/30))</f>
        <v>1.565217611676649</v>
      </c>
      <c r="BA215" s="173">
        <f ca="1">(VLOOKUP(BA$72,INDIRECT($C$5&amp;"生成成长"),2))/((VLOOKUP($B215,INDIRECT($B$5&amp;"生成成长"),4))/(VLOOKUP(BA$72,INDIRECT($C$5&amp;"生成成长"),5))*(VLOOKUP($B$5,标准坦克设计!$B$24:$U$30,MATCH("对"&amp;LEFT($C$5,2)&amp;"输出",标准坦克设计!$B$23:$U$23,0)))*(VLOOKUP($B215,INDIRECT($B$5&amp;"生成成长"),3))*(VLOOKUP($B$5,标准坦克设计!$B$14:$K$20,9)/30))</f>
        <v>1.7366263314620383</v>
      </c>
      <c r="BB215" s="173">
        <f ca="1">(VLOOKUP(BB$72,INDIRECT($C$5&amp;"生成成长"),2))/((VLOOKUP($B215,INDIRECT($B$5&amp;"生成成长"),4))/(VLOOKUP(BB$72,INDIRECT($C$5&amp;"生成成长"),5))*(VLOOKUP($B$5,标准坦克设计!$B$24:$U$30,MATCH("对"&amp;LEFT($C$5,2)&amp;"输出",标准坦克设计!$B$23:$U$23,0)))*(VLOOKUP($B215,INDIRECT($B$5&amp;"生成成长"),3))*(VLOOKUP($B$5,标准坦克设计!$B$14:$K$20,9)/30))</f>
        <v>1.9169394003271882</v>
      </c>
      <c r="BC215" s="173">
        <f ca="1">(VLOOKUP(BC$72,INDIRECT($C$5&amp;"生成成长"),2))/((VLOOKUP($B215,INDIRECT($B$5&amp;"生成成长"),4))/(VLOOKUP(BC$72,INDIRECT($C$5&amp;"生成成长"),5))*(VLOOKUP($B$5,标准坦克设计!$B$24:$U$30,MATCH("对"&amp;LEFT($C$5,2)&amp;"输出",标准坦克设计!$B$23:$U$23,0)))*(VLOOKUP($B215,INDIRECT($B$5&amp;"生成成长"),3))*(VLOOKUP($B$5,标准坦克设计!$B$14:$K$20,9)/30))</f>
        <v>2.1061568182720989</v>
      </c>
      <c r="BD215" s="173">
        <f ca="1">(VLOOKUP(BD$72,INDIRECT($C$5&amp;"生成成长"),2))/((VLOOKUP($B215,INDIRECT($B$5&amp;"生成成长"),4))/(VLOOKUP(BD$72,INDIRECT($C$5&amp;"生成成长"),5))*(VLOOKUP($B$5,标准坦克设计!$B$24:$U$30,MATCH("对"&amp;LEFT($C$5,2)&amp;"输出",标准坦克设计!$B$23:$U$23,0)))*(VLOOKUP($B215,INDIRECT($B$5&amp;"生成成长"),3))*(VLOOKUP($B$5,标准坦克设计!$B$14:$K$20,9)/30))</f>
        <v>2.3296698932195241</v>
      </c>
      <c r="BE215" s="173">
        <f ca="1">(VLOOKUP(BE$72,INDIRECT($C$5&amp;"生成成长"),2))/((VLOOKUP($B215,INDIRECT($B$5&amp;"生成成长"),4))/(VLOOKUP(BE$72,INDIRECT($C$5&amp;"生成成长"),5))*(VLOOKUP($B$5,标准坦克设计!$B$24:$U$30,MATCH("对"&amp;LEFT($C$5,2)&amp;"输出",标准坦克设计!$B$23:$U$23,0)))*(VLOOKUP($B215,INDIRECT($B$5&amp;"生成成长"),3))*(VLOOKUP($B$5,标准坦克设计!$B$14:$K$20,9)/30))</f>
        <v>2.5644525349710223</v>
      </c>
      <c r="BF215" s="173">
        <f ca="1">(VLOOKUP(BF$72,INDIRECT($C$5&amp;"生成成长"),2))/((VLOOKUP($B215,INDIRECT($B$5&amp;"生成成长"),4))/(VLOOKUP(BF$72,INDIRECT($C$5&amp;"生成成长"),5))*(VLOOKUP($B$5,标准坦克设计!$B$24:$U$30,MATCH("对"&amp;LEFT($C$5,2)&amp;"输出",标准坦克设计!$B$23:$U$23,0)))*(VLOOKUP($B215,INDIRECT($B$5&amp;"生成成长"),3))*(VLOOKUP($B$5,标准坦克设计!$B$14:$K$20,9)/30))</f>
        <v>2.8105047435265909</v>
      </c>
      <c r="BG215" s="173">
        <f ca="1">(VLOOKUP(BG$72,INDIRECT($C$5&amp;"生成成长"),2))/((VLOOKUP($B215,INDIRECT($B$5&amp;"生成成长"),4))/(VLOOKUP(BG$72,INDIRECT($C$5&amp;"生成成长"),5))*(VLOOKUP($B$5,标准坦克设计!$B$24:$U$30,MATCH("对"&amp;LEFT($C$5,2)&amp;"输出",标准坦克设计!$B$23:$U$23,0)))*(VLOOKUP($B215,INDIRECT($B$5&amp;"生成成长"),3))*(VLOOKUP($B$5,标准坦克设计!$B$14:$K$20,9)/30))</f>
        <v>3.0678265188862324</v>
      </c>
      <c r="BH215" s="173">
        <f ca="1">(VLOOKUP(BH$72,INDIRECT($C$5&amp;"生成成长"),2))/((VLOOKUP($B215,INDIRECT($B$5&amp;"生成成长"),4))/(VLOOKUP(BH$72,INDIRECT($C$5&amp;"生成成长"),5))*(VLOOKUP($B$5,标准坦克设计!$B$24:$U$30,MATCH("对"&amp;LEFT($C$5,2)&amp;"输出",标准坦克设计!$B$23:$U$23,0)))*(VLOOKUP($B215,INDIRECT($B$5&amp;"生成成长"),3))*(VLOOKUP($B$5,标准坦克设计!$B$14:$K$20,9)/30))</f>
        <v>1.4828523826888647</v>
      </c>
      <c r="BI215" s="173">
        <f ca="1">(VLOOKUP(BI$72,INDIRECT($C$5&amp;"生成成长"),2))/((VLOOKUP($B215,INDIRECT($B$5&amp;"生成成长"),4))/(VLOOKUP(BI$72,INDIRECT($C$5&amp;"生成成长"),5))*(VLOOKUP($B$5,标准坦克设计!$B$24:$U$30,MATCH("对"&amp;LEFT($C$5,2)&amp;"输出",标准坦克设计!$B$23:$U$23,0)))*(VLOOKUP($B215,INDIRECT($B$5&amp;"生成成长"),3))*(VLOOKUP($B$5,标准坦克设计!$B$14:$K$20,9)/30))</f>
        <v>1.6713045831347328</v>
      </c>
      <c r="BJ215" s="173">
        <f ca="1">(VLOOKUP(BJ$72,INDIRECT($C$5&amp;"生成成长"),2))/((VLOOKUP($B215,INDIRECT($B$5&amp;"生成成长"),4))/(VLOOKUP(BJ$72,INDIRECT($C$5&amp;"生成成长"),5))*(VLOOKUP($B$5,标准坦克设计!$B$24:$U$30,MATCH("对"&amp;LEFT($C$5,2)&amp;"输出",标准坦克设计!$B$23:$U$23,0)))*(VLOOKUP($B215,INDIRECT($B$5&amp;"生成成长"),3))*(VLOOKUP($B$5,标准坦克设计!$B$14:$K$20,9)/30))</f>
        <v>1.8710263503846736</v>
      </c>
      <c r="BK215" s="173">
        <f ca="1">(VLOOKUP(BK$72,INDIRECT($C$5&amp;"生成成长"),2))/((VLOOKUP($B215,INDIRECT($B$5&amp;"生成成长"),4))/(VLOOKUP(BK$72,INDIRECT($C$5&amp;"生成成长"),5))*(VLOOKUP($B$5,标准坦克设计!$B$24:$U$30,MATCH("对"&amp;LEFT($C$5,2)&amp;"输出",标准坦克设计!$B$23:$U$23,0)))*(VLOOKUP($B215,INDIRECT($B$5&amp;"生成成长"),3))*(VLOOKUP($B$5,标准坦克设计!$B$14:$K$20,9)/30))</f>
        <v>2.0820176844386857</v>
      </c>
      <c r="BL215" s="173">
        <f ca="1">(VLOOKUP(BL$72,INDIRECT($C$5&amp;"生成成长"),2))/((VLOOKUP($B215,INDIRECT($B$5&amp;"生成成长"),4))/(VLOOKUP(BL$72,INDIRECT($C$5&amp;"生成成长"),5))*(VLOOKUP($B$5,标准坦克设计!$B$24:$U$30,MATCH("对"&amp;LEFT($C$5,2)&amp;"输出",标准坦克设计!$B$23:$U$23,0)))*(VLOOKUP($B215,INDIRECT($B$5&amp;"生成成长"),3))*(VLOOKUP($B$5,标准坦克设计!$B$14:$K$20,9)/30))</f>
        <v>2.3042785852967698</v>
      </c>
      <c r="BM215" s="173">
        <f ca="1">(VLOOKUP(BM$72,INDIRECT($C$5&amp;"生成成长"),2))/((VLOOKUP($B215,INDIRECT($B$5&amp;"生成成长"),4))/(VLOOKUP(BM$72,INDIRECT($C$5&amp;"生成成长"),5))*(VLOOKUP($B$5,标准坦克设计!$B$24:$U$30,MATCH("对"&amp;LEFT($C$5,2)&amp;"输出",标准坦克设计!$B$23:$U$23,0)))*(VLOOKUP($B215,INDIRECT($B$5&amp;"生成成长"),3))*(VLOOKUP($B$5,标准坦克设计!$B$14:$K$20,9)/30))</f>
        <v>2.5378090529589259</v>
      </c>
      <c r="BN215" s="173">
        <f ca="1">(VLOOKUP(BN$72,INDIRECT($C$5&amp;"生成成长"),2))/((VLOOKUP($B215,INDIRECT($B$5&amp;"生成成长"),4))/(VLOOKUP(BN$72,INDIRECT($C$5&amp;"生成成长"),5))*(VLOOKUP($B$5,标准坦克设计!$B$24:$U$30,MATCH("对"&amp;LEFT($C$5,2)&amp;"输出",标准坦克设计!$B$23:$U$23,0)))*(VLOOKUP($B215,INDIRECT($B$5&amp;"生成成长"),3))*(VLOOKUP($B$5,标准坦克设计!$B$14:$K$20,9)/30))</f>
        <v>2.7826090874251546</v>
      </c>
      <c r="BO215" s="173">
        <f ca="1">(VLOOKUP(BO$72,INDIRECT($C$5&amp;"生成成长"),2))/((VLOOKUP($B215,INDIRECT($B$5&amp;"生成成长"),4))/(VLOOKUP(BO$72,INDIRECT($C$5&amp;"生成成长"),5))*(VLOOKUP($B$5,标准坦克设计!$B$24:$U$30,MATCH("对"&amp;LEFT($C$5,2)&amp;"输出",标准坦克设计!$B$23:$U$23,0)))*(VLOOKUP($B215,INDIRECT($B$5&amp;"生成成长"),3))*(VLOOKUP($B$5,标准坦克设计!$B$14:$K$20,9)/30))</f>
        <v>3.0386786886954531</v>
      </c>
      <c r="BP215" s="173">
        <f ca="1">(VLOOKUP(BP$72,INDIRECT($C$5&amp;"生成成长"),2))/((VLOOKUP($B215,INDIRECT($B$5&amp;"生成成长"),4))/(VLOOKUP(BP$72,INDIRECT($C$5&amp;"生成成长"),5))*(VLOOKUP($B$5,标准坦克设计!$B$24:$U$30,MATCH("对"&amp;LEFT($C$5,2)&amp;"输出",标准坦克设计!$B$23:$U$23,0)))*(VLOOKUP($B215,INDIRECT($B$5&amp;"生成成长"),3))*(VLOOKUP($B$5,标准坦克设计!$B$14:$K$20,9)/30))</f>
        <v>3.3060178567698255</v>
      </c>
      <c r="BQ215" s="173">
        <f ca="1">(VLOOKUP(BQ$72,INDIRECT($C$5&amp;"生成成长"),2))/((VLOOKUP($B215,INDIRECT($B$5&amp;"生成成长"),4))/(VLOOKUP(BQ$72,INDIRECT($C$5&amp;"生成成长"),5))*(VLOOKUP($B$5,标准坦克设计!$B$24:$U$30,MATCH("对"&amp;LEFT($C$5,2)&amp;"输出",标准坦克设计!$B$23:$U$23,0)))*(VLOOKUP($B215,INDIRECT($B$5&amp;"生成成长"),3))*(VLOOKUP($B$5,标准坦克设计!$B$14:$K$20,9)/30))</f>
        <v>3.5846265916482691</v>
      </c>
      <c r="BR215" s="173">
        <f ca="1">(VLOOKUP(BR$72,INDIRECT($C$5&amp;"生成成长"),2))/((VLOOKUP($B215,INDIRECT($B$5&amp;"生成成长"),4))/(VLOOKUP(BR$72,INDIRECT($C$5&amp;"生成成长"),5))*(VLOOKUP($B$5,标准坦克设计!$B$24:$U$30,MATCH("对"&amp;LEFT($C$5,2)&amp;"输出",标准坦克设计!$B$23:$U$23,0)))*(VLOOKUP($B215,INDIRECT($B$5&amp;"生成成长"),3))*(VLOOKUP($B$5,标准坦克设计!$B$14:$K$20,9)/30))</f>
        <v>3.9074092457895868</v>
      </c>
      <c r="BS215" s="173">
        <f ca="1">(VLOOKUP(BS$72,INDIRECT($C$5&amp;"生成成长"),2))/((VLOOKUP($B215,INDIRECT($B$5&amp;"生成成长"),4))/(VLOOKUP(BS$72,INDIRECT($C$5&amp;"生成成长"),5))*(VLOOKUP($B$5,标准坦克设计!$B$24:$U$30,MATCH("对"&amp;LEFT($C$5,2)&amp;"输出",标准坦克设计!$B$23:$U$23,0)))*(VLOOKUP($B215,INDIRECT($B$5&amp;"生成成长"),3))*(VLOOKUP($B$5,标准坦克设计!$B$14:$K$20,9)/30))</f>
        <v>4.2441049453680302</v>
      </c>
      <c r="BT215" s="173">
        <f ca="1">(VLOOKUP(BT$72,INDIRECT($C$5&amp;"生成成长"),2))/((VLOOKUP($B215,INDIRECT($B$5&amp;"生成成长"),4))/(VLOOKUP(BT$72,INDIRECT($C$5&amp;"生成成长"),5))*(VLOOKUP($B$5,标准坦克设计!$B$24:$U$30,MATCH("对"&amp;LEFT($C$5,2)&amp;"输出",标准坦克设计!$B$23:$U$23,0)))*(VLOOKUP($B215,INDIRECT($B$5&amp;"生成成长"),3))*(VLOOKUP($B$5,标准坦克设计!$B$14:$K$20,9)/30))</f>
        <v>4.5947136903835997</v>
      </c>
      <c r="BU215" s="173">
        <f ca="1">(VLOOKUP(BU$72,INDIRECT($C$5&amp;"生成成长"),2))/((VLOOKUP($B215,INDIRECT($B$5&amp;"生成成长"),4))/(VLOOKUP(BU$72,INDIRECT($C$5&amp;"生成成长"),5))*(VLOOKUP($B$5,标准坦克设计!$B$24:$U$30,MATCH("对"&amp;LEFT($C$5,2)&amp;"输出",标准坦克设计!$B$23:$U$23,0)))*(VLOOKUP($B215,INDIRECT($B$5&amp;"生成成长"),3))*(VLOOKUP($B$5,标准坦克设计!$B$14:$K$20,9)/30))</f>
        <v>4.9592354808362948</v>
      </c>
      <c r="BV215" s="173">
        <f ca="1">(VLOOKUP(BV$72,INDIRECT($C$5&amp;"生成成长"),2))/((VLOOKUP($B215,INDIRECT($B$5&amp;"生成成长"),4))/(VLOOKUP(BV$72,INDIRECT($C$5&amp;"生成成长"),5))*(VLOOKUP($B$5,标准坦克设计!$B$24:$U$30,MATCH("对"&amp;LEFT($C$5,2)&amp;"输出",标准坦克设计!$B$23:$U$23,0)))*(VLOOKUP($B215,INDIRECT($B$5&amp;"生成成长"),3))*(VLOOKUP($B$5,标准坦克设计!$B$14:$K$20,9)/30))</f>
        <v>5.3376703167261157</v>
      </c>
      <c r="BW215" s="173">
        <f ca="1">(VLOOKUP(BW$72,INDIRECT($C$5&amp;"生成成长"),2))/((VLOOKUP($B215,INDIRECT($B$5&amp;"生成成长"),4))/(VLOOKUP(BW$72,INDIRECT($C$5&amp;"生成成长"),5))*(VLOOKUP($B$5,标准坦克设计!$B$24:$U$30,MATCH("对"&amp;LEFT($C$5,2)&amp;"输出",标准坦克设计!$B$23:$U$23,0)))*(VLOOKUP($B215,INDIRECT($B$5&amp;"生成成长"),3))*(VLOOKUP($B$5,标准坦克设计!$B$14:$K$20,9)/30))</f>
        <v>2.4326264294542552</v>
      </c>
      <c r="BX215" s="173">
        <f ca="1">(VLOOKUP(BX$72,INDIRECT($C$5&amp;"生成成长"),2))/((VLOOKUP($B215,INDIRECT($B$5&amp;"生成成长"),4))/(VLOOKUP(BX$72,INDIRECT($C$5&amp;"生成成长"),5))*(VLOOKUP($B$5,标准坦克设计!$B$24:$U$30,MATCH("对"&amp;LEFT($C$5,2)&amp;"输出",标准坦克设计!$B$23:$U$23,0)))*(VLOOKUP($B215,INDIRECT($B$5&amp;"生成成长"),3))*(VLOOKUP($B$5,标准坦克设计!$B$14:$K$20,9)/30))</f>
        <v>2.6997569018470697</v>
      </c>
      <c r="BY215" s="173">
        <f ca="1">(VLOOKUP(BY$72,INDIRECT($C$5&amp;"生成成长"),2))/((VLOOKUP($B215,INDIRECT($B$5&amp;"生成成长"),4))/(VLOOKUP(BY$72,INDIRECT($C$5&amp;"生成成长"),5))*(VLOOKUP($B$5,标准坦克设计!$B$24:$U$30,MATCH("对"&amp;LEFT($C$5,2)&amp;"输出",标准坦克设计!$B$23:$U$23,0)))*(VLOOKUP($B215,INDIRECT($B$5&amp;"生成成长"),3))*(VLOOKUP($B$5,标准坦克设计!$B$14:$K$20,9)/30))</f>
        <v>2.9808004196770104</v>
      </c>
      <c r="BZ215" s="173">
        <f ca="1">(VLOOKUP(BZ$72,INDIRECT($C$5&amp;"生成成长"),2))/((VLOOKUP($B215,INDIRECT($B$5&amp;"生成成长"),4))/(VLOOKUP(BZ$72,INDIRECT($C$5&amp;"生成成长"),5))*(VLOOKUP($B$5,标准坦克设计!$B$24:$U$30,MATCH("对"&amp;LEFT($C$5,2)&amp;"输出",标准坦克设计!$B$23:$U$23,0)))*(VLOOKUP($B215,INDIRECT($B$5&amp;"生成成长"),3))*(VLOOKUP($B$5,标准坦克设计!$B$14:$K$20,9)/30))</f>
        <v>3.2757569829440767</v>
      </c>
      <c r="CA215" s="173">
        <f ca="1">(VLOOKUP(CA$72,INDIRECT($C$5&amp;"生成成长"),2))/((VLOOKUP($B215,INDIRECT($B$5&amp;"生成成长"),4))/(VLOOKUP(CA$72,INDIRECT($C$5&amp;"生成成长"),5))*(VLOOKUP($B$5,标准坦克设计!$B$24:$U$30,MATCH("对"&amp;LEFT($C$5,2)&amp;"输出",标准坦克设计!$B$23:$U$23,0)))*(VLOOKUP($B215,INDIRECT($B$5&amp;"生成成长"),3))*(VLOOKUP($B$5,标准坦克设计!$B$14:$K$20,9)/30))</f>
        <v>3.5846265916482691</v>
      </c>
      <c r="CB215" s="173">
        <f ca="1">(VLOOKUP(CB$72,INDIRECT($C$5&amp;"生成成长"),2))/((VLOOKUP($B215,INDIRECT($B$5&amp;"生成成长"),4))/(VLOOKUP(CB$72,INDIRECT($C$5&amp;"生成成长"),5))*(VLOOKUP($B$5,标准坦克设计!$B$24:$U$30,MATCH("对"&amp;LEFT($C$5,2)&amp;"输出",标准坦克设计!$B$23:$U$23,0)))*(VLOOKUP($B215,INDIRECT($B$5&amp;"生成成长"),3))*(VLOOKUP($B$5,标准坦克设计!$B$14:$K$20,9)/30))</f>
        <v>3.9074092457895868</v>
      </c>
      <c r="CC215" s="173">
        <f ca="1">(VLOOKUP(CC$72,INDIRECT($C$5&amp;"生成成长"),2))/((VLOOKUP($B215,INDIRECT($B$5&amp;"生成成长"),4))/(VLOOKUP(CC$72,INDIRECT($C$5&amp;"生成成长"),5))*(VLOOKUP($B$5,标准坦克设计!$B$24:$U$30,MATCH("对"&amp;LEFT($C$5,2)&amp;"输出",标准坦克设计!$B$23:$U$23,0)))*(VLOOKUP($B215,INDIRECT($B$5&amp;"生成成长"),3))*(VLOOKUP($B$5,标准坦克设计!$B$14:$K$20,9)/30))</f>
        <v>4.2441049453680302</v>
      </c>
      <c r="CD215" s="173">
        <f ca="1">(VLOOKUP(CD$72,INDIRECT($C$5&amp;"生成成长"),2))/((VLOOKUP($B215,INDIRECT($B$5&amp;"生成成长"),4))/(VLOOKUP(CD$72,INDIRECT($C$5&amp;"生成成长"),5))*(VLOOKUP($B$5,标准坦克设计!$B$24:$U$30,MATCH("对"&amp;LEFT($C$5,2)&amp;"输出",标准坦克设计!$B$23:$U$23,0)))*(VLOOKUP($B215,INDIRECT($B$5&amp;"生成成长"),3))*(VLOOKUP($B$5,标准坦克设计!$B$14:$K$20,9)/30))</f>
        <v>4.5947136903835997</v>
      </c>
      <c r="CE215" s="173">
        <f ca="1">(VLOOKUP(CE$72,INDIRECT($C$5&amp;"生成成长"),2))/((VLOOKUP($B215,INDIRECT($B$5&amp;"生成成长"),4))/(VLOOKUP(CE$72,INDIRECT($C$5&amp;"生成成长"),5))*(VLOOKUP($B$5,标准坦克设计!$B$24:$U$30,MATCH("对"&amp;LEFT($C$5,2)&amp;"输出",标准坦克设计!$B$23:$U$23,0)))*(VLOOKUP($B215,INDIRECT($B$5&amp;"生成成长"),3))*(VLOOKUP($B$5,标准坦克设计!$B$14:$K$20,9)/30))</f>
        <v>4.9592354808362948</v>
      </c>
      <c r="CF215" s="173">
        <f ca="1">(VLOOKUP(CF$72,INDIRECT($C$5&amp;"生成成长"),2))/((VLOOKUP($B215,INDIRECT($B$5&amp;"生成成长"),4))/(VLOOKUP(CF$72,INDIRECT($C$5&amp;"生成成长"),5))*(VLOOKUP($B$5,标准坦克设计!$B$24:$U$30,MATCH("对"&amp;LEFT($C$5,2)&amp;"输出",标准坦克设计!$B$23:$U$23,0)))*(VLOOKUP($B215,INDIRECT($B$5&amp;"生成成长"),3))*(VLOOKUP($B$5,标准坦克设计!$B$14:$K$20,9)/30))</f>
        <v>5.3376703167261157</v>
      </c>
      <c r="CG215" s="173">
        <f ca="1">(VLOOKUP(CG$72,INDIRECT($C$5&amp;"生成成长"),2))/((VLOOKUP($B215,INDIRECT($B$5&amp;"生成成长"),4))/(VLOOKUP(CG$72,INDIRECT($C$5&amp;"生成成长"),5))*(VLOOKUP($B$5,标准坦克设计!$B$24:$U$30,MATCH("对"&amp;LEFT($C$5,2)&amp;"输出",标准坦克设计!$B$23:$U$23,0)))*(VLOOKUP($B215,INDIRECT($B$5&amp;"生成成长"),3))*(VLOOKUP($B$5,标准坦克设计!$B$14:$K$20,9)/30))</f>
        <v>5.7300181980530631</v>
      </c>
      <c r="CH215" s="173">
        <f ca="1">(VLOOKUP(CH$72,INDIRECT($C$5&amp;"生成成长"),2))/((VLOOKUP($B215,INDIRECT($B$5&amp;"生成成长"),4))/(VLOOKUP(CH$72,INDIRECT($C$5&amp;"生成成长"),5))*(VLOOKUP($B$5,标准坦克设计!$B$24:$U$30,MATCH("对"&amp;LEFT($C$5,2)&amp;"输出",标准坦克设计!$B$23:$U$23,0)))*(VLOOKUP($B215,INDIRECT($B$5&amp;"生成成长"),3))*(VLOOKUP($B$5,标准坦克设计!$B$14:$K$20,9)/30))</f>
        <v>6.1362791248171353</v>
      </c>
      <c r="CI215" s="173">
        <f ca="1">(VLOOKUP(CI$72,INDIRECT($C$5&amp;"生成成长"),2))/((VLOOKUP($B215,INDIRECT($B$5&amp;"生成成长"),4))/(VLOOKUP(CI$72,INDIRECT($C$5&amp;"生成成长"),5))*(VLOOKUP($B$5,标准坦克设计!$B$24:$U$30,MATCH("对"&amp;LEFT($C$5,2)&amp;"输出",标准坦克设计!$B$23:$U$23,0)))*(VLOOKUP($B215,INDIRECT($B$5&amp;"生成成长"),3))*(VLOOKUP($B$5,标准坦克设计!$B$14:$K$20,9)/30))</f>
        <v>6.5992357117374958</v>
      </c>
      <c r="CJ215" s="173">
        <f ca="1">(VLOOKUP(CJ$72,INDIRECT($C$5&amp;"生成成长"),2))/((VLOOKUP($B215,INDIRECT($B$5&amp;"生成成长"),4))/(VLOOKUP(CJ$72,INDIRECT($C$5&amp;"生成成长"),5))*(VLOOKUP($B$5,标准坦克设计!$B$24:$U$30,MATCH("对"&amp;LEFT($C$5,2)&amp;"输出",标准坦克设计!$B$23:$U$23,0)))*(VLOOKUP($B215,INDIRECT($B$5&amp;"生成成长"),3))*(VLOOKUP($B$5,标准坦克设计!$B$14:$K$20,9)/30))</f>
        <v>7.0790270836367766</v>
      </c>
      <c r="CK215" s="173">
        <f ca="1">(VLOOKUP(CK$72,INDIRECT($C$5&amp;"生成成长"),2))/((VLOOKUP($B215,INDIRECT($B$5&amp;"生成成长"),4))/(VLOOKUP(CK$72,INDIRECT($C$5&amp;"生成成长"),5))*(VLOOKUP($B$5,标准坦克设计!$B$24:$U$30,MATCH("对"&amp;LEFT($C$5,2)&amp;"输出",标准坦克设计!$B$23:$U$23,0)))*(VLOOKUP($B215,INDIRECT($B$5&amp;"生成成长"),3))*(VLOOKUP($B$5,标准坦克设计!$B$14:$K$20,9)/30))</f>
        <v>7.5756532405149812</v>
      </c>
      <c r="CL215" s="173">
        <f ca="1">(VLOOKUP(CL$72,INDIRECT($C$5&amp;"生成成长"),2))/((VLOOKUP($B215,INDIRECT($B$5&amp;"生成成长"),4))/(VLOOKUP(CL$72,INDIRECT($C$5&amp;"生成成长"),5))*(VLOOKUP($B$5,标准坦克设计!$B$24:$U$30,MATCH("对"&amp;LEFT($C$5,2)&amp;"输出",标准坦克设计!$B$23:$U$23,0)))*(VLOOKUP($B215,INDIRECT($B$5&amp;"生成成长"),3))*(VLOOKUP($B$5,标准坦克设计!$B$14:$K$20,9)/30))</f>
        <v>8.0891141823721089</v>
      </c>
      <c r="CM215" s="173">
        <f ca="1">(VLOOKUP(CM$72,INDIRECT($C$5&amp;"生成成长"),2))/((VLOOKUP($B215,INDIRECT($B$5&amp;"生成成长"),4))/(VLOOKUP(CM$72,INDIRECT($C$5&amp;"生成成长"),5))*(VLOOKUP($B$5,标准坦克设计!$B$24:$U$30,MATCH("对"&amp;LEFT($C$5,2)&amp;"输出",标准坦克设计!$B$23:$U$23,0)))*(VLOOKUP($B215,INDIRECT($B$5&amp;"生成成长"),3))*(VLOOKUP($B$5,标准坦克设计!$B$14:$K$20,9)/30))</f>
        <v>8.6194099092081569</v>
      </c>
      <c r="CN215" s="173">
        <f ca="1">(VLOOKUP(CN$72,INDIRECT($C$5&amp;"生成成长"),2))/((VLOOKUP($B215,INDIRECT($B$5&amp;"生成成长"),4))/(VLOOKUP(CN$72,INDIRECT($C$5&amp;"生成成长"),5))*(VLOOKUP($B$5,标准坦克设计!$B$24:$U$30,MATCH("对"&amp;LEFT($C$5,2)&amp;"输出",标准坦克设计!$B$23:$U$23,0)))*(VLOOKUP($B215,INDIRECT($B$5&amp;"生成成长"),3))*(VLOOKUP($B$5,标准坦克设计!$B$14:$K$20,9)/30))</f>
        <v>9.1665404210231269</v>
      </c>
      <c r="CO215" s="173">
        <f ca="1">(VLOOKUP(CO$72,INDIRECT($C$5&amp;"生成成长"),2))/((VLOOKUP($B215,INDIRECT($B$5&amp;"生成成长"),4))/(VLOOKUP(CO$72,INDIRECT($C$5&amp;"生成成长"),5))*(VLOOKUP($B$5,标准坦克设计!$B$24:$U$30,MATCH("对"&amp;LEFT($C$5,2)&amp;"输出",标准坦克设计!$B$23:$U$23,0)))*(VLOOKUP($B215,INDIRECT($B$5&amp;"生成成长"),3))*(VLOOKUP($B$5,标准坦克设计!$B$14:$K$20,9)/30))</f>
        <v>4.1077571000841981</v>
      </c>
      <c r="CP215" s="173">
        <f ca="1">(VLOOKUP(CP$72,INDIRECT($C$5&amp;"生成成长"),2))/((VLOOKUP($B215,INDIRECT($B$5&amp;"生成成长"),4))/(VLOOKUP(CP$72,INDIRECT($C$5&amp;"生成成长"),5))*(VLOOKUP($B$5,标准坦克设计!$B$24:$U$30,MATCH("对"&amp;LEFT($C$5,2)&amp;"输出",标准坦克设计!$B$23:$U$23,0)))*(VLOOKUP($B215,INDIRECT($B$5&amp;"生成成长"),3))*(VLOOKUP($B$5,标准坦克设计!$B$14:$K$20,9)/30))</f>
        <v>4.4880701971080308</v>
      </c>
      <c r="CQ215" s="173">
        <f ca="1">(VLOOKUP(CQ$72,INDIRECT($C$5&amp;"生成成长"),2))/((VLOOKUP($B215,INDIRECT($B$5&amp;"生成成长"),4))/(VLOOKUP(CQ$72,INDIRECT($C$5&amp;"生成成长"),5))*(VLOOKUP($B$5,标准坦克设计!$B$24:$U$30,MATCH("对"&amp;LEFT($C$5,2)&amp;"输出",标准坦克设计!$B$23:$U$23,0)))*(VLOOKUP($B215,INDIRECT($B$5&amp;"生成成长"),3))*(VLOOKUP($B$5,标准坦克设计!$B$14:$K$20,9)/30))</f>
        <v>4.8852180791107855</v>
      </c>
      <c r="CR215" s="173">
        <f ca="1">(VLOOKUP(CR$72,INDIRECT($C$5&amp;"生成成长"),2))/((VLOOKUP($B215,INDIRECT($B$5&amp;"生成成长"),4))/(VLOOKUP(CR$72,INDIRECT($C$5&amp;"生成成长"),5))*(VLOOKUP($B$5,标准坦克设计!$B$24:$U$30,MATCH("对"&amp;LEFT($C$5,2)&amp;"输出",标准坦克设计!$B$23:$U$23,0)))*(VLOOKUP($B215,INDIRECT($B$5&amp;"生成成长"),3))*(VLOOKUP($B$5,标准坦克设计!$B$14:$K$20,9)/30))</f>
        <v>5.2992007460924633</v>
      </c>
      <c r="CS215" s="173">
        <f ca="1">(VLOOKUP(CS$72,INDIRECT($C$5&amp;"生成成长"),2))/((VLOOKUP($B215,INDIRECT($B$5&amp;"生成成长"),4))/(VLOOKUP(CS$72,INDIRECT($C$5&amp;"生成成长"),5))*(VLOOKUP($B$5,标准坦克设计!$B$24:$U$30,MATCH("对"&amp;LEFT($C$5,2)&amp;"输出",标准坦克设计!$B$23:$U$23,0)))*(VLOOKUP($B215,INDIRECT($B$5&amp;"生成成长"),3))*(VLOOKUP($B$5,标准坦克设计!$B$14:$K$20,9)/30))</f>
        <v>5.7300181980530631</v>
      </c>
      <c r="CT215" s="173">
        <f ca="1">(VLOOKUP(CT$72,INDIRECT($C$5&amp;"生成成长"),2))/((VLOOKUP($B215,INDIRECT($B$5&amp;"生成成长"),4))/(VLOOKUP(CT$72,INDIRECT($C$5&amp;"生成成长"),5))*(VLOOKUP($B$5,标准坦克设计!$B$24:$U$30,MATCH("对"&amp;LEFT($C$5,2)&amp;"输出",标准坦克设计!$B$23:$U$23,0)))*(VLOOKUP($B215,INDIRECT($B$5&amp;"生成成长"),3))*(VLOOKUP($B$5,标准坦克设计!$B$14:$K$20,9)/30))</f>
        <v>6.1776704349925824</v>
      </c>
      <c r="CU215" s="173">
        <f ca="1">(VLOOKUP(CU$72,INDIRECT($C$5&amp;"生成成长"),2))/((VLOOKUP($B215,INDIRECT($B$5&amp;"生成成长"),4))/(VLOOKUP(CU$72,INDIRECT($C$5&amp;"生成成长"),5))*(VLOOKUP($B$5,标准坦克设计!$B$24:$U$30,MATCH("对"&amp;LEFT($C$5,2)&amp;"输出",标准坦克设计!$B$23:$U$23,0)))*(VLOOKUP($B215,INDIRECT($B$5&amp;"生成成长"),3))*(VLOOKUP($B$5,标准坦克设计!$B$14:$K$20,9)/30))</f>
        <v>6.6421574569110282</v>
      </c>
      <c r="CV215" s="173">
        <f ca="1">(VLOOKUP(CV$72,INDIRECT($C$5&amp;"生成成长"),2))/((VLOOKUP($B215,INDIRECT($B$5&amp;"生成成长"),4))/(VLOOKUP(CV$72,INDIRECT($C$5&amp;"生成成长"),5))*(VLOOKUP($B$5,标准坦克设计!$B$24:$U$30,MATCH("对"&amp;LEFT($C$5,2)&amp;"输出",标准坦克设计!$B$23:$U$23,0)))*(VLOOKUP($B215,INDIRECT($B$5&amp;"生成成长"),3))*(VLOOKUP($B$5,标准坦克设计!$B$14:$K$20,9)/30))</f>
        <v>7.1234792638083944</v>
      </c>
      <c r="CW215" s="173">
        <f ca="1">(VLOOKUP(CW$72,INDIRECT($C$5&amp;"生成成长"),2))/((VLOOKUP($B215,INDIRECT($B$5&amp;"生成成长"),4))/(VLOOKUP(CW$72,INDIRECT($C$5&amp;"生成成长"),5))*(VLOOKUP($B$5,标准坦克设计!$B$24:$U$30,MATCH("对"&amp;LEFT($C$5,2)&amp;"输出",标准坦克设计!$B$23:$U$23,0)))*(VLOOKUP($B215,INDIRECT($B$5&amp;"生成成长"),3))*(VLOOKUP($B$5,标准坦克设计!$B$14:$K$20,9)/30))</f>
        <v>7.6216358556846826</v>
      </c>
      <c r="CX215" s="173">
        <f ca="1">(VLOOKUP(CX$72,INDIRECT($C$5&amp;"生成成长"),2))/((VLOOKUP($B215,INDIRECT($B$5&amp;"生成成长"),4))/(VLOOKUP(CX$72,INDIRECT($C$5&amp;"生成成长"),5))*(VLOOKUP($B$5,标准坦克设计!$B$24:$U$30,MATCH("对"&amp;LEFT($C$5,2)&amp;"输出",标准坦克设计!$B$23:$U$23,0)))*(VLOOKUP($B215,INDIRECT($B$5&amp;"生成成长"),3))*(VLOOKUP($B$5,标准坦克设计!$B$14:$K$20,9)/30))</f>
        <v>8.1366272325398921</v>
      </c>
      <c r="CY215" s="173">
        <f ca="1">(VLOOKUP(CY$72,INDIRECT($C$5&amp;"生成成长"),2))/((VLOOKUP($B215,INDIRECT($B$5&amp;"生成成长"),4))/(VLOOKUP(CY$72,INDIRECT($C$5&amp;"生成成长"),5))*(VLOOKUP($B$5,标准坦克设计!$B$24:$U$30,MATCH("对"&amp;LEFT($C$5,2)&amp;"输出",标准坦克设计!$B$23:$U$23,0)))*(VLOOKUP($B215,INDIRECT($B$5&amp;"生成成长"),3))*(VLOOKUP($B$5,标准坦克设计!$B$14:$K$20,9)/30))</f>
        <v>8.6684533943740263</v>
      </c>
      <c r="CZ215" s="173">
        <f ca="1">(VLOOKUP(CZ$72,INDIRECT($C$5&amp;"生成成长"),2))/((VLOOKUP($B215,INDIRECT($B$5&amp;"生成成长"),4))/(VLOOKUP(CZ$72,INDIRECT($C$5&amp;"生成成长"),5))*(VLOOKUP($B$5,标准坦克设计!$B$24:$U$30,MATCH("对"&amp;LEFT($C$5,2)&amp;"输出",标准坦克设计!$B$23:$U$23,0)))*(VLOOKUP($B215,INDIRECT($B$5&amp;"生成成长"),3))*(VLOOKUP($B$5,标准坦克设计!$B$14:$K$20,9)/30))</f>
        <v>9.2171143411870791</v>
      </c>
      <c r="DA215" s="173">
        <f ca="1">(VLOOKUP(DA$72,INDIRECT($C$5&amp;"生成成长"),2))/((VLOOKUP($B215,INDIRECT($B$5&amp;"生成成长"),4))/(VLOOKUP(DA$72,INDIRECT($C$5&amp;"生成成长"),5))*(VLOOKUP($B$5,标准坦克设计!$B$24:$U$30,MATCH("对"&amp;LEFT($C$5,2)&amp;"输出",标准坦克设计!$B$23:$U$23,0)))*(VLOOKUP($B215,INDIRECT($B$5&amp;"生成成长"),3))*(VLOOKUP($B$5,标准坦克设计!$B$14:$K$20,9)/30))</f>
        <v>9.7826100729790557</v>
      </c>
      <c r="DB215" s="173">
        <f ca="1">(VLOOKUP(DB$72,INDIRECT($C$5&amp;"生成成长"),2))/((VLOOKUP($B215,INDIRECT($B$5&amp;"生成成长"),4))/(VLOOKUP(DB$72,INDIRECT($C$5&amp;"生成成长"),5))*(VLOOKUP($B$5,标准坦克设计!$B$24:$U$30,MATCH("对"&amp;LEFT($C$5,2)&amp;"输出",标准坦克设计!$B$23:$U$23,0)))*(VLOOKUP($B215,INDIRECT($B$5&amp;"生成成长"),3))*(VLOOKUP($B$5,标准坦克设计!$B$14:$K$20,9)/30))</f>
        <v>10.364940589749954</v>
      </c>
      <c r="DC215" s="173">
        <f ca="1">(VLOOKUP(DC$72,INDIRECT($C$5&amp;"生成成长"),2))/((VLOOKUP($B215,INDIRECT($B$5&amp;"生成成长"),4))/(VLOOKUP(DC$72,INDIRECT($C$5&amp;"生成成长"),5))*(VLOOKUP($B$5,标准坦克设计!$B$24:$U$30,MATCH("对"&amp;LEFT($C$5,2)&amp;"输出",标准坦克设计!$B$23:$U$23,0)))*(VLOOKUP($B215,INDIRECT($B$5&amp;"生成成长"),3))*(VLOOKUP($B$5,标准坦克设计!$B$14:$K$20,9)/30))</f>
        <v>11.019410247112354</v>
      </c>
      <c r="DD215" s="173">
        <f ca="1">(VLOOKUP(DD$72,INDIRECT($C$5&amp;"生成成长"),2))/((VLOOKUP($B215,INDIRECT($B$5&amp;"生成成长"),4))/(VLOOKUP(DD$72,INDIRECT($C$5&amp;"生成成长"),5))*(VLOOKUP($B$5,标准坦克设计!$B$24:$U$30,MATCH("对"&amp;LEFT($C$5,2)&amp;"输出",标准坦克设计!$B$23:$U$23,0)))*(VLOOKUP($B215,INDIRECT($B$5&amp;"生成成长"),3))*(VLOOKUP($B$5,标准坦克设计!$B$14:$K$20,9)/30))</f>
        <v>11.693914689904206</v>
      </c>
      <c r="DE215" s="173">
        <f ca="1">(VLOOKUP(DE$72,INDIRECT($C$5&amp;"生成成长"),2))/((VLOOKUP($B215,INDIRECT($B$5&amp;"生成成长"),4))/(VLOOKUP(DE$72,INDIRECT($C$5&amp;"生成成长"),5))*(VLOOKUP($B$5,标准坦克设计!$B$24:$U$30,MATCH("对"&amp;LEFT($C$5,2)&amp;"输出",标准坦克设计!$B$23:$U$23,0)))*(VLOOKUP($B215,INDIRECT($B$5&amp;"生成成长"),3))*(VLOOKUP($B$5,标准坦克设计!$B$14:$K$20,9)/30))</f>
        <v>12.38845391812553</v>
      </c>
      <c r="DF215" s="173">
        <f ca="1">(VLOOKUP(DF$72,INDIRECT($C$5&amp;"生成成长"),2))/((VLOOKUP($B215,INDIRECT($B$5&amp;"生成成长"),4))/(VLOOKUP(DF$72,INDIRECT($C$5&amp;"生成成长"),5))*(VLOOKUP($B$5,标准坦克设计!$B$24:$U$30,MATCH("对"&amp;LEFT($C$5,2)&amp;"输出",标准坦克设计!$B$23:$U$23,0)))*(VLOOKUP($B215,INDIRECT($B$5&amp;"生成成长"),3))*(VLOOKUP($B$5,标准坦克设计!$B$14:$K$20,9)/30))</f>
        <v>13.103027931776307</v>
      </c>
      <c r="DG215" s="173">
        <f ca="1">(VLOOKUP(DG$72,INDIRECT($C$5&amp;"生成成长"),2))/((VLOOKUP($B215,INDIRECT($B$5&amp;"生成成长"),4))/(VLOOKUP(DG$72,INDIRECT($C$5&amp;"生成成长"),5))*(VLOOKUP($B$5,标准坦克设计!$B$24:$U$30,MATCH("对"&amp;LEFT($C$5,2)&amp;"输出",标准坦克设计!$B$23:$U$23,0)))*(VLOOKUP($B215,INDIRECT($B$5&amp;"生成成长"),3))*(VLOOKUP($B$5,标准坦克设计!$B$14:$K$20,9)/30))</f>
        <v>13.837636730856548</v>
      </c>
      <c r="DH215" s="173">
        <f ca="1">(VLOOKUP(DH$72,INDIRECT($C$5&amp;"生成成长"),2))/((VLOOKUP($B215,INDIRECT($B$5&amp;"生成成长"),4))/(VLOOKUP(DH$72,INDIRECT($C$5&amp;"生成成长"),5))*(VLOOKUP($B$5,标准坦克设计!$B$24:$U$30,MATCH("对"&amp;LEFT($C$5,2)&amp;"输出",标准坦克设计!$B$23:$U$23,0)))*(VLOOKUP($B215,INDIRECT($B$5&amp;"生成成长"),3))*(VLOOKUP($B$5,标准坦克设计!$B$14:$K$20,9)/30))</f>
        <v>14.592280315366251</v>
      </c>
      <c r="DI215" s="173">
        <f ca="1">(VLOOKUP(DI$72,INDIRECT($C$5&amp;"生成成长"),2))/((VLOOKUP($B215,INDIRECT($B$5&amp;"生成成长"),4))/(VLOOKUP(DI$72,INDIRECT($C$5&amp;"生成成长"),5))*(VLOOKUP($B$5,标准坦克设计!$B$24:$U$30,MATCH("对"&amp;LEFT($C$5,2)&amp;"输出",标准坦克设计!$B$23:$U$23,0)))*(VLOOKUP($B215,INDIRECT($B$5&amp;"生成成长"),3))*(VLOOKUP($B$5,标准坦克设计!$B$14:$K$20,9)/30))</f>
        <v>15.366958685305415</v>
      </c>
      <c r="DJ215" s="173">
        <f ca="1">(VLOOKUP(DJ$72,INDIRECT($C$5&amp;"生成成长"),2))/((VLOOKUP($B215,INDIRECT($B$5&amp;"生成成长"),4))/(VLOOKUP(DJ$72,INDIRECT($C$5&amp;"生成成长"),5))*(VLOOKUP($B$5,标准坦克设计!$B$24:$U$30,MATCH("对"&amp;LEFT($C$5,2)&amp;"输出",标准坦克设计!$B$23:$U$23,0)))*(VLOOKUP($B215,INDIRECT($B$5&amp;"生成成长"),3))*(VLOOKUP($B$5,标准坦克设计!$B$14:$K$20,9)/30))</f>
        <v>1.5444176087481456</v>
      </c>
      <c r="DK215" s="173">
        <f ca="1">(VLOOKUP(DK$72,INDIRECT($C$5&amp;"生成成长"),2))/((VLOOKUP($B215,INDIRECT($B$5&amp;"生成成长"),4))/(VLOOKUP(DK$72,INDIRECT($C$5&amp;"生成成长"),5))*(VLOOKUP($B$5,标准坦克设计!$B$24:$U$30,MATCH("对"&amp;LEFT($C$5,2)&amp;"输出",标准坦克设计!$B$23:$U$23,0)))*(VLOOKUP($B215,INDIRECT($B$5&amp;"生成成长"),3))*(VLOOKUP($B$5,标准坦克设计!$B$14:$K$20,9)/30))</f>
        <v>1.7366263314620383</v>
      </c>
      <c r="DL215" s="173">
        <f ca="1">(VLOOKUP(DL$72,INDIRECT($C$5&amp;"生成成长"),2))/((VLOOKUP($B215,INDIRECT($B$5&amp;"生成成长"),4))/(VLOOKUP(DL$72,INDIRECT($C$5&amp;"生成成长"),5))*(VLOOKUP($B$5,标准坦克设计!$B$24:$U$30,MATCH("对"&amp;LEFT($C$5,2)&amp;"输出",标准坦克设计!$B$23:$U$23,0)))*(VLOOKUP($B215,INDIRECT($B$5&amp;"生成成长"),3))*(VLOOKUP($B$5,标准坦克设计!$B$14:$K$20,9)/30))</f>
        <v>1.9401046209800032</v>
      </c>
      <c r="DM215" s="173">
        <f ca="1">(VLOOKUP(DM$72,INDIRECT($C$5&amp;"生成成长"),2))/((VLOOKUP($B215,INDIRECT($B$5&amp;"生成成长"),4))/(VLOOKUP(DM$72,INDIRECT($C$5&amp;"生成成长"),5))*(VLOOKUP($B$5,标准坦克设计!$B$24:$U$30,MATCH("对"&amp;LEFT($C$5,2)&amp;"输出",标准坦克设计!$B$23:$U$23,0)))*(VLOOKUP($B215,INDIRECT($B$5&amp;"生成成长"),3))*(VLOOKUP($B$5,标准坦克设计!$B$14:$K$20,9)/30))</f>
        <v>2.1548524773020392</v>
      </c>
      <c r="DN215" s="173">
        <f ca="1">(VLOOKUP(DN$72,INDIRECT($C$5&amp;"生成成长"),2))/((VLOOKUP($B215,INDIRECT($B$5&amp;"生成成长"),4))/(VLOOKUP(DN$72,INDIRECT($C$5&amp;"生成成长"),5))*(VLOOKUP($B$5,标准坦克设计!$B$24:$U$30,MATCH("对"&amp;LEFT($C$5,2)&amp;"输出",标准坦克设计!$B$23:$U$23,0)))*(VLOOKUP($B215,INDIRECT($B$5&amp;"生成成长"),3))*(VLOOKUP($B$5,标准坦克设计!$B$14:$K$20,9)/30))</f>
        <v>2.3808699004281473</v>
      </c>
      <c r="DO215" s="173">
        <f ca="1">(VLOOKUP(DO$72,INDIRECT($C$5&amp;"生成成长"),2))/((VLOOKUP($B215,INDIRECT($B$5&amp;"生成成长"),4))/(VLOOKUP(DO$72,INDIRECT($C$5&amp;"生成成长"),5))*(VLOOKUP($B$5,标准坦克设计!$B$24:$U$30,MATCH("对"&amp;LEFT($C$5,2)&amp;"输出",标准坦克设计!$B$23:$U$23,0)))*(VLOOKUP($B215,INDIRECT($B$5&amp;"生成成长"),3))*(VLOOKUP($B$5,标准坦克设计!$B$14:$K$20,9)/30))</f>
        <v>2.6181568903583274</v>
      </c>
      <c r="DP215" s="173">
        <f ca="1">(VLOOKUP(DP$72,INDIRECT($C$5&amp;"生成成长"),2))/((VLOOKUP($B215,INDIRECT($B$5&amp;"生成成长"),4))/(VLOOKUP(DP$72,INDIRECT($C$5&amp;"生成成长"),5))*(VLOOKUP($B$5,标准坦克设计!$B$24:$U$30,MATCH("对"&amp;LEFT($C$5,2)&amp;"输出",标准坦克设计!$B$23:$U$23,0)))*(VLOOKUP($B215,INDIRECT($B$5&amp;"生成成长"),3))*(VLOOKUP($B$5,标准坦克设计!$B$14:$K$20,9)/30))</f>
        <v>2.8667134470925792</v>
      </c>
      <c r="DQ215" s="173">
        <f ca="1">(VLOOKUP(DQ$72,INDIRECT($C$5&amp;"生成成长"),2))/((VLOOKUP($B215,INDIRECT($B$5&amp;"生成成长"),4))/(VLOOKUP(DQ$72,INDIRECT($C$5&amp;"生成成长"),5))*(VLOOKUP($B$5,标准坦克设计!$B$24:$U$30,MATCH("对"&amp;LEFT($C$5,2)&amp;"输出",标准坦克设计!$B$23:$U$23,0)))*(VLOOKUP($B215,INDIRECT($B$5&amp;"生成成长"),3))*(VLOOKUP($B$5,标准坦克设计!$B$14:$K$20,9)/30))</f>
        <v>3.1265395706309036</v>
      </c>
      <c r="DR215" s="173">
        <f ca="1">(VLOOKUP(DR$72,INDIRECT($C$5&amp;"生成成长"),2))/((VLOOKUP($B215,INDIRECT($B$5&amp;"生成成长"),4))/(VLOOKUP(DR$72,INDIRECT($C$5&amp;"生成成长"),5))*(VLOOKUP($B$5,标准坦克设计!$B$24:$U$30,MATCH("对"&amp;LEFT($C$5,2)&amp;"输出",标准坦克设计!$B$23:$U$23,0)))*(VLOOKUP($B215,INDIRECT($B$5&amp;"生成成长"),3))*(VLOOKUP($B$5,标准坦克设计!$B$14:$K$20,9)/30))</f>
        <v>3.3976352609732987</v>
      </c>
      <c r="DS215" s="173">
        <f ca="1">(VLOOKUP(DS$72,INDIRECT($C$5&amp;"生成成长"),2))/((VLOOKUP($B215,INDIRECT($B$5&amp;"生成成长"),4))/(VLOOKUP(DS$72,INDIRECT($C$5&amp;"生成成长"),5))*(VLOOKUP($B$5,标准坦克设计!$B$24:$U$30,MATCH("对"&amp;LEFT($C$5,2)&amp;"输出",标准坦克设计!$B$23:$U$23,0)))*(VLOOKUP($B215,INDIRECT($B$5&amp;"生成成长"),3))*(VLOOKUP($B$5,标准坦克设计!$B$14:$K$20,9)/30))</f>
        <v>3.6800005181197664</v>
      </c>
      <c r="DT215" s="173">
        <f ca="1">(VLOOKUP(DT$72,INDIRECT($C$5&amp;"生成成长"),2))/((VLOOKUP($B215,INDIRECT($B$5&amp;"生成成长"),4))/(VLOOKUP(DT$72,INDIRECT($C$5&amp;"生成成长"),5))*(VLOOKUP($B$5,标准坦克设计!$B$24:$U$30,MATCH("对"&amp;LEFT($C$5,2)&amp;"输出",标准坦克设计!$B$23:$U$23,0)))*(VLOOKUP($B215,INDIRECT($B$5&amp;"生成成长"),3))*(VLOOKUP($B$5,标准坦克设计!$B$14:$K$20,9)/30))</f>
        <v>4.0404179601685097</v>
      </c>
      <c r="DU215" s="173">
        <f ca="1">(VLOOKUP(DU$72,INDIRECT($C$5&amp;"生成成长"),2))/((VLOOKUP($B215,INDIRECT($B$5&amp;"生成成长"),4))/(VLOOKUP(DU$72,INDIRECT($C$5&amp;"生成成长"),5))*(VLOOKUP($B$5,标准坦克设计!$B$24:$U$30,MATCH("对"&amp;LEFT($C$5,2)&amp;"输出",标准坦克设计!$B$23:$U$23,0)))*(VLOOKUP($B215,INDIRECT($B$5&amp;"生成成长"),3))*(VLOOKUP($B$5,标准坦克设计!$B$14:$K$20,9)/30))</f>
        <v>4.4176701871961752</v>
      </c>
      <c r="DV215" s="173">
        <f ca="1">(VLOOKUP(DV$72,INDIRECT($C$5&amp;"生成成长"),2))/((VLOOKUP($B215,INDIRECT($B$5&amp;"生成成长"),4))/(VLOOKUP(DV$72,INDIRECT($C$5&amp;"生成成长"),5))*(VLOOKUP($B$5,标准坦克设计!$B$24:$U$30,MATCH("对"&amp;LEFT($C$5,2)&amp;"输出",标准坦克设计!$B$23:$U$23,0)))*(VLOOKUP($B215,INDIRECT($B$5&amp;"生成成长"),3))*(VLOOKUP($B$5,标准坦克设计!$B$14:$K$20,9)/30))</f>
        <v>4.8117571992027619</v>
      </c>
      <c r="DW215" s="173">
        <f ca="1">(VLOOKUP(DW$72,INDIRECT($C$5&amp;"生成成长"),2))/((VLOOKUP($B215,INDIRECT($B$5&amp;"生成成长"),4))/(VLOOKUP(DW$72,INDIRECT($C$5&amp;"生成成长"),5))*(VLOOKUP($B$5,标准坦克设计!$B$24:$U$30,MATCH("对"&amp;LEFT($C$5,2)&amp;"输出",标准坦克设计!$B$23:$U$23,0)))*(VLOOKUP($B215,INDIRECT($B$5&amp;"生成成长"),3))*(VLOOKUP($B$5,标准坦克设计!$B$14:$K$20,9)/30))</f>
        <v>5.2226789961882716</v>
      </c>
      <c r="DX215" s="173">
        <f ca="1">(VLOOKUP(DX$72,INDIRECT($C$5&amp;"生成成长"),2))/((VLOOKUP($B215,INDIRECT($B$5&amp;"生成成长"),4))/(VLOOKUP(DX$72,INDIRECT($C$5&amp;"生成成长"),5))*(VLOOKUP($B$5,标准坦克设计!$B$24:$U$30,MATCH("对"&amp;LEFT($C$5,2)&amp;"输出",标准坦克设计!$B$23:$U$23,0)))*(VLOOKUP($B215,INDIRECT($B$5&amp;"生成成长"),3))*(VLOOKUP($B$5,标准坦克设计!$B$14:$K$20,9)/30))</f>
        <v>5.6504355781527034</v>
      </c>
      <c r="DY215" s="173">
        <f ca="1">(VLOOKUP(DY$72,INDIRECT($C$5&amp;"生成成长"),2))/((VLOOKUP($B215,INDIRECT($B$5&amp;"生成成长"),4))/(VLOOKUP(DY$72,INDIRECT($C$5&amp;"生成成长"),5))*(VLOOKUP($B$5,标准坦克设计!$B$24:$U$30,MATCH("对"&amp;LEFT($C$5,2)&amp;"输出",标准坦克设计!$B$23:$U$23,0)))*(VLOOKUP($B215,INDIRECT($B$5&amp;"生成成长"),3))*(VLOOKUP($B$5,标准坦克设计!$B$14:$K$20,9)/30))</f>
        <v>2.5378090529589259</v>
      </c>
      <c r="DZ215" s="173">
        <f ca="1">(VLOOKUP(DZ$72,INDIRECT($C$5&amp;"生成成长"),2))/((VLOOKUP($B215,INDIRECT($B$5&amp;"生成成长"),4))/(VLOOKUP(DZ$72,INDIRECT($C$5&amp;"生成成长"),5))*(VLOOKUP($B$5,标准坦克设计!$B$24:$U$30,MATCH("对"&amp;LEFT($C$5,2)&amp;"输出",标准坦克设计!$B$23:$U$23,0)))*(VLOOKUP($B215,INDIRECT($B$5&amp;"生成成长"),3))*(VLOOKUP($B$5,标准坦克设计!$B$14:$K$20,9)/30))</f>
        <v>2.8105047435265909</v>
      </c>
      <c r="EA215" s="173">
        <f ca="1">(VLOOKUP(EA$72,INDIRECT($C$5&amp;"生成成长"),2))/((VLOOKUP($B215,INDIRECT($B$5&amp;"生成成长"),4))/(VLOOKUP(EA$72,INDIRECT($C$5&amp;"生成成长"),5))*(VLOOKUP($B$5,标准坦克设计!$B$24:$U$30,MATCH("对"&amp;LEFT($C$5,2)&amp;"输出",标准坦克设计!$B$23:$U$23,0)))*(VLOOKUP($B215,INDIRECT($B$5&amp;"生成成长"),3))*(VLOOKUP($B$5,标准坦克设计!$B$14:$K$20,9)/30))</f>
        <v>3.0971134795313824</v>
      </c>
      <c r="EB215" s="173">
        <f ca="1">(VLOOKUP(EB$72,INDIRECT($C$5&amp;"生成成长"),2))/((VLOOKUP($B215,INDIRECT($B$5&amp;"生成成长"),4))/(VLOOKUP(EB$72,INDIRECT($C$5&amp;"生成成长"),5))*(VLOOKUP($B$5,标准坦克设计!$B$24:$U$30,MATCH("对"&amp;LEFT($C$5,2)&amp;"输出",标准坦克设计!$B$23:$U$23,0)))*(VLOOKUP($B215,INDIRECT($B$5&amp;"生成成长"),3))*(VLOOKUP($B$5,标准坦克设计!$B$14:$K$20,9)/30))</f>
        <v>3.3976352609732987</v>
      </c>
      <c r="EC215" s="173">
        <f ca="1">(VLOOKUP(EC$72,INDIRECT($C$5&amp;"生成成长"),2))/((VLOOKUP($B215,INDIRECT($B$5&amp;"生成成长"),4))/(VLOOKUP(EC$72,INDIRECT($C$5&amp;"生成成长"),5))*(VLOOKUP($B$5,标准坦克设计!$B$24:$U$30,MATCH("对"&amp;LEFT($C$5,2)&amp;"输出",标准坦克设计!$B$23:$U$23,0)))*(VLOOKUP($B215,INDIRECT($B$5&amp;"生成成长"),3))*(VLOOKUP($B$5,标准坦克设计!$B$14:$K$20,9)/30))</f>
        <v>3.7120700878523412</v>
      </c>
      <c r="ED215" s="173">
        <f ca="1">(VLOOKUP(ED$72,INDIRECT($C$5&amp;"生成成长"),2))/((VLOOKUP($B215,INDIRECT($B$5&amp;"生成成长"),4))/(VLOOKUP(ED$72,INDIRECT($C$5&amp;"生成成长"),5))*(VLOOKUP($B$5,标准坦克设计!$B$24:$U$30,MATCH("对"&amp;LEFT($C$5,2)&amp;"输出",标准坦克设计!$B$23:$U$23,0)))*(VLOOKUP($B215,INDIRECT($B$5&amp;"生成成长"),3))*(VLOOKUP($B$5,标准坦克设计!$B$14:$K$20,9)/30))</f>
        <v>4.0404179601685097</v>
      </c>
      <c r="EE215" s="173">
        <f ca="1">(VLOOKUP(EE$72,INDIRECT($C$5&amp;"生成成长"),2))/((VLOOKUP($B215,INDIRECT($B$5&amp;"生成成长"),4))/(VLOOKUP(EE$72,INDIRECT($C$5&amp;"生成成长"),5))*(VLOOKUP($B$5,标准坦克设计!$B$24:$U$30,MATCH("对"&amp;LEFT($C$5,2)&amp;"输出",标准坦克设计!$B$23:$U$23,0)))*(VLOOKUP($B215,INDIRECT($B$5&amp;"生成成长"),3))*(VLOOKUP($B$5,标准坦克设计!$B$14:$K$20,9)/30))</f>
        <v>4.3826788779218022</v>
      </c>
      <c r="EF215" s="173">
        <f ca="1">(VLOOKUP(EF$72,INDIRECT($C$5&amp;"生成成长"),2))/((VLOOKUP($B215,INDIRECT($B$5&amp;"生成成长"),4))/(VLOOKUP(EF$72,INDIRECT($C$5&amp;"生成成长"),5))*(VLOOKUP($B$5,标准坦克设计!$B$24:$U$30,MATCH("对"&amp;LEFT($C$5,2)&amp;"输出",标准坦克设计!$B$23:$U$23,0)))*(VLOOKUP($B215,INDIRECT($B$5&amp;"生成成长"),3))*(VLOOKUP($B$5,标准坦克设计!$B$14:$K$20,9)/30))</f>
        <v>4.738852841112223</v>
      </c>
      <c r="EG215" s="173">
        <f ca="1">(VLOOKUP(EG$72,INDIRECT($C$5&amp;"生成成长"),2))/((VLOOKUP($B215,INDIRECT($B$5&amp;"生成成长"),4))/(VLOOKUP(EG$72,INDIRECT($C$5&amp;"生成成长"),5))*(VLOOKUP($B$5,标准坦克设计!$B$24:$U$30,MATCH("对"&amp;LEFT($C$5,2)&amp;"输出",标准坦克设计!$B$23:$U$23,0)))*(VLOOKUP($B215,INDIRECT($B$5&amp;"生成成长"),3))*(VLOOKUP($B$5,标准坦克设计!$B$14:$K$20,9)/30))</f>
        <v>5.1089398497397687</v>
      </c>
      <c r="EH215" s="173">
        <f ca="1">(VLOOKUP(EH$72,INDIRECT($C$5&amp;"生成成长"),2))/((VLOOKUP($B215,INDIRECT($B$5&amp;"生成成长"),4))/(VLOOKUP(EH$72,INDIRECT($C$5&amp;"生成成长"),5))*(VLOOKUP($B$5,标准坦克设计!$B$24:$U$30,MATCH("对"&amp;LEFT($C$5,2)&amp;"输出",标准坦克设计!$B$23:$U$23,0)))*(VLOOKUP($B215,INDIRECT($B$5&amp;"生成成长"),3))*(VLOOKUP($B$5,标准坦克设计!$B$14:$K$20,9)/30))</f>
        <v>5.4929399038044391</v>
      </c>
      <c r="EI215" s="173">
        <f ca="1">(VLOOKUP(EI$72,INDIRECT($C$5&amp;"生成成长"),2))/((VLOOKUP($B215,INDIRECT($B$5&amp;"生成成长"),4))/(VLOOKUP(EI$72,INDIRECT($C$5&amp;"生成成长"),5))*(VLOOKUP($B$5,标准坦克设计!$B$24:$U$30,MATCH("对"&amp;LEFT($C$5,2)&amp;"输出",标准坦克设计!$B$23:$U$23,0)))*(VLOOKUP($B215,INDIRECT($B$5&amp;"生成成长"),3))*(VLOOKUP($B$5,标准坦克设计!$B$14:$K$20,9)/30))</f>
        <v>5.8908530033062361</v>
      </c>
      <c r="EJ215" s="173">
        <f ca="1">(VLOOKUP(EJ$72,INDIRECT($C$5&amp;"生成成长"),2))/((VLOOKUP($B215,INDIRECT($B$5&amp;"生成成长"),4))/(VLOOKUP(EJ$72,INDIRECT($C$5&amp;"生成成长"),5))*(VLOOKUP($B$5,标准坦克设计!$B$24:$U$30,MATCH("对"&amp;LEFT($C$5,2)&amp;"输出",标准坦克设计!$B$23:$U$23,0)))*(VLOOKUP($B215,INDIRECT($B$5&amp;"生成成长"),3))*(VLOOKUP($B$5,标准坦克设计!$B$14:$K$20,9)/30))</f>
        <v>6.3026791482451596</v>
      </c>
      <c r="EK215" s="173">
        <f ca="1">(VLOOKUP(EK$72,INDIRECT($C$5&amp;"生成成长"),2))/((VLOOKUP($B215,INDIRECT($B$5&amp;"生成成长"),4))/(VLOOKUP(EK$72,INDIRECT($C$5&amp;"生成成长"),5))*(VLOOKUP($B$5,标准坦克设计!$B$24:$U$30,MATCH("对"&amp;LEFT($C$5,2)&amp;"输出",标准坦克设计!$B$23:$U$23,0)))*(VLOOKUP($B215,INDIRECT($B$5&amp;"生成成长"),3))*(VLOOKUP($B$5,标准坦克设计!$B$14:$K$20,9)/30))</f>
        <v>6.8152357421488725</v>
      </c>
      <c r="EL215" s="173">
        <f ca="1">(VLOOKUP(EL$72,INDIRECT($C$5&amp;"生成成长"),2))/((VLOOKUP($B215,INDIRECT($B$5&amp;"生成成长"),4))/(VLOOKUP(EL$72,INDIRECT($C$5&amp;"生成成长"),5))*(VLOOKUP($B$5,标准坦克设计!$B$24:$U$30,MATCH("对"&amp;LEFT($C$5,2)&amp;"输出",标准坦克设计!$B$23:$U$23,0)))*(VLOOKUP($B215,INDIRECT($B$5&amp;"生成成长"),3))*(VLOOKUP($B$5,标准坦克设计!$B$14:$K$20,9)/30))</f>
        <v>7.3478271214820472</v>
      </c>
      <c r="EM215" s="173">
        <f ca="1">(VLOOKUP(EM$72,INDIRECT($C$5&amp;"生成成长"),2))/((VLOOKUP($B215,INDIRECT($B$5&amp;"生成成长"),4))/(VLOOKUP(EM$72,INDIRECT($C$5&amp;"生成成长"),5))*(VLOOKUP($B$5,标准坦克设计!$B$24:$U$30,MATCH("对"&amp;LEFT($C$5,2)&amp;"输出",标准坦克设计!$B$23:$U$23,0)))*(VLOOKUP($B215,INDIRECT($B$5&amp;"生成成长"),3))*(VLOOKUP($B$5,标准坦克设计!$B$14:$K$20,9)/30))</f>
        <v>7.9004532862446828</v>
      </c>
      <c r="EN215" s="173">
        <f ca="1">(VLOOKUP(EN$72,INDIRECT($C$5&amp;"生成成长"),2))/((VLOOKUP($B215,INDIRECT($B$5&amp;"生成成长"),4))/(VLOOKUP(EN$72,INDIRECT($C$5&amp;"生成成长"),5))*(VLOOKUP($B$5,标准坦克设计!$B$24:$U$30,MATCH("对"&amp;LEFT($C$5,2)&amp;"输出",标准坦克设计!$B$23:$U$23,0)))*(VLOOKUP($B215,INDIRECT($B$5&amp;"生成成长"),3))*(VLOOKUP($B$5,标准坦克设计!$B$14:$K$20,9)/30))</f>
        <v>8.4731142364367802</v>
      </c>
      <c r="EO215" s="173">
        <f ca="1">(VLOOKUP(EO$72,INDIRECT($C$5&amp;"生成成长"),2))/((VLOOKUP($B215,INDIRECT($B$5&amp;"生成成长"),4))/(VLOOKUP(EO$72,INDIRECT($C$5&amp;"生成成长"),5))*(VLOOKUP($B$5,标准坦克设计!$B$24:$U$30,MATCH("对"&amp;LEFT($C$5,2)&amp;"输出",标准坦克设计!$B$23:$U$23,0)))*(VLOOKUP($B215,INDIRECT($B$5&amp;"生成成长"),3))*(VLOOKUP($B$5,标准坦克设计!$B$14:$K$20,9)/30))</f>
        <v>9.0658099720583376</v>
      </c>
      <c r="EP215" s="173">
        <f ca="1">(VLOOKUP(EP$72,INDIRECT($C$5&amp;"生成成长"),2))/((VLOOKUP($B215,INDIRECT($B$5&amp;"生成成长"),4))/(VLOOKUP(EP$72,INDIRECT($C$5&amp;"生成成长"),5))*(VLOOKUP($B$5,标准坦克设计!$B$24:$U$30,MATCH("对"&amp;LEFT($C$5,2)&amp;"输出",标准坦克设计!$B$23:$U$23,0)))*(VLOOKUP($B215,INDIRECT($B$5&amp;"生成成长"),3))*(VLOOKUP($B$5,标准坦克设计!$B$14:$K$20,9)/30))</f>
        <v>9.6785404931093559</v>
      </c>
      <c r="EQ215" s="173">
        <f ca="1">(VLOOKUP(EQ$72,INDIRECT($C$5&amp;"生成成长"),2))/((VLOOKUP($B215,INDIRECT($B$5&amp;"生成成长"),4))/(VLOOKUP(EQ$72,INDIRECT($C$5&amp;"生成成长"),5))*(VLOOKUP($B$5,标准坦克设计!$B$24:$U$30,MATCH("对"&amp;LEFT($C$5,2)&amp;"输出",标准坦克设计!$B$23:$U$23,0)))*(VLOOKUP($B215,INDIRECT($B$5&amp;"生成成长"),3))*(VLOOKUP($B$5,标准坦克设计!$B$14:$K$20,9)/30))</f>
        <v>4.2785397328249175</v>
      </c>
      <c r="ER215" s="173">
        <f ca="1">(VLOOKUP(ER$72,INDIRECT($C$5&amp;"生成成长"),2))/((VLOOKUP($B215,INDIRECT($B$5&amp;"生成成长"),4))/(VLOOKUP(ER$72,INDIRECT($C$5&amp;"生成成长"),5))*(VLOOKUP($B$5,标准坦克设计!$B$24:$U$30,MATCH("对"&amp;LEFT($C$5,2)&amp;"输出",标准坦克设计!$B$23:$U$23,0)))*(VLOOKUP($B215,INDIRECT($B$5&amp;"生成成长"),3))*(VLOOKUP($B$5,标准坦克设计!$B$14:$K$20,9)/30))</f>
        <v>4.666505004839169</v>
      </c>
      <c r="ES215" s="173">
        <f ca="1">(VLOOKUP(ES$72,INDIRECT($C$5&amp;"生成成长"),2))/((VLOOKUP($B215,INDIRECT($B$5&amp;"生成成长"),4))/(VLOOKUP(ES$72,INDIRECT($C$5&amp;"生成成长"),5))*(VLOOKUP($B$5,标准坦克设计!$B$24:$U$30,MATCH("对"&amp;LEFT($C$5,2)&amp;"输出",标准坦克设计!$B$23:$U$23,0)))*(VLOOKUP($B215,INDIRECT($B$5&amp;"生成成长"),3))*(VLOOKUP($B$5,标准坦克设计!$B$14:$K$20,9)/30))</f>
        <v>5.0713050618323434</v>
      </c>
      <c r="ET215" s="173">
        <f ca="1">(VLOOKUP(ET$72,INDIRECT($C$5&amp;"生成成长"),2))/((VLOOKUP($B215,INDIRECT($B$5&amp;"生成成长"),4))/(VLOOKUP(ET$72,INDIRECT($C$5&amp;"生成成长"),5))*(VLOOKUP($B$5,标准坦克设计!$B$24:$U$30,MATCH("对"&amp;LEFT($C$5,2)&amp;"输出",标准坦克设计!$B$23:$U$23,0)))*(VLOOKUP($B215,INDIRECT($B$5&amp;"生成成长"),3))*(VLOOKUP($B$5,标准坦克设计!$B$14:$K$20,9)/30))</f>
        <v>5.4929399038044391</v>
      </c>
      <c r="EU215" s="173">
        <f ca="1">(VLOOKUP(EU$72,INDIRECT($C$5&amp;"生成成长"),2))/((VLOOKUP($B215,INDIRECT($B$5&amp;"生成成长"),4))/(VLOOKUP(EU$72,INDIRECT($C$5&amp;"生成成长"),5))*(VLOOKUP($B$5,标准坦克设计!$B$24:$U$30,MATCH("对"&amp;LEFT($C$5,2)&amp;"输出",标准坦克设计!$B$23:$U$23,0)))*(VLOOKUP($B215,INDIRECT($B$5&amp;"生成成长"),3))*(VLOOKUP($B$5,标准坦克设计!$B$14:$K$20,9)/30))</f>
        <v>5.9314095307554586</v>
      </c>
      <c r="EV215" s="173">
        <f ca="1">(VLOOKUP(EV$72,INDIRECT($C$5&amp;"生成成长"),2))/((VLOOKUP($B215,INDIRECT($B$5&amp;"生成成长"),4))/(VLOOKUP(EV$72,INDIRECT($C$5&amp;"生成成长"),5))*(VLOOKUP($B$5,标准坦克设计!$B$24:$U$30,MATCH("对"&amp;LEFT($C$5,2)&amp;"输出",标准坦克设计!$B$23:$U$23,0)))*(VLOOKUP($B215,INDIRECT($B$5&amp;"生成成长"),3))*(VLOOKUP($B$5,标准坦克设计!$B$14:$K$20,9)/30))</f>
        <v>6.3867139426853985</v>
      </c>
      <c r="EW215" s="173">
        <f ca="1">(VLOOKUP(EW$72,INDIRECT($C$5&amp;"生成成长"),2))/((VLOOKUP($B215,INDIRECT($B$5&amp;"生成成长"),4))/(VLOOKUP(EW$72,INDIRECT($C$5&amp;"生成成长"),5))*(VLOOKUP($B$5,标准坦克设计!$B$24:$U$30,MATCH("对"&amp;LEFT($C$5,2)&amp;"输出",标准坦克设计!$B$23:$U$23,0)))*(VLOOKUP($B215,INDIRECT($B$5&amp;"生成成长"),3))*(VLOOKUP($B$5,标准坦克设计!$B$14:$K$20,9)/30))</f>
        <v>6.8588531395942622</v>
      </c>
      <c r="EX215" s="173">
        <f ca="1">(VLOOKUP(EX$72,INDIRECT($C$5&amp;"生成成长"),2))/((VLOOKUP($B215,INDIRECT($B$5&amp;"生成成长"),4))/(VLOOKUP(EX$72,INDIRECT($C$5&amp;"生成成长"),5))*(VLOOKUP($B$5,标准坦克设计!$B$24:$U$30,MATCH("对"&amp;LEFT($C$5,2)&amp;"输出",标准坦克设计!$B$23:$U$23,0)))*(VLOOKUP($B215,INDIRECT($B$5&amp;"生成成长"),3))*(VLOOKUP($B$5,标准坦克设计!$B$14:$K$20,9)/30))</f>
        <v>7.3478271214820472</v>
      </c>
      <c r="EY215" s="173">
        <f ca="1">(VLOOKUP(EY$72,INDIRECT($C$5&amp;"生成成长"),2))/((VLOOKUP($B215,INDIRECT($B$5&amp;"生成成长"),4))/(VLOOKUP(EY$72,INDIRECT($C$5&amp;"生成成长"),5))*(VLOOKUP($B$5,标准坦克设计!$B$24:$U$30,MATCH("对"&amp;LEFT($C$5,2)&amp;"输出",标准坦克设计!$B$23:$U$23,0)))*(VLOOKUP($B215,INDIRECT($B$5&amp;"生成成长"),3))*(VLOOKUP($B$5,标准坦克设计!$B$14:$K$20,9)/30))</f>
        <v>7.8536358883487543</v>
      </c>
      <c r="EZ215" s="173">
        <f ca="1">(VLOOKUP(EZ$72,INDIRECT($C$5&amp;"生成成长"),2))/((VLOOKUP($B215,INDIRECT($B$5&amp;"生成成长"),4))/(VLOOKUP(EZ$72,INDIRECT($C$5&amp;"生成成长"),5))*(VLOOKUP($B$5,标准坦克设计!$B$24:$U$30,MATCH("对"&amp;LEFT($C$5,2)&amp;"输出",标准坦克设计!$B$23:$U$23,0)))*(VLOOKUP($B215,INDIRECT($B$5&amp;"生成成长"),3))*(VLOOKUP($B$5,标准坦克设计!$B$14:$K$20,9)/30))</f>
        <v>8.3762794401943843</v>
      </c>
      <c r="FA215" s="173">
        <f ca="1">(VLOOKUP(FA$72,INDIRECT($C$5&amp;"生成成长"),2))/((VLOOKUP($B215,INDIRECT($B$5&amp;"生成成长"),4))/(VLOOKUP(FA$72,INDIRECT($C$5&amp;"生成成长"),5))*(VLOOKUP($B$5,标准坦克设计!$B$24:$U$30,MATCH("对"&amp;LEFT($C$5,2)&amp;"输出",标准坦克设计!$B$23:$U$23,0)))*(VLOOKUP($B215,INDIRECT($B$5&amp;"生成成长"),3))*(VLOOKUP($B$5,标准坦克设计!$B$14:$K$20,9)/30))</f>
        <v>8.9157577770189356</v>
      </c>
      <c r="FB215" s="173">
        <f ca="1">(VLOOKUP(FB$72,INDIRECT($C$5&amp;"生成成长"),2))/((VLOOKUP($B215,INDIRECT($B$5&amp;"生成成长"),4))/(VLOOKUP(FB$72,INDIRECT($C$5&amp;"生成成长"),5))*(VLOOKUP($B$5,标准坦克设计!$B$24:$U$30,MATCH("对"&amp;LEFT($C$5,2)&amp;"输出",标准坦克设计!$B$23:$U$23,0)))*(VLOOKUP($B215,INDIRECT($B$5&amp;"生成成长"),3))*(VLOOKUP($B$5,标准坦克设计!$B$14:$K$20,9)/30))</f>
        <v>9.4720708988224107</v>
      </c>
      <c r="FC215" s="173">
        <f ca="1">(VLOOKUP(FC$72,INDIRECT($C$5&amp;"生成成长"),2))/((VLOOKUP($B215,INDIRECT($B$5&amp;"生成成长"),4))/(VLOOKUP(FC$72,INDIRECT($C$5&amp;"生成成长"),5))*(VLOOKUP($B$5,标准坦克设计!$B$24:$U$30,MATCH("对"&amp;LEFT($C$5,2)&amp;"输出",标准坦克设计!$B$23:$U$23,0)))*(VLOOKUP($B215,INDIRECT($B$5&amp;"生成成长"),3))*(VLOOKUP($B$5,标准坦克设计!$B$14:$K$20,9)/30))</f>
        <v>10.045218805604806</v>
      </c>
      <c r="FD215" s="173">
        <f ca="1">(VLOOKUP(FD$72,INDIRECT($C$5&amp;"生成成长"),2))/((VLOOKUP($B215,INDIRECT($B$5&amp;"生成成长"),4))/(VLOOKUP(FD$72,INDIRECT($C$5&amp;"生成成长"),5))*(VLOOKUP($B$5,标准坦克设计!$B$24:$U$30,MATCH("对"&amp;LEFT($C$5,2)&amp;"输出",标准坦克设计!$B$23:$U$23,0)))*(VLOOKUP($B215,INDIRECT($B$5&amp;"生成成长"),3))*(VLOOKUP($B$5,标准坦克设计!$B$14:$K$20,9)/30))</f>
        <v>10.635201497366124</v>
      </c>
      <c r="FE215" s="173">
        <f ca="1">(VLOOKUP(FE$72,INDIRECT($C$5&amp;"生成成长"),2))/((VLOOKUP($B215,INDIRECT($B$5&amp;"生成成长"),4))/(VLOOKUP(FE$72,INDIRECT($C$5&amp;"生成成长"),5))*(VLOOKUP($B$5,标准坦克设计!$B$24:$U$30,MATCH("对"&amp;LEFT($C$5,2)&amp;"输出",标准坦克设计!$B$23:$U$23,0)))*(VLOOKUP($B215,INDIRECT($B$5&amp;"生成成长"),3))*(VLOOKUP($B$5,标准坦克设计!$B$14:$K$20,9)/30))</f>
        <v>11.354158120329599</v>
      </c>
      <c r="FF215" s="173">
        <f ca="1">(VLOOKUP(FF$72,INDIRECT($C$5&amp;"生成成长"),2))/((VLOOKUP($B215,INDIRECT($B$5&amp;"生成成长"),4))/(VLOOKUP(FF$72,INDIRECT($C$5&amp;"生成成长"),5))*(VLOOKUP($B$5,标准坦克设计!$B$24:$U$30,MATCH("对"&amp;LEFT($C$5,2)&amp;"输出",标准坦克设计!$B$23:$U$23,0)))*(VLOOKUP($B215,INDIRECT($B$5&amp;"生成成长"),3))*(VLOOKUP($B$5,标准坦克设计!$B$14:$K$20,9)/30))</f>
        <v>12.096627790081817</v>
      </c>
      <c r="FG215" s="173">
        <f ca="1">(VLOOKUP(FG$72,INDIRECT($C$5&amp;"生成成长"),2))/((VLOOKUP($B215,INDIRECT($B$5&amp;"生成成长"),4))/(VLOOKUP(FG$72,INDIRECT($C$5&amp;"生成成长"),5))*(VLOOKUP($B$5,标准坦克设计!$B$24:$U$30,MATCH("对"&amp;LEFT($C$5,2)&amp;"输出",标准坦克设计!$B$23:$U$23,0)))*(VLOOKUP($B215,INDIRECT($B$5&amp;"生成成长"),3))*(VLOOKUP($B$5,标准坦克设计!$B$14:$K$20,9)/30))</f>
        <v>12.862610506622776</v>
      </c>
      <c r="FH215" s="173">
        <f ca="1">(VLOOKUP(FH$72,INDIRECT($C$5&amp;"生成成长"),2))/((VLOOKUP($B215,INDIRECT($B$5&amp;"生成成长"),4))/(VLOOKUP(FH$72,INDIRECT($C$5&amp;"生成成长"),5))*(VLOOKUP($B$5,标准坦克设计!$B$24:$U$30,MATCH("对"&amp;LEFT($C$5,2)&amp;"输出",标准坦克设计!$B$23:$U$23,0)))*(VLOOKUP($B215,INDIRECT($B$5&amp;"生成成长"),3))*(VLOOKUP($B$5,标准坦克设计!$B$14:$K$20,9)/30))</f>
        <v>13.652106269952476</v>
      </c>
      <c r="FI215" s="173">
        <f ca="1">(VLOOKUP(FI$72,INDIRECT($C$5&amp;"生成成长"),2))/((VLOOKUP($B215,INDIRECT($B$5&amp;"生成成长"),4))/(VLOOKUP(FI$72,INDIRECT($C$5&amp;"生成成长"),5))*(VLOOKUP($B$5,标准坦克设计!$B$24:$U$30,MATCH("对"&amp;LEFT($C$5,2)&amp;"输出",标准坦克设计!$B$23:$U$23,0)))*(VLOOKUP($B215,INDIRECT($B$5&amp;"生成成长"),3))*(VLOOKUP($B$5,标准坦克设计!$B$14:$K$20,9)/30))</f>
        <v>14.465115080070923</v>
      </c>
      <c r="FJ215" s="173">
        <f ca="1">(VLOOKUP(FJ$72,INDIRECT($C$5&amp;"生成成长"),2))/((VLOOKUP($B215,INDIRECT($B$5&amp;"生成成长"),4))/(VLOOKUP(FJ$72,INDIRECT($C$5&amp;"生成成长"),5))*(VLOOKUP($B$5,标准坦克设计!$B$24:$U$30,MATCH("对"&amp;LEFT($C$5,2)&amp;"输出",标准坦克设计!$B$23:$U$23,0)))*(VLOOKUP($B215,INDIRECT($B$5&amp;"生成成长"),3))*(VLOOKUP($B$5,标准坦克设计!$B$14:$K$20,9)/30))</f>
        <v>15.301636936978108</v>
      </c>
      <c r="FK215" s="173">
        <f ca="1">(VLOOKUP(FK$72,INDIRECT($C$5&amp;"生成成长"),2))/((VLOOKUP($B215,INDIRECT($B$5&amp;"生成成长"),4))/(VLOOKUP(FK$72,INDIRECT($C$5&amp;"生成成长"),5))*(VLOOKUP($B$5,标准坦克设计!$B$24:$U$30,MATCH("对"&amp;LEFT($C$5,2)&amp;"输出",标准坦克设计!$B$23:$U$23,0)))*(VLOOKUP($B215,INDIRECT($B$5&amp;"生成成长"),3))*(VLOOKUP($B$5,标准坦克设计!$B$14:$K$20,9)/30))</f>
        <v>16.161671840674039</v>
      </c>
    </row>
    <row r="216" spans="1:167" x14ac:dyDescent="0.15">
      <c r="A216" s="171" t="str">
        <f t="shared" si="13"/>
        <v>T4高品质18级</v>
      </c>
      <c r="B216" s="172">
        <v>30418</v>
      </c>
      <c r="C216" s="173">
        <f ca="1">(VLOOKUP(C$72,INDIRECT($C$5&amp;"生成成长"),2))/((VLOOKUP($B216,INDIRECT($B$5&amp;"生成成长"),4))/(VLOOKUP(C$72,INDIRECT($C$5&amp;"生成成长"),5))*(VLOOKUP($B$5,标准坦克设计!$B$24:$U$30,MATCH("对"&amp;LEFT($C$5,2)&amp;"输出",标准坦克设计!$B$23:$U$23,0)))*(VLOOKUP($B216,INDIRECT($B$5&amp;"生成成长"),3))*(VLOOKUP($B$5,标准坦克设计!$B$14:$K$20,9)/30))</f>
        <v>0.65286985494222483</v>
      </c>
      <c r="D216" s="173">
        <f ca="1">(VLOOKUP(D$72,INDIRECT($C$5&amp;"生成成长"),2))/((VLOOKUP($B216,INDIRECT($B$5&amp;"生成成长"),4))/(VLOOKUP(D$72,INDIRECT($C$5&amp;"生成成长"),5))*(VLOOKUP($B$5,标准坦克设计!$B$24:$U$30,MATCH("对"&amp;LEFT($C$5,2)&amp;"输出",标准坦克设计!$B$23:$U$23,0)))*(VLOOKUP($B216,INDIRECT($B$5&amp;"生成成长"),3))*(VLOOKUP($B$5,标准坦克设计!$B$14:$K$20,9)/30))</f>
        <v>0.73356456901308376</v>
      </c>
      <c r="E216" s="173">
        <f ca="1">(VLOOKUP(E$72,INDIRECT($C$5&amp;"生成成长"),2))/((VLOOKUP($B216,INDIRECT($B$5&amp;"生成成长"),4))/(VLOOKUP(E$72,INDIRECT($C$5&amp;"生成成长"),5))*(VLOOKUP($B$5,标准坦克设计!$B$24:$U$30,MATCH("对"&amp;LEFT($C$5,2)&amp;"输出",标准坦克设计!$B$23:$U$23,0)))*(VLOOKUP($B216,INDIRECT($B$5&amp;"生成成长"),3))*(VLOOKUP($B$5,标准坦克设计!$B$14:$K$20,9)/30))</f>
        <v>0.81895994603952693</v>
      </c>
      <c r="F216" s="173">
        <f ca="1">(VLOOKUP(F$72,INDIRECT($C$5&amp;"生成成长"),2))/((VLOOKUP($B216,INDIRECT($B$5&amp;"生成成长"),4))/(VLOOKUP(F$72,INDIRECT($C$5&amp;"生成成长"),5))*(VLOOKUP($B$5,标准坦克设计!$B$24:$U$30,MATCH("对"&amp;LEFT($C$5,2)&amp;"输出",标准坦克设计!$B$23:$U$23,0)))*(VLOOKUP($B216,INDIRECT($B$5&amp;"生成成长"),3))*(VLOOKUP($B$5,标准坦克设计!$B$14:$K$20,9)/30))</f>
        <v>0.90905598602155402</v>
      </c>
      <c r="G216" s="173">
        <f ca="1">(VLOOKUP(G$72,INDIRECT($C$5&amp;"生成成长"),2))/((VLOOKUP($B216,INDIRECT($B$5&amp;"生成成长"),4))/(VLOOKUP(G$72,INDIRECT($C$5&amp;"生成成长"),5))*(VLOOKUP($B$5,标准坦克设计!$B$24:$U$30,MATCH("对"&amp;LEFT($C$5,2)&amp;"输出",标准坦克设计!$B$23:$U$23,0)))*(VLOOKUP($B216,INDIRECT($B$5&amp;"生成成长"),3))*(VLOOKUP($B$5,标准坦克设计!$B$14:$K$20,9)/30))</f>
        <v>1.0038526889591646</v>
      </c>
      <c r="H216" s="173">
        <f ca="1">(VLOOKUP(H$72,INDIRECT($C$5&amp;"生成成长"),2))/((VLOOKUP($B216,INDIRECT($B$5&amp;"生成成长"),4))/(VLOOKUP(H$72,INDIRECT($C$5&amp;"生成成长"),5))*(VLOOKUP($B$5,标准坦克设计!$B$24:$U$30,MATCH("对"&amp;LEFT($C$5,2)&amp;"输出",标准坦克设计!$B$23:$U$23,0)))*(VLOOKUP($B216,INDIRECT($B$5&amp;"生成成长"),3))*(VLOOKUP($B$5,标准坦克设计!$B$14:$K$20,9)/30))</f>
        <v>0.87850167681025759</v>
      </c>
      <c r="I216" s="173">
        <f ca="1">(VLOOKUP(I$72,INDIRECT($C$5&amp;"生成成长"),2))/((VLOOKUP($B216,INDIRECT($B$5&amp;"生成成长"),4))/(VLOOKUP(I$72,INDIRECT($C$5&amp;"生成成长"),5))*(VLOOKUP($B$5,标准坦克设计!$B$24:$U$30,MATCH("对"&amp;LEFT($C$5,2)&amp;"输出",标准坦克设计!$B$23:$U$23,0)))*(VLOOKUP($B216,INDIRECT($B$5&amp;"生成成长"),3))*(VLOOKUP($B$5,标准坦克设计!$B$14:$K$20,9)/30))</f>
        <v>1.0038526889591646</v>
      </c>
      <c r="J216" s="173">
        <f ca="1">(VLOOKUP(J$72,INDIRECT($C$5&amp;"生成成长"),2))/((VLOOKUP($B216,INDIRECT($B$5&amp;"生成成长"),4))/(VLOOKUP(J$72,INDIRECT($C$5&amp;"生成成长"),5))*(VLOOKUP($B$5,标准坦克设计!$B$24:$U$30,MATCH("对"&amp;LEFT($C$5,2)&amp;"输出",标准坦克设计!$B$23:$U$23,0)))*(VLOOKUP($B216,INDIRECT($B$5&amp;"生成成长"),3))*(VLOOKUP($B$5,标准坦克设计!$B$14:$K$20,9)/30))</f>
        <v>1.1375604352513324</v>
      </c>
      <c r="K216" s="173">
        <f ca="1">(VLOOKUP(K$72,INDIRECT($C$5&amp;"生成成长"),2))/((VLOOKUP($B216,INDIRECT($B$5&amp;"生成成长"),4))/(VLOOKUP(K$72,INDIRECT($C$5&amp;"生成成长"),5))*(VLOOKUP($B$5,标准坦克设计!$B$24:$U$30,MATCH("对"&amp;LEFT($C$5,2)&amp;"输出",标准坦克设计!$B$23:$U$23,0)))*(VLOOKUP($B216,INDIRECT($B$5&amp;"生成成长"),3))*(VLOOKUP($B$5,标准坦克设计!$B$14:$K$20,9)/30))</f>
        <v>1.2796249156867605</v>
      </c>
      <c r="L216" s="173">
        <f ca="1">(VLOOKUP(L$72,INDIRECT($C$5&amp;"生成成长"),2))/((VLOOKUP($B216,INDIRECT($B$5&amp;"生成成长"),4))/(VLOOKUP(L$72,INDIRECT($C$5&amp;"生成成长"),5))*(VLOOKUP($B$5,标准坦克设计!$B$24:$U$30,MATCH("对"&amp;LEFT($C$5,2)&amp;"输出",标准坦克设计!$B$23:$U$23,0)))*(VLOOKUP($B216,INDIRECT($B$5&amp;"生成成长"),3))*(VLOOKUP($B$5,标准坦克设计!$B$14:$K$20,9)/30))</f>
        <v>1.4300461302654495</v>
      </c>
      <c r="M216" s="173">
        <f ca="1">(VLOOKUP(M$72,INDIRECT($C$5&amp;"生成成长"),2))/((VLOOKUP($B216,INDIRECT($B$5&amp;"生成成长"),4))/(VLOOKUP(M$72,INDIRECT($C$5&amp;"生成成长"),5))*(VLOOKUP($B$5,标准坦克设计!$B$24:$U$30,MATCH("对"&amp;LEFT($C$5,2)&amp;"输出",标准坦克设计!$B$23:$U$23,0)))*(VLOOKUP($B216,INDIRECT($B$5&amp;"生成成长"),3))*(VLOOKUP($B$5,标准坦克设计!$B$14:$K$20,9)/30))</f>
        <v>1.5888240789873982</v>
      </c>
      <c r="N216" s="173">
        <f ca="1">(VLOOKUP(N$72,INDIRECT($C$5&amp;"生成成长"),2))/((VLOOKUP($B216,INDIRECT($B$5&amp;"生成成长"),4))/(VLOOKUP(N$72,INDIRECT($C$5&amp;"生成成长"),5))*(VLOOKUP($B$5,标准坦克设计!$B$24:$U$30,MATCH("对"&amp;LEFT($C$5,2)&amp;"输出",标准坦克设计!$B$23:$U$23,0)))*(VLOOKUP($B216,INDIRECT($B$5&amp;"生成成长"),3))*(VLOOKUP($B$5,标准坦克设计!$B$14:$K$20,9)/30))</f>
        <v>1.7559587618526076</v>
      </c>
      <c r="O216" s="173">
        <f ca="1">(VLOOKUP(O$72,INDIRECT($C$5&amp;"生成成长"),2))/((VLOOKUP($B216,INDIRECT($B$5&amp;"生成成长"),4))/(VLOOKUP(O$72,INDIRECT($C$5&amp;"生成成长"),5))*(VLOOKUP($B$5,标准坦克设计!$B$24:$U$30,MATCH("对"&amp;LEFT($C$5,2)&amp;"输出",标准坦克设计!$B$23:$U$23,0)))*(VLOOKUP($B216,INDIRECT($B$5&amp;"生成成长"),3))*(VLOOKUP($B$5,标准坦克设计!$B$14:$K$20,9)/30))</f>
        <v>1.3350535663713554</v>
      </c>
      <c r="P216" s="173">
        <f ca="1">(VLOOKUP(P$72,INDIRECT($C$5&amp;"生成成长"),2))/((VLOOKUP($B216,INDIRECT($B$5&amp;"生成成长"),4))/(VLOOKUP(P$72,INDIRECT($C$5&amp;"生成成长"),5))*(VLOOKUP($B$5,标准坦克设计!$B$24:$U$30,MATCH("对"&amp;LEFT($C$5,2)&amp;"输出",标准坦克设计!$B$23:$U$23,0)))*(VLOOKUP($B216,INDIRECT($B$5&amp;"生成成长"),3))*(VLOOKUP($B$5,标准坦克设计!$B$14:$K$20,9)/30))</f>
        <v>1.508390512858516</v>
      </c>
      <c r="Q216" s="173">
        <f ca="1">(VLOOKUP(Q$72,INDIRECT($C$5&amp;"生成成长"),2))/((VLOOKUP($B216,INDIRECT($B$5&amp;"生成成长"),4))/(VLOOKUP(Q$72,INDIRECT($C$5&amp;"生成成长"),5))*(VLOOKUP($B$5,标准坦克设计!$B$24:$U$30,MATCH("对"&amp;LEFT($C$5,2)&amp;"输出",标准坦克设计!$B$23:$U$23,0)))*(VLOOKUP($B216,INDIRECT($B$5&amp;"生成成长"),3))*(VLOOKUP($B$5,标准坦克设计!$B$14:$K$20,9)/30))</f>
        <v>1.6923039509957409</v>
      </c>
      <c r="R216" s="173">
        <f ca="1">(VLOOKUP(R$72,INDIRECT($C$5&amp;"生成成长"),2))/((VLOOKUP($B216,INDIRECT($B$5&amp;"生成成长"),4))/(VLOOKUP(R$72,INDIRECT($C$5&amp;"生成成长"),5))*(VLOOKUP($B$5,标准坦克设计!$B$24:$U$30,MATCH("对"&amp;LEFT($C$5,2)&amp;"输出",标准坦克设计!$B$23:$U$23,0)))*(VLOOKUP($B216,INDIRECT($B$5&amp;"生成成长"),3))*(VLOOKUP($B$5,标准坦克设计!$B$14:$K$20,9)/30))</f>
        <v>1.8867938807830293</v>
      </c>
      <c r="S216" s="173">
        <f ca="1">(VLOOKUP(S$72,INDIRECT($C$5&amp;"生成成长"),2))/((VLOOKUP($B216,INDIRECT($B$5&amp;"生成成长"),4))/(VLOOKUP(S$72,INDIRECT($C$5&amp;"生成成长"),5))*(VLOOKUP($B$5,标准坦克设计!$B$24:$U$30,MATCH("对"&amp;LEFT($C$5,2)&amp;"输出",标准坦克设计!$B$23:$U$23,0)))*(VLOOKUP($B216,INDIRECT($B$5&amp;"生成成长"),3))*(VLOOKUP($B$5,标准坦克设计!$B$14:$K$20,9)/30))</f>
        <v>2.0918603022203826</v>
      </c>
      <c r="T216" s="173">
        <f ca="1">(VLOOKUP(T$72,INDIRECT($C$5&amp;"生成成长"),2))/((VLOOKUP($B216,INDIRECT($B$5&amp;"生成成长"),4))/(VLOOKUP(T$72,INDIRECT($C$5&amp;"生成成长"),5))*(VLOOKUP($B$5,标准坦克设计!$B$24:$U$30,MATCH("对"&amp;LEFT($C$5,2)&amp;"输出",标准坦克设计!$B$23:$U$23,0)))*(VLOOKUP($B216,INDIRECT($B$5&amp;"生成成长"),3))*(VLOOKUP($B$5,标准坦克设计!$B$14:$K$20,9)/30))</f>
        <v>2.3075032153077992</v>
      </c>
      <c r="U216" s="173">
        <f ca="1">(VLOOKUP(U$72,INDIRECT($C$5&amp;"生成成长"),2))/((VLOOKUP($B216,INDIRECT($B$5&amp;"生成成长"),4))/(VLOOKUP(U$72,INDIRECT($C$5&amp;"生成成长"),5))*(VLOOKUP($B$5,标准坦克设计!$B$24:$U$30,MATCH("对"&amp;LEFT($C$5,2)&amp;"输出",标准坦克设计!$B$23:$U$23,0)))*(VLOOKUP($B216,INDIRECT($B$5&amp;"生成成长"),3))*(VLOOKUP($B$5,标准坦克设计!$B$14:$K$20,9)/30))</f>
        <v>2.53372262004528</v>
      </c>
      <c r="V216" s="173">
        <f ca="1">(VLOOKUP(V$72,INDIRECT($C$5&amp;"生成成长"),2))/((VLOOKUP($B216,INDIRECT($B$5&amp;"生成成长"),4))/(VLOOKUP(V$72,INDIRECT($C$5&amp;"生成成长"),5))*(VLOOKUP($B$5,标准坦克设计!$B$24:$U$30,MATCH("对"&amp;LEFT($C$5,2)&amp;"输出",标准坦克设计!$B$23:$U$23,0)))*(VLOOKUP($B216,INDIRECT($B$5&amp;"生成成长"),3))*(VLOOKUP($B$5,标准坦克设计!$B$14:$K$20,9)/30))</f>
        <v>2.770518516432825</v>
      </c>
      <c r="W216" s="173">
        <f ca="1">(VLOOKUP(W$72,INDIRECT($C$5&amp;"生成成长"),2))/((VLOOKUP($B216,INDIRECT($B$5&amp;"生成成长"),4))/(VLOOKUP(W$72,INDIRECT($C$5&amp;"生成成长"),5))*(VLOOKUP($B$5,标准坦克设计!$B$24:$U$30,MATCH("对"&amp;LEFT($C$5,2)&amp;"输出",标准坦克设计!$B$23:$U$23,0)))*(VLOOKUP($B216,INDIRECT($B$5&amp;"生成成长"),3))*(VLOOKUP($B$5,标准坦克设计!$B$14:$K$20,9)/30))</f>
        <v>3.0178909044704341</v>
      </c>
      <c r="X216" s="173">
        <f ca="1">(VLOOKUP(X$72,INDIRECT($C$5&amp;"生成成长"),2))/((VLOOKUP($B216,INDIRECT($B$5&amp;"生成成长"),4))/(VLOOKUP(X$72,INDIRECT($C$5&amp;"生成成长"),5))*(VLOOKUP($B$5,标准坦克设计!$B$24:$U$30,MATCH("对"&amp;LEFT($C$5,2)&amp;"输出",标准坦克设计!$B$23:$U$23,0)))*(VLOOKUP($B216,INDIRECT($B$5&amp;"生成成长"),3))*(VLOOKUP($B$5,标准坦克设计!$B$14:$K$20,9)/30))</f>
        <v>2.1863958572160169</v>
      </c>
      <c r="Y216" s="173">
        <f ca="1">(VLOOKUP(Y$72,INDIRECT($C$5&amp;"生成成长"),2))/((VLOOKUP($B216,INDIRECT($B$5&amp;"生成成长"),4))/(VLOOKUP(Y$72,INDIRECT($C$5&amp;"生成成长"),5))*(VLOOKUP($B$5,标准坦克设计!$B$24:$U$30,MATCH("对"&amp;LEFT($C$5,2)&amp;"输出",标准坦克设计!$B$23:$U$23,0)))*(VLOOKUP($B216,INDIRECT($B$5&amp;"生成成长"),3))*(VLOOKUP($B$5,标准坦克设计!$B$14:$K$20,9)/30))</f>
        <v>2.4318749226742931</v>
      </c>
      <c r="Z216" s="173">
        <f ca="1">(VLOOKUP(Z$72,INDIRECT($C$5&amp;"生成成长"),2))/((VLOOKUP($B216,INDIRECT($B$5&amp;"生成成长"),4))/(VLOOKUP(Z$72,INDIRECT($C$5&amp;"生成成长"),5))*(VLOOKUP($B$5,标准坦克设计!$B$24:$U$30,MATCH("对"&amp;LEFT($C$5,2)&amp;"输出",标准坦克设计!$B$23:$U$23,0)))*(VLOOKUP($B216,INDIRECT($B$5&amp;"生成成长"),3))*(VLOOKUP($B$5,标准坦克设计!$B$14:$K$20,9)/30))</f>
        <v>2.6904113852314135</v>
      </c>
      <c r="AA216" s="173">
        <f ca="1">(VLOOKUP(AA$72,INDIRECT($C$5&amp;"生成成长"),2))/((VLOOKUP($B216,INDIRECT($B$5&amp;"生成成长"),4))/(VLOOKUP(AA$72,INDIRECT($C$5&amp;"生成成长"),5))*(VLOOKUP($B$5,标准坦克设计!$B$24:$U$30,MATCH("对"&amp;LEFT($C$5,2)&amp;"输出",标准坦克设计!$B$23:$U$23,0)))*(VLOOKUP($B216,INDIRECT($B$5&amp;"生成成长"),3))*(VLOOKUP($B$5,标准坦克设计!$B$14:$K$20,9)/30))</f>
        <v>2.9620052448873793</v>
      </c>
      <c r="AB216" s="173">
        <f ca="1">(VLOOKUP(AB$72,INDIRECT($C$5&amp;"生成成长"),2))/((VLOOKUP($B216,INDIRECT($B$5&amp;"生成成长"),4))/(VLOOKUP(AB$72,INDIRECT($C$5&amp;"生成成长"),5))*(VLOOKUP($B$5,标准坦克设计!$B$24:$U$30,MATCH("对"&amp;LEFT($C$5,2)&amp;"输出",标准坦克设计!$B$23:$U$23,0)))*(VLOOKUP($B216,INDIRECT($B$5&amp;"生成成长"),3))*(VLOOKUP($B$5,标准坦克设计!$B$14:$K$20,9)/30))</f>
        <v>3.2466565016421902</v>
      </c>
      <c r="AC216" s="173">
        <f ca="1">(VLOOKUP(AC$72,INDIRECT($C$5&amp;"生成成长"),2))/((VLOOKUP($B216,INDIRECT($B$5&amp;"生成成长"),4))/(VLOOKUP(AC$72,INDIRECT($C$5&amp;"生成成长"),5))*(VLOOKUP($B$5,标准坦克设计!$B$24:$U$30,MATCH("对"&amp;LEFT($C$5,2)&amp;"输出",标准坦克设计!$B$23:$U$23,0)))*(VLOOKUP($B216,INDIRECT($B$5&amp;"生成成长"),3))*(VLOOKUP($B$5,标准坦克设计!$B$14:$K$20,9)/30))</f>
        <v>3.5443651554958437</v>
      </c>
      <c r="AD216" s="173">
        <f ca="1">(VLOOKUP(AD$72,INDIRECT($C$5&amp;"生成成长"),2))/((VLOOKUP($B216,INDIRECT($B$5&amp;"生成成长"),4))/(VLOOKUP(AD$72,INDIRECT($C$5&amp;"生成成长"),5))*(VLOOKUP($B$5,标准坦克设计!$B$24:$U$30,MATCH("对"&amp;LEFT($C$5,2)&amp;"输出",标准坦克设计!$B$23:$U$23,0)))*(VLOOKUP($B216,INDIRECT($B$5&amp;"生成成长"),3))*(VLOOKUP($B$5,标准坦克设计!$B$14:$K$20,9)/30))</f>
        <v>3.855131206448343</v>
      </c>
      <c r="AE216" s="173">
        <f ca="1">(VLOOKUP(AE$72,INDIRECT($C$5&amp;"生成成长"),2))/((VLOOKUP($B216,INDIRECT($B$5&amp;"生成成长"),4))/(VLOOKUP(AE$72,INDIRECT($C$5&amp;"生成成长"),5))*(VLOOKUP($B$5,标准坦克设计!$B$24:$U$30,MATCH("对"&amp;LEFT($C$5,2)&amp;"输出",标准坦克设计!$B$23:$U$23,0)))*(VLOOKUP($B216,INDIRECT($B$5&amp;"生成成长"),3))*(VLOOKUP($B$5,标准坦克设计!$B$14:$K$20,9)/30))</f>
        <v>4.1789546544996865</v>
      </c>
      <c r="AF216" s="173">
        <f ca="1">(VLOOKUP(AF$72,INDIRECT($C$5&amp;"生成成长"),2))/((VLOOKUP($B216,INDIRECT($B$5&amp;"生成成长"),4))/(VLOOKUP(AF$72,INDIRECT($C$5&amp;"生成成长"),5))*(VLOOKUP($B$5,标准坦克设计!$B$24:$U$30,MATCH("对"&amp;LEFT($C$5,2)&amp;"输出",标准坦克设计!$B$23:$U$23,0)))*(VLOOKUP($B216,INDIRECT($B$5&amp;"生成成长"),3))*(VLOOKUP($B$5,标准坦克设计!$B$14:$K$20,9)/30))</f>
        <v>4.5158354996498744</v>
      </c>
      <c r="AG216" s="173">
        <f ca="1">(VLOOKUP(AG$72,INDIRECT($C$5&amp;"生成成长"),2))/((VLOOKUP($B216,INDIRECT($B$5&amp;"生成成长"),4))/(VLOOKUP(AG$72,INDIRECT($C$5&amp;"生成成长"),5))*(VLOOKUP($B$5,标准坦克设计!$B$24:$U$30,MATCH("对"&amp;LEFT($C$5,2)&amp;"输出",标准坦克设计!$B$23:$U$23,0)))*(VLOOKUP($B216,INDIRECT($B$5&amp;"生成成长"),3))*(VLOOKUP($B$5,标准坦克设计!$B$14:$K$20,9)/30))</f>
        <v>4.8657737418989067</v>
      </c>
      <c r="AH216" s="173">
        <f ca="1">(VLOOKUP(AH$72,INDIRECT($C$5&amp;"生成成长"),2))/((VLOOKUP($B216,INDIRECT($B$5&amp;"生成成长"),4))/(VLOOKUP(AH$72,INDIRECT($C$5&amp;"生成成长"),5))*(VLOOKUP($B$5,标准坦克设计!$B$24:$U$30,MATCH("对"&amp;LEFT($C$5,2)&amp;"输出",标准坦克设计!$B$23:$U$23,0)))*(VLOOKUP($B216,INDIRECT($B$5&amp;"生成成长"),3))*(VLOOKUP($B$5,标准坦克设计!$B$14:$K$20,9)/30))</f>
        <v>5.2287693812467841</v>
      </c>
      <c r="AI216" s="173">
        <f ca="1">(VLOOKUP(AI$72,INDIRECT($C$5&amp;"生成成长"),2))/((VLOOKUP($B216,INDIRECT($B$5&amp;"生成成长"),4))/(VLOOKUP(AI$72,INDIRECT($C$5&amp;"生成成长"),5))*(VLOOKUP($B$5,标准坦克设计!$B$24:$U$30,MATCH("对"&amp;LEFT($C$5,2)&amp;"输出",标准坦克设计!$B$23:$U$23,0)))*(VLOOKUP($B216,INDIRECT($B$5&amp;"生成成长"),3))*(VLOOKUP($B$5,标准坦克设计!$B$14:$K$20,9)/30))</f>
        <v>3.6981160063347378</v>
      </c>
      <c r="AJ216" s="173">
        <f ca="1">(VLOOKUP(AJ$72,INDIRECT($C$5&amp;"生成成长"),2))/((VLOOKUP($B216,INDIRECT($B$5&amp;"生成成长"),4))/(VLOOKUP(AJ$72,INDIRECT($C$5&amp;"生成成长"),5))*(VLOOKUP($B$5,标准坦克设计!$B$24:$U$30,MATCH("对"&amp;LEFT($C$5,2)&amp;"输出",标准坦克设计!$B$23:$U$23,0)))*(VLOOKUP($B216,INDIRECT($B$5&amp;"生成成长"),3))*(VLOOKUP($B$5,标准坦克设计!$B$14:$K$20,9)/30))</f>
        <v>4.0478583876272882</v>
      </c>
      <c r="AK216" s="173">
        <f ca="1">(VLOOKUP(AK$72,INDIRECT($C$5&amp;"生成成长"),2))/((VLOOKUP($B216,INDIRECT($B$5&amp;"生成成长"),4))/(VLOOKUP(AK$72,INDIRECT($C$5&amp;"生成成长"),5))*(VLOOKUP($B$5,标准坦克设计!$B$24:$U$30,MATCH("对"&amp;LEFT($C$5,2)&amp;"输出",标准坦克设计!$B$23:$U$23,0)))*(VLOOKUP($B216,INDIRECT($B$5&amp;"生成成长"),3))*(VLOOKUP($B$5,标准坦克设计!$B$14:$K$20,9)/30))</f>
        <v>4.4134002194094384</v>
      </c>
      <c r="AL216" s="173">
        <f ca="1">(VLOOKUP(AL$72,INDIRECT($C$5&amp;"生成成长"),2))/((VLOOKUP($B216,INDIRECT($B$5&amp;"生成成长"),4))/(VLOOKUP(AL$72,INDIRECT($C$5&amp;"生成成长"),5))*(VLOOKUP($B$5,标准坦克设计!$B$24:$U$30,MATCH("对"&amp;LEFT($C$5,2)&amp;"输出",标准坦克设计!$B$23:$U$23,0)))*(VLOOKUP($B216,INDIRECT($B$5&amp;"生成成长"),3))*(VLOOKUP($B$5,标准坦克设计!$B$14:$K$20,9)/30))</f>
        <v>4.7947415016811927</v>
      </c>
      <c r="AM216" s="173">
        <f ca="1">(VLOOKUP(AM$72,INDIRECT($C$5&amp;"生成成长"),2))/((VLOOKUP($B216,INDIRECT($B$5&amp;"生成成长"),4))/(VLOOKUP(AM$72,INDIRECT($C$5&amp;"生成成长"),5))*(VLOOKUP($B$5,标准坦克设计!$B$24:$U$30,MATCH("对"&amp;LEFT($C$5,2)&amp;"输出",标准坦克设计!$B$23:$U$23,0)))*(VLOOKUP($B216,INDIRECT($B$5&amp;"生成成长"),3))*(VLOOKUP($B$5,标准坦克设计!$B$14:$K$20,9)/30))</f>
        <v>5.1918822344425477</v>
      </c>
      <c r="AN216" s="173">
        <f ca="1">(VLOOKUP(AN$72,INDIRECT($C$5&amp;"生成成长"),2))/((VLOOKUP($B216,INDIRECT($B$5&amp;"生成成长"),4))/(VLOOKUP(AN$72,INDIRECT($C$5&amp;"生成成长"),5))*(VLOOKUP($B$5,标准坦克设计!$B$24:$U$30,MATCH("对"&amp;LEFT($C$5,2)&amp;"输出",标准坦克设计!$B$23:$U$23,0)))*(VLOOKUP($B216,INDIRECT($B$5&amp;"生成成长"),3))*(VLOOKUP($B$5,标准坦克设计!$B$14:$K$20,9)/30))</f>
        <v>5.6048224176935051</v>
      </c>
      <c r="AO216" s="173">
        <f ca="1">(VLOOKUP(AO$72,INDIRECT($C$5&amp;"生成成长"),2))/((VLOOKUP($B216,INDIRECT($B$5&amp;"生成成长"),4))/(VLOOKUP(AO$72,INDIRECT($C$5&amp;"生成成长"),5))*(VLOOKUP($B$5,标准坦克设计!$B$24:$U$30,MATCH("对"&amp;LEFT($C$5,2)&amp;"输出",标准坦克设计!$B$23:$U$23,0)))*(VLOOKUP($B216,INDIRECT($B$5&amp;"生成成长"),3))*(VLOOKUP($B$5,标准坦克设计!$B$14:$K$20,9)/30))</f>
        <v>6.033562051434064</v>
      </c>
      <c r="AP216" s="173">
        <f ca="1">(VLOOKUP(AP$72,INDIRECT($C$5&amp;"生成成长"),2))/((VLOOKUP($B216,INDIRECT($B$5&amp;"生成成长"),4))/(VLOOKUP(AP$72,INDIRECT($C$5&amp;"生成成长"),5))*(VLOOKUP($B$5,标准坦克设计!$B$24:$U$30,MATCH("对"&amp;LEFT($C$5,2)&amp;"输出",标准坦克设计!$B$23:$U$23,0)))*(VLOOKUP($B216,INDIRECT($B$5&amp;"生成成长"),3))*(VLOOKUP($B$5,标准坦克设计!$B$14:$K$20,9)/30))</f>
        <v>6.4781011356642244</v>
      </c>
      <c r="AQ216" s="173">
        <f ca="1">(VLOOKUP(AQ$72,INDIRECT($C$5&amp;"生成成长"),2))/((VLOOKUP($B216,INDIRECT($B$5&amp;"生成成长"),4))/(VLOOKUP(AQ$72,INDIRECT($C$5&amp;"生成成长"),5))*(VLOOKUP($B$5,标准坦克设计!$B$24:$U$30,MATCH("对"&amp;LEFT($C$5,2)&amp;"输出",标准坦克设计!$B$23:$U$23,0)))*(VLOOKUP($B216,INDIRECT($B$5&amp;"生成成长"),3))*(VLOOKUP($B$5,标准坦克设计!$B$14:$K$20,9)/30))</f>
        <v>6.9384396703839881</v>
      </c>
      <c r="AR216" s="173">
        <f ca="1">(VLOOKUP(AR$72,INDIRECT($C$5&amp;"生成成长"),2))/((VLOOKUP($B216,INDIRECT($B$5&amp;"生成成长"),4))/(VLOOKUP(AR$72,INDIRECT($C$5&amp;"生成成长"),5))*(VLOOKUP($B$5,标准坦克设计!$B$24:$U$30,MATCH("对"&amp;LEFT($C$5,2)&amp;"输出",标准坦克设计!$B$23:$U$23,0)))*(VLOOKUP($B216,INDIRECT($B$5&amp;"生成成长"),3))*(VLOOKUP($B$5,标准坦克设计!$B$14:$K$20,9)/30))</f>
        <v>7.4145776555933534</v>
      </c>
      <c r="AS216" s="173">
        <f ca="1">(VLOOKUP(AS$72,INDIRECT($C$5&amp;"生成成长"),2))/((VLOOKUP($B216,INDIRECT($B$5&amp;"生成成长"),4))/(VLOOKUP(AS$72,INDIRECT($C$5&amp;"生成成长"),5))*(VLOOKUP($B$5,标准坦克设计!$B$24:$U$30,MATCH("对"&amp;LEFT($C$5,2)&amp;"输出",标准坦克设计!$B$23:$U$23,0)))*(VLOOKUP($B216,INDIRECT($B$5&amp;"生成成长"),3))*(VLOOKUP($B$5,标准坦克设计!$B$14:$K$20,9)/30))</f>
        <v>7.9065150912923183</v>
      </c>
      <c r="AT216" s="173">
        <f ca="1">(VLOOKUP(AT$72,INDIRECT($C$5&amp;"生成成长"),2))/((VLOOKUP($B216,INDIRECT($B$5&amp;"生成成长"),4))/(VLOOKUP(AT$72,INDIRECT($C$5&amp;"生成成长"),5))*(VLOOKUP($B$5,标准坦克设计!$B$24:$U$30,MATCH("对"&amp;LEFT($C$5,2)&amp;"输出",标准坦克设计!$B$23:$U$23,0)))*(VLOOKUP($B216,INDIRECT($B$5&amp;"生成成长"),3))*(VLOOKUP($B$5,标准坦克设计!$B$14:$K$20,9)/30))</f>
        <v>8.4142519774808857</v>
      </c>
      <c r="AU216" s="173">
        <f ca="1">(VLOOKUP(AU$72,INDIRECT($C$5&amp;"生成成长"),2))/((VLOOKUP($B216,INDIRECT($B$5&amp;"生成成长"),4))/(VLOOKUP(AU$72,INDIRECT($C$5&amp;"生成成长"),5))*(VLOOKUP($B$5,标准坦克设计!$B$24:$U$30,MATCH("对"&amp;LEFT($C$5,2)&amp;"输出",标准坦克设计!$B$23:$U$23,0)))*(VLOOKUP($B216,INDIRECT($B$5&amp;"生成成长"),3))*(VLOOKUP($B$5,标准坦克设计!$B$14:$K$20,9)/30))</f>
        <v>8.9377883141590573</v>
      </c>
      <c r="AV216" s="173">
        <f ca="1">(VLOOKUP(AV$72,INDIRECT($C$5&amp;"生成成长"),2))/((VLOOKUP($B216,INDIRECT($B$5&amp;"生成成长"),4))/(VLOOKUP(AV$72,INDIRECT($C$5&amp;"生成成长"),5))*(VLOOKUP($B$5,标准坦克设计!$B$24:$U$30,MATCH("对"&amp;LEFT($C$5,2)&amp;"输出",标准坦克设计!$B$23:$U$23,0)))*(VLOOKUP($B216,INDIRECT($B$5&amp;"生成成长"),3))*(VLOOKUP($B$5,标准坦克设计!$B$14:$K$20,9)/30))</f>
        <v>0.90905598602155402</v>
      </c>
      <c r="AW216" s="173">
        <f ca="1">(VLOOKUP(AW$72,INDIRECT($C$5&amp;"生成成长"),2))/((VLOOKUP($B216,INDIRECT($B$5&amp;"生成成长"),4))/(VLOOKUP(AW$72,INDIRECT($C$5&amp;"生成成长"),5))*(VLOOKUP($B$5,标准坦克设计!$B$24:$U$30,MATCH("对"&amp;LEFT($C$5,2)&amp;"输出",标准坦克设计!$B$23:$U$23,0)))*(VLOOKUP($B216,INDIRECT($B$5&amp;"生成成长"),3))*(VLOOKUP($B$5,标准坦克设计!$B$14:$K$20,9)/30))</f>
        <v>1.0364961817062759</v>
      </c>
      <c r="AX216" s="173">
        <f ca="1">(VLOOKUP(AX$72,INDIRECT($C$5&amp;"生成成长"),2))/((VLOOKUP($B216,INDIRECT($B$5&amp;"生成成长"),4))/(VLOOKUP(AX$72,INDIRECT($C$5&amp;"生成成长"),5))*(VLOOKUP($B$5,标准坦克设计!$B$24:$U$30,MATCH("对"&amp;LEFT($C$5,2)&amp;"输出",标准坦克设计!$B$23:$U$23,0)))*(VLOOKUP($B216,INDIRECT($B$5&amp;"生成成长"),3))*(VLOOKUP($B$5,标准坦克设计!$B$14:$K$20,9)/30))</f>
        <v>1.1722931115342587</v>
      </c>
      <c r="AY216" s="173">
        <f ca="1">(VLOOKUP(AY$72,INDIRECT($C$5&amp;"生成成长"),2))/((VLOOKUP($B216,INDIRECT($B$5&amp;"生成成长"),4))/(VLOOKUP(AY$72,INDIRECT($C$5&amp;"生成成长"),5))*(VLOOKUP($B$5,标准坦克设计!$B$24:$U$30,MATCH("对"&amp;LEFT($C$5,2)&amp;"输出",标准坦克设计!$B$23:$U$23,0)))*(VLOOKUP($B216,INDIRECT($B$5&amp;"生成成长"),3))*(VLOOKUP($B$5,标准坦克设计!$B$14:$K$20,9)/30))</f>
        <v>1.3164467755055023</v>
      </c>
      <c r="AZ216" s="173">
        <f ca="1">(VLOOKUP(AZ$72,INDIRECT($C$5&amp;"生成成长"),2))/((VLOOKUP($B216,INDIRECT($B$5&amp;"生成成长"),4))/(VLOOKUP(AZ$72,INDIRECT($C$5&amp;"生成成长"),5))*(VLOOKUP($B$5,标准坦克设计!$B$24:$U$30,MATCH("对"&amp;LEFT($C$5,2)&amp;"输出",标准坦克设计!$B$23:$U$23,0)))*(VLOOKUP($B216,INDIRECT($B$5&amp;"生成成长"),3))*(VLOOKUP($B$5,标准坦克设计!$B$14:$K$20,9)/30))</f>
        <v>1.4689571736200056</v>
      </c>
      <c r="BA216" s="173">
        <f ca="1">(VLOOKUP(BA$72,INDIRECT($C$5&amp;"生成成长"),2))/((VLOOKUP($B216,INDIRECT($B$5&amp;"生成成长"),4))/(VLOOKUP(BA$72,INDIRECT($C$5&amp;"生成成长"),5))*(VLOOKUP($B$5,标准坦克设计!$B$24:$U$30,MATCH("对"&amp;LEFT($C$5,2)&amp;"输出",标准坦克设计!$B$23:$U$23,0)))*(VLOOKUP($B216,INDIRECT($B$5&amp;"生成成长"),3))*(VLOOKUP($B$5,标准坦克设计!$B$14:$K$20,9)/30))</f>
        <v>1.6298243058777699</v>
      </c>
      <c r="BB216" s="173">
        <f ca="1">(VLOOKUP(BB$72,INDIRECT($C$5&amp;"生成成长"),2))/((VLOOKUP($B216,INDIRECT($B$5&amp;"生成成长"),4))/(VLOOKUP(BB$72,INDIRECT($C$5&amp;"生成成长"),5))*(VLOOKUP($B$5,标准坦克设计!$B$24:$U$30,MATCH("对"&amp;LEFT($C$5,2)&amp;"输出",标准坦克设计!$B$23:$U$23,0)))*(VLOOKUP($B216,INDIRECT($B$5&amp;"生成成长"),3))*(VLOOKUP($B$5,标准坦克设计!$B$14:$K$20,9)/30))</f>
        <v>1.7990481722787948</v>
      </c>
      <c r="BC216" s="173">
        <f ca="1">(VLOOKUP(BC$72,INDIRECT($C$5&amp;"生成成长"),2))/((VLOOKUP($B216,INDIRECT($B$5&amp;"生成成长"),4))/(VLOOKUP(BC$72,INDIRECT($C$5&amp;"生成成长"),5))*(VLOOKUP($B$5,标准坦克设计!$B$24:$U$30,MATCH("对"&amp;LEFT($C$5,2)&amp;"输出",标准坦克设计!$B$23:$U$23,0)))*(VLOOKUP($B216,INDIRECT($B$5&amp;"生成成长"),3))*(VLOOKUP($B$5,标准坦克设计!$B$14:$K$20,9)/30))</f>
        <v>1.9766287728230796</v>
      </c>
      <c r="BD216" s="173">
        <f ca="1">(VLOOKUP(BD$72,INDIRECT($C$5&amp;"生成成长"),2))/((VLOOKUP($B216,INDIRECT($B$5&amp;"生成成长"),4))/(VLOOKUP(BD$72,INDIRECT($C$5&amp;"生成成长"),5))*(VLOOKUP($B$5,标准坦克设计!$B$24:$U$30,MATCH("对"&amp;LEFT($C$5,2)&amp;"输出",标准坦克设计!$B$23:$U$23,0)))*(VLOOKUP($B216,INDIRECT($B$5&amp;"生成成长"),3))*(VLOOKUP($B$5,标准坦克设计!$B$14:$K$20,9)/30))</f>
        <v>2.1863958572160169</v>
      </c>
      <c r="BE216" s="173">
        <f ca="1">(VLOOKUP(BE$72,INDIRECT($C$5&amp;"生成成长"),2))/((VLOOKUP($B216,INDIRECT($B$5&amp;"生成成长"),4))/(VLOOKUP(BE$72,INDIRECT($C$5&amp;"生成成长"),5))*(VLOOKUP($B$5,标准坦克设计!$B$24:$U$30,MATCH("对"&amp;LEFT($C$5,2)&amp;"输出",标准坦克设计!$B$23:$U$23,0)))*(VLOOKUP($B216,INDIRECT($B$5&amp;"生成成长"),3))*(VLOOKUP($B$5,标准坦克设计!$B$14:$K$20,9)/30))</f>
        <v>2.4067394332590175</v>
      </c>
      <c r="BF216" s="173">
        <f ca="1">(VLOOKUP(BF$72,INDIRECT($C$5&amp;"生成成长"),2))/((VLOOKUP($B216,INDIRECT($B$5&amp;"生成成长"),4))/(VLOOKUP(BF$72,INDIRECT($C$5&amp;"生成成长"),5))*(VLOOKUP($B$5,标准坦克设计!$B$24:$U$30,MATCH("对"&amp;LEFT($C$5,2)&amp;"输出",标准坦克设计!$B$23:$U$23,0)))*(VLOOKUP($B216,INDIRECT($B$5&amp;"生成成长"),3))*(VLOOKUP($B$5,标准坦克设计!$B$14:$K$20,9)/30))</f>
        <v>2.6376595009520827</v>
      </c>
      <c r="BG216" s="173">
        <f ca="1">(VLOOKUP(BG$72,INDIRECT($C$5&amp;"生成成长"),2))/((VLOOKUP($B216,INDIRECT($B$5&amp;"生成成长"),4))/(VLOOKUP(BG$72,INDIRECT($C$5&amp;"生成成长"),5))*(VLOOKUP($B$5,标准坦克设计!$B$24:$U$30,MATCH("对"&amp;LEFT($C$5,2)&amp;"输出",标准坦克设计!$B$23:$U$23,0)))*(VLOOKUP($B216,INDIRECT($B$5&amp;"生成成长"),3))*(VLOOKUP($B$5,标准坦克设计!$B$14:$K$20,9)/30))</f>
        <v>2.8791560602952115</v>
      </c>
      <c r="BH216" s="173">
        <f ca="1">(VLOOKUP(BH$72,INDIRECT($C$5&amp;"生成成长"),2))/((VLOOKUP($B216,INDIRECT($B$5&amp;"生成成长"),4))/(VLOOKUP(BH$72,INDIRECT($C$5&amp;"生成成长"),5))*(VLOOKUP($B$5,标准坦克设计!$B$24:$U$30,MATCH("对"&amp;LEFT($C$5,2)&amp;"输出",标准坦克设计!$B$23:$U$23,0)))*(VLOOKUP($B216,INDIRECT($B$5&amp;"生成成长"),3))*(VLOOKUP($B$5,标准坦克设计!$B$14:$K$20,9)/30))</f>
        <v>1.391657382794846</v>
      </c>
      <c r="BI216" s="173">
        <f ca="1">(VLOOKUP(BI$72,INDIRECT($C$5&amp;"生成成长"),2))/((VLOOKUP($B216,INDIRECT($B$5&amp;"生成成长"),4))/(VLOOKUP(BI$72,INDIRECT($C$5&amp;"生成成长"),5))*(VLOOKUP($B$5,标准坦克设计!$B$24:$U$30,MATCH("对"&amp;LEFT($C$5,2)&amp;"输出",标准坦克设计!$B$23:$U$23,0)))*(VLOOKUP($B216,INDIRECT($B$5&amp;"生成成长"),3))*(VLOOKUP($B$5,标准坦克设计!$B$14:$K$20,9)/30))</f>
        <v>1.5685198264986953</v>
      </c>
      <c r="BJ216" s="173">
        <f ca="1">(VLOOKUP(BJ$72,INDIRECT($C$5&amp;"生成成长"),2))/((VLOOKUP($B216,INDIRECT($B$5&amp;"生成成长"),4))/(VLOOKUP(BJ$72,INDIRECT($C$5&amp;"生成成长"),5))*(VLOOKUP($B$5,标准坦克设计!$B$24:$U$30,MATCH("对"&amp;LEFT($C$5,2)&amp;"输出",标准坦克设计!$B$23:$U$23,0)))*(VLOOKUP($B216,INDIRECT($B$5&amp;"生成成长"),3))*(VLOOKUP($B$5,标准坦克设计!$B$14:$K$20,9)/30))</f>
        <v>1.7559587618526076</v>
      </c>
      <c r="BK216" s="173">
        <f ca="1">(VLOOKUP(BK$72,INDIRECT($C$5&amp;"生成成长"),2))/((VLOOKUP($B216,INDIRECT($B$5&amp;"生成成长"),4))/(VLOOKUP(BK$72,INDIRECT($C$5&amp;"生成成长"),5))*(VLOOKUP($B$5,标准坦克设计!$B$24:$U$30,MATCH("对"&amp;LEFT($C$5,2)&amp;"输出",标准坦克设计!$B$23:$U$23,0)))*(VLOOKUP($B216,INDIRECT($B$5&amp;"生成成长"),3))*(VLOOKUP($B$5,标准坦克设计!$B$14:$K$20,9)/30))</f>
        <v>1.9539741888565845</v>
      </c>
      <c r="BL216" s="173">
        <f ca="1">(VLOOKUP(BL$72,INDIRECT($C$5&amp;"生成成长"),2))/((VLOOKUP($B216,INDIRECT($B$5&amp;"生成成长"),4))/(VLOOKUP(BL$72,INDIRECT($C$5&amp;"生成成长"),5))*(VLOOKUP($B$5,标准坦克设计!$B$24:$U$30,MATCH("对"&amp;LEFT($C$5,2)&amp;"输出",标准坦克设计!$B$23:$U$23,0)))*(VLOOKUP($B216,INDIRECT($B$5&amp;"生成成长"),3))*(VLOOKUP($B$5,标准坦克设计!$B$14:$K$20,9)/30))</f>
        <v>2.1625661075106257</v>
      </c>
      <c r="BM216" s="173">
        <f ca="1">(VLOOKUP(BM$72,INDIRECT($C$5&amp;"生成成长"),2))/((VLOOKUP($B216,INDIRECT($B$5&amp;"生成成长"),4))/(VLOOKUP(BM$72,INDIRECT($C$5&amp;"生成成长"),5))*(VLOOKUP($B$5,标准坦克设计!$B$24:$U$30,MATCH("对"&amp;LEFT($C$5,2)&amp;"输出",标准坦克设计!$B$23:$U$23,0)))*(VLOOKUP($B216,INDIRECT($B$5&amp;"生成成长"),3))*(VLOOKUP($B$5,标准坦克设计!$B$14:$K$20,9)/30))</f>
        <v>2.3817345178147304</v>
      </c>
      <c r="BN216" s="173">
        <f ca="1">(VLOOKUP(BN$72,INDIRECT($C$5&amp;"生成成长"),2))/((VLOOKUP($B216,INDIRECT($B$5&amp;"生成成长"),4))/(VLOOKUP(BN$72,INDIRECT($C$5&amp;"生成成长"),5))*(VLOOKUP($B$5,标准坦克设计!$B$24:$U$30,MATCH("对"&amp;LEFT($C$5,2)&amp;"输出",标准坦克设计!$B$23:$U$23,0)))*(VLOOKUP($B216,INDIRECT($B$5&amp;"生成成长"),3))*(VLOOKUP($B$5,标准坦克设计!$B$14:$K$20,9)/30))</f>
        <v>2.6114794197688993</v>
      </c>
      <c r="BO216" s="173">
        <f ca="1">(VLOOKUP(BO$72,INDIRECT($C$5&amp;"生成成长"),2))/((VLOOKUP($B216,INDIRECT($B$5&amp;"生成成长"),4))/(VLOOKUP(BO$72,INDIRECT($C$5&amp;"生成成长"),5))*(VLOOKUP($B$5,标准坦克设计!$B$24:$U$30,MATCH("对"&amp;LEFT($C$5,2)&amp;"输出",标准坦克设计!$B$23:$U$23,0)))*(VLOOKUP($B216,INDIRECT($B$5&amp;"生成成长"),3))*(VLOOKUP($B$5,标准坦克设计!$B$14:$K$20,9)/30))</f>
        <v>2.8518008133731314</v>
      </c>
      <c r="BP216" s="173">
        <f ca="1">(VLOOKUP(BP$72,INDIRECT($C$5&amp;"生成成长"),2))/((VLOOKUP($B216,INDIRECT($B$5&amp;"生成成长"),4))/(VLOOKUP(BP$72,INDIRECT($C$5&amp;"生成成长"),5))*(VLOOKUP($B$5,标准坦克设计!$B$24:$U$30,MATCH("对"&amp;LEFT($C$5,2)&amp;"输出",标准坦克设计!$B$23:$U$23,0)))*(VLOOKUP($B216,INDIRECT($B$5&amp;"生成成长"),3))*(VLOOKUP($B$5,标准坦克设计!$B$14:$K$20,9)/30))</f>
        <v>3.1026986986274285</v>
      </c>
      <c r="BQ216" s="173">
        <f ca="1">(VLOOKUP(BQ$72,INDIRECT($C$5&amp;"生成成长"),2))/((VLOOKUP($B216,INDIRECT($B$5&amp;"生成成长"),4))/(VLOOKUP(BQ$72,INDIRECT($C$5&amp;"生成成长"),5))*(VLOOKUP($B$5,标准坦克设计!$B$24:$U$30,MATCH("对"&amp;LEFT($C$5,2)&amp;"输出",标准坦克设计!$B$23:$U$23,0)))*(VLOOKUP($B216,INDIRECT($B$5&amp;"生成成长"),3))*(VLOOKUP($B$5,标准坦克设计!$B$14:$K$20,9)/30))</f>
        <v>3.3641730755317907</v>
      </c>
      <c r="BR216" s="173">
        <f ca="1">(VLOOKUP(BR$72,INDIRECT($C$5&amp;"生成成长"),2))/((VLOOKUP($B216,INDIRECT($B$5&amp;"生成成长"),4))/(VLOOKUP(BR$72,INDIRECT($C$5&amp;"生成成长"),5))*(VLOOKUP($B$5,标准坦克设计!$B$24:$U$30,MATCH("对"&amp;LEFT($C$5,2)&amp;"输出",标准坦克设计!$B$23:$U$23,0)))*(VLOOKUP($B216,INDIRECT($B$5&amp;"生成成长"),3))*(VLOOKUP($B$5,标准坦克设计!$B$14:$K$20,9)/30))</f>
        <v>3.667104688224982</v>
      </c>
      <c r="BS216" s="173">
        <f ca="1">(VLOOKUP(BS$72,INDIRECT($C$5&amp;"生成成长"),2))/((VLOOKUP($B216,INDIRECT($B$5&amp;"生成成长"),4))/(VLOOKUP(BS$72,INDIRECT($C$5&amp;"生成成长"),5))*(VLOOKUP($B$5,标准坦克设计!$B$24:$U$30,MATCH("对"&amp;LEFT($C$5,2)&amp;"输出",标准坦克设计!$B$23:$U$23,0)))*(VLOOKUP($B216,INDIRECT($B$5&amp;"生成成长"),3))*(VLOOKUP($B$5,标准坦克设计!$B$14:$K$20,9)/30))</f>
        <v>3.9830936980170195</v>
      </c>
      <c r="BT216" s="173">
        <f ca="1">(VLOOKUP(BT$72,INDIRECT($C$5&amp;"生成成长"),2))/((VLOOKUP($B216,INDIRECT($B$5&amp;"生成成长"),4))/(VLOOKUP(BT$72,INDIRECT($C$5&amp;"生成成长"),5))*(VLOOKUP($B$5,标准坦克设计!$B$24:$U$30,MATCH("对"&amp;LEFT($C$5,2)&amp;"输出",标准坦克设计!$B$23:$U$23,0)))*(VLOOKUP($B216,INDIRECT($B$5&amp;"生成成长"),3))*(VLOOKUP($B$5,标准坦克设计!$B$14:$K$20,9)/30))</f>
        <v>4.3121401049079005</v>
      </c>
      <c r="BU216" s="173">
        <f ca="1">(VLOOKUP(BU$72,INDIRECT($C$5&amp;"生成成长"),2))/((VLOOKUP($B216,INDIRECT($B$5&amp;"生成成长"),4))/(VLOOKUP(BU$72,INDIRECT($C$5&amp;"生成成长"),5))*(VLOOKUP($B$5,标准坦克设计!$B$24:$U$30,MATCH("对"&amp;LEFT($C$5,2)&amp;"输出",标准坦克设计!$B$23:$U$23,0)))*(VLOOKUP($B216,INDIRECT($B$5&amp;"生成成长"),3))*(VLOOKUP($B$5,标准坦克设计!$B$14:$K$20,9)/30))</f>
        <v>4.6542439088976266</v>
      </c>
      <c r="BV216" s="173">
        <f ca="1">(VLOOKUP(BV$72,INDIRECT($C$5&amp;"生成成长"),2))/((VLOOKUP($B216,INDIRECT($B$5&amp;"生成成长"),4))/(VLOOKUP(BV$72,INDIRECT($C$5&amp;"生成成长"),5))*(VLOOKUP($B$5,标准坦克设计!$B$24:$U$30,MATCH("对"&amp;LEFT($C$5,2)&amp;"输出",标准坦克设计!$B$23:$U$23,0)))*(VLOOKUP($B216,INDIRECT($B$5&amp;"生成成长"),3))*(VLOOKUP($B$5,标准坦克设计!$B$14:$K$20,9)/30))</f>
        <v>5.0094051099861954</v>
      </c>
      <c r="BW216" s="173">
        <f ca="1">(VLOOKUP(BW$72,INDIRECT($C$5&amp;"生成成长"),2))/((VLOOKUP($B216,INDIRECT($B$5&amp;"生成成长"),4))/(VLOOKUP(BW$72,INDIRECT($C$5&amp;"生成成长"),5))*(VLOOKUP($B$5,标准坦克设计!$B$24:$U$30,MATCH("对"&amp;LEFT($C$5,2)&amp;"输出",标准坦克设计!$B$23:$U$23,0)))*(VLOOKUP($B216,INDIRECT($B$5&amp;"生成成长"),3))*(VLOOKUP($B$5,标准坦克设计!$B$14:$K$20,9)/30))</f>
        <v>2.2830205957474656</v>
      </c>
      <c r="BX216" s="173">
        <f ca="1">(VLOOKUP(BX$72,INDIRECT($C$5&amp;"生成成长"),2))/((VLOOKUP($B216,INDIRECT($B$5&amp;"生成成长"),4))/(VLOOKUP(BX$72,INDIRECT($C$5&amp;"生成成长"),5))*(VLOOKUP($B$5,标准坦克设计!$B$24:$U$30,MATCH("对"&amp;LEFT($C$5,2)&amp;"输出",标准坦克设计!$B$23:$U$23,0)))*(VLOOKUP($B216,INDIRECT($B$5&amp;"生成成长"),3))*(VLOOKUP($B$5,标准坦克设计!$B$14:$K$20,9)/30))</f>
        <v>2.53372262004528</v>
      </c>
      <c r="BY216" s="173">
        <f ca="1">(VLOOKUP(BY$72,INDIRECT($C$5&amp;"生成成长"),2))/((VLOOKUP($B216,INDIRECT($B$5&amp;"生成成长"),4))/(VLOOKUP(BY$72,INDIRECT($C$5&amp;"生成成长"),5))*(VLOOKUP($B$5,标准坦克设计!$B$24:$U$30,MATCH("对"&amp;LEFT($C$5,2)&amp;"输出",标准坦克设计!$B$23:$U$23,0)))*(VLOOKUP($B216,INDIRECT($B$5&amp;"生成成长"),3))*(VLOOKUP($B$5,标准坦克设计!$B$14:$K$20,9)/30))</f>
        <v>2.7974820414419388</v>
      </c>
      <c r="BZ216" s="173">
        <f ca="1">(VLOOKUP(BZ$72,INDIRECT($C$5&amp;"生成成长"),2))/((VLOOKUP($B216,INDIRECT($B$5&amp;"生成成长"),4))/(VLOOKUP(BZ$72,INDIRECT($C$5&amp;"生成成长"),5))*(VLOOKUP($B$5,标准坦克设计!$B$24:$U$30,MATCH("对"&amp;LEFT($C$5,2)&amp;"输出",标准坦克设计!$B$23:$U$23,0)))*(VLOOKUP($B216,INDIRECT($B$5&amp;"生成成长"),3))*(VLOOKUP($B$5,标准坦克设计!$B$14:$K$20,9)/30))</f>
        <v>3.0742988599374423</v>
      </c>
      <c r="CA216" s="173">
        <f ca="1">(VLOOKUP(CA$72,INDIRECT($C$5&amp;"生成成长"),2))/((VLOOKUP($B216,INDIRECT($B$5&amp;"生成成长"),4))/(VLOOKUP(CA$72,INDIRECT($C$5&amp;"生成成长"),5))*(VLOOKUP($B$5,标准坦克设计!$B$24:$U$30,MATCH("对"&amp;LEFT($C$5,2)&amp;"输出",标准坦克设计!$B$23:$U$23,0)))*(VLOOKUP($B216,INDIRECT($B$5&amp;"生成成长"),3))*(VLOOKUP($B$5,标准坦克设计!$B$14:$K$20,9)/30))</f>
        <v>3.3641730755317907</v>
      </c>
      <c r="CB216" s="173">
        <f ca="1">(VLOOKUP(CB$72,INDIRECT($C$5&amp;"生成成长"),2))/((VLOOKUP($B216,INDIRECT($B$5&amp;"生成成长"),4))/(VLOOKUP(CB$72,INDIRECT($C$5&amp;"生成成长"),5))*(VLOOKUP($B$5,标准坦克设计!$B$24:$U$30,MATCH("对"&amp;LEFT($C$5,2)&amp;"输出",标准坦克设计!$B$23:$U$23,0)))*(VLOOKUP($B216,INDIRECT($B$5&amp;"生成成长"),3))*(VLOOKUP($B$5,标准坦克设计!$B$14:$K$20,9)/30))</f>
        <v>3.667104688224982</v>
      </c>
      <c r="CC216" s="173">
        <f ca="1">(VLOOKUP(CC$72,INDIRECT($C$5&amp;"生成成长"),2))/((VLOOKUP($B216,INDIRECT($B$5&amp;"生成成长"),4))/(VLOOKUP(CC$72,INDIRECT($C$5&amp;"生成成长"),5))*(VLOOKUP($B$5,标准坦克设计!$B$24:$U$30,MATCH("对"&amp;LEFT($C$5,2)&amp;"输出",标准坦克设计!$B$23:$U$23,0)))*(VLOOKUP($B216,INDIRECT($B$5&amp;"生成成长"),3))*(VLOOKUP($B$5,标准坦克设计!$B$14:$K$20,9)/30))</f>
        <v>3.9830936980170195</v>
      </c>
      <c r="CD216" s="173">
        <f ca="1">(VLOOKUP(CD$72,INDIRECT($C$5&amp;"生成成长"),2))/((VLOOKUP($B216,INDIRECT($B$5&amp;"生成成长"),4))/(VLOOKUP(CD$72,INDIRECT($C$5&amp;"生成成长"),5))*(VLOOKUP($B$5,标准坦克设计!$B$24:$U$30,MATCH("对"&amp;LEFT($C$5,2)&amp;"输出",标准坦克设计!$B$23:$U$23,0)))*(VLOOKUP($B216,INDIRECT($B$5&amp;"生成成长"),3))*(VLOOKUP($B$5,标准坦克设计!$B$14:$K$20,9)/30))</f>
        <v>4.3121401049079005</v>
      </c>
      <c r="CE216" s="173">
        <f ca="1">(VLOOKUP(CE$72,INDIRECT($C$5&amp;"生成成长"),2))/((VLOOKUP($B216,INDIRECT($B$5&amp;"生成成长"),4))/(VLOOKUP(CE$72,INDIRECT($C$5&amp;"生成成长"),5))*(VLOOKUP($B$5,标准坦克设计!$B$24:$U$30,MATCH("对"&amp;LEFT($C$5,2)&amp;"输出",标准坦克设计!$B$23:$U$23,0)))*(VLOOKUP($B216,INDIRECT($B$5&amp;"生成成长"),3))*(VLOOKUP($B$5,标准坦克设计!$B$14:$K$20,9)/30))</f>
        <v>4.6542439088976266</v>
      </c>
      <c r="CF216" s="173">
        <f ca="1">(VLOOKUP(CF$72,INDIRECT($C$5&amp;"生成成长"),2))/((VLOOKUP($B216,INDIRECT($B$5&amp;"生成成长"),4))/(VLOOKUP(CF$72,INDIRECT($C$5&amp;"生成成长"),5))*(VLOOKUP($B$5,标准坦克设计!$B$24:$U$30,MATCH("对"&amp;LEFT($C$5,2)&amp;"输出",标准坦克设计!$B$23:$U$23,0)))*(VLOOKUP($B216,INDIRECT($B$5&amp;"生成成长"),3))*(VLOOKUP($B$5,标准坦克设计!$B$14:$K$20,9)/30))</f>
        <v>5.0094051099861954</v>
      </c>
      <c r="CG216" s="173">
        <f ca="1">(VLOOKUP(CG$72,INDIRECT($C$5&amp;"生成成长"),2))/((VLOOKUP($B216,INDIRECT($B$5&amp;"生成成长"),4))/(VLOOKUP(CG$72,INDIRECT($C$5&amp;"生成成长"),5))*(VLOOKUP($B$5,标准坦克设计!$B$24:$U$30,MATCH("对"&amp;LEFT($C$5,2)&amp;"输出",标准坦克设计!$B$23:$U$23,0)))*(VLOOKUP($B216,INDIRECT($B$5&amp;"生成成长"),3))*(VLOOKUP($B$5,标准坦克设计!$B$14:$K$20,9)/30))</f>
        <v>5.3776237081736111</v>
      </c>
      <c r="CH216" s="173">
        <f ca="1">(VLOOKUP(CH$72,INDIRECT($C$5&amp;"生成成长"),2))/((VLOOKUP($B216,INDIRECT($B$5&amp;"生成成长"),4))/(VLOOKUP(CH$72,INDIRECT($C$5&amp;"生成成长"),5))*(VLOOKUP($B$5,标准坦克设计!$B$24:$U$30,MATCH("对"&amp;LEFT($C$5,2)&amp;"输出",标准坦克设计!$B$23:$U$23,0)))*(VLOOKUP($B216,INDIRECT($B$5&amp;"生成成长"),3))*(VLOOKUP($B$5,标准坦克设计!$B$14:$K$20,9)/30))</f>
        <v>5.7588997034598703</v>
      </c>
      <c r="CI216" s="173">
        <f ca="1">(VLOOKUP(CI$72,INDIRECT($C$5&amp;"生成成长"),2))/((VLOOKUP($B216,INDIRECT($B$5&amp;"生成成长"),4))/(VLOOKUP(CI$72,INDIRECT($C$5&amp;"生成成长"),5))*(VLOOKUP($B$5,标准坦克设计!$B$24:$U$30,MATCH("对"&amp;LEFT($C$5,2)&amp;"输出",标准坦克设计!$B$23:$U$23,0)))*(VLOOKUP($B216,INDIRECT($B$5&amp;"生成成长"),3))*(VLOOKUP($B$5,标准坦克设计!$B$14:$K$20,9)/30))</f>
        <v>6.1933845919239205</v>
      </c>
      <c r="CJ216" s="173">
        <f ca="1">(VLOOKUP(CJ$72,INDIRECT($C$5&amp;"生成成长"),2))/((VLOOKUP($B216,INDIRECT($B$5&amp;"生成成长"),4))/(VLOOKUP(CJ$72,INDIRECT($C$5&amp;"生成成长"),5))*(VLOOKUP($B$5,标准坦克设计!$B$24:$U$30,MATCH("对"&amp;LEFT($C$5,2)&amp;"输出",标准坦克设计!$B$23:$U$23,0)))*(VLOOKUP($B216,INDIRECT($B$5&amp;"生成成长"),3))*(VLOOKUP($B$5,标准坦克设计!$B$14:$K$20,9)/30))</f>
        <v>6.6436689308775732</v>
      </c>
      <c r="CK216" s="173">
        <f ca="1">(VLOOKUP(CK$72,INDIRECT($C$5&amp;"生成成长"),2))/((VLOOKUP($B216,INDIRECT($B$5&amp;"生成成长"),4))/(VLOOKUP(CK$72,INDIRECT($C$5&amp;"生成成长"),5))*(VLOOKUP($B$5,标准坦克设计!$B$24:$U$30,MATCH("对"&amp;LEFT($C$5,2)&amp;"输出",标准坦克设计!$B$23:$U$23,0)))*(VLOOKUP($B216,INDIRECT($B$5&amp;"生成成长"),3))*(VLOOKUP($B$5,标准坦克设计!$B$14:$K$20,9)/30))</f>
        <v>7.1097527203208273</v>
      </c>
      <c r="CL216" s="173">
        <f ca="1">(VLOOKUP(CL$72,INDIRECT($C$5&amp;"生成成长"),2))/((VLOOKUP($B216,INDIRECT($B$5&amp;"生成成长"),4))/(VLOOKUP(CL$72,INDIRECT($C$5&amp;"生成成长"),5))*(VLOOKUP($B$5,标准坦克设计!$B$24:$U$30,MATCH("对"&amp;LEFT($C$5,2)&amp;"输出",标准坦克设计!$B$23:$U$23,0)))*(VLOOKUP($B216,INDIRECT($B$5&amp;"生成成长"),3))*(VLOOKUP($B$5,标准坦克设计!$B$14:$K$20,9)/30))</f>
        <v>7.5916359602536847</v>
      </c>
      <c r="CM216" s="173">
        <f ca="1">(VLOOKUP(CM$72,INDIRECT($C$5&amp;"生成成长"),2))/((VLOOKUP($B216,INDIRECT($B$5&amp;"生成成长"),4))/(VLOOKUP(CM$72,INDIRECT($C$5&amp;"生成成长"),5))*(VLOOKUP($B$5,标准坦克设计!$B$24:$U$30,MATCH("对"&amp;LEFT($C$5,2)&amp;"输出",标准坦克设计!$B$23:$U$23,0)))*(VLOOKUP($B216,INDIRECT($B$5&amp;"生成成长"),3))*(VLOOKUP($B$5,标准坦克设计!$B$14:$K$20,9)/30))</f>
        <v>8.089318650676141</v>
      </c>
      <c r="CN216" s="173">
        <f ca="1">(VLOOKUP(CN$72,INDIRECT($C$5&amp;"生成成长"),2))/((VLOOKUP($B216,INDIRECT($B$5&amp;"生成成长"),4))/(VLOOKUP(CN$72,INDIRECT($C$5&amp;"生成成长"),5))*(VLOOKUP($B$5,标准坦克设计!$B$24:$U$30,MATCH("对"&amp;LEFT($C$5,2)&amp;"输出",标准坦克设计!$B$23:$U$23,0)))*(VLOOKUP($B216,INDIRECT($B$5&amp;"生成成长"),3))*(VLOOKUP($B$5,标准坦克设计!$B$14:$K$20,9)/30))</f>
        <v>8.6028007915882014</v>
      </c>
      <c r="CO216" s="173">
        <f ca="1">(VLOOKUP(CO$72,INDIRECT($C$5&amp;"生成成长"),2))/((VLOOKUP($B216,INDIRECT($B$5&amp;"生成成长"),4))/(VLOOKUP(CO$72,INDIRECT($C$5&amp;"生成成长"),5))*(VLOOKUP($B$5,标准坦克设计!$B$24:$U$30,MATCH("对"&amp;LEFT($C$5,2)&amp;"输出",标准坦克设计!$B$23:$U$23,0)))*(VLOOKUP($B216,INDIRECT($B$5&amp;"生成成长"),3))*(VLOOKUP($B$5,标准坦克设计!$B$14:$K$20,9)/30))</f>
        <v>3.855131206448343</v>
      </c>
      <c r="CP216" s="173">
        <f ca="1">(VLOOKUP(CP$72,INDIRECT($C$5&amp;"生成成长"),2))/((VLOOKUP($B216,INDIRECT($B$5&amp;"生成成长"),4))/(VLOOKUP(CP$72,INDIRECT($C$5&amp;"生成成长"),5))*(VLOOKUP($B$5,标准坦克设计!$B$24:$U$30,MATCH("对"&amp;LEFT($C$5,2)&amp;"输出",标准坦克设计!$B$23:$U$23,0)))*(VLOOKUP($B216,INDIRECT($B$5&amp;"生成成长"),3))*(VLOOKUP($B$5,标准坦克设计!$B$14:$K$20,9)/30))</f>
        <v>4.2120551561452571</v>
      </c>
      <c r="CQ216" s="173">
        <f ca="1">(VLOOKUP(CQ$72,INDIRECT($C$5&amp;"生成成长"),2))/((VLOOKUP($B216,INDIRECT($B$5&amp;"生成成长"),4))/(VLOOKUP(CQ$72,INDIRECT($C$5&amp;"生成成长"),5))*(VLOOKUP($B$5,标准坦克设计!$B$24:$U$30,MATCH("对"&amp;LEFT($C$5,2)&amp;"输出",标准坦克设计!$B$23:$U$23,0)))*(VLOOKUP($B216,INDIRECT($B$5&amp;"生成成长"),3))*(VLOOKUP($B$5,标准坦克设计!$B$14:$K$20,9)/30))</f>
        <v>4.5847785563317744</v>
      </c>
      <c r="CR216" s="173">
        <f ca="1">(VLOOKUP(CR$72,INDIRECT($C$5&amp;"生成成长"),2))/((VLOOKUP($B216,INDIRECT($B$5&amp;"生成成长"),4))/(VLOOKUP(CR$72,INDIRECT($C$5&amp;"生成成长"),5))*(VLOOKUP($B$5,标准坦克设计!$B$24:$U$30,MATCH("对"&amp;LEFT($C$5,2)&amp;"输出",标准坦克设计!$B$23:$U$23,0)))*(VLOOKUP($B216,INDIRECT($B$5&amp;"生成成长"),3))*(VLOOKUP($B$5,标准坦克设计!$B$14:$K$20,9)/30))</f>
        <v>4.9733014070078925</v>
      </c>
      <c r="CS216" s="173">
        <f ca="1">(VLOOKUP(CS$72,INDIRECT($C$5&amp;"生成成长"),2))/((VLOOKUP($B216,INDIRECT($B$5&amp;"生成成长"),4))/(VLOOKUP(CS$72,INDIRECT($C$5&amp;"生成成长"),5))*(VLOOKUP($B$5,标准坦克设计!$B$24:$U$30,MATCH("对"&amp;LEFT($C$5,2)&amp;"输出",标准坦克设计!$B$23:$U$23,0)))*(VLOOKUP($B216,INDIRECT($B$5&amp;"生成成长"),3))*(VLOOKUP($B$5,标准坦克设计!$B$14:$K$20,9)/30))</f>
        <v>5.3776237081736111</v>
      </c>
      <c r="CT216" s="173">
        <f ca="1">(VLOOKUP(CT$72,INDIRECT($C$5&amp;"生成成长"),2))/((VLOOKUP($B216,INDIRECT($B$5&amp;"生成成长"),4))/(VLOOKUP(CT$72,INDIRECT($C$5&amp;"生成成长"),5))*(VLOOKUP($B$5,标准坦克设计!$B$24:$U$30,MATCH("对"&amp;LEFT($C$5,2)&amp;"输出",标准坦克设计!$B$23:$U$23,0)))*(VLOOKUP($B216,INDIRECT($B$5&amp;"生成成长"),3))*(VLOOKUP($B$5,标准坦克设计!$B$14:$K$20,9)/30))</f>
        <v>5.7977454598289322</v>
      </c>
      <c r="CU216" s="173">
        <f ca="1">(VLOOKUP(CU$72,INDIRECT($C$5&amp;"生成成长"),2))/((VLOOKUP($B216,INDIRECT($B$5&amp;"生成成长"),4))/(VLOOKUP(CU$72,INDIRECT($C$5&amp;"生成成长"),5))*(VLOOKUP($B$5,标准坦克设计!$B$24:$U$30,MATCH("对"&amp;LEFT($C$5,2)&amp;"输出",标准坦克设计!$B$23:$U$23,0)))*(VLOOKUP($B216,INDIRECT($B$5&amp;"生成成长"),3))*(VLOOKUP($B$5,标准坦克设计!$B$14:$K$20,9)/30))</f>
        <v>6.2336666619738557</v>
      </c>
      <c r="CV216" s="173">
        <f ca="1">(VLOOKUP(CV$72,INDIRECT($C$5&amp;"生成成长"),2))/((VLOOKUP($B216,INDIRECT($B$5&amp;"生成成长"),4))/(VLOOKUP(CV$72,INDIRECT($C$5&amp;"生成成长"),5))*(VLOOKUP($B$5,标准坦克设计!$B$24:$U$30,MATCH("对"&amp;LEFT($C$5,2)&amp;"输出",标准坦克设计!$B$23:$U$23,0)))*(VLOOKUP($B216,INDIRECT($B$5&amp;"生成成长"),3))*(VLOOKUP($B$5,标准坦克设计!$B$14:$K$20,9)/30))</f>
        <v>6.6853873146083833</v>
      </c>
      <c r="CW216" s="173">
        <f ca="1">(VLOOKUP(CW$72,INDIRECT($C$5&amp;"生成成长"),2))/((VLOOKUP($B216,INDIRECT($B$5&amp;"生成成长"),4))/(VLOOKUP(CW$72,INDIRECT($C$5&amp;"生成成长"),5))*(VLOOKUP($B$5,标准坦克设计!$B$24:$U$30,MATCH("对"&amp;LEFT($C$5,2)&amp;"输出",标准坦克设计!$B$23:$U$23,0)))*(VLOOKUP($B216,INDIRECT($B$5&amp;"生成成长"),3))*(VLOOKUP($B$5,标准坦克设计!$B$14:$K$20,9)/30))</f>
        <v>7.1529074177325089</v>
      </c>
      <c r="CX216" s="173">
        <f ca="1">(VLOOKUP(CX$72,INDIRECT($C$5&amp;"生成成长"),2))/((VLOOKUP($B216,INDIRECT($B$5&amp;"生成成长"),4))/(VLOOKUP(CX$72,INDIRECT($C$5&amp;"生成成长"),5))*(VLOOKUP($B$5,标准坦克设计!$B$24:$U$30,MATCH("对"&amp;LEFT($C$5,2)&amp;"输出",标准坦克设计!$B$23:$U$23,0)))*(VLOOKUP($B216,INDIRECT($B$5&amp;"生成成长"),3))*(VLOOKUP($B$5,标准坦克设计!$B$14:$K$20,9)/30))</f>
        <v>7.6362269713462378</v>
      </c>
      <c r="CY216" s="173">
        <f ca="1">(VLOOKUP(CY$72,INDIRECT($C$5&amp;"生成成长"),2))/((VLOOKUP($B216,INDIRECT($B$5&amp;"生成成长"),4))/(VLOOKUP(CY$72,INDIRECT($C$5&amp;"生成成长"),5))*(VLOOKUP($B$5,标准坦克设计!$B$24:$U$30,MATCH("对"&amp;LEFT($C$5,2)&amp;"输出",标准坦克设计!$B$23:$U$23,0)))*(VLOOKUP($B216,INDIRECT($B$5&amp;"生成成长"),3))*(VLOOKUP($B$5,标准坦克设计!$B$14:$K$20,9)/30))</f>
        <v>8.1353459754495692</v>
      </c>
      <c r="CZ216" s="173">
        <f ca="1">(VLOOKUP(CZ$72,INDIRECT($C$5&amp;"生成成长"),2))/((VLOOKUP($B216,INDIRECT($B$5&amp;"生成成长"),4))/(VLOOKUP(CZ$72,INDIRECT($C$5&amp;"生成成长"),5))*(VLOOKUP($B$5,标准坦克设计!$B$24:$U$30,MATCH("对"&amp;LEFT($C$5,2)&amp;"输出",标准坦克设计!$B$23:$U$23,0)))*(VLOOKUP($B216,INDIRECT($B$5&amp;"生成成长"),3))*(VLOOKUP($B$5,标准坦克设计!$B$14:$K$20,9)/30))</f>
        <v>8.6502644300425029</v>
      </c>
      <c r="DA216" s="173">
        <f ca="1">(VLOOKUP(DA$72,INDIRECT($C$5&amp;"生成成长"),2))/((VLOOKUP($B216,INDIRECT($B$5&amp;"生成成长"),4))/(VLOOKUP(DA$72,INDIRECT($C$5&amp;"生成成长"),5))*(VLOOKUP($B$5,标准坦克设计!$B$24:$U$30,MATCH("对"&amp;LEFT($C$5,2)&amp;"输出",标准坦克设计!$B$23:$U$23,0)))*(VLOOKUP($B216,INDIRECT($B$5&amp;"生成成长"),3))*(VLOOKUP($B$5,标准坦克设计!$B$14:$K$20,9)/30))</f>
        <v>9.1809823351250355</v>
      </c>
      <c r="DB216" s="173">
        <f ca="1">(VLOOKUP(DB$72,INDIRECT($C$5&amp;"生成成长"),2))/((VLOOKUP($B216,INDIRECT($B$5&amp;"生成成长"),4))/(VLOOKUP(DB$72,INDIRECT($C$5&amp;"生成成长"),5))*(VLOOKUP($B$5,标准坦克设计!$B$24:$U$30,MATCH("对"&amp;LEFT($C$5,2)&amp;"输出",标准坦克设计!$B$23:$U$23,0)))*(VLOOKUP($B216,INDIRECT($B$5&amp;"生成成长"),3))*(VLOOKUP($B$5,标准坦克设计!$B$14:$K$20,9)/30))</f>
        <v>9.7274996906971722</v>
      </c>
      <c r="DC216" s="173">
        <f ca="1">(VLOOKUP(DC$72,INDIRECT($C$5&amp;"生成成长"),2))/((VLOOKUP($B216,INDIRECT($B$5&amp;"生成成长"),4))/(VLOOKUP(DC$72,INDIRECT($C$5&amp;"生成成长"),5))*(VLOOKUP($B$5,标准坦克设计!$B$24:$U$30,MATCH("对"&amp;LEFT($C$5,2)&amp;"输出",标准坦克设计!$B$23:$U$23,0)))*(VLOOKUP($B216,INDIRECT($B$5&amp;"生成成长"),3))*(VLOOKUP($B$5,标准坦克设计!$B$14:$K$20,9)/30))</f>
        <v>10.341719650226818</v>
      </c>
      <c r="DD216" s="173">
        <f ca="1">(VLOOKUP(DD$72,INDIRECT($C$5&amp;"生成成长"),2))/((VLOOKUP($B216,INDIRECT($B$5&amp;"生成成长"),4))/(VLOOKUP(DD$72,INDIRECT($C$5&amp;"生成成长"),5))*(VLOOKUP($B$5,标准坦克设计!$B$24:$U$30,MATCH("对"&amp;LEFT($C$5,2)&amp;"输出",标准坦克设计!$B$23:$U$23,0)))*(VLOOKUP($B216,INDIRECT($B$5&amp;"生成成长"),3))*(VLOOKUP($B$5,标准坦克设计!$B$14:$K$20,9)/30))</f>
        <v>10.974742261578795</v>
      </c>
      <c r="DE216" s="173">
        <f ca="1">(VLOOKUP(DE$72,INDIRECT($C$5&amp;"生成成长"),2))/((VLOOKUP($B216,INDIRECT($B$5&amp;"生成成长"),4))/(VLOOKUP(DE$72,INDIRECT($C$5&amp;"生成成长"),5))*(VLOOKUP($B$5,标准坦克设计!$B$24:$U$30,MATCH("对"&amp;LEFT($C$5,2)&amp;"输出",标准坦克设计!$B$23:$U$23,0)))*(VLOOKUP($B216,INDIRECT($B$5&amp;"生成成长"),3))*(VLOOKUP($B$5,标准坦克设计!$B$14:$K$20,9)/30))</f>
        <v>11.626567524753117</v>
      </c>
      <c r="DF216" s="173">
        <f ca="1">(VLOOKUP(DF$72,INDIRECT($C$5&amp;"生成成长"),2))/((VLOOKUP($B216,INDIRECT($B$5&amp;"生成成长"),4))/(VLOOKUP(DF$72,INDIRECT($C$5&amp;"生成成长"),5))*(VLOOKUP($B$5,标准坦克设计!$B$24:$U$30,MATCH("对"&amp;LEFT($C$5,2)&amp;"输出",标准坦克设计!$B$23:$U$23,0)))*(VLOOKUP($B216,INDIRECT($B$5&amp;"生成成长"),3))*(VLOOKUP($B$5,标准坦克设计!$B$14:$K$20,9)/30))</f>
        <v>12.297195439749769</v>
      </c>
      <c r="DG216" s="173">
        <f ca="1">(VLOOKUP(DG$72,INDIRECT($C$5&amp;"生成成长"),2))/((VLOOKUP($B216,INDIRECT($B$5&amp;"生成成长"),4))/(VLOOKUP(DG$72,INDIRECT($C$5&amp;"生成成长"),5))*(VLOOKUP($B$5,标准坦克设计!$B$24:$U$30,MATCH("对"&amp;LEFT($C$5,2)&amp;"输出",标准坦克设计!$B$23:$U$23,0)))*(VLOOKUP($B216,INDIRECT($B$5&amp;"生成成长"),3))*(VLOOKUP($B$5,标准坦克设计!$B$14:$K$20,9)/30))</f>
        <v>12.986626006568761</v>
      </c>
      <c r="DH216" s="173">
        <f ca="1">(VLOOKUP(DH$72,INDIRECT($C$5&amp;"生成成长"),2))/((VLOOKUP($B216,INDIRECT($B$5&amp;"生成成长"),4))/(VLOOKUP(DH$72,INDIRECT($C$5&amp;"生成成长"),5))*(VLOOKUP($B$5,标准坦克设计!$B$24:$U$30,MATCH("对"&amp;LEFT($C$5,2)&amp;"输出",标准坦克设计!$B$23:$U$23,0)))*(VLOOKUP($B216,INDIRECT($B$5&amp;"生成成长"),3))*(VLOOKUP($B$5,标准坦克设计!$B$14:$K$20,9)/30))</f>
        <v>13.694859225210084</v>
      </c>
      <c r="DI216" s="173">
        <f ca="1">(VLOOKUP(DI$72,INDIRECT($C$5&amp;"生成成长"),2))/((VLOOKUP($B216,INDIRECT($B$5&amp;"生成成长"),4))/(VLOOKUP(DI$72,INDIRECT($C$5&amp;"生成成长"),5))*(VLOOKUP($B$5,标准坦克设计!$B$24:$U$30,MATCH("对"&amp;LEFT($C$5,2)&amp;"输出",标准坦克设计!$B$23:$U$23,0)))*(VLOOKUP($B216,INDIRECT($B$5&amp;"生成成长"),3))*(VLOOKUP($B$5,标准坦克设计!$B$14:$K$20,9)/30))</f>
        <v>14.421895095673746</v>
      </c>
      <c r="DJ216" s="173">
        <f ca="1">(VLOOKUP(DJ$72,INDIRECT($C$5&amp;"生成成长"),2))/((VLOOKUP($B216,INDIRECT($B$5&amp;"生成成长"),4))/(VLOOKUP(DJ$72,INDIRECT($C$5&amp;"生成成长"),5))*(VLOOKUP($B$5,标准坦克设计!$B$24:$U$30,MATCH("对"&amp;LEFT($C$5,2)&amp;"输出",标准坦克设计!$B$23:$U$23,0)))*(VLOOKUP($B216,INDIRECT($B$5&amp;"生成成长"),3))*(VLOOKUP($B$5,标准坦克设计!$B$14:$K$20,9)/30))</f>
        <v>1.449436364957233</v>
      </c>
      <c r="DK216" s="173">
        <f ca="1">(VLOOKUP(DK$72,INDIRECT($C$5&amp;"生成成长"),2))/((VLOOKUP($B216,INDIRECT($B$5&amp;"生成成长"),4))/(VLOOKUP(DK$72,INDIRECT($C$5&amp;"生成成长"),5))*(VLOOKUP($B$5,标准坦克设计!$B$24:$U$30,MATCH("对"&amp;LEFT($C$5,2)&amp;"输出",标准坦克设计!$B$23:$U$23,0)))*(VLOOKUP($B216,INDIRECT($B$5&amp;"生成成长"),3))*(VLOOKUP($B$5,标准坦克设计!$B$14:$K$20,9)/30))</f>
        <v>1.6298243058777699</v>
      </c>
      <c r="DL216" s="173">
        <f ca="1">(VLOOKUP(DL$72,INDIRECT($C$5&amp;"生成成长"),2))/((VLOOKUP($B216,INDIRECT($B$5&amp;"生成成长"),4))/(VLOOKUP(DL$72,INDIRECT($C$5&amp;"生成成长"),5))*(VLOOKUP($B$5,标准坦克设计!$B$24:$U$30,MATCH("对"&amp;LEFT($C$5,2)&amp;"输出",标准坦克设计!$B$23:$U$23,0)))*(VLOOKUP($B216,INDIRECT($B$5&amp;"生成成长"),3))*(VLOOKUP($B$5,标准坦克设计!$B$14:$K$20,9)/30))</f>
        <v>1.8207887384483703</v>
      </c>
      <c r="DM216" s="173">
        <f ca="1">(VLOOKUP(DM$72,INDIRECT($C$5&amp;"生成成长"),2))/((VLOOKUP($B216,INDIRECT($B$5&amp;"生成成长"),4))/(VLOOKUP(DM$72,INDIRECT($C$5&amp;"生成成长"),5))*(VLOOKUP($B$5,标准坦克设计!$B$24:$U$30,MATCH("对"&amp;LEFT($C$5,2)&amp;"输出",标准坦克设计!$B$23:$U$23,0)))*(VLOOKUP($B216,INDIRECT($B$5&amp;"生成成长"),3))*(VLOOKUP($B$5,标准坦克设计!$B$14:$K$20,9)/30))</f>
        <v>2.0223296626690352</v>
      </c>
      <c r="DN216" s="173">
        <f ca="1">(VLOOKUP(DN$72,INDIRECT($C$5&amp;"生成成长"),2))/((VLOOKUP($B216,INDIRECT($B$5&amp;"生成成长"),4))/(VLOOKUP(DN$72,INDIRECT($C$5&amp;"生成成长"),5))*(VLOOKUP($B$5,标准坦克设计!$B$24:$U$30,MATCH("对"&amp;LEFT($C$5,2)&amp;"输出",标准坦克设计!$B$23:$U$23,0)))*(VLOOKUP($B216,INDIRECT($B$5&amp;"生成成长"),3))*(VLOOKUP($B$5,标准坦克设计!$B$14:$K$20,9)/30))</f>
        <v>2.2344470785397643</v>
      </c>
      <c r="DO216" s="173">
        <f ca="1">(VLOOKUP(DO$72,INDIRECT($C$5&amp;"生成成长"),2))/((VLOOKUP($B216,INDIRECT($B$5&amp;"生成成长"),4))/(VLOOKUP(DO$72,INDIRECT($C$5&amp;"生成成长"),5))*(VLOOKUP($B$5,标准坦克设计!$B$24:$U$30,MATCH("对"&amp;LEFT($C$5,2)&amp;"输出",标准坦克设计!$B$23:$U$23,0)))*(VLOOKUP($B216,INDIRECT($B$5&amp;"生成成长"),3))*(VLOOKUP($B$5,标准坦克设计!$B$14:$K$20,9)/30))</f>
        <v>2.4571409860605571</v>
      </c>
      <c r="DP216" s="173">
        <f ca="1">(VLOOKUP(DP$72,INDIRECT($C$5&amp;"生成成长"),2))/((VLOOKUP($B216,INDIRECT($B$5&amp;"生成成长"),4))/(VLOOKUP(DP$72,INDIRECT($C$5&amp;"生成成长"),5))*(VLOOKUP($B$5,标准坦克设计!$B$24:$U$30,MATCH("对"&amp;LEFT($C$5,2)&amp;"输出",标准坦克设计!$B$23:$U$23,0)))*(VLOOKUP($B216,INDIRECT($B$5&amp;"生成成长"),3))*(VLOOKUP($B$5,标准坦克设计!$B$14:$K$20,9)/30))</f>
        <v>2.6904113852314135</v>
      </c>
      <c r="DQ216" s="173">
        <f ca="1">(VLOOKUP(DQ$72,INDIRECT($C$5&amp;"生成成长"),2))/((VLOOKUP($B216,INDIRECT($B$5&amp;"生成成长"),4))/(VLOOKUP(DQ$72,INDIRECT($C$5&amp;"生成成长"),5))*(VLOOKUP($B$5,标准坦克设计!$B$24:$U$30,MATCH("对"&amp;LEFT($C$5,2)&amp;"输出",标准坦克设计!$B$23:$U$23,0)))*(VLOOKUP($B216,INDIRECT($B$5&amp;"生成成长"),3))*(VLOOKUP($B$5,标准坦克设计!$B$14:$K$20,9)/30))</f>
        <v>2.934258276052335</v>
      </c>
      <c r="DR216" s="173">
        <f ca="1">(VLOOKUP(DR$72,INDIRECT($C$5&amp;"生成成长"),2))/((VLOOKUP($B216,INDIRECT($B$5&amp;"生成成长"),4))/(VLOOKUP(DR$72,INDIRECT($C$5&amp;"生成成长"),5))*(VLOOKUP($B$5,标准坦克设计!$B$24:$U$30,MATCH("对"&amp;LEFT($C$5,2)&amp;"输出",标准坦克设计!$B$23:$U$23,0)))*(VLOOKUP($B216,INDIRECT($B$5&amp;"生成成长"),3))*(VLOOKUP($B$5,标准坦克设计!$B$14:$K$20,9)/30))</f>
        <v>3.1886816585233198</v>
      </c>
      <c r="DS216" s="173">
        <f ca="1">(VLOOKUP(DS$72,INDIRECT($C$5&amp;"生成成长"),2))/((VLOOKUP($B216,INDIRECT($B$5&amp;"生成成长"),4))/(VLOOKUP(DS$72,INDIRECT($C$5&amp;"生成成长"),5))*(VLOOKUP($B$5,标准坦克设计!$B$24:$U$30,MATCH("对"&amp;LEFT($C$5,2)&amp;"输出",标准坦克设计!$B$23:$U$23,0)))*(VLOOKUP($B216,INDIRECT($B$5&amp;"生成成长"),3))*(VLOOKUP($B$5,标准坦克设计!$B$14:$K$20,9)/30))</f>
        <v>3.4536815326443695</v>
      </c>
      <c r="DT216" s="173">
        <f ca="1">(VLOOKUP(DT$72,INDIRECT($C$5&amp;"生成成长"),2))/((VLOOKUP($B216,INDIRECT($B$5&amp;"生成成长"),4))/(VLOOKUP(DT$72,INDIRECT($C$5&amp;"生成成长"),5))*(VLOOKUP($B$5,标准坦克设计!$B$24:$U$30,MATCH("对"&amp;LEFT($C$5,2)&amp;"输出",标准坦克设计!$B$23:$U$23,0)))*(VLOOKUP($B216,INDIRECT($B$5&amp;"生成成长"),3))*(VLOOKUP($B$5,标准坦克设计!$B$14:$K$20,9)/30))</f>
        <v>3.7919334044899355</v>
      </c>
      <c r="DU216" s="173">
        <f ca="1">(VLOOKUP(DU$72,INDIRECT($C$5&amp;"生成成长"),2))/((VLOOKUP($B216,INDIRECT($B$5&amp;"生成成长"),4))/(VLOOKUP(DU$72,INDIRECT($C$5&amp;"生成成长"),5))*(VLOOKUP($B$5,标准坦克设计!$B$24:$U$30,MATCH("对"&amp;LEFT($C$5,2)&amp;"输出",标准坦克设计!$B$23:$U$23,0)))*(VLOOKUP($B216,INDIRECT($B$5&amp;"生成成长"),3))*(VLOOKUP($B$5,标准坦克设计!$B$14:$K$20,9)/30))</f>
        <v>4.1459847268251036</v>
      </c>
      <c r="DV216" s="173">
        <f ca="1">(VLOOKUP(DV$72,INDIRECT($C$5&amp;"生成成长"),2))/((VLOOKUP($B216,INDIRECT($B$5&amp;"生成成长"),4))/(VLOOKUP(DV$72,INDIRECT($C$5&amp;"生成成长"),5))*(VLOOKUP($B$5,标准坦克设计!$B$24:$U$30,MATCH("对"&amp;LEFT($C$5,2)&amp;"输出",标准坦克设计!$B$23:$U$23,0)))*(VLOOKUP($B216,INDIRECT($B$5&amp;"生成成长"),3))*(VLOOKUP($B$5,标准坦克设计!$B$14:$K$20,9)/30))</f>
        <v>4.5158354996498744</v>
      </c>
      <c r="DW216" s="173">
        <f ca="1">(VLOOKUP(DW$72,INDIRECT($C$5&amp;"生成成长"),2))/((VLOOKUP($B216,INDIRECT($B$5&amp;"生成成长"),4))/(VLOOKUP(DW$72,INDIRECT($C$5&amp;"生成成长"),5))*(VLOOKUP($B$5,标准坦克设计!$B$24:$U$30,MATCH("对"&amp;LEFT($C$5,2)&amp;"输出",标准坦克设计!$B$23:$U$23,0)))*(VLOOKUP($B216,INDIRECT($B$5&amp;"生成成长"),3))*(VLOOKUP($B$5,标准坦克设计!$B$14:$K$20,9)/30))</f>
        <v>4.9014857229642468</v>
      </c>
      <c r="DX216" s="173">
        <f ca="1">(VLOOKUP(DX$72,INDIRECT($C$5&amp;"生成成长"),2))/((VLOOKUP($B216,INDIRECT($B$5&amp;"生成成长"),4))/(VLOOKUP(DX$72,INDIRECT($C$5&amp;"生成成长"),5))*(VLOOKUP($B$5,标准坦克设计!$B$24:$U$30,MATCH("对"&amp;LEFT($C$5,2)&amp;"输出",标准坦克设计!$B$23:$U$23,0)))*(VLOOKUP($B216,INDIRECT($B$5&amp;"生成成长"),3))*(VLOOKUP($B$5,标准坦克设计!$B$14:$K$20,9)/30))</f>
        <v>5.3029353967682207</v>
      </c>
      <c r="DY216" s="173">
        <f ca="1">(VLOOKUP(DY$72,INDIRECT($C$5&amp;"生成成长"),2))/((VLOOKUP($B216,INDIRECT($B$5&amp;"生成成长"),4))/(VLOOKUP(DY$72,INDIRECT($C$5&amp;"生成成长"),5))*(VLOOKUP($B$5,标准坦克设计!$B$24:$U$30,MATCH("对"&amp;LEFT($C$5,2)&amp;"输出",标准坦克设计!$B$23:$U$23,0)))*(VLOOKUP($B216,INDIRECT($B$5&amp;"生成成长"),3))*(VLOOKUP($B$5,标准坦克设计!$B$14:$K$20,9)/30))</f>
        <v>2.3817345178147304</v>
      </c>
      <c r="DZ216" s="173">
        <f ca="1">(VLOOKUP(DZ$72,INDIRECT($C$5&amp;"生成成长"),2))/((VLOOKUP($B216,INDIRECT($B$5&amp;"生成成长"),4))/(VLOOKUP(DZ$72,INDIRECT($C$5&amp;"生成成长"),5))*(VLOOKUP($B$5,标准坦克设计!$B$24:$U$30,MATCH("对"&amp;LEFT($C$5,2)&amp;"输出",标准坦克设计!$B$23:$U$23,0)))*(VLOOKUP($B216,INDIRECT($B$5&amp;"生成成长"),3))*(VLOOKUP($B$5,标准坦克设计!$B$14:$K$20,9)/30))</f>
        <v>2.6376595009520827</v>
      </c>
      <c r="EA216" s="173">
        <f ca="1">(VLOOKUP(EA$72,INDIRECT($C$5&amp;"生成成长"),2))/((VLOOKUP($B216,INDIRECT($B$5&amp;"生成成长"),4))/(VLOOKUP(EA$72,INDIRECT($C$5&amp;"生成成长"),5))*(VLOOKUP($B$5,标准坦克设计!$B$24:$U$30,MATCH("对"&amp;LEFT($C$5,2)&amp;"输出",标准坦克设计!$B$23:$U$23,0)))*(VLOOKUP($B216,INDIRECT($B$5&amp;"生成成长"),3))*(VLOOKUP($B$5,标准坦克设计!$B$14:$K$20,9)/30))</f>
        <v>2.9066418811882793</v>
      </c>
      <c r="EB216" s="173">
        <f ca="1">(VLOOKUP(EB$72,INDIRECT($C$5&amp;"生成成长"),2))/((VLOOKUP($B216,INDIRECT($B$5&amp;"生成成长"),4))/(VLOOKUP(EB$72,INDIRECT($C$5&amp;"生成成长"),5))*(VLOOKUP($B$5,标准坦克设计!$B$24:$U$30,MATCH("对"&amp;LEFT($C$5,2)&amp;"输出",标准坦克设计!$B$23:$U$23,0)))*(VLOOKUP($B216,INDIRECT($B$5&amp;"生成成长"),3))*(VLOOKUP($B$5,标准坦克设计!$B$14:$K$20,9)/30))</f>
        <v>3.1886816585233198</v>
      </c>
      <c r="EC216" s="173">
        <f ca="1">(VLOOKUP(EC$72,INDIRECT($C$5&amp;"生成成长"),2))/((VLOOKUP($B216,INDIRECT($B$5&amp;"生成成长"),4))/(VLOOKUP(EC$72,INDIRECT($C$5&amp;"生成成长"),5))*(VLOOKUP($B$5,标准坦克设计!$B$24:$U$30,MATCH("对"&amp;LEFT($C$5,2)&amp;"输出",标准坦克设计!$B$23:$U$23,0)))*(VLOOKUP($B216,INDIRECT($B$5&amp;"生成成长"),3))*(VLOOKUP($B$5,标准坦克设计!$B$14:$K$20,9)/30))</f>
        <v>3.4837788329572059</v>
      </c>
      <c r="ED216" s="173">
        <f ca="1">(VLOOKUP(ED$72,INDIRECT($C$5&amp;"生成成长"),2))/((VLOOKUP($B216,INDIRECT($B$5&amp;"生成成长"),4))/(VLOOKUP(ED$72,INDIRECT($C$5&amp;"生成成长"),5))*(VLOOKUP($B$5,标准坦克设计!$B$24:$U$30,MATCH("对"&amp;LEFT($C$5,2)&amp;"输出",标准坦克设计!$B$23:$U$23,0)))*(VLOOKUP($B216,INDIRECT($B$5&amp;"生成成长"),3))*(VLOOKUP($B$5,标准坦克设计!$B$14:$K$20,9)/30))</f>
        <v>3.7919334044899355</v>
      </c>
      <c r="EE216" s="173">
        <f ca="1">(VLOOKUP(EE$72,INDIRECT($C$5&amp;"生成成长"),2))/((VLOOKUP($B216,INDIRECT($B$5&amp;"生成成长"),4))/(VLOOKUP(EE$72,INDIRECT($C$5&amp;"生成成长"),5))*(VLOOKUP($B$5,标准坦克设计!$B$24:$U$30,MATCH("对"&amp;LEFT($C$5,2)&amp;"输出",标准坦克设计!$B$23:$U$23,0)))*(VLOOKUP($B216,INDIRECT($B$5&amp;"生成成长"),3))*(VLOOKUP($B$5,标准坦克设计!$B$14:$K$20,9)/30))</f>
        <v>4.11314537312151</v>
      </c>
      <c r="EF216" s="173">
        <f ca="1">(VLOOKUP(EF$72,INDIRECT($C$5&amp;"生成成长"),2))/((VLOOKUP($B216,INDIRECT($B$5&amp;"生成成长"),4))/(VLOOKUP(EF$72,INDIRECT($C$5&amp;"生成成长"),5))*(VLOOKUP($B$5,标准坦克设计!$B$24:$U$30,MATCH("对"&amp;LEFT($C$5,2)&amp;"输出",标准坦克设计!$B$23:$U$23,0)))*(VLOOKUP($B216,INDIRECT($B$5&amp;"生成成长"),3))*(VLOOKUP($B$5,标准坦克设计!$B$14:$K$20,9)/30))</f>
        <v>4.4474147388519292</v>
      </c>
      <c r="EG216" s="173">
        <f ca="1">(VLOOKUP(EG$72,INDIRECT($C$5&amp;"生成成长"),2))/((VLOOKUP($B216,INDIRECT($B$5&amp;"生成成长"),4))/(VLOOKUP(EG$72,INDIRECT($C$5&amp;"生成成长"),5))*(VLOOKUP($B$5,标准坦克设计!$B$24:$U$30,MATCH("对"&amp;LEFT($C$5,2)&amp;"输出",标准坦克设计!$B$23:$U$23,0)))*(VLOOKUP($B216,INDIRECT($B$5&amp;"生成成长"),3))*(VLOOKUP($B$5,标准坦克设计!$B$14:$K$20,9)/30))</f>
        <v>4.7947415016811927</v>
      </c>
      <c r="EH216" s="173">
        <f ca="1">(VLOOKUP(EH$72,INDIRECT($C$5&amp;"生成成长"),2))/((VLOOKUP($B216,INDIRECT($B$5&amp;"生成成长"),4))/(VLOOKUP(EH$72,INDIRECT($C$5&amp;"生成成长"),5))*(VLOOKUP($B$5,标准坦克设计!$B$24:$U$30,MATCH("对"&amp;LEFT($C$5,2)&amp;"输出",标准坦克设计!$B$23:$U$23,0)))*(VLOOKUP($B216,INDIRECT($B$5&amp;"生成成长"),3))*(VLOOKUP($B$5,标准坦克设计!$B$14:$K$20,9)/30))</f>
        <v>5.1551256616093006</v>
      </c>
      <c r="EI216" s="173">
        <f ca="1">(VLOOKUP(EI$72,INDIRECT($C$5&amp;"生成成长"),2))/((VLOOKUP($B216,INDIRECT($B$5&amp;"生成成长"),4))/(VLOOKUP(EI$72,INDIRECT($C$5&amp;"生成成长"),5))*(VLOOKUP($B$5,标准坦克设计!$B$24:$U$30,MATCH("对"&amp;LEFT($C$5,2)&amp;"输出",标准坦克设计!$B$23:$U$23,0)))*(VLOOKUP($B216,INDIRECT($B$5&amp;"生成成长"),3))*(VLOOKUP($B$5,标准坦克设计!$B$14:$K$20,9)/30))</f>
        <v>5.5285672186362529</v>
      </c>
      <c r="EJ216" s="173">
        <f ca="1">(VLOOKUP(EJ$72,INDIRECT($C$5&amp;"生成成长"),2))/((VLOOKUP($B216,INDIRECT($B$5&amp;"生成成长"),4))/(VLOOKUP(EJ$72,INDIRECT($C$5&amp;"生成成长"),5))*(VLOOKUP($B$5,标准坦克设计!$B$24:$U$30,MATCH("对"&amp;LEFT($C$5,2)&amp;"输出",标准坦克设计!$B$23:$U$23,0)))*(VLOOKUP($B216,INDIRECT($B$5&amp;"生成成长"),3))*(VLOOKUP($B$5,标准坦克设计!$B$14:$K$20,9)/30))</f>
        <v>5.9150661727620504</v>
      </c>
      <c r="EK216" s="173">
        <f ca="1">(VLOOKUP(EK$72,INDIRECT($C$5&amp;"生成成长"),2))/((VLOOKUP($B216,INDIRECT($B$5&amp;"生成成长"),4))/(VLOOKUP(EK$72,INDIRECT($C$5&amp;"生成成长"),5))*(VLOOKUP($B$5,标准坦克设计!$B$24:$U$30,MATCH("对"&amp;LEFT($C$5,2)&amp;"输出",标准坦克设计!$B$23:$U$23,0)))*(VLOOKUP($B216,INDIRECT($B$5&amp;"生成成长"),3))*(VLOOKUP($B$5,标准坦克设计!$B$14:$K$20,9)/30))</f>
        <v>6.3961006818834809</v>
      </c>
      <c r="EL216" s="173">
        <f ca="1">(VLOOKUP(EL$72,INDIRECT($C$5&amp;"生成成长"),2))/((VLOOKUP($B216,INDIRECT($B$5&amp;"生成成长"),4))/(VLOOKUP(EL$72,INDIRECT($C$5&amp;"生成成长"),5))*(VLOOKUP($B$5,标准坦克设计!$B$24:$U$30,MATCH("对"&amp;LEFT($C$5,2)&amp;"输出",标准坦克设计!$B$23:$U$23,0)))*(VLOOKUP($B216,INDIRECT($B$5&amp;"生成成长"),3))*(VLOOKUP($B$5,标准坦克设计!$B$14:$K$20,9)/30))</f>
        <v>6.895937842827248</v>
      </c>
      <c r="EM216" s="173">
        <f ca="1">(VLOOKUP(EM$72,INDIRECT($C$5&amp;"生成成长"),2))/((VLOOKUP($B216,INDIRECT($B$5&amp;"生成成长"),4))/(VLOOKUP(EM$72,INDIRECT($C$5&amp;"生成成长"),5))*(VLOOKUP($B$5,标准坦克设计!$B$24:$U$30,MATCH("对"&amp;LEFT($C$5,2)&amp;"输出",标准坦克设计!$B$23:$U$23,0)))*(VLOOKUP($B216,INDIRECT($B$5&amp;"生成成长"),3))*(VLOOKUP($B$5,标准坦克设计!$B$14:$K$20,9)/30))</f>
        <v>7.4145776555933534</v>
      </c>
      <c r="EN216" s="173">
        <f ca="1">(VLOOKUP(EN$72,INDIRECT($C$5&amp;"生成成长"),2))/((VLOOKUP($B216,INDIRECT($B$5&amp;"生成成长"),4))/(VLOOKUP(EN$72,INDIRECT($C$5&amp;"生成成长"),5))*(VLOOKUP($B$5,标准坦克设计!$B$24:$U$30,MATCH("对"&amp;LEFT($C$5,2)&amp;"输出",标准坦克设计!$B$23:$U$23,0)))*(VLOOKUP($B216,INDIRECT($B$5&amp;"生成成长"),3))*(VLOOKUP($B$5,标准坦克设计!$B$14:$K$20,9)/30))</f>
        <v>7.9520201201817908</v>
      </c>
      <c r="EO216" s="173">
        <f ca="1">(VLOOKUP(EO$72,INDIRECT($C$5&amp;"生成成长"),2))/((VLOOKUP($B216,INDIRECT($B$5&amp;"生成成长"),4))/(VLOOKUP(EO$72,INDIRECT($C$5&amp;"生成成长"),5))*(VLOOKUP($B$5,标准坦克设计!$B$24:$U$30,MATCH("对"&amp;LEFT($C$5,2)&amp;"输出",标准坦克设计!$B$23:$U$23,0)))*(VLOOKUP($B216,INDIRECT($B$5&amp;"生成成长"),3))*(VLOOKUP($B$5,标准坦克设计!$B$14:$K$20,9)/30))</f>
        <v>8.5082652365925675</v>
      </c>
      <c r="EP216" s="173">
        <f ca="1">(VLOOKUP(EP$72,INDIRECT($C$5&amp;"生成成长"),2))/((VLOOKUP($B216,INDIRECT($B$5&amp;"生成成长"),4))/(VLOOKUP(EP$72,INDIRECT($C$5&amp;"生成成长"),5))*(VLOOKUP($B$5,标准坦克设计!$B$24:$U$30,MATCH("对"&amp;LEFT($C$5,2)&amp;"输出",标准坦克设计!$B$23:$U$23,0)))*(VLOOKUP($B216,INDIRECT($B$5&amp;"生成成长"),3))*(VLOOKUP($B$5,标准坦克设计!$B$14:$K$20,9)/30))</f>
        <v>9.083313004825678</v>
      </c>
      <c r="EQ216" s="173">
        <f ca="1">(VLOOKUP(EQ$72,INDIRECT($C$5&amp;"生成成长"),2))/((VLOOKUP($B216,INDIRECT($B$5&amp;"生成成长"),4))/(VLOOKUP(EQ$72,INDIRECT($C$5&amp;"生成成长"),5))*(VLOOKUP($B$5,标准坦克设计!$B$24:$U$30,MATCH("对"&amp;LEFT($C$5,2)&amp;"输出",标准坦克设计!$B$23:$U$23,0)))*(VLOOKUP($B216,INDIRECT($B$5&amp;"生成成长"),3))*(VLOOKUP($B$5,标准坦克设计!$B$14:$K$20,9)/30))</f>
        <v>4.0154107558366583</v>
      </c>
      <c r="ER216" s="173">
        <f ca="1">(VLOOKUP(ER$72,INDIRECT($C$5&amp;"生成成长"),2))/((VLOOKUP($B216,INDIRECT($B$5&amp;"生成成长"),4))/(VLOOKUP(ER$72,INDIRECT($C$5&amp;"生成成长"),5))*(VLOOKUP($B$5,标准坦克设计!$B$24:$U$30,MATCH("对"&amp;LEFT($C$5,2)&amp;"输出",标准坦克设计!$B$23:$U$23,0)))*(VLOOKUP($B216,INDIRECT($B$5&amp;"生成成长"),3))*(VLOOKUP($B$5,标准坦克设计!$B$14:$K$20,9)/30))</f>
        <v>4.3795162739379379</v>
      </c>
      <c r="ES216" s="173">
        <f ca="1">(VLOOKUP(ES$72,INDIRECT($C$5&amp;"生成成长"),2))/((VLOOKUP($B216,INDIRECT($B$5&amp;"生成成长"),4))/(VLOOKUP(ES$72,INDIRECT($C$5&amp;"生成成长"),5))*(VLOOKUP($B$5,标准坦克设计!$B$24:$U$30,MATCH("对"&amp;LEFT($C$5,2)&amp;"输出",标准坦克设计!$B$23:$U$23,0)))*(VLOOKUP($B216,INDIRECT($B$5&amp;"生成成长"),3))*(VLOOKUP($B$5,标准坦克设计!$B$14:$K$20,9)/30))</f>
        <v>4.7594212425288189</v>
      </c>
      <c r="ET216" s="173">
        <f ca="1">(VLOOKUP(ET$72,INDIRECT($C$5&amp;"生成成长"),2))/((VLOOKUP($B216,INDIRECT($B$5&amp;"生成成长"),4))/(VLOOKUP(ET$72,INDIRECT($C$5&amp;"生成成长"),5))*(VLOOKUP($B$5,标准坦克设计!$B$24:$U$30,MATCH("对"&amp;LEFT($C$5,2)&amp;"输出",标准坦克设计!$B$23:$U$23,0)))*(VLOOKUP($B216,INDIRECT($B$5&amp;"生成成长"),3))*(VLOOKUP($B$5,标准坦克设计!$B$14:$K$20,9)/30))</f>
        <v>5.1551256616093006</v>
      </c>
      <c r="EU216" s="173">
        <f ca="1">(VLOOKUP(EU$72,INDIRECT($C$5&amp;"生成成长"),2))/((VLOOKUP($B216,INDIRECT($B$5&amp;"生成成长"),4))/(VLOOKUP(EU$72,INDIRECT($C$5&amp;"生成成长"),5))*(VLOOKUP($B$5,标准坦克设计!$B$24:$U$30,MATCH("对"&amp;LEFT($C$5,2)&amp;"输出",标准坦克设计!$B$23:$U$23,0)))*(VLOOKUP($B216,INDIRECT($B$5&amp;"生成成长"),3))*(VLOOKUP($B$5,标准坦克设计!$B$14:$K$20,9)/30))</f>
        <v>5.5666295311793839</v>
      </c>
      <c r="EV216" s="173">
        <f ca="1">(VLOOKUP(EV$72,INDIRECT($C$5&amp;"生成成长"),2))/((VLOOKUP($B216,INDIRECT($B$5&amp;"生成成长"),4))/(VLOOKUP(EV$72,INDIRECT($C$5&amp;"生成成长"),5))*(VLOOKUP($B$5,标准坦克设计!$B$24:$U$30,MATCH("对"&amp;LEFT($C$5,2)&amp;"输出",标准坦克设计!$B$23:$U$23,0)))*(VLOOKUP($B216,INDIRECT($B$5&amp;"生成成长"),3))*(VLOOKUP($B$5,标准坦克设计!$B$14:$K$20,9)/30))</f>
        <v>5.9939328512390713</v>
      </c>
      <c r="EW216" s="173">
        <f ca="1">(VLOOKUP(EW$72,INDIRECT($C$5&amp;"生成成长"),2))/((VLOOKUP($B216,INDIRECT($B$5&amp;"生成成长"),4))/(VLOOKUP(EW$72,INDIRECT($C$5&amp;"生成成长"),5))*(VLOOKUP($B$5,标准坦克设计!$B$24:$U$30,MATCH("对"&amp;LEFT($C$5,2)&amp;"输出",标准坦克设计!$B$23:$U$23,0)))*(VLOOKUP($B216,INDIRECT($B$5&amp;"生成成长"),3))*(VLOOKUP($B$5,标准坦克设计!$B$14:$K$20,9)/30))</f>
        <v>6.4370356217883575</v>
      </c>
      <c r="EX216" s="173">
        <f ca="1">(VLOOKUP(EX$72,INDIRECT($C$5&amp;"生成成长"),2))/((VLOOKUP($B216,INDIRECT($B$5&amp;"生成成长"),4))/(VLOOKUP(EX$72,INDIRECT($C$5&amp;"生成成长"),5))*(VLOOKUP($B$5,标准坦克设计!$B$24:$U$30,MATCH("对"&amp;LEFT($C$5,2)&amp;"输出",标准坦克设计!$B$23:$U$23,0)))*(VLOOKUP($B216,INDIRECT($B$5&amp;"生成成长"),3))*(VLOOKUP($B$5,标准坦克设计!$B$14:$K$20,9)/30))</f>
        <v>6.895937842827248</v>
      </c>
      <c r="EY216" s="173">
        <f ca="1">(VLOOKUP(EY$72,INDIRECT($C$5&amp;"生成成长"),2))/((VLOOKUP($B216,INDIRECT($B$5&amp;"生成成长"),4))/(VLOOKUP(EY$72,INDIRECT($C$5&amp;"生成成长"),5))*(VLOOKUP($B$5,标准坦克设计!$B$24:$U$30,MATCH("对"&amp;LEFT($C$5,2)&amp;"输出",标准坦克设计!$B$23:$U$23,0)))*(VLOOKUP($B216,INDIRECT($B$5&amp;"生成成长"),3))*(VLOOKUP($B$5,标准坦克设计!$B$14:$K$20,9)/30))</f>
        <v>7.3706395143557408</v>
      </c>
      <c r="EZ216" s="173">
        <f ca="1">(VLOOKUP(EZ$72,INDIRECT($C$5&amp;"生成成长"),2))/((VLOOKUP($B216,INDIRECT($B$5&amp;"生成成长"),4))/(VLOOKUP(EZ$72,INDIRECT($C$5&amp;"生成成长"),5))*(VLOOKUP($B$5,标准坦克设计!$B$24:$U$30,MATCH("对"&amp;LEFT($C$5,2)&amp;"输出",标准坦克设计!$B$23:$U$23,0)))*(VLOOKUP($B216,INDIRECT($B$5&amp;"生成成长"),3))*(VLOOKUP($B$5,标准坦克设计!$B$14:$K$20,9)/30))</f>
        <v>7.8611406363738334</v>
      </c>
      <c r="FA216" s="173">
        <f ca="1">(VLOOKUP(FA$72,INDIRECT($C$5&amp;"生成成长"),2))/((VLOOKUP($B216,INDIRECT($B$5&amp;"生成成长"),4))/(VLOOKUP(FA$72,INDIRECT($C$5&amp;"生成成长"),5))*(VLOOKUP($B$5,标准坦克设计!$B$24:$U$30,MATCH("对"&amp;LEFT($C$5,2)&amp;"输出",标准坦克设计!$B$23:$U$23,0)))*(VLOOKUP($B216,INDIRECT($B$5&amp;"生成成长"),3))*(VLOOKUP($B$5,标准坦克设计!$B$14:$K$20,9)/30))</f>
        <v>8.3674412088815302</v>
      </c>
      <c r="FB216" s="173">
        <f ca="1">(VLOOKUP(FB$72,INDIRECT($C$5&amp;"生成成长"),2))/((VLOOKUP($B216,INDIRECT($B$5&amp;"生成成长"),4))/(VLOOKUP(FB$72,INDIRECT($C$5&amp;"生成成长"),5))*(VLOOKUP($B$5,标准坦克设计!$B$24:$U$30,MATCH("对"&amp;LEFT($C$5,2)&amp;"输出",标准坦克设计!$B$23:$U$23,0)))*(VLOOKUP($B216,INDIRECT($B$5&amp;"生成成长"),3))*(VLOOKUP($B$5,标准坦克设计!$B$14:$K$20,9)/30))</f>
        <v>8.8895412318788267</v>
      </c>
      <c r="FC216" s="173">
        <f ca="1">(VLOOKUP(FC$72,INDIRECT($C$5&amp;"生成成长"),2))/((VLOOKUP($B216,INDIRECT($B$5&amp;"生成成长"),4))/(VLOOKUP(FC$72,INDIRECT($C$5&amp;"生成成长"),5))*(VLOOKUP($B$5,标准坦克设计!$B$24:$U$30,MATCH("对"&amp;LEFT($C$5,2)&amp;"输出",标准坦克设计!$B$23:$U$23,0)))*(VLOOKUP($B216,INDIRECT($B$5&amp;"生成成长"),3))*(VLOOKUP($B$5,标准坦克设计!$B$14:$K$20,9)/30))</f>
        <v>9.4274407053657256</v>
      </c>
      <c r="FD216" s="173">
        <f ca="1">(VLOOKUP(FD$72,INDIRECT($C$5&amp;"生成成长"),2))/((VLOOKUP($B216,INDIRECT($B$5&amp;"生成成长"),4))/(VLOOKUP(FD$72,INDIRECT($C$5&amp;"生成成长"),5))*(VLOOKUP($B$5,标准坦克设计!$B$24:$U$30,MATCH("对"&amp;LEFT($C$5,2)&amp;"输出",标准坦克设计!$B$23:$U$23,0)))*(VLOOKUP($B216,INDIRECT($B$5&amp;"生成成长"),3))*(VLOOKUP($B$5,标准坦克设计!$B$14:$K$20,9)/30))</f>
        <v>9.981139629342227</v>
      </c>
      <c r="FE216" s="173">
        <f ca="1">(VLOOKUP(FE$72,INDIRECT($C$5&amp;"生成成长"),2))/((VLOOKUP($B216,INDIRECT($B$5&amp;"生成成长"),4))/(VLOOKUP(FE$72,INDIRECT($C$5&amp;"生成成长"),5))*(VLOOKUP($B$5,标准坦克设计!$B$24:$U$30,MATCH("对"&amp;LEFT($C$5,2)&amp;"输出",标准坦克设计!$B$23:$U$23,0)))*(VLOOKUP($B216,INDIRECT($B$5&amp;"生成成长"),3))*(VLOOKUP($B$5,标准坦克设计!$B$14:$K$20,9)/30))</f>
        <v>10.655880624425016</v>
      </c>
      <c r="FF216" s="173">
        <f ca="1">(VLOOKUP(FF$72,INDIRECT($C$5&amp;"生成成长"),2))/((VLOOKUP($B216,INDIRECT($B$5&amp;"生成成长"),4))/(VLOOKUP(FF$72,INDIRECT($C$5&amp;"生成成长"),5))*(VLOOKUP($B$5,标准坦克设计!$B$24:$U$30,MATCH("对"&amp;LEFT($C$5,2)&amp;"输出",标准坦克设计!$B$23:$U$23,0)))*(VLOOKUP($B216,INDIRECT($B$5&amp;"生成成长"),3))*(VLOOKUP($B$5,标准坦克设计!$B$14:$K$20,9)/30))</f>
        <v>11.352688620604852</v>
      </c>
      <c r="FG216" s="173">
        <f ca="1">(VLOOKUP(FG$72,INDIRECT($C$5&amp;"生成成长"),2))/((VLOOKUP($B216,INDIRECT($B$5&amp;"生成成长"),4))/(VLOOKUP(FG$72,INDIRECT($C$5&amp;"生成成长"),5))*(VLOOKUP($B$5,标准坦克设计!$B$24:$U$30,MATCH("对"&amp;LEFT($C$5,2)&amp;"输出",标准坦克设计!$B$23:$U$23,0)))*(VLOOKUP($B216,INDIRECT($B$5&amp;"生成成长"),3))*(VLOOKUP($B$5,标准坦克设计!$B$14:$K$20,9)/30))</f>
        <v>12.071563617881736</v>
      </c>
      <c r="FH216" s="173">
        <f ca="1">(VLOOKUP(FH$72,INDIRECT($C$5&amp;"生成成长"),2))/((VLOOKUP($B216,INDIRECT($B$5&amp;"生成成长"),4))/(VLOOKUP(FH$72,INDIRECT($C$5&amp;"生成成长"),5))*(VLOOKUP($B$5,标准坦克设计!$B$24:$U$30,MATCH("对"&amp;LEFT($C$5,2)&amp;"输出",标准坦克设计!$B$23:$U$23,0)))*(VLOOKUP($B216,INDIRECT($B$5&amp;"生成成长"),3))*(VLOOKUP($B$5,标准坦克设计!$B$14:$K$20,9)/30))</f>
        <v>12.812505616255669</v>
      </c>
      <c r="FI216" s="173">
        <f ca="1">(VLOOKUP(FI$72,INDIRECT($C$5&amp;"生成成长"),2))/((VLOOKUP($B216,INDIRECT($B$5&amp;"生成成长"),4))/(VLOOKUP(FI$72,INDIRECT($C$5&amp;"生成成长"),5))*(VLOOKUP($B$5,标准坦克设计!$B$24:$U$30,MATCH("对"&amp;LEFT($C$5,2)&amp;"输出",标准坦克设计!$B$23:$U$23,0)))*(VLOOKUP($B216,INDIRECT($B$5&amp;"生成成长"),3))*(VLOOKUP($B$5,标准坦克设计!$B$14:$K$20,9)/30))</f>
        <v>13.575514615726645</v>
      </c>
      <c r="FJ216" s="173">
        <f ca="1">(VLOOKUP(FJ$72,INDIRECT($C$5&amp;"生成成长"),2))/((VLOOKUP($B216,INDIRECT($B$5&amp;"生成成长"),4))/(VLOOKUP(FJ$72,INDIRECT($C$5&amp;"生成成长"),5))*(VLOOKUP($B$5,标准坦克设计!$B$24:$U$30,MATCH("对"&amp;LEFT($C$5,2)&amp;"输出",标准坦克设计!$B$23:$U$23,0)))*(VLOOKUP($B216,INDIRECT($B$5&amp;"生成成长"),3))*(VLOOKUP($B$5,标准坦克设计!$B$14:$K$20,9)/30))</f>
        <v>14.360590616294671</v>
      </c>
      <c r="FK216" s="173">
        <f ca="1">(VLOOKUP(FK$72,INDIRECT($C$5&amp;"生成成长"),2))/((VLOOKUP($B216,INDIRECT($B$5&amp;"生成成长"),4))/(VLOOKUP(FK$72,INDIRECT($C$5&amp;"生成成长"),5))*(VLOOKUP($B$5,标准坦克设计!$B$24:$U$30,MATCH("对"&amp;LEFT($C$5,2)&amp;"输出",标准坦克设计!$B$23:$U$23,0)))*(VLOOKUP($B216,INDIRECT($B$5&amp;"生成成长"),3))*(VLOOKUP($B$5,标准坦克设计!$B$14:$K$20,9)/30))</f>
        <v>15.167733617959742</v>
      </c>
    </row>
    <row r="217" spans="1:167" x14ac:dyDescent="0.15">
      <c r="A217" s="171" t="str">
        <f t="shared" si="13"/>
        <v>T5高品质1级</v>
      </c>
      <c r="B217" s="172">
        <v>30501</v>
      </c>
      <c r="C217" s="173">
        <f ca="1">(VLOOKUP(C$72,INDIRECT($C$5&amp;"生成成长"),2))/((VLOOKUP($B217,INDIRECT($B$5&amp;"生成成长"),4))/(VLOOKUP(C$72,INDIRECT($C$5&amp;"生成成长"),5))*(VLOOKUP($B$5,标准坦克设计!$B$24:$U$30,MATCH("对"&amp;LEFT($C$5,2)&amp;"输出",标准坦克设计!$B$23:$U$23,0)))*(VLOOKUP($B217,INDIRECT($B$5&amp;"生成成长"),3))*(VLOOKUP($B$5,标准坦克设计!$B$14:$K$20,9)/30))</f>
        <v>1.472905983226511</v>
      </c>
      <c r="D217" s="173">
        <f ca="1">(VLOOKUP(D$72,INDIRECT($C$5&amp;"生成成长"),2))/((VLOOKUP($B217,INDIRECT($B$5&amp;"生成成长"),4))/(VLOOKUP(D$72,INDIRECT($C$5&amp;"生成成长"),5))*(VLOOKUP($B$5,标准坦克设计!$B$24:$U$30,MATCH("对"&amp;LEFT($C$5,2)&amp;"输出",标准坦克设计!$B$23:$U$23,0)))*(VLOOKUP($B217,INDIRECT($B$5&amp;"生成成长"),3))*(VLOOKUP($B$5,标准坦克设计!$B$14:$K$20,9)/30))</f>
        <v>1.654957162753308</v>
      </c>
      <c r="E217" s="173">
        <f ca="1">(VLOOKUP(E$72,INDIRECT($C$5&amp;"生成成长"),2))/((VLOOKUP($B217,INDIRECT($B$5&amp;"生成成长"),4))/(VLOOKUP(E$72,INDIRECT($C$5&amp;"生成成长"),5))*(VLOOKUP($B$5,标准坦克设计!$B$24:$U$30,MATCH("对"&amp;LEFT($C$5,2)&amp;"输出",标准坦克设计!$B$23:$U$23,0)))*(VLOOKUP($B217,INDIRECT($B$5&amp;"生成成长"),3))*(VLOOKUP($B$5,标准坦克设计!$B$14:$K$20,9)/30))</f>
        <v>1.8476132653593351</v>
      </c>
      <c r="F217" s="173">
        <f ca="1">(VLOOKUP(F$72,INDIRECT($C$5&amp;"生成成长"),2))/((VLOOKUP($B217,INDIRECT($B$5&amp;"生成成长"),4))/(VLOOKUP(F$72,INDIRECT($C$5&amp;"生成成长"),5))*(VLOOKUP($B$5,标准坦克设计!$B$24:$U$30,MATCH("对"&amp;LEFT($C$5,2)&amp;"输出",标准坦克设计!$B$23:$U$23,0)))*(VLOOKUP($B217,INDIRECT($B$5&amp;"生成成长"),3))*(VLOOKUP($B$5,标准坦克设计!$B$14:$K$20,9)/30))</f>
        <v>2.0508742910445941</v>
      </c>
      <c r="G217" s="173">
        <f ca="1">(VLOOKUP(G$72,INDIRECT($C$5&amp;"生成成长"),2))/((VLOOKUP($B217,INDIRECT($B$5&amp;"生成成长"),4))/(VLOOKUP(G$72,INDIRECT($C$5&amp;"生成成长"),5))*(VLOOKUP($B$5,标准坦克设计!$B$24:$U$30,MATCH("对"&amp;LEFT($C$5,2)&amp;"输出",标准坦克设计!$B$23:$U$23,0)))*(VLOOKUP($B217,INDIRECT($B$5&amp;"生成成长"),3))*(VLOOKUP($B$5,标准坦克设计!$B$14:$K$20,9)/30))</f>
        <v>2.2647402398090839</v>
      </c>
      <c r="H217" s="173">
        <f ca="1">(VLOOKUP(H$72,INDIRECT($C$5&amp;"生成成长"),2))/((VLOOKUP($B217,INDIRECT($B$5&amp;"生成成长"),4))/(VLOOKUP(H$72,INDIRECT($C$5&amp;"生成成长"),5))*(VLOOKUP($B$5,标准坦克设计!$B$24:$U$30,MATCH("对"&amp;LEFT($C$5,2)&amp;"输出",标准坦克设计!$B$23:$U$23,0)))*(VLOOKUP($B217,INDIRECT($B$5&amp;"生成成长"),3))*(VLOOKUP($B$5,标准坦克设计!$B$14:$K$20,9)/30))</f>
        <v>1.9819422910295932</v>
      </c>
      <c r="I217" s="173">
        <f ca="1">(VLOOKUP(I$72,INDIRECT($C$5&amp;"生成成长"),2))/((VLOOKUP($B217,INDIRECT($B$5&amp;"生成成长"),4))/(VLOOKUP(I$72,INDIRECT($C$5&amp;"生成成长"),5))*(VLOOKUP($B$5,标准坦克设计!$B$24:$U$30,MATCH("对"&amp;LEFT($C$5,2)&amp;"输出",标准坦克设计!$B$23:$U$23,0)))*(VLOOKUP($B217,INDIRECT($B$5&amp;"生成成长"),3))*(VLOOKUP($B$5,标准坦克设计!$B$14:$K$20,9)/30))</f>
        <v>2.2647402398090839</v>
      </c>
      <c r="J217" s="173">
        <f ca="1">(VLOOKUP(J$72,INDIRECT($C$5&amp;"生成成长"),2))/((VLOOKUP($B217,INDIRECT($B$5&amp;"生成成长"),4))/(VLOOKUP(J$72,INDIRECT($C$5&amp;"生成成长"),5))*(VLOOKUP($B$5,标准坦克设计!$B$24:$U$30,MATCH("对"&amp;LEFT($C$5,2)&amp;"输出",标准坦克设计!$B$23:$U$23,0)))*(VLOOKUP($B217,INDIRECT($B$5&amp;"生成成长"),3))*(VLOOKUP($B$5,标准坦克设计!$B$14:$K$20,9)/30))</f>
        <v>2.5663913851738727</v>
      </c>
      <c r="K217" s="173">
        <f ca="1">(VLOOKUP(K$72,INDIRECT($C$5&amp;"生成成长"),2))/((VLOOKUP($B217,INDIRECT($B$5&amp;"生成成长"),4))/(VLOOKUP(K$72,INDIRECT($C$5&amp;"生成成长"),5))*(VLOOKUP($B$5,标准坦克设计!$B$24:$U$30,MATCH("对"&amp;LEFT($C$5,2)&amp;"输出",标准坦克设计!$B$23:$U$23,0)))*(VLOOKUP($B217,INDIRECT($B$5&amp;"生成成长"),3))*(VLOOKUP($B$5,标准坦克设计!$B$14:$K$20,9)/30))</f>
        <v>2.8868957271239619</v>
      </c>
      <c r="L217" s="173">
        <f ca="1">(VLOOKUP(L$72,INDIRECT($C$5&amp;"生成成长"),2))/((VLOOKUP($B217,INDIRECT($B$5&amp;"生成成长"),4))/(VLOOKUP(L$72,INDIRECT($C$5&amp;"生成成长"),5))*(VLOOKUP($B$5,标准坦克设计!$B$24:$U$30,MATCH("对"&amp;LEFT($C$5,2)&amp;"输出",标准坦克设计!$B$23:$U$23,0)))*(VLOOKUP($B217,INDIRECT($B$5&amp;"生成成长"),3))*(VLOOKUP($B$5,标准坦克设计!$B$14:$K$20,9)/30))</f>
        <v>3.2262532656593494</v>
      </c>
      <c r="M217" s="173">
        <f ca="1">(VLOOKUP(M$72,INDIRECT($C$5&amp;"生成成长"),2))/((VLOOKUP($B217,INDIRECT($B$5&amp;"生成成长"),4))/(VLOOKUP(M$72,INDIRECT($C$5&amp;"生成成长"),5))*(VLOOKUP($B$5,标准坦克设计!$B$24:$U$30,MATCH("对"&amp;LEFT($C$5,2)&amp;"输出",标准坦克设计!$B$23:$U$23,0)))*(VLOOKUP($B217,INDIRECT($B$5&amp;"生成成长"),3))*(VLOOKUP($B$5,标准坦克设计!$B$14:$K$20,9)/30))</f>
        <v>3.5844640007800379</v>
      </c>
      <c r="N217" s="173">
        <f ca="1">(VLOOKUP(N$72,INDIRECT($C$5&amp;"生成成长"),2))/((VLOOKUP($B217,INDIRECT($B$5&amp;"生成成长"),4))/(VLOOKUP(N$72,INDIRECT($C$5&amp;"生成成长"),5))*(VLOOKUP($B$5,标准坦克设计!$B$24:$U$30,MATCH("对"&amp;LEFT($C$5,2)&amp;"输出",标准坦克设计!$B$23:$U$23,0)))*(VLOOKUP($B217,INDIRECT($B$5&amp;"生成成长"),3))*(VLOOKUP($B$5,标准坦克设计!$B$14:$K$20,9)/30))</f>
        <v>3.9615279324860246</v>
      </c>
      <c r="O217" s="173">
        <f ca="1">(VLOOKUP(O$72,INDIRECT($C$5&amp;"生成成长"),2))/((VLOOKUP($B217,INDIRECT($B$5&amp;"生成成长"),4))/(VLOOKUP(O$72,INDIRECT($C$5&amp;"生成成长"),5))*(VLOOKUP($B$5,标准坦克设计!$B$24:$U$30,MATCH("对"&amp;LEFT($C$5,2)&amp;"输出",标准坦克设计!$B$23:$U$23,0)))*(VLOOKUP($B217,INDIRECT($B$5&amp;"生成成长"),3))*(VLOOKUP($B$5,标准坦克设计!$B$14:$K$20,9)/30))</f>
        <v>3.0119454450998928</v>
      </c>
      <c r="P217" s="173">
        <f ca="1">(VLOOKUP(P$72,INDIRECT($C$5&amp;"生成成长"),2))/((VLOOKUP($B217,INDIRECT($B$5&amp;"生成成长"),4))/(VLOOKUP(P$72,INDIRECT($C$5&amp;"生成成长"),5))*(VLOOKUP($B$5,标准坦克设计!$B$24:$U$30,MATCH("对"&amp;LEFT($C$5,2)&amp;"输出",标准坦克设计!$B$23:$U$23,0)))*(VLOOKUP($B217,INDIRECT($B$5&amp;"生成成长"),3))*(VLOOKUP($B$5,标准坦克设计!$B$14:$K$20,9)/30))</f>
        <v>3.4030019836465311</v>
      </c>
      <c r="Q217" s="173">
        <f ca="1">(VLOOKUP(Q$72,INDIRECT($C$5&amp;"生成成长"),2))/((VLOOKUP($B217,INDIRECT($B$5&amp;"生成成长"),4))/(VLOOKUP(Q$72,INDIRECT($C$5&amp;"生成成长"),5))*(VLOOKUP($B$5,标准坦克设计!$B$24:$U$30,MATCH("对"&amp;LEFT($C$5,2)&amp;"输出",标准坦克设计!$B$23:$U$23,0)))*(VLOOKUP($B217,INDIRECT($B$5&amp;"生成成长"),3))*(VLOOKUP($B$5,标准坦克设计!$B$14:$K$20,9)/30))</f>
        <v>3.8179195991214399</v>
      </c>
      <c r="R217" s="173">
        <f ca="1">(VLOOKUP(R$72,INDIRECT($C$5&amp;"生成成长"),2))/((VLOOKUP($B217,INDIRECT($B$5&amp;"生成成长"),4))/(VLOOKUP(R$72,INDIRECT($C$5&amp;"生成成长"),5))*(VLOOKUP($B$5,标准坦克设计!$B$24:$U$30,MATCH("对"&amp;LEFT($C$5,2)&amp;"输出",标准坦克设计!$B$23:$U$23,0)))*(VLOOKUP($B217,INDIRECT($B$5&amp;"生成成长"),3))*(VLOOKUP($B$5,标准坦克设计!$B$14:$K$20,9)/30))</f>
        <v>4.256698291524617</v>
      </c>
      <c r="S217" s="173">
        <f ca="1">(VLOOKUP(S$72,INDIRECT($C$5&amp;"生成成长"),2))/((VLOOKUP($B217,INDIRECT($B$5&amp;"生成成长"),4))/(VLOOKUP(S$72,INDIRECT($C$5&amp;"生成成长"),5))*(VLOOKUP($B$5,标准坦克设计!$B$24:$U$30,MATCH("对"&amp;LEFT($C$5,2)&amp;"输出",标准坦克设计!$B$23:$U$23,0)))*(VLOOKUP($B217,INDIRECT($B$5&amp;"生成成长"),3))*(VLOOKUP($B$5,标准坦克设计!$B$14:$K$20,9)/30))</f>
        <v>4.7193380608560638</v>
      </c>
      <c r="T217" s="173">
        <f ca="1">(VLOOKUP(T$72,INDIRECT($C$5&amp;"生成成长"),2))/((VLOOKUP($B217,INDIRECT($B$5&amp;"生成成长"),4))/(VLOOKUP(T$72,INDIRECT($C$5&amp;"生成成长"),5))*(VLOOKUP($B$5,标准坦克设计!$B$24:$U$30,MATCH("对"&amp;LEFT($C$5,2)&amp;"输出",标准坦克设计!$B$23:$U$23,0)))*(VLOOKUP($B217,INDIRECT($B$5&amp;"生成成长"),3))*(VLOOKUP($B$5,标准坦克设计!$B$14:$K$20,9)/30))</f>
        <v>5.2058389071157816</v>
      </c>
      <c r="U217" s="173">
        <f ca="1">(VLOOKUP(U$72,INDIRECT($C$5&amp;"生成成长"),2))/((VLOOKUP($B217,INDIRECT($B$5&amp;"生成成长"),4))/(VLOOKUP(U$72,INDIRECT($C$5&amp;"生成成长"),5))*(VLOOKUP($B$5,标准坦克设计!$B$24:$U$30,MATCH("对"&amp;LEFT($C$5,2)&amp;"输出",标准坦克设计!$B$23:$U$23,0)))*(VLOOKUP($B217,INDIRECT($B$5&amp;"生成成长"),3))*(VLOOKUP($B$5,标准坦克设计!$B$14:$K$20,9)/30))</f>
        <v>5.7162008303037668</v>
      </c>
      <c r="V217" s="173">
        <f ca="1">(VLOOKUP(V$72,INDIRECT($C$5&amp;"生成成长"),2))/((VLOOKUP($B217,INDIRECT($B$5&amp;"生成成长"),4))/(VLOOKUP(V$72,INDIRECT($C$5&amp;"生成成长"),5))*(VLOOKUP($B$5,标准坦克设计!$B$24:$U$30,MATCH("对"&amp;LEFT($C$5,2)&amp;"输出",标准坦克设计!$B$23:$U$23,0)))*(VLOOKUP($B217,INDIRECT($B$5&amp;"生成成长"),3))*(VLOOKUP($B$5,标准坦克设计!$B$14:$K$20,9)/30))</f>
        <v>6.250423830420023</v>
      </c>
      <c r="W217" s="173">
        <f ca="1">(VLOOKUP(W$72,INDIRECT($C$5&amp;"生成成长"),2))/((VLOOKUP($B217,INDIRECT($B$5&amp;"生成成长"),4))/(VLOOKUP(W$72,INDIRECT($C$5&amp;"生成成长"),5))*(VLOOKUP($B$5,标准坦克设计!$B$24:$U$30,MATCH("对"&amp;LEFT($C$5,2)&amp;"输出",标准坦克设计!$B$23:$U$23,0)))*(VLOOKUP($B217,INDIRECT($B$5&amp;"生成成长"),3))*(VLOOKUP($B$5,标准坦克设计!$B$14:$K$20,9)/30))</f>
        <v>6.8085079074645467</v>
      </c>
      <c r="X217" s="173">
        <f ca="1">(VLOOKUP(X$72,INDIRECT($C$5&amp;"生成成长"),2))/((VLOOKUP($B217,INDIRECT($B$5&amp;"生成成长"),4))/(VLOOKUP(X$72,INDIRECT($C$5&amp;"生成成长"),5))*(VLOOKUP($B$5,标准坦克设计!$B$24:$U$30,MATCH("对"&amp;LEFT($C$5,2)&amp;"输出",标准坦克设计!$B$23:$U$23,0)))*(VLOOKUP($B217,INDIRECT($B$5&amp;"生成成长"),3))*(VLOOKUP($B$5,标准坦克设计!$B$14:$K$20,9)/30))</f>
        <v>4.9326148472272626</v>
      </c>
      <c r="Y217" s="173">
        <f ca="1">(VLOOKUP(Y$72,INDIRECT($C$5&amp;"生成成长"),2))/((VLOOKUP($B217,INDIRECT($B$5&amp;"生成成长"),4))/(VLOOKUP(Y$72,INDIRECT($C$5&amp;"生成成长"),5))*(VLOOKUP($B$5,标准坦克设计!$B$24:$U$30,MATCH("对"&amp;LEFT($C$5,2)&amp;"输出",标准坦克设计!$B$23:$U$23,0)))*(VLOOKUP($B217,INDIRECT($B$5&amp;"生成成长"),3))*(VLOOKUP($B$5,标准坦克设计!$B$14:$K$20,9)/30))</f>
        <v>5.486427496920431</v>
      </c>
      <c r="Z217" s="173">
        <f ca="1">(VLOOKUP(Z$72,INDIRECT($C$5&amp;"生成成长"),2))/((VLOOKUP($B217,INDIRECT($B$5&amp;"生成成长"),4))/(VLOOKUP(Z$72,INDIRECT($C$5&amp;"生成成长"),5))*(VLOOKUP($B$5,标准坦克设计!$B$24:$U$30,MATCH("对"&amp;LEFT($C$5,2)&amp;"输出",标准坦克设计!$B$23:$U$23,0)))*(VLOOKUP($B217,INDIRECT($B$5&amp;"生成成长"),3))*(VLOOKUP($B$5,标准坦克设计!$B$14:$K$20,9)/30))</f>
        <v>6.0696982662781291</v>
      </c>
      <c r="AA217" s="173">
        <f ca="1">(VLOOKUP(AA$72,INDIRECT($C$5&amp;"生成成长"),2))/((VLOOKUP($B217,INDIRECT($B$5&amp;"生成成长"),4))/(VLOOKUP(AA$72,INDIRECT($C$5&amp;"生成成长"),5))*(VLOOKUP($B$5,标准坦克设计!$B$24:$U$30,MATCH("对"&amp;LEFT($C$5,2)&amp;"输出",标准坦克设计!$B$23:$U$23,0)))*(VLOOKUP($B217,INDIRECT($B$5&amp;"生成成长"),3))*(VLOOKUP($B$5,标准坦克设计!$B$14:$K$20,9)/30))</f>
        <v>6.6824271553003589</v>
      </c>
      <c r="AB217" s="173">
        <f ca="1">(VLOOKUP(AB$72,INDIRECT($C$5&amp;"生成成长"),2))/((VLOOKUP($B217,INDIRECT($B$5&amp;"生成成长"),4))/(VLOOKUP(AB$72,INDIRECT($C$5&amp;"生成成长"),5))*(VLOOKUP($B$5,标准坦克设计!$B$24:$U$30,MATCH("对"&amp;LEFT($C$5,2)&amp;"输出",标准坦克设计!$B$23:$U$23,0)))*(VLOOKUP($B217,INDIRECT($B$5&amp;"生成成长"),3))*(VLOOKUP($B$5,标准坦克设计!$B$14:$K$20,9)/30))</f>
        <v>7.3246141639871158</v>
      </c>
      <c r="AC217" s="173">
        <f ca="1">(VLOOKUP(AC$72,INDIRECT($C$5&amp;"生成成长"),2))/((VLOOKUP($B217,INDIRECT($B$5&amp;"生成成长"),4))/(VLOOKUP(AC$72,INDIRECT($C$5&amp;"生成成长"),5))*(VLOOKUP($B$5,标准坦克设计!$B$24:$U$30,MATCH("对"&amp;LEFT($C$5,2)&amp;"输出",标准坦克设计!$B$23:$U$23,0)))*(VLOOKUP($B217,INDIRECT($B$5&amp;"生成成长"),3))*(VLOOKUP($B$5,标准坦克设计!$B$14:$K$20,9)/30))</f>
        <v>7.9962592923384062</v>
      </c>
      <c r="AD217" s="173">
        <f ca="1">(VLOOKUP(AD$72,INDIRECT($C$5&amp;"生成成长"),2))/((VLOOKUP($B217,INDIRECT($B$5&amp;"生成成长"),4))/(VLOOKUP(AD$72,INDIRECT($C$5&amp;"生成成长"),5))*(VLOOKUP($B$5,标准坦克设计!$B$24:$U$30,MATCH("对"&amp;LEFT($C$5,2)&amp;"输出",标准坦克设计!$B$23:$U$23,0)))*(VLOOKUP($B217,INDIRECT($B$5&amp;"生成成长"),3))*(VLOOKUP($B$5,标准坦克设计!$B$14:$K$20,9)/30))</f>
        <v>8.6973625403542272</v>
      </c>
      <c r="AE217" s="173">
        <f ca="1">(VLOOKUP(AE$72,INDIRECT($C$5&amp;"生成成长"),2))/((VLOOKUP($B217,INDIRECT($B$5&amp;"生成成长"),4))/(VLOOKUP(AE$72,INDIRECT($C$5&amp;"生成成长"),5))*(VLOOKUP($B$5,标准坦克设计!$B$24:$U$30,MATCH("对"&amp;LEFT($C$5,2)&amp;"输出",标准坦克设计!$B$23:$U$23,0)))*(VLOOKUP($B217,INDIRECT($B$5&amp;"生成成长"),3))*(VLOOKUP($B$5,标准坦克设计!$B$14:$K$20,9)/30))</f>
        <v>9.4279239080345754</v>
      </c>
      <c r="AF217" s="173">
        <f ca="1">(VLOOKUP(AF$72,INDIRECT($C$5&amp;"生成成长"),2))/((VLOOKUP($B217,INDIRECT($B$5&amp;"生成成长"),4))/(VLOOKUP(AF$72,INDIRECT($C$5&amp;"生成成长"),5))*(VLOOKUP($B$5,标准坦克设计!$B$24:$U$30,MATCH("对"&amp;LEFT($C$5,2)&amp;"输出",标准坦克设计!$B$23:$U$23,0)))*(VLOOKUP($B217,INDIRECT($B$5&amp;"生成成长"),3))*(VLOOKUP($B$5,标准坦克设计!$B$14:$K$20,9)/30))</f>
        <v>10.187943395379454</v>
      </c>
      <c r="AG217" s="173">
        <f ca="1">(VLOOKUP(AG$72,INDIRECT($C$5&amp;"生成成长"),2))/((VLOOKUP($B217,INDIRECT($B$5&amp;"生成成长"),4))/(VLOOKUP(AG$72,INDIRECT($C$5&amp;"生成成长"),5))*(VLOOKUP($B$5,标准坦克设计!$B$24:$U$30,MATCH("对"&amp;LEFT($C$5,2)&amp;"输出",标准坦克设计!$B$23:$U$23,0)))*(VLOOKUP($B217,INDIRECT($B$5&amp;"生成成长"),3))*(VLOOKUP($B$5,标准坦克设计!$B$14:$K$20,9)/30))</f>
        <v>10.977421002388864</v>
      </c>
      <c r="AH217" s="173">
        <f ca="1">(VLOOKUP(AH$72,INDIRECT($C$5&amp;"生成成长"),2))/((VLOOKUP($B217,INDIRECT($B$5&amp;"生成成长"),4))/(VLOOKUP(AH$72,INDIRECT($C$5&amp;"生成成长"),5))*(VLOOKUP($B$5,标准坦克设计!$B$24:$U$30,MATCH("对"&amp;LEFT($C$5,2)&amp;"输出",标准坦克设计!$B$23:$U$23,0)))*(VLOOKUP($B217,INDIRECT($B$5&amp;"生成成长"),3))*(VLOOKUP($B$5,标准坦克设计!$B$14:$K$20,9)/30))</f>
        <v>11.796356729062804</v>
      </c>
      <c r="AI217" s="173">
        <f ca="1">(VLOOKUP(AI$72,INDIRECT($C$5&amp;"生成成长"),2))/((VLOOKUP($B217,INDIRECT($B$5&amp;"生成成长"),4))/(VLOOKUP(AI$72,INDIRECT($C$5&amp;"生成成长"),5))*(VLOOKUP($B$5,标准坦克设计!$B$24:$U$30,MATCH("对"&amp;LEFT($C$5,2)&amp;"输出",标准坦克设计!$B$23:$U$23,0)))*(VLOOKUP($B217,INDIRECT($B$5&amp;"生成成长"),3))*(VLOOKUP($B$5,标准坦克设计!$B$14:$K$20,9)/30))</f>
        <v>8.3431286513882501</v>
      </c>
      <c r="AJ217" s="173">
        <f ca="1">(VLOOKUP(AJ$72,INDIRECT($C$5&amp;"生成成长"),2))/((VLOOKUP($B217,INDIRECT($B$5&amp;"生成成长"),4))/(VLOOKUP(AJ$72,INDIRECT($C$5&amp;"生成成长"),5))*(VLOOKUP($B$5,标准坦克设计!$B$24:$U$30,MATCH("对"&amp;LEFT($C$5,2)&amp;"输出",标准坦克设计!$B$23:$U$23,0)))*(VLOOKUP($B217,INDIRECT($B$5&amp;"生成成长"),3))*(VLOOKUP($B$5,标准坦克设计!$B$14:$K$20,9)/30))</f>
        <v>9.1321643866026907</v>
      </c>
      <c r="AK217" s="173">
        <f ca="1">(VLOOKUP(AK$72,INDIRECT($C$5&amp;"生成成长"),2))/((VLOOKUP($B217,INDIRECT($B$5&amp;"生成成长"),4))/(VLOOKUP(AK$72,INDIRECT($C$5&amp;"生成成长"),5))*(VLOOKUP($B$5,标准坦克设计!$B$24:$U$30,MATCH("对"&amp;LEFT($C$5,2)&amp;"输出",标准坦克设计!$B$23:$U$23,0)))*(VLOOKUP($B217,INDIRECT($B$5&amp;"生成成长"),3))*(VLOOKUP($B$5,标准坦克设计!$B$14:$K$20,9)/30))</f>
        <v>9.9568444466112158</v>
      </c>
      <c r="AL217" s="173">
        <f ca="1">(VLOOKUP(AL$72,INDIRECT($C$5&amp;"生成成长"),2))/((VLOOKUP($B217,INDIRECT($B$5&amp;"生成成长"),4))/(VLOOKUP(AL$72,INDIRECT($C$5&amp;"生成成长"),5))*(VLOOKUP($B$5,标准坦克设计!$B$24:$U$30,MATCH("对"&amp;LEFT($C$5,2)&amp;"输出",标准坦克设计!$B$23:$U$23,0)))*(VLOOKUP($B217,INDIRECT($B$5&amp;"生成成长"),3))*(VLOOKUP($B$5,标准坦克设计!$B$14:$K$20,9)/30))</f>
        <v>10.817168831413818</v>
      </c>
      <c r="AM217" s="173">
        <f ca="1">(VLOOKUP(AM$72,INDIRECT($C$5&amp;"生成成长"),2))/((VLOOKUP($B217,INDIRECT($B$5&amp;"生成成长"),4))/(VLOOKUP(AM$72,INDIRECT($C$5&amp;"生成成长"),5))*(VLOOKUP($B$5,标准坦克设计!$B$24:$U$30,MATCH("对"&amp;LEFT($C$5,2)&amp;"输出",标准坦克设计!$B$23:$U$23,0)))*(VLOOKUP($B217,INDIRECT($B$5&amp;"生成成长"),3))*(VLOOKUP($B$5,标准坦克设计!$B$14:$K$20,9)/30))</f>
        <v>11.713137541010505</v>
      </c>
      <c r="AN217" s="173">
        <f ca="1">(VLOOKUP(AN$72,INDIRECT($C$5&amp;"生成成长"),2))/((VLOOKUP($B217,INDIRECT($B$5&amp;"生成成长"),4))/(VLOOKUP(AN$72,INDIRECT($C$5&amp;"生成成长"),5))*(VLOOKUP($B$5,标准坦克设计!$B$24:$U$30,MATCH("对"&amp;LEFT($C$5,2)&amp;"输出",标准坦克设计!$B$23:$U$23,0)))*(VLOOKUP($B217,INDIRECT($B$5&amp;"生成成长"),3))*(VLOOKUP($B$5,标准坦克设计!$B$14:$K$20,9)/30))</f>
        <v>12.644750575401275</v>
      </c>
      <c r="AO217" s="173">
        <f ca="1">(VLOOKUP(AO$72,INDIRECT($C$5&amp;"生成成长"),2))/((VLOOKUP($B217,INDIRECT($B$5&amp;"生成成长"),4))/(VLOOKUP(AO$72,INDIRECT($C$5&amp;"生成成长"),5))*(VLOOKUP($B$5,标准坦克设计!$B$24:$U$30,MATCH("对"&amp;LEFT($C$5,2)&amp;"输出",标准坦克设计!$B$23:$U$23,0)))*(VLOOKUP($B217,INDIRECT($B$5&amp;"生成成长"),3))*(VLOOKUP($B$5,标准坦克设计!$B$14:$K$20,9)/30))</f>
        <v>13.612007934586124</v>
      </c>
      <c r="AP217" s="173">
        <f ca="1">(VLOOKUP(AP$72,INDIRECT($C$5&amp;"生成成长"),2))/((VLOOKUP($B217,INDIRECT($B$5&amp;"生成成长"),4))/(VLOOKUP(AP$72,INDIRECT($C$5&amp;"生成成长"),5))*(VLOOKUP($B$5,标准坦克设计!$B$24:$U$30,MATCH("对"&amp;LEFT($C$5,2)&amp;"输出",标准坦克设计!$B$23:$U$23,0)))*(VLOOKUP($B217,INDIRECT($B$5&amp;"生成成长"),3))*(VLOOKUP($B$5,标准坦克设计!$B$14:$K$20,9)/30))</f>
        <v>14.614909618565058</v>
      </c>
      <c r="AQ217" s="173">
        <f ca="1">(VLOOKUP(AQ$72,INDIRECT($C$5&amp;"生成成长"),2))/((VLOOKUP($B217,INDIRECT($B$5&amp;"生成成长"),4))/(VLOOKUP(AQ$72,INDIRECT($C$5&amp;"生成成长"),5))*(VLOOKUP($B$5,标准坦克设计!$B$24:$U$30,MATCH("对"&amp;LEFT($C$5,2)&amp;"输出",标准坦克设计!$B$23:$U$23,0)))*(VLOOKUP($B217,INDIRECT($B$5&amp;"生成成长"),3))*(VLOOKUP($B$5,标准坦克设计!$B$14:$K$20,9)/30))</f>
        <v>15.653455627338065</v>
      </c>
      <c r="AR217" s="173">
        <f ca="1">(VLOOKUP(AR$72,INDIRECT($C$5&amp;"生成成长"),2))/((VLOOKUP($B217,INDIRECT($B$5&amp;"生成成长"),4))/(VLOOKUP(AR$72,INDIRECT($C$5&amp;"生成成长"),5))*(VLOOKUP($B$5,标准坦克设计!$B$24:$U$30,MATCH("对"&amp;LEFT($C$5,2)&amp;"输出",标准坦克设计!$B$23:$U$23,0)))*(VLOOKUP($B217,INDIRECT($B$5&amp;"生成成长"),3))*(VLOOKUP($B$5,标准坦克设计!$B$14:$K$20,9)/30))</f>
        <v>16.727645960905164</v>
      </c>
      <c r="AS217" s="173">
        <f ca="1">(VLOOKUP(AS$72,INDIRECT($C$5&amp;"生成成长"),2))/((VLOOKUP($B217,INDIRECT($B$5&amp;"生成成长"),4))/(VLOOKUP(AS$72,INDIRECT($C$5&amp;"生成成长"),5))*(VLOOKUP($B$5,标准坦克设计!$B$24:$U$30,MATCH("对"&amp;LEFT($C$5,2)&amp;"输出",标准坦克设计!$B$23:$U$23,0)))*(VLOOKUP($B217,INDIRECT($B$5&amp;"生成成长"),3))*(VLOOKUP($B$5,标准坦克设计!$B$14:$K$20,9)/30))</f>
        <v>17.837480619266341</v>
      </c>
      <c r="AT217" s="173">
        <f ca="1">(VLOOKUP(AT$72,INDIRECT($C$5&amp;"生成成长"),2))/((VLOOKUP($B217,INDIRECT($B$5&amp;"生成成长"),4))/(VLOOKUP(AT$72,INDIRECT($C$5&amp;"生成成长"),5))*(VLOOKUP($B$5,标准坦克设计!$B$24:$U$30,MATCH("对"&amp;LEFT($C$5,2)&amp;"输出",标准坦克设计!$B$23:$U$23,0)))*(VLOOKUP($B217,INDIRECT($B$5&amp;"生成成长"),3))*(VLOOKUP($B$5,标准坦克设计!$B$14:$K$20,9)/30))</f>
        <v>18.982959602421595</v>
      </c>
      <c r="AU217" s="173">
        <f ca="1">(VLOOKUP(AU$72,INDIRECT($C$5&amp;"生成成长"),2))/((VLOOKUP($B217,INDIRECT($B$5&amp;"生成成长"),4))/(VLOOKUP(AU$72,INDIRECT($C$5&amp;"生成成长"),5))*(VLOOKUP($B$5,标准坦克设计!$B$24:$U$30,MATCH("对"&amp;LEFT($C$5,2)&amp;"输出",标准坦克设计!$B$23:$U$23,0)))*(VLOOKUP($B217,INDIRECT($B$5&amp;"生成成长"),3))*(VLOOKUP($B$5,标准坦克设计!$B$14:$K$20,9)/30))</f>
        <v>20.164082910370933</v>
      </c>
      <c r="AV217" s="173">
        <f ca="1">(VLOOKUP(AV$72,INDIRECT($C$5&amp;"生成成长"),2))/((VLOOKUP($B217,INDIRECT($B$5&amp;"生成成长"),4))/(VLOOKUP(AV$72,INDIRECT($C$5&amp;"生成成长"),5))*(VLOOKUP($B$5,标准坦克设计!$B$24:$U$30,MATCH("对"&amp;LEFT($C$5,2)&amp;"输出",标准坦克设计!$B$23:$U$23,0)))*(VLOOKUP($B217,INDIRECT($B$5&amp;"生成成长"),3))*(VLOOKUP($B$5,标准坦克设计!$B$14:$K$20,9)/30))</f>
        <v>2.0508742910445941</v>
      </c>
      <c r="AW217" s="173">
        <f ca="1">(VLOOKUP(AW$72,INDIRECT($C$5&amp;"生成成长"),2))/((VLOOKUP($B217,INDIRECT($B$5&amp;"生成成长"),4))/(VLOOKUP(AW$72,INDIRECT($C$5&amp;"生成成长"),5))*(VLOOKUP($B$5,标准坦克设计!$B$24:$U$30,MATCH("对"&amp;LEFT($C$5,2)&amp;"输出",标准坦克设计!$B$23:$U$23,0)))*(VLOOKUP($B217,INDIRECT($B$5&amp;"生成成长"),3))*(VLOOKUP($B$5,标准坦克设计!$B$14:$K$20,9)/30))</f>
        <v>2.3383855389704089</v>
      </c>
      <c r="AX217" s="173">
        <f ca="1">(VLOOKUP(AX$72,INDIRECT($C$5&amp;"生成成长"),2))/((VLOOKUP($B217,INDIRECT($B$5&amp;"生成成长"),4))/(VLOOKUP(AX$72,INDIRECT($C$5&amp;"生成成长"),5))*(VLOOKUP($B$5,标准坦克设计!$B$24:$U$30,MATCH("对"&amp;LEFT($C$5,2)&amp;"输出",标准坦克设计!$B$23:$U$23,0)))*(VLOOKUP($B217,INDIRECT($B$5&amp;"生成成长"),3))*(VLOOKUP($B$5,标准坦克设计!$B$14:$K$20,9)/30))</f>
        <v>2.6447499834815233</v>
      </c>
      <c r="AY217" s="173">
        <f ca="1">(VLOOKUP(AY$72,INDIRECT($C$5&amp;"生成成长"),2))/((VLOOKUP($B217,INDIRECT($B$5&amp;"生成成长"),4))/(VLOOKUP(AY$72,INDIRECT($C$5&amp;"生成成长"),5))*(VLOOKUP($B$5,标准坦克设计!$B$24:$U$30,MATCH("对"&amp;LEFT($C$5,2)&amp;"输出",标准坦克设计!$B$23:$U$23,0)))*(VLOOKUP($B217,INDIRECT($B$5&amp;"生成成长"),3))*(VLOOKUP($B$5,标准坦克设计!$B$14:$K$20,9)/30))</f>
        <v>2.9699676245779374</v>
      </c>
      <c r="AZ217" s="173">
        <f ca="1">(VLOOKUP(AZ$72,INDIRECT($C$5&amp;"生成成长"),2))/((VLOOKUP($B217,INDIRECT($B$5&amp;"生成成长"),4))/(VLOOKUP(AZ$72,INDIRECT($C$5&amp;"生成成长"),5))*(VLOOKUP($B$5,标准坦克设计!$B$24:$U$30,MATCH("对"&amp;LEFT($C$5,2)&amp;"输出",标准坦克设计!$B$23:$U$23,0)))*(VLOOKUP($B217,INDIRECT($B$5&amp;"生成成长"),3))*(VLOOKUP($B$5,标准坦克设计!$B$14:$K$20,9)/30))</f>
        <v>3.3140384622596506</v>
      </c>
      <c r="BA217" s="173">
        <f ca="1">(VLOOKUP(BA$72,INDIRECT($C$5&amp;"生成成长"),2))/((VLOOKUP($B217,INDIRECT($B$5&amp;"生成成长"),4))/(VLOOKUP(BA$72,INDIRECT($C$5&amp;"生成成长"),5))*(VLOOKUP($B$5,标准坦克设计!$B$24:$U$30,MATCH("对"&amp;LEFT($C$5,2)&amp;"输出",标准坦克设计!$B$23:$U$23,0)))*(VLOOKUP($B217,INDIRECT($B$5&amp;"生成成长"),3))*(VLOOKUP($B$5,标准坦克设计!$B$14:$K$20,9)/30))</f>
        <v>3.6769624965266625</v>
      </c>
      <c r="BB217" s="173">
        <f ca="1">(VLOOKUP(BB$72,INDIRECT($C$5&amp;"生成成长"),2))/((VLOOKUP($B217,INDIRECT($B$5&amp;"生成成长"),4))/(VLOOKUP(BB$72,INDIRECT($C$5&amp;"生成成长"),5))*(VLOOKUP($B$5,标准坦克设计!$B$24:$U$30,MATCH("对"&amp;LEFT($C$5,2)&amp;"输出",标准坦克设计!$B$23:$U$23,0)))*(VLOOKUP($B217,INDIRECT($B$5&amp;"生成成长"),3))*(VLOOKUP($B$5,标准坦克设计!$B$14:$K$20,9)/30))</f>
        <v>4.058739727378974</v>
      </c>
      <c r="BC217" s="173">
        <f ca="1">(VLOOKUP(BC$72,INDIRECT($C$5&amp;"生成成长"),2))/((VLOOKUP($B217,INDIRECT($B$5&amp;"生成成长"),4))/(VLOOKUP(BC$72,INDIRECT($C$5&amp;"生成成长"),5))*(VLOOKUP($B$5,标准坦克设计!$B$24:$U$30,MATCH("对"&amp;LEFT($C$5,2)&amp;"输出",标准坦克设计!$B$23:$U$23,0)))*(VLOOKUP($B217,INDIRECT($B$5&amp;"生成成长"),3))*(VLOOKUP($B$5,标准坦克设计!$B$14:$K$20,9)/30))</f>
        <v>4.4593701548165852</v>
      </c>
      <c r="BD217" s="173">
        <f ca="1">(VLOOKUP(BD$72,INDIRECT($C$5&amp;"生成成长"),2))/((VLOOKUP($B217,INDIRECT($B$5&amp;"生成成长"),4))/(VLOOKUP(BD$72,INDIRECT($C$5&amp;"生成成长"),5))*(VLOOKUP($B$5,标准坦克设计!$B$24:$U$30,MATCH("对"&amp;LEFT($C$5,2)&amp;"输出",标准坦克设计!$B$23:$U$23,0)))*(VLOOKUP($B217,INDIRECT($B$5&amp;"生成成长"),3))*(VLOOKUP($B$5,标准坦克设计!$B$14:$K$20,9)/30))</f>
        <v>4.9326148472272626</v>
      </c>
      <c r="BE217" s="173">
        <f ca="1">(VLOOKUP(BE$72,INDIRECT($C$5&amp;"生成成长"),2))/((VLOOKUP($B217,INDIRECT($B$5&amp;"生成成长"),4))/(VLOOKUP(BE$72,INDIRECT($C$5&amp;"生成成长"),5))*(VLOOKUP($B$5,标准坦克设计!$B$24:$U$30,MATCH("对"&amp;LEFT($C$5,2)&amp;"输出",标准坦克设计!$B$23:$U$23,0)))*(VLOOKUP($B217,INDIRECT($B$5&amp;"生成成长"),3))*(VLOOKUP($B$5,标准坦克设计!$B$14:$K$20,9)/30))</f>
        <v>5.4297206165662111</v>
      </c>
      <c r="BF217" s="173">
        <f ca="1">(VLOOKUP(BF$72,INDIRECT($C$5&amp;"生成成长"),2))/((VLOOKUP($B217,INDIRECT($B$5&amp;"生成成长"),4))/(VLOOKUP(BF$72,INDIRECT($C$5&amp;"生成成长"),5))*(VLOOKUP($B$5,标准坦克设计!$B$24:$U$30,MATCH("对"&amp;LEFT($C$5,2)&amp;"输出",标准坦克设计!$B$23:$U$23,0)))*(VLOOKUP($B217,INDIRECT($B$5&amp;"生成成长"),3))*(VLOOKUP($B$5,标准坦克设计!$B$14:$K$20,9)/30))</f>
        <v>5.9506874628334279</v>
      </c>
      <c r="BG217" s="173">
        <f ca="1">(VLOOKUP(BG$72,INDIRECT($C$5&amp;"生成成长"),2))/((VLOOKUP($B217,INDIRECT($B$5&amp;"生成成长"),4))/(VLOOKUP(BG$72,INDIRECT($C$5&amp;"生成成长"),5))*(VLOOKUP($B$5,标准坦克设计!$B$24:$U$30,MATCH("对"&amp;LEFT($C$5,2)&amp;"输出",标准坦克设计!$B$23:$U$23,0)))*(VLOOKUP($B217,INDIRECT($B$5&amp;"生成成长"),3))*(VLOOKUP($B$5,标准坦克设计!$B$14:$K$20,9)/30))</f>
        <v>6.4955153860289139</v>
      </c>
      <c r="BH217" s="173">
        <f ca="1">(VLOOKUP(BH$72,INDIRECT($C$5&amp;"生成成长"),2))/((VLOOKUP($B217,INDIRECT($B$5&amp;"生成成长"),4))/(VLOOKUP(BH$72,INDIRECT($C$5&amp;"生成成长"),5))*(VLOOKUP($B$5,标准坦克设计!$B$24:$U$30,MATCH("对"&amp;LEFT($C$5,2)&amp;"输出",标准坦克设计!$B$23:$U$23,0)))*(VLOOKUP($B217,INDIRECT($B$5&amp;"生成成长"),3))*(VLOOKUP($B$5,标准坦克设计!$B$14:$K$20,9)/30))</f>
        <v>3.1396463938456307</v>
      </c>
      <c r="BI217" s="173">
        <f ca="1">(VLOOKUP(BI$72,INDIRECT($C$5&amp;"生成成长"),2))/((VLOOKUP($B217,INDIRECT($B$5&amp;"生成成长"),4))/(VLOOKUP(BI$72,INDIRECT($C$5&amp;"生成成长"),5))*(VLOOKUP($B$5,标准坦克设计!$B$24:$U$30,MATCH("对"&amp;LEFT($C$5,2)&amp;"输出",标准坦克设计!$B$23:$U$23,0)))*(VLOOKUP($B217,INDIRECT($B$5&amp;"生成成长"),3))*(VLOOKUP($B$5,标准坦克设计!$B$14:$K$20,9)/30))</f>
        <v>3.5386566247016931</v>
      </c>
      <c r="BJ217" s="173">
        <f ca="1">(VLOOKUP(BJ$72,INDIRECT($C$5&amp;"生成成长"),2))/((VLOOKUP($B217,INDIRECT($B$5&amp;"生成成长"),4))/(VLOOKUP(BJ$72,INDIRECT($C$5&amp;"生成成长"),5))*(VLOOKUP($B$5,标准坦克设计!$B$24:$U$30,MATCH("对"&amp;LEFT($C$5,2)&amp;"输出",标准坦克设计!$B$23:$U$23,0)))*(VLOOKUP($B217,INDIRECT($B$5&amp;"生成成长"),3))*(VLOOKUP($B$5,标准坦克设计!$B$14:$K$20,9)/30))</f>
        <v>3.9615279324860246</v>
      </c>
      <c r="BK217" s="173">
        <f ca="1">(VLOOKUP(BK$72,INDIRECT($C$5&amp;"生成成长"),2))/((VLOOKUP($B217,INDIRECT($B$5&amp;"生成成长"),4))/(VLOOKUP(BK$72,INDIRECT($C$5&amp;"生成成长"),5))*(VLOOKUP($B$5,标准坦克设计!$B$24:$U$30,MATCH("对"&amp;LEFT($C$5,2)&amp;"输出",标准坦克设计!$B$23:$U$23,0)))*(VLOOKUP($B217,INDIRECT($B$5&amp;"生成成长"),3))*(VLOOKUP($B$5,标准坦克设计!$B$14:$K$20,9)/30))</f>
        <v>4.408260317198625</v>
      </c>
      <c r="BL217" s="173">
        <f ca="1">(VLOOKUP(BL$72,INDIRECT($C$5&amp;"生成成长"),2))/((VLOOKUP($B217,INDIRECT($B$5&amp;"生成成长"),4))/(VLOOKUP(BL$72,INDIRECT($C$5&amp;"生成成长"),5))*(VLOOKUP($B$5,标准坦克设计!$B$24:$U$30,MATCH("对"&amp;LEFT($C$5,2)&amp;"输出",标准坦克设计!$B$23:$U$23,0)))*(VLOOKUP($B217,INDIRECT($B$5&amp;"生成成长"),3))*(VLOOKUP($B$5,标准坦克设计!$B$14:$K$20,9)/30))</f>
        <v>4.8788537788394954</v>
      </c>
      <c r="BM217" s="173">
        <f ca="1">(VLOOKUP(BM$72,INDIRECT($C$5&amp;"生成成长"),2))/((VLOOKUP($B217,INDIRECT($B$5&amp;"生成成长"),4))/(VLOOKUP(BM$72,INDIRECT($C$5&amp;"生成成长"),5))*(VLOOKUP($B$5,标准坦克设计!$B$24:$U$30,MATCH("对"&amp;LEFT($C$5,2)&amp;"输出",标准坦克设计!$B$23:$U$23,0)))*(VLOOKUP($B217,INDIRECT($B$5&amp;"生成成长"),3))*(VLOOKUP($B$5,标准坦克设计!$B$14:$K$20,9)/30))</f>
        <v>5.3733083174086351</v>
      </c>
      <c r="BN217" s="173">
        <f ca="1">(VLOOKUP(BN$72,INDIRECT($C$5&amp;"生成成长"),2))/((VLOOKUP($B217,INDIRECT($B$5&amp;"生成成长"),4))/(VLOOKUP(BN$72,INDIRECT($C$5&amp;"生成成长"),5))*(VLOOKUP($B$5,标准坦克设计!$B$24:$U$30,MATCH("对"&amp;LEFT($C$5,2)&amp;"输出",标准坦克设计!$B$23:$U$23,0)))*(VLOOKUP($B217,INDIRECT($B$5&amp;"生成成长"),3))*(VLOOKUP($B$5,标准坦克设计!$B$14:$K$20,9)/30))</f>
        <v>5.891623932906044</v>
      </c>
      <c r="BO217" s="173">
        <f ca="1">(VLOOKUP(BO$72,INDIRECT($C$5&amp;"生成成长"),2))/((VLOOKUP($B217,INDIRECT($B$5&amp;"生成成长"),4))/(VLOOKUP(BO$72,INDIRECT($C$5&amp;"生成成长"),5))*(VLOOKUP($B$5,标准坦克设计!$B$24:$U$30,MATCH("对"&amp;LEFT($C$5,2)&amp;"输出",标准坦克设计!$B$23:$U$23,0)))*(VLOOKUP($B217,INDIRECT($B$5&amp;"生成成长"),3))*(VLOOKUP($B$5,标准坦克设计!$B$14:$K$20,9)/30))</f>
        <v>6.433800625331723</v>
      </c>
      <c r="BP217" s="173">
        <f ca="1">(VLOOKUP(BP$72,INDIRECT($C$5&amp;"生成成长"),2))/((VLOOKUP($B217,INDIRECT($B$5&amp;"生成成长"),4))/(VLOOKUP(BP$72,INDIRECT($C$5&amp;"生成成长"),5))*(VLOOKUP($B$5,标准坦克设计!$B$24:$U$30,MATCH("对"&amp;LEFT($C$5,2)&amp;"输出",标准坦克设计!$B$23:$U$23,0)))*(VLOOKUP($B217,INDIRECT($B$5&amp;"生成成长"),3))*(VLOOKUP($B$5,标准坦克设计!$B$14:$K$20,9)/30))</f>
        <v>6.9998383946856721</v>
      </c>
      <c r="BQ217" s="173">
        <f ca="1">(VLOOKUP(BQ$72,INDIRECT($C$5&amp;"生成成长"),2))/((VLOOKUP($B217,INDIRECT($B$5&amp;"生成成长"),4))/(VLOOKUP(BQ$72,INDIRECT($C$5&amp;"生成成长"),5))*(VLOOKUP($B$5,标准坦克设计!$B$24:$U$30,MATCH("对"&amp;LEFT($C$5,2)&amp;"输出",标准坦克设计!$B$23:$U$23,0)))*(VLOOKUP($B217,INDIRECT($B$5&amp;"生成成长"),3))*(VLOOKUP($B$5,标准坦克设计!$B$14:$K$20,9)/30))</f>
        <v>7.5897372409678887</v>
      </c>
      <c r="BR217" s="173">
        <f ca="1">(VLOOKUP(BR$72,INDIRECT($C$5&amp;"生成成长"),2))/((VLOOKUP($B217,INDIRECT($B$5&amp;"生成成长"),4))/(VLOOKUP(BR$72,INDIRECT($C$5&amp;"生成成长"),5))*(VLOOKUP($B$5,标准坦克设计!$B$24:$U$30,MATCH("对"&amp;LEFT($C$5,2)&amp;"输出",标准坦克设计!$B$23:$U$23,0)))*(VLOOKUP($B217,INDIRECT($B$5&amp;"生成成长"),3))*(VLOOKUP($B$5,标准坦克设计!$B$14:$K$20,9)/30))</f>
        <v>8.2731656171849881</v>
      </c>
      <c r="BS217" s="173">
        <f ca="1">(VLOOKUP(BS$72,INDIRECT($C$5&amp;"生成成长"),2))/((VLOOKUP($B217,INDIRECT($B$5&amp;"生成成长"),4))/(VLOOKUP(BS$72,INDIRECT($C$5&amp;"生成成长"),5))*(VLOOKUP($B$5,标准坦克设计!$B$24:$U$30,MATCH("对"&amp;LEFT($C$5,2)&amp;"输出",标准坦克设计!$B$23:$U$23,0)))*(VLOOKUP($B217,INDIRECT($B$5&amp;"生成成长"),3))*(VLOOKUP($B$5,标准坦克设计!$B$14:$K$20,9)/30))</f>
        <v>8.9860521130666235</v>
      </c>
      <c r="BT217" s="173">
        <f ca="1">(VLOOKUP(BT$72,INDIRECT($C$5&amp;"生成成长"),2))/((VLOOKUP($B217,INDIRECT($B$5&amp;"生成成长"),4))/(VLOOKUP(BT$72,INDIRECT($C$5&amp;"生成成长"),5))*(VLOOKUP($B$5,标准坦克设计!$B$24:$U$30,MATCH("对"&amp;LEFT($C$5,2)&amp;"输出",标准坦克设计!$B$23:$U$23,0)))*(VLOOKUP($B217,INDIRECT($B$5&amp;"生成成长"),3))*(VLOOKUP($B$5,标准坦克设计!$B$14:$K$20,9)/30))</f>
        <v>9.7283967286127844</v>
      </c>
      <c r="BU217" s="173">
        <f ca="1">(VLOOKUP(BU$72,INDIRECT($C$5&amp;"生成成长"),2))/((VLOOKUP($B217,INDIRECT($B$5&amp;"生成成长"),4))/(VLOOKUP(BU$72,INDIRECT($C$5&amp;"生成成长"),5))*(VLOOKUP($B$5,标准坦克设计!$B$24:$U$30,MATCH("对"&amp;LEFT($C$5,2)&amp;"输出",标准坦克设计!$B$23:$U$23,0)))*(VLOOKUP($B217,INDIRECT($B$5&amp;"生成成长"),3))*(VLOOKUP($B$5,标准坦克设计!$B$14:$K$20,9)/30))</f>
        <v>10.500199463823474</v>
      </c>
      <c r="BV217" s="173">
        <f ca="1">(VLOOKUP(BV$72,INDIRECT($C$5&amp;"生成成长"),2))/((VLOOKUP($B217,INDIRECT($B$5&amp;"生成成长"),4))/(VLOOKUP(BV$72,INDIRECT($C$5&amp;"生成成长"),5))*(VLOOKUP($B$5,标准坦克设计!$B$24:$U$30,MATCH("对"&amp;LEFT($C$5,2)&amp;"输出",标准坦克设计!$B$23:$U$23,0)))*(VLOOKUP($B217,INDIRECT($B$5&amp;"生成成长"),3))*(VLOOKUP($B$5,标准坦克设计!$B$14:$K$20,9)/30))</f>
        <v>11.301460318698696</v>
      </c>
      <c r="BW217" s="173">
        <f ca="1">(VLOOKUP(BW$72,INDIRECT($C$5&amp;"生成成长"),2))/((VLOOKUP($B217,INDIRECT($B$5&amp;"生成成长"),4))/(VLOOKUP(BW$72,INDIRECT($C$5&amp;"生成成长"),5))*(VLOOKUP($B$5,标准坦克设计!$B$24:$U$30,MATCH("对"&amp;LEFT($C$5,2)&amp;"输出",标准坦克设计!$B$23:$U$23,0)))*(VLOOKUP($B217,INDIRECT($B$5&amp;"生成成长"),3))*(VLOOKUP($B$5,标准坦克设计!$B$14:$K$20,9)/30))</f>
        <v>5.1506049327447876</v>
      </c>
      <c r="BX217" s="173">
        <f ca="1">(VLOOKUP(BX$72,INDIRECT($C$5&amp;"生成成长"),2))/((VLOOKUP($B217,INDIRECT($B$5&amp;"生成成长"),4))/(VLOOKUP(BX$72,INDIRECT($C$5&amp;"生成成长"),5))*(VLOOKUP($B$5,标准坦克设计!$B$24:$U$30,MATCH("对"&amp;LEFT($C$5,2)&amp;"输出",标准坦克设计!$B$23:$U$23,0)))*(VLOOKUP($B217,INDIRECT($B$5&amp;"生成成长"),3))*(VLOOKUP($B$5,标准坦克设计!$B$14:$K$20,9)/30))</f>
        <v>5.7162008303037668</v>
      </c>
      <c r="BY217" s="173">
        <f ca="1">(VLOOKUP(BY$72,INDIRECT($C$5&amp;"生成成长"),2))/((VLOOKUP($B217,INDIRECT($B$5&amp;"生成成长"),4))/(VLOOKUP(BY$72,INDIRECT($C$5&amp;"生成成长"),5))*(VLOOKUP($B$5,标准坦克设计!$B$24:$U$30,MATCH("对"&amp;LEFT($C$5,2)&amp;"输出",标准坦克设计!$B$23:$U$23,0)))*(VLOOKUP($B217,INDIRECT($B$5&amp;"生成成长"),3))*(VLOOKUP($B$5,标准坦克设计!$B$14:$K$20,9)/30))</f>
        <v>6.3112548475272785</v>
      </c>
      <c r="BZ217" s="173">
        <f ca="1">(VLOOKUP(BZ$72,INDIRECT($C$5&amp;"生成成长"),2))/((VLOOKUP($B217,INDIRECT($B$5&amp;"生成成长"),4))/(VLOOKUP(BZ$72,INDIRECT($C$5&amp;"生成成长"),5))*(VLOOKUP($B$5,标准坦克设计!$B$24:$U$30,MATCH("对"&amp;LEFT($C$5,2)&amp;"输出",标准坦克设计!$B$23:$U$23,0)))*(VLOOKUP($B217,INDIRECT($B$5&amp;"生成成长"),3))*(VLOOKUP($B$5,标准坦克设计!$B$14:$K$20,9)/30))</f>
        <v>6.9357669844153191</v>
      </c>
      <c r="CA217" s="173">
        <f ca="1">(VLOOKUP(CA$72,INDIRECT($C$5&amp;"生成成长"),2))/((VLOOKUP($B217,INDIRECT($B$5&amp;"生成成长"),4))/(VLOOKUP(CA$72,INDIRECT($C$5&amp;"生成成长"),5))*(VLOOKUP($B$5,标准坦克设计!$B$24:$U$30,MATCH("对"&amp;LEFT($C$5,2)&amp;"输出",标准坦克设计!$B$23:$U$23,0)))*(VLOOKUP($B217,INDIRECT($B$5&amp;"生成成长"),3))*(VLOOKUP($B$5,标准坦克设计!$B$14:$K$20,9)/30))</f>
        <v>7.5897372409678887</v>
      </c>
      <c r="CB217" s="173">
        <f ca="1">(VLOOKUP(CB$72,INDIRECT($C$5&amp;"生成成长"),2))/((VLOOKUP($B217,INDIRECT($B$5&amp;"生成成长"),4))/(VLOOKUP(CB$72,INDIRECT($C$5&amp;"生成成长"),5))*(VLOOKUP($B$5,标准坦克设计!$B$24:$U$30,MATCH("对"&amp;LEFT($C$5,2)&amp;"输出",标准坦克设计!$B$23:$U$23,0)))*(VLOOKUP($B217,INDIRECT($B$5&amp;"生成成长"),3))*(VLOOKUP($B$5,标准坦克设计!$B$14:$K$20,9)/30))</f>
        <v>8.2731656171849881</v>
      </c>
      <c r="CC217" s="173">
        <f ca="1">(VLOOKUP(CC$72,INDIRECT($C$5&amp;"生成成长"),2))/((VLOOKUP($B217,INDIRECT($B$5&amp;"生成成长"),4))/(VLOOKUP(CC$72,INDIRECT($C$5&amp;"生成成长"),5))*(VLOOKUP($B$5,标准坦克设计!$B$24:$U$30,MATCH("对"&amp;LEFT($C$5,2)&amp;"输出",标准坦克设计!$B$23:$U$23,0)))*(VLOOKUP($B217,INDIRECT($B$5&amp;"生成成长"),3))*(VLOOKUP($B$5,标准坦克设计!$B$14:$K$20,9)/30))</f>
        <v>8.9860521130666235</v>
      </c>
      <c r="CD217" s="173">
        <f ca="1">(VLOOKUP(CD$72,INDIRECT($C$5&amp;"生成成长"),2))/((VLOOKUP($B217,INDIRECT($B$5&amp;"生成成长"),4))/(VLOOKUP(CD$72,INDIRECT($C$5&amp;"生成成长"),5))*(VLOOKUP($B$5,标准坦克设计!$B$24:$U$30,MATCH("对"&amp;LEFT($C$5,2)&amp;"输出",标准坦克设计!$B$23:$U$23,0)))*(VLOOKUP($B217,INDIRECT($B$5&amp;"生成成长"),3))*(VLOOKUP($B$5,标准坦克设计!$B$14:$K$20,9)/30))</f>
        <v>9.7283967286127844</v>
      </c>
      <c r="CE217" s="173">
        <f ca="1">(VLOOKUP(CE$72,INDIRECT($C$5&amp;"生成成长"),2))/((VLOOKUP($B217,INDIRECT($B$5&amp;"生成成长"),4))/(VLOOKUP(CE$72,INDIRECT($C$5&amp;"生成成长"),5))*(VLOOKUP($B$5,标准坦克设计!$B$24:$U$30,MATCH("对"&amp;LEFT($C$5,2)&amp;"输出",标准坦克设计!$B$23:$U$23,0)))*(VLOOKUP($B217,INDIRECT($B$5&amp;"生成成长"),3))*(VLOOKUP($B$5,标准坦克设计!$B$14:$K$20,9)/30))</f>
        <v>10.500199463823474</v>
      </c>
      <c r="CF217" s="173">
        <f ca="1">(VLOOKUP(CF$72,INDIRECT($C$5&amp;"生成成长"),2))/((VLOOKUP($B217,INDIRECT($B$5&amp;"生成成长"),4))/(VLOOKUP(CF$72,INDIRECT($C$5&amp;"生成成长"),5))*(VLOOKUP($B$5,标准坦克设计!$B$24:$U$30,MATCH("对"&amp;LEFT($C$5,2)&amp;"输出",标准坦克设计!$B$23:$U$23,0)))*(VLOOKUP($B217,INDIRECT($B$5&amp;"生成成长"),3))*(VLOOKUP($B$5,标准坦克设计!$B$14:$K$20,9)/30))</f>
        <v>11.301460318698696</v>
      </c>
      <c r="CG217" s="173">
        <f ca="1">(VLOOKUP(CG$72,INDIRECT($C$5&amp;"生成成长"),2))/((VLOOKUP($B217,INDIRECT($B$5&amp;"生成成长"),4))/(VLOOKUP(CG$72,INDIRECT($C$5&amp;"生成成长"),5))*(VLOOKUP($B$5,标准坦克设计!$B$24:$U$30,MATCH("对"&amp;LEFT($C$5,2)&amp;"输出",标准坦克设计!$B$23:$U$23,0)))*(VLOOKUP($B217,INDIRECT($B$5&amp;"生成成长"),3))*(VLOOKUP($B$5,标准坦克设计!$B$14:$K$20,9)/30))</f>
        <v>12.132179293238448</v>
      </c>
      <c r="CH217" s="173">
        <f ca="1">(VLOOKUP(CH$72,INDIRECT($C$5&amp;"生成成长"),2))/((VLOOKUP($B217,INDIRECT($B$5&amp;"生成成长"),4))/(VLOOKUP(CH$72,INDIRECT($C$5&amp;"生成成长"),5))*(VLOOKUP($B$5,标准坦克设计!$B$24:$U$30,MATCH("对"&amp;LEFT($C$5,2)&amp;"输出",标准坦克设计!$B$23:$U$23,0)))*(VLOOKUP($B217,INDIRECT($B$5&amp;"生成成长"),3))*(VLOOKUP($B$5,标准坦克设计!$B$14:$K$20,9)/30))</f>
        <v>12.992356387442731</v>
      </c>
      <c r="CI217" s="173">
        <f ca="1">(VLOOKUP(CI$72,INDIRECT($C$5&amp;"生成成长"),2))/((VLOOKUP($B217,INDIRECT($B$5&amp;"生成成长"),4))/(VLOOKUP(CI$72,INDIRECT($C$5&amp;"生成成长"),5))*(VLOOKUP($B$5,标准坦克设计!$B$24:$U$30,MATCH("对"&amp;LEFT($C$5,2)&amp;"输出",标准坦克设计!$B$23:$U$23,0)))*(VLOOKUP($B217,INDIRECT($B$5&amp;"生成成长"),3))*(VLOOKUP($B$5,标准坦克设计!$B$14:$K$20,9)/30))</f>
        <v>13.972575319279976</v>
      </c>
      <c r="CJ217" s="173">
        <f ca="1">(VLOOKUP(CJ$72,INDIRECT($C$5&amp;"生成成长"),2))/((VLOOKUP($B217,INDIRECT($B$5&amp;"生成成长"),4))/(VLOOKUP(CJ$72,INDIRECT($C$5&amp;"生成成长"),5))*(VLOOKUP($B$5,标准坦克设计!$B$24:$U$30,MATCH("对"&amp;LEFT($C$5,2)&amp;"输出",标准坦克设计!$B$23:$U$23,0)))*(VLOOKUP($B217,INDIRECT($B$5&amp;"生成成长"),3))*(VLOOKUP($B$5,标准坦克设计!$B$14:$K$20,9)/30))</f>
        <v>14.988438575911301</v>
      </c>
      <c r="CK217" s="173">
        <f ca="1">(VLOOKUP(CK$72,INDIRECT($C$5&amp;"生成成长"),2))/((VLOOKUP($B217,INDIRECT($B$5&amp;"生成成长"),4))/(VLOOKUP(CK$72,INDIRECT($C$5&amp;"生成成长"),5))*(VLOOKUP($B$5,标准坦克设计!$B$24:$U$30,MATCH("对"&amp;LEFT($C$5,2)&amp;"输出",标准坦克设计!$B$23:$U$23,0)))*(VLOOKUP($B217,INDIRECT($B$5&amp;"生成成长"),3))*(VLOOKUP($B$5,标准坦克设计!$B$14:$K$20,9)/30))</f>
        <v>16.039946157336708</v>
      </c>
      <c r="CL217" s="173">
        <f ca="1">(VLOOKUP(CL$72,INDIRECT($C$5&amp;"生成成长"),2))/((VLOOKUP($B217,INDIRECT($B$5&amp;"生成成长"),4))/(VLOOKUP(CL$72,INDIRECT($C$5&amp;"生成成长"),5))*(VLOOKUP($B$5,标准坦克设计!$B$24:$U$30,MATCH("对"&amp;LEFT($C$5,2)&amp;"输出",标准坦克设计!$B$23:$U$23,0)))*(VLOOKUP($B217,INDIRECT($B$5&amp;"生成成长"),3))*(VLOOKUP($B$5,标准坦克设计!$B$14:$K$20,9)/30))</f>
        <v>17.127098063556193</v>
      </c>
      <c r="CM217" s="173">
        <f ca="1">(VLOOKUP(CM$72,INDIRECT($C$5&amp;"生成成长"),2))/((VLOOKUP($B217,INDIRECT($B$5&amp;"生成成长"),4))/(VLOOKUP(CM$72,INDIRECT($C$5&amp;"生成成长"),5))*(VLOOKUP($B$5,标准坦克设计!$B$24:$U$30,MATCH("对"&amp;LEFT($C$5,2)&amp;"输出",标准坦克设计!$B$23:$U$23,0)))*(VLOOKUP($B217,INDIRECT($B$5&amp;"生成成长"),3))*(VLOOKUP($B$5,标准坦克设计!$B$14:$K$20,9)/30))</f>
        <v>18.249894294569764</v>
      </c>
      <c r="CN217" s="173">
        <f ca="1">(VLOOKUP(CN$72,INDIRECT($C$5&amp;"生成成长"),2))/((VLOOKUP($B217,INDIRECT($B$5&amp;"生成成长"),4))/(VLOOKUP(CN$72,INDIRECT($C$5&amp;"生成成长"),5))*(VLOOKUP($B$5,标准坦克设计!$B$24:$U$30,MATCH("对"&amp;LEFT($C$5,2)&amp;"输出",标准坦克设计!$B$23:$U$23,0)))*(VLOOKUP($B217,INDIRECT($B$5&amp;"生成成长"),3))*(VLOOKUP($B$5,标准坦克设计!$B$14:$K$20,9)/30))</f>
        <v>19.408334850377415</v>
      </c>
      <c r="CO217" s="173">
        <f ca="1">(VLOOKUP(CO$72,INDIRECT($C$5&amp;"生成成长"),2))/((VLOOKUP($B217,INDIRECT($B$5&amp;"生成成长"),4))/(VLOOKUP(CO$72,INDIRECT($C$5&amp;"生成成长"),5))*(VLOOKUP($B$5,标准坦克设计!$B$24:$U$30,MATCH("对"&amp;LEFT($C$5,2)&amp;"输出",标准坦克设计!$B$23:$U$23,0)))*(VLOOKUP($B217,INDIRECT($B$5&amp;"生成成长"),3))*(VLOOKUP($B$5,标准坦克设计!$B$14:$K$20,9)/30))</f>
        <v>8.6973625403542272</v>
      </c>
      <c r="CP217" s="173">
        <f ca="1">(VLOOKUP(CP$72,INDIRECT($C$5&amp;"生成成长"),2))/((VLOOKUP($B217,INDIRECT($B$5&amp;"生成成长"),4))/(VLOOKUP(CP$72,INDIRECT($C$5&amp;"生成成长"),5))*(VLOOKUP($B$5,标准坦克设计!$B$24:$U$30,MATCH("对"&amp;LEFT($C$5,2)&amp;"输出",标准坦克设计!$B$23:$U$23,0)))*(VLOOKUP($B217,INDIRECT($B$5&amp;"生成成长"),3))*(VLOOKUP($B$5,标准坦克设计!$B$14:$K$20,9)/30))</f>
        <v>9.5026002413841599</v>
      </c>
      <c r="CQ217" s="173">
        <f ca="1">(VLOOKUP(CQ$72,INDIRECT($C$5&amp;"生成成长"),2))/((VLOOKUP($B217,INDIRECT($B$5&amp;"生成成长"),4))/(VLOOKUP(CQ$72,INDIRECT($C$5&amp;"生成成长"),5))*(VLOOKUP($B$5,标准坦克设计!$B$24:$U$30,MATCH("对"&amp;LEFT($C$5,2)&amp;"输出",标准坦克设计!$B$23:$U$23,0)))*(VLOOKUP($B217,INDIRECT($B$5&amp;"生成成长"),3))*(VLOOKUP($B$5,标准坦克设计!$B$14:$K$20,9)/30))</f>
        <v>10.343482267208174</v>
      </c>
      <c r="CR217" s="173">
        <f ca="1">(VLOOKUP(CR$72,INDIRECT($C$5&amp;"生成成长"),2))/((VLOOKUP($B217,INDIRECT($B$5&amp;"生成成长"),4))/(VLOOKUP(CR$72,INDIRECT($C$5&amp;"生成成长"),5))*(VLOOKUP($B$5,标准坦克设计!$B$24:$U$30,MATCH("对"&amp;LEFT($C$5,2)&amp;"输出",标准坦克设计!$B$23:$U$23,0)))*(VLOOKUP($B217,INDIRECT($B$5&amp;"生成成长"),3))*(VLOOKUP($B$5,标准坦克设计!$B$14:$K$20,9)/30))</f>
        <v>11.220008617826268</v>
      </c>
      <c r="CS217" s="173">
        <f ca="1">(VLOOKUP(CS$72,INDIRECT($C$5&amp;"生成成长"),2))/((VLOOKUP($B217,INDIRECT($B$5&amp;"生成成长"),4))/(VLOOKUP(CS$72,INDIRECT($C$5&amp;"生成成长"),5))*(VLOOKUP($B$5,标准坦克设计!$B$24:$U$30,MATCH("对"&amp;LEFT($C$5,2)&amp;"输出",标准坦克设计!$B$23:$U$23,0)))*(VLOOKUP($B217,INDIRECT($B$5&amp;"生成成长"),3))*(VLOOKUP($B$5,标准坦克设计!$B$14:$K$20,9)/30))</f>
        <v>12.132179293238448</v>
      </c>
      <c r="CT217" s="173">
        <f ca="1">(VLOOKUP(CT$72,INDIRECT($C$5&amp;"生成成长"),2))/((VLOOKUP($B217,INDIRECT($B$5&amp;"生成成长"),4))/(VLOOKUP(CT$72,INDIRECT($C$5&amp;"生成成长"),5))*(VLOOKUP($B$5,标准坦克设计!$B$24:$U$30,MATCH("对"&amp;LEFT($C$5,2)&amp;"输出",标准坦克设计!$B$23:$U$23,0)))*(VLOOKUP($B217,INDIRECT($B$5&amp;"生成成长"),3))*(VLOOKUP($B$5,标准坦克设计!$B$14:$K$20,9)/30))</f>
        <v>13.079994293444708</v>
      </c>
      <c r="CU217" s="173">
        <f ca="1">(VLOOKUP(CU$72,INDIRECT($C$5&amp;"生成成长"),2))/((VLOOKUP($B217,INDIRECT($B$5&amp;"生成成长"),4))/(VLOOKUP(CU$72,INDIRECT($C$5&amp;"生成成长"),5))*(VLOOKUP($B$5,标准坦克设计!$B$24:$U$30,MATCH("对"&amp;LEFT($C$5,2)&amp;"输出",标准坦克设计!$B$23:$U$23,0)))*(VLOOKUP($B217,INDIRECT($B$5&amp;"生成成长"),3))*(VLOOKUP($B$5,标准坦克设计!$B$14:$K$20,9)/30))</f>
        <v>14.063453618445047</v>
      </c>
      <c r="CV217" s="173">
        <f ca="1">(VLOOKUP(CV$72,INDIRECT($C$5&amp;"生成成长"),2))/((VLOOKUP($B217,INDIRECT($B$5&amp;"生成成长"),4))/(VLOOKUP(CV$72,INDIRECT($C$5&amp;"生成成长"),5))*(VLOOKUP($B$5,标准坦克设计!$B$24:$U$30,MATCH("对"&amp;LEFT($C$5,2)&amp;"输出",标准坦克设计!$B$23:$U$23,0)))*(VLOOKUP($B217,INDIRECT($B$5&amp;"生成成长"),3))*(VLOOKUP($B$5,标准坦克设计!$B$14:$K$20,9)/30))</f>
        <v>15.082557268239471</v>
      </c>
      <c r="CW217" s="173">
        <f ca="1">(VLOOKUP(CW$72,INDIRECT($C$5&amp;"生成成长"),2))/((VLOOKUP($B217,INDIRECT($B$5&amp;"生成成长"),4))/(VLOOKUP(CW$72,INDIRECT($C$5&amp;"生成成长"),5))*(VLOOKUP($B$5,标准坦克设计!$B$24:$U$30,MATCH("对"&amp;LEFT($C$5,2)&amp;"输出",标准坦克设计!$B$23:$U$23,0)))*(VLOOKUP($B217,INDIRECT($B$5&amp;"生成成长"),3))*(VLOOKUP($B$5,标准坦克设计!$B$14:$K$20,9)/30))</f>
        <v>16.137305242827978</v>
      </c>
      <c r="CX217" s="173">
        <f ca="1">(VLOOKUP(CX$72,INDIRECT($C$5&amp;"生成成长"),2))/((VLOOKUP($B217,INDIRECT($B$5&amp;"生成成长"),4))/(VLOOKUP(CX$72,INDIRECT($C$5&amp;"生成成长"),5))*(VLOOKUP($B$5,标准坦克设计!$B$24:$U$30,MATCH("对"&amp;LEFT($C$5,2)&amp;"输出",标准坦克设计!$B$23:$U$23,0)))*(VLOOKUP($B217,INDIRECT($B$5&amp;"生成成长"),3))*(VLOOKUP($B$5,标准坦克设计!$B$14:$K$20,9)/30))</f>
        <v>17.227697542210567</v>
      </c>
      <c r="CY217" s="173">
        <f ca="1">(VLOOKUP(CY$72,INDIRECT($C$5&amp;"生成成长"),2))/((VLOOKUP($B217,INDIRECT($B$5&amp;"生成成长"),4))/(VLOOKUP(CY$72,INDIRECT($C$5&amp;"生成成长"),5))*(VLOOKUP($B$5,标准坦克设计!$B$24:$U$30,MATCH("对"&amp;LEFT($C$5,2)&amp;"输出",标准坦克设计!$B$23:$U$23,0)))*(VLOOKUP($B217,INDIRECT($B$5&amp;"生成成长"),3))*(VLOOKUP($B$5,标准坦克设计!$B$14:$K$20,9)/30))</f>
        <v>18.353734166387234</v>
      </c>
      <c r="CZ217" s="173">
        <f ca="1">(VLOOKUP(CZ$72,INDIRECT($C$5&amp;"生成成长"),2))/((VLOOKUP($B217,INDIRECT($B$5&amp;"生成成长"),4))/(VLOOKUP(CZ$72,INDIRECT($C$5&amp;"生成成长"),5))*(VLOOKUP($B$5,标准坦克设计!$B$24:$U$30,MATCH("对"&amp;LEFT($C$5,2)&amp;"输出",标准坦克设计!$B$23:$U$23,0)))*(VLOOKUP($B217,INDIRECT($B$5&amp;"生成成长"),3))*(VLOOKUP($B$5,标准坦克设计!$B$14:$K$20,9)/30))</f>
        <v>19.515415115357982</v>
      </c>
      <c r="DA217" s="173">
        <f ca="1">(VLOOKUP(DA$72,INDIRECT($C$5&amp;"生成成长"),2))/((VLOOKUP($B217,INDIRECT($B$5&amp;"生成成长"),4))/(VLOOKUP(DA$72,INDIRECT($C$5&amp;"生成成长"),5))*(VLOOKUP($B$5,标准坦克设计!$B$24:$U$30,MATCH("对"&amp;LEFT($C$5,2)&amp;"输出",标准坦克设计!$B$23:$U$23,0)))*(VLOOKUP($B217,INDIRECT($B$5&amp;"生成成长"),3))*(VLOOKUP($B$5,标准坦克设计!$B$14:$K$20,9)/30))</f>
        <v>20.712740389122811</v>
      </c>
      <c r="DB217" s="173">
        <f ca="1">(VLOOKUP(DB$72,INDIRECT($C$5&amp;"生成成长"),2))/((VLOOKUP($B217,INDIRECT($B$5&amp;"生成成长"),4))/(VLOOKUP(DB$72,INDIRECT($C$5&amp;"生成成长"),5))*(VLOOKUP($B$5,标准坦克设计!$B$24:$U$30,MATCH("对"&amp;LEFT($C$5,2)&amp;"输出",标准坦克设计!$B$23:$U$23,0)))*(VLOOKUP($B217,INDIRECT($B$5&amp;"生成成长"),3))*(VLOOKUP($B$5,标准坦克设计!$B$14:$K$20,9)/30))</f>
        <v>21.945709987681724</v>
      </c>
      <c r="DC217" s="173">
        <f ca="1">(VLOOKUP(DC$72,INDIRECT($C$5&amp;"生成成长"),2))/((VLOOKUP($B217,INDIRECT($B$5&amp;"生成成长"),4))/(VLOOKUP(DC$72,INDIRECT($C$5&amp;"生成成长"),5))*(VLOOKUP($B$5,标准坦克设计!$B$24:$U$30,MATCH("对"&amp;LEFT($C$5,2)&amp;"输出",标准坦克设计!$B$23:$U$23,0)))*(VLOOKUP($B217,INDIRECT($B$5&amp;"生成成长"),3))*(VLOOKUP($B$5,标准坦克设计!$B$14:$K$20,9)/30))</f>
        <v>23.331419936701227</v>
      </c>
      <c r="DD217" s="173">
        <f ca="1">(VLOOKUP(DD$72,INDIRECT($C$5&amp;"生成成长"),2))/((VLOOKUP($B217,INDIRECT($B$5&amp;"生成成长"),4))/(VLOOKUP(DD$72,INDIRECT($C$5&amp;"生成成长"),5))*(VLOOKUP($B$5,标准坦克设计!$B$24:$U$30,MATCH("对"&amp;LEFT($C$5,2)&amp;"输出",标准坦克设计!$B$23:$U$23,0)))*(VLOOKUP($B217,INDIRECT($B$5&amp;"生成成长"),3))*(VLOOKUP($B$5,标准坦克设计!$B$14:$K$20,9)/30))</f>
        <v>24.75954957803765</v>
      </c>
      <c r="DE217" s="173">
        <f ca="1">(VLOOKUP(DE$72,INDIRECT($C$5&amp;"生成成长"),2))/((VLOOKUP($B217,INDIRECT($B$5&amp;"生成成长"),4))/(VLOOKUP(DE$72,INDIRECT($C$5&amp;"生成成长"),5))*(VLOOKUP($B$5,标准坦克设计!$B$24:$U$30,MATCH("对"&amp;LEFT($C$5,2)&amp;"输出",标准坦克设计!$B$23:$U$23,0)))*(VLOOKUP($B217,INDIRECT($B$5&amp;"生成成长"),3))*(VLOOKUP($B$5,标准坦克设计!$B$14:$K$20,9)/30))</f>
        <v>26.230098911690998</v>
      </c>
      <c r="DF217" s="173">
        <f ca="1">(VLOOKUP(DF$72,INDIRECT($C$5&amp;"生成成长"),2))/((VLOOKUP($B217,INDIRECT($B$5&amp;"生成成长"),4))/(VLOOKUP(DF$72,INDIRECT($C$5&amp;"生成成长"),5))*(VLOOKUP($B$5,标准坦克设计!$B$24:$U$30,MATCH("对"&amp;LEFT($C$5,2)&amp;"输出",标准坦克设计!$B$23:$U$23,0)))*(VLOOKUP($B217,INDIRECT($B$5&amp;"生成成长"),3))*(VLOOKUP($B$5,标准坦克设计!$B$14:$K$20,9)/30))</f>
        <v>27.743067937661277</v>
      </c>
      <c r="DG217" s="173">
        <f ca="1">(VLOOKUP(DG$72,INDIRECT($C$5&amp;"生成成长"),2))/((VLOOKUP($B217,INDIRECT($B$5&amp;"生成成长"),4))/(VLOOKUP(DG$72,INDIRECT($C$5&amp;"生成成长"),5))*(VLOOKUP($B$5,标准坦克设计!$B$24:$U$30,MATCH("对"&amp;LEFT($C$5,2)&amp;"输出",标准坦克设计!$B$23:$U$23,0)))*(VLOOKUP($B217,INDIRECT($B$5&amp;"生成成长"),3))*(VLOOKUP($B$5,标准坦克设计!$B$14:$K$20,9)/30))</f>
        <v>29.298456655948463</v>
      </c>
      <c r="DH217" s="173">
        <f ca="1">(VLOOKUP(DH$72,INDIRECT($C$5&amp;"生成成长"),2))/((VLOOKUP($B217,INDIRECT($B$5&amp;"生成成长"),4))/(VLOOKUP(DH$72,INDIRECT($C$5&amp;"生成成长"),5))*(VLOOKUP($B$5,标准坦克设计!$B$24:$U$30,MATCH("对"&amp;LEFT($C$5,2)&amp;"输出",标准坦克设计!$B$23:$U$23,0)))*(VLOOKUP($B217,INDIRECT($B$5&amp;"生成成长"),3))*(VLOOKUP($B$5,标准坦克设计!$B$14:$K$20,9)/30))</f>
        <v>30.896265066552587</v>
      </c>
      <c r="DI217" s="173">
        <f ca="1">(VLOOKUP(DI$72,INDIRECT($C$5&amp;"生成成长"),2))/((VLOOKUP($B217,INDIRECT($B$5&amp;"生成成长"),4))/(VLOOKUP(DI$72,INDIRECT($C$5&amp;"生成成长"),5))*(VLOOKUP($B$5,标准坦克设计!$B$24:$U$30,MATCH("对"&amp;LEFT($C$5,2)&amp;"输出",标准坦克设计!$B$23:$U$23,0)))*(VLOOKUP($B217,INDIRECT($B$5&amp;"生成成长"),3))*(VLOOKUP($B$5,标准坦克设计!$B$14:$K$20,9)/30))</f>
        <v>32.536493169473637</v>
      </c>
      <c r="DJ217" s="173">
        <f ca="1">(VLOOKUP(DJ$72,INDIRECT($C$5&amp;"生成成长"),2))/((VLOOKUP($B217,INDIRECT($B$5&amp;"生成成长"),4))/(VLOOKUP(DJ$72,INDIRECT($C$5&amp;"生成成长"),5))*(VLOOKUP($B$5,标准坦克设计!$B$24:$U$30,MATCH("对"&amp;LEFT($C$5,2)&amp;"输出",标准坦克设计!$B$23:$U$23,0)))*(VLOOKUP($B217,INDIRECT($B$5&amp;"生成成长"),3))*(VLOOKUP($B$5,标准坦克设计!$B$14:$K$20,9)/30))</f>
        <v>3.2699985733611769</v>
      </c>
      <c r="DK217" s="173">
        <f ca="1">(VLOOKUP(DK$72,INDIRECT($C$5&amp;"生成成长"),2))/((VLOOKUP($B217,INDIRECT($B$5&amp;"生成成长"),4))/(VLOOKUP(DK$72,INDIRECT($C$5&amp;"生成成长"),5))*(VLOOKUP($B$5,标准坦克设计!$B$24:$U$30,MATCH("对"&amp;LEFT($C$5,2)&amp;"输出",标准坦克设计!$B$23:$U$23,0)))*(VLOOKUP($B217,INDIRECT($B$5&amp;"生成成长"),3))*(VLOOKUP($B$5,标准坦克设计!$B$14:$K$20,9)/30))</f>
        <v>3.6769624965266625</v>
      </c>
      <c r="DL217" s="173">
        <f ca="1">(VLOOKUP(DL$72,INDIRECT($C$5&amp;"生成成长"),2))/((VLOOKUP($B217,INDIRECT($B$5&amp;"生成成长"),4))/(VLOOKUP(DL$72,INDIRECT($C$5&amp;"生成成长"),5))*(VLOOKUP($B$5,标准坦克设计!$B$24:$U$30,MATCH("对"&amp;LEFT($C$5,2)&amp;"输出",标准坦克设计!$B$23:$U$23,0)))*(VLOOKUP($B217,INDIRECT($B$5&amp;"生成成长"),3))*(VLOOKUP($B$5,标准坦克设计!$B$14:$K$20,9)/30))</f>
        <v>4.1077874966204169</v>
      </c>
      <c r="DM217" s="173">
        <f ca="1">(VLOOKUP(DM$72,INDIRECT($C$5&amp;"生成成长"),2))/((VLOOKUP($B217,INDIRECT($B$5&amp;"生成成长"),4))/(VLOOKUP(DM$72,INDIRECT($C$5&amp;"生成成长"),5))*(VLOOKUP($B$5,标准坦克设计!$B$24:$U$30,MATCH("对"&amp;LEFT($C$5,2)&amp;"输出",标准坦克设计!$B$23:$U$23,0)))*(VLOOKUP($B217,INDIRECT($B$5&amp;"生成成长"),3))*(VLOOKUP($B$5,标准坦克设计!$B$14:$K$20,9)/30))</f>
        <v>4.5624735736424409</v>
      </c>
      <c r="DN217" s="173">
        <f ca="1">(VLOOKUP(DN$72,INDIRECT($C$5&amp;"生成成长"),2))/((VLOOKUP($B217,INDIRECT($B$5&amp;"生成成长"),4))/(VLOOKUP(DN$72,INDIRECT($C$5&amp;"生成成长"),5))*(VLOOKUP($B$5,标准坦克设计!$B$24:$U$30,MATCH("对"&amp;LEFT($C$5,2)&amp;"输出",标准坦克设计!$B$23:$U$23,0)))*(VLOOKUP($B217,INDIRECT($B$5&amp;"生成成长"),3))*(VLOOKUP($B$5,标准坦克设计!$B$14:$K$20,9)/30))</f>
        <v>5.0410207275927332</v>
      </c>
      <c r="DO217" s="173">
        <f ca="1">(VLOOKUP(DO$72,INDIRECT($C$5&amp;"生成成长"),2))/((VLOOKUP($B217,INDIRECT($B$5&amp;"生成成长"),4))/(VLOOKUP(DO$72,INDIRECT($C$5&amp;"生成成长"),5))*(VLOOKUP($B$5,标准坦克设计!$B$24:$U$30,MATCH("对"&amp;LEFT($C$5,2)&amp;"输出",标准坦克设计!$B$23:$U$23,0)))*(VLOOKUP($B217,INDIRECT($B$5&amp;"生成成长"),3))*(VLOOKUP($B$5,标准坦克设计!$B$14:$K$20,9)/30))</f>
        <v>5.5434289584712984</v>
      </c>
      <c r="DP217" s="173">
        <f ca="1">(VLOOKUP(DP$72,INDIRECT($C$5&amp;"生成成长"),2))/((VLOOKUP($B217,INDIRECT($B$5&amp;"生成成长"),4))/(VLOOKUP(DP$72,INDIRECT($C$5&amp;"生成成长"),5))*(VLOOKUP($B$5,标准坦克设计!$B$24:$U$30,MATCH("对"&amp;LEFT($C$5,2)&amp;"输出",标准坦克设计!$B$23:$U$23,0)))*(VLOOKUP($B217,INDIRECT($B$5&amp;"生成成长"),3))*(VLOOKUP($B$5,标准坦克设计!$B$14:$K$20,9)/30))</f>
        <v>6.0696982662781291</v>
      </c>
      <c r="DQ217" s="173">
        <f ca="1">(VLOOKUP(DQ$72,INDIRECT($C$5&amp;"生成成长"),2))/((VLOOKUP($B217,INDIRECT($B$5&amp;"生成成长"),4))/(VLOOKUP(DQ$72,INDIRECT($C$5&amp;"生成成长"),5))*(VLOOKUP($B$5,标准坦克设计!$B$24:$U$30,MATCH("对"&amp;LEFT($C$5,2)&amp;"输出",标准坦克设计!$B$23:$U$23,0)))*(VLOOKUP($B217,INDIRECT($B$5&amp;"生成成长"),3))*(VLOOKUP($B$5,标准坦克设计!$B$14:$K$20,9)/30))</f>
        <v>6.6198286510132318</v>
      </c>
      <c r="DR217" s="173">
        <f ca="1">(VLOOKUP(DR$72,INDIRECT($C$5&amp;"生成成长"),2))/((VLOOKUP($B217,INDIRECT($B$5&amp;"生成成长"),4))/(VLOOKUP(DR$72,INDIRECT($C$5&amp;"生成成长"),5))*(VLOOKUP($B$5,标准坦克设计!$B$24:$U$30,MATCH("对"&amp;LEFT($C$5,2)&amp;"输出",标准坦克设计!$B$23:$U$23,0)))*(VLOOKUP($B217,INDIRECT($B$5&amp;"生成成长"),3))*(VLOOKUP($B$5,标准坦克设计!$B$14:$K$20,9)/30))</f>
        <v>7.1938201126766019</v>
      </c>
      <c r="DS217" s="173">
        <f ca="1">(VLOOKUP(DS$72,INDIRECT($C$5&amp;"生成成长"),2))/((VLOOKUP($B217,INDIRECT($B$5&amp;"生成成长"),4))/(VLOOKUP(DS$72,INDIRECT($C$5&amp;"生成成长"),5))*(VLOOKUP($B$5,标准坦克设计!$B$24:$U$30,MATCH("对"&amp;LEFT($C$5,2)&amp;"输出",标准坦克设计!$B$23:$U$23,0)))*(VLOOKUP($B217,INDIRECT($B$5&amp;"生成成长"),3))*(VLOOKUP($B$5,标准坦克设计!$B$14:$K$20,9)/30))</f>
        <v>7.791672651268243</v>
      </c>
      <c r="DT217" s="173">
        <f ca="1">(VLOOKUP(DT$72,INDIRECT($C$5&amp;"生成成长"),2))/((VLOOKUP($B217,INDIRECT($B$5&amp;"生成成长"),4))/(VLOOKUP(DT$72,INDIRECT($C$5&amp;"生成成长"),5))*(VLOOKUP($B$5,标准坦克设计!$B$24:$U$30,MATCH("对"&amp;LEFT($C$5,2)&amp;"输出",标准坦克设计!$B$23:$U$23,0)))*(VLOOKUP($B217,INDIRECT($B$5&amp;"生成成长"),3))*(VLOOKUP($B$5,标准坦克设计!$B$14:$K$20,9)/30))</f>
        <v>8.5547852411778997</v>
      </c>
      <c r="DU217" s="173">
        <f ca="1">(VLOOKUP(DU$72,INDIRECT($C$5&amp;"生成成长"),2))/((VLOOKUP($B217,INDIRECT($B$5&amp;"生成成长"),4))/(VLOOKUP(DU$72,INDIRECT($C$5&amp;"生成成长"),5))*(VLOOKUP($B$5,标准坦克设计!$B$24:$U$30,MATCH("对"&amp;LEFT($C$5,2)&amp;"输出",标准坦克设计!$B$23:$U$23,0)))*(VLOOKUP($B217,INDIRECT($B$5&amp;"生成成长"),3))*(VLOOKUP($B$5,标准坦克设计!$B$14:$K$20,9)/30))</f>
        <v>9.3535421558816356</v>
      </c>
      <c r="DV217" s="173">
        <f ca="1">(VLOOKUP(DV$72,INDIRECT($C$5&amp;"生成成长"),2))/((VLOOKUP($B217,INDIRECT($B$5&amp;"生成成长"),4))/(VLOOKUP(DV$72,INDIRECT($C$5&amp;"生成成长"),5))*(VLOOKUP($B$5,标准坦克设计!$B$24:$U$30,MATCH("对"&amp;LEFT($C$5,2)&amp;"输出",标准坦克设计!$B$23:$U$23,0)))*(VLOOKUP($B217,INDIRECT($B$5&amp;"生成成长"),3))*(VLOOKUP($B$5,标准坦克设计!$B$14:$K$20,9)/30))</f>
        <v>10.187943395379454</v>
      </c>
      <c r="DW217" s="173">
        <f ca="1">(VLOOKUP(DW$72,INDIRECT($C$5&amp;"生成成长"),2))/((VLOOKUP($B217,INDIRECT($B$5&amp;"生成成长"),4))/(VLOOKUP(DW$72,INDIRECT($C$5&amp;"生成成长"),5))*(VLOOKUP($B$5,标准坦克设计!$B$24:$U$30,MATCH("对"&amp;LEFT($C$5,2)&amp;"输出",标准坦克设计!$B$23:$U$23,0)))*(VLOOKUP($B217,INDIRECT($B$5&amp;"生成成长"),3))*(VLOOKUP($B$5,标准坦克设计!$B$14:$K$20,9)/30))</f>
        <v>11.057988959671356</v>
      </c>
      <c r="DX217" s="173">
        <f ca="1">(VLOOKUP(DX$72,INDIRECT($C$5&amp;"生成成长"),2))/((VLOOKUP($B217,INDIRECT($B$5&amp;"生成成长"),4))/(VLOOKUP(DX$72,INDIRECT($C$5&amp;"生成成长"),5))*(VLOOKUP($B$5,标准坦克设计!$B$24:$U$30,MATCH("对"&amp;LEFT($C$5,2)&amp;"输出",标准坦克设计!$B$23:$U$23,0)))*(VLOOKUP($B217,INDIRECT($B$5&amp;"生成成长"),3))*(VLOOKUP($B$5,标准坦克设计!$B$14:$K$20,9)/30))</f>
        <v>11.963678848757338</v>
      </c>
      <c r="DY217" s="173">
        <f ca="1">(VLOOKUP(DY$72,INDIRECT($C$5&amp;"生成成长"),2))/((VLOOKUP($B217,INDIRECT($B$5&amp;"生成成长"),4))/(VLOOKUP(DY$72,INDIRECT($C$5&amp;"生成成长"),5))*(VLOOKUP($B$5,标准坦克设计!$B$24:$U$30,MATCH("对"&amp;LEFT($C$5,2)&amp;"输出",标准坦克设计!$B$23:$U$23,0)))*(VLOOKUP($B217,INDIRECT($B$5&amp;"生成成长"),3))*(VLOOKUP($B$5,标准坦克设计!$B$14:$K$20,9)/30))</f>
        <v>5.3733083174086351</v>
      </c>
      <c r="DZ217" s="173">
        <f ca="1">(VLOOKUP(DZ$72,INDIRECT($C$5&amp;"生成成长"),2))/((VLOOKUP($B217,INDIRECT($B$5&amp;"生成成长"),4))/(VLOOKUP(DZ$72,INDIRECT($C$5&amp;"生成成长"),5))*(VLOOKUP($B$5,标准坦克设计!$B$24:$U$30,MATCH("对"&amp;LEFT($C$5,2)&amp;"输出",标准坦克设计!$B$23:$U$23,0)))*(VLOOKUP($B217,INDIRECT($B$5&amp;"生成成长"),3))*(VLOOKUP($B$5,标准坦克设计!$B$14:$K$20,9)/30))</f>
        <v>5.9506874628334279</v>
      </c>
      <c r="EA217" s="173">
        <f ca="1">(VLOOKUP(EA$72,INDIRECT($C$5&amp;"生成成长"),2))/((VLOOKUP($B217,INDIRECT($B$5&amp;"生成成长"),4))/(VLOOKUP(EA$72,INDIRECT($C$5&amp;"生成成长"),5))*(VLOOKUP($B$5,标准坦克设计!$B$24:$U$30,MATCH("对"&amp;LEFT($C$5,2)&amp;"输出",标准坦克设计!$B$23:$U$23,0)))*(VLOOKUP($B217,INDIRECT($B$5&amp;"生成成长"),3))*(VLOOKUP($B$5,标准坦克设计!$B$14:$K$20,9)/30))</f>
        <v>6.5575247279227495</v>
      </c>
      <c r="EB217" s="173">
        <f ca="1">(VLOOKUP(EB$72,INDIRECT($C$5&amp;"生成成长"),2))/((VLOOKUP($B217,INDIRECT($B$5&amp;"生成成长"),4))/(VLOOKUP(EB$72,INDIRECT($C$5&amp;"生成成长"),5))*(VLOOKUP($B$5,标准坦克设计!$B$24:$U$30,MATCH("对"&amp;LEFT($C$5,2)&amp;"输出",标准坦克设计!$B$23:$U$23,0)))*(VLOOKUP($B217,INDIRECT($B$5&amp;"生成成长"),3))*(VLOOKUP($B$5,标准坦克设计!$B$14:$K$20,9)/30))</f>
        <v>7.1938201126766019</v>
      </c>
      <c r="EC217" s="173">
        <f ca="1">(VLOOKUP(EC$72,INDIRECT($C$5&amp;"生成成长"),2))/((VLOOKUP($B217,INDIRECT($B$5&amp;"生成成长"),4))/(VLOOKUP(EC$72,INDIRECT($C$5&amp;"生成成长"),5))*(VLOOKUP($B$5,标准坦克设计!$B$24:$U$30,MATCH("对"&amp;LEFT($C$5,2)&amp;"输出",标准坦克设计!$B$23:$U$23,0)))*(VLOOKUP($B217,INDIRECT($B$5&amp;"生成成长"),3))*(VLOOKUP($B$5,标准坦克设计!$B$14:$K$20,9)/30))</f>
        <v>7.859573617094985</v>
      </c>
      <c r="ED217" s="173">
        <f ca="1">(VLOOKUP(ED$72,INDIRECT($C$5&amp;"生成成长"),2))/((VLOOKUP($B217,INDIRECT($B$5&amp;"生成成长"),4))/(VLOOKUP(ED$72,INDIRECT($C$5&amp;"生成成长"),5))*(VLOOKUP($B$5,标准坦克设计!$B$24:$U$30,MATCH("对"&amp;LEFT($C$5,2)&amp;"输出",标准坦克设计!$B$23:$U$23,0)))*(VLOOKUP($B217,INDIRECT($B$5&amp;"生成成长"),3))*(VLOOKUP($B$5,标准坦克设计!$B$14:$K$20,9)/30))</f>
        <v>8.5547852411778997</v>
      </c>
      <c r="EE217" s="173">
        <f ca="1">(VLOOKUP(EE$72,INDIRECT($C$5&amp;"生成成长"),2))/((VLOOKUP($B217,INDIRECT($B$5&amp;"生成成长"),4))/(VLOOKUP(EE$72,INDIRECT($C$5&amp;"生成成长"),5))*(VLOOKUP($B$5,标准坦克设计!$B$24:$U$30,MATCH("对"&amp;LEFT($C$5,2)&amp;"输出",标准坦克设计!$B$23:$U$23,0)))*(VLOOKUP($B217,INDIRECT($B$5&amp;"生成成长"),3))*(VLOOKUP($B$5,标准坦克设计!$B$14:$K$20,9)/30))</f>
        <v>9.2794549849253425</v>
      </c>
      <c r="EF217" s="173">
        <f ca="1">(VLOOKUP(EF$72,INDIRECT($C$5&amp;"生成成长"),2))/((VLOOKUP($B217,INDIRECT($B$5&amp;"生成成长"),4))/(VLOOKUP(EF$72,INDIRECT($C$5&amp;"生成成长"),5))*(VLOOKUP($B$5,标准坦克设计!$B$24:$U$30,MATCH("对"&amp;LEFT($C$5,2)&amp;"输出",标准坦克设计!$B$23:$U$23,0)))*(VLOOKUP($B217,INDIRECT($B$5&amp;"生成成长"),3))*(VLOOKUP($B$5,标准坦克设计!$B$14:$K$20,9)/30))</f>
        <v>10.033582848337316</v>
      </c>
      <c r="EG217" s="173">
        <f ca="1">(VLOOKUP(EG$72,INDIRECT($C$5&amp;"生成成长"),2))/((VLOOKUP($B217,INDIRECT($B$5&amp;"生成成长"),4))/(VLOOKUP(EG$72,INDIRECT($C$5&amp;"生成成长"),5))*(VLOOKUP($B$5,标准坦克设计!$B$24:$U$30,MATCH("对"&amp;LEFT($C$5,2)&amp;"输出",标准坦克设计!$B$23:$U$23,0)))*(VLOOKUP($B217,INDIRECT($B$5&amp;"生成成长"),3))*(VLOOKUP($B$5,标准坦克设计!$B$14:$K$20,9)/30))</f>
        <v>10.817168831413818</v>
      </c>
      <c r="EH217" s="173">
        <f ca="1">(VLOOKUP(EH$72,INDIRECT($C$5&amp;"生成成长"),2))/((VLOOKUP($B217,INDIRECT($B$5&amp;"生成成长"),4))/(VLOOKUP(EH$72,INDIRECT($C$5&amp;"生成成长"),5))*(VLOOKUP($B$5,标准坦克设计!$B$24:$U$30,MATCH("对"&amp;LEFT($C$5,2)&amp;"输出",标准坦克设计!$B$23:$U$23,0)))*(VLOOKUP($B217,INDIRECT($B$5&amp;"生成成长"),3))*(VLOOKUP($B$5,标准坦克设计!$B$14:$K$20,9)/30))</f>
        <v>11.630212934154855</v>
      </c>
      <c r="EI217" s="173">
        <f ca="1">(VLOOKUP(EI$72,INDIRECT($C$5&amp;"生成成长"),2))/((VLOOKUP($B217,INDIRECT($B$5&amp;"生成成长"),4))/(VLOOKUP(EI$72,INDIRECT($C$5&amp;"生成成长"),5))*(VLOOKUP($B$5,标准坦克设计!$B$24:$U$30,MATCH("对"&amp;LEFT($C$5,2)&amp;"输出",标准坦克设计!$B$23:$U$23,0)))*(VLOOKUP($B217,INDIRECT($B$5&amp;"生成成长"),3))*(VLOOKUP($B$5,标准坦克设计!$B$14:$K$20,9)/30))</f>
        <v>12.472715156560419</v>
      </c>
      <c r="EJ217" s="173">
        <f ca="1">(VLOOKUP(EJ$72,INDIRECT($C$5&amp;"生成成长"),2))/((VLOOKUP($B217,INDIRECT($B$5&amp;"生成成长"),4))/(VLOOKUP(EJ$72,INDIRECT($C$5&amp;"生成成长"),5))*(VLOOKUP($B$5,标准坦克设计!$B$24:$U$30,MATCH("对"&amp;LEFT($C$5,2)&amp;"输出",标准坦克设计!$B$23:$U$23,0)))*(VLOOKUP($B217,INDIRECT($B$5&amp;"生成成长"),3))*(VLOOKUP($B$5,标准坦克设计!$B$14:$K$20,9)/30))</f>
        <v>13.344675498630513</v>
      </c>
      <c r="EK217" s="173">
        <f ca="1">(VLOOKUP(EK$72,INDIRECT($C$5&amp;"生成成长"),2))/((VLOOKUP($B217,INDIRECT($B$5&amp;"生成成长"),4))/(VLOOKUP(EK$72,INDIRECT($C$5&amp;"生成成长"),5))*(VLOOKUP($B$5,标准坦克设计!$B$24:$U$30,MATCH("对"&amp;LEFT($C$5,2)&amp;"输出",标准坦克设计!$B$23:$U$23,0)))*(VLOOKUP($B217,INDIRECT($B$5&amp;"生成成长"),3))*(VLOOKUP($B$5,标准坦克设计!$B$14:$K$20,9)/30))</f>
        <v>14.429912627071806</v>
      </c>
      <c r="EL217" s="173">
        <f ca="1">(VLOOKUP(EL$72,INDIRECT($C$5&amp;"生成成长"),2))/((VLOOKUP($B217,INDIRECT($B$5&amp;"生成成长"),4))/(VLOOKUP(EL$72,INDIRECT($C$5&amp;"生成成长"),5))*(VLOOKUP($B$5,标准坦克设计!$B$24:$U$30,MATCH("对"&amp;LEFT($C$5,2)&amp;"输出",标准坦克设计!$B$23:$U$23,0)))*(VLOOKUP($B217,INDIRECT($B$5&amp;"生成成长"),3))*(VLOOKUP($B$5,标准坦克设计!$B$14:$K$20,9)/30))</f>
        <v>15.557569447830021</v>
      </c>
      <c r="EM217" s="173">
        <f ca="1">(VLOOKUP(EM$72,INDIRECT($C$5&amp;"生成成长"),2))/((VLOOKUP($B217,INDIRECT($B$5&amp;"生成成长"),4))/(VLOOKUP(EM$72,INDIRECT($C$5&amp;"生成成长"),5))*(VLOOKUP($B$5,标准坦克设计!$B$24:$U$30,MATCH("对"&amp;LEFT($C$5,2)&amp;"输出",标准坦克设计!$B$23:$U$23,0)))*(VLOOKUP($B217,INDIRECT($B$5&amp;"生成成长"),3))*(VLOOKUP($B$5,标准坦克设计!$B$14:$K$20,9)/30))</f>
        <v>16.727645960905164</v>
      </c>
      <c r="EN217" s="173">
        <f ca="1">(VLOOKUP(EN$72,INDIRECT($C$5&amp;"生成成长"),2))/((VLOOKUP($B217,INDIRECT($B$5&amp;"生成成长"),4))/(VLOOKUP(EN$72,INDIRECT($C$5&amp;"生成成长"),5))*(VLOOKUP($B$5,标准坦克设计!$B$24:$U$30,MATCH("对"&amp;LEFT($C$5,2)&amp;"输出",标准坦克设计!$B$23:$U$23,0)))*(VLOOKUP($B217,INDIRECT($B$5&amp;"生成成长"),3))*(VLOOKUP($B$5,标准坦克设计!$B$14:$K$20,9)/30))</f>
        <v>17.940142166297228</v>
      </c>
      <c r="EO217" s="173">
        <f ca="1">(VLOOKUP(EO$72,INDIRECT($C$5&amp;"生成成长"),2))/((VLOOKUP($B217,INDIRECT($B$5&amp;"生成成长"),4))/(VLOOKUP(EO$72,INDIRECT($C$5&amp;"生成成长"),5))*(VLOOKUP($B$5,标准坦克设计!$B$24:$U$30,MATCH("对"&amp;LEFT($C$5,2)&amp;"输出",标准坦克设计!$B$23:$U$23,0)))*(VLOOKUP($B217,INDIRECT($B$5&amp;"生成成长"),3))*(VLOOKUP($B$5,标准坦克设计!$B$14:$K$20,9)/30))</f>
        <v>19.195058064006215</v>
      </c>
      <c r="EP217" s="173">
        <f ca="1">(VLOOKUP(EP$72,INDIRECT($C$5&amp;"生成成长"),2))/((VLOOKUP($B217,INDIRECT($B$5&amp;"生成成长"),4))/(VLOOKUP(EP$72,INDIRECT($C$5&amp;"生成成长"),5))*(VLOOKUP($B$5,标准坦克设计!$B$24:$U$30,MATCH("对"&amp;LEFT($C$5,2)&amp;"输出",标准坦克设计!$B$23:$U$23,0)))*(VLOOKUP($B217,INDIRECT($B$5&amp;"生成成长"),3))*(VLOOKUP($B$5,标准坦克设计!$B$14:$K$20,9)/30))</f>
        <v>20.492393654032128</v>
      </c>
      <c r="EQ217" s="173">
        <f ca="1">(VLOOKUP(EQ$72,INDIRECT($C$5&amp;"生成成长"),2))/((VLOOKUP($B217,INDIRECT($B$5&amp;"生成成长"),4))/(VLOOKUP(EQ$72,INDIRECT($C$5&amp;"生成成长"),5))*(VLOOKUP($B$5,标准坦克设计!$B$24:$U$30,MATCH("对"&amp;LEFT($C$5,2)&amp;"输出",标准坦克设计!$B$23:$U$23,0)))*(VLOOKUP($B217,INDIRECT($B$5&amp;"生成成长"),3))*(VLOOKUP($B$5,标准坦克设计!$B$14:$K$20,9)/30))</f>
        <v>9.0589609592363356</v>
      </c>
      <c r="ER217" s="173">
        <f ca="1">(VLOOKUP(ER$72,INDIRECT($C$5&amp;"生成成长"),2))/((VLOOKUP($B217,INDIRECT($B$5&amp;"生成成长"),4))/(VLOOKUP(ER$72,INDIRECT($C$5&amp;"生成成长"),5))*(VLOOKUP($B$5,标准坦克设计!$B$24:$U$30,MATCH("对"&amp;LEFT($C$5,2)&amp;"输出",标准坦克设计!$B$23:$U$23,0)))*(VLOOKUP($B217,INDIRECT($B$5&amp;"生成成长"),3))*(VLOOKUP($B$5,标准坦克设计!$B$14:$K$20,9)/30))</f>
        <v>9.8804006260817587</v>
      </c>
      <c r="ES217" s="173">
        <f ca="1">(VLOOKUP(ES$72,INDIRECT($C$5&amp;"生成成长"),2))/((VLOOKUP($B217,INDIRECT($B$5&amp;"生成成长"),4))/(VLOOKUP(ES$72,INDIRECT($C$5&amp;"生成成长"),5))*(VLOOKUP($B$5,标准坦克设计!$B$24:$U$30,MATCH("对"&amp;LEFT($C$5,2)&amp;"输出",标准坦克设计!$B$23:$U$23,0)))*(VLOOKUP($B217,INDIRECT($B$5&amp;"生成成长"),3))*(VLOOKUP($B$5,标准坦克设计!$B$14:$K$20,9)/30))</f>
        <v>10.737484617721265</v>
      </c>
      <c r="ET217" s="173">
        <f ca="1">(VLOOKUP(ET$72,INDIRECT($C$5&amp;"生成成长"),2))/((VLOOKUP($B217,INDIRECT($B$5&amp;"生成成长"),4))/(VLOOKUP(ET$72,INDIRECT($C$5&amp;"生成成长"),5))*(VLOOKUP($B$5,标准坦克设计!$B$24:$U$30,MATCH("对"&amp;LEFT($C$5,2)&amp;"输出",标准坦克设计!$B$23:$U$23,0)))*(VLOOKUP($B217,INDIRECT($B$5&amp;"生成成长"),3))*(VLOOKUP($B$5,标准坦克设计!$B$14:$K$20,9)/30))</f>
        <v>11.630212934154855</v>
      </c>
      <c r="EU217" s="173">
        <f ca="1">(VLOOKUP(EU$72,INDIRECT($C$5&amp;"生成成长"),2))/((VLOOKUP($B217,INDIRECT($B$5&amp;"生成成长"),4))/(VLOOKUP(EU$72,INDIRECT($C$5&amp;"生成成长"),5))*(VLOOKUP($B$5,标准坦克设计!$B$24:$U$30,MATCH("对"&amp;LEFT($C$5,2)&amp;"输出",标准坦克设计!$B$23:$U$23,0)))*(VLOOKUP($B217,INDIRECT($B$5&amp;"生成成长"),3))*(VLOOKUP($B$5,标准坦克设计!$B$14:$K$20,9)/30))</f>
        <v>12.558585575382523</v>
      </c>
      <c r="EV217" s="173">
        <f ca="1">(VLOOKUP(EV$72,INDIRECT($C$5&amp;"生成成长"),2))/((VLOOKUP($B217,INDIRECT($B$5&amp;"生成成长"),4))/(VLOOKUP(EV$72,INDIRECT($C$5&amp;"生成成长"),5))*(VLOOKUP($B$5,标准坦克设计!$B$24:$U$30,MATCH("对"&amp;LEFT($C$5,2)&amp;"输出",标准坦克设计!$B$23:$U$23,0)))*(VLOOKUP($B217,INDIRECT($B$5&amp;"生成成长"),3))*(VLOOKUP($B$5,标准坦克设计!$B$14:$K$20,9)/30))</f>
        <v>13.522602541404275</v>
      </c>
      <c r="EW217" s="173">
        <f ca="1">(VLOOKUP(EW$72,INDIRECT($C$5&amp;"生成成长"),2))/((VLOOKUP($B217,INDIRECT($B$5&amp;"生成成长"),4))/(VLOOKUP(EW$72,INDIRECT($C$5&amp;"生成成长"),5))*(VLOOKUP($B$5,标准坦克设计!$B$24:$U$30,MATCH("对"&amp;LEFT($C$5,2)&amp;"输出",标准坦克设计!$B$23:$U$23,0)))*(VLOOKUP($B217,INDIRECT($B$5&amp;"生成成长"),3))*(VLOOKUP($B$5,标准坦克设计!$B$14:$K$20,9)/30))</f>
        <v>14.522263832220109</v>
      </c>
      <c r="EX217" s="173">
        <f ca="1">(VLOOKUP(EX$72,INDIRECT($C$5&amp;"生成成长"),2))/((VLOOKUP($B217,INDIRECT($B$5&amp;"生成成长"),4))/(VLOOKUP(EX$72,INDIRECT($C$5&amp;"生成成长"),5))*(VLOOKUP($B$5,标准坦克设计!$B$24:$U$30,MATCH("对"&amp;LEFT($C$5,2)&amp;"输出",标准坦克设计!$B$23:$U$23,0)))*(VLOOKUP($B217,INDIRECT($B$5&amp;"生成成长"),3))*(VLOOKUP($B$5,标准坦克设计!$B$14:$K$20,9)/30))</f>
        <v>15.557569447830021</v>
      </c>
      <c r="EY217" s="173">
        <f ca="1">(VLOOKUP(EY$72,INDIRECT($C$5&amp;"生成成长"),2))/((VLOOKUP($B217,INDIRECT($B$5&amp;"生成成长"),4))/(VLOOKUP(EY$72,INDIRECT($C$5&amp;"生成成长"),5))*(VLOOKUP($B$5,标准坦克设计!$B$24:$U$30,MATCH("对"&amp;LEFT($C$5,2)&amp;"输出",标准坦克设计!$B$23:$U$23,0)))*(VLOOKUP($B217,INDIRECT($B$5&amp;"生成成长"),3))*(VLOOKUP($B$5,标准坦克设计!$B$14:$K$20,9)/30))</f>
        <v>16.628519388234018</v>
      </c>
      <c r="EZ217" s="173">
        <f ca="1">(VLOOKUP(EZ$72,INDIRECT($C$5&amp;"生成成长"),2))/((VLOOKUP($B217,INDIRECT($B$5&amp;"生成成长"),4))/(VLOOKUP(EZ$72,INDIRECT($C$5&amp;"生成成长"),5))*(VLOOKUP($B$5,标准坦克设计!$B$24:$U$30,MATCH("对"&amp;LEFT($C$5,2)&amp;"输出",标准坦克设计!$B$23:$U$23,0)))*(VLOOKUP($B217,INDIRECT($B$5&amp;"生成成长"),3))*(VLOOKUP($B$5,标准坦克设计!$B$14:$K$20,9)/30))</f>
        <v>17.735113653432098</v>
      </c>
      <c r="FA217" s="173">
        <f ca="1">(VLOOKUP(FA$72,INDIRECT($C$5&amp;"生成成长"),2))/((VLOOKUP($B217,INDIRECT($B$5&amp;"生成成长"),4))/(VLOOKUP(FA$72,INDIRECT($C$5&amp;"生成成长"),5))*(VLOOKUP($B$5,标准坦克设计!$B$24:$U$30,MATCH("对"&amp;LEFT($C$5,2)&amp;"输出",标准坦克设计!$B$23:$U$23,0)))*(VLOOKUP($B217,INDIRECT($B$5&amp;"生成成长"),3))*(VLOOKUP($B$5,标准坦克设计!$B$14:$K$20,9)/30))</f>
        <v>18.877352243424255</v>
      </c>
      <c r="FB217" s="173">
        <f ca="1">(VLOOKUP(FB$72,INDIRECT($C$5&amp;"生成成长"),2))/((VLOOKUP($B217,INDIRECT($B$5&amp;"生成成长"),4))/(VLOOKUP(FB$72,INDIRECT($C$5&amp;"生成成长"),5))*(VLOOKUP($B$5,标准坦克设计!$B$24:$U$30,MATCH("对"&amp;LEFT($C$5,2)&amp;"输出",标准坦克设计!$B$23:$U$23,0)))*(VLOOKUP($B217,INDIRECT($B$5&amp;"生成成长"),3))*(VLOOKUP($B$5,标准坦克设计!$B$14:$K$20,9)/30))</f>
        <v>20.055235158210497</v>
      </c>
      <c r="FC217" s="173">
        <f ca="1">(VLOOKUP(FC$72,INDIRECT($C$5&amp;"生成成长"),2))/((VLOOKUP($B217,INDIRECT($B$5&amp;"生成成长"),4))/(VLOOKUP(FC$72,INDIRECT($C$5&amp;"生成成长"),5))*(VLOOKUP($B$5,标准坦克设计!$B$24:$U$30,MATCH("对"&amp;LEFT($C$5,2)&amp;"输出",标准坦克设计!$B$23:$U$23,0)))*(VLOOKUP($B217,INDIRECT($B$5&amp;"生成成长"),3))*(VLOOKUP($B$5,标准坦克设计!$B$14:$K$20,9)/30))</f>
        <v>21.26876239779082</v>
      </c>
      <c r="FD217" s="173">
        <f ca="1">(VLOOKUP(FD$72,INDIRECT($C$5&amp;"生成成长"),2))/((VLOOKUP($B217,INDIRECT($B$5&amp;"生成成长"),4))/(VLOOKUP(FD$72,INDIRECT($C$5&amp;"生成成长"),5))*(VLOOKUP($B$5,标准坦克设计!$B$24:$U$30,MATCH("对"&amp;LEFT($C$5,2)&amp;"输出",标准坦克设计!$B$23:$U$23,0)))*(VLOOKUP($B217,INDIRECT($B$5&amp;"生成成长"),3))*(VLOOKUP($B$5,标准坦克设计!$B$14:$K$20,9)/30))</f>
        <v>22.517933962165223</v>
      </c>
      <c r="FE217" s="173">
        <f ca="1">(VLOOKUP(FE$72,INDIRECT($C$5&amp;"生成成长"),2))/((VLOOKUP($B217,INDIRECT($B$5&amp;"生成成长"),4))/(VLOOKUP(FE$72,INDIRECT($C$5&amp;"生成成长"),5))*(VLOOKUP($B$5,标准坦克设计!$B$24:$U$30,MATCH("对"&amp;LEFT($C$5,2)&amp;"输出",标准坦克设计!$B$23:$U$23,0)))*(VLOOKUP($B217,INDIRECT($B$5&amp;"生成成长"),3))*(VLOOKUP($B$5,标准坦克设计!$B$14:$K$20,9)/30))</f>
        <v>24.040182295829826</v>
      </c>
      <c r="FF217" s="173">
        <f ca="1">(VLOOKUP(FF$72,INDIRECT($C$5&amp;"生成成长"),2))/((VLOOKUP($B217,INDIRECT($B$5&amp;"生成成长"),4))/(VLOOKUP(FF$72,INDIRECT($C$5&amp;"生成成长"),5))*(VLOOKUP($B$5,标准坦克设计!$B$24:$U$30,MATCH("对"&amp;LEFT($C$5,2)&amp;"输出",标准坦克设计!$B$23:$U$23,0)))*(VLOOKUP($B217,INDIRECT($B$5&amp;"生成成长"),3))*(VLOOKUP($B$5,标准坦克设计!$B$14:$K$20,9)/30))</f>
        <v>25.612214851727476</v>
      </c>
      <c r="FG217" s="173">
        <f ca="1">(VLOOKUP(FG$72,INDIRECT($C$5&amp;"生成成长"),2))/((VLOOKUP($B217,INDIRECT($B$5&amp;"生成成长"),4))/(VLOOKUP(FG$72,INDIRECT($C$5&amp;"生成成长"),5))*(VLOOKUP($B$5,标准坦克设计!$B$24:$U$30,MATCH("对"&amp;LEFT($C$5,2)&amp;"输出",标准坦克设计!$B$23:$U$23,0)))*(VLOOKUP($B217,INDIRECT($B$5&amp;"生成成长"),3))*(VLOOKUP($B$5,标准坦克设计!$B$14:$K$20,9)/30))</f>
        <v>27.234031629858187</v>
      </c>
      <c r="FH217" s="173">
        <f ca="1">(VLOOKUP(FH$72,INDIRECT($C$5&amp;"生成成长"),2))/((VLOOKUP($B217,INDIRECT($B$5&amp;"生成成长"),4))/(VLOOKUP(FH$72,INDIRECT($C$5&amp;"生成成长"),5))*(VLOOKUP($B$5,标准坦克设计!$B$24:$U$30,MATCH("对"&amp;LEFT($C$5,2)&amp;"输出",标准坦克设计!$B$23:$U$23,0)))*(VLOOKUP($B217,INDIRECT($B$5&amp;"生成成长"),3))*(VLOOKUP($B$5,标准坦克设计!$B$14:$K$20,9)/30))</f>
        <v>28.905632630221955</v>
      </c>
      <c r="FI217" s="173">
        <f ca="1">(VLOOKUP(FI$72,INDIRECT($C$5&amp;"生成成长"),2))/((VLOOKUP($B217,INDIRECT($B$5&amp;"生成成长"),4))/(VLOOKUP(FI$72,INDIRECT($C$5&amp;"生成成长"),5))*(VLOOKUP($B$5,标准坦克设计!$B$24:$U$30,MATCH("对"&amp;LEFT($C$5,2)&amp;"输出",标准坦克设计!$B$23:$U$23,0)))*(VLOOKUP($B217,INDIRECT($B$5&amp;"生成成长"),3))*(VLOOKUP($B$5,标准坦克设计!$B$14:$K$20,9)/30))</f>
        <v>30.627017852818781</v>
      </c>
      <c r="FJ217" s="173">
        <f ca="1">(VLOOKUP(FJ$72,INDIRECT($C$5&amp;"生成成长"),2))/((VLOOKUP($B217,INDIRECT($B$5&amp;"生成成长"),4))/(VLOOKUP(FJ$72,INDIRECT($C$5&amp;"生成成长"),5))*(VLOOKUP($B$5,标准坦克设计!$B$24:$U$30,MATCH("对"&amp;LEFT($C$5,2)&amp;"输出",标准坦克设计!$B$23:$U$23,0)))*(VLOOKUP($B217,INDIRECT($B$5&amp;"生成成长"),3))*(VLOOKUP($B$5,标准坦克设计!$B$14:$K$20,9)/30))</f>
        <v>32.398187297648654</v>
      </c>
      <c r="FK217" s="173">
        <f ca="1">(VLOOKUP(FK$72,INDIRECT($C$5&amp;"生成成长"),2))/((VLOOKUP($B217,INDIRECT($B$5&amp;"生成成长"),4))/(VLOOKUP(FK$72,INDIRECT($C$5&amp;"生成成长"),5))*(VLOOKUP($B$5,标准坦克设计!$B$24:$U$30,MATCH("对"&amp;LEFT($C$5,2)&amp;"输出",标准坦克设计!$B$23:$U$23,0)))*(VLOOKUP($B217,INDIRECT($B$5&amp;"生成成长"),3))*(VLOOKUP($B$5,标准坦克设计!$B$14:$K$20,9)/30))</f>
        <v>34.219140964711599</v>
      </c>
    </row>
    <row r="218" spans="1:167" x14ac:dyDescent="0.15">
      <c r="A218" s="171" t="str">
        <f t="shared" si="13"/>
        <v>T5高品质2级</v>
      </c>
      <c r="B218" s="172">
        <v>30502</v>
      </c>
      <c r="C218" s="173">
        <f ca="1">(VLOOKUP(C$72,INDIRECT($C$5&amp;"生成成长"),2))/((VLOOKUP($B218,INDIRECT($B$5&amp;"生成成长"),4))/(VLOOKUP(C$72,INDIRECT($C$5&amp;"生成成长"),5))*(VLOOKUP($B$5,标准坦克设计!$B$24:$U$30,MATCH("对"&amp;LEFT($C$5,2)&amp;"输出",标准坦克设计!$B$23:$U$23,0)))*(VLOOKUP($B218,INDIRECT($B$5&amp;"生成成长"),3))*(VLOOKUP($B$5,标准坦克设计!$B$14:$K$20,9)/30))</f>
        <v>1.3555792517965775</v>
      </c>
      <c r="D218" s="173">
        <f ca="1">(VLOOKUP(D$72,INDIRECT($C$5&amp;"生成成长"),2))/((VLOOKUP($B218,INDIRECT($B$5&amp;"生成成长"),4))/(VLOOKUP(D$72,INDIRECT($C$5&amp;"生成成长"),5))*(VLOOKUP($B$5,标准坦克设计!$B$24:$U$30,MATCH("对"&amp;LEFT($C$5,2)&amp;"输出",标准坦克设计!$B$23:$U$23,0)))*(VLOOKUP($B218,INDIRECT($B$5&amp;"生成成长"),3))*(VLOOKUP($B$5,标准坦克设计!$B$14:$K$20,9)/30))</f>
        <v>1.5231288473186344</v>
      </c>
      <c r="E218" s="173">
        <f ca="1">(VLOOKUP(E$72,INDIRECT($C$5&amp;"生成成长"),2))/((VLOOKUP($B218,INDIRECT($B$5&amp;"生成成长"),4))/(VLOOKUP(E$72,INDIRECT($C$5&amp;"生成成长"),5))*(VLOOKUP($B$5,标准坦克设计!$B$24:$U$30,MATCH("对"&amp;LEFT($C$5,2)&amp;"输出",标准坦克设计!$B$23:$U$23,0)))*(VLOOKUP($B218,INDIRECT($B$5&amp;"生成成长"),3))*(VLOOKUP($B$5,标准坦克设计!$B$14:$K$20,9)/30))</f>
        <v>1.7004386134536269</v>
      </c>
      <c r="F218" s="173">
        <f ca="1">(VLOOKUP(F$72,INDIRECT($C$5&amp;"生成成长"),2))/((VLOOKUP($B218,INDIRECT($B$5&amp;"生成成长"),4))/(VLOOKUP(F$72,INDIRECT($C$5&amp;"生成成长"),5))*(VLOOKUP($B$5,标准坦克设计!$B$24:$U$30,MATCH("对"&amp;LEFT($C$5,2)&amp;"输出",标准坦克设计!$B$23:$U$23,0)))*(VLOOKUP($B218,INDIRECT($B$5&amp;"生成成长"),3))*(VLOOKUP($B$5,标准坦克设计!$B$14:$K$20,9)/30))</f>
        <v>1.8875085502015545</v>
      </c>
      <c r="G218" s="173">
        <f ca="1">(VLOOKUP(G$72,INDIRECT($C$5&amp;"生成成长"),2))/((VLOOKUP($B218,INDIRECT($B$5&amp;"生成成长"),4))/(VLOOKUP(G$72,INDIRECT($C$5&amp;"生成成长"),5))*(VLOOKUP($B$5,标准坦克设计!$B$24:$U$30,MATCH("对"&amp;LEFT($C$5,2)&amp;"输出",标准坦克设计!$B$23:$U$23,0)))*(VLOOKUP($B218,INDIRECT($B$5&amp;"生成成长"),3))*(VLOOKUP($B$5,标准坦克设计!$B$14:$K$20,9)/30))</f>
        <v>2.0843386575624177</v>
      </c>
      <c r="H218" s="173">
        <f ca="1">(VLOOKUP(H$72,INDIRECT($C$5&amp;"生成成长"),2))/((VLOOKUP($B218,INDIRECT($B$5&amp;"生成成长"),4))/(VLOOKUP(H$72,INDIRECT($C$5&amp;"生成成长"),5))*(VLOOKUP($B$5,标准坦克设计!$B$24:$U$30,MATCH("对"&amp;LEFT($C$5,2)&amp;"输出",标准坦克设计!$B$23:$U$23,0)))*(VLOOKUP($B218,INDIRECT($B$5&amp;"生成成长"),3))*(VLOOKUP($B$5,标准坦克设计!$B$14:$K$20,9)/30))</f>
        <v>1.8240674412174751</v>
      </c>
      <c r="I218" s="173">
        <f ca="1">(VLOOKUP(I$72,INDIRECT($C$5&amp;"生成成长"),2))/((VLOOKUP($B218,INDIRECT($B$5&amp;"生成成长"),4))/(VLOOKUP(I$72,INDIRECT($C$5&amp;"生成成长"),5))*(VLOOKUP($B$5,标准坦克设计!$B$24:$U$30,MATCH("对"&amp;LEFT($C$5,2)&amp;"输出",标准坦克设计!$B$23:$U$23,0)))*(VLOOKUP($B218,INDIRECT($B$5&amp;"生成成长"),3))*(VLOOKUP($B$5,标准坦克设计!$B$14:$K$20,9)/30))</f>
        <v>2.0843386575624177</v>
      </c>
      <c r="J218" s="173">
        <f ca="1">(VLOOKUP(J$72,INDIRECT($C$5&amp;"生成成长"),2))/((VLOOKUP($B218,INDIRECT($B$5&amp;"生成成长"),4))/(VLOOKUP(J$72,INDIRECT($C$5&amp;"生成成长"),5))*(VLOOKUP($B$5,标准坦克设计!$B$24:$U$30,MATCH("对"&amp;LEFT($C$5,2)&amp;"输出",标准坦克设计!$B$23:$U$23,0)))*(VLOOKUP($B218,INDIRECT($B$5&amp;"生成成长"),3))*(VLOOKUP($B$5,标准坦克设计!$B$14:$K$20,9)/30))</f>
        <v>2.3619612883303565</v>
      </c>
      <c r="K218" s="173">
        <f ca="1">(VLOOKUP(K$72,INDIRECT($C$5&amp;"生成成长"),2))/((VLOOKUP($B218,INDIRECT($B$5&amp;"生成成长"),4))/(VLOOKUP(K$72,INDIRECT($C$5&amp;"生成成长"),5))*(VLOOKUP($B$5,标准坦克设计!$B$24:$U$30,MATCH("对"&amp;LEFT($C$5,2)&amp;"输出",标准坦克设计!$B$23:$U$23,0)))*(VLOOKUP($B218,INDIRECT($B$5&amp;"生成成长"),3))*(VLOOKUP($B$5,标准坦克设计!$B$14:$K$20,9)/30))</f>
        <v>2.6569353335212917</v>
      </c>
      <c r="L218" s="173">
        <f ca="1">(VLOOKUP(L$72,INDIRECT($C$5&amp;"生成成长"),2))/((VLOOKUP($B218,INDIRECT($B$5&amp;"生成成长"),4))/(VLOOKUP(L$72,INDIRECT($C$5&amp;"生成成长"),5))*(VLOOKUP($B$5,标准坦克设计!$B$24:$U$30,MATCH("对"&amp;LEFT($C$5,2)&amp;"输出",标准坦克设计!$B$23:$U$23,0)))*(VLOOKUP($B218,INDIRECT($B$5&amp;"生成成长"),3))*(VLOOKUP($B$5,标准坦克设计!$B$14:$K$20,9)/30))</f>
        <v>2.9692607931352235</v>
      </c>
      <c r="M218" s="173">
        <f ca="1">(VLOOKUP(M$72,INDIRECT($C$5&amp;"生成成长"),2))/((VLOOKUP($B218,INDIRECT($B$5&amp;"生成成长"),4))/(VLOOKUP(M$72,INDIRECT($C$5&amp;"生成成长"),5))*(VLOOKUP($B$5,标准坦克设计!$B$24:$U$30,MATCH("对"&amp;LEFT($C$5,2)&amp;"输出",标准坦克设计!$B$23:$U$23,0)))*(VLOOKUP($B218,INDIRECT($B$5&amp;"生成成长"),3))*(VLOOKUP($B$5,标准坦克设计!$B$14:$K$20,9)/30))</f>
        <v>3.2989376671721513</v>
      </c>
      <c r="N218" s="173">
        <f ca="1">(VLOOKUP(N$72,INDIRECT($C$5&amp;"生成成长"),2))/((VLOOKUP($B218,INDIRECT($B$5&amp;"生成成长"),4))/(VLOOKUP(N$72,INDIRECT($C$5&amp;"生成成长"),5))*(VLOOKUP($B$5,标准坦克设计!$B$24:$U$30,MATCH("对"&amp;LEFT($C$5,2)&amp;"输出",标准坦克设计!$B$23:$U$23,0)))*(VLOOKUP($B218,INDIRECT($B$5&amp;"生成成长"),3))*(VLOOKUP($B$5,标准坦克设计!$B$14:$K$20,9)/30))</f>
        <v>3.6459659556320752</v>
      </c>
      <c r="O218" s="173">
        <f ca="1">(VLOOKUP(O$72,INDIRECT($C$5&amp;"生成成长"),2))/((VLOOKUP($B218,INDIRECT($B$5&amp;"生成成长"),4))/(VLOOKUP(O$72,INDIRECT($C$5&amp;"生成成长"),5))*(VLOOKUP($B$5,标准坦克设计!$B$24:$U$30,MATCH("对"&amp;LEFT($C$5,2)&amp;"输出",标准坦克设计!$B$23:$U$23,0)))*(VLOOKUP($B218,INDIRECT($B$5&amp;"生成成长"),3))*(VLOOKUP($B$5,标准坦克设计!$B$14:$K$20,9)/30))</f>
        <v>2.7720240119988215</v>
      </c>
      <c r="P218" s="173">
        <f ca="1">(VLOOKUP(P$72,INDIRECT($C$5&amp;"生成成长"),2))/((VLOOKUP($B218,INDIRECT($B$5&amp;"生成成长"),4))/(VLOOKUP(P$72,INDIRECT($C$5&amp;"生成成长"),5))*(VLOOKUP($B$5,标准坦克设计!$B$24:$U$30,MATCH("对"&amp;LEFT($C$5,2)&amp;"输出",标准坦克设计!$B$23:$U$23,0)))*(VLOOKUP($B218,INDIRECT($B$5&amp;"生成成长"),3))*(VLOOKUP($B$5,标准坦克设计!$B$14:$K$20,9)/30))</f>
        <v>3.1319303033508126</v>
      </c>
      <c r="Q218" s="173">
        <f ca="1">(VLOOKUP(Q$72,INDIRECT($C$5&amp;"生成成长"),2))/((VLOOKUP($B218,INDIRECT($B$5&amp;"生成成长"),4))/(VLOOKUP(Q$72,INDIRECT($C$5&amp;"生成成长"),5))*(VLOOKUP($B$5,标准坦克设计!$B$24:$U$30,MATCH("对"&amp;LEFT($C$5,2)&amp;"输出",标准坦克设计!$B$23:$U$23,0)))*(VLOOKUP($B218,INDIRECT($B$5&amp;"生成成长"),3))*(VLOOKUP($B$5,标准坦克设计!$B$14:$K$20,9)/30))</f>
        <v>3.5137969785819085</v>
      </c>
      <c r="R218" s="173">
        <f ca="1">(VLOOKUP(R$72,INDIRECT($C$5&amp;"生成成长"),2))/((VLOOKUP($B218,INDIRECT($B$5&amp;"生成成长"),4))/(VLOOKUP(R$72,INDIRECT($C$5&amp;"生成成长"),5))*(VLOOKUP($B$5,标准坦克设计!$B$24:$U$30,MATCH("对"&amp;LEFT($C$5,2)&amp;"输出",标准坦克设计!$B$23:$U$23,0)))*(VLOOKUP($B218,INDIRECT($B$5&amp;"生成成长"),3))*(VLOOKUP($B$5,标准坦克设计!$B$14:$K$20,9)/30))</f>
        <v>3.9176240376921094</v>
      </c>
      <c r="S218" s="173">
        <f ca="1">(VLOOKUP(S$72,INDIRECT($C$5&amp;"生成成长"),2))/((VLOOKUP($B218,INDIRECT($B$5&amp;"生成成长"),4))/(VLOOKUP(S$72,INDIRECT($C$5&amp;"生成成长"),5))*(VLOOKUP($B$5,标准坦克设计!$B$24:$U$30,MATCH("对"&amp;LEFT($C$5,2)&amp;"输出",标准坦克设计!$B$23:$U$23,0)))*(VLOOKUP($B218,INDIRECT($B$5&amp;"生成成长"),3))*(VLOOKUP($B$5,标准坦克设计!$B$14:$K$20,9)/30))</f>
        <v>4.3434114806814144</v>
      </c>
      <c r="T218" s="173">
        <f ca="1">(VLOOKUP(T$72,INDIRECT($C$5&amp;"生成成长"),2))/((VLOOKUP($B218,INDIRECT($B$5&amp;"生成成长"),4))/(VLOOKUP(T$72,INDIRECT($C$5&amp;"生成成长"),5))*(VLOOKUP($B$5,标准坦克设计!$B$24:$U$30,MATCH("对"&amp;LEFT($C$5,2)&amp;"输出",标准坦克设计!$B$23:$U$23,0)))*(VLOOKUP($B218,INDIRECT($B$5&amp;"生成成长"),3))*(VLOOKUP($B$5,标准坦克设计!$B$14:$K$20,9)/30))</f>
        <v>4.7911593075498233</v>
      </c>
      <c r="U218" s="173">
        <f ca="1">(VLOOKUP(U$72,INDIRECT($C$5&amp;"生成成长"),2))/((VLOOKUP($B218,INDIRECT($B$5&amp;"生成成长"),4))/(VLOOKUP(U$72,INDIRECT($C$5&amp;"生成成长"),5))*(VLOOKUP($B$5,标准坦克设计!$B$24:$U$30,MATCH("对"&amp;LEFT($C$5,2)&amp;"输出",标准坦克设计!$B$23:$U$23,0)))*(VLOOKUP($B218,INDIRECT($B$5&amp;"生成成长"),3))*(VLOOKUP($B$5,标准坦克设计!$B$14:$K$20,9)/30))</f>
        <v>5.2608675182973386</v>
      </c>
      <c r="V218" s="173">
        <f ca="1">(VLOOKUP(V$72,INDIRECT($C$5&amp;"生成成长"),2))/((VLOOKUP($B218,INDIRECT($B$5&amp;"生成成长"),4))/(VLOOKUP(V$72,INDIRECT($C$5&amp;"生成成长"),5))*(VLOOKUP($B$5,标准坦克设计!$B$24:$U$30,MATCH("对"&amp;LEFT($C$5,2)&amp;"输出",标准坦克设计!$B$23:$U$23,0)))*(VLOOKUP($B218,INDIRECT($B$5&amp;"生成成长"),3))*(VLOOKUP($B$5,标准坦克设计!$B$14:$K$20,9)/30))</f>
        <v>5.7525361129239565</v>
      </c>
      <c r="W218" s="173">
        <f ca="1">(VLOOKUP(W$72,INDIRECT($C$5&amp;"生成成长"),2))/((VLOOKUP($B218,INDIRECT($B$5&amp;"生成成长"),4))/(VLOOKUP(W$72,INDIRECT($C$5&amp;"生成成长"),5))*(VLOOKUP($B$5,标准坦克设计!$B$24:$U$30,MATCH("对"&amp;LEFT($C$5,2)&amp;"输出",标准坦克设计!$B$23:$U$23,0)))*(VLOOKUP($B218,INDIRECT($B$5&amp;"生成成长"),3))*(VLOOKUP($B$5,标准坦克设计!$B$14:$K$20,9)/30))</f>
        <v>6.2661650914296798</v>
      </c>
      <c r="X218" s="173">
        <f ca="1">(VLOOKUP(X$72,INDIRECT($C$5&amp;"生成成长"),2))/((VLOOKUP($B218,INDIRECT($B$5&amp;"生成成长"),4))/(VLOOKUP(X$72,INDIRECT($C$5&amp;"生成成长"),5))*(VLOOKUP($B$5,标准坦克设计!$B$24:$U$30,MATCH("对"&amp;LEFT($C$5,2)&amp;"输出",标准坦克设计!$B$23:$U$23,0)))*(VLOOKUP($B218,INDIRECT($B$5&amp;"生成成长"),3))*(VLOOKUP($B$5,标准坦克设计!$B$14:$K$20,9)/30))</f>
        <v>4.5396993563415586</v>
      </c>
      <c r="Y218" s="173">
        <f ca="1">(VLOOKUP(Y$72,INDIRECT($C$5&amp;"生成成长"),2))/((VLOOKUP($B218,INDIRECT($B$5&amp;"生成成长"),4))/(VLOOKUP(Y$72,INDIRECT($C$5&amp;"生成成长"),5))*(VLOOKUP($B$5,标准坦克设计!$B$24:$U$30,MATCH("对"&amp;LEFT($C$5,2)&amp;"输出",标准坦克设计!$B$23:$U$23,0)))*(VLOOKUP($B218,INDIRECT($B$5&amp;"生成成长"),3))*(VLOOKUP($B$5,标准坦克设计!$B$14:$K$20,9)/30))</f>
        <v>5.0493971550170711</v>
      </c>
      <c r="Z218" s="173">
        <f ca="1">(VLOOKUP(Z$72,INDIRECT($C$5&amp;"生成成长"),2))/((VLOOKUP($B218,INDIRECT($B$5&amp;"生成成长"),4))/(VLOOKUP(Z$72,INDIRECT($C$5&amp;"生成成长"),5))*(VLOOKUP($B$5,标准坦克设计!$B$24:$U$30,MATCH("对"&amp;LEFT($C$5,2)&amp;"输出",标准坦克设计!$B$23:$U$23,0)))*(VLOOKUP($B218,INDIRECT($B$5&amp;"生成成长"),3))*(VLOOKUP($B$5,标准坦克设计!$B$14:$K$20,9)/30))</f>
        <v>5.5862065387285158</v>
      </c>
      <c r="AA218" s="173">
        <f ca="1">(VLOOKUP(AA$72,INDIRECT($C$5&amp;"生成成长"),2))/((VLOOKUP($B218,INDIRECT($B$5&amp;"生成成长"),4))/(VLOOKUP(AA$72,INDIRECT($C$5&amp;"生成成长"),5))*(VLOOKUP($B$5,标准坦克设计!$B$24:$U$30,MATCH("对"&amp;LEFT($C$5,2)&amp;"输出",标准坦克设计!$B$23:$U$23,0)))*(VLOOKUP($B218,INDIRECT($B$5&amp;"生成成长"),3))*(VLOOKUP($B$5,标准坦克设计!$B$14:$K$20,9)/30))</f>
        <v>6.1501275074758928</v>
      </c>
      <c r="AB218" s="173">
        <f ca="1">(VLOOKUP(AB$72,INDIRECT($C$5&amp;"生成成长"),2))/((VLOOKUP($B218,INDIRECT($B$5&amp;"生成成长"),4))/(VLOOKUP(AB$72,INDIRECT($C$5&amp;"生成成长"),5))*(VLOOKUP($B$5,标准坦克设计!$B$24:$U$30,MATCH("对"&amp;LEFT($C$5,2)&amp;"输出",标准坦克设计!$B$23:$U$23,0)))*(VLOOKUP($B218,INDIRECT($B$5&amp;"生成成长"),3))*(VLOOKUP($B$5,标准坦克设计!$B$14:$K$20,9)/30))</f>
        <v>6.7411600612592011</v>
      </c>
      <c r="AC218" s="173">
        <f ca="1">(VLOOKUP(AC$72,INDIRECT($C$5&amp;"生成成长"),2))/((VLOOKUP($B218,INDIRECT($B$5&amp;"生成成长"),4))/(VLOOKUP(AC$72,INDIRECT($C$5&amp;"生成成长"),5))*(VLOOKUP($B$5,标准坦克设计!$B$24:$U$30,MATCH("对"&amp;LEFT($C$5,2)&amp;"输出",标准坦克设计!$B$23:$U$23,0)))*(VLOOKUP($B218,INDIRECT($B$5&amp;"生成成长"),3))*(VLOOKUP($B$5,标准坦克设计!$B$14:$K$20,9)/30))</f>
        <v>7.3593042000784399</v>
      </c>
      <c r="AD218" s="173">
        <f ca="1">(VLOOKUP(AD$72,INDIRECT($C$5&amp;"生成成长"),2))/((VLOOKUP($B218,INDIRECT($B$5&amp;"生成成长"),4))/(VLOOKUP(AD$72,INDIRECT($C$5&amp;"生成成长"),5))*(VLOOKUP($B$5,标准坦克设计!$B$24:$U$30,MATCH("对"&amp;LEFT($C$5,2)&amp;"输出",标准坦克设计!$B$23:$U$23,0)))*(VLOOKUP($B218,INDIRECT($B$5&amp;"生成成长"),3))*(VLOOKUP($B$5,标准坦克设计!$B$14:$K$20,9)/30))</f>
        <v>8.0045599239336127</v>
      </c>
      <c r="AE218" s="173">
        <f ca="1">(VLOOKUP(AE$72,INDIRECT($C$5&amp;"生成成长"),2))/((VLOOKUP($B218,INDIRECT($B$5&amp;"生成成长"),4))/(VLOOKUP(AE$72,INDIRECT($C$5&amp;"生成成长"),5))*(VLOOKUP($B$5,标准坦克设计!$B$24:$U$30,MATCH("对"&amp;LEFT($C$5,2)&amp;"输出",标准坦克设计!$B$23:$U$23,0)))*(VLOOKUP($B218,INDIRECT($B$5&amp;"生成成长"),3))*(VLOOKUP($B$5,标准坦克设计!$B$14:$K$20,9)/30))</f>
        <v>8.6769272328247133</v>
      </c>
      <c r="AF218" s="173">
        <f ca="1">(VLOOKUP(AF$72,INDIRECT($C$5&amp;"生成成长"),2))/((VLOOKUP($B218,INDIRECT($B$5&amp;"生成成长"),4))/(VLOOKUP(AF$72,INDIRECT($C$5&amp;"生成成长"),5))*(VLOOKUP($B$5,标准坦克设计!$B$24:$U$30,MATCH("对"&amp;LEFT($C$5,2)&amp;"输出",标准坦克设计!$B$23:$U$23,0)))*(VLOOKUP($B218,INDIRECT($B$5&amp;"生成成长"),3))*(VLOOKUP($B$5,标准坦克设计!$B$14:$K$20,9)/30))</f>
        <v>9.3764061267517498</v>
      </c>
      <c r="AG218" s="173">
        <f ca="1">(VLOOKUP(AG$72,INDIRECT($C$5&amp;"生成成长"),2))/((VLOOKUP($B218,INDIRECT($B$5&amp;"生成成长"),4))/(VLOOKUP(AG$72,INDIRECT($C$5&amp;"生成成长"),5))*(VLOOKUP($B$5,标准坦克设计!$B$24:$U$30,MATCH("对"&amp;LEFT($C$5,2)&amp;"输出",标准坦克设计!$B$23:$U$23,0)))*(VLOOKUP($B218,INDIRECT($B$5&amp;"生成成长"),3))*(VLOOKUP($B$5,标准坦克设计!$B$14:$K$20,9)/30))</f>
        <v>10.102996605714715</v>
      </c>
      <c r="AH218" s="173">
        <f ca="1">(VLOOKUP(AH$72,INDIRECT($C$5&amp;"生成成长"),2))/((VLOOKUP($B218,INDIRECT($B$5&amp;"生成成长"),4))/(VLOOKUP(AH$72,INDIRECT($C$5&amp;"生成成长"),5))*(VLOOKUP($B$5,标准坦克设计!$B$24:$U$30,MATCH("对"&amp;LEFT($C$5,2)&amp;"输出",标准坦克设计!$B$23:$U$23,0)))*(VLOOKUP($B218,INDIRECT($B$5&amp;"生成成长"),3))*(VLOOKUP($B$5,标准坦克设计!$B$14:$K$20,9)/30))</f>
        <v>10.856698669713612</v>
      </c>
      <c r="AI218" s="173">
        <f ca="1">(VLOOKUP(AI$72,INDIRECT($C$5&amp;"生成成长"),2))/((VLOOKUP($B218,INDIRECT($B$5&amp;"生成成长"),4))/(VLOOKUP(AI$72,INDIRECT($C$5&amp;"生成成长"),5))*(VLOOKUP($B$5,标准坦克设计!$B$24:$U$30,MATCH("对"&amp;LEFT($C$5,2)&amp;"输出",标准坦克设计!$B$23:$U$23,0)))*(VLOOKUP($B218,INDIRECT($B$5&amp;"生成成长"),3))*(VLOOKUP($B$5,标准坦克设计!$B$14:$K$20,9)/30))</f>
        <v>7.6785431138765343</v>
      </c>
      <c r="AJ218" s="173">
        <f ca="1">(VLOOKUP(AJ$72,INDIRECT($C$5&amp;"生成成长"),2))/((VLOOKUP($B218,INDIRECT($B$5&amp;"生成成长"),4))/(VLOOKUP(AJ$72,INDIRECT($C$5&amp;"生成成长"),5))*(VLOOKUP($B$5,标准坦克设计!$B$24:$U$30,MATCH("对"&amp;LEFT($C$5,2)&amp;"输出",标准坦克设计!$B$23:$U$23,0)))*(VLOOKUP($B218,INDIRECT($B$5&amp;"生成成长"),3))*(VLOOKUP($B$5,标准坦克设计!$B$14:$K$20,9)/30))</f>
        <v>8.4047269190639611</v>
      </c>
      <c r="AK218" s="173">
        <f ca="1">(VLOOKUP(AK$72,INDIRECT($C$5&amp;"生成成长"),2))/((VLOOKUP($B218,INDIRECT($B$5&amp;"生成成长"),4))/(VLOOKUP(AK$72,INDIRECT($C$5&amp;"生成成长"),5))*(VLOOKUP($B$5,标准坦克设计!$B$24:$U$30,MATCH("对"&amp;LEFT($C$5,2)&amp;"输出",标准坦克设计!$B$23:$U$23,0)))*(VLOOKUP($B218,INDIRECT($B$5&amp;"生成成长"),3))*(VLOOKUP($B$5,标准坦克设计!$B$14:$K$20,9)/30))</f>
        <v>9.1637157421448645</v>
      </c>
      <c r="AL218" s="173">
        <f ca="1">(VLOOKUP(AL$72,INDIRECT($C$5&amp;"生成成长"),2))/((VLOOKUP($B218,INDIRECT($B$5&amp;"生成成长"),4))/(VLOOKUP(AL$72,INDIRECT($C$5&amp;"生成成长"),5))*(VLOOKUP($B$5,标准坦克设计!$B$24:$U$30,MATCH("对"&amp;LEFT($C$5,2)&amp;"输出",标准坦克设计!$B$23:$U$23,0)))*(VLOOKUP($B218,INDIRECT($B$5&amp;"生成成长"),3))*(VLOOKUP($B$5,标准坦克设计!$B$14:$K$20,9)/30))</f>
        <v>9.9555095831192446</v>
      </c>
      <c r="AM218" s="173">
        <f ca="1">(VLOOKUP(AM$72,INDIRECT($C$5&amp;"生成成长"),2))/((VLOOKUP($B218,INDIRECT($B$5&amp;"生成成长"),4))/(VLOOKUP(AM$72,INDIRECT($C$5&amp;"生成成长"),5))*(VLOOKUP($B$5,标准坦克设计!$B$24:$U$30,MATCH("对"&amp;LEFT($C$5,2)&amp;"输出",标准坦克设计!$B$23:$U$23,0)))*(VLOOKUP($B218,INDIRECT($B$5&amp;"生成成长"),3))*(VLOOKUP($B$5,标准坦克设计!$B$14:$K$20,9)/30))</f>
        <v>10.780108441987101</v>
      </c>
      <c r="AN218" s="173">
        <f ca="1">(VLOOKUP(AN$72,INDIRECT($C$5&amp;"生成成长"),2))/((VLOOKUP($B218,INDIRECT($B$5&amp;"生成成长"),4))/(VLOOKUP(AN$72,INDIRECT($C$5&amp;"生成成长"),5))*(VLOOKUP($B$5,标准坦克设计!$B$24:$U$30,MATCH("对"&amp;LEFT($C$5,2)&amp;"输出",标准坦克设计!$B$23:$U$23,0)))*(VLOOKUP($B218,INDIRECT($B$5&amp;"生成成长"),3))*(VLOOKUP($B$5,标准坦克设计!$B$14:$K$20,9)/30))</f>
        <v>11.63751231874844</v>
      </c>
      <c r="AO218" s="173">
        <f ca="1">(VLOOKUP(AO$72,INDIRECT($C$5&amp;"生成成长"),2))/((VLOOKUP($B218,INDIRECT($B$5&amp;"生成成长"),4))/(VLOOKUP(AO$72,INDIRECT($C$5&amp;"生成成长"),5))*(VLOOKUP($B$5,标准坦克设计!$B$24:$U$30,MATCH("对"&amp;LEFT($C$5,2)&amp;"输出",标准坦克设计!$B$23:$U$23,0)))*(VLOOKUP($B218,INDIRECT($B$5&amp;"生成成长"),3))*(VLOOKUP($B$5,标准坦克设计!$B$14:$K$20,9)/30))</f>
        <v>12.52772121340325</v>
      </c>
      <c r="AP218" s="173">
        <f ca="1">(VLOOKUP(AP$72,INDIRECT($C$5&amp;"生成成长"),2))/((VLOOKUP($B218,INDIRECT($B$5&amp;"生成成长"),4))/(VLOOKUP(AP$72,INDIRECT($C$5&amp;"生成成长"),5))*(VLOOKUP($B$5,标准坦克设计!$B$24:$U$30,MATCH("对"&amp;LEFT($C$5,2)&amp;"输出",标准坦克设计!$B$23:$U$23,0)))*(VLOOKUP($B218,INDIRECT($B$5&amp;"生成成长"),3))*(VLOOKUP($B$5,标准坦克设计!$B$14:$K$20,9)/30))</f>
        <v>13.450735125951541</v>
      </c>
      <c r="AQ218" s="173">
        <f ca="1">(VLOOKUP(AQ$72,INDIRECT($C$5&amp;"生成成长"),2))/((VLOOKUP($B218,INDIRECT($B$5&amp;"生成成长"),4))/(VLOOKUP(AQ$72,INDIRECT($C$5&amp;"生成成长"),5))*(VLOOKUP($B$5,标准坦克设计!$B$24:$U$30,MATCH("对"&amp;LEFT($C$5,2)&amp;"输出",标准坦克设计!$B$23:$U$23,0)))*(VLOOKUP($B218,INDIRECT($B$5&amp;"生成成长"),3))*(VLOOKUP($B$5,标准坦克设计!$B$14:$K$20,9)/30))</f>
        <v>14.406554056393309</v>
      </c>
      <c r="AR218" s="173">
        <f ca="1">(VLOOKUP(AR$72,INDIRECT($C$5&amp;"生成成长"),2))/((VLOOKUP($B218,INDIRECT($B$5&amp;"生成成长"),4))/(VLOOKUP(AR$72,INDIRECT($C$5&amp;"生成成长"),5))*(VLOOKUP($B$5,标准坦克设计!$B$24:$U$30,MATCH("对"&amp;LEFT($C$5,2)&amp;"输出",标准坦克设计!$B$23:$U$23,0)))*(VLOOKUP($B218,INDIRECT($B$5&amp;"生成成长"),3))*(VLOOKUP($B$5,标准坦克设计!$B$14:$K$20,9)/30))</f>
        <v>15.395178004728551</v>
      </c>
      <c r="AS218" s="173">
        <f ca="1">(VLOOKUP(AS$72,INDIRECT($C$5&amp;"生成成长"),2))/((VLOOKUP($B218,INDIRECT($B$5&amp;"生成成长"),4))/(VLOOKUP(AS$72,INDIRECT($C$5&amp;"生成成长"),5))*(VLOOKUP($B$5,标准坦克设计!$B$24:$U$30,MATCH("对"&amp;LEFT($C$5,2)&amp;"输出",标准坦克设计!$B$23:$U$23,0)))*(VLOOKUP($B218,INDIRECT($B$5&amp;"生成成长"),3))*(VLOOKUP($B$5,标准坦克设计!$B$14:$K$20,9)/30))</f>
        <v>16.416606970957275</v>
      </c>
      <c r="AT218" s="173">
        <f ca="1">(VLOOKUP(AT$72,INDIRECT($C$5&amp;"生成成长"),2))/((VLOOKUP($B218,INDIRECT($B$5&amp;"生成成长"),4))/(VLOOKUP(AT$72,INDIRECT($C$5&amp;"生成成长"),5))*(VLOOKUP($B$5,标准坦克设计!$B$24:$U$30,MATCH("对"&amp;LEFT($C$5,2)&amp;"输出",标准坦克设计!$B$23:$U$23,0)))*(VLOOKUP($B218,INDIRECT($B$5&amp;"生成成长"),3))*(VLOOKUP($B$5,标准坦克设计!$B$14:$K$20,9)/30))</f>
        <v>17.470840955079474</v>
      </c>
      <c r="AU218" s="173">
        <f ca="1">(VLOOKUP(AU$72,INDIRECT($C$5&amp;"生成成长"),2))/((VLOOKUP($B218,INDIRECT($B$5&amp;"生成成长"),4))/(VLOOKUP(AU$72,INDIRECT($C$5&amp;"生成成长"),5))*(VLOOKUP($B$5,标准坦克设计!$B$24:$U$30,MATCH("对"&amp;LEFT($C$5,2)&amp;"输出",标准坦克设计!$B$23:$U$23,0)))*(VLOOKUP($B218,INDIRECT($B$5&amp;"生成成长"),3))*(VLOOKUP($B$5,标准坦克设计!$B$14:$K$20,9)/30))</f>
        <v>18.557879957095146</v>
      </c>
      <c r="AV218" s="173">
        <f ca="1">(VLOOKUP(AV$72,INDIRECT($C$5&amp;"生成成长"),2))/((VLOOKUP($B218,INDIRECT($B$5&amp;"生成成长"),4))/(VLOOKUP(AV$72,INDIRECT($C$5&amp;"生成成长"),5))*(VLOOKUP($B$5,标准坦克设计!$B$24:$U$30,MATCH("对"&amp;LEFT($C$5,2)&amp;"输出",标准坦克设计!$B$23:$U$23,0)))*(VLOOKUP($B218,INDIRECT($B$5&amp;"生成成长"),3))*(VLOOKUP($B$5,标准坦克设计!$B$14:$K$20,9)/30))</f>
        <v>1.8875085502015545</v>
      </c>
      <c r="AW218" s="173">
        <f ca="1">(VLOOKUP(AW$72,INDIRECT($C$5&amp;"生成成长"),2))/((VLOOKUP($B218,INDIRECT($B$5&amp;"生成成长"),4))/(VLOOKUP(AW$72,INDIRECT($C$5&amp;"生成成长"),5))*(VLOOKUP($B$5,标准坦克设计!$B$24:$U$30,MATCH("对"&amp;LEFT($C$5,2)&amp;"输出",标准坦克设计!$B$23:$U$23,0)))*(VLOOKUP($B218,INDIRECT($B$5&amp;"生成成长"),3))*(VLOOKUP($B$5,标准坦克设计!$B$14:$K$20,9)/30))</f>
        <v>2.1521176201522469</v>
      </c>
      <c r="AX218" s="173">
        <f ca="1">(VLOOKUP(AX$72,INDIRECT($C$5&amp;"生成成长"),2))/((VLOOKUP($B218,INDIRECT($B$5&amp;"生成成长"),4))/(VLOOKUP(AX$72,INDIRECT($C$5&amp;"生成成长"),5))*(VLOOKUP($B$5,标准坦克设计!$B$24:$U$30,MATCH("对"&amp;LEFT($C$5,2)&amp;"输出",标准坦克设计!$B$23:$U$23,0)))*(VLOOKUP($B218,INDIRECT($B$5&amp;"生成成长"),3))*(VLOOKUP($B$5,标准坦克设计!$B$14:$K$20,9)/30))</f>
        <v>2.4340781045259345</v>
      </c>
      <c r="AY218" s="173">
        <f ca="1">(VLOOKUP(AY$72,INDIRECT($C$5&amp;"生成成长"),2))/((VLOOKUP($B218,INDIRECT($B$5&amp;"生成成长"),4))/(VLOOKUP(AY$72,INDIRECT($C$5&amp;"生成成长"),5))*(VLOOKUP($B$5,标准坦克设计!$B$24:$U$30,MATCH("对"&amp;LEFT($C$5,2)&amp;"输出",标准坦克设计!$B$23:$U$23,0)))*(VLOOKUP($B218,INDIRECT($B$5&amp;"生成成长"),3))*(VLOOKUP($B$5,标准坦克设计!$B$14:$K$20,9)/30))</f>
        <v>2.7333900033226191</v>
      </c>
      <c r="AZ218" s="173">
        <f ca="1">(VLOOKUP(AZ$72,INDIRECT($C$5&amp;"生成成长"),2))/((VLOOKUP($B218,INDIRECT($B$5&amp;"生成成长"),4))/(VLOOKUP(AZ$72,INDIRECT($C$5&amp;"生成成长"),5))*(VLOOKUP($B$5,标准坦克设计!$B$24:$U$30,MATCH("对"&amp;LEFT($C$5,2)&amp;"输出",标准坦克设计!$B$23:$U$23,0)))*(VLOOKUP($B218,INDIRECT($B$5&amp;"生成成长"),3))*(VLOOKUP($B$5,标准坦克设计!$B$14:$K$20,9)/30))</f>
        <v>3.0500533165423001</v>
      </c>
      <c r="BA218" s="173">
        <f ca="1">(VLOOKUP(BA$72,INDIRECT($C$5&amp;"生成成长"),2))/((VLOOKUP($B218,INDIRECT($B$5&amp;"生成成长"),4))/(VLOOKUP(BA$72,INDIRECT($C$5&amp;"生成成长"),5))*(VLOOKUP($B$5,标准坦克设计!$B$24:$U$30,MATCH("对"&amp;LEFT($C$5,2)&amp;"输出",标准坦克设计!$B$23:$U$23,0)))*(VLOOKUP($B218,INDIRECT($B$5&amp;"生成成长"),3))*(VLOOKUP($B$5,标准坦克设计!$B$14:$K$20,9)/30))</f>
        <v>3.3840680441849758</v>
      </c>
      <c r="BB218" s="173">
        <f ca="1">(VLOOKUP(BB$72,INDIRECT($C$5&amp;"生成成长"),2))/((VLOOKUP($B218,INDIRECT($B$5&amp;"生成成长"),4))/(VLOOKUP(BB$72,INDIRECT($C$5&amp;"生成成长"),5))*(VLOOKUP($B$5,标准坦克设计!$B$24:$U$30,MATCH("对"&amp;LEFT($C$5,2)&amp;"输出",标准坦克设计!$B$23:$U$23,0)))*(VLOOKUP($B218,INDIRECT($B$5&amp;"生成成长"),3))*(VLOOKUP($B$5,标准坦克设计!$B$14:$K$20,9)/30))</f>
        <v>3.7354341862506493</v>
      </c>
      <c r="BC218" s="173">
        <f ca="1">(VLOOKUP(BC$72,INDIRECT($C$5&amp;"生成成长"),2))/((VLOOKUP($B218,INDIRECT($B$5&amp;"生成成长"),4))/(VLOOKUP(BC$72,INDIRECT($C$5&amp;"生成成长"),5))*(VLOOKUP($B$5,标准坦克设计!$B$24:$U$30,MATCH("对"&amp;LEFT($C$5,2)&amp;"输出",标准坦克设计!$B$23:$U$23,0)))*(VLOOKUP($B218,INDIRECT($B$5&amp;"生成成长"),3))*(VLOOKUP($B$5,标准坦克设计!$B$14:$K$20,9)/30))</f>
        <v>4.1041517427393188</v>
      </c>
      <c r="BD218" s="173">
        <f ca="1">(VLOOKUP(BD$72,INDIRECT($C$5&amp;"生成成长"),2))/((VLOOKUP($B218,INDIRECT($B$5&amp;"生成成长"),4))/(VLOOKUP(BD$72,INDIRECT($C$5&amp;"生成成长"),5))*(VLOOKUP($B$5,标准坦克设计!$B$24:$U$30,MATCH("对"&amp;LEFT($C$5,2)&amp;"输出",标准坦克设计!$B$23:$U$23,0)))*(VLOOKUP($B218,INDIRECT($B$5&amp;"生成成长"),3))*(VLOOKUP($B$5,标准坦克设计!$B$14:$K$20,9)/30))</f>
        <v>4.5396993563415586</v>
      </c>
      <c r="BE218" s="173">
        <f ca="1">(VLOOKUP(BE$72,INDIRECT($C$5&amp;"生成成长"),2))/((VLOOKUP($B218,INDIRECT($B$5&amp;"生成成长"),4))/(VLOOKUP(BE$72,INDIRECT($C$5&amp;"生成成长"),5))*(VLOOKUP($B$5,标准坦克设计!$B$24:$U$30,MATCH("对"&amp;LEFT($C$5,2)&amp;"输出",标准坦克设计!$B$23:$U$23,0)))*(VLOOKUP($B218,INDIRECT($B$5&amp;"生成成长"),3))*(VLOOKUP($B$5,标准坦克设计!$B$14:$K$20,9)/30))</f>
        <v>4.9972073538229038</v>
      </c>
      <c r="BF218" s="173">
        <f ca="1">(VLOOKUP(BF$72,INDIRECT($C$5&amp;"生成成长"),2))/((VLOOKUP($B218,INDIRECT($B$5&amp;"生成成长"),4))/(VLOOKUP(BF$72,INDIRECT($C$5&amp;"生成成长"),5))*(VLOOKUP($B$5,标准坦克设计!$B$24:$U$30,MATCH("对"&amp;LEFT($C$5,2)&amp;"输出",标准坦克设计!$B$23:$U$23,0)))*(VLOOKUP($B218,INDIRECT($B$5&amp;"生成成长"),3))*(VLOOKUP($B$5,标准坦克设计!$B$14:$K$20,9)/30))</f>
        <v>5.4766757351833526</v>
      </c>
      <c r="BG218" s="173">
        <f ca="1">(VLOOKUP(BG$72,INDIRECT($C$5&amp;"生成成长"),2))/((VLOOKUP($B218,INDIRECT($B$5&amp;"生成成长"),4))/(VLOOKUP(BG$72,INDIRECT($C$5&amp;"生成成长"),5))*(VLOOKUP($B$5,标准坦克设计!$B$24:$U$30,MATCH("对"&amp;LEFT($C$5,2)&amp;"输出",标准坦克设计!$B$23:$U$23,0)))*(VLOOKUP($B218,INDIRECT($B$5&amp;"生成成长"),3))*(VLOOKUP($B$5,标准坦克设计!$B$14:$K$20,9)/30))</f>
        <v>5.9781045004229068</v>
      </c>
      <c r="BH218" s="173">
        <f ca="1">(VLOOKUP(BH$72,INDIRECT($C$5&amp;"生成成长"),2))/((VLOOKUP($B218,INDIRECT($B$5&amp;"生成成长"),4))/(VLOOKUP(BH$72,INDIRECT($C$5&amp;"生成成长"),5))*(VLOOKUP($B$5,标准坦克设计!$B$24:$U$30,MATCH("对"&amp;LEFT($C$5,2)&amp;"输出",标准坦克设计!$B$23:$U$23,0)))*(VLOOKUP($B218,INDIRECT($B$5&amp;"生成成长"),3))*(VLOOKUP($B$5,标准坦克设计!$B$14:$K$20,9)/30))</f>
        <v>2.8895527331295847</v>
      </c>
      <c r="BI218" s="173">
        <f ca="1">(VLOOKUP(BI$72,INDIRECT($C$5&amp;"生成成长"),2))/((VLOOKUP($B218,INDIRECT($B$5&amp;"生成成长"),4))/(VLOOKUP(BI$72,INDIRECT($C$5&amp;"生成成长"),5))*(VLOOKUP($B$5,标准坦克设计!$B$24:$U$30,MATCH("对"&amp;LEFT($C$5,2)&amp;"输出",标准坦克设计!$B$23:$U$23,0)))*(VLOOKUP($B218,INDIRECT($B$5&amp;"生成成长"),3))*(VLOOKUP($B$5,标准坦克设计!$B$14:$K$20,9)/30))</f>
        <v>3.2567791524412786</v>
      </c>
      <c r="BJ218" s="173">
        <f ca="1">(VLOOKUP(BJ$72,INDIRECT($C$5&amp;"生成成长"),2))/((VLOOKUP($B218,INDIRECT($B$5&amp;"生成成长"),4))/(VLOOKUP(BJ$72,INDIRECT($C$5&amp;"生成成长"),5))*(VLOOKUP($B$5,标准坦克设计!$B$24:$U$30,MATCH("对"&amp;LEFT($C$5,2)&amp;"输出",标准坦克设计!$B$23:$U$23,0)))*(VLOOKUP($B218,INDIRECT($B$5&amp;"生成成长"),3))*(VLOOKUP($B$5,标准坦克设计!$B$14:$K$20,9)/30))</f>
        <v>3.6459659556320752</v>
      </c>
      <c r="BK218" s="173">
        <f ca="1">(VLOOKUP(BK$72,INDIRECT($C$5&amp;"生成成长"),2))/((VLOOKUP($B218,INDIRECT($B$5&amp;"生成成长"),4))/(VLOOKUP(BK$72,INDIRECT($C$5&amp;"生成成长"),5))*(VLOOKUP($B$5,标准坦克设计!$B$24:$U$30,MATCH("对"&amp;LEFT($C$5,2)&amp;"输出",标准坦克设计!$B$23:$U$23,0)))*(VLOOKUP($B218,INDIRECT($B$5&amp;"生成成长"),3))*(VLOOKUP($B$5,标准坦克设计!$B$14:$K$20,9)/30))</f>
        <v>4.0571131427019775</v>
      </c>
      <c r="BL218" s="173">
        <f ca="1">(VLOOKUP(BL$72,INDIRECT($C$5&amp;"生成成长"),2))/((VLOOKUP($B218,INDIRECT($B$5&amp;"生成成长"),4))/(VLOOKUP(BL$72,INDIRECT($C$5&amp;"生成成长"),5))*(VLOOKUP($B$5,标准坦克设计!$B$24:$U$30,MATCH("对"&amp;LEFT($C$5,2)&amp;"输出",标准坦克设计!$B$23:$U$23,0)))*(VLOOKUP($B218,INDIRECT($B$5&amp;"生成成长"),3))*(VLOOKUP($B$5,标准坦克设计!$B$14:$K$20,9)/30))</f>
        <v>4.4902207136509835</v>
      </c>
      <c r="BM218" s="173">
        <f ca="1">(VLOOKUP(BM$72,INDIRECT($C$5&amp;"生成成长"),2))/((VLOOKUP($B218,INDIRECT($B$5&amp;"生成成长"),4))/(VLOOKUP(BM$72,INDIRECT($C$5&amp;"生成成长"),5))*(VLOOKUP($B$5,标准坦克设计!$B$24:$U$30,MATCH("对"&amp;LEFT($C$5,2)&amp;"输出",标准坦克设计!$B$23:$U$23,0)))*(VLOOKUP($B218,INDIRECT($B$5&amp;"生成成长"),3))*(VLOOKUP($B$5,标准坦克设计!$B$14:$K$20,9)/30))</f>
        <v>4.9452886684790958</v>
      </c>
      <c r="BN218" s="173">
        <f ca="1">(VLOOKUP(BN$72,INDIRECT($C$5&amp;"生成成长"),2))/((VLOOKUP($B218,INDIRECT($B$5&amp;"生成成长"),4))/(VLOOKUP(BN$72,INDIRECT($C$5&amp;"生成成长"),5))*(VLOOKUP($B$5,标准坦克设计!$B$24:$U$30,MATCH("对"&amp;LEFT($C$5,2)&amp;"输出",标准坦克设计!$B$23:$U$23,0)))*(VLOOKUP($B218,INDIRECT($B$5&amp;"生成成长"),3))*(VLOOKUP($B$5,标准坦克设计!$B$14:$K$20,9)/30))</f>
        <v>5.4223170071863098</v>
      </c>
      <c r="BO218" s="173">
        <f ca="1">(VLOOKUP(BO$72,INDIRECT($C$5&amp;"生成成长"),2))/((VLOOKUP($B218,INDIRECT($B$5&amp;"生成成长"),4))/(VLOOKUP(BO$72,INDIRECT($C$5&amp;"生成成长"),5))*(VLOOKUP($B$5,标准坦克设计!$B$24:$U$30,MATCH("对"&amp;LEFT($C$5,2)&amp;"输出",标准坦克设计!$B$23:$U$23,0)))*(VLOOKUP($B218,INDIRECT($B$5&amp;"生成成长"),3))*(VLOOKUP($B$5,标准坦克设计!$B$14:$K$20,9)/30))</f>
        <v>5.9213057297726319</v>
      </c>
      <c r="BP218" s="173">
        <f ca="1">(VLOOKUP(BP$72,INDIRECT($C$5&amp;"生成成长"),2))/((VLOOKUP($B218,INDIRECT($B$5&amp;"生成成长"),4))/(VLOOKUP(BP$72,INDIRECT($C$5&amp;"生成成长"),5))*(VLOOKUP($B$5,标准坦克设计!$B$24:$U$30,MATCH("对"&amp;LEFT($C$5,2)&amp;"输出",标准坦克设计!$B$23:$U$23,0)))*(VLOOKUP($B218,INDIRECT($B$5&amp;"生成成长"),3))*(VLOOKUP($B$5,标准坦克设计!$B$14:$K$20,9)/30))</f>
        <v>6.4422548362380558</v>
      </c>
      <c r="BQ218" s="173">
        <f ca="1">(VLOOKUP(BQ$72,INDIRECT($C$5&amp;"生成成长"),2))/((VLOOKUP($B218,INDIRECT($B$5&amp;"生成成长"),4))/(VLOOKUP(BQ$72,INDIRECT($C$5&amp;"生成成长"),5))*(VLOOKUP($B$5,标准坦克设计!$B$24:$U$30,MATCH("对"&amp;LEFT($C$5,2)&amp;"输出",标准坦克设计!$B$23:$U$23,0)))*(VLOOKUP($B218,INDIRECT($B$5&amp;"生成成长"),3))*(VLOOKUP($B$5,标准坦克设计!$B$14:$K$20,9)/30))</f>
        <v>6.9851643265825842</v>
      </c>
      <c r="BR218" s="173">
        <f ca="1">(VLOOKUP(BR$72,INDIRECT($C$5&amp;"生成成长"),2))/((VLOOKUP($B218,INDIRECT($B$5&amp;"生成成长"),4))/(VLOOKUP(BR$72,INDIRECT($C$5&amp;"生成成长"),5))*(VLOOKUP($B$5,标准坦克设计!$B$24:$U$30,MATCH("对"&amp;LEFT($C$5,2)&amp;"输出",标准坦克设计!$B$23:$U$23,0)))*(VLOOKUP($B218,INDIRECT($B$5&amp;"生成成长"),3))*(VLOOKUP($B$5,标准坦克设计!$B$14:$K$20,9)/30))</f>
        <v>7.6141530994161979</v>
      </c>
      <c r="BS218" s="173">
        <f ca="1">(VLOOKUP(BS$72,INDIRECT($C$5&amp;"生成成长"),2))/((VLOOKUP($B218,INDIRECT($B$5&amp;"生成成长"),4))/(VLOOKUP(BS$72,INDIRECT($C$5&amp;"生成成长"),5))*(VLOOKUP($B$5,标准坦克设计!$B$24:$U$30,MATCH("对"&amp;LEFT($C$5,2)&amp;"输出",标准坦克设计!$B$23:$U$23,0)))*(VLOOKUP($B218,INDIRECT($B$5&amp;"生成成长"),3))*(VLOOKUP($B$5,标准坦克设计!$B$14:$K$20,9)/30))</f>
        <v>8.2702534572857402</v>
      </c>
      <c r="BT218" s="173">
        <f ca="1">(VLOOKUP(BT$72,INDIRECT($C$5&amp;"生成成长"),2))/((VLOOKUP($B218,INDIRECT($B$5&amp;"生成成长"),4))/(VLOOKUP(BT$72,INDIRECT($C$5&amp;"生成成长"),5))*(VLOOKUP($B$5,标准坦克设计!$B$24:$U$30,MATCH("对"&amp;LEFT($C$5,2)&amp;"输出",标准坦克设计!$B$23:$U$23,0)))*(VLOOKUP($B218,INDIRECT($B$5&amp;"生成成长"),3))*(VLOOKUP($B$5,标准坦克设计!$B$14:$K$20,9)/30))</f>
        <v>8.9534654001912148</v>
      </c>
      <c r="BU218" s="173">
        <f ca="1">(VLOOKUP(BU$72,INDIRECT($C$5&amp;"生成成长"),2))/((VLOOKUP($B218,INDIRECT($B$5&amp;"生成成长"),4))/(VLOOKUP(BU$72,INDIRECT($C$5&amp;"生成成长"),5))*(VLOOKUP($B$5,标准坦克设计!$B$24:$U$30,MATCH("对"&amp;LEFT($C$5,2)&amp;"输出",标准坦克设计!$B$23:$U$23,0)))*(VLOOKUP($B218,INDIRECT($B$5&amp;"生成成长"),3))*(VLOOKUP($B$5,标准坦克设计!$B$14:$K$20,9)/30))</f>
        <v>9.6637889281326217</v>
      </c>
      <c r="BV218" s="173">
        <f ca="1">(VLOOKUP(BV$72,INDIRECT($C$5&amp;"生成成长"),2))/((VLOOKUP($B218,INDIRECT($B$5&amp;"生成成长"),4))/(VLOOKUP(BV$72,INDIRECT($C$5&amp;"生成成长"),5))*(VLOOKUP($B$5,标准坦克设计!$B$24:$U$30,MATCH("对"&amp;LEFT($C$5,2)&amp;"输出",标准坦克设计!$B$23:$U$23,0)))*(VLOOKUP($B218,INDIRECT($B$5&amp;"生成成长"),3))*(VLOOKUP($B$5,标准坦克设计!$B$14:$K$20,9)/30))</f>
        <v>10.401224041109961</v>
      </c>
      <c r="BW218" s="173">
        <f ca="1">(VLOOKUP(BW$72,INDIRECT($C$5&amp;"生成成长"),2))/((VLOOKUP($B218,INDIRECT($B$5&amp;"生成成长"),4))/(VLOOKUP(BW$72,INDIRECT($C$5&amp;"生成成长"),5))*(VLOOKUP($B$5,标准坦克设计!$B$24:$U$30,MATCH("对"&amp;LEFT($C$5,2)&amp;"输出",标准坦克设计!$B$23:$U$23,0)))*(VLOOKUP($B218,INDIRECT($B$5&amp;"生成成长"),3))*(VLOOKUP($B$5,标准坦克设计!$B$14:$K$20,9)/30))</f>
        <v>4.7403250856074521</v>
      </c>
      <c r="BX218" s="173">
        <f ca="1">(VLOOKUP(BX$72,INDIRECT($C$5&amp;"生成成长"),2))/((VLOOKUP($B218,INDIRECT($B$5&amp;"生成成长"),4))/(VLOOKUP(BX$72,INDIRECT($C$5&amp;"生成成长"),5))*(VLOOKUP($B$5,标准坦克设计!$B$24:$U$30,MATCH("对"&amp;LEFT($C$5,2)&amp;"输出",标准坦克设计!$B$23:$U$23,0)))*(VLOOKUP($B218,INDIRECT($B$5&amp;"生成成长"),3))*(VLOOKUP($B$5,标准坦克设计!$B$14:$K$20,9)/30))</f>
        <v>5.2608675182973386</v>
      </c>
      <c r="BY218" s="173">
        <f ca="1">(VLOOKUP(BY$72,INDIRECT($C$5&amp;"生成成长"),2))/((VLOOKUP($B218,INDIRECT($B$5&amp;"生成成长"),4))/(VLOOKUP(BY$72,INDIRECT($C$5&amp;"生成成长"),5))*(VLOOKUP($B$5,标准坦克设计!$B$24:$U$30,MATCH("对"&amp;LEFT($C$5,2)&amp;"输出",标准坦克设计!$B$23:$U$23,0)))*(VLOOKUP($B218,INDIRECT($B$5&amp;"生成成长"),3))*(VLOOKUP($B$5,标准坦克设计!$B$14:$K$20,9)/30))</f>
        <v>5.8085215360231555</v>
      </c>
      <c r="BZ218" s="173">
        <f ca="1">(VLOOKUP(BZ$72,INDIRECT($C$5&amp;"生成成长"),2))/((VLOOKUP($B218,INDIRECT($B$5&amp;"生成成长"),4))/(VLOOKUP(BZ$72,INDIRECT($C$5&amp;"生成成长"),5))*(VLOOKUP($B$5,标准坦克设计!$B$24:$U$30,MATCH("对"&amp;LEFT($C$5,2)&amp;"输出",标准坦克设计!$B$23:$U$23,0)))*(VLOOKUP($B218,INDIRECT($B$5&amp;"生成成长"),3))*(VLOOKUP($B$5,标准坦克设计!$B$14:$K$20,9)/30))</f>
        <v>6.3832871387849037</v>
      </c>
      <c r="CA218" s="173">
        <f ca="1">(VLOOKUP(CA$72,INDIRECT($C$5&amp;"生成成长"),2))/((VLOOKUP($B218,INDIRECT($B$5&amp;"生成成长"),4))/(VLOOKUP(CA$72,INDIRECT($C$5&amp;"生成成长"),5))*(VLOOKUP($B$5,标准坦克设计!$B$24:$U$30,MATCH("对"&amp;LEFT($C$5,2)&amp;"输出",标准坦克设计!$B$23:$U$23,0)))*(VLOOKUP($B218,INDIRECT($B$5&amp;"生成成长"),3))*(VLOOKUP($B$5,标准坦克设计!$B$14:$K$20,9)/30))</f>
        <v>6.9851643265825842</v>
      </c>
      <c r="CB218" s="173">
        <f ca="1">(VLOOKUP(CB$72,INDIRECT($C$5&amp;"生成成长"),2))/((VLOOKUP($B218,INDIRECT($B$5&amp;"生成成长"),4))/(VLOOKUP(CB$72,INDIRECT($C$5&amp;"生成成长"),5))*(VLOOKUP($B$5,标准坦克设计!$B$24:$U$30,MATCH("对"&amp;LEFT($C$5,2)&amp;"输出",标准坦克设计!$B$23:$U$23,0)))*(VLOOKUP($B218,INDIRECT($B$5&amp;"生成成长"),3))*(VLOOKUP($B$5,标准坦克设计!$B$14:$K$20,9)/30))</f>
        <v>7.6141530994161979</v>
      </c>
      <c r="CC218" s="173">
        <f ca="1">(VLOOKUP(CC$72,INDIRECT($C$5&amp;"生成成长"),2))/((VLOOKUP($B218,INDIRECT($B$5&amp;"生成成长"),4))/(VLOOKUP(CC$72,INDIRECT($C$5&amp;"生成成长"),5))*(VLOOKUP($B$5,标准坦克设计!$B$24:$U$30,MATCH("对"&amp;LEFT($C$5,2)&amp;"输出",标准坦克设计!$B$23:$U$23,0)))*(VLOOKUP($B218,INDIRECT($B$5&amp;"生成成长"),3))*(VLOOKUP($B$5,标准坦克设计!$B$14:$K$20,9)/30))</f>
        <v>8.2702534572857402</v>
      </c>
      <c r="CD218" s="173">
        <f ca="1">(VLOOKUP(CD$72,INDIRECT($C$5&amp;"生成成长"),2))/((VLOOKUP($B218,INDIRECT($B$5&amp;"生成成长"),4))/(VLOOKUP(CD$72,INDIRECT($C$5&amp;"生成成长"),5))*(VLOOKUP($B$5,标准坦克设计!$B$24:$U$30,MATCH("对"&amp;LEFT($C$5,2)&amp;"输出",标准坦克设计!$B$23:$U$23,0)))*(VLOOKUP($B218,INDIRECT($B$5&amp;"生成成长"),3))*(VLOOKUP($B$5,标准坦克设计!$B$14:$K$20,9)/30))</f>
        <v>8.9534654001912148</v>
      </c>
      <c r="CE218" s="173">
        <f ca="1">(VLOOKUP(CE$72,INDIRECT($C$5&amp;"生成成长"),2))/((VLOOKUP($B218,INDIRECT($B$5&amp;"生成成长"),4))/(VLOOKUP(CE$72,INDIRECT($C$5&amp;"生成成长"),5))*(VLOOKUP($B$5,标准坦克设计!$B$24:$U$30,MATCH("对"&amp;LEFT($C$5,2)&amp;"输出",标准坦克设计!$B$23:$U$23,0)))*(VLOOKUP($B218,INDIRECT($B$5&amp;"生成成长"),3))*(VLOOKUP($B$5,标准坦克设计!$B$14:$K$20,9)/30))</f>
        <v>9.6637889281326217</v>
      </c>
      <c r="CF218" s="173">
        <f ca="1">(VLOOKUP(CF$72,INDIRECT($C$5&amp;"生成成长"),2))/((VLOOKUP($B218,INDIRECT($B$5&amp;"生成成长"),4))/(VLOOKUP(CF$72,INDIRECT($C$5&amp;"生成成长"),5))*(VLOOKUP($B$5,标准坦克设计!$B$24:$U$30,MATCH("对"&amp;LEFT($C$5,2)&amp;"输出",标准坦克设计!$B$23:$U$23,0)))*(VLOOKUP($B218,INDIRECT($B$5&amp;"生成成长"),3))*(VLOOKUP($B$5,标准坦克设计!$B$14:$K$20,9)/30))</f>
        <v>10.401224041109961</v>
      </c>
      <c r="CG218" s="173">
        <f ca="1">(VLOOKUP(CG$72,INDIRECT($C$5&amp;"生成成长"),2))/((VLOOKUP($B218,INDIRECT($B$5&amp;"生成成长"),4))/(VLOOKUP(CG$72,INDIRECT($C$5&amp;"生成成长"),5))*(VLOOKUP($B$5,标准坦克设计!$B$24:$U$30,MATCH("对"&amp;LEFT($C$5,2)&amp;"输出",标准坦克设计!$B$23:$U$23,0)))*(VLOOKUP($B218,INDIRECT($B$5&amp;"生成成长"),3))*(VLOOKUP($B$5,标准坦克设计!$B$14:$K$20,9)/30))</f>
        <v>11.16577073912323</v>
      </c>
      <c r="CH218" s="173">
        <f ca="1">(VLOOKUP(CH$72,INDIRECT($C$5&amp;"生成成长"),2))/((VLOOKUP($B218,INDIRECT($B$5&amp;"生成成长"),4))/(VLOOKUP(CH$72,INDIRECT($C$5&amp;"生成成长"),5))*(VLOOKUP($B$5,标准坦克设计!$B$24:$U$30,MATCH("对"&amp;LEFT($C$5,2)&amp;"输出",标准坦克设计!$B$23:$U$23,0)))*(VLOOKUP($B218,INDIRECT($B$5&amp;"生成成长"),3))*(VLOOKUP($B$5,标准坦克设计!$B$14:$K$20,9)/30))</f>
        <v>11.95742902217243</v>
      </c>
      <c r="CI218" s="173">
        <f ca="1">(VLOOKUP(CI$72,INDIRECT($C$5&amp;"生成成长"),2))/((VLOOKUP($B218,INDIRECT($B$5&amp;"生成成长"),4))/(VLOOKUP(CI$72,INDIRECT($C$5&amp;"生成成长"),5))*(VLOOKUP($B$5,标准坦克设计!$B$24:$U$30,MATCH("对"&amp;LEFT($C$5,2)&amp;"输出",标准坦克设计!$B$23:$U$23,0)))*(VLOOKUP($B218,INDIRECT($B$5&amp;"生成成长"),3))*(VLOOKUP($B$5,标准坦克设计!$B$14:$K$20,9)/30))</f>
        <v>12.859567014243053</v>
      </c>
      <c r="CJ218" s="173">
        <f ca="1">(VLOOKUP(CJ$72,INDIRECT($C$5&amp;"生成成长"),2))/((VLOOKUP($B218,INDIRECT($B$5&amp;"生成成长"),4))/(VLOOKUP(CJ$72,INDIRECT($C$5&amp;"生成成长"),5))*(VLOOKUP($B$5,标准坦克设计!$B$24:$U$30,MATCH("对"&amp;LEFT($C$5,2)&amp;"输出",标准坦克设计!$B$23:$U$23,0)))*(VLOOKUP($B218,INDIRECT($B$5&amp;"生成成长"),3))*(VLOOKUP($B$5,标准坦克设计!$B$14:$K$20,9)/30))</f>
        <v>13.794510024207153</v>
      </c>
      <c r="CK218" s="173">
        <f ca="1">(VLOOKUP(CK$72,INDIRECT($C$5&amp;"生成成长"),2))/((VLOOKUP($B218,INDIRECT($B$5&amp;"生成成长"),4))/(VLOOKUP(CK$72,INDIRECT($C$5&amp;"生成成长"),5))*(VLOOKUP($B$5,标准坦克设计!$B$24:$U$30,MATCH("对"&amp;LEFT($C$5,2)&amp;"输出",标准坦克设计!$B$23:$U$23,0)))*(VLOOKUP($B218,INDIRECT($B$5&amp;"生成成长"),3))*(VLOOKUP($B$5,标准坦克设计!$B$14:$K$20,9)/30))</f>
        <v>14.762258052064732</v>
      </c>
      <c r="CL218" s="173">
        <f ca="1">(VLOOKUP(CL$72,INDIRECT($C$5&amp;"生成成长"),2))/((VLOOKUP($B218,INDIRECT($B$5&amp;"生成成长"),4))/(VLOOKUP(CL$72,INDIRECT($C$5&amp;"生成成长"),5))*(VLOOKUP($B$5,标准坦克设计!$B$24:$U$30,MATCH("对"&amp;LEFT($C$5,2)&amp;"输出",标准坦克设计!$B$23:$U$23,0)))*(VLOOKUP($B218,INDIRECT($B$5&amp;"生成成长"),3))*(VLOOKUP($B$5,标准坦克设计!$B$14:$K$20,9)/30))</f>
        <v>15.762811097815787</v>
      </c>
      <c r="CM218" s="173">
        <f ca="1">(VLOOKUP(CM$72,INDIRECT($C$5&amp;"生成成长"),2))/((VLOOKUP($B218,INDIRECT($B$5&amp;"生成成长"),4))/(VLOOKUP(CM$72,INDIRECT($C$5&amp;"生成成长"),5))*(VLOOKUP($B$5,标准坦克设计!$B$24:$U$30,MATCH("对"&amp;LEFT($C$5,2)&amp;"输出",标准坦克设计!$B$23:$U$23,0)))*(VLOOKUP($B218,INDIRECT($B$5&amp;"生成成长"),3))*(VLOOKUP($B$5,标准坦克设计!$B$14:$K$20,9)/30))</f>
        <v>16.796169161460313</v>
      </c>
      <c r="CN218" s="173">
        <f ca="1">(VLOOKUP(CN$72,INDIRECT($C$5&amp;"生成成长"),2))/((VLOOKUP($B218,INDIRECT($B$5&amp;"生成成长"),4))/(VLOOKUP(CN$72,INDIRECT($C$5&amp;"生成成长"),5))*(VLOOKUP($B$5,标准坦克设计!$B$24:$U$30,MATCH("对"&amp;LEFT($C$5,2)&amp;"输出",标准坦克设计!$B$23:$U$23,0)))*(VLOOKUP($B218,INDIRECT($B$5&amp;"生成成长"),3))*(VLOOKUP($B$5,标准坦克设计!$B$14:$K$20,9)/30))</f>
        <v>17.862332242998324</v>
      </c>
      <c r="CO218" s="173">
        <f ca="1">(VLOOKUP(CO$72,INDIRECT($C$5&amp;"生成成长"),2))/((VLOOKUP($B218,INDIRECT($B$5&amp;"生成成长"),4))/(VLOOKUP(CO$72,INDIRECT($C$5&amp;"生成成长"),5))*(VLOOKUP($B$5,标准坦克设计!$B$24:$U$30,MATCH("对"&amp;LEFT($C$5,2)&amp;"输出",标准坦克设计!$B$23:$U$23,0)))*(VLOOKUP($B218,INDIRECT($B$5&amp;"生成成长"),3))*(VLOOKUP($B$5,标准坦克设计!$B$14:$K$20,9)/30))</f>
        <v>8.0045599239336127</v>
      </c>
      <c r="CP218" s="173">
        <f ca="1">(VLOOKUP(CP$72,INDIRECT($C$5&amp;"生成成长"),2))/((VLOOKUP($B218,INDIRECT($B$5&amp;"生成成长"),4))/(VLOOKUP(CP$72,INDIRECT($C$5&amp;"生成成长"),5))*(VLOOKUP($B$5,标准坦克设计!$B$24:$U$30,MATCH("对"&amp;LEFT($C$5,2)&amp;"输出",标准坦克设计!$B$23:$U$23,0)))*(VLOOKUP($B218,INDIRECT($B$5&amp;"生成成长"),3))*(VLOOKUP($B$5,标准坦克设计!$B$14:$K$20,9)/30))</f>
        <v>8.7456551008908008</v>
      </c>
      <c r="CQ218" s="173">
        <f ca="1">(VLOOKUP(CQ$72,INDIRECT($C$5&amp;"生成成长"),2))/((VLOOKUP($B218,INDIRECT($B$5&amp;"生成成长"),4))/(VLOOKUP(CQ$72,INDIRECT($C$5&amp;"生成成长"),5))*(VLOOKUP($B$5,标准坦克设计!$B$24:$U$30,MATCH("对"&amp;LEFT($C$5,2)&amp;"输出",标准坦克设计!$B$23:$U$23,0)))*(VLOOKUP($B218,INDIRECT($B$5&amp;"生成成长"),3))*(VLOOKUP($B$5,标准坦克设计!$B$14:$K$20,9)/30))</f>
        <v>9.5195552957414655</v>
      </c>
      <c r="CR218" s="173">
        <f ca="1">(VLOOKUP(CR$72,INDIRECT($C$5&amp;"生成成长"),2))/((VLOOKUP($B218,INDIRECT($B$5&amp;"生成成长"),4))/(VLOOKUP(CR$72,INDIRECT($C$5&amp;"生成成长"),5))*(VLOOKUP($B$5,标准坦克设计!$B$24:$U$30,MATCH("对"&amp;LEFT($C$5,2)&amp;"输出",标准坦克设计!$B$23:$U$23,0)))*(VLOOKUP($B218,INDIRECT($B$5&amp;"生成成长"),3))*(VLOOKUP($B$5,标准坦克设计!$B$14:$K$20,9)/30))</f>
        <v>10.326260508485609</v>
      </c>
      <c r="CS218" s="173">
        <f ca="1">(VLOOKUP(CS$72,INDIRECT($C$5&amp;"生成成长"),2))/((VLOOKUP($B218,INDIRECT($B$5&amp;"生成成长"),4))/(VLOOKUP(CS$72,INDIRECT($C$5&amp;"生成成长"),5))*(VLOOKUP($B$5,标准坦克设计!$B$24:$U$30,MATCH("对"&amp;LEFT($C$5,2)&amp;"输出",标准坦克设计!$B$23:$U$23,0)))*(VLOOKUP($B218,INDIRECT($B$5&amp;"生成成长"),3))*(VLOOKUP($B$5,标准坦克设计!$B$14:$K$20,9)/30))</f>
        <v>11.16577073912323</v>
      </c>
      <c r="CT218" s="173">
        <f ca="1">(VLOOKUP(CT$72,INDIRECT($C$5&amp;"生成成长"),2))/((VLOOKUP($B218,INDIRECT($B$5&amp;"生成成长"),4))/(VLOOKUP(CT$72,INDIRECT($C$5&amp;"生成成长"),5))*(VLOOKUP($B$5,标准坦克设计!$B$24:$U$30,MATCH("对"&amp;LEFT($C$5,2)&amp;"输出",标准坦克设计!$B$23:$U$23,0)))*(VLOOKUP($B218,INDIRECT($B$5&amp;"生成成长"),3))*(VLOOKUP($B$5,标准坦克设计!$B$14:$K$20,9)/30))</f>
        <v>12.038085987654329</v>
      </c>
      <c r="CU218" s="173">
        <f ca="1">(VLOOKUP(CU$72,INDIRECT($C$5&amp;"生成成长"),2))/((VLOOKUP($B218,INDIRECT($B$5&amp;"生成成长"),4))/(VLOOKUP(CU$72,INDIRECT($C$5&amp;"生成成长"),5))*(VLOOKUP($B$5,标准坦克设计!$B$24:$U$30,MATCH("对"&amp;LEFT($C$5,2)&amp;"输出",标准坦克设计!$B$23:$U$23,0)))*(VLOOKUP($B218,INDIRECT($B$5&amp;"生成成长"),3))*(VLOOKUP($B$5,标准坦克设计!$B$14:$K$20,9)/30))</f>
        <v>12.943206254078904</v>
      </c>
      <c r="CV218" s="173">
        <f ca="1">(VLOOKUP(CV$72,INDIRECT($C$5&amp;"生成成长"),2))/((VLOOKUP($B218,INDIRECT($B$5&amp;"生成成长"),4))/(VLOOKUP(CV$72,INDIRECT($C$5&amp;"生成成长"),5))*(VLOOKUP($B$5,标准坦克设计!$B$24:$U$30,MATCH("对"&amp;LEFT($C$5,2)&amp;"输出",标准坦克设计!$B$23:$U$23,0)))*(VLOOKUP($B218,INDIRECT($B$5&amp;"生成成长"),3))*(VLOOKUP($B$5,标准坦克设计!$B$14:$K$20,9)/30))</f>
        <v>13.881131538396954</v>
      </c>
      <c r="CW218" s="173">
        <f ca="1">(VLOOKUP(CW$72,INDIRECT($C$5&amp;"生成成长"),2))/((VLOOKUP($B218,INDIRECT($B$5&amp;"生成成长"),4))/(VLOOKUP(CW$72,INDIRECT($C$5&amp;"生成成长"),5))*(VLOOKUP($B$5,标准坦克设计!$B$24:$U$30,MATCH("对"&amp;LEFT($C$5,2)&amp;"输出",标准坦克设计!$B$23:$U$23,0)))*(VLOOKUP($B218,INDIRECT($B$5&amp;"生成成长"),3))*(VLOOKUP($B$5,标准坦克设计!$B$14:$K$20,9)/30))</f>
        <v>14.851861840608485</v>
      </c>
      <c r="CX218" s="173">
        <f ca="1">(VLOOKUP(CX$72,INDIRECT($C$5&amp;"生成成长"),2))/((VLOOKUP($B218,INDIRECT($B$5&amp;"生成成长"),4))/(VLOOKUP(CX$72,INDIRECT($C$5&amp;"生成成长"),5))*(VLOOKUP($B$5,标准坦克设计!$B$24:$U$30,MATCH("对"&amp;LEFT($C$5,2)&amp;"输出",标准坦克设计!$B$23:$U$23,0)))*(VLOOKUP($B218,INDIRECT($B$5&amp;"生成成长"),3))*(VLOOKUP($B$5,标准坦克设计!$B$14:$K$20,9)/30))</f>
        <v>15.855397160713492</v>
      </c>
      <c r="CY218" s="173">
        <f ca="1">(VLOOKUP(CY$72,INDIRECT($C$5&amp;"生成成长"),2))/((VLOOKUP($B218,INDIRECT($B$5&amp;"生成成长"),4))/(VLOOKUP(CY$72,INDIRECT($C$5&amp;"生成成长"),5))*(VLOOKUP($B$5,标准坦克设计!$B$24:$U$30,MATCH("对"&amp;LEFT($C$5,2)&amp;"输出",标准坦克设计!$B$23:$U$23,0)))*(VLOOKUP($B218,INDIRECT($B$5&amp;"生成成长"),3))*(VLOOKUP($B$5,标准坦克设计!$B$14:$K$20,9)/30))</f>
        <v>16.891737498711976</v>
      </c>
      <c r="CZ218" s="173">
        <f ca="1">(VLOOKUP(CZ$72,INDIRECT($C$5&amp;"生成成长"),2))/((VLOOKUP($B218,INDIRECT($B$5&amp;"生成成长"),4))/(VLOOKUP(CZ$72,INDIRECT($C$5&amp;"生成成长"),5))*(VLOOKUP($B$5,标准坦克设计!$B$24:$U$30,MATCH("对"&amp;LEFT($C$5,2)&amp;"输出",标准坦克设计!$B$23:$U$23,0)))*(VLOOKUP($B218,INDIRECT($B$5&amp;"生成成长"),3))*(VLOOKUP($B$5,标准坦克设计!$B$14:$K$20,9)/30))</f>
        <v>17.960882854603934</v>
      </c>
      <c r="DA218" s="173">
        <f ca="1">(VLOOKUP(DA$72,INDIRECT($C$5&amp;"生成成长"),2))/((VLOOKUP($B218,INDIRECT($B$5&amp;"生成成长"),4))/(VLOOKUP(DA$72,INDIRECT($C$5&amp;"生成成长"),5))*(VLOOKUP($B$5,标准坦克设计!$B$24:$U$30,MATCH("对"&amp;LEFT($C$5,2)&amp;"输出",标准坦克设计!$B$23:$U$23,0)))*(VLOOKUP($B218,INDIRECT($B$5&amp;"生成成长"),3))*(VLOOKUP($B$5,标准坦克设计!$B$14:$K$20,9)/30))</f>
        <v>19.062833228389373</v>
      </c>
      <c r="DB218" s="173">
        <f ca="1">(VLOOKUP(DB$72,INDIRECT($C$5&amp;"生成成长"),2))/((VLOOKUP($B218,INDIRECT($B$5&amp;"生成成长"),4))/(VLOOKUP(DB$72,INDIRECT($C$5&amp;"生成成长"),5))*(VLOOKUP($B$5,标准坦克设计!$B$24:$U$30,MATCH("对"&amp;LEFT($C$5,2)&amp;"输出",标准坦克设计!$B$23:$U$23,0)))*(VLOOKUP($B218,INDIRECT($B$5&amp;"生成成长"),3))*(VLOOKUP($B$5,标准坦克设计!$B$14:$K$20,9)/30))</f>
        <v>20.197588620068284</v>
      </c>
      <c r="DC218" s="173">
        <f ca="1">(VLOOKUP(DC$72,INDIRECT($C$5&amp;"生成成长"),2))/((VLOOKUP($B218,INDIRECT($B$5&amp;"生成成长"),4))/(VLOOKUP(DC$72,INDIRECT($C$5&amp;"生成成长"),5))*(VLOOKUP($B$5,标准坦克设计!$B$24:$U$30,MATCH("对"&amp;LEFT($C$5,2)&amp;"输出",标准坦克设计!$B$23:$U$23,0)))*(VLOOKUP($B218,INDIRECT($B$5&amp;"生成成长"),3))*(VLOOKUP($B$5,标准坦克设计!$B$14:$K$20,9)/30))</f>
        <v>21.472917580158509</v>
      </c>
      <c r="DD218" s="173">
        <f ca="1">(VLOOKUP(DD$72,INDIRECT($C$5&amp;"生成成长"),2))/((VLOOKUP($B218,INDIRECT($B$5&amp;"生成成长"),4))/(VLOOKUP(DD$72,INDIRECT($C$5&amp;"生成成长"),5))*(VLOOKUP($B$5,标准坦克设计!$B$24:$U$30,MATCH("对"&amp;LEFT($C$5,2)&amp;"输出",标准坦克设计!$B$23:$U$23,0)))*(VLOOKUP($B218,INDIRECT($B$5&amp;"生成成长"),3))*(VLOOKUP($B$5,标准坦克设计!$B$14:$K$20,9)/30))</f>
        <v>22.787287222700471</v>
      </c>
      <c r="DE218" s="173">
        <f ca="1">(VLOOKUP(DE$72,INDIRECT($C$5&amp;"生成成长"),2))/((VLOOKUP($B218,INDIRECT($B$5&amp;"生成成长"),4))/(VLOOKUP(DE$72,INDIRECT($C$5&amp;"生成成长"),5))*(VLOOKUP($B$5,标准坦克设计!$B$24:$U$30,MATCH("对"&amp;LEFT($C$5,2)&amp;"输出",标准坦克设计!$B$23:$U$23,0)))*(VLOOKUP($B218,INDIRECT($B$5&amp;"生成成长"),3))*(VLOOKUP($B$5,标准坦克设计!$B$14:$K$20,9)/30))</f>
        <v>24.140697547694174</v>
      </c>
      <c r="DF218" s="173">
        <f ca="1">(VLOOKUP(DF$72,INDIRECT($C$5&amp;"生成成长"),2))/((VLOOKUP($B218,INDIRECT($B$5&amp;"生成成长"),4))/(VLOOKUP(DF$72,INDIRECT($C$5&amp;"生成成长"),5))*(VLOOKUP($B$5,标准坦克设计!$B$24:$U$30,MATCH("对"&amp;LEFT($C$5,2)&amp;"输出",标准坦克设计!$B$23:$U$23,0)))*(VLOOKUP($B218,INDIRECT($B$5&amp;"生成成长"),3))*(VLOOKUP($B$5,标准坦克设计!$B$14:$K$20,9)/30))</f>
        <v>25.533148555139615</v>
      </c>
      <c r="DG218" s="173">
        <f ca="1">(VLOOKUP(DG$72,INDIRECT($C$5&amp;"生成成长"),2))/((VLOOKUP($B218,INDIRECT($B$5&amp;"生成成长"),4))/(VLOOKUP(DG$72,INDIRECT($C$5&amp;"生成成长"),5))*(VLOOKUP($B$5,标准坦克设计!$B$24:$U$30,MATCH("对"&amp;LEFT($C$5,2)&amp;"输出",标准坦克设计!$B$23:$U$23,0)))*(VLOOKUP($B218,INDIRECT($B$5&amp;"生成成长"),3))*(VLOOKUP($B$5,标准坦克设计!$B$14:$K$20,9)/30))</f>
        <v>26.964640245036804</v>
      </c>
      <c r="DH218" s="173">
        <f ca="1">(VLOOKUP(DH$72,INDIRECT($C$5&amp;"生成成长"),2))/((VLOOKUP($B218,INDIRECT($B$5&amp;"生成成长"),4))/(VLOOKUP(DH$72,INDIRECT($C$5&amp;"生成成长"),5))*(VLOOKUP($B$5,标准坦克设计!$B$24:$U$30,MATCH("对"&amp;LEFT($C$5,2)&amp;"输出",标准坦克设计!$B$23:$U$23,0)))*(VLOOKUP($B218,INDIRECT($B$5&amp;"生成成长"),3))*(VLOOKUP($B$5,标准坦克设计!$B$14:$K$20,9)/30))</f>
        <v>28.435172617385724</v>
      </c>
      <c r="DI218" s="173">
        <f ca="1">(VLOOKUP(DI$72,INDIRECT($C$5&amp;"生成成长"),2))/((VLOOKUP($B218,INDIRECT($B$5&amp;"生成成长"),4))/(VLOOKUP(DI$72,INDIRECT($C$5&amp;"生成成长"),5))*(VLOOKUP($B$5,标准坦克设计!$B$24:$U$30,MATCH("对"&amp;LEFT($C$5,2)&amp;"输出",标准坦克设计!$B$23:$U$23,0)))*(VLOOKUP($B218,INDIRECT($B$5&amp;"生成成长"),3))*(VLOOKUP($B$5,标准坦克设计!$B$14:$K$20,9)/30))</f>
        <v>29.9447456721864</v>
      </c>
      <c r="DJ218" s="173">
        <f ca="1">(VLOOKUP(DJ$72,INDIRECT($C$5&amp;"生成成长"),2))/((VLOOKUP($B218,INDIRECT($B$5&amp;"生成成长"),4))/(VLOOKUP(DJ$72,INDIRECT($C$5&amp;"生成成长"),5))*(VLOOKUP($B$5,标准坦克设计!$B$24:$U$30,MATCH("对"&amp;LEFT($C$5,2)&amp;"输出",标准坦克设计!$B$23:$U$23,0)))*(VLOOKUP($B218,INDIRECT($B$5&amp;"生成成长"),3))*(VLOOKUP($B$5,标准坦克设计!$B$14:$K$20,9)/30))</f>
        <v>3.0095214969135822</v>
      </c>
      <c r="DK218" s="173">
        <f ca="1">(VLOOKUP(DK$72,INDIRECT($C$5&amp;"生成成长"),2))/((VLOOKUP($B218,INDIRECT($B$5&amp;"生成成长"),4))/(VLOOKUP(DK$72,INDIRECT($C$5&amp;"生成成长"),5))*(VLOOKUP($B$5,标准坦克设计!$B$24:$U$30,MATCH("对"&amp;LEFT($C$5,2)&amp;"输出",标准坦克设计!$B$23:$U$23,0)))*(VLOOKUP($B218,INDIRECT($B$5&amp;"生成成长"),3))*(VLOOKUP($B$5,标准坦克设计!$B$14:$K$20,9)/30))</f>
        <v>3.3840680441849758</v>
      </c>
      <c r="DL218" s="173">
        <f ca="1">(VLOOKUP(DL$72,INDIRECT($C$5&amp;"生成成长"),2))/((VLOOKUP($B218,INDIRECT($B$5&amp;"生成成长"),4))/(VLOOKUP(DL$72,INDIRECT($C$5&amp;"生成成长"),5))*(VLOOKUP($B$5,标准坦克设计!$B$24:$U$30,MATCH("对"&amp;LEFT($C$5,2)&amp;"输出",标准坦克设计!$B$23:$U$23,0)))*(VLOOKUP($B218,INDIRECT($B$5&amp;"生成成长"),3))*(VLOOKUP($B$5,标准坦克设计!$B$14:$K$20,9)/30))</f>
        <v>3.7805749753354756</v>
      </c>
      <c r="DM218" s="173">
        <f ca="1">(VLOOKUP(DM$72,INDIRECT($C$5&amp;"生成成长"),2))/((VLOOKUP($B218,INDIRECT($B$5&amp;"生成成长"),4))/(VLOOKUP(DM$72,INDIRECT($C$5&amp;"生成成长"),5))*(VLOOKUP($B$5,标准坦克设计!$B$24:$U$30,MATCH("对"&amp;LEFT($C$5,2)&amp;"输出",标准坦克设计!$B$23:$U$23,0)))*(VLOOKUP($B218,INDIRECT($B$5&amp;"生成成长"),3))*(VLOOKUP($B$5,标准坦克设计!$B$14:$K$20,9)/30))</f>
        <v>4.1990422903650781</v>
      </c>
      <c r="DN218" s="173">
        <f ca="1">(VLOOKUP(DN$72,INDIRECT($C$5&amp;"生成成长"),2))/((VLOOKUP($B218,INDIRECT($B$5&amp;"生成成长"),4))/(VLOOKUP(DN$72,INDIRECT($C$5&amp;"生成成长"),5))*(VLOOKUP($B$5,标准坦克设计!$B$24:$U$30,MATCH("对"&amp;LEFT($C$5,2)&amp;"输出",标准坦克设计!$B$23:$U$23,0)))*(VLOOKUP($B218,INDIRECT($B$5&amp;"生成成长"),3))*(VLOOKUP($B$5,标准坦克设计!$B$14:$K$20,9)/30))</f>
        <v>4.6394699892737865</v>
      </c>
      <c r="DO218" s="173">
        <f ca="1">(VLOOKUP(DO$72,INDIRECT($C$5&amp;"生成成长"),2))/((VLOOKUP($B218,INDIRECT($B$5&amp;"生成成长"),4))/(VLOOKUP(DO$72,INDIRECT($C$5&amp;"生成成长"),5))*(VLOOKUP($B$5,标准坦克设计!$B$24:$U$30,MATCH("对"&amp;LEFT($C$5,2)&amp;"输出",标准坦克设计!$B$23:$U$23,0)))*(VLOOKUP($B218,INDIRECT($B$5&amp;"生成成长"),3))*(VLOOKUP($B$5,标准坦克设计!$B$14:$K$20,9)/30))</f>
        <v>5.1018580720615994</v>
      </c>
      <c r="DP218" s="173">
        <f ca="1">(VLOOKUP(DP$72,INDIRECT($C$5&amp;"生成成长"),2))/((VLOOKUP($B218,INDIRECT($B$5&amp;"生成成长"),4))/(VLOOKUP(DP$72,INDIRECT($C$5&amp;"生成成长"),5))*(VLOOKUP($B$5,标准坦克设计!$B$24:$U$30,MATCH("对"&amp;LEFT($C$5,2)&amp;"输出",标准坦克设计!$B$23:$U$23,0)))*(VLOOKUP($B218,INDIRECT($B$5&amp;"生成成长"),3))*(VLOOKUP($B$5,标准坦克设计!$B$14:$K$20,9)/30))</f>
        <v>5.5862065387285158</v>
      </c>
      <c r="DQ218" s="173">
        <f ca="1">(VLOOKUP(DQ$72,INDIRECT($C$5&amp;"生成成长"),2))/((VLOOKUP($B218,INDIRECT($B$5&amp;"生成成长"),4))/(VLOOKUP(DQ$72,INDIRECT($C$5&amp;"生成成长"),5))*(VLOOKUP($B$5,标准坦克设计!$B$24:$U$30,MATCH("对"&amp;LEFT($C$5,2)&amp;"输出",标准坦克设计!$B$23:$U$23,0)))*(VLOOKUP($B218,INDIRECT($B$5&amp;"生成成长"),3))*(VLOOKUP($B$5,标准坦克设计!$B$14:$K$20,9)/30))</f>
        <v>6.0925153892745376</v>
      </c>
      <c r="DR218" s="173">
        <f ca="1">(VLOOKUP(DR$72,INDIRECT($C$5&amp;"生成成长"),2))/((VLOOKUP($B218,INDIRECT($B$5&amp;"生成成长"),4))/(VLOOKUP(DR$72,INDIRECT($C$5&amp;"生成成长"),5))*(VLOOKUP($B$5,标准坦克设计!$B$24:$U$30,MATCH("对"&amp;LEFT($C$5,2)&amp;"输出",标准坦克设计!$B$23:$U$23,0)))*(VLOOKUP($B218,INDIRECT($B$5&amp;"生成成长"),3))*(VLOOKUP($B$5,标准坦克设计!$B$14:$K$20,9)/30))</f>
        <v>6.6207846236996648</v>
      </c>
      <c r="DS218" s="173">
        <f ca="1">(VLOOKUP(DS$72,INDIRECT($C$5&amp;"生成成长"),2))/((VLOOKUP($B218,INDIRECT($B$5&amp;"生成成长"),4))/(VLOOKUP(DS$72,INDIRECT($C$5&amp;"生成成长"),5))*(VLOOKUP($B$5,标准坦克设计!$B$24:$U$30,MATCH("对"&amp;LEFT($C$5,2)&amp;"输出",标准坦克设计!$B$23:$U$23,0)))*(VLOOKUP($B218,INDIRECT($B$5&amp;"生成成长"),3))*(VLOOKUP($B$5,标准坦克设计!$B$14:$K$20,9)/30))</f>
        <v>7.1710142420038965</v>
      </c>
      <c r="DT218" s="173">
        <f ca="1">(VLOOKUP(DT$72,INDIRECT($C$5&amp;"生成成长"),2))/((VLOOKUP($B218,INDIRECT($B$5&amp;"生成成长"),4))/(VLOOKUP(DT$72,INDIRECT($C$5&amp;"生成成长"),5))*(VLOOKUP($B$5,标准坦克设计!$B$24:$U$30,MATCH("对"&amp;LEFT($C$5,2)&amp;"输出",标准坦克设计!$B$23:$U$23,0)))*(VLOOKUP($B218,INDIRECT($B$5&amp;"生成成长"),3))*(VLOOKUP($B$5,标准坦克设计!$B$14:$K$20,9)/30))</f>
        <v>7.8733398523597034</v>
      </c>
      <c r="DU218" s="173">
        <f ca="1">(VLOOKUP(DU$72,INDIRECT($C$5&amp;"生成成长"),2))/((VLOOKUP($B218,INDIRECT($B$5&amp;"生成成长"),4))/(VLOOKUP(DU$72,INDIRECT($C$5&amp;"生成成长"),5))*(VLOOKUP($B$5,标准坦克设计!$B$24:$U$30,MATCH("对"&amp;LEFT($C$5,2)&amp;"输出",标准坦克设计!$B$23:$U$23,0)))*(VLOOKUP($B218,INDIRECT($B$5&amp;"生成成长"),3))*(VLOOKUP($B$5,标准坦克设计!$B$14:$K$20,9)/30))</f>
        <v>8.6084704806089878</v>
      </c>
      <c r="DV218" s="173">
        <f ca="1">(VLOOKUP(DV$72,INDIRECT($C$5&amp;"生成成长"),2))/((VLOOKUP($B218,INDIRECT($B$5&amp;"生成成长"),4))/(VLOOKUP(DV$72,INDIRECT($C$5&amp;"生成成长"),5))*(VLOOKUP($B$5,标准坦克设计!$B$24:$U$30,MATCH("对"&amp;LEFT($C$5,2)&amp;"输出",标准坦克设计!$B$23:$U$23,0)))*(VLOOKUP($B218,INDIRECT($B$5&amp;"生成成长"),3))*(VLOOKUP($B$5,标准坦克设计!$B$14:$K$20,9)/30))</f>
        <v>9.3764061267517498</v>
      </c>
      <c r="DW218" s="173">
        <f ca="1">(VLOOKUP(DW$72,INDIRECT($C$5&amp;"生成成长"),2))/((VLOOKUP($B218,INDIRECT($B$5&amp;"生成成长"),4))/(VLOOKUP(DW$72,INDIRECT($C$5&amp;"生成成长"),5))*(VLOOKUP($B$5,标准坦克设计!$B$24:$U$30,MATCH("对"&amp;LEFT($C$5,2)&amp;"输出",标准坦克设计!$B$23:$U$23,0)))*(VLOOKUP($B218,INDIRECT($B$5&amp;"生成成长"),3))*(VLOOKUP($B$5,标准坦克设计!$B$14:$K$20,9)/30))</f>
        <v>10.177146790787987</v>
      </c>
      <c r="DX218" s="173">
        <f ca="1">(VLOOKUP(DX$72,INDIRECT($C$5&amp;"生成成长"),2))/((VLOOKUP($B218,INDIRECT($B$5&amp;"生成成长"),4))/(VLOOKUP(DX$72,INDIRECT($C$5&amp;"生成成长"),5))*(VLOOKUP($B$5,标准坦克设计!$B$24:$U$30,MATCH("对"&amp;LEFT($C$5,2)&amp;"输出",标准坦克设计!$B$23:$U$23,0)))*(VLOOKUP($B218,INDIRECT($B$5&amp;"生成成长"),3))*(VLOOKUP($B$5,标准坦克设计!$B$14:$K$20,9)/30))</f>
        <v>11.010692472717702</v>
      </c>
      <c r="DY218" s="173">
        <f ca="1">(VLOOKUP(DY$72,INDIRECT($C$5&amp;"生成成长"),2))/((VLOOKUP($B218,INDIRECT($B$5&amp;"生成成长"),4))/(VLOOKUP(DY$72,INDIRECT($C$5&amp;"生成成长"),5))*(VLOOKUP($B$5,标准坦克设计!$B$24:$U$30,MATCH("对"&amp;LEFT($C$5,2)&amp;"输出",标准坦克设计!$B$23:$U$23,0)))*(VLOOKUP($B218,INDIRECT($B$5&amp;"生成成长"),3))*(VLOOKUP($B$5,标准坦克设计!$B$14:$K$20,9)/30))</f>
        <v>4.9452886684790958</v>
      </c>
      <c r="DZ218" s="173">
        <f ca="1">(VLOOKUP(DZ$72,INDIRECT($C$5&amp;"生成成长"),2))/((VLOOKUP($B218,INDIRECT($B$5&amp;"生成成长"),4))/(VLOOKUP(DZ$72,INDIRECT($C$5&amp;"生成成长"),5))*(VLOOKUP($B$5,标准坦克设计!$B$24:$U$30,MATCH("对"&amp;LEFT($C$5,2)&amp;"输出",标准坦克设计!$B$23:$U$23,0)))*(VLOOKUP($B218,INDIRECT($B$5&amp;"生成成长"),3))*(VLOOKUP($B$5,标准坦克设计!$B$14:$K$20,9)/30))</f>
        <v>5.4766757351833526</v>
      </c>
      <c r="EA218" s="173">
        <f ca="1">(VLOOKUP(EA$72,INDIRECT($C$5&amp;"生成成长"),2))/((VLOOKUP($B218,INDIRECT($B$5&amp;"生成成长"),4))/(VLOOKUP(EA$72,INDIRECT($C$5&amp;"生成成长"),5))*(VLOOKUP($B$5,标准坦克设计!$B$24:$U$30,MATCH("对"&amp;LEFT($C$5,2)&amp;"输出",标准坦克设计!$B$23:$U$23,0)))*(VLOOKUP($B218,INDIRECT($B$5&amp;"生成成长"),3))*(VLOOKUP($B$5,标准坦克设计!$B$14:$K$20,9)/30))</f>
        <v>6.0351743869235435</v>
      </c>
      <c r="EB218" s="173">
        <f ca="1">(VLOOKUP(EB$72,INDIRECT($C$5&amp;"生成成长"),2))/((VLOOKUP($B218,INDIRECT($B$5&amp;"生成成长"),4))/(VLOOKUP(EB$72,INDIRECT($C$5&amp;"生成成长"),5))*(VLOOKUP($B$5,标准坦克设计!$B$24:$U$30,MATCH("对"&amp;LEFT($C$5,2)&amp;"输出",标准坦克设计!$B$23:$U$23,0)))*(VLOOKUP($B218,INDIRECT($B$5&amp;"生成成长"),3))*(VLOOKUP($B$5,标准坦克设计!$B$14:$K$20,9)/30))</f>
        <v>6.6207846236996648</v>
      </c>
      <c r="EC218" s="173">
        <f ca="1">(VLOOKUP(EC$72,INDIRECT($C$5&amp;"生成成长"),2))/((VLOOKUP($B218,INDIRECT($B$5&amp;"生成成长"),4))/(VLOOKUP(EC$72,INDIRECT($C$5&amp;"生成成长"),5))*(VLOOKUP($B$5,标准坦克设计!$B$24:$U$30,MATCH("对"&amp;LEFT($C$5,2)&amp;"输出",标准坦克设计!$B$23:$U$23,0)))*(VLOOKUP($B218,INDIRECT($B$5&amp;"生成成长"),3))*(VLOOKUP($B$5,标准坦克设计!$B$14:$K$20,9)/30))</f>
        <v>7.2335064455117184</v>
      </c>
      <c r="ED218" s="173">
        <f ca="1">(VLOOKUP(ED$72,INDIRECT($C$5&amp;"生成成长"),2))/((VLOOKUP($B218,INDIRECT($B$5&amp;"生成成长"),4))/(VLOOKUP(ED$72,INDIRECT($C$5&amp;"生成成长"),5))*(VLOOKUP($B$5,标准坦克设计!$B$24:$U$30,MATCH("对"&amp;LEFT($C$5,2)&amp;"输出",标准坦克设计!$B$23:$U$23,0)))*(VLOOKUP($B218,INDIRECT($B$5&amp;"生成成长"),3))*(VLOOKUP($B$5,标准坦克设计!$B$14:$K$20,9)/30))</f>
        <v>7.8733398523597034</v>
      </c>
      <c r="EE218" s="173">
        <f ca="1">(VLOOKUP(EE$72,INDIRECT($C$5&amp;"生成成长"),2))/((VLOOKUP($B218,INDIRECT($B$5&amp;"生成成长"),4))/(VLOOKUP(EE$72,INDIRECT($C$5&amp;"生成成长"),5))*(VLOOKUP($B$5,标准坦克设计!$B$24:$U$30,MATCH("对"&amp;LEFT($C$5,2)&amp;"输出",标准坦克设计!$B$23:$U$23,0)))*(VLOOKUP($B218,INDIRECT($B$5&amp;"生成成长"),3))*(VLOOKUP($B$5,标准坦克设计!$B$14:$K$20,9)/30))</f>
        <v>8.5402848442436188</v>
      </c>
      <c r="EF218" s="173">
        <f ca="1">(VLOOKUP(EF$72,INDIRECT($C$5&amp;"生成成长"),2))/((VLOOKUP($B218,INDIRECT($B$5&amp;"生成成长"),4))/(VLOOKUP(EF$72,INDIRECT($C$5&amp;"生成成长"),5))*(VLOOKUP($B$5,标准坦克设计!$B$24:$U$30,MATCH("对"&amp;LEFT($C$5,2)&amp;"输出",标准坦克设计!$B$23:$U$23,0)))*(VLOOKUP($B218,INDIRECT($B$5&amp;"生成成长"),3))*(VLOOKUP($B$5,标准坦克设计!$B$14:$K$20,9)/30))</f>
        <v>9.2343414211634656</v>
      </c>
      <c r="EG218" s="173">
        <f ca="1">(VLOOKUP(EG$72,INDIRECT($C$5&amp;"生成成长"),2))/((VLOOKUP($B218,INDIRECT($B$5&amp;"生成成长"),4))/(VLOOKUP(EG$72,INDIRECT($C$5&amp;"生成成长"),5))*(VLOOKUP($B$5,标准坦克设计!$B$24:$U$30,MATCH("对"&amp;LEFT($C$5,2)&amp;"输出",标准坦克设计!$B$23:$U$23,0)))*(VLOOKUP($B218,INDIRECT($B$5&amp;"生成成长"),3))*(VLOOKUP($B$5,标准坦克设计!$B$14:$K$20,9)/30))</f>
        <v>9.9555095831192446</v>
      </c>
      <c r="EH218" s="173">
        <f ca="1">(VLOOKUP(EH$72,INDIRECT($C$5&amp;"生成成长"),2))/((VLOOKUP($B218,INDIRECT($B$5&amp;"生成成长"),4))/(VLOOKUP(EH$72,INDIRECT($C$5&amp;"生成成长"),5))*(VLOOKUP($B$5,标准坦克设计!$B$24:$U$30,MATCH("对"&amp;LEFT($C$5,2)&amp;"输出",标准坦克设计!$B$23:$U$23,0)))*(VLOOKUP($B218,INDIRECT($B$5&amp;"生成成长"),3))*(VLOOKUP($B$5,标准坦克设计!$B$14:$K$20,9)/30))</f>
        <v>10.703789330110956</v>
      </c>
      <c r="EI218" s="173">
        <f ca="1">(VLOOKUP(EI$72,INDIRECT($C$5&amp;"生成成长"),2))/((VLOOKUP($B218,INDIRECT($B$5&amp;"生成成长"),4))/(VLOOKUP(EI$72,INDIRECT($C$5&amp;"生成成长"),5))*(VLOOKUP($B$5,标准坦克设计!$B$24:$U$30,MATCH("对"&amp;LEFT($C$5,2)&amp;"输出",标准坦克设计!$B$23:$U$23,0)))*(VLOOKUP($B218,INDIRECT($B$5&amp;"生成成长"),3))*(VLOOKUP($B$5,标准坦克设计!$B$14:$K$20,9)/30))</f>
        <v>11.479180662138599</v>
      </c>
      <c r="EJ218" s="173">
        <f ca="1">(VLOOKUP(EJ$72,INDIRECT($C$5&amp;"生成成长"),2))/((VLOOKUP($B218,INDIRECT($B$5&amp;"生成成长"),4))/(VLOOKUP(EJ$72,INDIRECT($C$5&amp;"生成成长"),5))*(VLOOKUP($B$5,标准坦克设计!$B$24:$U$30,MATCH("对"&amp;LEFT($C$5,2)&amp;"输出",标准坦克设计!$B$23:$U$23,0)))*(VLOOKUP($B218,INDIRECT($B$5&amp;"生成成长"),3))*(VLOOKUP($B$5,标准坦克设计!$B$14:$K$20,9)/30))</f>
        <v>12.281683579202173</v>
      </c>
      <c r="EK218" s="173">
        <f ca="1">(VLOOKUP(EK$72,INDIRECT($C$5&amp;"生成成长"),2))/((VLOOKUP($B218,INDIRECT($B$5&amp;"生成成长"),4))/(VLOOKUP(EK$72,INDIRECT($C$5&amp;"生成成长"),5))*(VLOOKUP($B$5,标准坦克设计!$B$24:$U$30,MATCH("对"&amp;LEFT($C$5,2)&amp;"输出",标准坦克设计!$B$23:$U$23,0)))*(VLOOKUP($B218,INDIRECT($B$5&amp;"生成成长"),3))*(VLOOKUP($B$5,标准坦克设计!$B$14:$K$20,9)/30))</f>
        <v>13.280474371925893</v>
      </c>
      <c r="EL218" s="173">
        <f ca="1">(VLOOKUP(EL$72,INDIRECT($C$5&amp;"生成成长"),2))/((VLOOKUP($B218,INDIRECT($B$5&amp;"生成成长"),4))/(VLOOKUP(EL$72,INDIRECT($C$5&amp;"生成成长"),5))*(VLOOKUP($B$5,标准坦克设计!$B$24:$U$30,MATCH("对"&amp;LEFT($C$5,2)&amp;"输出",标准坦克设计!$B$23:$U$23,0)))*(VLOOKUP($B218,INDIRECT($B$5&amp;"生成成长"),3))*(VLOOKUP($B$5,标准坦克设计!$B$14:$K$20,9)/30))</f>
        <v>14.318305847101351</v>
      </c>
      <c r="EM218" s="173">
        <f ca="1">(VLOOKUP(EM$72,INDIRECT($C$5&amp;"生成成长"),2))/((VLOOKUP($B218,INDIRECT($B$5&amp;"生成成长"),4))/(VLOOKUP(EM$72,INDIRECT($C$5&amp;"生成成长"),5))*(VLOOKUP($B$5,标准坦克设计!$B$24:$U$30,MATCH("对"&amp;LEFT($C$5,2)&amp;"输出",标准坦克设计!$B$23:$U$23,0)))*(VLOOKUP($B218,INDIRECT($B$5&amp;"生成成长"),3))*(VLOOKUP($B$5,标准坦克设计!$B$14:$K$20,9)/30))</f>
        <v>15.395178004728551</v>
      </c>
      <c r="EN218" s="173">
        <f ca="1">(VLOOKUP(EN$72,INDIRECT($C$5&amp;"生成成长"),2))/((VLOOKUP($B218,INDIRECT($B$5&amp;"生成成长"),4))/(VLOOKUP(EN$72,INDIRECT($C$5&amp;"生成成长"),5))*(VLOOKUP($B$5,标准坦克设计!$B$24:$U$30,MATCH("对"&amp;LEFT($C$5,2)&amp;"输出",标准坦克设计!$B$23:$U$23,0)))*(VLOOKUP($B218,INDIRECT($B$5&amp;"生成成长"),3))*(VLOOKUP($B$5,标准坦克设计!$B$14:$K$20,9)/30))</f>
        <v>16.511090844807498</v>
      </c>
      <c r="EO218" s="173">
        <f ca="1">(VLOOKUP(EO$72,INDIRECT($C$5&amp;"生成成长"),2))/((VLOOKUP($B218,INDIRECT($B$5&amp;"生成成长"),4))/(VLOOKUP(EO$72,INDIRECT($C$5&amp;"生成成长"),5))*(VLOOKUP($B$5,标准坦克设计!$B$24:$U$30,MATCH("对"&amp;LEFT($C$5,2)&amp;"输出",标准坦克设计!$B$23:$U$23,0)))*(VLOOKUP($B218,INDIRECT($B$5&amp;"生成成长"),3))*(VLOOKUP($B$5,标准坦克设计!$B$14:$K$20,9)/30))</f>
        <v>17.666044367338177</v>
      </c>
      <c r="EP218" s="173">
        <f ca="1">(VLOOKUP(EP$72,INDIRECT($C$5&amp;"生成成长"),2))/((VLOOKUP($B218,INDIRECT($B$5&amp;"生成成长"),4))/(VLOOKUP(EP$72,INDIRECT($C$5&amp;"生成成长"),5))*(VLOOKUP($B$5,标准坦克设计!$B$24:$U$30,MATCH("对"&amp;LEFT($C$5,2)&amp;"输出",标准坦克设计!$B$23:$U$23,0)))*(VLOOKUP($B218,INDIRECT($B$5&amp;"生成成长"),3))*(VLOOKUP($B$5,标准坦克设计!$B$14:$K$20,9)/30))</f>
        <v>18.860038572320605</v>
      </c>
      <c r="EQ218" s="173">
        <f ca="1">(VLOOKUP(EQ$72,INDIRECT($C$5&amp;"生成成长"),2))/((VLOOKUP($B218,INDIRECT($B$5&amp;"生成成长"),4))/(VLOOKUP(EQ$72,INDIRECT($C$5&amp;"生成成长"),5))*(VLOOKUP($B$5,标准坦克设计!$B$24:$U$30,MATCH("对"&amp;LEFT($C$5,2)&amp;"输出",标准坦克设计!$B$23:$U$23,0)))*(VLOOKUP($B218,INDIRECT($B$5&amp;"生成成长"),3))*(VLOOKUP($B$5,标准坦克设计!$B$14:$K$20,9)/30))</f>
        <v>8.3373546302496706</v>
      </c>
      <c r="ER218" s="173">
        <f ca="1">(VLOOKUP(ER$72,INDIRECT($C$5&amp;"生成成长"),2))/((VLOOKUP($B218,INDIRECT($B$5&amp;"生成成长"),4))/(VLOOKUP(ER$72,INDIRECT($C$5&amp;"生成成长"),5))*(VLOOKUP($B$5,标准坦克设计!$B$24:$U$30,MATCH("对"&amp;LEFT($C$5,2)&amp;"输出",标准坦克设计!$B$23:$U$23,0)))*(VLOOKUP($B218,INDIRECT($B$5&amp;"生成成长"),3))*(VLOOKUP($B$5,标准坦克设计!$B$14:$K$20,9)/30))</f>
        <v>9.0933611789766235</v>
      </c>
      <c r="ES218" s="173">
        <f ca="1">(VLOOKUP(ES$72,INDIRECT($C$5&amp;"生成成长"),2))/((VLOOKUP($B218,INDIRECT($B$5&amp;"生成成长"),4))/(VLOOKUP(ES$72,INDIRECT($C$5&amp;"生成成长"),5))*(VLOOKUP($B$5,标准坦克设计!$B$24:$U$30,MATCH("对"&amp;LEFT($C$5,2)&amp;"输出",标准坦克设计!$B$23:$U$23,0)))*(VLOOKUP($B218,INDIRECT($B$5&amp;"生成成长"),3))*(VLOOKUP($B$5,标准坦克设计!$B$14:$K$20,9)/30))</f>
        <v>9.8821727455970514</v>
      </c>
      <c r="ET218" s="173">
        <f ca="1">(VLOOKUP(ET$72,INDIRECT($C$5&amp;"生成成长"),2))/((VLOOKUP($B218,INDIRECT($B$5&amp;"生成成长"),4))/(VLOOKUP(ET$72,INDIRECT($C$5&amp;"生成成长"),5))*(VLOOKUP($B$5,标准坦克设计!$B$24:$U$30,MATCH("对"&amp;LEFT($C$5,2)&amp;"输出",标准坦克设计!$B$23:$U$23,0)))*(VLOOKUP($B218,INDIRECT($B$5&amp;"生成成长"),3))*(VLOOKUP($B$5,标准坦克设计!$B$14:$K$20,9)/30))</f>
        <v>10.703789330110956</v>
      </c>
      <c r="EU218" s="173">
        <f ca="1">(VLOOKUP(EU$72,INDIRECT($C$5&amp;"生成成长"),2))/((VLOOKUP($B218,INDIRECT($B$5&amp;"生成成长"),4))/(VLOOKUP(EU$72,INDIRECT($C$5&amp;"生成成长"),5))*(VLOOKUP($B$5,标准坦克设计!$B$24:$U$30,MATCH("对"&amp;LEFT($C$5,2)&amp;"输出",标准坦克设计!$B$23:$U$23,0)))*(VLOOKUP($B218,INDIRECT($B$5&amp;"生成成长"),3))*(VLOOKUP($B$5,标准坦克设计!$B$14:$K$20,9)/30))</f>
        <v>11.558210932518339</v>
      </c>
      <c r="EV218" s="173">
        <f ca="1">(VLOOKUP(EV$72,INDIRECT($C$5&amp;"生成成长"),2))/((VLOOKUP($B218,INDIRECT($B$5&amp;"生成成长"),4))/(VLOOKUP(EV$72,INDIRECT($C$5&amp;"生成成长"),5))*(VLOOKUP($B$5,标准坦克设计!$B$24:$U$30,MATCH("对"&amp;LEFT($C$5,2)&amp;"输出",标准坦克设计!$B$23:$U$23,0)))*(VLOOKUP($B218,INDIRECT($B$5&amp;"生成成长"),3))*(VLOOKUP($B$5,标准坦克设计!$B$14:$K$20,9)/30))</f>
        <v>12.445437552819199</v>
      </c>
      <c r="EW218" s="173">
        <f ca="1">(VLOOKUP(EW$72,INDIRECT($C$5&amp;"生成成长"),2))/((VLOOKUP($B218,INDIRECT($B$5&amp;"生成成长"),4))/(VLOOKUP(EW$72,INDIRECT($C$5&amp;"生成成长"),5))*(VLOOKUP($B$5,标准坦克设计!$B$24:$U$30,MATCH("对"&amp;LEFT($C$5,2)&amp;"输出",标准坦克设计!$B$23:$U$23,0)))*(VLOOKUP($B218,INDIRECT($B$5&amp;"生成成长"),3))*(VLOOKUP($B$5,标准坦克设计!$B$14:$K$20,9)/30))</f>
        <v>13.365469191013535</v>
      </c>
      <c r="EX218" s="173">
        <f ca="1">(VLOOKUP(EX$72,INDIRECT($C$5&amp;"生成成长"),2))/((VLOOKUP($B218,INDIRECT($B$5&amp;"生成成长"),4))/(VLOOKUP(EX$72,INDIRECT($C$5&amp;"生成成长"),5))*(VLOOKUP($B$5,标准坦克设计!$B$24:$U$30,MATCH("对"&amp;LEFT($C$5,2)&amp;"输出",标准坦克设计!$B$23:$U$23,0)))*(VLOOKUP($B218,INDIRECT($B$5&amp;"生成成长"),3))*(VLOOKUP($B$5,标准坦克设计!$B$14:$K$20,9)/30))</f>
        <v>14.318305847101351</v>
      </c>
      <c r="EY218" s="173">
        <f ca="1">(VLOOKUP(EY$72,INDIRECT($C$5&amp;"生成成长"),2))/((VLOOKUP($B218,INDIRECT($B$5&amp;"生成成长"),4))/(VLOOKUP(EY$72,INDIRECT($C$5&amp;"生成成长"),5))*(VLOOKUP($B$5,标准坦克设计!$B$24:$U$30,MATCH("对"&amp;LEFT($C$5,2)&amp;"输出",标准坦克设计!$B$23:$U$23,0)))*(VLOOKUP($B218,INDIRECT($B$5&amp;"生成成长"),3))*(VLOOKUP($B$5,标准坦克设计!$B$14:$K$20,9)/30))</f>
        <v>15.303947521082645</v>
      </c>
      <c r="EZ218" s="173">
        <f ca="1">(VLOOKUP(EZ$72,INDIRECT($C$5&amp;"生成成长"),2))/((VLOOKUP($B218,INDIRECT($B$5&amp;"生成成长"),4))/(VLOOKUP(EZ$72,INDIRECT($C$5&amp;"生成成长"),5))*(VLOOKUP($B$5,标准坦克设计!$B$24:$U$30,MATCH("对"&amp;LEFT($C$5,2)&amp;"输出",标准坦克设计!$B$23:$U$23,0)))*(VLOOKUP($B218,INDIRECT($B$5&amp;"生成成长"),3))*(VLOOKUP($B$5,标准坦克设计!$B$14:$K$20,9)/30))</f>
        <v>16.322394212957413</v>
      </c>
      <c r="FA218" s="173">
        <f ca="1">(VLOOKUP(FA$72,INDIRECT($C$5&amp;"生成成长"),2))/((VLOOKUP($B218,INDIRECT($B$5&amp;"生成成长"),4))/(VLOOKUP(FA$72,INDIRECT($C$5&amp;"生成成长"),5))*(VLOOKUP($B$5,标准坦克设计!$B$24:$U$30,MATCH("对"&amp;LEFT($C$5,2)&amp;"输出",标准坦克设计!$B$23:$U$23,0)))*(VLOOKUP($B218,INDIRECT($B$5&amp;"生成成长"),3))*(VLOOKUP($B$5,标准坦克设计!$B$14:$K$20,9)/30))</f>
        <v>17.373645922725657</v>
      </c>
      <c r="FB218" s="173">
        <f ca="1">(VLOOKUP(FB$72,INDIRECT($C$5&amp;"生成成长"),2))/((VLOOKUP($B218,INDIRECT($B$5&amp;"生成成长"),4))/(VLOOKUP(FB$72,INDIRECT($C$5&amp;"生成成长"),5))*(VLOOKUP($B$5,标准坦克设计!$B$24:$U$30,MATCH("对"&amp;LEFT($C$5,2)&amp;"输出",标准坦克设计!$B$23:$U$23,0)))*(VLOOKUP($B218,INDIRECT($B$5&amp;"生成成长"),3))*(VLOOKUP($B$5,标准坦克设计!$B$14:$K$20,9)/30))</f>
        <v>18.457702650387379</v>
      </c>
      <c r="FC218" s="173">
        <f ca="1">(VLOOKUP(FC$72,INDIRECT($C$5&amp;"生成成长"),2))/((VLOOKUP($B218,INDIRECT($B$5&amp;"生成成长"),4))/(VLOOKUP(FC$72,INDIRECT($C$5&amp;"生成成长"),5))*(VLOOKUP($B$5,标准坦克设计!$B$24:$U$30,MATCH("对"&amp;LEFT($C$5,2)&amp;"输出",标准坦克设计!$B$23:$U$23,0)))*(VLOOKUP($B218,INDIRECT($B$5&amp;"生成成长"),3))*(VLOOKUP($B$5,标准坦克设计!$B$14:$K$20,9)/30))</f>
        <v>19.574564395942577</v>
      </c>
      <c r="FD218" s="173">
        <f ca="1">(VLOOKUP(FD$72,INDIRECT($C$5&amp;"生成成长"),2))/((VLOOKUP($B218,INDIRECT($B$5&amp;"生成成长"),4))/(VLOOKUP(FD$72,INDIRECT($C$5&amp;"生成成长"),5))*(VLOOKUP($B$5,标准坦克设计!$B$24:$U$30,MATCH("对"&amp;LEFT($C$5,2)&amp;"输出",标准坦克设计!$B$23:$U$23,0)))*(VLOOKUP($B218,INDIRECT($B$5&amp;"生成成长"),3))*(VLOOKUP($B$5,标准坦克设计!$B$14:$K$20,9)/30))</f>
        <v>20.724231159391259</v>
      </c>
      <c r="FE218" s="173">
        <f ca="1">(VLOOKUP(FE$72,INDIRECT($C$5&amp;"生成成长"),2))/((VLOOKUP($B218,INDIRECT($B$5&amp;"生成成长"),4))/(VLOOKUP(FE$72,INDIRECT($C$5&amp;"生成成长"),5))*(VLOOKUP($B$5,标准坦克设计!$B$24:$U$30,MATCH("对"&amp;LEFT($C$5,2)&amp;"输出",标准坦克设计!$B$23:$U$23,0)))*(VLOOKUP($B218,INDIRECT($B$5&amp;"生成成长"),3))*(VLOOKUP($B$5,标准坦克设计!$B$14:$K$20,9)/30))</f>
        <v>22.125222316123018</v>
      </c>
      <c r="FF218" s="173">
        <f ca="1">(VLOOKUP(FF$72,INDIRECT($C$5&amp;"生成成长"),2))/((VLOOKUP($B218,INDIRECT($B$5&amp;"生成成长"),4))/(VLOOKUP(FF$72,INDIRECT($C$5&amp;"生成成长"),5))*(VLOOKUP($B$5,标准坦克设计!$B$24:$U$30,MATCH("对"&amp;LEFT($C$5,2)&amp;"输出",标准坦克设计!$B$23:$U$23,0)))*(VLOOKUP($B218,INDIRECT($B$5&amp;"生成成长"),3))*(VLOOKUP($B$5,标准坦克设计!$B$14:$K$20,9)/30))</f>
        <v>23.572032051565508</v>
      </c>
      <c r="FG218" s="173">
        <f ca="1">(VLOOKUP(FG$72,INDIRECT($C$5&amp;"生成成长"),2))/((VLOOKUP($B218,INDIRECT($B$5&amp;"生成成长"),4))/(VLOOKUP(FG$72,INDIRECT($C$5&amp;"生成成长"),5))*(VLOOKUP($B$5,标准坦克设计!$B$24:$U$30,MATCH("对"&amp;LEFT($C$5,2)&amp;"输出",标准坦克设计!$B$23:$U$23,0)))*(VLOOKUP($B218,INDIRECT($B$5&amp;"生成成长"),3))*(VLOOKUP($B$5,标准坦克设计!$B$14:$K$20,9)/30))</f>
        <v>25.064660365718719</v>
      </c>
      <c r="FH218" s="173">
        <f ca="1">(VLOOKUP(FH$72,INDIRECT($C$5&amp;"生成成长"),2))/((VLOOKUP($B218,INDIRECT($B$5&amp;"生成成长"),4))/(VLOOKUP(FH$72,INDIRECT($C$5&amp;"生成成长"),5))*(VLOOKUP($B$5,标准坦克设计!$B$24:$U$30,MATCH("对"&amp;LEFT($C$5,2)&amp;"输出",标准坦克设计!$B$23:$U$23,0)))*(VLOOKUP($B218,INDIRECT($B$5&amp;"生成成长"),3))*(VLOOKUP($B$5,标准坦克设计!$B$14:$K$20,9)/30))</f>
        <v>26.603107258582657</v>
      </c>
      <c r="FI218" s="173">
        <f ca="1">(VLOOKUP(FI$72,INDIRECT($C$5&amp;"生成成长"),2))/((VLOOKUP($B218,INDIRECT($B$5&amp;"生成成长"),4))/(VLOOKUP(FI$72,INDIRECT($C$5&amp;"生成成长"),5))*(VLOOKUP($B$5,标准坦克设计!$B$24:$U$30,MATCH("对"&amp;LEFT($C$5,2)&amp;"输出",标准坦克设计!$B$23:$U$23,0)))*(VLOOKUP($B218,INDIRECT($B$5&amp;"生成成长"),3))*(VLOOKUP($B$5,标准坦克设计!$B$14:$K$20,9)/30))</f>
        <v>28.18737273015731</v>
      </c>
      <c r="FJ218" s="173">
        <f ca="1">(VLOOKUP(FJ$72,INDIRECT($C$5&amp;"生成成长"),2))/((VLOOKUP($B218,INDIRECT($B$5&amp;"生成成长"),4))/(VLOOKUP(FJ$72,INDIRECT($C$5&amp;"生成成长"),5))*(VLOOKUP($B$5,标准坦克设计!$B$24:$U$30,MATCH("对"&amp;LEFT($C$5,2)&amp;"输出",标准坦克设计!$B$23:$U$23,0)))*(VLOOKUP($B218,INDIRECT($B$5&amp;"生成成长"),3))*(VLOOKUP($B$5,标准坦克设计!$B$14:$K$20,9)/30))</f>
        <v>29.817456780442697</v>
      </c>
      <c r="FK218" s="173">
        <f ca="1">(VLOOKUP(FK$72,INDIRECT($C$5&amp;"生成成长"),2))/((VLOOKUP($B218,INDIRECT($B$5&amp;"生成成长"),4))/(VLOOKUP(FK$72,INDIRECT($C$5&amp;"生成成长"),5))*(VLOOKUP($B$5,标准坦克设计!$B$24:$U$30,MATCH("对"&amp;LEFT($C$5,2)&amp;"输出",标准坦克设计!$B$23:$U$23,0)))*(VLOOKUP($B218,INDIRECT($B$5&amp;"生成成长"),3))*(VLOOKUP($B$5,标准坦克设计!$B$14:$K$20,9)/30))</f>
        <v>31.493359409438813</v>
      </c>
    </row>
    <row r="219" spans="1:167" x14ac:dyDescent="0.15">
      <c r="A219" s="171" t="str">
        <f t="shared" si="13"/>
        <v>T5高品质3级</v>
      </c>
      <c r="B219" s="172">
        <v>30503</v>
      </c>
      <c r="C219" s="173">
        <f ca="1">(VLOOKUP(C$72,INDIRECT($C$5&amp;"生成成长"),2))/((VLOOKUP($B219,INDIRECT($B$5&amp;"生成成长"),4))/(VLOOKUP(C$72,INDIRECT($C$5&amp;"生成成长"),5))*(VLOOKUP($B$5,标准坦克设计!$B$24:$U$30,MATCH("对"&amp;LEFT($C$5,2)&amp;"输出",标准坦克设计!$B$23:$U$23,0)))*(VLOOKUP($B219,INDIRECT($B$5&amp;"生成成长"),3))*(VLOOKUP($B$5,标准坦克设计!$B$14:$K$20,9)/30))</f>
        <v>1.2459186115478829</v>
      </c>
      <c r="D219" s="173">
        <f ca="1">(VLOOKUP(D$72,INDIRECT($C$5&amp;"生成成长"),2))/((VLOOKUP($B219,INDIRECT($B$5&amp;"生成成长"),4))/(VLOOKUP(D$72,INDIRECT($C$5&amp;"生成成长"),5))*(VLOOKUP($B$5,标准坦克设计!$B$24:$U$30,MATCH("对"&amp;LEFT($C$5,2)&amp;"输出",标准坦克设计!$B$23:$U$23,0)))*(VLOOKUP($B219,INDIRECT($B$5&amp;"生成成长"),3))*(VLOOKUP($B$5,标准坦克设计!$B$14:$K$20,9)/30))</f>
        <v>1.3999141519352012</v>
      </c>
      <c r="E219" s="173">
        <f ca="1">(VLOOKUP(E$72,INDIRECT($C$5&amp;"生成成长"),2))/((VLOOKUP($B219,INDIRECT($B$5&amp;"生成成长"),4))/(VLOOKUP(E$72,INDIRECT($C$5&amp;"生成成长"),5))*(VLOOKUP($B$5,标准坦克设计!$B$24:$U$30,MATCH("对"&amp;LEFT($C$5,2)&amp;"输出",标准坦克设计!$B$23:$U$23,0)))*(VLOOKUP($B219,INDIRECT($B$5&amp;"生成成长"),3))*(VLOOKUP($B$5,标准坦克设计!$B$14:$K$20,9)/30))</f>
        <v>1.5628803063256642</v>
      </c>
      <c r="F219" s="173">
        <f ca="1">(VLOOKUP(F$72,INDIRECT($C$5&amp;"生成成长"),2))/((VLOOKUP($B219,INDIRECT($B$5&amp;"生成成长"),4))/(VLOOKUP(F$72,INDIRECT($C$5&amp;"生成成长"),5))*(VLOOKUP($B$5,标准坦克设计!$B$24:$U$30,MATCH("对"&amp;LEFT($C$5,2)&amp;"输出",标准坦克设计!$B$23:$U$23,0)))*(VLOOKUP($B219,INDIRECT($B$5&amp;"生成成长"),3))*(VLOOKUP($B$5,标准坦克设计!$B$14:$K$20,9)/30))</f>
        <v>1.7348170747192722</v>
      </c>
      <c r="G219" s="173">
        <f ca="1">(VLOOKUP(G$72,INDIRECT($C$5&amp;"生成成长"),2))/((VLOOKUP($B219,INDIRECT($B$5&amp;"生成成长"),4))/(VLOOKUP(G$72,INDIRECT($C$5&amp;"生成成长"),5))*(VLOOKUP($B$5,标准坦克设计!$B$24:$U$30,MATCH("对"&amp;LEFT($C$5,2)&amp;"输出",标准坦克设计!$B$23:$U$23,0)))*(VLOOKUP($B219,INDIRECT($B$5&amp;"生成成长"),3))*(VLOOKUP($B$5,标准坦克设计!$B$14:$K$20,9)/30))</f>
        <v>1.9157244571160252</v>
      </c>
      <c r="H219" s="173">
        <f ca="1">(VLOOKUP(H$72,INDIRECT($C$5&amp;"生成成长"),2))/((VLOOKUP($B219,INDIRECT($B$5&amp;"生成成长"),4))/(VLOOKUP(H$72,INDIRECT($C$5&amp;"生成成长"),5))*(VLOOKUP($B$5,标准坦克设计!$B$24:$U$30,MATCH("对"&amp;LEFT($C$5,2)&amp;"输出",标准坦克设计!$B$23:$U$23,0)))*(VLOOKUP($B219,INDIRECT($B$5&amp;"生成成长"),3))*(VLOOKUP($B$5,标准坦克设计!$B$14:$K$20,9)/30))</f>
        <v>1.6765080836988313</v>
      </c>
      <c r="I219" s="173">
        <f ca="1">(VLOOKUP(I$72,INDIRECT($C$5&amp;"生成成长"),2))/((VLOOKUP($B219,INDIRECT($B$5&amp;"生成成长"),4))/(VLOOKUP(I$72,INDIRECT($C$5&amp;"生成成长"),5))*(VLOOKUP($B$5,标准坦克设计!$B$24:$U$30,MATCH("对"&amp;LEFT($C$5,2)&amp;"输出",标准坦克设计!$B$23:$U$23,0)))*(VLOOKUP($B219,INDIRECT($B$5&amp;"生成成长"),3))*(VLOOKUP($B$5,标准坦克设计!$B$14:$K$20,9)/30))</f>
        <v>1.9157244571160252</v>
      </c>
      <c r="J219" s="173">
        <f ca="1">(VLOOKUP(J$72,INDIRECT($C$5&amp;"生成成长"),2))/((VLOOKUP($B219,INDIRECT($B$5&amp;"生成成长"),4))/(VLOOKUP(J$72,INDIRECT($C$5&amp;"生成成长"),5))*(VLOOKUP($B$5,标准坦克设计!$B$24:$U$30,MATCH("对"&amp;LEFT($C$5,2)&amp;"输出",标准坦克设计!$B$23:$U$23,0)))*(VLOOKUP($B219,INDIRECT($B$5&amp;"生成成长"),3))*(VLOOKUP($B$5,标准坦克设计!$B$14:$K$20,9)/30))</f>
        <v>2.1708885887610312</v>
      </c>
      <c r="K219" s="173">
        <f ca="1">(VLOOKUP(K$72,INDIRECT($C$5&amp;"生成成长"),2))/((VLOOKUP($B219,INDIRECT($B$5&amp;"生成成长"),4))/(VLOOKUP(K$72,INDIRECT($C$5&amp;"生成成长"),5))*(VLOOKUP($B$5,标准坦克设计!$B$24:$U$30,MATCH("对"&amp;LEFT($C$5,2)&amp;"输出",标准坦克设计!$B$23:$U$23,0)))*(VLOOKUP($B219,INDIRECT($B$5&amp;"生成成长"),3))*(VLOOKUP($B$5,标准坦克设计!$B$14:$K$20,9)/30))</f>
        <v>2.4420004786338505</v>
      </c>
      <c r="L219" s="173">
        <f ca="1">(VLOOKUP(L$72,INDIRECT($C$5&amp;"生成成长"),2))/((VLOOKUP($B219,INDIRECT($B$5&amp;"生成成长"),4))/(VLOOKUP(L$72,INDIRECT($C$5&amp;"生成成长"),5))*(VLOOKUP($B$5,标准坦克设计!$B$24:$U$30,MATCH("对"&amp;LEFT($C$5,2)&amp;"输出",标准坦克设计!$B$23:$U$23,0)))*(VLOOKUP($B219,INDIRECT($B$5&amp;"生成成长"),3))*(VLOOKUP($B$5,标准坦克设计!$B$14:$K$20,9)/30))</f>
        <v>2.7290601267344825</v>
      </c>
      <c r="M219" s="173">
        <f ca="1">(VLOOKUP(M$72,INDIRECT($C$5&amp;"生成成长"),2))/((VLOOKUP($B219,INDIRECT($B$5&amp;"生成成长"),4))/(VLOOKUP(M$72,INDIRECT($C$5&amp;"生成成长"),5))*(VLOOKUP($B$5,标准坦克设计!$B$24:$U$30,MATCH("对"&amp;LEFT($C$5,2)&amp;"输出",标准坦克设计!$B$23:$U$23,0)))*(VLOOKUP($B219,INDIRECT($B$5&amp;"生成成长"),3))*(VLOOKUP($B$5,标准坦克设计!$B$14:$K$20,9)/30))</f>
        <v>3.0320675330629276</v>
      </c>
      <c r="N219" s="173">
        <f ca="1">(VLOOKUP(N$72,INDIRECT($C$5&amp;"生成成长"),2))/((VLOOKUP($B219,INDIRECT($B$5&amp;"生成成长"),4))/(VLOOKUP(N$72,INDIRECT($C$5&amp;"生成成长"),5))*(VLOOKUP($B$5,标准坦克设计!$B$24:$U$30,MATCH("对"&amp;LEFT($C$5,2)&amp;"输出",标准坦克设计!$B$23:$U$23,0)))*(VLOOKUP($B219,INDIRECT($B$5&amp;"生成成长"),3))*(VLOOKUP($B$5,标准坦克设计!$B$14:$K$20,9)/30))</f>
        <v>3.3510226976191859</v>
      </c>
      <c r="O219" s="173">
        <f ca="1">(VLOOKUP(O$72,INDIRECT($C$5&amp;"生成成长"),2))/((VLOOKUP($B219,INDIRECT($B$5&amp;"生成成长"),4))/(VLOOKUP(O$72,INDIRECT($C$5&amp;"生成成长"),5))*(VLOOKUP($B$5,标准坦克设计!$B$24:$U$30,MATCH("对"&amp;LEFT($C$5,2)&amp;"输出",标准坦克设计!$B$23:$U$23,0)))*(VLOOKUP($B219,INDIRECT($B$5&amp;"生成成长"),3))*(VLOOKUP($B$5,标准坦克设计!$B$14:$K$20,9)/30))</f>
        <v>2.5477789687542662</v>
      </c>
      <c r="P219" s="173">
        <f ca="1">(VLOOKUP(P$72,INDIRECT($C$5&amp;"生成成长"),2))/((VLOOKUP($B219,INDIRECT($B$5&amp;"生成成长"),4))/(VLOOKUP(P$72,INDIRECT($C$5&amp;"生成成长"),5))*(VLOOKUP($B$5,标准坦克设计!$B$24:$U$30,MATCH("对"&amp;LEFT($C$5,2)&amp;"输出",标准坦克设计!$B$23:$U$23,0)))*(VLOOKUP($B219,INDIRECT($B$5&amp;"生成成长"),3))*(VLOOKUP($B$5,标准坦克设计!$B$14:$K$20,9)/30))</f>
        <v>2.8785703601202286</v>
      </c>
      <c r="Q219" s="173">
        <f ca="1">(VLOOKUP(Q$72,INDIRECT($C$5&amp;"生成成长"),2))/((VLOOKUP($B219,INDIRECT($B$5&amp;"生成成长"),4))/(VLOOKUP(Q$72,INDIRECT($C$5&amp;"生成成长"),5))*(VLOOKUP($B$5,标准坦克设计!$B$24:$U$30,MATCH("对"&amp;LEFT($C$5,2)&amp;"输出",标准坦克设计!$B$23:$U$23,0)))*(VLOOKUP($B219,INDIRECT($B$5&amp;"生成成长"),3))*(VLOOKUP($B$5,标准坦克设计!$B$14:$K$20,9)/30))</f>
        <v>3.229545632993267</v>
      </c>
      <c r="R219" s="173">
        <f ca="1">(VLOOKUP(R$72,INDIRECT($C$5&amp;"生成成长"),2))/((VLOOKUP($B219,INDIRECT($B$5&amp;"生成成长"),4))/(VLOOKUP(R$72,INDIRECT($C$5&amp;"生成成长"),5))*(VLOOKUP($B$5,标准坦克设计!$B$24:$U$30,MATCH("对"&amp;LEFT($C$5,2)&amp;"输出",标准坦克设计!$B$23:$U$23,0)))*(VLOOKUP($B219,INDIRECT($B$5&amp;"生成成长"),3))*(VLOOKUP($B$5,标准坦克设计!$B$14:$K$20,9)/30))</f>
        <v>3.6007047873733815</v>
      </c>
      <c r="S219" s="173">
        <f ca="1">(VLOOKUP(S$72,INDIRECT($C$5&amp;"生成成长"),2))/((VLOOKUP($B219,INDIRECT($B$5&amp;"生成成长"),4))/(VLOOKUP(S$72,INDIRECT($C$5&amp;"生成成长"),5))*(VLOOKUP($B$5,标准坦克设计!$B$24:$U$30,MATCH("对"&amp;LEFT($C$5,2)&amp;"输出",标准坦克设计!$B$23:$U$23,0)))*(VLOOKUP($B219,INDIRECT($B$5&amp;"生成成长"),3))*(VLOOKUP($B$5,标准坦克设计!$B$14:$K$20,9)/30))</f>
        <v>3.9920478232605712</v>
      </c>
      <c r="T219" s="173">
        <f ca="1">(VLOOKUP(T$72,INDIRECT($C$5&amp;"生成成长"),2))/((VLOOKUP($B219,INDIRECT($B$5&amp;"生成成长"),4))/(VLOOKUP(T$72,INDIRECT($C$5&amp;"生成成长"),5))*(VLOOKUP($B$5,标准坦克设计!$B$24:$U$30,MATCH("对"&amp;LEFT($C$5,2)&amp;"输出",标准坦克设计!$B$23:$U$23,0)))*(VLOOKUP($B219,INDIRECT($B$5&amp;"生成成长"),3))*(VLOOKUP($B$5,标准坦克设计!$B$14:$K$20,9)/30))</f>
        <v>4.4035747406548378</v>
      </c>
      <c r="U219" s="173">
        <f ca="1">(VLOOKUP(U$72,INDIRECT($C$5&amp;"生成成长"),2))/((VLOOKUP($B219,INDIRECT($B$5&amp;"生成成长"),4))/(VLOOKUP(U$72,INDIRECT($C$5&amp;"生成成长"),5))*(VLOOKUP($B$5,标准坦克设计!$B$24:$U$30,MATCH("对"&amp;LEFT($C$5,2)&amp;"输出",标准坦克设计!$B$23:$U$23,0)))*(VLOOKUP($B219,INDIRECT($B$5&amp;"生成成长"),3))*(VLOOKUP($B$5,标准坦克设计!$B$14:$K$20,9)/30))</f>
        <v>4.8352855395561791</v>
      </c>
      <c r="V219" s="173">
        <f ca="1">(VLOOKUP(V$72,INDIRECT($C$5&amp;"生成成长"),2))/((VLOOKUP($B219,INDIRECT($B$5&amp;"生成成长"),4))/(VLOOKUP(V$72,INDIRECT($C$5&amp;"生成成长"),5))*(VLOOKUP($B$5,标准坦克设计!$B$24:$U$30,MATCH("对"&amp;LEFT($C$5,2)&amp;"输出",标准坦克设计!$B$23:$U$23,0)))*(VLOOKUP($B219,INDIRECT($B$5&amp;"生成成长"),3))*(VLOOKUP($B$5,标准坦克设计!$B$14:$K$20,9)/30))</f>
        <v>5.2871802199645952</v>
      </c>
      <c r="W219" s="173">
        <f ca="1">(VLOOKUP(W$72,INDIRECT($C$5&amp;"生成成长"),2))/((VLOOKUP($B219,INDIRECT($B$5&amp;"生成成长"),4))/(VLOOKUP(W$72,INDIRECT($C$5&amp;"生成成长"),5))*(VLOOKUP($B$5,标准坦克设计!$B$24:$U$30,MATCH("对"&amp;LEFT($C$5,2)&amp;"输出",标准坦克设计!$B$23:$U$23,0)))*(VLOOKUP($B219,INDIRECT($B$5&amp;"生成成长"),3))*(VLOOKUP($B$5,标准坦克设计!$B$14:$K$20,9)/30))</f>
        <v>5.7592587818800887</v>
      </c>
      <c r="X219" s="173">
        <f ca="1">(VLOOKUP(X$72,INDIRECT($C$5&amp;"生成成长"),2))/((VLOOKUP($B219,INDIRECT($B$5&amp;"生成成长"),4))/(VLOOKUP(X$72,INDIRECT($C$5&amp;"生成成长"),5))*(VLOOKUP($B$5,标准坦克设计!$B$24:$U$30,MATCH("对"&amp;LEFT($C$5,2)&amp;"输出",标准坦克设计!$B$23:$U$23,0)))*(VLOOKUP($B219,INDIRECT($B$5&amp;"生成成长"),3))*(VLOOKUP($B$5,标准坦克设计!$B$14:$K$20,9)/30))</f>
        <v>4.172456838212705</v>
      </c>
      <c r="Y219" s="173">
        <f ca="1">(VLOOKUP(Y$72,INDIRECT($C$5&amp;"生成成长"),2))/((VLOOKUP($B219,INDIRECT($B$5&amp;"生成成长"),4))/(VLOOKUP(Y$72,INDIRECT($C$5&amp;"生成成长"),5))*(VLOOKUP($B$5,标准坦克设计!$B$24:$U$30,MATCH("对"&amp;LEFT($C$5,2)&amp;"输出",标准坦克设计!$B$23:$U$23,0)))*(VLOOKUP($B219,INDIRECT($B$5&amp;"生成成长"),3))*(VLOOKUP($B$5,标准坦克设计!$B$14:$K$20,9)/30))</f>
        <v>4.6409222361547089</v>
      </c>
      <c r="Z219" s="173">
        <f ca="1">(VLOOKUP(Z$72,INDIRECT($C$5&amp;"生成成长"),2))/((VLOOKUP($B219,INDIRECT($B$5&amp;"生成成长"),4))/(VLOOKUP(Z$72,INDIRECT($C$5&amp;"生成成长"),5))*(VLOOKUP($B$5,标准坦克设计!$B$24:$U$30,MATCH("对"&amp;LEFT($C$5,2)&amp;"输出",标准坦克设计!$B$23:$U$23,0)))*(VLOOKUP($B219,INDIRECT($B$5&amp;"生成成长"),3))*(VLOOKUP($B$5,标准坦克设计!$B$14:$K$20,9)/30))</f>
        <v>5.1343060063276713</v>
      </c>
      <c r="AA219" s="173">
        <f ca="1">(VLOOKUP(AA$72,INDIRECT($C$5&amp;"生成成长"),2))/((VLOOKUP($B219,INDIRECT($B$5&amp;"生成成长"),4))/(VLOOKUP(AA$72,INDIRECT($C$5&amp;"生成成长"),5))*(VLOOKUP($B$5,标准坦克设计!$B$24:$U$30,MATCH("对"&amp;LEFT($C$5,2)&amp;"输出",标准坦克设计!$B$23:$U$23,0)))*(VLOOKUP($B219,INDIRECT($B$5&amp;"生成成长"),3))*(VLOOKUP($B$5,标准坦克设计!$B$14:$K$20,9)/30))</f>
        <v>5.6526081487315896</v>
      </c>
      <c r="AB219" s="173">
        <f ca="1">(VLOOKUP(AB$72,INDIRECT($C$5&amp;"生成成长"),2))/((VLOOKUP($B219,INDIRECT($B$5&amp;"生成成长"),4))/(VLOOKUP(AB$72,INDIRECT($C$5&amp;"生成成长"),5))*(VLOOKUP($B$5,标准坦克设计!$B$24:$U$30,MATCH("对"&amp;LEFT($C$5,2)&amp;"输出",标准坦克设计!$B$23:$U$23,0)))*(VLOOKUP($B219,INDIRECT($B$5&amp;"生成成长"),3))*(VLOOKUP($B$5,标准坦克设计!$B$14:$K$20,9)/30))</f>
        <v>6.1958286633664681</v>
      </c>
      <c r="AC219" s="173">
        <f ca="1">(VLOOKUP(AC$72,INDIRECT($C$5&amp;"生成成长"),2))/((VLOOKUP($B219,INDIRECT($B$5&amp;"生成成长"),4))/(VLOOKUP(AC$72,INDIRECT($C$5&amp;"生成成长"),5))*(VLOOKUP($B$5,标准坦克设计!$B$24:$U$30,MATCH("对"&amp;LEFT($C$5,2)&amp;"输出",标准坦克设计!$B$23:$U$23,0)))*(VLOOKUP($B219,INDIRECT($B$5&amp;"生成成长"),3))*(VLOOKUP($B$5,标准坦克设计!$B$14:$K$20,9)/30))</f>
        <v>6.7639675502323007</v>
      </c>
      <c r="AD219" s="173">
        <f ca="1">(VLOOKUP(AD$72,INDIRECT($C$5&amp;"生成成长"),2))/((VLOOKUP($B219,INDIRECT($B$5&amp;"生成成长"),4))/(VLOOKUP(AD$72,INDIRECT($C$5&amp;"生成成长"),5))*(VLOOKUP($B$5,标准坦克设计!$B$24:$U$30,MATCH("对"&amp;LEFT($C$5,2)&amp;"输出",标准坦克设计!$B$23:$U$23,0)))*(VLOOKUP($B219,INDIRECT($B$5&amp;"生成成长"),3))*(VLOOKUP($B$5,标准坦克设计!$B$14:$K$20,9)/30))</f>
        <v>7.3570248093290935</v>
      </c>
      <c r="AE219" s="173">
        <f ca="1">(VLOOKUP(AE$72,INDIRECT($C$5&amp;"生成成长"),2))/((VLOOKUP($B219,INDIRECT($B$5&amp;"生成成长"),4))/(VLOOKUP(AE$72,INDIRECT($C$5&amp;"生成成长"),5))*(VLOOKUP($B$5,标准坦克设计!$B$24:$U$30,MATCH("对"&amp;LEFT($C$5,2)&amp;"输出",标准坦克设计!$B$23:$U$23,0)))*(VLOOKUP($B219,INDIRECT($B$5&amp;"生成成长"),3))*(VLOOKUP($B$5,标准坦克设计!$B$14:$K$20,9)/30))</f>
        <v>7.9750004406568431</v>
      </c>
      <c r="AF219" s="173">
        <f ca="1">(VLOOKUP(AF$72,INDIRECT($C$5&amp;"生成成长"),2))/((VLOOKUP($B219,INDIRECT($B$5&amp;"生成成长"),4))/(VLOOKUP(AF$72,INDIRECT($C$5&amp;"生成成长"),5))*(VLOOKUP($B$5,标准坦克设计!$B$24:$U$30,MATCH("对"&amp;LEFT($C$5,2)&amp;"输出",标准坦克设计!$B$23:$U$23,0)))*(VLOOKUP($B219,INDIRECT($B$5&amp;"生成成长"),3))*(VLOOKUP($B$5,标准坦克设计!$B$14:$K$20,9)/30))</f>
        <v>8.6178944442155512</v>
      </c>
      <c r="AG219" s="173">
        <f ca="1">(VLOOKUP(AG$72,INDIRECT($C$5&amp;"生成成长"),2))/((VLOOKUP($B219,INDIRECT($B$5&amp;"生成成长"),4))/(VLOOKUP(AG$72,INDIRECT($C$5&amp;"生成成长"),5))*(VLOOKUP($B$5,标准坦克设计!$B$24:$U$30,MATCH("对"&amp;LEFT($C$5,2)&amp;"输出",标准坦克设计!$B$23:$U$23,0)))*(VLOOKUP($B219,INDIRECT($B$5&amp;"生成成长"),3))*(VLOOKUP($B$5,标准坦克设计!$B$14:$K$20,9)/30))</f>
        <v>9.2857068200052151</v>
      </c>
      <c r="AH219" s="173">
        <f ca="1">(VLOOKUP(AH$72,INDIRECT($C$5&amp;"生成成长"),2))/((VLOOKUP($B219,INDIRECT($B$5&amp;"生成成长"),4))/(VLOOKUP(AH$72,INDIRECT($C$5&amp;"生成成长"),5))*(VLOOKUP($B$5,标准坦克设计!$B$24:$U$30,MATCH("对"&amp;LEFT($C$5,2)&amp;"输出",标准坦克设计!$B$23:$U$23,0)))*(VLOOKUP($B219,INDIRECT($B$5&amp;"生成成长"),3))*(VLOOKUP($B$5,标准坦克设计!$B$14:$K$20,9)/30))</f>
        <v>9.9784375680258375</v>
      </c>
      <c r="AI219" s="173">
        <f ca="1">(VLOOKUP(AI$72,INDIRECT($C$5&amp;"生成成长"),2))/((VLOOKUP($B219,INDIRECT($B$5&amp;"生成成长"),4))/(VLOOKUP(AI$72,INDIRECT($C$5&amp;"生成成长"),5))*(VLOOKUP($B$5,标准坦克设计!$B$24:$U$30,MATCH("对"&amp;LEFT($C$5,2)&amp;"输出",标准坦克设计!$B$23:$U$23,0)))*(VLOOKUP($B219,INDIRECT($B$5&amp;"生成成长"),3))*(VLOOKUP($B$5,标准坦克设计!$B$14:$K$20,9)/30))</f>
        <v>7.057381383251828</v>
      </c>
      <c r="AJ219" s="173">
        <f ca="1">(VLOOKUP(AJ$72,INDIRECT($C$5&amp;"生成成长"),2))/((VLOOKUP($B219,INDIRECT($B$5&amp;"生成成长"),4))/(VLOOKUP(AJ$72,INDIRECT($C$5&amp;"生成成长"),5))*(VLOOKUP($B$5,标准坦克设计!$B$24:$U$30,MATCH("对"&amp;LEFT($C$5,2)&amp;"输出",标准坦克设计!$B$23:$U$23,0)))*(VLOOKUP($B219,INDIRECT($B$5&amp;"生成成长"),3))*(VLOOKUP($B$5,标准坦克设计!$B$14:$K$20,9)/30))</f>
        <v>7.724819983458028</v>
      </c>
      <c r="AK219" s="173">
        <f ca="1">(VLOOKUP(AK$72,INDIRECT($C$5&amp;"生成成长"),2))/((VLOOKUP($B219,INDIRECT($B$5&amp;"生成成长"),4))/(VLOOKUP(AK$72,INDIRECT($C$5&amp;"生成成长"),5))*(VLOOKUP($B$5,标准坦克设计!$B$24:$U$30,MATCH("对"&amp;LEFT($C$5,2)&amp;"输出",标准坦克设计!$B$23:$U$23,0)))*(VLOOKUP($B219,INDIRECT($B$5&amp;"生成成长"),3))*(VLOOKUP($B$5,标准坦克设计!$B$14:$K$20,9)/30))</f>
        <v>8.4224098140636858</v>
      </c>
      <c r="AL219" s="173">
        <f ca="1">(VLOOKUP(AL$72,INDIRECT($C$5&amp;"生成成长"),2))/((VLOOKUP($B219,INDIRECT($B$5&amp;"生成成长"),4))/(VLOOKUP(AL$72,INDIRECT($C$5&amp;"生成成长"),5))*(VLOOKUP($B$5,标准坦克设计!$B$24:$U$30,MATCH("对"&amp;LEFT($C$5,2)&amp;"输出",标准坦克设计!$B$23:$U$23,0)))*(VLOOKUP($B219,INDIRECT($B$5&amp;"生成成长"),3))*(VLOOKUP($B$5,标准坦克设计!$B$14:$K$20,9)/30))</f>
        <v>9.1501508750688068</v>
      </c>
      <c r="AM219" s="173">
        <f ca="1">(VLOOKUP(AM$72,INDIRECT($C$5&amp;"生成成长"),2))/((VLOOKUP($B219,INDIRECT($B$5&amp;"生成成长"),4))/(VLOOKUP(AM$72,INDIRECT($C$5&amp;"生成成长"),5))*(VLOOKUP($B$5,标准坦克设计!$B$24:$U$30,MATCH("对"&amp;LEFT($C$5,2)&amp;"输出",标准坦克设计!$B$23:$U$23,0)))*(VLOOKUP($B219,INDIRECT($B$5&amp;"生成成长"),3))*(VLOOKUP($B$5,标准坦克设计!$B$14:$K$20,9)/30))</f>
        <v>9.9080431664733819</v>
      </c>
      <c r="AN219" s="173">
        <f ca="1">(VLOOKUP(AN$72,INDIRECT($C$5&amp;"生成成长"),2))/((VLOOKUP($B219,INDIRECT($B$5&amp;"生成成长"),4))/(VLOOKUP(AN$72,INDIRECT($C$5&amp;"生成成长"),5))*(VLOOKUP($B$5,标准坦克设计!$B$24:$U$30,MATCH("对"&amp;LEFT($C$5,2)&amp;"输出",标准坦克设计!$B$23:$U$23,0)))*(VLOOKUP($B219,INDIRECT($B$5&amp;"生成成长"),3))*(VLOOKUP($B$5,标准坦克设计!$B$14:$K$20,9)/30))</f>
        <v>10.696086688277418</v>
      </c>
      <c r="AO219" s="173">
        <f ca="1">(VLOOKUP(AO$72,INDIRECT($C$5&amp;"生成成长"),2))/((VLOOKUP($B219,INDIRECT($B$5&amp;"生成成长"),4))/(VLOOKUP(AO$72,INDIRECT($C$5&amp;"生成成长"),5))*(VLOOKUP($B$5,标准坦克设计!$B$24:$U$30,MATCH("对"&amp;LEFT($C$5,2)&amp;"输出",标准坦克设计!$B$23:$U$23,0)))*(VLOOKUP($B219,INDIRECT($B$5&amp;"生成成长"),3))*(VLOOKUP($B$5,标准坦克设计!$B$14:$K$20,9)/30))</f>
        <v>11.514281440480914</v>
      </c>
      <c r="AP219" s="173">
        <f ca="1">(VLOOKUP(AP$72,INDIRECT($C$5&amp;"生成成长"),2))/((VLOOKUP($B219,INDIRECT($B$5&amp;"生成成长"),4))/(VLOOKUP(AP$72,INDIRECT($C$5&amp;"生成成长"),5))*(VLOOKUP($B$5,标准坦克设计!$B$24:$U$30,MATCH("对"&amp;LEFT($C$5,2)&amp;"输出",标准坦克设计!$B$23:$U$23,0)))*(VLOOKUP($B219,INDIRECT($B$5&amp;"生成成长"),3))*(VLOOKUP($B$5,标准坦克设计!$B$14:$K$20,9)/30))</f>
        <v>12.36262742308387</v>
      </c>
      <c r="AQ219" s="173">
        <f ca="1">(VLOOKUP(AQ$72,INDIRECT($C$5&amp;"生成成长"),2))/((VLOOKUP($B219,INDIRECT($B$5&amp;"生成成长"),4))/(VLOOKUP(AQ$72,INDIRECT($C$5&amp;"生成成长"),5))*(VLOOKUP($B$5,标准坦克设计!$B$24:$U$30,MATCH("对"&amp;LEFT($C$5,2)&amp;"输出",标准坦克设计!$B$23:$U$23,0)))*(VLOOKUP($B219,INDIRECT($B$5&amp;"生成成长"),3))*(VLOOKUP($B$5,标准坦克设计!$B$14:$K$20,9)/30))</f>
        <v>13.241124636086278</v>
      </c>
      <c r="AR219" s="173">
        <f ca="1">(VLOOKUP(AR$72,INDIRECT($C$5&amp;"生成成长"),2))/((VLOOKUP($B219,INDIRECT($B$5&amp;"生成成长"),4))/(VLOOKUP(AR$72,INDIRECT($C$5&amp;"生成成长"),5))*(VLOOKUP($B$5,标准坦克设计!$B$24:$U$30,MATCH("对"&amp;LEFT($C$5,2)&amp;"输出",标准坦克设计!$B$23:$U$23,0)))*(VLOOKUP($B219,INDIRECT($B$5&amp;"生成成长"),3))*(VLOOKUP($B$5,标准坦克设计!$B$14:$K$20,9)/30))</f>
        <v>14.149773079488151</v>
      </c>
      <c r="AS219" s="173">
        <f ca="1">(VLOOKUP(AS$72,INDIRECT($C$5&amp;"生成成长"),2))/((VLOOKUP($B219,INDIRECT($B$5&amp;"生成成长"),4))/(VLOOKUP(AS$72,INDIRECT($C$5&amp;"生成成长"),5))*(VLOOKUP($B$5,标准坦克设计!$B$24:$U$30,MATCH("对"&amp;LEFT($C$5,2)&amp;"输出",标准坦克设计!$B$23:$U$23,0)))*(VLOOKUP($B219,INDIRECT($B$5&amp;"生成成长"),3))*(VLOOKUP($B$5,标准坦克设计!$B$14:$K$20,9)/30))</f>
        <v>15.08857275328948</v>
      </c>
      <c r="AT219" s="173">
        <f ca="1">(VLOOKUP(AT$72,INDIRECT($C$5&amp;"生成成长"),2))/((VLOOKUP($B219,INDIRECT($B$5&amp;"生成成长"),4))/(VLOOKUP(AT$72,INDIRECT($C$5&amp;"生成成长"),5))*(VLOOKUP($B$5,标准坦克设计!$B$24:$U$30,MATCH("对"&amp;LEFT($C$5,2)&amp;"输出",标准坦克设计!$B$23:$U$23,0)))*(VLOOKUP($B219,INDIRECT($B$5&amp;"生成成长"),3))*(VLOOKUP($B$5,标准坦克设计!$B$14:$K$20,9)/30))</f>
        <v>16.057523657490268</v>
      </c>
      <c r="AU219" s="173">
        <f ca="1">(VLOOKUP(AU$72,INDIRECT($C$5&amp;"生成成长"),2))/((VLOOKUP($B219,INDIRECT($B$5&amp;"生成成长"),4))/(VLOOKUP(AU$72,INDIRECT($C$5&amp;"生成成长"),5))*(VLOOKUP($B$5,标准坦克设计!$B$24:$U$30,MATCH("对"&amp;LEFT($C$5,2)&amp;"输出",标准坦克设计!$B$23:$U$23,0)))*(VLOOKUP($B219,INDIRECT($B$5&amp;"生成成长"),3))*(VLOOKUP($B$5,标准坦克设计!$B$14:$K$20,9)/30))</f>
        <v>17.056625792090518</v>
      </c>
      <c r="AV219" s="173">
        <f ca="1">(VLOOKUP(AV$72,INDIRECT($C$5&amp;"生成成长"),2))/((VLOOKUP($B219,INDIRECT($B$5&amp;"生成成长"),4))/(VLOOKUP(AV$72,INDIRECT($C$5&amp;"生成成长"),5))*(VLOOKUP($B$5,标准坦克设计!$B$24:$U$30,MATCH("对"&amp;LEFT($C$5,2)&amp;"输出",标准坦克设计!$B$23:$U$23,0)))*(VLOOKUP($B219,INDIRECT($B$5&amp;"生成成长"),3))*(VLOOKUP($B$5,标准坦克设计!$B$14:$K$20,9)/30))</f>
        <v>1.7348170747192722</v>
      </c>
      <c r="AW219" s="173">
        <f ca="1">(VLOOKUP(AW$72,INDIRECT($C$5&amp;"生成成长"),2))/((VLOOKUP($B219,INDIRECT($B$5&amp;"生成成长"),4))/(VLOOKUP(AW$72,INDIRECT($C$5&amp;"生成成长"),5))*(VLOOKUP($B$5,标准坦克设计!$B$24:$U$30,MATCH("对"&amp;LEFT($C$5,2)&amp;"输出",标准坦克设计!$B$23:$U$23,0)))*(VLOOKUP($B219,INDIRECT($B$5&amp;"生成成长"),3))*(VLOOKUP($B$5,标准坦克设计!$B$14:$K$20,9)/30))</f>
        <v>1.9780203876934188</v>
      </c>
      <c r="AX219" s="173">
        <f ca="1">(VLOOKUP(AX$72,INDIRECT($C$5&amp;"生成成长"),2))/((VLOOKUP($B219,INDIRECT($B$5&amp;"生成成长"),4))/(VLOOKUP(AX$72,INDIRECT($C$5&amp;"生成成长"),5))*(VLOOKUP($B$5,标准坦克设计!$B$24:$U$30,MATCH("对"&amp;LEFT($C$5,2)&amp;"输出",标准坦克设计!$B$23:$U$23,0)))*(VLOOKUP($B219,INDIRECT($B$5&amp;"生成成长"),3))*(VLOOKUP($B$5,标准坦克设计!$B$14:$K$20,9)/30))</f>
        <v>2.2371714588953786</v>
      </c>
      <c r="AY219" s="173">
        <f ca="1">(VLOOKUP(AY$72,INDIRECT($C$5&amp;"生成成长"),2))/((VLOOKUP($B219,INDIRECT($B$5&amp;"生成成长"),4))/(VLOOKUP(AY$72,INDIRECT($C$5&amp;"生成成长"),5))*(VLOOKUP($B$5,标准坦克设计!$B$24:$U$30,MATCH("对"&amp;LEFT($C$5,2)&amp;"输出",标准坦克设计!$B$23:$U$23,0)))*(VLOOKUP($B219,INDIRECT($B$5&amp;"生成成长"),3))*(VLOOKUP($B$5,标准坦克设计!$B$14:$K$20,9)/30))</f>
        <v>2.5122702883251513</v>
      </c>
      <c r="AZ219" s="173">
        <f ca="1">(VLOOKUP(AZ$72,INDIRECT($C$5&amp;"生成成长"),2))/((VLOOKUP($B219,INDIRECT($B$5&amp;"生成成长"),4))/(VLOOKUP(AZ$72,INDIRECT($C$5&amp;"生成成长"),5))*(VLOOKUP($B$5,标准坦克设计!$B$24:$U$30,MATCH("对"&amp;LEFT($C$5,2)&amp;"输出",标准坦克设计!$B$23:$U$23,0)))*(VLOOKUP($B219,INDIRECT($B$5&amp;"生成成长"),3))*(VLOOKUP($B$5,标准坦克设计!$B$14:$K$20,9)/30))</f>
        <v>2.8033168759827358</v>
      </c>
      <c r="BA219" s="173">
        <f ca="1">(VLOOKUP(BA$72,INDIRECT($C$5&amp;"生成成长"),2))/((VLOOKUP($B219,INDIRECT($B$5&amp;"生成成长"),4))/(VLOOKUP(BA$72,INDIRECT($C$5&amp;"生成成长"),5))*(VLOOKUP($B$5,标准坦克设计!$B$24:$U$30,MATCH("对"&amp;LEFT($C$5,2)&amp;"输出",标准坦克设计!$B$23:$U$23,0)))*(VLOOKUP($B219,INDIRECT($B$5&amp;"生成成长"),3))*(VLOOKUP($B$5,标准坦克设计!$B$14:$K$20,9)/30))</f>
        <v>3.1103112218681348</v>
      </c>
      <c r="BB219" s="173">
        <f ca="1">(VLOOKUP(BB$72,INDIRECT($C$5&amp;"生成成长"),2))/((VLOOKUP($B219,INDIRECT($B$5&amp;"生成成长"),4))/(VLOOKUP(BB$72,INDIRECT($C$5&amp;"生成成长"),5))*(VLOOKUP($B$5,标准坦克设计!$B$24:$U$30,MATCH("对"&amp;LEFT($C$5,2)&amp;"输出",标准坦克设计!$B$23:$U$23,0)))*(VLOOKUP($B219,INDIRECT($B$5&amp;"生成成长"),3))*(VLOOKUP($B$5,标准坦克设计!$B$14:$K$20,9)/30))</f>
        <v>3.4332533259813469</v>
      </c>
      <c r="BC219" s="173">
        <f ca="1">(VLOOKUP(BC$72,INDIRECT($C$5&amp;"生成成长"),2))/((VLOOKUP($B219,INDIRECT($B$5&amp;"生成成长"),4))/(VLOOKUP(BC$72,INDIRECT($C$5&amp;"生成成长"),5))*(VLOOKUP($B$5,标准坦克设计!$B$24:$U$30,MATCH("对"&amp;LEFT($C$5,2)&amp;"输出",标准坦克设计!$B$23:$U$23,0)))*(VLOOKUP($B219,INDIRECT($B$5&amp;"生成成长"),3))*(VLOOKUP($B$5,标准坦克设计!$B$14:$K$20,9)/30))</f>
        <v>3.7721431883223699</v>
      </c>
      <c r="BD219" s="173">
        <f ca="1">(VLOOKUP(BD$72,INDIRECT($C$5&amp;"生成成长"),2))/((VLOOKUP($B219,INDIRECT($B$5&amp;"生成成长"),4))/(VLOOKUP(BD$72,INDIRECT($C$5&amp;"生成成长"),5))*(VLOOKUP($B$5,标准坦克设计!$B$24:$U$30,MATCH("对"&amp;LEFT($C$5,2)&amp;"输出",标准坦克设计!$B$23:$U$23,0)))*(VLOOKUP($B219,INDIRECT($B$5&amp;"生成成长"),3))*(VLOOKUP($B$5,标准坦克设计!$B$14:$K$20,9)/30))</f>
        <v>4.172456838212705</v>
      </c>
      <c r="BE219" s="173">
        <f ca="1">(VLOOKUP(BE$72,INDIRECT($C$5&amp;"生成成长"),2))/((VLOOKUP($B219,INDIRECT($B$5&amp;"生成成长"),4))/(VLOOKUP(BE$72,INDIRECT($C$5&amp;"生成成长"),5))*(VLOOKUP($B$5,标准坦克设计!$B$24:$U$30,MATCH("对"&amp;LEFT($C$5,2)&amp;"输出",标准坦克设计!$B$23:$U$23,0)))*(VLOOKUP($B219,INDIRECT($B$5&amp;"生成成长"),3))*(VLOOKUP($B$5,标准坦克设计!$B$14:$K$20,9)/30))</f>
        <v>4.5929543696101147</v>
      </c>
      <c r="BF219" s="173">
        <f ca="1">(VLOOKUP(BF$72,INDIRECT($C$5&amp;"生成成长"),2))/((VLOOKUP($B219,INDIRECT($B$5&amp;"生成成长"),4))/(VLOOKUP(BF$72,INDIRECT($C$5&amp;"生成成长"),5))*(VLOOKUP($B$5,标准坦克设计!$B$24:$U$30,MATCH("对"&amp;LEFT($C$5,2)&amp;"输出",标准坦克设计!$B$23:$U$23,0)))*(VLOOKUP($B219,INDIRECT($B$5&amp;"生成成长"),3))*(VLOOKUP($B$5,标准坦克设计!$B$14:$K$20,9)/30))</f>
        <v>5.0336357825146019</v>
      </c>
      <c r="BG219" s="173">
        <f ca="1">(VLOOKUP(BG$72,INDIRECT($C$5&amp;"生成成长"),2))/((VLOOKUP($B219,INDIRECT($B$5&amp;"生成成长"),4))/(VLOOKUP(BG$72,INDIRECT($C$5&amp;"生成成长"),5))*(VLOOKUP($B$5,标准坦克设计!$B$24:$U$30,MATCH("对"&amp;LEFT($C$5,2)&amp;"输出",标准坦克设计!$B$23:$U$23,0)))*(VLOOKUP($B219,INDIRECT($B$5&amp;"生成成长"),3))*(VLOOKUP($B$5,标准坦克设计!$B$14:$K$20,9)/30))</f>
        <v>5.4945010769261629</v>
      </c>
      <c r="BH219" s="173">
        <f ca="1">(VLOOKUP(BH$72,INDIRECT($C$5&amp;"生成成长"),2))/((VLOOKUP($B219,INDIRECT($B$5&amp;"生成成长"),4))/(VLOOKUP(BH$72,INDIRECT($C$5&amp;"生成成长"),5))*(VLOOKUP($B$5,标准坦克设计!$B$24:$U$30,MATCH("对"&amp;LEFT($C$5,2)&amp;"输出",标准坦克设计!$B$23:$U$23,0)))*(VLOOKUP($B219,INDIRECT($B$5&amp;"生成成长"),3))*(VLOOKUP($B$5,标准坦克设计!$B$14:$K$20,9)/30))</f>
        <v>2.6558001123754669</v>
      </c>
      <c r="BI219" s="173">
        <f ca="1">(VLOOKUP(BI$72,INDIRECT($C$5&amp;"生成成长"),2))/((VLOOKUP($B219,INDIRECT($B$5&amp;"生成成长"),4))/(VLOOKUP(BI$72,INDIRECT($C$5&amp;"生成成长"),5))*(VLOOKUP($B$5,标准坦克设计!$B$24:$U$30,MATCH("对"&amp;LEFT($C$5,2)&amp;"输出",标准坦克设计!$B$23:$U$23,0)))*(VLOOKUP($B219,INDIRECT($B$5&amp;"生成成长"),3))*(VLOOKUP($B$5,标准坦克设计!$B$14:$K$20,9)/30))</f>
        <v>2.9933194642437888</v>
      </c>
      <c r="BJ219" s="173">
        <f ca="1">(VLOOKUP(BJ$72,INDIRECT($C$5&amp;"生成成长"),2))/((VLOOKUP($B219,INDIRECT($B$5&amp;"生成成长"),4))/(VLOOKUP(BJ$72,INDIRECT($C$5&amp;"生成成长"),5))*(VLOOKUP($B$5,标准坦克设计!$B$24:$U$30,MATCH("对"&amp;LEFT($C$5,2)&amp;"输出",标准坦克设计!$B$23:$U$23,0)))*(VLOOKUP($B219,INDIRECT($B$5&amp;"生成成长"),3))*(VLOOKUP($B$5,标准坦克设计!$B$14:$K$20,9)/30))</f>
        <v>3.3510226976191859</v>
      </c>
      <c r="BK219" s="173">
        <f ca="1">(VLOOKUP(BK$72,INDIRECT($C$5&amp;"生成成长"),2))/((VLOOKUP($B219,INDIRECT($B$5&amp;"生成成长"),4))/(VLOOKUP(BK$72,INDIRECT($C$5&amp;"生成成长"),5))*(VLOOKUP($B$5,标准坦克设计!$B$24:$U$30,MATCH("对"&amp;LEFT($C$5,2)&amp;"输出",标准坦克设计!$B$23:$U$23,0)))*(VLOOKUP($B219,INDIRECT($B$5&amp;"生成成长"),3))*(VLOOKUP($B$5,标准坦克设计!$B$14:$K$20,9)/30))</f>
        <v>3.7289098125016586</v>
      </c>
      <c r="BL219" s="173">
        <f ca="1">(VLOOKUP(BL$72,INDIRECT($C$5&amp;"生成成长"),2))/((VLOOKUP($B219,INDIRECT($B$5&amp;"生成成长"),4))/(VLOOKUP(BL$72,INDIRECT($C$5&amp;"生成成长"),5))*(VLOOKUP($B$5,标准坦克设计!$B$24:$U$30,MATCH("对"&amp;LEFT($C$5,2)&amp;"输出",标准坦克设计!$B$23:$U$23,0)))*(VLOOKUP($B219,INDIRECT($B$5&amp;"生成成长"),3))*(VLOOKUP($B$5,标准坦克设计!$B$14:$K$20,9)/30))</f>
        <v>4.126980808891207</v>
      </c>
      <c r="BM219" s="173">
        <f ca="1">(VLOOKUP(BM$72,INDIRECT($C$5&amp;"生成成长"),2))/((VLOOKUP($B219,INDIRECT($B$5&amp;"生成成长"),4))/(VLOOKUP(BM$72,INDIRECT($C$5&amp;"生成成长"),5))*(VLOOKUP($B$5,标准坦克设计!$B$24:$U$30,MATCH("对"&amp;LEFT($C$5,2)&amp;"输出",标准坦克设计!$B$23:$U$23,0)))*(VLOOKUP($B219,INDIRECT($B$5&amp;"生成成长"),3))*(VLOOKUP($B$5,标准坦克设计!$B$14:$K$20,9)/30))</f>
        <v>4.5452356867878319</v>
      </c>
      <c r="BN219" s="173">
        <f ca="1">(VLOOKUP(BN$72,INDIRECT($C$5&amp;"生成成长"),2))/((VLOOKUP($B219,INDIRECT($B$5&amp;"生成成长"),4))/(VLOOKUP(BN$72,INDIRECT($C$5&amp;"生成成长"),5))*(VLOOKUP($B$5,标准坦克设计!$B$24:$U$30,MATCH("对"&amp;LEFT($C$5,2)&amp;"输出",标准坦克设计!$B$23:$U$23,0)))*(VLOOKUP($B219,INDIRECT($B$5&amp;"生成成长"),3))*(VLOOKUP($B$5,标准坦克设计!$B$14:$K$20,9)/30))</f>
        <v>4.9836744461915314</v>
      </c>
      <c r="BO219" s="173">
        <f ca="1">(VLOOKUP(BO$72,INDIRECT($C$5&amp;"生成成长"),2))/((VLOOKUP($B219,INDIRECT($B$5&amp;"生成成长"),4))/(VLOOKUP(BO$72,INDIRECT($C$5&amp;"生成成长"),5))*(VLOOKUP($B$5,标准坦克设计!$B$24:$U$30,MATCH("对"&amp;LEFT($C$5,2)&amp;"输出",标准坦克设计!$B$23:$U$23,0)))*(VLOOKUP($B219,INDIRECT($B$5&amp;"生成成长"),3))*(VLOOKUP($B$5,标准坦克设计!$B$14:$K$20,9)/30))</f>
        <v>5.4422970871023075</v>
      </c>
      <c r="BP219" s="173">
        <f ca="1">(VLOOKUP(BP$72,INDIRECT($C$5&amp;"生成成长"),2))/((VLOOKUP($B219,INDIRECT($B$5&amp;"生成成长"),4))/(VLOOKUP(BP$72,INDIRECT($C$5&amp;"生成成长"),5))*(VLOOKUP($B$5,标准坦克设计!$B$24:$U$30,MATCH("对"&amp;LEFT($C$5,2)&amp;"输出",标准坦克设计!$B$23:$U$23,0)))*(VLOOKUP($B219,INDIRECT($B$5&amp;"生成成长"),3))*(VLOOKUP($B$5,标准坦克设计!$B$14:$K$20,9)/30))</f>
        <v>5.9211036095201592</v>
      </c>
      <c r="BQ219" s="173">
        <f ca="1">(VLOOKUP(BQ$72,INDIRECT($C$5&amp;"生成成长"),2))/((VLOOKUP($B219,INDIRECT($B$5&amp;"生成成长"),4))/(VLOOKUP(BQ$72,INDIRECT($C$5&amp;"生成成长"),5))*(VLOOKUP($B$5,标准坦克设计!$B$24:$U$30,MATCH("对"&amp;LEFT($C$5,2)&amp;"输出",标准坦克设计!$B$23:$U$23,0)))*(VLOOKUP($B219,INDIRECT($B$5&amp;"生成成长"),3))*(VLOOKUP($B$5,标准坦克设计!$B$14:$K$20,9)/30))</f>
        <v>6.4200940134450848</v>
      </c>
      <c r="BR219" s="173">
        <f ca="1">(VLOOKUP(BR$72,INDIRECT($C$5&amp;"生成成长"),2))/((VLOOKUP($B219,INDIRECT($B$5&amp;"生成成长"),4))/(VLOOKUP(BR$72,INDIRECT($C$5&amp;"生成成长"),5))*(VLOOKUP($B$5,标准坦克设计!$B$24:$U$30,MATCH("对"&amp;LEFT($C$5,2)&amp;"输出",标准坦克设计!$B$23:$U$23,0)))*(VLOOKUP($B219,INDIRECT($B$5&amp;"生成成长"),3))*(VLOOKUP($B$5,标准坦克设计!$B$14:$K$20,9)/30))</f>
        <v>6.9982002492033031</v>
      </c>
      <c r="BS219" s="173">
        <f ca="1">(VLOOKUP(BS$72,INDIRECT($C$5&amp;"生成成长"),2))/((VLOOKUP($B219,INDIRECT($B$5&amp;"生成成长"),4))/(VLOOKUP(BS$72,INDIRECT($C$5&amp;"生成成长"),5))*(VLOOKUP($B$5,标准坦克设计!$B$24:$U$30,MATCH("对"&amp;LEFT($C$5,2)&amp;"输出",标准坦克设计!$B$23:$U$23,0)))*(VLOOKUP($B219,INDIRECT($B$5&amp;"生成成长"),3))*(VLOOKUP($B$5,标准坦克设计!$B$14:$K$20,9)/30))</f>
        <v>7.6012248571924772</v>
      </c>
      <c r="BT219" s="173">
        <f ca="1">(VLOOKUP(BT$72,INDIRECT($C$5&amp;"生成成长"),2))/((VLOOKUP($B219,INDIRECT($B$5&amp;"生成成长"),4))/(VLOOKUP(BT$72,INDIRECT($C$5&amp;"生成成长"),5))*(VLOOKUP($B$5,标准坦克设计!$B$24:$U$30,MATCH("对"&amp;LEFT($C$5,2)&amp;"输出",标准坦克设计!$B$23:$U$23,0)))*(VLOOKUP($B219,INDIRECT($B$5&amp;"生成成长"),3))*(VLOOKUP($B$5,标准坦克设计!$B$14:$K$20,9)/30))</f>
        <v>8.2291678374126107</v>
      </c>
      <c r="BU219" s="173">
        <f ca="1">(VLOOKUP(BU$72,INDIRECT($C$5&amp;"生成成长"),2))/((VLOOKUP($B219,INDIRECT($B$5&amp;"生成成长"),4))/(VLOOKUP(BU$72,INDIRECT($C$5&amp;"生成成长"),5))*(VLOOKUP($B$5,标准坦克设计!$B$24:$U$30,MATCH("对"&amp;LEFT($C$5,2)&amp;"输出",标准坦克设计!$B$23:$U$23,0)))*(VLOOKUP($B219,INDIRECT($B$5&amp;"生成成长"),3))*(VLOOKUP($B$5,标准坦克设计!$B$14:$K$20,9)/30))</f>
        <v>8.8820291898637027</v>
      </c>
      <c r="BV219" s="173">
        <f ca="1">(VLOOKUP(BV$72,INDIRECT($C$5&amp;"生成成长"),2))/((VLOOKUP($B219,INDIRECT($B$5&amp;"生成成长"),4))/(VLOOKUP(BV$72,INDIRECT($C$5&amp;"生成成长"),5))*(VLOOKUP($B$5,标准坦克设计!$B$24:$U$30,MATCH("对"&amp;LEFT($C$5,2)&amp;"输出",标准坦克设计!$B$23:$U$23,0)))*(VLOOKUP($B219,INDIRECT($B$5&amp;"生成成长"),3))*(VLOOKUP($B$5,标准坦克设计!$B$14:$K$20,9)/30))</f>
        <v>9.5598089145457514</v>
      </c>
      <c r="BW219" s="173">
        <f ca="1">(VLOOKUP(BW$72,INDIRECT($C$5&amp;"生成成长"),2))/((VLOOKUP($B219,INDIRECT($B$5&amp;"生成成长"),4))/(VLOOKUP(BW$72,INDIRECT($C$5&amp;"生成成长"),5))*(VLOOKUP($B$5,标准坦克设计!$B$24:$U$30,MATCH("对"&amp;LEFT($C$5,2)&amp;"输出",标准坦克设计!$B$23:$U$23,0)))*(VLOOKUP($B219,INDIRECT($B$5&amp;"生成成长"),3))*(VLOOKUP($B$5,标准坦克设计!$B$14:$K$20,9)/30))</f>
        <v>4.3568527927217913</v>
      </c>
      <c r="BX219" s="173">
        <f ca="1">(VLOOKUP(BX$72,INDIRECT($C$5&amp;"生成成长"),2))/((VLOOKUP($B219,INDIRECT($B$5&amp;"生成成长"),4))/(VLOOKUP(BX$72,INDIRECT($C$5&amp;"生成成长"),5))*(VLOOKUP($B$5,标准坦克设计!$B$24:$U$30,MATCH("对"&amp;LEFT($C$5,2)&amp;"输出",标准坦克设计!$B$23:$U$23,0)))*(VLOOKUP($B219,INDIRECT($B$5&amp;"生成成长"),3))*(VLOOKUP($B$5,标准坦克设计!$B$14:$K$20,9)/30))</f>
        <v>4.8352855395561791</v>
      </c>
      <c r="BY219" s="173">
        <f ca="1">(VLOOKUP(BY$72,INDIRECT($C$5&amp;"生成成长"),2))/((VLOOKUP($B219,INDIRECT($B$5&amp;"生成成长"),4))/(VLOOKUP(BY$72,INDIRECT($C$5&amp;"生成成长"),5))*(VLOOKUP($B$5,标准坦克设计!$B$24:$U$30,MATCH("对"&amp;LEFT($C$5,2)&amp;"输出",标准坦克设计!$B$23:$U$23,0)))*(VLOOKUP($B219,INDIRECT($B$5&amp;"生成成长"),3))*(VLOOKUP($B$5,标准坦克设计!$B$14:$K$20,9)/30))</f>
        <v>5.3386366586215237</v>
      </c>
      <c r="BZ219" s="173">
        <f ca="1">(VLOOKUP(BZ$72,INDIRECT($C$5&amp;"生成成长"),2))/((VLOOKUP($B219,INDIRECT($B$5&amp;"生成成长"),4))/(VLOOKUP(BZ$72,INDIRECT($C$5&amp;"生成成长"),5))*(VLOOKUP($B$5,标准坦克设计!$B$24:$U$30,MATCH("对"&amp;LEFT($C$5,2)&amp;"输出",标准坦克设计!$B$23:$U$23,0)))*(VLOOKUP($B219,INDIRECT($B$5&amp;"生成成长"),3))*(VLOOKUP($B$5,标准坦克设计!$B$14:$K$20,9)/30))</f>
        <v>5.8669061499178268</v>
      </c>
      <c r="CA219" s="173">
        <f ca="1">(VLOOKUP(CA$72,INDIRECT($C$5&amp;"生成成长"),2))/((VLOOKUP($B219,INDIRECT($B$5&amp;"生成成长"),4))/(VLOOKUP(CA$72,INDIRECT($C$5&amp;"生成成长"),5))*(VLOOKUP($B$5,标准坦克设计!$B$24:$U$30,MATCH("对"&amp;LEFT($C$5,2)&amp;"输出",标准坦克设计!$B$23:$U$23,0)))*(VLOOKUP($B219,INDIRECT($B$5&amp;"生成成长"),3))*(VLOOKUP($B$5,标准坦克设计!$B$14:$K$20,9)/30))</f>
        <v>6.4200940134450848</v>
      </c>
      <c r="CB219" s="173">
        <f ca="1">(VLOOKUP(CB$72,INDIRECT($C$5&amp;"生成成长"),2))/((VLOOKUP($B219,INDIRECT($B$5&amp;"生成成长"),4))/(VLOOKUP(CB$72,INDIRECT($C$5&amp;"生成成长"),5))*(VLOOKUP($B$5,标准坦克设计!$B$24:$U$30,MATCH("对"&amp;LEFT($C$5,2)&amp;"输出",标准坦克设计!$B$23:$U$23,0)))*(VLOOKUP($B219,INDIRECT($B$5&amp;"生成成长"),3))*(VLOOKUP($B$5,标准坦克设计!$B$14:$K$20,9)/30))</f>
        <v>6.9982002492033031</v>
      </c>
      <c r="CC219" s="173">
        <f ca="1">(VLOOKUP(CC$72,INDIRECT($C$5&amp;"生成成长"),2))/((VLOOKUP($B219,INDIRECT($B$5&amp;"生成成长"),4))/(VLOOKUP(CC$72,INDIRECT($C$5&amp;"生成成长"),5))*(VLOOKUP($B$5,标准坦克设计!$B$24:$U$30,MATCH("对"&amp;LEFT($C$5,2)&amp;"输出",标准坦克设计!$B$23:$U$23,0)))*(VLOOKUP($B219,INDIRECT($B$5&amp;"生成成长"),3))*(VLOOKUP($B$5,标准坦克设计!$B$14:$K$20,9)/30))</f>
        <v>7.6012248571924772</v>
      </c>
      <c r="CD219" s="173">
        <f ca="1">(VLOOKUP(CD$72,INDIRECT($C$5&amp;"生成成长"),2))/((VLOOKUP($B219,INDIRECT($B$5&amp;"生成成长"),4))/(VLOOKUP(CD$72,INDIRECT($C$5&amp;"生成成长"),5))*(VLOOKUP($B$5,标准坦克设计!$B$24:$U$30,MATCH("对"&amp;LEFT($C$5,2)&amp;"输出",标准坦克设计!$B$23:$U$23,0)))*(VLOOKUP($B219,INDIRECT($B$5&amp;"生成成长"),3))*(VLOOKUP($B$5,标准坦克设计!$B$14:$K$20,9)/30))</f>
        <v>8.2291678374126107</v>
      </c>
      <c r="CE219" s="173">
        <f ca="1">(VLOOKUP(CE$72,INDIRECT($C$5&amp;"生成成长"),2))/((VLOOKUP($B219,INDIRECT($B$5&amp;"生成成长"),4))/(VLOOKUP(CE$72,INDIRECT($C$5&amp;"生成成长"),5))*(VLOOKUP($B$5,标准坦克设计!$B$24:$U$30,MATCH("对"&amp;LEFT($C$5,2)&amp;"输出",标准坦克设计!$B$23:$U$23,0)))*(VLOOKUP($B219,INDIRECT($B$5&amp;"生成成长"),3))*(VLOOKUP($B$5,标准坦克设计!$B$14:$K$20,9)/30))</f>
        <v>8.8820291898637027</v>
      </c>
      <c r="CF219" s="173">
        <f ca="1">(VLOOKUP(CF$72,INDIRECT($C$5&amp;"生成成长"),2))/((VLOOKUP($B219,INDIRECT($B$5&amp;"生成成长"),4))/(VLOOKUP(CF$72,INDIRECT($C$5&amp;"生成成长"),5))*(VLOOKUP($B$5,标准坦克设计!$B$24:$U$30,MATCH("对"&amp;LEFT($C$5,2)&amp;"输出",标准坦克设计!$B$23:$U$23,0)))*(VLOOKUP($B219,INDIRECT($B$5&amp;"生成成长"),3))*(VLOOKUP($B$5,标准坦克设计!$B$14:$K$20,9)/30))</f>
        <v>9.5598089145457514</v>
      </c>
      <c r="CG219" s="173">
        <f ca="1">(VLOOKUP(CG$72,INDIRECT($C$5&amp;"生成成长"),2))/((VLOOKUP($B219,INDIRECT($B$5&amp;"生成成长"),4))/(VLOOKUP(CG$72,INDIRECT($C$5&amp;"生成成长"),5))*(VLOOKUP($B$5,标准坦克设计!$B$24:$U$30,MATCH("对"&amp;LEFT($C$5,2)&amp;"输出",标准坦克设计!$B$23:$U$23,0)))*(VLOOKUP($B219,INDIRECT($B$5&amp;"生成成长"),3))*(VLOOKUP($B$5,标准坦克设计!$B$14:$K$20,9)/30))</f>
        <v>10.262507011458757</v>
      </c>
      <c r="CH219" s="173">
        <f ca="1">(VLOOKUP(CH$72,INDIRECT($C$5&amp;"生成成长"),2))/((VLOOKUP($B219,INDIRECT($B$5&amp;"生成成长"),4))/(VLOOKUP(CH$72,INDIRECT($C$5&amp;"生成成长"),5))*(VLOOKUP($B$5,标准坦克设计!$B$24:$U$30,MATCH("对"&amp;LEFT($C$5,2)&amp;"输出",标准坦克设计!$B$23:$U$23,0)))*(VLOOKUP($B219,INDIRECT($B$5&amp;"生成成长"),3))*(VLOOKUP($B$5,标准坦克设计!$B$14:$K$20,9)/30))</f>
        <v>10.990123480602719</v>
      </c>
      <c r="CI219" s="173">
        <f ca="1">(VLOOKUP(CI$72,INDIRECT($C$5&amp;"生成成长"),2))/((VLOOKUP($B219,INDIRECT($B$5&amp;"生成成长"),4))/(VLOOKUP(CI$72,INDIRECT($C$5&amp;"生成成长"),5))*(VLOOKUP($B$5,标准坦克设计!$B$24:$U$30,MATCH("对"&amp;LEFT($C$5,2)&amp;"输出",标准坦克设计!$B$23:$U$23,0)))*(VLOOKUP($B219,INDIRECT($B$5&amp;"生成成长"),3))*(VLOOKUP($B$5,标准坦克设计!$B$14:$K$20,9)/30))</f>
        <v>11.819282316587836</v>
      </c>
      <c r="CJ219" s="173">
        <f ca="1">(VLOOKUP(CJ$72,INDIRECT($C$5&amp;"生成成长"),2))/((VLOOKUP($B219,INDIRECT($B$5&amp;"生成成长"),4))/(VLOOKUP(CJ$72,INDIRECT($C$5&amp;"生成成长"),5))*(VLOOKUP($B$5,标准坦克设计!$B$24:$U$30,MATCH("对"&amp;LEFT($C$5,2)&amp;"输出",标准坦克设计!$B$23:$U$23,0)))*(VLOOKUP($B219,INDIRECT($B$5&amp;"生成成长"),3))*(VLOOKUP($B$5,标准坦克设计!$B$14:$K$20,9)/30))</f>
        <v>12.678592382972411</v>
      </c>
      <c r="CK219" s="173">
        <f ca="1">(VLOOKUP(CK$72,INDIRECT($C$5&amp;"生成成长"),2))/((VLOOKUP($B219,INDIRECT($B$5&amp;"生成成长"),4))/(VLOOKUP(CK$72,INDIRECT($C$5&amp;"生成成长"),5))*(VLOOKUP($B$5,标准坦克设计!$B$24:$U$30,MATCH("对"&amp;LEFT($C$5,2)&amp;"输出",标准坦克设计!$B$23:$U$23,0)))*(VLOOKUP($B219,INDIRECT($B$5&amp;"生成成长"),3))*(VLOOKUP($B$5,标准坦克设计!$B$14:$K$20,9)/30))</f>
        <v>13.568053679756442</v>
      </c>
      <c r="CL219" s="173">
        <f ca="1">(VLOOKUP(CL$72,INDIRECT($C$5&amp;"生成成长"),2))/((VLOOKUP($B219,INDIRECT($B$5&amp;"生成成长"),4))/(VLOOKUP(CL$72,INDIRECT($C$5&amp;"生成成长"),5))*(VLOOKUP($B$5,标准坦克设计!$B$24:$U$30,MATCH("对"&amp;LEFT($C$5,2)&amp;"输出",标准坦克设计!$B$23:$U$23,0)))*(VLOOKUP($B219,INDIRECT($B$5&amp;"生成成长"),3))*(VLOOKUP($B$5,标准坦克设计!$B$14:$K$20,9)/30))</f>
        <v>14.48766620693994</v>
      </c>
      <c r="CM219" s="173">
        <f ca="1">(VLOOKUP(CM$72,INDIRECT($C$5&amp;"生成成长"),2))/((VLOOKUP($B219,INDIRECT($B$5&amp;"生成成长"),4))/(VLOOKUP(CM$72,INDIRECT($C$5&amp;"生成成长"),5))*(VLOOKUP($B$5,标准坦克设计!$B$24:$U$30,MATCH("对"&amp;LEFT($C$5,2)&amp;"输出",标准坦克设计!$B$23:$U$23,0)))*(VLOOKUP($B219,INDIRECT($B$5&amp;"生成成长"),3))*(VLOOKUP($B$5,标准坦克设计!$B$14:$K$20,9)/30))</f>
        <v>15.437429964522886</v>
      </c>
      <c r="CN219" s="173">
        <f ca="1">(VLOOKUP(CN$72,INDIRECT($C$5&amp;"生成成长"),2))/((VLOOKUP($B219,INDIRECT($B$5&amp;"生成成长"),4))/(VLOOKUP(CN$72,INDIRECT($C$5&amp;"生成成长"),5))*(VLOOKUP($B$5,标准坦克设计!$B$24:$U$30,MATCH("对"&amp;LEFT($C$5,2)&amp;"输出",标准坦克设计!$B$23:$U$23,0)))*(VLOOKUP($B219,INDIRECT($B$5&amp;"生成成长"),3))*(VLOOKUP($B$5,标准坦克设计!$B$14:$K$20,9)/30))</f>
        <v>16.417344952505299</v>
      </c>
      <c r="CO219" s="173">
        <f ca="1">(VLOOKUP(CO$72,INDIRECT($C$5&amp;"生成成长"),2))/((VLOOKUP($B219,INDIRECT($B$5&amp;"生成成长"),4))/(VLOOKUP(CO$72,INDIRECT($C$5&amp;"生成成长"),5))*(VLOOKUP($B$5,标准坦克设计!$B$24:$U$30,MATCH("对"&amp;LEFT($C$5,2)&amp;"输出",标准坦克设计!$B$23:$U$23,0)))*(VLOOKUP($B219,INDIRECT($B$5&amp;"生成成长"),3))*(VLOOKUP($B$5,标准坦克设计!$B$14:$K$20,9)/30))</f>
        <v>7.3570248093290935</v>
      </c>
      <c r="CP219" s="173">
        <f ca="1">(VLOOKUP(CP$72,INDIRECT($C$5&amp;"生成成长"),2))/((VLOOKUP($B219,INDIRECT($B$5&amp;"生成成长"),4))/(VLOOKUP(CP$72,INDIRECT($C$5&amp;"生成成长"),5))*(VLOOKUP($B$5,标准坦克设计!$B$24:$U$30,MATCH("对"&amp;LEFT($C$5,2)&amp;"输出",标准坦克设计!$B$23:$U$23,0)))*(VLOOKUP($B219,INDIRECT($B$5&amp;"生成成长"),3))*(VLOOKUP($B$5,标准坦克设计!$B$14:$K$20,9)/30))</f>
        <v>8.0381685142623205</v>
      </c>
      <c r="CQ219" s="173">
        <f ca="1">(VLOOKUP(CQ$72,INDIRECT($C$5&amp;"生成成长"),2))/((VLOOKUP($B219,INDIRECT($B$5&amp;"生成成长"),4))/(VLOOKUP(CQ$72,INDIRECT($C$5&amp;"生成成长"),5))*(VLOOKUP($B$5,标准坦克设计!$B$24:$U$30,MATCH("对"&amp;LEFT($C$5,2)&amp;"输出",标准坦克设计!$B$23:$U$23,0)))*(VLOOKUP($B219,INDIRECT($B$5&amp;"生成成长"),3))*(VLOOKUP($B$5,标准坦克设计!$B$14:$K$20,9)/30))</f>
        <v>8.749463449595007</v>
      </c>
      <c r="CR219" s="173">
        <f ca="1">(VLOOKUP(CR$72,INDIRECT($C$5&amp;"生成成长"),2))/((VLOOKUP($B219,INDIRECT($B$5&amp;"生成成长"),4))/(VLOOKUP(CR$72,INDIRECT($C$5&amp;"生成成长"),5))*(VLOOKUP($B$5,标准坦克设计!$B$24:$U$30,MATCH("对"&amp;LEFT($C$5,2)&amp;"输出",标准坦克设计!$B$23:$U$23,0)))*(VLOOKUP($B219,INDIRECT($B$5&amp;"生成成长"),3))*(VLOOKUP($B$5,标准坦克设计!$B$14:$K$20,9)/30))</f>
        <v>9.4909096153271548</v>
      </c>
      <c r="CS219" s="173">
        <f ca="1">(VLOOKUP(CS$72,INDIRECT($C$5&amp;"生成成长"),2))/((VLOOKUP($B219,INDIRECT($B$5&amp;"生成成长"),4))/(VLOOKUP(CS$72,INDIRECT($C$5&amp;"生成成长"),5))*(VLOOKUP($B$5,标准坦克设计!$B$24:$U$30,MATCH("对"&amp;LEFT($C$5,2)&amp;"输出",标准坦克设计!$B$23:$U$23,0)))*(VLOOKUP($B219,INDIRECT($B$5&amp;"生成成长"),3))*(VLOOKUP($B$5,标准坦克设计!$B$14:$K$20,9)/30))</f>
        <v>10.262507011458757</v>
      </c>
      <c r="CT219" s="173">
        <f ca="1">(VLOOKUP(CT$72,INDIRECT($C$5&amp;"生成成长"),2))/((VLOOKUP($B219,INDIRECT($B$5&amp;"生成成长"),4))/(VLOOKUP(CT$72,INDIRECT($C$5&amp;"生成成长"),5))*(VLOOKUP($B$5,标准坦克设计!$B$24:$U$30,MATCH("对"&amp;LEFT($C$5,2)&amp;"输出",标准坦克设计!$B$23:$U$23,0)))*(VLOOKUP($B219,INDIRECT($B$5&amp;"生成成长"),3))*(VLOOKUP($B$5,标准坦克设计!$B$14:$K$20,9)/30))</f>
        <v>11.064255637989818</v>
      </c>
      <c r="CU219" s="173">
        <f ca="1">(VLOOKUP(CU$72,INDIRECT($C$5&amp;"生成成长"),2))/((VLOOKUP($B219,INDIRECT($B$5&amp;"生成成长"),4))/(VLOOKUP(CU$72,INDIRECT($C$5&amp;"生成成长"),5))*(VLOOKUP($B$5,标准坦克设计!$B$24:$U$30,MATCH("对"&amp;LEFT($C$5,2)&amp;"输出",标准坦克设计!$B$23:$U$23,0)))*(VLOOKUP($B219,INDIRECT($B$5&amp;"生成成长"),3))*(VLOOKUP($B$5,标准坦克设计!$B$14:$K$20,9)/30))</f>
        <v>11.896155494920343</v>
      </c>
      <c r="CV219" s="173">
        <f ca="1">(VLOOKUP(CV$72,INDIRECT($C$5&amp;"生成成长"),2))/((VLOOKUP($B219,INDIRECT($B$5&amp;"生成成长"),4))/(VLOOKUP(CV$72,INDIRECT($C$5&amp;"生成成长"),5))*(VLOOKUP($B$5,标准坦克设计!$B$24:$U$30,MATCH("对"&amp;LEFT($C$5,2)&amp;"输出",标准坦克设计!$B$23:$U$23,0)))*(VLOOKUP($B219,INDIRECT($B$5&amp;"生成成长"),3))*(VLOOKUP($B$5,标准坦克设计!$B$14:$K$20,9)/30))</f>
        <v>12.75820658225032</v>
      </c>
      <c r="CW219" s="173">
        <f ca="1">(VLOOKUP(CW$72,INDIRECT($C$5&amp;"生成成长"),2))/((VLOOKUP($B219,INDIRECT($B$5&amp;"生成成长"),4))/(VLOOKUP(CW$72,INDIRECT($C$5&amp;"生成成长"),5))*(VLOOKUP($B$5,标准坦克设计!$B$24:$U$30,MATCH("对"&amp;LEFT($C$5,2)&amp;"输出",标准坦克设计!$B$23:$U$23,0)))*(VLOOKUP($B219,INDIRECT($B$5&amp;"生成成长"),3))*(VLOOKUP($B$5,标准坦克设计!$B$14:$K$20,9)/30))</f>
        <v>13.650408899979762</v>
      </c>
      <c r="CX219" s="173">
        <f ca="1">(VLOOKUP(CX$72,INDIRECT($C$5&amp;"生成成长"),2))/((VLOOKUP($B219,INDIRECT($B$5&amp;"生成成长"),4))/(VLOOKUP(CX$72,INDIRECT($C$5&amp;"生成成长"),5))*(VLOOKUP($B$5,标准坦克设计!$B$24:$U$30,MATCH("对"&amp;LEFT($C$5,2)&amp;"输出",标准坦克设计!$B$23:$U$23,0)))*(VLOOKUP($B219,INDIRECT($B$5&amp;"生成成长"),3))*(VLOOKUP($B$5,标准坦克设计!$B$14:$K$20,9)/30))</f>
        <v>14.572762448108659</v>
      </c>
      <c r="CY219" s="173">
        <f ca="1">(VLOOKUP(CY$72,INDIRECT($C$5&amp;"生成成长"),2))/((VLOOKUP($B219,INDIRECT($B$5&amp;"生成成长"),4))/(VLOOKUP(CY$72,INDIRECT($C$5&amp;"生成成长"),5))*(VLOOKUP($B$5,标准坦克设计!$B$24:$U$30,MATCH("对"&amp;LEFT($C$5,2)&amp;"输出",标准坦克设计!$B$23:$U$23,0)))*(VLOOKUP($B219,INDIRECT($B$5&amp;"生成成长"),3))*(VLOOKUP($B$5,标准坦克设计!$B$14:$K$20,9)/30))</f>
        <v>15.525267226637016</v>
      </c>
      <c r="CZ219" s="173">
        <f ca="1">(VLOOKUP(CZ$72,INDIRECT($C$5&amp;"生成成长"),2))/((VLOOKUP($B219,INDIRECT($B$5&amp;"生成成长"),4))/(VLOOKUP(CZ$72,INDIRECT($C$5&amp;"生成成长"),5))*(VLOOKUP($B$5,标准坦克设计!$B$24:$U$30,MATCH("对"&amp;LEFT($C$5,2)&amp;"输出",标准坦克设计!$B$23:$U$23,0)))*(VLOOKUP($B219,INDIRECT($B$5&amp;"生成成长"),3))*(VLOOKUP($B$5,标准坦克设计!$B$14:$K$20,9)/30))</f>
        <v>16.507923235564828</v>
      </c>
      <c r="DA219" s="173">
        <f ca="1">(VLOOKUP(DA$72,INDIRECT($C$5&amp;"生成成长"),2))/((VLOOKUP($B219,INDIRECT($B$5&amp;"生成成长"),4))/(VLOOKUP(DA$72,INDIRECT($C$5&amp;"生成成长"),5))*(VLOOKUP($B$5,标准坦克设计!$B$24:$U$30,MATCH("对"&amp;LEFT($C$5,2)&amp;"输出",标准坦克设计!$B$23:$U$23,0)))*(VLOOKUP($B219,INDIRECT($B$5&amp;"生成成长"),3))*(VLOOKUP($B$5,标准坦克设计!$B$14:$K$20,9)/30))</f>
        <v>17.520730474892101</v>
      </c>
      <c r="DB219" s="173">
        <f ca="1">(VLOOKUP(DB$72,INDIRECT($C$5&amp;"生成成长"),2))/((VLOOKUP($B219,INDIRECT($B$5&amp;"生成成长"),4))/(VLOOKUP(DB$72,INDIRECT($C$5&amp;"生成成长"),5))*(VLOOKUP($B$5,标准坦克设计!$B$24:$U$30,MATCH("对"&amp;LEFT($C$5,2)&amp;"输出",标准坦克设计!$B$23:$U$23,0)))*(VLOOKUP($B219,INDIRECT($B$5&amp;"生成成长"),3))*(VLOOKUP($B$5,标准坦克设计!$B$14:$K$20,9)/30))</f>
        <v>18.563688944618836</v>
      </c>
      <c r="DC219" s="173">
        <f ca="1">(VLOOKUP(DC$72,INDIRECT($C$5&amp;"生成成长"),2))/((VLOOKUP($B219,INDIRECT($B$5&amp;"生成成长"),4))/(VLOOKUP(DC$72,INDIRECT($C$5&amp;"生成成长"),5))*(VLOOKUP($B$5,标准坦克设计!$B$24:$U$30,MATCH("对"&amp;LEFT($C$5,2)&amp;"输出",标准坦克设计!$B$23:$U$23,0)))*(VLOOKUP($B219,INDIRECT($B$5&amp;"生成成长"),3))*(VLOOKUP($B$5,标准坦克设计!$B$14:$K$20,9)/30))</f>
        <v>19.735849174363086</v>
      </c>
      <c r="DD219" s="173">
        <f ca="1">(VLOOKUP(DD$72,INDIRECT($C$5&amp;"生成成长"),2))/((VLOOKUP($B219,INDIRECT($B$5&amp;"生成成长"),4))/(VLOOKUP(DD$72,INDIRECT($C$5&amp;"生成成长"),5))*(VLOOKUP($B$5,标准坦克设计!$B$24:$U$30,MATCH("对"&amp;LEFT($C$5,2)&amp;"输出",标准坦克设计!$B$23:$U$23,0)))*(VLOOKUP($B219,INDIRECT($B$5&amp;"生成成长"),3))*(VLOOKUP($B$5,标准坦克设计!$B$14:$K$20,9)/30))</f>
        <v>20.943891860119908</v>
      </c>
      <c r="DE219" s="173">
        <f ca="1">(VLOOKUP(DE$72,INDIRECT($C$5&amp;"生成成长"),2))/((VLOOKUP($B219,INDIRECT($B$5&amp;"生成成长"),4))/(VLOOKUP(DE$72,INDIRECT($C$5&amp;"生成成长"),5))*(VLOOKUP($B$5,标准坦克设计!$B$24:$U$30,MATCH("对"&amp;LEFT($C$5,2)&amp;"输出",标准坦克设计!$B$23:$U$23,0)))*(VLOOKUP($B219,INDIRECT($B$5&amp;"生成成长"),3))*(VLOOKUP($B$5,标准坦克设计!$B$14:$K$20,9)/30))</f>
        <v>22.187817001889318</v>
      </c>
      <c r="DF219" s="173">
        <f ca="1">(VLOOKUP(DF$72,INDIRECT($C$5&amp;"生成成长"),2))/((VLOOKUP($B219,INDIRECT($B$5&amp;"生成成长"),4))/(VLOOKUP(DF$72,INDIRECT($C$5&amp;"生成成长"),5))*(VLOOKUP($B$5,标准坦克设计!$B$24:$U$30,MATCH("对"&amp;LEFT($C$5,2)&amp;"输出",标准坦克设计!$B$23:$U$23,0)))*(VLOOKUP($B219,INDIRECT($B$5&amp;"生成成长"),3))*(VLOOKUP($B$5,标准坦克设计!$B$14:$K$20,9)/30))</f>
        <v>23.467624599671307</v>
      </c>
      <c r="DG219" s="173">
        <f ca="1">(VLOOKUP(DG$72,INDIRECT($C$5&amp;"生成成长"),2))/((VLOOKUP($B219,INDIRECT($B$5&amp;"生成成长"),4))/(VLOOKUP(DG$72,INDIRECT($C$5&amp;"生成成长"),5))*(VLOOKUP($B$5,标准坦克设计!$B$24:$U$30,MATCH("对"&amp;LEFT($C$5,2)&amp;"输出",标准坦克设计!$B$23:$U$23,0)))*(VLOOKUP($B219,INDIRECT($B$5&amp;"生成成长"),3))*(VLOOKUP($B$5,标准坦克设计!$B$14:$K$20,9)/30))</f>
        <v>24.783314653465872</v>
      </c>
      <c r="DH219" s="173">
        <f ca="1">(VLOOKUP(DH$72,INDIRECT($C$5&amp;"生成成长"),2))/((VLOOKUP($B219,INDIRECT($B$5&amp;"生成成长"),4))/(VLOOKUP(DH$72,INDIRECT($C$5&amp;"生成成长"),5))*(VLOOKUP($B$5,标准坦克设计!$B$24:$U$30,MATCH("对"&amp;LEFT($C$5,2)&amp;"输出",标准坦克设计!$B$23:$U$23,0)))*(VLOOKUP($B219,INDIRECT($B$5&amp;"生成成长"),3))*(VLOOKUP($B$5,标准坦克设计!$B$14:$K$20,9)/30))</f>
        <v>26.134887163273014</v>
      </c>
      <c r="DI219" s="173">
        <f ca="1">(VLOOKUP(DI$72,INDIRECT($C$5&amp;"生成成长"),2))/((VLOOKUP($B219,INDIRECT($B$5&amp;"生成成长"),4))/(VLOOKUP(DI$72,INDIRECT($C$5&amp;"生成成长"),5))*(VLOOKUP($B$5,标准坦克设计!$B$24:$U$30,MATCH("对"&amp;LEFT($C$5,2)&amp;"输出",标准坦克设计!$B$23:$U$23,0)))*(VLOOKUP($B219,INDIRECT($B$5&amp;"生成成长"),3))*(VLOOKUP($B$5,标准坦克设计!$B$14:$K$20,9)/30))</f>
        <v>27.522342129092731</v>
      </c>
      <c r="DJ219" s="173">
        <f ca="1">(VLOOKUP(DJ$72,INDIRECT($C$5&amp;"生成成长"),2))/((VLOOKUP($B219,INDIRECT($B$5&amp;"生成成长"),4))/(VLOOKUP(DJ$72,INDIRECT($C$5&amp;"生成成长"),5))*(VLOOKUP($B$5,标准坦克设计!$B$24:$U$30,MATCH("对"&amp;LEFT($C$5,2)&amp;"输出",标准坦克设计!$B$23:$U$23,0)))*(VLOOKUP($B219,INDIRECT($B$5&amp;"生成成长"),3))*(VLOOKUP($B$5,标准坦克设计!$B$14:$K$20,9)/30))</f>
        <v>2.7660639094974546</v>
      </c>
      <c r="DK219" s="173">
        <f ca="1">(VLOOKUP(DK$72,INDIRECT($C$5&amp;"生成成长"),2))/((VLOOKUP($B219,INDIRECT($B$5&amp;"生成成长"),4))/(VLOOKUP(DK$72,INDIRECT($C$5&amp;"生成成长"),5))*(VLOOKUP($B$5,标准坦克设计!$B$24:$U$30,MATCH("对"&amp;LEFT($C$5,2)&amp;"输出",标准坦克设计!$B$23:$U$23,0)))*(VLOOKUP($B219,INDIRECT($B$5&amp;"生成成长"),3))*(VLOOKUP($B$5,标准坦克设计!$B$14:$K$20,9)/30))</f>
        <v>3.1103112218681348</v>
      </c>
      <c r="DL219" s="173">
        <f ca="1">(VLOOKUP(DL$72,INDIRECT($C$5&amp;"生成成长"),2))/((VLOOKUP($B219,INDIRECT($B$5&amp;"生成成长"),4))/(VLOOKUP(DL$72,INDIRECT($C$5&amp;"生成成长"),5))*(VLOOKUP($B$5,标准坦克设计!$B$24:$U$30,MATCH("对"&amp;LEFT($C$5,2)&amp;"输出",标准坦克设计!$B$23:$U$23,0)))*(VLOOKUP($B219,INDIRECT($B$5&amp;"生成成长"),3))*(VLOOKUP($B$5,标准坦克设计!$B$14:$K$20,9)/30))</f>
        <v>3.4747424157458902</v>
      </c>
      <c r="DM219" s="173">
        <f ca="1">(VLOOKUP(DM$72,INDIRECT($C$5&amp;"生成成长"),2))/((VLOOKUP($B219,INDIRECT($B$5&amp;"生成成长"),4))/(VLOOKUP(DM$72,INDIRECT($C$5&amp;"生成成长"),5))*(VLOOKUP($B$5,标准坦克设计!$B$24:$U$30,MATCH("对"&amp;LEFT($C$5,2)&amp;"输出",标准坦克设计!$B$23:$U$23,0)))*(VLOOKUP($B219,INDIRECT($B$5&amp;"生成成长"),3))*(VLOOKUP($B$5,标准坦克设计!$B$14:$K$20,9)/30))</f>
        <v>3.8593574911307216</v>
      </c>
      <c r="DN219" s="173">
        <f ca="1">(VLOOKUP(DN$72,INDIRECT($C$5&amp;"生成成长"),2))/((VLOOKUP($B219,INDIRECT($B$5&amp;"生成成长"),4))/(VLOOKUP(DN$72,INDIRECT($C$5&amp;"生成成长"),5))*(VLOOKUP($B$5,标准坦克设计!$B$24:$U$30,MATCH("对"&amp;LEFT($C$5,2)&amp;"输出",标准坦克设计!$B$23:$U$23,0)))*(VLOOKUP($B219,INDIRECT($B$5&amp;"生成成长"),3))*(VLOOKUP($B$5,标准坦克设计!$B$14:$K$20,9)/30))</f>
        <v>4.2641564480226295</v>
      </c>
      <c r="DO219" s="173">
        <f ca="1">(VLOOKUP(DO$72,INDIRECT($C$5&amp;"生成成长"),2))/((VLOOKUP($B219,INDIRECT($B$5&amp;"生成成长"),4))/(VLOOKUP(DO$72,INDIRECT($C$5&amp;"生成成长"),5))*(VLOOKUP($B$5,标准坦克设计!$B$24:$U$30,MATCH("对"&amp;LEFT($C$5,2)&amp;"输出",标准坦克设计!$B$23:$U$23,0)))*(VLOOKUP($B219,INDIRECT($B$5&amp;"生成成长"),3))*(VLOOKUP($B$5,标准坦克设计!$B$14:$K$20,9)/30))</f>
        <v>4.6891392864216126</v>
      </c>
      <c r="DP219" s="173">
        <f ca="1">(VLOOKUP(DP$72,INDIRECT($C$5&amp;"生成成长"),2))/((VLOOKUP($B219,INDIRECT($B$5&amp;"生成成长"),4))/(VLOOKUP(DP$72,INDIRECT($C$5&amp;"生成成长"),5))*(VLOOKUP($B$5,标准坦克设计!$B$24:$U$30,MATCH("对"&amp;LEFT($C$5,2)&amp;"输出",标准坦克设计!$B$23:$U$23,0)))*(VLOOKUP($B219,INDIRECT($B$5&amp;"生成成长"),3))*(VLOOKUP($B$5,标准坦克设计!$B$14:$K$20,9)/30))</f>
        <v>5.1343060063276713</v>
      </c>
      <c r="DQ219" s="173">
        <f ca="1">(VLOOKUP(DQ$72,INDIRECT($C$5&amp;"生成成长"),2))/((VLOOKUP($B219,INDIRECT($B$5&amp;"生成成长"),4))/(VLOOKUP(DQ$72,INDIRECT($C$5&amp;"生成成长"),5))*(VLOOKUP($B$5,标准坦克设计!$B$24:$U$30,MATCH("对"&amp;LEFT($C$5,2)&amp;"输出",标准坦克设计!$B$23:$U$23,0)))*(VLOOKUP($B219,INDIRECT($B$5&amp;"生成成长"),3))*(VLOOKUP($B$5,标准坦克设计!$B$14:$K$20,9)/30))</f>
        <v>5.5996566077408048</v>
      </c>
      <c r="DR219" s="173">
        <f ca="1">(VLOOKUP(DR$72,INDIRECT($C$5&amp;"生成成长"),2))/((VLOOKUP($B219,INDIRECT($B$5&amp;"生成成长"),4))/(VLOOKUP(DR$72,INDIRECT($C$5&amp;"生成成长"),5))*(VLOOKUP($B$5,标准坦克设计!$B$24:$U$30,MATCH("对"&amp;LEFT($C$5,2)&amp;"输出",标准坦克设计!$B$23:$U$23,0)))*(VLOOKUP($B219,INDIRECT($B$5&amp;"生成成长"),3))*(VLOOKUP($B$5,标准坦克设计!$B$14:$K$20,9)/30))</f>
        <v>6.0851910906610138</v>
      </c>
      <c r="DS219" s="173">
        <f ca="1">(VLOOKUP(DS$72,INDIRECT($C$5&amp;"生成成长"),2))/((VLOOKUP($B219,INDIRECT($B$5&amp;"生成成长"),4))/(VLOOKUP(DS$72,INDIRECT($C$5&amp;"生成成长"),5))*(VLOOKUP($B$5,标准坦克设计!$B$24:$U$30,MATCH("对"&amp;LEFT($C$5,2)&amp;"输出",标准坦克设计!$B$23:$U$23,0)))*(VLOOKUP($B219,INDIRECT($B$5&amp;"生成成长"),3))*(VLOOKUP($B$5,标准坦克设计!$B$14:$K$20,9)/30))</f>
        <v>6.5909094550883003</v>
      </c>
      <c r="DT219" s="173">
        <f ca="1">(VLOOKUP(DT$72,INDIRECT($C$5&amp;"生成成长"),2))/((VLOOKUP($B219,INDIRECT($B$5&amp;"生成成长"),4))/(VLOOKUP(DT$72,INDIRECT($C$5&amp;"生成成长"),5))*(VLOOKUP($B$5,标准坦克设计!$B$24:$U$30,MATCH("对"&amp;LEFT($C$5,2)&amp;"输出",标准坦克设计!$B$23:$U$23,0)))*(VLOOKUP($B219,INDIRECT($B$5&amp;"生成成长"),3))*(VLOOKUP($B$5,标准坦克设计!$B$14:$K$20,9)/30))</f>
        <v>7.2364198877312589</v>
      </c>
      <c r="DU219" s="173">
        <f ca="1">(VLOOKUP(DU$72,INDIRECT($C$5&amp;"生成成长"),2))/((VLOOKUP($B219,INDIRECT($B$5&amp;"生成成长"),4))/(VLOOKUP(DU$72,INDIRECT($C$5&amp;"生成成长"),5))*(VLOOKUP($B$5,标准坦克设计!$B$24:$U$30,MATCH("对"&amp;LEFT($C$5,2)&amp;"输出",标准坦克设计!$B$23:$U$23,0)))*(VLOOKUP($B219,INDIRECT($B$5&amp;"生成成长"),3))*(VLOOKUP($B$5,标准坦克设计!$B$14:$K$20,9)/30))</f>
        <v>7.9120815507736753</v>
      </c>
      <c r="DV219" s="173">
        <f ca="1">(VLOOKUP(DV$72,INDIRECT($C$5&amp;"生成成长"),2))/((VLOOKUP($B219,INDIRECT($B$5&amp;"生成成长"),4))/(VLOOKUP(DV$72,INDIRECT($C$5&amp;"生成成长"),5))*(VLOOKUP($B$5,标准坦克设计!$B$24:$U$30,MATCH("对"&amp;LEFT($C$5,2)&amp;"输出",标准坦克设计!$B$23:$U$23,0)))*(VLOOKUP($B219,INDIRECT($B$5&amp;"生成成长"),3))*(VLOOKUP($B$5,标准坦克设计!$B$14:$K$20,9)/30))</f>
        <v>8.6178944442155512</v>
      </c>
      <c r="DW219" s="173">
        <f ca="1">(VLOOKUP(DW$72,INDIRECT($C$5&amp;"生成成长"),2))/((VLOOKUP($B219,INDIRECT($B$5&amp;"生成成长"),4))/(VLOOKUP(DW$72,INDIRECT($C$5&amp;"生成成长"),5))*(VLOOKUP($B$5,标准坦克设计!$B$24:$U$30,MATCH("对"&amp;LEFT($C$5,2)&amp;"输出",标准坦克设计!$B$23:$U$23,0)))*(VLOOKUP($B219,INDIRECT($B$5&amp;"生成成长"),3))*(VLOOKUP($B$5,标准坦克设计!$B$14:$K$20,9)/30))</f>
        <v>9.3538585680568858</v>
      </c>
      <c r="DX219" s="173">
        <f ca="1">(VLOOKUP(DX$72,INDIRECT($C$5&amp;"生成成长"),2))/((VLOOKUP($B219,INDIRECT($B$5&amp;"生成成长"),4))/(VLOOKUP(DX$72,INDIRECT($C$5&amp;"生成成长"),5))*(VLOOKUP($B$5,标准坦克设计!$B$24:$U$30,MATCH("对"&amp;LEFT($C$5,2)&amp;"输出",标准坦克设计!$B$23:$U$23,0)))*(VLOOKUP($B219,INDIRECT($B$5&amp;"生成成长"),3))*(VLOOKUP($B$5,标准坦克设计!$B$14:$K$20,9)/30))</f>
        <v>10.11997392229768</v>
      </c>
      <c r="DY219" s="173">
        <f ca="1">(VLOOKUP(DY$72,INDIRECT($C$5&amp;"生成成长"),2))/((VLOOKUP($B219,INDIRECT($B$5&amp;"生成成长"),4))/(VLOOKUP(DY$72,INDIRECT($C$5&amp;"生成成长"),5))*(VLOOKUP($B$5,标准坦克设计!$B$24:$U$30,MATCH("对"&amp;LEFT($C$5,2)&amp;"输出",标准坦克设计!$B$23:$U$23,0)))*(VLOOKUP($B219,INDIRECT($B$5&amp;"生成成长"),3))*(VLOOKUP($B$5,标准坦克设计!$B$14:$K$20,9)/30))</f>
        <v>4.5452356867878319</v>
      </c>
      <c r="DZ219" s="173">
        <f ca="1">(VLOOKUP(DZ$72,INDIRECT($C$5&amp;"生成成长"),2))/((VLOOKUP($B219,INDIRECT($B$5&amp;"生成成长"),4))/(VLOOKUP(DZ$72,INDIRECT($C$5&amp;"生成成长"),5))*(VLOOKUP($B$5,标准坦克设计!$B$24:$U$30,MATCH("对"&amp;LEFT($C$5,2)&amp;"输出",标准坦克设计!$B$23:$U$23,0)))*(VLOOKUP($B219,INDIRECT($B$5&amp;"生成成长"),3))*(VLOOKUP($B$5,标准坦克设计!$B$14:$K$20,9)/30))</f>
        <v>5.0336357825146019</v>
      </c>
      <c r="EA219" s="173">
        <f ca="1">(VLOOKUP(EA$72,INDIRECT($C$5&amp;"生成成长"),2))/((VLOOKUP($B219,INDIRECT($B$5&amp;"生成成长"),4))/(VLOOKUP(EA$72,INDIRECT($C$5&amp;"生成成长"),5))*(VLOOKUP($B$5,标准坦克设计!$B$24:$U$30,MATCH("对"&amp;LEFT($C$5,2)&amp;"输出",标准坦克设计!$B$23:$U$23,0)))*(VLOOKUP($B219,INDIRECT($B$5&amp;"生成成长"),3))*(VLOOKUP($B$5,标准坦克设计!$B$14:$K$20,9)/30))</f>
        <v>5.5469542504723295</v>
      </c>
      <c r="EB219" s="173">
        <f ca="1">(VLOOKUP(EB$72,INDIRECT($C$5&amp;"生成成长"),2))/((VLOOKUP($B219,INDIRECT($B$5&amp;"生成成长"),4))/(VLOOKUP(EB$72,INDIRECT($C$5&amp;"生成成长"),5))*(VLOOKUP($B$5,标准坦克设计!$B$24:$U$30,MATCH("对"&amp;LEFT($C$5,2)&amp;"输出",标准坦克设计!$B$23:$U$23,0)))*(VLOOKUP($B219,INDIRECT($B$5&amp;"生成成长"),3))*(VLOOKUP($B$5,标准坦克设计!$B$14:$K$20,9)/30))</f>
        <v>6.0851910906610138</v>
      </c>
      <c r="EC219" s="173">
        <f ca="1">(VLOOKUP(EC$72,INDIRECT($C$5&amp;"生成成长"),2))/((VLOOKUP($B219,INDIRECT($B$5&amp;"生成成长"),4))/(VLOOKUP(EC$72,INDIRECT($C$5&amp;"生成成长"),5))*(VLOOKUP($B$5,标准坦克设计!$B$24:$U$30,MATCH("对"&amp;LEFT($C$5,2)&amp;"输出",标准坦克设计!$B$23:$U$23,0)))*(VLOOKUP($B219,INDIRECT($B$5&amp;"生成成长"),3))*(VLOOKUP($B$5,标准坦克设计!$B$14:$K$20,9)/30))</f>
        <v>6.6483463030806575</v>
      </c>
      <c r="ED219" s="173">
        <f ca="1">(VLOOKUP(ED$72,INDIRECT($C$5&amp;"生成成长"),2))/((VLOOKUP($B219,INDIRECT($B$5&amp;"生成成长"),4))/(VLOOKUP(ED$72,INDIRECT($C$5&amp;"生成成长"),5))*(VLOOKUP($B$5,标准坦克设计!$B$24:$U$30,MATCH("对"&amp;LEFT($C$5,2)&amp;"输出",标准坦克设计!$B$23:$U$23,0)))*(VLOOKUP($B219,INDIRECT($B$5&amp;"生成成长"),3))*(VLOOKUP($B$5,标准坦克设计!$B$14:$K$20,9)/30))</f>
        <v>7.2364198877312589</v>
      </c>
      <c r="EE219" s="173">
        <f ca="1">(VLOOKUP(EE$72,INDIRECT($C$5&amp;"生成成长"),2))/((VLOOKUP($B219,INDIRECT($B$5&amp;"生成成长"),4))/(VLOOKUP(EE$72,INDIRECT($C$5&amp;"生成成长"),5))*(VLOOKUP($B$5,标准坦克设计!$B$24:$U$30,MATCH("对"&amp;LEFT($C$5,2)&amp;"输出",标准坦克设计!$B$23:$U$23,0)))*(VLOOKUP($B219,INDIRECT($B$5&amp;"生成成长"),3))*(VLOOKUP($B$5,标准坦克设计!$B$14:$K$20,9)/30))</f>
        <v>7.8494118446128169</v>
      </c>
      <c r="EF219" s="173">
        <f ca="1">(VLOOKUP(EF$72,INDIRECT($C$5&amp;"生成成长"),2))/((VLOOKUP($B219,INDIRECT($B$5&amp;"生成成长"),4))/(VLOOKUP(EF$72,INDIRECT($C$5&amp;"生成成长"),5))*(VLOOKUP($B$5,标准坦克设计!$B$24:$U$30,MATCH("对"&amp;LEFT($C$5,2)&amp;"输出",标准坦克设计!$B$23:$U$23,0)))*(VLOOKUP($B219,INDIRECT($B$5&amp;"生成成长"),3))*(VLOOKUP($B$5,标准坦克设计!$B$14:$K$20,9)/30))</f>
        <v>8.4873221737253335</v>
      </c>
      <c r="EG219" s="173">
        <f ca="1">(VLOOKUP(EG$72,INDIRECT($C$5&amp;"生成成长"),2))/((VLOOKUP($B219,INDIRECT($B$5&amp;"生成成长"),4))/(VLOOKUP(EG$72,INDIRECT($C$5&amp;"生成成长"),5))*(VLOOKUP($B$5,标准坦克设计!$B$24:$U$30,MATCH("对"&amp;LEFT($C$5,2)&amp;"输出",标准坦克设计!$B$23:$U$23,0)))*(VLOOKUP($B219,INDIRECT($B$5&amp;"生成成长"),3))*(VLOOKUP($B$5,标准坦克设计!$B$14:$K$20,9)/30))</f>
        <v>9.1501508750688068</v>
      </c>
      <c r="EH219" s="173">
        <f ca="1">(VLOOKUP(EH$72,INDIRECT($C$5&amp;"生成成长"),2))/((VLOOKUP($B219,INDIRECT($B$5&amp;"生成成长"),4))/(VLOOKUP(EH$72,INDIRECT($C$5&amp;"生成成长"),5))*(VLOOKUP($B$5,标准坦克设计!$B$24:$U$30,MATCH("对"&amp;LEFT($C$5,2)&amp;"输出",标准坦克设计!$B$23:$U$23,0)))*(VLOOKUP($B219,INDIRECT($B$5&amp;"生成成长"),3))*(VLOOKUP($B$5,标准坦克设计!$B$14:$K$20,9)/30))</f>
        <v>9.8378979486432385</v>
      </c>
      <c r="EI219" s="173">
        <f ca="1">(VLOOKUP(EI$72,INDIRECT($C$5&amp;"生成成长"),2))/((VLOOKUP($B219,INDIRECT($B$5&amp;"生成成长"),4))/(VLOOKUP(EI$72,INDIRECT($C$5&amp;"生成成长"),5))*(VLOOKUP($B$5,标准坦克设计!$B$24:$U$30,MATCH("对"&amp;LEFT($C$5,2)&amp;"输出",标准坦克设计!$B$23:$U$23,0)))*(VLOOKUP($B219,INDIRECT($B$5&amp;"生成成长"),3))*(VLOOKUP($B$5,标准坦克设计!$B$14:$K$20,9)/30))</f>
        <v>10.550563394448627</v>
      </c>
      <c r="EJ219" s="173">
        <f ca="1">(VLOOKUP(EJ$72,INDIRECT($C$5&amp;"生成成长"),2))/((VLOOKUP($B219,INDIRECT($B$5&amp;"生成成长"),4))/(VLOOKUP(EJ$72,INDIRECT($C$5&amp;"生成成长"),5))*(VLOOKUP($B$5,标准坦克设计!$B$24:$U$30,MATCH("对"&amp;LEFT($C$5,2)&amp;"输出",标准坦克设计!$B$23:$U$23,0)))*(VLOOKUP($B219,INDIRECT($B$5&amp;"生成成长"),3))*(VLOOKUP($B$5,标准坦克设计!$B$14:$K$20,9)/30))</f>
        <v>11.288147212484974</v>
      </c>
      <c r="EK219" s="173">
        <f ca="1">(VLOOKUP(EK$72,INDIRECT($C$5&amp;"生成成长"),2))/((VLOOKUP($B219,INDIRECT($B$5&amp;"生成成长"),4))/(VLOOKUP(EK$72,INDIRECT($C$5&amp;"生成成长"),5))*(VLOOKUP($B$5,标准坦克设计!$B$24:$U$30,MATCH("对"&amp;LEFT($C$5,2)&amp;"输出",标准坦克设计!$B$23:$U$23,0)))*(VLOOKUP($B219,INDIRECT($B$5&amp;"生成成长"),3))*(VLOOKUP($B$5,标准坦克设计!$B$14:$K$20,9)/30))</f>
        <v>12.206140045473454</v>
      </c>
      <c r="EL219" s="173">
        <f ca="1">(VLOOKUP(EL$72,INDIRECT($C$5&amp;"生成成长"),2))/((VLOOKUP($B219,INDIRECT($B$5&amp;"生成成长"),4))/(VLOOKUP(EL$72,INDIRECT($C$5&amp;"生成成长"),5))*(VLOOKUP($B$5,标准坦克设计!$B$24:$U$30,MATCH("对"&amp;LEFT($C$5,2)&amp;"输出",标准坦克设计!$B$23:$U$23,0)))*(VLOOKUP($B219,INDIRECT($B$5&amp;"生成成长"),3))*(VLOOKUP($B$5,标准坦克设计!$B$14:$K$20,9)/30))</f>
        <v>13.160015334474512</v>
      </c>
      <c r="EM219" s="173">
        <f ca="1">(VLOOKUP(EM$72,INDIRECT($C$5&amp;"生成成长"),2))/((VLOOKUP($B219,INDIRECT($B$5&amp;"生成成长"),4))/(VLOOKUP(EM$72,INDIRECT($C$5&amp;"生成成长"),5))*(VLOOKUP($B$5,标准坦克设计!$B$24:$U$30,MATCH("对"&amp;LEFT($C$5,2)&amp;"输出",标准坦克设计!$B$23:$U$23,0)))*(VLOOKUP($B219,INDIRECT($B$5&amp;"生成成长"),3))*(VLOOKUP($B$5,标准坦克设计!$B$14:$K$20,9)/30))</f>
        <v>14.149773079488151</v>
      </c>
      <c r="EN219" s="173">
        <f ca="1">(VLOOKUP(EN$72,INDIRECT($C$5&amp;"生成成长"),2))/((VLOOKUP($B219,INDIRECT($B$5&amp;"生成成长"),4))/(VLOOKUP(EN$72,INDIRECT($C$5&amp;"生成成长"),5))*(VLOOKUP($B$5,标准坦克设计!$B$24:$U$30,MATCH("对"&amp;LEFT($C$5,2)&amp;"输出",标准坦克设计!$B$23:$U$23,0)))*(VLOOKUP($B219,INDIRECT($B$5&amp;"生成成长"),3))*(VLOOKUP($B$5,标准坦克设计!$B$14:$K$20,9)/30))</f>
        <v>15.175413280514366</v>
      </c>
      <c r="EO219" s="173">
        <f ca="1">(VLOOKUP(EO$72,INDIRECT($C$5&amp;"生成成长"),2))/((VLOOKUP($B219,INDIRECT($B$5&amp;"生成成长"),4))/(VLOOKUP(EO$72,INDIRECT($C$5&amp;"生成成长"),5))*(VLOOKUP($B$5,标准坦克设计!$B$24:$U$30,MATCH("对"&amp;LEFT($C$5,2)&amp;"输出",标准坦克设计!$B$23:$U$23,0)))*(VLOOKUP($B219,INDIRECT($B$5&amp;"生成成长"),3))*(VLOOKUP($B$5,标准坦克设计!$B$14:$K$20,9)/30))</f>
        <v>16.236935937553167</v>
      </c>
      <c r="EP219" s="173">
        <f ca="1">(VLOOKUP(EP$72,INDIRECT($C$5&amp;"生成成长"),2))/((VLOOKUP($B219,INDIRECT($B$5&amp;"生成成长"),4))/(VLOOKUP(EP$72,INDIRECT($C$5&amp;"生成成长"),5))*(VLOOKUP($B$5,标准坦克设计!$B$24:$U$30,MATCH("对"&amp;LEFT($C$5,2)&amp;"输出",标准坦克设计!$B$23:$U$23,0)))*(VLOOKUP($B219,INDIRECT($B$5&amp;"生成成长"),3))*(VLOOKUP($B$5,标准坦克设计!$B$14:$K$20,9)/30))</f>
        <v>17.334341050604539</v>
      </c>
      <c r="EQ219" s="173">
        <f ca="1">(VLOOKUP(EQ$72,INDIRECT($C$5&amp;"生成成长"),2))/((VLOOKUP($B219,INDIRECT($B$5&amp;"生成成长"),4))/(VLOOKUP(EQ$72,INDIRECT($C$5&amp;"生成成长"),5))*(VLOOKUP($B$5,标准坦克设计!$B$24:$U$30,MATCH("对"&amp;LEFT($C$5,2)&amp;"输出",标准坦克设计!$B$23:$U$23,0)))*(VLOOKUP($B219,INDIRECT($B$5&amp;"生成成长"),3))*(VLOOKUP($B$5,标准坦克设计!$B$14:$K$20,9)/30))</f>
        <v>7.6628978284641009</v>
      </c>
      <c r="ER219" s="173">
        <f ca="1">(VLOOKUP(ER$72,INDIRECT($C$5&amp;"生成成长"),2))/((VLOOKUP($B219,INDIRECT($B$5&amp;"生成成长"),4))/(VLOOKUP(ER$72,INDIRECT($C$5&amp;"生成成长"),5))*(VLOOKUP($B$5,标准坦克设计!$B$24:$U$30,MATCH("对"&amp;LEFT($C$5,2)&amp;"输出",标准坦克设计!$B$23:$U$23,0)))*(VLOOKUP($B219,INDIRECT($B$5&amp;"生成成长"),3))*(VLOOKUP($B$5,标准坦克设计!$B$14:$K$20,9)/30))</f>
        <v>8.3577466381243539</v>
      </c>
      <c r="ES219" s="173">
        <f ca="1">(VLOOKUP(ES$72,INDIRECT($C$5&amp;"生成成长"),2))/((VLOOKUP($B219,INDIRECT($B$5&amp;"生成成长"),4))/(VLOOKUP(ES$72,INDIRECT($C$5&amp;"生成成长"),5))*(VLOOKUP($B$5,标准坦克设计!$B$24:$U$30,MATCH("对"&amp;LEFT($C$5,2)&amp;"输出",标准坦克设计!$B$23:$U$23,0)))*(VLOOKUP($B219,INDIRECT($B$5&amp;"生成成长"),3))*(VLOOKUP($B$5,标准坦克设计!$B$14:$K$20,9)/30))</f>
        <v>9.0827466781840656</v>
      </c>
      <c r="ET219" s="173">
        <f ca="1">(VLOOKUP(ET$72,INDIRECT($C$5&amp;"生成成长"),2))/((VLOOKUP($B219,INDIRECT($B$5&amp;"生成成长"),4))/(VLOOKUP(ET$72,INDIRECT($C$5&amp;"生成成长"),5))*(VLOOKUP($B$5,标准坦克设计!$B$24:$U$30,MATCH("对"&amp;LEFT($C$5,2)&amp;"输出",标准坦克设计!$B$23:$U$23,0)))*(VLOOKUP($B219,INDIRECT($B$5&amp;"生成成长"),3))*(VLOOKUP($B$5,标准坦克设计!$B$14:$K$20,9)/30))</f>
        <v>9.8378979486432385</v>
      </c>
      <c r="EU219" s="173">
        <f ca="1">(VLOOKUP(EU$72,INDIRECT($C$5&amp;"生成成长"),2))/((VLOOKUP($B219,INDIRECT($B$5&amp;"生成成长"),4))/(VLOOKUP(EU$72,INDIRECT($C$5&amp;"生成成长"),5))*(VLOOKUP($B$5,标准坦克设计!$B$24:$U$30,MATCH("对"&amp;LEFT($C$5,2)&amp;"输出",标准坦克设计!$B$23:$U$23,0)))*(VLOOKUP($B219,INDIRECT($B$5&amp;"生成成长"),3))*(VLOOKUP($B$5,标准坦克设计!$B$14:$K$20,9)/30))</f>
        <v>10.623200449501867</v>
      </c>
      <c r="EV219" s="173">
        <f ca="1">(VLOOKUP(EV$72,INDIRECT($C$5&amp;"生成成长"),2))/((VLOOKUP($B219,INDIRECT($B$5&amp;"生成成长"),4))/(VLOOKUP(EV$72,INDIRECT($C$5&amp;"生成成长"),5))*(VLOOKUP($B$5,标准坦克设计!$B$24:$U$30,MATCH("对"&amp;LEFT($C$5,2)&amp;"输出",标准坦克设计!$B$23:$U$23,0)))*(VLOOKUP($B219,INDIRECT($B$5&amp;"生成成长"),3))*(VLOOKUP($B$5,标准坦克设计!$B$14:$K$20,9)/30))</f>
        <v>11.438654180759958</v>
      </c>
      <c r="EW219" s="173">
        <f ca="1">(VLOOKUP(EW$72,INDIRECT($C$5&amp;"生成成长"),2))/((VLOOKUP($B219,INDIRECT($B$5&amp;"生成成长"),4))/(VLOOKUP(EW$72,INDIRECT($C$5&amp;"生成成长"),5))*(VLOOKUP($B$5,标准坦克设计!$B$24:$U$30,MATCH("对"&amp;LEFT($C$5,2)&amp;"输出",标准坦克设计!$B$23:$U$23,0)))*(VLOOKUP($B219,INDIRECT($B$5&amp;"生成成长"),3))*(VLOOKUP($B$5,标准坦克设计!$B$14:$K$20,9)/30))</f>
        <v>12.284259142417504</v>
      </c>
      <c r="EX219" s="173">
        <f ca="1">(VLOOKUP(EX$72,INDIRECT($C$5&amp;"生成成长"),2))/((VLOOKUP($B219,INDIRECT($B$5&amp;"生成成长"),4))/(VLOOKUP(EX$72,INDIRECT($C$5&amp;"生成成长"),5))*(VLOOKUP($B$5,标准坦克设计!$B$24:$U$30,MATCH("对"&amp;LEFT($C$5,2)&amp;"输出",标准坦克设计!$B$23:$U$23,0)))*(VLOOKUP($B219,INDIRECT($B$5&amp;"生成成长"),3))*(VLOOKUP($B$5,标准坦克设计!$B$14:$K$20,9)/30))</f>
        <v>13.160015334474512</v>
      </c>
      <c r="EY219" s="173">
        <f ca="1">(VLOOKUP(EY$72,INDIRECT($C$5&amp;"生成成长"),2))/((VLOOKUP($B219,INDIRECT($B$5&amp;"生成成长"),4))/(VLOOKUP(EY$72,INDIRECT($C$5&amp;"生成成长"),5))*(VLOOKUP($B$5,标准坦克设计!$B$24:$U$30,MATCH("对"&amp;LEFT($C$5,2)&amp;"输出",标准坦克设计!$B$23:$U$23,0)))*(VLOOKUP($B219,INDIRECT($B$5&amp;"生成成长"),3))*(VLOOKUP($B$5,标准坦克设计!$B$14:$K$20,9)/30))</f>
        <v>14.065922756930977</v>
      </c>
      <c r="EZ219" s="173">
        <f ca="1">(VLOOKUP(EZ$72,INDIRECT($C$5&amp;"生成成长"),2))/((VLOOKUP($B219,INDIRECT($B$5&amp;"生成成长"),4))/(VLOOKUP(EZ$72,INDIRECT($C$5&amp;"生成成长"),5))*(VLOOKUP($B$5,标准坦克设计!$B$24:$U$30,MATCH("对"&amp;LEFT($C$5,2)&amp;"输出",标准坦克设计!$B$23:$U$23,0)))*(VLOOKUP($B219,INDIRECT($B$5&amp;"生成成长"),3))*(VLOOKUP($B$5,标准坦克设计!$B$14:$K$20,9)/30))</f>
        <v>15.001981409786902</v>
      </c>
      <c r="FA219" s="173">
        <f ca="1">(VLOOKUP(FA$72,INDIRECT($C$5&amp;"生成成长"),2))/((VLOOKUP($B219,INDIRECT($B$5&amp;"生成成长"),4))/(VLOOKUP(FA$72,INDIRECT($C$5&amp;"生成成长"),5))*(VLOOKUP($B$5,标准坦克设计!$B$24:$U$30,MATCH("对"&amp;LEFT($C$5,2)&amp;"输出",标准坦克设计!$B$23:$U$23,0)))*(VLOOKUP($B219,INDIRECT($B$5&amp;"生成成长"),3))*(VLOOKUP($B$5,标准坦克设计!$B$14:$K$20,9)/30))</f>
        <v>15.968191293042285</v>
      </c>
      <c r="FB219" s="173">
        <f ca="1">(VLOOKUP(FB$72,INDIRECT($C$5&amp;"生成成长"),2))/((VLOOKUP($B219,INDIRECT($B$5&amp;"生成成长"),4))/(VLOOKUP(FB$72,INDIRECT($C$5&amp;"生成成长"),5))*(VLOOKUP($B$5,标准坦克设计!$B$24:$U$30,MATCH("对"&amp;LEFT($C$5,2)&amp;"输出",标准坦克设计!$B$23:$U$23,0)))*(VLOOKUP($B219,INDIRECT($B$5&amp;"生成成长"),3))*(VLOOKUP($B$5,标准坦克设计!$B$14:$K$20,9)/30))</f>
        <v>16.964552406697127</v>
      </c>
      <c r="FC219" s="173">
        <f ca="1">(VLOOKUP(FC$72,INDIRECT($C$5&amp;"生成成长"),2))/((VLOOKUP($B219,INDIRECT($B$5&amp;"生成成长"),4))/(VLOOKUP(FC$72,INDIRECT($C$5&amp;"生成成长"),5))*(VLOOKUP($B$5,标准坦克设计!$B$24:$U$30,MATCH("对"&amp;LEFT($C$5,2)&amp;"输出",标准坦克设计!$B$23:$U$23,0)))*(VLOOKUP($B219,INDIRECT($B$5&amp;"生成成长"),3))*(VLOOKUP($B$5,标准坦克设计!$B$14:$K$20,9)/30))</f>
        <v>17.991064750751427</v>
      </c>
      <c r="FD219" s="173">
        <f ca="1">(VLOOKUP(FD$72,INDIRECT($C$5&amp;"生成成长"),2))/((VLOOKUP($B219,INDIRECT($B$5&amp;"生成成长"),4))/(VLOOKUP(FD$72,INDIRECT($C$5&amp;"生成成长"),5))*(VLOOKUP($B$5,标准坦克设计!$B$24:$U$30,MATCH("对"&amp;LEFT($C$5,2)&amp;"输出",标准坦克设计!$B$23:$U$23,0)))*(VLOOKUP($B219,INDIRECT($B$5&amp;"生成成长"),3))*(VLOOKUP($B$5,标准坦克设计!$B$14:$K$20,9)/30))</f>
        <v>19.047728325205188</v>
      </c>
      <c r="FE219" s="173">
        <f ca="1">(VLOOKUP(FE$72,INDIRECT($C$5&amp;"生成成长"),2))/((VLOOKUP($B219,INDIRECT($B$5&amp;"生成成长"),4))/(VLOOKUP(FE$72,INDIRECT($C$5&amp;"生成成长"),5))*(VLOOKUP($B$5,标准坦克设计!$B$24:$U$30,MATCH("对"&amp;LEFT($C$5,2)&amp;"输出",标准坦克设计!$B$23:$U$23,0)))*(VLOOKUP($B219,INDIRECT($B$5&amp;"生成成长"),3))*(VLOOKUP($B$5,标准坦克设计!$B$14:$K$20,9)/30))</f>
        <v>20.335385210239927</v>
      </c>
      <c r="FF219" s="173">
        <f ca="1">(VLOOKUP(FF$72,INDIRECT($C$5&amp;"生成成长"),2))/((VLOOKUP($B219,INDIRECT($B$5&amp;"生成成长"),4))/(VLOOKUP(FF$72,INDIRECT($C$5&amp;"生成成长"),5))*(VLOOKUP($B$5,标准坦克设计!$B$24:$U$30,MATCH("对"&amp;LEFT($C$5,2)&amp;"输出",标准坦克设计!$B$23:$U$23,0)))*(VLOOKUP($B219,INDIRECT($B$5&amp;"生成成长"),3))*(VLOOKUP($B$5,标准坦克设计!$B$14:$K$20,9)/30))</f>
        <v>21.665154144344982</v>
      </c>
      <c r="FG219" s="173">
        <f ca="1">(VLOOKUP(FG$72,INDIRECT($C$5&amp;"生成成长"),2))/((VLOOKUP($B219,INDIRECT($B$5&amp;"生成成长"),4))/(VLOOKUP(FG$72,INDIRECT($C$5&amp;"生成成长"),5))*(VLOOKUP($B$5,标准坦克设计!$B$24:$U$30,MATCH("对"&amp;LEFT($C$5,2)&amp;"输出",标准坦克设计!$B$23:$U$23,0)))*(VLOOKUP($B219,INDIRECT($B$5&amp;"生成成长"),3))*(VLOOKUP($B$5,标准坦克设计!$B$14:$K$20,9)/30))</f>
        <v>23.037035127520355</v>
      </c>
      <c r="FH219" s="173">
        <f ca="1">(VLOOKUP(FH$72,INDIRECT($C$5&amp;"生成成长"),2))/((VLOOKUP($B219,INDIRECT($B$5&amp;"生成成长"),4))/(VLOOKUP(FH$72,INDIRECT($C$5&amp;"生成成长"),5))*(VLOOKUP($B$5,标准坦克设计!$B$24:$U$30,MATCH("对"&amp;LEFT($C$5,2)&amp;"输出",标准坦克设计!$B$23:$U$23,0)))*(VLOOKUP($B219,INDIRECT($B$5&amp;"生成成长"),3))*(VLOOKUP($B$5,标准坦克设计!$B$14:$K$20,9)/30))</f>
        <v>24.45102815976605</v>
      </c>
      <c r="FI219" s="173">
        <f ca="1">(VLOOKUP(FI$72,INDIRECT($C$5&amp;"生成成长"),2))/((VLOOKUP($B219,INDIRECT($B$5&amp;"生成成长"),4))/(VLOOKUP(FI$72,INDIRECT($C$5&amp;"生成成长"),5))*(VLOOKUP($B$5,标准坦克设计!$B$24:$U$30,MATCH("对"&amp;LEFT($C$5,2)&amp;"输出",标准坦克设计!$B$23:$U$23,0)))*(VLOOKUP($B219,INDIRECT($B$5&amp;"生成成长"),3))*(VLOOKUP($B$5,标准坦克设计!$B$14:$K$20,9)/30))</f>
        <v>25.907133241082061</v>
      </c>
      <c r="FJ219" s="173">
        <f ca="1">(VLOOKUP(FJ$72,INDIRECT($C$5&amp;"生成成长"),2))/((VLOOKUP($B219,INDIRECT($B$5&amp;"生成成长"),4))/(VLOOKUP(FJ$72,INDIRECT($C$5&amp;"生成成长"),5))*(VLOOKUP($B$5,标准坦克设计!$B$24:$U$30,MATCH("对"&amp;LEFT($C$5,2)&amp;"输出",标准坦克设计!$B$23:$U$23,0)))*(VLOOKUP($B219,INDIRECT($B$5&amp;"生成成长"),3))*(VLOOKUP($B$5,标准坦克设计!$B$14:$K$20,9)/30))</f>
        <v>27.405350371468383</v>
      </c>
      <c r="FK219" s="173">
        <f ca="1">(VLOOKUP(FK$72,INDIRECT($C$5&amp;"生成成长"),2))/((VLOOKUP($B219,INDIRECT($B$5&amp;"生成成长"),4))/(VLOOKUP(FK$72,INDIRECT($C$5&amp;"生成成长"),5))*(VLOOKUP($B$5,标准坦克设计!$B$24:$U$30,MATCH("对"&amp;LEFT($C$5,2)&amp;"输出",标准坦克设计!$B$23:$U$23,0)))*(VLOOKUP($B219,INDIRECT($B$5&amp;"生成成长"),3))*(VLOOKUP($B$5,标准坦克设计!$B$14:$K$20,9)/30))</f>
        <v>28.945679550925036</v>
      </c>
    </row>
    <row r="220" spans="1:167" x14ac:dyDescent="0.15">
      <c r="A220" s="171" t="str">
        <f t="shared" si="13"/>
        <v>T5高品质4级</v>
      </c>
      <c r="B220" s="172">
        <v>30504</v>
      </c>
      <c r="C220" s="173">
        <f ca="1">(VLOOKUP(C$72,INDIRECT($C$5&amp;"生成成长"),2))/((VLOOKUP($B220,INDIRECT($B$5&amp;"生成成长"),4))/(VLOOKUP(C$72,INDIRECT($C$5&amp;"生成成长"),5))*(VLOOKUP($B$5,标准坦克设计!$B$24:$U$30,MATCH("对"&amp;LEFT($C$5,2)&amp;"输出",标准坦克设计!$B$23:$U$23,0)))*(VLOOKUP($B220,INDIRECT($B$5&amp;"生成成长"),3))*(VLOOKUP($B$5,标准坦克设计!$B$14:$K$20,9)/30))</f>
        <v>1.1490463809156488</v>
      </c>
      <c r="D220" s="173">
        <f ca="1">(VLOOKUP(D$72,INDIRECT($C$5&amp;"生成成长"),2))/((VLOOKUP($B220,INDIRECT($B$5&amp;"生成成长"),4))/(VLOOKUP(D$72,INDIRECT($C$5&amp;"生成成长"),5))*(VLOOKUP($B$5,标准坦克设计!$B$24:$U$30,MATCH("对"&amp;LEFT($C$5,2)&amp;"输出",标准坦克设计!$B$23:$U$23,0)))*(VLOOKUP($B220,INDIRECT($B$5&amp;"生成成长"),3))*(VLOOKUP($B$5,标准坦克设计!$B$14:$K$20,9)/30))</f>
        <v>1.2910685135968232</v>
      </c>
      <c r="E220" s="173">
        <f ca="1">(VLOOKUP(E$72,INDIRECT($C$5&amp;"生成成长"),2))/((VLOOKUP($B220,INDIRECT($B$5&amp;"生成成长"),4))/(VLOOKUP(E$72,INDIRECT($C$5&amp;"生成成长"),5))*(VLOOKUP($B$5,标准坦克设计!$B$24:$U$30,MATCH("对"&amp;LEFT($C$5,2)&amp;"输出",标准坦克设计!$B$23:$U$23,0)))*(VLOOKUP($B220,INDIRECT($B$5&amp;"生成成长"),3))*(VLOOKUP($B$5,标准坦克设计!$B$14:$K$20,9)/30))</f>
        <v>1.4413637802205899</v>
      </c>
      <c r="F220" s="173">
        <f ca="1">(VLOOKUP(F$72,INDIRECT($C$5&amp;"生成成长"),2))/((VLOOKUP($B220,INDIRECT($B$5&amp;"生成成长"),4))/(VLOOKUP(F$72,INDIRECT($C$5&amp;"生成成长"),5))*(VLOOKUP($B$5,标准坦克设计!$B$24:$U$30,MATCH("对"&amp;LEFT($C$5,2)&amp;"输出",标准坦克设计!$B$23:$U$23,0)))*(VLOOKUP($B220,INDIRECT($B$5&amp;"生成成长"),3))*(VLOOKUP($B$5,标准坦克设计!$B$14:$K$20,9)/30))</f>
        <v>1.5999321807869498</v>
      </c>
      <c r="G220" s="173">
        <f ca="1">(VLOOKUP(G$72,INDIRECT($C$5&amp;"生成成长"),2))/((VLOOKUP($B220,INDIRECT($B$5&amp;"生成成长"),4))/(VLOOKUP(G$72,INDIRECT($C$5&amp;"生成成长"),5))*(VLOOKUP($B$5,标准坦克设计!$B$24:$U$30,MATCH("对"&amp;LEFT($C$5,2)&amp;"输出",标准坦克设计!$B$23:$U$23,0)))*(VLOOKUP($B220,INDIRECT($B$5&amp;"生成成长"),3))*(VLOOKUP($B$5,标准坦克设计!$B$14:$K$20,9)/30))</f>
        <v>1.7667737152959015</v>
      </c>
      <c r="H220" s="173">
        <f ca="1">(VLOOKUP(H$72,INDIRECT($C$5&amp;"生成成长"),2))/((VLOOKUP($B220,INDIRECT($B$5&amp;"生成成长"),4))/(VLOOKUP(H$72,INDIRECT($C$5&amp;"生成成长"),5))*(VLOOKUP($B$5,标准坦克设计!$B$24:$U$30,MATCH("对"&amp;LEFT($C$5,2)&amp;"输出",标准坦克设计!$B$23:$U$23,0)))*(VLOOKUP($B220,INDIRECT($B$5&amp;"生成成长"),3))*(VLOOKUP($B$5,标准坦克设计!$B$14:$K$20,9)/30))</f>
        <v>1.5461568101600973</v>
      </c>
      <c r="I220" s="173">
        <f ca="1">(VLOOKUP(I$72,INDIRECT($C$5&amp;"生成成长"),2))/((VLOOKUP($B220,INDIRECT($B$5&amp;"生成成长"),4))/(VLOOKUP(I$72,INDIRECT($C$5&amp;"生成成长"),5))*(VLOOKUP($B$5,标准坦克设计!$B$24:$U$30,MATCH("对"&amp;LEFT($C$5,2)&amp;"输出",标准坦克设计!$B$23:$U$23,0)))*(VLOOKUP($B220,INDIRECT($B$5&amp;"生成成长"),3))*(VLOOKUP($B$5,标准坦克设计!$B$14:$K$20,9)/30))</f>
        <v>1.7667737152959015</v>
      </c>
      <c r="J220" s="173">
        <f ca="1">(VLOOKUP(J$72,INDIRECT($C$5&amp;"生成成长"),2))/((VLOOKUP($B220,INDIRECT($B$5&amp;"生成成长"),4))/(VLOOKUP(J$72,INDIRECT($C$5&amp;"生成成长"),5))*(VLOOKUP($B$5,标准坦克设计!$B$24:$U$30,MATCH("对"&amp;LEFT($C$5,2)&amp;"输出",标准坦克设计!$B$23:$U$23,0)))*(VLOOKUP($B220,INDIRECT($B$5&amp;"生成成长"),3))*(VLOOKUP($B$5,标准坦克设计!$B$14:$K$20,9)/30))</f>
        <v>2.0020984141074263</v>
      </c>
      <c r="K220" s="173">
        <f ca="1">(VLOOKUP(K$72,INDIRECT($C$5&amp;"生成成长"),2))/((VLOOKUP($B220,INDIRECT($B$5&amp;"生成成长"),4))/(VLOOKUP(K$72,INDIRECT($C$5&amp;"生成成长"),5))*(VLOOKUP($B$5,标准坦克设计!$B$24:$U$30,MATCH("对"&amp;LEFT($C$5,2)&amp;"输出",标准坦克设计!$B$23:$U$23,0)))*(VLOOKUP($B220,INDIRECT($B$5&amp;"生成成长"),3))*(VLOOKUP($B$5,标准坦克设计!$B$14:$K$20,9)/30))</f>
        <v>2.252130906594672</v>
      </c>
      <c r="L220" s="173">
        <f ca="1">(VLOOKUP(L$72,INDIRECT($C$5&amp;"生成成长"),2))/((VLOOKUP($B220,INDIRECT($B$5&amp;"生成成长"),4))/(VLOOKUP(L$72,INDIRECT($C$5&amp;"生成成长"),5))*(VLOOKUP($B$5,标准坦克设计!$B$24:$U$30,MATCH("对"&amp;LEFT($C$5,2)&amp;"输出",标准坦克设计!$B$23:$U$23,0)))*(VLOOKUP($B220,INDIRECT($B$5&amp;"生成成长"),3))*(VLOOKUP($B$5,标准坦克设计!$B$14:$K$20,9)/30))</f>
        <v>2.5168711927576375</v>
      </c>
      <c r="M220" s="173">
        <f ca="1">(VLOOKUP(M$72,INDIRECT($C$5&amp;"生成成长"),2))/((VLOOKUP($B220,INDIRECT($B$5&amp;"生成成长"),4))/(VLOOKUP(M$72,INDIRECT($C$5&amp;"生成成长"),5))*(VLOOKUP($B$5,标准坦克设计!$B$24:$U$30,MATCH("对"&amp;LEFT($C$5,2)&amp;"输出",标准坦克设计!$B$23:$U$23,0)))*(VLOOKUP($B220,INDIRECT($B$5&amp;"生成成长"),3))*(VLOOKUP($B$5,标准坦克设计!$B$14:$K$20,9)/30))</f>
        <v>2.7963192725963228</v>
      </c>
      <c r="N220" s="173">
        <f ca="1">(VLOOKUP(N$72,INDIRECT($C$5&amp;"生成成长"),2))/((VLOOKUP($B220,INDIRECT($B$5&amp;"生成成长"),4))/(VLOOKUP(N$72,INDIRECT($C$5&amp;"生成成长"),5))*(VLOOKUP($B$5,标准坦克设计!$B$24:$U$30,MATCH("对"&amp;LEFT($C$5,2)&amp;"输出",标准坦克设计!$B$23:$U$23,0)))*(VLOOKUP($B220,INDIRECT($B$5&amp;"生成成长"),3))*(VLOOKUP($B$5,标准坦克设计!$B$14:$K$20,9)/30))</f>
        <v>3.0904751461107289</v>
      </c>
      <c r="O220" s="173">
        <f ca="1">(VLOOKUP(O$72,INDIRECT($C$5&amp;"生成成长"),2))/((VLOOKUP($B220,INDIRECT($B$5&amp;"生成成长"),4))/(VLOOKUP(O$72,INDIRECT($C$5&amp;"生成成长"),5))*(VLOOKUP($B$5,标准坦克设计!$B$24:$U$30,MATCH("对"&amp;LEFT($C$5,2)&amp;"输出",标准坦克设计!$B$23:$U$23,0)))*(VLOOKUP($B220,INDIRECT($B$5&amp;"生成成长"),3))*(VLOOKUP($B$5,标准坦克设计!$B$14:$K$20,9)/30))</f>
        <v>2.3496849443344106</v>
      </c>
      <c r="P220" s="173">
        <f ca="1">(VLOOKUP(P$72,INDIRECT($C$5&amp;"生成成长"),2))/((VLOOKUP($B220,INDIRECT($B$5&amp;"生成成长"),4))/(VLOOKUP(P$72,INDIRECT($C$5&amp;"生成成长"),5))*(VLOOKUP($B$5,标准坦克设计!$B$24:$U$30,MATCH("对"&amp;LEFT($C$5,2)&amp;"输出",标准坦克设计!$B$23:$U$23,0)))*(VLOOKUP($B220,INDIRECT($B$5&amp;"生成成长"),3))*(VLOOKUP($B$5,标准坦克设计!$B$14:$K$20,9)/30))</f>
        <v>2.6547567584675149</v>
      </c>
      <c r="Q220" s="173">
        <f ca="1">(VLOOKUP(Q$72,INDIRECT($C$5&amp;"生成成长"),2))/((VLOOKUP($B220,INDIRECT($B$5&amp;"生成成长"),4))/(VLOOKUP(Q$72,INDIRECT($C$5&amp;"生成成长"),5))*(VLOOKUP($B$5,标准坦克设计!$B$24:$U$30,MATCH("对"&amp;LEFT($C$5,2)&amp;"输出",标准坦克设计!$B$23:$U$23,0)))*(VLOOKUP($B220,INDIRECT($B$5&amp;"生成成长"),3))*(VLOOKUP($B$5,标准坦克设计!$B$14:$K$20,9)/30))</f>
        <v>2.9784431239714535</v>
      </c>
      <c r="R220" s="173">
        <f ca="1">(VLOOKUP(R$72,INDIRECT($C$5&amp;"生成成长"),2))/((VLOOKUP($B220,INDIRECT($B$5&amp;"生成成长"),4))/(VLOOKUP(R$72,INDIRECT($C$5&amp;"生成成长"),5))*(VLOOKUP($B$5,标准坦克设计!$B$24:$U$30,MATCH("对"&amp;LEFT($C$5,2)&amp;"输出",标准坦克设计!$B$23:$U$23,0)))*(VLOOKUP($B220,INDIRECT($B$5&amp;"生成成长"),3))*(VLOOKUP($B$5,标准坦克设计!$B$14:$K$20,9)/30))</f>
        <v>3.3207440408462254</v>
      </c>
      <c r="S220" s="173">
        <f ca="1">(VLOOKUP(S$72,INDIRECT($C$5&amp;"生成成长"),2))/((VLOOKUP($B220,INDIRECT($B$5&amp;"生成成长"),4))/(VLOOKUP(S$72,INDIRECT($C$5&amp;"生成成长"),5))*(VLOOKUP($B$5,标准坦克设计!$B$24:$U$30,MATCH("对"&amp;LEFT($C$5,2)&amp;"输出",标准坦克设计!$B$23:$U$23,0)))*(VLOOKUP($B220,INDIRECT($B$5&amp;"生成成长"),3))*(VLOOKUP($B$5,标准坦克设计!$B$14:$K$20,9)/30))</f>
        <v>3.6816595090918303</v>
      </c>
      <c r="T220" s="173">
        <f ca="1">(VLOOKUP(T$72,INDIRECT($C$5&amp;"生成成长"),2))/((VLOOKUP($B220,INDIRECT($B$5&amp;"生成成长"),4))/(VLOOKUP(T$72,INDIRECT($C$5&amp;"生成成长"),5))*(VLOOKUP($B$5,标准坦克设计!$B$24:$U$30,MATCH("对"&amp;LEFT($C$5,2)&amp;"输出",标准坦克设计!$B$23:$U$23,0)))*(VLOOKUP($B220,INDIRECT($B$5&amp;"生成成长"),3))*(VLOOKUP($B$5,标准坦克设计!$B$14:$K$20,9)/30))</f>
        <v>4.0611895287082698</v>
      </c>
      <c r="U220" s="173">
        <f ca="1">(VLOOKUP(U$72,INDIRECT($C$5&amp;"生成成长"),2))/((VLOOKUP($B220,INDIRECT($B$5&amp;"生成成长"),4))/(VLOOKUP(U$72,INDIRECT($C$5&amp;"生成成长"),5))*(VLOOKUP($B$5,标准坦克设计!$B$24:$U$30,MATCH("对"&amp;LEFT($C$5,2)&amp;"输出",标准坦克设计!$B$23:$U$23,0)))*(VLOOKUP($B220,INDIRECT($B$5&amp;"生成成长"),3))*(VLOOKUP($B$5,标准坦克设计!$B$14:$K$20,9)/30))</f>
        <v>4.4593340996955417</v>
      </c>
      <c r="V220" s="173">
        <f ca="1">(VLOOKUP(V$72,INDIRECT($C$5&amp;"生成成长"),2))/((VLOOKUP($B220,INDIRECT($B$5&amp;"生成成长"),4))/(VLOOKUP(V$72,INDIRECT($C$5&amp;"生成成长"),5))*(VLOOKUP($B$5,标准坦克设计!$B$24:$U$30,MATCH("对"&amp;LEFT($C$5,2)&amp;"输出",标准坦克设计!$B$23:$U$23,0)))*(VLOOKUP($B220,INDIRECT($B$5&amp;"生成成长"),3))*(VLOOKUP($B$5,标准坦克设计!$B$14:$K$20,9)/30))</f>
        <v>4.8760932220536475</v>
      </c>
      <c r="W220" s="173">
        <f ca="1">(VLOOKUP(W$72,INDIRECT($C$5&amp;"生成成长"),2))/((VLOOKUP($B220,INDIRECT($B$5&amp;"生成成长"),4))/(VLOOKUP(W$72,INDIRECT($C$5&amp;"生成成长"),5))*(VLOOKUP($B$5,标准坦克设计!$B$24:$U$30,MATCH("对"&amp;LEFT($C$5,2)&amp;"输出",标准坦克设计!$B$23:$U$23,0)))*(VLOOKUP($B220,INDIRECT($B$5&amp;"生成成长"),3))*(VLOOKUP($B$5,标准坦克设计!$B$14:$K$20,9)/30))</f>
        <v>5.311466895782587</v>
      </c>
      <c r="X220" s="173">
        <f ca="1">(VLOOKUP(X$72,INDIRECT($C$5&amp;"生成成长"),2))/((VLOOKUP($B220,INDIRECT($B$5&amp;"生成成长"),4))/(VLOOKUP(X$72,INDIRECT($C$5&amp;"生成成长"),5))*(VLOOKUP($B$5,标准坦克设计!$B$24:$U$30,MATCH("对"&amp;LEFT($C$5,2)&amp;"输出",标准坦克设计!$B$23:$U$23,0)))*(VLOOKUP($B220,INDIRECT($B$5&amp;"生成成长"),3))*(VLOOKUP($B$5,标准坦克设计!$B$14:$K$20,9)/30))</f>
        <v>3.8480414250484163</v>
      </c>
      <c r="Y220" s="173">
        <f ca="1">(VLOOKUP(Y$72,INDIRECT($C$5&amp;"生成成长"),2))/((VLOOKUP($B220,INDIRECT($B$5&amp;"生成成长"),4))/(VLOOKUP(Y$72,INDIRECT($C$5&amp;"生成成长"),5))*(VLOOKUP($B$5,标准坦克设计!$B$24:$U$30,MATCH("对"&amp;LEFT($C$5,2)&amp;"输出",标准坦克设计!$B$23:$U$23,0)))*(VLOOKUP($B220,INDIRECT($B$5&amp;"生成成长"),3))*(VLOOKUP($B$5,标准坦克设计!$B$14:$K$20,9)/30))</f>
        <v>4.2800828642726998</v>
      </c>
      <c r="Z220" s="173">
        <f ca="1">(VLOOKUP(Z$72,INDIRECT($C$5&amp;"生成成长"),2))/((VLOOKUP($B220,INDIRECT($B$5&amp;"生成成长"),4))/(VLOOKUP(Z$72,INDIRECT($C$5&amp;"生成成长"),5))*(VLOOKUP($B$5,标准坦克设计!$B$24:$U$30,MATCH("对"&amp;LEFT($C$5,2)&amp;"输出",标准坦克设计!$B$23:$U$23,0)))*(VLOOKUP($B220,INDIRECT($B$5&amp;"生成成长"),3))*(VLOOKUP($B$5,标准坦克设计!$B$14:$K$20,9)/30))</f>
        <v>4.7351052311152975</v>
      </c>
      <c r="AA220" s="173">
        <f ca="1">(VLOOKUP(AA$72,INDIRECT($C$5&amp;"生成成长"),2))/((VLOOKUP($B220,INDIRECT($B$5&amp;"生成成长"),4))/(VLOOKUP(AA$72,INDIRECT($C$5&amp;"生成成长"),5))*(VLOOKUP($B$5,标准坦克设计!$B$24:$U$30,MATCH("对"&amp;LEFT($C$5,2)&amp;"输出",标准坦克设计!$B$23:$U$23,0)))*(VLOOKUP($B220,INDIRECT($B$5&amp;"生成成长"),3))*(VLOOKUP($B$5,标准坦克设计!$B$14:$K$20,9)/30))</f>
        <v>5.2131085255762075</v>
      </c>
      <c r="AB220" s="173">
        <f ca="1">(VLOOKUP(AB$72,INDIRECT($C$5&amp;"生成成长"),2))/((VLOOKUP($B220,INDIRECT($B$5&amp;"生成成长"),4))/(VLOOKUP(AB$72,INDIRECT($C$5&amp;"生成成长"),5))*(VLOOKUP($B$5,标准坦克设计!$B$24:$U$30,MATCH("对"&amp;LEFT($C$5,2)&amp;"输出",标准坦克设计!$B$23:$U$23,0)))*(VLOOKUP($B220,INDIRECT($B$5&amp;"生成成长"),3))*(VLOOKUP($B$5,标准坦克设计!$B$14:$K$20,9)/30))</f>
        <v>5.71409274765543</v>
      </c>
      <c r="AC220" s="173">
        <f ca="1">(VLOOKUP(AC$72,INDIRECT($C$5&amp;"生成成长"),2))/((VLOOKUP($B220,INDIRECT($B$5&amp;"生成成长"),4))/(VLOOKUP(AC$72,INDIRECT($C$5&amp;"生成成长"),5))*(VLOOKUP($B$5,标准坦克设计!$B$24:$U$30,MATCH("对"&amp;LEFT($C$5,2)&amp;"输出",标准坦克设计!$B$23:$U$23,0)))*(VLOOKUP($B220,INDIRECT($B$5&amp;"生成成长"),3))*(VLOOKUP($B$5,标准坦克设计!$B$14:$K$20,9)/30))</f>
        <v>6.2380578973529666</v>
      </c>
      <c r="AD220" s="173">
        <f ca="1">(VLOOKUP(AD$72,INDIRECT($C$5&amp;"生成成长"),2))/((VLOOKUP($B220,INDIRECT($B$5&amp;"生成成长"),4))/(VLOOKUP(AD$72,INDIRECT($C$5&amp;"生成成长"),5))*(VLOOKUP($B$5,标准坦克设计!$B$24:$U$30,MATCH("对"&amp;LEFT($C$5,2)&amp;"输出",标准坦克设计!$B$23:$U$23,0)))*(VLOOKUP($B220,INDIRECT($B$5&amp;"生成成长"),3))*(VLOOKUP($B$5,标准坦克设计!$B$14:$K$20,9)/30))</f>
        <v>6.7850039746688147</v>
      </c>
      <c r="AE220" s="173">
        <f ca="1">(VLOOKUP(AE$72,INDIRECT($C$5&amp;"生成成长"),2))/((VLOOKUP($B220,INDIRECT($B$5&amp;"生成成长"),4))/(VLOOKUP(AE$72,INDIRECT($C$5&amp;"生成成长"),5))*(VLOOKUP($B$5,标准坦克设计!$B$24:$U$30,MATCH("对"&amp;LEFT($C$5,2)&amp;"输出",标准坦克设计!$B$23:$U$23,0)))*(VLOOKUP($B220,INDIRECT($B$5&amp;"生成成长"),3))*(VLOOKUP($B$5,标准坦克设计!$B$14:$K$20,9)/30))</f>
        <v>7.3549309796029769</v>
      </c>
      <c r="AF220" s="173">
        <f ca="1">(VLOOKUP(AF$72,INDIRECT($C$5&amp;"生成成长"),2))/((VLOOKUP($B220,INDIRECT($B$5&amp;"生成成长"),4))/(VLOOKUP(AF$72,INDIRECT($C$5&amp;"生成成长"),5))*(VLOOKUP($B$5,标准坦克设计!$B$24:$U$30,MATCH("对"&amp;LEFT($C$5,2)&amp;"输出",标准坦克设计!$B$23:$U$23,0)))*(VLOOKUP($B220,INDIRECT($B$5&amp;"生成成长"),3))*(VLOOKUP($B$5,标准坦克设计!$B$14:$K$20,9)/30))</f>
        <v>7.9478389121554525</v>
      </c>
      <c r="AG220" s="173">
        <f ca="1">(VLOOKUP(AG$72,INDIRECT($C$5&amp;"生成成长"),2))/((VLOOKUP($B220,INDIRECT($B$5&amp;"生成成长"),4))/(VLOOKUP(AG$72,INDIRECT($C$5&amp;"生成成长"),5))*(VLOOKUP($B$5,标准坦克设计!$B$24:$U$30,MATCH("对"&amp;LEFT($C$5,2)&amp;"输出",标准坦克设计!$B$23:$U$23,0)))*(VLOOKUP($B220,INDIRECT($B$5&amp;"生成成长"),3))*(VLOOKUP($B$5,标准坦克设计!$B$14:$K$20,9)/30))</f>
        <v>8.5637277723262404</v>
      </c>
      <c r="AH220" s="173">
        <f ca="1">(VLOOKUP(AH$72,INDIRECT($C$5&amp;"生成成长"),2))/((VLOOKUP($B220,INDIRECT($B$5&amp;"生成成长"),4))/(VLOOKUP(AH$72,INDIRECT($C$5&amp;"生成成长"),5))*(VLOOKUP($B$5,标准坦克设计!$B$24:$U$30,MATCH("对"&amp;LEFT($C$5,2)&amp;"输出",标准坦克设计!$B$23:$U$23,0)))*(VLOOKUP($B220,INDIRECT($B$5&amp;"生成成长"),3))*(VLOOKUP($B$5,标准坦克设计!$B$14:$K$20,9)/30))</f>
        <v>9.2025975601153398</v>
      </c>
      <c r="AI220" s="173">
        <f ca="1">(VLOOKUP(AI$72,INDIRECT($C$5&amp;"生成成长"),2))/((VLOOKUP($B220,INDIRECT($B$5&amp;"生成成长"),4))/(VLOOKUP(AI$72,INDIRECT($C$5&amp;"生成成长"),5))*(VLOOKUP($B$5,标准坦克设计!$B$24:$U$30,MATCH("对"&amp;LEFT($C$5,2)&amp;"输出",标准坦克设计!$B$23:$U$23,0)))*(VLOOKUP($B220,INDIRECT($B$5&amp;"生成成长"),3))*(VLOOKUP($B$5,标准坦克设计!$B$14:$K$20,9)/30))</f>
        <v>6.5086583200586015</v>
      </c>
      <c r="AJ220" s="173">
        <f ca="1">(VLOOKUP(AJ$72,INDIRECT($C$5&amp;"生成成长"),2))/((VLOOKUP($B220,INDIRECT($B$5&amp;"生成成长"),4))/(VLOOKUP(AJ$72,INDIRECT($C$5&amp;"生成成长"),5))*(VLOOKUP($B$5,标准坦克设计!$B$24:$U$30,MATCH("对"&amp;LEFT($C$5,2)&amp;"输出",标准坦克设计!$B$23:$U$23,0)))*(VLOOKUP($B220,INDIRECT($B$5&amp;"生成成长"),3))*(VLOOKUP($B$5,标准坦克设计!$B$14:$K$20,9)/30))</f>
        <v>7.124202466315114</v>
      </c>
      <c r="AK220" s="173">
        <f ca="1">(VLOOKUP(AK$72,INDIRECT($C$5&amp;"生成成长"),2))/((VLOOKUP($B220,INDIRECT($B$5&amp;"生成成长"),4))/(VLOOKUP(AK$72,INDIRECT($C$5&amp;"生成成长"),5))*(VLOOKUP($B$5,标准坦克设计!$B$24:$U$30,MATCH("对"&amp;LEFT($C$5,2)&amp;"输出",标准坦克设计!$B$23:$U$23,0)))*(VLOOKUP($B220,INDIRECT($B$5&amp;"生成成长"),3))*(VLOOKUP($B$5,标准坦克设计!$B$14:$K$20,9)/30))</f>
        <v>7.7675535349897871</v>
      </c>
      <c r="AL220" s="173">
        <f ca="1">(VLOOKUP(AL$72,INDIRECT($C$5&amp;"生成成长"),2))/((VLOOKUP($B220,INDIRECT($B$5&amp;"生成成长"),4))/(VLOOKUP(AL$72,INDIRECT($C$5&amp;"生成成长"),5))*(VLOOKUP($B$5,标准坦克设计!$B$24:$U$30,MATCH("对"&amp;LEFT($C$5,2)&amp;"输出",标准坦克设计!$B$23:$U$23,0)))*(VLOOKUP($B220,INDIRECT($B$5&amp;"生成成长"),3))*(VLOOKUP($B$5,标准坦克设计!$B$14:$K$20,9)/30))</f>
        <v>8.4387115260826171</v>
      </c>
      <c r="AM220" s="173">
        <f ca="1">(VLOOKUP(AM$72,INDIRECT($C$5&amp;"生成成长"),2))/((VLOOKUP($B220,INDIRECT($B$5&amp;"生成成长"),4))/(VLOOKUP(AM$72,INDIRECT($C$5&amp;"生成成长"),5))*(VLOOKUP($B$5,标准坦克设计!$B$24:$U$30,MATCH("对"&amp;LEFT($C$5,2)&amp;"输出",标准坦克设计!$B$23:$U$23,0)))*(VLOOKUP($B220,INDIRECT($B$5&amp;"生成成长"),3))*(VLOOKUP($B$5,标准坦克设计!$B$14:$K$20,9)/30))</f>
        <v>9.1376764395936068</v>
      </c>
      <c r="AN220" s="173">
        <f ca="1">(VLOOKUP(AN$72,INDIRECT($C$5&amp;"生成成长"),2))/((VLOOKUP($B220,INDIRECT($B$5&amp;"生成成长"),4))/(VLOOKUP(AN$72,INDIRECT($C$5&amp;"生成成长"),5))*(VLOOKUP($B$5,标准坦克设计!$B$24:$U$30,MATCH("对"&amp;LEFT($C$5,2)&amp;"输出",标准坦克设计!$B$23:$U$23,0)))*(VLOOKUP($B220,INDIRECT($B$5&amp;"生成成长"),3))*(VLOOKUP($B$5,标准坦克设计!$B$14:$K$20,9)/30))</f>
        <v>9.8644482755227525</v>
      </c>
      <c r="AO220" s="173">
        <f ca="1">(VLOOKUP(AO$72,INDIRECT($C$5&amp;"生成成长"),2))/((VLOOKUP($B220,INDIRECT($B$5&amp;"生成成长"),4))/(VLOOKUP(AO$72,INDIRECT($C$5&amp;"生成成长"),5))*(VLOOKUP($B$5,标准坦克设计!$B$24:$U$30,MATCH("对"&amp;LEFT($C$5,2)&amp;"输出",标准坦克设计!$B$23:$U$23,0)))*(VLOOKUP($B220,INDIRECT($B$5&amp;"生成成长"),3))*(VLOOKUP($B$5,标准坦克设计!$B$14:$K$20,9)/30))</f>
        <v>10.61902703387006</v>
      </c>
      <c r="AP220" s="173">
        <f ca="1">(VLOOKUP(AP$72,INDIRECT($C$5&amp;"生成成长"),2))/((VLOOKUP($B220,INDIRECT($B$5&amp;"生成成长"),4))/(VLOOKUP(AP$72,INDIRECT($C$5&amp;"生成成长"),5))*(VLOOKUP($B$5,标准坦克设计!$B$24:$U$30,MATCH("对"&amp;LEFT($C$5,2)&amp;"输出",标准坦克设计!$B$23:$U$23,0)))*(VLOOKUP($B220,INDIRECT($B$5&amp;"生成成长"),3))*(VLOOKUP($B$5,标准坦克设计!$B$14:$K$20,9)/30))</f>
        <v>11.401412714635526</v>
      </c>
      <c r="AQ220" s="173">
        <f ca="1">(VLOOKUP(AQ$72,INDIRECT($C$5&amp;"生成成长"),2))/((VLOOKUP($B220,INDIRECT($B$5&amp;"生成成长"),4))/(VLOOKUP(AQ$72,INDIRECT($C$5&amp;"生成成长"),5))*(VLOOKUP($B$5,标准坦克设计!$B$24:$U$30,MATCH("对"&amp;LEFT($C$5,2)&amp;"输出",标准坦克设计!$B$23:$U$23,0)))*(VLOOKUP($B220,INDIRECT($B$5&amp;"生成成长"),3))*(VLOOKUP($B$5,标准坦克设计!$B$14:$K$20,9)/30))</f>
        <v>12.211605317819151</v>
      </c>
      <c r="AR220" s="173">
        <f ca="1">(VLOOKUP(AR$72,INDIRECT($C$5&amp;"生成成长"),2))/((VLOOKUP($B220,INDIRECT($B$5&amp;"生成成长"),4))/(VLOOKUP(AR$72,INDIRECT($C$5&amp;"生成成长"),5))*(VLOOKUP($B$5,标准坦克设计!$B$24:$U$30,MATCH("对"&amp;LEFT($C$5,2)&amp;"输出",标准坦克设计!$B$23:$U$23,0)))*(VLOOKUP($B220,INDIRECT($B$5&amp;"生成成长"),3))*(VLOOKUP($B$5,标准坦克设计!$B$14:$K$20,9)/30))</f>
        <v>13.049604843420932</v>
      </c>
      <c r="AS220" s="173">
        <f ca="1">(VLOOKUP(AS$72,INDIRECT($C$5&amp;"生成成长"),2))/((VLOOKUP($B220,INDIRECT($B$5&amp;"生成成长"),4))/(VLOOKUP(AS$72,INDIRECT($C$5&amp;"生成成长"),5))*(VLOOKUP($B$5,标准坦克设计!$B$24:$U$30,MATCH("对"&amp;LEFT($C$5,2)&amp;"输出",标准坦克设计!$B$23:$U$23,0)))*(VLOOKUP($B220,INDIRECT($B$5&amp;"生成成长"),3))*(VLOOKUP($B$5,标准坦克设计!$B$14:$K$20,9)/30))</f>
        <v>13.915411291440876</v>
      </c>
      <c r="AT220" s="173">
        <f ca="1">(VLOOKUP(AT$72,INDIRECT($C$5&amp;"生成成长"),2))/((VLOOKUP($B220,INDIRECT($B$5&amp;"生成成长"),4))/(VLOOKUP(AT$72,INDIRECT($C$5&amp;"生成成长"),5))*(VLOOKUP($B$5,标准坦克设计!$B$24:$U$30,MATCH("对"&amp;LEFT($C$5,2)&amp;"输出",标准坦克设计!$B$23:$U$23,0)))*(VLOOKUP($B220,INDIRECT($B$5&amp;"生成成长"),3))*(VLOOKUP($B$5,标准坦克设计!$B$14:$K$20,9)/30))</f>
        <v>14.809024661878974</v>
      </c>
      <c r="AU220" s="173">
        <f ca="1">(VLOOKUP(AU$72,INDIRECT($C$5&amp;"生成成长"),2))/((VLOOKUP($B220,INDIRECT($B$5&amp;"生成成长"),4))/(VLOOKUP(AU$72,INDIRECT($C$5&amp;"生成成长"),5))*(VLOOKUP($B$5,标准坦克设计!$B$24:$U$30,MATCH("对"&amp;LEFT($C$5,2)&amp;"输出",标准坦克设计!$B$23:$U$23,0)))*(VLOOKUP($B220,INDIRECT($B$5&amp;"生成成长"),3))*(VLOOKUP($B$5,标准坦克设计!$B$14:$K$20,9)/30))</f>
        <v>15.730444954735233</v>
      </c>
      <c r="AV220" s="173">
        <f ca="1">(VLOOKUP(AV$72,INDIRECT($C$5&amp;"生成成长"),2))/((VLOOKUP($B220,INDIRECT($B$5&amp;"生成成长"),4))/(VLOOKUP(AV$72,INDIRECT($C$5&amp;"生成成长"),5))*(VLOOKUP($B$5,标准坦克设计!$B$24:$U$30,MATCH("对"&amp;LEFT($C$5,2)&amp;"输出",标准坦克设计!$B$23:$U$23,0)))*(VLOOKUP($B220,INDIRECT($B$5&amp;"生成成长"),3))*(VLOOKUP($B$5,标准坦克设计!$B$14:$K$20,9)/30))</f>
        <v>1.5999321807869498</v>
      </c>
      <c r="AW220" s="173">
        <f ca="1">(VLOOKUP(AW$72,INDIRECT($C$5&amp;"生成成长"),2))/((VLOOKUP($B220,INDIRECT($B$5&amp;"生成成长"),4))/(VLOOKUP(AW$72,INDIRECT($C$5&amp;"生成成长"),5))*(VLOOKUP($B$5,标准坦克设计!$B$24:$U$30,MATCH("对"&amp;LEFT($C$5,2)&amp;"输出",标准坦克设计!$B$23:$U$23,0)))*(VLOOKUP($B220,INDIRECT($B$5&amp;"生成成长"),3))*(VLOOKUP($B$5,标准坦克设计!$B$14:$K$20,9)/30))</f>
        <v>1.8242260343416841</v>
      </c>
      <c r="AX220" s="173">
        <f ca="1">(VLOOKUP(AX$72,INDIRECT($C$5&amp;"生成成长"),2))/((VLOOKUP($B220,INDIRECT($B$5&amp;"生成成长"),4))/(VLOOKUP(AX$72,INDIRECT($C$5&amp;"生成成长"),5))*(VLOOKUP($B$5,标准坦克设计!$B$24:$U$30,MATCH("对"&amp;LEFT($C$5,2)&amp;"输出",标准坦克设计!$B$23:$U$23,0)))*(VLOOKUP($B220,INDIRECT($B$5&amp;"生成成长"),3))*(VLOOKUP($B$5,标准坦克设计!$B$14:$K$20,9)/30))</f>
        <v>2.0632276815721391</v>
      </c>
      <c r="AY220" s="173">
        <f ca="1">(VLOOKUP(AY$72,INDIRECT($C$5&amp;"生成成长"),2))/((VLOOKUP($B220,INDIRECT($B$5&amp;"生成成长"),4))/(VLOOKUP(AY$72,INDIRECT($C$5&amp;"生成成长"),5))*(VLOOKUP($B$5,标准坦克设计!$B$24:$U$30,MATCH("对"&amp;LEFT($C$5,2)&amp;"输出",标准坦克设计!$B$23:$U$23,0)))*(VLOOKUP($B220,INDIRECT($B$5&amp;"生成成长"),3))*(VLOOKUP($B$5,标准坦克设计!$B$14:$K$20,9)/30))</f>
        <v>2.3169371224783144</v>
      </c>
      <c r="AZ220" s="173">
        <f ca="1">(VLOOKUP(AZ$72,INDIRECT($C$5&amp;"生成成长"),2))/((VLOOKUP($B220,INDIRECT($B$5&amp;"生成成长"),4))/(VLOOKUP(AZ$72,INDIRECT($C$5&amp;"生成成长"),5))*(VLOOKUP($B$5,标准坦克设计!$B$24:$U$30,MATCH("对"&amp;LEFT($C$5,2)&amp;"输出",标准坦克设计!$B$23:$U$23,0)))*(VLOOKUP($B220,INDIRECT($B$5&amp;"生成成长"),3))*(VLOOKUP($B$5,标准坦克设计!$B$14:$K$20,9)/30))</f>
        <v>2.5853543570602104</v>
      </c>
      <c r="BA220" s="173">
        <f ca="1">(VLOOKUP(BA$72,INDIRECT($C$5&amp;"生成成长"),2))/((VLOOKUP($B220,INDIRECT($B$5&amp;"生成成长"),4))/(VLOOKUP(BA$72,INDIRECT($C$5&amp;"生成成长"),5))*(VLOOKUP($B$5,标准坦克设计!$B$24:$U$30,MATCH("对"&amp;LEFT($C$5,2)&amp;"输出",标准坦克设计!$B$23:$U$23,0)))*(VLOOKUP($B220,INDIRECT($B$5&amp;"生成成长"),3))*(VLOOKUP($B$5,标准坦克设计!$B$14:$K$20,9)/30))</f>
        <v>2.8684793853178259</v>
      </c>
      <c r="BB220" s="173">
        <f ca="1">(VLOOKUP(BB$72,INDIRECT($C$5&amp;"生成成长"),2))/((VLOOKUP($B220,INDIRECT($B$5&amp;"生成成长"),4))/(VLOOKUP(BB$72,INDIRECT($C$5&amp;"生成成长"),5))*(VLOOKUP($B$5,标准坦克设计!$B$24:$U$30,MATCH("对"&amp;LEFT($C$5,2)&amp;"输出",标准坦克设计!$B$23:$U$23,0)))*(VLOOKUP($B220,INDIRECT($B$5&amp;"生成成长"),3))*(VLOOKUP($B$5,标准坦克设计!$B$14:$K$20,9)/30))</f>
        <v>3.1663122072511616</v>
      </c>
      <c r="BC220" s="173">
        <f ca="1">(VLOOKUP(BC$72,INDIRECT($C$5&amp;"生成成长"),2))/((VLOOKUP($B220,INDIRECT($B$5&amp;"生成成长"),4))/(VLOOKUP(BC$72,INDIRECT($C$5&amp;"生成成长"),5))*(VLOOKUP($B$5,标准坦克设计!$B$24:$U$30,MATCH("对"&amp;LEFT($C$5,2)&amp;"输出",标准坦克设计!$B$23:$U$23,0)))*(VLOOKUP($B220,INDIRECT($B$5&amp;"生成成长"),3))*(VLOOKUP($B$5,标准坦克设计!$B$14:$K$20,9)/30))</f>
        <v>3.4788528228602189</v>
      </c>
      <c r="BD220" s="173">
        <f ca="1">(VLOOKUP(BD$72,INDIRECT($C$5&amp;"生成成长"),2))/((VLOOKUP($B220,INDIRECT($B$5&amp;"生成成长"),4))/(VLOOKUP(BD$72,INDIRECT($C$5&amp;"生成成长"),5))*(VLOOKUP($B$5,标准坦克设计!$B$24:$U$30,MATCH("对"&amp;LEFT($C$5,2)&amp;"输出",标准坦克设计!$B$23:$U$23,0)))*(VLOOKUP($B220,INDIRECT($B$5&amp;"生成成长"),3))*(VLOOKUP($B$5,标准坦克设计!$B$14:$K$20,9)/30))</f>
        <v>3.8480414250484163</v>
      </c>
      <c r="BE220" s="173">
        <f ca="1">(VLOOKUP(BE$72,INDIRECT($C$5&amp;"生成成长"),2))/((VLOOKUP($B220,INDIRECT($B$5&amp;"生成成长"),4))/(VLOOKUP(BE$72,INDIRECT($C$5&amp;"生成成长"),5))*(VLOOKUP($B$5,标准坦克设计!$B$24:$U$30,MATCH("对"&amp;LEFT($C$5,2)&amp;"输出",标准坦克设计!$B$23:$U$23,0)))*(VLOOKUP($B220,INDIRECT($B$5&amp;"生成成长"),3))*(VLOOKUP($B$5,标准坦克设计!$B$14:$K$20,9)/30))</f>
        <v>4.2358445786074483</v>
      </c>
      <c r="BF220" s="173">
        <f ca="1">(VLOOKUP(BF$72,INDIRECT($C$5&amp;"生成成长"),2))/((VLOOKUP($B220,INDIRECT($B$5&amp;"生成成长"),4))/(VLOOKUP(BF$72,INDIRECT($C$5&amp;"生成成长"),5))*(VLOOKUP($B$5,标准坦克设计!$B$24:$U$30,MATCH("对"&amp;LEFT($C$5,2)&amp;"输出",标准坦克设计!$B$23:$U$23,0)))*(VLOOKUP($B220,INDIRECT($B$5&amp;"生成成长"),3))*(VLOOKUP($B$5,标准坦克设计!$B$14:$K$20,9)/30))</f>
        <v>4.6422622835373124</v>
      </c>
      <c r="BG220" s="173">
        <f ca="1">(VLOOKUP(BG$72,INDIRECT($C$5&amp;"生成成长"),2))/((VLOOKUP($B220,INDIRECT($B$5&amp;"生成成长"),4))/(VLOOKUP(BG$72,INDIRECT($C$5&amp;"生成成长"),5))*(VLOOKUP($B$5,标准坦克设计!$B$24:$U$30,MATCH("对"&amp;LEFT($C$5,2)&amp;"输出",标准坦克设计!$B$23:$U$23,0)))*(VLOOKUP($B220,INDIRECT($B$5&amp;"生成成长"),3))*(VLOOKUP($B$5,标准坦克设计!$B$14:$K$20,9)/30))</f>
        <v>5.067294539838012</v>
      </c>
      <c r="BH220" s="173">
        <f ca="1">(VLOOKUP(BH$72,INDIRECT($C$5&amp;"生成成长"),2))/((VLOOKUP($B220,INDIRECT($B$5&amp;"生成成长"),4))/(VLOOKUP(BH$72,INDIRECT($C$5&amp;"生成成长"),5))*(VLOOKUP($B$5,标准坦克设计!$B$24:$U$30,MATCH("对"&amp;LEFT($C$5,2)&amp;"输出",标准坦克设计!$B$23:$U$23,0)))*(VLOOKUP($B220,INDIRECT($B$5&amp;"生成成长"),3))*(VLOOKUP($B$5,标准坦克设计!$B$14:$K$20,9)/30))</f>
        <v>2.4493072655597969</v>
      </c>
      <c r="BI220" s="173">
        <f ca="1">(VLOOKUP(BI$72,INDIRECT($C$5&amp;"生成成长"),2))/((VLOOKUP($B220,INDIRECT($B$5&amp;"生成成长"),4))/(VLOOKUP(BI$72,INDIRECT($C$5&amp;"生成成长"),5))*(VLOOKUP($B$5,标准坦克设计!$B$24:$U$30,MATCH("对"&amp;LEFT($C$5,2)&amp;"输出",标准坦克设计!$B$23:$U$23,0)))*(VLOOKUP($B220,INDIRECT($B$5&amp;"生成成长"),3))*(VLOOKUP($B$5,标准坦克设计!$B$14:$K$20,9)/30))</f>
        <v>2.7605839301498465</v>
      </c>
      <c r="BJ220" s="173">
        <f ca="1">(VLOOKUP(BJ$72,INDIRECT($C$5&amp;"生成成长"),2))/((VLOOKUP($B220,INDIRECT($B$5&amp;"生成成长"),4))/(VLOOKUP(BJ$72,INDIRECT($C$5&amp;"生成成长"),5))*(VLOOKUP($B$5,标准坦克设计!$B$24:$U$30,MATCH("对"&amp;LEFT($C$5,2)&amp;"输出",标准坦克设计!$B$23:$U$23,0)))*(VLOOKUP($B220,INDIRECT($B$5&amp;"生成成长"),3))*(VLOOKUP($B$5,标准坦克设计!$B$14:$K$20,9)/30))</f>
        <v>3.0904751461107289</v>
      </c>
      <c r="BK220" s="173">
        <f ca="1">(VLOOKUP(BK$72,INDIRECT($C$5&amp;"生成成长"),2))/((VLOOKUP($B220,INDIRECT($B$5&amp;"生成成长"),4))/(VLOOKUP(BK$72,INDIRECT($C$5&amp;"生成成长"),5))*(VLOOKUP($B$5,标准坦克设计!$B$24:$U$30,MATCH("对"&amp;LEFT($C$5,2)&amp;"输出",标准坦克设计!$B$23:$U$23,0)))*(VLOOKUP($B220,INDIRECT($B$5&amp;"生成成长"),3))*(VLOOKUP($B$5,标准坦克设计!$B$14:$K$20,9)/30))</f>
        <v>3.4389809134424456</v>
      </c>
      <c r="BL220" s="173">
        <f ca="1">(VLOOKUP(BL$72,INDIRECT($C$5&amp;"生成成长"),2))/((VLOOKUP($B220,INDIRECT($B$5&amp;"生成成长"),4))/(VLOOKUP(BL$72,INDIRECT($C$5&amp;"生成成长"),5))*(VLOOKUP($B$5,标准坦克设计!$B$24:$U$30,MATCH("对"&amp;LEFT($C$5,2)&amp;"输出",标准坦克设计!$B$23:$U$23,0)))*(VLOOKUP($B220,INDIRECT($B$5&amp;"生成成长"),3))*(VLOOKUP($B$5,标准坦克设计!$B$14:$K$20,9)/30))</f>
        <v>3.8061012321449952</v>
      </c>
      <c r="BM220" s="173">
        <f ca="1">(VLOOKUP(BM$72,INDIRECT($C$5&amp;"生成成长"),2))/((VLOOKUP($B220,INDIRECT($B$5&amp;"生成成长"),4))/(VLOOKUP(BM$72,INDIRECT($C$5&amp;"生成成长"),5))*(VLOOKUP($B$5,标准坦克设计!$B$24:$U$30,MATCH("对"&amp;LEFT($C$5,2)&amp;"输出",标准坦克设计!$B$23:$U$23,0)))*(VLOOKUP($B220,INDIRECT($B$5&amp;"生成成长"),3))*(VLOOKUP($B$5,标准坦克设计!$B$14:$K$20,9)/30))</f>
        <v>4.191836102218379</v>
      </c>
      <c r="BN220" s="173">
        <f ca="1">(VLOOKUP(BN$72,INDIRECT($C$5&amp;"生成成长"),2))/((VLOOKUP($B220,INDIRECT($B$5&amp;"生成成长"),4))/(VLOOKUP(BN$72,INDIRECT($C$5&amp;"生成成长"),5))*(VLOOKUP($B$5,标准坦克设计!$B$24:$U$30,MATCH("对"&amp;LEFT($C$5,2)&amp;"输出",标准坦克设计!$B$23:$U$23,0)))*(VLOOKUP($B220,INDIRECT($B$5&amp;"生成成长"),3))*(VLOOKUP($B$5,标准坦克设计!$B$14:$K$20,9)/30))</f>
        <v>4.5961855236625953</v>
      </c>
      <c r="BO220" s="173">
        <f ca="1">(VLOOKUP(BO$72,INDIRECT($C$5&amp;"生成成长"),2))/((VLOOKUP($B220,INDIRECT($B$5&amp;"生成成长"),4))/(VLOOKUP(BO$72,INDIRECT($C$5&amp;"生成成长"),5))*(VLOOKUP($B$5,标准坦克设计!$B$24:$U$30,MATCH("对"&amp;LEFT($C$5,2)&amp;"输出",标准坦克设计!$B$23:$U$23,0)))*(VLOOKUP($B220,INDIRECT($B$5&amp;"生成成长"),3))*(VLOOKUP($B$5,标准坦克设计!$B$14:$K$20,9)/30))</f>
        <v>5.0191494964776453</v>
      </c>
      <c r="BP220" s="173">
        <f ca="1">(VLOOKUP(BP$72,INDIRECT($C$5&amp;"生成成长"),2))/((VLOOKUP($B220,INDIRECT($B$5&amp;"生成成长"),4))/(VLOOKUP(BP$72,INDIRECT($C$5&amp;"生成成长"),5))*(VLOOKUP($B$5,标准坦克设计!$B$24:$U$30,MATCH("对"&amp;LEFT($C$5,2)&amp;"输出",标准坦克设计!$B$23:$U$23,0)))*(VLOOKUP($B220,INDIRECT($B$5&amp;"生成成长"),3))*(VLOOKUP($B$5,标准坦克设计!$B$14:$K$20,9)/30))</f>
        <v>5.4607280206635291</v>
      </c>
      <c r="BQ220" s="173">
        <f ca="1">(VLOOKUP(BQ$72,INDIRECT($C$5&amp;"生成成长"),2))/((VLOOKUP($B220,INDIRECT($B$5&amp;"生成成长"),4))/(VLOOKUP(BQ$72,INDIRECT($C$5&amp;"生成成长"),5))*(VLOOKUP($B$5,标准坦克设计!$B$24:$U$30,MATCH("对"&amp;LEFT($C$5,2)&amp;"输出",标准坦克设计!$B$23:$U$23,0)))*(VLOOKUP($B220,INDIRECT($B$5&amp;"生成成长"),3))*(VLOOKUP($B$5,标准坦克设计!$B$14:$K$20,9)/30))</f>
        <v>5.9209210962202459</v>
      </c>
      <c r="BR220" s="173">
        <f ca="1">(VLOOKUP(BR$72,INDIRECT($C$5&amp;"生成成长"),2))/((VLOOKUP($B220,INDIRECT($B$5&amp;"生成成长"),4))/(VLOOKUP(BR$72,INDIRECT($C$5&amp;"生成成长"),5))*(VLOOKUP($B$5,标准坦克设计!$B$24:$U$30,MATCH("对"&amp;LEFT($C$5,2)&amp;"输出",标准坦克设计!$B$23:$U$23,0)))*(VLOOKUP($B220,INDIRECT($B$5&amp;"生成成长"),3))*(VLOOKUP($B$5,标准坦克设计!$B$14:$K$20,9)/30))</f>
        <v>6.4540786169651092</v>
      </c>
      <c r="BS220" s="173">
        <f ca="1">(VLOOKUP(BS$72,INDIRECT($C$5&amp;"生成成长"),2))/((VLOOKUP($B220,INDIRECT($B$5&amp;"生成成长"),4))/(VLOOKUP(BS$72,INDIRECT($C$5&amp;"生成成长"),5))*(VLOOKUP($B$5,标准坦克设计!$B$24:$U$30,MATCH("对"&amp;LEFT($C$5,2)&amp;"输出",标准坦克设计!$B$23:$U$23,0)))*(VLOOKUP($B220,INDIRECT($B$5&amp;"生成成长"),3))*(VLOOKUP($B$5,标准坦克设计!$B$14:$K$20,9)/30))</f>
        <v>7.0102170653282831</v>
      </c>
      <c r="BT220" s="173">
        <f ca="1">(VLOOKUP(BT$72,INDIRECT($C$5&amp;"生成成长"),2))/((VLOOKUP($B220,INDIRECT($B$5&amp;"生成成长"),4))/(VLOOKUP(BT$72,INDIRECT($C$5&amp;"生成成长"),5))*(VLOOKUP($B$5,标准坦克设计!$B$24:$U$30,MATCH("对"&amp;LEFT($C$5,2)&amp;"输出",标准坦克设计!$B$23:$U$23,0)))*(VLOOKUP($B220,INDIRECT($B$5&amp;"生成成长"),3))*(VLOOKUP($B$5,标准坦克设计!$B$14:$K$20,9)/30))</f>
        <v>7.5893364413097695</v>
      </c>
      <c r="BU220" s="173">
        <f ca="1">(VLOOKUP(BU$72,INDIRECT($C$5&amp;"生成成长"),2))/((VLOOKUP($B220,INDIRECT($B$5&amp;"生成成长"),4))/(VLOOKUP(BU$72,INDIRECT($C$5&amp;"生成成长"),5))*(VLOOKUP($B$5,标准坦克设计!$B$24:$U$30,MATCH("对"&amp;LEFT($C$5,2)&amp;"输出",标准坦克设计!$B$23:$U$23,0)))*(VLOOKUP($B220,INDIRECT($B$5&amp;"生成成长"),3))*(VLOOKUP($B$5,标准坦克设计!$B$14:$K$20,9)/30))</f>
        <v>8.19143674490957</v>
      </c>
      <c r="BV220" s="173">
        <f ca="1">(VLOOKUP(BV$72,INDIRECT($C$5&amp;"生成成长"),2))/((VLOOKUP($B220,INDIRECT($B$5&amp;"生成成长"),4))/(VLOOKUP(BV$72,INDIRECT($C$5&amp;"生成成长"),5))*(VLOOKUP($B$5,标准坦克设计!$B$24:$U$30,MATCH("对"&amp;LEFT($C$5,2)&amp;"输出",标准坦克设计!$B$23:$U$23,0)))*(VLOOKUP($B220,INDIRECT($B$5&amp;"生成成长"),3))*(VLOOKUP($B$5,标准坦克设计!$B$14:$K$20,9)/30))</f>
        <v>8.8165179761276828</v>
      </c>
      <c r="BW220" s="173">
        <f ca="1">(VLOOKUP(BW$72,INDIRECT($C$5&amp;"生成成长"),2))/((VLOOKUP($B220,INDIRECT($B$5&amp;"生成成长"),4))/(VLOOKUP(BW$72,INDIRECT($C$5&amp;"生成成长"),5))*(VLOOKUP($B$5,标准坦克设计!$B$24:$U$30,MATCH("对"&amp;LEFT($C$5,2)&amp;"输出",标准坦克设计!$B$23:$U$23,0)))*(VLOOKUP($B220,INDIRECT($B$5&amp;"生成成长"),3))*(VLOOKUP($B$5,标准坦克设计!$B$14:$K$20,9)/30))</f>
        <v>4.0181002894239324</v>
      </c>
      <c r="BX220" s="173">
        <f ca="1">(VLOOKUP(BX$72,INDIRECT($C$5&amp;"生成成长"),2))/((VLOOKUP($B220,INDIRECT($B$5&amp;"生成成长"),4))/(VLOOKUP(BX$72,INDIRECT($C$5&amp;"生成成长"),5))*(VLOOKUP($B$5,标准坦克设计!$B$24:$U$30,MATCH("对"&amp;LEFT($C$5,2)&amp;"输出",标准坦克设计!$B$23:$U$23,0)))*(VLOOKUP($B220,INDIRECT($B$5&amp;"生成成长"),3))*(VLOOKUP($B$5,标准坦克设计!$B$14:$K$20,9)/30))</f>
        <v>4.4593340996955417</v>
      </c>
      <c r="BY220" s="173">
        <f ca="1">(VLOOKUP(BY$72,INDIRECT($C$5&amp;"生成成长"),2))/((VLOOKUP($B220,INDIRECT($B$5&amp;"生成成长"),4))/(VLOOKUP(BY$72,INDIRECT($C$5&amp;"生成成长"),5))*(VLOOKUP($B$5,标准坦克设计!$B$24:$U$30,MATCH("对"&amp;LEFT($C$5,2)&amp;"输出",标准坦克设计!$B$23:$U$23,0)))*(VLOOKUP($B220,INDIRECT($B$5&amp;"生成成长"),3))*(VLOOKUP($B$5,标准坦克设计!$B$14:$K$20,9)/30))</f>
        <v>4.9235488375854635</v>
      </c>
      <c r="BZ220" s="173">
        <f ca="1">(VLOOKUP(BZ$72,INDIRECT($C$5&amp;"生成成长"),2))/((VLOOKUP($B220,INDIRECT($B$5&amp;"生成成长"),4))/(VLOOKUP(BZ$72,INDIRECT($C$5&amp;"生成成长"),5))*(VLOOKUP($B$5,标准坦克设计!$B$24:$U$30,MATCH("对"&amp;LEFT($C$5,2)&amp;"输出",标准坦克设计!$B$23:$U$23,0)))*(VLOOKUP($B220,INDIRECT($B$5&amp;"生成成长"),3))*(VLOOKUP($B$5,标准坦克设计!$B$14:$K$20,9)/30))</f>
        <v>5.4107445030936985</v>
      </c>
      <c r="CA220" s="173">
        <f ca="1">(VLOOKUP(CA$72,INDIRECT($C$5&amp;"生成成长"),2))/((VLOOKUP($B220,INDIRECT($B$5&amp;"生成成长"),4))/(VLOOKUP(CA$72,INDIRECT($C$5&amp;"生成成长"),5))*(VLOOKUP($B$5,标准坦克设计!$B$24:$U$30,MATCH("对"&amp;LEFT($C$5,2)&amp;"输出",标准坦克设计!$B$23:$U$23,0)))*(VLOOKUP($B220,INDIRECT($B$5&amp;"生成成长"),3))*(VLOOKUP($B$5,标准坦克设计!$B$14:$K$20,9)/30))</f>
        <v>5.9209210962202459</v>
      </c>
      <c r="CB220" s="173">
        <f ca="1">(VLOOKUP(CB$72,INDIRECT($C$5&amp;"生成成长"),2))/((VLOOKUP($B220,INDIRECT($B$5&amp;"生成成长"),4))/(VLOOKUP(CB$72,INDIRECT($C$5&amp;"生成成长"),5))*(VLOOKUP($B$5,标准坦克设计!$B$24:$U$30,MATCH("对"&amp;LEFT($C$5,2)&amp;"输出",标准坦克设计!$B$23:$U$23,0)))*(VLOOKUP($B220,INDIRECT($B$5&amp;"生成成长"),3))*(VLOOKUP($B$5,标准坦克设计!$B$14:$K$20,9)/30))</f>
        <v>6.4540786169651092</v>
      </c>
      <c r="CC220" s="173">
        <f ca="1">(VLOOKUP(CC$72,INDIRECT($C$5&amp;"生成成长"),2))/((VLOOKUP($B220,INDIRECT($B$5&amp;"生成成长"),4))/(VLOOKUP(CC$72,INDIRECT($C$5&amp;"生成成长"),5))*(VLOOKUP($B$5,标准坦克设计!$B$24:$U$30,MATCH("对"&amp;LEFT($C$5,2)&amp;"输出",标准坦克设计!$B$23:$U$23,0)))*(VLOOKUP($B220,INDIRECT($B$5&amp;"生成成长"),3))*(VLOOKUP($B$5,标准坦克设计!$B$14:$K$20,9)/30))</f>
        <v>7.0102170653282831</v>
      </c>
      <c r="CD220" s="173">
        <f ca="1">(VLOOKUP(CD$72,INDIRECT($C$5&amp;"生成成长"),2))/((VLOOKUP($B220,INDIRECT($B$5&amp;"生成成长"),4))/(VLOOKUP(CD$72,INDIRECT($C$5&amp;"生成成长"),5))*(VLOOKUP($B$5,标准坦克设计!$B$24:$U$30,MATCH("对"&amp;LEFT($C$5,2)&amp;"输出",标准坦克设计!$B$23:$U$23,0)))*(VLOOKUP($B220,INDIRECT($B$5&amp;"生成成长"),3))*(VLOOKUP($B$5,标准坦克设计!$B$14:$K$20,9)/30))</f>
        <v>7.5893364413097695</v>
      </c>
      <c r="CE220" s="173">
        <f ca="1">(VLOOKUP(CE$72,INDIRECT($C$5&amp;"生成成长"),2))/((VLOOKUP($B220,INDIRECT($B$5&amp;"生成成长"),4))/(VLOOKUP(CE$72,INDIRECT($C$5&amp;"生成成长"),5))*(VLOOKUP($B$5,标准坦克设计!$B$24:$U$30,MATCH("对"&amp;LEFT($C$5,2)&amp;"输出",标准坦克设计!$B$23:$U$23,0)))*(VLOOKUP($B220,INDIRECT($B$5&amp;"生成成长"),3))*(VLOOKUP($B$5,标准坦克设计!$B$14:$K$20,9)/30))</f>
        <v>8.19143674490957</v>
      </c>
      <c r="CF220" s="173">
        <f ca="1">(VLOOKUP(CF$72,INDIRECT($C$5&amp;"生成成长"),2))/((VLOOKUP($B220,INDIRECT($B$5&amp;"生成成长"),4))/(VLOOKUP(CF$72,INDIRECT($C$5&amp;"生成成长"),5))*(VLOOKUP($B$5,标准坦克设计!$B$24:$U$30,MATCH("对"&amp;LEFT($C$5,2)&amp;"输出",标准坦克设计!$B$23:$U$23,0)))*(VLOOKUP($B220,INDIRECT($B$5&amp;"生成成长"),3))*(VLOOKUP($B$5,标准坦克设计!$B$14:$K$20,9)/30))</f>
        <v>8.8165179761276828</v>
      </c>
      <c r="CG220" s="173">
        <f ca="1">(VLOOKUP(CG$72,INDIRECT($C$5&amp;"生成成长"),2))/((VLOOKUP($B220,INDIRECT($B$5&amp;"生成成长"),4))/(VLOOKUP(CG$72,INDIRECT($C$5&amp;"生成成长"),5))*(VLOOKUP($B$5,标准坦克设计!$B$24:$U$30,MATCH("对"&amp;LEFT($C$5,2)&amp;"输出",标准坦克设计!$B$23:$U$23,0)))*(VLOOKUP($B220,INDIRECT($B$5&amp;"生成成长"),3))*(VLOOKUP($B$5,标准坦克设计!$B$14:$K$20,9)/30))</f>
        <v>9.4645801349641072</v>
      </c>
      <c r="CH220" s="173">
        <f ca="1">(VLOOKUP(CH$72,INDIRECT($C$5&amp;"生成成长"),2))/((VLOOKUP($B220,INDIRECT($B$5&amp;"生成成长"),4))/(VLOOKUP(CH$72,INDIRECT($C$5&amp;"生成成长"),5))*(VLOOKUP($B$5,标准坦克设计!$B$24:$U$30,MATCH("对"&amp;LEFT($C$5,2)&amp;"输出",标准坦克设计!$B$23:$U$23,0)))*(VLOOKUP($B220,INDIRECT($B$5&amp;"生成成长"),3))*(VLOOKUP($B$5,标准坦克设计!$B$14:$K$20,9)/30))</f>
        <v>10.135623221418847</v>
      </c>
      <c r="CI220" s="173">
        <f ca="1">(VLOOKUP(CI$72,INDIRECT($C$5&amp;"生成成长"),2))/((VLOOKUP($B220,INDIRECT($B$5&amp;"生成成长"),4))/(VLOOKUP(CI$72,INDIRECT($C$5&amp;"生成成长"),5))*(VLOOKUP($B$5,标准坦克设计!$B$24:$U$30,MATCH("对"&amp;LEFT($C$5,2)&amp;"输出",标准坦克设计!$B$23:$U$23,0)))*(VLOOKUP($B220,INDIRECT($B$5&amp;"生成成长"),3))*(VLOOKUP($B$5,标准坦克设计!$B$14:$K$20,9)/30))</f>
        <v>10.900313587918214</v>
      </c>
      <c r="CJ220" s="173">
        <f ca="1">(VLOOKUP(CJ$72,INDIRECT($C$5&amp;"生成成长"),2))/((VLOOKUP($B220,INDIRECT($B$5&amp;"生成成长"),4))/(VLOOKUP(CJ$72,INDIRECT($C$5&amp;"生成成长"),5))*(VLOOKUP($B$5,标准坦克设计!$B$24:$U$30,MATCH("对"&amp;LEFT($C$5,2)&amp;"输出",标准坦克设计!$B$23:$U$23,0)))*(VLOOKUP($B220,INDIRECT($B$5&amp;"生成成长"),3))*(VLOOKUP($B$5,标准坦克设计!$B$14:$K$20,9)/30))</f>
        <v>11.692810876835733</v>
      </c>
      <c r="CK220" s="173">
        <f ca="1">(VLOOKUP(CK$72,INDIRECT($C$5&amp;"生成成长"),2))/((VLOOKUP($B220,INDIRECT($B$5&amp;"生成成长"),4))/(VLOOKUP(CK$72,INDIRECT($C$5&amp;"生成成长"),5))*(VLOOKUP($B$5,标准坦克设计!$B$24:$U$30,MATCH("对"&amp;LEFT($C$5,2)&amp;"输出",标准坦克设计!$B$23:$U$23,0)))*(VLOOKUP($B220,INDIRECT($B$5&amp;"生成成长"),3))*(VLOOKUP($B$5,标准坦克设计!$B$14:$K$20,9)/30))</f>
        <v>12.513115088171412</v>
      </c>
      <c r="CL220" s="173">
        <f ca="1">(VLOOKUP(CL$72,INDIRECT($C$5&amp;"生成成长"),2))/((VLOOKUP($B220,INDIRECT($B$5&amp;"生成成长"),4))/(VLOOKUP(CL$72,INDIRECT($C$5&amp;"生成成长"),5))*(VLOOKUP($B$5,标准坦克设计!$B$24:$U$30,MATCH("对"&amp;LEFT($C$5,2)&amp;"输出",标准坦克设计!$B$23:$U$23,0)))*(VLOOKUP($B220,INDIRECT($B$5&amp;"生成成长"),3))*(VLOOKUP($B$5,标准坦克设计!$B$14:$K$20,9)/30))</f>
        <v>13.361226221925255</v>
      </c>
      <c r="CM220" s="173">
        <f ca="1">(VLOOKUP(CM$72,INDIRECT($C$5&amp;"生成成长"),2))/((VLOOKUP($B220,INDIRECT($B$5&amp;"生成成长"),4))/(VLOOKUP(CM$72,INDIRECT($C$5&amp;"生成成长"),5))*(VLOOKUP($B$5,标准坦克设计!$B$24:$U$30,MATCH("对"&amp;LEFT($C$5,2)&amp;"输出",标准坦克设计!$B$23:$U$23,0)))*(VLOOKUP($B220,INDIRECT($B$5&amp;"生成成长"),3))*(VLOOKUP($B$5,标准坦克设计!$B$14:$K$20,9)/30))</f>
        <v>14.237144278097254</v>
      </c>
      <c r="CN220" s="173">
        <f ca="1">(VLOOKUP(CN$72,INDIRECT($C$5&amp;"生成成长"),2))/((VLOOKUP($B220,INDIRECT($B$5&amp;"生成成长"),4))/(VLOOKUP(CN$72,INDIRECT($C$5&amp;"生成成长"),5))*(VLOOKUP($B$5,标准坦克设计!$B$24:$U$30,MATCH("对"&amp;LEFT($C$5,2)&amp;"输出",标准坦克设计!$B$23:$U$23,0)))*(VLOOKUP($B220,INDIRECT($B$5&amp;"生成成长"),3))*(VLOOKUP($B$5,标准坦克设计!$B$14:$K$20,9)/30))</f>
        <v>15.140869256687413</v>
      </c>
      <c r="CO220" s="173">
        <f ca="1">(VLOOKUP(CO$72,INDIRECT($C$5&amp;"生成成长"),2))/((VLOOKUP($B220,INDIRECT($B$5&amp;"生成成长"),4))/(VLOOKUP(CO$72,INDIRECT($C$5&amp;"生成成长"),5))*(VLOOKUP($B$5,标准坦克设计!$B$24:$U$30,MATCH("对"&amp;LEFT($C$5,2)&amp;"输出",标准坦克设计!$B$23:$U$23,0)))*(VLOOKUP($B220,INDIRECT($B$5&amp;"生成成长"),3))*(VLOOKUP($B$5,标准坦克设计!$B$14:$K$20,9)/30))</f>
        <v>6.7850039746688147</v>
      </c>
      <c r="CP220" s="173">
        <f ca="1">(VLOOKUP(CP$72,INDIRECT($C$5&amp;"生成成长"),2))/((VLOOKUP($B220,INDIRECT($B$5&amp;"生成成长"),4))/(VLOOKUP(CP$72,INDIRECT($C$5&amp;"生成成长"),5))*(VLOOKUP($B$5,标准坦克设计!$B$24:$U$30,MATCH("对"&amp;LEFT($C$5,2)&amp;"输出",标准坦克设计!$B$23:$U$23,0)))*(VLOOKUP($B220,INDIRECT($B$5&amp;"生成成长"),3))*(VLOOKUP($B$5,标准坦克设计!$B$14:$K$20,9)/30))</f>
        <v>7.4131876311154006</v>
      </c>
      <c r="CQ220" s="173">
        <f ca="1">(VLOOKUP(CQ$72,INDIRECT($C$5&amp;"生成成长"),2))/((VLOOKUP($B220,INDIRECT($B$5&amp;"生成成长"),4))/(VLOOKUP(CQ$72,INDIRECT($C$5&amp;"生成成长"),5))*(VLOOKUP($B$5,标准坦克设计!$B$24:$U$30,MATCH("对"&amp;LEFT($C$5,2)&amp;"输出",标准坦克设计!$B$23:$U$23,0)))*(VLOOKUP($B220,INDIRECT($B$5&amp;"生成成长"),3))*(VLOOKUP($B$5,标准坦克设计!$B$14:$K$20,9)/30))</f>
        <v>8.0691782099801426</v>
      </c>
      <c r="CR220" s="173">
        <f ca="1">(VLOOKUP(CR$72,INDIRECT($C$5&amp;"生成成长"),2))/((VLOOKUP($B220,INDIRECT($B$5&amp;"生成成长"),4))/(VLOOKUP(CR$72,INDIRECT($C$5&amp;"生成成长"),5))*(VLOOKUP($B$5,标准坦克设计!$B$24:$U$30,MATCH("对"&amp;LEFT($C$5,2)&amp;"输出",标准坦克设计!$B$23:$U$23,0)))*(VLOOKUP($B220,INDIRECT($B$5&amp;"生成成长"),3))*(VLOOKUP($B$5,标准坦克设计!$B$14:$K$20,9)/30))</f>
        <v>8.752975711263046</v>
      </c>
      <c r="CS220" s="173">
        <f ca="1">(VLOOKUP(CS$72,INDIRECT($C$5&amp;"生成成长"),2))/((VLOOKUP($B220,INDIRECT($B$5&amp;"生成成长"),4))/(VLOOKUP(CS$72,INDIRECT($C$5&amp;"生成成长"),5))*(VLOOKUP($B$5,标准坦克设计!$B$24:$U$30,MATCH("对"&amp;LEFT($C$5,2)&amp;"输出",标准坦克设计!$B$23:$U$23,0)))*(VLOOKUP($B220,INDIRECT($B$5&amp;"生成成长"),3))*(VLOOKUP($B$5,标准坦克设计!$B$14:$K$20,9)/30))</f>
        <v>9.4645801349641072</v>
      </c>
      <c r="CT220" s="173">
        <f ca="1">(VLOOKUP(CT$72,INDIRECT($C$5&amp;"生成成长"),2))/((VLOOKUP($B220,INDIRECT($B$5&amp;"生成成长"),4))/(VLOOKUP(CT$72,INDIRECT($C$5&amp;"生成成长"),5))*(VLOOKUP($B$5,标准坦克设计!$B$24:$U$30,MATCH("对"&amp;LEFT($C$5,2)&amp;"输出",标准坦克设计!$B$23:$U$23,0)))*(VLOOKUP($B220,INDIRECT($B$5&amp;"生成成长"),3))*(VLOOKUP($B$5,标准坦克设计!$B$14:$K$20,9)/30))</f>
        <v>10.203991481083328</v>
      </c>
      <c r="CU220" s="173">
        <f ca="1">(VLOOKUP(CU$72,INDIRECT($C$5&amp;"生成成长"),2))/((VLOOKUP($B220,INDIRECT($B$5&amp;"生成成长"),4))/(VLOOKUP(CU$72,INDIRECT($C$5&amp;"生成成长"),5))*(VLOOKUP($B$5,标准坦克设计!$B$24:$U$30,MATCH("对"&amp;LEFT($C$5,2)&amp;"输出",标准坦克设计!$B$23:$U$23,0)))*(VLOOKUP($B220,INDIRECT($B$5&amp;"生成成长"),3))*(VLOOKUP($B$5,标准坦克设计!$B$14:$K$20,9)/30))</f>
        <v>10.971209749620705</v>
      </c>
      <c r="CV220" s="173">
        <f ca="1">(VLOOKUP(CV$72,INDIRECT($C$5&amp;"生成成长"),2))/((VLOOKUP($B220,INDIRECT($B$5&amp;"生成成长"),4))/(VLOOKUP(CV$72,INDIRECT($C$5&amp;"生成成长"),5))*(VLOOKUP($B$5,标准坦克设计!$B$24:$U$30,MATCH("对"&amp;LEFT($C$5,2)&amp;"输出",标准坦克设计!$B$23:$U$23,0)))*(VLOOKUP($B220,INDIRECT($B$5&amp;"生成成长"),3))*(VLOOKUP($B$5,标准坦克设计!$B$14:$K$20,9)/30))</f>
        <v>11.766234940576243</v>
      </c>
      <c r="CW220" s="173">
        <f ca="1">(VLOOKUP(CW$72,INDIRECT($C$5&amp;"生成成长"),2))/((VLOOKUP($B220,INDIRECT($B$5&amp;"生成成长"),4))/(VLOOKUP(CW$72,INDIRECT($C$5&amp;"生成成长"),5))*(VLOOKUP($B$5,标准坦克设计!$B$24:$U$30,MATCH("对"&amp;LEFT($C$5,2)&amp;"输出",标准坦克设计!$B$23:$U$23,0)))*(VLOOKUP($B220,INDIRECT($B$5&amp;"生成成长"),3))*(VLOOKUP($B$5,标准坦克设计!$B$14:$K$20,9)/30))</f>
        <v>12.589067053949941</v>
      </c>
      <c r="CX220" s="173">
        <f ca="1">(VLOOKUP(CX$72,INDIRECT($C$5&amp;"生成成长"),2))/((VLOOKUP($B220,INDIRECT($B$5&amp;"生成成长"),4))/(VLOOKUP(CX$72,INDIRECT($C$5&amp;"生成成长"),5))*(VLOOKUP($B$5,标准坦克设计!$B$24:$U$30,MATCH("对"&amp;LEFT($C$5,2)&amp;"输出",标准坦克设计!$B$23:$U$23,0)))*(VLOOKUP($B220,INDIRECT($B$5&amp;"生成成长"),3))*(VLOOKUP($B$5,标准坦克设计!$B$14:$K$20,9)/30))</f>
        <v>13.439706089741795</v>
      </c>
      <c r="CY220" s="173">
        <f ca="1">(VLOOKUP(CY$72,INDIRECT($C$5&amp;"生成成长"),2))/((VLOOKUP($B220,INDIRECT($B$5&amp;"生成成长"),4))/(VLOOKUP(CY$72,INDIRECT($C$5&amp;"生成成长"),5))*(VLOOKUP($B$5,标准坦克设计!$B$24:$U$30,MATCH("对"&amp;LEFT($C$5,2)&amp;"输出",标准坦克设计!$B$23:$U$23,0)))*(VLOOKUP($B220,INDIRECT($B$5&amp;"生成成长"),3))*(VLOOKUP($B$5,标准坦克设计!$B$14:$K$20,9)/30))</f>
        <v>14.318152047951807</v>
      </c>
      <c r="CZ220" s="173">
        <f ca="1">(VLOOKUP(CZ$72,INDIRECT($C$5&amp;"生成成长"),2))/((VLOOKUP($B220,INDIRECT($B$5&amp;"生成成长"),4))/(VLOOKUP(CZ$72,INDIRECT($C$5&amp;"生成成长"),5))*(VLOOKUP($B$5,标准坦克设计!$B$24:$U$30,MATCH("对"&amp;LEFT($C$5,2)&amp;"输出",标准坦克设计!$B$23:$U$23,0)))*(VLOOKUP($B220,INDIRECT($B$5&amp;"生成成长"),3))*(VLOOKUP($B$5,标准坦克设计!$B$14:$K$20,9)/30))</f>
        <v>15.224404928579981</v>
      </c>
      <c r="DA220" s="173">
        <f ca="1">(VLOOKUP(DA$72,INDIRECT($C$5&amp;"生成成长"),2))/((VLOOKUP($B220,INDIRECT($B$5&amp;"生成成长"),4))/(VLOOKUP(DA$72,INDIRECT($C$5&amp;"生成成长"),5))*(VLOOKUP($B$5,标准坦克设计!$B$24:$U$30,MATCH("对"&amp;LEFT($C$5,2)&amp;"输出",标准坦克设计!$B$23:$U$23,0)))*(VLOOKUP($B220,INDIRECT($B$5&amp;"生成成长"),3))*(VLOOKUP($B$5,标准坦克设计!$B$14:$K$20,9)/30))</f>
        <v>16.158464731626314</v>
      </c>
      <c r="DB220" s="173">
        <f ca="1">(VLOOKUP(DB$72,INDIRECT($C$5&amp;"生成成长"),2))/((VLOOKUP($B220,INDIRECT($B$5&amp;"生成成长"),4))/(VLOOKUP(DB$72,INDIRECT($C$5&amp;"生成成长"),5))*(VLOOKUP($B$5,标准坦克设计!$B$24:$U$30,MATCH("对"&amp;LEFT($C$5,2)&amp;"输出",标准坦克设计!$B$23:$U$23,0)))*(VLOOKUP($B220,INDIRECT($B$5&amp;"生成成长"),3))*(VLOOKUP($B$5,标准坦克设计!$B$14:$K$20,9)/30))</f>
        <v>17.120331457090799</v>
      </c>
      <c r="DC220" s="173">
        <f ca="1">(VLOOKUP(DC$72,INDIRECT($C$5&amp;"生成成长"),2))/((VLOOKUP($B220,INDIRECT($B$5&amp;"生成成长"),4))/(VLOOKUP(DC$72,INDIRECT($C$5&amp;"生成成长"),5))*(VLOOKUP($B$5,标准坦克设计!$B$24:$U$30,MATCH("对"&amp;LEFT($C$5,2)&amp;"输出",标准坦克设计!$B$23:$U$23,0)))*(VLOOKUP($B220,INDIRECT($B$5&amp;"生成成长"),3))*(VLOOKUP($B$5,标准坦克设计!$B$14:$K$20,9)/30))</f>
        <v>18.201354292256241</v>
      </c>
      <c r="DD220" s="173">
        <f ca="1">(VLOOKUP(DD$72,INDIRECT($C$5&amp;"生成成长"),2))/((VLOOKUP($B220,INDIRECT($B$5&amp;"生成成长"),4))/(VLOOKUP(DD$72,INDIRECT($C$5&amp;"生成成长"),5))*(VLOOKUP($B$5,标准坦克设计!$B$24:$U$30,MATCH("对"&amp;LEFT($C$5,2)&amp;"输出",标准坦克设计!$B$23:$U$23,0)))*(VLOOKUP($B220,INDIRECT($B$5&amp;"生成成长"),3))*(VLOOKUP($B$5,标准坦克设计!$B$14:$K$20,9)/30))</f>
        <v>19.315469663192054</v>
      </c>
      <c r="DE220" s="173">
        <f ca="1">(VLOOKUP(DE$72,INDIRECT($C$5&amp;"生成成长"),2))/((VLOOKUP($B220,INDIRECT($B$5&amp;"生成成长"),4))/(VLOOKUP(DE$72,INDIRECT($C$5&amp;"生成成长"),5))*(VLOOKUP($B$5,标准坦克设计!$B$24:$U$30,MATCH("对"&amp;LEFT($C$5,2)&amp;"输出",标准坦克设计!$B$23:$U$23,0)))*(VLOOKUP($B220,INDIRECT($B$5&amp;"生成成长"),3))*(VLOOKUP($B$5,标准坦克设计!$B$14:$K$20,9)/30))</f>
        <v>20.46267756989824</v>
      </c>
      <c r="DF220" s="173">
        <f ca="1">(VLOOKUP(DF$72,INDIRECT($C$5&amp;"生成成长"),2))/((VLOOKUP($B220,INDIRECT($B$5&amp;"生成成长"),4))/(VLOOKUP(DF$72,INDIRECT($C$5&amp;"生成成长"),5))*(VLOOKUP($B$5,标准坦克设计!$B$24:$U$30,MATCH("对"&amp;LEFT($C$5,2)&amp;"输出",标准坦克设计!$B$23:$U$23,0)))*(VLOOKUP($B220,INDIRECT($B$5&amp;"生成成长"),3))*(VLOOKUP($B$5,标准坦克设计!$B$14:$K$20,9)/30))</f>
        <v>21.642978012374794</v>
      </c>
      <c r="DG220" s="173">
        <f ca="1">(VLOOKUP(DG$72,INDIRECT($C$5&amp;"生成成长"),2))/((VLOOKUP($B220,INDIRECT($B$5&amp;"生成成长"),4))/(VLOOKUP(DG$72,INDIRECT($C$5&amp;"生成成长"),5))*(VLOOKUP($B$5,标准坦克设计!$B$24:$U$30,MATCH("对"&amp;LEFT($C$5,2)&amp;"输出",标准坦克设计!$B$23:$U$23,0)))*(VLOOKUP($B220,INDIRECT($B$5&amp;"生成成长"),3))*(VLOOKUP($B$5,标准坦克设计!$B$14:$K$20,9)/30))</f>
        <v>22.85637099062172</v>
      </c>
      <c r="DH220" s="173">
        <f ca="1">(VLOOKUP(DH$72,INDIRECT($C$5&amp;"生成成长"),2))/((VLOOKUP($B220,INDIRECT($B$5&amp;"生成成长"),4))/(VLOOKUP(DH$72,INDIRECT($C$5&amp;"生成成长"),5))*(VLOOKUP($B$5,标准坦克设计!$B$24:$U$30,MATCH("对"&amp;LEFT($C$5,2)&amp;"输出",标准坦克设计!$B$23:$U$23,0)))*(VLOOKUP($B220,INDIRECT($B$5&amp;"生成成长"),3))*(VLOOKUP($B$5,标准坦克设计!$B$14:$K$20,9)/30))</f>
        <v>24.102856504639014</v>
      </c>
      <c r="DI220" s="173">
        <f ca="1">(VLOOKUP(DI$72,INDIRECT($C$5&amp;"生成成长"),2))/((VLOOKUP($B220,INDIRECT($B$5&amp;"生成成长"),4))/(VLOOKUP(DI$72,INDIRECT($C$5&amp;"生成成长"),5))*(VLOOKUP($B$5,标准坦克设计!$B$24:$U$30,MATCH("对"&amp;LEFT($C$5,2)&amp;"输出",标准坦克设计!$B$23:$U$23,0)))*(VLOOKUP($B220,INDIRECT($B$5&amp;"生成成长"),3))*(VLOOKUP($B$5,标准坦克设计!$B$14:$K$20,9)/30))</f>
        <v>25.382434554426684</v>
      </c>
      <c r="DJ220" s="173">
        <f ca="1">(VLOOKUP(DJ$72,INDIRECT($C$5&amp;"生成成长"),2))/((VLOOKUP($B220,INDIRECT($B$5&amp;"生成成长"),4))/(VLOOKUP(DJ$72,INDIRECT($C$5&amp;"生成成长"),5))*(VLOOKUP($B$5,标准坦克设计!$B$24:$U$30,MATCH("对"&amp;LEFT($C$5,2)&amp;"输出",标准坦克设计!$B$23:$U$23,0)))*(VLOOKUP($B220,INDIRECT($B$5&amp;"生成成长"),3))*(VLOOKUP($B$5,标准坦克设计!$B$14:$K$20,9)/30))</f>
        <v>2.550997870270832</v>
      </c>
      <c r="DK220" s="173">
        <f ca="1">(VLOOKUP(DK$72,INDIRECT($C$5&amp;"生成成长"),2))/((VLOOKUP($B220,INDIRECT($B$5&amp;"生成成长"),4))/(VLOOKUP(DK$72,INDIRECT($C$5&amp;"生成成长"),5))*(VLOOKUP($B$5,标准坦克设计!$B$24:$U$30,MATCH("对"&amp;LEFT($C$5,2)&amp;"输出",标准坦克设计!$B$23:$U$23,0)))*(VLOOKUP($B220,INDIRECT($B$5&amp;"生成成长"),3))*(VLOOKUP($B$5,标准坦克设计!$B$14:$K$20,9)/30))</f>
        <v>2.8684793853178259</v>
      </c>
      <c r="DL220" s="173">
        <f ca="1">(VLOOKUP(DL$72,INDIRECT($C$5&amp;"生成成长"),2))/((VLOOKUP($B220,INDIRECT($B$5&amp;"生成成长"),4))/(VLOOKUP(DL$72,INDIRECT($C$5&amp;"生成成长"),5))*(VLOOKUP($B$5,标准坦克设计!$B$24:$U$30,MATCH("对"&amp;LEFT($C$5,2)&amp;"输出",标准坦克设计!$B$23:$U$23,0)))*(VLOOKUP($B220,INDIRECT($B$5&amp;"生成成长"),3))*(VLOOKUP($B$5,标准坦克设计!$B$14:$K$20,9)/30))</f>
        <v>3.2045754517356526</v>
      </c>
      <c r="DM220" s="173">
        <f ca="1">(VLOOKUP(DM$72,INDIRECT($C$5&amp;"生成成长"),2))/((VLOOKUP($B220,INDIRECT($B$5&amp;"生成成长"),4))/(VLOOKUP(DM$72,INDIRECT($C$5&amp;"生成成长"),5))*(VLOOKUP($B$5,标准坦克设计!$B$24:$U$30,MATCH("对"&amp;LEFT($C$5,2)&amp;"输出",标准坦克设计!$B$23:$U$23,0)))*(VLOOKUP($B220,INDIRECT($B$5&amp;"生成成长"),3))*(VLOOKUP($B$5,标准坦克设计!$B$14:$K$20,9)/30))</f>
        <v>3.5592860695243136</v>
      </c>
      <c r="DN220" s="173">
        <f ca="1">(VLOOKUP(DN$72,INDIRECT($C$5&amp;"生成成长"),2))/((VLOOKUP($B220,INDIRECT($B$5&amp;"生成成长"),4))/(VLOOKUP(DN$72,INDIRECT($C$5&amp;"生成成长"),5))*(VLOOKUP($B$5,标准坦克设计!$B$24:$U$30,MATCH("对"&amp;LEFT($C$5,2)&amp;"输出",标准坦克设计!$B$23:$U$23,0)))*(VLOOKUP($B220,INDIRECT($B$5&amp;"生成成长"),3))*(VLOOKUP($B$5,标准坦克设计!$B$14:$K$20,9)/30))</f>
        <v>3.9326112386838084</v>
      </c>
      <c r="DO220" s="173">
        <f ca="1">(VLOOKUP(DO$72,INDIRECT($C$5&amp;"生成成长"),2))/((VLOOKUP($B220,INDIRECT($B$5&amp;"生成成长"),4))/(VLOOKUP(DO$72,INDIRECT($C$5&amp;"生成成长"),5))*(VLOOKUP($B$5,标准坦克设计!$B$24:$U$30,MATCH("对"&amp;LEFT($C$5,2)&amp;"输出",标准坦克设计!$B$23:$U$23,0)))*(VLOOKUP($B220,INDIRECT($B$5&amp;"生成成长"),3))*(VLOOKUP($B$5,标准坦克设计!$B$14:$K$20,9)/30))</f>
        <v>4.3245509592141369</v>
      </c>
      <c r="DP220" s="173">
        <f ca="1">(VLOOKUP(DP$72,INDIRECT($C$5&amp;"生成成长"),2))/((VLOOKUP($B220,INDIRECT($B$5&amp;"生成成长"),4))/(VLOOKUP(DP$72,INDIRECT($C$5&amp;"生成成长"),5))*(VLOOKUP($B$5,标准坦克设计!$B$24:$U$30,MATCH("对"&amp;LEFT($C$5,2)&amp;"输出",标准坦克设计!$B$23:$U$23,0)))*(VLOOKUP($B220,INDIRECT($B$5&amp;"生成成长"),3))*(VLOOKUP($B$5,标准坦克设计!$B$14:$K$20,9)/30))</f>
        <v>4.7351052311152975</v>
      </c>
      <c r="DQ220" s="173">
        <f ca="1">(VLOOKUP(DQ$72,INDIRECT($C$5&amp;"生成成长"),2))/((VLOOKUP($B220,INDIRECT($B$5&amp;"生成成长"),4))/(VLOOKUP(DQ$72,INDIRECT($C$5&amp;"生成成长"),5))*(VLOOKUP($B$5,标准坦克设计!$B$24:$U$30,MATCH("对"&amp;LEFT($C$5,2)&amp;"输出",标准坦克设计!$B$23:$U$23,0)))*(VLOOKUP($B220,INDIRECT($B$5&amp;"生成成长"),3))*(VLOOKUP($B$5,标准坦克设计!$B$14:$K$20,9)/30))</f>
        <v>5.1642740543872927</v>
      </c>
      <c r="DR220" s="173">
        <f ca="1">(VLOOKUP(DR$72,INDIRECT($C$5&amp;"生成成长"),2))/((VLOOKUP($B220,INDIRECT($B$5&amp;"生成成长"),4))/(VLOOKUP(DR$72,INDIRECT($C$5&amp;"生成成长"),5))*(VLOOKUP($B$5,标准坦克设计!$B$24:$U$30,MATCH("对"&amp;LEFT($C$5,2)&amp;"输出",标准坦克设计!$B$23:$U$23,0)))*(VLOOKUP($B220,INDIRECT($B$5&amp;"生成成长"),3))*(VLOOKUP($B$5,标准坦克设计!$B$14:$K$20,9)/30))</f>
        <v>5.6120574290301199</v>
      </c>
      <c r="DS220" s="173">
        <f ca="1">(VLOOKUP(DS$72,INDIRECT($C$5&amp;"生成成长"),2))/((VLOOKUP($B220,INDIRECT($B$5&amp;"生成成长"),4))/(VLOOKUP(DS$72,INDIRECT($C$5&amp;"生成成长"),5))*(VLOOKUP($B$5,标准坦克设计!$B$24:$U$30,MATCH("对"&amp;LEFT($C$5,2)&amp;"输出",标准坦克设计!$B$23:$U$23,0)))*(VLOOKUP($B220,INDIRECT($B$5&amp;"生成成长"),3))*(VLOOKUP($B$5,标准坦克设计!$B$14:$K$20,9)/30))</f>
        <v>6.0784553550437819</v>
      </c>
      <c r="DT220" s="173">
        <f ca="1">(VLOOKUP(DT$72,INDIRECT($C$5&amp;"生成成长"),2))/((VLOOKUP($B220,INDIRECT($B$5&amp;"生成成长"),4))/(VLOOKUP(DT$72,INDIRECT($C$5&amp;"生成成长"),5))*(VLOOKUP($B$5,标准坦克设计!$B$24:$U$30,MATCH("对"&amp;LEFT($C$5,2)&amp;"输出",标准坦克设计!$B$23:$U$23,0)))*(VLOOKUP($B220,INDIRECT($B$5&amp;"生成成长"),3))*(VLOOKUP($B$5,标准坦克设计!$B$14:$K$20,9)/30))</f>
        <v>6.6737762849961788</v>
      </c>
      <c r="DU220" s="173">
        <f ca="1">(VLOOKUP(DU$72,INDIRECT($C$5&amp;"生成成长"),2))/((VLOOKUP($B220,INDIRECT($B$5&amp;"生成成长"),4))/(VLOOKUP(DU$72,INDIRECT($C$5&amp;"生成成长"),5))*(VLOOKUP($B$5,标准坦克设计!$B$24:$U$30,MATCH("对"&amp;LEFT($C$5,2)&amp;"输出",标准坦克设计!$B$23:$U$23,0)))*(VLOOKUP($B220,INDIRECT($B$5&amp;"生成成长"),3))*(VLOOKUP($B$5,标准坦克设计!$B$14:$K$20,9)/30))</f>
        <v>7.2969041373667363</v>
      </c>
      <c r="DV220" s="173">
        <f ca="1">(VLOOKUP(DV$72,INDIRECT($C$5&amp;"生成成长"),2))/((VLOOKUP($B220,INDIRECT($B$5&amp;"生成成长"),4))/(VLOOKUP(DV$72,INDIRECT($C$5&amp;"生成成长"),5))*(VLOOKUP($B$5,标准坦克设计!$B$24:$U$30,MATCH("对"&amp;LEFT($C$5,2)&amp;"输出",标准坦克设计!$B$23:$U$23,0)))*(VLOOKUP($B220,INDIRECT($B$5&amp;"生成成长"),3))*(VLOOKUP($B$5,标准坦克设计!$B$14:$K$20,9)/30))</f>
        <v>7.9478389121554525</v>
      </c>
      <c r="DW220" s="173">
        <f ca="1">(VLOOKUP(DW$72,INDIRECT($C$5&amp;"生成成长"),2))/((VLOOKUP($B220,INDIRECT($B$5&amp;"生成成长"),4))/(VLOOKUP(DW$72,INDIRECT($C$5&amp;"生成成长"),5))*(VLOOKUP($B$5,标准坦克设计!$B$24:$U$30,MATCH("对"&amp;LEFT($C$5,2)&amp;"输出",标准坦克设计!$B$23:$U$23,0)))*(VLOOKUP($B220,INDIRECT($B$5&amp;"生成成长"),3))*(VLOOKUP($B$5,标准坦克设计!$B$14:$K$20,9)/30))</f>
        <v>8.6265806093623265</v>
      </c>
      <c r="DX220" s="173">
        <f ca="1">(VLOOKUP(DX$72,INDIRECT($C$5&amp;"生成成长"),2))/((VLOOKUP($B220,INDIRECT($B$5&amp;"生成成长"),4))/(VLOOKUP(DX$72,INDIRECT($C$5&amp;"生成成长"),5))*(VLOOKUP($B$5,标准坦克设计!$B$24:$U$30,MATCH("对"&amp;LEFT($C$5,2)&amp;"输出",标准坦克设计!$B$23:$U$23,0)))*(VLOOKUP($B220,INDIRECT($B$5&amp;"生成成长"),3))*(VLOOKUP($B$5,标准坦克设计!$B$14:$K$20,9)/30))</f>
        <v>9.3331292289873584</v>
      </c>
      <c r="DY220" s="173">
        <f ca="1">(VLOOKUP(DY$72,INDIRECT($C$5&amp;"生成成长"),2))/((VLOOKUP($B220,INDIRECT($B$5&amp;"生成成长"),4))/(VLOOKUP(DY$72,INDIRECT($C$5&amp;"生成成长"),5))*(VLOOKUP($B$5,标准坦克设计!$B$24:$U$30,MATCH("对"&amp;LEFT($C$5,2)&amp;"输出",标准坦克设计!$B$23:$U$23,0)))*(VLOOKUP($B220,INDIRECT($B$5&amp;"生成成长"),3))*(VLOOKUP($B$5,标准坦克设计!$B$14:$K$20,9)/30))</f>
        <v>4.191836102218379</v>
      </c>
      <c r="DZ220" s="173">
        <f ca="1">(VLOOKUP(DZ$72,INDIRECT($C$5&amp;"生成成长"),2))/((VLOOKUP($B220,INDIRECT($B$5&amp;"生成成长"),4))/(VLOOKUP(DZ$72,INDIRECT($C$5&amp;"生成成长"),5))*(VLOOKUP($B$5,标准坦克设计!$B$24:$U$30,MATCH("对"&amp;LEFT($C$5,2)&amp;"输出",标准坦克设计!$B$23:$U$23,0)))*(VLOOKUP($B220,INDIRECT($B$5&amp;"生成成长"),3))*(VLOOKUP($B$5,标准坦克设计!$B$14:$K$20,9)/30))</f>
        <v>4.6422622835373124</v>
      </c>
      <c r="EA220" s="173">
        <f ca="1">(VLOOKUP(EA$72,INDIRECT($C$5&amp;"生成成长"),2))/((VLOOKUP($B220,INDIRECT($B$5&amp;"生成成长"),4))/(VLOOKUP(EA$72,INDIRECT($C$5&amp;"生成成长"),5))*(VLOOKUP($B$5,标准坦克设计!$B$24:$U$30,MATCH("对"&amp;LEFT($C$5,2)&amp;"输出",标准坦克设计!$B$23:$U$23,0)))*(VLOOKUP($B220,INDIRECT($B$5&amp;"生成成长"),3))*(VLOOKUP($B$5,标准坦克设计!$B$14:$K$20,9)/30))</f>
        <v>5.11566939247456</v>
      </c>
      <c r="EB220" s="173">
        <f ca="1">(VLOOKUP(EB$72,INDIRECT($C$5&amp;"生成成长"),2))/((VLOOKUP($B220,INDIRECT($B$5&amp;"生成成长"),4))/(VLOOKUP(EB$72,INDIRECT($C$5&amp;"生成成长"),5))*(VLOOKUP($B$5,标准坦克设计!$B$24:$U$30,MATCH("对"&amp;LEFT($C$5,2)&amp;"输出",标准坦克设计!$B$23:$U$23,0)))*(VLOOKUP($B220,INDIRECT($B$5&amp;"生成成长"),3))*(VLOOKUP($B$5,标准坦克设计!$B$14:$K$20,9)/30))</f>
        <v>5.6120574290301199</v>
      </c>
      <c r="EC220" s="173">
        <f ca="1">(VLOOKUP(EC$72,INDIRECT($C$5&amp;"生成成长"),2))/((VLOOKUP($B220,INDIRECT($B$5&amp;"生成成长"),4))/(VLOOKUP(EC$72,INDIRECT($C$5&amp;"生成成长"),5))*(VLOOKUP($B$5,标准坦克设计!$B$24:$U$30,MATCH("对"&amp;LEFT($C$5,2)&amp;"输出",标准坦克设计!$B$23:$U$23,0)))*(VLOOKUP($B220,INDIRECT($B$5&amp;"生成成长"),3))*(VLOOKUP($B$5,标准坦克设计!$B$14:$K$20,9)/30))</f>
        <v>6.1314263932039941</v>
      </c>
      <c r="ED220" s="173">
        <f ca="1">(VLOOKUP(ED$72,INDIRECT($C$5&amp;"生成成长"),2))/((VLOOKUP($B220,INDIRECT($B$5&amp;"生成成长"),4))/(VLOOKUP(ED$72,INDIRECT($C$5&amp;"生成成长"),5))*(VLOOKUP($B$5,标准坦克设计!$B$24:$U$30,MATCH("对"&amp;LEFT($C$5,2)&amp;"输出",标准坦克设计!$B$23:$U$23,0)))*(VLOOKUP($B220,INDIRECT($B$5&amp;"生成成长"),3))*(VLOOKUP($B$5,标准坦克设计!$B$14:$K$20,9)/30))</f>
        <v>6.6737762849961788</v>
      </c>
      <c r="EE220" s="173">
        <f ca="1">(VLOOKUP(EE$72,INDIRECT($C$5&amp;"生成成长"),2))/((VLOOKUP($B220,INDIRECT($B$5&amp;"生成成长"),4))/(VLOOKUP(EE$72,INDIRECT($C$5&amp;"生成成长"),5))*(VLOOKUP($B$5,标准坦克设计!$B$24:$U$30,MATCH("对"&amp;LEFT($C$5,2)&amp;"输出",标准坦克设计!$B$23:$U$23,0)))*(VLOOKUP($B220,INDIRECT($B$5&amp;"生成成长"),3))*(VLOOKUP($B$5,标准坦克设计!$B$14:$K$20,9)/30))</f>
        <v>7.2391071044066813</v>
      </c>
      <c r="EF220" s="173">
        <f ca="1">(VLOOKUP(EF$72,INDIRECT($C$5&amp;"生成成长"),2))/((VLOOKUP($B220,INDIRECT($B$5&amp;"生成成长"),4))/(VLOOKUP(EF$72,INDIRECT($C$5&amp;"生成成长"),5))*(VLOOKUP($B$5,标准坦克设计!$B$24:$U$30,MATCH("对"&amp;LEFT($C$5,2)&amp;"输出",标准坦克设计!$B$23:$U$23,0)))*(VLOOKUP($B220,INDIRECT($B$5&amp;"生成成长"),3))*(VLOOKUP($B$5,标准坦克设计!$B$14:$K$20,9)/30))</f>
        <v>7.8274188514354917</v>
      </c>
      <c r="EG220" s="173">
        <f ca="1">(VLOOKUP(EG$72,INDIRECT($C$5&amp;"生成成长"),2))/((VLOOKUP($B220,INDIRECT($B$5&amp;"生成成长"),4))/(VLOOKUP(EG$72,INDIRECT($C$5&amp;"生成成长"),5))*(VLOOKUP($B$5,标准坦克设计!$B$24:$U$30,MATCH("对"&amp;LEFT($C$5,2)&amp;"输出",标准坦克设计!$B$23:$U$23,0)))*(VLOOKUP($B220,INDIRECT($B$5&amp;"生成成长"),3))*(VLOOKUP($B$5,标准坦克设计!$B$14:$K$20,9)/30))</f>
        <v>8.4387115260826171</v>
      </c>
      <c r="EH220" s="173">
        <f ca="1">(VLOOKUP(EH$72,INDIRECT($C$5&amp;"生成成长"),2))/((VLOOKUP($B220,INDIRECT($B$5&amp;"生成成长"),4))/(VLOOKUP(EH$72,INDIRECT($C$5&amp;"生成成长"),5))*(VLOOKUP($B$5,标准坦克设计!$B$24:$U$30,MATCH("对"&amp;LEFT($C$5,2)&amp;"输出",标准坦克设计!$B$23:$U$23,0)))*(VLOOKUP($B220,INDIRECT($B$5&amp;"生成成长"),3))*(VLOOKUP($B$5,标准坦克设计!$B$14:$K$20,9)/30))</f>
        <v>9.0729851283480549</v>
      </c>
      <c r="EI220" s="173">
        <f ca="1">(VLOOKUP(EI$72,INDIRECT($C$5&amp;"生成成长"),2))/((VLOOKUP($B220,INDIRECT($B$5&amp;"生成成长"),4))/(VLOOKUP(EI$72,INDIRECT($C$5&amp;"生成成长"),5))*(VLOOKUP($B$5,标准坦克设计!$B$24:$U$30,MATCH("对"&amp;LEFT($C$5,2)&amp;"输出",标准坦克设计!$B$23:$U$23,0)))*(VLOOKUP($B220,INDIRECT($B$5&amp;"生成成长"),3))*(VLOOKUP($B$5,标准坦克设计!$B$14:$K$20,9)/30))</f>
        <v>9.730239658231806</v>
      </c>
      <c r="EJ220" s="173">
        <f ca="1">(VLOOKUP(EJ$72,INDIRECT($C$5&amp;"生成成长"),2))/((VLOOKUP($B220,INDIRECT($B$5&amp;"生成成长"),4))/(VLOOKUP(EJ$72,INDIRECT($C$5&amp;"生成成长"),5))*(VLOOKUP($B$5,标准坦克设计!$B$24:$U$30,MATCH("对"&amp;LEFT($C$5,2)&amp;"输出",标准坦克设计!$B$23:$U$23,0)))*(VLOOKUP($B220,INDIRECT($B$5&amp;"生成成长"),3))*(VLOOKUP($B$5,标准坦克设计!$B$14:$K$20,9)/30))</f>
        <v>10.41047511573387</v>
      </c>
      <c r="EK220" s="173">
        <f ca="1">(VLOOKUP(EK$72,INDIRECT($C$5&amp;"生成成长"),2))/((VLOOKUP($B220,INDIRECT($B$5&amp;"生成成长"),4))/(VLOOKUP(EK$72,INDIRECT($C$5&amp;"生成成长"),5))*(VLOOKUP($B$5,标准坦克设计!$B$24:$U$30,MATCH("对"&amp;LEFT($C$5,2)&amp;"输出",标准坦克设计!$B$23:$U$23,0)))*(VLOOKUP($B220,INDIRECT($B$5&amp;"生成成长"),3))*(VLOOKUP($B$5,标准坦克设计!$B$14:$K$20,9)/30))</f>
        <v>11.257092489192521</v>
      </c>
      <c r="EL220" s="173">
        <f ca="1">(VLOOKUP(EL$72,INDIRECT($C$5&amp;"生成成长"),2))/((VLOOKUP($B220,INDIRECT($B$5&amp;"生成成长"),4))/(VLOOKUP(EL$72,INDIRECT($C$5&amp;"生成成长"),5))*(VLOOKUP($B$5,标准坦克设计!$B$24:$U$30,MATCH("对"&amp;LEFT($C$5,2)&amp;"输出",标准坦克设计!$B$23:$U$23,0)))*(VLOOKUP($B220,INDIRECT($B$5&amp;"生成成长"),3))*(VLOOKUP($B$5,标准坦克设计!$B$14:$K$20,9)/30))</f>
        <v>12.136802398421541</v>
      </c>
      <c r="EM220" s="173">
        <f ca="1">(VLOOKUP(EM$72,INDIRECT($C$5&amp;"生成成长"),2))/((VLOOKUP($B220,INDIRECT($B$5&amp;"生成成长"),4))/(VLOOKUP(EM$72,INDIRECT($C$5&amp;"生成成长"),5))*(VLOOKUP($B$5,标准坦克设计!$B$24:$U$30,MATCH("对"&amp;LEFT($C$5,2)&amp;"输出",标准坦克设计!$B$23:$U$23,0)))*(VLOOKUP($B220,INDIRECT($B$5&amp;"生成成长"),3))*(VLOOKUP($B$5,标准坦克设计!$B$14:$K$20,9)/30))</f>
        <v>13.049604843420932</v>
      </c>
      <c r="EN220" s="173">
        <f ca="1">(VLOOKUP(EN$72,INDIRECT($C$5&amp;"生成成长"),2))/((VLOOKUP($B220,INDIRECT($B$5&amp;"生成成长"),4))/(VLOOKUP(EN$72,INDIRECT($C$5&amp;"生成成长"),5))*(VLOOKUP($B$5,标准坦克设计!$B$24:$U$30,MATCH("对"&amp;LEFT($C$5,2)&amp;"输出",标准坦克设计!$B$23:$U$23,0)))*(VLOOKUP($B220,INDIRECT($B$5&amp;"生成成长"),3))*(VLOOKUP($B$5,标准坦克设计!$B$14:$K$20,9)/30))</f>
        <v>13.995499824190695</v>
      </c>
      <c r="EO220" s="173">
        <f ca="1">(VLOOKUP(EO$72,INDIRECT($C$5&amp;"生成成长"),2))/((VLOOKUP($B220,INDIRECT($B$5&amp;"生成成长"),4))/(VLOOKUP(EO$72,INDIRECT($C$5&amp;"生成成长"),5))*(VLOOKUP($B$5,标准坦克设计!$B$24:$U$30,MATCH("对"&amp;LEFT($C$5,2)&amp;"输出",标准坦克设计!$B$23:$U$23,0)))*(VLOOKUP($B220,INDIRECT($B$5&amp;"生成成长"),3))*(VLOOKUP($B$5,标准坦克设计!$B$14:$K$20,9)/30))</f>
        <v>14.974487340730827</v>
      </c>
      <c r="EP220" s="173">
        <f ca="1">(VLOOKUP(EP$72,INDIRECT($C$5&amp;"生成成长"),2))/((VLOOKUP($B220,INDIRECT($B$5&amp;"生成成长"),4))/(VLOOKUP(EP$72,INDIRECT($C$5&amp;"生成成长"),5))*(VLOOKUP($B$5,标准坦克设计!$B$24:$U$30,MATCH("对"&amp;LEFT($C$5,2)&amp;"输出",标准坦克设计!$B$23:$U$23,0)))*(VLOOKUP($B220,INDIRECT($B$5&amp;"生成成长"),3))*(VLOOKUP($B$5,标准坦克设计!$B$14:$K$20,9)/30))</f>
        <v>15.986567393041332</v>
      </c>
      <c r="EQ220" s="173">
        <f ca="1">(VLOOKUP(EQ$72,INDIRECT($C$5&amp;"生成成长"),2))/((VLOOKUP($B220,INDIRECT($B$5&amp;"生成成长"),4))/(VLOOKUP(EQ$72,INDIRECT($C$5&amp;"生成成长"),5))*(VLOOKUP($B$5,标准坦克设计!$B$24:$U$30,MATCH("对"&amp;LEFT($C$5,2)&amp;"输出",标准坦克设计!$B$23:$U$23,0)))*(VLOOKUP($B220,INDIRECT($B$5&amp;"生成成长"),3))*(VLOOKUP($B$5,标准坦克设计!$B$14:$K$20,9)/30))</f>
        <v>7.0670948611836062</v>
      </c>
      <c r="ER220" s="173">
        <f ca="1">(VLOOKUP(ER$72,INDIRECT($C$5&amp;"生成成长"),2))/((VLOOKUP($B220,INDIRECT($B$5&amp;"生成成长"),4))/(VLOOKUP(ER$72,INDIRECT($C$5&amp;"生成成长"),5))*(VLOOKUP($B$5,标准坦克设计!$B$24:$U$30,MATCH("对"&amp;LEFT($C$5,2)&amp;"输出",标准坦克设计!$B$23:$U$23,0)))*(VLOOKUP($B220,INDIRECT($B$5&amp;"生成成长"),3))*(VLOOKUP($B$5,标准坦克设计!$B$14:$K$20,9)/30))</f>
        <v>7.7079180278202655</v>
      </c>
      <c r="ES220" s="173">
        <f ca="1">(VLOOKUP(ES$72,INDIRECT($C$5&amp;"生成成长"),2))/((VLOOKUP($B220,INDIRECT($B$5&amp;"生成成长"),4))/(VLOOKUP(ES$72,INDIRECT($C$5&amp;"生成成长"),5))*(VLOOKUP($B$5,标准坦克设计!$B$24:$U$30,MATCH("对"&amp;LEFT($C$5,2)&amp;"输出",标准坦克设计!$B$23:$U$23,0)))*(VLOOKUP($B220,INDIRECT($B$5&amp;"生成成长"),3))*(VLOOKUP($B$5,标准坦克设计!$B$14:$K$20,9)/30))</f>
        <v>8.3765481168750799</v>
      </c>
      <c r="ET220" s="173">
        <f ca="1">(VLOOKUP(ET$72,INDIRECT($C$5&amp;"生成成长"),2))/((VLOOKUP($B220,INDIRECT($B$5&amp;"生成成长"),4))/(VLOOKUP(ET$72,INDIRECT($C$5&amp;"生成成长"),5))*(VLOOKUP($B$5,标准坦克设计!$B$24:$U$30,MATCH("对"&amp;LEFT($C$5,2)&amp;"输出",标准坦克设计!$B$23:$U$23,0)))*(VLOOKUP($B220,INDIRECT($B$5&amp;"生成成长"),3))*(VLOOKUP($B$5,标准坦克设计!$B$14:$K$20,9)/30))</f>
        <v>9.0729851283480549</v>
      </c>
      <c r="EU220" s="173">
        <f ca="1">(VLOOKUP(EU$72,INDIRECT($C$5&amp;"生成成长"),2))/((VLOOKUP($B220,INDIRECT($B$5&amp;"生成成长"),4))/(VLOOKUP(EU$72,INDIRECT($C$5&amp;"生成成长"),5))*(VLOOKUP($B$5,标准坦克设计!$B$24:$U$30,MATCH("对"&amp;LEFT($C$5,2)&amp;"输出",标准坦克设计!$B$23:$U$23,0)))*(VLOOKUP($B220,INDIRECT($B$5&amp;"生成成长"),3))*(VLOOKUP($B$5,标准坦克设计!$B$14:$K$20,9)/30))</f>
        <v>9.7972290622391878</v>
      </c>
      <c r="EV220" s="173">
        <f ca="1">(VLOOKUP(EV$72,INDIRECT($C$5&amp;"生成成长"),2))/((VLOOKUP($B220,INDIRECT($B$5&amp;"生成成长"),4))/(VLOOKUP(EV$72,INDIRECT($C$5&amp;"生成成长"),5))*(VLOOKUP($B$5,标准坦克设计!$B$24:$U$30,MATCH("对"&amp;LEFT($C$5,2)&amp;"输出",标准坦克设计!$B$23:$U$23,0)))*(VLOOKUP($B220,INDIRECT($B$5&amp;"生成成长"),3))*(VLOOKUP($B$5,标准坦克设计!$B$14:$K$20,9)/30))</f>
        <v>10.549279918548478</v>
      </c>
      <c r="EW220" s="173">
        <f ca="1">(VLOOKUP(EW$72,INDIRECT($C$5&amp;"生成成长"),2))/((VLOOKUP($B220,INDIRECT($B$5&amp;"生成成长"),4))/(VLOOKUP(EW$72,INDIRECT($C$5&amp;"生成成长"),5))*(VLOOKUP($B$5,标准坦克设计!$B$24:$U$30,MATCH("对"&amp;LEFT($C$5,2)&amp;"输出",标准坦克设计!$B$23:$U$23,0)))*(VLOOKUP($B220,INDIRECT($B$5&amp;"生成成长"),3))*(VLOOKUP($B$5,标准坦克设计!$B$14:$K$20,9)/30))</f>
        <v>11.329137697275932</v>
      </c>
      <c r="EX220" s="173">
        <f ca="1">(VLOOKUP(EX$72,INDIRECT($C$5&amp;"生成成长"),2))/((VLOOKUP($B220,INDIRECT($B$5&amp;"生成成长"),4))/(VLOOKUP(EX$72,INDIRECT($C$5&amp;"生成成长"),5))*(VLOOKUP($B$5,标准坦克设计!$B$24:$U$30,MATCH("对"&amp;LEFT($C$5,2)&amp;"输出",标准坦克设计!$B$23:$U$23,0)))*(VLOOKUP($B220,INDIRECT($B$5&amp;"生成成长"),3))*(VLOOKUP($B$5,标准坦克设计!$B$14:$K$20,9)/30))</f>
        <v>12.136802398421541</v>
      </c>
      <c r="EY220" s="173">
        <f ca="1">(VLOOKUP(EY$72,INDIRECT($C$5&amp;"生成成长"),2))/((VLOOKUP($B220,INDIRECT($B$5&amp;"生成成长"),4))/(VLOOKUP(EY$72,INDIRECT($C$5&amp;"生成成长"),5))*(VLOOKUP($B$5,标准坦克设计!$B$24:$U$30,MATCH("对"&amp;LEFT($C$5,2)&amp;"输出",标准坦克设计!$B$23:$U$23,0)))*(VLOOKUP($B220,INDIRECT($B$5&amp;"生成成长"),3))*(VLOOKUP($B$5,标准坦克设计!$B$14:$K$20,9)/30))</f>
        <v>12.972274021985312</v>
      </c>
      <c r="EZ220" s="173">
        <f ca="1">(VLOOKUP(EZ$72,INDIRECT($C$5&amp;"生成成长"),2))/((VLOOKUP($B220,INDIRECT($B$5&amp;"生成成长"),4))/(VLOOKUP(EZ$72,INDIRECT($C$5&amp;"生成成长"),5))*(VLOOKUP($B$5,标准坦克设计!$B$24:$U$30,MATCH("对"&amp;LEFT($C$5,2)&amp;"输出",标准坦克设计!$B$23:$U$23,0)))*(VLOOKUP($B220,INDIRECT($B$5&amp;"生成成长"),3))*(VLOOKUP($B$5,标准坦克设计!$B$14:$K$20,9)/30))</f>
        <v>13.835552567967236</v>
      </c>
      <c r="FA220" s="173">
        <f ca="1">(VLOOKUP(FA$72,INDIRECT($C$5&amp;"生成成长"),2))/((VLOOKUP($B220,INDIRECT($B$5&amp;"生成成长"),4))/(VLOOKUP(FA$72,INDIRECT($C$5&amp;"生成成长"),5))*(VLOOKUP($B$5,标准坦克设计!$B$24:$U$30,MATCH("对"&amp;LEFT($C$5,2)&amp;"输出",标准坦克设计!$B$23:$U$23,0)))*(VLOOKUP($B220,INDIRECT($B$5&amp;"生成成长"),3))*(VLOOKUP($B$5,标准坦克设计!$B$14:$K$20,9)/30))</f>
        <v>14.726638036367321</v>
      </c>
      <c r="FB220" s="173">
        <f ca="1">(VLOOKUP(FB$72,INDIRECT($C$5&amp;"生成成长"),2))/((VLOOKUP($B220,INDIRECT($B$5&amp;"生成成长"),4))/(VLOOKUP(FB$72,INDIRECT($C$5&amp;"生成成长"),5))*(VLOOKUP($B$5,标准坦克设计!$B$24:$U$30,MATCH("对"&amp;LEFT($C$5,2)&amp;"输出",标准坦克设计!$B$23:$U$23,0)))*(VLOOKUP($B220,INDIRECT($B$5&amp;"生成成长"),3))*(VLOOKUP($B$5,标准坦克设计!$B$14:$K$20,9)/30))</f>
        <v>15.645530427185566</v>
      </c>
      <c r="FC220" s="173">
        <f ca="1">(VLOOKUP(FC$72,INDIRECT($C$5&amp;"生成成长"),2))/((VLOOKUP($B220,INDIRECT($B$5&amp;"生成成长"),4))/(VLOOKUP(FC$72,INDIRECT($C$5&amp;"生成成长"),5))*(VLOOKUP($B$5,标准坦克设计!$B$24:$U$30,MATCH("对"&amp;LEFT($C$5,2)&amp;"输出",标准坦克设计!$B$23:$U$23,0)))*(VLOOKUP($B220,INDIRECT($B$5&amp;"生成成长"),3))*(VLOOKUP($B$5,标准坦克设计!$B$14:$K$20,9)/30))</f>
        <v>16.592229740421971</v>
      </c>
      <c r="FD220" s="173">
        <f ca="1">(VLOOKUP(FD$72,INDIRECT($C$5&amp;"生成成长"),2))/((VLOOKUP($B220,INDIRECT($B$5&amp;"生成成长"),4))/(VLOOKUP(FD$72,INDIRECT($C$5&amp;"生成成长"),5))*(VLOOKUP($B$5,标准坦克设计!$B$24:$U$30,MATCH("对"&amp;LEFT($C$5,2)&amp;"输出",标准坦克设计!$B$23:$U$23,0)))*(VLOOKUP($B220,INDIRECT($B$5&amp;"生成成长"),3))*(VLOOKUP($B$5,标准坦克设计!$B$14:$K$20,9)/30))</f>
        <v>17.566735976076529</v>
      </c>
      <c r="FE220" s="173">
        <f ca="1">(VLOOKUP(FE$72,INDIRECT($C$5&amp;"生成成长"),2))/((VLOOKUP($B220,INDIRECT($B$5&amp;"生成成长"),4))/(VLOOKUP(FE$72,INDIRECT($C$5&amp;"生成成长"),5))*(VLOOKUP($B$5,标准坦克设计!$B$24:$U$30,MATCH("对"&amp;LEFT($C$5,2)&amp;"输出",标准坦克设计!$B$23:$U$23,0)))*(VLOOKUP($B220,INDIRECT($B$5&amp;"生成成长"),3))*(VLOOKUP($B$5,标准坦克设计!$B$14:$K$20,9)/30))</f>
        <v>18.754275410752857</v>
      </c>
      <c r="FF220" s="173">
        <f ca="1">(VLOOKUP(FF$72,INDIRECT($C$5&amp;"生成成长"),2))/((VLOOKUP($B220,INDIRECT($B$5&amp;"生成成长"),4))/(VLOOKUP(FF$72,INDIRECT($C$5&amp;"生成成长"),5))*(VLOOKUP($B$5,标准坦克设计!$B$24:$U$30,MATCH("对"&amp;LEFT($C$5,2)&amp;"输出",标准坦克设计!$B$23:$U$23,0)))*(VLOOKUP($B220,INDIRECT($B$5&amp;"生成成长"),3))*(VLOOKUP($B$5,标准坦克设计!$B$14:$K$20,9)/30))</f>
        <v>19.980652613104127</v>
      </c>
      <c r="FG220" s="173">
        <f ca="1">(VLOOKUP(FG$72,INDIRECT($C$5&amp;"生成成长"),2))/((VLOOKUP($B220,INDIRECT($B$5&amp;"生成成长"),4))/(VLOOKUP(FG$72,INDIRECT($C$5&amp;"生成成长"),5))*(VLOOKUP($B$5,标准坦克设计!$B$24:$U$30,MATCH("对"&amp;LEFT($C$5,2)&amp;"输出",标准坦克设计!$B$23:$U$23,0)))*(VLOOKUP($B220,INDIRECT($B$5&amp;"生成成长"),3))*(VLOOKUP($B$5,标准坦克设计!$B$14:$K$20,9)/30))</f>
        <v>21.245867583130348</v>
      </c>
      <c r="FH220" s="173">
        <f ca="1">(VLOOKUP(FH$72,INDIRECT($C$5&amp;"生成成长"),2))/((VLOOKUP($B220,INDIRECT($B$5&amp;"生成成长"),4))/(VLOOKUP(FH$72,INDIRECT($C$5&amp;"生成成长"),5))*(VLOOKUP($B$5,标准坦克设计!$B$24:$U$30,MATCH("对"&amp;LEFT($C$5,2)&amp;"输出",标准坦克设计!$B$23:$U$23,0)))*(VLOOKUP($B220,INDIRECT($B$5&amp;"生成成长"),3))*(VLOOKUP($B$5,标准坦克设计!$B$14:$K$20,9)/30))</f>
        <v>22.549920320831514</v>
      </c>
      <c r="FI220" s="173">
        <f ca="1">(VLOOKUP(FI$72,INDIRECT($C$5&amp;"生成成长"),2))/((VLOOKUP($B220,INDIRECT($B$5&amp;"生成成长"),4))/(VLOOKUP(FI$72,INDIRECT($C$5&amp;"生成成长"),5))*(VLOOKUP($B$5,标准坦克设计!$B$24:$U$30,MATCH("对"&amp;LEFT($C$5,2)&amp;"输出",标准坦克设计!$B$23:$U$23,0)))*(VLOOKUP($B220,INDIRECT($B$5&amp;"生成成长"),3))*(VLOOKUP($B$5,标准坦克设计!$B$14:$K$20,9)/30))</f>
        <v>23.89281082620764</v>
      </c>
      <c r="FJ220" s="173">
        <f ca="1">(VLOOKUP(FJ$72,INDIRECT($C$5&amp;"生成成长"),2))/((VLOOKUP($B220,INDIRECT($B$5&amp;"生成成长"),4))/(VLOOKUP(FJ$72,INDIRECT($C$5&amp;"生成成长"),5))*(VLOOKUP($B$5,标准坦克设计!$B$24:$U$30,MATCH("对"&amp;LEFT($C$5,2)&amp;"输出",标准坦克设计!$B$23:$U$23,0)))*(VLOOKUP($B220,INDIRECT($B$5&amp;"生成成长"),3))*(VLOOKUP($B$5,标准坦克设计!$B$14:$K$20,9)/30))</f>
        <v>25.274539099258703</v>
      </c>
      <c r="FK220" s="173">
        <f ca="1">(VLOOKUP(FK$72,INDIRECT($C$5&amp;"生成成长"),2))/((VLOOKUP($B220,INDIRECT($B$5&amp;"生成成长"),4))/(VLOOKUP(FK$72,INDIRECT($C$5&amp;"生成成长"),5))*(VLOOKUP($B$5,标准坦克设计!$B$24:$U$30,MATCH("对"&amp;LEFT($C$5,2)&amp;"输出",标准坦克设计!$B$23:$U$23,0)))*(VLOOKUP($B220,INDIRECT($B$5&amp;"生成成长"),3))*(VLOOKUP($B$5,标准坦克设计!$B$14:$K$20,9)/30))</f>
        <v>26.695105139984715</v>
      </c>
    </row>
    <row r="221" spans="1:167" x14ac:dyDescent="0.15">
      <c r="A221" s="171" t="str">
        <f t="shared" si="13"/>
        <v>T5高品质5级</v>
      </c>
      <c r="B221" s="172">
        <v>30505</v>
      </c>
      <c r="C221" s="173">
        <f ca="1">(VLOOKUP(C$72,INDIRECT($C$5&amp;"生成成长"),2))/((VLOOKUP($B221,INDIRECT($B$5&amp;"生成成长"),4))/(VLOOKUP(C$72,INDIRECT($C$5&amp;"生成成长"),5))*(VLOOKUP($B$5,标准坦克设计!$B$24:$U$30,MATCH("对"&amp;LEFT($C$5,2)&amp;"输出",标准坦克设计!$B$23:$U$23,0)))*(VLOOKUP($B221,INDIRECT($B$5&amp;"生成成长"),3))*(VLOOKUP($B$5,标准坦克设计!$B$14:$K$20,9)/30))</f>
        <v>1.0630486125044771</v>
      </c>
      <c r="D221" s="173">
        <f ca="1">(VLOOKUP(D$72,INDIRECT($C$5&amp;"生成成长"),2))/((VLOOKUP($B221,INDIRECT($B$5&amp;"生成成长"),4))/(VLOOKUP(D$72,INDIRECT($C$5&amp;"生成成长"),5))*(VLOOKUP($B$5,标准坦克设计!$B$24:$U$30,MATCH("对"&amp;LEFT($C$5,2)&amp;"输出",标准坦克设计!$B$23:$U$23,0)))*(VLOOKUP($B221,INDIRECT($B$5&amp;"生成成长"),3))*(VLOOKUP($B$5,标准坦克设计!$B$14:$K$20,9)/30))</f>
        <v>1.1944414210100305</v>
      </c>
      <c r="E221" s="173">
        <f ca="1">(VLOOKUP(E$72,INDIRECT($C$5&amp;"生成成长"),2))/((VLOOKUP($B221,INDIRECT($B$5&amp;"生成成长"),4))/(VLOOKUP(E$72,INDIRECT($C$5&amp;"生成成长"),5))*(VLOOKUP($B$5,标准坦克设计!$B$24:$U$30,MATCH("对"&amp;LEFT($C$5,2)&amp;"输出",标准坦克设计!$B$23:$U$23,0)))*(VLOOKUP($B221,INDIRECT($B$5&amp;"生成成长"),3))*(VLOOKUP($B$5,标准坦克设计!$B$14:$K$20,9)/30))</f>
        <v>1.3334881795256159</v>
      </c>
      <c r="F221" s="173">
        <f ca="1">(VLOOKUP(F$72,INDIRECT($C$5&amp;"生成成长"),2))/((VLOOKUP($B221,INDIRECT($B$5&amp;"生成成长"),4))/(VLOOKUP(F$72,INDIRECT($C$5&amp;"生成成长"),5))*(VLOOKUP($B$5,标准坦克设计!$B$24:$U$30,MATCH("对"&amp;LEFT($C$5,2)&amp;"输出",标准坦克设计!$B$23:$U$23,0)))*(VLOOKUP($B221,INDIRECT($B$5&amp;"生成成长"),3))*(VLOOKUP($B$5,标准坦克设计!$B$14:$K$20,9)/30))</f>
        <v>1.4801888880512335</v>
      </c>
      <c r="G221" s="173">
        <f ca="1">(VLOOKUP(G$72,INDIRECT($C$5&amp;"生成成长"),2))/((VLOOKUP($B221,INDIRECT($B$5&amp;"生成成长"),4))/(VLOOKUP(G$72,INDIRECT($C$5&amp;"生成成长"),5))*(VLOOKUP($B$5,标准坦克设计!$B$24:$U$30,MATCH("对"&amp;LEFT($C$5,2)&amp;"输出",标准坦克设计!$B$23:$U$23,0)))*(VLOOKUP($B221,INDIRECT($B$5&amp;"生成成长"),3))*(VLOOKUP($B$5,标准坦克设计!$B$14:$K$20,9)/30))</f>
        <v>1.6345435465868836</v>
      </c>
      <c r="H221" s="173">
        <f ca="1">(VLOOKUP(H$72,INDIRECT($C$5&amp;"生成成长"),2))/((VLOOKUP($B221,INDIRECT($B$5&amp;"生成成长"),4))/(VLOOKUP(H$72,INDIRECT($C$5&amp;"生成成长"),5))*(VLOOKUP($B$5,标准坦克设计!$B$24:$U$30,MATCH("对"&amp;LEFT($C$5,2)&amp;"输出",标准坦克设计!$B$23:$U$23,0)))*(VLOOKUP($B221,INDIRECT($B$5&amp;"生成成长"),3))*(VLOOKUP($B$5,标准坦克设计!$B$14:$K$20,9)/30))</f>
        <v>1.4304382129860245</v>
      </c>
      <c r="I221" s="173">
        <f ca="1">(VLOOKUP(I$72,INDIRECT($C$5&amp;"生成成长"),2))/((VLOOKUP($B221,INDIRECT($B$5&amp;"生成成长"),4))/(VLOOKUP(I$72,INDIRECT($C$5&amp;"生成成长"),5))*(VLOOKUP($B$5,标准坦克设计!$B$24:$U$30,MATCH("对"&amp;LEFT($C$5,2)&amp;"输出",标准坦克设计!$B$23:$U$23,0)))*(VLOOKUP($B221,INDIRECT($B$5&amp;"生成成长"),3))*(VLOOKUP($B$5,标准坦克设计!$B$14:$K$20,9)/30))</f>
        <v>1.6345435465868836</v>
      </c>
      <c r="J221" s="173">
        <f ca="1">(VLOOKUP(J$72,INDIRECT($C$5&amp;"生成成长"),2))/((VLOOKUP($B221,INDIRECT($B$5&amp;"生成成长"),4))/(VLOOKUP(J$72,INDIRECT($C$5&amp;"生成成长"),5))*(VLOOKUP($B$5,标准坦克设计!$B$24:$U$30,MATCH("对"&amp;LEFT($C$5,2)&amp;"输出",标准坦克设计!$B$23:$U$23,0)))*(VLOOKUP($B221,INDIRECT($B$5&amp;"生成成长"),3))*(VLOOKUP($B$5,标准坦克设计!$B$14:$K$20,9)/30))</f>
        <v>1.8522559024278009</v>
      </c>
      <c r="K221" s="173">
        <f ca="1">(VLOOKUP(K$72,INDIRECT($C$5&amp;"生成成长"),2))/((VLOOKUP($B221,INDIRECT($B$5&amp;"生成成长"),4))/(VLOOKUP(K$72,INDIRECT($C$5&amp;"生成成长"),5))*(VLOOKUP($B$5,标准坦克设计!$B$24:$U$30,MATCH("对"&amp;LEFT($C$5,2)&amp;"输出",标准坦克设计!$B$23:$U$23,0)))*(VLOOKUP($B221,INDIRECT($B$5&amp;"生成成长"),3))*(VLOOKUP($B$5,标准坦克设计!$B$14:$K$20,9)/30))</f>
        <v>2.0835752805087751</v>
      </c>
      <c r="L221" s="173">
        <f ca="1">(VLOOKUP(L$72,INDIRECT($C$5&amp;"生成成长"),2))/((VLOOKUP($B221,INDIRECT($B$5&amp;"生成成长"),4))/(VLOOKUP(L$72,INDIRECT($C$5&amp;"生成成长"),5))*(VLOOKUP($B$5,标准坦克设计!$B$24:$U$30,MATCH("对"&amp;LEFT($C$5,2)&amp;"输出",标准坦克设计!$B$23:$U$23,0)))*(VLOOKUP($B221,INDIRECT($B$5&amp;"生成成长"),3))*(VLOOKUP($B$5,标准坦克设计!$B$14:$K$20,9)/30))</f>
        <v>2.3285016808298065</v>
      </c>
      <c r="M221" s="173">
        <f ca="1">(VLOOKUP(M$72,INDIRECT($C$5&amp;"生成成长"),2))/((VLOOKUP($B221,INDIRECT($B$5&amp;"生成成长"),4))/(VLOOKUP(M$72,INDIRECT($C$5&amp;"生成成长"),5))*(VLOOKUP($B$5,标准坦克设计!$B$24:$U$30,MATCH("对"&amp;LEFT($C$5,2)&amp;"输出",标准坦克设计!$B$23:$U$23,0)))*(VLOOKUP($B221,INDIRECT($B$5&amp;"生成成长"),3))*(VLOOKUP($B$5,标准坦克设计!$B$14:$K$20,9)/30))</f>
        <v>2.5870351033908952</v>
      </c>
      <c r="N221" s="173">
        <f ca="1">(VLOOKUP(N$72,INDIRECT($C$5&amp;"生成成长"),2))/((VLOOKUP($B221,INDIRECT($B$5&amp;"生成成长"),4))/(VLOOKUP(N$72,INDIRECT($C$5&amp;"生成成长"),5))*(VLOOKUP($B$5,标准坦克设计!$B$24:$U$30,MATCH("对"&amp;LEFT($C$5,2)&amp;"输出",标准坦克设计!$B$23:$U$23,0)))*(VLOOKUP($B221,INDIRECT($B$5&amp;"生成成长"),3))*(VLOOKUP($B$5,标准坦克设计!$B$14:$K$20,9)/30))</f>
        <v>2.8591755481920411</v>
      </c>
      <c r="O221" s="173">
        <f ca="1">(VLOOKUP(O$72,INDIRECT($C$5&amp;"生成成长"),2))/((VLOOKUP($B221,INDIRECT($B$5&amp;"生成成长"),4))/(VLOOKUP(O$72,INDIRECT($C$5&amp;"生成成长"),5))*(VLOOKUP($B$5,标准坦克设计!$B$24:$U$30,MATCH("对"&amp;LEFT($C$5,2)&amp;"输出",标准坦克设计!$B$23:$U$23,0)))*(VLOOKUP($B221,INDIRECT($B$5&amp;"生成成长"),3))*(VLOOKUP($B$5,标准坦克设计!$B$14:$K$20,9)/30))</f>
        <v>2.1738281077104049</v>
      </c>
      <c r="P221" s="173">
        <f ca="1">(VLOOKUP(P$72,INDIRECT($C$5&amp;"生成成长"),2))/((VLOOKUP($B221,INDIRECT($B$5&amp;"生成成长"),4))/(VLOOKUP(P$72,INDIRECT($C$5&amp;"生成成长"),5))*(VLOOKUP($B$5,标准坦克设计!$B$24:$U$30,MATCH("对"&amp;LEFT($C$5,2)&amp;"输出",标准坦克设计!$B$23:$U$23,0)))*(VLOOKUP($B221,INDIRECT($B$5&amp;"生成成长"),3))*(VLOOKUP($B$5,标准坦克设计!$B$14:$K$20,9)/30))</f>
        <v>2.4560675143303436</v>
      </c>
      <c r="Q221" s="173">
        <f ca="1">(VLOOKUP(Q$72,INDIRECT($C$5&amp;"生成成长"),2))/((VLOOKUP($B221,INDIRECT($B$5&amp;"生成成长"),4))/(VLOOKUP(Q$72,INDIRECT($C$5&amp;"生成成长"),5))*(VLOOKUP($B$5,标准坦克设计!$B$24:$U$30,MATCH("对"&amp;LEFT($C$5,2)&amp;"输出",标准坦克设计!$B$23:$U$23,0)))*(VLOOKUP($B221,INDIRECT($B$5&amp;"生成成长"),3))*(VLOOKUP($B$5,标准坦克设计!$B$14:$K$20,9)/30))</f>
        <v>2.7555283084728543</v>
      </c>
      <c r="R221" s="173">
        <f ca="1">(VLOOKUP(R$72,INDIRECT($C$5&amp;"生成成长"),2))/((VLOOKUP($B221,INDIRECT($B$5&amp;"生成成长"),4))/(VLOOKUP(R$72,INDIRECT($C$5&amp;"生成成长"),5))*(VLOOKUP($B$5,标准坦克设计!$B$24:$U$30,MATCH("对"&amp;LEFT($C$5,2)&amp;"输出",标准坦克设计!$B$23:$U$23,0)))*(VLOOKUP($B221,INDIRECT($B$5&amp;"生成成长"),3))*(VLOOKUP($B$5,标准坦克设计!$B$14:$K$20,9)/30))</f>
        <v>3.0722104901379392</v>
      </c>
      <c r="S221" s="173">
        <f ca="1">(VLOOKUP(S$72,INDIRECT($C$5&amp;"生成成长"),2))/((VLOOKUP($B221,INDIRECT($B$5&amp;"生成成长"),4))/(VLOOKUP(S$72,INDIRECT($C$5&amp;"生成成长"),5))*(VLOOKUP($B$5,标准坦克设计!$B$24:$U$30,MATCH("对"&amp;LEFT($C$5,2)&amp;"输出",标准坦克设计!$B$23:$U$23,0)))*(VLOOKUP($B221,INDIRECT($B$5&amp;"生成成长"),3))*(VLOOKUP($B$5,标准坦克设计!$B$14:$K$20,9)/30))</f>
        <v>3.4061140593255947</v>
      </c>
      <c r="T221" s="173">
        <f ca="1">(VLOOKUP(T$72,INDIRECT($C$5&amp;"生成成长"),2))/((VLOOKUP($B221,INDIRECT($B$5&amp;"生成成长"),4))/(VLOOKUP(T$72,INDIRECT($C$5&amp;"生成成长"),5))*(VLOOKUP($B$5,标准坦克设计!$B$24:$U$30,MATCH("对"&amp;LEFT($C$5,2)&amp;"输出",标准坦克设计!$B$23:$U$23,0)))*(VLOOKUP($B221,INDIRECT($B$5&amp;"生成成长"),3))*(VLOOKUP($B$5,标准坦克设计!$B$14:$K$20,9)/30))</f>
        <v>3.7572390160358244</v>
      </c>
      <c r="U221" s="173">
        <f ca="1">(VLOOKUP(U$72,INDIRECT($C$5&amp;"生成成长"),2))/((VLOOKUP($B221,INDIRECT($B$5&amp;"生成成长"),4))/(VLOOKUP(U$72,INDIRECT($C$5&amp;"生成成长"),5))*(VLOOKUP($B$5,标准坦克设计!$B$24:$U$30,MATCH("对"&amp;LEFT($C$5,2)&amp;"输出",标准坦克设计!$B$23:$U$23,0)))*(VLOOKUP($B221,INDIRECT($B$5&amp;"生成成长"),3))*(VLOOKUP($B$5,标准坦克设计!$B$14:$K$20,9)/30))</f>
        <v>4.1255853602686248</v>
      </c>
      <c r="V221" s="173">
        <f ca="1">(VLOOKUP(V$72,INDIRECT($C$5&amp;"生成成长"),2))/((VLOOKUP($B221,INDIRECT($B$5&amp;"生成成长"),4))/(VLOOKUP(V$72,INDIRECT($C$5&amp;"生成成长"),5))*(VLOOKUP($B$5,标准坦克设计!$B$24:$U$30,MATCH("对"&amp;LEFT($C$5,2)&amp;"输出",标准坦克设计!$B$23:$U$23,0)))*(VLOOKUP($B221,INDIRECT($B$5&amp;"生成成长"),3))*(VLOOKUP($B$5,标准坦克设计!$B$14:$K$20,9)/30))</f>
        <v>4.5111530920239993</v>
      </c>
      <c r="W221" s="173">
        <f ca="1">(VLOOKUP(W$72,INDIRECT($C$5&amp;"生成成长"),2))/((VLOOKUP($B221,INDIRECT($B$5&amp;"生成成长"),4))/(VLOOKUP(W$72,INDIRECT($C$5&amp;"生成成长"),5))*(VLOOKUP($B$5,标准坦克设计!$B$24:$U$30,MATCH("对"&amp;LEFT($C$5,2)&amp;"输出",标准坦克设计!$B$23:$U$23,0)))*(VLOOKUP($B221,INDIRECT($B$5&amp;"生成成长"),3))*(VLOOKUP($B$5,标准坦克设计!$B$14:$K$20,9)/30))</f>
        <v>4.9139422113019453</v>
      </c>
      <c r="X221" s="173">
        <f ca="1">(VLOOKUP(X$72,INDIRECT($C$5&amp;"生成成长"),2))/((VLOOKUP($B221,INDIRECT($B$5&amp;"生成成长"),4))/(VLOOKUP(X$72,INDIRECT($C$5&amp;"生成成长"),5))*(VLOOKUP($B$5,标准坦克设计!$B$24:$U$30,MATCH("对"&amp;LEFT($C$5,2)&amp;"输出",标准坦克设计!$B$23:$U$23,0)))*(VLOOKUP($B221,INDIRECT($B$5&amp;"生成成长"),3))*(VLOOKUP($B$5,标准坦克设计!$B$14:$K$20,9)/30))</f>
        <v>3.5600434984162428</v>
      </c>
      <c r="Y221" s="173">
        <f ca="1">(VLOOKUP(Y$72,INDIRECT($C$5&amp;"生成成长"),2))/((VLOOKUP($B221,INDIRECT($B$5&amp;"生成成长"),4))/(VLOOKUP(Y$72,INDIRECT($C$5&amp;"生成成长"),5))*(VLOOKUP($B$5,标准坦克设计!$B$24:$U$30,MATCH("对"&amp;LEFT($C$5,2)&amp;"输出",标准坦克设计!$B$23:$U$23,0)))*(VLOOKUP($B221,INDIRECT($B$5&amp;"生成成长"),3))*(VLOOKUP($B$5,标准坦克设计!$B$14:$K$20,9)/30))</f>
        <v>3.9597497767179264</v>
      </c>
      <c r="Z221" s="173">
        <f ca="1">(VLOOKUP(Z$72,INDIRECT($C$5&amp;"生成成长"),2))/((VLOOKUP($B221,INDIRECT($B$5&amp;"生成成长"),4))/(VLOOKUP(Z$72,INDIRECT($C$5&amp;"生成成长"),5))*(VLOOKUP($B$5,标准坦克设计!$B$24:$U$30,MATCH("对"&amp;LEFT($C$5,2)&amp;"输出",标准坦克设计!$B$23:$U$23,0)))*(VLOOKUP($B221,INDIRECT($B$5&amp;"生成成长"),3))*(VLOOKUP($B$5,标准坦克设计!$B$14:$K$20,9)/30))</f>
        <v>4.3807170272696991</v>
      </c>
      <c r="AA221" s="173">
        <f ca="1">(VLOOKUP(AA$72,INDIRECT($C$5&amp;"生成成长"),2))/((VLOOKUP($B221,INDIRECT($B$5&amp;"生成成长"),4))/(VLOOKUP(AA$72,INDIRECT($C$5&amp;"生成成长"),5))*(VLOOKUP($B$5,标准坦克设计!$B$24:$U$30,MATCH("对"&amp;LEFT($C$5,2)&amp;"输出",标准坦克设计!$B$23:$U$23,0)))*(VLOOKUP($B221,INDIRECT($B$5&amp;"生成成长"),3))*(VLOOKUP($B$5,标准坦克设计!$B$14:$K$20,9)/30))</f>
        <v>4.8229452500715624</v>
      </c>
      <c r="AB221" s="173">
        <f ca="1">(VLOOKUP(AB$72,INDIRECT($C$5&amp;"生成成长"),2))/((VLOOKUP($B221,INDIRECT($B$5&amp;"生成成长"),4))/(VLOOKUP(AB$72,INDIRECT($C$5&amp;"生成成长"),5))*(VLOOKUP($B$5,标准坦克设计!$B$24:$U$30,MATCH("对"&amp;LEFT($C$5,2)&amp;"输出",标准坦克设计!$B$23:$U$23,0)))*(VLOOKUP($B221,INDIRECT($B$5&amp;"生成成长"),3))*(VLOOKUP($B$5,标准坦克设计!$B$14:$K$20,9)/30))</f>
        <v>5.2864344451235139</v>
      </c>
      <c r="AC221" s="173">
        <f ca="1">(VLOOKUP(AC$72,INDIRECT($C$5&amp;"生成成长"),2))/((VLOOKUP($B221,INDIRECT($B$5&amp;"生成成长"),4))/(VLOOKUP(AC$72,INDIRECT($C$5&amp;"生成成长"),5))*(VLOOKUP($B$5,标准坦克设计!$B$24:$U$30,MATCH("对"&amp;LEFT($C$5,2)&amp;"输出",标准坦克设计!$B$23:$U$23,0)))*(VLOOKUP($B221,INDIRECT($B$5&amp;"生成成长"),3))*(VLOOKUP($B$5,标准坦克设计!$B$14:$K$20,9)/30))</f>
        <v>5.7711846124255555</v>
      </c>
      <c r="AD221" s="173">
        <f ca="1">(VLOOKUP(AD$72,INDIRECT($C$5&amp;"生成成长"),2))/((VLOOKUP($B221,INDIRECT($B$5&amp;"生成成长"),4))/(VLOOKUP(AD$72,INDIRECT($C$5&amp;"生成成长"),5))*(VLOOKUP($B$5,标准坦克设计!$B$24:$U$30,MATCH("对"&amp;LEFT($C$5,2)&amp;"输出",标准坦克设计!$B$23:$U$23,0)))*(VLOOKUP($B221,INDIRECT($B$5&amp;"生成成长"),3))*(VLOOKUP($B$5,标准坦克设计!$B$14:$K$20,9)/30))</f>
        <v>6.2771957519776871</v>
      </c>
      <c r="AE221" s="173">
        <f ca="1">(VLOOKUP(AE$72,INDIRECT($C$5&amp;"生成成长"),2))/((VLOOKUP($B221,INDIRECT($B$5&amp;"生成成长"),4))/(VLOOKUP(AE$72,INDIRECT($C$5&amp;"生成成长"),5))*(VLOOKUP($B$5,标准坦克设计!$B$24:$U$30,MATCH("对"&amp;LEFT($C$5,2)&amp;"输出",标准坦克设计!$B$23:$U$23,0)))*(VLOOKUP($B221,INDIRECT($B$5&amp;"生成成长"),3))*(VLOOKUP($B$5,标准坦克设计!$B$14:$K$20,9)/30))</f>
        <v>6.804467863779907</v>
      </c>
      <c r="AF221" s="173">
        <f ca="1">(VLOOKUP(AF$72,INDIRECT($C$5&amp;"生成成长"),2))/((VLOOKUP($B221,INDIRECT($B$5&amp;"生成成长"),4))/(VLOOKUP(AF$72,INDIRECT($C$5&amp;"生成成长"),5))*(VLOOKUP($B$5,标准坦克设计!$B$24:$U$30,MATCH("对"&amp;LEFT($C$5,2)&amp;"输出",标准坦克设计!$B$23:$U$23,0)))*(VLOOKUP($B221,INDIRECT($B$5&amp;"生成成长"),3))*(VLOOKUP($B$5,标准坦克设计!$B$14:$K$20,9)/30))</f>
        <v>7.3530009478322187</v>
      </c>
      <c r="AG221" s="173">
        <f ca="1">(VLOOKUP(AG$72,INDIRECT($C$5&amp;"生成成长"),2))/((VLOOKUP($B221,INDIRECT($B$5&amp;"生成成长"),4))/(VLOOKUP(AG$72,INDIRECT($C$5&amp;"生成成长"),5))*(VLOOKUP($B$5,标准坦克设计!$B$24:$U$30,MATCH("对"&amp;LEFT($C$5,2)&amp;"输出",标准坦克设计!$B$23:$U$23,0)))*(VLOOKUP($B221,INDIRECT($B$5&amp;"生成成长"),3))*(VLOOKUP($B$5,标准坦克设计!$B$14:$K$20,9)/30))</f>
        <v>7.9227950041346178</v>
      </c>
      <c r="AH221" s="173">
        <f ca="1">(VLOOKUP(AH$72,INDIRECT($C$5&amp;"生成成长"),2))/((VLOOKUP($B221,INDIRECT($B$5&amp;"生成成长"),4))/(VLOOKUP(AH$72,INDIRECT($C$5&amp;"生成成长"),5))*(VLOOKUP($B$5,标准坦克设计!$B$24:$U$30,MATCH("对"&amp;LEFT($C$5,2)&amp;"输出",标准坦克设计!$B$23:$U$23,0)))*(VLOOKUP($B221,INDIRECT($B$5&amp;"生成成长"),3))*(VLOOKUP($B$5,标准坦克设计!$B$14:$K$20,9)/30))</f>
        <v>8.5138500326871061</v>
      </c>
      <c r="AI221" s="173">
        <f ca="1">(VLOOKUP(AI$72,INDIRECT($C$5&amp;"生成成长"),2))/((VLOOKUP($B221,INDIRECT($B$5&amp;"生成成长"),4))/(VLOOKUP(AI$72,INDIRECT($C$5&amp;"生成成长"),5))*(VLOOKUP($B$5,标准坦克设计!$B$24:$U$30,MATCH("对"&amp;LEFT($C$5,2)&amp;"输出",标准坦克设计!$B$23:$U$23,0)))*(VLOOKUP($B221,INDIRECT($B$5&amp;"生成成长"),3))*(VLOOKUP($B$5,标准坦克设计!$B$14:$K$20,9)/30))</f>
        <v>6.0215325606703596</v>
      </c>
      <c r="AJ221" s="173">
        <f ca="1">(VLOOKUP(AJ$72,INDIRECT($C$5&amp;"生成成长"),2))/((VLOOKUP($B221,INDIRECT($B$5&amp;"生成成长"),4))/(VLOOKUP(AJ$72,INDIRECT($C$5&amp;"生成成长"),5))*(VLOOKUP($B$5,标准坦克设计!$B$24:$U$30,MATCH("对"&amp;LEFT($C$5,2)&amp;"输出",标准坦克设计!$B$23:$U$23,0)))*(VLOOKUP($B221,INDIRECT($B$5&amp;"生成成长"),3))*(VLOOKUP($B$5,标准坦克设计!$B$14:$K$20,9)/30))</f>
        <v>6.5910077023890086</v>
      </c>
      <c r="AK221" s="173">
        <f ca="1">(VLOOKUP(AK$72,INDIRECT($C$5&amp;"生成成长"),2))/((VLOOKUP($B221,INDIRECT($B$5&amp;"生成成长"),4))/(VLOOKUP(AK$72,INDIRECT($C$5&amp;"生成成长"),5))*(VLOOKUP($B$5,标准坦克设计!$B$24:$U$30,MATCH("对"&amp;LEFT($C$5,2)&amp;"输出",标准坦克设计!$B$23:$U$23,0)))*(VLOOKUP($B221,INDIRECT($B$5&amp;"生成成长"),3))*(VLOOKUP($B$5,标准坦克设计!$B$14:$K$20,9)/30))</f>
        <v>7.1862086205302633</v>
      </c>
      <c r="AL221" s="173">
        <f ca="1">(VLOOKUP(AL$72,INDIRECT($C$5&amp;"生成成长"),2))/((VLOOKUP($B221,INDIRECT($B$5&amp;"生成成长"),4))/(VLOOKUP(AL$72,INDIRECT($C$5&amp;"生成成长"),5))*(VLOOKUP($B$5,标准坦克设计!$B$24:$U$30,MATCH("对"&amp;LEFT($C$5,2)&amp;"输出",标准坦克设计!$B$23:$U$23,0)))*(VLOOKUP($B221,INDIRECT($B$5&amp;"生成成长"),3))*(VLOOKUP($B$5,标准坦克设计!$B$14:$K$20,9)/30))</f>
        <v>7.8071353150941301</v>
      </c>
      <c r="AM221" s="173">
        <f ca="1">(VLOOKUP(AM$72,INDIRECT($C$5&amp;"生成成长"),2))/((VLOOKUP($B221,INDIRECT($B$5&amp;"生成成长"),4))/(VLOOKUP(AM$72,INDIRECT($C$5&amp;"生成成长"),5))*(VLOOKUP($B$5,标准坦克设计!$B$24:$U$30,MATCH("对"&amp;LEFT($C$5,2)&amp;"输出",标准坦克设计!$B$23:$U$23,0)))*(VLOOKUP($B221,INDIRECT($B$5&amp;"生成成长"),3))*(VLOOKUP($B$5,标准坦克设计!$B$14:$K$20,9)/30))</f>
        <v>8.4537877860806034</v>
      </c>
      <c r="AN221" s="173">
        <f ca="1">(VLOOKUP(AN$72,INDIRECT($C$5&amp;"生成成长"),2))/((VLOOKUP($B221,INDIRECT($B$5&amp;"生成成长"),4))/(VLOOKUP(AN$72,INDIRECT($C$5&amp;"生成成长"),5))*(VLOOKUP($B$5,标准坦克设计!$B$24:$U$30,MATCH("对"&amp;LEFT($C$5,2)&amp;"输出",标准坦克设计!$B$23:$U$23,0)))*(VLOOKUP($B221,INDIRECT($B$5&amp;"生成成长"),3))*(VLOOKUP($B$5,标准坦克设计!$B$14:$K$20,9)/30))</f>
        <v>9.1261660334896852</v>
      </c>
      <c r="AO221" s="173">
        <f ca="1">(VLOOKUP(AO$72,INDIRECT($C$5&amp;"生成成长"),2))/((VLOOKUP($B221,INDIRECT($B$5&amp;"生成成长"),4))/(VLOOKUP(AO$72,INDIRECT($C$5&amp;"生成成长"),5))*(VLOOKUP($B$5,标准坦克设计!$B$24:$U$30,MATCH("对"&amp;LEFT($C$5,2)&amp;"输出",标准坦克设计!$B$23:$U$23,0)))*(VLOOKUP($B221,INDIRECT($B$5&amp;"生成成长"),3))*(VLOOKUP($B$5,标准坦克设计!$B$14:$K$20,9)/30))</f>
        <v>9.8242700573213746</v>
      </c>
      <c r="AP221" s="173">
        <f ca="1">(VLOOKUP(AP$72,INDIRECT($C$5&amp;"生成成长"),2))/((VLOOKUP($B221,INDIRECT($B$5&amp;"生成成长"),4))/(VLOOKUP(AP$72,INDIRECT($C$5&amp;"生成成长"),5))*(VLOOKUP($B$5,标准坦克设计!$B$24:$U$30,MATCH("对"&amp;LEFT($C$5,2)&amp;"输出",标准坦克设计!$B$23:$U$23,0)))*(VLOOKUP($B221,INDIRECT($B$5&amp;"生成成长"),3))*(VLOOKUP($B$5,标准坦克设计!$B$14:$K$20,9)/30))</f>
        <v>10.548099857575671</v>
      </c>
      <c r="AQ221" s="173">
        <f ca="1">(VLOOKUP(AQ$72,INDIRECT($C$5&amp;"生成成长"),2))/((VLOOKUP($B221,INDIRECT($B$5&amp;"生成成长"),4))/(VLOOKUP(AQ$72,INDIRECT($C$5&amp;"生成成长"),5))*(VLOOKUP($B$5,标准坦克设计!$B$24:$U$30,MATCH("对"&amp;LEFT($C$5,2)&amp;"输出",标准坦克设计!$B$23:$U$23,0)))*(VLOOKUP($B221,INDIRECT($B$5&amp;"生成成长"),3))*(VLOOKUP($B$5,标准坦克设计!$B$14:$K$20,9)/30))</f>
        <v>11.297655434252579</v>
      </c>
      <c r="AR221" s="173">
        <f ca="1">(VLOOKUP(AR$72,INDIRECT($C$5&amp;"生成成长"),2))/((VLOOKUP($B221,INDIRECT($B$5&amp;"生成成长"),4))/(VLOOKUP(AR$72,INDIRECT($C$5&amp;"生成成长"),5))*(VLOOKUP($B$5,标准坦克设计!$B$24:$U$30,MATCH("对"&amp;LEFT($C$5,2)&amp;"输出",标准坦克设计!$B$23:$U$23,0)))*(VLOOKUP($B221,INDIRECT($B$5&amp;"生成成长"),3))*(VLOOKUP($B$5,标准坦克设计!$B$14:$K$20,9)/30))</f>
        <v>12.072936787352095</v>
      </c>
      <c r="AS221" s="173">
        <f ca="1">(VLOOKUP(AS$72,INDIRECT($C$5&amp;"生成成长"),2))/((VLOOKUP($B221,INDIRECT($B$5&amp;"生成成长"),4))/(VLOOKUP(AS$72,INDIRECT($C$5&amp;"生成成长"),5))*(VLOOKUP($B$5,标准坦克设计!$B$24:$U$30,MATCH("对"&amp;LEFT($C$5,2)&amp;"输出",标准坦克设计!$B$23:$U$23,0)))*(VLOOKUP($B221,INDIRECT($B$5&amp;"生成成长"),3))*(VLOOKUP($B$5,标准坦克设计!$B$14:$K$20,9)/30))</f>
        <v>12.87394391687422</v>
      </c>
      <c r="AT221" s="173">
        <f ca="1">(VLOOKUP(AT$72,INDIRECT($C$5&amp;"生成成长"),2))/((VLOOKUP($B221,INDIRECT($B$5&amp;"生成成长"),4))/(VLOOKUP(AT$72,INDIRECT($C$5&amp;"生成成长"),5))*(VLOOKUP($B$5,标准坦克设计!$B$24:$U$30,MATCH("对"&amp;LEFT($C$5,2)&amp;"输出",标准坦克设计!$B$23:$U$23,0)))*(VLOOKUP($B221,INDIRECT($B$5&amp;"生成成长"),3))*(VLOOKUP($B$5,标准坦克设计!$B$14:$K$20,9)/30))</f>
        <v>13.70067682281895</v>
      </c>
      <c r="AU221" s="173">
        <f ca="1">(VLOOKUP(AU$72,INDIRECT($C$5&amp;"生成成长"),2))/((VLOOKUP($B221,INDIRECT($B$5&amp;"生成成长"),4))/(VLOOKUP(AU$72,INDIRECT($C$5&amp;"生成成长"),5))*(VLOOKUP($B$5,标准坦克设计!$B$24:$U$30,MATCH("对"&amp;LEFT($C$5,2)&amp;"输出",标准坦克设计!$B$23:$U$23,0)))*(VLOOKUP($B221,INDIRECT($B$5&amp;"生成成长"),3))*(VLOOKUP($B$5,标准坦克设计!$B$14:$K$20,9)/30))</f>
        <v>14.55313550518629</v>
      </c>
      <c r="AV221" s="173">
        <f ca="1">(VLOOKUP(AV$72,INDIRECT($C$5&amp;"生成成长"),2))/((VLOOKUP($B221,INDIRECT($B$5&amp;"生成成长"),4))/(VLOOKUP(AV$72,INDIRECT($C$5&amp;"生成成长"),5))*(VLOOKUP($B$5,标准坦克设计!$B$24:$U$30,MATCH("对"&amp;LEFT($C$5,2)&amp;"输出",标准坦克设计!$B$23:$U$23,0)))*(VLOOKUP($B221,INDIRECT($B$5&amp;"生成成长"),3))*(VLOOKUP($B$5,标准坦克设计!$B$14:$K$20,9)/30))</f>
        <v>1.4801888880512335</v>
      </c>
      <c r="AW221" s="173">
        <f ca="1">(VLOOKUP(AW$72,INDIRECT($C$5&amp;"生成成长"),2))/((VLOOKUP($B221,INDIRECT($B$5&amp;"生成成长"),4))/(VLOOKUP(AW$72,INDIRECT($C$5&amp;"生成成长"),5))*(VLOOKUP($B$5,标准坦克设计!$B$24:$U$30,MATCH("对"&amp;LEFT($C$5,2)&amp;"输出",标准坦克设计!$B$23:$U$23,0)))*(VLOOKUP($B221,INDIRECT($B$5&amp;"生成成长"),3))*(VLOOKUP($B$5,标准坦克设计!$B$14:$K$20,9)/30))</f>
        <v>1.6876959772121078</v>
      </c>
      <c r="AX221" s="173">
        <f ca="1">(VLOOKUP(AX$72,INDIRECT($C$5&amp;"生成成长"),2))/((VLOOKUP($B221,INDIRECT($B$5&amp;"生成成长"),4))/(VLOOKUP(AX$72,INDIRECT($C$5&amp;"生成成长"),5))*(VLOOKUP($B$5,标准坦克设计!$B$24:$U$30,MATCH("对"&amp;LEFT($C$5,2)&amp;"输出",标准坦克设计!$B$23:$U$23,0)))*(VLOOKUP($B221,INDIRECT($B$5&amp;"生成成长"),3))*(VLOOKUP($B$5,标准坦克设计!$B$14:$K$20,9)/30))</f>
        <v>1.9088100886130388</v>
      </c>
      <c r="AY221" s="173">
        <f ca="1">(VLOOKUP(AY$72,INDIRECT($C$5&amp;"生成成长"),2))/((VLOOKUP($B221,INDIRECT($B$5&amp;"生成成长"),4))/(VLOOKUP(AY$72,INDIRECT($C$5&amp;"生成成长"),5))*(VLOOKUP($B$5,标准坦克设计!$B$24:$U$30,MATCH("对"&amp;LEFT($C$5,2)&amp;"输出",标准坦克设计!$B$23:$U$23,0)))*(VLOOKUP($B221,INDIRECT($B$5&amp;"生成成长"),3))*(VLOOKUP($B$5,标准坦克设计!$B$14:$K$20,9)/30))</f>
        <v>2.1435312222540279</v>
      </c>
      <c r="AZ221" s="173">
        <f ca="1">(VLOOKUP(AZ$72,INDIRECT($C$5&amp;"生成成长"),2))/((VLOOKUP($B221,INDIRECT($B$5&amp;"生成成长"),4))/(VLOOKUP(AZ$72,INDIRECT($C$5&amp;"生成成长"),5))*(VLOOKUP($B$5,标准坦克设计!$B$24:$U$30,MATCH("对"&amp;LEFT($C$5,2)&amp;"输出",标准坦克设计!$B$23:$U$23,0)))*(VLOOKUP($B221,INDIRECT($B$5&amp;"生成成长"),3))*(VLOOKUP($B$5,标准坦克设计!$B$14:$K$20,9)/30))</f>
        <v>2.3918593781350732</v>
      </c>
      <c r="BA221" s="173">
        <f ca="1">(VLOOKUP(BA$72,INDIRECT($C$5&amp;"生成成长"),2))/((VLOOKUP($B221,INDIRECT($B$5&amp;"生成成长"),4))/(VLOOKUP(BA$72,INDIRECT($C$5&amp;"生成成长"),5))*(VLOOKUP($B$5,标准坦克设计!$B$24:$U$30,MATCH("对"&amp;LEFT($C$5,2)&amp;"输出",标准坦克设计!$B$23:$U$23,0)))*(VLOOKUP($B221,INDIRECT($B$5&amp;"生成成长"),3))*(VLOOKUP($B$5,标准坦克设计!$B$14:$K$20,9)/30))</f>
        <v>2.6537945562561767</v>
      </c>
      <c r="BB221" s="173">
        <f ca="1">(VLOOKUP(BB$72,INDIRECT($C$5&amp;"生成成长"),2))/((VLOOKUP($B221,INDIRECT($B$5&amp;"生成成长"),4))/(VLOOKUP(BB$72,INDIRECT($C$5&amp;"生成成长"),5))*(VLOOKUP($B$5,标准坦克设计!$B$24:$U$30,MATCH("对"&amp;LEFT($C$5,2)&amp;"输出",标准坦克设计!$B$23:$U$23,0)))*(VLOOKUP($B221,INDIRECT($B$5&amp;"生成成长"),3))*(VLOOKUP($B$5,标准坦克设计!$B$14:$K$20,9)/30))</f>
        <v>2.9293367566173374</v>
      </c>
      <c r="BC221" s="173">
        <f ca="1">(VLOOKUP(BC$72,INDIRECT($C$5&amp;"生成成长"),2))/((VLOOKUP($B221,INDIRECT($B$5&amp;"生成成长"),4))/(VLOOKUP(BC$72,INDIRECT($C$5&amp;"生成成长"),5))*(VLOOKUP($B$5,标准坦克设计!$B$24:$U$30,MATCH("对"&amp;LEFT($C$5,2)&amp;"输出",标准坦克设计!$B$23:$U$23,0)))*(VLOOKUP($B221,INDIRECT($B$5&amp;"生成成长"),3))*(VLOOKUP($B$5,标准坦克设计!$B$14:$K$20,9)/30))</f>
        <v>3.2184859792185549</v>
      </c>
      <c r="BD221" s="173">
        <f ca="1">(VLOOKUP(BD$72,INDIRECT($C$5&amp;"生成成长"),2))/((VLOOKUP($B221,INDIRECT($B$5&amp;"生成成长"),4))/(VLOOKUP(BD$72,INDIRECT($C$5&amp;"生成成长"),5))*(VLOOKUP($B$5,标准坦克设计!$B$24:$U$30,MATCH("对"&amp;LEFT($C$5,2)&amp;"输出",标准坦克设计!$B$23:$U$23,0)))*(VLOOKUP($B221,INDIRECT($B$5&amp;"生成成长"),3))*(VLOOKUP($B$5,标准坦克设计!$B$14:$K$20,9)/30))</f>
        <v>3.5600434984162428</v>
      </c>
      <c r="BE221" s="173">
        <f ca="1">(VLOOKUP(BE$72,INDIRECT($C$5&amp;"生成成长"),2))/((VLOOKUP($B221,INDIRECT($B$5&amp;"生成成长"),4))/(VLOOKUP(BE$72,INDIRECT($C$5&amp;"生成成长"),5))*(VLOOKUP($B$5,标准坦克设计!$B$24:$U$30,MATCH("对"&amp;LEFT($C$5,2)&amp;"输出",标准坦克设计!$B$23:$U$23,0)))*(VLOOKUP($B221,INDIRECT($B$5&amp;"生成成长"),3))*(VLOOKUP($B$5,标准坦克设计!$B$14:$K$20,9)/30))</f>
        <v>3.9188224051365044</v>
      </c>
      <c r="BF221" s="173">
        <f ca="1">(VLOOKUP(BF$72,INDIRECT($C$5&amp;"生成成长"),2))/((VLOOKUP($B221,INDIRECT($B$5&amp;"生成成长"),4))/(VLOOKUP(BF$72,INDIRECT($C$5&amp;"生成成长"),5))*(VLOOKUP($B$5,标准坦克设计!$B$24:$U$30,MATCH("对"&amp;LEFT($C$5,2)&amp;"输出",标准坦克设计!$B$23:$U$23,0)))*(VLOOKUP($B221,INDIRECT($B$5&amp;"生成成长"),3))*(VLOOKUP($B$5,标准坦克设计!$B$14:$K$20,9)/30))</f>
        <v>4.2948226993793375</v>
      </c>
      <c r="BG221" s="173">
        <f ca="1">(VLOOKUP(BG$72,INDIRECT($C$5&amp;"生成成长"),2))/((VLOOKUP($B221,INDIRECT($B$5&amp;"生成成长"),4))/(VLOOKUP(BG$72,INDIRECT($C$5&amp;"生成成长"),5))*(VLOOKUP($B$5,标准坦克设计!$B$24:$U$30,MATCH("对"&amp;LEFT($C$5,2)&amp;"输出",标准坦克设计!$B$23:$U$23,0)))*(VLOOKUP($B221,INDIRECT($B$5&amp;"生成成长"),3))*(VLOOKUP($B$5,标准坦克设计!$B$14:$K$20,9)/30))</f>
        <v>4.6880443811447439</v>
      </c>
      <c r="BH221" s="173">
        <f ca="1">(VLOOKUP(BH$72,INDIRECT($C$5&amp;"生成成长"),2))/((VLOOKUP($B221,INDIRECT($B$5&amp;"生成成长"),4))/(VLOOKUP(BH$72,INDIRECT($C$5&amp;"生成成长"),5))*(VLOOKUP($B$5,标准坦克设计!$B$24:$U$30,MATCH("对"&amp;LEFT($C$5,2)&amp;"输出",标准坦克设计!$B$23:$U$23,0)))*(VLOOKUP($B221,INDIRECT($B$5&amp;"生成成长"),3))*(VLOOKUP($B$5,标准坦克设计!$B$14:$K$20,9)/30))</f>
        <v>2.2659944224145439</v>
      </c>
      <c r="BI221" s="173">
        <f ca="1">(VLOOKUP(BI$72,INDIRECT($C$5&amp;"生成成长"),2))/((VLOOKUP($B221,INDIRECT($B$5&amp;"生成成长"),4))/(VLOOKUP(BI$72,INDIRECT($C$5&amp;"生成成长"),5))*(VLOOKUP($B$5,标准坦克设计!$B$24:$U$30,MATCH("对"&amp;LEFT($C$5,2)&amp;"输出",标准坦克设计!$B$23:$U$23,0)))*(VLOOKUP($B221,INDIRECT($B$5&amp;"生成成长"),3))*(VLOOKUP($B$5,标准坦克设计!$B$14:$K$20,9)/30))</f>
        <v>2.5539742915420063</v>
      </c>
      <c r="BJ221" s="173">
        <f ca="1">(VLOOKUP(BJ$72,INDIRECT($C$5&amp;"生成成长"),2))/((VLOOKUP($B221,INDIRECT($B$5&amp;"生成成长"),4))/(VLOOKUP(BJ$72,INDIRECT($C$5&amp;"生成成长"),5))*(VLOOKUP($B$5,标准坦克设计!$B$24:$U$30,MATCH("对"&amp;LEFT($C$5,2)&amp;"输出",标准坦克设计!$B$23:$U$23,0)))*(VLOOKUP($B221,INDIRECT($B$5&amp;"生成成长"),3))*(VLOOKUP($B$5,标准坦克设计!$B$14:$K$20,9)/30))</f>
        <v>2.8591755481920411</v>
      </c>
      <c r="BK221" s="173">
        <f ca="1">(VLOOKUP(BK$72,INDIRECT($C$5&amp;"生成成长"),2))/((VLOOKUP($B221,INDIRECT($B$5&amp;"生成成长"),4))/(VLOOKUP(BK$72,INDIRECT($C$5&amp;"生成成长"),5))*(VLOOKUP($B$5,标准坦克设计!$B$24:$U$30,MATCH("对"&amp;LEFT($C$5,2)&amp;"输出",标准坦克设计!$B$23:$U$23,0)))*(VLOOKUP($B221,INDIRECT($B$5&amp;"生成成长"),3))*(VLOOKUP($B$5,标准坦克设计!$B$14:$K$20,9)/30))</f>
        <v>3.1815981923646492</v>
      </c>
      <c r="BL221" s="173">
        <f ca="1">(VLOOKUP(BL$72,INDIRECT($C$5&amp;"生成成长"),2))/((VLOOKUP($B221,INDIRECT($B$5&amp;"生成成长"),4))/(VLOOKUP(BL$72,INDIRECT($C$5&amp;"生成成长"),5))*(VLOOKUP($B$5,标准坦克设计!$B$24:$U$30,MATCH("对"&amp;LEFT($C$5,2)&amp;"输出",标准坦克设计!$B$23:$U$23,0)))*(VLOOKUP($B221,INDIRECT($B$5&amp;"生成成长"),3))*(VLOOKUP($B$5,标准坦克设计!$B$14:$K$20,9)/30))</f>
        <v>3.5212422240598298</v>
      </c>
      <c r="BM221" s="173">
        <f ca="1">(VLOOKUP(BM$72,INDIRECT($C$5&amp;"生成成长"),2))/((VLOOKUP($B221,INDIRECT($B$5&amp;"生成成长"),4))/(VLOOKUP(BM$72,INDIRECT($C$5&amp;"生成成长"),5))*(VLOOKUP($B$5,标准坦克设计!$B$24:$U$30,MATCH("对"&amp;LEFT($C$5,2)&amp;"输出",标准坦克设计!$B$23:$U$23,0)))*(VLOOKUP($B221,INDIRECT($B$5&amp;"生成成长"),3))*(VLOOKUP($B$5,标准坦克设计!$B$14:$K$20,9)/30))</f>
        <v>3.8781076432775827</v>
      </c>
      <c r="BN221" s="173">
        <f ca="1">(VLOOKUP(BN$72,INDIRECT($C$5&amp;"生成成长"),2))/((VLOOKUP($B221,INDIRECT($B$5&amp;"生成成长"),4))/(VLOOKUP(BN$72,INDIRECT($C$5&amp;"生成成长"),5))*(VLOOKUP($B$5,标准坦克设计!$B$24:$U$30,MATCH("对"&amp;LEFT($C$5,2)&amp;"输出",标准坦克设计!$B$23:$U$23,0)))*(VLOOKUP($B221,INDIRECT($B$5&amp;"生成成长"),3))*(VLOOKUP($B$5,标准坦克设计!$B$14:$K$20,9)/30))</f>
        <v>4.2521944500179085</v>
      </c>
      <c r="BO221" s="173">
        <f ca="1">(VLOOKUP(BO$72,INDIRECT($C$5&amp;"生成成长"),2))/((VLOOKUP($B221,INDIRECT($B$5&amp;"生成成长"),4))/(VLOOKUP(BO$72,INDIRECT($C$5&amp;"生成成长"),5))*(VLOOKUP($B$5,标准坦克设计!$B$24:$U$30,MATCH("对"&amp;LEFT($C$5,2)&amp;"输出",标准坦克设计!$B$23:$U$23,0)))*(VLOOKUP($B221,INDIRECT($B$5&amp;"生成成长"),3))*(VLOOKUP($B$5,标准坦克设计!$B$14:$K$20,9)/30))</f>
        <v>4.6435026442808063</v>
      </c>
      <c r="BP221" s="173">
        <f ca="1">(VLOOKUP(BP$72,INDIRECT($C$5&amp;"生成成长"),2))/((VLOOKUP($B221,INDIRECT($B$5&amp;"生成成长"),4))/(VLOOKUP(BP$72,INDIRECT($C$5&amp;"生成成长"),5))*(VLOOKUP($B$5,标准坦克设计!$B$24:$U$30,MATCH("对"&amp;LEFT($C$5,2)&amp;"输出",标准坦克设计!$B$23:$U$23,0)))*(VLOOKUP($B221,INDIRECT($B$5&amp;"生成成长"),3))*(VLOOKUP($B$5,标准坦克设计!$B$14:$K$20,9)/30))</f>
        <v>5.0520322260662764</v>
      </c>
      <c r="BQ221" s="173">
        <f ca="1">(VLOOKUP(BQ$72,INDIRECT($C$5&amp;"生成成长"),2))/((VLOOKUP($B221,INDIRECT($B$5&amp;"生成成长"),4))/(VLOOKUP(BQ$72,INDIRECT($C$5&amp;"生成成长"),5))*(VLOOKUP($B$5,标准坦克设计!$B$24:$U$30,MATCH("对"&amp;LEFT($C$5,2)&amp;"输出",标准坦克设计!$B$23:$U$23,0)))*(VLOOKUP($B221,INDIRECT($B$5&amp;"生成成长"),3))*(VLOOKUP($B$5,标准坦克设计!$B$14:$K$20,9)/30))</f>
        <v>5.4777831953743199</v>
      </c>
      <c r="BR221" s="173">
        <f ca="1">(VLOOKUP(BR$72,INDIRECT($C$5&amp;"生成成长"),2))/((VLOOKUP($B221,INDIRECT($B$5&amp;"生成成长"),4))/(VLOOKUP(BR$72,INDIRECT($C$5&amp;"生成成长"),5))*(VLOOKUP($B$5,标准坦克设计!$B$24:$U$30,MATCH("对"&amp;LEFT($C$5,2)&amp;"输出",标准坦克设计!$B$23:$U$23,0)))*(VLOOKUP($B221,INDIRECT($B$5&amp;"生成成长"),3))*(VLOOKUP($B$5,标准坦克设计!$B$14:$K$20,9)/30))</f>
        <v>5.9710377515763966</v>
      </c>
      <c r="BS221" s="173">
        <f ca="1">(VLOOKUP(BS$72,INDIRECT($C$5&amp;"生成成长"),2))/((VLOOKUP($B221,INDIRECT($B$5&amp;"生成成长"),4))/(VLOOKUP(BS$72,INDIRECT($C$5&amp;"生成成长"),5))*(VLOOKUP($B$5,标准坦克设计!$B$24:$U$30,MATCH("对"&amp;LEFT($C$5,2)&amp;"输出",标准坦克设计!$B$23:$U$23,0)))*(VLOOKUP($B221,INDIRECT($B$5&amp;"生成成长"),3))*(VLOOKUP($B$5,标准坦克设计!$B$14:$K$20,9)/30))</f>
        <v>6.4855532800285633</v>
      </c>
      <c r="BT221" s="173">
        <f ca="1">(VLOOKUP(BT$72,INDIRECT($C$5&amp;"生成成长"),2))/((VLOOKUP($B221,INDIRECT($B$5&amp;"生成成长"),4))/(VLOOKUP(BT$72,INDIRECT($C$5&amp;"生成成长"),5))*(VLOOKUP($B$5,标准坦克设计!$B$24:$U$30,MATCH("对"&amp;LEFT($C$5,2)&amp;"输出",标准坦克设计!$B$23:$U$23,0)))*(VLOOKUP($B221,INDIRECT($B$5&amp;"生成成长"),3))*(VLOOKUP($B$5,标准坦克设计!$B$14:$K$20,9)/30))</f>
        <v>7.021329780730821</v>
      </c>
      <c r="BU221" s="173">
        <f ca="1">(VLOOKUP(BU$72,INDIRECT($C$5&amp;"生成成长"),2))/((VLOOKUP($B221,INDIRECT($B$5&amp;"生成成长"),4))/(VLOOKUP(BU$72,INDIRECT($C$5&amp;"生成成长"),5))*(VLOOKUP($B$5,标准坦克设计!$B$24:$U$30,MATCH("对"&amp;LEFT($C$5,2)&amp;"输出",标准坦克设计!$B$23:$U$23,0)))*(VLOOKUP($B221,INDIRECT($B$5&amp;"生成成长"),3))*(VLOOKUP($B$5,标准坦克设计!$B$14:$K$20,9)/30))</f>
        <v>7.5783672536831652</v>
      </c>
      <c r="BV221" s="173">
        <f ca="1">(VLOOKUP(BV$72,INDIRECT($C$5&amp;"生成成长"),2))/((VLOOKUP($B221,INDIRECT($B$5&amp;"生成成长"),4))/(VLOOKUP(BV$72,INDIRECT($C$5&amp;"生成成长"),5))*(VLOOKUP($B$5,标准坦克设计!$B$24:$U$30,MATCH("对"&amp;LEFT($C$5,2)&amp;"输出",标准坦克设计!$B$23:$U$23,0)))*(VLOOKUP($B221,INDIRECT($B$5&amp;"生成成长"),3))*(VLOOKUP($B$5,标准坦克设计!$B$14:$K$20,9)/30))</f>
        <v>8.1566656988856021</v>
      </c>
      <c r="BW221" s="173">
        <f ca="1">(VLOOKUP(BW$72,INDIRECT($C$5&amp;"生成成长"),2))/((VLOOKUP($B221,INDIRECT($B$5&amp;"生成成长"),4))/(VLOOKUP(BW$72,INDIRECT($C$5&amp;"生成成长"),5))*(VLOOKUP($B$5,标准坦克设计!$B$24:$U$30,MATCH("对"&amp;LEFT($C$5,2)&amp;"输出",标准坦克设计!$B$23:$U$23,0)))*(VLOOKUP($B221,INDIRECT($B$5&amp;"生成成长"),3))*(VLOOKUP($B$5,标准坦克设计!$B$14:$K$20,9)/30))</f>
        <v>3.7173746930669056</v>
      </c>
      <c r="BX221" s="173">
        <f ca="1">(VLOOKUP(BX$72,INDIRECT($C$5&amp;"生成成长"),2))/((VLOOKUP($B221,INDIRECT($B$5&amp;"生成成长"),4))/(VLOOKUP(BX$72,INDIRECT($C$5&amp;"生成成长"),5))*(VLOOKUP($B$5,标准坦克设计!$B$24:$U$30,MATCH("对"&amp;LEFT($C$5,2)&amp;"输出",标准坦克设计!$B$23:$U$23,0)))*(VLOOKUP($B221,INDIRECT($B$5&amp;"生成成长"),3))*(VLOOKUP($B$5,标准坦克设计!$B$14:$K$20,9)/30))</f>
        <v>4.1255853602686248</v>
      </c>
      <c r="BY221" s="173">
        <f ca="1">(VLOOKUP(BY$72,INDIRECT($C$5&amp;"生成成长"),2))/((VLOOKUP($B221,INDIRECT($B$5&amp;"生成成长"),4))/(VLOOKUP(BY$72,INDIRECT($C$5&amp;"生成成长"),5))*(VLOOKUP($B$5,标准坦克设计!$B$24:$U$30,MATCH("对"&amp;LEFT($C$5,2)&amp;"输出",标准坦克设计!$B$23:$U$23,0)))*(VLOOKUP($B221,INDIRECT($B$5&amp;"生成成长"),3))*(VLOOKUP($B$5,标准坦克设计!$B$14:$K$20,9)/30))</f>
        <v>4.5550569997204331</v>
      </c>
      <c r="BZ221" s="173">
        <f ca="1">(VLOOKUP(BZ$72,INDIRECT($C$5&amp;"生成成长"),2))/((VLOOKUP($B221,INDIRECT($B$5&amp;"生成成长"),4))/(VLOOKUP(BZ$72,INDIRECT($C$5&amp;"生成成长"),5))*(VLOOKUP($B$5,标准坦克设计!$B$24:$U$30,MATCH("对"&amp;LEFT($C$5,2)&amp;"输出",标准坦克设计!$B$23:$U$23,0)))*(VLOOKUP($B221,INDIRECT($B$5&amp;"生成成长"),3))*(VLOOKUP($B$5,标准坦克设计!$B$14:$K$20,9)/30))</f>
        <v>5.0057896114223324</v>
      </c>
      <c r="CA221" s="173">
        <f ca="1">(VLOOKUP(CA$72,INDIRECT($C$5&amp;"生成成长"),2))/((VLOOKUP($B221,INDIRECT($B$5&amp;"生成成长"),4))/(VLOOKUP(CA$72,INDIRECT($C$5&amp;"生成成长"),5))*(VLOOKUP($B$5,标准坦克设计!$B$24:$U$30,MATCH("对"&amp;LEFT($C$5,2)&amp;"输出",标准坦克设计!$B$23:$U$23,0)))*(VLOOKUP($B221,INDIRECT($B$5&amp;"生成成长"),3))*(VLOOKUP($B$5,标准坦克设计!$B$14:$K$20,9)/30))</f>
        <v>5.4777831953743199</v>
      </c>
      <c r="CB221" s="173">
        <f ca="1">(VLOOKUP(CB$72,INDIRECT($C$5&amp;"生成成长"),2))/((VLOOKUP($B221,INDIRECT($B$5&amp;"生成成长"),4))/(VLOOKUP(CB$72,INDIRECT($C$5&amp;"生成成长"),5))*(VLOOKUP($B$5,标准坦克设计!$B$24:$U$30,MATCH("对"&amp;LEFT($C$5,2)&amp;"输出",标准坦克设计!$B$23:$U$23,0)))*(VLOOKUP($B221,INDIRECT($B$5&amp;"生成成长"),3))*(VLOOKUP($B$5,标准坦克设计!$B$14:$K$20,9)/30))</f>
        <v>5.9710377515763966</v>
      </c>
      <c r="CC221" s="173">
        <f ca="1">(VLOOKUP(CC$72,INDIRECT($C$5&amp;"生成成长"),2))/((VLOOKUP($B221,INDIRECT($B$5&amp;"生成成长"),4))/(VLOOKUP(CC$72,INDIRECT($C$5&amp;"生成成长"),5))*(VLOOKUP($B$5,标准坦克设计!$B$24:$U$30,MATCH("对"&amp;LEFT($C$5,2)&amp;"输出",标准坦克设计!$B$23:$U$23,0)))*(VLOOKUP($B221,INDIRECT($B$5&amp;"生成成长"),3))*(VLOOKUP($B$5,标准坦克设计!$B$14:$K$20,9)/30))</f>
        <v>6.4855532800285633</v>
      </c>
      <c r="CD221" s="173">
        <f ca="1">(VLOOKUP(CD$72,INDIRECT($C$5&amp;"生成成长"),2))/((VLOOKUP($B221,INDIRECT($B$5&amp;"生成成长"),4))/(VLOOKUP(CD$72,INDIRECT($C$5&amp;"生成成长"),5))*(VLOOKUP($B$5,标准坦克设计!$B$24:$U$30,MATCH("对"&amp;LEFT($C$5,2)&amp;"输出",标准坦克设计!$B$23:$U$23,0)))*(VLOOKUP($B221,INDIRECT($B$5&amp;"生成成长"),3))*(VLOOKUP($B$5,标准坦克设计!$B$14:$K$20,9)/30))</f>
        <v>7.021329780730821</v>
      </c>
      <c r="CE221" s="173">
        <f ca="1">(VLOOKUP(CE$72,INDIRECT($C$5&amp;"生成成长"),2))/((VLOOKUP($B221,INDIRECT($B$5&amp;"生成成长"),4))/(VLOOKUP(CE$72,INDIRECT($C$5&amp;"生成成长"),5))*(VLOOKUP($B$5,标准坦克设计!$B$24:$U$30,MATCH("对"&amp;LEFT($C$5,2)&amp;"输出",标准坦克设计!$B$23:$U$23,0)))*(VLOOKUP($B221,INDIRECT($B$5&amp;"生成成长"),3))*(VLOOKUP($B$5,标准坦克设计!$B$14:$K$20,9)/30))</f>
        <v>7.5783672536831652</v>
      </c>
      <c r="CF221" s="173">
        <f ca="1">(VLOOKUP(CF$72,INDIRECT($C$5&amp;"生成成长"),2))/((VLOOKUP($B221,INDIRECT($B$5&amp;"生成成长"),4))/(VLOOKUP(CF$72,INDIRECT($C$5&amp;"生成成长"),5))*(VLOOKUP($B$5,标准坦克设计!$B$24:$U$30,MATCH("对"&amp;LEFT($C$5,2)&amp;"输出",标准坦克设计!$B$23:$U$23,0)))*(VLOOKUP($B221,INDIRECT($B$5&amp;"生成成长"),3))*(VLOOKUP($B$5,标准坦克设计!$B$14:$K$20,9)/30))</f>
        <v>8.1566656988856021</v>
      </c>
      <c r="CG221" s="173">
        <f ca="1">(VLOOKUP(CG$72,INDIRECT($C$5&amp;"生成成长"),2))/((VLOOKUP($B221,INDIRECT($B$5&amp;"生成成长"),4))/(VLOOKUP(CG$72,INDIRECT($C$5&amp;"生成成长"),5))*(VLOOKUP($B$5,标准坦克设计!$B$24:$U$30,MATCH("对"&amp;LEFT($C$5,2)&amp;"输出",标准坦克设计!$B$23:$U$23,0)))*(VLOOKUP($B221,INDIRECT($B$5&amp;"生成成长"),3))*(VLOOKUP($B$5,标准坦克设计!$B$14:$K$20,9)/30))</f>
        <v>8.7562251163381255</v>
      </c>
      <c r="CH221" s="173">
        <f ca="1">(VLOOKUP(CH$72,INDIRECT($C$5&amp;"生成成长"),2))/((VLOOKUP($B221,INDIRECT($B$5&amp;"生成成长"),4))/(VLOOKUP(CH$72,INDIRECT($C$5&amp;"生成成长"),5))*(VLOOKUP($B$5,标准坦克设计!$B$24:$U$30,MATCH("对"&amp;LEFT($C$5,2)&amp;"输出",标准坦克设计!$B$23:$U$23,0)))*(VLOOKUP($B221,INDIRECT($B$5&amp;"生成成长"),3))*(VLOOKUP($B$5,标准坦克设计!$B$14:$K$20,9)/30))</f>
        <v>9.3770455060407407</v>
      </c>
      <c r="CI221" s="173">
        <f ca="1">(VLOOKUP(CI$72,INDIRECT($C$5&amp;"生成成长"),2))/((VLOOKUP($B221,INDIRECT($B$5&amp;"生成成长"),4))/(VLOOKUP(CI$72,INDIRECT($C$5&amp;"生成成长"),5))*(VLOOKUP($B$5,标准坦克设计!$B$24:$U$30,MATCH("对"&amp;LEFT($C$5,2)&amp;"输出",标准坦克设计!$B$23:$U$23,0)))*(VLOOKUP($B221,INDIRECT($B$5&amp;"生成成长"),3))*(VLOOKUP($B$5,标准坦克设计!$B$14:$K$20,9)/30))</f>
        <v>10.084504357662471</v>
      </c>
      <c r="CJ221" s="173">
        <f ca="1">(VLOOKUP(CJ$72,INDIRECT($C$5&amp;"生成成长"),2))/((VLOOKUP($B221,INDIRECT($B$5&amp;"生成成长"),4))/(VLOOKUP(CJ$72,INDIRECT($C$5&amp;"生成成长"),5))*(VLOOKUP($B$5,标准坦克设计!$B$24:$U$30,MATCH("对"&amp;LEFT($C$5,2)&amp;"输出",标准坦克设计!$B$23:$U$23,0)))*(VLOOKUP($B221,INDIRECT($B$5&amp;"生成成长"),3))*(VLOOKUP($B$5,标准坦克设计!$B$14:$K$20,9)/30))</f>
        <v>10.817688985706809</v>
      </c>
      <c r="CK221" s="173">
        <f ca="1">(VLOOKUP(CK$72,INDIRECT($C$5&amp;"生成成长"),2))/((VLOOKUP($B221,INDIRECT($B$5&amp;"生成成长"),4))/(VLOOKUP(CK$72,INDIRECT($C$5&amp;"生成成长"),5))*(VLOOKUP($B$5,标准坦克设计!$B$24:$U$30,MATCH("对"&amp;LEFT($C$5,2)&amp;"输出",标准坦克设计!$B$23:$U$23,0)))*(VLOOKUP($B221,INDIRECT($B$5&amp;"生成成长"),3))*(VLOOKUP($B$5,标准坦克设计!$B$14:$K$20,9)/30))</f>
        <v>11.576599390173756</v>
      </c>
      <c r="CL221" s="173">
        <f ca="1">(VLOOKUP(CL$72,INDIRECT($C$5&amp;"生成成长"),2))/((VLOOKUP($B221,INDIRECT($B$5&amp;"生成成长"),4))/(VLOOKUP(CL$72,INDIRECT($C$5&amp;"生成成长"),5))*(VLOOKUP($B$5,标准坦克设计!$B$24:$U$30,MATCH("对"&amp;LEFT($C$5,2)&amp;"输出",标准坦克设计!$B$23:$U$23,0)))*(VLOOKUP($B221,INDIRECT($B$5&amp;"生成成长"),3))*(VLOOKUP($B$5,标准坦克设计!$B$14:$K$20,9)/30))</f>
        <v>12.361235571063308</v>
      </c>
      <c r="CM221" s="173">
        <f ca="1">(VLOOKUP(CM$72,INDIRECT($C$5&amp;"生成成长"),2))/((VLOOKUP($B221,INDIRECT($B$5&amp;"生成成长"),4))/(VLOOKUP(CM$72,INDIRECT($C$5&amp;"生成成长"),5))*(VLOOKUP($B$5,标准坦克设计!$B$24:$U$30,MATCH("对"&amp;LEFT($C$5,2)&amp;"输出",标准坦克设计!$B$23:$U$23,0)))*(VLOOKUP($B221,INDIRECT($B$5&amp;"生成成长"),3))*(VLOOKUP($B$5,标准坦克设计!$B$14:$K$20,9)/30))</f>
        <v>13.171597528375472</v>
      </c>
      <c r="CN221" s="173">
        <f ca="1">(VLOOKUP(CN$72,INDIRECT($C$5&amp;"生成成长"),2))/((VLOOKUP($B221,INDIRECT($B$5&amp;"生成成长"),4))/(VLOOKUP(CN$72,INDIRECT($C$5&amp;"生成成长"),5))*(VLOOKUP($B$5,标准坦克设计!$B$24:$U$30,MATCH("对"&amp;LEFT($C$5,2)&amp;"输出",标准坦克设计!$B$23:$U$23,0)))*(VLOOKUP($B221,INDIRECT($B$5&amp;"生成成长"),3))*(VLOOKUP($B$5,标准坦克设计!$B$14:$K$20,9)/30))</f>
        <v>14.007685262110241</v>
      </c>
      <c r="CO221" s="173">
        <f ca="1">(VLOOKUP(CO$72,INDIRECT($C$5&amp;"生成成长"),2))/((VLOOKUP($B221,INDIRECT($B$5&amp;"生成成长"),4))/(VLOOKUP(CO$72,INDIRECT($C$5&amp;"生成成长"),5))*(VLOOKUP($B$5,标准坦克设计!$B$24:$U$30,MATCH("对"&amp;LEFT($C$5,2)&amp;"输出",标准坦克设计!$B$23:$U$23,0)))*(VLOOKUP($B221,INDIRECT($B$5&amp;"生成成长"),3))*(VLOOKUP($B$5,标准坦克设计!$B$14:$K$20,9)/30))</f>
        <v>6.2771957519776871</v>
      </c>
      <c r="CP221" s="173">
        <f ca="1">(VLOOKUP(CP$72,INDIRECT($C$5&amp;"生成成长"),2))/((VLOOKUP($B221,INDIRECT($B$5&amp;"生成成长"),4))/(VLOOKUP(CP$72,INDIRECT($C$5&amp;"生成成长"),5))*(VLOOKUP($B$5,标准坦克设计!$B$24:$U$30,MATCH("对"&amp;LEFT($C$5,2)&amp;"输出",标准坦克设计!$B$23:$U$23,0)))*(VLOOKUP($B221,INDIRECT($B$5&amp;"生成成长"),3))*(VLOOKUP($B$5,标准坦克设计!$B$14:$K$20,9)/30))</f>
        <v>6.8583644284338847</v>
      </c>
      <c r="CQ221" s="173">
        <f ca="1">(VLOOKUP(CQ$72,INDIRECT($C$5&amp;"生成成长"),2))/((VLOOKUP($B221,INDIRECT($B$5&amp;"生成成长"),4))/(VLOOKUP(CQ$72,INDIRECT($C$5&amp;"生成成长"),5))*(VLOOKUP($B$5,标准坦克设计!$B$24:$U$30,MATCH("对"&amp;LEFT($C$5,2)&amp;"输出",标准坦克设计!$B$23:$U$23,0)))*(VLOOKUP($B221,INDIRECT($B$5&amp;"生成成长"),3))*(VLOOKUP($B$5,标准坦克设计!$B$14:$K$20,9)/30))</f>
        <v>7.465258881312689</v>
      </c>
      <c r="CR221" s="173">
        <f ca="1">(VLOOKUP(CR$72,INDIRECT($C$5&amp;"生成成长"),2))/((VLOOKUP($B221,INDIRECT($B$5&amp;"生成成长"),4))/(VLOOKUP(CR$72,INDIRECT($C$5&amp;"生成成长"),5))*(VLOOKUP($B$5,标准坦克设计!$B$24:$U$30,MATCH("对"&amp;LEFT($C$5,2)&amp;"输出",标准坦克设计!$B$23:$U$23,0)))*(VLOOKUP($B221,INDIRECT($B$5&amp;"生成成长"),3))*(VLOOKUP($B$5,标准坦克设计!$B$14:$K$20,9)/30))</f>
        <v>8.0978791106141053</v>
      </c>
      <c r="CS221" s="173">
        <f ca="1">(VLOOKUP(CS$72,INDIRECT($C$5&amp;"生成成长"),2))/((VLOOKUP($B221,INDIRECT($B$5&amp;"生成成长"),4))/(VLOOKUP(CS$72,INDIRECT($C$5&amp;"生成成长"),5))*(VLOOKUP($B$5,标准坦克设计!$B$24:$U$30,MATCH("对"&amp;LEFT($C$5,2)&amp;"输出",标准坦克设计!$B$23:$U$23,0)))*(VLOOKUP($B221,INDIRECT($B$5&amp;"生成成长"),3))*(VLOOKUP($B$5,标准坦克设计!$B$14:$K$20,9)/30))</f>
        <v>8.7562251163381255</v>
      </c>
      <c r="CT221" s="173">
        <f ca="1">(VLOOKUP(CT$72,INDIRECT($C$5&amp;"生成成长"),2))/((VLOOKUP($B221,INDIRECT($B$5&amp;"生成成长"),4))/(VLOOKUP(CT$72,INDIRECT($C$5&amp;"生成成长"),5))*(VLOOKUP($B$5,标准坦克设计!$B$24:$U$30,MATCH("对"&amp;LEFT($C$5,2)&amp;"输出",标准坦克设计!$B$23:$U$23,0)))*(VLOOKUP($B221,INDIRECT($B$5&amp;"生成成长"),3))*(VLOOKUP($B$5,标准坦克设计!$B$14:$K$20,9)/30))</f>
        <v>9.4402968984847586</v>
      </c>
      <c r="CU221" s="173">
        <f ca="1">(VLOOKUP(CU$72,INDIRECT($C$5&amp;"生成成长"),2))/((VLOOKUP($B221,INDIRECT($B$5&amp;"生成成长"),4))/(VLOOKUP(CU$72,INDIRECT($C$5&amp;"生成成长"),5))*(VLOOKUP($B$5,标准坦克设计!$B$24:$U$30,MATCH("对"&amp;LEFT($C$5,2)&amp;"输出",标准坦克设计!$B$23:$U$23,0)))*(VLOOKUP($B221,INDIRECT($B$5&amp;"生成成长"),3))*(VLOOKUP($B$5,标准坦克设计!$B$14:$K$20,9)/30))</f>
        <v>10.150094457053996</v>
      </c>
      <c r="CV221" s="173">
        <f ca="1">(VLOOKUP(CV$72,INDIRECT($C$5&amp;"生成成长"),2))/((VLOOKUP($B221,INDIRECT($B$5&amp;"生成成长"),4))/(VLOOKUP(CV$72,INDIRECT($C$5&amp;"生成成长"),5))*(VLOOKUP($B$5,标准坦克设计!$B$24:$U$30,MATCH("对"&amp;LEFT($C$5,2)&amp;"输出",标准坦克设计!$B$23:$U$23,0)))*(VLOOKUP($B221,INDIRECT($B$5&amp;"生成成长"),3))*(VLOOKUP($B$5,标准坦克设计!$B$14:$K$20,9)/30))</f>
        <v>10.885617792045846</v>
      </c>
      <c r="CW221" s="173">
        <f ca="1">(VLOOKUP(CW$72,INDIRECT($C$5&amp;"生成成长"),2))/((VLOOKUP($B221,INDIRECT($B$5&amp;"生成成长"),4))/(VLOOKUP(CW$72,INDIRECT($C$5&amp;"生成成长"),5))*(VLOOKUP($B$5,标准坦克设计!$B$24:$U$30,MATCH("对"&amp;LEFT($C$5,2)&amp;"输出",标准坦克设计!$B$23:$U$23,0)))*(VLOOKUP($B221,INDIRECT($B$5&amp;"生成成长"),3))*(VLOOKUP($B$5,标准坦克设计!$B$14:$K$20,9)/30))</f>
        <v>11.646866903460301</v>
      </c>
      <c r="CX221" s="173">
        <f ca="1">(VLOOKUP(CX$72,INDIRECT($C$5&amp;"生成成长"),2))/((VLOOKUP($B221,INDIRECT($B$5&amp;"生成成长"),4))/(VLOOKUP(CX$72,INDIRECT($C$5&amp;"生成成长"),5))*(VLOOKUP($B$5,标准坦克设计!$B$24:$U$30,MATCH("对"&amp;LEFT($C$5,2)&amp;"输出",标准坦克设计!$B$23:$U$23,0)))*(VLOOKUP($B221,INDIRECT($B$5&amp;"生成成长"),3))*(VLOOKUP($B$5,标准坦克设计!$B$14:$K$20,9)/30))</f>
        <v>12.433841791297366</v>
      </c>
      <c r="CY221" s="173">
        <f ca="1">(VLOOKUP(CY$72,INDIRECT($C$5&amp;"生成成长"),2))/((VLOOKUP($B221,INDIRECT($B$5&amp;"生成成长"),4))/(VLOOKUP(CY$72,INDIRECT($C$5&amp;"生成成长"),5))*(VLOOKUP($B$5,标准坦克设计!$B$24:$U$30,MATCH("对"&amp;LEFT($C$5,2)&amp;"输出",标准坦克设计!$B$23:$U$23,0)))*(VLOOKUP($B221,INDIRECT($B$5&amp;"生成成长"),3))*(VLOOKUP($B$5,标准坦克设计!$B$14:$K$20,9)/30))</f>
        <v>13.246542455557041</v>
      </c>
      <c r="CZ221" s="173">
        <f ca="1">(VLOOKUP(CZ$72,INDIRECT($C$5&amp;"生成成长"),2))/((VLOOKUP($B221,INDIRECT($B$5&amp;"生成成长"),4))/(VLOOKUP(CZ$72,INDIRECT($C$5&amp;"生成成长"),5))*(VLOOKUP($B$5,标准坦克设计!$B$24:$U$30,MATCH("对"&amp;LEFT($C$5,2)&amp;"输出",标准坦克设计!$B$23:$U$23,0)))*(VLOOKUP($B221,INDIRECT($B$5&amp;"生成成长"),3))*(VLOOKUP($B$5,标准坦克设计!$B$14:$K$20,9)/30))</f>
        <v>14.084968896239319</v>
      </c>
      <c r="DA221" s="173">
        <f ca="1">(VLOOKUP(DA$72,INDIRECT($C$5&amp;"生成成长"),2))/((VLOOKUP($B221,INDIRECT($B$5&amp;"生成成长"),4))/(VLOOKUP(DA$72,INDIRECT($C$5&amp;"生成成长"),5))*(VLOOKUP($B$5,标准坦克设计!$B$24:$U$30,MATCH("对"&amp;LEFT($C$5,2)&amp;"输出",标准坦克设计!$B$23:$U$23,0)))*(VLOOKUP($B221,INDIRECT($B$5&amp;"生成成长"),3))*(VLOOKUP($B$5,标准坦克设计!$B$14:$K$20,9)/30))</f>
        <v>14.949121113344209</v>
      </c>
      <c r="DB221" s="173">
        <f ca="1">(VLOOKUP(DB$72,INDIRECT($C$5&amp;"生成成长"),2))/((VLOOKUP($B221,INDIRECT($B$5&amp;"生成成长"),4))/(VLOOKUP(DB$72,INDIRECT($C$5&amp;"生成成长"),5))*(VLOOKUP($B$5,标准坦克设计!$B$24:$U$30,MATCH("对"&amp;LEFT($C$5,2)&amp;"输出",标准坦克设计!$B$23:$U$23,0)))*(VLOOKUP($B221,INDIRECT($B$5&amp;"生成成长"),3))*(VLOOKUP($B$5,标准坦克设计!$B$14:$K$20,9)/30))</f>
        <v>15.838999106871706</v>
      </c>
      <c r="DC221" s="173">
        <f ca="1">(VLOOKUP(DC$72,INDIRECT($C$5&amp;"生成成长"),2))/((VLOOKUP($B221,INDIRECT($B$5&amp;"生成成长"),4))/(VLOOKUP(DC$72,INDIRECT($C$5&amp;"生成成长"),5))*(VLOOKUP($B$5,标准坦克设计!$B$24:$U$30,MATCH("对"&amp;LEFT($C$5,2)&amp;"输出",标准坦克设计!$B$23:$U$23,0)))*(VLOOKUP($B221,INDIRECT($B$5&amp;"生成成长"),3))*(VLOOKUP($B$5,标准坦克设计!$B$14:$K$20,9)/30))</f>
        <v>16.83911524151592</v>
      </c>
      <c r="DD221" s="173">
        <f ca="1">(VLOOKUP(DD$72,INDIRECT($C$5&amp;"生成成长"),2))/((VLOOKUP($B221,INDIRECT($B$5&amp;"生成成长"),4))/(VLOOKUP(DD$72,INDIRECT($C$5&amp;"生成成长"),5))*(VLOOKUP($B$5,标准坦克设计!$B$24:$U$30,MATCH("对"&amp;LEFT($C$5,2)&amp;"输出",标准坦克设计!$B$23:$U$23,0)))*(VLOOKUP($B221,INDIRECT($B$5&amp;"生成成长"),3))*(VLOOKUP($B$5,标准坦克设计!$B$14:$K$20,9)/30))</f>
        <v>17.86984717620026</v>
      </c>
      <c r="DE221" s="173">
        <f ca="1">(VLOOKUP(DE$72,INDIRECT($C$5&amp;"生成成长"),2))/((VLOOKUP($B221,INDIRECT($B$5&amp;"生成成长"),4))/(VLOOKUP(DE$72,INDIRECT($C$5&amp;"生成成长"),5))*(VLOOKUP($B$5,标准坦克设计!$B$24:$U$30,MATCH("对"&amp;LEFT($C$5,2)&amp;"输出",标准坦克设计!$B$23:$U$23,0)))*(VLOOKUP($B221,INDIRECT($B$5&amp;"生成成长"),3))*(VLOOKUP($B$5,标准坦克设计!$B$14:$K$20,9)/30))</f>
        <v>18.931194910924731</v>
      </c>
      <c r="DF221" s="173">
        <f ca="1">(VLOOKUP(DF$72,INDIRECT($C$5&amp;"生成成长"),2))/((VLOOKUP($B221,INDIRECT($B$5&amp;"生成成长"),4))/(VLOOKUP(DF$72,INDIRECT($C$5&amp;"生成成长"),5))*(VLOOKUP($B$5,标准坦克设计!$B$24:$U$30,MATCH("对"&amp;LEFT($C$5,2)&amp;"输出",标准坦克设计!$B$23:$U$23,0)))*(VLOOKUP($B221,INDIRECT($B$5&amp;"生成成长"),3))*(VLOOKUP($B$5,标准坦克设计!$B$14:$K$20,9)/30))</f>
        <v>20.023158445689329</v>
      </c>
      <c r="DG221" s="173">
        <f ca="1">(VLOOKUP(DG$72,INDIRECT($C$5&amp;"生成成长"),2))/((VLOOKUP($B221,INDIRECT($B$5&amp;"生成成长"),4))/(VLOOKUP(DG$72,INDIRECT($C$5&amp;"生成成长"),5))*(VLOOKUP($B$5,标准坦克设计!$B$24:$U$30,MATCH("对"&amp;LEFT($C$5,2)&amp;"输出",标准坦克设计!$B$23:$U$23,0)))*(VLOOKUP($B221,INDIRECT($B$5&amp;"生成成长"),3))*(VLOOKUP($B$5,标准坦克设计!$B$14:$K$20,9)/30))</f>
        <v>21.145737780494056</v>
      </c>
      <c r="DH221" s="173">
        <f ca="1">(VLOOKUP(DH$72,INDIRECT($C$5&amp;"生成成长"),2))/((VLOOKUP($B221,INDIRECT($B$5&amp;"生成成长"),4))/(VLOOKUP(DH$72,INDIRECT($C$5&amp;"生成成长"),5))*(VLOOKUP($B$5,标准坦克设计!$B$24:$U$30,MATCH("对"&amp;LEFT($C$5,2)&amp;"输出",标准坦克设计!$B$23:$U$23,0)))*(VLOOKUP($B221,INDIRECT($B$5&amp;"生成成长"),3))*(VLOOKUP($B$5,标准坦克设计!$B$14:$K$20,9)/30))</f>
        <v>22.298932915338909</v>
      </c>
      <c r="DI221" s="173">
        <f ca="1">(VLOOKUP(DI$72,INDIRECT($C$5&amp;"生成成长"),2))/((VLOOKUP($B221,INDIRECT($B$5&amp;"生成成长"),4))/(VLOOKUP(DI$72,INDIRECT($C$5&amp;"生成成长"),5))*(VLOOKUP($B$5,标准坦克设计!$B$24:$U$30,MATCH("对"&amp;LEFT($C$5,2)&amp;"输出",标准坦克设计!$B$23:$U$23,0)))*(VLOOKUP($B221,INDIRECT($B$5&amp;"生成成长"),3))*(VLOOKUP($B$5,标准坦克设计!$B$14:$K$20,9)/30))</f>
        <v>23.482743850223898</v>
      </c>
      <c r="DJ221" s="173">
        <f ca="1">(VLOOKUP(DJ$72,INDIRECT($C$5&amp;"生成成长"),2))/((VLOOKUP($B221,INDIRECT($B$5&amp;"生成成长"),4))/(VLOOKUP(DJ$72,INDIRECT($C$5&amp;"生成成长"),5))*(VLOOKUP($B$5,标准坦克设计!$B$24:$U$30,MATCH("对"&amp;LEFT($C$5,2)&amp;"输出",标准坦克设计!$B$23:$U$23,0)))*(VLOOKUP($B221,INDIRECT($B$5&amp;"生成成长"),3))*(VLOOKUP($B$5,标准坦克设计!$B$14:$K$20,9)/30))</f>
        <v>2.3600742246211897</v>
      </c>
      <c r="DK221" s="173">
        <f ca="1">(VLOOKUP(DK$72,INDIRECT($C$5&amp;"生成成长"),2))/((VLOOKUP($B221,INDIRECT($B$5&amp;"生成成长"),4))/(VLOOKUP(DK$72,INDIRECT($C$5&amp;"生成成长"),5))*(VLOOKUP($B$5,标准坦克设计!$B$24:$U$30,MATCH("对"&amp;LEFT($C$5,2)&amp;"输出",标准坦克设计!$B$23:$U$23,0)))*(VLOOKUP($B221,INDIRECT($B$5&amp;"生成成长"),3))*(VLOOKUP($B$5,标准坦克设计!$B$14:$K$20,9)/30))</f>
        <v>2.6537945562561767</v>
      </c>
      <c r="DL221" s="173">
        <f ca="1">(VLOOKUP(DL$72,INDIRECT($C$5&amp;"生成成长"),2))/((VLOOKUP($B221,INDIRECT($B$5&amp;"生成成长"),4))/(VLOOKUP(DL$72,INDIRECT($C$5&amp;"生成成长"),5))*(VLOOKUP($B$5,标准坦克设计!$B$24:$U$30,MATCH("对"&amp;LEFT($C$5,2)&amp;"输出",标准坦克设计!$B$23:$U$23,0)))*(VLOOKUP($B221,INDIRECT($B$5&amp;"生成成长"),3))*(VLOOKUP($B$5,标准坦克设计!$B$14:$K$20,9)/30))</f>
        <v>2.9647362754137365</v>
      </c>
      <c r="DM221" s="173">
        <f ca="1">(VLOOKUP(DM$72,INDIRECT($C$5&amp;"生成成长"),2))/((VLOOKUP($B221,INDIRECT($B$5&amp;"生成成长"),4))/(VLOOKUP(DM$72,INDIRECT($C$5&amp;"生成成长"),5))*(VLOOKUP($B$5,标准坦克设计!$B$24:$U$30,MATCH("对"&amp;LEFT($C$5,2)&amp;"输出",标准坦克设计!$B$23:$U$23,0)))*(VLOOKUP($B221,INDIRECT($B$5&amp;"生成成长"),3))*(VLOOKUP($B$5,标准坦克设计!$B$14:$K$20,9)/30))</f>
        <v>3.2928993820938679</v>
      </c>
      <c r="DN221" s="173">
        <f ca="1">(VLOOKUP(DN$72,INDIRECT($C$5&amp;"生成成长"),2))/((VLOOKUP($B221,INDIRECT($B$5&amp;"生成成长"),4))/(VLOOKUP(DN$72,INDIRECT($C$5&amp;"生成成长"),5))*(VLOOKUP($B$5,标准坦克设计!$B$24:$U$30,MATCH("对"&amp;LEFT($C$5,2)&amp;"输出",标准坦克设计!$B$23:$U$23,0)))*(VLOOKUP($B221,INDIRECT($B$5&amp;"生成成长"),3))*(VLOOKUP($B$5,标准坦克设计!$B$14:$K$20,9)/30))</f>
        <v>3.6382838762965726</v>
      </c>
      <c r="DO221" s="173">
        <f ca="1">(VLOOKUP(DO$72,INDIRECT($C$5&amp;"生成成长"),2))/((VLOOKUP($B221,INDIRECT($B$5&amp;"生成成长"),4))/(VLOOKUP(DO$72,INDIRECT($C$5&amp;"生成成长"),5))*(VLOOKUP($B$5,标准坦克设计!$B$24:$U$30,MATCH("对"&amp;LEFT($C$5,2)&amp;"输出",标准坦克设计!$B$23:$U$23,0)))*(VLOOKUP($B221,INDIRECT($B$5&amp;"生成成长"),3))*(VLOOKUP($B$5,标准坦克设计!$B$14:$K$20,9)/30))</f>
        <v>4.0008897580218505</v>
      </c>
      <c r="DP221" s="173">
        <f ca="1">(VLOOKUP(DP$72,INDIRECT($C$5&amp;"生成成长"),2))/((VLOOKUP($B221,INDIRECT($B$5&amp;"生成成长"),4))/(VLOOKUP(DP$72,INDIRECT($C$5&amp;"生成成长"),5))*(VLOOKUP($B$5,标准坦克设计!$B$24:$U$30,MATCH("对"&amp;LEFT($C$5,2)&amp;"输出",标准坦克设计!$B$23:$U$23,0)))*(VLOOKUP($B221,INDIRECT($B$5&amp;"生成成长"),3))*(VLOOKUP($B$5,标准坦克设计!$B$14:$K$20,9)/30))</f>
        <v>4.3807170272696991</v>
      </c>
      <c r="DQ221" s="173">
        <f ca="1">(VLOOKUP(DQ$72,INDIRECT($C$5&amp;"生成成长"),2))/((VLOOKUP($B221,INDIRECT($B$5&amp;"生成成长"),4))/(VLOOKUP(DQ$72,INDIRECT($C$5&amp;"生成成长"),5))*(VLOOKUP($B$5,标准坦克设计!$B$24:$U$30,MATCH("对"&amp;LEFT($C$5,2)&amp;"输出",标准坦克设计!$B$23:$U$23,0)))*(VLOOKUP($B221,INDIRECT($B$5&amp;"生成成长"),3))*(VLOOKUP($B$5,标准坦克设计!$B$14:$K$20,9)/30))</f>
        <v>4.7777656840401219</v>
      </c>
      <c r="DR221" s="173">
        <f ca="1">(VLOOKUP(DR$72,INDIRECT($C$5&amp;"生成成长"),2))/((VLOOKUP($B221,INDIRECT($B$5&amp;"生成成长"),4))/(VLOOKUP(DR$72,INDIRECT($C$5&amp;"生成成长"),5))*(VLOOKUP($B$5,标准坦克设计!$B$24:$U$30,MATCH("对"&amp;LEFT($C$5,2)&amp;"输出",标准坦克设计!$B$23:$U$23,0)))*(VLOOKUP($B221,INDIRECT($B$5&amp;"生成成长"),3))*(VLOOKUP($B$5,标准坦克设计!$B$14:$K$20,9)/30))</f>
        <v>5.1920357283331171</v>
      </c>
      <c r="DS221" s="173">
        <f ca="1">(VLOOKUP(DS$72,INDIRECT($C$5&amp;"生成成长"),2))/((VLOOKUP($B221,INDIRECT($B$5&amp;"生成成长"),4))/(VLOOKUP(DS$72,INDIRECT($C$5&amp;"生成成长"),5))*(VLOOKUP($B$5,标准坦克设计!$B$24:$U$30,MATCH("对"&amp;LEFT($C$5,2)&amp;"输出",标准坦克设计!$B$23:$U$23,0)))*(VLOOKUP($B221,INDIRECT($B$5&amp;"生成成长"),3))*(VLOOKUP($B$5,标准坦克设计!$B$14:$K$20,9)/30))</f>
        <v>5.6235271601486847</v>
      </c>
      <c r="DT221" s="173">
        <f ca="1">(VLOOKUP(DT$72,INDIRECT($C$5&amp;"生成成长"),2))/((VLOOKUP($B221,INDIRECT($B$5&amp;"生成成长"),4))/(VLOOKUP(DT$72,INDIRECT($C$5&amp;"生成成长"),5))*(VLOOKUP($B$5,标准坦克设计!$B$24:$U$30,MATCH("对"&amp;LEFT($C$5,2)&amp;"输出",标准坦克设计!$B$23:$U$23,0)))*(VLOOKUP($B221,INDIRECT($B$5&amp;"生成成长"),3))*(VLOOKUP($B$5,标准坦克设计!$B$14:$K$20,9)/30))</f>
        <v>6.1742926462872534</v>
      </c>
      <c r="DU221" s="173">
        <f ca="1">(VLOOKUP(DU$72,INDIRECT($C$5&amp;"生成成长"),2))/((VLOOKUP($B221,INDIRECT($B$5&amp;"生成成长"),4))/(VLOOKUP(DU$72,INDIRECT($C$5&amp;"生成成长"),5))*(VLOOKUP($B$5,标准坦克设计!$B$24:$U$30,MATCH("对"&amp;LEFT($C$5,2)&amp;"输出",标准坦克设计!$B$23:$U$23,0)))*(VLOOKUP($B221,INDIRECT($B$5&amp;"生成成长"),3))*(VLOOKUP($B$5,标准坦克设计!$B$14:$K$20,9)/30))</f>
        <v>6.7507839088484314</v>
      </c>
      <c r="DV221" s="173">
        <f ca="1">(VLOOKUP(DV$72,INDIRECT($C$5&amp;"生成成长"),2))/((VLOOKUP($B221,INDIRECT($B$5&amp;"生成成长"),4))/(VLOOKUP(DV$72,INDIRECT($C$5&amp;"生成成长"),5))*(VLOOKUP($B$5,标准坦克设计!$B$24:$U$30,MATCH("对"&amp;LEFT($C$5,2)&amp;"输出",标准坦克设计!$B$23:$U$23,0)))*(VLOOKUP($B221,INDIRECT($B$5&amp;"生成成长"),3))*(VLOOKUP($B$5,标准坦克设计!$B$14:$K$20,9)/30))</f>
        <v>7.3530009478322187</v>
      </c>
      <c r="DW221" s="173">
        <f ca="1">(VLOOKUP(DW$72,INDIRECT($C$5&amp;"生成成长"),2))/((VLOOKUP($B221,INDIRECT($B$5&amp;"生成成长"),4))/(VLOOKUP(DW$72,INDIRECT($C$5&amp;"生成成长"),5))*(VLOOKUP($B$5,标准坦克设计!$B$24:$U$30,MATCH("对"&amp;LEFT($C$5,2)&amp;"输出",标准坦克设计!$B$23:$U$23,0)))*(VLOOKUP($B221,INDIRECT($B$5&amp;"生成成长"),3))*(VLOOKUP($B$5,标准坦克设计!$B$14:$K$20,9)/30))</f>
        <v>7.9809437632386109</v>
      </c>
      <c r="DX221" s="173">
        <f ca="1">(VLOOKUP(DX$72,INDIRECT($C$5&amp;"生成成长"),2))/((VLOOKUP($B221,INDIRECT($B$5&amp;"生成成长"),4))/(VLOOKUP(DX$72,INDIRECT($C$5&amp;"生成成长"),5))*(VLOOKUP($B$5,标准坦克设计!$B$24:$U$30,MATCH("对"&amp;LEFT($C$5,2)&amp;"输出",标准坦克设计!$B$23:$U$23,0)))*(VLOOKUP($B221,INDIRECT($B$5&amp;"生成成长"),3))*(VLOOKUP($B$5,标准坦克设计!$B$14:$K$20,9)/30))</f>
        <v>8.6346123550676133</v>
      </c>
      <c r="DY221" s="173">
        <f ca="1">(VLOOKUP(DY$72,INDIRECT($C$5&amp;"生成成长"),2))/((VLOOKUP($B221,INDIRECT($B$5&amp;"生成成长"),4))/(VLOOKUP(DY$72,INDIRECT($C$5&amp;"生成成长"),5))*(VLOOKUP($B$5,标准坦克设计!$B$24:$U$30,MATCH("对"&amp;LEFT($C$5,2)&amp;"输出",标准坦克设计!$B$23:$U$23,0)))*(VLOOKUP($B221,INDIRECT($B$5&amp;"生成成长"),3))*(VLOOKUP($B$5,标准坦克设计!$B$14:$K$20,9)/30))</f>
        <v>3.8781076432775827</v>
      </c>
      <c r="DZ221" s="173">
        <f ca="1">(VLOOKUP(DZ$72,INDIRECT($C$5&amp;"生成成长"),2))/((VLOOKUP($B221,INDIRECT($B$5&amp;"生成成长"),4))/(VLOOKUP(DZ$72,INDIRECT($C$5&amp;"生成成长"),5))*(VLOOKUP($B$5,标准坦克设计!$B$24:$U$30,MATCH("对"&amp;LEFT($C$5,2)&amp;"输出",标准坦克设计!$B$23:$U$23,0)))*(VLOOKUP($B221,INDIRECT($B$5&amp;"生成成长"),3))*(VLOOKUP($B$5,标准坦克设计!$B$14:$K$20,9)/30))</f>
        <v>4.2948226993793375</v>
      </c>
      <c r="EA221" s="173">
        <f ca="1">(VLOOKUP(EA$72,INDIRECT($C$5&amp;"生成成长"),2))/((VLOOKUP($B221,INDIRECT($B$5&amp;"生成成长"),4))/(VLOOKUP(EA$72,INDIRECT($C$5&amp;"生成成长"),5))*(VLOOKUP($B$5,标准坦克设计!$B$24:$U$30,MATCH("对"&amp;LEFT($C$5,2)&amp;"输出",标准坦克设计!$B$23:$U$23,0)))*(VLOOKUP($B221,INDIRECT($B$5&amp;"生成成长"),3))*(VLOOKUP($B$5,标准坦克设计!$B$14:$K$20,9)/30))</f>
        <v>4.7327987277311827</v>
      </c>
      <c r="EB221" s="173">
        <f ca="1">(VLOOKUP(EB$72,INDIRECT($C$5&amp;"生成成长"),2))/((VLOOKUP($B221,INDIRECT($B$5&amp;"生成成长"),4))/(VLOOKUP(EB$72,INDIRECT($C$5&amp;"生成成长"),5))*(VLOOKUP($B$5,标准坦克设计!$B$24:$U$30,MATCH("对"&amp;LEFT($C$5,2)&amp;"输出",标准坦克设计!$B$23:$U$23,0)))*(VLOOKUP($B221,INDIRECT($B$5&amp;"生成成长"),3))*(VLOOKUP($B$5,标准坦克设计!$B$14:$K$20,9)/30))</f>
        <v>5.1920357283331171</v>
      </c>
      <c r="EC221" s="173">
        <f ca="1">(VLOOKUP(EC$72,INDIRECT($C$5&amp;"生成成长"),2))/((VLOOKUP($B221,INDIRECT($B$5&amp;"生成成长"),4))/(VLOOKUP(EC$72,INDIRECT($C$5&amp;"生成成长"),5))*(VLOOKUP($B$5,标准坦克设计!$B$24:$U$30,MATCH("对"&amp;LEFT($C$5,2)&amp;"输出",标准坦克设计!$B$23:$U$23,0)))*(VLOOKUP($B221,INDIRECT($B$5&amp;"生成成长"),3))*(VLOOKUP($B$5,标准坦克设计!$B$14:$K$20,9)/30))</f>
        <v>5.6725337011851389</v>
      </c>
      <c r="ED221" s="173">
        <f ca="1">(VLOOKUP(ED$72,INDIRECT($C$5&amp;"生成成长"),2))/((VLOOKUP($B221,INDIRECT($B$5&amp;"生成成长"),4))/(VLOOKUP(ED$72,INDIRECT($C$5&amp;"生成成长"),5))*(VLOOKUP($B$5,标准坦克设计!$B$24:$U$30,MATCH("对"&amp;LEFT($C$5,2)&amp;"输出",标准坦克设计!$B$23:$U$23,0)))*(VLOOKUP($B221,INDIRECT($B$5&amp;"生成成长"),3))*(VLOOKUP($B$5,标准坦克设计!$B$14:$K$20,9)/30))</f>
        <v>6.1742926462872534</v>
      </c>
      <c r="EE221" s="173">
        <f ca="1">(VLOOKUP(EE$72,INDIRECT($C$5&amp;"生成成长"),2))/((VLOOKUP($B221,INDIRECT($B$5&amp;"生成成长"),4))/(VLOOKUP(EE$72,INDIRECT($C$5&amp;"生成成长"),5))*(VLOOKUP($B$5,标准坦克设计!$B$24:$U$30,MATCH("对"&amp;LEFT($C$5,2)&amp;"输出",标准坦克设计!$B$23:$U$23,0)))*(VLOOKUP($B221,INDIRECT($B$5&amp;"生成成长"),3))*(VLOOKUP($B$5,标准坦克设计!$B$14:$K$20,9)/30))</f>
        <v>6.6973125636394562</v>
      </c>
      <c r="EF221" s="173">
        <f ca="1">(VLOOKUP(EF$72,INDIRECT($C$5&amp;"生成成长"),2))/((VLOOKUP($B221,INDIRECT($B$5&amp;"生成成长"),4))/(VLOOKUP(EF$72,INDIRECT($C$5&amp;"生成成长"),5))*(VLOOKUP($B$5,标准坦克设计!$B$24:$U$30,MATCH("对"&amp;LEFT($C$5,2)&amp;"输出",标准坦克设计!$B$23:$U$23,0)))*(VLOOKUP($B221,INDIRECT($B$5&amp;"生成成长"),3))*(VLOOKUP($B$5,标准坦克设计!$B$14:$K$20,9)/30))</f>
        <v>7.2415934532417472</v>
      </c>
      <c r="EG221" s="173">
        <f ca="1">(VLOOKUP(EG$72,INDIRECT($C$5&amp;"生成成长"),2))/((VLOOKUP($B221,INDIRECT($B$5&amp;"生成成长"),4))/(VLOOKUP(EG$72,INDIRECT($C$5&amp;"生成成长"),5))*(VLOOKUP($B$5,标准坦克设计!$B$24:$U$30,MATCH("对"&amp;LEFT($C$5,2)&amp;"输出",标准坦克设计!$B$23:$U$23,0)))*(VLOOKUP($B221,INDIRECT($B$5&amp;"生成成长"),3))*(VLOOKUP($B$5,标准坦克设计!$B$14:$K$20,9)/30))</f>
        <v>7.8071353150941301</v>
      </c>
      <c r="EH221" s="173">
        <f ca="1">(VLOOKUP(EH$72,INDIRECT($C$5&amp;"生成成长"),2))/((VLOOKUP($B221,INDIRECT($B$5&amp;"生成成长"),4))/(VLOOKUP(EH$72,INDIRECT($C$5&amp;"生成成长"),5))*(VLOOKUP($B$5,标准坦克设计!$B$24:$U$30,MATCH("对"&amp;LEFT($C$5,2)&amp;"输出",标准坦克设计!$B$23:$U$23,0)))*(VLOOKUP($B221,INDIRECT($B$5&amp;"生成成长"),3))*(VLOOKUP($B$5,标准坦克设计!$B$14:$K$20,9)/30))</f>
        <v>8.3939381491966003</v>
      </c>
      <c r="EI221" s="173">
        <f ca="1">(VLOOKUP(EI$72,INDIRECT($C$5&amp;"生成成长"),2))/((VLOOKUP($B221,INDIRECT($B$5&amp;"生成成长"),4))/(VLOOKUP(EI$72,INDIRECT($C$5&amp;"生成成长"),5))*(VLOOKUP($B$5,标准坦克设计!$B$24:$U$30,MATCH("对"&amp;LEFT($C$5,2)&amp;"输出",标准坦克设计!$B$23:$U$23,0)))*(VLOOKUP($B221,INDIRECT($B$5&amp;"生成成长"),3))*(VLOOKUP($B$5,标准坦克设计!$B$14:$K$20,9)/30))</f>
        <v>9.0020019555491615</v>
      </c>
      <c r="EJ221" s="173">
        <f ca="1">(VLOOKUP(EJ$72,INDIRECT($C$5&amp;"生成成长"),2))/((VLOOKUP($B221,INDIRECT($B$5&amp;"生成成长"),4))/(VLOOKUP(EJ$72,INDIRECT($C$5&amp;"生成成长"),5))*(VLOOKUP($B$5,标准坦克设计!$B$24:$U$30,MATCH("对"&amp;LEFT($C$5,2)&amp;"输出",标准坦克设计!$B$23:$U$23,0)))*(VLOOKUP($B221,INDIRECT($B$5&amp;"生成成长"),3))*(VLOOKUP($B$5,标准坦克设计!$B$14:$K$20,9)/30))</f>
        <v>9.6313267341518127</v>
      </c>
      <c r="EK221" s="173">
        <f ca="1">(VLOOKUP(EK$72,INDIRECT($C$5&amp;"生成成长"),2))/((VLOOKUP($B221,INDIRECT($B$5&amp;"生成成长"),4))/(VLOOKUP(EK$72,INDIRECT($C$5&amp;"生成成长"),5))*(VLOOKUP($B$5,标准坦克设计!$B$24:$U$30,MATCH("对"&amp;LEFT($C$5,2)&amp;"输出",标准坦克设计!$B$23:$U$23,0)))*(VLOOKUP($B221,INDIRECT($B$5&amp;"生成成长"),3))*(VLOOKUP($B$5,标准坦克设计!$B$14:$K$20,9)/30))</f>
        <v>10.414580951845112</v>
      </c>
      <c r="EL221" s="173">
        <f ca="1">(VLOOKUP(EL$72,INDIRECT($C$5&amp;"生成成长"),2))/((VLOOKUP($B221,INDIRECT($B$5&amp;"生成成长"),4))/(VLOOKUP(EL$72,INDIRECT($C$5&amp;"生成成长"),5))*(VLOOKUP($B$5,标准坦克设计!$B$24:$U$30,MATCH("对"&amp;LEFT($C$5,2)&amp;"输出",标准坦克设计!$B$23:$U$23,0)))*(VLOOKUP($B221,INDIRECT($B$5&amp;"生成成长"),3))*(VLOOKUP($B$5,标准坦克设计!$B$14:$K$20,9)/30))</f>
        <v>11.228450969578539</v>
      </c>
      <c r="EM221" s="173">
        <f ca="1">(VLOOKUP(EM$72,INDIRECT($C$5&amp;"生成成长"),2))/((VLOOKUP($B221,INDIRECT($B$5&amp;"生成成长"),4))/(VLOOKUP(EM$72,INDIRECT($C$5&amp;"生成成长"),5))*(VLOOKUP($B$5,标准坦克设计!$B$24:$U$30,MATCH("对"&amp;LEFT($C$5,2)&amp;"输出",标准坦克设计!$B$23:$U$23,0)))*(VLOOKUP($B221,INDIRECT($B$5&amp;"生成成长"),3))*(VLOOKUP($B$5,标准坦克设计!$B$14:$K$20,9)/30))</f>
        <v>12.072936787352095</v>
      </c>
      <c r="EN221" s="173">
        <f ca="1">(VLOOKUP(EN$72,INDIRECT($C$5&amp;"生成成长"),2))/((VLOOKUP($B221,INDIRECT($B$5&amp;"生成成长"),4))/(VLOOKUP(EN$72,INDIRECT($C$5&amp;"生成成长"),5))*(VLOOKUP($B$5,标准坦克设计!$B$24:$U$30,MATCH("对"&amp;LEFT($C$5,2)&amp;"输出",标准坦克设计!$B$23:$U$23,0)))*(VLOOKUP($B221,INDIRECT($B$5&amp;"生成成长"),3))*(VLOOKUP($B$5,标准坦克设计!$B$14:$K$20,9)/30))</f>
        <v>12.948038405165782</v>
      </c>
      <c r="EO221" s="173">
        <f ca="1">(VLOOKUP(EO$72,INDIRECT($C$5&amp;"生成成长"),2))/((VLOOKUP($B221,INDIRECT($B$5&amp;"生成成长"),4))/(VLOOKUP(EO$72,INDIRECT($C$5&amp;"生成成长"),5))*(VLOOKUP($B$5,标准坦克设计!$B$24:$U$30,MATCH("对"&amp;LEFT($C$5,2)&amp;"输出",标准坦克设计!$B$23:$U$23,0)))*(VLOOKUP($B221,INDIRECT($B$5&amp;"生成成长"),3))*(VLOOKUP($B$5,标准坦克设计!$B$14:$K$20,9)/30))</f>
        <v>13.853755823019595</v>
      </c>
      <c r="EP221" s="173">
        <f ca="1">(VLOOKUP(EP$72,INDIRECT($C$5&amp;"生成成长"),2))/((VLOOKUP($B221,INDIRECT($B$5&amp;"生成成长"),4))/(VLOOKUP(EP$72,INDIRECT($C$5&amp;"生成成长"),5))*(VLOOKUP($B$5,标准坦克设计!$B$24:$U$30,MATCH("对"&amp;LEFT($C$5,2)&amp;"输出",标准坦克设计!$B$23:$U$23,0)))*(VLOOKUP($B221,INDIRECT($B$5&amp;"生成成长"),3))*(VLOOKUP($B$5,标准坦克设计!$B$14:$K$20,9)/30))</f>
        <v>14.790089040913539</v>
      </c>
      <c r="EQ221" s="173">
        <f ca="1">(VLOOKUP(EQ$72,INDIRECT($C$5&amp;"生成成长"),2))/((VLOOKUP($B221,INDIRECT($B$5&amp;"生成成长"),4))/(VLOOKUP(EQ$72,INDIRECT($C$5&amp;"生成成长"),5))*(VLOOKUP($B$5,标准坦克设计!$B$24:$U$30,MATCH("对"&amp;LEFT($C$5,2)&amp;"输出",标准坦克设计!$B$23:$U$23,0)))*(VLOOKUP($B221,INDIRECT($B$5&amp;"生成成长"),3))*(VLOOKUP($B$5,标准坦克设计!$B$14:$K$20,9)/30))</f>
        <v>6.5381741863475344</v>
      </c>
      <c r="ER221" s="173">
        <f ca="1">(VLOOKUP(ER$72,INDIRECT($C$5&amp;"生成成长"),2))/((VLOOKUP($B221,INDIRECT($B$5&amp;"生成成长"),4))/(VLOOKUP(ER$72,INDIRECT($C$5&amp;"生成成长"),5))*(VLOOKUP($B$5,标准坦克设计!$B$24:$U$30,MATCH("对"&amp;LEFT($C$5,2)&amp;"输出",标准坦克设计!$B$23:$U$23,0)))*(VLOOKUP($B221,INDIRECT($B$5&amp;"生成成长"),3))*(VLOOKUP($B$5,标准坦克设计!$B$14:$K$20,9)/30))</f>
        <v>7.1310363975412816</v>
      </c>
      <c r="ES221" s="173">
        <f ca="1">(VLOOKUP(ES$72,INDIRECT($C$5&amp;"生成成长"),2))/((VLOOKUP($B221,INDIRECT($B$5&amp;"生成成长"),4))/(VLOOKUP(ES$72,INDIRECT($C$5&amp;"生成成长"),5))*(VLOOKUP($B$5,标准坦克设计!$B$24:$U$30,MATCH("对"&amp;LEFT($C$5,2)&amp;"输出",标准坦克设计!$B$23:$U$23,0)))*(VLOOKUP($B221,INDIRECT($B$5&amp;"生成成长"),3))*(VLOOKUP($B$5,标准坦克设计!$B$14:$K$20,9)/30))</f>
        <v>7.7496243851576372</v>
      </c>
      <c r="ET221" s="173">
        <f ca="1">(VLOOKUP(ET$72,INDIRECT($C$5&amp;"生成成长"),2))/((VLOOKUP($B221,INDIRECT($B$5&amp;"生成成长"),4))/(VLOOKUP(ET$72,INDIRECT($C$5&amp;"生成成长"),5))*(VLOOKUP($B$5,标准坦克设计!$B$24:$U$30,MATCH("对"&amp;LEFT($C$5,2)&amp;"输出",标准坦克设计!$B$23:$U$23,0)))*(VLOOKUP($B221,INDIRECT($B$5&amp;"生成成长"),3))*(VLOOKUP($B$5,标准坦克设计!$B$14:$K$20,9)/30))</f>
        <v>8.3939381491966003</v>
      </c>
      <c r="EU221" s="173">
        <f ca="1">(VLOOKUP(EU$72,INDIRECT($C$5&amp;"生成成长"),2))/((VLOOKUP($B221,INDIRECT($B$5&amp;"生成成长"),4))/(VLOOKUP(EU$72,INDIRECT($C$5&amp;"生成成长"),5))*(VLOOKUP($B$5,标准坦克设计!$B$24:$U$30,MATCH("对"&amp;LEFT($C$5,2)&amp;"输出",标准坦克设计!$B$23:$U$23,0)))*(VLOOKUP($B221,INDIRECT($B$5&amp;"生成成长"),3))*(VLOOKUP($B$5,标准坦克设计!$B$14:$K$20,9)/30))</f>
        <v>9.0639776896581754</v>
      </c>
      <c r="EV221" s="173">
        <f ca="1">(VLOOKUP(EV$72,INDIRECT($C$5&amp;"生成成长"),2))/((VLOOKUP($B221,INDIRECT($B$5&amp;"生成成长"),4))/(VLOOKUP(EV$72,INDIRECT($C$5&amp;"生成成长"),5))*(VLOOKUP($B$5,标准坦克设计!$B$24:$U$30,MATCH("对"&amp;LEFT($C$5,2)&amp;"输出",标准坦克设计!$B$23:$U$23,0)))*(VLOOKUP($B221,INDIRECT($B$5&amp;"生成成长"),3))*(VLOOKUP($B$5,标准坦克设计!$B$14:$K$20,9)/30))</f>
        <v>9.7597430065423545</v>
      </c>
      <c r="EW221" s="173">
        <f ca="1">(VLOOKUP(EW$72,INDIRECT($C$5&amp;"生成成长"),2))/((VLOOKUP($B221,INDIRECT($B$5&amp;"生成成长"),4))/(VLOOKUP(EW$72,INDIRECT($C$5&amp;"生成成长"),5))*(VLOOKUP($B$5,标准坦克设计!$B$24:$U$30,MATCH("对"&amp;LEFT($C$5,2)&amp;"输出",标准坦克设计!$B$23:$U$23,0)))*(VLOOKUP($B221,INDIRECT($B$5&amp;"生成成长"),3))*(VLOOKUP($B$5,标准坦克设计!$B$14:$K$20,9)/30))</f>
        <v>10.481234099849143</v>
      </c>
      <c r="EX221" s="173">
        <f ca="1">(VLOOKUP(EX$72,INDIRECT($C$5&amp;"生成成长"),2))/((VLOOKUP($B221,INDIRECT($B$5&amp;"生成成长"),4))/(VLOOKUP(EX$72,INDIRECT($C$5&amp;"生成成长"),5))*(VLOOKUP($B$5,标准坦克设计!$B$24:$U$30,MATCH("对"&amp;LEFT($C$5,2)&amp;"输出",标准坦克设计!$B$23:$U$23,0)))*(VLOOKUP($B221,INDIRECT($B$5&amp;"生成成长"),3))*(VLOOKUP($B$5,标准坦克设计!$B$14:$K$20,9)/30))</f>
        <v>11.228450969578539</v>
      </c>
      <c r="EY221" s="173">
        <f ca="1">(VLOOKUP(EY$72,INDIRECT($C$5&amp;"生成成长"),2))/((VLOOKUP($B221,INDIRECT($B$5&amp;"生成成长"),4))/(VLOOKUP(EY$72,INDIRECT($C$5&amp;"生成成长"),5))*(VLOOKUP($B$5,标准坦克设计!$B$24:$U$30,MATCH("对"&amp;LEFT($C$5,2)&amp;"输出",标准坦克设计!$B$23:$U$23,0)))*(VLOOKUP($B221,INDIRECT($B$5&amp;"生成成长"),3))*(VLOOKUP($B$5,标准坦克设计!$B$14:$K$20,9)/30))</f>
        <v>12.001393615730544</v>
      </c>
      <c r="EZ221" s="173">
        <f ca="1">(VLOOKUP(EZ$72,INDIRECT($C$5&amp;"生成成长"),2))/((VLOOKUP($B221,INDIRECT($B$5&amp;"生成成长"),4))/(VLOOKUP(EZ$72,INDIRECT($C$5&amp;"生成成长"),5))*(VLOOKUP($B$5,标准坦克设计!$B$24:$U$30,MATCH("对"&amp;LEFT($C$5,2)&amp;"输出",标准坦克设计!$B$23:$U$23,0)))*(VLOOKUP($B221,INDIRECT($B$5&amp;"生成成长"),3))*(VLOOKUP($B$5,标准坦克设计!$B$14:$K$20,9)/30))</f>
        <v>12.800062038305157</v>
      </c>
      <c r="FA221" s="173">
        <f ca="1">(VLOOKUP(FA$72,INDIRECT($C$5&amp;"生成成长"),2))/((VLOOKUP($B221,INDIRECT($B$5&amp;"生成成长"),4))/(VLOOKUP(FA$72,INDIRECT($C$5&amp;"生成成长"),5))*(VLOOKUP($B$5,标准坦克设计!$B$24:$U$30,MATCH("对"&amp;LEFT($C$5,2)&amp;"输出",标准坦克设计!$B$23:$U$23,0)))*(VLOOKUP($B221,INDIRECT($B$5&amp;"生成成长"),3))*(VLOOKUP($B$5,标准坦克设计!$B$14:$K$20,9)/30))</f>
        <v>13.624456237302379</v>
      </c>
      <c r="FB221" s="173">
        <f ca="1">(VLOOKUP(FB$72,INDIRECT($C$5&amp;"生成成长"),2))/((VLOOKUP($B221,INDIRECT($B$5&amp;"生成成长"),4))/(VLOOKUP(FB$72,INDIRECT($C$5&amp;"生成成长"),5))*(VLOOKUP($B$5,标准坦克设计!$B$24:$U$30,MATCH("对"&amp;LEFT($C$5,2)&amp;"输出",标准坦克设计!$B$23:$U$23,0)))*(VLOOKUP($B221,INDIRECT($B$5&amp;"生成成长"),3))*(VLOOKUP($B$5,标准坦克设计!$B$14:$K$20,9)/30))</f>
        <v>14.47457621272221</v>
      </c>
      <c r="FC221" s="173">
        <f ca="1">(VLOOKUP(FC$72,INDIRECT($C$5&amp;"生成成长"),2))/((VLOOKUP($B221,INDIRECT($B$5&amp;"生成成长"),4))/(VLOOKUP(FC$72,INDIRECT($C$5&amp;"生成成长"),5))*(VLOOKUP($B$5,标准坦克设计!$B$24:$U$30,MATCH("对"&amp;LEFT($C$5,2)&amp;"输出",标准坦克设计!$B$23:$U$23,0)))*(VLOOKUP($B221,INDIRECT($B$5&amp;"生成成长"),3))*(VLOOKUP($B$5,标准坦克设计!$B$14:$K$20,9)/30))</f>
        <v>15.350421964564649</v>
      </c>
      <c r="FD221" s="173">
        <f ca="1">(VLOOKUP(FD$72,INDIRECT($C$5&amp;"生成成长"),2))/((VLOOKUP($B221,INDIRECT($B$5&amp;"生成成长"),4))/(VLOOKUP(FD$72,INDIRECT($C$5&amp;"生成成长"),5))*(VLOOKUP($B$5,标准坦克设计!$B$24:$U$30,MATCH("对"&amp;LEFT($C$5,2)&amp;"输出",标准坦克设计!$B$23:$U$23,0)))*(VLOOKUP($B221,INDIRECT($B$5&amp;"生成成长"),3))*(VLOOKUP($B$5,标准坦克设计!$B$14:$K$20,9)/30))</f>
        <v>16.251993492829698</v>
      </c>
      <c r="FE221" s="173">
        <f ca="1">(VLOOKUP(FE$72,INDIRECT($C$5&amp;"生成成长"),2))/((VLOOKUP($B221,INDIRECT($B$5&amp;"生成成长"),4))/(VLOOKUP(FE$72,INDIRECT($C$5&amp;"生成成长"),5))*(VLOOKUP($B$5,标准坦克设计!$B$24:$U$30,MATCH("对"&amp;LEFT($C$5,2)&amp;"输出",标准坦克设计!$B$23:$U$23,0)))*(VLOOKUP($B221,INDIRECT($B$5&amp;"生成成长"),3))*(VLOOKUP($B$5,标准坦克设计!$B$14:$K$20,9)/30))</f>
        <v>17.350654233853074</v>
      </c>
      <c r="FF221" s="173">
        <f ca="1">(VLOOKUP(FF$72,INDIRECT($C$5&amp;"生成成长"),2))/((VLOOKUP($B221,INDIRECT($B$5&amp;"生成成长"),4))/(VLOOKUP(FF$72,INDIRECT($C$5&amp;"生成成长"),5))*(VLOOKUP($B$5,标准坦克设计!$B$24:$U$30,MATCH("对"&amp;LEFT($C$5,2)&amp;"输出",标准坦克设计!$B$23:$U$23,0)))*(VLOOKUP($B221,INDIRECT($B$5&amp;"生成成长"),3))*(VLOOKUP($B$5,标准坦克设计!$B$14:$K$20,9)/30))</f>
        <v>18.485246017979104</v>
      </c>
      <c r="FG221" s="173">
        <f ca="1">(VLOOKUP(FG$72,INDIRECT($C$5&amp;"生成成长"),2))/((VLOOKUP($B221,INDIRECT($B$5&amp;"生成成长"),4))/(VLOOKUP(FG$72,INDIRECT($C$5&amp;"生成成长"),5))*(VLOOKUP($B$5,标准坦克设计!$B$24:$U$30,MATCH("对"&amp;LEFT($C$5,2)&amp;"输出",标准坦克设计!$B$23:$U$23,0)))*(VLOOKUP($B221,INDIRECT($B$5&amp;"生成成长"),3))*(VLOOKUP($B$5,标准坦克设计!$B$14:$K$20,9)/30))</f>
        <v>19.655768845207781</v>
      </c>
      <c r="FH221" s="173">
        <f ca="1">(VLOOKUP(FH$72,INDIRECT($C$5&amp;"生成成长"),2))/((VLOOKUP($B221,INDIRECT($B$5&amp;"生成成长"),4))/(VLOOKUP(FH$72,INDIRECT($C$5&amp;"生成成长"),5))*(VLOOKUP($B$5,标准坦克设计!$B$24:$U$30,MATCH("对"&amp;LEFT($C$5,2)&amp;"输出",标准坦克设计!$B$23:$U$23,0)))*(VLOOKUP($B221,INDIRECT($B$5&amp;"生成成长"),3))*(VLOOKUP($B$5,标准坦克设计!$B$14:$K$20,9)/30))</f>
        <v>20.862222715539112</v>
      </c>
      <c r="FI221" s="173">
        <f ca="1">(VLOOKUP(FI$72,INDIRECT($C$5&amp;"生成成长"),2))/((VLOOKUP($B221,INDIRECT($B$5&amp;"生成成长"),4))/(VLOOKUP(FI$72,INDIRECT($C$5&amp;"生成成长"),5))*(VLOOKUP($B$5,标准坦克设计!$B$24:$U$30,MATCH("对"&amp;LEFT($C$5,2)&amp;"输出",标准坦克设计!$B$23:$U$23,0)))*(VLOOKUP($B221,INDIRECT($B$5&amp;"生成成长"),3))*(VLOOKUP($B$5,标准坦克设计!$B$14:$K$20,9)/30))</f>
        <v>22.104607628973096</v>
      </c>
      <c r="FJ221" s="173">
        <f ca="1">(VLOOKUP(FJ$72,INDIRECT($C$5&amp;"生成成长"),2))/((VLOOKUP($B221,INDIRECT($B$5&amp;"生成成长"),4))/(VLOOKUP(FJ$72,INDIRECT($C$5&amp;"生成成长"),5))*(VLOOKUP($B$5,标准坦克设计!$B$24:$U$30,MATCH("对"&amp;LEFT($C$5,2)&amp;"输出",标准坦克设计!$B$23:$U$23,0)))*(VLOOKUP($B221,INDIRECT($B$5&amp;"生成成长"),3))*(VLOOKUP($B$5,标准坦克设计!$B$14:$K$20,9)/30))</f>
        <v>23.382923585509726</v>
      </c>
      <c r="FK221" s="173">
        <f ca="1">(VLOOKUP(FK$72,INDIRECT($C$5&amp;"生成成长"),2))/((VLOOKUP($B221,INDIRECT($B$5&amp;"生成成长"),4))/(VLOOKUP(FK$72,INDIRECT($C$5&amp;"生成成长"),5))*(VLOOKUP($B$5,标准坦克设计!$B$24:$U$30,MATCH("对"&amp;LEFT($C$5,2)&amp;"输出",标准坦克设计!$B$23:$U$23,0)))*(VLOOKUP($B221,INDIRECT($B$5&amp;"生成成长"),3))*(VLOOKUP($B$5,标准坦克设计!$B$14:$K$20,9)/30))</f>
        <v>24.697170585149014</v>
      </c>
    </row>
    <row r="222" spans="1:167" x14ac:dyDescent="0.15">
      <c r="A222" s="171" t="str">
        <f t="shared" si="13"/>
        <v>T5高品质6级</v>
      </c>
      <c r="B222" s="172">
        <v>30506</v>
      </c>
      <c r="C222" s="173">
        <f ca="1">(VLOOKUP(C$72,INDIRECT($C$5&amp;"生成成长"),2))/((VLOOKUP($B222,INDIRECT($B$5&amp;"生成成长"),4))/(VLOOKUP(C$72,INDIRECT($C$5&amp;"生成成长"),5))*(VLOOKUP($B$5,标准坦克设计!$B$24:$U$30,MATCH("对"&amp;LEFT($C$5,2)&amp;"输出",标准坦克设计!$B$23:$U$23,0)))*(VLOOKUP($B222,INDIRECT($B$5&amp;"生成成长"),3))*(VLOOKUP($B$5,标准坦克设计!$B$14:$K$20,9)/30))</f>
        <v>0.98635648201667347</v>
      </c>
      <c r="D222" s="173">
        <f ca="1">(VLOOKUP(D$72,INDIRECT($C$5&amp;"生成成长"),2))/((VLOOKUP($B222,INDIRECT($B$5&amp;"生成成长"),4))/(VLOOKUP(D$72,INDIRECT($C$5&amp;"生成成长"),5))*(VLOOKUP($B$5,标准坦克设计!$B$24:$U$30,MATCH("对"&amp;LEFT($C$5,2)&amp;"输出",标准坦克设计!$B$23:$U$23,0)))*(VLOOKUP($B222,INDIRECT($B$5&amp;"生成成长"),3))*(VLOOKUP($B$5,标准坦克设计!$B$14:$K$20,9)/30))</f>
        <v>1.1082701431939344</v>
      </c>
      <c r="E222" s="173">
        <f ca="1">(VLOOKUP(E$72,INDIRECT($C$5&amp;"生成成长"),2))/((VLOOKUP($B222,INDIRECT($B$5&amp;"生成成长"),4))/(VLOOKUP(E$72,INDIRECT($C$5&amp;"生成成长"),5))*(VLOOKUP($B$5,标准坦克设计!$B$24:$U$30,MATCH("对"&amp;LEFT($C$5,2)&amp;"输出",标准坦克设计!$B$23:$U$23,0)))*(VLOOKUP($B222,INDIRECT($B$5&amp;"生成成长"),3))*(VLOOKUP($B$5,标准坦克设计!$B$14:$K$20,9)/30))</f>
        <v>1.237285571041715</v>
      </c>
      <c r="F222" s="173">
        <f ca="1">(VLOOKUP(F$72,INDIRECT($C$5&amp;"生成成长"),2))/((VLOOKUP($B222,INDIRECT($B$5&amp;"生成成长"),4))/(VLOOKUP(F$72,INDIRECT($C$5&amp;"生成成长"),5))*(VLOOKUP($B$5,标准坦克设计!$B$24:$U$30,MATCH("对"&amp;LEFT($C$5,2)&amp;"输出",标准坦克设计!$B$23:$U$23,0)))*(VLOOKUP($B222,INDIRECT($B$5&amp;"生成成长"),3))*(VLOOKUP($B$5,标准坦克设计!$B$14:$K$20,9)/30))</f>
        <v>1.3734027655600163</v>
      </c>
      <c r="G222" s="173">
        <f ca="1">(VLOOKUP(G$72,INDIRECT($C$5&amp;"生成成长"),2))/((VLOOKUP($B222,INDIRECT($B$5&amp;"生成成长"),4))/(VLOOKUP(G$72,INDIRECT($C$5&amp;"生成成长"),5))*(VLOOKUP($B$5,标准坦克设计!$B$24:$U$30,MATCH("对"&amp;LEFT($C$5,2)&amp;"输出",标准坦克设计!$B$23:$U$23,0)))*(VLOOKUP($B222,INDIRECT($B$5&amp;"生成成长"),3))*(VLOOKUP($B$5,标准坦克设计!$B$14:$K$20,9)/30))</f>
        <v>1.5166217267488371</v>
      </c>
      <c r="H222" s="173">
        <f ca="1">(VLOOKUP(H$72,INDIRECT($C$5&amp;"生成成长"),2))/((VLOOKUP($B222,INDIRECT($B$5&amp;"生成成长"),4))/(VLOOKUP(H$72,INDIRECT($C$5&amp;"生成成长"),5))*(VLOOKUP($B$5,标准坦克设计!$B$24:$U$30,MATCH("对"&amp;LEFT($C$5,2)&amp;"输出",标准坦克设计!$B$23:$U$23,0)))*(VLOOKUP($B222,INDIRECT($B$5&amp;"生成成长"),3))*(VLOOKUP($B$5,标准坦克设计!$B$14:$K$20,9)/30))</f>
        <v>1.3272412822016357</v>
      </c>
      <c r="I222" s="173">
        <f ca="1">(VLOOKUP(I$72,INDIRECT($C$5&amp;"生成成长"),2))/((VLOOKUP($B222,INDIRECT($B$5&amp;"生成成长"),4))/(VLOOKUP(I$72,INDIRECT($C$5&amp;"生成成长"),5))*(VLOOKUP($B$5,标准坦克设计!$B$24:$U$30,MATCH("对"&amp;LEFT($C$5,2)&amp;"输出",标准坦克设计!$B$23:$U$23,0)))*(VLOOKUP($B222,INDIRECT($B$5&amp;"生成成长"),3))*(VLOOKUP($B$5,标准坦克设计!$B$14:$K$20,9)/30))</f>
        <v>1.5166217267488371</v>
      </c>
      <c r="J222" s="173">
        <f ca="1">(VLOOKUP(J$72,INDIRECT($C$5&amp;"生成成长"),2))/((VLOOKUP($B222,INDIRECT($B$5&amp;"生成成长"),4))/(VLOOKUP(J$72,INDIRECT($C$5&amp;"生成成长"),5))*(VLOOKUP($B$5,标准坦克设计!$B$24:$U$30,MATCH("对"&amp;LEFT($C$5,2)&amp;"输出",标准坦克设计!$B$23:$U$23,0)))*(VLOOKUP($B222,INDIRECT($B$5&amp;"生成成长"),3))*(VLOOKUP($B$5,标准坦克设计!$B$14:$K$20,9)/30))</f>
        <v>1.7186275342658519</v>
      </c>
      <c r="K222" s="173">
        <f ca="1">(VLOOKUP(K$72,INDIRECT($C$5&amp;"生成成长"),2))/((VLOOKUP($B222,INDIRECT($B$5&amp;"生成成长"),4))/(VLOOKUP(K$72,INDIRECT($C$5&amp;"生成成长"),5))*(VLOOKUP($B$5,标准坦克设计!$B$24:$U$30,MATCH("对"&amp;LEFT($C$5,2)&amp;"输出",标准坦克设计!$B$23:$U$23,0)))*(VLOOKUP($B222,INDIRECT($B$5&amp;"生成成长"),3))*(VLOOKUP($B$5,标准坦克设计!$B$14:$K$20,9)/30))</f>
        <v>1.9332587047526801</v>
      </c>
      <c r="L222" s="173">
        <f ca="1">(VLOOKUP(L$72,INDIRECT($C$5&amp;"生成成长"),2))/((VLOOKUP($B222,INDIRECT($B$5&amp;"生成成长"),4))/(VLOOKUP(L$72,INDIRECT($C$5&amp;"生成成长"),5))*(VLOOKUP($B$5,标准坦克设计!$B$24:$U$30,MATCH("对"&amp;LEFT($C$5,2)&amp;"输出",标准坦克设计!$B$23:$U$23,0)))*(VLOOKUP($B222,INDIRECT($B$5&amp;"生成成长"),3))*(VLOOKUP($B$5,标准坦克设计!$B$14:$K$20,9)/30))</f>
        <v>2.1605152382093218</v>
      </c>
      <c r="M222" s="173">
        <f ca="1">(VLOOKUP(M$72,INDIRECT($C$5&amp;"生成成长"),2))/((VLOOKUP($B222,INDIRECT($B$5&amp;"生成成长"),4))/(VLOOKUP(M$72,INDIRECT($C$5&amp;"生成成长"),5))*(VLOOKUP($B$5,标准坦克设计!$B$24:$U$30,MATCH("对"&amp;LEFT($C$5,2)&amp;"输出",标准坦克设计!$B$23:$U$23,0)))*(VLOOKUP($B222,INDIRECT($B$5&amp;"生成成长"),3))*(VLOOKUP($B$5,标准坦克设计!$B$14:$K$20,9)/30))</f>
        <v>2.4003971346357766</v>
      </c>
      <c r="N222" s="173">
        <f ca="1">(VLOOKUP(N$72,INDIRECT($C$5&amp;"生成成长"),2))/((VLOOKUP($B222,INDIRECT($B$5&amp;"生成成长"),4))/(VLOOKUP(N$72,INDIRECT($C$5&amp;"生成成长"),5))*(VLOOKUP($B$5,标准坦克设计!$B$24:$U$30,MATCH("对"&amp;LEFT($C$5,2)&amp;"输出",标准坦克设计!$B$23:$U$23,0)))*(VLOOKUP($B222,INDIRECT($B$5&amp;"生成成长"),3))*(VLOOKUP($B$5,标准坦克设计!$B$14:$K$20,9)/30))</f>
        <v>2.6529043940320451</v>
      </c>
      <c r="O222" s="173">
        <f ca="1">(VLOOKUP(O$72,INDIRECT($C$5&amp;"生成成长"),2))/((VLOOKUP($B222,INDIRECT($B$5&amp;"生成成长"),4))/(VLOOKUP(O$72,INDIRECT($C$5&amp;"生成成长"),5))*(VLOOKUP($B$5,标准坦克设计!$B$24:$U$30,MATCH("对"&amp;LEFT($C$5,2)&amp;"输出",标准坦克设计!$B$23:$U$23,0)))*(VLOOKUP($B222,INDIRECT($B$5&amp;"生成成长"),3))*(VLOOKUP($B$5,标准坦克设计!$B$14:$K$20,9)/30))</f>
        <v>2.0170003700758961</v>
      </c>
      <c r="P222" s="173">
        <f ca="1">(VLOOKUP(P$72,INDIRECT($C$5&amp;"生成成长"),2))/((VLOOKUP($B222,INDIRECT($B$5&amp;"生成成长"),4))/(VLOOKUP(P$72,INDIRECT($C$5&amp;"生成成长"),5))*(VLOOKUP($B$5,标准坦克设计!$B$24:$U$30,MATCH("对"&amp;LEFT($C$5,2)&amp;"输出",标准坦克设计!$B$23:$U$23,0)))*(VLOOKUP($B222,INDIRECT($B$5&amp;"生成成长"),3))*(VLOOKUP($B$5,标准坦克设计!$B$14:$K$20,9)/30))</f>
        <v>2.2788780160513222</v>
      </c>
      <c r="Q222" s="173">
        <f ca="1">(VLOOKUP(Q$72,INDIRECT($C$5&amp;"生成成长"),2))/((VLOOKUP($B222,INDIRECT($B$5&amp;"生成成长"),4))/(VLOOKUP(Q$72,INDIRECT($C$5&amp;"生成成长"),5))*(VLOOKUP($B$5,标准坦克设计!$B$24:$U$30,MATCH("对"&amp;LEFT($C$5,2)&amp;"输出",标准坦克设计!$B$23:$U$23,0)))*(VLOOKUP($B222,INDIRECT($B$5&amp;"生成成长"),3))*(VLOOKUP($B$5,标准坦克设计!$B$14:$K$20,9)/30))</f>
        <v>2.5567346370354187</v>
      </c>
      <c r="R222" s="173">
        <f ca="1">(VLOOKUP(R$72,INDIRECT($C$5&amp;"生成成长"),2))/((VLOOKUP($B222,INDIRECT($B$5&amp;"生成成长"),4))/(VLOOKUP(R$72,INDIRECT($C$5&amp;"生成成长"),5))*(VLOOKUP($B$5,标准坦克设计!$B$24:$U$30,MATCH("对"&amp;LEFT($C$5,2)&amp;"输出",标准坦克设计!$B$23:$U$23,0)))*(VLOOKUP($B222,INDIRECT($B$5&amp;"生成成长"),3))*(VLOOKUP($B$5,标准坦克设计!$B$14:$K$20,9)/30))</f>
        <v>2.8505702330281864</v>
      </c>
      <c r="S222" s="173">
        <f ca="1">(VLOOKUP(S$72,INDIRECT($C$5&amp;"生成成长"),2))/((VLOOKUP($B222,INDIRECT($B$5&amp;"生成成长"),4))/(VLOOKUP(S$72,INDIRECT($C$5&amp;"生成成长"),5))*(VLOOKUP($B$5,标准坦克设计!$B$24:$U$30,MATCH("对"&amp;LEFT($C$5,2)&amp;"输出",标准坦克设计!$B$23:$U$23,0)))*(VLOOKUP($B222,INDIRECT($B$5&amp;"生成成长"),3))*(VLOOKUP($B$5,标准坦克设计!$B$14:$K$20,9)/30))</f>
        <v>3.1603848040296239</v>
      </c>
      <c r="T222" s="173">
        <f ca="1">(VLOOKUP(T$72,INDIRECT($C$5&amp;"生成成长"),2))/((VLOOKUP($B222,INDIRECT($B$5&amp;"生成成长"),4))/(VLOOKUP(T$72,INDIRECT($C$5&amp;"生成成长"),5))*(VLOOKUP($B$5,标准坦克设计!$B$24:$U$30,MATCH("对"&amp;LEFT($C$5,2)&amp;"输出",标准坦克设计!$B$23:$U$23,0)))*(VLOOKUP($B222,INDIRECT($B$5&amp;"生成成长"),3))*(VLOOKUP($B$5,标准坦克设计!$B$14:$K$20,9)/30))</f>
        <v>3.4861783500397308</v>
      </c>
      <c r="U222" s="173">
        <f ca="1">(VLOOKUP(U$72,INDIRECT($C$5&amp;"生成成长"),2))/((VLOOKUP($B222,INDIRECT($B$5&amp;"生成成长"),4))/(VLOOKUP(U$72,INDIRECT($C$5&amp;"生成成长"),5))*(VLOOKUP($B$5,标准坦克设计!$B$24:$U$30,MATCH("对"&amp;LEFT($C$5,2)&amp;"输出",标准坦克设计!$B$23:$U$23,0)))*(VLOOKUP($B222,INDIRECT($B$5&amp;"生成成长"),3))*(VLOOKUP($B$5,标准坦克设计!$B$14:$K$20,9)/30))</f>
        <v>3.827950871058508</v>
      </c>
      <c r="V222" s="173">
        <f ca="1">(VLOOKUP(V$72,INDIRECT($C$5&amp;"生成成长"),2))/((VLOOKUP($B222,INDIRECT($B$5&amp;"生成成长"),4))/(VLOOKUP(V$72,INDIRECT($C$5&amp;"生成成长"),5))*(VLOOKUP($B$5,标准坦克设计!$B$24:$U$30,MATCH("对"&amp;LEFT($C$5,2)&amp;"输出",标准坦克设计!$B$23:$U$23,0)))*(VLOOKUP($B222,INDIRECT($B$5&amp;"生成成长"),3))*(VLOOKUP($B$5,标准坦克设计!$B$14:$K$20,9)/30))</f>
        <v>4.1857023670859554</v>
      </c>
      <c r="W222" s="173">
        <f ca="1">(VLOOKUP(W$72,INDIRECT($C$5&amp;"生成成长"),2))/((VLOOKUP($B222,INDIRECT($B$5&amp;"生成成长"),4))/(VLOOKUP(W$72,INDIRECT($C$5&amp;"生成成长"),5))*(VLOOKUP($B$5,标准坦克设计!$B$24:$U$30,MATCH("对"&amp;LEFT($C$5,2)&amp;"输出",标准坦克设计!$B$23:$U$23,0)))*(VLOOKUP($B222,INDIRECT($B$5&amp;"生成成长"),3))*(VLOOKUP($B$5,标准坦克设计!$B$14:$K$20,9)/30))</f>
        <v>4.5594328381220732</v>
      </c>
      <c r="X222" s="173">
        <f ca="1">(VLOOKUP(X$72,INDIRECT($C$5&amp;"生成成长"),2))/((VLOOKUP($B222,INDIRECT($B$5&amp;"生成成长"),4))/(VLOOKUP(X$72,INDIRECT($C$5&amp;"生成成长"),5))*(VLOOKUP($B$5,标准坦克设计!$B$24:$U$30,MATCH("对"&amp;LEFT($C$5,2)&amp;"输出",标准坦克设计!$B$23:$U$23,0)))*(VLOOKUP($B222,INDIRECT($B$5&amp;"生成成长"),3))*(VLOOKUP($B$5,标准坦克设计!$B$14:$K$20,9)/30))</f>
        <v>3.3032092226256382</v>
      </c>
      <c r="Y222" s="173">
        <f ca="1">(VLOOKUP(Y$72,INDIRECT($C$5&amp;"生成成长"),2))/((VLOOKUP($B222,INDIRECT($B$5&amp;"生成成长"),4))/(VLOOKUP(Y$72,INDIRECT($C$5&amp;"生成成长"),5))*(VLOOKUP($B$5,标准坦克设计!$B$24:$U$30,MATCH("对"&amp;LEFT($C$5,2)&amp;"输出",标准坦克设计!$B$23:$U$23,0)))*(VLOOKUP($B222,INDIRECT($B$5&amp;"生成成长"),3))*(VLOOKUP($B$5,标准坦克设计!$B$14:$K$20,9)/30))</f>
        <v>3.6740792598639072</v>
      </c>
      <c r="Z222" s="173">
        <f ca="1">(VLOOKUP(Z$72,INDIRECT($C$5&amp;"生成成长"),2))/((VLOOKUP($B222,INDIRECT($B$5&amp;"生成成长"),4))/(VLOOKUP(Z$72,INDIRECT($C$5&amp;"生成成长"),5))*(VLOOKUP($B$5,标准坦克设计!$B$24:$U$30,MATCH("对"&amp;LEFT($C$5,2)&amp;"输出",标准坦克设计!$B$23:$U$23,0)))*(VLOOKUP($B222,INDIRECT($B$5&amp;"生成成长"),3))*(VLOOKUP($B$5,标准坦克设计!$B$14:$K$20,9)/30))</f>
        <v>4.0646764267425093</v>
      </c>
      <c r="AA222" s="173">
        <f ca="1">(VLOOKUP(AA$72,INDIRECT($C$5&amp;"生成成长"),2))/((VLOOKUP($B222,INDIRECT($B$5&amp;"生成成长"),4))/(VLOOKUP(AA$72,INDIRECT($C$5&amp;"生成成长"),5))*(VLOOKUP($B$5,标准坦克设计!$B$24:$U$30,MATCH("对"&amp;LEFT($C$5,2)&amp;"输出",标准坦克设计!$B$23:$U$23,0)))*(VLOOKUP($B222,INDIRECT($B$5&amp;"生成成长"),3))*(VLOOKUP($B$5,标准坦克设计!$B$14:$K$20,9)/30))</f>
        <v>4.475000723261445</v>
      </c>
      <c r="AB222" s="173">
        <f ca="1">(VLOOKUP(AB$72,INDIRECT($C$5&amp;"生成成长"),2))/((VLOOKUP($B222,INDIRECT($B$5&amp;"生成成长"),4))/(VLOOKUP(AB$72,INDIRECT($C$5&amp;"生成成长"),5))*(VLOOKUP($B$5,标准坦克设计!$B$24:$U$30,MATCH("对"&amp;LEFT($C$5,2)&amp;"输出",标准坦克设计!$B$23:$U$23,0)))*(VLOOKUP($B222,INDIRECT($B$5&amp;"生成成长"),3))*(VLOOKUP($B$5,标准坦克设计!$B$14:$K$20,9)/30))</f>
        <v>4.9050521494207153</v>
      </c>
      <c r="AC222" s="173">
        <f ca="1">(VLOOKUP(AC$72,INDIRECT($C$5&amp;"生成成长"),2))/((VLOOKUP($B222,INDIRECT($B$5&amp;"生成成长"),4))/(VLOOKUP(AC$72,INDIRECT($C$5&amp;"生成成长"),5))*(VLOOKUP($B$5,标准坦克设计!$B$24:$U$30,MATCH("对"&amp;LEFT($C$5,2)&amp;"输出",标准坦克设计!$B$23:$U$23,0)))*(VLOOKUP($B222,INDIRECT($B$5&amp;"生成成长"),3))*(VLOOKUP($B$5,标准坦克设计!$B$14:$K$20,9)/30))</f>
        <v>5.3548307052203192</v>
      </c>
      <c r="AD222" s="173">
        <f ca="1">(VLOOKUP(AD$72,INDIRECT($C$5&amp;"生成成长"),2))/((VLOOKUP($B222,INDIRECT($B$5&amp;"生成成长"),4))/(VLOOKUP(AD$72,INDIRECT($C$5&amp;"生成成长"),5))*(VLOOKUP($B$5,标准坦克设计!$B$24:$U$30,MATCH("对"&amp;LEFT($C$5,2)&amp;"输出",标准坦克设计!$B$23:$U$23,0)))*(VLOOKUP($B222,INDIRECT($B$5&amp;"生成成长"),3))*(VLOOKUP($B$5,标准坦克设计!$B$14:$K$20,9)/30))</f>
        <v>5.824336390660255</v>
      </c>
      <c r="AE222" s="173">
        <f ca="1">(VLOOKUP(AE$72,INDIRECT($C$5&amp;"生成成长"),2))/((VLOOKUP($B222,INDIRECT($B$5&amp;"生成成长"),4))/(VLOOKUP(AE$72,INDIRECT($C$5&amp;"生成成长"),5))*(VLOOKUP($B$5,标准坦克设计!$B$24:$U$30,MATCH("对"&amp;LEFT($C$5,2)&amp;"输出",标准坦克设计!$B$23:$U$23,0)))*(VLOOKUP($B222,INDIRECT($B$5&amp;"生成成长"),3))*(VLOOKUP($B$5,标准坦克设计!$B$14:$K$20,9)/30))</f>
        <v>6.3135692057405253</v>
      </c>
      <c r="AF222" s="173">
        <f ca="1">(VLOOKUP(AF$72,INDIRECT($C$5&amp;"生成成长"),2))/((VLOOKUP($B222,INDIRECT($B$5&amp;"生成成长"),4))/(VLOOKUP(AF$72,INDIRECT($C$5&amp;"生成成长"),5))*(VLOOKUP($B$5,标准坦克设计!$B$24:$U$30,MATCH("对"&amp;LEFT($C$5,2)&amp;"输出",标准坦克设计!$B$23:$U$23,0)))*(VLOOKUP($B222,INDIRECT($B$5&amp;"生成成长"),3))*(VLOOKUP($B$5,标准坦克设计!$B$14:$K$20,9)/30))</f>
        <v>6.8225291504611301</v>
      </c>
      <c r="AG222" s="173">
        <f ca="1">(VLOOKUP(AG$72,INDIRECT($C$5&amp;"生成成长"),2))/((VLOOKUP($B222,INDIRECT($B$5&amp;"生成成长"),4))/(VLOOKUP(AG$72,INDIRECT($C$5&amp;"生成成长"),5))*(VLOOKUP($B$5,标准坦克设计!$B$24:$U$30,MATCH("对"&amp;LEFT($C$5,2)&amp;"输出",标准坦克设计!$B$23:$U$23,0)))*(VLOOKUP($B222,INDIRECT($B$5&amp;"生成成长"),3))*(VLOOKUP($B$5,标准坦克设计!$B$14:$K$20,9)/30))</f>
        <v>7.3512162248220667</v>
      </c>
      <c r="AH222" s="173">
        <f ca="1">(VLOOKUP(AH$72,INDIRECT($C$5&amp;"生成成长"),2))/((VLOOKUP($B222,INDIRECT($B$5&amp;"生成成长"),4))/(VLOOKUP(AH$72,INDIRECT($C$5&amp;"生成成长"),5))*(VLOOKUP($B$5,标准坦克设计!$B$24:$U$30,MATCH("对"&amp;LEFT($C$5,2)&amp;"输出",标准坦克设计!$B$23:$U$23,0)))*(VLOOKUP($B222,INDIRECT($B$5&amp;"生成成长"),3))*(VLOOKUP($B$5,标准坦克设计!$B$14:$K$20,9)/30))</f>
        <v>7.8996304288233361</v>
      </c>
      <c r="AI222" s="173">
        <f ca="1">(VLOOKUP(AI$72,INDIRECT($C$5&amp;"生成成长"),2))/((VLOOKUP($B222,INDIRECT($B$5&amp;"生成成长"),4))/(VLOOKUP(AI$72,INDIRECT($C$5&amp;"生成成长"),5))*(VLOOKUP($B$5,标准坦克设计!$B$24:$U$30,MATCH("对"&amp;LEFT($C$5,2)&amp;"输出",标准坦克设计!$B$23:$U$23,0)))*(VLOOKUP($B222,INDIRECT($B$5&amp;"生成成长"),3))*(VLOOKUP($B$5,标准坦克设计!$B$14:$K$20,9)/30))</f>
        <v>5.5871176567352459</v>
      </c>
      <c r="AJ222" s="173">
        <f ca="1">(VLOOKUP(AJ$72,INDIRECT($C$5&amp;"生成成长"),2))/((VLOOKUP($B222,INDIRECT($B$5&amp;"生成成长"),4))/(VLOOKUP(AJ$72,INDIRECT($C$5&amp;"生成成长"),5))*(VLOOKUP($B$5,标准坦克设计!$B$24:$U$30,MATCH("对"&amp;LEFT($C$5,2)&amp;"输出",标准坦克设计!$B$23:$U$23,0)))*(VLOOKUP($B222,INDIRECT($B$5&amp;"生成成长"),3))*(VLOOKUP($B$5,标准坦克设计!$B$14:$K$20,9)/30))</f>
        <v>6.1155088241515774</v>
      </c>
      <c r="AK222" s="173">
        <f ca="1">(VLOOKUP(AK$72,INDIRECT($C$5&amp;"生成成长"),2))/((VLOOKUP($B222,INDIRECT($B$5&amp;"生成成长"),4))/(VLOOKUP(AK$72,INDIRECT($C$5&amp;"生成成长"),5))*(VLOOKUP($B$5,标准坦克设计!$B$24:$U$30,MATCH("对"&amp;LEFT($C$5,2)&amp;"输出",标准坦克设计!$B$23:$U$23,0)))*(VLOOKUP($B222,INDIRECT($B$5&amp;"生成成长"),3))*(VLOOKUP($B$5,标准坦克设计!$B$14:$K$20,9)/30))</f>
        <v>6.6677698184327125</v>
      </c>
      <c r="AL222" s="173">
        <f ca="1">(VLOOKUP(AL$72,INDIRECT($C$5&amp;"生成成长"),2))/((VLOOKUP($B222,INDIRECT($B$5&amp;"生成成长"),4))/(VLOOKUP(AL$72,INDIRECT($C$5&amp;"生成成长"),5))*(VLOOKUP($B$5,标准坦克设计!$B$24:$U$30,MATCH("对"&amp;LEFT($C$5,2)&amp;"输出",标准坦克设计!$B$23:$U$23,0)))*(VLOOKUP($B222,INDIRECT($B$5&amp;"生成成长"),3))*(VLOOKUP($B$5,标准坦克设计!$B$14:$K$20,9)/30))</f>
        <v>7.2439006395786523</v>
      </c>
      <c r="AM222" s="173">
        <f ca="1">(VLOOKUP(AM$72,INDIRECT($C$5&amp;"生成成长"),2))/((VLOOKUP($B222,INDIRECT($B$5&amp;"生成成长"),4))/(VLOOKUP(AM$72,INDIRECT($C$5&amp;"生成成长"),5))*(VLOOKUP($B$5,标准坦克设计!$B$24:$U$30,MATCH("对"&amp;LEFT($C$5,2)&amp;"输出",标准坦克设计!$B$23:$U$23,0)))*(VLOOKUP($B222,INDIRECT($B$5&amp;"生成成长"),3))*(VLOOKUP($B$5,标准坦克设计!$B$14:$K$20,9)/30))</f>
        <v>7.8439012875893939</v>
      </c>
      <c r="AN222" s="173">
        <f ca="1">(VLOOKUP(AN$72,INDIRECT($C$5&amp;"生成成长"),2))/((VLOOKUP($B222,INDIRECT($B$5&amp;"生成成长"),4))/(VLOOKUP(AN$72,INDIRECT($C$5&amp;"生成成长"),5))*(VLOOKUP($B$5,标准坦克设计!$B$24:$U$30,MATCH("对"&amp;LEFT($C$5,2)&amp;"输出",标准坦克设计!$B$23:$U$23,0)))*(VLOOKUP($B222,INDIRECT($B$5&amp;"生成成长"),3))*(VLOOKUP($B$5,标准坦克设计!$B$14:$K$20,9)/30))</f>
        <v>8.46777176246494</v>
      </c>
      <c r="AO222" s="173">
        <f ca="1">(VLOOKUP(AO$72,INDIRECT($C$5&amp;"生成成长"),2))/((VLOOKUP($B222,INDIRECT($B$5&amp;"生成成长"),4))/(VLOOKUP(AO$72,INDIRECT($C$5&amp;"生成成长"),5))*(VLOOKUP($B$5,标准坦克设计!$B$24:$U$30,MATCH("对"&amp;LEFT($C$5,2)&amp;"输出",标准坦克设计!$B$23:$U$23,0)))*(VLOOKUP($B222,INDIRECT($B$5&amp;"生成成长"),3))*(VLOOKUP($B$5,标准坦克设计!$B$14:$K$20,9)/30))</f>
        <v>9.1155120642052889</v>
      </c>
      <c r="AP222" s="173">
        <f ca="1">(VLOOKUP(AP$72,INDIRECT($C$5&amp;"生成成长"),2))/((VLOOKUP($B222,INDIRECT($B$5&amp;"生成成长"),4))/(VLOOKUP(AP$72,INDIRECT($C$5&amp;"生成成长"),5))*(VLOOKUP($B$5,标准坦克设计!$B$24:$U$30,MATCH("对"&amp;LEFT($C$5,2)&amp;"输出",标准坦克设计!$B$23:$U$23,0)))*(VLOOKUP($B222,INDIRECT($B$5&amp;"生成成长"),3))*(VLOOKUP($B$5,标准坦克设计!$B$14:$K$20,9)/30))</f>
        <v>9.787122192810445</v>
      </c>
      <c r="AQ222" s="173">
        <f ca="1">(VLOOKUP(AQ$72,INDIRECT($C$5&amp;"生成成长"),2))/((VLOOKUP($B222,INDIRECT($B$5&amp;"生成成长"),4))/(VLOOKUP(AQ$72,INDIRECT($C$5&amp;"生成成长"),5))*(VLOOKUP($B$5,标准坦克设计!$B$24:$U$30,MATCH("对"&amp;LEFT($C$5,2)&amp;"输出",标准坦克设计!$B$23:$U$23,0)))*(VLOOKUP($B222,INDIRECT($B$5&amp;"生成成长"),3))*(VLOOKUP($B$5,标准坦克设计!$B$14:$K$20,9)/30))</f>
        <v>10.482602148280401</v>
      </c>
      <c r="AR222" s="173">
        <f ca="1">(VLOOKUP(AR$72,INDIRECT($C$5&amp;"生成成长"),2))/((VLOOKUP($B222,INDIRECT($B$5&amp;"生成成长"),4))/(VLOOKUP(AR$72,INDIRECT($C$5&amp;"生成成长"),5))*(VLOOKUP($B$5,标准坦克设计!$B$24:$U$30,MATCH("对"&amp;LEFT($C$5,2)&amp;"输出",标准坦克设计!$B$23:$U$23,0)))*(VLOOKUP($B222,INDIRECT($B$5&amp;"生成成长"),3))*(VLOOKUP($B$5,标准坦克设计!$B$14:$K$20,9)/30))</f>
        <v>11.201951930615161</v>
      </c>
      <c r="AS222" s="173">
        <f ca="1">(VLOOKUP(AS$72,INDIRECT($C$5&amp;"生成成长"),2))/((VLOOKUP($B222,INDIRECT($B$5&amp;"生成成长"),4))/(VLOOKUP(AS$72,INDIRECT($C$5&amp;"生成成长"),5))*(VLOOKUP($B$5,标准坦克设计!$B$24:$U$30,MATCH("对"&amp;LEFT($C$5,2)&amp;"输出",标准坦克设计!$B$23:$U$23,0)))*(VLOOKUP($B222,INDIRECT($B$5&amp;"生成成长"),3))*(VLOOKUP($B$5,标准坦克设计!$B$14:$K$20,9)/30))</f>
        <v>11.945171539814721</v>
      </c>
      <c r="AT222" s="173">
        <f ca="1">(VLOOKUP(AT$72,INDIRECT($C$5&amp;"生成成长"),2))/((VLOOKUP($B222,INDIRECT($B$5&amp;"生成成长"),4))/(VLOOKUP(AT$72,INDIRECT($C$5&amp;"生成成长"),5))*(VLOOKUP($B$5,标准坦克设计!$B$24:$U$30,MATCH("对"&amp;LEFT($C$5,2)&amp;"输出",标准坦克设计!$B$23:$U$23,0)))*(VLOOKUP($B222,INDIRECT($B$5&amp;"生成成长"),3))*(VLOOKUP($B$5,标准坦克设计!$B$14:$K$20,9)/30))</f>
        <v>12.71226097587909</v>
      </c>
      <c r="AU222" s="173">
        <f ca="1">(VLOOKUP(AU$72,INDIRECT($C$5&amp;"生成成长"),2))/((VLOOKUP($B222,INDIRECT($B$5&amp;"生成成长"),4))/(VLOOKUP(AU$72,INDIRECT($C$5&amp;"生成成长"),5))*(VLOOKUP($B$5,标准坦克设计!$B$24:$U$30,MATCH("对"&amp;LEFT($C$5,2)&amp;"输出",标准坦克设计!$B$23:$U$23,0)))*(VLOOKUP($B222,INDIRECT($B$5&amp;"生成成长"),3))*(VLOOKUP($B$5,标准坦克设计!$B$14:$K$20,9)/30))</f>
        <v>13.503220238808259</v>
      </c>
      <c r="AV222" s="173">
        <f ca="1">(VLOOKUP(AV$72,INDIRECT($C$5&amp;"生成成长"),2))/((VLOOKUP($B222,INDIRECT($B$5&amp;"生成成长"),4))/(VLOOKUP(AV$72,INDIRECT($C$5&amp;"生成成长"),5))*(VLOOKUP($B$5,标准坦克设计!$B$24:$U$30,MATCH("对"&amp;LEFT($C$5,2)&amp;"输出",标准坦克设计!$B$23:$U$23,0)))*(VLOOKUP($B222,INDIRECT($B$5&amp;"生成成长"),3))*(VLOOKUP($B$5,标准坦克设计!$B$14:$K$20,9)/30))</f>
        <v>1.3734027655600163</v>
      </c>
      <c r="AW222" s="173">
        <f ca="1">(VLOOKUP(AW$72,INDIRECT($C$5&amp;"生成成长"),2))/((VLOOKUP($B222,INDIRECT($B$5&amp;"生成成长"),4))/(VLOOKUP(AW$72,INDIRECT($C$5&amp;"生成成长"),5))*(VLOOKUP($B$5,标准坦克设计!$B$24:$U$30,MATCH("对"&amp;LEFT($C$5,2)&amp;"输出",标准坦克设计!$B$23:$U$23,0)))*(VLOOKUP($B222,INDIRECT($B$5&amp;"生成成长"),3))*(VLOOKUP($B$5,标准坦克设计!$B$14:$K$20,9)/30))</f>
        <v>1.5659395508496712</v>
      </c>
      <c r="AX222" s="173">
        <f ca="1">(VLOOKUP(AX$72,INDIRECT($C$5&amp;"生成成长"),2))/((VLOOKUP($B222,INDIRECT($B$5&amp;"生成成长"),4))/(VLOOKUP(AX$72,INDIRECT($C$5&amp;"生成成长"),5))*(VLOOKUP($B$5,标准坦克设计!$B$24:$U$30,MATCH("对"&amp;LEFT($C$5,2)&amp;"输出",标准坦克设计!$B$23:$U$23,0)))*(VLOOKUP($B222,INDIRECT($B$5&amp;"生成成长"),3))*(VLOOKUP($B$5,标准坦克设计!$B$14:$K$20,9)/30))</f>
        <v>1.7711016991091391</v>
      </c>
      <c r="AY222" s="173">
        <f ca="1">(VLOOKUP(AY$72,INDIRECT($C$5&amp;"生成成长"),2))/((VLOOKUP($B222,INDIRECT($B$5&amp;"生成成长"),4))/(VLOOKUP(AY$72,INDIRECT($C$5&amp;"生成成长"),5))*(VLOOKUP($B$5,标准坦克设计!$B$24:$U$30,MATCH("对"&amp;LEFT($C$5,2)&amp;"输出",标准坦克设计!$B$23:$U$23,0)))*(VLOOKUP($B222,INDIRECT($B$5&amp;"生成成长"),3))*(VLOOKUP($B$5,标准坦克设计!$B$14:$K$20,9)/30))</f>
        <v>1.9888892103384208</v>
      </c>
      <c r="AZ222" s="173">
        <f ca="1">(VLOOKUP(AZ$72,INDIRECT($C$5&amp;"生成成长"),2))/((VLOOKUP($B222,INDIRECT($B$5&amp;"生成成长"),4))/(VLOOKUP(AZ$72,INDIRECT($C$5&amp;"生成成长"),5))*(VLOOKUP($B$5,标准坦克设计!$B$24:$U$30,MATCH("对"&amp;LEFT($C$5,2)&amp;"输出",标准坦克设计!$B$23:$U$23,0)))*(VLOOKUP($B222,INDIRECT($B$5&amp;"生成成长"),3))*(VLOOKUP($B$5,标准坦克设计!$B$14:$K$20,9)/30))</f>
        <v>2.2193020845375151</v>
      </c>
      <c r="BA222" s="173">
        <f ca="1">(VLOOKUP(BA$72,INDIRECT($C$5&amp;"生成成长"),2))/((VLOOKUP($B222,INDIRECT($B$5&amp;"生成成长"),4))/(VLOOKUP(BA$72,INDIRECT($C$5&amp;"生成成长"),5))*(VLOOKUP($B$5,标准坦克设计!$B$24:$U$30,MATCH("对"&amp;LEFT($C$5,2)&amp;"输出",标准坦克设计!$B$23:$U$23,0)))*(VLOOKUP($B222,INDIRECT($B$5&amp;"生成成长"),3))*(VLOOKUP($B$5,标准坦克设计!$B$14:$K$20,9)/30))</f>
        <v>2.4623403217064235</v>
      </c>
      <c r="BB222" s="173">
        <f ca="1">(VLOOKUP(BB$72,INDIRECT($C$5&amp;"生成成长"),2))/((VLOOKUP($B222,INDIRECT($B$5&amp;"生成成长"),4))/(VLOOKUP(BB$72,INDIRECT($C$5&amp;"生成成长"),5))*(VLOOKUP($B$5,标准坦克设计!$B$24:$U$30,MATCH("对"&amp;LEFT($C$5,2)&amp;"输出",标准坦克设计!$B$23:$U$23,0)))*(VLOOKUP($B222,INDIRECT($B$5&amp;"生成成长"),3))*(VLOOKUP($B$5,标准坦克设计!$B$14:$K$20,9)/30))</f>
        <v>2.7180039218451455</v>
      </c>
      <c r="BC222" s="173">
        <f ca="1">(VLOOKUP(BC$72,INDIRECT($C$5&amp;"生成成长"),2))/((VLOOKUP($B222,INDIRECT($B$5&amp;"生成成长"),4))/(VLOOKUP(BC$72,INDIRECT($C$5&amp;"生成成长"),5))*(VLOOKUP($B$5,标准坦克设计!$B$24:$U$30,MATCH("对"&amp;LEFT($C$5,2)&amp;"输出",标准坦克设计!$B$23:$U$23,0)))*(VLOOKUP($B222,INDIRECT($B$5&amp;"生成成长"),3))*(VLOOKUP($B$5,标准坦克设计!$B$14:$K$20,9)/30))</f>
        <v>2.9862928849536803</v>
      </c>
      <c r="BD222" s="173">
        <f ca="1">(VLOOKUP(BD$72,INDIRECT($C$5&amp;"生成成长"),2))/((VLOOKUP($B222,INDIRECT($B$5&amp;"生成成长"),4))/(VLOOKUP(BD$72,INDIRECT($C$5&amp;"生成成长"),5))*(VLOOKUP($B$5,标准坦克设计!$B$24:$U$30,MATCH("对"&amp;LEFT($C$5,2)&amp;"输出",标准坦克设计!$B$23:$U$23,0)))*(VLOOKUP($B222,INDIRECT($B$5&amp;"生成成长"),3))*(VLOOKUP($B$5,标准坦克设计!$B$14:$K$20,9)/30))</f>
        <v>3.3032092226256382</v>
      </c>
      <c r="BE222" s="173">
        <f ca="1">(VLOOKUP(BE$72,INDIRECT($C$5&amp;"生成成长"),2))/((VLOOKUP($B222,INDIRECT($B$5&amp;"生成成长"),4))/(VLOOKUP(BE$72,INDIRECT($C$5&amp;"生成成长"),5))*(VLOOKUP($B$5,标准坦克设计!$B$24:$U$30,MATCH("对"&amp;LEFT($C$5,2)&amp;"输出",标准坦克设计!$B$23:$U$23,0)))*(VLOOKUP($B222,INDIRECT($B$5&amp;"生成成长"),3))*(VLOOKUP($B$5,标准坦克设计!$B$14:$K$20,9)/30))</f>
        <v>3.6361045353062647</v>
      </c>
      <c r="BF222" s="173">
        <f ca="1">(VLOOKUP(BF$72,INDIRECT($C$5&amp;"生成成长"),2))/((VLOOKUP($B222,INDIRECT($B$5&amp;"生成成长"),4))/(VLOOKUP(BF$72,INDIRECT($C$5&amp;"生成成长"),5))*(VLOOKUP($B$5,标准坦克设计!$B$24:$U$30,MATCH("对"&amp;LEFT($C$5,2)&amp;"输出",标准坦克设计!$B$23:$U$23,0)))*(VLOOKUP($B222,INDIRECT($B$5&amp;"生成成长"),3))*(VLOOKUP($B$5,标准坦克设计!$B$14:$K$20,9)/30))</f>
        <v>3.9849788229955632</v>
      </c>
      <c r="BG222" s="173">
        <f ca="1">(VLOOKUP(BG$72,INDIRECT($C$5&amp;"生成成长"),2))/((VLOOKUP($B222,INDIRECT($B$5&amp;"生成成长"),4))/(VLOOKUP(BG$72,INDIRECT($C$5&amp;"生成成长"),5))*(VLOOKUP($B$5,标准坦克设计!$B$24:$U$30,MATCH("对"&amp;LEFT($C$5,2)&amp;"输出",标准坦克设计!$B$23:$U$23,0)))*(VLOOKUP($B222,INDIRECT($B$5&amp;"生成成长"),3))*(VLOOKUP($B$5,标准坦克设计!$B$14:$K$20,9)/30))</f>
        <v>4.3498320856935297</v>
      </c>
      <c r="BH222" s="173">
        <f ca="1">(VLOOKUP(BH$72,INDIRECT($C$5&amp;"生成成长"),2))/((VLOOKUP($B222,INDIRECT($B$5&amp;"生成成长"),4))/(VLOOKUP(BH$72,INDIRECT($C$5&amp;"生成成长"),5))*(VLOOKUP($B$5,标准坦克设计!$B$24:$U$30,MATCH("对"&amp;LEFT($C$5,2)&amp;"输出",标准坦克设计!$B$23:$U$23,0)))*(VLOOKUP($B222,INDIRECT($B$5&amp;"生成成长"),3))*(VLOOKUP($B$5,标准坦克设计!$B$14:$K$20,9)/30))</f>
        <v>2.1025174770667414</v>
      </c>
      <c r="BI222" s="173">
        <f ca="1">(VLOOKUP(BI$72,INDIRECT($C$5&amp;"生成成长"),2))/((VLOOKUP($B222,INDIRECT($B$5&amp;"生成成长"),4))/(VLOOKUP(BI$72,INDIRECT($C$5&amp;"生成成长"),5))*(VLOOKUP($B$5,标准坦克设计!$B$24:$U$30,MATCH("对"&amp;LEFT($C$5,2)&amp;"输出",标准坦克设计!$B$23:$U$23,0)))*(VLOOKUP($B222,INDIRECT($B$5&amp;"生成成长"),3))*(VLOOKUP($B$5,标准坦克设计!$B$14:$K$20,9)/30))</f>
        <v>2.3697214480450581</v>
      </c>
      <c r="BJ222" s="173">
        <f ca="1">(VLOOKUP(BJ$72,INDIRECT($C$5&amp;"生成成长"),2))/((VLOOKUP($B222,INDIRECT($B$5&amp;"生成成长"),4))/(VLOOKUP(BJ$72,INDIRECT($C$5&amp;"生成成长"),5))*(VLOOKUP($B$5,标准坦克设计!$B$24:$U$30,MATCH("对"&amp;LEFT($C$5,2)&amp;"输出",标准坦克设计!$B$23:$U$23,0)))*(VLOOKUP($B222,INDIRECT($B$5&amp;"生成成长"),3))*(VLOOKUP($B$5,标准坦克设计!$B$14:$K$20,9)/30))</f>
        <v>2.6529043940320451</v>
      </c>
      <c r="BK222" s="173">
        <f ca="1">(VLOOKUP(BK$72,INDIRECT($C$5&amp;"生成成长"),2))/((VLOOKUP($B222,INDIRECT($B$5&amp;"生成成长"),4))/(VLOOKUP(BK$72,INDIRECT($C$5&amp;"生成成长"),5))*(VLOOKUP($B$5,标准坦克设计!$B$24:$U$30,MATCH("对"&amp;LEFT($C$5,2)&amp;"输出",标准坦克设计!$B$23:$U$23,0)))*(VLOOKUP($B222,INDIRECT($B$5&amp;"生成成长"),3))*(VLOOKUP($B$5,标准坦克设计!$B$14:$K$20,9)/30))</f>
        <v>2.9520663150277024</v>
      </c>
      <c r="BL222" s="173">
        <f ca="1">(VLOOKUP(BL$72,INDIRECT($C$5&amp;"生成成长"),2))/((VLOOKUP($B222,INDIRECT($B$5&amp;"生成成长"),4))/(VLOOKUP(BL$72,INDIRECT($C$5&amp;"生成成长"),5))*(VLOOKUP($B$5,标准坦克设计!$B$24:$U$30,MATCH("对"&amp;LEFT($C$5,2)&amp;"输出",标准坦克设计!$B$23:$U$23,0)))*(VLOOKUP($B222,INDIRECT($B$5&amp;"生成成长"),3))*(VLOOKUP($B$5,标准坦克设计!$B$14:$K$20,9)/30))</f>
        <v>3.2672072110320287</v>
      </c>
      <c r="BM222" s="173">
        <f ca="1">(VLOOKUP(BM$72,INDIRECT($C$5&amp;"生成成长"),2))/((VLOOKUP($B222,INDIRECT($B$5&amp;"生成成长"),4))/(VLOOKUP(BM$72,INDIRECT($C$5&amp;"生成成长"),5))*(VLOOKUP($B$5,标准坦克设计!$B$24:$U$30,MATCH("对"&amp;LEFT($C$5,2)&amp;"输出",标准坦克设计!$B$23:$U$23,0)))*(VLOOKUP($B222,INDIRECT($B$5&amp;"生成成长"),3))*(VLOOKUP($B$5,标准坦克设计!$B$14:$K$20,9)/30))</f>
        <v>3.598327082045027</v>
      </c>
      <c r="BN222" s="173">
        <f ca="1">(VLOOKUP(BN$72,INDIRECT($C$5&amp;"生成成长"),2))/((VLOOKUP($B222,INDIRECT($B$5&amp;"生成成长"),4))/(VLOOKUP(BN$72,INDIRECT($C$5&amp;"生成成长"),5))*(VLOOKUP($B$5,标准坦克设计!$B$24:$U$30,MATCH("对"&amp;LEFT($C$5,2)&amp;"输出",标准坦克设计!$B$23:$U$23,0)))*(VLOOKUP($B222,INDIRECT($B$5&amp;"生成成长"),3))*(VLOOKUP($B$5,标准坦克设计!$B$14:$K$20,9)/30))</f>
        <v>3.9454259280666939</v>
      </c>
      <c r="BO222" s="173">
        <f ca="1">(VLOOKUP(BO$72,INDIRECT($C$5&amp;"生成成长"),2))/((VLOOKUP($B222,INDIRECT($B$5&amp;"生成成长"),4))/(VLOOKUP(BO$72,INDIRECT($C$5&amp;"生成成长"),5))*(VLOOKUP($B$5,标准坦克设计!$B$24:$U$30,MATCH("对"&amp;LEFT($C$5,2)&amp;"输出",标准坦克设计!$B$23:$U$23,0)))*(VLOOKUP($B222,INDIRECT($B$5&amp;"生成成长"),3))*(VLOOKUP($B$5,标准坦克设计!$B$14:$K$20,9)/30))</f>
        <v>4.3085037490970324</v>
      </c>
      <c r="BP222" s="173">
        <f ca="1">(VLOOKUP(BP$72,INDIRECT($C$5&amp;"生成成长"),2))/((VLOOKUP($B222,INDIRECT($B$5&amp;"生成成长"),4))/(VLOOKUP(BP$72,INDIRECT($C$5&amp;"生成成长"),5))*(VLOOKUP($B$5,标准坦克设计!$B$24:$U$30,MATCH("对"&amp;LEFT($C$5,2)&amp;"输出",标准坦克设计!$B$23:$U$23,0)))*(VLOOKUP($B222,INDIRECT($B$5&amp;"生成成长"),3))*(VLOOKUP($B$5,标准坦克设计!$B$14:$K$20,9)/30))</f>
        <v>4.6875605451360389</v>
      </c>
      <c r="BQ222" s="173">
        <f ca="1">(VLOOKUP(BQ$72,INDIRECT($C$5&amp;"生成成长"),2))/((VLOOKUP($B222,INDIRECT($B$5&amp;"生成成长"),4))/(VLOOKUP(BQ$72,INDIRECT($C$5&amp;"生成成长"),5))*(VLOOKUP($B$5,标准坦克设计!$B$24:$U$30,MATCH("对"&amp;LEFT($C$5,2)&amp;"输出",标准坦克设计!$B$23:$U$23,0)))*(VLOOKUP($B222,INDIRECT($B$5&amp;"生成成长"),3))*(VLOOKUP($B$5,标准坦克设计!$B$14:$K$20,9)/30))</f>
        <v>5.0825963161837171</v>
      </c>
      <c r="BR222" s="173">
        <f ca="1">(VLOOKUP(BR$72,INDIRECT($C$5&amp;"生成成长"),2))/((VLOOKUP($B222,INDIRECT($B$5&amp;"生成成长"),4))/(VLOOKUP(BR$72,INDIRECT($C$5&amp;"生成成长"),5))*(VLOOKUP($B$5,标准坦克设计!$B$24:$U$30,MATCH("对"&amp;LEFT($C$5,2)&amp;"输出",标准坦克设计!$B$23:$U$23,0)))*(VLOOKUP($B222,INDIRECT($B$5&amp;"生成成长"),3))*(VLOOKUP($B$5,标准坦克设计!$B$14:$K$20,9)/30))</f>
        <v>5.5402657238394539</v>
      </c>
      <c r="BS222" s="173">
        <f ca="1">(VLOOKUP(BS$72,INDIRECT($C$5&amp;"生成成长"),2))/((VLOOKUP($B222,INDIRECT($B$5&amp;"生成成长"),4))/(VLOOKUP(BS$72,INDIRECT($C$5&amp;"生成成长"),5))*(VLOOKUP($B$5,标准坦克设计!$B$24:$U$30,MATCH("对"&amp;LEFT($C$5,2)&amp;"输出",标准坦克设计!$B$23:$U$23,0)))*(VLOOKUP($B222,INDIRECT($B$5&amp;"生成成长"),3))*(VLOOKUP($B$5,标准坦克设计!$B$14:$K$20,9)/30))</f>
        <v>6.0176622611355235</v>
      </c>
      <c r="BT222" s="173">
        <f ca="1">(VLOOKUP(BT$72,INDIRECT($C$5&amp;"生成成长"),2))/((VLOOKUP($B222,INDIRECT($B$5&amp;"生成成长"),4))/(VLOOKUP(BT$72,INDIRECT($C$5&amp;"生成成长"),5))*(VLOOKUP($B$5,标准坦克设计!$B$24:$U$30,MATCH("对"&amp;LEFT($C$5,2)&amp;"输出",标准坦克设计!$B$23:$U$23,0)))*(VLOOKUP($B222,INDIRECT($B$5&amp;"生成成长"),3))*(VLOOKUP($B$5,标准坦克设计!$B$14:$K$20,9)/30))</f>
        <v>6.5147859280719267</v>
      </c>
      <c r="BU222" s="173">
        <f ca="1">(VLOOKUP(BU$72,INDIRECT($C$5&amp;"生成成长"),2))/((VLOOKUP($B222,INDIRECT($B$5&amp;"生成成长"),4))/(VLOOKUP(BU$72,INDIRECT($C$5&amp;"生成成长"),5))*(VLOOKUP($B$5,标准坦克设计!$B$24:$U$30,MATCH("对"&amp;LEFT($C$5,2)&amp;"输出",标准坦克设计!$B$23:$U$23,0)))*(VLOOKUP($B222,INDIRECT($B$5&amp;"生成成长"),3))*(VLOOKUP($B$5,标准坦克设计!$B$14:$K$20,9)/30))</f>
        <v>7.0316367246486626</v>
      </c>
      <c r="BV222" s="173">
        <f ca="1">(VLOOKUP(BV$72,INDIRECT($C$5&amp;"生成成长"),2))/((VLOOKUP($B222,INDIRECT($B$5&amp;"生成成长"),4))/(VLOOKUP(BV$72,INDIRECT($C$5&amp;"生成成长"),5))*(VLOOKUP($B$5,标准坦克设计!$B$24:$U$30,MATCH("对"&amp;LEFT($C$5,2)&amp;"输出",标准坦克设计!$B$23:$U$23,0)))*(VLOOKUP($B222,INDIRECT($B$5&amp;"生成成长"),3))*(VLOOKUP($B$5,标准坦克设计!$B$14:$K$20,9)/30))</f>
        <v>7.5682146508657349</v>
      </c>
      <c r="BW222" s="173">
        <f ca="1">(VLOOKUP(BW$72,INDIRECT($C$5&amp;"生成成长"),2))/((VLOOKUP($B222,INDIRECT($B$5&amp;"生成成长"),4))/(VLOOKUP(BW$72,INDIRECT($C$5&amp;"生成成长"),5))*(VLOOKUP($B$5,标准坦克设计!$B$24:$U$30,MATCH("对"&amp;LEFT($C$5,2)&amp;"输出",标准坦克设计!$B$23:$U$23,0)))*(VLOOKUP($B222,INDIRECT($B$5&amp;"生成成长"),3))*(VLOOKUP($B$5,标准坦克设计!$B$14:$K$20,9)/30))</f>
        <v>3.4491899819641056</v>
      </c>
      <c r="BX222" s="173">
        <f ca="1">(VLOOKUP(BX$72,INDIRECT($C$5&amp;"生成成长"),2))/((VLOOKUP($B222,INDIRECT($B$5&amp;"生成成长"),4))/(VLOOKUP(BX$72,INDIRECT($C$5&amp;"生成成长"),5))*(VLOOKUP($B$5,标准坦克设计!$B$24:$U$30,MATCH("对"&amp;LEFT($C$5,2)&amp;"输出",标准坦克设计!$B$23:$U$23,0)))*(VLOOKUP($B222,INDIRECT($B$5&amp;"生成成长"),3))*(VLOOKUP($B$5,标准坦克设计!$B$14:$K$20,9)/30))</f>
        <v>3.827950871058508</v>
      </c>
      <c r="BY222" s="173">
        <f ca="1">(VLOOKUP(BY$72,INDIRECT($C$5&amp;"生成成长"),2))/((VLOOKUP($B222,INDIRECT($B$5&amp;"生成成长"),4))/(VLOOKUP(BY$72,INDIRECT($C$5&amp;"生成成长"),5))*(VLOOKUP($B$5,标准坦克设计!$B$24:$U$30,MATCH("对"&amp;LEFT($C$5,2)&amp;"输出",标准坦克设计!$B$23:$U$23,0)))*(VLOOKUP($B222,INDIRECT($B$5&amp;"生成成长"),3))*(VLOOKUP($B$5,标准坦克设计!$B$14:$K$20,9)/30))</f>
        <v>4.2264388897932443</v>
      </c>
      <c r="BZ222" s="173">
        <f ca="1">(VLOOKUP(BZ$72,INDIRECT($C$5&amp;"生成成长"),2))/((VLOOKUP($B222,INDIRECT($B$5&amp;"生成成长"),4))/(VLOOKUP(BZ$72,INDIRECT($C$5&amp;"生成成长"),5))*(VLOOKUP($B$5,标准坦克设计!$B$24:$U$30,MATCH("对"&amp;LEFT($C$5,2)&amp;"输出",标准坦克设计!$B$23:$U$23,0)))*(VLOOKUP($B222,INDIRECT($B$5&amp;"生成成长"),3))*(VLOOKUP($B$5,标准坦克设计!$B$14:$K$20,9)/30))</f>
        <v>4.6446540381683139</v>
      </c>
      <c r="CA222" s="173">
        <f ca="1">(VLOOKUP(CA$72,INDIRECT($C$5&amp;"生成成长"),2))/((VLOOKUP($B222,INDIRECT($B$5&amp;"生成成长"),4))/(VLOOKUP(CA$72,INDIRECT($C$5&amp;"生成成长"),5))*(VLOOKUP($B$5,标准坦克设计!$B$24:$U$30,MATCH("对"&amp;LEFT($C$5,2)&amp;"输出",标准坦克设计!$B$23:$U$23,0)))*(VLOOKUP($B222,INDIRECT($B$5&amp;"生成成长"),3))*(VLOOKUP($B$5,标准坦克设计!$B$14:$K$20,9)/30))</f>
        <v>5.0825963161837171</v>
      </c>
      <c r="CB222" s="173">
        <f ca="1">(VLOOKUP(CB$72,INDIRECT($C$5&amp;"生成成长"),2))/((VLOOKUP($B222,INDIRECT($B$5&amp;"生成成长"),4))/(VLOOKUP(CB$72,INDIRECT($C$5&amp;"生成成长"),5))*(VLOOKUP($B$5,标准坦克设计!$B$24:$U$30,MATCH("对"&amp;LEFT($C$5,2)&amp;"输出",标准坦克设计!$B$23:$U$23,0)))*(VLOOKUP($B222,INDIRECT($B$5&amp;"生成成长"),3))*(VLOOKUP($B$5,标准坦克设计!$B$14:$K$20,9)/30))</f>
        <v>5.5402657238394539</v>
      </c>
      <c r="CC222" s="173">
        <f ca="1">(VLOOKUP(CC$72,INDIRECT($C$5&amp;"生成成长"),2))/((VLOOKUP($B222,INDIRECT($B$5&amp;"生成成长"),4))/(VLOOKUP(CC$72,INDIRECT($C$5&amp;"生成成长"),5))*(VLOOKUP($B$5,标准坦克设计!$B$24:$U$30,MATCH("对"&amp;LEFT($C$5,2)&amp;"输出",标准坦克设计!$B$23:$U$23,0)))*(VLOOKUP($B222,INDIRECT($B$5&amp;"生成成长"),3))*(VLOOKUP($B$5,标准坦克设计!$B$14:$K$20,9)/30))</f>
        <v>6.0176622611355235</v>
      </c>
      <c r="CD222" s="173">
        <f ca="1">(VLOOKUP(CD$72,INDIRECT($C$5&amp;"生成成长"),2))/((VLOOKUP($B222,INDIRECT($B$5&amp;"生成成长"),4))/(VLOOKUP(CD$72,INDIRECT($C$5&amp;"生成成长"),5))*(VLOOKUP($B$5,标准坦克设计!$B$24:$U$30,MATCH("对"&amp;LEFT($C$5,2)&amp;"输出",标准坦克设计!$B$23:$U$23,0)))*(VLOOKUP($B222,INDIRECT($B$5&amp;"生成成长"),3))*(VLOOKUP($B$5,标准坦克设计!$B$14:$K$20,9)/30))</f>
        <v>6.5147859280719267</v>
      </c>
      <c r="CE222" s="173">
        <f ca="1">(VLOOKUP(CE$72,INDIRECT($C$5&amp;"生成成长"),2))/((VLOOKUP($B222,INDIRECT($B$5&amp;"生成成长"),4))/(VLOOKUP(CE$72,INDIRECT($C$5&amp;"生成成长"),5))*(VLOOKUP($B$5,标准坦克设计!$B$24:$U$30,MATCH("对"&amp;LEFT($C$5,2)&amp;"输出",标准坦克设计!$B$23:$U$23,0)))*(VLOOKUP($B222,INDIRECT($B$5&amp;"生成成长"),3))*(VLOOKUP($B$5,标准坦克设计!$B$14:$K$20,9)/30))</f>
        <v>7.0316367246486626</v>
      </c>
      <c r="CF222" s="173">
        <f ca="1">(VLOOKUP(CF$72,INDIRECT($C$5&amp;"生成成长"),2))/((VLOOKUP($B222,INDIRECT($B$5&amp;"生成成长"),4))/(VLOOKUP(CF$72,INDIRECT($C$5&amp;"生成成长"),5))*(VLOOKUP($B$5,标准坦克设计!$B$24:$U$30,MATCH("对"&amp;LEFT($C$5,2)&amp;"输出",标准坦克设计!$B$23:$U$23,0)))*(VLOOKUP($B222,INDIRECT($B$5&amp;"生成成长"),3))*(VLOOKUP($B$5,标准坦克设计!$B$14:$K$20,9)/30))</f>
        <v>7.5682146508657349</v>
      </c>
      <c r="CG222" s="173">
        <f ca="1">(VLOOKUP(CG$72,INDIRECT($C$5&amp;"生成成长"),2))/((VLOOKUP($B222,INDIRECT($B$5&amp;"生成成长"),4))/(VLOOKUP(CG$72,INDIRECT($C$5&amp;"生成成长"),5))*(VLOOKUP($B$5,标准坦克设计!$B$24:$U$30,MATCH("对"&amp;LEFT($C$5,2)&amp;"输出",标准坦克设计!$B$23:$U$23,0)))*(VLOOKUP($B222,INDIRECT($B$5&amp;"生成成长"),3))*(VLOOKUP($B$5,标准坦克设计!$B$14:$K$20,9)/30))</f>
        <v>8.1245197067231381</v>
      </c>
      <c r="CH222" s="173">
        <f ca="1">(VLOOKUP(CH$72,INDIRECT($C$5&amp;"生成成长"),2))/((VLOOKUP($B222,INDIRECT($B$5&amp;"生成成长"),4))/(VLOOKUP(CH$72,INDIRECT($C$5&amp;"生成成长"),5))*(VLOOKUP($B$5,标准坦克设计!$B$24:$U$30,MATCH("对"&amp;LEFT($C$5,2)&amp;"输出",标准坦克设计!$B$23:$U$23,0)))*(VLOOKUP($B222,INDIRECT($B$5&amp;"生成成长"),3))*(VLOOKUP($B$5,标准坦克设计!$B$14:$K$20,9)/30))</f>
        <v>8.7005518922208758</v>
      </c>
      <c r="CI222" s="173">
        <f ca="1">(VLOOKUP(CI$72,INDIRECT($C$5&amp;"生成成长"),2))/((VLOOKUP($B222,INDIRECT($B$5&amp;"生成成长"),4))/(VLOOKUP(CI$72,INDIRECT($C$5&amp;"生成成长"),5))*(VLOOKUP($B$5,标准坦克设计!$B$24:$U$30,MATCH("对"&amp;LEFT($C$5,2)&amp;"输出",标准坦克设计!$B$23:$U$23,0)))*(VLOOKUP($B222,INDIRECT($B$5&amp;"生成成长"),3))*(VLOOKUP($B$5,标准坦克设计!$B$14:$K$20,9)/30))</f>
        <v>9.356972131002971</v>
      </c>
      <c r="CJ222" s="173">
        <f ca="1">(VLOOKUP(CJ$72,INDIRECT($C$5&amp;"生成成长"),2))/((VLOOKUP($B222,INDIRECT($B$5&amp;"生成成长"),4))/(VLOOKUP(CJ$72,INDIRECT($C$5&amp;"生成成长"),5))*(VLOOKUP($B$5,标准坦克设计!$B$24:$U$30,MATCH("对"&amp;LEFT($C$5,2)&amp;"输出",标准坦克设计!$B$23:$U$23,0)))*(VLOOKUP($B222,INDIRECT($B$5&amp;"生成成长"),3))*(VLOOKUP($B$5,标准坦克设计!$B$14:$K$20,9)/30))</f>
        <v>10.037262196649872</v>
      </c>
      <c r="CK222" s="173">
        <f ca="1">(VLOOKUP(CK$72,INDIRECT($C$5&amp;"生成成长"),2))/((VLOOKUP($B222,INDIRECT($B$5&amp;"生成成长"),4))/(VLOOKUP(CK$72,INDIRECT($C$5&amp;"生成成长"),5))*(VLOOKUP($B$5,标准坦克设计!$B$24:$U$30,MATCH("对"&amp;LEFT($C$5,2)&amp;"输出",标准坦克设计!$B$23:$U$23,0)))*(VLOOKUP($B222,INDIRECT($B$5&amp;"生成成长"),3))*(VLOOKUP($B$5,标准坦克设计!$B$14:$K$20,9)/30))</f>
        <v>10.741422089161574</v>
      </c>
      <c r="CL222" s="173">
        <f ca="1">(VLOOKUP(CL$72,INDIRECT($C$5&amp;"生成成长"),2))/((VLOOKUP($B222,INDIRECT($B$5&amp;"生成成长"),4))/(VLOOKUP(CL$72,INDIRECT($C$5&amp;"生成成长"),5))*(VLOOKUP($B$5,标准坦克设计!$B$24:$U$30,MATCH("对"&amp;LEFT($C$5,2)&amp;"输出",标准坦克设计!$B$23:$U$23,0)))*(VLOOKUP($B222,INDIRECT($B$5&amp;"生成成长"),3))*(VLOOKUP($B$5,标准坦克设计!$B$14:$K$20,9)/30))</f>
        <v>11.469451808538082</v>
      </c>
      <c r="CM222" s="173">
        <f ca="1">(VLOOKUP(CM$72,INDIRECT($C$5&amp;"生成成长"),2))/((VLOOKUP($B222,INDIRECT($B$5&amp;"生成成长"),4))/(VLOOKUP(CM$72,INDIRECT($C$5&amp;"生成成长"),5))*(VLOOKUP($B$5,标准坦克设计!$B$24:$U$30,MATCH("对"&amp;LEFT($C$5,2)&amp;"输出",标准坦克设计!$B$23:$U$23,0)))*(VLOOKUP($B222,INDIRECT($B$5&amp;"生成成长"),3))*(VLOOKUP($B$5,标准坦克设计!$B$14:$K$20,9)/30))</f>
        <v>12.221351354779392</v>
      </c>
      <c r="CN222" s="173">
        <f ca="1">(VLOOKUP(CN$72,INDIRECT($C$5&amp;"生成成长"),2))/((VLOOKUP($B222,INDIRECT($B$5&amp;"生成成长"),4))/(VLOOKUP(CN$72,INDIRECT($C$5&amp;"生成成长"),5))*(VLOOKUP($B$5,标准坦克设计!$B$24:$U$30,MATCH("对"&amp;LEFT($C$5,2)&amp;"输出",标准坦克设计!$B$23:$U$23,0)))*(VLOOKUP($B222,INDIRECT($B$5&amp;"生成成长"),3))*(VLOOKUP($B$5,标准坦克设计!$B$14:$K$20,9)/30))</f>
        <v>12.997120727885505</v>
      </c>
      <c r="CO222" s="173">
        <f ca="1">(VLOOKUP(CO$72,INDIRECT($C$5&amp;"生成成长"),2))/((VLOOKUP($B222,INDIRECT($B$5&amp;"生成成长"),4))/(VLOOKUP(CO$72,INDIRECT($C$5&amp;"生成成长"),5))*(VLOOKUP($B$5,标准坦克设计!$B$24:$U$30,MATCH("对"&amp;LEFT($C$5,2)&amp;"输出",标准坦克设计!$B$23:$U$23,0)))*(VLOOKUP($B222,INDIRECT($B$5&amp;"生成成长"),3))*(VLOOKUP($B$5,标准坦克设计!$B$14:$K$20,9)/30))</f>
        <v>5.824336390660255</v>
      </c>
      <c r="CP222" s="173">
        <f ca="1">(VLOOKUP(CP$72,INDIRECT($C$5&amp;"生成成长"),2))/((VLOOKUP($B222,INDIRECT($B$5&amp;"生成成长"),4))/(VLOOKUP(CP$72,INDIRECT($C$5&amp;"生成成长"),5))*(VLOOKUP($B$5,标准坦克设计!$B$24:$U$30,MATCH("对"&amp;LEFT($C$5,2)&amp;"输出",标准坦克设计!$B$23:$U$23,0)))*(VLOOKUP($B222,INDIRECT($B$5&amp;"生成成长"),3))*(VLOOKUP($B$5,标准坦克设计!$B$14:$K$20,9)/30))</f>
        <v>6.3635774793787707</v>
      </c>
      <c r="CQ222" s="173">
        <f ca="1">(VLOOKUP(CQ$72,INDIRECT($C$5&amp;"生成成长"),2))/((VLOOKUP($B222,INDIRECT($B$5&amp;"生成成长"),4))/(VLOOKUP(CQ$72,INDIRECT($C$5&amp;"生成成长"),5))*(VLOOKUP($B$5,标准坦克设计!$B$24:$U$30,MATCH("对"&amp;LEFT($C$5,2)&amp;"输出",标准坦克设计!$B$23:$U$23,0)))*(VLOOKUP($B222,INDIRECT($B$5&amp;"生成成长"),3))*(VLOOKUP($B$5,标准坦克设计!$B$14:$K$20,9)/30))</f>
        <v>6.9266883949620901</v>
      </c>
      <c r="CR222" s="173">
        <f ca="1">(VLOOKUP(CR$72,INDIRECT($C$5&amp;"生成成长"),2))/((VLOOKUP($B222,INDIRECT($B$5&amp;"生成成长"),4))/(VLOOKUP(CR$72,INDIRECT($C$5&amp;"生成成长"),5))*(VLOOKUP($B$5,标准坦克设计!$B$24:$U$30,MATCH("对"&amp;LEFT($C$5,2)&amp;"输出",标准坦克设计!$B$23:$U$23,0)))*(VLOOKUP($B222,INDIRECT($B$5&amp;"生成成长"),3))*(VLOOKUP($B$5,标准坦克设计!$B$14:$K$20,9)/30))</f>
        <v>7.5136691374102123</v>
      </c>
      <c r="CS222" s="173">
        <f ca="1">(VLOOKUP(CS$72,INDIRECT($C$5&amp;"生成成长"),2))/((VLOOKUP($B222,INDIRECT($B$5&amp;"生成成长"),4))/(VLOOKUP(CS$72,INDIRECT($C$5&amp;"生成成长"),5))*(VLOOKUP($B$5,标准坦克设计!$B$24:$U$30,MATCH("对"&amp;LEFT($C$5,2)&amp;"输出",标准坦克设计!$B$23:$U$23,0)))*(VLOOKUP($B222,INDIRECT($B$5&amp;"生成成长"),3))*(VLOOKUP($B$5,标准坦克设计!$B$14:$K$20,9)/30))</f>
        <v>8.1245197067231381</v>
      </c>
      <c r="CT222" s="173">
        <f ca="1">(VLOOKUP(CT$72,INDIRECT($C$5&amp;"生成成长"),2))/((VLOOKUP($B222,INDIRECT($B$5&amp;"生成成长"),4))/(VLOOKUP(CT$72,INDIRECT($C$5&amp;"生成成长"),5))*(VLOOKUP($B$5,标准坦克设计!$B$24:$U$30,MATCH("对"&amp;LEFT($C$5,2)&amp;"输出",标准坦克设计!$B$23:$U$23,0)))*(VLOOKUP($B222,INDIRECT($B$5&amp;"生成成长"),3))*(VLOOKUP($B$5,标准坦克设计!$B$14:$K$20,9)/30))</f>
        <v>8.7592401029008666</v>
      </c>
      <c r="CU222" s="173">
        <f ca="1">(VLOOKUP(CU$72,INDIRECT($C$5&amp;"生成成长"),2))/((VLOOKUP($B222,INDIRECT($B$5&amp;"生成成长"),4))/(VLOOKUP(CU$72,INDIRECT($C$5&amp;"生成成长"),5))*(VLOOKUP($B$5,标准坦克设计!$B$24:$U$30,MATCH("对"&amp;LEFT($C$5,2)&amp;"输出",标准坦克设计!$B$23:$U$23,0)))*(VLOOKUP($B222,INDIRECT($B$5&amp;"生成成长"),3))*(VLOOKUP($B$5,标准坦克设计!$B$14:$K$20,9)/30))</f>
        <v>9.4178303259434006</v>
      </c>
      <c r="CV222" s="173">
        <f ca="1">(VLOOKUP(CV$72,INDIRECT($C$5&amp;"生成成长"),2))/((VLOOKUP($B222,INDIRECT($B$5&amp;"生成成长"),4))/(VLOOKUP(CV$72,INDIRECT($C$5&amp;"生成成长"),5))*(VLOOKUP($B$5,标准坦克设计!$B$24:$U$30,MATCH("对"&amp;LEFT($C$5,2)&amp;"输出",标准坦克设计!$B$23:$U$23,0)))*(VLOOKUP($B222,INDIRECT($B$5&amp;"生成成长"),3))*(VLOOKUP($B$5,标准坦克设计!$B$14:$K$20,9)/30))</f>
        <v>10.100290375850737</v>
      </c>
      <c r="CW222" s="173">
        <f ca="1">(VLOOKUP(CW$72,INDIRECT($C$5&amp;"生成成长"),2))/((VLOOKUP($B222,INDIRECT($B$5&amp;"生成成长"),4))/(VLOOKUP(CW$72,INDIRECT($C$5&amp;"生成成长"),5))*(VLOOKUP($B$5,标准坦克设计!$B$24:$U$30,MATCH("对"&amp;LEFT($C$5,2)&amp;"输出",标准坦克设计!$B$23:$U$23,0)))*(VLOOKUP($B222,INDIRECT($B$5&amp;"生成成长"),3))*(VLOOKUP($B$5,标准坦克设计!$B$14:$K$20,9)/30))</f>
        <v>10.806620252622878</v>
      </c>
      <c r="CX222" s="173">
        <f ca="1">(VLOOKUP(CX$72,INDIRECT($C$5&amp;"生成成长"),2))/((VLOOKUP($B222,INDIRECT($B$5&amp;"生成成长"),4))/(VLOOKUP(CX$72,INDIRECT($C$5&amp;"生成成长"),5))*(VLOOKUP($B$5,标准坦克设计!$B$24:$U$30,MATCH("对"&amp;LEFT($C$5,2)&amp;"输出",标准坦克设计!$B$23:$U$23,0)))*(VLOOKUP($B222,INDIRECT($B$5&amp;"生成成长"),3))*(VLOOKUP($B$5,标准坦克设计!$B$14:$K$20,9)/30))</f>
        <v>11.536819956259819</v>
      </c>
      <c r="CY222" s="173">
        <f ca="1">(VLOOKUP(CY$72,INDIRECT($C$5&amp;"生成成长"),2))/((VLOOKUP($B222,INDIRECT($B$5&amp;"生成成长"),4))/(VLOOKUP(CY$72,INDIRECT($C$5&amp;"生成成长"),5))*(VLOOKUP($B$5,标准坦克设计!$B$24:$U$30,MATCH("对"&amp;LEFT($C$5,2)&amp;"输出",标准坦克设计!$B$23:$U$23,0)))*(VLOOKUP($B222,INDIRECT($B$5&amp;"生成成长"),3))*(VLOOKUP($B$5,标准坦克设计!$B$14:$K$20,9)/30))</f>
        <v>12.290889486761564</v>
      </c>
      <c r="CZ222" s="173">
        <f ca="1">(VLOOKUP(CZ$72,INDIRECT($C$5&amp;"生成成长"),2))/((VLOOKUP($B222,INDIRECT($B$5&amp;"生成成长"),4))/(VLOOKUP(CZ$72,INDIRECT($C$5&amp;"生成成长"),5))*(VLOOKUP($B$5,标准坦克设计!$B$24:$U$30,MATCH("对"&amp;LEFT($C$5,2)&amp;"输出",标准坦克设计!$B$23:$U$23,0)))*(VLOOKUP($B222,INDIRECT($B$5&amp;"生成成长"),3))*(VLOOKUP($B$5,标准坦克设计!$B$14:$K$20,9)/30))</f>
        <v>13.068828844128115</v>
      </c>
      <c r="DA222" s="173">
        <f ca="1">(VLOOKUP(DA$72,INDIRECT($C$5&amp;"生成成长"),2))/((VLOOKUP($B222,INDIRECT($B$5&amp;"生成成长"),4))/(VLOOKUP(DA$72,INDIRECT($C$5&amp;"生成成长"),5))*(VLOOKUP($B$5,标准坦克设计!$B$24:$U$30,MATCH("对"&amp;LEFT($C$5,2)&amp;"输出",标准坦克设计!$B$23:$U$23,0)))*(VLOOKUP($B222,INDIRECT($B$5&amp;"生成成长"),3))*(VLOOKUP($B$5,标准坦克设计!$B$14:$K$20,9)/30))</f>
        <v>13.870638028359471</v>
      </c>
      <c r="DB222" s="173">
        <f ca="1">(VLOOKUP(DB$72,INDIRECT($C$5&amp;"生成成长"),2))/((VLOOKUP($B222,INDIRECT($B$5&amp;"生成成长"),4))/(VLOOKUP(DB$72,INDIRECT($C$5&amp;"生成成长"),5))*(VLOOKUP($B$5,标准坦克设计!$B$24:$U$30,MATCH("对"&amp;LEFT($C$5,2)&amp;"输出",标准坦克设计!$B$23:$U$23,0)))*(VLOOKUP($B222,INDIRECT($B$5&amp;"生成成长"),3))*(VLOOKUP($B$5,标准坦克设计!$B$14:$K$20,9)/30))</f>
        <v>14.696317039455629</v>
      </c>
      <c r="DC222" s="173">
        <f ca="1">(VLOOKUP(DC$72,INDIRECT($C$5&amp;"生成成长"),2))/((VLOOKUP($B222,INDIRECT($B$5&amp;"生成成长"),4))/(VLOOKUP(DC$72,INDIRECT($C$5&amp;"生成成长"),5))*(VLOOKUP($B$5,标准坦克设计!$B$24:$U$30,MATCH("对"&amp;LEFT($C$5,2)&amp;"输出",标准坦克设计!$B$23:$U$23,0)))*(VLOOKUP($B222,INDIRECT($B$5&amp;"生成成长"),3))*(VLOOKUP($B$5,标准坦克设计!$B$14:$K$20,9)/30))</f>
        <v>15.624281217736916</v>
      </c>
      <c r="DD222" s="173">
        <f ca="1">(VLOOKUP(DD$72,INDIRECT($C$5&amp;"生成成长"),2))/((VLOOKUP($B222,INDIRECT($B$5&amp;"生成成长"),4))/(VLOOKUP(DD$72,INDIRECT($C$5&amp;"生成成长"),5))*(VLOOKUP($B$5,标准坦克设计!$B$24:$U$30,MATCH("对"&amp;LEFT($C$5,2)&amp;"输出",标准坦克设计!$B$23:$U$23,0)))*(VLOOKUP($B222,INDIRECT($B$5&amp;"生成成长"),3))*(VLOOKUP($B$5,标准坦克设计!$B$14:$K$20,9)/30))</f>
        <v>16.580652462700282</v>
      </c>
      <c r="DE222" s="173">
        <f ca="1">(VLOOKUP(DE$72,INDIRECT($C$5&amp;"生成成长"),2))/((VLOOKUP($B222,INDIRECT($B$5&amp;"生成成长"),4))/(VLOOKUP(DE$72,INDIRECT($C$5&amp;"生成成长"),5))*(VLOOKUP($B$5,标准坦克设计!$B$24:$U$30,MATCH("对"&amp;LEFT($C$5,2)&amp;"输出",标准坦克设计!$B$23:$U$23,0)))*(VLOOKUP($B222,INDIRECT($B$5&amp;"生成成长"),3))*(VLOOKUP($B$5,标准坦克设计!$B$14:$K$20,9)/30))</f>
        <v>17.565430774345728</v>
      </c>
      <c r="DF222" s="173">
        <f ca="1">(VLOOKUP(DF$72,INDIRECT($C$5&amp;"生成成长"),2))/((VLOOKUP($B222,INDIRECT($B$5&amp;"生成成长"),4))/(VLOOKUP(DF$72,INDIRECT($C$5&amp;"生成成长"),5))*(VLOOKUP($B$5,标准坦克设计!$B$24:$U$30,MATCH("对"&amp;LEFT($C$5,2)&amp;"输出",标准坦克设计!$B$23:$U$23,0)))*(VLOOKUP($B222,INDIRECT($B$5&amp;"生成成长"),3))*(VLOOKUP($B$5,标准坦克设计!$B$14:$K$20,9)/30))</f>
        <v>18.578616152673256</v>
      </c>
      <c r="DG222" s="173">
        <f ca="1">(VLOOKUP(DG$72,INDIRECT($C$5&amp;"生成成长"),2))/((VLOOKUP($B222,INDIRECT($B$5&amp;"生成成长"),4))/(VLOOKUP(DG$72,INDIRECT($C$5&amp;"生成成长"),5))*(VLOOKUP($B$5,标准坦克设计!$B$24:$U$30,MATCH("对"&amp;LEFT($C$5,2)&amp;"输出",标准坦克设计!$B$23:$U$23,0)))*(VLOOKUP($B222,INDIRECT($B$5&amp;"生成成长"),3))*(VLOOKUP($B$5,标准坦克设计!$B$14:$K$20,9)/30))</f>
        <v>19.620208597682861</v>
      </c>
      <c r="DH222" s="173">
        <f ca="1">(VLOOKUP(DH$72,INDIRECT($C$5&amp;"生成成长"),2))/((VLOOKUP($B222,INDIRECT($B$5&amp;"生成成长"),4))/(VLOOKUP(DH$72,INDIRECT($C$5&amp;"生成成长"),5))*(VLOOKUP($B$5,标准坦克设计!$B$24:$U$30,MATCH("对"&amp;LEFT($C$5,2)&amp;"输出",标准坦克设计!$B$23:$U$23,0)))*(VLOOKUP($B222,INDIRECT($B$5&amp;"生成成长"),3))*(VLOOKUP($B$5,标准坦克设计!$B$14:$K$20,9)/30))</f>
        <v>20.690208109374549</v>
      </c>
      <c r="DI222" s="173">
        <f ca="1">(VLOOKUP(DI$72,INDIRECT($C$5&amp;"生成成长"),2))/((VLOOKUP($B222,INDIRECT($B$5&amp;"生成成长"),4))/(VLOOKUP(DI$72,INDIRECT($C$5&amp;"生成成长"),5))*(VLOOKUP($B$5,标准坦克设计!$B$24:$U$30,MATCH("对"&amp;LEFT($C$5,2)&amp;"输出",标准坦克设计!$B$23:$U$23,0)))*(VLOOKUP($B222,INDIRECT($B$5&amp;"生成成长"),3))*(VLOOKUP($B$5,标准坦克设计!$B$14:$K$20,9)/30))</f>
        <v>21.788614687748318</v>
      </c>
      <c r="DJ222" s="173">
        <f ca="1">(VLOOKUP(DJ$72,INDIRECT($C$5&amp;"生成成长"),2))/((VLOOKUP($B222,INDIRECT($B$5&amp;"生成成长"),4))/(VLOOKUP(DJ$72,INDIRECT($C$5&amp;"生成成长"),5))*(VLOOKUP($B$5,标准坦克设计!$B$24:$U$30,MATCH("对"&amp;LEFT($C$5,2)&amp;"输出",标准坦克设计!$B$23:$U$23,0)))*(VLOOKUP($B222,INDIRECT($B$5&amp;"生成成长"),3))*(VLOOKUP($B$5,标准坦克设计!$B$14:$K$20,9)/30))</f>
        <v>2.1898100257252167</v>
      </c>
      <c r="DK222" s="173">
        <f ca="1">(VLOOKUP(DK$72,INDIRECT($C$5&amp;"生成成长"),2))/((VLOOKUP($B222,INDIRECT($B$5&amp;"生成成长"),4))/(VLOOKUP(DK$72,INDIRECT($C$5&amp;"生成成长"),5))*(VLOOKUP($B$5,标准坦克设计!$B$24:$U$30,MATCH("对"&amp;LEFT($C$5,2)&amp;"输出",标准坦克设计!$B$23:$U$23,0)))*(VLOOKUP($B222,INDIRECT($B$5&amp;"生成成长"),3))*(VLOOKUP($B$5,标准坦克设计!$B$14:$K$20,9)/30))</f>
        <v>2.4623403217064235</v>
      </c>
      <c r="DL222" s="173">
        <f ca="1">(VLOOKUP(DL$72,INDIRECT($C$5&amp;"生成成长"),2))/((VLOOKUP($B222,INDIRECT($B$5&amp;"生成成长"),4))/(VLOOKUP(DL$72,INDIRECT($C$5&amp;"生成成长"),5))*(VLOOKUP($B$5,标准坦克设计!$B$24:$U$30,MATCH("对"&amp;LEFT($C$5,2)&amp;"输出",标准坦克设计!$B$23:$U$23,0)))*(VLOOKUP($B222,INDIRECT($B$5&amp;"生成成长"),3))*(VLOOKUP($B$5,标准坦克设计!$B$14:$K$20,9)/30))</f>
        <v>2.7508495926963006</v>
      </c>
      <c r="DM222" s="173">
        <f ca="1">(VLOOKUP(DM$72,INDIRECT($C$5&amp;"生成成长"),2))/((VLOOKUP($B222,INDIRECT($B$5&amp;"生成成长"),4))/(VLOOKUP(DM$72,INDIRECT($C$5&amp;"生成成长"),5))*(VLOOKUP($B$5,标准坦克设计!$B$24:$U$30,MATCH("对"&amp;LEFT($C$5,2)&amp;"输出",标准坦克设计!$B$23:$U$23,0)))*(VLOOKUP($B222,INDIRECT($B$5&amp;"生成成长"),3))*(VLOOKUP($B$5,标准坦克设计!$B$14:$K$20,9)/30))</f>
        <v>3.055337838694848</v>
      </c>
      <c r="DN222" s="173">
        <f ca="1">(VLOOKUP(DN$72,INDIRECT($C$5&amp;"生成成长"),2))/((VLOOKUP($B222,INDIRECT($B$5&amp;"生成成长"),4))/(VLOOKUP(DN$72,INDIRECT($C$5&amp;"生成成长"),5))*(VLOOKUP($B$5,标准坦克设计!$B$24:$U$30,MATCH("对"&amp;LEFT($C$5,2)&amp;"输出",标准坦克设计!$B$23:$U$23,0)))*(VLOOKUP($B222,INDIRECT($B$5&amp;"生成成长"),3))*(VLOOKUP($B$5,标准坦克设计!$B$14:$K$20,9)/30))</f>
        <v>3.3758050597020648</v>
      </c>
      <c r="DO222" s="173">
        <f ca="1">(VLOOKUP(DO$72,INDIRECT($C$5&amp;"生成成长"),2))/((VLOOKUP($B222,INDIRECT($B$5&amp;"生成成长"),4))/(VLOOKUP(DO$72,INDIRECT($C$5&amp;"生成成长"),5))*(VLOOKUP($B$5,标准坦克设计!$B$24:$U$30,MATCH("对"&amp;LEFT($C$5,2)&amp;"输出",标准坦克设计!$B$23:$U$23,0)))*(VLOOKUP($B222,INDIRECT($B$5&amp;"生成成长"),3))*(VLOOKUP($B$5,标准坦克设计!$B$14:$K$20,9)/30))</f>
        <v>3.7122512557179528</v>
      </c>
      <c r="DP222" s="173">
        <f ca="1">(VLOOKUP(DP$72,INDIRECT($C$5&amp;"生成成长"),2))/((VLOOKUP($B222,INDIRECT($B$5&amp;"生成成长"),4))/(VLOOKUP(DP$72,INDIRECT($C$5&amp;"生成成长"),5))*(VLOOKUP($B$5,标准坦克设计!$B$24:$U$30,MATCH("对"&amp;LEFT($C$5,2)&amp;"输出",标准坦克设计!$B$23:$U$23,0)))*(VLOOKUP($B222,INDIRECT($B$5&amp;"生成成长"),3))*(VLOOKUP($B$5,标准坦克设计!$B$14:$K$20,9)/30))</f>
        <v>4.0646764267425093</v>
      </c>
      <c r="DQ222" s="173">
        <f ca="1">(VLOOKUP(DQ$72,INDIRECT($C$5&amp;"生成成长"),2))/((VLOOKUP($B222,INDIRECT($B$5&amp;"生成成长"),4))/(VLOOKUP(DQ$72,INDIRECT($C$5&amp;"生成成长"),5))*(VLOOKUP($B$5,标准坦克设计!$B$24:$U$30,MATCH("对"&amp;LEFT($C$5,2)&amp;"输出",标准坦克设计!$B$23:$U$23,0)))*(VLOOKUP($B222,INDIRECT($B$5&amp;"生成成长"),3))*(VLOOKUP($B$5,标准坦克设计!$B$14:$K$20,9)/30))</f>
        <v>4.4330805727757374</v>
      </c>
      <c r="DR222" s="173">
        <f ca="1">(VLOOKUP(DR$72,INDIRECT($C$5&amp;"生成成长"),2))/((VLOOKUP($B222,INDIRECT($B$5&amp;"生成成长"),4))/(VLOOKUP(DR$72,INDIRECT($C$5&amp;"生成成长"),5))*(VLOOKUP($B$5,标准坦克设计!$B$24:$U$30,MATCH("对"&amp;LEFT($C$5,2)&amp;"输出",标准坦克设计!$B$23:$U$23,0)))*(VLOOKUP($B222,INDIRECT($B$5&amp;"生成成长"),3))*(VLOOKUP($B$5,标准坦克设计!$B$14:$K$20,9)/30))</f>
        <v>4.8174636938176345</v>
      </c>
      <c r="DS222" s="173">
        <f ca="1">(VLOOKUP(DS$72,INDIRECT($C$5&amp;"生成成长"),2))/((VLOOKUP($B222,INDIRECT($B$5&amp;"生成成长"),4))/(VLOOKUP(DS$72,INDIRECT($C$5&amp;"生成成长"),5))*(VLOOKUP($B$5,标准坦克设计!$B$24:$U$30,MATCH("对"&amp;LEFT($C$5,2)&amp;"输出",标准坦克设计!$B$23:$U$23,0)))*(VLOOKUP($B222,INDIRECT($B$5&amp;"生成成长"),3))*(VLOOKUP($B$5,标准坦克设计!$B$14:$K$20,9)/30))</f>
        <v>5.2178257898682032</v>
      </c>
      <c r="DT222" s="173">
        <f ca="1">(VLOOKUP(DT$72,INDIRECT($C$5&amp;"生成成长"),2))/((VLOOKUP($B222,INDIRECT($B$5&amp;"生成成长"),4))/(VLOOKUP(DT$72,INDIRECT($C$5&amp;"生成成长"),5))*(VLOOKUP($B$5,标准坦克设计!$B$24:$U$30,MATCH("对"&amp;LEFT($C$5,2)&amp;"输出",标准坦克设计!$B$23:$U$23,0)))*(VLOOKUP($B222,INDIRECT($B$5&amp;"生成成长"),3))*(VLOOKUP($B$5,标准坦克设计!$B$14:$K$20,9)/30))</f>
        <v>5.7288570832010413</v>
      </c>
      <c r="DU222" s="173">
        <f ca="1">(VLOOKUP(DU$72,INDIRECT($C$5&amp;"生成成长"),2))/((VLOOKUP($B222,INDIRECT($B$5&amp;"生成成长"),4))/(VLOOKUP(DU$72,INDIRECT($C$5&amp;"生成成长"),5))*(VLOOKUP($B$5,标准坦克设计!$B$24:$U$30,MATCH("对"&amp;LEFT($C$5,2)&amp;"输出",标准坦克设计!$B$23:$U$23,0)))*(VLOOKUP($B222,INDIRECT($B$5&amp;"生成成长"),3))*(VLOOKUP($B$5,标准坦克设计!$B$14:$K$20,9)/30))</f>
        <v>6.2637582033986847</v>
      </c>
      <c r="DV222" s="173">
        <f ca="1">(VLOOKUP(DV$72,INDIRECT($C$5&amp;"生成成长"),2))/((VLOOKUP($B222,INDIRECT($B$5&amp;"生成成长"),4))/(VLOOKUP(DV$72,INDIRECT($C$5&amp;"生成成长"),5))*(VLOOKUP($B$5,标准坦克设计!$B$24:$U$30,MATCH("对"&amp;LEFT($C$5,2)&amp;"输出",标准坦克设计!$B$23:$U$23,0)))*(VLOOKUP($B222,INDIRECT($B$5&amp;"生成成长"),3))*(VLOOKUP($B$5,标准坦克设计!$B$14:$K$20,9)/30))</f>
        <v>6.8225291504611301</v>
      </c>
      <c r="DW222" s="173">
        <f ca="1">(VLOOKUP(DW$72,INDIRECT($C$5&amp;"生成成长"),2))/((VLOOKUP($B222,INDIRECT($B$5&amp;"生成成长"),4))/(VLOOKUP(DW$72,INDIRECT($C$5&amp;"生成成长"),5))*(VLOOKUP($B$5,标准坦克设计!$B$24:$U$30,MATCH("对"&amp;LEFT($C$5,2)&amp;"输出",标准坦克设计!$B$23:$U$23,0)))*(VLOOKUP($B222,INDIRECT($B$5&amp;"生成成长"),3))*(VLOOKUP($B$5,标准坦克设计!$B$14:$K$20,9)/30))</f>
        <v>7.4051699243883782</v>
      </c>
      <c r="DX222" s="173">
        <f ca="1">(VLOOKUP(DX$72,INDIRECT($C$5&amp;"生成成长"),2))/((VLOOKUP($B222,INDIRECT($B$5&amp;"生成成长"),4))/(VLOOKUP(DX$72,INDIRECT($C$5&amp;"生成成长"),5))*(VLOOKUP($B$5,标准坦克设计!$B$24:$U$30,MATCH("对"&amp;LEFT($C$5,2)&amp;"输出",标准坦克设计!$B$23:$U$23,0)))*(VLOOKUP($B222,INDIRECT($B$5&amp;"生成成长"),3))*(VLOOKUP($B$5,标准坦克设计!$B$14:$K$20,9)/30))</f>
        <v>8.0116805251804326</v>
      </c>
      <c r="DY222" s="173">
        <f ca="1">(VLOOKUP(DY$72,INDIRECT($C$5&amp;"生成成长"),2))/((VLOOKUP($B222,INDIRECT($B$5&amp;"生成成长"),4))/(VLOOKUP(DY$72,INDIRECT($C$5&amp;"生成成长"),5))*(VLOOKUP($B$5,标准坦克设计!$B$24:$U$30,MATCH("对"&amp;LEFT($C$5,2)&amp;"输出",标准坦克设计!$B$23:$U$23,0)))*(VLOOKUP($B222,INDIRECT($B$5&amp;"生成成长"),3))*(VLOOKUP($B$5,标准坦克设计!$B$14:$K$20,9)/30))</f>
        <v>3.598327082045027</v>
      </c>
      <c r="DZ222" s="173">
        <f ca="1">(VLOOKUP(DZ$72,INDIRECT($C$5&amp;"生成成长"),2))/((VLOOKUP($B222,INDIRECT($B$5&amp;"生成成长"),4))/(VLOOKUP(DZ$72,INDIRECT($C$5&amp;"生成成长"),5))*(VLOOKUP($B$5,标准坦克设计!$B$24:$U$30,MATCH("对"&amp;LEFT($C$5,2)&amp;"输出",标准坦克设计!$B$23:$U$23,0)))*(VLOOKUP($B222,INDIRECT($B$5&amp;"生成成长"),3))*(VLOOKUP($B$5,标准坦克设计!$B$14:$K$20,9)/30))</f>
        <v>3.9849788229955632</v>
      </c>
      <c r="EA222" s="173">
        <f ca="1">(VLOOKUP(EA$72,INDIRECT($C$5&amp;"生成成长"),2))/((VLOOKUP($B222,INDIRECT($B$5&amp;"生成成长"),4))/(VLOOKUP(EA$72,INDIRECT($C$5&amp;"生成成长"),5))*(VLOOKUP($B$5,标准坦克设计!$B$24:$U$30,MATCH("对"&amp;LEFT($C$5,2)&amp;"输出",标准坦克设计!$B$23:$U$23,0)))*(VLOOKUP($B222,INDIRECT($B$5&amp;"生成成长"),3))*(VLOOKUP($B$5,标准坦克设计!$B$14:$K$20,9)/30))</f>
        <v>4.391357693586432</v>
      </c>
      <c r="EB222" s="173">
        <f ca="1">(VLOOKUP(EB$72,INDIRECT($C$5&amp;"生成成长"),2))/((VLOOKUP($B222,INDIRECT($B$5&amp;"生成成长"),4))/(VLOOKUP(EB$72,INDIRECT($C$5&amp;"生成成长"),5))*(VLOOKUP($B$5,标准坦克设计!$B$24:$U$30,MATCH("对"&amp;LEFT($C$5,2)&amp;"输出",标准坦克设计!$B$23:$U$23,0)))*(VLOOKUP($B222,INDIRECT($B$5&amp;"生成成长"),3))*(VLOOKUP($B$5,标准坦克设计!$B$14:$K$20,9)/30))</f>
        <v>4.8174636938176345</v>
      </c>
      <c r="EC222" s="173">
        <f ca="1">(VLOOKUP(EC$72,INDIRECT($C$5&amp;"生成成长"),2))/((VLOOKUP($B222,INDIRECT($B$5&amp;"生成成长"),4))/(VLOOKUP(EC$72,INDIRECT($C$5&amp;"生成成长"),5))*(VLOOKUP($B$5,标准坦克设计!$B$24:$U$30,MATCH("对"&amp;LEFT($C$5,2)&amp;"输出",标准坦克设计!$B$23:$U$23,0)))*(VLOOKUP($B222,INDIRECT($B$5&amp;"生成成长"),3))*(VLOOKUP($B$5,标准坦克设计!$B$14:$K$20,9)/30))</f>
        <v>5.2632968236891715</v>
      </c>
      <c r="ED222" s="173">
        <f ca="1">(VLOOKUP(ED$72,INDIRECT($C$5&amp;"生成成长"),2))/((VLOOKUP($B222,INDIRECT($B$5&amp;"生成成长"),4))/(VLOOKUP(ED$72,INDIRECT($C$5&amp;"生成成长"),5))*(VLOOKUP($B$5,标准坦克设计!$B$24:$U$30,MATCH("对"&amp;LEFT($C$5,2)&amp;"输出",标准坦克设计!$B$23:$U$23,0)))*(VLOOKUP($B222,INDIRECT($B$5&amp;"生成成长"),3))*(VLOOKUP($B$5,标准坦克设计!$B$14:$K$20,9)/30))</f>
        <v>5.7288570832010413</v>
      </c>
      <c r="EE222" s="173">
        <f ca="1">(VLOOKUP(EE$72,INDIRECT($C$5&amp;"生成成长"),2))/((VLOOKUP($B222,INDIRECT($B$5&amp;"生成成长"),4))/(VLOOKUP(EE$72,INDIRECT($C$5&amp;"生成成长"),5))*(VLOOKUP($B$5,标准坦克设计!$B$24:$U$30,MATCH("对"&amp;LEFT($C$5,2)&amp;"输出",标准坦克设计!$B$23:$U$23,0)))*(VLOOKUP($B222,INDIRECT($B$5&amp;"生成成长"),3))*(VLOOKUP($B$5,标准坦克设计!$B$14:$K$20,9)/30))</f>
        <v>6.2141444723532455</v>
      </c>
      <c r="EF222" s="173">
        <f ca="1">(VLOOKUP(EF$72,INDIRECT($C$5&amp;"生成成长"),2))/((VLOOKUP($B222,INDIRECT($B$5&amp;"生成成长"),4))/(VLOOKUP(EF$72,INDIRECT($C$5&amp;"生成成长"),5))*(VLOOKUP($B$5,标准坦克设计!$B$24:$U$30,MATCH("对"&amp;LEFT($C$5,2)&amp;"输出",标准坦克设计!$B$23:$U$23,0)))*(VLOOKUP($B222,INDIRECT($B$5&amp;"生成成长"),3))*(VLOOKUP($B$5,标准坦克设计!$B$14:$K$20,9)/30))</f>
        <v>6.7191589911457816</v>
      </c>
      <c r="EG222" s="173">
        <f ca="1">(VLOOKUP(EG$72,INDIRECT($C$5&amp;"生成成长"),2))/((VLOOKUP($B222,INDIRECT($B$5&amp;"生成成长"),4))/(VLOOKUP(EG$72,INDIRECT($C$5&amp;"生成成长"),5))*(VLOOKUP($B$5,标准坦克设计!$B$24:$U$30,MATCH("对"&amp;LEFT($C$5,2)&amp;"输出",标准坦克设计!$B$23:$U$23,0)))*(VLOOKUP($B222,INDIRECT($B$5&amp;"生成成长"),3))*(VLOOKUP($B$5,标准坦克设计!$B$14:$K$20,9)/30))</f>
        <v>7.2439006395786523</v>
      </c>
      <c r="EH222" s="173">
        <f ca="1">(VLOOKUP(EH$72,INDIRECT($C$5&amp;"生成成长"),2))/((VLOOKUP($B222,INDIRECT($B$5&amp;"生成成长"),4))/(VLOOKUP(EH$72,INDIRECT($C$5&amp;"生成成长"),5))*(VLOOKUP($B$5,标准坦克设计!$B$24:$U$30,MATCH("对"&amp;LEFT($C$5,2)&amp;"输出",标准坦克设计!$B$23:$U$23,0)))*(VLOOKUP($B222,INDIRECT($B$5&amp;"生成成长"),3))*(VLOOKUP($B$5,标准坦克设计!$B$14:$K$20,9)/30))</f>
        <v>7.7883694176518565</v>
      </c>
      <c r="EI222" s="173">
        <f ca="1">(VLOOKUP(EI$72,INDIRECT($C$5&amp;"生成成长"),2))/((VLOOKUP($B222,INDIRECT($B$5&amp;"生成成长"),4))/(VLOOKUP(EI$72,INDIRECT($C$5&amp;"生成成长"),5))*(VLOOKUP($B$5,标准坦克设计!$B$24:$U$30,MATCH("对"&amp;LEFT($C$5,2)&amp;"输出",标准坦克设计!$B$23:$U$23,0)))*(VLOOKUP($B222,INDIRECT($B$5&amp;"生成成长"),3))*(VLOOKUP($B$5,标准坦克设计!$B$14:$K$20,9)/30))</f>
        <v>8.3525653253653918</v>
      </c>
      <c r="EJ222" s="173">
        <f ca="1">(VLOOKUP(EJ$72,INDIRECT($C$5&amp;"生成成长"),2))/((VLOOKUP($B222,INDIRECT($B$5&amp;"生成成长"),4))/(VLOOKUP(EJ$72,INDIRECT($C$5&amp;"生成成长"),5))*(VLOOKUP($B$5,标准坦克设计!$B$24:$U$30,MATCH("对"&amp;LEFT($C$5,2)&amp;"输出",标准坦克设计!$B$23:$U$23,0)))*(VLOOKUP($B222,INDIRECT($B$5&amp;"生成成长"),3))*(VLOOKUP($B$5,标准坦克设计!$B$14:$K$20,9)/30))</f>
        <v>8.9364883627192633</v>
      </c>
      <c r="EK222" s="173">
        <f ca="1">(VLOOKUP(EK$72,INDIRECT($C$5&amp;"生成成长"),2))/((VLOOKUP($B222,INDIRECT($B$5&amp;"生成成长"),4))/(VLOOKUP(EK$72,INDIRECT($C$5&amp;"生成成长"),5))*(VLOOKUP($B$5,标准坦克设计!$B$24:$U$30,MATCH("对"&amp;LEFT($C$5,2)&amp;"输出",标准坦克设计!$B$23:$U$23,0)))*(VLOOKUP($B222,INDIRECT($B$5&amp;"生成成长"),3))*(VLOOKUP($B$5,标准坦克设计!$B$14:$K$20,9)/30))</f>
        <v>9.6632358186691487</v>
      </c>
      <c r="EL222" s="173">
        <f ca="1">(VLOOKUP(EL$72,INDIRECT($C$5&amp;"生成成长"),2))/((VLOOKUP($B222,INDIRECT($B$5&amp;"生成成长"),4))/(VLOOKUP(EL$72,INDIRECT($C$5&amp;"生成成长"),5))*(VLOOKUP($B$5,标准坦克设计!$B$24:$U$30,MATCH("对"&amp;LEFT($C$5,2)&amp;"输出",标准坦克设计!$B$23:$U$23,0)))*(VLOOKUP($B222,INDIRECT($B$5&amp;"生成成长"),3))*(VLOOKUP($B$5,标准坦克设计!$B$14:$K$20,9)/30))</f>
        <v>10.418390341301114</v>
      </c>
      <c r="EM222" s="173">
        <f ca="1">(VLOOKUP(EM$72,INDIRECT($C$5&amp;"生成成长"),2))/((VLOOKUP($B222,INDIRECT($B$5&amp;"生成成长"),4))/(VLOOKUP(EM$72,INDIRECT($C$5&amp;"生成成长"),5))*(VLOOKUP($B$5,标准坦克设计!$B$24:$U$30,MATCH("对"&amp;LEFT($C$5,2)&amp;"输出",标准坦克设计!$B$23:$U$23,0)))*(VLOOKUP($B222,INDIRECT($B$5&amp;"生成成长"),3))*(VLOOKUP($B$5,标准坦克设计!$B$14:$K$20,9)/30))</f>
        <v>11.201951930615161</v>
      </c>
      <c r="EN222" s="173">
        <f ca="1">(VLOOKUP(EN$72,INDIRECT($C$5&amp;"生成成长"),2))/((VLOOKUP($B222,INDIRECT($B$5&amp;"生成成长"),4))/(VLOOKUP(EN$72,INDIRECT($C$5&amp;"生成成长"),5))*(VLOOKUP($B$5,标准坦克设计!$B$24:$U$30,MATCH("对"&amp;LEFT($C$5,2)&amp;"输出",标准坦克设计!$B$23:$U$23,0)))*(VLOOKUP($B222,INDIRECT($B$5&amp;"生成成长"),3))*(VLOOKUP($B$5,标准坦克设计!$B$14:$K$20,9)/30))</f>
        <v>12.013920586611285</v>
      </c>
      <c r="EO222" s="173">
        <f ca="1">(VLOOKUP(EO$72,INDIRECT($C$5&amp;"生成成长"),2))/((VLOOKUP($B222,INDIRECT($B$5&amp;"生成成长"),4))/(VLOOKUP(EO$72,INDIRECT($C$5&amp;"生成成长"),5))*(VLOOKUP($B$5,标准坦克设计!$B$24:$U$30,MATCH("对"&amp;LEFT($C$5,2)&amp;"输出",标准坦克设计!$B$23:$U$23,0)))*(VLOOKUP($B222,INDIRECT($B$5&amp;"生成成长"),3))*(VLOOKUP($B$5,标准坦克设计!$B$14:$K$20,9)/30))</f>
        <v>12.854296309289492</v>
      </c>
      <c r="EP222" s="173">
        <f ca="1">(VLOOKUP(EP$72,INDIRECT($C$5&amp;"生成成长"),2))/((VLOOKUP($B222,INDIRECT($B$5&amp;"生成成长"),4))/(VLOOKUP(EP$72,INDIRECT($C$5&amp;"生成成长"),5))*(VLOOKUP($B$5,标准坦克设计!$B$24:$U$30,MATCH("对"&amp;LEFT($C$5,2)&amp;"输出",标准坦克设计!$B$23:$U$23,0)))*(VLOOKUP($B222,INDIRECT($B$5&amp;"生成成长"),3))*(VLOOKUP($B$5,标准坦克设计!$B$14:$K$20,9)/30))</f>
        <v>13.723079098649777</v>
      </c>
      <c r="EQ222" s="173">
        <f ca="1">(VLOOKUP(EQ$72,INDIRECT($C$5&amp;"生成成长"),2))/((VLOOKUP($B222,INDIRECT($B$5&amp;"生成成长"),4))/(VLOOKUP(EQ$72,INDIRECT($C$5&amp;"生成成长"),5))*(VLOOKUP($B$5,标准坦克设计!$B$24:$U$30,MATCH("对"&amp;LEFT($C$5,2)&amp;"输出",标准坦克设计!$B$23:$U$23,0)))*(VLOOKUP($B222,INDIRECT($B$5&amp;"生成成长"),3))*(VLOOKUP($B$5,标准坦克设计!$B$14:$K$20,9)/30))</f>
        <v>6.0664869069953484</v>
      </c>
      <c r="ER222" s="173">
        <f ca="1">(VLOOKUP(ER$72,INDIRECT($C$5&amp;"生成成长"),2))/((VLOOKUP($B222,INDIRECT($B$5&amp;"生成成长"),4))/(VLOOKUP(ER$72,INDIRECT($C$5&amp;"生成成长"),5))*(VLOOKUP($B$5,标准坦克设计!$B$24:$U$30,MATCH("对"&amp;LEFT($C$5,2)&amp;"输出",标准坦克设计!$B$23:$U$23,0)))*(VLOOKUP($B222,INDIRECT($B$5&amp;"生成成长"),3))*(VLOOKUP($B$5,标准坦克设计!$B$14:$K$20,9)/30))</f>
        <v>6.6165779170160466</v>
      </c>
      <c r="ES222" s="173">
        <f ca="1">(VLOOKUP(ES$72,INDIRECT($C$5&amp;"生成成长"),2))/((VLOOKUP($B222,INDIRECT($B$5&amp;"生成成长"),4))/(VLOOKUP(ES$72,INDIRECT($C$5&amp;"生成成长"),5))*(VLOOKUP($B$5,标准坦克设计!$B$24:$U$30,MATCH("对"&amp;LEFT($C$5,2)&amp;"输出",标准坦克设计!$B$23:$U$23,0)))*(VLOOKUP($B222,INDIRECT($B$5&amp;"生成成长"),3))*(VLOOKUP($B$5,标准坦克设计!$B$14:$K$20,9)/30))</f>
        <v>7.1905387539015502</v>
      </c>
      <c r="ET222" s="173">
        <f ca="1">(VLOOKUP(ET$72,INDIRECT($C$5&amp;"生成成长"),2))/((VLOOKUP($B222,INDIRECT($B$5&amp;"生成成长"),4))/(VLOOKUP(ET$72,INDIRECT($C$5&amp;"生成成长"),5))*(VLOOKUP($B$5,标准坦克设计!$B$24:$U$30,MATCH("对"&amp;LEFT($C$5,2)&amp;"输出",标准坦克设计!$B$23:$U$23,0)))*(VLOOKUP($B222,INDIRECT($B$5&amp;"生成成长"),3))*(VLOOKUP($B$5,标准坦克设计!$B$14:$K$20,9)/30))</f>
        <v>7.7883694176518565</v>
      </c>
      <c r="EU222" s="173">
        <f ca="1">(VLOOKUP(EU$72,INDIRECT($C$5&amp;"生成成长"),2))/((VLOOKUP($B222,INDIRECT($B$5&amp;"生成成长"),4))/(VLOOKUP(EU$72,INDIRECT($C$5&amp;"生成成长"),5))*(VLOOKUP($B$5,标准坦克设计!$B$24:$U$30,MATCH("对"&amp;LEFT($C$5,2)&amp;"输出",标准坦克设计!$B$23:$U$23,0)))*(VLOOKUP($B222,INDIRECT($B$5&amp;"生成成长"),3))*(VLOOKUP($B$5,标准坦克设计!$B$14:$K$20,9)/30))</f>
        <v>8.4100699082669657</v>
      </c>
      <c r="EV222" s="173">
        <f ca="1">(VLOOKUP(EV$72,INDIRECT($C$5&amp;"生成成长"),2))/((VLOOKUP($B222,INDIRECT($B$5&amp;"生成成长"),4))/(VLOOKUP(EV$72,INDIRECT($C$5&amp;"生成成长"),5))*(VLOOKUP($B$5,标准坦克设计!$B$24:$U$30,MATCH("对"&amp;LEFT($C$5,2)&amp;"输出",标准坦克设计!$B$23:$U$23,0)))*(VLOOKUP($B222,INDIRECT($B$5&amp;"生成成长"),3))*(VLOOKUP($B$5,标准坦克设计!$B$14:$K$20,9)/30))</f>
        <v>9.0556402257468775</v>
      </c>
      <c r="EW222" s="173">
        <f ca="1">(VLOOKUP(EW$72,INDIRECT($C$5&amp;"生成成长"),2))/((VLOOKUP($B222,INDIRECT($B$5&amp;"生成成长"),4))/(VLOOKUP(EW$72,INDIRECT($C$5&amp;"生成成长"),5))*(VLOOKUP($B$5,标准坦克设计!$B$24:$U$30,MATCH("对"&amp;LEFT($C$5,2)&amp;"输出",标准坦克设计!$B$23:$U$23,0)))*(VLOOKUP($B222,INDIRECT($B$5&amp;"生成成长"),3))*(VLOOKUP($B$5,标准坦克设计!$B$14:$K$20,9)/30))</f>
        <v>9.7250803700915931</v>
      </c>
      <c r="EX222" s="173">
        <f ca="1">(VLOOKUP(EX$72,INDIRECT($C$5&amp;"生成成长"),2))/((VLOOKUP($B222,INDIRECT($B$5&amp;"生成成长"),4))/(VLOOKUP(EX$72,INDIRECT($C$5&amp;"生成成长"),5))*(VLOOKUP($B$5,标准坦克设计!$B$24:$U$30,MATCH("对"&amp;LEFT($C$5,2)&amp;"输出",标准坦克设计!$B$23:$U$23,0)))*(VLOOKUP($B222,INDIRECT($B$5&amp;"生成成长"),3))*(VLOOKUP($B$5,标准坦克设计!$B$14:$K$20,9)/30))</f>
        <v>10.418390341301114</v>
      </c>
      <c r="EY222" s="173">
        <f ca="1">(VLOOKUP(EY$72,INDIRECT($C$5&amp;"生成成长"),2))/((VLOOKUP($B222,INDIRECT($B$5&amp;"生成成长"),4))/(VLOOKUP(EY$72,INDIRECT($C$5&amp;"生成成长"),5))*(VLOOKUP($B$5,标准坦克设计!$B$24:$U$30,MATCH("对"&amp;LEFT($C$5,2)&amp;"输出",标准坦克设计!$B$23:$U$23,0)))*(VLOOKUP($B222,INDIRECT($B$5&amp;"生成成长"),3))*(VLOOKUP($B$5,标准坦克设计!$B$14:$K$20,9)/30))</f>
        <v>11.135570139375437</v>
      </c>
      <c r="EZ222" s="173">
        <f ca="1">(VLOOKUP(EZ$72,INDIRECT($C$5&amp;"生成成长"),2))/((VLOOKUP($B222,INDIRECT($B$5&amp;"生成成长"),4))/(VLOOKUP(EZ$72,INDIRECT($C$5&amp;"生成成长"),5))*(VLOOKUP($B$5,标准坦克设计!$B$24:$U$30,MATCH("对"&amp;LEFT($C$5,2)&amp;"输出",标准坦克设计!$B$23:$U$23,0)))*(VLOOKUP($B222,INDIRECT($B$5&amp;"生成成长"),3))*(VLOOKUP($B$5,标准坦克设计!$B$14:$K$20,9)/30))</f>
        <v>11.876619764314563</v>
      </c>
      <c r="FA222" s="173">
        <f ca="1">(VLOOKUP(FA$72,INDIRECT($C$5&amp;"生成成长"),2))/((VLOOKUP($B222,INDIRECT($B$5&amp;"生成成长"),4))/(VLOOKUP(FA$72,INDIRECT($C$5&amp;"生成成长"),5))*(VLOOKUP($B$5,标准坦克设计!$B$24:$U$30,MATCH("对"&amp;LEFT($C$5,2)&amp;"输出",标准坦克设计!$B$23:$U$23,0)))*(VLOOKUP($B222,INDIRECT($B$5&amp;"生成成长"),3))*(VLOOKUP($B$5,标准坦克设计!$B$14:$K$20,9)/30))</f>
        <v>12.641539216118495</v>
      </c>
      <c r="FB222" s="173">
        <f ca="1">(VLOOKUP(FB$72,INDIRECT($C$5&amp;"生成成长"),2))/((VLOOKUP($B222,INDIRECT($B$5&amp;"生成成长"),4))/(VLOOKUP(FB$72,INDIRECT($C$5&amp;"生成成长"),5))*(VLOOKUP($B$5,标准坦克设计!$B$24:$U$30,MATCH("对"&amp;LEFT($C$5,2)&amp;"输出",标准坦克设计!$B$23:$U$23,0)))*(VLOOKUP($B222,INDIRECT($B$5&amp;"生成成长"),3))*(VLOOKUP($B$5,标准坦克设计!$B$14:$K$20,9)/30))</f>
        <v>13.430328494787229</v>
      </c>
      <c r="FC222" s="173">
        <f ca="1">(VLOOKUP(FC$72,INDIRECT($C$5&amp;"生成成长"),2))/((VLOOKUP($B222,INDIRECT($B$5&amp;"生成成长"),4))/(VLOOKUP(FC$72,INDIRECT($C$5&amp;"生成成长"),5))*(VLOOKUP($B$5,标准坦克设计!$B$24:$U$30,MATCH("对"&amp;LEFT($C$5,2)&amp;"输出",标准坦克设计!$B$23:$U$23,0)))*(VLOOKUP($B222,INDIRECT($B$5&amp;"生成成长"),3))*(VLOOKUP($B$5,标准坦克设计!$B$14:$K$20,9)/30))</f>
        <v>14.242987600320765</v>
      </c>
      <c r="FD222" s="173">
        <f ca="1">(VLOOKUP(FD$72,INDIRECT($C$5&amp;"生成成长"),2))/((VLOOKUP($B222,INDIRECT($B$5&amp;"生成成长"),4))/(VLOOKUP(FD$72,INDIRECT($C$5&amp;"生成成长"),5))*(VLOOKUP($B$5,标准坦克设计!$B$24:$U$30,MATCH("对"&amp;LEFT($C$5,2)&amp;"输出",标准坦克设计!$B$23:$U$23,0)))*(VLOOKUP($B222,INDIRECT($B$5&amp;"生成成长"),3))*(VLOOKUP($B$5,标准坦克设计!$B$14:$K$20,9)/30))</f>
        <v>15.079516532719104</v>
      </c>
      <c r="FE222" s="173">
        <f ca="1">(VLOOKUP(FE$72,INDIRECT($C$5&amp;"生成成长"),2))/((VLOOKUP($B222,INDIRECT($B$5&amp;"生成成长"),4))/(VLOOKUP(FE$72,INDIRECT($C$5&amp;"生成成长"),5))*(VLOOKUP($B$5,标准坦克设计!$B$24:$U$30,MATCH("对"&amp;LEFT($C$5,2)&amp;"输出",标准坦克设计!$B$23:$U$23,0)))*(VLOOKUP($B222,INDIRECT($B$5&amp;"生成成长"),3))*(VLOOKUP($B$5,标准坦克设计!$B$14:$K$20,9)/30))</f>
        <v>16.098915956883339</v>
      </c>
      <c r="FF222" s="173">
        <f ca="1">(VLOOKUP(FF$72,INDIRECT($C$5&amp;"生成成长"),2))/((VLOOKUP($B222,INDIRECT($B$5&amp;"生成成长"),4))/(VLOOKUP(FF$72,INDIRECT($C$5&amp;"生成成长"),5))*(VLOOKUP($B$5,标准坦克设计!$B$24:$U$30,MATCH("对"&amp;LEFT($C$5,2)&amp;"输出",标准坦克设计!$B$23:$U$23,0)))*(VLOOKUP($B222,INDIRECT($B$5&amp;"生成成长"),3))*(VLOOKUP($B$5,标准坦克设计!$B$14:$K$20,9)/30))</f>
        <v>17.151654230139734</v>
      </c>
      <c r="FG222" s="173">
        <f ca="1">(VLOOKUP(FG$72,INDIRECT($C$5&amp;"生成成长"),2))/((VLOOKUP($B222,INDIRECT($B$5&amp;"生成成长"),4))/(VLOOKUP(FG$72,INDIRECT($C$5&amp;"生成成长"),5))*(VLOOKUP($B$5,标准坦克设计!$B$24:$U$30,MATCH("对"&amp;LEFT($C$5,2)&amp;"输出",标准坦克设计!$B$23:$U$23,0)))*(VLOOKUP($B222,INDIRECT($B$5&amp;"生成成长"),3))*(VLOOKUP($B$5,标准坦克设计!$B$14:$K$20,9)/30))</f>
        <v>18.237731352488293</v>
      </c>
      <c r="FH222" s="173">
        <f ca="1">(VLOOKUP(FH$72,INDIRECT($C$5&amp;"生成成长"),2))/((VLOOKUP($B222,INDIRECT($B$5&amp;"生成成长"),4))/(VLOOKUP(FH$72,INDIRECT($C$5&amp;"生成成长"),5))*(VLOOKUP($B$5,标准坦克设计!$B$24:$U$30,MATCH("对"&amp;LEFT($C$5,2)&amp;"输出",标准坦克设计!$B$23:$U$23,0)))*(VLOOKUP($B222,INDIRECT($B$5&amp;"生成成长"),3))*(VLOOKUP($B$5,标准坦克设计!$B$14:$K$20,9)/30))</f>
        <v>19.357147323929013</v>
      </c>
      <c r="FI222" s="173">
        <f ca="1">(VLOOKUP(FI$72,INDIRECT($C$5&amp;"生成成长"),2))/((VLOOKUP($B222,INDIRECT($B$5&amp;"生成成长"),4))/(VLOOKUP(FI$72,INDIRECT($C$5&amp;"生成成长"),5))*(VLOOKUP($B$5,标准坦克设计!$B$24:$U$30,MATCH("对"&amp;LEFT($C$5,2)&amp;"输出",标准坦克设计!$B$23:$U$23,0)))*(VLOOKUP($B222,INDIRECT($B$5&amp;"生成成长"),3))*(VLOOKUP($B$5,标准坦克设计!$B$14:$K$20,9)/30))</f>
        <v>20.509902144461901</v>
      </c>
      <c r="FJ222" s="173">
        <f ca="1">(VLOOKUP(FJ$72,INDIRECT($C$5&amp;"生成成长"),2))/((VLOOKUP($B222,INDIRECT($B$5&amp;"生成成长"),4))/(VLOOKUP(FJ$72,INDIRECT($C$5&amp;"生成成长"),5))*(VLOOKUP($B$5,标准坦克设计!$B$24:$U$30,MATCH("对"&amp;LEFT($C$5,2)&amp;"输出",标准坦克设计!$B$23:$U$23,0)))*(VLOOKUP($B222,INDIRECT($B$5&amp;"生成成长"),3))*(VLOOKUP($B$5,标准坦克设计!$B$14:$K$20,9)/30))</f>
        <v>21.695995814086956</v>
      </c>
      <c r="FK222" s="173">
        <f ca="1">(VLOOKUP(FK$72,INDIRECT($C$5&amp;"生成成长"),2))/((VLOOKUP($B222,INDIRECT($B$5&amp;"生成成长"),4))/(VLOOKUP(FK$72,INDIRECT($C$5&amp;"生成成长"),5))*(VLOOKUP($B$5,标准坦克设计!$B$24:$U$30,MATCH("对"&amp;LEFT($C$5,2)&amp;"输出",标准坦克设计!$B$23:$U$23,0)))*(VLOOKUP($B222,INDIRECT($B$5&amp;"生成成长"),3))*(VLOOKUP($B$5,标准坦克设计!$B$14:$K$20,9)/30))</f>
        <v>22.915428332804165</v>
      </c>
    </row>
    <row r="223" spans="1:167" x14ac:dyDescent="0.15">
      <c r="A223" s="171" t="str">
        <f t="shared" si="13"/>
        <v>T5高品质7级</v>
      </c>
      <c r="B223" s="172">
        <v>30507</v>
      </c>
      <c r="C223" s="173">
        <f ca="1">(VLOOKUP(C$72,INDIRECT($C$5&amp;"生成成长"),2))/((VLOOKUP($B223,INDIRECT($B$5&amp;"生成成长"),4))/(VLOOKUP(C$72,INDIRECT($C$5&amp;"生成成长"),5))*(VLOOKUP($B$5,标准坦克设计!$B$24:$U$30,MATCH("对"&amp;LEFT($C$5,2)&amp;"输出",标准坦克设计!$B$23:$U$23,0)))*(VLOOKUP($B223,INDIRECT($B$5&amp;"生成成长"),3))*(VLOOKUP($B$5,标准坦克设计!$B$14:$K$20,9)/30))</f>
        <v>0.92134490955865744</v>
      </c>
      <c r="D223" s="173">
        <f ca="1">(VLOOKUP(D$72,INDIRECT($C$5&amp;"生成成长"),2))/((VLOOKUP($B223,INDIRECT($B$5&amp;"生成成长"),4))/(VLOOKUP(D$72,INDIRECT($C$5&amp;"生成成长"),5))*(VLOOKUP($B$5,标准坦克设计!$B$24:$U$30,MATCH("对"&amp;LEFT($C$5,2)&amp;"输出",标准坦克设计!$B$23:$U$23,0)))*(VLOOKUP($B223,INDIRECT($B$5&amp;"生成成长"),3))*(VLOOKUP($B$5,标准坦克设计!$B$14:$K$20,9)/30))</f>
        <v>1.0352231403801075</v>
      </c>
      <c r="E223" s="173">
        <f ca="1">(VLOOKUP(E$72,INDIRECT($C$5&amp;"生成成长"),2))/((VLOOKUP($B223,INDIRECT($B$5&amp;"生成成长"),4))/(VLOOKUP(E$72,INDIRECT($C$5&amp;"生成成长"),5))*(VLOOKUP($B$5,标准坦克设计!$B$24:$U$30,MATCH("对"&amp;LEFT($C$5,2)&amp;"输出",标准坦克设计!$B$23:$U$23,0)))*(VLOOKUP($B223,INDIRECT($B$5&amp;"生成成长"),3))*(VLOOKUP($B$5,标准坦克设计!$B$14:$K$20,9)/30))</f>
        <v>1.1557350545503799</v>
      </c>
      <c r="F223" s="173">
        <f ca="1">(VLOOKUP(F$72,INDIRECT($C$5&amp;"生成成长"),2))/((VLOOKUP($B223,INDIRECT($B$5&amp;"生成成长"),4))/(VLOOKUP(F$72,INDIRECT($C$5&amp;"生成成长"),5))*(VLOOKUP($B$5,标准坦克设计!$B$24:$U$30,MATCH("对"&amp;LEFT($C$5,2)&amp;"输出",标准坦克设计!$B$23:$U$23,0)))*(VLOOKUP($B223,INDIRECT($B$5&amp;"生成成长"),3))*(VLOOKUP($B$5,标准坦克设计!$B$14:$K$20,9)/30))</f>
        <v>1.2828806520694744</v>
      </c>
      <c r="G223" s="173">
        <f ca="1">(VLOOKUP(G$72,INDIRECT($C$5&amp;"生成成长"),2))/((VLOOKUP($B223,INDIRECT($B$5&amp;"生成成长"),4))/(VLOOKUP(G$72,INDIRECT($C$5&amp;"生成成长"),5))*(VLOOKUP($B$5,标准坦克设计!$B$24:$U$30,MATCH("对"&amp;LEFT($C$5,2)&amp;"输出",标准坦克设计!$B$23:$U$23,0)))*(VLOOKUP($B223,INDIRECT($B$5&amp;"生成成长"),3))*(VLOOKUP($B$5,标准坦克设计!$B$14:$K$20,9)/30))</f>
        <v>1.4166599329373915</v>
      </c>
      <c r="H223" s="173">
        <f ca="1">(VLOOKUP(H$72,INDIRECT($C$5&amp;"生成成长"),2))/((VLOOKUP($B223,INDIRECT($B$5&amp;"生成成长"),4))/(VLOOKUP(H$72,INDIRECT($C$5&amp;"生成成长"),5))*(VLOOKUP($B$5,标准坦克设计!$B$24:$U$30,MATCH("对"&amp;LEFT($C$5,2)&amp;"输出",标准坦克设计!$B$23:$U$23,0)))*(VLOOKUP($B223,INDIRECT($B$5&amp;"生成成长"),3))*(VLOOKUP($B$5,标准坦克设计!$B$14:$K$20,9)/30))</f>
        <v>1.2397617103021294</v>
      </c>
      <c r="I223" s="173">
        <f ca="1">(VLOOKUP(I$72,INDIRECT($C$5&amp;"生成成长"),2))/((VLOOKUP($B223,INDIRECT($B$5&amp;"生成成长"),4))/(VLOOKUP(I$72,INDIRECT($C$5&amp;"生成成长"),5))*(VLOOKUP($B$5,标准坦克设计!$B$24:$U$30,MATCH("对"&amp;LEFT($C$5,2)&amp;"输出",标准坦克设计!$B$23:$U$23,0)))*(VLOOKUP($B223,INDIRECT($B$5&amp;"生成成长"),3))*(VLOOKUP($B$5,标准坦克设计!$B$14:$K$20,9)/30))</f>
        <v>1.4166599329373915</v>
      </c>
      <c r="J223" s="173">
        <f ca="1">(VLOOKUP(J$72,INDIRECT($C$5&amp;"生成成长"),2))/((VLOOKUP($B223,INDIRECT($B$5&amp;"生成成长"),4))/(VLOOKUP(J$72,INDIRECT($C$5&amp;"生成成长"),5))*(VLOOKUP($B$5,标准坦克设计!$B$24:$U$30,MATCH("对"&amp;LEFT($C$5,2)&amp;"输出",标准坦克设计!$B$23:$U$23,0)))*(VLOOKUP($B223,INDIRECT($B$5&amp;"生成成长"),3))*(VLOOKUP($B$5,标准坦克设计!$B$14:$K$20,9)/30))</f>
        <v>1.6053513704150044</v>
      </c>
      <c r="K223" s="173">
        <f ca="1">(VLOOKUP(K$72,INDIRECT($C$5&amp;"生成成长"),2))/((VLOOKUP($B223,INDIRECT($B$5&amp;"生成成长"),4))/(VLOOKUP(K$72,INDIRECT($C$5&amp;"生成成长"),5))*(VLOOKUP($B$5,标准坦克设计!$B$24:$U$30,MATCH("对"&amp;LEFT($C$5,2)&amp;"输出",标准坦克设计!$B$23:$U$23,0)))*(VLOOKUP($B223,INDIRECT($B$5&amp;"生成成长"),3))*(VLOOKUP($B$5,标准坦克设计!$B$14:$K$20,9)/30))</f>
        <v>1.8058360227349683</v>
      </c>
      <c r="L223" s="173">
        <f ca="1">(VLOOKUP(L$72,INDIRECT($C$5&amp;"生成成长"),2))/((VLOOKUP($B223,INDIRECT($B$5&amp;"生成成长"),4))/(VLOOKUP(L$72,INDIRECT($C$5&amp;"生成成长"),5))*(VLOOKUP($B$5,标准坦克设计!$B$24:$U$30,MATCH("对"&amp;LEFT($C$5,2)&amp;"输出",标准坦克设计!$B$23:$U$23,0)))*(VLOOKUP($B223,INDIRECT($B$5&amp;"生成成长"),3))*(VLOOKUP($B$5,标准坦克设计!$B$14:$K$20,9)/30))</f>
        <v>2.0181138898972835</v>
      </c>
      <c r="M223" s="173">
        <f ca="1">(VLOOKUP(M$72,INDIRECT($C$5&amp;"生成成长"),2))/((VLOOKUP($B223,INDIRECT($B$5&amp;"生成成长"),4))/(VLOOKUP(M$72,INDIRECT($C$5&amp;"生成成长"),5))*(VLOOKUP($B$5,标准坦克设计!$B$24:$U$30,MATCH("对"&amp;LEFT($C$5,2)&amp;"输出",标准坦克设计!$B$23:$U$23,0)))*(VLOOKUP($B223,INDIRECT($B$5&amp;"生成成长"),3))*(VLOOKUP($B$5,标准坦克设计!$B$14:$K$20,9)/30))</f>
        <v>2.2421849719019487</v>
      </c>
      <c r="N223" s="173">
        <f ca="1">(VLOOKUP(N$72,INDIRECT($C$5&amp;"生成成长"),2))/((VLOOKUP($B223,INDIRECT($B$5&amp;"生成成长"),4))/(VLOOKUP(N$72,INDIRECT($C$5&amp;"生成成长"),5))*(VLOOKUP($B$5,标准坦克设计!$B$24:$U$30,MATCH("对"&amp;LEFT($C$5,2)&amp;"输出",标准坦克设计!$B$23:$U$23,0)))*(VLOOKUP($B223,INDIRECT($B$5&amp;"生成成长"),3))*(VLOOKUP($B$5,标准坦克设计!$B$14:$K$20,9)/30))</f>
        <v>2.4780492687489648</v>
      </c>
      <c r="O223" s="173">
        <f ca="1">(VLOOKUP(O$72,INDIRECT($C$5&amp;"生成成长"),2))/((VLOOKUP($B223,INDIRECT($B$5&amp;"生成成长"),4))/(VLOOKUP(O$72,INDIRECT($C$5&amp;"生成成长"),5))*(VLOOKUP($B$5,标准坦克设计!$B$24:$U$30,MATCH("对"&amp;LEFT($C$5,2)&amp;"输出",标准坦克设计!$B$23:$U$23,0)))*(VLOOKUP($B223,INDIRECT($B$5&amp;"生成成长"),3))*(VLOOKUP($B$5,标准坦克设计!$B$14:$K$20,9)/30))</f>
        <v>1.8840582055564985</v>
      </c>
      <c r="P223" s="173">
        <f ca="1">(VLOOKUP(P$72,INDIRECT($C$5&amp;"生成成长"),2))/((VLOOKUP($B223,INDIRECT($B$5&amp;"生成成长"),4))/(VLOOKUP(P$72,INDIRECT($C$5&amp;"生成成长"),5))*(VLOOKUP($B$5,标准坦克设计!$B$24:$U$30,MATCH("对"&amp;LEFT($C$5,2)&amp;"输出",标准坦克设计!$B$23:$U$23,0)))*(VLOOKUP($B223,INDIRECT($B$5&amp;"生成成长"),3))*(VLOOKUP($B$5,标准坦克设计!$B$14:$K$20,9)/30))</f>
        <v>2.1286752790443217</v>
      </c>
      <c r="Q223" s="173">
        <f ca="1">(VLOOKUP(Q$72,INDIRECT($C$5&amp;"生成成长"),2))/((VLOOKUP($B223,INDIRECT($B$5&amp;"生成成长"),4))/(VLOOKUP(Q$72,INDIRECT($C$5&amp;"生成成长"),5))*(VLOOKUP($B$5,标准坦克设计!$B$24:$U$30,MATCH("对"&amp;LEFT($C$5,2)&amp;"输出",标准坦克设计!$B$23:$U$23,0)))*(VLOOKUP($B223,INDIRECT($B$5&amp;"生成成长"),3))*(VLOOKUP($B$5,标准坦克设计!$B$14:$K$20,9)/30))</f>
        <v>2.388218140066996</v>
      </c>
      <c r="R223" s="173">
        <f ca="1">(VLOOKUP(R$72,INDIRECT($C$5&amp;"生成成长"),2))/((VLOOKUP($B223,INDIRECT($B$5&amp;"生成成长"),4))/(VLOOKUP(R$72,INDIRECT($C$5&amp;"生成成长"),5))*(VLOOKUP($B$5,标准坦克设计!$B$24:$U$30,MATCH("对"&amp;LEFT($C$5,2)&amp;"输出",标准坦克设计!$B$23:$U$23,0)))*(VLOOKUP($B223,INDIRECT($B$5&amp;"生成成长"),3))*(VLOOKUP($B$5,标准坦克设计!$B$14:$K$20,9)/30))</f>
        <v>2.6626867886245198</v>
      </c>
      <c r="S223" s="173">
        <f ca="1">(VLOOKUP(S$72,INDIRECT($C$5&amp;"生成成长"),2))/((VLOOKUP($B223,INDIRECT($B$5&amp;"生成成长"),4))/(VLOOKUP(S$72,INDIRECT($C$5&amp;"生成成长"),5))*(VLOOKUP($B$5,标准坦克设计!$B$24:$U$30,MATCH("对"&amp;LEFT($C$5,2)&amp;"输出",标准坦克设计!$B$23:$U$23,0)))*(VLOOKUP($B223,INDIRECT($B$5&amp;"生成成长"),3))*(VLOOKUP($B$5,标准坦克设计!$B$14:$K$20,9)/30))</f>
        <v>2.9520812247168942</v>
      </c>
      <c r="T223" s="173">
        <f ca="1">(VLOOKUP(T$72,INDIRECT($C$5&amp;"生成成长"),2))/((VLOOKUP($B223,INDIRECT($B$5&amp;"生成成长"),4))/(VLOOKUP(T$72,INDIRECT($C$5&amp;"生成成长"),5))*(VLOOKUP($B$5,标准坦克设计!$B$24:$U$30,MATCH("对"&amp;LEFT($C$5,2)&amp;"输出",标准坦克设计!$B$23:$U$23,0)))*(VLOOKUP($B223,INDIRECT($B$5&amp;"生成成长"),3))*(VLOOKUP($B$5,标准坦克设计!$B$14:$K$20,9)/30))</f>
        <v>3.2564014483441182</v>
      </c>
      <c r="U223" s="173">
        <f ca="1">(VLOOKUP(U$72,INDIRECT($C$5&amp;"生成成长"),2))/((VLOOKUP($B223,INDIRECT($B$5&amp;"生成成长"),4))/(VLOOKUP(U$72,INDIRECT($C$5&amp;"生成成长"),5))*(VLOOKUP($B$5,标准坦克设计!$B$24:$U$30,MATCH("对"&amp;LEFT($C$5,2)&amp;"输出",标准坦克设计!$B$23:$U$23,0)))*(VLOOKUP($B223,INDIRECT($B$5&amp;"生成成长"),3))*(VLOOKUP($B$5,标准坦克设计!$B$14:$K$20,9)/30))</f>
        <v>3.5756474595061936</v>
      </c>
      <c r="V223" s="173">
        <f ca="1">(VLOOKUP(V$72,INDIRECT($C$5&amp;"生成成长"),2))/((VLOOKUP($B223,INDIRECT($B$5&amp;"生成成长"),4))/(VLOOKUP(V$72,INDIRECT($C$5&amp;"生成成长"),5))*(VLOOKUP($B$5,标准坦克设计!$B$24:$U$30,MATCH("对"&amp;LEFT($C$5,2)&amp;"输出",标准坦克设计!$B$23:$U$23,0)))*(VLOOKUP($B223,INDIRECT($B$5&amp;"生成成长"),3))*(VLOOKUP($B$5,标准坦克设计!$B$14:$K$20,9)/30))</f>
        <v>3.9098192582031186</v>
      </c>
      <c r="W223" s="173">
        <f ca="1">(VLOOKUP(W$72,INDIRECT($C$5&amp;"生成成长"),2))/((VLOOKUP($B223,INDIRECT($B$5&amp;"生成成长"),4))/(VLOOKUP(W$72,INDIRECT($C$5&amp;"生成成长"),5))*(VLOOKUP($B$5,标准坦克设计!$B$24:$U$30,MATCH("对"&amp;LEFT($C$5,2)&amp;"输出",标准坦克设计!$B$23:$U$23,0)))*(VLOOKUP($B223,INDIRECT($B$5&amp;"生成成长"),3))*(VLOOKUP($B$5,标准坦克设计!$B$14:$K$20,9)/30))</f>
        <v>4.2589168444348928</v>
      </c>
      <c r="X223" s="173">
        <f ca="1">(VLOOKUP(X$72,INDIRECT($C$5&amp;"生成成长"),2))/((VLOOKUP($B223,INDIRECT($B$5&amp;"生成成长"),4))/(VLOOKUP(X$72,INDIRECT($C$5&amp;"生成成长"),5))*(VLOOKUP($B$5,标准坦克设计!$B$24:$U$30,MATCH("对"&amp;LEFT($C$5,2)&amp;"输出",标准坦克设计!$B$23:$U$23,0)))*(VLOOKUP($B223,INDIRECT($B$5&amp;"生成成长"),3))*(VLOOKUP($B$5,标准坦克设计!$B$14:$K$20,9)/30))</f>
        <v>3.085491967620988</v>
      </c>
      <c r="Y223" s="173">
        <f ca="1">(VLOOKUP(Y$72,INDIRECT($C$5&amp;"生成成长"),2))/((VLOOKUP($B223,INDIRECT($B$5&amp;"生成成长"),4))/(VLOOKUP(Y$72,INDIRECT($C$5&amp;"生成成长"),5))*(VLOOKUP($B$5,标准坦克设计!$B$24:$U$30,MATCH("对"&amp;LEFT($C$5,2)&amp;"输出",标准坦克设计!$B$23:$U$23,0)))*(VLOOKUP($B223,INDIRECT($B$5&amp;"生成成长"),3))*(VLOOKUP($B$5,标准坦克设计!$B$14:$K$20,9)/30))</f>
        <v>3.4319176536150429</v>
      </c>
      <c r="Z223" s="173">
        <f ca="1">(VLOOKUP(Z$72,INDIRECT($C$5&amp;"生成成长"),2))/((VLOOKUP($B223,INDIRECT($B$5&amp;"生成成长"),4))/(VLOOKUP(Z$72,INDIRECT($C$5&amp;"生成成长"),5))*(VLOOKUP($B$5,标准坦克设计!$B$24:$U$30,MATCH("对"&amp;LEFT($C$5,2)&amp;"输出",标准坦克设计!$B$23:$U$23,0)))*(VLOOKUP($B223,INDIRECT($B$5&amp;"生成成长"),3))*(VLOOKUP($B$5,标准坦克设计!$B$14:$K$20,9)/30))</f>
        <v>3.7967702378002706</v>
      </c>
      <c r="AA223" s="173">
        <f ca="1">(VLOOKUP(AA$72,INDIRECT($C$5&amp;"生成成长"),2))/((VLOOKUP($B223,INDIRECT($B$5&amp;"生成成长"),4))/(VLOOKUP(AA$72,INDIRECT($C$5&amp;"生成成长"),5))*(VLOOKUP($B$5,标准坦克设计!$B$24:$U$30,MATCH("对"&amp;LEFT($C$5,2)&amp;"输出",标准坦克设计!$B$23:$U$23,0)))*(VLOOKUP($B223,INDIRECT($B$5&amp;"生成成长"),3))*(VLOOKUP($B$5,标准坦克设计!$B$14:$K$20,9)/30))</f>
        <v>4.1800497201766733</v>
      </c>
      <c r="AB223" s="173">
        <f ca="1">(VLOOKUP(AB$72,INDIRECT($C$5&amp;"生成成长"),2))/((VLOOKUP($B223,INDIRECT($B$5&amp;"生成成长"),4))/(VLOOKUP(AB$72,INDIRECT($C$5&amp;"生成成长"),5))*(VLOOKUP($B$5,标准坦克设计!$B$24:$U$30,MATCH("对"&amp;LEFT($C$5,2)&amp;"输出",标准坦克设计!$B$23:$U$23,0)))*(VLOOKUP($B223,INDIRECT($B$5&amp;"生成成长"),3))*(VLOOKUP($B$5,标准坦克设计!$B$14:$K$20,9)/30))</f>
        <v>4.5817561007442462</v>
      </c>
      <c r="AC223" s="173">
        <f ca="1">(VLOOKUP(AC$72,INDIRECT($C$5&amp;"生成成长"),2))/((VLOOKUP($B223,INDIRECT($B$5&amp;"生成成长"),4))/(VLOOKUP(AC$72,INDIRECT($C$5&amp;"生成成长"),5))*(VLOOKUP($B$5,标准坦克设计!$B$24:$U$30,MATCH("对"&amp;LEFT($C$5,2)&amp;"输出",标准坦克设计!$B$23:$U$23,0)))*(VLOOKUP($B223,INDIRECT($B$5&amp;"生成成长"),3))*(VLOOKUP($B$5,标准坦克设计!$B$14:$K$20,9)/30))</f>
        <v>5.0018893795029955</v>
      </c>
      <c r="AD223" s="173">
        <f ca="1">(VLOOKUP(AD$72,INDIRECT($C$5&amp;"生成成长"),2))/((VLOOKUP($B223,INDIRECT($B$5&amp;"生成成长"),4))/(VLOOKUP(AD$72,INDIRECT($C$5&amp;"生成成长"),5))*(VLOOKUP($B$5,标准坦克设计!$B$24:$U$30,MATCH("对"&amp;LEFT($C$5,2)&amp;"输出",标准坦克设计!$B$23:$U$23,0)))*(VLOOKUP($B223,INDIRECT($B$5&amp;"生成成长"),3))*(VLOOKUP($B$5,标准坦克设计!$B$14:$K$20,9)/30))</f>
        <v>5.4404495564529158</v>
      </c>
      <c r="AE223" s="173">
        <f ca="1">(VLOOKUP(AE$72,INDIRECT($C$5&amp;"生成成长"),2))/((VLOOKUP($B223,INDIRECT($B$5&amp;"生成成长"),4))/(VLOOKUP(AE$72,INDIRECT($C$5&amp;"生成成长"),5))*(VLOOKUP($B$5,标准坦克设计!$B$24:$U$30,MATCH("对"&amp;LEFT($C$5,2)&amp;"输出",标准坦克设计!$B$23:$U$23,0)))*(VLOOKUP($B223,INDIRECT($B$5&amp;"生成成长"),3))*(VLOOKUP($B$5,标准坦克设计!$B$14:$K$20,9)/30))</f>
        <v>5.8974366315940099</v>
      </c>
      <c r="AF223" s="173">
        <f ca="1">(VLOOKUP(AF$72,INDIRECT($C$5&amp;"生成成长"),2))/((VLOOKUP($B223,INDIRECT($B$5&amp;"生成成长"),4))/(VLOOKUP(AF$72,INDIRECT($C$5&amp;"生成成长"),5))*(VLOOKUP($B$5,标准坦克设计!$B$24:$U$30,MATCH("对"&amp;LEFT($C$5,2)&amp;"输出",标准坦克设计!$B$23:$U$23,0)))*(VLOOKUP($B223,INDIRECT($B$5&amp;"生成成长"),3))*(VLOOKUP($B$5,标准坦克设计!$B$14:$K$20,9)/30))</f>
        <v>6.3728506049262776</v>
      </c>
      <c r="AG223" s="173">
        <f ca="1">(VLOOKUP(AG$72,INDIRECT($C$5&amp;"生成成长"),2))/((VLOOKUP($B223,INDIRECT($B$5&amp;"生成成长"),4))/(VLOOKUP(AG$72,INDIRECT($C$5&amp;"生成成长"),5))*(VLOOKUP($B$5,标准坦克设计!$B$24:$U$30,MATCH("对"&amp;LEFT($C$5,2)&amp;"输出",标准坦克设计!$B$23:$U$23,0)))*(VLOOKUP($B223,INDIRECT($B$5&amp;"生成成长"),3))*(VLOOKUP($B$5,标准坦克设计!$B$14:$K$20,9)/30))</f>
        <v>6.8666914764497182</v>
      </c>
      <c r="AH223" s="173">
        <f ca="1">(VLOOKUP(AH$72,INDIRECT($C$5&amp;"生成成长"),2))/((VLOOKUP($B223,INDIRECT($B$5&amp;"生成成长"),4))/(VLOOKUP(AH$72,INDIRECT($C$5&amp;"生成成长"),5))*(VLOOKUP($B$5,标准坦克设计!$B$24:$U$30,MATCH("对"&amp;LEFT($C$5,2)&amp;"输出",标准坦克设计!$B$23:$U$23,0)))*(VLOOKUP($B223,INDIRECT($B$5&amp;"生成成长"),3))*(VLOOKUP($B$5,标准坦克设计!$B$14:$K$20,9)/30))</f>
        <v>7.3789592461643316</v>
      </c>
      <c r="AI223" s="173">
        <f ca="1">(VLOOKUP(AI$72,INDIRECT($C$5&amp;"生成成长"),2))/((VLOOKUP($B223,INDIRECT($B$5&amp;"生成成长"),4))/(VLOOKUP(AI$72,INDIRECT($C$5&amp;"生成成长"),5))*(VLOOKUP($B$5,标准坦克设计!$B$24:$U$30,MATCH("对"&amp;LEFT($C$5,2)&amp;"输出",标准坦克设计!$B$23:$U$23,0)))*(VLOOKUP($B223,INDIRECT($B$5&amp;"生成成长"),3))*(VLOOKUP($B$5,标准坦克设计!$B$14:$K$20,9)/30))</f>
        <v>5.2188661057040591</v>
      </c>
      <c r="AJ223" s="173">
        <f ca="1">(VLOOKUP(AJ$72,INDIRECT($C$5&amp;"生成成长"),2))/((VLOOKUP($B223,INDIRECT($B$5&amp;"生成成长"),4))/(VLOOKUP(AJ$72,INDIRECT($C$5&amp;"生成成长"),5))*(VLOOKUP($B$5,标准坦克设计!$B$24:$U$30,MATCH("对"&amp;LEFT($C$5,2)&amp;"输出",标准坦克设计!$B$23:$U$23,0)))*(VLOOKUP($B223,INDIRECT($B$5&amp;"生成成长"),3))*(VLOOKUP($B$5,标准坦克设计!$B$14:$K$20,9)/30))</f>
        <v>5.7124305737546317</v>
      </c>
      <c r="AK223" s="173">
        <f ca="1">(VLOOKUP(AK$72,INDIRECT($C$5&amp;"生成成长"),2))/((VLOOKUP($B223,INDIRECT($B$5&amp;"生成成长"),4))/(VLOOKUP(AK$72,INDIRECT($C$5&amp;"生成成长"),5))*(VLOOKUP($B$5,标准坦克设计!$B$24:$U$30,MATCH("对"&amp;LEFT($C$5,2)&amp;"输出",标准坦克设计!$B$23:$U$23,0)))*(VLOOKUP($B223,INDIRECT($B$5&amp;"生成成长"),3))*(VLOOKUP($B$5,标准坦克设计!$B$14:$K$20,9)/30))</f>
        <v>6.228291588616524</v>
      </c>
      <c r="AL223" s="173">
        <f ca="1">(VLOOKUP(AL$72,INDIRECT($C$5&amp;"生成成长"),2))/((VLOOKUP($B223,INDIRECT($B$5&amp;"生成成长"),4))/(VLOOKUP(AL$72,INDIRECT($C$5&amp;"生成成长"),5))*(VLOOKUP($B$5,标准坦克设计!$B$24:$U$30,MATCH("对"&amp;LEFT($C$5,2)&amp;"输出",标准坦克设计!$B$23:$U$23,0)))*(VLOOKUP($B223,INDIRECT($B$5&amp;"生成成长"),3))*(VLOOKUP($B$5,标准坦克设计!$B$14:$K$20,9)/30))</f>
        <v>6.766449150289735</v>
      </c>
      <c r="AM223" s="173">
        <f ca="1">(VLOOKUP(AM$72,INDIRECT($C$5&amp;"生成成长"),2))/((VLOOKUP($B223,INDIRECT($B$5&amp;"生成成长"),4))/(VLOOKUP(AM$72,INDIRECT($C$5&amp;"生成成长"),5))*(VLOOKUP($B$5,标准坦克设计!$B$24:$U$30,MATCH("对"&amp;LEFT($C$5,2)&amp;"输出",标准坦克设计!$B$23:$U$23,0)))*(VLOOKUP($B223,INDIRECT($B$5&amp;"生成成长"),3))*(VLOOKUP($B$5,标准坦克设计!$B$14:$K$20,9)/30))</f>
        <v>7.3269032587742666</v>
      </c>
      <c r="AN223" s="173">
        <f ca="1">(VLOOKUP(AN$72,INDIRECT($C$5&amp;"生成成长"),2))/((VLOOKUP($B223,INDIRECT($B$5&amp;"生成成长"),4))/(VLOOKUP(AN$72,INDIRECT($C$5&amp;"生成成长"),5))*(VLOOKUP($B$5,标准坦克设计!$B$24:$U$30,MATCH("对"&amp;LEFT($C$5,2)&amp;"输出",标准坦克设计!$B$23:$U$23,0)))*(VLOOKUP($B223,INDIRECT($B$5&amp;"生成成长"),3))*(VLOOKUP($B$5,标准坦克设计!$B$14:$K$20,9)/30))</f>
        <v>7.9096539140701179</v>
      </c>
      <c r="AO223" s="173">
        <f ca="1">(VLOOKUP(AO$72,INDIRECT($C$5&amp;"生成成长"),2))/((VLOOKUP($B223,INDIRECT($B$5&amp;"生成成长"),4))/(VLOOKUP(AO$72,INDIRECT($C$5&amp;"生成成长"),5))*(VLOOKUP($B$5,标准坦克设计!$B$24:$U$30,MATCH("对"&amp;LEFT($C$5,2)&amp;"输出",标准坦克设计!$B$23:$U$23,0)))*(VLOOKUP($B223,INDIRECT($B$5&amp;"生成成长"),3))*(VLOOKUP($B$5,标准坦克设计!$B$14:$K$20,9)/30))</f>
        <v>8.514701116177287</v>
      </c>
      <c r="AP223" s="173">
        <f ca="1">(VLOOKUP(AP$72,INDIRECT($C$5&amp;"生成成长"),2))/((VLOOKUP($B223,INDIRECT($B$5&amp;"生成成长"),4))/(VLOOKUP(AP$72,INDIRECT($C$5&amp;"生成成长"),5))*(VLOOKUP($B$5,标准坦克设计!$B$24:$U$30,MATCH("对"&amp;LEFT($C$5,2)&amp;"输出",标准坦克设计!$B$23:$U$23,0)))*(VLOOKUP($B223,INDIRECT($B$5&amp;"生成成长"),3))*(VLOOKUP($B$5,标准坦克设计!$B$14:$K$20,9)/30))</f>
        <v>9.1420448650957766</v>
      </c>
      <c r="AQ223" s="173">
        <f ca="1">(VLOOKUP(AQ$72,INDIRECT($C$5&amp;"生成成长"),2))/((VLOOKUP($B223,INDIRECT($B$5&amp;"生成成长"),4))/(VLOOKUP(AQ$72,INDIRECT($C$5&amp;"生成成长"),5))*(VLOOKUP($B$5,标准坦克设计!$B$24:$U$30,MATCH("对"&amp;LEFT($C$5,2)&amp;"输出",标准坦克设计!$B$23:$U$23,0)))*(VLOOKUP($B223,INDIRECT($B$5&amp;"生成成长"),3))*(VLOOKUP($B$5,标准坦克设计!$B$14:$K$20,9)/30))</f>
        <v>9.7916851608255868</v>
      </c>
      <c r="AR223" s="173">
        <f ca="1">(VLOOKUP(AR$72,INDIRECT($C$5&amp;"生成成长"),2))/((VLOOKUP($B223,INDIRECT($B$5&amp;"生成成长"),4))/(VLOOKUP(AR$72,INDIRECT($C$5&amp;"生成成长"),5))*(VLOOKUP($B$5,标准坦克设计!$B$24:$U$30,MATCH("对"&amp;LEFT($C$5,2)&amp;"输出",标准坦克设计!$B$23:$U$23,0)))*(VLOOKUP($B223,INDIRECT($B$5&amp;"生成成长"),3))*(VLOOKUP($B$5,标准坦克设计!$B$14:$K$20,9)/30))</f>
        <v>10.463622003366714</v>
      </c>
      <c r="AS223" s="173">
        <f ca="1">(VLOOKUP(AS$72,INDIRECT($C$5&amp;"生成成长"),2))/((VLOOKUP($B223,INDIRECT($B$5&amp;"生成成长"),4))/(VLOOKUP(AS$72,INDIRECT($C$5&amp;"生成成长"),5))*(VLOOKUP($B$5,标准坦克设计!$B$24:$U$30,MATCH("对"&amp;LEFT($C$5,2)&amp;"输出",标准坦克设计!$B$23:$U$23,0)))*(VLOOKUP($B223,INDIRECT($B$5&amp;"生成成长"),3))*(VLOOKUP($B$5,标准坦克设计!$B$14:$K$20,9)/30))</f>
        <v>11.157855392719163</v>
      </c>
      <c r="AT223" s="173">
        <f ca="1">(VLOOKUP(AT$72,INDIRECT($C$5&amp;"生成成长"),2))/((VLOOKUP($B223,INDIRECT($B$5&amp;"生成成长"),4))/(VLOOKUP(AT$72,INDIRECT($C$5&amp;"生成成长"),5))*(VLOOKUP($B$5,标准坦克设计!$B$24:$U$30,MATCH("对"&amp;LEFT($C$5,2)&amp;"输出",标准坦克设计!$B$23:$U$23,0)))*(VLOOKUP($B223,INDIRECT($B$5&amp;"生成成长"),3))*(VLOOKUP($B$5,标准坦克设计!$B$14:$K$20,9)/30))</f>
        <v>11.874385328882932</v>
      </c>
      <c r="AU223" s="173">
        <f ca="1">(VLOOKUP(AU$72,INDIRECT($C$5&amp;"生成成长"),2))/((VLOOKUP($B223,INDIRECT($B$5&amp;"生成成长"),4))/(VLOOKUP(AU$72,INDIRECT($C$5&amp;"生成成长"),5))*(VLOOKUP($B$5,标准坦克设计!$B$24:$U$30,MATCH("对"&amp;LEFT($C$5,2)&amp;"输出",标准坦克设计!$B$23:$U$23,0)))*(VLOOKUP($B223,INDIRECT($B$5&amp;"生成成长"),3))*(VLOOKUP($B$5,标准坦克设计!$B$14:$K$20,9)/30))</f>
        <v>12.613211811858017</v>
      </c>
      <c r="AV223" s="173">
        <f ca="1">(VLOOKUP(AV$72,INDIRECT($C$5&amp;"生成成长"),2))/((VLOOKUP($B223,INDIRECT($B$5&amp;"生成成长"),4))/(VLOOKUP(AV$72,INDIRECT($C$5&amp;"生成成长"),5))*(VLOOKUP($B$5,标准坦克设计!$B$24:$U$30,MATCH("对"&amp;LEFT($C$5,2)&amp;"输出",标准坦克设计!$B$23:$U$23,0)))*(VLOOKUP($B223,INDIRECT($B$5&amp;"生成成长"),3))*(VLOOKUP($B$5,标准坦克设计!$B$14:$K$20,9)/30))</f>
        <v>1.2828806520694744</v>
      </c>
      <c r="AW223" s="173">
        <f ca="1">(VLOOKUP(AW$72,INDIRECT($C$5&amp;"生成成长"),2))/((VLOOKUP($B223,INDIRECT($B$5&amp;"生成成长"),4))/(VLOOKUP(AW$72,INDIRECT($C$5&amp;"生成成长"),5))*(VLOOKUP($B$5,标准坦克设计!$B$24:$U$30,MATCH("对"&amp;LEFT($C$5,2)&amp;"输出",标准坦克设计!$B$23:$U$23,0)))*(VLOOKUP($B223,INDIRECT($B$5&amp;"生成成长"),3))*(VLOOKUP($B$5,标准坦克设计!$B$14:$K$20,9)/30))</f>
        <v>1.4627271784153242</v>
      </c>
      <c r="AX223" s="173">
        <f ca="1">(VLOOKUP(AX$72,INDIRECT($C$5&amp;"生成成长"),2))/((VLOOKUP($B223,INDIRECT($B$5&amp;"生成成长"),4))/(VLOOKUP(AX$72,INDIRECT($C$5&amp;"生成成长"),5))*(VLOOKUP($B$5,标准坦克设计!$B$24:$U$30,MATCH("对"&amp;LEFT($C$5,2)&amp;"输出",标准坦克设计!$B$23:$U$23,0)))*(VLOOKUP($B223,INDIRECT($B$5&amp;"生成成长"),3))*(VLOOKUP($B$5,标准坦克设计!$B$14:$K$20,9)/30))</f>
        <v>1.6543669196035251</v>
      </c>
      <c r="AY223" s="173">
        <f ca="1">(VLOOKUP(AY$72,INDIRECT($C$5&amp;"生成成长"),2))/((VLOOKUP($B223,INDIRECT($B$5&amp;"生成成长"),4))/(VLOOKUP(AY$72,INDIRECT($C$5&amp;"生成成长"),5))*(VLOOKUP($B$5,标准坦克设计!$B$24:$U$30,MATCH("对"&amp;LEFT($C$5,2)&amp;"输出",标准坦克设计!$B$23:$U$23,0)))*(VLOOKUP($B223,INDIRECT($B$5&amp;"生成成长"),3))*(VLOOKUP($B$5,标准坦克设计!$B$14:$K$20,9)/30))</f>
        <v>1.8577998756340766</v>
      </c>
      <c r="AZ223" s="173">
        <f ca="1">(VLOOKUP(AZ$72,INDIRECT($C$5&amp;"生成成长"),2))/((VLOOKUP($B223,INDIRECT($B$5&amp;"生成成长"),4))/(VLOOKUP(AZ$72,INDIRECT($C$5&amp;"生成成长"),5))*(VLOOKUP($B$5,标准坦克设计!$B$24:$U$30,MATCH("对"&amp;LEFT($C$5,2)&amp;"输出",标准坦克设计!$B$23:$U$23,0)))*(VLOOKUP($B223,INDIRECT($B$5&amp;"生成成长"),3))*(VLOOKUP($B$5,标准坦克设计!$B$14:$K$20,9)/30))</f>
        <v>2.0730260465069792</v>
      </c>
      <c r="BA223" s="173">
        <f ca="1">(VLOOKUP(BA$72,INDIRECT($C$5&amp;"生成成长"),2))/((VLOOKUP($B223,INDIRECT($B$5&amp;"生成成长"),4))/(VLOOKUP(BA$72,INDIRECT($C$5&amp;"生成成长"),5))*(VLOOKUP($B$5,标准坦克设计!$B$24:$U$30,MATCH("对"&amp;LEFT($C$5,2)&amp;"输出",标准坦克设计!$B$23:$U$23,0)))*(VLOOKUP($B223,INDIRECT($B$5&amp;"生成成长"),3))*(VLOOKUP($B$5,标准坦克设计!$B$14:$K$20,9)/30))</f>
        <v>2.3000454322222321</v>
      </c>
      <c r="BB223" s="173">
        <f ca="1">(VLOOKUP(BB$72,INDIRECT($C$5&amp;"生成成长"),2))/((VLOOKUP($B223,INDIRECT($B$5&amp;"生成成长"),4))/(VLOOKUP(BB$72,INDIRECT($C$5&amp;"生成成长"),5))*(VLOOKUP($B$5,标准坦克设计!$B$24:$U$30,MATCH("对"&amp;LEFT($C$5,2)&amp;"输出",标准坦克设计!$B$23:$U$23,0)))*(VLOOKUP($B223,INDIRECT($B$5&amp;"生成成长"),3))*(VLOOKUP($B$5,标准坦克设计!$B$14:$K$20,9)/30))</f>
        <v>2.5388580327798365</v>
      </c>
      <c r="BC223" s="173">
        <f ca="1">(VLOOKUP(BC$72,INDIRECT($C$5&amp;"生成成长"),2))/((VLOOKUP($B223,INDIRECT($B$5&amp;"生成成长"),4))/(VLOOKUP(BC$72,INDIRECT($C$5&amp;"生成成长"),5))*(VLOOKUP($B$5,标准坦克设计!$B$24:$U$30,MATCH("对"&amp;LEFT($C$5,2)&amp;"输出",标准坦克设计!$B$23:$U$23,0)))*(VLOOKUP($B223,INDIRECT($B$5&amp;"生成成长"),3))*(VLOOKUP($B$5,标准坦克设计!$B$14:$K$20,9)/30))</f>
        <v>2.7894638481797909</v>
      </c>
      <c r="BD223" s="173">
        <f ca="1">(VLOOKUP(BD$72,INDIRECT($C$5&amp;"生成成长"),2))/((VLOOKUP($B223,INDIRECT($B$5&amp;"生成成长"),4))/(VLOOKUP(BD$72,INDIRECT($C$5&amp;"生成成长"),5))*(VLOOKUP($B$5,标准坦克设计!$B$24:$U$30,MATCH("对"&amp;LEFT($C$5,2)&amp;"输出",标准坦克设计!$B$23:$U$23,0)))*(VLOOKUP($B223,INDIRECT($B$5&amp;"生成成长"),3))*(VLOOKUP($B$5,标准坦克设计!$B$14:$K$20,9)/30))</f>
        <v>3.085491967620988</v>
      </c>
      <c r="BE223" s="173">
        <f ca="1">(VLOOKUP(BE$72,INDIRECT($C$5&amp;"生成成长"),2))/((VLOOKUP($B223,INDIRECT($B$5&amp;"生成成长"),4))/(VLOOKUP(BE$72,INDIRECT($C$5&amp;"生成成长"),5))*(VLOOKUP($B$5,标准坦克设计!$B$24:$U$30,MATCH("对"&amp;LEFT($C$5,2)&amp;"输出",标准坦克设计!$B$23:$U$23,0)))*(VLOOKUP($B223,INDIRECT($B$5&amp;"生成成长"),3))*(VLOOKUP($B$5,标准坦克设计!$B$14:$K$20,9)/30))</f>
        <v>3.3964458745970347</v>
      </c>
      <c r="BF223" s="173">
        <f ca="1">(VLOOKUP(BF$72,INDIRECT($C$5&amp;"生成成长"),2))/((VLOOKUP($B223,INDIRECT($B$5&amp;"生成成长"),4))/(VLOOKUP(BF$72,INDIRECT($C$5&amp;"生成成长"),5))*(VLOOKUP($B$5,标准坦克设计!$B$24:$U$30,MATCH("对"&amp;LEFT($C$5,2)&amp;"输出",标准坦克设计!$B$23:$U$23,0)))*(VLOOKUP($B223,INDIRECT($B$5&amp;"生成成长"),3))*(VLOOKUP($B$5,标准坦克设计!$B$14:$K$20,9)/30))</f>
        <v>3.7223255691079316</v>
      </c>
      <c r="BG223" s="173">
        <f ca="1">(VLOOKUP(BG$72,INDIRECT($C$5&amp;"生成成长"),2))/((VLOOKUP($B223,INDIRECT($B$5&amp;"生成成长"),4))/(VLOOKUP(BG$72,INDIRECT($C$5&amp;"生成成长"),5))*(VLOOKUP($B$5,标准坦克设计!$B$24:$U$30,MATCH("对"&amp;LEFT($C$5,2)&amp;"输出",标准坦克设计!$B$23:$U$23,0)))*(VLOOKUP($B223,INDIRECT($B$5&amp;"生成成长"),3))*(VLOOKUP($B$5,标准坦克设计!$B$14:$K$20,9)/30))</f>
        <v>4.0631310511536789</v>
      </c>
      <c r="BH223" s="173">
        <f ca="1">(VLOOKUP(BH$72,INDIRECT($C$5&amp;"生成成长"),2))/((VLOOKUP($B223,INDIRECT($B$5&amp;"生成成长"),4))/(VLOOKUP(BH$72,INDIRECT($C$5&amp;"生成成长"),5))*(VLOOKUP($B$5,标准坦克设计!$B$24:$U$30,MATCH("对"&amp;LEFT($C$5,2)&amp;"输出",标准坦克设计!$B$23:$U$23,0)))*(VLOOKUP($B223,INDIRECT($B$5&amp;"生成成长"),3))*(VLOOKUP($B$5,标准坦克设计!$B$14:$K$20,9)/30))</f>
        <v>1.9639388092152339</v>
      </c>
      <c r="BI223" s="173">
        <f ca="1">(VLOOKUP(BI$72,INDIRECT($C$5&amp;"生成成长"),2))/((VLOOKUP($B223,INDIRECT($B$5&amp;"生成成长"),4))/(VLOOKUP(BI$72,INDIRECT($C$5&amp;"生成成长"),5))*(VLOOKUP($B$5,标准坦克设计!$B$24:$U$30,MATCH("对"&amp;LEFT($C$5,2)&amp;"输出",标准坦克设计!$B$23:$U$23,0)))*(VLOOKUP($B223,INDIRECT($B$5&amp;"生成成长"),3))*(VLOOKUP($B$5,标准坦克设计!$B$14:$K$20,9)/30))</f>
        <v>2.2135311452146742</v>
      </c>
      <c r="BJ223" s="173">
        <f ca="1">(VLOOKUP(BJ$72,INDIRECT($C$5&amp;"生成成长"),2))/((VLOOKUP($B223,INDIRECT($B$5&amp;"生成成长"),4))/(VLOOKUP(BJ$72,INDIRECT($C$5&amp;"生成成长"),5))*(VLOOKUP($B$5,标准坦克设计!$B$24:$U$30,MATCH("对"&amp;LEFT($C$5,2)&amp;"输出",标准坦克设计!$B$23:$U$23,0)))*(VLOOKUP($B223,INDIRECT($B$5&amp;"生成成长"),3))*(VLOOKUP($B$5,标准坦克设计!$B$14:$K$20,9)/30))</f>
        <v>2.4780492687489648</v>
      </c>
      <c r="BK223" s="173">
        <f ca="1">(VLOOKUP(BK$72,INDIRECT($C$5&amp;"生成成长"),2))/((VLOOKUP($B223,INDIRECT($B$5&amp;"生成成长"),4))/(VLOOKUP(BK$72,INDIRECT($C$5&amp;"生成成长"),5))*(VLOOKUP($B$5,标准坦克设计!$B$24:$U$30,MATCH("对"&amp;LEFT($C$5,2)&amp;"输出",标准坦克设计!$B$23:$U$23,0)))*(VLOOKUP($B223,INDIRECT($B$5&amp;"生成成长"),3))*(VLOOKUP($B$5,标准坦克设计!$B$14:$K$20,9)/30))</f>
        <v>2.7574931798181055</v>
      </c>
      <c r="BL223" s="173">
        <f ca="1">(VLOOKUP(BL$72,INDIRECT($C$5&amp;"生成成长"),2))/((VLOOKUP($B223,INDIRECT($B$5&amp;"生成成长"),4))/(VLOOKUP(BL$72,INDIRECT($C$5&amp;"生成成长"),5))*(VLOOKUP($B$5,标准坦克设计!$B$24:$U$30,MATCH("对"&amp;LEFT($C$5,2)&amp;"输出",标准坦克设计!$B$23:$U$23,0)))*(VLOOKUP($B223,INDIRECT($B$5&amp;"生成成长"),3))*(VLOOKUP($B$5,标准坦克设计!$B$14:$K$20,9)/30))</f>
        <v>3.0518628784220967</v>
      </c>
      <c r="BM223" s="173">
        <f ca="1">(VLOOKUP(BM$72,INDIRECT($C$5&amp;"生成成长"),2))/((VLOOKUP($B223,INDIRECT($B$5&amp;"生成成长"),4))/(VLOOKUP(BM$72,INDIRECT($C$5&amp;"生成成长"),5))*(VLOOKUP($B$5,标准坦克设计!$B$24:$U$30,MATCH("对"&amp;LEFT($C$5,2)&amp;"输出",标准坦克设计!$B$23:$U$23,0)))*(VLOOKUP($B223,INDIRECT($B$5&amp;"生成成长"),3))*(VLOOKUP($B$5,标准坦克设计!$B$14:$K$20,9)/30))</f>
        <v>3.361158364560938</v>
      </c>
      <c r="BN223" s="173">
        <f ca="1">(VLOOKUP(BN$72,INDIRECT($C$5&amp;"生成成长"),2))/((VLOOKUP($B223,INDIRECT($B$5&amp;"生成成长"),4))/(VLOOKUP(BN$72,INDIRECT($C$5&amp;"生成成长"),5))*(VLOOKUP($B$5,标准坦克设计!$B$24:$U$30,MATCH("对"&amp;LEFT($C$5,2)&amp;"输出",标准坦克设计!$B$23:$U$23,0)))*(VLOOKUP($B223,INDIRECT($B$5&amp;"生成成长"),3))*(VLOOKUP($B$5,标准坦克设计!$B$14:$K$20,9)/30))</f>
        <v>3.6853796382346298</v>
      </c>
      <c r="BO223" s="173">
        <f ca="1">(VLOOKUP(BO$72,INDIRECT($C$5&amp;"生成成长"),2))/((VLOOKUP($B223,INDIRECT($B$5&amp;"生成成长"),4))/(VLOOKUP(BO$72,INDIRECT($C$5&amp;"生成成长"),5))*(VLOOKUP($B$5,标准坦克设计!$B$24:$U$30,MATCH("对"&amp;LEFT($C$5,2)&amp;"输出",标准坦克设计!$B$23:$U$23,0)))*(VLOOKUP($B223,INDIRECT($B$5&amp;"生成成长"),3))*(VLOOKUP($B$5,标准坦克设计!$B$14:$K$20,9)/30))</f>
        <v>4.0245266994431708</v>
      </c>
      <c r="BP223" s="173">
        <f ca="1">(VLOOKUP(BP$72,INDIRECT($C$5&amp;"生成成长"),2))/((VLOOKUP($B223,INDIRECT($B$5&amp;"生成成长"),4))/(VLOOKUP(BP$72,INDIRECT($C$5&amp;"生成成长"),5))*(VLOOKUP($B$5,标准坦克设计!$B$24:$U$30,MATCH("对"&amp;LEFT($C$5,2)&amp;"输出",标准坦克设计!$B$23:$U$23,0)))*(VLOOKUP($B223,INDIRECT($B$5&amp;"生成成长"),3))*(VLOOKUP($B$5,标准坦克设计!$B$14:$K$20,9)/30))</f>
        <v>4.3785995481865632</v>
      </c>
      <c r="BQ223" s="173">
        <f ca="1">(VLOOKUP(BQ$72,INDIRECT($C$5&amp;"生成成长"),2))/((VLOOKUP($B223,INDIRECT($B$5&amp;"生成成长"),4))/(VLOOKUP(BQ$72,INDIRECT($C$5&amp;"生成成长"),5))*(VLOOKUP($B$5,标准坦克设计!$B$24:$U$30,MATCH("对"&amp;LEFT($C$5,2)&amp;"输出",标准坦克设计!$B$23:$U$23,0)))*(VLOOKUP($B223,INDIRECT($B$5&amp;"生成成长"),3))*(VLOOKUP($B$5,标准坦克设计!$B$14:$K$20,9)/30))</f>
        <v>4.7475981844648052</v>
      </c>
      <c r="BR223" s="173">
        <f ca="1">(VLOOKUP(BR$72,INDIRECT($C$5&amp;"生成成长"),2))/((VLOOKUP($B223,INDIRECT($B$5&amp;"生成成长"),4))/(VLOOKUP(BR$72,INDIRECT($C$5&amp;"生成成长"),5))*(VLOOKUP($B$5,标准坦克设计!$B$24:$U$30,MATCH("对"&amp;LEFT($C$5,2)&amp;"输出",标准坦克设计!$B$23:$U$23,0)))*(VLOOKUP($B223,INDIRECT($B$5&amp;"生成成长"),3))*(VLOOKUP($B$5,标准坦克设计!$B$14:$K$20,9)/30))</f>
        <v>5.1751022225000218</v>
      </c>
      <c r="BS223" s="173">
        <f ca="1">(VLOOKUP(BS$72,INDIRECT($C$5&amp;"生成成长"),2))/((VLOOKUP($B223,INDIRECT($B$5&amp;"生成成长"),4))/(VLOOKUP(BS$72,INDIRECT($C$5&amp;"生成成长"),5))*(VLOOKUP($B$5,标准坦克设计!$B$24:$U$30,MATCH("对"&amp;LEFT($C$5,2)&amp;"输出",标准坦克设计!$B$23:$U$23,0)))*(VLOOKUP($B223,INDIRECT($B$5&amp;"生成成长"),3))*(VLOOKUP($B$5,标准坦克设计!$B$14:$K$20,9)/30))</f>
        <v>5.6210331587264122</v>
      </c>
      <c r="BT223" s="173">
        <f ca="1">(VLOOKUP(BT$72,INDIRECT($C$5&amp;"生成成长"),2))/((VLOOKUP($B223,INDIRECT($B$5&amp;"生成成长"),4))/(VLOOKUP(BT$72,INDIRECT($C$5&amp;"生成成长"),5))*(VLOOKUP($B$5,标准坦克设计!$B$24:$U$30,MATCH("对"&amp;LEFT($C$5,2)&amp;"输出",标准坦克设计!$B$23:$U$23,0)))*(VLOOKUP($B223,INDIRECT($B$5&amp;"生成成长"),3))*(VLOOKUP($B$5,标准坦克设计!$B$14:$K$20,9)/30))</f>
        <v>6.0853909931439754</v>
      </c>
      <c r="BU223" s="173">
        <f ca="1">(VLOOKUP(BU$72,INDIRECT($C$5&amp;"生成成长"),2))/((VLOOKUP($B223,INDIRECT($B$5&amp;"生成成长"),4))/(VLOOKUP(BU$72,INDIRECT($C$5&amp;"生成成长"),5))*(VLOOKUP($B$5,标准坦克设计!$B$24:$U$30,MATCH("对"&amp;LEFT($C$5,2)&amp;"输出",标准坦克设计!$B$23:$U$23,0)))*(VLOOKUP($B223,INDIRECT($B$5&amp;"生成成长"),3))*(VLOOKUP($B$5,标准坦克设计!$B$14:$K$20,9)/30))</f>
        <v>6.5681757257527122</v>
      </c>
      <c r="BV223" s="173">
        <f ca="1">(VLOOKUP(BV$72,INDIRECT($C$5&amp;"生成成长"),2))/((VLOOKUP($B223,INDIRECT($B$5&amp;"生成成长"),4))/(VLOOKUP(BV$72,INDIRECT($C$5&amp;"生成成长"),5))*(VLOOKUP($B$5,标准坦克设计!$B$24:$U$30,MATCH("对"&amp;LEFT($C$5,2)&amp;"输出",标准坦克设计!$B$23:$U$23,0)))*(VLOOKUP($B223,INDIRECT($B$5&amp;"生成成长"),3))*(VLOOKUP($B$5,标准坦克设计!$B$14:$K$20,9)/30))</f>
        <v>7.0693873565526228</v>
      </c>
      <c r="BW223" s="173">
        <f ca="1">(VLOOKUP(BW$72,INDIRECT($C$5&amp;"生成成长"),2))/((VLOOKUP($B223,INDIRECT($B$5&amp;"生成成长"),4))/(VLOOKUP(BW$72,INDIRECT($C$5&amp;"生成成长"),5))*(VLOOKUP($B$5,标准坦克设计!$B$24:$U$30,MATCH("对"&amp;LEFT($C$5,2)&amp;"输出",标准坦克设计!$B$23:$U$23,0)))*(VLOOKUP($B223,INDIRECT($B$5&amp;"生成成长"),3))*(VLOOKUP($B$5,标准坦克设计!$B$14:$K$20,9)/30))</f>
        <v>3.2218510142356682</v>
      </c>
      <c r="BX223" s="173">
        <f ca="1">(VLOOKUP(BX$72,INDIRECT($C$5&amp;"生成成长"),2))/((VLOOKUP($B223,INDIRECT($B$5&amp;"生成成长"),4))/(VLOOKUP(BX$72,INDIRECT($C$5&amp;"生成成长"),5))*(VLOOKUP($B$5,标准坦克设计!$B$24:$U$30,MATCH("对"&amp;LEFT($C$5,2)&amp;"输出",标准坦克设计!$B$23:$U$23,0)))*(VLOOKUP($B223,INDIRECT($B$5&amp;"生成成长"),3))*(VLOOKUP($B$5,标准坦克设计!$B$14:$K$20,9)/30))</f>
        <v>3.5756474595061936</v>
      </c>
      <c r="BY223" s="173">
        <f ca="1">(VLOOKUP(BY$72,INDIRECT($C$5&amp;"生成成长"),2))/((VLOOKUP($B223,INDIRECT($B$5&amp;"生成成长"),4))/(VLOOKUP(BY$72,INDIRECT($C$5&amp;"生成成长"),5))*(VLOOKUP($B$5,标准坦克设计!$B$24:$U$30,MATCH("对"&amp;LEFT($C$5,2)&amp;"输出",标准坦克设计!$B$23:$U$23,0)))*(VLOOKUP($B223,INDIRECT($B$5&amp;"生成成长"),3))*(VLOOKUP($B$5,标准坦克设计!$B$14:$K$20,9)/30))</f>
        <v>3.9478708029678908</v>
      </c>
      <c r="BZ223" s="173">
        <f ca="1">(VLOOKUP(BZ$72,INDIRECT($C$5&amp;"生成成长"),2))/((VLOOKUP($B223,INDIRECT($B$5&amp;"生成成长"),4))/(VLOOKUP(BZ$72,INDIRECT($C$5&amp;"生成成长"),5))*(VLOOKUP($B$5,标准坦克设计!$B$24:$U$30,MATCH("对"&amp;LEFT($C$5,2)&amp;"输出",标准坦克设计!$B$23:$U$23,0)))*(VLOOKUP($B223,INDIRECT($B$5&amp;"生成成长"),3))*(VLOOKUP($B$5,标准坦克设计!$B$14:$K$20,9)/30))</f>
        <v>4.3385210446207614</v>
      </c>
      <c r="CA223" s="173">
        <f ca="1">(VLOOKUP(CA$72,INDIRECT($C$5&amp;"生成成长"),2))/((VLOOKUP($B223,INDIRECT($B$5&amp;"生成成长"),4))/(VLOOKUP(CA$72,INDIRECT($C$5&amp;"生成成长"),5))*(VLOOKUP($B$5,标准坦克设计!$B$24:$U$30,MATCH("对"&amp;LEFT($C$5,2)&amp;"输出",标准坦克设计!$B$23:$U$23,0)))*(VLOOKUP($B223,INDIRECT($B$5&amp;"生成成长"),3))*(VLOOKUP($B$5,标准坦克设计!$B$14:$K$20,9)/30))</f>
        <v>4.7475981844648052</v>
      </c>
      <c r="CB223" s="173">
        <f ca="1">(VLOOKUP(CB$72,INDIRECT($C$5&amp;"生成成长"),2))/((VLOOKUP($B223,INDIRECT($B$5&amp;"生成成长"),4))/(VLOOKUP(CB$72,INDIRECT($C$5&amp;"生成成长"),5))*(VLOOKUP($B$5,标准坦克设计!$B$24:$U$30,MATCH("对"&amp;LEFT($C$5,2)&amp;"输出",标准坦克设计!$B$23:$U$23,0)))*(VLOOKUP($B223,INDIRECT($B$5&amp;"生成成长"),3))*(VLOOKUP($B$5,标准坦克设计!$B$14:$K$20,9)/30))</f>
        <v>5.1751022225000218</v>
      </c>
      <c r="CC223" s="173">
        <f ca="1">(VLOOKUP(CC$72,INDIRECT($C$5&amp;"生成成长"),2))/((VLOOKUP($B223,INDIRECT($B$5&amp;"生成成长"),4))/(VLOOKUP(CC$72,INDIRECT($C$5&amp;"生成成长"),5))*(VLOOKUP($B$5,标准坦克设计!$B$24:$U$30,MATCH("对"&amp;LEFT($C$5,2)&amp;"输出",标准坦克设计!$B$23:$U$23,0)))*(VLOOKUP($B223,INDIRECT($B$5&amp;"生成成长"),3))*(VLOOKUP($B$5,标准坦克设计!$B$14:$K$20,9)/30))</f>
        <v>5.6210331587264122</v>
      </c>
      <c r="CD223" s="173">
        <f ca="1">(VLOOKUP(CD$72,INDIRECT($C$5&amp;"生成成长"),2))/((VLOOKUP($B223,INDIRECT($B$5&amp;"生成成长"),4))/(VLOOKUP(CD$72,INDIRECT($C$5&amp;"生成成长"),5))*(VLOOKUP($B$5,标准坦克设计!$B$24:$U$30,MATCH("对"&amp;LEFT($C$5,2)&amp;"输出",标准坦克设计!$B$23:$U$23,0)))*(VLOOKUP($B223,INDIRECT($B$5&amp;"生成成长"),3))*(VLOOKUP($B$5,标准坦克设计!$B$14:$K$20,9)/30))</f>
        <v>6.0853909931439754</v>
      </c>
      <c r="CE223" s="173">
        <f ca="1">(VLOOKUP(CE$72,INDIRECT($C$5&amp;"生成成长"),2))/((VLOOKUP($B223,INDIRECT($B$5&amp;"生成成长"),4))/(VLOOKUP(CE$72,INDIRECT($C$5&amp;"生成成长"),5))*(VLOOKUP($B$5,标准坦克设计!$B$24:$U$30,MATCH("对"&amp;LEFT($C$5,2)&amp;"输出",标准坦克设计!$B$23:$U$23,0)))*(VLOOKUP($B223,INDIRECT($B$5&amp;"生成成长"),3))*(VLOOKUP($B$5,标准坦克设计!$B$14:$K$20,9)/30))</f>
        <v>6.5681757257527122</v>
      </c>
      <c r="CF223" s="173">
        <f ca="1">(VLOOKUP(CF$72,INDIRECT($C$5&amp;"生成成长"),2))/((VLOOKUP($B223,INDIRECT($B$5&amp;"生成成长"),4))/(VLOOKUP(CF$72,INDIRECT($C$5&amp;"生成成长"),5))*(VLOOKUP($B$5,标准坦克设计!$B$24:$U$30,MATCH("对"&amp;LEFT($C$5,2)&amp;"输出",标准坦克设计!$B$23:$U$23,0)))*(VLOOKUP($B223,INDIRECT($B$5&amp;"生成成长"),3))*(VLOOKUP($B$5,标准坦克设计!$B$14:$K$20,9)/30))</f>
        <v>7.0693873565526228</v>
      </c>
      <c r="CG223" s="173">
        <f ca="1">(VLOOKUP(CG$72,INDIRECT($C$5&amp;"生成成长"),2))/((VLOOKUP($B223,INDIRECT($B$5&amp;"生成成长"),4))/(VLOOKUP(CG$72,INDIRECT($C$5&amp;"生成成长"),5))*(VLOOKUP($B$5,标准坦克设计!$B$24:$U$30,MATCH("对"&amp;LEFT($C$5,2)&amp;"输出",标准坦克设计!$B$23:$U$23,0)))*(VLOOKUP($B223,INDIRECT($B$5&amp;"生成成长"),3))*(VLOOKUP($B$5,标准坦克设计!$B$14:$K$20,9)/30))</f>
        <v>7.5890258855437045</v>
      </c>
      <c r="CH223" s="173">
        <f ca="1">(VLOOKUP(CH$72,INDIRECT($C$5&amp;"生成成长"),2))/((VLOOKUP($B223,INDIRECT($B$5&amp;"生成成长"),4))/(VLOOKUP(CH$72,INDIRECT($C$5&amp;"生成成长"),5))*(VLOOKUP($B$5,标准坦克设计!$B$24:$U$30,MATCH("对"&amp;LEFT($C$5,2)&amp;"输出",标准坦克设计!$B$23:$U$23,0)))*(VLOOKUP($B223,INDIRECT($B$5&amp;"生成成长"),3))*(VLOOKUP($B$5,标准坦克设计!$B$14:$K$20,9)/30))</f>
        <v>8.1270913127259607</v>
      </c>
      <c r="CI223" s="173">
        <f ca="1">(VLOOKUP(CI$72,INDIRECT($C$5&amp;"生成成长"),2))/((VLOOKUP($B223,INDIRECT($B$5&amp;"生成成长"),4))/(VLOOKUP(CI$72,INDIRECT($C$5&amp;"生成成长"),5))*(VLOOKUP($B$5,标准坦克设计!$B$24:$U$30,MATCH("对"&amp;LEFT($C$5,2)&amp;"输出",标准坦克设计!$B$23:$U$23,0)))*(VLOOKUP($B223,INDIRECT($B$5&amp;"生成成长"),3))*(VLOOKUP($B$5,标准坦克设计!$B$14:$K$20,9)/30))</f>
        <v>8.740246350037248</v>
      </c>
      <c r="CJ223" s="173">
        <f ca="1">(VLOOKUP(CJ$72,INDIRECT($C$5&amp;"生成成长"),2))/((VLOOKUP($B223,INDIRECT($B$5&amp;"生成成长"),4))/(VLOOKUP(CJ$72,INDIRECT($C$5&amp;"生成成长"),5))*(VLOOKUP($B$5,标准坦克设计!$B$24:$U$30,MATCH("对"&amp;LEFT($C$5,2)&amp;"输出",标准坦克设计!$B$23:$U$23,0)))*(VLOOKUP($B223,INDIRECT($B$5&amp;"生成成长"),3))*(VLOOKUP($B$5,标准坦克设计!$B$14:$K$20,9)/30))</f>
        <v>9.3756979341598541</v>
      </c>
      <c r="CK223" s="173">
        <f ca="1">(VLOOKUP(CK$72,INDIRECT($C$5&amp;"生成成长"),2))/((VLOOKUP($B223,INDIRECT($B$5&amp;"生成成长"),4))/(VLOOKUP(CK$72,INDIRECT($C$5&amp;"生成成长"),5))*(VLOOKUP($B$5,标准坦克设计!$B$24:$U$30,MATCH("对"&amp;LEFT($C$5,2)&amp;"输出",标准坦克设计!$B$23:$U$23,0)))*(VLOOKUP($B223,INDIRECT($B$5&amp;"生成成长"),3))*(VLOOKUP($B$5,标准坦克设计!$B$14:$K$20,9)/30))</f>
        <v>10.033446065093779</v>
      </c>
      <c r="CL223" s="173">
        <f ca="1">(VLOOKUP(CL$72,INDIRECT($C$5&amp;"生成成长"),2))/((VLOOKUP($B223,INDIRECT($B$5&amp;"生成成长"),4))/(VLOOKUP(CL$72,INDIRECT($C$5&amp;"生成成长"),5))*(VLOOKUP($B$5,标准坦克设计!$B$24:$U$30,MATCH("对"&amp;LEFT($C$5,2)&amp;"输出",标准坦克设计!$B$23:$U$23,0)))*(VLOOKUP($B223,INDIRECT($B$5&amp;"生成成长"),3))*(VLOOKUP($B$5,标准坦克设计!$B$14:$K$20,9)/30))</f>
        <v>10.713490742839026</v>
      </c>
      <c r="CM223" s="173">
        <f ca="1">(VLOOKUP(CM$72,INDIRECT($C$5&amp;"生成成长"),2))/((VLOOKUP($B223,INDIRECT($B$5&amp;"生成成长"),4))/(VLOOKUP(CM$72,INDIRECT($C$5&amp;"生成成长"),5))*(VLOOKUP($B$5,标准坦克设计!$B$24:$U$30,MATCH("对"&amp;LEFT($C$5,2)&amp;"输出",标准坦克设计!$B$23:$U$23,0)))*(VLOOKUP($B223,INDIRECT($B$5&amp;"生成成长"),3))*(VLOOKUP($B$5,标准坦克设计!$B$14:$K$20,9)/30))</f>
        <v>11.415831967395587</v>
      </c>
      <c r="CN223" s="173">
        <f ca="1">(VLOOKUP(CN$72,INDIRECT($C$5&amp;"生成成长"),2))/((VLOOKUP($B223,INDIRECT($B$5&amp;"生成成长"),4))/(VLOOKUP(CN$72,INDIRECT($C$5&amp;"生成成长"),5))*(VLOOKUP($B$5,标准坦克设计!$B$24:$U$30,MATCH("对"&amp;LEFT($C$5,2)&amp;"输出",标准坦克设计!$B$23:$U$23,0)))*(VLOOKUP($B223,INDIRECT($B$5&amp;"生成成长"),3))*(VLOOKUP($B$5,标准坦克设计!$B$14:$K$20,9)/30))</f>
        <v>12.140469738763471</v>
      </c>
      <c r="CO223" s="173">
        <f ca="1">(VLOOKUP(CO$72,INDIRECT($C$5&amp;"生成成长"),2))/((VLOOKUP($B223,INDIRECT($B$5&amp;"生成成长"),4))/(VLOOKUP(CO$72,INDIRECT($C$5&amp;"生成成长"),5))*(VLOOKUP($B$5,标准坦克设计!$B$24:$U$30,MATCH("对"&amp;LEFT($C$5,2)&amp;"输出",标准坦克设计!$B$23:$U$23,0)))*(VLOOKUP($B223,INDIRECT($B$5&amp;"生成成长"),3))*(VLOOKUP($B$5,标准坦克设计!$B$14:$K$20,9)/30))</f>
        <v>5.4404495564529158</v>
      </c>
      <c r="CP223" s="173">
        <f ca="1">(VLOOKUP(CP$72,INDIRECT($C$5&amp;"生成成长"),2))/((VLOOKUP($B223,INDIRECT($B$5&amp;"生成成长"),4))/(VLOOKUP(CP$72,INDIRECT($C$5&amp;"生成成长"),5))*(VLOOKUP($B$5,标准坦克设计!$B$24:$U$30,MATCH("对"&amp;LEFT($C$5,2)&amp;"输出",标准坦克设计!$B$23:$U$23,0)))*(VLOOKUP($B223,INDIRECT($B$5&amp;"生成成长"),3))*(VLOOKUP($B$5,标准坦克设计!$B$14:$K$20,9)/30))</f>
        <v>5.9441488185086335</v>
      </c>
      <c r="CQ223" s="173">
        <f ca="1">(VLOOKUP(CQ$72,INDIRECT($C$5&amp;"生成成长"),2))/((VLOOKUP($B223,INDIRECT($B$5&amp;"生成成长"),4))/(VLOOKUP(CQ$72,INDIRECT($C$5&amp;"生成成长"),5))*(VLOOKUP($B$5,标准坦克设计!$B$24:$U$30,MATCH("对"&amp;LEFT($C$5,2)&amp;"输出",标准坦克设计!$B$23:$U$23,0)))*(VLOOKUP($B223,INDIRECT($B$5&amp;"生成成长"),3))*(VLOOKUP($B$5,标准坦克设计!$B$14:$K$20,9)/30))</f>
        <v>6.4701446273756709</v>
      </c>
      <c r="CR223" s="173">
        <f ca="1">(VLOOKUP(CR$72,INDIRECT($C$5&amp;"生成成长"),2))/((VLOOKUP($B223,INDIRECT($B$5&amp;"生成成长"),4))/(VLOOKUP(CR$72,INDIRECT($C$5&amp;"生成成长"),5))*(VLOOKUP($B$5,标准坦克设计!$B$24:$U$30,MATCH("对"&amp;LEFT($C$5,2)&amp;"输出",标准坦克设计!$B$23:$U$23,0)))*(VLOOKUP($B223,INDIRECT($B$5&amp;"生成成长"),3))*(VLOOKUP($B$5,标准坦克设计!$B$14:$K$20,9)/30))</f>
        <v>7.0184369830540287</v>
      </c>
      <c r="CS223" s="173">
        <f ca="1">(VLOOKUP(CS$72,INDIRECT($C$5&amp;"生成成长"),2))/((VLOOKUP($B223,INDIRECT($B$5&amp;"生成成长"),4))/(VLOOKUP(CS$72,INDIRECT($C$5&amp;"生成成长"),5))*(VLOOKUP($B$5,标准坦克设计!$B$24:$U$30,MATCH("对"&amp;LEFT($C$5,2)&amp;"输出",标准坦克设计!$B$23:$U$23,0)))*(VLOOKUP($B223,INDIRECT($B$5&amp;"生成成长"),3))*(VLOOKUP($B$5,标准坦克设计!$B$14:$K$20,9)/30))</f>
        <v>7.5890258855437045</v>
      </c>
      <c r="CT223" s="173">
        <f ca="1">(VLOOKUP(CT$72,INDIRECT($C$5&amp;"生成成长"),2))/((VLOOKUP($B223,INDIRECT($B$5&amp;"生成成长"),4))/(VLOOKUP(CT$72,INDIRECT($C$5&amp;"生成成长"),5))*(VLOOKUP($B$5,标准坦克设计!$B$24:$U$30,MATCH("对"&amp;LEFT($C$5,2)&amp;"输出",标准坦克设计!$B$23:$U$23,0)))*(VLOOKUP($B223,INDIRECT($B$5&amp;"生成成长"),3))*(VLOOKUP($B$5,标准坦克设计!$B$14:$K$20,9)/30))</f>
        <v>8.1819113348447008</v>
      </c>
      <c r="CU223" s="173">
        <f ca="1">(VLOOKUP(CU$72,INDIRECT($C$5&amp;"生成成长"),2))/((VLOOKUP($B223,INDIRECT($B$5&amp;"生成成长"),4))/(VLOOKUP(CU$72,INDIRECT($C$5&amp;"生成成长"),5))*(VLOOKUP($B$5,标准坦克设计!$B$24:$U$30,MATCH("对"&amp;LEFT($C$5,2)&amp;"输出",标准坦克设计!$B$23:$U$23,0)))*(VLOOKUP($B223,INDIRECT($B$5&amp;"生成成长"),3))*(VLOOKUP($B$5,标准坦克设计!$B$14:$K$20,9)/30))</f>
        <v>8.7970933309570167</v>
      </c>
      <c r="CV223" s="173">
        <f ca="1">(VLOOKUP(CV$72,INDIRECT($C$5&amp;"生成成长"),2))/((VLOOKUP($B223,INDIRECT($B$5&amp;"生成成长"),4))/(VLOOKUP(CV$72,INDIRECT($C$5&amp;"生成成长"),5))*(VLOOKUP($B$5,标准坦克设计!$B$24:$U$30,MATCH("对"&amp;LEFT($C$5,2)&amp;"输出",标准坦克设计!$B$23:$U$23,0)))*(VLOOKUP($B223,INDIRECT($B$5&amp;"生成成长"),3))*(VLOOKUP($B$5,标准坦克设计!$B$14:$K$20,9)/30))</f>
        <v>9.4345718738806532</v>
      </c>
      <c r="CW223" s="173">
        <f ca="1">(VLOOKUP(CW$72,INDIRECT($C$5&amp;"生成成长"),2))/((VLOOKUP($B223,INDIRECT($B$5&amp;"生成成长"),4))/(VLOOKUP(CW$72,INDIRECT($C$5&amp;"生成成长"),5))*(VLOOKUP($B$5,标准坦克设计!$B$24:$U$30,MATCH("对"&amp;LEFT($C$5,2)&amp;"输出",标准坦克设计!$B$23:$U$23,0)))*(VLOOKUP($B223,INDIRECT($B$5&amp;"生成成长"),3))*(VLOOKUP($B$5,标准坦克设计!$B$14:$K$20,9)/30))</f>
        <v>10.094346963615605</v>
      </c>
      <c r="CX223" s="173">
        <f ca="1">(VLOOKUP(CX$72,INDIRECT($C$5&amp;"生成成长"),2))/((VLOOKUP($B223,INDIRECT($B$5&amp;"生成成长"),4))/(VLOOKUP(CX$72,INDIRECT($C$5&amp;"生成成长"),5))*(VLOOKUP($B$5,标准坦克设计!$B$24:$U$30,MATCH("对"&amp;LEFT($C$5,2)&amp;"输出",标准坦克设计!$B$23:$U$23,0)))*(VLOOKUP($B223,INDIRECT($B$5&amp;"生成成长"),3))*(VLOOKUP($B$5,标准坦克设计!$B$14:$K$20,9)/30))</f>
        <v>10.776418600161881</v>
      </c>
      <c r="CY223" s="173">
        <f ca="1">(VLOOKUP(CY$72,INDIRECT($C$5&amp;"生成成长"),2))/((VLOOKUP($B223,INDIRECT($B$5&amp;"生成成长"),4))/(VLOOKUP(CY$72,INDIRECT($C$5&amp;"生成成长"),5))*(VLOOKUP($B$5,标准坦克设计!$B$24:$U$30,MATCH("对"&amp;LEFT($C$5,2)&amp;"输出",标准坦克设计!$B$23:$U$23,0)))*(VLOOKUP($B223,INDIRECT($B$5&amp;"生成成长"),3))*(VLOOKUP($B$5,标准坦克设计!$B$14:$K$20,9)/30))</f>
        <v>11.480786783519473</v>
      </c>
      <c r="CZ223" s="173">
        <f ca="1">(VLOOKUP(CZ$72,INDIRECT($C$5&amp;"生成成长"),2))/((VLOOKUP($B223,INDIRECT($B$5&amp;"生成成长"),4))/(VLOOKUP(CZ$72,INDIRECT($C$5&amp;"生成成长"),5))*(VLOOKUP($B$5,标准坦克设计!$B$24:$U$30,MATCH("对"&amp;LEFT($C$5,2)&amp;"输出",标准坦克设计!$B$23:$U$23,0)))*(VLOOKUP($B223,INDIRECT($B$5&amp;"生成成长"),3))*(VLOOKUP($B$5,标准坦克设计!$B$14:$K$20,9)/30))</f>
        <v>12.207451513688387</v>
      </c>
      <c r="DA223" s="173">
        <f ca="1">(VLOOKUP(DA$72,INDIRECT($C$5&amp;"生成成长"),2))/((VLOOKUP($B223,INDIRECT($B$5&amp;"生成成长"),4))/(VLOOKUP(DA$72,INDIRECT($C$5&amp;"生成成长"),5))*(VLOOKUP($B$5,标准坦克设计!$B$24:$U$30,MATCH("对"&amp;LEFT($C$5,2)&amp;"输出",标准坦克设计!$B$23:$U$23,0)))*(VLOOKUP($B223,INDIRECT($B$5&amp;"生成成长"),3))*(VLOOKUP($B$5,标准坦克设计!$B$14:$K$20,9)/30))</f>
        <v>12.956412790668619</v>
      </c>
      <c r="DB223" s="173">
        <f ca="1">(VLOOKUP(DB$72,INDIRECT($C$5&amp;"生成成长"),2))/((VLOOKUP($B223,INDIRECT($B$5&amp;"生成成长"),4))/(VLOOKUP(DB$72,INDIRECT($C$5&amp;"生成成长"),5))*(VLOOKUP($B$5,标准坦克设计!$B$24:$U$30,MATCH("对"&amp;LEFT($C$5,2)&amp;"输出",标准坦克设计!$B$23:$U$23,0)))*(VLOOKUP($B223,INDIRECT($B$5&amp;"生成成长"),3))*(VLOOKUP($B$5,标准坦克设计!$B$14:$K$20,9)/30))</f>
        <v>13.727670614460171</v>
      </c>
      <c r="DC223" s="173">
        <f ca="1">(VLOOKUP(DC$72,INDIRECT($C$5&amp;"生成成长"),2))/((VLOOKUP($B223,INDIRECT($B$5&amp;"生成成长"),4))/(VLOOKUP(DC$72,INDIRECT($C$5&amp;"生成成长"),5))*(VLOOKUP($B$5,标准坦克设计!$B$24:$U$30,MATCH("对"&amp;LEFT($C$5,2)&amp;"输出",标准坦克设计!$B$23:$U$23,0)))*(VLOOKUP($B223,INDIRECT($B$5&amp;"生成成长"),3))*(VLOOKUP($B$5,标准坦克设计!$B$14:$K$20,9)/30))</f>
        <v>14.594471905372956</v>
      </c>
      <c r="DD223" s="173">
        <f ca="1">(VLOOKUP(DD$72,INDIRECT($C$5&amp;"生成成长"),2))/((VLOOKUP($B223,INDIRECT($B$5&amp;"生成成长"),4))/(VLOOKUP(DD$72,INDIRECT($C$5&amp;"生成成长"),5))*(VLOOKUP($B$5,标准坦克设计!$B$24:$U$30,MATCH("对"&amp;LEFT($C$5,2)&amp;"输出",标准坦克设计!$B$23:$U$23,0)))*(VLOOKUP($B223,INDIRECT($B$5&amp;"生成成长"),3))*(VLOOKUP($B$5,标准坦克设计!$B$14:$K$20,9)/30))</f>
        <v>15.487807929681031</v>
      </c>
      <c r="DE223" s="173">
        <f ca="1">(VLOOKUP(DE$72,INDIRECT($C$5&amp;"生成成长"),2))/((VLOOKUP($B223,INDIRECT($B$5&amp;"生成成长"),4))/(VLOOKUP(DE$72,INDIRECT($C$5&amp;"生成成长"),5))*(VLOOKUP($B$5,标准坦克设计!$B$24:$U$30,MATCH("对"&amp;LEFT($C$5,2)&amp;"输出",标准坦克设计!$B$23:$U$23,0)))*(VLOOKUP($B223,INDIRECT($B$5&amp;"生成成长"),3))*(VLOOKUP($B$5,标准坦克设计!$B$14:$K$20,9)/30))</f>
        <v>16.407678687384394</v>
      </c>
      <c r="DF223" s="173">
        <f ca="1">(VLOOKUP(DF$72,INDIRECT($C$5&amp;"生成成长"),2))/((VLOOKUP($B223,INDIRECT($B$5&amp;"生成成长"),4))/(VLOOKUP(DF$72,INDIRECT($C$5&amp;"生成成长"),5))*(VLOOKUP($B$5,标准坦克设计!$B$24:$U$30,MATCH("对"&amp;LEFT($C$5,2)&amp;"输出",标准坦克设计!$B$23:$U$23,0)))*(VLOOKUP($B223,INDIRECT($B$5&amp;"生成成长"),3))*(VLOOKUP($B$5,标准坦克设计!$B$14:$K$20,9)/30))</f>
        <v>17.354084178483046</v>
      </c>
      <c r="DG223" s="173">
        <f ca="1">(VLOOKUP(DG$72,INDIRECT($C$5&amp;"生成成长"),2))/((VLOOKUP($B223,INDIRECT($B$5&amp;"生成成长"),4))/(VLOOKUP(DG$72,INDIRECT($C$5&amp;"生成成长"),5))*(VLOOKUP($B$5,标准坦克设计!$B$24:$U$30,MATCH("对"&amp;LEFT($C$5,2)&amp;"输出",标准坦克设计!$B$23:$U$23,0)))*(VLOOKUP($B223,INDIRECT($B$5&amp;"生成成长"),3))*(VLOOKUP($B$5,标准坦克设计!$B$14:$K$20,9)/30))</f>
        <v>18.327024402976985</v>
      </c>
      <c r="DH223" s="173">
        <f ca="1">(VLOOKUP(DH$72,INDIRECT($C$5&amp;"生成成长"),2))/((VLOOKUP($B223,INDIRECT($B$5&amp;"生成成长"),4))/(VLOOKUP(DH$72,INDIRECT($C$5&amp;"生成成长"),5))*(VLOOKUP($B$5,标准坦克设计!$B$24:$U$30,MATCH("对"&amp;LEFT($C$5,2)&amp;"输出",标准坦克设计!$B$23:$U$23,0)))*(VLOOKUP($B223,INDIRECT($B$5&amp;"生成成长"),3))*(VLOOKUP($B$5,标准坦克设计!$B$14:$K$20,9)/30))</f>
        <v>19.326499360866219</v>
      </c>
      <c r="DI223" s="173">
        <f ca="1">(VLOOKUP(DI$72,INDIRECT($C$5&amp;"生成成长"),2))/((VLOOKUP($B223,INDIRECT($B$5&amp;"生成成长"),4))/(VLOOKUP(DI$72,INDIRECT($C$5&amp;"生成成长"),5))*(VLOOKUP($B$5,标准坦克设计!$B$24:$U$30,MATCH("对"&amp;LEFT($C$5,2)&amp;"输出",标准坦克设计!$B$23:$U$23,0)))*(VLOOKUP($B223,INDIRECT($B$5&amp;"生成成长"),3))*(VLOOKUP($B$5,标准坦克设计!$B$14:$K$20,9)/30))</f>
        <v>20.352509052150744</v>
      </c>
      <c r="DJ223" s="173">
        <f ca="1">(VLOOKUP(DJ$72,INDIRECT($C$5&amp;"生成成长"),2))/((VLOOKUP($B223,INDIRECT($B$5&amp;"生成成长"),4))/(VLOOKUP(DJ$72,INDIRECT($C$5&amp;"生成成长"),5))*(VLOOKUP($B$5,标准坦克设计!$B$24:$U$30,MATCH("对"&amp;LEFT($C$5,2)&amp;"输出",标准坦克设计!$B$23:$U$23,0)))*(VLOOKUP($B223,INDIRECT($B$5&amp;"生成成长"),3))*(VLOOKUP($B$5,标准坦克设计!$B$14:$K$20,9)/30))</f>
        <v>2.0454778337111752</v>
      </c>
      <c r="DK223" s="173">
        <f ca="1">(VLOOKUP(DK$72,INDIRECT($C$5&amp;"生成成长"),2))/((VLOOKUP($B223,INDIRECT($B$5&amp;"生成成长"),4))/(VLOOKUP(DK$72,INDIRECT($C$5&amp;"生成成长"),5))*(VLOOKUP($B$5,标准坦克设计!$B$24:$U$30,MATCH("对"&amp;LEFT($C$5,2)&amp;"输出",标准坦克设计!$B$23:$U$23,0)))*(VLOOKUP($B223,INDIRECT($B$5&amp;"生成成长"),3))*(VLOOKUP($B$5,标准坦克设计!$B$14:$K$20,9)/30))</f>
        <v>2.3000454322222321</v>
      </c>
      <c r="DL223" s="173">
        <f ca="1">(VLOOKUP(DL$72,INDIRECT($C$5&amp;"生成成长"),2))/((VLOOKUP($B223,INDIRECT($B$5&amp;"生成成长"),4))/(VLOOKUP(DL$72,INDIRECT($C$5&amp;"生成成长"),5))*(VLOOKUP($B$5,标准坦克设计!$B$24:$U$30,MATCH("对"&amp;LEFT($C$5,2)&amp;"输出",标准坦克设计!$B$23:$U$23,0)))*(VLOOKUP($B223,INDIRECT($B$5&amp;"生成成长"),3))*(VLOOKUP($B$5,标准坦克设计!$B$14:$K$20,9)/30))</f>
        <v>2.5695388182681396</v>
      </c>
      <c r="DM223" s="173">
        <f ca="1">(VLOOKUP(DM$72,INDIRECT($C$5&amp;"生成成长"),2))/((VLOOKUP($B223,INDIRECT($B$5&amp;"生成成长"),4))/(VLOOKUP(DM$72,INDIRECT($C$5&amp;"生成成长"),5))*(VLOOKUP($B$5,标准坦克设计!$B$24:$U$30,MATCH("对"&amp;LEFT($C$5,2)&amp;"输出",标准坦克设计!$B$23:$U$23,0)))*(VLOOKUP($B223,INDIRECT($B$5&amp;"生成成长"),3))*(VLOOKUP($B$5,标准坦克设计!$B$14:$K$20,9)/30))</f>
        <v>2.8539579918488966</v>
      </c>
      <c r="DN223" s="173">
        <f ca="1">(VLOOKUP(DN$72,INDIRECT($C$5&amp;"生成成长"),2))/((VLOOKUP($B223,INDIRECT($B$5&amp;"生成成长"),4))/(VLOOKUP(DN$72,INDIRECT($C$5&amp;"生成成长"),5))*(VLOOKUP($B$5,标准坦克设计!$B$24:$U$30,MATCH("对"&amp;LEFT($C$5,2)&amp;"输出",标准坦克设计!$B$23:$U$23,0)))*(VLOOKUP($B223,INDIRECT($B$5&amp;"生成成长"),3))*(VLOOKUP($B$5,标准坦克设计!$B$14:$K$20,9)/30))</f>
        <v>3.1533029529645042</v>
      </c>
      <c r="DO223" s="173">
        <f ca="1">(VLOOKUP(DO$72,INDIRECT($C$5&amp;"生成成长"),2))/((VLOOKUP($B223,INDIRECT($B$5&amp;"生成成长"),4))/(VLOOKUP(DO$72,INDIRECT($C$5&amp;"生成成长"),5))*(VLOOKUP($B$5,标准坦克设计!$B$24:$U$30,MATCH("对"&amp;LEFT($C$5,2)&amp;"输出",标准坦克设计!$B$23:$U$23,0)))*(VLOOKUP($B223,INDIRECT($B$5&amp;"生成成长"),3))*(VLOOKUP($B$5,标准坦克设计!$B$14:$K$20,9)/30))</f>
        <v>3.4675737016149633</v>
      </c>
      <c r="DP223" s="173">
        <f ca="1">(VLOOKUP(DP$72,INDIRECT($C$5&amp;"生成成长"),2))/((VLOOKUP($B223,INDIRECT($B$5&amp;"生成成长"),4))/(VLOOKUP(DP$72,INDIRECT($C$5&amp;"生成成长"),5))*(VLOOKUP($B$5,标准坦克设计!$B$24:$U$30,MATCH("对"&amp;LEFT($C$5,2)&amp;"输出",标准坦克设计!$B$23:$U$23,0)))*(VLOOKUP($B223,INDIRECT($B$5&amp;"生成成长"),3))*(VLOOKUP($B$5,标准坦克设计!$B$14:$K$20,9)/30))</f>
        <v>3.7967702378002706</v>
      </c>
      <c r="DQ223" s="173">
        <f ca="1">(VLOOKUP(DQ$72,INDIRECT($C$5&amp;"生成成长"),2))/((VLOOKUP($B223,INDIRECT($B$5&amp;"生成成长"),4))/(VLOOKUP(DQ$72,INDIRECT($C$5&amp;"生成成长"),5))*(VLOOKUP($B$5,标准坦克设计!$B$24:$U$30,MATCH("对"&amp;LEFT($C$5,2)&amp;"输出",标准坦克设计!$B$23:$U$23,0)))*(VLOOKUP($B223,INDIRECT($B$5&amp;"生成成长"),3))*(VLOOKUP($B$5,标准坦克设计!$B$14:$K$20,9)/30))</f>
        <v>4.1408925615204302</v>
      </c>
      <c r="DR223" s="173">
        <f ca="1">(VLOOKUP(DR$72,INDIRECT($C$5&amp;"生成成长"),2))/((VLOOKUP($B223,INDIRECT($B$5&amp;"生成成长"),4))/(VLOOKUP(DR$72,INDIRECT($C$5&amp;"生成成长"),5))*(VLOOKUP($B$5,标准坦克设计!$B$24:$U$30,MATCH("对"&amp;LEFT($C$5,2)&amp;"输出",标准坦克设计!$B$23:$U$23,0)))*(VLOOKUP($B223,INDIRECT($B$5&amp;"生成成长"),3))*(VLOOKUP($B$5,标准坦克设计!$B$14:$K$20,9)/30))</f>
        <v>4.4999406727754385</v>
      </c>
      <c r="DS223" s="173">
        <f ca="1">(VLOOKUP(DS$72,INDIRECT($C$5&amp;"生成成长"),2))/((VLOOKUP($B223,INDIRECT($B$5&amp;"生成成长"),4))/(VLOOKUP(DS$72,INDIRECT($C$5&amp;"生成成长"),5))*(VLOOKUP($B$5,标准坦克设计!$B$24:$U$30,MATCH("对"&amp;LEFT($C$5,2)&amp;"输出",标准坦克设计!$B$23:$U$23,0)))*(VLOOKUP($B223,INDIRECT($B$5&amp;"生成成长"),3))*(VLOOKUP($B$5,标准坦克设计!$B$14:$K$20,9)/30))</f>
        <v>4.8739145715652965</v>
      </c>
      <c r="DT223" s="173">
        <f ca="1">(VLOOKUP(DT$72,INDIRECT($C$5&amp;"生成成长"),2))/((VLOOKUP($B223,INDIRECT($B$5&amp;"生成成长"),4))/(VLOOKUP(DT$72,INDIRECT($C$5&amp;"生成成长"),5))*(VLOOKUP($B$5,标准坦克设计!$B$24:$U$30,MATCH("对"&amp;LEFT($C$5,2)&amp;"输出",标准坦克设计!$B$23:$U$23,0)))*(VLOOKUP($B223,INDIRECT($B$5&amp;"生成成长"),3))*(VLOOKUP($B$5,标准坦克设计!$B$14:$K$20,9)/30))</f>
        <v>5.3512633692076372</v>
      </c>
      <c r="DU223" s="173">
        <f ca="1">(VLOOKUP(DU$72,INDIRECT($C$5&amp;"生成成长"),2))/((VLOOKUP($B223,INDIRECT($B$5&amp;"生成成长"),4))/(VLOOKUP(DU$72,INDIRECT($C$5&amp;"生成成长"),5))*(VLOOKUP($B$5,标准坦克设计!$B$24:$U$30,MATCH("对"&amp;LEFT($C$5,2)&amp;"输出",标准坦克设计!$B$23:$U$23,0)))*(VLOOKUP($B223,INDIRECT($B$5&amp;"生成成长"),3))*(VLOOKUP($B$5,标准坦克设计!$B$14:$K$20,9)/30))</f>
        <v>5.8509087136612967</v>
      </c>
      <c r="DV223" s="173">
        <f ca="1">(VLOOKUP(DV$72,INDIRECT($C$5&amp;"生成成长"),2))/((VLOOKUP($B223,INDIRECT($B$5&amp;"生成成长"),4))/(VLOOKUP(DV$72,INDIRECT($C$5&amp;"生成成长"),5))*(VLOOKUP($B$5,标准坦克设计!$B$24:$U$30,MATCH("对"&amp;LEFT($C$5,2)&amp;"输出",标准坦克设计!$B$23:$U$23,0)))*(VLOOKUP($B223,INDIRECT($B$5&amp;"生成成长"),3))*(VLOOKUP($B$5,标准坦克设计!$B$14:$K$20,9)/30))</f>
        <v>6.3728506049262776</v>
      </c>
      <c r="DW223" s="173">
        <f ca="1">(VLOOKUP(DW$72,INDIRECT($C$5&amp;"生成成长"),2))/((VLOOKUP($B223,INDIRECT($B$5&amp;"生成成长"),4))/(VLOOKUP(DW$72,INDIRECT($C$5&amp;"生成成长"),5))*(VLOOKUP($B$5,标准坦克设计!$B$24:$U$30,MATCH("对"&amp;LEFT($C$5,2)&amp;"输出",标准坦克设计!$B$23:$U$23,0)))*(VLOOKUP($B223,INDIRECT($B$5&amp;"生成成长"),3))*(VLOOKUP($B$5,标准坦克设计!$B$14:$K$20,9)/30))</f>
        <v>6.9170890430025764</v>
      </c>
      <c r="DX223" s="173">
        <f ca="1">(VLOOKUP(DX$72,INDIRECT($C$5&amp;"生成成长"),2))/((VLOOKUP($B223,INDIRECT($B$5&amp;"生成成长"),4))/(VLOOKUP(DX$72,INDIRECT($C$5&amp;"生成成长"),5))*(VLOOKUP($B$5,标准坦克设计!$B$24:$U$30,MATCH("对"&amp;LEFT($C$5,2)&amp;"输出",标准坦克设计!$B$23:$U$23,0)))*(VLOOKUP($B223,INDIRECT($B$5&amp;"生成成长"),3))*(VLOOKUP($B$5,标准坦克设计!$B$14:$K$20,9)/30))</f>
        <v>7.4836240278901949</v>
      </c>
      <c r="DY223" s="173">
        <f ca="1">(VLOOKUP(DY$72,INDIRECT($C$5&amp;"生成成长"),2))/((VLOOKUP($B223,INDIRECT($B$5&amp;"生成成长"),4))/(VLOOKUP(DY$72,INDIRECT($C$5&amp;"生成成长"),5))*(VLOOKUP($B$5,标准坦克设计!$B$24:$U$30,MATCH("对"&amp;LEFT($C$5,2)&amp;"输出",标准坦克设计!$B$23:$U$23,0)))*(VLOOKUP($B223,INDIRECT($B$5&amp;"生成成长"),3))*(VLOOKUP($B$5,标准坦克设计!$B$14:$K$20,9)/30))</f>
        <v>3.361158364560938</v>
      </c>
      <c r="DZ223" s="173">
        <f ca="1">(VLOOKUP(DZ$72,INDIRECT($C$5&amp;"生成成长"),2))/((VLOOKUP($B223,INDIRECT($B$5&amp;"生成成长"),4))/(VLOOKUP(DZ$72,INDIRECT($C$5&amp;"生成成长"),5))*(VLOOKUP($B$5,标准坦克设计!$B$24:$U$30,MATCH("对"&amp;LEFT($C$5,2)&amp;"输出",标准坦克设计!$B$23:$U$23,0)))*(VLOOKUP($B223,INDIRECT($B$5&amp;"生成成长"),3))*(VLOOKUP($B$5,标准坦克设计!$B$14:$K$20,9)/30))</f>
        <v>3.7223255691079316</v>
      </c>
      <c r="EA223" s="173">
        <f ca="1">(VLOOKUP(EA$72,INDIRECT($C$5&amp;"生成成长"),2))/((VLOOKUP($B223,INDIRECT($B$5&amp;"生成成长"),4))/(VLOOKUP(EA$72,INDIRECT($C$5&amp;"生成成长"),5))*(VLOOKUP($B$5,标准坦克设计!$B$24:$U$30,MATCH("对"&amp;LEFT($C$5,2)&amp;"输出",标准坦克设计!$B$23:$U$23,0)))*(VLOOKUP($B223,INDIRECT($B$5&amp;"生成成长"),3))*(VLOOKUP($B$5,标准坦克设计!$B$14:$K$20,9)/30))</f>
        <v>4.1019196718460984</v>
      </c>
      <c r="EB223" s="173">
        <f ca="1">(VLOOKUP(EB$72,INDIRECT($C$5&amp;"生成成长"),2))/((VLOOKUP($B223,INDIRECT($B$5&amp;"生成成长"),4))/(VLOOKUP(EB$72,INDIRECT($C$5&amp;"生成成长"),5))*(VLOOKUP($B$5,标准坦克设计!$B$24:$U$30,MATCH("对"&amp;LEFT($C$5,2)&amp;"输出",标准坦克设计!$B$23:$U$23,0)))*(VLOOKUP($B223,INDIRECT($B$5&amp;"生成成长"),3))*(VLOOKUP($B$5,标准坦克设计!$B$14:$K$20,9)/30))</f>
        <v>4.4999406727754385</v>
      </c>
      <c r="EC223" s="173">
        <f ca="1">(VLOOKUP(EC$72,INDIRECT($C$5&amp;"生成成长"),2))/((VLOOKUP($B223,INDIRECT($B$5&amp;"生成成长"),4))/(VLOOKUP(EC$72,INDIRECT($C$5&amp;"生成成长"),5))*(VLOOKUP($B$5,标准坦克设计!$B$24:$U$30,MATCH("对"&amp;LEFT($C$5,2)&amp;"输出",标准坦克设计!$B$23:$U$23,0)))*(VLOOKUP($B223,INDIRECT($B$5&amp;"生成成长"),3))*(VLOOKUP($B$5,标准坦克设计!$B$14:$K$20,9)/30))</f>
        <v>4.9163885718959515</v>
      </c>
      <c r="ED223" s="173">
        <f ca="1">(VLOOKUP(ED$72,INDIRECT($C$5&amp;"生成成长"),2))/((VLOOKUP($B223,INDIRECT($B$5&amp;"生成成长"),4))/(VLOOKUP(ED$72,INDIRECT($C$5&amp;"生成成长"),5))*(VLOOKUP($B$5,标准坦克设计!$B$24:$U$30,MATCH("对"&amp;LEFT($C$5,2)&amp;"输出",标准坦克设计!$B$23:$U$23,0)))*(VLOOKUP($B223,INDIRECT($B$5&amp;"生成成长"),3))*(VLOOKUP($B$5,标准坦克设计!$B$14:$K$20,9)/30))</f>
        <v>5.3512633692076372</v>
      </c>
      <c r="EE223" s="173">
        <f ca="1">(VLOOKUP(EE$72,INDIRECT($C$5&amp;"生成成长"),2))/((VLOOKUP($B223,INDIRECT($B$5&amp;"生成成长"),4))/(VLOOKUP(EE$72,INDIRECT($C$5&amp;"生成成长"),5))*(VLOOKUP($B$5,标准坦克设计!$B$24:$U$30,MATCH("对"&amp;LEFT($C$5,2)&amp;"输出",标准坦克设计!$B$23:$U$23,0)))*(VLOOKUP($B223,INDIRECT($B$5&amp;"生成成长"),3))*(VLOOKUP($B$5,标准坦克设计!$B$14:$K$20,9)/30))</f>
        <v>5.8045650647104967</v>
      </c>
      <c r="EF223" s="173">
        <f ca="1">(VLOOKUP(EF$72,INDIRECT($C$5&amp;"生成成长"),2))/((VLOOKUP($B223,INDIRECT($B$5&amp;"生成成长"),4))/(VLOOKUP(EF$72,INDIRECT($C$5&amp;"生成成长"),5))*(VLOOKUP($B$5,标准坦克设计!$B$24:$U$30,MATCH("对"&amp;LEFT($C$5,2)&amp;"输出",标准坦克设计!$B$23:$U$23,0)))*(VLOOKUP($B223,INDIRECT($B$5&amp;"生成成长"),3))*(VLOOKUP($B$5,标准坦克设计!$B$14:$K$20,9)/30))</f>
        <v>6.2762936584045299</v>
      </c>
      <c r="EG223" s="173">
        <f ca="1">(VLOOKUP(EG$72,INDIRECT($C$5&amp;"生成成长"),2))/((VLOOKUP($B223,INDIRECT($B$5&amp;"生成成长"),4))/(VLOOKUP(EG$72,INDIRECT($C$5&amp;"生成成长"),5))*(VLOOKUP($B$5,标准坦克设计!$B$24:$U$30,MATCH("对"&amp;LEFT($C$5,2)&amp;"输出",标准坦克设计!$B$23:$U$23,0)))*(VLOOKUP($B223,INDIRECT($B$5&amp;"生成成长"),3))*(VLOOKUP($B$5,标准坦克设计!$B$14:$K$20,9)/30))</f>
        <v>6.766449150289735</v>
      </c>
      <c r="EH223" s="173">
        <f ca="1">(VLOOKUP(EH$72,INDIRECT($C$5&amp;"生成成长"),2))/((VLOOKUP($B223,INDIRECT($B$5&amp;"生成成长"),4))/(VLOOKUP(EH$72,INDIRECT($C$5&amp;"生成成长"),5))*(VLOOKUP($B$5,标准坦克设计!$B$24:$U$30,MATCH("对"&amp;LEFT($C$5,2)&amp;"输出",标准坦克设计!$B$23:$U$23,0)))*(VLOOKUP($B223,INDIRECT($B$5&amp;"生成成长"),3))*(VLOOKUP($B$5,标准坦克设计!$B$14:$K$20,9)/30))</f>
        <v>7.275031540366113</v>
      </c>
      <c r="EI223" s="173">
        <f ca="1">(VLOOKUP(EI$72,INDIRECT($C$5&amp;"生成成长"),2))/((VLOOKUP($B223,INDIRECT($B$5&amp;"生成成长"),4))/(VLOOKUP(EI$72,INDIRECT($C$5&amp;"生成成长"),5))*(VLOOKUP($B$5,标准坦克设计!$B$24:$U$30,MATCH("对"&amp;LEFT($C$5,2)&amp;"输出",标准坦克设计!$B$23:$U$23,0)))*(VLOOKUP($B223,INDIRECT($B$5&amp;"生成成长"),3))*(VLOOKUP($B$5,标准坦克设计!$B$14:$K$20,9)/30))</f>
        <v>7.8020408286336647</v>
      </c>
      <c r="EJ223" s="173">
        <f ca="1">(VLOOKUP(EJ$72,INDIRECT($C$5&amp;"生成成长"),2))/((VLOOKUP($B223,INDIRECT($B$5&amp;"生成成长"),4))/(VLOOKUP(EJ$72,INDIRECT($C$5&amp;"生成成长"),5))*(VLOOKUP($B$5,标准坦克设计!$B$24:$U$30,MATCH("对"&amp;LEFT($C$5,2)&amp;"输出",标准坦克设计!$B$23:$U$23,0)))*(VLOOKUP($B223,INDIRECT($B$5&amp;"生成成长"),3))*(VLOOKUP($B$5,标准坦克设计!$B$14:$K$20,9)/30))</f>
        <v>8.3474770150923909</v>
      </c>
      <c r="EK223" s="173">
        <f ca="1">(VLOOKUP(EK$72,INDIRECT($C$5&amp;"生成成长"),2))/((VLOOKUP($B223,INDIRECT($B$5&amp;"生成成长"),4))/(VLOOKUP(EK$72,INDIRECT($C$5&amp;"生成成长"),5))*(VLOOKUP($B$5,标准坦克设计!$B$24:$U$30,MATCH("对"&amp;LEFT($C$5,2)&amp;"输出",标准坦克设计!$B$23:$U$23,0)))*(VLOOKUP($B223,INDIRECT($B$5&amp;"生成成长"),3))*(VLOOKUP($B$5,标准坦克设计!$B$14:$K$20,9)/30))</f>
        <v>9.0263239444552124</v>
      </c>
      <c r="EL223" s="173">
        <f ca="1">(VLOOKUP(EL$72,INDIRECT($C$5&amp;"生成成长"),2))/((VLOOKUP($B223,INDIRECT($B$5&amp;"生成成长"),4))/(VLOOKUP(EL$72,INDIRECT($C$5&amp;"生成成长"),5))*(VLOOKUP($B$5,标准坦克设计!$B$24:$U$30,MATCH("对"&amp;LEFT($C$5,2)&amp;"输出",标准坦克设计!$B$23:$U$23,0)))*(VLOOKUP($B223,INDIRECT($B$5&amp;"生成成长"),3))*(VLOOKUP($B$5,标准坦克设计!$B$14:$K$20,9)/30))</f>
        <v>9.7317056072133195</v>
      </c>
      <c r="EM223" s="173">
        <f ca="1">(VLOOKUP(EM$72,INDIRECT($C$5&amp;"生成成长"),2))/((VLOOKUP($B223,INDIRECT($B$5&amp;"生成成长"),4))/(VLOOKUP(EM$72,INDIRECT($C$5&amp;"生成成长"),5))*(VLOOKUP($B$5,标准坦克设计!$B$24:$U$30,MATCH("对"&amp;LEFT($C$5,2)&amp;"输出",标准坦克设计!$B$23:$U$23,0)))*(VLOOKUP($B223,INDIRECT($B$5&amp;"生成成长"),3))*(VLOOKUP($B$5,标准坦克设计!$B$14:$K$20,9)/30))</f>
        <v>10.463622003366714</v>
      </c>
      <c r="EN223" s="173">
        <f ca="1">(VLOOKUP(EN$72,INDIRECT($C$5&amp;"生成成长"),2))/((VLOOKUP($B223,INDIRECT($B$5&amp;"生成成长"),4))/(VLOOKUP(EN$72,INDIRECT($C$5&amp;"生成成长"),5))*(VLOOKUP($B$5,标准坦克设计!$B$24:$U$30,MATCH("对"&amp;LEFT($C$5,2)&amp;"输出",标准坦克设计!$B$23:$U$23,0)))*(VLOOKUP($B223,INDIRECT($B$5&amp;"生成成长"),3))*(VLOOKUP($B$5,标准坦克设计!$B$14:$K$20,9)/30))</f>
        <v>11.222073132915401</v>
      </c>
      <c r="EO223" s="173">
        <f ca="1">(VLOOKUP(EO$72,INDIRECT($C$5&amp;"生成成长"),2))/((VLOOKUP($B223,INDIRECT($B$5&amp;"生成成长"),4))/(VLOOKUP(EO$72,INDIRECT($C$5&amp;"生成成长"),5))*(VLOOKUP($B$5,标准坦克设计!$B$24:$U$30,MATCH("对"&amp;LEFT($C$5,2)&amp;"输出",标准坦克设计!$B$23:$U$23,0)))*(VLOOKUP($B223,INDIRECT($B$5&amp;"生成成长"),3))*(VLOOKUP($B$5,标准坦克设计!$B$14:$K$20,9)/30))</f>
        <v>12.007058995859376</v>
      </c>
      <c r="EP223" s="173">
        <f ca="1">(VLOOKUP(EP$72,INDIRECT($C$5&amp;"生成成长"),2))/((VLOOKUP($B223,INDIRECT($B$5&amp;"生成成长"),4))/(VLOOKUP(EP$72,INDIRECT($C$5&amp;"生成成长"),5))*(VLOOKUP($B$5,标准坦克设计!$B$24:$U$30,MATCH("对"&amp;LEFT($C$5,2)&amp;"输出",标准坦克设计!$B$23:$U$23,0)))*(VLOOKUP($B223,INDIRECT($B$5&amp;"生成成长"),3))*(VLOOKUP($B$5,标准坦克设计!$B$14:$K$20,9)/30))</f>
        <v>12.818579592198644</v>
      </c>
      <c r="EQ223" s="173">
        <f ca="1">(VLOOKUP(EQ$72,INDIRECT($C$5&amp;"生成成长"),2))/((VLOOKUP($B223,INDIRECT($B$5&amp;"生成成长"),4))/(VLOOKUP(EQ$72,INDIRECT($C$5&amp;"生成成长"),5))*(VLOOKUP($B$5,标准坦克设计!$B$24:$U$30,MATCH("对"&amp;LEFT($C$5,2)&amp;"输出",标准坦克设计!$B$23:$U$23,0)))*(VLOOKUP($B223,INDIRECT($B$5&amp;"生成成长"),3))*(VLOOKUP($B$5,标准坦克设计!$B$14:$K$20,9)/30))</f>
        <v>5.6666397317495658</v>
      </c>
      <c r="ER223" s="173">
        <f ca="1">(VLOOKUP(ER$72,INDIRECT($C$5&amp;"生成成长"),2))/((VLOOKUP($B223,INDIRECT($B$5&amp;"生成成长"),4))/(VLOOKUP(ER$72,INDIRECT($C$5&amp;"生成成长"),5))*(VLOOKUP($B$5,标准坦克设计!$B$24:$U$30,MATCH("对"&amp;LEFT($C$5,2)&amp;"输出",标准坦克设计!$B$23:$U$23,0)))*(VLOOKUP($B223,INDIRECT($B$5&amp;"生成成长"),3))*(VLOOKUP($B$5,标准坦克设计!$B$14:$K$20,9)/30))</f>
        <v>6.1804737878104286</v>
      </c>
      <c r="ES223" s="173">
        <f ca="1">(VLOOKUP(ES$72,INDIRECT($C$5&amp;"生成成长"),2))/((VLOOKUP($B223,INDIRECT($B$5&amp;"生成成长"),4))/(VLOOKUP(ES$72,INDIRECT($C$5&amp;"生成成长"),5))*(VLOOKUP($B$5,标准坦克设计!$B$24:$U$30,MATCH("对"&amp;LEFT($C$5,2)&amp;"输出",标准坦克设计!$B$23:$U$23,0)))*(VLOOKUP($B223,INDIRECT($B$5&amp;"生成成长"),3))*(VLOOKUP($B$5,标准坦克设计!$B$14:$K$20,9)/30))</f>
        <v>6.7166043906826127</v>
      </c>
      <c r="ET223" s="173">
        <f ca="1">(VLOOKUP(ET$72,INDIRECT($C$5&amp;"生成成长"),2))/((VLOOKUP($B223,INDIRECT($B$5&amp;"生成成长"),4))/(VLOOKUP(ET$72,INDIRECT($C$5&amp;"生成成长"),5))*(VLOOKUP($B$5,标准坦克设计!$B$24:$U$30,MATCH("对"&amp;LEFT($C$5,2)&amp;"输出",标准坦克设计!$B$23:$U$23,0)))*(VLOOKUP($B223,INDIRECT($B$5&amp;"生成成长"),3))*(VLOOKUP($B$5,标准坦克设计!$B$14:$K$20,9)/30))</f>
        <v>7.275031540366113</v>
      </c>
      <c r="EU223" s="173">
        <f ca="1">(VLOOKUP(EU$72,INDIRECT($C$5&amp;"生成成长"),2))/((VLOOKUP($B223,INDIRECT($B$5&amp;"生成成长"),4))/(VLOOKUP(EU$72,INDIRECT($C$5&amp;"生成成长"),5))*(VLOOKUP($B$5,标准坦克设计!$B$24:$U$30,MATCH("对"&amp;LEFT($C$5,2)&amp;"输出",标准坦克设计!$B$23:$U$23,0)))*(VLOOKUP($B223,INDIRECT($B$5&amp;"生成成长"),3))*(VLOOKUP($B$5,标准坦克设计!$B$14:$K$20,9)/30))</f>
        <v>7.8557552368609356</v>
      </c>
      <c r="EV223" s="173">
        <f ca="1">(VLOOKUP(EV$72,INDIRECT($C$5&amp;"生成成长"),2))/((VLOOKUP($B223,INDIRECT($B$5&amp;"生成成长"),4))/(VLOOKUP(EV$72,INDIRECT($C$5&amp;"生成成长"),5))*(VLOOKUP($B$5,标准坦克设计!$B$24:$U$30,MATCH("对"&amp;LEFT($C$5,2)&amp;"输出",标准坦克设计!$B$23:$U$23,0)))*(VLOOKUP($B223,INDIRECT($B$5&amp;"生成成长"),3))*(VLOOKUP($B$5,标准坦克设计!$B$14:$K$20,9)/30))</f>
        <v>8.4587754801670769</v>
      </c>
      <c r="EW223" s="173">
        <f ca="1">(VLOOKUP(EW$72,INDIRECT($C$5&amp;"生成成长"),2))/((VLOOKUP($B223,INDIRECT($B$5&amp;"生成成长"),4))/(VLOOKUP(EW$72,INDIRECT($C$5&amp;"生成成长"),5))*(VLOOKUP($B$5,标准坦克设计!$B$24:$U$30,MATCH("对"&amp;LEFT($C$5,2)&amp;"输出",标准坦克设计!$B$23:$U$23,0)))*(VLOOKUP($B223,INDIRECT($B$5&amp;"生成成长"),3))*(VLOOKUP($B$5,标准坦克设计!$B$14:$K$20,9)/30))</f>
        <v>9.0840922702845379</v>
      </c>
      <c r="EX223" s="173">
        <f ca="1">(VLOOKUP(EX$72,INDIRECT($C$5&amp;"生成成长"),2))/((VLOOKUP($B223,INDIRECT($B$5&amp;"生成成长"),4))/(VLOOKUP(EX$72,INDIRECT($C$5&amp;"生成成长"),5))*(VLOOKUP($B$5,标准坦克设计!$B$24:$U$30,MATCH("对"&amp;LEFT($C$5,2)&amp;"输出",标准坦克设计!$B$23:$U$23,0)))*(VLOOKUP($B223,INDIRECT($B$5&amp;"生成成长"),3))*(VLOOKUP($B$5,标准坦克设计!$B$14:$K$20,9)/30))</f>
        <v>9.7317056072133195</v>
      </c>
      <c r="EY223" s="173">
        <f ca="1">(VLOOKUP(EY$72,INDIRECT($C$5&amp;"生成成长"),2))/((VLOOKUP($B223,INDIRECT($B$5&amp;"生成成长"),4))/(VLOOKUP(EY$72,INDIRECT($C$5&amp;"生成成长"),5))*(VLOOKUP($B$5,标准坦克设计!$B$24:$U$30,MATCH("对"&amp;LEFT($C$5,2)&amp;"输出",标准坦克设计!$B$23:$U$23,0)))*(VLOOKUP($B223,INDIRECT($B$5&amp;"生成成长"),3))*(VLOOKUP($B$5,标准坦克设计!$B$14:$K$20,9)/30))</f>
        <v>10.401615490953416</v>
      </c>
      <c r="EZ223" s="173">
        <f ca="1">(VLOOKUP(EZ$72,INDIRECT($C$5&amp;"生成成长"),2))/((VLOOKUP($B223,INDIRECT($B$5&amp;"生成成长"),4))/(VLOOKUP(EZ$72,INDIRECT($C$5&amp;"生成成长"),5))*(VLOOKUP($B$5,标准坦克设计!$B$24:$U$30,MATCH("对"&amp;LEFT($C$5,2)&amp;"输出",标准坦克设计!$B$23:$U$23,0)))*(VLOOKUP($B223,INDIRECT($B$5&amp;"生成成长"),3))*(VLOOKUP($B$5,标准坦克设计!$B$14:$K$20,9)/30))</f>
        <v>11.093821921504839</v>
      </c>
      <c r="FA223" s="173">
        <f ca="1">(VLOOKUP(FA$72,INDIRECT($C$5&amp;"生成成长"),2))/((VLOOKUP($B223,INDIRECT($B$5&amp;"生成成长"),4))/(VLOOKUP(FA$72,INDIRECT($C$5&amp;"生成成长"),5))*(VLOOKUP($B$5,标准坦克设计!$B$24:$U$30,MATCH("对"&amp;LEFT($C$5,2)&amp;"输出",标准坦克设计!$B$23:$U$23,0)))*(VLOOKUP($B223,INDIRECT($B$5&amp;"生成成长"),3))*(VLOOKUP($B$5,标准坦克设计!$B$14:$K$20,9)/30))</f>
        <v>11.808324898867577</v>
      </c>
      <c r="FB223" s="173">
        <f ca="1">(VLOOKUP(FB$72,INDIRECT($C$5&amp;"生成成长"),2))/((VLOOKUP($B223,INDIRECT($B$5&amp;"生成成长"),4))/(VLOOKUP(FB$72,INDIRECT($C$5&amp;"生成成长"),5))*(VLOOKUP($B$5,标准坦克设计!$B$24:$U$30,MATCH("对"&amp;LEFT($C$5,2)&amp;"输出",标准坦克设计!$B$23:$U$23,0)))*(VLOOKUP($B223,INDIRECT($B$5&amp;"生成成长"),3))*(VLOOKUP($B$5,标准坦克设计!$B$14:$K$20,9)/30))</f>
        <v>12.545124423041635</v>
      </c>
      <c r="FC223" s="173">
        <f ca="1">(VLOOKUP(FC$72,INDIRECT($C$5&amp;"生成成长"),2))/((VLOOKUP($B223,INDIRECT($B$5&amp;"生成成长"),4))/(VLOOKUP(FC$72,INDIRECT($C$5&amp;"生成成长"),5))*(VLOOKUP($B$5,标准坦克设计!$B$24:$U$30,MATCH("对"&amp;LEFT($C$5,2)&amp;"输出",标准坦克设计!$B$23:$U$23,0)))*(VLOOKUP($B223,INDIRECT($B$5&amp;"生成成长"),3))*(VLOOKUP($B$5,标准坦克设计!$B$14:$K$20,9)/30))</f>
        <v>13.304220494027012</v>
      </c>
      <c r="FD223" s="173">
        <f ca="1">(VLOOKUP(FD$72,INDIRECT($C$5&amp;"生成成长"),2))/((VLOOKUP($B223,INDIRECT($B$5&amp;"生成成长"),4))/(VLOOKUP(FD$72,INDIRECT($C$5&amp;"生成成长"),5))*(VLOOKUP($B$5,标准坦克设计!$B$24:$U$30,MATCH("对"&amp;LEFT($C$5,2)&amp;"输出",标准坦克设计!$B$23:$U$23,0)))*(VLOOKUP($B223,INDIRECT($B$5&amp;"生成成长"),3))*(VLOOKUP($B$5,标准坦克设计!$B$14:$K$20,9)/30))</f>
        <v>14.085613111823708</v>
      </c>
      <c r="FE223" s="173">
        <f ca="1">(VLOOKUP(FE$72,INDIRECT($C$5&amp;"生成成长"),2))/((VLOOKUP($B223,INDIRECT($B$5&amp;"生成成长"),4))/(VLOOKUP(FE$72,INDIRECT($C$5&amp;"生成成长"),5))*(VLOOKUP($B$5,标准坦克设计!$B$24:$U$30,MATCH("对"&amp;LEFT($C$5,2)&amp;"输出",标准坦克设计!$B$23:$U$23,0)))*(VLOOKUP($B223,INDIRECT($B$5&amp;"生成成长"),3))*(VLOOKUP($B$5,标准坦克设计!$B$14:$K$20,9)/30))</f>
        <v>15.037823075852581</v>
      </c>
      <c r="FF223" s="173">
        <f ca="1">(VLOOKUP(FF$72,INDIRECT($C$5&amp;"生成成长"),2))/((VLOOKUP($B223,INDIRECT($B$5&amp;"生成成长"),4))/(VLOOKUP(FF$72,INDIRECT($C$5&amp;"生成成长"),5))*(VLOOKUP($B$5,标准坦克设计!$B$24:$U$30,MATCH("对"&amp;LEFT($C$5,2)&amp;"输出",标准坦克设计!$B$23:$U$23,0)))*(VLOOKUP($B223,INDIRECT($B$5&amp;"生成成长"),3))*(VLOOKUP($B$5,标准坦克设计!$B$14:$K$20,9)/30))</f>
        <v>16.021174497824539</v>
      </c>
      <c r="FG223" s="173">
        <f ca="1">(VLOOKUP(FG$72,INDIRECT($C$5&amp;"生成成长"),2))/((VLOOKUP($B223,INDIRECT($B$5&amp;"生成成长"),4))/(VLOOKUP(FG$72,INDIRECT($C$5&amp;"生成成长"),5))*(VLOOKUP($B$5,标准坦克设计!$B$24:$U$30,MATCH("对"&amp;LEFT($C$5,2)&amp;"输出",标准坦克设计!$B$23:$U$23,0)))*(VLOOKUP($B223,INDIRECT($B$5&amp;"生成成长"),3))*(VLOOKUP($B$5,标准坦克设计!$B$14:$K$20,9)/30))</f>
        <v>17.035667377739571</v>
      </c>
      <c r="FH223" s="173">
        <f ca="1">(VLOOKUP(FH$72,INDIRECT($C$5&amp;"生成成长"),2))/((VLOOKUP($B223,INDIRECT($B$5&amp;"生成成长"),4))/(VLOOKUP(FH$72,INDIRECT($C$5&amp;"生成成长"),5))*(VLOOKUP($B$5,标准坦克设计!$B$24:$U$30,MATCH("对"&amp;LEFT($C$5,2)&amp;"输出",标准坦克设计!$B$23:$U$23,0)))*(VLOOKUP($B223,INDIRECT($B$5&amp;"生成成长"),3))*(VLOOKUP($B$5,标准坦克设计!$B$14:$K$20,9)/30))</f>
        <v>18.081301715597697</v>
      </c>
      <c r="FI223" s="173">
        <f ca="1">(VLOOKUP(FI$72,INDIRECT($C$5&amp;"生成成长"),2))/((VLOOKUP($B223,INDIRECT($B$5&amp;"生成成长"),4))/(VLOOKUP(FI$72,INDIRECT($C$5&amp;"生成成长"),5))*(VLOOKUP($B$5,标准坦克设计!$B$24:$U$30,MATCH("对"&amp;LEFT($C$5,2)&amp;"输出",标准坦克设计!$B$23:$U$23,0)))*(VLOOKUP($B223,INDIRECT($B$5&amp;"生成成长"),3))*(VLOOKUP($B$5,标准坦克设计!$B$14:$K$20,9)/30))</f>
        <v>19.158077511398897</v>
      </c>
      <c r="FJ223" s="173">
        <f ca="1">(VLOOKUP(FJ$72,INDIRECT($C$5&amp;"生成成长"),2))/((VLOOKUP($B223,INDIRECT($B$5&amp;"生成成长"),4))/(VLOOKUP(FJ$72,INDIRECT($C$5&amp;"生成成长"),5))*(VLOOKUP($B$5,标准坦克设计!$B$24:$U$30,MATCH("对"&amp;LEFT($C$5,2)&amp;"输出",标准坦克设计!$B$23:$U$23,0)))*(VLOOKUP($B223,INDIRECT($B$5&amp;"生成成长"),3))*(VLOOKUP($B$5,标准坦克设计!$B$14:$K$20,9)/30))</f>
        <v>20.265994765143184</v>
      </c>
      <c r="FK223" s="173">
        <f ca="1">(VLOOKUP(FK$72,INDIRECT($C$5&amp;"生成成长"),2))/((VLOOKUP($B223,INDIRECT($B$5&amp;"生成成长"),4))/(VLOOKUP(FK$72,INDIRECT($C$5&amp;"生成成长"),5))*(VLOOKUP($B$5,标准坦克设计!$B$24:$U$30,MATCH("对"&amp;LEFT($C$5,2)&amp;"输出",标准坦克设计!$B$23:$U$23,0)))*(VLOOKUP($B223,INDIRECT($B$5&amp;"生成成长"),3))*(VLOOKUP($B$5,标准坦克设计!$B$14:$K$20,9)/30))</f>
        <v>21.405053476830549</v>
      </c>
    </row>
    <row r="224" spans="1:167" x14ac:dyDescent="0.15">
      <c r="A224" s="171" t="str">
        <f t="shared" si="13"/>
        <v>T5高品质8级</v>
      </c>
      <c r="B224" s="172">
        <v>30508</v>
      </c>
      <c r="C224" s="173">
        <f ca="1">(VLOOKUP(C$72,INDIRECT($C$5&amp;"生成成长"),2))/((VLOOKUP($B224,INDIRECT($B$5&amp;"生成成长"),4))/(VLOOKUP(C$72,INDIRECT($C$5&amp;"生成成长"),5))*(VLOOKUP($B$5,标准坦克设计!$B$24:$U$30,MATCH("对"&amp;LEFT($C$5,2)&amp;"输出",标准坦克设计!$B$23:$U$23,0)))*(VLOOKUP($B224,INDIRECT($B$5&amp;"生成成长"),3))*(VLOOKUP($B$5,标准坦克设计!$B$14:$K$20,9)/30))</f>
        <v>0.85922869498490761</v>
      </c>
      <c r="D224" s="173">
        <f ca="1">(VLOOKUP(D$72,INDIRECT($C$5&amp;"生成成长"),2))/((VLOOKUP($B224,INDIRECT($B$5&amp;"生成成长"),4))/(VLOOKUP(D$72,INDIRECT($C$5&amp;"生成成长"),5))*(VLOOKUP($B$5,标准坦克设计!$B$24:$U$30,MATCH("对"&amp;LEFT($C$5,2)&amp;"输出",标准坦克设计!$B$23:$U$23,0)))*(VLOOKUP($B224,INDIRECT($B$5&amp;"生成成长"),3))*(VLOOKUP($B$5,标准坦克设计!$B$14:$K$20,9)/30))</f>
        <v>0.96542936168504234</v>
      </c>
      <c r="E224" s="173">
        <f ca="1">(VLOOKUP(E$72,INDIRECT($C$5&amp;"生成成长"),2))/((VLOOKUP($B224,INDIRECT($B$5&amp;"生成成长"),4))/(VLOOKUP(E$72,INDIRECT($C$5&amp;"生成成长"),5))*(VLOOKUP($B$5,标准坦克设计!$B$24:$U$30,MATCH("对"&amp;LEFT($C$5,2)&amp;"输出",标准坦克设计!$B$23:$U$23,0)))*(VLOOKUP($B224,INDIRECT($B$5&amp;"生成成长"),3))*(VLOOKUP($B$5,标准坦克设计!$B$14:$K$20,9)/30))</f>
        <v>1.0778164749890682</v>
      </c>
      <c r="F224" s="173">
        <f ca="1">(VLOOKUP(F$72,INDIRECT($C$5&amp;"生成成长"),2))/((VLOOKUP($B224,INDIRECT($B$5&amp;"生成成长"),4))/(VLOOKUP(F$72,INDIRECT($C$5&amp;"生成成长"),5))*(VLOOKUP($B$5,标准坦克设计!$B$24:$U$30,MATCH("对"&amp;LEFT($C$5,2)&amp;"输出",标准坦克设计!$B$23:$U$23,0)))*(VLOOKUP($B224,INDIRECT($B$5&amp;"生成成长"),3))*(VLOOKUP($B$5,标准坦克设计!$B$14:$K$20,9)/30))</f>
        <v>1.1963900348969854</v>
      </c>
      <c r="G224" s="173">
        <f ca="1">(VLOOKUP(G$72,INDIRECT($C$5&amp;"生成成长"),2))/((VLOOKUP($B224,INDIRECT($B$5&amp;"生成成长"),4))/(VLOOKUP(G$72,INDIRECT($C$5&amp;"生成成长"),5))*(VLOOKUP($B$5,标准坦克设计!$B$24:$U$30,MATCH("对"&amp;LEFT($C$5,2)&amp;"输出",标准坦克设计!$B$23:$U$23,0)))*(VLOOKUP($B224,INDIRECT($B$5&amp;"生成成长"),3))*(VLOOKUP($B$5,标准坦克设计!$B$14:$K$20,9)/30))</f>
        <v>1.3211500414087938</v>
      </c>
      <c r="H224" s="173">
        <f ca="1">(VLOOKUP(H$72,INDIRECT($C$5&amp;"生成成长"),2))/((VLOOKUP($B224,INDIRECT($B$5&amp;"生成成长"),4))/(VLOOKUP(H$72,INDIRECT($C$5&amp;"生成成长"),5))*(VLOOKUP($B$5,标准坦克设计!$B$24:$U$30,MATCH("对"&amp;LEFT($C$5,2)&amp;"输出",标准坦克设计!$B$23:$U$23,0)))*(VLOOKUP($B224,INDIRECT($B$5&amp;"生成成长"),3))*(VLOOKUP($B$5,标准坦克设计!$B$14:$K$20,9)/30))</f>
        <v>1.1561781319716917</v>
      </c>
      <c r="I224" s="173">
        <f ca="1">(VLOOKUP(I$72,INDIRECT($C$5&amp;"生成成长"),2))/((VLOOKUP($B224,INDIRECT($B$5&amp;"生成成长"),4))/(VLOOKUP(I$72,INDIRECT($C$5&amp;"生成成长"),5))*(VLOOKUP($B$5,标准坦克设计!$B$24:$U$30,MATCH("对"&amp;LEFT($C$5,2)&amp;"输出",标准坦克设计!$B$23:$U$23,0)))*(VLOOKUP($B224,INDIRECT($B$5&amp;"生成成长"),3))*(VLOOKUP($B$5,标准坦克设计!$B$14:$K$20,9)/30))</f>
        <v>1.3211500414087938</v>
      </c>
      <c r="J224" s="173">
        <f ca="1">(VLOOKUP(J$72,INDIRECT($C$5&amp;"生成成长"),2))/((VLOOKUP($B224,INDIRECT($B$5&amp;"生成成长"),4))/(VLOOKUP(J$72,INDIRECT($C$5&amp;"生成成长"),5))*(VLOOKUP($B$5,标准坦克设计!$B$24:$U$30,MATCH("对"&amp;LEFT($C$5,2)&amp;"输出",标准坦克设计!$B$23:$U$23,0)))*(VLOOKUP($B224,INDIRECT($B$5&amp;"生成成长"),3))*(VLOOKUP($B$5,标准坦克设计!$B$14:$K$20,9)/30))</f>
        <v>1.4971200781417033</v>
      </c>
      <c r="K224" s="173">
        <f ca="1">(VLOOKUP(K$72,INDIRECT($C$5&amp;"生成成长"),2))/((VLOOKUP($B224,INDIRECT($B$5&amp;"生成成长"),4))/(VLOOKUP(K$72,INDIRECT($C$5&amp;"生成成长"),5))*(VLOOKUP($B$5,标准坦克设计!$B$24:$U$30,MATCH("对"&amp;LEFT($C$5,2)&amp;"输出",标准坦克设计!$B$23:$U$23,0)))*(VLOOKUP($B224,INDIRECT($B$5&amp;"生成成长"),3))*(VLOOKUP($B$5,标准坦克设计!$B$14:$K$20,9)/30))</f>
        <v>1.6840882421704189</v>
      </c>
      <c r="L224" s="173">
        <f ca="1">(VLOOKUP(L$72,INDIRECT($C$5&amp;"生成成长"),2))/((VLOOKUP($B224,INDIRECT($B$5&amp;"生成成长"),4))/(VLOOKUP(L$72,INDIRECT($C$5&amp;"生成成长"),5))*(VLOOKUP($B$5,标准坦克设计!$B$24:$U$30,MATCH("对"&amp;LEFT($C$5,2)&amp;"输出",标准坦克设计!$B$23:$U$23,0)))*(VLOOKUP($B224,INDIRECT($B$5&amp;"生成成长"),3))*(VLOOKUP($B$5,标准坦克设计!$B$14:$K$20,9)/30))</f>
        <v>1.8820545334949415</v>
      </c>
      <c r="M224" s="173">
        <f ca="1">(VLOOKUP(M$72,INDIRECT($C$5&amp;"生成成长"),2))/((VLOOKUP($B224,INDIRECT($B$5&amp;"生成成长"),4))/(VLOOKUP(M$72,INDIRECT($C$5&amp;"生成成长"),5))*(VLOOKUP($B$5,标准坦克设计!$B$24:$U$30,MATCH("对"&amp;LEFT($C$5,2)&amp;"输出",标准坦克设计!$B$23:$U$23,0)))*(VLOOKUP($B224,INDIRECT($B$5&amp;"生成成长"),3))*(VLOOKUP($B$5,标准坦克设计!$B$14:$K$20,9)/30))</f>
        <v>2.0910189521152707</v>
      </c>
      <c r="N224" s="173">
        <f ca="1">(VLOOKUP(N$72,INDIRECT($C$5&amp;"生成成长"),2))/((VLOOKUP($B224,INDIRECT($B$5&amp;"生成成长"),4))/(VLOOKUP(N$72,INDIRECT($C$5&amp;"生成成长"),5))*(VLOOKUP($B$5,标准坦克设计!$B$24:$U$30,MATCH("对"&amp;LEFT($C$5,2)&amp;"输出",标准坦克设计!$B$23:$U$23,0)))*(VLOOKUP($B224,INDIRECT($B$5&amp;"生成成长"),3))*(VLOOKUP($B$5,标准坦克设计!$B$14:$K$20,9)/30))</f>
        <v>2.3109814980314076</v>
      </c>
      <c r="O224" s="173">
        <f ca="1">(VLOOKUP(O$72,INDIRECT($C$5&amp;"生成成长"),2))/((VLOOKUP($B224,INDIRECT($B$5&amp;"生成成长"),4))/(VLOOKUP(O$72,INDIRECT($C$5&amp;"生成成长"),5))*(VLOOKUP($B$5,标准坦克设计!$B$24:$U$30,MATCH("对"&amp;LEFT($C$5,2)&amp;"输出",标准坦克设计!$B$23:$U$23,0)))*(VLOOKUP($B224,INDIRECT($B$5&amp;"生成成长"),3))*(VLOOKUP($B$5,标准坦克设计!$B$14:$K$20,9)/30))</f>
        <v>1.7570367583746374</v>
      </c>
      <c r="P224" s="173">
        <f ca="1">(VLOOKUP(P$72,INDIRECT($C$5&amp;"生成成长"),2))/((VLOOKUP($B224,INDIRECT($B$5&amp;"生成成长"),4))/(VLOOKUP(P$72,INDIRECT($C$5&amp;"生成成长"),5))*(VLOOKUP($B$5,标准坦克设计!$B$24:$U$30,MATCH("对"&amp;LEFT($C$5,2)&amp;"输出",标准坦克设计!$B$23:$U$23,0)))*(VLOOKUP($B224,INDIRECT($B$5&amp;"生成成长"),3))*(VLOOKUP($B$5,标准坦克设计!$B$14:$K$20,9)/30))</f>
        <v>1.9851619768931306</v>
      </c>
      <c r="Q224" s="173">
        <f ca="1">(VLOOKUP(Q$72,INDIRECT($C$5&amp;"生成成长"),2))/((VLOOKUP($B224,INDIRECT($B$5&amp;"生成成长"),4))/(VLOOKUP(Q$72,INDIRECT($C$5&amp;"生成成长"),5))*(VLOOKUP($B$5,标准坦克设计!$B$24:$U$30,MATCH("对"&amp;LEFT($C$5,2)&amp;"输出",标准坦克设计!$B$23:$U$23,0)))*(VLOOKUP($B224,INDIRECT($B$5&amp;"生成成长"),3))*(VLOOKUP($B$5,标准坦克设计!$B$14:$K$20,9)/30))</f>
        <v>2.2272067002703788</v>
      </c>
      <c r="R224" s="173">
        <f ca="1">(VLOOKUP(R$72,INDIRECT($C$5&amp;"生成成长"),2))/((VLOOKUP($B224,INDIRECT($B$5&amp;"生成成长"),4))/(VLOOKUP(R$72,INDIRECT($C$5&amp;"生成成长"),5))*(VLOOKUP($B$5,标准坦克设计!$B$24:$U$30,MATCH("对"&amp;LEFT($C$5,2)&amp;"输出",标准坦克设计!$B$23:$U$23,0)))*(VLOOKUP($B224,INDIRECT($B$5&amp;"生成成长"),3))*(VLOOKUP($B$5,标准坦克设计!$B$14:$K$20,9)/30))</f>
        <v>2.4831709285063828</v>
      </c>
      <c r="S224" s="173">
        <f ca="1">(VLOOKUP(S$72,INDIRECT($C$5&amp;"生成成长"),2))/((VLOOKUP($B224,INDIRECT($B$5&amp;"生成成长"),4))/(VLOOKUP(S$72,INDIRECT($C$5&amp;"生成成长"),5))*(VLOOKUP($B$5,标准坦克设计!$B$24:$U$30,MATCH("对"&amp;LEFT($C$5,2)&amp;"输出",标准坦克设计!$B$23:$U$23,0)))*(VLOOKUP($B224,INDIRECT($B$5&amp;"生成成长"),3))*(VLOOKUP($B$5,标准坦克设计!$B$14:$K$20,9)/30))</f>
        <v>2.7530546616011424</v>
      </c>
      <c r="T224" s="173">
        <f ca="1">(VLOOKUP(T$72,INDIRECT($C$5&amp;"生成成长"),2))/((VLOOKUP($B224,INDIRECT($B$5&amp;"生成成长"),4))/(VLOOKUP(T$72,INDIRECT($C$5&amp;"生成成长"),5))*(VLOOKUP($B$5,标准坦克设计!$B$24:$U$30,MATCH("对"&amp;LEFT($C$5,2)&amp;"输出",标准坦克设计!$B$23:$U$23,0)))*(VLOOKUP($B224,INDIRECT($B$5&amp;"生成成长"),3))*(VLOOKUP($B$5,标准坦克设计!$B$14:$K$20,9)/30))</f>
        <v>3.0368578995546573</v>
      </c>
      <c r="U224" s="173">
        <f ca="1">(VLOOKUP(U$72,INDIRECT($C$5&amp;"生成成长"),2))/((VLOOKUP($B224,INDIRECT($B$5&amp;"生成成长"),4))/(VLOOKUP(U$72,INDIRECT($C$5&amp;"生成成长"),5))*(VLOOKUP($B$5,标准坦克设计!$B$24:$U$30,MATCH("对"&amp;LEFT($C$5,2)&amp;"输出",标准坦克设计!$B$23:$U$23,0)))*(VLOOKUP($B224,INDIRECT($B$5&amp;"生成成长"),3))*(VLOOKUP($B$5,标准坦克设计!$B$14:$K$20,9)/30))</f>
        <v>3.3345806423669284</v>
      </c>
      <c r="V224" s="173">
        <f ca="1">(VLOOKUP(V$72,INDIRECT($C$5&amp;"生成成长"),2))/((VLOOKUP($B224,INDIRECT($B$5&amp;"生成成长"),4))/(VLOOKUP(V$72,INDIRECT($C$5&amp;"生成成长"),5))*(VLOOKUP($B$5,标准坦克设计!$B$24:$U$30,MATCH("对"&amp;LEFT($C$5,2)&amp;"输出",标准坦克设计!$B$23:$U$23,0)))*(VLOOKUP($B224,INDIRECT($B$5&amp;"生成成长"),3))*(VLOOKUP($B$5,标准坦克设计!$B$14:$K$20,9)/30))</f>
        <v>3.6462228900379539</v>
      </c>
      <c r="W224" s="173">
        <f ca="1">(VLOOKUP(W$72,INDIRECT($C$5&amp;"生成成长"),2))/((VLOOKUP($B224,INDIRECT($B$5&amp;"生成成长"),4))/(VLOOKUP(W$72,INDIRECT($C$5&amp;"生成成长"),5))*(VLOOKUP($B$5,标准坦克设计!$B$24:$U$30,MATCH("对"&amp;LEFT($C$5,2)&amp;"输出",标准坦克设计!$B$23:$U$23,0)))*(VLOOKUP($B224,INDIRECT($B$5&amp;"生成成长"),3))*(VLOOKUP($B$5,标准坦克设计!$B$14:$K$20,9)/30))</f>
        <v>3.9717846425677354</v>
      </c>
      <c r="X224" s="173">
        <f ca="1">(VLOOKUP(X$72,INDIRECT($C$5&amp;"生成成长"),2))/((VLOOKUP($B224,INDIRECT($B$5&amp;"生成成长"),4))/(VLOOKUP(X$72,INDIRECT($C$5&amp;"生成成长"),5))*(VLOOKUP($B$5,标准坦克设计!$B$24:$U$30,MATCH("对"&amp;LEFT($C$5,2)&amp;"输出",标准坦克设计!$B$23:$U$23,0)))*(VLOOKUP($B224,INDIRECT($B$5&amp;"生成成长"),3))*(VLOOKUP($B$5,标准坦克设计!$B$14:$K$20,9)/30))</f>
        <v>2.8774709766349567</v>
      </c>
      <c r="Y224" s="173">
        <f ca="1">(VLOOKUP(Y$72,INDIRECT($C$5&amp;"生成成长"),2))/((VLOOKUP($B224,INDIRECT($B$5&amp;"生成成长"),4))/(VLOOKUP(Y$72,INDIRECT($C$5&amp;"生成成长"),5))*(VLOOKUP($B$5,标准坦克设计!$B$24:$U$30,MATCH("对"&amp;LEFT($C$5,2)&amp;"输出",标准坦克设计!$B$23:$U$23,0)))*(VLOOKUP($B224,INDIRECT($B$5&amp;"生成成长"),3))*(VLOOKUP($B$5,标准坦克设计!$B$14:$K$20,9)/30))</f>
        <v>3.2005409659492821</v>
      </c>
      <c r="Z224" s="173">
        <f ca="1">(VLOOKUP(Z$72,INDIRECT($C$5&amp;"生成成长"),2))/((VLOOKUP($B224,INDIRECT($B$5&amp;"生成成长"),4))/(VLOOKUP(Z$72,INDIRECT($C$5&amp;"生成成长"),5))*(VLOOKUP($B$5,标准坦克设计!$B$24:$U$30,MATCH("对"&amp;LEFT($C$5,2)&amp;"输出",标准坦克设计!$B$23:$U$23,0)))*(VLOOKUP($B224,INDIRECT($B$5&amp;"生成成长"),3))*(VLOOKUP($B$5,标准坦克设计!$B$14:$K$20,9)/30))</f>
        <v>3.5407955291633062</v>
      </c>
      <c r="AA224" s="173">
        <f ca="1">(VLOOKUP(AA$72,INDIRECT($C$5&amp;"生成成长"),2))/((VLOOKUP($B224,INDIRECT($B$5&amp;"生成成长"),4))/(VLOOKUP(AA$72,INDIRECT($C$5&amp;"生成成长"),5))*(VLOOKUP($B$5,标准坦克设计!$B$24:$U$30,MATCH("对"&amp;LEFT($C$5,2)&amp;"输出",标准坦克设计!$B$23:$U$23,0)))*(VLOOKUP($B224,INDIRECT($B$5&amp;"生成成长"),3))*(VLOOKUP($B$5,标准坦克设计!$B$14:$K$20,9)/30))</f>
        <v>3.8982346662770273</v>
      </c>
      <c r="AB224" s="173">
        <f ca="1">(VLOOKUP(AB$72,INDIRECT($C$5&amp;"生成成长"),2))/((VLOOKUP($B224,INDIRECT($B$5&amp;"生成成长"),4))/(VLOOKUP(AB$72,INDIRECT($C$5&amp;"生成成长"),5))*(VLOOKUP($B$5,标准坦克设计!$B$24:$U$30,MATCH("对"&amp;LEFT($C$5,2)&amp;"输出",标准坦克设计!$B$23:$U$23,0)))*(VLOOKUP($B224,INDIRECT($B$5&amp;"生成成长"),3))*(VLOOKUP($B$5,标准坦克设计!$B$14:$K$20,9)/30))</f>
        <v>4.2728583772904472</v>
      </c>
      <c r="AC224" s="173">
        <f ca="1">(VLOOKUP(AC$72,INDIRECT($C$5&amp;"生成成长"),2))/((VLOOKUP($B224,INDIRECT($B$5&amp;"生成成长"),4))/(VLOOKUP(AC$72,INDIRECT($C$5&amp;"生成成长"),5))*(VLOOKUP($B$5,标准坦克设计!$B$24:$U$30,MATCH("对"&amp;LEFT($C$5,2)&amp;"输出",标准坦克设计!$B$23:$U$23,0)))*(VLOOKUP($B224,INDIRECT($B$5&amp;"生成成长"),3))*(VLOOKUP($B$5,标准坦克设计!$B$14:$K$20,9)/30))</f>
        <v>4.6646666622035644</v>
      </c>
      <c r="AD224" s="173">
        <f ca="1">(VLOOKUP(AD$72,INDIRECT($C$5&amp;"生成成长"),2))/((VLOOKUP($B224,INDIRECT($B$5&amp;"生成成长"),4))/(VLOOKUP(AD$72,INDIRECT($C$5&amp;"生成成长"),5))*(VLOOKUP($B$5,标准坦克设计!$B$24:$U$30,MATCH("对"&amp;LEFT($C$5,2)&amp;"输出",标准坦克设计!$B$23:$U$23,0)))*(VLOOKUP($B224,INDIRECT($B$5&amp;"生成成长"),3))*(VLOOKUP($B$5,标准坦克设计!$B$14:$K$20,9)/30))</f>
        <v>5.0736595210163813</v>
      </c>
      <c r="AE224" s="173">
        <f ca="1">(VLOOKUP(AE$72,INDIRECT($C$5&amp;"生成成长"),2))/((VLOOKUP($B224,INDIRECT($B$5&amp;"生成成长"),4))/(VLOOKUP(AE$72,INDIRECT($C$5&amp;"生成成长"),5))*(VLOOKUP($B$5,标准坦克设计!$B$24:$U$30,MATCH("对"&amp;LEFT($C$5,2)&amp;"输出",标准坦克设计!$B$23:$U$23,0)))*(VLOOKUP($B224,INDIRECT($B$5&amp;"生成成长"),3))*(VLOOKUP($B$5,标准坦克设计!$B$14:$K$20,9)/30))</f>
        <v>5.499836953728896</v>
      </c>
      <c r="AF224" s="173">
        <f ca="1">(VLOOKUP(AF$72,INDIRECT($C$5&amp;"生成成长"),2))/((VLOOKUP($B224,INDIRECT($B$5&amp;"生成成长"),4))/(VLOOKUP(AF$72,INDIRECT($C$5&amp;"生成成长"),5))*(VLOOKUP($B$5,标准坦克设计!$B$24:$U$30,MATCH("对"&amp;LEFT($C$5,2)&amp;"输出",标准坦克设计!$B$23:$U$23,0)))*(VLOOKUP($B224,INDIRECT($B$5&amp;"生成成长"),3))*(VLOOKUP($B$5,标准坦克设计!$B$14:$K$20,9)/30))</f>
        <v>5.9431989603411068</v>
      </c>
      <c r="AG224" s="173">
        <f ca="1">(VLOOKUP(AG$72,INDIRECT($C$5&amp;"生成成长"),2))/((VLOOKUP($B224,INDIRECT($B$5&amp;"生成成长"),4))/(VLOOKUP(AG$72,INDIRECT($C$5&amp;"生成成长"),5))*(VLOOKUP($B$5,标准坦克设计!$B$24:$U$30,MATCH("对"&amp;LEFT($C$5,2)&amp;"输出",标准坦克设计!$B$23:$U$23,0)))*(VLOOKUP($B224,INDIRECT($B$5&amp;"生成成长"),3))*(VLOOKUP($B$5,标准坦克设计!$B$14:$K$20,9)/30))</f>
        <v>6.4037455408530173</v>
      </c>
      <c r="AH224" s="173">
        <f ca="1">(VLOOKUP(AH$72,INDIRECT($C$5&amp;"生成成长"),2))/((VLOOKUP($B224,INDIRECT($B$5&amp;"生成成长"),4))/(VLOOKUP(AH$72,INDIRECT($C$5&amp;"生成成长"),5))*(VLOOKUP($B$5,标准坦克设计!$B$24:$U$30,MATCH("对"&amp;LEFT($C$5,2)&amp;"输出",标准坦克设计!$B$23:$U$23,0)))*(VLOOKUP($B224,INDIRECT($B$5&amp;"生成成长"),3))*(VLOOKUP($B$5,标准坦克设计!$B$14:$K$20,9)/30))</f>
        <v>6.8814766952646274</v>
      </c>
      <c r="AI224" s="173">
        <f ca="1">(VLOOKUP(AI$72,INDIRECT($C$5&amp;"生成成长"),2))/((VLOOKUP($B224,INDIRECT($B$5&amp;"生成成长"),4))/(VLOOKUP(AI$72,INDIRECT($C$5&amp;"生成成长"),5))*(VLOOKUP($B$5,标准坦克设计!$B$24:$U$30,MATCH("对"&amp;LEFT($C$5,2)&amp;"输出",标准坦克设计!$B$23:$U$23,0)))*(VLOOKUP($B224,INDIRECT($B$5&amp;"生成成长"),3))*(VLOOKUP($B$5,标准坦克设计!$B$14:$K$20,9)/30))</f>
        <v>4.8670150198725102</v>
      </c>
      <c r="AJ224" s="173">
        <f ca="1">(VLOOKUP(AJ$72,INDIRECT($C$5&amp;"生成成长"),2))/((VLOOKUP($B224,INDIRECT($B$5&amp;"生成成长"),4))/(VLOOKUP(AJ$72,INDIRECT($C$5&amp;"生成成长"),5))*(VLOOKUP($B$5,标准坦克设计!$B$24:$U$30,MATCH("对"&amp;LEFT($C$5,2)&amp;"输出",标准坦克设计!$B$23:$U$23,0)))*(VLOOKUP($B224,INDIRECT($B$5&amp;"生成成长"),3))*(VLOOKUP($B$5,标准坦克设计!$B$14:$K$20,9)/30))</f>
        <v>5.327303831775926</v>
      </c>
      <c r="AK224" s="173">
        <f ca="1">(VLOOKUP(AK$72,INDIRECT($C$5&amp;"生成成长"),2))/((VLOOKUP($B224,INDIRECT($B$5&amp;"生成成长"),4))/(VLOOKUP(AK$72,INDIRECT($C$5&amp;"生成成长"),5))*(VLOOKUP($B$5,标准坦克设计!$B$24:$U$30,MATCH("对"&amp;LEFT($C$5,2)&amp;"输出",标准坦克设计!$B$23:$U$23,0)))*(VLOOKUP($B224,INDIRECT($B$5&amp;"生成成长"),3))*(VLOOKUP($B$5,标准坦克设计!$B$14:$K$20,9)/30))</f>
        <v>5.8083859780979754</v>
      </c>
      <c r="AL224" s="173">
        <f ca="1">(VLOOKUP(AL$72,INDIRECT($C$5&amp;"生成成长"),2))/((VLOOKUP($B224,INDIRECT($B$5&amp;"生成成长"),4))/(VLOOKUP(AL$72,INDIRECT($C$5&amp;"生成成长"),5))*(VLOOKUP($B$5,标准坦克设计!$B$24:$U$30,MATCH("对"&amp;LEFT($C$5,2)&amp;"输出",标准坦克设计!$B$23:$U$23,0)))*(VLOOKUP($B224,INDIRECT($B$5&amp;"生成成长"),3))*(VLOOKUP($B$5,标准坦克设计!$B$14:$K$20,9)/30))</f>
        <v>6.310261458838661</v>
      </c>
      <c r="AM224" s="173">
        <f ca="1">(VLOOKUP(AM$72,INDIRECT($C$5&amp;"生成成长"),2))/((VLOOKUP($B224,INDIRECT($B$5&amp;"生成成长"),4))/(VLOOKUP(AM$72,INDIRECT($C$5&amp;"生成成长"),5))*(VLOOKUP($B$5,标准坦克设计!$B$24:$U$30,MATCH("对"&amp;LEFT($C$5,2)&amp;"输出",标准坦克设计!$B$23:$U$23,0)))*(VLOOKUP($B224,INDIRECT($B$5&amp;"生成成长"),3))*(VLOOKUP($B$5,标准坦克设计!$B$14:$K$20,9)/30))</f>
        <v>6.8329302739979783</v>
      </c>
      <c r="AN224" s="173">
        <f ca="1">(VLOOKUP(AN$72,INDIRECT($C$5&amp;"生成成长"),2))/((VLOOKUP($B224,INDIRECT($B$5&amp;"生成成长"),4))/(VLOOKUP(AN$72,INDIRECT($C$5&amp;"生成成长"),5))*(VLOOKUP($B$5,标准坦克设计!$B$24:$U$30,MATCH("对"&amp;LEFT($C$5,2)&amp;"输出",标准坦克设计!$B$23:$U$23,0)))*(VLOOKUP($B224,INDIRECT($B$5&amp;"生成成长"),3))*(VLOOKUP($B$5,标准坦克设计!$B$14:$K$20,9)/30))</f>
        <v>7.3763924235759335</v>
      </c>
      <c r="AO224" s="173">
        <f ca="1">(VLOOKUP(AO$72,INDIRECT($C$5&amp;"生成成长"),2))/((VLOOKUP($B224,INDIRECT($B$5&amp;"生成成长"),4))/(VLOOKUP(AO$72,INDIRECT($C$5&amp;"生成成长"),5))*(VLOOKUP($B$5,标准坦克设计!$B$24:$U$30,MATCH("对"&amp;LEFT($C$5,2)&amp;"输出",标准坦克设计!$B$23:$U$23,0)))*(VLOOKUP($B224,INDIRECT($B$5&amp;"生成成长"),3))*(VLOOKUP($B$5,标准坦克设计!$B$14:$K$20,9)/30))</f>
        <v>7.9406479075725223</v>
      </c>
      <c r="AP224" s="173">
        <f ca="1">(VLOOKUP(AP$72,INDIRECT($C$5&amp;"生成成长"),2))/((VLOOKUP($B224,INDIRECT($B$5&amp;"生成成长"),4))/(VLOOKUP(AP$72,INDIRECT($C$5&amp;"生成成长"),5))*(VLOOKUP($B$5,标准坦克设计!$B$24:$U$30,MATCH("对"&amp;LEFT($C$5,2)&amp;"输出",标准坦克设计!$B$23:$U$23,0)))*(VLOOKUP($B224,INDIRECT($B$5&amp;"生成成长"),3))*(VLOOKUP($B$5,标准坦克设计!$B$14:$K$20,9)/30))</f>
        <v>8.5256967259877463</v>
      </c>
      <c r="AQ224" s="173">
        <f ca="1">(VLOOKUP(AQ$72,INDIRECT($C$5&amp;"生成成长"),2))/((VLOOKUP($B224,INDIRECT($B$5&amp;"生成成长"),4))/(VLOOKUP(AQ$72,INDIRECT($C$5&amp;"生成成长"),5))*(VLOOKUP($B$5,标准坦克设计!$B$24:$U$30,MATCH("对"&amp;LEFT($C$5,2)&amp;"输出",标准坦克设计!$B$23:$U$23,0)))*(VLOOKUP($B224,INDIRECT($B$5&amp;"生成成长"),3))*(VLOOKUP($B$5,标准坦克设计!$B$14:$K$20,9)/30))</f>
        <v>9.131538878821603</v>
      </c>
      <c r="AR224" s="173">
        <f ca="1">(VLOOKUP(AR$72,INDIRECT($C$5&amp;"生成成长"),2))/((VLOOKUP($B224,INDIRECT($B$5&amp;"生成成长"),4))/(VLOOKUP(AR$72,INDIRECT($C$5&amp;"生成成长"),5))*(VLOOKUP($B$5,标准坦克设计!$B$24:$U$30,MATCH("对"&amp;LEFT($C$5,2)&amp;"输出",标准坦克设计!$B$23:$U$23,0)))*(VLOOKUP($B224,INDIRECT($B$5&amp;"生成成长"),3))*(VLOOKUP($B$5,标准坦克设计!$B$14:$K$20,9)/30))</f>
        <v>9.7581743660740976</v>
      </c>
      <c r="AS224" s="173">
        <f ca="1">(VLOOKUP(AS$72,INDIRECT($C$5&amp;"生成成长"),2))/((VLOOKUP($B224,INDIRECT($B$5&amp;"生成成长"),4))/(VLOOKUP(AS$72,INDIRECT($C$5&amp;"生成成长"),5))*(VLOOKUP($B$5,标准坦克设计!$B$24:$U$30,MATCH("对"&amp;LEFT($C$5,2)&amp;"输出",标准坦克设计!$B$23:$U$23,0)))*(VLOOKUP($B224,INDIRECT($B$5&amp;"生成成长"),3))*(VLOOKUP($B$5,标准坦克设计!$B$14:$K$20,9)/30))</f>
        <v>10.405603187745227</v>
      </c>
      <c r="AT224" s="173">
        <f ca="1">(VLOOKUP(AT$72,INDIRECT($C$5&amp;"生成成长"),2))/((VLOOKUP($B224,INDIRECT($B$5&amp;"生成成长"),4))/(VLOOKUP(AT$72,INDIRECT($C$5&amp;"生成成长"),5))*(VLOOKUP($B$5,标准坦克设计!$B$24:$U$30,MATCH("对"&amp;LEFT($C$5,2)&amp;"输出",标准坦克设计!$B$23:$U$23,0)))*(VLOOKUP($B224,INDIRECT($B$5&amp;"生成成长"),3))*(VLOOKUP($B$5,标准坦克设计!$B$14:$K$20,9)/30))</f>
        <v>11.073825343834988</v>
      </c>
      <c r="AU224" s="173">
        <f ca="1">(VLOOKUP(AU$72,INDIRECT($C$5&amp;"生成成长"),2))/((VLOOKUP($B224,INDIRECT($B$5&amp;"生成成长"),4))/(VLOOKUP(AU$72,INDIRECT($C$5&amp;"生成成长"),5))*(VLOOKUP($B$5,标准坦克设计!$B$24:$U$30,MATCH("对"&amp;LEFT($C$5,2)&amp;"输出",标准坦克设计!$B$23:$U$23,0)))*(VLOOKUP($B224,INDIRECT($B$5&amp;"生成成长"),3))*(VLOOKUP($B$5,标准坦克设计!$B$14:$K$20,9)/30))</f>
        <v>11.762840834343386</v>
      </c>
      <c r="AV224" s="173">
        <f ca="1">(VLOOKUP(AV$72,INDIRECT($C$5&amp;"生成成长"),2))/((VLOOKUP($B224,INDIRECT($B$5&amp;"生成成长"),4))/(VLOOKUP(AV$72,INDIRECT($C$5&amp;"生成成长"),5))*(VLOOKUP($B$5,标准坦克设计!$B$24:$U$30,MATCH("对"&amp;LEFT($C$5,2)&amp;"输出",标准坦克设计!$B$23:$U$23,0)))*(VLOOKUP($B224,INDIRECT($B$5&amp;"生成成长"),3))*(VLOOKUP($B$5,标准坦克设计!$B$14:$K$20,9)/30))</f>
        <v>1.1963900348969854</v>
      </c>
      <c r="AW224" s="173">
        <f ca="1">(VLOOKUP(AW$72,INDIRECT($C$5&amp;"生成成长"),2))/((VLOOKUP($B224,INDIRECT($B$5&amp;"生成成长"),4))/(VLOOKUP(AW$72,INDIRECT($C$5&amp;"生成成长"),5))*(VLOOKUP($B$5,标准坦克设计!$B$24:$U$30,MATCH("对"&amp;LEFT($C$5,2)&amp;"输出",标准坦克设计!$B$23:$U$23,0)))*(VLOOKUP($B224,INDIRECT($B$5&amp;"生成成长"),3))*(VLOOKUP($B$5,标准坦克设计!$B$14:$K$20,9)/30))</f>
        <v>1.3641114761580393</v>
      </c>
      <c r="AX224" s="173">
        <f ca="1">(VLOOKUP(AX$72,INDIRECT($C$5&amp;"生成成长"),2))/((VLOOKUP($B224,INDIRECT($B$5&amp;"生成成长"),4))/(VLOOKUP(AX$72,INDIRECT($C$5&amp;"生成成长"),5))*(VLOOKUP($B$5,标准坦克设计!$B$24:$U$30,MATCH("对"&amp;LEFT($C$5,2)&amp;"输出",标准坦克设计!$B$23:$U$23,0)))*(VLOOKUP($B224,INDIRECT($B$5&amp;"生成成长"),3))*(VLOOKUP($B$5,标准坦克设计!$B$14:$K$20,9)/30))</f>
        <v>1.5428310447149001</v>
      </c>
      <c r="AY224" s="173">
        <f ca="1">(VLOOKUP(AY$72,INDIRECT($C$5&amp;"生成成长"),2))/((VLOOKUP($B224,INDIRECT($B$5&amp;"生成成长"),4))/(VLOOKUP(AY$72,INDIRECT($C$5&amp;"生成成长"),5))*(VLOOKUP($B$5,标准坦克设计!$B$24:$U$30,MATCH("对"&amp;LEFT($C$5,2)&amp;"输出",标准坦克设计!$B$23:$U$23,0)))*(VLOOKUP($B224,INDIRECT($B$5&amp;"生成成长"),3))*(VLOOKUP($B$5,标准坦克设计!$B$14:$K$20,9)/30))</f>
        <v>1.7325487405675681</v>
      </c>
      <c r="AZ224" s="173">
        <f ca="1">(VLOOKUP(AZ$72,INDIRECT($C$5&amp;"生成成长"),2))/((VLOOKUP($B224,INDIRECT($B$5&amp;"生成成长"),4))/(VLOOKUP(AZ$72,INDIRECT($C$5&amp;"生成成长"),5))*(VLOOKUP($B$5,标准坦克设计!$B$24:$U$30,MATCH("对"&amp;LEFT($C$5,2)&amp;"输出",标准坦克设计!$B$23:$U$23,0)))*(VLOOKUP($B224,INDIRECT($B$5&amp;"生成成长"),3))*(VLOOKUP($B$5,标准坦克设计!$B$14:$K$20,9)/30))</f>
        <v>1.9332645637160424</v>
      </c>
      <c r="BA224" s="173">
        <f ca="1">(VLOOKUP(BA$72,INDIRECT($C$5&amp;"生成成长"),2))/((VLOOKUP($B224,INDIRECT($B$5&amp;"生成成长"),4))/(VLOOKUP(BA$72,INDIRECT($C$5&amp;"生成成长"),5))*(VLOOKUP($B$5,标准坦克设计!$B$24:$U$30,MATCH("对"&amp;LEFT($C$5,2)&amp;"输出",标准坦克设计!$B$23:$U$23,0)))*(VLOOKUP($B224,INDIRECT($B$5&amp;"生成成长"),3))*(VLOOKUP($B$5,标准坦克设计!$B$14:$K$20,9)/30))</f>
        <v>2.1449785141603237</v>
      </c>
      <c r="BB224" s="173">
        <f ca="1">(VLOOKUP(BB$72,INDIRECT($C$5&amp;"生成成长"),2))/((VLOOKUP($B224,INDIRECT($B$5&amp;"生成成长"),4))/(VLOOKUP(BB$72,INDIRECT($C$5&amp;"生成成长"),5))*(VLOOKUP($B$5,标准坦克设计!$B$24:$U$30,MATCH("对"&amp;LEFT($C$5,2)&amp;"输出",标准坦克设计!$B$23:$U$23,0)))*(VLOOKUP($B224,INDIRECT($B$5&amp;"生成成长"),3))*(VLOOKUP($B$5,标准坦克设计!$B$14:$K$20,9)/30))</f>
        <v>2.367690591900411</v>
      </c>
      <c r="BC224" s="173">
        <f ca="1">(VLOOKUP(BC$72,INDIRECT($C$5&amp;"生成成长"),2))/((VLOOKUP($B224,INDIRECT($B$5&amp;"生成成长"),4))/(VLOOKUP(BC$72,INDIRECT($C$5&amp;"生成成长"),5))*(VLOOKUP($B$5,标准坦克设计!$B$24:$U$30,MATCH("对"&amp;LEFT($C$5,2)&amp;"输出",标准坦克设计!$B$23:$U$23,0)))*(VLOOKUP($B224,INDIRECT($B$5&amp;"生成成长"),3))*(VLOOKUP($B$5,标准坦克设计!$B$14:$K$20,9)/30))</f>
        <v>2.6014007969363067</v>
      </c>
      <c r="BD224" s="173">
        <f ca="1">(VLOOKUP(BD$72,INDIRECT($C$5&amp;"生成成长"),2))/((VLOOKUP($B224,INDIRECT($B$5&amp;"生成成长"),4))/(VLOOKUP(BD$72,INDIRECT($C$5&amp;"生成成长"),5))*(VLOOKUP($B$5,标准坦克设计!$B$24:$U$30,MATCH("对"&amp;LEFT($C$5,2)&amp;"输出",标准坦克设计!$B$23:$U$23,0)))*(VLOOKUP($B224,INDIRECT($B$5&amp;"生成成长"),3))*(VLOOKUP($B$5,标准坦克设计!$B$14:$K$20,9)/30))</f>
        <v>2.8774709766349567</v>
      </c>
      <c r="BE224" s="173">
        <f ca="1">(VLOOKUP(BE$72,INDIRECT($C$5&amp;"生成成长"),2))/((VLOOKUP($B224,INDIRECT($B$5&amp;"生成成长"),4))/(VLOOKUP(BE$72,INDIRECT($C$5&amp;"生成成长"),5))*(VLOOKUP($B$5,标准坦克设计!$B$24:$U$30,MATCH("对"&amp;LEFT($C$5,2)&amp;"输出",标准坦克设计!$B$23:$U$23,0)))*(VLOOKUP($B224,INDIRECT($B$5&amp;"生成成长"),3))*(VLOOKUP($B$5,标准坦克设计!$B$14:$K$20,9)/30))</f>
        <v>3.1674606611923641</v>
      </c>
      <c r="BF224" s="173">
        <f ca="1">(VLOOKUP(BF$72,INDIRECT($C$5&amp;"生成成长"),2))/((VLOOKUP($B224,INDIRECT($B$5&amp;"生成成长"),4))/(VLOOKUP(BF$72,INDIRECT($C$5&amp;"生成成长"),5))*(VLOOKUP($B$5,标准坦克设计!$B$24:$U$30,MATCH("对"&amp;LEFT($C$5,2)&amp;"输出",标准坦克设计!$B$23:$U$23,0)))*(VLOOKUP($B224,INDIRECT($B$5&amp;"生成成长"),3))*(VLOOKUP($B$5,标准坦克设计!$B$14:$K$20,9)/30))</f>
        <v>3.4713698506085255</v>
      </c>
      <c r="BG224" s="173">
        <f ca="1">(VLOOKUP(BG$72,INDIRECT($C$5&amp;"生成成长"),2))/((VLOOKUP($B224,INDIRECT($B$5&amp;"生成成长"),4))/(VLOOKUP(BG$72,INDIRECT($C$5&amp;"生成成长"),5))*(VLOOKUP($B$5,标准坦克设计!$B$24:$U$30,MATCH("对"&amp;LEFT($C$5,2)&amp;"输出",标准坦克设计!$B$23:$U$23,0)))*(VLOOKUP($B224,INDIRECT($B$5&amp;"生成成长"),3))*(VLOOKUP($B$5,标准坦克设计!$B$14:$K$20,9)/30))</f>
        <v>3.7891985448834427</v>
      </c>
      <c r="BH224" s="173">
        <f ca="1">(VLOOKUP(BH$72,INDIRECT($C$5&amp;"生成成长"),2))/((VLOOKUP($B224,INDIRECT($B$5&amp;"生成成长"),4))/(VLOOKUP(BH$72,INDIRECT($C$5&amp;"生成成长"),5))*(VLOOKUP($B$5,标准坦克设计!$B$24:$U$30,MATCH("对"&amp;LEFT($C$5,2)&amp;"输出",标准坦克设计!$B$23:$U$23,0)))*(VLOOKUP($B224,INDIRECT($B$5&amp;"生成成长"),3))*(VLOOKUP($B$5,标准坦克设计!$B$14:$K$20,9)/30))</f>
        <v>1.8315318862298295</v>
      </c>
      <c r="BI224" s="173">
        <f ca="1">(VLOOKUP(BI$72,INDIRECT($C$5&amp;"生成成长"),2))/((VLOOKUP($B224,INDIRECT($B$5&amp;"生成成长"),4))/(VLOOKUP(BI$72,INDIRECT($C$5&amp;"生成成长"),5))*(VLOOKUP($B$5,标准坦克设计!$B$24:$U$30,MATCH("对"&amp;LEFT($C$5,2)&amp;"输出",标准坦克设计!$B$23:$U$23,0)))*(VLOOKUP($B224,INDIRECT($B$5&amp;"生成成长"),3))*(VLOOKUP($B$5,标准坦克设计!$B$14:$K$20,9)/30))</f>
        <v>2.0642969397012405</v>
      </c>
      <c r="BJ224" s="173">
        <f ca="1">(VLOOKUP(BJ$72,INDIRECT($C$5&amp;"生成成长"),2))/((VLOOKUP($B224,INDIRECT($B$5&amp;"生成成长"),4))/(VLOOKUP(BJ$72,INDIRECT($C$5&amp;"生成成长"),5))*(VLOOKUP($B$5,标准坦克设计!$B$24:$U$30,MATCH("对"&amp;LEFT($C$5,2)&amp;"输出",标准坦克设计!$B$23:$U$23,0)))*(VLOOKUP($B224,INDIRECT($B$5&amp;"生成成长"),3))*(VLOOKUP($B$5,标准坦克设计!$B$14:$K$20,9)/30))</f>
        <v>2.3109814980314076</v>
      </c>
      <c r="BK224" s="173">
        <f ca="1">(VLOOKUP(BK$72,INDIRECT($C$5&amp;"生成成长"),2))/((VLOOKUP($B224,INDIRECT($B$5&amp;"生成成长"),4))/(VLOOKUP(BK$72,INDIRECT($C$5&amp;"生成成长"),5))*(VLOOKUP($B$5,标准坦克设计!$B$24:$U$30,MATCH("对"&amp;LEFT($C$5,2)&amp;"输出",标准坦克设计!$B$23:$U$23,0)))*(VLOOKUP($B224,INDIRECT($B$5&amp;"生成成长"),3))*(VLOOKUP($B$5,标准坦克设计!$B$14:$K$20,9)/30))</f>
        <v>2.57158556122033</v>
      </c>
      <c r="BL224" s="173">
        <f ca="1">(VLOOKUP(BL$72,INDIRECT($C$5&amp;"生成成长"),2))/((VLOOKUP($B224,INDIRECT($B$5&amp;"生成成长"),4))/(VLOOKUP(BL$72,INDIRECT($C$5&amp;"生成成长"),5))*(VLOOKUP($B$5,标准坦克设计!$B$24:$U$30,MATCH("对"&amp;LEFT($C$5,2)&amp;"输出",标准坦克设计!$B$23:$U$23,0)))*(VLOOKUP($B224,INDIRECT($B$5&amp;"生成成长"),3))*(VLOOKUP($B$5,标准坦克设计!$B$14:$K$20,9)/30))</f>
        <v>2.8461091292680081</v>
      </c>
      <c r="BM224" s="173">
        <f ca="1">(VLOOKUP(BM$72,INDIRECT($C$5&amp;"生成成长"),2))/((VLOOKUP($B224,INDIRECT($B$5&amp;"生成成长"),4))/(VLOOKUP(BM$72,INDIRECT($C$5&amp;"生成成长"),5))*(VLOOKUP($B$5,标准坦克设计!$B$24:$U$30,MATCH("对"&amp;LEFT($C$5,2)&amp;"输出",标准坦克设计!$B$23:$U$23,0)))*(VLOOKUP($B224,INDIRECT($B$5&amp;"生成成长"),3))*(VLOOKUP($B$5,标准坦克设计!$B$14:$K$20,9)/30))</f>
        <v>3.1345522021744419</v>
      </c>
      <c r="BN224" s="173">
        <f ca="1">(VLOOKUP(BN$72,INDIRECT($C$5&amp;"生成成长"),2))/((VLOOKUP($B224,INDIRECT($B$5&amp;"生成成长"),4))/(VLOOKUP(BN$72,INDIRECT($C$5&amp;"生成成长"),5))*(VLOOKUP($B$5,标准坦克设计!$B$24:$U$30,MATCH("对"&amp;LEFT($C$5,2)&amp;"输出",标准坦克设计!$B$23:$U$23,0)))*(VLOOKUP($B224,INDIRECT($B$5&amp;"生成成长"),3))*(VLOOKUP($B$5,标准坦克设计!$B$14:$K$20,9)/30))</f>
        <v>3.4369147799396305</v>
      </c>
      <c r="BO224" s="173">
        <f ca="1">(VLOOKUP(BO$72,INDIRECT($C$5&amp;"生成成长"),2))/((VLOOKUP($B224,INDIRECT($B$5&amp;"生成成长"),4))/(VLOOKUP(BO$72,INDIRECT($C$5&amp;"生成成长"),5))*(VLOOKUP($B$5,标准坦克设计!$B$24:$U$30,MATCH("对"&amp;LEFT($C$5,2)&amp;"输出",标准坦克设计!$B$23:$U$23,0)))*(VLOOKUP($B224,INDIRECT($B$5&amp;"生成成长"),3))*(VLOOKUP($B$5,标准坦克设计!$B$14:$K$20,9)/30))</f>
        <v>3.7531968625635752</v>
      </c>
      <c r="BP224" s="173">
        <f ca="1">(VLOOKUP(BP$72,INDIRECT($C$5&amp;"生成成长"),2))/((VLOOKUP($B224,INDIRECT($B$5&amp;"生成成长"),4))/(VLOOKUP(BP$72,INDIRECT($C$5&amp;"生成成长"),5))*(VLOOKUP($B$5,标准坦克设计!$B$24:$U$30,MATCH("对"&amp;LEFT($C$5,2)&amp;"输出",标准坦克设计!$B$23:$U$23,0)))*(VLOOKUP($B224,INDIRECT($B$5&amp;"生成成长"),3))*(VLOOKUP($B$5,标准坦克设计!$B$14:$K$20,9)/30))</f>
        <v>4.0833984500462748</v>
      </c>
      <c r="BQ224" s="173">
        <f ca="1">(VLOOKUP(BQ$72,INDIRECT($C$5&amp;"生成成长"),2))/((VLOOKUP($B224,INDIRECT($B$5&amp;"生成成长"),4))/(VLOOKUP(BQ$72,INDIRECT($C$5&amp;"生成成长"),5))*(VLOOKUP($B$5,标准坦克设计!$B$24:$U$30,MATCH("对"&amp;LEFT($C$5,2)&amp;"输出",标准坦克设计!$B$23:$U$23,0)))*(VLOOKUP($B224,INDIRECT($B$5&amp;"生成成长"),3))*(VLOOKUP($B$5,标准坦克设计!$B$14:$K$20,9)/30))</f>
        <v>4.4275195423877305</v>
      </c>
      <c r="BR224" s="173">
        <f ca="1">(VLOOKUP(BR$72,INDIRECT($C$5&amp;"生成成长"),2))/((VLOOKUP($B224,INDIRECT($B$5&amp;"生成成长"),4))/(VLOOKUP(BR$72,INDIRECT($C$5&amp;"生成成长"),5))*(VLOOKUP($B$5,标准坦克设计!$B$24:$U$30,MATCH("对"&amp;LEFT($C$5,2)&amp;"输出",标准坦克设计!$B$23:$U$23,0)))*(VLOOKUP($B224,INDIRECT($B$5&amp;"生成成长"),3))*(VLOOKUP($B$5,标准坦克设计!$B$14:$K$20,9)/30))</f>
        <v>4.8262016568607278</v>
      </c>
      <c r="BS224" s="173">
        <f ca="1">(VLOOKUP(BS$72,INDIRECT($C$5&amp;"生成成长"),2))/((VLOOKUP($B224,INDIRECT($B$5&amp;"生成成长"),4))/(VLOOKUP(BS$72,INDIRECT($C$5&amp;"生成成长"),5))*(VLOOKUP($B$5,标准坦克设计!$B$24:$U$30,MATCH("对"&amp;LEFT($C$5,2)&amp;"输出",标准坦克设计!$B$23:$U$23,0)))*(VLOOKUP($B224,INDIRECT($B$5&amp;"生成成长"),3))*(VLOOKUP($B$5,标准坦克设计!$B$14:$K$20,9)/30))</f>
        <v>5.2420683452334229</v>
      </c>
      <c r="BT224" s="173">
        <f ca="1">(VLOOKUP(BT$72,INDIRECT($C$5&amp;"生成成长"),2))/((VLOOKUP($B224,INDIRECT($B$5&amp;"生成成长"),4))/(VLOOKUP(BT$72,INDIRECT($C$5&amp;"生成成长"),5))*(VLOOKUP($B$5,标准坦克设计!$B$24:$U$30,MATCH("对"&amp;LEFT($C$5,2)&amp;"输出",标准坦克设计!$B$23:$U$23,0)))*(VLOOKUP($B224,INDIRECT($B$5&amp;"生成成长"),3))*(VLOOKUP($B$5,标准坦克设计!$B$14:$K$20,9)/30))</f>
        <v>5.6751196075058168</v>
      </c>
      <c r="BU224" s="173">
        <f ca="1">(VLOOKUP(BU$72,INDIRECT($C$5&amp;"生成成长"),2))/((VLOOKUP($B224,INDIRECT($B$5&amp;"生成成长"),4))/(VLOOKUP(BU$72,INDIRECT($C$5&amp;"生成成长"),5))*(VLOOKUP($B$5,标准坦克设计!$B$24:$U$30,MATCH("对"&amp;LEFT($C$5,2)&amp;"输出",标准坦克设计!$B$23:$U$23,0)))*(VLOOKUP($B224,INDIRECT($B$5&amp;"生成成长"),3))*(VLOOKUP($B$5,标准坦克设计!$B$14:$K$20,9)/30))</f>
        <v>6.1253554436779076</v>
      </c>
      <c r="BV224" s="173">
        <f ca="1">(VLOOKUP(BV$72,INDIRECT($C$5&amp;"生成成长"),2))/((VLOOKUP($B224,INDIRECT($B$5&amp;"生成成长"),4))/(VLOOKUP(BV$72,INDIRECT($C$5&amp;"生成成长"),5))*(VLOOKUP($B$5,标准坦克设计!$B$24:$U$30,MATCH("对"&amp;LEFT($C$5,2)&amp;"输出",标准坦克设计!$B$23:$U$23,0)))*(VLOOKUP($B224,INDIRECT($B$5&amp;"生成成长"),3))*(VLOOKUP($B$5,标准坦克设计!$B$14:$K$20,9)/30))</f>
        <v>6.5927758537496972</v>
      </c>
      <c r="BW224" s="173">
        <f ca="1">(VLOOKUP(BW$72,INDIRECT($C$5&amp;"生成成长"),2))/((VLOOKUP($B224,INDIRECT($B$5&amp;"生成成长"),4))/(VLOOKUP(BW$72,INDIRECT($C$5&amp;"生成成长"),5))*(VLOOKUP($B$5,标准坦克设计!$B$24:$U$30,MATCH("对"&amp;LEFT($C$5,2)&amp;"输出",标准坦克设计!$B$23:$U$23,0)))*(VLOOKUP($B224,INDIRECT($B$5&amp;"生成成长"),3))*(VLOOKUP($B$5,标准坦克设计!$B$14:$K$20,9)/30))</f>
        <v>3.0046368234927234</v>
      </c>
      <c r="BX224" s="173">
        <f ca="1">(VLOOKUP(BX$72,INDIRECT($C$5&amp;"生成成长"),2))/((VLOOKUP($B224,INDIRECT($B$5&amp;"生成成长"),4))/(VLOOKUP(BX$72,INDIRECT($C$5&amp;"生成成长"),5))*(VLOOKUP($B$5,标准坦克设计!$B$24:$U$30,MATCH("对"&amp;LEFT($C$5,2)&amp;"输出",标准坦克设计!$B$23:$U$23,0)))*(VLOOKUP($B224,INDIRECT($B$5&amp;"生成成长"),3))*(VLOOKUP($B$5,标准坦克设计!$B$14:$K$20,9)/30))</f>
        <v>3.3345806423669284</v>
      </c>
      <c r="BY224" s="173">
        <f ca="1">(VLOOKUP(BY$72,INDIRECT($C$5&amp;"生成成长"),2))/((VLOOKUP($B224,INDIRECT($B$5&amp;"生成成长"),4))/(VLOOKUP(BY$72,INDIRECT($C$5&amp;"生成成长"),5))*(VLOOKUP($B$5,标准坦克设计!$B$24:$U$30,MATCH("对"&amp;LEFT($C$5,2)&amp;"输出",标准坦克设计!$B$23:$U$23,0)))*(VLOOKUP($B224,INDIRECT($B$5&amp;"生成成长"),3))*(VLOOKUP($B$5,标准坦克设计!$B$14:$K$20,9)/30))</f>
        <v>3.6817090351408299</v>
      </c>
      <c r="BZ224" s="173">
        <f ca="1">(VLOOKUP(BZ$72,INDIRECT($C$5&amp;"生成成长"),2))/((VLOOKUP($B224,INDIRECT($B$5&amp;"生成成长"),4))/(VLOOKUP(BZ$72,INDIRECT($C$5&amp;"生成成长"),5))*(VLOOKUP($B$5,标准坦克设计!$B$24:$U$30,MATCH("对"&amp;LEFT($C$5,2)&amp;"输出",标准坦克设计!$B$23:$U$23,0)))*(VLOOKUP($B224,INDIRECT($B$5&amp;"生成成长"),3))*(VLOOKUP($B$5,标准坦克设计!$B$14:$K$20,9)/30))</f>
        <v>4.0460220018144319</v>
      </c>
      <c r="CA224" s="173">
        <f ca="1">(VLOOKUP(CA$72,INDIRECT($C$5&amp;"生成成长"),2))/((VLOOKUP($B224,INDIRECT($B$5&amp;"生成成长"),4))/(VLOOKUP(CA$72,INDIRECT($C$5&amp;"生成成长"),5))*(VLOOKUP($B$5,标准坦克设计!$B$24:$U$30,MATCH("对"&amp;LEFT($C$5,2)&amp;"输出",标准坦克设计!$B$23:$U$23,0)))*(VLOOKUP($B224,INDIRECT($B$5&amp;"生成成长"),3))*(VLOOKUP($B$5,标准坦克设计!$B$14:$K$20,9)/30))</f>
        <v>4.4275195423877305</v>
      </c>
      <c r="CB224" s="173">
        <f ca="1">(VLOOKUP(CB$72,INDIRECT($C$5&amp;"生成成长"),2))/((VLOOKUP($B224,INDIRECT($B$5&amp;"生成成长"),4))/(VLOOKUP(CB$72,INDIRECT($C$5&amp;"生成成长"),5))*(VLOOKUP($B$5,标准坦克设计!$B$24:$U$30,MATCH("对"&amp;LEFT($C$5,2)&amp;"输出",标准坦克设计!$B$23:$U$23,0)))*(VLOOKUP($B224,INDIRECT($B$5&amp;"生成成长"),3))*(VLOOKUP($B$5,标准坦克设计!$B$14:$K$20,9)/30))</f>
        <v>4.8262016568607278</v>
      </c>
      <c r="CC224" s="173">
        <f ca="1">(VLOOKUP(CC$72,INDIRECT($C$5&amp;"生成成长"),2))/((VLOOKUP($B224,INDIRECT($B$5&amp;"生成成长"),4))/(VLOOKUP(CC$72,INDIRECT($C$5&amp;"生成成长"),5))*(VLOOKUP($B$5,标准坦克设计!$B$24:$U$30,MATCH("对"&amp;LEFT($C$5,2)&amp;"输出",标准坦克设计!$B$23:$U$23,0)))*(VLOOKUP($B224,INDIRECT($B$5&amp;"生成成长"),3))*(VLOOKUP($B$5,标准坦克设计!$B$14:$K$20,9)/30))</f>
        <v>5.2420683452334229</v>
      </c>
      <c r="CD224" s="173">
        <f ca="1">(VLOOKUP(CD$72,INDIRECT($C$5&amp;"生成成长"),2))/((VLOOKUP($B224,INDIRECT($B$5&amp;"生成成长"),4))/(VLOOKUP(CD$72,INDIRECT($C$5&amp;"生成成长"),5))*(VLOOKUP($B$5,标准坦克设计!$B$24:$U$30,MATCH("对"&amp;LEFT($C$5,2)&amp;"输出",标准坦克设计!$B$23:$U$23,0)))*(VLOOKUP($B224,INDIRECT($B$5&amp;"生成成长"),3))*(VLOOKUP($B$5,标准坦克设计!$B$14:$K$20,9)/30))</f>
        <v>5.6751196075058168</v>
      </c>
      <c r="CE224" s="173">
        <f ca="1">(VLOOKUP(CE$72,INDIRECT($C$5&amp;"生成成长"),2))/((VLOOKUP($B224,INDIRECT($B$5&amp;"生成成长"),4))/(VLOOKUP(CE$72,INDIRECT($C$5&amp;"生成成长"),5))*(VLOOKUP($B$5,标准坦克设计!$B$24:$U$30,MATCH("对"&amp;LEFT($C$5,2)&amp;"输出",标准坦克设计!$B$23:$U$23,0)))*(VLOOKUP($B224,INDIRECT($B$5&amp;"生成成长"),3))*(VLOOKUP($B$5,标准坦克设计!$B$14:$K$20,9)/30))</f>
        <v>6.1253554436779076</v>
      </c>
      <c r="CF224" s="173">
        <f ca="1">(VLOOKUP(CF$72,INDIRECT($C$5&amp;"生成成长"),2))/((VLOOKUP($B224,INDIRECT($B$5&amp;"生成成长"),4))/(VLOOKUP(CF$72,INDIRECT($C$5&amp;"生成成长"),5))*(VLOOKUP($B$5,标准坦克设计!$B$24:$U$30,MATCH("对"&amp;LEFT($C$5,2)&amp;"输出",标准坦克设计!$B$23:$U$23,0)))*(VLOOKUP($B224,INDIRECT($B$5&amp;"生成成长"),3))*(VLOOKUP($B$5,标准坦克设计!$B$14:$K$20,9)/30))</f>
        <v>6.5927758537496972</v>
      </c>
      <c r="CG224" s="173">
        <f ca="1">(VLOOKUP(CG$72,INDIRECT($C$5&amp;"生成成长"),2))/((VLOOKUP($B224,INDIRECT($B$5&amp;"生成成长"),4))/(VLOOKUP(CG$72,INDIRECT($C$5&amp;"生成成长"),5))*(VLOOKUP($B$5,标准坦克设计!$B$24:$U$30,MATCH("对"&amp;LEFT($C$5,2)&amp;"输出",标准坦克设计!$B$23:$U$23,0)))*(VLOOKUP($B224,INDIRECT($B$5&amp;"生成成长"),3))*(VLOOKUP($B$5,标准坦克设计!$B$14:$K$20,9)/30))</f>
        <v>7.0773808377211846</v>
      </c>
      <c r="CH224" s="173">
        <f ca="1">(VLOOKUP(CH$72,INDIRECT($C$5&amp;"生成成长"),2))/((VLOOKUP($B224,INDIRECT($B$5&amp;"生成成长"),4))/(VLOOKUP(CH$72,INDIRECT($C$5&amp;"生成成长"),5))*(VLOOKUP($B$5,标准坦克设计!$B$24:$U$30,MATCH("对"&amp;LEFT($C$5,2)&amp;"输出",标准坦克设计!$B$23:$U$23,0)))*(VLOOKUP($B224,INDIRECT($B$5&amp;"生成成长"),3))*(VLOOKUP($B$5,标准坦克设计!$B$14:$K$20,9)/30))</f>
        <v>7.5791703955923708</v>
      </c>
      <c r="CI224" s="173">
        <f ca="1">(VLOOKUP(CI$72,INDIRECT($C$5&amp;"生成成长"),2))/((VLOOKUP($B224,INDIRECT($B$5&amp;"生成成长"),4))/(VLOOKUP(CI$72,INDIRECT($C$5&amp;"生成成长"),5))*(VLOOKUP($B$5,标准坦克设计!$B$24:$U$30,MATCH("对"&amp;LEFT($C$5,2)&amp;"输出",标准坦克设计!$B$23:$U$23,0)))*(VLOOKUP($B224,INDIRECT($B$5&amp;"生成成长"),3))*(VLOOKUP($B$5,标准坦克设计!$B$14:$K$20,9)/30))</f>
        <v>8.1509870921048275</v>
      </c>
      <c r="CJ224" s="173">
        <f ca="1">(VLOOKUP(CJ$72,INDIRECT($C$5&amp;"生成成长"),2))/((VLOOKUP($B224,INDIRECT($B$5&amp;"生成成长"),4))/(VLOOKUP(CJ$72,INDIRECT($C$5&amp;"生成成长"),5))*(VLOOKUP($B$5,标准坦克设计!$B$24:$U$30,MATCH("对"&amp;LEFT($C$5,2)&amp;"输出",标准坦克设计!$B$23:$U$23,0)))*(VLOOKUP($B224,INDIRECT($B$5&amp;"生成成长"),3))*(VLOOKUP($B$5,标准坦克设计!$B$14:$K$20,9)/30))</f>
        <v>8.7435971230359169</v>
      </c>
      <c r="CK224" s="173">
        <f ca="1">(VLOOKUP(CK$72,INDIRECT($C$5&amp;"生成成长"),2))/((VLOOKUP($B224,INDIRECT($B$5&amp;"生成成长"),4))/(VLOOKUP(CK$72,INDIRECT($C$5&amp;"生成成长"),5))*(VLOOKUP($B$5,标准坦克设计!$B$24:$U$30,MATCH("对"&amp;LEFT($C$5,2)&amp;"输出",标准坦克设计!$B$23:$U$23,0)))*(VLOOKUP($B224,INDIRECT($B$5&amp;"生成成长"),3))*(VLOOKUP($B$5,标准坦克设计!$B$14:$K$20,9)/30))</f>
        <v>9.3570004883856424</v>
      </c>
      <c r="CL224" s="173">
        <f ca="1">(VLOOKUP(CL$72,INDIRECT($C$5&amp;"生成成长"),2))/((VLOOKUP($B224,INDIRECT($B$5&amp;"生成成长"),4))/(VLOOKUP(CL$72,INDIRECT($C$5&amp;"生成成长"),5))*(VLOOKUP($B$5,标准坦克设计!$B$24:$U$30,MATCH("对"&amp;LEFT($C$5,2)&amp;"输出",标准坦克设计!$B$23:$U$23,0)))*(VLOOKUP($B224,INDIRECT($B$5&amp;"生成成长"),3))*(VLOOKUP($B$5,标准坦克设计!$B$14:$K$20,9)/30))</f>
        <v>9.9911971881540058</v>
      </c>
      <c r="CM224" s="173">
        <f ca="1">(VLOOKUP(CM$72,INDIRECT($C$5&amp;"生成成长"),2))/((VLOOKUP($B224,INDIRECT($B$5&amp;"生成成长"),4))/(VLOOKUP(CM$72,INDIRECT($C$5&amp;"生成成长"),5))*(VLOOKUP($B$5,标准坦克设计!$B$24:$U$30,MATCH("对"&amp;LEFT($C$5,2)&amp;"输出",标准坦克设计!$B$23:$U$23,0)))*(VLOOKUP($B224,INDIRECT($B$5&amp;"生成成长"),3))*(VLOOKUP($B$5,标准坦克设计!$B$14:$K$20,9)/30))</f>
        <v>10.646187222341</v>
      </c>
      <c r="CN224" s="173">
        <f ca="1">(VLOOKUP(CN$72,INDIRECT($C$5&amp;"生成成长"),2))/((VLOOKUP($B224,INDIRECT($B$5&amp;"生成成长"),4))/(VLOOKUP(CN$72,INDIRECT($C$5&amp;"生成成长"),5))*(VLOOKUP($B$5,标准坦克设计!$B$24:$U$30,MATCH("对"&amp;LEFT($C$5,2)&amp;"输出",标准坦克设计!$B$23:$U$23,0)))*(VLOOKUP($B224,INDIRECT($B$5&amp;"生成成长"),3))*(VLOOKUP($B$5,标准坦克设计!$B$14:$K$20,9)/30))</f>
        <v>11.321970590946629</v>
      </c>
      <c r="CO224" s="173">
        <f ca="1">(VLOOKUP(CO$72,INDIRECT($C$5&amp;"生成成长"),2))/((VLOOKUP($B224,INDIRECT($B$5&amp;"生成成长"),4))/(VLOOKUP(CO$72,INDIRECT($C$5&amp;"生成成长"),5))*(VLOOKUP($B$5,标准坦克设计!$B$24:$U$30,MATCH("对"&amp;LEFT($C$5,2)&amp;"输出",标准坦克设计!$B$23:$U$23,0)))*(VLOOKUP($B224,INDIRECT($B$5&amp;"生成成长"),3))*(VLOOKUP($B$5,标准坦克设计!$B$14:$K$20,9)/30))</f>
        <v>5.0736595210163813</v>
      </c>
      <c r="CP224" s="173">
        <f ca="1">(VLOOKUP(CP$72,INDIRECT($C$5&amp;"生成成长"),2))/((VLOOKUP($B224,INDIRECT($B$5&amp;"生成成长"),4))/(VLOOKUP(CP$72,INDIRECT($C$5&amp;"生成成长"),5))*(VLOOKUP($B$5,标准坦克设计!$B$24:$U$30,MATCH("对"&amp;LEFT($C$5,2)&amp;"输出",标准坦克设计!$B$23:$U$23,0)))*(VLOOKUP($B224,INDIRECT($B$5&amp;"生成成长"),3))*(VLOOKUP($B$5,标准坦克设计!$B$14:$K$20,9)/30))</f>
        <v>5.5433998485646301</v>
      </c>
      <c r="CQ224" s="173">
        <f ca="1">(VLOOKUP(CQ$72,INDIRECT($C$5&amp;"生成成长"),2))/((VLOOKUP($B224,INDIRECT($B$5&amp;"生成成长"),4))/(VLOOKUP(CQ$72,INDIRECT($C$5&amp;"生成成长"),5))*(VLOOKUP($B$5,标准坦克设计!$B$24:$U$30,MATCH("对"&amp;LEFT($C$5,2)&amp;"输出",标准坦克设计!$B$23:$U$23,0)))*(VLOOKUP($B224,INDIRECT($B$5&amp;"生成成长"),3))*(VLOOKUP($B$5,标准坦克设计!$B$14:$K$20,9)/30))</f>
        <v>6.0339335105315142</v>
      </c>
      <c r="CR224" s="173">
        <f ca="1">(VLOOKUP(CR$72,INDIRECT($C$5&amp;"生成成长"),2))/((VLOOKUP($B224,INDIRECT($B$5&amp;"生成成长"),4))/(VLOOKUP(CR$72,INDIRECT($C$5&amp;"生成成长"),5))*(VLOOKUP($B$5,标准坦克设计!$B$24:$U$30,MATCH("对"&amp;LEFT($C$5,2)&amp;"输出",标准坦克设计!$B$23:$U$23,0)))*(VLOOKUP($B224,INDIRECT($B$5&amp;"生成成长"),3))*(VLOOKUP($B$5,标准坦克设计!$B$14:$K$20,9)/30))</f>
        <v>6.5452605069170327</v>
      </c>
      <c r="CS224" s="173">
        <f ca="1">(VLOOKUP(CS$72,INDIRECT($C$5&amp;"生成成长"),2))/((VLOOKUP($B224,INDIRECT($B$5&amp;"生成成长"),4))/(VLOOKUP(CS$72,INDIRECT($C$5&amp;"生成成长"),5))*(VLOOKUP($B$5,标准坦克设计!$B$24:$U$30,MATCH("对"&amp;LEFT($C$5,2)&amp;"输出",标准坦克设计!$B$23:$U$23,0)))*(VLOOKUP($B224,INDIRECT($B$5&amp;"生成成长"),3))*(VLOOKUP($B$5,标准坦克设计!$B$14:$K$20,9)/30))</f>
        <v>7.0773808377211846</v>
      </c>
      <c r="CT224" s="173">
        <f ca="1">(VLOOKUP(CT$72,INDIRECT($C$5&amp;"生成成长"),2))/((VLOOKUP($B224,INDIRECT($B$5&amp;"生成成长"),4))/(VLOOKUP(CT$72,INDIRECT($C$5&amp;"生成成长"),5))*(VLOOKUP($B$5,标准坦克设计!$B$24:$U$30,MATCH("对"&amp;LEFT($C$5,2)&amp;"输出",标准坦克设计!$B$23:$U$23,0)))*(VLOOKUP($B224,INDIRECT($B$5&amp;"生成成长"),3))*(VLOOKUP($B$5,标准坦克设计!$B$14:$K$20,9)/30))</f>
        <v>7.6302945029439737</v>
      </c>
      <c r="CU224" s="173">
        <f ca="1">(VLOOKUP(CU$72,INDIRECT($C$5&amp;"生成成长"),2))/((VLOOKUP($B224,INDIRECT($B$5&amp;"生成成长"),4))/(VLOOKUP(CU$72,INDIRECT($C$5&amp;"生成成长"),5))*(VLOOKUP($B$5,标准坦克设计!$B$24:$U$30,MATCH("对"&amp;LEFT($C$5,2)&amp;"输出",标准坦克设计!$B$23:$U$23,0)))*(VLOOKUP($B224,INDIRECT($B$5&amp;"生成成长"),3))*(VLOOKUP($B$5,标准坦克设计!$B$14:$K$20,9)/30))</f>
        <v>8.2040015025853954</v>
      </c>
      <c r="CV224" s="173">
        <f ca="1">(VLOOKUP(CV$72,INDIRECT($C$5&amp;"生成成长"),2))/((VLOOKUP($B224,INDIRECT($B$5&amp;"生成成长"),4))/(VLOOKUP(CV$72,INDIRECT($C$5&amp;"生成成长"),5))*(VLOOKUP($B$5,标准坦克设计!$B$24:$U$30,MATCH("对"&amp;LEFT($C$5,2)&amp;"输出",标准坦克设计!$B$23:$U$23,0)))*(VLOOKUP($B224,INDIRECT($B$5&amp;"生成成长"),3))*(VLOOKUP($B$5,标准坦克设计!$B$14:$K$20,9)/30))</f>
        <v>8.7985018366454533</v>
      </c>
      <c r="CW224" s="173">
        <f ca="1">(VLOOKUP(CW$72,INDIRECT($C$5&amp;"生成成长"),2))/((VLOOKUP($B224,INDIRECT($B$5&amp;"生成成长"),4))/(VLOOKUP(CW$72,INDIRECT($C$5&amp;"生成成长"),5))*(VLOOKUP($B$5,标准坦克设计!$B$24:$U$30,MATCH("对"&amp;LEFT($C$5,2)&amp;"输出",标准坦克设计!$B$23:$U$23,0)))*(VLOOKUP($B224,INDIRECT($B$5&amp;"生成成长"),3))*(VLOOKUP($B$5,标准坦克设计!$B$14:$K$20,9)/30))</f>
        <v>9.4137955051241455</v>
      </c>
      <c r="CX224" s="173">
        <f ca="1">(VLOOKUP(CX$72,INDIRECT($C$5&amp;"生成成长"),2))/((VLOOKUP($B224,INDIRECT($B$5&amp;"生成成长"),4))/(VLOOKUP(CX$72,INDIRECT($C$5&amp;"生成成长"),5))*(VLOOKUP($B$5,标准坦克设计!$B$24:$U$30,MATCH("对"&amp;LEFT($C$5,2)&amp;"输出",标准坦克设计!$B$23:$U$23,0)))*(VLOOKUP($B224,INDIRECT($B$5&amp;"生成成长"),3))*(VLOOKUP($B$5,标准坦克设计!$B$14:$K$20,9)/30))</f>
        <v>10.049882508021474</v>
      </c>
      <c r="CY224" s="173">
        <f ca="1">(VLOOKUP(CY$72,INDIRECT($C$5&amp;"生成成长"),2))/((VLOOKUP($B224,INDIRECT($B$5&amp;"生成成长"),4))/(VLOOKUP(CY$72,INDIRECT($C$5&amp;"生成成长"),5))*(VLOOKUP($B$5,标准坦克设计!$B$24:$U$30,MATCH("对"&amp;LEFT($C$5,2)&amp;"输出",标准坦克设计!$B$23:$U$23,0)))*(VLOOKUP($B224,INDIRECT($B$5&amp;"生成成长"),3))*(VLOOKUP($B$5,标准坦克设计!$B$14:$K$20,9)/30))</f>
        <v>10.706762845337435</v>
      </c>
      <c r="CZ224" s="173">
        <f ca="1">(VLOOKUP(CZ$72,INDIRECT($C$5&amp;"生成成长"),2))/((VLOOKUP($B224,INDIRECT($B$5&amp;"生成成长"),4))/(VLOOKUP(CZ$72,INDIRECT($C$5&amp;"生成成长"),5))*(VLOOKUP($B$5,标准坦克设计!$B$24:$U$30,MATCH("对"&amp;LEFT($C$5,2)&amp;"输出",标准坦克设计!$B$23:$U$23,0)))*(VLOOKUP($B224,INDIRECT($B$5&amp;"生成成长"),3))*(VLOOKUP($B$5,标准坦克设计!$B$14:$K$20,9)/30))</f>
        <v>11.384436517072032</v>
      </c>
      <c r="DA224" s="173">
        <f ca="1">(VLOOKUP(DA$72,INDIRECT($C$5&amp;"生成成长"),2))/((VLOOKUP($B224,INDIRECT($B$5&amp;"生成成长"),4))/(VLOOKUP(DA$72,INDIRECT($C$5&amp;"生成成长"),5))*(VLOOKUP($B$5,标准坦克设计!$B$24:$U$30,MATCH("对"&amp;LEFT($C$5,2)&amp;"输出",标准坦克设计!$B$23:$U$23,0)))*(VLOOKUP($B224,INDIRECT($B$5&amp;"生成成长"),3))*(VLOOKUP($B$5,标准坦克设计!$B$14:$K$20,9)/30))</f>
        <v>12.082903523225262</v>
      </c>
      <c r="DB224" s="173">
        <f ca="1">(VLOOKUP(DB$72,INDIRECT($C$5&amp;"生成成长"),2))/((VLOOKUP($B224,INDIRECT($B$5&amp;"生成成长"),4))/(VLOOKUP(DB$72,INDIRECT($C$5&amp;"生成成长"),5))*(VLOOKUP($B$5,标准坦克设计!$B$24:$U$30,MATCH("对"&amp;LEFT($C$5,2)&amp;"输出",标准坦克设计!$B$23:$U$23,0)))*(VLOOKUP($B224,INDIRECT($B$5&amp;"生成成长"),3))*(VLOOKUP($B$5,标准坦克设计!$B$14:$K$20,9)/30))</f>
        <v>12.802163863797128</v>
      </c>
      <c r="DC224" s="173">
        <f ca="1">(VLOOKUP(DC$72,INDIRECT($C$5&amp;"生成成长"),2))/((VLOOKUP($B224,INDIRECT($B$5&amp;"生成成长"),4))/(VLOOKUP(DC$72,INDIRECT($C$5&amp;"生成成长"),5))*(VLOOKUP($B$5,标准坦克设计!$B$24:$U$30,MATCH("对"&amp;LEFT($C$5,2)&amp;"输出",标准坦克设计!$B$23:$U$23,0)))*(VLOOKUP($B224,INDIRECT($B$5&amp;"生成成长"),3))*(VLOOKUP($B$5,标准坦克设计!$B$14:$K$20,9)/30))</f>
        <v>13.610526220038931</v>
      </c>
      <c r="DD224" s="173">
        <f ca="1">(VLOOKUP(DD$72,INDIRECT($C$5&amp;"生成成长"),2))/((VLOOKUP($B224,INDIRECT($B$5&amp;"生成成长"),4))/(VLOOKUP(DD$72,INDIRECT($C$5&amp;"生成成长"),5))*(VLOOKUP($B$5,标准坦克设计!$B$24:$U$30,MATCH("对"&amp;LEFT($C$5,2)&amp;"输出",标准坦克设计!$B$23:$U$23,0)))*(VLOOKUP($B224,INDIRECT($B$5&amp;"生成成长"),3))*(VLOOKUP($B$5,标准坦克设计!$B$14:$K$20,9)/30))</f>
        <v>14.443634362696297</v>
      </c>
      <c r="DE224" s="173">
        <f ca="1">(VLOOKUP(DE$72,INDIRECT($C$5&amp;"生成成长"),2))/((VLOOKUP($B224,INDIRECT($B$5&amp;"生成成长"),4))/(VLOOKUP(DE$72,INDIRECT($C$5&amp;"生成成长"),5))*(VLOOKUP($B$5,标准坦克设计!$B$24:$U$30,MATCH("对"&amp;LEFT($C$5,2)&amp;"输出",标准坦克设计!$B$23:$U$23,0)))*(VLOOKUP($B224,INDIRECT($B$5&amp;"生成成长"),3))*(VLOOKUP($B$5,标准坦克设计!$B$14:$K$20,9)/30))</f>
        <v>15.301488291769232</v>
      </c>
      <c r="DF224" s="173">
        <f ca="1">(VLOOKUP(DF$72,INDIRECT($C$5&amp;"生成成长"),2))/((VLOOKUP($B224,INDIRECT($B$5&amp;"生成成长"),4))/(VLOOKUP(DF$72,INDIRECT($C$5&amp;"生成成长"),5))*(VLOOKUP($B$5,标准坦克设计!$B$24:$U$30,MATCH("对"&amp;LEFT($C$5,2)&amp;"输出",标准坦克设计!$B$23:$U$23,0)))*(VLOOKUP($B224,INDIRECT($B$5&amp;"生成成长"),3))*(VLOOKUP($B$5,标准坦克设计!$B$14:$K$20,9)/30))</f>
        <v>16.184088007257728</v>
      </c>
      <c r="DG224" s="173">
        <f ca="1">(VLOOKUP(DG$72,INDIRECT($C$5&amp;"生成成长"),2))/((VLOOKUP($B224,INDIRECT($B$5&amp;"生成成长"),4))/(VLOOKUP(DG$72,INDIRECT($C$5&amp;"生成成长"),5))*(VLOOKUP($B$5,标准坦克设计!$B$24:$U$30,MATCH("对"&amp;LEFT($C$5,2)&amp;"输出",标准坦克设计!$B$23:$U$23,0)))*(VLOOKUP($B224,INDIRECT($B$5&amp;"生成成长"),3))*(VLOOKUP($B$5,标准坦克设计!$B$14:$K$20,9)/30))</f>
        <v>17.091433509161789</v>
      </c>
      <c r="DH224" s="173">
        <f ca="1">(VLOOKUP(DH$72,INDIRECT($C$5&amp;"生成成长"),2))/((VLOOKUP($B224,INDIRECT($B$5&amp;"生成成长"),4))/(VLOOKUP(DH$72,INDIRECT($C$5&amp;"生成成长"),5))*(VLOOKUP($B$5,标准坦克设计!$B$24:$U$30,MATCH("对"&amp;LEFT($C$5,2)&amp;"输出",标准坦克设计!$B$23:$U$23,0)))*(VLOOKUP($B224,INDIRECT($B$5&amp;"生成成长"),3))*(VLOOKUP($B$5,标准坦克设计!$B$14:$K$20,9)/30))</f>
        <v>18.023524797481418</v>
      </c>
      <c r="DI224" s="173">
        <f ca="1">(VLOOKUP(DI$72,INDIRECT($C$5&amp;"生成成长"),2))/((VLOOKUP($B224,INDIRECT($B$5&amp;"生成成长"),4))/(VLOOKUP(DI$72,INDIRECT($C$5&amp;"生成成长"),5))*(VLOOKUP($B$5,标准坦克设计!$B$24:$U$30,MATCH("对"&amp;LEFT($C$5,2)&amp;"输出",标准坦克设计!$B$23:$U$23,0)))*(VLOOKUP($B224,INDIRECT($B$5&amp;"生成成长"),3))*(VLOOKUP($B$5,标准坦克设计!$B$14:$K$20,9)/30))</f>
        <v>18.980361872216609</v>
      </c>
      <c r="DJ224" s="173">
        <f ca="1">(VLOOKUP(DJ$72,INDIRECT($C$5&amp;"生成成长"),2))/((VLOOKUP($B224,INDIRECT($B$5&amp;"生成成长"),4))/(VLOOKUP(DJ$72,INDIRECT($C$5&amp;"生成成长"),5))*(VLOOKUP($B$5,标准坦克设计!$B$24:$U$30,MATCH("对"&amp;LEFT($C$5,2)&amp;"输出",标准坦克设计!$B$23:$U$23,0)))*(VLOOKUP($B224,INDIRECT($B$5&amp;"生成成长"),3))*(VLOOKUP($B$5,标准坦克设计!$B$14:$K$20,9)/30))</f>
        <v>1.9075736257359934</v>
      </c>
      <c r="DK224" s="173">
        <f ca="1">(VLOOKUP(DK$72,INDIRECT($C$5&amp;"生成成长"),2))/((VLOOKUP($B224,INDIRECT($B$5&amp;"生成成长"),4))/(VLOOKUP(DK$72,INDIRECT($C$5&amp;"生成成长"),5))*(VLOOKUP($B$5,标准坦克设计!$B$24:$U$30,MATCH("对"&amp;LEFT($C$5,2)&amp;"输出",标准坦克设计!$B$23:$U$23,0)))*(VLOOKUP($B224,INDIRECT($B$5&amp;"生成成长"),3))*(VLOOKUP($B$5,标准坦克设计!$B$14:$K$20,9)/30))</f>
        <v>2.1449785141603237</v>
      </c>
      <c r="DL224" s="173">
        <f ca="1">(VLOOKUP(DL$72,INDIRECT($C$5&amp;"生成成长"),2))/((VLOOKUP($B224,INDIRECT($B$5&amp;"生成成长"),4))/(VLOOKUP(DL$72,INDIRECT($C$5&amp;"生成成长"),5))*(VLOOKUP($B$5,标准坦克设计!$B$24:$U$30,MATCH("对"&amp;LEFT($C$5,2)&amp;"输出",标准坦克设计!$B$23:$U$23,0)))*(VLOOKUP($B224,INDIRECT($B$5&amp;"生成成长"),3))*(VLOOKUP($B$5,标准坦克设计!$B$14:$K$20,9)/30))</f>
        <v>2.3963029074434097</v>
      </c>
      <c r="DM224" s="173">
        <f ca="1">(VLOOKUP(DM$72,INDIRECT($C$5&amp;"生成成长"),2))/((VLOOKUP($B224,INDIRECT($B$5&amp;"生成成长"),4))/(VLOOKUP(DM$72,INDIRECT($C$5&amp;"生成成长"),5))*(VLOOKUP($B$5,标准坦克设计!$B$24:$U$30,MATCH("对"&amp;LEFT($C$5,2)&amp;"输出",标准坦克设计!$B$23:$U$23,0)))*(VLOOKUP($B224,INDIRECT($B$5&amp;"生成成长"),3))*(VLOOKUP($B$5,标准坦克设计!$B$14:$K$20,9)/30))</f>
        <v>2.66154680558525</v>
      </c>
      <c r="DN224" s="173">
        <f ca="1">(VLOOKUP(DN$72,INDIRECT($C$5&amp;"生成成长"),2))/((VLOOKUP($B224,INDIRECT($B$5&amp;"生成成长"),4))/(VLOOKUP(DN$72,INDIRECT($C$5&amp;"生成成长"),5))*(VLOOKUP($B$5,标准坦克设计!$B$24:$U$30,MATCH("对"&amp;LEFT($C$5,2)&amp;"输出",标准坦克设计!$B$23:$U$23,0)))*(VLOOKUP($B224,INDIRECT($B$5&amp;"生成成长"),3))*(VLOOKUP($B$5,标准坦克设计!$B$14:$K$20,9)/30))</f>
        <v>2.9407102085858465</v>
      </c>
      <c r="DO224" s="173">
        <f ca="1">(VLOOKUP(DO$72,INDIRECT($C$5&amp;"生成成长"),2))/((VLOOKUP($B224,INDIRECT($B$5&amp;"生成成长"),4))/(VLOOKUP(DO$72,INDIRECT($C$5&amp;"生成成长"),5))*(VLOOKUP($B$5,标准坦克设计!$B$24:$U$30,MATCH("对"&amp;LEFT($C$5,2)&amp;"输出",标准坦克设计!$B$23:$U$23,0)))*(VLOOKUP($B224,INDIRECT($B$5&amp;"生成成长"),3))*(VLOOKUP($B$5,标准坦克设计!$B$14:$K$20,9)/30))</f>
        <v>3.2337931164451987</v>
      </c>
      <c r="DP224" s="173">
        <f ca="1">(VLOOKUP(DP$72,INDIRECT($C$5&amp;"生成成长"),2))/((VLOOKUP($B224,INDIRECT($B$5&amp;"生成成长"),4))/(VLOOKUP(DP$72,INDIRECT($C$5&amp;"生成成长"),5))*(VLOOKUP($B$5,标准坦克设计!$B$24:$U$30,MATCH("对"&amp;LEFT($C$5,2)&amp;"输出",标准坦克设计!$B$23:$U$23,0)))*(VLOOKUP($B224,INDIRECT($B$5&amp;"生成成长"),3))*(VLOOKUP($B$5,标准坦克设计!$B$14:$K$20,9)/30))</f>
        <v>3.5407955291633062</v>
      </c>
      <c r="DQ224" s="173">
        <f ca="1">(VLOOKUP(DQ$72,INDIRECT($C$5&amp;"生成成长"),2))/((VLOOKUP($B224,INDIRECT($B$5&amp;"生成成长"),4))/(VLOOKUP(DQ$72,INDIRECT($C$5&amp;"生成成长"),5))*(VLOOKUP($B$5,标准坦克设计!$B$24:$U$30,MATCH("对"&amp;LEFT($C$5,2)&amp;"输出",标准坦克设计!$B$23:$U$23,0)))*(VLOOKUP($B224,INDIRECT($B$5&amp;"生成成长"),3))*(VLOOKUP($B$5,标准坦克设计!$B$14:$K$20,9)/30))</f>
        <v>3.8617174467401694</v>
      </c>
      <c r="DR224" s="173">
        <f ca="1">(VLOOKUP(DR$72,INDIRECT($C$5&amp;"生成成长"),2))/((VLOOKUP($B224,INDIRECT($B$5&amp;"生成成长"),4))/(VLOOKUP(DR$72,INDIRECT($C$5&amp;"生成成长"),5))*(VLOOKUP($B$5,标准坦克设计!$B$24:$U$30,MATCH("对"&amp;LEFT($C$5,2)&amp;"输出",标准坦克设计!$B$23:$U$23,0)))*(VLOOKUP($B224,INDIRECT($B$5&amp;"生成成长"),3))*(VLOOKUP($B$5,标准坦克设计!$B$14:$K$20,9)/30))</f>
        <v>4.1965588691757869</v>
      </c>
      <c r="DS224" s="173">
        <f ca="1">(VLOOKUP(DS$72,INDIRECT($C$5&amp;"生成成长"),2))/((VLOOKUP($B224,INDIRECT($B$5&amp;"生成成长"),4))/(VLOOKUP(DS$72,INDIRECT($C$5&amp;"生成成长"),5))*(VLOOKUP($B$5,标准坦克设计!$B$24:$U$30,MATCH("对"&amp;LEFT($C$5,2)&amp;"输出",标准坦克设计!$B$23:$U$23,0)))*(VLOOKUP($B224,INDIRECT($B$5&amp;"生成成长"),3))*(VLOOKUP($B$5,标准坦克设计!$B$14:$K$20,9)/30))</f>
        <v>4.545319796470161</v>
      </c>
      <c r="DT224" s="173">
        <f ca="1">(VLOOKUP(DT$72,INDIRECT($C$5&amp;"生成成长"),2))/((VLOOKUP($B224,INDIRECT($B$5&amp;"生成成长"),4))/(VLOOKUP(DT$72,INDIRECT($C$5&amp;"生成成长"),5))*(VLOOKUP($B$5,标准坦克设计!$B$24:$U$30,MATCH("对"&amp;LEFT($C$5,2)&amp;"输出",标准坦克设计!$B$23:$U$23,0)))*(VLOOKUP($B224,INDIRECT($B$5&amp;"生成成长"),3))*(VLOOKUP($B$5,标准坦克设计!$B$14:$K$20,9)/30))</f>
        <v>4.9904861833418419</v>
      </c>
      <c r="DU224" s="173">
        <f ca="1">(VLOOKUP(DU$72,INDIRECT($C$5&amp;"生成成长"),2))/((VLOOKUP($B224,INDIRECT($B$5&amp;"生成成长"),4))/(VLOOKUP(DU$72,INDIRECT($C$5&amp;"生成成长"),5))*(VLOOKUP($B$5,标准坦克设计!$B$24:$U$30,MATCH("对"&amp;LEFT($C$5,2)&amp;"输出",标准坦克设计!$B$23:$U$23,0)))*(VLOOKUP($B224,INDIRECT($B$5&amp;"生成成长"),3))*(VLOOKUP($B$5,标准坦克设计!$B$14:$K$20,9)/30))</f>
        <v>5.4564459046321572</v>
      </c>
      <c r="DV224" s="173">
        <f ca="1">(VLOOKUP(DV$72,INDIRECT($C$5&amp;"生成成长"),2))/((VLOOKUP($B224,INDIRECT($B$5&amp;"生成成长"),4))/(VLOOKUP(DV$72,INDIRECT($C$5&amp;"生成成长"),5))*(VLOOKUP($B$5,标准坦克设计!$B$24:$U$30,MATCH("对"&amp;LEFT($C$5,2)&amp;"输出",标准坦克设计!$B$23:$U$23,0)))*(VLOOKUP($B224,INDIRECT($B$5&amp;"生成成长"),3))*(VLOOKUP($B$5,标准坦克设计!$B$14:$K$20,9)/30))</f>
        <v>5.9431989603411068</v>
      </c>
      <c r="DW224" s="173">
        <f ca="1">(VLOOKUP(DW$72,INDIRECT($C$5&amp;"生成成长"),2))/((VLOOKUP($B224,INDIRECT($B$5&amp;"生成成长"),4))/(VLOOKUP(DW$72,INDIRECT($C$5&amp;"生成成长"),5))*(VLOOKUP($B$5,标准坦克设计!$B$24:$U$30,MATCH("对"&amp;LEFT($C$5,2)&amp;"输出",标准坦克设计!$B$23:$U$23,0)))*(VLOOKUP($B224,INDIRECT($B$5&amp;"生成成长"),3))*(VLOOKUP($B$5,标准坦克设计!$B$14:$K$20,9)/30))</f>
        <v>6.4507453504686927</v>
      </c>
      <c r="DX224" s="173">
        <f ca="1">(VLOOKUP(DX$72,INDIRECT($C$5&amp;"生成成长"),2))/((VLOOKUP($B224,INDIRECT($B$5&amp;"生成成长"),4))/(VLOOKUP(DX$72,INDIRECT($C$5&amp;"生成成长"),5))*(VLOOKUP($B$5,标准坦克设计!$B$24:$U$30,MATCH("对"&amp;LEFT($C$5,2)&amp;"输出",标准坦克设计!$B$23:$U$23,0)))*(VLOOKUP($B224,INDIRECT($B$5&amp;"生成成长"),3))*(VLOOKUP($B$5,标准坦克设计!$B$14:$K$20,9)/30))</f>
        <v>6.979085075014912</v>
      </c>
      <c r="DY224" s="173">
        <f ca="1">(VLOOKUP(DY$72,INDIRECT($C$5&amp;"生成成长"),2))/((VLOOKUP($B224,INDIRECT($B$5&amp;"生成成长"),4))/(VLOOKUP(DY$72,INDIRECT($C$5&amp;"生成成长"),5))*(VLOOKUP($B$5,标准坦克设计!$B$24:$U$30,MATCH("对"&amp;LEFT($C$5,2)&amp;"输出",标准坦克设计!$B$23:$U$23,0)))*(VLOOKUP($B224,INDIRECT($B$5&amp;"生成成长"),3))*(VLOOKUP($B$5,标准坦克设计!$B$14:$K$20,9)/30))</f>
        <v>3.1345522021744419</v>
      </c>
      <c r="DZ224" s="173">
        <f ca="1">(VLOOKUP(DZ$72,INDIRECT($C$5&amp;"生成成长"),2))/((VLOOKUP($B224,INDIRECT($B$5&amp;"生成成长"),4))/(VLOOKUP(DZ$72,INDIRECT($C$5&amp;"生成成长"),5))*(VLOOKUP($B$5,标准坦克设计!$B$24:$U$30,MATCH("对"&amp;LEFT($C$5,2)&amp;"输出",标准坦克设计!$B$23:$U$23,0)))*(VLOOKUP($B224,INDIRECT($B$5&amp;"生成成长"),3))*(VLOOKUP($B$5,标准坦克设计!$B$14:$K$20,9)/30))</f>
        <v>3.4713698506085255</v>
      </c>
      <c r="EA224" s="173">
        <f ca="1">(VLOOKUP(EA$72,INDIRECT($C$5&amp;"生成成长"),2))/((VLOOKUP($B224,INDIRECT($B$5&amp;"生成成长"),4))/(VLOOKUP(EA$72,INDIRECT($C$5&amp;"生成成长"),5))*(VLOOKUP($B$5,标准坦克设计!$B$24:$U$30,MATCH("对"&amp;LEFT($C$5,2)&amp;"输出",标准坦克设计!$B$23:$U$23,0)))*(VLOOKUP($B224,INDIRECT($B$5&amp;"生成成长"),3))*(VLOOKUP($B$5,标准坦克设计!$B$14:$K$20,9)/30))</f>
        <v>3.825372072942308</v>
      </c>
      <c r="EB224" s="173">
        <f ca="1">(VLOOKUP(EB$72,INDIRECT($C$5&amp;"生成成长"),2))/((VLOOKUP($B224,INDIRECT($B$5&amp;"生成成长"),4))/(VLOOKUP(EB$72,INDIRECT($C$5&amp;"生成成长"),5))*(VLOOKUP($B$5,标准坦克设计!$B$24:$U$30,MATCH("对"&amp;LEFT($C$5,2)&amp;"输出",标准坦克设计!$B$23:$U$23,0)))*(VLOOKUP($B224,INDIRECT($B$5&amp;"生成成长"),3))*(VLOOKUP($B$5,标准坦克设计!$B$14:$K$20,9)/30))</f>
        <v>4.1965588691757869</v>
      </c>
      <c r="EC224" s="173">
        <f ca="1">(VLOOKUP(EC$72,INDIRECT($C$5&amp;"生成成长"),2))/((VLOOKUP($B224,INDIRECT($B$5&amp;"生成成长"),4))/(VLOOKUP(EC$72,INDIRECT($C$5&amp;"生成成长"),5))*(VLOOKUP($B$5,标准坦克设计!$B$24:$U$30,MATCH("对"&amp;LEFT($C$5,2)&amp;"输出",标准坦克设计!$B$23:$U$23,0)))*(VLOOKUP($B224,INDIRECT($B$5&amp;"生成成长"),3))*(VLOOKUP($B$5,标准坦克设计!$B$14:$K$20,9)/30))</f>
        <v>4.5849302393089655</v>
      </c>
      <c r="ED224" s="173">
        <f ca="1">(VLOOKUP(ED$72,INDIRECT($C$5&amp;"生成成长"),2))/((VLOOKUP($B224,INDIRECT($B$5&amp;"生成成长"),4))/(VLOOKUP(ED$72,INDIRECT($C$5&amp;"生成成长"),5))*(VLOOKUP($B$5,标准坦克设计!$B$24:$U$30,MATCH("对"&amp;LEFT($C$5,2)&amp;"输出",标准坦克设计!$B$23:$U$23,0)))*(VLOOKUP($B224,INDIRECT($B$5&amp;"生成成长"),3))*(VLOOKUP($B$5,标准坦克设计!$B$14:$K$20,9)/30))</f>
        <v>4.9904861833418419</v>
      </c>
      <c r="EE224" s="173">
        <f ca="1">(VLOOKUP(EE$72,INDIRECT($C$5&amp;"生成成长"),2))/((VLOOKUP($B224,INDIRECT($B$5&amp;"生成成长"),4))/(VLOOKUP(EE$72,INDIRECT($C$5&amp;"生成成长"),5))*(VLOOKUP($B$5,标准坦克设计!$B$24:$U$30,MATCH("对"&amp;LEFT($C$5,2)&amp;"输出",标准坦克设计!$B$23:$U$23,0)))*(VLOOKUP($B224,INDIRECT($B$5&amp;"生成成长"),3))*(VLOOKUP($B$5,标准坦克设计!$B$14:$K$20,9)/30))</f>
        <v>5.4132267012744171</v>
      </c>
      <c r="EF224" s="173">
        <f ca="1">(VLOOKUP(EF$72,INDIRECT($C$5&amp;"生成成长"),2))/((VLOOKUP($B224,INDIRECT($B$5&amp;"生成成长"),4))/(VLOOKUP(EF$72,INDIRECT($C$5&amp;"生成成长"),5))*(VLOOKUP($B$5,标准坦克设计!$B$24:$U$30,MATCH("对"&amp;LEFT($C$5,2)&amp;"输出",标准坦克设计!$B$23:$U$23,0)))*(VLOOKUP($B224,INDIRECT($B$5&amp;"生成成长"),3))*(VLOOKUP($B$5,标准坦克设计!$B$14:$K$20,9)/30))</f>
        <v>5.8531517931066892</v>
      </c>
      <c r="EG224" s="173">
        <f ca="1">(VLOOKUP(EG$72,INDIRECT($C$5&amp;"生成成长"),2))/((VLOOKUP($B224,INDIRECT($B$5&amp;"生成成长"),4))/(VLOOKUP(EG$72,INDIRECT($C$5&amp;"生成成长"),5))*(VLOOKUP($B$5,标准坦克设计!$B$24:$U$30,MATCH("对"&amp;LEFT($C$5,2)&amp;"输出",标准坦克设计!$B$23:$U$23,0)))*(VLOOKUP($B224,INDIRECT($B$5&amp;"生成成长"),3))*(VLOOKUP($B$5,标准坦克设计!$B$14:$K$20,9)/30))</f>
        <v>6.310261458838661</v>
      </c>
      <c r="EH224" s="173">
        <f ca="1">(VLOOKUP(EH$72,INDIRECT($C$5&amp;"生成成长"),2))/((VLOOKUP($B224,INDIRECT($B$5&amp;"生成成长"),4))/(VLOOKUP(EH$72,INDIRECT($C$5&amp;"生成成长"),5))*(VLOOKUP($B$5,标准坦克设计!$B$24:$U$30,MATCH("对"&amp;LEFT($C$5,2)&amp;"输出",标准坦克设计!$B$23:$U$23,0)))*(VLOOKUP($B224,INDIRECT($B$5&amp;"生成成长"),3))*(VLOOKUP($B$5,标准坦克设计!$B$14:$K$20,9)/30))</f>
        <v>6.7845556984703306</v>
      </c>
      <c r="EI224" s="173">
        <f ca="1">(VLOOKUP(EI$72,INDIRECT($C$5&amp;"生成成长"),2))/((VLOOKUP($B224,INDIRECT($B$5&amp;"生成成长"),4))/(VLOOKUP(EI$72,INDIRECT($C$5&amp;"生成成长"),5))*(VLOOKUP($B$5,标准坦克设计!$B$24:$U$30,MATCH("对"&amp;LEFT($C$5,2)&amp;"输出",标准坦克设计!$B$23:$U$23,0)))*(VLOOKUP($B224,INDIRECT($B$5&amp;"生成成长"),3))*(VLOOKUP($B$5,标准坦克设计!$B$14:$K$20,9)/30))</f>
        <v>7.2760345120016945</v>
      </c>
      <c r="EJ224" s="173">
        <f ca="1">(VLOOKUP(EJ$72,INDIRECT($C$5&amp;"生成成长"),2))/((VLOOKUP($B224,INDIRECT($B$5&amp;"生成成长"),4))/(VLOOKUP(EJ$72,INDIRECT($C$5&amp;"生成成长"),5))*(VLOOKUP($B$5,标准坦克设计!$B$24:$U$30,MATCH("对"&amp;LEFT($C$5,2)&amp;"输出",标准坦克设计!$B$23:$U$23,0)))*(VLOOKUP($B224,INDIRECT($B$5&amp;"生成成长"),3))*(VLOOKUP($B$5,标准坦克设计!$B$14:$K$20,9)/30))</f>
        <v>7.7846978994327607</v>
      </c>
      <c r="EK224" s="173">
        <f ca="1">(VLOOKUP(EK$72,INDIRECT($C$5&amp;"生成成长"),2))/((VLOOKUP($B224,INDIRECT($B$5&amp;"生成成长"),4))/(VLOOKUP(EK$72,INDIRECT($C$5&amp;"生成成长"),5))*(VLOOKUP($B$5,标准坦克设计!$B$24:$U$30,MATCH("对"&amp;LEFT($C$5,2)&amp;"输出",标准坦克设计!$B$23:$U$23,0)))*(VLOOKUP($B224,INDIRECT($B$5&amp;"生成成长"),3))*(VLOOKUP($B$5,标准坦克设计!$B$14:$K$20,9)/30))</f>
        <v>8.417777601897642</v>
      </c>
      <c r="EL224" s="173">
        <f ca="1">(VLOOKUP(EL$72,INDIRECT($C$5&amp;"生成成长"),2))/((VLOOKUP($B224,INDIRECT($B$5&amp;"生成成长"),4))/(VLOOKUP(EL$72,INDIRECT($C$5&amp;"生成成长"),5))*(VLOOKUP($B$5,标准坦克设计!$B$24:$U$30,MATCH("对"&amp;LEFT($C$5,2)&amp;"输出",标准坦克设计!$B$23:$U$23,0)))*(VLOOKUP($B224,INDIRECT($B$5&amp;"生成成长"),3))*(VLOOKUP($B$5,标准坦克设计!$B$14:$K$20,9)/30))</f>
        <v>9.0756030907780882</v>
      </c>
      <c r="EM224" s="173">
        <f ca="1">(VLOOKUP(EM$72,INDIRECT($C$5&amp;"生成成长"),2))/((VLOOKUP($B224,INDIRECT($B$5&amp;"生成成长"),4))/(VLOOKUP(EM$72,INDIRECT($C$5&amp;"生成成长"),5))*(VLOOKUP($B$5,标准坦克设计!$B$24:$U$30,MATCH("对"&amp;LEFT($C$5,2)&amp;"输出",标准坦克设计!$B$23:$U$23,0)))*(VLOOKUP($B224,INDIRECT($B$5&amp;"生成成长"),3))*(VLOOKUP($B$5,标准坦克设计!$B$14:$K$20,9)/30))</f>
        <v>9.7581743660740976</v>
      </c>
      <c r="EN224" s="173">
        <f ca="1">(VLOOKUP(EN$72,INDIRECT($C$5&amp;"生成成长"),2))/((VLOOKUP($B224,INDIRECT($B$5&amp;"生成成长"),4))/(VLOOKUP(EN$72,INDIRECT($C$5&amp;"生成成长"),5))*(VLOOKUP($B$5,标准坦克设计!$B$24:$U$30,MATCH("对"&amp;LEFT($C$5,2)&amp;"输出",标准坦克设计!$B$23:$U$23,0)))*(VLOOKUP($B224,INDIRECT($B$5&amp;"生成成长"),3))*(VLOOKUP($B$5,标准坦克设计!$B$14:$K$20,9)/30))</f>
        <v>10.465491427785672</v>
      </c>
      <c r="EO224" s="173">
        <f ca="1">(VLOOKUP(EO$72,INDIRECT($C$5&amp;"生成成长"),2))/((VLOOKUP($B224,INDIRECT($B$5&amp;"生成成长"),4))/(VLOOKUP(EO$72,INDIRECT($C$5&amp;"生成成长"),5))*(VLOOKUP($B$5,标准坦克设计!$B$24:$U$30,MATCH("对"&amp;LEFT($C$5,2)&amp;"输出",标准坦克设计!$B$23:$U$23,0)))*(VLOOKUP($B224,INDIRECT($B$5&amp;"生成成长"),3))*(VLOOKUP($B$5,标准坦克设计!$B$14:$K$20,9)/30))</f>
        <v>11.197554275912815</v>
      </c>
      <c r="EP224" s="173">
        <f ca="1">(VLOOKUP(EP$72,INDIRECT($C$5&amp;"生成成长"),2))/((VLOOKUP($B224,INDIRECT($B$5&amp;"生成成长"),4))/(VLOOKUP(EP$72,INDIRECT($C$5&amp;"生成成长"),5))*(VLOOKUP($B$5,标准坦克设计!$B$24:$U$30,MATCH("对"&amp;LEFT($C$5,2)&amp;"输出",标准坦克设计!$B$23:$U$23,0)))*(VLOOKUP($B224,INDIRECT($B$5&amp;"生成成长"),3))*(VLOOKUP($B$5,标准坦克设计!$B$14:$K$20,9)/30))</f>
        <v>11.95436291045552</v>
      </c>
      <c r="EQ224" s="173">
        <f ca="1">(VLOOKUP(EQ$72,INDIRECT($C$5&amp;"生成成长"),2))/((VLOOKUP($B224,INDIRECT($B$5&amp;"生成成长"),4))/(VLOOKUP(EQ$72,INDIRECT($C$5&amp;"生成成长"),5))*(VLOOKUP($B$5,标准坦克设计!$B$24:$U$30,MATCH("对"&amp;LEFT($C$5,2)&amp;"输出",标准坦克设计!$B$23:$U$23,0)))*(VLOOKUP($B224,INDIRECT($B$5&amp;"生成成长"),3))*(VLOOKUP($B$5,标准坦克设计!$B$14:$K$20,9)/30))</f>
        <v>5.2846001656351751</v>
      </c>
      <c r="ER224" s="173">
        <f ca="1">(VLOOKUP(ER$72,INDIRECT($C$5&amp;"生成成长"),2))/((VLOOKUP($B224,INDIRECT($B$5&amp;"生成成长"),4))/(VLOOKUP(ER$72,INDIRECT($C$5&amp;"生成成长"),5))*(VLOOKUP($B$5,标准坦克设计!$B$24:$U$30,MATCH("对"&amp;LEFT($C$5,2)&amp;"输出",标准坦克设计!$B$23:$U$23,0)))*(VLOOKUP($B224,INDIRECT($B$5&amp;"生成成长"),3))*(VLOOKUP($B$5,标准坦克设计!$B$14:$K$20,9)/30))</f>
        <v>5.7637920088282595</v>
      </c>
      <c r="ES224" s="173">
        <f ca="1">(VLOOKUP(ES$72,INDIRECT($C$5&amp;"生成成长"),2))/((VLOOKUP($B224,INDIRECT($B$5&amp;"生成成长"),4))/(VLOOKUP(ES$72,INDIRECT($C$5&amp;"生成成长"),5))*(VLOOKUP($B$5,标准坦克设计!$B$24:$U$30,MATCH("对"&amp;LEFT($C$5,2)&amp;"输出",标准坦克设计!$B$23:$U$23,0)))*(VLOOKUP($B224,INDIRECT($B$5&amp;"生成成长"),3))*(VLOOKUP($B$5,标准坦克设计!$B$14:$K$20,9)/30))</f>
        <v>6.2637771864399765</v>
      </c>
      <c r="ET224" s="173">
        <f ca="1">(VLOOKUP(ET$72,INDIRECT($C$5&amp;"生成成长"),2))/((VLOOKUP($B224,INDIRECT($B$5&amp;"生成成长"),4))/(VLOOKUP(ET$72,INDIRECT($C$5&amp;"生成成长"),5))*(VLOOKUP($B$5,标准坦克设计!$B$24:$U$30,MATCH("对"&amp;LEFT($C$5,2)&amp;"输出",标准坦克设计!$B$23:$U$23,0)))*(VLOOKUP($B224,INDIRECT($B$5&amp;"生成成长"),3))*(VLOOKUP($B$5,标准坦克设计!$B$14:$K$20,9)/30))</f>
        <v>6.7845556984703306</v>
      </c>
      <c r="EU224" s="173">
        <f ca="1">(VLOOKUP(EU$72,INDIRECT($C$5&amp;"生成成长"),2))/((VLOOKUP($B224,INDIRECT($B$5&amp;"生成成长"),4))/(VLOOKUP(EU$72,INDIRECT($C$5&amp;"生成成长"),5))*(VLOOKUP($B$5,标准坦克设计!$B$24:$U$30,MATCH("对"&amp;LEFT($C$5,2)&amp;"输出",标准坦克设计!$B$23:$U$23,0)))*(VLOOKUP($B224,INDIRECT($B$5&amp;"生成成长"),3))*(VLOOKUP($B$5,标准坦克设计!$B$14:$K$20,9)/30))</f>
        <v>7.3261275449193182</v>
      </c>
      <c r="EV224" s="173">
        <f ca="1">(VLOOKUP(EV$72,INDIRECT($C$5&amp;"生成成长"),2))/((VLOOKUP($B224,INDIRECT($B$5&amp;"生成成长"),4))/(VLOOKUP(EV$72,INDIRECT($C$5&amp;"生成成长"),5))*(VLOOKUP($B$5,标准坦克设计!$B$24:$U$30,MATCH("对"&amp;LEFT($C$5,2)&amp;"输出",标准坦克设计!$B$23:$U$23,0)))*(VLOOKUP($B224,INDIRECT($B$5&amp;"生成成长"),3))*(VLOOKUP($B$5,标准坦克设计!$B$14:$K$20,9)/30))</f>
        <v>7.8884927257869393</v>
      </c>
      <c r="EW224" s="173">
        <f ca="1">(VLOOKUP(EW$72,INDIRECT($C$5&amp;"生成成长"),2))/((VLOOKUP($B224,INDIRECT($B$5&amp;"生成成长"),4))/(VLOOKUP(EW$72,INDIRECT($C$5&amp;"生成成长"),5))*(VLOOKUP($B$5,标准坦克设计!$B$24:$U$30,MATCH("对"&amp;LEFT($C$5,2)&amp;"输出",标准坦克设计!$B$23:$U$23,0)))*(VLOOKUP($B224,INDIRECT($B$5&amp;"生成成长"),3))*(VLOOKUP($B$5,标准坦克设计!$B$14:$K$20,9)/30))</f>
        <v>8.471651241073193</v>
      </c>
      <c r="EX224" s="173">
        <f ca="1">(VLOOKUP(EX$72,INDIRECT($C$5&amp;"生成成长"),2))/((VLOOKUP($B224,INDIRECT($B$5&amp;"生成成长"),4))/(VLOOKUP(EX$72,INDIRECT($C$5&amp;"生成成长"),5))*(VLOOKUP($B$5,标准坦克设计!$B$24:$U$30,MATCH("对"&amp;LEFT($C$5,2)&amp;"输出",标准坦克设计!$B$23:$U$23,0)))*(VLOOKUP($B224,INDIRECT($B$5&amp;"生成成长"),3))*(VLOOKUP($B$5,标准坦克设计!$B$14:$K$20,9)/30))</f>
        <v>9.0756030907780882</v>
      </c>
      <c r="EY224" s="173">
        <f ca="1">(VLOOKUP(EY$72,INDIRECT($C$5&amp;"生成成长"),2))/((VLOOKUP($B224,INDIRECT($B$5&amp;"生成成长"),4))/(VLOOKUP(EY$72,INDIRECT($C$5&amp;"生成成长"),5))*(VLOOKUP($B$5,标准坦克设计!$B$24:$U$30,MATCH("对"&amp;LEFT($C$5,2)&amp;"输出",标准坦克设计!$B$23:$U$23,0)))*(VLOOKUP($B224,INDIRECT($B$5&amp;"生成成长"),3))*(VLOOKUP($B$5,标准坦克设计!$B$14:$K$20,9)/30))</f>
        <v>9.7003482749016143</v>
      </c>
      <c r="EZ224" s="173">
        <f ca="1">(VLOOKUP(EZ$72,INDIRECT($C$5&amp;"生成成长"),2))/((VLOOKUP($B224,INDIRECT($B$5&amp;"生成成长"),4))/(VLOOKUP(EZ$72,INDIRECT($C$5&amp;"生成成长"),5))*(VLOOKUP($B$5,标准坦克设计!$B$24:$U$30,MATCH("对"&amp;LEFT($C$5,2)&amp;"输出",标准坦克设计!$B$23:$U$23,0)))*(VLOOKUP($B224,INDIRECT($B$5&amp;"生成成长"),3))*(VLOOKUP($B$5,标准坦克设计!$B$14:$K$20,9)/30))</f>
        <v>10.345886793443775</v>
      </c>
      <c r="FA224" s="173">
        <f ca="1">(VLOOKUP(FA$72,INDIRECT($C$5&amp;"生成成长"),2))/((VLOOKUP($B224,INDIRECT($B$5&amp;"生成成长"),4))/(VLOOKUP(FA$72,INDIRECT($C$5&amp;"生成成长"),5))*(VLOOKUP($B$5,标准坦克设计!$B$24:$U$30,MATCH("对"&amp;LEFT($C$5,2)&amp;"输出",标准坦克设计!$B$23:$U$23,0)))*(VLOOKUP($B224,INDIRECT($B$5&amp;"生成成长"),3))*(VLOOKUP($B$5,标准坦克设计!$B$14:$K$20,9)/30))</f>
        <v>11.01221864640457</v>
      </c>
      <c r="FB224" s="173">
        <f ca="1">(VLOOKUP(FB$72,INDIRECT($C$5&amp;"生成成长"),2))/((VLOOKUP($B224,INDIRECT($B$5&amp;"生成成长"),4))/(VLOOKUP(FB$72,INDIRECT($C$5&amp;"生成成长"),5))*(VLOOKUP($B$5,标准坦克设计!$B$24:$U$30,MATCH("对"&amp;LEFT($C$5,2)&amp;"输出",标准坦克设计!$B$23:$U$23,0)))*(VLOOKUP($B224,INDIRECT($B$5&amp;"生成成长"),3))*(VLOOKUP($B$5,标准坦克设计!$B$14:$K$20,9)/30))</f>
        <v>11.699343833784001</v>
      </c>
      <c r="FC224" s="173">
        <f ca="1">(VLOOKUP(FC$72,INDIRECT($C$5&amp;"生成成长"),2))/((VLOOKUP($B224,INDIRECT($B$5&amp;"生成成长"),4))/(VLOOKUP(FC$72,INDIRECT($C$5&amp;"生成成长"),5))*(VLOOKUP($B$5,标准坦克设计!$B$24:$U$30,MATCH("对"&amp;LEFT($C$5,2)&amp;"输出",标准坦克设计!$B$23:$U$23,0)))*(VLOOKUP($B224,INDIRECT($B$5&amp;"生成成长"),3))*(VLOOKUP($B$5,标准坦克设计!$B$14:$K$20,9)/30))</f>
        <v>12.407262355582066</v>
      </c>
      <c r="FD224" s="173">
        <f ca="1">(VLOOKUP(FD$72,INDIRECT($C$5&amp;"生成成长"),2))/((VLOOKUP($B224,INDIRECT($B$5&amp;"生成成长"),4))/(VLOOKUP(FD$72,INDIRECT($C$5&amp;"生成成长"),5))*(VLOOKUP($B$5,标准坦克设计!$B$24:$U$30,MATCH("对"&amp;LEFT($C$5,2)&amp;"输出",标准坦克设计!$B$23:$U$23,0)))*(VLOOKUP($B224,INDIRECT($B$5&amp;"生成成长"),3))*(VLOOKUP($B$5,标准坦克设计!$B$14:$K$20,9)/30))</f>
        <v>13.135974211798768</v>
      </c>
      <c r="FE224" s="173">
        <f ca="1">(VLOOKUP(FE$72,INDIRECT($C$5&amp;"生成成长"),2))/((VLOOKUP($B224,INDIRECT($B$5&amp;"生成成长"),4))/(VLOOKUP(FE$72,INDIRECT($C$5&amp;"生成成长"),5))*(VLOOKUP($B$5,标准坦克设计!$B$24:$U$30,MATCH("对"&amp;LEFT($C$5,2)&amp;"输出",标准坦克设计!$B$23:$U$23,0)))*(VLOOKUP($B224,INDIRECT($B$5&amp;"生成成长"),3))*(VLOOKUP($B$5,标准坦克设计!$B$14:$K$20,9)/30))</f>
        <v>14.023987068065669</v>
      </c>
      <c r="FF224" s="173">
        <f ca="1">(VLOOKUP(FF$72,INDIRECT($C$5&amp;"生成成长"),2))/((VLOOKUP($B224,INDIRECT($B$5&amp;"生成成长"),4))/(VLOOKUP(FF$72,INDIRECT($C$5&amp;"生成成长"),5))*(VLOOKUP($B$5,标准坦克设计!$B$24:$U$30,MATCH("对"&amp;LEFT($C$5,2)&amp;"输出",标准坦克设计!$B$23:$U$23,0)))*(VLOOKUP($B224,INDIRECT($B$5&amp;"生成成长"),3))*(VLOOKUP($B$5,标准坦克设计!$B$14:$K$20,9)/30))</f>
        <v>14.941041854223059</v>
      </c>
      <c r="FG224" s="173">
        <f ca="1">(VLOOKUP(FG$72,INDIRECT($C$5&amp;"生成成长"),2))/((VLOOKUP($B224,INDIRECT($B$5&amp;"生成成长"),4))/(VLOOKUP(FG$72,INDIRECT($C$5&amp;"生成成长"),5))*(VLOOKUP($B$5,标准坦克设计!$B$24:$U$30,MATCH("对"&amp;LEFT($C$5,2)&amp;"输出",标准坦克设计!$B$23:$U$23,0)))*(VLOOKUP($B224,INDIRECT($B$5&amp;"生成成长"),3))*(VLOOKUP($B$5,标准坦克设计!$B$14:$K$20,9)/30))</f>
        <v>15.887138570270942</v>
      </c>
      <c r="FH224" s="173">
        <f ca="1">(VLOOKUP(FH$72,INDIRECT($C$5&amp;"生成成长"),2))/((VLOOKUP($B224,INDIRECT($B$5&amp;"生成成长"),4))/(VLOOKUP(FH$72,INDIRECT($C$5&amp;"生成成长"),5))*(VLOOKUP($B$5,标准坦克设计!$B$24:$U$30,MATCH("对"&amp;LEFT($C$5,2)&amp;"输出",标准坦克设计!$B$23:$U$23,0)))*(VLOOKUP($B224,INDIRECT($B$5&amp;"生成成长"),3))*(VLOOKUP($B$5,标准坦克设计!$B$14:$K$20,9)/30))</f>
        <v>16.862277216209314</v>
      </c>
      <c r="FI224" s="173">
        <f ca="1">(VLOOKUP(FI$72,INDIRECT($C$5&amp;"生成成长"),2))/((VLOOKUP($B224,INDIRECT($B$5&amp;"生成成长"),4))/(VLOOKUP(FI$72,INDIRECT($C$5&amp;"生成成长"),5))*(VLOOKUP($B$5,标准坦克设计!$B$24:$U$30,MATCH("对"&amp;LEFT($C$5,2)&amp;"输出",标准坦克设计!$B$23:$U$23,0)))*(VLOOKUP($B224,INDIRECT($B$5&amp;"生成成长"),3))*(VLOOKUP($B$5,标准坦克设计!$B$14:$K$20,9)/30))</f>
        <v>17.866457792038172</v>
      </c>
      <c r="FJ224" s="173">
        <f ca="1">(VLOOKUP(FJ$72,INDIRECT($C$5&amp;"生成成长"),2))/((VLOOKUP($B224,INDIRECT($B$5&amp;"生成成长"),4))/(VLOOKUP(FJ$72,INDIRECT($C$5&amp;"生成成长"),5))*(VLOOKUP($B$5,标准坦克设计!$B$24:$U$30,MATCH("对"&amp;LEFT($C$5,2)&amp;"输出",标准坦克设计!$B$23:$U$23,0)))*(VLOOKUP($B224,INDIRECT($B$5&amp;"生成成长"),3))*(VLOOKUP($B$5,标准坦克设计!$B$14:$K$20,9)/30))</f>
        <v>18.899680297757527</v>
      </c>
      <c r="FK224" s="173">
        <f ca="1">(VLOOKUP(FK$72,INDIRECT($C$5&amp;"生成成长"),2))/((VLOOKUP($B224,INDIRECT($B$5&amp;"生成成长"),4))/(VLOOKUP(FK$72,INDIRECT($C$5&amp;"生成成长"),5))*(VLOOKUP($B$5,标准坦克设计!$B$24:$U$30,MATCH("对"&amp;LEFT($C$5,2)&amp;"输出",标准坦克设计!$B$23:$U$23,0)))*(VLOOKUP($B224,INDIRECT($B$5&amp;"生成成长"),3))*(VLOOKUP($B$5,标准坦克设计!$B$14:$K$20,9)/30))</f>
        <v>19.961944733367368</v>
      </c>
    </row>
    <row r="225" spans="1:167" x14ac:dyDescent="0.15">
      <c r="A225" s="171" t="str">
        <f t="shared" si="13"/>
        <v>T5高品质9级</v>
      </c>
      <c r="B225" s="172">
        <v>30509</v>
      </c>
      <c r="C225" s="173">
        <f ca="1">(VLOOKUP(C$72,INDIRECT($C$5&amp;"生成成长"),2))/((VLOOKUP($B225,INDIRECT($B$5&amp;"生成成长"),4))/(VLOOKUP(C$72,INDIRECT($C$5&amp;"生成成长"),5))*(VLOOKUP($B$5,标准坦克设计!$B$24:$U$30,MATCH("对"&amp;LEFT($C$5,2)&amp;"输出",标准坦克设计!$B$23:$U$23,0)))*(VLOOKUP($B225,INDIRECT($B$5&amp;"生成成长"),3))*(VLOOKUP($B$5,标准坦克设计!$B$14:$K$20,9)/30))</f>
        <v>0.80318913690869997</v>
      </c>
      <c r="D225" s="173">
        <f ca="1">(VLOOKUP(D$72,INDIRECT($C$5&amp;"生成成长"),2))/((VLOOKUP($B225,INDIRECT($B$5&amp;"生成成长"),4))/(VLOOKUP(D$72,INDIRECT($C$5&amp;"生成成长"),5))*(VLOOKUP($B$5,标准坦克设计!$B$24:$U$30,MATCH("对"&amp;LEFT($C$5,2)&amp;"输出",标准坦克设计!$B$23:$U$23,0)))*(VLOOKUP($B225,INDIRECT($B$5&amp;"生成成长"),3))*(VLOOKUP($B$5,标准坦克设计!$B$14:$K$20,9)/30))</f>
        <v>0.9024633142306151</v>
      </c>
      <c r="E225" s="173">
        <f ca="1">(VLOOKUP(E$72,INDIRECT($C$5&amp;"生成成长"),2))/((VLOOKUP($B225,INDIRECT($B$5&amp;"生成成长"),4))/(VLOOKUP(E$72,INDIRECT($C$5&amp;"生成成长"),5))*(VLOOKUP($B$5,标准坦克设计!$B$24:$U$30,MATCH("对"&amp;LEFT($C$5,2)&amp;"输出",标准坦克设计!$B$23:$U$23,0)))*(VLOOKUP($B225,INDIRECT($B$5&amp;"生成成长"),3))*(VLOOKUP($B$5,标准坦克设计!$B$14:$K$20,9)/30))</f>
        <v>1.0075204533382731</v>
      </c>
      <c r="F225" s="173">
        <f ca="1">(VLOOKUP(F$72,INDIRECT($C$5&amp;"生成成长"),2))/((VLOOKUP($B225,INDIRECT($B$5&amp;"生成成长"),4))/(VLOOKUP(F$72,INDIRECT($C$5&amp;"生成成长"),5))*(VLOOKUP($B$5,标准坦克设计!$B$24:$U$30,MATCH("对"&amp;LEFT($C$5,2)&amp;"输出",标准坦克设计!$B$23:$U$23,0)))*(VLOOKUP($B225,INDIRECT($B$5&amp;"生成成长"),3))*(VLOOKUP($B$5,标准坦克设计!$B$14:$K$20,9)/30))</f>
        <v>1.1183605542316735</v>
      </c>
      <c r="G225" s="173">
        <f ca="1">(VLOOKUP(G$72,INDIRECT($C$5&amp;"生成成长"),2))/((VLOOKUP($B225,INDIRECT($B$5&amp;"生成成长"),4))/(VLOOKUP(G$72,INDIRECT($C$5&amp;"生成成长"),5))*(VLOOKUP($B$5,标准坦克设计!$B$24:$U$30,MATCH("对"&amp;LEFT($C$5,2)&amp;"输出",标准坦克设计!$B$23:$U$23,0)))*(VLOOKUP($B225,INDIRECT($B$5&amp;"生成成长"),3))*(VLOOKUP($B$5,标准坦克设计!$B$14:$K$20,9)/30))</f>
        <v>1.2349836169108168</v>
      </c>
      <c r="H225" s="173">
        <f ca="1">(VLOOKUP(H$72,INDIRECT($C$5&amp;"生成成长"),2))/((VLOOKUP($B225,INDIRECT($B$5&amp;"生成成长"),4))/(VLOOKUP(H$72,INDIRECT($C$5&amp;"生成成长"),5))*(VLOOKUP($B$5,标准坦克设计!$B$24:$U$30,MATCH("对"&amp;LEFT($C$5,2)&amp;"输出",标准坦克设计!$B$23:$U$23,0)))*(VLOOKUP($B225,INDIRECT($B$5&amp;"生成成长"),3))*(VLOOKUP($B$5,标准坦克设计!$B$14:$K$20,9)/30))</f>
        <v>1.0807713026243466</v>
      </c>
      <c r="I225" s="173">
        <f ca="1">(VLOOKUP(I$72,INDIRECT($C$5&amp;"生成成长"),2))/((VLOOKUP($B225,INDIRECT($B$5&amp;"生成成长"),4))/(VLOOKUP(I$72,INDIRECT($C$5&amp;"生成成长"),5))*(VLOOKUP($B$5,标准坦克设计!$B$24:$U$30,MATCH("对"&amp;LEFT($C$5,2)&amp;"输出",标准坦克设计!$B$23:$U$23,0)))*(VLOOKUP($B225,INDIRECT($B$5&amp;"生成成长"),3))*(VLOOKUP($B$5,标准坦克设计!$B$14:$K$20,9)/30))</f>
        <v>1.2349836169108168</v>
      </c>
      <c r="J225" s="173">
        <f ca="1">(VLOOKUP(J$72,INDIRECT($C$5&amp;"生成成长"),2))/((VLOOKUP($B225,INDIRECT($B$5&amp;"生成成长"),4))/(VLOOKUP(J$72,INDIRECT($C$5&amp;"生成成长"),5))*(VLOOKUP($B$5,标准坦克设计!$B$24:$U$30,MATCH("对"&amp;LEFT($C$5,2)&amp;"输出",标准坦克设计!$B$23:$U$23,0)))*(VLOOKUP($B225,INDIRECT($B$5&amp;"生成成长"),3))*(VLOOKUP($B$5,标准坦克设计!$B$14:$K$20,9)/30))</f>
        <v>1.3994767521497185</v>
      </c>
      <c r="K225" s="173">
        <f ca="1">(VLOOKUP(K$72,INDIRECT($C$5&amp;"生成成长"),2))/((VLOOKUP($B225,INDIRECT($B$5&amp;"生成成长"),4))/(VLOOKUP(K$72,INDIRECT($C$5&amp;"生成成长"),5))*(VLOOKUP($B$5,标准坦克设计!$B$24:$U$30,MATCH("对"&amp;LEFT($C$5,2)&amp;"输出",标准坦克设计!$B$23:$U$23,0)))*(VLOOKUP($B225,INDIRECT($B$5&amp;"生成成长"),3))*(VLOOKUP($B$5,标准坦克设计!$B$14:$K$20,9)/30))</f>
        <v>1.5742507083410515</v>
      </c>
      <c r="L225" s="173">
        <f ca="1">(VLOOKUP(L$72,INDIRECT($C$5&amp;"生成成长"),2))/((VLOOKUP($B225,INDIRECT($B$5&amp;"生成成长"),4))/(VLOOKUP(L$72,INDIRECT($C$5&amp;"生成成长"),5))*(VLOOKUP($B$5,标准坦克设计!$B$24:$U$30,MATCH("对"&amp;LEFT($C$5,2)&amp;"输出",标准坦克设计!$B$23:$U$23,0)))*(VLOOKUP($B225,INDIRECT($B$5&amp;"生成成长"),3))*(VLOOKUP($B$5,标准坦克设计!$B$14:$K$20,9)/30))</f>
        <v>1.7593054854848158</v>
      </c>
      <c r="M225" s="173">
        <f ca="1">(VLOOKUP(M$72,INDIRECT($C$5&amp;"生成成长"),2))/((VLOOKUP($B225,INDIRECT($B$5&amp;"生成成长"),4))/(VLOOKUP(M$72,INDIRECT($C$5&amp;"生成成长"),5))*(VLOOKUP($B$5,标准坦克设计!$B$24:$U$30,MATCH("对"&amp;LEFT($C$5,2)&amp;"输出",标准坦克设计!$B$23:$U$23,0)))*(VLOOKUP($B225,INDIRECT($B$5&amp;"生成成长"),3))*(VLOOKUP($B$5,标准坦克设计!$B$14:$K$20,9)/30))</f>
        <v>1.954641083581012</v>
      </c>
      <c r="N225" s="173">
        <f ca="1">(VLOOKUP(N$72,INDIRECT($C$5&amp;"生成成长"),2))/((VLOOKUP($B225,INDIRECT($B$5&amp;"生成成长"),4))/(VLOOKUP(N$72,INDIRECT($C$5&amp;"生成成长"),5))*(VLOOKUP($B$5,标准坦克设计!$B$24:$U$30,MATCH("对"&amp;LEFT($C$5,2)&amp;"输出",标准坦克设计!$B$23:$U$23,0)))*(VLOOKUP($B225,INDIRECT($B$5&amp;"生成成长"),3))*(VLOOKUP($B$5,标准坦克设计!$B$14:$K$20,9)/30))</f>
        <v>2.1602575026296389</v>
      </c>
      <c r="O225" s="173">
        <f ca="1">(VLOOKUP(O$72,INDIRECT($C$5&amp;"生成成长"),2))/((VLOOKUP($B225,INDIRECT($B$5&amp;"生成成长"),4))/(VLOOKUP(O$72,INDIRECT($C$5&amp;"生成成长"),5))*(VLOOKUP($B$5,标准坦克设计!$B$24:$U$30,MATCH("对"&amp;LEFT($C$5,2)&amp;"输出",标准坦克设计!$B$23:$U$23,0)))*(VLOOKUP($B225,INDIRECT($B$5&amp;"生成成长"),3))*(VLOOKUP($B$5,标准坦克设计!$B$14:$K$20,9)/30))</f>
        <v>1.6424414660646005</v>
      </c>
      <c r="P225" s="173">
        <f ca="1">(VLOOKUP(P$72,INDIRECT($C$5&amp;"生成成长"),2))/((VLOOKUP($B225,INDIRECT($B$5&amp;"生成成长"),4))/(VLOOKUP(P$72,INDIRECT($C$5&amp;"生成成长"),5))*(VLOOKUP($B$5,标准坦克设计!$B$24:$U$30,MATCH("对"&amp;LEFT($C$5,2)&amp;"输出",标准坦克设计!$B$23:$U$23,0)))*(VLOOKUP($B225,INDIRECT($B$5&amp;"生成成长"),3))*(VLOOKUP($B$5,标准坦克设计!$B$14:$K$20,9)/30))</f>
        <v>1.85568818191386</v>
      </c>
      <c r="Q225" s="173">
        <f ca="1">(VLOOKUP(Q$72,INDIRECT($C$5&amp;"生成成长"),2))/((VLOOKUP($B225,INDIRECT($B$5&amp;"生成成长"),4))/(VLOOKUP(Q$72,INDIRECT($C$5&amp;"生成成长"),5))*(VLOOKUP($B$5,标准坦克设计!$B$24:$U$30,MATCH("对"&amp;LEFT($C$5,2)&amp;"输出",标准坦克设计!$B$23:$U$23,0)))*(VLOOKUP($B225,INDIRECT($B$5&amp;"生成成长"),3))*(VLOOKUP($B$5,标准坦克设计!$B$14:$K$20,9)/30))</f>
        <v>2.0819465617810406</v>
      </c>
      <c r="R225" s="173">
        <f ca="1">(VLOOKUP(R$72,INDIRECT($C$5&amp;"生成成长"),2))/((VLOOKUP($B225,INDIRECT($B$5&amp;"生成成长"),4))/(VLOOKUP(R$72,INDIRECT($C$5&amp;"生成成长"),5))*(VLOOKUP($B$5,标准坦克设计!$B$24:$U$30,MATCH("对"&amp;LEFT($C$5,2)&amp;"输出",标准坦克设计!$B$23:$U$23,0)))*(VLOOKUP($B225,INDIRECT($B$5&amp;"生成成长"),3))*(VLOOKUP($B$5,标准坦克设计!$B$14:$K$20,9)/30))</f>
        <v>2.3212166056661427</v>
      </c>
      <c r="S225" s="173">
        <f ca="1">(VLOOKUP(S$72,INDIRECT($C$5&amp;"生成成长"),2))/((VLOOKUP($B225,INDIRECT($B$5&amp;"生成成长"),4))/(VLOOKUP(S$72,INDIRECT($C$5&amp;"生成成长"),5))*(VLOOKUP($B$5,标准坦克设计!$B$24:$U$30,MATCH("对"&amp;LEFT($C$5,2)&amp;"输出",标准坦克设计!$B$23:$U$23,0)))*(VLOOKUP($B225,INDIRECT($B$5&amp;"生成成长"),3))*(VLOOKUP($B$5,标准坦克设计!$B$14:$K$20,9)/30))</f>
        <v>2.5734983135691647</v>
      </c>
      <c r="T225" s="173">
        <f ca="1">(VLOOKUP(T$72,INDIRECT($C$5&amp;"生成成长"),2))/((VLOOKUP($B225,INDIRECT($B$5&amp;"生成成长"),4))/(VLOOKUP(T$72,INDIRECT($C$5&amp;"生成成长"),5))*(VLOOKUP($B$5,标准坦克设计!$B$24:$U$30,MATCH("对"&amp;LEFT($C$5,2)&amp;"输出",标准坦克设计!$B$23:$U$23,0)))*(VLOOKUP($B225,INDIRECT($B$5&amp;"生成成长"),3))*(VLOOKUP($B$5,标准坦克设计!$B$14:$K$20,9)/30))</f>
        <v>2.8387916854901087</v>
      </c>
      <c r="U225" s="173">
        <f ca="1">(VLOOKUP(U$72,INDIRECT($C$5&amp;"生成成长"),2))/((VLOOKUP($B225,INDIRECT($B$5&amp;"生成成长"),4))/(VLOOKUP(U$72,INDIRECT($C$5&amp;"生成成长"),5))*(VLOOKUP($B$5,标准坦克设计!$B$24:$U$30,MATCH("对"&amp;LEFT($C$5,2)&amp;"输出",标准坦克设计!$B$23:$U$23,0)))*(VLOOKUP($B225,INDIRECT($B$5&amp;"生成成长"),3))*(VLOOKUP($B$5,标准坦克设计!$B$14:$K$20,9)/30))</f>
        <v>3.1170967214289731</v>
      </c>
      <c r="V225" s="173">
        <f ca="1">(VLOOKUP(V$72,INDIRECT($C$5&amp;"生成成长"),2))/((VLOOKUP($B225,INDIRECT($B$5&amp;"生成成长"),4))/(VLOOKUP(V$72,INDIRECT($C$5&amp;"生成成长"),5))*(VLOOKUP($B$5,标准坦克设计!$B$24:$U$30,MATCH("对"&amp;LEFT($C$5,2)&amp;"输出",标准坦克设计!$B$23:$U$23,0)))*(VLOOKUP($B225,INDIRECT($B$5&amp;"生成成长"),3))*(VLOOKUP($B$5,标准坦克设计!$B$14:$K$20,9)/30))</f>
        <v>3.4084134213857586</v>
      </c>
      <c r="W225" s="173">
        <f ca="1">(VLOOKUP(W$72,INDIRECT($C$5&amp;"生成成长"),2))/((VLOOKUP($B225,INDIRECT($B$5&amp;"生成成长"),4))/(VLOOKUP(W$72,INDIRECT($C$5&amp;"生成成长"),5))*(VLOOKUP($B$5,标准坦克设计!$B$24:$U$30,MATCH("对"&amp;LEFT($C$5,2)&amp;"输出",标准坦克设计!$B$23:$U$23,0)))*(VLOOKUP($B225,INDIRECT($B$5&amp;"生成成长"),3))*(VLOOKUP($B$5,标准坦克设计!$B$14:$K$20,9)/30))</f>
        <v>3.7127417853604654</v>
      </c>
      <c r="X225" s="173">
        <f ca="1">(VLOOKUP(X$72,INDIRECT($C$5&amp;"生成成长"),2))/((VLOOKUP($B225,INDIRECT($B$5&amp;"生成成长"),4))/(VLOOKUP(X$72,INDIRECT($C$5&amp;"生成成长"),5))*(VLOOKUP($B$5,标准坦克设计!$B$24:$U$30,MATCH("对"&amp;LEFT($C$5,2)&amp;"输出",标准坦克设计!$B$23:$U$23,0)))*(VLOOKUP($B225,INDIRECT($B$5&amp;"生成成长"),3))*(VLOOKUP($B$5,标准坦克设计!$B$14:$K$20,9)/30))</f>
        <v>2.6898001005935446</v>
      </c>
      <c r="Y225" s="173">
        <f ca="1">(VLOOKUP(Y$72,INDIRECT($C$5&amp;"生成成长"),2))/((VLOOKUP($B225,INDIRECT($B$5&amp;"生成成长"),4))/(VLOOKUP(Y$72,INDIRECT($C$5&amp;"生成成长"),5))*(VLOOKUP($B$5,标准坦克设计!$B$24:$U$30,MATCH("对"&amp;LEFT($C$5,2)&amp;"输出",标准坦克设计!$B$23:$U$23,0)))*(VLOOKUP($B225,INDIRECT($B$5&amp;"生成成长"),3))*(VLOOKUP($B$5,标准坦克设计!$B$14:$K$20,9)/30))</f>
        <v>2.9917992160712163</v>
      </c>
      <c r="Z225" s="173">
        <f ca="1">(VLOOKUP(Z$72,INDIRECT($C$5&amp;"生成成长"),2))/((VLOOKUP($B225,INDIRECT($B$5&amp;"生成成长"),4))/(VLOOKUP(Z$72,INDIRECT($C$5&amp;"生成成长"),5))*(VLOOKUP($B$5,标准坦克设计!$B$24:$U$30,MATCH("对"&amp;LEFT($C$5,2)&amp;"输出",标准坦克设计!$B$23:$U$23,0)))*(VLOOKUP($B225,INDIRECT($B$5&amp;"生成成长"),3))*(VLOOKUP($B$5,标准坦克设计!$B$14:$K$20,9)/30))</f>
        <v>3.3098621142870615</v>
      </c>
      <c r="AA225" s="173">
        <f ca="1">(VLOOKUP(AA$72,INDIRECT($C$5&amp;"生成成长"),2))/((VLOOKUP($B225,INDIRECT($B$5&amp;"生成成长"),4))/(VLOOKUP(AA$72,INDIRECT($C$5&amp;"生成成长"),5))*(VLOOKUP($B$5,标准坦克设计!$B$24:$U$30,MATCH("对"&amp;LEFT($C$5,2)&amp;"输出",标准坦克设计!$B$23:$U$23,0)))*(VLOOKUP($B225,INDIRECT($B$5&amp;"生成成长"),3))*(VLOOKUP($B$5,标准坦克设计!$B$14:$K$20,9)/30))</f>
        <v>3.6439887952410803</v>
      </c>
      <c r="AB225" s="173">
        <f ca="1">(VLOOKUP(AB$72,INDIRECT($C$5&amp;"生成成长"),2))/((VLOOKUP($B225,INDIRECT($B$5&amp;"生成成长"),4))/(VLOOKUP(AB$72,INDIRECT($C$5&amp;"生成成长"),5))*(VLOOKUP($B$5,标准坦克设计!$B$24:$U$30,MATCH("对"&amp;LEFT($C$5,2)&amp;"输出",标准坦克设计!$B$23:$U$23,0)))*(VLOOKUP($B225,INDIRECT($B$5&amp;"生成成长"),3))*(VLOOKUP($B$5,标准坦克设计!$B$14:$K$20,9)/30))</f>
        <v>3.9941792589332734</v>
      </c>
      <c r="AC225" s="173">
        <f ca="1">(VLOOKUP(AC$72,INDIRECT($C$5&amp;"生成成长"),2))/((VLOOKUP($B225,INDIRECT($B$5&amp;"生成成长"),4))/(VLOOKUP(AC$72,INDIRECT($C$5&amp;"生成成长"),5))*(VLOOKUP($B$5,标准坦克设计!$B$24:$U$30,MATCH("对"&amp;LEFT($C$5,2)&amp;"输出",标准坦克设计!$B$23:$U$23,0)))*(VLOOKUP($B225,INDIRECT($B$5&amp;"生成成长"),3))*(VLOOKUP($B$5,标准坦克设计!$B$14:$K$20,9)/30))</f>
        <v>4.3604335053636403</v>
      </c>
      <c r="AD225" s="173">
        <f ca="1">(VLOOKUP(AD$72,INDIRECT($C$5&amp;"生成成长"),2))/((VLOOKUP($B225,INDIRECT($B$5&amp;"生成成长"),4))/(VLOOKUP(AD$72,INDIRECT($C$5&amp;"生成成长"),5))*(VLOOKUP($B$5,标准坦克设计!$B$24:$U$30,MATCH("对"&amp;LEFT($C$5,2)&amp;"输出",标准坦克设计!$B$23:$U$23,0)))*(VLOOKUP($B225,INDIRECT($B$5&amp;"生成成长"),3))*(VLOOKUP($B$5,标准坦克设计!$B$14:$K$20,9)/30))</f>
        <v>4.7427515345321813</v>
      </c>
      <c r="AE225" s="173">
        <f ca="1">(VLOOKUP(AE$72,INDIRECT($C$5&amp;"生成成长"),2))/((VLOOKUP($B225,INDIRECT($B$5&amp;"生成成长"),4))/(VLOOKUP(AE$72,INDIRECT($C$5&amp;"生成成长"),5))*(VLOOKUP($B$5,标准坦克设计!$B$24:$U$30,MATCH("对"&amp;LEFT($C$5,2)&amp;"输出",标准坦克设计!$B$23:$U$23,0)))*(VLOOKUP($B225,INDIRECT($B$5&amp;"生成成长"),3))*(VLOOKUP($B$5,标准坦克设计!$B$14:$K$20,9)/30))</f>
        <v>5.1411333464388962</v>
      </c>
      <c r="AF225" s="173">
        <f ca="1">(VLOOKUP(AF$72,INDIRECT($C$5&amp;"生成成长"),2))/((VLOOKUP($B225,INDIRECT($B$5&amp;"生成成长"),4))/(VLOOKUP(AF$72,INDIRECT($C$5&amp;"生成成长"),5))*(VLOOKUP($B$5,标准坦克设计!$B$24:$U$30,MATCH("对"&amp;LEFT($C$5,2)&amp;"输出",标准坦克设计!$B$23:$U$23,0)))*(VLOOKUP($B225,INDIRECT($B$5&amp;"生成成长"),3))*(VLOOKUP($B$5,标准坦克设计!$B$14:$K$20,9)/30))</f>
        <v>5.5555789410837848</v>
      </c>
      <c r="AG225" s="173">
        <f ca="1">(VLOOKUP(AG$72,INDIRECT($C$5&amp;"生成成长"),2))/((VLOOKUP($B225,INDIRECT($B$5&amp;"生成成长"),4))/(VLOOKUP(AG$72,INDIRECT($C$5&amp;"生成成长"),5))*(VLOOKUP($B$5,标准坦克设计!$B$24:$U$30,MATCH("对"&amp;LEFT($C$5,2)&amp;"输出",标准坦克设计!$B$23:$U$23,0)))*(VLOOKUP($B225,INDIRECT($B$5&amp;"生成成长"),3))*(VLOOKUP($B$5,标准坦克设计!$B$14:$K$20,9)/30))</f>
        <v>5.986088318466849</v>
      </c>
      <c r="AH225" s="173">
        <f ca="1">(VLOOKUP(AH$72,INDIRECT($C$5&amp;"生成成长"),2))/((VLOOKUP($B225,INDIRECT($B$5&amp;"生成成长"),4))/(VLOOKUP(AH$72,INDIRECT($C$5&amp;"生成成长"),5))*(VLOOKUP($B$5,标准坦克设计!$B$24:$U$30,MATCH("对"&amp;LEFT($C$5,2)&amp;"输出",标准坦克设计!$B$23:$U$23,0)))*(VLOOKUP($B225,INDIRECT($B$5&amp;"生成成长"),3))*(VLOOKUP($B$5,标准坦克设计!$B$14:$K$20,9)/30))</f>
        <v>6.432661478588086</v>
      </c>
      <c r="AI225" s="173">
        <f ca="1">(VLOOKUP(AI$72,INDIRECT($C$5&amp;"生成成长"),2))/((VLOOKUP($B225,INDIRECT($B$5&amp;"生成成长"),4))/(VLOOKUP(AI$72,INDIRECT($C$5&amp;"生成成长"),5))*(VLOOKUP($B$5,标准坦克设计!$B$24:$U$30,MATCH("对"&amp;LEFT($C$5,2)&amp;"输出",标准坦克设计!$B$23:$U$23,0)))*(VLOOKUP($B225,INDIRECT($B$5&amp;"生成成长"),3))*(VLOOKUP($B$5,标准坦克设计!$B$14:$K$20,9)/30))</f>
        <v>4.5495845471056393</v>
      </c>
      <c r="AJ225" s="173">
        <f ca="1">(VLOOKUP(AJ$72,INDIRECT($C$5&amp;"生成成长"),2))/((VLOOKUP($B225,INDIRECT($B$5&amp;"生成成长"),4))/(VLOOKUP(AJ$72,INDIRECT($C$5&amp;"生成成长"),5))*(VLOOKUP($B$5,标准坦克设计!$B$24:$U$30,MATCH("对"&amp;LEFT($C$5,2)&amp;"输出",标准坦克设计!$B$23:$U$23,0)))*(VLOOKUP($B225,INDIRECT($B$5&amp;"生成成长"),3))*(VLOOKUP($B$5,标准坦克设计!$B$14:$K$20,9)/30))</f>
        <v>4.9798529677476298</v>
      </c>
      <c r="AK225" s="173">
        <f ca="1">(VLOOKUP(AK$72,INDIRECT($C$5&amp;"生成成长"),2))/((VLOOKUP($B225,INDIRECT($B$5&amp;"生成成长"),4))/(VLOOKUP(AK$72,INDIRECT($C$5&amp;"生成成长"),5))*(VLOOKUP($B$5,标准坦克设计!$B$24:$U$30,MATCH("对"&amp;LEFT($C$5,2)&amp;"输出",标准坦克设计!$B$23:$U$23,0)))*(VLOOKUP($B225,INDIRECT($B$5&amp;"生成成长"),3))*(VLOOKUP($B$5,标准坦克设计!$B$14:$K$20,9)/30))</f>
        <v>5.4295585655028109</v>
      </c>
      <c r="AL225" s="173">
        <f ca="1">(VLOOKUP(AL$72,INDIRECT($C$5&amp;"生成成长"),2))/((VLOOKUP($B225,INDIRECT($B$5&amp;"生成成长"),4))/(VLOOKUP(AL$72,INDIRECT($C$5&amp;"生成成长"),5))*(VLOOKUP($B$5,标准坦克设计!$B$24:$U$30,MATCH("对"&amp;LEFT($C$5,2)&amp;"输出",标准坦克设计!$B$23:$U$23,0)))*(VLOOKUP($B225,INDIRECT($B$5&amp;"生成成长"),3))*(VLOOKUP($B$5,标准坦克设计!$B$14:$K$20,9)/30))</f>
        <v>5.8987013403711819</v>
      </c>
      <c r="AM225" s="173">
        <f ca="1">(VLOOKUP(AM$72,INDIRECT($C$5&amp;"生成成长"),2))/((VLOOKUP($B225,INDIRECT($B$5&amp;"生成成长"),4))/(VLOOKUP(AM$72,INDIRECT($C$5&amp;"生成成长"),5))*(VLOOKUP($B$5,标准坦克设计!$B$24:$U$30,MATCH("对"&amp;LEFT($C$5,2)&amp;"输出",标准坦克设计!$B$23:$U$23,0)))*(VLOOKUP($B225,INDIRECT($B$5&amp;"生成成长"),3))*(VLOOKUP($B$5,标准坦克设计!$B$14:$K$20,9)/30))</f>
        <v>6.3872812923527453</v>
      </c>
      <c r="AN225" s="173">
        <f ca="1">(VLOOKUP(AN$72,INDIRECT($C$5&amp;"生成成长"),2))/((VLOOKUP($B225,INDIRECT($B$5&amp;"生成成长"),4))/(VLOOKUP(AN$72,INDIRECT($C$5&amp;"生成成长"),5))*(VLOOKUP($B$5,标准坦克设计!$B$24:$U$30,MATCH("对"&amp;LEFT($C$5,2)&amp;"输出",标准坦克设计!$B$23:$U$23,0)))*(VLOOKUP($B225,INDIRECT($B$5&amp;"生成成长"),3))*(VLOOKUP($B$5,标准坦克设计!$B$14:$K$20,9)/30))</f>
        <v>6.8952984214474968</v>
      </c>
      <c r="AO225" s="173">
        <f ca="1">(VLOOKUP(AO$72,INDIRECT($C$5&amp;"生成成长"),2))/((VLOOKUP($B225,INDIRECT($B$5&amp;"生成成长"),4))/(VLOOKUP(AO$72,INDIRECT($C$5&amp;"生成成长"),5))*(VLOOKUP($B$5,标准坦克设计!$B$24:$U$30,MATCH("对"&amp;LEFT($C$5,2)&amp;"输出",标准坦克设计!$B$23:$U$23,0)))*(VLOOKUP($B225,INDIRECT($B$5&amp;"生成成长"),3))*(VLOOKUP($B$5,标准坦克设计!$B$14:$K$20,9)/30))</f>
        <v>7.4227527276554399</v>
      </c>
      <c r="AP225" s="173">
        <f ca="1">(VLOOKUP(AP$72,INDIRECT($C$5&amp;"生成成长"),2))/((VLOOKUP($B225,INDIRECT($B$5&amp;"生成成长"),4))/(VLOOKUP(AP$72,INDIRECT($C$5&amp;"生成成长"),5))*(VLOOKUP($B$5,标准坦克设计!$B$24:$U$30,MATCH("对"&amp;LEFT($C$5,2)&amp;"输出",标准坦克设计!$B$23:$U$23,0)))*(VLOOKUP($B225,INDIRECT($B$5&amp;"生成成长"),3))*(VLOOKUP($B$5,标准坦克设计!$B$14:$K$20,9)/30))</f>
        <v>7.9696442109765737</v>
      </c>
      <c r="AQ225" s="173">
        <f ca="1">(VLOOKUP(AQ$72,INDIRECT($C$5&amp;"生成成长"),2))/((VLOOKUP($B225,INDIRECT($B$5&amp;"生成成长"),4))/(VLOOKUP(AQ$72,INDIRECT($C$5&amp;"生成成长"),5))*(VLOOKUP($B$5,标准坦克设计!$B$24:$U$30,MATCH("对"&amp;LEFT($C$5,2)&amp;"输出",标准坦克设计!$B$23:$U$23,0)))*(VLOOKUP($B225,INDIRECT($B$5&amp;"生成成长"),3))*(VLOOKUP($B$5,标准坦克设计!$B$14:$K$20,9)/30))</f>
        <v>8.5359728714108982</v>
      </c>
      <c r="AR225" s="173">
        <f ca="1">(VLOOKUP(AR$72,INDIRECT($C$5&amp;"生成成长"),2))/((VLOOKUP($B225,INDIRECT($B$5&amp;"生成成长"),4))/(VLOOKUP(AR$72,INDIRECT($C$5&amp;"生成成长"),5))*(VLOOKUP($B$5,标准坦克设计!$B$24:$U$30,MATCH("对"&amp;LEFT($C$5,2)&amp;"输出",标准坦克设计!$B$23:$U$23,0)))*(VLOOKUP($B225,INDIRECT($B$5&amp;"生成成长"),3))*(VLOOKUP($B$5,标准坦克设计!$B$14:$K$20,9)/30))</f>
        <v>9.1217387089584143</v>
      </c>
      <c r="AS225" s="173">
        <f ca="1">(VLOOKUP(AS$72,INDIRECT($C$5&amp;"生成成长"),2))/((VLOOKUP($B225,INDIRECT($B$5&amp;"生成成长"),4))/(VLOOKUP(AS$72,INDIRECT($C$5&amp;"生成成长"),5))*(VLOOKUP($B$5,标准坦克设计!$B$24:$U$30,MATCH("对"&amp;LEFT($C$5,2)&amp;"输出",标准坦克设计!$B$23:$U$23,0)))*(VLOOKUP($B225,INDIRECT($B$5&amp;"生成成长"),3))*(VLOOKUP($B$5,标准坦克设计!$B$14:$K$20,9)/30))</f>
        <v>9.7269417236191167</v>
      </c>
      <c r="AT225" s="173">
        <f ca="1">(VLOOKUP(AT$72,INDIRECT($C$5&amp;"生成成长"),2))/((VLOOKUP($B225,INDIRECT($B$5&amp;"生成成长"),4))/(VLOOKUP(AT$72,INDIRECT($C$5&amp;"生成成长"),5))*(VLOOKUP($B$5,标准坦克设计!$B$24:$U$30,MATCH("对"&amp;LEFT($C$5,2)&amp;"输出",标准坦克设计!$B$23:$U$23,0)))*(VLOOKUP($B225,INDIRECT($B$5&amp;"生成成长"),3))*(VLOOKUP($B$5,标准坦克设计!$B$14:$K$20,9)/30))</f>
        <v>10.351581915393014</v>
      </c>
      <c r="AU225" s="173">
        <f ca="1">(VLOOKUP(AU$72,INDIRECT($C$5&amp;"生成成长"),2))/((VLOOKUP($B225,INDIRECT($B$5&amp;"生成成长"),4))/(VLOOKUP(AU$72,INDIRECT($C$5&amp;"生成成长"),5))*(VLOOKUP($B$5,标准坦克设计!$B$24:$U$30,MATCH("对"&amp;LEFT($C$5,2)&amp;"输出",标准坦克设计!$B$23:$U$23,0)))*(VLOOKUP($B225,INDIRECT($B$5&amp;"生成成长"),3))*(VLOOKUP($B$5,标准坦克设计!$B$14:$K$20,9)/30))</f>
        <v>10.995659284280098</v>
      </c>
      <c r="AV225" s="173">
        <f ca="1">(VLOOKUP(AV$72,INDIRECT($C$5&amp;"生成成长"),2))/((VLOOKUP($B225,INDIRECT($B$5&amp;"生成成长"),4))/(VLOOKUP(AV$72,INDIRECT($C$5&amp;"生成成长"),5))*(VLOOKUP($B$5,标准坦克设计!$B$24:$U$30,MATCH("对"&amp;LEFT($C$5,2)&amp;"输出",标准坦克设计!$B$23:$U$23,0)))*(VLOOKUP($B225,INDIRECT($B$5&amp;"生成成长"),3))*(VLOOKUP($B$5,标准坦克设计!$B$14:$K$20,9)/30))</f>
        <v>1.1183605542316735</v>
      </c>
      <c r="AW225" s="173">
        <f ca="1">(VLOOKUP(AW$72,INDIRECT($C$5&amp;"生成成长"),2))/((VLOOKUP($B225,INDIRECT($B$5&amp;"生成成长"),4))/(VLOOKUP(AW$72,INDIRECT($C$5&amp;"生成成长"),5))*(VLOOKUP($B$5,标准坦克设计!$B$24:$U$30,MATCH("对"&amp;LEFT($C$5,2)&amp;"输出",标准坦克设计!$B$23:$U$23,0)))*(VLOOKUP($B225,INDIRECT($B$5&amp;"生成成长"),3))*(VLOOKUP($B$5,标准坦克设计!$B$14:$K$20,9)/30))</f>
        <v>1.2751430737562519</v>
      </c>
      <c r="AX225" s="173">
        <f ca="1">(VLOOKUP(AX$72,INDIRECT($C$5&amp;"生成成长"),2))/((VLOOKUP($B225,INDIRECT($B$5&amp;"生成成长"),4))/(VLOOKUP(AX$72,INDIRECT($C$5&amp;"生成成长"),5))*(VLOOKUP($B$5,标准坦克设计!$B$24:$U$30,MATCH("对"&amp;LEFT($C$5,2)&amp;"输出",标准坦克设计!$B$23:$U$23,0)))*(VLOOKUP($B225,INDIRECT($B$5&amp;"生成成长"),3))*(VLOOKUP($B$5,标准坦克设计!$B$14:$K$20,9)/30))</f>
        <v>1.4422064142332613</v>
      </c>
      <c r="AY225" s="173">
        <f ca="1">(VLOOKUP(AY$72,INDIRECT($C$5&amp;"生成成长"),2))/((VLOOKUP($B225,INDIRECT($B$5&amp;"生成成长"),4))/(VLOOKUP(AY$72,INDIRECT($C$5&amp;"生成成长"),5))*(VLOOKUP($B$5,标准坦克设计!$B$24:$U$30,MATCH("对"&amp;LEFT($C$5,2)&amp;"输出",标准坦克设计!$B$23:$U$23,0)))*(VLOOKUP($B225,INDIRECT($B$5&amp;"生成成长"),3))*(VLOOKUP($B$5,标准坦克设计!$B$14:$K$20,9)/30))</f>
        <v>1.6195505756627024</v>
      </c>
      <c r="AZ225" s="173">
        <f ca="1">(VLOOKUP(AZ$72,INDIRECT($C$5&amp;"生成成长"),2))/((VLOOKUP($B225,INDIRECT($B$5&amp;"生成成长"),4))/(VLOOKUP(AZ$72,INDIRECT($C$5&amp;"生成成长"),5))*(VLOOKUP($B$5,标准坦克设计!$B$24:$U$30,MATCH("对"&amp;LEFT($C$5,2)&amp;"输出",标准坦克设计!$B$23:$U$23,0)))*(VLOOKUP($B225,INDIRECT($B$5&amp;"生成成长"),3))*(VLOOKUP($B$5,标准坦克设计!$B$14:$K$20,9)/30))</f>
        <v>1.8071755580445745</v>
      </c>
      <c r="BA225" s="173">
        <f ca="1">(VLOOKUP(BA$72,INDIRECT($C$5&amp;"生成成长"),2))/((VLOOKUP($B225,INDIRECT($B$5&amp;"生成成长"),4))/(VLOOKUP(BA$72,INDIRECT($C$5&amp;"生成成长"),5))*(VLOOKUP($B$5,标准坦克设计!$B$24:$U$30,MATCH("对"&amp;LEFT($C$5,2)&amp;"输出",标准坦克设计!$B$23:$U$23,0)))*(VLOOKUP($B225,INDIRECT($B$5&amp;"生成成长"),3))*(VLOOKUP($B$5,标准坦克设计!$B$14:$K$20,9)/30))</f>
        <v>2.0050813613788785</v>
      </c>
      <c r="BB225" s="173">
        <f ca="1">(VLOOKUP(BB$72,INDIRECT($C$5&amp;"生成成长"),2))/((VLOOKUP($B225,INDIRECT($B$5&amp;"生成成长"),4))/(VLOOKUP(BB$72,INDIRECT($C$5&amp;"生成成长"),5))*(VLOOKUP($B$5,标准坦克设计!$B$24:$U$30,MATCH("对"&amp;LEFT($C$5,2)&amp;"输出",标准坦克设计!$B$23:$U$23,0)))*(VLOOKUP($B225,INDIRECT($B$5&amp;"生成成长"),3))*(VLOOKUP($B$5,标准坦克设计!$B$14:$K$20,9)/30))</f>
        <v>2.2132679856656132</v>
      </c>
      <c r="BC225" s="173">
        <f ca="1">(VLOOKUP(BC$72,INDIRECT($C$5&amp;"生成成长"),2))/((VLOOKUP($B225,INDIRECT($B$5&amp;"生成成长"),4))/(VLOOKUP(BC$72,INDIRECT($C$5&amp;"生成成长"),5))*(VLOOKUP($B$5,标准坦克设计!$B$24:$U$30,MATCH("对"&amp;LEFT($C$5,2)&amp;"输出",标准坦克设计!$B$23:$U$23,0)))*(VLOOKUP($B225,INDIRECT($B$5&amp;"生成成长"),3))*(VLOOKUP($B$5,标准坦克设计!$B$14:$K$20,9)/30))</f>
        <v>2.4317354309047792</v>
      </c>
      <c r="BD225" s="173">
        <f ca="1">(VLOOKUP(BD$72,INDIRECT($C$5&amp;"生成成长"),2))/((VLOOKUP($B225,INDIRECT($B$5&amp;"生成成长"),4))/(VLOOKUP(BD$72,INDIRECT($C$5&amp;"生成成长"),5))*(VLOOKUP($B$5,标准坦克设计!$B$24:$U$30,MATCH("对"&amp;LEFT($C$5,2)&amp;"输出",标准坦克设计!$B$23:$U$23,0)))*(VLOOKUP($B225,INDIRECT($B$5&amp;"生成成长"),3))*(VLOOKUP($B$5,标准坦克设计!$B$14:$K$20,9)/30))</f>
        <v>2.6898001005935446</v>
      </c>
      <c r="BE225" s="173">
        <f ca="1">(VLOOKUP(BE$72,INDIRECT($C$5&amp;"生成成长"),2))/((VLOOKUP($B225,INDIRECT($B$5&amp;"生成成长"),4))/(VLOOKUP(BE$72,INDIRECT($C$5&amp;"生成成长"),5))*(VLOOKUP($B$5,标准坦克设计!$B$24:$U$30,MATCH("对"&amp;LEFT($C$5,2)&amp;"输出",标准坦克设计!$B$23:$U$23,0)))*(VLOOKUP($B225,INDIRECT($B$5&amp;"生成成长"),3))*(VLOOKUP($B$5,标准坦克设计!$B$14:$K$20,9)/30))</f>
        <v>2.9608764343002307</v>
      </c>
      <c r="BF225" s="173">
        <f ca="1">(VLOOKUP(BF$72,INDIRECT($C$5&amp;"生成成长"),2))/((VLOOKUP($B225,INDIRECT($B$5&amp;"生成成长"),4))/(VLOOKUP(BF$72,INDIRECT($C$5&amp;"生成成长"),5))*(VLOOKUP($B$5,标准坦克设计!$B$24:$U$30,MATCH("对"&amp;LEFT($C$5,2)&amp;"输出",标准坦克设计!$B$23:$U$23,0)))*(VLOOKUP($B225,INDIRECT($B$5&amp;"生成成长"),3))*(VLOOKUP($B$5,标准坦克设计!$B$14:$K$20,9)/30))</f>
        <v>3.2449644320248385</v>
      </c>
      <c r="BG225" s="173">
        <f ca="1">(VLOOKUP(BG$72,INDIRECT($C$5&amp;"生成成长"),2))/((VLOOKUP($B225,INDIRECT($B$5&amp;"生成成长"),4))/(VLOOKUP(BG$72,INDIRECT($C$5&amp;"生成成长"),5))*(VLOOKUP($B$5,标准坦克设计!$B$24:$U$30,MATCH("对"&amp;LEFT($C$5,2)&amp;"输出",标准坦克设计!$B$23:$U$23,0)))*(VLOOKUP($B225,INDIRECT($B$5&amp;"生成成长"),3))*(VLOOKUP($B$5,标准坦克设计!$B$14:$K$20,9)/30))</f>
        <v>3.5420640937673662</v>
      </c>
      <c r="BH225" s="173">
        <f ca="1">(VLOOKUP(BH$72,INDIRECT($C$5&amp;"生成成长"),2))/((VLOOKUP($B225,INDIRECT($B$5&amp;"生成成长"),4))/(VLOOKUP(BH$72,INDIRECT($C$5&amp;"生成成长"),5))*(VLOOKUP($B$5,标准坦克设计!$B$24:$U$30,MATCH("对"&amp;LEFT($C$5,2)&amp;"输出",标准坦克设计!$B$23:$U$23,0)))*(VLOOKUP($B225,INDIRECT($B$5&amp;"生成成长"),3))*(VLOOKUP($B$5,标准坦克设计!$B$14:$K$20,9)/30))</f>
        <v>1.7120779642345847</v>
      </c>
      <c r="BI225" s="173">
        <f ca="1">(VLOOKUP(BI$72,INDIRECT($C$5&amp;"生成成长"),2))/((VLOOKUP($B225,INDIRECT($B$5&amp;"生成成长"),4))/(VLOOKUP(BI$72,INDIRECT($C$5&amp;"生成成长"),5))*(VLOOKUP($B$5,标准坦克设计!$B$24:$U$30,MATCH("对"&amp;LEFT($C$5,2)&amp;"输出",标准坦克设计!$B$23:$U$23,0)))*(VLOOKUP($B225,INDIRECT($B$5&amp;"生成成长"),3))*(VLOOKUP($B$5,标准坦克设计!$B$14:$K$20,9)/30))</f>
        <v>1.9296619014231513</v>
      </c>
      <c r="BJ225" s="173">
        <f ca="1">(VLOOKUP(BJ$72,INDIRECT($C$5&amp;"生成成长"),2))/((VLOOKUP($B225,INDIRECT($B$5&amp;"生成成长"),4))/(VLOOKUP(BJ$72,INDIRECT($C$5&amp;"生成成长"),5))*(VLOOKUP($B$5,标准坦克设计!$B$24:$U$30,MATCH("对"&amp;LEFT($C$5,2)&amp;"输出",标准坦克设计!$B$23:$U$23,0)))*(VLOOKUP($B225,INDIRECT($B$5&amp;"生成成长"),3))*(VLOOKUP($B$5,标准坦克设计!$B$14:$K$20,9)/30))</f>
        <v>2.1602575026296389</v>
      </c>
      <c r="BK225" s="173">
        <f ca="1">(VLOOKUP(BK$72,INDIRECT($C$5&amp;"生成成长"),2))/((VLOOKUP($B225,INDIRECT($B$5&amp;"生成成长"),4))/(VLOOKUP(BK$72,INDIRECT($C$5&amp;"生成成长"),5))*(VLOOKUP($B$5,标准坦克设计!$B$24:$U$30,MATCH("对"&amp;LEFT($C$5,2)&amp;"输出",标准坦克设计!$B$23:$U$23,0)))*(VLOOKUP($B225,INDIRECT($B$5&amp;"生成成长"),3))*(VLOOKUP($B$5,标准坦克设计!$B$14:$K$20,9)/30))</f>
        <v>2.4038647678540479</v>
      </c>
      <c r="BL225" s="173">
        <f ca="1">(VLOOKUP(BL$72,INDIRECT($C$5&amp;"生成成长"),2))/((VLOOKUP($B225,INDIRECT($B$5&amp;"生成成长"),4))/(VLOOKUP(BL$72,INDIRECT($C$5&amp;"生成成长"),5))*(VLOOKUP($B$5,标准坦克设计!$B$24:$U$30,MATCH("对"&amp;LEFT($C$5,2)&amp;"输出",标准坦克设计!$B$23:$U$23,0)))*(VLOOKUP($B225,INDIRECT($B$5&amp;"生成成长"),3))*(VLOOKUP($B$5,标准坦克设计!$B$14:$K$20,9)/30))</f>
        <v>2.6604836970963772</v>
      </c>
      <c r="BM225" s="173">
        <f ca="1">(VLOOKUP(BM$72,INDIRECT($C$5&amp;"生成成长"),2))/((VLOOKUP($B225,INDIRECT($B$5&amp;"生成成长"),4))/(VLOOKUP(BM$72,INDIRECT($C$5&amp;"生成成长"),5))*(VLOOKUP($B$5,标准坦克设计!$B$24:$U$30,MATCH("对"&amp;LEFT($C$5,2)&amp;"输出",标准坦克设计!$B$23:$U$23,0)))*(VLOOKUP($B225,INDIRECT($B$5&amp;"生成成长"),3))*(VLOOKUP($B$5,标准坦克设计!$B$14:$K$20,9)/30))</f>
        <v>2.9301142903566282</v>
      </c>
      <c r="BN225" s="173">
        <f ca="1">(VLOOKUP(BN$72,INDIRECT($C$5&amp;"生成成长"),2))/((VLOOKUP($B225,INDIRECT($B$5&amp;"生成成长"),4))/(VLOOKUP(BN$72,INDIRECT($C$5&amp;"生成成长"),5))*(VLOOKUP($B$5,标准坦克设计!$B$24:$U$30,MATCH("对"&amp;LEFT($C$5,2)&amp;"输出",标准坦克设计!$B$23:$U$23,0)))*(VLOOKUP($B225,INDIRECT($B$5&amp;"生成成长"),3))*(VLOOKUP($B$5,标准坦克设计!$B$14:$K$20,9)/30))</f>
        <v>3.2127565476347999</v>
      </c>
      <c r="BO225" s="173">
        <f ca="1">(VLOOKUP(BO$72,INDIRECT($C$5&amp;"生成成长"),2))/((VLOOKUP($B225,INDIRECT($B$5&amp;"生成成长"),4))/(VLOOKUP(BO$72,INDIRECT($C$5&amp;"生成成长"),5))*(VLOOKUP($B$5,标准坦克设计!$B$24:$U$30,MATCH("对"&amp;LEFT($C$5,2)&amp;"输出",标准坦克设计!$B$23:$U$23,0)))*(VLOOKUP($B225,INDIRECT($B$5&amp;"生成成长"),3))*(VLOOKUP($B$5,标准坦克设计!$B$14:$K$20,9)/30))</f>
        <v>3.5084104689308919</v>
      </c>
      <c r="BP225" s="173">
        <f ca="1">(VLOOKUP(BP$72,INDIRECT($C$5&amp;"生成成长"),2))/((VLOOKUP($B225,INDIRECT($B$5&amp;"生成成长"),4))/(VLOOKUP(BP$72,INDIRECT($C$5&amp;"生成成长"),5))*(VLOOKUP($B$5,标准坦克设计!$B$24:$U$30,MATCH("对"&amp;LEFT($C$5,2)&amp;"输出",标准坦克设计!$B$23:$U$23,0)))*(VLOOKUP($B225,INDIRECT($B$5&amp;"生成成长"),3))*(VLOOKUP($B$5,标准坦克设计!$B$14:$K$20,9)/30))</f>
        <v>3.8170760542449043</v>
      </c>
      <c r="BQ225" s="173">
        <f ca="1">(VLOOKUP(BQ$72,INDIRECT($C$5&amp;"生成成长"),2))/((VLOOKUP($B225,INDIRECT($B$5&amp;"生成成长"),4))/(VLOOKUP(BQ$72,INDIRECT($C$5&amp;"生成成长"),5))*(VLOOKUP($B$5,标准坦克设计!$B$24:$U$30,MATCH("对"&amp;LEFT($C$5,2)&amp;"输出",标准坦克设计!$B$23:$U$23,0)))*(VLOOKUP($B225,INDIRECT($B$5&amp;"生成成长"),3))*(VLOOKUP($B$5,标准坦克设计!$B$14:$K$20,9)/30))</f>
        <v>4.1387533035768396</v>
      </c>
      <c r="BR225" s="173">
        <f ca="1">(VLOOKUP(BR$72,INDIRECT($C$5&amp;"生成成长"),2))/((VLOOKUP($B225,INDIRECT($B$5&amp;"生成成长"),4))/(VLOOKUP(BR$72,INDIRECT($C$5&amp;"生成成长"),5))*(VLOOKUP($B$5,标准坦克设计!$B$24:$U$30,MATCH("对"&amp;LEFT($C$5,2)&amp;"输出",标准坦克设计!$B$23:$U$23,0)))*(VLOOKUP($B225,INDIRECT($B$5&amp;"生成成长"),3))*(VLOOKUP($B$5,标准坦克设计!$B$14:$K$20,9)/30))</f>
        <v>4.5114330631024764</v>
      </c>
      <c r="BS225" s="173">
        <f ca="1">(VLOOKUP(BS$72,INDIRECT($C$5&amp;"生成成长"),2))/((VLOOKUP($B225,INDIRECT($B$5&amp;"生成成长"),4))/(VLOOKUP(BS$72,INDIRECT($C$5&amp;"生成成长"),5))*(VLOOKUP($B$5,标准坦克设计!$B$24:$U$30,MATCH("对"&amp;LEFT($C$5,2)&amp;"输出",标准坦克设计!$B$23:$U$23,0)))*(VLOOKUP($B225,INDIRECT($B$5&amp;"生成成长"),3))*(VLOOKUP($B$5,标准坦克设计!$B$14:$K$20,9)/30))</f>
        <v>4.900176605366287</v>
      </c>
      <c r="BT225" s="173">
        <f ca="1">(VLOOKUP(BT$72,INDIRECT($C$5&amp;"生成成长"),2))/((VLOOKUP($B225,INDIRECT($B$5&amp;"生成成长"),4))/(VLOOKUP(BT$72,INDIRECT($C$5&amp;"生成成长"),5))*(VLOOKUP($B$5,标准坦克设计!$B$24:$U$30,MATCH("对"&amp;LEFT($C$5,2)&amp;"输出",标准坦克设计!$B$23:$U$23,0)))*(VLOOKUP($B225,INDIRECT($B$5&amp;"生成成长"),3))*(VLOOKUP($B$5,标准坦克设计!$B$14:$K$20,9)/30))</f>
        <v>5.3049839303682722</v>
      </c>
      <c r="BU225" s="173">
        <f ca="1">(VLOOKUP(BU$72,INDIRECT($C$5&amp;"生成成长"),2))/((VLOOKUP($B225,INDIRECT($B$5&amp;"生成成长"),4))/(VLOOKUP(BU$72,INDIRECT($C$5&amp;"生成成长"),5))*(VLOOKUP($B$5,标准坦克设计!$B$24:$U$30,MATCH("对"&amp;LEFT($C$5,2)&amp;"输出",标准坦克设计!$B$23:$U$23,0)))*(VLOOKUP($B225,INDIRECT($B$5&amp;"生成成长"),3))*(VLOOKUP($B$5,标准坦克设计!$B$14:$K$20,9)/30))</f>
        <v>5.7258550381084303</v>
      </c>
      <c r="BV225" s="173">
        <f ca="1">(VLOOKUP(BV$72,INDIRECT($C$5&amp;"生成成长"),2))/((VLOOKUP($B225,INDIRECT($B$5&amp;"生成成长"),4))/(VLOOKUP(BV$72,INDIRECT($C$5&amp;"生成成长"),5))*(VLOOKUP($B$5,标准坦克设计!$B$24:$U$30,MATCH("对"&amp;LEFT($C$5,2)&amp;"输出",标准坦克设计!$B$23:$U$23,0)))*(VLOOKUP($B225,INDIRECT($B$5&amp;"生成成长"),3))*(VLOOKUP($B$5,标准坦克设计!$B$14:$K$20,9)/30))</f>
        <v>6.162789928586764</v>
      </c>
      <c r="BW225" s="173">
        <f ca="1">(VLOOKUP(BW$72,INDIRECT($C$5&amp;"生成成长"),2))/((VLOOKUP($B225,INDIRECT($B$5&amp;"生成成长"),4))/(VLOOKUP(BW$72,INDIRECT($C$5&amp;"生成成长"),5))*(VLOOKUP($B$5,标准坦克设计!$B$24:$U$30,MATCH("对"&amp;LEFT($C$5,2)&amp;"输出",标准坦克设计!$B$23:$U$23,0)))*(VLOOKUP($B225,INDIRECT($B$5&amp;"生成成长"),3))*(VLOOKUP($B$5,标准坦克设计!$B$14:$K$20,9)/30))</f>
        <v>2.8086720928560327</v>
      </c>
      <c r="BX225" s="173">
        <f ca="1">(VLOOKUP(BX$72,INDIRECT($C$5&amp;"生成成长"),2))/((VLOOKUP($B225,INDIRECT($B$5&amp;"生成成长"),4))/(VLOOKUP(BX$72,INDIRECT($C$5&amp;"生成成长"),5))*(VLOOKUP($B$5,标准坦克设计!$B$24:$U$30,MATCH("对"&amp;LEFT($C$5,2)&amp;"输出",标准坦克设计!$B$23:$U$23,0)))*(VLOOKUP($B225,INDIRECT($B$5&amp;"生成成长"),3))*(VLOOKUP($B$5,标准坦克设计!$B$14:$K$20,9)/30))</f>
        <v>3.1170967214289731</v>
      </c>
      <c r="BY225" s="173">
        <f ca="1">(VLOOKUP(BY$72,INDIRECT($C$5&amp;"生成成长"),2))/((VLOOKUP($B225,INDIRECT($B$5&amp;"生成成长"),4))/(VLOOKUP(BY$72,INDIRECT($C$5&amp;"生成成长"),5))*(VLOOKUP($B$5,标准坦克设计!$B$24:$U$30,MATCH("对"&amp;LEFT($C$5,2)&amp;"输出",标准坦克设计!$B$23:$U$23,0)))*(VLOOKUP($B225,INDIRECT($B$5&amp;"生成成长"),3))*(VLOOKUP($B$5,标准坦克设计!$B$14:$K$20,9)/30))</f>
        <v>3.4415851327400873</v>
      </c>
      <c r="BZ225" s="173">
        <f ca="1">(VLOOKUP(BZ$72,INDIRECT($C$5&amp;"生成成长"),2))/((VLOOKUP($B225,INDIRECT($B$5&amp;"生成成长"),4))/(VLOOKUP(BZ$72,INDIRECT($C$5&amp;"生成成长"),5))*(VLOOKUP($B$5,标准坦克设计!$B$24:$U$30,MATCH("对"&amp;LEFT($C$5,2)&amp;"输出",标准坦克设计!$B$23:$U$23,0)))*(VLOOKUP($B225,INDIRECT($B$5&amp;"生成成长"),3))*(VLOOKUP($B$5,标准坦克设计!$B$14:$K$20,9)/30))</f>
        <v>3.782137326789377</v>
      </c>
      <c r="CA225" s="173">
        <f ca="1">(VLOOKUP(CA$72,INDIRECT($C$5&amp;"生成成长"),2))/((VLOOKUP($B225,INDIRECT($B$5&amp;"生成成长"),4))/(VLOOKUP(CA$72,INDIRECT($C$5&amp;"生成成长"),5))*(VLOOKUP($B$5,标准坦克设计!$B$24:$U$30,MATCH("对"&amp;LEFT($C$5,2)&amp;"输出",标准坦克设计!$B$23:$U$23,0)))*(VLOOKUP($B225,INDIRECT($B$5&amp;"生成成长"),3))*(VLOOKUP($B$5,标准坦克设计!$B$14:$K$20,9)/30))</f>
        <v>4.1387533035768396</v>
      </c>
      <c r="CB225" s="173">
        <f ca="1">(VLOOKUP(CB$72,INDIRECT($C$5&amp;"生成成长"),2))/((VLOOKUP($B225,INDIRECT($B$5&amp;"生成成长"),4))/(VLOOKUP(CB$72,INDIRECT($C$5&amp;"生成成长"),5))*(VLOOKUP($B$5,标准坦克设计!$B$24:$U$30,MATCH("对"&amp;LEFT($C$5,2)&amp;"输出",标准坦克设计!$B$23:$U$23,0)))*(VLOOKUP($B225,INDIRECT($B$5&amp;"生成成长"),3))*(VLOOKUP($B$5,标准坦克设计!$B$14:$K$20,9)/30))</f>
        <v>4.5114330631024764</v>
      </c>
      <c r="CC225" s="173">
        <f ca="1">(VLOOKUP(CC$72,INDIRECT($C$5&amp;"生成成长"),2))/((VLOOKUP($B225,INDIRECT($B$5&amp;"生成成长"),4))/(VLOOKUP(CC$72,INDIRECT($C$5&amp;"生成成长"),5))*(VLOOKUP($B$5,标准坦克设计!$B$24:$U$30,MATCH("对"&amp;LEFT($C$5,2)&amp;"输出",标准坦克设计!$B$23:$U$23,0)))*(VLOOKUP($B225,INDIRECT($B$5&amp;"生成成长"),3))*(VLOOKUP($B$5,标准坦克设计!$B$14:$K$20,9)/30))</f>
        <v>4.900176605366287</v>
      </c>
      <c r="CD225" s="173">
        <f ca="1">(VLOOKUP(CD$72,INDIRECT($C$5&amp;"生成成长"),2))/((VLOOKUP($B225,INDIRECT($B$5&amp;"生成成长"),4))/(VLOOKUP(CD$72,INDIRECT($C$5&amp;"生成成长"),5))*(VLOOKUP($B$5,标准坦克设计!$B$24:$U$30,MATCH("对"&amp;LEFT($C$5,2)&amp;"输出",标准坦克设计!$B$23:$U$23,0)))*(VLOOKUP($B225,INDIRECT($B$5&amp;"生成成长"),3))*(VLOOKUP($B$5,标准坦克设计!$B$14:$K$20,9)/30))</f>
        <v>5.3049839303682722</v>
      </c>
      <c r="CE225" s="173">
        <f ca="1">(VLOOKUP(CE$72,INDIRECT($C$5&amp;"生成成长"),2))/((VLOOKUP($B225,INDIRECT($B$5&amp;"生成成长"),4))/(VLOOKUP(CE$72,INDIRECT($C$5&amp;"生成成长"),5))*(VLOOKUP($B$5,标准坦克设计!$B$24:$U$30,MATCH("对"&amp;LEFT($C$5,2)&amp;"输出",标准坦克设计!$B$23:$U$23,0)))*(VLOOKUP($B225,INDIRECT($B$5&amp;"生成成长"),3))*(VLOOKUP($B$5,标准坦克设计!$B$14:$K$20,9)/30))</f>
        <v>5.7258550381084303</v>
      </c>
      <c r="CF225" s="173">
        <f ca="1">(VLOOKUP(CF$72,INDIRECT($C$5&amp;"生成成长"),2))/((VLOOKUP($B225,INDIRECT($B$5&amp;"生成成长"),4))/(VLOOKUP(CF$72,INDIRECT($C$5&amp;"生成成长"),5))*(VLOOKUP($B$5,标准坦克设计!$B$24:$U$30,MATCH("对"&amp;LEFT($C$5,2)&amp;"输出",标准坦克设计!$B$23:$U$23,0)))*(VLOOKUP($B225,INDIRECT($B$5&amp;"生成成长"),3))*(VLOOKUP($B$5,标准坦克设计!$B$14:$K$20,9)/30))</f>
        <v>6.162789928586764</v>
      </c>
      <c r="CG225" s="173">
        <f ca="1">(VLOOKUP(CG$72,INDIRECT($C$5&amp;"生成成长"),2))/((VLOOKUP($B225,INDIRECT($B$5&amp;"生成成长"),4))/(VLOOKUP(CG$72,INDIRECT($C$5&amp;"生成成长"),5))*(VLOOKUP($B$5,标准坦克设计!$B$24:$U$30,MATCH("对"&amp;LEFT($C$5,2)&amp;"输出",标准坦克设计!$B$23:$U$23,0)))*(VLOOKUP($B225,INDIRECT($B$5&amp;"生成成长"),3))*(VLOOKUP($B$5,标准坦克设计!$B$14:$K$20,9)/30))</f>
        <v>6.6157886018032706</v>
      </c>
      <c r="CH225" s="173">
        <f ca="1">(VLOOKUP(CH$72,INDIRECT($C$5&amp;"生成成长"),2))/((VLOOKUP($B225,INDIRECT($B$5&amp;"生成成长"),4))/(VLOOKUP(CH$72,INDIRECT($C$5&amp;"生成成长"),5))*(VLOOKUP($B$5,标准坦克设计!$B$24:$U$30,MATCH("对"&amp;LEFT($C$5,2)&amp;"输出",标准坦克设计!$B$23:$U$23,0)))*(VLOOKUP($B225,INDIRECT($B$5&amp;"生成成长"),3))*(VLOOKUP($B$5,标准坦克设计!$B$14:$K$20,9)/30))</f>
        <v>7.0848510577579509</v>
      </c>
      <c r="CI225" s="173">
        <f ca="1">(VLOOKUP(CI$72,INDIRECT($C$5&amp;"生成成长"),2))/((VLOOKUP($B225,INDIRECT($B$5&amp;"生成成长"),4))/(VLOOKUP(CI$72,INDIRECT($C$5&amp;"生成成长"),5))*(VLOOKUP($B$5,标准坦克设计!$B$24:$U$30,MATCH("对"&amp;LEFT($C$5,2)&amp;"输出",标准坦克设计!$B$23:$U$23,0)))*(VLOOKUP($B225,INDIRECT($B$5&amp;"生成成长"),3))*(VLOOKUP($B$5,标准坦克设计!$B$14:$K$20,9)/30))</f>
        <v>7.6193734283706895</v>
      </c>
      <c r="CJ225" s="173">
        <f ca="1">(VLOOKUP(CJ$72,INDIRECT($C$5&amp;"生成成长"),2))/((VLOOKUP($B225,INDIRECT($B$5&amp;"生成成长"),4))/(VLOOKUP(CJ$72,INDIRECT($C$5&amp;"生成成长"),5))*(VLOOKUP($B$5,标准坦克设计!$B$24:$U$30,MATCH("对"&amp;LEFT($C$5,2)&amp;"输出",标准坦克设计!$B$23:$U$23,0)))*(VLOOKUP($B225,INDIRECT($B$5&amp;"生成成长"),3))*(VLOOKUP($B$5,标准坦克设计!$B$14:$K$20,9)/30))</f>
        <v>8.1733329760966189</v>
      </c>
      <c r="CK225" s="173">
        <f ca="1">(VLOOKUP(CK$72,INDIRECT($C$5&amp;"生成成长"),2))/((VLOOKUP($B225,INDIRECT($B$5&amp;"生成成长"),4))/(VLOOKUP(CK$72,INDIRECT($C$5&amp;"生成成长"),5))*(VLOOKUP($B$5,标准坦克设计!$B$24:$U$30,MATCH("对"&amp;LEFT($C$5,2)&amp;"输出",标准坦克设计!$B$23:$U$23,0)))*(VLOOKUP($B225,INDIRECT($B$5&amp;"生成成长"),3))*(VLOOKUP($B$5,标准坦克设计!$B$14:$K$20,9)/30))</f>
        <v>8.7467297009357416</v>
      </c>
      <c r="CL225" s="173">
        <f ca="1">(VLOOKUP(CL$72,INDIRECT($C$5&amp;"生成成长"),2))/((VLOOKUP($B225,INDIRECT($B$5&amp;"生成成长"),4))/(VLOOKUP(CL$72,INDIRECT($C$5&amp;"生成成长"),5))*(VLOOKUP($B$5,标准坦克设计!$B$24:$U$30,MATCH("对"&amp;LEFT($C$5,2)&amp;"输出",标准坦克设计!$B$23:$U$23,0)))*(VLOOKUP($B225,INDIRECT($B$5&amp;"生成成长"),3))*(VLOOKUP($B$5,标准坦克设计!$B$14:$K$20,9)/30))</f>
        <v>9.3395636028880507</v>
      </c>
      <c r="CM225" s="173">
        <f ca="1">(VLOOKUP(CM$72,INDIRECT($C$5&amp;"生成成长"),2))/((VLOOKUP($B225,INDIRECT($B$5&amp;"生成成长"),4))/(VLOOKUP(CM$72,INDIRECT($C$5&amp;"生成成长"),5))*(VLOOKUP($B$5,标准坦克设计!$B$24:$U$30,MATCH("对"&amp;LEFT($C$5,2)&amp;"输出",标准坦克设计!$B$23:$U$23,0)))*(VLOOKUP($B225,INDIRECT($B$5&amp;"生成成长"),3))*(VLOOKUP($B$5,标准坦克设计!$B$14:$K$20,9)/30))</f>
        <v>9.9518346819535548</v>
      </c>
      <c r="CN225" s="173">
        <f ca="1">(VLOOKUP(CN$72,INDIRECT($C$5&amp;"生成成长"),2))/((VLOOKUP($B225,INDIRECT($B$5&amp;"生成成长"),4))/(VLOOKUP(CN$72,INDIRECT($C$5&amp;"生成成长"),5))*(VLOOKUP($B$5,标准坦克设计!$B$24:$U$30,MATCH("对"&amp;LEFT($C$5,2)&amp;"输出",标准坦克设计!$B$23:$U$23,0)))*(VLOOKUP($B225,INDIRECT($B$5&amp;"生成成长"),3))*(VLOOKUP($B$5,标准坦克设计!$B$14:$K$20,9)/30))</f>
        <v>10.583542938132245</v>
      </c>
      <c r="CO225" s="173">
        <f ca="1">(VLOOKUP(CO$72,INDIRECT($C$5&amp;"生成成长"),2))/((VLOOKUP($B225,INDIRECT($B$5&amp;"生成成长"),4))/(VLOOKUP(CO$72,INDIRECT($C$5&amp;"生成成长"),5))*(VLOOKUP($B$5,标准坦克设计!$B$24:$U$30,MATCH("对"&amp;LEFT($C$5,2)&amp;"输出",标准坦克设计!$B$23:$U$23,0)))*(VLOOKUP($B225,INDIRECT($B$5&amp;"生成成长"),3))*(VLOOKUP($B$5,标准坦克设计!$B$14:$K$20,9)/30))</f>
        <v>4.7427515345321813</v>
      </c>
      <c r="CP225" s="173">
        <f ca="1">(VLOOKUP(CP$72,INDIRECT($C$5&amp;"生成成长"),2))/((VLOOKUP($B225,INDIRECT($B$5&amp;"生成成长"),4))/(VLOOKUP(CP$72,INDIRECT($C$5&amp;"生成成长"),5))*(VLOOKUP($B$5,标准坦克设计!$B$24:$U$30,MATCH("对"&amp;LEFT($C$5,2)&amp;"输出",标准坦克设计!$B$23:$U$23,0)))*(VLOOKUP($B225,INDIRECT($B$5&amp;"生成成长"),3))*(VLOOKUP($B$5,标准坦克设计!$B$14:$K$20,9)/30))</f>
        <v>5.1818550356801669</v>
      </c>
      <c r="CQ225" s="173">
        <f ca="1">(VLOOKUP(CQ$72,INDIRECT($C$5&amp;"生成成长"),2))/((VLOOKUP($B225,INDIRECT($B$5&amp;"生成成长"),4))/(VLOOKUP(CQ$72,INDIRECT($C$5&amp;"生成成长"),5))*(VLOOKUP($B$5,标准坦克设计!$B$24:$U$30,MATCH("对"&amp;LEFT($C$5,2)&amp;"输出",标准坦克设计!$B$23:$U$23,0)))*(VLOOKUP($B225,INDIRECT($B$5&amp;"生成成长"),3))*(VLOOKUP($B$5,标准坦克设计!$B$14:$K$20,9)/30))</f>
        <v>5.6403957139413441</v>
      </c>
      <c r="CR225" s="173">
        <f ca="1">(VLOOKUP(CR$72,INDIRECT($C$5&amp;"生成成长"),2))/((VLOOKUP($B225,INDIRECT($B$5&amp;"生成成长"),4))/(VLOOKUP(CR$72,INDIRECT($C$5&amp;"生成成长"),5))*(VLOOKUP($B$5,标准坦克设计!$B$24:$U$30,MATCH("对"&amp;LEFT($C$5,2)&amp;"输出",标准坦克设计!$B$23:$U$23,0)))*(VLOOKUP($B225,INDIRECT($B$5&amp;"生成成长"),3))*(VLOOKUP($B$5,标准坦克设计!$B$14:$K$20,9)/30))</f>
        <v>6.118373569315712</v>
      </c>
      <c r="CS225" s="173">
        <f ca="1">(VLOOKUP(CS$72,INDIRECT($C$5&amp;"生成成长"),2))/((VLOOKUP($B225,INDIRECT($B$5&amp;"生成成长"),4))/(VLOOKUP(CS$72,INDIRECT($C$5&amp;"生成成长"),5))*(VLOOKUP($B$5,标准坦克设计!$B$24:$U$30,MATCH("对"&amp;LEFT($C$5,2)&amp;"输出",标准坦克设计!$B$23:$U$23,0)))*(VLOOKUP($B225,INDIRECT($B$5&amp;"生成成长"),3))*(VLOOKUP($B$5,标准坦克设计!$B$14:$K$20,9)/30))</f>
        <v>6.6157886018032706</v>
      </c>
      <c r="CT225" s="173">
        <f ca="1">(VLOOKUP(CT$72,INDIRECT($C$5&amp;"生成成长"),2))/((VLOOKUP($B225,INDIRECT($B$5&amp;"生成成长"),4))/(VLOOKUP(CT$72,INDIRECT($C$5&amp;"生成成长"),5))*(VLOOKUP($B$5,标准坦克设计!$B$24:$U$30,MATCH("对"&amp;LEFT($C$5,2)&amp;"输出",标准坦克设计!$B$23:$U$23,0)))*(VLOOKUP($B225,INDIRECT($B$5&amp;"生成成长"),3))*(VLOOKUP($B$5,标准坦克设计!$B$14:$K$20,9)/30))</f>
        <v>7.132640811404019</v>
      </c>
      <c r="CU225" s="173">
        <f ca="1">(VLOOKUP(CU$72,INDIRECT($C$5&amp;"生成成长"),2))/((VLOOKUP($B225,INDIRECT($B$5&amp;"生成成长"),4))/(VLOOKUP(CU$72,INDIRECT($C$5&amp;"生成成长"),5))*(VLOOKUP($B$5,标准坦克设计!$B$24:$U$30,MATCH("对"&amp;LEFT($C$5,2)&amp;"输出",标准坦克设计!$B$23:$U$23,0)))*(VLOOKUP($B225,INDIRECT($B$5&amp;"生成成长"),3))*(VLOOKUP($B$5,标准坦克设计!$B$14:$K$20,9)/30))</f>
        <v>7.6689301981179572</v>
      </c>
      <c r="CV225" s="173">
        <f ca="1">(VLOOKUP(CV$72,INDIRECT($C$5&amp;"生成成长"),2))/((VLOOKUP($B225,INDIRECT($B$5&amp;"生成成长"),4))/(VLOOKUP(CV$72,INDIRECT($C$5&amp;"生成成长"),5))*(VLOOKUP($B$5,标准坦克设计!$B$24:$U$30,MATCH("对"&amp;LEFT($C$5,2)&amp;"输出",标准坦克设计!$B$23:$U$23,0)))*(VLOOKUP($B225,INDIRECT($B$5&amp;"生成成长"),3))*(VLOOKUP($B$5,标准坦克设计!$B$14:$K$20,9)/30))</f>
        <v>8.2246567619450843</v>
      </c>
      <c r="CW225" s="173">
        <f ca="1">(VLOOKUP(CW$72,INDIRECT($C$5&amp;"生成成长"),2))/((VLOOKUP($B225,INDIRECT($B$5&amp;"生成成长"),4))/(VLOOKUP(CW$72,INDIRECT($C$5&amp;"生成成长"),5))*(VLOOKUP($B$5,标准坦克设计!$B$24:$U$30,MATCH("对"&amp;LEFT($C$5,2)&amp;"输出",标准坦克设计!$B$23:$U$23,0)))*(VLOOKUP($B225,INDIRECT($B$5&amp;"生成成长"),3))*(VLOOKUP($B$5,标准坦克设计!$B$14:$K$20,9)/30))</f>
        <v>8.7998205028854048</v>
      </c>
      <c r="CX225" s="173">
        <f ca="1">(VLOOKUP(CX$72,INDIRECT($C$5&amp;"生成成长"),2))/((VLOOKUP($B225,INDIRECT($B$5&amp;"生成成长"),4))/(VLOOKUP(CX$72,INDIRECT($C$5&amp;"生成成长"),5))*(VLOOKUP($B$5,标准坦克设计!$B$24:$U$30,MATCH("对"&amp;LEFT($C$5,2)&amp;"输出",标准坦克设计!$B$23:$U$23,0)))*(VLOOKUP($B225,INDIRECT($B$5&amp;"生成成长"),3))*(VLOOKUP($B$5,标准坦克设计!$B$14:$K$20,9)/30))</f>
        <v>9.3944214209389152</v>
      </c>
      <c r="CY225" s="173">
        <f ca="1">(VLOOKUP(CY$72,INDIRECT($C$5&amp;"生成成长"),2))/((VLOOKUP($B225,INDIRECT($B$5&amp;"生成成长"),4))/(VLOOKUP(CY$72,INDIRECT($C$5&amp;"生成成长"),5))*(VLOOKUP($B$5,标准坦克设计!$B$24:$U$30,MATCH("对"&amp;LEFT($C$5,2)&amp;"输出",标准坦克设计!$B$23:$U$23,0)))*(VLOOKUP($B225,INDIRECT($B$5&amp;"生成成长"),3))*(VLOOKUP($B$5,标准坦克设计!$B$14:$K$20,9)/30))</f>
        <v>10.008459516105617</v>
      </c>
      <c r="CZ225" s="173">
        <f ca="1">(VLOOKUP(CZ$72,INDIRECT($C$5&amp;"生成成长"),2))/((VLOOKUP($B225,INDIRECT($B$5&amp;"生成成长"),4))/(VLOOKUP(CZ$72,INDIRECT($C$5&amp;"生成成长"),5))*(VLOOKUP($B$5,标准坦克设计!$B$24:$U$30,MATCH("对"&amp;LEFT($C$5,2)&amp;"输出",标准坦克设计!$B$23:$U$23,0)))*(VLOOKUP($B225,INDIRECT($B$5&amp;"生成成长"),3))*(VLOOKUP($B$5,标准坦克设计!$B$14:$K$20,9)/30))</f>
        <v>10.641934788385509</v>
      </c>
      <c r="DA225" s="173">
        <f ca="1">(VLOOKUP(DA$72,INDIRECT($C$5&amp;"生成成长"),2))/((VLOOKUP($B225,INDIRECT($B$5&amp;"生成成长"),4))/(VLOOKUP(DA$72,INDIRECT($C$5&amp;"生成成长"),5))*(VLOOKUP($B$5,标准坦克设计!$B$24:$U$30,MATCH("对"&amp;LEFT($C$5,2)&amp;"输出",标准坦克设计!$B$23:$U$23,0)))*(VLOOKUP($B225,INDIRECT($B$5&amp;"生成成长"),3))*(VLOOKUP($B$5,标准坦克设计!$B$14:$K$20,9)/30))</f>
        <v>11.294847237778589</v>
      </c>
      <c r="DB225" s="173">
        <f ca="1">(VLOOKUP(DB$72,INDIRECT($C$5&amp;"生成成长"),2))/((VLOOKUP($B225,INDIRECT($B$5&amp;"生成成长"),4))/(VLOOKUP(DB$72,INDIRECT($C$5&amp;"生成成长"),5))*(VLOOKUP($B$5,标准坦克设计!$B$24:$U$30,MATCH("对"&amp;LEFT($C$5,2)&amp;"输出",标准坦克设计!$B$23:$U$23,0)))*(VLOOKUP($B225,INDIRECT($B$5&amp;"生成成长"),3))*(VLOOKUP($B$5,标准坦克设计!$B$14:$K$20,9)/30))</f>
        <v>11.967196864284865</v>
      </c>
      <c r="DC225" s="173">
        <f ca="1">(VLOOKUP(DC$72,INDIRECT($C$5&amp;"生成成长"),2))/((VLOOKUP($B225,INDIRECT($B$5&amp;"生成成长"),4))/(VLOOKUP(DC$72,INDIRECT($C$5&amp;"生成成长"),5))*(VLOOKUP($B$5,标准坦克设计!$B$24:$U$30,MATCH("对"&amp;LEFT($C$5,2)&amp;"输出",标准坦克设计!$B$23:$U$23,0)))*(VLOOKUP($B225,INDIRECT($B$5&amp;"生成成长"),3))*(VLOOKUP($B$5,标准坦克设计!$B$14:$K$20,9)/30))</f>
        <v>12.722837204288567</v>
      </c>
      <c r="DD225" s="173">
        <f ca="1">(VLOOKUP(DD$72,INDIRECT($C$5&amp;"生成成长"),2))/((VLOOKUP($B225,INDIRECT($B$5&amp;"生成成长"),4))/(VLOOKUP(DD$72,INDIRECT($C$5&amp;"生成成长"),5))*(VLOOKUP($B$5,标准坦克设计!$B$24:$U$30,MATCH("对"&amp;LEFT($C$5,2)&amp;"输出",标准坦克设计!$B$23:$U$23,0)))*(VLOOKUP($B225,INDIRECT($B$5&amp;"生成成长"),3))*(VLOOKUP($B$5,标准坦克设计!$B$14:$K$20,9)/30))</f>
        <v>13.501609391435245</v>
      </c>
      <c r="DE225" s="173">
        <f ca="1">(VLOOKUP(DE$72,INDIRECT($C$5&amp;"生成成长"),2))/((VLOOKUP($B225,INDIRECT($B$5&amp;"生成成长"),4))/(VLOOKUP(DE$72,INDIRECT($C$5&amp;"生成成长"),5))*(VLOOKUP($B$5,标准坦克设计!$B$24:$U$30,MATCH("对"&amp;LEFT($C$5,2)&amp;"输出",标准坦克设计!$B$23:$U$23,0)))*(VLOOKUP($B225,INDIRECT($B$5&amp;"生成成长"),3))*(VLOOKUP($B$5,标准坦克设计!$B$14:$K$20,9)/30))</f>
        <v>14.303513425724889</v>
      </c>
      <c r="DF225" s="173">
        <f ca="1">(VLOOKUP(DF$72,INDIRECT($C$5&amp;"生成成长"),2))/((VLOOKUP($B225,INDIRECT($B$5&amp;"生成成长"),4))/(VLOOKUP(DF$72,INDIRECT($C$5&amp;"生成成长"),5))*(VLOOKUP($B$5,标准坦克设计!$B$24:$U$30,MATCH("对"&amp;LEFT($C$5,2)&amp;"输出",标准坦克设计!$B$23:$U$23,0)))*(VLOOKUP($B225,INDIRECT($B$5&amp;"生成成长"),3))*(VLOOKUP($B$5,标准坦克设计!$B$14:$K$20,9)/30))</f>
        <v>15.128549307157508</v>
      </c>
      <c r="DG225" s="173">
        <f ca="1">(VLOOKUP(DG$72,INDIRECT($C$5&amp;"生成成长"),2))/((VLOOKUP($B225,INDIRECT($B$5&amp;"生成成长"),4))/(VLOOKUP(DG$72,INDIRECT($C$5&amp;"生成成长"),5))*(VLOOKUP($B$5,标准坦克设计!$B$24:$U$30,MATCH("对"&amp;LEFT($C$5,2)&amp;"输出",标准坦克设计!$B$23:$U$23,0)))*(VLOOKUP($B225,INDIRECT($B$5&amp;"生成成长"),3))*(VLOOKUP($B$5,标准坦克设计!$B$14:$K$20,9)/30))</f>
        <v>15.976717035733094</v>
      </c>
      <c r="DH225" s="173">
        <f ca="1">(VLOOKUP(DH$72,INDIRECT($C$5&amp;"生成成长"),2))/((VLOOKUP($B225,INDIRECT($B$5&amp;"生成成长"),4))/(VLOOKUP(DH$72,INDIRECT($C$5&amp;"生成成长"),5))*(VLOOKUP($B$5,标准坦克设计!$B$24:$U$30,MATCH("对"&amp;LEFT($C$5,2)&amp;"输出",标准坦克设计!$B$23:$U$23,0)))*(VLOOKUP($B225,INDIRECT($B$5&amp;"生成成长"),3))*(VLOOKUP($B$5,标准坦克设计!$B$14:$K$20,9)/30))</f>
        <v>16.848016611451648</v>
      </c>
      <c r="DI225" s="173">
        <f ca="1">(VLOOKUP(DI$72,INDIRECT($C$5&amp;"生成成长"),2))/((VLOOKUP($B225,INDIRECT($B$5&amp;"生成成长"),4))/(VLOOKUP(DI$72,INDIRECT($C$5&amp;"生成成长"),5))*(VLOOKUP($B$5,标准坦克设计!$B$24:$U$30,MATCH("对"&amp;LEFT($C$5,2)&amp;"输出",标准坦克设计!$B$23:$U$23,0)))*(VLOOKUP($B225,INDIRECT($B$5&amp;"生成成长"),3))*(VLOOKUP($B$5,标准坦克设计!$B$14:$K$20,9)/30))</f>
        <v>17.742448034313178</v>
      </c>
      <c r="DJ225" s="173">
        <f ca="1">(VLOOKUP(DJ$72,INDIRECT($C$5&amp;"生成成长"),2))/((VLOOKUP($B225,INDIRECT($B$5&amp;"生成成长"),4))/(VLOOKUP(DJ$72,INDIRECT($C$5&amp;"生成成长"),5))*(VLOOKUP($B$5,标准坦克设计!$B$24:$U$30,MATCH("对"&amp;LEFT($C$5,2)&amp;"输出",标准坦克设计!$B$23:$U$23,0)))*(VLOOKUP($B225,INDIRECT($B$5&amp;"生成成长"),3))*(VLOOKUP($B$5,标准坦克设计!$B$14:$K$20,9)/30))</f>
        <v>1.7831602028510047</v>
      </c>
      <c r="DK225" s="173">
        <f ca="1">(VLOOKUP(DK$72,INDIRECT($C$5&amp;"生成成长"),2))/((VLOOKUP($B225,INDIRECT($B$5&amp;"生成成长"),4))/(VLOOKUP(DK$72,INDIRECT($C$5&amp;"生成成长"),5))*(VLOOKUP($B$5,标准坦克设计!$B$24:$U$30,MATCH("对"&amp;LEFT($C$5,2)&amp;"输出",标准坦克设计!$B$23:$U$23,0)))*(VLOOKUP($B225,INDIRECT($B$5&amp;"生成成长"),3))*(VLOOKUP($B$5,标准坦克设计!$B$14:$K$20,9)/30))</f>
        <v>2.0050813613788785</v>
      </c>
      <c r="DL225" s="173">
        <f ca="1">(VLOOKUP(DL$72,INDIRECT($C$5&amp;"生成成长"),2))/((VLOOKUP($B225,INDIRECT($B$5&amp;"生成成长"),4))/(VLOOKUP(DL$72,INDIRECT($C$5&amp;"生成成长"),5))*(VLOOKUP($B$5,标准坦克设计!$B$24:$U$30,MATCH("对"&amp;LEFT($C$5,2)&amp;"输出",标准坦克设计!$B$23:$U$23,0)))*(VLOOKUP($B225,INDIRECT($B$5&amp;"生成成长"),3))*(VLOOKUP($B$5,标准坦克设计!$B$14:$K$20,9)/30))</f>
        <v>2.2400141839246728</v>
      </c>
      <c r="DM225" s="173">
        <f ca="1">(VLOOKUP(DM$72,INDIRECT($C$5&amp;"生成成长"),2))/((VLOOKUP($B225,INDIRECT($B$5&amp;"生成成长"),4))/(VLOOKUP(DM$72,INDIRECT($C$5&amp;"生成成长"),5))*(VLOOKUP($B$5,标准坦克设计!$B$24:$U$30,MATCH("对"&amp;LEFT($C$5,2)&amp;"输出",标准坦克设计!$B$23:$U$23,0)))*(VLOOKUP($B225,INDIRECT($B$5&amp;"生成成长"),3))*(VLOOKUP($B$5,标准坦克设计!$B$14:$K$20,9)/30))</f>
        <v>2.4879586704883887</v>
      </c>
      <c r="DN225" s="173">
        <f ca="1">(VLOOKUP(DN$72,INDIRECT($C$5&amp;"生成成长"),2))/((VLOOKUP($B225,INDIRECT($B$5&amp;"生成成长"),4))/(VLOOKUP(DN$72,INDIRECT($C$5&amp;"生成成长"),5))*(VLOOKUP($B$5,标准坦克设计!$B$24:$U$30,MATCH("对"&amp;LEFT($C$5,2)&amp;"输出",标准坦克设计!$B$23:$U$23,0)))*(VLOOKUP($B225,INDIRECT($B$5&amp;"生成成长"),3))*(VLOOKUP($B$5,标准坦克设计!$B$14:$K$20,9)/30))</f>
        <v>2.7489148210700245</v>
      </c>
      <c r="DO225" s="173">
        <f ca="1">(VLOOKUP(DO$72,INDIRECT($C$5&amp;"生成成长"),2))/((VLOOKUP($B225,INDIRECT($B$5&amp;"生成成长"),4))/(VLOOKUP(DO$72,INDIRECT($C$5&amp;"生成成长"),5))*(VLOOKUP($B$5,标准坦克设计!$B$24:$U$30,MATCH("对"&amp;LEFT($C$5,2)&amp;"输出",标准坦克设计!$B$23:$U$23,0)))*(VLOOKUP($B225,INDIRECT($B$5&amp;"生成成长"),3))*(VLOOKUP($B$5,标准坦克设计!$B$14:$K$20,9)/30))</f>
        <v>3.0228826356695824</v>
      </c>
      <c r="DP225" s="173">
        <f ca="1">(VLOOKUP(DP$72,INDIRECT($C$5&amp;"生成成长"),2))/((VLOOKUP($B225,INDIRECT($B$5&amp;"生成成长"),4))/(VLOOKUP(DP$72,INDIRECT($C$5&amp;"生成成长"),5))*(VLOOKUP($B$5,标准坦克设计!$B$24:$U$30,MATCH("对"&amp;LEFT($C$5,2)&amp;"输出",标准坦克设计!$B$23:$U$23,0)))*(VLOOKUP($B225,INDIRECT($B$5&amp;"生成成长"),3))*(VLOOKUP($B$5,标准坦克设计!$B$14:$K$20,9)/30))</f>
        <v>3.3098621142870615</v>
      </c>
      <c r="DQ225" s="173">
        <f ca="1">(VLOOKUP(DQ$72,INDIRECT($C$5&amp;"生成成长"),2))/((VLOOKUP($B225,INDIRECT($B$5&amp;"生成成长"),4))/(VLOOKUP(DQ$72,INDIRECT($C$5&amp;"生成成长"),5))*(VLOOKUP($B$5,标准坦克设计!$B$24:$U$30,MATCH("对"&amp;LEFT($C$5,2)&amp;"输出",标准坦克设计!$B$23:$U$23,0)))*(VLOOKUP($B225,INDIRECT($B$5&amp;"生成成长"),3))*(VLOOKUP($B$5,标准坦克设计!$B$14:$K$20,9)/30))</f>
        <v>3.6098532569224604</v>
      </c>
      <c r="DR225" s="173">
        <f ca="1">(VLOOKUP(DR$72,INDIRECT($C$5&amp;"生成成长"),2))/((VLOOKUP($B225,INDIRECT($B$5&amp;"生成成长"),4))/(VLOOKUP(DR$72,INDIRECT($C$5&amp;"生成成长"),5))*(VLOOKUP($B$5,标准坦克设计!$B$24:$U$30,MATCH("对"&amp;LEFT($C$5,2)&amp;"输出",标准坦克设计!$B$23:$U$23,0)))*(VLOOKUP($B225,INDIRECT($B$5&amp;"生成成长"),3))*(VLOOKUP($B$5,标准坦克设计!$B$14:$K$20,9)/30))</f>
        <v>3.922856063575781</v>
      </c>
      <c r="DS225" s="173">
        <f ca="1">(VLOOKUP(DS$72,INDIRECT($C$5&amp;"生成成长"),2))/((VLOOKUP($B225,INDIRECT($B$5&amp;"生成成长"),4))/(VLOOKUP(DS$72,INDIRECT($C$5&amp;"生成成长"),5))*(VLOOKUP($B$5,标准坦克设计!$B$24:$U$30,MATCH("对"&amp;LEFT($C$5,2)&amp;"输出",标准坦克设计!$B$23:$U$23,0)))*(VLOOKUP($B225,INDIRECT($B$5&amp;"生成成长"),3))*(VLOOKUP($B$5,标准坦克设计!$B$14:$K$20,9)/30))</f>
        <v>4.2488705342470219</v>
      </c>
      <c r="DT225" s="173">
        <f ca="1">(VLOOKUP(DT$72,INDIRECT($C$5&amp;"生成成长"),2))/((VLOOKUP($B225,INDIRECT($B$5&amp;"生成成长"),4))/(VLOOKUP(DT$72,INDIRECT($C$5&amp;"生成成长"),5))*(VLOOKUP($B$5,标准坦克设计!$B$24:$U$30,MATCH("对"&amp;LEFT($C$5,2)&amp;"输出",标准坦克设计!$B$23:$U$23,0)))*(VLOOKUP($B225,INDIRECT($B$5&amp;"生成成长"),3))*(VLOOKUP($B$5,标准坦克设计!$B$14:$K$20,9)/30))</f>
        <v>4.6650028260794194</v>
      </c>
      <c r="DU225" s="173">
        <f ca="1">(VLOOKUP(DU$72,INDIRECT($C$5&amp;"生成成长"),2))/((VLOOKUP($B225,INDIRECT($B$5&amp;"生成成长"),4))/(VLOOKUP(DU$72,INDIRECT($C$5&amp;"生成成长"),5))*(VLOOKUP($B$5,标准坦克设计!$B$24:$U$30,MATCH("对"&amp;LEFT($C$5,2)&amp;"输出",标准坦克设计!$B$23:$U$23,0)))*(VLOOKUP($B225,INDIRECT($B$5&amp;"生成成长"),3))*(VLOOKUP($B$5,标准坦克设计!$B$14:$K$20,9)/30))</f>
        <v>5.1005722950250076</v>
      </c>
      <c r="DV225" s="173">
        <f ca="1">(VLOOKUP(DV$72,INDIRECT($C$5&amp;"生成成长"),2))/((VLOOKUP($B225,INDIRECT($B$5&amp;"生成成长"),4))/(VLOOKUP(DV$72,INDIRECT($C$5&amp;"生成成长"),5))*(VLOOKUP($B$5,标准坦克设计!$B$24:$U$30,MATCH("对"&amp;LEFT($C$5,2)&amp;"输出",标准坦克设计!$B$23:$U$23,0)))*(VLOOKUP($B225,INDIRECT($B$5&amp;"生成成长"),3))*(VLOOKUP($B$5,标准坦克设计!$B$14:$K$20,9)/30))</f>
        <v>5.5555789410837848</v>
      </c>
      <c r="DW225" s="173">
        <f ca="1">(VLOOKUP(DW$72,INDIRECT($C$5&amp;"生成成长"),2))/((VLOOKUP($B225,INDIRECT($B$5&amp;"生成成长"),4))/(VLOOKUP(DW$72,INDIRECT($C$5&amp;"生成成长"),5))*(VLOOKUP($B$5,标准坦克设计!$B$24:$U$30,MATCH("对"&amp;LEFT($C$5,2)&amp;"输出",标准坦克设计!$B$23:$U$23,0)))*(VLOOKUP($B225,INDIRECT($B$5&amp;"生成成长"),3))*(VLOOKUP($B$5,标准坦克设计!$B$14:$K$20,9)/30))</f>
        <v>6.0300227642557545</v>
      </c>
      <c r="DX225" s="173">
        <f ca="1">(VLOOKUP(DX$72,INDIRECT($C$5&amp;"生成成长"),2))/((VLOOKUP($B225,INDIRECT($B$5&amp;"生成成长"),4))/(VLOOKUP(DX$72,INDIRECT($C$5&amp;"生成成长"),5))*(VLOOKUP($B$5,标准坦克设计!$B$24:$U$30,MATCH("对"&amp;LEFT($C$5,2)&amp;"输出",标准坦克设计!$B$23:$U$23,0)))*(VLOOKUP($B225,INDIRECT($B$5&amp;"生成成长"),3))*(VLOOKUP($B$5,标准坦克设计!$B$14:$K$20,9)/30))</f>
        <v>6.5239037645409157</v>
      </c>
      <c r="DY225" s="173">
        <f ca="1">(VLOOKUP(DY$72,INDIRECT($C$5&amp;"生成成长"),2))/((VLOOKUP($B225,INDIRECT($B$5&amp;"生成成长"),4))/(VLOOKUP(DY$72,INDIRECT($C$5&amp;"生成成长"),5))*(VLOOKUP($B$5,标准坦克设计!$B$24:$U$30,MATCH("对"&amp;LEFT($C$5,2)&amp;"输出",标准坦克设计!$B$23:$U$23,0)))*(VLOOKUP($B225,INDIRECT($B$5&amp;"生成成长"),3))*(VLOOKUP($B$5,标准坦克设计!$B$14:$K$20,9)/30))</f>
        <v>2.9301142903566282</v>
      </c>
      <c r="DZ225" s="173">
        <f ca="1">(VLOOKUP(DZ$72,INDIRECT($C$5&amp;"生成成长"),2))/((VLOOKUP($B225,INDIRECT($B$5&amp;"生成成长"),4))/(VLOOKUP(DZ$72,INDIRECT($C$5&amp;"生成成长"),5))*(VLOOKUP($B$5,标准坦克设计!$B$24:$U$30,MATCH("对"&amp;LEFT($C$5,2)&amp;"输出",标准坦克设计!$B$23:$U$23,0)))*(VLOOKUP($B225,INDIRECT($B$5&amp;"生成成长"),3))*(VLOOKUP($B$5,标准坦克设计!$B$14:$K$20,9)/30))</f>
        <v>3.2449644320248385</v>
      </c>
      <c r="EA225" s="173">
        <f ca="1">(VLOOKUP(EA$72,INDIRECT($C$5&amp;"生成成长"),2))/((VLOOKUP($B225,INDIRECT($B$5&amp;"生成成长"),4))/(VLOOKUP(EA$72,INDIRECT($C$5&amp;"生成成长"),5))*(VLOOKUP($B$5,标准坦克设计!$B$24:$U$30,MATCH("对"&amp;LEFT($C$5,2)&amp;"输出",标准坦克设计!$B$23:$U$23,0)))*(VLOOKUP($B225,INDIRECT($B$5&amp;"生成成长"),3))*(VLOOKUP($B$5,标准坦克设计!$B$14:$K$20,9)/30))</f>
        <v>3.5758783564312222</v>
      </c>
      <c r="EB225" s="173">
        <f ca="1">(VLOOKUP(EB$72,INDIRECT($C$5&amp;"生成成长"),2))/((VLOOKUP($B225,INDIRECT($B$5&amp;"生成成长"),4))/(VLOOKUP(EB$72,INDIRECT($C$5&amp;"生成成长"),5))*(VLOOKUP($B$5,标准坦克设计!$B$24:$U$30,MATCH("对"&amp;LEFT($C$5,2)&amp;"输出",标准坦克设计!$B$23:$U$23,0)))*(VLOOKUP($B225,INDIRECT($B$5&amp;"生成成长"),3))*(VLOOKUP($B$5,标准坦克设计!$B$14:$K$20,9)/30))</f>
        <v>3.922856063575781</v>
      </c>
      <c r="EC225" s="173">
        <f ca="1">(VLOOKUP(EC$72,INDIRECT($C$5&amp;"生成成长"),2))/((VLOOKUP($B225,INDIRECT($B$5&amp;"生成成长"),4))/(VLOOKUP(EC$72,INDIRECT($C$5&amp;"生成成长"),5))*(VLOOKUP($B$5,标准坦克设计!$B$24:$U$30,MATCH("对"&amp;LEFT($C$5,2)&amp;"输出",标准坦克设计!$B$23:$U$23,0)))*(VLOOKUP($B225,INDIRECT($B$5&amp;"生成成长"),3))*(VLOOKUP($B$5,标准坦克设计!$B$14:$K$20,9)/30))</f>
        <v>4.2858975534585131</v>
      </c>
      <c r="ED225" s="173">
        <f ca="1">(VLOOKUP(ED$72,INDIRECT($C$5&amp;"生成成长"),2))/((VLOOKUP($B225,INDIRECT($B$5&amp;"生成成长"),4))/(VLOOKUP(ED$72,INDIRECT($C$5&amp;"生成成长"),5))*(VLOOKUP($B$5,标准坦克设计!$B$24:$U$30,MATCH("对"&amp;LEFT($C$5,2)&amp;"输出",标准坦克设计!$B$23:$U$23,0)))*(VLOOKUP($B225,INDIRECT($B$5&amp;"生成成长"),3))*(VLOOKUP($B$5,标准坦克设计!$B$14:$K$20,9)/30))</f>
        <v>4.6650028260794194</v>
      </c>
      <c r="EE225" s="173">
        <f ca="1">(VLOOKUP(EE$72,INDIRECT($C$5&amp;"生成成长"),2))/((VLOOKUP($B225,INDIRECT($B$5&amp;"生成成长"),4))/(VLOOKUP(EE$72,INDIRECT($C$5&amp;"生成成长"),5))*(VLOOKUP($B$5,标准坦克设计!$B$24:$U$30,MATCH("对"&amp;LEFT($C$5,2)&amp;"输出",标准坦克设计!$B$23:$U$23,0)))*(VLOOKUP($B225,INDIRECT($B$5&amp;"生成成长"),3))*(VLOOKUP($B$5,标准坦克设计!$B$14:$K$20,9)/30))</f>
        <v>5.0601718814385004</v>
      </c>
      <c r="EF225" s="173">
        <f ca="1">(VLOOKUP(EF$72,INDIRECT($C$5&amp;"生成成长"),2))/((VLOOKUP($B225,INDIRECT($B$5&amp;"生成成长"),4))/(VLOOKUP(EF$72,INDIRECT($C$5&amp;"生成成长"),5))*(VLOOKUP($B$5,标准坦克设计!$B$24:$U$30,MATCH("对"&amp;LEFT($C$5,2)&amp;"输出",标准坦克设计!$B$23:$U$23,0)))*(VLOOKUP($B225,INDIRECT($B$5&amp;"生成成长"),3))*(VLOOKUP($B$5,标准坦克设计!$B$14:$K$20,9)/30))</f>
        <v>5.4714047195357542</v>
      </c>
      <c r="EG225" s="173">
        <f ca="1">(VLOOKUP(EG$72,INDIRECT($C$5&amp;"生成成长"),2))/((VLOOKUP($B225,INDIRECT($B$5&amp;"生成成长"),4))/(VLOOKUP(EG$72,INDIRECT($C$5&amp;"生成成长"),5))*(VLOOKUP($B$5,标准坦克设计!$B$24:$U$30,MATCH("对"&amp;LEFT($C$5,2)&amp;"输出",标准坦克设计!$B$23:$U$23,0)))*(VLOOKUP($B225,INDIRECT($B$5&amp;"生成成长"),3))*(VLOOKUP($B$5,标准坦克设计!$B$14:$K$20,9)/30))</f>
        <v>5.8987013403711819</v>
      </c>
      <c r="EH225" s="173">
        <f ca="1">(VLOOKUP(EH$72,INDIRECT($C$5&amp;"生成成长"),2))/((VLOOKUP($B225,INDIRECT($B$5&amp;"生成成长"),4))/(VLOOKUP(EH$72,INDIRECT($C$5&amp;"生成成长"),5))*(VLOOKUP($B$5,标准坦克设计!$B$24:$U$30,MATCH("对"&amp;LEFT($C$5,2)&amp;"输出",标准坦克设计!$B$23:$U$23,0)))*(VLOOKUP($B225,INDIRECT($B$5&amp;"生成成长"),3))*(VLOOKUP($B$5,标准坦克设计!$B$14:$K$20,9)/30))</f>
        <v>6.3420617439447842</v>
      </c>
      <c r="EI225" s="173">
        <f ca="1">(VLOOKUP(EI$72,INDIRECT($C$5&amp;"生成成长"),2))/((VLOOKUP($B225,INDIRECT($B$5&amp;"生成成长"),4))/(VLOOKUP(EI$72,INDIRECT($C$5&amp;"生成成长"),5))*(VLOOKUP($B$5,标准坦克设计!$B$24:$U$30,MATCH("对"&amp;LEFT($C$5,2)&amp;"输出",标准坦克设计!$B$23:$U$23,0)))*(VLOOKUP($B225,INDIRECT($B$5&amp;"生成成长"),3))*(VLOOKUP($B$5,标准坦克设计!$B$14:$K$20,9)/30))</f>
        <v>6.801485930256562</v>
      </c>
      <c r="EJ225" s="173">
        <f ca="1">(VLOOKUP(EJ$72,INDIRECT($C$5&amp;"生成成长"),2))/((VLOOKUP($B225,INDIRECT($B$5&amp;"生成成长"),4))/(VLOOKUP(EJ$72,INDIRECT($C$5&amp;"生成成长"),5))*(VLOOKUP($B$5,标准坦克设计!$B$24:$U$30,MATCH("对"&amp;LEFT($C$5,2)&amp;"输出",标准坦克设计!$B$23:$U$23,0)))*(VLOOKUP($B225,INDIRECT($B$5&amp;"生成成长"),3))*(VLOOKUP($B$5,标准坦克设计!$B$14:$K$20,9)/30))</f>
        <v>7.2769738993065118</v>
      </c>
      <c r="EK225" s="173">
        <f ca="1">(VLOOKUP(EK$72,INDIRECT($C$5&amp;"生成成长"),2))/((VLOOKUP($B225,INDIRECT($B$5&amp;"生成成长"),4))/(VLOOKUP(EK$72,INDIRECT($C$5&amp;"生成成长"),5))*(VLOOKUP($B$5,标准坦克设计!$B$24:$U$30,MATCH("对"&amp;LEFT($C$5,2)&amp;"输出",标准坦克设计!$B$23:$U$23,0)))*(VLOOKUP($B225,INDIRECT($B$5&amp;"生成成长"),3))*(VLOOKUP($B$5,标准坦克设计!$B$14:$K$20,9)/30))</f>
        <v>7.8687636553808415</v>
      </c>
      <c r="EL225" s="173">
        <f ca="1">(VLOOKUP(EL$72,INDIRECT($C$5&amp;"生成成长"),2))/((VLOOKUP($B225,INDIRECT($B$5&amp;"生成成长"),4))/(VLOOKUP(EL$72,INDIRECT($C$5&amp;"生成成长"),5))*(VLOOKUP($B$5,标准坦克设计!$B$24:$U$30,MATCH("对"&amp;LEFT($C$5,2)&amp;"输出",标准坦克设计!$B$23:$U$23,0)))*(VLOOKUP($B225,INDIRECT($B$5&amp;"生成成长"),3))*(VLOOKUP($B$5,标准坦克设计!$B$14:$K$20,9)/30))</f>
        <v>8.4836852585981415</v>
      </c>
      <c r="EM225" s="173">
        <f ca="1">(VLOOKUP(EM$72,INDIRECT($C$5&amp;"生成成长"),2))/((VLOOKUP($B225,INDIRECT($B$5&amp;"生成成长"),4))/(VLOOKUP(EM$72,INDIRECT($C$5&amp;"生成成长"),5))*(VLOOKUP($B$5,标准坦克设计!$B$24:$U$30,MATCH("对"&amp;LEFT($C$5,2)&amp;"输出",标准坦克设计!$B$23:$U$23,0)))*(VLOOKUP($B225,INDIRECT($B$5&amp;"生成成长"),3))*(VLOOKUP($B$5,标准坦克设计!$B$14:$K$20,9)/30))</f>
        <v>9.1217387089584143</v>
      </c>
      <c r="EN225" s="173">
        <f ca="1">(VLOOKUP(EN$72,INDIRECT($C$5&amp;"生成成长"),2))/((VLOOKUP($B225,INDIRECT($B$5&amp;"生成成长"),4))/(VLOOKUP(EN$72,INDIRECT($C$5&amp;"生成成长"),5))*(VLOOKUP($B$5,标准坦克设计!$B$24:$U$30,MATCH("对"&amp;LEFT($C$5,2)&amp;"输出",标准坦克设计!$B$23:$U$23,0)))*(VLOOKUP($B225,INDIRECT($B$5&amp;"生成成长"),3))*(VLOOKUP($B$5,标准坦克设计!$B$14:$K$20,9)/30))</f>
        <v>9.7829240064616556</v>
      </c>
      <c r="EO225" s="173">
        <f ca="1">(VLOOKUP(EO$72,INDIRECT($C$5&amp;"生成成长"),2))/((VLOOKUP($B225,INDIRECT($B$5&amp;"生成成长"),4))/(VLOOKUP(EO$72,INDIRECT($C$5&amp;"生成成长"),5))*(VLOOKUP($B$5,标准坦克设计!$B$24:$U$30,MATCH("对"&amp;LEFT($C$5,2)&amp;"输出",标准坦克设计!$B$23:$U$23,0)))*(VLOOKUP($B225,INDIRECT($B$5&amp;"生成成长"),3))*(VLOOKUP($B$5,标准坦克设计!$B$14:$K$20,9)/30))</f>
        <v>10.467241151107869</v>
      </c>
      <c r="EP225" s="173">
        <f ca="1">(VLOOKUP(EP$72,INDIRECT($C$5&amp;"生成成长"),2))/((VLOOKUP($B225,INDIRECT($B$5&amp;"生成成长"),4))/(VLOOKUP(EP$72,INDIRECT($C$5&amp;"生成成长"),5))*(VLOOKUP($B$5,标准坦克设计!$B$24:$U$30,MATCH("对"&amp;LEFT($C$5,2)&amp;"输出",标准坦克设计!$B$23:$U$23,0)))*(VLOOKUP($B225,INDIRECT($B$5&amp;"生成成长"),3))*(VLOOKUP($B$5,标准坦克设计!$B$14:$K$20,9)/30))</f>
        <v>11.174690142897047</v>
      </c>
      <c r="EQ225" s="173">
        <f ca="1">(VLOOKUP(EQ$72,INDIRECT($C$5&amp;"生成成长"),2))/((VLOOKUP($B225,INDIRECT($B$5&amp;"生成成长"),4))/(VLOOKUP(EQ$72,INDIRECT($C$5&amp;"生成成长"),5))*(VLOOKUP($B$5,标准坦克设计!$B$24:$U$30,MATCH("对"&amp;LEFT($C$5,2)&amp;"输出",标准坦克设计!$B$23:$U$23,0)))*(VLOOKUP($B225,INDIRECT($B$5&amp;"生成成长"),3))*(VLOOKUP($B$5,标准坦克设计!$B$14:$K$20,9)/30))</f>
        <v>4.9399344676432673</v>
      </c>
      <c r="ER225" s="173">
        <f ca="1">(VLOOKUP(ER$72,INDIRECT($C$5&amp;"生成成长"),2))/((VLOOKUP($B225,INDIRECT($B$5&amp;"生成成长"),4))/(VLOOKUP(ER$72,INDIRECT($C$5&amp;"生成成长"),5))*(VLOOKUP($B$5,标准坦克设计!$B$24:$U$30,MATCH("对"&amp;LEFT($C$5,2)&amp;"输出",标准坦克设计!$B$23:$U$23,0)))*(VLOOKUP($B225,INDIRECT($B$5&amp;"生成成长"),3))*(VLOOKUP($B$5,标准坦克设计!$B$14:$K$20,9)/30))</f>
        <v>5.3878730492972489</v>
      </c>
      <c r="ES225" s="173">
        <f ca="1">(VLOOKUP(ES$72,INDIRECT($C$5&amp;"生成成长"),2))/((VLOOKUP($B225,INDIRECT($B$5&amp;"生成成长"),4))/(VLOOKUP(ES$72,INDIRECT($C$5&amp;"生成成长"),5))*(VLOOKUP($B$5,标准坦克设计!$B$24:$U$30,MATCH("对"&amp;LEFT($C$5,2)&amp;"输出",标准坦克设计!$B$23:$U$23,0)))*(VLOOKUP($B225,INDIRECT($B$5&amp;"生成成长"),3))*(VLOOKUP($B$5,标准坦克设计!$B$14:$K$20,9)/30))</f>
        <v>5.8552488080644212</v>
      </c>
      <c r="ET225" s="173">
        <f ca="1">(VLOOKUP(ET$72,INDIRECT($C$5&amp;"生成成长"),2))/((VLOOKUP($B225,INDIRECT($B$5&amp;"生成成长"),4))/(VLOOKUP(ET$72,INDIRECT($C$5&amp;"生成成长"),5))*(VLOOKUP($B$5,标准坦克设计!$B$24:$U$30,MATCH("对"&amp;LEFT($C$5,2)&amp;"输出",标准坦克设计!$B$23:$U$23,0)))*(VLOOKUP($B225,INDIRECT($B$5&amp;"生成成长"),3))*(VLOOKUP($B$5,标准坦克设计!$B$14:$K$20,9)/30))</f>
        <v>6.3420617439447842</v>
      </c>
      <c r="EU225" s="173">
        <f ca="1">(VLOOKUP(EU$72,INDIRECT($C$5&amp;"生成成长"),2))/((VLOOKUP($B225,INDIRECT($B$5&amp;"生成成长"),4))/(VLOOKUP(EU$72,INDIRECT($C$5&amp;"生成成长"),5))*(VLOOKUP($B$5,标准坦克设计!$B$24:$U$30,MATCH("对"&amp;LEFT($C$5,2)&amp;"输出",标准坦克设计!$B$23:$U$23,0)))*(VLOOKUP($B225,INDIRECT($B$5&amp;"生成成长"),3))*(VLOOKUP($B$5,标准坦克设计!$B$14:$K$20,9)/30))</f>
        <v>6.8483118569383388</v>
      </c>
      <c r="EV225" s="173">
        <f ca="1">(VLOOKUP(EV$72,INDIRECT($C$5&amp;"生成成长"),2))/((VLOOKUP($B225,INDIRECT($B$5&amp;"生成成长"),4))/(VLOOKUP(EV$72,INDIRECT($C$5&amp;"生成成长"),5))*(VLOOKUP($B$5,标准坦克设计!$B$24:$U$30,MATCH("对"&amp;LEFT($C$5,2)&amp;"输出",标准坦克设计!$B$23:$U$23,0)))*(VLOOKUP($B225,INDIRECT($B$5&amp;"生成成长"),3))*(VLOOKUP($B$5,标准坦克设计!$B$14:$K$20,9)/30))</f>
        <v>7.3739991470450823</v>
      </c>
      <c r="EW225" s="173">
        <f ca="1">(VLOOKUP(EW$72,INDIRECT($C$5&amp;"生成成长"),2))/((VLOOKUP($B225,INDIRECT($B$5&amp;"生成成长"),4))/(VLOOKUP(EW$72,INDIRECT($C$5&amp;"生成成长"),5))*(VLOOKUP($B$5,标准坦克设计!$B$24:$U$30,MATCH("对"&amp;LEFT($C$5,2)&amp;"输出",标准坦克设计!$B$23:$U$23,0)))*(VLOOKUP($B225,INDIRECT($B$5&amp;"生成成长"),3))*(VLOOKUP($B$5,标准坦克设计!$B$14:$K$20,9)/30))</f>
        <v>7.9191236142650165</v>
      </c>
      <c r="EX225" s="173">
        <f ca="1">(VLOOKUP(EX$72,INDIRECT($C$5&amp;"生成成长"),2))/((VLOOKUP($B225,INDIRECT($B$5&amp;"生成成长"),4))/(VLOOKUP(EX$72,INDIRECT($C$5&amp;"生成成长"),5))*(VLOOKUP($B$5,标准坦克设计!$B$24:$U$30,MATCH("对"&amp;LEFT($C$5,2)&amp;"输出",标准坦克设计!$B$23:$U$23,0)))*(VLOOKUP($B225,INDIRECT($B$5&amp;"生成成长"),3))*(VLOOKUP($B$5,标准坦克设计!$B$14:$K$20,9)/30))</f>
        <v>8.4836852585981415</v>
      </c>
      <c r="EY225" s="173">
        <f ca="1">(VLOOKUP(EY$72,INDIRECT($C$5&amp;"生成成长"),2))/((VLOOKUP($B225,INDIRECT($B$5&amp;"生成成长"),4))/(VLOOKUP(EY$72,INDIRECT($C$5&amp;"生成成长"),5))*(VLOOKUP($B$5,标准坦克设计!$B$24:$U$30,MATCH("对"&amp;LEFT($C$5,2)&amp;"输出",标准坦克设计!$B$23:$U$23,0)))*(VLOOKUP($B225,INDIRECT($B$5&amp;"生成成长"),3))*(VLOOKUP($B$5,标准坦克设计!$B$14:$K$20,9)/30))</f>
        <v>9.067684080044458</v>
      </c>
      <c r="EZ225" s="173">
        <f ca="1">(VLOOKUP(EZ$72,INDIRECT($C$5&amp;"生成成长"),2))/((VLOOKUP($B225,INDIRECT($B$5&amp;"生成成长"),4))/(VLOOKUP(EZ$72,INDIRECT($C$5&amp;"生成成长"),5))*(VLOOKUP($B$5,标准坦克设计!$B$24:$U$30,MATCH("对"&amp;LEFT($C$5,2)&amp;"输出",标准坦克设计!$B$23:$U$23,0)))*(VLOOKUP($B225,INDIRECT($B$5&amp;"生成成长"),3))*(VLOOKUP($B$5,标准坦克设计!$B$14:$K$20,9)/30))</f>
        <v>9.6711200786039644</v>
      </c>
      <c r="FA225" s="173">
        <f ca="1">(VLOOKUP(FA$72,INDIRECT($C$5&amp;"生成成长"),2))/((VLOOKUP($B225,INDIRECT($B$5&amp;"生成成长"),4))/(VLOOKUP(FA$72,INDIRECT($C$5&amp;"生成成长"),5))*(VLOOKUP($B$5,标准坦克设计!$B$24:$U$30,MATCH("对"&amp;LEFT($C$5,2)&amp;"输出",标准坦克设计!$B$23:$U$23,0)))*(VLOOKUP($B225,INDIRECT($B$5&amp;"生成成长"),3))*(VLOOKUP($B$5,标准坦克设计!$B$14:$K$20,9)/30))</f>
        <v>10.293993254276659</v>
      </c>
      <c r="FB225" s="173">
        <f ca="1">(VLOOKUP(FB$72,INDIRECT($C$5&amp;"生成成长"),2))/((VLOOKUP($B225,INDIRECT($B$5&amp;"生成成长"),4))/(VLOOKUP(FB$72,INDIRECT($C$5&amp;"生成成长"),5))*(VLOOKUP($B$5,标准坦克设计!$B$24:$U$30,MATCH("对"&amp;LEFT($C$5,2)&amp;"输出",标准坦克设计!$B$23:$U$23,0)))*(VLOOKUP($B225,INDIRECT($B$5&amp;"生成成长"),3))*(VLOOKUP($B$5,标准坦克设计!$B$14:$K$20,9)/30))</f>
        <v>10.936303607062547</v>
      </c>
      <c r="FC225" s="173">
        <f ca="1">(VLOOKUP(FC$72,INDIRECT($C$5&amp;"生成成长"),2))/((VLOOKUP($B225,INDIRECT($B$5&amp;"生成成长"),4))/(VLOOKUP(FC$72,INDIRECT($C$5&amp;"生成成长"),5))*(VLOOKUP($B$5,标准坦克设计!$B$24:$U$30,MATCH("对"&amp;LEFT($C$5,2)&amp;"输出",标准坦克设计!$B$23:$U$23,0)))*(VLOOKUP($B225,INDIRECT($B$5&amp;"生成成长"),3))*(VLOOKUP($B$5,标准坦克设计!$B$14:$K$20,9)/30))</f>
        <v>11.598051136961629</v>
      </c>
      <c r="FD225" s="173">
        <f ca="1">(VLOOKUP(FD$72,INDIRECT($C$5&amp;"生成成长"),2))/((VLOOKUP($B225,INDIRECT($B$5&amp;"生成成长"),4))/(VLOOKUP(FD$72,INDIRECT($C$5&amp;"生成成长"),5))*(VLOOKUP($B$5,标准坦克设计!$B$24:$U$30,MATCH("对"&amp;LEFT($C$5,2)&amp;"输出",标准坦克设计!$B$23:$U$23,0)))*(VLOOKUP($B225,INDIRECT($B$5&amp;"生成成长"),3))*(VLOOKUP($B$5,标准坦克设计!$B$14:$K$20,9)/30))</f>
        <v>12.279235843973893</v>
      </c>
      <c r="FE225" s="173">
        <f ca="1">(VLOOKUP(FE$72,INDIRECT($C$5&amp;"生成成长"),2))/((VLOOKUP($B225,INDIRECT($B$5&amp;"生成成长"),4))/(VLOOKUP(FE$72,INDIRECT($C$5&amp;"生成成长"),5))*(VLOOKUP($B$5,标准坦克设计!$B$24:$U$30,MATCH("对"&amp;LEFT($C$5,2)&amp;"输出",标准坦克设计!$B$23:$U$23,0)))*(VLOOKUP($B225,INDIRECT($B$5&amp;"生成成长"),3))*(VLOOKUP($B$5,标准坦克设计!$B$14:$K$20,9)/30))</f>
        <v>13.109331816969037</v>
      </c>
      <c r="FF225" s="173">
        <f ca="1">(VLOOKUP(FF$72,INDIRECT($C$5&amp;"生成成长"),2))/((VLOOKUP($B225,INDIRECT($B$5&amp;"生成成长"),4))/(VLOOKUP(FF$72,INDIRECT($C$5&amp;"生成成长"),5))*(VLOOKUP($B$5,标准坦克设计!$B$24:$U$30,MATCH("对"&amp;LEFT($C$5,2)&amp;"输出",标准坦克设计!$B$23:$U$23,0)))*(VLOOKUP($B225,INDIRECT($B$5&amp;"生成成长"),3))*(VLOOKUP($B$5,标准坦克设计!$B$14:$K$20,9)/30))</f>
        <v>13.966575582791691</v>
      </c>
      <c r="FG225" s="173">
        <f ca="1">(VLOOKUP(FG$72,INDIRECT($C$5&amp;"生成成长"),2))/((VLOOKUP($B225,INDIRECT($B$5&amp;"生成成长"),4))/(VLOOKUP(FG$72,INDIRECT($C$5&amp;"生成成长"),5))*(VLOOKUP($B$5,标准坦克设计!$B$24:$U$30,MATCH("对"&amp;LEFT($C$5,2)&amp;"输出",标准坦克设计!$B$23:$U$23,0)))*(VLOOKUP($B225,INDIRECT($B$5&amp;"生成成长"),3))*(VLOOKUP($B$5,标准坦克设计!$B$14:$K$20,9)/30))</f>
        <v>14.850967141441862</v>
      </c>
      <c r="FH225" s="173">
        <f ca="1">(VLOOKUP(FH$72,INDIRECT($C$5&amp;"生成成长"),2))/((VLOOKUP($B225,INDIRECT($B$5&amp;"生成成长"),4))/(VLOOKUP(FH$72,INDIRECT($C$5&amp;"生成成长"),5))*(VLOOKUP($B$5,标准坦克设计!$B$24:$U$30,MATCH("对"&amp;LEFT($C$5,2)&amp;"输出",标准坦克设计!$B$23:$U$23,0)))*(VLOOKUP($B225,INDIRECT($B$5&amp;"生成成长"),3))*(VLOOKUP($B$5,标准坦克设计!$B$14:$K$20,9)/30))</f>
        <v>15.762506492919542</v>
      </c>
      <c r="FI225" s="173">
        <f ca="1">(VLOOKUP(FI$72,INDIRECT($C$5&amp;"生成成长"),2))/((VLOOKUP($B225,INDIRECT($B$5&amp;"生成成长"),4))/(VLOOKUP(FI$72,INDIRECT($C$5&amp;"生成成长"),5))*(VLOOKUP($B$5,标准坦克设计!$B$24:$U$30,MATCH("对"&amp;LEFT($C$5,2)&amp;"输出",标准坦克设计!$B$23:$U$23,0)))*(VLOOKUP($B225,INDIRECT($B$5&amp;"生成成长"),3))*(VLOOKUP($B$5,标准坦克设计!$B$14:$K$20,9)/30))</f>
        <v>16.70119363722474</v>
      </c>
      <c r="FJ225" s="173">
        <f ca="1">(VLOOKUP(FJ$72,INDIRECT($C$5&amp;"生成成长"),2))/((VLOOKUP($B225,INDIRECT($B$5&amp;"生成成长"),4))/(VLOOKUP(FJ$72,INDIRECT($C$5&amp;"生成成长"),5))*(VLOOKUP($B$5,标准坦克设计!$B$24:$U$30,MATCH("对"&amp;LEFT($C$5,2)&amp;"输出",标准坦克设计!$B$23:$U$23,0)))*(VLOOKUP($B225,INDIRECT($B$5&amp;"生成成长"),3))*(VLOOKUP($B$5,标准坦克设计!$B$14:$K$20,9)/30))</f>
        <v>17.667028574357452</v>
      </c>
      <c r="FK225" s="173">
        <f ca="1">(VLOOKUP(FK$72,INDIRECT($C$5&amp;"生成成长"),2))/((VLOOKUP($B225,INDIRECT($B$5&amp;"生成成长"),4))/(VLOOKUP(FK$72,INDIRECT($C$5&amp;"生成成长"),5))*(VLOOKUP($B$5,标准坦克设计!$B$24:$U$30,MATCH("对"&amp;LEFT($C$5,2)&amp;"输出",标准坦克设计!$B$23:$U$23,0)))*(VLOOKUP($B225,INDIRECT($B$5&amp;"生成成长"),3))*(VLOOKUP($B$5,标准坦克设计!$B$14:$K$20,9)/30))</f>
        <v>18.660011304317678</v>
      </c>
    </row>
    <row r="226" spans="1:167" x14ac:dyDescent="0.15">
      <c r="A226" s="171" t="str">
        <f t="shared" si="13"/>
        <v>T5高品质10级</v>
      </c>
      <c r="B226" s="172">
        <v>30510</v>
      </c>
      <c r="C226" s="173">
        <f ca="1">(VLOOKUP(C$72,INDIRECT($C$5&amp;"生成成长"),2))/((VLOOKUP($B226,INDIRECT($B$5&amp;"生成成长"),4))/(VLOOKUP(C$72,INDIRECT($C$5&amp;"生成成长"),5))*(VLOOKUP($B$5,标准坦克设计!$B$24:$U$30,MATCH("对"&amp;LEFT($C$5,2)&amp;"输出",标准坦克设计!$B$23:$U$23,0)))*(VLOOKUP($B226,INDIRECT($B$5&amp;"生成成长"),3))*(VLOOKUP($B$5,标准坦克设计!$B$14:$K$20,9)/30))</f>
        <v>0.75245867518757592</v>
      </c>
      <c r="D226" s="173">
        <f ca="1">(VLOOKUP(D$72,INDIRECT($C$5&amp;"生成成长"),2))/((VLOOKUP($B226,INDIRECT($B$5&amp;"生成成长"),4))/(VLOOKUP(D$72,INDIRECT($C$5&amp;"生成成长"),5))*(VLOOKUP($B$5,标准坦克设计!$B$24:$U$30,MATCH("对"&amp;LEFT($C$5,2)&amp;"输出",标准坦克设计!$B$23:$U$23,0)))*(VLOOKUP($B226,INDIRECT($B$5&amp;"生成成长"),3))*(VLOOKUP($B$5,标准坦克设计!$B$14:$K$20,9)/30))</f>
        <v>0.84546256744076009</v>
      </c>
      <c r="E226" s="173">
        <f ca="1">(VLOOKUP(E$72,INDIRECT($C$5&amp;"生成成长"),2))/((VLOOKUP($B226,INDIRECT($B$5&amp;"生成成长"),4))/(VLOOKUP(E$72,INDIRECT($C$5&amp;"生成成长"),5))*(VLOOKUP($B$5,标准坦克设计!$B$24:$U$30,MATCH("对"&amp;LEFT($C$5,2)&amp;"输出",标准坦克设计!$B$23:$U$23,0)))*(VLOOKUP($B226,INDIRECT($B$5&amp;"生成成长"),3))*(VLOOKUP($B$5,标准坦克设计!$B$14:$K$20,9)/30))</f>
        <v>0.94388416215529525</v>
      </c>
      <c r="F226" s="173">
        <f ca="1">(VLOOKUP(F$72,INDIRECT($C$5&amp;"生成成长"),2))/((VLOOKUP($B226,INDIRECT($B$5&amp;"生成成长"),4))/(VLOOKUP(F$72,INDIRECT($C$5&amp;"生成成长"),5))*(VLOOKUP($B$5,标准坦克设计!$B$24:$U$30,MATCH("对"&amp;LEFT($C$5,2)&amp;"输出",标准坦克设计!$B$23:$U$23,0)))*(VLOOKUP($B226,INDIRECT($B$5&amp;"生成成长"),3))*(VLOOKUP($B$5,标准坦克设计!$B$14:$K$20,9)/30))</f>
        <v>1.0477234593311806</v>
      </c>
      <c r="G226" s="173">
        <f ca="1">(VLOOKUP(G$72,INDIRECT($C$5&amp;"生成成长"),2))/((VLOOKUP($B226,INDIRECT($B$5&amp;"生成成长"),4))/(VLOOKUP(G$72,INDIRECT($C$5&amp;"生成成长"),5))*(VLOOKUP($B$5,标准坦克设计!$B$24:$U$30,MATCH("对"&amp;LEFT($C$5,2)&amp;"输出",标准坦克设计!$B$23:$U$23,0)))*(VLOOKUP($B226,INDIRECT($B$5&amp;"生成成长"),3))*(VLOOKUP($B$5,标准坦克设计!$B$14:$K$20,9)/30))</f>
        <v>1.1569804589684167</v>
      </c>
      <c r="H226" s="173">
        <f ca="1">(VLOOKUP(H$72,INDIRECT($C$5&amp;"生成成长"),2))/((VLOOKUP($B226,INDIRECT($B$5&amp;"生成成长"),4))/(VLOOKUP(H$72,INDIRECT($C$5&amp;"生成成长"),5))*(VLOOKUP($B$5,标准坦克设计!$B$24:$U$30,MATCH("对"&amp;LEFT($C$5,2)&amp;"输出",标准坦克设计!$B$23:$U$23,0)))*(VLOOKUP($B226,INDIRECT($B$5&amp;"生成成长"),3))*(VLOOKUP($B$5,标准坦克设计!$B$14:$K$20,9)/30))</f>
        <v>1.0125083933324019</v>
      </c>
      <c r="I226" s="173">
        <f ca="1">(VLOOKUP(I$72,INDIRECT($C$5&amp;"生成成长"),2))/((VLOOKUP($B226,INDIRECT($B$5&amp;"生成成长"),4))/(VLOOKUP(I$72,INDIRECT($C$5&amp;"生成成长"),5))*(VLOOKUP($B$5,标准坦克设计!$B$24:$U$30,MATCH("对"&amp;LEFT($C$5,2)&amp;"输出",标准坦克设计!$B$23:$U$23,0)))*(VLOOKUP($B226,INDIRECT($B$5&amp;"生成成长"),3))*(VLOOKUP($B$5,标准坦克设计!$B$14:$K$20,9)/30))</f>
        <v>1.1569804589684167</v>
      </c>
      <c r="J226" s="173">
        <f ca="1">(VLOOKUP(J$72,INDIRECT($C$5&amp;"生成成长"),2))/((VLOOKUP($B226,INDIRECT($B$5&amp;"生成成长"),4))/(VLOOKUP(J$72,INDIRECT($C$5&amp;"生成成长"),5))*(VLOOKUP($B$5,标准坦克设计!$B$24:$U$30,MATCH("对"&amp;LEFT($C$5,2)&amp;"输出",标准坦克设计!$B$23:$U$23,0)))*(VLOOKUP($B226,INDIRECT($B$5&amp;"生成成长"),3))*(VLOOKUP($B$5,标准坦克设计!$B$14:$K$20,9)/30))</f>
        <v>1.3110839956468323</v>
      </c>
      <c r="K226" s="173">
        <f ca="1">(VLOOKUP(K$72,INDIRECT($C$5&amp;"生成成长"),2))/((VLOOKUP($B226,INDIRECT($B$5&amp;"生成成长"),4))/(VLOOKUP(K$72,INDIRECT($C$5&amp;"生成成长"),5))*(VLOOKUP($B$5,标准坦克设计!$B$24:$U$30,MATCH("对"&amp;LEFT($C$5,2)&amp;"输出",标准坦克设计!$B$23:$U$23,0)))*(VLOOKUP($B226,INDIRECT($B$5&amp;"生成成长"),3))*(VLOOKUP($B$5,标准坦克设计!$B$14:$K$20,9)/30))</f>
        <v>1.4748190033676485</v>
      </c>
      <c r="L226" s="173">
        <f ca="1">(VLOOKUP(L$72,INDIRECT($C$5&amp;"生成成长"),2))/((VLOOKUP($B226,INDIRECT($B$5&amp;"生成成长"),4))/(VLOOKUP(L$72,INDIRECT($C$5&amp;"生成成长"),5))*(VLOOKUP($B$5,标准坦克设计!$B$24:$U$30,MATCH("对"&amp;LEFT($C$5,2)&amp;"输出",标准坦克设计!$B$23:$U$23,0)))*(VLOOKUP($B226,INDIRECT($B$5&amp;"生成成长"),3))*(VLOOKUP($B$5,标准坦克设计!$B$14:$K$20,9)/30))</f>
        <v>1.6481854821308661</v>
      </c>
      <c r="M226" s="173">
        <f ca="1">(VLOOKUP(M$72,INDIRECT($C$5&amp;"生成成长"),2))/((VLOOKUP($B226,INDIRECT($B$5&amp;"生成成长"),4))/(VLOOKUP(M$72,INDIRECT($C$5&amp;"生成成长"),5))*(VLOOKUP($B$5,标准坦克设计!$B$24:$U$30,MATCH("对"&amp;LEFT($C$5,2)&amp;"输出",标准坦克设计!$B$23:$U$23,0)))*(VLOOKUP($B226,INDIRECT($B$5&amp;"生成成长"),3))*(VLOOKUP($B$5,标准坦克设计!$B$14:$K$20,9)/30))</f>
        <v>1.8311834319364844</v>
      </c>
      <c r="N226" s="173">
        <f ca="1">(VLOOKUP(N$72,INDIRECT($C$5&amp;"生成成长"),2))/((VLOOKUP($B226,INDIRECT($B$5&amp;"生成成长"),4))/(VLOOKUP(N$72,INDIRECT($C$5&amp;"生成成长"),5))*(VLOOKUP($B$5,标准坦克设计!$B$24:$U$30,MATCH("对"&amp;LEFT($C$5,2)&amp;"输出",标准坦克设计!$B$23:$U$23,0)))*(VLOOKUP($B226,INDIRECT($B$5&amp;"生成成长"),3))*(VLOOKUP($B$5,标准坦克设计!$B$14:$K$20,9)/30))</f>
        <v>2.0238128527845038</v>
      </c>
      <c r="O226" s="173">
        <f ca="1">(VLOOKUP(O$72,INDIRECT($C$5&amp;"生成成长"),2))/((VLOOKUP($B226,INDIRECT($B$5&amp;"生成成长"),4))/(VLOOKUP(O$72,INDIRECT($C$5&amp;"生成成长"),5))*(VLOOKUP($B$5,标准坦克设计!$B$24:$U$30,MATCH("对"&amp;LEFT($C$5,2)&amp;"输出",标准坦克设计!$B$23:$U$23,0)))*(VLOOKUP($B226,INDIRECT($B$5&amp;"生成成长"),3))*(VLOOKUP($B$5,标准坦克设计!$B$14:$K$20,9)/30))</f>
        <v>1.5387027448910739</v>
      </c>
      <c r="P226" s="173">
        <f ca="1">(VLOOKUP(P$72,INDIRECT($C$5&amp;"生成成长"),2))/((VLOOKUP($B226,INDIRECT($B$5&amp;"生成成长"),4))/(VLOOKUP(P$72,INDIRECT($C$5&amp;"生成成长"),5))*(VLOOKUP($B$5,标准坦克设计!$B$24:$U$30,MATCH("对"&amp;LEFT($C$5,2)&amp;"输出",标准坦克设计!$B$23:$U$23,0)))*(VLOOKUP($B226,INDIRECT($B$5&amp;"生成成长"),3))*(VLOOKUP($B$5,标准坦克设计!$B$14:$K$20,9)/30))</f>
        <v>1.7384805231533749</v>
      </c>
      <c r="Q226" s="173">
        <f ca="1">(VLOOKUP(Q$72,INDIRECT($C$5&amp;"生成成长"),2))/((VLOOKUP($B226,INDIRECT($B$5&amp;"生成成长"),4))/(VLOOKUP(Q$72,INDIRECT($C$5&amp;"生成成长"),5))*(VLOOKUP($B$5,标准坦克设计!$B$24:$U$30,MATCH("对"&amp;LEFT($C$5,2)&amp;"输出",标准坦克设计!$B$23:$U$23,0)))*(VLOOKUP($B226,INDIRECT($B$5&amp;"生成成长"),3))*(VLOOKUP($B$5,标准坦克设计!$B$14:$K$20,9)/30))</f>
        <v>1.9504481319537155</v>
      </c>
      <c r="R226" s="173">
        <f ca="1">(VLOOKUP(R$72,INDIRECT($C$5&amp;"生成成长"),2))/((VLOOKUP($B226,INDIRECT($B$5&amp;"生成成长"),4))/(VLOOKUP(R$72,INDIRECT($C$5&amp;"生成成长"),5))*(VLOOKUP($B$5,标准坦克设计!$B$24:$U$30,MATCH("对"&amp;LEFT($C$5,2)&amp;"输出",标准坦克设计!$B$23:$U$23,0)))*(VLOOKUP($B226,INDIRECT($B$5&amp;"生成成长"),3))*(VLOOKUP($B$5,标准坦克设计!$B$14:$K$20,9)/30))</f>
        <v>2.1746055712920942</v>
      </c>
      <c r="S226" s="173">
        <f ca="1">(VLOOKUP(S$72,INDIRECT($C$5&amp;"生成成长"),2))/((VLOOKUP($B226,INDIRECT($B$5&amp;"生成成长"),4))/(VLOOKUP(S$72,INDIRECT($C$5&amp;"生成成长"),5))*(VLOOKUP($B$5,标准坦克设计!$B$24:$U$30,MATCH("对"&amp;LEFT($C$5,2)&amp;"输出",标准坦克设计!$B$23:$U$23,0)))*(VLOOKUP($B226,INDIRECT($B$5&amp;"生成成长"),3))*(VLOOKUP($B$5,标准坦克设计!$B$14:$K$20,9)/30))</f>
        <v>2.4109528411685117</v>
      </c>
      <c r="T226" s="173">
        <f ca="1">(VLOOKUP(T$72,INDIRECT($C$5&amp;"生成成长"),2))/((VLOOKUP($B226,INDIRECT($B$5&amp;"生成成长"),4))/(VLOOKUP(T$72,INDIRECT($C$5&amp;"生成成长"),5))*(VLOOKUP($B$5,标准坦克设计!$B$24:$U$30,MATCH("对"&amp;LEFT($C$5,2)&amp;"输出",标准坦克设计!$B$23:$U$23,0)))*(VLOOKUP($B226,INDIRECT($B$5&amp;"生成成长"),3))*(VLOOKUP($B$5,标准坦克设计!$B$14:$K$20,9)/30))</f>
        <v>2.6594899415829678</v>
      </c>
      <c r="U226" s="173">
        <f ca="1">(VLOOKUP(U$72,INDIRECT($C$5&amp;"生成成长"),2))/((VLOOKUP($B226,INDIRECT($B$5&amp;"生成成长"),4))/(VLOOKUP(U$72,INDIRECT($C$5&amp;"生成成长"),5))*(VLOOKUP($B$5,标准坦克设计!$B$24:$U$30,MATCH("对"&amp;LEFT($C$5,2)&amp;"输出",标准坦克设计!$B$23:$U$23,0)))*(VLOOKUP($B226,INDIRECT($B$5&amp;"生成成长"),3))*(VLOOKUP($B$5,标准坦克设计!$B$14:$K$20,9)/30))</f>
        <v>2.9202168725354625</v>
      </c>
      <c r="V226" s="173">
        <f ca="1">(VLOOKUP(V$72,INDIRECT($C$5&amp;"生成成长"),2))/((VLOOKUP($B226,INDIRECT($B$5&amp;"生成成长"),4))/(VLOOKUP(V$72,INDIRECT($C$5&amp;"生成成长"),5))*(VLOOKUP($B$5,标准坦克设计!$B$24:$U$30,MATCH("对"&amp;LEFT($C$5,2)&amp;"输出",标准坦克设计!$B$23:$U$23,0)))*(VLOOKUP($B226,INDIRECT($B$5&amp;"生成成长"),3))*(VLOOKUP($B$5,标准坦克设计!$B$14:$K$20,9)/30))</f>
        <v>3.1931336340259966</v>
      </c>
      <c r="W226" s="173">
        <f ca="1">(VLOOKUP(W$72,INDIRECT($C$5&amp;"生成成长"),2))/((VLOOKUP($B226,INDIRECT($B$5&amp;"生成成长"),4))/(VLOOKUP(W$72,INDIRECT($C$5&amp;"生成成长"),5))*(VLOOKUP($B$5,标准坦克设计!$B$24:$U$30,MATCH("对"&amp;LEFT($C$5,2)&amp;"输出",标准坦克设计!$B$23:$U$23,0)))*(VLOOKUP($B226,INDIRECT($B$5&amp;"生成成长"),3))*(VLOOKUP($B$5,标准坦克设计!$B$14:$K$20,9)/30))</f>
        <v>3.4782402260545688</v>
      </c>
      <c r="X226" s="173">
        <f ca="1">(VLOOKUP(X$72,INDIRECT($C$5&amp;"生成成长"),2))/((VLOOKUP($B226,INDIRECT($B$5&amp;"生成成长"),4))/(VLOOKUP(X$72,INDIRECT($C$5&amp;"生成成长"),5))*(VLOOKUP($B$5,标准坦克设计!$B$24:$U$30,MATCH("对"&amp;LEFT($C$5,2)&amp;"输出",标准坦克设计!$B$23:$U$23,0)))*(VLOOKUP($B226,INDIRECT($B$5&amp;"生成成长"),3))*(VLOOKUP($B$5,标准坦克设计!$B$14:$K$20,9)/30))</f>
        <v>2.5199088573356727</v>
      </c>
      <c r="Y226" s="173">
        <f ca="1">(VLOOKUP(Y$72,INDIRECT($C$5&amp;"生成成长"),2))/((VLOOKUP($B226,INDIRECT($B$5&amp;"生成成长"),4))/(VLOOKUP(Y$72,INDIRECT($C$5&amp;"生成成长"),5))*(VLOOKUP($B$5,标准坦克设计!$B$24:$U$30,MATCH("对"&amp;LEFT($C$5,2)&amp;"输出",标准坦克设计!$B$23:$U$23,0)))*(VLOOKUP($B226,INDIRECT($B$5&amp;"生成成长"),3))*(VLOOKUP($B$5,标准坦克设计!$B$14:$K$20,9)/30))</f>
        <v>2.8028333192062012</v>
      </c>
      <c r="Z226" s="173">
        <f ca="1">(VLOOKUP(Z$72,INDIRECT($C$5&amp;"生成成长"),2))/((VLOOKUP($B226,INDIRECT($B$5&amp;"生成成长"),4))/(VLOOKUP(Z$72,INDIRECT($C$5&amp;"生成成长"),5))*(VLOOKUP($B$5,标准坦克设计!$B$24:$U$30,MATCH("对"&amp;LEFT($C$5,2)&amp;"输出",标准坦克设计!$B$23:$U$23,0)))*(VLOOKUP($B226,INDIRECT($B$5&amp;"生成成长"),3))*(VLOOKUP($B$5,标准坦克设计!$B$14:$K$20,9)/30))</f>
        <v>3.1008069545804813</v>
      </c>
      <c r="AA226" s="173">
        <f ca="1">(VLOOKUP(AA$72,INDIRECT($C$5&amp;"生成成长"),2))/((VLOOKUP($B226,INDIRECT($B$5&amp;"生成成长"),4))/(VLOOKUP(AA$72,INDIRECT($C$5&amp;"生成成长"),5))*(VLOOKUP($B$5,标准坦克设计!$B$24:$U$30,MATCH("对"&amp;LEFT($C$5,2)&amp;"输出",标准坦克设计!$B$23:$U$23,0)))*(VLOOKUP($B226,INDIRECT($B$5&amp;"生成成长"),3))*(VLOOKUP($B$5,标准坦克设计!$B$14:$K$20,9)/30))</f>
        <v>3.4138297634585122</v>
      </c>
      <c r="AB226" s="173">
        <f ca="1">(VLOOKUP(AB$72,INDIRECT($C$5&amp;"生成成长"),2))/((VLOOKUP($B226,INDIRECT($B$5&amp;"生成成长"),4))/(VLOOKUP(AB$72,INDIRECT($C$5&amp;"生成成长"),5))*(VLOOKUP($B$5,标准坦克设计!$B$24:$U$30,MATCH("对"&amp;LEFT($C$5,2)&amp;"输出",标准坦克设计!$B$23:$U$23,0)))*(VLOOKUP($B226,INDIRECT($B$5&amp;"生成成长"),3))*(VLOOKUP($B$5,标准坦克设计!$B$14:$K$20,9)/30))</f>
        <v>3.7419017458402957</v>
      </c>
      <c r="AC226" s="173">
        <f ca="1">(VLOOKUP(AC$72,INDIRECT($C$5&amp;"生成成长"),2))/((VLOOKUP($B226,INDIRECT($B$5&amp;"生成成长"),4))/(VLOOKUP(AC$72,INDIRECT($C$5&amp;"生成成长"),5))*(VLOOKUP($B$5,标准坦克设计!$B$24:$U$30,MATCH("对"&amp;LEFT($C$5,2)&amp;"输出",标准坦克设计!$B$23:$U$23,0)))*(VLOOKUP($B226,INDIRECT($B$5&amp;"生成成长"),3))*(VLOOKUP($B$5,标准坦克设计!$B$14:$K$20,9)/30))</f>
        <v>4.0850229017258304</v>
      </c>
      <c r="AD226" s="173">
        <f ca="1">(VLOOKUP(AD$72,INDIRECT($C$5&amp;"生成成长"),2))/((VLOOKUP($B226,INDIRECT($B$5&amp;"生成成长"),4))/(VLOOKUP(AD$72,INDIRECT($C$5&amp;"生成成长"),5))*(VLOOKUP($B$5,标准坦克设计!$B$24:$U$30,MATCH("对"&amp;LEFT($C$5,2)&amp;"输出",标准坦克设计!$B$23:$U$23,0)))*(VLOOKUP($B226,INDIRECT($B$5&amp;"生成成长"),3))*(VLOOKUP($B$5,标准坦克设计!$B$14:$K$20,9)/30))</f>
        <v>4.4431932311151163</v>
      </c>
      <c r="AE226" s="173">
        <f ca="1">(VLOOKUP(AE$72,INDIRECT($C$5&amp;"生成成长"),2))/((VLOOKUP($B226,INDIRECT($B$5&amp;"生成成长"),4))/(VLOOKUP(AE$72,INDIRECT($C$5&amp;"生成成长"),5))*(VLOOKUP($B$5,标准坦克设计!$B$24:$U$30,MATCH("对"&amp;LEFT($C$5,2)&amp;"输出",标准坦克设计!$B$23:$U$23,0)))*(VLOOKUP($B226,INDIRECT($B$5&amp;"生成成长"),3))*(VLOOKUP($B$5,标准坦克设计!$B$14:$K$20,9)/30))</f>
        <v>4.8164127340081535</v>
      </c>
      <c r="AF226" s="173">
        <f ca="1">(VLOOKUP(AF$72,INDIRECT($C$5&amp;"生成成长"),2))/((VLOOKUP($B226,INDIRECT($B$5&amp;"生成成长"),4))/(VLOOKUP(AF$72,INDIRECT($C$5&amp;"生成成长"),5))*(VLOOKUP($B$5,标准坦克设计!$B$24:$U$30,MATCH("对"&amp;LEFT($C$5,2)&amp;"输出",标准坦克设计!$B$23:$U$23,0)))*(VLOOKUP($B226,INDIRECT($B$5&amp;"生成成长"),3))*(VLOOKUP($B$5,标准坦克设计!$B$14:$K$20,9)/30))</f>
        <v>5.2046814104049437</v>
      </c>
      <c r="AG226" s="173">
        <f ca="1">(VLOOKUP(AG$72,INDIRECT($C$5&amp;"生成成长"),2))/((VLOOKUP($B226,INDIRECT($B$5&amp;"生成成长"),4))/(VLOOKUP(AG$72,INDIRECT($C$5&amp;"生成成长"),5))*(VLOOKUP($B$5,标准坦克设计!$B$24:$U$30,MATCH("对"&amp;LEFT($C$5,2)&amp;"输出",标准坦克设计!$B$23:$U$23,0)))*(VLOOKUP($B226,INDIRECT($B$5&amp;"生成成长"),3))*(VLOOKUP($B$5,标准坦克设计!$B$14:$K$20,9)/30))</f>
        <v>5.6079992603054842</v>
      </c>
      <c r="AH226" s="173">
        <f ca="1">(VLOOKUP(AH$72,INDIRECT($C$5&amp;"生成成长"),2))/((VLOOKUP($B226,INDIRECT($B$5&amp;"生成成长"),4))/(VLOOKUP(AH$72,INDIRECT($C$5&amp;"生成成长"),5))*(VLOOKUP($B$5,标准坦克设计!$B$24:$U$30,MATCH("对"&amp;LEFT($C$5,2)&amp;"输出",标准坦克设计!$B$23:$U$23,0)))*(VLOOKUP($B226,INDIRECT($B$5&amp;"生成成长"),3))*(VLOOKUP($B$5,标准坦克设计!$B$14:$K$20,9)/30))</f>
        <v>6.026366283709776</v>
      </c>
      <c r="AI226" s="173">
        <f ca="1">(VLOOKUP(AI$72,INDIRECT($C$5&amp;"生成成长"),2))/((VLOOKUP($B226,INDIRECT($B$5&amp;"生成成长"),4))/(VLOOKUP(AI$72,INDIRECT($C$5&amp;"生成成长"),5))*(VLOOKUP($B$5,标准坦克设计!$B$24:$U$30,MATCH("对"&amp;LEFT($C$5,2)&amp;"输出",标准坦克设计!$B$23:$U$23,0)))*(VLOOKUP($B226,INDIRECT($B$5&amp;"生成成长"),3))*(VLOOKUP($B$5,标准坦克设计!$B$14:$K$20,9)/30))</f>
        <v>4.2622269197325053</v>
      </c>
      <c r="AJ226" s="173">
        <f ca="1">(VLOOKUP(AJ$72,INDIRECT($C$5&amp;"生成成长"),2))/((VLOOKUP($B226,INDIRECT($B$5&amp;"生成成长"),4))/(VLOOKUP(AJ$72,INDIRECT($C$5&amp;"生成成长"),5))*(VLOOKUP($B$5,标准坦克设计!$B$24:$U$30,MATCH("对"&amp;LEFT($C$5,2)&amp;"输出",标准坦克设计!$B$23:$U$23,0)))*(VLOOKUP($B226,INDIRECT($B$5&amp;"生成成长"),3))*(VLOOKUP($B$5,标准坦克设计!$B$14:$K$20,9)/30))</f>
        <v>4.6653190320304887</v>
      </c>
      <c r="AK226" s="173">
        <f ca="1">(VLOOKUP(AK$72,INDIRECT($C$5&amp;"生成成长"),2))/((VLOOKUP($B226,INDIRECT($B$5&amp;"生成成长"),4))/(VLOOKUP(AK$72,INDIRECT($C$5&amp;"生成成长"),5))*(VLOOKUP($B$5,标准坦克设计!$B$24:$U$30,MATCH("对"&amp;LEFT($C$5,2)&amp;"输出",标准坦克设计!$B$23:$U$23,0)))*(VLOOKUP($B226,INDIRECT($B$5&amp;"生成成长"),3))*(VLOOKUP($B$5,标准坦克设计!$B$14:$K$20,9)/30))</f>
        <v>5.0866206442680131</v>
      </c>
      <c r="AL226" s="173">
        <f ca="1">(VLOOKUP(AL$72,INDIRECT($C$5&amp;"生成成长"),2))/((VLOOKUP($B226,INDIRECT($B$5&amp;"生成成长"),4))/(VLOOKUP(AL$72,INDIRECT($C$5&amp;"生成成长"),5))*(VLOOKUP($B$5,标准坦克设计!$B$24:$U$30,MATCH("对"&amp;LEFT($C$5,2)&amp;"输出",标准坦克设计!$B$23:$U$23,0)))*(VLOOKUP($B226,INDIRECT($B$5&amp;"生成成长"),3))*(VLOOKUP($B$5,标准坦克设计!$B$14:$K$20,9)/30))</f>
        <v>5.5261317564450758</v>
      </c>
      <c r="AM226" s="173">
        <f ca="1">(VLOOKUP(AM$72,INDIRECT($C$5&amp;"生成成长"),2))/((VLOOKUP($B226,INDIRECT($B$5&amp;"生成成长"),4))/(VLOOKUP(AM$72,INDIRECT($C$5&amp;"生成成长"),5))*(VLOOKUP($B$5,标准坦克设计!$B$24:$U$30,MATCH("对"&amp;LEFT($C$5,2)&amp;"输出",标准坦克设计!$B$23:$U$23,0)))*(VLOOKUP($B226,INDIRECT($B$5&amp;"生成成长"),3))*(VLOOKUP($B$5,标准坦克设计!$B$14:$K$20,9)/30))</f>
        <v>5.9838523685616778</v>
      </c>
      <c r="AN226" s="173">
        <f ca="1">(VLOOKUP(AN$72,INDIRECT($C$5&amp;"生成成长"),2))/((VLOOKUP($B226,INDIRECT($B$5&amp;"生成成长"),4))/(VLOOKUP(AN$72,INDIRECT($C$5&amp;"生成成长"),5))*(VLOOKUP($B$5,标准坦克设计!$B$24:$U$30,MATCH("对"&amp;LEFT($C$5,2)&amp;"输出",标准坦克设计!$B$23:$U$23,0)))*(VLOOKUP($B226,INDIRECT($B$5&amp;"生成成长"),3))*(VLOOKUP($B$5,标准坦克设计!$B$14:$K$20,9)/30))</f>
        <v>6.459782480617819</v>
      </c>
      <c r="AO226" s="173">
        <f ca="1">(VLOOKUP(AO$72,INDIRECT($C$5&amp;"生成成长"),2))/((VLOOKUP($B226,INDIRECT($B$5&amp;"生成成长"),4))/(VLOOKUP(AO$72,INDIRECT($C$5&amp;"生成成长"),5))*(VLOOKUP($B$5,标准坦克设计!$B$24:$U$30,MATCH("对"&amp;LEFT($C$5,2)&amp;"输出",标准坦克设计!$B$23:$U$23,0)))*(VLOOKUP($B226,INDIRECT($B$5&amp;"生成成长"),3))*(VLOOKUP($B$5,标准坦克设计!$B$14:$K$20,9)/30))</f>
        <v>6.9539220926134995</v>
      </c>
      <c r="AP226" s="173">
        <f ca="1">(VLOOKUP(AP$72,INDIRECT($C$5&amp;"生成成长"),2))/((VLOOKUP($B226,INDIRECT($B$5&amp;"生成成长"),4))/(VLOOKUP(AP$72,INDIRECT($C$5&amp;"生成成长"),5))*(VLOOKUP($B$5,标准坦克设计!$B$24:$U$30,MATCH("对"&amp;LEFT($C$5,2)&amp;"输出",标准坦克设计!$B$23:$U$23,0)))*(VLOOKUP($B226,INDIRECT($B$5&amp;"生成成长"),3))*(VLOOKUP($B$5,标准坦克设计!$B$14:$K$20,9)/30))</f>
        <v>7.4662712045487201</v>
      </c>
      <c r="AQ226" s="173">
        <f ca="1">(VLOOKUP(AQ$72,INDIRECT($C$5&amp;"生成成长"),2))/((VLOOKUP($B226,INDIRECT($B$5&amp;"生成成长"),4))/(VLOOKUP(AQ$72,INDIRECT($C$5&amp;"生成成长"),5))*(VLOOKUP($B$5,标准坦克设计!$B$24:$U$30,MATCH("对"&amp;LEFT($C$5,2)&amp;"输出",标准坦克设计!$B$23:$U$23,0)))*(VLOOKUP($B226,INDIRECT($B$5&amp;"生成成长"),3))*(VLOOKUP($B$5,标准坦克设计!$B$14:$K$20,9)/30))</f>
        <v>7.9968298164234799</v>
      </c>
      <c r="AR226" s="173">
        <f ca="1">(VLOOKUP(AR$72,INDIRECT($C$5&amp;"生成成长"),2))/((VLOOKUP($B226,INDIRECT($B$5&amp;"生成成长"),4))/(VLOOKUP(AR$72,INDIRECT($C$5&amp;"生成成长"),5))*(VLOOKUP($B$5,标准坦克设计!$B$24:$U$30,MATCH("对"&amp;LEFT($C$5,2)&amp;"输出",标准坦克设计!$B$23:$U$23,0)))*(VLOOKUP($B226,INDIRECT($B$5&amp;"生成成长"),3))*(VLOOKUP($B$5,标准坦克设计!$B$14:$K$20,9)/30))</f>
        <v>8.5455979282377807</v>
      </c>
      <c r="AS226" s="173">
        <f ca="1">(VLOOKUP(AS$72,INDIRECT($C$5&amp;"生成成长"),2))/((VLOOKUP($B226,INDIRECT($B$5&amp;"生成成长"),4))/(VLOOKUP(AS$72,INDIRECT($C$5&amp;"生成成长"),5))*(VLOOKUP($B$5,标准坦克设计!$B$24:$U$30,MATCH("对"&amp;LEFT($C$5,2)&amp;"输出",标准坦克设计!$B$23:$U$23,0)))*(VLOOKUP($B226,INDIRECT($B$5&amp;"生成成长"),3))*(VLOOKUP($B$5,标准坦克设计!$B$14:$K$20,9)/30))</f>
        <v>9.1125755399916191</v>
      </c>
      <c r="AT226" s="173">
        <f ca="1">(VLOOKUP(AT$72,INDIRECT($C$5&amp;"生成成长"),2))/((VLOOKUP($B226,INDIRECT($B$5&amp;"生成成长"),4))/(VLOOKUP(AT$72,INDIRECT($C$5&amp;"生成成长"),5))*(VLOOKUP($B$5,标准坦克设计!$B$24:$U$30,MATCH("对"&amp;LEFT($C$5,2)&amp;"输出",标准坦克设计!$B$23:$U$23,0)))*(VLOOKUP($B226,INDIRECT($B$5&amp;"生成成长"),3))*(VLOOKUP($B$5,标准坦克设计!$B$14:$K$20,9)/30))</f>
        <v>9.6977626516849966</v>
      </c>
      <c r="AU226" s="173">
        <f ca="1">(VLOOKUP(AU$72,INDIRECT($C$5&amp;"生成成长"),2))/((VLOOKUP($B226,INDIRECT($B$5&amp;"生成成长"),4))/(VLOOKUP(AU$72,INDIRECT($C$5&amp;"生成成长"),5))*(VLOOKUP($B$5,标准坦克设计!$B$24:$U$30,MATCH("对"&amp;LEFT($C$5,2)&amp;"输出",标准坦克设计!$B$23:$U$23,0)))*(VLOOKUP($B226,INDIRECT($B$5&amp;"生成成长"),3))*(VLOOKUP($B$5,标准坦克设计!$B$14:$K$20,9)/30))</f>
        <v>10.301159263317913</v>
      </c>
      <c r="AV226" s="173">
        <f ca="1">(VLOOKUP(AV$72,INDIRECT($C$5&amp;"生成成长"),2))/((VLOOKUP($B226,INDIRECT($B$5&amp;"生成成长"),4))/(VLOOKUP(AV$72,INDIRECT($C$5&amp;"生成成长"),5))*(VLOOKUP($B$5,标准坦克设计!$B$24:$U$30,MATCH("对"&amp;LEFT($C$5,2)&amp;"输出",标准坦克设计!$B$23:$U$23,0)))*(VLOOKUP($B226,INDIRECT($B$5&amp;"生成成长"),3))*(VLOOKUP($B$5,标准坦克设计!$B$14:$K$20,9)/30))</f>
        <v>1.0477234593311806</v>
      </c>
      <c r="AW226" s="173">
        <f ca="1">(VLOOKUP(AW$72,INDIRECT($C$5&amp;"生成成长"),2))/((VLOOKUP($B226,INDIRECT($B$5&amp;"生成成长"),4))/(VLOOKUP(AW$72,INDIRECT($C$5&amp;"生成成长"),5))*(VLOOKUP($B$5,标准坦克设计!$B$24:$U$30,MATCH("对"&amp;LEFT($C$5,2)&amp;"输出",标准坦克设计!$B$23:$U$23,0)))*(VLOOKUP($B226,INDIRECT($B$5&amp;"生成成长"),3))*(VLOOKUP($B$5,标准坦克设计!$B$14:$K$20,9)/30))</f>
        <v>1.1946033927277953</v>
      </c>
      <c r="AX226" s="173">
        <f ca="1">(VLOOKUP(AX$72,INDIRECT($C$5&amp;"生成成长"),2))/((VLOOKUP($B226,INDIRECT($B$5&amp;"生成成长"),4))/(VLOOKUP(AX$72,INDIRECT($C$5&amp;"生成成长"),5))*(VLOOKUP($B$5,标准坦克设计!$B$24:$U$30,MATCH("对"&amp;LEFT($C$5,2)&amp;"输出",标准坦克设计!$B$23:$U$23,0)))*(VLOOKUP($B226,INDIRECT($B$5&amp;"生成成长"),3))*(VLOOKUP($B$5,标准坦克设计!$B$14:$K$20,9)/30))</f>
        <v>1.3511147971668112</v>
      </c>
      <c r="AY226" s="173">
        <f ca="1">(VLOOKUP(AY$72,INDIRECT($C$5&amp;"生成成长"),2))/((VLOOKUP($B226,INDIRECT($B$5&amp;"生成成长"),4))/(VLOOKUP(AY$72,INDIRECT($C$5&amp;"生成成长"),5))*(VLOOKUP($B$5,标准坦克设计!$B$24:$U$30,MATCH("对"&amp;LEFT($C$5,2)&amp;"输出",标准坦克设计!$B$23:$U$23,0)))*(VLOOKUP($B226,INDIRECT($B$5&amp;"生成成长"),3))*(VLOOKUP($B$5,标准坦克设计!$B$14:$K$20,9)/30))</f>
        <v>1.5172576726482276</v>
      </c>
      <c r="AZ226" s="173">
        <f ca="1">(VLOOKUP(AZ$72,INDIRECT($C$5&amp;"生成成长"),2))/((VLOOKUP($B226,INDIRECT($B$5&amp;"生成成长"),4))/(VLOOKUP(AZ$72,INDIRECT($C$5&amp;"生成成长"),5))*(VLOOKUP($B$5,标准坦克设计!$B$24:$U$30,MATCH("对"&amp;LEFT($C$5,2)&amp;"输出",标准坦克设计!$B$23:$U$23,0)))*(VLOOKUP($B226,INDIRECT($B$5&amp;"生成成长"),3))*(VLOOKUP($B$5,标准坦克设计!$B$14:$K$20,9)/30))</f>
        <v>1.6930320191720454</v>
      </c>
      <c r="BA226" s="173">
        <f ca="1">(VLOOKUP(BA$72,INDIRECT($C$5&amp;"生成成长"),2))/((VLOOKUP($B226,INDIRECT($B$5&amp;"生成成长"),4))/(VLOOKUP(BA$72,INDIRECT($C$5&amp;"生成成长"),5))*(VLOOKUP($B$5,标准坦克设计!$B$24:$U$30,MATCH("对"&amp;LEFT($C$5,2)&amp;"输出",标准坦克设计!$B$23:$U$23,0)))*(VLOOKUP($B226,INDIRECT($B$5&amp;"生成成长"),3))*(VLOOKUP($B$5,标准坦克设计!$B$14:$K$20,9)/30))</f>
        <v>1.8784378367382641</v>
      </c>
      <c r="BB226" s="173">
        <f ca="1">(VLOOKUP(BB$72,INDIRECT($C$5&amp;"生成成长"),2))/((VLOOKUP($B226,INDIRECT($B$5&amp;"生成成长"),4))/(VLOOKUP(BB$72,INDIRECT($C$5&amp;"生成成长"),5))*(VLOOKUP($B$5,标准坦克设计!$B$24:$U$30,MATCH("对"&amp;LEFT($C$5,2)&amp;"输出",标准坦克设计!$B$23:$U$23,0)))*(VLOOKUP($B226,INDIRECT($B$5&amp;"生成成长"),3))*(VLOOKUP($B$5,标准坦克设计!$B$14:$K$20,9)/30))</f>
        <v>2.0734751253468842</v>
      </c>
      <c r="BC226" s="173">
        <f ca="1">(VLOOKUP(BC$72,INDIRECT($C$5&amp;"生成成长"),2))/((VLOOKUP($B226,INDIRECT($B$5&amp;"生成成长"),4))/(VLOOKUP(BC$72,INDIRECT($C$5&amp;"生成成长"),5))*(VLOOKUP($B$5,标准坦克设计!$B$24:$U$30,MATCH("对"&amp;LEFT($C$5,2)&amp;"输出",标准坦克设计!$B$23:$U$23,0)))*(VLOOKUP($B226,INDIRECT($B$5&amp;"生成成长"),3))*(VLOOKUP($B$5,标准坦克设计!$B$14:$K$20,9)/30))</f>
        <v>2.2781438849979048</v>
      </c>
      <c r="BD226" s="173">
        <f ca="1">(VLOOKUP(BD$72,INDIRECT($C$5&amp;"生成成长"),2))/((VLOOKUP($B226,INDIRECT($B$5&amp;"生成成长"),4))/(VLOOKUP(BD$72,INDIRECT($C$5&amp;"生成成长"),5))*(VLOOKUP($B$5,标准坦克设计!$B$24:$U$30,MATCH("对"&amp;LEFT($C$5,2)&amp;"输出",标准坦克设计!$B$23:$U$23,0)))*(VLOOKUP($B226,INDIRECT($B$5&amp;"生成成长"),3))*(VLOOKUP($B$5,标准坦克设计!$B$14:$K$20,9)/30))</f>
        <v>2.5199088573356727</v>
      </c>
      <c r="BE226" s="173">
        <f ca="1">(VLOOKUP(BE$72,INDIRECT($C$5&amp;"生成成长"),2))/((VLOOKUP($B226,INDIRECT($B$5&amp;"生成成长"),4))/(VLOOKUP(BE$72,INDIRECT($C$5&amp;"生成成长"),5))*(VLOOKUP($B$5,标准坦克设计!$B$24:$U$30,MATCH("对"&amp;LEFT($C$5,2)&amp;"输出",标准坦克设计!$B$23:$U$23,0)))*(VLOOKUP($B226,INDIRECT($B$5&amp;"生成成长"),3))*(VLOOKUP($B$5,标准坦克设计!$B$14:$K$20,9)/30))</f>
        <v>2.7738636602114792</v>
      </c>
      <c r="BF226" s="173">
        <f ca="1">(VLOOKUP(BF$72,INDIRECT($C$5&amp;"生成成长"),2))/((VLOOKUP($B226,INDIRECT($B$5&amp;"生成成长"),4))/(VLOOKUP(BF$72,INDIRECT($C$5&amp;"生成成长"),5))*(VLOOKUP($B$5,标准坦克设计!$B$24:$U$30,MATCH("对"&amp;LEFT($C$5,2)&amp;"输出",标准坦克设计!$B$23:$U$23,0)))*(VLOOKUP($B226,INDIRECT($B$5&amp;"生成成长"),3))*(VLOOKUP($B$5,标准坦克设计!$B$14:$K$20,9)/30))</f>
        <v>3.0400082936253243</v>
      </c>
      <c r="BG226" s="173">
        <f ca="1">(VLOOKUP(BG$72,INDIRECT($C$5&amp;"生成成长"),2))/((VLOOKUP($B226,INDIRECT($B$5&amp;"生成成长"),4))/(VLOOKUP(BG$72,INDIRECT($C$5&amp;"生成成长"),5))*(VLOOKUP($B$5,标准坦克设计!$B$24:$U$30,MATCH("对"&amp;LEFT($C$5,2)&amp;"输出",标准坦克设计!$B$23:$U$23,0)))*(VLOOKUP($B226,INDIRECT($B$5&amp;"生成成长"),3))*(VLOOKUP($B$5,标准坦克设计!$B$14:$K$20,9)/30))</f>
        <v>3.3183427575772093</v>
      </c>
      <c r="BH226" s="173">
        <f ca="1">(VLOOKUP(BH$72,INDIRECT($C$5&amp;"生成成长"),2))/((VLOOKUP($B226,INDIRECT($B$5&amp;"生成成长"),4))/(VLOOKUP(BH$72,INDIRECT($C$5&amp;"生成成长"),5))*(VLOOKUP($B$5,标准坦克设计!$B$24:$U$30,MATCH("对"&amp;LEFT($C$5,2)&amp;"输出",标准坦克设计!$B$23:$U$23,0)))*(VLOOKUP($B226,INDIRECT($B$5&amp;"生成成长"),3))*(VLOOKUP($B$5,标准坦克设计!$B$14:$K$20,9)/30))</f>
        <v>1.6039409120298367</v>
      </c>
      <c r="BI226" s="173">
        <f ca="1">(VLOOKUP(BI$72,INDIRECT($C$5&amp;"生成成长"),2))/((VLOOKUP($B226,INDIRECT($B$5&amp;"生成成长"),4))/(VLOOKUP(BI$72,INDIRECT($C$5&amp;"生成成长"),5))*(VLOOKUP($B$5,标准坦克设计!$B$24:$U$30,MATCH("对"&amp;LEFT($C$5,2)&amp;"输出",标准坦克设计!$B$23:$U$23,0)))*(VLOOKUP($B226,INDIRECT($B$5&amp;"生成成长"),3))*(VLOOKUP($B$5,标准坦克设计!$B$14:$K$20,9)/30))</f>
        <v>1.8077819671381508</v>
      </c>
      <c r="BJ226" s="173">
        <f ca="1">(VLOOKUP(BJ$72,INDIRECT($C$5&amp;"生成成长"),2))/((VLOOKUP($B226,INDIRECT($B$5&amp;"生成成长"),4))/(VLOOKUP(BJ$72,INDIRECT($C$5&amp;"生成成长"),5))*(VLOOKUP($B$5,标准坦克设计!$B$24:$U$30,MATCH("对"&amp;LEFT($C$5,2)&amp;"输出",标准坦克设计!$B$23:$U$23,0)))*(VLOOKUP($B226,INDIRECT($B$5&amp;"生成成长"),3))*(VLOOKUP($B$5,标准坦克设计!$B$14:$K$20,9)/30))</f>
        <v>2.0238128527845038</v>
      </c>
      <c r="BK226" s="173">
        <f ca="1">(VLOOKUP(BK$72,INDIRECT($C$5&amp;"生成成长"),2))/((VLOOKUP($B226,INDIRECT($B$5&amp;"生成成长"),4))/(VLOOKUP(BK$72,INDIRECT($C$5&amp;"生成成长"),5))*(VLOOKUP($B$5,标准坦克设计!$B$24:$U$30,MATCH("对"&amp;LEFT($C$5,2)&amp;"输出",标准坦克设计!$B$23:$U$23,0)))*(VLOOKUP($B226,INDIRECT($B$5&amp;"生成成长"),3))*(VLOOKUP($B$5,标准坦克设计!$B$14:$K$20,9)/30))</f>
        <v>2.2520335689688959</v>
      </c>
      <c r="BL226" s="173">
        <f ca="1">(VLOOKUP(BL$72,INDIRECT($C$5&amp;"生成成长"),2))/((VLOOKUP($B226,INDIRECT($B$5&amp;"生成成长"),4))/(VLOOKUP(BL$72,INDIRECT($C$5&amp;"生成成长"),5))*(VLOOKUP($B$5,标准坦克设计!$B$24:$U$30,MATCH("对"&amp;LEFT($C$5,2)&amp;"输出",标准坦克设计!$B$23:$U$23,0)))*(VLOOKUP($B226,INDIRECT($B$5&amp;"生成成长"),3))*(VLOOKUP($B$5,标准坦克设计!$B$14:$K$20,9)/30))</f>
        <v>2.4924441156913262</v>
      </c>
      <c r="BM226" s="173">
        <f ca="1">(VLOOKUP(BM$72,INDIRECT($C$5&amp;"生成成长"),2))/((VLOOKUP($B226,INDIRECT($B$5&amp;"生成成长"),4))/(VLOOKUP(BM$72,INDIRECT($C$5&amp;"生成成长"),5))*(VLOOKUP($B$5,标准坦克设计!$B$24:$U$30,MATCH("对"&amp;LEFT($C$5,2)&amp;"输出",标准坦克设计!$B$23:$U$23,0)))*(VLOOKUP($B226,INDIRECT($B$5&amp;"生成成长"),3))*(VLOOKUP($B$5,标准坦克设计!$B$14:$K$20,9)/30))</f>
        <v>2.745044492951795</v>
      </c>
      <c r="BN226" s="173">
        <f ca="1">(VLOOKUP(BN$72,INDIRECT($C$5&amp;"生成成长"),2))/((VLOOKUP($B226,INDIRECT($B$5&amp;"生成成长"),4))/(VLOOKUP(BN$72,INDIRECT($C$5&amp;"生成成长"),5))*(VLOOKUP($B$5,标准坦克设计!$B$24:$U$30,MATCH("对"&amp;LEFT($C$5,2)&amp;"输出",标准坦克设计!$B$23:$U$23,0)))*(VLOOKUP($B226,INDIRECT($B$5&amp;"生成成长"),3))*(VLOOKUP($B$5,标准坦克设计!$B$14:$K$20,9)/30))</f>
        <v>3.0098347007503037</v>
      </c>
      <c r="BO226" s="173">
        <f ca="1">(VLOOKUP(BO$72,INDIRECT($C$5&amp;"生成成长"),2))/((VLOOKUP($B226,INDIRECT($B$5&amp;"生成成长"),4))/(VLOOKUP(BO$72,INDIRECT($C$5&amp;"生成成长"),5))*(VLOOKUP($B$5,标准坦克设计!$B$24:$U$30,MATCH("对"&amp;LEFT($C$5,2)&amp;"输出",标准坦克设计!$B$23:$U$23,0)))*(VLOOKUP($B226,INDIRECT($B$5&amp;"生成成长"),3))*(VLOOKUP($B$5,标准坦克设计!$B$14:$K$20,9)/30))</f>
        <v>3.2868147390868501</v>
      </c>
      <c r="BP226" s="173">
        <f ca="1">(VLOOKUP(BP$72,INDIRECT($C$5&amp;"生成成长"),2))/((VLOOKUP($B226,INDIRECT($B$5&amp;"生成成长"),4))/(VLOOKUP(BP$72,INDIRECT($C$5&amp;"生成成长"),5))*(VLOOKUP($B$5,标准坦克设计!$B$24:$U$30,MATCH("对"&amp;LEFT($C$5,2)&amp;"输出",标准坦克设计!$B$23:$U$23,0)))*(VLOOKUP($B226,INDIRECT($B$5&amp;"生成成长"),3))*(VLOOKUP($B$5,标准坦克设计!$B$14:$K$20,9)/30))</f>
        <v>3.5759846079614355</v>
      </c>
      <c r="BQ226" s="173">
        <f ca="1">(VLOOKUP(BQ$72,INDIRECT($C$5&amp;"生成成长"),2))/((VLOOKUP($B226,INDIRECT($B$5&amp;"生成成长"),4))/(VLOOKUP(BQ$72,INDIRECT($C$5&amp;"生成成长"),5))*(VLOOKUP($B$5,标准坦克设计!$B$24:$U$30,MATCH("对"&amp;LEFT($C$5,2)&amp;"输出",标准坦克设计!$B$23:$U$23,0)))*(VLOOKUP($B226,INDIRECT($B$5&amp;"生成成长"),3))*(VLOOKUP($B$5,标准坦克设计!$B$14:$K$20,9)/30))</f>
        <v>3.8773443073740603</v>
      </c>
      <c r="BR226" s="173">
        <f ca="1">(VLOOKUP(BR$72,INDIRECT($C$5&amp;"生成成长"),2))/((VLOOKUP($B226,INDIRECT($B$5&amp;"生成成长"),4))/(VLOOKUP(BR$72,INDIRECT($C$5&amp;"生成成长"),5))*(VLOOKUP($B$5,标准坦克设计!$B$24:$U$30,MATCH("对"&amp;LEFT($C$5,2)&amp;"输出",标准坦克设计!$B$23:$U$23,0)))*(VLOOKUP($B226,INDIRECT($B$5&amp;"生成成长"),3))*(VLOOKUP($B$5,标准坦克设计!$B$14:$K$20,9)/30))</f>
        <v>4.2264851326610939</v>
      </c>
      <c r="BS226" s="173">
        <f ca="1">(VLOOKUP(BS$72,INDIRECT($C$5&amp;"生成成长"),2))/((VLOOKUP($B226,INDIRECT($B$5&amp;"生成成长"),4))/(VLOOKUP(BS$72,INDIRECT($C$5&amp;"生成成长"),5))*(VLOOKUP($B$5,标准坦克设计!$B$24:$U$30,MATCH("对"&amp;LEFT($C$5,2)&amp;"输出",标准坦克设计!$B$23:$U$23,0)))*(VLOOKUP($B226,INDIRECT($B$5&amp;"生成成长"),3))*(VLOOKUP($B$5,标准坦克设计!$B$14:$K$20,9)/30))</f>
        <v>4.5906751314518814</v>
      </c>
      <c r="BT226" s="173">
        <f ca="1">(VLOOKUP(BT$72,INDIRECT($C$5&amp;"生成成长"),2))/((VLOOKUP($B226,INDIRECT($B$5&amp;"生成成长"),4))/(VLOOKUP(BT$72,INDIRECT($C$5&amp;"生成成长"),5))*(VLOOKUP($B$5,标准坦克设计!$B$24:$U$30,MATCH("对"&amp;LEFT($C$5,2)&amp;"输出",标准坦克设计!$B$23:$U$23,0)))*(VLOOKUP($B226,INDIRECT($B$5&amp;"生成成长"),3))*(VLOOKUP($B$5,标准坦克设计!$B$14:$K$20,9)/30))</f>
        <v>4.9699143037464193</v>
      </c>
      <c r="BU226" s="173">
        <f ca="1">(VLOOKUP(BU$72,INDIRECT($C$5&amp;"生成成长"),2))/((VLOOKUP($B226,INDIRECT($B$5&amp;"生成成长"),4))/(VLOOKUP(BU$72,INDIRECT($C$5&amp;"生成成长"),5))*(VLOOKUP($B$5,标准坦克设计!$B$24:$U$30,MATCH("对"&amp;LEFT($C$5,2)&amp;"输出",标准坦克设计!$B$23:$U$23,0)))*(VLOOKUP($B226,INDIRECT($B$5&amp;"生成成长"),3))*(VLOOKUP($B$5,标准坦克设计!$B$14:$K$20,9)/30))</f>
        <v>5.3642026495447093</v>
      </c>
      <c r="BV226" s="173">
        <f ca="1">(VLOOKUP(BV$72,INDIRECT($C$5&amp;"生成成长"),2))/((VLOOKUP($B226,INDIRECT($B$5&amp;"生成成长"),4))/(VLOOKUP(BV$72,INDIRECT($C$5&amp;"生成成长"),5))*(VLOOKUP($B$5,标准坦克设计!$B$24:$U$30,MATCH("对"&amp;LEFT($C$5,2)&amp;"输出",标准坦克设计!$B$23:$U$23,0)))*(VLOOKUP($B226,INDIRECT($B$5&amp;"生成成长"),3))*(VLOOKUP($B$5,标准坦克设计!$B$14:$K$20,9)/30))</f>
        <v>5.7735401688467505</v>
      </c>
      <c r="BW226" s="173">
        <f ca="1">(VLOOKUP(BW$72,INDIRECT($C$5&amp;"生成成长"),2))/((VLOOKUP($B226,INDIRECT($B$5&amp;"生成成长"),4))/(VLOOKUP(BW$72,INDIRECT($C$5&amp;"生成成长"),5))*(VLOOKUP($B$5,标准坦克设计!$B$24:$U$30,MATCH("对"&amp;LEFT($C$5,2)&amp;"输出",标准坦克设计!$B$23:$U$23,0)))*(VLOOKUP($B226,INDIRECT($B$5&amp;"生成成长"),3))*(VLOOKUP($B$5,标准坦克设计!$B$14:$K$20,9)/30))</f>
        <v>2.6312727412634342</v>
      </c>
      <c r="BX226" s="173">
        <f ca="1">(VLOOKUP(BX$72,INDIRECT($C$5&amp;"生成成长"),2))/((VLOOKUP($B226,INDIRECT($B$5&amp;"生成成长"),4))/(VLOOKUP(BX$72,INDIRECT($C$5&amp;"生成成长"),5))*(VLOOKUP($B$5,标准坦克设计!$B$24:$U$30,MATCH("对"&amp;LEFT($C$5,2)&amp;"输出",标准坦克设计!$B$23:$U$23,0)))*(VLOOKUP($B226,INDIRECT($B$5&amp;"生成成长"),3))*(VLOOKUP($B$5,标准坦克设计!$B$14:$K$20,9)/30))</f>
        <v>2.9202168725354625</v>
      </c>
      <c r="BY226" s="173">
        <f ca="1">(VLOOKUP(BY$72,INDIRECT($C$5&amp;"生成成长"),2))/((VLOOKUP($B226,INDIRECT($B$5&amp;"生成成长"),4))/(VLOOKUP(BY$72,INDIRECT($C$5&amp;"生成成长"),5))*(VLOOKUP($B$5,标准坦克设计!$B$24:$U$30,MATCH("对"&amp;LEFT($C$5,2)&amp;"输出",标准坦克设计!$B$23:$U$23,0)))*(VLOOKUP($B226,INDIRECT($B$5&amp;"生成成长"),3))*(VLOOKUP($B$5,标准坦克设计!$B$14:$K$20,9)/30))</f>
        <v>3.2242101773112433</v>
      </c>
      <c r="BZ226" s="173">
        <f ca="1">(VLOOKUP(BZ$72,INDIRECT($C$5&amp;"生成成长"),2))/((VLOOKUP($B226,INDIRECT($B$5&amp;"生成成长"),4))/(VLOOKUP(BZ$72,INDIRECT($C$5&amp;"生成成长"),5))*(VLOOKUP($B$5,标准坦克设计!$B$24:$U$30,MATCH("对"&amp;LEFT($C$5,2)&amp;"输出",标准坦克设计!$B$23:$U$23,0)))*(VLOOKUP($B226,INDIRECT($B$5&amp;"生成成长"),3))*(VLOOKUP($B$5,标准坦克设计!$B$14:$K$20,9)/30))</f>
        <v>3.5432526555907757</v>
      </c>
      <c r="CA226" s="173">
        <f ca="1">(VLOOKUP(CA$72,INDIRECT($C$5&amp;"生成成长"),2))/((VLOOKUP($B226,INDIRECT($B$5&amp;"生成成长"),4))/(VLOOKUP(CA$72,INDIRECT($C$5&amp;"生成成长"),5))*(VLOOKUP($B$5,标准坦克设计!$B$24:$U$30,MATCH("对"&amp;LEFT($C$5,2)&amp;"输出",标准坦克设计!$B$23:$U$23,0)))*(VLOOKUP($B226,INDIRECT($B$5&amp;"生成成长"),3))*(VLOOKUP($B$5,标准坦克设计!$B$14:$K$20,9)/30))</f>
        <v>3.8773443073740603</v>
      </c>
      <c r="CB226" s="173">
        <f ca="1">(VLOOKUP(CB$72,INDIRECT($C$5&amp;"生成成长"),2))/((VLOOKUP($B226,INDIRECT($B$5&amp;"生成成长"),4))/(VLOOKUP(CB$72,INDIRECT($C$5&amp;"生成成长"),5))*(VLOOKUP($B$5,标准坦克设计!$B$24:$U$30,MATCH("对"&amp;LEFT($C$5,2)&amp;"输出",标准坦克设计!$B$23:$U$23,0)))*(VLOOKUP($B226,INDIRECT($B$5&amp;"生成成长"),3))*(VLOOKUP($B$5,标准坦克设计!$B$14:$K$20,9)/30))</f>
        <v>4.2264851326610939</v>
      </c>
      <c r="CC226" s="173">
        <f ca="1">(VLOOKUP(CC$72,INDIRECT($C$5&amp;"生成成长"),2))/((VLOOKUP($B226,INDIRECT($B$5&amp;"生成成长"),4))/(VLOOKUP(CC$72,INDIRECT($C$5&amp;"生成成长"),5))*(VLOOKUP($B$5,标准坦克设计!$B$24:$U$30,MATCH("对"&amp;LEFT($C$5,2)&amp;"输出",标准坦克设计!$B$23:$U$23,0)))*(VLOOKUP($B226,INDIRECT($B$5&amp;"生成成长"),3))*(VLOOKUP($B$5,标准坦克设计!$B$14:$K$20,9)/30))</f>
        <v>4.5906751314518814</v>
      </c>
      <c r="CD226" s="173">
        <f ca="1">(VLOOKUP(CD$72,INDIRECT($C$5&amp;"生成成长"),2))/((VLOOKUP($B226,INDIRECT($B$5&amp;"生成成长"),4))/(VLOOKUP(CD$72,INDIRECT($C$5&amp;"生成成长"),5))*(VLOOKUP($B$5,标准坦克设计!$B$24:$U$30,MATCH("对"&amp;LEFT($C$5,2)&amp;"输出",标准坦克设计!$B$23:$U$23,0)))*(VLOOKUP($B226,INDIRECT($B$5&amp;"生成成长"),3))*(VLOOKUP($B$5,标准坦克设计!$B$14:$K$20,9)/30))</f>
        <v>4.9699143037464193</v>
      </c>
      <c r="CE226" s="173">
        <f ca="1">(VLOOKUP(CE$72,INDIRECT($C$5&amp;"生成成长"),2))/((VLOOKUP($B226,INDIRECT($B$5&amp;"生成成长"),4))/(VLOOKUP(CE$72,INDIRECT($C$5&amp;"生成成长"),5))*(VLOOKUP($B$5,标准坦克设计!$B$24:$U$30,MATCH("对"&amp;LEFT($C$5,2)&amp;"输出",标准坦克设计!$B$23:$U$23,0)))*(VLOOKUP($B226,INDIRECT($B$5&amp;"生成成长"),3))*(VLOOKUP($B$5,标准坦克设计!$B$14:$K$20,9)/30))</f>
        <v>5.3642026495447093</v>
      </c>
      <c r="CF226" s="173">
        <f ca="1">(VLOOKUP(CF$72,INDIRECT($C$5&amp;"生成成长"),2))/((VLOOKUP($B226,INDIRECT($B$5&amp;"生成成长"),4))/(VLOOKUP(CF$72,INDIRECT($C$5&amp;"生成成长"),5))*(VLOOKUP($B$5,标准坦克设计!$B$24:$U$30,MATCH("对"&amp;LEFT($C$5,2)&amp;"输出",标准坦克设计!$B$23:$U$23,0)))*(VLOOKUP($B226,INDIRECT($B$5&amp;"生成成长"),3))*(VLOOKUP($B$5,标准坦克设计!$B$14:$K$20,9)/30))</f>
        <v>5.7735401688467505</v>
      </c>
      <c r="CG226" s="173">
        <f ca="1">(VLOOKUP(CG$72,INDIRECT($C$5&amp;"生成成长"),2))/((VLOOKUP($B226,INDIRECT($B$5&amp;"生成成长"),4))/(VLOOKUP(CG$72,INDIRECT($C$5&amp;"生成成长"),5))*(VLOOKUP($B$5,标准坦克设计!$B$24:$U$30,MATCH("对"&amp;LEFT($C$5,2)&amp;"输出",标准坦克设计!$B$23:$U$23,0)))*(VLOOKUP($B226,INDIRECT($B$5&amp;"生成成长"),3))*(VLOOKUP($B$5,标准坦克设计!$B$14:$K$20,9)/30))</f>
        <v>6.1979268616525429</v>
      </c>
      <c r="CH226" s="173">
        <f ca="1">(VLOOKUP(CH$72,INDIRECT($C$5&amp;"生成成长"),2))/((VLOOKUP($B226,INDIRECT($B$5&amp;"生成成长"),4))/(VLOOKUP(CH$72,INDIRECT($C$5&amp;"生成成长"),5))*(VLOOKUP($B$5,标准坦克设计!$B$24:$U$30,MATCH("对"&amp;LEFT($C$5,2)&amp;"输出",标准坦克设计!$B$23:$U$23,0)))*(VLOOKUP($B226,INDIRECT($B$5&amp;"生成成长"),3))*(VLOOKUP($B$5,标准坦克设计!$B$14:$K$20,9)/30))</f>
        <v>6.6373627279620884</v>
      </c>
      <c r="CI226" s="173">
        <f ca="1">(VLOOKUP(CI$72,INDIRECT($C$5&amp;"生成成长"),2))/((VLOOKUP($B226,INDIRECT($B$5&amp;"生成成长"),4))/(VLOOKUP(CI$72,INDIRECT($C$5&amp;"生成成长"),5))*(VLOOKUP($B$5,标准坦克设计!$B$24:$U$30,MATCH("对"&amp;LEFT($C$5,2)&amp;"输出",标准坦克设计!$B$23:$U$23,0)))*(VLOOKUP($B226,INDIRECT($B$5&amp;"生成成长"),3))*(VLOOKUP($B$5,标准坦克设计!$B$14:$K$20,9)/30))</f>
        <v>7.1381239762994193</v>
      </c>
      <c r="CJ226" s="173">
        <f ca="1">(VLOOKUP(CJ$72,INDIRECT($C$5&amp;"生成成长"),2))/((VLOOKUP($B226,INDIRECT($B$5&amp;"生成成长"),4))/(VLOOKUP(CJ$72,INDIRECT($C$5&amp;"生成成长"),5))*(VLOOKUP($B$5,标准坦克设计!$B$24:$U$30,MATCH("对"&amp;LEFT($C$5,2)&amp;"输出",标准坦克设计!$B$23:$U$23,0)))*(VLOOKUP($B226,INDIRECT($B$5&amp;"生成成长"),3))*(VLOOKUP($B$5,标准坦克设计!$B$14:$K$20,9)/30))</f>
        <v>7.6570947245762913</v>
      </c>
      <c r="CK226" s="173">
        <f ca="1">(VLOOKUP(CK$72,INDIRECT($C$5&amp;"生成成长"),2))/((VLOOKUP($B226,INDIRECT($B$5&amp;"生成成长"),4))/(VLOOKUP(CK$72,INDIRECT($C$5&amp;"生成成长"),5))*(VLOOKUP($B$5,标准坦克设计!$B$24:$U$30,MATCH("对"&amp;LEFT($C$5,2)&amp;"输出",标准坦克设计!$B$23:$U$23,0)))*(VLOOKUP($B226,INDIRECT($B$5&amp;"生成成长"),3))*(VLOOKUP($B$5,标准坦克设计!$B$14:$K$20,9)/30))</f>
        <v>8.1942749727926998</v>
      </c>
      <c r="CL226" s="173">
        <f ca="1">(VLOOKUP(CL$72,INDIRECT($C$5&amp;"生成成长"),2))/((VLOOKUP($B226,INDIRECT($B$5&amp;"生成成长"),4))/(VLOOKUP(CL$72,INDIRECT($C$5&amp;"生成成长"),5))*(VLOOKUP($B$5,标准坦克设计!$B$24:$U$30,MATCH("对"&amp;LEFT($C$5,2)&amp;"输出",标准坦克设计!$B$23:$U$23,0)))*(VLOOKUP($B226,INDIRECT($B$5&amp;"生成成长"),3))*(VLOOKUP($B$5,标准坦克设计!$B$14:$K$20,9)/30))</f>
        <v>8.7496647209486511</v>
      </c>
      <c r="CM226" s="173">
        <f ca="1">(VLOOKUP(CM$72,INDIRECT($C$5&amp;"生成成长"),2))/((VLOOKUP($B226,INDIRECT($B$5&amp;"生成成长"),4))/(VLOOKUP(CM$72,INDIRECT($C$5&amp;"生成成长"),5))*(VLOOKUP($B$5,标准坦克设计!$B$24:$U$30,MATCH("对"&amp;LEFT($C$5,2)&amp;"输出",标准坦克设计!$B$23:$U$23,0)))*(VLOOKUP($B226,INDIRECT($B$5&amp;"生成成长"),3))*(VLOOKUP($B$5,标准坦克设计!$B$14:$K$20,9)/30))</f>
        <v>9.3232639690441399</v>
      </c>
      <c r="CN226" s="173">
        <f ca="1">(VLOOKUP(CN$72,INDIRECT($C$5&amp;"生成成长"),2))/((VLOOKUP($B226,INDIRECT($B$5&amp;"生成成长"),4))/(VLOOKUP(CN$72,INDIRECT($C$5&amp;"生成成长"),5))*(VLOOKUP($B$5,标准坦克设计!$B$24:$U$30,MATCH("对"&amp;LEFT($C$5,2)&amp;"输出",标准坦克设计!$B$23:$U$23,0)))*(VLOOKUP($B226,INDIRECT($B$5&amp;"生成成长"),3))*(VLOOKUP($B$5,标准坦克设计!$B$14:$K$20,9)/30))</f>
        <v>9.9150727170791679</v>
      </c>
      <c r="CO226" s="173">
        <f ca="1">(VLOOKUP(CO$72,INDIRECT($C$5&amp;"生成成长"),2))/((VLOOKUP($B226,INDIRECT($B$5&amp;"生成成长"),4))/(VLOOKUP(CO$72,INDIRECT($C$5&amp;"生成成长"),5))*(VLOOKUP($B$5,标准坦克设计!$B$24:$U$30,MATCH("对"&amp;LEFT($C$5,2)&amp;"输出",标准坦克设计!$B$23:$U$23,0)))*(VLOOKUP($B226,INDIRECT($B$5&amp;"生成成长"),3))*(VLOOKUP($B$5,标准坦克设计!$B$14:$K$20,9)/30))</f>
        <v>4.4431932311151163</v>
      </c>
      <c r="CP226" s="173">
        <f ca="1">(VLOOKUP(CP$72,INDIRECT($C$5&amp;"生成成长"),2))/((VLOOKUP($B226,INDIRECT($B$5&amp;"生成成长"),4))/(VLOOKUP(CP$72,INDIRECT($C$5&amp;"生成成长"),5))*(VLOOKUP($B$5,标准坦克设计!$B$24:$U$30,MATCH("对"&amp;LEFT($C$5,2)&amp;"输出",标准坦克设计!$B$23:$U$23,0)))*(VLOOKUP($B226,INDIRECT($B$5&amp;"生成成长"),3))*(VLOOKUP($B$5,标准坦克设计!$B$14:$K$20,9)/30))</f>
        <v>4.8545623888401641</v>
      </c>
      <c r="CQ226" s="173">
        <f ca="1">(VLOOKUP(CQ$72,INDIRECT($C$5&amp;"生成成长"),2))/((VLOOKUP($B226,INDIRECT($B$5&amp;"生成成长"),4))/(VLOOKUP(CQ$72,INDIRECT($C$5&amp;"生成成长"),5))*(VLOOKUP($B$5,标准坦克设计!$B$24:$U$30,MATCH("对"&amp;LEFT($C$5,2)&amp;"输出",标准坦克设计!$B$23:$U$23,0)))*(VLOOKUP($B226,INDIRECT($B$5&amp;"生成成长"),3))*(VLOOKUP($B$5,标准坦克设计!$B$14:$K$20,9)/30))</f>
        <v>5.2841410465047511</v>
      </c>
      <c r="CR226" s="173">
        <f ca="1">(VLOOKUP(CR$72,INDIRECT($C$5&amp;"生成成长"),2))/((VLOOKUP($B226,INDIRECT($B$5&amp;"生成成长"),4))/(VLOOKUP(CR$72,INDIRECT($C$5&amp;"生成成长"),5))*(VLOOKUP($B$5,标准坦克设计!$B$24:$U$30,MATCH("对"&amp;LEFT($C$5,2)&amp;"输出",标准坦克设计!$B$23:$U$23,0)))*(VLOOKUP($B226,INDIRECT($B$5&amp;"生成成长"),3))*(VLOOKUP($B$5,标准坦克设计!$B$14:$K$20,9)/30))</f>
        <v>5.7319292041088783</v>
      </c>
      <c r="CS226" s="173">
        <f ca="1">(VLOOKUP(CS$72,INDIRECT($C$5&amp;"生成成长"),2))/((VLOOKUP($B226,INDIRECT($B$5&amp;"生成成长"),4))/(VLOOKUP(CS$72,INDIRECT($C$5&amp;"生成成长"),5))*(VLOOKUP($B$5,标准坦克设计!$B$24:$U$30,MATCH("对"&amp;LEFT($C$5,2)&amp;"输出",标准坦克设计!$B$23:$U$23,0)))*(VLOOKUP($B226,INDIRECT($B$5&amp;"生成成长"),3))*(VLOOKUP($B$5,标准坦克设计!$B$14:$K$20,9)/30))</f>
        <v>6.1979268616525429</v>
      </c>
      <c r="CT226" s="173">
        <f ca="1">(VLOOKUP(CT$72,INDIRECT($C$5&amp;"生成成长"),2))/((VLOOKUP($B226,INDIRECT($B$5&amp;"生成成长"),4))/(VLOOKUP(CT$72,INDIRECT($C$5&amp;"生成成长"),5))*(VLOOKUP($B$5,标准坦克设计!$B$24:$U$30,MATCH("对"&amp;LEFT($C$5,2)&amp;"输出",标准坦克设计!$B$23:$U$23,0)))*(VLOOKUP($B226,INDIRECT($B$5&amp;"生成成长"),3))*(VLOOKUP($B$5,标准坦克设计!$B$14:$K$20,9)/30))</f>
        <v>6.6821340191357477</v>
      </c>
      <c r="CU226" s="173">
        <f ca="1">(VLOOKUP(CU$72,INDIRECT($C$5&amp;"生成成长"),2))/((VLOOKUP($B226,INDIRECT($B$5&amp;"生成成长"),4))/(VLOOKUP(CU$72,INDIRECT($C$5&amp;"生成成长"),5))*(VLOOKUP($B$5,标准坦克设计!$B$24:$U$30,MATCH("对"&amp;LEFT($C$5,2)&amp;"输出",标准坦克设计!$B$23:$U$23,0)))*(VLOOKUP($B226,INDIRECT($B$5&amp;"生成成长"),3))*(VLOOKUP($B$5,标准坦克设计!$B$14:$K$20,9)/30))</f>
        <v>7.1845506765584917</v>
      </c>
      <c r="CV226" s="173">
        <f ca="1">(VLOOKUP(CV$72,INDIRECT($C$5&amp;"生成成长"),2))/((VLOOKUP($B226,INDIRECT($B$5&amp;"生成成长"),4))/(VLOOKUP(CV$72,INDIRECT($C$5&amp;"生成成长"),5))*(VLOOKUP($B$5,标准坦克设计!$B$24:$U$30,MATCH("对"&amp;LEFT($C$5,2)&amp;"输出",标准坦克设计!$B$23:$U$23,0)))*(VLOOKUP($B226,INDIRECT($B$5&amp;"生成成长"),3))*(VLOOKUP($B$5,标准坦克设计!$B$14:$K$20,9)/30))</f>
        <v>7.7051768339207758</v>
      </c>
      <c r="CW226" s="173">
        <f ca="1">(VLOOKUP(CW$72,INDIRECT($C$5&amp;"生成成长"),2))/((VLOOKUP($B226,INDIRECT($B$5&amp;"生成成长"),4))/(VLOOKUP(CW$72,INDIRECT($C$5&amp;"生成成长"),5))*(VLOOKUP($B$5,标准坦克设计!$B$24:$U$30,MATCH("对"&amp;LEFT($C$5,2)&amp;"输出",标准坦克设计!$B$23:$U$23,0)))*(VLOOKUP($B226,INDIRECT($B$5&amp;"生成成长"),3))*(VLOOKUP($B$5,标准坦克设计!$B$14:$K$20,9)/30))</f>
        <v>8.2440124912225983</v>
      </c>
      <c r="CX226" s="173">
        <f ca="1">(VLOOKUP(CX$72,INDIRECT($C$5&amp;"生成成长"),2))/((VLOOKUP($B226,INDIRECT($B$5&amp;"生成成长"),4))/(VLOOKUP(CX$72,INDIRECT($C$5&amp;"生成成长"),5))*(VLOOKUP($B$5,标准坦克设计!$B$24:$U$30,MATCH("对"&amp;LEFT($C$5,2)&amp;"输出",标准坦克设计!$B$23:$U$23,0)))*(VLOOKUP($B226,INDIRECT($B$5&amp;"生成成长"),3))*(VLOOKUP($B$5,标准坦克设计!$B$14:$K$20,9)/30))</f>
        <v>8.8010576484639618</v>
      </c>
      <c r="CY226" s="173">
        <f ca="1">(VLOOKUP(CY$72,INDIRECT($C$5&amp;"生成成长"),2))/((VLOOKUP($B226,INDIRECT($B$5&amp;"生成成长"),4))/(VLOOKUP(CY$72,INDIRECT($C$5&amp;"生成成长"),5))*(VLOOKUP($B$5,标准坦克设计!$B$24:$U$30,MATCH("对"&amp;LEFT($C$5,2)&amp;"输出",标准坦克设计!$B$23:$U$23,0)))*(VLOOKUP($B226,INDIRECT($B$5&amp;"生成成长"),3))*(VLOOKUP($B$5,标准坦克设计!$B$14:$K$20,9)/30))</f>
        <v>9.3763123056448627</v>
      </c>
      <c r="CZ226" s="173">
        <f ca="1">(VLOOKUP(CZ$72,INDIRECT($C$5&amp;"生成成长"),2))/((VLOOKUP($B226,INDIRECT($B$5&amp;"生成成长"),4))/(VLOOKUP(CZ$72,INDIRECT($C$5&amp;"生成成长"),5))*(VLOOKUP($B$5,标准坦克设计!$B$24:$U$30,MATCH("对"&amp;LEFT($C$5,2)&amp;"输出",标准坦克设计!$B$23:$U$23,0)))*(VLOOKUP($B226,INDIRECT($B$5&amp;"生成成长"),3))*(VLOOKUP($B$5,标准坦克设计!$B$14:$K$20,9)/30))</f>
        <v>9.9697764627653047</v>
      </c>
      <c r="DA226" s="173">
        <f ca="1">(VLOOKUP(DA$72,INDIRECT($C$5&amp;"生成成长"),2))/((VLOOKUP($B226,INDIRECT($B$5&amp;"生成成长"),4))/(VLOOKUP(DA$72,INDIRECT($C$5&amp;"生成成长"),5))*(VLOOKUP($B$5,标准坦克设计!$B$24:$U$30,MATCH("对"&amp;LEFT($C$5,2)&amp;"输出",标准坦克设计!$B$23:$U$23,0)))*(VLOOKUP($B226,INDIRECT($B$5&amp;"生成成长"),3))*(VLOOKUP($B$5,标准坦克设计!$B$14:$K$20,9)/30))</f>
        <v>10.581450119825286</v>
      </c>
      <c r="DB226" s="173">
        <f ca="1">(VLOOKUP(DB$72,INDIRECT($C$5&amp;"生成成长"),2))/((VLOOKUP($B226,INDIRECT($B$5&amp;"生成成长"),4))/(VLOOKUP(DB$72,INDIRECT($C$5&amp;"生成成长"),5))*(VLOOKUP($B$5,标准坦克设计!$B$24:$U$30,MATCH("对"&amp;LEFT($C$5,2)&amp;"输出",标准坦克设计!$B$23:$U$23,0)))*(VLOOKUP($B226,INDIRECT($B$5&amp;"生成成长"),3))*(VLOOKUP($B$5,标准坦克设计!$B$14:$K$20,9)/30))</f>
        <v>11.211333276824805</v>
      </c>
      <c r="DC226" s="173">
        <f ca="1">(VLOOKUP(DC$72,INDIRECT($C$5&amp;"生成成长"),2))/((VLOOKUP($B226,INDIRECT($B$5&amp;"生成成长"),4))/(VLOOKUP(DC$72,INDIRECT($C$5&amp;"生成成长"),5))*(VLOOKUP($B$5,标准坦克设计!$B$24:$U$30,MATCH("对"&amp;LEFT($C$5,2)&amp;"输出",标准坦克设计!$B$23:$U$23,0)))*(VLOOKUP($B226,INDIRECT($B$5&amp;"生成成长"),3))*(VLOOKUP($B$5,标准坦克设计!$B$14:$K$20,9)/30))</f>
        <v>11.919246398441276</v>
      </c>
      <c r="DD226" s="173">
        <f ca="1">(VLOOKUP(DD$72,INDIRECT($C$5&amp;"生成成长"),2))/((VLOOKUP($B226,INDIRECT($B$5&amp;"生成成长"),4))/(VLOOKUP(DD$72,INDIRECT($C$5&amp;"生成成长"),5))*(VLOOKUP($B$5,标准坦克设计!$B$24:$U$30,MATCH("对"&amp;LEFT($C$5,2)&amp;"输出",标准坦克设计!$B$23:$U$23,0)))*(VLOOKUP($B226,INDIRECT($B$5&amp;"生成成长"),3))*(VLOOKUP($B$5,标准坦克设计!$B$14:$K$20,9)/30))</f>
        <v>12.64883032990315</v>
      </c>
      <c r="DE226" s="173">
        <f ca="1">(VLOOKUP(DE$72,INDIRECT($C$5&amp;"生成成长"),2))/((VLOOKUP($B226,INDIRECT($B$5&amp;"生成成长"),4))/(VLOOKUP(DE$72,INDIRECT($C$5&amp;"生成成长"),5))*(VLOOKUP($B$5,标准坦克设计!$B$24:$U$30,MATCH("对"&amp;LEFT($C$5,2)&amp;"输出",标准坦克设计!$B$23:$U$23,0)))*(VLOOKUP($B226,INDIRECT($B$5&amp;"生成成长"),3))*(VLOOKUP($B$5,标准坦克设计!$B$14:$K$20,9)/30))</f>
        <v>13.400085071210425</v>
      </c>
      <c r="DF226" s="173">
        <f ca="1">(VLOOKUP(DF$72,INDIRECT($C$5&amp;"生成成长"),2))/((VLOOKUP($B226,INDIRECT($B$5&amp;"生成成长"),4))/(VLOOKUP(DF$72,INDIRECT($C$5&amp;"生成成长"),5))*(VLOOKUP($B$5,标准坦克设计!$B$24:$U$30,MATCH("对"&amp;LEFT($C$5,2)&amp;"输出",标准坦克设计!$B$23:$U$23,0)))*(VLOOKUP($B226,INDIRECT($B$5&amp;"生成成长"),3))*(VLOOKUP($B$5,标准坦克设计!$B$14:$K$20,9)/30))</f>
        <v>14.173010622363103</v>
      </c>
      <c r="DG226" s="173">
        <f ca="1">(VLOOKUP(DG$72,INDIRECT($C$5&amp;"生成成长"),2))/((VLOOKUP($B226,INDIRECT($B$5&amp;"生成成长"),4))/(VLOOKUP(DG$72,INDIRECT($C$5&amp;"生成成长"),5))*(VLOOKUP($B$5,标准坦克设计!$B$24:$U$30,MATCH("对"&amp;LEFT($C$5,2)&amp;"输出",标准坦克设计!$B$23:$U$23,0)))*(VLOOKUP($B226,INDIRECT($B$5&amp;"生成成长"),3))*(VLOOKUP($B$5,标准坦克设计!$B$14:$K$20,9)/30))</f>
        <v>14.967606983361183</v>
      </c>
      <c r="DH226" s="173">
        <f ca="1">(VLOOKUP(DH$72,INDIRECT($C$5&amp;"生成成长"),2))/((VLOOKUP($B226,INDIRECT($B$5&amp;"生成成长"),4))/(VLOOKUP(DH$72,INDIRECT($C$5&amp;"生成成长"),5))*(VLOOKUP($B$5,标准坦克设计!$B$24:$U$30,MATCH("对"&amp;LEFT($C$5,2)&amp;"输出",标准坦克设计!$B$23:$U$23,0)))*(VLOOKUP($B226,INDIRECT($B$5&amp;"生成成长"),3))*(VLOOKUP($B$5,标准坦克设计!$B$14:$K$20,9)/30))</f>
        <v>15.783874154204666</v>
      </c>
      <c r="DI226" s="173">
        <f ca="1">(VLOOKUP(DI$72,INDIRECT($C$5&amp;"生成成长"),2))/((VLOOKUP($B226,INDIRECT($B$5&amp;"生成成长"),4))/(VLOOKUP(DI$72,INDIRECT($C$5&amp;"生成成长"),5))*(VLOOKUP($B$5,标准坦克设计!$B$24:$U$30,MATCH("对"&amp;LEFT($C$5,2)&amp;"输出",标准坦克设计!$B$23:$U$23,0)))*(VLOOKUP($B226,INDIRECT($B$5&amp;"生成成长"),3))*(VLOOKUP($B$5,标准坦克设计!$B$14:$K$20,9)/30))</f>
        <v>16.621812134893549</v>
      </c>
      <c r="DJ226" s="173">
        <f ca="1">(VLOOKUP(DJ$72,INDIRECT($C$5&amp;"生成成长"),2))/((VLOOKUP($B226,INDIRECT($B$5&amp;"生成成长"),4))/(VLOOKUP(DJ$72,INDIRECT($C$5&amp;"生成成长"),5))*(VLOOKUP($B$5,标准坦克设计!$B$24:$U$30,MATCH("对"&amp;LEFT($C$5,2)&amp;"输出",标准坦克设计!$B$23:$U$23,0)))*(VLOOKUP($B226,INDIRECT($B$5&amp;"生成成长"),3))*(VLOOKUP($B$5,标准坦克设计!$B$14:$K$20,9)/30))</f>
        <v>1.6705335047839369</v>
      </c>
      <c r="DK226" s="173">
        <f ca="1">(VLOOKUP(DK$72,INDIRECT($C$5&amp;"生成成长"),2))/((VLOOKUP($B226,INDIRECT($B$5&amp;"生成成长"),4))/(VLOOKUP(DK$72,INDIRECT($C$5&amp;"生成成长"),5))*(VLOOKUP($B$5,标准坦克设计!$B$24:$U$30,MATCH("对"&amp;LEFT($C$5,2)&amp;"输出",标准坦克设计!$B$23:$U$23,0)))*(VLOOKUP($B226,INDIRECT($B$5&amp;"生成成长"),3))*(VLOOKUP($B$5,标准坦克设计!$B$14:$K$20,9)/30))</f>
        <v>1.8784378367382641</v>
      </c>
      <c r="DL226" s="173">
        <f ca="1">(VLOOKUP(DL$72,INDIRECT($C$5&amp;"生成成长"),2))/((VLOOKUP($B226,INDIRECT($B$5&amp;"生成成长"),4))/(VLOOKUP(DL$72,INDIRECT($C$5&amp;"生成成长"),5))*(VLOOKUP($B$5,标准坦克设计!$B$24:$U$30,MATCH("对"&amp;LEFT($C$5,2)&amp;"输出",标准坦克设计!$B$23:$U$23,0)))*(VLOOKUP($B226,INDIRECT($B$5&amp;"生成成长"),3))*(VLOOKUP($B$5,标准坦克设计!$B$14:$K$20,9)/30))</f>
        <v>2.0985319992306302</v>
      </c>
      <c r="DM226" s="173">
        <f ca="1">(VLOOKUP(DM$72,INDIRECT($C$5&amp;"生成成长"),2))/((VLOOKUP($B226,INDIRECT($B$5&amp;"生成成长"),4))/(VLOOKUP(DM$72,INDIRECT($C$5&amp;"生成成长"),5))*(VLOOKUP($B$5,标准坦克设计!$B$24:$U$30,MATCH("对"&amp;LEFT($C$5,2)&amp;"输出",标准坦克设计!$B$23:$U$23,0)))*(VLOOKUP($B226,INDIRECT($B$5&amp;"生成成长"),3))*(VLOOKUP($B$5,标准坦克设计!$B$14:$K$20,9)/30))</f>
        <v>2.330815992261035</v>
      </c>
      <c r="DN226" s="173">
        <f ca="1">(VLOOKUP(DN$72,INDIRECT($C$5&amp;"生成成长"),2))/((VLOOKUP($B226,INDIRECT($B$5&amp;"生成成长"),4))/(VLOOKUP(DN$72,INDIRECT($C$5&amp;"生成成长"),5))*(VLOOKUP($B$5,标准坦克设计!$B$24:$U$30,MATCH("对"&amp;LEFT($C$5,2)&amp;"输出",标准坦克设计!$B$23:$U$23,0)))*(VLOOKUP($B226,INDIRECT($B$5&amp;"生成成长"),3))*(VLOOKUP($B$5,标准坦克设计!$B$14:$K$20,9)/30))</f>
        <v>2.5752898158294784</v>
      </c>
      <c r="DO226" s="173">
        <f ca="1">(VLOOKUP(DO$72,INDIRECT($C$5&amp;"生成成长"),2))/((VLOOKUP($B226,INDIRECT($B$5&amp;"生成成长"),4))/(VLOOKUP(DO$72,INDIRECT($C$5&amp;"生成成长"),5))*(VLOOKUP($B$5,标准坦克设计!$B$24:$U$30,MATCH("对"&amp;LEFT($C$5,2)&amp;"输出",标准坦克设计!$B$23:$U$23,0)))*(VLOOKUP($B226,INDIRECT($B$5&amp;"生成成长"),3))*(VLOOKUP($B$5,标准坦克设计!$B$14:$K$20,9)/30))</f>
        <v>2.8319534699359603</v>
      </c>
      <c r="DP226" s="173">
        <f ca="1">(VLOOKUP(DP$72,INDIRECT($C$5&amp;"生成成长"),2))/((VLOOKUP($B226,INDIRECT($B$5&amp;"生成成长"),4))/(VLOOKUP(DP$72,INDIRECT($C$5&amp;"生成成长"),5))*(VLOOKUP($B$5,标准坦克设计!$B$24:$U$30,MATCH("对"&amp;LEFT($C$5,2)&amp;"输出",标准坦克设计!$B$23:$U$23,0)))*(VLOOKUP($B226,INDIRECT($B$5&amp;"生成成长"),3))*(VLOOKUP($B$5,标准坦克设计!$B$14:$K$20,9)/30))</f>
        <v>3.1008069545804813</v>
      </c>
      <c r="DQ226" s="173">
        <f ca="1">(VLOOKUP(DQ$72,INDIRECT($C$5&amp;"生成成长"),2))/((VLOOKUP($B226,INDIRECT($B$5&amp;"生成成长"),4))/(VLOOKUP(DQ$72,INDIRECT($C$5&amp;"生成成长"),5))*(VLOOKUP($B$5,标准坦克设计!$B$24:$U$30,MATCH("对"&amp;LEFT($C$5,2)&amp;"输出",标准坦克设计!$B$23:$U$23,0)))*(VLOOKUP($B226,INDIRECT($B$5&amp;"生成成长"),3))*(VLOOKUP($B$5,标准坦克设计!$B$14:$K$20,9)/30))</f>
        <v>3.3818502697630404</v>
      </c>
      <c r="DR226" s="173">
        <f ca="1">(VLOOKUP(DR$72,INDIRECT($C$5&amp;"生成成长"),2))/((VLOOKUP($B226,INDIRECT($B$5&amp;"生成成长"),4))/(VLOOKUP(DR$72,INDIRECT($C$5&amp;"生成成长"),5))*(VLOOKUP($B$5,标准坦克设计!$B$24:$U$30,MATCH("对"&amp;LEFT($C$5,2)&amp;"输出",标准坦克设计!$B$23:$U$23,0)))*(VLOOKUP($B226,INDIRECT($B$5&amp;"生成成长"),3))*(VLOOKUP($B$5,标准坦克设计!$B$14:$K$20,9)/30))</f>
        <v>3.6750834154836389</v>
      </c>
      <c r="DS226" s="173">
        <f ca="1">(VLOOKUP(DS$72,INDIRECT($C$5&amp;"生成成长"),2))/((VLOOKUP($B226,INDIRECT($B$5&amp;"生成成长"),4))/(VLOOKUP(DS$72,INDIRECT($C$5&amp;"生成成长"),5))*(VLOOKUP($B$5,标准坦克设计!$B$24:$U$30,MATCH("对"&amp;LEFT($C$5,2)&amp;"输出",标准坦克设计!$B$23:$U$23,0)))*(VLOOKUP($B226,INDIRECT($B$5&amp;"生成成长"),3))*(VLOOKUP($B$5,标准坦克设计!$B$14:$K$20,9)/30))</f>
        <v>3.9805063917422761</v>
      </c>
      <c r="DT226" s="173">
        <f ca="1">(VLOOKUP(DT$72,INDIRECT($C$5&amp;"生成成长"),2))/((VLOOKUP($B226,INDIRECT($B$5&amp;"生成成长"),4))/(VLOOKUP(DT$72,INDIRECT($C$5&amp;"生成成长"),5))*(VLOOKUP($B$5,标准坦克设计!$B$24:$U$30,MATCH("对"&amp;LEFT($C$5,2)&amp;"输出",标准坦克设计!$B$23:$U$23,0)))*(VLOOKUP($B226,INDIRECT($B$5&amp;"生成成长"),3))*(VLOOKUP($B$5,标准坦克设计!$B$14:$K$20,9)/30))</f>
        <v>4.3703552313569594</v>
      </c>
      <c r="DU226" s="173">
        <f ca="1">(VLOOKUP(DU$72,INDIRECT($C$5&amp;"生成成长"),2))/((VLOOKUP($B226,INDIRECT($B$5&amp;"生成成长"),4))/(VLOOKUP(DU$72,INDIRECT($C$5&amp;"生成成长"),5))*(VLOOKUP($B$5,标准坦克设计!$B$24:$U$30,MATCH("对"&amp;LEFT($C$5,2)&amp;"输出",标准坦克设计!$B$23:$U$23,0)))*(VLOOKUP($B226,INDIRECT($B$5&amp;"生成成长"),3))*(VLOOKUP($B$5,标准坦克设计!$B$14:$K$20,9)/30))</f>
        <v>4.778413570911181</v>
      </c>
      <c r="DV226" s="173">
        <f ca="1">(VLOOKUP(DV$72,INDIRECT($C$5&amp;"生成成长"),2))/((VLOOKUP($B226,INDIRECT($B$5&amp;"生成成长"),4))/(VLOOKUP(DV$72,INDIRECT($C$5&amp;"生成成长"),5))*(VLOOKUP($B$5,标准坦克设计!$B$24:$U$30,MATCH("对"&amp;LEFT($C$5,2)&amp;"输出",标准坦克设计!$B$23:$U$23,0)))*(VLOOKUP($B226,INDIRECT($B$5&amp;"生成成长"),3))*(VLOOKUP($B$5,标准坦克设计!$B$14:$K$20,9)/30))</f>
        <v>5.2046814104049437</v>
      </c>
      <c r="DW226" s="173">
        <f ca="1">(VLOOKUP(DW$72,INDIRECT($C$5&amp;"生成成长"),2))/((VLOOKUP($B226,INDIRECT($B$5&amp;"生成成长"),4))/(VLOOKUP(DW$72,INDIRECT($C$5&amp;"生成成长"),5))*(VLOOKUP($B$5,标准坦克设计!$B$24:$U$30,MATCH("对"&amp;LEFT($C$5,2)&amp;"输出",标准坦克设计!$B$23:$U$23,0)))*(VLOOKUP($B226,INDIRECT($B$5&amp;"生成成长"),3))*(VLOOKUP($B$5,标准坦克设计!$B$14:$K$20,9)/30))</f>
        <v>5.6491587498382438</v>
      </c>
      <c r="DX226" s="173">
        <f ca="1">(VLOOKUP(DX$72,INDIRECT($C$5&amp;"生成成长"),2))/((VLOOKUP($B226,INDIRECT($B$5&amp;"生成成长"),4))/(VLOOKUP(DX$72,INDIRECT($C$5&amp;"生成成长"),5))*(VLOOKUP($B$5,标准坦克设计!$B$24:$U$30,MATCH("对"&amp;LEFT($C$5,2)&amp;"输出",标准坦克设计!$B$23:$U$23,0)))*(VLOOKUP($B226,INDIRECT($B$5&amp;"生成成长"),3))*(VLOOKUP($B$5,标准坦克设计!$B$14:$K$20,9)/30))</f>
        <v>6.111845589211085</v>
      </c>
      <c r="DY226" s="173">
        <f ca="1">(VLOOKUP(DY$72,INDIRECT($C$5&amp;"生成成长"),2))/((VLOOKUP($B226,INDIRECT($B$5&amp;"生成成长"),4))/(VLOOKUP(DY$72,INDIRECT($C$5&amp;"生成成长"),5))*(VLOOKUP($B$5,标准坦克设计!$B$24:$U$30,MATCH("对"&amp;LEFT($C$5,2)&amp;"输出",标准坦克设计!$B$23:$U$23,0)))*(VLOOKUP($B226,INDIRECT($B$5&amp;"生成成长"),3))*(VLOOKUP($B$5,标准坦克设计!$B$14:$K$20,9)/30))</f>
        <v>2.745044492951795</v>
      </c>
      <c r="DZ226" s="173">
        <f ca="1">(VLOOKUP(DZ$72,INDIRECT($C$5&amp;"生成成长"),2))/((VLOOKUP($B226,INDIRECT($B$5&amp;"生成成长"),4))/(VLOOKUP(DZ$72,INDIRECT($C$5&amp;"生成成长"),5))*(VLOOKUP($B$5,标准坦克设计!$B$24:$U$30,MATCH("对"&amp;LEFT($C$5,2)&amp;"输出",标准坦克设计!$B$23:$U$23,0)))*(VLOOKUP($B226,INDIRECT($B$5&amp;"生成成长"),3))*(VLOOKUP($B$5,标准坦克设计!$B$14:$K$20,9)/30))</f>
        <v>3.0400082936253243</v>
      </c>
      <c r="EA226" s="173">
        <f ca="1">(VLOOKUP(EA$72,INDIRECT($C$5&amp;"生成成长"),2))/((VLOOKUP($B226,INDIRECT($B$5&amp;"生成成长"),4))/(VLOOKUP(EA$72,INDIRECT($C$5&amp;"生成成长"),5))*(VLOOKUP($B$5,标准坦克设计!$B$24:$U$30,MATCH("对"&amp;LEFT($C$5,2)&amp;"输出",标准坦克设计!$B$23:$U$23,0)))*(VLOOKUP($B226,INDIRECT($B$5&amp;"生成成长"),3))*(VLOOKUP($B$5,标准坦克设计!$B$14:$K$20,9)/30))</f>
        <v>3.3500212678026062</v>
      </c>
      <c r="EB226" s="173">
        <f ca="1">(VLOOKUP(EB$72,INDIRECT($C$5&amp;"生成成长"),2))/((VLOOKUP($B226,INDIRECT($B$5&amp;"生成成长"),4))/(VLOOKUP(EB$72,INDIRECT($C$5&amp;"生成成长"),5))*(VLOOKUP($B$5,标准坦克设计!$B$24:$U$30,MATCH("对"&amp;LEFT($C$5,2)&amp;"输出",标准坦克设计!$B$23:$U$23,0)))*(VLOOKUP($B226,INDIRECT($B$5&amp;"生成成长"),3))*(VLOOKUP($B$5,标准坦克设计!$B$14:$K$20,9)/30))</f>
        <v>3.6750834154836389</v>
      </c>
      <c r="EC226" s="173">
        <f ca="1">(VLOOKUP(EC$72,INDIRECT($C$5&amp;"生成成长"),2))/((VLOOKUP($B226,INDIRECT($B$5&amp;"生成成长"),4))/(VLOOKUP(EC$72,INDIRECT($C$5&amp;"生成成长"),5))*(VLOOKUP($B$5,标准坦克设计!$B$24:$U$30,MATCH("对"&amp;LEFT($C$5,2)&amp;"输出",标准坦克设计!$B$23:$U$23,0)))*(VLOOKUP($B226,INDIRECT($B$5&amp;"生成成长"),3))*(VLOOKUP($B$5,标准坦克设计!$B$14:$K$20,9)/30))</f>
        <v>4.0151947366684233</v>
      </c>
      <c r="ED226" s="173">
        <f ca="1">(VLOOKUP(ED$72,INDIRECT($C$5&amp;"生成成长"),2))/((VLOOKUP($B226,INDIRECT($B$5&amp;"生成成长"),4))/(VLOOKUP(ED$72,INDIRECT($C$5&amp;"生成成长"),5))*(VLOOKUP($B$5,标准坦克设计!$B$24:$U$30,MATCH("对"&amp;LEFT($C$5,2)&amp;"输出",标准坦克设计!$B$23:$U$23,0)))*(VLOOKUP($B226,INDIRECT($B$5&amp;"生成成长"),3))*(VLOOKUP($B$5,标准坦克设计!$B$14:$K$20,9)/30))</f>
        <v>4.3703552313569594</v>
      </c>
      <c r="EE226" s="173">
        <f ca="1">(VLOOKUP(EE$72,INDIRECT($C$5&amp;"生成成长"),2))/((VLOOKUP($B226,INDIRECT($B$5&amp;"生成成长"),4))/(VLOOKUP(EE$72,INDIRECT($C$5&amp;"生成成长"),5))*(VLOOKUP($B$5,标准坦克设计!$B$24:$U$30,MATCH("对"&amp;LEFT($C$5,2)&amp;"输出",标准坦克设计!$B$23:$U$23,0)))*(VLOOKUP($B226,INDIRECT($B$5&amp;"生成成长"),3))*(VLOOKUP($B$5,标准坦克设计!$B$14:$K$20,9)/30))</f>
        <v>4.7405648995492458</v>
      </c>
      <c r="EF226" s="173">
        <f ca="1">(VLOOKUP(EF$72,INDIRECT($C$5&amp;"生成成长"),2))/((VLOOKUP($B226,INDIRECT($B$5&amp;"生成成长"),4))/(VLOOKUP(EF$72,INDIRECT($C$5&amp;"生成成长"),5))*(VLOOKUP($B$5,标准坦克设计!$B$24:$U$30,MATCH("对"&amp;LEFT($C$5,2)&amp;"输出",标准坦克设计!$B$23:$U$23,0)))*(VLOOKUP($B226,INDIRECT($B$5&amp;"生成成长"),3))*(VLOOKUP($B$5,标准坦克设计!$B$14:$K$20,9)/30))</f>
        <v>5.1258237412452861</v>
      </c>
      <c r="EG226" s="173">
        <f ca="1">(VLOOKUP(EG$72,INDIRECT($C$5&amp;"生成成长"),2))/((VLOOKUP($B226,INDIRECT($B$5&amp;"生成成长"),4))/(VLOOKUP(EG$72,INDIRECT($C$5&amp;"生成成长"),5))*(VLOOKUP($B$5,标准坦克设计!$B$24:$U$30,MATCH("对"&amp;LEFT($C$5,2)&amp;"输出",标准坦克设计!$B$23:$U$23,0)))*(VLOOKUP($B226,INDIRECT($B$5&amp;"生成成长"),3))*(VLOOKUP($B$5,标准坦克设计!$B$14:$K$20,9)/30))</f>
        <v>5.5261317564450758</v>
      </c>
      <c r="EH226" s="173">
        <f ca="1">(VLOOKUP(EH$72,INDIRECT($C$5&amp;"生成成长"),2))/((VLOOKUP($B226,INDIRECT($B$5&amp;"生成成长"),4))/(VLOOKUP(EH$72,INDIRECT($C$5&amp;"生成成长"),5))*(VLOOKUP($B$5,标准坦克设计!$B$24:$U$30,MATCH("对"&amp;LEFT($C$5,2)&amp;"输出",标准坦克设计!$B$23:$U$23,0)))*(VLOOKUP($B226,INDIRECT($B$5&amp;"生成成长"),3))*(VLOOKUP($B$5,标准坦克设计!$B$14:$K$20,9)/30))</f>
        <v>5.9414889451486186</v>
      </c>
      <c r="EI226" s="173">
        <f ca="1">(VLOOKUP(EI$72,INDIRECT($C$5&amp;"生成成长"),2))/((VLOOKUP($B226,INDIRECT($B$5&amp;"生成成长"),4))/(VLOOKUP(EI$72,INDIRECT($C$5&amp;"生成成长"),5))*(VLOOKUP($B$5,标准坦克设计!$B$24:$U$30,MATCH("对"&amp;LEFT($C$5,2)&amp;"输出",标准坦克设计!$B$23:$U$23,0)))*(VLOOKUP($B226,INDIRECT($B$5&amp;"生成成长"),3))*(VLOOKUP($B$5,标准坦克设计!$B$14:$K$20,9)/30))</f>
        <v>6.3718953073559108</v>
      </c>
      <c r="EJ226" s="173">
        <f ca="1">(VLOOKUP(EJ$72,INDIRECT($C$5&amp;"生成成长"),2))/((VLOOKUP($B226,INDIRECT($B$5&amp;"生成成长"),4))/(VLOOKUP(EJ$72,INDIRECT($C$5&amp;"生成成长"),5))*(VLOOKUP($B$5,标准坦克设计!$B$24:$U$30,MATCH("对"&amp;LEFT($C$5,2)&amp;"输出",标准坦克设计!$B$23:$U$23,0)))*(VLOOKUP($B226,INDIRECT($B$5&amp;"生成成长"),3))*(VLOOKUP($B$5,标准坦克设计!$B$14:$K$20,9)/30))</f>
        <v>6.817350843066956</v>
      </c>
      <c r="EK226" s="173">
        <f ca="1">(VLOOKUP(EK$72,INDIRECT($C$5&amp;"生成成长"),2))/((VLOOKUP($B226,INDIRECT($B$5&amp;"生成成长"),4))/(VLOOKUP(EK$72,INDIRECT($C$5&amp;"生成成长"),5))*(VLOOKUP($B$5,标准坦克设计!$B$24:$U$30,MATCH("对"&amp;LEFT($C$5,2)&amp;"输出",标准坦克设计!$B$23:$U$23,0)))*(VLOOKUP($B226,INDIRECT($B$5&amp;"生成成长"),3))*(VLOOKUP($B$5,标准坦克设计!$B$14:$K$20,9)/30))</f>
        <v>7.3717623949451614</v>
      </c>
      <c r="EL226" s="173">
        <f ca="1">(VLOOKUP(EL$72,INDIRECT($C$5&amp;"生成成长"),2))/((VLOOKUP($B226,INDIRECT($B$5&amp;"生成成长"),4))/(VLOOKUP(EL$72,INDIRECT($C$5&amp;"生成成长"),5))*(VLOOKUP($B$5,标准坦克设计!$B$24:$U$30,MATCH("对"&amp;LEFT($C$5,2)&amp;"输出",标准坦克设计!$B$23:$U$23,0)))*(VLOOKUP($B226,INDIRECT($B$5&amp;"生成成长"),3))*(VLOOKUP($B$5,标准坦克设计!$B$14:$K$20,9)/30))</f>
        <v>7.9478447566687693</v>
      </c>
      <c r="EM226" s="173">
        <f ca="1">(VLOOKUP(EM$72,INDIRECT($C$5&amp;"生成成长"),2))/((VLOOKUP($B226,INDIRECT($B$5&amp;"生成成长"),4))/(VLOOKUP(EM$72,INDIRECT($C$5&amp;"生成成长"),5))*(VLOOKUP($B$5,标准坦克设计!$B$24:$U$30,MATCH("对"&amp;LEFT($C$5,2)&amp;"输出",标准坦克设计!$B$23:$U$23,0)))*(VLOOKUP($B226,INDIRECT($B$5&amp;"生成成长"),3))*(VLOOKUP($B$5,标准坦克设计!$B$14:$K$20,9)/30))</f>
        <v>8.5455979282377807</v>
      </c>
      <c r="EN226" s="173">
        <f ca="1">(VLOOKUP(EN$72,INDIRECT($C$5&amp;"生成成长"),2))/((VLOOKUP($B226,INDIRECT($B$5&amp;"生成成长"),4))/(VLOOKUP(EN$72,INDIRECT($C$5&amp;"生成成长"),5))*(VLOOKUP($B$5,标准坦克设计!$B$24:$U$30,MATCH("对"&amp;LEFT($C$5,2)&amp;"输出",标准坦克设计!$B$23:$U$23,0)))*(VLOOKUP($B226,INDIRECT($B$5&amp;"生成成长"),3))*(VLOOKUP($B$5,标准坦克设计!$B$14:$K$20,9)/30))</f>
        <v>9.165021909652193</v>
      </c>
      <c r="EO226" s="173">
        <f ca="1">(VLOOKUP(EO$72,INDIRECT($C$5&amp;"生成成长"),2))/((VLOOKUP($B226,INDIRECT($B$5&amp;"生成成长"),4))/(VLOOKUP(EO$72,INDIRECT($C$5&amp;"生成成长"),5))*(VLOOKUP($B$5,标准坦克设计!$B$24:$U$30,MATCH("对"&amp;LEFT($C$5,2)&amp;"输出",标准坦克设计!$B$23:$U$23,0)))*(VLOOKUP($B226,INDIRECT($B$5&amp;"生成成长"),3))*(VLOOKUP($B$5,标准坦克设计!$B$14:$K$20,9)/30))</f>
        <v>9.8061167009120069</v>
      </c>
      <c r="EP226" s="173">
        <f ca="1">(VLOOKUP(EP$72,INDIRECT($C$5&amp;"生成成长"),2))/((VLOOKUP($B226,INDIRECT($B$5&amp;"生成成长"),4))/(VLOOKUP(EP$72,INDIRECT($C$5&amp;"生成成长"),5))*(VLOOKUP($B$5,标准坦克设计!$B$24:$U$30,MATCH("对"&amp;LEFT($C$5,2)&amp;"输出",标准坦克设计!$B$23:$U$23,0)))*(VLOOKUP($B226,INDIRECT($B$5&amp;"生成成长"),3))*(VLOOKUP($B$5,标准坦克设计!$B$14:$K$20,9)/30))</f>
        <v>10.468882302017224</v>
      </c>
      <c r="EQ226" s="173">
        <f ca="1">(VLOOKUP(EQ$72,INDIRECT($C$5&amp;"生成成长"),2))/((VLOOKUP($B226,INDIRECT($B$5&amp;"生成成长"),4))/(VLOOKUP(EQ$72,INDIRECT($C$5&amp;"生成成长"),5))*(VLOOKUP($B$5,标准坦克设计!$B$24:$U$30,MATCH("对"&amp;LEFT($C$5,2)&amp;"输出",标准坦克设计!$B$23:$U$23,0)))*(VLOOKUP($B226,INDIRECT($B$5&amp;"生成成长"),3))*(VLOOKUP($B$5,标准坦克设计!$B$14:$K$20,9)/30))</f>
        <v>4.6279218358736669</v>
      </c>
      <c r="ER226" s="173">
        <f ca="1">(VLOOKUP(ER$72,INDIRECT($C$5&amp;"生成成长"),2))/((VLOOKUP($B226,INDIRECT($B$5&amp;"生成成长"),4))/(VLOOKUP(ER$72,INDIRECT($C$5&amp;"生成成长"),5))*(VLOOKUP($B$5,标准坦克设计!$B$24:$U$30,MATCH("对"&amp;LEFT($C$5,2)&amp;"输出",标准坦克设计!$B$23:$U$23,0)))*(VLOOKUP($B226,INDIRECT($B$5&amp;"生成成长"),3))*(VLOOKUP($B$5,标准坦克设计!$B$14:$K$20,9)/30))</f>
        <v>5.0475680390257773</v>
      </c>
      <c r="ES226" s="173">
        <f ca="1">(VLOOKUP(ES$72,INDIRECT($C$5&amp;"生成成长"),2))/((VLOOKUP($B226,INDIRECT($B$5&amp;"生成成长"),4))/(VLOOKUP(ES$72,INDIRECT($C$5&amp;"生成成长"),5))*(VLOOKUP($B$5,标准坦克设计!$B$24:$U$30,MATCH("对"&amp;LEFT($C$5,2)&amp;"输出",标准坦克设计!$B$23:$U$23,0)))*(VLOOKUP($B226,INDIRECT($B$5&amp;"生成成长"),3))*(VLOOKUP($B$5,标准坦克设计!$B$14:$K$20,9)/30))</f>
        <v>5.4854237421174279</v>
      </c>
      <c r="ET226" s="173">
        <f ca="1">(VLOOKUP(ET$72,INDIRECT($C$5&amp;"生成成长"),2))/((VLOOKUP($B226,INDIRECT($B$5&amp;"生成成长"),4))/(VLOOKUP(ET$72,INDIRECT($C$5&amp;"生成成长"),5))*(VLOOKUP($B$5,标准坦克设计!$B$24:$U$30,MATCH("对"&amp;LEFT($C$5,2)&amp;"输出",标准坦克设计!$B$23:$U$23,0)))*(VLOOKUP($B226,INDIRECT($B$5&amp;"生成成长"),3))*(VLOOKUP($B$5,标准坦克设计!$B$14:$K$20,9)/30))</f>
        <v>5.9414889451486186</v>
      </c>
      <c r="EU226" s="173">
        <f ca="1">(VLOOKUP(EU$72,INDIRECT($C$5&amp;"生成成长"),2))/((VLOOKUP($B226,INDIRECT($B$5&amp;"生成成长"),4))/(VLOOKUP(EU$72,INDIRECT($C$5&amp;"生成成长"),5))*(VLOOKUP($B$5,标准坦克设计!$B$24:$U$30,MATCH("对"&amp;LEFT($C$5,2)&amp;"输出",标准坦克设计!$B$23:$U$23,0)))*(VLOOKUP($B226,INDIRECT($B$5&amp;"生成成长"),3))*(VLOOKUP($B$5,标准坦克设计!$B$14:$K$20,9)/30))</f>
        <v>6.4157636481193467</v>
      </c>
      <c r="EV226" s="173">
        <f ca="1">(VLOOKUP(EV$72,INDIRECT($C$5&amp;"生成成长"),2))/((VLOOKUP($B226,INDIRECT($B$5&amp;"生成成长"),4))/(VLOOKUP(EV$72,INDIRECT($C$5&amp;"生成成长"),5))*(VLOOKUP($B$5,标准坦克设计!$B$24:$U$30,MATCH("对"&amp;LEFT($C$5,2)&amp;"输出",标准坦克设计!$B$23:$U$23,0)))*(VLOOKUP($B226,INDIRECT($B$5&amp;"生成成长"),3))*(VLOOKUP($B$5,标准坦克设计!$B$14:$K$20,9)/30))</f>
        <v>6.908247851029615</v>
      </c>
      <c r="EW226" s="173">
        <f ca="1">(VLOOKUP(EW$72,INDIRECT($C$5&amp;"生成成长"),2))/((VLOOKUP($B226,INDIRECT($B$5&amp;"生成成长"),4))/(VLOOKUP(EW$72,INDIRECT($C$5&amp;"生成成长"),5))*(VLOOKUP($B$5,标准坦克设计!$B$24:$U$30,MATCH("对"&amp;LEFT($C$5,2)&amp;"输出",标准坦克设计!$B$23:$U$23,0)))*(VLOOKUP($B226,INDIRECT($B$5&amp;"生成成长"),3))*(VLOOKUP($B$5,标准坦克设计!$B$14:$K$20,9)/30))</f>
        <v>7.4189415538794217</v>
      </c>
      <c r="EX226" s="173">
        <f ca="1">(VLOOKUP(EX$72,INDIRECT($C$5&amp;"生成成长"),2))/((VLOOKUP($B226,INDIRECT($B$5&amp;"生成成长"),4))/(VLOOKUP(EX$72,INDIRECT($C$5&amp;"生成成长"),5))*(VLOOKUP($B$5,标准坦克设计!$B$24:$U$30,MATCH("对"&amp;LEFT($C$5,2)&amp;"输出",标准坦克设计!$B$23:$U$23,0)))*(VLOOKUP($B226,INDIRECT($B$5&amp;"生成成长"),3))*(VLOOKUP($B$5,标准坦克设计!$B$14:$K$20,9)/30))</f>
        <v>7.9478447566687693</v>
      </c>
      <c r="EY226" s="173">
        <f ca="1">(VLOOKUP(EY$72,INDIRECT($C$5&amp;"生成成长"),2))/((VLOOKUP($B226,INDIRECT($B$5&amp;"生成成长"),4))/(VLOOKUP(EY$72,INDIRECT($C$5&amp;"生成成长"),5))*(VLOOKUP($B$5,标准坦克设计!$B$24:$U$30,MATCH("对"&amp;LEFT($C$5,2)&amp;"输出",标准坦克设计!$B$23:$U$23,0)))*(VLOOKUP($B226,INDIRECT($B$5&amp;"生成成长"),3))*(VLOOKUP($B$5,标准坦克设计!$B$14:$K$20,9)/30))</f>
        <v>8.4949574593976536</v>
      </c>
      <c r="EZ226" s="173">
        <f ca="1">(VLOOKUP(EZ$72,INDIRECT($C$5&amp;"生成成长"),2))/((VLOOKUP($B226,INDIRECT($B$5&amp;"生成成长"),4))/(VLOOKUP(EZ$72,INDIRECT($C$5&amp;"生成成长"),5))*(VLOOKUP($B$5,标准坦克设计!$B$24:$U$30,MATCH("对"&amp;LEFT($C$5,2)&amp;"输出",标准坦克设计!$B$23:$U$23,0)))*(VLOOKUP($B226,INDIRECT($B$5&amp;"生成成长"),3))*(VLOOKUP($B$5,标准坦克设计!$B$14:$K$20,9)/30))</f>
        <v>9.0602796620660815</v>
      </c>
      <c r="FA226" s="173">
        <f ca="1">(VLOOKUP(FA$72,INDIRECT($C$5&amp;"生成成长"),2))/((VLOOKUP($B226,INDIRECT($B$5&amp;"生成成长"),4))/(VLOOKUP(FA$72,INDIRECT($C$5&amp;"生成成长"),5))*(VLOOKUP($B$5,标准坦克设计!$B$24:$U$30,MATCH("对"&amp;LEFT($C$5,2)&amp;"输出",标准坦克设计!$B$23:$U$23,0)))*(VLOOKUP($B226,INDIRECT($B$5&amp;"生成成长"),3))*(VLOOKUP($B$5,标准坦克设计!$B$14:$K$20,9)/30))</f>
        <v>9.6438113646740469</v>
      </c>
      <c r="FB226" s="173">
        <f ca="1">(VLOOKUP(FB$72,INDIRECT($C$5&amp;"生成成长"),2))/((VLOOKUP($B226,INDIRECT($B$5&amp;"生成成长"),4))/(VLOOKUP(FB$72,INDIRECT($C$5&amp;"生成成长"),5))*(VLOOKUP($B$5,标准坦克设计!$B$24:$U$30,MATCH("对"&amp;LEFT($C$5,2)&amp;"输出",标准坦克设计!$B$23:$U$23,0)))*(VLOOKUP($B226,INDIRECT($B$5&amp;"生成成长"),3))*(VLOOKUP($B$5,标准坦克设计!$B$14:$K$20,9)/30))</f>
        <v>10.245552567221553</v>
      </c>
      <c r="FC226" s="173">
        <f ca="1">(VLOOKUP(FC$72,INDIRECT($C$5&amp;"生成成长"),2))/((VLOOKUP($B226,INDIRECT($B$5&amp;"生成成长"),4))/(VLOOKUP(FC$72,INDIRECT($C$5&amp;"生成成长"),5))*(VLOOKUP($B$5,标准坦克设计!$B$24:$U$30,MATCH("对"&amp;LEFT($C$5,2)&amp;"输出",标准坦克设计!$B$23:$U$23,0)))*(VLOOKUP($B226,INDIRECT($B$5&amp;"生成成长"),3))*(VLOOKUP($B$5,标准坦克设计!$B$14:$K$20,9)/30))</f>
        <v>10.865503269708595</v>
      </c>
      <c r="FD226" s="173">
        <f ca="1">(VLOOKUP(FD$72,INDIRECT($C$5&amp;"生成成长"),2))/((VLOOKUP($B226,INDIRECT($B$5&amp;"生成成长"),4))/(VLOOKUP(FD$72,INDIRECT($C$5&amp;"生成成长"),5))*(VLOOKUP($B$5,标准坦克设计!$B$24:$U$30,MATCH("对"&amp;LEFT($C$5,2)&amp;"输出",标准坦克设计!$B$23:$U$23,0)))*(VLOOKUP($B226,INDIRECT($B$5&amp;"生成成长"),3))*(VLOOKUP($B$5,标准坦克设计!$B$14:$K$20,9)/30))</f>
        <v>11.503663472135178</v>
      </c>
      <c r="FE226" s="173">
        <f ca="1">(VLOOKUP(FE$72,INDIRECT($C$5&amp;"生成成长"),2))/((VLOOKUP($B226,INDIRECT($B$5&amp;"生成成长"),4))/(VLOOKUP(FE$72,INDIRECT($C$5&amp;"生成成长"),5))*(VLOOKUP($B$5,标准坦克设计!$B$24:$U$30,MATCH("对"&amp;LEFT($C$5,2)&amp;"输出",标准坦克设计!$B$23:$U$23,0)))*(VLOOKUP($B226,INDIRECT($B$5&amp;"生成成长"),3))*(VLOOKUP($B$5,标准坦克设计!$B$14:$K$20,9)/30))</f>
        <v>12.281329512941538</v>
      </c>
      <c r="FF226" s="173">
        <f ca="1">(VLOOKUP(FF$72,INDIRECT($C$5&amp;"生成成长"),2))/((VLOOKUP($B226,INDIRECT($B$5&amp;"生成成长"),4))/(VLOOKUP(FF$72,INDIRECT($C$5&amp;"生成成长"),5))*(VLOOKUP($B$5,标准坦克设计!$B$24:$U$30,MATCH("对"&amp;LEFT($C$5,2)&amp;"输出",标准坦克设计!$B$23:$U$23,0)))*(VLOOKUP($B226,INDIRECT($B$5&amp;"生成成长"),3))*(VLOOKUP($B$5,标准坦克设计!$B$14:$K$20,9)/30))</f>
        <v>13.084428656969239</v>
      </c>
      <c r="FG226" s="173">
        <f ca="1">(VLOOKUP(FG$72,INDIRECT($C$5&amp;"生成成长"),2))/((VLOOKUP($B226,INDIRECT($B$5&amp;"生成成长"),4))/(VLOOKUP(FG$72,INDIRECT($C$5&amp;"生成成长"),5))*(VLOOKUP($B$5,标准坦克设计!$B$24:$U$30,MATCH("对"&amp;LEFT($C$5,2)&amp;"输出",标准坦克设计!$B$23:$U$23,0)))*(VLOOKUP($B226,INDIRECT($B$5&amp;"生成成长"),3))*(VLOOKUP($B$5,标准坦克设计!$B$14:$K$20,9)/30))</f>
        <v>13.912960904218275</v>
      </c>
      <c r="FH226" s="173">
        <f ca="1">(VLOOKUP(FH$72,INDIRECT($C$5&amp;"生成成长"),2))/((VLOOKUP($B226,INDIRECT($B$5&amp;"生成成长"),4))/(VLOOKUP(FH$72,INDIRECT($C$5&amp;"生成成长"),5))*(VLOOKUP($B$5,标准坦克设计!$B$24:$U$30,MATCH("对"&amp;LEFT($C$5,2)&amp;"输出",标准坦克设计!$B$23:$U$23,0)))*(VLOOKUP($B226,INDIRECT($B$5&amp;"生成成长"),3))*(VLOOKUP($B$5,标准坦克设计!$B$14:$K$20,9)/30))</f>
        <v>14.766926254688657</v>
      </c>
      <c r="FI226" s="173">
        <f ca="1">(VLOOKUP(FI$72,INDIRECT($C$5&amp;"生成成长"),2))/((VLOOKUP($B226,INDIRECT($B$5&amp;"生成成长"),4))/(VLOOKUP(FI$72,INDIRECT($C$5&amp;"生成成长"),5))*(VLOOKUP($B$5,标准坦克设计!$B$24:$U$30,MATCH("对"&amp;LEFT($C$5,2)&amp;"输出",标准坦克设计!$B$23:$U$23,0)))*(VLOOKUP($B226,INDIRECT($B$5&amp;"生成成长"),3))*(VLOOKUP($B$5,标准坦克设计!$B$14:$K$20,9)/30))</f>
        <v>15.646324708380378</v>
      </c>
      <c r="FJ226" s="173">
        <f ca="1">(VLOOKUP(FJ$72,INDIRECT($C$5&amp;"生成成长"),2))/((VLOOKUP($B226,INDIRECT($B$5&amp;"生成成长"),4))/(VLOOKUP(FJ$72,INDIRECT($C$5&amp;"生成成长"),5))*(VLOOKUP($B$5,标准坦克设计!$B$24:$U$30,MATCH("对"&amp;LEFT($C$5,2)&amp;"输出",标准坦克设计!$B$23:$U$23,0)))*(VLOOKUP($B226,INDIRECT($B$5&amp;"生成成长"),3))*(VLOOKUP($B$5,标准坦克设计!$B$14:$K$20,9)/30))</f>
        <v>16.551156265293439</v>
      </c>
      <c r="FK226" s="173">
        <f ca="1">(VLOOKUP(FK$72,INDIRECT($C$5&amp;"生成成长"),2))/((VLOOKUP($B226,INDIRECT($B$5&amp;"生成成长"),4))/(VLOOKUP(FK$72,INDIRECT($C$5&amp;"生成成长"),5))*(VLOOKUP($B$5,标准坦克设计!$B$24:$U$30,MATCH("对"&amp;LEFT($C$5,2)&amp;"输出",标准坦克设计!$B$23:$U$23,0)))*(VLOOKUP($B226,INDIRECT($B$5&amp;"生成成长"),3))*(VLOOKUP($B$5,标准坦克设计!$B$14:$K$20,9)/30))</f>
        <v>17.481420925427837</v>
      </c>
    </row>
    <row r="227" spans="1:167" x14ac:dyDescent="0.15">
      <c r="A227" s="171" t="str">
        <f t="shared" si="13"/>
        <v>T5高品质11级</v>
      </c>
      <c r="B227" s="172">
        <v>30511</v>
      </c>
      <c r="C227" s="173">
        <f ca="1">(VLOOKUP(C$72,INDIRECT($C$5&amp;"生成成长"),2))/((VLOOKUP($B227,INDIRECT($B$5&amp;"生成成长"),4))/(VLOOKUP(C$72,INDIRECT($C$5&amp;"生成成长"),5))*(VLOOKUP($B$5,标准坦克设计!$B$24:$U$30,MATCH("对"&amp;LEFT($C$5,2)&amp;"输出",标准坦克设计!$B$23:$U$23,0)))*(VLOOKUP($B227,INDIRECT($B$5&amp;"生成成长"),3))*(VLOOKUP($B$5,标准坦克设计!$B$14:$K$20,9)/30))</f>
        <v>0.70886577869601686</v>
      </c>
      <c r="D227" s="173">
        <f ca="1">(VLOOKUP(D$72,INDIRECT($C$5&amp;"生成成长"),2))/((VLOOKUP($B227,INDIRECT($B$5&amp;"生成成长"),4))/(VLOOKUP(D$72,INDIRECT($C$5&amp;"生成成长"),5))*(VLOOKUP($B$5,标准坦克设计!$B$24:$U$30,MATCH("对"&amp;LEFT($C$5,2)&amp;"输出",标准坦克设计!$B$23:$U$23,0)))*(VLOOKUP($B227,INDIRECT($B$5&amp;"生成成长"),3))*(VLOOKUP($B$5,标准坦克设计!$B$14:$K$20,9)/30))</f>
        <v>0.79648158894284449</v>
      </c>
      <c r="E227" s="173">
        <f ca="1">(VLOOKUP(E$72,INDIRECT($C$5&amp;"生成成长"),2))/((VLOOKUP($B227,INDIRECT($B$5&amp;"生成成长"),4))/(VLOOKUP(E$72,INDIRECT($C$5&amp;"生成成长"),5))*(VLOOKUP($B$5,标准坦克设计!$B$24:$U$30,MATCH("对"&amp;LEFT($C$5,2)&amp;"输出",标准坦克设计!$B$23:$U$23,0)))*(VLOOKUP($B227,INDIRECT($B$5&amp;"生成成长"),3))*(VLOOKUP($B$5,标准坦克设计!$B$14:$K$20,9)/30))</f>
        <v>0.8892012327962836</v>
      </c>
      <c r="F227" s="173">
        <f ca="1">(VLOOKUP(F$72,INDIRECT($C$5&amp;"生成成长"),2))/((VLOOKUP($B227,INDIRECT($B$5&amp;"生成成长"),4))/(VLOOKUP(F$72,INDIRECT($C$5&amp;"生成成长"),5))*(VLOOKUP($B$5,标准坦克设计!$B$24:$U$30,MATCH("对"&amp;LEFT($C$5,2)&amp;"输出",标准坦克设计!$B$23:$U$23,0)))*(VLOOKUP($B227,INDIRECT($B$5&amp;"生成成长"),3))*(VLOOKUP($B$5,标准坦克设计!$B$14:$K$20,9)/30))</f>
        <v>0.98702471025633387</v>
      </c>
      <c r="G227" s="173">
        <f ca="1">(VLOOKUP(G$72,INDIRECT($C$5&amp;"生成成长"),2))/((VLOOKUP($B227,INDIRECT($B$5&amp;"生成成长"),4))/(VLOOKUP(G$72,INDIRECT($C$5&amp;"生成成长"),5))*(VLOOKUP($B$5,标准坦克设计!$B$24:$U$30,MATCH("对"&amp;LEFT($C$5,2)&amp;"输出",标准坦克设计!$B$23:$U$23,0)))*(VLOOKUP($B227,INDIRECT($B$5&amp;"生成成长"),3))*(VLOOKUP($B$5,标准坦克设计!$B$14:$K$20,9)/30))</f>
        <v>1.0899520213229954</v>
      </c>
      <c r="H227" s="173">
        <f ca="1">(VLOOKUP(H$72,INDIRECT($C$5&amp;"生成成长"),2))/((VLOOKUP($B227,INDIRECT($B$5&amp;"生成成长"),4))/(VLOOKUP(H$72,INDIRECT($C$5&amp;"生成成长"),5))*(VLOOKUP($B$5,标准坦克设计!$B$24:$U$30,MATCH("对"&amp;LEFT($C$5,2)&amp;"输出",标准坦克设计!$B$23:$U$23,0)))*(VLOOKUP($B227,INDIRECT($B$5&amp;"生成成长"),3))*(VLOOKUP($B$5,标准坦克设计!$B$14:$K$20,9)/30))</f>
        <v>0.95384979181336027</v>
      </c>
      <c r="I227" s="173">
        <f ca="1">(VLOOKUP(I$72,INDIRECT($C$5&amp;"生成成长"),2))/((VLOOKUP($B227,INDIRECT($B$5&amp;"生成成长"),4))/(VLOOKUP(I$72,INDIRECT($C$5&amp;"生成成长"),5))*(VLOOKUP($B$5,标准坦克设计!$B$24:$U$30,MATCH("对"&amp;LEFT($C$5,2)&amp;"输出",标准坦克设计!$B$23:$U$23,0)))*(VLOOKUP($B227,INDIRECT($B$5&amp;"生成成长"),3))*(VLOOKUP($B$5,标准坦克设计!$B$14:$K$20,9)/30))</f>
        <v>1.0899520213229954</v>
      </c>
      <c r="J227" s="173">
        <f ca="1">(VLOOKUP(J$72,INDIRECT($C$5&amp;"生成成长"),2))/((VLOOKUP($B227,INDIRECT($B$5&amp;"生成成长"),4))/(VLOOKUP(J$72,INDIRECT($C$5&amp;"生成成长"),5))*(VLOOKUP($B$5,标准坦克设计!$B$24:$U$30,MATCH("对"&amp;LEFT($C$5,2)&amp;"输出",标准坦克设计!$B$23:$U$23,0)))*(VLOOKUP($B227,INDIRECT($B$5&amp;"生成成长"),3))*(VLOOKUP($B$5,标准坦克设计!$B$14:$K$20,9)/30))</f>
        <v>1.2351277327999399</v>
      </c>
      <c r="K227" s="173">
        <f ca="1">(VLOOKUP(K$72,INDIRECT($C$5&amp;"生成成长"),2))/((VLOOKUP($B227,INDIRECT($B$5&amp;"生成成长"),4))/(VLOOKUP(K$72,INDIRECT($C$5&amp;"生成成长"),5))*(VLOOKUP($B$5,标准坦克设计!$B$24:$U$30,MATCH("对"&amp;LEFT($C$5,2)&amp;"输出",标准坦克设计!$B$23:$U$23,0)))*(VLOOKUP($B227,INDIRECT($B$5&amp;"生成成长"),3))*(VLOOKUP($B$5,标准坦克设计!$B$14:$K$20,9)/30))</f>
        <v>1.3893769262441933</v>
      </c>
      <c r="L227" s="173">
        <f ca="1">(VLOOKUP(L$72,INDIRECT($C$5&amp;"生成成长"),2))/((VLOOKUP($B227,INDIRECT($B$5&amp;"生成成长"),4))/(VLOOKUP(L$72,INDIRECT($C$5&amp;"生成成长"),5))*(VLOOKUP($B$5,标准坦克设计!$B$24:$U$30,MATCH("对"&amp;LEFT($C$5,2)&amp;"输出",标准坦克设计!$B$23:$U$23,0)))*(VLOOKUP($B227,INDIRECT($B$5&amp;"生成成长"),3))*(VLOOKUP($B$5,标准坦克设计!$B$14:$K$20,9)/30))</f>
        <v>1.5526996016557555</v>
      </c>
      <c r="M227" s="173">
        <f ca="1">(VLOOKUP(M$72,INDIRECT($C$5&amp;"生成成长"),2))/((VLOOKUP($B227,INDIRECT($B$5&amp;"生成成长"),4))/(VLOOKUP(M$72,INDIRECT($C$5&amp;"生成成长"),5))*(VLOOKUP($B$5,标准坦克设计!$B$24:$U$30,MATCH("对"&amp;LEFT($C$5,2)&amp;"输出",标准坦克设计!$B$23:$U$23,0)))*(VLOOKUP($B227,INDIRECT($B$5&amp;"生成成长"),3))*(VLOOKUP($B$5,标准坦克设计!$B$14:$K$20,9)/30))</f>
        <v>1.7250957590346268</v>
      </c>
      <c r="N227" s="173">
        <f ca="1">(VLOOKUP(N$72,INDIRECT($C$5&amp;"生成成长"),2))/((VLOOKUP($B227,INDIRECT($B$5&amp;"生成成长"),4))/(VLOOKUP(N$72,INDIRECT($C$5&amp;"生成成长"),5))*(VLOOKUP($B$5,标准坦克设计!$B$24:$U$30,MATCH("对"&amp;LEFT($C$5,2)&amp;"输出",标准坦克设计!$B$23:$U$23,0)))*(VLOOKUP($B227,INDIRECT($B$5&amp;"生成成长"),3))*(VLOOKUP($B$5,标准坦克设计!$B$14:$K$20,9)/30))</f>
        <v>1.9065653983808069</v>
      </c>
      <c r="O227" s="173">
        <f ca="1">(VLOOKUP(O$72,INDIRECT($C$5&amp;"生成成长"),2))/((VLOOKUP($B227,INDIRECT($B$5&amp;"生成成长"),4))/(VLOOKUP(O$72,INDIRECT($C$5&amp;"生成成长"),5))*(VLOOKUP($B$5,标准坦克设计!$B$24:$U$30,MATCH("对"&amp;LEFT($C$5,2)&amp;"输出",标准坦克设计!$B$23:$U$23,0)))*(VLOOKUP($B227,INDIRECT($B$5&amp;"生成成长"),3))*(VLOOKUP($B$5,标准坦克设计!$B$14:$K$20,9)/30))</f>
        <v>1.449559630855485</v>
      </c>
      <c r="P227" s="173">
        <f ca="1">(VLOOKUP(P$72,INDIRECT($C$5&amp;"生成成长"),2))/((VLOOKUP($B227,INDIRECT($B$5&amp;"生成成长"),4))/(VLOOKUP(P$72,INDIRECT($C$5&amp;"生成成长"),5))*(VLOOKUP($B$5,标准坦克设计!$B$24:$U$30,MATCH("对"&amp;LEFT($C$5,2)&amp;"输出",标准坦克设计!$B$23:$U$23,0)))*(VLOOKUP($B227,INDIRECT($B$5&amp;"生成成长"),3))*(VLOOKUP($B$5,标准坦克设计!$B$14:$K$20,9)/30))</f>
        <v>1.6377634950992774</v>
      </c>
      <c r="Q227" s="173">
        <f ca="1">(VLOOKUP(Q$72,INDIRECT($C$5&amp;"生成成长"),2))/((VLOOKUP($B227,INDIRECT($B$5&amp;"生成成长"),4))/(VLOOKUP(Q$72,INDIRECT($C$5&amp;"生成成长"),5))*(VLOOKUP($B$5,标准坦克设计!$B$24:$U$30,MATCH("对"&amp;LEFT($C$5,2)&amp;"输出",标准坦克设计!$B$23:$U$23,0)))*(VLOOKUP($B227,INDIRECT($B$5&amp;"生成成长"),3))*(VLOOKUP($B$5,标准坦克设计!$B$14:$K$20,9)/30))</f>
        <v>1.8374509849579457</v>
      </c>
      <c r="R227" s="173">
        <f ca="1">(VLOOKUP(R$72,INDIRECT($C$5&amp;"生成成长"),2))/((VLOOKUP($B227,INDIRECT($B$5&amp;"生成成长"),4))/(VLOOKUP(R$72,INDIRECT($C$5&amp;"生成成长"),5))*(VLOOKUP($B$5,标准坦克设计!$B$24:$U$30,MATCH("对"&amp;LEFT($C$5,2)&amp;"输出",标准坦克设计!$B$23:$U$23,0)))*(VLOOKUP($B227,INDIRECT($B$5&amp;"生成成长"),3))*(VLOOKUP($B$5,标准坦克设计!$B$14:$K$20,9)/30))</f>
        <v>2.0486221004314888</v>
      </c>
      <c r="S227" s="173">
        <f ca="1">(VLOOKUP(S$72,INDIRECT($C$5&amp;"生成成长"),2))/((VLOOKUP($B227,INDIRECT($B$5&amp;"生成成长"),4))/(VLOOKUP(S$72,INDIRECT($C$5&amp;"生成成长"),5))*(VLOOKUP($B$5,标准坦克设计!$B$24:$U$30,MATCH("对"&amp;LEFT($C$5,2)&amp;"输出",标准坦克设计!$B$23:$U$23,0)))*(VLOOKUP($B227,INDIRECT($B$5&amp;"生成成长"),3))*(VLOOKUP($B$5,标准坦克设计!$B$14:$K$20,9)/30))</f>
        <v>2.2712768415199078</v>
      </c>
      <c r="T227" s="173">
        <f ca="1">(VLOOKUP(T$72,INDIRECT($C$5&amp;"生成成长"),2))/((VLOOKUP($B227,INDIRECT($B$5&amp;"生成成长"),4))/(VLOOKUP(T$72,INDIRECT($C$5&amp;"生成成长"),5))*(VLOOKUP($B$5,标准坦克设计!$B$24:$U$30,MATCH("对"&amp;LEFT($C$5,2)&amp;"输出",标准坦克设计!$B$23:$U$23,0)))*(VLOOKUP($B227,INDIRECT($B$5&amp;"生成成长"),3))*(VLOOKUP($B$5,标准坦克设计!$B$14:$K$20,9)/30))</f>
        <v>2.5054152082232024</v>
      </c>
      <c r="U227" s="173">
        <f ca="1">(VLOOKUP(U$72,INDIRECT($C$5&amp;"生成成长"),2))/((VLOOKUP($B227,INDIRECT($B$5&amp;"生成成长"),4))/(VLOOKUP(U$72,INDIRECT($C$5&amp;"生成成长"),5))*(VLOOKUP($B$5,标准坦克设计!$B$24:$U$30,MATCH("对"&amp;LEFT($C$5,2)&amp;"输出",标准坦克设计!$B$23:$U$23,0)))*(VLOOKUP($B227,INDIRECT($B$5&amp;"生成成长"),3))*(VLOOKUP($B$5,标准坦克设计!$B$14:$K$20,9)/30))</f>
        <v>2.7510372005413717</v>
      </c>
      <c r="V227" s="173">
        <f ca="1">(VLOOKUP(V$72,INDIRECT($C$5&amp;"生成成长"),2))/((VLOOKUP($B227,INDIRECT($B$5&amp;"生成成长"),4))/(VLOOKUP(V$72,INDIRECT($C$5&amp;"生成成长"),5))*(VLOOKUP($B$5,标准坦克设计!$B$24:$U$30,MATCH("对"&amp;LEFT($C$5,2)&amp;"输出",标准坦克设计!$B$23:$U$23,0)))*(VLOOKUP($B227,INDIRECT($B$5&amp;"生成成长"),3))*(VLOOKUP($B$5,标准坦克设计!$B$14:$K$20,9)/30))</f>
        <v>3.0081428184744174</v>
      </c>
      <c r="W227" s="173">
        <f ca="1">(VLOOKUP(W$72,INDIRECT($C$5&amp;"生成成长"),2))/((VLOOKUP($B227,INDIRECT($B$5&amp;"生成成长"),4))/(VLOOKUP(W$72,INDIRECT($C$5&amp;"生成成长"),5))*(VLOOKUP($B$5,标准坦克设计!$B$24:$U$30,MATCH("对"&amp;LEFT($C$5,2)&amp;"输出",标准坦克设计!$B$23:$U$23,0)))*(VLOOKUP($B227,INDIRECT($B$5&amp;"生成成长"),3))*(VLOOKUP($B$5,标准坦克设计!$B$14:$K$20,9)/30))</f>
        <v>3.2767320620223379</v>
      </c>
      <c r="X227" s="173">
        <f ca="1">(VLOOKUP(X$72,INDIRECT($C$5&amp;"生成成长"),2))/((VLOOKUP($B227,INDIRECT($B$5&amp;"生成成长"),4))/(VLOOKUP(X$72,INDIRECT($C$5&amp;"生成成长"),5))*(VLOOKUP($B$5,标准坦克设计!$B$24:$U$30,MATCH("对"&amp;LEFT($C$5,2)&amp;"输出",标准坦克设计!$B$23:$U$23,0)))*(VLOOKUP($B227,INDIRECT($B$5&amp;"生成成长"),3))*(VLOOKUP($B$5,标准坦克设计!$B$14:$K$20,9)/30))</f>
        <v>2.3739206062750906</v>
      </c>
      <c r="Y227" s="173">
        <f ca="1">(VLOOKUP(Y$72,INDIRECT($C$5&amp;"生成成长"),2))/((VLOOKUP($B227,INDIRECT($B$5&amp;"生成成长"),4))/(VLOOKUP(Y$72,INDIRECT($C$5&amp;"生成成长"),5))*(VLOOKUP($B$5,标准坦克设计!$B$24:$U$30,MATCH("对"&amp;LEFT($C$5,2)&amp;"输出",标准坦克设计!$B$23:$U$23,0)))*(VLOOKUP($B227,INDIRECT($B$5&amp;"生成成长"),3))*(VLOOKUP($B$5,标准坦克设计!$B$14:$K$20,9)/30))</f>
        <v>2.6404541390647935</v>
      </c>
      <c r="Z227" s="173">
        <f ca="1">(VLOOKUP(Z$72,INDIRECT($C$5&amp;"生成成长"),2))/((VLOOKUP($B227,INDIRECT($B$5&amp;"生成成长"),4))/(VLOOKUP(Z$72,INDIRECT($C$5&amp;"生成成长"),5))*(VLOOKUP($B$5,标准坦克设计!$B$24:$U$30,MATCH("对"&amp;LEFT($C$5,2)&amp;"输出",标准坦克设计!$B$23:$U$23,0)))*(VLOOKUP($B227,INDIRECT($B$5&amp;"生成成长"),3))*(VLOOKUP($B$5,标准坦克设计!$B$14:$K$20,9)/30))</f>
        <v>2.9211649874284156</v>
      </c>
      <c r="AA227" s="173">
        <f ca="1">(VLOOKUP(AA$72,INDIRECT($C$5&amp;"生成成长"),2))/((VLOOKUP($B227,INDIRECT($B$5&amp;"生成成长"),4))/(VLOOKUP(AA$72,INDIRECT($C$5&amp;"生成成长"),5))*(VLOOKUP($B$5,标准坦克设计!$B$24:$U$30,MATCH("对"&amp;LEFT($C$5,2)&amp;"输出",标准坦克设计!$B$23:$U$23,0)))*(VLOOKUP($B227,INDIRECT($B$5&amp;"生成成长"),3))*(VLOOKUP($B$5,标准坦克设计!$B$14:$K$20,9)/30))</f>
        <v>3.2160531513659594</v>
      </c>
      <c r="AB227" s="173">
        <f ca="1">(VLOOKUP(AB$72,INDIRECT($C$5&amp;"生成成长"),2))/((VLOOKUP($B227,INDIRECT($B$5&amp;"生成成长"),4))/(VLOOKUP(AB$72,INDIRECT($C$5&amp;"生成成长"),5))*(VLOOKUP($B$5,标准坦克设计!$B$24:$U$30,MATCH("对"&amp;LEFT($C$5,2)&amp;"输出",标准坦克设计!$B$23:$U$23,0)))*(VLOOKUP($B227,INDIRECT($B$5&amp;"生成成长"),3))*(VLOOKUP($B$5,标准坦克设计!$B$14:$K$20,9)/30))</f>
        <v>3.5251186308774223</v>
      </c>
      <c r="AC227" s="173">
        <f ca="1">(VLOOKUP(AC$72,INDIRECT($C$5&amp;"生成成长"),2))/((VLOOKUP($B227,INDIRECT($B$5&amp;"生成成长"),4))/(VLOOKUP(AC$72,INDIRECT($C$5&amp;"生成成长"),5))*(VLOOKUP($B$5,标准坦克设计!$B$24:$U$30,MATCH("对"&amp;LEFT($C$5,2)&amp;"输出",标准坦克设计!$B$23:$U$23,0)))*(VLOOKUP($B227,INDIRECT($B$5&amp;"生成成长"),3))*(VLOOKUP($B$5,标准坦克设计!$B$14:$K$20,9)/30))</f>
        <v>3.8483614259628056</v>
      </c>
      <c r="AD227" s="173">
        <f ca="1">(VLOOKUP(AD$72,INDIRECT($C$5&amp;"生成成长"),2))/((VLOOKUP($B227,INDIRECT($B$5&amp;"生成成长"),4))/(VLOOKUP(AD$72,INDIRECT($C$5&amp;"生成成长"),5))*(VLOOKUP($B$5,标准坦克设计!$B$24:$U$30,MATCH("对"&amp;LEFT($C$5,2)&amp;"输出",标准坦克设计!$B$23:$U$23,0)))*(VLOOKUP($B227,INDIRECT($B$5&amp;"生成成长"),3))*(VLOOKUP($B$5,标准坦克设计!$B$14:$K$20,9)/30))</f>
        <v>4.1857815366221098</v>
      </c>
      <c r="AE227" s="173">
        <f ca="1">(VLOOKUP(AE$72,INDIRECT($C$5&amp;"生成成长"),2))/((VLOOKUP($B227,INDIRECT($B$5&amp;"生成成长"),4))/(VLOOKUP(AE$72,INDIRECT($C$5&amp;"生成成长"),5))*(VLOOKUP($B$5,标准坦克设计!$B$24:$U$30,MATCH("对"&amp;LEFT($C$5,2)&amp;"输出",标准坦克设计!$B$23:$U$23,0)))*(VLOOKUP($B227,INDIRECT($B$5&amp;"生成成长"),3))*(VLOOKUP($B$5,标准坦克设计!$B$14:$K$20,9)/30))</f>
        <v>4.5373789628553345</v>
      </c>
      <c r="AF227" s="173">
        <f ca="1">(VLOOKUP(AF$72,INDIRECT($C$5&amp;"生成成长"),2))/((VLOOKUP($B227,INDIRECT($B$5&amp;"生成成长"),4))/(VLOOKUP(AF$72,INDIRECT($C$5&amp;"生成成长"),5))*(VLOOKUP($B$5,标准坦克设计!$B$24:$U$30,MATCH("对"&amp;LEFT($C$5,2)&amp;"输出",标准坦克设计!$B$23:$U$23,0)))*(VLOOKUP($B227,INDIRECT($B$5&amp;"生成成长"),3))*(VLOOKUP($B$5,标准坦克设计!$B$14:$K$20,9)/30))</f>
        <v>4.9031537046624791</v>
      </c>
      <c r="AG227" s="173">
        <f ca="1">(VLOOKUP(AG$72,INDIRECT($C$5&amp;"生成成长"),2))/((VLOOKUP($B227,INDIRECT($B$5&amp;"生成成长"),4))/(VLOOKUP(AG$72,INDIRECT($C$5&amp;"生成成长"),5))*(VLOOKUP($B$5,标准坦克设计!$B$24:$U$30,MATCH("对"&amp;LEFT($C$5,2)&amp;"输出",标准坦克设计!$B$23:$U$23,0)))*(VLOOKUP($B227,INDIRECT($B$5&amp;"生成成长"),3))*(VLOOKUP($B$5,标准坦克设计!$B$14:$K$20,9)/30))</f>
        <v>5.2831057620435438</v>
      </c>
      <c r="AH227" s="173">
        <f ca="1">(VLOOKUP(AH$72,INDIRECT($C$5&amp;"生成成长"),2))/((VLOOKUP($B227,INDIRECT($B$5&amp;"生成成长"),4))/(VLOOKUP(AH$72,INDIRECT($C$5&amp;"生成成长"),5))*(VLOOKUP($B$5,标准坦克设计!$B$24:$U$30,MATCH("对"&amp;LEFT($C$5,2)&amp;"输出",标准坦克设计!$B$23:$U$23,0)))*(VLOOKUP($B227,INDIRECT($B$5&amp;"生成成长"),3))*(VLOOKUP($B$5,标准坦克设计!$B$14:$K$20,9)/30))</f>
        <v>5.6772351349985293</v>
      </c>
      <c r="AI227" s="173">
        <f ca="1">(VLOOKUP(AI$72,INDIRECT($C$5&amp;"生成成长"),2))/((VLOOKUP($B227,INDIRECT($B$5&amp;"生成成长"),4))/(VLOOKUP(AI$72,INDIRECT($C$5&amp;"生成成长"),5))*(VLOOKUP($B$5,标准坦克设计!$B$24:$U$30,MATCH("对"&amp;LEFT($C$5,2)&amp;"输出",标准坦克设计!$B$23:$U$23,0)))*(VLOOKUP($B227,INDIRECT($B$5&amp;"生成成长"),3))*(VLOOKUP($B$5,标准坦克设计!$B$14:$K$20,9)/30))</f>
        <v>4.0152993168457183</v>
      </c>
      <c r="AJ227" s="173">
        <f ca="1">(VLOOKUP(AJ$72,INDIRECT($C$5&amp;"生成成长"),2))/((VLOOKUP($B227,INDIRECT($B$5&amp;"生成成长"),4))/(VLOOKUP(AJ$72,INDIRECT($C$5&amp;"生成成长"),5))*(VLOOKUP($B$5,标准坦克设计!$B$24:$U$30,MATCH("对"&amp;LEFT($C$5,2)&amp;"输出",标准坦克设计!$B$23:$U$23,0)))*(VLOOKUP($B227,INDIRECT($B$5&amp;"生成成长"),3))*(VLOOKUP($B$5,标准坦克设计!$B$14:$K$20,9)/30))</f>
        <v>4.3950387144931744</v>
      </c>
      <c r="AK227" s="173">
        <f ca="1">(VLOOKUP(AK$72,INDIRECT($C$5&amp;"生成成长"),2))/((VLOOKUP($B227,INDIRECT($B$5&amp;"生成成长"),4))/(VLOOKUP(AK$72,INDIRECT($C$5&amp;"生成成长"),5))*(VLOOKUP($B$5,标准坦克设计!$B$24:$U$30,MATCH("对"&amp;LEFT($C$5,2)&amp;"输出",标准坦克设计!$B$23:$U$23,0)))*(VLOOKUP($B227,INDIRECT($B$5&amp;"生成成长"),3))*(VLOOKUP($B$5,标准坦克设计!$B$14:$K$20,9)/30))</f>
        <v>4.7919326639850741</v>
      </c>
      <c r="AL227" s="173">
        <f ca="1">(VLOOKUP(AL$72,INDIRECT($C$5&amp;"生成成长"),2))/((VLOOKUP($B227,INDIRECT($B$5&amp;"生成成长"),4))/(VLOOKUP(AL$72,INDIRECT($C$5&amp;"生成成长"),5))*(VLOOKUP($B$5,标准坦克设计!$B$24:$U$30,MATCH("对"&amp;LEFT($C$5,2)&amp;"输出",标准坦克设计!$B$23:$U$23,0)))*(VLOOKUP($B227,INDIRECT($B$5&amp;"生成成长"),3))*(VLOOKUP($B$5,标准坦克设计!$B$14:$K$20,9)/30))</f>
        <v>5.2059811653214174</v>
      </c>
      <c r="AM227" s="173">
        <f ca="1">(VLOOKUP(AM$72,INDIRECT($C$5&amp;"生成成长"),2))/((VLOOKUP($B227,INDIRECT($B$5&amp;"生成成长"),4))/(VLOOKUP(AM$72,INDIRECT($C$5&amp;"生成成长"),5))*(VLOOKUP($B$5,标准坦克设计!$B$24:$U$30,MATCH("对"&amp;LEFT($C$5,2)&amp;"输出",标准坦克设计!$B$23:$U$23,0)))*(VLOOKUP($B227,INDIRECT($B$5&amp;"生成成长"),3))*(VLOOKUP($B$5,标准坦克设计!$B$14:$K$20,9)/30))</f>
        <v>5.6371842185022043</v>
      </c>
      <c r="AN227" s="173">
        <f ca="1">(VLOOKUP(AN$72,INDIRECT($C$5&amp;"生成成长"),2))/((VLOOKUP($B227,INDIRECT($B$5&amp;"生成成长"),4))/(VLOOKUP(AN$72,INDIRECT($C$5&amp;"生成成长"),5))*(VLOOKUP($B$5,标准坦克设计!$B$24:$U$30,MATCH("对"&amp;LEFT($C$5,2)&amp;"输出",标准坦克设计!$B$23:$U$23,0)))*(VLOOKUP($B227,INDIRECT($B$5&amp;"生成成长"),3))*(VLOOKUP($B$5,标准坦克设计!$B$14:$K$20,9)/30))</f>
        <v>6.0855418235274357</v>
      </c>
      <c r="AO227" s="173">
        <f ca="1">(VLOOKUP(AO$72,INDIRECT($C$5&amp;"生成成长"),2))/((VLOOKUP($B227,INDIRECT($B$5&amp;"生成成长"),4))/(VLOOKUP(AO$72,INDIRECT($C$5&amp;"生成成长"),5))*(VLOOKUP($B$5,标准坦克设计!$B$24:$U$30,MATCH("对"&amp;LEFT($C$5,2)&amp;"输出",标准坦克设计!$B$23:$U$23,0)))*(VLOOKUP($B227,INDIRECT($B$5&amp;"生成成长"),3))*(VLOOKUP($B$5,标准坦克设计!$B$14:$K$20,9)/30))</f>
        <v>6.5510539803971097</v>
      </c>
      <c r="AP227" s="173">
        <f ca="1">(VLOOKUP(AP$72,INDIRECT($C$5&amp;"生成成长"),2))/((VLOOKUP($B227,INDIRECT($B$5&amp;"生成成长"),4))/(VLOOKUP(AP$72,INDIRECT($C$5&amp;"生成成长"),5))*(VLOOKUP($B$5,标准坦克设计!$B$24:$U$30,MATCH("对"&amp;LEFT($C$5,2)&amp;"输出",标准坦克设计!$B$23:$U$23,0)))*(VLOOKUP($B227,INDIRECT($B$5&amp;"生成成长"),3))*(VLOOKUP($B$5,标准坦克设计!$B$14:$K$20,9)/30))</f>
        <v>7.0337206891112274</v>
      </c>
      <c r="AQ227" s="173">
        <f ca="1">(VLOOKUP(AQ$72,INDIRECT($C$5&amp;"生成成长"),2))/((VLOOKUP($B227,INDIRECT($B$5&amp;"生成成长"),4))/(VLOOKUP(AQ$72,INDIRECT($C$5&amp;"生成成长"),5))*(VLOOKUP($B$5,标准坦克设计!$B$24:$U$30,MATCH("对"&amp;LEFT($C$5,2)&amp;"输出",标准坦克设计!$B$23:$U$23,0)))*(VLOOKUP($B227,INDIRECT($B$5&amp;"生成成长"),3))*(VLOOKUP($B$5,标准坦克设计!$B$14:$K$20,9)/30))</f>
        <v>7.5335419496697877</v>
      </c>
      <c r="AR227" s="173">
        <f ca="1">(VLOOKUP(AR$72,INDIRECT($C$5&amp;"生成成长"),2))/((VLOOKUP($B227,INDIRECT($B$5&amp;"生成成长"),4))/(VLOOKUP(AR$72,INDIRECT($C$5&amp;"生成成长"),5))*(VLOOKUP($B$5,标准坦克设计!$B$24:$U$30,MATCH("对"&amp;LEFT($C$5,2)&amp;"输出",标准坦克设计!$B$23:$U$23,0)))*(VLOOKUP($B227,INDIRECT($B$5&amp;"生成成长"),3))*(VLOOKUP($B$5,标准坦克设计!$B$14:$K$20,9)/30))</f>
        <v>8.0505177620727935</v>
      </c>
      <c r="AS227" s="173">
        <f ca="1">(VLOOKUP(AS$72,INDIRECT($C$5&amp;"生成成长"),2))/((VLOOKUP($B227,INDIRECT($B$5&amp;"生成成长"),4))/(VLOOKUP(AS$72,INDIRECT($C$5&amp;"生成成长"),5))*(VLOOKUP($B$5,标准坦克设计!$B$24:$U$30,MATCH("对"&amp;LEFT($C$5,2)&amp;"输出",标准坦克设计!$B$23:$U$23,0)))*(VLOOKUP($B227,INDIRECT($B$5&amp;"生成成长"),3))*(VLOOKUP($B$5,标准坦克设计!$B$14:$K$20,9)/30))</f>
        <v>8.5846481263202428</v>
      </c>
      <c r="AT227" s="173">
        <f ca="1">(VLOOKUP(AT$72,INDIRECT($C$5&amp;"生成成长"),2))/((VLOOKUP($B227,INDIRECT($B$5&amp;"生成成长"),4))/(VLOOKUP(AT$72,INDIRECT($C$5&amp;"生成成长"),5))*(VLOOKUP($B$5,标准坦克设计!$B$24:$U$30,MATCH("对"&amp;LEFT($C$5,2)&amp;"输出",标准坦克设计!$B$23:$U$23,0)))*(VLOOKUP($B227,INDIRECT($B$5&amp;"生成成长"),3))*(VLOOKUP($B$5,标准坦克设计!$B$14:$K$20,9)/30))</f>
        <v>9.1359330424121339</v>
      </c>
      <c r="AU227" s="173">
        <f ca="1">(VLOOKUP(AU$72,INDIRECT($C$5&amp;"生成成长"),2))/((VLOOKUP($B227,INDIRECT($B$5&amp;"生成成长"),4))/(VLOOKUP(AU$72,INDIRECT($C$5&amp;"生成成长"),5))*(VLOOKUP($B$5,标准坦克设计!$B$24:$U$30,MATCH("对"&amp;LEFT($C$5,2)&amp;"输出",标准坦克设计!$B$23:$U$23,0)))*(VLOOKUP($B227,INDIRECT($B$5&amp;"生成成长"),3))*(VLOOKUP($B$5,标准坦克设计!$B$14:$K$20,9)/30))</f>
        <v>9.7043725103484704</v>
      </c>
      <c r="AV227" s="173">
        <f ca="1">(VLOOKUP(AV$72,INDIRECT($C$5&amp;"生成成长"),2))/((VLOOKUP($B227,INDIRECT($B$5&amp;"生成成长"),4))/(VLOOKUP(AV$72,INDIRECT($C$5&amp;"生成成长"),5))*(VLOOKUP($B$5,标准坦克设计!$B$24:$U$30,MATCH("对"&amp;LEFT($C$5,2)&amp;"输出",标准坦克设计!$B$23:$U$23,0)))*(VLOOKUP($B227,INDIRECT($B$5&amp;"生成成长"),3))*(VLOOKUP($B$5,标准坦克设计!$B$14:$K$20,9)/30))</f>
        <v>0.98702471025633387</v>
      </c>
      <c r="AW227" s="173">
        <f ca="1">(VLOOKUP(AW$72,INDIRECT($C$5&amp;"生成成长"),2))/((VLOOKUP($B227,INDIRECT($B$5&amp;"生成成长"),4))/(VLOOKUP(AW$72,INDIRECT($C$5&amp;"生成成长"),5))*(VLOOKUP($B$5,标准坦克设计!$B$24:$U$30,MATCH("对"&amp;LEFT($C$5,2)&amp;"输出",标准坦克设计!$B$23:$U$23,0)))*(VLOOKUP($B227,INDIRECT($B$5&amp;"生成成长"),3))*(VLOOKUP($B$5,标准坦克设计!$B$14:$K$20,9)/30))</f>
        <v>1.1253953102577963</v>
      </c>
      <c r="AX227" s="173">
        <f ca="1">(VLOOKUP(AX$72,INDIRECT($C$5&amp;"生成成长"),2))/((VLOOKUP($B227,INDIRECT($B$5&amp;"生成成长"),4))/(VLOOKUP(AX$72,INDIRECT($C$5&amp;"生成成长"),5))*(VLOOKUP($B$5,标准坦克设计!$B$24:$U$30,MATCH("对"&amp;LEFT($C$5,2)&amp;"输出",标准坦克设计!$B$23:$U$23,0)))*(VLOOKUP($B227,INDIRECT($B$5&amp;"生成成长"),3))*(VLOOKUP($B$5,标准坦克设计!$B$14:$K$20,9)/30))</f>
        <v>1.2728393922265679</v>
      </c>
      <c r="AY227" s="173">
        <f ca="1">(VLOOKUP(AY$72,INDIRECT($C$5&amp;"生成成长"),2))/((VLOOKUP($B227,INDIRECT($B$5&amp;"生成成长"),4))/(VLOOKUP(AY$72,INDIRECT($C$5&amp;"生成成长"),5))*(VLOOKUP($B$5,标准坦克设计!$B$24:$U$30,MATCH("对"&amp;LEFT($C$5,2)&amp;"输出",标准坦克设计!$B$23:$U$23,0)))*(VLOOKUP($B227,INDIRECT($B$5&amp;"生成成长"),3))*(VLOOKUP($B$5,标准坦克设计!$B$14:$K$20,9)/30))</f>
        <v>1.4293569561626482</v>
      </c>
      <c r="AZ227" s="173">
        <f ca="1">(VLOOKUP(AZ$72,INDIRECT($C$5&amp;"生成成长"),2))/((VLOOKUP($B227,INDIRECT($B$5&amp;"生成成长"),4))/(VLOOKUP(AZ$72,INDIRECT($C$5&amp;"生成成长"),5))*(VLOOKUP($B$5,标准坦克设计!$B$24:$U$30,MATCH("对"&amp;LEFT($C$5,2)&amp;"输出",标准坦克设计!$B$23:$U$23,0)))*(VLOOKUP($B227,INDIRECT($B$5&amp;"生成成长"),3))*(VLOOKUP($B$5,标准坦克设计!$B$14:$K$20,9)/30))</f>
        <v>1.5949480020660378</v>
      </c>
      <c r="BA227" s="173">
        <f ca="1">(VLOOKUP(BA$72,INDIRECT($C$5&amp;"生成成长"),2))/((VLOOKUP($B227,INDIRECT($B$5&amp;"生成成长"),4))/(VLOOKUP(BA$72,INDIRECT($C$5&amp;"生成成长"),5))*(VLOOKUP($B$5,标准坦克设计!$B$24:$U$30,MATCH("对"&amp;LEFT($C$5,2)&amp;"输出",标准坦克设计!$B$23:$U$23,0)))*(VLOOKUP($B227,INDIRECT($B$5&amp;"生成成长"),3))*(VLOOKUP($B$5,标准坦克设计!$B$14:$K$20,9)/30))</f>
        <v>1.7696125299367365</v>
      </c>
      <c r="BB227" s="173">
        <f ca="1">(VLOOKUP(BB$72,INDIRECT($C$5&amp;"生成成长"),2))/((VLOOKUP($B227,INDIRECT($B$5&amp;"生成成长"),4))/(VLOOKUP(BB$72,INDIRECT($C$5&amp;"生成成长"),5))*(VLOOKUP($B$5,标准坦克设计!$B$24:$U$30,MATCH("对"&amp;LEFT($C$5,2)&amp;"输出",标准坦克设计!$B$23:$U$23,0)))*(VLOOKUP($B227,INDIRECT($B$5&amp;"生成成长"),3))*(VLOOKUP($B$5,标准坦克设计!$B$14:$K$20,9)/30))</f>
        <v>1.9533505397747442</v>
      </c>
      <c r="BC227" s="173">
        <f ca="1">(VLOOKUP(BC$72,INDIRECT($C$5&amp;"生成成长"),2))/((VLOOKUP($B227,INDIRECT($B$5&amp;"生成成长"),4))/(VLOOKUP(BC$72,INDIRECT($C$5&amp;"生成成长"),5))*(VLOOKUP($B$5,标准坦克设计!$B$24:$U$30,MATCH("对"&amp;LEFT($C$5,2)&amp;"输出",标准坦克设计!$B$23:$U$23,0)))*(VLOOKUP($B227,INDIRECT($B$5&amp;"生成成长"),3))*(VLOOKUP($B$5,标准坦克设计!$B$14:$K$20,9)/30))</f>
        <v>2.1461620315800607</v>
      </c>
      <c r="BD227" s="173">
        <f ca="1">(VLOOKUP(BD$72,INDIRECT($C$5&amp;"生成成长"),2))/((VLOOKUP($B227,INDIRECT($B$5&amp;"生成成长"),4))/(VLOOKUP(BD$72,INDIRECT($C$5&amp;"生成成长"),5))*(VLOOKUP($B$5,标准坦克设计!$B$24:$U$30,MATCH("对"&amp;LEFT($C$5,2)&amp;"输出",标准坦克设计!$B$23:$U$23,0)))*(VLOOKUP($B227,INDIRECT($B$5&amp;"生成成长"),3))*(VLOOKUP($B$5,标准坦克设计!$B$14:$K$20,9)/30))</f>
        <v>2.3739206062750906</v>
      </c>
      <c r="BE227" s="173">
        <f ca="1">(VLOOKUP(BE$72,INDIRECT($C$5&amp;"生成成长"),2))/((VLOOKUP($B227,INDIRECT($B$5&amp;"生成成长"),4))/(VLOOKUP(BE$72,INDIRECT($C$5&amp;"生成成长"),5))*(VLOOKUP($B$5,标准坦克设计!$B$24:$U$30,MATCH("对"&amp;LEFT($C$5,2)&amp;"输出",标准坦克设计!$B$23:$U$23,0)))*(VLOOKUP($B227,INDIRECT($B$5&amp;"生成成长"),3))*(VLOOKUP($B$5,标准坦克设计!$B$14:$K$20,9)/30))</f>
        <v>2.6131628065849966</v>
      </c>
      <c r="BF227" s="173">
        <f ca="1">(VLOOKUP(BF$72,INDIRECT($C$5&amp;"生成成长"),2))/((VLOOKUP($B227,INDIRECT($B$5&amp;"生成成长"),4))/(VLOOKUP(BF$72,INDIRECT($C$5&amp;"生成成长"),5))*(VLOOKUP($B$5,标准坦克设计!$B$24:$U$30,MATCH("对"&amp;LEFT($C$5,2)&amp;"输出",标准坦克设计!$B$23:$U$23,0)))*(VLOOKUP($B227,INDIRECT($B$5&amp;"生成成长"),3))*(VLOOKUP($B$5,标准坦克设计!$B$14:$K$20,9)/30))</f>
        <v>2.8638886325097777</v>
      </c>
      <c r="BG227" s="173">
        <f ca="1">(VLOOKUP(BG$72,INDIRECT($C$5&amp;"生成成长"),2))/((VLOOKUP($B227,INDIRECT($B$5&amp;"生成成长"),4))/(VLOOKUP(BG$72,INDIRECT($C$5&amp;"生成成长"),5))*(VLOOKUP($B$5,标准坦克设计!$B$24:$U$30,MATCH("对"&amp;LEFT($C$5,2)&amp;"输出",标准坦克设计!$B$23:$U$23,0)))*(VLOOKUP($B227,INDIRECT($B$5&amp;"生成成长"),3))*(VLOOKUP($B$5,标准坦克设计!$B$14:$K$20,9)/30))</f>
        <v>3.1260980840494343</v>
      </c>
      <c r="BH227" s="173">
        <f ca="1">(VLOOKUP(BH$72,INDIRECT($C$5&amp;"生成成长"),2))/((VLOOKUP($B227,INDIRECT($B$5&amp;"生成成长"),4))/(VLOOKUP(BH$72,INDIRECT($C$5&amp;"生成成长"),5))*(VLOOKUP($B$5,标准坦克设计!$B$24:$U$30,MATCH("对"&amp;LEFT($C$5,2)&amp;"输出",标准坦克设计!$B$23:$U$23,0)))*(VLOOKUP($B227,INDIRECT($B$5&amp;"生成成长"),3))*(VLOOKUP($B$5,标准坦克设计!$B$14:$K$20,9)/30))</f>
        <v>1.5110182938684296</v>
      </c>
      <c r="BI227" s="173">
        <f ca="1">(VLOOKUP(BI$72,INDIRECT($C$5&amp;"生成成长"),2))/((VLOOKUP($B227,INDIRECT($B$5&amp;"生成成长"),4))/(VLOOKUP(BI$72,INDIRECT($C$5&amp;"生成成长"),5))*(VLOOKUP($B$5,标准坦克设计!$B$24:$U$30,MATCH("对"&amp;LEFT($C$5,2)&amp;"输出",标准坦克设计!$B$23:$U$23,0)))*(VLOOKUP($B227,INDIRECT($B$5&amp;"生成成长"),3))*(VLOOKUP($B$5,标准坦克设计!$B$14:$K$20,9)/30))</f>
        <v>1.7030500333171805</v>
      </c>
      <c r="BJ227" s="173">
        <f ca="1">(VLOOKUP(BJ$72,INDIRECT($C$5&amp;"生成成长"),2))/((VLOOKUP($B227,INDIRECT($B$5&amp;"生成成长"),4))/(VLOOKUP(BJ$72,INDIRECT($C$5&amp;"生成成长"),5))*(VLOOKUP($B$5,标准坦克设计!$B$24:$U$30,MATCH("对"&amp;LEFT($C$5,2)&amp;"输出",标准坦克设计!$B$23:$U$23,0)))*(VLOOKUP($B227,INDIRECT($B$5&amp;"生成成长"),3))*(VLOOKUP($B$5,标准坦克设计!$B$14:$K$20,9)/30))</f>
        <v>1.9065653983808069</v>
      </c>
      <c r="BK227" s="173">
        <f ca="1">(VLOOKUP(BK$72,INDIRECT($C$5&amp;"生成成长"),2))/((VLOOKUP($B227,INDIRECT($B$5&amp;"生成成长"),4))/(VLOOKUP(BK$72,INDIRECT($C$5&amp;"生成成长"),5))*(VLOOKUP($B$5,标准坦克设计!$B$24:$U$30,MATCH("对"&amp;LEFT($C$5,2)&amp;"输出",标准坦克设计!$B$23:$U$23,0)))*(VLOOKUP($B227,INDIRECT($B$5&amp;"生成成长"),3))*(VLOOKUP($B$5,标准坦克设计!$B$14:$K$20,9)/30))</f>
        <v>2.1215643890593086</v>
      </c>
      <c r="BL227" s="173">
        <f ca="1">(VLOOKUP(BL$72,INDIRECT($C$5&amp;"生成成长"),2))/((VLOOKUP($B227,INDIRECT($B$5&amp;"生成成长"),4))/(VLOOKUP(BL$72,INDIRECT($C$5&amp;"生成成长"),5))*(VLOOKUP($B$5,标准坦克设计!$B$24:$U$30,MATCH("对"&amp;LEFT($C$5,2)&amp;"输出",标准坦克设计!$B$23:$U$23,0)))*(VLOOKUP($B227,INDIRECT($B$5&amp;"生成成长"),3))*(VLOOKUP($B$5,标准坦克设计!$B$14:$K$20,9)/30))</f>
        <v>2.3480470053526865</v>
      </c>
      <c r="BM227" s="173">
        <f ca="1">(VLOOKUP(BM$72,INDIRECT($C$5&amp;"生成成长"),2))/((VLOOKUP($B227,INDIRECT($B$5&amp;"生成成长"),4))/(VLOOKUP(BM$72,INDIRECT($C$5&amp;"生成成长"),5))*(VLOOKUP($B$5,标准坦克设计!$B$24:$U$30,MATCH("对"&amp;LEFT($C$5,2)&amp;"输出",标准坦克设计!$B$23:$U$23,0)))*(VLOOKUP($B227,INDIRECT($B$5&amp;"生成成长"),3))*(VLOOKUP($B$5,标准坦克设计!$B$14:$K$20,9)/30))</f>
        <v>2.5860132472609387</v>
      </c>
      <c r="BN227" s="173">
        <f ca="1">(VLOOKUP(BN$72,INDIRECT($C$5&amp;"生成成长"),2))/((VLOOKUP($B227,INDIRECT($B$5&amp;"生成成长"),4))/(VLOOKUP(BN$72,INDIRECT($C$5&amp;"生成成长"),5))*(VLOOKUP($B$5,标准坦克设计!$B$24:$U$30,MATCH("对"&amp;LEFT($C$5,2)&amp;"输出",标准坦克设计!$B$23:$U$23,0)))*(VLOOKUP($B227,INDIRECT($B$5&amp;"生成成长"),3))*(VLOOKUP($B$5,标准坦克设计!$B$14:$K$20,9)/30))</f>
        <v>2.8354631147840674</v>
      </c>
      <c r="BO227" s="173">
        <f ca="1">(VLOOKUP(BO$72,INDIRECT($C$5&amp;"生成成长"),2))/((VLOOKUP($B227,INDIRECT($B$5&amp;"生成成长"),4))/(VLOOKUP(BO$72,INDIRECT($C$5&amp;"生成成长"),5))*(VLOOKUP($B$5,标准坦克设计!$B$24:$U$30,MATCH("对"&amp;LEFT($C$5,2)&amp;"输出",标准坦克设计!$B$23:$U$23,0)))*(VLOOKUP($B227,INDIRECT($B$5&amp;"生成成长"),3))*(VLOOKUP($B$5,标准坦克设计!$B$14:$K$20,9)/30))</f>
        <v>3.0963966079220713</v>
      </c>
      <c r="BP227" s="173">
        <f ca="1">(VLOOKUP(BP$72,INDIRECT($C$5&amp;"生成成长"),2))/((VLOOKUP($B227,INDIRECT($B$5&amp;"生成成长"),4))/(VLOOKUP(BP$72,INDIRECT($C$5&amp;"生成成长"),5))*(VLOOKUP($B$5,标准坦克设计!$B$24:$U$30,MATCH("对"&amp;LEFT($C$5,2)&amp;"输出",标准坦克设计!$B$23:$U$23,0)))*(VLOOKUP($B227,INDIRECT($B$5&amp;"生成成长"),3))*(VLOOKUP($B$5,标准坦克设计!$B$14:$K$20,9)/30))</f>
        <v>3.3688137266749512</v>
      </c>
      <c r="BQ227" s="173">
        <f ca="1">(VLOOKUP(BQ$72,INDIRECT($C$5&amp;"生成成长"),2))/((VLOOKUP($B227,INDIRECT($B$5&amp;"生成成长"),4))/(VLOOKUP(BQ$72,INDIRECT($C$5&amp;"生成成长"),5))*(VLOOKUP($B$5,标准坦克设计!$B$24:$U$30,MATCH("对"&amp;LEFT($C$5,2)&amp;"输出",标准坦克设计!$B$23:$U$23,0)))*(VLOOKUP($B227,INDIRECT($B$5&amp;"生成成长"),3))*(VLOOKUP($B$5,标准坦克设计!$B$14:$K$20,9)/30))</f>
        <v>3.6527144710427049</v>
      </c>
      <c r="BR227" s="173">
        <f ca="1">(VLOOKUP(BR$72,INDIRECT($C$5&amp;"生成成长"),2))/((VLOOKUP($B227,INDIRECT($B$5&amp;"生成成长"),4))/(VLOOKUP(BR$72,INDIRECT($C$5&amp;"生成成长"),5))*(VLOOKUP($B$5,标准坦克设计!$B$24:$U$30,MATCH("对"&amp;LEFT($C$5,2)&amp;"输出",标准坦克设计!$B$23:$U$23,0)))*(VLOOKUP($B227,INDIRECT($B$5&amp;"生成成长"),3))*(VLOOKUP($B$5,标准坦克设计!$B$14:$K$20,9)/30))</f>
        <v>3.9816281923576575</v>
      </c>
      <c r="BS227" s="173">
        <f ca="1">(VLOOKUP(BS$72,INDIRECT($C$5&amp;"生成成长"),2))/((VLOOKUP($B227,INDIRECT($B$5&amp;"生成成长"),4))/(VLOOKUP(BS$72,INDIRECT($C$5&amp;"生成成长"),5))*(VLOOKUP($B$5,标准坦克设计!$B$24:$U$30,MATCH("对"&amp;LEFT($C$5,2)&amp;"输出",标准坦克设计!$B$23:$U$23,0)))*(VLOOKUP($B227,INDIRECT($B$5&amp;"生成成长"),3))*(VLOOKUP($B$5,标准坦克设计!$B$14:$K$20,9)/30))</f>
        <v>4.3247192292465293</v>
      </c>
      <c r="BT227" s="173">
        <f ca="1">(VLOOKUP(BT$72,INDIRECT($C$5&amp;"生成成长"),2))/((VLOOKUP($B227,INDIRECT($B$5&amp;"生成成长"),4))/(VLOOKUP(BT$72,INDIRECT($C$5&amp;"生成成长"),5))*(VLOOKUP($B$5,标准坦克设计!$B$24:$U$30,MATCH("对"&amp;LEFT($C$5,2)&amp;"输出",标准坦克设计!$B$23:$U$23,0)))*(VLOOKUP($B227,INDIRECT($B$5&amp;"生成成长"),3))*(VLOOKUP($B$5,标准坦克设计!$B$14:$K$20,9)/30))</f>
        <v>4.6819875817093219</v>
      </c>
      <c r="BU227" s="173">
        <f ca="1">(VLOOKUP(BU$72,INDIRECT($C$5&amp;"生成成长"),2))/((VLOOKUP($B227,INDIRECT($B$5&amp;"生成成长"),4))/(VLOOKUP(BU$72,INDIRECT($C$5&amp;"生成成长"),5))*(VLOOKUP($B$5,标准坦克设计!$B$24:$U$30,MATCH("对"&amp;LEFT($C$5,2)&amp;"输出",标准坦克设计!$B$23:$U$23,0)))*(VLOOKUP($B227,INDIRECT($B$5&amp;"生成成长"),3))*(VLOOKUP($B$5,标准坦克设计!$B$14:$K$20,9)/30))</f>
        <v>5.0534332497460346</v>
      </c>
      <c r="BV227" s="173">
        <f ca="1">(VLOOKUP(BV$72,INDIRECT($C$5&amp;"生成成长"),2))/((VLOOKUP($B227,INDIRECT($B$5&amp;"生成成长"),4))/(VLOOKUP(BV$72,INDIRECT($C$5&amp;"生成成长"),5))*(VLOOKUP($B$5,标准坦克设计!$B$24:$U$30,MATCH("对"&amp;LEFT($C$5,2)&amp;"输出",标准坦克设计!$B$23:$U$23,0)))*(VLOOKUP($B227,INDIRECT($B$5&amp;"生成成长"),3))*(VLOOKUP($B$5,标准坦克设计!$B$14:$K$20,9)/30))</f>
        <v>5.4390562333566681</v>
      </c>
      <c r="BW227" s="173">
        <f ca="1">(VLOOKUP(BW$72,INDIRECT($C$5&amp;"生成成长"),2))/((VLOOKUP($B227,INDIRECT($B$5&amp;"生成成长"),4))/(VLOOKUP(BW$72,INDIRECT($C$5&amp;"生成成长"),5))*(VLOOKUP($B$5,标准坦克设计!$B$24:$U$30,MATCH("对"&amp;LEFT($C$5,2)&amp;"输出",标准坦克设计!$B$23:$U$23,0)))*(VLOOKUP($B227,INDIRECT($B$5&amp;"生成成长"),3))*(VLOOKUP($B$5,标准坦克设计!$B$14:$K$20,9)/30))</f>
        <v>2.4788327415221012</v>
      </c>
      <c r="BX227" s="173">
        <f ca="1">(VLOOKUP(BX$72,INDIRECT($C$5&amp;"生成成长"),2))/((VLOOKUP($B227,INDIRECT($B$5&amp;"生成成长"),4))/(VLOOKUP(BX$72,INDIRECT($C$5&amp;"生成成长"),5))*(VLOOKUP($B$5,标准坦克设计!$B$24:$U$30,MATCH("对"&amp;LEFT($C$5,2)&amp;"输出",标准坦克设计!$B$23:$U$23,0)))*(VLOOKUP($B227,INDIRECT($B$5&amp;"生成成长"),3))*(VLOOKUP($B$5,标准坦克设计!$B$14:$K$20,9)/30))</f>
        <v>2.7510372005413717</v>
      </c>
      <c r="BY227" s="173">
        <f ca="1">(VLOOKUP(BY$72,INDIRECT($C$5&amp;"生成成长"),2))/((VLOOKUP($B227,INDIRECT($B$5&amp;"生成成长"),4))/(VLOOKUP(BY$72,INDIRECT($C$5&amp;"生成成长"),5))*(VLOOKUP($B$5,标准坦克设计!$B$24:$U$30,MATCH("对"&amp;LEFT($C$5,2)&amp;"输出",标准坦克设计!$B$23:$U$23,0)))*(VLOOKUP($B227,INDIRECT($B$5&amp;"生成成长"),3))*(VLOOKUP($B$5,标准坦克设计!$B$14:$K$20,9)/30))</f>
        <v>3.037418975134563</v>
      </c>
      <c r="BZ227" s="173">
        <f ca="1">(VLOOKUP(BZ$72,INDIRECT($C$5&amp;"生成成长"),2))/((VLOOKUP($B227,INDIRECT($B$5&amp;"生成成长"),4))/(VLOOKUP(BZ$72,INDIRECT($C$5&amp;"生成成长"),5))*(VLOOKUP($B$5,标准坦克设计!$B$24:$U$30,MATCH("对"&amp;LEFT($C$5,2)&amp;"输出",标准坦克设计!$B$23:$U$23,0)))*(VLOOKUP($B227,INDIRECT($B$5&amp;"生成成长"),3))*(VLOOKUP($B$5,标准坦克设计!$B$14:$K$20,9)/30))</f>
        <v>3.3379780653016744</v>
      </c>
      <c r="CA227" s="173">
        <f ca="1">(VLOOKUP(CA$72,INDIRECT($C$5&amp;"生成成长"),2))/((VLOOKUP($B227,INDIRECT($B$5&amp;"生成成长"),4))/(VLOOKUP(CA$72,INDIRECT($C$5&amp;"生成成长"),5))*(VLOOKUP($B$5,标准坦克设计!$B$24:$U$30,MATCH("对"&amp;LEFT($C$5,2)&amp;"输出",标准坦克设计!$B$23:$U$23,0)))*(VLOOKUP($B227,INDIRECT($B$5&amp;"生成成长"),3))*(VLOOKUP($B$5,标准坦克设计!$B$14:$K$20,9)/30))</f>
        <v>3.6527144710427049</v>
      </c>
      <c r="CB227" s="173">
        <f ca="1">(VLOOKUP(CB$72,INDIRECT($C$5&amp;"生成成长"),2))/((VLOOKUP($B227,INDIRECT($B$5&amp;"生成成长"),4))/(VLOOKUP(CB$72,INDIRECT($C$5&amp;"生成成长"),5))*(VLOOKUP($B$5,标准坦克设计!$B$24:$U$30,MATCH("对"&amp;LEFT($C$5,2)&amp;"输出",标准坦克设计!$B$23:$U$23,0)))*(VLOOKUP($B227,INDIRECT($B$5&amp;"生成成长"),3))*(VLOOKUP($B$5,标准坦克设计!$B$14:$K$20,9)/30))</f>
        <v>3.9816281923576575</v>
      </c>
      <c r="CC227" s="173">
        <f ca="1">(VLOOKUP(CC$72,INDIRECT($C$5&amp;"生成成长"),2))/((VLOOKUP($B227,INDIRECT($B$5&amp;"生成成长"),4))/(VLOOKUP(CC$72,INDIRECT($C$5&amp;"生成成长"),5))*(VLOOKUP($B$5,标准坦克设计!$B$24:$U$30,MATCH("对"&amp;LEFT($C$5,2)&amp;"输出",标准坦克设计!$B$23:$U$23,0)))*(VLOOKUP($B227,INDIRECT($B$5&amp;"生成成长"),3))*(VLOOKUP($B$5,标准坦克设计!$B$14:$K$20,9)/30))</f>
        <v>4.3247192292465293</v>
      </c>
      <c r="CD227" s="173">
        <f ca="1">(VLOOKUP(CD$72,INDIRECT($C$5&amp;"生成成长"),2))/((VLOOKUP($B227,INDIRECT($B$5&amp;"生成成长"),4))/(VLOOKUP(CD$72,INDIRECT($C$5&amp;"生成成长"),5))*(VLOOKUP($B$5,标准坦克设计!$B$24:$U$30,MATCH("对"&amp;LEFT($C$5,2)&amp;"输出",标准坦克设计!$B$23:$U$23,0)))*(VLOOKUP($B227,INDIRECT($B$5&amp;"生成成长"),3))*(VLOOKUP($B$5,标准坦克设计!$B$14:$K$20,9)/30))</f>
        <v>4.6819875817093219</v>
      </c>
      <c r="CE227" s="173">
        <f ca="1">(VLOOKUP(CE$72,INDIRECT($C$5&amp;"生成成长"),2))/((VLOOKUP($B227,INDIRECT($B$5&amp;"生成成长"),4))/(VLOOKUP(CE$72,INDIRECT($C$5&amp;"生成成长"),5))*(VLOOKUP($B$5,标准坦克设计!$B$24:$U$30,MATCH("对"&amp;LEFT($C$5,2)&amp;"输出",标准坦克设计!$B$23:$U$23,0)))*(VLOOKUP($B227,INDIRECT($B$5&amp;"生成成长"),3))*(VLOOKUP($B$5,标准坦克设计!$B$14:$K$20,9)/30))</f>
        <v>5.0534332497460346</v>
      </c>
      <c r="CF227" s="173">
        <f ca="1">(VLOOKUP(CF$72,INDIRECT($C$5&amp;"生成成长"),2))/((VLOOKUP($B227,INDIRECT($B$5&amp;"生成成长"),4))/(VLOOKUP(CF$72,INDIRECT($C$5&amp;"生成成长"),5))*(VLOOKUP($B$5,标准坦克设计!$B$24:$U$30,MATCH("对"&amp;LEFT($C$5,2)&amp;"输出",标准坦克设计!$B$23:$U$23,0)))*(VLOOKUP($B227,INDIRECT($B$5&amp;"生成成长"),3))*(VLOOKUP($B$5,标准坦克设计!$B$14:$K$20,9)/30))</f>
        <v>5.4390562333566681</v>
      </c>
      <c r="CG227" s="173">
        <f ca="1">(VLOOKUP(CG$72,INDIRECT($C$5&amp;"生成成长"),2))/((VLOOKUP($B227,INDIRECT($B$5&amp;"生成成长"),4))/(VLOOKUP(CG$72,INDIRECT($C$5&amp;"生成成长"),5))*(VLOOKUP($B$5,标准坦克设计!$B$24:$U$30,MATCH("对"&amp;LEFT($C$5,2)&amp;"输出",标准坦克设计!$B$23:$U$23,0)))*(VLOOKUP($B227,INDIRECT($B$5&amp;"生成成长"),3))*(VLOOKUP($B$5,标准坦克设计!$B$14:$K$20,9)/30))</f>
        <v>5.8388565325412225</v>
      </c>
      <c r="CH227" s="173">
        <f ca="1">(VLOOKUP(CH$72,INDIRECT($C$5&amp;"生成成长"),2))/((VLOOKUP($B227,INDIRECT($B$5&amp;"生成成长"),4))/(VLOOKUP(CH$72,INDIRECT($C$5&amp;"生成成长"),5))*(VLOOKUP($B$5,标准坦克设计!$B$24:$U$30,MATCH("对"&amp;LEFT($C$5,2)&amp;"输出",标准坦克设计!$B$23:$U$23,0)))*(VLOOKUP($B227,INDIRECT($B$5&amp;"生成成长"),3))*(VLOOKUP($B$5,标准坦克设计!$B$14:$K$20,9)/30))</f>
        <v>6.2528341472996942</v>
      </c>
      <c r="CI227" s="173">
        <f ca="1">(VLOOKUP(CI$72,INDIRECT($C$5&amp;"生成成长"),2))/((VLOOKUP($B227,INDIRECT($B$5&amp;"生成成长"),4))/(VLOOKUP(CI$72,INDIRECT($C$5&amp;"生成成长"),5))*(VLOOKUP($B$5,标准坦克设计!$B$24:$U$30,MATCH("对"&amp;LEFT($C$5,2)&amp;"输出",标准坦克设计!$B$23:$U$23,0)))*(VLOOKUP($B227,INDIRECT($B$5&amp;"生成成长"),3))*(VLOOKUP($B$5,标准坦克设计!$B$14:$K$20,9)/30))</f>
        <v>6.7245843230218929</v>
      </c>
      <c r="CJ227" s="173">
        <f ca="1">(VLOOKUP(CJ$72,INDIRECT($C$5&amp;"生成成长"),2))/((VLOOKUP($B227,INDIRECT($B$5&amp;"生成成长"),4))/(VLOOKUP(CJ$72,INDIRECT($C$5&amp;"生成成长"),5))*(VLOOKUP($B$5,标准坦克设计!$B$24:$U$30,MATCH("对"&amp;LEFT($C$5,2)&amp;"输出",标准坦克设计!$B$23:$U$23,0)))*(VLOOKUP($B227,INDIRECT($B$5&amp;"生成成长"),3))*(VLOOKUP($B$5,标准坦克设计!$B$14:$K$20,9)/30))</f>
        <v>7.213489050588537</v>
      </c>
      <c r="CK227" s="173">
        <f ca="1">(VLOOKUP(CK$72,INDIRECT($C$5&amp;"生成成长"),2))/((VLOOKUP($B227,INDIRECT($B$5&amp;"生成成长"),4))/(VLOOKUP(CK$72,INDIRECT($C$5&amp;"生成成长"),5))*(VLOOKUP($B$5,标准坦克设计!$B$24:$U$30,MATCH("对"&amp;LEFT($C$5,2)&amp;"输出",标准坦克设计!$B$23:$U$23,0)))*(VLOOKUP($B227,INDIRECT($B$5&amp;"生成成长"),3))*(VLOOKUP($B$5,标准坦克设计!$B$14:$K$20,9)/30))</f>
        <v>7.7195483299996219</v>
      </c>
      <c r="CL227" s="173">
        <f ca="1">(VLOOKUP(CL$72,INDIRECT($C$5&amp;"生成成长"),2))/((VLOOKUP($B227,INDIRECT($B$5&amp;"生成成长"),4))/(VLOOKUP(CL$72,INDIRECT($C$5&amp;"生成成长"),5))*(VLOOKUP($B$5,标准坦克设计!$B$24:$U$30,MATCH("对"&amp;LEFT($C$5,2)&amp;"输出",标准坦克设计!$B$23:$U$23,0)))*(VLOOKUP($B227,INDIRECT($B$5&amp;"生成成长"),3))*(VLOOKUP($B$5,标准坦克设计!$B$14:$K$20,9)/30))</f>
        <v>8.242762161255154</v>
      </c>
      <c r="CM227" s="173">
        <f ca="1">(VLOOKUP(CM$72,INDIRECT($C$5&amp;"生成成长"),2))/((VLOOKUP($B227,INDIRECT($B$5&amp;"生成成长"),4))/(VLOOKUP(CM$72,INDIRECT($C$5&amp;"生成成长"),5))*(VLOOKUP($B$5,标准坦克设计!$B$24:$U$30,MATCH("对"&amp;LEFT($C$5,2)&amp;"输出",标准坦克设计!$B$23:$U$23,0)))*(VLOOKUP($B227,INDIRECT($B$5&amp;"生成成长"),3))*(VLOOKUP($B$5,标准坦克设计!$B$14:$K$20,9)/30))</f>
        <v>8.7831305443551244</v>
      </c>
      <c r="CN227" s="173">
        <f ca="1">(VLOOKUP(CN$72,INDIRECT($C$5&amp;"生成成长"),2))/((VLOOKUP($B227,INDIRECT($B$5&amp;"生成成长"),4))/(VLOOKUP(CN$72,INDIRECT($C$5&amp;"生成成长"),5))*(VLOOKUP($B$5,标准坦克设计!$B$24:$U$30,MATCH("对"&amp;LEFT($C$5,2)&amp;"输出",标准坦克设计!$B$23:$U$23,0)))*(VLOOKUP($B227,INDIRECT($B$5&amp;"生成成长"),3))*(VLOOKUP($B$5,标准坦克设计!$B$14:$K$20,9)/30))</f>
        <v>9.3406534792995455</v>
      </c>
      <c r="CO227" s="173">
        <f ca="1">(VLOOKUP(CO$72,INDIRECT($C$5&amp;"生成成长"),2))/((VLOOKUP($B227,INDIRECT($B$5&amp;"生成成长"),4))/(VLOOKUP(CO$72,INDIRECT($C$5&amp;"生成成长"),5))*(VLOOKUP($B$5,标准坦克设计!$B$24:$U$30,MATCH("对"&amp;LEFT($C$5,2)&amp;"输出",标准坦克设计!$B$23:$U$23,0)))*(VLOOKUP($B227,INDIRECT($B$5&amp;"生成成长"),3))*(VLOOKUP($B$5,标准坦克设计!$B$14:$K$20,9)/30))</f>
        <v>4.1857815366221098</v>
      </c>
      <c r="CP227" s="173">
        <f ca="1">(VLOOKUP(CP$72,INDIRECT($C$5&amp;"生成成长"),2))/((VLOOKUP($B227,INDIRECT($B$5&amp;"生成成长"),4))/(VLOOKUP(CP$72,INDIRECT($C$5&amp;"生成成长"),5))*(VLOOKUP($B$5,标准坦克设计!$B$24:$U$30,MATCH("对"&amp;LEFT($C$5,2)&amp;"输出",标准坦克设计!$B$23:$U$23,0)))*(VLOOKUP($B227,INDIRECT($B$5&amp;"生成成长"),3))*(VLOOKUP($B$5,标准坦克设计!$B$14:$K$20,9)/30))</f>
        <v>4.5733184578352226</v>
      </c>
      <c r="CQ227" s="173">
        <f ca="1">(VLOOKUP(CQ$72,INDIRECT($C$5&amp;"生成成长"),2))/((VLOOKUP($B227,INDIRECT($B$5&amp;"生成成长"),4))/(VLOOKUP(CQ$72,INDIRECT($C$5&amp;"生成成长"),5))*(VLOOKUP($B$5,标准坦克设计!$B$24:$U$30,MATCH("对"&amp;LEFT($C$5,2)&amp;"输出",标准坦克设计!$B$23:$U$23,0)))*(VLOOKUP($B227,INDIRECT($B$5&amp;"生成成长"),3))*(VLOOKUP($B$5,标准坦克设计!$B$14:$K$20,9)/30))</f>
        <v>4.9780099308927781</v>
      </c>
      <c r="CR227" s="173">
        <f ca="1">(VLOOKUP(CR$72,INDIRECT($C$5&amp;"生成成长"),2))/((VLOOKUP($B227,INDIRECT($B$5&amp;"生成成长"),4))/(VLOOKUP(CR$72,INDIRECT($C$5&amp;"生成成长"),5))*(VLOOKUP($B$5,标准坦克设计!$B$24:$U$30,MATCH("对"&amp;LEFT($C$5,2)&amp;"输出",标准坦克设计!$B$23:$U$23,0)))*(VLOOKUP($B227,INDIRECT($B$5&amp;"生成成长"),3))*(VLOOKUP($B$5,标准坦克设计!$B$14:$K$20,9)/30))</f>
        <v>5.3998559557947781</v>
      </c>
      <c r="CS227" s="173">
        <f ca="1">(VLOOKUP(CS$72,INDIRECT($C$5&amp;"生成成长"),2))/((VLOOKUP($B227,INDIRECT($B$5&amp;"生成成长"),4))/(VLOOKUP(CS$72,INDIRECT($C$5&amp;"生成成长"),5))*(VLOOKUP($B$5,标准坦克设计!$B$24:$U$30,MATCH("对"&amp;LEFT($C$5,2)&amp;"输出",标准坦克设计!$B$23:$U$23,0)))*(VLOOKUP($B227,INDIRECT($B$5&amp;"生成成长"),3))*(VLOOKUP($B$5,标准坦克设计!$B$14:$K$20,9)/30))</f>
        <v>5.8388565325412225</v>
      </c>
      <c r="CT227" s="173">
        <f ca="1">(VLOOKUP(CT$72,INDIRECT($C$5&amp;"生成成长"),2))/((VLOOKUP($B227,INDIRECT($B$5&amp;"生成成长"),4))/(VLOOKUP(CT$72,INDIRECT($C$5&amp;"生成成长"),5))*(VLOOKUP($B$5,标准坦克设计!$B$24:$U$30,MATCH("对"&amp;LEFT($C$5,2)&amp;"输出",标准坦克设计!$B$23:$U$23,0)))*(VLOOKUP($B227,INDIRECT($B$5&amp;"生成成长"),3))*(VLOOKUP($B$5,标准坦克设计!$B$14:$K$20,9)/30))</f>
        <v>6.2950116611321087</v>
      </c>
      <c r="CU227" s="173">
        <f ca="1">(VLOOKUP(CU$72,INDIRECT($C$5&amp;"生成成长"),2))/((VLOOKUP($B227,INDIRECT($B$5&amp;"生成成长"),4))/(VLOOKUP(CU$72,INDIRECT($C$5&amp;"生成成长"),5))*(VLOOKUP($B$5,标准坦克设计!$B$24:$U$30,MATCH("对"&amp;LEFT($C$5,2)&amp;"输出",标准坦克设计!$B$23:$U$23,0)))*(VLOOKUP($B227,INDIRECT($B$5&amp;"生成成长"),3))*(VLOOKUP($B$5,标准坦克设计!$B$14:$K$20,9)/30))</f>
        <v>6.7683213415674386</v>
      </c>
      <c r="CV227" s="173">
        <f ca="1">(VLOOKUP(CV$72,INDIRECT($C$5&amp;"生成成长"),2))/((VLOOKUP($B227,INDIRECT($B$5&amp;"生成成长"),4))/(VLOOKUP(CV$72,INDIRECT($C$5&amp;"生成成长"),5))*(VLOOKUP($B$5,标准坦克设计!$B$24:$U$30,MATCH("对"&amp;LEFT($C$5,2)&amp;"输出",标准坦克设计!$B$23:$U$23,0)))*(VLOOKUP($B227,INDIRECT($B$5&amp;"生成成长"),3))*(VLOOKUP($B$5,标准坦克设计!$B$14:$K$20,9)/30))</f>
        <v>7.2587855738472129</v>
      </c>
      <c r="CW227" s="173">
        <f ca="1">(VLOOKUP(CW$72,INDIRECT($C$5&amp;"生成成长"),2))/((VLOOKUP($B227,INDIRECT($B$5&amp;"生成成长"),4))/(VLOOKUP(CW$72,INDIRECT($C$5&amp;"生成成长"),5))*(VLOOKUP($B$5,标准坦克设计!$B$24:$U$30,MATCH("对"&amp;LEFT($C$5,2)&amp;"输出",标准坦克设计!$B$23:$U$23,0)))*(VLOOKUP($B227,INDIRECT($B$5&amp;"生成成长"),3))*(VLOOKUP($B$5,标准坦克设计!$B$14:$K$20,9)/30))</f>
        <v>7.766404357971429</v>
      </c>
      <c r="CX227" s="173">
        <f ca="1">(VLOOKUP(CX$72,INDIRECT($C$5&amp;"生成成长"),2))/((VLOOKUP($B227,INDIRECT($B$5&amp;"生成成长"),4))/(VLOOKUP(CX$72,INDIRECT($C$5&amp;"生成成长"),5))*(VLOOKUP($B$5,标准坦克设计!$B$24:$U$30,MATCH("对"&amp;LEFT($C$5,2)&amp;"输出",标准坦克设计!$B$23:$U$23,0)))*(VLOOKUP($B227,INDIRECT($B$5&amp;"生成成长"),3))*(VLOOKUP($B$5,标准坦克设计!$B$14:$K$20,9)/30))</f>
        <v>8.2911776939400905</v>
      </c>
      <c r="CY227" s="173">
        <f ca="1">(VLOOKUP(CY$72,INDIRECT($C$5&amp;"生成成长"),2))/((VLOOKUP($B227,INDIRECT($B$5&amp;"生成成长"),4))/(VLOOKUP(CY$72,INDIRECT($C$5&amp;"生成成长"),5))*(VLOOKUP($B$5,标准坦克设计!$B$24:$U$30,MATCH("对"&amp;LEFT($C$5,2)&amp;"输出",标准坦克设计!$B$23:$U$23,0)))*(VLOOKUP($B227,INDIRECT($B$5&amp;"生成成长"),3))*(VLOOKUP($B$5,标准坦克设计!$B$14:$K$20,9)/30))</f>
        <v>8.8331055817531965</v>
      </c>
      <c r="CZ227" s="173">
        <f ca="1">(VLOOKUP(CZ$72,INDIRECT($C$5&amp;"生成成长"),2))/((VLOOKUP($B227,INDIRECT($B$5&amp;"生成成长"),4))/(VLOOKUP(CZ$72,INDIRECT($C$5&amp;"生成成长"),5))*(VLOOKUP($B$5,标准坦克设计!$B$24:$U$30,MATCH("对"&amp;LEFT($C$5,2)&amp;"输出",标准坦克设计!$B$23:$U$23,0)))*(VLOOKUP($B227,INDIRECT($B$5&amp;"生成成长"),3))*(VLOOKUP($B$5,标准坦克设计!$B$14:$K$20,9)/30))</f>
        <v>9.392188021410746</v>
      </c>
      <c r="DA227" s="173">
        <f ca="1">(VLOOKUP(DA$72,INDIRECT($C$5&amp;"生成成长"),2))/((VLOOKUP($B227,INDIRECT($B$5&amp;"生成成长"),4))/(VLOOKUP(DA$72,INDIRECT($C$5&amp;"生成成长"),5))*(VLOOKUP($B$5,标准坦克设计!$B$24:$U$30,MATCH("对"&amp;LEFT($C$5,2)&amp;"输出",标准坦克设计!$B$23:$U$23,0)))*(VLOOKUP($B227,INDIRECT($B$5&amp;"生成成长"),3))*(VLOOKUP($B$5,标准坦克设计!$B$14:$K$20,9)/30))</f>
        <v>9.9684250129127392</v>
      </c>
      <c r="DB227" s="173">
        <f ca="1">(VLOOKUP(DB$72,INDIRECT($C$5&amp;"生成成长"),2))/((VLOOKUP($B227,INDIRECT($B$5&amp;"生成成长"),4))/(VLOOKUP(DB$72,INDIRECT($C$5&amp;"生成成长"),5))*(VLOOKUP($B$5,标准坦克设计!$B$24:$U$30,MATCH("对"&amp;LEFT($C$5,2)&amp;"输出",标准坦克设计!$B$23:$U$23,0)))*(VLOOKUP($B227,INDIRECT($B$5&amp;"生成成长"),3))*(VLOOKUP($B$5,标准坦克设计!$B$14:$K$20,9)/30))</f>
        <v>10.561816556259174</v>
      </c>
      <c r="DC227" s="173">
        <f ca="1">(VLOOKUP(DC$72,INDIRECT($C$5&amp;"生成成长"),2))/((VLOOKUP($B227,INDIRECT($B$5&amp;"生成成长"),4))/(VLOOKUP(DC$72,INDIRECT($C$5&amp;"生成成长"),5))*(VLOOKUP($B$5,标准坦克设计!$B$24:$U$30,MATCH("对"&amp;LEFT($C$5,2)&amp;"输出",标准坦克设计!$B$23:$U$23,0)))*(VLOOKUP($B227,INDIRECT($B$5&amp;"生成成长"),3))*(VLOOKUP($B$5,标准坦克设计!$B$14:$K$20,9)/30))</f>
        <v>11.228717480856385</v>
      </c>
      <c r="DD227" s="173">
        <f ca="1">(VLOOKUP(DD$72,INDIRECT($C$5&amp;"生成成长"),2))/((VLOOKUP($B227,INDIRECT($B$5&amp;"生成成长"),4))/(VLOOKUP(DD$72,INDIRECT($C$5&amp;"生成成长"),5))*(VLOOKUP($B$5,标准坦克设计!$B$24:$U$30,MATCH("对"&amp;LEFT($C$5,2)&amp;"输出",标准坦克设计!$B$23:$U$23,0)))*(VLOOKUP($B227,INDIRECT($B$5&amp;"生成成长"),3))*(VLOOKUP($B$5,标准坦克设计!$B$14:$K$20,9)/30))</f>
        <v>11.916033739880046</v>
      </c>
      <c r="DE227" s="173">
        <f ca="1">(VLOOKUP(DE$72,INDIRECT($C$5&amp;"生成成长"),2))/((VLOOKUP($B227,INDIRECT($B$5&amp;"生成成长"),4))/(VLOOKUP(DE$72,INDIRECT($C$5&amp;"生成成长"),5))*(VLOOKUP($B$5,标准坦克设计!$B$24:$U$30,MATCH("对"&amp;LEFT($C$5,2)&amp;"输出",标准坦克设计!$B$23:$U$23,0)))*(VLOOKUP($B227,INDIRECT($B$5&amp;"生成成长"),3))*(VLOOKUP($B$5,标准坦克设计!$B$14:$K$20,9)/30))</f>
        <v>12.623765333330146</v>
      </c>
      <c r="DF227" s="173">
        <f ca="1">(VLOOKUP(DF$72,INDIRECT($C$5&amp;"生成成长"),2))/((VLOOKUP($B227,INDIRECT($B$5&amp;"生成成长"),4))/(VLOOKUP(DF$72,INDIRECT($C$5&amp;"生成成长"),5))*(VLOOKUP($B$5,标准坦克设计!$B$24:$U$30,MATCH("对"&amp;LEFT($C$5,2)&amp;"输出",标准坦克设计!$B$23:$U$23,0)))*(VLOOKUP($B227,INDIRECT($B$5&amp;"生成成长"),3))*(VLOOKUP($B$5,标准坦克设计!$B$14:$K$20,9)/30))</f>
        <v>13.351912261206698</v>
      </c>
      <c r="DG227" s="173">
        <f ca="1">(VLOOKUP(DG$72,INDIRECT($C$5&amp;"生成成长"),2))/((VLOOKUP($B227,INDIRECT($B$5&amp;"生成成长"),4))/(VLOOKUP(DG$72,INDIRECT($C$5&amp;"生成成长"),5))*(VLOOKUP($B$5,标准坦克设计!$B$24:$U$30,MATCH("对"&amp;LEFT($C$5,2)&amp;"输出",标准坦克设计!$B$23:$U$23,0)))*(VLOOKUP($B227,INDIRECT($B$5&amp;"生成成长"),3))*(VLOOKUP($B$5,标准坦克设计!$B$14:$K$20,9)/30))</f>
        <v>14.100474523509689</v>
      </c>
      <c r="DH227" s="173">
        <f ca="1">(VLOOKUP(DH$72,INDIRECT($C$5&amp;"生成成长"),2))/((VLOOKUP($B227,INDIRECT($B$5&amp;"生成成长"),4))/(VLOOKUP(DH$72,INDIRECT($C$5&amp;"生成成长"),5))*(VLOOKUP($B$5,标准坦克设计!$B$24:$U$30,MATCH("对"&amp;LEFT($C$5,2)&amp;"输出",标准坦克设计!$B$23:$U$23,0)))*(VLOOKUP($B227,INDIRECT($B$5&amp;"生成成长"),3))*(VLOOKUP($B$5,标准坦克设计!$B$14:$K$20,9)/30))</f>
        <v>14.869452120239126</v>
      </c>
      <c r="DI227" s="173">
        <f ca="1">(VLOOKUP(DI$72,INDIRECT($C$5&amp;"生成成长"),2))/((VLOOKUP($B227,INDIRECT($B$5&amp;"生成成长"),4))/(VLOOKUP(DI$72,INDIRECT($C$5&amp;"生成成长"),5))*(VLOOKUP($B$5,标准坦克设计!$B$24:$U$30,MATCH("对"&amp;LEFT($C$5,2)&amp;"输出",标准坦克设计!$B$23:$U$23,0)))*(VLOOKUP($B227,INDIRECT($B$5&amp;"生成成长"),3))*(VLOOKUP($B$5,标准坦克设计!$B$14:$K$20,9)/30))</f>
        <v>15.658845051395012</v>
      </c>
      <c r="DJ227" s="173">
        <f ca="1">(VLOOKUP(DJ$72,INDIRECT($C$5&amp;"生成成长"),2))/((VLOOKUP($B227,INDIRECT($B$5&amp;"生成成长"),4))/(VLOOKUP(DJ$72,INDIRECT($C$5&amp;"生成成长"),5))*(VLOOKUP($B$5,标准坦克设计!$B$24:$U$30,MATCH("对"&amp;LEFT($C$5,2)&amp;"输出",标准坦克设计!$B$23:$U$23,0)))*(VLOOKUP($B227,INDIRECT($B$5&amp;"生成成长"),3))*(VLOOKUP($B$5,标准坦克设计!$B$14:$K$20,9)/30))</f>
        <v>1.5737529152830272</v>
      </c>
      <c r="DK227" s="173">
        <f ca="1">(VLOOKUP(DK$72,INDIRECT($C$5&amp;"生成成长"),2))/((VLOOKUP($B227,INDIRECT($B$5&amp;"生成成长"),4))/(VLOOKUP(DK$72,INDIRECT($C$5&amp;"生成成长"),5))*(VLOOKUP($B$5,标准坦克设计!$B$24:$U$30,MATCH("对"&amp;LEFT($C$5,2)&amp;"输出",标准坦克设计!$B$23:$U$23,0)))*(VLOOKUP($B227,INDIRECT($B$5&amp;"生成成长"),3))*(VLOOKUP($B$5,标准坦克设计!$B$14:$K$20,9)/30))</f>
        <v>1.7696125299367365</v>
      </c>
      <c r="DL227" s="173">
        <f ca="1">(VLOOKUP(DL$72,INDIRECT($C$5&amp;"生成成长"),2))/((VLOOKUP($B227,INDIRECT($B$5&amp;"生成成长"),4))/(VLOOKUP(DL$72,INDIRECT($C$5&amp;"生成成长"),5))*(VLOOKUP($B$5,标准坦克设计!$B$24:$U$30,MATCH("对"&amp;LEFT($C$5,2)&amp;"输出",标准坦克设计!$B$23:$U$23,0)))*(VLOOKUP($B227,INDIRECT($B$5&amp;"生成成长"),3))*(VLOOKUP($B$5,标准坦克设计!$B$14:$K$20,9)/30))</f>
        <v>1.9769557702053218</v>
      </c>
      <c r="DM227" s="173">
        <f ca="1">(VLOOKUP(DM$72,INDIRECT($C$5&amp;"生成成长"),2))/((VLOOKUP($B227,INDIRECT($B$5&amp;"生成成长"),4))/(VLOOKUP(DM$72,INDIRECT($C$5&amp;"生成成长"),5))*(VLOOKUP($B$5,标准坦克设计!$B$24:$U$30,MATCH("对"&amp;LEFT($C$5,2)&amp;"输出",标准坦克设计!$B$23:$U$23,0)))*(VLOOKUP($B227,INDIRECT($B$5&amp;"生成成长"),3))*(VLOOKUP($B$5,标准坦克设计!$B$14:$K$20,9)/30))</f>
        <v>2.1957826360887811</v>
      </c>
      <c r="DN227" s="173">
        <f ca="1">(VLOOKUP(DN$72,INDIRECT($C$5&amp;"生成成长"),2))/((VLOOKUP($B227,INDIRECT($B$5&amp;"生成成长"),4))/(VLOOKUP(DN$72,INDIRECT($C$5&amp;"生成成长"),5))*(VLOOKUP($B$5,标准坦克设计!$B$24:$U$30,MATCH("对"&amp;LEFT($C$5,2)&amp;"输出",标准坦克设计!$B$23:$U$23,0)))*(VLOOKUP($B227,INDIRECT($B$5&amp;"生成成长"),3))*(VLOOKUP($B$5,标准坦克设计!$B$14:$K$20,9)/30))</f>
        <v>2.4260931275871176</v>
      </c>
      <c r="DO227" s="173">
        <f ca="1">(VLOOKUP(DO$72,INDIRECT($C$5&amp;"生成成长"),2))/((VLOOKUP($B227,INDIRECT($B$5&amp;"生成成长"),4))/(VLOOKUP(DO$72,INDIRECT($C$5&amp;"生成成长"),5))*(VLOOKUP($B$5,标准坦克设计!$B$24:$U$30,MATCH("对"&amp;LEFT($C$5,2)&amp;"输出",标准坦克设计!$B$23:$U$23,0)))*(VLOOKUP($B227,INDIRECT($B$5&amp;"生成成长"),3))*(VLOOKUP($B$5,标准坦克设计!$B$14:$K$20,9)/30))</f>
        <v>2.6678872447003292</v>
      </c>
      <c r="DP227" s="173">
        <f ca="1">(VLOOKUP(DP$72,INDIRECT($C$5&amp;"生成成长"),2))/((VLOOKUP($B227,INDIRECT($B$5&amp;"生成成长"),4))/(VLOOKUP(DP$72,INDIRECT($C$5&amp;"生成成长"),5))*(VLOOKUP($B$5,标准坦克设计!$B$24:$U$30,MATCH("对"&amp;LEFT($C$5,2)&amp;"输出",标准坦克设计!$B$23:$U$23,0)))*(VLOOKUP($B227,INDIRECT($B$5&amp;"生成成长"),3))*(VLOOKUP($B$5,标准坦克设计!$B$14:$K$20,9)/30))</f>
        <v>2.9211649874284156</v>
      </c>
      <c r="DQ227" s="173">
        <f ca="1">(VLOOKUP(DQ$72,INDIRECT($C$5&amp;"生成成长"),2))/((VLOOKUP($B227,INDIRECT($B$5&amp;"生成成长"),4))/(VLOOKUP(DQ$72,INDIRECT($C$5&amp;"生成成长"),5))*(VLOOKUP($B$5,标准坦克设计!$B$24:$U$30,MATCH("对"&amp;LEFT($C$5,2)&amp;"输出",标准坦克设计!$B$23:$U$23,0)))*(VLOOKUP($B227,INDIRECT($B$5&amp;"生成成长"),3))*(VLOOKUP($B$5,标准坦克设计!$B$14:$K$20,9)/30))</f>
        <v>3.1859263557713779</v>
      </c>
      <c r="DR227" s="173">
        <f ca="1">(VLOOKUP(DR$72,INDIRECT($C$5&amp;"生成成长"),2))/((VLOOKUP($B227,INDIRECT($B$5&amp;"生成成长"),4))/(VLOOKUP(DR$72,INDIRECT($C$5&amp;"生成成长"),5))*(VLOOKUP($B$5,标准坦克设计!$B$24:$U$30,MATCH("对"&amp;LEFT($C$5,2)&amp;"输出",标准坦克设计!$B$23:$U$23,0)))*(VLOOKUP($B227,INDIRECT($B$5&amp;"生成成长"),3))*(VLOOKUP($B$5,标准坦克设计!$B$14:$K$20,9)/30))</f>
        <v>3.4621713497292164</v>
      </c>
      <c r="DS227" s="173">
        <f ca="1">(VLOOKUP(DS$72,INDIRECT($C$5&amp;"生成成长"),2))/((VLOOKUP($B227,INDIRECT($B$5&amp;"生成成长"),4))/(VLOOKUP(DS$72,INDIRECT($C$5&amp;"生成成长"),5))*(VLOOKUP($B$5,标准坦克设计!$B$24:$U$30,MATCH("对"&amp;LEFT($C$5,2)&amp;"输出",标准坦克设计!$B$23:$U$23,0)))*(VLOOKUP($B227,INDIRECT($B$5&amp;"生成成长"),3))*(VLOOKUP($B$5,标准坦克设计!$B$14:$K$20,9)/30))</f>
        <v>3.7498999693019295</v>
      </c>
      <c r="DT227" s="173">
        <f ca="1">(VLOOKUP(DT$72,INDIRECT($C$5&amp;"生成成长"),2))/((VLOOKUP($B227,INDIRECT($B$5&amp;"生成成长"),4))/(VLOOKUP(DT$72,INDIRECT($C$5&amp;"生成成长"),5))*(VLOOKUP($B$5,标准坦克设计!$B$24:$U$30,MATCH("对"&amp;LEFT($C$5,2)&amp;"输出",标准坦克设计!$B$23:$U$23,0)))*(VLOOKUP($B227,INDIRECT($B$5&amp;"生成成长"),3))*(VLOOKUP($B$5,标准坦克设计!$B$14:$K$20,9)/30))</f>
        <v>4.1171633292443364</v>
      </c>
      <c r="DU227" s="173">
        <f ca="1">(VLOOKUP(DU$72,INDIRECT($C$5&amp;"生成成长"),2))/((VLOOKUP($B227,INDIRECT($B$5&amp;"生成成长"),4))/(VLOOKUP(DU$72,INDIRECT($C$5&amp;"生成成长"),5))*(VLOOKUP($B$5,标准坦克设计!$B$24:$U$30,MATCH("对"&amp;LEFT($C$5,2)&amp;"输出",标准坦克设计!$B$23:$U$23,0)))*(VLOOKUP($B227,INDIRECT($B$5&amp;"生成成长"),3))*(VLOOKUP($B$5,标准坦克设计!$B$14:$K$20,9)/30))</f>
        <v>4.5015812410311851</v>
      </c>
      <c r="DV227" s="173">
        <f ca="1">(VLOOKUP(DV$72,INDIRECT($C$5&amp;"生成成长"),2))/((VLOOKUP($B227,INDIRECT($B$5&amp;"生成成长"),4))/(VLOOKUP(DV$72,INDIRECT($C$5&amp;"生成成长"),5))*(VLOOKUP($B$5,标准坦克设计!$B$24:$U$30,MATCH("对"&amp;LEFT($C$5,2)&amp;"输出",标准坦克设计!$B$23:$U$23,0)))*(VLOOKUP($B227,INDIRECT($B$5&amp;"生成成长"),3))*(VLOOKUP($B$5,标准坦克设计!$B$14:$K$20,9)/30))</f>
        <v>4.9031537046624791</v>
      </c>
      <c r="DW227" s="173">
        <f ca="1">(VLOOKUP(DW$72,INDIRECT($C$5&amp;"生成成长"),2))/((VLOOKUP($B227,INDIRECT($B$5&amp;"生成成长"),4))/(VLOOKUP(DW$72,INDIRECT($C$5&amp;"生成成长"),5))*(VLOOKUP($B$5,标准坦克设计!$B$24:$U$30,MATCH("对"&amp;LEFT($C$5,2)&amp;"输出",标准坦克设计!$B$23:$U$23,0)))*(VLOOKUP($B227,INDIRECT($B$5&amp;"生成成长"),3))*(VLOOKUP($B$5,标准坦克设计!$B$14:$K$20,9)/30))</f>
        <v>5.3218807201382159</v>
      </c>
      <c r="DX227" s="173">
        <f ca="1">(VLOOKUP(DX$72,INDIRECT($C$5&amp;"生成成长"),2))/((VLOOKUP($B227,INDIRECT($B$5&amp;"生成成长"),4))/(VLOOKUP(DX$72,INDIRECT($C$5&amp;"生成成长"),5))*(VLOOKUP($B$5,标准坦克设计!$B$24:$U$30,MATCH("对"&amp;LEFT($C$5,2)&amp;"输出",标准坦克设计!$B$23:$U$23,0)))*(VLOOKUP($B227,INDIRECT($B$5&amp;"生成成长"),3))*(VLOOKUP($B$5,标准坦克设计!$B$14:$K$20,9)/30))</f>
        <v>5.757762287458398</v>
      </c>
      <c r="DY227" s="173">
        <f ca="1">(VLOOKUP(DY$72,INDIRECT($C$5&amp;"生成成长"),2))/((VLOOKUP($B227,INDIRECT($B$5&amp;"生成成长"),4))/(VLOOKUP(DY$72,INDIRECT($C$5&amp;"生成成长"),5))*(VLOOKUP($B$5,标准坦克设计!$B$24:$U$30,MATCH("对"&amp;LEFT($C$5,2)&amp;"输出",标准坦克设计!$B$23:$U$23,0)))*(VLOOKUP($B227,INDIRECT($B$5&amp;"生成成长"),3))*(VLOOKUP($B$5,标准坦克设计!$B$14:$K$20,9)/30))</f>
        <v>2.5860132472609387</v>
      </c>
      <c r="DZ227" s="173">
        <f ca="1">(VLOOKUP(DZ$72,INDIRECT($C$5&amp;"生成成长"),2))/((VLOOKUP($B227,INDIRECT($B$5&amp;"生成成长"),4))/(VLOOKUP(DZ$72,INDIRECT($C$5&amp;"生成成长"),5))*(VLOOKUP($B$5,标准坦克设计!$B$24:$U$30,MATCH("对"&amp;LEFT($C$5,2)&amp;"输出",标准坦克设计!$B$23:$U$23,0)))*(VLOOKUP($B227,INDIRECT($B$5&amp;"生成成长"),3))*(VLOOKUP($B$5,标准坦克设计!$B$14:$K$20,9)/30))</f>
        <v>2.8638886325097777</v>
      </c>
      <c r="EA227" s="173">
        <f ca="1">(VLOOKUP(EA$72,INDIRECT($C$5&amp;"生成成长"),2))/((VLOOKUP($B227,INDIRECT($B$5&amp;"生成成长"),4))/(VLOOKUP(EA$72,INDIRECT($C$5&amp;"生成成长"),5))*(VLOOKUP($B$5,标准坦克设计!$B$24:$U$30,MATCH("对"&amp;LEFT($C$5,2)&amp;"输出",标准坦克设计!$B$23:$U$23,0)))*(VLOOKUP($B227,INDIRECT($B$5&amp;"生成成长"),3))*(VLOOKUP($B$5,标准坦克设计!$B$14:$K$20,9)/30))</f>
        <v>3.1559413333325366</v>
      </c>
      <c r="EB227" s="173">
        <f ca="1">(VLOOKUP(EB$72,INDIRECT($C$5&amp;"生成成长"),2))/((VLOOKUP($B227,INDIRECT($B$5&amp;"生成成长"),4))/(VLOOKUP(EB$72,INDIRECT($C$5&amp;"生成成长"),5))*(VLOOKUP($B$5,标准坦克设计!$B$24:$U$30,MATCH("对"&amp;LEFT($C$5,2)&amp;"输出",标准坦克设计!$B$23:$U$23,0)))*(VLOOKUP($B227,INDIRECT($B$5&amp;"生成成长"),3))*(VLOOKUP($B$5,标准坦克设计!$B$14:$K$20,9)/30))</f>
        <v>3.4621713497292164</v>
      </c>
      <c r="EC227" s="173">
        <f ca="1">(VLOOKUP(EC$72,INDIRECT($C$5&amp;"生成成长"),2))/((VLOOKUP($B227,INDIRECT($B$5&amp;"生成成长"),4))/(VLOOKUP(EC$72,INDIRECT($C$5&amp;"生成成长"),5))*(VLOOKUP($B$5,标准坦克设计!$B$24:$U$30,MATCH("对"&amp;LEFT($C$5,2)&amp;"输出",标准坦克设计!$B$23:$U$23,0)))*(VLOOKUP($B227,INDIRECT($B$5&amp;"生成成长"),3))*(VLOOKUP($B$5,标准坦克设计!$B$14:$K$20,9)/30))</f>
        <v>3.7825786816998161</v>
      </c>
      <c r="ED227" s="173">
        <f ca="1">(VLOOKUP(ED$72,INDIRECT($C$5&amp;"生成成长"),2))/((VLOOKUP($B227,INDIRECT($B$5&amp;"生成成长"),4))/(VLOOKUP(ED$72,INDIRECT($C$5&amp;"生成成长"),5))*(VLOOKUP($B$5,标准坦克设计!$B$24:$U$30,MATCH("对"&amp;LEFT($C$5,2)&amp;"输出",标准坦克设计!$B$23:$U$23,0)))*(VLOOKUP($B227,INDIRECT($B$5&amp;"生成成长"),3))*(VLOOKUP($B$5,标准坦克设计!$B$14:$K$20,9)/30))</f>
        <v>4.1171633292443364</v>
      </c>
      <c r="EE227" s="173">
        <f ca="1">(VLOOKUP(EE$72,INDIRECT($C$5&amp;"生成成长"),2))/((VLOOKUP($B227,INDIRECT($B$5&amp;"生成成长"),4))/(VLOOKUP(EE$72,INDIRECT($C$5&amp;"生成成长"),5))*(VLOOKUP($B$5,标准坦克设计!$B$24:$U$30,MATCH("对"&amp;LEFT($C$5,2)&amp;"输出",标准坦克设计!$B$23:$U$23,0)))*(VLOOKUP($B227,INDIRECT($B$5&amp;"生成成长"),3))*(VLOOKUP($B$5,标准坦克设计!$B$14:$K$20,9)/30))</f>
        <v>4.4659252923627752</v>
      </c>
      <c r="EF227" s="173">
        <f ca="1">(VLOOKUP(EF$72,INDIRECT($C$5&amp;"生成成长"),2))/((VLOOKUP($B227,INDIRECT($B$5&amp;"生成成长"),4))/(VLOOKUP(EF$72,INDIRECT($C$5&amp;"生成成长"),5))*(VLOOKUP($B$5,标准坦克设计!$B$24:$U$30,MATCH("对"&amp;LEFT($C$5,2)&amp;"输出",标准坦克设计!$B$23:$U$23,0)))*(VLOOKUP($B227,INDIRECT($B$5&amp;"生成成长"),3))*(VLOOKUP($B$5,标准坦克设计!$B$14:$K$20,9)/30))</f>
        <v>4.8288645710551368</v>
      </c>
      <c r="EG227" s="173">
        <f ca="1">(VLOOKUP(EG$72,INDIRECT($C$5&amp;"生成成长"),2))/((VLOOKUP($B227,INDIRECT($B$5&amp;"生成成长"),4))/(VLOOKUP(EG$72,INDIRECT($C$5&amp;"生成成长"),5))*(VLOOKUP($B$5,标准坦克设计!$B$24:$U$30,MATCH("对"&amp;LEFT($C$5,2)&amp;"输出",标准坦克设计!$B$23:$U$23,0)))*(VLOOKUP($B227,INDIRECT($B$5&amp;"生成成长"),3))*(VLOOKUP($B$5,标准坦克设计!$B$14:$K$20,9)/30))</f>
        <v>5.2059811653214174</v>
      </c>
      <c r="EH227" s="173">
        <f ca="1">(VLOOKUP(EH$72,INDIRECT($C$5&amp;"生成成长"),2))/((VLOOKUP($B227,INDIRECT($B$5&amp;"生成成长"),4))/(VLOOKUP(EH$72,INDIRECT($C$5&amp;"生成成长"),5))*(VLOOKUP($B$5,标准坦克设计!$B$24:$U$30,MATCH("对"&amp;LEFT($C$5,2)&amp;"输出",标准坦克设计!$B$23:$U$23,0)))*(VLOOKUP($B227,INDIRECT($B$5&amp;"生成成长"),3))*(VLOOKUP($B$5,标准坦克设计!$B$14:$K$20,9)/30))</f>
        <v>5.5972750751616189</v>
      </c>
      <c r="EI227" s="173">
        <f ca="1">(VLOOKUP(EI$72,INDIRECT($C$5&amp;"生成成长"),2))/((VLOOKUP($B227,INDIRECT($B$5&amp;"生成成长"),4))/(VLOOKUP(EI$72,INDIRECT($C$5&amp;"生成成长"),5))*(VLOOKUP($B$5,标准坦克设计!$B$24:$U$30,MATCH("对"&amp;LEFT($C$5,2)&amp;"输出",标准坦克设计!$B$23:$U$23,0)))*(VLOOKUP($B227,INDIRECT($B$5&amp;"生成成长"),3))*(VLOOKUP($B$5,标准坦克设计!$B$14:$K$20,9)/30))</f>
        <v>6.0027463005757404</v>
      </c>
      <c r="EJ227" s="173">
        <f ca="1">(VLOOKUP(EJ$72,INDIRECT($C$5&amp;"生成成长"),2))/((VLOOKUP($B227,INDIRECT($B$5&amp;"生成成长"),4))/(VLOOKUP(EJ$72,INDIRECT($C$5&amp;"生成成长"),5))*(VLOOKUP($B$5,标准坦克设计!$B$24:$U$30,MATCH("对"&amp;LEFT($C$5,2)&amp;"输出",标准坦克设计!$B$23:$U$23,0)))*(VLOOKUP($B227,INDIRECT($B$5&amp;"生成成长"),3))*(VLOOKUP($B$5,标准坦克设计!$B$14:$K$20,9)/30))</f>
        <v>6.4223948415637819</v>
      </c>
      <c r="EK227" s="173">
        <f ca="1">(VLOOKUP(EK$72,INDIRECT($C$5&amp;"生成成长"),2))/((VLOOKUP($B227,INDIRECT($B$5&amp;"生成成长"),4))/(VLOOKUP(EK$72,INDIRECT($C$5&amp;"生成成长"),5))*(VLOOKUP($B$5,标准坦克设计!$B$24:$U$30,MATCH("对"&amp;LEFT($C$5,2)&amp;"输出",标准坦克设计!$B$23:$U$23,0)))*(VLOOKUP($B227,INDIRECT($B$5&amp;"生成成长"),3))*(VLOOKUP($B$5,标准坦克设计!$B$14:$K$20,9)/30))</f>
        <v>6.9446871473070075</v>
      </c>
      <c r="EL227" s="173">
        <f ca="1">(VLOOKUP(EL$72,INDIRECT($C$5&amp;"生成成长"),2))/((VLOOKUP($B227,INDIRECT($B$5&amp;"生成成长"),4))/(VLOOKUP(EL$72,INDIRECT($C$5&amp;"生成成长"),5))*(VLOOKUP($B$5,标准坦克设计!$B$24:$U$30,MATCH("对"&amp;LEFT($C$5,2)&amp;"输出",标准坦克设计!$B$23:$U$23,0)))*(VLOOKUP($B227,INDIRECT($B$5&amp;"生成成长"),3))*(VLOOKUP($B$5,标准坦克设计!$B$14:$K$20,9)/30))</f>
        <v>7.4873947874766777</v>
      </c>
      <c r="EM227" s="173">
        <f ca="1">(VLOOKUP(EM$72,INDIRECT($C$5&amp;"生成成长"),2))/((VLOOKUP($B227,INDIRECT($B$5&amp;"生成成长"),4))/(VLOOKUP(EM$72,INDIRECT($C$5&amp;"生成成长"),5))*(VLOOKUP($B$5,标准坦克设计!$B$24:$U$30,MATCH("对"&amp;LEFT($C$5,2)&amp;"输出",标准坦克设计!$B$23:$U$23,0)))*(VLOOKUP($B227,INDIRECT($B$5&amp;"生成成长"),3))*(VLOOKUP($B$5,标准坦克设计!$B$14:$K$20,9)/30))</f>
        <v>8.0505177620727935</v>
      </c>
      <c r="EN227" s="173">
        <f ca="1">(VLOOKUP(EN$72,INDIRECT($C$5&amp;"生成成长"),2))/((VLOOKUP($B227,INDIRECT($B$5&amp;"生成成长"),4))/(VLOOKUP(EN$72,INDIRECT($C$5&amp;"生成成长"),5))*(VLOOKUP($B$5,标准坦克设计!$B$24:$U$30,MATCH("对"&amp;LEFT($C$5,2)&amp;"输出",标准坦克设计!$B$23:$U$23,0)))*(VLOOKUP($B227,INDIRECT($B$5&amp;"生成成长"),3))*(VLOOKUP($B$5,标准坦克设计!$B$14:$K$20,9)/30))</f>
        <v>8.6340560710953564</v>
      </c>
      <c r="EO227" s="173">
        <f ca="1">(VLOOKUP(EO$72,INDIRECT($C$5&amp;"生成成长"),2))/((VLOOKUP($B227,INDIRECT($B$5&amp;"生成成长"),4))/(VLOOKUP(EO$72,INDIRECT($C$5&amp;"生成成长"),5))*(VLOOKUP($B$5,标准坦克设计!$B$24:$U$30,MATCH("对"&amp;LEFT($C$5,2)&amp;"输出",标准坦克设计!$B$23:$U$23,0)))*(VLOOKUP($B227,INDIRECT($B$5&amp;"生成成长"),3))*(VLOOKUP($B$5,标准坦克设计!$B$14:$K$20,9)/30))</f>
        <v>9.2380097145443631</v>
      </c>
      <c r="EP227" s="173">
        <f ca="1">(VLOOKUP(EP$72,INDIRECT($C$5&amp;"生成成长"),2))/((VLOOKUP($B227,INDIRECT($B$5&amp;"生成成长"),4))/(VLOOKUP(EP$72,INDIRECT($C$5&amp;"生成成长"),5))*(VLOOKUP($B$5,标准坦克设计!$B$24:$U$30,MATCH("对"&amp;LEFT($C$5,2)&amp;"输出",标准坦克设计!$B$23:$U$23,0)))*(VLOOKUP($B227,INDIRECT($B$5&amp;"生成成长"),3))*(VLOOKUP($B$5,标准坦克设计!$B$14:$K$20,9)/30))</f>
        <v>9.8623786924198118</v>
      </c>
      <c r="EQ227" s="173">
        <f ca="1">(VLOOKUP(EQ$72,INDIRECT($C$5&amp;"生成成长"),2))/((VLOOKUP($B227,INDIRECT($B$5&amp;"生成成长"),4))/(VLOOKUP(EQ$72,INDIRECT($C$5&amp;"生成成长"),5))*(VLOOKUP($B$5,标准坦克设计!$B$24:$U$30,MATCH("对"&amp;LEFT($C$5,2)&amp;"输出",标准坦克设计!$B$23:$U$23,0)))*(VLOOKUP($B227,INDIRECT($B$5&amp;"生成成长"),3))*(VLOOKUP($B$5,标准坦克设计!$B$14:$K$20,9)/30))</f>
        <v>4.3598080852919816</v>
      </c>
      <c r="ER227" s="173">
        <f ca="1">(VLOOKUP(ER$72,INDIRECT($C$5&amp;"生成成长"),2))/((VLOOKUP($B227,INDIRECT($B$5&amp;"生成成长"),4))/(VLOOKUP(ER$72,INDIRECT($C$5&amp;"生成成长"),5))*(VLOOKUP($B$5,标准坦克设计!$B$24:$U$30,MATCH("对"&amp;LEFT($C$5,2)&amp;"输出",标准坦克设计!$B$23:$U$23,0)))*(VLOOKUP($B227,INDIRECT($B$5&amp;"生成成长"),3))*(VLOOKUP($B$5,标准坦克设计!$B$14:$K$20,9)/30))</f>
        <v>4.7551425300707511</v>
      </c>
      <c r="ES227" s="173">
        <f ca="1">(VLOOKUP(ES$72,INDIRECT($C$5&amp;"生成成长"),2))/((VLOOKUP($B227,INDIRECT($B$5&amp;"生成成长"),4))/(VLOOKUP(ES$72,INDIRECT($C$5&amp;"生成成长"),5))*(VLOOKUP($B$5,标准坦克设计!$B$24:$U$30,MATCH("对"&amp;LEFT($C$5,2)&amp;"输出",标准坦克设计!$B$23:$U$23,0)))*(VLOOKUP($B227,INDIRECT($B$5&amp;"生成成长"),3))*(VLOOKUP($B$5,标准坦克设计!$B$14:$K$20,9)/30))</f>
        <v>5.1676315266939632</v>
      </c>
      <c r="ET227" s="173">
        <f ca="1">(VLOOKUP(ET$72,INDIRECT($C$5&amp;"生成成长"),2))/((VLOOKUP($B227,INDIRECT($B$5&amp;"生成成长"),4))/(VLOOKUP(ET$72,INDIRECT($C$5&amp;"生成成长"),5))*(VLOOKUP($B$5,标准坦克设计!$B$24:$U$30,MATCH("对"&amp;LEFT($C$5,2)&amp;"输出",标准坦克设计!$B$23:$U$23,0)))*(VLOOKUP($B227,INDIRECT($B$5&amp;"生成成长"),3))*(VLOOKUP($B$5,标准坦克设计!$B$14:$K$20,9)/30))</f>
        <v>5.5972750751616189</v>
      </c>
      <c r="EU227" s="173">
        <f ca="1">(VLOOKUP(EU$72,INDIRECT($C$5&amp;"生成成长"),2))/((VLOOKUP($B227,INDIRECT($B$5&amp;"生成成长"),4))/(VLOOKUP(EU$72,INDIRECT($C$5&amp;"生成成长"),5))*(VLOOKUP($B$5,标准坦克设计!$B$24:$U$30,MATCH("对"&amp;LEFT($C$5,2)&amp;"输出",标准坦克设计!$B$23:$U$23,0)))*(VLOOKUP($B227,INDIRECT($B$5&amp;"生成成长"),3))*(VLOOKUP($B$5,标准坦克设计!$B$14:$K$20,9)/30))</f>
        <v>6.0440731754737183</v>
      </c>
      <c r="EV227" s="173">
        <f ca="1">(VLOOKUP(EV$72,INDIRECT($C$5&amp;"生成成长"),2))/((VLOOKUP($B227,INDIRECT($B$5&amp;"生成成长"),4))/(VLOOKUP(EV$72,INDIRECT($C$5&amp;"生成成长"),5))*(VLOOKUP($B$5,标准坦克设计!$B$24:$U$30,MATCH("对"&amp;LEFT($C$5,2)&amp;"输出",标准坦克设计!$B$23:$U$23,0)))*(VLOOKUP($B227,INDIRECT($B$5&amp;"生成成长"),3))*(VLOOKUP($B$5,标准坦克设计!$B$14:$K$20,9)/30))</f>
        <v>6.5080258276302612</v>
      </c>
      <c r="EW227" s="173">
        <f ca="1">(VLOOKUP(EW$72,INDIRECT($C$5&amp;"生成成长"),2))/((VLOOKUP($B227,INDIRECT($B$5&amp;"生成成长"),4))/(VLOOKUP(EW$72,INDIRECT($C$5&amp;"生成成长"),5))*(VLOOKUP($B$5,标准坦克设计!$B$24:$U$30,MATCH("对"&amp;LEFT($C$5,2)&amp;"输出",标准坦克设计!$B$23:$U$23,0)))*(VLOOKUP($B227,INDIRECT($B$5&amp;"生成成长"),3))*(VLOOKUP($B$5,标准坦克设计!$B$14:$K$20,9)/30))</f>
        <v>6.9891330316312485</v>
      </c>
      <c r="EX227" s="173">
        <f ca="1">(VLOOKUP(EX$72,INDIRECT($C$5&amp;"生成成长"),2))/((VLOOKUP($B227,INDIRECT($B$5&amp;"生成成长"),4))/(VLOOKUP(EX$72,INDIRECT($C$5&amp;"生成成长"),5))*(VLOOKUP($B$5,标准坦克设计!$B$24:$U$30,MATCH("对"&amp;LEFT($C$5,2)&amp;"输出",标准坦克设计!$B$23:$U$23,0)))*(VLOOKUP($B227,INDIRECT($B$5&amp;"生成成长"),3))*(VLOOKUP($B$5,标准坦克设计!$B$14:$K$20,9)/30))</f>
        <v>7.4873947874766777</v>
      </c>
      <c r="EY227" s="173">
        <f ca="1">(VLOOKUP(EY$72,INDIRECT($C$5&amp;"生成成长"),2))/((VLOOKUP($B227,INDIRECT($B$5&amp;"生成成长"),4))/(VLOOKUP(EY$72,INDIRECT($C$5&amp;"生成成长"),5))*(VLOOKUP($B$5,标准坦克设计!$B$24:$U$30,MATCH("对"&amp;LEFT($C$5,2)&amp;"输出",标准坦克设计!$B$23:$U$23,0)))*(VLOOKUP($B227,INDIRECT($B$5&amp;"生成成长"),3))*(VLOOKUP($B$5,标准坦克设计!$B$14:$K$20,9)/30))</f>
        <v>8.0028110951665514</v>
      </c>
      <c r="EZ227" s="173">
        <f ca="1">(VLOOKUP(EZ$72,INDIRECT($C$5&amp;"生成成长"),2))/((VLOOKUP($B227,INDIRECT($B$5&amp;"生成成长"),4))/(VLOOKUP(EZ$72,INDIRECT($C$5&amp;"生成成长"),5))*(VLOOKUP($B$5,标准坦克设计!$B$24:$U$30,MATCH("对"&amp;LEFT($C$5,2)&amp;"输出",标准坦克设计!$B$23:$U$23,0)))*(VLOOKUP($B227,INDIRECT($B$5&amp;"生成成长"),3))*(VLOOKUP($B$5,标准坦克设计!$B$14:$K$20,9)/30))</f>
        <v>8.5353819547008705</v>
      </c>
      <c r="FA227" s="173">
        <f ca="1">(VLOOKUP(FA$72,INDIRECT($C$5&amp;"生成成长"),2))/((VLOOKUP($B227,INDIRECT($B$5&amp;"生成成长"),4))/(VLOOKUP(FA$72,INDIRECT($C$5&amp;"生成成长"),5))*(VLOOKUP($B$5,标准坦克设计!$B$24:$U$30,MATCH("对"&amp;LEFT($C$5,2)&amp;"输出",标准坦克设计!$B$23:$U$23,0)))*(VLOOKUP($B227,INDIRECT($B$5&amp;"生成成长"),3))*(VLOOKUP($B$5,标准坦克设计!$B$14:$K$20,9)/30))</f>
        <v>9.0851073660796313</v>
      </c>
      <c r="FB227" s="173">
        <f ca="1">(VLOOKUP(FB$72,INDIRECT($C$5&amp;"生成成长"),2))/((VLOOKUP($B227,INDIRECT($B$5&amp;"生成成长"),4))/(VLOOKUP(FB$72,INDIRECT($C$5&amp;"生成成长"),5))*(VLOOKUP($B$5,标准坦克设计!$B$24:$U$30,MATCH("对"&amp;LEFT($C$5,2)&amp;"输出",标准坦克设计!$B$23:$U$23,0)))*(VLOOKUP($B227,INDIRECT($B$5&amp;"生成成长"),3))*(VLOOKUP($B$5,标准坦克设计!$B$14:$K$20,9)/30))</f>
        <v>9.6519873293028375</v>
      </c>
      <c r="FC227" s="173">
        <f ca="1">(VLOOKUP(FC$72,INDIRECT($C$5&amp;"生成成长"),2))/((VLOOKUP($B227,INDIRECT($B$5&amp;"生成成长"),4))/(VLOOKUP(FC$72,INDIRECT($C$5&amp;"生成成长"),5))*(VLOOKUP($B$5,标准坦克设计!$B$24:$U$30,MATCH("对"&amp;LEFT($C$5,2)&amp;"输出",标准坦克设计!$B$23:$U$23,0)))*(VLOOKUP($B227,INDIRECT($B$5&amp;"生成成长"),3))*(VLOOKUP($B$5,标准坦克设计!$B$14:$K$20,9)/30))</f>
        <v>10.236021844370484</v>
      </c>
      <c r="FD227" s="173">
        <f ca="1">(VLOOKUP(FD$72,INDIRECT($C$5&amp;"生成成长"),2))/((VLOOKUP($B227,INDIRECT($B$5&amp;"生成成长"),4))/(VLOOKUP(FD$72,INDIRECT($C$5&amp;"生成成长"),5))*(VLOOKUP($B$5,标准坦克设计!$B$24:$U$30,MATCH("对"&amp;LEFT($C$5,2)&amp;"输出",标准坦克设计!$B$23:$U$23,0)))*(VLOOKUP($B227,INDIRECT($B$5&amp;"生成成长"),3))*(VLOOKUP($B$5,标准坦克设计!$B$14:$K$20,9)/30))</f>
        <v>10.837210911282574</v>
      </c>
      <c r="FE227" s="173">
        <f ca="1">(VLOOKUP(FE$72,INDIRECT($C$5&amp;"生成成长"),2))/((VLOOKUP($B227,INDIRECT($B$5&amp;"生成成长"),4))/(VLOOKUP(FE$72,INDIRECT($C$5&amp;"生成成长"),5))*(VLOOKUP($B$5,标准坦克设计!$B$24:$U$30,MATCH("对"&amp;LEFT($C$5,2)&amp;"输出",标准坦克设计!$B$23:$U$23,0)))*(VLOOKUP($B227,INDIRECT($B$5&amp;"生成成长"),3))*(VLOOKUP($B$5,标准坦克设计!$B$14:$K$20,9)/30))</f>
        <v>11.56982369356491</v>
      </c>
      <c r="FF227" s="173">
        <f ca="1">(VLOOKUP(FF$72,INDIRECT($C$5&amp;"生成成长"),2))/((VLOOKUP($B227,INDIRECT($B$5&amp;"生成成长"),4))/(VLOOKUP(FF$72,INDIRECT($C$5&amp;"生成成长"),5))*(VLOOKUP($B$5,标准坦克设计!$B$24:$U$30,MATCH("对"&amp;LEFT($C$5,2)&amp;"输出",标准坦克设计!$B$23:$U$23,0)))*(VLOOKUP($B227,INDIRECT($B$5&amp;"生成成长"),3))*(VLOOKUP($B$5,标准坦克设计!$B$14:$K$20,9)/30))</f>
        <v>12.326396139167167</v>
      </c>
      <c r="FG227" s="173">
        <f ca="1">(VLOOKUP(FG$72,INDIRECT($C$5&amp;"生成成长"),2))/((VLOOKUP($B227,INDIRECT($B$5&amp;"生成成长"),4))/(VLOOKUP(FG$72,INDIRECT($C$5&amp;"生成成长"),5))*(VLOOKUP($B$5,标准坦克设计!$B$24:$U$30,MATCH("对"&amp;LEFT($C$5,2)&amp;"输出",标准坦克设计!$B$23:$U$23,0)))*(VLOOKUP($B227,INDIRECT($B$5&amp;"生成成长"),3))*(VLOOKUP($B$5,标准坦克设计!$B$14:$K$20,9)/30))</f>
        <v>13.106928248089352</v>
      </c>
      <c r="FH227" s="173">
        <f ca="1">(VLOOKUP(FH$72,INDIRECT($C$5&amp;"生成成长"),2))/((VLOOKUP($B227,INDIRECT($B$5&amp;"生成成长"),4))/(VLOOKUP(FH$72,INDIRECT($C$5&amp;"生成成长"),5))*(VLOOKUP($B$5,标准坦克设计!$B$24:$U$30,MATCH("对"&amp;LEFT($C$5,2)&amp;"输出",标准坦克设计!$B$23:$U$23,0)))*(VLOOKUP($B227,INDIRECT($B$5&amp;"生成成长"),3))*(VLOOKUP($B$5,标准坦克设计!$B$14:$K$20,9)/30))</f>
        <v>13.911420020331462</v>
      </c>
      <c r="FI227" s="173">
        <f ca="1">(VLOOKUP(FI$72,INDIRECT($C$5&amp;"生成成长"),2))/((VLOOKUP($B227,INDIRECT($B$5&amp;"生成成长"),4))/(VLOOKUP(FI$72,INDIRECT($C$5&amp;"生成成长"),5))*(VLOOKUP($B$5,标准坦克设计!$B$24:$U$30,MATCH("对"&amp;LEFT($C$5,2)&amp;"输出",标准坦克设计!$B$23:$U$23,0)))*(VLOOKUP($B227,INDIRECT($B$5&amp;"生成成长"),3))*(VLOOKUP($B$5,标准坦克设计!$B$14:$K$20,9)/30))</f>
        <v>14.739871455893498</v>
      </c>
      <c r="FJ227" s="173">
        <f ca="1">(VLOOKUP(FJ$72,INDIRECT($C$5&amp;"生成成长"),2))/((VLOOKUP($B227,INDIRECT($B$5&amp;"生成成长"),4))/(VLOOKUP(FJ$72,INDIRECT($C$5&amp;"生成成长"),5))*(VLOOKUP($B$5,标准坦克设计!$B$24:$U$30,MATCH("对"&amp;LEFT($C$5,2)&amp;"输出",标准坦克设计!$B$23:$U$23,0)))*(VLOOKUP($B227,INDIRECT($B$5&amp;"生成成长"),3))*(VLOOKUP($B$5,标准坦克设计!$B$14:$K$20,9)/30))</f>
        <v>15.592282554775457</v>
      </c>
      <c r="FK227" s="173">
        <f ca="1">(VLOOKUP(FK$72,INDIRECT($C$5&amp;"生成成长"),2))/((VLOOKUP($B227,INDIRECT($B$5&amp;"生成成长"),4))/(VLOOKUP(FK$72,INDIRECT($C$5&amp;"生成成长"),5))*(VLOOKUP($B$5,标准坦克设计!$B$24:$U$30,MATCH("对"&amp;LEFT($C$5,2)&amp;"输出",标准坦克设计!$B$23:$U$23,0)))*(VLOOKUP($B227,INDIRECT($B$5&amp;"生成成长"),3))*(VLOOKUP($B$5,标准坦克设计!$B$14:$K$20,9)/30))</f>
        <v>16.468653316977345</v>
      </c>
    </row>
    <row r="228" spans="1:167" x14ac:dyDescent="0.15">
      <c r="A228" s="171" t="str">
        <f t="shared" si="13"/>
        <v>T5高品质12级</v>
      </c>
      <c r="B228" s="172">
        <v>30512</v>
      </c>
      <c r="C228" s="173">
        <f ca="1">(VLOOKUP(C$72,INDIRECT($C$5&amp;"生成成长"),2))/((VLOOKUP($B228,INDIRECT($B$5&amp;"生成成长"),4))/(VLOOKUP(C$72,INDIRECT($C$5&amp;"生成成长"),5))*(VLOOKUP($B$5,标准坦克设计!$B$24:$U$30,MATCH("对"&amp;LEFT($C$5,2)&amp;"输出",标准坦克设计!$B$23:$U$23,0)))*(VLOOKUP($B228,INDIRECT($B$5&amp;"生成成长"),3))*(VLOOKUP($B$5,标准坦克设计!$B$14:$K$20,9)/30))</f>
        <v>0.66668118835936985</v>
      </c>
      <c r="D228" s="173">
        <f ca="1">(VLOOKUP(D$72,INDIRECT($C$5&amp;"生成成长"),2))/((VLOOKUP($B228,INDIRECT($B$5&amp;"生成成长"),4))/(VLOOKUP(D$72,INDIRECT($C$5&amp;"生成成长"),5))*(VLOOKUP($B$5,标准坦克设计!$B$24:$U$30,MATCH("对"&amp;LEFT($C$5,2)&amp;"输出",标准坦克设计!$B$23:$U$23,0)))*(VLOOKUP($B228,INDIRECT($B$5&amp;"生成成长"),3))*(VLOOKUP($B$5,标准坦克设计!$B$14:$K$20,9)/30))</f>
        <v>0.74908298324058809</v>
      </c>
      <c r="E228" s="173">
        <f ca="1">(VLOOKUP(E$72,INDIRECT($C$5&amp;"生成成长"),2))/((VLOOKUP($B228,INDIRECT($B$5&amp;"生成成长"),4))/(VLOOKUP(E$72,INDIRECT($C$5&amp;"生成成长"),5))*(VLOOKUP($B$5,标准坦克设计!$B$24:$U$30,MATCH("对"&amp;LEFT($C$5,2)&amp;"输出",标准坦克设计!$B$23:$U$23,0)))*(VLOOKUP($B228,INDIRECT($B$5&amp;"生成成长"),3))*(VLOOKUP($B$5,标准坦克设计!$B$14:$K$20,9)/30))</f>
        <v>0.83628488267799361</v>
      </c>
      <c r="F228" s="173">
        <f ca="1">(VLOOKUP(F$72,INDIRECT($C$5&amp;"生成成长"),2))/((VLOOKUP($B228,INDIRECT($B$5&amp;"生成成长"),4))/(VLOOKUP(F$72,INDIRECT($C$5&amp;"生成成长"),5))*(VLOOKUP($B$5,标准坦克设计!$B$24:$U$30,MATCH("对"&amp;LEFT($C$5,2)&amp;"输出",标准坦克设计!$B$23:$U$23,0)))*(VLOOKUP($B228,INDIRECT($B$5&amp;"生成成长"),3))*(VLOOKUP($B$5,标准坦克设计!$B$14:$K$20,9)/30))</f>
        <v>0.92828688667158665</v>
      </c>
      <c r="G228" s="173">
        <f ca="1">(VLOOKUP(G$72,INDIRECT($C$5&amp;"生成成长"),2))/((VLOOKUP($B228,INDIRECT($B$5&amp;"生成成长"),4))/(VLOOKUP(G$72,INDIRECT($C$5&amp;"生成成长"),5))*(VLOOKUP($B$5,标准坦克设计!$B$24:$U$30,MATCH("对"&amp;LEFT($C$5,2)&amp;"输出",标准坦克设计!$B$23:$U$23,0)))*(VLOOKUP($B228,INDIRECT($B$5&amp;"生成成长"),3))*(VLOOKUP($B$5,标准坦克设计!$B$14:$K$20,9)/30))</f>
        <v>1.0250889952213673</v>
      </c>
      <c r="H228" s="173">
        <f ca="1">(VLOOKUP(H$72,INDIRECT($C$5&amp;"生成成长"),2))/((VLOOKUP($B228,INDIRECT($B$5&amp;"生成成长"),4))/(VLOOKUP(H$72,INDIRECT($C$5&amp;"生成成长"),5))*(VLOOKUP($B$5,标准坦克设计!$B$24:$U$30,MATCH("对"&amp;LEFT($C$5,2)&amp;"输出",标准坦克设计!$B$23:$U$23,0)))*(VLOOKUP($B228,INDIRECT($B$5&amp;"生成成长"),3))*(VLOOKUP($B$5,标准坦克设计!$B$14:$K$20,9)/30))</f>
        <v>0.8970862070563681</v>
      </c>
      <c r="I228" s="173">
        <f ca="1">(VLOOKUP(I$72,INDIRECT($C$5&amp;"生成成长"),2))/((VLOOKUP($B228,INDIRECT($B$5&amp;"生成成长"),4))/(VLOOKUP(I$72,INDIRECT($C$5&amp;"生成成长"),5))*(VLOOKUP($B$5,标准坦克设计!$B$24:$U$30,MATCH("对"&amp;LEFT($C$5,2)&amp;"输出",标准坦克设计!$B$23:$U$23,0)))*(VLOOKUP($B228,INDIRECT($B$5&amp;"生成成长"),3))*(VLOOKUP($B$5,标准坦克设计!$B$14:$K$20,9)/30))</f>
        <v>1.0250889952213673</v>
      </c>
      <c r="J228" s="173">
        <f ca="1">(VLOOKUP(J$72,INDIRECT($C$5&amp;"生成成长"),2))/((VLOOKUP($B228,INDIRECT($B$5&amp;"生成成长"),4))/(VLOOKUP(J$72,INDIRECT($C$5&amp;"生成成长"),5))*(VLOOKUP($B$5,标准坦克设计!$B$24:$U$30,MATCH("对"&amp;LEFT($C$5,2)&amp;"输出",标准坦克设计!$B$23:$U$23,0)))*(VLOOKUP($B228,INDIRECT($B$5&amp;"生成成长"),3))*(VLOOKUP($B$5,标准坦克设计!$B$14:$K$20,9)/30))</f>
        <v>1.161625302597366</v>
      </c>
      <c r="K228" s="173">
        <f ca="1">(VLOOKUP(K$72,INDIRECT($C$5&amp;"生成成长"),2))/((VLOOKUP($B228,INDIRECT($B$5&amp;"生成成长"),4))/(VLOOKUP(K$72,INDIRECT($C$5&amp;"生成成长"),5))*(VLOOKUP($B$5,标准坦克设计!$B$24:$U$30,MATCH("对"&amp;LEFT($C$5,2)&amp;"输出",标准坦克设计!$B$23:$U$23,0)))*(VLOOKUP($B228,INDIRECT($B$5&amp;"生成成长"),3))*(VLOOKUP($B$5,标准坦克设计!$B$14:$K$20,9)/30))</f>
        <v>1.3066951291843651</v>
      </c>
      <c r="L228" s="173">
        <f ca="1">(VLOOKUP(L$72,INDIRECT($C$5&amp;"生成成长"),2))/((VLOOKUP($B228,INDIRECT($B$5&amp;"生成成长"),4))/(VLOOKUP(L$72,INDIRECT($C$5&amp;"生成成长"),5))*(VLOOKUP($B$5,标准坦克设计!$B$24:$U$30,MATCH("对"&amp;LEFT($C$5,2)&amp;"输出",标准坦克设计!$B$23:$U$23,0)))*(VLOOKUP($B228,INDIRECT($B$5&amp;"生成成长"),3))*(VLOOKUP($B$5,标准坦克设计!$B$14:$K$20,9)/30))</f>
        <v>1.4602984749823638</v>
      </c>
      <c r="M228" s="173">
        <f ca="1">(VLOOKUP(M$72,INDIRECT($C$5&amp;"生成成长"),2))/((VLOOKUP($B228,INDIRECT($B$5&amp;"生成成长"),4))/(VLOOKUP(M$72,INDIRECT($C$5&amp;"生成成长"),5))*(VLOOKUP($B$5,标准坦克设计!$B$24:$U$30,MATCH("对"&amp;LEFT($C$5,2)&amp;"输出",标准坦克设计!$B$23:$U$23,0)))*(VLOOKUP($B228,INDIRECT($B$5&amp;"生成成长"),3))*(VLOOKUP($B$5,标准坦克设计!$B$14:$K$20,9)/30))</f>
        <v>1.6224353399913627</v>
      </c>
      <c r="N228" s="173">
        <f ca="1">(VLOOKUP(N$72,INDIRECT($C$5&amp;"生成成长"),2))/((VLOOKUP($B228,INDIRECT($B$5&amp;"生成成长"),4))/(VLOOKUP(N$72,INDIRECT($C$5&amp;"生成成长"),5))*(VLOOKUP($B$5,标准坦克设计!$B$24:$U$30,MATCH("对"&amp;LEFT($C$5,2)&amp;"输出",标准坦克设计!$B$23:$U$23,0)))*(VLOOKUP($B228,INDIRECT($B$5&amp;"生成成长"),3))*(VLOOKUP($B$5,标准坦克设计!$B$14:$K$20,9)/30))</f>
        <v>1.7931057242113613</v>
      </c>
      <c r="O228" s="173">
        <f ca="1">(VLOOKUP(O$72,INDIRECT($C$5&amp;"生成成长"),2))/((VLOOKUP($B228,INDIRECT($B$5&amp;"生成成长"),4))/(VLOOKUP(O$72,INDIRECT($C$5&amp;"生成成长"),5))*(VLOOKUP($B$5,标准坦克设计!$B$24:$U$30,MATCH("对"&amp;LEFT($C$5,2)&amp;"输出",标准坦克设计!$B$23:$U$23,0)))*(VLOOKUP($B228,INDIRECT($B$5&amp;"生成成长"),3))*(VLOOKUP($B$5,标准坦克设计!$B$14:$K$20,9)/30))</f>
        <v>1.3632963620760754</v>
      </c>
      <c r="P228" s="173">
        <f ca="1">(VLOOKUP(P$72,INDIRECT($C$5&amp;"生成成长"),2))/((VLOOKUP($B228,INDIRECT($B$5&amp;"生成成长"),4))/(VLOOKUP(P$72,INDIRECT($C$5&amp;"生成成长"),5))*(VLOOKUP($B$5,标准坦克设计!$B$24:$U$30,MATCH("对"&amp;LEFT($C$5,2)&amp;"输出",标准坦克设计!$B$23:$U$23,0)))*(VLOOKUP($B228,INDIRECT($B$5&amp;"生成成长"),3))*(VLOOKUP($B$5,标准坦克设计!$B$14:$K$20,9)/30))</f>
        <v>1.5403002175854881</v>
      </c>
      <c r="Q228" s="173">
        <f ca="1">(VLOOKUP(Q$72,INDIRECT($C$5&amp;"生成成长"),2))/((VLOOKUP($B228,INDIRECT($B$5&amp;"生成成长"),4))/(VLOOKUP(Q$72,INDIRECT($C$5&amp;"生成成长"),5))*(VLOOKUP($B$5,标准坦克设计!$B$24:$U$30,MATCH("对"&amp;LEFT($C$5,2)&amp;"输出",标准坦克设计!$B$23:$U$23,0)))*(VLOOKUP($B228,INDIRECT($B$5&amp;"生成成长"),3))*(VLOOKUP($B$5,标准坦克设计!$B$14:$K$20,9)/30))</f>
        <v>1.7281043083463223</v>
      </c>
      <c r="R228" s="173">
        <f ca="1">(VLOOKUP(R$72,INDIRECT($C$5&amp;"生成成长"),2))/((VLOOKUP($B228,INDIRECT($B$5&amp;"生成成长"),4))/(VLOOKUP(R$72,INDIRECT($C$5&amp;"生成成长"),5))*(VLOOKUP($B$5,标准坦克设计!$B$24:$U$30,MATCH("对"&amp;LEFT($C$5,2)&amp;"输出",标准坦克设计!$B$23:$U$23,0)))*(VLOOKUP($B228,INDIRECT($B$5&amp;"生成成长"),3))*(VLOOKUP($B$5,标准坦克设计!$B$14:$K$20,9)/30))</f>
        <v>1.9267086343585789</v>
      </c>
      <c r="S228" s="173">
        <f ca="1">(VLOOKUP(S$72,INDIRECT($C$5&amp;"生成成长"),2))/((VLOOKUP($B228,INDIRECT($B$5&amp;"生成成长"),4))/(VLOOKUP(S$72,INDIRECT($C$5&amp;"生成成长"),5))*(VLOOKUP($B$5,标准坦克设计!$B$24:$U$30,MATCH("对"&amp;LEFT($C$5,2)&amp;"输出",标准坦克设计!$B$23:$U$23,0)))*(VLOOKUP($B228,INDIRECT($B$5&amp;"生成成长"),3))*(VLOOKUP($B$5,标准坦克设计!$B$14:$K$20,9)/30))</f>
        <v>2.1361131956222565</v>
      </c>
      <c r="T228" s="173">
        <f ca="1">(VLOOKUP(T$72,INDIRECT($C$5&amp;"生成成长"),2))/((VLOOKUP($B228,INDIRECT($B$5&amp;"生成成长"),4))/(VLOOKUP(T$72,INDIRECT($C$5&amp;"生成成长"),5))*(VLOOKUP($B$5,标准坦克设计!$B$24:$U$30,MATCH("对"&amp;LEFT($C$5,2)&amp;"输出",标准坦克设计!$B$23:$U$23,0)))*(VLOOKUP($B228,INDIRECT($B$5&amp;"生成成长"),3))*(VLOOKUP($B$5,标准坦克设计!$B$14:$K$20,9)/30))</f>
        <v>2.3563179921373569</v>
      </c>
      <c r="U228" s="173">
        <f ca="1">(VLOOKUP(U$72,INDIRECT($C$5&amp;"生成成长"),2))/((VLOOKUP($B228,INDIRECT($B$5&amp;"生成成长"),4))/(VLOOKUP(U$72,INDIRECT($C$5&amp;"生成成长"),5))*(VLOOKUP($B$5,标准坦克设计!$B$24:$U$30,MATCH("对"&amp;LEFT($C$5,2)&amp;"输出",标准坦克设计!$B$23:$U$23,0)))*(VLOOKUP($B228,INDIRECT($B$5&amp;"生成成长"),3))*(VLOOKUP($B$5,标准坦克设计!$B$14:$K$20,9)/30))</f>
        <v>2.5873230239038785</v>
      </c>
      <c r="V228" s="173">
        <f ca="1">(VLOOKUP(V$72,INDIRECT($C$5&amp;"生成成长"),2))/((VLOOKUP($B228,INDIRECT($B$5&amp;"生成成长"),4))/(VLOOKUP(V$72,INDIRECT($C$5&amp;"生成成长"),5))*(VLOOKUP($B$5,标准坦克设计!$B$24:$U$30,MATCH("对"&amp;LEFT($C$5,2)&amp;"输出",标准坦克设计!$B$23:$U$23,0)))*(VLOOKUP($B228,INDIRECT($B$5&amp;"生成成长"),3))*(VLOOKUP($B$5,标准坦克设计!$B$14:$K$20,9)/30))</f>
        <v>2.8291282909218212</v>
      </c>
      <c r="W228" s="173">
        <f ca="1">(VLOOKUP(W$72,INDIRECT($C$5&amp;"生成成长"),2))/((VLOOKUP($B228,INDIRECT($B$5&amp;"生成成长"),4))/(VLOOKUP(W$72,INDIRECT($C$5&amp;"生成成长"),5))*(VLOOKUP($B$5,标准坦克设计!$B$24:$U$30,MATCH("对"&amp;LEFT($C$5,2)&amp;"输出",标准坦克设计!$B$23:$U$23,0)))*(VLOOKUP($B228,INDIRECT($B$5&amp;"生成成长"),3))*(VLOOKUP($B$5,标准坦克设计!$B$14:$K$20,9)/30))</f>
        <v>3.0817337931911872</v>
      </c>
      <c r="X228" s="173">
        <f ca="1">(VLOOKUP(X$72,INDIRECT($C$5&amp;"生成成长"),2))/((VLOOKUP($B228,INDIRECT($B$5&amp;"生成成长"),4))/(VLOOKUP(X$72,INDIRECT($C$5&amp;"生成成长"),5))*(VLOOKUP($B$5,标准坦克设计!$B$24:$U$30,MATCH("对"&amp;LEFT($C$5,2)&amp;"输出",标准坦克设计!$B$23:$U$23,0)))*(VLOOKUP($B228,INDIRECT($B$5&amp;"生成成长"),3))*(VLOOKUP($B$5,标准坦克设计!$B$14:$K$20,9)/30))</f>
        <v>2.2326486316966943</v>
      </c>
      <c r="Y228" s="173">
        <f ca="1">(VLOOKUP(Y$72,INDIRECT($C$5&amp;"生成成长"),2))/((VLOOKUP($B228,INDIRECT($B$5&amp;"生成成长"),4))/(VLOOKUP(Y$72,INDIRECT($C$5&amp;"生成成长"),5))*(VLOOKUP($B$5,标准坦克设计!$B$24:$U$30,MATCH("对"&amp;LEFT($C$5,2)&amp;"输出",标准坦克设计!$B$23:$U$23,0)))*(VLOOKUP($B228,INDIRECT($B$5&amp;"生成成长"),3))*(VLOOKUP($B$5,标准坦克设计!$B$14:$K$20,9)/30))</f>
        <v>2.4833207585198172</v>
      </c>
      <c r="Z228" s="173">
        <f ca="1">(VLOOKUP(Z$72,INDIRECT($C$5&amp;"生成成长"),2))/((VLOOKUP($B228,INDIRECT($B$5&amp;"生成成长"),4))/(VLOOKUP(Z$72,INDIRECT($C$5&amp;"生成成长"),5))*(VLOOKUP($B$5,标准坦克设计!$B$24:$U$30,MATCH("对"&amp;LEFT($C$5,2)&amp;"输出",标准坦克设计!$B$23:$U$23,0)))*(VLOOKUP($B228,INDIRECT($B$5&amp;"生成成长"),3))*(VLOOKUP($B$5,标准坦克设计!$B$14:$K$20,9)/30))</f>
        <v>2.747326509110128</v>
      </c>
      <c r="AA228" s="173">
        <f ca="1">(VLOOKUP(AA$72,INDIRECT($C$5&amp;"生成成长"),2))/((VLOOKUP($B228,INDIRECT($B$5&amp;"生成成长"),4))/(VLOOKUP(AA$72,INDIRECT($C$5&amp;"生成成长"),5))*(VLOOKUP($B$5,标准坦克设计!$B$24:$U$30,MATCH("对"&amp;LEFT($C$5,2)&amp;"输出",标准坦克设计!$B$23:$U$23,0)))*(VLOOKUP($B228,INDIRECT($B$5&amp;"生成成长"),3))*(VLOOKUP($B$5,标准坦克设计!$B$14:$K$20,9)/30))</f>
        <v>3.0246658834676254</v>
      </c>
      <c r="AB228" s="173">
        <f ca="1">(VLOOKUP(AB$72,INDIRECT($C$5&amp;"生成成长"),2))/((VLOOKUP($B228,INDIRECT($B$5&amp;"生成成长"),4))/(VLOOKUP(AB$72,INDIRECT($C$5&amp;"生成成长"),5))*(VLOOKUP($B$5,标准坦克设计!$B$24:$U$30,MATCH("对"&amp;LEFT($C$5,2)&amp;"输出",标准坦克设计!$B$23:$U$23,0)))*(VLOOKUP($B228,INDIRECT($B$5&amp;"生成成长"),3))*(VLOOKUP($B$5,标准坦克设计!$B$14:$K$20,9)/30))</f>
        <v>3.3153388815923108</v>
      </c>
      <c r="AC228" s="173">
        <f ca="1">(VLOOKUP(AC$72,INDIRECT($C$5&amp;"生成成长"),2))/((VLOOKUP($B228,INDIRECT($B$5&amp;"生成成长"),4))/(VLOOKUP(AC$72,INDIRECT($C$5&amp;"生成成长"),5))*(VLOOKUP($B$5,标准坦克设计!$B$24:$U$30,MATCH("对"&amp;LEFT($C$5,2)&amp;"输出",标准坦克设计!$B$23:$U$23,0)))*(VLOOKUP($B228,INDIRECT($B$5&amp;"生成成长"),3))*(VLOOKUP($B$5,标准坦克设计!$B$14:$K$20,9)/30))</f>
        <v>3.6193455034841824</v>
      </c>
      <c r="AD228" s="173">
        <f ca="1">(VLOOKUP(AD$72,INDIRECT($C$5&amp;"生成成长"),2))/((VLOOKUP($B228,INDIRECT($B$5&amp;"生成成长"),4))/(VLOOKUP(AD$72,INDIRECT($C$5&amp;"生成成长"),5))*(VLOOKUP($B$5,标准坦克设计!$B$24:$U$30,MATCH("对"&amp;LEFT($C$5,2)&amp;"输出",标准坦克设计!$B$23:$U$23,0)))*(VLOOKUP($B228,INDIRECT($B$5&amp;"生成成长"),3))*(VLOOKUP($B$5,标准坦克设计!$B$14:$K$20,9)/30))</f>
        <v>3.9366857491432428</v>
      </c>
      <c r="AE228" s="173">
        <f ca="1">(VLOOKUP(AE$72,INDIRECT($C$5&amp;"生成成长"),2))/((VLOOKUP($B228,INDIRECT($B$5&amp;"生成成长"),4))/(VLOOKUP(AE$72,INDIRECT($C$5&amp;"生成成长"),5))*(VLOOKUP($B$5,标准坦克设计!$B$24:$U$30,MATCH("对"&amp;LEFT($C$5,2)&amp;"输出",标准坦克设计!$B$23:$U$23,0)))*(VLOOKUP($B228,INDIRECT($B$5&amp;"生成成长"),3))*(VLOOKUP($B$5,标准坦克设计!$B$14:$K$20,9)/30))</f>
        <v>4.2673596185694915</v>
      </c>
      <c r="AF228" s="173">
        <f ca="1">(VLOOKUP(AF$72,INDIRECT($C$5&amp;"生成成长"),2))/((VLOOKUP($B228,INDIRECT($B$5&amp;"生成成长"),4))/(VLOOKUP(AF$72,INDIRECT($C$5&amp;"生成成长"),5))*(VLOOKUP($B$5,标准坦克设计!$B$24:$U$30,MATCH("对"&amp;LEFT($C$5,2)&amp;"输出",标准坦克设计!$B$23:$U$23,0)))*(VLOOKUP($B228,INDIRECT($B$5&amp;"生成成长"),3))*(VLOOKUP($B$5,标准坦克设计!$B$14:$K$20,9)/30))</f>
        <v>4.6113671117629256</v>
      </c>
      <c r="AG228" s="173">
        <f ca="1">(VLOOKUP(AG$72,INDIRECT($C$5&amp;"生成成长"),2))/((VLOOKUP($B228,INDIRECT($B$5&amp;"生成成长"),4))/(VLOOKUP(AG$72,INDIRECT($C$5&amp;"生成成长"),5))*(VLOOKUP($B$5,标准坦克设计!$B$24:$U$30,MATCH("对"&amp;LEFT($C$5,2)&amp;"输出",标准坦克设计!$B$23:$U$23,0)))*(VLOOKUP($B228,INDIRECT($B$5&amp;"生成成长"),3))*(VLOOKUP($B$5,标准坦克设计!$B$14:$K$20,9)/30))</f>
        <v>4.9687082287235471</v>
      </c>
      <c r="AH228" s="173">
        <f ca="1">(VLOOKUP(AH$72,INDIRECT($C$5&amp;"生成成长"),2))/((VLOOKUP($B228,INDIRECT($B$5&amp;"生成成长"),4))/(VLOOKUP(AH$72,INDIRECT($C$5&amp;"生成成长"),5))*(VLOOKUP($B$5,标准坦克设计!$B$24:$U$30,MATCH("对"&amp;LEFT($C$5,2)&amp;"输出",标准坦克设计!$B$23:$U$23,0)))*(VLOOKUP($B228,INDIRECT($B$5&amp;"生成成长"),3))*(VLOOKUP($B$5,标准坦克设计!$B$14:$K$20,9)/30))</f>
        <v>5.3393829694513579</v>
      </c>
      <c r="AI228" s="173">
        <f ca="1">(VLOOKUP(AI$72,INDIRECT($C$5&amp;"生成成长"),2))/((VLOOKUP($B228,INDIRECT($B$5&amp;"生成成长"),4))/(VLOOKUP(AI$72,INDIRECT($C$5&amp;"生成成长"),5))*(VLOOKUP($B$5,标准坦克设计!$B$24:$U$30,MATCH("对"&amp;LEFT($C$5,2)&amp;"输出",标准坦克设计!$B$23:$U$23,0)))*(VLOOKUP($B228,INDIRECT($B$5&amp;"生成成长"),3))*(VLOOKUP($B$5,标准坦克设计!$B$14:$K$20,9)/30))</f>
        <v>3.7763489233428142</v>
      </c>
      <c r="AJ228" s="173">
        <f ca="1">(VLOOKUP(AJ$72,INDIRECT($C$5&amp;"生成成长"),2))/((VLOOKUP($B228,INDIRECT($B$5&amp;"生成成长"),4))/(VLOOKUP(AJ$72,INDIRECT($C$5&amp;"生成成长"),5))*(VLOOKUP($B$5,标准坦克设计!$B$24:$U$30,MATCH("对"&amp;LEFT($C$5,2)&amp;"输出",标准坦克设计!$B$23:$U$23,0)))*(VLOOKUP($B228,INDIRECT($B$5&amp;"生成成长"),3))*(VLOOKUP($B$5,标准坦克设计!$B$14:$K$20,9)/30))</f>
        <v>4.13349003594693</v>
      </c>
      <c r="AK228" s="173">
        <f ca="1">(VLOOKUP(AK$72,INDIRECT($C$5&amp;"生成成长"),2))/((VLOOKUP($B228,INDIRECT($B$5&amp;"生成成长"),4))/(VLOOKUP(AK$72,INDIRECT($C$5&amp;"生成成长"),5))*(VLOOKUP($B$5,标准坦克设计!$B$24:$U$30,MATCH("对"&amp;LEFT($C$5,2)&amp;"输出",标准坦克设计!$B$23:$U$23,0)))*(VLOOKUP($B228,INDIRECT($B$5&amp;"生成成长"),3))*(VLOOKUP($B$5,标准坦克设计!$B$14:$K$20,9)/30))</f>
        <v>4.5067648333093402</v>
      </c>
      <c r="AL228" s="173">
        <f ca="1">(VLOOKUP(AL$72,INDIRECT($C$5&amp;"生成成长"),2))/((VLOOKUP($B228,INDIRECT($B$5&amp;"生成成长"),4))/(VLOOKUP(AL$72,INDIRECT($C$5&amp;"生成成长"),5))*(VLOOKUP($B$5,标准坦克设计!$B$24:$U$30,MATCH("对"&amp;LEFT($C$5,2)&amp;"输出",标准坦克设计!$B$23:$U$23,0)))*(VLOOKUP($B228,INDIRECT($B$5&amp;"生成成长"),3))*(VLOOKUP($B$5,标准坦克设计!$B$14:$K$20,9)/30))</f>
        <v>4.8961733154300484</v>
      </c>
      <c r="AM228" s="173">
        <f ca="1">(VLOOKUP(AM$72,INDIRECT($C$5&amp;"生成成长"),2))/((VLOOKUP($B228,INDIRECT($B$5&amp;"生成成长"),4))/(VLOOKUP(AM$72,INDIRECT($C$5&amp;"生成成长"),5))*(VLOOKUP($B$5,标准坦克设计!$B$24:$U$30,MATCH("对"&amp;LEFT($C$5,2)&amp;"输出",标准坦克设计!$B$23:$U$23,0)))*(VLOOKUP($B228,INDIRECT($B$5&amp;"生成成长"),3))*(VLOOKUP($B$5,标准坦克设计!$B$14:$K$20,9)/30))</f>
        <v>5.3017154823090529</v>
      </c>
      <c r="AN228" s="173">
        <f ca="1">(VLOOKUP(AN$72,INDIRECT($C$5&amp;"生成成长"),2))/((VLOOKUP($B228,INDIRECT($B$5&amp;"生成成长"),4))/(VLOOKUP(AN$72,INDIRECT($C$5&amp;"生成成长"),5))*(VLOOKUP($B$5,标准坦克设计!$B$24:$U$30,MATCH("对"&amp;LEFT($C$5,2)&amp;"输出",标准坦克设计!$B$23:$U$23,0)))*(VLOOKUP($B228,INDIRECT($B$5&amp;"生成成长"),3))*(VLOOKUP($B$5,标准坦克设计!$B$14:$K$20,9)/30))</f>
        <v>5.7233913339463545</v>
      </c>
      <c r="AO228" s="173">
        <f ca="1">(VLOOKUP(AO$72,INDIRECT($C$5&amp;"生成成长"),2))/((VLOOKUP($B228,INDIRECT($B$5&amp;"生成成长"),4))/(VLOOKUP(AO$72,INDIRECT($C$5&amp;"生成成长"),5))*(VLOOKUP($B$5,标准坦克设计!$B$24:$U$30,MATCH("对"&amp;LEFT($C$5,2)&amp;"输出",标准坦克设计!$B$23:$U$23,0)))*(VLOOKUP($B228,INDIRECT($B$5&amp;"生成成长"),3))*(VLOOKUP($B$5,标准坦克设计!$B$14:$K$20,9)/30))</f>
        <v>6.1612008703419523</v>
      </c>
      <c r="AP228" s="173">
        <f ca="1">(VLOOKUP(AP$72,INDIRECT($C$5&amp;"生成成长"),2))/((VLOOKUP($B228,INDIRECT($B$5&amp;"生成成长"),4))/(VLOOKUP(AP$72,INDIRECT($C$5&amp;"生成成长"),5))*(VLOOKUP($B$5,标准坦克设计!$B$24:$U$30,MATCH("对"&amp;LEFT($C$5,2)&amp;"输出",标准坦克设计!$B$23:$U$23,0)))*(VLOOKUP($B228,INDIRECT($B$5&amp;"生成成长"),3))*(VLOOKUP($B$5,标准坦克设计!$B$14:$K$20,9)/30))</f>
        <v>6.6151440914958464</v>
      </c>
      <c r="AQ228" s="173">
        <f ca="1">(VLOOKUP(AQ$72,INDIRECT($C$5&amp;"生成成长"),2))/((VLOOKUP($B228,INDIRECT($B$5&amp;"生成成长"),4))/(VLOOKUP(AQ$72,INDIRECT($C$5&amp;"生成成长"),5))*(VLOOKUP($B$5,标准坦克设计!$B$24:$U$30,MATCH("对"&amp;LEFT($C$5,2)&amp;"输出",标准坦克设计!$B$23:$U$23,0)))*(VLOOKUP($B228,INDIRECT($B$5&amp;"生成成长"),3))*(VLOOKUP($B$5,标准坦克设计!$B$14:$K$20,9)/30))</f>
        <v>7.0852209974080402</v>
      </c>
      <c r="AR228" s="173">
        <f ca="1">(VLOOKUP(AR$72,INDIRECT($C$5&amp;"生成成长"),2))/((VLOOKUP($B228,INDIRECT($B$5&amp;"生成成长"),4))/(VLOOKUP(AR$72,INDIRECT($C$5&amp;"生成成长"),5))*(VLOOKUP($B$5,标准坦克设计!$B$24:$U$30,MATCH("对"&amp;LEFT($C$5,2)&amp;"输出",标准坦克设计!$B$23:$U$23,0)))*(VLOOKUP($B228,INDIRECT($B$5&amp;"生成成长"),3))*(VLOOKUP($B$5,标准坦克设计!$B$14:$K$20,9)/30))</f>
        <v>7.5714315880785268</v>
      </c>
      <c r="AS228" s="173">
        <f ca="1">(VLOOKUP(AS$72,INDIRECT($C$5&amp;"生成成长"),2))/((VLOOKUP($B228,INDIRECT($B$5&amp;"生成成长"),4))/(VLOOKUP(AS$72,INDIRECT($C$5&amp;"生成成长"),5))*(VLOOKUP($B$5,标准坦克设计!$B$24:$U$30,MATCH("对"&amp;LEFT($C$5,2)&amp;"输出",标准坦克设计!$B$23:$U$23,0)))*(VLOOKUP($B228,INDIRECT($B$5&amp;"生成成长"),3))*(VLOOKUP($B$5,标准坦克设计!$B$14:$K$20,9)/30))</f>
        <v>8.0737758635073131</v>
      </c>
      <c r="AT228" s="173">
        <f ca="1">(VLOOKUP(AT$72,INDIRECT($C$5&amp;"生成成长"),2))/((VLOOKUP($B228,INDIRECT($B$5&amp;"生成成长"),4))/(VLOOKUP(AT$72,INDIRECT($C$5&amp;"生成成长"),5))*(VLOOKUP($B$5,标准坦克设计!$B$24:$U$30,MATCH("对"&amp;LEFT($C$5,2)&amp;"输出",标准坦克设计!$B$23:$U$23,0)))*(VLOOKUP($B228,INDIRECT($B$5&amp;"生成成长"),3))*(VLOOKUP($B$5,标准坦克设计!$B$14:$K$20,9)/30))</f>
        <v>8.5922538236943957</v>
      </c>
      <c r="AU228" s="173">
        <f ca="1">(VLOOKUP(AU$72,INDIRECT($C$5&amp;"生成成长"),2))/((VLOOKUP($B228,INDIRECT($B$5&amp;"生成成长"),4))/(VLOOKUP(AU$72,INDIRECT($C$5&amp;"生成成长"),5))*(VLOOKUP($B$5,标准坦克设计!$B$24:$U$30,MATCH("对"&amp;LEFT($C$5,2)&amp;"输出",标准坦克设计!$B$23:$U$23,0)))*(VLOOKUP($B228,INDIRECT($B$5&amp;"生成成长"),3))*(VLOOKUP($B$5,标准坦克设计!$B$14:$K$20,9)/30))</f>
        <v>9.1268654686397745</v>
      </c>
      <c r="AV228" s="173">
        <f ca="1">(VLOOKUP(AV$72,INDIRECT($C$5&amp;"生成成长"),2))/((VLOOKUP($B228,INDIRECT($B$5&amp;"生成成长"),4))/(VLOOKUP(AV$72,INDIRECT($C$5&amp;"生成成长"),5))*(VLOOKUP($B$5,标准坦克设计!$B$24:$U$30,MATCH("对"&amp;LEFT($C$5,2)&amp;"输出",标准坦克设计!$B$23:$U$23,0)))*(VLOOKUP($B228,INDIRECT($B$5&amp;"生成成长"),3))*(VLOOKUP($B$5,标准坦克设计!$B$14:$K$20,9)/30))</f>
        <v>0.92828688667158665</v>
      </c>
      <c r="AW228" s="173">
        <f ca="1">(VLOOKUP(AW$72,INDIRECT($C$5&amp;"生成成长"),2))/((VLOOKUP($B228,INDIRECT($B$5&amp;"生成成长"),4))/(VLOOKUP(AW$72,INDIRECT($C$5&amp;"生成成长"),5))*(VLOOKUP($B$5,标准坦克设计!$B$24:$U$30,MATCH("对"&amp;LEFT($C$5,2)&amp;"输出",标准坦克设计!$B$23:$U$23,0)))*(VLOOKUP($B228,INDIRECT($B$5&amp;"生成成长"),3))*(VLOOKUP($B$5,标准坦克设计!$B$14:$K$20,9)/30))</f>
        <v>1.0584230546393356</v>
      </c>
      <c r="AX228" s="173">
        <f ca="1">(VLOOKUP(AX$72,INDIRECT($C$5&amp;"生成成长"),2))/((VLOOKUP($B228,INDIRECT($B$5&amp;"生成成长"),4))/(VLOOKUP(AX$72,INDIRECT($C$5&amp;"生成成长"),5))*(VLOOKUP($B$5,标准坦克设计!$B$24:$U$30,MATCH("对"&amp;LEFT($C$5,2)&amp;"输出",标准坦克设计!$B$23:$U$23,0)))*(VLOOKUP($B228,INDIRECT($B$5&amp;"生成成长"),3))*(VLOOKUP($B$5,标准坦克设计!$B$14:$K$20,9)/30))</f>
        <v>1.1970927418180846</v>
      </c>
      <c r="AY228" s="173">
        <f ca="1">(VLOOKUP(AY$72,INDIRECT($C$5&amp;"生成成长"),2))/((VLOOKUP($B228,INDIRECT($B$5&amp;"生成成长"),4))/(VLOOKUP(AY$72,INDIRECT($C$5&amp;"生成成长"),5))*(VLOOKUP($B$5,标准坦克设计!$B$24:$U$30,MATCH("对"&amp;LEFT($C$5,2)&amp;"输出",标准坦克设计!$B$23:$U$23,0)))*(VLOOKUP($B228,INDIRECT($B$5&amp;"生成成长"),3))*(VLOOKUP($B$5,标准坦克设计!$B$14:$K$20,9)/30))</f>
        <v>1.3442959482078334</v>
      </c>
      <c r="AZ228" s="173">
        <f ca="1">(VLOOKUP(AZ$72,INDIRECT($C$5&amp;"生成成长"),2))/((VLOOKUP($B228,INDIRECT($B$5&amp;"生成成长"),4))/(VLOOKUP(AZ$72,INDIRECT($C$5&amp;"生成成长"),5))*(VLOOKUP($B$5,标准坦克设计!$B$24:$U$30,MATCH("对"&amp;LEFT($C$5,2)&amp;"输出",标准坦克设计!$B$23:$U$23,0)))*(VLOOKUP($B228,INDIRECT($B$5&amp;"生成成长"),3))*(VLOOKUP($B$5,标准坦克设计!$B$14:$K$20,9)/30))</f>
        <v>1.5000326738085821</v>
      </c>
      <c r="BA228" s="173">
        <f ca="1">(VLOOKUP(BA$72,INDIRECT($C$5&amp;"生成成长"),2))/((VLOOKUP($B228,INDIRECT($B$5&amp;"生成成长"),4))/(VLOOKUP(BA$72,INDIRECT($C$5&amp;"生成成长"),5))*(VLOOKUP($B$5,标准坦克设计!$B$24:$U$30,MATCH("对"&amp;LEFT($C$5,2)&amp;"输出",标准坦克设计!$B$23:$U$23,0)))*(VLOOKUP($B228,INDIRECT($B$5&amp;"生成成长"),3))*(VLOOKUP($B$5,标准坦克设计!$B$14:$K$20,9)/30))</f>
        <v>1.6643029186203309</v>
      </c>
      <c r="BB228" s="173">
        <f ca="1">(VLOOKUP(BB$72,INDIRECT($C$5&amp;"生成成长"),2))/((VLOOKUP($B228,INDIRECT($B$5&amp;"生成成长"),4))/(VLOOKUP(BB$72,INDIRECT($C$5&amp;"生成成长"),5))*(VLOOKUP($B$5,标准坦克设计!$B$24:$U$30,MATCH("对"&amp;LEFT($C$5,2)&amp;"输出",标准坦克设计!$B$23:$U$23,0)))*(VLOOKUP($B228,INDIRECT($B$5&amp;"生成成长"),3))*(VLOOKUP($B$5,标准坦克设计!$B$14:$K$20,9)/30))</f>
        <v>1.8371066826430795</v>
      </c>
      <c r="BC228" s="173">
        <f ca="1">(VLOOKUP(BC$72,INDIRECT($C$5&amp;"生成成长"),2))/((VLOOKUP($B228,INDIRECT($B$5&amp;"生成成长"),4))/(VLOOKUP(BC$72,INDIRECT($C$5&amp;"生成成长"),5))*(VLOOKUP($B$5,标准坦克设计!$B$24:$U$30,MATCH("对"&amp;LEFT($C$5,2)&amp;"输出",标准坦克设计!$B$23:$U$23,0)))*(VLOOKUP($B228,INDIRECT($B$5&amp;"生成成长"),3))*(VLOOKUP($B$5,标准坦克设计!$B$14:$K$20,9)/30))</f>
        <v>2.0184439658768283</v>
      </c>
      <c r="BD228" s="173">
        <f ca="1">(VLOOKUP(BD$72,INDIRECT($C$5&amp;"生成成长"),2))/((VLOOKUP($B228,INDIRECT($B$5&amp;"生成成长"),4))/(VLOOKUP(BD$72,INDIRECT($C$5&amp;"生成成长"),5))*(VLOOKUP($B$5,标准坦克设计!$B$24:$U$30,MATCH("对"&amp;LEFT($C$5,2)&amp;"输出",标准坦克设计!$B$23:$U$23,0)))*(VLOOKUP($B228,INDIRECT($B$5&amp;"生成成长"),3))*(VLOOKUP($B$5,标准坦克设计!$B$14:$K$20,9)/30))</f>
        <v>2.2326486316966943</v>
      </c>
      <c r="BE228" s="173">
        <f ca="1">(VLOOKUP(BE$72,INDIRECT($C$5&amp;"生成成长"),2))/((VLOOKUP($B228,INDIRECT($B$5&amp;"生成成长"),4))/(VLOOKUP(BE$72,INDIRECT($C$5&amp;"生成成长"),5))*(VLOOKUP($B$5,标准坦克设计!$B$24:$U$30,MATCH("对"&amp;LEFT($C$5,2)&amp;"输出",标准坦克设计!$B$23:$U$23,0)))*(VLOOKUP($B228,INDIRECT($B$5&amp;"生成成长"),3))*(VLOOKUP($B$5,标准坦克设计!$B$14:$K$20,9)/30))</f>
        <v>2.4576535327679809</v>
      </c>
      <c r="BF228" s="173">
        <f ca="1">(VLOOKUP(BF$72,INDIRECT($C$5&amp;"生成成长"),2))/((VLOOKUP($B228,INDIRECT($B$5&amp;"生成成长"),4))/(VLOOKUP(BF$72,INDIRECT($C$5&amp;"生成成长"),5))*(VLOOKUP($B$5,标准坦克设计!$B$24:$U$30,MATCH("对"&amp;LEFT($C$5,2)&amp;"输出",标准坦克设计!$B$23:$U$23,0)))*(VLOOKUP($B228,INDIRECT($B$5&amp;"生成成长"),3))*(VLOOKUP($B$5,标准坦克设计!$B$14:$K$20,9)/30))</f>
        <v>2.6934586690906905</v>
      </c>
      <c r="BG228" s="173">
        <f ca="1">(VLOOKUP(BG$72,INDIRECT($C$5&amp;"生成成长"),2))/((VLOOKUP($B228,INDIRECT($B$5&amp;"生成成长"),4))/(VLOOKUP(BG$72,INDIRECT($C$5&amp;"生成成长"),5))*(VLOOKUP($B$5,标准坦克设计!$B$24:$U$30,MATCH("对"&amp;LEFT($C$5,2)&amp;"输出",标准坦克设计!$B$23:$U$23,0)))*(VLOOKUP($B228,INDIRECT($B$5&amp;"生成成长"),3))*(VLOOKUP($B$5,标准坦克设计!$B$14:$K$20,9)/30))</f>
        <v>2.9400640406648213</v>
      </c>
      <c r="BH228" s="173">
        <f ca="1">(VLOOKUP(BH$72,INDIRECT($C$5&amp;"生成成长"),2))/((VLOOKUP($B228,INDIRECT($B$5&amp;"生成成长"),4))/(VLOOKUP(BH$72,INDIRECT($C$5&amp;"生成成长"),5))*(VLOOKUP($B$5,标准坦克设计!$B$24:$U$30,MATCH("对"&amp;LEFT($C$5,2)&amp;"输出",标准坦克设计!$B$23:$U$23,0)))*(VLOOKUP($B228,INDIRECT($B$5&amp;"生成成长"),3))*(VLOOKUP($B$5,标准坦克设计!$B$14:$K$20,9)/30))</f>
        <v>1.4210976211068327</v>
      </c>
      <c r="BI228" s="173">
        <f ca="1">(VLOOKUP(BI$72,INDIRECT($C$5&amp;"生成成长"),2))/((VLOOKUP($B228,INDIRECT($B$5&amp;"生成成长"),4))/(VLOOKUP(BI$72,INDIRECT($C$5&amp;"生成成长"),5))*(VLOOKUP($B$5,标准坦克设计!$B$24:$U$30,MATCH("对"&amp;LEFT($C$5,2)&amp;"输出",标准坦克设计!$B$23:$U$23,0)))*(VLOOKUP($B228,INDIRECT($B$5&amp;"生成成长"),3))*(VLOOKUP($B$5,标准坦克设计!$B$14:$K$20,9)/30))</f>
        <v>1.6017015550333862</v>
      </c>
      <c r="BJ228" s="173">
        <f ca="1">(VLOOKUP(BJ$72,INDIRECT($C$5&amp;"生成成长"),2))/((VLOOKUP($B228,INDIRECT($B$5&amp;"生成成长"),4))/(VLOOKUP(BJ$72,INDIRECT($C$5&amp;"生成成长"),5))*(VLOOKUP($B$5,标准坦克设计!$B$24:$U$30,MATCH("对"&amp;LEFT($C$5,2)&amp;"输出",标准坦克设计!$B$23:$U$23,0)))*(VLOOKUP($B228,INDIRECT($B$5&amp;"生成成长"),3))*(VLOOKUP($B$5,标准坦克设计!$B$14:$K$20,9)/30))</f>
        <v>1.7931057242113613</v>
      </c>
      <c r="BK228" s="173">
        <f ca="1">(VLOOKUP(BK$72,INDIRECT($C$5&amp;"生成成长"),2))/((VLOOKUP($B228,INDIRECT($B$5&amp;"生成成长"),4))/(VLOOKUP(BK$72,INDIRECT($C$5&amp;"生成成长"),5))*(VLOOKUP($B$5,标准坦克设计!$B$24:$U$30,MATCH("对"&amp;LEFT($C$5,2)&amp;"输出",标准坦克设计!$B$23:$U$23,0)))*(VLOOKUP($B228,INDIRECT($B$5&amp;"生成成长"),3))*(VLOOKUP($B$5,标准坦克设计!$B$14:$K$20,9)/30))</f>
        <v>1.9953101286407582</v>
      </c>
      <c r="BL228" s="173">
        <f ca="1">(VLOOKUP(BL$72,INDIRECT($C$5&amp;"生成成长"),2))/((VLOOKUP($B228,INDIRECT($B$5&amp;"生成成长"),4))/(VLOOKUP(BL$72,INDIRECT($C$5&amp;"生成成长"),5))*(VLOOKUP($B$5,标准坦克设计!$B$24:$U$30,MATCH("对"&amp;LEFT($C$5,2)&amp;"输出",标准坦克设计!$B$23:$U$23,0)))*(VLOOKUP($B228,INDIRECT($B$5&amp;"生成成长"),3))*(VLOOKUP($B$5,标准坦克设计!$B$14:$K$20,9)/30))</f>
        <v>2.2083147683215771</v>
      </c>
      <c r="BM228" s="173">
        <f ca="1">(VLOOKUP(BM$72,INDIRECT($C$5&amp;"生成成长"),2))/((VLOOKUP($B228,INDIRECT($B$5&amp;"生成成长"),4))/(VLOOKUP(BM$72,INDIRECT($C$5&amp;"生成成长"),5))*(VLOOKUP($B$5,标准坦克设计!$B$24:$U$30,MATCH("对"&amp;LEFT($C$5,2)&amp;"输出",标准坦克设计!$B$23:$U$23,0)))*(VLOOKUP($B228,INDIRECT($B$5&amp;"生成成长"),3))*(VLOOKUP($B$5,标准坦克设计!$B$14:$K$20,9)/30))</f>
        <v>2.432119643253817</v>
      </c>
      <c r="BN228" s="173">
        <f ca="1">(VLOOKUP(BN$72,INDIRECT($C$5&amp;"生成成长"),2))/((VLOOKUP($B228,INDIRECT($B$5&amp;"生成成长"),4))/(VLOOKUP(BN$72,INDIRECT($C$5&amp;"生成成长"),5))*(VLOOKUP($B$5,标准坦克设计!$B$24:$U$30,MATCH("对"&amp;LEFT($C$5,2)&amp;"输出",标准坦克设计!$B$23:$U$23,0)))*(VLOOKUP($B228,INDIRECT($B$5&amp;"生成成长"),3))*(VLOOKUP($B$5,标准坦克设计!$B$14:$K$20,9)/30))</f>
        <v>2.6667247534374794</v>
      </c>
      <c r="BO228" s="173">
        <f ca="1">(VLOOKUP(BO$72,INDIRECT($C$5&amp;"生成成长"),2))/((VLOOKUP($B228,INDIRECT($B$5&amp;"生成成长"),4))/(VLOOKUP(BO$72,INDIRECT($C$5&amp;"生成成长"),5))*(VLOOKUP($B$5,标准坦克设计!$B$24:$U$30,MATCH("对"&amp;LEFT($C$5,2)&amp;"输出",标准坦克设计!$B$23:$U$23,0)))*(VLOOKUP($B228,INDIRECT($B$5&amp;"生成成长"),3))*(VLOOKUP($B$5,标准坦克设计!$B$14:$K$20,9)/30))</f>
        <v>2.9121300988725634</v>
      </c>
      <c r="BP228" s="173">
        <f ca="1">(VLOOKUP(BP$72,INDIRECT($C$5&amp;"生成成长"),2))/((VLOOKUP($B228,INDIRECT($B$5&amp;"生成成长"),4))/(VLOOKUP(BP$72,INDIRECT($C$5&amp;"生成成长"),5))*(VLOOKUP($B$5,标准坦克设计!$B$24:$U$30,MATCH("对"&amp;LEFT($C$5,2)&amp;"输出",标准坦克设计!$B$23:$U$23,0)))*(VLOOKUP($B228,INDIRECT($B$5&amp;"生成成长"),3))*(VLOOKUP($B$5,标准坦克设计!$B$14:$K$20,9)/30))</f>
        <v>3.1683356795590698</v>
      </c>
      <c r="BQ228" s="173">
        <f ca="1">(VLOOKUP(BQ$72,INDIRECT($C$5&amp;"生成成长"),2))/((VLOOKUP($B228,INDIRECT($B$5&amp;"生成成长"),4))/(VLOOKUP(BQ$72,INDIRECT($C$5&amp;"生成成长"),5))*(VLOOKUP($B$5,标准坦克设计!$B$24:$U$30,MATCH("对"&amp;LEFT($C$5,2)&amp;"输出",标准坦克设计!$B$23:$U$23,0)))*(VLOOKUP($B228,INDIRECT($B$5&amp;"生成成长"),3))*(VLOOKUP($B$5,标准坦克设计!$B$14:$K$20,9)/30))</f>
        <v>3.4353414954969974</v>
      </c>
      <c r="BR228" s="173">
        <f ca="1">(VLOOKUP(BR$72,INDIRECT($C$5&amp;"生成成长"),2))/((VLOOKUP($B228,INDIRECT($B$5&amp;"生成成长"),4))/(VLOOKUP(BR$72,INDIRECT($C$5&amp;"生成成长"),5))*(VLOOKUP($B$5,标准坦克设计!$B$24:$U$30,MATCH("对"&amp;LEFT($C$5,2)&amp;"输出",标准坦克设计!$B$23:$U$23,0)))*(VLOOKUP($B228,INDIRECT($B$5&amp;"生成成长"),3))*(VLOOKUP($B$5,标准坦克设计!$B$14:$K$20,9)/30))</f>
        <v>3.7446815668957441</v>
      </c>
      <c r="BS228" s="173">
        <f ca="1">(VLOOKUP(BS$72,INDIRECT($C$5&amp;"生成成长"),2))/((VLOOKUP($B228,INDIRECT($B$5&amp;"生成成长"),4))/(VLOOKUP(BS$72,INDIRECT($C$5&amp;"生成成长"),5))*(VLOOKUP($B$5,标准坦克设计!$B$24:$U$30,MATCH("对"&amp;LEFT($C$5,2)&amp;"输出",标准坦克设计!$B$23:$U$23,0)))*(VLOOKUP($B228,INDIRECT($B$5&amp;"生成成长"),3))*(VLOOKUP($B$5,标准坦克设计!$B$14:$K$20,9)/30))</f>
        <v>4.06735526206168</v>
      </c>
      <c r="BT228" s="173">
        <f ca="1">(VLOOKUP(BT$72,INDIRECT($C$5&amp;"生成成长"),2))/((VLOOKUP($B228,INDIRECT($B$5&amp;"生成成长"),4))/(VLOOKUP(BT$72,INDIRECT($C$5&amp;"生成成长"),5))*(VLOOKUP($B$5,标准坦克设计!$B$24:$U$30,MATCH("对"&amp;LEFT($C$5,2)&amp;"输出",标准坦克设计!$B$23:$U$23,0)))*(VLOOKUP($B228,INDIRECT($B$5&amp;"生成成长"),3))*(VLOOKUP($B$5,标准坦克设计!$B$14:$K$20,9)/30))</f>
        <v>4.4033625809948029</v>
      </c>
      <c r="BU228" s="173">
        <f ca="1">(VLOOKUP(BU$72,INDIRECT($C$5&amp;"生成成长"),2))/((VLOOKUP($B228,INDIRECT($B$5&amp;"生成成长"),4))/(VLOOKUP(BU$72,INDIRECT($C$5&amp;"生成成长"),5))*(VLOOKUP($B$5,标准坦克设计!$B$24:$U$30,MATCH("对"&amp;LEFT($C$5,2)&amp;"输出",标准坦克设计!$B$23:$U$23,0)))*(VLOOKUP($B228,INDIRECT($B$5&amp;"生成成长"),3))*(VLOOKUP($B$5,标准坦克设计!$B$14:$K$20,9)/30))</f>
        <v>4.7527035236951116</v>
      </c>
      <c r="BV228" s="173">
        <f ca="1">(VLOOKUP(BV$72,INDIRECT($C$5&amp;"生成成长"),2))/((VLOOKUP($B228,INDIRECT($B$5&amp;"生成成长"),4))/(VLOOKUP(BV$72,INDIRECT($C$5&amp;"生成成长"),5))*(VLOOKUP($B$5,标准坦克设计!$B$24:$U$30,MATCH("对"&amp;LEFT($C$5,2)&amp;"输出",标准坦克设计!$B$23:$U$23,0)))*(VLOOKUP($B228,INDIRECT($B$5&amp;"生成成长"),3))*(VLOOKUP($B$5,标准坦克设计!$B$14:$K$20,9)/30))</f>
        <v>5.1153780901626087</v>
      </c>
      <c r="BW228" s="173">
        <f ca="1">(VLOOKUP(BW$72,INDIRECT($C$5&amp;"生成成长"),2))/((VLOOKUP($B228,INDIRECT($B$5&amp;"生成成长"),4))/(VLOOKUP(BW$72,INDIRECT($C$5&amp;"生成成长"),5))*(VLOOKUP($B$5,标准坦克设计!$B$24:$U$30,MATCH("对"&amp;LEFT($C$5,2)&amp;"输出",标准坦克设计!$B$23:$U$23,0)))*(VLOOKUP($B228,INDIRECT($B$5&amp;"生成成长"),3))*(VLOOKUP($B$5,标准坦克设计!$B$14:$K$20,9)/30))</f>
        <v>2.3313174475738805</v>
      </c>
      <c r="BX228" s="173">
        <f ca="1">(VLOOKUP(BX$72,INDIRECT($C$5&amp;"生成成长"),2))/((VLOOKUP($B228,INDIRECT($B$5&amp;"生成成长"),4))/(VLOOKUP(BX$72,INDIRECT($C$5&amp;"生成成长"),5))*(VLOOKUP($B$5,标准坦克设计!$B$24:$U$30,MATCH("对"&amp;LEFT($C$5,2)&amp;"输出",标准坦克设计!$B$23:$U$23,0)))*(VLOOKUP($B228,INDIRECT($B$5&amp;"生成成长"),3))*(VLOOKUP($B$5,标准坦克设计!$B$14:$K$20,9)/30))</f>
        <v>2.5873230239038785</v>
      </c>
      <c r="BY228" s="173">
        <f ca="1">(VLOOKUP(BY$72,INDIRECT($C$5&amp;"生成成长"),2))/((VLOOKUP($B228,INDIRECT($B$5&amp;"生成成长"),4))/(VLOOKUP(BY$72,INDIRECT($C$5&amp;"生成成长"),5))*(VLOOKUP($B$5,标准坦克设计!$B$24:$U$30,MATCH("对"&amp;LEFT($C$5,2)&amp;"输出",标准坦克设计!$B$23:$U$23,0)))*(VLOOKUP($B228,INDIRECT($B$5&amp;"生成成长"),3))*(VLOOKUP($B$5,标准坦克设计!$B$14:$K$20,9)/30))</f>
        <v>2.8566622240010635</v>
      </c>
      <c r="BZ228" s="173">
        <f ca="1">(VLOOKUP(BZ$72,INDIRECT($C$5&amp;"生成成长"),2))/((VLOOKUP($B228,INDIRECT($B$5&amp;"生成成长"),4))/(VLOOKUP(BZ$72,INDIRECT($C$5&amp;"生成成长"),5))*(VLOOKUP($B$5,标准坦克设计!$B$24:$U$30,MATCH("对"&amp;LEFT($C$5,2)&amp;"输出",标准坦克设计!$B$23:$U$23,0)))*(VLOOKUP($B228,INDIRECT($B$5&amp;"生成成长"),3))*(VLOOKUP($B$5,标准坦克设计!$B$14:$K$20,9)/30))</f>
        <v>3.1393350478654365</v>
      </c>
      <c r="CA228" s="173">
        <f ca="1">(VLOOKUP(CA$72,INDIRECT($C$5&amp;"生成成长"),2))/((VLOOKUP($B228,INDIRECT($B$5&amp;"生成成长"),4))/(VLOOKUP(CA$72,INDIRECT($C$5&amp;"生成成长"),5))*(VLOOKUP($B$5,标准坦克设计!$B$24:$U$30,MATCH("对"&amp;LEFT($C$5,2)&amp;"输出",标准坦克设计!$B$23:$U$23,0)))*(VLOOKUP($B228,INDIRECT($B$5&amp;"生成成长"),3))*(VLOOKUP($B$5,标准坦克设计!$B$14:$K$20,9)/30))</f>
        <v>3.4353414954969974</v>
      </c>
      <c r="CB228" s="173">
        <f ca="1">(VLOOKUP(CB$72,INDIRECT($C$5&amp;"生成成长"),2))/((VLOOKUP($B228,INDIRECT($B$5&amp;"生成成长"),4))/(VLOOKUP(CB$72,INDIRECT($C$5&amp;"生成成长"),5))*(VLOOKUP($B$5,标准坦克设计!$B$24:$U$30,MATCH("对"&amp;LEFT($C$5,2)&amp;"输出",标准坦克设计!$B$23:$U$23,0)))*(VLOOKUP($B228,INDIRECT($B$5&amp;"生成成长"),3))*(VLOOKUP($B$5,标准坦克设计!$B$14:$K$20,9)/30))</f>
        <v>3.7446815668957441</v>
      </c>
      <c r="CC228" s="173">
        <f ca="1">(VLOOKUP(CC$72,INDIRECT($C$5&amp;"生成成长"),2))/((VLOOKUP($B228,INDIRECT($B$5&amp;"生成成长"),4))/(VLOOKUP(CC$72,INDIRECT($C$5&amp;"生成成长"),5))*(VLOOKUP($B$5,标准坦克设计!$B$24:$U$30,MATCH("对"&amp;LEFT($C$5,2)&amp;"输出",标准坦克设计!$B$23:$U$23,0)))*(VLOOKUP($B228,INDIRECT($B$5&amp;"生成成长"),3))*(VLOOKUP($B$5,标准坦克设计!$B$14:$K$20,9)/30))</f>
        <v>4.06735526206168</v>
      </c>
      <c r="CD228" s="173">
        <f ca="1">(VLOOKUP(CD$72,INDIRECT($C$5&amp;"生成成长"),2))/((VLOOKUP($B228,INDIRECT($B$5&amp;"生成成长"),4))/(VLOOKUP(CD$72,INDIRECT($C$5&amp;"生成成长"),5))*(VLOOKUP($B$5,标准坦克设计!$B$24:$U$30,MATCH("对"&amp;LEFT($C$5,2)&amp;"输出",标准坦克设计!$B$23:$U$23,0)))*(VLOOKUP($B228,INDIRECT($B$5&amp;"生成成长"),3))*(VLOOKUP($B$5,标准坦克设计!$B$14:$K$20,9)/30))</f>
        <v>4.4033625809948029</v>
      </c>
      <c r="CE228" s="173">
        <f ca="1">(VLOOKUP(CE$72,INDIRECT($C$5&amp;"生成成长"),2))/((VLOOKUP($B228,INDIRECT($B$5&amp;"生成成长"),4))/(VLOOKUP(CE$72,INDIRECT($C$5&amp;"生成成长"),5))*(VLOOKUP($B$5,标准坦克设计!$B$24:$U$30,MATCH("对"&amp;LEFT($C$5,2)&amp;"输出",标准坦克设计!$B$23:$U$23,0)))*(VLOOKUP($B228,INDIRECT($B$5&amp;"生成成长"),3))*(VLOOKUP($B$5,标准坦克设计!$B$14:$K$20,9)/30))</f>
        <v>4.7527035236951116</v>
      </c>
      <c r="CF228" s="173">
        <f ca="1">(VLOOKUP(CF$72,INDIRECT($C$5&amp;"生成成长"),2))/((VLOOKUP($B228,INDIRECT($B$5&amp;"生成成长"),4))/(VLOOKUP(CF$72,INDIRECT($C$5&amp;"生成成长"),5))*(VLOOKUP($B$5,标准坦克设计!$B$24:$U$30,MATCH("对"&amp;LEFT($C$5,2)&amp;"输出",标准坦克设计!$B$23:$U$23,0)))*(VLOOKUP($B228,INDIRECT($B$5&amp;"生成成长"),3))*(VLOOKUP($B$5,标准坦克设计!$B$14:$K$20,9)/30))</f>
        <v>5.1153780901626087</v>
      </c>
      <c r="CG228" s="173">
        <f ca="1">(VLOOKUP(CG$72,INDIRECT($C$5&amp;"生成成长"),2))/((VLOOKUP($B228,INDIRECT($B$5&amp;"生成成长"),4))/(VLOOKUP(CG$72,INDIRECT($C$5&amp;"生成成长"),5))*(VLOOKUP($B$5,标准坦克设计!$B$24:$U$30,MATCH("对"&amp;LEFT($C$5,2)&amp;"输出",标准坦克设计!$B$23:$U$23,0)))*(VLOOKUP($B228,INDIRECT($B$5&amp;"生成成长"),3))*(VLOOKUP($B$5,标准坦克设计!$B$14:$K$20,9)/30))</f>
        <v>5.4913862803972933</v>
      </c>
      <c r="CH228" s="173">
        <f ca="1">(VLOOKUP(CH$72,INDIRECT($C$5&amp;"生成成长"),2))/((VLOOKUP($B228,INDIRECT($B$5&amp;"生成成长"),4))/(VLOOKUP(CH$72,INDIRECT($C$5&amp;"生成成长"),5))*(VLOOKUP($B$5,标准坦克设计!$B$24:$U$30,MATCH("对"&amp;LEFT($C$5,2)&amp;"输出",标准坦克设计!$B$23:$U$23,0)))*(VLOOKUP($B228,INDIRECT($B$5&amp;"生成成长"),3))*(VLOOKUP($B$5,标准坦克设计!$B$14:$K$20,9)/30))</f>
        <v>5.8807280943991662</v>
      </c>
      <c r="CI228" s="173">
        <f ca="1">(VLOOKUP(CI$72,INDIRECT($C$5&amp;"生成成长"),2))/((VLOOKUP($B228,INDIRECT($B$5&amp;"生成成长"),4))/(VLOOKUP(CI$72,INDIRECT($C$5&amp;"生成成长"),5))*(VLOOKUP($B$5,标准坦克设计!$B$24:$U$30,MATCH("对"&amp;LEFT($C$5,2)&amp;"输出",标准坦克设计!$B$23:$U$23,0)))*(VLOOKUP($B228,INDIRECT($B$5&amp;"生成成长"),3))*(VLOOKUP($B$5,标准坦克设计!$B$14:$K$20,9)/30))</f>
        <v>6.324404425252327</v>
      </c>
      <c r="CJ228" s="173">
        <f ca="1">(VLOOKUP(CJ$72,INDIRECT($C$5&amp;"生成成长"),2))/((VLOOKUP($B228,INDIRECT($B$5&amp;"生成成长"),4))/(VLOOKUP(CJ$72,INDIRECT($C$5&amp;"生成成长"),5))*(VLOOKUP($B$5,标准坦克设计!$B$24:$U$30,MATCH("对"&amp;LEFT($C$5,2)&amp;"输出",标准坦克设计!$B$23:$U$23,0)))*(VLOOKUP($B228,INDIRECT($B$5&amp;"生成成长"),3))*(VLOOKUP($B$5,标准坦克设计!$B$14:$K$20,9)/30))</f>
        <v>6.784214440863785</v>
      </c>
      <c r="CK228" s="173">
        <f ca="1">(VLOOKUP(CK$72,INDIRECT($C$5&amp;"生成成长"),2))/((VLOOKUP($B228,INDIRECT($B$5&amp;"生成成长"),4))/(VLOOKUP(CK$72,INDIRECT($C$5&amp;"生成成长"),5))*(VLOOKUP($B$5,标准坦克设计!$B$24:$U$30,MATCH("对"&amp;LEFT($C$5,2)&amp;"输出",标准坦克设计!$B$23:$U$23,0)))*(VLOOKUP($B228,INDIRECT($B$5&amp;"生成成长"),3))*(VLOOKUP($B$5,标准坦克设计!$B$14:$K$20,9)/30))</f>
        <v>7.2601581412335374</v>
      </c>
      <c r="CL228" s="173">
        <f ca="1">(VLOOKUP(CL$72,INDIRECT($C$5&amp;"生成成长"),2))/((VLOOKUP($B228,INDIRECT($B$5&amp;"生成成长"),4))/(VLOOKUP(CL$72,INDIRECT($C$5&amp;"生成成长"),5))*(VLOOKUP($B$5,标准坦克设计!$B$24:$U$30,MATCH("对"&amp;LEFT($C$5,2)&amp;"输出",标准坦克设计!$B$23:$U$23,0)))*(VLOOKUP($B228,INDIRECT($B$5&amp;"生成成长"),3))*(VLOOKUP($B$5,标准坦克设计!$B$14:$K$20,9)/30))</f>
        <v>7.7522355263615887</v>
      </c>
      <c r="CM228" s="173">
        <f ca="1">(VLOOKUP(CM$72,INDIRECT($C$5&amp;"生成成长"),2))/((VLOOKUP($B228,INDIRECT($B$5&amp;"生成成长"),4))/(VLOOKUP(CM$72,INDIRECT($C$5&amp;"生成成长"),5))*(VLOOKUP($B$5,标准坦克设计!$B$24:$U$30,MATCH("对"&amp;LEFT($C$5,2)&amp;"输出",标准坦克设计!$B$23:$U$23,0)))*(VLOOKUP($B228,INDIRECT($B$5&amp;"生成成长"),3))*(VLOOKUP($B$5,标准坦克设计!$B$14:$K$20,9)/30))</f>
        <v>8.2604465962479363</v>
      </c>
      <c r="CN228" s="173">
        <f ca="1">(VLOOKUP(CN$72,INDIRECT($C$5&amp;"生成成长"),2))/((VLOOKUP($B228,INDIRECT($B$5&amp;"生成成长"),4))/(VLOOKUP(CN$72,INDIRECT($C$5&amp;"生成成长"),5))*(VLOOKUP($B$5,标准坦克设计!$B$24:$U$30,MATCH("对"&amp;LEFT($C$5,2)&amp;"输出",标准坦克设计!$B$23:$U$23,0)))*(VLOOKUP($B228,INDIRECT($B$5&amp;"生成成长"),3))*(VLOOKUP($B$5,标准坦克设计!$B$14:$K$20,9)/30))</f>
        <v>8.7847913508925828</v>
      </c>
      <c r="CO228" s="173">
        <f ca="1">(VLOOKUP(CO$72,INDIRECT($C$5&amp;"生成成长"),2))/((VLOOKUP($B228,INDIRECT($B$5&amp;"生成成长"),4))/(VLOOKUP(CO$72,INDIRECT($C$5&amp;"生成成长"),5))*(VLOOKUP($B$5,标准坦克设计!$B$24:$U$30,MATCH("对"&amp;LEFT($C$5,2)&amp;"输出",标准坦克设计!$B$23:$U$23,0)))*(VLOOKUP($B228,INDIRECT($B$5&amp;"生成成长"),3))*(VLOOKUP($B$5,标准坦克设计!$B$14:$K$20,9)/30))</f>
        <v>3.9366857491432428</v>
      </c>
      <c r="CP228" s="173">
        <f ca="1">(VLOOKUP(CP$72,INDIRECT($C$5&amp;"生成成长"),2))/((VLOOKUP($B228,INDIRECT($B$5&amp;"生成成长"),4))/(VLOOKUP(CP$72,INDIRECT($C$5&amp;"生成成长"),5))*(VLOOKUP($B$5,标准坦克设计!$B$24:$U$30,MATCH("对"&amp;LEFT($C$5,2)&amp;"输出",标准坦克设计!$B$23:$U$23,0)))*(VLOOKUP($B228,INDIRECT($B$5&amp;"生成成长"),3))*(VLOOKUP($B$5,标准坦克设计!$B$14:$K$20,9)/30))</f>
        <v>4.3011603548193111</v>
      </c>
      <c r="CQ228" s="173">
        <f ca="1">(VLOOKUP(CQ$72,INDIRECT($C$5&amp;"生成成长"),2))/((VLOOKUP($B228,INDIRECT($B$5&amp;"生成成长"),4))/(VLOOKUP(CQ$72,INDIRECT($C$5&amp;"生成成长"),5))*(VLOOKUP($B$5,标准坦克设计!$B$24:$U$30,MATCH("对"&amp;LEFT($C$5,2)&amp;"输出",标准坦克设计!$B$23:$U$23,0)))*(VLOOKUP($B228,INDIRECT($B$5&amp;"生成成长"),3))*(VLOOKUP($B$5,标准坦克设计!$B$14:$K$20,9)/30))</f>
        <v>4.6817686452536753</v>
      </c>
      <c r="CR228" s="173">
        <f ca="1">(VLOOKUP(CR$72,INDIRECT($C$5&amp;"生成成长"),2))/((VLOOKUP($B228,INDIRECT($B$5&amp;"生成成长"),4))/(VLOOKUP(CR$72,INDIRECT($C$5&amp;"生成成长"),5))*(VLOOKUP($B$5,标准坦克设计!$B$24:$U$30,MATCH("对"&amp;LEFT($C$5,2)&amp;"输出",标准坦克设计!$B$23:$U$23,0)))*(VLOOKUP($B228,INDIRECT($B$5&amp;"生成成长"),3))*(VLOOKUP($B$5,标准坦克设计!$B$14:$K$20,9)/30))</f>
        <v>5.0785106204463357</v>
      </c>
      <c r="CS228" s="173">
        <f ca="1">(VLOOKUP(CS$72,INDIRECT($C$5&amp;"生成成长"),2))/((VLOOKUP($B228,INDIRECT($B$5&amp;"生成成长"),4))/(VLOOKUP(CS$72,INDIRECT($C$5&amp;"生成成长"),5))*(VLOOKUP($B$5,标准坦克设计!$B$24:$U$30,MATCH("对"&amp;LEFT($C$5,2)&amp;"输出",标准坦克设计!$B$23:$U$23,0)))*(VLOOKUP($B228,INDIRECT($B$5&amp;"生成成长"),3))*(VLOOKUP($B$5,标准坦克设计!$B$14:$K$20,9)/30))</f>
        <v>5.4913862803972933</v>
      </c>
      <c r="CT228" s="173">
        <f ca="1">(VLOOKUP(CT$72,INDIRECT($C$5&amp;"生成成长"),2))/((VLOOKUP($B228,INDIRECT($B$5&amp;"生成成长"),4))/(VLOOKUP(CT$72,INDIRECT($C$5&amp;"生成成长"),5))*(VLOOKUP($B$5,标准坦克设计!$B$24:$U$30,MATCH("对"&amp;LEFT($C$5,2)&amp;"输出",标准坦克设计!$B$23:$U$23,0)))*(VLOOKUP($B228,INDIRECT($B$5&amp;"生成成长"),3))*(VLOOKUP($B$5,标准坦克设计!$B$14:$K$20,9)/30))</f>
        <v>5.9203956251065488</v>
      </c>
      <c r="CU228" s="173">
        <f ca="1">(VLOOKUP(CU$72,INDIRECT($C$5&amp;"生成成长"),2))/((VLOOKUP($B228,INDIRECT($B$5&amp;"生成成长"),4))/(VLOOKUP(CU$72,INDIRECT($C$5&amp;"生成成长"),5))*(VLOOKUP($B$5,标准坦克设计!$B$24:$U$30,MATCH("对"&amp;LEFT($C$5,2)&amp;"输出",标准坦克设计!$B$23:$U$23,0)))*(VLOOKUP($B228,INDIRECT($B$5&amp;"生成成长"),3))*(VLOOKUP($B$5,标准坦克设计!$B$14:$K$20,9)/30))</f>
        <v>6.3655386545740997</v>
      </c>
      <c r="CV228" s="173">
        <f ca="1">(VLOOKUP(CV$72,INDIRECT($C$5&amp;"生成成长"),2))/((VLOOKUP($B228,INDIRECT($B$5&amp;"生成成长"),4))/(VLOOKUP(CV$72,INDIRECT($C$5&amp;"生成成长"),5))*(VLOOKUP($B$5,标准坦克设计!$B$24:$U$30,MATCH("对"&amp;LEFT($C$5,2)&amp;"输出",标准坦克设计!$B$23:$U$23,0)))*(VLOOKUP($B228,INDIRECT($B$5&amp;"生成成长"),3))*(VLOOKUP($B$5,标准坦克设计!$B$14:$K$20,9)/30))</f>
        <v>6.8268153687999478</v>
      </c>
      <c r="CW228" s="173">
        <f ca="1">(VLOOKUP(CW$72,INDIRECT($C$5&amp;"生成成长"),2))/((VLOOKUP($B228,INDIRECT($B$5&amp;"生成成长"),4))/(VLOOKUP(CW$72,INDIRECT($C$5&amp;"生成成长"),5))*(VLOOKUP($B$5,标准坦克设计!$B$24:$U$30,MATCH("对"&amp;LEFT($C$5,2)&amp;"输出",标准坦克设计!$B$23:$U$23,0)))*(VLOOKUP($B228,INDIRECT($B$5&amp;"生成成长"),3))*(VLOOKUP($B$5,标准坦克设计!$B$14:$K$20,9)/30))</f>
        <v>7.3042257677840929</v>
      </c>
      <c r="CX228" s="173">
        <f ca="1">(VLOOKUP(CX$72,INDIRECT($C$5&amp;"生成成长"),2))/((VLOOKUP($B228,INDIRECT($B$5&amp;"生成成长"),4))/(VLOOKUP(CX$72,INDIRECT($C$5&amp;"生成成长"),5))*(VLOOKUP($B$5,标准坦克设计!$B$24:$U$30,MATCH("对"&amp;LEFT($C$5,2)&amp;"输出",标准坦克设计!$B$23:$U$23,0)))*(VLOOKUP($B228,INDIRECT($B$5&amp;"生成成长"),3))*(VLOOKUP($B$5,标准坦克设计!$B$14:$K$20,9)/30))</f>
        <v>7.7977698515265343</v>
      </c>
      <c r="CY228" s="173">
        <f ca="1">(VLOOKUP(CY$72,INDIRECT($C$5&amp;"生成成长"),2))/((VLOOKUP($B228,INDIRECT($B$5&amp;"生成成长"),4))/(VLOOKUP(CY$72,INDIRECT($C$5&amp;"生成成长"),5))*(VLOOKUP($B$5,标准坦克设计!$B$24:$U$30,MATCH("对"&amp;LEFT($C$5,2)&amp;"输出",标准坦克设计!$B$23:$U$23,0)))*(VLOOKUP($B228,INDIRECT($B$5&amp;"生成成长"),3))*(VLOOKUP($B$5,标准坦克设计!$B$14:$K$20,9)/30))</f>
        <v>8.307447620027272</v>
      </c>
      <c r="CZ228" s="173">
        <f ca="1">(VLOOKUP(CZ$72,INDIRECT($C$5&amp;"生成成长"),2))/((VLOOKUP($B228,INDIRECT($B$5&amp;"生成成长"),4))/(VLOOKUP(CZ$72,INDIRECT($C$5&amp;"生成成长"),5))*(VLOOKUP($B$5,标准坦克设计!$B$24:$U$30,MATCH("对"&amp;LEFT($C$5,2)&amp;"输出",标准坦克设计!$B$23:$U$23,0)))*(VLOOKUP($B228,INDIRECT($B$5&amp;"生成成长"),3))*(VLOOKUP($B$5,标准坦克设计!$B$14:$K$20,9)/30))</f>
        <v>8.8332590732863085</v>
      </c>
      <c r="DA228" s="173">
        <f ca="1">(VLOOKUP(DA$72,INDIRECT($C$5&amp;"生成成长"),2))/((VLOOKUP($B228,INDIRECT($B$5&amp;"生成成长"),4))/(VLOOKUP(DA$72,INDIRECT($C$5&amp;"生成成长"),5))*(VLOOKUP($B$5,标准坦克设计!$B$24:$U$30,MATCH("对"&amp;LEFT($C$5,2)&amp;"输出",标准坦克设计!$B$23:$U$23,0)))*(VLOOKUP($B228,INDIRECT($B$5&amp;"生成成长"),3))*(VLOOKUP($B$5,标准坦克设计!$B$14:$K$20,9)/30))</f>
        <v>9.3752042113036396</v>
      </c>
      <c r="DB228" s="173">
        <f ca="1">(VLOOKUP(DB$72,INDIRECT($C$5&amp;"生成成长"),2))/((VLOOKUP($B228,INDIRECT($B$5&amp;"生成成长"),4))/(VLOOKUP(DB$72,INDIRECT($C$5&amp;"生成成长"),5))*(VLOOKUP($B$5,标准坦克设计!$B$24:$U$30,MATCH("对"&amp;LEFT($C$5,2)&amp;"输出",标准坦克设计!$B$23:$U$23,0)))*(VLOOKUP($B228,INDIRECT($B$5&amp;"生成成长"),3))*(VLOOKUP($B$5,标准坦克设计!$B$14:$K$20,9)/30))</f>
        <v>9.9332830340792686</v>
      </c>
      <c r="DC228" s="173">
        <f ca="1">(VLOOKUP(DC$72,INDIRECT($C$5&amp;"生成成长"),2))/((VLOOKUP($B228,INDIRECT($B$5&amp;"生成成长"),4))/(VLOOKUP(DC$72,INDIRECT($C$5&amp;"生成成长"),5))*(VLOOKUP($B$5,标准坦克设计!$B$24:$U$30,MATCH("对"&amp;LEFT($C$5,2)&amp;"输出",标准坦克设计!$B$23:$U$23,0)))*(VLOOKUP($B228,INDIRECT($B$5&amp;"生成成长"),3))*(VLOOKUP($B$5,标准坦克设计!$B$14:$K$20,9)/30))</f>
        <v>10.560496696087762</v>
      </c>
      <c r="DD228" s="173">
        <f ca="1">(VLOOKUP(DD$72,INDIRECT($C$5&amp;"生成成长"),2))/((VLOOKUP($B228,INDIRECT($B$5&amp;"生成成长"),4))/(VLOOKUP(DD$72,INDIRECT($C$5&amp;"生成成长"),5))*(VLOOKUP($B$5,标准坦克设计!$B$24:$U$30,MATCH("对"&amp;LEFT($C$5,2)&amp;"输出",标准坦克设计!$B$23:$U$23,0)))*(VLOOKUP($B228,INDIRECT($B$5&amp;"生成成长"),3))*(VLOOKUP($B$5,标准坦克设计!$B$14:$K$20,9)/30))</f>
        <v>11.206910776321006</v>
      </c>
      <c r="DE228" s="173">
        <f ca="1">(VLOOKUP(DE$72,INDIRECT($C$5&amp;"生成成长"),2))/((VLOOKUP($B228,INDIRECT($B$5&amp;"生成成长"),4))/(VLOOKUP(DE$72,INDIRECT($C$5&amp;"生成成长"),5))*(VLOOKUP($B$5,标准坦克设计!$B$24:$U$30,MATCH("对"&amp;LEFT($C$5,2)&amp;"输出",标准坦克设计!$B$23:$U$23,0)))*(VLOOKUP($B228,INDIRECT($B$5&amp;"生成成长"),3))*(VLOOKUP($B$5,标准坦克设计!$B$14:$K$20,9)/30))</f>
        <v>11.872525274779003</v>
      </c>
      <c r="DF228" s="173">
        <f ca="1">(VLOOKUP(DF$72,INDIRECT($C$5&amp;"生成成长"),2))/((VLOOKUP($B228,INDIRECT($B$5&amp;"生成成长"),4))/(VLOOKUP(DF$72,INDIRECT($C$5&amp;"生成成长"),5))*(VLOOKUP($B$5,标准坦克设计!$B$24:$U$30,MATCH("对"&amp;LEFT($C$5,2)&amp;"输出",标准坦克设计!$B$23:$U$23,0)))*(VLOOKUP($B228,INDIRECT($B$5&amp;"生成成长"),3))*(VLOOKUP($B$5,标准坦克设计!$B$14:$K$20,9)/30))</f>
        <v>12.557340191461746</v>
      </c>
      <c r="DG228" s="173">
        <f ca="1">(VLOOKUP(DG$72,INDIRECT($C$5&amp;"生成成长"),2))/((VLOOKUP($B228,INDIRECT($B$5&amp;"生成成长"),4))/(VLOOKUP(DG$72,INDIRECT($C$5&amp;"生成成长"),5))*(VLOOKUP($B$5,标准坦克设计!$B$24:$U$30,MATCH("对"&amp;LEFT($C$5,2)&amp;"输出",标准坦克设计!$B$23:$U$23,0)))*(VLOOKUP($B228,INDIRECT($B$5&amp;"生成成长"),3))*(VLOOKUP($B$5,标准坦克设计!$B$14:$K$20,9)/30))</f>
        <v>13.261355526369243</v>
      </c>
      <c r="DH228" s="173">
        <f ca="1">(VLOOKUP(DH$72,INDIRECT($C$5&amp;"生成成长"),2))/((VLOOKUP($B228,INDIRECT($B$5&amp;"生成成长"),4))/(VLOOKUP(DH$72,INDIRECT($C$5&amp;"生成成长"),5))*(VLOOKUP($B$5,标准坦克设计!$B$24:$U$30,MATCH("对"&amp;LEFT($C$5,2)&amp;"输出",标准坦克设计!$B$23:$U$23,0)))*(VLOOKUP($B228,INDIRECT($B$5&amp;"生成成长"),3))*(VLOOKUP($B$5,标准坦克设计!$B$14:$K$20,9)/30))</f>
        <v>13.984571279501488</v>
      </c>
      <c r="DI228" s="173">
        <f ca="1">(VLOOKUP(DI$72,INDIRECT($C$5&amp;"生成成长"),2))/((VLOOKUP($B228,INDIRECT($B$5&amp;"生成成长"),4))/(VLOOKUP(DI$72,INDIRECT($C$5&amp;"生成成长"),5))*(VLOOKUP($B$5,标准坦克设计!$B$24:$U$30,MATCH("对"&amp;LEFT($C$5,2)&amp;"输出",标准坦克设计!$B$23:$U$23,0)))*(VLOOKUP($B228,INDIRECT($B$5&amp;"生成成长"),3))*(VLOOKUP($B$5,标准坦克设计!$B$14:$K$20,9)/30))</f>
        <v>14.726987450858481</v>
      </c>
      <c r="DJ228" s="173">
        <f ca="1">(VLOOKUP(DJ$72,INDIRECT($C$5&amp;"生成成长"),2))/((VLOOKUP($B228,INDIRECT($B$5&amp;"生成成长"),4))/(VLOOKUP(DJ$72,INDIRECT($C$5&amp;"生成成长"),5))*(VLOOKUP($B$5,标准坦克设计!$B$24:$U$30,MATCH("对"&amp;LEFT($C$5,2)&amp;"输出",标准坦克设计!$B$23:$U$23,0)))*(VLOOKUP($B228,INDIRECT($B$5&amp;"生成成长"),3))*(VLOOKUP($B$5,标准坦克设计!$B$14:$K$20,9)/30))</f>
        <v>1.4800989062766372</v>
      </c>
      <c r="DK228" s="173">
        <f ca="1">(VLOOKUP(DK$72,INDIRECT($C$5&amp;"生成成长"),2))/((VLOOKUP($B228,INDIRECT($B$5&amp;"生成成长"),4))/(VLOOKUP(DK$72,INDIRECT($C$5&amp;"生成成长"),5))*(VLOOKUP($B$5,标准坦克设计!$B$24:$U$30,MATCH("对"&amp;LEFT($C$5,2)&amp;"输出",标准坦克设计!$B$23:$U$23,0)))*(VLOOKUP($B228,INDIRECT($B$5&amp;"生成成长"),3))*(VLOOKUP($B$5,标准坦克设计!$B$14:$K$20,9)/30))</f>
        <v>1.6643029186203309</v>
      </c>
      <c r="DL228" s="173">
        <f ca="1">(VLOOKUP(DL$72,INDIRECT($C$5&amp;"生成成长"),2))/((VLOOKUP($B228,INDIRECT($B$5&amp;"生成成长"),4))/(VLOOKUP(DL$72,INDIRECT($C$5&amp;"生成成长"),5))*(VLOOKUP($B$5,标准坦克设计!$B$24:$U$30,MATCH("对"&amp;LEFT($C$5,2)&amp;"输出",标准坦克设计!$B$23:$U$23,0)))*(VLOOKUP($B228,INDIRECT($B$5&amp;"生成成长"),3))*(VLOOKUP($B$5,标准坦克设计!$B$14:$K$20,9)/30))</f>
        <v>1.8593071662154466</v>
      </c>
      <c r="DM228" s="173">
        <f ca="1">(VLOOKUP(DM$72,INDIRECT($C$5&amp;"生成成长"),2))/((VLOOKUP($B228,INDIRECT($B$5&amp;"生成成长"),4))/(VLOOKUP(DM$72,INDIRECT($C$5&amp;"生成成长"),5))*(VLOOKUP($B$5,标准坦克设计!$B$24:$U$30,MATCH("对"&amp;LEFT($C$5,2)&amp;"输出",标准坦克设计!$B$23:$U$23,0)))*(VLOOKUP($B228,INDIRECT($B$5&amp;"生成成长"),3))*(VLOOKUP($B$5,标准坦克设计!$B$14:$K$20,9)/30))</f>
        <v>2.0651116490619841</v>
      </c>
      <c r="DN228" s="173">
        <f ca="1">(VLOOKUP(DN$72,INDIRECT($C$5&amp;"生成成长"),2))/((VLOOKUP($B228,INDIRECT($B$5&amp;"生成成长"),4))/(VLOOKUP(DN$72,INDIRECT($C$5&amp;"生成成长"),5))*(VLOOKUP($B$5,标准坦克设计!$B$24:$U$30,MATCH("对"&amp;LEFT($C$5,2)&amp;"输出",标准坦克设计!$B$23:$U$23,0)))*(VLOOKUP($B228,INDIRECT($B$5&amp;"生成成长"),3))*(VLOOKUP($B$5,标准坦克设计!$B$14:$K$20,9)/30))</f>
        <v>2.2817163671599436</v>
      </c>
      <c r="DO228" s="173">
        <f ca="1">(VLOOKUP(DO$72,INDIRECT($C$5&amp;"生成成长"),2))/((VLOOKUP($B228,INDIRECT($B$5&amp;"生成成长"),4))/(VLOOKUP(DO$72,INDIRECT($C$5&amp;"生成成长"),5))*(VLOOKUP($B$5,标准坦克设计!$B$24:$U$30,MATCH("对"&amp;LEFT($C$5,2)&amp;"输出",标准坦克设计!$B$23:$U$23,0)))*(VLOOKUP($B228,INDIRECT($B$5&amp;"生成成长"),3))*(VLOOKUP($B$5,标准坦克设计!$B$14:$K$20,9)/30))</f>
        <v>2.5091213205093248</v>
      </c>
      <c r="DP228" s="173">
        <f ca="1">(VLOOKUP(DP$72,INDIRECT($C$5&amp;"生成成长"),2))/((VLOOKUP($B228,INDIRECT($B$5&amp;"生成成长"),4))/(VLOOKUP(DP$72,INDIRECT($C$5&amp;"生成成长"),5))*(VLOOKUP($B$5,标准坦克设计!$B$24:$U$30,MATCH("对"&amp;LEFT($C$5,2)&amp;"输出",标准坦克设计!$B$23:$U$23,0)))*(VLOOKUP($B228,INDIRECT($B$5&amp;"生成成长"),3))*(VLOOKUP($B$5,标准坦克设计!$B$14:$K$20,9)/30))</f>
        <v>2.747326509110128</v>
      </c>
      <c r="DQ228" s="173">
        <f ca="1">(VLOOKUP(DQ$72,INDIRECT($C$5&amp;"生成成长"),2))/((VLOOKUP($B228,INDIRECT($B$5&amp;"生成成长"),4))/(VLOOKUP(DQ$72,INDIRECT($C$5&amp;"生成成长"),5))*(VLOOKUP($B$5,标准坦克设计!$B$24:$U$30,MATCH("对"&amp;LEFT($C$5,2)&amp;"输出",标准坦克设计!$B$23:$U$23,0)))*(VLOOKUP($B228,INDIRECT($B$5&amp;"生成成长"),3))*(VLOOKUP($B$5,标准坦克设计!$B$14:$K$20,9)/30))</f>
        <v>2.9963319329623523</v>
      </c>
      <c r="DR228" s="173">
        <f ca="1">(VLOOKUP(DR$72,INDIRECT($C$5&amp;"生成成长"),2))/((VLOOKUP($B228,INDIRECT($B$5&amp;"生成成长"),4))/(VLOOKUP(DR$72,INDIRECT($C$5&amp;"生成成长"),5))*(VLOOKUP($B$5,标准坦克设计!$B$24:$U$30,MATCH("对"&amp;LEFT($C$5,2)&amp;"输出",标准坦克设计!$B$23:$U$23,0)))*(VLOOKUP($B228,INDIRECT($B$5&amp;"生成成长"),3))*(VLOOKUP($B$5,标准坦克设计!$B$14:$K$20,9)/30))</f>
        <v>3.2561375920659983</v>
      </c>
      <c r="DS228" s="173">
        <f ca="1">(VLOOKUP(DS$72,INDIRECT($C$5&amp;"生成成长"),2))/((VLOOKUP($B228,INDIRECT($B$5&amp;"生成成长"),4))/(VLOOKUP(DS$72,INDIRECT($C$5&amp;"生成成长"),5))*(VLOOKUP($B$5,标准坦克设计!$B$24:$U$30,MATCH("对"&amp;LEFT($C$5,2)&amp;"输出",标准坦克设计!$B$23:$U$23,0)))*(VLOOKUP($B228,INDIRECT($B$5&amp;"生成成长"),3))*(VLOOKUP($B$5,标准坦克设计!$B$14:$K$20,9)/30))</f>
        <v>3.5267434864210663</v>
      </c>
      <c r="DT228" s="173">
        <f ca="1">(VLOOKUP(DT$72,INDIRECT($C$5&amp;"生成成长"),2))/((VLOOKUP($B228,INDIRECT($B$5&amp;"生成成长"),4))/(VLOOKUP(DT$72,INDIRECT($C$5&amp;"生成成长"),5))*(VLOOKUP($B$5,标准坦克设计!$B$24:$U$30,MATCH("对"&amp;LEFT($C$5,2)&amp;"输出",标准坦克设计!$B$23:$U$23,0)))*(VLOOKUP($B228,INDIRECT($B$5&amp;"生成成长"),3))*(VLOOKUP($B$5,标准坦克设计!$B$14:$K$20,9)/30))</f>
        <v>3.8721510101100565</v>
      </c>
      <c r="DU228" s="173">
        <f ca="1">(VLOOKUP(DU$72,INDIRECT($C$5&amp;"生成成长"),2))/((VLOOKUP($B228,INDIRECT($B$5&amp;"生成成长"),4))/(VLOOKUP(DU$72,INDIRECT($C$5&amp;"生成成长"),5))*(VLOOKUP($B$5,标准坦克设计!$B$24:$U$30,MATCH("对"&amp;LEFT($C$5,2)&amp;"输出",标准坦克设计!$B$23:$U$23,0)))*(VLOOKUP($B228,INDIRECT($B$5&amp;"生成成长"),3))*(VLOOKUP($B$5,标准坦克设计!$B$14:$K$20,9)/30))</f>
        <v>4.2336922185573425</v>
      </c>
      <c r="DV228" s="173">
        <f ca="1">(VLOOKUP(DV$72,INDIRECT($C$5&amp;"生成成长"),2))/((VLOOKUP($B228,INDIRECT($B$5&amp;"生成成长"),4))/(VLOOKUP(DV$72,INDIRECT($C$5&amp;"生成成长"),5))*(VLOOKUP($B$5,标准坦克设计!$B$24:$U$30,MATCH("对"&amp;LEFT($C$5,2)&amp;"输出",标准坦克设计!$B$23:$U$23,0)))*(VLOOKUP($B228,INDIRECT($B$5&amp;"生成成长"),3))*(VLOOKUP($B$5,标准坦克设计!$B$14:$K$20,9)/30))</f>
        <v>4.6113671117629256</v>
      </c>
      <c r="DW228" s="173">
        <f ca="1">(VLOOKUP(DW$72,INDIRECT($C$5&amp;"生成成长"),2))/((VLOOKUP($B228,INDIRECT($B$5&amp;"生成成长"),4))/(VLOOKUP(DW$72,INDIRECT($C$5&amp;"生成成长"),5))*(VLOOKUP($B$5,标准坦克设计!$B$24:$U$30,MATCH("对"&amp;LEFT($C$5,2)&amp;"输出",标准坦克设计!$B$23:$U$23,0)))*(VLOOKUP($B228,INDIRECT($B$5&amp;"生成成长"),3))*(VLOOKUP($B$5,标准坦克设计!$B$14:$K$20,9)/30))</f>
        <v>5.0051756897268058</v>
      </c>
      <c r="DX228" s="173">
        <f ca="1">(VLOOKUP(DX$72,INDIRECT($C$5&amp;"生成成长"),2))/((VLOOKUP($B228,INDIRECT($B$5&amp;"生成成长"),4))/(VLOOKUP(DX$72,INDIRECT($C$5&amp;"生成成长"),5))*(VLOOKUP($B$5,标准坦克设计!$B$24:$U$30,MATCH("对"&amp;LEFT($C$5,2)&amp;"输出",标准坦克设计!$B$23:$U$23,0)))*(VLOOKUP($B228,INDIRECT($B$5&amp;"生成成长"),3))*(VLOOKUP($B$5,标准坦克设计!$B$14:$K$20,9)/30))</f>
        <v>5.4151179524489814</v>
      </c>
      <c r="DY228" s="173">
        <f ca="1">(VLOOKUP(DY$72,INDIRECT($C$5&amp;"生成成长"),2))/((VLOOKUP($B228,INDIRECT($B$5&amp;"生成成长"),4))/(VLOOKUP(DY$72,INDIRECT($C$5&amp;"生成成长"),5))*(VLOOKUP($B$5,标准坦克设计!$B$24:$U$30,MATCH("对"&amp;LEFT($C$5,2)&amp;"输出",标准坦克设计!$B$23:$U$23,0)))*(VLOOKUP($B228,INDIRECT($B$5&amp;"生成成长"),3))*(VLOOKUP($B$5,标准坦克设计!$B$14:$K$20,9)/30))</f>
        <v>2.432119643253817</v>
      </c>
      <c r="DZ228" s="173">
        <f ca="1">(VLOOKUP(DZ$72,INDIRECT($C$5&amp;"生成成长"),2))/((VLOOKUP($B228,INDIRECT($B$5&amp;"生成成长"),4))/(VLOOKUP(DZ$72,INDIRECT($C$5&amp;"生成成长"),5))*(VLOOKUP($B$5,标准坦克设计!$B$24:$U$30,MATCH("对"&amp;LEFT($C$5,2)&amp;"输出",标准坦克设计!$B$23:$U$23,0)))*(VLOOKUP($B228,INDIRECT($B$5&amp;"生成成长"),3))*(VLOOKUP($B$5,标准坦克设计!$B$14:$K$20,9)/30))</f>
        <v>2.6934586690906905</v>
      </c>
      <c r="EA228" s="173">
        <f ca="1">(VLOOKUP(EA$72,INDIRECT($C$5&amp;"生成成长"),2))/((VLOOKUP($B228,INDIRECT($B$5&amp;"生成成长"),4))/(VLOOKUP(EA$72,INDIRECT($C$5&amp;"生成成长"),5))*(VLOOKUP($B$5,标准坦克设计!$B$24:$U$30,MATCH("对"&amp;LEFT($C$5,2)&amp;"输出",标准坦克设计!$B$23:$U$23,0)))*(VLOOKUP($B228,INDIRECT($B$5&amp;"生成成长"),3))*(VLOOKUP($B$5,标准坦克设计!$B$14:$K$20,9)/30))</f>
        <v>2.9681313186947507</v>
      </c>
      <c r="EB228" s="173">
        <f ca="1">(VLOOKUP(EB$72,INDIRECT($C$5&amp;"生成成长"),2))/((VLOOKUP($B228,INDIRECT($B$5&amp;"生成成长"),4))/(VLOOKUP(EB$72,INDIRECT($C$5&amp;"生成成长"),5))*(VLOOKUP($B$5,标准坦克设计!$B$24:$U$30,MATCH("对"&amp;LEFT($C$5,2)&amp;"输出",标准坦克设计!$B$23:$U$23,0)))*(VLOOKUP($B228,INDIRECT($B$5&amp;"生成成长"),3))*(VLOOKUP($B$5,标准坦克设计!$B$14:$K$20,9)/30))</f>
        <v>3.2561375920659983</v>
      </c>
      <c r="EC228" s="173">
        <f ca="1">(VLOOKUP(EC$72,INDIRECT($C$5&amp;"生成成长"),2))/((VLOOKUP($B228,INDIRECT($B$5&amp;"生成成长"),4))/(VLOOKUP(EC$72,INDIRECT($C$5&amp;"生成成长"),5))*(VLOOKUP($B$5,标准坦克设计!$B$24:$U$30,MATCH("对"&amp;LEFT($C$5,2)&amp;"输出",标准坦克设计!$B$23:$U$23,0)))*(VLOOKUP($B228,INDIRECT($B$5&amp;"生成成长"),3))*(VLOOKUP($B$5,标准坦克设计!$B$14:$K$20,9)/30))</f>
        <v>3.5574774892044334</v>
      </c>
      <c r="ED228" s="173">
        <f ca="1">(VLOOKUP(ED$72,INDIRECT($C$5&amp;"生成成长"),2))/((VLOOKUP($B228,INDIRECT($B$5&amp;"生成成长"),4))/(VLOOKUP(ED$72,INDIRECT($C$5&amp;"生成成长"),5))*(VLOOKUP($B$5,标准坦克设计!$B$24:$U$30,MATCH("对"&amp;LEFT($C$5,2)&amp;"输出",标准坦克设计!$B$23:$U$23,0)))*(VLOOKUP($B228,INDIRECT($B$5&amp;"生成成长"),3))*(VLOOKUP($B$5,标准坦克设计!$B$14:$K$20,9)/30))</f>
        <v>3.8721510101100565</v>
      </c>
      <c r="EE228" s="173">
        <f ca="1">(VLOOKUP(EE$72,INDIRECT($C$5&amp;"生成成长"),2))/((VLOOKUP($B228,INDIRECT($B$5&amp;"生成成长"),4))/(VLOOKUP(EE$72,INDIRECT($C$5&amp;"生成成长"),5))*(VLOOKUP($B$5,标准坦克设计!$B$24:$U$30,MATCH("对"&amp;LEFT($C$5,2)&amp;"输出",标准坦克设计!$B$23:$U$23,0)))*(VLOOKUP($B228,INDIRECT($B$5&amp;"生成成长"),3))*(VLOOKUP($B$5,标准坦克设计!$B$14:$K$20,9)/30))</f>
        <v>4.2001581547828666</v>
      </c>
      <c r="EF228" s="173">
        <f ca="1">(VLOOKUP(EF$72,INDIRECT($C$5&amp;"生成成长"),2))/((VLOOKUP($B228,INDIRECT($B$5&amp;"生成成长"),4))/(VLOOKUP(EF$72,INDIRECT($C$5&amp;"生成成长"),5))*(VLOOKUP($B$5,标准坦克设计!$B$24:$U$30,MATCH("对"&amp;LEFT($C$5,2)&amp;"输出",标准坦克设计!$B$23:$U$23,0)))*(VLOOKUP($B228,INDIRECT($B$5&amp;"生成成长"),3))*(VLOOKUP($B$5,标准坦克设计!$B$14:$K$20,9)/30))</f>
        <v>4.5414989232228633</v>
      </c>
      <c r="EG228" s="173">
        <f ca="1">(VLOOKUP(EG$72,INDIRECT($C$5&amp;"生成成长"),2))/((VLOOKUP($B228,INDIRECT($B$5&amp;"生成成长"),4))/(VLOOKUP(EG$72,INDIRECT($C$5&amp;"生成成长"),5))*(VLOOKUP($B$5,标准坦克设计!$B$24:$U$30,MATCH("对"&amp;LEFT($C$5,2)&amp;"输出",标准坦克设计!$B$23:$U$23,0)))*(VLOOKUP($B228,INDIRECT($B$5&amp;"生成成长"),3))*(VLOOKUP($B$5,标准坦克设计!$B$14:$K$20,9)/30))</f>
        <v>4.8961733154300484</v>
      </c>
      <c r="EH228" s="173">
        <f ca="1">(VLOOKUP(EH$72,INDIRECT($C$5&amp;"生成成长"),2))/((VLOOKUP($B228,INDIRECT($B$5&amp;"生成成长"),4))/(VLOOKUP(EH$72,INDIRECT($C$5&amp;"生成成长"),5))*(VLOOKUP($B$5,标准坦克设计!$B$24:$U$30,MATCH("对"&amp;LEFT($C$5,2)&amp;"输出",标准坦克设计!$B$23:$U$23,0)))*(VLOOKUP($B228,INDIRECT($B$5&amp;"生成成长"),3))*(VLOOKUP($B$5,标准坦克设计!$B$14:$K$20,9)/30))</f>
        <v>5.2641813314044201</v>
      </c>
      <c r="EI228" s="173">
        <f ca="1">(VLOOKUP(EI$72,INDIRECT($C$5&amp;"生成成长"),2))/((VLOOKUP($B228,INDIRECT($B$5&amp;"生成成长"),4))/(VLOOKUP(EI$72,INDIRECT($C$5&amp;"生成成长"),5))*(VLOOKUP($B$5,标准坦克设计!$B$24:$U$30,MATCH("对"&amp;LEFT($C$5,2)&amp;"输出",标准坦克设计!$B$23:$U$23,0)))*(VLOOKUP($B228,INDIRECT($B$5&amp;"生成成长"),3))*(VLOOKUP($B$5,标准坦克设计!$B$14:$K$20,9)/30))</f>
        <v>5.6455229711459802</v>
      </c>
      <c r="EJ228" s="173">
        <f ca="1">(VLOOKUP(EJ$72,INDIRECT($C$5&amp;"生成成长"),2))/((VLOOKUP($B228,INDIRECT($B$5&amp;"生成成长"),4))/(VLOOKUP(EJ$72,INDIRECT($C$5&amp;"生成成长"),5))*(VLOOKUP($B$5,标准坦克设计!$B$24:$U$30,MATCH("对"&amp;LEFT($C$5,2)&amp;"输出",标准坦克设计!$B$23:$U$23,0)))*(VLOOKUP($B228,INDIRECT($B$5&amp;"生成成长"),3))*(VLOOKUP($B$5,标准坦克设计!$B$14:$K$20,9)/30))</f>
        <v>6.0401982346547278</v>
      </c>
      <c r="EK228" s="173">
        <f ca="1">(VLOOKUP(EK$72,INDIRECT($C$5&amp;"生成成长"),2))/((VLOOKUP($B228,INDIRECT($B$5&amp;"生成成长"),4))/(VLOOKUP(EK$72,INDIRECT($C$5&amp;"生成成长"),5))*(VLOOKUP($B$5,标准坦克设计!$B$24:$U$30,MATCH("对"&amp;LEFT($C$5,2)&amp;"输出",标准坦克设计!$B$23:$U$23,0)))*(VLOOKUP($B228,INDIRECT($B$5&amp;"生成成长"),3))*(VLOOKUP($B$5,标准坦克设计!$B$14:$K$20,9)/30))</f>
        <v>6.53140893423791</v>
      </c>
      <c r="EL228" s="173">
        <f ca="1">(VLOOKUP(EL$72,INDIRECT($C$5&amp;"生成成长"),2))/((VLOOKUP($B228,INDIRECT($B$5&amp;"生成成长"),4))/(VLOOKUP(EL$72,INDIRECT($C$5&amp;"生成成长"),5))*(VLOOKUP($B$5,标准坦克设计!$B$24:$U$30,MATCH("对"&amp;LEFT($C$5,2)&amp;"输出",标准坦克设计!$B$23:$U$23,0)))*(VLOOKUP($B228,INDIRECT($B$5&amp;"生成成长"),3))*(VLOOKUP($B$5,标准坦克设计!$B$14:$K$20,9)/30))</f>
        <v>7.0418200520458445</v>
      </c>
      <c r="EM228" s="173">
        <f ca="1">(VLOOKUP(EM$72,INDIRECT($C$5&amp;"生成成长"),2))/((VLOOKUP($B228,INDIRECT($B$5&amp;"生成成长"),4))/(VLOOKUP(EM$72,INDIRECT($C$5&amp;"生成成长"),5))*(VLOOKUP($B$5,标准坦克设计!$B$24:$U$30,MATCH("对"&amp;LEFT($C$5,2)&amp;"输出",标准坦克设计!$B$23:$U$23,0)))*(VLOOKUP($B228,INDIRECT($B$5&amp;"生成成长"),3))*(VLOOKUP($B$5,标准坦克设计!$B$14:$K$20,9)/30))</f>
        <v>7.5714315880785268</v>
      </c>
      <c r="EN228" s="173">
        <f ca="1">(VLOOKUP(EN$72,INDIRECT($C$5&amp;"生成成长"),2))/((VLOOKUP($B228,INDIRECT($B$5&amp;"生成成长"),4))/(VLOOKUP(EN$72,INDIRECT($C$5&amp;"生成成长"),5))*(VLOOKUP($B$5,标准坦克设计!$B$24:$U$30,MATCH("对"&amp;LEFT($C$5,2)&amp;"输出",标准坦克设计!$B$23:$U$23,0)))*(VLOOKUP($B228,INDIRECT($B$5&amp;"生成成长"),3))*(VLOOKUP($B$5,标准坦克设计!$B$14:$K$20,9)/30))</f>
        <v>8.1202435423359596</v>
      </c>
      <c r="EO228" s="173">
        <f ca="1">(VLOOKUP(EO$72,INDIRECT($C$5&amp;"生成成长"),2))/((VLOOKUP($B228,INDIRECT($B$5&amp;"生成成长"),4))/(VLOOKUP(EO$72,INDIRECT($C$5&amp;"生成成长"),5))*(VLOOKUP($B$5,标准坦克设计!$B$24:$U$30,MATCH("对"&amp;LEFT($C$5,2)&amp;"输出",标准坦克设计!$B$23:$U$23,0)))*(VLOOKUP($B228,INDIRECT($B$5&amp;"生成成长"),3))*(VLOOKUP($B$5,标准坦克设计!$B$14:$K$20,9)/30))</f>
        <v>8.6882559148181446</v>
      </c>
      <c r="EP228" s="173">
        <f ca="1">(VLOOKUP(EP$72,INDIRECT($C$5&amp;"生成成长"),2))/((VLOOKUP($B228,INDIRECT($B$5&amp;"生成成长"),4))/(VLOOKUP(EP$72,INDIRECT($C$5&amp;"生成成长"),5))*(VLOOKUP($B$5,标准坦克设计!$B$24:$U$30,MATCH("对"&amp;LEFT($C$5,2)&amp;"输出",标准坦克设计!$B$23:$U$23,0)))*(VLOOKUP($B228,INDIRECT($B$5&amp;"生成成长"),3))*(VLOOKUP($B$5,标准坦克设计!$B$14:$K$20,9)/30))</f>
        <v>9.2754687055250766</v>
      </c>
      <c r="EQ228" s="173">
        <f ca="1">(VLOOKUP(EQ$72,INDIRECT($C$5&amp;"生成成长"),2))/((VLOOKUP($B228,INDIRECT($B$5&amp;"生成成长"),4))/(VLOOKUP(EQ$72,INDIRECT($C$5&amp;"生成成长"),5))*(VLOOKUP($B$5,标准坦克设计!$B$24:$U$30,MATCH("对"&amp;LEFT($C$5,2)&amp;"输出",标准坦克设计!$B$23:$U$23,0)))*(VLOOKUP($B228,INDIRECT($B$5&amp;"生成成长"),3))*(VLOOKUP($B$5,标准坦克设计!$B$14:$K$20,9)/30))</f>
        <v>4.1003559808854693</v>
      </c>
      <c r="ER228" s="173">
        <f ca="1">(VLOOKUP(ER$72,INDIRECT($C$5&amp;"生成成长"),2))/((VLOOKUP($B228,INDIRECT($B$5&amp;"生成成长"),4))/(VLOOKUP(ER$72,INDIRECT($C$5&amp;"生成成长"),5))*(VLOOKUP($B$5,标准坦克设计!$B$24:$U$30,MATCH("对"&amp;LEFT($C$5,2)&amp;"输出",标准坦克设计!$B$23:$U$23,0)))*(VLOOKUP($B228,INDIRECT($B$5&amp;"生成成长"),3))*(VLOOKUP($B$5,标准坦克设计!$B$14:$K$20,9)/30))</f>
        <v>4.4721640796334885</v>
      </c>
      <c r="ES228" s="173">
        <f ca="1">(VLOOKUP(ES$72,INDIRECT($C$5&amp;"生成成长"),2))/((VLOOKUP($B228,INDIRECT($B$5&amp;"生成成长"),4))/(VLOOKUP(ES$72,INDIRECT($C$5&amp;"生成成长"),5))*(VLOOKUP($B$5,标准坦克设计!$B$24:$U$30,MATCH("对"&amp;LEFT($C$5,2)&amp;"输出",标准坦克设计!$B$23:$U$23,0)))*(VLOOKUP($B228,INDIRECT($B$5&amp;"生成成长"),3))*(VLOOKUP($B$5,标准坦克设计!$B$14:$K$20,9)/30))</f>
        <v>4.8601058631398066</v>
      </c>
      <c r="ET228" s="173">
        <f ca="1">(VLOOKUP(ET$72,INDIRECT($C$5&amp;"生成成长"),2))/((VLOOKUP($B228,INDIRECT($B$5&amp;"生成成长"),4))/(VLOOKUP(ET$72,INDIRECT($C$5&amp;"生成成长"),5))*(VLOOKUP($B$5,标准坦克设计!$B$24:$U$30,MATCH("对"&amp;LEFT($C$5,2)&amp;"输出",标准坦克设计!$B$23:$U$23,0)))*(VLOOKUP($B228,INDIRECT($B$5&amp;"生成成长"),3))*(VLOOKUP($B$5,标准坦克设计!$B$14:$K$20,9)/30))</f>
        <v>5.2641813314044201</v>
      </c>
      <c r="EU228" s="173">
        <f ca="1">(VLOOKUP(EU$72,INDIRECT($C$5&amp;"生成成长"),2))/((VLOOKUP($B228,INDIRECT($B$5&amp;"生成成长"),4))/(VLOOKUP(EU$72,INDIRECT($C$5&amp;"生成成长"),5))*(VLOOKUP($B$5,标准坦克设计!$B$24:$U$30,MATCH("对"&amp;LEFT($C$5,2)&amp;"输出",标准坦克设计!$B$23:$U$23,0)))*(VLOOKUP($B228,INDIRECT($B$5&amp;"生成成长"),3))*(VLOOKUP($B$5,标准坦克设计!$B$14:$K$20,9)/30))</f>
        <v>5.6843904844273307</v>
      </c>
      <c r="EV228" s="173">
        <f ca="1">(VLOOKUP(EV$72,INDIRECT($C$5&amp;"生成成长"),2))/((VLOOKUP($B228,INDIRECT($B$5&amp;"生成成长"),4))/(VLOOKUP(EV$72,INDIRECT($C$5&amp;"生成成长"),5))*(VLOOKUP($B$5,标准坦克设计!$B$24:$U$30,MATCH("对"&amp;LEFT($C$5,2)&amp;"输出",标准坦克设计!$B$23:$U$23,0)))*(VLOOKUP($B228,INDIRECT($B$5&amp;"生成成长"),3))*(VLOOKUP($B$5,标准坦克设计!$B$14:$K$20,9)/30))</f>
        <v>6.1207333222085385</v>
      </c>
      <c r="EW228" s="173">
        <f ca="1">(VLOOKUP(EW$72,INDIRECT($C$5&amp;"生成成长"),2))/((VLOOKUP($B228,INDIRECT($B$5&amp;"生成成长"),4))/(VLOOKUP(EW$72,INDIRECT($C$5&amp;"生成成长"),5))*(VLOOKUP($B$5,标准坦克设计!$B$24:$U$30,MATCH("对"&amp;LEFT($C$5,2)&amp;"输出",标准坦克设计!$B$23:$U$23,0)))*(VLOOKUP($B228,INDIRECT($B$5&amp;"生成成长"),3))*(VLOOKUP($B$5,标准坦克设计!$B$14:$K$20,9)/30))</f>
        <v>6.5732098447480443</v>
      </c>
      <c r="EX228" s="173">
        <f ca="1">(VLOOKUP(EX$72,INDIRECT($C$5&amp;"生成成长"),2))/((VLOOKUP($B228,INDIRECT($B$5&amp;"生成成长"),4))/(VLOOKUP(EX$72,INDIRECT($C$5&amp;"生成成长"),5))*(VLOOKUP($B$5,标准坦克设计!$B$24:$U$30,MATCH("对"&amp;LEFT($C$5,2)&amp;"输出",标准坦克设计!$B$23:$U$23,0)))*(VLOOKUP($B228,INDIRECT($B$5&amp;"生成成长"),3))*(VLOOKUP($B$5,标准坦克设计!$B$14:$K$20,9)/30))</f>
        <v>7.0418200520458445</v>
      </c>
      <c r="EY228" s="173">
        <f ca="1">(VLOOKUP(EY$72,INDIRECT($C$5&amp;"生成成长"),2))/((VLOOKUP($B228,INDIRECT($B$5&amp;"生成成长"),4))/(VLOOKUP(EY$72,INDIRECT($C$5&amp;"生成成长"),5))*(VLOOKUP($B$5,标准坦克设计!$B$24:$U$30,MATCH("对"&amp;LEFT($C$5,2)&amp;"输出",标准坦克设计!$B$23:$U$23,0)))*(VLOOKUP($B228,INDIRECT($B$5&amp;"生成成长"),3))*(VLOOKUP($B$5,标准坦克设计!$B$14:$K$20,9)/30))</f>
        <v>7.5265639441019427</v>
      </c>
      <c r="EZ228" s="173">
        <f ca="1">(VLOOKUP(EZ$72,INDIRECT($C$5&amp;"生成成长"),2))/((VLOOKUP($B228,INDIRECT($B$5&amp;"生成成长"),4))/(VLOOKUP(EZ$72,INDIRECT($C$5&amp;"生成成长"),5))*(VLOOKUP($B$5,标准坦克设计!$B$24:$U$30,MATCH("对"&amp;LEFT($C$5,2)&amp;"输出",标准坦克设计!$B$23:$U$23,0)))*(VLOOKUP($B228,INDIRECT($B$5&amp;"生成成长"),3))*(VLOOKUP($B$5,标准坦克设计!$B$14:$K$20,9)/30))</f>
        <v>8.0274415209163372</v>
      </c>
      <c r="FA228" s="173">
        <f ca="1">(VLOOKUP(FA$72,INDIRECT($C$5&amp;"生成成长"),2))/((VLOOKUP($B228,INDIRECT($B$5&amp;"生成成长"),4))/(VLOOKUP(FA$72,INDIRECT($C$5&amp;"生成成长"),5))*(VLOOKUP($B$5,标准坦克设计!$B$24:$U$30,MATCH("对"&amp;LEFT($C$5,2)&amp;"输出",标准坦克设计!$B$23:$U$23,0)))*(VLOOKUP($B228,INDIRECT($B$5&amp;"生成成长"),3))*(VLOOKUP($B$5,标准坦克设计!$B$14:$K$20,9)/30))</f>
        <v>8.5444527824890262</v>
      </c>
      <c r="FB228" s="173">
        <f ca="1">(VLOOKUP(FB$72,INDIRECT($C$5&amp;"生成成长"),2))/((VLOOKUP($B228,INDIRECT($B$5&amp;"生成成长"),4))/(VLOOKUP(FB$72,INDIRECT($C$5&amp;"生成成长"),5))*(VLOOKUP($B$5,标准坦克设计!$B$24:$U$30,MATCH("对"&amp;LEFT($C$5,2)&amp;"输出",标准坦克设计!$B$23:$U$23,0)))*(VLOOKUP($B228,INDIRECT($B$5&amp;"生成成长"),3))*(VLOOKUP($B$5,标准坦克设计!$B$14:$K$20,9)/30))</f>
        <v>9.0775977288200167</v>
      </c>
      <c r="FC228" s="173">
        <f ca="1">(VLOOKUP(FC$72,INDIRECT($C$5&amp;"生成成长"),2))/((VLOOKUP($B228,INDIRECT($B$5&amp;"生成成长"),4))/(VLOOKUP(FC$72,INDIRECT($C$5&amp;"生成成长"),5))*(VLOOKUP($B$5,标准坦克设计!$B$24:$U$30,MATCH("对"&amp;LEFT($C$5,2)&amp;"输出",标准坦克设计!$B$23:$U$23,0)))*(VLOOKUP($B228,INDIRECT($B$5&amp;"生成成长"),3))*(VLOOKUP($B$5,标准坦克设计!$B$14:$K$20,9)/30))</f>
        <v>9.6268763599092999</v>
      </c>
      <c r="FD228" s="173">
        <f ca="1">(VLOOKUP(FD$72,INDIRECT($C$5&amp;"生成成长"),2))/((VLOOKUP($B228,INDIRECT($B$5&amp;"生成成长"),4))/(VLOOKUP(FD$72,INDIRECT($C$5&amp;"生成成长"),5))*(VLOOKUP($B$5,标准坦克设计!$B$24:$U$30,MATCH("对"&amp;LEFT($C$5,2)&amp;"输出",标准坦克设计!$B$23:$U$23,0)))*(VLOOKUP($B228,INDIRECT($B$5&amp;"生成成长"),3))*(VLOOKUP($B$5,标准坦克设计!$B$14:$K$20,9)/30))</f>
        <v>10.192288675756881</v>
      </c>
      <c r="FE228" s="173">
        <f ca="1">(VLOOKUP(FE$72,INDIRECT($C$5&amp;"生成成长"),2))/((VLOOKUP($B228,INDIRECT($B$5&amp;"生成成长"),4))/(VLOOKUP(FE$72,INDIRECT($C$5&amp;"生成成长"),5))*(VLOOKUP($B$5,标准坦克设计!$B$24:$U$30,MATCH("对"&amp;LEFT($C$5,2)&amp;"输出",标准坦克设计!$B$23:$U$23,0)))*(VLOOKUP($B228,INDIRECT($B$5&amp;"生成成长"),3))*(VLOOKUP($B$5,标准坦克设计!$B$14:$K$20,9)/30))</f>
        <v>10.881303683926291</v>
      </c>
      <c r="FF228" s="173">
        <f ca="1">(VLOOKUP(FF$72,INDIRECT($C$5&amp;"生成成长"),2))/((VLOOKUP($B228,INDIRECT($B$5&amp;"生成成长"),4))/(VLOOKUP(FF$72,INDIRECT($C$5&amp;"生成成长"),5))*(VLOOKUP($B$5,标准坦克设计!$B$24:$U$30,MATCH("对"&amp;LEFT($C$5,2)&amp;"输出",标准坦克设计!$B$23:$U$23,0)))*(VLOOKUP($B228,INDIRECT($B$5&amp;"生成成长"),3))*(VLOOKUP($B$5,标准坦克设计!$B$14:$K$20,9)/30))</f>
        <v>11.592852516262248</v>
      </c>
      <c r="FG228" s="173">
        <f ca="1">(VLOOKUP(FG$72,INDIRECT($C$5&amp;"生成成长"),2))/((VLOOKUP($B228,INDIRECT($B$5&amp;"生成成长"),4))/(VLOOKUP(FG$72,INDIRECT($C$5&amp;"生成成长"),5))*(VLOOKUP($B$5,标准坦克设计!$B$24:$U$30,MATCH("对"&amp;LEFT($C$5,2)&amp;"输出",标准坦克设计!$B$23:$U$23,0)))*(VLOOKUP($B228,INDIRECT($B$5&amp;"生成成长"),3))*(VLOOKUP($B$5,标准坦克设计!$B$14:$K$20,9)/30))</f>
        <v>12.326935172764749</v>
      </c>
      <c r="FH228" s="173">
        <f ca="1">(VLOOKUP(FH$72,INDIRECT($C$5&amp;"生成成长"),2))/((VLOOKUP($B228,INDIRECT($B$5&amp;"生成成长"),4))/(VLOOKUP(FH$72,INDIRECT($C$5&amp;"生成成长"),5))*(VLOOKUP($B$5,标准坦克设计!$B$24:$U$30,MATCH("对"&amp;LEFT($C$5,2)&amp;"输出",标准坦克设计!$B$23:$U$23,0)))*(VLOOKUP($B228,INDIRECT($B$5&amp;"生成成长"),3))*(VLOOKUP($B$5,标准坦克设计!$B$14:$K$20,9)/30))</f>
        <v>13.083551653433796</v>
      </c>
      <c r="FI228" s="173">
        <f ca="1">(VLOOKUP(FI$72,INDIRECT($C$5&amp;"生成成长"),2))/((VLOOKUP($B228,INDIRECT($B$5&amp;"生成成长"),4))/(VLOOKUP(FI$72,INDIRECT($C$5&amp;"生成成长"),5))*(VLOOKUP($B$5,标准坦克设计!$B$24:$U$30,MATCH("对"&amp;LEFT($C$5,2)&amp;"输出",标准坦克设计!$B$23:$U$23,0)))*(VLOOKUP($B228,INDIRECT($B$5&amp;"生成成长"),3))*(VLOOKUP($B$5,标准坦克设计!$B$14:$K$20,9)/30))</f>
        <v>13.862701958269392</v>
      </c>
      <c r="FJ228" s="173">
        <f ca="1">(VLOOKUP(FJ$72,INDIRECT($C$5&amp;"生成成长"),2))/((VLOOKUP($B228,INDIRECT($B$5&amp;"生成成长"),4))/(VLOOKUP(FJ$72,INDIRECT($C$5&amp;"生成成长"),5))*(VLOOKUP($B$5,标准坦克设计!$B$24:$U$30,MATCH("对"&amp;LEFT($C$5,2)&amp;"输出",标准坦克设计!$B$23:$U$23,0)))*(VLOOKUP($B228,INDIRECT($B$5&amp;"生成成长"),3))*(VLOOKUP($B$5,标准坦克设计!$B$14:$K$20,9)/30))</f>
        <v>14.664386087271536</v>
      </c>
      <c r="FK228" s="173">
        <f ca="1">(VLOOKUP(FK$72,INDIRECT($C$5&amp;"生成成长"),2))/((VLOOKUP($B228,INDIRECT($B$5&amp;"生成成长"),4))/(VLOOKUP(FK$72,INDIRECT($C$5&amp;"生成成长"),5))*(VLOOKUP($B$5,标准坦克设计!$B$24:$U$30,MATCH("对"&amp;LEFT($C$5,2)&amp;"输出",标准坦克设计!$B$23:$U$23,0)))*(VLOOKUP($B228,INDIRECT($B$5&amp;"生成成长"),3))*(VLOOKUP($B$5,标准坦克设计!$B$14:$K$20,9)/30))</f>
        <v>15.488604040440226</v>
      </c>
    </row>
    <row r="229" spans="1:167" x14ac:dyDescent="0.15">
      <c r="A229" s="171" t="str">
        <f t="shared" si="13"/>
        <v>T5高品质13级</v>
      </c>
      <c r="B229" s="172">
        <v>30513</v>
      </c>
      <c r="C229" s="173">
        <f ca="1">(VLOOKUP(C$72,INDIRECT($C$5&amp;"生成成长"),2))/((VLOOKUP($B229,INDIRECT($B$5&amp;"生成成长"),4))/(VLOOKUP(C$72,INDIRECT($C$5&amp;"生成成长"),5))*(VLOOKUP($B$5,标准坦克设计!$B$24:$U$30,MATCH("对"&amp;LEFT($C$5,2)&amp;"输出",标准坦克设计!$B$23:$U$23,0)))*(VLOOKUP($B229,INDIRECT($B$5&amp;"生成成长"),3))*(VLOOKUP($B$5,标准坦克设计!$B$14:$K$20,9)/30))</f>
        <v>0.62815333854746047</v>
      </c>
      <c r="D229" s="173">
        <f ca="1">(VLOOKUP(D$72,INDIRECT($C$5&amp;"生成成长"),2))/((VLOOKUP($B229,INDIRECT($B$5&amp;"生成成长"),4))/(VLOOKUP(D$72,INDIRECT($C$5&amp;"生成成长"),5))*(VLOOKUP($B$5,标准坦克设计!$B$24:$U$30,MATCH("对"&amp;LEFT($C$5,2)&amp;"输出",标准坦克设计!$B$23:$U$23,0)))*(VLOOKUP($B229,INDIRECT($B$5&amp;"生成成长"),3))*(VLOOKUP($B$5,标准坦克设计!$B$14:$K$20,9)/30))</f>
        <v>0.70579309119192657</v>
      </c>
      <c r="E229" s="173">
        <f ca="1">(VLOOKUP(E$72,INDIRECT($C$5&amp;"生成成长"),2))/((VLOOKUP($B229,INDIRECT($B$5&amp;"生成成长"),4))/(VLOOKUP(E$72,INDIRECT($C$5&amp;"生成成长"),5))*(VLOOKUP($B$5,标准坦克设计!$B$24:$U$30,MATCH("对"&amp;LEFT($C$5,2)&amp;"输出",标准坦克设计!$B$23:$U$23,0)))*(VLOOKUP($B229,INDIRECT($B$5&amp;"生成成长"),3))*(VLOOKUP($B$5,标准坦克设计!$B$14:$K$20,9)/30))</f>
        <v>0.78795554787393451</v>
      </c>
      <c r="F229" s="173">
        <f ca="1">(VLOOKUP(F$72,INDIRECT($C$5&amp;"生成成长"),2))/((VLOOKUP($B229,INDIRECT($B$5&amp;"生成成长"),4))/(VLOOKUP(F$72,INDIRECT($C$5&amp;"生成成长"),5))*(VLOOKUP($B$5,标准坦克设计!$B$24:$U$30,MATCH("对"&amp;LEFT($C$5,2)&amp;"输出",标准坦克设计!$B$23:$U$23,0)))*(VLOOKUP($B229,INDIRECT($B$5&amp;"生成成长"),3))*(VLOOKUP($B$5,标准坦克设计!$B$14:$K$20,9)/30))</f>
        <v>0.87464070859348408</v>
      </c>
      <c r="G229" s="173">
        <f ca="1">(VLOOKUP(G$72,INDIRECT($C$5&amp;"生成成长"),2))/((VLOOKUP($B229,INDIRECT($B$5&amp;"生成成长"),4))/(VLOOKUP(G$72,INDIRECT($C$5&amp;"生成成长"),5))*(VLOOKUP($B$5,标准坦克设计!$B$24:$U$30,MATCH("对"&amp;LEFT($C$5,2)&amp;"输出",标准坦克设计!$B$23:$U$23,0)))*(VLOOKUP($B229,INDIRECT($B$5&amp;"生成成长"),3))*(VLOOKUP($B$5,标准坦克设计!$B$14:$K$20,9)/30))</f>
        <v>0.96584857335057539</v>
      </c>
      <c r="H229" s="173">
        <f ca="1">(VLOOKUP(H$72,INDIRECT($C$5&amp;"生成成长"),2))/((VLOOKUP($B229,INDIRECT($B$5&amp;"生成成长"),4))/(VLOOKUP(H$72,INDIRECT($C$5&amp;"生成成长"),5))*(VLOOKUP($B$5,标准坦克设计!$B$24:$U$30,MATCH("对"&amp;LEFT($C$5,2)&amp;"输出",标准坦克设计!$B$23:$U$23,0)))*(VLOOKUP($B229,INDIRECT($B$5&amp;"生成成长"),3))*(VLOOKUP($B$5,标准坦克设计!$B$14:$K$20,9)/30))</f>
        <v>0.84524313234946269</v>
      </c>
      <c r="I229" s="173">
        <f ca="1">(VLOOKUP(I$72,INDIRECT($C$5&amp;"生成成长"),2))/((VLOOKUP($B229,INDIRECT($B$5&amp;"生成成长"),4))/(VLOOKUP(I$72,INDIRECT($C$5&amp;"生成成长"),5))*(VLOOKUP($B$5,标准坦克设计!$B$24:$U$30,MATCH("对"&amp;LEFT($C$5,2)&amp;"输出",标准坦克设计!$B$23:$U$23,0)))*(VLOOKUP($B229,INDIRECT($B$5&amp;"生成成长"),3))*(VLOOKUP($B$5,标准坦克设计!$B$14:$K$20,9)/30))</f>
        <v>0.96584857335057539</v>
      </c>
      <c r="J229" s="173">
        <f ca="1">(VLOOKUP(J$72,INDIRECT($C$5&amp;"生成成长"),2))/((VLOOKUP($B229,INDIRECT($B$5&amp;"生成成长"),4))/(VLOOKUP(J$72,INDIRECT($C$5&amp;"生成成长"),5))*(VLOOKUP($B$5,标准坦克设计!$B$24:$U$30,MATCH("对"&amp;LEFT($C$5,2)&amp;"输出",标准坦克设计!$B$23:$U$23,0)))*(VLOOKUP($B229,INDIRECT($B$5&amp;"生成成长"),3))*(VLOOKUP($B$5,标准坦克设计!$B$14:$K$20,9)/30))</f>
        <v>1.0944943770850952</v>
      </c>
      <c r="K229" s="173">
        <f ca="1">(VLOOKUP(K$72,INDIRECT($C$5&amp;"生成成长"),2))/((VLOOKUP($B229,INDIRECT($B$5&amp;"生成成长"),4))/(VLOOKUP(K$72,INDIRECT($C$5&amp;"生成成长"),5))*(VLOOKUP($B$5,标准坦克设计!$B$24:$U$30,MATCH("对"&amp;LEFT($C$5,2)&amp;"输出",标准坦克设计!$B$23:$U$23,0)))*(VLOOKUP($B229,INDIRECT($B$5&amp;"生成成长"),3))*(VLOOKUP($B$5,标准坦克设计!$B$14:$K$20,9)/30))</f>
        <v>1.2311805435530225</v>
      </c>
      <c r="L229" s="173">
        <f ca="1">(VLOOKUP(L$72,INDIRECT($C$5&amp;"生成成长"),2))/((VLOOKUP($B229,INDIRECT($B$5&amp;"生成成长"),4))/(VLOOKUP(L$72,INDIRECT($C$5&amp;"生成成长"),5))*(VLOOKUP($B$5,标准坦克设计!$B$24:$U$30,MATCH("对"&amp;LEFT($C$5,2)&amp;"输出",标准坦克设计!$B$23:$U$23,0)))*(VLOOKUP($B229,INDIRECT($B$5&amp;"生成成长"),3))*(VLOOKUP($B$5,标准坦克设计!$B$14:$K$20,9)/30))</f>
        <v>1.3759070727543576</v>
      </c>
      <c r="M229" s="173">
        <f ca="1">(VLOOKUP(M$72,INDIRECT($C$5&amp;"生成成长"),2))/((VLOOKUP($B229,INDIRECT($B$5&amp;"生成成长"),4))/(VLOOKUP(M$72,INDIRECT($C$5&amp;"生成成长"),5))*(VLOOKUP($B$5,标准坦克设计!$B$24:$U$30,MATCH("对"&amp;LEFT($C$5,2)&amp;"输出",标准坦克设计!$B$23:$U$23,0)))*(VLOOKUP($B229,INDIRECT($B$5&amp;"生成成长"),3))*(VLOOKUP($B$5,标准坦克设计!$B$14:$K$20,9)/30))</f>
        <v>1.5286739646890999</v>
      </c>
      <c r="N229" s="173">
        <f ca="1">(VLOOKUP(N$72,INDIRECT($C$5&amp;"生成成长"),2))/((VLOOKUP($B229,INDIRECT($B$5&amp;"生成成长"),4))/(VLOOKUP(N$72,INDIRECT($C$5&amp;"生成成长"),5))*(VLOOKUP($B$5,标准坦克设计!$B$24:$U$30,MATCH("对"&amp;LEFT($C$5,2)&amp;"输出",标准坦克设计!$B$23:$U$23,0)))*(VLOOKUP($B229,INDIRECT($B$5&amp;"生成成长"),3))*(VLOOKUP($B$5,标准坦克设计!$B$14:$K$20,9)/30))</f>
        <v>1.6894812193572497</v>
      </c>
      <c r="O229" s="173">
        <f ca="1">(VLOOKUP(O$72,INDIRECT($C$5&amp;"生成成长"),2))/((VLOOKUP($B229,INDIRECT($B$5&amp;"生成成长"),4))/(VLOOKUP(O$72,INDIRECT($C$5&amp;"生成成长"),5))*(VLOOKUP($B$5,标准坦克设计!$B$24:$U$30,MATCH("对"&amp;LEFT($C$5,2)&amp;"输出",标准坦克设计!$B$23:$U$23,0)))*(VLOOKUP($B229,INDIRECT($B$5&amp;"生成成长"),3))*(VLOOKUP($B$5,标准坦克设计!$B$14:$K$20,9)/30))</f>
        <v>1.2845107619957019</v>
      </c>
      <c r="P229" s="173">
        <f ca="1">(VLOOKUP(P$72,INDIRECT($C$5&amp;"生成成长"),2))/((VLOOKUP($B229,INDIRECT($B$5&amp;"生成成长"),4))/(VLOOKUP(P$72,INDIRECT($C$5&amp;"生成成长"),5))*(VLOOKUP($B$5,标准坦克设计!$B$24:$U$30,MATCH("对"&amp;LEFT($C$5,2)&amp;"输出",标准坦克设计!$B$23:$U$23,0)))*(VLOOKUP($B229,INDIRECT($B$5&amp;"生成成长"),3))*(VLOOKUP($B$5,标准坦克设计!$B$14:$K$20,9)/30))</f>
        <v>1.4512854733800526</v>
      </c>
      <c r="Q229" s="173">
        <f ca="1">(VLOOKUP(Q$72,INDIRECT($C$5&amp;"生成成长"),2))/((VLOOKUP($B229,INDIRECT($B$5&amp;"生成成长"),4))/(VLOOKUP(Q$72,INDIRECT($C$5&amp;"生成成长"),5))*(VLOOKUP($B$5,标准坦克设计!$B$24:$U$30,MATCH("对"&amp;LEFT($C$5,2)&amp;"输出",标准坦克设计!$B$23:$U$23,0)))*(VLOOKUP($B229,INDIRECT($B$5&amp;"生成成长"),3))*(VLOOKUP($B$5,标准坦克设计!$B$14:$K$20,9)/30))</f>
        <v>1.6282362688488723</v>
      </c>
      <c r="R229" s="173">
        <f ca="1">(VLOOKUP(R$72,INDIRECT($C$5&amp;"生成成长"),2))/((VLOOKUP($B229,INDIRECT($B$5&amp;"生成成长"),4))/(VLOOKUP(R$72,INDIRECT($C$5&amp;"生成成长"),5))*(VLOOKUP($B$5,标准坦克设计!$B$24:$U$30,MATCH("对"&amp;LEFT($C$5,2)&amp;"输出",标准坦克设计!$B$23:$U$23,0)))*(VLOOKUP($B229,INDIRECT($B$5&amp;"生成成长"),3))*(VLOOKUP($B$5,标准坦克设计!$B$14:$K$20,9)/30))</f>
        <v>1.8153631484021606</v>
      </c>
      <c r="S229" s="173">
        <f ca="1">(VLOOKUP(S$72,INDIRECT($C$5&amp;"生成成长"),2))/((VLOOKUP($B229,INDIRECT($B$5&amp;"生成成长"),4))/(VLOOKUP(S$72,INDIRECT($C$5&amp;"生成成长"),5))*(VLOOKUP($B$5,标准坦克设计!$B$24:$U$30,MATCH("对"&amp;LEFT($C$5,2)&amp;"输出",标准坦克设计!$B$23:$U$23,0)))*(VLOOKUP($B229,INDIRECT($B$5&amp;"生成成长"),3))*(VLOOKUP($B$5,标准坦克设计!$B$14:$K$20,9)/30))</f>
        <v>2.0126661120399181</v>
      </c>
      <c r="T229" s="173">
        <f ca="1">(VLOOKUP(T$72,INDIRECT($C$5&amp;"生成成长"),2))/((VLOOKUP($B229,INDIRECT($B$5&amp;"生成成长"),4))/(VLOOKUP(T$72,INDIRECT($C$5&amp;"生成成长"),5))*(VLOOKUP($B$5,标准坦克设计!$B$24:$U$30,MATCH("对"&amp;LEFT($C$5,2)&amp;"输出",标准坦克设计!$B$23:$U$23,0)))*(VLOOKUP($B229,INDIRECT($B$5&amp;"生成成长"),3))*(VLOOKUP($B$5,标准坦克设计!$B$14:$K$20,9)/30))</f>
        <v>2.2201451597621444</v>
      </c>
      <c r="U229" s="173">
        <f ca="1">(VLOOKUP(U$72,INDIRECT($C$5&amp;"生成成长"),2))/((VLOOKUP($B229,INDIRECT($B$5&amp;"生成成长"),4))/(VLOOKUP(U$72,INDIRECT($C$5&amp;"生成成长"),5))*(VLOOKUP($B$5,标准坦克设计!$B$24:$U$30,MATCH("对"&amp;LEFT($C$5,2)&amp;"输出",标准坦克设计!$B$23:$U$23,0)))*(VLOOKUP($B229,INDIRECT($B$5&amp;"生成成长"),3))*(VLOOKUP($B$5,标准坦克设计!$B$14:$K$20,9)/30))</f>
        <v>2.4378002915688395</v>
      </c>
      <c r="V229" s="173">
        <f ca="1">(VLOOKUP(V$72,INDIRECT($C$5&amp;"生成成长"),2))/((VLOOKUP($B229,INDIRECT($B$5&amp;"生成成长"),4))/(VLOOKUP(V$72,INDIRECT($C$5&amp;"生成成长"),5))*(VLOOKUP($B$5,标准坦克设计!$B$24:$U$30,MATCH("对"&amp;LEFT($C$5,2)&amp;"输出",标准坦克设计!$B$23:$U$23,0)))*(VLOOKUP($B229,INDIRECT($B$5&amp;"生成成长"),3))*(VLOOKUP($B$5,标准坦克设计!$B$14:$K$20,9)/30))</f>
        <v>2.6656315074600032</v>
      </c>
      <c r="W229" s="173">
        <f ca="1">(VLOOKUP(W$72,INDIRECT($C$5&amp;"生成成长"),2))/((VLOOKUP($B229,INDIRECT($B$5&amp;"生成成长"),4))/(VLOOKUP(W$72,INDIRECT($C$5&amp;"生成成长"),5))*(VLOOKUP($B$5,标准坦克设计!$B$24:$U$30,MATCH("对"&amp;LEFT($C$5,2)&amp;"输出",标准坦克设计!$B$23:$U$23,0)))*(VLOOKUP($B229,INDIRECT($B$5&amp;"生成成长"),3))*(VLOOKUP($B$5,标准坦克设计!$B$14:$K$20,9)/30))</f>
        <v>2.9036388074356365</v>
      </c>
      <c r="X229" s="173">
        <f ca="1">(VLOOKUP(X$72,INDIRECT($C$5&amp;"生成成长"),2))/((VLOOKUP($B229,INDIRECT($B$5&amp;"生成成长"),4))/(VLOOKUP(X$72,INDIRECT($C$5&amp;"生成成长"),5))*(VLOOKUP($B$5,标准坦克设计!$B$24:$U$30,MATCH("对"&amp;LEFT($C$5,2)&amp;"输出",标准坦克设计!$B$23:$U$23,0)))*(VLOOKUP($B229,INDIRECT($B$5&amp;"生成成长"),3))*(VLOOKUP($B$5,标准坦克设计!$B$14:$K$20,9)/30))</f>
        <v>2.1036227154615905</v>
      </c>
      <c r="Y229" s="173">
        <f ca="1">(VLOOKUP(Y$72,INDIRECT($C$5&amp;"生成成长"),2))/((VLOOKUP($B229,INDIRECT($B$5&amp;"生成成长"),4))/(VLOOKUP(Y$72,INDIRECT($C$5&amp;"生成成长"),5))*(VLOOKUP($B$5,标准坦克设计!$B$24:$U$30,MATCH("对"&amp;LEFT($C$5,2)&amp;"输出",标准坦克设计!$B$23:$U$23,0)))*(VLOOKUP($B229,INDIRECT($B$5&amp;"生成成长"),3))*(VLOOKUP($B$5,标准坦克设计!$B$14:$K$20,9)/30))</f>
        <v>2.3398083707554358</v>
      </c>
      <c r="Z229" s="173">
        <f ca="1">(VLOOKUP(Z$72,INDIRECT($C$5&amp;"生成成长"),2))/((VLOOKUP($B229,INDIRECT($B$5&amp;"生成成长"),4))/(VLOOKUP(Z$72,INDIRECT($C$5&amp;"生成成长"),5))*(VLOOKUP($B$5,标准坦克设计!$B$24:$U$30,MATCH("对"&amp;LEFT($C$5,2)&amp;"输出",标准坦克设计!$B$23:$U$23,0)))*(VLOOKUP($B229,INDIRECT($B$5&amp;"生成成长"),3))*(VLOOKUP($B$5,标准坦克设计!$B$14:$K$20,9)/30))</f>
        <v>2.5885570928202299</v>
      </c>
      <c r="AA229" s="173">
        <f ca="1">(VLOOKUP(AA$72,INDIRECT($C$5&amp;"生成成长"),2))/((VLOOKUP($B229,INDIRECT($B$5&amp;"生成成长"),4))/(VLOOKUP(AA$72,INDIRECT($C$5&amp;"生成成长"),5))*(VLOOKUP($B$5,标准坦克设计!$B$24:$U$30,MATCH("对"&amp;LEFT($C$5,2)&amp;"输出",标准坦克设计!$B$23:$U$23,0)))*(VLOOKUP($B229,INDIRECT($B$5&amp;"生成成长"),3))*(VLOOKUP($B$5,标准坦克设计!$B$14:$K$20,9)/30))</f>
        <v>2.8498688816559734</v>
      </c>
      <c r="AB229" s="173">
        <f ca="1">(VLOOKUP(AB$72,INDIRECT($C$5&amp;"生成成长"),2))/((VLOOKUP($B229,INDIRECT($B$5&amp;"生成成长"),4))/(VLOOKUP(AB$72,INDIRECT($C$5&amp;"生成成长"),5))*(VLOOKUP($B$5,标准坦克设计!$B$24:$U$30,MATCH("对"&amp;LEFT($C$5,2)&amp;"输出",标准坦克设计!$B$23:$U$23,0)))*(VLOOKUP($B229,INDIRECT($B$5&amp;"生成成长"),3))*(VLOOKUP($B$5,标准坦克设计!$B$14:$K$20,9)/30))</f>
        <v>3.1237437372626657</v>
      </c>
      <c r="AC229" s="173">
        <f ca="1">(VLOOKUP(AC$72,INDIRECT($C$5&amp;"生成成长"),2))/((VLOOKUP($B229,INDIRECT($B$5&amp;"生成成长"),4))/(VLOOKUP(AC$72,INDIRECT($C$5&amp;"生成成长"),5))*(VLOOKUP($B$5,标准坦克设计!$B$24:$U$30,MATCH("对"&amp;LEFT($C$5,2)&amp;"输出",标准坦克设计!$B$23:$U$23,0)))*(VLOOKUP($B229,INDIRECT($B$5&amp;"生成成长"),3))*(VLOOKUP($B$5,标准坦克设计!$B$14:$K$20,9)/30))</f>
        <v>3.4101816596403078</v>
      </c>
      <c r="AD229" s="173">
        <f ca="1">(VLOOKUP(AD$72,INDIRECT($C$5&amp;"生成成长"),2))/((VLOOKUP($B229,INDIRECT($B$5&amp;"生成成长"),4))/(VLOOKUP(AD$72,INDIRECT($C$5&amp;"生成成长"),5))*(VLOOKUP($B$5,标准坦克设计!$B$24:$U$30,MATCH("对"&amp;LEFT($C$5,2)&amp;"输出",标准坦克设计!$B$23:$U$23,0)))*(VLOOKUP($B229,INDIRECT($B$5&amp;"生成成长"),3))*(VLOOKUP($B$5,标准坦克设计!$B$14:$K$20,9)/30))</f>
        <v>3.7091826487888997</v>
      </c>
      <c r="AE229" s="173">
        <f ca="1">(VLOOKUP(AE$72,INDIRECT($C$5&amp;"生成成长"),2))/((VLOOKUP($B229,INDIRECT($B$5&amp;"生成成长"),4))/(VLOOKUP(AE$72,INDIRECT($C$5&amp;"生成成长"),5))*(VLOOKUP($B$5,标准坦克设计!$B$24:$U$30,MATCH("对"&amp;LEFT($C$5,2)&amp;"输出",标准坦克设计!$B$23:$U$23,0)))*(VLOOKUP($B229,INDIRECT($B$5&amp;"生成成长"),3))*(VLOOKUP($B$5,标准坦克设计!$B$14:$K$20,9)/30))</f>
        <v>4.02074670470844</v>
      </c>
      <c r="AF229" s="173">
        <f ca="1">(VLOOKUP(AF$72,INDIRECT($C$5&amp;"生成成长"),2))/((VLOOKUP($B229,INDIRECT($B$5&amp;"生成成长"),4))/(VLOOKUP(AF$72,INDIRECT($C$5&amp;"生成成长"),5))*(VLOOKUP($B$5,标准坦克设计!$B$24:$U$30,MATCH("对"&amp;LEFT($C$5,2)&amp;"输出",标准坦克设计!$B$23:$U$23,0)))*(VLOOKUP($B229,INDIRECT($B$5&amp;"生成成长"),3))*(VLOOKUP($B$5,标准坦克设计!$B$14:$K$20,9)/30))</f>
        <v>4.3448738273989296</v>
      </c>
      <c r="AG229" s="173">
        <f ca="1">(VLOOKUP(AG$72,INDIRECT($C$5&amp;"生成成长"),2))/((VLOOKUP($B229,INDIRECT($B$5&amp;"生成成长"),4))/(VLOOKUP(AG$72,INDIRECT($C$5&amp;"生成成长"),5))*(VLOOKUP($B$5,标准坦克设计!$B$24:$U$30,MATCH("对"&amp;LEFT($C$5,2)&amp;"输出",标准坦克设计!$B$23:$U$23,0)))*(VLOOKUP($B229,INDIRECT($B$5&amp;"生成成长"),3))*(VLOOKUP($B$5,标准坦克设计!$B$14:$K$20,9)/30))</f>
        <v>4.681564016860368</v>
      </c>
      <c r="AH229" s="173">
        <f ca="1">(VLOOKUP(AH$72,INDIRECT($C$5&amp;"生成成长"),2))/((VLOOKUP($B229,INDIRECT($B$5&amp;"生成成长"),4))/(VLOOKUP(AH$72,INDIRECT($C$5&amp;"生成成长"),5))*(VLOOKUP($B$5,标准坦克设计!$B$24:$U$30,MATCH("对"&amp;LEFT($C$5,2)&amp;"输出",标准坦克设计!$B$23:$U$23,0)))*(VLOOKUP($B229,INDIRECT($B$5&amp;"生成成长"),3))*(VLOOKUP($B$5,标准坦克设计!$B$14:$K$20,9)/30))</f>
        <v>5.0308172730927563</v>
      </c>
      <c r="AI229" s="173">
        <f ca="1">(VLOOKUP(AI$72,INDIRECT($C$5&amp;"生成成长"),2))/((VLOOKUP($B229,INDIRECT($B$5&amp;"生成成长"),4))/(VLOOKUP(AI$72,INDIRECT($C$5&amp;"生成成长"),5))*(VLOOKUP($B$5,标准坦克设计!$B$24:$U$30,MATCH("对"&amp;LEFT($C$5,2)&amp;"输出",标准坦克设计!$B$23:$U$23,0)))*(VLOOKUP($B229,INDIRECT($B$5&amp;"生成成长"),3))*(VLOOKUP($B$5,标准坦克设计!$B$14:$K$20,9)/30))</f>
        <v>3.5581117708682353</v>
      </c>
      <c r="AJ229" s="173">
        <f ca="1">(VLOOKUP(AJ$72,INDIRECT($C$5&amp;"生成成长"),2))/((VLOOKUP($B229,INDIRECT($B$5&amp;"生成成长"),4))/(VLOOKUP(AJ$72,INDIRECT($C$5&amp;"生成成长"),5))*(VLOOKUP($B$5,标准坦克设计!$B$24:$U$30,MATCH("对"&amp;LEFT($C$5,2)&amp;"输出",标准坦克设计!$B$23:$U$23,0)))*(VLOOKUP($B229,INDIRECT($B$5&amp;"生成成长"),3))*(VLOOKUP($B$5,标准坦克设计!$B$14:$K$20,9)/30))</f>
        <v>3.8946135143281095</v>
      </c>
      <c r="AK229" s="173">
        <f ca="1">(VLOOKUP(AK$72,INDIRECT($C$5&amp;"生成成长"),2))/((VLOOKUP($B229,INDIRECT($B$5&amp;"生成成长"),4))/(VLOOKUP(AK$72,INDIRECT($C$5&amp;"生成成长"),5))*(VLOOKUP($B$5,标准坦克设计!$B$24:$U$30,MATCH("对"&amp;LEFT($C$5,2)&amp;"输出",标准坦克设计!$B$23:$U$23,0)))*(VLOOKUP($B229,INDIRECT($B$5&amp;"生成成长"),3))*(VLOOKUP($B$5,标准坦克设计!$B$14:$K$20,9)/30))</f>
        <v>4.2463165685808333</v>
      </c>
      <c r="AL229" s="173">
        <f ca="1">(VLOOKUP(AL$72,INDIRECT($C$5&amp;"生成成长"),2))/((VLOOKUP($B229,INDIRECT($B$5&amp;"生成成长"),4))/(VLOOKUP(AL$72,INDIRECT($C$5&amp;"生成成长"),5))*(VLOOKUP($B$5,标准坦克设计!$B$24:$U$30,MATCH("对"&amp;LEFT($C$5,2)&amp;"输出",标准坦克设计!$B$23:$U$23,0)))*(VLOOKUP($B229,INDIRECT($B$5&amp;"生成成长"),3))*(VLOOKUP($B$5,标准坦克设计!$B$14:$K$20,9)/30))</f>
        <v>4.6132209336264047</v>
      </c>
      <c r="AM229" s="173">
        <f ca="1">(VLOOKUP(AM$72,INDIRECT($C$5&amp;"生成成长"),2))/((VLOOKUP($B229,INDIRECT($B$5&amp;"生成成长"),4))/(VLOOKUP(AM$72,INDIRECT($C$5&amp;"生成成长"),5))*(VLOOKUP($B$5,标准坦克设计!$B$24:$U$30,MATCH("对"&amp;LEFT($C$5,2)&amp;"输出",标准坦克设计!$B$23:$U$23,0)))*(VLOOKUP($B229,INDIRECT($B$5&amp;"生成成长"),3))*(VLOOKUP($B$5,标准坦克设计!$B$14:$K$20,9)/30))</f>
        <v>4.9953266094648248</v>
      </c>
      <c r="AN229" s="173">
        <f ca="1">(VLOOKUP(AN$72,INDIRECT($C$5&amp;"生成成长"),2))/((VLOOKUP($B229,INDIRECT($B$5&amp;"生成成长"),4))/(VLOOKUP(AN$72,INDIRECT($C$5&amp;"生成成长"),5))*(VLOOKUP($B$5,标准坦克设计!$B$24:$U$30,MATCH("对"&amp;LEFT($C$5,2)&amp;"输出",标准坦克设计!$B$23:$U$23,0)))*(VLOOKUP($B229,INDIRECT($B$5&amp;"生成成长"),3))*(VLOOKUP($B$5,标准坦克设计!$B$14:$K$20,9)/30))</f>
        <v>5.3926335960960943</v>
      </c>
      <c r="AO229" s="173">
        <f ca="1">(VLOOKUP(AO$72,INDIRECT($C$5&amp;"生成成长"),2))/((VLOOKUP($B229,INDIRECT($B$5&amp;"生成成长"),4))/(VLOOKUP(AO$72,INDIRECT($C$5&amp;"生成成长"),5))*(VLOOKUP($B$5,标准坦克设计!$B$24:$U$30,MATCH("对"&amp;LEFT($C$5,2)&amp;"输出",标准坦克设计!$B$23:$U$23,0)))*(VLOOKUP($B229,INDIRECT($B$5&amp;"生成成长"),3))*(VLOOKUP($B$5,标准坦克设计!$B$14:$K$20,9)/30))</f>
        <v>5.8051418935202106</v>
      </c>
      <c r="AP229" s="173">
        <f ca="1">(VLOOKUP(AP$72,INDIRECT($C$5&amp;"生成成长"),2))/((VLOOKUP($B229,INDIRECT($B$5&amp;"生成成长"),4))/(VLOOKUP(AP$72,INDIRECT($C$5&amp;"生成成长"),5))*(VLOOKUP($B$5,标准坦克设计!$B$24:$U$30,MATCH("对"&amp;LEFT($C$5,2)&amp;"输出",标准坦克设计!$B$23:$U$23,0)))*(VLOOKUP($B229,INDIRECT($B$5&amp;"生成成长"),3))*(VLOOKUP($B$5,标准坦克设计!$B$14:$K$20,9)/30))</f>
        <v>6.2328515017371773</v>
      </c>
      <c r="AQ229" s="173">
        <f ca="1">(VLOOKUP(AQ$72,INDIRECT($C$5&amp;"生成成长"),2))/((VLOOKUP($B229,INDIRECT($B$5&amp;"生成成长"),4))/(VLOOKUP(AQ$72,INDIRECT($C$5&amp;"生成成长"),5))*(VLOOKUP($B$5,标准坦克设计!$B$24:$U$30,MATCH("对"&amp;LEFT($C$5,2)&amp;"输出",标准坦克设计!$B$23:$U$23,0)))*(VLOOKUP($B229,INDIRECT($B$5&amp;"生成成长"),3))*(VLOOKUP($B$5,标准坦克设计!$B$14:$K$20,9)/30))</f>
        <v>6.6757624207469917</v>
      </c>
      <c r="AR229" s="173">
        <f ca="1">(VLOOKUP(AR$72,INDIRECT($C$5&amp;"生成成长"),2))/((VLOOKUP($B229,INDIRECT($B$5&amp;"生成成长"),4))/(VLOOKUP(AR$72,INDIRECT($C$5&amp;"生成成长"),5))*(VLOOKUP($B$5,标准坦克设计!$B$24:$U$30,MATCH("对"&amp;LEFT($C$5,2)&amp;"输出",标准坦克设计!$B$23:$U$23,0)))*(VLOOKUP($B229,INDIRECT($B$5&amp;"生成成长"),3))*(VLOOKUP($B$5,标准坦克设计!$B$14:$K$20,9)/30))</f>
        <v>7.1338746505496538</v>
      </c>
      <c r="AS229" s="173">
        <f ca="1">(VLOOKUP(AS$72,INDIRECT($C$5&amp;"生成成长"),2))/((VLOOKUP($B229,INDIRECT($B$5&amp;"生成成长"),4))/(VLOOKUP(AS$72,INDIRECT($C$5&amp;"生成成长"),5))*(VLOOKUP($B$5,标准坦克设计!$B$24:$U$30,MATCH("对"&amp;LEFT($C$5,2)&amp;"输出",标准坦克设计!$B$23:$U$23,0)))*(VLOOKUP($B229,INDIRECT($B$5&amp;"生成成长"),3))*(VLOOKUP($B$5,标准坦克设计!$B$14:$K$20,9)/30))</f>
        <v>7.6071881911451644</v>
      </c>
      <c r="AT229" s="173">
        <f ca="1">(VLOOKUP(AT$72,INDIRECT($C$5&amp;"生成成长"),2))/((VLOOKUP($B229,INDIRECT($B$5&amp;"生成成长"),4))/(VLOOKUP(AT$72,INDIRECT($C$5&amp;"生成成长"),5))*(VLOOKUP($B$5,标准坦克设计!$B$24:$U$30,MATCH("对"&amp;LEFT($C$5,2)&amp;"输出",标准坦克设计!$B$23:$U$23,0)))*(VLOOKUP($B229,INDIRECT($B$5&amp;"生成成长"),3))*(VLOOKUP($B$5,标准坦克设计!$B$14:$K$20,9)/30))</f>
        <v>8.0957030425335255</v>
      </c>
      <c r="AU229" s="173">
        <f ca="1">(VLOOKUP(AU$72,INDIRECT($C$5&amp;"生成成长"),2))/((VLOOKUP($B229,INDIRECT($B$5&amp;"生成成长"),4))/(VLOOKUP(AU$72,INDIRECT($C$5&amp;"生成成长"),5))*(VLOOKUP($B$5,标准坦克设计!$B$24:$U$30,MATCH("对"&amp;LEFT($C$5,2)&amp;"输出",标准坦克设计!$B$23:$U$23,0)))*(VLOOKUP($B229,INDIRECT($B$5&amp;"生成成长"),3))*(VLOOKUP($B$5,标准坦克设计!$B$14:$K$20,9)/30))</f>
        <v>8.5994192047147351</v>
      </c>
      <c r="AV229" s="173">
        <f ca="1">(VLOOKUP(AV$72,INDIRECT($C$5&amp;"生成成长"),2))/((VLOOKUP($B229,INDIRECT($B$5&amp;"生成成长"),4))/(VLOOKUP(AV$72,INDIRECT($C$5&amp;"生成成长"),5))*(VLOOKUP($B$5,标准坦克设计!$B$24:$U$30,MATCH("对"&amp;LEFT($C$5,2)&amp;"输出",标准坦克设计!$B$23:$U$23,0)))*(VLOOKUP($B229,INDIRECT($B$5&amp;"生成成长"),3))*(VLOOKUP($B$5,标准坦克设计!$B$14:$K$20,9)/30))</f>
        <v>0.87464070859348408</v>
      </c>
      <c r="AW229" s="173">
        <f ca="1">(VLOOKUP(AW$72,INDIRECT($C$5&amp;"生成成长"),2))/((VLOOKUP($B229,INDIRECT($B$5&amp;"生成成长"),4))/(VLOOKUP(AW$72,INDIRECT($C$5&amp;"生成成长"),5))*(VLOOKUP($B$5,标准坦克设计!$B$24:$U$30,MATCH("对"&amp;LEFT($C$5,2)&amp;"输出",标准坦克设计!$B$23:$U$23,0)))*(VLOOKUP($B229,INDIRECT($B$5&amp;"生成成长"),3))*(VLOOKUP($B$5,标准坦克设计!$B$14:$K$20,9)/30))</f>
        <v>0.99725624027794835</v>
      </c>
      <c r="AX229" s="173">
        <f ca="1">(VLOOKUP(AX$72,INDIRECT($C$5&amp;"生成成长"),2))/((VLOOKUP($B229,INDIRECT($B$5&amp;"生成成长"),4))/(VLOOKUP(AX$72,INDIRECT($C$5&amp;"生成成长"),5))*(VLOOKUP($B$5,标准坦克设计!$B$24:$U$30,MATCH("对"&amp;LEFT($C$5,2)&amp;"输出",标准坦克设计!$B$23:$U$23,0)))*(VLOOKUP($B229,INDIRECT($B$5&amp;"生成成长"),3))*(VLOOKUP($B$5,标准坦克设计!$B$14:$K$20,9)/30))</f>
        <v>1.1279121346958201</v>
      </c>
      <c r="AY229" s="173">
        <f ca="1">(VLOOKUP(AY$72,INDIRECT($C$5&amp;"生成成长"),2))/((VLOOKUP($B229,INDIRECT($B$5&amp;"生成成长"),4))/(VLOOKUP(AY$72,INDIRECT($C$5&amp;"生成成长"),5))*(VLOOKUP($B$5,标准坦克设计!$B$24:$U$30,MATCH("对"&amp;LEFT($C$5,2)&amp;"输出",标准坦克设计!$B$23:$U$23,0)))*(VLOOKUP($B229,INDIRECT($B$5&amp;"生成成长"),3))*(VLOOKUP($B$5,标准坦克设计!$B$14:$K$20,9)/30))</f>
        <v>1.2666083918470994</v>
      </c>
      <c r="AZ229" s="173">
        <f ca="1">(VLOOKUP(AZ$72,INDIRECT($C$5&amp;"生成成长"),2))/((VLOOKUP($B229,INDIRECT($B$5&amp;"生成成长"),4))/(VLOOKUP(AZ$72,INDIRECT($C$5&amp;"生成成长"),5))*(VLOOKUP($B$5,标准坦克设计!$B$24:$U$30,MATCH("对"&amp;LEFT($C$5,2)&amp;"输出",标准坦克设计!$B$23:$U$23,0)))*(VLOOKUP($B229,INDIRECT($B$5&amp;"生成成长"),3))*(VLOOKUP($B$5,标准坦克设计!$B$14:$K$20,9)/30))</f>
        <v>1.4133450117317863</v>
      </c>
      <c r="BA229" s="173">
        <f ca="1">(VLOOKUP(BA$72,INDIRECT($C$5&amp;"生成成长"),2))/((VLOOKUP($B229,INDIRECT($B$5&amp;"生成成长"),4))/(VLOOKUP(BA$72,INDIRECT($C$5&amp;"生成成长"),5))*(VLOOKUP($B$5,标准坦克设计!$B$24:$U$30,MATCH("对"&amp;LEFT($C$5,2)&amp;"输出",标准坦克设计!$B$23:$U$23,0)))*(VLOOKUP($B229,INDIRECT($B$5&amp;"生成成长"),3))*(VLOOKUP($B$5,标准坦克设计!$B$14:$K$20,9)/30))</f>
        <v>1.5681219943498803</v>
      </c>
      <c r="BB229" s="173">
        <f ca="1">(VLOOKUP(BB$72,INDIRECT($C$5&amp;"生成成长"),2))/((VLOOKUP($B229,INDIRECT($B$5&amp;"生成成长"),4))/(VLOOKUP(BB$72,INDIRECT($C$5&amp;"生成成长"),5))*(VLOOKUP($B$5,标准坦克设计!$B$24:$U$30,MATCH("对"&amp;LEFT($C$5,2)&amp;"输出",标准坦克设计!$B$23:$U$23,0)))*(VLOOKUP($B229,INDIRECT($B$5&amp;"生成成长"),3))*(VLOOKUP($B$5,标准坦克设计!$B$14:$K$20,9)/30))</f>
        <v>1.7309393397013819</v>
      </c>
      <c r="BC229" s="173">
        <f ca="1">(VLOOKUP(BC$72,INDIRECT($C$5&amp;"生成成长"),2))/((VLOOKUP($B229,INDIRECT($B$5&amp;"生成成长"),4))/(VLOOKUP(BC$72,INDIRECT($C$5&amp;"生成成长"),5))*(VLOOKUP($B$5,标准坦克设计!$B$24:$U$30,MATCH("对"&amp;LEFT($C$5,2)&amp;"输出",标准坦克设计!$B$23:$U$23,0)))*(VLOOKUP($B229,INDIRECT($B$5&amp;"生成成长"),3))*(VLOOKUP($B$5,标准坦克设计!$B$14:$K$20,9)/30))</f>
        <v>1.9017970477862911</v>
      </c>
      <c r="BD229" s="173">
        <f ca="1">(VLOOKUP(BD$72,INDIRECT($C$5&amp;"生成成长"),2))/((VLOOKUP($B229,INDIRECT($B$5&amp;"生成成长"),4))/(VLOOKUP(BD$72,INDIRECT($C$5&amp;"生成成长"),5))*(VLOOKUP($B$5,标准坦克设计!$B$24:$U$30,MATCH("对"&amp;LEFT($C$5,2)&amp;"输出",标准坦克设计!$B$23:$U$23,0)))*(VLOOKUP($B229,INDIRECT($B$5&amp;"生成成长"),3))*(VLOOKUP($B$5,标准坦克设计!$B$14:$K$20,9)/30))</f>
        <v>2.1036227154615905</v>
      </c>
      <c r="BE229" s="173">
        <f ca="1">(VLOOKUP(BE$72,INDIRECT($C$5&amp;"生成成长"),2))/((VLOOKUP($B229,INDIRECT($B$5&amp;"生成成长"),4))/(VLOOKUP(BE$72,INDIRECT($C$5&amp;"生成成长"),5))*(VLOOKUP($B$5,标准坦克设计!$B$24:$U$30,MATCH("对"&amp;LEFT($C$5,2)&amp;"输出",标准坦克设计!$B$23:$U$23,0)))*(VLOOKUP($B229,INDIRECT($B$5&amp;"生成成长"),3))*(VLOOKUP($B$5,标准坦克设计!$B$14:$K$20,9)/30))</f>
        <v>2.3156244672213586</v>
      </c>
      <c r="BF229" s="173">
        <f ca="1">(VLOOKUP(BF$72,INDIRECT($C$5&amp;"生成成长"),2))/((VLOOKUP($B229,INDIRECT($B$5&amp;"生成成长"),4))/(VLOOKUP(BF$72,INDIRECT($C$5&amp;"生成成长"),5))*(VLOOKUP($B$5,标准坦克设计!$B$24:$U$30,MATCH("对"&amp;LEFT($C$5,2)&amp;"输出",标准坦克设计!$B$23:$U$23,0)))*(VLOOKUP($B229,INDIRECT($B$5&amp;"生成成长"),3))*(VLOOKUP($B$5,标准坦克设计!$B$14:$K$20,9)/30))</f>
        <v>2.537802303065595</v>
      </c>
      <c r="BG229" s="173">
        <f ca="1">(VLOOKUP(BG$72,INDIRECT($C$5&amp;"生成成长"),2))/((VLOOKUP($B229,INDIRECT($B$5&amp;"生成成长"),4))/(VLOOKUP(BG$72,INDIRECT($C$5&amp;"生成成长"),5))*(VLOOKUP($B$5,标准坦克设计!$B$24:$U$30,MATCH("对"&amp;LEFT($C$5,2)&amp;"输出",标准坦克设计!$B$23:$U$23,0)))*(VLOOKUP($B229,INDIRECT($B$5&amp;"生成成长"),3))*(VLOOKUP($B$5,标准坦克设计!$B$14:$K$20,9)/30))</f>
        <v>2.7701562229943009</v>
      </c>
      <c r="BH229" s="173">
        <f ca="1">(VLOOKUP(BH$72,INDIRECT($C$5&amp;"生成成长"),2))/((VLOOKUP($B229,INDIRECT($B$5&amp;"生成成长"),4))/(VLOOKUP(BH$72,INDIRECT($C$5&amp;"生成成长"),5))*(VLOOKUP($B$5,标准坦克设计!$B$24:$U$30,MATCH("对"&amp;LEFT($C$5,2)&amp;"输出",标准坦克设计!$B$23:$U$23,0)))*(VLOOKUP($B229,INDIRECT($B$5&amp;"生成成长"),3))*(VLOOKUP($B$5,标准坦克设计!$B$14:$K$20,9)/30))</f>
        <v>1.3389716564477667</v>
      </c>
      <c r="BI229" s="173">
        <f ca="1">(VLOOKUP(BI$72,INDIRECT($C$5&amp;"生成成长"),2))/((VLOOKUP($B229,INDIRECT($B$5&amp;"生成成长"),4))/(VLOOKUP(BI$72,INDIRECT($C$5&amp;"生成成长"),5))*(VLOOKUP($B$5,标准坦克设计!$B$24:$U$30,MATCH("对"&amp;LEFT($C$5,2)&amp;"输出",标准坦克设计!$B$23:$U$23,0)))*(VLOOKUP($B229,INDIRECT($B$5&amp;"生成成长"),3))*(VLOOKUP($B$5,标准坦克设计!$B$14:$K$20,9)/30))</f>
        <v>1.5091383958602738</v>
      </c>
      <c r="BJ229" s="173">
        <f ca="1">(VLOOKUP(BJ$72,INDIRECT($C$5&amp;"生成成长"),2))/((VLOOKUP($B229,INDIRECT($B$5&amp;"生成成长"),4))/(VLOOKUP(BJ$72,INDIRECT($C$5&amp;"生成成长"),5))*(VLOOKUP($B$5,标准坦克设计!$B$24:$U$30,MATCH("对"&amp;LEFT($C$5,2)&amp;"输出",标准坦克设计!$B$23:$U$23,0)))*(VLOOKUP($B229,INDIRECT($B$5&amp;"生成成长"),3))*(VLOOKUP($B$5,标准坦克设计!$B$14:$K$20,9)/30))</f>
        <v>1.6894812193572497</v>
      </c>
      <c r="BK229" s="173">
        <f ca="1">(VLOOKUP(BK$72,INDIRECT($C$5&amp;"生成成长"),2))/((VLOOKUP($B229,INDIRECT($B$5&amp;"生成成长"),4))/(VLOOKUP(BK$72,INDIRECT($C$5&amp;"生成成长"),5))*(VLOOKUP($B$5,标准坦克设计!$B$24:$U$30,MATCH("对"&amp;LEFT($C$5,2)&amp;"输出",标准坦克设计!$B$23:$U$23,0)))*(VLOOKUP($B229,INDIRECT($B$5&amp;"生成成长"),3))*(VLOOKUP($B$5,标准坦克设计!$B$14:$K$20,9)/30))</f>
        <v>1.8800001269386943</v>
      </c>
      <c r="BL229" s="173">
        <f ca="1">(VLOOKUP(BL$72,INDIRECT($C$5&amp;"生成成长"),2))/((VLOOKUP($B229,INDIRECT($B$5&amp;"生成成长"),4))/(VLOOKUP(BL$72,INDIRECT($C$5&amp;"生成成长"),5))*(VLOOKUP($B$5,标准坦克设计!$B$24:$U$30,MATCH("对"&amp;LEFT($C$5,2)&amp;"输出",标准坦克设计!$B$23:$U$23,0)))*(VLOOKUP($B229,INDIRECT($B$5&amp;"生成成长"),3))*(VLOOKUP($B$5,标准坦克设计!$B$14:$K$20,9)/30))</f>
        <v>2.0806951186046083</v>
      </c>
      <c r="BM229" s="173">
        <f ca="1">(VLOOKUP(BM$72,INDIRECT($C$5&amp;"生成成长"),2))/((VLOOKUP($B229,INDIRECT($B$5&amp;"生成成长"),4))/(VLOOKUP(BM$72,INDIRECT($C$5&amp;"生成成长"),5))*(VLOOKUP($B$5,标准坦克设计!$B$24:$U$30,MATCH("对"&amp;LEFT($C$5,2)&amp;"输出",标准坦克设计!$B$23:$U$23,0)))*(VLOOKUP($B229,INDIRECT($B$5&amp;"生成成长"),3))*(VLOOKUP($B$5,标准坦克设计!$B$14:$K$20,9)/30))</f>
        <v>2.2915661943549908</v>
      </c>
      <c r="BN229" s="173">
        <f ca="1">(VLOOKUP(BN$72,INDIRECT($C$5&amp;"生成成长"),2))/((VLOOKUP($B229,INDIRECT($B$5&amp;"生成成长"),4))/(VLOOKUP(BN$72,INDIRECT($C$5&amp;"生成成长"),5))*(VLOOKUP($B$5,标准坦克设计!$B$24:$U$30,MATCH("对"&amp;LEFT($C$5,2)&amp;"输出",标准坦克设计!$B$23:$U$23,0)))*(VLOOKUP($B229,INDIRECT($B$5&amp;"生成成长"),3))*(VLOOKUP($B$5,标准坦克设计!$B$14:$K$20,9)/30))</f>
        <v>2.5126133541898419</v>
      </c>
      <c r="BO229" s="173">
        <f ca="1">(VLOOKUP(BO$72,INDIRECT($C$5&amp;"生成成长"),2))/((VLOOKUP($B229,INDIRECT($B$5&amp;"生成成长"),4))/(VLOOKUP(BO$72,INDIRECT($C$5&amp;"生成成长"),5))*(VLOOKUP($B$5,标准坦克设计!$B$24:$U$30,MATCH("对"&amp;LEFT($C$5,2)&amp;"输出",标准坦克设计!$B$23:$U$23,0)))*(VLOOKUP($B229,INDIRECT($B$5&amp;"生成成长"),3))*(VLOOKUP($B$5,标准坦克设计!$B$14:$K$20,9)/30))</f>
        <v>2.7438365981091621</v>
      </c>
      <c r="BP229" s="173">
        <f ca="1">(VLOOKUP(BP$72,INDIRECT($C$5&amp;"生成成长"),2))/((VLOOKUP($B229,INDIRECT($B$5&amp;"生成成长"),4))/(VLOOKUP(BP$72,INDIRECT($C$5&amp;"生成成长"),5))*(VLOOKUP($B$5,标准坦克设计!$B$24:$U$30,MATCH("对"&amp;LEFT($C$5,2)&amp;"输出",标准坦克设计!$B$23:$U$23,0)))*(VLOOKUP($B229,INDIRECT($B$5&amp;"生成成长"),3))*(VLOOKUP($B$5,标准坦克设计!$B$14:$K$20,9)/30))</f>
        <v>2.9852359261129511</v>
      </c>
      <c r="BQ229" s="173">
        <f ca="1">(VLOOKUP(BQ$72,INDIRECT($C$5&amp;"生成成长"),2))/((VLOOKUP($B229,INDIRECT($B$5&amp;"生成成长"),4))/(VLOOKUP(BQ$72,INDIRECT($C$5&amp;"生成成长"),5))*(VLOOKUP($B$5,标准坦克设计!$B$24:$U$30,MATCH("对"&amp;LEFT($C$5,2)&amp;"输出",标准坦克设计!$B$23:$U$23,0)))*(VLOOKUP($B229,INDIRECT($B$5&amp;"生成成长"),3))*(VLOOKUP($B$5,标准坦克设计!$B$14:$K$20,9)/30))</f>
        <v>3.2368113382012096</v>
      </c>
      <c r="BR229" s="173">
        <f ca="1">(VLOOKUP(BR$72,INDIRECT($C$5&amp;"生成成长"),2))/((VLOOKUP($B229,INDIRECT($B$5&amp;"生成成长"),4))/(VLOOKUP(BR$72,INDIRECT($C$5&amp;"生成成长"),5))*(VLOOKUP($B$5,标准坦克设计!$B$24:$U$30,MATCH("对"&amp;LEFT($C$5,2)&amp;"输出",标准坦克设计!$B$23:$U$23,0)))*(VLOOKUP($B229,INDIRECT($B$5&amp;"生成成长"),3))*(VLOOKUP($B$5,标准坦克设计!$B$14:$K$20,9)/30))</f>
        <v>3.5282744872872307</v>
      </c>
      <c r="BS229" s="173">
        <f ca="1">(VLOOKUP(BS$72,INDIRECT($C$5&amp;"生成成长"),2))/((VLOOKUP($B229,INDIRECT($B$5&amp;"生成成长"),4))/(VLOOKUP(BS$72,INDIRECT($C$5&amp;"生成成长"),5))*(VLOOKUP($B$5,标准坦克设计!$B$24:$U$30,MATCH("对"&amp;LEFT($C$5,2)&amp;"输出",标准坦克设计!$B$23:$U$23,0)))*(VLOOKUP($B229,INDIRECT($B$5&amp;"生成成长"),3))*(VLOOKUP($B$5,标准坦克设计!$B$14:$K$20,9)/30))</f>
        <v>3.8323007031442016</v>
      </c>
      <c r="BT229" s="173">
        <f ca="1">(VLOOKUP(BT$72,INDIRECT($C$5&amp;"生成成长"),2))/((VLOOKUP($B229,INDIRECT($B$5&amp;"生成成长"),4))/(VLOOKUP(BT$72,INDIRECT($C$5&amp;"生成成长"),5))*(VLOOKUP($B$5,标准坦克设计!$B$24:$U$30,MATCH("对"&amp;LEFT($C$5,2)&amp;"输出",标准坦克设计!$B$23:$U$23,0)))*(VLOOKUP($B229,INDIRECT($B$5&amp;"生成成长"),3))*(VLOOKUP($B$5,标准坦克设计!$B$14:$K$20,9)/30))</f>
        <v>4.1488899857721213</v>
      </c>
      <c r="BU229" s="173">
        <f ca="1">(VLOOKUP(BU$72,INDIRECT($C$5&amp;"生成成长"),2))/((VLOOKUP($B229,INDIRECT($B$5&amp;"生成成长"),4))/(VLOOKUP(BU$72,INDIRECT($C$5&amp;"生成成长"),5))*(VLOOKUP($B$5,标准坦克设计!$B$24:$U$30,MATCH("对"&amp;LEFT($C$5,2)&amp;"输出",标准坦克设计!$B$23:$U$23,0)))*(VLOOKUP($B229,INDIRECT($B$5&amp;"生成成长"),3))*(VLOOKUP($B$5,标准坦克设计!$B$14:$K$20,9)/30))</f>
        <v>4.4780423351709917</v>
      </c>
      <c r="BV229" s="173">
        <f ca="1">(VLOOKUP(BV$72,INDIRECT($C$5&amp;"生成成长"),2))/((VLOOKUP($B229,INDIRECT($B$5&amp;"生成成长"),4))/(VLOOKUP(BV$72,INDIRECT($C$5&amp;"生成成长"),5))*(VLOOKUP($B$5,标准坦克设计!$B$24:$U$30,MATCH("对"&amp;LEFT($C$5,2)&amp;"输出",标准坦克设计!$B$23:$U$23,0)))*(VLOOKUP($B229,INDIRECT($B$5&amp;"生成成长"),3))*(VLOOKUP($B$5,标准坦克设计!$B$14:$K$20,9)/30))</f>
        <v>4.8197577513408101</v>
      </c>
      <c r="BW229" s="173">
        <f ca="1">(VLOOKUP(BW$72,INDIRECT($C$5&amp;"生成成长"),2))/((VLOOKUP($B229,INDIRECT($B$5&amp;"生成成长"),4))/(VLOOKUP(BW$72,INDIRECT($C$5&amp;"生成成长"),5))*(VLOOKUP($B$5,标准坦克设计!$B$24:$U$30,MATCH("对"&amp;LEFT($C$5,2)&amp;"输出",标准坦克设计!$B$23:$U$23,0)))*(VLOOKUP($B229,INDIRECT($B$5&amp;"生成成长"),3))*(VLOOKUP($B$5,标准坦克设计!$B$14:$K$20,9)/30))</f>
        <v>2.1965894095666147</v>
      </c>
      <c r="BX229" s="173">
        <f ca="1">(VLOOKUP(BX$72,INDIRECT($C$5&amp;"生成成长"),2))/((VLOOKUP($B229,INDIRECT($B$5&amp;"生成成长"),4))/(VLOOKUP(BX$72,INDIRECT($C$5&amp;"生成成长"),5))*(VLOOKUP($B$5,标准坦克设计!$B$24:$U$30,MATCH("对"&amp;LEFT($C$5,2)&amp;"输出",标准坦克设计!$B$23:$U$23,0)))*(VLOOKUP($B229,INDIRECT($B$5&amp;"生成成长"),3))*(VLOOKUP($B$5,标准坦克设计!$B$14:$K$20,9)/30))</f>
        <v>2.4378002915688395</v>
      </c>
      <c r="BY229" s="173">
        <f ca="1">(VLOOKUP(BY$72,INDIRECT($C$5&amp;"生成成长"),2))/((VLOOKUP($B229,INDIRECT($B$5&amp;"生成成长"),4))/(VLOOKUP(BY$72,INDIRECT($C$5&amp;"生成成长"),5))*(VLOOKUP($B$5,标准坦克设计!$B$24:$U$30,MATCH("对"&amp;LEFT($C$5,2)&amp;"输出",标准坦克设计!$B$23:$U$23,0)))*(VLOOKUP($B229,INDIRECT($B$5&amp;"生成成长"),3))*(VLOOKUP($B$5,标准坦克设计!$B$14:$K$20,9)/30))</f>
        <v>2.691574240342014</v>
      </c>
      <c r="BZ229" s="173">
        <f ca="1">(VLOOKUP(BZ$72,INDIRECT($C$5&amp;"生成成长"),2))/((VLOOKUP($B229,INDIRECT($B$5&amp;"生成成长"),4))/(VLOOKUP(BZ$72,INDIRECT($C$5&amp;"生成成长"),5))*(VLOOKUP($B$5,标准坦克设计!$B$24:$U$30,MATCH("对"&amp;LEFT($C$5,2)&amp;"输出",标准坦克设计!$B$23:$U$23,0)))*(VLOOKUP($B229,INDIRECT($B$5&amp;"生成成长"),3))*(VLOOKUP($B$5,标准坦克设计!$B$14:$K$20,9)/30))</f>
        <v>2.9579112558861365</v>
      </c>
      <c r="CA229" s="173">
        <f ca="1">(VLOOKUP(CA$72,INDIRECT($C$5&amp;"生成成长"),2))/((VLOOKUP($B229,INDIRECT($B$5&amp;"生成成长"),4))/(VLOOKUP(CA$72,INDIRECT($C$5&amp;"生成成长"),5))*(VLOOKUP($B$5,标准坦克设计!$B$24:$U$30,MATCH("对"&amp;LEFT($C$5,2)&amp;"输出",标准坦克设计!$B$23:$U$23,0)))*(VLOOKUP($B229,INDIRECT($B$5&amp;"生成成长"),3))*(VLOOKUP($B$5,标准坦克设计!$B$14:$K$20,9)/30))</f>
        <v>3.2368113382012096</v>
      </c>
      <c r="CB229" s="173">
        <f ca="1">(VLOOKUP(CB$72,INDIRECT($C$5&amp;"生成成长"),2))/((VLOOKUP($B229,INDIRECT($B$5&amp;"生成成长"),4))/(VLOOKUP(CB$72,INDIRECT($C$5&amp;"生成成长"),5))*(VLOOKUP($B$5,标准坦克设计!$B$24:$U$30,MATCH("对"&amp;LEFT($C$5,2)&amp;"输出",标准坦克设计!$B$23:$U$23,0)))*(VLOOKUP($B229,INDIRECT($B$5&amp;"生成成长"),3))*(VLOOKUP($B$5,标准坦克设计!$B$14:$K$20,9)/30))</f>
        <v>3.5282744872872307</v>
      </c>
      <c r="CC229" s="173">
        <f ca="1">(VLOOKUP(CC$72,INDIRECT($C$5&amp;"生成成长"),2))/((VLOOKUP($B229,INDIRECT($B$5&amp;"生成成长"),4))/(VLOOKUP(CC$72,INDIRECT($C$5&amp;"生成成长"),5))*(VLOOKUP($B$5,标准坦克设计!$B$24:$U$30,MATCH("对"&amp;LEFT($C$5,2)&amp;"输出",标准坦克设计!$B$23:$U$23,0)))*(VLOOKUP($B229,INDIRECT($B$5&amp;"生成成长"),3))*(VLOOKUP($B$5,标准坦克设计!$B$14:$K$20,9)/30))</f>
        <v>3.8323007031442016</v>
      </c>
      <c r="CD229" s="173">
        <f ca="1">(VLOOKUP(CD$72,INDIRECT($C$5&amp;"生成成长"),2))/((VLOOKUP($B229,INDIRECT($B$5&amp;"生成成长"),4))/(VLOOKUP(CD$72,INDIRECT($C$5&amp;"生成成长"),5))*(VLOOKUP($B$5,标准坦克设计!$B$24:$U$30,MATCH("对"&amp;LEFT($C$5,2)&amp;"输出",标准坦克设计!$B$23:$U$23,0)))*(VLOOKUP($B229,INDIRECT($B$5&amp;"生成成长"),3))*(VLOOKUP($B$5,标准坦克设计!$B$14:$K$20,9)/30))</f>
        <v>4.1488899857721213</v>
      </c>
      <c r="CE229" s="173">
        <f ca="1">(VLOOKUP(CE$72,INDIRECT($C$5&amp;"生成成长"),2))/((VLOOKUP($B229,INDIRECT($B$5&amp;"生成成长"),4))/(VLOOKUP(CE$72,INDIRECT($C$5&amp;"生成成长"),5))*(VLOOKUP($B$5,标准坦克设计!$B$24:$U$30,MATCH("对"&amp;LEFT($C$5,2)&amp;"输出",标准坦克设计!$B$23:$U$23,0)))*(VLOOKUP($B229,INDIRECT($B$5&amp;"生成成长"),3))*(VLOOKUP($B$5,标准坦克设计!$B$14:$K$20,9)/30))</f>
        <v>4.4780423351709917</v>
      </c>
      <c r="CF229" s="173">
        <f ca="1">(VLOOKUP(CF$72,INDIRECT($C$5&amp;"生成成长"),2))/((VLOOKUP($B229,INDIRECT($B$5&amp;"生成成长"),4))/(VLOOKUP(CF$72,INDIRECT($C$5&amp;"生成成长"),5))*(VLOOKUP($B$5,标准坦克设计!$B$24:$U$30,MATCH("对"&amp;LEFT($C$5,2)&amp;"输出",标准坦克设计!$B$23:$U$23,0)))*(VLOOKUP($B229,INDIRECT($B$5&amp;"生成成长"),3))*(VLOOKUP($B$5,标准坦克设计!$B$14:$K$20,9)/30))</f>
        <v>4.8197577513408101</v>
      </c>
      <c r="CG229" s="173">
        <f ca="1">(VLOOKUP(CG$72,INDIRECT($C$5&amp;"生成成长"),2))/((VLOOKUP($B229,INDIRECT($B$5&amp;"生成成长"),4))/(VLOOKUP(CG$72,INDIRECT($C$5&amp;"生成成长"),5))*(VLOOKUP($B$5,标准坦克设计!$B$24:$U$30,MATCH("对"&amp;LEFT($C$5,2)&amp;"输出",标准坦克设计!$B$23:$U$23,0)))*(VLOOKUP($B229,INDIRECT($B$5&amp;"生成成长"),3))*(VLOOKUP($B$5,标准坦克设计!$B$14:$K$20,9)/30))</f>
        <v>5.1740362342815773</v>
      </c>
      <c r="CH229" s="173">
        <f ca="1">(VLOOKUP(CH$72,INDIRECT($C$5&amp;"生成成长"),2))/((VLOOKUP($B229,INDIRECT($B$5&amp;"生成成长"),4))/(VLOOKUP(CH$72,INDIRECT($C$5&amp;"生成成长"),5))*(VLOOKUP($B$5,标准坦克设计!$B$24:$U$30,MATCH("对"&amp;LEFT($C$5,2)&amp;"输出",标准坦克设计!$B$23:$U$23,0)))*(VLOOKUP($B229,INDIRECT($B$5&amp;"生成成长"),3))*(VLOOKUP($B$5,标准坦克设计!$B$14:$K$20,9)/30))</f>
        <v>5.5408777839932943</v>
      </c>
      <c r="CI229" s="173">
        <f ca="1">(VLOOKUP(CI$72,INDIRECT($C$5&amp;"生成成长"),2))/((VLOOKUP($B229,INDIRECT($B$5&amp;"生成成长"),4))/(VLOOKUP(CI$72,INDIRECT($C$5&amp;"生成成长"),5))*(VLOOKUP($B$5,标准坦克设计!$B$24:$U$30,MATCH("对"&amp;LEFT($C$5,2)&amp;"输出",标准坦克设计!$B$23:$U$23,0)))*(VLOOKUP($B229,INDIRECT($B$5&amp;"生成成长"),3))*(VLOOKUP($B$5,标准坦克设计!$B$14:$K$20,9)/30))</f>
        <v>5.9589138307966287</v>
      </c>
      <c r="CJ229" s="173">
        <f ca="1">(VLOOKUP(CJ$72,INDIRECT($C$5&amp;"生成成长"),2))/((VLOOKUP($B229,INDIRECT($B$5&amp;"生成成长"),4))/(VLOOKUP(CJ$72,INDIRECT($C$5&amp;"生成成长"),5))*(VLOOKUP($B$5,标准坦克设计!$B$24:$U$30,MATCH("对"&amp;LEFT($C$5,2)&amp;"输出",标准坦克设计!$B$23:$U$23,0)))*(VLOOKUP($B229,INDIRECT($B$5&amp;"生成成长"),3))*(VLOOKUP($B$5,标准坦克设计!$B$14:$K$20,9)/30))</f>
        <v>6.3921511883928135</v>
      </c>
      <c r="CK229" s="173">
        <f ca="1">(VLOOKUP(CK$72,INDIRECT($C$5&amp;"生成成长"),2))/((VLOOKUP($B229,INDIRECT($B$5&amp;"生成成长"),4))/(VLOOKUP(CK$72,INDIRECT($C$5&amp;"生成成长"),5))*(VLOOKUP($B$5,标准坦克设计!$B$24:$U$30,MATCH("对"&amp;LEFT($C$5,2)&amp;"输出",标准坦克设计!$B$23:$U$23,0)))*(VLOOKUP($B229,INDIRECT($B$5&amp;"生成成长"),3))*(VLOOKUP($B$5,标准坦克设计!$B$14:$K$20,9)/30))</f>
        <v>6.8405898567818442</v>
      </c>
      <c r="CL229" s="173">
        <f ca="1">(VLOOKUP(CL$72,INDIRECT($C$5&amp;"生成成长"),2))/((VLOOKUP($B229,INDIRECT($B$5&amp;"生成成长"),4))/(VLOOKUP(CL$72,INDIRECT($C$5&amp;"生成成长"),5))*(VLOOKUP($B$5,标准坦克设计!$B$24:$U$30,MATCH("对"&amp;LEFT($C$5,2)&amp;"输出",标准坦克设计!$B$23:$U$23,0)))*(VLOOKUP($B229,INDIRECT($B$5&amp;"生成成长"),3))*(VLOOKUP($B$5,标准坦克设计!$B$14:$K$20,9)/30))</f>
        <v>7.3042298359637252</v>
      </c>
      <c r="CM229" s="173">
        <f ca="1">(VLOOKUP(CM$72,INDIRECT($C$5&amp;"生成成长"),2))/((VLOOKUP($B229,INDIRECT($B$5&amp;"生成成长"),4))/(VLOOKUP(CM$72,INDIRECT($C$5&amp;"生成成长"),5))*(VLOOKUP($B$5,标准坦克设计!$B$24:$U$30,MATCH("对"&amp;LEFT($C$5,2)&amp;"输出",标准坦克设计!$B$23:$U$23,0)))*(VLOOKUP($B229,INDIRECT($B$5&amp;"生成成长"),3))*(VLOOKUP($B$5,标准坦克设计!$B$14:$K$20,9)/30))</f>
        <v>7.7830711259384548</v>
      </c>
      <c r="CN229" s="173">
        <f ca="1">(VLOOKUP(CN$72,INDIRECT($C$5&amp;"生成成长"),2))/((VLOOKUP($B229,INDIRECT($B$5&amp;"生成成长"),4))/(VLOOKUP(CN$72,INDIRECT($C$5&amp;"生成成长"),5))*(VLOOKUP($B$5,标准坦克设计!$B$24:$U$30,MATCH("对"&amp;LEFT($C$5,2)&amp;"输出",标准坦克设计!$B$23:$U$23,0)))*(VLOOKUP($B229,INDIRECT($B$5&amp;"生成成长"),3))*(VLOOKUP($B$5,标准坦克设计!$B$14:$K$20,9)/30))</f>
        <v>8.277113726706034</v>
      </c>
      <c r="CO229" s="173">
        <f ca="1">(VLOOKUP(CO$72,INDIRECT($C$5&amp;"生成成长"),2))/((VLOOKUP($B229,INDIRECT($B$5&amp;"生成成长"),4))/(VLOOKUP(CO$72,INDIRECT($C$5&amp;"生成成长"),5))*(VLOOKUP($B$5,标准坦克设计!$B$24:$U$30,MATCH("对"&amp;LEFT($C$5,2)&amp;"输出",标准坦克设计!$B$23:$U$23,0)))*(VLOOKUP($B229,INDIRECT($B$5&amp;"生成成长"),3))*(VLOOKUP($B$5,标准坦克设计!$B$14:$K$20,9)/30))</f>
        <v>3.7091826487888997</v>
      </c>
      <c r="CP229" s="173">
        <f ca="1">(VLOOKUP(CP$72,INDIRECT($C$5&amp;"生成成长"),2))/((VLOOKUP($B229,INDIRECT($B$5&amp;"生成成长"),4))/(VLOOKUP(CP$72,INDIRECT($C$5&amp;"生成成长"),5))*(VLOOKUP($B$5,标准坦克设计!$B$24:$U$30,MATCH("对"&amp;LEFT($C$5,2)&amp;"输出",标准坦克设计!$B$23:$U$23,0)))*(VLOOKUP($B229,INDIRECT($B$5&amp;"生成成长"),3))*(VLOOKUP($B$5,标准坦克设计!$B$14:$K$20,9)/30))</f>
        <v>4.0525940789727963</v>
      </c>
      <c r="CQ229" s="173">
        <f ca="1">(VLOOKUP(CQ$72,INDIRECT($C$5&amp;"生成成长"),2))/((VLOOKUP($B229,INDIRECT($B$5&amp;"生成成长"),4))/(VLOOKUP(CQ$72,INDIRECT($C$5&amp;"生成成长"),5))*(VLOOKUP($B$5,标准坦克设计!$B$24:$U$30,MATCH("对"&amp;LEFT($C$5,2)&amp;"输出",标准坦克设计!$B$23:$U$23,0)))*(VLOOKUP($B229,INDIRECT($B$5&amp;"生成成长"),3))*(VLOOKUP($B$5,标准坦克设计!$B$14:$K$20,9)/30))</f>
        <v>4.411206819949542</v>
      </c>
      <c r="CR229" s="173">
        <f ca="1">(VLOOKUP(CR$72,INDIRECT($C$5&amp;"生成成长"),2))/((VLOOKUP($B229,INDIRECT($B$5&amp;"生成成长"),4))/(VLOOKUP(CR$72,INDIRECT($C$5&amp;"生成成长"),5))*(VLOOKUP($B$5,标准坦克设计!$B$24:$U$30,MATCH("对"&amp;LEFT($C$5,2)&amp;"输出",标准坦克设计!$B$23:$U$23,0)))*(VLOOKUP($B229,INDIRECT($B$5&amp;"生成成长"),3))*(VLOOKUP($B$5,标准坦克设计!$B$14:$K$20,9)/30))</f>
        <v>4.7850208717191354</v>
      </c>
      <c r="CS229" s="173">
        <f ca="1">(VLOOKUP(CS$72,INDIRECT($C$5&amp;"生成成长"),2))/((VLOOKUP($B229,INDIRECT($B$5&amp;"生成成长"),4))/(VLOOKUP(CS$72,INDIRECT($C$5&amp;"生成成长"),5))*(VLOOKUP($B$5,标准坦克设计!$B$24:$U$30,MATCH("对"&amp;LEFT($C$5,2)&amp;"输出",标准坦克设计!$B$23:$U$23,0)))*(VLOOKUP($B229,INDIRECT($B$5&amp;"生成成长"),3))*(VLOOKUP($B$5,标准坦克设计!$B$14:$K$20,9)/30))</f>
        <v>5.1740362342815773</v>
      </c>
      <c r="CT229" s="173">
        <f ca="1">(VLOOKUP(CT$72,INDIRECT($C$5&amp;"生成成长"),2))/((VLOOKUP($B229,INDIRECT($B$5&amp;"生成成长"),4))/(VLOOKUP(CT$72,INDIRECT($C$5&amp;"生成成长"),5))*(VLOOKUP($B$5,标准坦克设计!$B$24:$U$30,MATCH("对"&amp;LEFT($C$5,2)&amp;"输出",标准坦克设计!$B$23:$U$23,0)))*(VLOOKUP($B229,INDIRECT($B$5&amp;"生成成长"),3))*(VLOOKUP($B$5,标准坦克设计!$B$14:$K$20,9)/30))</f>
        <v>5.5782529076368679</v>
      </c>
      <c r="CU229" s="173">
        <f ca="1">(VLOOKUP(CU$72,INDIRECT($C$5&amp;"生成成长"),2))/((VLOOKUP($B229,INDIRECT($B$5&amp;"生成成长"),4))/(VLOOKUP(CU$72,INDIRECT($C$5&amp;"生成成长"),5))*(VLOOKUP($B$5,标准坦克设计!$B$24:$U$30,MATCH("对"&amp;LEFT($C$5,2)&amp;"输出",标准坦克设计!$B$23:$U$23,0)))*(VLOOKUP($B229,INDIRECT($B$5&amp;"生成成长"),3))*(VLOOKUP($B$5,标准坦克设计!$B$14:$K$20,9)/30))</f>
        <v>5.9976708917850079</v>
      </c>
      <c r="CV229" s="173">
        <f ca="1">(VLOOKUP(CV$72,INDIRECT($C$5&amp;"生成成长"),2))/((VLOOKUP($B229,INDIRECT($B$5&amp;"生成成长"),4))/(VLOOKUP(CV$72,INDIRECT($C$5&amp;"生成成长"),5))*(VLOOKUP($B$5,标准坦克设计!$B$24:$U$30,MATCH("对"&amp;LEFT($C$5,2)&amp;"输出",标准坦克设计!$B$23:$U$23,0)))*(VLOOKUP($B229,INDIRECT($B$5&amp;"生成成长"),3))*(VLOOKUP($B$5,标准坦克设计!$B$14:$K$20,9)/30))</f>
        <v>6.4322901867259947</v>
      </c>
      <c r="CW229" s="173">
        <f ca="1">(VLOOKUP(CW$72,INDIRECT($C$5&amp;"生成成长"),2))/((VLOOKUP($B229,INDIRECT($B$5&amp;"生成成长"),4))/(VLOOKUP(CW$72,INDIRECT($C$5&amp;"生成成长"),5))*(VLOOKUP($B$5,标准坦克设计!$B$24:$U$30,MATCH("对"&amp;LEFT($C$5,2)&amp;"输出",标准坦克设计!$B$23:$U$23,0)))*(VLOOKUP($B229,INDIRECT($B$5&amp;"生成成长"),3))*(VLOOKUP($B$5,标准坦克设计!$B$14:$K$20,9)/30))</f>
        <v>6.8821107924598319</v>
      </c>
      <c r="CX229" s="173">
        <f ca="1">(VLOOKUP(CX$72,INDIRECT($C$5&amp;"生成成长"),2))/((VLOOKUP($B229,INDIRECT($B$5&amp;"生成成长"),4))/(VLOOKUP(CX$72,INDIRECT($C$5&amp;"生成成长"),5))*(VLOOKUP($B$5,标准坦克设计!$B$24:$U$30,MATCH("对"&amp;LEFT($C$5,2)&amp;"输出",标准坦克设计!$B$23:$U$23,0)))*(VLOOKUP($B229,INDIRECT($B$5&amp;"生成成长"),3))*(VLOOKUP($B$5,标准坦克设计!$B$14:$K$20,9)/30))</f>
        <v>7.3471327089865159</v>
      </c>
      <c r="CY229" s="173">
        <f ca="1">(VLOOKUP(CY$72,INDIRECT($C$5&amp;"生成成长"),2))/((VLOOKUP($B229,INDIRECT($B$5&amp;"生成成长"),4))/(VLOOKUP(CY$72,INDIRECT($C$5&amp;"生成成长"),5))*(VLOOKUP($B$5,标准坦克设计!$B$24:$U$30,MATCH("对"&amp;LEFT($C$5,2)&amp;"输出",标准坦克设计!$B$23:$U$23,0)))*(VLOOKUP($B229,INDIRECT($B$5&amp;"生成成长"),3))*(VLOOKUP($B$5,标准坦克设计!$B$14:$K$20,9)/30))</f>
        <v>7.8273559363060512</v>
      </c>
      <c r="CZ229" s="173">
        <f ca="1">(VLOOKUP(CZ$72,INDIRECT($C$5&amp;"生成成长"),2))/((VLOOKUP($B229,INDIRECT($B$5&amp;"生成成长"),4))/(VLOOKUP(CZ$72,INDIRECT($C$5&amp;"生成成长"),5))*(VLOOKUP($B$5,标准坦克设计!$B$24:$U$30,MATCH("对"&amp;LEFT($C$5,2)&amp;"输出",标准坦克设计!$B$23:$U$23,0)))*(VLOOKUP($B229,INDIRECT($B$5&amp;"生成成长"),3))*(VLOOKUP($B$5,标准坦克设计!$B$14:$K$20,9)/30))</f>
        <v>8.3227804744184333</v>
      </c>
      <c r="DA229" s="173">
        <f ca="1">(VLOOKUP(DA$72,INDIRECT($C$5&amp;"生成成长"),2))/((VLOOKUP($B229,INDIRECT($B$5&amp;"生成成长"),4))/(VLOOKUP(DA$72,INDIRECT($C$5&amp;"生成成长"),5))*(VLOOKUP($B$5,标准坦克设计!$B$24:$U$30,MATCH("对"&amp;LEFT($C$5,2)&amp;"输出",标准坦克设计!$B$23:$U$23,0)))*(VLOOKUP($B229,INDIRECT($B$5&amp;"生成成长"),3))*(VLOOKUP($B$5,标准坦克设计!$B$14:$K$20,9)/30))</f>
        <v>8.833406323323663</v>
      </c>
      <c r="DB229" s="173">
        <f ca="1">(VLOOKUP(DB$72,INDIRECT($C$5&amp;"生成成长"),2))/((VLOOKUP($B229,INDIRECT($B$5&amp;"生成成长"),4))/(VLOOKUP(DB$72,INDIRECT($C$5&amp;"生成成长"),5))*(VLOOKUP($B$5,标准坦克设计!$B$24:$U$30,MATCH("对"&amp;LEFT($C$5,2)&amp;"输出",标准坦克设计!$B$23:$U$23,0)))*(VLOOKUP($B229,INDIRECT($B$5&amp;"生成成长"),3))*(VLOOKUP($B$5,标准坦克设计!$B$14:$K$20,9)/30))</f>
        <v>9.3592334830217432</v>
      </c>
      <c r="DC229" s="173">
        <f ca="1">(VLOOKUP(DC$72,INDIRECT($C$5&amp;"生成成长"),2))/((VLOOKUP($B229,INDIRECT($B$5&amp;"生成成长"),4))/(VLOOKUP(DC$72,INDIRECT($C$5&amp;"生成成长"),5))*(VLOOKUP($B$5,标准坦克设计!$B$24:$U$30,MATCH("对"&amp;LEFT($C$5,2)&amp;"输出",标准坦克设计!$B$23:$U$23,0)))*(VLOOKUP($B229,INDIRECT($B$5&amp;"生成成长"),3))*(VLOOKUP($B$5,标准坦克设计!$B$14:$K$20,9)/30))</f>
        <v>9.9502001439271943</v>
      </c>
      <c r="DD229" s="173">
        <f ca="1">(VLOOKUP(DD$72,INDIRECT($C$5&amp;"生成成长"),2))/((VLOOKUP($B229,INDIRECT($B$5&amp;"生成成长"),4))/(VLOOKUP(DD$72,INDIRECT($C$5&amp;"生成成长"),5))*(VLOOKUP($B$5,标准坦克设计!$B$24:$U$30,MATCH("对"&amp;LEFT($C$5,2)&amp;"输出",标准坦克设计!$B$23:$U$23,0)))*(VLOOKUP($B229,INDIRECT($B$5&amp;"生成成长"),3))*(VLOOKUP($B$5,标准坦克设计!$B$14:$K$20,9)/30))</f>
        <v>10.559257620982809</v>
      </c>
      <c r="DE229" s="173">
        <f ca="1">(VLOOKUP(DE$72,INDIRECT($C$5&amp;"生成成长"),2))/((VLOOKUP($B229,INDIRECT($B$5&amp;"生成成长"),4))/(VLOOKUP(DE$72,INDIRECT($C$5&amp;"生成成长"),5))*(VLOOKUP($B$5,标准坦克设计!$B$24:$U$30,MATCH("对"&amp;LEFT($C$5,2)&amp;"输出",标准坦克设计!$B$23:$U$23,0)))*(VLOOKUP($B229,INDIRECT($B$5&amp;"生成成长"),3))*(VLOOKUP($B$5,标准坦克设计!$B$14:$K$20,9)/30))</f>
        <v>11.186405914188597</v>
      </c>
      <c r="DF229" s="173">
        <f ca="1">(VLOOKUP(DF$72,INDIRECT($C$5&amp;"生成成长"),2))/((VLOOKUP($B229,INDIRECT($B$5&amp;"生成成长"),4))/(VLOOKUP(DF$72,INDIRECT($C$5&amp;"生成成长"),5))*(VLOOKUP($B$5,标准坦克设计!$B$24:$U$30,MATCH("对"&amp;LEFT($C$5,2)&amp;"输出",标准坦克设计!$B$23:$U$23,0)))*(VLOOKUP($B229,INDIRECT($B$5&amp;"生成成长"),3))*(VLOOKUP($B$5,标准坦克设计!$B$14:$K$20,9)/30))</f>
        <v>11.831645023544546</v>
      </c>
      <c r="DG229" s="173">
        <f ca="1">(VLOOKUP(DG$72,INDIRECT($C$5&amp;"生成成长"),2))/((VLOOKUP($B229,INDIRECT($B$5&amp;"生成成长"),4))/(VLOOKUP(DG$72,INDIRECT($C$5&amp;"生成成长"),5))*(VLOOKUP($B$5,标准坦克设计!$B$24:$U$30,MATCH("对"&amp;LEFT($C$5,2)&amp;"输出",标准坦克设计!$B$23:$U$23,0)))*(VLOOKUP($B229,INDIRECT($B$5&amp;"生成成长"),3))*(VLOOKUP($B$5,标准坦克设计!$B$14:$K$20,9)/30))</f>
        <v>12.494974949050663</v>
      </c>
      <c r="DH229" s="173">
        <f ca="1">(VLOOKUP(DH$72,INDIRECT($C$5&amp;"生成成长"),2))/((VLOOKUP($B229,INDIRECT($B$5&amp;"生成成长"),4))/(VLOOKUP(DH$72,INDIRECT($C$5&amp;"生成成长"),5))*(VLOOKUP($B$5,标准坦克设计!$B$24:$U$30,MATCH("对"&amp;LEFT($C$5,2)&amp;"输出",标准坦克设计!$B$23:$U$23,0)))*(VLOOKUP($B229,INDIRECT($B$5&amp;"生成成长"),3))*(VLOOKUP($B$5,标准坦克设计!$B$14:$K$20,9)/30))</f>
        <v>13.176395690706949</v>
      </c>
      <c r="DI229" s="173">
        <f ca="1">(VLOOKUP(DI$72,INDIRECT($C$5&amp;"生成成长"),2))/((VLOOKUP($B229,INDIRECT($B$5&amp;"生成成长"),4))/(VLOOKUP(DI$72,INDIRECT($C$5&amp;"生成成长"),5))*(VLOOKUP($B$5,标准坦克设计!$B$24:$U$30,MATCH("对"&amp;LEFT($C$5,2)&amp;"输出",标准坦克设计!$B$23:$U$23,0)))*(VLOOKUP($B229,INDIRECT($B$5&amp;"生成成长"),3))*(VLOOKUP($B$5,标准坦克设计!$B$14:$K$20,9)/30))</f>
        <v>13.875907248513402</v>
      </c>
      <c r="DJ229" s="173">
        <f ca="1">(VLOOKUP(DJ$72,INDIRECT($C$5&amp;"生成成长"),2))/((VLOOKUP($B229,INDIRECT($B$5&amp;"生成成长"),4))/(VLOOKUP(DJ$72,INDIRECT($C$5&amp;"生成成长"),5))*(VLOOKUP($B$5,标准坦克设计!$B$24:$U$30,MATCH("对"&amp;LEFT($C$5,2)&amp;"输出",标准坦克设计!$B$23:$U$23,0)))*(VLOOKUP($B229,INDIRECT($B$5&amp;"生成成长"),3))*(VLOOKUP($B$5,标准坦克设计!$B$14:$K$20,9)/30))</f>
        <v>1.394563226909217</v>
      </c>
      <c r="DK229" s="173">
        <f ca="1">(VLOOKUP(DK$72,INDIRECT($C$5&amp;"生成成长"),2))/((VLOOKUP($B229,INDIRECT($B$5&amp;"生成成长"),4))/(VLOOKUP(DK$72,INDIRECT($C$5&amp;"生成成长"),5))*(VLOOKUP($B$5,标准坦克设计!$B$24:$U$30,MATCH("对"&amp;LEFT($C$5,2)&amp;"输出",标准坦克设计!$B$23:$U$23,0)))*(VLOOKUP($B229,INDIRECT($B$5&amp;"生成成长"),3))*(VLOOKUP($B$5,标准坦克设计!$B$14:$K$20,9)/30))</f>
        <v>1.5681219943498803</v>
      </c>
      <c r="DL229" s="173">
        <f ca="1">(VLOOKUP(DL$72,INDIRECT($C$5&amp;"生成成长"),2))/((VLOOKUP($B229,INDIRECT($B$5&amp;"生成成长"),4))/(VLOOKUP(DL$72,INDIRECT($C$5&amp;"生成成长"),5))*(VLOOKUP($B$5,标准坦克设计!$B$24:$U$30,MATCH("对"&amp;LEFT($C$5,2)&amp;"输出",标准坦克设计!$B$23:$U$23,0)))*(VLOOKUP($B229,INDIRECT($B$5&amp;"生成成长"),3))*(VLOOKUP($B$5,标准坦克设计!$B$14:$K$20,9)/30))</f>
        <v>1.7518568458750123</v>
      </c>
      <c r="DM229" s="173">
        <f ca="1">(VLOOKUP(DM$72,INDIRECT($C$5&amp;"生成成长"),2))/((VLOOKUP($B229,INDIRECT($B$5&amp;"生成成长"),4))/(VLOOKUP(DM$72,INDIRECT($C$5&amp;"生成成长"),5))*(VLOOKUP($B$5,标准坦克设计!$B$24:$U$30,MATCH("对"&amp;LEFT($C$5,2)&amp;"输出",标准坦克设计!$B$23:$U$23,0)))*(VLOOKUP($B229,INDIRECT($B$5&amp;"生成成长"),3))*(VLOOKUP($B$5,标准坦克设计!$B$14:$K$20,9)/30))</f>
        <v>1.9457677814846137</v>
      </c>
      <c r="DN229" s="173">
        <f ca="1">(VLOOKUP(DN$72,INDIRECT($C$5&amp;"生成成长"),2))/((VLOOKUP($B229,INDIRECT($B$5&amp;"生成成长"),4))/(VLOOKUP(DN$72,INDIRECT($C$5&amp;"生成成长"),5))*(VLOOKUP($B$5,标准坦克设计!$B$24:$U$30,MATCH("对"&amp;LEFT($C$5,2)&amp;"输出",标准坦克设计!$B$23:$U$23,0)))*(VLOOKUP($B229,INDIRECT($B$5&amp;"生成成长"),3))*(VLOOKUP($B$5,标准坦克设计!$B$14:$K$20,9)/30))</f>
        <v>2.1498548011786838</v>
      </c>
      <c r="DO229" s="173">
        <f ca="1">(VLOOKUP(DO$72,INDIRECT($C$5&amp;"生成成长"),2))/((VLOOKUP($B229,INDIRECT($B$5&amp;"生成成长"),4))/(VLOOKUP(DO$72,INDIRECT($C$5&amp;"生成成长"),5))*(VLOOKUP($B$5,标准坦克设计!$B$24:$U$30,MATCH("对"&amp;LEFT($C$5,2)&amp;"输出",标准坦克设计!$B$23:$U$23,0)))*(VLOOKUP($B229,INDIRECT($B$5&amp;"生成成长"),3))*(VLOOKUP($B$5,标准坦克设计!$B$14:$K$20,9)/30))</f>
        <v>2.3641179049572223</v>
      </c>
      <c r="DP229" s="173">
        <f ca="1">(VLOOKUP(DP$72,INDIRECT($C$5&amp;"生成成长"),2))/((VLOOKUP($B229,INDIRECT($B$5&amp;"生成成长"),4))/(VLOOKUP(DP$72,INDIRECT($C$5&amp;"生成成长"),5))*(VLOOKUP($B$5,标准坦克设计!$B$24:$U$30,MATCH("对"&amp;LEFT($C$5,2)&amp;"输出",标准坦克设计!$B$23:$U$23,0)))*(VLOOKUP($B229,INDIRECT($B$5&amp;"生成成长"),3))*(VLOOKUP($B$5,标准坦克设计!$B$14:$K$20,9)/30))</f>
        <v>2.5885570928202299</v>
      </c>
      <c r="DQ229" s="173">
        <f ca="1">(VLOOKUP(DQ$72,INDIRECT($C$5&amp;"生成成长"),2))/((VLOOKUP($B229,INDIRECT($B$5&amp;"生成成长"),4))/(VLOOKUP(DQ$72,INDIRECT($C$5&amp;"生成成长"),5))*(VLOOKUP($B$5,标准坦克设计!$B$24:$U$30,MATCH("对"&amp;LEFT($C$5,2)&amp;"输出",标准坦克设计!$B$23:$U$23,0)))*(VLOOKUP($B229,INDIRECT($B$5&amp;"生成成长"),3))*(VLOOKUP($B$5,标准坦克设计!$B$14:$K$20,9)/30))</f>
        <v>2.8231723647677063</v>
      </c>
      <c r="DR229" s="173">
        <f ca="1">(VLOOKUP(DR$72,INDIRECT($C$5&amp;"生成成长"),2))/((VLOOKUP($B229,INDIRECT($B$5&amp;"生成成长"),4))/(VLOOKUP(DR$72,INDIRECT($C$5&amp;"生成成长"),5))*(VLOOKUP($B$5,标准坦克设计!$B$24:$U$30,MATCH("对"&amp;LEFT($C$5,2)&amp;"输出",标准坦克设计!$B$23:$U$23,0)))*(VLOOKUP($B229,INDIRECT($B$5&amp;"生成成长"),3))*(VLOOKUP($B$5,标准坦克设计!$B$14:$K$20,9)/30))</f>
        <v>3.0679637207996522</v>
      </c>
      <c r="DS229" s="173">
        <f ca="1">(VLOOKUP(DS$72,INDIRECT($C$5&amp;"生成成长"),2))/((VLOOKUP($B229,INDIRECT($B$5&amp;"生成成长"),4))/(VLOOKUP(DS$72,INDIRECT($C$5&amp;"生成成长"),5))*(VLOOKUP($B$5,标准坦克设计!$B$24:$U$30,MATCH("对"&amp;LEFT($C$5,2)&amp;"输出",标准坦克设计!$B$23:$U$23,0)))*(VLOOKUP($B229,INDIRECT($B$5&amp;"生成成长"),3))*(VLOOKUP($B$5,标准坦克设计!$B$14:$K$20,9)/30))</f>
        <v>3.3229311609160659</v>
      </c>
      <c r="DT229" s="173">
        <f ca="1">(VLOOKUP(DT$72,INDIRECT($C$5&amp;"生成成长"),2))/((VLOOKUP($B229,INDIRECT($B$5&amp;"生成成长"),4))/(VLOOKUP(DT$72,INDIRECT($C$5&amp;"生成成长"),5))*(VLOOKUP($B$5,标准坦克设计!$B$24:$U$30,MATCH("对"&amp;LEFT($C$5,2)&amp;"输出",标准坦克设计!$B$23:$U$23,0)))*(VLOOKUP($B229,INDIRECT($B$5&amp;"生成成长"),3))*(VLOOKUP($B$5,标准坦克设计!$B$14:$K$20,9)/30))</f>
        <v>3.6483774056175058</v>
      </c>
      <c r="DU229" s="173">
        <f ca="1">(VLOOKUP(DU$72,INDIRECT($C$5&amp;"生成成长"),2))/((VLOOKUP($B229,INDIRECT($B$5&amp;"生成成长"),4))/(VLOOKUP(DU$72,INDIRECT($C$5&amp;"生成成长"),5))*(VLOOKUP($B$5,标准坦克设计!$B$24:$U$30,MATCH("对"&amp;LEFT($C$5,2)&amp;"输出",标准坦克设计!$B$23:$U$23,0)))*(VLOOKUP($B229,INDIRECT($B$5&amp;"生成成长"),3))*(VLOOKUP($B$5,标准坦克设计!$B$14:$K$20,9)/30))</f>
        <v>3.9890249611117934</v>
      </c>
      <c r="DV229" s="173">
        <f ca="1">(VLOOKUP(DV$72,INDIRECT($C$5&amp;"生成成长"),2))/((VLOOKUP($B229,INDIRECT($B$5&amp;"生成成长"),4))/(VLOOKUP(DV$72,INDIRECT($C$5&amp;"生成成长"),5))*(VLOOKUP($B$5,标准坦克设计!$B$24:$U$30,MATCH("对"&amp;LEFT($C$5,2)&amp;"输出",标准坦克设计!$B$23:$U$23,0)))*(VLOOKUP($B229,INDIRECT($B$5&amp;"生成成长"),3))*(VLOOKUP($B$5,标准坦克设计!$B$14:$K$20,9)/30))</f>
        <v>4.3448738273989296</v>
      </c>
      <c r="DW229" s="173">
        <f ca="1">(VLOOKUP(DW$72,INDIRECT($C$5&amp;"生成成长"),2))/((VLOOKUP($B229,INDIRECT($B$5&amp;"生成成长"),4))/(VLOOKUP(DW$72,INDIRECT($C$5&amp;"生成成长"),5))*(VLOOKUP($B$5,标准坦克设计!$B$24:$U$30,MATCH("对"&amp;LEFT($C$5,2)&amp;"输出",标准坦克设计!$B$23:$U$23,0)))*(VLOOKUP($B229,INDIRECT($B$5&amp;"生成成长"),3))*(VLOOKUP($B$5,标准坦克设计!$B$14:$K$20,9)/30))</f>
        <v>4.7159240044789144</v>
      </c>
      <c r="DX229" s="173">
        <f ca="1">(VLOOKUP(DX$72,INDIRECT($C$5&amp;"生成成长"),2))/((VLOOKUP($B229,INDIRECT($B$5&amp;"生成成长"),4))/(VLOOKUP(DX$72,INDIRECT($C$5&amp;"生成成长"),5))*(VLOOKUP($B$5,标准坦克设计!$B$24:$U$30,MATCH("对"&amp;LEFT($C$5,2)&amp;"输出",标准坦克设计!$B$23:$U$23,0)))*(VLOOKUP($B229,INDIRECT($B$5&amp;"生成成长"),3))*(VLOOKUP($B$5,标准坦克设计!$B$14:$K$20,9)/30))</f>
        <v>5.1021754923517477</v>
      </c>
      <c r="DY229" s="173">
        <f ca="1">(VLOOKUP(DY$72,INDIRECT($C$5&amp;"生成成长"),2))/((VLOOKUP($B229,INDIRECT($B$5&amp;"生成成长"),4))/(VLOOKUP(DY$72,INDIRECT($C$5&amp;"生成成长"),5))*(VLOOKUP($B$5,标准坦克设计!$B$24:$U$30,MATCH("对"&amp;LEFT($C$5,2)&amp;"输出",标准坦克设计!$B$23:$U$23,0)))*(VLOOKUP($B229,INDIRECT($B$5&amp;"生成成长"),3))*(VLOOKUP($B$5,标准坦克设计!$B$14:$K$20,9)/30))</f>
        <v>2.2915661943549908</v>
      </c>
      <c r="DZ229" s="173">
        <f ca="1">(VLOOKUP(DZ$72,INDIRECT($C$5&amp;"生成成长"),2))/((VLOOKUP($B229,INDIRECT($B$5&amp;"生成成长"),4))/(VLOOKUP(DZ$72,INDIRECT($C$5&amp;"生成成长"),5))*(VLOOKUP($B$5,标准坦克设计!$B$24:$U$30,MATCH("对"&amp;LEFT($C$5,2)&amp;"输出",标准坦克设计!$B$23:$U$23,0)))*(VLOOKUP($B229,INDIRECT($B$5&amp;"生成成长"),3))*(VLOOKUP($B$5,标准坦克设计!$B$14:$K$20,9)/30))</f>
        <v>2.537802303065595</v>
      </c>
      <c r="EA229" s="173">
        <f ca="1">(VLOOKUP(EA$72,INDIRECT($C$5&amp;"生成成长"),2))/((VLOOKUP($B229,INDIRECT($B$5&amp;"生成成长"),4))/(VLOOKUP(EA$72,INDIRECT($C$5&amp;"生成成长"),5))*(VLOOKUP($B$5,标准坦克设计!$B$24:$U$30,MATCH("对"&amp;LEFT($C$5,2)&amp;"输出",标准坦克设计!$B$23:$U$23,0)))*(VLOOKUP($B229,INDIRECT($B$5&amp;"生成成长"),3))*(VLOOKUP($B$5,标准坦克设计!$B$14:$K$20,9)/30))</f>
        <v>2.7966014785471494</v>
      </c>
      <c r="EB229" s="173">
        <f ca="1">(VLOOKUP(EB$72,INDIRECT($C$5&amp;"生成成长"),2))/((VLOOKUP($B229,INDIRECT($B$5&amp;"生成成长"),4))/(VLOOKUP(EB$72,INDIRECT($C$5&amp;"生成成长"),5))*(VLOOKUP($B$5,标准坦克设计!$B$24:$U$30,MATCH("对"&amp;LEFT($C$5,2)&amp;"输出",标准坦克设计!$B$23:$U$23,0)))*(VLOOKUP($B229,INDIRECT($B$5&amp;"生成成长"),3))*(VLOOKUP($B$5,标准坦克设计!$B$14:$K$20,9)/30))</f>
        <v>3.0679637207996522</v>
      </c>
      <c r="EC229" s="173">
        <f ca="1">(VLOOKUP(EC$72,INDIRECT($C$5&amp;"生成成长"),2))/((VLOOKUP($B229,INDIRECT($B$5&amp;"生成成长"),4))/(VLOOKUP(EC$72,INDIRECT($C$5&amp;"生成成长"),5))*(VLOOKUP($B$5,标准坦克设计!$B$24:$U$30,MATCH("对"&amp;LEFT($C$5,2)&amp;"输出",标准坦克设计!$B$23:$U$23,0)))*(VLOOKUP($B229,INDIRECT($B$5&amp;"生成成长"),3))*(VLOOKUP($B$5,标准坦克设计!$B$14:$K$20,9)/30))</f>
        <v>3.3518890298231034</v>
      </c>
      <c r="ED229" s="173">
        <f ca="1">(VLOOKUP(ED$72,INDIRECT($C$5&amp;"生成成长"),2))/((VLOOKUP($B229,INDIRECT($B$5&amp;"生成成长"),4))/(VLOOKUP(ED$72,INDIRECT($C$5&amp;"生成成长"),5))*(VLOOKUP($B$5,标准坦克设计!$B$24:$U$30,MATCH("对"&amp;LEFT($C$5,2)&amp;"输出",标准坦克设计!$B$23:$U$23,0)))*(VLOOKUP($B229,INDIRECT($B$5&amp;"生成成长"),3))*(VLOOKUP($B$5,标准坦克设计!$B$14:$K$20,9)/30))</f>
        <v>3.6483774056175058</v>
      </c>
      <c r="EE229" s="173">
        <f ca="1">(VLOOKUP(EE$72,INDIRECT($C$5&amp;"生成成长"),2))/((VLOOKUP($B229,INDIRECT($B$5&amp;"生成成长"),4))/(VLOOKUP(EE$72,INDIRECT($C$5&amp;"生成成长"),5))*(VLOOKUP($B$5,标准坦克设计!$B$24:$U$30,MATCH("对"&amp;LEFT($C$5,2)&amp;"输出",标准坦克设计!$B$23:$U$23,0)))*(VLOOKUP($B229,INDIRECT($B$5&amp;"生成成长"),3))*(VLOOKUP($B$5,标准坦克设计!$B$14:$K$20,9)/30))</f>
        <v>3.9574288481828561</v>
      </c>
      <c r="EF229" s="173">
        <f ca="1">(VLOOKUP(EF$72,INDIRECT($C$5&amp;"生成成长"),2))/((VLOOKUP($B229,INDIRECT($B$5&amp;"生成成长"),4))/(VLOOKUP(EF$72,INDIRECT($C$5&amp;"生成成长"),5))*(VLOOKUP($B$5,标准坦克设计!$B$24:$U$30,MATCH("对"&amp;LEFT($C$5,2)&amp;"输出",标准坦克设计!$B$23:$U$23,0)))*(VLOOKUP($B229,INDIRECT($B$5&amp;"生成成长"),3))*(VLOOKUP($B$5,标准坦克设计!$B$14:$K$20,9)/30))</f>
        <v>4.2790433575191553</v>
      </c>
      <c r="EG229" s="173">
        <f ca="1">(VLOOKUP(EG$72,INDIRECT($C$5&amp;"生成成长"),2))/((VLOOKUP($B229,INDIRECT($B$5&amp;"生成成长"),4))/(VLOOKUP(EG$72,INDIRECT($C$5&amp;"生成成长"),5))*(VLOOKUP($B$5,标准坦克设计!$B$24:$U$30,MATCH("对"&amp;LEFT($C$5,2)&amp;"输出",标准坦克设计!$B$23:$U$23,0)))*(VLOOKUP($B229,INDIRECT($B$5&amp;"生成成长"),3))*(VLOOKUP($B$5,标准坦克设计!$B$14:$K$20,9)/30))</f>
        <v>4.6132209336264047</v>
      </c>
      <c r="EH229" s="173">
        <f ca="1">(VLOOKUP(EH$72,INDIRECT($C$5&amp;"生成成长"),2))/((VLOOKUP($B229,INDIRECT($B$5&amp;"生成成长"),4))/(VLOOKUP(EH$72,INDIRECT($C$5&amp;"生成成长"),5))*(VLOOKUP($B$5,标准坦克设计!$B$24:$U$30,MATCH("对"&amp;LEFT($C$5,2)&amp;"输出",标准坦克设计!$B$23:$U$23,0)))*(VLOOKUP($B229,INDIRECT($B$5&amp;"生成成长"),3))*(VLOOKUP($B$5,标准坦克设计!$B$14:$K$20,9)/30))</f>
        <v>4.959961576504603</v>
      </c>
      <c r="EI229" s="173">
        <f ca="1">(VLOOKUP(EI$72,INDIRECT($C$5&amp;"生成成长"),2))/((VLOOKUP($B229,INDIRECT($B$5&amp;"生成成长"),4))/(VLOOKUP(EI$72,INDIRECT($C$5&amp;"生成成长"),5))*(VLOOKUP($B$5,标准坦克设计!$B$24:$U$30,MATCH("对"&amp;LEFT($C$5,2)&amp;"输出",标准坦克设计!$B$23:$U$23,0)))*(VLOOKUP($B229,INDIRECT($B$5&amp;"生成成长"),3))*(VLOOKUP($B$5,标准坦克设计!$B$14:$K$20,9)/30))</f>
        <v>5.3192652861537502</v>
      </c>
      <c r="EJ229" s="173">
        <f ca="1">(VLOOKUP(EJ$72,INDIRECT($C$5&amp;"生成成长"),2))/((VLOOKUP($B229,INDIRECT($B$5&amp;"生成成长"),4))/(VLOOKUP(EJ$72,INDIRECT($C$5&amp;"生成成长"),5))*(VLOOKUP($B$5,标准坦克设计!$B$24:$U$30,MATCH("对"&amp;LEFT($C$5,2)&amp;"输出",标准坦克设计!$B$23:$U$23,0)))*(VLOOKUP($B229,INDIRECT($B$5&amp;"生成成长"),3))*(VLOOKUP($B$5,标准坦克设计!$B$14:$K$20,9)/30))</f>
        <v>5.6911320625738462</v>
      </c>
      <c r="EK229" s="173">
        <f ca="1">(VLOOKUP(EK$72,INDIRECT($C$5&amp;"生成成长"),2))/((VLOOKUP($B229,INDIRECT($B$5&amp;"生成成长"),4))/(VLOOKUP(EK$72,INDIRECT($C$5&amp;"生成成长"),5))*(VLOOKUP($B$5,标准坦克设计!$B$24:$U$30,MATCH("对"&amp;LEFT($C$5,2)&amp;"输出",标准坦克设计!$B$23:$U$23,0)))*(VLOOKUP($B229,INDIRECT($B$5&amp;"生成成长"),3))*(VLOOKUP($B$5,标准坦克设计!$B$14:$K$20,9)/30))</f>
        <v>6.153955442415616</v>
      </c>
      <c r="EL229" s="173">
        <f ca="1">(VLOOKUP(EL$72,INDIRECT($C$5&amp;"生成成长"),2))/((VLOOKUP($B229,INDIRECT($B$5&amp;"生成成长"),4))/(VLOOKUP(EL$72,INDIRECT($C$5&amp;"生成成长"),5))*(VLOOKUP($B$5,标准坦克设计!$B$24:$U$30,MATCH("对"&amp;LEFT($C$5,2)&amp;"输出",标准坦克设计!$B$23:$U$23,0)))*(VLOOKUP($B229,INDIRECT($B$5&amp;"生成成长"),3))*(VLOOKUP($B$5,标准坦克设计!$B$14:$K$20,9)/30))</f>
        <v>6.6348696384075501</v>
      </c>
      <c r="EM229" s="173">
        <f ca="1">(VLOOKUP(EM$72,INDIRECT($C$5&amp;"生成成长"),2))/((VLOOKUP($B229,INDIRECT($B$5&amp;"生成成长"),4))/(VLOOKUP(EM$72,INDIRECT($C$5&amp;"生成成长"),5))*(VLOOKUP($B$5,标准坦克设计!$B$24:$U$30,MATCH("对"&amp;LEFT($C$5,2)&amp;"输出",标准坦克设计!$B$23:$U$23,0)))*(VLOOKUP($B229,INDIRECT($B$5&amp;"生成成长"),3))*(VLOOKUP($B$5,标准坦克设计!$B$14:$K$20,9)/30))</f>
        <v>7.1338746505496538</v>
      </c>
      <c r="EN229" s="173">
        <f ca="1">(VLOOKUP(EN$72,INDIRECT($C$5&amp;"生成成长"),2))/((VLOOKUP($B229,INDIRECT($B$5&amp;"生成成长"),4))/(VLOOKUP(EN$72,INDIRECT($C$5&amp;"生成成长"),5))*(VLOOKUP($B$5,标准坦克设计!$B$24:$U$30,MATCH("对"&amp;LEFT($C$5,2)&amp;"输出",标准坦克设计!$B$23:$U$23,0)))*(VLOOKUP($B229,INDIRECT($B$5&amp;"生成成长"),3))*(VLOOKUP($B$5,标准坦克设计!$B$14:$K$20,9)/30))</f>
        <v>7.6509704788419235</v>
      </c>
      <c r="EO229" s="173">
        <f ca="1">(VLOOKUP(EO$72,INDIRECT($C$5&amp;"生成成长"),2))/((VLOOKUP($B229,INDIRECT($B$5&amp;"生成成长"),4))/(VLOOKUP(EO$72,INDIRECT($C$5&amp;"生成成长"),5))*(VLOOKUP($B$5,标准坦克设计!$B$24:$U$30,MATCH("对"&amp;LEFT($C$5,2)&amp;"输出",标准坦克设计!$B$23:$U$23,0)))*(VLOOKUP($B229,INDIRECT($B$5&amp;"生成成长"),3))*(VLOOKUP($B$5,标准坦克设计!$B$14:$K$20,9)/30))</f>
        <v>8.1861571232843602</v>
      </c>
      <c r="EP229" s="173">
        <f ca="1">(VLOOKUP(EP$72,INDIRECT($C$5&amp;"生成成长"),2))/((VLOOKUP($B229,INDIRECT($B$5&amp;"生成成长"),4))/(VLOOKUP(EP$72,INDIRECT($C$5&amp;"生成成长"),5))*(VLOOKUP($B$5,标准坦克设计!$B$24:$U$30,MATCH("对"&amp;LEFT($C$5,2)&amp;"输出",标准坦克设计!$B$23:$U$23,0)))*(VLOOKUP($B229,INDIRECT($B$5&amp;"生成成长"),3))*(VLOOKUP($B$5,标准坦克设计!$B$14:$K$20,9)/30))</f>
        <v>8.739434583876962</v>
      </c>
      <c r="EQ229" s="173">
        <f ca="1">(VLOOKUP(EQ$72,INDIRECT($C$5&amp;"生成成长"),2))/((VLOOKUP($B229,INDIRECT($B$5&amp;"生成成长"),4))/(VLOOKUP(EQ$72,INDIRECT($C$5&amp;"生成成长"),5))*(VLOOKUP($B$5,标准坦克设计!$B$24:$U$30,MATCH("对"&amp;LEFT($C$5,2)&amp;"输出",标准坦克设计!$B$23:$U$23,0)))*(VLOOKUP($B229,INDIRECT($B$5&amp;"生成成长"),3))*(VLOOKUP($B$5,标准坦克设计!$B$14:$K$20,9)/30))</f>
        <v>3.8633942934023016</v>
      </c>
      <c r="ER229" s="173">
        <f ca="1">(VLOOKUP(ER$72,INDIRECT($C$5&amp;"生成成长"),2))/((VLOOKUP($B229,INDIRECT($B$5&amp;"生成成长"),4))/(VLOOKUP(ER$72,INDIRECT($C$5&amp;"生成成长"),5))*(VLOOKUP($B$5,标准坦克设计!$B$24:$U$30,MATCH("对"&amp;LEFT($C$5,2)&amp;"输出",标准坦克设计!$B$23:$U$23,0)))*(VLOOKUP($B229,INDIRECT($B$5&amp;"生成成长"),3))*(VLOOKUP($B$5,标准坦克设计!$B$14:$K$20,9)/30))</f>
        <v>4.2137154103102201</v>
      </c>
      <c r="ES229" s="173">
        <f ca="1">(VLOOKUP(ES$72,INDIRECT($C$5&amp;"生成成长"),2))/((VLOOKUP($B229,INDIRECT($B$5&amp;"生成成长"),4))/(VLOOKUP(ES$72,INDIRECT($C$5&amp;"生成成长"),5))*(VLOOKUP($B$5,标准坦克设计!$B$24:$U$30,MATCH("对"&amp;LEFT($C$5,2)&amp;"输出",标准坦克设计!$B$23:$U$23,0)))*(VLOOKUP($B229,INDIRECT($B$5&amp;"生成成长"),3))*(VLOOKUP($B$5,标准坦克设计!$B$14:$K$20,9)/30))</f>
        <v>4.5792378380109868</v>
      </c>
      <c r="ET229" s="173">
        <f ca="1">(VLOOKUP(ET$72,INDIRECT($C$5&amp;"生成成长"),2))/((VLOOKUP($B229,INDIRECT($B$5&amp;"生成成长"),4))/(VLOOKUP(ET$72,INDIRECT($C$5&amp;"生成成长"),5))*(VLOOKUP($B$5,标准坦克设计!$B$24:$U$30,MATCH("对"&amp;LEFT($C$5,2)&amp;"输出",标准坦克设计!$B$23:$U$23,0)))*(VLOOKUP($B229,INDIRECT($B$5&amp;"生成成长"),3))*(VLOOKUP($B$5,标准坦克设计!$B$14:$K$20,9)/30))</f>
        <v>4.959961576504603</v>
      </c>
      <c r="EU229" s="173">
        <f ca="1">(VLOOKUP(EU$72,INDIRECT($C$5&amp;"生成成长"),2))/((VLOOKUP($B229,INDIRECT($B$5&amp;"生成成长"),4))/(VLOOKUP(EU$72,INDIRECT($C$5&amp;"生成成长"),5))*(VLOOKUP($B$5,标准坦克设计!$B$24:$U$30,MATCH("对"&amp;LEFT($C$5,2)&amp;"输出",标准坦克设计!$B$23:$U$23,0)))*(VLOOKUP($B229,INDIRECT($B$5&amp;"生成成长"),3))*(VLOOKUP($B$5,标准坦克设计!$B$14:$K$20,9)/30))</f>
        <v>5.3558866257910669</v>
      </c>
      <c r="EV229" s="173">
        <f ca="1">(VLOOKUP(EV$72,INDIRECT($C$5&amp;"生成成长"),2))/((VLOOKUP($B229,INDIRECT($B$5&amp;"生成成长"),4))/(VLOOKUP(EV$72,INDIRECT($C$5&amp;"生成成长"),5))*(VLOOKUP($B$5,标准坦克设计!$B$24:$U$30,MATCH("对"&amp;LEFT($C$5,2)&amp;"输出",标准坦克设计!$B$23:$U$23,0)))*(VLOOKUP($B229,INDIRECT($B$5&amp;"生成成长"),3))*(VLOOKUP($B$5,标准坦克设计!$B$14:$K$20,9)/30))</f>
        <v>5.7670129858703794</v>
      </c>
      <c r="EW229" s="173">
        <f ca="1">(VLOOKUP(EW$72,INDIRECT($C$5&amp;"生成成长"),2))/((VLOOKUP($B229,INDIRECT($B$5&amp;"生成成长"),4))/(VLOOKUP(EW$72,INDIRECT($C$5&amp;"生成成长"),5))*(VLOOKUP($B$5,标准坦克设计!$B$24:$U$30,MATCH("对"&amp;LEFT($C$5,2)&amp;"输出",标准坦克设计!$B$23:$U$23,0)))*(VLOOKUP($B229,INDIRECT($B$5&amp;"生成成长"),3))*(VLOOKUP($B$5,标准坦克设计!$B$14:$K$20,9)/30))</f>
        <v>6.1933406567425422</v>
      </c>
      <c r="EX229" s="173">
        <f ca="1">(VLOOKUP(EX$72,INDIRECT($C$5&amp;"生成成长"),2))/((VLOOKUP($B229,INDIRECT($B$5&amp;"生成成长"),4))/(VLOOKUP(EX$72,INDIRECT($C$5&amp;"生成成长"),5))*(VLOOKUP($B$5,标准坦克设计!$B$24:$U$30,MATCH("对"&amp;LEFT($C$5,2)&amp;"输出",标准坦克设计!$B$23:$U$23,0)))*(VLOOKUP($B229,INDIRECT($B$5&amp;"生成成长"),3))*(VLOOKUP($B$5,标准坦克设计!$B$14:$K$20,9)/30))</f>
        <v>6.6348696384075501</v>
      </c>
      <c r="EY229" s="173">
        <f ca="1">(VLOOKUP(EY$72,INDIRECT($C$5&amp;"生成成长"),2))/((VLOOKUP($B229,INDIRECT($B$5&amp;"生成成长"),4))/(VLOOKUP(EY$72,INDIRECT($C$5&amp;"生成成长"),5))*(VLOOKUP($B$5,标准坦克设计!$B$24:$U$30,MATCH("对"&amp;LEFT($C$5,2)&amp;"输出",标准坦克设计!$B$23:$U$23,0)))*(VLOOKUP($B229,INDIRECT($B$5&amp;"生成成长"),3))*(VLOOKUP($B$5,标准坦克设计!$B$14:$K$20,9)/30))</f>
        <v>7.0915999308654101</v>
      </c>
      <c r="EZ229" s="173">
        <f ca="1">(VLOOKUP(EZ$72,INDIRECT($C$5&amp;"生成成长"),2))/((VLOOKUP($B229,INDIRECT($B$5&amp;"生成成长"),4))/(VLOOKUP(EZ$72,INDIRECT($C$5&amp;"生成成长"),5))*(VLOOKUP($B$5,标准坦克设计!$B$24:$U$30,MATCH("对"&amp;LEFT($C$5,2)&amp;"输出",标准坦克设计!$B$23:$U$23,0)))*(VLOOKUP($B229,INDIRECT($B$5&amp;"生成成长"),3))*(VLOOKUP($B$5,标准坦克设计!$B$14:$K$20,9)/30))</f>
        <v>7.5635315341161178</v>
      </c>
      <c r="FA229" s="173">
        <f ca="1">(VLOOKUP(FA$72,INDIRECT($C$5&amp;"生成成长"),2))/((VLOOKUP($B229,INDIRECT($B$5&amp;"生成成长"),4))/(VLOOKUP(FA$72,INDIRECT($C$5&amp;"生成成长"),5))*(VLOOKUP($B$5,标准坦克设计!$B$24:$U$30,MATCH("对"&amp;LEFT($C$5,2)&amp;"输出",标准坦克设计!$B$23:$U$23,0)))*(VLOOKUP($B229,INDIRECT($B$5&amp;"生成成长"),3))*(VLOOKUP($B$5,标准坦克设计!$B$14:$K$20,9)/30))</f>
        <v>8.0506644481596723</v>
      </c>
      <c r="FB229" s="173">
        <f ca="1">(VLOOKUP(FB$72,INDIRECT($C$5&amp;"生成成长"),2))/((VLOOKUP($B229,INDIRECT($B$5&amp;"生成成长"),4))/(VLOOKUP(FB$72,INDIRECT($C$5&amp;"生成成长"),5))*(VLOOKUP($B$5,标准坦克设计!$B$24:$U$30,MATCH("对"&amp;LEFT($C$5,2)&amp;"输出",标准坦克设计!$B$23:$U$23,0)))*(VLOOKUP($B229,INDIRECT($B$5&amp;"生成成长"),3))*(VLOOKUP($B$5,标准坦克设计!$B$14:$K$20,9)/30))</f>
        <v>8.5529986729960754</v>
      </c>
      <c r="FC229" s="173">
        <f ca="1">(VLOOKUP(FC$72,INDIRECT($C$5&amp;"生成成长"),2))/((VLOOKUP($B229,INDIRECT($B$5&amp;"生成成长"),4))/(VLOOKUP(FC$72,INDIRECT($C$5&amp;"生成成长"),5))*(VLOOKUP($B$5,标准坦克设计!$B$24:$U$30,MATCH("对"&amp;LEFT($C$5,2)&amp;"输出",标准坦克设计!$B$23:$U$23,0)))*(VLOOKUP($B229,INDIRECT($B$5&amp;"生成成长"),3))*(VLOOKUP($B$5,标准坦克设计!$B$14:$K$20,9)/30))</f>
        <v>9.0705342086253289</v>
      </c>
      <c r="FD229" s="173">
        <f ca="1">(VLOOKUP(FD$72,INDIRECT($C$5&amp;"生成成长"),2))/((VLOOKUP($B229,INDIRECT($B$5&amp;"生成成长"),4))/(VLOOKUP(FD$72,INDIRECT($C$5&amp;"生成成长"),5))*(VLOOKUP($B$5,标准坦克设计!$B$24:$U$30,MATCH("对"&amp;LEFT($C$5,2)&amp;"输出",标准坦克设计!$B$23:$U$23,0)))*(VLOOKUP($B229,INDIRECT($B$5&amp;"生成成长"),3))*(VLOOKUP($B$5,标准坦克设计!$B$14:$K$20,9)/30))</f>
        <v>9.6032710550474309</v>
      </c>
      <c r="FE229" s="173">
        <f ca="1">(VLOOKUP(FE$72,INDIRECT($C$5&amp;"生成成长"),2))/((VLOOKUP($B229,INDIRECT($B$5&amp;"生成成长"),4))/(VLOOKUP(FE$72,INDIRECT($C$5&amp;"生成成长"),5))*(VLOOKUP($B$5,标准坦克设计!$B$24:$U$30,MATCH("对"&amp;LEFT($C$5,2)&amp;"输出",标准坦克设计!$B$23:$U$23,0)))*(VLOOKUP($B229,INDIRECT($B$5&amp;"生成成长"),3))*(VLOOKUP($B$5,标准坦克设计!$B$14:$K$20,9)/30))</f>
        <v>10.252467530436233</v>
      </c>
      <c r="FF229" s="173">
        <f ca="1">(VLOOKUP(FF$72,INDIRECT($C$5&amp;"生成成长"),2))/((VLOOKUP($B229,INDIRECT($B$5&amp;"生成成长"),4))/(VLOOKUP(FF$72,INDIRECT($C$5&amp;"生成成长"),5))*(VLOOKUP($B$5,标准坦克设计!$B$24:$U$30,MATCH("对"&amp;LEFT($C$5,2)&amp;"输出",标准坦克设计!$B$23:$U$23,0)))*(VLOOKUP($B229,INDIRECT($B$5&amp;"生成成长"),3))*(VLOOKUP($B$5,标准坦克设计!$B$14:$K$20,9)/30))</f>
        <v>10.922895588667934</v>
      </c>
      <c r="FG229" s="173">
        <f ca="1">(VLOOKUP(FG$72,INDIRECT($C$5&amp;"生成成长"),2))/((VLOOKUP($B229,INDIRECT($B$5&amp;"生成成长"),4))/(VLOOKUP(FG$72,INDIRECT($C$5&amp;"生成成长"),5))*(VLOOKUP($B$5,标准坦克设计!$B$24:$U$30,MATCH("对"&amp;LEFT($C$5,2)&amp;"输出",标准坦克设计!$B$23:$U$23,0)))*(VLOOKUP($B229,INDIRECT($B$5&amp;"生成成长"),3))*(VLOOKUP($B$5,标准坦克设计!$B$14:$K$20,9)/30))</f>
        <v>11.614555229742546</v>
      </c>
      <c r="FH229" s="173">
        <f ca="1">(VLOOKUP(FH$72,INDIRECT($C$5&amp;"生成成长"),2))/((VLOOKUP($B229,INDIRECT($B$5&amp;"生成成长"),4))/(VLOOKUP(FH$72,INDIRECT($C$5&amp;"生成成长"),5))*(VLOOKUP($B$5,标准坦克设计!$B$24:$U$30,MATCH("对"&amp;LEFT($C$5,2)&amp;"输出",标准坦克设计!$B$23:$U$23,0)))*(VLOOKUP($B229,INDIRECT($B$5&amp;"生成成长"),3))*(VLOOKUP($B$5,标准坦克设计!$B$14:$K$20,9)/30))</f>
        <v>12.327446453660055</v>
      </c>
      <c r="FI229" s="173">
        <f ca="1">(VLOOKUP(FI$72,INDIRECT($C$5&amp;"生成成长"),2))/((VLOOKUP($B229,INDIRECT($B$5&amp;"生成成长"),4))/(VLOOKUP(FI$72,INDIRECT($C$5&amp;"生成成长"),5))*(VLOOKUP($B$5,标准坦克设计!$B$24:$U$30,MATCH("对"&amp;LEFT($C$5,2)&amp;"输出",标准坦克设计!$B$23:$U$23,0)))*(VLOOKUP($B229,INDIRECT($B$5&amp;"生成成长"),3))*(VLOOKUP($B$5,标准坦克设计!$B$14:$K$20,9)/30))</f>
        <v>13.061569260420475</v>
      </c>
      <c r="FJ229" s="173">
        <f ca="1">(VLOOKUP(FJ$72,INDIRECT($C$5&amp;"生成成长"),2))/((VLOOKUP($B229,INDIRECT($B$5&amp;"生成成长"),4))/(VLOOKUP(FJ$72,INDIRECT($C$5&amp;"生成成长"),5))*(VLOOKUP($B$5,标准坦克设计!$B$24:$U$30,MATCH("对"&amp;LEFT($C$5,2)&amp;"输出",标准坦克设计!$B$23:$U$23,0)))*(VLOOKUP($B229,INDIRECT($B$5&amp;"生成成长"),3))*(VLOOKUP($B$5,标准坦克设计!$B$14:$K$20,9)/30))</f>
        <v>13.816923650023798</v>
      </c>
      <c r="FK229" s="173">
        <f ca="1">(VLOOKUP(FK$72,INDIRECT($C$5&amp;"生成成长"),2))/((VLOOKUP($B229,INDIRECT($B$5&amp;"生成成长"),4))/(VLOOKUP(FK$72,INDIRECT($C$5&amp;"生成成长"),5))*(VLOOKUP($B$5,标准坦克设计!$B$24:$U$30,MATCH("对"&amp;LEFT($C$5,2)&amp;"输出",标准坦克设计!$B$23:$U$23,0)))*(VLOOKUP($B229,INDIRECT($B$5&amp;"生成成长"),3))*(VLOOKUP($B$5,标准坦克设计!$B$14:$K$20,9)/30))</f>
        <v>14.593509622470023</v>
      </c>
    </row>
    <row r="230" spans="1:167" x14ac:dyDescent="0.15">
      <c r="A230" s="171" t="str">
        <f t="shared" si="13"/>
        <v>T5高品质14级</v>
      </c>
      <c r="B230" s="172">
        <v>30514</v>
      </c>
      <c r="C230" s="173">
        <f ca="1">(VLOOKUP(C$72,INDIRECT($C$5&amp;"生成成长"),2))/((VLOOKUP($B230,INDIRECT($B$5&amp;"生成成长"),4))/(VLOOKUP(C$72,INDIRECT($C$5&amp;"生成成长"),5))*(VLOOKUP($B$5,标准坦克设计!$B$24:$U$30,MATCH("对"&amp;LEFT($C$5,2)&amp;"输出",标准坦克设计!$B$23:$U$23,0)))*(VLOOKUP($B230,INDIRECT($B$5&amp;"生成成长"),3))*(VLOOKUP($B$5,标准坦克设计!$B$14:$K$20,9)/30))</f>
        <v>0.59287146206599284</v>
      </c>
      <c r="D230" s="173">
        <f ca="1">(VLOOKUP(D$72,INDIRECT($C$5&amp;"生成成长"),2))/((VLOOKUP($B230,INDIRECT($B$5&amp;"生成成长"),4))/(VLOOKUP(D$72,INDIRECT($C$5&amp;"生成成长"),5))*(VLOOKUP($B$5,标准坦克设计!$B$24:$U$30,MATCH("对"&amp;LEFT($C$5,2)&amp;"输出",标准坦克设计!$B$23:$U$23,0)))*(VLOOKUP($B230,INDIRECT($B$5&amp;"生成成长"),3))*(VLOOKUP($B$5,标准坦克设计!$B$14:$K$20,9)/30))</f>
        <v>0.66615037477734962</v>
      </c>
      <c r="E230" s="173">
        <f ca="1">(VLOOKUP(E$72,INDIRECT($C$5&amp;"生成成长"),2))/((VLOOKUP($B230,INDIRECT($B$5&amp;"生成成长"),4))/(VLOOKUP(E$72,INDIRECT($C$5&amp;"生成成长"),5))*(VLOOKUP($B$5,标准坦克设计!$B$24:$U$30,MATCH("对"&amp;LEFT($C$5,2)&amp;"输出",标准坦克设计!$B$23:$U$23,0)))*(VLOOKUP($B230,INDIRECT($B$5&amp;"生成成长"),3))*(VLOOKUP($B$5,标准坦克设计!$B$14:$K$20,9)/30))</f>
        <v>0.74369796201558147</v>
      </c>
      <c r="F230" s="173">
        <f ca="1">(VLOOKUP(F$72,INDIRECT($C$5&amp;"生成成长"),2))/((VLOOKUP($B230,INDIRECT($B$5&amp;"生成成长"),4))/(VLOOKUP(F$72,INDIRECT($C$5&amp;"生成成长"),5))*(VLOOKUP($B$5,标准坦克设计!$B$24:$U$30,MATCH("对"&amp;LEFT($C$5,2)&amp;"输出",标准坦克设计!$B$23:$U$23,0)))*(VLOOKUP($B230,INDIRECT($B$5&amp;"生成成长"),3))*(VLOOKUP($B$5,标准坦克设计!$B$14:$K$20,9)/30))</f>
        <v>0.82551422378068851</v>
      </c>
      <c r="G230" s="173">
        <f ca="1">(VLOOKUP(G$72,INDIRECT($C$5&amp;"生成成长"),2))/((VLOOKUP($B230,INDIRECT($B$5&amp;"生成成长"),4))/(VLOOKUP(G$72,INDIRECT($C$5&amp;"生成成长"),5))*(VLOOKUP($B$5,标准坦克设计!$B$24:$U$30,MATCH("对"&amp;LEFT($C$5,2)&amp;"输出",标准坦克设计!$B$23:$U$23,0)))*(VLOOKUP($B230,INDIRECT($B$5&amp;"生成成长"),3))*(VLOOKUP($B$5,标准坦克设计!$B$14:$K$20,9)/30))</f>
        <v>0.9115991600726705</v>
      </c>
      <c r="H230" s="173">
        <f ca="1">(VLOOKUP(H$72,INDIRECT($C$5&amp;"生成成长"),2))/((VLOOKUP($B230,INDIRECT($B$5&amp;"生成成长"),4))/(VLOOKUP(H$72,INDIRECT($C$5&amp;"生成成长"),5))*(VLOOKUP($B$5,标准坦克设计!$B$24:$U$30,MATCH("对"&amp;LEFT($C$5,2)&amp;"输出",标准坦克设计!$B$23:$U$23,0)))*(VLOOKUP($B230,INDIRECT($B$5&amp;"生成成长"),3))*(VLOOKUP($B$5,标准坦克设计!$B$14:$K$20,9)/30))</f>
        <v>0.79776783935600004</v>
      </c>
      <c r="I230" s="173">
        <f ca="1">(VLOOKUP(I$72,INDIRECT($C$5&amp;"生成成长"),2))/((VLOOKUP($B230,INDIRECT($B$5&amp;"生成成长"),4))/(VLOOKUP(I$72,INDIRECT($C$5&amp;"生成成长"),5))*(VLOOKUP($B$5,标准坦克设计!$B$24:$U$30,MATCH("对"&amp;LEFT($C$5,2)&amp;"输出",标准坦克设计!$B$23:$U$23,0)))*(VLOOKUP($B230,INDIRECT($B$5&amp;"生成成长"),3))*(VLOOKUP($B$5,标准坦克设计!$B$14:$K$20,9)/30))</f>
        <v>0.9115991600726705</v>
      </c>
      <c r="J230" s="173">
        <f ca="1">(VLOOKUP(J$72,INDIRECT($C$5&amp;"生成成长"),2))/((VLOOKUP($B230,INDIRECT($B$5&amp;"生成成长"),4))/(VLOOKUP(J$72,INDIRECT($C$5&amp;"生成成长"),5))*(VLOOKUP($B$5,标准坦克设计!$B$24:$U$30,MATCH("对"&amp;LEFT($C$5,2)&amp;"输出",标准坦克设计!$B$23:$U$23,0)))*(VLOOKUP($B230,INDIRECT($B$5&amp;"生成成长"),3))*(VLOOKUP($B$5,标准坦克设计!$B$14:$K$20,9)/30))</f>
        <v>1.0330192355037862</v>
      </c>
      <c r="K230" s="173">
        <f ca="1">(VLOOKUP(K$72,INDIRECT($C$5&amp;"生成成长"),2))/((VLOOKUP($B230,INDIRECT($B$5&amp;"生成成长"),4))/(VLOOKUP(K$72,INDIRECT($C$5&amp;"生成成长"),5))*(VLOOKUP($B$5,标准坦克设计!$B$24:$U$30,MATCH("对"&amp;LEFT($C$5,2)&amp;"输出",标准坦克设计!$B$23:$U$23,0)))*(VLOOKUP($B230,INDIRECT($B$5&amp;"生成成长"),3))*(VLOOKUP($B$5,标准坦克设计!$B$14:$K$20,9)/30))</f>
        <v>1.162028065649346</v>
      </c>
      <c r="L230" s="173">
        <f ca="1">(VLOOKUP(L$72,INDIRECT($C$5&amp;"生成成长"),2))/((VLOOKUP($B230,INDIRECT($B$5&amp;"生成成长"),4))/(VLOOKUP(L$72,INDIRECT($C$5&amp;"生成成长"),5))*(VLOOKUP($B$5,标准坦克设计!$B$24:$U$30,MATCH("对"&amp;LEFT($C$5,2)&amp;"输出",标准坦克设计!$B$23:$U$23,0)))*(VLOOKUP($B230,INDIRECT($B$5&amp;"生成成长"),3))*(VLOOKUP($B$5,标准坦克设计!$B$14:$K$20,9)/30))</f>
        <v>1.2986256505093507</v>
      </c>
      <c r="M230" s="173">
        <f ca="1">(VLOOKUP(M$72,INDIRECT($C$5&amp;"生成成长"),2))/((VLOOKUP($B230,INDIRECT($B$5&amp;"生成成长"),4))/(VLOOKUP(M$72,INDIRECT($C$5&amp;"生成成长"),5))*(VLOOKUP($B$5,标准坦克设计!$B$24:$U$30,MATCH("对"&amp;LEFT($C$5,2)&amp;"输出",标准坦克设计!$B$23:$U$23,0)))*(VLOOKUP($B230,INDIRECT($B$5&amp;"生成成长"),3))*(VLOOKUP($B$5,标准坦克设计!$B$14:$K$20,9)/30))</f>
        <v>1.4428119900838001</v>
      </c>
      <c r="N230" s="173">
        <f ca="1">(VLOOKUP(N$72,INDIRECT($C$5&amp;"生成成长"),2))/((VLOOKUP($B230,INDIRECT($B$5&amp;"生成成长"),4))/(VLOOKUP(N$72,INDIRECT($C$5&amp;"生成成长"),5))*(VLOOKUP($B$5,标准坦克设计!$B$24:$U$30,MATCH("对"&amp;LEFT($C$5,2)&amp;"输出",标准坦克设计!$B$23:$U$23,0)))*(VLOOKUP($B230,INDIRECT($B$5&amp;"生成成长"),3))*(VLOOKUP($B$5,标准坦克设计!$B$14:$K$20,9)/30))</f>
        <v>1.5945870843726941</v>
      </c>
      <c r="O230" s="173">
        <f ca="1">(VLOOKUP(O$72,INDIRECT($C$5&amp;"生成成长"),2))/((VLOOKUP($B230,INDIRECT($B$5&amp;"生成成长"),4))/(VLOOKUP(O$72,INDIRECT($C$5&amp;"生成成长"),5))*(VLOOKUP($B$5,标准坦克设计!$B$24:$U$30,MATCH("对"&amp;LEFT($C$5,2)&amp;"输出",标准坦克设计!$B$23:$U$23,0)))*(VLOOKUP($B230,INDIRECT($B$5&amp;"生成成长"),3))*(VLOOKUP($B$5,标准坦克设计!$B$14:$K$20,9)/30))</f>
        <v>1.2123628527787489</v>
      </c>
      <c r="P230" s="173">
        <f ca="1">(VLOOKUP(P$72,INDIRECT($C$5&amp;"生成成长"),2))/((VLOOKUP($B230,INDIRECT($B$5&amp;"生成成长"),4))/(VLOOKUP(P$72,INDIRECT($C$5&amp;"生成成长"),5))*(VLOOKUP($B$5,标准坦克设计!$B$24:$U$30,MATCH("对"&amp;LEFT($C$5,2)&amp;"输出",标准坦克设计!$B$23:$U$23,0)))*(VLOOKUP($B230,INDIRECT($B$5&amp;"生成成长"),3))*(VLOOKUP($B$5,标准坦克设计!$B$14:$K$20,9)/30))</f>
        <v>1.3697702259572702</v>
      </c>
      <c r="Q230" s="173">
        <f ca="1">(VLOOKUP(Q$72,INDIRECT($C$5&amp;"生成成长"),2))/((VLOOKUP($B230,INDIRECT($B$5&amp;"生成成长"),4))/(VLOOKUP(Q$72,INDIRECT($C$5&amp;"生成成长"),5))*(VLOOKUP($B$5,标准坦克设计!$B$24:$U$30,MATCH("对"&amp;LEFT($C$5,2)&amp;"输出",标准坦克设计!$B$23:$U$23,0)))*(VLOOKUP($B230,INDIRECT($B$5&amp;"生成成长"),3))*(VLOOKUP($B$5,标准坦克设计!$B$14:$K$20,9)/30))</f>
        <v>1.5367821168212603</v>
      </c>
      <c r="R230" s="173">
        <f ca="1">(VLOOKUP(R$72,INDIRECT($C$5&amp;"生成成长"),2))/((VLOOKUP($B230,INDIRECT($B$5&amp;"生成成长"),4))/(VLOOKUP(R$72,INDIRECT($C$5&amp;"生成成长"),5))*(VLOOKUP($B$5,标准坦克设计!$B$24:$U$30,MATCH("对"&amp;LEFT($C$5,2)&amp;"输出",标准坦克设计!$B$23:$U$23,0)))*(VLOOKUP($B230,INDIRECT($B$5&amp;"生成成长"),3))*(VLOOKUP($B$5,标准坦克设计!$B$14:$K$20,9)/30))</f>
        <v>1.7133985253707193</v>
      </c>
      <c r="S230" s="173">
        <f ca="1">(VLOOKUP(S$72,INDIRECT($C$5&amp;"生成成长"),2))/((VLOOKUP($B230,INDIRECT($B$5&amp;"生成成长"),4))/(VLOOKUP(S$72,INDIRECT($C$5&amp;"生成成长"),5))*(VLOOKUP($B$5,标准坦克设计!$B$24:$U$30,MATCH("对"&amp;LEFT($C$5,2)&amp;"输出",标准坦克设计!$B$23:$U$23,0)))*(VLOOKUP($B230,INDIRECT($B$5&amp;"生成成长"),3))*(VLOOKUP($B$5,标准坦克设计!$B$14:$K$20,9)/30))</f>
        <v>1.8996194516056477</v>
      </c>
      <c r="T230" s="173">
        <f ca="1">(VLOOKUP(T$72,INDIRECT($C$5&amp;"生成成长"),2))/((VLOOKUP($B230,INDIRECT($B$5&amp;"生成成长"),4))/(VLOOKUP(T$72,INDIRECT($C$5&amp;"生成成长"),5))*(VLOOKUP($B$5,标准坦克设计!$B$24:$U$30,MATCH("对"&amp;LEFT($C$5,2)&amp;"输出",标准坦克设计!$B$23:$U$23,0)))*(VLOOKUP($B230,INDIRECT($B$5&amp;"生成成长"),3))*(VLOOKUP($B$5,标准坦克设计!$B$14:$K$20,9)/30))</f>
        <v>2.095444895526045</v>
      </c>
      <c r="U230" s="173">
        <f ca="1">(VLOOKUP(U$72,INDIRECT($C$5&amp;"生成成长"),2))/((VLOOKUP($B230,INDIRECT($B$5&amp;"生成成长"),4))/(VLOOKUP(U$72,INDIRECT($C$5&amp;"生成成长"),5))*(VLOOKUP($B$5,标准坦克设计!$B$24:$U$30,MATCH("对"&amp;LEFT($C$5,2)&amp;"输出",标准坦克设计!$B$23:$U$23,0)))*(VLOOKUP($B230,INDIRECT($B$5&amp;"生成成长"),3))*(VLOOKUP($B$5,标准坦克设计!$B$14:$K$20,9)/30))</f>
        <v>2.3008748571319115</v>
      </c>
      <c r="V230" s="173">
        <f ca="1">(VLOOKUP(V$72,INDIRECT($C$5&amp;"生成成长"),2))/((VLOOKUP($B230,INDIRECT($B$5&amp;"生成成长"),4))/(VLOOKUP(V$72,INDIRECT($C$5&amp;"生成成长"),5))*(VLOOKUP($B$5,标准坦克设计!$B$24:$U$30,MATCH("对"&amp;LEFT($C$5,2)&amp;"输出",标准坦克设计!$B$23:$U$23,0)))*(VLOOKUP($B230,INDIRECT($B$5&amp;"生成成长"),3))*(VLOOKUP($B$5,标准坦克设计!$B$14:$K$20,9)/30))</f>
        <v>2.5159093364232472</v>
      </c>
      <c r="W230" s="173">
        <f ca="1">(VLOOKUP(W$72,INDIRECT($C$5&amp;"生成成长"),2))/((VLOOKUP($B230,INDIRECT($B$5&amp;"生成成长"),4))/(VLOOKUP(W$72,INDIRECT($C$5&amp;"生成成长"),5))*(VLOOKUP($B$5,标准坦克设计!$B$24:$U$30,MATCH("对"&amp;LEFT($C$5,2)&amp;"输出",标准坦克设计!$B$23:$U$23,0)))*(VLOOKUP($B230,INDIRECT($B$5&amp;"生成成长"),3))*(VLOOKUP($B$5,标准坦克设计!$B$14:$K$20,9)/30))</f>
        <v>2.740548333400052</v>
      </c>
      <c r="X230" s="173">
        <f ca="1">(VLOOKUP(X$72,INDIRECT($C$5&amp;"生成成长"),2))/((VLOOKUP($B230,INDIRECT($B$5&amp;"生成成长"),4))/(VLOOKUP(X$72,INDIRECT($C$5&amp;"生成成长"),5))*(VLOOKUP($B$5,标准坦克设计!$B$24:$U$30,MATCH("对"&amp;LEFT($C$5,2)&amp;"输出",标准坦克设计!$B$23:$U$23,0)))*(VLOOKUP($B230,INDIRECT($B$5&amp;"生成成长"),3))*(VLOOKUP($B$5,标准坦克设计!$B$14:$K$20,9)/30))</f>
        <v>1.9854672393128034</v>
      </c>
      <c r="Y230" s="173">
        <f ca="1">(VLOOKUP(Y$72,INDIRECT($C$5&amp;"生成成长"),2))/((VLOOKUP($B230,INDIRECT($B$5&amp;"生成成长"),4))/(VLOOKUP(Y$72,INDIRECT($C$5&amp;"生成成长"),5))*(VLOOKUP($B$5,标准坦克设计!$B$24:$U$30,MATCH("对"&amp;LEFT($C$5,2)&amp;"输出",标准坦克设计!$B$23:$U$23,0)))*(VLOOKUP($B230,INDIRECT($B$5&amp;"生成成长"),3))*(VLOOKUP($B$5,标准坦克设计!$B$14:$K$20,9)/30))</f>
        <v>2.2083869090496169</v>
      </c>
      <c r="Z230" s="173">
        <f ca="1">(VLOOKUP(Z$72,INDIRECT($C$5&amp;"生成成长"),2))/((VLOOKUP($B230,INDIRECT($B$5&amp;"生成成长"),4))/(VLOOKUP(Z$72,INDIRECT($C$5&amp;"生成成长"),5))*(VLOOKUP($B$5,标准坦克设计!$B$24:$U$30,MATCH("对"&amp;LEFT($C$5,2)&amp;"输出",标准坦克设计!$B$23:$U$23,0)))*(VLOOKUP($B230,INDIRECT($B$5&amp;"生成成长"),3))*(VLOOKUP($B$5,标准坦克设计!$B$14:$K$20,9)/30))</f>
        <v>2.4431640080277495</v>
      </c>
      <c r="AA230" s="173">
        <f ca="1">(VLOOKUP(AA$72,INDIRECT($C$5&amp;"生成成长"),2))/((VLOOKUP($B230,INDIRECT($B$5&amp;"生成成长"),4))/(VLOOKUP(AA$72,INDIRECT($C$5&amp;"生成成长"),5))*(VLOOKUP($B$5,标准坦克设计!$B$24:$U$30,MATCH("对"&amp;LEFT($C$5,2)&amp;"输出",标准坦克设计!$B$23:$U$23,0)))*(VLOOKUP($B230,INDIRECT($B$5&amp;"生成成长"),3))*(VLOOKUP($B$5,标准坦克设计!$B$14:$K$20,9)/30))</f>
        <v>2.6897985362472032</v>
      </c>
      <c r="AB230" s="173">
        <f ca="1">(VLOOKUP(AB$72,INDIRECT($C$5&amp;"生成成长"),2))/((VLOOKUP($B230,INDIRECT($B$5&amp;"生成成长"),4))/(VLOOKUP(AB$72,INDIRECT($C$5&amp;"生成成长"),5))*(VLOOKUP($B$5,标准坦克设计!$B$24:$U$30,MATCH("对"&amp;LEFT($C$5,2)&amp;"输出",标准坦克设计!$B$23:$U$23,0)))*(VLOOKUP($B230,INDIRECT($B$5&amp;"生成成长"),3))*(VLOOKUP($B$5,标准坦克设计!$B$14:$K$20,9)/30))</f>
        <v>2.9482904937079759</v>
      </c>
      <c r="AC230" s="173">
        <f ca="1">(VLOOKUP(AC$72,INDIRECT($C$5&amp;"生成成长"),2))/((VLOOKUP($B230,INDIRECT($B$5&amp;"生成成长"),4))/(VLOOKUP(AC$72,INDIRECT($C$5&amp;"生成成长"),5))*(VLOOKUP($B$5,标准坦克设计!$B$24:$U$30,MATCH("对"&amp;LEFT($C$5,2)&amp;"输出",标准坦克设计!$B$23:$U$23,0)))*(VLOOKUP($B230,INDIRECT($B$5&amp;"生成成长"),3))*(VLOOKUP($B$5,标准坦克设计!$B$14:$K$20,9)/30))</f>
        <v>3.2186398804100693</v>
      </c>
      <c r="AD230" s="173">
        <f ca="1">(VLOOKUP(AD$72,INDIRECT($C$5&amp;"生成成长"),2))/((VLOOKUP($B230,INDIRECT($B$5&amp;"生成成长"),4))/(VLOOKUP(AD$72,INDIRECT($C$5&amp;"生成成长"),5))*(VLOOKUP($B$5,标准坦克设计!$B$24:$U$30,MATCH("对"&amp;LEFT($C$5,2)&amp;"输出",标准坦克设计!$B$23:$U$23,0)))*(VLOOKUP($B230,INDIRECT($B$5&amp;"生成成长"),3))*(VLOOKUP($B$5,标准坦克设计!$B$14:$K$20,9)/30))</f>
        <v>3.5008466963534808</v>
      </c>
      <c r="AE230" s="173">
        <f ca="1">(VLOOKUP(AE$72,INDIRECT($C$5&amp;"生成成长"),2))/((VLOOKUP($B230,INDIRECT($B$5&amp;"生成成长"),4))/(VLOOKUP(AE$72,INDIRECT($C$5&amp;"生成成长"),5))*(VLOOKUP($B$5,标准坦克设计!$B$24:$U$30,MATCH("对"&amp;LEFT($C$5,2)&amp;"输出",标准坦克设计!$B$23:$U$23,0)))*(VLOOKUP($B230,INDIRECT($B$5&amp;"生成成长"),3))*(VLOOKUP($B$5,标准坦克设计!$B$14:$K$20,9)/30))</f>
        <v>3.7949109415382143</v>
      </c>
      <c r="AF230" s="173">
        <f ca="1">(VLOOKUP(AF$72,INDIRECT($C$5&amp;"生成成长"),2))/((VLOOKUP($B230,INDIRECT($B$5&amp;"生成成长"),4))/(VLOOKUP(AF$72,INDIRECT($C$5&amp;"生成成长"),5))*(VLOOKUP($B$5,标准坦克设计!$B$24:$U$30,MATCH("对"&amp;LEFT($C$5,2)&amp;"输出",标准坦克设计!$B$23:$U$23,0)))*(VLOOKUP($B230,INDIRECT($B$5&amp;"生成成长"),3))*(VLOOKUP($B$5,标准坦克设计!$B$14:$K$20,9)/30))</f>
        <v>4.100832615964265</v>
      </c>
      <c r="AG230" s="173">
        <f ca="1">(VLOOKUP(AG$72,INDIRECT($C$5&amp;"生成成长"),2))/((VLOOKUP($B230,INDIRECT($B$5&amp;"生成成长"),4))/(VLOOKUP(AG$72,INDIRECT($C$5&amp;"生成成长"),5))*(VLOOKUP($B$5,标准坦克设计!$B$24:$U$30,MATCH("对"&amp;LEFT($C$5,2)&amp;"输出",标准坦克设计!$B$23:$U$23,0)))*(VLOOKUP($B230,INDIRECT($B$5&amp;"生成成长"),3))*(VLOOKUP($B$5,标准坦克设计!$B$14:$K$20,9)/30))</f>
        <v>4.4186117196316381</v>
      </c>
      <c r="AH230" s="173">
        <f ca="1">(VLOOKUP(AH$72,INDIRECT($C$5&amp;"生成成长"),2))/((VLOOKUP($B230,INDIRECT($B$5&amp;"生成成长"),4))/(VLOOKUP(AH$72,INDIRECT($C$5&amp;"生成成长"),5))*(VLOOKUP($B$5,标准坦克设计!$B$24:$U$30,MATCH("对"&amp;LEFT($C$5,2)&amp;"输出",标准坦克设计!$B$23:$U$23,0)))*(VLOOKUP($B230,INDIRECT($B$5&amp;"生成成长"),3))*(VLOOKUP($B$5,标准坦克设计!$B$14:$K$20,9)/30))</f>
        <v>4.7482482525403302</v>
      </c>
      <c r="AI230" s="173">
        <f ca="1">(VLOOKUP(AI$72,INDIRECT($C$5&amp;"生成成长"),2))/((VLOOKUP($B230,INDIRECT($B$5&amp;"生成成长"),4))/(VLOOKUP(AI$72,INDIRECT($C$5&amp;"生成成长"),5))*(VLOOKUP($B$5,标准坦克设计!$B$24:$U$30,MATCH("对"&amp;LEFT($C$5,2)&amp;"输出",标准坦克设计!$B$23:$U$23,0)))*(VLOOKUP($B230,INDIRECT($B$5&amp;"生成成长"),3))*(VLOOKUP($B$5,标准坦克设计!$B$14:$K$20,9)/30))</f>
        <v>3.3582611097266102</v>
      </c>
      <c r="AJ230" s="173">
        <f ca="1">(VLOOKUP(AJ$72,INDIRECT($C$5&amp;"生成成长"),2))/((VLOOKUP($B230,INDIRECT($B$5&amp;"生成成长"),4))/(VLOOKUP(AJ$72,INDIRECT($C$5&amp;"生成成长"),5))*(VLOOKUP($B$5,标准坦克设计!$B$24:$U$30,MATCH("对"&amp;LEFT($C$5,2)&amp;"输出",标准坦克设计!$B$23:$U$23,0)))*(VLOOKUP($B230,INDIRECT($B$5&amp;"生成成长"),3))*(VLOOKUP($B$5,标准坦克设计!$B$14:$K$20,9)/30))</f>
        <v>3.6758623519553617</v>
      </c>
      <c r="AK230" s="173">
        <f ca="1">(VLOOKUP(AK$72,INDIRECT($C$5&amp;"生成成长"),2))/((VLOOKUP($B230,INDIRECT($B$5&amp;"生成成长"),4))/(VLOOKUP(AK$72,INDIRECT($C$5&amp;"生成成长"),5))*(VLOOKUP($B$5,标准坦克设计!$B$24:$U$30,MATCH("对"&amp;LEFT($C$5,2)&amp;"输出",标准坦克设计!$B$23:$U$23,0)))*(VLOOKUP($B230,INDIRECT($B$5&amp;"生成成长"),3))*(VLOOKUP($B$5,标准坦克设计!$B$14:$K$20,9)/30))</f>
        <v>4.0078110835661125</v>
      </c>
      <c r="AL230" s="173">
        <f ca="1">(VLOOKUP(AL$72,INDIRECT($C$5&amp;"生成成长"),2))/((VLOOKUP($B230,INDIRECT($B$5&amp;"生成成长"),4))/(VLOOKUP(AL$72,INDIRECT($C$5&amp;"生成成长"),5))*(VLOOKUP($B$5,标准坦克设计!$B$24:$U$30,MATCH("对"&amp;LEFT($C$5,2)&amp;"输出",标准坦克设计!$B$23:$U$23,0)))*(VLOOKUP($B230,INDIRECT($B$5&amp;"生成成长"),3))*(VLOOKUP($B$5,标准坦克设计!$B$14:$K$20,9)/30))</f>
        <v>4.3541073045588581</v>
      </c>
      <c r="AM230" s="173">
        <f ca="1">(VLOOKUP(AM$72,INDIRECT($C$5&amp;"生成成长"),2))/((VLOOKUP($B230,INDIRECT($B$5&amp;"生成成长"),4))/(VLOOKUP(AM$72,INDIRECT($C$5&amp;"生成成长"),5))*(VLOOKUP($B$5,标准坦克设计!$B$24:$U$30,MATCH("对"&amp;LEFT($C$5,2)&amp;"输出",标准坦克设计!$B$23:$U$23,0)))*(VLOOKUP($B230,INDIRECT($B$5&amp;"生成成长"),3))*(VLOOKUP($B$5,标准坦克设计!$B$14:$K$20,9)/30))</f>
        <v>4.7147510149336016</v>
      </c>
      <c r="AN230" s="173">
        <f ca="1">(VLOOKUP(AN$72,INDIRECT($C$5&amp;"生成成长"),2))/((VLOOKUP($B230,INDIRECT($B$5&amp;"生成成长"),4))/(VLOOKUP(AN$72,INDIRECT($C$5&amp;"生成成长"),5))*(VLOOKUP($B$5,标准坦克设计!$B$24:$U$30,MATCH("对"&amp;LEFT($C$5,2)&amp;"输出",标准坦克设计!$B$23:$U$23,0)))*(VLOOKUP($B230,INDIRECT($B$5&amp;"生成成长"),3))*(VLOOKUP($B$5,标准坦克设计!$B$14:$K$20,9)/30))</f>
        <v>5.0897422146903422</v>
      </c>
      <c r="AO230" s="173">
        <f ca="1">(VLOOKUP(AO$72,INDIRECT($C$5&amp;"生成成长"),2))/((VLOOKUP($B230,INDIRECT($B$5&amp;"生成成长"),4))/(VLOOKUP(AO$72,INDIRECT($C$5&amp;"生成成长"),5))*(VLOOKUP($B$5,标准坦克设计!$B$24:$U$30,MATCH("对"&amp;LEFT($C$5,2)&amp;"输出",标准坦克设计!$B$23:$U$23,0)))*(VLOOKUP($B230,INDIRECT($B$5&amp;"生成成长"),3))*(VLOOKUP($B$5,标准坦克设计!$B$14:$K$20,9)/30))</f>
        <v>5.4790809038290806</v>
      </c>
      <c r="AP230" s="173">
        <f ca="1">(VLOOKUP(AP$72,INDIRECT($C$5&amp;"生成成长"),2))/((VLOOKUP($B230,INDIRECT($B$5&amp;"生成成长"),4))/(VLOOKUP(AP$72,INDIRECT($C$5&amp;"生成成长"),5))*(VLOOKUP($B$5,标准坦克设计!$B$24:$U$30,MATCH("对"&amp;LEFT($C$5,2)&amp;"输出",标准坦克设计!$B$23:$U$23,0)))*(VLOOKUP($B230,INDIRECT($B$5&amp;"生成成长"),3))*(VLOOKUP($B$5,标准坦克设计!$B$14:$K$20,9)/30))</f>
        <v>5.8827670823498135</v>
      </c>
      <c r="AQ230" s="173">
        <f ca="1">(VLOOKUP(AQ$72,INDIRECT($C$5&amp;"生成成长"),2))/((VLOOKUP($B230,INDIRECT($B$5&amp;"生成成长"),4))/(VLOOKUP(AQ$72,INDIRECT($C$5&amp;"生成成长"),5))*(VLOOKUP($B$5,标准坦克设计!$B$24:$U$30,MATCH("对"&amp;LEFT($C$5,2)&amp;"输出",标准坦克设计!$B$23:$U$23,0)))*(VLOOKUP($B230,INDIRECT($B$5&amp;"生成成长"),3))*(VLOOKUP($B$5,标准坦克设计!$B$14:$K$20,9)/30))</f>
        <v>6.3008007502525469</v>
      </c>
      <c r="AR230" s="173">
        <f ca="1">(VLOOKUP(AR$72,INDIRECT($C$5&amp;"生成成长"),2))/((VLOOKUP($B230,INDIRECT($B$5&amp;"生成成长"),4))/(VLOOKUP(AR$72,INDIRECT($C$5&amp;"生成成长"),5))*(VLOOKUP($B$5,标准坦克设计!$B$24:$U$30,MATCH("对"&amp;LEFT($C$5,2)&amp;"输出",标准坦克设计!$B$23:$U$23,0)))*(VLOOKUP($B230,INDIRECT($B$5&amp;"生成成长"),3))*(VLOOKUP($B$5,标准坦克设计!$B$14:$K$20,9)/30))</f>
        <v>6.7331819075372739</v>
      </c>
      <c r="AS230" s="173">
        <f ca="1">(VLOOKUP(AS$72,INDIRECT($C$5&amp;"生成成长"),2))/((VLOOKUP($B230,INDIRECT($B$5&amp;"生成成长"),4))/(VLOOKUP(AS$72,INDIRECT($C$5&amp;"生成成长"),5))*(VLOOKUP($B$5,标准坦克设计!$B$24:$U$30,MATCH("对"&amp;LEFT($C$5,2)&amp;"输出",标准坦克设计!$B$23:$U$23,0)))*(VLOOKUP($B230,INDIRECT($B$5&amp;"生成成长"),3))*(VLOOKUP($B$5,标准坦克设计!$B$14:$K$20,9)/30))</f>
        <v>7.1799105542039996</v>
      </c>
      <c r="AT230" s="173">
        <f ca="1">(VLOOKUP(AT$72,INDIRECT($C$5&amp;"生成成长"),2))/((VLOOKUP($B230,INDIRECT($B$5&amp;"生成成长"),4))/(VLOOKUP(AT$72,INDIRECT($C$5&amp;"生成成长"),5))*(VLOOKUP($B$5,标准坦克设计!$B$24:$U$30,MATCH("对"&amp;LEFT($C$5,2)&amp;"输出",标准坦克设计!$B$23:$U$23,0)))*(VLOOKUP($B230,INDIRECT($B$5&amp;"生成成长"),3))*(VLOOKUP($B$5,标准坦克设计!$B$14:$K$20,9)/30))</f>
        <v>7.6409866902527224</v>
      </c>
      <c r="AU230" s="173">
        <f ca="1">(VLOOKUP(AU$72,INDIRECT($C$5&amp;"生成成长"),2))/((VLOOKUP($B230,INDIRECT($B$5&amp;"生成成长"),4))/(VLOOKUP(AU$72,INDIRECT($C$5&amp;"生成成长"),5))*(VLOOKUP($B$5,标准坦克设计!$B$24:$U$30,MATCH("对"&amp;LEFT($C$5,2)&amp;"输出",标准坦克设计!$B$23:$U$23,0)))*(VLOOKUP($B230,INDIRECT($B$5&amp;"生成成长"),3))*(VLOOKUP($B$5,标准坦克设计!$B$14:$K$20,9)/30))</f>
        <v>8.1164103156834422</v>
      </c>
      <c r="AV230" s="173">
        <f ca="1">(VLOOKUP(AV$72,INDIRECT($C$5&amp;"生成成长"),2))/((VLOOKUP($B230,INDIRECT($B$5&amp;"生成成长"),4))/(VLOOKUP(AV$72,INDIRECT($C$5&amp;"生成成长"),5))*(VLOOKUP($B$5,标准坦克设计!$B$24:$U$30,MATCH("对"&amp;LEFT($C$5,2)&amp;"输出",标准坦克设计!$B$23:$U$23,0)))*(VLOOKUP($B230,INDIRECT($B$5&amp;"生成成长"),3))*(VLOOKUP($B$5,标准坦克设计!$B$14:$K$20,9)/30))</f>
        <v>0.82551422378068851</v>
      </c>
      <c r="AW230" s="173">
        <f ca="1">(VLOOKUP(AW$72,INDIRECT($C$5&amp;"生成成长"),2))/((VLOOKUP($B230,INDIRECT($B$5&amp;"生成成长"),4))/(VLOOKUP(AW$72,INDIRECT($C$5&amp;"生成成长"),5))*(VLOOKUP($B$5,标准坦克设计!$B$24:$U$30,MATCH("对"&amp;LEFT($C$5,2)&amp;"输出",标准坦克设计!$B$23:$U$23,0)))*(VLOOKUP($B230,INDIRECT($B$5&amp;"生成成长"),3))*(VLOOKUP($B$5,标准坦克设计!$B$14:$K$20,9)/30))</f>
        <v>0.94124273317597029</v>
      </c>
      <c r="AX230" s="173">
        <f ca="1">(VLOOKUP(AX$72,INDIRECT($C$5&amp;"生成成长"),2))/((VLOOKUP($B230,INDIRECT($B$5&amp;"生成成长"),4))/(VLOOKUP(AX$72,INDIRECT($C$5&amp;"生成成长"),5))*(VLOOKUP($B$5,标准坦克设计!$B$24:$U$30,MATCH("对"&amp;LEFT($C$5,2)&amp;"输出",标准坦克设计!$B$23:$U$23,0)))*(VLOOKUP($B230,INDIRECT($B$5&amp;"生成成长"),3))*(VLOOKUP($B$5,标准坦克设计!$B$14:$K$20,9)/30))</f>
        <v>1.0645599972856967</v>
      </c>
      <c r="AY230" s="173">
        <f ca="1">(VLOOKUP(AY$72,INDIRECT($C$5&amp;"生成成长"),2))/((VLOOKUP($B230,INDIRECT($B$5&amp;"生成成长"),4))/(VLOOKUP(AY$72,INDIRECT($C$5&amp;"生成成长"),5))*(VLOOKUP($B$5,标准坦克设计!$B$24:$U$30,MATCH("对"&amp;LEFT($C$5,2)&amp;"输出",标准坦克设计!$B$23:$U$23,0)))*(VLOOKUP($B230,INDIRECT($B$5&amp;"生成成长"),3))*(VLOOKUP($B$5,标准坦克设计!$B$14:$K$20,9)/30))</f>
        <v>1.1954660161098678</v>
      </c>
      <c r="AZ230" s="173">
        <f ca="1">(VLOOKUP(AZ$72,INDIRECT($C$5&amp;"生成成长"),2))/((VLOOKUP($B230,INDIRECT($B$5&amp;"生成成长"),4))/(VLOOKUP(AZ$72,INDIRECT($C$5&amp;"生成成长"),5))*(VLOOKUP($B$5,标准坦克设计!$B$24:$U$30,MATCH("对"&amp;LEFT($C$5,2)&amp;"输出",标准坦克设计!$B$23:$U$23,0)))*(VLOOKUP($B230,INDIRECT($B$5&amp;"生成成长"),3))*(VLOOKUP($B$5,标准坦克设计!$B$14:$K$20,9)/30))</f>
        <v>1.333960789648484</v>
      </c>
      <c r="BA230" s="173">
        <f ca="1">(VLOOKUP(BA$72,INDIRECT($C$5&amp;"生成成长"),2))/((VLOOKUP($B230,INDIRECT($B$5&amp;"生成成长"),4))/(VLOOKUP(BA$72,INDIRECT($C$5&amp;"生成成长"),5))*(VLOOKUP($B$5,标准坦克设计!$B$24:$U$30,MATCH("对"&amp;LEFT($C$5,2)&amp;"输出",标准坦克设计!$B$23:$U$23,0)))*(VLOOKUP($B230,INDIRECT($B$5&amp;"生成成长"),3))*(VLOOKUP($B$5,标准坦克设计!$B$14:$K$20,9)/30))</f>
        <v>1.4800443179015446</v>
      </c>
      <c r="BB230" s="173">
        <f ca="1">(VLOOKUP(BB$72,INDIRECT($C$5&amp;"生成成长"),2))/((VLOOKUP($B230,INDIRECT($B$5&amp;"生成成长"),4))/(VLOOKUP(BB$72,INDIRECT($C$5&amp;"生成成长"),5))*(VLOOKUP($B$5,标准坦克设计!$B$24:$U$30,MATCH("对"&amp;LEFT($C$5,2)&amp;"输出",标准坦克设计!$B$23:$U$23,0)))*(VLOOKUP($B230,INDIRECT($B$5&amp;"生成成长"),3))*(VLOOKUP($B$5,标准坦克设计!$B$14:$K$20,9)/30))</f>
        <v>1.63371660086905</v>
      </c>
      <c r="BC230" s="173">
        <f ca="1">(VLOOKUP(BC$72,INDIRECT($C$5&amp;"生成成长"),2))/((VLOOKUP($B230,INDIRECT($B$5&amp;"生成成长"),4))/(VLOOKUP(BC$72,INDIRECT($C$5&amp;"生成成长"),5))*(VLOOKUP($B$5,标准坦克设计!$B$24:$U$30,MATCH("对"&amp;LEFT($C$5,2)&amp;"输出",标准坦克设计!$B$23:$U$23,0)))*(VLOOKUP($B230,INDIRECT($B$5&amp;"生成成长"),3))*(VLOOKUP($B$5,标准坦克设计!$B$14:$K$20,9)/30))</f>
        <v>1.7949776385509999</v>
      </c>
      <c r="BD230" s="173">
        <f ca="1">(VLOOKUP(BD$72,INDIRECT($C$5&amp;"生成成长"),2))/((VLOOKUP($B230,INDIRECT($B$5&amp;"生成成长"),4))/(VLOOKUP(BD$72,INDIRECT($C$5&amp;"生成成长"),5))*(VLOOKUP($B$5,标准坦克设计!$B$24:$U$30,MATCH("对"&amp;LEFT($C$5,2)&amp;"输出",标准坦克设计!$B$23:$U$23,0)))*(VLOOKUP($B230,INDIRECT($B$5&amp;"生成成长"),3))*(VLOOKUP($B$5,标准坦克设计!$B$14:$K$20,9)/30))</f>
        <v>1.9854672393128034</v>
      </c>
      <c r="BE230" s="173">
        <f ca="1">(VLOOKUP(BE$72,INDIRECT($C$5&amp;"生成成长"),2))/((VLOOKUP($B230,INDIRECT($B$5&amp;"生成成长"),4))/(VLOOKUP(BE$72,INDIRECT($C$5&amp;"生成成长"),5))*(VLOOKUP($B$5,标准坦克设计!$B$24:$U$30,MATCH("对"&amp;LEFT($C$5,2)&amp;"输出",标准坦克设计!$B$23:$U$23,0)))*(VLOOKUP($B230,INDIRECT($B$5&amp;"生成成长"),3))*(VLOOKUP($B$5,标准坦克设计!$B$14:$K$20,9)/30))</f>
        <v>2.1855613577600757</v>
      </c>
      <c r="BF230" s="173">
        <f ca="1">(VLOOKUP(BF$72,INDIRECT($C$5&amp;"生成成长"),2))/((VLOOKUP($B230,INDIRECT($B$5&amp;"生成成长"),4))/(VLOOKUP(BF$72,INDIRECT($C$5&amp;"生成成长"),5))*(VLOOKUP($B$5,标准坦克设计!$B$24:$U$30,MATCH("对"&amp;LEFT($C$5,2)&amp;"输出",标准坦克设计!$B$23:$U$23,0)))*(VLOOKUP($B230,INDIRECT($B$5&amp;"生成成长"),3))*(VLOOKUP($B$5,标准坦克设计!$B$14:$K$20,9)/30))</f>
        <v>2.3952599938928181</v>
      </c>
      <c r="BG230" s="173">
        <f ca="1">(VLOOKUP(BG$72,INDIRECT($C$5&amp;"生成成长"),2))/((VLOOKUP($B230,INDIRECT($B$5&amp;"生成成长"),4))/(VLOOKUP(BG$72,INDIRECT($C$5&amp;"生成成长"),5))*(VLOOKUP($B$5,标准坦克设计!$B$24:$U$30,MATCH("对"&amp;LEFT($C$5,2)&amp;"输出",标准坦克设计!$B$23:$U$23,0)))*(VLOOKUP($B230,INDIRECT($B$5&amp;"生成成长"),3))*(VLOOKUP($B$5,标准坦克设计!$B$14:$K$20,9)/30))</f>
        <v>2.6145631477110287</v>
      </c>
      <c r="BH230" s="173">
        <f ca="1">(VLOOKUP(BH$72,INDIRECT($C$5&amp;"生成成长"),2))/((VLOOKUP($B230,INDIRECT($B$5&amp;"生成成长"),4))/(VLOOKUP(BH$72,INDIRECT($C$5&amp;"生成成长"),5))*(VLOOKUP($B$5,标准坦克设计!$B$24:$U$30,MATCH("对"&amp;LEFT($C$5,2)&amp;"输出",标准坦克设计!$B$23:$U$23,0)))*(VLOOKUP($B230,INDIRECT($B$5&amp;"生成成长"),3))*(VLOOKUP($B$5,标准坦克设计!$B$14:$K$20,9)/30))</f>
        <v>1.2637648085398703</v>
      </c>
      <c r="BI230" s="173">
        <f ca="1">(VLOOKUP(BI$72,INDIRECT($C$5&amp;"生成成长"),2))/((VLOOKUP($B230,INDIRECT($B$5&amp;"生成成长"),4))/(VLOOKUP(BI$72,INDIRECT($C$5&amp;"生成成长"),5))*(VLOOKUP($B$5,标准坦克设计!$B$24:$U$30,MATCH("对"&amp;LEFT($C$5,2)&amp;"输出",标准坦克设计!$B$23:$U$23,0)))*(VLOOKUP($B230,INDIRECT($B$5&amp;"生成成长"),3))*(VLOOKUP($B$5,标准坦克设计!$B$14:$K$20,9)/30))</f>
        <v>1.4243736876135478</v>
      </c>
      <c r="BJ230" s="173">
        <f ca="1">(VLOOKUP(BJ$72,INDIRECT($C$5&amp;"生成成长"),2))/((VLOOKUP($B230,INDIRECT($B$5&amp;"生成成长"),4))/(VLOOKUP(BJ$72,INDIRECT($C$5&amp;"生成成长"),5))*(VLOOKUP($B$5,标准坦克设计!$B$24:$U$30,MATCH("对"&amp;LEFT($C$5,2)&amp;"输出",标准坦克设计!$B$23:$U$23,0)))*(VLOOKUP($B230,INDIRECT($B$5&amp;"生成成长"),3))*(VLOOKUP($B$5,标准坦克设计!$B$14:$K$20,9)/30))</f>
        <v>1.5945870843726941</v>
      </c>
      <c r="BK230" s="173">
        <f ca="1">(VLOOKUP(BK$72,INDIRECT($C$5&amp;"生成成长"),2))/((VLOOKUP($B230,INDIRECT($B$5&amp;"生成成长"),4))/(VLOOKUP(BK$72,INDIRECT($C$5&amp;"生成成长"),5))*(VLOOKUP($B$5,标准坦克设计!$B$24:$U$30,MATCH("对"&amp;LEFT($C$5,2)&amp;"输出",标准坦克设计!$B$23:$U$23,0)))*(VLOOKUP($B230,INDIRECT($B$5&amp;"生成成长"),3))*(VLOOKUP($B$5,标准坦克设计!$B$14:$K$20,9)/30))</f>
        <v>1.7744049988173101</v>
      </c>
      <c r="BL230" s="173">
        <f ca="1">(VLOOKUP(BL$72,INDIRECT($C$5&amp;"生成成长"),2))/((VLOOKUP($B230,INDIRECT($B$5&amp;"生成成长"),4))/(VLOOKUP(BL$72,INDIRECT($C$5&amp;"生成成长"),5))*(VLOOKUP($B$5,标准坦克设计!$B$24:$U$30,MATCH("对"&amp;LEFT($C$5,2)&amp;"输出",标准坦克设计!$B$23:$U$23,0)))*(VLOOKUP($B230,INDIRECT($B$5&amp;"生成成长"),3))*(VLOOKUP($B$5,标准坦克设计!$B$14:$K$20,9)/30))</f>
        <v>1.9638274309473951</v>
      </c>
      <c r="BM230" s="173">
        <f ca="1">(VLOOKUP(BM$72,INDIRECT($C$5&amp;"生成成长"),2))/((VLOOKUP($B230,INDIRECT($B$5&amp;"生成成长"),4))/(VLOOKUP(BM$72,INDIRECT($C$5&amp;"生成成长"),5))*(VLOOKUP($B$5,标准坦克设计!$B$24:$U$30,MATCH("对"&amp;LEFT($C$5,2)&amp;"输出",标准坦克设计!$B$23:$U$23,0)))*(VLOOKUP($B230,INDIRECT($B$5&amp;"生成成长"),3))*(VLOOKUP($B$5,标准坦克设计!$B$14:$K$20,9)/30))</f>
        <v>2.1628543807629486</v>
      </c>
      <c r="BN230" s="173">
        <f ca="1">(VLOOKUP(BN$72,INDIRECT($C$5&amp;"生成成长"),2))/((VLOOKUP($B230,INDIRECT($B$5&amp;"生成成长"),4))/(VLOOKUP(BN$72,INDIRECT($C$5&amp;"生成成长"),5))*(VLOOKUP($B$5,标准坦克设计!$B$24:$U$30,MATCH("对"&amp;LEFT($C$5,2)&amp;"输出",标准坦克设计!$B$23:$U$23,0)))*(VLOOKUP($B230,INDIRECT($B$5&amp;"生成成长"),3))*(VLOOKUP($B$5,标准坦克设计!$B$14:$K$20,9)/30))</f>
        <v>2.3714858482639714</v>
      </c>
      <c r="BO230" s="173">
        <f ca="1">(VLOOKUP(BO$72,INDIRECT($C$5&amp;"生成成长"),2))/((VLOOKUP($B230,INDIRECT($B$5&amp;"生成成长"),4))/(VLOOKUP(BO$72,INDIRECT($C$5&amp;"生成成长"),5))*(VLOOKUP($B$5,标准坦克设计!$B$24:$U$30,MATCH("对"&amp;LEFT($C$5,2)&amp;"输出",标准坦克设计!$B$23:$U$23,0)))*(VLOOKUP($B230,INDIRECT($B$5&amp;"生成成长"),3))*(VLOOKUP($B$5,标准坦克设计!$B$14:$K$20,9)/30))</f>
        <v>2.5897218334504633</v>
      </c>
      <c r="BP230" s="173">
        <f ca="1">(VLOOKUP(BP$72,INDIRECT($C$5&amp;"生成成长"),2))/((VLOOKUP($B230,INDIRECT($B$5&amp;"生成成长"),4))/(VLOOKUP(BP$72,INDIRECT($C$5&amp;"生成成长"),5))*(VLOOKUP($B$5,标准坦克设计!$B$24:$U$30,MATCH("对"&amp;LEFT($C$5,2)&amp;"输出",标准坦克设计!$B$23:$U$23,0)))*(VLOOKUP($B230,INDIRECT($B$5&amp;"生成成长"),3))*(VLOOKUP($B$5,标准坦克设计!$B$14:$K$20,9)/30))</f>
        <v>2.8175623363224247</v>
      </c>
      <c r="BQ230" s="173">
        <f ca="1">(VLOOKUP(BQ$72,INDIRECT($C$5&amp;"生成成长"),2))/((VLOOKUP($B230,INDIRECT($B$5&amp;"生成成长"),4))/(VLOOKUP(BQ$72,INDIRECT($C$5&amp;"生成成长"),5))*(VLOOKUP($B$5,标准坦克设计!$B$24:$U$30,MATCH("对"&amp;LEFT($C$5,2)&amp;"输出",标准坦克设计!$B$23:$U$23,0)))*(VLOOKUP($B230,INDIRECT($B$5&amp;"生成成长"),3))*(VLOOKUP($B$5,标准坦克设计!$B$14:$K$20,9)/30))</f>
        <v>3.0550073568798539</v>
      </c>
      <c r="BR230" s="173">
        <f ca="1">(VLOOKUP(BR$72,INDIRECT($C$5&amp;"生成成长"),2))/((VLOOKUP($B230,INDIRECT($B$5&amp;"生成成长"),4))/(VLOOKUP(BR$72,INDIRECT($C$5&amp;"生成成长"),5))*(VLOOKUP($B$5,标准坦克设计!$B$24:$U$30,MATCH("对"&amp;LEFT($C$5,2)&amp;"输出",标准坦克设计!$B$23:$U$23,0)))*(VLOOKUP($B230,INDIRECT($B$5&amp;"生成成长"),3))*(VLOOKUP($B$5,标准坦克设计!$B$14:$K$20,9)/30))</f>
        <v>3.3300997152784753</v>
      </c>
      <c r="BS230" s="173">
        <f ca="1">(VLOOKUP(BS$72,INDIRECT($C$5&amp;"生成成长"),2))/((VLOOKUP($B230,INDIRECT($B$5&amp;"生成成长"),4))/(VLOOKUP(BS$72,INDIRECT($C$5&amp;"生成成长"),5))*(VLOOKUP($B$5,标准坦克设计!$B$24:$U$30,MATCH("对"&amp;LEFT($C$5,2)&amp;"输出",标准坦克设计!$B$23:$U$23,0)))*(VLOOKUP($B230,INDIRECT($B$5&amp;"生成成长"),3))*(VLOOKUP($B$5,标准坦克设计!$B$14:$K$20,9)/30))</f>
        <v>3.617049502918416</v>
      </c>
      <c r="BT230" s="173">
        <f ca="1">(VLOOKUP(BT$72,INDIRECT($C$5&amp;"生成成长"),2))/((VLOOKUP($B230,INDIRECT($B$5&amp;"生成成长"),4))/(VLOOKUP(BT$72,INDIRECT($C$5&amp;"生成成长"),5))*(VLOOKUP($B$5,标准坦克设计!$B$24:$U$30,MATCH("对"&amp;LEFT($C$5,2)&amp;"输出",标准坦克设计!$B$23:$U$23,0)))*(VLOOKUP($B230,INDIRECT($B$5&amp;"生成成长"),3))*(VLOOKUP($B$5,标准坦克设计!$B$14:$K$20,9)/30))</f>
        <v>3.9158567197996765</v>
      </c>
      <c r="BU230" s="173">
        <f ca="1">(VLOOKUP(BU$72,INDIRECT($C$5&amp;"生成成长"),2))/((VLOOKUP($B230,INDIRECT($B$5&amp;"生成成长"),4))/(VLOOKUP(BU$72,INDIRECT($C$5&amp;"生成成长"),5))*(VLOOKUP($B$5,标准坦克设计!$B$24:$U$30,MATCH("对"&amp;LEFT($C$5,2)&amp;"输出",标准坦克设计!$B$23:$U$23,0)))*(VLOOKUP($B230,INDIRECT($B$5&amp;"生成成长"),3))*(VLOOKUP($B$5,标准坦克设计!$B$14:$K$20,9)/30))</f>
        <v>4.226521365922256</v>
      </c>
      <c r="BV230" s="173">
        <f ca="1">(VLOOKUP(BV$72,INDIRECT($C$5&amp;"生成成长"),2))/((VLOOKUP($B230,INDIRECT($B$5&amp;"生成成长"),4))/(VLOOKUP(BV$72,INDIRECT($C$5&amp;"生成成长"),5))*(VLOOKUP($B$5,标准坦克设计!$B$24:$U$30,MATCH("对"&amp;LEFT($C$5,2)&amp;"输出",标准坦克设计!$B$23:$U$23,0)))*(VLOOKUP($B230,INDIRECT($B$5&amp;"生成成长"),3))*(VLOOKUP($B$5,标准坦克设计!$B$14:$K$20,9)/30))</f>
        <v>4.5490434412861571</v>
      </c>
      <c r="BW230" s="173">
        <f ca="1">(VLOOKUP(BW$72,INDIRECT($C$5&amp;"生成成长"),2))/((VLOOKUP($B230,INDIRECT($B$5&amp;"生成成长"),4))/(VLOOKUP(BW$72,INDIRECT($C$5&amp;"生成成长"),5))*(VLOOKUP($B$5,标准坦克设计!$B$24:$U$30,MATCH("对"&amp;LEFT($C$5,2)&amp;"输出",标准坦克设计!$B$23:$U$23,0)))*(VLOOKUP($B230,INDIRECT($B$5&amp;"生成成长"),3))*(VLOOKUP($B$5,标准坦克设计!$B$14:$K$20,9)/30))</f>
        <v>2.0732122156985708</v>
      </c>
      <c r="BX230" s="173">
        <f ca="1">(VLOOKUP(BX$72,INDIRECT($C$5&amp;"生成成长"),2))/((VLOOKUP($B230,INDIRECT($B$5&amp;"生成成长"),4))/(VLOOKUP(BX$72,INDIRECT($C$5&amp;"生成成长"),5))*(VLOOKUP($B$5,标准坦克设计!$B$24:$U$30,MATCH("对"&amp;LEFT($C$5,2)&amp;"输出",标准坦克设计!$B$23:$U$23,0)))*(VLOOKUP($B230,INDIRECT($B$5&amp;"生成成长"),3))*(VLOOKUP($B$5,标准坦克设计!$B$14:$K$20,9)/30))</f>
        <v>2.3008748571319115</v>
      </c>
      <c r="BY230" s="173">
        <f ca="1">(VLOOKUP(BY$72,INDIRECT($C$5&amp;"生成成长"),2))/((VLOOKUP($B230,INDIRECT($B$5&amp;"生成成长"),4))/(VLOOKUP(BY$72,INDIRECT($C$5&amp;"生成成长"),5))*(VLOOKUP($B$5,标准坦克设计!$B$24:$U$30,MATCH("对"&amp;LEFT($C$5,2)&amp;"输出",标准坦克设计!$B$23:$U$23,0)))*(VLOOKUP($B230,INDIRECT($B$5&amp;"生成成长"),3))*(VLOOKUP($B$5,标准坦克设计!$B$14:$K$20,9)/30))</f>
        <v>2.5403949278065729</v>
      </c>
      <c r="BZ230" s="173">
        <f ca="1">(VLOOKUP(BZ$72,INDIRECT($C$5&amp;"生成成长"),2))/((VLOOKUP($B230,INDIRECT($B$5&amp;"生成成长"),4))/(VLOOKUP(BZ$72,INDIRECT($C$5&amp;"生成成长"),5))*(VLOOKUP($B$5,标准坦克设计!$B$24:$U$30,MATCH("对"&amp;LEFT($C$5,2)&amp;"输出",标准坦克设计!$B$23:$U$23,0)))*(VLOOKUP($B230,INDIRECT($B$5&amp;"生成成长"),3))*(VLOOKUP($B$5,标准坦克设计!$B$14:$K$20,9)/30))</f>
        <v>2.7917724277225533</v>
      </c>
      <c r="CA230" s="173">
        <f ca="1">(VLOOKUP(CA$72,INDIRECT($C$5&amp;"生成成长"),2))/((VLOOKUP($B230,INDIRECT($B$5&amp;"生成成长"),4))/(VLOOKUP(CA$72,INDIRECT($C$5&amp;"生成成长"),5))*(VLOOKUP($B$5,标准坦克设计!$B$24:$U$30,MATCH("对"&amp;LEFT($C$5,2)&amp;"输出",标准坦克设计!$B$23:$U$23,0)))*(VLOOKUP($B230,INDIRECT($B$5&amp;"生成成长"),3))*(VLOOKUP($B$5,标准坦克设计!$B$14:$K$20,9)/30))</f>
        <v>3.0550073568798539</v>
      </c>
      <c r="CB230" s="173">
        <f ca="1">(VLOOKUP(CB$72,INDIRECT($C$5&amp;"生成成长"),2))/((VLOOKUP($B230,INDIRECT($B$5&amp;"生成成长"),4))/(VLOOKUP(CB$72,INDIRECT($C$5&amp;"生成成长"),5))*(VLOOKUP($B$5,标准坦克设计!$B$24:$U$30,MATCH("对"&amp;LEFT($C$5,2)&amp;"输出",标准坦克设计!$B$23:$U$23,0)))*(VLOOKUP($B230,INDIRECT($B$5&amp;"生成成长"),3))*(VLOOKUP($B$5,标准坦克设计!$B$14:$K$20,9)/30))</f>
        <v>3.3300997152784753</v>
      </c>
      <c r="CC230" s="173">
        <f ca="1">(VLOOKUP(CC$72,INDIRECT($C$5&amp;"生成成长"),2))/((VLOOKUP($B230,INDIRECT($B$5&amp;"生成成长"),4))/(VLOOKUP(CC$72,INDIRECT($C$5&amp;"生成成长"),5))*(VLOOKUP($B$5,标准坦克设计!$B$24:$U$30,MATCH("对"&amp;LEFT($C$5,2)&amp;"输出",标准坦克设计!$B$23:$U$23,0)))*(VLOOKUP($B230,INDIRECT($B$5&amp;"生成成长"),3))*(VLOOKUP($B$5,标准坦克设计!$B$14:$K$20,9)/30))</f>
        <v>3.617049502918416</v>
      </c>
      <c r="CD230" s="173">
        <f ca="1">(VLOOKUP(CD$72,INDIRECT($C$5&amp;"生成成长"),2))/((VLOOKUP($B230,INDIRECT($B$5&amp;"生成成长"),4))/(VLOOKUP(CD$72,INDIRECT($C$5&amp;"生成成长"),5))*(VLOOKUP($B$5,标准坦克设计!$B$24:$U$30,MATCH("对"&amp;LEFT($C$5,2)&amp;"输出",标准坦克设计!$B$23:$U$23,0)))*(VLOOKUP($B230,INDIRECT($B$5&amp;"生成成长"),3))*(VLOOKUP($B$5,标准坦克设计!$B$14:$K$20,9)/30))</f>
        <v>3.9158567197996765</v>
      </c>
      <c r="CE230" s="173">
        <f ca="1">(VLOOKUP(CE$72,INDIRECT($C$5&amp;"生成成长"),2))/((VLOOKUP($B230,INDIRECT($B$5&amp;"生成成长"),4))/(VLOOKUP(CE$72,INDIRECT($C$5&amp;"生成成长"),5))*(VLOOKUP($B$5,标准坦克设计!$B$24:$U$30,MATCH("对"&amp;LEFT($C$5,2)&amp;"输出",标准坦克设计!$B$23:$U$23,0)))*(VLOOKUP($B230,INDIRECT($B$5&amp;"生成成长"),3))*(VLOOKUP($B$5,标准坦克设计!$B$14:$K$20,9)/30))</f>
        <v>4.226521365922256</v>
      </c>
      <c r="CF230" s="173">
        <f ca="1">(VLOOKUP(CF$72,INDIRECT($C$5&amp;"生成成长"),2))/((VLOOKUP($B230,INDIRECT($B$5&amp;"生成成长"),4))/(VLOOKUP(CF$72,INDIRECT($C$5&amp;"生成成长"),5))*(VLOOKUP($B$5,标准坦克设计!$B$24:$U$30,MATCH("对"&amp;LEFT($C$5,2)&amp;"输出",标准坦克设计!$B$23:$U$23,0)))*(VLOOKUP($B230,INDIRECT($B$5&amp;"生成成长"),3))*(VLOOKUP($B$5,标准坦克设计!$B$14:$K$20,9)/30))</f>
        <v>4.5490434412861571</v>
      </c>
      <c r="CG230" s="173">
        <f ca="1">(VLOOKUP(CG$72,INDIRECT($C$5&amp;"生成成长"),2))/((VLOOKUP($B230,INDIRECT($B$5&amp;"生成成长"),4))/(VLOOKUP(CG$72,INDIRECT($C$5&amp;"生成成长"),5))*(VLOOKUP($B$5,标准坦克设计!$B$24:$U$30,MATCH("对"&amp;LEFT($C$5,2)&amp;"输出",标准坦克设计!$B$23:$U$23,0)))*(VLOOKUP($B230,INDIRECT($B$5&amp;"生成成长"),3))*(VLOOKUP($B$5,标准坦克设计!$B$14:$K$20,9)/30))</f>
        <v>4.8834229458913763</v>
      </c>
      <c r="CH230" s="173">
        <f ca="1">(VLOOKUP(CH$72,INDIRECT($C$5&amp;"生成成长"),2))/((VLOOKUP($B230,INDIRECT($B$5&amp;"生成成长"),4))/(VLOOKUP(CH$72,INDIRECT($C$5&amp;"生成成长"),5))*(VLOOKUP($B$5,标准坦克设计!$B$24:$U$30,MATCH("对"&amp;LEFT($C$5,2)&amp;"输出",标准坦克设计!$B$23:$U$23,0)))*(VLOOKUP($B230,INDIRECT($B$5&amp;"生成成长"),3))*(VLOOKUP($B$5,标准坦克设计!$B$14:$K$20,9)/30))</f>
        <v>5.229659879737917</v>
      </c>
      <c r="CI230" s="173">
        <f ca="1">(VLOOKUP(CI$72,INDIRECT($C$5&amp;"生成成长"),2))/((VLOOKUP($B230,INDIRECT($B$5&amp;"生成成长"),4))/(VLOOKUP(CI$72,INDIRECT($C$5&amp;"生成成长"),5))*(VLOOKUP($B$5,标准坦克设计!$B$24:$U$30,MATCH("对"&amp;LEFT($C$5,2)&amp;"输出",标准坦克设计!$B$23:$U$23,0)))*(VLOOKUP($B230,INDIRECT($B$5&amp;"生成成长"),3))*(VLOOKUP($B$5,标准坦克设计!$B$14:$K$20,9)/30))</f>
        <v>5.6242158377428346</v>
      </c>
      <c r="CJ230" s="173">
        <f ca="1">(VLOOKUP(CJ$72,INDIRECT($C$5&amp;"生成成长"),2))/((VLOOKUP($B230,INDIRECT($B$5&amp;"生成成长"),4))/(VLOOKUP(CJ$72,INDIRECT($C$5&amp;"生成成长"),5))*(VLOOKUP($B$5,标准坦克设计!$B$24:$U$30,MATCH("对"&amp;LEFT($C$5,2)&amp;"输出",标准坦克设计!$B$23:$U$23,0)))*(VLOOKUP($B230,INDIRECT($B$5&amp;"生成成长"),3))*(VLOOKUP($B$5,标准坦克设计!$B$14:$K$20,9)/30))</f>
        <v>6.0331192851297502</v>
      </c>
      <c r="CK230" s="173">
        <f ca="1">(VLOOKUP(CK$72,INDIRECT($C$5&amp;"生成成长"),2))/((VLOOKUP($B230,INDIRECT($B$5&amp;"生成成长"),4))/(VLOOKUP(CK$72,INDIRECT($C$5&amp;"生成成长"),5))*(VLOOKUP($B$5,标准坦克设计!$B$24:$U$30,MATCH("对"&amp;LEFT($C$5,2)&amp;"输出",标准坦克设计!$B$23:$U$23,0)))*(VLOOKUP($B230,INDIRECT($B$5&amp;"生成成长"),3))*(VLOOKUP($B$5,标准坦克设计!$B$14:$K$20,9)/30))</f>
        <v>6.4563702218986618</v>
      </c>
      <c r="CL230" s="173">
        <f ca="1">(VLOOKUP(CL$72,INDIRECT($C$5&amp;"生成成长"),2))/((VLOOKUP($B230,INDIRECT($B$5&amp;"生成成长"),4))/(VLOOKUP(CL$72,INDIRECT($C$5&amp;"生成成长"),5))*(VLOOKUP($B$5,标准坦克设计!$B$24:$U$30,MATCH("对"&amp;LEFT($C$5,2)&amp;"输出",标准坦克设计!$B$23:$U$23,0)))*(VLOOKUP($B230,INDIRECT($B$5&amp;"生成成长"),3))*(VLOOKUP($B$5,标准坦克设计!$B$14:$K$20,9)/30))</f>
        <v>6.8939686480495714</v>
      </c>
      <c r="CM230" s="173">
        <f ca="1">(VLOOKUP(CM$72,INDIRECT($C$5&amp;"生成成长"),2))/((VLOOKUP($B230,INDIRECT($B$5&amp;"生成成长"),4))/(VLOOKUP(CM$72,INDIRECT($C$5&amp;"生成成长"),5))*(VLOOKUP($B$5,标准坦克设计!$B$24:$U$30,MATCH("对"&amp;LEFT($C$5,2)&amp;"输出",标准坦克设计!$B$23:$U$23,0)))*(VLOOKUP($B230,INDIRECT($B$5&amp;"生成成长"),3))*(VLOOKUP($B$5,标准坦克设计!$B$14:$K$20,9)/30))</f>
        <v>7.3459145635824781</v>
      </c>
      <c r="CN230" s="173">
        <f ca="1">(VLOOKUP(CN$72,INDIRECT($C$5&amp;"生成成长"),2))/((VLOOKUP($B230,INDIRECT($B$5&amp;"生成成长"),4))/(VLOOKUP(CN$72,INDIRECT($C$5&amp;"生成成长"),5))*(VLOOKUP($B$5,标准坦克设计!$B$24:$U$30,MATCH("对"&amp;LEFT($C$5,2)&amp;"输出",标准坦克设计!$B$23:$U$23,0)))*(VLOOKUP($B230,INDIRECT($B$5&amp;"生成成长"),3))*(VLOOKUP($B$5,标准坦克设计!$B$14:$K$20,9)/30))</f>
        <v>7.8122079684973809</v>
      </c>
      <c r="CO230" s="173">
        <f ca="1">(VLOOKUP(CO$72,INDIRECT($C$5&amp;"生成成长"),2))/((VLOOKUP($B230,INDIRECT($B$5&amp;"生成成长"),4))/(VLOOKUP(CO$72,INDIRECT($C$5&amp;"生成成长"),5))*(VLOOKUP($B$5,标准坦克设计!$B$24:$U$30,MATCH("对"&amp;LEFT($C$5,2)&amp;"输出",标准坦克设计!$B$23:$U$23,0)))*(VLOOKUP($B230,INDIRECT($B$5&amp;"生成成长"),3))*(VLOOKUP($B$5,标准坦克设计!$B$14:$K$20,9)/30))</f>
        <v>3.5008466963534808</v>
      </c>
      <c r="CP230" s="173">
        <f ca="1">(VLOOKUP(CP$72,INDIRECT($C$5&amp;"生成成长"),2))/((VLOOKUP($B230,INDIRECT($B$5&amp;"生成成长"),4))/(VLOOKUP(CP$72,INDIRECT($C$5&amp;"生成成长"),5))*(VLOOKUP($B$5,标准坦克设计!$B$24:$U$30,MATCH("对"&amp;LEFT($C$5,2)&amp;"输出",标准坦克设计!$B$23:$U$23,0)))*(VLOOKUP($B230,INDIRECT($B$5&amp;"生成成长"),3))*(VLOOKUP($B$5,标准坦克设计!$B$14:$K$20,9)/30))</f>
        <v>3.8249695246649598</v>
      </c>
      <c r="CQ230" s="173">
        <f ca="1">(VLOOKUP(CQ$72,INDIRECT($C$5&amp;"生成成长"),2))/((VLOOKUP($B230,INDIRECT($B$5&amp;"生成成长"),4))/(VLOOKUP(CQ$72,INDIRECT($C$5&amp;"生成成长"),5))*(VLOOKUP($B$5,标准坦克设计!$B$24:$U$30,MATCH("对"&amp;LEFT($C$5,2)&amp;"输出",标准坦克设计!$B$23:$U$23,0)))*(VLOOKUP($B230,INDIRECT($B$5&amp;"生成成长"),3))*(VLOOKUP($B$5,标准坦克设计!$B$14:$K$20,9)/30))</f>
        <v>4.1634398423584349</v>
      </c>
      <c r="CR230" s="173">
        <f ca="1">(VLOOKUP(CR$72,INDIRECT($C$5&amp;"生成成长"),2))/((VLOOKUP($B230,INDIRECT($B$5&amp;"生成成长"),4))/(VLOOKUP(CR$72,INDIRECT($C$5&amp;"生成成长"),5))*(VLOOKUP($B$5,标准坦克设计!$B$24:$U$30,MATCH("对"&amp;LEFT($C$5,2)&amp;"输出",标准坦克设计!$B$23:$U$23,0)))*(VLOOKUP($B230,INDIRECT($B$5&amp;"生成成长"),3))*(VLOOKUP($B$5,标准坦克设计!$B$14:$K$20,9)/30))</f>
        <v>4.5162576494339071</v>
      </c>
      <c r="CS230" s="173">
        <f ca="1">(VLOOKUP(CS$72,INDIRECT($C$5&amp;"生成成长"),2))/((VLOOKUP($B230,INDIRECT($B$5&amp;"生成成长"),4))/(VLOOKUP(CS$72,INDIRECT($C$5&amp;"生成成长"),5))*(VLOOKUP($B$5,标准坦克设计!$B$24:$U$30,MATCH("对"&amp;LEFT($C$5,2)&amp;"输出",标准坦克设计!$B$23:$U$23,0)))*(VLOOKUP($B230,INDIRECT($B$5&amp;"生成成长"),3))*(VLOOKUP($B$5,标准坦克设计!$B$14:$K$20,9)/30))</f>
        <v>4.8834229458913763</v>
      </c>
      <c r="CT230" s="173">
        <f ca="1">(VLOOKUP(CT$72,INDIRECT($C$5&amp;"生成成长"),2))/((VLOOKUP($B230,INDIRECT($B$5&amp;"生成成长"),4))/(VLOOKUP(CT$72,INDIRECT($C$5&amp;"生成成长"),5))*(VLOOKUP($B$5,标准坦克设计!$B$24:$U$30,MATCH("对"&amp;LEFT($C$5,2)&amp;"输出",标准坦克设计!$B$23:$U$23,0)))*(VLOOKUP($B230,INDIRECT($B$5&amp;"生成成长"),3))*(VLOOKUP($B$5,标准坦克设计!$B$14:$K$20,9)/30))</f>
        <v>5.2649357317308425</v>
      </c>
      <c r="CU230" s="173">
        <f ca="1">(VLOOKUP(CU$72,INDIRECT($C$5&amp;"生成成长"),2))/((VLOOKUP($B230,INDIRECT($B$5&amp;"生成成长"),4))/(VLOOKUP(CU$72,INDIRECT($C$5&amp;"生成成长"),5))*(VLOOKUP($B$5,标准坦克设计!$B$24:$U$30,MATCH("对"&amp;LEFT($C$5,2)&amp;"输出",标准坦克设计!$B$23:$U$23,0)))*(VLOOKUP($B230,INDIRECT($B$5&amp;"生成成长"),3))*(VLOOKUP($B$5,标准坦克设计!$B$14:$K$20,9)/30))</f>
        <v>5.6607960069523076</v>
      </c>
      <c r="CV230" s="173">
        <f ca="1">(VLOOKUP(CV$72,INDIRECT($C$5&amp;"生成成长"),2))/((VLOOKUP($B230,INDIRECT($B$5&amp;"生成成长"),4))/(VLOOKUP(CV$72,INDIRECT($C$5&amp;"生成成长"),5))*(VLOOKUP($B$5,标准坦克设计!$B$24:$U$30,MATCH("对"&amp;LEFT($C$5,2)&amp;"输出",标准坦克设计!$B$23:$U$23,0)))*(VLOOKUP($B230,INDIRECT($B$5&amp;"生成成长"),3))*(VLOOKUP($B$5,标准坦克设计!$B$14:$K$20,9)/30))</f>
        <v>6.0710037715557661</v>
      </c>
      <c r="CW230" s="173">
        <f ca="1">(VLOOKUP(CW$72,INDIRECT($C$5&amp;"生成成长"),2))/((VLOOKUP($B230,INDIRECT($B$5&amp;"生成成长"),4))/(VLOOKUP(CW$72,INDIRECT($C$5&amp;"生成成长"),5))*(VLOOKUP($B$5,标准坦克设计!$B$24:$U$30,MATCH("对"&amp;LEFT($C$5,2)&amp;"输出",标准坦克设计!$B$23:$U$23,0)))*(VLOOKUP($B230,INDIRECT($B$5&amp;"生成成长"),3))*(VLOOKUP($B$5,标准坦克设计!$B$14:$K$20,9)/30))</f>
        <v>6.4955590255412243</v>
      </c>
      <c r="CX230" s="173">
        <f ca="1">(VLOOKUP(CX$72,INDIRECT($C$5&amp;"生成成长"),2))/((VLOOKUP($B230,INDIRECT($B$5&amp;"生成成长"),4))/(VLOOKUP(CX$72,INDIRECT($C$5&amp;"生成成长"),5))*(VLOOKUP($B$5,标准坦克设计!$B$24:$U$30,MATCH("对"&amp;LEFT($C$5,2)&amp;"输出",标准坦克设计!$B$23:$U$23,0)))*(VLOOKUP($B230,INDIRECT($B$5&amp;"生成成长"),3))*(VLOOKUP($B$5,标准坦克设计!$B$14:$K$20,9)/30))</f>
        <v>6.9344617689086787</v>
      </c>
      <c r="CY230" s="173">
        <f ca="1">(VLOOKUP(CY$72,INDIRECT($C$5&amp;"生成成长"),2))/((VLOOKUP($B230,INDIRECT($B$5&amp;"生成成长"),4))/(VLOOKUP(CY$72,INDIRECT($C$5&amp;"生成成长"),5))*(VLOOKUP($B$5,标准坦克设计!$B$24:$U$30,MATCH("对"&amp;LEFT($C$5,2)&amp;"输出",标准坦克设计!$B$23:$U$23,0)))*(VLOOKUP($B230,INDIRECT($B$5&amp;"生成成长"),3))*(VLOOKUP($B$5,标准坦克设计!$B$14:$K$20,9)/30))</f>
        <v>7.387712001658131</v>
      </c>
      <c r="CZ230" s="173">
        <f ca="1">(VLOOKUP(CZ$72,INDIRECT($C$5&amp;"生成成长"),2))/((VLOOKUP($B230,INDIRECT($B$5&amp;"生成成长"),4))/(VLOOKUP(CZ$72,INDIRECT($C$5&amp;"生成成长"),5))*(VLOOKUP($B$5,标准坦克设计!$B$24:$U$30,MATCH("对"&amp;LEFT($C$5,2)&amp;"输出",标准坦克设计!$B$23:$U$23,0)))*(VLOOKUP($B230,INDIRECT($B$5&amp;"生成成长"),3))*(VLOOKUP($B$5,标准坦克设计!$B$14:$K$20,9)/30))</f>
        <v>7.8553097237895804</v>
      </c>
      <c r="DA230" s="173">
        <f ca="1">(VLOOKUP(DA$72,INDIRECT($C$5&amp;"生成成长"),2))/((VLOOKUP($B230,INDIRECT($B$5&amp;"生成成长"),4))/(VLOOKUP(DA$72,INDIRECT($C$5&amp;"生成成长"),5))*(VLOOKUP($B$5,标准坦克设计!$B$24:$U$30,MATCH("对"&amp;LEFT($C$5,2)&amp;"输出",标准坦克设计!$B$23:$U$23,0)))*(VLOOKUP($B230,INDIRECT($B$5&amp;"生成成长"),3))*(VLOOKUP($B$5,标准坦克设计!$B$14:$K$20,9)/30))</f>
        <v>8.3372549353030259</v>
      </c>
      <c r="DB230" s="173">
        <f ca="1">(VLOOKUP(DB$72,INDIRECT($C$5&amp;"生成成长"),2))/((VLOOKUP($B230,INDIRECT($B$5&amp;"生成成长"),4))/(VLOOKUP(DB$72,INDIRECT($C$5&amp;"生成成长"),5))*(VLOOKUP($B$5,标准坦克设计!$B$24:$U$30,MATCH("对"&amp;LEFT($C$5,2)&amp;"输出",标准坦克设计!$B$23:$U$23,0)))*(VLOOKUP($B230,INDIRECT($B$5&amp;"生成成长"),3))*(VLOOKUP($B$5,标准坦克设计!$B$14:$K$20,9)/30))</f>
        <v>8.8335476361984675</v>
      </c>
      <c r="DC230" s="173">
        <f ca="1">(VLOOKUP(DC$72,INDIRECT($C$5&amp;"生成成长"),2))/((VLOOKUP($B230,INDIRECT($B$5&amp;"生成成长"),4))/(VLOOKUP(DC$72,INDIRECT($C$5&amp;"生成成长"),5))*(VLOOKUP($B$5,标准坦克设计!$B$24:$U$30,MATCH("对"&amp;LEFT($C$5,2)&amp;"输出",标准坦克设计!$B$23:$U$23,0)))*(VLOOKUP($B230,INDIRECT($B$5&amp;"生成成长"),3))*(VLOOKUP($B$5,标准坦克设计!$B$14:$K$20,9)/30))</f>
        <v>9.3913211077101533</v>
      </c>
      <c r="DD230" s="173">
        <f ca="1">(VLOOKUP(DD$72,INDIRECT($C$5&amp;"生成成长"),2))/((VLOOKUP($B230,INDIRECT($B$5&amp;"生成成长"),4))/(VLOOKUP(DD$72,INDIRECT($C$5&amp;"生成成长"),5))*(VLOOKUP($B$5,标准坦克设计!$B$24:$U$30,MATCH("对"&amp;LEFT($C$5,2)&amp;"输出",标准坦克设计!$B$23:$U$23,0)))*(VLOOKUP($B230,INDIRECT($B$5&amp;"生成成长"),3))*(VLOOKUP($B$5,标准坦克设计!$B$14:$K$20,9)/30))</f>
        <v>9.9661692773293407</v>
      </c>
      <c r="DE230" s="173">
        <f ca="1">(VLOOKUP(DE$72,INDIRECT($C$5&amp;"生成成长"),2))/((VLOOKUP($B230,INDIRECT($B$5&amp;"生成成长"),4))/(VLOOKUP(DE$72,INDIRECT($C$5&amp;"生成成长"),5))*(VLOOKUP($B$5,标准坦克设计!$B$24:$U$30,MATCH("对"&amp;LEFT($C$5,2)&amp;"输出",标准坦克设计!$B$23:$U$23,0)))*(VLOOKUP($B230,INDIRECT($B$5&amp;"生成成长"),3))*(VLOOKUP($B$5,标准坦克设计!$B$14:$K$20,9)/30))</f>
        <v>10.558092145056028</v>
      </c>
      <c r="DF230" s="173">
        <f ca="1">(VLOOKUP(DF$72,INDIRECT($C$5&amp;"生成成长"),2))/((VLOOKUP($B230,INDIRECT($B$5&amp;"生成成长"),4))/(VLOOKUP(DF$72,INDIRECT($C$5&amp;"生成成长"),5))*(VLOOKUP($B$5,标准坦克设计!$B$24:$U$30,MATCH("对"&amp;LEFT($C$5,2)&amp;"输出",标准坦克设计!$B$23:$U$23,0)))*(VLOOKUP($B230,INDIRECT($B$5&amp;"生成成长"),3))*(VLOOKUP($B$5,标准坦克设计!$B$14:$K$20,9)/30))</f>
        <v>11.167089710890213</v>
      </c>
      <c r="DG230" s="173">
        <f ca="1">(VLOOKUP(DG$72,INDIRECT($C$5&amp;"生成成长"),2))/((VLOOKUP($B230,INDIRECT($B$5&amp;"生成成长"),4))/(VLOOKUP(DG$72,INDIRECT($C$5&amp;"生成成长"),5))*(VLOOKUP($B$5,标准坦克设计!$B$24:$U$30,MATCH("对"&amp;LEFT($C$5,2)&amp;"输出",标准坦克设计!$B$23:$U$23,0)))*(VLOOKUP($B230,INDIRECT($B$5&amp;"生成成长"),3))*(VLOOKUP($B$5,标准坦克设计!$B$14:$K$20,9)/30))</f>
        <v>11.793161974831904</v>
      </c>
      <c r="DH230" s="173">
        <f ca="1">(VLOOKUP(DH$72,INDIRECT($C$5&amp;"生成成长"),2))/((VLOOKUP($B230,INDIRECT($B$5&amp;"生成成长"),4))/(VLOOKUP(DH$72,INDIRECT($C$5&amp;"生成成长"),5))*(VLOOKUP($B$5,标准坦克设计!$B$24:$U$30,MATCH("对"&amp;LEFT($C$5,2)&amp;"输出",标准坦克设计!$B$23:$U$23,0)))*(VLOOKUP($B230,INDIRECT($B$5&amp;"生成成长"),3))*(VLOOKUP($B$5,标准坦克设计!$B$14:$K$20,9)/30))</f>
        <v>12.436308936881092</v>
      </c>
      <c r="DI230" s="173">
        <f ca="1">(VLOOKUP(DI$72,INDIRECT($C$5&amp;"生成成长"),2))/((VLOOKUP($B230,INDIRECT($B$5&amp;"生成成长"),4))/(VLOOKUP(DI$72,INDIRECT($C$5&amp;"生成成长"),5))*(VLOOKUP($B$5,标准坦克设计!$B$24:$U$30,MATCH("对"&amp;LEFT($C$5,2)&amp;"输出",标准坦克设计!$B$23:$U$23,0)))*(VLOOKUP($B230,INDIRECT($B$5&amp;"生成成长"),3))*(VLOOKUP($B$5,标准坦克设计!$B$14:$K$20,9)/30))</f>
        <v>13.096530597037782</v>
      </c>
      <c r="DJ230" s="173">
        <f ca="1">(VLOOKUP(DJ$72,INDIRECT($C$5&amp;"生成成长"),2))/((VLOOKUP($B230,INDIRECT($B$5&amp;"生成成长"),4))/(VLOOKUP(DJ$72,INDIRECT($C$5&amp;"生成成长"),5))*(VLOOKUP($B$5,标准坦克设计!$B$24:$U$30,MATCH("对"&amp;LEFT($C$5,2)&amp;"输出",标准坦克设计!$B$23:$U$23,0)))*(VLOOKUP($B230,INDIRECT($B$5&amp;"生成成长"),3))*(VLOOKUP($B$5,标准坦克设计!$B$14:$K$20,9)/30))</f>
        <v>1.3162339329327106</v>
      </c>
      <c r="DK230" s="173">
        <f ca="1">(VLOOKUP(DK$72,INDIRECT($C$5&amp;"生成成长"),2))/((VLOOKUP($B230,INDIRECT($B$5&amp;"生成成长"),4))/(VLOOKUP(DK$72,INDIRECT($C$5&amp;"生成成长"),5))*(VLOOKUP($B$5,标准坦克设计!$B$24:$U$30,MATCH("对"&amp;LEFT($C$5,2)&amp;"输出",标准坦克设计!$B$23:$U$23,0)))*(VLOOKUP($B230,INDIRECT($B$5&amp;"生成成长"),3))*(VLOOKUP($B$5,标准坦克设计!$B$14:$K$20,9)/30))</f>
        <v>1.4800443179015446</v>
      </c>
      <c r="DL230" s="173">
        <f ca="1">(VLOOKUP(DL$72,INDIRECT($C$5&amp;"生成成长"),2))/((VLOOKUP($B230,INDIRECT($B$5&amp;"生成成长"),4))/(VLOOKUP(DL$72,INDIRECT($C$5&amp;"生成成长"),5))*(VLOOKUP($B$5,标准坦克设计!$B$24:$U$30,MATCH("对"&amp;LEFT($C$5,2)&amp;"输出",标准坦克设计!$B$23:$U$23,0)))*(VLOOKUP($B230,INDIRECT($B$5&amp;"生成成长"),3))*(VLOOKUP($B$5,标准坦克设计!$B$14:$K$20,9)/30))</f>
        <v>1.6534592205558476</v>
      </c>
      <c r="DM230" s="173">
        <f ca="1">(VLOOKUP(DM$72,INDIRECT($C$5&amp;"生成成长"),2))/((VLOOKUP($B230,INDIRECT($B$5&amp;"生成成长"),4))/(VLOOKUP(DM$72,INDIRECT($C$5&amp;"生成成长"),5))*(VLOOKUP($B$5,标准坦克设计!$B$24:$U$30,MATCH("对"&amp;LEFT($C$5,2)&amp;"输出",标准坦克设计!$B$23:$U$23,0)))*(VLOOKUP($B230,INDIRECT($B$5&amp;"生成成长"),3))*(VLOOKUP($B$5,标准坦克设计!$B$14:$K$20,9)/30))</f>
        <v>1.8364786408956195</v>
      </c>
      <c r="DN230" s="173">
        <f ca="1">(VLOOKUP(DN$72,INDIRECT($C$5&amp;"生成成长"),2))/((VLOOKUP($B230,INDIRECT($B$5&amp;"生成成长"),4))/(VLOOKUP(DN$72,INDIRECT($C$5&amp;"生成成长"),5))*(VLOOKUP($B$5,标准坦克设计!$B$24:$U$30,MATCH("对"&amp;LEFT($C$5,2)&amp;"输出",标准坦克设计!$B$23:$U$23,0)))*(VLOOKUP($B230,INDIRECT($B$5&amp;"生成成长"),3))*(VLOOKUP($B$5,标准坦克设计!$B$14:$K$20,9)/30))</f>
        <v>2.0291025789208605</v>
      </c>
      <c r="DO230" s="173">
        <f ca="1">(VLOOKUP(DO$72,INDIRECT($C$5&amp;"生成成长"),2))/((VLOOKUP($B230,INDIRECT($B$5&amp;"生成成长"),4))/(VLOOKUP(DO$72,INDIRECT($C$5&amp;"生成成长"),5))*(VLOOKUP($B$5,标准坦克设计!$B$24:$U$30,MATCH("对"&amp;LEFT($C$5,2)&amp;"输出",标准坦克设计!$B$23:$U$23,0)))*(VLOOKUP($B230,INDIRECT($B$5&amp;"生成成长"),3))*(VLOOKUP($B$5,标准坦克设计!$B$14:$K$20,9)/30))</f>
        <v>2.2313310346315709</v>
      </c>
      <c r="DP230" s="173">
        <f ca="1">(VLOOKUP(DP$72,INDIRECT($C$5&amp;"生成成长"),2))/((VLOOKUP($B230,INDIRECT($B$5&amp;"生成成长"),4))/(VLOOKUP(DP$72,INDIRECT($C$5&amp;"生成成长"),5))*(VLOOKUP($B$5,标准坦克设计!$B$24:$U$30,MATCH("对"&amp;LEFT($C$5,2)&amp;"输出",标准坦克设计!$B$23:$U$23,0)))*(VLOOKUP($B230,INDIRECT($B$5&amp;"生成成长"),3))*(VLOOKUP($B$5,标准坦克设计!$B$14:$K$20,9)/30))</f>
        <v>2.4431640080277495</v>
      </c>
      <c r="DQ230" s="173">
        <f ca="1">(VLOOKUP(DQ$72,INDIRECT($C$5&amp;"生成成长"),2))/((VLOOKUP($B230,INDIRECT($B$5&amp;"生成成长"),4))/(VLOOKUP(DQ$72,INDIRECT($C$5&amp;"生成成长"),5))*(VLOOKUP($B$5,标准坦克设计!$B$24:$U$30,MATCH("对"&amp;LEFT($C$5,2)&amp;"输出",标准坦克设计!$B$23:$U$23,0)))*(VLOOKUP($B230,INDIRECT($B$5&amp;"生成成长"),3))*(VLOOKUP($B$5,标准坦克设计!$B$14:$K$20,9)/30))</f>
        <v>2.6646014991093985</v>
      </c>
      <c r="DR230" s="173">
        <f ca="1">(VLOOKUP(DR$72,INDIRECT($C$5&amp;"生成成长"),2))/((VLOOKUP($B230,INDIRECT($B$5&amp;"生成成长"),4))/(VLOOKUP(DR$72,INDIRECT($C$5&amp;"生成成长"),5))*(VLOOKUP($B$5,标准坦克设计!$B$24:$U$30,MATCH("对"&amp;LEFT($C$5,2)&amp;"输出",标准坦克设计!$B$23:$U$23,0)))*(VLOOKUP($B230,INDIRECT($B$5&amp;"生成成长"),3))*(VLOOKUP($B$5,标准坦克设计!$B$14:$K$20,9)/30))</f>
        <v>2.8956435078765157</v>
      </c>
      <c r="DS230" s="173">
        <f ca="1">(VLOOKUP(DS$72,INDIRECT($C$5&amp;"生成成长"),2))/((VLOOKUP($B230,INDIRECT($B$5&amp;"生成成长"),4))/(VLOOKUP(DS$72,INDIRECT($C$5&amp;"生成成长"),5))*(VLOOKUP($B$5,标准坦克设计!$B$24:$U$30,MATCH("对"&amp;LEFT($C$5,2)&amp;"输出",标准坦克设计!$B$23:$U$23,0)))*(VLOOKUP($B230,INDIRECT($B$5&amp;"生成成长"),3))*(VLOOKUP($B$5,标准坦克设计!$B$14:$K$20,9)/30))</f>
        <v>3.136290034329102</v>
      </c>
      <c r="DT230" s="173">
        <f ca="1">(VLOOKUP(DT$72,INDIRECT($C$5&amp;"生成成长"),2))/((VLOOKUP($B230,INDIRECT($B$5&amp;"生成成长"),4))/(VLOOKUP(DT$72,INDIRECT($C$5&amp;"生成成长"),5))*(VLOOKUP($B$5,标准坦克设计!$B$24:$U$30,MATCH("对"&amp;LEFT($C$5,2)&amp;"输出",标准坦克设计!$B$23:$U$23,0)))*(VLOOKUP($B230,INDIRECT($B$5&amp;"生成成长"),3))*(VLOOKUP($B$5,标准坦克设计!$B$14:$K$20,9)/30))</f>
        <v>3.4434567388254935</v>
      </c>
      <c r="DU230" s="173">
        <f ca="1">(VLOOKUP(DU$72,INDIRECT($C$5&amp;"生成成长"),2))/((VLOOKUP($B230,INDIRECT($B$5&amp;"生成成长"),4))/(VLOOKUP(DU$72,INDIRECT($C$5&amp;"生成成长"),5))*(VLOOKUP($B$5,标准坦克设计!$B$24:$U$30,MATCH("对"&amp;LEFT($C$5,2)&amp;"输出",标准坦克设计!$B$23:$U$23,0)))*(VLOOKUP($B230,INDIRECT($B$5&amp;"生成成长"),3))*(VLOOKUP($B$5,标准坦克设计!$B$14:$K$20,9)/30))</f>
        <v>3.7649709327038812</v>
      </c>
      <c r="DV230" s="173">
        <f ca="1">(VLOOKUP(DV$72,INDIRECT($C$5&amp;"生成成长"),2))/((VLOOKUP($B230,INDIRECT($B$5&amp;"生成成长"),4))/(VLOOKUP(DV$72,INDIRECT($C$5&amp;"生成成长"),5))*(VLOOKUP($B$5,标准坦克设计!$B$24:$U$30,MATCH("对"&amp;LEFT($C$5,2)&amp;"输出",标准坦克设计!$B$23:$U$23,0)))*(VLOOKUP($B230,INDIRECT($B$5&amp;"生成成长"),3))*(VLOOKUP($B$5,标准坦克设计!$B$14:$K$20,9)/30))</f>
        <v>4.100832615964265</v>
      </c>
      <c r="DW230" s="173">
        <f ca="1">(VLOOKUP(DW$72,INDIRECT($C$5&amp;"生成成长"),2))/((VLOOKUP($B230,INDIRECT($B$5&amp;"生成成长"),4))/(VLOOKUP(DW$72,INDIRECT($C$5&amp;"生成成长"),5))*(VLOOKUP($B$5,标准坦克设计!$B$24:$U$30,MATCH("对"&amp;LEFT($C$5,2)&amp;"输出",标准坦克设计!$B$23:$U$23,0)))*(VLOOKUP($B230,INDIRECT($B$5&amp;"生成成长"),3))*(VLOOKUP($B$5,标准坦克设计!$B$14:$K$20,9)/30))</f>
        <v>4.4510417886066476</v>
      </c>
      <c r="DX230" s="173">
        <f ca="1">(VLOOKUP(DX$72,INDIRECT($C$5&amp;"生成成长"),2))/((VLOOKUP($B230,INDIRECT($B$5&amp;"生成成长"),4))/(VLOOKUP(DX$72,INDIRECT($C$5&amp;"生成成长"),5))*(VLOOKUP($B$5,标准坦克设计!$B$24:$U$30,MATCH("对"&amp;LEFT($C$5,2)&amp;"输出",标准坦克设计!$B$23:$U$23,0)))*(VLOOKUP($B230,INDIRECT($B$5&amp;"生成成长"),3))*(VLOOKUP($B$5,标准坦克设计!$B$14:$K$20,9)/30))</f>
        <v>4.8155984506310263</v>
      </c>
      <c r="DY230" s="173">
        <f ca="1">(VLOOKUP(DY$72,INDIRECT($C$5&amp;"生成成长"),2))/((VLOOKUP($B230,INDIRECT($B$5&amp;"生成成长"),4))/(VLOOKUP(DY$72,INDIRECT($C$5&amp;"生成成长"),5))*(VLOOKUP($B$5,标准坦克设计!$B$24:$U$30,MATCH("对"&amp;LEFT($C$5,2)&amp;"输出",标准坦克设计!$B$23:$U$23,0)))*(VLOOKUP($B230,INDIRECT($B$5&amp;"生成成长"),3))*(VLOOKUP($B$5,标准坦克设计!$B$14:$K$20,9)/30))</f>
        <v>2.1628543807629486</v>
      </c>
      <c r="DZ230" s="173">
        <f ca="1">(VLOOKUP(DZ$72,INDIRECT($C$5&amp;"生成成长"),2))/((VLOOKUP($B230,INDIRECT($B$5&amp;"生成成长"),4))/(VLOOKUP(DZ$72,INDIRECT($C$5&amp;"生成成长"),5))*(VLOOKUP($B$5,标准坦克设计!$B$24:$U$30,MATCH("对"&amp;LEFT($C$5,2)&amp;"输出",标准坦克设计!$B$23:$U$23,0)))*(VLOOKUP($B230,INDIRECT($B$5&amp;"生成成长"),3))*(VLOOKUP($B$5,标准坦克设计!$B$14:$K$20,9)/30))</f>
        <v>2.3952599938928181</v>
      </c>
      <c r="EA230" s="173">
        <f ca="1">(VLOOKUP(EA$72,INDIRECT($C$5&amp;"生成成长"),2))/((VLOOKUP($B230,INDIRECT($B$5&amp;"生成成长"),4))/(VLOOKUP(EA$72,INDIRECT($C$5&amp;"生成成长"),5))*(VLOOKUP($B$5,标准坦克设计!$B$24:$U$30,MATCH("对"&amp;LEFT($C$5,2)&amp;"输出",标准坦克设计!$B$23:$U$23,0)))*(VLOOKUP($B230,INDIRECT($B$5&amp;"生成成长"),3))*(VLOOKUP($B$5,标准坦克设计!$B$14:$K$20,9)/30))</f>
        <v>2.639523036264007</v>
      </c>
      <c r="EB230" s="173">
        <f ca="1">(VLOOKUP(EB$72,INDIRECT($C$5&amp;"生成成长"),2))/((VLOOKUP($B230,INDIRECT($B$5&amp;"生成成长"),4))/(VLOOKUP(EB$72,INDIRECT($C$5&amp;"生成成长"),5))*(VLOOKUP($B$5,标准坦克设计!$B$24:$U$30,MATCH("对"&amp;LEFT($C$5,2)&amp;"输出",标准坦克设计!$B$23:$U$23,0)))*(VLOOKUP($B230,INDIRECT($B$5&amp;"生成成长"),3))*(VLOOKUP($B$5,标准坦克设计!$B$14:$K$20,9)/30))</f>
        <v>2.8956435078765157</v>
      </c>
      <c r="EC230" s="173">
        <f ca="1">(VLOOKUP(EC$72,INDIRECT($C$5&amp;"生成成长"),2))/((VLOOKUP($B230,INDIRECT($B$5&amp;"生成成长"),4))/(VLOOKUP(EC$72,INDIRECT($C$5&amp;"生成成长"),5))*(VLOOKUP($B$5,标准坦克设计!$B$24:$U$30,MATCH("对"&amp;LEFT($C$5,2)&amp;"输出",标准坦克设计!$B$23:$U$23,0)))*(VLOOKUP($B230,INDIRECT($B$5&amp;"生成成长"),3))*(VLOOKUP($B$5,标准坦克设计!$B$14:$K$20,9)/30))</f>
        <v>3.1636214087303447</v>
      </c>
      <c r="ED230" s="173">
        <f ca="1">(VLOOKUP(ED$72,INDIRECT($C$5&amp;"生成成长"),2))/((VLOOKUP($B230,INDIRECT($B$5&amp;"生成成长"),4))/(VLOOKUP(ED$72,INDIRECT($C$5&amp;"生成成长"),5))*(VLOOKUP($B$5,标准坦克设计!$B$24:$U$30,MATCH("对"&amp;LEFT($C$5,2)&amp;"输出",标准坦克设计!$B$23:$U$23,0)))*(VLOOKUP($B230,INDIRECT($B$5&amp;"生成成长"),3))*(VLOOKUP($B$5,标准坦克设计!$B$14:$K$20,9)/30))</f>
        <v>3.4434567388254935</v>
      </c>
      <c r="EE230" s="173">
        <f ca="1">(VLOOKUP(EE$72,INDIRECT($C$5&amp;"生成成长"),2))/((VLOOKUP($B230,INDIRECT($B$5&amp;"生成成长"),4))/(VLOOKUP(EE$72,INDIRECT($C$5&amp;"生成成长"),5))*(VLOOKUP($B$5,标准坦克设计!$B$24:$U$30,MATCH("对"&amp;LEFT($C$5,2)&amp;"输出",标准坦克设计!$B$23:$U$23,0)))*(VLOOKUP($B230,INDIRECT($B$5&amp;"生成成长"),3))*(VLOOKUP($B$5,标准坦克设计!$B$14:$K$20,9)/30))</f>
        <v>3.7351494981619613</v>
      </c>
      <c r="EF230" s="173">
        <f ca="1">(VLOOKUP(EF$72,INDIRECT($C$5&amp;"生成成长"),2))/((VLOOKUP($B230,INDIRECT($B$5&amp;"生成成长"),4))/(VLOOKUP(EF$72,INDIRECT($C$5&amp;"生成成长"),5))*(VLOOKUP($B$5,标准坦克设计!$B$24:$U$30,MATCH("对"&amp;LEFT($C$5,2)&amp;"输出",标准坦克设计!$B$23:$U$23,0)))*(VLOOKUP($B230,INDIRECT($B$5&amp;"生成成长"),3))*(VLOOKUP($B$5,标准坦克设计!$B$14:$K$20,9)/30))</f>
        <v>4.0386996867397498</v>
      </c>
      <c r="EG230" s="173">
        <f ca="1">(VLOOKUP(EG$72,INDIRECT($C$5&amp;"生成成长"),2))/((VLOOKUP($B230,INDIRECT($B$5&amp;"生成成长"),4))/(VLOOKUP(EG$72,INDIRECT($C$5&amp;"生成成长"),5))*(VLOOKUP($B$5,标准坦克设计!$B$24:$U$30,MATCH("对"&amp;LEFT($C$5,2)&amp;"输出",标准坦克设计!$B$23:$U$23,0)))*(VLOOKUP($B230,INDIRECT($B$5&amp;"生成成长"),3))*(VLOOKUP($B$5,标准坦克设计!$B$14:$K$20,9)/30))</f>
        <v>4.3541073045588581</v>
      </c>
      <c r="EH230" s="173">
        <f ca="1">(VLOOKUP(EH$72,INDIRECT($C$5&amp;"生成成长"),2))/((VLOOKUP($B230,INDIRECT($B$5&amp;"生成成长"),4))/(VLOOKUP(EH$72,INDIRECT($C$5&amp;"生成成长"),5))*(VLOOKUP($B$5,标准坦克设计!$B$24:$U$30,MATCH("对"&amp;LEFT($C$5,2)&amp;"输出",标准坦克设计!$B$23:$U$23,0)))*(VLOOKUP($B230,INDIRECT($B$5&amp;"生成成长"),3))*(VLOOKUP($B$5,标准坦克设计!$B$14:$K$20,9)/30))</f>
        <v>4.6813723516192853</v>
      </c>
      <c r="EI230" s="173">
        <f ca="1">(VLOOKUP(EI$72,INDIRECT($C$5&amp;"生成成长"),2))/((VLOOKUP($B230,INDIRECT($B$5&amp;"生成成长"),4))/(VLOOKUP(EI$72,INDIRECT($C$5&amp;"生成成长"),5))*(VLOOKUP($B$5,标准坦克设计!$B$24:$U$30,MATCH("对"&amp;LEFT($C$5,2)&amp;"输出",标准坦克设计!$B$23:$U$23,0)))*(VLOOKUP($B230,INDIRECT($B$5&amp;"生成成长"),3))*(VLOOKUP($B$5,标准坦克设计!$B$14:$K$20,9)/30))</f>
        <v>5.0204948279210342</v>
      </c>
      <c r="EJ230" s="173">
        <f ca="1">(VLOOKUP(EJ$72,INDIRECT($C$5&amp;"生成成长"),2))/((VLOOKUP($B230,INDIRECT($B$5&amp;"生成成长"),4))/(VLOOKUP(EJ$72,INDIRECT($C$5&amp;"生成成长"),5))*(VLOOKUP($B$5,标准坦克设计!$B$24:$U$30,MATCH("对"&amp;LEFT($C$5,2)&amp;"输出",标准坦克设计!$B$23:$U$23,0)))*(VLOOKUP($B230,INDIRECT($B$5&amp;"生成成长"),3))*(VLOOKUP($B$5,标准坦克设计!$B$14:$K$20,9)/30))</f>
        <v>5.3714747334641029</v>
      </c>
      <c r="EK230" s="173">
        <f ca="1">(VLOOKUP(EK$72,INDIRECT($C$5&amp;"生成成长"),2))/((VLOOKUP($B230,INDIRECT($B$5&amp;"生成成长"),4))/(VLOOKUP(EK$72,INDIRECT($C$5&amp;"生成成长"),5))*(VLOOKUP($B$5,标准坦克设计!$B$24:$U$30,MATCH("对"&amp;LEFT($C$5,2)&amp;"输出",标准坦克设计!$B$23:$U$23,0)))*(VLOOKUP($B230,INDIRECT($B$5&amp;"生成成长"),3))*(VLOOKUP($B$5,标准坦克设计!$B$14:$K$20,9)/30))</f>
        <v>5.8083024267143264</v>
      </c>
      <c r="EL230" s="173">
        <f ca="1">(VLOOKUP(EL$72,INDIRECT($C$5&amp;"生成成长"),2))/((VLOOKUP($B230,INDIRECT($B$5&amp;"生成成长"),4))/(VLOOKUP(EL$72,INDIRECT($C$5&amp;"生成成长"),5))*(VLOOKUP($B$5,标准坦克设计!$B$24:$U$30,MATCH("对"&amp;LEFT($C$5,2)&amp;"输出",标准坦克设计!$B$23:$U$23,0)))*(VLOOKUP($B230,INDIRECT($B$5&amp;"生成成长"),3))*(VLOOKUP($B$5,标准坦克设计!$B$14:$K$20,9)/30))</f>
        <v>6.2622048180720498</v>
      </c>
      <c r="EM230" s="173">
        <f ca="1">(VLOOKUP(EM$72,INDIRECT($C$5&amp;"生成成长"),2))/((VLOOKUP($B230,INDIRECT($B$5&amp;"生成成长"),4))/(VLOOKUP(EM$72,INDIRECT($C$5&amp;"生成成长"),5))*(VLOOKUP($B$5,标准坦克设计!$B$24:$U$30,MATCH("对"&amp;LEFT($C$5,2)&amp;"输出",标准坦克设计!$B$23:$U$23,0)))*(VLOOKUP($B230,INDIRECT($B$5&amp;"生成成长"),3))*(VLOOKUP($B$5,标准坦克设计!$B$14:$K$20,9)/30))</f>
        <v>6.7331819075372739</v>
      </c>
      <c r="EN230" s="173">
        <f ca="1">(VLOOKUP(EN$72,INDIRECT($C$5&amp;"生成成长"),2))/((VLOOKUP($B230,INDIRECT($B$5&amp;"生成成长"),4))/(VLOOKUP(EN$72,INDIRECT($C$5&amp;"生成成长"),5))*(VLOOKUP($B$5,标准坦克设计!$B$24:$U$30,MATCH("对"&amp;LEFT($C$5,2)&amp;"输出",标准坦克设计!$B$23:$U$23,0)))*(VLOOKUP($B230,INDIRECT($B$5&amp;"生成成长"),3))*(VLOOKUP($B$5,标准坦克设计!$B$14:$K$20,9)/30))</f>
        <v>7.2212336951099996</v>
      </c>
      <c r="EO230" s="173">
        <f ca="1">(VLOOKUP(EO$72,INDIRECT($C$5&amp;"生成成长"),2))/((VLOOKUP($B230,INDIRECT($B$5&amp;"生成成长"),4))/(VLOOKUP(EO$72,INDIRECT($C$5&amp;"生成成长"),5))*(VLOOKUP($B$5,标准坦克设计!$B$24:$U$30,MATCH("对"&amp;LEFT($C$5,2)&amp;"输出",标准坦克设计!$B$23:$U$23,0)))*(VLOOKUP($B230,INDIRECT($B$5&amp;"生成成长"),3))*(VLOOKUP($B$5,标准坦克设计!$B$14:$K$20,9)/30))</f>
        <v>7.7263601807902251</v>
      </c>
      <c r="EP230" s="173">
        <f ca="1">(VLOOKUP(EP$72,INDIRECT($C$5&amp;"生成成长"),2))/((VLOOKUP($B230,INDIRECT($B$5&amp;"生成成长"),4))/(VLOOKUP(EP$72,INDIRECT($C$5&amp;"生成成长"),5))*(VLOOKUP($B$5,标准坦克设计!$B$24:$U$30,MATCH("对"&amp;LEFT($C$5,2)&amp;"输出",标准坦克设计!$B$23:$U$23,0)))*(VLOOKUP($B230,INDIRECT($B$5&amp;"生成成长"),3))*(VLOOKUP($B$5,标准坦克设计!$B$14:$K$20,9)/30))</f>
        <v>8.2485613645779541</v>
      </c>
      <c r="EQ230" s="173">
        <f ca="1">(VLOOKUP(EQ$72,INDIRECT($C$5&amp;"生成成长"),2))/((VLOOKUP($B230,INDIRECT($B$5&amp;"生成成长"),4))/(VLOOKUP(EQ$72,INDIRECT($C$5&amp;"生成成长"),5))*(VLOOKUP($B$5,标准坦克设计!$B$24:$U$30,MATCH("对"&amp;LEFT($C$5,2)&amp;"输出",标准坦克设计!$B$23:$U$23,0)))*(VLOOKUP($B230,INDIRECT($B$5&amp;"生成成长"),3))*(VLOOKUP($B$5,标准坦克设计!$B$14:$K$20,9)/30))</f>
        <v>3.646396640290682</v>
      </c>
      <c r="ER230" s="173">
        <f ca="1">(VLOOKUP(ER$72,INDIRECT($C$5&amp;"生成成长"),2))/((VLOOKUP($B230,INDIRECT($B$5&amp;"生成成长"),4))/(VLOOKUP(ER$72,INDIRECT($C$5&amp;"生成成长"),5))*(VLOOKUP($B$5,标准坦克设计!$B$24:$U$30,MATCH("对"&amp;LEFT($C$5,2)&amp;"输出",标准坦克设计!$B$23:$U$23,0)))*(VLOOKUP($B230,INDIRECT($B$5&amp;"生成成长"),3))*(VLOOKUP($B$5,标准坦克设计!$B$14:$K$20,9)/30))</f>
        <v>3.9770410546848867</v>
      </c>
      <c r="ES230" s="173">
        <f ca="1">(VLOOKUP(ES$72,INDIRECT($C$5&amp;"生成成长"),2))/((VLOOKUP($B230,INDIRECT($B$5&amp;"生成成长"),4))/(VLOOKUP(ES$72,INDIRECT($C$5&amp;"生成成长"),5))*(VLOOKUP($B$5,标准坦克设计!$B$24:$U$30,MATCH("对"&amp;LEFT($C$5,2)&amp;"输出",标准坦克设计!$B$23:$U$23,0)))*(VLOOKUP($B230,INDIRECT($B$5&amp;"生成成长"),3))*(VLOOKUP($B$5,标准坦克设计!$B$14:$K$20,9)/30))</f>
        <v>4.3220329584610884</v>
      </c>
      <c r="ET230" s="173">
        <f ca="1">(VLOOKUP(ET$72,INDIRECT($C$5&amp;"生成成长"),2))/((VLOOKUP($B230,INDIRECT($B$5&amp;"生成成长"),4))/(VLOOKUP(ET$72,INDIRECT($C$5&amp;"生成成长"),5))*(VLOOKUP($B$5,标准坦克设计!$B$24:$U$30,MATCH("对"&amp;LEFT($C$5,2)&amp;"输出",标准坦克设计!$B$23:$U$23,0)))*(VLOOKUP($B230,INDIRECT($B$5&amp;"生成成长"),3))*(VLOOKUP($B$5,标准坦克设计!$B$14:$K$20,9)/30))</f>
        <v>4.6813723516192853</v>
      </c>
      <c r="EU230" s="173">
        <f ca="1">(VLOOKUP(EU$72,INDIRECT($C$5&amp;"生成成长"),2))/((VLOOKUP($B230,INDIRECT($B$5&amp;"生成成长"),4))/(VLOOKUP(EU$72,INDIRECT($C$5&amp;"生成成长"),5))*(VLOOKUP($B$5,标准坦克设计!$B$24:$U$30,MATCH("对"&amp;LEFT($C$5,2)&amp;"输出",标准坦克设计!$B$23:$U$23,0)))*(VLOOKUP($B230,INDIRECT($B$5&amp;"生成成长"),3))*(VLOOKUP($B$5,标准坦克设计!$B$14:$K$20,9)/30))</f>
        <v>5.0550592341594811</v>
      </c>
      <c r="EV230" s="173">
        <f ca="1">(VLOOKUP(EV$72,INDIRECT($C$5&amp;"生成成长"),2))/((VLOOKUP($B230,INDIRECT($B$5&amp;"生成成长"),4))/(VLOOKUP(EV$72,INDIRECT($C$5&amp;"生成成长"),5))*(VLOOKUP($B$5,标准坦克设计!$B$24:$U$30,MATCH("对"&amp;LEFT($C$5,2)&amp;"输出",标准坦克设计!$B$23:$U$23,0)))*(VLOOKUP($B230,INDIRECT($B$5&amp;"生成成长"),3))*(VLOOKUP($B$5,标准坦克设计!$B$14:$K$20,9)/30))</f>
        <v>5.443093606081673</v>
      </c>
      <c r="EW230" s="173">
        <f ca="1">(VLOOKUP(EW$72,INDIRECT($C$5&amp;"生成成长"),2))/((VLOOKUP($B230,INDIRECT($B$5&amp;"生成成长"),4))/(VLOOKUP(EW$72,INDIRECT($C$5&amp;"生成成长"),5))*(VLOOKUP($B$5,标准坦克设计!$B$24:$U$30,MATCH("对"&amp;LEFT($C$5,2)&amp;"输出",标准坦克设计!$B$23:$U$23,0)))*(VLOOKUP($B230,INDIRECT($B$5&amp;"生成成长"),3))*(VLOOKUP($B$5,标准坦克设计!$B$14:$K$20,9)/30))</f>
        <v>5.8454754673858629</v>
      </c>
      <c r="EX230" s="173">
        <f ca="1">(VLOOKUP(EX$72,INDIRECT($C$5&amp;"生成成长"),2))/((VLOOKUP($B230,INDIRECT($B$5&amp;"生成成长"),4))/(VLOOKUP(EX$72,INDIRECT($C$5&amp;"生成成长"),5))*(VLOOKUP($B$5,标准坦克设计!$B$24:$U$30,MATCH("对"&amp;LEFT($C$5,2)&amp;"输出",标准坦克设计!$B$23:$U$23,0)))*(VLOOKUP($B230,INDIRECT($B$5&amp;"生成成长"),3))*(VLOOKUP($B$5,标准坦克设计!$B$14:$K$20,9)/30))</f>
        <v>6.2622048180720498</v>
      </c>
      <c r="EY230" s="173">
        <f ca="1">(VLOOKUP(EY$72,INDIRECT($C$5&amp;"生成成长"),2))/((VLOOKUP($B230,INDIRECT($B$5&amp;"生成成长"),4))/(VLOOKUP(EY$72,INDIRECT($C$5&amp;"生成成长"),5))*(VLOOKUP($B$5,标准坦克设计!$B$24:$U$30,MATCH("对"&amp;LEFT($C$5,2)&amp;"输出",标准坦克设计!$B$23:$U$23,0)))*(VLOOKUP($B230,INDIRECT($B$5&amp;"生成成长"),3))*(VLOOKUP($B$5,标准坦克设计!$B$14:$K$20,9)/30))</f>
        <v>6.6932816581402319</v>
      </c>
      <c r="EZ230" s="173">
        <f ca="1">(VLOOKUP(EZ$72,INDIRECT($C$5&amp;"生成成长"),2))/((VLOOKUP($B230,INDIRECT($B$5&amp;"生成成长"),4))/(VLOOKUP(EZ$72,INDIRECT($C$5&amp;"生成成长"),5))*(VLOOKUP($B$5,标准坦克设计!$B$24:$U$30,MATCH("对"&amp;LEFT($C$5,2)&amp;"输出",标准坦克设计!$B$23:$U$23,0)))*(VLOOKUP($B230,INDIRECT($B$5&amp;"生成成长"),3))*(VLOOKUP($B$5,标准坦克设计!$B$14:$K$20,9)/30))</f>
        <v>7.1387059875904137</v>
      </c>
      <c r="FA230" s="173">
        <f ca="1">(VLOOKUP(FA$72,INDIRECT($C$5&amp;"生成成长"),2))/((VLOOKUP($B230,INDIRECT($B$5&amp;"生成成长"),4))/(VLOOKUP(FA$72,INDIRECT($C$5&amp;"生成成长"),5))*(VLOOKUP($B$5,标准坦克设计!$B$24:$U$30,MATCH("对"&amp;LEFT($C$5,2)&amp;"输出",标准坦克设计!$B$23:$U$23,0)))*(VLOOKUP($B230,INDIRECT($B$5&amp;"生成成长"),3))*(VLOOKUP($B$5,标准坦克设计!$B$14:$K$20,9)/30))</f>
        <v>7.5984778064225909</v>
      </c>
      <c r="FB230" s="173">
        <f ca="1">(VLOOKUP(FB$72,INDIRECT($C$5&amp;"生成成长"),2))/((VLOOKUP($B230,INDIRECT($B$5&amp;"生成成长"),4))/(VLOOKUP(FB$72,INDIRECT($C$5&amp;"生成成长"),5))*(VLOOKUP($B$5,标准坦克设计!$B$24:$U$30,MATCH("对"&amp;LEFT($C$5,2)&amp;"输出",标准坦克设计!$B$23:$U$23,0)))*(VLOOKUP($B230,INDIRECT($B$5&amp;"生成成长"),3))*(VLOOKUP($B$5,标准坦克设计!$B$14:$K$20,9)/30))</f>
        <v>8.0725971146367641</v>
      </c>
      <c r="FC230" s="173">
        <f ca="1">(VLOOKUP(FC$72,INDIRECT($C$5&amp;"生成成长"),2))/((VLOOKUP($B230,INDIRECT($B$5&amp;"生成成长"),4))/(VLOOKUP(FC$72,INDIRECT($C$5&amp;"生成成长"),5))*(VLOOKUP($B$5,标准坦克设计!$B$24:$U$30,MATCH("对"&amp;LEFT($C$5,2)&amp;"输出",标准坦克设计!$B$23:$U$23,0)))*(VLOOKUP($B230,INDIRECT($B$5&amp;"生成成长"),3))*(VLOOKUP($B$5,标准坦克设计!$B$14:$K$20,9)/30))</f>
        <v>8.5610639122329388</v>
      </c>
      <c r="FD230" s="173">
        <f ca="1">(VLOOKUP(FD$72,INDIRECT($C$5&amp;"生成成长"),2))/((VLOOKUP($B230,INDIRECT($B$5&amp;"生成成长"),4))/(VLOOKUP(FD$72,INDIRECT($C$5&amp;"生成成长"),5))*(VLOOKUP($B$5,标准坦克设计!$B$24:$U$30,MATCH("对"&amp;LEFT($C$5,2)&amp;"输出",标准坦克设计!$B$23:$U$23,0)))*(VLOOKUP($B230,INDIRECT($B$5&amp;"生成成长"),3))*(VLOOKUP($B$5,标准坦克设计!$B$14:$K$20,9)/30))</f>
        <v>9.0638781992111053</v>
      </c>
      <c r="FE230" s="173">
        <f ca="1">(VLOOKUP(FE$72,INDIRECT($C$5&amp;"生成成长"),2))/((VLOOKUP($B230,INDIRECT($B$5&amp;"生成成长"),4))/(VLOOKUP(FE$72,INDIRECT($C$5&amp;"生成成长"),5))*(VLOOKUP($B$5,标准坦克设计!$B$24:$U$30,MATCH("对"&amp;LEFT($C$5,2)&amp;"输出",标准坦克设计!$B$23:$U$23,0)))*(VLOOKUP($B230,INDIRECT($B$5&amp;"生成成长"),3))*(VLOOKUP($B$5,标准坦克设计!$B$14:$K$20,9)/30))</f>
        <v>9.6766108552563086</v>
      </c>
      <c r="FF230" s="173">
        <f ca="1">(VLOOKUP(FF$72,INDIRECT($C$5&amp;"生成成长"),2))/((VLOOKUP($B230,INDIRECT($B$5&amp;"生成成长"),4))/(VLOOKUP(FF$72,INDIRECT($C$5&amp;"生成成长"),5))*(VLOOKUP($B$5,标准坦克设计!$B$24:$U$30,MATCH("对"&amp;LEFT($C$5,2)&amp;"输出",标准坦克设计!$B$23:$U$23,0)))*(VLOOKUP($B230,INDIRECT($B$5&amp;"生成成长"),3))*(VLOOKUP($B$5,标准坦克设计!$B$14:$K$20,9)/30))</f>
        <v>10.309382566719341</v>
      </c>
      <c r="FG230" s="173">
        <f ca="1">(VLOOKUP(FG$72,INDIRECT($C$5&amp;"生成成长"),2))/((VLOOKUP($B230,INDIRECT($B$5&amp;"生成成长"),4))/(VLOOKUP(FG$72,INDIRECT($C$5&amp;"生成成长"),5))*(VLOOKUP($B$5,标准坦克设计!$B$24:$U$30,MATCH("对"&amp;LEFT($C$5,2)&amp;"输出",标准坦克设计!$B$23:$U$23,0)))*(VLOOKUP($B230,INDIRECT($B$5&amp;"生成成长"),3))*(VLOOKUP($B$5,标准坦克设计!$B$14:$K$20,9)/30))</f>
        <v>10.962193333600208</v>
      </c>
      <c r="FH230" s="173">
        <f ca="1">(VLOOKUP(FH$72,INDIRECT($C$5&amp;"生成成长"),2))/((VLOOKUP($B230,INDIRECT($B$5&amp;"生成成长"),4))/(VLOOKUP(FH$72,INDIRECT($C$5&amp;"生成成长"),5))*(VLOOKUP($B$5,标准坦克设计!$B$24:$U$30,MATCH("对"&amp;LEFT($C$5,2)&amp;"输出",标准坦克设计!$B$23:$U$23,0)))*(VLOOKUP($B230,INDIRECT($B$5&amp;"生成成长"),3))*(VLOOKUP($B$5,标准坦克设计!$B$14:$K$20,9)/30))</f>
        <v>11.635043155898902</v>
      </c>
      <c r="FI230" s="173">
        <f ca="1">(VLOOKUP(FI$72,INDIRECT($C$5&amp;"生成成长"),2))/((VLOOKUP($B230,INDIRECT($B$5&amp;"生成成长"),4))/(VLOOKUP(FI$72,INDIRECT($C$5&amp;"生成成长"),5))*(VLOOKUP($B$5,标准坦克设计!$B$24:$U$30,MATCH("对"&amp;LEFT($C$5,2)&amp;"输出",标准坦克设计!$B$23:$U$23,0)))*(VLOOKUP($B230,INDIRECT($B$5&amp;"生成成长"),3))*(VLOOKUP($B$5,标准坦克设计!$B$14:$K$20,9)/30))</f>
        <v>12.327932033615429</v>
      </c>
      <c r="FJ230" s="173">
        <f ca="1">(VLOOKUP(FJ$72,INDIRECT($C$5&amp;"生成成长"),2))/((VLOOKUP($B230,INDIRECT($B$5&amp;"生成成长"),4))/(VLOOKUP(FJ$72,INDIRECT($C$5&amp;"生成成长"),5))*(VLOOKUP($B$5,标准坦克设计!$B$24:$U$30,MATCH("对"&amp;LEFT($C$5,2)&amp;"输出",标准坦克设计!$B$23:$U$23,0)))*(VLOOKUP($B230,INDIRECT($B$5&amp;"生成成长"),3))*(VLOOKUP($B$5,标准坦克设计!$B$14:$K$20,9)/30))</f>
        <v>13.040859966749785</v>
      </c>
      <c r="FK230" s="173">
        <f ca="1">(VLOOKUP(FK$72,INDIRECT($C$5&amp;"生成成长"),2))/((VLOOKUP($B230,INDIRECT($B$5&amp;"生成成长"),4))/(VLOOKUP(FK$72,INDIRECT($C$5&amp;"生成成长"),5))*(VLOOKUP($B$5,标准坦克设计!$B$24:$U$30,MATCH("对"&amp;LEFT($C$5,2)&amp;"输出",标准坦克设计!$B$23:$U$23,0)))*(VLOOKUP($B230,INDIRECT($B$5&amp;"生成成长"),3))*(VLOOKUP($B$5,标准坦克设计!$B$14:$K$20,9)/30))</f>
        <v>13.773826955301974</v>
      </c>
    </row>
    <row r="231" spans="1:167" x14ac:dyDescent="0.15">
      <c r="A231" s="171" t="str">
        <f t="shared" si="13"/>
        <v>T5高品质15级</v>
      </c>
      <c r="B231" s="172">
        <v>30515</v>
      </c>
      <c r="C231" s="173">
        <f ca="1">(VLOOKUP(C$72,INDIRECT($C$5&amp;"生成成长"),2))/((VLOOKUP($B231,INDIRECT($B$5&amp;"生成成长"),4))/(VLOOKUP(C$72,INDIRECT($C$5&amp;"生成成长"),5))*(VLOOKUP($B$5,标准坦克设计!$B$24:$U$30,MATCH("对"&amp;LEFT($C$5,2)&amp;"输出",标准坦克设计!$B$23:$U$23,0)))*(VLOOKUP($B231,INDIRECT($B$5&amp;"生成成长"),3))*(VLOOKUP($B$5,标准坦克设计!$B$14:$K$20,9)/30))</f>
        <v>0.55597422821747278</v>
      </c>
      <c r="D231" s="173">
        <f ca="1">(VLOOKUP(D$72,INDIRECT($C$5&amp;"生成成长"),2))/((VLOOKUP($B231,INDIRECT($B$5&amp;"生成成长"),4))/(VLOOKUP(D$72,INDIRECT($C$5&amp;"生成成长"),5))*(VLOOKUP($B$5,标准坦克设计!$B$24:$U$30,MATCH("对"&amp;LEFT($C$5,2)&amp;"输出",标准坦克设计!$B$23:$U$23,0)))*(VLOOKUP($B231,INDIRECT($B$5&amp;"生成成长"),3))*(VLOOKUP($B$5,标准坦克设计!$B$14:$K$20,9)/30))</f>
        <v>0.62469264282515247</v>
      </c>
      <c r="E231" s="173">
        <f ca="1">(VLOOKUP(E$72,INDIRECT($C$5&amp;"生成成长"),2))/((VLOOKUP($B231,INDIRECT($B$5&amp;"生成成长"),4))/(VLOOKUP(E$72,INDIRECT($C$5&amp;"生成成长"),5))*(VLOOKUP($B$5,标准坦克设计!$B$24:$U$30,MATCH("对"&amp;LEFT($C$5,2)&amp;"输出",标准坦克设计!$B$23:$U$23,0)))*(VLOOKUP($B231,INDIRECT($B$5&amp;"生成成长"),3))*(VLOOKUP($B$5,标准坦克设计!$B$14:$K$20,9)/30))</f>
        <v>0.69741407187599791</v>
      </c>
      <c r="F231" s="173">
        <f ca="1">(VLOOKUP(F$72,INDIRECT($C$5&amp;"生成成长"),2))/((VLOOKUP($B231,INDIRECT($B$5&amp;"生成成长"),4))/(VLOOKUP(F$72,INDIRECT($C$5&amp;"生成成长"),5))*(VLOOKUP($B$5,标准坦克设计!$B$24:$U$30,MATCH("对"&amp;LEFT($C$5,2)&amp;"输出",标准坦克设计!$B$23:$U$23,0)))*(VLOOKUP($B231,INDIRECT($B$5&amp;"生成成长"),3))*(VLOOKUP($B$5,标准坦克设计!$B$14:$K$20,9)/30))</f>
        <v>0.77413851537000911</v>
      </c>
      <c r="G231" s="173">
        <f ca="1">(VLOOKUP(G$72,INDIRECT($C$5&amp;"生成成长"),2))/((VLOOKUP($B231,INDIRECT($B$5&amp;"生成成长"),4))/(VLOOKUP(G$72,INDIRECT($C$5&amp;"生成成长"),5))*(VLOOKUP($B$5,标准坦克设计!$B$24:$U$30,MATCH("对"&amp;LEFT($C$5,2)&amp;"输出",标准坦克设计!$B$23:$U$23,0)))*(VLOOKUP($B231,INDIRECT($B$5&amp;"生成成长"),3))*(VLOOKUP($B$5,标准坦克设计!$B$14:$K$20,9)/30))</f>
        <v>0.85486597330718594</v>
      </c>
      <c r="H231" s="173">
        <f ca="1">(VLOOKUP(H$72,INDIRECT($C$5&amp;"生成成长"),2))/((VLOOKUP($B231,INDIRECT($B$5&amp;"生成成长"),4))/(VLOOKUP(H$72,INDIRECT($C$5&amp;"生成成长"),5))*(VLOOKUP($B$5,标准坦克设计!$B$24:$U$30,MATCH("对"&amp;LEFT($C$5,2)&amp;"输出",标准坦克设计!$B$23:$U$23,0)))*(VLOOKUP($B231,INDIRECT($B$5&amp;"生成成长"),3))*(VLOOKUP($B$5,标准坦克设计!$B$14:$K$20,9)/30))</f>
        <v>0.74811892148943127</v>
      </c>
      <c r="I231" s="173">
        <f ca="1">(VLOOKUP(I$72,INDIRECT($C$5&amp;"生成成长"),2))/((VLOOKUP($B231,INDIRECT($B$5&amp;"生成成长"),4))/(VLOOKUP(I$72,INDIRECT($C$5&amp;"生成成长"),5))*(VLOOKUP($B$5,标准坦克设计!$B$24:$U$30,MATCH("对"&amp;LEFT($C$5,2)&amp;"输出",标准坦克设计!$B$23:$U$23,0)))*(VLOOKUP($B231,INDIRECT($B$5&amp;"生成成长"),3))*(VLOOKUP($B$5,标准坦克设计!$B$14:$K$20,9)/30))</f>
        <v>0.85486597330718594</v>
      </c>
      <c r="J231" s="173">
        <f ca="1">(VLOOKUP(J$72,INDIRECT($C$5&amp;"生成成长"),2))/((VLOOKUP($B231,INDIRECT($B$5&amp;"生成成长"),4))/(VLOOKUP(J$72,INDIRECT($C$5&amp;"生成成长"),5))*(VLOOKUP($B$5,标准坦克设计!$B$24:$U$30,MATCH("对"&amp;LEFT($C$5,2)&amp;"输出",标准坦克设计!$B$23:$U$23,0)))*(VLOOKUP($B231,INDIRECT($B$5&amp;"生成成长"),3))*(VLOOKUP($B$5,标准坦克设计!$B$14:$K$20,9)/30))</f>
        <v>0.96872949524612473</v>
      </c>
      <c r="K231" s="173">
        <f ca="1">(VLOOKUP(K$72,INDIRECT($C$5&amp;"生成成长"),2))/((VLOOKUP($B231,INDIRECT($B$5&amp;"生成成长"),4))/(VLOOKUP(K$72,INDIRECT($C$5&amp;"生成成长"),5))*(VLOOKUP($B$5,标准坦克设计!$B$24:$U$30,MATCH("对"&amp;LEFT($C$5,2)&amp;"输出",标准坦克设计!$B$23:$U$23,0)))*(VLOOKUP($B231,INDIRECT($B$5&amp;"生成成长"),3))*(VLOOKUP($B$5,标准坦克设计!$B$14:$K$20,9)/30))</f>
        <v>1.0897094873062467</v>
      </c>
      <c r="L231" s="173">
        <f ca="1">(VLOOKUP(L$72,INDIRECT($C$5&amp;"生成成长"),2))/((VLOOKUP($B231,INDIRECT($B$5&amp;"生成成长"),4))/(VLOOKUP(L$72,INDIRECT($C$5&amp;"生成成长"),5))*(VLOOKUP($B$5,标准坦克设计!$B$24:$U$30,MATCH("对"&amp;LEFT($C$5,2)&amp;"输出",标准坦克设计!$B$23:$U$23,0)))*(VLOOKUP($B231,INDIRECT($B$5&amp;"生成成长"),3))*(VLOOKUP($B$5,标准坦克设计!$B$14:$K$20,9)/30))</f>
        <v>1.2178059494875524</v>
      </c>
      <c r="M231" s="173">
        <f ca="1">(VLOOKUP(M$72,INDIRECT($C$5&amp;"生成成长"),2))/((VLOOKUP($B231,INDIRECT($B$5&amp;"生成成长"),4))/(VLOOKUP(M$72,INDIRECT($C$5&amp;"生成成长"),5))*(VLOOKUP($B$5,标准坦克设计!$B$24:$U$30,MATCH("对"&amp;LEFT($C$5,2)&amp;"输出",标准坦克设计!$B$23:$U$23,0)))*(VLOOKUP($B231,INDIRECT($B$5&amp;"生成成长"),3))*(VLOOKUP($B$5,标准坦克设计!$B$14:$K$20,9)/30))</f>
        <v>1.3530188817900417</v>
      </c>
      <c r="N231" s="173">
        <f ca="1">(VLOOKUP(N$72,INDIRECT($C$5&amp;"生成成长"),2))/((VLOOKUP($B231,INDIRECT($B$5&amp;"生成成长"),4))/(VLOOKUP(N$72,INDIRECT($C$5&amp;"生成成长"),5))*(VLOOKUP($B$5,标准坦克设计!$B$24:$U$30,MATCH("对"&amp;LEFT($C$5,2)&amp;"输出",标准坦克设计!$B$23:$U$23,0)))*(VLOOKUP($B231,INDIRECT($B$5&amp;"生成成长"),3))*(VLOOKUP($B$5,标准坦克设计!$B$14:$K$20,9)/30))</f>
        <v>1.4953482842137147</v>
      </c>
      <c r="O231" s="173">
        <f ca="1">(VLOOKUP(O$72,INDIRECT($C$5&amp;"生成成长"),2))/((VLOOKUP($B231,INDIRECT($B$5&amp;"生成成长"),4))/(VLOOKUP(O$72,INDIRECT($C$5&amp;"生成成长"),5))*(VLOOKUP($B$5,标准坦克设计!$B$24:$U$30,MATCH("对"&amp;LEFT($C$5,2)&amp;"输出",标准坦克设计!$B$23:$U$23,0)))*(VLOOKUP($B231,INDIRECT($B$5&amp;"生成成长"),3))*(VLOOKUP($B$5,标准坦克设计!$B$14:$K$20,9)/30))</f>
        <v>1.1369116992819099</v>
      </c>
      <c r="P231" s="173">
        <f ca="1">(VLOOKUP(P$72,INDIRECT($C$5&amp;"生成成长"),2))/((VLOOKUP($B231,INDIRECT($B$5&amp;"生成成长"),4))/(VLOOKUP(P$72,INDIRECT($C$5&amp;"生成成长"),5))*(VLOOKUP($B$5,标准坦克设计!$B$24:$U$30,MATCH("对"&amp;LEFT($C$5,2)&amp;"输出",标准坦克设计!$B$23:$U$23,0)))*(VLOOKUP($B231,INDIRECT($B$5&amp;"生成成长"),3))*(VLOOKUP($B$5,标准坦克设计!$B$14:$K$20,9)/30))</f>
        <v>1.2845228568736493</v>
      </c>
      <c r="Q231" s="173">
        <f ca="1">(VLOOKUP(Q$72,INDIRECT($C$5&amp;"生成成长"),2))/((VLOOKUP($B231,INDIRECT($B$5&amp;"生成成长"),4))/(VLOOKUP(Q$72,INDIRECT($C$5&amp;"生成成长"),5))*(VLOOKUP($B$5,标准坦克设计!$B$24:$U$30,MATCH("对"&amp;LEFT($C$5,2)&amp;"输出",标准坦克设计!$B$23:$U$23,0)))*(VLOOKUP($B231,INDIRECT($B$5&amp;"生成成长"),3))*(VLOOKUP($B$5,标准坦克设计!$B$14:$K$20,9)/30))</f>
        <v>1.4411407969625112</v>
      </c>
      <c r="R231" s="173">
        <f ca="1">(VLOOKUP(R$72,INDIRECT($C$5&amp;"生成成长"),2))/((VLOOKUP($B231,INDIRECT($B$5&amp;"生成成长"),4))/(VLOOKUP(R$72,INDIRECT($C$5&amp;"生成成长"),5))*(VLOOKUP($B$5,标准坦克设计!$B$24:$U$30,MATCH("对"&amp;LEFT($C$5,2)&amp;"输出",标准坦克设计!$B$23:$U$23,0)))*(VLOOKUP($B231,INDIRECT($B$5&amp;"生成成长"),3))*(VLOOKUP($B$5,标准坦克设计!$B$14:$K$20,9)/30))</f>
        <v>1.6067655195484964</v>
      </c>
      <c r="S231" s="173">
        <f ca="1">(VLOOKUP(S$72,INDIRECT($C$5&amp;"生成成长"),2))/((VLOOKUP($B231,INDIRECT($B$5&amp;"生成成长"),4))/(VLOOKUP(S$72,INDIRECT($C$5&amp;"生成成长"),5))*(VLOOKUP($B$5,标准坦克设计!$B$24:$U$30,MATCH("对"&amp;LEFT($C$5,2)&amp;"输出",标准坦克设计!$B$23:$U$23,0)))*(VLOOKUP($B231,INDIRECT($B$5&amp;"生成成长"),3))*(VLOOKUP($B$5,标准坦克设计!$B$14:$K$20,9)/30))</f>
        <v>1.7813970246316044</v>
      </c>
      <c r="T231" s="173">
        <f ca="1">(VLOOKUP(T$72,INDIRECT($C$5&amp;"生成成长"),2))/((VLOOKUP($B231,INDIRECT($B$5&amp;"生成成长"),4))/(VLOOKUP(T$72,INDIRECT($C$5&amp;"生成成长"),5))*(VLOOKUP($B$5,标准坦克设计!$B$24:$U$30,MATCH("对"&amp;LEFT($C$5,2)&amp;"输出",标准坦克设计!$B$23:$U$23,0)))*(VLOOKUP($B231,INDIRECT($B$5&amp;"生成成长"),3))*(VLOOKUP($B$5,标准坦克设计!$B$14:$K$20,9)/30))</f>
        <v>1.9650353122118358</v>
      </c>
      <c r="U231" s="173">
        <f ca="1">(VLOOKUP(U$72,INDIRECT($C$5&amp;"生成成长"),2))/((VLOOKUP($B231,INDIRECT($B$5&amp;"生成成长"),4))/(VLOOKUP(U$72,INDIRECT($C$5&amp;"生成成长"),5))*(VLOOKUP($B$5,标准坦克设计!$B$24:$U$30,MATCH("对"&amp;LEFT($C$5,2)&amp;"输出",标准坦克设计!$B$23:$U$23,0)))*(VLOOKUP($B231,INDIRECT($B$5&amp;"生成成长"),3))*(VLOOKUP($B$5,标准坦克设计!$B$14:$K$20,9)/30))</f>
        <v>2.1576803822891906</v>
      </c>
      <c r="V231" s="173">
        <f ca="1">(VLOOKUP(V$72,INDIRECT($C$5&amp;"生成成长"),2))/((VLOOKUP($B231,INDIRECT($B$5&amp;"生成成长"),4))/(VLOOKUP(V$72,INDIRECT($C$5&amp;"生成成长"),5))*(VLOOKUP($B$5,标准坦克设计!$B$24:$U$30,MATCH("对"&amp;LEFT($C$5,2)&amp;"输出",标准坦克设计!$B$23:$U$23,0)))*(VLOOKUP($B231,INDIRECT($B$5&amp;"生成成长"),3))*(VLOOKUP($B$5,标准坦克设计!$B$14:$K$20,9)/30))</f>
        <v>2.3593322348636674</v>
      </c>
      <c r="W231" s="173">
        <f ca="1">(VLOOKUP(W$72,INDIRECT($C$5&amp;"生成成长"),2))/((VLOOKUP($B231,INDIRECT($B$5&amp;"生成成长"),4))/(VLOOKUP(W$72,INDIRECT($C$5&amp;"生成成长"),5))*(VLOOKUP($B$5,标准坦克设计!$B$24:$U$30,MATCH("对"&amp;LEFT($C$5,2)&amp;"输出",标准坦克设计!$B$23:$U$23,0)))*(VLOOKUP($B231,INDIRECT($B$5&amp;"生成成长"),3))*(VLOOKUP($B$5,标准坦克设计!$B$14:$K$20,9)/30))</f>
        <v>2.5699908699352685</v>
      </c>
      <c r="X231" s="173">
        <f ca="1">(VLOOKUP(X$72,INDIRECT($C$5&amp;"生成成长"),2))/((VLOOKUP($B231,INDIRECT($B$5&amp;"生成成长"),4))/(VLOOKUP(X$72,INDIRECT($C$5&amp;"生成成长"),5))*(VLOOKUP($B$5,标准坦克设计!$B$24:$U$30,MATCH("对"&amp;LEFT($C$5,2)&amp;"输出",标准坦克设计!$B$23:$U$23,0)))*(VLOOKUP($B231,INDIRECT($B$5&amp;"生成成长"),3))*(VLOOKUP($B$5,标准坦克设计!$B$14:$K$20,9)/30))</f>
        <v>1.8619020928774948</v>
      </c>
      <c r="Y231" s="173">
        <f ca="1">(VLOOKUP(Y$72,INDIRECT($C$5&amp;"生成成长"),2))/((VLOOKUP($B231,INDIRECT($B$5&amp;"生成成长"),4))/(VLOOKUP(Y$72,INDIRECT($C$5&amp;"生成成长"),5))*(VLOOKUP($B$5,标准坦克设计!$B$24:$U$30,MATCH("对"&amp;LEFT($C$5,2)&amp;"输出",标准坦克设计!$B$23:$U$23,0)))*(VLOOKUP($B231,INDIRECT($B$5&amp;"生成成长"),3))*(VLOOKUP($B$5,标准坦克设计!$B$14:$K$20,9)/30))</f>
        <v>2.0709484026872644</v>
      </c>
      <c r="Z231" s="173">
        <f ca="1">(VLOOKUP(Z$72,INDIRECT($C$5&amp;"生成成长"),2))/((VLOOKUP($B231,INDIRECT($B$5&amp;"生成成长"),4))/(VLOOKUP(Z$72,INDIRECT($C$5&amp;"生成成长"),5))*(VLOOKUP($B$5,标准坦克设计!$B$24:$U$30,MATCH("对"&amp;LEFT($C$5,2)&amp;"输出",标准坦克设计!$B$23:$U$23,0)))*(VLOOKUP($B231,INDIRECT($B$5&amp;"生成成长"),3))*(VLOOKUP($B$5,标准坦克设计!$B$14:$K$20,9)/30))</f>
        <v>2.2911141970613835</v>
      </c>
      <c r="AA231" s="173">
        <f ca="1">(VLOOKUP(AA$72,INDIRECT($C$5&amp;"生成成长"),2))/((VLOOKUP($B231,INDIRECT($B$5&amp;"生成成长"),4))/(VLOOKUP(AA$72,INDIRECT($C$5&amp;"生成成长"),5))*(VLOOKUP($B$5,标准坦克设计!$B$24:$U$30,MATCH("对"&amp;LEFT($C$5,2)&amp;"输出",标准坦克设计!$B$23:$U$23,0)))*(VLOOKUP($B231,INDIRECT($B$5&amp;"生成成长"),3))*(VLOOKUP($B$5,标准坦克设计!$B$14:$K$20,9)/30))</f>
        <v>2.5223994759998525</v>
      </c>
      <c r="AB231" s="173">
        <f ca="1">(VLOOKUP(AB$72,INDIRECT($C$5&amp;"生成成长"),2))/((VLOOKUP($B231,INDIRECT($B$5&amp;"生成成长"),4))/(VLOOKUP(AB$72,INDIRECT($C$5&amp;"生成成长"),5))*(VLOOKUP($B$5,标准坦克设计!$B$24:$U$30,MATCH("对"&amp;LEFT($C$5,2)&amp;"输出",标准坦克设计!$B$23:$U$23,0)))*(VLOOKUP($B231,INDIRECT($B$5&amp;"生成成长"),3))*(VLOOKUP($B$5,标准坦克设计!$B$14:$K$20,9)/30))</f>
        <v>2.7648042395026708</v>
      </c>
      <c r="AC231" s="173">
        <f ca="1">(VLOOKUP(AC$72,INDIRECT($C$5&amp;"生成成长"),2))/((VLOOKUP($B231,INDIRECT($B$5&amp;"生成成长"),4))/(VLOOKUP(AC$72,INDIRECT($C$5&amp;"生成成长"),5))*(VLOOKUP($B$5,标准坦克设计!$B$24:$U$30,MATCH("对"&amp;LEFT($C$5,2)&amp;"输出",标准坦克设计!$B$23:$U$23,0)))*(VLOOKUP($B231,INDIRECT($B$5&amp;"生成成长"),3))*(VLOOKUP($B$5,标准坦克设计!$B$14:$K$20,9)/30))</f>
        <v>3.0183284875698382</v>
      </c>
      <c r="AD231" s="173">
        <f ca="1">(VLOOKUP(AD$72,INDIRECT($C$5&amp;"生成成长"),2))/((VLOOKUP($B231,INDIRECT($B$5&amp;"生成成长"),4))/(VLOOKUP(AD$72,INDIRECT($C$5&amp;"生成成长"),5))*(VLOOKUP($B$5,标准坦克设计!$B$24:$U$30,MATCH("对"&amp;LEFT($C$5,2)&amp;"输出",标准坦克设计!$B$23:$U$23,0)))*(VLOOKUP($B231,INDIRECT($B$5&amp;"生成成长"),3))*(VLOOKUP($B$5,标准坦克设计!$B$14:$K$20,9)/30))</f>
        <v>3.2829722202013549</v>
      </c>
      <c r="AE231" s="173">
        <f ca="1">(VLOOKUP(AE$72,INDIRECT($C$5&amp;"生成成长"),2))/((VLOOKUP($B231,INDIRECT($B$5&amp;"生成成长"),4))/(VLOOKUP(AE$72,INDIRECT($C$5&amp;"生成成长"),5))*(VLOOKUP($B$5,标准坦克设计!$B$24:$U$30,MATCH("对"&amp;LEFT($C$5,2)&amp;"输出",标准坦克设计!$B$23:$U$23,0)))*(VLOOKUP($B231,INDIRECT($B$5&amp;"生成成长"),3))*(VLOOKUP($B$5,标准坦克设计!$B$14:$K$20,9)/30))</f>
        <v>3.5587354373972215</v>
      </c>
      <c r="AF231" s="173">
        <f ca="1">(VLOOKUP(AF$72,INDIRECT($C$5&amp;"生成成长"),2))/((VLOOKUP($B231,INDIRECT($B$5&amp;"生成成长"),4))/(VLOOKUP(AF$72,INDIRECT($C$5&amp;"生成成长"),5))*(VLOOKUP($B$5,标准坦克设计!$B$24:$U$30,MATCH("对"&amp;LEFT($C$5,2)&amp;"输出",标准坦克设计!$B$23:$U$23,0)))*(VLOOKUP($B231,INDIRECT($B$5&amp;"生成成长"),3))*(VLOOKUP($B$5,标准坦克设计!$B$14:$K$20,9)/30))</f>
        <v>3.8456181391574376</v>
      </c>
      <c r="AG231" s="173">
        <f ca="1">(VLOOKUP(AG$72,INDIRECT($C$5&amp;"生成成长"),2))/((VLOOKUP($B231,INDIRECT($B$5&amp;"生成成长"),4))/(VLOOKUP(AG$72,INDIRECT($C$5&amp;"生成成长"),5))*(VLOOKUP($B$5,标准坦克设计!$B$24:$U$30,MATCH("对"&amp;LEFT($C$5,2)&amp;"输出",标准坦克设计!$B$23:$U$23,0)))*(VLOOKUP($B231,INDIRECT($B$5&amp;"生成成长"),3))*(VLOOKUP($B$5,标准坦克设计!$B$14:$K$20,9)/30))</f>
        <v>4.1436203254820034</v>
      </c>
      <c r="AH231" s="173">
        <f ca="1">(VLOOKUP(AH$72,INDIRECT($C$5&amp;"生成成长"),2))/((VLOOKUP($B231,INDIRECT($B$5&amp;"生成成长"),4))/(VLOOKUP(AH$72,INDIRECT($C$5&amp;"生成成长"),5))*(VLOOKUP($B$5,标准坦克设计!$B$24:$U$30,MATCH("对"&amp;LEFT($C$5,2)&amp;"输出",标准坦克设计!$B$23:$U$23,0)))*(VLOOKUP($B231,INDIRECT($B$5&amp;"生成成长"),3))*(VLOOKUP($B$5,标准坦克设计!$B$14:$K$20,9)/30))</f>
        <v>4.4527419963709178</v>
      </c>
      <c r="AI231" s="173">
        <f ca="1">(VLOOKUP(AI$72,INDIRECT($C$5&amp;"生成成长"),2))/((VLOOKUP($B231,INDIRECT($B$5&amp;"生成成长"),4))/(VLOOKUP(AI$72,INDIRECT($C$5&amp;"生成成长"),5))*(VLOOKUP($B$5,标准坦克设计!$B$24:$U$30,MATCH("对"&amp;LEFT($C$5,2)&amp;"输出",标准坦克设计!$B$23:$U$23,0)))*(VLOOKUP($B231,INDIRECT($B$5&amp;"生成成长"),3))*(VLOOKUP($B$5,标准坦克设计!$B$14:$K$20,9)/30))</f>
        <v>3.1492604183150528</v>
      </c>
      <c r="AJ231" s="173">
        <f ca="1">(VLOOKUP(AJ$72,INDIRECT($C$5&amp;"生成成长"),2))/((VLOOKUP($B231,INDIRECT($B$5&amp;"生成成长"),4))/(VLOOKUP(AJ$72,INDIRECT($C$5&amp;"生成成长"),5))*(VLOOKUP($B$5,标准坦克设计!$B$24:$U$30,MATCH("对"&amp;LEFT($C$5,2)&amp;"输出",标准坦克设计!$B$23:$U$23,0)))*(VLOOKUP($B231,INDIRECT($B$5&amp;"生成成长"),3))*(VLOOKUP($B$5,标准坦克设计!$B$14:$K$20,9)/30))</f>
        <v>3.4470958123711535</v>
      </c>
      <c r="AK231" s="173">
        <f ca="1">(VLOOKUP(AK$72,INDIRECT($C$5&amp;"生成成长"),2))/((VLOOKUP($B231,INDIRECT($B$5&amp;"生成成长"),4))/(VLOOKUP(AK$72,INDIRECT($C$5&amp;"生成成长"),5))*(VLOOKUP($B$5,标准坦克设计!$B$24:$U$30,MATCH("对"&amp;LEFT($C$5,2)&amp;"输出",标准坦克设计!$B$23:$U$23,0)))*(VLOOKUP($B231,INDIRECT($B$5&amp;"生成成长"),3))*(VLOOKUP($B$5,标准坦克设计!$B$14:$K$20,9)/30))</f>
        <v>3.7583857827501159</v>
      </c>
      <c r="AL231" s="173">
        <f ca="1">(VLOOKUP(AL$72,INDIRECT($C$5&amp;"生成成长"),2))/((VLOOKUP($B231,INDIRECT($B$5&amp;"生成成长"),4))/(VLOOKUP(AL$72,INDIRECT($C$5&amp;"生成成长"),5))*(VLOOKUP($B$5,标准坦克设计!$B$24:$U$30,MATCH("对"&amp;LEFT($C$5,2)&amp;"输出",标准坦克设计!$B$23:$U$23,0)))*(VLOOKUP($B231,INDIRECT($B$5&amp;"生成成长"),3))*(VLOOKUP($B$5,标准坦克设计!$B$14:$K$20,9)/30))</f>
        <v>4.0831303294519419</v>
      </c>
      <c r="AM231" s="173">
        <f ca="1">(VLOOKUP(AM$72,INDIRECT($C$5&amp;"生成成长"),2))/((VLOOKUP($B231,INDIRECT($B$5&amp;"生成成长"),4))/(VLOOKUP(AM$72,INDIRECT($C$5&amp;"生成成长"),5))*(VLOOKUP($B$5,标准坦克设计!$B$24:$U$30,MATCH("对"&amp;LEFT($C$5,2)&amp;"输出",标准坦克设计!$B$23:$U$23,0)))*(VLOOKUP($B231,INDIRECT($B$5&amp;"生成成长"),3))*(VLOOKUP($B$5,标准坦克设计!$B$14:$K$20,9)/30))</f>
        <v>4.4213294524766313</v>
      </c>
      <c r="AN231" s="173">
        <f ca="1">(VLOOKUP(AN$72,INDIRECT($C$5&amp;"生成成长"),2))/((VLOOKUP($B231,INDIRECT($B$5&amp;"生成成长"),4))/(VLOOKUP(AN$72,INDIRECT($C$5&amp;"生成成长"),5))*(VLOOKUP($B$5,标准坦克设计!$B$24:$U$30,MATCH("对"&amp;LEFT($C$5,2)&amp;"输出",标准坦克设计!$B$23:$U$23,0)))*(VLOOKUP($B231,INDIRECT($B$5&amp;"生成成长"),3))*(VLOOKUP($B$5,标准坦克设计!$B$14:$K$20,9)/30))</f>
        <v>4.7729831518241816</v>
      </c>
      <c r="AO231" s="173">
        <f ca="1">(VLOOKUP(AO$72,INDIRECT($C$5&amp;"生成成长"),2))/((VLOOKUP($B231,INDIRECT($B$5&amp;"生成成长"),4))/(VLOOKUP(AO$72,INDIRECT($C$5&amp;"生成成长"),5))*(VLOOKUP($B$5,标准坦克设计!$B$24:$U$30,MATCH("对"&amp;LEFT($C$5,2)&amp;"输出",标准坦克设计!$B$23:$U$23,0)))*(VLOOKUP($B231,INDIRECT($B$5&amp;"生成成长"),3))*(VLOOKUP($B$5,标准坦克设计!$B$14:$K$20,9)/30))</f>
        <v>5.1380914274945972</v>
      </c>
      <c r="AP231" s="173">
        <f ca="1">(VLOOKUP(AP$72,INDIRECT($C$5&amp;"生成成长"),2))/((VLOOKUP($B231,INDIRECT($B$5&amp;"生成成长"),4))/(VLOOKUP(AP$72,INDIRECT($C$5&amp;"生成成长"),5))*(VLOOKUP($B$5,标准坦克设计!$B$24:$U$30,MATCH("对"&amp;LEFT($C$5,2)&amp;"输出",标准坦克设计!$B$23:$U$23,0)))*(VLOOKUP($B231,INDIRECT($B$5&amp;"生成成长"),3))*(VLOOKUP($B$5,标准坦克设计!$B$14:$K$20,9)/30))</f>
        <v>5.5166542794878746</v>
      </c>
      <c r="AQ231" s="173">
        <f ca="1">(VLOOKUP(AQ$72,INDIRECT($C$5&amp;"生成成长"),2))/((VLOOKUP($B231,INDIRECT($B$5&amp;"生成成长"),4))/(VLOOKUP(AQ$72,INDIRECT($C$5&amp;"生成成长"),5))*(VLOOKUP($B$5,标准坦克设计!$B$24:$U$30,MATCH("对"&amp;LEFT($C$5,2)&amp;"输出",标准坦克设计!$B$23:$U$23,0)))*(VLOOKUP($B231,INDIRECT($B$5&amp;"生成成长"),3))*(VLOOKUP($B$5,标准坦克设计!$B$14:$K$20,9)/30))</f>
        <v>5.9086717078040145</v>
      </c>
      <c r="AR231" s="173">
        <f ca="1">(VLOOKUP(AR$72,INDIRECT($C$5&amp;"生成成长"),2))/((VLOOKUP($B231,INDIRECT($B$5&amp;"生成成长"),4))/(VLOOKUP(AR$72,INDIRECT($C$5&amp;"生成成长"),5))*(VLOOKUP($B$5,标准坦克设计!$B$24:$U$30,MATCH("对"&amp;LEFT($C$5,2)&amp;"输出",标准坦克设计!$B$23:$U$23,0)))*(VLOOKUP($B231,INDIRECT($B$5&amp;"生成成长"),3))*(VLOOKUP($B$5,标准坦克设计!$B$14:$K$20,9)/30))</f>
        <v>6.3141437124430162</v>
      </c>
      <c r="AS231" s="173">
        <f ca="1">(VLOOKUP(AS$72,INDIRECT($C$5&amp;"生成成长"),2))/((VLOOKUP($B231,INDIRECT($B$5&amp;"生成成长"),4))/(VLOOKUP(AS$72,INDIRECT($C$5&amp;"生成成长"),5))*(VLOOKUP($B$5,标准坦克设计!$B$24:$U$30,MATCH("对"&amp;LEFT($C$5,2)&amp;"输出",标准坦克设计!$B$23:$U$23,0)))*(VLOOKUP($B231,INDIRECT($B$5&amp;"生成成长"),3))*(VLOOKUP($B$5,标准坦克设计!$B$14:$K$20,9)/30))</f>
        <v>6.7330702934048823</v>
      </c>
      <c r="AT231" s="173">
        <f ca="1">(VLOOKUP(AT$72,INDIRECT($C$5&amp;"生成成长"),2))/((VLOOKUP($B231,INDIRECT($B$5&amp;"生成成长"),4))/(VLOOKUP(AT$72,INDIRECT($C$5&amp;"生成成长"),5))*(VLOOKUP($B$5,标准坦克设计!$B$24:$U$30,MATCH("对"&amp;LEFT($C$5,2)&amp;"输出",标准坦克设计!$B$23:$U$23,0)))*(VLOOKUP($B231,INDIRECT($B$5&amp;"生成成长"),3))*(VLOOKUP($B$5,标准坦克设计!$B$14:$K$20,9)/30))</f>
        <v>7.1654514506896101</v>
      </c>
      <c r="AU231" s="173">
        <f ca="1">(VLOOKUP(AU$72,INDIRECT($C$5&amp;"生成成长"),2))/((VLOOKUP($B231,INDIRECT($B$5&amp;"生成成长"),4))/(VLOOKUP(AU$72,INDIRECT($C$5&amp;"生成成长"),5))*(VLOOKUP($B$5,标准坦克设计!$B$24:$U$30,MATCH("对"&amp;LEFT($C$5,2)&amp;"输出",标准坦克设计!$B$23:$U$23,0)))*(VLOOKUP($B231,INDIRECT($B$5&amp;"生成成长"),3))*(VLOOKUP($B$5,标准坦克设计!$B$14:$K$20,9)/30))</f>
        <v>7.6112871842972032</v>
      </c>
      <c r="AV231" s="173">
        <f ca="1">(VLOOKUP(AV$72,INDIRECT($C$5&amp;"生成成长"),2))/((VLOOKUP($B231,INDIRECT($B$5&amp;"生成成长"),4))/(VLOOKUP(AV$72,INDIRECT($C$5&amp;"生成成长"),5))*(VLOOKUP($B$5,标准坦克设计!$B$24:$U$30,MATCH("对"&amp;LEFT($C$5,2)&amp;"输出",标准坦克设计!$B$23:$U$23,0)))*(VLOOKUP($B231,INDIRECT($B$5&amp;"生成成长"),3))*(VLOOKUP($B$5,标准坦克设计!$B$14:$K$20,9)/30))</f>
        <v>0.77413851537000911</v>
      </c>
      <c r="AW231" s="173">
        <f ca="1">(VLOOKUP(AW$72,INDIRECT($C$5&amp;"生成成长"),2))/((VLOOKUP($B231,INDIRECT($B$5&amp;"生成成长"),4))/(VLOOKUP(AW$72,INDIRECT($C$5&amp;"生成成长"),5))*(VLOOKUP($B$5,标准坦克设计!$B$24:$U$30,MATCH("对"&amp;LEFT($C$5,2)&amp;"输出",标准坦克设计!$B$23:$U$23,0)))*(VLOOKUP($B231,INDIRECT($B$5&amp;"生成成长"),3))*(VLOOKUP($B$5,标准坦克设计!$B$14:$K$20,9)/30))</f>
        <v>0.88266468471805981</v>
      </c>
      <c r="AX231" s="173">
        <f ca="1">(VLOOKUP(AX$72,INDIRECT($C$5&amp;"生成成长"),2))/((VLOOKUP($B231,INDIRECT($B$5&amp;"生成成长"),4))/(VLOOKUP(AX$72,INDIRECT($C$5&amp;"生成成长"),5))*(VLOOKUP($B$5,标准坦克设计!$B$24:$U$30,MATCH("对"&amp;LEFT($C$5,2)&amp;"输出",标准坦克设计!$B$23:$U$23,0)))*(VLOOKUP($B231,INDIRECT($B$5&amp;"生成成长"),3))*(VLOOKUP($B$5,标准坦克设计!$B$14:$K$20,9)/30))</f>
        <v>0.99830732418729407</v>
      </c>
      <c r="AY231" s="173">
        <f ca="1">(VLOOKUP(AY$72,INDIRECT($C$5&amp;"生成成长"),2))/((VLOOKUP($B231,INDIRECT($B$5&amp;"生成成长"),4))/(VLOOKUP(AY$72,INDIRECT($C$5&amp;"生成成长"),5))*(VLOOKUP($B$5,标准坦克设计!$B$24:$U$30,MATCH("对"&amp;LEFT($C$5,2)&amp;"输出",标准坦克设计!$B$23:$U$23,0)))*(VLOOKUP($B231,INDIRECT($B$5&amp;"生成成长"),3))*(VLOOKUP($B$5,标准坦克设计!$B$14:$K$20,9)/30))</f>
        <v>1.1210664337777121</v>
      </c>
      <c r="AZ231" s="173">
        <f ca="1">(VLOOKUP(AZ$72,INDIRECT($C$5&amp;"生成成长"),2))/((VLOOKUP($B231,INDIRECT($B$5&amp;"生成成长"),4))/(VLOOKUP(AZ$72,INDIRECT($C$5&amp;"生成成长"),5))*(VLOOKUP($B$5,标准坦克设计!$B$24:$U$30,MATCH("对"&amp;LEFT($C$5,2)&amp;"输出",标准坦克设计!$B$23:$U$23,0)))*(VLOOKUP($B231,INDIRECT($B$5&amp;"生成成长"),3))*(VLOOKUP($B$5,标准坦克设计!$B$14:$K$20,9)/30))</f>
        <v>1.2509420134893137</v>
      </c>
      <c r="BA231" s="173">
        <f ca="1">(VLOOKUP(BA$72,INDIRECT($C$5&amp;"生成成长"),2))/((VLOOKUP($B231,INDIRECT($B$5&amp;"生成成长"),4))/(VLOOKUP(BA$72,INDIRECT($C$5&amp;"生成成长"),5))*(VLOOKUP($B$5,标准坦克设计!$B$24:$U$30,MATCH("对"&amp;LEFT($C$5,2)&amp;"输出",标准坦克设计!$B$23:$U$23,0)))*(VLOOKUP($B231,INDIRECT($B$5&amp;"生成成长"),3))*(VLOOKUP($B$5,标准坦克设计!$B$14:$K$20,9)/30))</f>
        <v>1.3879340633220991</v>
      </c>
      <c r="BB231" s="173">
        <f ca="1">(VLOOKUP(BB$72,INDIRECT($C$5&amp;"生成成长"),2))/((VLOOKUP($B231,INDIRECT($B$5&amp;"生成成长"),4))/(VLOOKUP(BB$72,INDIRECT($C$5&amp;"生成成长"),5))*(VLOOKUP($B$5,标准坦克设计!$B$24:$U$30,MATCH("对"&amp;LEFT($C$5,2)&amp;"输出",标准坦克设计!$B$23:$U$23,0)))*(VLOOKUP($B231,INDIRECT($B$5&amp;"生成成长"),3))*(VLOOKUP($B$5,标准坦克设计!$B$14:$K$20,9)/30))</f>
        <v>1.5320425832760678</v>
      </c>
      <c r="BC231" s="173">
        <f ca="1">(VLOOKUP(BC$72,INDIRECT($C$5&amp;"生成成长"),2))/((VLOOKUP($B231,INDIRECT($B$5&amp;"生成成长"),4))/(VLOOKUP(BC$72,INDIRECT($C$5&amp;"生成成长"),5))*(VLOOKUP($B$5,标准坦克设计!$B$24:$U$30,MATCH("对"&amp;LEFT($C$5,2)&amp;"输出",标准坦克设计!$B$23:$U$23,0)))*(VLOOKUP($B231,INDIRECT($B$5&amp;"生成成长"),3))*(VLOOKUP($B$5,标准坦克设计!$B$14:$K$20,9)/30))</f>
        <v>1.6832675733512206</v>
      </c>
      <c r="BD231" s="173">
        <f ca="1">(VLOOKUP(BD$72,INDIRECT($C$5&amp;"生成成长"),2))/((VLOOKUP($B231,INDIRECT($B$5&amp;"生成成长"),4))/(VLOOKUP(BD$72,INDIRECT($C$5&amp;"生成成长"),5))*(VLOOKUP($B$5,标准坦克设计!$B$24:$U$30,MATCH("对"&amp;LEFT($C$5,2)&amp;"输出",标准坦克设计!$B$23:$U$23,0)))*(VLOOKUP($B231,INDIRECT($B$5&amp;"生成成长"),3))*(VLOOKUP($B$5,标准坦克设计!$B$14:$K$20,9)/30))</f>
        <v>1.8619020928774948</v>
      </c>
      <c r="BE231" s="173">
        <f ca="1">(VLOOKUP(BE$72,INDIRECT($C$5&amp;"生成成长"),2))/((VLOOKUP($B231,INDIRECT($B$5&amp;"生成成长"),4))/(VLOOKUP(BE$72,INDIRECT($C$5&amp;"生成成长"),5))*(VLOOKUP($B$5,标准坦克设计!$B$24:$U$30,MATCH("对"&amp;LEFT($C$5,2)&amp;"输出",标准坦克设计!$B$23:$U$23,0)))*(VLOOKUP($B231,INDIRECT($B$5&amp;"生成成长"),3))*(VLOOKUP($B$5,标准坦克设计!$B$14:$K$20,9)/30))</f>
        <v>2.0495433949008919</v>
      </c>
      <c r="BF231" s="173">
        <f ca="1">(VLOOKUP(BF$72,INDIRECT($C$5&amp;"生成成长"),2))/((VLOOKUP($B231,INDIRECT($B$5&amp;"生成成长"),4))/(VLOOKUP(BF$72,INDIRECT($C$5&amp;"生成成长"),5))*(VLOOKUP($B$5,标准坦克设计!$B$24:$U$30,MATCH("对"&amp;LEFT($C$5,2)&amp;"输出",标准坦克设计!$B$23:$U$23,0)))*(VLOOKUP($B231,INDIRECT($B$5&amp;"生成成长"),3))*(VLOOKUP($B$5,标准坦克设计!$B$14:$K$20,9)/30))</f>
        <v>2.246191479421412</v>
      </c>
      <c r="BG231" s="173">
        <f ca="1">(VLOOKUP(BG$72,INDIRECT($C$5&amp;"生成成长"),2))/((VLOOKUP($B231,INDIRECT($B$5&amp;"生成成长"),4))/(VLOOKUP(BG$72,INDIRECT($C$5&amp;"生成成长"),5))*(VLOOKUP($B$5,标准坦克设计!$B$24:$U$30,MATCH("对"&amp;LEFT($C$5,2)&amp;"输出",标准坦克设计!$B$23:$U$23,0)))*(VLOOKUP($B231,INDIRECT($B$5&amp;"生成成长"),3))*(VLOOKUP($B$5,标准坦克设计!$B$14:$K$20,9)/30))</f>
        <v>2.451846346439055</v>
      </c>
      <c r="BH231" s="173">
        <f ca="1">(VLOOKUP(BH$72,INDIRECT($C$5&amp;"生成成长"),2))/((VLOOKUP($B231,INDIRECT($B$5&amp;"生成成长"),4))/(VLOOKUP(BH$72,INDIRECT($C$5&amp;"生成成长"),5))*(VLOOKUP($B$5,标准坦克设计!$B$24:$U$30,MATCH("对"&amp;LEFT($C$5,2)&amp;"输出",标准坦克设计!$B$23:$U$23,0)))*(VLOOKUP($B231,INDIRECT($B$5&amp;"生成成长"),3))*(VLOOKUP($B$5,标准坦克设计!$B$14:$K$20,9)/30))</f>
        <v>1.185114664868365</v>
      </c>
      <c r="BI231" s="173">
        <f ca="1">(VLOOKUP(BI$72,INDIRECT($C$5&amp;"生成成长"),2))/((VLOOKUP($B231,INDIRECT($B$5&amp;"生成成长"),4))/(VLOOKUP(BI$72,INDIRECT($C$5&amp;"生成成长"),5))*(VLOOKUP($B$5,标准坦克设计!$B$24:$U$30,MATCH("对"&amp;LEFT($C$5,2)&amp;"输出",标准坦克设计!$B$23:$U$23,0)))*(VLOOKUP($B231,INDIRECT($B$5&amp;"生成成长"),3))*(VLOOKUP($B$5,标准坦克设计!$B$14:$K$20,9)/30))</f>
        <v>1.3357280832924785</v>
      </c>
      <c r="BJ231" s="173">
        <f ca="1">(VLOOKUP(BJ$72,INDIRECT($C$5&amp;"生成成长"),2))/((VLOOKUP($B231,INDIRECT($B$5&amp;"生成成长"),4))/(VLOOKUP(BJ$72,INDIRECT($C$5&amp;"生成成长"),5))*(VLOOKUP($B$5,标准坦克设计!$B$24:$U$30,MATCH("对"&amp;LEFT($C$5,2)&amp;"输出",标准坦克设计!$B$23:$U$23,0)))*(VLOOKUP($B231,INDIRECT($B$5&amp;"生成成长"),3))*(VLOOKUP($B$5,标准坦克设计!$B$14:$K$20,9)/30))</f>
        <v>1.4953482842137147</v>
      </c>
      <c r="BK231" s="173">
        <f ca="1">(VLOOKUP(BK$72,INDIRECT($C$5&amp;"生成成长"),2))/((VLOOKUP($B231,INDIRECT($B$5&amp;"生成成长"),4))/(VLOOKUP(BK$72,INDIRECT($C$5&amp;"生成成长"),5))*(VLOOKUP($B$5,标准坦克设计!$B$24:$U$30,MATCH("对"&amp;LEFT($C$5,2)&amp;"输出",标准坦克设计!$B$23:$U$23,0)))*(VLOOKUP($B231,INDIRECT($B$5&amp;"生成成长"),3))*(VLOOKUP($B$5,标准坦克设计!$B$14:$K$20,9)/30))</f>
        <v>1.6639752676320745</v>
      </c>
      <c r="BL231" s="173">
        <f ca="1">(VLOOKUP(BL$72,INDIRECT($C$5&amp;"生成成长"),2))/((VLOOKUP($B231,INDIRECT($B$5&amp;"生成成长"),4))/(VLOOKUP(BL$72,INDIRECT($C$5&amp;"生成成长"),5))*(VLOOKUP($B$5,标准坦克设计!$B$24:$U$30,MATCH("对"&amp;LEFT($C$5,2)&amp;"输出",标准坦克设计!$B$23:$U$23,0)))*(VLOOKUP($B231,INDIRECT($B$5&amp;"生成成长"),3))*(VLOOKUP($B$5,标准坦克设计!$B$14:$K$20,9)/30))</f>
        <v>1.841609033547557</v>
      </c>
      <c r="BM231" s="173">
        <f ca="1">(VLOOKUP(BM$72,INDIRECT($C$5&amp;"生成成长"),2))/((VLOOKUP($B231,INDIRECT($B$5&amp;"生成成长"),4))/(VLOOKUP(BM$72,INDIRECT($C$5&amp;"生成成长"),5))*(VLOOKUP($B$5,标准坦克设计!$B$24:$U$30,MATCH("对"&amp;LEFT($C$5,2)&amp;"输出",标准坦克设计!$B$23:$U$23,0)))*(VLOOKUP($B231,INDIRECT($B$5&amp;"生成成长"),3))*(VLOOKUP($B$5,标准坦克设计!$B$14:$K$20,9)/30))</f>
        <v>2.0282495819601625</v>
      </c>
      <c r="BN231" s="173">
        <f ca="1">(VLOOKUP(BN$72,INDIRECT($C$5&amp;"生成成长"),2))/((VLOOKUP($B231,INDIRECT($B$5&amp;"生成成长"),4))/(VLOOKUP(BN$72,INDIRECT($C$5&amp;"生成成长"),5))*(VLOOKUP($B$5,标准坦克设计!$B$24:$U$30,MATCH("对"&amp;LEFT($C$5,2)&amp;"输出",标准坦克设计!$B$23:$U$23,0)))*(VLOOKUP($B231,INDIRECT($B$5&amp;"生成成长"),3))*(VLOOKUP($B$5,标准坦克设计!$B$14:$K$20,9)/30))</f>
        <v>2.2238969128698911</v>
      </c>
      <c r="BO231" s="173">
        <f ca="1">(VLOOKUP(BO$72,INDIRECT($C$5&amp;"生成成长"),2))/((VLOOKUP($B231,INDIRECT($B$5&amp;"生成成长"),4))/(VLOOKUP(BO$72,INDIRECT($C$5&amp;"生成成长"),5))*(VLOOKUP($B$5,标准坦克设计!$B$24:$U$30,MATCH("对"&amp;LEFT($C$5,2)&amp;"输出",标准坦克设计!$B$23:$U$23,0)))*(VLOOKUP($B231,INDIRECT($B$5&amp;"生成成长"),3))*(VLOOKUP($B$5,标准坦克设计!$B$14:$K$20,9)/30))</f>
        <v>2.4285510262767427</v>
      </c>
      <c r="BP231" s="173">
        <f ca="1">(VLOOKUP(BP$72,INDIRECT($C$5&amp;"生成成长"),2))/((VLOOKUP($B231,INDIRECT($B$5&amp;"生成成长"),4))/(VLOOKUP(BP$72,INDIRECT($C$5&amp;"生成成长"),5))*(VLOOKUP($B$5,标准坦克设计!$B$24:$U$30,MATCH("对"&amp;LEFT($C$5,2)&amp;"输出",标准坦克设计!$B$23:$U$23,0)))*(VLOOKUP($B231,INDIRECT($B$5&amp;"生成成长"),3))*(VLOOKUP($B$5,标准坦克设计!$B$14:$K$20,9)/30))</f>
        <v>2.6422119221807181</v>
      </c>
      <c r="BQ231" s="173">
        <f ca="1">(VLOOKUP(BQ$72,INDIRECT($C$5&amp;"生成成长"),2))/((VLOOKUP($B231,INDIRECT($B$5&amp;"生成成长"),4))/(VLOOKUP(BQ$72,INDIRECT($C$5&amp;"生成成长"),5))*(VLOOKUP($B$5,标准坦克设计!$B$24:$U$30,MATCH("对"&amp;LEFT($C$5,2)&amp;"输出",标准坦克设计!$B$23:$U$23,0)))*(VLOOKUP($B231,INDIRECT($B$5&amp;"生成成长"),3))*(VLOOKUP($B$5,标准坦克设计!$B$14:$K$20,9)/30))</f>
        <v>2.8648796005818151</v>
      </c>
      <c r="BR231" s="173">
        <f ca="1">(VLOOKUP(BR$72,INDIRECT($C$5&amp;"生成成长"),2))/((VLOOKUP($B231,INDIRECT($B$5&amp;"生成成长"),4))/(VLOOKUP(BR$72,INDIRECT($C$5&amp;"生成成长"),5))*(VLOOKUP($B$5,标准坦克设计!$B$24:$U$30,MATCH("对"&amp;LEFT($C$5,2)&amp;"输出",标准坦克设计!$B$23:$U$23,0)))*(VLOOKUP($B231,INDIRECT($B$5&amp;"生成成长"),3))*(VLOOKUP($B$5,标准坦克设计!$B$14:$K$20,9)/30))</f>
        <v>3.122851642474723</v>
      </c>
      <c r="BS231" s="173">
        <f ca="1">(VLOOKUP(BS$72,INDIRECT($C$5&amp;"生成成长"),2))/((VLOOKUP($B231,INDIRECT($B$5&amp;"生成成长"),4))/(VLOOKUP(BS$72,INDIRECT($C$5&amp;"生成成长"),5))*(VLOOKUP($B$5,标准坦克设计!$B$24:$U$30,MATCH("对"&amp;LEFT($C$5,2)&amp;"输出",标准坦克设计!$B$23:$U$23,0)))*(VLOOKUP($B231,INDIRECT($B$5&amp;"生成成长"),3))*(VLOOKUP($B$5,标准坦克设计!$B$14:$K$20,9)/30))</f>
        <v>3.3919431689319803</v>
      </c>
      <c r="BT231" s="173">
        <f ca="1">(VLOOKUP(BT$72,INDIRECT($C$5&amp;"生成成长"),2))/((VLOOKUP($B231,INDIRECT($B$5&amp;"生成成长"),4))/(VLOOKUP(BT$72,INDIRECT($C$5&amp;"生成成长"),5))*(VLOOKUP($B$5,标准坦克设计!$B$24:$U$30,MATCH("对"&amp;LEFT($C$5,2)&amp;"输出",标准坦克设计!$B$23:$U$23,0)))*(VLOOKUP($B231,INDIRECT($B$5&amp;"生成成长"),3))*(VLOOKUP($B$5,标准坦克设计!$B$14:$K$20,9)/30))</f>
        <v>3.6721541799535866</v>
      </c>
      <c r="BU231" s="173">
        <f ca="1">(VLOOKUP(BU$72,INDIRECT($C$5&amp;"生成成长"),2))/((VLOOKUP($B231,INDIRECT($B$5&amp;"生成成长"),4))/(VLOOKUP(BU$72,INDIRECT($C$5&amp;"生成成长"),5))*(VLOOKUP($B$5,标准坦克设计!$B$24:$U$30,MATCH("对"&amp;LEFT($C$5,2)&amp;"输出",标准坦克设计!$B$23:$U$23,0)))*(VLOOKUP($B231,INDIRECT($B$5&amp;"生成成长"),3))*(VLOOKUP($B$5,标准坦克设计!$B$14:$K$20,9)/30))</f>
        <v>3.9634846755395419</v>
      </c>
      <c r="BV231" s="173">
        <f ca="1">(VLOOKUP(BV$72,INDIRECT($C$5&amp;"生成成长"),2))/((VLOOKUP($B231,INDIRECT($B$5&amp;"生成成长"),4))/(VLOOKUP(BV$72,INDIRECT($C$5&amp;"生成成长"),5))*(VLOOKUP($B$5,标准坦克设计!$B$24:$U$30,MATCH("对"&amp;LEFT($C$5,2)&amp;"输出",标准坦克设计!$B$23:$U$23,0)))*(VLOOKUP($B231,INDIRECT($B$5&amp;"生成成长"),3))*(VLOOKUP($B$5,标准坦克设计!$B$14:$K$20,9)/30))</f>
        <v>4.265934655689847</v>
      </c>
      <c r="BW231" s="173">
        <f ca="1">(VLOOKUP(BW$72,INDIRECT($C$5&amp;"生成成长"),2))/((VLOOKUP($B231,INDIRECT($B$5&amp;"生成成长"),4))/(VLOOKUP(BW$72,INDIRECT($C$5&amp;"生成成长"),5))*(VLOOKUP($B$5,标准坦克设计!$B$24:$U$30,MATCH("对"&amp;LEFT($C$5,2)&amp;"输出",标准坦克设计!$B$23:$U$23,0)))*(VLOOKUP($B231,INDIRECT($B$5&amp;"生成成长"),3))*(VLOOKUP($B$5,标准坦克设计!$B$14:$K$20,9)/30))</f>
        <v>1.9441862786536805</v>
      </c>
      <c r="BX231" s="173">
        <f ca="1">(VLOOKUP(BX$72,INDIRECT($C$5&amp;"生成成长"),2))/((VLOOKUP($B231,INDIRECT($B$5&amp;"生成成长"),4))/(VLOOKUP(BX$72,INDIRECT($C$5&amp;"生成成长"),5))*(VLOOKUP($B$5,标准坦克设计!$B$24:$U$30,MATCH("对"&amp;LEFT($C$5,2)&amp;"输出",标准坦克设计!$B$23:$U$23,0)))*(VLOOKUP($B231,INDIRECT($B$5&amp;"生成成长"),3))*(VLOOKUP($B$5,标准坦克设计!$B$14:$K$20,9)/30))</f>
        <v>2.1576803822891906</v>
      </c>
      <c r="BY231" s="173">
        <f ca="1">(VLOOKUP(BY$72,INDIRECT($C$5&amp;"生成成长"),2))/((VLOOKUP($B231,INDIRECT($B$5&amp;"生成成长"),4))/(VLOOKUP(BY$72,INDIRECT($C$5&amp;"生成成长"),5))*(VLOOKUP($B$5,标准坦克设计!$B$24:$U$30,MATCH("对"&amp;LEFT($C$5,2)&amp;"输出",标准坦克设计!$B$23:$U$23,0)))*(VLOOKUP($B231,INDIRECT($B$5&amp;"生成成长"),3))*(VLOOKUP($B$5,标准坦克设计!$B$14:$K$20,9)/30))</f>
        <v>2.3822939704890489</v>
      </c>
      <c r="BZ231" s="173">
        <f ca="1">(VLOOKUP(BZ$72,INDIRECT($C$5&amp;"生成成长"),2))/((VLOOKUP($B231,INDIRECT($B$5&amp;"生成成长"),4))/(VLOOKUP(BZ$72,INDIRECT($C$5&amp;"生成成长"),5))*(VLOOKUP($B$5,标准坦克设计!$B$24:$U$30,MATCH("对"&amp;LEFT($C$5,2)&amp;"输出",标准坦克设计!$B$23:$U$23,0)))*(VLOOKUP($B231,INDIRECT($B$5&amp;"生成成长"),3))*(VLOOKUP($B$5,标准坦克设计!$B$14:$K$20,9)/30))</f>
        <v>2.6180270432532575</v>
      </c>
      <c r="CA231" s="173">
        <f ca="1">(VLOOKUP(CA$72,INDIRECT($C$5&amp;"生成成长"),2))/((VLOOKUP($B231,INDIRECT($B$5&amp;"生成成长"),4))/(VLOOKUP(CA$72,INDIRECT($C$5&amp;"生成成长"),5))*(VLOOKUP($B$5,标准坦克设计!$B$24:$U$30,MATCH("对"&amp;LEFT($C$5,2)&amp;"输出",标准坦克设计!$B$23:$U$23,0)))*(VLOOKUP($B231,INDIRECT($B$5&amp;"生成成长"),3))*(VLOOKUP($B$5,标准坦克设计!$B$14:$K$20,9)/30))</f>
        <v>2.8648796005818151</v>
      </c>
      <c r="CB231" s="173">
        <f ca="1">(VLOOKUP(CB$72,INDIRECT($C$5&amp;"生成成长"),2))/((VLOOKUP($B231,INDIRECT($B$5&amp;"生成成长"),4))/(VLOOKUP(CB$72,INDIRECT($C$5&amp;"生成成长"),5))*(VLOOKUP($B$5,标准坦克设计!$B$24:$U$30,MATCH("对"&amp;LEFT($C$5,2)&amp;"输出",标准坦克设计!$B$23:$U$23,0)))*(VLOOKUP($B231,INDIRECT($B$5&amp;"生成成长"),3))*(VLOOKUP($B$5,标准坦克设计!$B$14:$K$20,9)/30))</f>
        <v>3.122851642474723</v>
      </c>
      <c r="CC231" s="173">
        <f ca="1">(VLOOKUP(CC$72,INDIRECT($C$5&amp;"生成成长"),2))/((VLOOKUP($B231,INDIRECT($B$5&amp;"生成成长"),4))/(VLOOKUP(CC$72,INDIRECT($C$5&amp;"生成成长"),5))*(VLOOKUP($B$5,标准坦克设计!$B$24:$U$30,MATCH("对"&amp;LEFT($C$5,2)&amp;"输出",标准坦克设计!$B$23:$U$23,0)))*(VLOOKUP($B231,INDIRECT($B$5&amp;"生成成长"),3))*(VLOOKUP($B$5,标准坦克设计!$B$14:$K$20,9)/30))</f>
        <v>3.3919431689319803</v>
      </c>
      <c r="CD231" s="173">
        <f ca="1">(VLOOKUP(CD$72,INDIRECT($C$5&amp;"生成成长"),2))/((VLOOKUP($B231,INDIRECT($B$5&amp;"生成成长"),4))/(VLOOKUP(CD$72,INDIRECT($C$5&amp;"生成成长"),5))*(VLOOKUP($B$5,标准坦克设计!$B$24:$U$30,MATCH("对"&amp;LEFT($C$5,2)&amp;"输出",标准坦克设计!$B$23:$U$23,0)))*(VLOOKUP($B231,INDIRECT($B$5&amp;"生成成长"),3))*(VLOOKUP($B$5,标准坦克设计!$B$14:$K$20,9)/30))</f>
        <v>3.6721541799535866</v>
      </c>
      <c r="CE231" s="173">
        <f ca="1">(VLOOKUP(CE$72,INDIRECT($C$5&amp;"生成成长"),2))/((VLOOKUP($B231,INDIRECT($B$5&amp;"生成成长"),4))/(VLOOKUP(CE$72,INDIRECT($C$5&amp;"生成成长"),5))*(VLOOKUP($B$5,标准坦克设计!$B$24:$U$30,MATCH("对"&amp;LEFT($C$5,2)&amp;"输出",标准坦克设计!$B$23:$U$23,0)))*(VLOOKUP($B231,INDIRECT($B$5&amp;"生成成长"),3))*(VLOOKUP($B$5,标准坦克设计!$B$14:$K$20,9)/30))</f>
        <v>3.9634846755395419</v>
      </c>
      <c r="CF231" s="173">
        <f ca="1">(VLOOKUP(CF$72,INDIRECT($C$5&amp;"生成成长"),2))/((VLOOKUP($B231,INDIRECT($B$5&amp;"生成成长"),4))/(VLOOKUP(CF$72,INDIRECT($C$5&amp;"生成成长"),5))*(VLOOKUP($B$5,标准坦克设计!$B$24:$U$30,MATCH("对"&amp;LEFT($C$5,2)&amp;"输出",标准坦克设计!$B$23:$U$23,0)))*(VLOOKUP($B231,INDIRECT($B$5&amp;"生成成长"),3))*(VLOOKUP($B$5,标准坦克设计!$B$14:$K$20,9)/30))</f>
        <v>4.265934655689847</v>
      </c>
      <c r="CG231" s="173">
        <f ca="1">(VLOOKUP(CG$72,INDIRECT($C$5&amp;"生成成长"),2))/((VLOOKUP($B231,INDIRECT($B$5&amp;"生成成长"),4))/(VLOOKUP(CG$72,INDIRECT($C$5&amp;"生成成长"),5))*(VLOOKUP($B$5,标准坦克设计!$B$24:$U$30,MATCH("对"&amp;LEFT($C$5,2)&amp;"输出",标准坦克设计!$B$23:$U$23,0)))*(VLOOKUP($B231,INDIRECT($B$5&amp;"生成成长"),3))*(VLOOKUP($B$5,标准坦克设计!$B$14:$K$20,9)/30))</f>
        <v>4.5795041204045015</v>
      </c>
      <c r="CH231" s="173">
        <f ca="1">(VLOOKUP(CH$72,INDIRECT($C$5&amp;"生成成长"),2))/((VLOOKUP($B231,INDIRECT($B$5&amp;"生成成长"),4))/(VLOOKUP(CH$72,INDIRECT($C$5&amp;"生成成长"),5))*(VLOOKUP($B$5,标准坦克设计!$B$24:$U$30,MATCH("对"&amp;LEFT($C$5,2)&amp;"输出",标准坦克设计!$B$23:$U$23,0)))*(VLOOKUP($B231,INDIRECT($B$5&amp;"生成成长"),3))*(VLOOKUP($B$5,标准坦克设计!$B$14:$K$20,9)/30))</f>
        <v>4.9041930696835054</v>
      </c>
      <c r="CI231" s="173">
        <f ca="1">(VLOOKUP(CI$72,INDIRECT($C$5&amp;"生成成长"),2))/((VLOOKUP($B231,INDIRECT($B$5&amp;"生成成长"),4))/(VLOOKUP(CI$72,INDIRECT($C$5&amp;"生成成长"),5))*(VLOOKUP($B$5,标准坦克设计!$B$24:$U$30,MATCH("对"&amp;LEFT($C$5,2)&amp;"输出",标准坦克设计!$B$23:$U$23,0)))*(VLOOKUP($B231,INDIRECT($B$5&amp;"生成成长"),3))*(VLOOKUP($B$5,标准坦克设计!$B$14:$K$20,9)/30))</f>
        <v>5.2741939185622337</v>
      </c>
      <c r="CJ231" s="173">
        <f ca="1">(VLOOKUP(CJ$72,INDIRECT($C$5&amp;"生成成长"),2))/((VLOOKUP($B231,INDIRECT($B$5&amp;"生成成长"),4))/(VLOOKUP(CJ$72,INDIRECT($C$5&amp;"生成成长"),5))*(VLOOKUP($B$5,标准坦克设计!$B$24:$U$30,MATCH("对"&amp;LEFT($C$5,2)&amp;"输出",标准坦克设计!$B$23:$U$23,0)))*(VLOOKUP($B231,INDIRECT($B$5&amp;"生成成长"),3))*(VLOOKUP($B$5,标准坦克设计!$B$14:$K$20,9)/30))</f>
        <v>5.6576493437638256</v>
      </c>
      <c r="CK231" s="173">
        <f ca="1">(VLOOKUP(CK$72,INDIRECT($C$5&amp;"生成成长"),2))/((VLOOKUP($B231,INDIRECT($B$5&amp;"生成成长"),4))/(VLOOKUP(CK$72,INDIRECT($C$5&amp;"生成成长"),5))*(VLOOKUP($B$5,标准坦克设计!$B$24:$U$30,MATCH("对"&amp;LEFT($C$5,2)&amp;"输出",标准坦克设计!$B$23:$U$23,0)))*(VLOOKUP($B231,INDIRECT($B$5&amp;"生成成长"),3))*(VLOOKUP($B$5,标准坦克设计!$B$14:$K$20,9)/30))</f>
        <v>6.0545593452882791</v>
      </c>
      <c r="CL231" s="173">
        <f ca="1">(VLOOKUP(CL$72,INDIRECT($C$5&amp;"生成成长"),2))/((VLOOKUP($B231,INDIRECT($B$5&amp;"生成成长"),4))/(VLOOKUP(CL$72,INDIRECT($C$5&amp;"生成成长"),5))*(VLOOKUP($B$5,标准坦克设计!$B$24:$U$30,MATCH("对"&amp;LEFT($C$5,2)&amp;"输出",标准坦克设计!$B$23:$U$23,0)))*(VLOOKUP($B231,INDIRECT($B$5&amp;"生成成长"),3))*(VLOOKUP($B$5,标准坦克设计!$B$14:$K$20,9)/30))</f>
        <v>6.4649239231355953</v>
      </c>
      <c r="CM231" s="173">
        <f ca="1">(VLOOKUP(CM$72,INDIRECT($C$5&amp;"生成成长"),2))/((VLOOKUP($B231,INDIRECT($B$5&amp;"生成成长"),4))/(VLOOKUP(CM$72,INDIRECT($C$5&amp;"生成成长"),5))*(VLOOKUP($B$5,标准坦克设计!$B$24:$U$30,MATCH("对"&amp;LEFT($C$5,2)&amp;"输出",标准坦克设计!$B$23:$U$23,0)))*(VLOOKUP($B231,INDIRECT($B$5&amp;"生成成长"),3))*(VLOOKUP($B$5,标准坦克设计!$B$14:$K$20,9)/30))</f>
        <v>6.888743077305775</v>
      </c>
      <c r="CN231" s="173">
        <f ca="1">(VLOOKUP(CN$72,INDIRECT($C$5&amp;"生成成长"),2))/((VLOOKUP($B231,INDIRECT($B$5&amp;"生成成长"),4))/(VLOOKUP(CN$72,INDIRECT($C$5&amp;"生成成长"),5))*(VLOOKUP($B$5,标准坦克设计!$B$24:$U$30,MATCH("对"&amp;LEFT($C$5,2)&amp;"输出",标准坦克设计!$B$23:$U$23,0)))*(VLOOKUP($B231,INDIRECT($B$5&amp;"生成成长"),3))*(VLOOKUP($B$5,标准坦克设计!$B$14:$K$20,9)/30))</f>
        <v>7.3260168077988173</v>
      </c>
      <c r="CO231" s="173">
        <f ca="1">(VLOOKUP(CO$72,INDIRECT($C$5&amp;"生成成长"),2))/((VLOOKUP($B231,INDIRECT($B$5&amp;"生成成长"),4))/(VLOOKUP(CO$72,INDIRECT($C$5&amp;"生成成长"),5))*(VLOOKUP($B$5,标准坦克设计!$B$24:$U$30,MATCH("对"&amp;LEFT($C$5,2)&amp;"输出",标准坦克设计!$B$23:$U$23,0)))*(VLOOKUP($B231,INDIRECT($B$5&amp;"生成成长"),3))*(VLOOKUP($B$5,标准坦克设计!$B$14:$K$20,9)/30))</f>
        <v>3.2829722202013549</v>
      </c>
      <c r="CP231" s="173">
        <f ca="1">(VLOOKUP(CP$72,INDIRECT($C$5&amp;"生成成长"),2))/((VLOOKUP($B231,INDIRECT($B$5&amp;"生成成长"),4))/(VLOOKUP(CP$72,INDIRECT($C$5&amp;"生成成长"),5))*(VLOOKUP($B$5,标准坦克设计!$B$24:$U$30,MATCH("对"&amp;LEFT($C$5,2)&amp;"输出",标准坦克设计!$B$23:$U$23,0)))*(VLOOKUP($B231,INDIRECT($B$5&amp;"生成成长"),3))*(VLOOKUP($B$5,标准坦克设计!$B$14:$K$20,9)/30))</f>
        <v>3.5869233307678474</v>
      </c>
      <c r="CQ231" s="173">
        <f ca="1">(VLOOKUP(CQ$72,INDIRECT($C$5&amp;"生成成长"),2))/((VLOOKUP($B231,INDIRECT($B$5&amp;"生成成长"),4))/(VLOOKUP(CQ$72,INDIRECT($C$5&amp;"生成成长"),5))*(VLOOKUP($B$5,标准坦克设计!$B$24:$U$30,MATCH("对"&amp;LEFT($C$5,2)&amp;"输出",标准坦克设计!$B$23:$U$23,0)))*(VLOOKUP($B231,INDIRECT($B$5&amp;"生成成长"),3))*(VLOOKUP($B$5,标准坦克设计!$B$14:$K$20,9)/30))</f>
        <v>3.904329017657203</v>
      </c>
      <c r="CR231" s="173">
        <f ca="1">(VLOOKUP(CR$72,INDIRECT($C$5&amp;"生成成长"),2))/((VLOOKUP($B231,INDIRECT($B$5&amp;"生成成长"),4))/(VLOOKUP(CR$72,INDIRECT($C$5&amp;"生成成长"),5))*(VLOOKUP($B$5,标准坦克设计!$B$24:$U$30,MATCH("对"&amp;LEFT($C$5,2)&amp;"输出",标准坦克设计!$B$23:$U$23,0)))*(VLOOKUP($B231,INDIRECT($B$5&amp;"生成成长"),3))*(VLOOKUP($B$5,标准坦克设计!$B$14:$K$20,9)/30))</f>
        <v>4.2351892808694203</v>
      </c>
      <c r="CS231" s="173">
        <f ca="1">(VLOOKUP(CS$72,INDIRECT($C$5&amp;"生成成长"),2))/((VLOOKUP($B231,INDIRECT($B$5&amp;"生成成长"),4))/(VLOOKUP(CS$72,INDIRECT($C$5&amp;"生成成长"),5))*(VLOOKUP($B$5,标准坦克设计!$B$24:$U$30,MATCH("对"&amp;LEFT($C$5,2)&amp;"输出",标准坦克设计!$B$23:$U$23,0)))*(VLOOKUP($B231,INDIRECT($B$5&amp;"生成成长"),3))*(VLOOKUP($B$5,标准坦克设计!$B$14:$K$20,9)/30))</f>
        <v>4.5795041204045015</v>
      </c>
      <c r="CT231" s="173">
        <f ca="1">(VLOOKUP(CT$72,INDIRECT($C$5&amp;"生成成长"),2))/((VLOOKUP($B231,INDIRECT($B$5&amp;"生成成长"),4))/(VLOOKUP(CT$72,INDIRECT($C$5&amp;"生成成长"),5))*(VLOOKUP($B$5,标准坦克设计!$B$24:$U$30,MATCH("对"&amp;LEFT($C$5,2)&amp;"输出",标准坦克设计!$B$23:$U$23,0)))*(VLOOKUP($B231,INDIRECT($B$5&amp;"生成成长"),3))*(VLOOKUP($B$5,标准坦克设计!$B$14:$K$20,9)/30))</f>
        <v>4.9372735362624445</v>
      </c>
      <c r="CU231" s="173">
        <f ca="1">(VLOOKUP(CU$72,INDIRECT($C$5&amp;"生成成长"),2))/((VLOOKUP($B231,INDIRECT($B$5&amp;"生成成长"),4))/(VLOOKUP(CU$72,INDIRECT($C$5&amp;"生成成长"),5))*(VLOOKUP($B$5,标准坦克设计!$B$24:$U$30,MATCH("对"&amp;LEFT($C$5,2)&amp;"输出",标准坦克设计!$B$23:$U$23,0)))*(VLOOKUP($B231,INDIRECT($B$5&amp;"生成成长"),3))*(VLOOKUP($B$5,标准坦克设计!$B$14:$K$20,9)/30))</f>
        <v>5.3084975284432527</v>
      </c>
      <c r="CV231" s="173">
        <f ca="1">(VLOOKUP(CV$72,INDIRECT($C$5&amp;"生成成长"),2))/((VLOOKUP($B231,INDIRECT($B$5&amp;"生成成长"),4))/(VLOOKUP(CV$72,INDIRECT($C$5&amp;"生成成长"),5))*(VLOOKUP($B$5,标准坦克设计!$B$24:$U$30,MATCH("对"&amp;LEFT($C$5,2)&amp;"输出",标准坦克设计!$B$23:$U$23,0)))*(VLOOKUP($B231,INDIRECT($B$5&amp;"生成成长"),3))*(VLOOKUP($B$5,标准坦克设计!$B$14:$K$20,9)/30))</f>
        <v>5.6931760969469209</v>
      </c>
      <c r="CW231" s="173">
        <f ca="1">(VLOOKUP(CW$72,INDIRECT($C$5&amp;"生成成长"),2))/((VLOOKUP($B231,INDIRECT($B$5&amp;"生成成长"),4))/(VLOOKUP(CW$72,INDIRECT($C$5&amp;"生成成长"),5))*(VLOOKUP($B$5,标准坦克设计!$B$24:$U$30,MATCH("对"&amp;LEFT($C$5,2)&amp;"输出",标准坦克设计!$B$23:$U$23,0)))*(VLOOKUP($B231,INDIRECT($B$5&amp;"生成成长"),3))*(VLOOKUP($B$5,标准坦克设计!$B$14:$K$20,9)/30))</f>
        <v>6.0913092417734545</v>
      </c>
      <c r="CX231" s="173">
        <f ca="1">(VLOOKUP(CX$72,INDIRECT($C$5&amp;"生成成长"),2))/((VLOOKUP($B231,INDIRECT($B$5&amp;"生成成长"),4))/(VLOOKUP(CX$72,INDIRECT($C$5&amp;"生成成长"),5))*(VLOOKUP($B$5,标准坦克设计!$B$24:$U$30,MATCH("对"&amp;LEFT($C$5,2)&amp;"输出",标准坦克设计!$B$23:$U$23,0)))*(VLOOKUP($B231,INDIRECT($B$5&amp;"生成成长"),3))*(VLOOKUP($B$5,标准坦克设计!$B$14:$K$20,9)/30))</f>
        <v>6.5028969629228479</v>
      </c>
      <c r="CY231" s="173">
        <f ca="1">(VLOOKUP(CY$72,INDIRECT($C$5&amp;"生成成长"),2))/((VLOOKUP($B231,INDIRECT($B$5&amp;"生成成长"),4))/(VLOOKUP(CY$72,INDIRECT($C$5&amp;"生成成长"),5))*(VLOOKUP($B$5,标准坦克设计!$B$24:$U$30,MATCH("对"&amp;LEFT($C$5,2)&amp;"输出",标准坦克设计!$B$23:$U$23,0)))*(VLOOKUP($B231,INDIRECT($B$5&amp;"生成成长"),3))*(VLOOKUP($B$5,标准坦克设计!$B$14:$K$20,9)/30))</f>
        <v>6.9279392603951075</v>
      </c>
      <c r="CZ231" s="173">
        <f ca="1">(VLOOKUP(CZ$72,INDIRECT($C$5&amp;"生成成长"),2))/((VLOOKUP($B231,INDIRECT($B$5&amp;"生成成长"),4))/(VLOOKUP(CZ$72,INDIRECT($C$5&amp;"生成成长"),5))*(VLOOKUP($B$5,标准坦克设计!$B$24:$U$30,MATCH("对"&amp;LEFT($C$5,2)&amp;"输出",标准坦克设计!$B$23:$U$23,0)))*(VLOOKUP($B231,INDIRECT($B$5&amp;"生成成长"),3))*(VLOOKUP($B$5,标准坦克设计!$B$14:$K$20,9)/30))</f>
        <v>7.366436134190228</v>
      </c>
      <c r="DA231" s="173">
        <f ca="1">(VLOOKUP(DA$72,INDIRECT($C$5&amp;"生成成长"),2))/((VLOOKUP($B231,INDIRECT($B$5&amp;"生成成长"),4))/(VLOOKUP(DA$72,INDIRECT($C$5&amp;"生成成长"),5))*(VLOOKUP($B$5,标准坦克设计!$B$24:$U$30,MATCH("对"&amp;LEFT($C$5,2)&amp;"输出",标准坦克设计!$B$23:$U$23,0)))*(VLOOKUP($B231,INDIRECT($B$5&amp;"生成成长"),3))*(VLOOKUP($B$5,标准坦克设计!$B$14:$K$20,9)/30))</f>
        <v>7.8183875843082111</v>
      </c>
      <c r="DB231" s="173">
        <f ca="1">(VLOOKUP(DB$72,INDIRECT($C$5&amp;"生成成长"),2))/((VLOOKUP($B231,INDIRECT($B$5&amp;"生成成长"),4))/(VLOOKUP(DB$72,INDIRECT($C$5&amp;"生成成长"),5))*(VLOOKUP($B$5,标准坦克设计!$B$24:$U$30,MATCH("对"&amp;LEFT($C$5,2)&amp;"输出",标准坦克设计!$B$23:$U$23,0)))*(VLOOKUP($B231,INDIRECT($B$5&amp;"生成成长"),3))*(VLOOKUP($B$5,标准坦克设计!$B$14:$K$20,9)/30))</f>
        <v>8.2837936107490577</v>
      </c>
      <c r="DC231" s="173">
        <f ca="1">(VLOOKUP(DC$72,INDIRECT($C$5&amp;"生成成长"),2))/((VLOOKUP($B231,INDIRECT($B$5&amp;"生成成长"),4))/(VLOOKUP(DC$72,INDIRECT($C$5&amp;"生成成长"),5))*(VLOOKUP($B$5,标准坦克设计!$B$24:$U$30,MATCH("对"&amp;LEFT($C$5,2)&amp;"输出",标准坦克设计!$B$23:$U$23,0)))*(VLOOKUP($B231,INDIRECT($B$5&amp;"生成成长"),3))*(VLOOKUP($B$5,标准坦克设计!$B$14:$K$20,9)/30))</f>
        <v>8.8068541646560554</v>
      </c>
      <c r="DD231" s="173">
        <f ca="1">(VLOOKUP(DD$72,INDIRECT($C$5&amp;"生成成长"),2))/((VLOOKUP($B231,INDIRECT($B$5&amp;"生成成长"),4))/(VLOOKUP(DD$72,INDIRECT($C$5&amp;"生成成长"),5))*(VLOOKUP($B$5,标准坦克设计!$B$24:$U$30,MATCH("对"&amp;LEFT($C$5,2)&amp;"输出",标准坦克设计!$B$23:$U$23,0)))*(VLOOKUP($B231,INDIRECT($B$5&amp;"生成成长"),3))*(VLOOKUP($B$5,标准坦克设计!$B$14:$K$20,9)/30))</f>
        <v>9.3459267763357197</v>
      </c>
      <c r="DE231" s="173">
        <f ca="1">(VLOOKUP(DE$72,INDIRECT($C$5&amp;"生成成长"),2))/((VLOOKUP($B231,INDIRECT($B$5&amp;"生成成长"),4))/(VLOOKUP(DE$72,INDIRECT($C$5&amp;"生成成长"),5))*(VLOOKUP($B$5,标准坦克设计!$B$24:$U$30,MATCH("对"&amp;LEFT($C$5,2)&amp;"输出",标准坦克设计!$B$23:$U$23,0)))*(VLOOKUP($B231,INDIRECT($B$5&amp;"生成成长"),3))*(VLOOKUP($B$5,标准坦克设计!$B$14:$K$20,9)/30))</f>
        <v>9.9010114457880416</v>
      </c>
      <c r="DF231" s="173">
        <f ca="1">(VLOOKUP(DF$72,INDIRECT($C$5&amp;"生成成长"),2))/((VLOOKUP($B231,INDIRECT($B$5&amp;"生成成长"),4))/(VLOOKUP(DF$72,INDIRECT($C$5&amp;"生成成长"),5))*(VLOOKUP($B$5,标准坦克设计!$B$24:$U$30,MATCH("对"&amp;LEFT($C$5,2)&amp;"输出",标准坦克设计!$B$23:$U$23,0)))*(VLOOKUP($B231,INDIRECT($B$5&amp;"生成成长"),3))*(VLOOKUP($B$5,标准坦克设计!$B$14:$K$20,9)/30))</f>
        <v>10.47210817301303</v>
      </c>
      <c r="DG231" s="173">
        <f ca="1">(VLOOKUP(DG$72,INDIRECT($C$5&amp;"生成成长"),2))/((VLOOKUP($B231,INDIRECT($B$5&amp;"生成成长"),4))/(VLOOKUP(DG$72,INDIRECT($C$5&amp;"生成成长"),5))*(VLOOKUP($B$5,标准坦克设计!$B$24:$U$30,MATCH("对"&amp;LEFT($C$5,2)&amp;"输出",标准坦克设计!$B$23:$U$23,0)))*(VLOOKUP($B231,INDIRECT($B$5&amp;"生成成长"),3))*(VLOOKUP($B$5,标准坦克设计!$B$14:$K$20,9)/30))</f>
        <v>11.059216958010683</v>
      </c>
      <c r="DH231" s="173">
        <f ca="1">(VLOOKUP(DH$72,INDIRECT($C$5&amp;"生成成长"),2))/((VLOOKUP($B231,INDIRECT($B$5&amp;"生成成长"),4))/(VLOOKUP(DH$72,INDIRECT($C$5&amp;"生成成长"),5))*(VLOOKUP($B$5,标准坦克设计!$B$24:$U$30,MATCH("对"&amp;LEFT($C$5,2)&amp;"输出",标准坦克设计!$B$23:$U$23,0)))*(VLOOKUP($B231,INDIRECT($B$5&amp;"生成成长"),3))*(VLOOKUP($B$5,标准坦克设计!$B$14:$K$20,9)/30))</f>
        <v>11.662337800780998</v>
      </c>
      <c r="DI231" s="173">
        <f ca="1">(VLOOKUP(DI$72,INDIRECT($C$5&amp;"生成成长"),2))/((VLOOKUP($B231,INDIRECT($B$5&amp;"生成成长"),4))/(VLOOKUP(DI$72,INDIRECT($C$5&amp;"生成成长"),5))*(VLOOKUP($B$5,标准坦克设计!$B$24:$U$30,MATCH("对"&amp;LEFT($C$5,2)&amp;"输出",标准坦克设计!$B$23:$U$23,0)))*(VLOOKUP($B231,INDIRECT($B$5&amp;"生成成长"),3))*(VLOOKUP($B$5,标准坦克设计!$B$14:$K$20,9)/30))</f>
        <v>12.281470701323975</v>
      </c>
      <c r="DJ231" s="173">
        <f ca="1">(VLOOKUP(DJ$72,INDIRECT($C$5&amp;"生成成长"),2))/((VLOOKUP($B231,INDIRECT($B$5&amp;"生成成长"),4))/(VLOOKUP(DJ$72,INDIRECT($C$5&amp;"生成成长"),5))*(VLOOKUP($B$5,标准坦克设计!$B$24:$U$30,MATCH("对"&amp;LEFT($C$5,2)&amp;"输出",标准坦克设计!$B$23:$U$23,0)))*(VLOOKUP($B231,INDIRECT($B$5&amp;"生成成长"),3))*(VLOOKUP($B$5,标准坦克设计!$B$14:$K$20,9)/30))</f>
        <v>1.2343183840656111</v>
      </c>
      <c r="DK231" s="173">
        <f ca="1">(VLOOKUP(DK$72,INDIRECT($C$5&amp;"生成成长"),2))/((VLOOKUP($B231,INDIRECT($B$5&amp;"生成成长"),4))/(VLOOKUP(DK$72,INDIRECT($C$5&amp;"生成成长"),5))*(VLOOKUP($B$5,标准坦克设计!$B$24:$U$30,MATCH("对"&amp;LEFT($C$5,2)&amp;"输出",标准坦克设计!$B$23:$U$23,0)))*(VLOOKUP($B231,INDIRECT($B$5&amp;"生成成长"),3))*(VLOOKUP($B$5,标准坦克设计!$B$14:$K$20,9)/30))</f>
        <v>1.3879340633220991</v>
      </c>
      <c r="DL231" s="173">
        <f ca="1">(VLOOKUP(DL$72,INDIRECT($C$5&amp;"生成成长"),2))/((VLOOKUP($B231,INDIRECT($B$5&amp;"生成成长"),4))/(VLOOKUP(DL$72,INDIRECT($C$5&amp;"生成成长"),5))*(VLOOKUP($B$5,标准坦克设计!$B$24:$U$30,MATCH("对"&amp;LEFT($C$5,2)&amp;"输出",标准坦克设计!$B$23:$U$23,0)))*(VLOOKUP($B231,INDIRECT($B$5&amp;"生成成长"),3))*(VLOOKUP($B$5,标准坦克设计!$B$14:$K$20,9)/30))</f>
        <v>1.5505565250757101</v>
      </c>
      <c r="DM231" s="173">
        <f ca="1">(VLOOKUP(DM$72,INDIRECT($C$5&amp;"生成成长"),2))/((VLOOKUP($B231,INDIRECT($B$5&amp;"生成成长"),4))/(VLOOKUP(DM$72,INDIRECT($C$5&amp;"生成成长"),5))*(VLOOKUP($B$5,标准坦克设计!$B$24:$U$30,MATCH("对"&amp;LEFT($C$5,2)&amp;"输出",标准坦克设计!$B$23:$U$23,0)))*(VLOOKUP($B231,INDIRECT($B$5&amp;"生成成长"),3))*(VLOOKUP($B$5,标准坦克设计!$B$14:$K$20,9)/30))</f>
        <v>1.7221857693264437</v>
      </c>
      <c r="DN231" s="173">
        <f ca="1">(VLOOKUP(DN$72,INDIRECT($C$5&amp;"生成成长"),2))/((VLOOKUP($B231,INDIRECT($B$5&amp;"生成成长"),4))/(VLOOKUP(DN$72,INDIRECT($C$5&amp;"生成成长"),5))*(VLOOKUP($B$5,标准坦克设计!$B$24:$U$30,MATCH("对"&amp;LEFT($C$5,2)&amp;"输出",标准坦克设计!$B$23:$U$23,0)))*(VLOOKUP($B231,INDIRECT($B$5&amp;"生成成长"),3))*(VLOOKUP($B$5,标准坦克设计!$B$14:$K$20,9)/30))</f>
        <v>1.9028217960743008</v>
      </c>
      <c r="DO231" s="173">
        <f ca="1">(VLOOKUP(DO$72,INDIRECT($C$5&amp;"生成成长"),2))/((VLOOKUP($B231,INDIRECT($B$5&amp;"生成成长"),4))/(VLOOKUP(DO$72,INDIRECT($C$5&amp;"生成成长"),5))*(VLOOKUP($B$5,标准坦克设计!$B$24:$U$30,MATCH("对"&amp;LEFT($C$5,2)&amp;"输出",标准坦克设计!$B$23:$U$23,0)))*(VLOOKUP($B231,INDIRECT($B$5&amp;"生成成长"),3))*(VLOOKUP($B$5,标准坦克设计!$B$14:$K$20,9)/30))</f>
        <v>2.0924646053192806</v>
      </c>
      <c r="DP231" s="173">
        <f ca="1">(VLOOKUP(DP$72,INDIRECT($C$5&amp;"生成成长"),2))/((VLOOKUP($B231,INDIRECT($B$5&amp;"生成成长"),4))/(VLOOKUP(DP$72,INDIRECT($C$5&amp;"生成成长"),5))*(VLOOKUP($B$5,标准坦克设计!$B$24:$U$30,MATCH("对"&amp;LEFT($C$5,2)&amp;"输出",标准坦克设计!$B$23:$U$23,0)))*(VLOOKUP($B231,INDIRECT($B$5&amp;"生成成长"),3))*(VLOOKUP($B$5,标准坦克设计!$B$14:$K$20,9)/30))</f>
        <v>2.2911141970613835</v>
      </c>
      <c r="DQ231" s="173">
        <f ca="1">(VLOOKUP(DQ$72,INDIRECT($C$5&amp;"生成成长"),2))/((VLOOKUP($B231,INDIRECT($B$5&amp;"生成成长"),4))/(VLOOKUP(DQ$72,INDIRECT($C$5&amp;"生成成长"),5))*(VLOOKUP($B$5,标准坦克设计!$B$24:$U$30,MATCH("对"&amp;LEFT($C$5,2)&amp;"输出",标准坦克设计!$B$23:$U$23,0)))*(VLOOKUP($B231,INDIRECT($B$5&amp;"生成成长"),3))*(VLOOKUP($B$5,标准坦克设计!$B$14:$K$20,9)/30))</f>
        <v>2.4987705713006099</v>
      </c>
      <c r="DR231" s="173">
        <f ca="1">(VLOOKUP(DR$72,INDIRECT($C$5&amp;"生成成长"),2))/((VLOOKUP($B231,INDIRECT($B$5&amp;"生成成长"),4))/(VLOOKUP(DR$72,INDIRECT($C$5&amp;"生成成长"),5))*(VLOOKUP($B$5,标准坦克设计!$B$24:$U$30,MATCH("对"&amp;LEFT($C$5,2)&amp;"输出",标准坦克设计!$B$23:$U$23,0)))*(VLOOKUP($B231,INDIRECT($B$5&amp;"生成成长"),3))*(VLOOKUP($B$5,标准坦克设计!$B$14:$K$20,9)/30))</f>
        <v>2.7154337280369587</v>
      </c>
      <c r="DS231" s="173">
        <f ca="1">(VLOOKUP(DS$72,INDIRECT($C$5&amp;"生成成长"),2))/((VLOOKUP($B231,INDIRECT($B$5&amp;"生成成长"),4))/(VLOOKUP(DS$72,INDIRECT($C$5&amp;"生成成长"),5))*(VLOOKUP($B$5,标准坦克设计!$B$24:$U$30,MATCH("对"&amp;LEFT($C$5,2)&amp;"输出",标准坦克设计!$B$23:$U$23,0)))*(VLOOKUP($B231,INDIRECT($B$5&amp;"生成成长"),3))*(VLOOKUP($B$5,标准坦克设计!$B$14:$K$20,9)/30))</f>
        <v>2.9411036672704314</v>
      </c>
      <c r="DT231" s="173">
        <f ca="1">(VLOOKUP(DT$72,INDIRECT($C$5&amp;"生成成长"),2))/((VLOOKUP($B231,INDIRECT($B$5&amp;"生成成长"),4))/(VLOOKUP(DT$72,INDIRECT($C$5&amp;"生成成长"),5))*(VLOOKUP($B$5,标准坦克设计!$B$24:$U$30,MATCH("对"&amp;LEFT($C$5,2)&amp;"输出",标准坦克设计!$B$23:$U$23,0)))*(VLOOKUP($B231,INDIRECT($B$5&amp;"生成成长"),3))*(VLOOKUP($B$5,标准坦克设计!$B$14:$K$20,9)/30))</f>
        <v>3.2291539149099044</v>
      </c>
      <c r="DU231" s="173">
        <f ca="1">(VLOOKUP(DU$72,INDIRECT($C$5&amp;"生成成长"),2))/((VLOOKUP($B231,INDIRECT($B$5&amp;"生成成长"),4))/(VLOOKUP(DU$72,INDIRECT($C$5&amp;"生成成长"),5))*(VLOOKUP($B$5,标准坦克设计!$B$24:$U$30,MATCH("对"&amp;LEFT($C$5,2)&amp;"输出",标准坦克设计!$B$23:$U$23,0)))*(VLOOKUP($B231,INDIRECT($B$5&amp;"生成成长"),3))*(VLOOKUP($B$5,标准坦克设计!$B$14:$K$20,9)/30))</f>
        <v>3.5306587388722392</v>
      </c>
      <c r="DV231" s="173">
        <f ca="1">(VLOOKUP(DV$72,INDIRECT($C$5&amp;"生成成长"),2))/((VLOOKUP($B231,INDIRECT($B$5&amp;"生成成长"),4))/(VLOOKUP(DV$72,INDIRECT($C$5&amp;"生成成长"),5))*(VLOOKUP($B$5,标准坦克设计!$B$24:$U$30,MATCH("对"&amp;LEFT($C$5,2)&amp;"输出",标准坦克设计!$B$23:$U$23,0)))*(VLOOKUP($B231,INDIRECT($B$5&amp;"生成成长"),3))*(VLOOKUP($B$5,标准坦克设计!$B$14:$K$20,9)/30))</f>
        <v>3.8456181391574376</v>
      </c>
      <c r="DW231" s="173">
        <f ca="1">(VLOOKUP(DW$72,INDIRECT($C$5&amp;"生成成长"),2))/((VLOOKUP($B231,INDIRECT($B$5&amp;"生成成长"),4))/(VLOOKUP(DW$72,INDIRECT($C$5&amp;"生成成长"),5))*(VLOOKUP($B$5,标准坦克设计!$B$24:$U$30,MATCH("对"&amp;LEFT($C$5,2)&amp;"输出",标准坦克设计!$B$23:$U$23,0)))*(VLOOKUP($B231,INDIRECT($B$5&amp;"生成成长"),3))*(VLOOKUP($B$5,标准坦克设计!$B$14:$K$20,9)/30))</f>
        <v>4.1740321157654989</v>
      </c>
      <c r="DX231" s="173">
        <f ca="1">(VLOOKUP(DX$72,INDIRECT($C$5&amp;"生成成长"),2))/((VLOOKUP($B231,INDIRECT($B$5&amp;"生成成长"),4))/(VLOOKUP(DX$72,INDIRECT($C$5&amp;"生成成长"),5))*(VLOOKUP($B$5,标准坦克设计!$B$24:$U$30,MATCH("对"&amp;LEFT($C$5,2)&amp;"输出",标准坦克设计!$B$23:$U$23,0)))*(VLOOKUP($B231,INDIRECT($B$5&amp;"生成成长"),3))*(VLOOKUP($B$5,标准坦克设计!$B$14:$K$20,9)/30))</f>
        <v>4.5159006686964229</v>
      </c>
      <c r="DY231" s="173">
        <f ca="1">(VLOOKUP(DY$72,INDIRECT($C$5&amp;"生成成长"),2))/((VLOOKUP($B231,INDIRECT($B$5&amp;"生成成长"),4))/(VLOOKUP(DY$72,INDIRECT($C$5&amp;"生成成长"),5))*(VLOOKUP($B$5,标准坦克设计!$B$24:$U$30,MATCH("对"&amp;LEFT($C$5,2)&amp;"输出",标准坦克设计!$B$23:$U$23,0)))*(VLOOKUP($B231,INDIRECT($B$5&amp;"生成成长"),3))*(VLOOKUP($B$5,标准坦克设计!$B$14:$K$20,9)/30))</f>
        <v>2.0282495819601625</v>
      </c>
      <c r="DZ231" s="173">
        <f ca="1">(VLOOKUP(DZ$72,INDIRECT($C$5&amp;"生成成长"),2))/((VLOOKUP($B231,INDIRECT($B$5&amp;"生成成长"),4))/(VLOOKUP(DZ$72,INDIRECT($C$5&amp;"生成成长"),5))*(VLOOKUP($B$5,标准坦克设计!$B$24:$U$30,MATCH("对"&amp;LEFT($C$5,2)&amp;"输出",标准坦克设计!$B$23:$U$23,0)))*(VLOOKUP($B231,INDIRECT($B$5&amp;"生成成长"),3))*(VLOOKUP($B$5,标准坦克设计!$B$14:$K$20,9)/30))</f>
        <v>2.246191479421412</v>
      </c>
      <c r="EA231" s="173">
        <f ca="1">(VLOOKUP(EA$72,INDIRECT($C$5&amp;"生成成长"),2))/((VLOOKUP($B231,INDIRECT($B$5&amp;"生成成长"),4))/(VLOOKUP(EA$72,INDIRECT($C$5&amp;"生成成长"),5))*(VLOOKUP($B$5,标准坦克设计!$B$24:$U$30,MATCH("对"&amp;LEFT($C$5,2)&amp;"输出",标准坦克设计!$B$23:$U$23,0)))*(VLOOKUP($B231,INDIRECT($B$5&amp;"生成成长"),3))*(VLOOKUP($B$5,标准坦克设计!$B$14:$K$20,9)/30))</f>
        <v>2.4752528614470104</v>
      </c>
      <c r="EB231" s="173">
        <f ca="1">(VLOOKUP(EB$72,INDIRECT($C$5&amp;"生成成长"),2))/((VLOOKUP($B231,INDIRECT($B$5&amp;"生成成长"),4))/(VLOOKUP(EB$72,INDIRECT($C$5&amp;"生成成长"),5))*(VLOOKUP($B$5,标准坦克设计!$B$24:$U$30,MATCH("对"&amp;LEFT($C$5,2)&amp;"输出",标准坦克设计!$B$23:$U$23,0)))*(VLOOKUP($B231,INDIRECT($B$5&amp;"生成成长"),3))*(VLOOKUP($B$5,标准坦克设计!$B$14:$K$20,9)/30))</f>
        <v>2.7154337280369587</v>
      </c>
      <c r="EC231" s="173">
        <f ca="1">(VLOOKUP(EC$72,INDIRECT($C$5&amp;"生成成长"),2))/((VLOOKUP($B231,INDIRECT($B$5&amp;"生成成长"),4))/(VLOOKUP(EC$72,INDIRECT($C$5&amp;"生成成长"),5))*(VLOOKUP($B$5,标准坦克设计!$B$24:$U$30,MATCH("对"&amp;LEFT($C$5,2)&amp;"输出",标准坦克设计!$B$23:$U$23,0)))*(VLOOKUP($B231,INDIRECT($B$5&amp;"生成成长"),3))*(VLOOKUP($B$5,标准坦克设计!$B$14:$K$20,9)/30))</f>
        <v>2.9667340791912569</v>
      </c>
      <c r="ED231" s="173">
        <f ca="1">(VLOOKUP(ED$72,INDIRECT($C$5&amp;"生成成长"),2))/((VLOOKUP($B231,INDIRECT($B$5&amp;"生成成长"),4))/(VLOOKUP(ED$72,INDIRECT($C$5&amp;"生成成长"),5))*(VLOOKUP($B$5,标准坦克设计!$B$24:$U$30,MATCH("对"&amp;LEFT($C$5,2)&amp;"输出",标准坦克设计!$B$23:$U$23,0)))*(VLOOKUP($B231,INDIRECT($B$5&amp;"生成成长"),3))*(VLOOKUP($B$5,标准坦克设计!$B$14:$K$20,9)/30))</f>
        <v>3.2291539149099044</v>
      </c>
      <c r="EE231" s="173">
        <f ca="1">(VLOOKUP(EE$72,INDIRECT($C$5&amp;"生成成长"),2))/((VLOOKUP($B231,INDIRECT($B$5&amp;"生成成长"),4))/(VLOOKUP(EE$72,INDIRECT($C$5&amp;"生成成长"),5))*(VLOOKUP($B$5,标准坦克设计!$B$24:$U$30,MATCH("对"&amp;LEFT($C$5,2)&amp;"输出",标准坦克设计!$B$23:$U$23,0)))*(VLOOKUP($B231,INDIRECT($B$5&amp;"生成成长"),3))*(VLOOKUP($B$5,标准坦克设计!$B$14:$K$20,9)/30))</f>
        <v>3.502693235192901</v>
      </c>
      <c r="EF231" s="173">
        <f ca="1">(VLOOKUP(EF$72,INDIRECT($C$5&amp;"生成成长"),2))/((VLOOKUP($B231,INDIRECT($B$5&amp;"生成成长"),4))/(VLOOKUP(EF$72,INDIRECT($C$5&amp;"生成成长"),5))*(VLOOKUP($B$5,标准坦克设计!$B$24:$U$30,MATCH("对"&amp;LEFT($C$5,2)&amp;"输出",标准坦克设计!$B$23:$U$23,0)))*(VLOOKUP($B231,INDIRECT($B$5&amp;"生成成长"),3))*(VLOOKUP($B$5,标准坦克设计!$B$14:$K$20,9)/30))</f>
        <v>3.7873520400402469</v>
      </c>
      <c r="EG231" s="173">
        <f ca="1">(VLOOKUP(EG$72,INDIRECT($C$5&amp;"生成成长"),2))/((VLOOKUP($B231,INDIRECT($B$5&amp;"生成成长"),4))/(VLOOKUP(EG$72,INDIRECT($C$5&amp;"生成成长"),5))*(VLOOKUP($B$5,标准坦克设计!$B$24:$U$30,MATCH("对"&amp;LEFT($C$5,2)&amp;"输出",标准坦克设计!$B$23:$U$23,0)))*(VLOOKUP($B231,INDIRECT($B$5&amp;"生成成长"),3))*(VLOOKUP($B$5,标准坦克设计!$B$14:$K$20,9)/30))</f>
        <v>4.0831303294519419</v>
      </c>
      <c r="EH231" s="173">
        <f ca="1">(VLOOKUP(EH$72,INDIRECT($C$5&amp;"生成成长"),2))/((VLOOKUP($B231,INDIRECT($B$5&amp;"生成成长"),4))/(VLOOKUP(EH$72,INDIRECT($C$5&amp;"生成成长"),5))*(VLOOKUP($B$5,标准坦克设计!$B$24:$U$30,MATCH("对"&amp;LEFT($C$5,2)&amp;"输出",标准坦克设计!$B$23:$U$23,0)))*(VLOOKUP($B231,INDIRECT($B$5&amp;"生成成长"),3))*(VLOOKUP($B$5,标准坦克设计!$B$14:$K$20,9)/30))</f>
        <v>4.3900281034279871</v>
      </c>
      <c r="EI231" s="173">
        <f ca="1">(VLOOKUP(EI$72,INDIRECT($C$5&amp;"生成成长"),2))/((VLOOKUP($B231,INDIRECT($B$5&amp;"生成成长"),4))/(VLOOKUP(EI$72,INDIRECT($C$5&amp;"生成成长"),5))*(VLOOKUP($B$5,标准坦克设计!$B$24:$U$30,MATCH("对"&amp;LEFT($C$5,2)&amp;"输出",标准坦克设计!$B$23:$U$23,0)))*(VLOOKUP($B231,INDIRECT($B$5&amp;"生成成长"),3))*(VLOOKUP($B$5,标准坦克设计!$B$14:$K$20,9)/30))</f>
        <v>4.7080453619683817</v>
      </c>
      <c r="EJ231" s="173">
        <f ca="1">(VLOOKUP(EJ$72,INDIRECT($C$5&amp;"生成成长"),2))/((VLOOKUP($B231,INDIRECT($B$5&amp;"生成成长"),4))/(VLOOKUP(EJ$72,INDIRECT($C$5&amp;"生成成长"),5))*(VLOOKUP($B$5,标准坦克设计!$B$24:$U$30,MATCH("对"&amp;LEFT($C$5,2)&amp;"输出",标准坦克设计!$B$23:$U$23,0)))*(VLOOKUP($B231,INDIRECT($B$5&amp;"生成成长"),3))*(VLOOKUP($B$5,标准坦克设计!$B$14:$K$20,9)/30))</f>
        <v>5.0371821050731258</v>
      </c>
      <c r="EK231" s="173">
        <f ca="1">(VLOOKUP(EK$72,INDIRECT($C$5&amp;"生成成长"),2))/((VLOOKUP($B231,INDIRECT($B$5&amp;"生成成长"),4))/(VLOOKUP(EK$72,INDIRECT($C$5&amp;"生成成长"),5))*(VLOOKUP($B$5,标准坦克设计!$B$24:$U$30,MATCH("对"&amp;LEFT($C$5,2)&amp;"输出",标准坦克设计!$B$23:$U$23,0)))*(VLOOKUP($B231,INDIRECT($B$5&amp;"生成成长"),3))*(VLOOKUP($B$5,标准坦克设计!$B$14:$K$20,9)/30))</f>
        <v>5.4468239164237593</v>
      </c>
      <c r="EL231" s="173">
        <f ca="1">(VLOOKUP(EL$72,INDIRECT($C$5&amp;"生成成长"),2))/((VLOOKUP($B231,INDIRECT($B$5&amp;"生成成长"),4))/(VLOOKUP(EL$72,INDIRECT($C$5&amp;"生成成长"),5))*(VLOOKUP($B$5,标准坦克设计!$B$24:$U$30,MATCH("对"&amp;LEFT($C$5,2)&amp;"输出",标准坦克设计!$B$23:$U$23,0)))*(VLOOKUP($B231,INDIRECT($B$5&amp;"生成成长"),3))*(VLOOKUP($B$5,标准坦克设计!$B$14:$K$20,9)/30))</f>
        <v>5.8724777855470567</v>
      </c>
      <c r="EM231" s="173">
        <f ca="1">(VLOOKUP(EM$72,INDIRECT($C$5&amp;"生成成长"),2))/((VLOOKUP($B231,INDIRECT($B$5&amp;"生成成长"),4))/(VLOOKUP(EM$72,INDIRECT($C$5&amp;"生成成长"),5))*(VLOOKUP($B$5,标准坦克设计!$B$24:$U$30,MATCH("对"&amp;LEFT($C$5,2)&amp;"输出",标准坦克设计!$B$23:$U$23,0)))*(VLOOKUP($B231,INDIRECT($B$5&amp;"生成成长"),3))*(VLOOKUP($B$5,标准坦克设计!$B$14:$K$20,9)/30))</f>
        <v>6.3141437124430162</v>
      </c>
      <c r="EN231" s="173">
        <f ca="1">(VLOOKUP(EN$72,INDIRECT($C$5&amp;"生成成长"),2))/((VLOOKUP($B231,INDIRECT($B$5&amp;"生成成长"),4))/(VLOOKUP(EN$72,INDIRECT($C$5&amp;"生成成长"),5))*(VLOOKUP($B$5,标准坦克设计!$B$24:$U$30,MATCH("对"&amp;LEFT($C$5,2)&amp;"输出",标准坦克设计!$B$23:$U$23,0)))*(VLOOKUP($B231,INDIRECT($B$5&amp;"生成成长"),3))*(VLOOKUP($B$5,标准坦克设计!$B$14:$K$20,9)/30))</f>
        <v>6.7718216971116405</v>
      </c>
      <c r="EO231" s="173">
        <f ca="1">(VLOOKUP(EO$72,INDIRECT($C$5&amp;"生成成长"),2))/((VLOOKUP($B231,INDIRECT($B$5&amp;"生成成长"),4))/(VLOOKUP(EO$72,INDIRECT($C$5&amp;"生成成长"),5))*(VLOOKUP($B$5,标准坦克设计!$B$24:$U$30,MATCH("对"&amp;LEFT($C$5,2)&amp;"输出",标准坦克设计!$B$23:$U$23,0)))*(VLOOKUP($B231,INDIRECT($B$5&amp;"生成成长"),3))*(VLOOKUP($B$5,标准坦克设计!$B$14:$K$20,9)/30))</f>
        <v>7.2455117395529278</v>
      </c>
      <c r="EP231" s="173">
        <f ca="1">(VLOOKUP(EP$72,INDIRECT($C$5&amp;"生成成长"),2))/((VLOOKUP($B231,INDIRECT($B$5&amp;"生成成长"),4))/(VLOOKUP(EP$72,INDIRECT($C$5&amp;"生成成长"),5))*(VLOOKUP($B$5,标准坦克设计!$B$24:$U$30,MATCH("对"&amp;LEFT($C$5,2)&amp;"输出",标准坦克设计!$B$23:$U$23,0)))*(VLOOKUP($B231,INDIRECT($B$5&amp;"生成成长"),3))*(VLOOKUP($B$5,标准坦克设计!$B$14:$K$20,9)/30))</f>
        <v>7.7352138397668773</v>
      </c>
      <c r="EQ231" s="173">
        <f ca="1">(VLOOKUP(EQ$72,INDIRECT($C$5&amp;"生成成长"),2))/((VLOOKUP($B231,INDIRECT($B$5&amp;"生成成长"),4))/(VLOOKUP(EQ$72,INDIRECT($C$5&amp;"生成成长"),5))*(VLOOKUP($B$5,标准坦克设计!$B$24:$U$30,MATCH("对"&amp;LEFT($C$5,2)&amp;"输出",标准坦克设计!$B$23:$U$23,0)))*(VLOOKUP($B231,INDIRECT($B$5&amp;"生成成长"),3))*(VLOOKUP($B$5,标准坦克设计!$B$14:$K$20,9)/30))</f>
        <v>3.4194638932287438</v>
      </c>
      <c r="ER231" s="173">
        <f ca="1">(VLOOKUP(ER$72,INDIRECT($C$5&amp;"生成成长"),2))/((VLOOKUP($B231,INDIRECT($B$5&amp;"生成成长"),4))/(VLOOKUP(ER$72,INDIRECT($C$5&amp;"生成成长"),5))*(VLOOKUP($B$5,标准坦克设计!$B$24:$U$30,MATCH("对"&amp;LEFT($C$5,2)&amp;"输出",标准坦克设计!$B$23:$U$23,0)))*(VLOOKUP($B231,INDIRECT($B$5&amp;"生成成长"),3))*(VLOOKUP($B$5,标准坦克设计!$B$14:$K$20,9)/30))</f>
        <v>3.7295307203056294</v>
      </c>
      <c r="ES231" s="173">
        <f ca="1">(VLOOKUP(ES$72,INDIRECT($C$5&amp;"生成成长"),2))/((VLOOKUP($B231,INDIRECT($B$5&amp;"生成成长"),4))/(VLOOKUP(ES$72,INDIRECT($C$5&amp;"生成成长"),5))*(VLOOKUP($B$5,标准坦克设计!$B$24:$U$30,MATCH("对"&amp;LEFT($C$5,2)&amp;"输出",标准坦克设计!$B$23:$U$23,0)))*(VLOOKUP($B231,INDIRECT($B$5&amp;"生成成长"),3))*(VLOOKUP($B$5,标准坦克设计!$B$14:$K$20,9)/30))</f>
        <v>4.0530521237053767</v>
      </c>
      <c r="ET231" s="173">
        <f ca="1">(VLOOKUP(ET$72,INDIRECT($C$5&amp;"生成成长"),2))/((VLOOKUP($B231,INDIRECT($B$5&amp;"生成成长"),4))/(VLOOKUP(ET$72,INDIRECT($C$5&amp;"生成成长"),5))*(VLOOKUP($B$5,标准坦克设计!$B$24:$U$30,MATCH("对"&amp;LEFT($C$5,2)&amp;"输出",标准坦克设计!$B$23:$U$23,0)))*(VLOOKUP($B231,INDIRECT($B$5&amp;"生成成长"),3))*(VLOOKUP($B$5,标准坦克设计!$B$14:$K$20,9)/30))</f>
        <v>4.3900281034279871</v>
      </c>
      <c r="EU231" s="173">
        <f ca="1">(VLOOKUP(EU$72,INDIRECT($C$5&amp;"生成成长"),2))/((VLOOKUP($B231,INDIRECT($B$5&amp;"生成成长"),4))/(VLOOKUP(EU$72,INDIRECT($C$5&amp;"生成成长"),5))*(VLOOKUP($B$5,标准坦克设计!$B$24:$U$30,MATCH("对"&amp;LEFT($C$5,2)&amp;"输出",标准坦克设计!$B$23:$U$23,0)))*(VLOOKUP($B231,INDIRECT($B$5&amp;"生成成长"),3))*(VLOOKUP($B$5,标准坦克设计!$B$14:$K$20,9)/30))</f>
        <v>4.7404586594734601</v>
      </c>
      <c r="EV231" s="173">
        <f ca="1">(VLOOKUP(EV$72,INDIRECT($C$5&amp;"生成成长"),2))/((VLOOKUP($B231,INDIRECT($B$5&amp;"生成成长"),4))/(VLOOKUP(EV$72,INDIRECT($C$5&amp;"生成成长"),5))*(VLOOKUP($B$5,标准坦克设计!$B$24:$U$30,MATCH("对"&amp;LEFT($C$5,2)&amp;"输出",标准坦克设计!$B$23:$U$23,0)))*(VLOOKUP($B231,INDIRECT($B$5&amp;"生成成长"),3))*(VLOOKUP($B$5,标准坦克设计!$B$14:$K$20,9)/30))</f>
        <v>5.1043437918417967</v>
      </c>
      <c r="EW231" s="173">
        <f ca="1">(VLOOKUP(EW$72,INDIRECT($C$5&amp;"生成成长"),2))/((VLOOKUP($B231,INDIRECT($B$5&amp;"生成成长"),4))/(VLOOKUP(EW$72,INDIRECT($C$5&amp;"生成成长"),5))*(VLOOKUP($B$5,标准坦克设计!$B$24:$U$30,MATCH("对"&amp;LEFT($C$5,2)&amp;"输出",标准坦克设计!$B$23:$U$23,0)))*(VLOOKUP($B231,INDIRECT($B$5&amp;"生成成长"),3))*(VLOOKUP($B$5,标准坦克设计!$B$14:$K$20,9)/30))</f>
        <v>5.4816835005329949</v>
      </c>
      <c r="EX231" s="173">
        <f ca="1">(VLOOKUP(EX$72,INDIRECT($C$5&amp;"生成成长"),2))/((VLOOKUP($B231,INDIRECT($B$5&amp;"生成成长"),4))/(VLOOKUP(EX$72,INDIRECT($C$5&amp;"生成成长"),5))*(VLOOKUP($B$5,标准坦克设计!$B$24:$U$30,MATCH("对"&amp;LEFT($C$5,2)&amp;"输出",标准坦克设计!$B$23:$U$23,0)))*(VLOOKUP($B231,INDIRECT($B$5&amp;"生成成长"),3))*(VLOOKUP($B$5,标准坦克设计!$B$14:$K$20,9)/30))</f>
        <v>5.8724777855470567</v>
      </c>
      <c r="EY231" s="173">
        <f ca="1">(VLOOKUP(EY$72,INDIRECT($C$5&amp;"生成成长"),2))/((VLOOKUP($B231,INDIRECT($B$5&amp;"生成成长"),4))/(VLOOKUP(EY$72,INDIRECT($C$5&amp;"生成成长"),5))*(VLOOKUP($B$5,标准坦克设计!$B$24:$U$30,MATCH("对"&amp;LEFT($C$5,2)&amp;"输出",标准坦克设计!$B$23:$U$23,0)))*(VLOOKUP($B231,INDIRECT($B$5&amp;"生成成长"),3))*(VLOOKUP($B$5,标准坦克设计!$B$14:$K$20,9)/30))</f>
        <v>6.2767266468839811</v>
      </c>
      <c r="EZ231" s="173">
        <f ca="1">(VLOOKUP(EZ$72,INDIRECT($C$5&amp;"生成成长"),2))/((VLOOKUP($B231,INDIRECT($B$5&amp;"生成成长"),4))/(VLOOKUP(EZ$72,INDIRECT($C$5&amp;"生成成长"),5))*(VLOOKUP($B$5,标准坦克设计!$B$24:$U$30,MATCH("对"&amp;LEFT($C$5,2)&amp;"输出",标准坦克设计!$B$23:$U$23,0)))*(VLOOKUP($B231,INDIRECT($B$5&amp;"生成成长"),3))*(VLOOKUP($B$5,标准坦克设计!$B$14:$K$20,9)/30))</f>
        <v>6.694430084543769</v>
      </c>
      <c r="FA231" s="173">
        <f ca="1">(VLOOKUP(FA$72,INDIRECT($C$5&amp;"生成成长"),2))/((VLOOKUP($B231,INDIRECT($B$5&amp;"生成成长"),4))/(VLOOKUP(FA$72,INDIRECT($C$5&amp;"生成成长"),5))*(VLOOKUP($B$5,标准坦克设计!$B$24:$U$30,MATCH("对"&amp;LEFT($C$5,2)&amp;"输出",标准坦克设计!$B$23:$U$23,0)))*(VLOOKUP($B231,INDIRECT($B$5&amp;"生成成长"),3))*(VLOOKUP($B$5,标准坦克设计!$B$14:$K$20,9)/30))</f>
        <v>7.1255880985264177</v>
      </c>
      <c r="FB231" s="173">
        <f ca="1">(VLOOKUP(FB$72,INDIRECT($C$5&amp;"生成成长"),2))/((VLOOKUP($B231,INDIRECT($B$5&amp;"生成成长"),4))/(VLOOKUP(FB$72,INDIRECT($C$5&amp;"生成成长"),5))*(VLOOKUP($B$5,标准坦克设计!$B$24:$U$30,MATCH("对"&amp;LEFT($C$5,2)&amp;"输出",标准坦克设计!$B$23:$U$23,0)))*(VLOOKUP($B231,INDIRECT($B$5&amp;"生成成长"),3))*(VLOOKUP($B$5,标准坦克设计!$B$14:$K$20,9)/30))</f>
        <v>7.5702006888319318</v>
      </c>
      <c r="FC231" s="173">
        <f ca="1">(VLOOKUP(FC$72,INDIRECT($C$5&amp;"生成成长"),2))/((VLOOKUP($B231,INDIRECT($B$5&amp;"生成成长"),4))/(VLOOKUP(FC$72,INDIRECT($C$5&amp;"生成成长"),5))*(VLOOKUP($B$5,标准坦克设计!$B$24:$U$30,MATCH("对"&amp;LEFT($C$5,2)&amp;"输出",标准坦克设计!$B$23:$U$23,0)))*(VLOOKUP($B231,INDIRECT($B$5&amp;"生成成长"),3))*(VLOOKUP($B$5,标准坦克设计!$B$14:$K$20,9)/30))</f>
        <v>8.0282678554603066</v>
      </c>
      <c r="FD231" s="173">
        <f ca="1">(VLOOKUP(FD$72,INDIRECT($C$5&amp;"生成成长"),2))/((VLOOKUP($B231,INDIRECT($B$5&amp;"生成成长"),4))/(VLOOKUP(FD$72,INDIRECT($C$5&amp;"生成成长"),5))*(VLOOKUP($B$5,标准坦克设计!$B$24:$U$30,MATCH("对"&amp;LEFT($C$5,2)&amp;"输出",标准坦克设计!$B$23:$U$23,0)))*(VLOOKUP($B231,INDIRECT($B$5&amp;"生成成长"),3))*(VLOOKUP($B$5,标准坦克设计!$B$14:$K$20,9)/30))</f>
        <v>8.4997895984115459</v>
      </c>
      <c r="FE231" s="173">
        <f ca="1">(VLOOKUP(FE$72,INDIRECT($C$5&amp;"生成成长"),2))/((VLOOKUP($B231,INDIRECT($B$5&amp;"生成成长"),4))/(VLOOKUP(FE$72,INDIRECT($C$5&amp;"生成成长"),5))*(VLOOKUP($B$5,标准坦克设计!$B$24:$U$30,MATCH("对"&amp;LEFT($C$5,2)&amp;"输出",标准坦克设计!$B$23:$U$23,0)))*(VLOOKUP($B231,INDIRECT($B$5&amp;"生成成长"),3))*(VLOOKUP($B$5,标准坦克设计!$B$14:$K$20,9)/30))</f>
        <v>9.0743889632743038</v>
      </c>
      <c r="FF231" s="173">
        <f ca="1">(VLOOKUP(FF$72,INDIRECT($C$5&amp;"生成成长"),2))/((VLOOKUP($B231,INDIRECT($B$5&amp;"生成成长"),4))/(VLOOKUP(FF$72,INDIRECT($C$5&amp;"生成成长"),5))*(VLOOKUP($B$5,标准坦克设计!$B$24:$U$30,MATCH("对"&amp;LEFT($C$5,2)&amp;"输出",标准坦克设计!$B$23:$U$23,0)))*(VLOOKUP($B231,INDIRECT($B$5&amp;"生成成长"),3))*(VLOOKUP($B$5,标准坦克设计!$B$14:$K$20,9)/30))</f>
        <v>9.6677802570508113</v>
      </c>
      <c r="FG231" s="173">
        <f ca="1">(VLOOKUP(FG$72,INDIRECT($C$5&amp;"生成成长"),2))/((VLOOKUP($B231,INDIRECT($B$5&amp;"生成成长"),4))/(VLOOKUP(FG$72,INDIRECT($C$5&amp;"生成成长"),5))*(VLOOKUP($B$5,标准坦克设计!$B$24:$U$30,MATCH("对"&amp;LEFT($C$5,2)&amp;"输出",标准坦克设计!$B$23:$U$23,0)))*(VLOOKUP($B231,INDIRECT($B$5&amp;"生成成长"),3))*(VLOOKUP($B$5,标准坦克设计!$B$14:$K$20,9)/30))</f>
        <v>10.279963479741074</v>
      </c>
      <c r="FH231" s="173">
        <f ca="1">(VLOOKUP(FH$72,INDIRECT($C$5&amp;"生成成长"),2))/((VLOOKUP($B231,INDIRECT($B$5&amp;"生成成长"),4))/(VLOOKUP(FH$72,INDIRECT($C$5&amp;"生成成长"),5))*(VLOOKUP($B$5,标准坦克设计!$B$24:$U$30,MATCH("对"&amp;LEFT($C$5,2)&amp;"输出",标准坦克设计!$B$23:$U$23,0)))*(VLOOKUP($B231,INDIRECT($B$5&amp;"生成成长"),3))*(VLOOKUP($B$5,标准坦克设计!$B$14:$K$20,9)/30))</f>
        <v>10.910938631345081</v>
      </c>
      <c r="FI231" s="173">
        <f ca="1">(VLOOKUP(FI$72,INDIRECT($C$5&amp;"生成成长"),2))/((VLOOKUP($B231,INDIRECT($B$5&amp;"生成成长"),4))/(VLOOKUP(FI$72,INDIRECT($C$5&amp;"生成成长"),5))*(VLOOKUP($B$5,标准坦克设计!$B$24:$U$30,MATCH("对"&amp;LEFT($C$5,2)&amp;"输出",标准坦克设计!$B$23:$U$23,0)))*(VLOOKUP($B231,INDIRECT($B$5&amp;"生成成长"),3))*(VLOOKUP($B$5,标准坦克设计!$B$14:$K$20,9)/30))</f>
        <v>11.560705711862841</v>
      </c>
      <c r="FJ231" s="173">
        <f ca="1">(VLOOKUP(FJ$72,INDIRECT($C$5&amp;"生成成长"),2))/((VLOOKUP($B231,INDIRECT($B$5&amp;"生成成长"),4))/(VLOOKUP(FJ$72,INDIRECT($C$5&amp;"生成成长"),5))*(VLOOKUP($B$5,标准坦克设计!$B$24:$U$30,MATCH("对"&amp;LEFT($C$5,2)&amp;"输出",标准坦克设计!$B$23:$U$23,0)))*(VLOOKUP($B231,INDIRECT($B$5&amp;"生成成长"),3))*(VLOOKUP($B$5,标准坦克设计!$B$14:$K$20,9)/30))</f>
        <v>12.229264721294353</v>
      </c>
      <c r="FK231" s="173">
        <f ca="1">(VLOOKUP(FK$72,INDIRECT($C$5&amp;"生成成长"),2))/((VLOOKUP($B231,INDIRECT($B$5&amp;"生成成长"),4))/(VLOOKUP(FK$72,INDIRECT($C$5&amp;"生成成长"),5))*(VLOOKUP($B$5,标准坦克设计!$B$24:$U$30,MATCH("对"&amp;LEFT($C$5,2)&amp;"输出",标准坦克设计!$B$23:$U$23,0)))*(VLOOKUP($B231,INDIRECT($B$5&amp;"生成成长"),3))*(VLOOKUP($B$5,标准坦克设计!$B$14:$K$20,9)/30))</f>
        <v>12.916615659639618</v>
      </c>
    </row>
    <row r="232" spans="1:167" x14ac:dyDescent="0.15">
      <c r="A232" s="171" t="str">
        <f t="shared" si="13"/>
        <v>T5高品质16级</v>
      </c>
      <c r="B232" s="172">
        <v>30516</v>
      </c>
      <c r="C232" s="173">
        <f ca="1">(VLOOKUP(C$72,INDIRECT($C$5&amp;"生成成长"),2))/((VLOOKUP($B232,INDIRECT($B$5&amp;"生成成长"),4))/(VLOOKUP(C$72,INDIRECT($C$5&amp;"生成成长"),5))*(VLOOKUP($B$5,标准坦克设计!$B$24:$U$30,MATCH("对"&amp;LEFT($C$5,2)&amp;"输出",标准坦克设计!$B$23:$U$23,0)))*(VLOOKUP($B232,INDIRECT($B$5&amp;"生成成长"),3))*(VLOOKUP($B$5,标准坦克设计!$B$14:$K$20,9)/30))</f>
        <v>0.52241755078121555</v>
      </c>
      <c r="D232" s="173">
        <f ca="1">(VLOOKUP(D$72,INDIRECT($C$5&amp;"生成成长"),2))/((VLOOKUP($B232,INDIRECT($B$5&amp;"生成成长"),4))/(VLOOKUP(D$72,INDIRECT($C$5&amp;"生成成长"),5))*(VLOOKUP($B$5,标准坦克设计!$B$24:$U$30,MATCH("对"&amp;LEFT($C$5,2)&amp;"输出",标准坦克设计!$B$23:$U$23,0)))*(VLOOKUP($B232,INDIRECT($B$5&amp;"生成成长"),3))*(VLOOKUP($B$5,标准坦克设计!$B$14:$K$20,9)/30))</f>
        <v>0.58698836005777377</v>
      </c>
      <c r="E232" s="173">
        <f ca="1">(VLOOKUP(E$72,INDIRECT($C$5&amp;"生成成长"),2))/((VLOOKUP($B232,INDIRECT($B$5&amp;"生成成长"),4))/(VLOOKUP(E$72,INDIRECT($C$5&amp;"生成成长"),5))*(VLOOKUP($B$5,标准坦克设计!$B$24:$U$30,MATCH("对"&amp;LEFT($C$5,2)&amp;"输出",标准坦克设计!$B$23:$U$23,0)))*(VLOOKUP($B232,INDIRECT($B$5&amp;"生成成长"),3))*(VLOOKUP($B$5,标准坦克设计!$B$14:$K$20,9)/30))</f>
        <v>0.65532057569995672</v>
      </c>
      <c r="F232" s="173">
        <f ca="1">(VLOOKUP(F$72,INDIRECT($C$5&amp;"生成成长"),2))/((VLOOKUP($B232,INDIRECT($B$5&amp;"生成成长"),4))/(VLOOKUP(F$72,INDIRECT($C$5&amp;"生成成长"),5))*(VLOOKUP($B$5,标准坦克设计!$B$24:$U$30,MATCH("对"&amp;LEFT($C$5,2)&amp;"输出",标准坦克设计!$B$23:$U$23,0)))*(VLOOKUP($B232,INDIRECT($B$5&amp;"生成成长"),3))*(VLOOKUP($B$5,标准坦克设计!$B$14:$K$20,9)/30))</f>
        <v>0.72741419770776461</v>
      </c>
      <c r="G232" s="173">
        <f ca="1">(VLOOKUP(G$72,INDIRECT($C$5&amp;"生成成长"),2))/((VLOOKUP($B232,INDIRECT($B$5&amp;"生成成长"),4))/(VLOOKUP(G$72,INDIRECT($C$5&amp;"生成成长"),5))*(VLOOKUP($B$5,标准坦克设计!$B$24:$U$30,MATCH("对"&amp;LEFT($C$5,2)&amp;"输出",标准坦克设计!$B$23:$U$23,0)))*(VLOOKUP($B232,INDIRECT($B$5&amp;"生成成长"),3))*(VLOOKUP($B$5,标准坦克设计!$B$14:$K$20,9)/30))</f>
        <v>0.80326922608119689</v>
      </c>
      <c r="H232" s="173">
        <f ca="1">(VLOOKUP(H$72,INDIRECT($C$5&amp;"生成成长"),2))/((VLOOKUP($B232,INDIRECT($B$5&amp;"生成成长"),4))/(VLOOKUP(H$72,INDIRECT($C$5&amp;"生成成长"),5))*(VLOOKUP($B$5,标准坦克设计!$B$24:$U$30,MATCH("对"&amp;LEFT($C$5,2)&amp;"输出",标准坦克设计!$B$23:$U$23,0)))*(VLOOKUP($B232,INDIRECT($B$5&amp;"生成成长"),3))*(VLOOKUP($B$5,标准坦克设计!$B$14:$K$20,9)/30))</f>
        <v>0.70296505633120365</v>
      </c>
      <c r="I232" s="173">
        <f ca="1">(VLOOKUP(I$72,INDIRECT($C$5&amp;"生成成长"),2))/((VLOOKUP($B232,INDIRECT($B$5&amp;"生成成长"),4))/(VLOOKUP(I$72,INDIRECT($C$5&amp;"生成成长"),5))*(VLOOKUP($B$5,标准坦克设计!$B$24:$U$30,MATCH("对"&amp;LEFT($C$5,2)&amp;"输出",标准坦克设计!$B$23:$U$23,0)))*(VLOOKUP($B232,INDIRECT($B$5&amp;"生成成长"),3))*(VLOOKUP($B$5,标准坦克设计!$B$14:$K$20,9)/30))</f>
        <v>0.80326922608119689</v>
      </c>
      <c r="J232" s="173">
        <f ca="1">(VLOOKUP(J$72,INDIRECT($C$5&amp;"生成成长"),2))/((VLOOKUP($B232,INDIRECT($B$5&amp;"生成成长"),4))/(VLOOKUP(J$72,INDIRECT($C$5&amp;"生成成长"),5))*(VLOOKUP($B$5,标准坦克设计!$B$24:$U$30,MATCH("对"&amp;LEFT($C$5,2)&amp;"输出",标准坦克设计!$B$23:$U$23,0)))*(VLOOKUP($B232,INDIRECT($B$5&amp;"生成成长"),3))*(VLOOKUP($B$5,标准坦克设计!$B$14:$K$20,9)/30))</f>
        <v>0.91026034048118987</v>
      </c>
      <c r="K232" s="173">
        <f ca="1">(VLOOKUP(K$72,INDIRECT($C$5&amp;"生成成长"),2))/((VLOOKUP($B232,INDIRECT($B$5&amp;"生成成长"),4))/(VLOOKUP(K$72,INDIRECT($C$5&amp;"生成成长"),5))*(VLOOKUP($B$5,标准坦克设计!$B$24:$U$30,MATCH("对"&amp;LEFT($C$5,2)&amp;"输出",标准坦克设计!$B$23:$U$23,0)))*(VLOOKUP($B232,INDIRECT($B$5&amp;"生成成长"),3))*(VLOOKUP($B$5,标准坦克设计!$B$14:$K$20,9)/30))</f>
        <v>1.0239383995311822</v>
      </c>
      <c r="L232" s="173">
        <f ca="1">(VLOOKUP(L$72,INDIRECT($C$5&amp;"生成成长"),2))/((VLOOKUP($B232,INDIRECT($B$5&amp;"生成成长"),4))/(VLOOKUP(L$72,INDIRECT($C$5&amp;"生成成长"),5))*(VLOOKUP($B$5,标准坦克设计!$B$24:$U$30,MATCH("对"&amp;LEFT($C$5,2)&amp;"输出",标准坦克设计!$B$23:$U$23,0)))*(VLOOKUP($B232,INDIRECT($B$5&amp;"生成成长"),3))*(VLOOKUP($B$5,标准坦克设计!$B$14:$K$20,9)/30))</f>
        <v>1.1443034032311745</v>
      </c>
      <c r="M232" s="173">
        <f ca="1">(VLOOKUP(M$72,INDIRECT($C$5&amp;"生成成长"),2))/((VLOOKUP($B232,INDIRECT($B$5&amp;"生成成长"),4))/(VLOOKUP(M$72,INDIRECT($C$5&amp;"生成成长"),5))*(VLOOKUP($B$5,标准坦克设计!$B$24:$U$30,MATCH("对"&amp;LEFT($C$5,2)&amp;"输出",标准坦克设计!$B$23:$U$23,0)))*(VLOOKUP($B232,INDIRECT($B$5&amp;"生成成长"),3))*(VLOOKUP($B$5,标准坦克设计!$B$14:$K$20,9)/30))</f>
        <v>1.2713553515811662</v>
      </c>
      <c r="N232" s="173">
        <f ca="1">(VLOOKUP(N$72,INDIRECT($C$5&amp;"生成成长"),2))/((VLOOKUP($B232,INDIRECT($B$5&amp;"生成成长"),4))/(VLOOKUP(N$72,INDIRECT($C$5&amp;"生成成长"),5))*(VLOOKUP($B$5,标准坦克设计!$B$24:$U$30,MATCH("对"&amp;LEFT($C$5,2)&amp;"输出",标准坦克设计!$B$23:$U$23,0)))*(VLOOKUP($B232,INDIRECT($B$5&amp;"生成成长"),3))*(VLOOKUP($B$5,标准坦克设计!$B$14:$K$20,9)/30))</f>
        <v>1.4050942445811572</v>
      </c>
      <c r="O232" s="173">
        <f ca="1">(VLOOKUP(O$72,INDIRECT($C$5&amp;"生成成长"),2))/((VLOOKUP($B232,INDIRECT($B$5&amp;"生成成长"),4))/(VLOOKUP(O$72,INDIRECT($C$5&amp;"生成成长"),5))*(VLOOKUP($B$5,标准坦克设计!$B$24:$U$30,MATCH("对"&amp;LEFT($C$5,2)&amp;"输出",标准坦克设计!$B$23:$U$23,0)))*(VLOOKUP($B232,INDIRECT($B$5&amp;"生成成长"),3))*(VLOOKUP($B$5,标准坦克设计!$B$14:$K$20,9)/30))</f>
        <v>1.0682916495925077</v>
      </c>
      <c r="P232" s="173">
        <f ca="1">(VLOOKUP(P$72,INDIRECT($C$5&amp;"生成成长"),2))/((VLOOKUP($B232,INDIRECT($B$5&amp;"生成成长"),4))/(VLOOKUP(P$72,INDIRECT($C$5&amp;"生成成长"),5))*(VLOOKUP($B$5,标准坦克设计!$B$24:$U$30,MATCH("对"&amp;LEFT($C$5,2)&amp;"输出",标准坦克设计!$B$23:$U$23,0)))*(VLOOKUP($B232,INDIRECT($B$5&amp;"生成成长"),3))*(VLOOKUP($B$5,标准坦克设计!$B$14:$K$20,9)/30))</f>
        <v>1.2069935093249204</v>
      </c>
      <c r="Q232" s="173">
        <f ca="1">(VLOOKUP(Q$72,INDIRECT($C$5&amp;"生成成长"),2))/((VLOOKUP($B232,INDIRECT($B$5&amp;"生成成长"),4))/(VLOOKUP(Q$72,INDIRECT($C$5&amp;"生成成长"),5))*(VLOOKUP($B$5,标准坦克设计!$B$24:$U$30,MATCH("对"&amp;LEFT($C$5,2)&amp;"输出",标准坦克设计!$B$23:$U$23,0)))*(VLOOKUP($B232,INDIRECT($B$5&amp;"生成成长"),3))*(VLOOKUP($B$5,标准坦克设计!$B$14:$K$20,9)/30))</f>
        <v>1.3541585333799888</v>
      </c>
      <c r="R232" s="173">
        <f ca="1">(VLOOKUP(R$72,INDIRECT($C$5&amp;"生成成长"),2))/((VLOOKUP($B232,INDIRECT($B$5&amp;"生成成长"),4))/(VLOOKUP(R$72,INDIRECT($C$5&amp;"生成成长"),5))*(VLOOKUP($B$5,标准坦克设计!$B$24:$U$30,MATCH("对"&amp;LEFT($C$5,2)&amp;"输出",标准坦克设计!$B$23:$U$23,0)))*(VLOOKUP($B232,INDIRECT($B$5&amp;"生成成长"),3))*(VLOOKUP($B$5,标准坦克设计!$B$14:$K$20,9)/30))</f>
        <v>1.5097867217577126</v>
      </c>
      <c r="S232" s="173">
        <f ca="1">(VLOOKUP(S$72,INDIRECT($C$5&amp;"生成成长"),2))/((VLOOKUP($B232,INDIRECT($B$5&amp;"生成成长"),4))/(VLOOKUP(S$72,INDIRECT($C$5&amp;"生成成长"),5))*(VLOOKUP($B$5,标准坦克设计!$B$24:$U$30,MATCH("对"&amp;LEFT($C$5,2)&amp;"输出",标准坦克设计!$B$23:$U$23,0)))*(VLOOKUP($B232,INDIRECT($B$5&amp;"生成成长"),3))*(VLOOKUP($B$5,标准坦克设计!$B$14:$K$20,9)/30))</f>
        <v>1.6738780744580928</v>
      </c>
      <c r="T232" s="173">
        <f ca="1">(VLOOKUP(T$72,INDIRECT($C$5&amp;"生成成长"),2))/((VLOOKUP($B232,INDIRECT($B$5&amp;"生成成长"),4))/(VLOOKUP(T$72,INDIRECT($C$5&amp;"生成成长"),5))*(VLOOKUP($B$5,标准坦克设计!$B$24:$U$30,MATCH("对"&amp;LEFT($C$5,2)&amp;"输出",标准坦克设计!$B$23:$U$23,0)))*(VLOOKUP($B232,INDIRECT($B$5&amp;"生成成长"),3))*(VLOOKUP($B$5,标准坦克设计!$B$14:$K$20,9)/30))</f>
        <v>1.8464325914811281</v>
      </c>
      <c r="U232" s="173">
        <f ca="1">(VLOOKUP(U$72,INDIRECT($C$5&amp;"生成成长"),2))/((VLOOKUP($B232,INDIRECT($B$5&amp;"生成成长"),4))/(VLOOKUP(U$72,INDIRECT($C$5&amp;"生成成长"),5))*(VLOOKUP($B$5,标准坦克设计!$B$24:$U$30,MATCH("对"&amp;LEFT($C$5,2)&amp;"输出",标准坦克设计!$B$23:$U$23,0)))*(VLOOKUP($B232,INDIRECT($B$5&amp;"生成成长"),3))*(VLOOKUP($B$5,标准坦克设计!$B$14:$K$20,9)/30))</f>
        <v>2.0274502728268193</v>
      </c>
      <c r="V232" s="173">
        <f ca="1">(VLOOKUP(V$72,INDIRECT($C$5&amp;"生成成长"),2))/((VLOOKUP($B232,INDIRECT($B$5&amp;"生成成长"),4))/(VLOOKUP(V$72,INDIRECT($C$5&amp;"生成成长"),5))*(VLOOKUP($B$5,标准坦克设计!$B$24:$U$30,MATCH("对"&amp;LEFT($C$5,2)&amp;"输出",标准坦克设计!$B$23:$U$23,0)))*(VLOOKUP($B232,INDIRECT($B$5&amp;"生成成长"),3))*(VLOOKUP($B$5,标准坦克设计!$B$14:$K$20,9)/30))</f>
        <v>2.2169311184951659</v>
      </c>
      <c r="W232" s="173">
        <f ca="1">(VLOOKUP(W$72,INDIRECT($C$5&amp;"生成成长"),2))/((VLOOKUP($B232,INDIRECT($B$5&amp;"生成成长"),4))/(VLOOKUP(W$72,INDIRECT($C$5&amp;"生成成长"),5))*(VLOOKUP($B$5,标准坦克设计!$B$24:$U$30,MATCH("对"&amp;LEFT($C$5,2)&amp;"输出",标准坦克设计!$B$23:$U$23,0)))*(VLOOKUP($B232,INDIRECT($B$5&amp;"生成成长"),3))*(VLOOKUP($B$5,标准坦克设计!$B$14:$K$20,9)/30))</f>
        <v>2.4148751284861687</v>
      </c>
      <c r="X232" s="173">
        <f ca="1">(VLOOKUP(X$72,INDIRECT($C$5&amp;"生成成长"),2))/((VLOOKUP($B232,INDIRECT($B$5&amp;"生成成长"),4))/(VLOOKUP(X$72,INDIRECT($C$5&amp;"生成成长"),5))*(VLOOKUP($B$5,标准坦克设计!$B$24:$U$30,MATCH("对"&amp;LEFT($C$5,2)&amp;"输出",标准坦克设计!$B$23:$U$23,0)))*(VLOOKUP($B232,INDIRECT($B$5&amp;"生成成长"),3))*(VLOOKUP($B$5,标准坦克设计!$B$14:$K$20,9)/30))</f>
        <v>1.7495241358112128</v>
      </c>
      <c r="Y232" s="173">
        <f ca="1">(VLOOKUP(Y$72,INDIRECT($C$5&amp;"生成成长"),2))/((VLOOKUP($B232,INDIRECT($B$5&amp;"生成成长"),4))/(VLOOKUP(Y$72,INDIRECT($C$5&amp;"生成成长"),5))*(VLOOKUP($B$5,标准坦克设计!$B$24:$U$30,MATCH("对"&amp;LEFT($C$5,2)&amp;"输出",标准坦克设计!$B$23:$U$23,0)))*(VLOOKUP($B232,INDIRECT($B$5&amp;"生成成长"),3))*(VLOOKUP($B$5,标准坦克设计!$B$14:$K$20,9)/30))</f>
        <v>1.9459531349049497</v>
      </c>
      <c r="Z232" s="173">
        <f ca="1">(VLOOKUP(Z$72,INDIRECT($C$5&amp;"生成成长"),2))/((VLOOKUP($B232,INDIRECT($B$5&amp;"生成成长"),4))/(VLOOKUP(Z$72,INDIRECT($C$5&amp;"生成成长"),5))*(VLOOKUP($B$5,标准坦克设计!$B$24:$U$30,MATCH("对"&amp;LEFT($C$5,2)&amp;"输出",标准坦克设计!$B$23:$U$23,0)))*(VLOOKUP($B232,INDIRECT($B$5&amp;"生成成长"),3))*(VLOOKUP($B$5,标准坦克设计!$B$14:$K$20,9)/30))</f>
        <v>2.1528304850143112</v>
      </c>
      <c r="AA232" s="173">
        <f ca="1">(VLOOKUP(AA$72,INDIRECT($C$5&amp;"生成成长"),2))/((VLOOKUP($B232,INDIRECT($B$5&amp;"生成成长"),4))/(VLOOKUP(AA$72,INDIRECT($C$5&amp;"生成成长"),5))*(VLOOKUP($B$5,标准坦克设计!$B$24:$U$30,MATCH("对"&amp;LEFT($C$5,2)&amp;"输出",标准坦克设计!$B$23:$U$23,0)))*(VLOOKUP($B232,INDIRECT($B$5&amp;"生成成长"),3))*(VLOOKUP($B$5,标准坦克设计!$B$14:$K$20,9)/30))</f>
        <v>2.3701561861392966</v>
      </c>
      <c r="AB232" s="173">
        <f ca="1">(VLOOKUP(AB$72,INDIRECT($C$5&amp;"生成成长"),2))/((VLOOKUP($B232,INDIRECT($B$5&amp;"生成成长"),4))/(VLOOKUP(AB$72,INDIRECT($C$5&amp;"生成成长"),5))*(VLOOKUP($B$5,标准坦克设计!$B$24:$U$30,MATCH("对"&amp;LEFT($C$5,2)&amp;"输出",标准坦克设计!$B$23:$U$23,0)))*(VLOOKUP($B232,INDIRECT($B$5&amp;"生成成长"),3))*(VLOOKUP($B$5,标准坦克设计!$B$14:$K$20,9)/30))</f>
        <v>2.5979302382799063</v>
      </c>
      <c r="AC232" s="173">
        <f ca="1">(VLOOKUP(AC$72,INDIRECT($C$5&amp;"生成成长"),2))/((VLOOKUP($B232,INDIRECT($B$5&amp;"生成成长"),4))/(VLOOKUP(AC$72,INDIRECT($C$5&amp;"生成成长"),5))*(VLOOKUP($B$5,标准坦克设计!$B$24:$U$30,MATCH("对"&amp;LEFT($C$5,2)&amp;"输出",标准坦克设计!$B$23:$U$23,0)))*(VLOOKUP($B232,INDIRECT($B$5&amp;"生成成长"),3))*(VLOOKUP($B$5,标准坦克设计!$B$14:$K$20,9)/30))</f>
        <v>2.8361526414361409</v>
      </c>
      <c r="AD232" s="173">
        <f ca="1">(VLOOKUP(AD$72,INDIRECT($C$5&amp;"生成成长"),2))/((VLOOKUP($B232,INDIRECT($B$5&amp;"生成成长"),4))/(VLOOKUP(AD$72,INDIRECT($C$5&amp;"生成成长"),5))*(VLOOKUP($B$5,标准坦克设计!$B$24:$U$30,MATCH("对"&amp;LEFT($C$5,2)&amp;"输出",标准坦克设计!$B$23:$U$23,0)))*(VLOOKUP($B232,INDIRECT($B$5&amp;"生成成长"),3))*(VLOOKUP($B$5,标准坦克设计!$B$14:$K$20,9)/30))</f>
        <v>3.0848233956079993</v>
      </c>
      <c r="AE232" s="173">
        <f ca="1">(VLOOKUP(AE$72,INDIRECT($C$5&amp;"生成成长"),2))/((VLOOKUP($B232,INDIRECT($B$5&amp;"生成成长"),4))/(VLOOKUP(AE$72,INDIRECT($C$5&amp;"生成成长"),5))*(VLOOKUP($B$5,标准坦克设计!$B$24:$U$30,MATCH("对"&amp;LEFT($C$5,2)&amp;"输出",标准坦克设计!$B$23:$U$23,0)))*(VLOOKUP($B232,INDIRECT($B$5&amp;"生成成长"),3))*(VLOOKUP($B$5,标准坦克设计!$B$14:$K$20,9)/30))</f>
        <v>3.3439425007954826</v>
      </c>
      <c r="AF232" s="173">
        <f ca="1">(VLOOKUP(AF$72,INDIRECT($C$5&amp;"生成成长"),2))/((VLOOKUP($B232,INDIRECT($B$5&amp;"生成成长"),4))/(VLOOKUP(AF$72,INDIRECT($C$5&amp;"生成成长"),5))*(VLOOKUP($B$5,标准坦克设计!$B$24:$U$30,MATCH("对"&amp;LEFT($C$5,2)&amp;"输出",标准坦克设计!$B$23:$U$23,0)))*(VLOOKUP($B232,INDIRECT($B$5&amp;"生成成长"),3))*(VLOOKUP($B$5,标准坦克设计!$B$14:$K$20,9)/30))</f>
        <v>3.6135099569985893</v>
      </c>
      <c r="AG232" s="173">
        <f ca="1">(VLOOKUP(AG$72,INDIRECT($C$5&amp;"生成成长"),2))/((VLOOKUP($B232,INDIRECT($B$5&amp;"生成成长"),4))/(VLOOKUP(AG$72,INDIRECT($C$5&amp;"生成成长"),5))*(VLOOKUP($B$5,标准坦克设计!$B$24:$U$30,MATCH("对"&amp;LEFT($C$5,2)&amp;"输出",标准坦克设计!$B$23:$U$23,0)))*(VLOOKUP($B232,INDIRECT($B$5&amp;"生成成长"),3))*(VLOOKUP($B$5,标准坦克设计!$B$14:$K$20,9)/30))</f>
        <v>3.8935257642173213</v>
      </c>
      <c r="AH232" s="173">
        <f ca="1">(VLOOKUP(AH$72,INDIRECT($C$5&amp;"生成成长"),2))/((VLOOKUP($B232,INDIRECT($B$5&amp;"生成成长"),4))/(VLOOKUP(AH$72,INDIRECT($C$5&amp;"生成成长"),5))*(VLOOKUP($B$5,标准坦克设计!$B$24:$U$30,MATCH("对"&amp;LEFT($C$5,2)&amp;"输出",标准坦克设计!$B$23:$U$23,0)))*(VLOOKUP($B232,INDIRECT($B$5&amp;"生成成长"),3))*(VLOOKUP($B$5,标准坦克设计!$B$14:$K$20,9)/30))</f>
        <v>4.1839899224516772</v>
      </c>
      <c r="AI232" s="173">
        <f ca="1">(VLOOKUP(AI$72,INDIRECT($C$5&amp;"生成成长"),2))/((VLOOKUP($B232,INDIRECT($B$5&amp;"生成成长"),4))/(VLOOKUP(AI$72,INDIRECT($C$5&amp;"生成成长"),5))*(VLOOKUP($B$5,标准坦克设计!$B$24:$U$30,MATCH("对"&amp;LEFT($C$5,2)&amp;"输出",标准坦克设计!$B$23:$U$23,0)))*(VLOOKUP($B232,INDIRECT($B$5&amp;"生成成长"),3))*(VLOOKUP($B$5,标准坦克设计!$B$14:$K$20,9)/30))</f>
        <v>2.9591819746451171</v>
      </c>
      <c r="AJ232" s="173">
        <f ca="1">(VLOOKUP(AJ$72,INDIRECT($C$5&amp;"生成成长"),2))/((VLOOKUP($B232,INDIRECT($B$5&amp;"生成成长"),4))/(VLOOKUP(AJ$72,INDIRECT($C$5&amp;"生成成长"),5))*(VLOOKUP($B$5,标准坦克设计!$B$24:$U$30,MATCH("对"&amp;LEFT($C$5,2)&amp;"输出",标准坦克设计!$B$23:$U$23,0)))*(VLOOKUP($B232,INDIRECT($B$5&amp;"生成成长"),3))*(VLOOKUP($B$5,标准坦克设计!$B$14:$K$20,9)/30))</f>
        <v>3.2390410565986141</v>
      </c>
      <c r="AK232" s="173">
        <f ca="1">(VLOOKUP(AK$72,INDIRECT($C$5&amp;"生成成长"),2))/((VLOOKUP($B232,INDIRECT($B$5&amp;"生成成长"),4))/(VLOOKUP(AK$72,INDIRECT($C$5&amp;"生成成长"),5))*(VLOOKUP($B$5,标准坦克设计!$B$24:$U$30,MATCH("对"&amp;LEFT($C$5,2)&amp;"输出",标准坦克设计!$B$23:$U$23,0)))*(VLOOKUP($B232,INDIRECT($B$5&amp;"生成成长"),3))*(VLOOKUP($B$5,标准坦克设计!$B$14:$K$20,9)/30))</f>
        <v>3.5315426432810164</v>
      </c>
      <c r="AL232" s="173">
        <f ca="1">(VLOOKUP(AL$72,INDIRECT($C$5&amp;"生成成长"),2))/((VLOOKUP($B232,INDIRECT($B$5&amp;"生成成长"),4))/(VLOOKUP(AL$72,INDIRECT($C$5&amp;"生成成长"),5))*(VLOOKUP($B$5,标准坦克设计!$B$24:$U$30,MATCH("对"&amp;LEFT($C$5,2)&amp;"输出",标准坦克设计!$B$23:$U$23,0)))*(VLOOKUP($B232,INDIRECT($B$5&amp;"生成成长"),3))*(VLOOKUP($B$5,标准坦克设计!$B$14:$K$20,9)/30))</f>
        <v>3.836686734692325</v>
      </c>
      <c r="AM232" s="173">
        <f ca="1">(VLOOKUP(AM$72,INDIRECT($C$5&amp;"生成成长"),2))/((VLOOKUP($B232,INDIRECT($B$5&amp;"生成成长"),4))/(VLOOKUP(AM$72,INDIRECT($C$5&amp;"生成成长"),5))*(VLOOKUP($B$5,标准坦克设计!$B$24:$U$30,MATCH("对"&amp;LEFT($C$5,2)&amp;"输出",标准坦克设计!$B$23:$U$23,0)))*(VLOOKUP($B232,INDIRECT($B$5&amp;"生成成长"),3))*(VLOOKUP($B$5,标准坦克设计!$B$14:$K$20,9)/30))</f>
        <v>4.1544733308325377</v>
      </c>
      <c r="AN232" s="173">
        <f ca="1">(VLOOKUP(AN$72,INDIRECT($C$5&amp;"生成成长"),2))/((VLOOKUP($B232,INDIRECT($B$5&amp;"生成成长"),4))/(VLOOKUP(AN$72,INDIRECT($C$5&amp;"生成成长"),5))*(VLOOKUP($B$5,标准坦克设计!$B$24:$U$30,MATCH("对"&amp;LEFT($C$5,2)&amp;"输出",标准坦克设计!$B$23:$U$23,0)))*(VLOOKUP($B232,INDIRECT($B$5&amp;"生成成长"),3))*(VLOOKUP($B$5,标准坦克设计!$B$14:$K$20,9)/30))</f>
        <v>4.4849024317016566</v>
      </c>
      <c r="AO232" s="173">
        <f ca="1">(VLOOKUP(AO$72,INDIRECT($C$5&amp;"生成成长"),2))/((VLOOKUP($B232,INDIRECT($B$5&amp;"生成成长"),4))/(VLOOKUP(AO$72,INDIRECT($C$5&amp;"生成成长"),5))*(VLOOKUP($B$5,标准坦克设计!$B$24:$U$30,MATCH("对"&amp;LEFT($C$5,2)&amp;"输出",标准坦克设计!$B$23:$U$23,0)))*(VLOOKUP($B232,INDIRECT($B$5&amp;"生成成长"),3))*(VLOOKUP($B$5,标准坦克设计!$B$14:$K$20,9)/30))</f>
        <v>4.8279740372996818</v>
      </c>
      <c r="AP232" s="173">
        <f ca="1">(VLOOKUP(AP$72,INDIRECT($C$5&amp;"生成成长"),2))/((VLOOKUP($B232,INDIRECT($B$5&amp;"生成成长"),4))/(VLOOKUP(AP$72,INDIRECT($C$5&amp;"生成成长"),5))*(VLOOKUP($B$5,标准坦克设计!$B$24:$U$30,MATCH("对"&amp;LEFT($C$5,2)&amp;"输出",标准坦克设计!$B$23:$U$23,0)))*(VLOOKUP($B232,INDIRECT($B$5&amp;"生成成长"),3))*(VLOOKUP($B$5,标准坦克设计!$B$14:$K$20,9)/30))</f>
        <v>5.1836881476266115</v>
      </c>
      <c r="AQ232" s="173">
        <f ca="1">(VLOOKUP(AQ$72,INDIRECT($C$5&amp;"生成成长"),2))/((VLOOKUP($B232,INDIRECT($B$5&amp;"生成成长"),4))/(VLOOKUP(AQ$72,INDIRECT($C$5&amp;"生成成长"),5))*(VLOOKUP($B$5,标准坦克设计!$B$24:$U$30,MATCH("对"&amp;LEFT($C$5,2)&amp;"输出",标准坦克设计!$B$23:$U$23,0)))*(VLOOKUP($B232,INDIRECT($B$5&amp;"生成成长"),3))*(VLOOKUP($B$5,标准坦克设计!$B$14:$K$20,9)/30))</f>
        <v>5.5520447626824465</v>
      </c>
      <c r="AR232" s="173">
        <f ca="1">(VLOOKUP(AR$72,INDIRECT($C$5&amp;"生成成长"),2))/((VLOOKUP($B232,INDIRECT($B$5&amp;"生成成长"),4))/(VLOOKUP(AR$72,INDIRECT($C$5&amp;"生成成长"),5))*(VLOOKUP($B$5,标准坦克设计!$B$24:$U$30,MATCH("对"&amp;LEFT($C$5,2)&amp;"输出",标准坦克设计!$B$23:$U$23,0)))*(VLOOKUP($B232,INDIRECT($B$5&amp;"生成成长"),3))*(VLOOKUP($B$5,标准坦克设计!$B$14:$K$20,9)/30))</f>
        <v>5.9330438824671861</v>
      </c>
      <c r="AS232" s="173">
        <f ca="1">(VLOOKUP(AS$72,INDIRECT($C$5&amp;"生成成长"),2))/((VLOOKUP($B232,INDIRECT($B$5&amp;"生成成长"),4))/(VLOOKUP(AS$72,INDIRECT($C$5&amp;"生成成长"),5))*(VLOOKUP($B$5,标准坦克设计!$B$24:$U$30,MATCH("对"&amp;LEFT($C$5,2)&amp;"输出",标准坦克设计!$B$23:$U$23,0)))*(VLOOKUP($B232,INDIRECT($B$5&amp;"生成成长"),3))*(VLOOKUP($B$5,标准坦克设计!$B$14:$K$20,9)/30))</f>
        <v>6.3266855069808328</v>
      </c>
      <c r="AT232" s="173">
        <f ca="1">(VLOOKUP(AT$72,INDIRECT($C$5&amp;"生成成长"),2))/((VLOOKUP($B232,INDIRECT($B$5&amp;"生成成长"),4))/(VLOOKUP(AT$72,INDIRECT($C$5&amp;"生成成长"),5))*(VLOOKUP($B$5,标准坦克设计!$B$24:$U$30,MATCH("对"&amp;LEFT($C$5,2)&amp;"输出",标准坦克设计!$B$23:$U$23,0)))*(VLOOKUP($B232,INDIRECT($B$5&amp;"生成成长"),3))*(VLOOKUP($B$5,标准坦克设计!$B$14:$K$20,9)/30))</f>
        <v>6.7329696362233831</v>
      </c>
      <c r="AU232" s="173">
        <f ca="1">(VLOOKUP(AU$72,INDIRECT($C$5&amp;"生成成长"),2))/((VLOOKUP($B232,INDIRECT($B$5&amp;"生成成长"),4))/(VLOOKUP(AU$72,INDIRECT($C$5&amp;"生成成长"),5))*(VLOOKUP($B$5,标准坦克设计!$B$24:$U$30,MATCH("对"&amp;LEFT($C$5,2)&amp;"输出",标准坦克设计!$B$23:$U$23,0)))*(VLOOKUP($B232,INDIRECT($B$5&amp;"生成成长"),3))*(VLOOKUP($B$5,标准坦克设计!$B$14:$K$20,9)/30))</f>
        <v>7.1518962701948396</v>
      </c>
      <c r="AV232" s="173">
        <f ca="1">(VLOOKUP(AV$72,INDIRECT($C$5&amp;"生成成长"),2))/((VLOOKUP($B232,INDIRECT($B$5&amp;"生成成长"),4))/(VLOOKUP(AV$72,INDIRECT($C$5&amp;"生成成长"),5))*(VLOOKUP($B$5,标准坦克设计!$B$24:$U$30,MATCH("对"&amp;LEFT($C$5,2)&amp;"输出",标准坦克设计!$B$23:$U$23,0)))*(VLOOKUP($B232,INDIRECT($B$5&amp;"生成成长"),3))*(VLOOKUP($B$5,标准坦克设计!$B$14:$K$20,9)/30))</f>
        <v>0.72741419770776461</v>
      </c>
      <c r="AW232" s="173">
        <f ca="1">(VLOOKUP(AW$72,INDIRECT($C$5&amp;"生成成长"),2))/((VLOOKUP($B232,INDIRECT($B$5&amp;"生成成长"),4))/(VLOOKUP(AW$72,INDIRECT($C$5&amp;"生成成长"),5))*(VLOOKUP($B$5,标准坦克设计!$B$24:$U$30,MATCH("对"&amp;LEFT($C$5,2)&amp;"输出",标准坦克设计!$B$23:$U$23,0)))*(VLOOKUP($B232,INDIRECT($B$5&amp;"生成成长"),3))*(VLOOKUP($B$5,标准坦克设计!$B$14:$K$20,9)/30))</f>
        <v>0.82939010362025778</v>
      </c>
      <c r="AX232" s="173">
        <f ca="1">(VLOOKUP(AX$72,INDIRECT($C$5&amp;"生成成长"),2))/((VLOOKUP($B232,INDIRECT($B$5&amp;"生成成长"),4))/(VLOOKUP(AX$72,INDIRECT($C$5&amp;"生成成长"),5))*(VLOOKUP($B$5,标准坦克设计!$B$24:$U$30,MATCH("对"&amp;LEFT($C$5,2)&amp;"输出",标准坦克设计!$B$23:$U$23,0)))*(VLOOKUP($B232,INDIRECT($B$5&amp;"生成成长"),3))*(VLOOKUP($B$5,标准坦克设计!$B$14:$K$20,9)/30))</f>
        <v>0.93805295418275059</v>
      </c>
      <c r="AY232" s="173">
        <f ca="1">(VLOOKUP(AY$72,INDIRECT($C$5&amp;"生成成长"),2))/((VLOOKUP($B232,INDIRECT($B$5&amp;"生成成长"),4))/(VLOOKUP(AY$72,INDIRECT($C$5&amp;"生成成长"),5))*(VLOOKUP($B$5,标准坦克设计!$B$24:$U$30,MATCH("对"&amp;LEFT($C$5,2)&amp;"输出",标准坦克设计!$B$23:$U$23,0)))*(VLOOKUP($B232,INDIRECT($B$5&amp;"生成成长"),3))*(VLOOKUP($B$5,标准坦克设计!$B$14:$K$20,9)/30))</f>
        <v>1.0534027493952431</v>
      </c>
      <c r="AZ232" s="173">
        <f ca="1">(VLOOKUP(AZ$72,INDIRECT($C$5&amp;"生成成长"),2))/((VLOOKUP($B232,INDIRECT($B$5&amp;"生成成长"),4))/(VLOOKUP(AZ$72,INDIRECT($C$5&amp;"生成成长"),5))*(VLOOKUP($B$5,标准坦克设计!$B$24:$U$30,MATCH("对"&amp;LEFT($C$5,2)&amp;"输出",标准坦克设计!$B$23:$U$23,0)))*(VLOOKUP($B232,INDIRECT($B$5&amp;"生成成长"),3))*(VLOOKUP($B$5,标准坦克设计!$B$14:$K$20,9)/30))</f>
        <v>1.1754394892577351</v>
      </c>
      <c r="BA232" s="173">
        <f ca="1">(VLOOKUP(BA$72,INDIRECT($C$5&amp;"生成成长"),2))/((VLOOKUP($B232,INDIRECT($B$5&amp;"生成成长"),4))/(VLOOKUP(BA$72,INDIRECT($C$5&amp;"生成成长"),5))*(VLOOKUP($B$5,标准坦克设计!$B$24:$U$30,MATCH("对"&amp;LEFT($C$5,2)&amp;"输出",标准坦克设计!$B$23:$U$23,0)))*(VLOOKUP($B232,INDIRECT($B$5&amp;"生成成长"),3))*(VLOOKUP($B$5,标准坦克设计!$B$14:$K$20,9)/30))</f>
        <v>1.3041631737702264</v>
      </c>
      <c r="BB232" s="173">
        <f ca="1">(VLOOKUP(BB$72,INDIRECT($C$5&amp;"生成成长"),2))/((VLOOKUP($B232,INDIRECT($B$5&amp;"生成成长"),4))/(VLOOKUP(BB$72,INDIRECT($C$5&amp;"生成成长"),5))*(VLOOKUP($B$5,标准坦克设计!$B$24:$U$30,MATCH("对"&amp;LEFT($C$5,2)&amp;"输出",标准坦克设计!$B$23:$U$23,0)))*(VLOOKUP($B232,INDIRECT($B$5&amp;"生成成长"),3))*(VLOOKUP($B$5,标准坦克设计!$B$14:$K$20,9)/30))</f>
        <v>1.4395738029327174</v>
      </c>
      <c r="BC232" s="173">
        <f ca="1">(VLOOKUP(BC$72,INDIRECT($C$5&amp;"生成成长"),2))/((VLOOKUP($B232,INDIRECT($B$5&amp;"生成成长"),4))/(VLOOKUP(BC$72,INDIRECT($C$5&amp;"生成成长"),5))*(VLOOKUP($B$5,标准坦克设计!$B$24:$U$30,MATCH("对"&amp;LEFT($C$5,2)&amp;"输出",标准坦克设计!$B$23:$U$23,0)))*(VLOOKUP($B232,INDIRECT($B$5&amp;"生成成长"),3))*(VLOOKUP($B$5,标准坦克设计!$B$14:$K$20,9)/30))</f>
        <v>1.5816713767452082</v>
      </c>
      <c r="BD232" s="173">
        <f ca="1">(VLOOKUP(BD$72,INDIRECT($C$5&amp;"生成成长"),2))/((VLOOKUP($B232,INDIRECT($B$5&amp;"生成成长"),4))/(VLOOKUP(BD$72,INDIRECT($C$5&amp;"生成成长"),5))*(VLOOKUP($B$5,标准坦克设计!$B$24:$U$30,MATCH("对"&amp;LEFT($C$5,2)&amp;"输出",标准坦克设计!$B$23:$U$23,0)))*(VLOOKUP($B232,INDIRECT($B$5&amp;"生成成长"),3))*(VLOOKUP($B$5,标准坦克设计!$B$14:$K$20,9)/30))</f>
        <v>1.7495241358112128</v>
      </c>
      <c r="BE232" s="173">
        <f ca="1">(VLOOKUP(BE$72,INDIRECT($C$5&amp;"生成成长"),2))/((VLOOKUP($B232,INDIRECT($B$5&amp;"生成成长"),4))/(VLOOKUP(BE$72,INDIRECT($C$5&amp;"生成成长"),5))*(VLOOKUP($B$5,标准坦克设计!$B$24:$U$30,MATCH("对"&amp;LEFT($C$5,2)&amp;"输出",标准坦克设计!$B$23:$U$23,0)))*(VLOOKUP($B232,INDIRECT($B$5&amp;"生成成长"),3))*(VLOOKUP($B$5,标准坦克设计!$B$14:$K$20,9)/30))</f>
        <v>1.925840059199873</v>
      </c>
      <c r="BF232" s="173">
        <f ca="1">(VLOOKUP(BF$72,INDIRECT($C$5&amp;"生成成长"),2))/((VLOOKUP($B232,INDIRECT($B$5&amp;"生成成长"),4))/(VLOOKUP(BF$72,INDIRECT($C$5&amp;"生成成长"),5))*(VLOOKUP($B$5,标准坦克设计!$B$24:$U$30,MATCH("对"&amp;LEFT($C$5,2)&amp;"输出",标准坦克设计!$B$23:$U$23,0)))*(VLOOKUP($B232,INDIRECT($B$5&amp;"生成成长"),3))*(VLOOKUP($B$5,标准坦克设计!$B$14:$K$20,9)/30))</f>
        <v>2.1106191469111888</v>
      </c>
      <c r="BG232" s="173">
        <f ca="1">(VLOOKUP(BG$72,INDIRECT($C$5&amp;"生成成长"),2))/((VLOOKUP($B232,INDIRECT($B$5&amp;"生成成长"),4))/(VLOOKUP(BG$72,INDIRECT($C$5&amp;"生成成长"),5))*(VLOOKUP($B$5,标准坦克设计!$B$24:$U$30,MATCH("对"&amp;LEFT($C$5,2)&amp;"输出",标准坦克设计!$B$23:$U$23,0)))*(VLOOKUP($B232,INDIRECT($B$5&amp;"生成成长"),3))*(VLOOKUP($B$5,标准坦克设计!$B$14:$K$20,9)/30))</f>
        <v>2.3038613989451604</v>
      </c>
      <c r="BH232" s="173">
        <f ca="1">(VLOOKUP(BH$72,INDIRECT($C$5&amp;"生成成长"),2))/((VLOOKUP($B232,INDIRECT($B$5&amp;"生成成长"),4))/(VLOOKUP(BH$72,INDIRECT($C$5&amp;"生成成长"),5))*(VLOOKUP($B$5,标准坦克设计!$B$24:$U$30,MATCH("对"&amp;LEFT($C$5,2)&amp;"输出",标准坦克设计!$B$23:$U$23,0)))*(VLOOKUP($B232,INDIRECT($B$5&amp;"生成成长"),3))*(VLOOKUP($B$5,标准坦克设计!$B$14:$K$20,9)/30))</f>
        <v>1.1135852512452389</v>
      </c>
      <c r="BI232" s="173">
        <f ca="1">(VLOOKUP(BI$72,INDIRECT($C$5&amp;"生成成长"),2))/((VLOOKUP($B232,INDIRECT($B$5&amp;"生成成长"),4))/(VLOOKUP(BI$72,INDIRECT($C$5&amp;"生成成长"),5))*(VLOOKUP($B$5,标准坦克设计!$B$24:$U$30,MATCH("对"&amp;LEFT($C$5,2)&amp;"输出",标准坦克设计!$B$23:$U$23,0)))*(VLOOKUP($B232,INDIRECT($B$5&amp;"生成成长"),3))*(VLOOKUP($B$5,标准坦克设计!$B$14:$K$20,9)/30))</f>
        <v>1.2551081657518703</v>
      </c>
      <c r="BJ232" s="173">
        <f ca="1">(VLOOKUP(BJ$72,INDIRECT($C$5&amp;"生成成长"),2))/((VLOOKUP($B232,INDIRECT($B$5&amp;"生成成长"),4))/(VLOOKUP(BJ$72,INDIRECT($C$5&amp;"生成成长"),5))*(VLOOKUP($B$5,标准坦克设计!$B$24:$U$30,MATCH("对"&amp;LEFT($C$5,2)&amp;"输出",标准坦克设计!$B$23:$U$23,0)))*(VLOOKUP($B232,INDIRECT($B$5&amp;"生成成长"),3))*(VLOOKUP($B$5,标准坦克设计!$B$14:$K$20,9)/30))</f>
        <v>1.4050942445811572</v>
      </c>
      <c r="BK232" s="173">
        <f ca="1">(VLOOKUP(BK$72,INDIRECT($C$5&amp;"生成成长"),2))/((VLOOKUP($B232,INDIRECT($B$5&amp;"生成成长"),4))/(VLOOKUP(BK$72,INDIRECT($C$5&amp;"生成成长"),5))*(VLOOKUP($B$5,标准坦克设计!$B$24:$U$30,MATCH("对"&amp;LEFT($C$5,2)&amp;"输出",标准坦克设计!$B$23:$U$23,0)))*(VLOOKUP($B232,INDIRECT($B$5&amp;"生成成长"),3))*(VLOOKUP($B$5,标准坦克设计!$B$14:$K$20,9)/30))</f>
        <v>1.5635434877331</v>
      </c>
      <c r="BL232" s="173">
        <f ca="1">(VLOOKUP(BL$72,INDIRECT($C$5&amp;"生成成长"),2))/((VLOOKUP($B232,INDIRECT($B$5&amp;"生成成长"),4))/(VLOOKUP(BL$72,INDIRECT($C$5&amp;"生成成长"),5))*(VLOOKUP($B$5,标准坦克设计!$B$24:$U$30,MATCH("对"&amp;LEFT($C$5,2)&amp;"输出",标准坦克设计!$B$23:$U$23,0)))*(VLOOKUP($B232,INDIRECT($B$5&amp;"生成成长"),3))*(VLOOKUP($B$5,标准坦克设计!$B$14:$K$20,9)/30))</f>
        <v>1.7304558952076983</v>
      </c>
      <c r="BM232" s="173">
        <f ca="1">(VLOOKUP(BM$72,INDIRECT($C$5&amp;"生成成长"),2))/((VLOOKUP($B232,INDIRECT($B$5&amp;"生成成长"),4))/(VLOOKUP(BM$72,INDIRECT($C$5&amp;"生成成长"),5))*(VLOOKUP($B$5,标准坦克设计!$B$24:$U$30,MATCH("对"&amp;LEFT($C$5,2)&amp;"输出",标准坦克设计!$B$23:$U$23,0)))*(VLOOKUP($B232,INDIRECT($B$5&amp;"生成成长"),3))*(VLOOKUP($B$5,标准坦克设计!$B$14:$K$20,9)/30))</f>
        <v>1.9058314670049523</v>
      </c>
      <c r="BN232" s="173">
        <f ca="1">(VLOOKUP(BN$72,INDIRECT($C$5&amp;"生成成长"),2))/((VLOOKUP($B232,INDIRECT($B$5&amp;"生成成长"),4))/(VLOOKUP(BN$72,INDIRECT($C$5&amp;"生成成长"),5))*(VLOOKUP($B$5,标准坦克设计!$B$24:$U$30,MATCH("对"&amp;LEFT($C$5,2)&amp;"输出",标准坦克设计!$B$23:$U$23,0)))*(VLOOKUP($B232,INDIRECT($B$5&amp;"生成成长"),3))*(VLOOKUP($B$5,标准坦克设计!$B$14:$K$20,9)/30))</f>
        <v>2.0896702031248622</v>
      </c>
      <c r="BO232" s="173">
        <f ca="1">(VLOOKUP(BO$72,INDIRECT($C$5&amp;"生成成长"),2))/((VLOOKUP($B232,INDIRECT($B$5&amp;"生成成长"),4))/(VLOOKUP(BO$72,INDIRECT($C$5&amp;"生成成长"),5))*(VLOOKUP($B$5,标准坦克设计!$B$24:$U$30,MATCH("对"&amp;LEFT($C$5,2)&amp;"输出",标准坦克设计!$B$23:$U$23,0)))*(VLOOKUP($B232,INDIRECT($B$5&amp;"生成成长"),3))*(VLOOKUP($B$5,标准坦克设计!$B$14:$K$20,9)/30))</f>
        <v>2.2819721035674272</v>
      </c>
      <c r="BP232" s="173">
        <f ca="1">(VLOOKUP(BP$72,INDIRECT($C$5&amp;"生成成长"),2))/((VLOOKUP($B232,INDIRECT($B$5&amp;"生成成长"),4))/(VLOOKUP(BP$72,INDIRECT($C$5&amp;"生成成长"),5))*(VLOOKUP($B$5,标准坦克设计!$B$24:$U$30,MATCH("对"&amp;LEFT($C$5,2)&amp;"输出",标准坦克设计!$B$23:$U$23,0)))*(VLOOKUP($B232,INDIRECT($B$5&amp;"生成成长"),3))*(VLOOKUP($B$5,标准坦克设计!$B$14:$K$20,9)/30))</f>
        <v>2.4827371683326493</v>
      </c>
      <c r="BQ232" s="173">
        <f ca="1">(VLOOKUP(BQ$72,INDIRECT($C$5&amp;"生成成长"),2))/((VLOOKUP($B232,INDIRECT($B$5&amp;"生成成长"),4))/(VLOOKUP(BQ$72,INDIRECT($C$5&amp;"生成成长"),5))*(VLOOKUP($B$5,标准坦克设计!$B$24:$U$30,MATCH("对"&amp;LEFT($C$5,2)&amp;"输出",标准坦克设计!$B$23:$U$23,0)))*(VLOOKUP($B232,INDIRECT($B$5&amp;"生成成长"),3))*(VLOOKUP($B$5,标准坦克设计!$B$14:$K$20,9)/30))</f>
        <v>2.6919653974205255</v>
      </c>
      <c r="BR232" s="173">
        <f ca="1">(VLOOKUP(BR$72,INDIRECT($C$5&amp;"生成成长"),2))/((VLOOKUP($B232,INDIRECT($B$5&amp;"生成成长"),4))/(VLOOKUP(BR$72,INDIRECT($C$5&amp;"生成成长"),5))*(VLOOKUP($B$5,标准坦克设计!$B$24:$U$30,MATCH("对"&amp;LEFT($C$5,2)&amp;"输出",标准坦克设计!$B$23:$U$23,0)))*(VLOOKUP($B232,INDIRECT($B$5&amp;"生成成长"),3))*(VLOOKUP($B$5,标准坦克设计!$B$14:$K$20,9)/30))</f>
        <v>2.9343671409830097</v>
      </c>
      <c r="BS232" s="173">
        <f ca="1">(VLOOKUP(BS$72,INDIRECT($C$5&amp;"生成成长"),2))/((VLOOKUP($B232,INDIRECT($B$5&amp;"生成成长"),4))/(VLOOKUP(BS$72,INDIRECT($C$5&amp;"生成成长"),5))*(VLOOKUP($B$5,标准坦克设计!$B$24:$U$30,MATCH("对"&amp;LEFT($C$5,2)&amp;"输出",标准坦克设计!$B$23:$U$23,0)))*(VLOOKUP($B232,INDIRECT($B$5&amp;"生成成长"),3))*(VLOOKUP($B$5,标准坦克设计!$B$14:$K$20,9)/30))</f>
        <v>3.1872172355611181</v>
      </c>
      <c r="BT232" s="173">
        <f ca="1">(VLOOKUP(BT$72,INDIRECT($C$5&amp;"生成成长"),2))/((VLOOKUP($B232,INDIRECT($B$5&amp;"生成成长"),4))/(VLOOKUP(BT$72,INDIRECT($C$5&amp;"生成成长"),5))*(VLOOKUP($B$5,标准坦克设计!$B$24:$U$30,MATCH("对"&amp;LEFT($C$5,2)&amp;"输出",标准坦克设计!$B$23:$U$23,0)))*(VLOOKUP($B232,INDIRECT($B$5&amp;"生成成长"),3))*(VLOOKUP($B$5,标准坦克设计!$B$14:$K$20,9)/30))</f>
        <v>3.4505156811548501</v>
      </c>
      <c r="BU232" s="173">
        <f ca="1">(VLOOKUP(BU$72,INDIRECT($C$5&amp;"生成成长"),2))/((VLOOKUP($B232,INDIRECT($B$5&amp;"生成成长"),4))/(VLOOKUP(BU$72,INDIRECT($C$5&amp;"生成成长"),5))*(VLOOKUP($B$5,标准坦克设计!$B$24:$U$30,MATCH("对"&amp;LEFT($C$5,2)&amp;"输出",标准坦克设计!$B$23:$U$23,0)))*(VLOOKUP($B232,INDIRECT($B$5&amp;"生成成长"),3))*(VLOOKUP($B$5,标准坦克设计!$B$14:$K$20,9)/30))</f>
        <v>3.7242624777642073</v>
      </c>
      <c r="BV232" s="173">
        <f ca="1">(VLOOKUP(BV$72,INDIRECT($C$5&amp;"生成成长"),2))/((VLOOKUP($B232,INDIRECT($B$5&amp;"生成成长"),4))/(VLOOKUP(BV$72,INDIRECT($C$5&amp;"生成成长"),5))*(VLOOKUP($B$5,标准坦克设计!$B$24:$U$30,MATCH("对"&amp;LEFT($C$5,2)&amp;"输出",标准坦克设计!$B$23:$U$23,0)))*(VLOOKUP($B232,INDIRECT($B$5&amp;"生成成长"),3))*(VLOOKUP($B$5,标准坦克设计!$B$14:$K$20,9)/30))</f>
        <v>4.0084576253891884</v>
      </c>
      <c r="BW232" s="173">
        <f ca="1">(VLOOKUP(BW$72,INDIRECT($C$5&amp;"生成成长"),2))/((VLOOKUP($B232,INDIRECT($B$5&amp;"生成成长"),4))/(VLOOKUP(BW$72,INDIRECT($C$5&amp;"生成成长"),5))*(VLOOKUP($B$5,标准坦克设计!$B$24:$U$30,MATCH("对"&amp;LEFT($C$5,2)&amp;"输出",标准坦克设计!$B$23:$U$23,0)))*(VLOOKUP($B232,INDIRECT($B$5&amp;"生成成长"),3))*(VLOOKUP($B$5,标准坦克设计!$B$14:$K$20,9)/30))</f>
        <v>1.8268419333268326</v>
      </c>
      <c r="BX232" s="173">
        <f ca="1">(VLOOKUP(BX$72,INDIRECT($C$5&amp;"生成成长"),2))/((VLOOKUP($B232,INDIRECT($B$5&amp;"生成成长"),4))/(VLOOKUP(BX$72,INDIRECT($C$5&amp;"生成成长"),5))*(VLOOKUP($B$5,标准坦克设计!$B$24:$U$30,MATCH("对"&amp;LEFT($C$5,2)&amp;"输出",标准坦克设计!$B$23:$U$23,0)))*(VLOOKUP($B232,INDIRECT($B$5&amp;"生成成长"),3))*(VLOOKUP($B$5,标准坦克设计!$B$14:$K$20,9)/30))</f>
        <v>2.0274502728268193</v>
      </c>
      <c r="BY232" s="173">
        <f ca="1">(VLOOKUP(BY$72,INDIRECT($C$5&amp;"生成成长"),2))/((VLOOKUP($B232,INDIRECT($B$5&amp;"生成成长"),4))/(VLOOKUP(BY$72,INDIRECT($C$5&amp;"生成成长"),5))*(VLOOKUP($B$5,标准坦克设计!$B$24:$U$30,MATCH("对"&amp;LEFT($C$5,2)&amp;"输出",标准坦克设计!$B$23:$U$23,0)))*(VLOOKUP($B232,INDIRECT($B$5&amp;"生成成长"),3))*(VLOOKUP($B$5,标准坦克设计!$B$14:$K$20,9)/30))</f>
        <v>2.2385069633424304</v>
      </c>
      <c r="BZ232" s="173">
        <f ca="1">(VLOOKUP(BZ$72,INDIRECT($C$5&amp;"生成成长"),2))/((VLOOKUP($B232,INDIRECT($B$5&amp;"生成成长"),4))/(VLOOKUP(BZ$72,INDIRECT($C$5&amp;"生成成长"),5))*(VLOOKUP($B$5,标准坦克设计!$B$24:$U$30,MATCH("对"&amp;LEFT($C$5,2)&amp;"输出",标准坦克设计!$B$23:$U$23,0)))*(VLOOKUP($B232,INDIRECT($B$5&amp;"生成成长"),3))*(VLOOKUP($B$5,标准坦克设计!$B$14:$K$20,9)/30))</f>
        <v>2.4600120048736658</v>
      </c>
      <c r="CA232" s="173">
        <f ca="1">(VLOOKUP(CA$72,INDIRECT($C$5&amp;"生成成长"),2))/((VLOOKUP($B232,INDIRECT($B$5&amp;"生成成长"),4))/(VLOOKUP(CA$72,INDIRECT($C$5&amp;"生成成长"),5))*(VLOOKUP($B$5,标准坦克设计!$B$24:$U$30,MATCH("对"&amp;LEFT($C$5,2)&amp;"输出",标准坦克设计!$B$23:$U$23,0)))*(VLOOKUP($B232,INDIRECT($B$5&amp;"生成成长"),3))*(VLOOKUP($B$5,标准坦克设计!$B$14:$K$20,9)/30))</f>
        <v>2.6919653974205255</v>
      </c>
      <c r="CB232" s="173">
        <f ca="1">(VLOOKUP(CB$72,INDIRECT($C$5&amp;"生成成长"),2))/((VLOOKUP($B232,INDIRECT($B$5&amp;"生成成长"),4))/(VLOOKUP(CB$72,INDIRECT($C$5&amp;"生成成长"),5))*(VLOOKUP($B$5,标准坦克设计!$B$24:$U$30,MATCH("对"&amp;LEFT($C$5,2)&amp;"输出",标准坦克设计!$B$23:$U$23,0)))*(VLOOKUP($B232,INDIRECT($B$5&amp;"生成成长"),3))*(VLOOKUP($B$5,标准坦克设计!$B$14:$K$20,9)/30))</f>
        <v>2.9343671409830097</v>
      </c>
      <c r="CC232" s="173">
        <f ca="1">(VLOOKUP(CC$72,INDIRECT($C$5&amp;"生成成长"),2))/((VLOOKUP($B232,INDIRECT($B$5&amp;"生成成长"),4))/(VLOOKUP(CC$72,INDIRECT($C$5&amp;"生成成长"),5))*(VLOOKUP($B$5,标准坦克设计!$B$24:$U$30,MATCH("对"&amp;LEFT($C$5,2)&amp;"输出",标准坦克设计!$B$23:$U$23,0)))*(VLOOKUP($B232,INDIRECT($B$5&amp;"生成成长"),3))*(VLOOKUP($B$5,标准坦克设计!$B$14:$K$20,9)/30))</f>
        <v>3.1872172355611181</v>
      </c>
      <c r="CD232" s="173">
        <f ca="1">(VLOOKUP(CD$72,INDIRECT($C$5&amp;"生成成长"),2))/((VLOOKUP($B232,INDIRECT($B$5&amp;"生成成长"),4))/(VLOOKUP(CD$72,INDIRECT($C$5&amp;"生成成长"),5))*(VLOOKUP($B$5,标准坦克设计!$B$24:$U$30,MATCH("对"&amp;LEFT($C$5,2)&amp;"输出",标准坦克设计!$B$23:$U$23,0)))*(VLOOKUP($B232,INDIRECT($B$5&amp;"生成成长"),3))*(VLOOKUP($B$5,标准坦克设计!$B$14:$K$20,9)/30))</f>
        <v>3.4505156811548501</v>
      </c>
      <c r="CE232" s="173">
        <f ca="1">(VLOOKUP(CE$72,INDIRECT($C$5&amp;"生成成长"),2))/((VLOOKUP($B232,INDIRECT($B$5&amp;"生成成长"),4))/(VLOOKUP(CE$72,INDIRECT($C$5&amp;"生成成长"),5))*(VLOOKUP($B$5,标准坦克设计!$B$24:$U$30,MATCH("对"&amp;LEFT($C$5,2)&amp;"输出",标准坦克设计!$B$23:$U$23,0)))*(VLOOKUP($B232,INDIRECT($B$5&amp;"生成成长"),3))*(VLOOKUP($B$5,标准坦克设计!$B$14:$K$20,9)/30))</f>
        <v>3.7242624777642073</v>
      </c>
      <c r="CF232" s="173">
        <f ca="1">(VLOOKUP(CF$72,INDIRECT($C$5&amp;"生成成长"),2))/((VLOOKUP($B232,INDIRECT($B$5&amp;"生成成长"),4))/(VLOOKUP(CF$72,INDIRECT($C$5&amp;"生成成长"),5))*(VLOOKUP($B$5,标准坦克设计!$B$24:$U$30,MATCH("对"&amp;LEFT($C$5,2)&amp;"输出",标准坦克设计!$B$23:$U$23,0)))*(VLOOKUP($B232,INDIRECT($B$5&amp;"生成成长"),3))*(VLOOKUP($B$5,标准坦克设计!$B$14:$K$20,9)/30))</f>
        <v>4.0084576253891884</v>
      </c>
      <c r="CG232" s="173">
        <f ca="1">(VLOOKUP(CG$72,INDIRECT($C$5&amp;"生成成长"),2))/((VLOOKUP($B232,INDIRECT($B$5&amp;"生成成长"),4))/(VLOOKUP(CG$72,INDIRECT($C$5&amp;"生成成长"),5))*(VLOOKUP($B$5,标准坦克设计!$B$24:$U$30,MATCH("对"&amp;LEFT($C$5,2)&amp;"输出",标准坦克设计!$B$23:$U$23,0)))*(VLOOKUP($B232,INDIRECT($B$5&amp;"生成成长"),3))*(VLOOKUP($B$5,标准坦克设计!$B$14:$K$20,9)/30))</f>
        <v>4.3031011240297943</v>
      </c>
      <c r="CH232" s="173">
        <f ca="1">(VLOOKUP(CH$72,INDIRECT($C$5&amp;"生成成长"),2))/((VLOOKUP($B232,INDIRECT($B$5&amp;"生成成长"),4))/(VLOOKUP(CH$72,INDIRECT($C$5&amp;"生成成长"),5))*(VLOOKUP($B$5,标准坦克设计!$B$24:$U$30,MATCH("对"&amp;LEFT($C$5,2)&amp;"输出",标准坦克设计!$B$23:$U$23,0)))*(VLOOKUP($B232,INDIRECT($B$5&amp;"生成成长"),3))*(VLOOKUP($B$5,标准坦克设计!$B$14:$K$20,9)/30))</f>
        <v>4.608192973686025</v>
      </c>
      <c r="CI232" s="173">
        <f ca="1">(VLOOKUP(CI$72,INDIRECT($C$5&amp;"生成成长"),2))/((VLOOKUP($B232,INDIRECT($B$5&amp;"生成成长"),4))/(VLOOKUP(CI$72,INDIRECT($C$5&amp;"生成成长"),5))*(VLOOKUP($B$5,标准坦克设计!$B$24:$U$30,MATCH("对"&amp;LEFT($C$5,2)&amp;"输出",标准坦克设计!$B$23:$U$23,0)))*(VLOOKUP($B232,INDIRECT($B$5&amp;"生成成长"),3))*(VLOOKUP($B$5,标准坦克设计!$B$14:$K$20,9)/30))</f>
        <v>4.9558618537309229</v>
      </c>
      <c r="CJ232" s="173">
        <f ca="1">(VLOOKUP(CJ$72,INDIRECT($C$5&amp;"生成成长"),2))/((VLOOKUP($B232,INDIRECT($B$5&amp;"生成成长"),4))/(VLOOKUP(CJ$72,INDIRECT($C$5&amp;"生成成长"),5))*(VLOOKUP($B$5,标准坦克设计!$B$24:$U$30,MATCH("对"&amp;LEFT($C$5,2)&amp;"输出",标准坦克设计!$B$23:$U$23,0)))*(VLOOKUP($B232,INDIRECT($B$5&amp;"生成成长"),3))*(VLOOKUP($B$5,标准坦克设计!$B$14:$K$20,9)/30))</f>
        <v>5.3161732385047271</v>
      </c>
      <c r="CK232" s="173">
        <f ca="1">(VLOOKUP(CK$72,INDIRECT($C$5&amp;"生成成长"),2))/((VLOOKUP($B232,INDIRECT($B$5&amp;"生成成长"),4))/(VLOOKUP(CK$72,INDIRECT($C$5&amp;"生成成长"),5))*(VLOOKUP($B$5,标准坦克设计!$B$24:$U$30,MATCH("对"&amp;LEFT($C$5,2)&amp;"输出",标准坦克设计!$B$23:$U$23,0)))*(VLOOKUP($B232,INDIRECT($B$5&amp;"生成成长"),3))*(VLOOKUP($B$5,标准坦克设计!$B$14:$K$20,9)/30))</f>
        <v>5.6891271280074367</v>
      </c>
      <c r="CL232" s="173">
        <f ca="1">(VLOOKUP(CL$72,INDIRECT($C$5&amp;"生成成长"),2))/((VLOOKUP($B232,INDIRECT($B$5&amp;"生成成长"),4))/(VLOOKUP(CL$72,INDIRECT($C$5&amp;"生成成长"),5))*(VLOOKUP($B$5,标准坦克设计!$B$24:$U$30,MATCH("对"&amp;LEFT($C$5,2)&amp;"输出",标准坦克设计!$B$23:$U$23,0)))*(VLOOKUP($B232,INDIRECT($B$5&amp;"生成成长"),3))*(VLOOKUP($B$5,标准坦克设计!$B$14:$K$20,9)/30))</f>
        <v>6.0747235222390517</v>
      </c>
      <c r="CM232" s="173">
        <f ca="1">(VLOOKUP(CM$72,INDIRECT($C$5&amp;"生成成长"),2))/((VLOOKUP($B232,INDIRECT($B$5&amp;"生成成长"),4))/(VLOOKUP(CM$72,INDIRECT($C$5&amp;"生成成长"),5))*(VLOOKUP($B$5,标准坦克设计!$B$24:$U$30,MATCH("对"&amp;LEFT($C$5,2)&amp;"输出",标准坦克设计!$B$23:$U$23,0)))*(VLOOKUP($B232,INDIRECT($B$5&amp;"生成成长"),3))*(VLOOKUP($B$5,标准坦克设计!$B$14:$K$20,9)/30))</f>
        <v>6.4729624211995738</v>
      </c>
      <c r="CN232" s="173">
        <f ca="1">(VLOOKUP(CN$72,INDIRECT($C$5&amp;"生成成长"),2))/((VLOOKUP($B232,INDIRECT($B$5&amp;"生成成长"),4))/(VLOOKUP(CN$72,INDIRECT($C$5&amp;"生成成长"),5))*(VLOOKUP($B$5,标准坦克设计!$B$24:$U$30,MATCH("对"&amp;LEFT($C$5,2)&amp;"输出",标准坦克设计!$B$23:$U$23,0)))*(VLOOKUP($B232,INDIRECT($B$5&amp;"生成成长"),3))*(VLOOKUP($B$5,标准坦克设计!$B$14:$K$20,9)/30))</f>
        <v>6.8838438248889986</v>
      </c>
      <c r="CO232" s="173">
        <f ca="1">(VLOOKUP(CO$72,INDIRECT($C$5&amp;"生成成长"),2))/((VLOOKUP($B232,INDIRECT($B$5&amp;"生成成长"),4))/(VLOOKUP(CO$72,INDIRECT($C$5&amp;"生成成长"),5))*(VLOOKUP($B$5,标准坦克设计!$B$24:$U$30,MATCH("对"&amp;LEFT($C$5,2)&amp;"输出",标准坦克设计!$B$23:$U$23,0)))*(VLOOKUP($B232,INDIRECT($B$5&amp;"生成成长"),3))*(VLOOKUP($B$5,标准坦克设计!$B$14:$K$20,9)/30))</f>
        <v>3.0848233956079993</v>
      </c>
      <c r="CP232" s="173">
        <f ca="1">(VLOOKUP(CP$72,INDIRECT($C$5&amp;"生成成长"),2))/((VLOOKUP($B232,INDIRECT($B$5&amp;"生成成长"),4))/(VLOOKUP(CP$72,INDIRECT($C$5&amp;"生成成长"),5))*(VLOOKUP($B$5,标准坦克设计!$B$24:$U$30,MATCH("对"&amp;LEFT($C$5,2)&amp;"输出",标准坦克设计!$B$23:$U$23,0)))*(VLOOKUP($B232,INDIRECT($B$5&amp;"生成成长"),3))*(VLOOKUP($B$5,标准坦克设计!$B$14:$K$20,9)/30))</f>
        <v>3.3704290706200899</v>
      </c>
      <c r="CQ232" s="173">
        <f ca="1">(VLOOKUP(CQ$72,INDIRECT($C$5&amp;"生成成长"),2))/((VLOOKUP($B232,INDIRECT($B$5&amp;"生成成长"),4))/(VLOOKUP(CQ$72,INDIRECT($C$5&amp;"生成成长"),5))*(VLOOKUP($B$5,标准坦克设计!$B$24:$U$30,MATCH("对"&amp;LEFT($C$5,2)&amp;"输出",标准坦克设计!$B$23:$U$23,0)))*(VLOOKUP($B232,INDIRECT($B$5&amp;"生成成长"),3))*(VLOOKUP($B$5,标准坦克设计!$B$14:$K$20,9)/30))</f>
        <v>3.6686772503610854</v>
      </c>
      <c r="CR232" s="173">
        <f ca="1">(VLOOKUP(CR$72,INDIRECT($C$5&amp;"生成成长"),2))/((VLOOKUP($B232,INDIRECT($B$5&amp;"生成成长"),4))/(VLOOKUP(CR$72,INDIRECT($C$5&amp;"生成成长"),5))*(VLOOKUP($B$5,标准坦克设计!$B$24:$U$30,MATCH("对"&amp;LEFT($C$5,2)&amp;"输出",标准坦克设计!$B$23:$U$23,0)))*(VLOOKUP($B232,INDIRECT($B$5&amp;"生成成长"),3))*(VLOOKUP($B$5,标准坦克设计!$B$14:$K$20,9)/30))</f>
        <v>3.9795679348309871</v>
      </c>
      <c r="CS232" s="173">
        <f ca="1">(VLOOKUP(CS$72,INDIRECT($C$5&amp;"生成成长"),2))/((VLOOKUP($B232,INDIRECT($B$5&amp;"生成成长"),4))/(VLOOKUP(CS$72,INDIRECT($C$5&amp;"生成成长"),5))*(VLOOKUP($B$5,标准坦克设计!$B$24:$U$30,MATCH("对"&amp;LEFT($C$5,2)&amp;"输出",标准坦克设计!$B$23:$U$23,0)))*(VLOOKUP($B232,INDIRECT($B$5&amp;"生成成长"),3))*(VLOOKUP($B$5,标准坦克设计!$B$14:$K$20,9)/30))</f>
        <v>4.3031011240297943</v>
      </c>
      <c r="CT232" s="173">
        <f ca="1">(VLOOKUP(CT$72,INDIRECT($C$5&amp;"生成成长"),2))/((VLOOKUP($B232,INDIRECT($B$5&amp;"生成成长"),4))/(VLOOKUP(CT$72,INDIRECT($C$5&amp;"生成成长"),5))*(VLOOKUP($B$5,标准坦克设计!$B$24:$U$30,MATCH("对"&amp;LEFT($C$5,2)&amp;"输出",标准坦克设计!$B$23:$U$23,0)))*(VLOOKUP($B232,INDIRECT($B$5&amp;"生成成长"),3))*(VLOOKUP($B$5,标准坦克设计!$B$14:$K$20,9)/30))</f>
        <v>4.6392768179575068</v>
      </c>
      <c r="CU232" s="173">
        <f ca="1">(VLOOKUP(CU$72,INDIRECT($C$5&amp;"生成成长"),2))/((VLOOKUP($B232,INDIRECT($B$5&amp;"生成成长"),4))/(VLOOKUP(CU$72,INDIRECT($C$5&amp;"生成成长"),5))*(VLOOKUP($B$5,标准坦克设计!$B$24:$U$30,MATCH("对"&amp;LEFT($C$5,2)&amp;"输出",标准坦克设计!$B$23:$U$23,0)))*(VLOOKUP($B232,INDIRECT($B$5&amp;"生成成长"),3))*(VLOOKUP($B$5,标准坦克设计!$B$14:$K$20,9)/30))</f>
        <v>4.9880950166141247</v>
      </c>
      <c r="CV232" s="173">
        <f ca="1">(VLOOKUP(CV$72,INDIRECT($C$5&amp;"生成成长"),2))/((VLOOKUP($B232,INDIRECT($B$5&amp;"生成成长"),4))/(VLOOKUP(CV$72,INDIRECT($C$5&amp;"生成成长"),5))*(VLOOKUP($B$5,标准坦克设计!$B$24:$U$30,MATCH("对"&amp;LEFT($C$5,2)&amp;"输出",标准坦克设计!$B$23:$U$23,0)))*(VLOOKUP($B232,INDIRECT($B$5&amp;"生成成长"),3))*(VLOOKUP($B$5,标准坦克设计!$B$14:$K$20,9)/30))</f>
        <v>5.3495557199996471</v>
      </c>
      <c r="CW232" s="173">
        <f ca="1">(VLOOKUP(CW$72,INDIRECT($C$5&amp;"生成成长"),2))/((VLOOKUP($B232,INDIRECT($B$5&amp;"生成成长"),4))/(VLOOKUP(CW$72,INDIRECT($C$5&amp;"生成成长"),5))*(VLOOKUP($B$5,标准坦克设计!$B$24:$U$30,MATCH("对"&amp;LEFT($C$5,2)&amp;"输出",标准坦克设计!$B$23:$U$23,0)))*(VLOOKUP($B232,INDIRECT($B$5&amp;"生成成长"),3))*(VLOOKUP($B$5,标准坦克设计!$B$14:$K$20,9)/30))</f>
        <v>5.7236589281140748</v>
      </c>
      <c r="CX232" s="173">
        <f ca="1">(VLOOKUP(CX$72,INDIRECT($C$5&amp;"生成成长"),2))/((VLOOKUP($B232,INDIRECT($B$5&amp;"生成成长"),4))/(VLOOKUP(CX$72,INDIRECT($C$5&amp;"生成成长"),5))*(VLOOKUP($B$5,标准坦克设计!$B$24:$U$30,MATCH("对"&amp;LEFT($C$5,2)&amp;"输出",标准坦克设计!$B$23:$U$23,0)))*(VLOOKUP($B232,INDIRECT($B$5&amp;"生成成长"),3))*(VLOOKUP($B$5,标准坦克设计!$B$14:$K$20,9)/30))</f>
        <v>6.1104046409574089</v>
      </c>
      <c r="CY232" s="173">
        <f ca="1">(VLOOKUP(CY$72,INDIRECT($C$5&amp;"生成成长"),2))/((VLOOKUP($B232,INDIRECT($B$5&amp;"生成成长"),4))/(VLOOKUP(CY$72,INDIRECT($C$5&amp;"生成成长"),5))*(VLOOKUP($B$5,标准坦克设计!$B$24:$U$30,MATCH("对"&amp;LEFT($C$5,2)&amp;"输出",标准坦克设计!$B$23:$U$23,0)))*(VLOOKUP($B232,INDIRECT($B$5&amp;"生成成长"),3))*(VLOOKUP($B$5,标准坦克设计!$B$14:$K$20,9)/30))</f>
        <v>6.5097928585296474</v>
      </c>
      <c r="CZ232" s="173">
        <f ca="1">(VLOOKUP(CZ$72,INDIRECT($C$5&amp;"生成成长"),2))/((VLOOKUP($B232,INDIRECT($B$5&amp;"生成成长"),4))/(VLOOKUP(CZ$72,INDIRECT($C$5&amp;"生成成长"),5))*(VLOOKUP($B$5,标准坦克设计!$B$24:$U$30,MATCH("对"&amp;LEFT($C$5,2)&amp;"输出",标准坦克设计!$B$23:$U$23,0)))*(VLOOKUP($B232,INDIRECT($B$5&amp;"生成成长"),3))*(VLOOKUP($B$5,标准坦克设计!$B$14:$K$20,9)/30))</f>
        <v>6.9218235808307931</v>
      </c>
      <c r="DA232" s="173">
        <f ca="1">(VLOOKUP(DA$72,INDIRECT($C$5&amp;"生成成长"),2))/((VLOOKUP($B232,INDIRECT($B$5&amp;"生成成长"),4))/(VLOOKUP(DA$72,INDIRECT($C$5&amp;"生成成长"),5))*(VLOOKUP($B$5,标准坦克设计!$B$24:$U$30,MATCH("对"&amp;LEFT($C$5,2)&amp;"输出",标准坦克设计!$B$23:$U$23,0)))*(VLOOKUP($B232,INDIRECT($B$5&amp;"生成成长"),3))*(VLOOKUP($B$5,标准坦克设计!$B$14:$K$20,9)/30))</f>
        <v>7.3464968078608432</v>
      </c>
      <c r="DB232" s="173">
        <f ca="1">(VLOOKUP(DB$72,INDIRECT($C$5&amp;"生成成长"),2))/((VLOOKUP($B232,INDIRECT($B$5&amp;"生成成长"),4))/(VLOOKUP(DB$72,INDIRECT($C$5&amp;"生成成长"),5))*(VLOOKUP($B$5,标准坦克设计!$B$24:$U$30,MATCH("对"&amp;LEFT($C$5,2)&amp;"输出",标准坦克设计!$B$23:$U$23,0)))*(VLOOKUP($B232,INDIRECT($B$5&amp;"生成成长"),3))*(VLOOKUP($B$5,标准坦克设计!$B$14:$K$20,9)/30))</f>
        <v>7.7838125396197988</v>
      </c>
      <c r="DC232" s="173">
        <f ca="1">(VLOOKUP(DC$72,INDIRECT($C$5&amp;"生成成长"),2))/((VLOOKUP($B232,INDIRECT($B$5&amp;"生成成长"),4))/(VLOOKUP(DC$72,INDIRECT($C$5&amp;"生成成长"),5))*(VLOOKUP($B$5,标准坦克设计!$B$24:$U$30,MATCH("对"&amp;LEFT($C$5,2)&amp;"输出",标准坦克设计!$B$23:$U$23,0)))*(VLOOKUP($B232,INDIRECT($B$5&amp;"生成成长"),3))*(VLOOKUP($B$5,标准坦克设计!$B$14:$K$20,9)/30))</f>
        <v>8.2753029713947654</v>
      </c>
      <c r="DD232" s="173">
        <f ca="1">(VLOOKUP(DD$72,INDIRECT($C$5&amp;"生成成长"),2))/((VLOOKUP($B232,INDIRECT($B$5&amp;"生成成长"),4))/(VLOOKUP(DD$72,INDIRECT($C$5&amp;"生成成长"),5))*(VLOOKUP($B$5,标准坦克设计!$B$24:$U$30,MATCH("对"&amp;LEFT($C$5,2)&amp;"输出",标准坦克设计!$B$23:$U$23,0)))*(VLOOKUP($B232,INDIRECT($B$5&amp;"生成成长"),3))*(VLOOKUP($B$5,标准坦克设计!$B$14:$K$20,9)/30))</f>
        <v>8.7818390286322341</v>
      </c>
      <c r="DE232" s="173">
        <f ca="1">(VLOOKUP(DE$72,INDIRECT($C$5&amp;"生成成长"),2))/((VLOOKUP($B232,INDIRECT($B$5&amp;"生成成长"),4))/(VLOOKUP(DE$72,INDIRECT($C$5&amp;"生成成长"),5))*(VLOOKUP($B$5,标准坦克设计!$B$24:$U$30,MATCH("对"&amp;LEFT($C$5,2)&amp;"输出",标准坦克设计!$B$23:$U$23,0)))*(VLOOKUP($B232,INDIRECT($B$5&amp;"生成成长"),3))*(VLOOKUP($B$5,标准坦克设计!$B$14:$K$20,9)/30))</f>
        <v>9.3034207113321994</v>
      </c>
      <c r="DF232" s="173">
        <f ca="1">(VLOOKUP(DF$72,INDIRECT($C$5&amp;"生成成长"),2))/((VLOOKUP($B232,INDIRECT($B$5&amp;"生成成长"),4))/(VLOOKUP(DF$72,INDIRECT($C$5&amp;"生成成长"),5))*(VLOOKUP($B$5,标准坦克设计!$B$24:$U$30,MATCH("对"&amp;LEFT($C$5,2)&amp;"输出",标准坦克设计!$B$23:$U$23,0)))*(VLOOKUP($B232,INDIRECT($B$5&amp;"生成成长"),3))*(VLOOKUP($B$5,标准坦克设计!$B$14:$K$20,9)/30))</f>
        <v>9.8400480194946631</v>
      </c>
      <c r="DG232" s="173">
        <f ca="1">(VLOOKUP(DG$72,INDIRECT($C$5&amp;"生成成长"),2))/((VLOOKUP($B232,INDIRECT($B$5&amp;"生成成长"),4))/(VLOOKUP(DG$72,INDIRECT($C$5&amp;"生成成长"),5))*(VLOOKUP($B$5,标准坦克设计!$B$24:$U$30,MATCH("对"&amp;LEFT($C$5,2)&amp;"输出",标准坦克设计!$B$23:$U$23,0)))*(VLOOKUP($B232,INDIRECT($B$5&amp;"生成成长"),3))*(VLOOKUP($B$5,标准坦克设计!$B$14:$K$20,9)/30))</f>
        <v>10.391720953119625</v>
      </c>
      <c r="DH232" s="173">
        <f ca="1">(VLOOKUP(DH$72,INDIRECT($C$5&amp;"生成成长"),2))/((VLOOKUP($B232,INDIRECT($B$5&amp;"生成成长"),4))/(VLOOKUP(DH$72,INDIRECT($C$5&amp;"生成成长"),5))*(VLOOKUP($B$5,标准坦克设计!$B$24:$U$30,MATCH("对"&amp;LEFT($C$5,2)&amp;"输出",标准坦克设计!$B$23:$U$23,0)))*(VLOOKUP($B232,INDIRECT($B$5&amp;"生成成长"),3))*(VLOOKUP($B$5,标准坦克设计!$B$14:$K$20,9)/30))</f>
        <v>10.958439512207089</v>
      </c>
      <c r="DI232" s="173">
        <f ca="1">(VLOOKUP(DI$72,INDIRECT($C$5&amp;"生成成长"),2))/((VLOOKUP($B232,INDIRECT($B$5&amp;"生成成长"),4))/(VLOOKUP(DI$72,INDIRECT($C$5&amp;"生成成长"),5))*(VLOOKUP($B$5,标准坦克设计!$B$24:$U$30,MATCH("对"&amp;LEFT($C$5,2)&amp;"输出",标准坦克设计!$B$23:$U$23,0)))*(VLOOKUP($B232,INDIRECT($B$5&amp;"生成成长"),3))*(VLOOKUP($B$5,标准坦克设计!$B$14:$K$20,9)/30))</f>
        <v>11.54020369675705</v>
      </c>
      <c r="DJ232" s="173">
        <f ca="1">(VLOOKUP(DJ$72,INDIRECT($C$5&amp;"生成成长"),2))/((VLOOKUP($B232,INDIRECT($B$5&amp;"生成成长"),4))/(VLOOKUP(DJ$72,INDIRECT($C$5&amp;"生成成长"),5))*(VLOOKUP($B$5,标准坦克设计!$B$24:$U$30,MATCH("对"&amp;LEFT($C$5,2)&amp;"输出",标准坦克设计!$B$23:$U$23,0)))*(VLOOKUP($B232,INDIRECT($B$5&amp;"生成成长"),3))*(VLOOKUP($B$5,标准坦克设计!$B$14:$K$20,9)/30))</f>
        <v>1.1598192044893767</v>
      </c>
      <c r="DK232" s="173">
        <f ca="1">(VLOOKUP(DK$72,INDIRECT($C$5&amp;"生成成长"),2))/((VLOOKUP($B232,INDIRECT($B$5&amp;"生成成长"),4))/(VLOOKUP(DK$72,INDIRECT($C$5&amp;"生成成长"),5))*(VLOOKUP($B$5,标准坦克设计!$B$24:$U$30,MATCH("对"&amp;LEFT($C$5,2)&amp;"输出",标准坦克设计!$B$23:$U$23,0)))*(VLOOKUP($B232,INDIRECT($B$5&amp;"生成成长"),3))*(VLOOKUP($B$5,标准坦克设计!$B$14:$K$20,9)/30))</f>
        <v>1.3041631737702264</v>
      </c>
      <c r="DL232" s="173">
        <f ca="1">(VLOOKUP(DL$72,INDIRECT($C$5&amp;"生成成长"),2))/((VLOOKUP($B232,INDIRECT($B$5&amp;"生成成长"),4))/(VLOOKUP(DL$72,INDIRECT($C$5&amp;"生成成长"),5))*(VLOOKUP($B$5,标准坦克设计!$B$24:$U$30,MATCH("对"&amp;LEFT($C$5,2)&amp;"输出",标准坦克设计!$B$23:$U$23,0)))*(VLOOKUP($B232,INDIRECT($B$5&amp;"生成成长"),3))*(VLOOKUP($B$5,标准坦克设计!$B$14:$K$20,9)/30))</f>
        <v>1.4569703073737319</v>
      </c>
      <c r="DM232" s="173">
        <f ca="1">(VLOOKUP(DM$72,INDIRECT($C$5&amp;"生成成长"),2))/((VLOOKUP($B232,INDIRECT($B$5&amp;"生成成长"),4))/(VLOOKUP(DM$72,INDIRECT($C$5&amp;"生成成长"),5))*(VLOOKUP($B$5,标准坦克设计!$B$24:$U$30,MATCH("对"&amp;LEFT($C$5,2)&amp;"输出",标准坦克设计!$B$23:$U$23,0)))*(VLOOKUP($B232,INDIRECT($B$5&amp;"生成成长"),3))*(VLOOKUP($B$5,标准坦克设计!$B$14:$K$20,9)/30))</f>
        <v>1.6182406052998934</v>
      </c>
      <c r="DN232" s="173">
        <f ca="1">(VLOOKUP(DN$72,INDIRECT($C$5&amp;"生成成长"),2))/((VLOOKUP($B232,INDIRECT($B$5&amp;"生成成长"),4))/(VLOOKUP(DN$72,INDIRECT($C$5&amp;"生成成长"),5))*(VLOOKUP($B$5,标准坦克设计!$B$24:$U$30,MATCH("对"&amp;LEFT($C$5,2)&amp;"输出",标准坦克设计!$B$23:$U$23,0)))*(VLOOKUP($B232,INDIRECT($B$5&amp;"生成成长"),3))*(VLOOKUP($B$5,标准坦克设计!$B$14:$K$20,9)/30))</f>
        <v>1.7879740675487099</v>
      </c>
      <c r="DO232" s="173">
        <f ca="1">(VLOOKUP(DO$72,INDIRECT($C$5&amp;"生成成长"),2))/((VLOOKUP($B232,INDIRECT($B$5&amp;"生成成长"),4))/(VLOOKUP(DO$72,INDIRECT($C$5&amp;"生成成长"),5))*(VLOOKUP($B$5,标准坦克设计!$B$24:$U$30,MATCH("对"&amp;LEFT($C$5,2)&amp;"输出",标准坦克设计!$B$23:$U$23,0)))*(VLOOKUP($B232,INDIRECT($B$5&amp;"生成成长"),3))*(VLOOKUP($B$5,标准坦克设计!$B$14:$K$20,9)/30))</f>
        <v>1.9661706941201829</v>
      </c>
      <c r="DP232" s="173">
        <f ca="1">(VLOOKUP(DP$72,INDIRECT($C$5&amp;"生成成长"),2))/((VLOOKUP($B232,INDIRECT($B$5&amp;"生成成长"),4))/(VLOOKUP(DP$72,INDIRECT($C$5&amp;"生成成长"),5))*(VLOOKUP($B$5,标准坦克设计!$B$24:$U$30,MATCH("对"&amp;LEFT($C$5,2)&amp;"输出",标准坦克设计!$B$23:$U$23,0)))*(VLOOKUP($B232,INDIRECT($B$5&amp;"生成成长"),3))*(VLOOKUP($B$5,标准坦克设计!$B$14:$K$20,9)/30))</f>
        <v>2.1528304850143112</v>
      </c>
      <c r="DQ232" s="173">
        <f ca="1">(VLOOKUP(DQ$72,INDIRECT($C$5&amp;"生成成长"),2))/((VLOOKUP($B232,INDIRECT($B$5&amp;"生成成长"),4))/(VLOOKUP(DQ$72,INDIRECT($C$5&amp;"生成成长"),5))*(VLOOKUP($B$5,标准坦克设计!$B$24:$U$30,MATCH("对"&amp;LEFT($C$5,2)&amp;"输出",标准坦克设计!$B$23:$U$23,0)))*(VLOOKUP($B232,INDIRECT($B$5&amp;"生成成长"),3))*(VLOOKUP($B$5,标准坦克设计!$B$14:$K$20,9)/30))</f>
        <v>2.3479534402310951</v>
      </c>
      <c r="DR232" s="173">
        <f ca="1">(VLOOKUP(DR$72,INDIRECT($C$5&amp;"生成成长"),2))/((VLOOKUP($B232,INDIRECT($B$5&amp;"生成成长"),4))/(VLOOKUP(DR$72,INDIRECT($C$5&amp;"生成成长"),5))*(VLOOKUP($B$5,标准坦克设计!$B$24:$U$30,MATCH("对"&amp;LEFT($C$5,2)&amp;"输出",标准坦克设计!$B$23:$U$23,0)))*(VLOOKUP($B232,INDIRECT($B$5&amp;"生成成长"),3))*(VLOOKUP($B$5,标准坦克设计!$B$14:$K$20,9)/30))</f>
        <v>2.5515395597705348</v>
      </c>
      <c r="DS232" s="173">
        <f ca="1">(VLOOKUP(DS$72,INDIRECT($C$5&amp;"生成成长"),2))/((VLOOKUP($B232,INDIRECT($B$5&amp;"生成成长"),4))/(VLOOKUP(DS$72,INDIRECT($C$5&amp;"生成成长"),5))*(VLOOKUP($B$5,标准坦克设计!$B$24:$U$30,MATCH("对"&amp;LEFT($C$5,2)&amp;"输出",标准坦克设计!$B$23:$U$23,0)))*(VLOOKUP($B232,INDIRECT($B$5&amp;"生成成长"),3))*(VLOOKUP($B$5,标准坦克设计!$B$14:$K$20,9)/30))</f>
        <v>2.7635888436326299</v>
      </c>
      <c r="DT232" s="173">
        <f ca="1">(VLOOKUP(DT$72,INDIRECT($C$5&amp;"生成成长"),2))/((VLOOKUP($B232,INDIRECT($B$5&amp;"生成成长"),4))/(VLOOKUP(DT$72,INDIRECT($C$5&amp;"生成成长"),5))*(VLOOKUP($B$5,标准坦克设计!$B$24:$U$30,MATCH("对"&amp;LEFT($C$5,2)&amp;"输出",标准坦克设计!$B$23:$U$23,0)))*(VLOOKUP($B232,INDIRECT($B$5&amp;"生成成长"),3))*(VLOOKUP($B$5,标准坦克设计!$B$14:$K$20,9)/30))</f>
        <v>3.0342533766923774</v>
      </c>
      <c r="DU232" s="173">
        <f ca="1">(VLOOKUP(DU$72,INDIRECT($C$5&amp;"生成成长"),2))/((VLOOKUP($B232,INDIRECT($B$5&amp;"生成成长"),4))/(VLOOKUP(DU$72,INDIRECT($C$5&amp;"生成成长"),5))*(VLOOKUP($B$5,标准坦克设计!$B$24:$U$30,MATCH("对"&amp;LEFT($C$5,2)&amp;"输出",标准坦克设计!$B$23:$U$23,0)))*(VLOOKUP($B232,INDIRECT($B$5&amp;"生成成长"),3))*(VLOOKUP($B$5,标准坦克设计!$B$14:$K$20,9)/30))</f>
        <v>3.3175604144810311</v>
      </c>
      <c r="DV232" s="173">
        <f ca="1">(VLOOKUP(DV$72,INDIRECT($C$5&amp;"生成成长"),2))/((VLOOKUP($B232,INDIRECT($B$5&amp;"生成成长"),4))/(VLOOKUP(DV$72,INDIRECT($C$5&amp;"生成成长"),5))*(VLOOKUP($B$5,标准坦克设计!$B$24:$U$30,MATCH("对"&amp;LEFT($C$5,2)&amp;"输出",标准坦克设计!$B$23:$U$23,0)))*(VLOOKUP($B232,INDIRECT($B$5&amp;"生成成长"),3))*(VLOOKUP($B$5,标准坦克设计!$B$14:$K$20,9)/30))</f>
        <v>3.6135099569985893</v>
      </c>
      <c r="DW232" s="173">
        <f ca="1">(VLOOKUP(DW$72,INDIRECT($C$5&amp;"生成成长"),2))/((VLOOKUP($B232,INDIRECT($B$5&amp;"生成成长"),4))/(VLOOKUP(DW$72,INDIRECT($C$5&amp;"生成成长"),5))*(VLOOKUP($B$5,标准坦克设计!$B$24:$U$30,MATCH("对"&amp;LEFT($C$5,2)&amp;"输出",标准坦克设计!$B$23:$U$23,0)))*(VLOOKUP($B232,INDIRECT($B$5&amp;"生成成长"),3))*(VLOOKUP($B$5,标准坦克设计!$B$14:$K$20,9)/30))</f>
        <v>3.922102004245053</v>
      </c>
      <c r="DX232" s="173">
        <f ca="1">(VLOOKUP(DX$72,INDIRECT($C$5&amp;"生成成长"),2))/((VLOOKUP($B232,INDIRECT($B$5&amp;"生成成长"),4))/(VLOOKUP(DX$72,INDIRECT($C$5&amp;"生成成长"),5))*(VLOOKUP($B$5,标准坦克设计!$B$24:$U$30,MATCH("对"&amp;LEFT($C$5,2)&amp;"输出",标准坦克设计!$B$23:$U$23,0)))*(VLOOKUP($B232,INDIRECT($B$5&amp;"生成成长"),3))*(VLOOKUP($B$5,标准坦克设计!$B$14:$K$20,9)/30))</f>
        <v>4.2433365562204228</v>
      </c>
      <c r="DY232" s="173">
        <f ca="1">(VLOOKUP(DY$72,INDIRECT($C$5&amp;"生成成长"),2))/((VLOOKUP($B232,INDIRECT($B$5&amp;"生成成长"),4))/(VLOOKUP(DY$72,INDIRECT($C$5&amp;"生成成长"),5))*(VLOOKUP($B$5,标准坦克设计!$B$24:$U$30,MATCH("对"&amp;LEFT($C$5,2)&amp;"输出",标准坦克设计!$B$23:$U$23,0)))*(VLOOKUP($B232,INDIRECT($B$5&amp;"生成成长"),3))*(VLOOKUP($B$5,标准坦克设计!$B$14:$K$20,9)/30))</f>
        <v>1.9058314670049523</v>
      </c>
      <c r="DZ232" s="173">
        <f ca="1">(VLOOKUP(DZ$72,INDIRECT($C$5&amp;"生成成长"),2))/((VLOOKUP($B232,INDIRECT($B$5&amp;"生成成长"),4))/(VLOOKUP(DZ$72,INDIRECT($C$5&amp;"生成成长"),5))*(VLOOKUP($B$5,标准坦克设计!$B$24:$U$30,MATCH("对"&amp;LEFT($C$5,2)&amp;"输出",标准坦克设计!$B$23:$U$23,0)))*(VLOOKUP($B232,INDIRECT($B$5&amp;"生成成长"),3))*(VLOOKUP($B$5,标准坦克设计!$B$14:$K$20,9)/30))</f>
        <v>2.1106191469111888</v>
      </c>
      <c r="EA232" s="173">
        <f ca="1">(VLOOKUP(EA$72,INDIRECT($C$5&amp;"生成成长"),2))/((VLOOKUP($B232,INDIRECT($B$5&amp;"生成成长"),4))/(VLOOKUP(EA$72,INDIRECT($C$5&amp;"生成成长"),5))*(VLOOKUP($B$5,标准坦克设计!$B$24:$U$30,MATCH("对"&amp;LEFT($C$5,2)&amp;"输出",标准坦克设计!$B$23:$U$23,0)))*(VLOOKUP($B232,INDIRECT($B$5&amp;"生成成长"),3))*(VLOOKUP($B$5,标准坦克设计!$B$14:$K$20,9)/30))</f>
        <v>2.3258551778330498</v>
      </c>
      <c r="EB232" s="173">
        <f ca="1">(VLOOKUP(EB$72,INDIRECT($C$5&amp;"生成成长"),2))/((VLOOKUP($B232,INDIRECT($B$5&amp;"生成成长"),4))/(VLOOKUP(EB$72,INDIRECT($C$5&amp;"生成成长"),5))*(VLOOKUP($B$5,标准坦克设计!$B$24:$U$30,MATCH("对"&amp;LEFT($C$5,2)&amp;"输出",标准坦克设计!$B$23:$U$23,0)))*(VLOOKUP($B232,INDIRECT($B$5&amp;"生成成长"),3))*(VLOOKUP($B$5,标准坦克设计!$B$14:$K$20,9)/30))</f>
        <v>2.5515395597705348</v>
      </c>
      <c r="EC232" s="173">
        <f ca="1">(VLOOKUP(EC$72,INDIRECT($C$5&amp;"生成成长"),2))/((VLOOKUP($B232,INDIRECT($B$5&amp;"生成成长"),4))/(VLOOKUP(EC$72,INDIRECT($C$5&amp;"生成成长"),5))*(VLOOKUP($B$5,标准坦克设计!$B$24:$U$30,MATCH("对"&amp;LEFT($C$5,2)&amp;"输出",标准坦克设计!$B$23:$U$23,0)))*(VLOOKUP($B232,INDIRECT($B$5&amp;"生成成长"),3))*(VLOOKUP($B$5,标准坦克设计!$B$14:$K$20,9)/30))</f>
        <v>2.7876722927236441</v>
      </c>
      <c r="ED232" s="173">
        <f ca="1">(VLOOKUP(ED$72,INDIRECT($C$5&amp;"生成成长"),2))/((VLOOKUP($B232,INDIRECT($B$5&amp;"生成成长"),4))/(VLOOKUP(ED$72,INDIRECT($C$5&amp;"生成成长"),5))*(VLOOKUP($B$5,标准坦克设计!$B$24:$U$30,MATCH("对"&amp;LEFT($C$5,2)&amp;"输出",标准坦克设计!$B$23:$U$23,0)))*(VLOOKUP($B232,INDIRECT($B$5&amp;"生成成长"),3))*(VLOOKUP($B$5,标准坦克设计!$B$14:$K$20,9)/30))</f>
        <v>3.0342533766923774</v>
      </c>
      <c r="EE232" s="173">
        <f ca="1">(VLOOKUP(EE$72,INDIRECT($C$5&amp;"生成成长"),2))/((VLOOKUP($B232,INDIRECT($B$5&amp;"生成成长"),4))/(VLOOKUP(EE$72,INDIRECT($C$5&amp;"生成成长"),5))*(VLOOKUP($B$5,标准坦克设计!$B$24:$U$30,MATCH("对"&amp;LEFT($C$5,2)&amp;"输出",标准坦克设计!$B$23:$U$23,0)))*(VLOOKUP($B232,INDIRECT($B$5&amp;"生成成长"),3))*(VLOOKUP($B$5,标准坦克设计!$B$14:$K$20,9)/30))</f>
        <v>3.2912828116767354</v>
      </c>
      <c r="EF232" s="173">
        <f ca="1">(VLOOKUP(EF$72,INDIRECT($C$5&amp;"生成成长"),2))/((VLOOKUP($B232,INDIRECT($B$5&amp;"生成成长"),4))/(VLOOKUP(EF$72,INDIRECT($C$5&amp;"生成成长"),5))*(VLOOKUP($B$5,标准坦克设计!$B$24:$U$30,MATCH("对"&amp;LEFT($C$5,2)&amp;"输出",标准坦克设计!$B$23:$U$23,0)))*(VLOOKUP($B232,INDIRECT($B$5&amp;"生成成长"),3))*(VLOOKUP($B$5,标准坦克设计!$B$14:$K$20,9)/30))</f>
        <v>3.5587605976767183</v>
      </c>
      <c r="EG232" s="173">
        <f ca="1">(VLOOKUP(EG$72,INDIRECT($C$5&amp;"生成成长"),2))/((VLOOKUP($B232,INDIRECT($B$5&amp;"生成成长"),4))/(VLOOKUP(EG$72,INDIRECT($C$5&amp;"生成成长"),5))*(VLOOKUP($B$5,标准坦克设计!$B$24:$U$30,MATCH("对"&amp;LEFT($C$5,2)&amp;"输出",标准坦克设计!$B$23:$U$23,0)))*(VLOOKUP($B232,INDIRECT($B$5&amp;"生成成长"),3))*(VLOOKUP($B$5,标准坦克设计!$B$14:$K$20,9)/30))</f>
        <v>3.836686734692325</v>
      </c>
      <c r="EH232" s="173">
        <f ca="1">(VLOOKUP(EH$72,INDIRECT($C$5&amp;"生成成长"),2))/((VLOOKUP($B232,INDIRECT($B$5&amp;"生成成长"),4))/(VLOOKUP(EH$72,INDIRECT($C$5&amp;"生成成长"),5))*(VLOOKUP($B$5,标准坦克设计!$B$24:$U$30,MATCH("对"&amp;LEFT($C$5,2)&amp;"输出",标准坦克设计!$B$23:$U$23,0)))*(VLOOKUP($B232,INDIRECT($B$5&amp;"生成成长"),3))*(VLOOKUP($B$5,标准坦克设计!$B$14:$K$20,9)/30))</f>
        <v>4.1250612227235557</v>
      </c>
      <c r="EI232" s="173">
        <f ca="1">(VLOOKUP(EI$72,INDIRECT($C$5&amp;"生成成长"),2))/((VLOOKUP($B232,INDIRECT($B$5&amp;"生成成长"),4))/(VLOOKUP(EI$72,INDIRECT($C$5&amp;"生成成长"),5))*(VLOOKUP($B$5,标准坦克设计!$B$24:$U$30,MATCH("对"&amp;LEFT($C$5,2)&amp;"输出",标准坦克设计!$B$23:$U$23,0)))*(VLOOKUP($B232,INDIRECT($B$5&amp;"生成成长"),3))*(VLOOKUP($B$5,标准坦克设计!$B$14:$K$20,9)/30))</f>
        <v>4.4238840617704103</v>
      </c>
      <c r="EJ232" s="173">
        <f ca="1">(VLOOKUP(EJ$72,INDIRECT($C$5&amp;"生成成长"),2))/((VLOOKUP($B232,INDIRECT($B$5&amp;"生成成长"),4))/(VLOOKUP(EJ$72,INDIRECT($C$5&amp;"生成成长"),5))*(VLOOKUP($B$5,标准坦克设计!$B$24:$U$30,MATCH("对"&amp;LEFT($C$5,2)&amp;"输出",标准坦克设计!$B$23:$U$23,0)))*(VLOOKUP($B232,INDIRECT($B$5&amp;"生成成长"),3))*(VLOOKUP($B$5,标准坦克设计!$B$14:$K$20,9)/30))</f>
        <v>4.7331552518328905</v>
      </c>
      <c r="EK232" s="173">
        <f ca="1">(VLOOKUP(EK$72,INDIRECT($C$5&amp;"生成成长"),2))/((VLOOKUP($B232,INDIRECT($B$5&amp;"生成成长"),4))/(VLOOKUP(EK$72,INDIRECT($C$5&amp;"生成成长"),5))*(VLOOKUP($B$5,标准坦克设计!$B$24:$U$30,MATCH("对"&amp;LEFT($C$5,2)&amp;"输出",标准坦克设计!$B$23:$U$23,0)))*(VLOOKUP($B232,INDIRECT($B$5&amp;"生成成长"),3))*(VLOOKUP($B$5,标准坦克设计!$B$14:$K$20,9)/30))</f>
        <v>5.1180725032484897</v>
      </c>
      <c r="EL232" s="173">
        <f ca="1">(VLOOKUP(EL$72,INDIRECT($C$5&amp;"生成成长"),2))/((VLOOKUP($B232,INDIRECT($B$5&amp;"生成成长"),4))/(VLOOKUP(EL$72,INDIRECT($C$5&amp;"生成成长"),5))*(VLOOKUP($B$5,标准坦克设计!$B$24:$U$30,MATCH("对"&amp;LEFT($C$5,2)&amp;"输出",标准坦克设计!$B$23:$U$23,0)))*(VLOOKUP($B232,INDIRECT($B$5&amp;"生成成长"),3))*(VLOOKUP($B$5,标准坦克设计!$B$14:$K$20,9)/30))</f>
        <v>5.51803538012659</v>
      </c>
      <c r="EM232" s="173">
        <f ca="1">(VLOOKUP(EM$72,INDIRECT($C$5&amp;"生成成长"),2))/((VLOOKUP($B232,INDIRECT($B$5&amp;"生成成长"),4))/(VLOOKUP(EM$72,INDIRECT($C$5&amp;"生成成长"),5))*(VLOOKUP($B$5,标准坦克设计!$B$24:$U$30,MATCH("对"&amp;LEFT($C$5,2)&amp;"输出",标准坦克设计!$B$23:$U$23,0)))*(VLOOKUP($B232,INDIRECT($B$5&amp;"生成成长"),3))*(VLOOKUP($B$5,标准坦克设计!$B$14:$K$20,9)/30))</f>
        <v>5.9330438824671861</v>
      </c>
      <c r="EN232" s="173">
        <f ca="1">(VLOOKUP(EN$72,INDIRECT($C$5&amp;"生成成长"),2))/((VLOOKUP($B232,INDIRECT($B$5&amp;"生成成长"),4))/(VLOOKUP(EN$72,INDIRECT($C$5&amp;"生成成长"),5))*(VLOOKUP($B$5,标准坦克设计!$B$24:$U$30,MATCH("对"&amp;LEFT($C$5,2)&amp;"输出",标准坦克设计!$B$23:$U$23,0)))*(VLOOKUP($B232,INDIRECT($B$5&amp;"生成成长"),3))*(VLOOKUP($B$5,标准坦克设计!$B$14:$K$20,9)/30))</f>
        <v>6.3630980102702832</v>
      </c>
      <c r="EO232" s="173">
        <f ca="1">(VLOOKUP(EO$72,INDIRECT($C$5&amp;"生成成长"),2))/((VLOOKUP($B232,INDIRECT($B$5&amp;"生成成长"),4))/(VLOOKUP(EO$72,INDIRECT($C$5&amp;"生成成长"),5))*(VLOOKUP($B$5,标准坦克设计!$B$24:$U$30,MATCH("对"&amp;LEFT($C$5,2)&amp;"输出",标准坦克设计!$B$23:$U$23,0)))*(VLOOKUP($B232,INDIRECT($B$5&amp;"生成成长"),3))*(VLOOKUP($B$5,标准坦克设计!$B$14:$K$20,9)/30))</f>
        <v>6.8081977635358779</v>
      </c>
      <c r="EP232" s="173">
        <f ca="1">(VLOOKUP(EP$72,INDIRECT($C$5&amp;"生成成长"),2))/((VLOOKUP($B232,INDIRECT($B$5&amp;"生成成长"),4))/(VLOOKUP(EP$72,INDIRECT($C$5&amp;"生成成长"),5))*(VLOOKUP($B$5,标准坦克设计!$B$24:$U$30,MATCH("对"&amp;LEFT($C$5,2)&amp;"输出",标准坦克设计!$B$23:$U$23,0)))*(VLOOKUP($B232,INDIRECT($B$5&amp;"生成成长"),3))*(VLOOKUP($B$5,标准坦克设计!$B$14:$K$20,9)/30))</f>
        <v>7.2683431422639737</v>
      </c>
      <c r="EQ232" s="173">
        <f ca="1">(VLOOKUP(EQ$72,INDIRECT($C$5&amp;"生成成长"),2))/((VLOOKUP($B232,INDIRECT($B$5&amp;"生成成长"),4))/(VLOOKUP(EQ$72,INDIRECT($C$5&amp;"生成成长"),5))*(VLOOKUP($B$5,标准坦克设计!$B$24:$U$30,MATCH("对"&amp;LEFT($C$5,2)&amp;"输出",标准坦克设计!$B$23:$U$23,0)))*(VLOOKUP($B232,INDIRECT($B$5&amp;"生成成长"),3))*(VLOOKUP($B$5,标准坦克设计!$B$14:$K$20,9)/30))</f>
        <v>3.2130769043247875</v>
      </c>
      <c r="ER232" s="173">
        <f ca="1">(VLOOKUP(ER$72,INDIRECT($C$5&amp;"生成成长"),2))/((VLOOKUP($B232,INDIRECT($B$5&amp;"生成成长"),4))/(VLOOKUP(ER$72,INDIRECT($C$5&amp;"生成成长"),5))*(VLOOKUP($B$5,标准坦克设计!$B$24:$U$30,MATCH("对"&amp;LEFT($C$5,2)&amp;"输出",标准坦克设计!$B$23:$U$23,0)))*(VLOOKUP($B232,INDIRECT($B$5&amp;"生成成长"),3))*(VLOOKUP($B$5,标准坦克设计!$B$14:$K$20,9)/30))</f>
        <v>3.5044291723954726</v>
      </c>
      <c r="ES232" s="173">
        <f ca="1">(VLOOKUP(ES$72,INDIRECT($C$5&amp;"生成成长"),2))/((VLOOKUP($B232,INDIRECT($B$5&amp;"生成成长"),4))/(VLOOKUP(ES$72,INDIRECT($C$5&amp;"生成成长"),5))*(VLOOKUP($B$5,标准坦克设计!$B$24:$U$30,MATCH("对"&amp;LEFT($C$5,2)&amp;"输出",标准坦克设计!$B$23:$U$23,0)))*(VLOOKUP($B232,INDIRECT($B$5&amp;"生成成长"),3))*(VLOOKUP($B$5,标准坦克设计!$B$14:$K$20,9)/30))</f>
        <v>3.8084239451950603</v>
      </c>
      <c r="ET232" s="173">
        <f ca="1">(VLOOKUP(ET$72,INDIRECT($C$5&amp;"生成成长"),2))/((VLOOKUP($B232,INDIRECT($B$5&amp;"生成成长"),4))/(VLOOKUP(ET$72,INDIRECT($C$5&amp;"生成成长"),5))*(VLOOKUP($B$5,标准坦克设计!$B$24:$U$30,MATCH("对"&amp;LEFT($C$5,2)&amp;"输出",标准坦克设计!$B$23:$U$23,0)))*(VLOOKUP($B232,INDIRECT($B$5&amp;"生成成长"),3))*(VLOOKUP($B$5,标准坦克设计!$B$14:$K$20,9)/30))</f>
        <v>4.1250612227235557</v>
      </c>
      <c r="EU232" s="173">
        <f ca="1">(VLOOKUP(EU$72,INDIRECT($C$5&amp;"生成成长"),2))/((VLOOKUP($B232,INDIRECT($B$5&amp;"生成成长"),4))/(VLOOKUP(EU$72,INDIRECT($C$5&amp;"生成成长"),5))*(VLOOKUP($B$5,标准坦克设计!$B$24:$U$30,MATCH("对"&amp;LEFT($C$5,2)&amp;"输出",标准坦克设计!$B$23:$U$23,0)))*(VLOOKUP($B232,INDIRECT($B$5&amp;"生成成长"),3))*(VLOOKUP($B$5,标准坦克设计!$B$14:$K$20,9)/30))</f>
        <v>4.4543410049809555</v>
      </c>
      <c r="EV232" s="173">
        <f ca="1">(VLOOKUP(EV$72,INDIRECT($C$5&amp;"生成成长"),2))/((VLOOKUP($B232,INDIRECT($B$5&amp;"生成成长"),4))/(VLOOKUP(EV$72,INDIRECT($C$5&amp;"生成成长"),5))*(VLOOKUP($B$5,标准坦克设计!$B$24:$U$30,MATCH("对"&amp;LEFT($C$5,2)&amp;"输出",标准坦克设计!$B$23:$U$23,0)))*(VLOOKUP($B232,INDIRECT($B$5&amp;"生成成长"),3))*(VLOOKUP($B$5,标准坦克设计!$B$14:$K$20,9)/30))</f>
        <v>4.7962632919672616</v>
      </c>
      <c r="EW232" s="173">
        <f ca="1">(VLOOKUP(EW$72,INDIRECT($C$5&amp;"生成成长"),2))/((VLOOKUP($B232,INDIRECT($B$5&amp;"生成成长"),4))/(VLOOKUP(EW$72,INDIRECT($C$5&amp;"生成成长"),5))*(VLOOKUP($B$5,标准坦克设计!$B$24:$U$30,MATCH("对"&amp;LEFT($C$5,2)&amp;"输出",标准坦克设计!$B$23:$U$23,0)))*(VLOOKUP($B232,INDIRECT($B$5&amp;"生成成长"),3))*(VLOOKUP($B$5,标准坦克设计!$B$14:$K$20,9)/30))</f>
        <v>5.1508280836824722</v>
      </c>
      <c r="EX232" s="173">
        <f ca="1">(VLOOKUP(EX$72,INDIRECT($C$5&amp;"生成成长"),2))/((VLOOKUP($B232,INDIRECT($B$5&amp;"生成成长"),4))/(VLOOKUP(EX$72,INDIRECT($C$5&amp;"生成成长"),5))*(VLOOKUP($B$5,标准坦克设计!$B$24:$U$30,MATCH("对"&amp;LEFT($C$5,2)&amp;"输出",标准坦克设计!$B$23:$U$23,0)))*(VLOOKUP($B232,INDIRECT($B$5&amp;"生成成长"),3))*(VLOOKUP($B$5,标准坦克设计!$B$14:$K$20,9)/30))</f>
        <v>5.51803538012659</v>
      </c>
      <c r="EY232" s="173">
        <f ca="1">(VLOOKUP(EY$72,INDIRECT($C$5&amp;"生成成长"),2))/((VLOOKUP($B232,INDIRECT($B$5&amp;"生成成长"),4))/(VLOOKUP(EY$72,INDIRECT($C$5&amp;"生成成长"),5))*(VLOOKUP($B$5,标准坦克设计!$B$24:$U$30,MATCH("对"&amp;LEFT($C$5,2)&amp;"输出",标准坦克设计!$B$23:$U$23,0)))*(VLOOKUP($B232,INDIRECT($B$5&amp;"生成成长"),3))*(VLOOKUP($B$5,标准坦克设计!$B$14:$K$20,9)/30))</f>
        <v>5.8978851812996096</v>
      </c>
      <c r="EZ232" s="173">
        <f ca="1">(VLOOKUP(EZ$72,INDIRECT($C$5&amp;"生成成长"),2))/((VLOOKUP($B232,INDIRECT($B$5&amp;"生成成长"),4))/(VLOOKUP(EZ$72,INDIRECT($C$5&amp;"生成成长"),5))*(VLOOKUP($B$5,标准坦克设计!$B$24:$U$30,MATCH("对"&amp;LEFT($C$5,2)&amp;"输出",标准坦克设计!$B$23:$U$23,0)))*(VLOOKUP($B232,INDIRECT($B$5&amp;"生成成长"),3))*(VLOOKUP($B$5,标准坦克设计!$B$14:$K$20,9)/30))</f>
        <v>6.2903774872015381</v>
      </c>
      <c r="FA232" s="173">
        <f ca="1">(VLOOKUP(FA$72,INDIRECT($C$5&amp;"生成成长"),2))/((VLOOKUP($B232,INDIRECT($B$5&amp;"生成成长"),4))/(VLOOKUP(FA$72,INDIRECT($C$5&amp;"生成成长"),5))*(VLOOKUP($B$5,标准坦克设计!$B$24:$U$30,MATCH("对"&amp;LEFT($C$5,2)&amp;"输出",标准坦克设计!$B$23:$U$23,0)))*(VLOOKUP($B232,INDIRECT($B$5&amp;"生成成长"),3))*(VLOOKUP($B$5,标准坦克设计!$B$14:$K$20,9)/30))</f>
        <v>6.6955122978323711</v>
      </c>
      <c r="FB232" s="173">
        <f ca="1">(VLOOKUP(FB$72,INDIRECT($C$5&amp;"生成成长"),2))/((VLOOKUP($B232,INDIRECT($B$5&amp;"生成成长"),4))/(VLOOKUP(FB$72,INDIRECT($C$5&amp;"生成成长"),5))*(VLOOKUP($B$5,标准坦克设计!$B$24:$U$30,MATCH("对"&amp;LEFT($C$5,2)&amp;"输出",标准坦克设计!$B$23:$U$23,0)))*(VLOOKUP($B232,INDIRECT($B$5&amp;"生成成长"),3))*(VLOOKUP($B$5,标准坦克设计!$B$14:$K$20,9)/30))</f>
        <v>7.1132896131921086</v>
      </c>
      <c r="FC232" s="173">
        <f ca="1">(VLOOKUP(FC$72,INDIRECT($C$5&amp;"生成成长"),2))/((VLOOKUP($B232,INDIRECT($B$5&amp;"生成成长"),4))/(VLOOKUP(FC$72,INDIRECT($C$5&amp;"生成成长"),5))*(VLOOKUP($B$5,标准坦克设计!$B$24:$U$30,MATCH("对"&amp;LEFT($C$5,2)&amp;"输出",标准坦克设计!$B$23:$U$23,0)))*(VLOOKUP($B232,INDIRECT($B$5&amp;"生成成长"),3))*(VLOOKUP($B$5,标准坦克设计!$B$14:$K$20,9)/30))</f>
        <v>7.5437094332807524</v>
      </c>
      <c r="FD232" s="173">
        <f ca="1">(VLOOKUP(FD$72,INDIRECT($C$5&amp;"生成成长"),2))/((VLOOKUP($B232,INDIRECT($B$5&amp;"生成成长"),4))/(VLOOKUP(FD$72,INDIRECT($C$5&amp;"生成成长"),5))*(VLOOKUP($B$5,标准坦克设计!$B$24:$U$30,MATCH("对"&amp;LEFT($C$5,2)&amp;"输出",标准坦克设计!$B$23:$U$23,0)))*(VLOOKUP($B232,INDIRECT($B$5&amp;"生成成长"),3))*(VLOOKUP($B$5,标准坦克设计!$B$14:$K$20,9)/30))</f>
        <v>7.9867717580983006</v>
      </c>
      <c r="FE232" s="173">
        <f ca="1">(VLOOKUP(FE$72,INDIRECT($C$5&amp;"生成成长"),2))/((VLOOKUP($B232,INDIRECT($B$5&amp;"生成成长"),4))/(VLOOKUP(FE$72,INDIRECT($C$5&amp;"生成成长"),5))*(VLOOKUP($B$5,标准坦克设计!$B$24:$U$30,MATCH("对"&amp;LEFT($C$5,2)&amp;"输出",标准坦克设计!$B$23:$U$23,0)))*(VLOOKUP($B232,INDIRECT($B$5&amp;"生成成长"),3))*(VLOOKUP($B$5,标准坦克设计!$B$14:$K$20,9)/30))</f>
        <v>8.5266902968306866</v>
      </c>
      <c r="FF232" s="173">
        <f ca="1">(VLOOKUP(FF$72,INDIRECT($C$5&amp;"生成成长"),2))/((VLOOKUP($B232,INDIRECT($B$5&amp;"生成成长"),4))/(VLOOKUP(FF$72,INDIRECT($C$5&amp;"生成成长"),5))*(VLOOKUP($B$5,标准坦克设计!$B$24:$U$30,MATCH("对"&amp;LEFT($C$5,2)&amp;"输出",标准坦克设计!$B$23:$U$23,0)))*(VLOOKUP($B232,INDIRECT($B$5&amp;"生成成长"),3))*(VLOOKUP($B$5,标准坦克设计!$B$14:$K$20,9)/30))</f>
        <v>9.0842665487794783</v>
      </c>
      <c r="FG232" s="173">
        <f ca="1">(VLOOKUP(FG$72,INDIRECT($C$5&amp;"生成成长"),2))/((VLOOKUP($B232,INDIRECT($B$5&amp;"生成成长"),4))/(VLOOKUP(FG$72,INDIRECT($C$5&amp;"生成成长"),5))*(VLOOKUP($B$5,标准坦克设计!$B$24:$U$30,MATCH("对"&amp;LEFT($C$5,2)&amp;"输出",标准坦克设计!$B$23:$U$23,0)))*(VLOOKUP($B232,INDIRECT($B$5&amp;"生成成长"),3))*(VLOOKUP($B$5,标准坦克设计!$B$14:$K$20,9)/30))</f>
        <v>9.6595005139446748</v>
      </c>
      <c r="FH232" s="173">
        <f ca="1">(VLOOKUP(FH$72,INDIRECT($C$5&amp;"生成成长"),2))/((VLOOKUP($B232,INDIRECT($B$5&amp;"生成成长"),4))/(VLOOKUP(FH$72,INDIRECT($C$5&amp;"生成成长"),5))*(VLOOKUP($B$5,标准坦克设计!$B$24:$U$30,MATCH("对"&amp;LEFT($C$5,2)&amp;"输出",标准坦克设计!$B$23:$U$23,0)))*(VLOOKUP($B232,INDIRECT($B$5&amp;"生成成长"),3))*(VLOOKUP($B$5,标准坦克设计!$B$14:$K$20,9)/30))</f>
        <v>10.252392192326276</v>
      </c>
      <c r="FI232" s="173">
        <f ca="1">(VLOOKUP(FI$72,INDIRECT($C$5&amp;"生成成长"),2))/((VLOOKUP($B232,INDIRECT($B$5&amp;"生成成长"),4))/(VLOOKUP(FI$72,INDIRECT($C$5&amp;"生成成长"),5))*(VLOOKUP($B$5,标准坦克设计!$B$24:$U$30,MATCH("对"&amp;LEFT($C$5,2)&amp;"输出",标准坦克设计!$B$23:$U$23,0)))*(VLOOKUP($B232,INDIRECT($B$5&amp;"生成成长"),3))*(VLOOKUP($B$5,标准坦克设计!$B$14:$K$20,9)/30))</f>
        <v>10.862941583924282</v>
      </c>
      <c r="FJ232" s="173">
        <f ca="1">(VLOOKUP(FJ$72,INDIRECT($C$5&amp;"生成成长"),2))/((VLOOKUP($B232,INDIRECT($B$5&amp;"生成成长"),4))/(VLOOKUP(FJ$72,INDIRECT($C$5&amp;"生成成长"),5))*(VLOOKUP($B$5,标准坦克设计!$B$24:$U$30,MATCH("对"&amp;LEFT($C$5,2)&amp;"输出",标准坦克设计!$B$23:$U$23,0)))*(VLOOKUP($B232,INDIRECT($B$5&amp;"生成成长"),3))*(VLOOKUP($B$5,标准坦克设计!$B$14:$K$20,9)/30))</f>
        <v>11.491148688738697</v>
      </c>
      <c r="FK232" s="173">
        <f ca="1">(VLOOKUP(FK$72,INDIRECT($C$5&amp;"生成成长"),2))/((VLOOKUP($B232,INDIRECT($B$5&amp;"生成成长"),4))/(VLOOKUP(FK$72,INDIRECT($C$5&amp;"生成成长"),5))*(VLOOKUP($B$5,标准坦克设计!$B$24:$U$30,MATCH("对"&amp;LEFT($C$5,2)&amp;"输出",标准坦克设计!$B$23:$U$23,0)))*(VLOOKUP($B232,INDIRECT($B$5&amp;"生成成长"),3))*(VLOOKUP($B$5,标准坦克设计!$B$14:$K$20,9)/30))</f>
        <v>12.13701350676951</v>
      </c>
    </row>
    <row r="233" spans="1:167" x14ac:dyDescent="0.15">
      <c r="A233" s="171" t="str">
        <f t="shared" si="13"/>
        <v>T5高品质17级</v>
      </c>
      <c r="B233" s="172">
        <v>30517</v>
      </c>
      <c r="C233" s="173">
        <f ca="1">(VLOOKUP(C$72,INDIRECT($C$5&amp;"生成成长"),2))/((VLOOKUP($B233,INDIRECT($B$5&amp;"生成成长"),4))/(VLOOKUP(C$72,INDIRECT($C$5&amp;"生成成长"),5))*(VLOOKUP($B$5,标准坦克设计!$B$24:$U$30,MATCH("对"&amp;LEFT($C$5,2)&amp;"输出",标准坦克设计!$B$23:$U$23,0)))*(VLOOKUP($B233,INDIRECT($B$5&amp;"生成成长"),3))*(VLOOKUP($B$5,标准坦克设计!$B$14:$K$20,9)/30))</f>
        <v>0.49037612990951657</v>
      </c>
      <c r="D233" s="173">
        <f ca="1">(VLOOKUP(D$72,INDIRECT($C$5&amp;"生成成长"),2))/((VLOOKUP($B233,INDIRECT($B$5&amp;"生成成长"),4))/(VLOOKUP(D$72,INDIRECT($C$5&amp;"生成成长"),5))*(VLOOKUP($B$5,标准坦克设计!$B$24:$U$30,MATCH("对"&amp;LEFT($C$5,2)&amp;"输出",标准坦克设计!$B$23:$U$23,0)))*(VLOOKUP($B233,INDIRECT($B$5&amp;"生成成长"),3))*(VLOOKUP($B$5,标准坦克设计!$B$14:$K$20,9)/30))</f>
        <v>0.55098661956633288</v>
      </c>
      <c r="E233" s="173">
        <f ca="1">(VLOOKUP(E$72,INDIRECT($C$5&amp;"生成成长"),2))/((VLOOKUP($B233,INDIRECT($B$5&amp;"生成成长"),4))/(VLOOKUP(E$72,INDIRECT($C$5&amp;"生成成长"),5))*(VLOOKUP($B$5,标准坦克设计!$B$24:$U$30,MATCH("对"&amp;LEFT($C$5,2)&amp;"输出",标准坦克设计!$B$23:$U$23,0)))*(VLOOKUP($B233,INDIRECT($B$5&amp;"生成成长"),3))*(VLOOKUP($B$5,标准坦克设计!$B$14:$K$20,9)/30))</f>
        <v>0.61512781735849764</v>
      </c>
      <c r="F233" s="173">
        <f ca="1">(VLOOKUP(F$72,INDIRECT($C$5&amp;"生成成长"),2))/((VLOOKUP($B233,INDIRECT($B$5&amp;"生成成长"),4))/(VLOOKUP(F$72,INDIRECT($C$5&amp;"生成成长"),5))*(VLOOKUP($B$5,标准坦克设计!$B$24:$U$30,MATCH("对"&amp;LEFT($C$5,2)&amp;"输出",标准坦克设计!$B$23:$U$23,0)))*(VLOOKUP($B233,INDIRECT($B$5&amp;"生成成长"),3))*(VLOOKUP($B$5,标准坦克设计!$B$14:$K$20,9)/30))</f>
        <v>0.68279972328601091</v>
      </c>
      <c r="G233" s="173">
        <f ca="1">(VLOOKUP(G$72,INDIRECT($C$5&amp;"生成成长"),2))/((VLOOKUP($B233,INDIRECT($B$5&amp;"生成成长"),4))/(VLOOKUP(G$72,INDIRECT($C$5&amp;"生成成长"),5))*(VLOOKUP($B$5,标准坦克设计!$B$24:$U$30,MATCH("对"&amp;LEFT($C$5,2)&amp;"输出",标准坦克设计!$B$23:$U$23,0)))*(VLOOKUP($B233,INDIRECT($B$5&amp;"生成成长"),3))*(VLOOKUP($B$5,标准坦克设计!$B$14:$K$20,9)/30))</f>
        <v>0.75400233734887268</v>
      </c>
      <c r="H233" s="173">
        <f ca="1">(VLOOKUP(H$72,INDIRECT($C$5&amp;"生成成长"),2))/((VLOOKUP($B233,INDIRECT($B$5&amp;"生成成长"),4))/(VLOOKUP(H$72,INDIRECT($C$5&amp;"生成成长"),5))*(VLOOKUP($B$5,标准坦克设计!$B$24:$U$30,MATCH("对"&amp;LEFT($C$5,2)&amp;"输出",标准坦克设计!$B$23:$U$23,0)))*(VLOOKUP($B233,INDIRECT($B$5&amp;"生成成长"),3))*(VLOOKUP($B$5,标准坦克设计!$B$14:$K$20,9)/30))</f>
        <v>0.65985012040624569</v>
      </c>
      <c r="I233" s="173">
        <f ca="1">(VLOOKUP(I$72,INDIRECT($C$5&amp;"生成成长"),2))/((VLOOKUP($B233,INDIRECT($B$5&amp;"生成成长"),4))/(VLOOKUP(I$72,INDIRECT($C$5&amp;"生成成长"),5))*(VLOOKUP($B$5,标准坦克设计!$B$24:$U$30,MATCH("对"&amp;LEFT($C$5,2)&amp;"输出",标准坦克设计!$B$23:$U$23,0)))*(VLOOKUP($B233,INDIRECT($B$5&amp;"生成成长"),3))*(VLOOKUP($B$5,标准坦克设计!$B$14:$K$20,9)/30))</f>
        <v>0.75400233734887268</v>
      </c>
      <c r="J233" s="173">
        <f ca="1">(VLOOKUP(J$72,INDIRECT($C$5&amp;"生成成长"),2))/((VLOOKUP($B233,INDIRECT($B$5&amp;"生成成长"),4))/(VLOOKUP(J$72,INDIRECT($C$5&amp;"生成成长"),5))*(VLOOKUP($B$5,标准坦克设计!$B$24:$U$30,MATCH("对"&amp;LEFT($C$5,2)&amp;"输出",标准坦克设计!$B$23:$U$23,0)))*(VLOOKUP($B233,INDIRECT($B$5&amp;"生成成长"),3))*(VLOOKUP($B$5,标准坦克设计!$B$14:$K$20,9)/30))</f>
        <v>0.85443136875434167</v>
      </c>
      <c r="K233" s="173">
        <f ca="1">(VLOOKUP(K$72,INDIRECT($C$5&amp;"生成成长"),2))/((VLOOKUP($B233,INDIRECT($B$5&amp;"生成成长"),4))/(VLOOKUP(K$72,INDIRECT($C$5&amp;"生成成长"),5))*(VLOOKUP($B$5,标准坦克设计!$B$24:$U$30,MATCH("对"&amp;LEFT($C$5,2)&amp;"输出",标准坦克设计!$B$23:$U$23,0)))*(VLOOKUP($B233,INDIRECT($B$5&amp;"生成成长"),3))*(VLOOKUP($B$5,标准坦克设计!$B$14:$K$20,9)/30))</f>
        <v>0.96113721462265256</v>
      </c>
      <c r="L233" s="173">
        <f ca="1">(VLOOKUP(L$72,INDIRECT($C$5&amp;"生成成长"),2))/((VLOOKUP($B233,INDIRECT($B$5&amp;"生成成长"),4))/(VLOOKUP(L$72,INDIRECT($C$5&amp;"生成成长"),5))*(VLOOKUP($B$5,标准坦克设计!$B$24:$U$30,MATCH("对"&amp;LEFT($C$5,2)&amp;"输出",标准坦克设计!$B$23:$U$23,0)))*(VLOOKUP($B233,INDIRECT($B$5&amp;"生成成长"),3))*(VLOOKUP($B$5,标准坦克设计!$B$14:$K$20,9)/30))</f>
        <v>1.0741198749538052</v>
      </c>
      <c r="M233" s="173">
        <f ca="1">(VLOOKUP(M$72,INDIRECT($C$5&amp;"生成成长"),2))/((VLOOKUP($B233,INDIRECT($B$5&amp;"生成成长"),4))/(VLOOKUP(M$72,INDIRECT($C$5&amp;"生成成长"),5))*(VLOOKUP($B$5,标准坦克设计!$B$24:$U$30,MATCH("对"&amp;LEFT($C$5,2)&amp;"输出",标准坦克设计!$B$23:$U$23,0)))*(VLOOKUP($B233,INDIRECT($B$5&amp;"生成成长"),3))*(VLOOKUP($B$5,标准坦克设计!$B$14:$K$20,9)/30))</f>
        <v>1.1933793497477994</v>
      </c>
      <c r="N233" s="173">
        <f ca="1">(VLOOKUP(N$72,INDIRECT($C$5&amp;"生成成长"),2))/((VLOOKUP($B233,INDIRECT($B$5&amp;"生成成长"),4))/(VLOOKUP(N$72,INDIRECT($C$5&amp;"生成成长"),5))*(VLOOKUP($B$5,标准坦克设计!$B$24:$U$30,MATCH("对"&amp;LEFT($C$5,2)&amp;"输出",标准坦克设计!$B$23:$U$23,0)))*(VLOOKUP($B233,INDIRECT($B$5&amp;"生成成长"),3))*(VLOOKUP($B$5,标准坦克设计!$B$14:$K$20,9)/30))</f>
        <v>1.3189156390046357</v>
      </c>
      <c r="O233" s="173">
        <f ca="1">(VLOOKUP(O$72,INDIRECT($C$5&amp;"生成成长"),2))/((VLOOKUP($B233,INDIRECT($B$5&amp;"生成成长"),4))/(VLOOKUP(O$72,INDIRECT($C$5&amp;"生成成长"),5))*(VLOOKUP($B$5,标准坦克设计!$B$24:$U$30,MATCH("对"&amp;LEFT($C$5,2)&amp;"输出",标准坦克设计!$B$23:$U$23,0)))*(VLOOKUP($B233,INDIRECT($B$5&amp;"生成成长"),3))*(VLOOKUP($B$5,标准坦克设计!$B$14:$K$20,9)/30))</f>
        <v>1.0027701480519704</v>
      </c>
      <c r="P233" s="173">
        <f ca="1">(VLOOKUP(P$72,INDIRECT($C$5&amp;"生成成长"),2))/((VLOOKUP($B233,INDIRECT($B$5&amp;"生成成长"),4))/(VLOOKUP(P$72,INDIRECT($C$5&amp;"生成成长"),5))*(VLOOKUP($B$5,标准坦克设计!$B$24:$U$30,MATCH("对"&amp;LEFT($C$5,2)&amp;"输出",标准坦克设计!$B$23:$U$23,0)))*(VLOOKUP($B233,INDIRECT($B$5&amp;"生成成长"),3))*(VLOOKUP($B$5,标准坦克设计!$B$14:$K$20,9)/30))</f>
        <v>1.1329650105429472</v>
      </c>
      <c r="Q233" s="173">
        <f ca="1">(VLOOKUP(Q$72,INDIRECT($C$5&amp;"生成成长"),2))/((VLOOKUP($B233,INDIRECT($B$5&amp;"生成成长"),4))/(VLOOKUP(Q$72,INDIRECT($C$5&amp;"生成成长"),5))*(VLOOKUP($B$5,标准坦克设计!$B$24:$U$30,MATCH("对"&amp;LEFT($C$5,2)&amp;"输出",标准坦克设计!$B$23:$U$23,0)))*(VLOOKUP($B233,INDIRECT($B$5&amp;"生成成长"),3))*(VLOOKUP($B$5,标准坦克设计!$B$14:$K$20,9)/30))</f>
        <v>1.2711039663384578</v>
      </c>
      <c r="R233" s="173">
        <f ca="1">(VLOOKUP(R$72,INDIRECT($C$5&amp;"生成成长"),2))/((VLOOKUP($B233,INDIRECT($B$5&amp;"生成成长"),4))/(VLOOKUP(R$72,INDIRECT($C$5&amp;"生成成长"),5))*(VLOOKUP($B$5,标准坦克设计!$B$24:$U$30,MATCH("对"&amp;LEFT($C$5,2)&amp;"输出",标准坦克设计!$B$23:$U$23,0)))*(VLOOKUP($B233,INDIRECT($B$5&amp;"生成成长"),3))*(VLOOKUP($B$5,标准坦克设计!$B$14:$K$20,9)/30))</f>
        <v>1.4171870154385029</v>
      </c>
      <c r="S233" s="173">
        <f ca="1">(VLOOKUP(S$72,INDIRECT($C$5&amp;"生成成长"),2))/((VLOOKUP($B233,INDIRECT($B$5&amp;"生成成长"),4))/(VLOOKUP(S$72,INDIRECT($C$5&amp;"生成成长"),5))*(VLOOKUP($B$5,标准坦克设计!$B$24:$U$30,MATCH("对"&amp;LEFT($C$5,2)&amp;"输出",标准坦克设计!$B$23:$U$23,0)))*(VLOOKUP($B233,INDIRECT($B$5&amp;"生成成长"),3))*(VLOOKUP($B$5,标准坦克设计!$B$14:$K$20,9)/30))</f>
        <v>1.571214157843082</v>
      </c>
      <c r="T233" s="173">
        <f ca="1">(VLOOKUP(T$72,INDIRECT($C$5&amp;"生成成长"),2))/((VLOOKUP($B233,INDIRECT($B$5&amp;"生成成长"),4))/(VLOOKUP(T$72,INDIRECT($C$5&amp;"生成成长"),5))*(VLOOKUP($B$5,标准坦克设计!$B$24:$U$30,MATCH("对"&amp;LEFT($C$5,2)&amp;"输出",标准坦克设计!$B$23:$U$23,0)))*(VLOOKUP($B233,INDIRECT($B$5&amp;"生成成长"),3))*(VLOOKUP($B$5,标准坦克设计!$B$14:$K$20,9)/30))</f>
        <v>1.7331853935521955</v>
      </c>
      <c r="U233" s="173">
        <f ca="1">(VLOOKUP(U$72,INDIRECT($C$5&amp;"生成成长"),2))/((VLOOKUP($B233,INDIRECT($B$5&amp;"生成成长"),4))/(VLOOKUP(U$72,INDIRECT($C$5&amp;"生成成长"),5))*(VLOOKUP($B$5,标准坦克设计!$B$24:$U$30,MATCH("对"&amp;LEFT($C$5,2)&amp;"输出",标准坦克设计!$B$23:$U$23,0)))*(VLOOKUP($B233,INDIRECT($B$5&amp;"生成成长"),3))*(VLOOKUP($B$5,标准坦克设计!$B$14:$K$20,9)/30))</f>
        <v>1.9031007225658427</v>
      </c>
      <c r="V233" s="173">
        <f ca="1">(VLOOKUP(V$72,INDIRECT($C$5&amp;"生成成长"),2))/((VLOOKUP($B233,INDIRECT($B$5&amp;"生成成长"),4))/(VLOOKUP(V$72,INDIRECT($C$5&amp;"生成成长"),5))*(VLOOKUP($B$5,标准坦克设计!$B$24:$U$30,MATCH("对"&amp;LEFT($C$5,2)&amp;"输出",标准坦克设计!$B$23:$U$23,0)))*(VLOOKUP($B233,INDIRECT($B$5&amp;"生成成长"),3))*(VLOOKUP($B$5,标准坦克设计!$B$14:$K$20,9)/30))</f>
        <v>2.0809601448840245</v>
      </c>
      <c r="W233" s="173">
        <f ca="1">(VLOOKUP(W$72,INDIRECT($C$5&amp;"生成成长"),2))/((VLOOKUP($B233,INDIRECT($B$5&amp;"生成成长"),4))/(VLOOKUP(W$72,INDIRECT($C$5&amp;"生成成长"),5))*(VLOOKUP($B$5,标准坦克设计!$B$24:$U$30,MATCH("对"&amp;LEFT($C$5,2)&amp;"输出",标准坦克设计!$B$23:$U$23,0)))*(VLOOKUP($B233,INDIRECT($B$5&amp;"生成成长"),3))*(VLOOKUP($B$5,标准坦克设计!$B$14:$K$20,9)/30))</f>
        <v>2.2667636605067405</v>
      </c>
      <c r="X233" s="173">
        <f ca="1">(VLOOKUP(X$72,INDIRECT($C$5&amp;"生成成长"),2))/((VLOOKUP($B233,INDIRECT($B$5&amp;"生成成长"),4))/(VLOOKUP(X$72,INDIRECT($C$5&amp;"生成成长"),5))*(VLOOKUP($B$5,标准坦克设计!$B$24:$U$30,MATCH("对"&amp;LEFT($C$5,2)&amp;"输出",标准坦克设计!$B$23:$U$23,0)))*(VLOOKUP($B233,INDIRECT($B$5&amp;"生成成长"),3))*(VLOOKUP($B$5,标准坦克设计!$B$14:$K$20,9)/30))</f>
        <v>1.6422206214539798</v>
      </c>
      <c r="Y233" s="173">
        <f ca="1">(VLOOKUP(Y$72,INDIRECT($C$5&amp;"生成成长"),2))/((VLOOKUP($B233,INDIRECT($B$5&amp;"生成成长"),4))/(VLOOKUP(Y$72,INDIRECT($C$5&amp;"生成成长"),5))*(VLOOKUP($B$5,标准坦克设计!$B$24:$U$30,MATCH("对"&amp;LEFT($C$5,2)&amp;"输出",标准坦克设计!$B$23:$U$23,0)))*(VLOOKUP($B233,INDIRECT($B$5&amp;"生成成长"),3))*(VLOOKUP($B$5,标准坦克设计!$B$14:$K$20,9)/30))</f>
        <v>1.8266020462999584</v>
      </c>
      <c r="Z233" s="173">
        <f ca="1">(VLOOKUP(Z$72,INDIRECT($C$5&amp;"生成成长"),2))/((VLOOKUP($B233,INDIRECT($B$5&amp;"生成成长"),4))/(VLOOKUP(Z$72,INDIRECT($C$5&amp;"生成成长"),5))*(VLOOKUP($B$5,标准坦克设计!$B$24:$U$30,MATCH("对"&amp;LEFT($C$5,2)&amp;"输出",标准坦克设计!$B$23:$U$23,0)))*(VLOOKUP($B233,INDIRECT($B$5&amp;"生成成长"),3))*(VLOOKUP($B$5,标准坦克设计!$B$14:$K$20,9)/30))</f>
        <v>2.0207909937441273</v>
      </c>
      <c r="AA233" s="173">
        <f ca="1">(VLOOKUP(AA$72,INDIRECT($C$5&amp;"生成成长"),2))/((VLOOKUP($B233,INDIRECT($B$5&amp;"生成成长"),4))/(VLOOKUP(AA$72,INDIRECT($C$5&amp;"生成成长"),5))*(VLOOKUP($B$5,标准坦克设计!$B$24:$U$30,MATCH("对"&amp;LEFT($C$5,2)&amp;"输出",标准坦克设计!$B$23:$U$23,0)))*(VLOOKUP($B233,INDIRECT($B$5&amp;"生成成长"),3))*(VLOOKUP($B$5,标准坦克设计!$B$14:$K$20,9)/30))</f>
        <v>2.2247874637864862</v>
      </c>
      <c r="AB233" s="173">
        <f ca="1">(VLOOKUP(AB$72,INDIRECT($C$5&amp;"生成成长"),2))/((VLOOKUP($B233,INDIRECT($B$5&amp;"生成成长"),4))/(VLOOKUP(AB$72,INDIRECT($C$5&amp;"生成成长"),5))*(VLOOKUP($B$5,标准坦克设计!$B$24:$U$30,MATCH("对"&amp;LEFT($C$5,2)&amp;"输出",标准坦克设计!$B$23:$U$23,0)))*(VLOOKUP($B233,INDIRECT($B$5&amp;"生成成长"),3))*(VLOOKUP($B$5,标准坦克设计!$B$14:$K$20,9)/30))</f>
        <v>2.438591456427035</v>
      </c>
      <c r="AC233" s="173">
        <f ca="1">(VLOOKUP(AC$72,INDIRECT($C$5&amp;"生成成长"),2))/((VLOOKUP($B233,INDIRECT($B$5&amp;"生成成长"),4))/(VLOOKUP(AC$72,INDIRECT($C$5&amp;"生成成长"),5))*(VLOOKUP($B$5,标准坦克设计!$B$24:$U$30,MATCH("对"&amp;LEFT($C$5,2)&amp;"输出",标准坦克设计!$B$23:$U$23,0)))*(VLOOKUP($B233,INDIRECT($B$5&amp;"生成成长"),3))*(VLOOKUP($B$5,标准坦克设计!$B$14:$K$20,9)/30))</f>
        <v>2.6622029716657747</v>
      </c>
      <c r="AD233" s="173">
        <f ca="1">(VLOOKUP(AD$72,INDIRECT($C$5&amp;"生成成长"),2))/((VLOOKUP($B233,INDIRECT($B$5&amp;"生成成长"),4))/(VLOOKUP(AD$72,INDIRECT($C$5&amp;"生成成长"),5))*(VLOOKUP($B$5,标准坦克设计!$B$24:$U$30,MATCH("对"&amp;LEFT($C$5,2)&amp;"输出",标准坦克设计!$B$23:$U$23,0)))*(VLOOKUP($B233,INDIRECT($B$5&amp;"生成成长"),3))*(VLOOKUP($B$5,标准坦克设计!$B$14:$K$20,9)/30))</f>
        <v>2.8956220095027043</v>
      </c>
      <c r="AE233" s="173">
        <f ca="1">(VLOOKUP(AE$72,INDIRECT($C$5&amp;"生成成长"),2))/((VLOOKUP($B233,INDIRECT($B$5&amp;"生成成长"),4))/(VLOOKUP(AE$72,INDIRECT($C$5&amp;"生成成长"),5))*(VLOOKUP($B$5,标准坦克设计!$B$24:$U$30,MATCH("对"&amp;LEFT($C$5,2)&amp;"输出",标准坦克设计!$B$23:$U$23,0)))*(VLOOKUP($B233,INDIRECT($B$5&amp;"生成成长"),3))*(VLOOKUP($B$5,标准坦克设计!$B$14:$K$20,9)/30))</f>
        <v>3.1388485699378244</v>
      </c>
      <c r="AF233" s="173">
        <f ca="1">(VLOOKUP(AF$72,INDIRECT($C$5&amp;"生成成长"),2))/((VLOOKUP($B233,INDIRECT($B$5&amp;"生成成长"),4))/(VLOOKUP(AF$72,INDIRECT($C$5&amp;"生成成长"),5))*(VLOOKUP($B$5,标准坦克设计!$B$24:$U$30,MATCH("对"&amp;LEFT($C$5,2)&amp;"输出",标准坦克设计!$B$23:$U$23,0)))*(VLOOKUP($B233,INDIRECT($B$5&amp;"生成成长"),3))*(VLOOKUP($B$5,标准坦克设计!$B$14:$K$20,9)/30))</f>
        <v>3.3918826529711348</v>
      </c>
      <c r="AG233" s="173">
        <f ca="1">(VLOOKUP(AG$72,INDIRECT($C$5&amp;"生成成长"),2))/((VLOOKUP($B233,INDIRECT($B$5&amp;"生成成长"),4))/(VLOOKUP(AG$72,INDIRECT($C$5&amp;"生成成长"),5))*(VLOOKUP($B$5,标准坦克设计!$B$24:$U$30,MATCH("对"&amp;LEFT($C$5,2)&amp;"输出",标准坦克设计!$B$23:$U$23,0)))*(VLOOKUP($B233,INDIRECT($B$5&amp;"生成成长"),3))*(VLOOKUP($B$5,标准坦克设计!$B$14:$K$20,9)/30))</f>
        <v>3.6547242586026365</v>
      </c>
      <c r="AH233" s="173">
        <f ca="1">(VLOOKUP(AH$72,INDIRECT($C$5&amp;"生成成长"),2))/((VLOOKUP($B233,INDIRECT($B$5&amp;"生成成长"),4))/(VLOOKUP(AH$72,INDIRECT($C$5&amp;"生成成长"),5))*(VLOOKUP($B$5,标准坦克设计!$B$24:$U$30,MATCH("对"&amp;LEFT($C$5,2)&amp;"输出",标准坦克设计!$B$23:$U$23,0)))*(VLOOKUP($B233,INDIRECT($B$5&amp;"生成成长"),3))*(VLOOKUP($B$5,标准坦克设计!$B$14:$K$20,9)/30))</f>
        <v>3.9273733868323273</v>
      </c>
      <c r="AI233" s="173">
        <f ca="1">(VLOOKUP(AI$72,INDIRECT($C$5&amp;"生成成长"),2))/((VLOOKUP($B233,INDIRECT($B$5&amp;"生成成长"),4))/(VLOOKUP(AI$72,INDIRECT($C$5&amp;"生成成长"),5))*(VLOOKUP($B$5,标准坦克设计!$B$24:$U$30,MATCH("对"&amp;LEFT($C$5,2)&amp;"输出",标准坦克设计!$B$23:$U$23,0)))*(VLOOKUP($B233,INDIRECT($B$5&amp;"生成成长"),3))*(VLOOKUP($B$5,标准坦克设计!$B$14:$K$20,9)/30))</f>
        <v>2.7776865502594656</v>
      </c>
      <c r="AJ233" s="173">
        <f ca="1">(VLOOKUP(AJ$72,INDIRECT($C$5&amp;"生成成长"),2))/((VLOOKUP($B233,INDIRECT($B$5&amp;"生成成长"),4))/(VLOOKUP(AJ$72,INDIRECT($C$5&amp;"生成成长"),5))*(VLOOKUP($B$5,标准坦克设计!$B$24:$U$30,MATCH("对"&amp;LEFT($C$5,2)&amp;"输出",标准坦克设计!$B$23:$U$23,0)))*(VLOOKUP($B233,INDIRECT($B$5&amp;"生成成长"),3))*(VLOOKUP($B$5,标准坦克设计!$B$14:$K$20,9)/30))</f>
        <v>3.0403810430519944</v>
      </c>
      <c r="AK233" s="173">
        <f ca="1">(VLOOKUP(AK$72,INDIRECT($C$5&amp;"生成成长"),2))/((VLOOKUP($B233,INDIRECT($B$5&amp;"生成成长"),4))/(VLOOKUP(AK$72,INDIRECT($C$5&amp;"生成成长"),5))*(VLOOKUP($B$5,标准坦克设计!$B$24:$U$30,MATCH("对"&amp;LEFT($C$5,2)&amp;"输出",标准坦克设计!$B$23:$U$23,0)))*(VLOOKUP($B233,INDIRECT($B$5&amp;"生成成长"),3))*(VLOOKUP($B$5,标准坦克设计!$B$14:$K$20,9)/30))</f>
        <v>3.3149426381883322</v>
      </c>
      <c r="AL233" s="173">
        <f ca="1">(VLOOKUP(AL$72,INDIRECT($C$5&amp;"生成成长"),2))/((VLOOKUP($B233,INDIRECT($B$5&amp;"生成成长"),4))/(VLOOKUP(AL$72,INDIRECT($C$5&amp;"生成成长"),5))*(VLOOKUP($B$5,标准坦克设计!$B$24:$U$30,MATCH("对"&amp;LEFT($C$5,2)&amp;"输出",标准坦克设计!$B$23:$U$23,0)))*(VLOOKUP($B233,INDIRECT($B$5&amp;"生成成长"),3))*(VLOOKUP($B$5,标准坦克设计!$B$14:$K$20,9)/30))</f>
        <v>3.60137133566848</v>
      </c>
      <c r="AM233" s="173">
        <f ca="1">(VLOOKUP(AM$72,INDIRECT($C$5&amp;"生成成长"),2))/((VLOOKUP($B233,INDIRECT($B$5&amp;"生成成长"),4))/(VLOOKUP(AM$72,INDIRECT($C$5&amp;"生成成长"),5))*(VLOOKUP($B$5,标准坦克设计!$B$24:$U$30,MATCH("对"&amp;LEFT($C$5,2)&amp;"输出",标准坦克设计!$B$23:$U$23,0)))*(VLOOKUP($B233,INDIRECT($B$5&amp;"生成成长"),3))*(VLOOKUP($B$5,标准坦克设计!$B$14:$K$20,9)/30))</f>
        <v>3.8996671354924395</v>
      </c>
      <c r="AN233" s="173">
        <f ca="1">(VLOOKUP(AN$72,INDIRECT($C$5&amp;"生成成长"),2))/((VLOOKUP($B233,INDIRECT($B$5&amp;"生成成长"),4))/(VLOOKUP(AN$72,INDIRECT($C$5&amp;"生成成长"),5))*(VLOOKUP($B$5,标准坦克设计!$B$24:$U$30,MATCH("对"&amp;LEFT($C$5,2)&amp;"输出",标准坦克设计!$B$23:$U$23,0)))*(VLOOKUP($B233,INDIRECT($B$5&amp;"生成成长"),3))*(VLOOKUP($B$5,标准坦克设计!$B$14:$K$20,9)/30))</f>
        <v>4.2098300376602076</v>
      </c>
      <c r="AO233" s="173">
        <f ca="1">(VLOOKUP(AO$72,INDIRECT($C$5&amp;"生成成长"),2))/((VLOOKUP($B233,INDIRECT($B$5&amp;"生成成长"),4))/(VLOOKUP(AO$72,INDIRECT($C$5&amp;"生成成长"),5))*(VLOOKUP($B$5,标准坦克设计!$B$24:$U$30,MATCH("对"&amp;LEFT($C$5,2)&amp;"输出",标准坦克设计!$B$23:$U$23,0)))*(VLOOKUP($B233,INDIRECT($B$5&amp;"生成成长"),3))*(VLOOKUP($B$5,标准坦克设计!$B$14:$K$20,9)/30))</f>
        <v>4.5318600421717887</v>
      </c>
      <c r="AP233" s="173">
        <f ca="1">(VLOOKUP(AP$72,INDIRECT($C$5&amp;"生成成长"),2))/((VLOOKUP($B233,INDIRECT($B$5&amp;"生成成长"),4))/(VLOOKUP(AP$72,INDIRECT($C$5&amp;"生成成长"),5))*(VLOOKUP($B$5,标准坦克设计!$B$24:$U$30,MATCH("对"&amp;LEFT($C$5,2)&amp;"输出",标准坦克设计!$B$23:$U$23,0)))*(VLOOKUP($B233,INDIRECT($B$5&amp;"生成成长"),3))*(VLOOKUP($B$5,标准坦克设计!$B$14:$K$20,9)/30))</f>
        <v>4.8657571490271785</v>
      </c>
      <c r="AQ233" s="173">
        <f ca="1">(VLOOKUP(AQ$72,INDIRECT($C$5&amp;"生成成长"),2))/((VLOOKUP($B233,INDIRECT($B$5&amp;"生成成长"),4))/(VLOOKUP(AQ$72,INDIRECT($C$5&amp;"生成成长"),5))*(VLOOKUP($B$5,标准坦克设计!$B$24:$U$30,MATCH("对"&amp;LEFT($C$5,2)&amp;"输出",标准坦克设计!$B$23:$U$23,0)))*(VLOOKUP($B233,INDIRECT($B$5&amp;"生成成长"),3))*(VLOOKUP($B$5,标准坦克设计!$B$14:$K$20,9)/30))</f>
        <v>5.2115213582263786</v>
      </c>
      <c r="AR233" s="173">
        <f ca="1">(VLOOKUP(AR$72,INDIRECT($C$5&amp;"生成成长"),2))/((VLOOKUP($B233,INDIRECT($B$5&amp;"生成成长"),4))/(VLOOKUP(AR$72,INDIRECT($C$5&amp;"生成成长"),5))*(VLOOKUP($B$5,标准坦克设计!$B$24:$U$30,MATCH("对"&amp;LEFT($C$5,2)&amp;"输出",标准坦克设计!$B$23:$U$23,0)))*(VLOOKUP($B233,INDIRECT($B$5&amp;"生成成长"),3))*(VLOOKUP($B$5,标准坦克设计!$B$14:$K$20,9)/30))</f>
        <v>5.5691526697693883</v>
      </c>
      <c r="AS233" s="173">
        <f ca="1">(VLOOKUP(AS$72,INDIRECT($C$5&amp;"生成成长"),2))/((VLOOKUP($B233,INDIRECT($B$5&amp;"生成成长"),4))/(VLOOKUP(AS$72,INDIRECT($C$5&amp;"生成成长"),5))*(VLOOKUP($B$5,标准坦克设计!$B$24:$U$30,MATCH("对"&amp;LEFT($C$5,2)&amp;"输出",标准坦克设计!$B$23:$U$23,0)))*(VLOOKUP($B233,INDIRECT($B$5&amp;"生成成长"),3))*(VLOOKUP($B$5,标准坦克设计!$B$14:$K$20,9)/30))</f>
        <v>5.9386510836562101</v>
      </c>
      <c r="AT233" s="173">
        <f ca="1">(VLOOKUP(AT$72,INDIRECT($C$5&amp;"生成成长"),2))/((VLOOKUP($B233,INDIRECT($B$5&amp;"生成成长"),4))/(VLOOKUP(AT$72,INDIRECT($C$5&amp;"生成成长"),5))*(VLOOKUP($B$5,标准坦克设计!$B$24:$U$30,MATCH("对"&amp;LEFT($C$5,2)&amp;"输出",标准坦克设计!$B$23:$U$23,0)))*(VLOOKUP($B233,INDIRECT($B$5&amp;"生成成长"),3))*(VLOOKUP($B$5,标准坦克设计!$B$14:$K$20,9)/30))</f>
        <v>6.3200165998868414</v>
      </c>
      <c r="AU233" s="173">
        <f ca="1">(VLOOKUP(AU$72,INDIRECT($C$5&amp;"生成成长"),2))/((VLOOKUP($B233,INDIRECT($B$5&amp;"生成成长"),4))/(VLOOKUP(AU$72,INDIRECT($C$5&amp;"生成成长"),5))*(VLOOKUP($B$5,标准坦克设计!$B$24:$U$30,MATCH("对"&amp;LEFT($C$5,2)&amp;"输出",标准坦克设计!$B$23:$U$23,0)))*(VLOOKUP($B233,INDIRECT($B$5&amp;"生成成长"),3))*(VLOOKUP($B$5,标准坦克设计!$B$14:$K$20,9)/30))</f>
        <v>6.7132492184612822</v>
      </c>
      <c r="AV233" s="173">
        <f ca="1">(VLOOKUP(AV$72,INDIRECT($C$5&amp;"生成成长"),2))/((VLOOKUP($B233,INDIRECT($B$5&amp;"生成成长"),4))/(VLOOKUP(AV$72,INDIRECT($C$5&amp;"生成成长"),5))*(VLOOKUP($B$5,标准坦克设计!$B$24:$U$30,MATCH("对"&amp;LEFT($C$5,2)&amp;"输出",标准坦克设计!$B$23:$U$23,0)))*(VLOOKUP($B233,INDIRECT($B$5&amp;"生成成长"),3))*(VLOOKUP($B$5,标准坦克设计!$B$14:$K$20,9)/30))</f>
        <v>0.68279972328601091</v>
      </c>
      <c r="AW233" s="173">
        <f ca="1">(VLOOKUP(AW$72,INDIRECT($C$5&amp;"生成成长"),2))/((VLOOKUP($B233,INDIRECT($B$5&amp;"生成成长"),4))/(VLOOKUP(AW$72,INDIRECT($C$5&amp;"生成成长"),5))*(VLOOKUP($B$5,标准坦克设计!$B$24:$U$30,MATCH("对"&amp;LEFT($C$5,2)&amp;"输出",标准坦克设计!$B$23:$U$23,0)))*(VLOOKUP($B233,INDIRECT($B$5&amp;"生成成长"),3))*(VLOOKUP($B$5,标准坦克设计!$B$14:$K$20,9)/30))</f>
        <v>0.77852114384434856</v>
      </c>
      <c r="AX233" s="173">
        <f ca="1">(VLOOKUP(AX$72,INDIRECT($C$5&amp;"生成成长"),2))/((VLOOKUP($B233,INDIRECT($B$5&amp;"生成成长"),4))/(VLOOKUP(AX$72,INDIRECT($C$5&amp;"生成成长"),5))*(VLOOKUP($B$5,标准坦克设计!$B$24:$U$30,MATCH("对"&amp;LEFT($C$5,2)&amp;"输出",标准坦克设计!$B$23:$U$23,0)))*(VLOOKUP($B233,INDIRECT($B$5&amp;"生成成长"),3))*(VLOOKUP($B$5,标准坦克设计!$B$14:$K$20,9)/30))</f>
        <v>0.880519378865528</v>
      </c>
      <c r="AY233" s="173">
        <f ca="1">(VLOOKUP(AY$72,INDIRECT($C$5&amp;"生成成长"),2))/((VLOOKUP($B233,INDIRECT($B$5&amp;"生成成长"),4))/(VLOOKUP(AY$72,INDIRECT($C$5&amp;"生成成长"),5))*(VLOOKUP($B$5,标准坦克设计!$B$24:$U$30,MATCH("对"&amp;LEFT($C$5,2)&amp;"输出",标准坦克设计!$B$23:$U$23,0)))*(VLOOKUP($B233,INDIRECT($B$5&amp;"生成成长"),3))*(VLOOKUP($B$5,标准坦克设计!$B$14:$K$20,9)/30))</f>
        <v>0.98879442834954934</v>
      </c>
      <c r="AZ233" s="173">
        <f ca="1">(VLOOKUP(AZ$72,INDIRECT($C$5&amp;"生成成长"),2))/((VLOOKUP($B233,INDIRECT($B$5&amp;"生成成长"),4))/(VLOOKUP(AZ$72,INDIRECT($C$5&amp;"生成成长"),5))*(VLOOKUP($B$5,标准坦克设计!$B$24:$U$30,MATCH("对"&amp;LEFT($C$5,2)&amp;"输出",标准坦克设计!$B$23:$U$23,0)))*(VLOOKUP($B233,INDIRECT($B$5&amp;"生成成长"),3))*(VLOOKUP($B$5,标准坦克设计!$B$14:$K$20,9)/30))</f>
        <v>1.1033462922964123</v>
      </c>
      <c r="BA233" s="173">
        <f ca="1">(VLOOKUP(BA$72,INDIRECT($C$5&amp;"生成成长"),2))/((VLOOKUP($B233,INDIRECT($B$5&amp;"生成成长"),4))/(VLOOKUP(BA$72,INDIRECT($C$5&amp;"生成成长"),5))*(VLOOKUP($B$5,标准坦克设计!$B$24:$U$30,MATCH("对"&amp;LEFT($C$5,2)&amp;"输出",标准坦克设计!$B$23:$U$23,0)))*(VLOOKUP($B233,INDIRECT($B$5&amp;"生成成长"),3))*(VLOOKUP($B$5,标准坦克设计!$B$14:$K$20,9)/30))</f>
        <v>1.2241749707061171</v>
      </c>
      <c r="BB233" s="173">
        <f ca="1">(VLOOKUP(BB$72,INDIRECT($C$5&amp;"生成成长"),2))/((VLOOKUP($B233,INDIRECT($B$5&amp;"生成成长"),4))/(VLOOKUP(BB$72,INDIRECT($C$5&amp;"生成成长"),5))*(VLOOKUP($B$5,标准坦克设计!$B$24:$U$30,MATCH("对"&amp;LEFT($C$5,2)&amp;"输出",标准坦克设计!$B$23:$U$23,0)))*(VLOOKUP($B233,INDIRECT($B$5&amp;"生成成长"),3))*(VLOOKUP($B$5,标准坦克设计!$B$14:$K$20,9)/30))</f>
        <v>1.3512804635786642</v>
      </c>
      <c r="BC233" s="173">
        <f ca="1">(VLOOKUP(BC$72,INDIRECT($C$5&amp;"生成成长"),2))/((VLOOKUP($B233,INDIRECT($B$5&amp;"生成成长"),4))/(VLOOKUP(BC$72,INDIRECT($C$5&amp;"生成成长"),5))*(VLOOKUP($B$5,标准坦克设计!$B$24:$U$30,MATCH("对"&amp;LEFT($C$5,2)&amp;"输出",标准坦克设计!$B$23:$U$23,0)))*(VLOOKUP($B233,INDIRECT($B$5&amp;"生成成长"),3))*(VLOOKUP($B$5,标准坦克设计!$B$14:$K$20,9)/30))</f>
        <v>1.4846627709140525</v>
      </c>
      <c r="BD233" s="173">
        <f ca="1">(VLOOKUP(BD$72,INDIRECT($C$5&amp;"生成成长"),2))/((VLOOKUP($B233,INDIRECT($B$5&amp;"生成成长"),4))/(VLOOKUP(BD$72,INDIRECT($C$5&amp;"生成成长"),5))*(VLOOKUP($B$5,标准坦克设计!$B$24:$U$30,MATCH("对"&amp;LEFT($C$5,2)&amp;"输出",标准坦克设计!$B$23:$U$23,0)))*(VLOOKUP($B233,INDIRECT($B$5&amp;"生成成长"),3))*(VLOOKUP($B$5,标准坦克设计!$B$14:$K$20,9)/30))</f>
        <v>1.6422206214539798</v>
      </c>
      <c r="BE233" s="173">
        <f ca="1">(VLOOKUP(BE$72,INDIRECT($C$5&amp;"生成成长"),2))/((VLOOKUP($B233,INDIRECT($B$5&amp;"生成成长"),4))/(VLOOKUP(BE$72,INDIRECT($C$5&amp;"生成成长"),5))*(VLOOKUP($B$5,标准坦克设计!$B$24:$U$30,MATCH("对"&amp;LEFT($C$5,2)&amp;"输出",标准坦克设计!$B$23:$U$23,0)))*(VLOOKUP($B233,INDIRECT($B$5&amp;"生成成长"),3))*(VLOOKUP($B$5,标准坦克设计!$B$14:$K$20,9)/30))</f>
        <v>1.8077225652984419</v>
      </c>
      <c r="BF233" s="173">
        <f ca="1">(VLOOKUP(BF$72,INDIRECT($C$5&amp;"生成成长"),2))/((VLOOKUP($B233,INDIRECT($B$5&amp;"生成成长"),4))/(VLOOKUP(BF$72,INDIRECT($C$5&amp;"生成成长"),5))*(VLOOKUP($B$5,标准坦克设计!$B$24:$U$30,MATCH("对"&amp;LEFT($C$5,2)&amp;"输出",标准坦克设计!$B$23:$U$23,0)))*(VLOOKUP($B233,INDIRECT($B$5&amp;"生成成长"),3))*(VLOOKUP($B$5,标准坦克设计!$B$14:$K$20,9)/30))</f>
        <v>1.9811686024474382</v>
      </c>
      <c r="BG233" s="173">
        <f ca="1">(VLOOKUP(BG$72,INDIRECT($C$5&amp;"生成成长"),2))/((VLOOKUP($B233,INDIRECT($B$5&amp;"生成成长"),4))/(VLOOKUP(BG$72,INDIRECT($C$5&amp;"生成成长"),5))*(VLOOKUP($B$5,标准坦克设计!$B$24:$U$30,MATCH("对"&amp;LEFT($C$5,2)&amp;"输出",标准坦克设计!$B$23:$U$23,0)))*(VLOOKUP($B233,INDIRECT($B$5&amp;"生成成长"),3))*(VLOOKUP($B$5,标准坦克设计!$B$14:$K$20,9)/30))</f>
        <v>2.1625587329009686</v>
      </c>
      <c r="BH233" s="173">
        <f ca="1">(VLOOKUP(BH$72,INDIRECT($C$5&amp;"生成成长"),2))/((VLOOKUP($B233,INDIRECT($B$5&amp;"生成成长"),4))/(VLOOKUP(BH$72,INDIRECT($C$5&amp;"生成成长"),5))*(VLOOKUP($B$5,标准坦克设计!$B$24:$U$30,MATCH("对"&amp;LEFT($C$5,2)&amp;"输出",标准坦克设计!$B$23:$U$23,0)))*(VLOOKUP($B233,INDIRECT($B$5&amp;"生成成长"),3))*(VLOOKUP($B$5,标准坦克设计!$B$14:$K$20,9)/30))</f>
        <v>1.0452857585151256</v>
      </c>
      <c r="BI233" s="173">
        <f ca="1">(VLOOKUP(BI$72,INDIRECT($C$5&amp;"生成成长"),2))/((VLOOKUP($B233,INDIRECT($B$5&amp;"生成成长"),4))/(VLOOKUP(BI$72,INDIRECT($C$5&amp;"生成成长"),5))*(VLOOKUP($B$5,标准坦克设计!$B$24:$U$30,MATCH("对"&amp;LEFT($C$5,2)&amp;"输出",标准坦克设计!$B$23:$U$23,0)))*(VLOOKUP($B233,INDIRECT($B$5&amp;"生成成长"),3))*(VLOOKUP($B$5,标准坦克设计!$B$14:$K$20,9)/30))</f>
        <v>1.1781286521076135</v>
      </c>
      <c r="BJ233" s="173">
        <f ca="1">(VLOOKUP(BJ$72,INDIRECT($C$5&amp;"生成成长"),2))/((VLOOKUP($B233,INDIRECT($B$5&amp;"生成成长"),4))/(VLOOKUP(BJ$72,INDIRECT($C$5&amp;"生成成长"),5))*(VLOOKUP($B$5,标准坦克设计!$B$24:$U$30,MATCH("对"&amp;LEFT($C$5,2)&amp;"输出",标准坦克设计!$B$23:$U$23,0)))*(VLOOKUP($B233,INDIRECT($B$5&amp;"生成成长"),3))*(VLOOKUP($B$5,标准坦克设计!$B$14:$K$20,9)/30))</f>
        <v>1.3189156390046357</v>
      </c>
      <c r="BK233" s="173">
        <f ca="1">(VLOOKUP(BK$72,INDIRECT($C$5&amp;"生成成长"),2))/((VLOOKUP($B233,INDIRECT($B$5&amp;"生成成长"),4))/(VLOOKUP(BK$72,INDIRECT($C$5&amp;"生成成长"),5))*(VLOOKUP($B$5,标准坦克设计!$B$24:$U$30,MATCH("对"&amp;LEFT($C$5,2)&amp;"输出",标准坦克设计!$B$23:$U$23,0)))*(VLOOKUP($B233,INDIRECT($B$5&amp;"生成成长"),3))*(VLOOKUP($B$5,标准坦克设计!$B$14:$K$20,9)/30))</f>
        <v>1.4676467192061922</v>
      </c>
      <c r="BL233" s="173">
        <f ca="1">(VLOOKUP(BL$72,INDIRECT($C$5&amp;"生成成长"),2))/((VLOOKUP($B233,INDIRECT($B$5&amp;"生成成长"),4))/(VLOOKUP(BL$72,INDIRECT($C$5&amp;"生成成长"),5))*(VLOOKUP($B$5,标准坦克设计!$B$24:$U$30,MATCH("对"&amp;LEFT($C$5,2)&amp;"输出",标准坦克设计!$B$23:$U$23,0)))*(VLOOKUP($B233,INDIRECT($B$5&amp;"生成成长"),3))*(VLOOKUP($B$5,标准坦克设计!$B$14:$K$20,9)/30))</f>
        <v>1.6243218927122829</v>
      </c>
      <c r="BM233" s="173">
        <f ca="1">(VLOOKUP(BM$72,INDIRECT($C$5&amp;"生成成长"),2))/((VLOOKUP($B233,INDIRECT($B$5&amp;"生成成长"),4))/(VLOOKUP(BM$72,INDIRECT($C$5&amp;"生成成长"),5))*(VLOOKUP($B$5,标准坦克设计!$B$24:$U$30,MATCH("对"&amp;LEFT($C$5,2)&amp;"输出",标准坦克设计!$B$23:$U$23,0)))*(VLOOKUP($B233,INDIRECT($B$5&amp;"生成成长"),3))*(VLOOKUP($B$5,标准坦克设计!$B$14:$K$20,9)/30))</f>
        <v>1.7889411595229074</v>
      </c>
      <c r="BN233" s="173">
        <f ca="1">(VLOOKUP(BN$72,INDIRECT($C$5&amp;"生成成长"),2))/((VLOOKUP($B233,INDIRECT($B$5&amp;"生成成长"),4))/(VLOOKUP(BN$72,INDIRECT($C$5&amp;"生成成长"),5))*(VLOOKUP($B$5,标准坦克设计!$B$24:$U$30,MATCH("对"&amp;LEFT($C$5,2)&amp;"输出",标准坦克设计!$B$23:$U$23,0)))*(VLOOKUP($B233,INDIRECT($B$5&amp;"生成成长"),3))*(VLOOKUP($B$5,标准坦克设计!$B$14:$K$20,9)/30))</f>
        <v>1.9615045196380663</v>
      </c>
      <c r="BO233" s="173">
        <f ca="1">(VLOOKUP(BO$72,INDIRECT($C$5&amp;"生成成长"),2))/((VLOOKUP($B233,INDIRECT($B$5&amp;"生成成长"),4))/(VLOOKUP(BO$72,INDIRECT($C$5&amp;"生成成长"),5))*(VLOOKUP($B$5,标准坦克设计!$B$24:$U$30,MATCH("对"&amp;LEFT($C$5,2)&amp;"输出",标准坦克设计!$B$23:$U$23,0)))*(VLOOKUP($B233,INDIRECT($B$5&amp;"生成成长"),3))*(VLOOKUP($B$5,标准坦克设计!$B$14:$K$20,9)/30))</f>
        <v>2.1420119730577594</v>
      </c>
      <c r="BP233" s="173">
        <f ca="1">(VLOOKUP(BP$72,INDIRECT($C$5&amp;"生成成长"),2))/((VLOOKUP($B233,INDIRECT($B$5&amp;"生成成长"),4))/(VLOOKUP(BP$72,INDIRECT($C$5&amp;"生成成长"),5))*(VLOOKUP($B$5,标准坦克设计!$B$24:$U$30,MATCH("对"&amp;LEFT($C$5,2)&amp;"输出",标准坦克设计!$B$23:$U$23,0)))*(VLOOKUP($B233,INDIRECT($B$5&amp;"生成成长"),3))*(VLOOKUP($B$5,标准坦克设计!$B$14:$K$20,9)/30))</f>
        <v>2.3304635197819863</v>
      </c>
      <c r="BQ233" s="173">
        <f ca="1">(VLOOKUP(BQ$72,INDIRECT($C$5&amp;"生成成长"),2))/((VLOOKUP($B233,INDIRECT($B$5&amp;"生成成长"),4))/(VLOOKUP(BQ$72,INDIRECT($C$5&amp;"生成成长"),5))*(VLOOKUP($B$5,标准坦克设计!$B$24:$U$30,MATCH("对"&amp;LEFT($C$5,2)&amp;"输出",标准坦克设计!$B$23:$U$23,0)))*(VLOOKUP($B233,INDIRECT($B$5&amp;"生成成长"),3))*(VLOOKUP($B$5,标准坦克设计!$B$14:$K$20,9)/30))</f>
        <v>2.5268591598107482</v>
      </c>
      <c r="BR233" s="173">
        <f ca="1">(VLOOKUP(BR$72,INDIRECT($C$5&amp;"生成成长"),2))/((VLOOKUP($B233,INDIRECT($B$5&amp;"生成成长"),4))/(VLOOKUP(BR$72,INDIRECT($C$5&amp;"生成成长"),5))*(VLOOKUP($B$5,标准坦克设计!$B$24:$U$30,MATCH("对"&amp;LEFT($C$5,2)&amp;"输出",标准坦克设计!$B$23:$U$23,0)))*(VLOOKUP($B233,INDIRECT($B$5&amp;"生成成长"),3))*(VLOOKUP($B$5,标准坦克设计!$B$14:$K$20,9)/30))</f>
        <v>2.7543936840887637</v>
      </c>
      <c r="BS233" s="173">
        <f ca="1">(VLOOKUP(BS$72,INDIRECT($C$5&amp;"生成成长"),2))/((VLOOKUP($B233,INDIRECT($B$5&amp;"生成成长"),4))/(VLOOKUP(BS$72,INDIRECT($C$5&amp;"生成成长"),5))*(VLOOKUP($B$5,标准坦克设计!$B$24:$U$30,MATCH("对"&amp;LEFT($C$5,2)&amp;"输出",标准坦克设计!$B$23:$U$23,0)))*(VLOOKUP($B233,INDIRECT($B$5&amp;"生成成长"),3))*(VLOOKUP($B$5,标准坦克设计!$B$14:$K$20,9)/30))</f>
        <v>2.9917357309649697</v>
      </c>
      <c r="BT233" s="173">
        <f ca="1">(VLOOKUP(BT$72,INDIRECT($C$5&amp;"生成成长"),2))/((VLOOKUP($B233,INDIRECT($B$5&amp;"生成成长"),4))/(VLOOKUP(BT$72,INDIRECT($C$5&amp;"生成成长"),5))*(VLOOKUP($B$5,标准坦克设计!$B$24:$U$30,MATCH("对"&amp;LEFT($C$5,2)&amp;"输出",标准坦克设计!$B$23:$U$23,0)))*(VLOOKUP($B233,INDIRECT($B$5&amp;"生成成长"),3))*(VLOOKUP($B$5,标准坦克设计!$B$14:$K$20,9)/30))</f>
        <v>3.2388853004393665</v>
      </c>
      <c r="BU233" s="173">
        <f ca="1">(VLOOKUP(BU$72,INDIRECT($C$5&amp;"生成成长"),2))/((VLOOKUP($B233,INDIRECT($B$5&amp;"生成成长"),4))/(VLOOKUP(BU$72,INDIRECT($C$5&amp;"生成成长"),5))*(VLOOKUP($B$5,标准坦克设计!$B$24:$U$30,MATCH("对"&amp;LEFT($C$5,2)&amp;"输出",标准坦克设计!$B$23:$U$23,0)))*(VLOOKUP($B233,INDIRECT($B$5&amp;"生成成长"),3))*(VLOOKUP($B$5,标准坦克设计!$B$14:$K$20,9)/30))</f>
        <v>3.4958423925119528</v>
      </c>
      <c r="BV233" s="173">
        <f ca="1">(VLOOKUP(BV$72,INDIRECT($C$5&amp;"生成成长"),2))/((VLOOKUP($B233,INDIRECT($B$5&amp;"生成成长"),4))/(VLOOKUP(BV$72,INDIRECT($C$5&amp;"生成成长"),5))*(VLOOKUP($B$5,标准坦克设计!$B$24:$U$30,MATCH("对"&amp;LEFT($C$5,2)&amp;"输出",标准坦克设计!$B$23:$U$23,0)))*(VLOOKUP($B233,INDIRECT($B$5&amp;"生成成长"),3))*(VLOOKUP($B$5,标准坦克设计!$B$14:$K$20,9)/30))</f>
        <v>3.7626070071827296</v>
      </c>
      <c r="BW233" s="173">
        <f ca="1">(VLOOKUP(BW$72,INDIRECT($C$5&amp;"生成成长"),2))/((VLOOKUP($B233,INDIRECT($B$5&amp;"生成成长"),4))/(VLOOKUP(BW$72,INDIRECT($C$5&amp;"生成成长"),5))*(VLOOKUP($B$5,标准坦克设计!$B$24:$U$30,MATCH("对"&amp;LEFT($C$5,2)&amp;"输出",标准坦克设计!$B$23:$U$23,0)))*(VLOOKUP($B233,INDIRECT($B$5&amp;"生成成长"),3))*(VLOOKUP($B$5,标准坦克设计!$B$14:$K$20,9)/30))</f>
        <v>1.7147962886805885</v>
      </c>
      <c r="BX233" s="173">
        <f ca="1">(VLOOKUP(BX$72,INDIRECT($C$5&amp;"生成成长"),2))/((VLOOKUP($B233,INDIRECT($B$5&amp;"生成成长"),4))/(VLOOKUP(BX$72,INDIRECT($C$5&amp;"生成成长"),5))*(VLOOKUP($B$5,标准坦克设计!$B$24:$U$30,MATCH("对"&amp;LEFT($C$5,2)&amp;"输出",标准坦克设计!$B$23:$U$23,0)))*(VLOOKUP($B233,INDIRECT($B$5&amp;"生成成长"),3))*(VLOOKUP($B$5,标准坦克设计!$B$14:$K$20,9)/30))</f>
        <v>1.9031007225658427</v>
      </c>
      <c r="BY233" s="173">
        <f ca="1">(VLOOKUP(BY$72,INDIRECT($C$5&amp;"生成成长"),2))/((VLOOKUP($B233,INDIRECT($B$5&amp;"生成成长"),4))/(VLOOKUP(BY$72,INDIRECT($C$5&amp;"生成成长"),5))*(VLOOKUP($B$5,标准坦克设计!$B$24:$U$30,MATCH("对"&amp;LEFT($C$5,2)&amp;"输出",标准坦克设计!$B$23:$U$23,0)))*(VLOOKUP($B233,INDIRECT($B$5&amp;"生成成长"),3))*(VLOOKUP($B$5,标准坦克设计!$B$14:$K$20,9)/30))</f>
        <v>2.1012126790492878</v>
      </c>
      <c r="BZ233" s="173">
        <f ca="1">(VLOOKUP(BZ$72,INDIRECT($C$5&amp;"生成成长"),2))/((VLOOKUP($B233,INDIRECT($B$5&amp;"生成成长"),4))/(VLOOKUP(BZ$72,INDIRECT($C$5&amp;"生成成长"),5))*(VLOOKUP($B$5,标准坦克设计!$B$24:$U$30,MATCH("对"&amp;LEFT($C$5,2)&amp;"输出",标准坦克设计!$B$23:$U$23,0)))*(VLOOKUP($B233,INDIRECT($B$5&amp;"生成成长"),3))*(VLOOKUP($B$5,标准坦克设计!$B$14:$K$20,9)/30))</f>
        <v>2.3091321581309225</v>
      </c>
      <c r="CA233" s="173">
        <f ca="1">(VLOOKUP(CA$72,INDIRECT($C$5&amp;"生成成长"),2))/((VLOOKUP($B233,INDIRECT($B$5&amp;"生成成长"),4))/(VLOOKUP(CA$72,INDIRECT($C$5&amp;"生成成长"),5))*(VLOOKUP($B$5,标准坦克设计!$B$24:$U$30,MATCH("对"&amp;LEFT($C$5,2)&amp;"输出",标准坦克设计!$B$23:$U$23,0)))*(VLOOKUP($B233,INDIRECT($B$5&amp;"生成成长"),3))*(VLOOKUP($B$5,标准坦克设计!$B$14:$K$20,9)/30))</f>
        <v>2.5268591598107482</v>
      </c>
      <c r="CB233" s="173">
        <f ca="1">(VLOOKUP(CB$72,INDIRECT($C$5&amp;"生成成长"),2))/((VLOOKUP($B233,INDIRECT($B$5&amp;"生成成长"),4))/(VLOOKUP(CB$72,INDIRECT($C$5&amp;"生成成长"),5))*(VLOOKUP($B$5,标准坦克设计!$B$24:$U$30,MATCH("对"&amp;LEFT($C$5,2)&amp;"输出",标准坦克设计!$B$23:$U$23,0)))*(VLOOKUP($B233,INDIRECT($B$5&amp;"生成成长"),3))*(VLOOKUP($B$5,标准坦克设计!$B$14:$K$20,9)/30))</f>
        <v>2.7543936840887637</v>
      </c>
      <c r="CC233" s="173">
        <f ca="1">(VLOOKUP(CC$72,INDIRECT($C$5&amp;"生成成长"),2))/((VLOOKUP($B233,INDIRECT($B$5&amp;"生成成长"),4))/(VLOOKUP(CC$72,INDIRECT($C$5&amp;"生成成长"),5))*(VLOOKUP($B$5,标准坦克设计!$B$24:$U$30,MATCH("对"&amp;LEFT($C$5,2)&amp;"输出",标准坦克设计!$B$23:$U$23,0)))*(VLOOKUP($B233,INDIRECT($B$5&amp;"生成成长"),3))*(VLOOKUP($B$5,标准坦克设计!$B$14:$K$20,9)/30))</f>
        <v>2.9917357309649697</v>
      </c>
      <c r="CD233" s="173">
        <f ca="1">(VLOOKUP(CD$72,INDIRECT($C$5&amp;"生成成长"),2))/((VLOOKUP($B233,INDIRECT($B$5&amp;"生成成长"),4))/(VLOOKUP(CD$72,INDIRECT($C$5&amp;"生成成长"),5))*(VLOOKUP($B$5,标准坦克设计!$B$24:$U$30,MATCH("对"&amp;LEFT($C$5,2)&amp;"输出",标准坦克设计!$B$23:$U$23,0)))*(VLOOKUP($B233,INDIRECT($B$5&amp;"生成成长"),3))*(VLOOKUP($B$5,标准坦克设计!$B$14:$K$20,9)/30))</f>
        <v>3.2388853004393665</v>
      </c>
      <c r="CE233" s="173">
        <f ca="1">(VLOOKUP(CE$72,INDIRECT($C$5&amp;"生成成长"),2))/((VLOOKUP($B233,INDIRECT($B$5&amp;"生成成长"),4))/(VLOOKUP(CE$72,INDIRECT($C$5&amp;"生成成长"),5))*(VLOOKUP($B$5,标准坦克设计!$B$24:$U$30,MATCH("对"&amp;LEFT($C$5,2)&amp;"输出",标准坦克设计!$B$23:$U$23,0)))*(VLOOKUP($B233,INDIRECT($B$5&amp;"生成成长"),3))*(VLOOKUP($B$5,标准坦克设计!$B$14:$K$20,9)/30))</f>
        <v>3.4958423925119528</v>
      </c>
      <c r="CF233" s="173">
        <f ca="1">(VLOOKUP(CF$72,INDIRECT($C$5&amp;"生成成长"),2))/((VLOOKUP($B233,INDIRECT($B$5&amp;"生成成长"),4))/(VLOOKUP(CF$72,INDIRECT($C$5&amp;"生成成长"),5))*(VLOOKUP($B$5,标准坦克设计!$B$24:$U$30,MATCH("对"&amp;LEFT($C$5,2)&amp;"输出",标准坦克设计!$B$23:$U$23,0)))*(VLOOKUP($B233,INDIRECT($B$5&amp;"生成成长"),3))*(VLOOKUP($B$5,标准坦克设计!$B$14:$K$20,9)/30))</f>
        <v>3.7626070071827296</v>
      </c>
      <c r="CG233" s="173">
        <f ca="1">(VLOOKUP(CG$72,INDIRECT($C$5&amp;"生成成长"),2))/((VLOOKUP($B233,INDIRECT($B$5&amp;"生成成长"),4))/(VLOOKUP(CG$72,INDIRECT($C$5&amp;"生成成长"),5))*(VLOOKUP($B$5,标准坦克设计!$B$24:$U$30,MATCH("对"&amp;LEFT($C$5,2)&amp;"输出",标准坦克设计!$B$23:$U$23,0)))*(VLOOKUP($B233,INDIRECT($B$5&amp;"生成成长"),3))*(VLOOKUP($B$5,标准坦克设计!$B$14:$K$20,9)/30))</f>
        <v>4.0391791444516976</v>
      </c>
      <c r="CH233" s="173">
        <f ca="1">(VLOOKUP(CH$72,INDIRECT($C$5&amp;"生成成长"),2))/((VLOOKUP($B233,INDIRECT($B$5&amp;"生成成长"),4))/(VLOOKUP(CH$72,INDIRECT($C$5&amp;"生成成长"),5))*(VLOOKUP($B$5,标准坦克设计!$B$24:$U$30,MATCH("对"&amp;LEFT($C$5,2)&amp;"输出",标准坦克设计!$B$23:$U$23,0)))*(VLOOKUP($B233,INDIRECT($B$5&amp;"生成成长"),3))*(VLOOKUP($B$5,标准坦克设计!$B$14:$K$20,9)/30))</f>
        <v>4.3255588043188542</v>
      </c>
      <c r="CI233" s="173">
        <f ca="1">(VLOOKUP(CI$72,INDIRECT($C$5&amp;"生成成长"),2))/((VLOOKUP($B233,INDIRECT($B$5&amp;"生成成长"),4))/(VLOOKUP(CI$72,INDIRECT($C$5&amp;"生成成长"),5))*(VLOOKUP($B$5,标准坦克设计!$B$24:$U$30,MATCH("对"&amp;LEFT($C$5,2)&amp;"输出",标准坦克设计!$B$23:$U$23,0)))*(VLOOKUP($B233,INDIRECT($B$5&amp;"生成成长"),3))*(VLOOKUP($B$5,标准坦克设计!$B$14:$K$20,9)/30))</f>
        <v>4.6519041187736381</v>
      </c>
      <c r="CJ233" s="173">
        <f ca="1">(VLOOKUP(CJ$72,INDIRECT($C$5&amp;"生成成长"),2))/((VLOOKUP($B233,INDIRECT($B$5&amp;"生成成长"),4))/(VLOOKUP(CJ$72,INDIRECT($C$5&amp;"生成成长"),5))*(VLOOKUP($B$5,标准坦克设计!$B$24:$U$30,MATCH("对"&amp;LEFT($C$5,2)&amp;"输出",标准坦克设计!$B$23:$U$23,0)))*(VLOOKUP($B233,INDIRECT($B$5&amp;"生成成长"),3))*(VLOOKUP($B$5,标准坦克设计!$B$14:$K$20,9)/30))</f>
        <v>4.9901165355722314</v>
      </c>
      <c r="CK233" s="173">
        <f ca="1">(VLOOKUP(CK$72,INDIRECT($C$5&amp;"生成成长"),2))/((VLOOKUP($B233,INDIRECT($B$5&amp;"生成成长"),4))/(VLOOKUP(CK$72,INDIRECT($C$5&amp;"生成成长"),5))*(VLOOKUP($B$5,标准坦克设计!$B$24:$U$30,MATCH("对"&amp;LEFT($C$5,2)&amp;"输出",标准坦克设计!$B$23:$U$23,0)))*(VLOOKUP($B233,INDIRECT($B$5&amp;"生成成长"),3))*(VLOOKUP($B$5,标准坦克设计!$B$14:$K$20,9)/30))</f>
        <v>5.3401960547146361</v>
      </c>
      <c r="CL233" s="173">
        <f ca="1">(VLOOKUP(CL$72,INDIRECT($C$5&amp;"生成成长"),2))/((VLOOKUP($B233,INDIRECT($B$5&amp;"生成成长"),4))/(VLOOKUP(CL$72,INDIRECT($C$5&amp;"生成成长"),5))*(VLOOKUP($B$5,标准坦克设计!$B$24:$U$30,MATCH("对"&amp;LEFT($C$5,2)&amp;"输出",标准坦克设计!$B$23:$U$23,0)))*(VLOOKUP($B233,INDIRECT($B$5&amp;"生成成长"),3))*(VLOOKUP($B$5,标准坦克设计!$B$14:$K$20,9)/30))</f>
        <v>5.7021426762008494</v>
      </c>
      <c r="CM233" s="173">
        <f ca="1">(VLOOKUP(CM$72,INDIRECT($C$5&amp;"生成成长"),2))/((VLOOKUP($B233,INDIRECT($B$5&amp;"生成成长"),4))/(VLOOKUP(CM$72,INDIRECT($C$5&amp;"生成成长"),5))*(VLOOKUP($B$5,标准坦克设计!$B$24:$U$30,MATCH("对"&amp;LEFT($C$5,2)&amp;"输出",标准坦克设计!$B$23:$U$23,0)))*(VLOOKUP($B233,INDIRECT($B$5&amp;"生成成长"),3))*(VLOOKUP($B$5,标准坦克设计!$B$14:$K$20,9)/30))</f>
        <v>6.0759564000308739</v>
      </c>
      <c r="CN233" s="173">
        <f ca="1">(VLOOKUP(CN$72,INDIRECT($C$5&amp;"生成成长"),2))/((VLOOKUP($B233,INDIRECT($B$5&amp;"生成成长"),4))/(VLOOKUP(CN$72,INDIRECT($C$5&amp;"生成成长"),5))*(VLOOKUP($B$5,标准坦克设计!$B$24:$U$30,MATCH("对"&amp;LEFT($C$5,2)&amp;"输出",标准坦克设计!$B$23:$U$23,0)))*(VLOOKUP($B233,INDIRECT($B$5&amp;"生成成长"),3))*(VLOOKUP($B$5,标准坦克设计!$B$14:$K$20,9)/30))</f>
        <v>6.4616372262047088</v>
      </c>
      <c r="CO233" s="173">
        <f ca="1">(VLOOKUP(CO$72,INDIRECT($C$5&amp;"生成成长"),2))/((VLOOKUP($B233,INDIRECT($B$5&amp;"生成成长"),4))/(VLOOKUP(CO$72,INDIRECT($C$5&amp;"生成成长"),5))*(VLOOKUP($B$5,标准坦克设计!$B$24:$U$30,MATCH("对"&amp;LEFT($C$5,2)&amp;"输出",标准坦克设计!$B$23:$U$23,0)))*(VLOOKUP($B233,INDIRECT($B$5&amp;"生成成长"),3))*(VLOOKUP($B$5,标准坦克设计!$B$14:$K$20,9)/30))</f>
        <v>2.8956220095027043</v>
      </c>
      <c r="CP233" s="173">
        <f ca="1">(VLOOKUP(CP$72,INDIRECT($C$5&amp;"生成成长"),2))/((VLOOKUP($B233,INDIRECT($B$5&amp;"生成成长"),4))/(VLOOKUP(CP$72,INDIRECT($C$5&amp;"生成成长"),5))*(VLOOKUP($B$5,标准坦克设计!$B$24:$U$30,MATCH("对"&amp;LEFT($C$5,2)&amp;"输出",标准坦克设计!$B$23:$U$23,0)))*(VLOOKUP($B233,INDIRECT($B$5&amp;"生成成长"),3))*(VLOOKUP($B$5,标准坦克设计!$B$14:$K$20,9)/30))</f>
        <v>3.1637106397242372</v>
      </c>
      <c r="CQ233" s="173">
        <f ca="1">(VLOOKUP(CQ$72,INDIRECT($C$5&amp;"生成成长"),2))/((VLOOKUP($B233,INDIRECT($B$5&amp;"生成成长"),4))/(VLOOKUP(CQ$72,INDIRECT($C$5&amp;"生成成长"),5))*(VLOOKUP($B$5,标准坦克设计!$B$24:$U$30,MATCH("对"&amp;LEFT($C$5,2)&amp;"输出",标准坦克设计!$B$23:$U$23,0)))*(VLOOKUP($B233,INDIRECT($B$5&amp;"生成成长"),3))*(VLOOKUP($B$5,标准坦克设计!$B$14:$K$20,9)/30))</f>
        <v>3.4436663722895804</v>
      </c>
      <c r="CR233" s="173">
        <f ca="1">(VLOOKUP(CR$72,INDIRECT($C$5&amp;"生成成长"),2))/((VLOOKUP($B233,INDIRECT($B$5&amp;"生成成长"),4))/(VLOOKUP(CR$72,INDIRECT($C$5&amp;"生成成长"),5))*(VLOOKUP($B$5,标准坦克设计!$B$24:$U$30,MATCH("对"&amp;LEFT($C$5,2)&amp;"输出",标准坦克设计!$B$23:$U$23,0)))*(VLOOKUP($B233,INDIRECT($B$5&amp;"生成成长"),3))*(VLOOKUP($B$5,标准坦克设计!$B$14:$K$20,9)/30))</f>
        <v>3.7354892071987336</v>
      </c>
      <c r="CS233" s="173">
        <f ca="1">(VLOOKUP(CS$72,INDIRECT($C$5&amp;"生成成长"),2))/((VLOOKUP($B233,INDIRECT($B$5&amp;"生成成长"),4))/(VLOOKUP(CS$72,INDIRECT($C$5&amp;"生成成长"),5))*(VLOOKUP($B$5,标准坦克设计!$B$24:$U$30,MATCH("对"&amp;LEFT($C$5,2)&amp;"输出",标准坦克设计!$B$23:$U$23,0)))*(VLOOKUP($B233,INDIRECT($B$5&amp;"生成成长"),3))*(VLOOKUP($B$5,标准坦克设计!$B$14:$K$20,9)/30))</f>
        <v>4.0391791444516976</v>
      </c>
      <c r="CT233" s="173">
        <f ca="1">(VLOOKUP(CT$72,INDIRECT($C$5&amp;"生成成长"),2))/((VLOOKUP($B233,INDIRECT($B$5&amp;"生成成长"),4))/(VLOOKUP(CT$72,INDIRECT($C$5&amp;"生成成长"),5))*(VLOOKUP($B$5,标准坦克设计!$B$24:$U$30,MATCH("对"&amp;LEFT($C$5,2)&amp;"输出",标准坦克设计!$B$23:$U$23,0)))*(VLOOKUP($B233,INDIRECT($B$5&amp;"生成成长"),3))*(VLOOKUP($B$5,标准坦克设计!$B$14:$K$20,9)/30))</f>
        <v>4.3547361840484706</v>
      </c>
      <c r="CU233" s="173">
        <f ca="1">(VLOOKUP(CU$72,INDIRECT($C$5&amp;"生成成长"),2))/((VLOOKUP($B233,INDIRECT($B$5&amp;"生成成长"),4))/(VLOOKUP(CU$72,INDIRECT($C$5&amp;"生成成长"),5))*(VLOOKUP($B$5,标准坦克设计!$B$24:$U$30,MATCH("对"&amp;LEFT($C$5,2)&amp;"输出",标准坦克设计!$B$23:$U$23,0)))*(VLOOKUP($B233,INDIRECT($B$5&amp;"生成成长"),3))*(VLOOKUP($B$5,标准坦克设计!$B$14:$K$20,9)/30))</f>
        <v>4.682160325989055</v>
      </c>
      <c r="CV233" s="173">
        <f ca="1">(VLOOKUP(CV$72,INDIRECT($C$5&amp;"生成成长"),2))/((VLOOKUP($B233,INDIRECT($B$5&amp;"生成成长"),4))/(VLOOKUP(CV$72,INDIRECT($C$5&amp;"生成成长"),5))*(VLOOKUP($B$5,标准坦克设计!$B$24:$U$30,MATCH("对"&amp;LEFT($C$5,2)&amp;"输出",标准坦克设计!$B$23:$U$23,0)))*(VLOOKUP($B233,INDIRECT($B$5&amp;"生成成长"),3))*(VLOOKUP($B$5,标准坦克设计!$B$14:$K$20,9)/30))</f>
        <v>5.0214515702734506</v>
      </c>
      <c r="CW233" s="173">
        <f ca="1">(VLOOKUP(CW$72,INDIRECT($C$5&amp;"生成成长"),2))/((VLOOKUP($B233,INDIRECT($B$5&amp;"生成成长"),4))/(VLOOKUP(CW$72,INDIRECT($C$5&amp;"生成成长"),5))*(VLOOKUP($B$5,标准坦克设计!$B$24:$U$30,MATCH("对"&amp;LEFT($C$5,2)&amp;"输出",标准坦克设计!$B$23:$U$23,0)))*(VLOOKUP($B233,INDIRECT($B$5&amp;"生成成长"),3))*(VLOOKUP($B$5,标准坦克设计!$B$14:$K$20,9)/30))</f>
        <v>5.3726099169016548</v>
      </c>
      <c r="CX233" s="173">
        <f ca="1">(VLOOKUP(CX$72,INDIRECT($C$5&amp;"生成成长"),2))/((VLOOKUP($B233,INDIRECT($B$5&amp;"生成成长"),4))/(VLOOKUP(CX$72,INDIRECT($C$5&amp;"生成成长"),5))*(VLOOKUP($B$5,标准坦克设计!$B$24:$U$30,MATCH("对"&amp;LEFT($C$5,2)&amp;"输出",标准坦克设计!$B$23:$U$23,0)))*(VLOOKUP($B233,INDIRECT($B$5&amp;"生成成长"),3))*(VLOOKUP($B$5,标准坦克设计!$B$14:$K$20,9)/30))</f>
        <v>5.7356353658736703</v>
      </c>
      <c r="CY233" s="173">
        <f ca="1">(VLOOKUP(CY$72,INDIRECT($C$5&amp;"生成成长"),2))/((VLOOKUP($B233,INDIRECT($B$5&amp;"生成成长"),4))/(VLOOKUP(CY$72,INDIRECT($C$5&amp;"生成成长"),5))*(VLOOKUP($B$5,标准坦克设计!$B$24:$U$30,MATCH("对"&amp;LEFT($C$5,2)&amp;"输出",标准坦克设计!$B$23:$U$23,0)))*(VLOOKUP($B233,INDIRECT($B$5&amp;"生成成长"),3))*(VLOOKUP($B$5,标准坦克设计!$B$14:$K$20,9)/30))</f>
        <v>6.1105279171894953</v>
      </c>
      <c r="CZ233" s="173">
        <f ca="1">(VLOOKUP(CZ$72,INDIRECT($C$5&amp;"生成成长"),2))/((VLOOKUP($B233,INDIRECT($B$5&amp;"生成成长"),4))/(VLOOKUP(CZ$72,INDIRECT($C$5&amp;"生成成长"),5))*(VLOOKUP($B$5,标准坦克设计!$B$24:$U$30,MATCH("对"&amp;LEFT($C$5,2)&amp;"输出",标准坦克设计!$B$23:$U$23,0)))*(VLOOKUP($B233,INDIRECT($B$5&amp;"生成成长"),3))*(VLOOKUP($B$5,标准坦克设计!$B$14:$K$20,9)/30))</f>
        <v>6.4972875708491316</v>
      </c>
      <c r="DA233" s="173">
        <f ca="1">(VLOOKUP(DA$72,INDIRECT($C$5&amp;"生成成长"),2))/((VLOOKUP($B233,INDIRECT($B$5&amp;"生成成长"),4))/(VLOOKUP(DA$72,INDIRECT($C$5&amp;"生成成长"),5))*(VLOOKUP($B$5,标准坦克设计!$B$24:$U$30,MATCH("对"&amp;LEFT($C$5,2)&amp;"输出",标准坦克设计!$B$23:$U$23,0)))*(VLOOKUP($B233,INDIRECT($B$5&amp;"生成成长"),3))*(VLOOKUP($B$5,标准坦克设计!$B$14:$K$20,9)/30))</f>
        <v>6.8959143268525764</v>
      </c>
      <c r="DB233" s="173">
        <f ca="1">(VLOOKUP(DB$72,INDIRECT($C$5&amp;"生成成长"),2))/((VLOOKUP($B233,INDIRECT($B$5&amp;"生成成长"),4))/(VLOOKUP(DB$72,INDIRECT($C$5&amp;"生成成长"),5))*(VLOOKUP($B$5,标准坦克设计!$B$24:$U$30,MATCH("对"&amp;LEFT($C$5,2)&amp;"输出",标准坦克设计!$B$23:$U$23,0)))*(VLOOKUP($B233,INDIRECT($B$5&amp;"生成成长"),3))*(VLOOKUP($B$5,标准坦克设计!$B$14:$K$20,9)/30))</f>
        <v>7.3064081851998335</v>
      </c>
      <c r="DC233" s="173">
        <f ca="1">(VLOOKUP(DC$72,INDIRECT($C$5&amp;"生成成长"),2))/((VLOOKUP($B233,INDIRECT($B$5&amp;"生成成长"),4))/(VLOOKUP(DC$72,INDIRECT($C$5&amp;"生成成长"),5))*(VLOOKUP($B$5,标准坦克设计!$B$24:$U$30,MATCH("对"&amp;LEFT($C$5,2)&amp;"输出",标准坦克设计!$B$23:$U$23,0)))*(VLOOKUP($B233,INDIRECT($B$5&amp;"生成成长"),3))*(VLOOKUP($B$5,标准坦克设计!$B$14:$K$20,9)/30))</f>
        <v>7.7677540482187073</v>
      </c>
      <c r="DD233" s="173">
        <f ca="1">(VLOOKUP(DD$72,INDIRECT($C$5&amp;"生成成长"),2))/((VLOOKUP($B233,INDIRECT($B$5&amp;"生成成长"),4))/(VLOOKUP(DD$72,INDIRECT($C$5&amp;"生成成长"),5))*(VLOOKUP($B$5,标准坦克设计!$B$24:$U$30,MATCH("对"&amp;LEFT($C$5,2)&amp;"输出",标准坦克设计!$B$23:$U$23,0)))*(VLOOKUP($B233,INDIRECT($B$5&amp;"生成成长"),3))*(VLOOKUP($B$5,标准坦克设计!$B$14:$K$20,9)/30))</f>
        <v>8.2432227437789738</v>
      </c>
      <c r="DE233" s="173">
        <f ca="1">(VLOOKUP(DE$72,INDIRECT($C$5&amp;"生成成长"),2))/((VLOOKUP($B233,INDIRECT($B$5&amp;"生成成长"),4))/(VLOOKUP(DE$72,INDIRECT($C$5&amp;"生成成长"),5))*(VLOOKUP($B$5,标准坦克设计!$B$24:$U$30,MATCH("对"&amp;LEFT($C$5,2)&amp;"输出",标准坦克设计!$B$23:$U$23,0)))*(VLOOKUP($B233,INDIRECT($B$5&amp;"生成成长"),3))*(VLOOKUP($B$5,标准坦克设计!$B$14:$K$20,9)/30))</f>
        <v>8.7328142718806347</v>
      </c>
      <c r="DF233" s="173">
        <f ca="1">(VLOOKUP(DF$72,INDIRECT($C$5&amp;"生成成长"),2))/((VLOOKUP($B233,INDIRECT($B$5&amp;"生成成长"),4))/(VLOOKUP(DF$72,INDIRECT($C$5&amp;"生成成长"),5))*(VLOOKUP($B$5,标准坦克设计!$B$24:$U$30,MATCH("对"&amp;LEFT($C$5,2)&amp;"输出",标准坦克设计!$B$23:$U$23,0)))*(VLOOKUP($B233,INDIRECT($B$5&amp;"生成成长"),3))*(VLOOKUP($B$5,标准坦克设计!$B$14:$K$20,9)/30))</f>
        <v>9.2365286325236902</v>
      </c>
      <c r="DG233" s="173">
        <f ca="1">(VLOOKUP(DG$72,INDIRECT($C$5&amp;"生成成长"),2))/((VLOOKUP($B233,INDIRECT($B$5&amp;"生成成长"),4))/(VLOOKUP(DG$72,INDIRECT($C$5&amp;"生成成长"),5))*(VLOOKUP($B$5,标准坦克设计!$B$24:$U$30,MATCH("对"&amp;LEFT($C$5,2)&amp;"输出",标准坦克设计!$B$23:$U$23,0)))*(VLOOKUP($B233,INDIRECT($B$5&amp;"生成成长"),3))*(VLOOKUP($B$5,标准坦克设计!$B$14:$K$20,9)/30))</f>
        <v>9.75436582570814</v>
      </c>
      <c r="DH233" s="173">
        <f ca="1">(VLOOKUP(DH$72,INDIRECT($C$5&amp;"生成成长"),2))/((VLOOKUP($B233,INDIRECT($B$5&amp;"生成成长"),4))/(VLOOKUP(DH$72,INDIRECT($C$5&amp;"生成成长"),5))*(VLOOKUP($B$5,标准坦克设计!$B$24:$U$30,MATCH("对"&amp;LEFT($C$5,2)&amp;"输出",标准坦克设计!$B$23:$U$23,0)))*(VLOOKUP($B233,INDIRECT($B$5&amp;"生成成长"),3))*(VLOOKUP($B$5,标准坦克设计!$B$14:$K$20,9)/30))</f>
        <v>10.286325851433984</v>
      </c>
      <c r="DI233" s="173">
        <f ca="1">(VLOOKUP(DI$72,INDIRECT($C$5&amp;"生成成长"),2))/((VLOOKUP($B233,INDIRECT($B$5&amp;"生成成长"),4))/(VLOOKUP(DI$72,INDIRECT($C$5&amp;"生成成长"),5))*(VLOOKUP($B$5,标准坦克设计!$B$24:$U$30,MATCH("对"&amp;LEFT($C$5,2)&amp;"输出",标准坦克设计!$B$23:$U$23,0)))*(VLOOKUP($B233,INDIRECT($B$5&amp;"生成成长"),3))*(VLOOKUP($B$5,标准坦克设计!$B$14:$K$20,9)/30))</f>
        <v>10.832408709701223</v>
      </c>
      <c r="DJ233" s="173">
        <f ca="1">(VLOOKUP(DJ$72,INDIRECT($C$5&amp;"生成成长"),2))/((VLOOKUP($B233,INDIRECT($B$5&amp;"生成成长"),4))/(VLOOKUP(DJ$72,INDIRECT($C$5&amp;"生成成长"),5))*(VLOOKUP($B$5,标准坦克设计!$B$24:$U$30,MATCH("对"&amp;LEFT($C$5,2)&amp;"输出",标准坦克设计!$B$23:$U$23,0)))*(VLOOKUP($B233,INDIRECT($B$5&amp;"生成成长"),3))*(VLOOKUP($B$5,标准坦克设计!$B$14:$K$20,9)/30))</f>
        <v>1.0886840460121177</v>
      </c>
      <c r="DK233" s="173">
        <f ca="1">(VLOOKUP(DK$72,INDIRECT($C$5&amp;"生成成长"),2))/((VLOOKUP($B233,INDIRECT($B$5&amp;"生成成长"),4))/(VLOOKUP(DK$72,INDIRECT($C$5&amp;"生成成长"),5))*(VLOOKUP($B$5,标准坦克设计!$B$24:$U$30,MATCH("对"&amp;LEFT($C$5,2)&amp;"输出",标准坦克设计!$B$23:$U$23,0)))*(VLOOKUP($B233,INDIRECT($B$5&amp;"生成成长"),3))*(VLOOKUP($B$5,标准坦克设计!$B$14:$K$20,9)/30))</f>
        <v>1.2241749707061171</v>
      </c>
      <c r="DL233" s="173">
        <f ca="1">(VLOOKUP(DL$72,INDIRECT($C$5&amp;"生成成长"),2))/((VLOOKUP($B233,INDIRECT($B$5&amp;"生成成长"),4))/(VLOOKUP(DL$72,INDIRECT($C$5&amp;"生成成长"),5))*(VLOOKUP($B$5,标准坦克设计!$B$24:$U$30,MATCH("对"&amp;LEFT($C$5,2)&amp;"输出",标准坦克设计!$B$23:$U$23,0)))*(VLOOKUP($B233,INDIRECT($B$5&amp;"生成成长"),3))*(VLOOKUP($B$5,标准坦克设计!$B$14:$K$20,9)/30))</f>
        <v>1.3676099887046507</v>
      </c>
      <c r="DM233" s="173">
        <f ca="1">(VLOOKUP(DM$72,INDIRECT($C$5&amp;"生成成长"),2))/((VLOOKUP($B233,INDIRECT($B$5&amp;"生成成长"),4))/(VLOOKUP(DM$72,INDIRECT($C$5&amp;"生成成长"),5))*(VLOOKUP($B$5,标准坦克设计!$B$24:$U$30,MATCH("对"&amp;LEFT($C$5,2)&amp;"输出",标准坦克设计!$B$23:$U$23,0)))*(VLOOKUP($B233,INDIRECT($B$5&amp;"生成成长"),3))*(VLOOKUP($B$5,标准坦克设计!$B$14:$K$20,9)/30))</f>
        <v>1.5189891000077185</v>
      </c>
      <c r="DN233" s="173">
        <f ca="1">(VLOOKUP(DN$72,INDIRECT($C$5&amp;"生成成长"),2))/((VLOOKUP($B233,INDIRECT($B$5&amp;"生成成长"),4))/(VLOOKUP(DN$72,INDIRECT($C$5&amp;"生成成长"),5))*(VLOOKUP($B$5,标准坦克设计!$B$24:$U$30,MATCH("对"&amp;LEFT($C$5,2)&amp;"输出",标准坦克设计!$B$23:$U$23,0)))*(VLOOKUP($B233,INDIRECT($B$5&amp;"生成成长"),3))*(VLOOKUP($B$5,标准坦克设计!$B$14:$K$20,9)/30))</f>
        <v>1.6783123046153205</v>
      </c>
      <c r="DO233" s="173">
        <f ca="1">(VLOOKUP(DO$72,INDIRECT($C$5&amp;"生成成长"),2))/((VLOOKUP($B233,INDIRECT($B$5&amp;"生成成长"),4))/(VLOOKUP(DO$72,INDIRECT($C$5&amp;"生成成长"),5))*(VLOOKUP($B$5,标准坦克设计!$B$24:$U$30,MATCH("对"&amp;LEFT($C$5,2)&amp;"输出",标准坦克设计!$B$23:$U$23,0)))*(VLOOKUP($B233,INDIRECT($B$5&amp;"生成成长"),3))*(VLOOKUP($B$5,标准坦克设计!$B$14:$K$20,9)/30))</f>
        <v>1.8455796025274565</v>
      </c>
      <c r="DP233" s="173">
        <f ca="1">(VLOOKUP(DP$72,INDIRECT($C$5&amp;"生成成长"),2))/((VLOOKUP($B233,INDIRECT($B$5&amp;"生成成长"),4))/(VLOOKUP(DP$72,INDIRECT($C$5&amp;"生成成长"),5))*(VLOOKUP($B$5,标准坦克设计!$B$24:$U$30,MATCH("对"&amp;LEFT($C$5,2)&amp;"输出",标准坦克设计!$B$23:$U$23,0)))*(VLOOKUP($B233,INDIRECT($B$5&amp;"生成成长"),3))*(VLOOKUP($B$5,标准坦克设计!$B$14:$K$20,9)/30))</f>
        <v>2.0207909937441273</v>
      </c>
      <c r="DQ233" s="173">
        <f ca="1">(VLOOKUP(DQ$72,INDIRECT($C$5&amp;"生成成长"),2))/((VLOOKUP($B233,INDIRECT($B$5&amp;"生成成长"),4))/(VLOOKUP(DQ$72,INDIRECT($C$5&amp;"生成成长"),5))*(VLOOKUP($B$5,标准坦克设计!$B$24:$U$30,MATCH("对"&amp;LEFT($C$5,2)&amp;"输出",标准坦克设计!$B$23:$U$23,0)))*(VLOOKUP($B233,INDIRECT($B$5&amp;"生成成长"),3))*(VLOOKUP($B$5,标准坦克设计!$B$14:$K$20,9)/30))</f>
        <v>2.2039464782653315</v>
      </c>
      <c r="DR233" s="173">
        <f ca="1">(VLOOKUP(DR$72,INDIRECT($C$5&amp;"生成成长"),2))/((VLOOKUP($B233,INDIRECT($B$5&amp;"生成成长"),4))/(VLOOKUP(DR$72,INDIRECT($C$5&amp;"生成成长"),5))*(VLOOKUP($B$5,标准坦克设计!$B$24:$U$30,MATCH("对"&amp;LEFT($C$5,2)&amp;"输出",标准坦克设计!$B$23:$U$23,0)))*(VLOOKUP($B233,INDIRECT($B$5&amp;"生成成长"),3))*(VLOOKUP($B$5,标准坦克设计!$B$14:$K$20,9)/30))</f>
        <v>2.3950460560910702</v>
      </c>
      <c r="DS233" s="173">
        <f ca="1">(VLOOKUP(DS$72,INDIRECT($C$5&amp;"生成成长"),2))/((VLOOKUP($B233,INDIRECT($B$5&amp;"生成成长"),4))/(VLOOKUP(DS$72,INDIRECT($C$5&amp;"生成成长"),5))*(VLOOKUP($B$5,标准坦克设计!$B$24:$U$30,MATCH("对"&amp;LEFT($C$5,2)&amp;"输出",标准坦克设计!$B$23:$U$23,0)))*(VLOOKUP($B233,INDIRECT($B$5&amp;"生成成长"),3))*(VLOOKUP($B$5,标准坦克设计!$B$14:$K$20,9)/30))</f>
        <v>2.594089727221343</v>
      </c>
      <c r="DT233" s="173">
        <f ca="1">(VLOOKUP(DT$72,INDIRECT($C$5&amp;"生成成长"),2))/((VLOOKUP($B233,INDIRECT($B$5&amp;"生成成长"),4))/(VLOOKUP(DT$72,INDIRECT($C$5&amp;"生成成长"),5))*(VLOOKUP($B$5,标准坦克设计!$B$24:$U$30,MATCH("对"&amp;LEFT($C$5,2)&amp;"输出",标准坦克设计!$B$23:$U$23,0)))*(VLOOKUP($B233,INDIRECT($B$5&amp;"生成成长"),3))*(VLOOKUP($B$5,标准坦克设计!$B$14:$K$20,9)/30))</f>
        <v>2.8481536001274632</v>
      </c>
      <c r="DU233" s="173">
        <f ca="1">(VLOOKUP(DU$72,INDIRECT($C$5&amp;"生成成长"),2))/((VLOOKUP($B233,INDIRECT($B$5&amp;"生成成长"),4))/(VLOOKUP(DU$72,INDIRECT($C$5&amp;"生成成长"),5))*(VLOOKUP($B$5,标准坦克设计!$B$24:$U$30,MATCH("对"&amp;LEFT($C$5,2)&amp;"输出",标准坦克设计!$B$23:$U$23,0)))*(VLOOKUP($B233,INDIRECT($B$5&amp;"生成成长"),3))*(VLOOKUP($B$5,标准坦克设计!$B$14:$K$20,9)/30))</f>
        <v>3.1140845753773942</v>
      </c>
      <c r="DV233" s="173">
        <f ca="1">(VLOOKUP(DV$72,INDIRECT($C$5&amp;"生成成长"),2))/((VLOOKUP($B233,INDIRECT($B$5&amp;"生成成长"),4))/(VLOOKUP(DV$72,INDIRECT($C$5&amp;"生成成长"),5))*(VLOOKUP($B$5,标准坦克设计!$B$24:$U$30,MATCH("对"&amp;LEFT($C$5,2)&amp;"输出",标准坦克设计!$B$23:$U$23,0)))*(VLOOKUP($B233,INDIRECT($B$5&amp;"生成成长"),3))*(VLOOKUP($B$5,标准坦克设计!$B$14:$K$20,9)/30))</f>
        <v>3.3918826529711348</v>
      </c>
      <c r="DW233" s="173">
        <f ca="1">(VLOOKUP(DW$72,INDIRECT($C$5&amp;"生成成长"),2))/((VLOOKUP($B233,INDIRECT($B$5&amp;"生成成长"),4))/(VLOOKUP(DW$72,INDIRECT($C$5&amp;"生成成长"),5))*(VLOOKUP($B$5,标准坦克设计!$B$24:$U$30,MATCH("对"&amp;LEFT($C$5,2)&amp;"输出",标准坦克设计!$B$23:$U$23,0)))*(VLOOKUP($B233,INDIRECT($B$5&amp;"生成成长"),3))*(VLOOKUP($B$5,标准坦克设计!$B$14:$K$20,9)/30))</f>
        <v>3.6815478329086866</v>
      </c>
      <c r="DX233" s="173">
        <f ca="1">(VLOOKUP(DX$72,INDIRECT($C$5&amp;"生成成长"),2))/((VLOOKUP($B233,INDIRECT($B$5&amp;"生成成长"),4))/(VLOOKUP(DX$72,INDIRECT($C$5&amp;"生成成长"),5))*(VLOOKUP($B$5,标准坦克设计!$B$24:$U$30,MATCH("对"&amp;LEFT($C$5,2)&amp;"输出",标准坦克设计!$B$23:$U$23,0)))*(VLOOKUP($B233,INDIRECT($B$5&amp;"生成成长"),3))*(VLOOKUP($B$5,标准坦克设计!$B$14:$K$20,9)/30))</f>
        <v>3.9830801151900483</v>
      </c>
      <c r="DY233" s="173">
        <f ca="1">(VLOOKUP(DY$72,INDIRECT($C$5&amp;"生成成长"),2))/((VLOOKUP($B233,INDIRECT($B$5&amp;"生成成长"),4))/(VLOOKUP(DY$72,INDIRECT($C$5&amp;"生成成长"),5))*(VLOOKUP($B$5,标准坦克设计!$B$24:$U$30,MATCH("对"&amp;LEFT($C$5,2)&amp;"输出",标准坦克设计!$B$23:$U$23,0)))*(VLOOKUP($B233,INDIRECT($B$5&amp;"生成成长"),3))*(VLOOKUP($B$5,标准坦克设计!$B$14:$K$20,9)/30))</f>
        <v>1.7889411595229074</v>
      </c>
      <c r="DZ233" s="173">
        <f ca="1">(VLOOKUP(DZ$72,INDIRECT($C$5&amp;"生成成长"),2))/((VLOOKUP($B233,INDIRECT($B$5&amp;"生成成长"),4))/(VLOOKUP(DZ$72,INDIRECT($C$5&amp;"生成成长"),5))*(VLOOKUP($B$5,标准坦克设计!$B$24:$U$30,MATCH("对"&amp;LEFT($C$5,2)&amp;"输出",标准坦克设计!$B$23:$U$23,0)))*(VLOOKUP($B233,INDIRECT($B$5&amp;"生成成长"),3))*(VLOOKUP($B$5,标准坦克设计!$B$14:$K$20,9)/30))</f>
        <v>1.9811686024474382</v>
      </c>
      <c r="EA233" s="173">
        <f ca="1">(VLOOKUP(EA$72,INDIRECT($C$5&amp;"生成成长"),2))/((VLOOKUP($B233,INDIRECT($B$5&amp;"生成成长"),4))/(VLOOKUP(EA$72,INDIRECT($C$5&amp;"生成成长"),5))*(VLOOKUP($B$5,标准坦克设计!$B$24:$U$30,MATCH("对"&amp;LEFT($C$5,2)&amp;"输出",标准坦克设计!$B$23:$U$23,0)))*(VLOOKUP($B233,INDIRECT($B$5&amp;"生成成长"),3))*(VLOOKUP($B$5,标准坦克设计!$B$14:$K$20,9)/30))</f>
        <v>2.1832035679701587</v>
      </c>
      <c r="EB233" s="173">
        <f ca="1">(VLOOKUP(EB$72,INDIRECT($C$5&amp;"生成成长"),2))/((VLOOKUP($B233,INDIRECT($B$5&amp;"生成成长"),4))/(VLOOKUP(EB$72,INDIRECT($C$5&amp;"生成成长"),5))*(VLOOKUP($B$5,标准坦克设计!$B$24:$U$30,MATCH("对"&amp;LEFT($C$5,2)&amp;"输出",标准坦克设计!$B$23:$U$23,0)))*(VLOOKUP($B233,INDIRECT($B$5&amp;"生成成长"),3))*(VLOOKUP($B$5,标准坦克设计!$B$14:$K$20,9)/30))</f>
        <v>2.3950460560910702</v>
      </c>
      <c r="EC233" s="173">
        <f ca="1">(VLOOKUP(EC$72,INDIRECT($C$5&amp;"生成成长"),2))/((VLOOKUP($B233,INDIRECT($B$5&amp;"生成成长"),4))/(VLOOKUP(EC$72,INDIRECT($C$5&amp;"生成成长"),5))*(VLOOKUP($B$5,标准坦克设计!$B$24:$U$30,MATCH("对"&amp;LEFT($C$5,2)&amp;"输出",标准坦克设计!$B$23:$U$23,0)))*(VLOOKUP($B233,INDIRECT($B$5&amp;"生成成长"),3))*(VLOOKUP($B$5,标准坦克设计!$B$14:$K$20,9)/30))</f>
        <v>2.6166960668101718</v>
      </c>
      <c r="ED233" s="173">
        <f ca="1">(VLOOKUP(ED$72,INDIRECT($C$5&amp;"生成成长"),2))/((VLOOKUP($B233,INDIRECT($B$5&amp;"生成成长"),4))/(VLOOKUP(ED$72,INDIRECT($C$5&amp;"生成成长"),5))*(VLOOKUP($B$5,标准坦克设计!$B$24:$U$30,MATCH("对"&amp;LEFT($C$5,2)&amp;"输出",标准坦克设计!$B$23:$U$23,0)))*(VLOOKUP($B233,INDIRECT($B$5&amp;"生成成长"),3))*(VLOOKUP($B$5,标准坦克设计!$B$14:$K$20,9)/30))</f>
        <v>2.8481536001274632</v>
      </c>
      <c r="EE233" s="173">
        <f ca="1">(VLOOKUP(EE$72,INDIRECT($C$5&amp;"生成成长"),2))/((VLOOKUP($B233,INDIRECT($B$5&amp;"生成成长"),4))/(VLOOKUP(EE$72,INDIRECT($C$5&amp;"生成成长"),5))*(VLOOKUP($B$5,标准坦克设计!$B$24:$U$30,MATCH("对"&amp;LEFT($C$5,2)&amp;"输出",标准坦克设计!$B$23:$U$23,0)))*(VLOOKUP($B233,INDIRECT($B$5&amp;"生成成长"),3))*(VLOOKUP($B$5,标准坦克设计!$B$14:$K$20,9)/30))</f>
        <v>3.089418656042946</v>
      </c>
      <c r="EF233" s="173">
        <f ca="1">(VLOOKUP(EF$72,INDIRECT($C$5&amp;"生成成长"),2))/((VLOOKUP($B233,INDIRECT($B$5&amp;"生成成长"),4))/(VLOOKUP(EF$72,INDIRECT($C$5&amp;"生成成长"),5))*(VLOOKUP($B$5,标准坦克设计!$B$24:$U$30,MATCH("对"&amp;LEFT($C$5,2)&amp;"输出",标准坦克设计!$B$23:$U$23,0)))*(VLOOKUP($B233,INDIRECT($B$5&amp;"生成成长"),3))*(VLOOKUP($B$5,标准坦克设计!$B$14:$K$20,9)/30))</f>
        <v>3.3404912345566178</v>
      </c>
      <c r="EG233" s="173">
        <f ca="1">(VLOOKUP(EG$72,INDIRECT($C$5&amp;"生成成长"),2))/((VLOOKUP($B233,INDIRECT($B$5&amp;"生成成长"),4))/(VLOOKUP(EG$72,INDIRECT($C$5&amp;"生成成长"),5))*(VLOOKUP($B$5,标准坦克设计!$B$24:$U$30,MATCH("对"&amp;LEFT($C$5,2)&amp;"输出",标准坦克设计!$B$23:$U$23,0)))*(VLOOKUP($B233,INDIRECT($B$5&amp;"生成成长"),3))*(VLOOKUP($B$5,标准坦克设计!$B$14:$K$20,9)/30))</f>
        <v>3.60137133566848</v>
      </c>
      <c r="EH233" s="173">
        <f ca="1">(VLOOKUP(EH$72,INDIRECT($C$5&amp;"生成成长"),2))/((VLOOKUP($B233,INDIRECT($B$5&amp;"生成成长"),4))/(VLOOKUP(EH$72,INDIRECT($C$5&amp;"生成成长"),5))*(VLOOKUP($B$5,标准坦克设计!$B$24:$U$30,MATCH("对"&amp;LEFT($C$5,2)&amp;"输出",标准坦克设计!$B$23:$U$23,0)))*(VLOOKUP($B233,INDIRECT($B$5&amp;"生成成长"),3))*(VLOOKUP($B$5,标准坦克设计!$B$14:$K$20,9)/30))</f>
        <v>3.8720589593785339</v>
      </c>
      <c r="EI233" s="173">
        <f ca="1">(VLOOKUP(EI$72,INDIRECT($C$5&amp;"生成成长"),2))/((VLOOKUP($B233,INDIRECT($B$5&amp;"生成成长"),4))/(VLOOKUP(EI$72,INDIRECT($C$5&amp;"生成成长"),5))*(VLOOKUP($B$5,标准坦克设计!$B$24:$U$30,MATCH("对"&amp;LEFT($C$5,2)&amp;"输出",标准坦克设计!$B$23:$U$23,0)))*(VLOOKUP($B233,INDIRECT($B$5&amp;"生成成长"),3))*(VLOOKUP($B$5,标准坦克设计!$B$14:$K$20,9)/30))</f>
        <v>4.1525541056867779</v>
      </c>
      <c r="EJ233" s="173">
        <f ca="1">(VLOOKUP(EJ$72,INDIRECT($C$5&amp;"生成成长"),2))/((VLOOKUP($B233,INDIRECT($B$5&amp;"生成成长"),4))/(VLOOKUP(EJ$72,INDIRECT($C$5&amp;"生成成长"),5))*(VLOOKUP($B$5,标准坦克设计!$B$24:$U$30,MATCH("对"&amp;LEFT($C$5,2)&amp;"输出",标准坦克设计!$B$23:$U$23,0)))*(VLOOKUP($B233,INDIRECT($B$5&amp;"生成成长"),3))*(VLOOKUP($B$5,标准坦克设计!$B$14:$K$20,9)/30))</f>
        <v>4.4428567745932108</v>
      </c>
      <c r="EK233" s="173">
        <f ca="1">(VLOOKUP(EK$72,INDIRECT($C$5&amp;"生成成长"),2))/((VLOOKUP($B233,INDIRECT($B$5&amp;"生成成长"),4))/(VLOOKUP(EK$72,INDIRECT($C$5&amp;"生成成长"),5))*(VLOOKUP($B$5,标准坦克设计!$B$24:$U$30,MATCH("对"&amp;LEFT($C$5,2)&amp;"输出",标准坦克设计!$B$23:$U$23,0)))*(VLOOKUP($B233,INDIRECT($B$5&amp;"生成成长"),3))*(VLOOKUP($B$5,标准坦克设计!$B$14:$K$20,9)/30))</f>
        <v>4.8041659071105434</v>
      </c>
      <c r="EL233" s="173">
        <f ca="1">(VLOOKUP(EL$72,INDIRECT($C$5&amp;"生成成长"),2))/((VLOOKUP($B233,INDIRECT($B$5&amp;"生成成长"),4))/(VLOOKUP(EL$72,INDIRECT($C$5&amp;"生成成长"),5))*(VLOOKUP($B$5,标准坦克设计!$B$24:$U$30,MATCH("对"&amp;LEFT($C$5,2)&amp;"输出",标准坦克设计!$B$23:$U$23,0)))*(VLOOKUP($B233,INDIRECT($B$5&amp;"生成成长"),3))*(VLOOKUP($B$5,标准坦克设计!$B$14:$K$20,9)/30))</f>
        <v>5.1795978721692695</v>
      </c>
      <c r="EM233" s="173">
        <f ca="1">(VLOOKUP(EM$72,INDIRECT($C$5&amp;"生成成长"),2))/((VLOOKUP($B233,INDIRECT($B$5&amp;"生成成长"),4))/(VLOOKUP(EM$72,INDIRECT($C$5&amp;"生成成长"),5))*(VLOOKUP($B$5,标准坦克设计!$B$24:$U$30,MATCH("对"&amp;LEFT($C$5,2)&amp;"输出",标准坦克设计!$B$23:$U$23,0)))*(VLOOKUP($B233,INDIRECT($B$5&amp;"生成成长"),3))*(VLOOKUP($B$5,标准坦克设计!$B$14:$K$20,9)/30))</f>
        <v>5.5691526697693883</v>
      </c>
      <c r="EN233" s="173">
        <f ca="1">(VLOOKUP(EN$72,INDIRECT($C$5&amp;"生成成长"),2))/((VLOOKUP($B233,INDIRECT($B$5&amp;"生成成长"),4))/(VLOOKUP(EN$72,INDIRECT($C$5&amp;"生成成长"),5))*(VLOOKUP($B$5,标准坦克设计!$B$24:$U$30,MATCH("对"&amp;LEFT($C$5,2)&amp;"输出",标准坦克设计!$B$23:$U$23,0)))*(VLOOKUP($B233,INDIRECT($B$5&amp;"生成成长"),3))*(VLOOKUP($B$5,标准坦克设计!$B$14:$K$20,9)/30))</f>
        <v>5.9728302999109024</v>
      </c>
      <c r="EO233" s="173">
        <f ca="1">(VLOOKUP(EO$72,INDIRECT($C$5&amp;"生成成长"),2))/((VLOOKUP($B233,INDIRECT($B$5&amp;"生成成长"),4))/(VLOOKUP(EO$72,INDIRECT($C$5&amp;"生成成长"),5))*(VLOOKUP($B$5,标准坦克设计!$B$24:$U$30,MATCH("对"&amp;LEFT($C$5,2)&amp;"输出",标准坦克设计!$B$23:$U$23,0)))*(VLOOKUP($B233,INDIRECT($B$5&amp;"生成成长"),3))*(VLOOKUP($B$5,标准坦克设计!$B$14:$K$20,9)/30))</f>
        <v>6.390630762593811</v>
      </c>
      <c r="EP233" s="173">
        <f ca="1">(VLOOKUP(EP$72,INDIRECT($C$5&amp;"生成成长"),2))/((VLOOKUP($B233,INDIRECT($B$5&amp;"生成成长"),4))/(VLOOKUP(EP$72,INDIRECT($C$5&amp;"生成成长"),5))*(VLOOKUP($B$5,标准坦克设计!$B$24:$U$30,MATCH("对"&amp;LEFT($C$5,2)&amp;"输出",标准坦克设计!$B$23:$U$23,0)))*(VLOOKUP($B233,INDIRECT($B$5&amp;"生成成长"),3))*(VLOOKUP($B$5,标准坦克设计!$B$14:$K$20,9)/30))</f>
        <v>6.8225540578181132</v>
      </c>
      <c r="EQ233" s="173">
        <f ca="1">(VLOOKUP(EQ$72,INDIRECT($C$5&amp;"生成成长"),2))/((VLOOKUP($B233,INDIRECT($B$5&amp;"生成成长"),4))/(VLOOKUP(EQ$72,INDIRECT($C$5&amp;"生成成长"),5))*(VLOOKUP($B$5,标准坦克设计!$B$24:$U$30,MATCH("对"&amp;LEFT($C$5,2)&amp;"输出",标准坦克设计!$B$23:$U$23,0)))*(VLOOKUP($B233,INDIRECT($B$5&amp;"生成成长"),3))*(VLOOKUP($B$5,标准坦克设计!$B$14:$K$20,9)/30))</f>
        <v>3.0160093493954907</v>
      </c>
      <c r="ER233" s="173">
        <f ca="1">(VLOOKUP(ER$72,INDIRECT($C$5&amp;"生成成长"),2))/((VLOOKUP($B233,INDIRECT($B$5&amp;"生成成长"),4))/(VLOOKUP(ER$72,INDIRECT($C$5&amp;"生成成长"),5))*(VLOOKUP($B$5,标准坦克设计!$B$24:$U$30,MATCH("对"&amp;LEFT($C$5,2)&amp;"输出",标准坦克设计!$B$23:$U$23,0)))*(VLOOKUP($B233,INDIRECT($B$5&amp;"生成成长"),3))*(VLOOKUP($B$5,标准坦克设计!$B$14:$K$20,9)/30))</f>
        <v>3.2894921170460281</v>
      </c>
      <c r="ES233" s="173">
        <f ca="1">(VLOOKUP(ES$72,INDIRECT($C$5&amp;"生成成长"),2))/((VLOOKUP($B233,INDIRECT($B$5&amp;"生成成长"),4))/(VLOOKUP(ES$72,INDIRECT($C$5&amp;"生成成长"),5))*(VLOOKUP($B$5,标准坦克设计!$B$24:$U$30,MATCH("对"&amp;LEFT($C$5,2)&amp;"输出",标准坦克设计!$B$23:$U$23,0)))*(VLOOKUP($B233,INDIRECT($B$5&amp;"生成成长"),3))*(VLOOKUP($B$5,标准坦克设计!$B$14:$K$20,9)/30))</f>
        <v>3.5748419870403758</v>
      </c>
      <c r="ET233" s="173">
        <f ca="1">(VLOOKUP(ET$72,INDIRECT($C$5&amp;"生成成长"),2))/((VLOOKUP($B233,INDIRECT($B$5&amp;"生成成长"),4))/(VLOOKUP(ET$72,INDIRECT($C$5&amp;"生成成长"),5))*(VLOOKUP($B$5,标准坦克设计!$B$24:$U$30,MATCH("对"&amp;LEFT($C$5,2)&amp;"输出",标准坦克设计!$B$23:$U$23,0)))*(VLOOKUP($B233,INDIRECT($B$5&amp;"生成成长"),3))*(VLOOKUP($B$5,标准坦克设计!$B$14:$K$20,9)/30))</f>
        <v>3.8720589593785339</v>
      </c>
      <c r="EU233" s="173">
        <f ca="1">(VLOOKUP(EU$72,INDIRECT($C$5&amp;"生成成长"),2))/((VLOOKUP($B233,INDIRECT($B$5&amp;"生成成长"),4))/(VLOOKUP(EU$72,INDIRECT($C$5&amp;"生成成长"),5))*(VLOOKUP($B$5,标准坦克设计!$B$24:$U$30,MATCH("对"&amp;LEFT($C$5,2)&amp;"输出",标准坦克设计!$B$23:$U$23,0)))*(VLOOKUP($B233,INDIRECT($B$5&amp;"生成成长"),3))*(VLOOKUP($B$5,标准坦克设计!$B$14:$K$20,9)/30))</f>
        <v>4.1811430340605025</v>
      </c>
      <c r="EV233" s="173">
        <f ca="1">(VLOOKUP(EV$72,INDIRECT($C$5&amp;"生成成长"),2))/((VLOOKUP($B233,INDIRECT($B$5&amp;"生成成长"),4))/(VLOOKUP(EV$72,INDIRECT($C$5&amp;"生成成长"),5))*(VLOOKUP($B$5,标准坦克设计!$B$24:$U$30,MATCH("对"&amp;LEFT($C$5,2)&amp;"输出",标准坦克设计!$B$23:$U$23,0)))*(VLOOKUP($B233,INDIRECT($B$5&amp;"生成成长"),3))*(VLOOKUP($B$5,标准坦克设计!$B$14:$K$20,9)/30))</f>
        <v>4.5020942110862805</v>
      </c>
      <c r="EW233" s="173">
        <f ca="1">(VLOOKUP(EW$72,INDIRECT($C$5&amp;"生成成长"),2))/((VLOOKUP($B233,INDIRECT($B$5&amp;"生成成长"),4))/(VLOOKUP(EW$72,INDIRECT($C$5&amp;"生成成长"),5))*(VLOOKUP($B$5,标准坦克设计!$B$24:$U$30,MATCH("对"&amp;LEFT($C$5,2)&amp;"输出",标准坦克设计!$B$23:$U$23,0)))*(VLOOKUP($B233,INDIRECT($B$5&amp;"生成成长"),3))*(VLOOKUP($B$5,标准坦克设计!$B$14:$K$20,9)/30))</f>
        <v>4.8349124904558698</v>
      </c>
      <c r="EX233" s="173">
        <f ca="1">(VLOOKUP(EX$72,INDIRECT($C$5&amp;"生成成长"),2))/((VLOOKUP($B233,INDIRECT($B$5&amp;"生成成长"),4))/(VLOOKUP(EX$72,INDIRECT($C$5&amp;"生成成长"),5))*(VLOOKUP($B$5,标准坦克设计!$B$24:$U$30,MATCH("对"&amp;LEFT($C$5,2)&amp;"输出",标准坦克设计!$B$23:$U$23,0)))*(VLOOKUP($B233,INDIRECT($B$5&amp;"生成成长"),3))*(VLOOKUP($B$5,标准坦克设计!$B$14:$K$20,9)/30))</f>
        <v>5.1795978721692695</v>
      </c>
      <c r="EY233" s="173">
        <f ca="1">(VLOOKUP(EY$72,INDIRECT($C$5&amp;"生成成长"),2))/((VLOOKUP($B233,INDIRECT($B$5&amp;"生成成长"),4))/(VLOOKUP(EY$72,INDIRECT($C$5&amp;"生成成长"),5))*(VLOOKUP($B$5,标准坦克设计!$B$24:$U$30,MATCH("对"&amp;LEFT($C$5,2)&amp;"输出",标准坦克设计!$B$23:$U$23,0)))*(VLOOKUP($B233,INDIRECT($B$5&amp;"生成成长"),3))*(VLOOKUP($B$5,标准坦克设计!$B$14:$K$20,9)/30))</f>
        <v>5.5361503562264787</v>
      </c>
      <c r="EZ233" s="173">
        <f ca="1">(VLOOKUP(EZ$72,INDIRECT($C$5&amp;"生成成长"),2))/((VLOOKUP($B233,INDIRECT($B$5&amp;"生成成长"),4))/(VLOOKUP(EZ$72,INDIRECT($C$5&amp;"生成成长"),5))*(VLOOKUP($B$5,标准坦克设计!$B$24:$U$30,MATCH("对"&amp;LEFT($C$5,2)&amp;"输出",标准坦克设计!$B$23:$U$23,0)))*(VLOOKUP($B233,INDIRECT($B$5&amp;"生成成长"),3))*(VLOOKUP($B$5,标准坦克设计!$B$14:$K$20,9)/30))</f>
        <v>5.9045699426274982</v>
      </c>
      <c r="FA233" s="173">
        <f ca="1">(VLOOKUP(FA$72,INDIRECT($C$5&amp;"生成成长"),2))/((VLOOKUP($B233,INDIRECT($B$5&amp;"生成成长"),4))/(VLOOKUP(FA$72,INDIRECT($C$5&amp;"生成成长"),5))*(VLOOKUP($B$5,标准坦克设计!$B$24:$U$30,MATCH("对"&amp;LEFT($C$5,2)&amp;"输出",标准坦克设计!$B$23:$U$23,0)))*(VLOOKUP($B233,INDIRECT($B$5&amp;"生成成长"),3))*(VLOOKUP($B$5,标准坦克设计!$B$14:$K$20,9)/30))</f>
        <v>6.2848566313723282</v>
      </c>
      <c r="FB233" s="173">
        <f ca="1">(VLOOKUP(FB$72,INDIRECT($C$5&amp;"生成成长"),2))/((VLOOKUP($B233,INDIRECT($B$5&amp;"生成成长"),4))/(VLOOKUP(FB$72,INDIRECT($C$5&amp;"生成成长"),5))*(VLOOKUP($B$5,标准坦克设计!$B$24:$U$30,MATCH("对"&amp;LEFT($C$5,2)&amp;"输出",标准坦克设计!$B$23:$U$23,0)))*(VLOOKUP($B233,INDIRECT($B$5&amp;"生成成长"),3))*(VLOOKUP($B$5,标准坦克设计!$B$14:$K$20,9)/30))</f>
        <v>6.6770104224609694</v>
      </c>
      <c r="FC233" s="173">
        <f ca="1">(VLOOKUP(FC$72,INDIRECT($C$5&amp;"生成成长"),2))/((VLOOKUP($B233,INDIRECT($B$5&amp;"生成成长"),4))/(VLOOKUP(FC$72,INDIRECT($C$5&amp;"生成成长"),5))*(VLOOKUP($B$5,标准坦克设计!$B$24:$U$30,MATCH("对"&amp;LEFT($C$5,2)&amp;"输出",标准坦克设计!$B$23:$U$23,0)))*(VLOOKUP($B233,INDIRECT($B$5&amp;"生成成长"),3))*(VLOOKUP($B$5,标准坦克设计!$B$14:$K$20,9)/30))</f>
        <v>7.0810313158934193</v>
      </c>
      <c r="FD233" s="173">
        <f ca="1">(VLOOKUP(FD$72,INDIRECT($C$5&amp;"生成成长"),2))/((VLOOKUP($B233,INDIRECT($B$5&amp;"生成成长"),4))/(VLOOKUP(FD$72,INDIRECT($C$5&amp;"生成成长"),5))*(VLOOKUP($B$5,标准坦克设计!$B$24:$U$30,MATCH("对"&amp;LEFT($C$5,2)&amp;"输出",标准坦克设计!$B$23:$U$23,0)))*(VLOOKUP($B233,INDIRECT($B$5&amp;"生成成长"),3))*(VLOOKUP($B$5,标准坦克设计!$B$14:$K$20,9)/30))</f>
        <v>7.4969193116696795</v>
      </c>
      <c r="FE233" s="173">
        <f ca="1">(VLOOKUP(FE$72,INDIRECT($C$5&amp;"生成成长"),2))/((VLOOKUP($B233,INDIRECT($B$5&amp;"生成成长"),4))/(VLOOKUP(FE$72,INDIRECT($C$5&amp;"生成成长"),5))*(VLOOKUP($B$5,标准坦克设计!$B$24:$U$30,MATCH("对"&amp;LEFT($C$5,2)&amp;"输出",标准坦克设计!$B$23:$U$23,0)))*(VLOOKUP($B233,INDIRECT($B$5&amp;"生成成长"),3))*(VLOOKUP($B$5,标准坦克设计!$B$14:$K$20,9)/30))</f>
        <v>8.0037230419311669</v>
      </c>
      <c r="FF233" s="173">
        <f ca="1">(VLOOKUP(FF$72,INDIRECT($C$5&amp;"生成成长"),2))/((VLOOKUP($B233,INDIRECT($B$5&amp;"生成成长"),4))/(VLOOKUP(FF$72,INDIRECT($C$5&amp;"生成成长"),5))*(VLOOKUP($B$5,标准坦克设计!$B$24:$U$30,MATCH("对"&amp;LEFT($C$5,2)&amp;"输出",标准坦克设计!$B$23:$U$23,0)))*(VLOOKUP($B233,INDIRECT($B$5&amp;"生成成长"),3))*(VLOOKUP($B$5,标准坦克设计!$B$14:$K$20,9)/30))</f>
        <v>8.5271014853835929</v>
      </c>
      <c r="FG233" s="173">
        <f ca="1">(VLOOKUP(FG$72,INDIRECT($C$5&amp;"生成成长"),2))/((VLOOKUP($B233,INDIRECT($B$5&amp;"生成成长"),4))/(VLOOKUP(FG$72,INDIRECT($C$5&amp;"生成成长"),5))*(VLOOKUP($B$5,标准坦克设计!$B$24:$U$30,MATCH("对"&amp;LEFT($C$5,2)&amp;"输出",标准坦克设计!$B$23:$U$23,0)))*(VLOOKUP($B233,INDIRECT($B$5&amp;"生成成长"),3))*(VLOOKUP($B$5,标准坦克设计!$B$14:$K$20,9)/30))</f>
        <v>9.067054642026962</v>
      </c>
      <c r="FH233" s="173">
        <f ca="1">(VLOOKUP(FH$72,INDIRECT($C$5&amp;"生成成长"),2))/((VLOOKUP($B233,INDIRECT($B$5&amp;"生成成长"),4))/(VLOOKUP(FH$72,INDIRECT($C$5&amp;"生成成长"),5))*(VLOOKUP($B$5,标准坦克设计!$B$24:$U$30,MATCH("对"&amp;LEFT($C$5,2)&amp;"输出",标准坦克设计!$B$23:$U$23,0)))*(VLOOKUP($B233,INDIRECT($B$5&amp;"生成成长"),3))*(VLOOKUP($B$5,标准坦克设计!$B$14:$K$20,9)/30))</f>
        <v>9.6235825118612706</v>
      </c>
      <c r="FI233" s="173">
        <f ca="1">(VLOOKUP(FI$72,INDIRECT($C$5&amp;"生成成长"),2))/((VLOOKUP($B233,INDIRECT($B$5&amp;"生成成长"),4))/(VLOOKUP(FI$72,INDIRECT($C$5&amp;"生成成长"),5))*(VLOOKUP($B$5,标准坦克设计!$B$24:$U$30,MATCH("对"&amp;LEFT($C$5,2)&amp;"输出",标准坦克设计!$B$23:$U$23,0)))*(VLOOKUP($B233,INDIRECT($B$5&amp;"生成成长"),3))*(VLOOKUP($B$5,标准坦克设计!$B$14:$K$20,9)/30))</f>
        <v>10.196685094886524</v>
      </c>
      <c r="FJ233" s="173">
        <f ca="1">(VLOOKUP(FJ$72,INDIRECT($C$5&amp;"生成成长"),2))/((VLOOKUP($B233,INDIRECT($B$5&amp;"生成成长"),4))/(VLOOKUP(FJ$72,INDIRECT($C$5&amp;"生成成长"),5))*(VLOOKUP($B$5,标准坦克设计!$B$24:$U$30,MATCH("对"&amp;LEFT($C$5,2)&amp;"输出",标准坦克设计!$B$23:$U$23,0)))*(VLOOKUP($B233,INDIRECT($B$5&amp;"生成成长"),3))*(VLOOKUP($B$5,标准坦克设计!$B$14:$K$20,9)/30))</f>
        <v>10.786362391102717</v>
      </c>
      <c r="FK233" s="173">
        <f ca="1">(VLOOKUP(FK$72,INDIRECT($C$5&amp;"生成成长"),2))/((VLOOKUP($B233,INDIRECT($B$5&amp;"生成成长"),4))/(VLOOKUP(FK$72,INDIRECT($C$5&amp;"生成成长"),5))*(VLOOKUP($B$5,标准坦克设计!$B$24:$U$30,MATCH("对"&amp;LEFT($C$5,2)&amp;"输出",标准坦克设计!$B$23:$U$23,0)))*(VLOOKUP($B233,INDIRECT($B$5&amp;"生成成长"),3))*(VLOOKUP($B$5,标准坦克设计!$B$14:$K$20,9)/30))</f>
        <v>11.392614400509853</v>
      </c>
    </row>
    <row r="234" spans="1:167" x14ac:dyDescent="0.15">
      <c r="A234" s="171" t="str">
        <f t="shared" si="13"/>
        <v>T5高品质18级</v>
      </c>
      <c r="B234" s="172">
        <v>30518</v>
      </c>
      <c r="C234" s="173">
        <f ca="1">(VLOOKUP(C$72,INDIRECT($C$5&amp;"生成成长"),2))/((VLOOKUP($B234,INDIRECT($B$5&amp;"生成成长"),4))/(VLOOKUP(C$72,INDIRECT($C$5&amp;"生成成长"),5))*(VLOOKUP($B$5,标准坦克设计!$B$24:$U$30,MATCH("对"&amp;LEFT($C$5,2)&amp;"输出",标准坦克设计!$B$23:$U$23,0)))*(VLOOKUP($B234,INDIRECT($B$5&amp;"生成成长"),3))*(VLOOKUP($B$5,标准坦克设计!$B$14:$K$20,9)/30))</f>
        <v>0.46250184104230491</v>
      </c>
      <c r="D234" s="173">
        <f ca="1">(VLOOKUP(D$72,INDIRECT($C$5&amp;"生成成长"),2))/((VLOOKUP($B234,INDIRECT($B$5&amp;"生成成长"),4))/(VLOOKUP(D$72,INDIRECT($C$5&amp;"生成成长"),5))*(VLOOKUP($B$5,标准坦克设计!$B$24:$U$30,MATCH("对"&amp;LEFT($C$5,2)&amp;"输出",标准坦克设计!$B$23:$U$23,0)))*(VLOOKUP($B234,INDIRECT($B$5&amp;"生成成长"),3))*(VLOOKUP($B$5,标准坦克设计!$B$14:$K$20,9)/30))</f>
        <v>0.51966706859513379</v>
      </c>
      <c r="E234" s="173">
        <f ca="1">(VLOOKUP(E$72,INDIRECT($C$5&amp;"生成成长"),2))/((VLOOKUP($B234,INDIRECT($B$5&amp;"生成成长"),4))/(VLOOKUP(E$72,INDIRECT($C$5&amp;"生成成长"),5))*(VLOOKUP($B$5,标准坦克设计!$B$24:$U$30,MATCH("对"&amp;LEFT($C$5,2)&amp;"输出",标准坦克设计!$B$23:$U$23,0)))*(VLOOKUP($B234,INDIRECT($B$5&amp;"生成成长"),3))*(VLOOKUP($B$5,标准坦克设计!$B$14:$K$20,9)/30))</f>
        <v>0.58016230940346736</v>
      </c>
      <c r="F234" s="173">
        <f ca="1">(VLOOKUP(F$72,INDIRECT($C$5&amp;"生成成长"),2))/((VLOOKUP($B234,INDIRECT($B$5&amp;"生成成长"),4))/(VLOOKUP(F$72,INDIRECT($C$5&amp;"生成成长"),5))*(VLOOKUP($B$5,标准坦克设计!$B$24:$U$30,MATCH("对"&amp;LEFT($C$5,2)&amp;"输出",标准坦克设计!$B$23:$U$23,0)))*(VLOOKUP($B234,INDIRECT($B$5&amp;"生成成长"),3))*(VLOOKUP($B$5,标准坦克设计!$B$14:$K$20,9)/30))</f>
        <v>0.64398756346730535</v>
      </c>
      <c r="G234" s="173">
        <f ca="1">(VLOOKUP(G$72,INDIRECT($C$5&amp;"生成成长"),2))/((VLOOKUP($B234,INDIRECT($B$5&amp;"生成成长"),4))/(VLOOKUP(G$72,INDIRECT($C$5&amp;"生成成长"),5))*(VLOOKUP($B$5,标准坦克设计!$B$24:$U$30,MATCH("对"&amp;LEFT($C$5,2)&amp;"输出",标准坦克设计!$B$23:$U$23,0)))*(VLOOKUP($B234,INDIRECT($B$5&amp;"生成成长"),3))*(VLOOKUP($B$5,标准坦克设计!$B$14:$K$20,9)/30))</f>
        <v>0.71114283078664808</v>
      </c>
      <c r="H234" s="173">
        <f ca="1">(VLOOKUP(H$72,INDIRECT($C$5&amp;"生成成长"),2))/((VLOOKUP($B234,INDIRECT($B$5&amp;"生成成长"),4))/(VLOOKUP(H$72,INDIRECT($C$5&amp;"生成成长"),5))*(VLOOKUP($B$5,标准坦克设计!$B$24:$U$30,MATCH("对"&amp;LEFT($C$5,2)&amp;"输出",标准坦克设计!$B$23:$U$23,0)))*(VLOOKUP($B234,INDIRECT($B$5&amp;"生成成长"),3))*(VLOOKUP($B$5,标准坦克设计!$B$14:$K$20,9)/30))</f>
        <v>0.62234247730652537</v>
      </c>
      <c r="I234" s="173">
        <f ca="1">(VLOOKUP(I$72,INDIRECT($C$5&amp;"生成成长"),2))/((VLOOKUP($B234,INDIRECT($B$5&amp;"生成成长"),4))/(VLOOKUP(I$72,INDIRECT($C$5&amp;"生成成长"),5))*(VLOOKUP($B$5,标准坦克设计!$B$24:$U$30,MATCH("对"&amp;LEFT($C$5,2)&amp;"输出",标准坦克设计!$B$23:$U$23,0)))*(VLOOKUP($B234,INDIRECT($B$5&amp;"生成成长"),3))*(VLOOKUP($B$5,标准坦克设计!$B$14:$K$20,9)/30))</f>
        <v>0.71114283078664808</v>
      </c>
      <c r="J234" s="173">
        <f ca="1">(VLOOKUP(J$72,INDIRECT($C$5&amp;"生成成长"),2))/((VLOOKUP($B234,INDIRECT($B$5&amp;"生成成长"),4))/(VLOOKUP(J$72,INDIRECT($C$5&amp;"生成成长"),5))*(VLOOKUP($B$5,标准坦克设计!$B$24:$U$30,MATCH("对"&amp;LEFT($C$5,2)&amp;"输出",标准坦克设计!$B$23:$U$23,0)))*(VLOOKUP($B234,INDIRECT($B$5&amp;"生成成长"),3))*(VLOOKUP($B$5,标准坦克设计!$B$14:$K$20,9)/30))</f>
        <v>0.80586320783211218</v>
      </c>
      <c r="K234" s="173">
        <f ca="1">(VLOOKUP(K$72,INDIRECT($C$5&amp;"生成成长"),2))/((VLOOKUP($B234,INDIRECT($B$5&amp;"生成成长"),4))/(VLOOKUP(K$72,INDIRECT($C$5&amp;"生成成长"),5))*(VLOOKUP($B$5,标准坦克设计!$B$24:$U$30,MATCH("对"&amp;LEFT($C$5,2)&amp;"输出",标准坦克设计!$B$23:$U$23,0)))*(VLOOKUP($B234,INDIRECT($B$5&amp;"生成成长"),3))*(VLOOKUP($B$5,标准坦克设计!$B$14:$K$20,9)/30))</f>
        <v>0.90650360844291766</v>
      </c>
      <c r="L234" s="173">
        <f ca="1">(VLOOKUP(L$72,INDIRECT($C$5&amp;"生成成长"),2))/((VLOOKUP($B234,INDIRECT($B$5&amp;"生成成长"),4))/(VLOOKUP(L$72,INDIRECT($C$5&amp;"生成成长"),5))*(VLOOKUP($B$5,标准坦克设计!$B$24:$U$30,MATCH("对"&amp;LEFT($C$5,2)&amp;"输出",标准坦克设计!$B$23:$U$23,0)))*(VLOOKUP($B234,INDIRECT($B$5&amp;"生成成长"),3))*(VLOOKUP($B$5,标准坦克设计!$B$14:$K$20,9)/30))</f>
        <v>1.0130640326190645</v>
      </c>
      <c r="M234" s="173">
        <f ca="1">(VLOOKUP(M$72,INDIRECT($C$5&amp;"生成成长"),2))/((VLOOKUP($B234,INDIRECT($B$5&amp;"生成成长"),4))/(VLOOKUP(M$72,INDIRECT($C$5&amp;"生成成长"),5))*(VLOOKUP($B$5,标准坦克设计!$B$24:$U$30,MATCH("对"&amp;LEFT($C$5,2)&amp;"输出",标准坦克设计!$B$23:$U$23,0)))*(VLOOKUP($B234,INDIRECT($B$5&amp;"生成成长"),3))*(VLOOKUP($B$5,标准坦克设计!$B$14:$K$20,9)/30))</f>
        <v>1.1255444803605534</v>
      </c>
      <c r="N234" s="173">
        <f ca="1">(VLOOKUP(N$72,INDIRECT($C$5&amp;"生成成长"),2))/((VLOOKUP($B234,INDIRECT($B$5&amp;"生成成长"),4))/(VLOOKUP(N$72,INDIRECT($C$5&amp;"生成成长"),5))*(VLOOKUP($B$5,标准坦克设计!$B$24:$U$30,MATCH("对"&amp;LEFT($C$5,2)&amp;"输出",标准坦克设计!$B$23:$U$23,0)))*(VLOOKUP($B234,INDIRECT($B$5&amp;"生成成长"),3))*(VLOOKUP($B$5,标准坦克设计!$B$14:$K$20,9)/30))</f>
        <v>1.2439449516673833</v>
      </c>
      <c r="O234" s="173">
        <f ca="1">(VLOOKUP(O$72,INDIRECT($C$5&amp;"生成成长"),2))/((VLOOKUP($B234,INDIRECT($B$5&amp;"生成成长"),4))/(VLOOKUP(O$72,INDIRECT($C$5&amp;"生成成长"),5))*(VLOOKUP($B$5,标准坦克设计!$B$24:$U$30,MATCH("对"&amp;LEFT($C$5,2)&amp;"输出",标准坦克设计!$B$23:$U$23,0)))*(VLOOKUP($B234,INDIRECT($B$5&amp;"生成成长"),3))*(VLOOKUP($B$5,标准坦克设计!$B$14:$K$20,9)/30))</f>
        <v>0.94577001474740929</v>
      </c>
      <c r="P234" s="173">
        <f ca="1">(VLOOKUP(P$72,INDIRECT($C$5&amp;"生成成长"),2))/((VLOOKUP($B234,INDIRECT($B$5&amp;"生成成长"),4))/(VLOOKUP(P$72,INDIRECT($C$5&amp;"生成成长"),5))*(VLOOKUP($B$5,标准坦克设计!$B$24:$U$30,MATCH("对"&amp;LEFT($C$5,2)&amp;"输出",标准坦克设计!$B$23:$U$23,0)))*(VLOOKUP($B234,INDIRECT($B$5&amp;"生成成长"),3))*(VLOOKUP($B$5,标准坦克设计!$B$14:$K$20,9)/30))</f>
        <v>1.0685642535441413</v>
      </c>
      <c r="Q234" s="173">
        <f ca="1">(VLOOKUP(Q$72,INDIRECT($C$5&amp;"生成成长"),2))/((VLOOKUP($B234,INDIRECT($B$5&amp;"生成成长"),4))/(VLOOKUP(Q$72,INDIRECT($C$5&amp;"生成成长"),5))*(VLOOKUP($B$5,标准坦克设计!$B$24:$U$30,MATCH("对"&amp;LEFT($C$5,2)&amp;"输出",标准坦克设计!$B$23:$U$23,0)))*(VLOOKUP($B234,INDIRECT($B$5&amp;"生成成长"),3))*(VLOOKUP($B$5,标准坦克设计!$B$14:$K$20,9)/30))</f>
        <v>1.1988510221657587</v>
      </c>
      <c r="R234" s="173">
        <f ca="1">(VLOOKUP(R$72,INDIRECT($C$5&amp;"生成成长"),2))/((VLOOKUP($B234,INDIRECT($B$5&amp;"生成成长"),4))/(VLOOKUP(R$72,INDIRECT($C$5&amp;"生成成长"),5))*(VLOOKUP($B$5,标准坦克设计!$B$24:$U$30,MATCH("对"&amp;LEFT($C$5,2)&amp;"输出",标准坦克设计!$B$23:$U$23,0)))*(VLOOKUP($B234,INDIRECT($B$5&amp;"生成成长"),3))*(VLOOKUP($B$5,标准坦克设计!$B$14:$K$20,9)/30))</f>
        <v>1.3366303206122612</v>
      </c>
      <c r="S234" s="173">
        <f ca="1">(VLOOKUP(S$72,INDIRECT($C$5&amp;"生成成长"),2))/((VLOOKUP($B234,INDIRECT($B$5&amp;"生成成长"),4))/(VLOOKUP(S$72,INDIRECT($C$5&amp;"生成成长"),5))*(VLOOKUP($B$5,标准坦克设计!$B$24:$U$30,MATCH("对"&amp;LEFT($C$5,2)&amp;"输出",标准坦克设计!$B$23:$U$23,0)))*(VLOOKUP($B234,INDIRECT($B$5&amp;"生成成长"),3))*(VLOOKUP($B$5,标准坦克设计!$B$14:$K$20,9)/30))</f>
        <v>1.481902148883649</v>
      </c>
      <c r="T234" s="173">
        <f ca="1">(VLOOKUP(T$72,INDIRECT($C$5&amp;"生成成长"),2))/((VLOOKUP($B234,INDIRECT($B$5&amp;"生成成长"),4))/(VLOOKUP(T$72,INDIRECT($C$5&amp;"生成成长"),5))*(VLOOKUP($B$5,标准坦克设计!$B$24:$U$30,MATCH("对"&amp;LEFT($C$5,2)&amp;"输出",标准坦克设计!$B$23:$U$23,0)))*(VLOOKUP($B234,INDIRECT($B$5&amp;"生成成长"),3))*(VLOOKUP($B$5,标准坦克设计!$B$14:$K$20,9)/30))</f>
        <v>1.6346665069799227</v>
      </c>
      <c r="U234" s="173">
        <f ca="1">(VLOOKUP(U$72,INDIRECT($C$5&amp;"生成成长"),2))/((VLOOKUP($B234,INDIRECT($B$5&amp;"生成成长"),4))/(VLOOKUP(U$72,INDIRECT($C$5&amp;"生成成长"),5))*(VLOOKUP($B$5,标准坦克设计!$B$24:$U$30,MATCH("对"&amp;LEFT($C$5,2)&amp;"输出",标准坦克设计!$B$23:$U$23,0)))*(VLOOKUP($B234,INDIRECT($B$5&amp;"生成成长"),3))*(VLOOKUP($B$5,标准坦克设计!$B$14:$K$20,9)/30))</f>
        <v>1.794923394901081</v>
      </c>
      <c r="V234" s="173">
        <f ca="1">(VLOOKUP(V$72,INDIRECT($C$5&amp;"生成成长"),2))/((VLOOKUP($B234,INDIRECT($B$5&amp;"生成成长"),4))/(VLOOKUP(V$72,INDIRECT($C$5&amp;"生成成长"),5))*(VLOOKUP($B$5,标准坦克设计!$B$24:$U$30,MATCH("对"&amp;LEFT($C$5,2)&amp;"输出",标准坦克设计!$B$23:$U$23,0)))*(VLOOKUP($B234,INDIRECT($B$5&amp;"生成成长"),3))*(VLOOKUP($B$5,标准坦克设计!$B$14:$K$20,9)/30))</f>
        <v>1.9626728126471249</v>
      </c>
      <c r="W234" s="173">
        <f ca="1">(VLOOKUP(W$72,INDIRECT($C$5&amp;"生成成长"),2))/((VLOOKUP($B234,INDIRECT($B$5&amp;"生成成长"),4))/(VLOOKUP(W$72,INDIRECT($C$5&amp;"生成成长"),5))*(VLOOKUP($B$5,标准坦克设计!$B$24:$U$30,MATCH("对"&amp;LEFT($C$5,2)&amp;"输出",标准坦克设计!$B$23:$U$23,0)))*(VLOOKUP($B234,INDIRECT($B$5&amp;"生成成长"),3))*(VLOOKUP($B$5,标准坦克设计!$B$14:$K$20,9)/30))</f>
        <v>2.1379147602180546</v>
      </c>
      <c r="X234" s="173">
        <f ca="1">(VLOOKUP(X$72,INDIRECT($C$5&amp;"生成成长"),2))/((VLOOKUP($B234,INDIRECT($B$5&amp;"生成成长"),4))/(VLOOKUP(X$72,INDIRECT($C$5&amp;"生成成长"),5))*(VLOOKUP($B$5,标准坦克设计!$B$24:$U$30,MATCH("对"&amp;LEFT($C$5,2)&amp;"输出",标准坦克设计!$B$23:$U$23,0)))*(VLOOKUP($B234,INDIRECT($B$5&amp;"生成成长"),3))*(VLOOKUP($B$5,标准坦克设计!$B$14:$K$20,9)/30))</f>
        <v>1.5488724154665752</v>
      </c>
      <c r="Y234" s="173">
        <f ca="1">(VLOOKUP(Y$72,INDIRECT($C$5&amp;"生成成长"),2))/((VLOOKUP($B234,INDIRECT($B$5&amp;"生成成长"),4))/(VLOOKUP(Y$72,INDIRECT($C$5&amp;"生成成长"),5))*(VLOOKUP($B$5,标准坦克设计!$B$24:$U$30,MATCH("对"&amp;LEFT($C$5,2)&amp;"输出",标准坦克设计!$B$23:$U$23,0)))*(VLOOKUP($B234,INDIRECT($B$5&amp;"生成成长"),3))*(VLOOKUP($B$5,标准坦克设计!$B$14:$K$20,9)/30))</f>
        <v>1.7227731076984816</v>
      </c>
      <c r="Z234" s="173">
        <f ca="1">(VLOOKUP(Z$72,INDIRECT($C$5&amp;"生成成长"),2))/((VLOOKUP($B234,INDIRECT($B$5&amp;"生成成长"),4))/(VLOOKUP(Z$72,INDIRECT($C$5&amp;"生成成长"),5))*(VLOOKUP($B$5,标准坦克设计!$B$24:$U$30,MATCH("对"&amp;LEFT($C$5,2)&amp;"输出",标准坦克设计!$B$23:$U$23,0)))*(VLOOKUP($B234,INDIRECT($B$5&amp;"生成成长"),3))*(VLOOKUP($B$5,标准坦克设计!$B$14:$K$20,9)/30))</f>
        <v>1.9059238367512343</v>
      </c>
      <c r="AA234" s="173">
        <f ca="1">(VLOOKUP(AA$72,INDIRECT($C$5&amp;"生成成长"),2))/((VLOOKUP($B234,INDIRECT($B$5&amp;"生成成长"),4))/(VLOOKUP(AA$72,INDIRECT($C$5&amp;"生成成长"),5))*(VLOOKUP($B$5,标准坦克设计!$B$24:$U$30,MATCH("对"&amp;LEFT($C$5,2)&amp;"输出",标准坦克设计!$B$23:$U$23,0)))*(VLOOKUP($B234,INDIRECT($B$5&amp;"生成成长"),3))*(VLOOKUP($B$5,标准坦克设计!$B$14:$K$20,9)/30))</f>
        <v>2.098324602624833</v>
      </c>
      <c r="AB234" s="173">
        <f ca="1">(VLOOKUP(AB$72,INDIRECT($C$5&amp;"生成成长"),2))/((VLOOKUP($B234,INDIRECT($B$5&amp;"生成成长"),4))/(VLOOKUP(AB$72,INDIRECT($C$5&amp;"生成成长"),5))*(VLOOKUP($B$5,标准坦克设计!$B$24:$U$30,MATCH("对"&amp;LEFT($C$5,2)&amp;"输出",标准坦克设计!$B$23:$U$23,0)))*(VLOOKUP($B234,INDIRECT($B$5&amp;"生成成长"),3))*(VLOOKUP($B$5,标准坦克设计!$B$14:$K$20,9)/30))</f>
        <v>2.299975405319278</v>
      </c>
      <c r="AC234" s="173">
        <f ca="1">(VLOOKUP(AC$72,INDIRECT($C$5&amp;"生成成长"),2))/((VLOOKUP($B234,INDIRECT($B$5&amp;"生成成长"),4))/(VLOOKUP(AC$72,INDIRECT($C$5&amp;"生成成长"),5))*(VLOOKUP($B$5,标准坦克设计!$B$24:$U$30,MATCH("对"&amp;LEFT($C$5,2)&amp;"输出",标准坦克设计!$B$23:$U$23,0)))*(VLOOKUP($B234,INDIRECT($B$5&amp;"生成成长"),3))*(VLOOKUP($B$5,标准坦克设计!$B$14:$K$20,9)/30))</f>
        <v>2.5108762448345687</v>
      </c>
      <c r="AD234" s="173">
        <f ca="1">(VLOOKUP(AD$72,INDIRECT($C$5&amp;"生成成长"),2))/((VLOOKUP($B234,INDIRECT($B$5&amp;"生成成长"),4))/(VLOOKUP(AD$72,INDIRECT($C$5&amp;"生成成长"),5))*(VLOOKUP($B$5,标准坦克设计!$B$24:$U$30,MATCH("对"&amp;LEFT($C$5,2)&amp;"输出",标准坦克设计!$B$23:$U$23,0)))*(VLOOKUP($B234,INDIRECT($B$5&amp;"生成成长"),3))*(VLOOKUP($B$5,标准坦克设计!$B$14:$K$20,9)/30))</f>
        <v>2.731027121170706</v>
      </c>
      <c r="AE234" s="173">
        <f ca="1">(VLOOKUP(AE$72,INDIRECT($C$5&amp;"生成成长"),2))/((VLOOKUP($B234,INDIRECT($B$5&amp;"生成成长"),4))/(VLOOKUP(AE$72,INDIRECT($C$5&amp;"生成成长"),5))*(VLOOKUP($B$5,标准坦克设计!$B$24:$U$30,MATCH("对"&amp;LEFT($C$5,2)&amp;"输出",标准坦克设计!$B$23:$U$23,0)))*(VLOOKUP($B234,INDIRECT($B$5&amp;"生成成长"),3))*(VLOOKUP($B$5,标准坦克设计!$B$14:$K$20,9)/30))</f>
        <v>2.960428034327689</v>
      </c>
      <c r="AF234" s="173">
        <f ca="1">(VLOOKUP(AF$72,INDIRECT($C$5&amp;"生成成长"),2))/((VLOOKUP($B234,INDIRECT($B$5&amp;"生成成长"),4))/(VLOOKUP(AF$72,INDIRECT($C$5&amp;"生成成长"),5))*(VLOOKUP($B$5,标准坦克设计!$B$24:$U$30,MATCH("对"&amp;LEFT($C$5,2)&amp;"输出",标准坦克设计!$B$23:$U$23,0)))*(VLOOKUP($B234,INDIRECT($B$5&amp;"生成成长"),3))*(VLOOKUP($B$5,标准坦克设计!$B$14:$K$20,9)/30))</f>
        <v>3.199078984305519</v>
      </c>
      <c r="AG234" s="173">
        <f ca="1">(VLOOKUP(AG$72,INDIRECT($C$5&amp;"生成成长"),2))/((VLOOKUP($B234,INDIRECT($B$5&amp;"生成成长"),4))/(VLOOKUP(AG$72,INDIRECT($C$5&amp;"生成成长"),5))*(VLOOKUP($B$5,标准坦克设计!$B$24:$U$30,MATCH("对"&amp;LEFT($C$5,2)&amp;"输出",标准坦克设计!$B$23:$U$23,0)))*(VLOOKUP($B234,INDIRECT($B$5&amp;"生成成长"),3))*(VLOOKUP($B$5,标准坦克设计!$B$14:$K$20,9)/30))</f>
        <v>3.4469799711041937</v>
      </c>
      <c r="AH234" s="173">
        <f ca="1">(VLOOKUP(AH$72,INDIRECT($C$5&amp;"生成成长"),2))/((VLOOKUP($B234,INDIRECT($B$5&amp;"生成成长"),4))/(VLOOKUP(AH$72,INDIRECT($C$5&amp;"生成成长"),5))*(VLOOKUP($B$5,标准坦克设计!$B$24:$U$30,MATCH("对"&amp;LEFT($C$5,2)&amp;"输出",标准坦克设计!$B$23:$U$23,0)))*(VLOOKUP($B234,INDIRECT($B$5&amp;"生成成长"),3))*(VLOOKUP($B$5,标准坦克设计!$B$14:$K$20,9)/30))</f>
        <v>3.704130994723716</v>
      </c>
      <c r="AI234" s="173">
        <f ca="1">(VLOOKUP(AI$72,INDIRECT($C$5&amp;"生成成长"),2))/((VLOOKUP($B234,INDIRECT($B$5&amp;"生成成长"),4))/(VLOOKUP(AI$72,INDIRECT($C$5&amp;"生成成长"),5))*(VLOOKUP($B$5,标准坦克设计!$B$24:$U$30,MATCH("对"&amp;LEFT($C$5,2)&amp;"输出",标准坦克设计!$B$23:$U$23,0)))*(VLOOKUP($B234,INDIRECT($B$5&amp;"生成成长"),3))*(VLOOKUP($B$5,标准坦克设计!$B$14:$K$20,9)/30))</f>
        <v>2.6197954284000318</v>
      </c>
      <c r="AJ234" s="173">
        <f ca="1">(VLOOKUP(AJ$72,INDIRECT($C$5&amp;"生成成长"),2))/((VLOOKUP($B234,INDIRECT($B$5&amp;"生成成长"),4))/(VLOOKUP(AJ$72,INDIRECT($C$5&amp;"生成成长"),5))*(VLOOKUP($B$5,标准坦克设计!$B$24:$U$30,MATCH("对"&amp;LEFT($C$5,2)&amp;"输出",标准坦克设计!$B$23:$U$23,0)))*(VLOOKUP($B234,INDIRECT($B$5&amp;"生成成长"),3))*(VLOOKUP($B$5,标准坦克设计!$B$14:$K$20,9)/30))</f>
        <v>2.8675576646463954</v>
      </c>
      <c r="AK234" s="173">
        <f ca="1">(VLOOKUP(AK$72,INDIRECT($C$5&amp;"生成成长"),2))/((VLOOKUP($B234,INDIRECT($B$5&amp;"生成成长"),4))/(VLOOKUP(AK$72,INDIRECT($C$5&amp;"生成成长"),5))*(VLOOKUP($B$5,标准坦克设计!$B$24:$U$30,MATCH("对"&amp;LEFT($C$5,2)&amp;"输出",标准坦克设计!$B$23:$U$23,0)))*(VLOOKUP($B234,INDIRECT($B$5&amp;"生成成长"),3))*(VLOOKUP($B$5,标准坦克设计!$B$14:$K$20,9)/30))</f>
        <v>3.1265124454459814</v>
      </c>
      <c r="AL234" s="173">
        <f ca="1">(VLOOKUP(AL$72,INDIRECT($C$5&amp;"生成成长"),2))/((VLOOKUP($B234,INDIRECT($B$5&amp;"生成成长"),4))/(VLOOKUP(AL$72,INDIRECT($C$5&amp;"生成成长"),5))*(VLOOKUP($B$5,标准坦克设计!$B$24:$U$30,MATCH("对"&amp;LEFT($C$5,2)&amp;"输出",标准坦克设计!$B$23:$U$23,0)))*(VLOOKUP($B234,INDIRECT($B$5&amp;"生成成长"),3))*(VLOOKUP($B$5,标准坦克设计!$B$14:$K$20,9)/30))</f>
        <v>3.3966597707987916</v>
      </c>
      <c r="AM234" s="173">
        <f ca="1">(VLOOKUP(AM$72,INDIRECT($C$5&amp;"生成成长"),2))/((VLOOKUP($B234,INDIRECT($B$5&amp;"生成成长"),4))/(VLOOKUP(AM$72,INDIRECT($C$5&amp;"生成成长"),5))*(VLOOKUP($B$5,标准坦克设计!$B$24:$U$30,MATCH("对"&amp;LEFT($C$5,2)&amp;"输出",标准坦克设计!$B$23:$U$23,0)))*(VLOOKUP($B234,INDIRECT($B$5&amp;"生成成长"),3))*(VLOOKUP($B$5,标准坦克设计!$B$14:$K$20,9)/30))</f>
        <v>3.677999640704825</v>
      </c>
      <c r="AN234" s="173">
        <f ca="1">(VLOOKUP(AN$72,INDIRECT($C$5&amp;"生成成长"),2))/((VLOOKUP($B234,INDIRECT($B$5&amp;"生成成长"),4))/(VLOOKUP(AN$72,INDIRECT($C$5&amp;"生成成长"),5))*(VLOOKUP($B$5,标准坦克设计!$B$24:$U$30,MATCH("对"&amp;LEFT($C$5,2)&amp;"输出",标准坦克设计!$B$23:$U$23,0)))*(VLOOKUP($B234,INDIRECT($B$5&amp;"生成成长"),3))*(VLOOKUP($B$5,标准坦克设计!$B$14:$K$20,9)/30))</f>
        <v>3.9705320551640826</v>
      </c>
      <c r="AO234" s="173">
        <f ca="1">(VLOOKUP(AO$72,INDIRECT($C$5&amp;"生成成长"),2))/((VLOOKUP($B234,INDIRECT($B$5&amp;"生成成长"),4))/(VLOOKUP(AO$72,INDIRECT($C$5&amp;"生成成长"),5))*(VLOOKUP($B$5,标准坦克设计!$B$24:$U$30,MATCH("对"&amp;LEFT($C$5,2)&amp;"输出",标准坦克设计!$B$23:$U$23,0)))*(VLOOKUP($B234,INDIRECT($B$5&amp;"生成成长"),3))*(VLOOKUP($B$5,标准坦克设计!$B$14:$K$20,9)/30))</f>
        <v>4.2742570141765652</v>
      </c>
      <c r="AP234" s="173">
        <f ca="1">(VLOOKUP(AP$72,INDIRECT($C$5&amp;"生成成长"),2))/((VLOOKUP($B234,INDIRECT($B$5&amp;"生成成长"),4))/(VLOOKUP(AP$72,INDIRECT($C$5&amp;"生成成长"),5))*(VLOOKUP($B$5,标准坦克设计!$B$24:$U$30,MATCH("对"&amp;LEFT($C$5,2)&amp;"输出",标准坦克设计!$B$23:$U$23,0)))*(VLOOKUP($B234,INDIRECT($B$5&amp;"生成成长"),3))*(VLOOKUP($B$5,标准坦克设计!$B$14:$K$20,9)/30))</f>
        <v>4.5891745177422703</v>
      </c>
      <c r="AQ234" s="173">
        <f ca="1">(VLOOKUP(AQ$72,INDIRECT($C$5&amp;"生成成长"),2))/((VLOOKUP($B234,INDIRECT($B$5&amp;"生成成长"),4))/(VLOOKUP(AQ$72,INDIRECT($C$5&amp;"生成成长"),5))*(VLOOKUP($B$5,标准坦克设计!$B$24:$U$30,MATCH("对"&amp;LEFT($C$5,2)&amp;"输出",标准坦克设计!$B$23:$U$23,0)))*(VLOOKUP($B234,INDIRECT($B$5&amp;"生成成长"),3))*(VLOOKUP($B$5,标准坦克设计!$B$14:$K$20,9)/30))</f>
        <v>4.9152845658612003</v>
      </c>
      <c r="AR234" s="173">
        <f ca="1">(VLOOKUP(AR$72,INDIRECT($C$5&amp;"生成成长"),2))/((VLOOKUP($B234,INDIRECT($B$5&amp;"生成成长"),4))/(VLOOKUP(AR$72,INDIRECT($C$5&amp;"生成成长"),5))*(VLOOKUP($B$5,标准坦克设计!$B$24:$U$30,MATCH("对"&amp;LEFT($C$5,2)&amp;"输出",标准坦克设计!$B$23:$U$23,0)))*(VLOOKUP($B234,INDIRECT($B$5&amp;"生成成长"),3))*(VLOOKUP($B$5,标准坦克设计!$B$14:$K$20,9)/30))</f>
        <v>5.2525871585333528</v>
      </c>
      <c r="AS234" s="173">
        <f ca="1">(VLOOKUP(AS$72,INDIRECT($C$5&amp;"生成成长"),2))/((VLOOKUP($B234,INDIRECT($B$5&amp;"生成成长"),4))/(VLOOKUP(AS$72,INDIRECT($C$5&amp;"生成成长"),5))*(VLOOKUP($B$5,标准坦克设计!$B$24:$U$30,MATCH("对"&amp;LEFT($C$5,2)&amp;"输出",标准坦克设计!$B$23:$U$23,0)))*(VLOOKUP($B234,INDIRECT($B$5&amp;"生成成长"),3))*(VLOOKUP($B$5,标准坦克设计!$B$14:$K$20,9)/30))</f>
        <v>5.6010822957587294</v>
      </c>
      <c r="AT234" s="173">
        <f ca="1">(VLOOKUP(AT$72,INDIRECT($C$5&amp;"生成成长"),2))/((VLOOKUP($B234,INDIRECT($B$5&amp;"生成成长"),4))/(VLOOKUP(AT$72,INDIRECT($C$5&amp;"生成成长"),5))*(VLOOKUP($B$5,标准坦克设计!$B$24:$U$30,MATCH("对"&amp;LEFT($C$5,2)&amp;"输出",标准坦克设计!$B$23:$U$23,0)))*(VLOOKUP($B234,INDIRECT($B$5&amp;"生成成长"),3))*(VLOOKUP($B$5,标准坦克设计!$B$14:$K$20,9)/30))</f>
        <v>5.9607699775373302</v>
      </c>
      <c r="AU234" s="173">
        <f ca="1">(VLOOKUP(AU$72,INDIRECT($C$5&amp;"生成成长"),2))/((VLOOKUP($B234,INDIRECT($B$5&amp;"生成成长"),4))/(VLOOKUP(AU$72,INDIRECT($C$5&amp;"生成成长"),5))*(VLOOKUP($B$5,标准坦克设计!$B$24:$U$30,MATCH("对"&amp;LEFT($C$5,2)&amp;"输出",标准坦克设计!$B$23:$U$23,0)))*(VLOOKUP($B234,INDIRECT($B$5&amp;"生成成长"),3))*(VLOOKUP($B$5,标准坦克设计!$B$14:$K$20,9)/30))</f>
        <v>6.3316502038691551</v>
      </c>
      <c r="AV234" s="173">
        <f ca="1">(VLOOKUP(AV$72,INDIRECT($C$5&amp;"生成成长"),2))/((VLOOKUP($B234,INDIRECT($B$5&amp;"生成成长"),4))/(VLOOKUP(AV$72,INDIRECT($C$5&amp;"生成成长"),5))*(VLOOKUP($B$5,标准坦克设计!$B$24:$U$30,MATCH("对"&amp;LEFT($C$5,2)&amp;"输出",标准坦克设计!$B$23:$U$23,0)))*(VLOOKUP($B234,INDIRECT($B$5&amp;"生成成长"),3))*(VLOOKUP($B$5,标准坦克设计!$B$14:$K$20,9)/30))</f>
        <v>0.64398756346730535</v>
      </c>
      <c r="AW234" s="173">
        <f ca="1">(VLOOKUP(AW$72,INDIRECT($C$5&amp;"生成成长"),2))/((VLOOKUP($B234,INDIRECT($B$5&amp;"生成成长"),4))/(VLOOKUP(AW$72,INDIRECT($C$5&amp;"生成成长"),5))*(VLOOKUP($B$5,标准坦克设计!$B$24:$U$30,MATCH("对"&amp;LEFT($C$5,2)&amp;"输出",标准坦克设计!$B$23:$U$23,0)))*(VLOOKUP($B234,INDIRECT($B$5&amp;"生成成长"),3))*(VLOOKUP($B$5,标准坦克设计!$B$14:$K$20,9)/30))</f>
        <v>0.7342679228387633</v>
      </c>
      <c r="AX234" s="173">
        <f ca="1">(VLOOKUP(AX$72,INDIRECT($C$5&amp;"生成成长"),2))/((VLOOKUP($B234,INDIRECT($B$5&amp;"生成成长"),4))/(VLOOKUP(AX$72,INDIRECT($C$5&amp;"生成成长"),5))*(VLOOKUP($B$5,标准坦克设计!$B$24:$U$30,MATCH("对"&amp;LEFT($C$5,2)&amp;"输出",标准坦克设计!$B$23:$U$23,0)))*(VLOOKUP($B234,INDIRECT($B$5&amp;"生成成长"),3))*(VLOOKUP($B$5,标准坦克设计!$B$14:$K$20,9)/30))</f>
        <v>0.83046830577556274</v>
      </c>
      <c r="AY234" s="173">
        <f ca="1">(VLOOKUP(AY$72,INDIRECT($C$5&amp;"生成成长"),2))/((VLOOKUP($B234,INDIRECT($B$5&amp;"生成成长"),4))/(VLOOKUP(AY$72,INDIRECT($C$5&amp;"生成成长"),5))*(VLOOKUP($B$5,标准坦克设计!$B$24:$U$30,MATCH("对"&amp;LEFT($C$5,2)&amp;"输出",标准坦克设计!$B$23:$U$23,0)))*(VLOOKUP($B234,INDIRECT($B$5&amp;"生成成长"),3))*(VLOOKUP($B$5,标准坦克设计!$B$14:$K$20,9)/30))</f>
        <v>0.93258871227770368</v>
      </c>
      <c r="AZ234" s="173">
        <f ca="1">(VLOOKUP(AZ$72,INDIRECT($C$5&amp;"生成成长"),2))/((VLOOKUP($B234,INDIRECT($B$5&amp;"生成成长"),4))/(VLOOKUP(AZ$72,INDIRECT($C$5&amp;"生成成长"),5))*(VLOOKUP($B$5,标准坦克设计!$B$24:$U$30,MATCH("对"&amp;LEFT($C$5,2)&amp;"输出",标准坦克设计!$B$23:$U$23,0)))*(VLOOKUP($B234,INDIRECT($B$5&amp;"生成成长"),3))*(VLOOKUP($B$5,标准坦克设计!$B$14:$K$20,9)/30))</f>
        <v>1.0406291423451861</v>
      </c>
      <c r="BA234" s="173">
        <f ca="1">(VLOOKUP(BA$72,INDIRECT($C$5&amp;"生成成长"),2))/((VLOOKUP($B234,INDIRECT($B$5&amp;"生成成长"),4))/(VLOOKUP(BA$72,INDIRECT($C$5&amp;"生成成长"),5))*(VLOOKUP($B$5,标准坦克设计!$B$24:$U$30,MATCH("对"&amp;LEFT($C$5,2)&amp;"输出",标准坦克设计!$B$23:$U$23,0)))*(VLOOKUP($B234,INDIRECT($B$5&amp;"生成成长"),3))*(VLOOKUP($B$5,标准坦克设计!$B$14:$K$20,9)/30))</f>
        <v>1.1545895959780101</v>
      </c>
      <c r="BB234" s="173">
        <f ca="1">(VLOOKUP(BB$72,INDIRECT($C$5&amp;"生成成长"),2))/((VLOOKUP($B234,INDIRECT($B$5&amp;"生成成长"),4))/(VLOOKUP(BB$72,INDIRECT($C$5&amp;"生成成长"),5))*(VLOOKUP($B$5,标准坦克设计!$B$24:$U$30,MATCH("对"&amp;LEFT($C$5,2)&amp;"输出",标准坦克设计!$B$23:$U$23,0)))*(VLOOKUP($B234,INDIRECT($B$5&amp;"生成成长"),3))*(VLOOKUP($B$5,标准坦克设计!$B$14:$K$20,9)/30))</f>
        <v>1.2744700731761756</v>
      </c>
      <c r="BC234" s="173">
        <f ca="1">(VLOOKUP(BC$72,INDIRECT($C$5&amp;"生成成长"),2))/((VLOOKUP($B234,INDIRECT($B$5&amp;"生成成长"),4))/(VLOOKUP(BC$72,INDIRECT($C$5&amp;"生成成长"),5))*(VLOOKUP($B$5,标准坦克设计!$B$24:$U$30,MATCH("对"&amp;LEFT($C$5,2)&amp;"输出",标准坦克设计!$B$23:$U$23,0)))*(VLOOKUP($B234,INDIRECT($B$5&amp;"生成成长"),3))*(VLOOKUP($B$5,标准坦克设计!$B$14:$K$20,9)/30))</f>
        <v>1.4002705739396824</v>
      </c>
      <c r="BD234" s="173">
        <f ca="1">(VLOOKUP(BD$72,INDIRECT($C$5&amp;"生成成长"),2))/((VLOOKUP($B234,INDIRECT($B$5&amp;"生成成长"),4))/(VLOOKUP(BD$72,INDIRECT($C$5&amp;"生成成长"),5))*(VLOOKUP($B$5,标准坦克设计!$B$24:$U$30,MATCH("对"&amp;LEFT($C$5,2)&amp;"输出",标准坦克设计!$B$23:$U$23,0)))*(VLOOKUP($B234,INDIRECT($B$5&amp;"生成成长"),3))*(VLOOKUP($B$5,标准坦克设计!$B$14:$K$20,9)/30))</f>
        <v>1.5488724154665752</v>
      </c>
      <c r="BE234" s="173">
        <f ca="1">(VLOOKUP(BE$72,INDIRECT($C$5&amp;"生成成长"),2))/((VLOOKUP($B234,INDIRECT($B$5&amp;"生成成长"),4))/(VLOOKUP(BE$72,INDIRECT($C$5&amp;"生成成长"),5))*(VLOOKUP($B$5,标准坦克设计!$B$24:$U$30,MATCH("对"&amp;LEFT($C$5,2)&amp;"输出",标准坦克设计!$B$23:$U$23,0)))*(VLOOKUP($B234,INDIRECT($B$5&amp;"生成成长"),3))*(VLOOKUP($B$5,标准坦克设计!$B$14:$K$20,9)/30))</f>
        <v>1.7049667868183531</v>
      </c>
      <c r="BF234" s="173">
        <f ca="1">(VLOOKUP(BF$72,INDIRECT($C$5&amp;"生成成长"),2))/((VLOOKUP($B234,INDIRECT($B$5&amp;"生成成长"),4))/(VLOOKUP(BF$72,INDIRECT($C$5&amp;"生成成长"),5))*(VLOOKUP($B$5,标准坦克设计!$B$24:$U$30,MATCH("对"&amp;LEFT($C$5,2)&amp;"输出",标准坦克设计!$B$23:$U$23,0)))*(VLOOKUP($B234,INDIRECT($B$5&amp;"生成成长"),3))*(VLOOKUP($B$5,标准坦克设计!$B$14:$K$20,9)/30))</f>
        <v>1.8685536879950162</v>
      </c>
      <c r="BG234" s="173">
        <f ca="1">(VLOOKUP(BG$72,INDIRECT($C$5&amp;"生成成长"),2))/((VLOOKUP($B234,INDIRECT($B$5&amp;"生成成长"),4))/(VLOOKUP(BG$72,INDIRECT($C$5&amp;"生成成长"),5))*(VLOOKUP($B$5,标准坦克设计!$B$24:$U$30,MATCH("对"&amp;LEFT($C$5,2)&amp;"输出",标准坦克设计!$B$23:$U$23,0)))*(VLOOKUP($B234,INDIRECT($B$5&amp;"生成成长"),3))*(VLOOKUP($B$5,标准坦克设计!$B$14:$K$20,9)/30))</f>
        <v>2.0396331189965649</v>
      </c>
      <c r="BH234" s="173">
        <f ca="1">(VLOOKUP(BH$72,INDIRECT($C$5&amp;"生成成长"),2))/((VLOOKUP($B234,INDIRECT($B$5&amp;"生成成长"),4))/(VLOOKUP(BH$72,INDIRECT($C$5&amp;"生成成长"),5))*(VLOOKUP($B$5,标准坦克设计!$B$24:$U$30,MATCH("对"&amp;LEFT($C$5,2)&amp;"输出",标准坦克设计!$B$23:$U$23,0)))*(VLOOKUP($B234,INDIRECT($B$5&amp;"生成成长"),3))*(VLOOKUP($B$5,标准坦克设计!$B$14:$K$20,9)/30))</f>
        <v>0.98586892436577711</v>
      </c>
      <c r="BI234" s="173">
        <f ca="1">(VLOOKUP(BI$72,INDIRECT($C$5&amp;"生成成长"),2))/((VLOOKUP($B234,INDIRECT($B$5&amp;"生成成长"),4))/(VLOOKUP(BI$72,INDIRECT($C$5&amp;"生成成长"),5))*(VLOOKUP($B$5,标准坦克设计!$B$24:$U$30,MATCH("对"&amp;LEFT($C$5,2)&amp;"输出",标准坦克设计!$B$23:$U$23,0)))*(VLOOKUP($B234,INDIRECT($B$5&amp;"生成成长"),3))*(VLOOKUP($B$5,标准坦克设计!$B$14:$K$20,9)/30))</f>
        <v>1.1111606731041377</v>
      </c>
      <c r="BJ234" s="173">
        <f ca="1">(VLOOKUP(BJ$72,INDIRECT($C$5&amp;"生成成长"),2))/((VLOOKUP($B234,INDIRECT($B$5&amp;"生成成长"),4))/(VLOOKUP(BJ$72,INDIRECT($C$5&amp;"生成成长"),5))*(VLOOKUP($B$5,标准坦克设计!$B$24:$U$30,MATCH("对"&amp;LEFT($C$5,2)&amp;"输出",标准坦克设计!$B$23:$U$23,0)))*(VLOOKUP($B234,INDIRECT($B$5&amp;"生成成长"),3))*(VLOOKUP($B$5,标准坦克设计!$B$14:$K$20,9)/30))</f>
        <v>1.2439449516673833</v>
      </c>
      <c r="BK234" s="173">
        <f ca="1">(VLOOKUP(BK$72,INDIRECT($C$5&amp;"生成成长"),2))/((VLOOKUP($B234,INDIRECT($B$5&amp;"生成成长"),4))/(VLOOKUP(BK$72,INDIRECT($C$5&amp;"生成成长"),5))*(VLOOKUP($B$5,标准坦克设计!$B$24:$U$30,MATCH("对"&amp;LEFT($C$5,2)&amp;"输出",标准坦克设计!$B$23:$U$23,0)))*(VLOOKUP($B234,INDIRECT($B$5&amp;"生成成长"),3))*(VLOOKUP($B$5,标准坦克设计!$B$14:$K$20,9)/30))</f>
        <v>1.3842217600555144</v>
      </c>
      <c r="BL234" s="173">
        <f ca="1">(VLOOKUP(BL$72,INDIRECT($C$5&amp;"生成成长"),2))/((VLOOKUP($B234,INDIRECT($B$5&amp;"生成成长"),4))/(VLOOKUP(BL$72,INDIRECT($C$5&amp;"生成成长"),5))*(VLOOKUP($B$5,标准坦克设计!$B$24:$U$30,MATCH("对"&amp;LEFT($C$5,2)&amp;"输出",标准坦克设计!$B$23:$U$23,0)))*(VLOOKUP($B234,INDIRECT($B$5&amp;"生成成长"),3))*(VLOOKUP($B$5,标准坦克设计!$B$14:$K$20,9)/30))</f>
        <v>1.531991098268531</v>
      </c>
      <c r="BM234" s="173">
        <f ca="1">(VLOOKUP(BM$72,INDIRECT($C$5&amp;"生成成长"),2))/((VLOOKUP($B234,INDIRECT($B$5&amp;"生成成长"),4))/(VLOOKUP(BM$72,INDIRECT($C$5&amp;"生成成长"),5))*(VLOOKUP($B$5,标准坦克设计!$B$24:$U$30,MATCH("对"&amp;LEFT($C$5,2)&amp;"输出",标准坦克设计!$B$23:$U$23,0)))*(VLOOKUP($B234,INDIRECT($B$5&amp;"生成成长"),3))*(VLOOKUP($B$5,标准坦克设计!$B$14:$K$20,9)/30))</f>
        <v>1.6872529663064326</v>
      </c>
      <c r="BN234" s="173">
        <f ca="1">(VLOOKUP(BN$72,INDIRECT($C$5&amp;"生成成长"),2))/((VLOOKUP($B234,INDIRECT($B$5&amp;"生成成长"),4))/(VLOOKUP(BN$72,INDIRECT($C$5&amp;"生成成长"),5))*(VLOOKUP($B$5,标准坦克设计!$B$24:$U$30,MATCH("对"&amp;LEFT($C$5,2)&amp;"输出",标准坦克设计!$B$23:$U$23,0)))*(VLOOKUP($B234,INDIRECT($B$5&amp;"生成成长"),3))*(VLOOKUP($B$5,标准坦克设计!$B$14:$K$20,9)/30))</f>
        <v>1.8500073641692196</v>
      </c>
      <c r="BO234" s="173">
        <f ca="1">(VLOOKUP(BO$72,INDIRECT($C$5&amp;"生成成长"),2))/((VLOOKUP($B234,INDIRECT($B$5&amp;"生成成长"),4))/(VLOOKUP(BO$72,INDIRECT($C$5&amp;"生成成长"),5))*(VLOOKUP($B$5,标准坦克设计!$B$24:$U$30,MATCH("对"&amp;LEFT($C$5,2)&amp;"输出",标准坦克设计!$B$23:$U$23,0)))*(VLOOKUP($B234,INDIRECT($B$5&amp;"生成成长"),3))*(VLOOKUP($B$5,标准坦克设计!$B$14:$K$20,9)/30))</f>
        <v>2.0202542918568924</v>
      </c>
      <c r="BP234" s="173">
        <f ca="1">(VLOOKUP(BP$72,INDIRECT($C$5&amp;"生成成长"),2))/((VLOOKUP($B234,INDIRECT($B$5&amp;"生成成长"),4))/(VLOOKUP(BP$72,INDIRECT($C$5&amp;"生成成长"),5))*(VLOOKUP($B$5,标准坦克设计!$B$24:$U$30,MATCH("对"&amp;LEFT($C$5,2)&amp;"输出",标准坦克设计!$B$23:$U$23,0)))*(VLOOKUP($B234,INDIRECT($B$5&amp;"生成成长"),3))*(VLOOKUP($B$5,标准坦克设计!$B$14:$K$20,9)/30))</f>
        <v>2.1979937493694499</v>
      </c>
      <c r="BQ234" s="173">
        <f ca="1">(VLOOKUP(BQ$72,INDIRECT($C$5&amp;"生成成长"),2))/((VLOOKUP($B234,INDIRECT($B$5&amp;"生成成长"),4))/(VLOOKUP(BQ$72,INDIRECT($C$5&amp;"生成成长"),5))*(VLOOKUP($B$5,标准坦克设计!$B$24:$U$30,MATCH("对"&amp;LEFT($C$5,2)&amp;"输出",标准坦克设计!$B$23:$U$23,0)))*(VLOOKUP($B234,INDIRECT($B$5&amp;"生成成长"),3))*(VLOOKUP($B$5,标准坦克设计!$B$14:$K$20,9)/30))</f>
        <v>2.3832257367068928</v>
      </c>
      <c r="BR234" s="173">
        <f ca="1">(VLOOKUP(BR$72,INDIRECT($C$5&amp;"生成成长"),2))/((VLOOKUP($B234,INDIRECT($B$5&amp;"生成成长"),4))/(VLOOKUP(BR$72,INDIRECT($C$5&amp;"生成成长"),5))*(VLOOKUP($B$5,标准坦克设计!$B$24:$U$30,MATCH("对"&amp;LEFT($C$5,2)&amp;"输出",标准坦克设计!$B$23:$U$23,0)))*(VLOOKUP($B234,INDIRECT($B$5&amp;"生成成长"),3))*(VLOOKUP($B$5,标准坦克设计!$B$14:$K$20,9)/30))</f>
        <v>2.5978265909505223</v>
      </c>
      <c r="BS234" s="173">
        <f ca="1">(VLOOKUP(BS$72,INDIRECT($C$5&amp;"生成成长"),2))/((VLOOKUP($B234,INDIRECT($B$5&amp;"生成成长"),4))/(VLOOKUP(BS$72,INDIRECT($C$5&amp;"生成成长"),5))*(VLOOKUP($B$5,标准坦克设计!$B$24:$U$30,MATCH("对"&amp;LEFT($C$5,2)&amp;"输出",标准坦克设计!$B$23:$U$23,0)))*(VLOOKUP($B234,INDIRECT($B$5&amp;"生成成长"),3))*(VLOOKUP($B$5,标准坦克设计!$B$14:$K$20,9)/30))</f>
        <v>2.8216774820149984</v>
      </c>
      <c r="BT234" s="173">
        <f ca="1">(VLOOKUP(BT$72,INDIRECT($C$5&amp;"生成成长"),2))/((VLOOKUP($B234,INDIRECT($B$5&amp;"生成成长"),4))/(VLOOKUP(BT$72,INDIRECT($C$5&amp;"生成成长"),5))*(VLOOKUP($B$5,标准坦克设计!$B$24:$U$30,MATCH("对"&amp;LEFT($C$5,2)&amp;"输出",标准坦克设计!$B$23:$U$23,0)))*(VLOOKUP($B234,INDIRECT($B$5&amp;"生成成长"),3))*(VLOOKUP($B$5,标准坦克设计!$B$14:$K$20,9)/30))</f>
        <v>3.0547784099003192</v>
      </c>
      <c r="BU234" s="173">
        <f ca="1">(VLOOKUP(BU$72,INDIRECT($C$5&amp;"生成成长"),2))/((VLOOKUP($B234,INDIRECT($B$5&amp;"生成成长"),4))/(VLOOKUP(BU$72,INDIRECT($C$5&amp;"生成成长"),5))*(VLOOKUP($B$5,标准坦克设计!$B$24:$U$30,MATCH("对"&amp;LEFT($C$5,2)&amp;"输出",标准坦克设计!$B$23:$U$23,0)))*(VLOOKUP($B234,INDIRECT($B$5&amp;"生成成长"),3))*(VLOOKUP($B$5,标准坦克设计!$B$14:$K$20,9)/30))</f>
        <v>3.2971293746064876</v>
      </c>
      <c r="BV234" s="173">
        <f ca="1">(VLOOKUP(BV$72,INDIRECT($C$5&amp;"生成成长"),2))/((VLOOKUP($B234,INDIRECT($B$5&amp;"生成成长"),4))/(VLOOKUP(BV$72,INDIRECT($C$5&amp;"生成成长"),5))*(VLOOKUP($B$5,标准坦克设计!$B$24:$U$30,MATCH("对"&amp;LEFT($C$5,2)&amp;"输出",标准坦克设计!$B$23:$U$23,0)))*(VLOOKUP($B234,INDIRECT($B$5&amp;"生成成长"),3))*(VLOOKUP($B$5,标准坦克设计!$B$14:$K$20,9)/30))</f>
        <v>3.5487303761335021</v>
      </c>
      <c r="BW234" s="173">
        <f ca="1">(VLOOKUP(BW$72,INDIRECT($C$5&amp;"生成成长"),2))/((VLOOKUP($B234,INDIRECT($B$5&amp;"生成成长"),4))/(VLOOKUP(BW$72,INDIRECT($C$5&amp;"生成成长"),5))*(VLOOKUP($B$5,标准坦克设计!$B$24:$U$30,MATCH("对"&amp;LEFT($C$5,2)&amp;"输出",标准坦克设计!$B$23:$U$23,0)))*(VLOOKUP($B234,INDIRECT($B$5&amp;"生成成长"),3))*(VLOOKUP($B$5,标准坦克设计!$B$14:$K$20,9)/30))</f>
        <v>1.6173226879408358</v>
      </c>
      <c r="BX234" s="173">
        <f ca="1">(VLOOKUP(BX$72,INDIRECT($C$5&amp;"生成成长"),2))/((VLOOKUP($B234,INDIRECT($B$5&amp;"生成成长"),4))/(VLOOKUP(BX$72,INDIRECT($C$5&amp;"生成成长"),5))*(VLOOKUP($B$5,标准坦克设计!$B$24:$U$30,MATCH("对"&amp;LEFT($C$5,2)&amp;"输出",标准坦克设计!$B$23:$U$23,0)))*(VLOOKUP($B234,INDIRECT($B$5&amp;"生成成长"),3))*(VLOOKUP($B$5,标准坦克设计!$B$14:$K$20,9)/30))</f>
        <v>1.794923394901081</v>
      </c>
      <c r="BY234" s="173">
        <f ca="1">(VLOOKUP(BY$72,INDIRECT($C$5&amp;"生成成长"),2))/((VLOOKUP($B234,INDIRECT($B$5&amp;"生成成长"),4))/(VLOOKUP(BY$72,INDIRECT($C$5&amp;"生成成长"),5))*(VLOOKUP($B$5,标准坦克设计!$B$24:$U$30,MATCH("对"&amp;LEFT($C$5,2)&amp;"输出",标准坦克设计!$B$23:$U$23,0)))*(VLOOKUP($B234,INDIRECT($B$5&amp;"生成成长"),3))*(VLOOKUP($B$5,标准坦克设计!$B$14:$K$20,9)/30))</f>
        <v>1.9817741386821723</v>
      </c>
      <c r="BZ234" s="173">
        <f ca="1">(VLOOKUP(BZ$72,INDIRECT($C$5&amp;"生成成长"),2))/((VLOOKUP($B234,INDIRECT($B$5&amp;"生成成长"),4))/(VLOOKUP(BZ$72,INDIRECT($C$5&amp;"生成成长"),5))*(VLOOKUP($B$5,标准坦克设计!$B$24:$U$30,MATCH("对"&amp;LEFT($C$5,2)&amp;"输出",标准坦克设计!$B$23:$U$23,0)))*(VLOOKUP($B234,INDIRECT($B$5&amp;"生成成长"),3))*(VLOOKUP($B$5,标准坦克设计!$B$14:$K$20,9)/30))</f>
        <v>2.1778749192841098</v>
      </c>
      <c r="CA234" s="173">
        <f ca="1">(VLOOKUP(CA$72,INDIRECT($C$5&amp;"生成成长"),2))/((VLOOKUP($B234,INDIRECT($B$5&amp;"生成成长"),4))/(VLOOKUP(CA$72,INDIRECT($C$5&amp;"生成成长"),5))*(VLOOKUP($B$5,标准坦克设计!$B$24:$U$30,MATCH("对"&amp;LEFT($C$5,2)&amp;"输出",标准坦克设计!$B$23:$U$23,0)))*(VLOOKUP($B234,INDIRECT($B$5&amp;"生成成长"),3))*(VLOOKUP($B$5,标准坦克设计!$B$14:$K$20,9)/30))</f>
        <v>2.3832257367068928</v>
      </c>
      <c r="CB234" s="173">
        <f ca="1">(VLOOKUP(CB$72,INDIRECT($C$5&amp;"生成成长"),2))/((VLOOKUP($B234,INDIRECT($B$5&amp;"生成成长"),4))/(VLOOKUP(CB$72,INDIRECT($C$5&amp;"生成成长"),5))*(VLOOKUP($B$5,标准坦克设计!$B$24:$U$30,MATCH("对"&amp;LEFT($C$5,2)&amp;"输出",标准坦克设计!$B$23:$U$23,0)))*(VLOOKUP($B234,INDIRECT($B$5&amp;"生成成长"),3))*(VLOOKUP($B$5,标准坦克设计!$B$14:$K$20,9)/30))</f>
        <v>2.5978265909505223</v>
      </c>
      <c r="CC234" s="173">
        <f ca="1">(VLOOKUP(CC$72,INDIRECT($C$5&amp;"生成成长"),2))/((VLOOKUP($B234,INDIRECT($B$5&amp;"生成成长"),4))/(VLOOKUP(CC$72,INDIRECT($C$5&amp;"生成成长"),5))*(VLOOKUP($B$5,标准坦克设计!$B$24:$U$30,MATCH("对"&amp;LEFT($C$5,2)&amp;"输出",标准坦克设计!$B$23:$U$23,0)))*(VLOOKUP($B234,INDIRECT($B$5&amp;"生成成长"),3))*(VLOOKUP($B$5,标准坦克设计!$B$14:$K$20,9)/30))</f>
        <v>2.8216774820149984</v>
      </c>
      <c r="CD234" s="173">
        <f ca="1">(VLOOKUP(CD$72,INDIRECT($C$5&amp;"生成成长"),2))/((VLOOKUP($B234,INDIRECT($B$5&amp;"生成成长"),4))/(VLOOKUP(CD$72,INDIRECT($C$5&amp;"生成成长"),5))*(VLOOKUP($B$5,标准坦克设计!$B$24:$U$30,MATCH("对"&amp;LEFT($C$5,2)&amp;"输出",标准坦克设计!$B$23:$U$23,0)))*(VLOOKUP($B234,INDIRECT($B$5&amp;"生成成长"),3))*(VLOOKUP($B$5,标准坦克设计!$B$14:$K$20,9)/30))</f>
        <v>3.0547784099003192</v>
      </c>
      <c r="CE234" s="173">
        <f ca="1">(VLOOKUP(CE$72,INDIRECT($C$5&amp;"生成成长"),2))/((VLOOKUP($B234,INDIRECT($B$5&amp;"生成成长"),4))/(VLOOKUP(CE$72,INDIRECT($C$5&amp;"生成成长"),5))*(VLOOKUP($B$5,标准坦克设计!$B$24:$U$30,MATCH("对"&amp;LEFT($C$5,2)&amp;"输出",标准坦克设计!$B$23:$U$23,0)))*(VLOOKUP($B234,INDIRECT($B$5&amp;"生成成长"),3))*(VLOOKUP($B$5,标准坦克设计!$B$14:$K$20,9)/30))</f>
        <v>3.2971293746064876</v>
      </c>
      <c r="CF234" s="173">
        <f ca="1">(VLOOKUP(CF$72,INDIRECT($C$5&amp;"生成成长"),2))/((VLOOKUP($B234,INDIRECT($B$5&amp;"生成成长"),4))/(VLOOKUP(CF$72,INDIRECT($C$5&amp;"生成成长"),5))*(VLOOKUP($B$5,标准坦克设计!$B$24:$U$30,MATCH("对"&amp;LEFT($C$5,2)&amp;"输出",标准坦克设计!$B$23:$U$23,0)))*(VLOOKUP($B234,INDIRECT($B$5&amp;"生成成长"),3))*(VLOOKUP($B$5,标准坦克设计!$B$14:$K$20,9)/30))</f>
        <v>3.5487303761335021</v>
      </c>
      <c r="CG234" s="173">
        <f ca="1">(VLOOKUP(CG$72,INDIRECT($C$5&amp;"生成成长"),2))/((VLOOKUP($B234,INDIRECT($B$5&amp;"生成成长"),4))/(VLOOKUP(CG$72,INDIRECT($C$5&amp;"生成成长"),5))*(VLOOKUP($B$5,标准坦克设计!$B$24:$U$30,MATCH("对"&amp;LEFT($C$5,2)&amp;"输出",标准坦克设计!$B$23:$U$23,0)))*(VLOOKUP($B234,INDIRECT($B$5&amp;"生成成长"),3))*(VLOOKUP($B$5,标准坦克设计!$B$14:$K$20,9)/30))</f>
        <v>3.8095814144813618</v>
      </c>
      <c r="CH234" s="173">
        <f ca="1">(VLOOKUP(CH$72,INDIRECT($C$5&amp;"生成成长"),2))/((VLOOKUP($B234,INDIRECT($B$5&amp;"生成成长"),4))/(VLOOKUP(CH$72,INDIRECT($C$5&amp;"生成成长"),5))*(VLOOKUP($B$5,标准坦克设计!$B$24:$U$30,MATCH("对"&amp;LEFT($C$5,2)&amp;"输出",标准坦克设计!$B$23:$U$23,0)))*(VLOOKUP($B234,INDIRECT($B$5&amp;"生成成长"),3))*(VLOOKUP($B$5,标准坦克设计!$B$14:$K$20,9)/30))</f>
        <v>4.0796824896500672</v>
      </c>
      <c r="CI234" s="173">
        <f ca="1">(VLOOKUP(CI$72,INDIRECT($C$5&amp;"生成成长"),2))/((VLOOKUP($B234,INDIRECT($B$5&amp;"生成成长"),4))/(VLOOKUP(CI$72,INDIRECT($C$5&amp;"生成成长"),5))*(VLOOKUP($B$5,标准坦克设计!$B$24:$U$30,MATCH("对"&amp;LEFT($C$5,2)&amp;"输出",标准坦克设计!$B$23:$U$23,0)))*(VLOOKUP($B234,INDIRECT($B$5&amp;"生成成长"),3))*(VLOOKUP($B$5,标准坦克设计!$B$14:$K$20,9)/30))</f>
        <v>4.3874774648637214</v>
      </c>
      <c r="CJ234" s="173">
        <f ca="1">(VLOOKUP(CJ$72,INDIRECT($C$5&amp;"生成成长"),2))/((VLOOKUP($B234,INDIRECT($B$5&amp;"生成成长"),4))/(VLOOKUP(CJ$72,INDIRECT($C$5&amp;"生成成长"),5))*(VLOOKUP($B$5,标准坦克设计!$B$24:$U$30,MATCH("对"&amp;LEFT($C$5,2)&amp;"输出",标准坦克设计!$B$23:$U$23,0)))*(VLOOKUP($B234,INDIRECT($B$5&amp;"生成成长"),3))*(VLOOKUP($B$5,标准坦克设计!$B$14:$K$20,9)/30))</f>
        <v>4.7064649846305988</v>
      </c>
      <c r="CK234" s="173">
        <f ca="1">(VLOOKUP(CK$72,INDIRECT($C$5&amp;"生成成长"),2))/((VLOOKUP($B234,INDIRECT($B$5&amp;"生成成长"),4))/(VLOOKUP(CK$72,INDIRECT($C$5&amp;"生成成长"),5))*(VLOOKUP($B$5,标准坦克设计!$B$24:$U$30,MATCH("对"&amp;LEFT($C$5,2)&amp;"输出",标准坦克设计!$B$23:$U$23,0)))*(VLOOKUP($B234,INDIRECT($B$5&amp;"生成成长"),3))*(VLOOKUP($B$5,标准坦克设计!$B$14:$K$20,9)/30))</f>
        <v>5.0366450489507004</v>
      </c>
      <c r="CL234" s="173">
        <f ca="1">(VLOOKUP(CL$72,INDIRECT($C$5&amp;"生成成长"),2))/((VLOOKUP($B234,INDIRECT($B$5&amp;"生成成长"),4))/(VLOOKUP(CL$72,INDIRECT($C$5&amp;"生成成长"),5))*(VLOOKUP($B$5,标准坦克设计!$B$24:$U$30,MATCH("对"&amp;LEFT($C$5,2)&amp;"输出",标准坦克设计!$B$23:$U$23,0)))*(VLOOKUP($B234,INDIRECT($B$5&amp;"生成成长"),3))*(VLOOKUP($B$5,标准坦克设计!$B$14:$K$20,9)/30))</f>
        <v>5.3780176578240262</v>
      </c>
      <c r="CM234" s="173">
        <f ca="1">(VLOOKUP(CM$72,INDIRECT($C$5&amp;"生成成长"),2))/((VLOOKUP($B234,INDIRECT($B$5&amp;"生成成长"),4))/(VLOOKUP(CM$72,INDIRECT($C$5&amp;"生成成长"),5))*(VLOOKUP($B$5,标准坦克设计!$B$24:$U$30,MATCH("对"&amp;LEFT($C$5,2)&amp;"输出",标准坦克设计!$B$23:$U$23,0)))*(VLOOKUP($B234,INDIRECT($B$5&amp;"生成成长"),3))*(VLOOKUP($B$5,标准坦克设计!$B$14:$K$20,9)/30))</f>
        <v>5.7305828112505752</v>
      </c>
      <c r="CN234" s="173">
        <f ca="1">(VLOOKUP(CN$72,INDIRECT($C$5&amp;"生成成长"),2))/((VLOOKUP($B234,INDIRECT($B$5&amp;"生成成长"),4))/(VLOOKUP(CN$72,INDIRECT($C$5&amp;"生成成长"),5))*(VLOOKUP($B$5,标准坦克设计!$B$24:$U$30,MATCH("对"&amp;LEFT($C$5,2)&amp;"输出",标准坦克设计!$B$23:$U$23,0)))*(VLOOKUP($B234,INDIRECT($B$5&amp;"生成成长"),3))*(VLOOKUP($B$5,标准坦克设计!$B$14:$K$20,9)/30))</f>
        <v>6.0943405092303475</v>
      </c>
      <c r="CO234" s="173">
        <f ca="1">(VLOOKUP(CO$72,INDIRECT($C$5&amp;"生成成长"),2))/((VLOOKUP($B234,INDIRECT($B$5&amp;"生成成长"),4))/(VLOOKUP(CO$72,INDIRECT($C$5&amp;"生成成长"),5))*(VLOOKUP($B$5,标准坦克设计!$B$24:$U$30,MATCH("对"&amp;LEFT($C$5,2)&amp;"输出",标准坦克设计!$B$23:$U$23,0)))*(VLOOKUP($B234,INDIRECT($B$5&amp;"生成成长"),3))*(VLOOKUP($B$5,标准坦克设计!$B$14:$K$20,9)/30))</f>
        <v>2.731027121170706</v>
      </c>
      <c r="CP234" s="173">
        <f ca="1">(VLOOKUP(CP$72,INDIRECT($C$5&amp;"生成成长"),2))/((VLOOKUP($B234,INDIRECT($B$5&amp;"生成成长"),4))/(VLOOKUP(CP$72,INDIRECT($C$5&amp;"生成成长"),5))*(VLOOKUP($B$5,标准坦克设计!$B$24:$U$30,MATCH("对"&amp;LEFT($C$5,2)&amp;"输出",标准坦克设计!$B$23:$U$23,0)))*(VLOOKUP($B234,INDIRECT($B$5&amp;"生成成长"),3))*(VLOOKUP($B$5,标准坦克设计!$B$14:$K$20,9)/30))</f>
        <v>2.9838768776685347</v>
      </c>
      <c r="CQ234" s="173">
        <f ca="1">(VLOOKUP(CQ$72,INDIRECT($C$5&amp;"生成成长"),2))/((VLOOKUP($B234,INDIRECT($B$5&amp;"生成成长"),4))/(VLOOKUP(CQ$72,INDIRECT($C$5&amp;"生成成长"),5))*(VLOOKUP($B$5,标准坦克设计!$B$24:$U$30,MATCH("对"&amp;LEFT($C$5,2)&amp;"输出",标准坦克设计!$B$23:$U$23,0)))*(VLOOKUP($B234,INDIRECT($B$5&amp;"生成成长"),3))*(VLOOKUP($B$5,标准坦克设计!$B$14:$K$20,9)/30))</f>
        <v>3.2479191787195858</v>
      </c>
      <c r="CR234" s="173">
        <f ca="1">(VLOOKUP(CR$72,INDIRECT($C$5&amp;"生成成长"),2))/((VLOOKUP($B234,INDIRECT($B$5&amp;"生成成长"),4))/(VLOOKUP(CR$72,INDIRECT($C$5&amp;"生成成长"),5))*(VLOOKUP($B$5,标准坦克设计!$B$24:$U$30,MATCH("对"&amp;LEFT($C$5,2)&amp;"输出",标准坦克设计!$B$23:$U$23,0)))*(VLOOKUP($B234,INDIRECT($B$5&amp;"生成成长"),3))*(VLOOKUP($B$5,标准坦克设计!$B$14:$K$20,9)/30))</f>
        <v>3.5231540243238619</v>
      </c>
      <c r="CS234" s="173">
        <f ca="1">(VLOOKUP(CS$72,INDIRECT($C$5&amp;"生成成长"),2))/((VLOOKUP($B234,INDIRECT($B$5&amp;"生成成长"),4))/(VLOOKUP(CS$72,INDIRECT($C$5&amp;"生成成长"),5))*(VLOOKUP($B$5,标准坦克设计!$B$24:$U$30,MATCH("对"&amp;LEFT($C$5,2)&amp;"输出",标准坦克设计!$B$23:$U$23,0)))*(VLOOKUP($B234,INDIRECT($B$5&amp;"生成成长"),3))*(VLOOKUP($B$5,标准坦克设计!$B$14:$K$20,9)/30))</f>
        <v>3.8095814144813618</v>
      </c>
      <c r="CT234" s="173">
        <f ca="1">(VLOOKUP(CT$72,INDIRECT($C$5&amp;"生成成长"),2))/((VLOOKUP($B234,INDIRECT($B$5&amp;"生成成长"),4))/(VLOOKUP(CT$72,INDIRECT($C$5&amp;"生成成长"),5))*(VLOOKUP($B$5,标准坦克设计!$B$24:$U$30,MATCH("对"&amp;LEFT($C$5,2)&amp;"输出",标准坦克设计!$B$23:$U$23,0)))*(VLOOKUP($B234,INDIRECT($B$5&amp;"生成成长"),3))*(VLOOKUP($B$5,标准坦克设计!$B$14:$K$20,9)/30))</f>
        <v>4.107201349192084</v>
      </c>
      <c r="CU234" s="173">
        <f ca="1">(VLOOKUP(CU$72,INDIRECT($C$5&amp;"生成成长"),2))/((VLOOKUP($B234,INDIRECT($B$5&amp;"生成成长"),4))/(VLOOKUP(CU$72,INDIRECT($C$5&amp;"生成成长"),5))*(VLOOKUP($B$5,标准坦克设计!$B$24:$U$30,MATCH("对"&amp;LEFT($C$5,2)&amp;"输出",标准坦克设计!$B$23:$U$23,0)))*(VLOOKUP($B234,INDIRECT($B$5&amp;"生成成长"),3))*(VLOOKUP($B$5,标准坦克设计!$B$14:$K$20,9)/30))</f>
        <v>4.4160138284560322</v>
      </c>
      <c r="CV234" s="173">
        <f ca="1">(VLOOKUP(CV$72,INDIRECT($C$5&amp;"生成成长"),2))/((VLOOKUP($B234,INDIRECT($B$5&amp;"生成成长"),4))/(VLOOKUP(CV$72,INDIRECT($C$5&amp;"生成成长"),5))*(VLOOKUP($B$5,标准坦克设计!$B$24:$U$30,MATCH("对"&amp;LEFT($C$5,2)&amp;"输出",标准坦克设计!$B$23:$U$23,0)))*(VLOOKUP($B234,INDIRECT($B$5&amp;"生成成长"),3))*(VLOOKUP($B$5,标准坦克设计!$B$14:$K$20,9)/30))</f>
        <v>4.7360188522732027</v>
      </c>
      <c r="CW234" s="173">
        <f ca="1">(VLOOKUP(CW$72,INDIRECT($C$5&amp;"生成成长"),2))/((VLOOKUP($B234,INDIRECT($B$5&amp;"生成成长"),4))/(VLOOKUP(CW$72,INDIRECT($C$5&amp;"生成成长"),5))*(VLOOKUP($B$5,标准坦克设计!$B$24:$U$30,MATCH("对"&amp;LEFT($C$5,2)&amp;"输出",标准坦克设计!$B$23:$U$23,0)))*(VLOOKUP($B234,INDIRECT($B$5&amp;"生成成长"),3))*(VLOOKUP($B$5,标准坦克设计!$B$14:$K$20,9)/30))</f>
        <v>5.0672164206435966</v>
      </c>
      <c r="CX234" s="173">
        <f ca="1">(VLOOKUP(CX$72,INDIRECT($C$5&amp;"生成成长"),2))/((VLOOKUP($B234,INDIRECT($B$5&amp;"生成成长"),4))/(VLOOKUP(CX$72,INDIRECT($C$5&amp;"生成成长"),5))*(VLOOKUP($B$5,标准坦克设计!$B$24:$U$30,MATCH("对"&amp;LEFT($C$5,2)&amp;"输出",标准坦克设计!$B$23:$U$23,0)))*(VLOOKUP($B234,INDIRECT($B$5&amp;"生成成长"),3))*(VLOOKUP($B$5,标准坦克设计!$B$14:$K$20,9)/30))</f>
        <v>5.4096065335672163</v>
      </c>
      <c r="CY234" s="173">
        <f ca="1">(VLOOKUP(CY$72,INDIRECT($C$5&amp;"生成成长"),2))/((VLOOKUP($B234,INDIRECT($B$5&amp;"生成成长"),4))/(VLOOKUP(CY$72,INDIRECT($C$5&amp;"生成成长"),5))*(VLOOKUP($B$5,标准坦克设计!$B$24:$U$30,MATCH("对"&amp;LEFT($C$5,2)&amp;"输出",标准坦克设计!$B$23:$U$23,0)))*(VLOOKUP($B234,INDIRECT($B$5&amp;"生成成长"),3))*(VLOOKUP($B$5,标准坦克设计!$B$14:$K$20,9)/30))</f>
        <v>5.7631891910440576</v>
      </c>
      <c r="CZ234" s="173">
        <f ca="1">(VLOOKUP(CZ$72,INDIRECT($C$5&amp;"生成成长"),2))/((VLOOKUP($B234,INDIRECT($B$5&amp;"生成成长"),4))/(VLOOKUP(CZ$72,INDIRECT($C$5&amp;"生成成长"),5))*(VLOOKUP($B$5,标准坦克设计!$B$24:$U$30,MATCH("对"&amp;LEFT($C$5,2)&amp;"输出",标准坦克设计!$B$23:$U$23,0)))*(VLOOKUP($B234,INDIRECT($B$5&amp;"生成成长"),3))*(VLOOKUP($B$5,标准坦克设计!$B$14:$K$20,9)/30))</f>
        <v>6.1279643930741239</v>
      </c>
      <c r="DA234" s="173">
        <f ca="1">(VLOOKUP(DA$72,INDIRECT($C$5&amp;"生成成长"),2))/((VLOOKUP($B234,INDIRECT($B$5&amp;"生成成长"),4))/(VLOOKUP(DA$72,INDIRECT($C$5&amp;"生成成长"),5))*(VLOOKUP($B$5,标准坦克设计!$B$24:$U$30,MATCH("对"&amp;LEFT($C$5,2)&amp;"输出",标准坦克设计!$B$23:$U$23,0)))*(VLOOKUP($B234,INDIRECT($B$5&amp;"生成成长"),3))*(VLOOKUP($B$5,标准坦克设计!$B$14:$K$20,9)/30))</f>
        <v>6.5039321396574117</v>
      </c>
      <c r="DB234" s="173">
        <f ca="1">(VLOOKUP(DB$72,INDIRECT($C$5&amp;"生成成长"),2))/((VLOOKUP($B234,INDIRECT($B$5&amp;"生成成长"),4))/(VLOOKUP(DB$72,INDIRECT($C$5&amp;"生成成长"),5))*(VLOOKUP($B$5,标准坦克设计!$B$24:$U$30,MATCH("对"&amp;LEFT($C$5,2)&amp;"输出",标准坦克设计!$B$23:$U$23,0)))*(VLOOKUP($B234,INDIRECT($B$5&amp;"生成成长"),3))*(VLOOKUP($B$5,标准坦克设计!$B$14:$K$20,9)/30))</f>
        <v>6.8910924307939263</v>
      </c>
      <c r="DC234" s="173">
        <f ca="1">(VLOOKUP(DC$72,INDIRECT($C$5&amp;"生成成长"),2))/((VLOOKUP($B234,INDIRECT($B$5&amp;"生成成长"),4))/(VLOOKUP(DC$72,INDIRECT($C$5&amp;"生成成长"),5))*(VLOOKUP($B$5,标准坦克设计!$B$24:$U$30,MATCH("对"&amp;LEFT($C$5,2)&amp;"输出",标准坦克设计!$B$23:$U$23,0)))*(VLOOKUP($B234,INDIRECT($B$5&amp;"生成成长"),3))*(VLOOKUP($B$5,标准坦克设计!$B$14:$K$20,9)/30))</f>
        <v>7.3262141628465276</v>
      </c>
      <c r="DD234" s="173">
        <f ca="1">(VLOOKUP(DD$72,INDIRECT($C$5&amp;"生成成长"),2))/((VLOOKUP($B234,INDIRECT($B$5&amp;"生成成长"),4))/(VLOOKUP(DD$72,INDIRECT($C$5&amp;"生成成长"),5))*(VLOOKUP($B$5,标准坦克设计!$B$24:$U$30,MATCH("对"&amp;LEFT($C$5,2)&amp;"输出",标准坦克设计!$B$23:$U$23,0)))*(VLOOKUP($B234,INDIRECT($B$5&amp;"生成成长"),3))*(VLOOKUP($B$5,标准坦克设计!$B$14:$K$20,9)/30))</f>
        <v>7.7746559479211452</v>
      </c>
      <c r="DE234" s="173">
        <f ca="1">(VLOOKUP(DE$72,INDIRECT($C$5&amp;"生成成长"),2))/((VLOOKUP($B234,INDIRECT($B$5&amp;"生成成长"),4))/(VLOOKUP(DE$72,INDIRECT($C$5&amp;"生成成长"),5))*(VLOOKUP($B$5,标准坦克设计!$B$24:$U$30,MATCH("对"&amp;LEFT($C$5,2)&amp;"输出",标准坦克设计!$B$23:$U$23,0)))*(VLOOKUP($B234,INDIRECT($B$5&amp;"生成成长"),3))*(VLOOKUP($B$5,标准坦克设计!$B$14:$K$20,9)/30))</f>
        <v>8.2364177860177836</v>
      </c>
      <c r="DF234" s="173">
        <f ca="1">(VLOOKUP(DF$72,INDIRECT($C$5&amp;"生成成长"),2))/((VLOOKUP($B234,INDIRECT($B$5&amp;"生成成长"),4))/(VLOOKUP(DF$72,INDIRECT($C$5&amp;"生成成长"),5))*(VLOOKUP($B$5,标准坦克设计!$B$24:$U$30,MATCH("对"&amp;LEFT($C$5,2)&amp;"输出",标准坦克设计!$B$23:$U$23,0)))*(VLOOKUP($B234,INDIRECT($B$5&amp;"生成成长"),3))*(VLOOKUP($B$5,标准坦克设计!$B$14:$K$20,9)/30))</f>
        <v>8.7114996771364392</v>
      </c>
      <c r="DG234" s="173">
        <f ca="1">(VLOOKUP(DG$72,INDIRECT($C$5&amp;"生成成长"),2))/((VLOOKUP($B234,INDIRECT($B$5&amp;"生成成长"),4))/(VLOOKUP(DG$72,INDIRECT($C$5&amp;"生成成长"),5))*(VLOOKUP($B$5,标准坦克设计!$B$24:$U$30,MATCH("对"&amp;LEFT($C$5,2)&amp;"输出",标准坦克设计!$B$23:$U$23,0)))*(VLOOKUP($B234,INDIRECT($B$5&amp;"生成成长"),3))*(VLOOKUP($B$5,标准坦克设计!$B$14:$K$20,9)/30))</f>
        <v>9.1999016212771121</v>
      </c>
      <c r="DH234" s="173">
        <f ca="1">(VLOOKUP(DH$72,INDIRECT($C$5&amp;"生成成长"),2))/((VLOOKUP($B234,INDIRECT($B$5&amp;"生成成长"),4))/(VLOOKUP(DH$72,INDIRECT($C$5&amp;"生成成长"),5))*(VLOOKUP($B$5,标准坦克设计!$B$24:$U$30,MATCH("对"&amp;LEFT($C$5,2)&amp;"输出",标准坦克设计!$B$23:$U$23,0)))*(VLOOKUP($B234,INDIRECT($B$5&amp;"生成成长"),3))*(VLOOKUP($B$5,标准坦克设计!$B$14:$K$20,9)/30))</f>
        <v>9.7016236184398057</v>
      </c>
      <c r="DI234" s="173">
        <f ca="1">(VLOOKUP(DI$72,INDIRECT($C$5&amp;"生成成长"),2))/((VLOOKUP($B234,INDIRECT($B$5&amp;"生成成长"),4))/(VLOOKUP(DI$72,INDIRECT($C$5&amp;"生成成长"),5))*(VLOOKUP($B$5,标准坦克设计!$B$24:$U$30,MATCH("对"&amp;LEFT($C$5,2)&amp;"输出",标准坦克设计!$B$23:$U$23,0)))*(VLOOKUP($B234,INDIRECT($B$5&amp;"生成成长"),3))*(VLOOKUP($B$5,标准坦克设计!$B$14:$K$20,9)/30))</f>
        <v>10.216665668624517</v>
      </c>
      <c r="DJ234" s="173">
        <f ca="1">(VLOOKUP(DJ$72,INDIRECT($C$5&amp;"生成成长"),2))/((VLOOKUP($B234,INDIRECT($B$5&amp;"生成成长"),4))/(VLOOKUP(DJ$72,INDIRECT($C$5&amp;"生成成长"),5))*(VLOOKUP($B$5,标准坦克设计!$B$24:$U$30,MATCH("对"&amp;LEFT($C$5,2)&amp;"输出",标准坦克设计!$B$23:$U$23,0)))*(VLOOKUP($B234,INDIRECT($B$5&amp;"生成成长"),3))*(VLOOKUP($B$5,标准坦克设计!$B$14:$K$20,9)/30))</f>
        <v>1.026800337298021</v>
      </c>
      <c r="DK234" s="173">
        <f ca="1">(VLOOKUP(DK$72,INDIRECT($C$5&amp;"生成成长"),2))/((VLOOKUP($B234,INDIRECT($B$5&amp;"生成成长"),4))/(VLOOKUP(DK$72,INDIRECT($C$5&amp;"生成成长"),5))*(VLOOKUP($B$5,标准坦克设计!$B$24:$U$30,MATCH("对"&amp;LEFT($C$5,2)&amp;"输出",标准坦克设计!$B$23:$U$23,0)))*(VLOOKUP($B234,INDIRECT($B$5&amp;"生成成长"),3))*(VLOOKUP($B$5,标准坦克设计!$B$14:$K$20,9)/30))</f>
        <v>1.1545895959780101</v>
      </c>
      <c r="DL234" s="173">
        <f ca="1">(VLOOKUP(DL$72,INDIRECT($C$5&amp;"生成成长"),2))/((VLOOKUP($B234,INDIRECT($B$5&amp;"生成成长"),4))/(VLOOKUP(DL$72,INDIRECT($C$5&amp;"生成成长"),5))*(VLOOKUP($B$5,标准坦克设计!$B$24:$U$30,MATCH("对"&amp;LEFT($C$5,2)&amp;"输出",标准坦克设计!$B$23:$U$23,0)))*(VLOOKUP($B234,INDIRECT($B$5&amp;"生成成长"),3))*(VLOOKUP($B$5,标准坦克设计!$B$14:$K$20,9)/30))</f>
        <v>1.2898713844828842</v>
      </c>
      <c r="DM234" s="173">
        <f ca="1">(VLOOKUP(DM$72,INDIRECT($C$5&amp;"生成成长"),2))/((VLOOKUP($B234,INDIRECT($B$5&amp;"生成成长"),4))/(VLOOKUP(DM$72,INDIRECT($C$5&amp;"生成成长"),5))*(VLOOKUP($B$5,标准坦克设计!$B$24:$U$30,MATCH("对"&amp;LEFT($C$5,2)&amp;"输出",标准坦克设计!$B$23:$U$23,0)))*(VLOOKUP($B234,INDIRECT($B$5&amp;"生成成长"),3))*(VLOOKUP($B$5,标准坦克设计!$B$14:$K$20,9)/30))</f>
        <v>1.4326457028126438</v>
      </c>
      <c r="DN234" s="173">
        <f ca="1">(VLOOKUP(DN$72,INDIRECT($C$5&amp;"生成成长"),2))/((VLOOKUP($B234,INDIRECT($B$5&amp;"生成成长"),4))/(VLOOKUP(DN$72,INDIRECT($C$5&amp;"生成成长"),5))*(VLOOKUP($B$5,标准坦克设计!$B$24:$U$30,MATCH("对"&amp;LEFT($C$5,2)&amp;"输出",标准坦克设计!$B$23:$U$23,0)))*(VLOOKUP($B234,INDIRECT($B$5&amp;"生成成长"),3))*(VLOOKUP($B$5,标准坦克设计!$B$14:$K$20,9)/30))</f>
        <v>1.5829125509672888</v>
      </c>
      <c r="DO234" s="173">
        <f ca="1">(VLOOKUP(DO$72,INDIRECT($C$5&amp;"生成成长"),2))/((VLOOKUP($B234,INDIRECT($B$5&amp;"生成成长"),4))/(VLOOKUP(DO$72,INDIRECT($C$5&amp;"生成成长"),5))*(VLOOKUP($B$5,标准坦克设计!$B$24:$U$30,MATCH("对"&amp;LEFT($C$5,2)&amp;"输出",标准坦克设计!$B$23:$U$23,0)))*(VLOOKUP($B234,INDIRECT($B$5&amp;"生成成长"),3))*(VLOOKUP($B$5,标准坦克设计!$B$14:$K$20,9)/30))</f>
        <v>1.7406719289468191</v>
      </c>
      <c r="DP234" s="173">
        <f ca="1">(VLOOKUP(DP$72,INDIRECT($C$5&amp;"生成成长"),2))/((VLOOKUP($B234,INDIRECT($B$5&amp;"生成成长"),4))/(VLOOKUP(DP$72,INDIRECT($C$5&amp;"生成成长"),5))*(VLOOKUP($B$5,标准坦克设计!$B$24:$U$30,MATCH("对"&amp;LEFT($C$5,2)&amp;"输出",标准坦克设计!$B$23:$U$23,0)))*(VLOOKUP($B234,INDIRECT($B$5&amp;"生成成长"),3))*(VLOOKUP($B$5,标准坦克设计!$B$14:$K$20,9)/30))</f>
        <v>1.9059238367512343</v>
      </c>
      <c r="DQ234" s="173">
        <f ca="1">(VLOOKUP(DQ$72,INDIRECT($C$5&amp;"生成成长"),2))/((VLOOKUP($B234,INDIRECT($B$5&amp;"生成成长"),4))/(VLOOKUP(DQ$72,INDIRECT($C$5&amp;"生成成长"),5))*(VLOOKUP($B$5,标准坦克设计!$B$24:$U$30,MATCH("对"&amp;LEFT($C$5,2)&amp;"输出",标准坦克设计!$B$23:$U$23,0)))*(VLOOKUP($B234,INDIRECT($B$5&amp;"生成成长"),3))*(VLOOKUP($B$5,标准坦克设计!$B$14:$K$20,9)/30))</f>
        <v>2.0786682743805351</v>
      </c>
      <c r="DR234" s="173">
        <f ca="1">(VLOOKUP(DR$72,INDIRECT($C$5&amp;"生成成长"),2))/((VLOOKUP($B234,INDIRECT($B$5&amp;"生成成长"),4))/(VLOOKUP(DR$72,INDIRECT($C$5&amp;"生成成长"),5))*(VLOOKUP($B$5,标准坦克设计!$B$24:$U$30,MATCH("对"&amp;LEFT($C$5,2)&amp;"输出",标准坦克设计!$B$23:$U$23,0)))*(VLOOKUP($B234,INDIRECT($B$5&amp;"生成成长"),3))*(VLOOKUP($B$5,标准坦克设计!$B$14:$K$20,9)/30))</f>
        <v>2.2589052418347215</v>
      </c>
      <c r="DS234" s="173">
        <f ca="1">(VLOOKUP(DS$72,INDIRECT($C$5&amp;"生成成长"),2))/((VLOOKUP($B234,INDIRECT($B$5&amp;"生成成长"),4))/(VLOOKUP(DS$72,INDIRECT($C$5&amp;"生成成长"),5))*(VLOOKUP($B$5,标准坦克设计!$B$24:$U$30,MATCH("对"&amp;LEFT($C$5,2)&amp;"输出",标准坦克设计!$B$23:$U$23,0)))*(VLOOKUP($B234,INDIRECT($B$5&amp;"生成成长"),3))*(VLOOKUP($B$5,标准坦克设计!$B$14:$K$20,9)/30))</f>
        <v>2.4466347391137933</v>
      </c>
      <c r="DT234" s="173">
        <f ca="1">(VLOOKUP(DT$72,INDIRECT($C$5&amp;"生成成长"),2))/((VLOOKUP($B234,INDIRECT($B$5&amp;"生成成长"),4))/(VLOOKUP(DT$72,INDIRECT($C$5&amp;"生成成长"),5))*(VLOOKUP($B$5,标准坦克设计!$B$24:$U$30,MATCH("对"&amp;LEFT($C$5,2)&amp;"输出",标准坦克设计!$B$23:$U$23,0)))*(VLOOKUP($B234,INDIRECT($B$5&amp;"生成成长"),3))*(VLOOKUP($B$5,标准坦克设计!$B$14:$K$20,9)/30))</f>
        <v>2.6862569429578111</v>
      </c>
      <c r="DU234" s="173">
        <f ca="1">(VLOOKUP(DU$72,INDIRECT($C$5&amp;"生成成长"),2))/((VLOOKUP($B234,INDIRECT($B$5&amp;"生成成长"),4))/(VLOOKUP(DU$72,INDIRECT($C$5&amp;"生成成长"),5))*(VLOOKUP($B$5,标准坦克设计!$B$24:$U$30,MATCH("对"&amp;LEFT($C$5,2)&amp;"输出",标准坦克设计!$B$23:$U$23,0)))*(VLOOKUP($B234,INDIRECT($B$5&amp;"生成成长"),3))*(VLOOKUP($B$5,标准坦克设计!$B$14:$K$20,9)/30))</f>
        <v>2.9370716913550532</v>
      </c>
      <c r="DV234" s="173">
        <f ca="1">(VLOOKUP(DV$72,INDIRECT($C$5&amp;"生成成长"),2))/((VLOOKUP($B234,INDIRECT($B$5&amp;"生成成长"),4))/(VLOOKUP(DV$72,INDIRECT($C$5&amp;"生成成长"),5))*(VLOOKUP($B$5,标准坦克设计!$B$24:$U$30,MATCH("对"&amp;LEFT($C$5,2)&amp;"输出",标准坦克设计!$B$23:$U$23,0)))*(VLOOKUP($B234,INDIRECT($B$5&amp;"生成成长"),3))*(VLOOKUP($B$5,标准坦克设计!$B$14:$K$20,9)/30))</f>
        <v>3.199078984305519</v>
      </c>
      <c r="DW234" s="173">
        <f ca="1">(VLOOKUP(DW$72,INDIRECT($C$5&amp;"生成成长"),2))/((VLOOKUP($B234,INDIRECT($B$5&amp;"生成成长"),4))/(VLOOKUP(DW$72,INDIRECT($C$5&amp;"生成成长"),5))*(VLOOKUP($B$5,标准坦克设计!$B$24:$U$30,MATCH("对"&amp;LEFT($C$5,2)&amp;"输出",标准坦克设计!$B$23:$U$23,0)))*(VLOOKUP($B234,INDIRECT($B$5&amp;"生成成长"),3))*(VLOOKUP($B$5,标准坦克设计!$B$14:$K$20,9)/30))</f>
        <v>3.4722788218092084</v>
      </c>
      <c r="DX234" s="173">
        <f ca="1">(VLOOKUP(DX$72,INDIRECT($C$5&amp;"生成成长"),2))/((VLOOKUP($B234,INDIRECT($B$5&amp;"生成成长"),4))/(VLOOKUP(DX$72,INDIRECT($C$5&amp;"生成成长"),5))*(VLOOKUP($B$5,标准坦克设计!$B$24:$U$30,MATCH("对"&amp;LEFT($C$5,2)&amp;"输出",标准坦克设计!$B$23:$U$23,0)))*(VLOOKUP($B234,INDIRECT($B$5&amp;"生成成长"),3))*(VLOOKUP($B$5,标准坦克设计!$B$14:$K$20,9)/30))</f>
        <v>3.7566712038661216</v>
      </c>
      <c r="DY234" s="173">
        <f ca="1">(VLOOKUP(DY$72,INDIRECT($C$5&amp;"生成成长"),2))/((VLOOKUP($B234,INDIRECT($B$5&amp;"生成成长"),4))/(VLOOKUP(DY$72,INDIRECT($C$5&amp;"生成成长"),5))*(VLOOKUP($B$5,标准坦克设计!$B$24:$U$30,MATCH("对"&amp;LEFT($C$5,2)&amp;"输出",标准坦克设计!$B$23:$U$23,0)))*(VLOOKUP($B234,INDIRECT($B$5&amp;"生成成长"),3))*(VLOOKUP($B$5,标准坦克设计!$B$14:$K$20,9)/30))</f>
        <v>1.6872529663064326</v>
      </c>
      <c r="DZ234" s="173">
        <f ca="1">(VLOOKUP(DZ$72,INDIRECT($C$5&amp;"生成成长"),2))/((VLOOKUP($B234,INDIRECT($B$5&amp;"生成成长"),4))/(VLOOKUP(DZ$72,INDIRECT($C$5&amp;"生成成长"),5))*(VLOOKUP($B$5,标准坦克设计!$B$24:$U$30,MATCH("对"&amp;LEFT($C$5,2)&amp;"输出",标准坦克设计!$B$23:$U$23,0)))*(VLOOKUP($B234,INDIRECT($B$5&amp;"生成成长"),3))*(VLOOKUP($B$5,标准坦克设计!$B$14:$K$20,9)/30))</f>
        <v>1.8685536879950162</v>
      </c>
      <c r="EA234" s="173">
        <f ca="1">(VLOOKUP(EA$72,INDIRECT($C$5&amp;"生成成长"),2))/((VLOOKUP($B234,INDIRECT($B$5&amp;"生成成长"),4))/(VLOOKUP(EA$72,INDIRECT($C$5&amp;"生成成长"),5))*(VLOOKUP($B$5,标准坦克设计!$B$24:$U$30,MATCH("对"&amp;LEFT($C$5,2)&amp;"输出",标准坦克设计!$B$23:$U$23,0)))*(VLOOKUP($B234,INDIRECT($B$5&amp;"生成成长"),3))*(VLOOKUP($B$5,标准坦克设计!$B$14:$K$20,9)/30))</f>
        <v>2.0591044465044459</v>
      </c>
      <c r="EB234" s="173">
        <f ca="1">(VLOOKUP(EB$72,INDIRECT($C$5&amp;"生成成长"),2))/((VLOOKUP($B234,INDIRECT($B$5&amp;"生成成长"),4))/(VLOOKUP(EB$72,INDIRECT($C$5&amp;"生成成长"),5))*(VLOOKUP($B$5,标准坦克设计!$B$24:$U$30,MATCH("对"&amp;LEFT($C$5,2)&amp;"输出",标准坦克设计!$B$23:$U$23,0)))*(VLOOKUP($B234,INDIRECT($B$5&amp;"生成成长"),3))*(VLOOKUP($B$5,标准坦克设计!$B$14:$K$20,9)/30))</f>
        <v>2.2589052418347215</v>
      </c>
      <c r="EC234" s="173">
        <f ca="1">(VLOOKUP(EC$72,INDIRECT($C$5&amp;"生成成长"),2))/((VLOOKUP($B234,INDIRECT($B$5&amp;"生成成长"),4))/(VLOOKUP(EC$72,INDIRECT($C$5&amp;"生成成长"),5))*(VLOOKUP($B$5,标准坦克设计!$B$24:$U$30,MATCH("对"&amp;LEFT($C$5,2)&amp;"输出",标准坦克设计!$B$23:$U$23,0)))*(VLOOKUP($B234,INDIRECT($B$5&amp;"生成成长"),3))*(VLOOKUP($B$5,标准坦克设计!$B$14:$K$20,9)/30))</f>
        <v>2.4679560739858433</v>
      </c>
      <c r="ED234" s="173">
        <f ca="1">(VLOOKUP(ED$72,INDIRECT($C$5&amp;"生成成长"),2))/((VLOOKUP($B234,INDIRECT($B$5&amp;"生成成长"),4))/(VLOOKUP(ED$72,INDIRECT($C$5&amp;"生成成长"),5))*(VLOOKUP($B$5,标准坦克设计!$B$24:$U$30,MATCH("对"&amp;LEFT($C$5,2)&amp;"输出",标准坦克设计!$B$23:$U$23,0)))*(VLOOKUP($B234,INDIRECT($B$5&amp;"生成成长"),3))*(VLOOKUP($B$5,标准坦克设计!$B$14:$K$20,9)/30))</f>
        <v>2.6862569429578111</v>
      </c>
      <c r="EE234" s="173">
        <f ca="1">(VLOOKUP(EE$72,INDIRECT($C$5&amp;"生成成长"),2))/((VLOOKUP($B234,INDIRECT($B$5&amp;"生成成长"),4))/(VLOOKUP(EE$72,INDIRECT($C$5&amp;"生成成长"),5))*(VLOOKUP($B$5,标准坦克设计!$B$24:$U$30,MATCH("对"&amp;LEFT($C$5,2)&amp;"输出",标准坦克设计!$B$23:$U$23,0)))*(VLOOKUP($B234,INDIRECT($B$5&amp;"生成成长"),3))*(VLOOKUP($B$5,标准坦克设计!$B$14:$K$20,9)/30))</f>
        <v>2.9138078487506252</v>
      </c>
      <c r="EF234" s="173">
        <f ca="1">(VLOOKUP(EF$72,INDIRECT($C$5&amp;"生成成长"),2))/((VLOOKUP($B234,INDIRECT($B$5&amp;"生成成长"),4))/(VLOOKUP(EF$72,INDIRECT($C$5&amp;"生成成长"),5))*(VLOOKUP($B$5,标准坦克设计!$B$24:$U$30,MATCH("对"&amp;LEFT($C$5,2)&amp;"输出",标准坦克设计!$B$23:$U$23,0)))*(VLOOKUP($B234,INDIRECT($B$5&amp;"生成成长"),3))*(VLOOKUP($B$5,标准坦克设计!$B$14:$K$20,9)/30))</f>
        <v>3.1506087913642853</v>
      </c>
      <c r="EG234" s="173">
        <f ca="1">(VLOOKUP(EG$72,INDIRECT($C$5&amp;"生成成长"),2))/((VLOOKUP($B234,INDIRECT($B$5&amp;"生成成长"),4))/(VLOOKUP(EG$72,INDIRECT($C$5&amp;"生成成长"),5))*(VLOOKUP($B$5,标准坦克设计!$B$24:$U$30,MATCH("对"&amp;LEFT($C$5,2)&amp;"输出",标准坦克设计!$B$23:$U$23,0)))*(VLOOKUP($B234,INDIRECT($B$5&amp;"生成成长"),3))*(VLOOKUP($B$5,标准坦克设计!$B$14:$K$20,9)/30))</f>
        <v>3.3966597707987916</v>
      </c>
      <c r="EH234" s="173">
        <f ca="1">(VLOOKUP(EH$72,INDIRECT($C$5&amp;"生成成长"),2))/((VLOOKUP($B234,INDIRECT($B$5&amp;"生成成长"),4))/(VLOOKUP(EH$72,INDIRECT($C$5&amp;"生成成长"),5))*(VLOOKUP($B$5,标准坦克设计!$B$24:$U$30,MATCH("对"&amp;LEFT($C$5,2)&amp;"输出",标准坦克设计!$B$23:$U$23,0)))*(VLOOKUP($B234,INDIRECT($B$5&amp;"生成成长"),3))*(VLOOKUP($B$5,标准坦克设计!$B$14:$K$20,9)/30))</f>
        <v>3.6519607870541435</v>
      </c>
      <c r="EI234" s="173">
        <f ca="1">(VLOOKUP(EI$72,INDIRECT($C$5&amp;"生成成长"),2))/((VLOOKUP($B234,INDIRECT($B$5&amp;"生成成长"),4))/(VLOOKUP(EI$72,INDIRECT($C$5&amp;"生成成长"),5))*(VLOOKUP($B$5,标准坦克设计!$B$24:$U$30,MATCH("对"&amp;LEFT($C$5,2)&amp;"输出",标准坦克设计!$B$23:$U$23,0)))*(VLOOKUP($B234,INDIRECT($B$5&amp;"生成成长"),3))*(VLOOKUP($B$5,标准坦克设计!$B$14:$K$20,9)/30))</f>
        <v>3.9165118401303425</v>
      </c>
      <c r="EJ234" s="173">
        <f ca="1">(VLOOKUP(EJ$72,INDIRECT($C$5&amp;"生成成长"),2))/((VLOOKUP($B234,INDIRECT($B$5&amp;"生成成长"),4))/(VLOOKUP(EJ$72,INDIRECT($C$5&amp;"生成成长"),5))*(VLOOKUP($B$5,标准坦克设计!$B$24:$U$30,MATCH("对"&amp;LEFT($C$5,2)&amp;"输出",标准坦克设计!$B$23:$U$23,0)))*(VLOOKUP($B234,INDIRECT($B$5&amp;"生成成长"),3))*(VLOOKUP($B$5,标准坦克设计!$B$14:$K$20,9)/30))</f>
        <v>4.1903129300273871</v>
      </c>
      <c r="EK234" s="173">
        <f ca="1">(VLOOKUP(EK$72,INDIRECT($C$5&amp;"生成成长"),2))/((VLOOKUP($B234,INDIRECT($B$5&amp;"生成成长"),4))/(VLOOKUP(EK$72,INDIRECT($C$5&amp;"生成成长"),5))*(VLOOKUP($B$5,标准坦克设计!$B$24:$U$30,MATCH("对"&amp;LEFT($C$5,2)&amp;"输出",标准坦克设计!$B$23:$U$23,0)))*(VLOOKUP($B234,INDIRECT($B$5&amp;"生成成长"),3))*(VLOOKUP($B$5,标准坦克设计!$B$14:$K$20,9)/30))</f>
        <v>4.5310842865073573</v>
      </c>
      <c r="EL234" s="173">
        <f ca="1">(VLOOKUP(EL$72,INDIRECT($C$5&amp;"生成成长"),2))/((VLOOKUP($B234,INDIRECT($B$5&amp;"生成成长"),4))/(VLOOKUP(EL$72,INDIRECT($C$5&amp;"生成成长"),5))*(VLOOKUP($B$5,标准坦克设计!$B$24:$U$30,MATCH("对"&amp;LEFT($C$5,2)&amp;"输出",标准坦克设计!$B$23:$U$23,0)))*(VLOOKUP($B234,INDIRECT($B$5&amp;"生成成长"),3))*(VLOOKUP($B$5,标准坦克设计!$B$14:$K$20,9)/30))</f>
        <v>4.8851756960093455</v>
      </c>
      <c r="EM234" s="173">
        <f ca="1">(VLOOKUP(EM$72,INDIRECT($C$5&amp;"生成成长"),2))/((VLOOKUP($B234,INDIRECT($B$5&amp;"生成成长"),4))/(VLOOKUP(EM$72,INDIRECT($C$5&amp;"生成成长"),5))*(VLOOKUP($B$5,标准坦克设计!$B$24:$U$30,MATCH("对"&amp;LEFT($C$5,2)&amp;"输出",标准坦克设计!$B$23:$U$23,0)))*(VLOOKUP($B234,INDIRECT($B$5&amp;"生成成长"),3))*(VLOOKUP($B$5,标准坦克设计!$B$14:$K$20,9)/30))</f>
        <v>5.2525871585333528</v>
      </c>
      <c r="EN234" s="173">
        <f ca="1">(VLOOKUP(EN$72,INDIRECT($C$5&amp;"生成成长"),2))/((VLOOKUP($B234,INDIRECT($B$5&amp;"生成成长"),4))/(VLOOKUP(EN$72,INDIRECT($C$5&amp;"生成成长"),5))*(VLOOKUP($B$5,标准坦克设计!$B$24:$U$30,MATCH("对"&amp;LEFT($C$5,2)&amp;"输出",标准坦克设计!$B$23:$U$23,0)))*(VLOOKUP($B234,INDIRECT($B$5&amp;"生成成长"),3))*(VLOOKUP($B$5,标准坦克设计!$B$14:$K$20,9)/30))</f>
        <v>5.6333186740793781</v>
      </c>
      <c r="EO234" s="173">
        <f ca="1">(VLOOKUP(EO$72,INDIRECT($C$5&amp;"生成成长"),2))/((VLOOKUP($B234,INDIRECT($B$5&amp;"生成成长"),4))/(VLOOKUP(EO$72,INDIRECT($C$5&amp;"生成成长"),5))*(VLOOKUP($B$5,标准坦克设计!$B$24:$U$30,MATCH("对"&amp;LEFT($C$5,2)&amp;"输出",标准坦克设计!$B$23:$U$23,0)))*(VLOOKUP($B234,INDIRECT($B$5&amp;"生成成长"),3))*(VLOOKUP($B$5,标准坦克设计!$B$14:$K$20,9)/30))</f>
        <v>6.0273702426474225</v>
      </c>
      <c r="EP234" s="173">
        <f ca="1">(VLOOKUP(EP$72,INDIRECT($C$5&amp;"生成成长"),2))/((VLOOKUP($B234,INDIRECT($B$5&amp;"生成成长"),4))/(VLOOKUP(EP$72,INDIRECT($C$5&amp;"生成成长"),5))*(VLOOKUP($B$5,标准坦克设计!$B$24:$U$30,MATCH("对"&amp;LEFT($C$5,2)&amp;"输出",标准坦克设计!$B$23:$U$23,0)))*(VLOOKUP($B234,INDIRECT($B$5&amp;"生成成长"),3))*(VLOOKUP($B$5,标准坦克设计!$B$14:$K$20,9)/30))</f>
        <v>6.434741864237485</v>
      </c>
      <c r="EQ234" s="173">
        <f ca="1">(VLOOKUP(EQ$72,INDIRECT($C$5&amp;"生成成长"),2))/((VLOOKUP($B234,INDIRECT($B$5&amp;"生成成长"),4))/(VLOOKUP(EQ$72,INDIRECT($C$5&amp;"生成成长"),5))*(VLOOKUP($B$5,标准坦克设计!$B$24:$U$30,MATCH("对"&amp;LEFT($C$5,2)&amp;"输出",标准坦克设计!$B$23:$U$23,0)))*(VLOOKUP($B234,INDIRECT($B$5&amp;"生成成长"),3))*(VLOOKUP($B$5,标准坦克设计!$B$14:$K$20,9)/30))</f>
        <v>2.8445713231465923</v>
      </c>
      <c r="ER234" s="173">
        <f ca="1">(VLOOKUP(ER$72,INDIRECT($C$5&amp;"生成成长"),2))/((VLOOKUP($B234,INDIRECT($B$5&amp;"生成成长"),4))/(VLOOKUP(ER$72,INDIRECT($C$5&amp;"生成成长"),5))*(VLOOKUP($B$5,标准坦克设计!$B$24:$U$30,MATCH("对"&amp;LEFT($C$5,2)&amp;"输出",标准坦克设计!$B$23:$U$23,0)))*(VLOOKUP($B234,INDIRECT($B$5&amp;"生成成长"),3))*(VLOOKUP($B$5,标准坦克设计!$B$14:$K$20,9)/30))</f>
        <v>3.1025085998958861</v>
      </c>
      <c r="ES234" s="173">
        <f ca="1">(VLOOKUP(ES$72,INDIRECT($C$5&amp;"生成成长"),2))/((VLOOKUP($B234,INDIRECT($B$5&amp;"生成成长"),4))/(VLOOKUP(ES$72,INDIRECT($C$5&amp;"生成成长"),5))*(VLOOKUP($B$5,标准坦克设计!$B$24:$U$30,MATCH("对"&amp;LEFT($C$5,2)&amp;"输出",标准坦克设计!$B$23:$U$23,0)))*(VLOOKUP($B234,INDIRECT($B$5&amp;"生成成长"),3))*(VLOOKUP($B$5,标准坦克设计!$B$14:$K$20,9)/30))</f>
        <v>3.3716384211984027</v>
      </c>
      <c r="ET234" s="173">
        <f ca="1">(VLOOKUP(ET$72,INDIRECT($C$5&amp;"生成成长"),2))/((VLOOKUP($B234,INDIRECT($B$5&amp;"生成成长"),4))/(VLOOKUP(ET$72,INDIRECT($C$5&amp;"生成成长"),5))*(VLOOKUP($B$5,标准坦克设计!$B$24:$U$30,MATCH("对"&amp;LEFT($C$5,2)&amp;"输出",标准坦克设计!$B$23:$U$23,0)))*(VLOOKUP($B234,INDIRECT($B$5&amp;"生成成长"),3))*(VLOOKUP($B$5,标准坦克设计!$B$14:$K$20,9)/30))</f>
        <v>3.6519607870541435</v>
      </c>
      <c r="EU234" s="173">
        <f ca="1">(VLOOKUP(EU$72,INDIRECT($C$5&amp;"生成成长"),2))/((VLOOKUP($B234,INDIRECT($B$5&amp;"生成成长"),4))/(VLOOKUP(EU$72,INDIRECT($C$5&amp;"生成成长"),5))*(VLOOKUP($B$5,标准坦克设计!$B$24:$U$30,MATCH("对"&amp;LEFT($C$5,2)&amp;"输出",标准坦克设计!$B$23:$U$23,0)))*(VLOOKUP($B234,INDIRECT($B$5&amp;"生成成长"),3))*(VLOOKUP($B$5,标准坦克设计!$B$14:$K$20,9)/30))</f>
        <v>3.9434756974631084</v>
      </c>
      <c r="EV234" s="173">
        <f ca="1">(VLOOKUP(EV$72,INDIRECT($C$5&amp;"生成成长"),2))/((VLOOKUP($B234,INDIRECT($B$5&amp;"生成成长"),4))/(VLOOKUP(EV$72,INDIRECT($C$5&amp;"生成成长"),5))*(VLOOKUP($B$5,标准坦克设计!$B$24:$U$30,MATCH("对"&amp;LEFT($C$5,2)&amp;"输出",标准坦克设计!$B$23:$U$23,0)))*(VLOOKUP($B234,INDIRECT($B$5&amp;"生成成长"),3))*(VLOOKUP($B$5,标准坦克设计!$B$14:$K$20,9)/30))</f>
        <v>4.2461831524252975</v>
      </c>
      <c r="EW234" s="173">
        <f ca="1">(VLOOKUP(EW$72,INDIRECT($C$5&amp;"生成成长"),2))/((VLOOKUP($B234,INDIRECT($B$5&amp;"生成成长"),4))/(VLOOKUP(EW$72,INDIRECT($C$5&amp;"生成成长"),5))*(VLOOKUP($B$5,标准坦克设计!$B$24:$U$30,MATCH("对"&amp;LEFT($C$5,2)&amp;"输出",标准坦克设计!$B$23:$U$23,0)))*(VLOOKUP($B234,INDIRECT($B$5&amp;"生成成长"),3))*(VLOOKUP($B$5,标准坦克设计!$B$14:$K$20,9)/30))</f>
        <v>4.5600831519407103</v>
      </c>
      <c r="EX234" s="173">
        <f ca="1">(VLOOKUP(EX$72,INDIRECT($C$5&amp;"生成成长"),2))/((VLOOKUP($B234,INDIRECT($B$5&amp;"生成成长"),4))/(VLOOKUP(EX$72,INDIRECT($C$5&amp;"生成成长"),5))*(VLOOKUP($B$5,标准坦克设计!$B$24:$U$30,MATCH("对"&amp;LEFT($C$5,2)&amp;"输出",标准坦克设计!$B$23:$U$23,0)))*(VLOOKUP($B234,INDIRECT($B$5&amp;"生成成长"),3))*(VLOOKUP($B$5,标准坦克设计!$B$14:$K$20,9)/30))</f>
        <v>4.8851756960093455</v>
      </c>
      <c r="EY234" s="173">
        <f ca="1">(VLOOKUP(EY$72,INDIRECT($C$5&amp;"生成成长"),2))/((VLOOKUP($B234,INDIRECT($B$5&amp;"生成成长"),4))/(VLOOKUP(EY$72,INDIRECT($C$5&amp;"生成成长"),5))*(VLOOKUP($B$5,标准坦克设计!$B$24:$U$30,MATCH("对"&amp;LEFT($C$5,2)&amp;"输出",标准坦克设计!$B$23:$U$23,0)))*(VLOOKUP($B234,INDIRECT($B$5&amp;"生成成长"),3))*(VLOOKUP($B$5,标准坦克设计!$B$14:$K$20,9)/30))</f>
        <v>5.2214607846312049</v>
      </c>
      <c r="EZ234" s="173">
        <f ca="1">(VLOOKUP(EZ$72,INDIRECT($C$5&amp;"生成成长"),2))/((VLOOKUP($B234,INDIRECT($B$5&amp;"生成成长"),4))/(VLOOKUP(EZ$72,INDIRECT($C$5&amp;"生成成长"),5))*(VLOOKUP($B$5,标准坦克设计!$B$24:$U$30,MATCH("对"&amp;LEFT($C$5,2)&amp;"输出",标准坦克设计!$B$23:$U$23,0)))*(VLOOKUP($B234,INDIRECT($B$5&amp;"生成成长"),3))*(VLOOKUP($B$5,标准坦克设计!$B$14:$K$20,9)/30))</f>
        <v>5.5689384178062902</v>
      </c>
      <c r="FA234" s="173">
        <f ca="1">(VLOOKUP(FA$72,INDIRECT($C$5&amp;"生成成长"),2))/((VLOOKUP($B234,INDIRECT($B$5&amp;"生成成长"),4))/(VLOOKUP(FA$72,INDIRECT($C$5&amp;"生成成长"),5))*(VLOOKUP($B$5,标准坦克设计!$B$24:$U$30,MATCH("对"&amp;LEFT($C$5,2)&amp;"输出",标准坦克设计!$B$23:$U$23,0)))*(VLOOKUP($B234,INDIRECT($B$5&amp;"生成成长"),3))*(VLOOKUP($B$5,标准坦克设计!$B$14:$K$20,9)/30))</f>
        <v>5.9276085955345961</v>
      </c>
      <c r="FB234" s="173">
        <f ca="1">(VLOOKUP(FB$72,INDIRECT($C$5&amp;"生成成长"),2))/((VLOOKUP($B234,INDIRECT($B$5&amp;"生成成长"),4))/(VLOOKUP(FB$72,INDIRECT($C$5&amp;"生成成长"),5))*(VLOOKUP($B$5,标准坦克设计!$B$24:$U$30,MATCH("对"&amp;LEFT($C$5,2)&amp;"输出",标准坦克设计!$B$23:$U$23,0)))*(VLOOKUP($B234,INDIRECT($B$5&amp;"生成成长"),3))*(VLOOKUP($B$5,标准坦克设计!$B$14:$K$20,9)/30))</f>
        <v>6.2974713178161288</v>
      </c>
      <c r="FC234" s="173">
        <f ca="1">(VLOOKUP(FC$72,INDIRECT($C$5&amp;"生成成长"),2))/((VLOOKUP($B234,INDIRECT($B$5&amp;"生成成长"),4))/(VLOOKUP(FC$72,INDIRECT($C$5&amp;"生成成长"),5))*(VLOOKUP($B$5,标准坦克设计!$B$24:$U$30,MATCH("对"&amp;LEFT($C$5,2)&amp;"输出",标准坦克设计!$B$23:$U$23,0)))*(VLOOKUP($B234,INDIRECT($B$5&amp;"生成成长"),3))*(VLOOKUP($B$5,标准坦克设计!$B$14:$K$20,9)/30))</f>
        <v>6.6785265846508839</v>
      </c>
      <c r="FD234" s="173">
        <f ca="1">(VLOOKUP(FD$72,INDIRECT($C$5&amp;"生成成长"),2))/((VLOOKUP($B234,INDIRECT($B$5&amp;"生成成长"),4))/(VLOOKUP(FD$72,INDIRECT($C$5&amp;"生成成长"),5))*(VLOOKUP($B$5,标准坦克设计!$B$24:$U$30,MATCH("对"&amp;LEFT($C$5,2)&amp;"输出",标准坦克设计!$B$23:$U$23,0)))*(VLOOKUP($B234,INDIRECT($B$5&amp;"生成成长"),3))*(VLOOKUP($B$5,标准坦克设计!$B$14:$K$20,9)/30))</f>
        <v>7.0707743960388623</v>
      </c>
      <c r="FE234" s="173">
        <f ca="1">(VLOOKUP(FE$72,INDIRECT($C$5&amp;"生成成长"),2))/((VLOOKUP($B234,INDIRECT($B$5&amp;"生成成长"),4))/(VLOOKUP(FE$72,INDIRECT($C$5&amp;"生成成长"),5))*(VLOOKUP($B$5,标准坦克设计!$B$24:$U$30,MATCH("对"&amp;LEFT($C$5,2)&amp;"输出",标准坦克设计!$B$23:$U$23,0)))*(VLOOKUP($B234,INDIRECT($B$5&amp;"生成成长"),3))*(VLOOKUP($B$5,标准坦克设计!$B$14:$K$20,9)/30))</f>
        <v>7.5487700487560838</v>
      </c>
      <c r="FF234" s="173">
        <f ca="1">(VLOOKUP(FF$72,INDIRECT($C$5&amp;"生成成长"),2))/((VLOOKUP($B234,INDIRECT($B$5&amp;"生成成长"),4))/(VLOOKUP(FF$72,INDIRECT($C$5&amp;"生成成长"),5))*(VLOOKUP($B$5,标准坦克设计!$B$24:$U$30,MATCH("对"&amp;LEFT($C$5,2)&amp;"输出",标准坦克设计!$B$23:$U$23,0)))*(VLOOKUP($B234,INDIRECT($B$5&amp;"生成成长"),3))*(VLOOKUP($B$5,标准坦克设计!$B$14:$K$20,9)/30))</f>
        <v>8.0423982637005356</v>
      </c>
      <c r="FG234" s="173">
        <f ca="1">(VLOOKUP(FG$72,INDIRECT($C$5&amp;"生成成长"),2))/((VLOOKUP($B234,INDIRECT($B$5&amp;"生成成长"),4))/(VLOOKUP(FG$72,INDIRECT($C$5&amp;"生成成长"),5))*(VLOOKUP($B$5,标准坦克设计!$B$24:$U$30,MATCH("对"&amp;LEFT($C$5,2)&amp;"输出",标准坦克设计!$B$23:$U$23,0)))*(VLOOKUP($B234,INDIRECT($B$5&amp;"生成成长"),3))*(VLOOKUP($B$5,标准坦克设计!$B$14:$K$20,9)/30))</f>
        <v>8.5516590408722184</v>
      </c>
      <c r="FH234" s="173">
        <f ca="1">(VLOOKUP(FH$72,INDIRECT($C$5&amp;"生成成长"),2))/((VLOOKUP($B234,INDIRECT($B$5&amp;"生成成长"),4))/(VLOOKUP(FH$72,INDIRECT($C$5&amp;"生成成长"),5))*(VLOOKUP($B$5,标准坦克设计!$B$24:$U$30,MATCH("对"&amp;LEFT($C$5,2)&amp;"输出",标准坦克设计!$B$23:$U$23,0)))*(VLOOKUP($B234,INDIRECT($B$5&amp;"生成成长"),3))*(VLOOKUP($B$5,标准坦克设计!$B$14:$K$20,9)/30))</f>
        <v>9.0765523802711296</v>
      </c>
      <c r="FI234" s="173">
        <f ca="1">(VLOOKUP(FI$72,INDIRECT($C$5&amp;"生成成长"),2))/((VLOOKUP($B234,INDIRECT($B$5&amp;"生成成长"),4))/(VLOOKUP(FI$72,INDIRECT($C$5&amp;"生成成长"),5))*(VLOOKUP($B$5,标准坦克设计!$B$24:$U$30,MATCH("对"&amp;LEFT($C$5,2)&amp;"输出",标准坦克设计!$B$23:$U$23,0)))*(VLOOKUP($B234,INDIRECT($B$5&amp;"生成成长"),3))*(VLOOKUP($B$5,标准坦克设计!$B$14:$K$20,9)/30))</f>
        <v>9.6170782818972729</v>
      </c>
      <c r="FJ234" s="173">
        <f ca="1">(VLOOKUP(FJ$72,INDIRECT($C$5&amp;"生成成长"),2))/((VLOOKUP($B234,INDIRECT($B$5&amp;"生成成长"),4))/(VLOOKUP(FJ$72,INDIRECT($C$5&amp;"生成成长"),5))*(VLOOKUP($B$5,标准坦克设计!$B$24:$U$30,MATCH("对"&amp;LEFT($C$5,2)&amp;"输出",标准坦克设计!$B$23:$U$23,0)))*(VLOOKUP($B234,INDIRECT($B$5&amp;"生成成长"),3))*(VLOOKUP($B$5,标准坦克设计!$B$14:$K$20,9)/30))</f>
        <v>10.173236745750641</v>
      </c>
      <c r="FK234" s="173">
        <f ca="1">(VLOOKUP(FK$72,INDIRECT($C$5&amp;"生成成长"),2))/((VLOOKUP($B234,INDIRECT($B$5&amp;"生成成长"),4))/(VLOOKUP(FK$72,INDIRECT($C$5&amp;"生成成长"),5))*(VLOOKUP($B$5,标准坦克设计!$B$24:$U$30,MATCH("对"&amp;LEFT($C$5,2)&amp;"输出",标准坦克设计!$B$23:$U$23,0)))*(VLOOKUP($B234,INDIRECT($B$5&amp;"生成成长"),3))*(VLOOKUP($B$5,标准坦克设计!$B$14:$K$20,9)/30))</f>
        <v>10.745027771831245</v>
      </c>
    </row>
    <row r="235" spans="1:167" x14ac:dyDescent="0.15">
      <c r="A235" s="171" t="str">
        <f t="shared" si="13"/>
        <v>T5高品质19级</v>
      </c>
      <c r="B235" s="172">
        <v>30519</v>
      </c>
      <c r="C235" s="173">
        <f ca="1">(VLOOKUP(C$72,INDIRECT($C$5&amp;"生成成长"),2))/((VLOOKUP($B235,INDIRECT($B$5&amp;"生成成长"),4))/(VLOOKUP(C$72,INDIRECT($C$5&amp;"生成成长"),5))*(VLOOKUP($B$5,标准坦克设计!$B$24:$U$30,MATCH("对"&amp;LEFT($C$5,2)&amp;"输出",标准坦克设计!$B$23:$U$23,0)))*(VLOOKUP($B235,INDIRECT($B$5&amp;"生成成长"),3))*(VLOOKUP($B$5,标准坦克设计!$B$14:$K$20,9)/30))</f>
        <v>0.43573823621767532</v>
      </c>
      <c r="D235" s="173">
        <f ca="1">(VLOOKUP(D$72,INDIRECT($C$5&amp;"生成成长"),2))/((VLOOKUP($B235,INDIRECT($B$5&amp;"生成成长"),4))/(VLOOKUP(D$72,INDIRECT($C$5&amp;"生成成长"),5))*(VLOOKUP($B$5,标准坦克设计!$B$24:$U$30,MATCH("对"&amp;LEFT($C$5,2)&amp;"输出",标准坦克设计!$B$23:$U$23,0)))*(VLOOKUP($B235,INDIRECT($B$5&amp;"生成成长"),3))*(VLOOKUP($B$5,标准坦克设计!$B$14:$K$20,9)/30))</f>
        <v>0.48959548221417992</v>
      </c>
      <c r="E235" s="173">
        <f ca="1">(VLOOKUP(E$72,INDIRECT($C$5&amp;"生成成长"),2))/((VLOOKUP($B235,INDIRECT($B$5&amp;"生成成长"),4))/(VLOOKUP(E$72,INDIRECT($C$5&amp;"生成成长"),5))*(VLOOKUP($B$5,标准坦克设计!$B$24:$U$30,MATCH("对"&amp;LEFT($C$5,2)&amp;"输出",标准坦克设计!$B$23:$U$23,0)))*(VLOOKUP($B235,INDIRECT($B$5&amp;"生成成长"),3))*(VLOOKUP($B$5,标准坦克设计!$B$14:$K$20,9)/30))</f>
        <v>0.5465900435114518</v>
      </c>
      <c r="F235" s="173">
        <f ca="1">(VLOOKUP(F$72,INDIRECT($C$5&amp;"生成成长"),2))/((VLOOKUP($B235,INDIRECT($B$5&amp;"生成成长"),4))/(VLOOKUP(F$72,INDIRECT($C$5&amp;"生成成长"),5))*(VLOOKUP($B$5,标准坦克设计!$B$24:$U$30,MATCH("对"&amp;LEFT($C$5,2)&amp;"输出",标准坦克设计!$B$23:$U$23,0)))*(VLOOKUP($B235,INDIRECT($B$5&amp;"生成成长"),3))*(VLOOKUP($B$5,标准坦克设计!$B$14:$K$20,9)/30))</f>
        <v>0.606721920109491</v>
      </c>
      <c r="G235" s="173">
        <f ca="1">(VLOOKUP(G$72,INDIRECT($C$5&amp;"生成成长"),2))/((VLOOKUP($B235,INDIRECT($B$5&amp;"生成成长"),4))/(VLOOKUP(G$72,INDIRECT($C$5&amp;"生成成长"),5))*(VLOOKUP($B$5,标准坦克设计!$B$24:$U$30,MATCH("对"&amp;LEFT($C$5,2)&amp;"输出",标准坦克设计!$B$23:$U$23,0)))*(VLOOKUP($B235,INDIRECT($B$5&amp;"生成成长"),3))*(VLOOKUP($B$5,标准坦克设计!$B$14:$K$20,9)/30))</f>
        <v>0.66999111200829742</v>
      </c>
      <c r="H235" s="173">
        <f ca="1">(VLOOKUP(H$72,INDIRECT($C$5&amp;"生成成长"),2))/((VLOOKUP($B235,INDIRECT($B$5&amp;"生成成长"),4))/(VLOOKUP(H$72,INDIRECT($C$5&amp;"生成成长"),5))*(VLOOKUP($B$5,标准坦克设计!$B$24:$U$30,MATCH("对"&amp;LEFT($C$5,2)&amp;"输出",标准坦克设计!$B$23:$U$23,0)))*(VLOOKUP($B235,INDIRECT($B$5&amp;"生成成长"),3))*(VLOOKUP($B$5,标准坦克设计!$B$14:$K$20,9)/30))</f>
        <v>0.58632937065450375</v>
      </c>
      <c r="I235" s="173">
        <f ca="1">(VLOOKUP(I$72,INDIRECT($C$5&amp;"生成成长"),2))/((VLOOKUP($B235,INDIRECT($B$5&amp;"生成成长"),4))/(VLOOKUP(I$72,INDIRECT($C$5&amp;"生成成长"),5))*(VLOOKUP($B$5,标准坦克设计!$B$24:$U$30,MATCH("对"&amp;LEFT($C$5,2)&amp;"输出",标准坦克设计!$B$23:$U$23,0)))*(VLOOKUP($B235,INDIRECT($B$5&amp;"生成成长"),3))*(VLOOKUP($B$5,标准坦克设计!$B$14:$K$20,9)/30))</f>
        <v>0.66999111200829742</v>
      </c>
      <c r="J235" s="173">
        <f ca="1">(VLOOKUP(J$72,INDIRECT($C$5&amp;"生成成长"),2))/((VLOOKUP($B235,INDIRECT($B$5&amp;"生成成长"),4))/(VLOOKUP(J$72,INDIRECT($C$5&amp;"生成成长"),5))*(VLOOKUP($B$5,标准坦克设计!$B$24:$U$30,MATCH("对"&amp;LEFT($C$5,2)&amp;"输出",标准坦克设计!$B$23:$U$23,0)))*(VLOOKUP($B235,INDIRECT($B$5&amp;"生成成长"),3))*(VLOOKUP($B$5,标准坦克设计!$B$14:$K$20,9)/30))</f>
        <v>0.75923030278567727</v>
      </c>
      <c r="K235" s="173">
        <f ca="1">(VLOOKUP(K$72,INDIRECT($C$5&amp;"生成成长"),2))/((VLOOKUP($B235,INDIRECT($B$5&amp;"生成成长"),4))/(VLOOKUP(K$72,INDIRECT($C$5&amp;"生成成长"),5))*(VLOOKUP($B$5,标准坦克设计!$B$24:$U$30,MATCH("对"&amp;LEFT($C$5,2)&amp;"输出",标准坦克设计!$B$23:$U$23,0)))*(VLOOKUP($B235,INDIRECT($B$5&amp;"生成成长"),3))*(VLOOKUP($B$5,标准坦克设计!$B$14:$K$20,9)/30))</f>
        <v>0.85404694298664341</v>
      </c>
      <c r="L235" s="173">
        <f ca="1">(VLOOKUP(L$72,INDIRECT($C$5&amp;"生成成长"),2))/((VLOOKUP($B235,INDIRECT($B$5&amp;"生成成长"),4))/(VLOOKUP(L$72,INDIRECT($C$5&amp;"生成成长"),5))*(VLOOKUP($B$5,标准坦克设计!$B$24:$U$30,MATCH("对"&amp;LEFT($C$5,2)&amp;"输出",标准坦克设计!$B$23:$U$23,0)))*(VLOOKUP($B235,INDIRECT($B$5&amp;"生成成长"),3))*(VLOOKUP($B$5,标准坦克设计!$B$14:$K$20,9)/30))</f>
        <v>0.95444103261119584</v>
      </c>
      <c r="M235" s="173">
        <f ca="1">(VLOOKUP(M$72,INDIRECT($C$5&amp;"生成成长"),2))/((VLOOKUP($B235,INDIRECT($B$5&amp;"生成成长"),4))/(VLOOKUP(M$72,INDIRECT($C$5&amp;"生成成长"),5))*(VLOOKUP($B$5,标准坦克设计!$B$24:$U$30,MATCH("对"&amp;LEFT($C$5,2)&amp;"输出",标准坦克设计!$B$23:$U$23,0)))*(VLOOKUP($B235,INDIRECT($B$5&amp;"生成成长"),3))*(VLOOKUP($B$5,标准坦克设计!$B$14:$K$20,9)/30))</f>
        <v>1.0604125716593344</v>
      </c>
      <c r="N235" s="173">
        <f ca="1">(VLOOKUP(N$72,INDIRECT($C$5&amp;"生成成长"),2))/((VLOOKUP($B235,INDIRECT($B$5&amp;"生成成长"),4))/(VLOOKUP(N$72,INDIRECT($C$5&amp;"生成成长"),5))*(VLOOKUP($B$5,标准坦克设计!$B$24:$U$30,MATCH("对"&amp;LEFT($C$5,2)&amp;"输出",标准坦克设计!$B$23:$U$23,0)))*(VLOOKUP($B235,INDIRECT($B$5&amp;"生成成长"),3))*(VLOOKUP($B$5,标准坦克设计!$B$14:$K$20,9)/30))</f>
        <v>1.1719615601310593</v>
      </c>
      <c r="O235" s="173">
        <f ca="1">(VLOOKUP(O$72,INDIRECT($C$5&amp;"生成成长"),2))/((VLOOKUP($B235,INDIRECT($B$5&amp;"生成成长"),4))/(VLOOKUP(O$72,INDIRECT($C$5&amp;"生成成长"),5))*(VLOOKUP($B$5,标准坦克设计!$B$24:$U$30,MATCH("对"&amp;LEFT($C$5,2)&amp;"输出",标准坦克设计!$B$23:$U$23,0)))*(VLOOKUP($B235,INDIRECT($B$5&amp;"生成成长"),3))*(VLOOKUP($B$5,标准坦克设计!$B$14:$K$20,9)/30))</f>
        <v>0.89104111924152396</v>
      </c>
      <c r="P235" s="173">
        <f ca="1">(VLOOKUP(P$72,INDIRECT($C$5&amp;"生成成长"),2))/((VLOOKUP($B235,INDIRECT($B$5&amp;"生成成长"),4))/(VLOOKUP(P$72,INDIRECT($C$5&amp;"生成成长"),5))*(VLOOKUP($B$5,标准坦克设计!$B$24:$U$30,MATCH("对"&amp;LEFT($C$5,2)&amp;"输出",标准坦克设计!$B$23:$U$23,0)))*(VLOOKUP($B235,INDIRECT($B$5&amp;"生成成长"),3))*(VLOOKUP($B$5,标准坦克设计!$B$14:$K$20,9)/30))</f>
        <v>1.0067296209573169</v>
      </c>
      <c r="Q235" s="173">
        <f ca="1">(VLOOKUP(Q$72,INDIRECT($C$5&amp;"生成成长"),2))/((VLOOKUP($B235,INDIRECT($B$5&amp;"生成成长"),4))/(VLOOKUP(Q$72,INDIRECT($C$5&amp;"生成成长"),5))*(VLOOKUP($B$5,标准坦克设计!$B$24:$U$30,MATCH("对"&amp;LEFT($C$5,2)&amp;"输出",标准坦克设计!$B$23:$U$23,0)))*(VLOOKUP($B235,INDIRECT($B$5&amp;"生成成长"),3))*(VLOOKUP($B$5,标准坦克设计!$B$14:$K$20,9)/30))</f>
        <v>1.1294770820998359</v>
      </c>
      <c r="R235" s="173">
        <f ca="1">(VLOOKUP(R$72,INDIRECT($C$5&amp;"生成成长"),2))/((VLOOKUP($B235,INDIRECT($B$5&amp;"生成成长"),4))/(VLOOKUP(R$72,INDIRECT($C$5&amp;"生成成长"),5))*(VLOOKUP($B$5,标准坦克设计!$B$24:$U$30,MATCH("对"&amp;LEFT($C$5,2)&amp;"输出",标准坦克设计!$B$23:$U$23,0)))*(VLOOKUP($B235,INDIRECT($B$5&amp;"生成成长"),3))*(VLOOKUP($B$5,标准坦克设计!$B$14:$K$20,9)/30))</f>
        <v>1.2592835026690816</v>
      </c>
      <c r="S235" s="173">
        <f ca="1">(VLOOKUP(S$72,INDIRECT($C$5&amp;"生成成长"),2))/((VLOOKUP($B235,INDIRECT($B$5&amp;"生成成长"),4))/(VLOOKUP(S$72,INDIRECT($C$5&amp;"生成成长"),5))*(VLOOKUP($B$5,标准坦克设计!$B$24:$U$30,MATCH("对"&amp;LEFT($C$5,2)&amp;"输出",标准坦克设计!$B$23:$U$23,0)))*(VLOOKUP($B235,INDIRECT($B$5&amp;"生成成长"),3))*(VLOOKUP($B$5,标准坦克设计!$B$14:$K$20,9)/30))</f>
        <v>1.3961488826650534</v>
      </c>
      <c r="T235" s="173">
        <f ca="1">(VLOOKUP(T$72,INDIRECT($C$5&amp;"生成成长"),2))/((VLOOKUP($B235,INDIRECT($B$5&amp;"生成成长"),4))/(VLOOKUP(T$72,INDIRECT($C$5&amp;"生成成长"),5))*(VLOOKUP($B$5,标准坦克设计!$B$24:$U$30,MATCH("对"&amp;LEFT($C$5,2)&amp;"输出",标准坦克设计!$B$23:$U$23,0)))*(VLOOKUP($B235,INDIRECT($B$5&amp;"生成成长"),3))*(VLOOKUP($B$5,标准坦克设计!$B$14:$K$20,9)/30))</f>
        <v>1.5400732220877511</v>
      </c>
      <c r="U235" s="173">
        <f ca="1">(VLOOKUP(U$72,INDIRECT($C$5&amp;"生成成长"),2))/((VLOOKUP($B235,INDIRECT($B$5&amp;"生成成长"),4))/(VLOOKUP(U$72,INDIRECT($C$5&amp;"生成成长"),5))*(VLOOKUP($B$5,标准坦克设计!$B$24:$U$30,MATCH("对"&amp;LEFT($C$5,2)&amp;"输出",标准坦克设计!$B$23:$U$23,0)))*(VLOOKUP($B235,INDIRECT($B$5&amp;"生成成长"),3))*(VLOOKUP($B$5,标准坦克设计!$B$14:$K$20,9)/30))</f>
        <v>1.691056520937176</v>
      </c>
      <c r="V235" s="173">
        <f ca="1">(VLOOKUP(V$72,INDIRECT($C$5&amp;"生成成长"),2))/((VLOOKUP($B235,INDIRECT($B$5&amp;"生成成长"),4))/(VLOOKUP(V$72,INDIRECT($C$5&amp;"生成成长"),5))*(VLOOKUP($B$5,标准坦克设计!$B$24:$U$30,MATCH("对"&amp;LEFT($C$5,2)&amp;"输出",标准坦克设计!$B$23:$U$23,0)))*(VLOOKUP($B235,INDIRECT($B$5&amp;"生成成长"),3))*(VLOOKUP($B$5,标准坦克设计!$B$14:$K$20,9)/30))</f>
        <v>1.8490987792133267</v>
      </c>
      <c r="W235" s="173">
        <f ca="1">(VLOOKUP(W$72,INDIRECT($C$5&amp;"生成成长"),2))/((VLOOKUP($B235,INDIRECT($B$5&amp;"生成成长"),4))/(VLOOKUP(W$72,INDIRECT($C$5&amp;"生成成长"),5))*(VLOOKUP($B$5,标准坦克设计!$B$24:$U$30,MATCH("对"&amp;LEFT($C$5,2)&amp;"输出",标准坦克设计!$B$23:$U$23,0)))*(VLOOKUP($B235,INDIRECT($B$5&amp;"生成成长"),3))*(VLOOKUP($B$5,标准坦克设计!$B$14:$K$20,9)/30))</f>
        <v>2.0141999969162039</v>
      </c>
      <c r="X235" s="173">
        <f ca="1">(VLOOKUP(X$72,INDIRECT($C$5&amp;"生成成长"),2))/((VLOOKUP($B235,INDIRECT($B$5&amp;"生成成长"),4))/(VLOOKUP(X$72,INDIRECT($C$5&amp;"生成成长"),5))*(VLOOKUP($B$5,标准坦克设计!$B$24:$U$30,MATCH("对"&amp;LEFT($C$5,2)&amp;"输出",标准坦克设计!$B$23:$U$23,0)))*(VLOOKUP($B235,INDIRECT($B$5&amp;"生成成长"),3))*(VLOOKUP($B$5,标准坦克设计!$B$14:$K$20,9)/30))</f>
        <v>1.4592437792693724</v>
      </c>
      <c r="Y235" s="173">
        <f ca="1">(VLOOKUP(Y$72,INDIRECT($C$5&amp;"生成成长"),2))/((VLOOKUP($B235,INDIRECT($B$5&amp;"生成成长"),4))/(VLOOKUP(Y$72,INDIRECT($C$5&amp;"生成成长"),5))*(VLOOKUP($B$5,标准坦克设计!$B$24:$U$30,MATCH("对"&amp;LEFT($C$5,2)&amp;"输出",标准坦克设计!$B$23:$U$23,0)))*(VLOOKUP($B235,INDIRECT($B$5&amp;"生成成长"),3))*(VLOOKUP($B$5,标准坦克设计!$B$14:$K$20,9)/30))</f>
        <v>1.6230813560872184</v>
      </c>
      <c r="Z235" s="173">
        <f ca="1">(VLOOKUP(Z$72,INDIRECT($C$5&amp;"生成成长"),2))/((VLOOKUP($B235,INDIRECT($B$5&amp;"生成成长"),4))/(VLOOKUP(Z$72,INDIRECT($C$5&amp;"生成成长"),5))*(VLOOKUP($B$5,标准坦克设计!$B$24:$U$30,MATCH("对"&amp;LEFT($C$5,2)&amp;"输出",标准坦克设计!$B$23:$U$23,0)))*(VLOOKUP($B235,INDIRECT($B$5&amp;"生成成长"),3))*(VLOOKUP($B$5,标准坦克设计!$B$14:$K$20,9)/30))</f>
        <v>1.7956336976294178</v>
      </c>
      <c r="AA235" s="173">
        <f ca="1">(VLOOKUP(AA$72,INDIRECT($C$5&amp;"生成成长"),2))/((VLOOKUP($B235,INDIRECT($B$5&amp;"生成成长"),4))/(VLOOKUP(AA$72,INDIRECT($C$5&amp;"生成成长"),5))*(VLOOKUP($B$5,标准坦克设计!$B$24:$U$30,MATCH("对"&amp;LEFT($C$5,2)&amp;"输出",标准坦克设计!$B$23:$U$23,0)))*(VLOOKUP($B235,INDIRECT($B$5&amp;"生成成长"),3))*(VLOOKUP($B$5,标准坦克设计!$B$14:$K$20,9)/30))</f>
        <v>1.9769008038959708</v>
      </c>
      <c r="AB235" s="173">
        <f ca="1">(VLOOKUP(AB$72,INDIRECT($C$5&amp;"生成成长"),2))/((VLOOKUP($B235,INDIRECT($B$5&amp;"生成成长"),4))/(VLOOKUP(AB$72,INDIRECT($C$5&amp;"生成成长"),5))*(VLOOKUP($B$5,标准坦克设计!$B$24:$U$30,MATCH("对"&amp;LEFT($C$5,2)&amp;"输出",标准坦克设计!$B$23:$U$23,0)))*(VLOOKUP($B235,INDIRECT($B$5&amp;"生成成长"),3))*(VLOOKUP($B$5,标准坦克设计!$B$14:$K$20,9)/30))</f>
        <v>2.1668826748868768</v>
      </c>
      <c r="AC235" s="173">
        <f ca="1">(VLOOKUP(AC$72,INDIRECT($C$5&amp;"生成成长"),2))/((VLOOKUP($B235,INDIRECT($B$5&amp;"生成成长"),4))/(VLOOKUP(AC$72,INDIRECT($C$5&amp;"生成成长"),5))*(VLOOKUP($B$5,标准坦克设计!$B$24:$U$30,MATCH("对"&amp;LEFT($C$5,2)&amp;"输出",标准坦克设计!$B$23:$U$23,0)))*(VLOOKUP($B235,INDIRECT($B$5&amp;"生成成长"),3))*(VLOOKUP($B$5,标准坦克设计!$B$14:$K$20,9)/30))</f>
        <v>2.3655793106021368</v>
      </c>
      <c r="AD235" s="173">
        <f ca="1">(VLOOKUP(AD$72,INDIRECT($C$5&amp;"生成成长"),2))/((VLOOKUP($B235,INDIRECT($B$5&amp;"生成成长"),4))/(VLOOKUP(AD$72,INDIRECT($C$5&amp;"生成成长"),5))*(VLOOKUP($B$5,标准坦克设计!$B$24:$U$30,MATCH("对"&amp;LEFT($C$5,2)&amp;"输出",标准坦克设计!$B$23:$U$23,0)))*(VLOOKUP($B235,INDIRECT($B$5&amp;"生成成长"),3))*(VLOOKUP($B$5,标准坦克设计!$B$14:$K$20,9)/30))</f>
        <v>2.5729907110417503</v>
      </c>
      <c r="AE235" s="173">
        <f ca="1">(VLOOKUP(AE$72,INDIRECT($C$5&amp;"生成成长"),2))/((VLOOKUP($B235,INDIRECT($B$5&amp;"生成成长"),4))/(VLOOKUP(AE$72,INDIRECT($C$5&amp;"生成成长"),5))*(VLOOKUP($B$5,标准坦克设计!$B$24:$U$30,MATCH("对"&amp;LEFT($C$5,2)&amp;"输出",标准坦克设计!$B$23:$U$23,0)))*(VLOOKUP($B235,INDIRECT($B$5&amp;"生成成长"),3))*(VLOOKUP($B$5,标准坦克设计!$B$14:$K$20,9)/30))</f>
        <v>2.7891168762057172</v>
      </c>
      <c r="AF235" s="173">
        <f ca="1">(VLOOKUP(AF$72,INDIRECT($C$5&amp;"生成成长"),2))/((VLOOKUP($B235,INDIRECT($B$5&amp;"生成成长"),4))/(VLOOKUP(AF$72,INDIRECT($C$5&amp;"生成成长"),5))*(VLOOKUP($B$5,标准坦克设计!$B$24:$U$30,MATCH("对"&amp;LEFT($C$5,2)&amp;"输出",标准坦克设计!$B$23:$U$23,0)))*(VLOOKUP($B235,INDIRECT($B$5&amp;"生成成长"),3))*(VLOOKUP($B$5,标准坦克设计!$B$14:$K$20,9)/30))</f>
        <v>3.0139578060940377</v>
      </c>
      <c r="AG235" s="173">
        <f ca="1">(VLOOKUP(AG$72,INDIRECT($C$5&amp;"生成成长"),2))/((VLOOKUP($B235,INDIRECT($B$5&amp;"生成成长"),4))/(VLOOKUP(AG$72,INDIRECT($C$5&amp;"生成成长"),5))*(VLOOKUP($B$5,标准坦克设计!$B$24:$U$30,MATCH("对"&amp;LEFT($C$5,2)&amp;"输出",标准坦克设计!$B$23:$U$23,0)))*(VLOOKUP($B235,INDIRECT($B$5&amp;"生成成长"),3))*(VLOOKUP($B$5,标准坦克设计!$B$14:$K$20,9)/30))</f>
        <v>3.2475135007067113</v>
      </c>
      <c r="AH235" s="173">
        <f ca="1">(VLOOKUP(AH$72,INDIRECT($C$5&amp;"生成成长"),2))/((VLOOKUP($B235,INDIRECT($B$5&amp;"生成成长"),4))/(VLOOKUP(AH$72,INDIRECT($C$5&amp;"生成成长"),5))*(VLOOKUP($B$5,标准坦克设计!$B$24:$U$30,MATCH("对"&amp;LEFT($C$5,2)&amp;"输出",标准坦克设计!$B$23:$U$23,0)))*(VLOOKUP($B235,INDIRECT($B$5&amp;"生成成长"),3))*(VLOOKUP($B$5,标准坦克设计!$B$14:$K$20,9)/30))</f>
        <v>3.4897839600437388</v>
      </c>
      <c r="AI235" s="173">
        <f ca="1">(VLOOKUP(AI$72,INDIRECT($C$5&amp;"生成成长"),2))/((VLOOKUP($B235,INDIRECT($B$5&amp;"生成成长"),4))/(VLOOKUP(AI$72,INDIRECT($C$5&amp;"生成成长"),5))*(VLOOKUP($B$5,标准坦克设计!$B$24:$U$30,MATCH("对"&amp;LEFT($C$5,2)&amp;"输出",标准坦克设计!$B$23:$U$23,0)))*(VLOOKUP($B235,INDIRECT($B$5&amp;"生成成长"),3))*(VLOOKUP($B$5,标准坦克设计!$B$14:$K$20,9)/30))</f>
        <v>2.4681956652313994</v>
      </c>
      <c r="AJ235" s="173">
        <f ca="1">(VLOOKUP(AJ$72,INDIRECT($C$5&amp;"生成成长"),2))/((VLOOKUP($B235,INDIRECT($B$5&amp;"生成成长"),4))/(VLOOKUP(AJ$72,INDIRECT($C$5&amp;"生成成长"),5))*(VLOOKUP($B$5,标准坦克设计!$B$24:$U$30,MATCH("对"&amp;LEFT($C$5,2)&amp;"输出",标准坦克设计!$B$23:$U$23,0)))*(VLOOKUP($B235,INDIRECT($B$5&amp;"生成成长"),3))*(VLOOKUP($B$5,标准坦克设计!$B$14:$K$20,9)/30))</f>
        <v>2.7016206383732082</v>
      </c>
      <c r="AK235" s="173">
        <f ca="1">(VLOOKUP(AK$72,INDIRECT($C$5&amp;"生成成长"),2))/((VLOOKUP($B235,INDIRECT($B$5&amp;"生成成长"),4))/(VLOOKUP(AK$72,INDIRECT($C$5&amp;"生成成长"),5))*(VLOOKUP($B$5,标准坦克设计!$B$24:$U$30,MATCH("对"&amp;LEFT($C$5,2)&amp;"输出",标准坦克设计!$B$23:$U$23,0)))*(VLOOKUP($B235,INDIRECT($B$5&amp;"生成成长"),3))*(VLOOKUP($B$5,标准坦克设计!$B$14:$K$20,9)/30))</f>
        <v>2.9455904768314847</v>
      </c>
      <c r="AL235" s="173">
        <f ca="1">(VLOOKUP(AL$72,INDIRECT($C$5&amp;"生成成长"),2))/((VLOOKUP($B235,INDIRECT($B$5&amp;"生成成长"),4))/(VLOOKUP(AL$72,INDIRECT($C$5&amp;"生成成长"),5))*(VLOOKUP($B$5,标准坦克设计!$B$24:$U$30,MATCH("对"&amp;LEFT($C$5,2)&amp;"输出",标准坦克设计!$B$23:$U$23,0)))*(VLOOKUP($B235,INDIRECT($B$5&amp;"生成成长"),3))*(VLOOKUP($B$5,标准坦克设计!$B$14:$K$20,9)/30))</f>
        <v>3.2001051806062284</v>
      </c>
      <c r="AM235" s="173">
        <f ca="1">(VLOOKUP(AM$72,INDIRECT($C$5&amp;"生成成长"),2))/((VLOOKUP($B235,INDIRECT($B$5&amp;"生成成长"),4))/(VLOOKUP(AM$72,INDIRECT($C$5&amp;"生成成长"),5))*(VLOOKUP($B$5,标准坦克设计!$B$24:$U$30,MATCH("对"&amp;LEFT($C$5,2)&amp;"输出",标准坦克设计!$B$23:$U$23,0)))*(VLOOKUP($B235,INDIRECT($B$5&amp;"生成成长"),3))*(VLOOKUP($B$5,标准坦克设计!$B$14:$K$20,9)/30))</f>
        <v>3.4651647496974407</v>
      </c>
      <c r="AN235" s="173">
        <f ca="1">(VLOOKUP(AN$72,INDIRECT($C$5&amp;"生成成长"),2))/((VLOOKUP($B235,INDIRECT($B$5&amp;"生成成长"),4))/(VLOOKUP(AN$72,INDIRECT($C$5&amp;"生成成长"),5))*(VLOOKUP($B$5,标准坦克设计!$B$24:$U$30,MATCH("对"&amp;LEFT($C$5,2)&amp;"输出",标准坦克设计!$B$23:$U$23,0)))*(VLOOKUP($B235,INDIRECT($B$5&amp;"生成成长"),3))*(VLOOKUP($B$5,标准坦克设计!$B$14:$K$20,9)/30))</f>
        <v>3.7407691841051198</v>
      </c>
      <c r="AO235" s="173">
        <f ca="1">(VLOOKUP(AO$72,INDIRECT($C$5&amp;"生成成长"),2))/((VLOOKUP($B235,INDIRECT($B$5&amp;"生成成长"),4))/(VLOOKUP(AO$72,INDIRECT($C$5&amp;"生成成长"),5))*(VLOOKUP($B$5,标准坦克设计!$B$24:$U$30,MATCH("对"&amp;LEFT($C$5,2)&amp;"输出",标准坦克设计!$B$23:$U$23,0)))*(VLOOKUP($B235,INDIRECT($B$5&amp;"生成成长"),3))*(VLOOKUP($B$5,标准坦克设计!$B$14:$K$20,9)/30))</f>
        <v>4.0269184838292675</v>
      </c>
      <c r="AP235" s="173">
        <f ca="1">(VLOOKUP(AP$72,INDIRECT($C$5&amp;"生成成长"),2))/((VLOOKUP($B235,INDIRECT($B$5&amp;"生成成长"),4))/(VLOOKUP(AP$72,INDIRECT($C$5&amp;"生成成长"),5))*(VLOOKUP($B$5,标准坦克设计!$B$24:$U$30,MATCH("对"&amp;LEFT($C$5,2)&amp;"输出",标准坦克设计!$B$23:$U$23,0)))*(VLOOKUP($B235,INDIRECT($B$5&amp;"生成成长"),3))*(VLOOKUP($B$5,标准坦克设计!$B$14:$K$20,9)/30))</f>
        <v>4.3236126488698829</v>
      </c>
      <c r="AQ235" s="173">
        <f ca="1">(VLOOKUP(AQ$72,INDIRECT($C$5&amp;"生成成长"),2))/((VLOOKUP($B235,INDIRECT($B$5&amp;"生成成长"),4))/(VLOOKUP(AQ$72,INDIRECT($C$5&amp;"生成成长"),5))*(VLOOKUP($B$5,标准坦克设计!$B$24:$U$30,MATCH("对"&amp;LEFT($C$5,2)&amp;"输出",标准坦克设计!$B$23:$U$23,0)))*(VLOOKUP($B235,INDIRECT($B$5&amp;"生成成长"),3))*(VLOOKUP($B$5,标准坦克设计!$B$14:$K$20,9)/30))</f>
        <v>4.6308516792269652</v>
      </c>
      <c r="AR235" s="173">
        <f ca="1">(VLOOKUP(AR$72,INDIRECT($C$5&amp;"生成成长"),2))/((VLOOKUP($B235,INDIRECT($B$5&amp;"生成成长"),4))/(VLOOKUP(AR$72,INDIRECT($C$5&amp;"生成成长"),5))*(VLOOKUP($B$5,标准坦克设计!$B$24:$U$30,MATCH("对"&amp;LEFT($C$5,2)&amp;"输出",标准坦克设计!$B$23:$U$23,0)))*(VLOOKUP($B235,INDIRECT($B$5&amp;"生成成长"),3))*(VLOOKUP($B$5,标准坦克设计!$B$14:$K$20,9)/30))</f>
        <v>4.9486355749005142</v>
      </c>
      <c r="AS235" s="173">
        <f ca="1">(VLOOKUP(AS$72,INDIRECT($C$5&amp;"生成成长"),2))/((VLOOKUP($B235,INDIRECT($B$5&amp;"生成成长"),4))/(VLOOKUP(AS$72,INDIRECT($C$5&amp;"生成成长"),5))*(VLOOKUP($B$5,标准坦克设计!$B$24:$U$30,MATCH("对"&amp;LEFT($C$5,2)&amp;"输出",标准坦克设计!$B$23:$U$23,0)))*(VLOOKUP($B235,INDIRECT($B$5&amp;"生成成长"),3))*(VLOOKUP($B$5,标准坦克设计!$B$14:$K$20,9)/30))</f>
        <v>5.2769643358905336</v>
      </c>
      <c r="AT235" s="173">
        <f ca="1">(VLOOKUP(AT$72,INDIRECT($C$5&amp;"生成成长"),2))/((VLOOKUP($B235,INDIRECT($B$5&amp;"生成成长"),4))/(VLOOKUP(AT$72,INDIRECT($C$5&amp;"生成成长"),5))*(VLOOKUP($B$5,标准坦克设计!$B$24:$U$30,MATCH("对"&amp;LEFT($C$5,2)&amp;"输出",标准坦克设计!$B$23:$U$23,0)))*(VLOOKUP($B235,INDIRECT($B$5&amp;"生成成长"),3))*(VLOOKUP($B$5,标准坦克设计!$B$14:$K$20,9)/30))</f>
        <v>5.6158379621970207</v>
      </c>
      <c r="AU235" s="173">
        <f ca="1">(VLOOKUP(AU$72,INDIRECT($C$5&amp;"生成成长"),2))/((VLOOKUP($B235,INDIRECT($B$5&amp;"生成成长"),4))/(VLOOKUP(AU$72,INDIRECT($C$5&amp;"生成成长"),5))*(VLOOKUP($B$5,标准坦克设计!$B$24:$U$30,MATCH("对"&amp;LEFT($C$5,2)&amp;"输出",标准坦克设计!$B$23:$U$23,0)))*(VLOOKUP($B235,INDIRECT($B$5&amp;"生成成长"),3))*(VLOOKUP($B$5,标准坦克设计!$B$14:$K$20,9)/30))</f>
        <v>5.9652564538199737</v>
      </c>
      <c r="AV235" s="173">
        <f ca="1">(VLOOKUP(AV$72,INDIRECT($C$5&amp;"生成成长"),2))/((VLOOKUP($B235,INDIRECT($B$5&amp;"生成成长"),4))/(VLOOKUP(AV$72,INDIRECT($C$5&amp;"生成成长"),5))*(VLOOKUP($B$5,标准坦克设计!$B$24:$U$30,MATCH("对"&amp;LEFT($C$5,2)&amp;"输出",标准坦克设计!$B$23:$U$23,0)))*(VLOOKUP($B235,INDIRECT($B$5&amp;"生成成长"),3))*(VLOOKUP($B$5,标准坦克设计!$B$14:$K$20,9)/30))</f>
        <v>0.606721920109491</v>
      </c>
      <c r="AW235" s="173">
        <f ca="1">(VLOOKUP(AW$72,INDIRECT($C$5&amp;"生成成长"),2))/((VLOOKUP($B235,INDIRECT($B$5&amp;"生成成长"),4))/(VLOOKUP(AW$72,INDIRECT($C$5&amp;"生成成长"),5))*(VLOOKUP($B$5,标准坦克设计!$B$24:$U$30,MATCH("对"&amp;LEFT($C$5,2)&amp;"输出",标准坦克设计!$B$23:$U$23,0)))*(VLOOKUP($B235,INDIRECT($B$5&amp;"生成成长"),3))*(VLOOKUP($B$5,标准坦克设计!$B$14:$K$20,9)/30))</f>
        <v>0.69177802381918108</v>
      </c>
      <c r="AX235" s="173">
        <f ca="1">(VLOOKUP(AX$72,INDIRECT($C$5&amp;"生成成长"),2))/((VLOOKUP($B235,INDIRECT($B$5&amp;"生成成长"),4))/(VLOOKUP(AX$72,INDIRECT($C$5&amp;"生成成长"),5))*(VLOOKUP($B$5,标准坦克设计!$B$24:$U$30,MATCH("对"&amp;LEFT($C$5,2)&amp;"输出",标准坦克设计!$B$23:$U$23,0)))*(VLOOKUP($B235,INDIRECT($B$5&amp;"生成成长"),3))*(VLOOKUP($B$5,标准坦克设计!$B$14:$K$20,9)/30))</f>
        <v>0.78241157695245755</v>
      </c>
      <c r="AY235" s="173">
        <f ca="1">(VLOOKUP(AY$72,INDIRECT($C$5&amp;"生成成长"),2))/((VLOOKUP($B235,INDIRECT($B$5&amp;"生成成长"),4))/(VLOOKUP(AY$72,INDIRECT($C$5&amp;"生成成长"),5))*(VLOOKUP($B$5,标准坦克设计!$B$24:$U$30,MATCH("对"&amp;LEFT($C$5,2)&amp;"输出",标准坦克设计!$B$23:$U$23,0)))*(VLOOKUP($B235,INDIRECT($B$5&amp;"生成成长"),3))*(VLOOKUP($B$5,标准坦克设计!$B$14:$K$20,9)/30))</f>
        <v>0.87862257950932021</v>
      </c>
      <c r="AZ235" s="173">
        <f ca="1">(VLOOKUP(AZ$72,INDIRECT($C$5&amp;"生成成长"),2))/((VLOOKUP($B235,INDIRECT($B$5&amp;"生成成长"),4))/(VLOOKUP(AZ$72,INDIRECT($C$5&amp;"生成成长"),5))*(VLOOKUP($B$5,标准坦克设计!$B$24:$U$30,MATCH("对"&amp;LEFT($C$5,2)&amp;"输出",标准坦克设计!$B$23:$U$23,0)))*(VLOOKUP($B235,INDIRECT($B$5&amp;"生成成长"),3))*(VLOOKUP($B$5,标准坦克设计!$B$14:$K$20,9)/30))</f>
        <v>0.98041103148976927</v>
      </c>
      <c r="BA235" s="173">
        <f ca="1">(VLOOKUP(BA$72,INDIRECT($C$5&amp;"生成成长"),2))/((VLOOKUP($B235,INDIRECT($B$5&amp;"生成成长"),4))/(VLOOKUP(BA$72,INDIRECT($C$5&amp;"生成成长"),5))*(VLOOKUP($B$5,标准坦克设计!$B$24:$U$30,MATCH("对"&amp;LEFT($C$5,2)&amp;"输出",标准坦克设计!$B$23:$U$23,0)))*(VLOOKUP($B235,INDIRECT($B$5&amp;"生成成长"),3))*(VLOOKUP($B$5,标准坦克设计!$B$14:$K$20,9)/30))</f>
        <v>1.0877769328938043</v>
      </c>
      <c r="BB235" s="173">
        <f ca="1">(VLOOKUP(BB$72,INDIRECT($C$5&amp;"生成成长"),2))/((VLOOKUP($B235,INDIRECT($B$5&amp;"生成成长"),4))/(VLOOKUP(BB$72,INDIRECT($C$5&amp;"生成成长"),5))*(VLOOKUP($B$5,标准坦克设计!$B$24:$U$30,MATCH("对"&amp;LEFT($C$5,2)&amp;"输出",标准坦克设计!$B$23:$U$23,0)))*(VLOOKUP($B235,INDIRECT($B$5&amp;"生成成长"),3))*(VLOOKUP($B$5,标准坦克设计!$B$14:$K$20,9)/30))</f>
        <v>1.2007202837214259</v>
      </c>
      <c r="BC235" s="173">
        <f ca="1">(VLOOKUP(BC$72,INDIRECT($C$5&amp;"生成成长"),2))/((VLOOKUP($B235,INDIRECT($B$5&amp;"生成成长"),4))/(VLOOKUP(BC$72,INDIRECT($C$5&amp;"生成成长"),5))*(VLOOKUP($B$5,标准坦克设计!$B$24:$U$30,MATCH("对"&amp;LEFT($C$5,2)&amp;"输出",标准坦克设计!$B$23:$U$23,0)))*(VLOOKUP($B235,INDIRECT($B$5&amp;"生成成长"),3))*(VLOOKUP($B$5,标准坦克设计!$B$14:$K$20,9)/30))</f>
        <v>1.3192410839726334</v>
      </c>
      <c r="BD235" s="173">
        <f ca="1">(VLOOKUP(BD$72,INDIRECT($C$5&amp;"生成成长"),2))/((VLOOKUP($B235,INDIRECT($B$5&amp;"生成成长"),4))/(VLOOKUP(BD$72,INDIRECT($C$5&amp;"生成成长"),5))*(VLOOKUP($B$5,标准坦克设计!$B$24:$U$30,MATCH("对"&amp;LEFT($C$5,2)&amp;"输出",标准坦克设计!$B$23:$U$23,0)))*(VLOOKUP($B235,INDIRECT($B$5&amp;"生成成长"),3))*(VLOOKUP($B$5,标准坦克设计!$B$14:$K$20,9)/30))</f>
        <v>1.4592437792693724</v>
      </c>
      <c r="BE235" s="173">
        <f ca="1">(VLOOKUP(BE$72,INDIRECT($C$5&amp;"生成成长"),2))/((VLOOKUP($B235,INDIRECT($B$5&amp;"生成成长"),4))/(VLOOKUP(BE$72,INDIRECT($C$5&amp;"生成成长"),5))*(VLOOKUP($B$5,标准坦克设计!$B$24:$U$30,MATCH("对"&amp;LEFT($C$5,2)&amp;"输出",标准坦克设计!$B$23:$U$23,0)))*(VLOOKUP($B235,INDIRECT($B$5&amp;"生成成长"),3))*(VLOOKUP($B$5,标准坦克设计!$B$14:$K$20,9)/30))</f>
        <v>1.606305433992838</v>
      </c>
      <c r="BF235" s="173">
        <f ca="1">(VLOOKUP(BF$72,INDIRECT($C$5&amp;"生成成长"),2))/((VLOOKUP($B235,INDIRECT($B$5&amp;"生成成长"),4))/(VLOOKUP(BF$72,INDIRECT($C$5&amp;"生成成长"),5))*(VLOOKUP($B$5,标准坦克设计!$B$24:$U$30,MATCH("对"&amp;LEFT($C$5,2)&amp;"输出",标准坦克设计!$B$23:$U$23,0)))*(VLOOKUP($B235,INDIRECT($B$5&amp;"生成成长"),3))*(VLOOKUP($B$5,标准坦克设计!$B$14:$K$20,9)/30))</f>
        <v>1.7604260481430294</v>
      </c>
      <c r="BG235" s="173">
        <f ca="1">(VLOOKUP(BG$72,INDIRECT($C$5&amp;"生成成长"),2))/((VLOOKUP($B235,INDIRECT($B$5&amp;"生成成长"),4))/(VLOOKUP(BG$72,INDIRECT($C$5&amp;"生成成长"),5))*(VLOOKUP($B$5,标准坦克设计!$B$24:$U$30,MATCH("对"&amp;LEFT($C$5,2)&amp;"输出",标准坦克设计!$B$23:$U$23,0)))*(VLOOKUP($B235,INDIRECT($B$5&amp;"生成成长"),3))*(VLOOKUP($B$5,标准坦克设计!$B$14:$K$20,9)/30))</f>
        <v>1.9216056217199478</v>
      </c>
      <c r="BH235" s="173">
        <f ca="1">(VLOOKUP(BH$72,INDIRECT($C$5&amp;"生成成长"),2))/((VLOOKUP($B235,INDIRECT($B$5&amp;"生成成长"),4))/(VLOOKUP(BH$72,INDIRECT($C$5&amp;"生成成长"),5))*(VLOOKUP($B$5,标准坦克设计!$B$24:$U$30,MATCH("对"&amp;LEFT($C$5,2)&amp;"输出",标准坦克设计!$B$23:$U$23,0)))*(VLOOKUP($B235,INDIRECT($B$5&amp;"生成成长"),3))*(VLOOKUP($B$5,标准坦克设计!$B$14:$K$20,9)/30))</f>
        <v>0.92881962432159648</v>
      </c>
      <c r="BI235" s="173">
        <f ca="1">(VLOOKUP(BI$72,INDIRECT($C$5&amp;"生成成长"),2))/((VLOOKUP($B235,INDIRECT($B$5&amp;"生成成长"),4))/(VLOOKUP(BI$72,INDIRECT($C$5&amp;"生成成长"),5))*(VLOOKUP($B$5,标准坦克设计!$B$24:$U$30,MATCH("对"&amp;LEFT($C$5,2)&amp;"输出",标准坦克设计!$B$23:$U$23,0)))*(VLOOKUP($B235,INDIRECT($B$5&amp;"生成成长"),3))*(VLOOKUP($B$5,标准坦克设计!$B$14:$K$20,9)/30))</f>
        <v>1.0468611125129645</v>
      </c>
      <c r="BJ235" s="173">
        <f ca="1">(VLOOKUP(BJ$72,INDIRECT($C$5&amp;"生成成长"),2))/((VLOOKUP($B235,INDIRECT($B$5&amp;"生成成长"),4))/(VLOOKUP(BJ$72,INDIRECT($C$5&amp;"生成成长"),5))*(VLOOKUP($B$5,标准坦克设计!$B$24:$U$30,MATCH("对"&amp;LEFT($C$5,2)&amp;"输出",标准坦克设计!$B$23:$U$23,0)))*(VLOOKUP($B235,INDIRECT($B$5&amp;"生成成长"),3))*(VLOOKUP($B$5,标准坦克设计!$B$14:$K$20,9)/30))</f>
        <v>1.1719615601310593</v>
      </c>
      <c r="BK235" s="173">
        <f ca="1">(VLOOKUP(BK$72,INDIRECT($C$5&amp;"生成成长"),2))/((VLOOKUP($B235,INDIRECT($B$5&amp;"生成成长"),4))/(VLOOKUP(BK$72,INDIRECT($C$5&amp;"生成成长"),5))*(VLOOKUP($B$5,标准坦克设计!$B$24:$U$30,MATCH("对"&amp;LEFT($C$5,2)&amp;"输出",标准坦克设计!$B$23:$U$23,0)))*(VLOOKUP($B235,INDIRECT($B$5&amp;"生成成长"),3))*(VLOOKUP($B$5,标准坦克设计!$B$14:$K$20,9)/30))</f>
        <v>1.3041209671758802</v>
      </c>
      <c r="BL235" s="173">
        <f ca="1">(VLOOKUP(BL$72,INDIRECT($C$5&amp;"生成成长"),2))/((VLOOKUP($B235,INDIRECT($B$5&amp;"生成成长"),4))/(VLOOKUP(BL$72,INDIRECT($C$5&amp;"生成成长"),5))*(VLOOKUP($B$5,标准坦克设计!$B$24:$U$30,MATCH("对"&amp;LEFT($C$5,2)&amp;"输出",标准坦克设计!$B$23:$U$23,0)))*(VLOOKUP($B235,INDIRECT($B$5&amp;"生成成长"),3))*(VLOOKUP($B$5,标准坦克设计!$B$14:$K$20,9)/30))</f>
        <v>1.4433393336474274</v>
      </c>
      <c r="BM235" s="173">
        <f ca="1">(VLOOKUP(BM$72,INDIRECT($C$5&amp;"生成成长"),2))/((VLOOKUP($B235,INDIRECT($B$5&amp;"生成成长"),4))/(VLOOKUP(BM$72,INDIRECT($C$5&amp;"生成成长"),5))*(VLOOKUP($B$5,标准坦克设计!$B$24:$U$30,MATCH("对"&amp;LEFT($C$5,2)&amp;"输出",标准坦克设计!$B$23:$U$23,0)))*(VLOOKUP($B235,INDIRECT($B$5&amp;"生成成长"),3))*(VLOOKUP($B$5,标准坦克设计!$B$14:$K$20,9)/30))</f>
        <v>1.5896166595457011</v>
      </c>
      <c r="BN235" s="173">
        <f ca="1">(VLOOKUP(BN$72,INDIRECT($C$5&amp;"生成成长"),2))/((VLOOKUP($B235,INDIRECT($B$5&amp;"生成成长"),4))/(VLOOKUP(BN$72,INDIRECT($C$5&amp;"生成成长"),5))*(VLOOKUP($B$5,标准坦克设计!$B$24:$U$30,MATCH("对"&amp;LEFT($C$5,2)&amp;"输出",标准坦克设计!$B$23:$U$23,0)))*(VLOOKUP($B235,INDIRECT($B$5&amp;"生成成长"),3))*(VLOOKUP($B$5,标准坦克设计!$B$14:$K$20,9)/30))</f>
        <v>1.7429529448707013</v>
      </c>
      <c r="BO235" s="173">
        <f ca="1">(VLOOKUP(BO$72,INDIRECT($C$5&amp;"生成成长"),2))/((VLOOKUP($B235,INDIRECT($B$5&amp;"生成成长"),4))/(VLOOKUP(BO$72,INDIRECT($C$5&amp;"生成成长"),5))*(VLOOKUP($B$5,标准坦克设计!$B$24:$U$30,MATCH("对"&amp;LEFT($C$5,2)&amp;"输出",标准坦克设计!$B$23:$U$23,0)))*(VLOOKUP($B235,INDIRECT($B$5&amp;"生成成长"),3))*(VLOOKUP($B$5,标准坦克设计!$B$14:$K$20,9)/30))</f>
        <v>1.9033481896224274</v>
      </c>
      <c r="BP235" s="173">
        <f ca="1">(VLOOKUP(BP$72,INDIRECT($C$5&amp;"生成成长"),2))/((VLOOKUP($B235,INDIRECT($B$5&amp;"生成成长"),4))/(VLOOKUP(BP$72,INDIRECT($C$5&amp;"生成成长"),5))*(VLOOKUP($B$5,标准坦克设计!$B$24:$U$30,MATCH("对"&amp;LEFT($C$5,2)&amp;"输出",标准坦克设计!$B$23:$U$23,0)))*(VLOOKUP($B235,INDIRECT($B$5&amp;"生成成长"),3))*(VLOOKUP($B$5,标准坦克设计!$B$14:$K$20,9)/30))</f>
        <v>2.0708023938008795</v>
      </c>
      <c r="BQ235" s="173">
        <f ca="1">(VLOOKUP(BQ$72,INDIRECT($C$5&amp;"生成成长"),2))/((VLOOKUP($B235,INDIRECT($B$5&amp;"生成成长"),4))/(VLOOKUP(BQ$72,INDIRECT($C$5&amp;"生成成长"),5))*(VLOOKUP($B$5,标准坦克设计!$B$24:$U$30,MATCH("对"&amp;LEFT($C$5,2)&amp;"输出",标准坦克设计!$B$23:$U$23,0)))*(VLOOKUP($B235,INDIRECT($B$5&amp;"生成成长"),3))*(VLOOKUP($B$5,标准坦克设计!$B$14:$K$20,9)/30))</f>
        <v>2.2453155574060584</v>
      </c>
      <c r="BR235" s="173">
        <f ca="1">(VLOOKUP(BR$72,INDIRECT($C$5&amp;"生成成长"),2))/((VLOOKUP($B235,INDIRECT($B$5&amp;"生成成长"),4))/(VLOOKUP(BR$72,INDIRECT($C$5&amp;"生成成长"),5))*(VLOOKUP($B$5,标准坦克设计!$B$24:$U$30,MATCH("对"&amp;LEFT($C$5,2)&amp;"输出",标准坦克设计!$B$23:$U$23,0)))*(VLOOKUP($B235,INDIRECT($B$5&amp;"生成成长"),3))*(VLOOKUP($B$5,标准坦克设计!$B$14:$K$20,9)/30))</f>
        <v>2.4474980990110593</v>
      </c>
      <c r="BS235" s="173">
        <f ca="1">(VLOOKUP(BS$72,INDIRECT($C$5&amp;"生成成长"),2))/((VLOOKUP($B235,INDIRECT($B$5&amp;"生成成长"),4))/(VLOOKUP(BS$72,INDIRECT($C$5&amp;"生成成长"),5))*(VLOOKUP($B$5,标准坦克设计!$B$24:$U$30,MATCH("对"&amp;LEFT($C$5,2)&amp;"输出",标准坦克设计!$B$23:$U$23,0)))*(VLOOKUP($B235,INDIRECT($B$5&amp;"生成成长"),3))*(VLOOKUP($B$5,标准坦克设计!$B$14:$K$20,9)/30))</f>
        <v>2.6583954053404146</v>
      </c>
      <c r="BT235" s="173">
        <f ca="1">(VLOOKUP(BT$72,INDIRECT($C$5&amp;"生成成长"),2))/((VLOOKUP($B235,INDIRECT($B$5&amp;"生成成长"),4))/(VLOOKUP(BT$72,INDIRECT($C$5&amp;"生成成长"),5))*(VLOOKUP($B$5,标准坦克设计!$B$24:$U$30,MATCH("对"&amp;LEFT($C$5,2)&amp;"输出",标准坦克设计!$B$23:$U$23,0)))*(VLOOKUP($B235,INDIRECT($B$5&amp;"生成成长"),3))*(VLOOKUP($B$5,标准坦克设计!$B$14:$K$20,9)/30))</f>
        <v>2.878007476394123</v>
      </c>
      <c r="BU235" s="173">
        <f ca="1">(VLOOKUP(BU$72,INDIRECT($C$5&amp;"生成成长"),2))/((VLOOKUP($B235,INDIRECT($B$5&amp;"生成成长"),4))/(VLOOKUP(BU$72,INDIRECT($C$5&amp;"生成成长"),5))*(VLOOKUP($B$5,标准坦克设计!$B$24:$U$30,MATCH("对"&amp;LEFT($C$5,2)&amp;"输出",标准坦克设计!$B$23:$U$23,0)))*(VLOOKUP($B235,INDIRECT($B$5&amp;"生成成长"),3))*(VLOOKUP($B$5,标准坦克设计!$B$14:$K$20,9)/30))</f>
        <v>3.1063343121721854</v>
      </c>
      <c r="BV235" s="173">
        <f ca="1">(VLOOKUP(BV$72,INDIRECT($C$5&amp;"生成成长"),2))/((VLOOKUP($B235,INDIRECT($B$5&amp;"生成成长"),4))/(VLOOKUP(BV$72,INDIRECT($C$5&amp;"生成成长"),5))*(VLOOKUP($B$5,标准坦克设计!$B$24:$U$30,MATCH("对"&amp;LEFT($C$5,2)&amp;"输出",标准坦克设计!$B$23:$U$23,0)))*(VLOOKUP($B235,INDIRECT($B$5&amp;"生成成长"),3))*(VLOOKUP($B$5,标准坦克设计!$B$14:$K$20,9)/30))</f>
        <v>3.3433759126745994</v>
      </c>
      <c r="BW235" s="173">
        <f ca="1">(VLOOKUP(BW$72,INDIRECT($C$5&amp;"生成成长"),2))/((VLOOKUP($B235,INDIRECT($B$5&amp;"生成成长"),4))/(VLOOKUP(BW$72,INDIRECT($C$5&amp;"生成成长"),5))*(VLOOKUP($B$5,标准坦克设计!$B$24:$U$30,MATCH("对"&amp;LEFT($C$5,2)&amp;"输出",标准坦克设计!$B$23:$U$23,0)))*(VLOOKUP($B235,INDIRECT($B$5&amp;"生成成长"),3))*(VLOOKUP($B$5,标准坦克设计!$B$14:$K$20,9)/30))</f>
        <v>1.5237330382295884</v>
      </c>
      <c r="BX235" s="173">
        <f ca="1">(VLOOKUP(BX$72,INDIRECT($C$5&amp;"生成成长"),2))/((VLOOKUP($B235,INDIRECT($B$5&amp;"生成成长"),4))/(VLOOKUP(BX$72,INDIRECT($C$5&amp;"生成成长"),5))*(VLOOKUP($B$5,标准坦克设计!$B$24:$U$30,MATCH("对"&amp;LEFT($C$5,2)&amp;"输出",标准坦克设计!$B$23:$U$23,0)))*(VLOOKUP($B235,INDIRECT($B$5&amp;"生成成长"),3))*(VLOOKUP($B$5,标准坦克设计!$B$14:$K$20,9)/30))</f>
        <v>1.691056520937176</v>
      </c>
      <c r="BY235" s="173">
        <f ca="1">(VLOOKUP(BY$72,INDIRECT($C$5&amp;"生成成长"),2))/((VLOOKUP($B235,INDIRECT($B$5&amp;"生成成长"),4))/(VLOOKUP(BY$72,INDIRECT($C$5&amp;"生成成长"),5))*(VLOOKUP($B$5,标准坦克设计!$B$24:$U$30,MATCH("对"&amp;LEFT($C$5,2)&amp;"输出",标准坦克设计!$B$23:$U$23,0)))*(VLOOKUP($B235,INDIRECT($B$5&amp;"生成成长"),3))*(VLOOKUP($B$5,标准坦克设计!$B$14:$K$20,9)/30))</f>
        <v>1.8670947683691166</v>
      </c>
      <c r="BZ235" s="173">
        <f ca="1">(VLOOKUP(BZ$72,INDIRECT($C$5&amp;"生成成长"),2))/((VLOOKUP($B235,INDIRECT($B$5&amp;"生成成长"),4))/(VLOOKUP(BZ$72,INDIRECT($C$5&amp;"生成成长"),5))*(VLOOKUP($B$5,标准坦克设计!$B$24:$U$30,MATCH("对"&amp;LEFT($C$5,2)&amp;"输出",标准坦克设计!$B$23:$U$23,0)))*(VLOOKUP($B235,INDIRECT($B$5&amp;"生成成长"),3))*(VLOOKUP($B$5,标准坦克设计!$B$14:$K$20,9)/30))</f>
        <v>2.0518477805254109</v>
      </c>
      <c r="CA235" s="173">
        <f ca="1">(VLOOKUP(CA$72,INDIRECT($C$5&amp;"生成成长"),2))/((VLOOKUP($B235,INDIRECT($B$5&amp;"生成成长"),4))/(VLOOKUP(CA$72,INDIRECT($C$5&amp;"生成成长"),5))*(VLOOKUP($B$5,标准坦克设计!$B$24:$U$30,MATCH("对"&amp;LEFT($C$5,2)&amp;"输出",标准坦克设计!$B$23:$U$23,0)))*(VLOOKUP($B235,INDIRECT($B$5&amp;"生成成长"),3))*(VLOOKUP($B$5,标准坦克设计!$B$14:$K$20,9)/30))</f>
        <v>2.2453155574060584</v>
      </c>
      <c r="CB235" s="173">
        <f ca="1">(VLOOKUP(CB$72,INDIRECT($C$5&amp;"生成成长"),2))/((VLOOKUP($B235,INDIRECT($B$5&amp;"生成成长"),4))/(VLOOKUP(CB$72,INDIRECT($C$5&amp;"生成成长"),5))*(VLOOKUP($B$5,标准坦克设计!$B$24:$U$30,MATCH("对"&amp;LEFT($C$5,2)&amp;"输出",标准坦克设计!$B$23:$U$23,0)))*(VLOOKUP($B235,INDIRECT($B$5&amp;"生成成长"),3))*(VLOOKUP($B$5,标准坦克设计!$B$14:$K$20,9)/30))</f>
        <v>2.4474980990110593</v>
      </c>
      <c r="CC235" s="173">
        <f ca="1">(VLOOKUP(CC$72,INDIRECT($C$5&amp;"生成成长"),2))/((VLOOKUP($B235,INDIRECT($B$5&amp;"生成成长"),4))/(VLOOKUP(CC$72,INDIRECT($C$5&amp;"生成成长"),5))*(VLOOKUP($B$5,标准坦克设计!$B$24:$U$30,MATCH("对"&amp;LEFT($C$5,2)&amp;"输出",标准坦克设计!$B$23:$U$23,0)))*(VLOOKUP($B235,INDIRECT($B$5&amp;"生成成长"),3))*(VLOOKUP($B$5,标准坦克设计!$B$14:$K$20,9)/30))</f>
        <v>2.6583954053404146</v>
      </c>
      <c r="CD235" s="173">
        <f ca="1">(VLOOKUP(CD$72,INDIRECT($C$5&amp;"生成成长"),2))/((VLOOKUP($B235,INDIRECT($B$5&amp;"生成成长"),4))/(VLOOKUP(CD$72,INDIRECT($C$5&amp;"生成成长"),5))*(VLOOKUP($B$5,标准坦克设计!$B$24:$U$30,MATCH("对"&amp;LEFT($C$5,2)&amp;"输出",标准坦克设计!$B$23:$U$23,0)))*(VLOOKUP($B235,INDIRECT($B$5&amp;"生成成长"),3))*(VLOOKUP($B$5,标准坦克设计!$B$14:$K$20,9)/30))</f>
        <v>2.878007476394123</v>
      </c>
      <c r="CE235" s="173">
        <f ca="1">(VLOOKUP(CE$72,INDIRECT($C$5&amp;"生成成长"),2))/((VLOOKUP($B235,INDIRECT($B$5&amp;"生成成长"),4))/(VLOOKUP(CE$72,INDIRECT($C$5&amp;"生成成长"),5))*(VLOOKUP($B$5,标准坦克设计!$B$24:$U$30,MATCH("对"&amp;LEFT($C$5,2)&amp;"输出",标准坦克设计!$B$23:$U$23,0)))*(VLOOKUP($B235,INDIRECT($B$5&amp;"生成成长"),3))*(VLOOKUP($B$5,标准坦克设计!$B$14:$K$20,9)/30))</f>
        <v>3.1063343121721854</v>
      </c>
      <c r="CF235" s="173">
        <f ca="1">(VLOOKUP(CF$72,INDIRECT($C$5&amp;"生成成长"),2))/((VLOOKUP($B235,INDIRECT($B$5&amp;"生成成长"),4))/(VLOOKUP(CF$72,INDIRECT($C$5&amp;"生成成长"),5))*(VLOOKUP($B$5,标准坦克设计!$B$24:$U$30,MATCH("对"&amp;LEFT($C$5,2)&amp;"输出",标准坦克设计!$B$23:$U$23,0)))*(VLOOKUP($B235,INDIRECT($B$5&amp;"生成成长"),3))*(VLOOKUP($B$5,标准坦克设计!$B$14:$K$20,9)/30))</f>
        <v>3.3433759126745994</v>
      </c>
      <c r="CG235" s="173">
        <f ca="1">(VLOOKUP(CG$72,INDIRECT($C$5&amp;"生成成长"),2))/((VLOOKUP($B235,INDIRECT($B$5&amp;"生成成长"),4))/(VLOOKUP(CG$72,INDIRECT($C$5&amp;"生成成长"),5))*(VLOOKUP($B$5,标准坦克设计!$B$24:$U$30,MATCH("对"&amp;LEFT($C$5,2)&amp;"输出",标准坦克设计!$B$23:$U$23,0)))*(VLOOKUP($B235,INDIRECT($B$5&amp;"生成成长"),3))*(VLOOKUP($B$5,标准坦克设计!$B$14:$K$20,9)/30))</f>
        <v>3.5891322779013692</v>
      </c>
      <c r="CH235" s="173">
        <f ca="1">(VLOOKUP(CH$72,INDIRECT($C$5&amp;"生成成长"),2))/((VLOOKUP($B235,INDIRECT($B$5&amp;"生成成长"),4))/(VLOOKUP(CH$72,INDIRECT($C$5&amp;"生成成长"),5))*(VLOOKUP($B$5,标准坦克设计!$B$24:$U$30,MATCH("对"&amp;LEFT($C$5,2)&amp;"输出",标准坦克设计!$B$23:$U$23,0)))*(VLOOKUP($B235,INDIRECT($B$5&amp;"生成成长"),3))*(VLOOKUP($B$5,标准坦克设计!$B$14:$K$20,9)/30))</f>
        <v>3.8436034078524912</v>
      </c>
      <c r="CI235" s="173">
        <f ca="1">(VLOOKUP(CI$72,INDIRECT($C$5&amp;"生成成长"),2))/((VLOOKUP($B235,INDIRECT($B$5&amp;"生成成长"),4))/(VLOOKUP(CI$72,INDIRECT($C$5&amp;"生成成长"),5))*(VLOOKUP($B$5,标准坦克设计!$B$24:$U$30,MATCH("对"&amp;LEFT($C$5,2)&amp;"输出",标准坦克设计!$B$23:$U$23,0)))*(VLOOKUP($B235,INDIRECT($B$5&amp;"生成成长"),3))*(VLOOKUP($B$5,标准坦克设计!$B$14:$K$20,9)/30))</f>
        <v>4.1335872040553543</v>
      </c>
      <c r="CJ235" s="173">
        <f ca="1">(VLOOKUP(CJ$72,INDIRECT($C$5&amp;"生成成长"),2))/((VLOOKUP($B235,INDIRECT($B$5&amp;"生成成长"),4))/(VLOOKUP(CJ$72,INDIRECT($C$5&amp;"生成成长"),5))*(VLOOKUP($B$5,标准坦克设计!$B$24:$U$30,MATCH("对"&amp;LEFT($C$5,2)&amp;"输出",标准坦克设计!$B$23:$U$23,0)))*(VLOOKUP($B235,INDIRECT($B$5&amp;"生成成长"),3))*(VLOOKUP($B$5,标准坦克设计!$B$14:$K$20,9)/30))</f>
        <v>4.4341158655746851</v>
      </c>
      <c r="CK235" s="173">
        <f ca="1">(VLOOKUP(CK$72,INDIRECT($C$5&amp;"生成成长"),2))/((VLOOKUP($B235,INDIRECT($B$5&amp;"生成成长"),4))/(VLOOKUP(CK$72,INDIRECT($C$5&amp;"生成成长"),5))*(VLOOKUP($B$5,标准坦克设计!$B$24:$U$30,MATCH("对"&amp;LEFT($C$5,2)&amp;"输出",标准坦克设计!$B$23:$U$23,0)))*(VLOOKUP($B235,INDIRECT($B$5&amp;"生成成长"),3))*(VLOOKUP($B$5,标准坦克设计!$B$14:$K$20,9)/30))</f>
        <v>4.7451893924104827</v>
      </c>
      <c r="CL235" s="173">
        <f ca="1">(VLOOKUP(CL$72,INDIRECT($C$5&amp;"生成成长"),2))/((VLOOKUP($B235,INDIRECT($B$5&amp;"生成成长"),4))/(VLOOKUP(CL$72,INDIRECT($C$5&amp;"生成成长"),5))*(VLOOKUP($B$5,标准坦克设计!$B$24:$U$30,MATCH("对"&amp;LEFT($C$5,2)&amp;"输出",标准坦克设计!$B$23:$U$23,0)))*(VLOOKUP($B235,INDIRECT($B$5&amp;"生成成长"),3))*(VLOOKUP($B$5,标准坦克设计!$B$14:$K$20,9)/30))</f>
        <v>5.0668077845627497</v>
      </c>
      <c r="CM235" s="173">
        <f ca="1">(VLOOKUP(CM$72,INDIRECT($C$5&amp;"生成成长"),2))/((VLOOKUP($B235,INDIRECT($B$5&amp;"生成成长"),4))/(VLOOKUP(CM$72,INDIRECT($C$5&amp;"生成成长"),5))*(VLOOKUP($B$5,标准坦克设计!$B$24:$U$30,MATCH("对"&amp;LEFT($C$5,2)&amp;"输出",标准坦克设计!$B$23:$U$23,0)))*(VLOOKUP($B235,INDIRECT($B$5&amp;"生成成长"),3))*(VLOOKUP($B$5,标准坦克设计!$B$14:$K$20,9)/30))</f>
        <v>5.3989710420314827</v>
      </c>
      <c r="CN235" s="173">
        <f ca="1">(VLOOKUP(CN$72,INDIRECT($C$5&amp;"生成成长"),2))/((VLOOKUP($B235,INDIRECT($B$5&amp;"生成成长"),4))/(VLOOKUP(CN$72,INDIRECT($C$5&amp;"生成成长"),5))*(VLOOKUP($B$5,标准坦克设计!$B$24:$U$30,MATCH("对"&amp;LEFT($C$5,2)&amp;"输出",标准坦克设计!$B$23:$U$23,0)))*(VLOOKUP($B235,INDIRECT($B$5&amp;"生成成长"),3))*(VLOOKUP($B$5,标准坦克设计!$B$14:$K$20,9)/30))</f>
        <v>5.7416791648166852</v>
      </c>
      <c r="CO235" s="173">
        <f ca="1">(VLOOKUP(CO$72,INDIRECT($C$5&amp;"生成成长"),2))/((VLOOKUP($B235,INDIRECT($B$5&amp;"生成成长"),4))/(VLOOKUP(CO$72,INDIRECT($C$5&amp;"生成成长"),5))*(VLOOKUP($B$5,标准坦克设计!$B$24:$U$30,MATCH("对"&amp;LEFT($C$5,2)&amp;"输出",标准坦克设计!$B$23:$U$23,0)))*(VLOOKUP($B235,INDIRECT($B$5&amp;"生成成长"),3))*(VLOOKUP($B$5,标准坦克设计!$B$14:$K$20,9)/30))</f>
        <v>2.5729907110417503</v>
      </c>
      <c r="CP235" s="173">
        <f ca="1">(VLOOKUP(CP$72,INDIRECT($C$5&amp;"生成成长"),2))/((VLOOKUP($B235,INDIRECT($B$5&amp;"生成成长"),4))/(VLOOKUP(CP$72,INDIRECT($C$5&amp;"生成成长"),5))*(VLOOKUP($B$5,标准坦克设计!$B$24:$U$30,MATCH("对"&amp;LEFT($C$5,2)&amp;"输出",标准坦克设计!$B$23:$U$23,0)))*(VLOOKUP($B235,INDIRECT($B$5&amp;"生成成长"),3))*(VLOOKUP($B$5,标准坦克设计!$B$14:$K$20,9)/30))</f>
        <v>2.8112088047819532</v>
      </c>
      <c r="CQ235" s="173">
        <f ca="1">(VLOOKUP(CQ$72,INDIRECT($C$5&amp;"生成成长"),2))/((VLOOKUP($B235,INDIRECT($B$5&amp;"生成成长"),4))/(VLOOKUP(CQ$72,INDIRECT($C$5&amp;"生成成长"),5))*(VLOOKUP($B$5,标准坦克设计!$B$24:$U$30,MATCH("对"&amp;LEFT($C$5,2)&amp;"输出",标准坦克设计!$B$23:$U$23,0)))*(VLOOKUP($B235,INDIRECT($B$5&amp;"生成成长"),3))*(VLOOKUP($B$5,标准坦克设计!$B$14:$K$20,9)/30))</f>
        <v>3.0599717638386235</v>
      </c>
      <c r="CR235" s="173">
        <f ca="1">(VLOOKUP(CR$72,INDIRECT($C$5&amp;"生成成长"),2))/((VLOOKUP($B235,INDIRECT($B$5&amp;"生成成长"),4))/(VLOOKUP(CR$72,INDIRECT($C$5&amp;"生成成长"),5))*(VLOOKUP($B$5,标准坦克设计!$B$24:$U$30,MATCH("对"&amp;LEFT($C$5,2)&amp;"输出",标准坦克设计!$B$23:$U$23,0)))*(VLOOKUP($B235,INDIRECT($B$5&amp;"生成成长"),3))*(VLOOKUP($B$5,标准坦克设计!$B$14:$K$20,9)/30))</f>
        <v>3.3192795882117627</v>
      </c>
      <c r="CS235" s="173">
        <f ca="1">(VLOOKUP(CS$72,INDIRECT($C$5&amp;"生成成长"),2))/((VLOOKUP($B235,INDIRECT($B$5&amp;"生成成长"),4))/(VLOOKUP(CS$72,INDIRECT($C$5&amp;"生成成长"),5))*(VLOOKUP($B$5,标准坦克设计!$B$24:$U$30,MATCH("对"&amp;LEFT($C$5,2)&amp;"输出",标准坦克设计!$B$23:$U$23,0)))*(VLOOKUP($B235,INDIRECT($B$5&amp;"生成成长"),3))*(VLOOKUP($B$5,标准坦克设计!$B$14:$K$20,9)/30))</f>
        <v>3.5891322779013692</v>
      </c>
      <c r="CT235" s="173">
        <f ca="1">(VLOOKUP(CT$72,INDIRECT($C$5&amp;"生成成长"),2))/((VLOOKUP($B235,INDIRECT($B$5&amp;"生成成长"),4))/(VLOOKUP(CT$72,INDIRECT($C$5&amp;"生成成长"),5))*(VLOOKUP($B$5,标准坦克设计!$B$24:$U$30,MATCH("对"&amp;LEFT($C$5,2)&amp;"输出",标准坦克设计!$B$23:$U$23,0)))*(VLOOKUP($B235,INDIRECT($B$5&amp;"生成成长"),3))*(VLOOKUP($B$5,标准坦克设计!$B$14:$K$20,9)/30))</f>
        <v>3.8695298329074426</v>
      </c>
      <c r="CU235" s="173">
        <f ca="1">(VLOOKUP(CU$72,INDIRECT($C$5&amp;"生成成长"),2))/((VLOOKUP($B235,INDIRECT($B$5&amp;"生成成长"),4))/(VLOOKUP(CU$72,INDIRECT($C$5&amp;"生成成长"),5))*(VLOOKUP($B$5,标准坦克设计!$B$24:$U$30,MATCH("对"&amp;LEFT($C$5,2)&amp;"输出",标准坦克设计!$B$23:$U$23,0)))*(VLOOKUP($B235,INDIRECT($B$5&amp;"生成成长"),3))*(VLOOKUP($B$5,标准坦克设计!$B$14:$K$20,9)/30))</f>
        <v>4.160472253229984</v>
      </c>
      <c r="CV235" s="173">
        <f ca="1">(VLOOKUP(CV$72,INDIRECT($C$5&amp;"生成成长"),2))/((VLOOKUP($B235,INDIRECT($B$5&amp;"生成成长"),4))/(VLOOKUP(CV$72,INDIRECT($C$5&amp;"生成成长"),5))*(VLOOKUP($B$5,标准坦克设计!$B$24:$U$30,MATCH("对"&amp;LEFT($C$5,2)&amp;"输出",标准坦克设计!$B$23:$U$23,0)))*(VLOOKUP($B235,INDIRECT($B$5&amp;"生成成长"),3))*(VLOOKUP($B$5,标准坦克设计!$B$14:$K$20,9)/30))</f>
        <v>4.4619595388689941</v>
      </c>
      <c r="CW235" s="173">
        <f ca="1">(VLOOKUP(CW$72,INDIRECT($C$5&amp;"生成成长"),2))/((VLOOKUP($B235,INDIRECT($B$5&amp;"生成成长"),4))/(VLOOKUP(CW$72,INDIRECT($C$5&amp;"生成成长"),5))*(VLOOKUP($B$5,标准坦克设计!$B$24:$U$30,MATCH("对"&amp;LEFT($C$5,2)&amp;"输出",标准坦克设计!$B$23:$U$23,0)))*(VLOOKUP($B235,INDIRECT($B$5&amp;"生成成长"),3))*(VLOOKUP($B$5,标准坦克设计!$B$14:$K$20,9)/30))</f>
        <v>4.7739916898244719</v>
      </c>
      <c r="CX235" s="173">
        <f ca="1">(VLOOKUP(CX$72,INDIRECT($C$5&amp;"生成成长"),2))/((VLOOKUP($B235,INDIRECT($B$5&amp;"生成成长"),4))/(VLOOKUP(CX$72,INDIRECT($C$5&amp;"生成成长"),5))*(VLOOKUP($B$5,标准坦克设计!$B$24:$U$30,MATCH("对"&amp;LEFT($C$5,2)&amp;"输出",标准坦克设计!$B$23:$U$23,0)))*(VLOOKUP($B235,INDIRECT($B$5&amp;"生成成长"),3))*(VLOOKUP($B$5,标准坦克设计!$B$14:$K$20,9)/30))</f>
        <v>5.0965687060964164</v>
      </c>
      <c r="CY235" s="173">
        <f ca="1">(VLOOKUP(CY$72,INDIRECT($C$5&amp;"生成成长"),2))/((VLOOKUP($B235,INDIRECT($B$5&amp;"生成成长"),4))/(VLOOKUP(CY$72,INDIRECT($C$5&amp;"生成成长"),5))*(VLOOKUP($B$5,标准坦克设计!$B$24:$U$30,MATCH("对"&amp;LEFT($C$5,2)&amp;"输出",标准坦克设计!$B$23:$U$23,0)))*(VLOOKUP($B235,INDIRECT($B$5&amp;"生成成长"),3))*(VLOOKUP($B$5,标准坦克设计!$B$14:$K$20,9)/30))</f>
        <v>5.4296905876848296</v>
      </c>
      <c r="CZ235" s="173">
        <f ca="1">(VLOOKUP(CZ$72,INDIRECT($C$5&amp;"生成成长"),2))/((VLOOKUP($B235,INDIRECT($B$5&amp;"生成成长"),4))/(VLOOKUP(CZ$72,INDIRECT($C$5&amp;"生成成长"),5))*(VLOOKUP($B$5,标准坦克设计!$B$24:$U$30,MATCH("对"&amp;LEFT($C$5,2)&amp;"输出",标准坦克设计!$B$23:$U$23,0)))*(VLOOKUP($B235,INDIRECT($B$5&amp;"生成成长"),3))*(VLOOKUP($B$5,标准坦克设计!$B$14:$K$20,9)/30))</f>
        <v>5.7733573345897096</v>
      </c>
      <c r="DA235" s="173">
        <f ca="1">(VLOOKUP(DA$72,INDIRECT($C$5&amp;"生成成长"),2))/((VLOOKUP($B235,INDIRECT($B$5&amp;"生成成长"),4))/(VLOOKUP(DA$72,INDIRECT($C$5&amp;"生成成长"),5))*(VLOOKUP($B$5,标准坦克设计!$B$24:$U$30,MATCH("对"&amp;LEFT($C$5,2)&amp;"输出",标准坦克设计!$B$23:$U$23,0)))*(VLOOKUP($B235,INDIRECT($B$5&amp;"生成成长"),3))*(VLOOKUP($B$5,标准坦克设计!$B$14:$K$20,9)/30))</f>
        <v>6.1275689468110572</v>
      </c>
      <c r="DB235" s="173">
        <f ca="1">(VLOOKUP(DB$72,INDIRECT($C$5&amp;"生成成长"),2))/((VLOOKUP($B235,INDIRECT($B$5&amp;"生成成长"),4))/(VLOOKUP(DB$72,INDIRECT($C$5&amp;"生成成长"),5))*(VLOOKUP($B$5,标准坦克设计!$B$24:$U$30,MATCH("对"&amp;LEFT($C$5,2)&amp;"输出",标准坦克设计!$B$23:$U$23,0)))*(VLOOKUP($B235,INDIRECT($B$5&amp;"生成成长"),3))*(VLOOKUP($B$5,标准坦克设计!$B$14:$K$20,9)/30))</f>
        <v>6.4923254243488735</v>
      </c>
      <c r="DC235" s="173">
        <f ca="1">(VLOOKUP(DC$72,INDIRECT($C$5&amp;"生成成长"),2))/((VLOOKUP($B235,INDIRECT($B$5&amp;"生成成长"),4))/(VLOOKUP(DC$72,INDIRECT($C$5&amp;"生成成长"),5))*(VLOOKUP($B$5,标准坦克设计!$B$24:$U$30,MATCH("对"&amp;LEFT($C$5,2)&amp;"输出",标准坦克设计!$B$23:$U$23,0)))*(VLOOKUP($B235,INDIRECT($B$5&amp;"生成成长"),3))*(VLOOKUP($B$5,标准坦克设计!$B$14:$K$20,9)/30))</f>
        <v>6.9022679569824623</v>
      </c>
      <c r="DD235" s="173">
        <f ca="1">(VLOOKUP(DD$72,INDIRECT($C$5&amp;"生成成长"),2))/((VLOOKUP($B235,INDIRECT($B$5&amp;"生成成长"),4))/(VLOOKUP(DD$72,INDIRECT($C$5&amp;"生成成长"),5))*(VLOOKUP($B$5,标准坦克设计!$B$24:$U$30,MATCH("对"&amp;LEFT($C$5,2)&amp;"输出",标准坦克设计!$B$23:$U$23,0)))*(VLOOKUP($B235,INDIRECT($B$5&amp;"生成成长"),3))*(VLOOKUP($B$5,标准坦克设计!$B$14:$K$20,9)/30))</f>
        <v>7.3247597508191191</v>
      </c>
      <c r="DE235" s="173">
        <f ca="1">(VLOOKUP(DE$72,INDIRECT($C$5&amp;"生成成长"),2))/((VLOOKUP($B235,INDIRECT($B$5&amp;"生成成长"),4))/(VLOOKUP(DE$72,INDIRECT($C$5&amp;"生成成长"),5))*(VLOOKUP($B$5,标准坦克设计!$B$24:$U$30,MATCH("对"&amp;LEFT($C$5,2)&amp;"输出",标准坦克设计!$B$23:$U$23,0)))*(VLOOKUP($B235,INDIRECT($B$5&amp;"生成成长"),3))*(VLOOKUP($B$5,标准坦克设计!$B$14:$K$20,9)/30))</f>
        <v>7.7598008058588466</v>
      </c>
      <c r="DF235" s="173">
        <f ca="1">(VLOOKUP(DF$72,INDIRECT($C$5&amp;"生成成长"),2))/((VLOOKUP($B235,INDIRECT($B$5&amp;"生成成长"),4))/(VLOOKUP(DF$72,INDIRECT($C$5&amp;"生成成长"),5))*(VLOOKUP($B$5,标准坦克设计!$B$24:$U$30,MATCH("对"&amp;LEFT($C$5,2)&amp;"输出",标准坦克设计!$B$23:$U$23,0)))*(VLOOKUP($B235,INDIRECT($B$5&amp;"生成成长"),3))*(VLOOKUP($B$5,标准坦克设计!$B$14:$K$20,9)/30))</f>
        <v>8.2073911221016438</v>
      </c>
      <c r="DG235" s="173">
        <f ca="1">(VLOOKUP(DG$72,INDIRECT($C$5&amp;"生成成长"),2))/((VLOOKUP($B235,INDIRECT($B$5&amp;"生成成长"),4))/(VLOOKUP(DG$72,INDIRECT($C$5&amp;"生成成长"),5))*(VLOOKUP($B$5,标准坦克设计!$B$24:$U$30,MATCH("对"&amp;LEFT($C$5,2)&amp;"输出",标准坦克设计!$B$23:$U$23,0)))*(VLOOKUP($B235,INDIRECT($B$5&amp;"生成成长"),3))*(VLOOKUP($B$5,标准坦克设计!$B$14:$K$20,9)/30))</f>
        <v>8.6675306995475072</v>
      </c>
      <c r="DH235" s="173">
        <f ca="1">(VLOOKUP(DH$72,INDIRECT($C$5&amp;"生成成长"),2))/((VLOOKUP($B235,INDIRECT($B$5&amp;"生成成长"),4))/(VLOOKUP(DH$72,INDIRECT($C$5&amp;"生成成长"),5))*(VLOOKUP($B$5,标准坦克设计!$B$24:$U$30,MATCH("对"&amp;LEFT($C$5,2)&amp;"输出",标准坦克设计!$B$23:$U$23,0)))*(VLOOKUP($B235,INDIRECT($B$5&amp;"生成成长"),3))*(VLOOKUP($B$5,标准坦克设计!$B$14:$K$20,9)/30))</f>
        <v>9.1402195381964422</v>
      </c>
      <c r="DI235" s="173">
        <f ca="1">(VLOOKUP(DI$72,INDIRECT($C$5&amp;"生成成长"),2))/((VLOOKUP($B235,INDIRECT($B$5&amp;"生成成长"),4))/(VLOOKUP(DI$72,INDIRECT($C$5&amp;"生成成长"),5))*(VLOOKUP($B$5,标准坦克设计!$B$24:$U$30,MATCH("对"&amp;LEFT($C$5,2)&amp;"输出",标准坦克设计!$B$23:$U$23,0)))*(VLOOKUP($B235,INDIRECT($B$5&amp;"生成成长"),3))*(VLOOKUP($B$5,标准坦克设计!$B$14:$K$20,9)/30))</f>
        <v>9.6254576380484451</v>
      </c>
      <c r="DJ235" s="173">
        <f ca="1">(VLOOKUP(DJ$72,INDIRECT($C$5&amp;"生成成长"),2))/((VLOOKUP($B235,INDIRECT($B$5&amp;"生成成长"),4))/(VLOOKUP(DJ$72,INDIRECT($C$5&amp;"生成成长"),5))*(VLOOKUP($B$5,标准坦克设计!$B$24:$U$30,MATCH("对"&amp;LEFT($C$5,2)&amp;"输出",标准坦克设计!$B$23:$U$23,0)))*(VLOOKUP($B235,INDIRECT($B$5&amp;"生成成长"),3))*(VLOOKUP($B$5,标准坦克设计!$B$14:$K$20,9)/30))</f>
        <v>0.96738245822686064</v>
      </c>
      <c r="DK235" s="173">
        <f ca="1">(VLOOKUP(DK$72,INDIRECT($C$5&amp;"生成成长"),2))/((VLOOKUP($B235,INDIRECT($B$5&amp;"生成成长"),4))/(VLOOKUP(DK$72,INDIRECT($C$5&amp;"生成成长"),5))*(VLOOKUP($B$5,标准坦克设计!$B$24:$U$30,MATCH("对"&amp;LEFT($C$5,2)&amp;"输出",标准坦克设计!$B$23:$U$23,0)))*(VLOOKUP($B235,INDIRECT($B$5&amp;"生成成长"),3))*(VLOOKUP($B$5,标准坦克设计!$B$14:$K$20,9)/30))</f>
        <v>1.0877769328938043</v>
      </c>
      <c r="DL235" s="173">
        <f ca="1">(VLOOKUP(DL$72,INDIRECT($C$5&amp;"生成成长"),2))/((VLOOKUP($B235,INDIRECT($B$5&amp;"生成成长"),4))/(VLOOKUP(DL$72,INDIRECT($C$5&amp;"生成成长"),5))*(VLOOKUP($B$5,标准坦克设计!$B$24:$U$30,MATCH("对"&amp;LEFT($C$5,2)&amp;"输出",标准坦克设计!$B$23:$U$23,0)))*(VLOOKUP($B235,INDIRECT($B$5&amp;"生成成长"),3))*(VLOOKUP($B$5,标准坦克设计!$B$14:$K$20,9)/30))</f>
        <v>1.2152303669874742</v>
      </c>
      <c r="DM235" s="173">
        <f ca="1">(VLOOKUP(DM$72,INDIRECT($C$5&amp;"生成成长"),2))/((VLOOKUP($B235,INDIRECT($B$5&amp;"生成成长"),4))/(VLOOKUP(DM$72,INDIRECT($C$5&amp;"生成成长"),5))*(VLOOKUP($B$5,标准坦克设计!$B$24:$U$30,MATCH("对"&amp;LEFT($C$5,2)&amp;"输出",标准坦克设计!$B$23:$U$23,0)))*(VLOOKUP($B235,INDIRECT($B$5&amp;"生成成长"),3))*(VLOOKUP($B$5,标准坦克设计!$B$14:$K$20,9)/30))</f>
        <v>1.3497427605078707</v>
      </c>
      <c r="DN235" s="173">
        <f ca="1">(VLOOKUP(DN$72,INDIRECT($C$5&amp;"生成成长"),2))/((VLOOKUP($B235,INDIRECT($B$5&amp;"生成成长"),4))/(VLOOKUP(DN$72,INDIRECT($C$5&amp;"生成成长"),5))*(VLOOKUP($B$5,标准坦克设计!$B$24:$U$30,MATCH("对"&amp;LEFT($C$5,2)&amp;"输出",标准坦克设计!$B$23:$U$23,0)))*(VLOOKUP($B235,INDIRECT($B$5&amp;"生成成长"),3))*(VLOOKUP($B$5,标准坦克设计!$B$14:$K$20,9)/30))</f>
        <v>1.4913141134549934</v>
      </c>
      <c r="DO235" s="173">
        <f ca="1">(VLOOKUP(DO$72,INDIRECT($C$5&amp;"生成成长"),2))/((VLOOKUP($B235,INDIRECT($B$5&amp;"生成成长"),4))/(VLOOKUP(DO$72,INDIRECT($C$5&amp;"生成成长"),5))*(VLOOKUP($B$5,标准坦克设计!$B$24:$U$30,MATCH("对"&amp;LEFT($C$5,2)&amp;"输出",标准坦克设计!$B$23:$U$23,0)))*(VLOOKUP($B235,INDIRECT($B$5&amp;"生成成长"),3))*(VLOOKUP($B$5,标准坦克设计!$B$14:$K$20,9)/30))</f>
        <v>1.6399444258288425</v>
      </c>
      <c r="DP235" s="173">
        <f ca="1">(VLOOKUP(DP$72,INDIRECT($C$5&amp;"生成成长"),2))/((VLOOKUP($B235,INDIRECT($B$5&amp;"生成成长"),4))/(VLOOKUP(DP$72,INDIRECT($C$5&amp;"生成成长"),5))*(VLOOKUP($B$5,标准坦克设计!$B$24:$U$30,MATCH("对"&amp;LEFT($C$5,2)&amp;"输出",标准坦克设计!$B$23:$U$23,0)))*(VLOOKUP($B235,INDIRECT($B$5&amp;"生成成长"),3))*(VLOOKUP($B$5,标准坦克设计!$B$14:$K$20,9)/30))</f>
        <v>1.7956336976294178</v>
      </c>
      <c r="DQ235" s="173">
        <f ca="1">(VLOOKUP(DQ$72,INDIRECT($C$5&amp;"生成成长"),2))/((VLOOKUP($B235,INDIRECT($B$5&amp;"生成成长"),4))/(VLOOKUP(DQ$72,INDIRECT($C$5&amp;"生成成长"),5))*(VLOOKUP($B$5,标准坦克设计!$B$24:$U$30,MATCH("对"&amp;LEFT($C$5,2)&amp;"输出",标准坦克设计!$B$23:$U$23,0)))*(VLOOKUP($B235,INDIRECT($B$5&amp;"生成成长"),3))*(VLOOKUP($B$5,标准坦克设计!$B$14:$K$20,9)/30))</f>
        <v>1.9583819288567197</v>
      </c>
      <c r="DR235" s="173">
        <f ca="1">(VLOOKUP(DR$72,INDIRECT($C$5&amp;"生成成长"),2))/((VLOOKUP($B235,INDIRECT($B$5&amp;"生成成长"),4))/(VLOOKUP(DR$72,INDIRECT($C$5&amp;"生成成长"),5))*(VLOOKUP($B$5,标准坦克设计!$B$24:$U$30,MATCH("对"&amp;LEFT($C$5,2)&amp;"输出",标准坦克设计!$B$23:$U$23,0)))*(VLOOKUP($B235,INDIRECT($B$5&amp;"生成成长"),3))*(VLOOKUP($B$5,标准坦克设计!$B$14:$K$20,9)/30))</f>
        <v>2.128189119510747</v>
      </c>
      <c r="DS235" s="173">
        <f ca="1">(VLOOKUP(DS$72,INDIRECT($C$5&amp;"生成成长"),2))/((VLOOKUP($B235,INDIRECT($B$5&amp;"生成成长"),4))/(VLOOKUP(DS$72,INDIRECT($C$5&amp;"生成成长"),5))*(VLOOKUP($B$5,标准坦克设计!$B$24:$U$30,MATCH("对"&amp;LEFT($C$5,2)&amp;"输出",标准坦克设计!$B$23:$U$23,0)))*(VLOOKUP($B235,INDIRECT($B$5&amp;"生成成长"),3))*(VLOOKUP($B$5,标准坦克设计!$B$14:$K$20,9)/30))</f>
        <v>2.3050552695915014</v>
      </c>
      <c r="DT235" s="173">
        <f ca="1">(VLOOKUP(DT$72,INDIRECT($C$5&amp;"生成成长"),2))/((VLOOKUP($B235,INDIRECT($B$5&amp;"生成成长"),4))/(VLOOKUP(DT$72,INDIRECT($C$5&amp;"生成成长"),5))*(VLOOKUP($B$5,标准坦克设计!$B$24:$U$30,MATCH("对"&amp;LEFT($C$5,2)&amp;"输出",标准坦克设计!$B$23:$U$23,0)))*(VLOOKUP($B235,INDIRECT($B$5&amp;"生成成长"),3))*(VLOOKUP($B$5,标准坦克设计!$B$14:$K$20,9)/30))</f>
        <v>2.5308112497758795</v>
      </c>
      <c r="DU235" s="173">
        <f ca="1">(VLOOKUP(DU$72,INDIRECT($C$5&amp;"生成成长"),2))/((VLOOKUP($B235,INDIRECT($B$5&amp;"生成成长"),4))/(VLOOKUP(DU$72,INDIRECT($C$5&amp;"生成成长"),5))*(VLOOKUP($B$5,标准坦克设计!$B$24:$U$30,MATCH("对"&amp;LEFT($C$5,2)&amp;"输出",标准坦克设计!$B$23:$U$23,0)))*(VLOOKUP($B235,INDIRECT($B$5&amp;"生成成长"),3))*(VLOOKUP($B$5,标准坦克设计!$B$14:$K$20,9)/30))</f>
        <v>2.7671120952767243</v>
      </c>
      <c r="DV235" s="173">
        <f ca="1">(VLOOKUP(DV$72,INDIRECT($C$5&amp;"生成成长"),2))/((VLOOKUP($B235,INDIRECT($B$5&amp;"生成成长"),4))/(VLOOKUP(DV$72,INDIRECT($C$5&amp;"生成成长"),5))*(VLOOKUP($B$5,标准坦克设计!$B$24:$U$30,MATCH("对"&amp;LEFT($C$5,2)&amp;"输出",标准坦克设计!$B$23:$U$23,0)))*(VLOOKUP($B235,INDIRECT($B$5&amp;"生成成长"),3))*(VLOOKUP($B$5,标准坦克设计!$B$14:$K$20,9)/30))</f>
        <v>3.0139578060940377</v>
      </c>
      <c r="DW235" s="173">
        <f ca="1">(VLOOKUP(DW$72,INDIRECT($C$5&amp;"生成成长"),2))/((VLOOKUP($B235,INDIRECT($B$5&amp;"生成成长"),4))/(VLOOKUP(DW$72,INDIRECT($C$5&amp;"生成成长"),5))*(VLOOKUP($B$5,标准坦克设计!$B$24:$U$30,MATCH("对"&amp;LEFT($C$5,2)&amp;"输出",标准坦克设计!$B$23:$U$23,0)))*(VLOOKUP($B235,INDIRECT($B$5&amp;"生成成长"),3))*(VLOOKUP($B$5,标准坦克设计!$B$14:$K$20,9)/30))</f>
        <v>3.2713483822278189</v>
      </c>
      <c r="DX235" s="173">
        <f ca="1">(VLOOKUP(DX$72,INDIRECT($C$5&amp;"生成成长"),2))/((VLOOKUP($B235,INDIRECT($B$5&amp;"生成成长"),4))/(VLOOKUP(DX$72,INDIRECT($C$5&amp;"生成成长"),5))*(VLOOKUP($B$5,标准坦克设计!$B$24:$U$30,MATCH("对"&amp;LEFT($C$5,2)&amp;"输出",标准坦克设计!$B$23:$U$23,0)))*(VLOOKUP($B235,INDIRECT($B$5&amp;"生成成长"),3))*(VLOOKUP($B$5,标准坦克设计!$B$14:$K$20,9)/30))</f>
        <v>3.5392838236780664</v>
      </c>
      <c r="DY235" s="173">
        <f ca="1">(VLOOKUP(DY$72,INDIRECT($C$5&amp;"生成成长"),2))/((VLOOKUP($B235,INDIRECT($B$5&amp;"生成成长"),4))/(VLOOKUP(DY$72,INDIRECT($C$5&amp;"生成成长"),5))*(VLOOKUP($B$5,标准坦克设计!$B$24:$U$30,MATCH("对"&amp;LEFT($C$5,2)&amp;"输出",标准坦克设计!$B$23:$U$23,0)))*(VLOOKUP($B235,INDIRECT($B$5&amp;"生成成长"),3))*(VLOOKUP($B$5,标准坦克设计!$B$14:$K$20,9)/30))</f>
        <v>1.5896166595457011</v>
      </c>
      <c r="DZ235" s="173">
        <f ca="1">(VLOOKUP(DZ$72,INDIRECT($C$5&amp;"生成成长"),2))/((VLOOKUP($B235,INDIRECT($B$5&amp;"生成成长"),4))/(VLOOKUP(DZ$72,INDIRECT($C$5&amp;"生成成长"),5))*(VLOOKUP($B$5,标准坦克设计!$B$24:$U$30,MATCH("对"&amp;LEFT($C$5,2)&amp;"输出",标准坦克设计!$B$23:$U$23,0)))*(VLOOKUP($B235,INDIRECT($B$5&amp;"生成成长"),3))*(VLOOKUP($B$5,标准坦克设计!$B$14:$K$20,9)/30))</f>
        <v>1.7604260481430294</v>
      </c>
      <c r="EA235" s="173">
        <f ca="1">(VLOOKUP(EA$72,INDIRECT($C$5&amp;"生成成长"),2))/((VLOOKUP($B235,INDIRECT($B$5&amp;"生成成长"),4))/(VLOOKUP(EA$72,INDIRECT($C$5&amp;"生成成长"),5))*(VLOOKUP($B$5,标准坦克设计!$B$24:$U$30,MATCH("对"&amp;LEFT($C$5,2)&amp;"输出",标准坦克设计!$B$23:$U$23,0)))*(VLOOKUP($B235,INDIRECT($B$5&amp;"生成成长"),3))*(VLOOKUP($B$5,标准坦克设计!$B$14:$K$20,9)/30))</f>
        <v>1.9399502014647116</v>
      </c>
      <c r="EB235" s="173">
        <f ca="1">(VLOOKUP(EB$72,INDIRECT($C$5&amp;"生成成长"),2))/((VLOOKUP($B235,INDIRECT($B$5&amp;"生成成长"),4))/(VLOOKUP(EB$72,INDIRECT($C$5&amp;"生成成长"),5))*(VLOOKUP($B$5,标准坦克设计!$B$24:$U$30,MATCH("对"&amp;LEFT($C$5,2)&amp;"输出",标准坦克设计!$B$23:$U$23,0)))*(VLOOKUP($B235,INDIRECT($B$5&amp;"生成成长"),3))*(VLOOKUP($B$5,标准坦克设计!$B$14:$K$20,9)/30))</f>
        <v>2.128189119510747</v>
      </c>
      <c r="EC235" s="173">
        <f ca="1">(VLOOKUP(EC$72,INDIRECT($C$5&amp;"生成成长"),2))/((VLOOKUP($B235,INDIRECT($B$5&amp;"生成成长"),4))/(VLOOKUP(EC$72,INDIRECT($C$5&amp;"生成成长"),5))*(VLOOKUP($B$5,标准坦克设计!$B$24:$U$30,MATCH("对"&amp;LEFT($C$5,2)&amp;"输出",标准坦克设计!$B$23:$U$23,0)))*(VLOOKUP($B235,INDIRECT($B$5&amp;"生成成长"),3))*(VLOOKUP($B$5,标准坦克设计!$B$14:$K$20,9)/30))</f>
        <v>2.3251428022811367</v>
      </c>
      <c r="ED235" s="173">
        <f ca="1">(VLOOKUP(ED$72,INDIRECT($C$5&amp;"生成成长"),2))/((VLOOKUP($B235,INDIRECT($B$5&amp;"生成成长"),4))/(VLOOKUP(ED$72,INDIRECT($C$5&amp;"生成成长"),5))*(VLOOKUP($B$5,标准坦克设计!$B$24:$U$30,MATCH("对"&amp;LEFT($C$5,2)&amp;"输出",标准坦克设计!$B$23:$U$23,0)))*(VLOOKUP($B235,INDIRECT($B$5&amp;"生成成长"),3))*(VLOOKUP($B$5,标准坦克设计!$B$14:$K$20,9)/30))</f>
        <v>2.5308112497758795</v>
      </c>
      <c r="EE235" s="173">
        <f ca="1">(VLOOKUP(EE$72,INDIRECT($C$5&amp;"生成成长"),2))/((VLOOKUP($B235,INDIRECT($B$5&amp;"生成成长"),4))/(VLOOKUP(EE$72,INDIRECT($C$5&amp;"生成成长"),5))*(VLOOKUP($B$5,标准坦克设计!$B$24:$U$30,MATCH("对"&amp;LEFT($C$5,2)&amp;"输出",标准坦克设计!$B$23:$U$23,0)))*(VLOOKUP($B235,INDIRECT($B$5&amp;"生成成长"),3))*(VLOOKUP($B$5,标准坦克设计!$B$14:$K$20,9)/30))</f>
        <v>2.7451944619949753</v>
      </c>
      <c r="EF235" s="173">
        <f ca="1">(VLOOKUP(EF$72,INDIRECT($C$5&amp;"生成成长"),2))/((VLOOKUP($B235,INDIRECT($B$5&amp;"生成成长"),4))/(VLOOKUP(EF$72,INDIRECT($C$5&amp;"生成成长"),5))*(VLOOKUP($B$5,标准坦克设计!$B$24:$U$30,MATCH("对"&amp;LEFT($C$5,2)&amp;"输出",标准坦克设计!$B$23:$U$23,0)))*(VLOOKUP($B235,INDIRECT($B$5&amp;"生成成长"),3))*(VLOOKUP($B$5,标准坦克设计!$B$14:$K$20,9)/30))</f>
        <v>2.9682924389384251</v>
      </c>
      <c r="EG235" s="173">
        <f ca="1">(VLOOKUP(EG$72,INDIRECT($C$5&amp;"生成成长"),2))/((VLOOKUP($B235,INDIRECT($B$5&amp;"生成成长"),4))/(VLOOKUP(EG$72,INDIRECT($C$5&amp;"生成成长"),5))*(VLOOKUP($B$5,标准坦克设计!$B$24:$U$30,MATCH("对"&amp;LEFT($C$5,2)&amp;"输出",标准坦克设计!$B$23:$U$23,0)))*(VLOOKUP($B235,INDIRECT($B$5&amp;"生成成长"),3))*(VLOOKUP($B$5,标准坦克设计!$B$14:$K$20,9)/30))</f>
        <v>3.2001051806062284</v>
      </c>
      <c r="EH235" s="173">
        <f ca="1">(VLOOKUP(EH$72,INDIRECT($C$5&amp;"生成成长"),2))/((VLOOKUP($B235,INDIRECT($B$5&amp;"生成成长"),4))/(VLOOKUP(EH$72,INDIRECT($C$5&amp;"生成成长"),5))*(VLOOKUP($B$5,标准坦克设计!$B$24:$U$30,MATCH("对"&amp;LEFT($C$5,2)&amp;"输出",标准坦克设计!$B$23:$U$23,0)))*(VLOOKUP($B235,INDIRECT($B$5&amp;"生成成长"),3))*(VLOOKUP($B$5,标准坦克设计!$B$14:$K$20,9)/30))</f>
        <v>3.4406326869983848</v>
      </c>
      <c r="EI235" s="173">
        <f ca="1">(VLOOKUP(EI$72,INDIRECT($C$5&amp;"生成成长"),2))/((VLOOKUP($B235,INDIRECT($B$5&amp;"生成成长"),4))/(VLOOKUP(EI$72,INDIRECT($C$5&amp;"生成成长"),5))*(VLOOKUP($B$5,标准坦克设计!$B$24:$U$30,MATCH("对"&amp;LEFT($C$5,2)&amp;"输出",标准坦克设计!$B$23:$U$23,0)))*(VLOOKUP($B235,INDIRECT($B$5&amp;"生成成长"),3))*(VLOOKUP($B$5,标准坦克设计!$B$14:$K$20,9)/30))</f>
        <v>3.6898749581148955</v>
      </c>
      <c r="EJ235" s="173">
        <f ca="1">(VLOOKUP(EJ$72,INDIRECT($C$5&amp;"生成成长"),2))/((VLOOKUP($B235,INDIRECT($B$5&amp;"生成成长"),4))/(VLOOKUP(EJ$72,INDIRECT($C$5&amp;"生成成长"),5))*(VLOOKUP($B$5,标准坦克设计!$B$24:$U$30,MATCH("对"&amp;LEFT($C$5,2)&amp;"输出",标准坦克设计!$B$23:$U$23,0)))*(VLOOKUP($B235,INDIRECT($B$5&amp;"生成成长"),3))*(VLOOKUP($B$5,标准坦克设计!$B$14:$K$20,9)/30))</f>
        <v>3.9478319939557589</v>
      </c>
      <c r="EK235" s="173">
        <f ca="1">(VLOOKUP(EK$72,INDIRECT($C$5&amp;"生成成长"),2))/((VLOOKUP($B235,INDIRECT($B$5&amp;"生成成长"),4))/(VLOOKUP(EK$72,INDIRECT($C$5&amp;"生成成长"),5))*(VLOOKUP($B$5,标准坦克设计!$B$24:$U$30,MATCH("对"&amp;LEFT($C$5,2)&amp;"输出",标准坦克设计!$B$23:$U$23,0)))*(VLOOKUP($B235,INDIRECT($B$5&amp;"生成成长"),3))*(VLOOKUP($B$5,标准坦克设计!$B$14:$K$20,9)/30))</f>
        <v>4.2688839264009415</v>
      </c>
      <c r="EL235" s="173">
        <f ca="1">(VLOOKUP(EL$72,INDIRECT($C$5&amp;"生成成长"),2))/((VLOOKUP($B235,INDIRECT($B$5&amp;"生成成长"),4))/(VLOOKUP(EL$72,INDIRECT($C$5&amp;"生成成长"),5))*(VLOOKUP($B$5,标准坦克设计!$B$24:$U$30,MATCH("对"&amp;LEFT($C$5,2)&amp;"输出",标准坦克设计!$B$23:$U$23,0)))*(VLOOKUP($B235,INDIRECT($B$5&amp;"生成成长"),3))*(VLOOKUP($B$5,标准坦克设计!$B$14:$K$20,9)/30))</f>
        <v>4.6024851200491943</v>
      </c>
      <c r="EM235" s="173">
        <f ca="1">(VLOOKUP(EM$72,INDIRECT($C$5&amp;"生成成长"),2))/((VLOOKUP($B235,INDIRECT($B$5&amp;"生成成长"),4))/(VLOOKUP(EM$72,INDIRECT($C$5&amp;"生成成长"),5))*(VLOOKUP($B$5,标准坦克设计!$B$24:$U$30,MATCH("对"&amp;LEFT($C$5,2)&amp;"输出",标准坦克设计!$B$23:$U$23,0)))*(VLOOKUP($B235,INDIRECT($B$5&amp;"生成成长"),3))*(VLOOKUP($B$5,标准坦克设计!$B$14:$K$20,9)/30))</f>
        <v>4.9486355749005142</v>
      </c>
      <c r="EN235" s="173">
        <f ca="1">(VLOOKUP(EN$72,INDIRECT($C$5&amp;"生成成长"),2))/((VLOOKUP($B235,INDIRECT($B$5&amp;"生成成长"),4))/(VLOOKUP(EN$72,INDIRECT($C$5&amp;"生成成长"),5))*(VLOOKUP($B$5,标准坦克设计!$B$24:$U$30,MATCH("对"&amp;LEFT($C$5,2)&amp;"输出",标准坦克设计!$B$23:$U$23,0)))*(VLOOKUP($B235,INDIRECT($B$5&amp;"生成成长"),3))*(VLOOKUP($B$5,标准坦克设计!$B$14:$K$20,9)/30))</f>
        <v>5.3073352909549047</v>
      </c>
      <c r="EO235" s="173">
        <f ca="1">(VLOOKUP(EO$72,INDIRECT($C$5&amp;"生成成长"),2))/((VLOOKUP($B235,INDIRECT($B$5&amp;"生成成长"),4))/(VLOOKUP(EO$72,INDIRECT($C$5&amp;"生成成长"),5))*(VLOOKUP($B$5,标准坦克设计!$B$24:$U$30,MATCH("对"&amp;LEFT($C$5,2)&amp;"输出",标准坦克设计!$B$23:$U$23,0)))*(VLOOKUP($B235,INDIRECT($B$5&amp;"生成成长"),3))*(VLOOKUP($B$5,标准坦克设计!$B$14:$K$20,9)/30))</f>
        <v>5.6785842682123659</v>
      </c>
      <c r="EP235" s="173">
        <f ca="1">(VLOOKUP(EP$72,INDIRECT($C$5&amp;"生成成长"),2))/((VLOOKUP($B235,INDIRECT($B$5&amp;"生成成长"),4))/(VLOOKUP(EP$72,INDIRECT($C$5&amp;"生成成长"),5))*(VLOOKUP($B$5,标准坦克设计!$B$24:$U$30,MATCH("对"&amp;LEFT($C$5,2)&amp;"输出",标准坦克设计!$B$23:$U$23,0)))*(VLOOKUP($B235,INDIRECT($B$5&amp;"生成成长"),3))*(VLOOKUP($B$5,标准坦克设计!$B$14:$K$20,9)/30))</f>
        <v>6.0623825066728942</v>
      </c>
      <c r="EQ235" s="173">
        <f ca="1">(VLOOKUP(EQ$72,INDIRECT($C$5&amp;"生成成长"),2))/((VLOOKUP($B235,INDIRECT($B$5&amp;"生成成长"),4))/(VLOOKUP(EQ$72,INDIRECT($C$5&amp;"生成成长"),5))*(VLOOKUP($B$5,标准坦克设计!$B$24:$U$30,MATCH("对"&amp;LEFT($C$5,2)&amp;"输出",标准坦克设计!$B$23:$U$23,0)))*(VLOOKUP($B235,INDIRECT($B$5&amp;"生成成长"),3))*(VLOOKUP($B$5,标准坦克设计!$B$14:$K$20,9)/30))</f>
        <v>2.6799644480331897</v>
      </c>
      <c r="ER235" s="173">
        <f ca="1">(VLOOKUP(ER$72,INDIRECT($C$5&amp;"生成成长"),2))/((VLOOKUP($B235,INDIRECT($B$5&amp;"生成成长"),4))/(VLOOKUP(ER$72,INDIRECT($C$5&amp;"生成成长"),5))*(VLOOKUP($B$5,标准坦克设计!$B$24:$U$30,MATCH("对"&amp;LEFT($C$5,2)&amp;"输出",标准坦克设计!$B$23:$U$23,0)))*(VLOOKUP($B235,INDIRECT($B$5&amp;"生成成长"),3))*(VLOOKUP($B$5,标准坦克设计!$B$14:$K$20,9)/30))</f>
        <v>2.9229756623717869</v>
      </c>
      <c r="ES235" s="173">
        <f ca="1">(VLOOKUP(ES$72,INDIRECT($C$5&amp;"生成成长"),2))/((VLOOKUP($B235,INDIRECT($B$5&amp;"生成成长"),4))/(VLOOKUP(ES$72,INDIRECT($C$5&amp;"生成成长"),5))*(VLOOKUP($B$5,标准坦克设计!$B$24:$U$30,MATCH("对"&amp;LEFT($C$5,2)&amp;"输出",标准坦克设计!$B$23:$U$23,0)))*(VLOOKUP($B235,INDIRECT($B$5&amp;"生成成长"),3))*(VLOOKUP($B$5,标准坦克设计!$B$14:$K$20,9)/30))</f>
        <v>3.1765317420268522</v>
      </c>
      <c r="ET235" s="173">
        <f ca="1">(VLOOKUP(ET$72,INDIRECT($C$5&amp;"生成成长"),2))/((VLOOKUP($B235,INDIRECT($B$5&amp;"生成成长"),4))/(VLOOKUP(ET$72,INDIRECT($C$5&amp;"生成成长"),5))*(VLOOKUP($B$5,标准坦克设计!$B$24:$U$30,MATCH("对"&amp;LEFT($C$5,2)&amp;"输出",标准坦克设计!$B$23:$U$23,0)))*(VLOOKUP($B235,INDIRECT($B$5&amp;"生成成长"),3))*(VLOOKUP($B$5,标准坦克设计!$B$14:$K$20,9)/30))</f>
        <v>3.4406326869983848</v>
      </c>
      <c r="EU235" s="173">
        <f ca="1">(VLOOKUP(EU$72,INDIRECT($C$5&amp;"生成成长"),2))/((VLOOKUP($B235,INDIRECT($B$5&amp;"生成成长"),4))/(VLOOKUP(EU$72,INDIRECT($C$5&amp;"生成成长"),5))*(VLOOKUP($B$5,标准坦克设计!$B$24:$U$30,MATCH("对"&amp;LEFT($C$5,2)&amp;"输出",标准坦克设计!$B$23:$U$23,0)))*(VLOOKUP($B235,INDIRECT($B$5&amp;"生成成长"),3))*(VLOOKUP($B$5,标准坦克设计!$B$14:$K$20,9)/30))</f>
        <v>3.7152784972863859</v>
      </c>
      <c r="EV235" s="173">
        <f ca="1">(VLOOKUP(EV$72,INDIRECT($C$5&amp;"生成成长"),2))/((VLOOKUP($B235,INDIRECT($B$5&amp;"生成成长"),4))/(VLOOKUP(EV$72,INDIRECT($C$5&amp;"生成成长"),5))*(VLOOKUP($B$5,标准坦克设计!$B$24:$U$30,MATCH("对"&amp;LEFT($C$5,2)&amp;"输出",标准坦克设计!$B$23:$U$23,0)))*(VLOOKUP($B235,INDIRECT($B$5&amp;"生成成长"),3))*(VLOOKUP($B$5,标准坦克设计!$B$14:$K$20,9)/30))</f>
        <v>4.0004691728908535</v>
      </c>
      <c r="EW235" s="173">
        <f ca="1">(VLOOKUP(EW$72,INDIRECT($C$5&amp;"生成成长"),2))/((VLOOKUP($B235,INDIRECT($B$5&amp;"生成成长"),4))/(VLOOKUP(EW$72,INDIRECT($C$5&amp;"生成成长"),5))*(VLOOKUP($B$5,标准坦克设计!$B$24:$U$30,MATCH("对"&amp;LEFT($C$5,2)&amp;"输出",标准坦克设计!$B$23:$U$23,0)))*(VLOOKUP($B235,INDIRECT($B$5&amp;"生成成长"),3))*(VLOOKUP($B$5,标准坦克设计!$B$14:$K$20,9)/30))</f>
        <v>4.2962047138117914</v>
      </c>
      <c r="EX235" s="173">
        <f ca="1">(VLOOKUP(EX$72,INDIRECT($C$5&amp;"生成成长"),2))/((VLOOKUP($B235,INDIRECT($B$5&amp;"生成成长"),4))/(VLOOKUP(EX$72,INDIRECT($C$5&amp;"生成成长"),5))*(VLOOKUP($B$5,标准坦克设计!$B$24:$U$30,MATCH("对"&amp;LEFT($C$5,2)&amp;"输出",标准坦克设计!$B$23:$U$23,0)))*(VLOOKUP($B235,INDIRECT($B$5&amp;"生成成长"),3))*(VLOOKUP($B$5,标准坦克设计!$B$14:$K$20,9)/30))</f>
        <v>4.6024851200491943</v>
      </c>
      <c r="EY235" s="173">
        <f ca="1">(VLOOKUP(EY$72,INDIRECT($C$5&amp;"生成成长"),2))/((VLOOKUP($B235,INDIRECT($B$5&amp;"生成成长"),4))/(VLOOKUP(EY$72,INDIRECT($C$5&amp;"生成成长"),5))*(VLOOKUP($B$5,标准坦克设计!$B$24:$U$30,MATCH("对"&amp;LEFT($C$5,2)&amp;"输出",标准坦克设计!$B$23:$U$23,0)))*(VLOOKUP($B235,INDIRECT($B$5&amp;"生成成长"),3))*(VLOOKUP($B$5,标准坦克设计!$B$14:$K$20,9)/30))</f>
        <v>4.9193103916030658</v>
      </c>
      <c r="EZ235" s="173">
        <f ca="1">(VLOOKUP(EZ$72,INDIRECT($C$5&amp;"生成成长"),2))/((VLOOKUP($B235,INDIRECT($B$5&amp;"生成成长"),4))/(VLOOKUP(EZ$72,INDIRECT($C$5&amp;"生成成长"),5))*(VLOOKUP($B$5,标准坦克设计!$B$24:$U$30,MATCH("对"&amp;LEFT($C$5,2)&amp;"输出",标准坦克设计!$B$23:$U$23,0)))*(VLOOKUP($B235,INDIRECT($B$5&amp;"生成成长"),3))*(VLOOKUP($B$5,标准坦克设计!$B$14:$K$20,9)/30))</f>
        <v>5.246680528473405</v>
      </c>
      <c r="FA235" s="173">
        <f ca="1">(VLOOKUP(FA$72,INDIRECT($C$5&amp;"生成成长"),2))/((VLOOKUP($B235,INDIRECT($B$5&amp;"生成成长"),4))/(VLOOKUP(FA$72,INDIRECT($C$5&amp;"生成成长"),5))*(VLOOKUP($B$5,标准坦克设计!$B$24:$U$30,MATCH("对"&amp;LEFT($C$5,2)&amp;"输出",标准坦克设计!$B$23:$U$23,0)))*(VLOOKUP($B235,INDIRECT($B$5&amp;"生成成长"),3))*(VLOOKUP($B$5,标准坦克设计!$B$14:$K$20,9)/30))</f>
        <v>5.5845955306602137</v>
      </c>
      <c r="FB235" s="173">
        <f ca="1">(VLOOKUP(FB$72,INDIRECT($C$5&amp;"生成成长"),2))/((VLOOKUP($B235,INDIRECT($B$5&amp;"生成成长"),4))/(VLOOKUP(FB$72,INDIRECT($C$5&amp;"生成成长"),5))*(VLOOKUP($B$5,标准坦克设计!$B$24:$U$30,MATCH("对"&amp;LEFT($C$5,2)&amp;"输出",标准坦克设计!$B$23:$U$23,0)))*(VLOOKUP($B235,INDIRECT($B$5&amp;"生成成长"),3))*(VLOOKUP($B$5,标准坦克设计!$B$14:$K$20,9)/30))</f>
        <v>5.9330553981634866</v>
      </c>
      <c r="FC235" s="173">
        <f ca="1">(VLOOKUP(FC$72,INDIRECT($C$5&amp;"生成成长"),2))/((VLOOKUP($B235,INDIRECT($B$5&amp;"生成成长"),4))/(VLOOKUP(FC$72,INDIRECT($C$5&amp;"生成成长"),5))*(VLOOKUP($B$5,标准坦克设计!$B$24:$U$30,MATCH("对"&amp;LEFT($C$5,2)&amp;"输出",标准坦克设计!$B$23:$U$23,0)))*(VLOOKUP($B235,INDIRECT($B$5&amp;"生成成长"),3))*(VLOOKUP($B$5,标准坦克设计!$B$14:$K$20,9)/30))</f>
        <v>6.2920601309832289</v>
      </c>
      <c r="FD235" s="173">
        <f ca="1">(VLOOKUP(FD$72,INDIRECT($C$5&amp;"生成成长"),2))/((VLOOKUP($B235,INDIRECT($B$5&amp;"生成成长"),4))/(VLOOKUP(FD$72,INDIRECT($C$5&amp;"生成成长"),5))*(VLOOKUP($B$5,标准坦克设计!$B$24:$U$30,MATCH("对"&amp;LEFT($C$5,2)&amp;"输出",标准坦克设计!$B$23:$U$23,0)))*(VLOOKUP($B235,INDIRECT($B$5&amp;"生成成长"),3))*(VLOOKUP($B$5,标准坦克设计!$B$14:$K$20,9)/30))</f>
        <v>6.6616097291194407</v>
      </c>
      <c r="FE235" s="173">
        <f ca="1">(VLOOKUP(FE$72,INDIRECT($C$5&amp;"生成成长"),2))/((VLOOKUP($B235,INDIRECT($B$5&amp;"生成成长"),4))/(VLOOKUP(FE$72,INDIRECT($C$5&amp;"生成成长"),5))*(VLOOKUP($B$5,标准坦克设计!$B$24:$U$30,MATCH("对"&amp;LEFT($C$5,2)&amp;"输出",标准坦克设计!$B$23:$U$23,0)))*(VLOOKUP($B235,INDIRECT($B$5&amp;"生成成长"),3))*(VLOOKUP($B$5,标准坦克设计!$B$14:$K$20,9)/30))</f>
        <v>7.1119451962504092</v>
      </c>
      <c r="FF235" s="173">
        <f ca="1">(VLOOKUP(FF$72,INDIRECT($C$5&amp;"生成成长"),2))/((VLOOKUP($B235,INDIRECT($B$5&amp;"生成成长"),4))/(VLOOKUP(FF$72,INDIRECT($C$5&amp;"生成成长"),5))*(VLOOKUP($B$5,标准坦克设计!$B$24:$U$30,MATCH("对"&amp;LEFT($C$5,2)&amp;"输出",标准坦克设计!$B$23:$U$23,0)))*(VLOOKUP($B235,INDIRECT($B$5&amp;"生成成长"),3))*(VLOOKUP($B$5,标准坦克设计!$B$14:$K$20,9)/30))</f>
        <v>7.5770086157655321</v>
      </c>
      <c r="FG235" s="173">
        <f ca="1">(VLOOKUP(FG$72,INDIRECT($C$5&amp;"生成成长"),2))/((VLOOKUP($B235,INDIRECT($B$5&amp;"生成成长"),4))/(VLOOKUP(FG$72,INDIRECT($C$5&amp;"生成成长"),5))*(VLOOKUP($B$5,标准坦克设计!$B$24:$U$30,MATCH("对"&amp;LEFT($C$5,2)&amp;"输出",标准坦克设计!$B$23:$U$23,0)))*(VLOOKUP($B235,INDIRECT($B$5&amp;"生成成长"),3))*(VLOOKUP($B$5,标准坦克设计!$B$14:$K$20,9)/30))</f>
        <v>8.0567999876648155</v>
      </c>
      <c r="FH235" s="173">
        <f ca="1">(VLOOKUP(FH$72,INDIRECT($C$5&amp;"生成成长"),2))/((VLOOKUP($B235,INDIRECT($B$5&amp;"生成成长"),4))/(VLOOKUP(FH$72,INDIRECT($C$5&amp;"生成成长"),5))*(VLOOKUP($B$5,标准坦克设计!$B$24:$U$30,MATCH("对"&amp;LEFT($C$5,2)&amp;"输出",标准坦克设计!$B$23:$U$23,0)))*(VLOOKUP($B235,INDIRECT($B$5&amp;"生成成长"),3))*(VLOOKUP($B$5,标准坦克设计!$B$14:$K$20,9)/30))</f>
        <v>8.5513193119482551</v>
      </c>
      <c r="FI235" s="173">
        <f ca="1">(VLOOKUP(FI$72,INDIRECT($C$5&amp;"生成成长"),2))/((VLOOKUP($B235,INDIRECT($B$5&amp;"生成成长"),4))/(VLOOKUP(FI$72,INDIRECT($C$5&amp;"生成成长"),5))*(VLOOKUP($B$5,标准坦克设计!$B$24:$U$30,MATCH("对"&amp;LEFT($C$5,2)&amp;"输出",标准坦克设计!$B$23:$U$23,0)))*(VLOOKUP($B235,INDIRECT($B$5&amp;"生成成长"),3))*(VLOOKUP($B$5,标准坦克设计!$B$14:$K$20,9)/30))</f>
        <v>9.0605665886158526</v>
      </c>
      <c r="FJ235" s="173">
        <f ca="1">(VLOOKUP(FJ$72,INDIRECT($C$5&amp;"生成成长"),2))/((VLOOKUP($B235,INDIRECT($B$5&amp;"生成成长"),4))/(VLOOKUP(FJ$72,INDIRECT($C$5&amp;"生成成长"),5))*(VLOOKUP($B$5,标准坦克设计!$B$24:$U$30,MATCH("对"&amp;LEFT($C$5,2)&amp;"输出",标准坦克设计!$B$23:$U$23,0)))*(VLOOKUP($B235,INDIRECT($B$5&amp;"生成成长"),3))*(VLOOKUP($B$5,标准坦克设计!$B$14:$K$20,9)/30))</f>
        <v>9.5845418176676063</v>
      </c>
      <c r="FK235" s="173">
        <f ca="1">(VLOOKUP(FK$72,INDIRECT($C$5&amp;"生成成长"),2))/((VLOOKUP($B235,INDIRECT($B$5&amp;"生成成长"),4))/(VLOOKUP(FK$72,INDIRECT($C$5&amp;"生成成长"),5))*(VLOOKUP($B$5,标准坦克设计!$B$24:$U$30,MATCH("对"&amp;LEFT($C$5,2)&amp;"输出",标准坦克设计!$B$23:$U$23,0)))*(VLOOKUP($B235,INDIRECT($B$5&amp;"生成成长"),3))*(VLOOKUP($B$5,标准坦克设计!$B$14:$K$20,9)/30))</f>
        <v>10.123244999103518</v>
      </c>
    </row>
    <row r="236" spans="1:167" x14ac:dyDescent="0.15">
      <c r="A236" s="171" t="str">
        <f t="shared" si="13"/>
        <v>T5高品质20级</v>
      </c>
      <c r="B236" s="172">
        <v>30520</v>
      </c>
      <c r="C236" s="173">
        <f ca="1">(VLOOKUP(C$72,INDIRECT($C$5&amp;"生成成长"),2))/((VLOOKUP($B236,INDIRECT($B$5&amp;"生成成长"),4))/(VLOOKUP(C$72,INDIRECT($C$5&amp;"生成成长"),5))*(VLOOKUP($B$5,标准坦克设计!$B$24:$U$30,MATCH("对"&amp;LEFT($C$5,2)&amp;"输出",标准坦克设计!$B$23:$U$23,0)))*(VLOOKUP($B236,INDIRECT($B$5&amp;"生成成长"),3))*(VLOOKUP($B$5,标准坦克设计!$B$14:$K$20,9)/30))</f>
        <v>0.41233239114029502</v>
      </c>
      <c r="D236" s="173">
        <f ca="1">(VLOOKUP(D$72,INDIRECT($C$5&amp;"生成成长"),2))/((VLOOKUP($B236,INDIRECT($B$5&amp;"生成成长"),4))/(VLOOKUP(D$72,INDIRECT($C$5&amp;"生成成长"),5))*(VLOOKUP($B$5,标准坦克设计!$B$24:$U$30,MATCH("对"&amp;LEFT($C$5,2)&amp;"输出",标准坦克设计!$B$23:$U$23,0)))*(VLOOKUP($B236,INDIRECT($B$5&amp;"生成成长"),3))*(VLOOKUP($B$5,标准坦克设计!$B$14:$K$20,9)/30))</f>
        <v>0.46329667468523555</v>
      </c>
      <c r="E236" s="173">
        <f ca="1">(VLOOKUP(E$72,INDIRECT($C$5&amp;"生成成长"),2))/((VLOOKUP($B236,INDIRECT($B$5&amp;"生成成长"),4))/(VLOOKUP(E$72,INDIRECT($C$5&amp;"生成成长"),5))*(VLOOKUP($B$5,标准坦克设计!$B$24:$U$30,MATCH("对"&amp;LEFT($C$5,2)&amp;"输出",标准坦克设计!$B$23:$U$23,0)))*(VLOOKUP($B236,INDIRECT($B$5&amp;"生成成长"),3))*(VLOOKUP($B$5,标准坦克设计!$B$14:$K$20,9)/30))</f>
        <v>0.51722975144638617</v>
      </c>
      <c r="F236" s="173">
        <f ca="1">(VLOOKUP(F$72,INDIRECT($C$5&amp;"生成成长"),2))/((VLOOKUP($B236,INDIRECT($B$5&amp;"生成成长"),4))/(VLOOKUP(F$72,INDIRECT($C$5&amp;"生成成长"),5))*(VLOOKUP($B$5,标准坦克设计!$B$24:$U$30,MATCH("对"&amp;LEFT($C$5,2)&amp;"输出",标准坦克设计!$B$23:$U$23,0)))*(VLOOKUP($B236,INDIRECT($B$5&amp;"生成成长"),3))*(VLOOKUP($B$5,标准坦克设计!$B$14:$K$20,9)/30))</f>
        <v>0.57413162142374685</v>
      </c>
      <c r="G236" s="173">
        <f ca="1">(VLOOKUP(G$72,INDIRECT($C$5&amp;"生成成长"),2))/((VLOOKUP($B236,INDIRECT($B$5&amp;"生成成长"),4))/(VLOOKUP(G$72,INDIRECT($C$5&amp;"生成成长"),5))*(VLOOKUP($B$5,标准坦克设计!$B$24:$U$30,MATCH("对"&amp;LEFT($C$5,2)&amp;"输出",标准坦克设计!$B$23:$U$23,0)))*(VLOOKUP($B236,INDIRECT($B$5&amp;"生成成长"),3))*(VLOOKUP($B$5,标准坦克设计!$B$14:$K$20,9)/30))</f>
        <v>0.63400228461731778</v>
      </c>
      <c r="H236" s="173">
        <f ca="1">(VLOOKUP(H$72,INDIRECT($C$5&amp;"生成成长"),2))/((VLOOKUP($B236,INDIRECT($B$5&amp;"生成成长"),4))/(VLOOKUP(H$72,INDIRECT($C$5&amp;"生成成长"),5))*(VLOOKUP($B$5,标准坦克设计!$B$24:$U$30,MATCH("对"&amp;LEFT($C$5,2)&amp;"输出",标准坦克设计!$B$23:$U$23,0)))*(VLOOKUP($B236,INDIRECT($B$5&amp;"生成成长"),3))*(VLOOKUP($B$5,标准坦克设计!$B$14:$K$20,9)/30))</f>
        <v>0.554834465518381</v>
      </c>
      <c r="I236" s="173">
        <f ca="1">(VLOOKUP(I$72,INDIRECT($C$5&amp;"生成成长"),2))/((VLOOKUP($B236,INDIRECT($B$5&amp;"生成成长"),4))/(VLOOKUP(I$72,INDIRECT($C$5&amp;"生成成长"),5))*(VLOOKUP($B$5,标准坦克设计!$B$24:$U$30,MATCH("对"&amp;LEFT($C$5,2)&amp;"输出",标准坦克设计!$B$23:$U$23,0)))*(VLOOKUP($B236,INDIRECT($B$5&amp;"生成成长"),3))*(VLOOKUP($B$5,标准坦克设计!$B$14:$K$20,9)/30))</f>
        <v>0.63400228461731778</v>
      </c>
      <c r="J236" s="173">
        <f ca="1">(VLOOKUP(J$72,INDIRECT($C$5&amp;"生成成长"),2))/((VLOOKUP($B236,INDIRECT($B$5&amp;"生成成长"),4))/(VLOOKUP(J$72,INDIRECT($C$5&amp;"生成成长"),5))*(VLOOKUP($B$5,标准坦克设计!$B$24:$U$30,MATCH("对"&amp;LEFT($C$5,2)&amp;"输出",标准坦克设计!$B$23:$U$23,0)))*(VLOOKUP($B236,INDIRECT($B$5&amp;"生成成长"),3))*(VLOOKUP($B$5,标准坦克设计!$B$14:$K$20,9)/30))</f>
        <v>0.71844795832285013</v>
      </c>
      <c r="K236" s="173">
        <f ca="1">(VLOOKUP(K$72,INDIRECT($C$5&amp;"生成成长"),2))/((VLOOKUP($B236,INDIRECT($B$5&amp;"生成成长"),4))/(VLOOKUP(K$72,INDIRECT($C$5&amp;"生成成长"),5))*(VLOOKUP($B$5,标准坦克设计!$B$24:$U$30,MATCH("对"&amp;LEFT($C$5,2)&amp;"输出",标准坦克设计!$B$23:$U$23,0)))*(VLOOKUP($B236,INDIRECT($B$5&amp;"生成成长"),3))*(VLOOKUP($B$5,标准坦克设计!$B$14:$K$20,9)/30))</f>
        <v>0.8081714866349784</v>
      </c>
      <c r="L236" s="173">
        <f ca="1">(VLOOKUP(L$72,INDIRECT($C$5&amp;"生成成长"),2))/((VLOOKUP($B236,INDIRECT($B$5&amp;"生成成长"),4))/(VLOOKUP(L$72,INDIRECT($C$5&amp;"生成成长"),5))*(VLOOKUP($B$5,标准坦克设计!$B$24:$U$30,MATCH("对"&amp;LEFT($C$5,2)&amp;"输出",标准坦克设计!$B$23:$U$23,0)))*(VLOOKUP($B236,INDIRECT($B$5&amp;"生成成长"),3))*(VLOOKUP($B$5,标准坦克设计!$B$14:$K$20,9)/30))</f>
        <v>0.90317286955370235</v>
      </c>
      <c r="M236" s="173">
        <f ca="1">(VLOOKUP(M$72,INDIRECT($C$5&amp;"生成成长"),2))/((VLOOKUP($B236,INDIRECT($B$5&amp;"生成成长"),4))/(VLOOKUP(M$72,INDIRECT($C$5&amp;"生成成长"),5))*(VLOOKUP($B$5,标准坦克设计!$B$24:$U$30,MATCH("对"&amp;LEFT($C$5,2)&amp;"输出",标准坦克设计!$B$23:$U$23,0)))*(VLOOKUP($B236,INDIRECT($B$5&amp;"生成成长"),3))*(VLOOKUP($B$5,标准坦克设计!$B$14:$K$20,9)/30))</f>
        <v>1.0034521070790221</v>
      </c>
      <c r="N236" s="173">
        <f ca="1">(VLOOKUP(N$72,INDIRECT($C$5&amp;"生成成长"),2))/((VLOOKUP($B236,INDIRECT($B$5&amp;"生成成长"),4))/(VLOOKUP(N$72,INDIRECT($C$5&amp;"生成成长"),5))*(VLOOKUP($B$5,标准坦克设计!$B$24:$U$30,MATCH("对"&amp;LEFT($C$5,2)&amp;"输出",标准坦克设计!$B$23:$U$23,0)))*(VLOOKUP($B236,INDIRECT($B$5&amp;"生成成长"),3))*(VLOOKUP($B$5,标准坦克设计!$B$14:$K$20,9)/30))</f>
        <v>1.1090091992109374</v>
      </c>
      <c r="O236" s="173">
        <f ca="1">(VLOOKUP(O$72,INDIRECT($C$5&amp;"生成成长"),2))/((VLOOKUP($B236,INDIRECT($B$5&amp;"生成成长"),4))/(VLOOKUP(O$72,INDIRECT($C$5&amp;"生成成长"),5))*(VLOOKUP($B$5,标准坦克设计!$B$24:$U$30,MATCH("对"&amp;LEFT($C$5,2)&amp;"输出",标准坦克设计!$B$23:$U$23,0)))*(VLOOKUP($B236,INDIRECT($B$5&amp;"生成成长"),3))*(VLOOKUP($B$5,标准坦克设计!$B$14:$K$20,9)/30))</f>
        <v>0.84317850664278948</v>
      </c>
      <c r="P236" s="173">
        <f ca="1">(VLOOKUP(P$72,INDIRECT($C$5&amp;"生成成长"),2))/((VLOOKUP($B236,INDIRECT($B$5&amp;"生成成长"),4))/(VLOOKUP(P$72,INDIRECT($C$5&amp;"生成成长"),5))*(VLOOKUP($B$5,标准坦克设计!$B$24:$U$30,MATCH("对"&amp;LEFT($C$5,2)&amp;"输出",标准坦克设计!$B$23:$U$23,0)))*(VLOOKUP($B236,INDIRECT($B$5&amp;"生成成长"),3))*(VLOOKUP($B$5,标准坦克设计!$B$14:$K$20,9)/30))</f>
        <v>0.95265275649053782</v>
      </c>
      <c r="Q236" s="173">
        <f ca="1">(VLOOKUP(Q$72,INDIRECT($C$5&amp;"生成成长"),2))/((VLOOKUP($B236,INDIRECT($B$5&amp;"生成成长"),4))/(VLOOKUP(Q$72,INDIRECT($C$5&amp;"生成成长"),5))*(VLOOKUP($B$5,标准坦克设计!$B$24:$U$30,MATCH("对"&amp;LEFT($C$5,2)&amp;"输出",标准坦克设计!$B$23:$U$23,0)))*(VLOOKUP($B236,INDIRECT($B$5&amp;"生成成长"),3))*(VLOOKUP($B$5,标准坦克设计!$B$14:$K$20,9)/30))</f>
        <v>1.068806791074759</v>
      </c>
      <c r="R236" s="173">
        <f ca="1">(VLOOKUP(R$72,INDIRECT($C$5&amp;"生成成长"),2))/((VLOOKUP($B236,INDIRECT($B$5&amp;"生成成长"),4))/(VLOOKUP(R$72,INDIRECT($C$5&amp;"生成成长"),5))*(VLOOKUP($B$5,标准坦克设计!$B$24:$U$30,MATCH("对"&amp;LEFT($C$5,2)&amp;"输出",标准坦克设计!$B$23:$U$23,0)))*(VLOOKUP($B236,INDIRECT($B$5&amp;"生成成长"),3))*(VLOOKUP($B$5,标准坦克设计!$B$14:$K$20,9)/30))</f>
        <v>1.1916406103954529</v>
      </c>
      <c r="S236" s="173">
        <f ca="1">(VLOOKUP(S$72,INDIRECT($C$5&amp;"生成成长"),2))/((VLOOKUP($B236,INDIRECT($B$5&amp;"生成成长"),4))/(VLOOKUP(S$72,INDIRECT($C$5&amp;"生成成长"),5))*(VLOOKUP($B$5,标准坦克设计!$B$24:$U$30,MATCH("对"&amp;LEFT($C$5,2)&amp;"输出",标准坦克设计!$B$23:$U$23,0)))*(VLOOKUP($B236,INDIRECT($B$5&amp;"生成成长"),3))*(VLOOKUP($B$5,标准坦克设计!$B$14:$K$20,9)/30))</f>
        <v>1.3211542144526194</v>
      </c>
      <c r="T236" s="173">
        <f ca="1">(VLOOKUP(T$72,INDIRECT($C$5&amp;"生成成长"),2))/((VLOOKUP($B236,INDIRECT($B$5&amp;"生成成长"),4))/(VLOOKUP(T$72,INDIRECT($C$5&amp;"生成成长"),5))*(VLOOKUP($B$5,标准坦克设计!$B$24:$U$30,MATCH("对"&amp;LEFT($C$5,2)&amp;"输出",标准坦克设计!$B$23:$U$23,0)))*(VLOOKUP($B236,INDIRECT($B$5&amp;"生成成长"),3))*(VLOOKUP($B$5,标准坦克设计!$B$14:$K$20,9)/30))</f>
        <v>1.4573476032462589</v>
      </c>
      <c r="U236" s="173">
        <f ca="1">(VLOOKUP(U$72,INDIRECT($C$5&amp;"生成成长"),2))/((VLOOKUP($B236,INDIRECT($B$5&amp;"生成成长"),4))/(VLOOKUP(U$72,INDIRECT($C$5&amp;"生成成长"),5))*(VLOOKUP($B$5,标准坦克设计!$B$24:$U$30,MATCH("对"&amp;LEFT($C$5,2)&amp;"输出",标准坦克设计!$B$23:$U$23,0)))*(VLOOKUP($B236,INDIRECT($B$5&amp;"生成成长"),3))*(VLOOKUP($B$5,标准坦克设计!$B$14:$K$20,9)/30))</f>
        <v>1.6002207767763712</v>
      </c>
      <c r="V236" s="173">
        <f ca="1">(VLOOKUP(V$72,INDIRECT($C$5&amp;"生成成长"),2))/((VLOOKUP($B236,INDIRECT($B$5&amp;"生成成长"),4))/(VLOOKUP(V$72,INDIRECT($C$5&amp;"生成成长"),5))*(VLOOKUP($B$5,标准坦克设计!$B$24:$U$30,MATCH("对"&amp;LEFT($C$5,2)&amp;"输出",标准坦克设计!$B$23:$U$23,0)))*(VLOOKUP($B236,INDIRECT($B$5&amp;"生成成长"),3))*(VLOOKUP($B$5,标准坦克设计!$B$14:$K$20,9)/30))</f>
        <v>1.7497737350429563</v>
      </c>
      <c r="W236" s="173">
        <f ca="1">(VLOOKUP(W$72,INDIRECT($C$5&amp;"生成成长"),2))/((VLOOKUP($B236,INDIRECT($B$5&amp;"生成成长"),4))/(VLOOKUP(W$72,INDIRECT($C$5&amp;"生成成长"),5))*(VLOOKUP($B$5,标准坦克设计!$B$24:$U$30,MATCH("对"&amp;LEFT($C$5,2)&amp;"输出",标准坦克设计!$B$23:$U$23,0)))*(VLOOKUP($B236,INDIRECT($B$5&amp;"生成成长"),3))*(VLOOKUP($B$5,标准坦克设计!$B$14:$K$20,9)/30))</f>
        <v>1.906006478046014</v>
      </c>
      <c r="X236" s="173">
        <f ca="1">(VLOOKUP(X$72,INDIRECT($C$5&amp;"生成成长"),2))/((VLOOKUP($B236,INDIRECT($B$5&amp;"生成成长"),4))/(VLOOKUP(X$72,INDIRECT($C$5&amp;"生成成长"),5))*(VLOOKUP($B$5,标准坦克设计!$B$24:$U$30,MATCH("对"&amp;LEFT($C$5,2)&amp;"输出",标准坦克设计!$B$23:$U$23,0)))*(VLOOKUP($B236,INDIRECT($B$5&amp;"生成成长"),3))*(VLOOKUP($B$5,标准坦克设计!$B$14:$K$20,9)/30))</f>
        <v>1.3808599446897343</v>
      </c>
      <c r="Y236" s="173">
        <f ca="1">(VLOOKUP(Y$72,INDIRECT($C$5&amp;"生成成长"),2))/((VLOOKUP($B236,INDIRECT($B$5&amp;"生成成长"),4))/(VLOOKUP(Y$72,INDIRECT($C$5&amp;"生成成长"),5))*(VLOOKUP($B$5,标准坦克设计!$B$24:$U$30,MATCH("对"&amp;LEFT($C$5,2)&amp;"输出",标准坦克设计!$B$23:$U$23,0)))*(VLOOKUP($B236,INDIRECT($B$5&amp;"生成成长"),3))*(VLOOKUP($B$5,标准坦克设计!$B$14:$K$20,9)/30))</f>
        <v>1.535896923758485</v>
      </c>
      <c r="Z236" s="173">
        <f ca="1">(VLOOKUP(Z$72,INDIRECT($C$5&amp;"生成成长"),2))/((VLOOKUP($B236,INDIRECT($B$5&amp;"生成成长"),4))/(VLOOKUP(Z$72,INDIRECT($C$5&amp;"生成成长"),5))*(VLOOKUP($B$5,标准坦克设计!$B$24:$U$30,MATCH("对"&amp;LEFT($C$5,2)&amp;"输出",标准坦克设计!$B$23:$U$23,0)))*(VLOOKUP($B236,INDIRECT($B$5&amp;"生成成长"),3))*(VLOOKUP($B$5,标准坦克设计!$B$14:$K$20,9)/30))</f>
        <v>1.6991805506500421</v>
      </c>
      <c r="AA236" s="173">
        <f ca="1">(VLOOKUP(AA$72,INDIRECT($C$5&amp;"生成成长"),2))/((VLOOKUP($B236,INDIRECT($B$5&amp;"生成成长"),4))/(VLOOKUP(AA$72,INDIRECT($C$5&amp;"生成成长"),5))*(VLOOKUP($B$5,标准坦克设计!$B$24:$U$30,MATCH("对"&amp;LEFT($C$5,2)&amp;"输出",标准坦克设计!$B$23:$U$23,0)))*(VLOOKUP($B236,INDIRECT($B$5&amp;"生成成长"),3))*(VLOOKUP($B$5,标准坦克设计!$B$14:$K$20,9)/30))</f>
        <v>1.8707108253644047</v>
      </c>
      <c r="AB236" s="173">
        <f ca="1">(VLOOKUP(AB$72,INDIRECT($C$5&amp;"生成成长"),2))/((VLOOKUP($B236,INDIRECT($B$5&amp;"生成成长"),4))/(VLOOKUP(AB$72,INDIRECT($C$5&amp;"生成成长"),5))*(VLOOKUP($B$5,标准坦克设计!$B$24:$U$30,MATCH("对"&amp;LEFT($C$5,2)&amp;"输出",标准坦克设计!$B$23:$U$23,0)))*(VLOOKUP($B236,INDIRECT($B$5&amp;"生成成长"),3))*(VLOOKUP($B$5,标准坦克设计!$B$14:$K$20,9)/30))</f>
        <v>2.0504877479015735</v>
      </c>
      <c r="AC236" s="173">
        <f ca="1">(VLOOKUP(AC$72,INDIRECT($C$5&amp;"生成成长"),2))/((VLOOKUP($B236,INDIRECT($B$5&amp;"生成成长"),4))/(VLOOKUP(AC$72,INDIRECT($C$5&amp;"生成成长"),5))*(VLOOKUP($B$5,标准坦克设计!$B$24:$U$30,MATCH("对"&amp;LEFT($C$5,2)&amp;"输出",标准坦克设计!$B$23:$U$23,0)))*(VLOOKUP($B236,INDIRECT($B$5&amp;"生成成长"),3))*(VLOOKUP($B$5,标准坦克设计!$B$14:$K$20,9)/30))</f>
        <v>2.2385113182615477</v>
      </c>
      <c r="AD236" s="173">
        <f ca="1">(VLOOKUP(AD$72,INDIRECT($C$5&amp;"生成成长"),2))/((VLOOKUP($B236,INDIRECT($B$5&amp;"生成成长"),4))/(VLOOKUP(AD$72,INDIRECT($C$5&amp;"生成成长"),5))*(VLOOKUP($B$5,标准坦克设计!$B$24:$U$30,MATCH("对"&amp;LEFT($C$5,2)&amp;"输出",标准坦克设计!$B$23:$U$23,0)))*(VLOOKUP($B236,INDIRECT($B$5&amp;"生成成长"),3))*(VLOOKUP($B$5,标准坦克设计!$B$14:$K$20,9)/30))</f>
        <v>2.4347815364443286</v>
      </c>
      <c r="AE236" s="173">
        <f ca="1">(VLOOKUP(AE$72,INDIRECT($C$5&amp;"生成成长"),2))/((VLOOKUP($B236,INDIRECT($B$5&amp;"生成成长"),4))/(VLOOKUP(AE$72,INDIRECT($C$5&amp;"生成成长"),5))*(VLOOKUP($B$5,标准坦克设计!$B$24:$U$30,MATCH("对"&amp;LEFT($C$5,2)&amp;"输出",标准坦克设计!$B$23:$U$23,0)))*(VLOOKUP($B236,INDIRECT($B$5&amp;"生成成长"),3))*(VLOOKUP($B$5,标准坦克设计!$B$14:$K$20,9)/30))</f>
        <v>2.6392984024499153</v>
      </c>
      <c r="AF236" s="173">
        <f ca="1">(VLOOKUP(AF$72,INDIRECT($C$5&amp;"生成成长"),2))/((VLOOKUP($B236,INDIRECT($B$5&amp;"生成成长"),4))/(VLOOKUP(AF$72,INDIRECT($C$5&amp;"生成成长"),5))*(VLOOKUP($B$5,标准坦克设计!$B$24:$U$30,MATCH("对"&amp;LEFT($C$5,2)&amp;"输出",标准坦克设计!$B$23:$U$23,0)))*(VLOOKUP($B236,INDIRECT($B$5&amp;"生成成长"),3))*(VLOOKUP($B$5,标准坦克设计!$B$14:$K$20,9)/30))</f>
        <v>2.8520619162783074</v>
      </c>
      <c r="AG236" s="173">
        <f ca="1">(VLOOKUP(AG$72,INDIRECT($C$5&amp;"生成成长"),2))/((VLOOKUP($B236,INDIRECT($B$5&amp;"生成成长"),4))/(VLOOKUP(AG$72,INDIRECT($C$5&amp;"生成成长"),5))*(VLOOKUP($B$5,标准坦克设计!$B$24:$U$30,MATCH("对"&amp;LEFT($C$5,2)&amp;"输出",标准坦克设计!$B$23:$U$23,0)))*(VLOOKUP($B236,INDIRECT($B$5&amp;"生成成长"),3))*(VLOOKUP($B$5,标准坦克设计!$B$14:$K$20,9)/30))</f>
        <v>3.0730720779295049</v>
      </c>
      <c r="AH236" s="173">
        <f ca="1">(VLOOKUP(AH$72,INDIRECT($C$5&amp;"生成成长"),2))/((VLOOKUP($B236,INDIRECT($B$5&amp;"生成成长"),4))/(VLOOKUP(AH$72,INDIRECT($C$5&amp;"生成成长"),5))*(VLOOKUP($B$5,标准坦克设计!$B$24:$U$30,MATCH("对"&amp;LEFT($C$5,2)&amp;"输出",标准坦克设计!$B$23:$U$23,0)))*(VLOOKUP($B236,INDIRECT($B$5&amp;"生成成长"),3))*(VLOOKUP($B$5,标准坦克设计!$B$14:$K$20,9)/30))</f>
        <v>3.3023288874035091</v>
      </c>
      <c r="AI236" s="173">
        <f ca="1">(VLOOKUP(AI$72,INDIRECT($C$5&amp;"生成成长"),2))/((VLOOKUP($B236,INDIRECT($B$5&amp;"生成成长"),4))/(VLOOKUP(AI$72,INDIRECT($C$5&amp;"生成成长"),5))*(VLOOKUP($B$5,标准坦克设计!$B$24:$U$30,MATCH("对"&amp;LEFT($C$5,2)&amp;"输出",标准坦克设计!$B$23:$U$23,0)))*(VLOOKUP($B236,INDIRECT($B$5&amp;"生成成长"),3))*(VLOOKUP($B$5,标准坦克设计!$B$14:$K$20,9)/30))</f>
        <v>2.3356155963750873</v>
      </c>
      <c r="AJ236" s="173">
        <f ca="1">(VLOOKUP(AJ$72,INDIRECT($C$5&amp;"生成成长"),2))/((VLOOKUP($B236,INDIRECT($B$5&amp;"生成成长"),4))/(VLOOKUP(AJ$72,INDIRECT($C$5&amp;"生成成长"),5))*(VLOOKUP($B$5,标准坦克设计!$B$24:$U$30,MATCH("对"&amp;LEFT($C$5,2)&amp;"输出",标准坦克设计!$B$23:$U$23,0)))*(VLOOKUP($B236,INDIRECT($B$5&amp;"生成成长"),3))*(VLOOKUP($B$5,标准坦克设计!$B$14:$K$20,9)/30))</f>
        <v>2.5565020583089435</v>
      </c>
      <c r="AK236" s="173">
        <f ca="1">(VLOOKUP(AK$72,INDIRECT($C$5&amp;"生成成长"),2))/((VLOOKUP($B236,INDIRECT($B$5&amp;"生成成长"),4))/(VLOOKUP(AK$72,INDIRECT($C$5&amp;"生成成长"),5))*(VLOOKUP($B$5,标准坦克设计!$B$24:$U$30,MATCH("对"&amp;LEFT($C$5,2)&amp;"输出",标准坦克设计!$B$23:$U$23,0)))*(VLOOKUP($B236,INDIRECT($B$5&amp;"生成成长"),3))*(VLOOKUP($B$5,标准坦克设计!$B$14:$K$20,9)/30))</f>
        <v>2.7873669641083949</v>
      </c>
      <c r="AL236" s="173">
        <f ca="1">(VLOOKUP(AL$72,INDIRECT($C$5&amp;"生成成长"),2))/((VLOOKUP($B236,INDIRECT($B$5&amp;"生成成长"),4))/(VLOOKUP(AL$72,INDIRECT($C$5&amp;"生成成长"),5))*(VLOOKUP($B$5,标准坦克设计!$B$24:$U$30,MATCH("对"&amp;LEFT($C$5,2)&amp;"输出",标准坦克设计!$B$23:$U$23,0)))*(VLOOKUP($B236,INDIRECT($B$5&amp;"生成成长"),3))*(VLOOKUP($B$5,标准坦克设计!$B$14:$K$20,9)/30))</f>
        <v>3.0282103137734411</v>
      </c>
      <c r="AM236" s="173">
        <f ca="1">(VLOOKUP(AM$72,INDIRECT($C$5&amp;"生成成长"),2))/((VLOOKUP($B236,INDIRECT($B$5&amp;"生成成长"),4))/(VLOOKUP(AM$72,INDIRECT($C$5&amp;"生成成长"),5))*(VLOOKUP($B$5,标准坦克设计!$B$24:$U$30,MATCH("对"&amp;LEFT($C$5,2)&amp;"输出",标准坦克设计!$B$23:$U$23,0)))*(VLOOKUP($B236,INDIRECT($B$5&amp;"生成成长"),3))*(VLOOKUP($B$5,标准坦克设计!$B$14:$K$20,9)/30))</f>
        <v>3.2790321073040825</v>
      </c>
      <c r="AN236" s="173">
        <f ca="1">(VLOOKUP(AN$72,INDIRECT($C$5&amp;"生成成长"),2))/((VLOOKUP($B236,INDIRECT($B$5&amp;"生成成长"),4))/(VLOOKUP(AN$72,INDIRECT($C$5&amp;"生成成长"),5))*(VLOOKUP($B$5,标准坦克设计!$B$24:$U$30,MATCH("对"&amp;LEFT($C$5,2)&amp;"输出",标准坦克设计!$B$23:$U$23,0)))*(VLOOKUP($B236,INDIRECT($B$5&amp;"生成成长"),3))*(VLOOKUP($B$5,标准坦克设计!$B$14:$K$20,9)/30))</f>
        <v>3.5398323447003186</v>
      </c>
      <c r="AO236" s="173">
        <f ca="1">(VLOOKUP(AO$72,INDIRECT($C$5&amp;"生成成长"),2))/((VLOOKUP($B236,INDIRECT($B$5&amp;"生成成长"),4))/(VLOOKUP(AO$72,INDIRECT($C$5&amp;"生成成长"),5))*(VLOOKUP($B$5,标准坦克设计!$B$24:$U$30,MATCH("对"&amp;LEFT($C$5,2)&amp;"输出",标准坦克设计!$B$23:$U$23,0)))*(VLOOKUP($B236,INDIRECT($B$5&amp;"生成成长"),3))*(VLOOKUP($B$5,标准坦克设计!$B$14:$K$20,9)/30))</f>
        <v>3.8106110259621513</v>
      </c>
      <c r="AP236" s="173">
        <f ca="1">(VLOOKUP(AP$72,INDIRECT($C$5&amp;"生成成长"),2))/((VLOOKUP($B236,INDIRECT($B$5&amp;"生成成长"),4))/(VLOOKUP(AP$72,INDIRECT($C$5&amp;"生成成长"),5))*(VLOOKUP($B$5,标准坦克设计!$B$24:$U$30,MATCH("对"&amp;LEFT($C$5,2)&amp;"输出",标准坦克设计!$B$23:$U$23,0)))*(VLOOKUP($B236,INDIRECT($B$5&amp;"生成成长"),3))*(VLOOKUP($B$5,标准坦克设计!$B$14:$K$20,9)/30))</f>
        <v>4.0913681510895783</v>
      </c>
      <c r="AQ236" s="173">
        <f ca="1">(VLOOKUP(AQ$72,INDIRECT($C$5&amp;"生成成长"),2))/((VLOOKUP($B236,INDIRECT($B$5&amp;"生成成长"),4))/(VLOOKUP(AQ$72,INDIRECT($C$5&amp;"生成成长"),5))*(VLOOKUP($B$5,标准坦克设计!$B$24:$U$30,MATCH("对"&amp;LEFT($C$5,2)&amp;"输出",标准坦克设计!$B$23:$U$23,0)))*(VLOOKUP($B236,INDIRECT($B$5&amp;"生成成长"),3))*(VLOOKUP($B$5,标准坦克设计!$B$14:$K$20,9)/30))</f>
        <v>4.3821037200826005</v>
      </c>
      <c r="AR236" s="173">
        <f ca="1">(VLOOKUP(AR$72,INDIRECT($C$5&amp;"生成成长"),2))/((VLOOKUP($B236,INDIRECT($B$5&amp;"生成成长"),4))/(VLOOKUP(AR$72,INDIRECT($C$5&amp;"生成成长"),5))*(VLOOKUP($B$5,标准坦克设计!$B$24:$U$30,MATCH("对"&amp;LEFT($C$5,2)&amp;"输出",标准坦克设计!$B$23:$U$23,0)))*(VLOOKUP($B236,INDIRECT($B$5&amp;"生成成长"),3))*(VLOOKUP($B$5,标准坦克设计!$B$14:$K$20,9)/30))</f>
        <v>4.6828177329412171</v>
      </c>
      <c r="AS236" s="173">
        <f ca="1">(VLOOKUP(AS$72,INDIRECT($C$5&amp;"生成成长"),2))/((VLOOKUP($B236,INDIRECT($B$5&amp;"生成成长"),4))/(VLOOKUP(AS$72,INDIRECT($C$5&amp;"生成成长"),5))*(VLOOKUP($B$5,标准坦克设计!$B$24:$U$30,MATCH("对"&amp;LEFT($C$5,2)&amp;"输出",标准坦克设计!$B$23:$U$23,0)))*(VLOOKUP($B236,INDIRECT($B$5&amp;"生成成长"),3))*(VLOOKUP($B$5,标准坦克设计!$B$14:$K$20,9)/30))</f>
        <v>4.9935101896654306</v>
      </c>
      <c r="AT236" s="173">
        <f ca="1">(VLOOKUP(AT$72,INDIRECT($C$5&amp;"生成成长"),2))/((VLOOKUP($B236,INDIRECT($B$5&amp;"生成成长"),4))/(VLOOKUP(AT$72,INDIRECT($C$5&amp;"生成成长"),5))*(VLOOKUP($B$5,标准坦克设计!$B$24:$U$30,MATCH("对"&amp;LEFT($C$5,2)&amp;"输出",标准坦克设计!$B$23:$U$23,0)))*(VLOOKUP($B236,INDIRECT($B$5&amp;"生成成长"),3))*(VLOOKUP($B$5,标准坦克设计!$B$14:$K$20,9)/30))</f>
        <v>5.3141810902552375</v>
      </c>
      <c r="AU236" s="173">
        <f ca="1">(VLOOKUP(AU$72,INDIRECT($C$5&amp;"生成成长"),2))/((VLOOKUP($B236,INDIRECT($B$5&amp;"生成成长"),4))/(VLOOKUP(AU$72,INDIRECT($C$5&amp;"生成成长"),5))*(VLOOKUP($B$5,标准坦克设计!$B$24:$U$30,MATCH("对"&amp;LEFT($C$5,2)&amp;"输出",标准坦克设计!$B$23:$U$23,0)))*(VLOOKUP($B236,INDIRECT($B$5&amp;"生成成长"),3))*(VLOOKUP($B$5,标准坦克设计!$B$14:$K$20,9)/30))</f>
        <v>5.6448304347106397</v>
      </c>
      <c r="AV236" s="173">
        <f ca="1">(VLOOKUP(AV$72,INDIRECT($C$5&amp;"生成成长"),2))/((VLOOKUP($B236,INDIRECT($B$5&amp;"生成成长"),4))/(VLOOKUP(AV$72,INDIRECT($C$5&amp;"生成成长"),5))*(VLOOKUP($B$5,标准坦克设计!$B$24:$U$30,MATCH("对"&amp;LEFT($C$5,2)&amp;"输出",标准坦克设计!$B$23:$U$23,0)))*(VLOOKUP($B236,INDIRECT($B$5&amp;"生成成长"),3))*(VLOOKUP($B$5,标准坦克设计!$B$14:$K$20,9)/30))</f>
        <v>0.57413162142374685</v>
      </c>
      <c r="AW236" s="173">
        <f ca="1">(VLOOKUP(AW$72,INDIRECT($C$5&amp;"生成成长"),2))/((VLOOKUP($B236,INDIRECT($B$5&amp;"生成成长"),4))/(VLOOKUP(AW$72,INDIRECT($C$5&amp;"生成成长"),5))*(VLOOKUP($B$5,标准坦克设计!$B$24:$U$30,MATCH("对"&amp;LEFT($C$5,2)&amp;"输出",标准坦克设计!$B$23:$U$23,0)))*(VLOOKUP($B236,INDIRECT($B$5&amp;"生成成长"),3))*(VLOOKUP($B$5,标准坦克设计!$B$14:$K$20,9)/30))</f>
        <v>0.65461890417433244</v>
      </c>
      <c r="AX236" s="173">
        <f ca="1">(VLOOKUP(AX$72,INDIRECT($C$5&amp;"生成成长"),2))/((VLOOKUP($B236,INDIRECT($B$5&amp;"生成成长"),4))/(VLOOKUP(AX$72,INDIRECT($C$5&amp;"生成成长"),5))*(VLOOKUP($B$5,标准坦克设计!$B$24:$U$30,MATCH("对"&amp;LEFT($C$5,2)&amp;"输出",标准坦克设计!$B$23:$U$23,0)))*(VLOOKUP($B236,INDIRECT($B$5&amp;"生成成长"),3))*(VLOOKUP($B$5,标准坦克设计!$B$14:$K$20,9)/30))</f>
        <v>0.74038404153151394</v>
      </c>
      <c r="AY236" s="173">
        <f ca="1">(VLOOKUP(AY$72,INDIRECT($C$5&amp;"生成成长"),2))/((VLOOKUP($B236,INDIRECT($B$5&amp;"生成成长"),4))/(VLOOKUP(AY$72,INDIRECT($C$5&amp;"生成成长"),5))*(VLOOKUP($B$5,标准坦克设计!$B$24:$U$30,MATCH("对"&amp;LEFT($C$5,2)&amp;"输出",标准坦克设计!$B$23:$U$23,0)))*(VLOOKUP($B236,INDIRECT($B$5&amp;"生成成长"),3))*(VLOOKUP($B$5,标准坦克设计!$B$14:$K$20,9)/30))</f>
        <v>0.83142703349529101</v>
      </c>
      <c r="AZ236" s="173">
        <f ca="1">(VLOOKUP(AZ$72,INDIRECT($C$5&amp;"生成成长"),2))/((VLOOKUP($B236,INDIRECT($B$5&amp;"生成成长"),4))/(VLOOKUP(AZ$72,INDIRECT($C$5&amp;"生成成长"),5))*(VLOOKUP($B$5,标准坦克设计!$B$24:$U$30,MATCH("对"&amp;LEFT($C$5,2)&amp;"输出",标准坦克设计!$B$23:$U$23,0)))*(VLOOKUP($B236,INDIRECT($B$5&amp;"生成成长"),3))*(VLOOKUP($B$5,标准坦克设计!$B$14:$K$20,9)/30))</f>
        <v>0.92774788006566411</v>
      </c>
      <c r="BA236" s="173">
        <f ca="1">(VLOOKUP(BA$72,INDIRECT($C$5&amp;"生成成长"),2))/((VLOOKUP($B236,INDIRECT($B$5&amp;"生成成长"),4))/(VLOOKUP(BA$72,INDIRECT($C$5&amp;"生成成长"),5))*(VLOOKUP($B$5,标准坦克设计!$B$24:$U$30,MATCH("对"&amp;LEFT($C$5,2)&amp;"输出",标准坦克设计!$B$23:$U$23,0)))*(VLOOKUP($B236,INDIRECT($B$5&amp;"生成成长"),3))*(VLOOKUP($B$5,标准坦克设计!$B$14:$K$20,9)/30))</f>
        <v>1.0293465812426328</v>
      </c>
      <c r="BB236" s="173">
        <f ca="1">(VLOOKUP(BB$72,INDIRECT($C$5&amp;"生成成长"),2))/((VLOOKUP($B236,INDIRECT($B$5&amp;"生成成长"),4))/(VLOOKUP(BB$72,INDIRECT($C$5&amp;"生成成长"),5))*(VLOOKUP($B$5,标准坦克设计!$B$24:$U$30,MATCH("对"&amp;LEFT($C$5,2)&amp;"输出",标准坦克设计!$B$23:$U$23,0)))*(VLOOKUP($B236,INDIRECT($B$5&amp;"生成成长"),3))*(VLOOKUP($B$5,标准坦克设计!$B$14:$K$20,9)/30))</f>
        <v>1.136223137026197</v>
      </c>
      <c r="BC236" s="173">
        <f ca="1">(VLOOKUP(BC$72,INDIRECT($C$5&amp;"生成成长"),2))/((VLOOKUP($B236,INDIRECT($B$5&amp;"生成成长"),4))/(VLOOKUP(BC$72,INDIRECT($C$5&amp;"生成成长"),5))*(VLOOKUP($B$5,标准坦克设计!$B$24:$U$30,MATCH("对"&amp;LEFT($C$5,2)&amp;"输出",标准坦克设计!$B$23:$U$23,0)))*(VLOOKUP($B236,INDIRECT($B$5&amp;"生成成长"),3))*(VLOOKUP($B$5,标准坦克设计!$B$14:$K$20,9)/30))</f>
        <v>1.2483775474163576</v>
      </c>
      <c r="BD236" s="173">
        <f ca="1">(VLOOKUP(BD$72,INDIRECT($C$5&amp;"生成成长"),2))/((VLOOKUP($B236,INDIRECT($B$5&amp;"生成成长"),4))/(VLOOKUP(BD$72,INDIRECT($C$5&amp;"生成成长"),5))*(VLOOKUP($B$5,标准坦克设计!$B$24:$U$30,MATCH("对"&amp;LEFT($C$5,2)&amp;"输出",标准坦克设计!$B$23:$U$23,0)))*(VLOOKUP($B236,INDIRECT($B$5&amp;"生成成长"),3))*(VLOOKUP($B$5,标准坦克设计!$B$14:$K$20,9)/30))</f>
        <v>1.3808599446897343</v>
      </c>
      <c r="BE236" s="173">
        <f ca="1">(VLOOKUP(BE$72,INDIRECT($C$5&amp;"生成成长"),2))/((VLOOKUP($B236,INDIRECT($B$5&amp;"生成成长"),4))/(VLOOKUP(BE$72,INDIRECT($C$5&amp;"生成成长"),5))*(VLOOKUP($B$5,标准坦克设计!$B$24:$U$30,MATCH("对"&amp;LEFT($C$5,2)&amp;"输出",标准坦克设计!$B$23:$U$23,0)))*(VLOOKUP($B236,INDIRECT($B$5&amp;"生成成长"),3))*(VLOOKUP($B$5,标准坦克设计!$B$14:$K$20,9)/30))</f>
        <v>1.5200221266995837</v>
      </c>
      <c r="BF236" s="173">
        <f ca="1">(VLOOKUP(BF$72,INDIRECT($C$5&amp;"生成成长"),2))/((VLOOKUP($B236,INDIRECT($B$5&amp;"生成成长"),4))/(VLOOKUP(BF$72,INDIRECT($C$5&amp;"生成成长"),5))*(VLOOKUP($B$5,标准坦克设计!$B$24:$U$30,MATCH("对"&amp;LEFT($C$5,2)&amp;"输出",标准坦克设计!$B$23:$U$23,0)))*(VLOOKUP($B236,INDIRECT($B$5&amp;"生成成长"),3))*(VLOOKUP($B$5,标准坦克设计!$B$14:$K$20,9)/30))</f>
        <v>1.6658640934459059</v>
      </c>
      <c r="BG236" s="173">
        <f ca="1">(VLOOKUP(BG$72,INDIRECT($C$5&amp;"生成成长"),2))/((VLOOKUP($B236,INDIRECT($B$5&amp;"生成成长"),4))/(VLOOKUP(BG$72,INDIRECT($C$5&amp;"生成成长"),5))*(VLOOKUP($B$5,标准坦克设计!$B$24:$U$30,MATCH("对"&amp;LEFT($C$5,2)&amp;"输出",标准坦克设计!$B$23:$U$23,0)))*(VLOOKUP($B236,INDIRECT($B$5&amp;"生成成长"),3))*(VLOOKUP($B$5,标准坦克设计!$B$14:$K$20,9)/30))</f>
        <v>1.8183858449287011</v>
      </c>
      <c r="BH236" s="173">
        <f ca="1">(VLOOKUP(BH$72,INDIRECT($C$5&amp;"生成成长"),2))/((VLOOKUP($B236,INDIRECT($B$5&amp;"生成成长"),4))/(VLOOKUP(BH$72,INDIRECT($C$5&amp;"生成成长"),5))*(VLOOKUP($B$5,标准坦克设计!$B$24:$U$30,MATCH("对"&amp;LEFT($C$5,2)&amp;"输出",标准坦克设计!$B$23:$U$23,0)))*(VLOOKUP($B236,INDIRECT($B$5&amp;"生成成长"),3))*(VLOOKUP($B$5,标准坦克设计!$B$14:$K$20,9)/30))</f>
        <v>0.8789277249546531</v>
      </c>
      <c r="BI236" s="173">
        <f ca="1">(VLOOKUP(BI$72,INDIRECT($C$5&amp;"生成成长"),2))/((VLOOKUP($B236,INDIRECT($B$5&amp;"生成成长"),4))/(VLOOKUP(BI$72,INDIRECT($C$5&amp;"生成成长"),5))*(VLOOKUP($B$5,标准坦克设计!$B$24:$U$30,MATCH("对"&amp;LEFT($C$5,2)&amp;"输出",标准坦克设计!$B$23:$U$23,0)))*(VLOOKUP($B236,INDIRECT($B$5&amp;"生成成长"),3))*(VLOOKUP($B$5,标准坦克设计!$B$14:$K$20,9)/30))</f>
        <v>0.99062856971455882</v>
      </c>
      <c r="BJ236" s="173">
        <f ca="1">(VLOOKUP(BJ$72,INDIRECT($C$5&amp;"生成成长"),2))/((VLOOKUP($B236,INDIRECT($B$5&amp;"生成成长"),4))/(VLOOKUP(BJ$72,INDIRECT($C$5&amp;"生成成长"),5))*(VLOOKUP($B$5,标准坦克设计!$B$24:$U$30,MATCH("对"&amp;LEFT($C$5,2)&amp;"输出",标准坦克设计!$B$23:$U$23,0)))*(VLOOKUP($B236,INDIRECT($B$5&amp;"生成成长"),3))*(VLOOKUP($B$5,标准坦克设计!$B$14:$K$20,9)/30))</f>
        <v>1.1090091992109374</v>
      </c>
      <c r="BK236" s="173">
        <f ca="1">(VLOOKUP(BK$72,INDIRECT($C$5&amp;"生成成长"),2))/((VLOOKUP($B236,INDIRECT($B$5&amp;"生成成长"),4))/(VLOOKUP(BK$72,INDIRECT($C$5&amp;"生成成长"),5))*(VLOOKUP($B$5,标准坦克设计!$B$24:$U$30,MATCH("对"&amp;LEFT($C$5,2)&amp;"输出",标准坦克设计!$B$23:$U$23,0)))*(VLOOKUP($B236,INDIRECT($B$5&amp;"生成成长"),3))*(VLOOKUP($B$5,标准坦克设计!$B$14:$K$20,9)/30))</f>
        <v>1.2340696134437894</v>
      </c>
      <c r="BL236" s="173">
        <f ca="1">(VLOOKUP(BL$72,INDIRECT($C$5&amp;"生成成长"),2))/((VLOOKUP($B236,INDIRECT($B$5&amp;"生成成长"),4))/(VLOOKUP(BL$72,INDIRECT($C$5&amp;"生成成长"),5))*(VLOOKUP($B$5,标准坦克设计!$B$24:$U$30,MATCH("对"&amp;LEFT($C$5,2)&amp;"输出",标准坦克设计!$B$23:$U$23,0)))*(VLOOKUP($B236,INDIRECT($B$5&amp;"生成成长"),3))*(VLOOKUP($B$5,标准坦克设计!$B$14:$K$20,9)/30))</f>
        <v>1.3658098124131133</v>
      </c>
      <c r="BM236" s="173">
        <f ca="1">(VLOOKUP(BM$72,INDIRECT($C$5&amp;"生成成长"),2))/((VLOOKUP($B236,INDIRECT($B$5&amp;"生成成长"),4))/(VLOOKUP(BM$72,INDIRECT($C$5&amp;"生成成长"),5))*(VLOOKUP($B$5,标准坦克设计!$B$24:$U$30,MATCH("对"&amp;LEFT($C$5,2)&amp;"输出",标准坦克设计!$B$23:$U$23,0)))*(VLOOKUP($B236,INDIRECT($B$5&amp;"生成成长"),3))*(VLOOKUP($B$5,标准坦克设计!$B$14:$K$20,9)/30))</f>
        <v>1.5042297961189104</v>
      </c>
      <c r="BN236" s="173">
        <f ca="1">(VLOOKUP(BN$72,INDIRECT($C$5&amp;"生成成长"),2))/((VLOOKUP($B236,INDIRECT($B$5&amp;"生成成长"),4))/(VLOOKUP(BN$72,INDIRECT($C$5&amp;"生成成长"),5))*(VLOOKUP($B$5,标准坦克设计!$B$24:$U$30,MATCH("对"&amp;LEFT($C$5,2)&amp;"输出",标准坦克设计!$B$23:$U$23,0)))*(VLOOKUP($B236,INDIRECT($B$5&amp;"生成成长"),3))*(VLOOKUP($B$5,标准坦克设计!$B$14:$K$20,9)/30))</f>
        <v>1.6493295645611801</v>
      </c>
      <c r="BO236" s="173">
        <f ca="1">(VLOOKUP(BO$72,INDIRECT($C$5&amp;"生成成长"),2))/((VLOOKUP($B236,INDIRECT($B$5&amp;"生成成长"),4))/(VLOOKUP(BO$72,INDIRECT($C$5&amp;"生成成长"),5))*(VLOOKUP($B$5,标准坦克设计!$B$24:$U$30,MATCH("对"&amp;LEFT($C$5,2)&amp;"输出",标准坦克设计!$B$23:$U$23,0)))*(VLOOKUP($B236,INDIRECT($B$5&amp;"生成成长"),3))*(VLOOKUP($B$5,标准坦克设计!$B$14:$K$20,9)/30))</f>
        <v>1.8011091177399232</v>
      </c>
      <c r="BP236" s="173">
        <f ca="1">(VLOOKUP(BP$72,INDIRECT($C$5&amp;"生成成长"),2))/((VLOOKUP($B236,INDIRECT($B$5&amp;"生成成长"),4))/(VLOOKUP(BP$72,INDIRECT($C$5&amp;"生成成长"),5))*(VLOOKUP($B$5,标准坦克设计!$B$24:$U$30,MATCH("对"&amp;LEFT($C$5,2)&amp;"输出",标准坦克设计!$B$23:$U$23,0)))*(VLOOKUP($B236,INDIRECT($B$5&amp;"生成成长"),3))*(VLOOKUP($B$5,标准坦克设计!$B$14:$K$20,9)/30))</f>
        <v>1.959568455655138</v>
      </c>
      <c r="BQ236" s="173">
        <f ca="1">(VLOOKUP(BQ$72,INDIRECT($C$5&amp;"生成成长"),2))/((VLOOKUP($B236,INDIRECT($B$5&amp;"生成成长"),4))/(VLOOKUP(BQ$72,INDIRECT($C$5&amp;"生成成长"),5))*(VLOOKUP($B$5,标准坦克设计!$B$24:$U$30,MATCH("对"&amp;LEFT($C$5,2)&amp;"输出",标准坦克设计!$B$23:$U$23,0)))*(VLOOKUP($B236,INDIRECT($B$5&amp;"生成成长"),3))*(VLOOKUP($B$5,标准坦克设计!$B$14:$K$20,9)/30))</f>
        <v>2.1247075783068268</v>
      </c>
      <c r="BR236" s="173">
        <f ca="1">(VLOOKUP(BR$72,INDIRECT($C$5&amp;"生成成长"),2))/((VLOOKUP($B236,INDIRECT($B$5&amp;"生成成长"),4))/(VLOOKUP(BR$72,INDIRECT($C$5&amp;"生成成长"),5))*(VLOOKUP($B$5,标准坦克设计!$B$24:$U$30,MATCH("对"&amp;LEFT($C$5,2)&amp;"输出",标准坦克设计!$B$23:$U$23,0)))*(VLOOKUP($B236,INDIRECT($B$5&amp;"生成成长"),3))*(VLOOKUP($B$5,标准坦克设计!$B$14:$K$20,9)/30))</f>
        <v>2.3160298077959229</v>
      </c>
      <c r="BS236" s="173">
        <f ca="1">(VLOOKUP(BS$72,INDIRECT($C$5&amp;"生成成长"),2))/((VLOOKUP($B236,INDIRECT($B$5&amp;"生成成长"),4))/(VLOOKUP(BS$72,INDIRECT($C$5&amp;"生成成长"),5))*(VLOOKUP($B$5,标准坦克设计!$B$24:$U$30,MATCH("对"&amp;LEFT($C$5,2)&amp;"输出",标准坦克设计!$B$23:$U$23,0)))*(VLOOKUP($B236,INDIRECT($B$5&amp;"生成成长"),3))*(VLOOKUP($B$5,标准坦克设计!$B$14:$K$20,9)/30))</f>
        <v>2.5155986851078262</v>
      </c>
      <c r="BT236" s="173">
        <f ca="1">(VLOOKUP(BT$72,INDIRECT($C$5&amp;"生成成长"),2))/((VLOOKUP($B236,INDIRECT($B$5&amp;"生成成长"),4))/(VLOOKUP(BT$72,INDIRECT($C$5&amp;"生成成长"),5))*(VLOOKUP($B$5,标准坦克设计!$B$24:$U$30,MATCH("对"&amp;LEFT($C$5,2)&amp;"输出",标准坦克设计!$B$23:$U$23,0)))*(VLOOKUP($B236,INDIRECT($B$5&amp;"生成成长"),3))*(VLOOKUP($B$5,标准坦克设计!$B$14:$K$20,9)/30))</f>
        <v>2.7234142102425354</v>
      </c>
      <c r="BU236" s="173">
        <f ca="1">(VLOOKUP(BU$72,INDIRECT($C$5&amp;"生成成长"),2))/((VLOOKUP($B236,INDIRECT($B$5&amp;"生成成长"),4))/(VLOOKUP(BU$72,INDIRECT($C$5&amp;"生成成长"),5))*(VLOOKUP($B$5,标准坦克设计!$B$24:$U$30,MATCH("对"&amp;LEFT($C$5,2)&amp;"输出",标准坦克设计!$B$23:$U$23,0)))*(VLOOKUP($B236,INDIRECT($B$5&amp;"生成成长"),3))*(VLOOKUP($B$5,标准坦克设计!$B$14:$K$20,9)/30))</f>
        <v>2.9394763832000494</v>
      </c>
      <c r="BV236" s="173">
        <f ca="1">(VLOOKUP(BV$72,INDIRECT($C$5&amp;"生成成长"),2))/((VLOOKUP($B236,INDIRECT($B$5&amp;"生成成长"),4))/(VLOOKUP(BV$72,INDIRECT($C$5&amp;"生成成长"),5))*(VLOOKUP($B$5,标准坦克设计!$B$24:$U$30,MATCH("对"&amp;LEFT($C$5,2)&amp;"输出",标准坦克设计!$B$23:$U$23,0)))*(VLOOKUP($B236,INDIRECT($B$5&amp;"生成成长"),3))*(VLOOKUP($B$5,标准坦克设计!$B$14:$K$20,9)/30))</f>
        <v>3.1637852039803702</v>
      </c>
      <c r="BW236" s="173">
        <f ca="1">(VLOOKUP(BW$72,INDIRECT($C$5&amp;"生成成长"),2))/((VLOOKUP($B236,INDIRECT($B$5&amp;"生成成长"),4))/(VLOOKUP(BW$72,INDIRECT($C$5&amp;"生成成长"),5))*(VLOOKUP($B$5,标准坦克设计!$B$24:$U$30,MATCH("对"&amp;LEFT($C$5,2)&amp;"输出",标准坦克设计!$B$23:$U$23,0)))*(VLOOKUP($B236,INDIRECT($B$5&amp;"生成成长"),3))*(VLOOKUP($B$5,标准坦克设计!$B$14:$K$20,9)/30))</f>
        <v>1.4418851385784981</v>
      </c>
      <c r="BX236" s="173">
        <f ca="1">(VLOOKUP(BX$72,INDIRECT($C$5&amp;"生成成长"),2))/((VLOOKUP($B236,INDIRECT($B$5&amp;"生成成长"),4))/(VLOOKUP(BX$72,INDIRECT($C$5&amp;"生成成长"),5))*(VLOOKUP($B$5,标准坦克设计!$B$24:$U$30,MATCH("对"&amp;LEFT($C$5,2)&amp;"输出",标准坦克设计!$B$23:$U$23,0)))*(VLOOKUP($B236,INDIRECT($B$5&amp;"生成成长"),3))*(VLOOKUP($B$5,标准坦克设计!$B$14:$K$20,9)/30))</f>
        <v>1.6002207767763712</v>
      </c>
      <c r="BY236" s="173">
        <f ca="1">(VLOOKUP(BY$72,INDIRECT($C$5&amp;"生成成长"),2))/((VLOOKUP($B236,INDIRECT($B$5&amp;"生成成长"),4))/(VLOOKUP(BY$72,INDIRECT($C$5&amp;"生成成长"),5))*(VLOOKUP($B$5,标准坦克设计!$B$24:$U$30,MATCH("对"&amp;LEFT($C$5,2)&amp;"输出",标准坦克设计!$B$23:$U$23,0)))*(VLOOKUP($B236,INDIRECT($B$5&amp;"生成成长"),3))*(VLOOKUP($B$5,标准坦克设计!$B$14:$K$20,9)/30))</f>
        <v>1.7668030627970506</v>
      </c>
      <c r="BZ236" s="173">
        <f ca="1">(VLOOKUP(BZ$72,INDIRECT($C$5&amp;"生成成长"),2))/((VLOOKUP($B236,INDIRECT($B$5&amp;"生成成长"),4))/(VLOOKUP(BZ$72,INDIRECT($C$5&amp;"生成成长"),5))*(VLOOKUP($B$5,标准坦克设计!$B$24:$U$30,MATCH("对"&amp;LEFT($C$5,2)&amp;"输出",标准坦克设计!$B$23:$U$23,0)))*(VLOOKUP($B236,INDIRECT($B$5&amp;"生成成长"),3))*(VLOOKUP($B$5,标准坦克设计!$B$14:$K$20,9)/30))</f>
        <v>1.9416319966405358</v>
      </c>
      <c r="CA236" s="173">
        <f ca="1">(VLOOKUP(CA$72,INDIRECT($C$5&amp;"生成成长"),2))/((VLOOKUP($B236,INDIRECT($B$5&amp;"生成成长"),4))/(VLOOKUP(CA$72,INDIRECT($C$5&amp;"生成成长"),5))*(VLOOKUP($B$5,标准坦克设计!$B$24:$U$30,MATCH("对"&amp;LEFT($C$5,2)&amp;"输出",标准坦克设计!$B$23:$U$23,0)))*(VLOOKUP($B236,INDIRECT($B$5&amp;"生成成长"),3))*(VLOOKUP($B$5,标准坦克设计!$B$14:$K$20,9)/30))</f>
        <v>2.1247075783068268</v>
      </c>
      <c r="CB236" s="173">
        <f ca="1">(VLOOKUP(CB$72,INDIRECT($C$5&amp;"生成成长"),2))/((VLOOKUP($B236,INDIRECT($B$5&amp;"生成成长"),4))/(VLOOKUP(CB$72,INDIRECT($C$5&amp;"生成成长"),5))*(VLOOKUP($B$5,标准坦克设计!$B$24:$U$30,MATCH("对"&amp;LEFT($C$5,2)&amp;"输出",标准坦克设计!$B$23:$U$23,0)))*(VLOOKUP($B236,INDIRECT($B$5&amp;"生成成长"),3))*(VLOOKUP($B$5,标准坦克设计!$B$14:$K$20,9)/30))</f>
        <v>2.3160298077959229</v>
      </c>
      <c r="CC236" s="173">
        <f ca="1">(VLOOKUP(CC$72,INDIRECT($C$5&amp;"生成成长"),2))/((VLOOKUP($B236,INDIRECT($B$5&amp;"生成成长"),4))/(VLOOKUP(CC$72,INDIRECT($C$5&amp;"生成成长"),5))*(VLOOKUP($B$5,标准坦克设计!$B$24:$U$30,MATCH("对"&amp;LEFT($C$5,2)&amp;"输出",标准坦克设计!$B$23:$U$23,0)))*(VLOOKUP($B236,INDIRECT($B$5&amp;"生成成长"),3))*(VLOOKUP($B$5,标准坦克设计!$B$14:$K$20,9)/30))</f>
        <v>2.5155986851078262</v>
      </c>
      <c r="CD236" s="173">
        <f ca="1">(VLOOKUP(CD$72,INDIRECT($C$5&amp;"生成成长"),2))/((VLOOKUP($B236,INDIRECT($B$5&amp;"生成成长"),4))/(VLOOKUP(CD$72,INDIRECT($C$5&amp;"生成成长"),5))*(VLOOKUP($B$5,标准坦克设计!$B$24:$U$30,MATCH("对"&amp;LEFT($C$5,2)&amp;"输出",标准坦克设计!$B$23:$U$23,0)))*(VLOOKUP($B236,INDIRECT($B$5&amp;"生成成长"),3))*(VLOOKUP($B$5,标准坦克设计!$B$14:$K$20,9)/30))</f>
        <v>2.7234142102425354</v>
      </c>
      <c r="CE236" s="173">
        <f ca="1">(VLOOKUP(CE$72,INDIRECT($C$5&amp;"生成成长"),2))/((VLOOKUP($B236,INDIRECT($B$5&amp;"生成成长"),4))/(VLOOKUP(CE$72,INDIRECT($C$5&amp;"生成成长"),5))*(VLOOKUP($B$5,标准坦克设计!$B$24:$U$30,MATCH("对"&amp;LEFT($C$5,2)&amp;"输出",标准坦克设计!$B$23:$U$23,0)))*(VLOOKUP($B236,INDIRECT($B$5&amp;"生成成长"),3))*(VLOOKUP($B$5,标准坦克设计!$B$14:$K$20,9)/30))</f>
        <v>2.9394763832000494</v>
      </c>
      <c r="CF236" s="173">
        <f ca="1">(VLOOKUP(CF$72,INDIRECT($C$5&amp;"生成成长"),2))/((VLOOKUP($B236,INDIRECT($B$5&amp;"生成成长"),4))/(VLOOKUP(CF$72,INDIRECT($C$5&amp;"生成成长"),5))*(VLOOKUP($B$5,标准坦克设计!$B$24:$U$30,MATCH("对"&amp;LEFT($C$5,2)&amp;"输出",标准坦克设计!$B$23:$U$23,0)))*(VLOOKUP($B236,INDIRECT($B$5&amp;"生成成长"),3))*(VLOOKUP($B$5,标准坦克设计!$B$14:$K$20,9)/30))</f>
        <v>3.1637852039803702</v>
      </c>
      <c r="CG236" s="173">
        <f ca="1">(VLOOKUP(CG$72,INDIRECT($C$5&amp;"生成成长"),2))/((VLOOKUP($B236,INDIRECT($B$5&amp;"生成成长"),4))/(VLOOKUP(CG$72,INDIRECT($C$5&amp;"生成成长"),5))*(VLOOKUP($B$5,标准坦克设计!$B$24:$U$30,MATCH("对"&amp;LEFT($C$5,2)&amp;"输出",标准坦克设计!$B$23:$U$23,0)))*(VLOOKUP($B236,INDIRECT($B$5&amp;"生成成长"),3))*(VLOOKUP($B$5,标准坦克设计!$B$14:$K$20,9)/30))</f>
        <v>3.3963406725834973</v>
      </c>
      <c r="CH236" s="173">
        <f ca="1">(VLOOKUP(CH$72,INDIRECT($C$5&amp;"生成成长"),2))/((VLOOKUP($B236,INDIRECT($B$5&amp;"生成成长"),4))/(VLOOKUP(CH$72,INDIRECT($C$5&amp;"生成成长"),5))*(VLOOKUP($B$5,标准坦克设计!$B$24:$U$30,MATCH("对"&amp;LEFT($C$5,2)&amp;"输出",标准坦克设计!$B$23:$U$23,0)))*(VLOOKUP($B236,INDIRECT($B$5&amp;"生成成长"),3))*(VLOOKUP($B$5,标准坦克设计!$B$14:$K$20,9)/30))</f>
        <v>3.6371427890094292</v>
      </c>
      <c r="CI236" s="173">
        <f ca="1">(VLOOKUP(CI$72,INDIRECT($C$5&amp;"生成成长"),2))/((VLOOKUP($B236,INDIRECT($B$5&amp;"生成成长"),4))/(VLOOKUP(CI$72,INDIRECT($C$5&amp;"生成成长"),5))*(VLOOKUP($B$5,标准坦克设计!$B$24:$U$30,MATCH("对"&amp;LEFT($C$5,2)&amp;"输出",标准坦克设计!$B$23:$U$23,0)))*(VLOOKUP($B236,INDIRECT($B$5&amp;"生成成长"),3))*(VLOOKUP($B$5,标准坦克设计!$B$14:$K$20,9)/30))</f>
        <v>3.9115499953132962</v>
      </c>
      <c r="CJ236" s="173">
        <f ca="1">(VLOOKUP(CJ$72,INDIRECT($C$5&amp;"生成成长"),2))/((VLOOKUP($B236,INDIRECT($B$5&amp;"生成成长"),4))/(VLOOKUP(CJ$72,INDIRECT($C$5&amp;"生成成长"),5))*(VLOOKUP($B$5,标准坦克设计!$B$24:$U$30,MATCH("对"&amp;LEFT($C$5,2)&amp;"输出",标准坦克设计!$B$23:$U$23,0)))*(VLOOKUP($B236,INDIRECT($B$5&amp;"生成成长"),3))*(VLOOKUP($B$5,标准坦克设计!$B$14:$K$20,9)/30))</f>
        <v>4.1959356454827574</v>
      </c>
      <c r="CK236" s="173">
        <f ca="1">(VLOOKUP(CK$72,INDIRECT($C$5&amp;"生成成长"),2))/((VLOOKUP($B236,INDIRECT($B$5&amp;"生成成长"),4))/(VLOOKUP(CK$72,INDIRECT($C$5&amp;"生成成长"),5))*(VLOOKUP($B$5,标准坦克设计!$B$24:$U$30,MATCH("对"&amp;LEFT($C$5,2)&amp;"输出",标准坦克设计!$B$23:$U$23,0)))*(VLOOKUP($B236,INDIRECT($B$5&amp;"生成成长"),3))*(VLOOKUP($B$5,标准坦克设计!$B$14:$K$20,9)/30))</f>
        <v>4.4902997395178144</v>
      </c>
      <c r="CL236" s="173">
        <f ca="1">(VLOOKUP(CL$72,INDIRECT($C$5&amp;"生成成长"),2))/((VLOOKUP($B236,INDIRECT($B$5&amp;"生成成长"),4))/(VLOOKUP(CL$72,INDIRECT($C$5&amp;"生成成长"),5))*(VLOOKUP($B$5,标准坦克设计!$B$24:$U$30,MATCH("对"&amp;LEFT($C$5,2)&amp;"输出",标准坦克设计!$B$23:$U$23,0)))*(VLOOKUP($B236,INDIRECT($B$5&amp;"生成成长"),3))*(VLOOKUP($B$5,标准坦克设计!$B$14:$K$20,9)/30))</f>
        <v>4.7946422774184638</v>
      </c>
      <c r="CM236" s="173">
        <f ca="1">(VLOOKUP(CM$72,INDIRECT($C$5&amp;"生成成长"),2))/((VLOOKUP($B236,INDIRECT($B$5&amp;"生成成长"),4))/(VLOOKUP(CM$72,INDIRECT($C$5&amp;"生成成长"),5))*(VLOOKUP($B$5,标准坦克设计!$B$24:$U$30,MATCH("对"&amp;LEFT($C$5,2)&amp;"输出",标准坦克设计!$B$23:$U$23,0)))*(VLOOKUP($B236,INDIRECT($B$5&amp;"生成成长"),3))*(VLOOKUP($B$5,标准坦克设计!$B$14:$K$20,9)/30))</f>
        <v>5.1089632591847129</v>
      </c>
      <c r="CN236" s="173">
        <f ca="1">(VLOOKUP(CN$72,INDIRECT($C$5&amp;"生成成长"),2))/((VLOOKUP($B236,INDIRECT($B$5&amp;"生成成长"),4))/(VLOOKUP(CN$72,INDIRECT($C$5&amp;"生成成长"),5))*(VLOOKUP($B$5,标准坦克设计!$B$24:$U$30,MATCH("对"&amp;LEFT($C$5,2)&amp;"输出",标准坦克设计!$B$23:$U$23,0)))*(VLOOKUP($B236,INDIRECT($B$5&amp;"生成成长"),3))*(VLOOKUP($B$5,标准坦克设计!$B$14:$K$20,9)/30))</f>
        <v>5.4332626848165537</v>
      </c>
      <c r="CO236" s="173">
        <f ca="1">(VLOOKUP(CO$72,INDIRECT($C$5&amp;"生成成长"),2))/((VLOOKUP($B236,INDIRECT($B$5&amp;"生成成长"),4))/(VLOOKUP(CO$72,INDIRECT($C$5&amp;"生成成长"),5))*(VLOOKUP($B$5,标准坦克设计!$B$24:$U$30,MATCH("对"&amp;LEFT($C$5,2)&amp;"输出",标准坦克设计!$B$23:$U$23,0)))*(VLOOKUP($B236,INDIRECT($B$5&amp;"生成成长"),3))*(VLOOKUP($B$5,标准坦克设计!$B$14:$K$20,9)/30))</f>
        <v>2.4347815364443286</v>
      </c>
      <c r="CP236" s="173">
        <f ca="1">(VLOOKUP(CP$72,INDIRECT($C$5&amp;"生成成长"),2))/((VLOOKUP($B236,INDIRECT($B$5&amp;"生成成长"),4))/(VLOOKUP(CP$72,INDIRECT($C$5&amp;"生成成长"),5))*(VLOOKUP($B$5,标准坦克设计!$B$24:$U$30,MATCH("对"&amp;LEFT($C$5,2)&amp;"输出",标准坦克设计!$B$23:$U$23,0)))*(VLOOKUP($B236,INDIRECT($B$5&amp;"生成成长"),3))*(VLOOKUP($B$5,标准坦克设计!$B$14:$K$20,9)/30))</f>
        <v>2.6602036546807279</v>
      </c>
      <c r="CQ236" s="173">
        <f ca="1">(VLOOKUP(CQ$72,INDIRECT($C$5&amp;"生成成长"),2))/((VLOOKUP($B236,INDIRECT($B$5&amp;"生成成长"),4))/(VLOOKUP(CQ$72,INDIRECT($C$5&amp;"生成成长"),5))*(VLOOKUP($B$5,标准坦克设计!$B$24:$U$30,MATCH("对"&amp;LEFT($C$5,2)&amp;"输出",标准坦克设计!$B$23:$U$23,0)))*(VLOOKUP($B236,INDIRECT($B$5&amp;"生成成长"),3))*(VLOOKUP($B$5,标准坦克设计!$B$14:$K$20,9)/30))</f>
        <v>2.8956042167827221</v>
      </c>
      <c r="CR236" s="173">
        <f ca="1">(VLOOKUP(CR$72,INDIRECT($C$5&amp;"生成成长"),2))/((VLOOKUP($B236,INDIRECT($B$5&amp;"生成成长"),4))/(VLOOKUP(CR$72,INDIRECT($C$5&amp;"生成成长"),5))*(VLOOKUP($B$5,标准坦克设计!$B$24:$U$30,MATCH("对"&amp;LEFT($C$5,2)&amp;"输出",标准坦克设计!$B$23:$U$23,0)))*(VLOOKUP($B236,INDIRECT($B$5&amp;"生成成长"),3))*(VLOOKUP($B$5,标准坦克设计!$B$14:$K$20,9)/30))</f>
        <v>3.1409832227503114</v>
      </c>
      <c r="CS236" s="173">
        <f ca="1">(VLOOKUP(CS$72,INDIRECT($C$5&amp;"生成成长"),2))/((VLOOKUP($B236,INDIRECT($B$5&amp;"生成成长"),4))/(VLOOKUP(CS$72,INDIRECT($C$5&amp;"生成成长"),5))*(VLOOKUP($B$5,标准坦克设计!$B$24:$U$30,MATCH("对"&amp;LEFT($C$5,2)&amp;"输出",标准坦克设计!$B$23:$U$23,0)))*(VLOOKUP($B236,INDIRECT($B$5&amp;"生成成长"),3))*(VLOOKUP($B$5,标准坦克设计!$B$14:$K$20,9)/30))</f>
        <v>3.3963406725834973</v>
      </c>
      <c r="CT236" s="173">
        <f ca="1">(VLOOKUP(CT$72,INDIRECT($C$5&amp;"生成成长"),2))/((VLOOKUP($B236,INDIRECT($B$5&amp;"生成成长"),4))/(VLOOKUP(CT$72,INDIRECT($C$5&amp;"生成成长"),5))*(VLOOKUP($B$5,标准坦克设计!$B$24:$U$30,MATCH("对"&amp;LEFT($C$5,2)&amp;"输出",标准坦克设计!$B$23:$U$23,0)))*(VLOOKUP($B236,INDIRECT($B$5&amp;"生成成长"),3))*(VLOOKUP($B$5,标准坦克设计!$B$14:$K$20,9)/30))</f>
        <v>3.6616765662822766</v>
      </c>
      <c r="CU236" s="173">
        <f ca="1">(VLOOKUP(CU$72,INDIRECT($C$5&amp;"生成成长"),2))/((VLOOKUP($B236,INDIRECT($B$5&amp;"生成成长"),4))/(VLOOKUP(CU$72,INDIRECT($C$5&amp;"生成成长"),5))*(VLOOKUP($B$5,标准坦克设计!$B$24:$U$30,MATCH("对"&amp;LEFT($C$5,2)&amp;"输出",标准坦克设计!$B$23:$U$23,0)))*(VLOOKUP($B236,INDIRECT($B$5&amp;"生成成长"),3))*(VLOOKUP($B$5,标准坦克设计!$B$14:$K$20,9)/30))</f>
        <v>3.9369909038466506</v>
      </c>
      <c r="CV236" s="173">
        <f ca="1">(VLOOKUP(CV$72,INDIRECT($C$5&amp;"生成成长"),2))/((VLOOKUP($B236,INDIRECT($B$5&amp;"生成成长"),4))/(VLOOKUP(CV$72,INDIRECT($C$5&amp;"生成成长"),5))*(VLOOKUP($B$5,标准坦克设计!$B$24:$U$30,MATCH("对"&amp;LEFT($C$5,2)&amp;"输出",标准坦克设计!$B$23:$U$23,0)))*(VLOOKUP($B236,INDIRECT($B$5&amp;"生成成长"),3))*(VLOOKUP($B$5,标准坦克设计!$B$14:$K$20,9)/30))</f>
        <v>4.2222836852766221</v>
      </c>
      <c r="CW236" s="173">
        <f ca="1">(VLOOKUP(CW$72,INDIRECT($C$5&amp;"生成成长"),2))/((VLOOKUP($B236,INDIRECT($B$5&amp;"生成成长"),4))/(VLOOKUP(CW$72,INDIRECT($C$5&amp;"生成成长"),5))*(VLOOKUP($B$5,标准坦克设计!$B$24:$U$30,MATCH("对"&amp;LEFT($C$5,2)&amp;"输出",标准坦克设计!$B$23:$U$23,0)))*(VLOOKUP($B236,INDIRECT($B$5&amp;"生成成长"),3))*(VLOOKUP($B$5,标准坦克设计!$B$14:$K$20,9)/30))</f>
        <v>4.5175549105721871</v>
      </c>
      <c r="CX236" s="173">
        <f ca="1">(VLOOKUP(CX$72,INDIRECT($C$5&amp;"生成成长"),2))/((VLOOKUP($B236,INDIRECT($B$5&amp;"生成成长"),4))/(VLOOKUP(CX$72,INDIRECT($C$5&amp;"生成成长"),5))*(VLOOKUP($B$5,标准坦克设计!$B$24:$U$30,MATCH("对"&amp;LEFT($C$5,2)&amp;"输出",标准坦克设计!$B$23:$U$23,0)))*(VLOOKUP($B236,INDIRECT($B$5&amp;"生成成长"),3))*(VLOOKUP($B$5,标准坦克设计!$B$14:$K$20,9)/30))</f>
        <v>4.8228045797333481</v>
      </c>
      <c r="CY236" s="173">
        <f ca="1">(VLOOKUP(CY$72,INDIRECT($C$5&amp;"生成成长"),2))/((VLOOKUP($B236,INDIRECT($B$5&amp;"生成成长"),4))/(VLOOKUP(CY$72,INDIRECT($C$5&amp;"生成成长"),5))*(VLOOKUP($B$5,标准坦克设计!$B$24:$U$30,MATCH("对"&amp;LEFT($C$5,2)&amp;"输出",标准坦克设计!$B$23:$U$23,0)))*(VLOOKUP($B236,INDIRECT($B$5&amp;"生成成长"),3))*(VLOOKUP($B$5,标准坦克设计!$B$14:$K$20,9)/30))</f>
        <v>5.1380326927601034</v>
      </c>
      <c r="CZ236" s="173">
        <f ca="1">(VLOOKUP(CZ$72,INDIRECT($C$5&amp;"生成成长"),2))/((VLOOKUP($B236,INDIRECT($B$5&amp;"生成成长"),4))/(VLOOKUP(CZ$72,INDIRECT($C$5&amp;"生成成长"),5))*(VLOOKUP($B$5,标准坦克设计!$B$24:$U$30,MATCH("对"&amp;LEFT($C$5,2)&amp;"输出",标准坦克设计!$B$23:$U$23,0)))*(VLOOKUP($B236,INDIRECT($B$5&amp;"生成成长"),3))*(VLOOKUP($B$5,标准坦克设计!$B$14:$K$20,9)/30))</f>
        <v>5.4632392496524531</v>
      </c>
      <c r="DA236" s="173">
        <f ca="1">(VLOOKUP(DA$72,INDIRECT($C$5&amp;"生成成长"),2))/((VLOOKUP($B236,INDIRECT($B$5&amp;"生成成长"),4))/(VLOOKUP(DA$72,INDIRECT($C$5&amp;"生成成长"),5))*(VLOOKUP($B$5,标准坦克设计!$B$24:$U$30,MATCH("对"&amp;LEFT($C$5,2)&amp;"输出",标准坦克设计!$B$23:$U$23,0)))*(VLOOKUP($B236,INDIRECT($B$5&amp;"生成成长"),3))*(VLOOKUP($B$5,标准坦克设计!$B$14:$K$20,9)/30))</f>
        <v>5.7984242504104015</v>
      </c>
      <c r="DB236" s="173">
        <f ca="1">(VLOOKUP(DB$72,INDIRECT($C$5&amp;"生成成长"),2))/((VLOOKUP($B236,INDIRECT($B$5&amp;"生成成长"),4))/(VLOOKUP(DB$72,INDIRECT($C$5&amp;"生成成长"),5))*(VLOOKUP($B$5,标准坦克设计!$B$24:$U$30,MATCH("对"&amp;LEFT($C$5,2)&amp;"输出",标准坦克设计!$B$23:$U$23,0)))*(VLOOKUP($B236,INDIRECT($B$5&amp;"生成成长"),3))*(VLOOKUP($B$5,标准坦克设计!$B$14:$K$20,9)/30))</f>
        <v>6.1435876950339399</v>
      </c>
      <c r="DC236" s="173">
        <f ca="1">(VLOOKUP(DC$72,INDIRECT($C$5&amp;"生成成长"),2))/((VLOOKUP($B236,INDIRECT($B$5&amp;"生成成长"),4))/(VLOOKUP(DC$72,INDIRECT($C$5&amp;"生成成长"),5))*(VLOOKUP($B$5,标准坦克设计!$B$24:$U$30,MATCH("对"&amp;LEFT($C$5,2)&amp;"输出",标准坦克设计!$B$23:$U$23,0)))*(VLOOKUP($B236,INDIRECT($B$5&amp;"生成成长"),3))*(VLOOKUP($B$5,标准坦克设计!$B$14:$K$20,9)/30))</f>
        <v>6.5315100086187323</v>
      </c>
      <c r="DD236" s="173">
        <f ca="1">(VLOOKUP(DD$72,INDIRECT($C$5&amp;"生成成长"),2))/((VLOOKUP($B236,INDIRECT($B$5&amp;"生成成长"),4))/(VLOOKUP(DD$72,INDIRECT($C$5&amp;"生成成长"),5))*(VLOOKUP($B$5,标准坦克设计!$B$24:$U$30,MATCH("对"&amp;LEFT($C$5,2)&amp;"输出",标准坦克设计!$B$23:$U$23,0)))*(VLOOKUP($B236,INDIRECT($B$5&amp;"生成成长"),3))*(VLOOKUP($B$5,标准坦克设计!$B$14:$K$20,9)/30))</f>
        <v>6.9313074950683617</v>
      </c>
      <c r="DE236" s="173">
        <f ca="1">(VLOOKUP(DE$72,INDIRECT($C$5&amp;"生成成长"),2))/((VLOOKUP($B236,INDIRECT($B$5&amp;"生成成长"),4))/(VLOOKUP(DE$72,INDIRECT($C$5&amp;"生成成长"),5))*(VLOOKUP($B$5,标准坦克设计!$B$24:$U$30,MATCH("对"&amp;LEFT($C$5,2)&amp;"输出",标准坦克设计!$B$23:$U$23,0)))*(VLOOKUP($B236,INDIRECT($B$5&amp;"生成成长"),3))*(VLOOKUP($B$5,标准坦克设计!$B$14:$K$20,9)/30))</f>
        <v>7.3429801543828317</v>
      </c>
      <c r="DF236" s="173">
        <f ca="1">(VLOOKUP(DF$72,INDIRECT($C$5&amp;"生成成长"),2))/((VLOOKUP($B236,INDIRECT($B$5&amp;"生成成长"),4))/(VLOOKUP(DF$72,INDIRECT($C$5&amp;"生成成长"),5))*(VLOOKUP($B$5,标准坦克设计!$B$24:$U$30,MATCH("对"&amp;LEFT($C$5,2)&amp;"输出",标准坦克设计!$B$23:$U$23,0)))*(VLOOKUP($B236,INDIRECT($B$5&amp;"生成成长"),3))*(VLOOKUP($B$5,标准坦克设计!$B$14:$K$20,9)/30))</f>
        <v>7.766527986562143</v>
      </c>
      <c r="DG236" s="173">
        <f ca="1">(VLOOKUP(DG$72,INDIRECT($C$5&amp;"生成成长"),2))/((VLOOKUP($B236,INDIRECT($B$5&amp;"生成成长"),4))/(VLOOKUP(DG$72,INDIRECT($C$5&amp;"生成成长"),5))*(VLOOKUP($B$5,标准坦克设计!$B$24:$U$30,MATCH("对"&amp;LEFT($C$5,2)&amp;"输出",标准坦克设计!$B$23:$U$23,0)))*(VLOOKUP($B236,INDIRECT($B$5&amp;"生成成长"),3))*(VLOOKUP($B$5,标准坦克设计!$B$14:$K$20,9)/30))</f>
        <v>8.201950991606294</v>
      </c>
      <c r="DH236" s="173">
        <f ca="1">(VLOOKUP(DH$72,INDIRECT($C$5&amp;"生成成长"),2))/((VLOOKUP($B236,INDIRECT($B$5&amp;"生成成长"),4))/(VLOOKUP(DH$72,INDIRECT($C$5&amp;"生成成长"),5))*(VLOOKUP($B$5,标准坦克设计!$B$24:$U$30,MATCH("对"&amp;LEFT($C$5,2)&amp;"输出",标准坦克设计!$B$23:$U$23,0)))*(VLOOKUP($B236,INDIRECT($B$5&amp;"生成成长"),3))*(VLOOKUP($B$5,标准坦克设计!$B$14:$K$20,9)/30))</f>
        <v>8.6492491695152864</v>
      </c>
      <c r="DI236" s="173">
        <f ca="1">(VLOOKUP(DI$72,INDIRECT($C$5&amp;"生成成长"),2))/((VLOOKUP($B236,INDIRECT($B$5&amp;"生成成长"),4))/(VLOOKUP(DI$72,INDIRECT($C$5&amp;"生成成长"),5))*(VLOOKUP($B$5,标准坦克设计!$B$24:$U$30,MATCH("对"&amp;LEFT($C$5,2)&amp;"输出",标准坦克设计!$B$23:$U$23,0)))*(VLOOKUP($B236,INDIRECT($B$5&amp;"生成成长"),3))*(VLOOKUP($B$5,标准坦克设计!$B$14:$K$20,9)/30))</f>
        <v>9.1084225202891194</v>
      </c>
      <c r="DJ236" s="173">
        <f ca="1">(VLOOKUP(DJ$72,INDIRECT($C$5&amp;"生成成长"),2))/((VLOOKUP($B236,INDIRECT($B$5&amp;"生成成长"),4))/(VLOOKUP(DJ$72,INDIRECT($C$5&amp;"生成成长"),5))*(VLOOKUP($B$5,标准坦克设计!$B$24:$U$30,MATCH("对"&amp;LEFT($C$5,2)&amp;"输出",标准坦克设计!$B$23:$U$23,0)))*(VLOOKUP($B236,INDIRECT($B$5&amp;"生成成长"),3))*(VLOOKUP($B$5,标准坦克设计!$B$14:$K$20,9)/30))</f>
        <v>0.91541914157056914</v>
      </c>
      <c r="DK236" s="173">
        <f ca="1">(VLOOKUP(DK$72,INDIRECT($C$5&amp;"生成成长"),2))/((VLOOKUP($B236,INDIRECT($B$5&amp;"生成成长"),4))/(VLOOKUP(DK$72,INDIRECT($C$5&amp;"生成成长"),5))*(VLOOKUP($B$5,标准坦克设计!$B$24:$U$30,MATCH("对"&amp;LEFT($C$5,2)&amp;"输出",标准坦克设计!$B$23:$U$23,0)))*(VLOOKUP($B236,INDIRECT($B$5&amp;"生成成长"),3))*(VLOOKUP($B$5,标准坦克设计!$B$14:$K$20,9)/30))</f>
        <v>1.0293465812426328</v>
      </c>
      <c r="DL236" s="173">
        <f ca="1">(VLOOKUP(DL$72,INDIRECT($C$5&amp;"生成成长"),2))/((VLOOKUP($B236,INDIRECT($B$5&amp;"生成成长"),4))/(VLOOKUP(DL$72,INDIRECT($C$5&amp;"生成成长"),5))*(VLOOKUP($B$5,标准坦克设计!$B$24:$U$30,MATCH("对"&amp;LEFT($C$5,2)&amp;"输出",标准坦克设计!$B$23:$U$23,0)))*(VLOOKUP($B236,INDIRECT($B$5&amp;"生成成长"),3))*(VLOOKUP($B$5,标准坦克设计!$B$14:$K$20,9)/30))</f>
        <v>1.1499538056511691</v>
      </c>
      <c r="DM236" s="173">
        <f ca="1">(VLOOKUP(DM$72,INDIRECT($C$5&amp;"生成成长"),2))/((VLOOKUP($B236,INDIRECT($B$5&amp;"生成成长"),4))/(VLOOKUP(DM$72,INDIRECT($C$5&amp;"生成成长"),5))*(VLOOKUP($B$5,标准坦克设计!$B$24:$U$30,MATCH("对"&amp;LEFT($C$5,2)&amp;"输出",标准坦克设计!$B$23:$U$23,0)))*(VLOOKUP($B236,INDIRECT($B$5&amp;"生成成长"),3))*(VLOOKUP($B$5,标准坦克设计!$B$14:$K$20,9)/30))</f>
        <v>1.2772408147961782</v>
      </c>
      <c r="DN236" s="173">
        <f ca="1">(VLOOKUP(DN$72,INDIRECT($C$5&amp;"生成成长"),2))/((VLOOKUP($B236,INDIRECT($B$5&amp;"生成成长"),4))/(VLOOKUP(DN$72,INDIRECT($C$5&amp;"生成成长"),5))*(VLOOKUP($B$5,标准坦克设计!$B$24:$U$30,MATCH("对"&amp;LEFT($C$5,2)&amp;"输出",标准坦克设计!$B$23:$U$23,0)))*(VLOOKUP($B236,INDIRECT($B$5&amp;"生成成长"),3))*(VLOOKUP($B$5,标准坦克设计!$B$14:$K$20,9)/30))</f>
        <v>1.4112076086776599</v>
      </c>
      <c r="DO236" s="173">
        <f ca="1">(VLOOKUP(DO$72,INDIRECT($C$5&amp;"生成成长"),2))/((VLOOKUP($B236,INDIRECT($B$5&amp;"生成成长"),4))/(VLOOKUP(DO$72,INDIRECT($C$5&amp;"生成成长"),5))*(VLOOKUP($B$5,标准坦克设计!$B$24:$U$30,MATCH("对"&amp;LEFT($C$5,2)&amp;"输出",标准坦克设计!$B$23:$U$23,0)))*(VLOOKUP($B236,INDIRECT($B$5&amp;"生成成长"),3))*(VLOOKUP($B$5,标准坦克设计!$B$14:$K$20,9)/30))</f>
        <v>1.5518541872956144</v>
      </c>
      <c r="DP236" s="173">
        <f ca="1">(VLOOKUP(DP$72,INDIRECT($C$5&amp;"生成成长"),2))/((VLOOKUP($B236,INDIRECT($B$5&amp;"生成成长"),4))/(VLOOKUP(DP$72,INDIRECT($C$5&amp;"生成成长"),5))*(VLOOKUP($B$5,标准坦克设计!$B$24:$U$30,MATCH("对"&amp;LEFT($C$5,2)&amp;"输出",标准坦克设计!$B$23:$U$23,0)))*(VLOOKUP($B236,INDIRECT($B$5&amp;"生成成长"),3))*(VLOOKUP($B$5,标准坦克设计!$B$14:$K$20,9)/30))</f>
        <v>1.6991805506500421</v>
      </c>
      <c r="DQ236" s="173">
        <f ca="1">(VLOOKUP(DQ$72,INDIRECT($C$5&amp;"生成成长"),2))/((VLOOKUP($B236,INDIRECT($B$5&amp;"生成成长"),4))/(VLOOKUP(DQ$72,INDIRECT($C$5&amp;"生成成长"),5))*(VLOOKUP($B$5,标准坦克设计!$B$24:$U$30,MATCH("对"&amp;LEFT($C$5,2)&amp;"输出",标准坦克设计!$B$23:$U$23,0)))*(VLOOKUP($B236,INDIRECT($B$5&amp;"生成成长"),3))*(VLOOKUP($B$5,标准坦克设计!$B$14:$K$20,9)/30))</f>
        <v>1.8531866987409422</v>
      </c>
      <c r="DR236" s="173">
        <f ca="1">(VLOOKUP(DR$72,INDIRECT($C$5&amp;"生成成长"),2))/((VLOOKUP($B236,INDIRECT($B$5&amp;"生成成长"),4))/(VLOOKUP(DR$72,INDIRECT($C$5&amp;"生成成长"),5))*(VLOOKUP($B$5,标准坦克设计!$B$24:$U$30,MATCH("对"&amp;LEFT($C$5,2)&amp;"输出",标准坦克设计!$B$23:$U$23,0)))*(VLOOKUP($B236,INDIRECT($B$5&amp;"生成成长"),3))*(VLOOKUP($B$5,标准坦克设计!$B$14:$K$20,9)/30))</f>
        <v>2.0138726315683155</v>
      </c>
      <c r="DS236" s="173">
        <f ca="1">(VLOOKUP(DS$72,INDIRECT($C$5&amp;"生成成长"),2))/((VLOOKUP($B236,INDIRECT($B$5&amp;"生成成长"),4))/(VLOOKUP(DS$72,INDIRECT($C$5&amp;"生成成长"),5))*(VLOOKUP($B$5,标准坦克设计!$B$24:$U$30,MATCH("对"&amp;LEFT($C$5,2)&amp;"输出",标准坦克设计!$B$23:$U$23,0)))*(VLOOKUP($B236,INDIRECT($B$5&amp;"生成成长"),3))*(VLOOKUP($B$5,标准坦克设计!$B$14:$K$20,9)/30))</f>
        <v>2.181238349132161</v>
      </c>
      <c r="DT236" s="173">
        <f ca="1">(VLOOKUP(DT$72,INDIRECT($C$5&amp;"生成成长"),2))/((VLOOKUP($B236,INDIRECT($B$5&amp;"生成成长"),4))/(VLOOKUP(DT$72,INDIRECT($C$5&amp;"生成成长"),5))*(VLOOKUP($B$5,标准坦克设计!$B$24:$U$30,MATCH("对"&amp;LEFT($C$5,2)&amp;"输出",标准坦克设计!$B$23:$U$23,0)))*(VLOOKUP($B236,INDIRECT($B$5&amp;"生成成长"),3))*(VLOOKUP($B$5,标准坦克设计!$B$14:$K$20,9)/30))</f>
        <v>2.3948677609819478</v>
      </c>
      <c r="DU236" s="173">
        <f ca="1">(VLOOKUP(DU$72,INDIRECT($C$5&amp;"生成成长"),2))/((VLOOKUP($B236,INDIRECT($B$5&amp;"生成成长"),4))/(VLOOKUP(DU$72,INDIRECT($C$5&amp;"生成成长"),5))*(VLOOKUP($B$5,标准坦克设计!$B$24:$U$30,MATCH("对"&amp;LEFT($C$5,2)&amp;"输出",标准坦克设计!$B$23:$U$23,0)))*(VLOOKUP($B236,INDIRECT($B$5&amp;"生成成长"),3))*(VLOOKUP($B$5,标准坦克设计!$B$14:$K$20,9)/30))</f>
        <v>2.6184756166973298</v>
      </c>
      <c r="DV236" s="173">
        <f ca="1">(VLOOKUP(DV$72,INDIRECT($C$5&amp;"生成成长"),2))/((VLOOKUP($B236,INDIRECT($B$5&amp;"生成成长"),4))/(VLOOKUP(DV$72,INDIRECT($C$5&amp;"生成成长"),5))*(VLOOKUP($B$5,标准坦克设计!$B$24:$U$30,MATCH("对"&amp;LEFT($C$5,2)&amp;"输出",标准坦克设计!$B$23:$U$23,0)))*(VLOOKUP($B236,INDIRECT($B$5&amp;"生成成长"),3))*(VLOOKUP($B$5,标准坦克设计!$B$14:$K$20,9)/30))</f>
        <v>2.8520619162783074</v>
      </c>
      <c r="DW236" s="173">
        <f ca="1">(VLOOKUP(DW$72,INDIRECT($C$5&amp;"生成成长"),2))/((VLOOKUP($B236,INDIRECT($B$5&amp;"生成成长"),4))/(VLOOKUP(DW$72,INDIRECT($C$5&amp;"生成成长"),5))*(VLOOKUP($B$5,标准坦克设计!$B$24:$U$30,MATCH("对"&amp;LEFT($C$5,2)&amp;"输出",标准坦克设计!$B$23:$U$23,0)))*(VLOOKUP($B236,INDIRECT($B$5&amp;"生成成长"),3))*(VLOOKUP($B$5,标准坦克设计!$B$14:$K$20,9)/30))</f>
        <v>3.0956266597248789</v>
      </c>
      <c r="DX236" s="173">
        <f ca="1">(VLOOKUP(DX$72,INDIRECT($C$5&amp;"生成成长"),2))/((VLOOKUP($B236,INDIRECT($B$5&amp;"生成成长"),4))/(VLOOKUP(DX$72,INDIRECT($C$5&amp;"生成成长"),5))*(VLOOKUP($B$5,标准坦克设计!$B$24:$U$30,MATCH("对"&amp;LEFT($C$5,2)&amp;"输出",标准坦克设计!$B$23:$U$23,0)))*(VLOOKUP($B236,INDIRECT($B$5&amp;"生成成长"),3))*(VLOOKUP($B$5,标准坦克设计!$B$14:$K$20,9)/30))</f>
        <v>3.349169847037047</v>
      </c>
      <c r="DY236" s="173">
        <f ca="1">(VLOOKUP(DY$72,INDIRECT($C$5&amp;"生成成长"),2))/((VLOOKUP($B236,INDIRECT($B$5&amp;"生成成长"),4))/(VLOOKUP(DY$72,INDIRECT($C$5&amp;"生成成长"),5))*(VLOOKUP($B$5,标准坦克设计!$B$24:$U$30,MATCH("对"&amp;LEFT($C$5,2)&amp;"输出",标准坦克设计!$B$23:$U$23,0)))*(VLOOKUP($B236,INDIRECT($B$5&amp;"生成成长"),3))*(VLOOKUP($B$5,标准坦克设计!$B$14:$K$20,9)/30))</f>
        <v>1.5042297961189104</v>
      </c>
      <c r="DZ236" s="173">
        <f ca="1">(VLOOKUP(DZ$72,INDIRECT($C$5&amp;"生成成长"),2))/((VLOOKUP($B236,INDIRECT($B$5&amp;"生成成长"),4))/(VLOOKUP(DZ$72,INDIRECT($C$5&amp;"生成成长"),5))*(VLOOKUP($B$5,标准坦克设计!$B$24:$U$30,MATCH("对"&amp;LEFT($C$5,2)&amp;"输出",标准坦克设计!$B$23:$U$23,0)))*(VLOOKUP($B236,INDIRECT($B$5&amp;"生成成长"),3))*(VLOOKUP($B$5,标准坦克设计!$B$14:$K$20,9)/30))</f>
        <v>1.6658640934459059</v>
      </c>
      <c r="EA236" s="173">
        <f ca="1">(VLOOKUP(EA$72,INDIRECT($C$5&amp;"生成成长"),2))/((VLOOKUP($B236,INDIRECT($B$5&amp;"生成成长"),4))/(VLOOKUP(EA$72,INDIRECT($C$5&amp;"生成成长"),5))*(VLOOKUP($B$5,标准坦克设计!$B$24:$U$30,MATCH("对"&amp;LEFT($C$5,2)&amp;"输出",标准坦克设计!$B$23:$U$23,0)))*(VLOOKUP($B236,INDIRECT($B$5&amp;"生成成长"),3))*(VLOOKUP($B$5,标准坦克设计!$B$14:$K$20,9)/30))</f>
        <v>1.8357450385957079</v>
      </c>
      <c r="EB236" s="173">
        <f ca="1">(VLOOKUP(EB$72,INDIRECT($C$5&amp;"生成成长"),2))/((VLOOKUP($B236,INDIRECT($B$5&amp;"生成成长"),4))/(VLOOKUP(EB$72,INDIRECT($C$5&amp;"生成成长"),5))*(VLOOKUP($B$5,标准坦克设计!$B$24:$U$30,MATCH("对"&amp;LEFT($C$5,2)&amp;"输出",标准坦克设计!$B$23:$U$23,0)))*(VLOOKUP($B236,INDIRECT($B$5&amp;"生成成长"),3))*(VLOOKUP($B$5,标准坦克设计!$B$14:$K$20,9)/30))</f>
        <v>2.0138726315683155</v>
      </c>
      <c r="EC236" s="173">
        <f ca="1">(VLOOKUP(EC$72,INDIRECT($C$5&amp;"生成成长"),2))/((VLOOKUP($B236,INDIRECT($B$5&amp;"生成成长"),4))/(VLOOKUP(EC$72,INDIRECT($C$5&amp;"生成成长"),5))*(VLOOKUP($B$5,标准坦克设计!$B$24:$U$30,MATCH("对"&amp;LEFT($C$5,2)&amp;"输出",标准坦克设计!$B$23:$U$23,0)))*(VLOOKUP($B236,INDIRECT($B$5&amp;"生成成长"),3))*(VLOOKUP($B$5,标准坦克设计!$B$14:$K$20,9)/30))</f>
        <v>2.2002468723637287</v>
      </c>
      <c r="ED236" s="173">
        <f ca="1">(VLOOKUP(ED$72,INDIRECT($C$5&amp;"生成成长"),2))/((VLOOKUP($B236,INDIRECT($B$5&amp;"生成成长"),4))/(VLOOKUP(ED$72,INDIRECT($C$5&amp;"生成成长"),5))*(VLOOKUP($B$5,标准坦克设计!$B$24:$U$30,MATCH("对"&amp;LEFT($C$5,2)&amp;"输出",标准坦克设计!$B$23:$U$23,0)))*(VLOOKUP($B236,INDIRECT($B$5&amp;"生成成长"),3))*(VLOOKUP($B$5,标准坦克设计!$B$14:$K$20,9)/30))</f>
        <v>2.3948677609819478</v>
      </c>
      <c r="EE236" s="173">
        <f ca="1">(VLOOKUP(EE$72,INDIRECT($C$5&amp;"生成成长"),2))/((VLOOKUP($B236,INDIRECT($B$5&amp;"生成成长"),4))/(VLOOKUP(EE$72,INDIRECT($C$5&amp;"生成成长"),5))*(VLOOKUP($B$5,标准坦克设计!$B$24:$U$30,MATCH("对"&amp;LEFT($C$5,2)&amp;"输出",标准坦克设计!$B$23:$U$23,0)))*(VLOOKUP($B236,INDIRECT($B$5&amp;"生成成长"),3))*(VLOOKUP($B$5,标准坦克设计!$B$14:$K$20,9)/30))</f>
        <v>2.597735297422973</v>
      </c>
      <c r="EF236" s="173">
        <f ca="1">(VLOOKUP(EF$72,INDIRECT($C$5&amp;"生成成长"),2))/((VLOOKUP($B236,INDIRECT($B$5&amp;"生成成长"),4))/(VLOOKUP(EF$72,INDIRECT($C$5&amp;"生成成长"),5))*(VLOOKUP($B$5,标准坦克设计!$B$24:$U$30,MATCH("对"&amp;LEFT($C$5,2)&amp;"输出",标准坦克设计!$B$23:$U$23,0)))*(VLOOKUP($B236,INDIRECT($B$5&amp;"生成成长"),3))*(VLOOKUP($B$5,标准坦克设计!$B$14:$K$20,9)/30))</f>
        <v>2.8088494816868042</v>
      </c>
      <c r="EG236" s="173">
        <f ca="1">(VLOOKUP(EG$72,INDIRECT($C$5&amp;"生成成长"),2))/((VLOOKUP($B236,INDIRECT($B$5&amp;"生成成长"),4))/(VLOOKUP(EG$72,INDIRECT($C$5&amp;"生成成长"),5))*(VLOOKUP($B$5,标准坦克设计!$B$24:$U$30,MATCH("对"&amp;LEFT($C$5,2)&amp;"输出",标准坦克设计!$B$23:$U$23,0)))*(VLOOKUP($B236,INDIRECT($B$5&amp;"生成成长"),3))*(VLOOKUP($B$5,标准坦克设计!$B$14:$K$20,9)/30))</f>
        <v>3.0282103137734411</v>
      </c>
      <c r="EH236" s="173">
        <f ca="1">(VLOOKUP(EH$72,INDIRECT($C$5&amp;"生成成长"),2))/((VLOOKUP($B236,INDIRECT($B$5&amp;"生成成长"),4))/(VLOOKUP(EH$72,INDIRECT($C$5&amp;"生成成长"),5))*(VLOOKUP($B$5,标准坦克设计!$B$24:$U$30,MATCH("对"&amp;LEFT($C$5,2)&amp;"输出",标准坦克设计!$B$23:$U$23,0)))*(VLOOKUP($B236,INDIRECT($B$5&amp;"生成成长"),3))*(VLOOKUP($B$5,标准坦克设计!$B$14:$K$20,9)/30))</f>
        <v>3.2558177936828843</v>
      </c>
      <c r="EI236" s="173">
        <f ca="1">(VLOOKUP(EI$72,INDIRECT($C$5&amp;"生成成长"),2))/((VLOOKUP($B236,INDIRECT($B$5&amp;"生成成长"),4))/(VLOOKUP(EI$72,INDIRECT($C$5&amp;"生成成长"),5))*(VLOOKUP($B$5,标准坦克设计!$B$24:$U$30,MATCH("对"&amp;LEFT($C$5,2)&amp;"输出",标准坦克设计!$B$23:$U$23,0)))*(VLOOKUP($B236,INDIRECT($B$5&amp;"生成成长"),3))*(VLOOKUP($B$5,标准坦克设计!$B$14:$K$20,9)/30))</f>
        <v>3.4916719214151324</v>
      </c>
      <c r="EJ236" s="173">
        <f ca="1">(VLOOKUP(EJ$72,INDIRECT($C$5&amp;"生成成长"),2))/((VLOOKUP($B236,INDIRECT($B$5&amp;"生成成长"),4))/(VLOOKUP(EJ$72,INDIRECT($C$5&amp;"生成成长"),5))*(VLOOKUP($B$5,标准坦克设计!$B$24:$U$30,MATCH("对"&amp;LEFT($C$5,2)&amp;"输出",标准坦克设计!$B$23:$U$23,0)))*(VLOOKUP($B236,INDIRECT($B$5&amp;"生成成长"),3))*(VLOOKUP($B$5,标准坦克设计!$B$14:$K$20,9)/30))</f>
        <v>3.7357726969701872</v>
      </c>
      <c r="EK236" s="173">
        <f ca="1">(VLOOKUP(EK$72,INDIRECT($C$5&amp;"生成成长"),2))/((VLOOKUP($B236,INDIRECT($B$5&amp;"生成成长"),4))/(VLOOKUP(EK$72,INDIRECT($C$5&amp;"生成成长"),5))*(VLOOKUP($B$5,标准坦克设计!$B$24:$U$30,MATCH("对"&amp;LEFT($C$5,2)&amp;"输出",标准坦克设计!$B$23:$U$23,0)))*(VLOOKUP($B236,INDIRECT($B$5&amp;"生成成长"),3))*(VLOOKUP($B$5,标准坦克设计!$B$14:$K$20,9)/30))</f>
        <v>4.0395792027623569</v>
      </c>
      <c r="EL236" s="173">
        <f ca="1">(VLOOKUP(EL$72,INDIRECT($C$5&amp;"生成成长"),2))/((VLOOKUP($B236,INDIRECT($B$5&amp;"生成成长"),4))/(VLOOKUP(EL$72,INDIRECT($C$5&amp;"生成成长"),5))*(VLOOKUP($B$5,标准坦克设计!$B$24:$U$30,MATCH("对"&amp;LEFT($C$5,2)&amp;"输出",标准坦克设计!$B$23:$U$23,0)))*(VLOOKUP($B236,INDIRECT($B$5&amp;"生成成长"),3))*(VLOOKUP($B$5,标准坦克设计!$B$14:$K$20,9)/30))</f>
        <v>4.3552608814193672</v>
      </c>
      <c r="EM236" s="173">
        <f ca="1">(VLOOKUP(EM$72,INDIRECT($C$5&amp;"生成成长"),2))/((VLOOKUP($B236,INDIRECT($B$5&amp;"生成成长"),4))/(VLOOKUP(EM$72,INDIRECT($C$5&amp;"生成成长"),5))*(VLOOKUP($B$5,标准坦克设计!$B$24:$U$30,MATCH("对"&amp;LEFT($C$5,2)&amp;"输出",标准坦克设计!$B$23:$U$23,0)))*(VLOOKUP($B236,INDIRECT($B$5&amp;"生成成长"),3))*(VLOOKUP($B$5,标准坦克设计!$B$14:$K$20,9)/30))</f>
        <v>4.6828177329412171</v>
      </c>
      <c r="EN236" s="173">
        <f ca="1">(VLOOKUP(EN$72,INDIRECT($C$5&amp;"生成成长"),2))/((VLOOKUP($B236,INDIRECT($B$5&amp;"生成成长"),4))/(VLOOKUP(EN$72,INDIRECT($C$5&amp;"生成成长"),5))*(VLOOKUP($B$5,标准坦克设计!$B$24:$U$30,MATCH("对"&amp;LEFT($C$5,2)&amp;"输出",标准坦克设计!$B$23:$U$23,0)))*(VLOOKUP($B236,INDIRECT($B$5&amp;"生成成长"),3))*(VLOOKUP($B$5,标准坦克设计!$B$14:$K$20,9)/30))</f>
        <v>5.0222497573279083</v>
      </c>
      <c r="EO236" s="173">
        <f ca="1">(VLOOKUP(EO$72,INDIRECT($C$5&amp;"生成成长"),2))/((VLOOKUP($B236,INDIRECT($B$5&amp;"生成成长"),4))/(VLOOKUP(EO$72,INDIRECT($C$5&amp;"生成成长"),5))*(VLOOKUP($B$5,标准坦克设计!$B$24:$U$30,MATCH("对"&amp;LEFT($C$5,2)&amp;"输出",标准坦克设计!$B$23:$U$23,0)))*(VLOOKUP($B236,INDIRECT($B$5&amp;"生成成长"),3))*(VLOOKUP($B$5,标准坦克设计!$B$14:$K$20,9)/30))</f>
        <v>5.3735569545794393</v>
      </c>
      <c r="EP236" s="173">
        <f ca="1">(VLOOKUP(EP$72,INDIRECT($C$5&amp;"生成成长"),2))/((VLOOKUP($B236,INDIRECT($B$5&amp;"生成成长"),4))/(VLOOKUP(EP$72,INDIRECT($C$5&amp;"生成成长"),5))*(VLOOKUP($B$5,标准坦克设计!$B$24:$U$30,MATCH("对"&amp;LEFT($C$5,2)&amp;"输出",标准坦克设计!$B$23:$U$23,0)))*(VLOOKUP($B236,INDIRECT($B$5&amp;"生成成长"),3))*(VLOOKUP($B$5,标准坦克设计!$B$14:$K$20,9)/30))</f>
        <v>5.7367393246958116</v>
      </c>
      <c r="EQ236" s="173">
        <f ca="1">(VLOOKUP(EQ$72,INDIRECT($C$5&amp;"生成成长"),2))/((VLOOKUP($B236,INDIRECT($B$5&amp;"生成成长"),4))/(VLOOKUP(EQ$72,INDIRECT($C$5&amp;"生成成长"),5))*(VLOOKUP($B$5,标准坦克设计!$B$24:$U$30,MATCH("对"&amp;LEFT($C$5,2)&amp;"输出",标准坦克设计!$B$23:$U$23,0)))*(VLOOKUP($B236,INDIRECT($B$5&amp;"生成成长"),3))*(VLOOKUP($B$5,标准坦克设计!$B$14:$K$20,9)/30))</f>
        <v>2.5360091384692711</v>
      </c>
      <c r="ER236" s="173">
        <f ca="1">(VLOOKUP(ER$72,INDIRECT($C$5&amp;"生成成长"),2))/((VLOOKUP($B236,INDIRECT($B$5&amp;"生成成长"),4))/(VLOOKUP(ER$72,INDIRECT($C$5&amp;"生成成长"),5))*(VLOOKUP($B$5,标准坦克设计!$B$24:$U$30,MATCH("对"&amp;LEFT($C$5,2)&amp;"输出",标准坦克设计!$B$23:$U$23,0)))*(VLOOKUP($B236,INDIRECT($B$5&amp;"生成成长"),3))*(VLOOKUP($B$5,标准坦克设计!$B$14:$K$20,9)/30))</f>
        <v>2.7659669130082136</v>
      </c>
      <c r="ES236" s="173">
        <f ca="1">(VLOOKUP(ES$72,INDIRECT($C$5&amp;"生成成长"),2))/((VLOOKUP($B236,INDIRECT($B$5&amp;"生成成长"),4))/(VLOOKUP(ES$72,INDIRECT($C$5&amp;"生成成长"),5))*(VLOOKUP($B$5,标准坦克设计!$B$24:$U$30,MATCH("对"&amp;LEFT($C$5,2)&amp;"输出",标准坦克设计!$B$23:$U$23,0)))*(VLOOKUP($B236,INDIRECT($B$5&amp;"生成成长"),3))*(VLOOKUP($B$5,标准坦克设计!$B$14:$K$20,9)/30))</f>
        <v>3.0059031314127518</v>
      </c>
      <c r="ET236" s="173">
        <f ca="1">(VLOOKUP(ET$72,INDIRECT($C$5&amp;"生成成长"),2))/((VLOOKUP($B236,INDIRECT($B$5&amp;"生成成长"),4))/(VLOOKUP(ET$72,INDIRECT($C$5&amp;"生成成长"),5))*(VLOOKUP($B$5,标准坦克设计!$B$24:$U$30,MATCH("对"&amp;LEFT($C$5,2)&amp;"输出",标准坦克设计!$B$23:$U$23,0)))*(VLOOKUP($B236,INDIRECT($B$5&amp;"生成成长"),3))*(VLOOKUP($B$5,标准坦克设计!$B$14:$K$20,9)/30))</f>
        <v>3.2558177936828843</v>
      </c>
      <c r="EU236" s="173">
        <f ca="1">(VLOOKUP(EU$72,INDIRECT($C$5&amp;"生成成长"),2))/((VLOOKUP($B236,INDIRECT($B$5&amp;"生成成长"),4))/(VLOOKUP(EU$72,INDIRECT($C$5&amp;"生成成长"),5))*(VLOOKUP($B$5,标准坦克设计!$B$24:$U$30,MATCH("对"&amp;LEFT($C$5,2)&amp;"输出",标准坦克设计!$B$23:$U$23,0)))*(VLOOKUP($B236,INDIRECT($B$5&amp;"生成成长"),3))*(VLOOKUP($B$5,标准坦克设计!$B$14:$K$20,9)/30))</f>
        <v>3.5157108998186124</v>
      </c>
      <c r="EV236" s="173">
        <f ca="1">(VLOOKUP(EV$72,INDIRECT($C$5&amp;"生成成长"),2))/((VLOOKUP($B236,INDIRECT($B$5&amp;"生成成长"),4))/(VLOOKUP(EV$72,INDIRECT($C$5&amp;"生成成长"),5))*(VLOOKUP($B$5,标准坦克设计!$B$24:$U$30,MATCH("对"&amp;LEFT($C$5,2)&amp;"输出",标准坦克设计!$B$23:$U$23,0)))*(VLOOKUP($B236,INDIRECT($B$5&amp;"生成成长"),3))*(VLOOKUP($B$5,标准坦克设计!$B$14:$K$20,9)/30))</f>
        <v>3.7855824498199353</v>
      </c>
      <c r="EW236" s="173">
        <f ca="1">(VLOOKUP(EW$72,INDIRECT($C$5&amp;"生成成长"),2))/((VLOOKUP($B236,INDIRECT($B$5&amp;"生成成长"),4))/(VLOOKUP(EW$72,INDIRECT($C$5&amp;"生成成长"),5))*(VLOOKUP($B$5,标准坦克设计!$B$24:$U$30,MATCH("对"&amp;LEFT($C$5,2)&amp;"输出",标准坦克设计!$B$23:$U$23,0)))*(VLOOKUP($B236,INDIRECT($B$5&amp;"生成成长"),3))*(VLOOKUP($B$5,标准坦克设计!$B$14:$K$20,9)/30))</f>
        <v>4.065432443686853</v>
      </c>
      <c r="EX236" s="173">
        <f ca="1">(VLOOKUP(EX$72,INDIRECT($C$5&amp;"生成成长"),2))/((VLOOKUP($B236,INDIRECT($B$5&amp;"生成成长"),4))/(VLOOKUP(EX$72,INDIRECT($C$5&amp;"生成成长"),5))*(VLOOKUP($B$5,标准坦克设计!$B$24:$U$30,MATCH("对"&amp;LEFT($C$5,2)&amp;"输出",标准坦克设计!$B$23:$U$23,0)))*(VLOOKUP($B236,INDIRECT($B$5&amp;"生成成长"),3))*(VLOOKUP($B$5,标准坦克设计!$B$14:$K$20,9)/30))</f>
        <v>4.3552608814193672</v>
      </c>
      <c r="EY236" s="173">
        <f ca="1">(VLOOKUP(EY$72,INDIRECT($C$5&amp;"生成成长"),2))/((VLOOKUP($B236,INDIRECT($B$5&amp;"生成成长"),4))/(VLOOKUP(EY$72,INDIRECT($C$5&amp;"生成成长"),5))*(VLOOKUP($B$5,标准坦克设计!$B$24:$U$30,MATCH("对"&amp;LEFT($C$5,2)&amp;"输出",标准坦克设计!$B$23:$U$23,0)))*(VLOOKUP($B236,INDIRECT($B$5&amp;"生成成长"),3))*(VLOOKUP($B$5,标准坦克设计!$B$14:$K$20,9)/30))</f>
        <v>4.6550677630174766</v>
      </c>
      <c r="EZ236" s="173">
        <f ca="1">(VLOOKUP(EZ$72,INDIRECT($C$5&amp;"生成成长"),2))/((VLOOKUP($B236,INDIRECT($B$5&amp;"生成成长"),4))/(VLOOKUP(EZ$72,INDIRECT($C$5&amp;"生成成长"),5))*(VLOOKUP($B$5,标准坦克设计!$B$24:$U$30,MATCH("对"&amp;LEFT($C$5,2)&amp;"输出",标准坦克设计!$B$23:$U$23,0)))*(VLOOKUP($B236,INDIRECT($B$5&amp;"生成成长"),3))*(VLOOKUP($B$5,标准坦克设计!$B$14:$K$20,9)/30))</f>
        <v>4.9648530884811795</v>
      </c>
      <c r="FA236" s="173">
        <f ca="1">(VLOOKUP(FA$72,INDIRECT($C$5&amp;"生成成长"),2))/((VLOOKUP($B236,INDIRECT($B$5&amp;"生成成长"),4))/(VLOOKUP(FA$72,INDIRECT($C$5&amp;"生成成长"),5))*(VLOOKUP($B$5,标准坦克设计!$B$24:$U$30,MATCH("对"&amp;LEFT($C$5,2)&amp;"输出",标准坦克设计!$B$23:$U$23,0)))*(VLOOKUP($B236,INDIRECT($B$5&amp;"生成成长"),3))*(VLOOKUP($B$5,标准坦克设计!$B$14:$K$20,9)/30))</f>
        <v>5.2846168578104775</v>
      </c>
      <c r="FB236" s="173">
        <f ca="1">(VLOOKUP(FB$72,INDIRECT($C$5&amp;"生成成长"),2))/((VLOOKUP($B236,INDIRECT($B$5&amp;"生成成长"),4))/(VLOOKUP(FB$72,INDIRECT($C$5&amp;"生成成长"),5))*(VLOOKUP($B$5,标准坦克设计!$B$24:$U$30,MATCH("对"&amp;LEFT($C$5,2)&amp;"输出",标准坦克设计!$B$23:$U$23,0)))*(VLOOKUP($B236,INDIRECT($B$5&amp;"生成成长"),3))*(VLOOKUP($B$5,标准坦克设计!$B$14:$K$20,9)/30))</f>
        <v>5.6143590710053717</v>
      </c>
      <c r="FC236" s="173">
        <f ca="1">(VLOOKUP(FC$72,INDIRECT($C$5&amp;"生成成长"),2))/((VLOOKUP($B236,INDIRECT($B$5&amp;"生成成长"),4))/(VLOOKUP(FC$72,INDIRECT($C$5&amp;"生成成长"),5))*(VLOOKUP($B$5,标准坦克设计!$B$24:$U$30,MATCH("对"&amp;LEFT($C$5,2)&amp;"输出",标准坦克设计!$B$23:$U$23,0)))*(VLOOKUP($B236,INDIRECT($B$5&amp;"生成成长"),3))*(VLOOKUP($B$5,标准坦克设计!$B$14:$K$20,9)/30))</f>
        <v>5.9540797280658611</v>
      </c>
      <c r="FD236" s="173">
        <f ca="1">(VLOOKUP(FD$72,INDIRECT($C$5&amp;"生成成长"),2))/((VLOOKUP($B236,INDIRECT($B$5&amp;"生成成长"),4))/(VLOOKUP(FD$72,INDIRECT($C$5&amp;"生成成长"),5))*(VLOOKUP($B$5,标准坦克设计!$B$24:$U$30,MATCH("对"&amp;LEFT($C$5,2)&amp;"输出",标准坦克设计!$B$23:$U$23,0)))*(VLOOKUP($B236,INDIRECT($B$5&amp;"生成成长"),3))*(VLOOKUP($B$5,标准坦克设计!$B$14:$K$20,9)/30))</f>
        <v>6.3037788289919456</v>
      </c>
      <c r="FE236" s="173">
        <f ca="1">(VLOOKUP(FE$72,INDIRECT($C$5&amp;"生成成长"),2))/((VLOOKUP($B236,INDIRECT($B$5&amp;"生成成长"),4))/(VLOOKUP(FE$72,INDIRECT($C$5&amp;"生成成长"),5))*(VLOOKUP($B$5,标准坦克设计!$B$24:$U$30,MATCH("对"&amp;LEFT($C$5,2)&amp;"输出",标准坦克设计!$B$23:$U$23,0)))*(VLOOKUP($B236,INDIRECT($B$5&amp;"生成成长"),3))*(VLOOKUP($B$5,标准坦克设计!$B$14:$K$20,9)/30))</f>
        <v>6.7299243552354415</v>
      </c>
      <c r="FF236" s="173">
        <f ca="1">(VLOOKUP(FF$72,INDIRECT($C$5&amp;"生成成长"),2))/((VLOOKUP($B236,INDIRECT($B$5&amp;"生成成长"),4))/(VLOOKUP(FF$72,INDIRECT($C$5&amp;"生成成长"),5))*(VLOOKUP($B$5,标准坦克设计!$B$24:$U$30,MATCH("对"&amp;LEFT($C$5,2)&amp;"输出",标准坦克设计!$B$23:$U$23,0)))*(VLOOKUP($B236,INDIRECT($B$5&amp;"生成成长"),3))*(VLOOKUP($B$5,标准坦克设计!$B$14:$K$20,9)/30))</f>
        <v>7.1700067162994774</v>
      </c>
      <c r="FG236" s="173">
        <f ca="1">(VLOOKUP(FG$72,INDIRECT($C$5&amp;"生成成长"),2))/((VLOOKUP($B236,INDIRECT($B$5&amp;"生成成长"),4))/(VLOOKUP(FG$72,INDIRECT($C$5&amp;"生成成长"),5))*(VLOOKUP($B$5,标准坦克设计!$B$24:$U$30,MATCH("对"&amp;LEFT($C$5,2)&amp;"输出",标准坦克设计!$B$23:$U$23,0)))*(VLOOKUP($B236,INDIRECT($B$5&amp;"生成成长"),3))*(VLOOKUP($B$5,标准坦克设计!$B$14:$K$20,9)/30))</f>
        <v>7.6240259121840559</v>
      </c>
      <c r="FH236" s="173">
        <f ca="1">(VLOOKUP(FH$72,INDIRECT($C$5&amp;"生成成长"),2))/((VLOOKUP($B236,INDIRECT($B$5&amp;"生成成长"),4))/(VLOOKUP(FH$72,INDIRECT($C$5&amp;"生成成长"),5))*(VLOOKUP($B$5,标准坦克设计!$B$24:$U$30,MATCH("对"&amp;LEFT($C$5,2)&amp;"输出",标准坦克设计!$B$23:$U$23,0)))*(VLOOKUP($B236,INDIRECT($B$5&amp;"生成成长"),3))*(VLOOKUP($B$5,标准坦克设计!$B$14:$K$20,9)/30))</f>
        <v>8.091981942889177</v>
      </c>
      <c r="FI236" s="173">
        <f ca="1">(VLOOKUP(FI$72,INDIRECT($C$5&amp;"生成成长"),2))/((VLOOKUP($B236,INDIRECT($B$5&amp;"生成成长"),4))/(VLOOKUP(FI$72,INDIRECT($C$5&amp;"生成成长"),5))*(VLOOKUP($B$5,标准坦克设计!$B$24:$U$30,MATCH("对"&amp;LEFT($C$5,2)&amp;"输出",标准坦克设计!$B$23:$U$23,0)))*(VLOOKUP($B236,INDIRECT($B$5&amp;"生成成长"),3))*(VLOOKUP($B$5,标准坦克设计!$B$14:$K$20,9)/30))</f>
        <v>8.5738748084148408</v>
      </c>
      <c r="FJ236" s="173">
        <f ca="1">(VLOOKUP(FJ$72,INDIRECT($C$5&amp;"生成成长"),2))/((VLOOKUP($B236,INDIRECT($B$5&amp;"生成成长"),4))/(VLOOKUP(FJ$72,INDIRECT($C$5&amp;"生成成长"),5))*(VLOOKUP($B$5,标准坦克设计!$B$24:$U$30,MATCH("对"&amp;LEFT($C$5,2)&amp;"输出",标准坦克设计!$B$23:$U$23,0)))*(VLOOKUP($B236,INDIRECT($B$5&amp;"生成成长"),3))*(VLOOKUP($B$5,标准坦克设计!$B$14:$K$20,9)/30))</f>
        <v>9.0697045087610455</v>
      </c>
      <c r="FK236" s="173">
        <f ca="1">(VLOOKUP(FK$72,INDIRECT($C$5&amp;"生成成长"),2))/((VLOOKUP($B236,INDIRECT($B$5&amp;"生成成长"),4))/(VLOOKUP(FK$72,INDIRECT($C$5&amp;"生成成长"),5))*(VLOOKUP($B$5,标准坦克设计!$B$24:$U$30,MATCH("对"&amp;LEFT($C$5,2)&amp;"输出",标准坦克设计!$B$23:$U$23,0)))*(VLOOKUP($B236,INDIRECT($B$5&amp;"生成成长"),3))*(VLOOKUP($B$5,标准坦克设计!$B$14:$K$20,9)/30))</f>
        <v>9.579471043927791</v>
      </c>
    </row>
    <row r="237" spans="1:167" x14ac:dyDescent="0.15">
      <c r="A237" s="171" t="str">
        <f t="shared" si="13"/>
        <v>T5高品质21级</v>
      </c>
      <c r="B237" s="172">
        <v>30521</v>
      </c>
      <c r="C237" s="173">
        <f ca="1">(VLOOKUP(C$72,INDIRECT($C$5&amp;"生成成长"),2))/((VLOOKUP($B237,INDIRECT($B$5&amp;"生成成长"),4))/(VLOOKUP(C$72,INDIRECT($C$5&amp;"生成成长"),5))*(VLOOKUP($B$5,标准坦克设计!$B$24:$U$30,MATCH("对"&amp;LEFT($C$5,2)&amp;"输出",标准坦克设计!$B$23:$U$23,0)))*(VLOOKUP($B237,INDIRECT($B$5&amp;"生成成长"),3))*(VLOOKUP($B$5,标准坦克设计!$B$14:$K$20,9)/30))</f>
        <v>0.39076317967861013</v>
      </c>
      <c r="D237" s="173">
        <f ca="1">(VLOOKUP(D$72,INDIRECT($C$5&amp;"生成成长"),2))/((VLOOKUP($B237,INDIRECT($B$5&amp;"生成成长"),4))/(VLOOKUP(D$72,INDIRECT($C$5&amp;"生成成长"),5))*(VLOOKUP($B$5,标准坦克设计!$B$24:$U$30,MATCH("对"&amp;LEFT($C$5,2)&amp;"输出",标准坦克设计!$B$23:$U$23,0)))*(VLOOKUP($B237,INDIRECT($B$5&amp;"生成成长"),3))*(VLOOKUP($B$5,标准坦克设计!$B$14:$K$20,9)/30))</f>
        <v>0.43906150868688637</v>
      </c>
      <c r="E237" s="173">
        <f ca="1">(VLOOKUP(E$72,INDIRECT($C$5&amp;"生成成长"),2))/((VLOOKUP($B237,INDIRECT($B$5&amp;"生成成长"),4))/(VLOOKUP(E$72,INDIRECT($C$5&amp;"生成成长"),5))*(VLOOKUP($B$5,标准坦克设计!$B$24:$U$30,MATCH("对"&amp;LEFT($C$5,2)&amp;"输出",标准坦克设计!$B$23:$U$23,0)))*(VLOOKUP($B237,INDIRECT($B$5&amp;"生成成长"),3))*(VLOOKUP($B$5,标准坦克设计!$B$14:$K$20,9)/30))</f>
        <v>0.49017333258884854</v>
      </c>
      <c r="F237" s="173">
        <f ca="1">(VLOOKUP(F$72,INDIRECT($C$5&amp;"生成成长"),2))/((VLOOKUP($B237,INDIRECT($B$5&amp;"生成成长"),4))/(VLOOKUP(F$72,INDIRECT($C$5&amp;"生成成长"),5))*(VLOOKUP($B$5,标准坦克设计!$B$24:$U$30,MATCH("对"&amp;LEFT($C$5,2)&amp;"输出",标准坦克设计!$B$23:$U$23,0)))*(VLOOKUP($B237,INDIRECT($B$5&amp;"生成成长"),3))*(VLOOKUP($B$5,标准坦克设计!$B$14:$K$20,9)/30))</f>
        <v>0.54409865138449687</v>
      </c>
      <c r="G237" s="173">
        <f ca="1">(VLOOKUP(G$72,INDIRECT($C$5&amp;"生成成长"),2))/((VLOOKUP($B237,INDIRECT($B$5&amp;"生成成长"),4))/(VLOOKUP(G$72,INDIRECT($C$5&amp;"生成成长"),5))*(VLOOKUP($B$5,标准坦克设计!$B$24:$U$30,MATCH("对"&amp;LEFT($C$5,2)&amp;"输出",标准坦克设计!$B$23:$U$23,0)))*(VLOOKUP($B237,INDIRECT($B$5&amp;"生成成长"),3))*(VLOOKUP($B$5,标准坦克设计!$B$14:$K$20,9)/30))</f>
        <v>0.60083746507383096</v>
      </c>
      <c r="H237" s="173">
        <f ca="1">(VLOOKUP(H$72,INDIRECT($C$5&amp;"生成成长"),2))/((VLOOKUP($B237,INDIRECT($B$5&amp;"生成成长"),4))/(VLOOKUP(H$72,INDIRECT($C$5&amp;"生成成长"),5))*(VLOOKUP($B$5,标准坦克设计!$B$24:$U$30,MATCH("对"&amp;LEFT($C$5,2)&amp;"输出",标准坦克设计!$B$23:$U$23,0)))*(VLOOKUP($B237,INDIRECT($B$5&amp;"生成成长"),3))*(VLOOKUP($B$5,标准坦克设计!$B$14:$K$20,9)/30))</f>
        <v>0.52581093457553785</v>
      </c>
      <c r="I237" s="173">
        <f ca="1">(VLOOKUP(I$72,INDIRECT($C$5&amp;"生成成长"),2))/((VLOOKUP($B237,INDIRECT($B$5&amp;"生成成长"),4))/(VLOOKUP(I$72,INDIRECT($C$5&amp;"生成成长"),5))*(VLOOKUP($B$5,标准坦克设计!$B$24:$U$30,MATCH("对"&amp;LEFT($C$5,2)&amp;"输出",标准坦克设计!$B$23:$U$23,0)))*(VLOOKUP($B237,INDIRECT($B$5&amp;"生成成长"),3))*(VLOOKUP($B$5,标准坦克设计!$B$14:$K$20,9)/30))</f>
        <v>0.60083746507383096</v>
      </c>
      <c r="J237" s="173">
        <f ca="1">(VLOOKUP(J$72,INDIRECT($C$5&amp;"生成成长"),2))/((VLOOKUP($B237,INDIRECT($B$5&amp;"生成成长"),4))/(VLOOKUP(J$72,INDIRECT($C$5&amp;"生成成长"),5))*(VLOOKUP($B$5,标准坦克设计!$B$24:$U$30,MATCH("对"&amp;LEFT($C$5,2)&amp;"输出",标准坦克设计!$B$23:$U$23,0)))*(VLOOKUP($B237,INDIRECT($B$5&amp;"生成成长"),3))*(VLOOKUP($B$5,标准坦克设计!$B$14:$K$20,9)/30))</f>
        <v>0.68086576427201051</v>
      </c>
      <c r="K237" s="173">
        <f ca="1">(VLOOKUP(K$72,INDIRECT($C$5&amp;"生成成长"),2))/((VLOOKUP($B237,INDIRECT($B$5&amp;"生成成长"),4))/(VLOOKUP(K$72,INDIRECT($C$5&amp;"生成成长"),5))*(VLOOKUP($B$5,标准坦克设计!$B$24:$U$30,MATCH("对"&amp;LEFT($C$5,2)&amp;"输出",标准坦克设计!$B$23:$U$23,0)))*(VLOOKUP($B237,INDIRECT($B$5&amp;"生成成长"),3))*(VLOOKUP($B$5,标准坦克设计!$B$14:$K$20,9)/30))</f>
        <v>0.76589583217007595</v>
      </c>
      <c r="L237" s="173">
        <f ca="1">(VLOOKUP(L$72,INDIRECT($C$5&amp;"生成成长"),2))/((VLOOKUP($B237,INDIRECT($B$5&amp;"生成成长"),4))/(VLOOKUP(L$72,INDIRECT($C$5&amp;"生成成长"),5))*(VLOOKUP($B$5,标准坦克设计!$B$24:$U$30,MATCH("对"&amp;LEFT($C$5,2)&amp;"输出",标准坦克设计!$B$23:$U$23,0)))*(VLOOKUP($B237,INDIRECT($B$5&amp;"生成成长"),3))*(VLOOKUP($B$5,标准坦克设计!$B$14:$K$20,9)/30))</f>
        <v>0.85592766876802773</v>
      </c>
      <c r="M237" s="173">
        <f ca="1">(VLOOKUP(M$72,INDIRECT($C$5&amp;"生成成长"),2))/((VLOOKUP($B237,INDIRECT($B$5&amp;"生成成长"),4))/(VLOOKUP(M$72,INDIRECT($C$5&amp;"生成成长"),5))*(VLOOKUP($B$5,标准坦克设计!$B$24:$U$30,MATCH("对"&amp;LEFT($C$5,2)&amp;"输出",标准坦克设计!$B$23:$U$23,0)))*(VLOOKUP($B237,INDIRECT($B$5&amp;"生成成长"),3))*(VLOOKUP($B$5,标准坦克设计!$B$14:$K$20,9)/30))</f>
        <v>0.95096127406586584</v>
      </c>
      <c r="N237" s="173">
        <f ca="1">(VLOOKUP(N$72,INDIRECT($C$5&amp;"生成成长"),2))/((VLOOKUP($B237,INDIRECT($B$5&amp;"生成成长"),4))/(VLOOKUP(N$72,INDIRECT($C$5&amp;"生成成长"),5))*(VLOOKUP($B$5,标准坦克设计!$B$24:$U$30,MATCH("对"&amp;LEFT($C$5,2)&amp;"输出",标准坦克设计!$B$23:$U$23,0)))*(VLOOKUP($B237,INDIRECT($B$5&amp;"生成成长"),3))*(VLOOKUP($B$5,标准坦克设计!$B$14:$K$20,9)/30))</f>
        <v>1.0509966480635897</v>
      </c>
      <c r="O237" s="173">
        <f ca="1">(VLOOKUP(O$72,INDIRECT($C$5&amp;"生成成长"),2))/((VLOOKUP($B237,INDIRECT($B$5&amp;"生成成长"),4))/(VLOOKUP(O$72,INDIRECT($C$5&amp;"生成成长"),5))*(VLOOKUP($B$5,标准坦克设计!$B$24:$U$30,MATCH("对"&amp;LEFT($C$5,2)&amp;"输出",标准坦克设计!$B$23:$U$23,0)))*(VLOOKUP($B237,INDIRECT($B$5&amp;"生成成长"),3))*(VLOOKUP($B$5,标准坦克设计!$B$14:$K$20,9)/30))</f>
        <v>0.79907162612478999</v>
      </c>
      <c r="P237" s="173">
        <f ca="1">(VLOOKUP(P$72,INDIRECT($C$5&amp;"生成成长"),2))/((VLOOKUP($B237,INDIRECT($B$5&amp;"生成成长"),4))/(VLOOKUP(P$72,INDIRECT($C$5&amp;"生成成长"),5))*(VLOOKUP($B$5,标准坦克设计!$B$24:$U$30,MATCH("对"&amp;LEFT($C$5,2)&amp;"输出",标准坦克设计!$B$23:$U$23,0)))*(VLOOKUP($B237,INDIRECT($B$5&amp;"生成成长"),3))*(VLOOKUP($B$5,标准坦克设计!$B$14:$K$20,9)/30))</f>
        <v>0.90281925032946087</v>
      </c>
      <c r="Q237" s="173">
        <f ca="1">(VLOOKUP(Q$72,INDIRECT($C$5&amp;"生成成长"),2))/((VLOOKUP($B237,INDIRECT($B$5&amp;"生成成长"),4))/(VLOOKUP(Q$72,INDIRECT($C$5&amp;"生成成长"),5))*(VLOOKUP($B$5,标准坦克设计!$B$24:$U$30,MATCH("对"&amp;LEFT($C$5,2)&amp;"输出",标准坦克设计!$B$23:$U$23,0)))*(VLOOKUP($B237,INDIRECT($B$5&amp;"生成成长"),3))*(VLOOKUP($B$5,标准坦克设计!$B$14:$K$20,9)/30))</f>
        <v>1.0128972380449255</v>
      </c>
      <c r="R237" s="173">
        <f ca="1">(VLOOKUP(R$72,INDIRECT($C$5&amp;"生成成长"),2))/((VLOOKUP($B237,INDIRECT($B$5&amp;"生成成长"),4))/(VLOOKUP(R$72,INDIRECT($C$5&amp;"生成成长"),5))*(VLOOKUP($B$5,标准坦克设计!$B$24:$U$30,MATCH("对"&amp;LEFT($C$5,2)&amp;"输出",标准坦克设计!$B$23:$U$23,0)))*(VLOOKUP($B237,INDIRECT($B$5&amp;"生成成长"),3))*(VLOOKUP($B$5,标准坦克设计!$B$14:$K$20,9)/30))</f>
        <v>1.1293055892711834</v>
      </c>
      <c r="S237" s="173">
        <f ca="1">(VLOOKUP(S$72,INDIRECT($C$5&amp;"生成成长"),2))/((VLOOKUP($B237,INDIRECT($B$5&amp;"生成成长"),4))/(VLOOKUP(S$72,INDIRECT($C$5&amp;"生成成长"),5))*(VLOOKUP($B$5,标准坦克设计!$B$24:$U$30,MATCH("对"&amp;LEFT($C$5,2)&amp;"输出",标准坦克设计!$B$23:$U$23,0)))*(VLOOKUP($B237,INDIRECT($B$5&amp;"生成成长"),3))*(VLOOKUP($B$5,标准坦克设计!$B$14:$K$20,9)/30))</f>
        <v>1.2520443040082347</v>
      </c>
      <c r="T237" s="173">
        <f ca="1">(VLOOKUP(T$72,INDIRECT($C$5&amp;"生成成长"),2))/((VLOOKUP($B237,INDIRECT($B$5&amp;"生成成长"),4))/(VLOOKUP(T$72,INDIRECT($C$5&amp;"生成成长"),5))*(VLOOKUP($B$5,标准坦克设计!$B$24:$U$30,MATCH("对"&amp;LEFT($C$5,2)&amp;"输出",标准坦克设计!$B$23:$U$23,0)))*(VLOOKUP($B237,INDIRECT($B$5&amp;"生成成长"),3))*(VLOOKUP($B$5,标准坦克设计!$B$14:$K$20,9)/30))</f>
        <v>1.3811133822560797</v>
      </c>
      <c r="U237" s="173">
        <f ca="1">(VLOOKUP(U$72,INDIRECT($C$5&amp;"生成成长"),2))/((VLOOKUP($B237,INDIRECT($B$5&amp;"生成成长"),4))/(VLOOKUP(U$72,INDIRECT($C$5&amp;"生成成长"),5))*(VLOOKUP($B$5,标准坦克设计!$B$24:$U$30,MATCH("对"&amp;LEFT($C$5,2)&amp;"输出",标准坦克设计!$B$23:$U$23,0)))*(VLOOKUP($B237,INDIRECT($B$5&amp;"生成成长"),3))*(VLOOKUP($B$5,标准坦克设计!$B$14:$K$20,9)/30))</f>
        <v>1.5165128240147183</v>
      </c>
      <c r="V237" s="173">
        <f ca="1">(VLOOKUP(V$72,INDIRECT($C$5&amp;"生成成长"),2))/((VLOOKUP($B237,INDIRECT($B$5&amp;"生成成长"),4))/(VLOOKUP(V$72,INDIRECT($C$5&amp;"生成成长"),5))*(VLOOKUP($B$5,标准坦克设计!$B$24:$U$30,MATCH("对"&amp;LEFT($C$5,2)&amp;"输出",标准坦克设计!$B$23:$U$23,0)))*(VLOOKUP($B237,INDIRECT($B$5&amp;"生成成长"),3))*(VLOOKUP($B$5,标准坦克设计!$B$14:$K$20,9)/30))</f>
        <v>1.6582426292841503</v>
      </c>
      <c r="W237" s="173">
        <f ca="1">(VLOOKUP(W$72,INDIRECT($C$5&amp;"生成成长"),2))/((VLOOKUP($B237,INDIRECT($B$5&amp;"生成成长"),4))/(VLOOKUP(W$72,INDIRECT($C$5&amp;"生成成长"),5))*(VLOOKUP($B$5,标准坦克设计!$B$24:$U$30,MATCH("对"&amp;LEFT($C$5,2)&amp;"输出",标准坦克设计!$B$23:$U$23,0)))*(VLOOKUP($B237,INDIRECT($B$5&amp;"生成成长"),3))*(VLOOKUP($B$5,标准坦克设计!$B$14:$K$20,9)/30))</f>
        <v>1.8063027980643758</v>
      </c>
      <c r="X237" s="173">
        <f ca="1">(VLOOKUP(X$72,INDIRECT($C$5&amp;"生成成长"),2))/((VLOOKUP($B237,INDIRECT($B$5&amp;"生成成长"),4))/(VLOOKUP(X$72,INDIRECT($C$5&amp;"生成成长"),5))*(VLOOKUP($B$5,标准坦克设计!$B$24:$U$30,MATCH("对"&amp;LEFT($C$5,2)&amp;"输出",标准坦克设计!$B$23:$U$23,0)))*(VLOOKUP($B237,INDIRECT($B$5&amp;"生成成长"),3))*(VLOOKUP($B$5,标准坦克设计!$B$14:$K$20,9)/30))</f>
        <v>1.3086268124256977</v>
      </c>
      <c r="Y237" s="173">
        <f ca="1">(VLOOKUP(Y$72,INDIRECT($C$5&amp;"生成成长"),2))/((VLOOKUP($B237,INDIRECT($B$5&amp;"生成成长"),4))/(VLOOKUP(Y$72,INDIRECT($C$5&amp;"生成成长"),5))*(VLOOKUP($B$5,标准坦克设计!$B$24:$U$30,MATCH("对"&amp;LEFT($C$5,2)&amp;"输出",标准坦克设计!$B$23:$U$23,0)))*(VLOOKUP($B237,INDIRECT($B$5&amp;"生成成长"),3))*(VLOOKUP($B$5,标准坦克设计!$B$14:$K$20,9)/30))</f>
        <v>1.4555537679848554</v>
      </c>
      <c r="Z237" s="173">
        <f ca="1">(VLOOKUP(Z$72,INDIRECT($C$5&amp;"生成成长"),2))/((VLOOKUP($B237,INDIRECT($B$5&amp;"生成成长"),4))/(VLOOKUP(Z$72,INDIRECT($C$5&amp;"生成成长"),5))*(VLOOKUP($B$5,标准坦克设计!$B$24:$U$30,MATCH("对"&amp;LEFT($C$5,2)&amp;"输出",标准坦克设计!$B$23:$U$23,0)))*(VLOOKUP($B237,INDIRECT($B$5&amp;"生成成长"),3))*(VLOOKUP($B$5,标准坦克设计!$B$14:$K$20,9)/30))</f>
        <v>1.6102959871375848</v>
      </c>
      <c r="AA237" s="173">
        <f ca="1">(VLOOKUP(AA$72,INDIRECT($C$5&amp;"生成成长"),2))/((VLOOKUP($B237,INDIRECT($B$5&amp;"生成成长"),4))/(VLOOKUP(AA$72,INDIRECT($C$5&amp;"生成成长"),5))*(VLOOKUP($B$5,标准坦克设计!$B$24:$U$30,MATCH("对"&amp;LEFT($C$5,2)&amp;"输出",标准坦克设计!$B$23:$U$23,0)))*(VLOOKUP($B237,INDIRECT($B$5&amp;"生成成长"),3))*(VLOOKUP($B$5,标准坦克设计!$B$14:$K$20,9)/30))</f>
        <v>1.7728534698838867</v>
      </c>
      <c r="AB237" s="173">
        <f ca="1">(VLOOKUP(AB$72,INDIRECT($C$5&amp;"生成成长"),2))/((VLOOKUP($B237,INDIRECT($B$5&amp;"生成成长"),4))/(VLOOKUP(AB$72,INDIRECT($C$5&amp;"生成成长"),5))*(VLOOKUP($B$5,标准坦克设计!$B$24:$U$30,MATCH("对"&amp;LEFT($C$5,2)&amp;"输出",标准坦克设计!$B$23:$U$23,0)))*(VLOOKUP($B237,INDIRECT($B$5&amp;"生成成长"),3))*(VLOOKUP($B$5,标准坦克设计!$B$14:$K$20,9)/30))</f>
        <v>1.9432262162237608</v>
      </c>
      <c r="AC237" s="173">
        <f ca="1">(VLOOKUP(AC$72,INDIRECT($C$5&amp;"生成成长"),2))/((VLOOKUP($B237,INDIRECT($B$5&amp;"生成成长"),4))/(VLOOKUP(AC$72,INDIRECT($C$5&amp;"生成成长"),5))*(VLOOKUP($B$5,标准坦克设计!$B$24:$U$30,MATCH("对"&amp;LEFT($C$5,2)&amp;"输出",标准坦克设计!$B$23:$U$23,0)))*(VLOOKUP($B237,INDIRECT($B$5&amp;"生成成长"),3))*(VLOOKUP($B$5,标准坦克设计!$B$14:$K$20,9)/30))</f>
        <v>2.1214142261572069</v>
      </c>
      <c r="AD237" s="173">
        <f ca="1">(VLOOKUP(AD$72,INDIRECT($C$5&amp;"生成成长"),2))/((VLOOKUP($B237,INDIRECT($B$5&amp;"生成成长"),4))/(VLOOKUP(AD$72,INDIRECT($C$5&amp;"生成成长"),5))*(VLOOKUP($B$5,标准坦克设计!$B$24:$U$30,MATCH("对"&amp;LEFT($C$5,2)&amp;"输出",标准坦克设计!$B$23:$U$23,0)))*(VLOOKUP($B237,INDIRECT($B$5&amp;"生成成长"),3))*(VLOOKUP($B$5,标准坦克设计!$B$14:$K$20,9)/30))</f>
        <v>2.3074174996842256</v>
      </c>
      <c r="AE237" s="173">
        <f ca="1">(VLOOKUP(AE$72,INDIRECT($C$5&amp;"生成成长"),2))/((VLOOKUP($B237,INDIRECT($B$5&amp;"生成成长"),4))/(VLOOKUP(AE$72,INDIRECT($C$5&amp;"生成成长"),5))*(VLOOKUP($B$5,标准坦克设计!$B$24:$U$30,MATCH("对"&amp;LEFT($C$5,2)&amp;"输出",标准坦克设计!$B$23:$U$23,0)))*(VLOOKUP($B237,INDIRECT($B$5&amp;"生成成长"),3))*(VLOOKUP($B$5,标准坦克设计!$B$14:$K$20,9)/30))</f>
        <v>2.5012360368048161</v>
      </c>
      <c r="AF237" s="173">
        <f ca="1">(VLOOKUP(AF$72,INDIRECT($C$5&amp;"生成成长"),2))/((VLOOKUP($B237,INDIRECT($B$5&amp;"生成成长"),4))/(VLOOKUP(AF$72,INDIRECT($C$5&amp;"生成成长"),5))*(VLOOKUP($B$5,标准坦克设计!$B$24:$U$30,MATCH("对"&amp;LEFT($C$5,2)&amp;"输出",标准坦克设计!$B$23:$U$23,0)))*(VLOOKUP($B237,INDIRECT($B$5&amp;"生成成长"),3))*(VLOOKUP($B$5,标准坦克设计!$B$14:$K$20,9)/30))</f>
        <v>2.7028698375189788</v>
      </c>
      <c r="AG237" s="173">
        <f ca="1">(VLOOKUP(AG$72,INDIRECT($C$5&amp;"生成成长"),2))/((VLOOKUP($B237,INDIRECT($B$5&amp;"生成成长"),4))/(VLOOKUP(AG$72,INDIRECT($C$5&amp;"生成成长"),5))*(VLOOKUP($B$5,标准坦克设计!$B$24:$U$30,MATCH("对"&amp;LEFT($C$5,2)&amp;"输出",标准坦克设计!$B$23:$U$23,0)))*(VLOOKUP($B237,INDIRECT($B$5&amp;"生成成长"),3))*(VLOOKUP($B$5,标准坦克设计!$B$14:$K$20,9)/30))</f>
        <v>2.9123189018267137</v>
      </c>
      <c r="AH237" s="173">
        <f ca="1">(VLOOKUP(AH$72,INDIRECT($C$5&amp;"生成成长"),2))/((VLOOKUP($B237,INDIRECT($B$5&amp;"生成成长"),4))/(VLOOKUP(AH$72,INDIRECT($C$5&amp;"生成成长"),5))*(VLOOKUP($B$5,标准坦克设计!$B$24:$U$30,MATCH("对"&amp;LEFT($C$5,2)&amp;"输出",标准坦克设计!$B$23:$U$23,0)))*(VLOOKUP($B237,INDIRECT($B$5&amp;"生成成长"),3))*(VLOOKUP($B$5,标准坦克设计!$B$14:$K$20,9)/30))</f>
        <v>3.1295832297280213</v>
      </c>
      <c r="AI237" s="173">
        <f ca="1">(VLOOKUP(AI$72,INDIRECT($C$5&amp;"生成成长"),2))/((VLOOKUP($B237,INDIRECT($B$5&amp;"生成成长"),4))/(VLOOKUP(AI$72,INDIRECT($C$5&amp;"生成成长"),5))*(VLOOKUP($B$5,标准坦克设计!$B$24:$U$30,MATCH("对"&amp;LEFT($C$5,2)&amp;"输出",标准坦克设计!$B$23:$U$23,0)))*(VLOOKUP($B237,INDIRECT($B$5&amp;"生成成长"),3))*(VLOOKUP($B$5,标准坦克设计!$B$14:$K$20,9)/30))</f>
        <v>2.2134389549715197</v>
      </c>
      <c r="AJ237" s="173">
        <f ca="1">(VLOOKUP(AJ$72,INDIRECT($C$5&amp;"生成成长"),2))/((VLOOKUP($B237,INDIRECT($B$5&amp;"生成成长"),4))/(VLOOKUP(AJ$72,INDIRECT($C$5&amp;"生成成长"),5))*(VLOOKUP($B$5,标准坦克设计!$B$24:$U$30,MATCH("对"&amp;LEFT($C$5,2)&amp;"输出",标准坦克设计!$B$23:$U$23,0)))*(VLOOKUP($B237,INDIRECT($B$5&amp;"生成成长"),3))*(VLOOKUP($B$5,标准坦克设计!$B$14:$K$20,9)/30))</f>
        <v>2.4227707903253513</v>
      </c>
      <c r="AK237" s="173">
        <f ca="1">(VLOOKUP(AK$72,INDIRECT($C$5&amp;"生成成长"),2))/((VLOOKUP($B237,INDIRECT($B$5&amp;"生成成长"),4))/(VLOOKUP(AK$72,INDIRECT($C$5&amp;"生成成长"),5))*(VLOOKUP($B$5,标准坦克设计!$B$24:$U$30,MATCH("对"&amp;LEFT($C$5,2)&amp;"输出",标准坦克设计!$B$23:$U$23,0)))*(VLOOKUP($B237,INDIRECT($B$5&amp;"生成成长"),3))*(VLOOKUP($B$5,标准坦克设计!$B$14:$K$20,9)/30))</f>
        <v>2.6415590946274046</v>
      </c>
      <c r="AL237" s="173">
        <f ca="1">(VLOOKUP(AL$72,INDIRECT($C$5&amp;"生成成长"),2))/((VLOOKUP($B237,INDIRECT($B$5&amp;"生成成长"),4))/(VLOOKUP(AL$72,INDIRECT($C$5&amp;"生成成长"),5))*(VLOOKUP($B$5,标准坦克设计!$B$24:$U$30,MATCH("对"&amp;LEFT($C$5,2)&amp;"输出",标准坦克设计!$B$23:$U$23,0)))*(VLOOKUP($B237,INDIRECT($B$5&amp;"生成成长"),3))*(VLOOKUP($B$5,标准坦克设计!$B$14:$K$20,9)/30))</f>
        <v>2.8698038678776814</v>
      </c>
      <c r="AM237" s="173">
        <f ca="1">(VLOOKUP(AM$72,INDIRECT($C$5&amp;"生成成长"),2))/((VLOOKUP($B237,INDIRECT($B$5&amp;"生成成长"),4))/(VLOOKUP(AM$72,INDIRECT($C$5&amp;"生成成长"),5))*(VLOOKUP($B$5,标准坦克设计!$B$24:$U$30,MATCH("对"&amp;LEFT($C$5,2)&amp;"输出",标准坦克设计!$B$23:$U$23,0)))*(VLOOKUP($B237,INDIRECT($B$5&amp;"生成成长"),3))*(VLOOKUP($B$5,标准坦克设计!$B$14:$K$20,9)/30))</f>
        <v>3.1075051100761795</v>
      </c>
      <c r="AN237" s="173">
        <f ca="1">(VLOOKUP(AN$72,INDIRECT($C$5&amp;"生成成长"),2))/((VLOOKUP($B237,INDIRECT($B$5&amp;"生成成长"),4))/(VLOOKUP(AN$72,INDIRECT($C$5&amp;"生成成长"),5))*(VLOOKUP($B$5,标准坦克设计!$B$24:$U$30,MATCH("对"&amp;LEFT($C$5,2)&amp;"输出",标准坦克设计!$B$23:$U$23,0)))*(VLOOKUP($B237,INDIRECT($B$5&amp;"生成成长"),3))*(VLOOKUP($B$5,标准坦克设计!$B$14:$K$20,9)/30))</f>
        <v>3.3546628212228997</v>
      </c>
      <c r="AO237" s="173">
        <f ca="1">(VLOOKUP(AO$72,INDIRECT($C$5&amp;"生成成长"),2))/((VLOOKUP($B237,INDIRECT($B$5&amp;"生成成长"),4))/(VLOOKUP(AO$72,INDIRECT($C$5&amp;"生成成长"),5))*(VLOOKUP($B$5,标准坦克设计!$B$24:$U$30,MATCH("对"&amp;LEFT($C$5,2)&amp;"输出",标准坦克设计!$B$23:$U$23,0)))*(VLOOKUP($B237,INDIRECT($B$5&amp;"生成成长"),3))*(VLOOKUP($B$5,标准坦克设计!$B$14:$K$20,9)/30))</f>
        <v>3.6112770013178435</v>
      </c>
      <c r="AP237" s="173">
        <f ca="1">(VLOOKUP(AP$72,INDIRECT($C$5&amp;"生成成长"),2))/((VLOOKUP($B237,INDIRECT($B$5&amp;"生成成长"),4))/(VLOOKUP(AP$72,INDIRECT($C$5&amp;"生成成长"),5))*(VLOOKUP($B$5,标准坦克设计!$B$24:$U$30,MATCH("对"&amp;LEFT($C$5,2)&amp;"输出",标准坦克设计!$B$23:$U$23,0)))*(VLOOKUP($B237,INDIRECT($B$5&amp;"生成成长"),3))*(VLOOKUP($B$5,标准坦克设计!$B$14:$K$20,9)/30))</f>
        <v>3.8773476503610103</v>
      </c>
      <c r="AQ237" s="173">
        <f ca="1">(VLOOKUP(AQ$72,INDIRECT($C$5&amp;"生成成长"),2))/((VLOOKUP($B237,INDIRECT($B$5&amp;"生成成长"),4))/(VLOOKUP(AQ$72,INDIRECT($C$5&amp;"生成成长"),5))*(VLOOKUP($B$5,标准坦克设计!$B$24:$U$30,MATCH("对"&amp;LEFT($C$5,2)&amp;"输出",标准坦克设计!$B$23:$U$23,0)))*(VLOOKUP($B237,INDIRECT($B$5&amp;"生成成长"),3))*(VLOOKUP($B$5,标准坦克设计!$B$14:$K$20,9)/30))</f>
        <v>4.1528747683523983</v>
      </c>
      <c r="AR237" s="173">
        <f ca="1">(VLOOKUP(AR$72,INDIRECT($C$5&amp;"生成成长"),2))/((VLOOKUP($B237,INDIRECT($B$5&amp;"生成成长"),4))/(VLOOKUP(AR$72,INDIRECT($C$5&amp;"生成成长"),5))*(VLOOKUP($B$5,标准坦克设计!$B$24:$U$30,MATCH("对"&amp;LEFT($C$5,2)&amp;"输出",标准坦克设计!$B$23:$U$23,0)))*(VLOOKUP($B237,INDIRECT($B$5&amp;"生成成长"),3))*(VLOOKUP($B$5,标准坦克设计!$B$14:$K$20,9)/30))</f>
        <v>4.4378583552920077</v>
      </c>
      <c r="AS237" s="173">
        <f ca="1">(VLOOKUP(AS$72,INDIRECT($C$5&amp;"生成成长"),2))/((VLOOKUP($B237,INDIRECT($B$5&amp;"生成成长"),4))/(VLOOKUP(AS$72,INDIRECT($C$5&amp;"生成成长"),5))*(VLOOKUP($B$5,标准坦克设计!$B$24:$U$30,MATCH("对"&amp;LEFT($C$5,2)&amp;"输出",标准坦克设计!$B$23:$U$23,0)))*(VLOOKUP($B237,INDIRECT($B$5&amp;"生成成长"),3))*(VLOOKUP($B$5,标准坦克设计!$B$14:$K$20,9)/30))</f>
        <v>4.7322984111798414</v>
      </c>
      <c r="AT237" s="173">
        <f ca="1">(VLOOKUP(AT$72,INDIRECT($C$5&amp;"生成成长"),2))/((VLOOKUP($B237,INDIRECT($B$5&amp;"生成成长"),4))/(VLOOKUP(AT$72,INDIRECT($C$5&amp;"生成成长"),5))*(VLOOKUP($B$5,标准坦克设计!$B$24:$U$30,MATCH("对"&amp;LEFT($C$5,2)&amp;"输出",标准坦克设计!$B$23:$U$23,0)))*(VLOOKUP($B237,INDIRECT($B$5&amp;"生成成长"),3))*(VLOOKUP($B$5,标准坦克设计!$B$14:$K$20,9)/30))</f>
        <v>5.0361949360158969</v>
      </c>
      <c r="AU237" s="173">
        <f ca="1">(VLOOKUP(AU$72,INDIRECT($C$5&amp;"生成成长"),2))/((VLOOKUP($B237,INDIRECT($B$5&amp;"生成成长"),4))/(VLOOKUP(AU$72,INDIRECT($C$5&amp;"生成成长"),5))*(VLOOKUP($B$5,标准坦克设计!$B$24:$U$30,MATCH("对"&amp;LEFT($C$5,2)&amp;"输出",标准坦克设计!$B$23:$U$23,0)))*(VLOOKUP($B237,INDIRECT($B$5&amp;"生成成长"),3))*(VLOOKUP($B$5,标准坦克设计!$B$14:$K$20,9)/30))</f>
        <v>5.3495479298001731</v>
      </c>
      <c r="AV237" s="173">
        <f ca="1">(VLOOKUP(AV$72,INDIRECT($C$5&amp;"生成成长"),2))/((VLOOKUP($B237,INDIRECT($B$5&amp;"生成成长"),4))/(VLOOKUP(AV$72,INDIRECT($C$5&amp;"生成成长"),5))*(VLOOKUP($B$5,标准坦克设计!$B$24:$U$30,MATCH("对"&amp;LEFT($C$5,2)&amp;"输出",标准坦克设计!$B$23:$U$23,0)))*(VLOOKUP($B237,INDIRECT($B$5&amp;"生成成长"),3))*(VLOOKUP($B$5,标准坦克设计!$B$14:$K$20,9)/30))</f>
        <v>0.54409865138449687</v>
      </c>
      <c r="AW237" s="173">
        <f ca="1">(VLOOKUP(AW$72,INDIRECT($C$5&amp;"生成成长"),2))/((VLOOKUP($B237,INDIRECT($B$5&amp;"生成成长"),4))/(VLOOKUP(AW$72,INDIRECT($C$5&amp;"生成成长"),5))*(VLOOKUP($B$5,标准坦克设计!$B$24:$U$30,MATCH("对"&amp;LEFT($C$5,2)&amp;"输出",标准坦克设计!$B$23:$U$23,0)))*(VLOOKUP($B237,INDIRECT($B$5&amp;"生成成长"),3))*(VLOOKUP($B$5,标准坦克设计!$B$14:$K$20,9)/30))</f>
        <v>0.62037562405776159</v>
      </c>
      <c r="AX237" s="173">
        <f ca="1">(VLOOKUP(AX$72,INDIRECT($C$5&amp;"生成成长"),2))/((VLOOKUP($B237,INDIRECT($B$5&amp;"生成成长"),4))/(VLOOKUP(AX$72,INDIRECT($C$5&amp;"生成成长"),5))*(VLOOKUP($B$5,标准坦克设计!$B$24:$U$30,MATCH("对"&amp;LEFT($C$5,2)&amp;"输出",标准坦克设计!$B$23:$U$23,0)))*(VLOOKUP($B237,INDIRECT($B$5&amp;"生成成长"),3))*(VLOOKUP($B$5,标准坦克设计!$B$14:$K$20,9)/30))</f>
        <v>0.70165436543091253</v>
      </c>
      <c r="AY237" s="173">
        <f ca="1">(VLOOKUP(AY$72,INDIRECT($C$5&amp;"生成成长"),2))/((VLOOKUP($B237,INDIRECT($B$5&amp;"生成成长"),4))/(VLOOKUP(AY$72,INDIRECT($C$5&amp;"生成成长"),5))*(VLOOKUP($B$5,标准坦克设计!$B$24:$U$30,MATCH("对"&amp;LEFT($C$5,2)&amp;"输出",标准坦克设计!$B$23:$U$23,0)))*(VLOOKUP($B237,INDIRECT($B$5&amp;"生成成长"),3))*(VLOOKUP($B$5,标准坦克设计!$B$14:$K$20,9)/30))</f>
        <v>0.78793487550394958</v>
      </c>
      <c r="AZ237" s="173">
        <f ca="1">(VLOOKUP(AZ$72,INDIRECT($C$5&amp;"生成成长"),2))/((VLOOKUP($B237,INDIRECT($B$5&amp;"生成成长"),4))/(VLOOKUP(AZ$72,INDIRECT($C$5&amp;"生成成长"),5))*(VLOOKUP($B$5,标准坦克设计!$B$24:$U$30,MATCH("对"&amp;LEFT($C$5,2)&amp;"输出",标准坦克设计!$B$23:$U$23,0)))*(VLOOKUP($B237,INDIRECT($B$5&amp;"生成成长"),3))*(VLOOKUP($B$5,标准坦克设计!$B$14:$K$20,9)/30))</f>
        <v>0.87921715427687286</v>
      </c>
      <c r="BA237" s="173">
        <f ca="1">(VLOOKUP(BA$72,INDIRECT($C$5&amp;"生成成长"),2))/((VLOOKUP($B237,INDIRECT($B$5&amp;"生成成长"),4))/(VLOOKUP(BA$72,INDIRECT($C$5&amp;"生成成长"),5))*(VLOOKUP($B$5,标准坦克设计!$B$24:$U$30,MATCH("对"&amp;LEFT($C$5,2)&amp;"输出",标准坦克设计!$B$23:$U$23,0)))*(VLOOKUP($B237,INDIRECT($B$5&amp;"生成成长"),3))*(VLOOKUP($B$5,标准坦克设计!$B$14:$K$20,9)/30))</f>
        <v>0.97550120174968247</v>
      </c>
      <c r="BB237" s="173">
        <f ca="1">(VLOOKUP(BB$72,INDIRECT($C$5&amp;"生成成长"),2))/((VLOOKUP($B237,INDIRECT($B$5&amp;"生成成长"),4))/(VLOOKUP(BB$72,INDIRECT($C$5&amp;"生成成长"),5))*(VLOOKUP($B$5,标准坦克设计!$B$24:$U$30,MATCH("对"&amp;LEFT($C$5,2)&amp;"输出",标准坦克设计!$B$23:$U$23,0)))*(VLOOKUP($B237,INDIRECT($B$5&amp;"生成成长"),3))*(VLOOKUP($B$5,标准坦克设计!$B$14:$K$20,9)/30))</f>
        <v>1.076787017922378</v>
      </c>
      <c r="BC237" s="173">
        <f ca="1">(VLOOKUP(BC$72,INDIRECT($C$5&amp;"生成成长"),2))/((VLOOKUP($B237,INDIRECT($B$5&amp;"生成成长"),4))/(VLOOKUP(BC$72,INDIRECT($C$5&amp;"生成成长"),5))*(VLOOKUP($B$5,标准坦克设计!$B$24:$U$30,MATCH("对"&amp;LEFT($C$5,2)&amp;"输出",标准坦克设计!$B$23:$U$23,0)))*(VLOOKUP($B237,INDIRECT($B$5&amp;"生成成长"),3))*(VLOOKUP($B$5,标准坦克设计!$B$14:$K$20,9)/30))</f>
        <v>1.1830746027949604</v>
      </c>
      <c r="BD237" s="173">
        <f ca="1">(VLOOKUP(BD$72,INDIRECT($C$5&amp;"生成成长"),2))/((VLOOKUP($B237,INDIRECT($B$5&amp;"生成成长"),4))/(VLOOKUP(BD$72,INDIRECT($C$5&amp;"生成成长"),5))*(VLOOKUP($B$5,标准坦克设计!$B$24:$U$30,MATCH("对"&amp;LEFT($C$5,2)&amp;"输出",标准坦克设计!$B$23:$U$23,0)))*(VLOOKUP($B237,INDIRECT($B$5&amp;"生成成长"),3))*(VLOOKUP($B$5,标准坦克设计!$B$14:$K$20,9)/30))</f>
        <v>1.3086268124256977</v>
      </c>
      <c r="BE237" s="173">
        <f ca="1">(VLOOKUP(BE$72,INDIRECT($C$5&amp;"生成成长"),2))/((VLOOKUP($B237,INDIRECT($B$5&amp;"生成成长"),4))/(VLOOKUP(BE$72,INDIRECT($C$5&amp;"生成成长"),5))*(VLOOKUP($B$5,标准坦克设计!$B$24:$U$30,MATCH("对"&amp;LEFT($C$5,2)&amp;"输出",标准坦克设计!$B$23:$U$23,0)))*(VLOOKUP($B237,INDIRECT($B$5&amp;"生成成长"),3))*(VLOOKUP($B$5,标准坦克设计!$B$14:$K$20,9)/30))</f>
        <v>1.4405093855672289</v>
      </c>
      <c r="BF237" s="173">
        <f ca="1">(VLOOKUP(BF$72,INDIRECT($C$5&amp;"生成成长"),2))/((VLOOKUP($B237,INDIRECT($B$5&amp;"生成成长"),4))/(VLOOKUP(BF$72,INDIRECT($C$5&amp;"生成成长"),5))*(VLOOKUP($B$5,标准坦克设计!$B$24:$U$30,MATCH("对"&amp;LEFT($C$5,2)&amp;"输出",标准坦克设计!$B$23:$U$23,0)))*(VLOOKUP($B237,INDIRECT($B$5&amp;"生成成长"),3))*(VLOOKUP($B$5,标准坦克设计!$B$14:$K$20,9)/30))</f>
        <v>1.578722322219553</v>
      </c>
      <c r="BG237" s="173">
        <f ca="1">(VLOOKUP(BG$72,INDIRECT($C$5&amp;"生成成长"),2))/((VLOOKUP($B237,INDIRECT($B$5&amp;"生成成长"),4))/(VLOOKUP(BG$72,INDIRECT($C$5&amp;"生成成长"),5))*(VLOOKUP($B$5,标准坦克设计!$B$24:$U$30,MATCH("对"&amp;LEFT($C$5,2)&amp;"输出",标准坦克设计!$B$23:$U$23,0)))*(VLOOKUP($B237,INDIRECT($B$5&amp;"生成成长"),3))*(VLOOKUP($B$5,标准坦克设计!$B$14:$K$20,9)/30))</f>
        <v>1.7232656223826712</v>
      </c>
      <c r="BH237" s="173">
        <f ca="1">(VLOOKUP(BH$72,INDIRECT($C$5&amp;"生成成长"),2))/((VLOOKUP($B237,INDIRECT($B$5&amp;"生成成长"),4))/(VLOOKUP(BH$72,INDIRECT($C$5&amp;"生成成长"),5))*(VLOOKUP($B$5,标准坦克设计!$B$24:$U$30,MATCH("对"&amp;LEFT($C$5,2)&amp;"输出",标准坦克设计!$B$23:$U$23,0)))*(VLOOKUP($B237,INDIRECT($B$5&amp;"生成成长"),3))*(VLOOKUP($B$5,标准坦克设计!$B$14:$K$20,9)/30))</f>
        <v>0.83295079380292536</v>
      </c>
      <c r="BI237" s="173">
        <f ca="1">(VLOOKUP(BI$72,INDIRECT($C$5&amp;"生成成长"),2))/((VLOOKUP($B237,INDIRECT($B$5&amp;"生成成长"),4))/(VLOOKUP(BI$72,INDIRECT($C$5&amp;"生成成长"),5))*(VLOOKUP($B$5,标准坦克设计!$B$24:$U$30,MATCH("对"&amp;LEFT($C$5,2)&amp;"输出",标准坦克设计!$B$23:$U$23,0)))*(VLOOKUP($B237,INDIRECT($B$5&amp;"生成成长"),3))*(VLOOKUP($B$5,标准坦克设计!$B$14:$K$20,9)/30))</f>
        <v>0.93880853917786089</v>
      </c>
      <c r="BJ237" s="173">
        <f ca="1">(VLOOKUP(BJ$72,INDIRECT($C$5&amp;"生成成长"),2))/((VLOOKUP($B237,INDIRECT($B$5&amp;"生成成长"),4))/(VLOOKUP(BJ$72,INDIRECT($C$5&amp;"生成成长"),5))*(VLOOKUP($B$5,标准坦克设计!$B$24:$U$30,MATCH("对"&amp;LEFT($C$5,2)&amp;"输出",标准坦克设计!$B$23:$U$23,0)))*(VLOOKUP($B237,INDIRECT($B$5&amp;"生成成长"),3))*(VLOOKUP($B$5,标准坦克设计!$B$14:$K$20,9)/30))</f>
        <v>1.0509966480635897</v>
      </c>
      <c r="BK237" s="173">
        <f ca="1">(VLOOKUP(BK$72,INDIRECT($C$5&amp;"生成成长"),2))/((VLOOKUP($B237,INDIRECT($B$5&amp;"生成成长"),4))/(VLOOKUP(BK$72,INDIRECT($C$5&amp;"生成成长"),5))*(VLOOKUP($B$5,标准坦克设计!$B$24:$U$30,MATCH("对"&amp;LEFT($C$5,2)&amp;"输出",标准坦克设计!$B$23:$U$23,0)))*(VLOOKUP($B237,INDIRECT($B$5&amp;"生成成长"),3))*(VLOOKUP($B$5,标准坦克设计!$B$14:$K$20,9)/30))</f>
        <v>1.1695151204601122</v>
      </c>
      <c r="BL237" s="173">
        <f ca="1">(VLOOKUP(BL$72,INDIRECT($C$5&amp;"生成成长"),2))/((VLOOKUP($B237,INDIRECT($B$5&amp;"生成成长"),4))/(VLOOKUP(BL$72,INDIRECT($C$5&amp;"生成成长"),5))*(VLOOKUP($B$5,标准坦克设计!$B$24:$U$30,MATCH("对"&amp;LEFT($C$5,2)&amp;"输出",标准坦克设计!$B$23:$U$23,0)))*(VLOOKUP($B237,INDIRECT($B$5&amp;"生成成长"),3))*(VLOOKUP($B$5,标准坦克设计!$B$14:$K$20,9)/30))</f>
        <v>1.2943639563674283</v>
      </c>
      <c r="BM237" s="173">
        <f ca="1">(VLOOKUP(BM$72,INDIRECT($C$5&amp;"生成成长"),2))/((VLOOKUP($B237,INDIRECT($B$5&amp;"生成成长"),4))/(VLOOKUP(BM$72,INDIRECT($C$5&amp;"生成成长"),5))*(VLOOKUP($B$5,标准坦克设计!$B$24:$U$30,MATCH("对"&amp;LEFT($C$5,2)&amp;"输出",标准坦克设计!$B$23:$U$23,0)))*(VLOOKUP($B237,INDIRECT($B$5&amp;"生成成长"),3))*(VLOOKUP($B$5,标准坦克设计!$B$14:$K$20,9)/30))</f>
        <v>1.4255431557855378</v>
      </c>
      <c r="BN237" s="173">
        <f ca="1">(VLOOKUP(BN$72,INDIRECT($C$5&amp;"生成成长"),2))/((VLOOKUP($B237,INDIRECT($B$5&amp;"生成成长"),4))/(VLOOKUP(BN$72,INDIRECT($C$5&amp;"生成成长"),5))*(VLOOKUP($B$5,标准坦克设计!$B$24:$U$30,MATCH("对"&amp;LEFT($C$5,2)&amp;"输出",标准坦克设计!$B$23:$U$23,0)))*(VLOOKUP($B237,INDIRECT($B$5&amp;"生成成长"),3))*(VLOOKUP($B$5,标准坦克设计!$B$14:$K$20,9)/30))</f>
        <v>1.5630527187144405</v>
      </c>
      <c r="BO237" s="173">
        <f ca="1">(VLOOKUP(BO$72,INDIRECT($C$5&amp;"生成成长"),2))/((VLOOKUP($B237,INDIRECT($B$5&amp;"生成成长"),4))/(VLOOKUP(BO$72,INDIRECT($C$5&amp;"生成成长"),5))*(VLOOKUP($B$5,标准坦克设计!$B$24:$U$30,MATCH("对"&amp;LEFT($C$5,2)&amp;"输出",标准坦克设计!$B$23:$U$23,0)))*(VLOOKUP($B237,INDIRECT($B$5&amp;"生成成长"),3))*(VLOOKUP($B$5,标准坦克设计!$B$14:$K$20,9)/30))</f>
        <v>1.7068926451541373</v>
      </c>
      <c r="BP237" s="173">
        <f ca="1">(VLOOKUP(BP$72,INDIRECT($C$5&amp;"生成成长"),2))/((VLOOKUP($B237,INDIRECT($B$5&amp;"生成成长"),4))/(VLOOKUP(BP$72,INDIRECT($C$5&amp;"生成成长"),5))*(VLOOKUP($B$5,标准坦克设计!$B$24:$U$30,MATCH("对"&amp;LEFT($C$5,2)&amp;"输出",标准坦克设计!$B$23:$U$23,0)))*(VLOOKUP($B237,INDIRECT($B$5&amp;"生成成长"),3))*(VLOOKUP($B$5,标准坦克设计!$B$14:$K$20,9)/30))</f>
        <v>1.8570629351046271</v>
      </c>
      <c r="BQ237" s="173">
        <f ca="1">(VLOOKUP(BQ$72,INDIRECT($C$5&amp;"生成成长"),2))/((VLOOKUP($B237,INDIRECT($B$5&amp;"生成成长"),4))/(VLOOKUP(BQ$72,INDIRECT($C$5&amp;"生成成长"),5))*(VLOOKUP($B$5,标准坦克设计!$B$24:$U$30,MATCH("对"&amp;LEFT($C$5,2)&amp;"输出",标准坦克设计!$B$23:$U$23,0)))*(VLOOKUP($B237,INDIRECT($B$5&amp;"生成成长"),3))*(VLOOKUP($B$5,标准坦克设计!$B$14:$K$20,9)/30))</f>
        <v>2.0135635885659102</v>
      </c>
      <c r="BR237" s="173">
        <f ca="1">(VLOOKUP(BR$72,INDIRECT($C$5&amp;"生成成长"),2))/((VLOOKUP($B237,INDIRECT($B$5&amp;"生成成长"),4))/(VLOOKUP(BR$72,INDIRECT($C$5&amp;"生成成长"),5))*(VLOOKUP($B$5,标准坦克设计!$B$24:$U$30,MATCH("对"&amp;LEFT($C$5,2)&amp;"输出",标准坦克设计!$B$23:$U$23,0)))*(VLOOKUP($B237,INDIRECT($B$5&amp;"生成成长"),3))*(VLOOKUP($B$5,标准坦克设计!$B$14:$K$20,9)/30))</f>
        <v>2.1948777039367857</v>
      </c>
      <c r="BS237" s="173">
        <f ca="1">(VLOOKUP(BS$72,INDIRECT($C$5&amp;"生成成长"),2))/((VLOOKUP($B237,INDIRECT($B$5&amp;"生成成长"),4))/(VLOOKUP(BS$72,INDIRECT($C$5&amp;"生成成长"),5))*(VLOOKUP($B$5,标准坦克设计!$B$24:$U$30,MATCH("对"&amp;LEFT($C$5,2)&amp;"输出",标准坦克设计!$B$23:$U$23,0)))*(VLOOKUP($B237,INDIRECT($B$5&amp;"生成成长"),3))*(VLOOKUP($B$5,标准坦克设计!$B$14:$K$20,9)/30))</f>
        <v>2.384007082901233</v>
      </c>
      <c r="BT237" s="173">
        <f ca="1">(VLOOKUP(BT$72,INDIRECT($C$5&amp;"生成成长"),2))/((VLOOKUP($B237,INDIRECT($B$5&amp;"生成成长"),4))/(VLOOKUP(BT$72,INDIRECT($C$5&amp;"生成成长"),5))*(VLOOKUP($B$5,标准坦克设计!$B$24:$U$30,MATCH("对"&amp;LEFT($C$5,2)&amp;"输出",标准坦克设计!$B$23:$U$23,0)))*(VLOOKUP($B237,INDIRECT($B$5&amp;"生成成长"),3))*(VLOOKUP($B$5,标准坦克设计!$B$14:$K$20,9)/30))</f>
        <v>2.5809517254592524</v>
      </c>
      <c r="BU237" s="173">
        <f ca="1">(VLOOKUP(BU$72,INDIRECT($C$5&amp;"生成成长"),2))/((VLOOKUP($B237,INDIRECT($B$5&amp;"生成成长"),4))/(VLOOKUP(BU$72,INDIRECT($C$5&amp;"生成成长"),5))*(VLOOKUP($B$5,标准坦克设计!$B$24:$U$30,MATCH("对"&amp;LEFT($C$5,2)&amp;"输出",标准坦克设计!$B$23:$U$23,0)))*(VLOOKUP($B237,INDIRECT($B$5&amp;"生成成长"),3))*(VLOOKUP($B$5,标准坦克设计!$B$14:$K$20,9)/30))</f>
        <v>2.7857116316108441</v>
      </c>
      <c r="BV237" s="173">
        <f ca="1">(VLOOKUP(BV$72,INDIRECT($C$5&amp;"生成成长"),2))/((VLOOKUP($B237,INDIRECT($B$5&amp;"生成成长"),4))/(VLOOKUP(BV$72,INDIRECT($C$5&amp;"生成成长"),5))*(VLOOKUP($B$5,标准坦克设计!$B$24:$U$30,MATCH("对"&amp;LEFT($C$5,2)&amp;"输出",标准坦克设计!$B$23:$U$23,0)))*(VLOOKUP($B237,INDIRECT($B$5&amp;"生成成长"),3))*(VLOOKUP($B$5,标准坦克设计!$B$14:$K$20,9)/30))</f>
        <v>2.998286801356008</v>
      </c>
      <c r="BW237" s="173">
        <f ca="1">(VLOOKUP(BW$72,INDIRECT($C$5&amp;"生成成长"),2))/((VLOOKUP($B237,INDIRECT($B$5&amp;"生成成长"),4))/(VLOOKUP(BW$72,INDIRECT($C$5&amp;"生成成长"),5))*(VLOOKUP($B$5,标准坦克设计!$B$24:$U$30,MATCH("对"&amp;LEFT($C$5,2)&amp;"输出",标准坦克设计!$B$23:$U$23,0)))*(VLOOKUP($B237,INDIRECT($B$5&amp;"生成成长"),3))*(VLOOKUP($B$5,标准坦克设计!$B$14:$K$20,9)/30))</f>
        <v>1.3664597630181319</v>
      </c>
      <c r="BX237" s="173">
        <f ca="1">(VLOOKUP(BX$72,INDIRECT($C$5&amp;"生成成长"),2))/((VLOOKUP($B237,INDIRECT($B$5&amp;"生成成长"),4))/(VLOOKUP(BX$72,INDIRECT($C$5&amp;"生成成长"),5))*(VLOOKUP($B$5,标准坦克设计!$B$24:$U$30,MATCH("对"&amp;LEFT($C$5,2)&amp;"输出",标准坦克设计!$B$23:$U$23,0)))*(VLOOKUP($B237,INDIRECT($B$5&amp;"生成成长"),3))*(VLOOKUP($B$5,标准坦克设计!$B$14:$K$20,9)/30))</f>
        <v>1.5165128240147183</v>
      </c>
      <c r="BY237" s="173">
        <f ca="1">(VLOOKUP(BY$72,INDIRECT($C$5&amp;"生成成长"),2))/((VLOOKUP($B237,INDIRECT($B$5&amp;"生成成长"),4))/(VLOOKUP(BY$72,INDIRECT($C$5&amp;"生成成长"),5))*(VLOOKUP($B$5,标准坦克设计!$B$24:$U$30,MATCH("对"&amp;LEFT($C$5,2)&amp;"输出",标准坦克设计!$B$23:$U$23,0)))*(VLOOKUP($B237,INDIRECT($B$5&amp;"生成成长"),3))*(VLOOKUP($B$5,标准坦克设计!$B$14:$K$20,9)/30))</f>
        <v>1.6743811486048765</v>
      </c>
      <c r="BZ237" s="173">
        <f ca="1">(VLOOKUP(BZ$72,INDIRECT($C$5&amp;"生成成长"),2))/((VLOOKUP($B237,INDIRECT($B$5&amp;"生成成长"),4))/(VLOOKUP(BZ$72,INDIRECT($C$5&amp;"生成成长"),5))*(VLOOKUP($B$5,标准坦克设计!$B$24:$U$30,MATCH("对"&amp;LEFT($C$5,2)&amp;"输出",标准坦克设计!$B$23:$U$23,0)))*(VLOOKUP($B237,INDIRECT($B$5&amp;"生成成长"),3))*(VLOOKUP($B$5,标准坦克设计!$B$14:$K$20,9)/30))</f>
        <v>1.8400647367886074</v>
      </c>
      <c r="CA237" s="173">
        <f ca="1">(VLOOKUP(CA$72,INDIRECT($C$5&amp;"生成成长"),2))/((VLOOKUP($B237,INDIRECT($B$5&amp;"生成成长"),4))/(VLOOKUP(CA$72,INDIRECT($C$5&amp;"生成成长"),5))*(VLOOKUP($B$5,标准坦克设计!$B$24:$U$30,MATCH("对"&amp;LEFT($C$5,2)&amp;"输出",标准坦克设计!$B$23:$U$23,0)))*(VLOOKUP($B237,INDIRECT($B$5&amp;"生成成长"),3))*(VLOOKUP($B$5,标准坦克设计!$B$14:$K$20,9)/30))</f>
        <v>2.0135635885659102</v>
      </c>
      <c r="CB237" s="173">
        <f ca="1">(VLOOKUP(CB$72,INDIRECT($C$5&amp;"生成成长"),2))/((VLOOKUP($B237,INDIRECT($B$5&amp;"生成成长"),4))/(VLOOKUP(CB$72,INDIRECT($C$5&amp;"生成成长"),5))*(VLOOKUP($B$5,标准坦克设计!$B$24:$U$30,MATCH("对"&amp;LEFT($C$5,2)&amp;"输出",标准坦克设计!$B$23:$U$23,0)))*(VLOOKUP($B237,INDIRECT($B$5&amp;"生成成长"),3))*(VLOOKUP($B$5,标准坦克设计!$B$14:$K$20,9)/30))</f>
        <v>2.1948777039367857</v>
      </c>
      <c r="CC237" s="173">
        <f ca="1">(VLOOKUP(CC$72,INDIRECT($C$5&amp;"生成成长"),2))/((VLOOKUP($B237,INDIRECT($B$5&amp;"生成成长"),4))/(VLOOKUP(CC$72,INDIRECT($C$5&amp;"生成成长"),5))*(VLOOKUP($B$5,标准坦克设计!$B$24:$U$30,MATCH("对"&amp;LEFT($C$5,2)&amp;"输出",标准坦克设计!$B$23:$U$23,0)))*(VLOOKUP($B237,INDIRECT($B$5&amp;"生成成长"),3))*(VLOOKUP($B$5,标准坦克设计!$B$14:$K$20,9)/30))</f>
        <v>2.384007082901233</v>
      </c>
      <c r="CD237" s="173">
        <f ca="1">(VLOOKUP(CD$72,INDIRECT($C$5&amp;"生成成长"),2))/((VLOOKUP($B237,INDIRECT($B$5&amp;"生成成长"),4))/(VLOOKUP(CD$72,INDIRECT($C$5&amp;"生成成长"),5))*(VLOOKUP($B$5,标准坦克设计!$B$24:$U$30,MATCH("对"&amp;LEFT($C$5,2)&amp;"输出",标准坦克设计!$B$23:$U$23,0)))*(VLOOKUP($B237,INDIRECT($B$5&amp;"生成成长"),3))*(VLOOKUP($B$5,标准坦克设计!$B$14:$K$20,9)/30))</f>
        <v>2.5809517254592524</v>
      </c>
      <c r="CE237" s="173">
        <f ca="1">(VLOOKUP(CE$72,INDIRECT($C$5&amp;"生成成长"),2))/((VLOOKUP($B237,INDIRECT($B$5&amp;"生成成长"),4))/(VLOOKUP(CE$72,INDIRECT($C$5&amp;"生成成长"),5))*(VLOOKUP($B$5,标准坦克设计!$B$24:$U$30,MATCH("对"&amp;LEFT($C$5,2)&amp;"输出",标准坦克设计!$B$23:$U$23,0)))*(VLOOKUP($B237,INDIRECT($B$5&amp;"生成成长"),3))*(VLOOKUP($B$5,标准坦克设计!$B$14:$K$20,9)/30))</f>
        <v>2.7857116316108441</v>
      </c>
      <c r="CF237" s="173">
        <f ca="1">(VLOOKUP(CF$72,INDIRECT($C$5&amp;"生成成长"),2))/((VLOOKUP($B237,INDIRECT($B$5&amp;"生成成长"),4))/(VLOOKUP(CF$72,INDIRECT($C$5&amp;"生成成长"),5))*(VLOOKUP($B$5,标准坦克设计!$B$24:$U$30,MATCH("对"&amp;LEFT($C$5,2)&amp;"输出",标准坦克设计!$B$23:$U$23,0)))*(VLOOKUP($B237,INDIRECT($B$5&amp;"生成成长"),3))*(VLOOKUP($B$5,标准坦克设计!$B$14:$K$20,9)/30))</f>
        <v>2.998286801356008</v>
      </c>
      <c r="CG237" s="173">
        <f ca="1">(VLOOKUP(CG$72,INDIRECT($C$5&amp;"生成成长"),2))/((VLOOKUP($B237,INDIRECT($B$5&amp;"生成成长"),4))/(VLOOKUP(CG$72,INDIRECT($C$5&amp;"生成成长"),5))*(VLOOKUP($B$5,标准坦克设计!$B$24:$U$30,MATCH("对"&amp;LEFT($C$5,2)&amp;"输出",标准坦克设计!$B$23:$U$23,0)))*(VLOOKUP($B237,INDIRECT($B$5&amp;"生成成长"),3))*(VLOOKUP($B$5,标准坦克设计!$B$14:$K$20,9)/30))</f>
        <v>3.2186772346947441</v>
      </c>
      <c r="CH237" s="173">
        <f ca="1">(VLOOKUP(CH$72,INDIRECT($C$5&amp;"生成成长"),2))/((VLOOKUP($B237,INDIRECT($B$5&amp;"生成成长"),4))/(VLOOKUP(CH$72,INDIRECT($C$5&amp;"生成成长"),5))*(VLOOKUP($B$5,标准坦克设计!$B$24:$U$30,MATCH("对"&amp;LEFT($C$5,2)&amp;"输出",标准坦克设计!$B$23:$U$23,0)))*(VLOOKUP($B237,INDIRECT($B$5&amp;"生成成长"),3))*(VLOOKUP($B$5,标准坦克设计!$B$14:$K$20,9)/30))</f>
        <v>3.4468829316270524</v>
      </c>
      <c r="CI237" s="173">
        <f ca="1">(VLOOKUP(CI$72,INDIRECT($C$5&amp;"生成成长"),2))/((VLOOKUP($B237,INDIRECT($B$5&amp;"生成成长"),4))/(VLOOKUP(CI$72,INDIRECT($C$5&amp;"生成成长"),5))*(VLOOKUP($B$5,标准坦克设计!$B$24:$U$30,MATCH("对"&amp;LEFT($C$5,2)&amp;"输出",标准坦克设计!$B$23:$U$23,0)))*(VLOOKUP($B237,INDIRECT($B$5&amp;"生成成长"),3))*(VLOOKUP($B$5,标准坦克设计!$B$14:$K$20,9)/30))</f>
        <v>3.7069358277031674</v>
      </c>
      <c r="CJ237" s="173">
        <f ca="1">(VLOOKUP(CJ$72,INDIRECT($C$5&amp;"生成成长"),2))/((VLOOKUP($B237,INDIRECT($B$5&amp;"生成成长"),4))/(VLOOKUP(CJ$72,INDIRECT($C$5&amp;"生成成长"),5))*(VLOOKUP($B$5,标准坦克设计!$B$24:$U$30,MATCH("对"&amp;LEFT($C$5,2)&amp;"输出",标准坦克设计!$B$23:$U$23,0)))*(VLOOKUP($B237,INDIRECT($B$5&amp;"生成成长"),3))*(VLOOKUP($B$5,标准坦克设计!$B$14:$K$20,9)/30))</f>
        <v>3.9764451927275051</v>
      </c>
      <c r="CK237" s="173">
        <f ca="1">(VLOOKUP(CK$72,INDIRECT($C$5&amp;"生成成长"),2))/((VLOOKUP($B237,INDIRECT($B$5&amp;"生成成长"),4))/(VLOOKUP(CK$72,INDIRECT($C$5&amp;"生成成长"),5))*(VLOOKUP($B$5,标准坦克设计!$B$24:$U$30,MATCH("对"&amp;LEFT($C$5,2)&amp;"输出",标准坦克设计!$B$23:$U$23,0)))*(VLOOKUP($B237,INDIRECT($B$5&amp;"生成成长"),3))*(VLOOKUP($B$5,标准坦克设计!$B$14:$K$20,9)/30))</f>
        <v>4.2554110267000649</v>
      </c>
      <c r="CL237" s="173">
        <f ca="1">(VLOOKUP(CL$72,INDIRECT($C$5&amp;"生成成长"),2))/((VLOOKUP($B237,INDIRECT($B$5&amp;"生成成长"),4))/(VLOOKUP(CL$72,INDIRECT($C$5&amp;"生成成长"),5))*(VLOOKUP($B$5,标准坦克设计!$B$24:$U$30,MATCH("对"&amp;LEFT($C$5,2)&amp;"输出",标准坦克设计!$B$23:$U$23,0)))*(VLOOKUP($B237,INDIRECT($B$5&amp;"生成成长"),3))*(VLOOKUP($B$5,标准坦克设计!$B$14:$K$20,9)/30))</f>
        <v>4.5438333296208464</v>
      </c>
      <c r="CM237" s="173">
        <f ca="1">(VLOOKUP(CM$72,INDIRECT($C$5&amp;"生成成长"),2))/((VLOOKUP($B237,INDIRECT($B$5&amp;"生成成长"),4))/(VLOOKUP(CM$72,INDIRECT($C$5&amp;"生成成长"),5))*(VLOOKUP($B$5,标准坦克设计!$B$24:$U$30,MATCH("对"&amp;LEFT($C$5,2)&amp;"输出",标准坦克设计!$B$23:$U$23,0)))*(VLOOKUP($B237,INDIRECT($B$5&amp;"生成成长"),3))*(VLOOKUP($B$5,标准坦克设计!$B$14:$K$20,9)/30))</f>
        <v>4.8417121014898514</v>
      </c>
      <c r="CN237" s="173">
        <f ca="1">(VLOOKUP(CN$72,INDIRECT($C$5&amp;"生成成长"),2))/((VLOOKUP($B237,INDIRECT($B$5&amp;"生成成长"),4))/(VLOOKUP(CN$72,INDIRECT($C$5&amp;"生成成长"),5))*(VLOOKUP($B$5,标准坦克设计!$B$24:$U$30,MATCH("对"&amp;LEFT($C$5,2)&amp;"输出",标准坦克设计!$B$23:$U$23,0)))*(VLOOKUP($B237,INDIRECT($B$5&amp;"生成成长"),3))*(VLOOKUP($B$5,标准坦克设计!$B$14:$K$20,9)/30))</f>
        <v>5.1490473423070791</v>
      </c>
      <c r="CO237" s="173">
        <f ca="1">(VLOOKUP(CO$72,INDIRECT($C$5&amp;"生成成长"),2))/((VLOOKUP($B237,INDIRECT($B$5&amp;"生成成长"),4))/(VLOOKUP(CO$72,INDIRECT($C$5&amp;"生成成长"),5))*(VLOOKUP($B$5,标准坦克设计!$B$24:$U$30,MATCH("对"&amp;LEFT($C$5,2)&amp;"输出",标准坦克设计!$B$23:$U$23,0)))*(VLOOKUP($B237,INDIRECT($B$5&amp;"生成成长"),3))*(VLOOKUP($B$5,标准坦克设计!$B$14:$K$20,9)/30))</f>
        <v>2.3074174996842256</v>
      </c>
      <c r="CP237" s="173">
        <f ca="1">(VLOOKUP(CP$72,INDIRECT($C$5&amp;"生成成长"),2))/((VLOOKUP($B237,INDIRECT($B$5&amp;"生成成长"),4))/(VLOOKUP(CP$72,INDIRECT($C$5&amp;"生成成长"),5))*(VLOOKUP($B$5,标准坦克设计!$B$24:$U$30,MATCH("对"&amp;LEFT($C$5,2)&amp;"输出",标准坦克设计!$B$23:$U$23,0)))*(VLOOKUP($B237,INDIRECT($B$5&amp;"生成成长"),3))*(VLOOKUP($B$5,标准坦克设计!$B$14:$K$20,9)/30))</f>
        <v>2.521047730014522</v>
      </c>
      <c r="CQ237" s="173">
        <f ca="1">(VLOOKUP(CQ$72,INDIRECT($C$5&amp;"生成成长"),2))/((VLOOKUP($B237,INDIRECT($B$5&amp;"生成成长"),4))/(VLOOKUP(CQ$72,INDIRECT($C$5&amp;"生成成长"),5))*(VLOOKUP($B$5,标准坦克设计!$B$24:$U$30,MATCH("对"&amp;LEFT($C$5,2)&amp;"输出",标准坦克设计!$B$23:$U$23,0)))*(VLOOKUP($B237,INDIRECT($B$5&amp;"生成成长"),3))*(VLOOKUP($B$5,标准坦克设计!$B$14:$K$20,9)/30))</f>
        <v>2.7441344292930396</v>
      </c>
      <c r="CR237" s="173">
        <f ca="1">(VLOOKUP(CR$72,INDIRECT($C$5&amp;"生成成长"),2))/((VLOOKUP($B237,INDIRECT($B$5&amp;"生成成长"),4))/(VLOOKUP(CR$72,INDIRECT($C$5&amp;"生成成长"),5))*(VLOOKUP($B$5,标准坦克设计!$B$24:$U$30,MATCH("对"&amp;LEFT($C$5,2)&amp;"输出",标准坦克设计!$B$23:$U$23,0)))*(VLOOKUP($B237,INDIRECT($B$5&amp;"生成成长"),3))*(VLOOKUP($B$5,标准坦克设计!$B$14:$K$20,9)/30))</f>
        <v>2.9766775975197808</v>
      </c>
      <c r="CS237" s="173">
        <f ca="1">(VLOOKUP(CS$72,INDIRECT($C$5&amp;"生成成长"),2))/((VLOOKUP($B237,INDIRECT($B$5&amp;"生成成长"),4))/(VLOOKUP(CS$72,INDIRECT($C$5&amp;"生成成长"),5))*(VLOOKUP($B$5,标准坦克设计!$B$24:$U$30,MATCH("对"&amp;LEFT($C$5,2)&amp;"输出",标准坦克设计!$B$23:$U$23,0)))*(VLOOKUP($B237,INDIRECT($B$5&amp;"生成成长"),3))*(VLOOKUP($B$5,标准坦克设计!$B$14:$K$20,9)/30))</f>
        <v>3.2186772346947441</v>
      </c>
      <c r="CT237" s="173">
        <f ca="1">(VLOOKUP(CT$72,INDIRECT($C$5&amp;"生成成长"),2))/((VLOOKUP($B237,INDIRECT($B$5&amp;"生成成长"),4))/(VLOOKUP(CT$72,INDIRECT($C$5&amp;"生成成长"),5))*(VLOOKUP($B$5,标准坦克设计!$B$24:$U$30,MATCH("对"&amp;LEFT($C$5,2)&amp;"输出",标准坦克设计!$B$23:$U$23,0)))*(VLOOKUP($B237,INDIRECT($B$5&amp;"生成成长"),3))*(VLOOKUP($B$5,标准坦克设计!$B$14:$K$20,9)/30))</f>
        <v>3.47013334081793</v>
      </c>
      <c r="CU237" s="173">
        <f ca="1">(VLOOKUP(CU$72,INDIRECT($C$5&amp;"生成成长"),2))/((VLOOKUP($B237,INDIRECT($B$5&amp;"生成成长"),4))/(VLOOKUP(CU$72,INDIRECT($C$5&amp;"生成成长"),5))*(VLOOKUP($B$5,标准坦克设计!$B$24:$U$30,MATCH("对"&amp;LEFT($C$5,2)&amp;"输出",标准坦克设计!$B$23:$U$23,0)))*(VLOOKUP($B237,INDIRECT($B$5&amp;"生成成长"),3))*(VLOOKUP($B$5,标准坦克设计!$B$14:$K$20,9)/30))</f>
        <v>3.7310459158893381</v>
      </c>
      <c r="CV237" s="173">
        <f ca="1">(VLOOKUP(CV$72,INDIRECT($C$5&amp;"生成成长"),2))/((VLOOKUP($B237,INDIRECT($B$5&amp;"生成成长"),4))/(VLOOKUP(CV$72,INDIRECT($C$5&amp;"生成成长"),5))*(VLOOKUP($B$5,标准坦克设计!$B$24:$U$30,MATCH("对"&amp;LEFT($C$5,2)&amp;"输出",标准坦克设计!$B$23:$U$23,0)))*(VLOOKUP($B237,INDIRECT($B$5&amp;"生成成长"),3))*(VLOOKUP($B$5,标准坦克设计!$B$14:$K$20,9)/30))</f>
        <v>4.0014149599089679</v>
      </c>
      <c r="CW237" s="173">
        <f ca="1">(VLOOKUP(CW$72,INDIRECT($C$5&amp;"生成成长"),2))/((VLOOKUP($B237,INDIRECT($B$5&amp;"生成成长"),4))/(VLOOKUP(CW$72,INDIRECT($C$5&amp;"生成成长"),5))*(VLOOKUP($B$5,标准坦克设计!$B$24:$U$30,MATCH("对"&amp;LEFT($C$5,2)&amp;"输出",标准坦克设计!$B$23:$U$23,0)))*(VLOOKUP($B237,INDIRECT($B$5&amp;"生成成长"),3))*(VLOOKUP($B$5,标准坦克设计!$B$14:$K$20,9)/30))</f>
        <v>4.2812404728768207</v>
      </c>
      <c r="CX237" s="173">
        <f ca="1">(VLOOKUP(CX$72,INDIRECT($C$5&amp;"生成成长"),2))/((VLOOKUP($B237,INDIRECT($B$5&amp;"生成成长"),4))/(VLOOKUP(CX$72,INDIRECT($C$5&amp;"生成成长"),5))*(VLOOKUP($B$5,标准坦克设计!$B$24:$U$30,MATCH("对"&amp;LEFT($C$5,2)&amp;"输出",标准坦克设计!$B$23:$U$23,0)))*(VLOOKUP($B237,INDIRECT($B$5&amp;"生成成长"),3))*(VLOOKUP($B$5,标准坦克设计!$B$14:$K$20,9)/30))</f>
        <v>4.5705224547928962</v>
      </c>
      <c r="CY237" s="173">
        <f ca="1">(VLOOKUP(CY$72,INDIRECT($C$5&amp;"生成成长"),2))/((VLOOKUP($B237,INDIRECT($B$5&amp;"生成成长"),4))/(VLOOKUP(CY$72,INDIRECT($C$5&amp;"生成成长"),5))*(VLOOKUP($B$5,标准坦克设计!$B$24:$U$30,MATCH("对"&amp;LEFT($C$5,2)&amp;"输出",标准坦克设计!$B$23:$U$23,0)))*(VLOOKUP($B237,INDIRECT($B$5&amp;"生成成长"),3))*(VLOOKUP($B$5,标准坦克设计!$B$14:$K$20,9)/30))</f>
        <v>4.8692609056571934</v>
      </c>
      <c r="CZ237" s="173">
        <f ca="1">(VLOOKUP(CZ$72,INDIRECT($C$5&amp;"生成成长"),2))/((VLOOKUP($B237,INDIRECT($B$5&amp;"生成成长"),4))/(VLOOKUP(CZ$72,INDIRECT($C$5&amp;"生成成长"),5))*(VLOOKUP($B$5,标准坦克设计!$B$24:$U$30,MATCH("对"&amp;LEFT($C$5,2)&amp;"输出",标准坦克设计!$B$23:$U$23,0)))*(VLOOKUP($B237,INDIRECT($B$5&amp;"生成成长"),3))*(VLOOKUP($B$5,标准坦克设计!$B$14:$K$20,9)/30))</f>
        <v>5.1774558254697132</v>
      </c>
      <c r="DA237" s="173">
        <f ca="1">(VLOOKUP(DA$72,INDIRECT($C$5&amp;"生成成长"),2))/((VLOOKUP($B237,INDIRECT($B$5&amp;"生成成长"),4))/(VLOOKUP(DA$72,INDIRECT($C$5&amp;"生成成长"),5))*(VLOOKUP($B$5,标准坦克设计!$B$24:$U$30,MATCH("对"&amp;LEFT($C$5,2)&amp;"输出",标准坦克设计!$B$23:$U$23,0)))*(VLOOKUP($B237,INDIRECT($B$5&amp;"生成成长"),3))*(VLOOKUP($B$5,标准坦克设计!$B$14:$K$20,9)/30))</f>
        <v>5.4951072142304547</v>
      </c>
      <c r="DB237" s="173">
        <f ca="1">(VLOOKUP(DB$72,INDIRECT($C$5&amp;"生成成长"),2))/((VLOOKUP($B237,INDIRECT($B$5&amp;"生成成长"),4))/(VLOOKUP(DB$72,INDIRECT($C$5&amp;"生成成长"),5))*(VLOOKUP($B$5,标准坦克设计!$B$24:$U$30,MATCH("对"&amp;LEFT($C$5,2)&amp;"输出",标准坦克设计!$B$23:$U$23,0)))*(VLOOKUP($B237,INDIRECT($B$5&amp;"生成成长"),3))*(VLOOKUP($B$5,标准坦克设计!$B$14:$K$20,9)/30))</f>
        <v>5.8222150719394214</v>
      </c>
      <c r="DC237" s="173">
        <f ca="1">(VLOOKUP(DC$72,INDIRECT($C$5&amp;"生成成长"),2))/((VLOOKUP($B237,INDIRECT($B$5&amp;"生成成长"),4))/(VLOOKUP(DC$72,INDIRECT($C$5&amp;"生成成长"),5))*(VLOOKUP($B$5,标准坦克设计!$B$24:$U$30,MATCH("对"&amp;LEFT($C$5,2)&amp;"输出",标准坦克设计!$B$23:$U$23,0)))*(VLOOKUP($B237,INDIRECT($B$5&amp;"生成成长"),3))*(VLOOKUP($B$5,标准坦克设计!$B$14:$K$20,9)/30))</f>
        <v>6.1898450713810558</v>
      </c>
      <c r="DD237" s="173">
        <f ca="1">(VLOOKUP(DD$72,INDIRECT($C$5&amp;"生成成长"),2))/((VLOOKUP($B237,INDIRECT($B$5&amp;"生成成长"),4))/(VLOOKUP(DD$72,INDIRECT($C$5&amp;"生成成长"),5))*(VLOOKUP($B$5,标准坦克设计!$B$24:$U$30,MATCH("对"&amp;LEFT($C$5,2)&amp;"输出",标准坦克设计!$B$23:$U$23,0)))*(VLOOKUP($B237,INDIRECT($B$5&amp;"生成成长"),3))*(VLOOKUP($B$5,标准坦克设计!$B$14:$K$20,9)/30))</f>
        <v>6.5687290503974376</v>
      </c>
      <c r="DE237" s="173">
        <f ca="1">(VLOOKUP(DE$72,INDIRECT($C$5&amp;"生成成长"),2))/((VLOOKUP($B237,INDIRECT($B$5&amp;"生成成长"),4))/(VLOOKUP(DE$72,INDIRECT($C$5&amp;"生成成长"),5))*(VLOOKUP($B$5,标准坦克设计!$B$24:$U$30,MATCH("对"&amp;LEFT($C$5,2)&amp;"输出",标准坦克设计!$B$23:$U$23,0)))*(VLOOKUP($B237,INDIRECT($B$5&amp;"生成成长"),3))*(VLOOKUP($B$5,标准坦克设计!$B$14:$K$20,9)/30))</f>
        <v>6.9588670089885625</v>
      </c>
      <c r="DF237" s="173">
        <f ca="1">(VLOOKUP(DF$72,INDIRECT($C$5&amp;"生成成长"),2))/((VLOOKUP($B237,INDIRECT($B$5&amp;"生成成长"),4))/(VLOOKUP(DF$72,INDIRECT($C$5&amp;"生成成长"),5))*(VLOOKUP($B$5,标准坦克设计!$B$24:$U$30,MATCH("对"&amp;LEFT($C$5,2)&amp;"输出",标准坦克设计!$B$23:$U$23,0)))*(VLOOKUP($B237,INDIRECT($B$5&amp;"生成成长"),3))*(VLOOKUP($B$5,标准坦克设计!$B$14:$K$20,9)/30))</f>
        <v>7.3602589471544295</v>
      </c>
      <c r="DG237" s="173">
        <f ca="1">(VLOOKUP(DG$72,INDIRECT($C$5&amp;"生成成长"),2))/((VLOOKUP($B237,INDIRECT($B$5&amp;"生成成长"),4))/(VLOOKUP(DG$72,INDIRECT($C$5&amp;"生成成长"),5))*(VLOOKUP($B$5,标准坦克设计!$B$24:$U$30,MATCH("对"&amp;LEFT($C$5,2)&amp;"输出",标准坦克设计!$B$23:$U$23,0)))*(VLOOKUP($B237,INDIRECT($B$5&amp;"生成成长"),3))*(VLOOKUP($B$5,标准坦克设计!$B$14:$K$20,9)/30))</f>
        <v>7.7729048648950432</v>
      </c>
      <c r="DH237" s="173">
        <f ca="1">(VLOOKUP(DH$72,INDIRECT($C$5&amp;"生成成长"),2))/((VLOOKUP($B237,INDIRECT($B$5&amp;"生成成长"),4))/(VLOOKUP(DH$72,INDIRECT($C$5&amp;"生成成长"),5))*(VLOOKUP($B$5,标准坦克设计!$B$24:$U$30,MATCH("对"&amp;LEFT($C$5,2)&amp;"输出",标准坦克设计!$B$23:$U$23,0)))*(VLOOKUP($B237,INDIRECT($B$5&amp;"生成成长"),3))*(VLOOKUP($B$5,标准坦克设计!$B$14:$K$20,9)/30))</f>
        <v>8.1968047622103999</v>
      </c>
      <c r="DI237" s="173">
        <f ca="1">(VLOOKUP(DI$72,INDIRECT($C$5&amp;"生成成长"),2))/((VLOOKUP($B237,INDIRECT($B$5&amp;"生成成长"),4))/(VLOOKUP(DI$72,INDIRECT($C$5&amp;"生成成长"),5))*(VLOOKUP($B$5,标准坦克设计!$B$24:$U$30,MATCH("对"&amp;LEFT($C$5,2)&amp;"输出",标准坦克设计!$B$23:$U$23,0)))*(VLOOKUP($B237,INDIRECT($B$5&amp;"生成成长"),3))*(VLOOKUP($B$5,标准坦克设计!$B$14:$K$20,9)/30))</f>
        <v>8.6319586391004979</v>
      </c>
      <c r="DJ237" s="173">
        <f ca="1">(VLOOKUP(DJ$72,INDIRECT($C$5&amp;"生成成长"),2))/((VLOOKUP($B237,INDIRECT($B$5&amp;"生成成长"),4))/(VLOOKUP(DJ$72,INDIRECT($C$5&amp;"生成成长"),5))*(VLOOKUP($B$5,标准坦克设计!$B$24:$U$30,MATCH("对"&amp;LEFT($C$5,2)&amp;"输出",标准坦克设计!$B$23:$U$23,0)))*(VLOOKUP($B237,INDIRECT($B$5&amp;"生成成长"),3))*(VLOOKUP($B$5,标准坦克设计!$B$14:$K$20,9)/30))</f>
        <v>0.8675333352044825</v>
      </c>
      <c r="DK237" s="173">
        <f ca="1">(VLOOKUP(DK$72,INDIRECT($C$5&amp;"生成成长"),2))/((VLOOKUP($B237,INDIRECT($B$5&amp;"生成成长"),4))/(VLOOKUP(DK$72,INDIRECT($C$5&amp;"生成成长"),5))*(VLOOKUP($B$5,标准坦克设计!$B$24:$U$30,MATCH("对"&amp;LEFT($C$5,2)&amp;"输出",标准坦克设计!$B$23:$U$23,0)))*(VLOOKUP($B237,INDIRECT($B$5&amp;"生成成长"),3))*(VLOOKUP($B$5,标准坦克设计!$B$14:$K$20,9)/30))</f>
        <v>0.97550120174968247</v>
      </c>
      <c r="DL237" s="173">
        <f ca="1">(VLOOKUP(DL$72,INDIRECT($C$5&amp;"生成成长"),2))/((VLOOKUP($B237,INDIRECT($B$5&amp;"生成成长"),4))/(VLOOKUP(DL$72,INDIRECT($C$5&amp;"生成成长"),5))*(VLOOKUP($B$5,标准坦克设计!$B$24:$U$30,MATCH("对"&amp;LEFT($C$5,2)&amp;"输出",标准坦克设计!$B$23:$U$23,0)))*(VLOOKUP($B237,INDIRECT($B$5&amp;"生成成长"),3))*(VLOOKUP($B$5,标准坦克设计!$B$14:$K$20,9)/30))</f>
        <v>1.0897994318056758</v>
      </c>
      <c r="DM237" s="173">
        <f ca="1">(VLOOKUP(DM$72,INDIRECT($C$5&amp;"生成成长"),2))/((VLOOKUP($B237,INDIRECT($B$5&amp;"生成成长"),4))/(VLOOKUP(DM$72,INDIRECT($C$5&amp;"生成成长"),5))*(VLOOKUP($B$5,标准坦克设计!$B$24:$U$30,MATCH("对"&amp;LEFT($C$5,2)&amp;"输出",标准坦克设计!$B$23:$U$23,0)))*(VLOOKUP($B237,INDIRECT($B$5&amp;"生成成长"),3))*(VLOOKUP($B$5,标准坦克设计!$B$14:$K$20,9)/30))</f>
        <v>1.2104280253724629</v>
      </c>
      <c r="DN237" s="173">
        <f ca="1">(VLOOKUP(DN$72,INDIRECT($C$5&amp;"生成成长"),2))/((VLOOKUP($B237,INDIRECT($B$5&amp;"生成成长"),4))/(VLOOKUP(DN$72,INDIRECT($C$5&amp;"生成成长"),5))*(VLOOKUP($B$5,标准坦克设计!$B$24:$U$30,MATCH("对"&amp;LEFT($C$5,2)&amp;"输出",标准坦克设计!$B$23:$U$23,0)))*(VLOOKUP($B237,INDIRECT($B$5&amp;"生成成长"),3))*(VLOOKUP($B$5,标准坦克设计!$B$14:$K$20,9)/30))</f>
        <v>1.3373869824500433</v>
      </c>
      <c r="DO237" s="173">
        <f ca="1">(VLOOKUP(DO$72,INDIRECT($C$5&amp;"生成成长"),2))/((VLOOKUP($B237,INDIRECT($B$5&amp;"生成成长"),4))/(VLOOKUP(DO$72,INDIRECT($C$5&amp;"生成成长"),5))*(VLOOKUP($B$5,标准坦克设计!$B$24:$U$30,MATCH("对"&amp;LEFT($C$5,2)&amp;"输出",标准坦克设计!$B$23:$U$23,0)))*(VLOOKUP($B237,INDIRECT($B$5&amp;"生成成长"),3))*(VLOOKUP($B$5,标准坦克设计!$B$14:$K$20,9)/30))</f>
        <v>1.4706763030384171</v>
      </c>
      <c r="DP237" s="173">
        <f ca="1">(VLOOKUP(DP$72,INDIRECT($C$5&amp;"生成成长"),2))/((VLOOKUP($B237,INDIRECT($B$5&amp;"生成成长"),4))/(VLOOKUP(DP$72,INDIRECT($C$5&amp;"生成成长"),5))*(VLOOKUP($B$5,标准坦克设计!$B$24:$U$30,MATCH("对"&amp;LEFT($C$5,2)&amp;"输出",标准坦克设计!$B$23:$U$23,0)))*(VLOOKUP($B237,INDIRECT($B$5&amp;"生成成长"),3))*(VLOOKUP($B$5,标准坦克设计!$B$14:$K$20,9)/30))</f>
        <v>1.6102959871375848</v>
      </c>
      <c r="DQ237" s="173">
        <f ca="1">(VLOOKUP(DQ$72,INDIRECT($C$5&amp;"生成成长"),2))/((VLOOKUP($B237,INDIRECT($B$5&amp;"生成成长"),4))/(VLOOKUP(DQ$72,INDIRECT($C$5&amp;"生成成长"),5))*(VLOOKUP($B$5,标准坦克设计!$B$24:$U$30,MATCH("对"&amp;LEFT($C$5,2)&amp;"输出",标准坦克设计!$B$23:$U$23,0)))*(VLOOKUP($B237,INDIRECT($B$5&amp;"生成成长"),3))*(VLOOKUP($B$5,标准坦克设计!$B$14:$K$20,9)/30))</f>
        <v>1.7562460347475455</v>
      </c>
      <c r="DR237" s="173">
        <f ca="1">(VLOOKUP(DR$72,INDIRECT($C$5&amp;"生成成长"),2))/((VLOOKUP($B237,INDIRECT($B$5&amp;"生成成长"),4))/(VLOOKUP(DR$72,INDIRECT($C$5&amp;"生成成长"),5))*(VLOOKUP($B$5,标准坦克设计!$B$24:$U$30,MATCH("对"&amp;LEFT($C$5,2)&amp;"输出",标准坦克设计!$B$23:$U$23,0)))*(VLOOKUP($B237,INDIRECT($B$5&amp;"生成成长"),3))*(VLOOKUP($B$5,标准坦克设计!$B$14:$K$20,9)/30))</f>
        <v>1.9085264458683002</v>
      </c>
      <c r="DS237" s="173">
        <f ca="1">(VLOOKUP(DS$72,INDIRECT($C$5&amp;"生成成长"),2))/((VLOOKUP($B237,INDIRECT($B$5&amp;"生成成长"),4))/(VLOOKUP(DS$72,INDIRECT($C$5&amp;"生成成长"),5))*(VLOOKUP($B$5,标准坦克设计!$B$24:$U$30,MATCH("对"&amp;LEFT($C$5,2)&amp;"输出",标准坦克设计!$B$23:$U$23,0)))*(VLOOKUP($B237,INDIRECT($B$5&amp;"生成成长"),3))*(VLOOKUP($B$5,标准坦克设计!$B$14:$K$20,9)/30))</f>
        <v>2.0671372204998479</v>
      </c>
      <c r="DT237" s="173">
        <f ca="1">(VLOOKUP(DT$72,INDIRECT($C$5&amp;"生成成长"),2))/((VLOOKUP($B237,INDIRECT($B$5&amp;"生成成长"),4))/(VLOOKUP(DT$72,INDIRECT($C$5&amp;"生成成长"),5))*(VLOOKUP($B$5,标准坦克设计!$B$24:$U$30,MATCH("对"&amp;LEFT($C$5,2)&amp;"输出",标准坦克设计!$B$23:$U$23,0)))*(VLOOKUP($B237,INDIRECT($B$5&amp;"生成成长"),3))*(VLOOKUP($B$5,标准坦克设计!$B$14:$K$20,9)/30))</f>
        <v>2.2695916238913361</v>
      </c>
      <c r="DU237" s="173">
        <f ca="1">(VLOOKUP(DU$72,INDIRECT($C$5&amp;"生成成长"),2))/((VLOOKUP($B237,INDIRECT($B$5&amp;"生成成长"),4))/(VLOOKUP(DU$72,INDIRECT($C$5&amp;"生成成长"),5))*(VLOOKUP($B$5,标准坦克设计!$B$24:$U$30,MATCH("对"&amp;LEFT($C$5,2)&amp;"输出",标准坦克设计!$B$23:$U$23,0)))*(VLOOKUP($B237,INDIRECT($B$5&amp;"生成成长"),3))*(VLOOKUP($B$5,标准坦克设计!$B$14:$K$20,9)/30))</f>
        <v>2.4815024962310464</v>
      </c>
      <c r="DV237" s="173">
        <f ca="1">(VLOOKUP(DV$72,INDIRECT($C$5&amp;"生成成长"),2))/((VLOOKUP($B237,INDIRECT($B$5&amp;"生成成长"),4))/(VLOOKUP(DV$72,INDIRECT($C$5&amp;"生成成长"),5))*(VLOOKUP($B$5,标准坦克设计!$B$24:$U$30,MATCH("对"&amp;LEFT($C$5,2)&amp;"输出",标准坦克设计!$B$23:$U$23,0)))*(VLOOKUP($B237,INDIRECT($B$5&amp;"生成成长"),3))*(VLOOKUP($B$5,标准坦克设计!$B$14:$K$20,9)/30))</f>
        <v>2.7028698375189788</v>
      </c>
      <c r="DW237" s="173">
        <f ca="1">(VLOOKUP(DW$72,INDIRECT($C$5&amp;"生成成长"),2))/((VLOOKUP($B237,INDIRECT($B$5&amp;"生成成长"),4))/(VLOOKUP(DW$72,INDIRECT($C$5&amp;"生成成长"),5))*(VLOOKUP($B$5,标准坦克设计!$B$24:$U$30,MATCH("对"&amp;LEFT($C$5,2)&amp;"输出",标准坦克设计!$B$23:$U$23,0)))*(VLOOKUP($B237,INDIRECT($B$5&amp;"生成成长"),3))*(VLOOKUP($B$5,标准坦克设计!$B$14:$K$20,9)/30))</f>
        <v>2.9336936477551343</v>
      </c>
      <c r="DX237" s="173">
        <f ca="1">(VLOOKUP(DX$72,INDIRECT($C$5&amp;"生成成长"),2))/((VLOOKUP($B237,INDIRECT($B$5&amp;"生成成长"),4))/(VLOOKUP(DX$72,INDIRECT($C$5&amp;"生成成长"),5))*(VLOOKUP($B$5,标准坦克设计!$B$24:$U$30,MATCH("对"&amp;LEFT($C$5,2)&amp;"输出",标准坦克设计!$B$23:$U$23,0)))*(VLOOKUP($B237,INDIRECT($B$5&amp;"生成成长"),3))*(VLOOKUP($B$5,标准坦克设计!$B$14:$K$20,9)/30))</f>
        <v>3.1739739269395115</v>
      </c>
      <c r="DY237" s="173">
        <f ca="1">(VLOOKUP(DY$72,INDIRECT($C$5&amp;"生成成长"),2))/((VLOOKUP($B237,INDIRECT($B$5&amp;"生成成长"),4))/(VLOOKUP(DY$72,INDIRECT($C$5&amp;"生成成长"),5))*(VLOOKUP($B$5,标准坦克设计!$B$24:$U$30,MATCH("对"&amp;LEFT($C$5,2)&amp;"输出",标准坦克设计!$B$23:$U$23,0)))*(VLOOKUP($B237,INDIRECT($B$5&amp;"生成成长"),3))*(VLOOKUP($B$5,标准坦克设计!$B$14:$K$20,9)/30))</f>
        <v>1.4255431557855378</v>
      </c>
      <c r="DZ237" s="173">
        <f ca="1">(VLOOKUP(DZ$72,INDIRECT($C$5&amp;"生成成长"),2))/((VLOOKUP($B237,INDIRECT($B$5&amp;"生成成长"),4))/(VLOOKUP(DZ$72,INDIRECT($C$5&amp;"生成成长"),5))*(VLOOKUP($B$5,标准坦克设计!$B$24:$U$30,MATCH("对"&amp;LEFT($C$5,2)&amp;"输出",标准坦克设计!$B$23:$U$23,0)))*(VLOOKUP($B237,INDIRECT($B$5&amp;"生成成长"),3))*(VLOOKUP($B$5,标准坦克设计!$B$14:$K$20,9)/30))</f>
        <v>1.578722322219553</v>
      </c>
      <c r="EA237" s="173">
        <f ca="1">(VLOOKUP(EA$72,INDIRECT($C$5&amp;"生成成长"),2))/((VLOOKUP($B237,INDIRECT($B$5&amp;"生成成长"),4))/(VLOOKUP(EA$72,INDIRECT($C$5&amp;"生成成长"),5))*(VLOOKUP($B$5,标准坦克设计!$B$24:$U$30,MATCH("对"&amp;LEFT($C$5,2)&amp;"输出",标准坦克设计!$B$23:$U$23,0)))*(VLOOKUP($B237,INDIRECT($B$5&amp;"生成成长"),3))*(VLOOKUP($B$5,标准坦克设计!$B$14:$K$20,9)/30))</f>
        <v>1.7397167522471406</v>
      </c>
      <c r="EB237" s="173">
        <f ca="1">(VLOOKUP(EB$72,INDIRECT($C$5&amp;"生成成长"),2))/((VLOOKUP($B237,INDIRECT($B$5&amp;"生成成长"),4))/(VLOOKUP(EB$72,INDIRECT($C$5&amp;"生成成长"),5))*(VLOOKUP($B$5,标准坦克设计!$B$24:$U$30,MATCH("对"&amp;LEFT($C$5,2)&amp;"输出",标准坦克设计!$B$23:$U$23,0)))*(VLOOKUP($B237,INDIRECT($B$5&amp;"生成成长"),3))*(VLOOKUP($B$5,标准坦克设计!$B$14:$K$20,9)/30))</f>
        <v>1.9085264458683002</v>
      </c>
      <c r="EC237" s="173">
        <f ca="1">(VLOOKUP(EC$72,INDIRECT($C$5&amp;"生成成长"),2))/((VLOOKUP($B237,INDIRECT($B$5&amp;"生成成长"),4))/(VLOOKUP(EC$72,INDIRECT($C$5&amp;"生成成长"),5))*(VLOOKUP($B$5,标准坦克设计!$B$24:$U$30,MATCH("对"&amp;LEFT($C$5,2)&amp;"输出",标准坦克设计!$B$23:$U$23,0)))*(VLOOKUP($B237,INDIRECT($B$5&amp;"生成成长"),3))*(VLOOKUP($B$5,标准坦克设计!$B$14:$K$20,9)/30))</f>
        <v>2.0851514030830312</v>
      </c>
      <c r="ED237" s="173">
        <f ca="1">(VLOOKUP(ED$72,INDIRECT($C$5&amp;"生成成长"),2))/((VLOOKUP($B237,INDIRECT($B$5&amp;"生成成长"),4))/(VLOOKUP(ED$72,INDIRECT($C$5&amp;"生成成长"),5))*(VLOOKUP($B$5,标准坦克设计!$B$24:$U$30,MATCH("对"&amp;LEFT($C$5,2)&amp;"输出",标准坦克设计!$B$23:$U$23,0)))*(VLOOKUP($B237,INDIRECT($B$5&amp;"生成成长"),3))*(VLOOKUP($B$5,标准坦克设计!$B$14:$K$20,9)/30))</f>
        <v>2.2695916238913361</v>
      </c>
      <c r="EE237" s="173">
        <f ca="1">(VLOOKUP(EE$72,INDIRECT($C$5&amp;"生成成长"),2))/((VLOOKUP($B237,INDIRECT($B$5&amp;"生成成长"),4))/(VLOOKUP(EE$72,INDIRECT($C$5&amp;"生成成长"),5))*(VLOOKUP($B$5,标准坦克设计!$B$24:$U$30,MATCH("对"&amp;LEFT($C$5,2)&amp;"输出",标准坦克设计!$B$23:$U$23,0)))*(VLOOKUP($B237,INDIRECT($B$5&amp;"生成成长"),3))*(VLOOKUP($B$5,标准坦克设计!$B$14:$K$20,9)/30))</f>
        <v>2.4618471082932118</v>
      </c>
      <c r="EF237" s="173">
        <f ca="1">(VLOOKUP(EF$72,INDIRECT($C$5&amp;"生成成长"),2))/((VLOOKUP($B237,INDIRECT($B$5&amp;"生成成长"),4))/(VLOOKUP(EF$72,INDIRECT($C$5&amp;"生成成长"),5))*(VLOOKUP($B$5,标准坦克设计!$B$24:$U$30,MATCH("对"&amp;LEFT($C$5,2)&amp;"输出",标准坦克设计!$B$23:$U$23,0)))*(VLOOKUP($B237,INDIRECT($B$5&amp;"生成成长"),3))*(VLOOKUP($B$5,标准坦克设计!$B$14:$K$20,9)/30))</f>
        <v>2.6619178562886607</v>
      </c>
      <c r="EG237" s="173">
        <f ca="1">(VLOOKUP(EG$72,INDIRECT($C$5&amp;"生成成长"),2))/((VLOOKUP($B237,INDIRECT($B$5&amp;"生成成长"),4))/(VLOOKUP(EG$72,INDIRECT($C$5&amp;"生成成长"),5))*(VLOOKUP($B$5,标准坦克设计!$B$24:$U$30,MATCH("对"&amp;LEFT($C$5,2)&amp;"输出",标准坦克设计!$B$23:$U$23,0)))*(VLOOKUP($B237,INDIRECT($B$5&amp;"生成成长"),3))*(VLOOKUP($B$5,标准坦克设计!$B$14:$K$20,9)/30))</f>
        <v>2.8698038678776814</v>
      </c>
      <c r="EH237" s="173">
        <f ca="1">(VLOOKUP(EH$72,INDIRECT($C$5&amp;"生成成长"),2))/((VLOOKUP($B237,INDIRECT($B$5&amp;"生成成长"),4))/(VLOOKUP(EH$72,INDIRECT($C$5&amp;"生成成长"),5))*(VLOOKUP($B$5,标准坦克设计!$B$24:$U$30,MATCH("对"&amp;LEFT($C$5,2)&amp;"输出",标准坦克设计!$B$23:$U$23,0)))*(VLOOKUP($B237,INDIRECT($B$5&amp;"生成成长"),3))*(VLOOKUP($B$5,标准坦克设计!$B$14:$K$20,9)/30))</f>
        <v>3.0855051430602738</v>
      </c>
      <c r="EI237" s="173">
        <f ca="1">(VLOOKUP(EI$72,INDIRECT($C$5&amp;"生成成长"),2))/((VLOOKUP($B237,INDIRECT($B$5&amp;"生成成长"),4))/(VLOOKUP(EI$72,INDIRECT($C$5&amp;"生成成长"),5))*(VLOOKUP($B$5,标准坦克设计!$B$24:$U$30,MATCH("对"&amp;LEFT($C$5,2)&amp;"输出",标准坦克设计!$B$23:$U$23,0)))*(VLOOKUP($B237,INDIRECT($B$5&amp;"生成成长"),3))*(VLOOKUP($B$5,标准坦克设计!$B$14:$K$20,9)/30))</f>
        <v>3.3090216818364384</v>
      </c>
      <c r="EJ237" s="173">
        <f ca="1">(VLOOKUP(EJ$72,INDIRECT($C$5&amp;"生成成长"),2))/((VLOOKUP($B237,INDIRECT($B$5&amp;"生成成长"),4))/(VLOOKUP(EJ$72,INDIRECT($C$5&amp;"生成成长"),5))*(VLOOKUP($B$5,标准坦克设计!$B$24:$U$30,MATCH("对"&amp;LEFT($C$5,2)&amp;"输出",标准坦克设计!$B$23:$U$23,0)))*(VLOOKUP($B237,INDIRECT($B$5&amp;"生成成长"),3))*(VLOOKUP($B$5,标准坦克设计!$B$14:$K$20,9)/30))</f>
        <v>3.5403534842061757</v>
      </c>
      <c r="EK237" s="173">
        <f ca="1">(VLOOKUP(EK$72,INDIRECT($C$5&amp;"生成成长"),2))/((VLOOKUP($B237,INDIRECT($B$5&amp;"生成成长"),4))/(VLOOKUP(EK$72,INDIRECT($C$5&amp;"生成成长"),5))*(VLOOKUP($B$5,标准坦克设计!$B$24:$U$30,MATCH("对"&amp;LEFT($C$5,2)&amp;"输出",标准坦克设计!$B$23:$U$23,0)))*(VLOOKUP($B237,INDIRECT($B$5&amp;"生成成长"),3))*(VLOOKUP($B$5,标准坦克设计!$B$14:$K$20,9)/30))</f>
        <v>3.8282677949933759</v>
      </c>
      <c r="EL237" s="173">
        <f ca="1">(VLOOKUP(EL$72,INDIRECT($C$5&amp;"生成成长"),2))/((VLOOKUP($B237,INDIRECT($B$5&amp;"生成成长"),4))/(VLOOKUP(EL$72,INDIRECT($C$5&amp;"生成成长"),5))*(VLOOKUP($B$5,标准坦克设计!$B$24:$U$30,MATCH("对"&amp;LEFT($C$5,2)&amp;"输出",标准坦克设计!$B$23:$U$23,0)))*(VLOOKUP($B237,INDIRECT($B$5&amp;"生成成长"),3))*(VLOOKUP($B$5,标准坦克设计!$B$14:$K$20,9)/30))</f>
        <v>4.1274360853553205</v>
      </c>
      <c r="EM237" s="173">
        <f ca="1">(VLOOKUP(EM$72,INDIRECT($C$5&amp;"生成成长"),2))/((VLOOKUP($B237,INDIRECT($B$5&amp;"生成成长"),4))/(VLOOKUP(EM$72,INDIRECT($C$5&amp;"生成成长"),5))*(VLOOKUP($B$5,标准坦克设计!$B$24:$U$30,MATCH("对"&amp;LEFT($C$5,2)&amp;"输出",标准坦克设计!$B$23:$U$23,0)))*(VLOOKUP($B237,INDIRECT($B$5&amp;"生成成长"),3))*(VLOOKUP($B$5,标准坦克设计!$B$14:$K$20,9)/30))</f>
        <v>4.4378583552920077</v>
      </c>
      <c r="EN237" s="173">
        <f ca="1">(VLOOKUP(EN$72,INDIRECT($C$5&amp;"生成成长"),2))/((VLOOKUP($B237,INDIRECT($B$5&amp;"生成成长"),4))/(VLOOKUP(EN$72,INDIRECT($C$5&amp;"生成成长"),5))*(VLOOKUP($B$5,标准坦克设计!$B$24:$U$30,MATCH("对"&amp;LEFT($C$5,2)&amp;"输出",标准坦克设计!$B$23:$U$23,0)))*(VLOOKUP($B237,INDIRECT($B$5&amp;"生成成长"),3))*(VLOOKUP($B$5,标准坦克设计!$B$14:$K$20,9)/30))</f>
        <v>4.7595346048034397</v>
      </c>
      <c r="EO237" s="173">
        <f ca="1">(VLOOKUP(EO$72,INDIRECT($C$5&amp;"生成成长"),2))/((VLOOKUP($B237,INDIRECT($B$5&amp;"生成成长"),4))/(VLOOKUP(EO$72,INDIRECT($C$5&amp;"生成成长"),5))*(VLOOKUP($B$5,标准坦克设计!$B$24:$U$30,MATCH("对"&amp;LEFT($C$5,2)&amp;"输出",标准坦克设计!$B$23:$U$23,0)))*(VLOOKUP($B237,INDIRECT($B$5&amp;"生成成长"),3))*(VLOOKUP($B$5,标准坦克设计!$B$14:$K$20,9)/30))</f>
        <v>5.0924648338896166</v>
      </c>
      <c r="EP237" s="173">
        <f ca="1">(VLOOKUP(EP$72,INDIRECT($C$5&amp;"生成成长"),2))/((VLOOKUP($B237,INDIRECT($B$5&amp;"生成成长"),4))/(VLOOKUP(EP$72,INDIRECT($C$5&amp;"生成成长"),5))*(VLOOKUP($B$5,标准坦克设计!$B$24:$U$30,MATCH("对"&amp;LEFT($C$5,2)&amp;"输出",标准坦克设计!$B$23:$U$23,0)))*(VLOOKUP($B237,INDIRECT($B$5&amp;"生成成长"),3))*(VLOOKUP($B$5,标准坦克设计!$B$14:$K$20,9)/30))</f>
        <v>5.4366490425505356</v>
      </c>
      <c r="EQ237" s="173">
        <f ca="1">(VLOOKUP(EQ$72,INDIRECT($C$5&amp;"生成成长"),2))/((VLOOKUP($B237,INDIRECT($B$5&amp;"生成成长"),4))/(VLOOKUP(EQ$72,INDIRECT($C$5&amp;"生成成长"),5))*(VLOOKUP($B$5,标准坦克设计!$B$24:$U$30,MATCH("对"&amp;LEFT($C$5,2)&amp;"输出",标准坦克设计!$B$23:$U$23,0)))*(VLOOKUP($B237,INDIRECT($B$5&amp;"生成成长"),3))*(VLOOKUP($B$5,标准坦克设计!$B$14:$K$20,9)/30))</f>
        <v>2.4033498602953238</v>
      </c>
      <c r="ER237" s="173">
        <f ca="1">(VLOOKUP(ER$72,INDIRECT($C$5&amp;"生成成长"),2))/((VLOOKUP($B237,INDIRECT($B$5&amp;"生成成长"),4))/(VLOOKUP(ER$72,INDIRECT($C$5&amp;"生成成长"),5))*(VLOOKUP($B$5,标准坦克设计!$B$24:$U$30,MATCH("对"&amp;LEFT($C$5,2)&amp;"输出",标准坦克设计!$B$23:$U$23,0)))*(VLOOKUP($B237,INDIRECT($B$5&amp;"生成成长"),3))*(VLOOKUP($B$5,标准坦克设计!$B$14:$K$20,9)/30))</f>
        <v>2.6212784856020845</v>
      </c>
      <c r="ES237" s="173">
        <f ca="1">(VLOOKUP(ES$72,INDIRECT($C$5&amp;"生成成长"),2))/((VLOOKUP($B237,INDIRECT($B$5&amp;"生成成长"),4))/(VLOOKUP(ES$72,INDIRECT($C$5&amp;"生成成长"),5))*(VLOOKUP($B$5,标准坦克设计!$B$24:$U$30,MATCH("对"&amp;LEFT($C$5,2)&amp;"输出",标准坦克设计!$B$23:$U$23,0)))*(VLOOKUP($B237,INDIRECT($B$5&amp;"生成成长"),3))*(VLOOKUP($B$5,标准坦克设计!$B$14:$K$20,9)/30))</f>
        <v>2.8486635798570683</v>
      </c>
      <c r="ET237" s="173">
        <f ca="1">(VLOOKUP(ET$72,INDIRECT($C$5&amp;"生成成长"),2))/((VLOOKUP($B237,INDIRECT($B$5&amp;"生成成长"),4))/(VLOOKUP(ET$72,INDIRECT($C$5&amp;"生成成长"),5))*(VLOOKUP($B$5,标准坦克设计!$B$24:$U$30,MATCH("对"&amp;LEFT($C$5,2)&amp;"输出",标准坦克设计!$B$23:$U$23,0)))*(VLOOKUP($B237,INDIRECT($B$5&amp;"生成成长"),3))*(VLOOKUP($B$5,标准坦克设计!$B$14:$K$20,9)/30))</f>
        <v>3.0855051430602738</v>
      </c>
      <c r="EU237" s="173">
        <f ca="1">(VLOOKUP(EU$72,INDIRECT($C$5&amp;"生成成长"),2))/((VLOOKUP($B237,INDIRECT($B$5&amp;"生成成长"),4))/(VLOOKUP(EU$72,INDIRECT($C$5&amp;"生成成长"),5))*(VLOOKUP($B$5,标准坦克设计!$B$24:$U$30,MATCH("对"&amp;LEFT($C$5,2)&amp;"输出",标准坦克设计!$B$23:$U$23,0)))*(VLOOKUP($B237,INDIRECT($B$5&amp;"生成成长"),3))*(VLOOKUP($B$5,标准坦克设计!$B$14:$K$20,9)/30))</f>
        <v>3.3318031752117014</v>
      </c>
      <c r="EV237" s="173">
        <f ca="1">(VLOOKUP(EV$72,INDIRECT($C$5&amp;"生成成长"),2))/((VLOOKUP($B237,INDIRECT($B$5&amp;"生成成长"),4))/(VLOOKUP(EV$72,INDIRECT($C$5&amp;"生成成长"),5))*(VLOOKUP($B$5,标准坦克设计!$B$24:$U$30,MATCH("对"&amp;LEFT($C$5,2)&amp;"输出",标准坦克设计!$B$23:$U$23,0)))*(VLOOKUP($B237,INDIRECT($B$5&amp;"生成成长"),3))*(VLOOKUP($B$5,标准坦克设计!$B$14:$K$20,9)/30))</f>
        <v>3.587557676311353</v>
      </c>
      <c r="EW237" s="173">
        <f ca="1">(VLOOKUP(EW$72,INDIRECT($C$5&amp;"生成成长"),2))/((VLOOKUP($B237,INDIRECT($B$5&amp;"生成成长"),4))/(VLOOKUP(EW$72,INDIRECT($C$5&amp;"生成成长"),5))*(VLOOKUP($B$5,标准坦克设计!$B$24:$U$30,MATCH("对"&amp;LEFT($C$5,2)&amp;"输出",标准坦克设计!$B$23:$U$23,0)))*(VLOOKUP($B237,INDIRECT($B$5&amp;"生成成长"),3))*(VLOOKUP($B$5,标准坦克设计!$B$14:$K$20,9)/30))</f>
        <v>3.8527686463592246</v>
      </c>
      <c r="EX237" s="173">
        <f ca="1">(VLOOKUP(EX$72,INDIRECT($C$5&amp;"生成成长"),2))/((VLOOKUP($B237,INDIRECT($B$5&amp;"生成成长"),4))/(VLOOKUP(EX$72,INDIRECT($C$5&amp;"生成成长"),5))*(VLOOKUP($B$5,标准坦克设计!$B$24:$U$30,MATCH("对"&amp;LEFT($C$5,2)&amp;"输出",标准坦克设计!$B$23:$U$23,0)))*(VLOOKUP($B237,INDIRECT($B$5&amp;"生成成长"),3))*(VLOOKUP($B$5,标准坦克设计!$B$14:$K$20,9)/30))</f>
        <v>4.1274360853553205</v>
      </c>
      <c r="EY237" s="173">
        <f ca="1">(VLOOKUP(EY$72,INDIRECT($C$5&amp;"生成成长"),2))/((VLOOKUP($B237,INDIRECT($B$5&amp;"生成成长"),4))/(VLOOKUP(EY$72,INDIRECT($C$5&amp;"生成成长"),5))*(VLOOKUP($B$5,标准坦克设计!$B$24:$U$30,MATCH("对"&amp;LEFT($C$5,2)&amp;"输出",标准坦克设计!$B$23:$U$23,0)))*(VLOOKUP($B237,INDIRECT($B$5&amp;"生成成长"),3))*(VLOOKUP($B$5,标准坦克设计!$B$14:$K$20,9)/30))</f>
        <v>4.4115599932996377</v>
      </c>
      <c r="EZ237" s="173">
        <f ca="1">(VLOOKUP(EZ$72,INDIRECT($C$5&amp;"生成成长"),2))/((VLOOKUP($B237,INDIRECT($B$5&amp;"生成成长"),4))/(VLOOKUP(EZ$72,INDIRECT($C$5&amp;"生成成长"),5))*(VLOOKUP($B$5,标准坦克设计!$B$24:$U$30,MATCH("对"&amp;LEFT($C$5,2)&amp;"输出",标准坦克设计!$B$23:$U$23,0)))*(VLOOKUP($B237,INDIRECT($B$5&amp;"生成成长"),3))*(VLOOKUP($B$5,标准坦克设计!$B$14:$K$20,9)/30))</f>
        <v>4.7051403701921783</v>
      </c>
      <c r="FA237" s="173">
        <f ca="1">(VLOOKUP(FA$72,INDIRECT($C$5&amp;"生成成长"),2))/((VLOOKUP($B237,INDIRECT($B$5&amp;"生成成长"),4))/(VLOOKUP(FA$72,INDIRECT($C$5&amp;"生成成长"),5))*(VLOOKUP($B$5,标准坦克设计!$B$24:$U$30,MATCH("对"&amp;LEFT($C$5,2)&amp;"输出",标准坦克设计!$B$23:$U$23,0)))*(VLOOKUP($B237,INDIRECT($B$5&amp;"生成成长"),3))*(VLOOKUP($B$5,标准坦克设计!$B$14:$K$20,9)/30))</f>
        <v>5.008177216032939</v>
      </c>
      <c r="FB237" s="173">
        <f ca="1">(VLOOKUP(FB$72,INDIRECT($C$5&amp;"生成成长"),2))/((VLOOKUP($B237,INDIRECT($B$5&amp;"生成成长"),4))/(VLOOKUP(FB$72,INDIRECT($C$5&amp;"生成成长"),5))*(VLOOKUP($B$5,标准坦克设计!$B$24:$U$30,MATCH("对"&amp;LEFT($C$5,2)&amp;"输出",标准坦克设计!$B$23:$U$23,0)))*(VLOOKUP($B237,INDIRECT($B$5&amp;"生成成长"),3))*(VLOOKUP($B$5,标准坦克设计!$B$14:$K$20,9)/30))</f>
        <v>5.320670530821924</v>
      </c>
      <c r="FC237" s="173">
        <f ca="1">(VLOOKUP(FC$72,INDIRECT($C$5&amp;"生成成长"),2))/((VLOOKUP($B237,INDIRECT($B$5&amp;"生成成长"),4))/(VLOOKUP(FC$72,INDIRECT($C$5&amp;"生成成长"),5))*(VLOOKUP($B$5,标准坦克设计!$B$24:$U$30,MATCH("对"&amp;LEFT($C$5,2)&amp;"输出",标准坦克设计!$B$23:$U$23,0)))*(VLOOKUP($B237,INDIRECT($B$5&amp;"生成成长"),3))*(VLOOKUP($B$5,标准坦克设计!$B$14:$K$20,9)/30))</f>
        <v>5.6426203145591316</v>
      </c>
      <c r="FD237" s="173">
        <f ca="1">(VLOOKUP(FD$72,INDIRECT($C$5&amp;"生成成长"),2))/((VLOOKUP($B237,INDIRECT($B$5&amp;"生成成长"),4))/(VLOOKUP(FD$72,INDIRECT($C$5&amp;"生成成长"),5))*(VLOOKUP($B$5,标准坦克设计!$B$24:$U$30,MATCH("对"&amp;LEFT($C$5,2)&amp;"输出",标准坦克设计!$B$23:$U$23,0)))*(VLOOKUP($B237,INDIRECT($B$5&amp;"生成成长"),3))*(VLOOKUP($B$5,标准坦克设计!$B$14:$K$20,9)/30))</f>
        <v>5.9740265672445609</v>
      </c>
      <c r="FE237" s="173">
        <f ca="1">(VLOOKUP(FE$72,INDIRECT($C$5&amp;"生成成长"),2))/((VLOOKUP($B237,INDIRECT($B$5&amp;"生成成长"),4))/(VLOOKUP(FE$72,INDIRECT($C$5&amp;"生成成长"),5))*(VLOOKUP($B$5,标准坦克设计!$B$24:$U$30,MATCH("对"&amp;LEFT($C$5,2)&amp;"输出",标准坦克设计!$B$23:$U$23,0)))*(VLOOKUP($B237,INDIRECT($B$5&amp;"生成成长"),3))*(VLOOKUP($B$5,标准坦克设计!$B$14:$K$20,9)/30))</f>
        <v>6.3778803134424038</v>
      </c>
      <c r="FF237" s="173">
        <f ca="1">(VLOOKUP(FF$72,INDIRECT($C$5&amp;"生成成长"),2))/((VLOOKUP($B237,INDIRECT($B$5&amp;"生成成长"),4))/(VLOOKUP(FF$72,INDIRECT($C$5&amp;"生成成长"),5))*(VLOOKUP($B$5,标准坦克设计!$B$24:$U$30,MATCH("对"&amp;LEFT($C$5,2)&amp;"输出",标准坦克设计!$B$23:$U$23,0)))*(VLOOKUP($B237,INDIRECT($B$5&amp;"生成成长"),3))*(VLOOKUP($B$5,标准坦克设计!$B$14:$K$20,9)/30))</f>
        <v>6.7949418551133851</v>
      </c>
      <c r="FG237" s="173">
        <f ca="1">(VLOOKUP(FG$72,INDIRECT($C$5&amp;"生成成长"),2))/((VLOOKUP($B237,INDIRECT($B$5&amp;"生成成长"),4))/(VLOOKUP(FG$72,INDIRECT($C$5&amp;"生成成长"),5))*(VLOOKUP($B$5,标准坦克设计!$B$24:$U$30,MATCH("对"&amp;LEFT($C$5,2)&amp;"输出",标准坦克设计!$B$23:$U$23,0)))*(VLOOKUP($B237,INDIRECT($B$5&amp;"生成成长"),3))*(VLOOKUP($B$5,标准坦克设计!$B$14:$K$20,9)/30))</f>
        <v>7.2252111922575031</v>
      </c>
      <c r="FH237" s="173">
        <f ca="1">(VLOOKUP(FH$72,INDIRECT($C$5&amp;"生成成长"),2))/((VLOOKUP($B237,INDIRECT($B$5&amp;"生成成长"),4))/(VLOOKUP(FH$72,INDIRECT($C$5&amp;"生成成长"),5))*(VLOOKUP($B$5,标准坦克设计!$B$24:$U$30,MATCH("对"&amp;LEFT($C$5,2)&amp;"输出",标准坦克设计!$B$23:$U$23,0)))*(VLOOKUP($B237,INDIRECT($B$5&amp;"生成成长"),3))*(VLOOKUP($B$5,标准坦克设计!$B$14:$K$20,9)/30))</f>
        <v>7.6686883248747577</v>
      </c>
      <c r="FI237" s="173">
        <f ca="1">(VLOOKUP(FI$72,INDIRECT($C$5&amp;"生成成长"),2))/((VLOOKUP($B237,INDIRECT($B$5&amp;"生成成长"),4))/(VLOOKUP(FI$72,INDIRECT($C$5&amp;"生成成长"),5))*(VLOOKUP($B$5,标准坦克设计!$B$24:$U$30,MATCH("对"&amp;LEFT($C$5,2)&amp;"输出",标准坦克设计!$B$23:$U$23,0)))*(VLOOKUP($B237,INDIRECT($B$5&amp;"生成成长"),3))*(VLOOKUP($B$5,标准坦克设计!$B$14:$K$20,9)/30))</f>
        <v>8.1253732529651472</v>
      </c>
      <c r="FJ237" s="173">
        <f ca="1">(VLOOKUP(FJ$72,INDIRECT($C$5&amp;"生成成长"),2))/((VLOOKUP($B237,INDIRECT($B$5&amp;"生成成长"),4))/(VLOOKUP(FJ$72,INDIRECT($C$5&amp;"生成成长"),5))*(VLOOKUP($B$5,标准坦克设计!$B$24:$U$30,MATCH("对"&amp;LEFT($C$5,2)&amp;"输出",标准坦克设计!$B$23:$U$23,0)))*(VLOOKUP($B237,INDIRECT($B$5&amp;"生成成长"),3))*(VLOOKUP($B$5,标准坦克设计!$B$14:$K$20,9)/30))</f>
        <v>8.5952659765286779</v>
      </c>
      <c r="FK237" s="173">
        <f ca="1">(VLOOKUP(FK$72,INDIRECT($C$5&amp;"生成成长"),2))/((VLOOKUP($B237,INDIRECT($B$5&amp;"生成成长"),4))/(VLOOKUP(FK$72,INDIRECT($C$5&amp;"生成成长"),5))*(VLOOKUP($B$5,标准坦克设计!$B$24:$U$30,MATCH("对"&amp;LEFT($C$5,2)&amp;"输出",标准坦克设计!$B$23:$U$23,0)))*(VLOOKUP($B237,INDIRECT($B$5&amp;"生成成长"),3))*(VLOOKUP($B$5,标准坦克设计!$B$14:$K$20,9)/30))</f>
        <v>9.0783664955653443</v>
      </c>
    </row>
  </sheetData>
  <mergeCells count="9">
    <mergeCell ref="A28:B28"/>
    <mergeCell ref="A29:B29"/>
    <mergeCell ref="P40:Q40"/>
    <mergeCell ref="P41:Q41"/>
    <mergeCell ref="B7:E7"/>
    <mergeCell ref="B8:F8"/>
    <mergeCell ref="B9:E9"/>
    <mergeCell ref="A12:B12"/>
    <mergeCell ref="A13:B13"/>
  </mergeCells>
  <phoneticPr fontId="34" type="noConversion"/>
  <conditionalFormatting sqref="C14:M25">
    <cfRule type="colorScale" priority="3">
      <colorScale>
        <cfvo type="min"/>
        <cfvo type="percent" val="2"/>
        <cfvo type="max"/>
        <color theme="4" tint="0.39994506668294322"/>
        <color rgb="FFFCFCFF"/>
        <color rgb="FFF8696B"/>
      </colorScale>
    </cfRule>
  </conditionalFormatting>
  <conditionalFormatting sqref="R14:AM37">
    <cfRule type="colorScale" priority="6">
      <colorScale>
        <cfvo type="min"/>
        <cfvo type="percent" val="1"/>
        <cfvo type="max"/>
        <color theme="4" tint="0.39994506668294322"/>
        <color rgb="FFFCFCFF"/>
        <color rgb="FFF8696B"/>
      </colorScale>
    </cfRule>
  </conditionalFormatting>
  <conditionalFormatting sqref="C30:M41">
    <cfRule type="colorScale" priority="2">
      <colorScale>
        <cfvo type="min"/>
        <cfvo type="percent" val="2"/>
        <cfvo type="max"/>
        <color theme="4" tint="0.39994506668294322"/>
        <color rgb="FFFCFCFF"/>
        <color rgb="FFF8696B"/>
      </colorScale>
    </cfRule>
  </conditionalFormatting>
  <conditionalFormatting sqref="R42:AM65">
    <cfRule type="colorScale" priority="1">
      <colorScale>
        <cfvo type="min"/>
        <cfvo type="percent" val="1"/>
        <cfvo type="max"/>
        <color theme="4" tint="0.39994506668294322"/>
        <color rgb="FFFCFCFF"/>
        <color rgb="FFF8696B"/>
      </colorScale>
    </cfRule>
  </conditionalFormatting>
  <conditionalFormatting sqref="C73:FK237">
    <cfRule type="colorScale" priority="9">
      <colorScale>
        <cfvo type="min"/>
        <cfvo type="percent" val="2"/>
        <cfvo type="max"/>
        <color theme="9" tint="0.79995117038483843"/>
        <color rgb="FFFCFCFF"/>
        <color rgb="FFF8696B"/>
      </colorScale>
    </cfRule>
  </conditionalFormatting>
  <pageMargins left="0.7" right="0.7" top="0.75" bottom="0.75" header="0.3" footer="0.3"/>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14:formula1>
            <xm:f>标准坦克设计!$B$40:$B$46</xm:f>
          </x14:formula1>
          <xm:sqref>B5:C5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CI309"/>
  <sheetViews>
    <sheetView workbookViewId="0">
      <selection activeCell="C21" sqref="C21:F21"/>
    </sheetView>
  </sheetViews>
  <sheetFormatPr defaultColWidth="9" defaultRowHeight="14.25" x14ac:dyDescent="0.3"/>
  <cols>
    <col min="1" max="4" width="9" style="1"/>
    <col min="5" max="6" width="8.75" style="1" customWidth="1"/>
    <col min="7" max="11" width="9" style="1"/>
    <col min="12" max="12" width="10.5" style="1" customWidth="1"/>
    <col min="13" max="18" width="9" style="1"/>
    <col min="19" max="19" width="10.5" style="1" customWidth="1"/>
    <col min="20" max="16384" width="9" style="1"/>
  </cols>
  <sheetData>
    <row r="2" spans="2:87" ht="15.75" customHeight="1" x14ac:dyDescent="0.3">
      <c r="B2" s="2" t="s">
        <v>886</v>
      </c>
      <c r="C2" s="2" t="s">
        <v>887</v>
      </c>
      <c r="D2" s="25"/>
      <c r="E2" s="25"/>
      <c r="F2" s="25"/>
      <c r="H2" s="263" t="s">
        <v>888</v>
      </c>
      <c r="I2" s="264"/>
      <c r="J2" s="264"/>
      <c r="K2" s="264"/>
      <c r="L2" s="264"/>
      <c r="M2" s="264"/>
      <c r="N2" s="264"/>
      <c r="O2" s="264"/>
      <c r="P2" s="265"/>
      <c r="Q2" s="25"/>
      <c r="S2" s="262" t="s">
        <v>889</v>
      </c>
      <c r="T2" s="262"/>
      <c r="U2" s="262"/>
      <c r="V2" s="262"/>
      <c r="W2" s="262"/>
      <c r="X2" s="262"/>
      <c r="Y2" s="262"/>
      <c r="Z2" s="262"/>
      <c r="AA2" s="262"/>
      <c r="AB2" s="262"/>
      <c r="AC2" s="262"/>
      <c r="AD2" s="262"/>
      <c r="AE2" s="262"/>
      <c r="AF2" s="25"/>
      <c r="AH2" s="262" t="s">
        <v>890</v>
      </c>
      <c r="AI2" s="262"/>
      <c r="AJ2" s="262"/>
      <c r="AK2" s="262"/>
      <c r="AL2" s="262"/>
      <c r="AM2" s="262"/>
      <c r="AN2" s="262"/>
      <c r="AO2" s="262"/>
      <c r="AP2" s="25"/>
      <c r="AQ2" s="262" t="s">
        <v>891</v>
      </c>
      <c r="AR2" s="262"/>
      <c r="AS2" s="262"/>
      <c r="AT2" s="262"/>
      <c r="AU2" s="262"/>
      <c r="AV2" s="262"/>
      <c r="AW2" s="262"/>
      <c r="AX2" s="262"/>
      <c r="AY2" s="262"/>
      <c r="AZ2" s="25"/>
      <c r="BA2" s="262" t="s">
        <v>892</v>
      </c>
      <c r="BB2" s="262"/>
      <c r="BC2" s="262"/>
      <c r="BD2" s="262"/>
      <c r="BE2" s="262"/>
      <c r="BF2" s="262"/>
      <c r="BG2" s="25"/>
      <c r="BH2" s="262" t="s">
        <v>893</v>
      </c>
      <c r="BI2" s="262"/>
      <c r="BJ2" s="262"/>
      <c r="BK2" s="262"/>
      <c r="BL2" s="262"/>
      <c r="BM2" s="262"/>
      <c r="BN2" s="262"/>
      <c r="BO2" s="262"/>
      <c r="BP2" s="262"/>
      <c r="BQ2" s="262"/>
      <c r="BR2" s="262"/>
      <c r="BS2" s="262"/>
      <c r="BT2" s="262"/>
      <c r="BU2" s="262"/>
      <c r="BV2" s="262"/>
      <c r="BW2" s="262"/>
      <c r="BX2" s="262"/>
      <c r="BY2" s="262"/>
      <c r="CA2" s="262" t="s">
        <v>894</v>
      </c>
      <c r="CB2" s="262"/>
      <c r="CC2" s="262"/>
      <c r="CD2" s="262"/>
      <c r="CE2" s="262"/>
      <c r="CF2" s="262"/>
      <c r="CG2" s="262"/>
      <c r="CH2" s="262"/>
      <c r="CI2" s="262"/>
    </row>
    <row r="3" spans="2:87" x14ac:dyDescent="0.3">
      <c r="B3" s="21">
        <v>2</v>
      </c>
      <c r="C3" s="156">
        <v>0.6</v>
      </c>
      <c r="D3" s="161"/>
      <c r="E3" s="161"/>
      <c r="F3" s="161"/>
      <c r="H3" s="2" t="s">
        <v>602</v>
      </c>
      <c r="I3" s="2" t="s">
        <v>603</v>
      </c>
      <c r="J3" s="2" t="s">
        <v>354</v>
      </c>
      <c r="K3" s="2" t="s">
        <v>895</v>
      </c>
      <c r="L3" s="2" t="s">
        <v>896</v>
      </c>
      <c r="M3" s="2" t="s">
        <v>897</v>
      </c>
      <c r="N3" s="2" t="s">
        <v>898</v>
      </c>
      <c r="O3" s="2" t="s">
        <v>899</v>
      </c>
      <c r="P3" s="2" t="s">
        <v>900</v>
      </c>
      <c r="Q3" s="25"/>
      <c r="S3" s="2" t="s">
        <v>901</v>
      </c>
      <c r="T3" s="2" t="s">
        <v>901</v>
      </c>
      <c r="U3" s="2" t="s">
        <v>282</v>
      </c>
      <c r="V3" s="2" t="s">
        <v>72</v>
      </c>
      <c r="W3" s="2" t="s">
        <v>611</v>
      </c>
      <c r="X3" s="2" t="s">
        <v>902</v>
      </c>
      <c r="Y3" s="2" t="s">
        <v>602</v>
      </c>
      <c r="Z3" s="2" t="s">
        <v>774</v>
      </c>
      <c r="AA3" s="2" t="s">
        <v>775</v>
      </c>
      <c r="AB3" s="2" t="s">
        <v>776</v>
      </c>
      <c r="AC3" s="2" t="s">
        <v>77</v>
      </c>
      <c r="AD3" s="2" t="s">
        <v>130</v>
      </c>
      <c r="AE3" s="2" t="s">
        <v>777</v>
      </c>
      <c r="AF3" s="25"/>
      <c r="AH3" s="2" t="s">
        <v>901</v>
      </c>
      <c r="AI3" s="2" t="s">
        <v>282</v>
      </c>
      <c r="AJ3" s="2" t="s">
        <v>903</v>
      </c>
      <c r="AK3" s="2" t="s">
        <v>904</v>
      </c>
      <c r="AL3" s="2" t="s">
        <v>905</v>
      </c>
      <c r="AM3" s="2" t="s">
        <v>860</v>
      </c>
      <c r="AN3" s="2" t="s">
        <v>95</v>
      </c>
      <c r="AO3" s="2" t="s">
        <v>906</v>
      </c>
      <c r="AP3" s="25"/>
      <c r="AQ3" s="2" t="s">
        <v>901</v>
      </c>
      <c r="AR3" s="2" t="s">
        <v>282</v>
      </c>
      <c r="AS3" s="2" t="s">
        <v>72</v>
      </c>
      <c r="AT3" s="2" t="s">
        <v>903</v>
      </c>
      <c r="AU3" s="2" t="s">
        <v>904</v>
      </c>
      <c r="AV3" s="2" t="s">
        <v>905</v>
      </c>
      <c r="AW3" s="2" t="s">
        <v>860</v>
      </c>
      <c r="AX3" s="2" t="s">
        <v>95</v>
      </c>
      <c r="AY3" s="2" t="s">
        <v>906</v>
      </c>
      <c r="AZ3" s="25"/>
      <c r="BA3" s="2" t="s">
        <v>903</v>
      </c>
      <c r="BB3" s="2" t="s">
        <v>904</v>
      </c>
      <c r="BC3" s="2" t="s">
        <v>905</v>
      </c>
      <c r="BD3" s="2" t="s">
        <v>860</v>
      </c>
      <c r="BE3" s="2" t="s">
        <v>906</v>
      </c>
      <c r="BF3" s="2" t="s">
        <v>777</v>
      </c>
      <c r="BG3" s="25"/>
      <c r="BH3" s="2" t="s">
        <v>907</v>
      </c>
      <c r="BI3" s="2" t="s">
        <v>901</v>
      </c>
      <c r="BJ3" s="2" t="s">
        <v>282</v>
      </c>
      <c r="BK3" s="2" t="s">
        <v>611</v>
      </c>
      <c r="BL3" s="2" t="s">
        <v>603</v>
      </c>
      <c r="BM3" s="2" t="s">
        <v>774</v>
      </c>
      <c r="BN3" s="2" t="s">
        <v>775</v>
      </c>
      <c r="BO3" s="2" t="s">
        <v>776</v>
      </c>
      <c r="BP3" s="2" t="s">
        <v>77</v>
      </c>
      <c r="BQ3" s="2" t="s">
        <v>130</v>
      </c>
      <c r="BR3" s="2" t="s">
        <v>777</v>
      </c>
      <c r="BS3" s="2" t="s">
        <v>903</v>
      </c>
      <c r="BT3" s="2" t="s">
        <v>904</v>
      </c>
      <c r="BU3" s="2" t="s">
        <v>905</v>
      </c>
      <c r="BV3" s="2" t="s">
        <v>93</v>
      </c>
      <c r="BW3" s="2" t="s">
        <v>94</v>
      </c>
      <c r="BX3" s="2" t="s">
        <v>95</v>
      </c>
      <c r="BY3" s="2" t="s">
        <v>860</v>
      </c>
      <c r="CA3" s="2" t="s">
        <v>901</v>
      </c>
      <c r="CB3" s="2" t="s">
        <v>282</v>
      </c>
      <c r="CC3" s="2" t="s">
        <v>72</v>
      </c>
      <c r="CD3" s="2" t="s">
        <v>611</v>
      </c>
      <c r="CE3" s="2" t="s">
        <v>774</v>
      </c>
      <c r="CF3" s="2" t="s">
        <v>775</v>
      </c>
      <c r="CG3" s="2" t="s">
        <v>776</v>
      </c>
      <c r="CH3" s="2" t="s">
        <v>77</v>
      </c>
      <c r="CI3" s="2" t="s">
        <v>130</v>
      </c>
    </row>
    <row r="4" spans="2:87" x14ac:dyDescent="0.3">
      <c r="H4" s="2" t="str">
        <f>坦克等级成长!B13&amp;坦克等级成长!C13</f>
        <v>T1低</v>
      </c>
      <c r="I4" s="2">
        <v>5</v>
      </c>
      <c r="J4" s="2">
        <f>坦克等级成长!J13</f>
        <v>1</v>
      </c>
      <c r="K4" s="2">
        <f>坦克等级成长!K13</f>
        <v>1.3</v>
      </c>
      <c r="L4" s="2">
        <f>坦克等级成长!E13</f>
        <v>3</v>
      </c>
      <c r="M4" s="2">
        <f>IFERROR(VLOOKUP(L4,坦克部件!$N$3:$R$9,5,FALSE),VLOOKUP(L4-1,坦克部件!$N$3:$R$9,5,FALSE))</f>
        <v>0.20200000000000001</v>
      </c>
      <c r="N4" s="2">
        <f t="shared" ref="N4:N15" si="0">J4*M4</f>
        <v>0.20200000000000001</v>
      </c>
      <c r="O4" s="162">
        <f t="shared" ref="O4:O15" si="1">1-P4</f>
        <v>0.7</v>
      </c>
      <c r="P4" s="155">
        <v>0.3</v>
      </c>
      <c r="Q4" s="163"/>
      <c r="S4" s="2" t="str">
        <f t="shared" ref="S4:S35" si="2">U4&amp;X4</f>
        <v>雷诺FT初始</v>
      </c>
      <c r="T4" s="2">
        <v>1</v>
      </c>
      <c r="U4" s="2" t="str">
        <f t="shared" ref="U4:U35" si="3">VLOOKUP(T4,$B$5:$C$35,2,FALSE)</f>
        <v>雷诺FT</v>
      </c>
      <c r="V4" s="2" t="str">
        <f>VLOOKUP(U4,坦克个性化设定!$B$18:$F$48,5,FALSE)</f>
        <v>轻坦弹夹</v>
      </c>
      <c r="W4" s="29" t="str">
        <f>VLOOKUP(U4,坦克个性化细分!$I$3:$J$33,2,FALSE)</f>
        <v>低</v>
      </c>
      <c r="X4" s="21" t="s">
        <v>792</v>
      </c>
      <c r="Y4" s="2" t="str">
        <f>VLOOKUP(VLOOKUP(U4,坦克个性化设定!$B$18:$F$48,4,FALSE)&amp;W4,坦克等级成长!$P$12:$U$24,MATCH(X4,坦克等级成长!$P$12:$U$12,0),FALSE)</f>
        <v>T1低1</v>
      </c>
      <c r="Z4" s="42">
        <f ca="1">VLOOKUP($Y4,INDIRECT($V4&amp;"_阶段属性"),MATCH(Z$3,属性标头_阶段属性,0),FALSE)*VLOOKUP($U4,坦克个性化设定!$B$84:$D$114,2,FALSE)</f>
        <v>577.80546658223795</v>
      </c>
      <c r="AA4" s="42">
        <f ca="1">VLOOKUP($Y4,INDIRECT($V4&amp;"_阶段属性"),MATCH(AA$3,属性标头_阶段属性,0),FALSE)*VLOOKUP($U4,坦克个性化设定!$B$84:$D$114,3,FALSE)</f>
        <v>41.519494790772988</v>
      </c>
      <c r="AB4" s="2">
        <f t="shared" ref="AB4:AE23" ca="1" si="4">VLOOKUP($Y4,INDIRECT($V4&amp;"_阶段属性"),MATCH(AB$3,属性标头_阶段属性,0),FALSE)</f>
        <v>329</v>
      </c>
      <c r="AC4" s="2">
        <f t="shared" ca="1" si="4"/>
        <v>230</v>
      </c>
      <c r="AD4" s="2">
        <f t="shared" ca="1" si="4"/>
        <v>300</v>
      </c>
      <c r="AE4" s="2">
        <f t="shared" ca="1" si="4"/>
        <v>80</v>
      </c>
      <c r="AF4" s="25"/>
      <c r="AH4" s="2">
        <v>1</v>
      </c>
      <c r="AI4" s="2" t="str">
        <f t="shared" ref="AI4:AI33" si="5">VLOOKUP(AH4,$B$5:$C$35,2,FALSE)</f>
        <v>雷诺FT</v>
      </c>
      <c r="AJ4" s="2">
        <f>VLOOKUP($AI4,坦克个性化细分!$I$3:$P$33,MATCH(AJ$3,坦克个性化细分!$I$3:$P$3,0),FALSE)</f>
        <v>47.1</v>
      </c>
      <c r="AK4" s="2">
        <f>VLOOKUP($AI4,坦克个性化细分!$I$3:$P$33,MATCH(AK$3,坦克个性化细分!$I$3:$P$3,0),FALSE)</f>
        <v>45</v>
      </c>
      <c r="AL4" s="2">
        <f>VLOOKUP($AI4,坦克个性化细分!$I$3:$P$33,MATCH(AL$3,坦克个性化细分!$I$3:$P$3,0),FALSE)</f>
        <v>10.5</v>
      </c>
      <c r="AM4" s="34">
        <f>VLOOKUP(AI4,坦克个性化细分!$AA$3:$AP$33,MATCH("射击偏移角",坦克个性化细分!$AA$3:$AP$3,0),FALSE)/VLOOKUP(AI4,坦克个性化细分!$AA$3:$AP$33,MATCH("原瞄准速度",坦克个性化细分!$AA$3:$AP$3,0),FALSE)</f>
        <v>0.41666666666666669</v>
      </c>
      <c r="AN4" s="34">
        <f>VLOOKUP(AI4,坦克个性化细分!$AA$3:$AP$33,MATCH(AN$3,坦克个性化细分!$AA$3:$AP$3,0),FALSE)</f>
        <v>0.60000000000000009</v>
      </c>
      <c r="AO4" s="2">
        <f>VLOOKUP(AI4,坦克个性化细分!$AA$3:$AP$33,MATCH("原换弹时间",坦克个性化细分!$AA$3:$AP$3,0),FALSE)</f>
        <v>5.04</v>
      </c>
      <c r="AP4" s="133"/>
      <c r="AQ4" s="2">
        <v>1</v>
      </c>
      <c r="AR4" s="2" t="str">
        <f t="shared" ref="AR4:AR33" si="6">VLOOKUP(AQ4,$B$5:$C$35,2,FALSE)</f>
        <v>雷诺FT</v>
      </c>
      <c r="AS4" s="2" t="s">
        <v>81</v>
      </c>
      <c r="AT4" s="34">
        <f>VLOOKUP(AR4,坦克个性化细分!$I$3:$P$33,MATCH("养成区间1",坦克个性化细分!$I$3:$P$3,0),FALSE)</f>
        <v>11.774999999999997</v>
      </c>
      <c r="AU4" s="2">
        <f>VLOOKUP(AR4,坦克个性化细分!$I$3:$P$33,MATCH("养成区间2",坦克个性化细分!$I$3:$P$3,0),FALSE)</f>
        <v>11.249999999999998</v>
      </c>
      <c r="AV4" s="2">
        <f>VLOOKUP(AR4,坦克个性化细分!$I$3:$P$33,MATCH("养成区间3",坦克个性化细分!$I$3:$P$3,0),FALSE)</f>
        <v>0</v>
      </c>
      <c r="AW4" s="34">
        <f>VLOOKUP(AR4,坦克个性化细分!$AA$3:$AP$33,MATCH("瞄准区间",坦克个性化细分!$AA$3:$AP$3,0),FALSE)</f>
        <v>6.9444444444444475E-2</v>
      </c>
      <c r="AX4" s="34">
        <f>VLOOKUP(AI4,坦克个性化细分!$AA$3:$AP$33,MATCH("后射击间隔",坦克个性化细分!$AA$3:$AP$3,0),FALSE)-VLOOKUP(AI4,坦克个性化细分!$AA$3:$AP$33,MATCH(AN$3,坦克个性化细分!$AA$3:$AP$3,0),FALSE)</f>
        <v>-0.35000000000000009</v>
      </c>
      <c r="AY4" s="34">
        <f>VLOOKUP(AR4,坦克个性化细分!$AA$3:$AP$33,MATCH("换弹区间",坦克个性化细分!$AA$3:$AP$3,0),FALSE)</f>
        <v>-2.7614915447463462</v>
      </c>
      <c r="AZ4" s="133"/>
      <c r="BA4" s="34">
        <f>AT4/AJ4</f>
        <v>0.24999999999999992</v>
      </c>
      <c r="BB4" s="34">
        <f>AU4/AK4</f>
        <v>0.24999999999999997</v>
      </c>
      <c r="BC4" s="34">
        <f>AV4/AL4</f>
        <v>0</v>
      </c>
      <c r="BD4" s="34">
        <f>AW4/AM4</f>
        <v>0.16666666666666674</v>
      </c>
      <c r="BE4" s="34">
        <f>AY4/AO4</f>
        <v>-0.54791498903697344</v>
      </c>
      <c r="BF4" s="34"/>
      <c r="BG4" s="133"/>
      <c r="BH4" s="2" t="str">
        <f>BJ4&amp;BL4</f>
        <v>雷诺FT0</v>
      </c>
      <c r="BI4" s="2">
        <v>1</v>
      </c>
      <c r="BJ4" s="2" t="str">
        <f>VLOOKUP(BI4,$B$5:$C$35,2,FALSE)</f>
        <v>雷诺FT</v>
      </c>
      <c r="BK4" s="29" t="str">
        <f>VLOOKUP(BJ4,坦克个性化细分!$I$3:$J$33,2,FALSE)</f>
        <v>低</v>
      </c>
      <c r="BL4" s="2">
        <f t="shared" ref="BL4:BL67" si="7">IF(BJ4&lt;&gt;BJ3,0,BL3+1)</f>
        <v>0</v>
      </c>
      <c r="BM4" s="103">
        <f ca="1">ROUND(VLOOKUP($BJ4&amp;"初始",$S$3:$AE$63,MATCH(BM$3,$S$3:$AE$3,0),FALSE)+((VLOOKUP($BJ4&amp;"最终",$S$3:$AE$63,MATCH(BM$3,$S$3:$AE$3,0),FALSE)*坦克个性化细分!$C$9-VLOOKUP($BJ4&amp;"初始",$S$3:$AE$63,MATCH(BM$3,$S$3:$AE$3,0),FALSE))-(VLOOKUP($BJ4&amp;"最终",$S$3:$AE$63,MATCH(BM$3,$S$3:$AE$3,0),FALSE)-VLOOKUP($BJ4&amp;"初始",$S$3:$AE$63,MATCH(BM$3,$S$3:$AE$3,0),FALSE))*VLOOKUP(VLOOKUP($BJ4,坦克个性化设定!$B$18:$E$48,4,FALSE)&amp;$BK4,坦克属性分配比例,MATCH("部件比例",坦克属性分配比例标头,0),FALSE))*$BL4/VLOOKUP(VLOOKUP($BJ4,坦克个性化设定!$B$18:$E$48,4,FALSE)&amp;$BK4,坦克属性分配比例,MATCH("升星次数",坦克属性分配比例标头,0),FALSE),0)</f>
        <v>578</v>
      </c>
      <c r="BN4" s="103">
        <f ca="1">ROUND(VLOOKUP($BJ4&amp;"初始",$S$3:$AE$63,MATCH(BN$3,$S$3:$AE$3,0),FALSE)+(VLOOKUP($BJ4&amp;"最终",$S$3:$AE$63,MATCH(BN$3,$S$3:$AE$3,0),FALSE)-VLOOKUP($BJ4&amp;"初始",$S$3:$AE$63,MATCH(BN$3,$S$3:$AE$3,0),FALSE))*$BL4/VLOOKUP(VLOOKUP($BJ4,坦克个性化设定!$B$18:$E$48,4,FALSE)&amp;$BK4,坦克属性分配比例,MATCH("升星次数",坦克属性分配比例标头,0),FALSE)*VLOOKUP(VLOOKUP($BJ4,坦克个性化设定!$B$18:$E$48,4,FALSE)&amp;$BK4,坦克属性分配比例,MATCH("升星比例",坦克属性分配比例标头,0),FALSE),0)</f>
        <v>42</v>
      </c>
      <c r="BO4" s="103">
        <f ca="1">ROUND(VLOOKUP($BJ4&amp;"初始",$S$3:$AE$63,MATCH(BO$3,$S$3:$AE$3,0),FALSE)+(VLOOKUP($BJ4&amp;"最终",$S$3:$AE$63,MATCH(BO$3,$S$3:$AE$3,0),FALSE)-VLOOKUP($BJ4&amp;"初始",$S$3:$AE$63,MATCH(BO$3,$S$3:$AE$3,0),FALSE))*$BL4/VLOOKUP(VLOOKUP($BJ4,坦克个性化设定!$B$18:$E$48,4,FALSE)&amp;$BK4,坦克属性分配比例,MATCH("升星次数",坦克属性分配比例标头,0),FALSE)*(VLOOKUP(VLOOKUP($BJ4,坦克个性化设定!$B$18:$E$48,4,FALSE)&amp;$BK4,坦克属性分配比例,MATCH("升星比例",坦克属性分配比例标头,0),FALSE)+VLOOKUP(VLOOKUP($BJ4,坦克个性化设定!$B$18:$E$48,4,FALSE)&amp;$BK4,坦克属性分配比例,MATCH("部件比例",坦克属性分配比例标头,0),FALSE)*$C$3),0)</f>
        <v>329</v>
      </c>
      <c r="BP4" s="103">
        <f ca="1">ROUND(VLOOKUP($BJ4&amp;"初始",$S$3:$AE$63,MATCH(BP$3,$S$3:$AE$3,0),FALSE)+(VLOOKUP($BJ4&amp;"最终",$S$3:$AE$63,MATCH(BP$3,$S$3:$AE$3,0),FALSE)-VLOOKUP($BJ4&amp;"初始",$S$3:$AE$63,MATCH(BP$3,$S$3:$AE$3,0),FALSE))*$BL4/VLOOKUP(VLOOKUP($BJ4,坦克个性化设定!$B$18:$E$48,4,FALSE)&amp;$BK4,坦克属性分配比例,MATCH("升星次数",坦克属性分配比例标头,0),FALSE)*(VLOOKUP(VLOOKUP($BJ4,坦克个性化设定!$B$18:$E$48,4,FALSE)&amp;$BK4,坦克属性分配比例,MATCH("升星比例",坦克属性分配比例标头,0),FALSE)+VLOOKUP(VLOOKUP($BJ4,坦克个性化设定!$B$18:$E$48,4,FALSE)&amp;$BK4,坦克属性分配比例,MATCH("部件比例",坦克属性分配比例标头,0),FALSE)*$C$3),0)</f>
        <v>230</v>
      </c>
      <c r="BQ4" s="103">
        <f ca="1">ROUND(VLOOKUP($BJ4&amp;"初始",$S$3:$AE$63,MATCH(BQ$3,$S$3:$AE$3,0),FALSE)+(VLOOKUP($BJ4&amp;"最终",$S$3:$AE$63,MATCH(BQ$3,$S$3:$AE$3,0),FALSE)-VLOOKUP($BJ4&amp;"初始",$S$3:$AE$63,MATCH(BQ$3,$S$3:$AE$3,0),FALSE))*$BL4/VLOOKUP(VLOOKUP($BJ4,坦克个性化设定!$B$18:$E$48,4,FALSE)&amp;$BK4,坦克属性分配比例,MATCH("升星次数",坦克属性分配比例标头,0),FALSE)*VLOOKUP(VLOOKUP($BJ4,坦克个性化设定!$B$18:$E$48,4,FALSE)&amp;$BK4,坦克属性分配比例,MATCH("升星比例",坦克属性分配比例标头,0),FALSE),0)</f>
        <v>300</v>
      </c>
      <c r="BR4" s="2">
        <f ca="1">ROUND(VLOOKUP($BJ4&amp;"初始",$S$3:$AE$63,MATCH(BR$3,$S$3:$AE$3,0),FALSE)+(VLOOKUP($BJ4&amp;"最终",$S$3:$AE$63,MATCH(BR$3,$S$3:$AE$3,0),FALSE)-VLOOKUP($BJ4&amp;"初始",$S$3:$AE$63,MATCH(BR$3,$S$3:$AE$3,0),FALSE))*$BL4/VLOOKUP(VLOOKUP($BJ4,坦克个性化设定!$B$18:$E$48,4,FALSE)&amp;$BK4,坦克属性分配比例,MATCH("升星次数",坦克属性分配比例标头,0),FALSE),0)</f>
        <v>80</v>
      </c>
      <c r="BS4" s="2">
        <f>ROUND(VLOOKUP($BJ4,$AI$3:$AO$33,MATCH(BS$3,$AI$3:$AO$3,0),FALSE)+$BL4/VLOOKUP(VLOOKUP($BJ4,坦克个性化设定!$B$18:$E$48,4,FALSE)&amp;$BK4,坦克属性分配比例,MATCH("升星次数",坦克属性分配比例标头,0),FALSE)*VLOOKUP($BJ4,$AR$3:$AY$33,MATCH(BS$3,$AR$3:$AY$3,0),FALSE),1)</f>
        <v>47.1</v>
      </c>
      <c r="BT4" s="2">
        <f>ROUND(VLOOKUP($BJ4,$AI$3:$AO$33,MATCH(BT$3,$AI$3:$AO$3,0),FALSE)+$BL4/VLOOKUP(VLOOKUP($BJ4,坦克个性化设定!$B$18:$E$48,4,FALSE)&amp;$BK4,坦克属性分配比例,MATCH("升星次数",坦克属性分配比例标头,0),FALSE)*VLOOKUP($BJ4,$AR$3:$AY$33,MATCH(BT$3,$AR$3:$AY$3,0),FALSE),1)</f>
        <v>45</v>
      </c>
      <c r="BU4" s="2">
        <f>ROUND(VLOOKUP($BJ4,$AI$3:$AO$33,MATCH(BU$3,$AI$3:$AO$3,0),FALSE)+$BL4/VLOOKUP(VLOOKUP($BJ4,坦克个性化设定!$B$18:$E$48,4,FALSE)&amp;$BK4,坦克属性分配比例,MATCH("升星次数",坦克属性分配比例标头,0),FALSE)*VLOOKUP($BJ4,$AR$3:$AY$33,MATCH(BU$3,$AR$3:$AY$3,0),FALSE),1)</f>
        <v>10.5</v>
      </c>
      <c r="BV4" s="2">
        <f>IF(VLOOKUP(BJ4,坦克个性化设定!$B$18:$BC$48,MATCH("装弹类型",坦克个性化设定!$B$18:$BC$18,0),FALSE)="弹夹换弹",0,ROUND(VLOOKUP($BJ4,$AI$3:$AO$33,MATCH("换弹时间",$AI$3:$AO$3,0),FALSE)-$BL4/VLOOKUP(VLOOKUP($BJ4,坦克个性化设定!$B$18:$E$48,4,FALSE)&amp;$BK4,坦克属性分配比例,MATCH("升星次数",坦克属性分配比例标头,0),FALSE)*VLOOKUP($BJ4,$AR$3:$AY$33,MATCH("换弹时间",$AR$3:$AY$3,0),FALSE),2))</f>
        <v>0</v>
      </c>
      <c r="BW4" s="2">
        <f>IF(VLOOKUP(BJ4,坦克个性化设定!$B$18:$BC$48,MATCH("装弹类型",坦克个性化设定!$B$18:$BC$18,0),FALSE)="弹夹换弹",ROUND(VLOOKUP($BJ4,$AI$3:$AO$33,MATCH("换弹时间",$AI$3:$AO$3,0),FALSE)-$BL4/VLOOKUP(VLOOKUP($BJ4,坦克个性化设定!$B$18:$E$48,4,FALSE)&amp;$BK4,坦克属性分配比例,MATCH("升星次数",坦克属性分配比例标头,0),FALSE)*VLOOKUP($BJ4,$AR$3:$AY$33,MATCH("换弹时间",$AR$3:$AY$3,0),FALSE),1),0)</f>
        <v>5</v>
      </c>
      <c r="BX4" s="2">
        <f>ROUND(VLOOKUP($BJ4,$AI$3:$AO$33,MATCH(BX$3,$AI$3:$AO$3,0),FALSE)+$BL4/VLOOKUP(VLOOKUP($BJ4,坦克个性化设定!$B$18:$E$48,4,FALSE)&amp;$BK4,坦克属性分配比例,MATCH("升星次数",坦克属性分配比例标头,0),FALSE)*VLOOKUP($BJ4,$AR$3:$AY$33,MATCH(BX$3,$AR$3:$AY$3,0),FALSE),2)</f>
        <v>0.6</v>
      </c>
      <c r="BY4" s="2">
        <f>ROUND(VLOOKUP($BJ4,$AI$3:$AO$33,MATCH(BY$3,$AI$3:$AO$3,0),FALSE)-$BL4/VLOOKUP(VLOOKUP($BJ4,坦克个性化设定!$B$18:$E$48,4,FALSE)&amp;$BK4,坦克属性分配比例,MATCH("升星次数",坦克属性分配比例标头,0),FALSE)*VLOOKUP($BJ4,$AR$3:$AY$33,MATCH(BY$3,$AR$3:$AY$3,0),FALSE),2)</f>
        <v>0.42</v>
      </c>
      <c r="CA4" s="2">
        <v>1</v>
      </c>
      <c r="CB4" s="2" t="str">
        <f>VLOOKUP(CA4,$B$5:$C$35,2,FALSE)</f>
        <v>雷诺FT</v>
      </c>
      <c r="CC4" s="2" t="str">
        <f>VLOOKUP(CB4,坦克个性化设定!$B$18:$F$48,5,FALSE)</f>
        <v>轻坦弹夹</v>
      </c>
      <c r="CD4" s="29" t="str">
        <f>VLOOKUP(CB4,坦克个性化细分!$I$3:$J$33,2,FALSE)</f>
        <v>低</v>
      </c>
      <c r="CE4" s="42">
        <f ca="1">(VLOOKUP($CB4&amp;"最终",$S$3:$AE$63,MATCH(CE$3,$S$3:$AE$3,0),FALSE)-VLOOKUP($CB4&amp;"初始",$S$3:$AE$63,MATCH(CE$3,$S$3:$AE$3,0),FALSE))*VLOOKUP(VLOOKUP($CB4,坦克个性化设定!$B$18:$E$48,4,FALSE)&amp;$CD4,坦克属性分配比例,MATCH("部件比例",坦克属性分配比例标头,0),FALSE)</f>
        <v>127.11720264809236</v>
      </c>
      <c r="CF4" s="42">
        <f ca="1">(VLOOKUP($CB4&amp;"最终",$S$3:$AE$63,MATCH(CF$3,$S$3:$AE$3,0),FALSE)-VLOOKUP($CB4&amp;"初始",$S$3:$AE$63,MATCH(CF$3,$S$3:$AE$3,0),FALSE))*VLOOKUP(VLOOKUP($CB4,坦克个性化设定!$B$18:$E$48,4,FALSE)&amp;$CD4,坦克属性分配比例,MATCH("部件比例",坦克属性分配比例标头,0),FALSE)</f>
        <v>3.8553816591432057</v>
      </c>
      <c r="CG4" s="42">
        <f ca="1">(VLOOKUP($CB4&amp;"最终",$S$3:$AE$63,MATCH(CG$3,$S$3:$AE$3,0),FALSE)-VLOOKUP($CB4&amp;"初始",$S$3:$AE$63,MATCH(CG$3,$S$3:$AE$3,0),FALSE))*VLOOKUP(VLOOKUP($CB4,坦克个性化设定!$B$18:$E$48,4,FALSE)&amp;$CD4,坦克属性分配比例,MATCH("部件比例",坦克属性分配比例标头,0),FALSE)*(1-$C$3)</f>
        <v>11.76</v>
      </c>
      <c r="CH4" s="42">
        <f ca="1">(VLOOKUP($CB4&amp;"最终",$S$3:$AE$63,MATCH(CH$3,$S$3:$AE$3,0),FALSE)-VLOOKUP($CB4&amp;"初始",$S$3:$AE$63,MATCH(CH$3,$S$3:$AE$3,0),FALSE))*VLOOKUP(VLOOKUP($CB4,坦克个性化设定!$B$18:$E$48,4,FALSE)&amp;$CD4,坦克属性分配比例,MATCH("部件比例",坦克属性分配比例标头,0),FALSE)*(1-$C$3)</f>
        <v>8.2799999999999994</v>
      </c>
      <c r="CI4" s="42">
        <f ca="1">(VLOOKUP($CB4&amp;"最终",$S$3:$AE$63,MATCH(CI$3,$S$3:$AE$3,0),FALSE)-VLOOKUP($CB4&amp;"初始",$S$3:$AE$63,MATCH(CI$3,$S$3:$AE$3,0),FALSE))*VLOOKUP(VLOOKUP($CB4,坦克个性化设定!$B$18:$E$48,4,FALSE)&amp;$CD4,坦克属性分配比例,MATCH("部件比例",坦克属性分配比例标头,0),FALSE)</f>
        <v>27</v>
      </c>
    </row>
    <row r="5" spans="2:87" x14ac:dyDescent="0.3">
      <c r="B5" s="2" t="s">
        <v>607</v>
      </c>
      <c r="C5" s="2" t="s">
        <v>608</v>
      </c>
      <c r="D5" s="2" t="s">
        <v>578</v>
      </c>
      <c r="E5" s="2" t="s">
        <v>609</v>
      </c>
      <c r="F5" s="2" t="s">
        <v>610</v>
      </c>
      <c r="G5" s="25"/>
      <c r="H5" s="2" t="str">
        <f>坦克等级成长!B14&amp;坦克等级成长!C14</f>
        <v>T2低</v>
      </c>
      <c r="I5" s="2">
        <v>7</v>
      </c>
      <c r="J5" s="2">
        <f>坦克等级成长!J14</f>
        <v>1.2</v>
      </c>
      <c r="K5" s="2">
        <f>坦克等级成长!K14</f>
        <v>1.7</v>
      </c>
      <c r="L5" s="2">
        <f>坦克等级成长!E14</f>
        <v>4</v>
      </c>
      <c r="M5" s="2">
        <f>IFERROR(VLOOKUP(L5,坦克部件!$N$3:$R$9,5,FALSE),VLOOKUP(L5-1,坦克部件!$N$3:$R$9,5,FALSE))</f>
        <v>0.25700000000000001</v>
      </c>
      <c r="N5" s="2">
        <f t="shared" si="0"/>
        <v>0.30840000000000001</v>
      </c>
      <c r="O5" s="162">
        <f t="shared" si="1"/>
        <v>0.65</v>
      </c>
      <c r="P5" s="155">
        <v>0.35</v>
      </c>
      <c r="Q5" s="163"/>
      <c r="R5" s="25"/>
      <c r="S5" s="2" t="str">
        <f t="shared" si="2"/>
        <v>雷诺FT最终</v>
      </c>
      <c r="T5" s="2">
        <f>IF(COUNTIF(U$4:U4,U4)&gt;=$B$3,T4+1,T4)</f>
        <v>1</v>
      </c>
      <c r="U5" s="2" t="str">
        <f t="shared" si="3"/>
        <v>雷诺FT</v>
      </c>
      <c r="V5" s="2" t="str">
        <f>VLOOKUP(U5,坦克个性化设定!$B$18:$F$48,5,FALSE)</f>
        <v>轻坦弹夹</v>
      </c>
      <c r="W5" s="29" t="str">
        <f>VLOOKUP(U5,坦克个性化细分!$I$3:$J$33,2,FALSE)</f>
        <v>低</v>
      </c>
      <c r="X5" s="21" t="s">
        <v>793</v>
      </c>
      <c r="Y5" s="2" t="str">
        <f>VLOOKUP(VLOOKUP(U5,坦克个性化设定!$B$18:$F$48,4,FALSE)&amp;W5,坦克等级成长!$P$12:$U$24,MATCH(X5,坦克等级成长!$P$12:$U$12,0),FALSE)</f>
        <v>T1低3</v>
      </c>
      <c r="Z5" s="42">
        <f ca="1">VLOOKUP($Y5,INDIRECT($V5&amp;"_阶段属性"),MATCH(Z$3,属性标头_阶段属性,0),FALSE)*VLOOKUP($U5,坦克个性化设定!$B$84:$D$114,2,FALSE)</f>
        <v>1001.5294754092125</v>
      </c>
      <c r="AA5" s="42">
        <f ca="1">VLOOKUP($Y5,INDIRECT($V5&amp;"_阶段属性"),MATCH(AA$3,属性标头_阶段属性,0),FALSE)*VLOOKUP($U5,坦克个性化设定!$B$84:$D$114,3,FALSE)</f>
        <v>54.370766987917008</v>
      </c>
      <c r="AB5" s="2">
        <f t="shared" ca="1" si="4"/>
        <v>427</v>
      </c>
      <c r="AC5" s="2">
        <f t="shared" ca="1" si="4"/>
        <v>299</v>
      </c>
      <c r="AD5" s="2">
        <f t="shared" ca="1" si="4"/>
        <v>390</v>
      </c>
      <c r="AE5" s="2">
        <f t="shared" ca="1" si="4"/>
        <v>104</v>
      </c>
      <c r="AF5" s="25"/>
      <c r="AH5" s="2">
        <v>2</v>
      </c>
      <c r="AI5" s="2" t="str">
        <f t="shared" si="5"/>
        <v>二号</v>
      </c>
      <c r="AJ5" s="2">
        <f>VLOOKUP($AI5,坦克个性化细分!$I$3:$P$33,MATCH(AJ$3,坦克个性化细分!$I$3:$P$3,0),FALSE)</f>
        <v>47.1</v>
      </c>
      <c r="AK5" s="2">
        <f>VLOOKUP($AI5,坦克个性化细分!$I$3:$P$33,MATCH(AK$3,坦克个性化细分!$I$3:$P$3,0),FALSE)</f>
        <v>45</v>
      </c>
      <c r="AL5" s="2">
        <f>VLOOKUP($AI5,坦克个性化细分!$I$3:$P$33,MATCH(AL$3,坦克个性化细分!$I$3:$P$3,0),FALSE)</f>
        <v>10.5</v>
      </c>
      <c r="AM5" s="34">
        <f>VLOOKUP(AI5,坦克个性化细分!$AA$3:$AP$33,MATCH("射击偏移角",坦克个性化细分!$AA$3:$AP$3,0),FALSE)/VLOOKUP(AI5,坦克个性化细分!$AA$3:$AP$33,MATCH("原瞄准速度",坦克个性化细分!$AA$3:$AP$3,0),FALSE)</f>
        <v>0.39166666666666666</v>
      </c>
      <c r="AN5" s="34">
        <f>VLOOKUP(AI5,坦克个性化细分!$AA$3:$AP$33,MATCH(AN$3,坦克个性化细分!$AA$3:$AP$3,0),FALSE)</f>
        <v>0.60000000000000009</v>
      </c>
      <c r="AO5" s="2">
        <f>VLOOKUP(AI5,坦克个性化细分!$AA$3:$AP$33,MATCH("原换弹时间",坦克个性化细分!$AA$3:$AP$3,0),FALSE)</f>
        <v>8.3999999999999986</v>
      </c>
      <c r="AP5" s="133"/>
      <c r="AQ5" s="2">
        <v>2</v>
      </c>
      <c r="AR5" s="2" t="str">
        <f t="shared" si="6"/>
        <v>二号</v>
      </c>
      <c r="AS5" s="2" t="s">
        <v>81</v>
      </c>
      <c r="AT5" s="34">
        <f>VLOOKUP(AR5,坦克个性化细分!$I$3:$P$33,MATCH("养成区间1",坦克个性化细分!$I$3:$P$3,0),FALSE)</f>
        <v>11.774999999999997</v>
      </c>
      <c r="AU5" s="2">
        <f>VLOOKUP(AR5,坦克个性化细分!$I$3:$P$33,MATCH("养成区间2",坦克个性化细分!$I$3:$P$3,0),FALSE)</f>
        <v>11.249999999999998</v>
      </c>
      <c r="AV5" s="2">
        <f>VLOOKUP(AR5,坦克个性化细分!$I$3:$P$33,MATCH("养成区间3",坦克个性化细分!$I$3:$P$3,0),FALSE)</f>
        <v>0</v>
      </c>
      <c r="AW5" s="34">
        <f>VLOOKUP(AR5,坦克个性化细分!$AA$3:$AP$33,MATCH("瞄准区间",坦克个性化细分!$AA$3:$AP$3,0),FALSE)</f>
        <v>6.5277777777777768E-2</v>
      </c>
      <c r="AX5" s="34">
        <f>VLOOKUP(AI5,坦克个性化细分!$AA$3:$AP$33,MATCH("后射击间隔",坦克个性化细分!$AA$3:$AP$3,0),FALSE)-VLOOKUP(AI5,坦克个性化细分!$AA$3:$AP$33,MATCH(AN$3,坦克个性化细分!$AA$3:$AP$3,0),FALSE)</f>
        <v>0</v>
      </c>
      <c r="AY5" s="34">
        <f>VLOOKUP(AR5,坦克个性化细分!$AA$3:$AP$33,MATCH("换弹区间",坦克个性化细分!$AA$3:$AP$3,0),FALSE)</f>
        <v>2.7864209505334632</v>
      </c>
      <c r="AZ5" s="133"/>
      <c r="BA5" s="34">
        <f t="shared" ref="BA5:BA33" si="8">AT5/AJ5</f>
        <v>0.24999999999999992</v>
      </c>
      <c r="BB5" s="34">
        <f t="shared" ref="BB5:BB33" si="9">AU5/AK5</f>
        <v>0.24999999999999997</v>
      </c>
      <c r="BC5" s="34">
        <f t="shared" ref="BC5:BC33" si="10">AV5/AL5</f>
        <v>0</v>
      </c>
      <c r="BD5" s="34">
        <f t="shared" ref="BD5:BD33" si="11">AW5/AM5</f>
        <v>0.16666666666666663</v>
      </c>
      <c r="BE5" s="34">
        <f t="shared" ref="BE5:BE33" si="12">AY5/AO5</f>
        <v>0.33171677982541231</v>
      </c>
      <c r="BF5" s="34"/>
      <c r="BG5" s="133"/>
      <c r="BH5" s="2" t="str">
        <f t="shared" ref="BH5:BH68" si="13">BJ5&amp;BL5</f>
        <v>雷诺FT1</v>
      </c>
      <c r="BI5" s="2">
        <f>IF(BL4&gt;=VLOOKUP(VLOOKUP(BJ4,坦克个性化设定!$B$18:$E$48,4,FALSE)&amp;BK4,坦克属性分配比例,MATCH("升星次数",坦克属性分配比例标头,0),FALSE),BI4+1,BI4)</f>
        <v>1</v>
      </c>
      <c r="BJ5" s="2" t="str">
        <f t="shared" ref="BJ5:BJ68" si="14">VLOOKUP(BI5,$B$5:$C$35,2,FALSE)</f>
        <v>雷诺FT</v>
      </c>
      <c r="BK5" s="29" t="str">
        <f>VLOOKUP(BJ5,坦克个性化细分!$I$3:$J$33,2,FALSE)</f>
        <v>低</v>
      </c>
      <c r="BL5" s="2">
        <f t="shared" si="7"/>
        <v>1</v>
      </c>
      <c r="BM5" s="103">
        <f ca="1">ROUND(VLOOKUP($BJ5&amp;"初始",$S$3:$AE$63,MATCH(BM$3,$S$3:$AE$3,0),FALSE)+((VLOOKUP($BJ5&amp;"最终",$S$3:$AE$63,MATCH(BM$3,$S$3:$AE$3,0),FALSE)*坦克个性化细分!$C$9-VLOOKUP($BJ5&amp;"初始",$S$3:$AE$63,MATCH(BM$3,$S$3:$AE$3,0),FALSE))-(VLOOKUP($BJ5&amp;"最终",$S$3:$AE$63,MATCH(BM$3,$S$3:$AE$3,0),FALSE)-VLOOKUP($BJ5&amp;"初始",$S$3:$AE$63,MATCH(BM$3,$S$3:$AE$3,0),FALSE))*VLOOKUP(VLOOKUP($BJ5,坦克个性化设定!$B$18:$E$48,4,FALSE)&amp;$BK5,坦克属性分配比例,MATCH("部件比例",坦克属性分配比例标头,0),FALSE))*$BL5/VLOOKUP(VLOOKUP($BJ5,坦克个性化设定!$B$18:$E$48,4,FALSE)&amp;$BK5,坦克属性分配比例,MATCH("升星次数",坦克属性分配比例标头,0),FALSE),0)</f>
        <v>667</v>
      </c>
      <c r="BN5" s="103">
        <f ca="1">ROUND(VLOOKUP($BJ5&amp;"初始",$S$3:$AE$63,MATCH(BN$3,$S$3:$AE$3,0),FALSE)+(VLOOKUP($BJ5&amp;"最终",$S$3:$AE$63,MATCH(BN$3,$S$3:$AE$3,0),FALSE)-VLOOKUP($BJ5&amp;"初始",$S$3:$AE$63,MATCH(BN$3,$S$3:$AE$3,0),FALSE))*$BL5/VLOOKUP(VLOOKUP($BJ5,坦克个性化设定!$B$18:$E$48,4,FALSE)&amp;$BK5,坦克属性分配比例,MATCH("升星次数",坦克属性分配比例标头,0),FALSE)*VLOOKUP(VLOOKUP($BJ5,坦克个性化设定!$B$18:$E$48,4,FALSE)&amp;$BK5,坦克属性分配比例,MATCH("升星比例",坦克属性分配比例标头,0),FALSE),0)</f>
        <v>43</v>
      </c>
      <c r="BO5" s="103">
        <f ca="1">ROUND(VLOOKUP($BJ5&amp;"初始",$S$3:$AE$63,MATCH(BO$3,$S$3:$AE$3,0),FALSE)+(VLOOKUP($BJ5&amp;"最终",$S$3:$AE$63,MATCH(BO$3,$S$3:$AE$3,0),FALSE)-VLOOKUP($BJ5&amp;"初始",$S$3:$AE$63,MATCH(BO$3,$S$3:$AE$3,0),FALSE))*$BL5/VLOOKUP(VLOOKUP($BJ5,坦克个性化设定!$B$18:$E$48,4,FALSE)&amp;$BK5,坦克属性分配比例,MATCH("升星次数",坦克属性分配比例标头,0),FALSE)*(VLOOKUP(VLOOKUP($BJ5,坦克个性化设定!$B$18:$E$48,4,FALSE)&amp;$BK5,坦克属性分配比例,MATCH("升星比例",坦克属性分配比例标头,0),FALSE)+VLOOKUP(VLOOKUP($BJ5,坦克个性化设定!$B$18:$E$48,4,FALSE)&amp;$BK5,坦克属性分配比例,MATCH("部件比例",坦克属性分配比例标头,0),FALSE)*$C$3),0)</f>
        <v>346</v>
      </c>
      <c r="BP5" s="103">
        <f ca="1">ROUND(VLOOKUP($BJ5&amp;"初始",$S$3:$AE$63,MATCH(BP$3,$S$3:$AE$3,0),FALSE)+(VLOOKUP($BJ5&amp;"最终",$S$3:$AE$63,MATCH(BP$3,$S$3:$AE$3,0),FALSE)-VLOOKUP($BJ5&amp;"初始",$S$3:$AE$63,MATCH(BP$3,$S$3:$AE$3,0),FALSE))*$BL5/VLOOKUP(VLOOKUP($BJ5,坦克个性化设定!$B$18:$E$48,4,FALSE)&amp;$BK5,坦克属性分配比例,MATCH("升星次数",坦克属性分配比例标头,0),FALSE)*(VLOOKUP(VLOOKUP($BJ5,坦克个性化设定!$B$18:$E$48,4,FALSE)&amp;$BK5,坦克属性分配比例,MATCH("升星比例",坦克属性分配比例标头,0),FALSE)+VLOOKUP(VLOOKUP($BJ5,坦克个性化设定!$B$18:$E$48,4,FALSE)&amp;$BK5,坦克属性分配比例,MATCH("部件比例",坦克属性分配比例标头,0),FALSE)*$C$3),0)</f>
        <v>242</v>
      </c>
      <c r="BQ5" s="103">
        <f ca="1">ROUND(VLOOKUP($BJ5&amp;"初始",$S$3:$AE$63,MATCH(BQ$3,$S$3:$AE$3,0),FALSE)+(VLOOKUP($BJ5&amp;"最终",$S$3:$AE$63,MATCH(BQ$3,$S$3:$AE$3,0),FALSE)-VLOOKUP($BJ5&amp;"初始",$S$3:$AE$63,MATCH(BQ$3,$S$3:$AE$3,0),FALSE))*$BL5/VLOOKUP(VLOOKUP($BJ5,坦克个性化设定!$B$18:$E$48,4,FALSE)&amp;$BK5,坦克属性分配比例,MATCH("升星次数",坦克属性分配比例标头,0),FALSE)*VLOOKUP(VLOOKUP($BJ5,坦克个性化设定!$B$18:$E$48,4,FALSE)&amp;$BK5,坦克属性分配比例,MATCH("升星比例",坦克属性分配比例标头,0),FALSE),0)</f>
        <v>313</v>
      </c>
      <c r="BR5" s="2">
        <f ca="1">ROUND(VLOOKUP($BJ5&amp;"初始",$S$3:$AE$63,MATCH(BR$3,$S$3:$AE$3,0),FALSE)+(VLOOKUP($BJ5&amp;"最终",$S$3:$AE$63,MATCH(BR$3,$S$3:$AE$3,0),FALSE)-VLOOKUP($BJ5&amp;"初始",$S$3:$AE$63,MATCH(BR$3,$S$3:$AE$3,0),FALSE))*$BL5/VLOOKUP(VLOOKUP($BJ5,坦克个性化设定!$B$18:$E$48,4,FALSE)&amp;$BK5,坦克属性分配比例,MATCH("升星次数",坦克属性分配比例标头,0),FALSE),0)</f>
        <v>85</v>
      </c>
      <c r="BS5" s="2">
        <f>ROUND(VLOOKUP($BJ5,$AI$3:$AO$33,MATCH(BS$3,$AI$3:$AO$3,0),FALSE)+$BL5/VLOOKUP(VLOOKUP($BJ5,坦克个性化设定!$B$18:$E$48,4,FALSE)&amp;$BK5,坦克属性分配比例,MATCH("升星次数",坦克属性分配比例标头,0),FALSE)*VLOOKUP($BJ5,$AR$3:$AY$33,MATCH(BS$3,$AR$3:$AY$3,0),FALSE),1)</f>
        <v>49.5</v>
      </c>
      <c r="BT5" s="2">
        <f>ROUND(VLOOKUP($BJ5,$AI$3:$AO$33,MATCH(BT$3,$AI$3:$AO$3,0),FALSE)+$BL5/VLOOKUP(VLOOKUP($BJ5,坦克个性化设定!$B$18:$E$48,4,FALSE)&amp;$BK5,坦克属性分配比例,MATCH("升星次数",坦克属性分配比例标头,0),FALSE)*VLOOKUP($BJ5,$AR$3:$AY$33,MATCH(BT$3,$AR$3:$AY$3,0),FALSE),1)</f>
        <v>47.3</v>
      </c>
      <c r="BU5" s="2">
        <f>ROUND(VLOOKUP($BJ5,$AI$3:$AO$33,MATCH(BU$3,$AI$3:$AO$3,0),FALSE)+$BL5/VLOOKUP(VLOOKUP($BJ5,坦克个性化设定!$B$18:$E$48,4,FALSE)&amp;$BK5,坦克属性分配比例,MATCH("升星次数",坦克属性分配比例标头,0),FALSE)*VLOOKUP($BJ5,$AR$3:$AY$33,MATCH(BU$3,$AR$3:$AY$3,0),FALSE),1)</f>
        <v>10.5</v>
      </c>
      <c r="BV5" s="2">
        <f>IF(VLOOKUP(BJ5,坦克个性化设定!$B$18:$BC$48,MATCH("装弹类型",坦克个性化设定!$B$18:$BC$18,0),FALSE)="弹夹换弹",0,ROUND(VLOOKUP($BJ5,$AI$3:$AO$33,MATCH("换弹时间",$AI$3:$AO$3,0),FALSE)-$BL5/VLOOKUP(VLOOKUP($BJ5,坦克个性化设定!$B$18:$E$48,4,FALSE)&amp;$BK5,坦克属性分配比例,MATCH("升星次数",坦克属性分配比例标头,0),FALSE)*VLOOKUP($BJ5,$AR$3:$AY$33,MATCH("换弹时间",$AR$3:$AY$3,0),FALSE),2))</f>
        <v>0</v>
      </c>
      <c r="BW5" s="2">
        <f>IF(VLOOKUP(BJ5,坦克个性化设定!$B$18:$BC$48,MATCH("装弹类型",坦克个性化设定!$B$18:$BC$18,0),FALSE)="弹夹换弹",ROUND(VLOOKUP($BJ5,$AI$3:$AO$33,MATCH("换弹时间",$AI$3:$AO$3,0),FALSE)-$BL5/VLOOKUP(VLOOKUP($BJ5,坦克个性化设定!$B$18:$E$48,4,FALSE)&amp;$BK5,坦克属性分配比例,MATCH("升星次数",坦克属性分配比例标头,0),FALSE)*VLOOKUP($BJ5,$AR$3:$AY$33,MATCH("换弹时间",$AR$3:$AY$3,0),FALSE),1),0)</f>
        <v>5.6</v>
      </c>
      <c r="BX5" s="2">
        <f>ROUND(VLOOKUP($BJ5,$AI$3:$AO$33,MATCH(BX$3,$AI$3:$AO$3,0),FALSE)+$BL5/VLOOKUP(VLOOKUP($BJ5,坦克个性化设定!$B$18:$E$48,4,FALSE)&amp;$BK5,坦克属性分配比例,MATCH("升星次数",坦克属性分配比例标头,0),FALSE)*VLOOKUP($BJ5,$AR$3:$AY$33,MATCH(BX$3,$AR$3:$AY$3,0),FALSE),2)</f>
        <v>0.53</v>
      </c>
      <c r="BY5" s="2">
        <f>ROUND(VLOOKUP($BJ5,$AI$3:$AO$33,MATCH(BY$3,$AI$3:$AO$3,0),FALSE)-$BL5/VLOOKUP(VLOOKUP($BJ5,坦克个性化设定!$B$18:$E$48,4,FALSE)&amp;$BK5,坦克属性分配比例,MATCH("升星次数",坦克属性分配比例标头,0),FALSE)*VLOOKUP($BJ5,$AR$3:$AY$33,MATCH(BY$3,$AR$3:$AY$3,0),FALSE),2)</f>
        <v>0.4</v>
      </c>
      <c r="CA5" s="2">
        <v>2</v>
      </c>
      <c r="CB5" s="2" t="str">
        <f t="shared" ref="CB5:CB33" si="15">VLOOKUP(CA5,$B$5:$C$35,2,FALSE)</f>
        <v>二号</v>
      </c>
      <c r="CC5" s="2" t="str">
        <f>VLOOKUP(CB5,坦克个性化设定!$B$18:$F$48,5,FALSE)</f>
        <v>轻坦弹夹</v>
      </c>
      <c r="CD5" s="29" t="str">
        <f>VLOOKUP(CB5,坦克个性化细分!$I$3:$J$33,2,FALSE)</f>
        <v>低</v>
      </c>
      <c r="CE5" s="42">
        <f ca="1">(VLOOKUP($CB5&amp;"最终",$S$3:$AE$63,MATCH(CE$3,$S$3:$AE$3,0),FALSE)-VLOOKUP($CB5&amp;"初始",$S$3:$AE$63,MATCH(CE$3,$S$3:$AE$3,0),FALSE))*VLOOKUP(VLOOKUP($CB5,坦克个性化设定!$B$18:$E$48,4,FALSE)&amp;$CD5,坦克属性分配比例,MATCH("部件比例",坦克属性分配比例标头,0),FALSE)</f>
        <v>119.48696815618514</v>
      </c>
      <c r="CF5" s="42">
        <f ca="1">(VLOOKUP($CB5&amp;"最终",$S$3:$AE$63,MATCH(CF$3,$S$3:$AE$3,0),FALSE)-VLOOKUP($CB5&amp;"初始",$S$3:$AE$63,MATCH(CF$3,$S$3:$AE$3,0),FALSE))*VLOOKUP(VLOOKUP($CB5,坦克个性化设定!$B$18:$E$48,4,FALSE)&amp;$CD5,坦克属性分配比例,MATCH("部件比例",坦克属性分配比例标头,0),FALSE)</f>
        <v>10.33090434437602</v>
      </c>
      <c r="CG5" s="42">
        <f ca="1">(VLOOKUP($CB5&amp;"最终",$S$3:$AE$63,MATCH(CG$3,$S$3:$AE$3,0),FALSE)-VLOOKUP($CB5&amp;"初始",$S$3:$AE$63,MATCH(CG$3,$S$3:$AE$3,0),FALSE))*VLOOKUP(VLOOKUP($CB5,坦克个性化设定!$B$18:$E$48,4,FALSE)&amp;$CD5,坦克属性分配比例,MATCH("部件比例",坦克属性分配比例标头,0),FALSE)*(1-$C$3)</f>
        <v>23.099999999999998</v>
      </c>
      <c r="CH5" s="42">
        <f ca="1">(VLOOKUP($CB5&amp;"最终",$S$3:$AE$63,MATCH(CH$3,$S$3:$AE$3,0),FALSE)-VLOOKUP($CB5&amp;"初始",$S$3:$AE$63,MATCH(CH$3,$S$3:$AE$3,0),FALSE))*VLOOKUP(VLOOKUP($CB5,坦克个性化设定!$B$18:$E$48,4,FALSE)&amp;$CD5,坦克属性分配比例,MATCH("部件比例",坦克属性分配比例标头,0),FALSE)*(1-$C$3)</f>
        <v>16.100000000000001</v>
      </c>
      <c r="CI5" s="42">
        <f ca="1">(VLOOKUP($CB5&amp;"最终",$S$3:$AE$63,MATCH(CI$3,$S$3:$AE$3,0),FALSE)-VLOOKUP($CB5&amp;"初始",$S$3:$AE$63,MATCH(CI$3,$S$3:$AE$3,0),FALSE))*VLOOKUP(VLOOKUP($CB5,坦克个性化设定!$B$18:$E$48,4,FALSE)&amp;$CD5,坦克属性分配比例,MATCH("部件比例",坦克属性分配比例标头,0),FALSE)</f>
        <v>52.5</v>
      </c>
    </row>
    <row r="6" spans="2:87" x14ac:dyDescent="0.3">
      <c r="B6" s="2">
        <v>1</v>
      </c>
      <c r="C6" s="2" t="str">
        <f>坦克个性化设定!B19</f>
        <v>雷诺FT</v>
      </c>
      <c r="D6" s="2">
        <v>1111</v>
      </c>
      <c r="E6" s="2" t="s">
        <v>612</v>
      </c>
      <c r="F6" s="2">
        <v>1</v>
      </c>
      <c r="G6" s="25" t="str">
        <f>C6</f>
        <v>雷诺FT</v>
      </c>
      <c r="H6" s="2" t="str">
        <f>坦克等级成长!B15&amp;坦克等级成长!C15</f>
        <v>T2中</v>
      </c>
      <c r="I6" s="2">
        <v>7</v>
      </c>
      <c r="J6" s="2">
        <f>坦克等级成长!J15</f>
        <v>1.22</v>
      </c>
      <c r="K6" s="2">
        <f>坦克等级成长!K15</f>
        <v>1.7599999999999998</v>
      </c>
      <c r="L6" s="2">
        <f>坦克等级成长!E15</f>
        <v>4</v>
      </c>
      <c r="M6" s="2">
        <f>IFERROR(VLOOKUP(L6,坦克部件!$N$3:$R$9,5,FALSE),VLOOKUP(L6-1,坦克部件!$N$3:$R$9,5,FALSE))</f>
        <v>0.25700000000000001</v>
      </c>
      <c r="N6" s="2">
        <f t="shared" si="0"/>
        <v>0.31353999999999999</v>
      </c>
      <c r="O6" s="162">
        <f t="shared" si="1"/>
        <v>0.65</v>
      </c>
      <c r="P6" s="155">
        <v>0.35</v>
      </c>
      <c r="Q6" s="163"/>
      <c r="R6" s="25"/>
      <c r="S6" s="2" t="str">
        <f t="shared" si="2"/>
        <v>二号初始</v>
      </c>
      <c r="T6" s="2">
        <f>IF(COUNTIF(U$4:U5,U5)&gt;=$B$3,T5+1,T5)</f>
        <v>2</v>
      </c>
      <c r="U6" s="2" t="str">
        <f t="shared" si="3"/>
        <v>二号</v>
      </c>
      <c r="V6" s="2" t="str">
        <f>VLOOKUP(U6,坦克个性化设定!$B$18:$F$48,5,FALSE)</f>
        <v>轻坦弹夹</v>
      </c>
      <c r="W6" s="29" t="str">
        <f>VLOOKUP(U6,坦克个性化细分!$I$3:$J$33,2,FALSE)</f>
        <v>低</v>
      </c>
      <c r="X6" s="2" t="str">
        <f t="shared" ref="X6:X37" si="16">X4</f>
        <v>初始</v>
      </c>
      <c r="Y6" s="2" t="str">
        <f>VLOOKUP(VLOOKUP(U6,坦克个性化设定!$B$18:$F$48,4,FALSE)&amp;W6,坦克等级成长!$P$12:$U$24,MATCH(X6,坦克等级成长!$P$12:$U$12,0),FALSE)</f>
        <v>T2低2</v>
      </c>
      <c r="Z6" s="42">
        <f ca="1">VLOOKUP($Y6,INDIRECT($V6&amp;"_阶段属性"),MATCH(Z$3,属性标头_阶段属性,0),FALSE)*VLOOKUP($U6,坦克个性化设定!$B$84:$D$114,2,FALSE)</f>
        <v>875.74299642421443</v>
      </c>
      <c r="AA6" s="42">
        <f ca="1">VLOOKUP($Y6,INDIRECT($V6&amp;"_阶段属性"),MATCH(AA$3,属性标头_阶段属性,0),FALSE)*VLOOKUP($U6,坦克个性化设定!$B$84:$D$114,3,FALSE)</f>
        <v>71.683826063017293</v>
      </c>
      <c r="AB6" s="2">
        <f t="shared" ca="1" si="4"/>
        <v>394</v>
      </c>
      <c r="AC6" s="2">
        <f t="shared" ca="1" si="4"/>
        <v>276</v>
      </c>
      <c r="AD6" s="2">
        <f t="shared" ca="1" si="4"/>
        <v>360</v>
      </c>
      <c r="AE6" s="2">
        <f t="shared" ca="1" si="4"/>
        <v>96</v>
      </c>
      <c r="AF6" s="25"/>
      <c r="AH6" s="2">
        <v>3</v>
      </c>
      <c r="AI6" s="2" t="str">
        <f t="shared" si="5"/>
        <v>Puma</v>
      </c>
      <c r="AJ6" s="2">
        <f>VLOOKUP($AI6,坦克个性化细分!$I$3:$P$33,MATCH(AJ$3,坦克个性化细分!$I$3:$P$3,0),FALSE)</f>
        <v>43.3</v>
      </c>
      <c r="AK6" s="2">
        <f>VLOOKUP($AI6,坦克个性化细分!$I$3:$P$33,MATCH(AK$3,坦克个性化细分!$I$3:$P$3,0),FALSE)</f>
        <v>51</v>
      </c>
      <c r="AL6" s="2">
        <f>VLOOKUP($AI6,坦克个性化细分!$I$3:$P$33,MATCH(AL$3,坦克个性化细分!$I$3:$P$3,0),FALSE)</f>
        <v>10.199999999999999</v>
      </c>
      <c r="AM6" s="34">
        <f>VLOOKUP(AI6,坦克个性化细分!$AA$3:$AP$33,MATCH("射击偏移角",坦克个性化细分!$AA$3:$AP$3,0),FALSE)/VLOOKUP(AI6,坦克个性化细分!$AA$3:$AP$33,MATCH("原瞄准速度",坦克个性化细分!$AA$3:$AP$3,0),FALSE)</f>
        <v>0.57499999999999996</v>
      </c>
      <c r="AN6" s="34">
        <f>VLOOKUP(AI6,坦克个性化细分!$AA$3:$AP$33,MATCH(AN$3,坦克个性化细分!$AA$3:$AP$3,0),FALSE)</f>
        <v>0.8</v>
      </c>
      <c r="AO6" s="2">
        <f>VLOOKUP(AI6,坦克个性化细分!$AA$3:$AP$33,MATCH("原换弹时间",坦克个性化细分!$AA$3:$AP$3,0),FALSE)</f>
        <v>3.1499999999999995</v>
      </c>
      <c r="AP6" s="133"/>
      <c r="AQ6" s="2">
        <v>3</v>
      </c>
      <c r="AR6" s="2" t="str">
        <f t="shared" si="6"/>
        <v>Puma</v>
      </c>
      <c r="AS6" s="2" t="s">
        <v>79</v>
      </c>
      <c r="AT6" s="34">
        <f>VLOOKUP(AR6,坦克个性化细分!$I$3:$P$33,MATCH("养成区间1",坦克个性化细分!$I$3:$P$3,0),FALSE)</f>
        <v>10.824999999999996</v>
      </c>
      <c r="AU6" s="2">
        <f>VLOOKUP(AR6,坦克个性化细分!$I$3:$P$33,MATCH("养成区间2",坦克个性化细分!$I$3:$P$3,0),FALSE)</f>
        <v>12.749999999999996</v>
      </c>
      <c r="AV6" s="2">
        <f>VLOOKUP(AR6,坦克个性化细分!$I$3:$P$33,MATCH("养成区间3",坦克个性化细分!$I$3:$P$3,0),FALSE)</f>
        <v>0</v>
      </c>
      <c r="AW6" s="34">
        <f>VLOOKUP(AR6,坦克个性化细分!$AA$3:$AP$33,MATCH("瞄准区间",坦克个性化细分!$AA$3:$AP$3,0),FALSE)</f>
        <v>9.5833333333333326E-2</v>
      </c>
      <c r="AX6" s="34">
        <f>VLOOKUP(AI6,坦克个性化细分!$AA$3:$AP$33,MATCH("后射击间隔",坦克个性化细分!$AA$3:$AP$3,0),FALSE)-VLOOKUP(AI6,坦克个性化细分!$AA$3:$AP$33,MATCH(AN$3,坦克个性化细分!$AA$3:$AP$3,0),FALSE)</f>
        <v>0</v>
      </c>
      <c r="AY6" s="34">
        <f>VLOOKUP(AR6,坦克个性化细分!$AA$3:$AP$33,MATCH("换弹区间",坦克个性化细分!$AA$3:$AP$3,0),FALSE)</f>
        <v>1.0344553056626822</v>
      </c>
      <c r="AZ6" s="133"/>
      <c r="BA6" s="34">
        <f t="shared" si="8"/>
        <v>0.24999999999999992</v>
      </c>
      <c r="BB6" s="34">
        <f t="shared" si="9"/>
        <v>0.24999999999999992</v>
      </c>
      <c r="BC6" s="34">
        <f t="shared" si="10"/>
        <v>0</v>
      </c>
      <c r="BD6" s="34">
        <f t="shared" si="11"/>
        <v>0.16666666666666666</v>
      </c>
      <c r="BE6" s="34">
        <f t="shared" si="12"/>
        <v>0.32839850973418488</v>
      </c>
      <c r="BF6" s="34"/>
      <c r="BG6" s="133"/>
      <c r="BH6" s="2" t="str">
        <f t="shared" si="13"/>
        <v>雷诺FT2</v>
      </c>
      <c r="BI6" s="2">
        <f>IF(BL5&gt;=VLOOKUP(VLOOKUP(BJ5,坦克个性化设定!$B$18:$E$48,4,FALSE)&amp;BK5,坦克属性分配比例,MATCH("升星次数",坦克属性分配比例标头,0),FALSE),BI5+1,BI5)</f>
        <v>1</v>
      </c>
      <c r="BJ6" s="2" t="str">
        <f t="shared" si="14"/>
        <v>雷诺FT</v>
      </c>
      <c r="BK6" s="29" t="str">
        <f>VLOOKUP(BJ6,坦克个性化细分!$I$3:$J$33,2,FALSE)</f>
        <v>低</v>
      </c>
      <c r="BL6" s="2">
        <f t="shared" si="7"/>
        <v>2</v>
      </c>
      <c r="BM6" s="103">
        <f ca="1">ROUND(VLOOKUP($BJ6&amp;"初始",$S$3:$AE$63,MATCH(BM$3,$S$3:$AE$3,0),FALSE)+((VLOOKUP($BJ6&amp;"最终",$S$3:$AE$63,MATCH(BM$3,$S$3:$AE$3,0),FALSE)*坦克个性化细分!$C$9-VLOOKUP($BJ6&amp;"初始",$S$3:$AE$63,MATCH(BM$3,$S$3:$AE$3,0),FALSE))-(VLOOKUP($BJ6&amp;"最终",$S$3:$AE$63,MATCH(BM$3,$S$3:$AE$3,0),FALSE)-VLOOKUP($BJ6&amp;"初始",$S$3:$AE$63,MATCH(BM$3,$S$3:$AE$3,0),FALSE))*VLOOKUP(VLOOKUP($BJ6,坦克个性化设定!$B$18:$E$48,4,FALSE)&amp;$BK6,坦克属性分配比例,MATCH("部件比例",坦克属性分配比例标头,0),FALSE))*$BL6/VLOOKUP(VLOOKUP($BJ6,坦克个性化设定!$B$18:$E$48,4,FALSE)&amp;$BK6,坦克属性分配比例,MATCH("升星次数",坦克属性分配比例标头,0),FALSE),0)</f>
        <v>757</v>
      </c>
      <c r="BN6" s="103">
        <f ca="1">ROUND(VLOOKUP($BJ6&amp;"初始",$S$3:$AE$63,MATCH(BN$3,$S$3:$AE$3,0),FALSE)+(VLOOKUP($BJ6&amp;"最终",$S$3:$AE$63,MATCH(BN$3,$S$3:$AE$3,0),FALSE)-VLOOKUP($BJ6&amp;"初始",$S$3:$AE$63,MATCH(BN$3,$S$3:$AE$3,0),FALSE))*$BL6/VLOOKUP(VLOOKUP($BJ6,坦克个性化设定!$B$18:$E$48,4,FALSE)&amp;$BK6,坦克属性分配比例,MATCH("升星次数",坦克属性分配比例标头,0),FALSE)*VLOOKUP(VLOOKUP($BJ6,坦克个性化设定!$B$18:$E$48,4,FALSE)&amp;$BK6,坦克属性分配比例,MATCH("升星比例",坦克属性分配比例标头,0),FALSE),0)</f>
        <v>45</v>
      </c>
      <c r="BO6" s="103">
        <f ca="1">ROUND(VLOOKUP($BJ6&amp;"初始",$S$3:$AE$63,MATCH(BO$3,$S$3:$AE$3,0),FALSE)+(VLOOKUP($BJ6&amp;"最终",$S$3:$AE$63,MATCH(BO$3,$S$3:$AE$3,0),FALSE)-VLOOKUP($BJ6&amp;"初始",$S$3:$AE$63,MATCH(BO$3,$S$3:$AE$3,0),FALSE))*$BL6/VLOOKUP(VLOOKUP($BJ6,坦克个性化设定!$B$18:$E$48,4,FALSE)&amp;$BK6,坦克属性分配比例,MATCH("升星次数",坦克属性分配比例标头,0),FALSE)*(VLOOKUP(VLOOKUP($BJ6,坦克个性化设定!$B$18:$E$48,4,FALSE)&amp;$BK6,坦克属性分配比例,MATCH("升星比例",坦克属性分配比例标头,0),FALSE)+VLOOKUP(VLOOKUP($BJ6,坦克个性化设定!$B$18:$E$48,4,FALSE)&amp;$BK6,坦克属性分配比例,MATCH("部件比例",坦克属性分配比例标头,0),FALSE)*$C$3),0)</f>
        <v>363</v>
      </c>
      <c r="BP6" s="103">
        <f ca="1">ROUND(VLOOKUP($BJ6&amp;"初始",$S$3:$AE$63,MATCH(BP$3,$S$3:$AE$3,0),FALSE)+(VLOOKUP($BJ6&amp;"最终",$S$3:$AE$63,MATCH(BP$3,$S$3:$AE$3,0),FALSE)-VLOOKUP($BJ6&amp;"初始",$S$3:$AE$63,MATCH(BP$3,$S$3:$AE$3,0),FALSE))*$BL6/VLOOKUP(VLOOKUP($BJ6,坦克个性化设定!$B$18:$E$48,4,FALSE)&amp;$BK6,坦克属性分配比例,MATCH("升星次数",坦克属性分配比例标头,0),FALSE)*(VLOOKUP(VLOOKUP($BJ6,坦克个性化设定!$B$18:$E$48,4,FALSE)&amp;$BK6,坦克属性分配比例,MATCH("升星比例",坦克属性分配比例标头,0),FALSE)+VLOOKUP(VLOOKUP($BJ6,坦克个性化设定!$B$18:$E$48,4,FALSE)&amp;$BK6,坦克属性分配比例,MATCH("部件比例",坦克属性分配比例标头,0),FALSE)*$C$3),0)</f>
        <v>254</v>
      </c>
      <c r="BQ6" s="103">
        <f ca="1">ROUND(VLOOKUP($BJ6&amp;"初始",$S$3:$AE$63,MATCH(BQ$3,$S$3:$AE$3,0),FALSE)+(VLOOKUP($BJ6&amp;"最终",$S$3:$AE$63,MATCH(BQ$3,$S$3:$AE$3,0),FALSE)-VLOOKUP($BJ6&amp;"初始",$S$3:$AE$63,MATCH(BQ$3,$S$3:$AE$3,0),FALSE))*$BL6/VLOOKUP(VLOOKUP($BJ6,坦克个性化设定!$B$18:$E$48,4,FALSE)&amp;$BK6,坦克属性分配比例,MATCH("升星次数",坦克属性分配比例标头,0),FALSE)*VLOOKUP(VLOOKUP($BJ6,坦克个性化设定!$B$18:$E$48,4,FALSE)&amp;$BK6,坦克属性分配比例,MATCH("升星比例",坦克属性分配比例标头,0),FALSE),0)</f>
        <v>325</v>
      </c>
      <c r="BR6" s="2">
        <f ca="1">ROUND(VLOOKUP($BJ6&amp;"初始",$S$3:$AE$63,MATCH(BR$3,$S$3:$AE$3,0),FALSE)+(VLOOKUP($BJ6&amp;"最终",$S$3:$AE$63,MATCH(BR$3,$S$3:$AE$3,0),FALSE)-VLOOKUP($BJ6&amp;"初始",$S$3:$AE$63,MATCH(BR$3,$S$3:$AE$3,0),FALSE))*$BL6/VLOOKUP(VLOOKUP($BJ6,坦克个性化设定!$B$18:$E$48,4,FALSE)&amp;$BK6,坦克属性分配比例,MATCH("升星次数",坦克属性分配比例标头,0),FALSE),0)</f>
        <v>90</v>
      </c>
      <c r="BS6" s="2">
        <f>ROUND(VLOOKUP($BJ6,$AI$3:$AO$33,MATCH(BS$3,$AI$3:$AO$3,0),FALSE)+$BL6/VLOOKUP(VLOOKUP($BJ6,坦克个性化设定!$B$18:$E$48,4,FALSE)&amp;$BK6,坦克属性分配比例,MATCH("升星次数",坦克属性分配比例标头,0),FALSE)*VLOOKUP($BJ6,$AR$3:$AY$33,MATCH(BS$3,$AR$3:$AY$3,0),FALSE),1)</f>
        <v>51.8</v>
      </c>
      <c r="BT6" s="2">
        <f>ROUND(VLOOKUP($BJ6,$AI$3:$AO$33,MATCH(BT$3,$AI$3:$AO$3,0),FALSE)+$BL6/VLOOKUP(VLOOKUP($BJ6,坦克个性化设定!$B$18:$E$48,4,FALSE)&amp;$BK6,坦克属性分配比例,MATCH("升星次数",坦克属性分配比例标头,0),FALSE)*VLOOKUP($BJ6,$AR$3:$AY$33,MATCH(BT$3,$AR$3:$AY$3,0),FALSE),1)</f>
        <v>49.5</v>
      </c>
      <c r="BU6" s="2">
        <f>ROUND(VLOOKUP($BJ6,$AI$3:$AO$33,MATCH(BU$3,$AI$3:$AO$3,0),FALSE)+$BL6/VLOOKUP(VLOOKUP($BJ6,坦克个性化设定!$B$18:$E$48,4,FALSE)&amp;$BK6,坦克属性分配比例,MATCH("升星次数",坦克属性分配比例标头,0),FALSE)*VLOOKUP($BJ6,$AR$3:$AY$33,MATCH(BU$3,$AR$3:$AY$3,0),FALSE),1)</f>
        <v>10.5</v>
      </c>
      <c r="BV6" s="2">
        <f>IF(VLOOKUP(BJ6,坦克个性化设定!$B$18:$BC$48,MATCH("装弹类型",坦克个性化设定!$B$18:$BC$18,0),FALSE)="弹夹换弹",0,ROUND(VLOOKUP($BJ6,$AI$3:$AO$33,MATCH("换弹时间",$AI$3:$AO$3,0),FALSE)-$BL6/VLOOKUP(VLOOKUP($BJ6,坦克个性化设定!$B$18:$E$48,4,FALSE)&amp;$BK6,坦克属性分配比例,MATCH("升星次数",坦克属性分配比例标头,0),FALSE)*VLOOKUP($BJ6,$AR$3:$AY$33,MATCH("换弹时间",$AR$3:$AY$3,0),FALSE),2))</f>
        <v>0</v>
      </c>
      <c r="BW6" s="2">
        <f>IF(VLOOKUP(BJ6,坦克个性化设定!$B$18:$BC$48,MATCH("装弹类型",坦克个性化设定!$B$18:$BC$18,0),FALSE)="弹夹换弹",ROUND(VLOOKUP($BJ6,$AI$3:$AO$33,MATCH("换弹时间",$AI$3:$AO$3,0),FALSE)-$BL6/VLOOKUP(VLOOKUP($BJ6,坦克个性化设定!$B$18:$E$48,4,FALSE)&amp;$BK6,坦克属性分配比例,MATCH("升星次数",坦克属性分配比例标头,0),FALSE)*VLOOKUP($BJ6,$AR$3:$AY$33,MATCH("换弹时间",$AR$3:$AY$3,0),FALSE),1),0)</f>
        <v>6.1</v>
      </c>
      <c r="BX6" s="2">
        <f>ROUND(VLOOKUP($BJ6,$AI$3:$AO$33,MATCH(BX$3,$AI$3:$AO$3,0),FALSE)+$BL6/VLOOKUP(VLOOKUP($BJ6,坦克个性化设定!$B$18:$E$48,4,FALSE)&amp;$BK6,坦克属性分配比例,MATCH("升星次数",坦克属性分配比例标头,0),FALSE)*VLOOKUP($BJ6,$AR$3:$AY$33,MATCH(BX$3,$AR$3:$AY$3,0),FALSE),2)</f>
        <v>0.46</v>
      </c>
      <c r="BY6" s="2">
        <f>ROUND(VLOOKUP($BJ6,$AI$3:$AO$33,MATCH(BY$3,$AI$3:$AO$3,0),FALSE)-$BL6/VLOOKUP(VLOOKUP($BJ6,坦克个性化设定!$B$18:$E$48,4,FALSE)&amp;$BK6,坦克属性分配比例,MATCH("升星次数",坦克属性分配比例标头,0),FALSE)*VLOOKUP($BJ6,$AR$3:$AY$33,MATCH(BY$3,$AR$3:$AY$3,0),FALSE),2)</f>
        <v>0.39</v>
      </c>
      <c r="CA6" s="2">
        <v>3</v>
      </c>
      <c r="CB6" s="2" t="str">
        <f t="shared" si="15"/>
        <v>Puma</v>
      </c>
      <c r="CC6" s="2" t="str">
        <f>VLOOKUP(CB6,坦克个性化设定!$B$18:$F$48,5,FALSE)</f>
        <v>轻坦弹夹</v>
      </c>
      <c r="CD6" s="29" t="str">
        <f>VLOOKUP(CB6,坦克个性化细分!$I$3:$J$33,2,FALSE)</f>
        <v>中</v>
      </c>
      <c r="CE6" s="42">
        <f ca="1">(VLOOKUP($CB6&amp;"最终",$S$3:$AE$63,MATCH(CE$3,$S$3:$AE$3,0),FALSE)-VLOOKUP($CB6&amp;"初始",$S$3:$AE$63,MATCH(CE$3,$S$3:$AE$3,0),FALSE))*VLOOKUP(VLOOKUP($CB6,坦克个性化设定!$B$18:$E$48,4,FALSE)&amp;$CD6,坦克属性分配比例,MATCH("部件比例",坦克属性分配比例标头,0),FALSE)</f>
        <v>163.2201055400717</v>
      </c>
      <c r="CF6" s="42">
        <f ca="1">(VLOOKUP($CB6&amp;"最终",$S$3:$AE$63,MATCH(CF$3,$S$3:$AE$3,0),FALSE)-VLOOKUP($CB6&amp;"初始",$S$3:$AE$63,MATCH(CF$3,$S$3:$AE$3,0),FALSE))*VLOOKUP(VLOOKUP($CB6,坦克个性化设定!$B$18:$E$48,4,FALSE)&amp;$CD6,坦克属性分配比例,MATCH("部件比例",坦克属性分配比例标头,0),FALSE)</f>
        <v>12.20718894159873</v>
      </c>
      <c r="CG6" s="42">
        <f ca="1">(VLOOKUP($CB6&amp;"最终",$S$3:$AE$63,MATCH(CG$3,$S$3:$AE$3,0),FALSE)-VLOOKUP($CB6&amp;"初始",$S$3:$AE$63,MATCH(CG$3,$S$3:$AE$3,0),FALSE))*VLOOKUP(VLOOKUP($CB6,坦克个性化设定!$B$18:$E$48,4,FALSE)&amp;$CD6,坦克属性分配比例,MATCH("部件比例",坦克属性分配比例标头,0),FALSE)*(1-$C$3)</f>
        <v>24.78</v>
      </c>
      <c r="CH6" s="42">
        <f ca="1">(VLOOKUP($CB6&amp;"最终",$S$3:$AE$63,MATCH(CH$3,$S$3:$AE$3,0),FALSE)-VLOOKUP($CB6&amp;"初始",$S$3:$AE$63,MATCH(CH$3,$S$3:$AE$3,0),FALSE))*VLOOKUP(VLOOKUP($CB6,坦克个性化设定!$B$18:$E$48,4,FALSE)&amp;$CD6,坦克属性分配比例,MATCH("部件比例",坦克属性分配比例标头,0),FALSE)*(1-$C$3)</f>
        <v>17.36</v>
      </c>
      <c r="CI6" s="42">
        <f ca="1">(VLOOKUP($CB6&amp;"最终",$S$3:$AE$63,MATCH(CI$3,$S$3:$AE$3,0),FALSE)-VLOOKUP($CB6&amp;"初始",$S$3:$AE$63,MATCH(CI$3,$S$3:$AE$3,0),FALSE))*VLOOKUP(VLOOKUP($CB6,坦克个性化设定!$B$18:$E$48,4,FALSE)&amp;$CD6,坦克属性分配比例,MATCH("部件比例",坦克属性分配比例标头,0),FALSE)</f>
        <v>56.699999999999996</v>
      </c>
    </row>
    <row r="7" spans="2:87" x14ac:dyDescent="0.3">
      <c r="B7" s="2">
        <v>2</v>
      </c>
      <c r="C7" s="2" t="str">
        <f>坦克个性化设定!B20</f>
        <v>二号</v>
      </c>
      <c r="D7" s="2">
        <v>1211</v>
      </c>
      <c r="E7" s="2" t="s">
        <v>614</v>
      </c>
      <c r="F7" s="2">
        <v>1</v>
      </c>
      <c r="G7" s="25" t="str">
        <f t="shared" ref="G7:G36" si="17">C7</f>
        <v>二号</v>
      </c>
      <c r="H7" s="2" t="str">
        <f>坦克等级成长!B16&amp;坦克等级成长!C16</f>
        <v>T3低</v>
      </c>
      <c r="I7" s="2">
        <v>9</v>
      </c>
      <c r="J7" s="2">
        <f>坦克等级成长!J16</f>
        <v>1.48</v>
      </c>
      <c r="K7" s="2">
        <f>坦克等级成长!K16</f>
        <v>2.17</v>
      </c>
      <c r="L7" s="2">
        <f>坦克等级成长!E16</f>
        <v>5</v>
      </c>
      <c r="M7" s="2">
        <f>IFERROR(VLOOKUP(L7,坦克部件!$N$3:$R$9,5,FALSE),VLOOKUP(L7-1,坦克部件!$N$3:$R$9,5,FALSE))</f>
        <v>0.309</v>
      </c>
      <c r="N7" s="2">
        <f t="shared" si="0"/>
        <v>0.45732</v>
      </c>
      <c r="O7" s="162">
        <f t="shared" si="1"/>
        <v>0.6</v>
      </c>
      <c r="P7" s="155">
        <v>0.4</v>
      </c>
      <c r="Q7" s="163"/>
      <c r="R7" s="25"/>
      <c r="S7" s="2" t="str">
        <f t="shared" si="2"/>
        <v>二号最终</v>
      </c>
      <c r="T7" s="2">
        <f>IF(COUNTIF(U$4:U6,U6)&gt;=$B$3,T6+1,T6)</f>
        <v>2</v>
      </c>
      <c r="U7" s="2" t="str">
        <f t="shared" si="3"/>
        <v>二号</v>
      </c>
      <c r="V7" s="2" t="str">
        <f>VLOOKUP(U7,坦克个性化设定!$B$18:$F$48,5,FALSE)</f>
        <v>轻坦弹夹</v>
      </c>
      <c r="W7" s="29" t="str">
        <f>VLOOKUP(U7,坦克个性化细分!$I$3:$J$33,2,FALSE)</f>
        <v>低</v>
      </c>
      <c r="X7" s="2" t="str">
        <f t="shared" si="16"/>
        <v>最终</v>
      </c>
      <c r="Y7" s="2" t="str">
        <f>VLOOKUP(VLOOKUP(U7,坦克个性化设定!$B$18:$F$48,4,FALSE)&amp;W7,坦克等级成长!$P$12:$U$24,MATCH(X7,坦克等级成长!$P$12:$U$12,0),FALSE)</f>
        <v>T2低4</v>
      </c>
      <c r="Z7" s="42">
        <f ca="1">VLOOKUP($Y7,INDIRECT($V7&amp;"_阶段属性"),MATCH(Z$3,属性标头_阶段属性,0),FALSE)*VLOOKUP($U7,坦克个性化设定!$B$84:$D$114,2,FALSE)</f>
        <v>1217.1343340133149</v>
      </c>
      <c r="AA7" s="42">
        <f ca="1">VLOOKUP($Y7,INDIRECT($V7&amp;"_阶段属性"),MATCH(AA$3,属性标头_阶段属性,0),FALSE)*VLOOKUP($U7,坦克个性化设定!$B$84:$D$114,3,FALSE)</f>
        <v>101.20069561837735</v>
      </c>
      <c r="AB7" s="2">
        <f t="shared" ca="1" si="4"/>
        <v>559</v>
      </c>
      <c r="AC7" s="2">
        <f t="shared" ca="1" si="4"/>
        <v>391</v>
      </c>
      <c r="AD7" s="2">
        <f t="shared" ca="1" si="4"/>
        <v>510</v>
      </c>
      <c r="AE7" s="2">
        <f t="shared" ca="1" si="4"/>
        <v>136</v>
      </c>
      <c r="AF7" s="25"/>
      <c r="AH7" s="2">
        <v>4</v>
      </c>
      <c r="AI7" s="2" t="str">
        <f t="shared" si="5"/>
        <v>35(t)</v>
      </c>
      <c r="AJ7" s="2">
        <f>VLOOKUP($AI7,坦克个性化细分!$I$3:$P$33,MATCH(AJ$3,坦克个性化细分!$I$3:$P$3,0),FALSE)</f>
        <v>42.4</v>
      </c>
      <c r="AK7" s="2">
        <f>VLOOKUP($AI7,坦克个性化细分!$I$3:$P$33,MATCH(AK$3,坦克个性化细分!$I$3:$P$3,0),FALSE)</f>
        <v>50</v>
      </c>
      <c r="AL7" s="2">
        <f>VLOOKUP($AI7,坦克个性化细分!$I$3:$P$33,MATCH(AL$3,坦克个性化细分!$I$3:$P$3,0),FALSE)</f>
        <v>10</v>
      </c>
      <c r="AM7" s="34">
        <f>VLOOKUP(AI7,坦克个性化细分!$AA$3:$AP$33,MATCH("射击偏移角",坦克个性化细分!$AA$3:$AP$3,0),FALSE)/VLOOKUP(AI7,坦克个性化细分!$AA$3:$AP$33,MATCH("原瞄准速度",坦克个性化细分!$AA$3:$AP$3,0),FALSE)</f>
        <v>0.51666666666666672</v>
      </c>
      <c r="AN7" s="34">
        <f>VLOOKUP(AI7,坦克个性化细分!$AA$3:$AP$33,MATCH(AN$3,坦克个性化细分!$AA$3:$AP$3,0),FALSE)</f>
        <v>0.8</v>
      </c>
      <c r="AO7" s="2">
        <f>VLOOKUP(AI7,坦克个性化细分!$AA$3:$AP$33,MATCH("原换弹时间",坦克个性化细分!$AA$3:$AP$3,0),FALSE)</f>
        <v>6.3</v>
      </c>
      <c r="AP7" s="133"/>
      <c r="AQ7" s="2">
        <v>4</v>
      </c>
      <c r="AR7" s="2" t="str">
        <f t="shared" si="6"/>
        <v>35(t)</v>
      </c>
      <c r="AS7" s="2" t="s">
        <v>79</v>
      </c>
      <c r="AT7" s="34">
        <f>VLOOKUP(AR7,坦克个性化细分!$I$3:$P$33,MATCH("养成区间1",坦克个性化细分!$I$3:$P$3,0),FALSE)</f>
        <v>10.599999999999996</v>
      </c>
      <c r="AU7" s="2">
        <f>VLOOKUP(AR7,坦克个性化细分!$I$3:$P$33,MATCH("养成区间2",坦克个性化细分!$I$3:$P$3,0),FALSE)</f>
        <v>12.499999999999996</v>
      </c>
      <c r="AV7" s="2">
        <f>VLOOKUP(AR7,坦克个性化细分!$I$3:$P$33,MATCH("养成区间3",坦克个性化细分!$I$3:$P$3,0),FALSE)</f>
        <v>0</v>
      </c>
      <c r="AW7" s="34">
        <f>VLOOKUP(AR7,坦克个性化细分!$AA$3:$AP$33,MATCH("瞄准区间",坦克个性化细分!$AA$3:$AP$3,0),FALSE)</f>
        <v>8.6111111111111138E-2</v>
      </c>
      <c r="AX7" s="34">
        <f>VLOOKUP(AI7,坦克个性化细分!$AA$3:$AP$33,MATCH("后射击间隔",坦克个性化细分!$AA$3:$AP$3,0),FALSE)-VLOOKUP(AI7,坦克个性化细分!$AA$3:$AP$33,MATCH(AN$3,坦克个性化细分!$AA$3:$AP$3,0),FALSE)</f>
        <v>0</v>
      </c>
      <c r="AY7" s="34">
        <f>VLOOKUP(AR7,坦克个性化细分!$AA$3:$AP$33,MATCH("换弹区间",坦克个性化细分!$AA$3:$AP$3,0),FALSE)</f>
        <v>1.9875914706113766</v>
      </c>
      <c r="AZ7" s="133"/>
      <c r="BA7" s="34">
        <f t="shared" si="8"/>
        <v>0.24999999999999992</v>
      </c>
      <c r="BB7" s="34">
        <f t="shared" si="9"/>
        <v>0.24999999999999992</v>
      </c>
      <c r="BC7" s="34">
        <f t="shared" si="10"/>
        <v>0</v>
      </c>
      <c r="BD7" s="34">
        <f t="shared" si="11"/>
        <v>0.16666666666666671</v>
      </c>
      <c r="BE7" s="34">
        <f t="shared" si="12"/>
        <v>0.31549070962085346</v>
      </c>
      <c r="BF7" s="34"/>
      <c r="BG7" s="133"/>
      <c r="BH7" s="2" t="str">
        <f t="shared" si="13"/>
        <v>雷诺FT3</v>
      </c>
      <c r="BI7" s="2">
        <f>IF(BL6&gt;=VLOOKUP(VLOOKUP(BJ6,坦克个性化设定!$B$18:$E$48,4,FALSE)&amp;BK6,坦克属性分配比例,MATCH("升星次数",坦克属性分配比例标头,0),FALSE),BI6+1,BI6)</f>
        <v>1</v>
      </c>
      <c r="BJ7" s="2" t="str">
        <f t="shared" si="14"/>
        <v>雷诺FT</v>
      </c>
      <c r="BK7" s="29" t="str">
        <f>VLOOKUP(BJ7,坦克个性化细分!$I$3:$J$33,2,FALSE)</f>
        <v>低</v>
      </c>
      <c r="BL7" s="2">
        <f t="shared" si="7"/>
        <v>3</v>
      </c>
      <c r="BM7" s="103">
        <f ca="1">ROUND(VLOOKUP($BJ7&amp;"初始",$S$3:$AE$63,MATCH(BM$3,$S$3:$AE$3,0),FALSE)+((VLOOKUP($BJ7&amp;"最终",$S$3:$AE$63,MATCH(BM$3,$S$3:$AE$3,0),FALSE)*坦克个性化细分!$C$9-VLOOKUP($BJ7&amp;"初始",$S$3:$AE$63,MATCH(BM$3,$S$3:$AE$3,0),FALSE))-(VLOOKUP($BJ7&amp;"最终",$S$3:$AE$63,MATCH(BM$3,$S$3:$AE$3,0),FALSE)-VLOOKUP($BJ7&amp;"初始",$S$3:$AE$63,MATCH(BM$3,$S$3:$AE$3,0),FALSE))*VLOOKUP(VLOOKUP($BJ7,坦克个性化设定!$B$18:$E$48,4,FALSE)&amp;$BK7,坦克属性分配比例,MATCH("部件比例",坦克属性分配比例标头,0),FALSE))*$BL7/VLOOKUP(VLOOKUP($BJ7,坦克个性化设定!$B$18:$E$48,4,FALSE)&amp;$BK7,坦克属性分配比例,MATCH("升星次数",坦克属性分配比例标头,0),FALSE),0)</f>
        <v>846</v>
      </c>
      <c r="BN7" s="103">
        <f ca="1">ROUND(VLOOKUP($BJ7&amp;"初始",$S$3:$AE$63,MATCH(BN$3,$S$3:$AE$3,0),FALSE)+(VLOOKUP($BJ7&amp;"最终",$S$3:$AE$63,MATCH(BN$3,$S$3:$AE$3,0),FALSE)-VLOOKUP($BJ7&amp;"初始",$S$3:$AE$63,MATCH(BN$3,$S$3:$AE$3,0),FALSE))*$BL7/VLOOKUP(VLOOKUP($BJ7,坦克个性化设定!$B$18:$E$48,4,FALSE)&amp;$BK7,坦克属性分配比例,MATCH("升星次数",坦克属性分配比例标头,0),FALSE)*VLOOKUP(VLOOKUP($BJ7,坦克个性化设定!$B$18:$E$48,4,FALSE)&amp;$BK7,坦克属性分配比例,MATCH("升星比例",坦克属性分配比例标头,0),FALSE),0)</f>
        <v>47</v>
      </c>
      <c r="BO7" s="103">
        <f ca="1">ROUND(VLOOKUP($BJ7&amp;"初始",$S$3:$AE$63,MATCH(BO$3,$S$3:$AE$3,0),FALSE)+(VLOOKUP($BJ7&amp;"最终",$S$3:$AE$63,MATCH(BO$3,$S$3:$AE$3,0),FALSE)-VLOOKUP($BJ7&amp;"初始",$S$3:$AE$63,MATCH(BO$3,$S$3:$AE$3,0),FALSE))*$BL7/VLOOKUP(VLOOKUP($BJ7,坦克个性化设定!$B$18:$E$48,4,FALSE)&amp;$BK7,坦克属性分配比例,MATCH("升星次数",坦克属性分配比例标头,0),FALSE)*(VLOOKUP(VLOOKUP($BJ7,坦克个性化设定!$B$18:$E$48,4,FALSE)&amp;$BK7,坦克属性分配比例,MATCH("升星比例",坦克属性分配比例标头,0),FALSE)+VLOOKUP(VLOOKUP($BJ7,坦克个性化设定!$B$18:$E$48,4,FALSE)&amp;$BK7,坦克属性分配比例,MATCH("部件比例",坦克属性分配比例标头,0),FALSE)*$C$3),0)</f>
        <v>381</v>
      </c>
      <c r="BP7" s="103">
        <f ca="1">ROUND(VLOOKUP($BJ7&amp;"初始",$S$3:$AE$63,MATCH(BP$3,$S$3:$AE$3,0),FALSE)+(VLOOKUP($BJ7&amp;"最终",$S$3:$AE$63,MATCH(BP$3,$S$3:$AE$3,0),FALSE)-VLOOKUP($BJ7&amp;"初始",$S$3:$AE$63,MATCH(BP$3,$S$3:$AE$3,0),FALSE))*$BL7/VLOOKUP(VLOOKUP($BJ7,坦克个性化设定!$B$18:$E$48,4,FALSE)&amp;$BK7,坦克属性分配比例,MATCH("升星次数",坦克属性分配比例标头,0),FALSE)*(VLOOKUP(VLOOKUP($BJ7,坦克个性化设定!$B$18:$E$48,4,FALSE)&amp;$BK7,坦克属性分配比例,MATCH("升星比例",坦克属性分配比例标头,0),FALSE)+VLOOKUP(VLOOKUP($BJ7,坦克个性化设定!$B$18:$E$48,4,FALSE)&amp;$BK7,坦克属性分配比例,MATCH("部件比例",坦克属性分配比例标头,0),FALSE)*$C$3),0)</f>
        <v>266</v>
      </c>
      <c r="BQ7" s="103">
        <f ca="1">ROUND(VLOOKUP($BJ7&amp;"初始",$S$3:$AE$63,MATCH(BQ$3,$S$3:$AE$3,0),FALSE)+(VLOOKUP($BJ7&amp;"最终",$S$3:$AE$63,MATCH(BQ$3,$S$3:$AE$3,0),FALSE)-VLOOKUP($BJ7&amp;"初始",$S$3:$AE$63,MATCH(BQ$3,$S$3:$AE$3,0),FALSE))*$BL7/VLOOKUP(VLOOKUP($BJ7,坦克个性化设定!$B$18:$E$48,4,FALSE)&amp;$BK7,坦克属性分配比例,MATCH("升星次数",坦克属性分配比例标头,0),FALSE)*VLOOKUP(VLOOKUP($BJ7,坦克个性化设定!$B$18:$E$48,4,FALSE)&amp;$BK7,坦克属性分配比例,MATCH("升星比例",坦克属性分配比例标头,0),FALSE),0)</f>
        <v>338</v>
      </c>
      <c r="BR7" s="2">
        <f ca="1">ROUND(VLOOKUP($BJ7&amp;"初始",$S$3:$AE$63,MATCH(BR$3,$S$3:$AE$3,0),FALSE)+(VLOOKUP($BJ7&amp;"最终",$S$3:$AE$63,MATCH(BR$3,$S$3:$AE$3,0),FALSE)-VLOOKUP($BJ7&amp;"初始",$S$3:$AE$63,MATCH(BR$3,$S$3:$AE$3,0),FALSE))*$BL7/VLOOKUP(VLOOKUP($BJ7,坦克个性化设定!$B$18:$E$48,4,FALSE)&amp;$BK7,坦克属性分配比例,MATCH("升星次数",坦克属性分配比例标头,0),FALSE),0)</f>
        <v>94</v>
      </c>
      <c r="BS7" s="2">
        <f>ROUND(VLOOKUP($BJ7,$AI$3:$AO$33,MATCH(BS$3,$AI$3:$AO$3,0),FALSE)+$BL7/VLOOKUP(VLOOKUP($BJ7,坦克个性化设定!$B$18:$E$48,4,FALSE)&amp;$BK7,坦克属性分配比例,MATCH("升星次数",坦克属性分配比例标头,0),FALSE)*VLOOKUP($BJ7,$AR$3:$AY$33,MATCH(BS$3,$AR$3:$AY$3,0),FALSE),1)</f>
        <v>54.2</v>
      </c>
      <c r="BT7" s="2">
        <f>ROUND(VLOOKUP($BJ7,$AI$3:$AO$33,MATCH(BT$3,$AI$3:$AO$3,0),FALSE)+$BL7/VLOOKUP(VLOOKUP($BJ7,坦克个性化设定!$B$18:$E$48,4,FALSE)&amp;$BK7,坦克属性分配比例,MATCH("升星次数",坦克属性分配比例标头,0),FALSE)*VLOOKUP($BJ7,$AR$3:$AY$33,MATCH(BT$3,$AR$3:$AY$3,0),FALSE),1)</f>
        <v>51.8</v>
      </c>
      <c r="BU7" s="2">
        <f>ROUND(VLOOKUP($BJ7,$AI$3:$AO$33,MATCH(BU$3,$AI$3:$AO$3,0),FALSE)+$BL7/VLOOKUP(VLOOKUP($BJ7,坦克个性化设定!$B$18:$E$48,4,FALSE)&amp;$BK7,坦克属性分配比例,MATCH("升星次数",坦克属性分配比例标头,0),FALSE)*VLOOKUP($BJ7,$AR$3:$AY$33,MATCH(BU$3,$AR$3:$AY$3,0),FALSE),1)</f>
        <v>10.5</v>
      </c>
      <c r="BV7" s="2">
        <f>IF(VLOOKUP(BJ7,坦克个性化设定!$B$18:$BC$48,MATCH("装弹类型",坦克个性化设定!$B$18:$BC$18,0),FALSE)="弹夹换弹",0,ROUND(VLOOKUP($BJ7,$AI$3:$AO$33,MATCH("换弹时间",$AI$3:$AO$3,0),FALSE)-$BL7/VLOOKUP(VLOOKUP($BJ7,坦克个性化设定!$B$18:$E$48,4,FALSE)&amp;$BK7,坦克属性分配比例,MATCH("升星次数",坦克属性分配比例标头,0),FALSE)*VLOOKUP($BJ7,$AR$3:$AY$33,MATCH("换弹时间",$AR$3:$AY$3,0),FALSE),2))</f>
        <v>0</v>
      </c>
      <c r="BW7" s="2">
        <f>IF(VLOOKUP(BJ7,坦克个性化设定!$B$18:$BC$48,MATCH("装弹类型",坦克个性化设定!$B$18:$BC$18,0),FALSE)="弹夹换弹",ROUND(VLOOKUP($BJ7,$AI$3:$AO$33,MATCH("换弹时间",$AI$3:$AO$3,0),FALSE)-$BL7/VLOOKUP(VLOOKUP($BJ7,坦克个性化设定!$B$18:$E$48,4,FALSE)&amp;$BK7,坦克属性分配比例,MATCH("升星次数",坦克属性分配比例标头,0),FALSE)*VLOOKUP($BJ7,$AR$3:$AY$33,MATCH("换弹时间",$AR$3:$AY$3,0),FALSE),1),0)</f>
        <v>6.7</v>
      </c>
      <c r="BX7" s="2">
        <f>ROUND(VLOOKUP($BJ7,$AI$3:$AO$33,MATCH(BX$3,$AI$3:$AO$3,0),FALSE)+$BL7/VLOOKUP(VLOOKUP($BJ7,坦克个性化设定!$B$18:$E$48,4,FALSE)&amp;$BK7,坦克属性分配比例,MATCH("升星次数",坦克属性分配比例标头,0),FALSE)*VLOOKUP($BJ7,$AR$3:$AY$33,MATCH(BX$3,$AR$3:$AY$3,0),FALSE),2)</f>
        <v>0.39</v>
      </c>
      <c r="BY7" s="2">
        <f>ROUND(VLOOKUP($BJ7,$AI$3:$AO$33,MATCH(BY$3,$AI$3:$AO$3,0),FALSE)-$BL7/VLOOKUP(VLOOKUP($BJ7,坦克个性化设定!$B$18:$E$48,4,FALSE)&amp;$BK7,坦克属性分配比例,MATCH("升星次数",坦克属性分配比例标头,0),FALSE)*VLOOKUP($BJ7,$AR$3:$AY$33,MATCH(BY$3,$AR$3:$AY$3,0),FALSE),2)</f>
        <v>0.38</v>
      </c>
      <c r="CA7" s="2">
        <v>4</v>
      </c>
      <c r="CB7" s="2" t="str">
        <f t="shared" si="15"/>
        <v>35(t)</v>
      </c>
      <c r="CC7" s="2" t="str">
        <f>VLOOKUP(CB7,坦克个性化设定!$B$18:$F$48,5,FALSE)</f>
        <v>轻坦弹夹</v>
      </c>
      <c r="CD7" s="29" t="str">
        <f>VLOOKUP(CB7,坦克个性化细分!$I$3:$J$33,2,FALSE)</f>
        <v>低</v>
      </c>
      <c r="CE7" s="42">
        <f ca="1">(VLOOKUP($CB7&amp;"最终",$S$3:$AE$63,MATCH(CE$3,$S$3:$AE$3,0),FALSE)-VLOOKUP($CB7&amp;"初始",$S$3:$AE$63,MATCH(CE$3,$S$3:$AE$3,0),FALSE))*VLOOKUP(VLOOKUP($CB7,坦克个性化设定!$B$18:$E$48,4,FALSE)&amp;$CD7,坦克属性分配比例,MATCH("部件比例",坦克属性分配比例标头,0),FALSE)</f>
        <v>208.20222340190696</v>
      </c>
      <c r="CF7" s="42">
        <f ca="1">(VLOOKUP($CB7&amp;"最终",$S$3:$AE$63,MATCH(CF$3,$S$3:$AE$3,0),FALSE)-VLOOKUP($CB7&amp;"初始",$S$3:$AE$63,MATCH(CF$3,$S$3:$AE$3,0),FALSE))*VLOOKUP(VLOOKUP($CB7,坦克个性化设定!$B$18:$E$48,4,FALSE)&amp;$CD7,坦克属性分配比例,MATCH("部件比例",坦克属性分配比例标头,0),FALSE)</f>
        <v>18.645131445435755</v>
      </c>
      <c r="CG7" s="42">
        <f ca="1">(VLOOKUP($CB7&amp;"最终",$S$3:$AE$63,MATCH(CG$3,$S$3:$AE$3,0),FALSE)-VLOOKUP($CB7&amp;"初始",$S$3:$AE$63,MATCH(CG$3,$S$3:$AE$3,0),FALSE))*VLOOKUP(VLOOKUP($CB7,坦克个性化设定!$B$18:$E$48,4,FALSE)&amp;$CD7,坦克属性分配比例,MATCH("部件比例",坦克属性分配比例标头,0),FALSE)*(1-$C$3)</f>
        <v>36.320000000000007</v>
      </c>
      <c r="CH7" s="42">
        <f ca="1">(VLOOKUP($CB7&amp;"最终",$S$3:$AE$63,MATCH(CH$3,$S$3:$AE$3,0),FALSE)-VLOOKUP($CB7&amp;"初始",$S$3:$AE$63,MATCH(CH$3,$S$3:$AE$3,0),FALSE))*VLOOKUP(VLOOKUP($CB7,坦克个性化设定!$B$18:$E$48,4,FALSE)&amp;$CD7,坦克属性分配比例,MATCH("部件比例",坦克属性分配比例标头,0),FALSE)*(1-$C$3)</f>
        <v>25.44</v>
      </c>
      <c r="CI7" s="42">
        <f ca="1">(VLOOKUP($CB7&amp;"最终",$S$3:$AE$63,MATCH(CI$3,$S$3:$AE$3,0),FALSE)-VLOOKUP($CB7&amp;"初始",$S$3:$AE$63,MATCH(CI$3,$S$3:$AE$3,0),FALSE))*VLOOKUP(VLOOKUP($CB7,坦克个性化设定!$B$18:$E$48,4,FALSE)&amp;$CD7,坦克属性分配比例,MATCH("部件比例",坦克属性分配比例标头,0),FALSE)</f>
        <v>82.800000000000011</v>
      </c>
    </row>
    <row r="8" spans="2:87" x14ac:dyDescent="0.3">
      <c r="B8" s="2">
        <v>3</v>
      </c>
      <c r="C8" s="2" t="str">
        <f>坦克个性化设定!B21</f>
        <v>Puma</v>
      </c>
      <c r="D8" s="2">
        <v>1221</v>
      </c>
      <c r="E8" s="2" t="s">
        <v>617</v>
      </c>
      <c r="F8" s="2">
        <v>1</v>
      </c>
      <c r="G8" s="25" t="str">
        <f t="shared" si="17"/>
        <v>Puma</v>
      </c>
      <c r="H8" s="2" t="str">
        <f>坦克等级成长!B17&amp;坦克等级成长!C17</f>
        <v>T3中</v>
      </c>
      <c r="I8" s="2">
        <v>9</v>
      </c>
      <c r="J8" s="2">
        <f>坦克等级成长!J17</f>
        <v>1.54</v>
      </c>
      <c r="K8" s="2">
        <f>坦克等级成长!K17</f>
        <v>2.2800000000000002</v>
      </c>
      <c r="L8" s="2">
        <f>坦克等级成长!E17</f>
        <v>5</v>
      </c>
      <c r="M8" s="2">
        <f>IFERROR(VLOOKUP(L8,坦克部件!$N$3:$R$9,5,FALSE),VLOOKUP(L8-1,坦克部件!$N$3:$R$9,5,FALSE))</f>
        <v>0.309</v>
      </c>
      <c r="N8" s="2">
        <f t="shared" si="0"/>
        <v>0.47586000000000001</v>
      </c>
      <c r="O8" s="162">
        <f t="shared" si="1"/>
        <v>0.6</v>
      </c>
      <c r="P8" s="155">
        <v>0.4</v>
      </c>
      <c r="Q8" s="163"/>
      <c r="R8" s="25"/>
      <c r="S8" s="2" t="str">
        <f t="shared" si="2"/>
        <v>Puma初始</v>
      </c>
      <c r="T8" s="2">
        <f>IF(COUNTIF(U$4:U7,U7)&gt;=$B$3,T7+1,T7)</f>
        <v>3</v>
      </c>
      <c r="U8" s="2" t="str">
        <f t="shared" si="3"/>
        <v>Puma</v>
      </c>
      <c r="V8" s="2" t="str">
        <f>VLOOKUP(U8,坦克个性化设定!$B$18:$F$48,5,FALSE)</f>
        <v>轻坦弹夹</v>
      </c>
      <c r="W8" s="29" t="str">
        <f>VLOOKUP(U8,坦克个性化细分!$I$3:$J$33,2,FALSE)</f>
        <v>中</v>
      </c>
      <c r="X8" s="2" t="str">
        <f t="shared" si="16"/>
        <v>初始</v>
      </c>
      <c r="Y8" s="2" t="str">
        <f>VLOOKUP(VLOOKUP(U8,坦克个性化设定!$B$18:$F$48,4,FALSE)&amp;W8,坦克等级成长!$P$12:$U$24,MATCH(X8,坦克等级成长!$P$12:$U$12,0),FALSE)</f>
        <v>T2中2</v>
      </c>
      <c r="Z8" s="42">
        <f ca="1">VLOOKUP($Y8,INDIRECT($V8&amp;"_阶段属性"),MATCH(Z$3,属性标头_阶段属性,0),FALSE)*VLOOKUP($U8,坦克个性化设定!$B$84:$D$114,2,FALSE)</f>
        <v>1053.590099253373</v>
      </c>
      <c r="AA8" s="42">
        <f ca="1">VLOOKUP($Y8,INDIRECT($V8&amp;"_阶段属性"),MATCH(AA$3,属性标头_阶段属性,0),FALSE)*VLOOKUP($U8,坦克个性化设定!$B$84:$D$114,3,FALSE)</f>
        <v>78.853891299768222</v>
      </c>
      <c r="AB8" s="2">
        <f t="shared" ca="1" si="4"/>
        <v>401</v>
      </c>
      <c r="AC8" s="2">
        <f t="shared" ca="1" si="4"/>
        <v>281</v>
      </c>
      <c r="AD8" s="2">
        <f t="shared" ca="1" si="4"/>
        <v>366</v>
      </c>
      <c r="AE8" s="2">
        <f t="shared" ca="1" si="4"/>
        <v>98</v>
      </c>
      <c r="AF8" s="25"/>
      <c r="AH8" s="2">
        <v>5</v>
      </c>
      <c r="AI8" s="2" t="str">
        <f t="shared" si="5"/>
        <v>十字军</v>
      </c>
      <c r="AJ8" s="2">
        <f>VLOOKUP($AI8,坦克个性化细分!$I$3:$P$33,MATCH(AJ$3,坦克个性化细分!$I$3:$P$3,0),FALSE)</f>
        <v>48.1</v>
      </c>
      <c r="AK8" s="2">
        <f>VLOOKUP($AI8,坦克个性化细分!$I$3:$P$33,MATCH(AK$3,坦克个性化细分!$I$3:$P$3,0),FALSE)</f>
        <v>45.9</v>
      </c>
      <c r="AL8" s="2">
        <f>VLOOKUP($AI8,坦克个性化细分!$I$3:$P$33,MATCH(AL$3,坦克个性化细分!$I$3:$P$3,0),FALSE)</f>
        <v>10.7</v>
      </c>
      <c r="AM8" s="34">
        <f>VLOOKUP(AI8,坦克个性化细分!$AA$3:$AP$33,MATCH("射击偏移角",坦克个性化细分!$AA$3:$AP$3,0),FALSE)/VLOOKUP(AI8,坦克个性化细分!$AA$3:$AP$33,MATCH("原瞄准速度",坦克个性化细分!$AA$3:$AP$3,0),FALSE)</f>
        <v>0.41666666666666669</v>
      </c>
      <c r="AN8" s="34">
        <f>VLOOKUP(AI8,坦克个性化细分!$AA$3:$AP$33,MATCH(AN$3,坦克个性化细分!$AA$3:$AP$3,0),FALSE)</f>
        <v>0.60000000000000009</v>
      </c>
      <c r="AO8" s="2">
        <f>VLOOKUP(AI8,坦克个性化细分!$AA$3:$AP$33,MATCH("原换弹时间",坦克个性化细分!$AA$3:$AP$3,0),FALSE)</f>
        <v>8.3999999999999986</v>
      </c>
      <c r="AP8" s="133"/>
      <c r="AQ8" s="2">
        <v>5</v>
      </c>
      <c r="AR8" s="2" t="str">
        <f t="shared" si="6"/>
        <v>十字军</v>
      </c>
      <c r="AS8" s="2" t="s">
        <v>81</v>
      </c>
      <c r="AT8" s="34">
        <f>VLOOKUP(AR8,坦克个性化细分!$I$3:$P$33,MATCH("养成区间1",坦克个性化细分!$I$3:$P$3,0),FALSE)</f>
        <v>12.024999999999997</v>
      </c>
      <c r="AU8" s="2">
        <f>VLOOKUP(AR8,坦克个性化细分!$I$3:$P$33,MATCH("养成区间2",坦克个性化细分!$I$3:$P$3,0),FALSE)</f>
        <v>11.474999999999996</v>
      </c>
      <c r="AV8" s="2">
        <f>VLOOKUP(AR8,坦克个性化细分!$I$3:$P$33,MATCH("养成区间3",坦克个性化细分!$I$3:$P$3,0),FALSE)</f>
        <v>0</v>
      </c>
      <c r="AW8" s="34">
        <f>VLOOKUP(AR8,坦克个性化细分!$AA$3:$AP$33,MATCH("瞄准区间",坦克个性化细分!$AA$3:$AP$3,0),FALSE)</f>
        <v>6.9444444444444475E-2</v>
      </c>
      <c r="AX8" s="34">
        <f>VLOOKUP(AI8,坦克个性化细分!$AA$3:$AP$33,MATCH("后射击间隔",坦克个性化细分!$AA$3:$AP$3,0),FALSE)-VLOOKUP(AI8,坦克个性化细分!$AA$3:$AP$33,MATCH(AN$3,坦克个性化细分!$AA$3:$AP$3,0),FALSE)</f>
        <v>0</v>
      </c>
      <c r="AY8" s="34">
        <f>VLOOKUP(AR8,坦克个性化细分!$AA$3:$AP$33,MATCH("换弹区间",坦克个性化细分!$AA$3:$AP$3,0),FALSE)</f>
        <v>2.4175306314797389</v>
      </c>
      <c r="AZ8" s="133"/>
      <c r="BA8" s="34">
        <f t="shared" si="8"/>
        <v>0.24999999999999992</v>
      </c>
      <c r="BB8" s="34">
        <f t="shared" si="9"/>
        <v>0.24999999999999992</v>
      </c>
      <c r="BC8" s="34">
        <f t="shared" si="10"/>
        <v>0</v>
      </c>
      <c r="BD8" s="34">
        <f t="shared" si="11"/>
        <v>0.16666666666666674</v>
      </c>
      <c r="BE8" s="34">
        <f t="shared" si="12"/>
        <v>0.28780126565234992</v>
      </c>
      <c r="BF8" s="34"/>
      <c r="BG8" s="133"/>
      <c r="BH8" s="2" t="str">
        <f t="shared" si="13"/>
        <v>雷诺FT4</v>
      </c>
      <c r="BI8" s="2">
        <f>IF(BL7&gt;=VLOOKUP(VLOOKUP(BJ7,坦克个性化设定!$B$18:$E$48,4,FALSE)&amp;BK7,坦克属性分配比例,MATCH("升星次数",坦克属性分配比例标头,0),FALSE),BI7+1,BI7)</f>
        <v>1</v>
      </c>
      <c r="BJ8" s="2" t="str">
        <f t="shared" si="14"/>
        <v>雷诺FT</v>
      </c>
      <c r="BK8" s="29" t="str">
        <f>VLOOKUP(BJ8,坦克个性化细分!$I$3:$J$33,2,FALSE)</f>
        <v>低</v>
      </c>
      <c r="BL8" s="2">
        <f t="shared" si="7"/>
        <v>4</v>
      </c>
      <c r="BM8" s="103">
        <f ca="1">ROUND(VLOOKUP($BJ8&amp;"初始",$S$3:$AE$63,MATCH(BM$3,$S$3:$AE$3,0),FALSE)+((VLOOKUP($BJ8&amp;"最终",$S$3:$AE$63,MATCH(BM$3,$S$3:$AE$3,0),FALSE)*坦克个性化细分!$C$9-VLOOKUP($BJ8&amp;"初始",$S$3:$AE$63,MATCH(BM$3,$S$3:$AE$3,0),FALSE))-(VLOOKUP($BJ8&amp;"最终",$S$3:$AE$63,MATCH(BM$3,$S$3:$AE$3,0),FALSE)-VLOOKUP($BJ8&amp;"初始",$S$3:$AE$63,MATCH(BM$3,$S$3:$AE$3,0),FALSE))*VLOOKUP(VLOOKUP($BJ8,坦克个性化设定!$B$18:$E$48,4,FALSE)&amp;$BK8,坦克属性分配比例,MATCH("部件比例",坦克属性分配比例标头,0),FALSE))*$BL8/VLOOKUP(VLOOKUP($BJ8,坦克个性化设定!$B$18:$E$48,4,FALSE)&amp;$BK8,坦克属性分配比例,MATCH("升星次数",坦克属性分配比例标头,0),FALSE),0)</f>
        <v>935</v>
      </c>
      <c r="BN8" s="103">
        <f ca="1">ROUND(VLOOKUP($BJ8&amp;"初始",$S$3:$AE$63,MATCH(BN$3,$S$3:$AE$3,0),FALSE)+(VLOOKUP($BJ8&amp;"最终",$S$3:$AE$63,MATCH(BN$3,$S$3:$AE$3,0),FALSE)-VLOOKUP($BJ8&amp;"初始",$S$3:$AE$63,MATCH(BN$3,$S$3:$AE$3,0),FALSE))*$BL8/VLOOKUP(VLOOKUP($BJ8,坦克个性化设定!$B$18:$E$48,4,FALSE)&amp;$BK8,坦克属性分配比例,MATCH("升星次数",坦克属性分配比例标头,0),FALSE)*VLOOKUP(VLOOKUP($BJ8,坦克个性化设定!$B$18:$E$48,4,FALSE)&amp;$BK8,坦克属性分配比例,MATCH("升星比例",坦克属性分配比例标头,0),FALSE),0)</f>
        <v>49</v>
      </c>
      <c r="BO8" s="103">
        <f ca="1">ROUND(VLOOKUP($BJ8&amp;"初始",$S$3:$AE$63,MATCH(BO$3,$S$3:$AE$3,0),FALSE)+(VLOOKUP($BJ8&amp;"最终",$S$3:$AE$63,MATCH(BO$3,$S$3:$AE$3,0),FALSE)-VLOOKUP($BJ8&amp;"初始",$S$3:$AE$63,MATCH(BO$3,$S$3:$AE$3,0),FALSE))*$BL8/VLOOKUP(VLOOKUP($BJ8,坦克个性化设定!$B$18:$E$48,4,FALSE)&amp;$BK8,坦克属性分配比例,MATCH("升星次数",坦克属性分配比例标头,0),FALSE)*(VLOOKUP(VLOOKUP($BJ8,坦克个性化设定!$B$18:$E$48,4,FALSE)&amp;$BK8,坦克属性分配比例,MATCH("升星比例",坦克属性分配比例标头,0),FALSE)+VLOOKUP(VLOOKUP($BJ8,坦克个性化设定!$B$18:$E$48,4,FALSE)&amp;$BK8,坦克属性分配比例,MATCH("部件比例",坦克属性分配比例标头,0),FALSE)*$C$3),0)</f>
        <v>398</v>
      </c>
      <c r="BP8" s="103">
        <f ca="1">ROUND(VLOOKUP($BJ8&amp;"初始",$S$3:$AE$63,MATCH(BP$3,$S$3:$AE$3,0),FALSE)+(VLOOKUP($BJ8&amp;"最终",$S$3:$AE$63,MATCH(BP$3,$S$3:$AE$3,0),FALSE)-VLOOKUP($BJ8&amp;"初始",$S$3:$AE$63,MATCH(BP$3,$S$3:$AE$3,0),FALSE))*$BL8/VLOOKUP(VLOOKUP($BJ8,坦克个性化设定!$B$18:$E$48,4,FALSE)&amp;$BK8,坦克属性分配比例,MATCH("升星次数",坦克属性分配比例标头,0),FALSE)*(VLOOKUP(VLOOKUP($BJ8,坦克个性化设定!$B$18:$E$48,4,FALSE)&amp;$BK8,坦克属性分配比例,MATCH("升星比例",坦克属性分配比例标头,0),FALSE)+VLOOKUP(VLOOKUP($BJ8,坦克个性化设定!$B$18:$E$48,4,FALSE)&amp;$BK8,坦克属性分配比例,MATCH("部件比例",坦克属性分配比例标头,0),FALSE)*$C$3),0)</f>
        <v>279</v>
      </c>
      <c r="BQ8" s="103">
        <f ca="1">ROUND(VLOOKUP($BJ8&amp;"初始",$S$3:$AE$63,MATCH(BQ$3,$S$3:$AE$3,0),FALSE)+(VLOOKUP($BJ8&amp;"最终",$S$3:$AE$63,MATCH(BQ$3,$S$3:$AE$3,0),FALSE)-VLOOKUP($BJ8&amp;"初始",$S$3:$AE$63,MATCH(BQ$3,$S$3:$AE$3,0),FALSE))*$BL8/VLOOKUP(VLOOKUP($BJ8,坦克个性化设定!$B$18:$E$48,4,FALSE)&amp;$BK8,坦克属性分配比例,MATCH("升星次数",坦克属性分配比例标头,0),FALSE)*VLOOKUP(VLOOKUP($BJ8,坦克个性化设定!$B$18:$E$48,4,FALSE)&amp;$BK8,坦克属性分配比例,MATCH("升星比例",坦克属性分配比例标头,0),FALSE),0)</f>
        <v>350</v>
      </c>
      <c r="BR8" s="2">
        <f ca="1">ROUND(VLOOKUP($BJ8&amp;"初始",$S$3:$AE$63,MATCH(BR$3,$S$3:$AE$3,0),FALSE)+(VLOOKUP($BJ8&amp;"最终",$S$3:$AE$63,MATCH(BR$3,$S$3:$AE$3,0),FALSE)-VLOOKUP($BJ8&amp;"初始",$S$3:$AE$63,MATCH(BR$3,$S$3:$AE$3,0),FALSE))*$BL8/VLOOKUP(VLOOKUP($BJ8,坦克个性化设定!$B$18:$E$48,4,FALSE)&amp;$BK8,坦克属性分配比例,MATCH("升星次数",坦克属性分配比例标头,0),FALSE),0)</f>
        <v>99</v>
      </c>
      <c r="BS8" s="2">
        <f>ROUND(VLOOKUP($BJ8,$AI$3:$AO$33,MATCH(BS$3,$AI$3:$AO$3,0),FALSE)+$BL8/VLOOKUP(VLOOKUP($BJ8,坦克个性化设定!$B$18:$E$48,4,FALSE)&amp;$BK8,坦克属性分配比例,MATCH("升星次数",坦克属性分配比例标头,0),FALSE)*VLOOKUP($BJ8,$AR$3:$AY$33,MATCH(BS$3,$AR$3:$AY$3,0),FALSE),1)</f>
        <v>56.5</v>
      </c>
      <c r="BT8" s="2">
        <f>ROUND(VLOOKUP($BJ8,$AI$3:$AO$33,MATCH(BT$3,$AI$3:$AO$3,0),FALSE)+$BL8/VLOOKUP(VLOOKUP($BJ8,坦克个性化设定!$B$18:$E$48,4,FALSE)&amp;$BK8,坦克属性分配比例,MATCH("升星次数",坦克属性分配比例标头,0),FALSE)*VLOOKUP($BJ8,$AR$3:$AY$33,MATCH(BT$3,$AR$3:$AY$3,0),FALSE),1)</f>
        <v>54</v>
      </c>
      <c r="BU8" s="2">
        <f>ROUND(VLOOKUP($BJ8,$AI$3:$AO$33,MATCH(BU$3,$AI$3:$AO$3,0),FALSE)+$BL8/VLOOKUP(VLOOKUP($BJ8,坦克个性化设定!$B$18:$E$48,4,FALSE)&amp;$BK8,坦克属性分配比例,MATCH("升星次数",坦克属性分配比例标头,0),FALSE)*VLOOKUP($BJ8,$AR$3:$AY$33,MATCH(BU$3,$AR$3:$AY$3,0),FALSE),1)</f>
        <v>10.5</v>
      </c>
      <c r="BV8" s="2">
        <f>IF(VLOOKUP(BJ8,坦克个性化设定!$B$18:$BC$48,MATCH("装弹类型",坦克个性化设定!$B$18:$BC$18,0),FALSE)="弹夹换弹",0,ROUND(VLOOKUP($BJ8,$AI$3:$AO$33,MATCH("换弹时间",$AI$3:$AO$3,0),FALSE)-$BL8/VLOOKUP(VLOOKUP($BJ8,坦克个性化设定!$B$18:$E$48,4,FALSE)&amp;$BK8,坦克属性分配比例,MATCH("升星次数",坦克属性分配比例标头,0),FALSE)*VLOOKUP($BJ8,$AR$3:$AY$33,MATCH("换弹时间",$AR$3:$AY$3,0),FALSE),2))</f>
        <v>0</v>
      </c>
      <c r="BW8" s="2">
        <f>IF(VLOOKUP(BJ8,坦克个性化设定!$B$18:$BC$48,MATCH("装弹类型",坦克个性化设定!$B$18:$BC$18,0),FALSE)="弹夹换弹",ROUND(VLOOKUP($BJ8,$AI$3:$AO$33,MATCH("换弹时间",$AI$3:$AO$3,0),FALSE)-$BL8/VLOOKUP(VLOOKUP($BJ8,坦克个性化设定!$B$18:$E$48,4,FALSE)&amp;$BK8,坦克属性分配比例,MATCH("升星次数",坦克属性分配比例标头,0),FALSE)*VLOOKUP($BJ8,$AR$3:$AY$33,MATCH("换弹时间",$AR$3:$AY$3,0),FALSE),1),0)</f>
        <v>7.2</v>
      </c>
      <c r="BX8" s="2">
        <f>ROUND(VLOOKUP($BJ8,$AI$3:$AO$33,MATCH(BX$3,$AI$3:$AO$3,0),FALSE)+$BL8/VLOOKUP(VLOOKUP($BJ8,坦克个性化设定!$B$18:$E$48,4,FALSE)&amp;$BK8,坦克属性分配比例,MATCH("升星次数",坦克属性分配比例标头,0),FALSE)*VLOOKUP($BJ8,$AR$3:$AY$33,MATCH(BX$3,$AR$3:$AY$3,0),FALSE),2)</f>
        <v>0.32</v>
      </c>
      <c r="BY8" s="2">
        <f>ROUND(VLOOKUP($BJ8,$AI$3:$AO$33,MATCH(BY$3,$AI$3:$AO$3,0),FALSE)-$BL8/VLOOKUP(VLOOKUP($BJ8,坦克个性化设定!$B$18:$E$48,4,FALSE)&amp;$BK8,坦克属性分配比例,MATCH("升星次数",坦克属性分配比例标头,0),FALSE)*VLOOKUP($BJ8,$AR$3:$AY$33,MATCH(BY$3,$AR$3:$AY$3,0),FALSE),2)</f>
        <v>0.36</v>
      </c>
      <c r="CA8" s="2">
        <v>5</v>
      </c>
      <c r="CB8" s="2" t="str">
        <f t="shared" si="15"/>
        <v>十字军</v>
      </c>
      <c r="CC8" s="2" t="str">
        <f>VLOOKUP(CB8,坦克个性化设定!$B$18:$F$48,5,FALSE)</f>
        <v>轻坦弹夹</v>
      </c>
      <c r="CD8" s="29" t="str">
        <f>VLOOKUP(CB8,坦克个性化细分!$I$3:$J$33,2,FALSE)</f>
        <v>中</v>
      </c>
      <c r="CE8" s="42">
        <f ca="1">(VLOOKUP($CB8&amp;"最终",$S$3:$AE$63,MATCH(CE$3,$S$3:$AE$3,0),FALSE)-VLOOKUP($CB8&amp;"初始",$S$3:$AE$63,MATCH(CE$3,$S$3:$AE$3,0),FALSE))*VLOOKUP(VLOOKUP($CB8,坦克个性化设定!$B$18:$E$48,4,FALSE)&amp;$CD8,坦克属性分配比例,MATCH("部件比例",坦克属性分配比例标头,0),FALSE)</f>
        <v>242.86306097415775</v>
      </c>
      <c r="CF8" s="42">
        <f ca="1">(VLOOKUP($CB8&amp;"最终",$S$3:$AE$63,MATCH(CF$3,$S$3:$AE$3,0),FALSE)-VLOOKUP($CB8&amp;"初始",$S$3:$AE$63,MATCH(CF$3,$S$3:$AE$3,0),FALSE))*VLOOKUP(VLOOKUP($CB8,坦克个性化设定!$B$18:$E$48,4,FALSE)&amp;$CD8,坦克属性分配比例,MATCH("部件比例",坦克属性分配比例标头,0),FALSE)</f>
        <v>13.97122610261078</v>
      </c>
      <c r="CG8" s="42">
        <f ca="1">(VLOOKUP($CB8&amp;"最终",$S$3:$AE$63,MATCH(CG$3,$S$3:$AE$3,0),FALSE)-VLOOKUP($CB8&amp;"初始",$S$3:$AE$63,MATCH(CG$3,$S$3:$AE$3,0),FALSE))*VLOOKUP(VLOOKUP($CB8,坦克个性化设定!$B$18:$E$48,4,FALSE)&amp;$CD8,坦克属性分配比例,MATCH("部件比例",坦克属性分配比例标头,0),FALSE)*(1-$C$3)</f>
        <v>38.880000000000003</v>
      </c>
      <c r="CH8" s="42">
        <f ca="1">(VLOOKUP($CB8&amp;"最终",$S$3:$AE$63,MATCH(CH$3,$S$3:$AE$3,0),FALSE)-VLOOKUP($CB8&amp;"初始",$S$3:$AE$63,MATCH(CH$3,$S$3:$AE$3,0),FALSE))*VLOOKUP(VLOOKUP($CB8,坦克个性化设定!$B$18:$E$48,4,FALSE)&amp;$CD8,坦克属性分配比例,MATCH("部件比例",坦克属性分配比例标头,0),FALSE)*(1-$C$3)</f>
        <v>27.200000000000003</v>
      </c>
      <c r="CI8" s="42">
        <f ca="1">(VLOOKUP($CB8&amp;"最终",$S$3:$AE$63,MATCH(CI$3,$S$3:$AE$3,0),FALSE)-VLOOKUP($CB8&amp;"初始",$S$3:$AE$63,MATCH(CI$3,$S$3:$AE$3,0),FALSE))*VLOOKUP(VLOOKUP($CB8,坦克个性化设定!$B$18:$E$48,4,FALSE)&amp;$CD8,坦克属性分配比例,MATCH("部件比例",坦克属性分配比例标头,0),FALSE)</f>
        <v>88.800000000000011</v>
      </c>
    </row>
    <row r="9" spans="2:87" x14ac:dyDescent="0.3">
      <c r="B9" s="2">
        <v>4</v>
      </c>
      <c r="C9" s="2" t="str">
        <f>坦克个性化设定!B22</f>
        <v>35(t)</v>
      </c>
      <c r="D9" s="2">
        <v>1311</v>
      </c>
      <c r="E9" s="2" t="s">
        <v>618</v>
      </c>
      <c r="F9" s="2">
        <v>1</v>
      </c>
      <c r="G9" s="25" t="str">
        <f t="shared" si="17"/>
        <v>35(t)</v>
      </c>
      <c r="H9" s="2" t="str">
        <f>坦克等级成长!B18&amp;坦克等级成长!C18</f>
        <v>T3高</v>
      </c>
      <c r="I9" s="2">
        <v>9</v>
      </c>
      <c r="J9" s="2">
        <f>坦克等级成长!J18</f>
        <v>1.54</v>
      </c>
      <c r="K9" s="2">
        <f>坦克等级成长!K18</f>
        <v>2.33</v>
      </c>
      <c r="L9" s="2">
        <f>坦克等级成长!E18</f>
        <v>5</v>
      </c>
      <c r="M9" s="2">
        <f>IFERROR(VLOOKUP(L9,坦克部件!$N$3:$R$9,5,FALSE),VLOOKUP(L9-1,坦克部件!$N$3:$R$9,5,FALSE))</f>
        <v>0.309</v>
      </c>
      <c r="N9" s="2">
        <f t="shared" si="0"/>
        <v>0.47586000000000001</v>
      </c>
      <c r="O9" s="162">
        <f t="shared" si="1"/>
        <v>0.6</v>
      </c>
      <c r="P9" s="155">
        <v>0.4</v>
      </c>
      <c r="Q9" s="163"/>
      <c r="R9" s="25"/>
      <c r="S9" s="2" t="str">
        <f t="shared" si="2"/>
        <v>Puma最终</v>
      </c>
      <c r="T9" s="2">
        <f>IF(COUNTIF(U$4:U8,U8)&gt;=$B$3,T8+1,T8)</f>
        <v>3</v>
      </c>
      <c r="U9" s="2" t="str">
        <f t="shared" si="3"/>
        <v>Puma</v>
      </c>
      <c r="V9" s="2" t="str">
        <f>VLOOKUP(U9,坦克个性化设定!$B$18:$F$48,5,FALSE)</f>
        <v>轻坦弹夹</v>
      </c>
      <c r="W9" s="29" t="str">
        <f>VLOOKUP(U9,坦克个性化细分!$I$3:$J$33,2,FALSE)</f>
        <v>中</v>
      </c>
      <c r="X9" s="2" t="str">
        <f t="shared" si="16"/>
        <v>最终</v>
      </c>
      <c r="Y9" s="2" t="str">
        <f>VLOOKUP(VLOOKUP(U9,坦克个性化设定!$B$18:$F$48,4,FALSE)&amp;W9,坦克等级成长!$P$12:$U$24,MATCH(X9,坦克等级成长!$P$12:$U$12,0),FALSE)</f>
        <v>T2中4</v>
      </c>
      <c r="Z9" s="42">
        <f ca="1">VLOOKUP($Y9,INDIRECT($V9&amp;"_阶段属性"),MATCH(Z$3,属性标头_阶段属性,0),FALSE)*VLOOKUP($U9,坦克个性化设定!$B$84:$D$114,2,FALSE)</f>
        <v>1519.9332579392922</v>
      </c>
      <c r="AA9" s="42">
        <f ca="1">VLOOKUP($Y9,INDIRECT($V9&amp;"_阶段属性"),MATCH(AA$3,属性标头_阶段属性,0),FALSE)*VLOOKUP($U9,坦克个性化设定!$B$84:$D$114,3,FALSE)</f>
        <v>113.73157399005031</v>
      </c>
      <c r="AB9" s="2">
        <f t="shared" ca="1" si="4"/>
        <v>578</v>
      </c>
      <c r="AC9" s="2">
        <f t="shared" ca="1" si="4"/>
        <v>405</v>
      </c>
      <c r="AD9" s="2">
        <f t="shared" ca="1" si="4"/>
        <v>528</v>
      </c>
      <c r="AE9" s="2">
        <f t="shared" ca="1" si="4"/>
        <v>141</v>
      </c>
      <c r="AF9" s="25"/>
      <c r="AH9" s="2">
        <v>6</v>
      </c>
      <c r="AI9" s="2" t="str">
        <f t="shared" si="5"/>
        <v>AMX-13</v>
      </c>
      <c r="AJ9" s="2">
        <f>VLOOKUP($AI9,坦克个性化细分!$I$3:$P$33,MATCH(AJ$3,坦克个性化细分!$I$3:$P$3,0),FALSE)</f>
        <v>39.6</v>
      </c>
      <c r="AK9" s="2">
        <f>VLOOKUP($AI9,坦克个性化细分!$I$3:$P$33,MATCH(AK$3,坦克个性化细分!$I$3:$P$3,0),FALSE)</f>
        <v>59.1</v>
      </c>
      <c r="AL9" s="2">
        <f>VLOOKUP($AI9,坦克个性化细分!$I$3:$P$33,MATCH(AL$3,坦克个性化细分!$I$3:$P$3,0),FALSE)</f>
        <v>9.9</v>
      </c>
      <c r="AM9" s="34">
        <f>VLOOKUP(AI9,坦克个性化细分!$AA$3:$AP$33,MATCH("射击偏移角",坦克个性化细分!$AA$3:$AP$3,0),FALSE)/VLOOKUP(AI9,坦克个性化细分!$AA$3:$AP$33,MATCH("原瞄准速度",坦克个性化细分!$AA$3:$AP$3,0),FALSE)</f>
        <v>0.51666666666666672</v>
      </c>
      <c r="AN9" s="34">
        <f>VLOOKUP(AI9,坦克个性化细分!$AA$3:$AP$33,MATCH(AN$3,坦克个性化细分!$AA$3:$AP$3,0),FALSE)</f>
        <v>0.8</v>
      </c>
      <c r="AO9" s="2">
        <f>VLOOKUP(AI9,坦克个性化细分!$AA$3:$AP$33,MATCH("原换弹时间",坦克个性化细分!$AA$3:$AP$3,0),FALSE)</f>
        <v>6.3</v>
      </c>
      <c r="AP9" s="133"/>
      <c r="AQ9" s="2">
        <v>6</v>
      </c>
      <c r="AR9" s="2" t="str">
        <f t="shared" si="6"/>
        <v>AMX-13</v>
      </c>
      <c r="AS9" s="2" t="s">
        <v>83</v>
      </c>
      <c r="AT9" s="34">
        <f>VLOOKUP(AR9,坦克个性化细分!$I$3:$P$33,MATCH("养成区间1",坦克个性化细分!$I$3:$P$3,0),FALSE)</f>
        <v>9.8999999999999986</v>
      </c>
      <c r="AU9" s="2">
        <f>VLOOKUP(AR9,坦克个性化细分!$I$3:$P$33,MATCH("养成区间2",坦克个性化细分!$I$3:$P$3,0),FALSE)</f>
        <v>14.774999999999997</v>
      </c>
      <c r="AV9" s="2">
        <f>VLOOKUP(AR9,坦克个性化细分!$I$3:$P$33,MATCH("养成区间3",坦克个性化细分!$I$3:$P$3,0),FALSE)</f>
        <v>0</v>
      </c>
      <c r="AW9" s="34">
        <f>VLOOKUP(AR9,坦克个性化细分!$AA$3:$AP$33,MATCH("瞄准区间",坦克个性化细分!$AA$3:$AP$3,0),FALSE)</f>
        <v>8.6111111111111138E-2</v>
      </c>
      <c r="AX9" s="34">
        <f>VLOOKUP(AI9,坦克个性化细分!$AA$3:$AP$33,MATCH("后射击间隔",坦克个性化细分!$AA$3:$AP$3,0),FALSE)-VLOOKUP(AI9,坦克个性化细分!$AA$3:$AP$33,MATCH(AN$3,坦克个性化细分!$AA$3:$AP$3,0),FALSE)</f>
        <v>0</v>
      </c>
      <c r="AY9" s="34">
        <f>VLOOKUP(AR9,坦克个性化细分!$AA$3:$AP$33,MATCH("换弹区间",坦克个性化细分!$AA$3:$AP$3,0),FALSE)</f>
        <v>1.9875914706113766</v>
      </c>
      <c r="AZ9" s="133"/>
      <c r="BA9" s="34">
        <f t="shared" si="8"/>
        <v>0.24999999999999994</v>
      </c>
      <c r="BB9" s="34">
        <f t="shared" si="9"/>
        <v>0.24999999999999994</v>
      </c>
      <c r="BC9" s="34">
        <f t="shared" si="10"/>
        <v>0</v>
      </c>
      <c r="BD9" s="34">
        <f t="shared" si="11"/>
        <v>0.16666666666666671</v>
      </c>
      <c r="BE9" s="34">
        <f t="shared" si="12"/>
        <v>0.31549070962085346</v>
      </c>
      <c r="BF9" s="34"/>
      <c r="BG9" s="133"/>
      <c r="BH9" s="2" t="str">
        <f t="shared" si="13"/>
        <v>雷诺FT5</v>
      </c>
      <c r="BI9" s="2">
        <f>IF(BL8&gt;=VLOOKUP(VLOOKUP(BJ8,坦克个性化设定!$B$18:$E$48,4,FALSE)&amp;BK8,坦克属性分配比例,MATCH("升星次数",坦克属性分配比例标头,0),FALSE),BI8+1,BI8)</f>
        <v>1</v>
      </c>
      <c r="BJ9" s="2" t="str">
        <f t="shared" si="14"/>
        <v>雷诺FT</v>
      </c>
      <c r="BK9" s="29" t="str">
        <f>VLOOKUP(BJ9,坦克个性化细分!$I$3:$J$33,2,FALSE)</f>
        <v>低</v>
      </c>
      <c r="BL9" s="2">
        <f t="shared" si="7"/>
        <v>5</v>
      </c>
      <c r="BM9" s="103">
        <f ca="1">ROUND(VLOOKUP($BJ9&amp;"初始",$S$3:$AE$63,MATCH(BM$3,$S$3:$AE$3,0),FALSE)+((VLOOKUP($BJ9&amp;"最终",$S$3:$AE$63,MATCH(BM$3,$S$3:$AE$3,0),FALSE)*坦克个性化细分!$C$9-VLOOKUP($BJ9&amp;"初始",$S$3:$AE$63,MATCH(BM$3,$S$3:$AE$3,0),FALSE))-(VLOOKUP($BJ9&amp;"最终",$S$3:$AE$63,MATCH(BM$3,$S$3:$AE$3,0),FALSE)-VLOOKUP($BJ9&amp;"初始",$S$3:$AE$63,MATCH(BM$3,$S$3:$AE$3,0),FALSE))*VLOOKUP(VLOOKUP($BJ9,坦克个性化设定!$B$18:$E$48,4,FALSE)&amp;$BK9,坦克属性分配比例,MATCH("部件比例",坦克属性分配比例标头,0),FALSE))*$BL9/VLOOKUP(VLOOKUP($BJ9,坦克个性化设定!$B$18:$E$48,4,FALSE)&amp;$BK9,坦克属性分配比例,MATCH("升星次数",坦克属性分配比例标头,0),FALSE),0)</f>
        <v>1025</v>
      </c>
      <c r="BN9" s="103">
        <f ca="1">ROUND(VLOOKUP($BJ9&amp;"初始",$S$3:$AE$63,MATCH(BN$3,$S$3:$AE$3,0),FALSE)+(VLOOKUP($BJ9&amp;"最终",$S$3:$AE$63,MATCH(BN$3,$S$3:$AE$3,0),FALSE)-VLOOKUP($BJ9&amp;"初始",$S$3:$AE$63,MATCH(BN$3,$S$3:$AE$3,0),FALSE))*$BL9/VLOOKUP(VLOOKUP($BJ9,坦克个性化设定!$B$18:$E$48,4,FALSE)&amp;$BK9,坦克属性分配比例,MATCH("升星次数",坦克属性分配比例标头,0),FALSE)*VLOOKUP(VLOOKUP($BJ9,坦克个性化设定!$B$18:$E$48,4,FALSE)&amp;$BK9,坦克属性分配比例,MATCH("升星比例",坦克属性分配比例标头,0),FALSE),0)</f>
        <v>51</v>
      </c>
      <c r="BO9" s="103">
        <f ca="1">ROUND(VLOOKUP($BJ9&amp;"初始",$S$3:$AE$63,MATCH(BO$3,$S$3:$AE$3,0),FALSE)+(VLOOKUP($BJ9&amp;"最终",$S$3:$AE$63,MATCH(BO$3,$S$3:$AE$3,0),FALSE)-VLOOKUP($BJ9&amp;"初始",$S$3:$AE$63,MATCH(BO$3,$S$3:$AE$3,0),FALSE))*$BL9/VLOOKUP(VLOOKUP($BJ9,坦克个性化设定!$B$18:$E$48,4,FALSE)&amp;$BK9,坦克属性分配比例,MATCH("升星次数",坦克属性分配比例标头,0),FALSE)*(VLOOKUP(VLOOKUP($BJ9,坦克个性化设定!$B$18:$E$48,4,FALSE)&amp;$BK9,坦克属性分配比例,MATCH("升星比例",坦克属性分配比例标头,0),FALSE)+VLOOKUP(VLOOKUP($BJ9,坦克个性化设定!$B$18:$E$48,4,FALSE)&amp;$BK9,坦克属性分配比例,MATCH("部件比例",坦克属性分配比例标头,0),FALSE)*$C$3),0)</f>
        <v>415</v>
      </c>
      <c r="BP9" s="103">
        <f ca="1">ROUND(VLOOKUP($BJ9&amp;"初始",$S$3:$AE$63,MATCH(BP$3,$S$3:$AE$3,0),FALSE)+(VLOOKUP($BJ9&amp;"最终",$S$3:$AE$63,MATCH(BP$3,$S$3:$AE$3,0),FALSE)-VLOOKUP($BJ9&amp;"初始",$S$3:$AE$63,MATCH(BP$3,$S$3:$AE$3,0),FALSE))*$BL9/VLOOKUP(VLOOKUP($BJ9,坦克个性化设定!$B$18:$E$48,4,FALSE)&amp;$BK9,坦克属性分配比例,MATCH("升星次数",坦克属性分配比例标头,0),FALSE)*(VLOOKUP(VLOOKUP($BJ9,坦克个性化设定!$B$18:$E$48,4,FALSE)&amp;$BK9,坦克属性分配比例,MATCH("升星比例",坦克属性分配比例标头,0),FALSE)+VLOOKUP(VLOOKUP($BJ9,坦克个性化设定!$B$18:$E$48,4,FALSE)&amp;$BK9,坦克属性分配比例,MATCH("部件比例",坦克属性分配比例标头,0),FALSE)*$C$3),0)</f>
        <v>291</v>
      </c>
      <c r="BQ9" s="103">
        <f ca="1">ROUND(VLOOKUP($BJ9&amp;"初始",$S$3:$AE$63,MATCH(BQ$3,$S$3:$AE$3,0),FALSE)+(VLOOKUP($BJ9&amp;"最终",$S$3:$AE$63,MATCH(BQ$3,$S$3:$AE$3,0),FALSE)-VLOOKUP($BJ9&amp;"初始",$S$3:$AE$63,MATCH(BQ$3,$S$3:$AE$3,0),FALSE))*$BL9/VLOOKUP(VLOOKUP($BJ9,坦克个性化设定!$B$18:$E$48,4,FALSE)&amp;$BK9,坦克属性分配比例,MATCH("升星次数",坦克属性分配比例标头,0),FALSE)*VLOOKUP(VLOOKUP($BJ9,坦克个性化设定!$B$18:$E$48,4,FALSE)&amp;$BK9,坦克属性分配比例,MATCH("升星比例",坦克属性分配比例标头,0),FALSE),0)</f>
        <v>363</v>
      </c>
      <c r="BR9" s="2">
        <f ca="1">ROUND(VLOOKUP($BJ9&amp;"初始",$S$3:$AE$63,MATCH(BR$3,$S$3:$AE$3,0),FALSE)+(VLOOKUP($BJ9&amp;"最终",$S$3:$AE$63,MATCH(BR$3,$S$3:$AE$3,0),FALSE)-VLOOKUP($BJ9&amp;"初始",$S$3:$AE$63,MATCH(BR$3,$S$3:$AE$3,0),FALSE))*$BL9/VLOOKUP(VLOOKUP($BJ9,坦克个性化设定!$B$18:$E$48,4,FALSE)&amp;$BK9,坦克属性分配比例,MATCH("升星次数",坦克属性分配比例标头,0),FALSE),0)</f>
        <v>104</v>
      </c>
      <c r="BS9" s="2">
        <f>ROUND(VLOOKUP($BJ9,$AI$3:$AO$33,MATCH(BS$3,$AI$3:$AO$3,0),FALSE)+$BL9/VLOOKUP(VLOOKUP($BJ9,坦克个性化设定!$B$18:$E$48,4,FALSE)&amp;$BK9,坦克属性分配比例,MATCH("升星次数",坦克属性分配比例标头,0),FALSE)*VLOOKUP($BJ9,$AR$3:$AY$33,MATCH(BS$3,$AR$3:$AY$3,0),FALSE),1)</f>
        <v>58.9</v>
      </c>
      <c r="BT9" s="2">
        <f>ROUND(VLOOKUP($BJ9,$AI$3:$AO$33,MATCH(BT$3,$AI$3:$AO$3,0),FALSE)+$BL9/VLOOKUP(VLOOKUP($BJ9,坦克个性化设定!$B$18:$E$48,4,FALSE)&amp;$BK9,坦克属性分配比例,MATCH("升星次数",坦克属性分配比例标头,0),FALSE)*VLOOKUP($BJ9,$AR$3:$AY$33,MATCH(BT$3,$AR$3:$AY$3,0),FALSE),1)</f>
        <v>56.3</v>
      </c>
      <c r="BU9" s="2">
        <f>ROUND(VLOOKUP($BJ9,$AI$3:$AO$33,MATCH(BU$3,$AI$3:$AO$3,0),FALSE)+$BL9/VLOOKUP(VLOOKUP($BJ9,坦克个性化设定!$B$18:$E$48,4,FALSE)&amp;$BK9,坦克属性分配比例,MATCH("升星次数",坦克属性分配比例标头,0),FALSE)*VLOOKUP($BJ9,$AR$3:$AY$33,MATCH(BU$3,$AR$3:$AY$3,0),FALSE),1)</f>
        <v>10.5</v>
      </c>
      <c r="BV9" s="2">
        <f>IF(VLOOKUP(BJ9,坦克个性化设定!$B$18:$BC$48,MATCH("装弹类型",坦克个性化设定!$B$18:$BC$18,0),FALSE)="弹夹换弹",0,ROUND(VLOOKUP($BJ9,$AI$3:$AO$33,MATCH("换弹时间",$AI$3:$AO$3,0),FALSE)-$BL9/VLOOKUP(VLOOKUP($BJ9,坦克个性化设定!$B$18:$E$48,4,FALSE)&amp;$BK9,坦克属性分配比例,MATCH("升星次数",坦克属性分配比例标头,0),FALSE)*VLOOKUP($BJ9,$AR$3:$AY$33,MATCH("换弹时间",$AR$3:$AY$3,0),FALSE),2))</f>
        <v>0</v>
      </c>
      <c r="BW9" s="2">
        <f>IF(VLOOKUP(BJ9,坦克个性化设定!$B$18:$BC$48,MATCH("装弹类型",坦克个性化设定!$B$18:$BC$18,0),FALSE)="弹夹换弹",ROUND(VLOOKUP($BJ9,$AI$3:$AO$33,MATCH("换弹时间",$AI$3:$AO$3,0),FALSE)-$BL9/VLOOKUP(VLOOKUP($BJ9,坦克个性化设定!$B$18:$E$48,4,FALSE)&amp;$BK9,坦克属性分配比例,MATCH("升星次数",坦克属性分配比例标头,0),FALSE)*VLOOKUP($BJ9,$AR$3:$AY$33,MATCH("换弹时间",$AR$3:$AY$3,0),FALSE),1),0)</f>
        <v>7.8</v>
      </c>
      <c r="BX9" s="2">
        <f>ROUND(VLOOKUP($BJ9,$AI$3:$AO$33,MATCH(BX$3,$AI$3:$AO$3,0),FALSE)+$BL9/VLOOKUP(VLOOKUP($BJ9,坦克个性化设定!$B$18:$E$48,4,FALSE)&amp;$BK9,坦克属性分配比例,MATCH("升星次数",坦克属性分配比例标头,0),FALSE)*VLOOKUP($BJ9,$AR$3:$AY$33,MATCH(BX$3,$AR$3:$AY$3,0),FALSE),2)</f>
        <v>0.25</v>
      </c>
      <c r="BY9" s="2">
        <f>ROUND(VLOOKUP($BJ9,$AI$3:$AO$33,MATCH(BY$3,$AI$3:$AO$3,0),FALSE)-$BL9/VLOOKUP(VLOOKUP($BJ9,坦克个性化设定!$B$18:$E$48,4,FALSE)&amp;$BK9,坦克属性分配比例,MATCH("升星次数",坦克属性分配比例标头,0),FALSE)*VLOOKUP($BJ9,$AR$3:$AY$33,MATCH(BY$3,$AR$3:$AY$3,0),FALSE),2)</f>
        <v>0.35</v>
      </c>
      <c r="BZ9" s="134"/>
      <c r="CA9" s="2">
        <v>6</v>
      </c>
      <c r="CB9" s="2" t="str">
        <f t="shared" si="15"/>
        <v>AMX-13</v>
      </c>
      <c r="CC9" s="2" t="str">
        <f>VLOOKUP(CB9,坦克个性化设定!$B$18:$F$48,5,FALSE)</f>
        <v>轻坦弹夹</v>
      </c>
      <c r="CD9" s="29" t="str">
        <f>VLOOKUP(CB9,坦克个性化细分!$I$3:$J$33,2,FALSE)</f>
        <v>高</v>
      </c>
      <c r="CE9" s="42">
        <f ca="1">(VLOOKUP($CB9&amp;"最终",$S$3:$AE$63,MATCH(CE$3,$S$3:$AE$3,0),FALSE)-VLOOKUP($CB9&amp;"初始",$S$3:$AE$63,MATCH(CE$3,$S$3:$AE$3,0),FALSE))*VLOOKUP(VLOOKUP($CB9,坦克个性化设定!$B$18:$E$48,4,FALSE)&amp;$CD9,坦克属性分配比例,MATCH("部件比例",坦克属性分配比例标头,0),FALSE)</f>
        <v>224.58751385068965</v>
      </c>
      <c r="CF9" s="42">
        <f ca="1">(VLOOKUP($CB9&amp;"最终",$S$3:$AE$63,MATCH(CF$3,$S$3:$AE$3,0),FALSE)-VLOOKUP($CB9&amp;"初始",$S$3:$AE$63,MATCH(CF$3,$S$3:$AE$3,0),FALSE))*VLOOKUP(VLOOKUP($CB9,坦克个性化设定!$B$18:$E$48,4,FALSE)&amp;$CD9,坦克属性分配比例,MATCH("部件比例",坦克属性分配比例标头,0),FALSE)</f>
        <v>19.882609133018477</v>
      </c>
      <c r="CG9" s="42">
        <f ca="1">(VLOOKUP($CB9&amp;"最终",$S$3:$AE$63,MATCH(CG$3,$S$3:$AE$3,0),FALSE)-VLOOKUP($CB9&amp;"初始",$S$3:$AE$63,MATCH(CG$3,$S$3:$AE$3,0),FALSE))*VLOOKUP(VLOOKUP($CB9,坦克个性化设定!$B$18:$E$48,4,FALSE)&amp;$CD9,坦克属性分配比例,MATCH("部件比例",坦克属性分配比例标头,0),FALSE)*(1-$C$3)</f>
        <v>41.6</v>
      </c>
      <c r="CH9" s="42">
        <f ca="1">(VLOOKUP($CB9&amp;"最终",$S$3:$AE$63,MATCH(CH$3,$S$3:$AE$3,0),FALSE)-VLOOKUP($CB9&amp;"初始",$S$3:$AE$63,MATCH(CH$3,$S$3:$AE$3,0),FALSE))*VLOOKUP(VLOOKUP($CB9,坦克个性化设定!$B$18:$E$48,4,FALSE)&amp;$CD9,坦克属性分配比例,MATCH("部件比例",坦克属性分配比例标头,0),FALSE)*(1-$C$3)</f>
        <v>29.12</v>
      </c>
      <c r="CI9" s="42">
        <f ca="1">(VLOOKUP($CB9&amp;"最终",$S$3:$AE$63,MATCH(CI$3,$S$3:$AE$3,0),FALSE)-VLOOKUP($CB9&amp;"初始",$S$3:$AE$63,MATCH(CI$3,$S$3:$AE$3,0),FALSE))*VLOOKUP(VLOOKUP($CB9,坦克个性化设定!$B$18:$E$48,4,FALSE)&amp;$CD9,坦克属性分配比例,MATCH("部件比例",坦克属性分配比例标头,0),FALSE)</f>
        <v>94.800000000000011</v>
      </c>
    </row>
    <row r="10" spans="2:87" x14ac:dyDescent="0.3">
      <c r="B10" s="2">
        <v>5</v>
      </c>
      <c r="C10" s="2" t="str">
        <f>坦克个性化设定!B23</f>
        <v>十字军</v>
      </c>
      <c r="D10" s="2">
        <v>1321</v>
      </c>
      <c r="E10" s="2" t="s">
        <v>621</v>
      </c>
      <c r="F10" s="2">
        <v>1</v>
      </c>
      <c r="G10" s="25" t="str">
        <f t="shared" si="17"/>
        <v>十字军</v>
      </c>
      <c r="H10" s="2" t="str">
        <f>坦克等级成长!B19&amp;坦克等级成长!C19</f>
        <v>T4低</v>
      </c>
      <c r="I10" s="2">
        <v>11</v>
      </c>
      <c r="J10" s="2">
        <f>坦克等级成长!J19</f>
        <v>1.92</v>
      </c>
      <c r="K10" s="2">
        <f>坦克等级成长!K19</f>
        <v>2.82</v>
      </c>
      <c r="L10" s="2">
        <f>坦克等级成长!E19</f>
        <v>6</v>
      </c>
      <c r="M10" s="2">
        <f>IFERROR(VLOOKUP(L10,坦克部件!$N$3:$R$9,5,FALSE),VLOOKUP(L10-1,坦克部件!$N$3:$R$9,5,FALSE))</f>
        <v>0.35499999999999998</v>
      </c>
      <c r="N10" s="2">
        <f t="shared" si="0"/>
        <v>0.68159999999999998</v>
      </c>
      <c r="O10" s="162">
        <f t="shared" si="1"/>
        <v>0.55000000000000004</v>
      </c>
      <c r="P10" s="155">
        <v>0.45</v>
      </c>
      <c r="Q10" s="163"/>
      <c r="R10" s="25"/>
      <c r="S10" s="2" t="str">
        <f t="shared" si="2"/>
        <v>35(t)初始</v>
      </c>
      <c r="T10" s="2">
        <f>IF(COUNTIF(U$4:U9,U9)&gt;=$B$3,T9+1,T9)</f>
        <v>4</v>
      </c>
      <c r="U10" s="2" t="str">
        <f t="shared" si="3"/>
        <v>35(t)</v>
      </c>
      <c r="V10" s="2" t="str">
        <f>VLOOKUP(U10,坦克个性化设定!$B$18:$F$48,5,FALSE)</f>
        <v>轻坦弹夹</v>
      </c>
      <c r="W10" s="29" t="str">
        <f>VLOOKUP(U10,坦克个性化细分!$I$3:$J$33,2,FALSE)</f>
        <v>低</v>
      </c>
      <c r="X10" s="2" t="str">
        <f t="shared" si="16"/>
        <v>初始</v>
      </c>
      <c r="Y10" s="2" t="str">
        <f>VLOOKUP(VLOOKUP(U10,坦克个性化设定!$B$18:$F$48,4,FALSE)&amp;W10,坦克等级成长!$P$12:$U$24,MATCH(X10,坦克等级成长!$P$12:$U$12,0),FALSE)</f>
        <v>T3低3</v>
      </c>
      <c r="Z10" s="42">
        <f ca="1">VLOOKUP($Y10,INDIRECT($V10&amp;"_阶段属性"),MATCH(Z$3,属性标头_阶段属性,0),FALSE)*VLOOKUP($U10,坦克个性化设定!$B$84:$D$114,2,FALSE)</f>
        <v>1203.6691040422745</v>
      </c>
      <c r="AA10" s="42">
        <f ca="1">VLOOKUP($Y10,INDIRECT($V10&amp;"_阶段属性"),MATCH(AA$3,属性标头_阶段属性,0),FALSE)*VLOOKUP($U10,坦克个性化设定!$B$84:$D$114,3,FALSE)</f>
        <v>101.26235181572864</v>
      </c>
      <c r="AB10" s="2">
        <f t="shared" ca="1" si="4"/>
        <v>486</v>
      </c>
      <c r="AC10" s="2">
        <f t="shared" ca="1" si="4"/>
        <v>340</v>
      </c>
      <c r="AD10" s="2">
        <f t="shared" ca="1" si="4"/>
        <v>444</v>
      </c>
      <c r="AE10" s="2">
        <f t="shared" ca="1" si="4"/>
        <v>118</v>
      </c>
      <c r="AF10" s="25"/>
      <c r="AH10" s="2">
        <v>7</v>
      </c>
      <c r="AI10" s="2" t="str">
        <f t="shared" si="5"/>
        <v>霞飞</v>
      </c>
      <c r="AJ10" s="2">
        <f>VLOOKUP($AI10,坦克个性化细分!$I$3:$P$33,MATCH(AJ$3,坦克个性化细分!$I$3:$P$3,0),FALSE)</f>
        <v>42.4</v>
      </c>
      <c r="AK10" s="2">
        <f>VLOOKUP($AI10,坦克个性化细分!$I$3:$P$33,MATCH(AK$3,坦克个性化细分!$I$3:$P$3,0),FALSE)</f>
        <v>50</v>
      </c>
      <c r="AL10" s="2">
        <f>VLOOKUP($AI10,坦克个性化细分!$I$3:$P$33,MATCH(AL$3,坦克个性化细分!$I$3:$P$3,0),FALSE)</f>
        <v>10</v>
      </c>
      <c r="AM10" s="34">
        <f>VLOOKUP(AI10,坦克个性化细分!$AA$3:$AP$33,MATCH("射击偏移角",坦克个性化细分!$AA$3:$AP$3,0),FALSE)/VLOOKUP(AI10,坦克个性化细分!$AA$3:$AP$33,MATCH("原瞄准速度",坦克个性化细分!$AA$3:$AP$3,0),FALSE)</f>
        <v>0.45000000000000007</v>
      </c>
      <c r="AN10" s="34">
        <f>VLOOKUP(AI10,坦克个性化细分!$AA$3:$AP$33,MATCH(AN$3,坦克个性化细分!$AA$3:$AP$3,0),FALSE)</f>
        <v>0.60000000000000009</v>
      </c>
      <c r="AO10" s="2">
        <f>VLOOKUP(AI10,坦克个性化细分!$AA$3:$AP$33,MATCH("原换弹时间",坦克个性化细分!$AA$3:$AP$3,0),FALSE)</f>
        <v>6.3</v>
      </c>
      <c r="AP10" s="133"/>
      <c r="AQ10" s="2">
        <v>7</v>
      </c>
      <c r="AR10" s="2" t="str">
        <f t="shared" si="6"/>
        <v>霞飞</v>
      </c>
      <c r="AS10" s="2" t="s">
        <v>79</v>
      </c>
      <c r="AT10" s="34">
        <f>VLOOKUP(AR10,坦克个性化细分!$I$3:$P$33,MATCH("养成区间1",坦克个性化细分!$I$3:$P$3,0),FALSE)</f>
        <v>10.599999999999996</v>
      </c>
      <c r="AU10" s="2">
        <f>VLOOKUP(AR10,坦克个性化细分!$I$3:$P$33,MATCH("养成区间2",坦克个性化细分!$I$3:$P$3,0),FALSE)</f>
        <v>12.499999999999996</v>
      </c>
      <c r="AV10" s="2">
        <f>VLOOKUP(AR10,坦克个性化细分!$I$3:$P$33,MATCH("养成区间3",坦克个性化细分!$I$3:$P$3,0),FALSE)</f>
        <v>0</v>
      </c>
      <c r="AW10" s="34">
        <f>VLOOKUP(AR10,坦克个性化细分!$AA$3:$AP$33,MATCH("瞄准区间",坦克个性化细分!$AA$3:$AP$3,0),FALSE)</f>
        <v>7.5000000000000011E-2</v>
      </c>
      <c r="AX10" s="34">
        <f>VLOOKUP(AI10,坦克个性化细分!$AA$3:$AP$33,MATCH("后射击间隔",坦克个性化细分!$AA$3:$AP$3,0),FALSE)-VLOOKUP(AI10,坦克个性化细分!$AA$3:$AP$33,MATCH(AN$3,坦克个性化细分!$AA$3:$AP$3,0),FALSE)</f>
        <v>0</v>
      </c>
      <c r="AY10" s="34">
        <f>VLOOKUP(AR10,坦克个性化细分!$AA$3:$AP$33,MATCH("换弹区间",坦克个性化细分!$AA$3:$AP$3,0),FALSE)</f>
        <v>1.6945199171079901</v>
      </c>
      <c r="AZ10" s="133"/>
      <c r="BA10" s="34">
        <f t="shared" si="8"/>
        <v>0.24999999999999992</v>
      </c>
      <c r="BB10" s="34">
        <f t="shared" si="9"/>
        <v>0.24999999999999992</v>
      </c>
      <c r="BC10" s="34">
        <f t="shared" si="10"/>
        <v>0</v>
      </c>
      <c r="BD10" s="34">
        <f t="shared" si="11"/>
        <v>0.16666666666666666</v>
      </c>
      <c r="BE10" s="34">
        <f t="shared" si="12"/>
        <v>0.26897141541396669</v>
      </c>
      <c r="BF10" s="34"/>
      <c r="BG10" s="133"/>
      <c r="BH10" s="2" t="str">
        <f t="shared" si="13"/>
        <v>二号0</v>
      </c>
      <c r="BI10" s="2">
        <f>IF(BL9&gt;=VLOOKUP(VLOOKUP(BJ9,坦克个性化设定!$B$18:$E$48,4,FALSE)&amp;BK9,坦克属性分配比例,MATCH("升星次数",坦克属性分配比例标头,0),FALSE),BI9+1,BI9)</f>
        <v>2</v>
      </c>
      <c r="BJ10" s="2" t="str">
        <f t="shared" si="14"/>
        <v>二号</v>
      </c>
      <c r="BK10" s="29" t="str">
        <f>VLOOKUP(BJ10,坦克个性化细分!$I$3:$J$33,2,FALSE)</f>
        <v>低</v>
      </c>
      <c r="BL10" s="2">
        <f t="shared" si="7"/>
        <v>0</v>
      </c>
      <c r="BM10" s="103">
        <f ca="1">ROUND(VLOOKUP($BJ10&amp;"初始",$S$3:$AE$63,MATCH(BM$3,$S$3:$AE$3,0),FALSE)+((VLOOKUP($BJ10&amp;"最终",$S$3:$AE$63,MATCH(BM$3,$S$3:$AE$3,0),FALSE)*坦克个性化细分!$C$9-VLOOKUP($BJ10&amp;"初始",$S$3:$AE$63,MATCH(BM$3,$S$3:$AE$3,0),FALSE))-(VLOOKUP($BJ10&amp;"最终",$S$3:$AE$63,MATCH(BM$3,$S$3:$AE$3,0),FALSE)-VLOOKUP($BJ10&amp;"初始",$S$3:$AE$63,MATCH(BM$3,$S$3:$AE$3,0),FALSE))*VLOOKUP(VLOOKUP($BJ10,坦克个性化设定!$B$18:$E$48,4,FALSE)&amp;$BK10,坦克属性分配比例,MATCH("部件比例",坦克属性分配比例标头,0),FALSE))*$BL10/VLOOKUP(VLOOKUP($BJ10,坦克个性化设定!$B$18:$E$48,4,FALSE)&amp;$BK10,坦克属性分配比例,MATCH("升星次数",坦克属性分配比例标头,0),FALSE),0)</f>
        <v>876</v>
      </c>
      <c r="BN10" s="103">
        <f ca="1">ROUND(VLOOKUP($BJ10&amp;"初始",$S$3:$AE$63,MATCH(BN$3,$S$3:$AE$3,0),FALSE)+(VLOOKUP($BJ10&amp;"最终",$S$3:$AE$63,MATCH(BN$3,$S$3:$AE$3,0),FALSE)-VLOOKUP($BJ10&amp;"初始",$S$3:$AE$63,MATCH(BN$3,$S$3:$AE$3,0),FALSE))*$BL10/VLOOKUP(VLOOKUP($BJ10,坦克个性化设定!$B$18:$E$48,4,FALSE)&amp;$BK10,坦克属性分配比例,MATCH("升星次数",坦克属性分配比例标头,0),FALSE)*VLOOKUP(VLOOKUP($BJ10,坦克个性化设定!$B$18:$E$48,4,FALSE)&amp;$BK10,坦克属性分配比例,MATCH("升星比例",坦克属性分配比例标头,0),FALSE),0)</f>
        <v>72</v>
      </c>
      <c r="BO10" s="103">
        <f ca="1">ROUND(VLOOKUP($BJ10&amp;"初始",$S$3:$AE$63,MATCH(BO$3,$S$3:$AE$3,0),FALSE)+(VLOOKUP($BJ10&amp;"最终",$S$3:$AE$63,MATCH(BO$3,$S$3:$AE$3,0),FALSE)-VLOOKUP($BJ10&amp;"初始",$S$3:$AE$63,MATCH(BO$3,$S$3:$AE$3,0),FALSE))*$BL10/VLOOKUP(VLOOKUP($BJ10,坦克个性化设定!$B$18:$E$48,4,FALSE)&amp;$BK10,坦克属性分配比例,MATCH("升星次数",坦克属性分配比例标头,0),FALSE)*(VLOOKUP(VLOOKUP($BJ10,坦克个性化设定!$B$18:$E$48,4,FALSE)&amp;$BK10,坦克属性分配比例,MATCH("升星比例",坦克属性分配比例标头,0),FALSE)+VLOOKUP(VLOOKUP($BJ10,坦克个性化设定!$B$18:$E$48,4,FALSE)&amp;$BK10,坦克属性分配比例,MATCH("部件比例",坦克属性分配比例标头,0),FALSE)*$C$3),0)</f>
        <v>394</v>
      </c>
      <c r="BP10" s="103">
        <f ca="1">ROUND(VLOOKUP($BJ10&amp;"初始",$S$3:$AE$63,MATCH(BP$3,$S$3:$AE$3,0),FALSE)+(VLOOKUP($BJ10&amp;"最终",$S$3:$AE$63,MATCH(BP$3,$S$3:$AE$3,0),FALSE)-VLOOKUP($BJ10&amp;"初始",$S$3:$AE$63,MATCH(BP$3,$S$3:$AE$3,0),FALSE))*$BL10/VLOOKUP(VLOOKUP($BJ10,坦克个性化设定!$B$18:$E$48,4,FALSE)&amp;$BK10,坦克属性分配比例,MATCH("升星次数",坦克属性分配比例标头,0),FALSE)*(VLOOKUP(VLOOKUP($BJ10,坦克个性化设定!$B$18:$E$48,4,FALSE)&amp;$BK10,坦克属性分配比例,MATCH("升星比例",坦克属性分配比例标头,0),FALSE)+VLOOKUP(VLOOKUP($BJ10,坦克个性化设定!$B$18:$E$48,4,FALSE)&amp;$BK10,坦克属性分配比例,MATCH("部件比例",坦克属性分配比例标头,0),FALSE)*$C$3),0)</f>
        <v>276</v>
      </c>
      <c r="BQ10" s="103">
        <f ca="1">ROUND(VLOOKUP($BJ10&amp;"初始",$S$3:$AE$63,MATCH(BQ$3,$S$3:$AE$3,0),FALSE)+(VLOOKUP($BJ10&amp;"最终",$S$3:$AE$63,MATCH(BQ$3,$S$3:$AE$3,0),FALSE)-VLOOKUP($BJ10&amp;"初始",$S$3:$AE$63,MATCH(BQ$3,$S$3:$AE$3,0),FALSE))*$BL10/VLOOKUP(VLOOKUP($BJ10,坦克个性化设定!$B$18:$E$48,4,FALSE)&amp;$BK10,坦克属性分配比例,MATCH("升星次数",坦克属性分配比例标头,0),FALSE)*VLOOKUP(VLOOKUP($BJ10,坦克个性化设定!$B$18:$E$48,4,FALSE)&amp;$BK10,坦克属性分配比例,MATCH("升星比例",坦克属性分配比例标头,0),FALSE),0)</f>
        <v>360</v>
      </c>
      <c r="BR10" s="2">
        <f ca="1">ROUND(VLOOKUP($BJ10&amp;"初始",$S$3:$AE$63,MATCH(BR$3,$S$3:$AE$3,0),FALSE)+(VLOOKUP($BJ10&amp;"最终",$S$3:$AE$63,MATCH(BR$3,$S$3:$AE$3,0),FALSE)-VLOOKUP($BJ10&amp;"初始",$S$3:$AE$63,MATCH(BR$3,$S$3:$AE$3,0),FALSE))*$BL10/VLOOKUP(VLOOKUP($BJ10,坦克个性化设定!$B$18:$E$48,4,FALSE)&amp;$BK10,坦克属性分配比例,MATCH("升星次数",坦克属性分配比例标头,0),FALSE),0)</f>
        <v>96</v>
      </c>
      <c r="BS10" s="2">
        <f>ROUND(VLOOKUP($BJ10,$AI$3:$AO$33,MATCH(BS$3,$AI$3:$AO$3,0),FALSE)+$BL10/VLOOKUP(VLOOKUP($BJ10,坦克个性化设定!$B$18:$E$48,4,FALSE)&amp;$BK10,坦克属性分配比例,MATCH("升星次数",坦克属性分配比例标头,0),FALSE)*VLOOKUP($BJ10,$AR$3:$AY$33,MATCH(BS$3,$AR$3:$AY$3,0),FALSE),1)</f>
        <v>47.1</v>
      </c>
      <c r="BT10" s="2">
        <f>ROUND(VLOOKUP($BJ10,$AI$3:$AO$33,MATCH(BT$3,$AI$3:$AO$3,0),FALSE)+$BL10/VLOOKUP(VLOOKUP($BJ10,坦克个性化设定!$B$18:$E$48,4,FALSE)&amp;$BK10,坦克属性分配比例,MATCH("升星次数",坦克属性分配比例标头,0),FALSE)*VLOOKUP($BJ10,$AR$3:$AY$33,MATCH(BT$3,$AR$3:$AY$3,0),FALSE),1)</f>
        <v>45</v>
      </c>
      <c r="BU10" s="2">
        <f>ROUND(VLOOKUP($BJ10,$AI$3:$AO$33,MATCH(BU$3,$AI$3:$AO$3,0),FALSE)+$BL10/VLOOKUP(VLOOKUP($BJ10,坦克个性化设定!$B$18:$E$48,4,FALSE)&amp;$BK10,坦克属性分配比例,MATCH("升星次数",坦克属性分配比例标头,0),FALSE)*VLOOKUP($BJ10,$AR$3:$AY$33,MATCH(BU$3,$AR$3:$AY$3,0),FALSE),1)</f>
        <v>10.5</v>
      </c>
      <c r="BV10" s="2">
        <f>IF(VLOOKUP(BJ10,坦克个性化设定!$B$18:$BC$48,MATCH("装弹类型",坦克个性化设定!$B$18:$BC$18,0),FALSE)="弹夹换弹",0,ROUND(VLOOKUP($BJ10,$AI$3:$AO$33,MATCH("换弹时间",$AI$3:$AO$3,0),FALSE)-$BL10/VLOOKUP(VLOOKUP($BJ10,坦克个性化设定!$B$18:$E$48,4,FALSE)&amp;$BK10,坦克属性分配比例,MATCH("升星次数",坦克属性分配比例标头,0),FALSE)*VLOOKUP($BJ10,$AR$3:$AY$33,MATCH("换弹时间",$AR$3:$AY$3,0),FALSE),2))</f>
        <v>0</v>
      </c>
      <c r="BW10" s="2">
        <f>IF(VLOOKUP(BJ10,坦克个性化设定!$B$18:$BC$48,MATCH("装弹类型",坦克个性化设定!$B$18:$BC$18,0),FALSE)="弹夹换弹",ROUND(VLOOKUP($BJ10,$AI$3:$AO$33,MATCH("换弹时间",$AI$3:$AO$3,0),FALSE)-$BL10/VLOOKUP(VLOOKUP($BJ10,坦克个性化设定!$B$18:$E$48,4,FALSE)&amp;$BK10,坦克属性分配比例,MATCH("升星次数",坦克属性分配比例标头,0),FALSE)*VLOOKUP($BJ10,$AR$3:$AY$33,MATCH("换弹时间",$AR$3:$AY$3,0),FALSE),1),0)</f>
        <v>8.4</v>
      </c>
      <c r="BX10" s="2">
        <f>ROUND(VLOOKUP($BJ10,$AI$3:$AO$33,MATCH(BX$3,$AI$3:$AO$3,0),FALSE)+$BL10/VLOOKUP(VLOOKUP($BJ10,坦克个性化设定!$B$18:$E$48,4,FALSE)&amp;$BK10,坦克属性分配比例,MATCH("升星次数",坦克属性分配比例标头,0),FALSE)*VLOOKUP($BJ10,$AR$3:$AY$33,MATCH(BX$3,$AR$3:$AY$3,0),FALSE),2)</f>
        <v>0.6</v>
      </c>
      <c r="BY10" s="2">
        <f>ROUND(VLOOKUP($BJ10,$AI$3:$AO$33,MATCH(BY$3,$AI$3:$AO$3,0),FALSE)-$BL10/VLOOKUP(VLOOKUP($BJ10,坦克个性化设定!$B$18:$E$48,4,FALSE)&amp;$BK10,坦克属性分配比例,MATCH("升星次数",坦克属性分配比例标头,0),FALSE)*VLOOKUP($BJ10,$AR$3:$AY$33,MATCH(BY$3,$AR$3:$AY$3,0),FALSE),2)</f>
        <v>0.39</v>
      </c>
      <c r="CA10" s="2">
        <v>7</v>
      </c>
      <c r="CB10" s="2" t="str">
        <f t="shared" si="15"/>
        <v>霞飞</v>
      </c>
      <c r="CC10" s="2" t="str">
        <f>VLOOKUP(CB10,坦克个性化设定!$B$18:$F$48,5,FALSE)</f>
        <v>轻坦弹夹</v>
      </c>
      <c r="CD10" s="29" t="str">
        <f>VLOOKUP(CB10,坦克个性化细分!$I$3:$J$33,2,FALSE)</f>
        <v>低</v>
      </c>
      <c r="CE10" s="42">
        <f ca="1">(VLOOKUP($CB10&amp;"最终",$S$3:$AE$63,MATCH(CE$3,$S$3:$AE$3,0),FALSE)-VLOOKUP($CB10&amp;"初始",$S$3:$AE$63,MATCH(CE$3,$S$3:$AE$3,0),FALSE))*VLOOKUP(VLOOKUP($CB10,坦克个性化设定!$B$18:$E$48,4,FALSE)&amp;$CD10,坦克属性分配比例,MATCH("部件比例",坦克属性分配比例标头,0),FALSE)</f>
        <v>288.86398766746743</v>
      </c>
      <c r="CF10" s="42">
        <f ca="1">(VLOOKUP($CB10&amp;"最终",$S$3:$AE$63,MATCH(CF$3,$S$3:$AE$3,0),FALSE)-VLOOKUP($CB10&amp;"初始",$S$3:$AE$63,MATCH(CF$3,$S$3:$AE$3,0),FALSE))*VLOOKUP(VLOOKUP($CB10,坦克个性化设定!$B$18:$E$48,4,FALSE)&amp;$CD10,坦克属性分配比例,MATCH("部件比例",坦克属性分配比例标头,0),FALSE)</f>
        <v>21.305188337415899</v>
      </c>
      <c r="CG10" s="42">
        <f ca="1">(VLOOKUP($CB10&amp;"最终",$S$3:$AE$63,MATCH(CG$3,$S$3:$AE$3,0),FALSE)-VLOOKUP($CB10&amp;"初始",$S$3:$AE$63,MATCH(CG$3,$S$3:$AE$3,0),FALSE))*VLOOKUP(VLOOKUP($CB10,坦克个性化设定!$B$18:$E$48,4,FALSE)&amp;$CD10,坦克属性分配比例,MATCH("部件比例",坦克属性分配比例标头,0),FALSE)*(1-$C$3)</f>
        <v>53.280000000000008</v>
      </c>
      <c r="CH10" s="42">
        <f ca="1">(VLOOKUP($CB10&amp;"最终",$S$3:$AE$63,MATCH(CH$3,$S$3:$AE$3,0),FALSE)-VLOOKUP($CB10&amp;"初始",$S$3:$AE$63,MATCH(CH$3,$S$3:$AE$3,0),FALSE))*VLOOKUP(VLOOKUP($CB10,坦克个性化设定!$B$18:$E$48,4,FALSE)&amp;$CD10,坦克属性分配比例,MATCH("部件比例",坦克属性分配比例标头,0),FALSE)*(1-$C$3)</f>
        <v>37.260000000000005</v>
      </c>
      <c r="CI10" s="42">
        <f ca="1">(VLOOKUP($CB10&amp;"最终",$S$3:$AE$63,MATCH(CI$3,$S$3:$AE$3,0),FALSE)-VLOOKUP($CB10&amp;"初始",$S$3:$AE$63,MATCH(CI$3,$S$3:$AE$3,0),FALSE))*VLOOKUP(VLOOKUP($CB10,坦克个性化设定!$B$18:$E$48,4,FALSE)&amp;$CD10,坦克属性分配比例,MATCH("部件比例",坦克属性分配比例标头,0),FALSE)</f>
        <v>121.5</v>
      </c>
    </row>
    <row r="11" spans="2:87" x14ac:dyDescent="0.3">
      <c r="B11" s="2">
        <v>6</v>
      </c>
      <c r="C11" s="2" t="str">
        <f>坦克个性化设定!B24</f>
        <v>AMX-13</v>
      </c>
      <c r="D11" s="2">
        <v>1331</v>
      </c>
      <c r="E11" s="2" t="s">
        <v>623</v>
      </c>
      <c r="F11" s="2">
        <v>0</v>
      </c>
      <c r="G11" s="25" t="str">
        <f t="shared" si="17"/>
        <v>AMX-13</v>
      </c>
      <c r="H11" s="2" t="str">
        <f>坦克等级成长!B20&amp;坦克等级成长!C20</f>
        <v>T4中</v>
      </c>
      <c r="I11" s="2">
        <v>11</v>
      </c>
      <c r="J11" s="2">
        <f>坦克等级成长!J20</f>
        <v>2</v>
      </c>
      <c r="K11" s="2">
        <f>坦克等级成长!K20</f>
        <v>2.96</v>
      </c>
      <c r="L11" s="2">
        <f>坦克等级成长!E20</f>
        <v>6</v>
      </c>
      <c r="M11" s="2">
        <f>IFERROR(VLOOKUP(L11,坦克部件!$N$3:$R$9,5,FALSE),VLOOKUP(L11-1,坦克部件!$N$3:$R$9,5,FALSE))</f>
        <v>0.35499999999999998</v>
      </c>
      <c r="N11" s="2">
        <f t="shared" si="0"/>
        <v>0.71</v>
      </c>
      <c r="O11" s="162">
        <f t="shared" si="1"/>
        <v>0.55000000000000004</v>
      </c>
      <c r="P11" s="155">
        <v>0.45</v>
      </c>
      <c r="Q11" s="163"/>
      <c r="R11" s="25"/>
      <c r="S11" s="2" t="str">
        <f t="shared" si="2"/>
        <v>35(t)最终</v>
      </c>
      <c r="T11" s="2">
        <f>IF(COUNTIF(U$4:U10,U10)&gt;=$B$3,T10+1,T10)</f>
        <v>4</v>
      </c>
      <c r="U11" s="2" t="str">
        <f t="shared" si="3"/>
        <v>35(t)</v>
      </c>
      <c r="V11" s="2" t="str">
        <f>VLOOKUP(U11,坦克个性化设定!$B$18:$F$48,5,FALSE)</f>
        <v>轻坦弹夹</v>
      </c>
      <c r="W11" s="29" t="str">
        <f>VLOOKUP(U11,坦克个性化细分!$I$3:$J$33,2,FALSE)</f>
        <v>低</v>
      </c>
      <c r="X11" s="2" t="str">
        <f t="shared" si="16"/>
        <v>最终</v>
      </c>
      <c r="Y11" s="2" t="str">
        <f>VLOOKUP(VLOOKUP(U11,坦克个性化设定!$B$18:$F$48,4,FALSE)&amp;W11,坦克等级成长!$P$12:$U$24,MATCH(X11,坦克等级成长!$P$12:$U$12,0),FALSE)</f>
        <v>T3低5</v>
      </c>
      <c r="Z11" s="42">
        <f ca="1">VLOOKUP($Y11,INDIRECT($V11&amp;"_阶段属性"),MATCH(Z$3,属性标头_阶段属性,0),FALSE)*VLOOKUP($U11,坦克个性化设定!$B$84:$D$114,2,FALSE)</f>
        <v>1724.1746625470419</v>
      </c>
      <c r="AA11" s="42">
        <f ca="1">VLOOKUP($Y11,INDIRECT($V11&amp;"_阶段属性"),MATCH(AA$3,属性标头_阶段属性,0),FALSE)*VLOOKUP($U11,坦克个性化设定!$B$84:$D$114,3,FALSE)</f>
        <v>147.87518042931802</v>
      </c>
      <c r="AB11" s="2">
        <f t="shared" ca="1" si="4"/>
        <v>713</v>
      </c>
      <c r="AC11" s="2">
        <f t="shared" ca="1" si="4"/>
        <v>499</v>
      </c>
      <c r="AD11" s="2">
        <f t="shared" ca="1" si="4"/>
        <v>651</v>
      </c>
      <c r="AE11" s="2">
        <f t="shared" ca="1" si="4"/>
        <v>174</v>
      </c>
      <c r="AF11" s="25"/>
      <c r="AH11" s="2">
        <v>8</v>
      </c>
      <c r="AI11" s="2" t="str">
        <f t="shared" si="5"/>
        <v>M-41</v>
      </c>
      <c r="AJ11" s="2">
        <f>VLOOKUP($AI11,坦克个性化细分!$I$3:$P$33,MATCH(AJ$3,坦克个性化细分!$I$3:$P$3,0),FALSE)</f>
        <v>38.5</v>
      </c>
      <c r="AK11" s="2">
        <f>VLOOKUP($AI11,坦克个性化细分!$I$3:$P$33,MATCH(AK$3,坦克个性化细分!$I$3:$P$3,0),FALSE)</f>
        <v>57.4</v>
      </c>
      <c r="AL11" s="2">
        <f>VLOOKUP($AI11,坦克个性化细分!$I$3:$P$33,MATCH(AL$3,坦克个性化细分!$I$3:$P$3,0),FALSE)</f>
        <v>9.6</v>
      </c>
      <c r="AM11" s="34">
        <f>VLOOKUP(AI11,坦克个性化细分!$AA$3:$AP$33,MATCH("射击偏移角",坦克个性化细分!$AA$3:$AP$3,0),FALSE)/VLOOKUP(AI11,坦克个性化细分!$AA$3:$AP$33,MATCH("原瞄准速度",坦克个性化细分!$AA$3:$AP$3,0),FALSE)</f>
        <v>0.49166666666666664</v>
      </c>
      <c r="AN11" s="34">
        <f>VLOOKUP(AI11,坦克个性化细分!$AA$3:$AP$33,MATCH(AN$3,坦克个性化细分!$AA$3:$AP$3,0),FALSE)</f>
        <v>0.8</v>
      </c>
      <c r="AO11" s="2">
        <f>VLOOKUP(AI11,坦克个性化细分!$AA$3:$AP$33,MATCH("原换弹时间",坦克个性化细分!$AA$3:$AP$3,0),FALSE)</f>
        <v>8.3999999999999986</v>
      </c>
      <c r="AP11" s="133"/>
      <c r="AQ11" s="2">
        <v>8</v>
      </c>
      <c r="AR11" s="2" t="str">
        <f t="shared" si="6"/>
        <v>M-41</v>
      </c>
      <c r="AS11" s="2" t="s">
        <v>83</v>
      </c>
      <c r="AT11" s="34">
        <f>VLOOKUP(AR11,坦克个性化细分!$I$3:$P$33,MATCH("养成区间1",坦克个性化细分!$I$3:$P$3,0),FALSE)</f>
        <v>9.6249999999999982</v>
      </c>
      <c r="AU11" s="2">
        <f>VLOOKUP(AR11,坦克个性化细分!$I$3:$P$33,MATCH("养成区间2",坦克个性化细分!$I$3:$P$3,0),FALSE)</f>
        <v>14.349999999999996</v>
      </c>
      <c r="AV11" s="2">
        <f>VLOOKUP(AR11,坦克个性化细分!$I$3:$P$33,MATCH("养成区间3",坦克个性化细分!$I$3:$P$3,0),FALSE)</f>
        <v>0</v>
      </c>
      <c r="AW11" s="34">
        <f>VLOOKUP(AR11,坦克个性化细分!$AA$3:$AP$33,MATCH("瞄准区间",坦克个性化细分!$AA$3:$AP$3,0),FALSE)</f>
        <v>8.1944444444444431E-2</v>
      </c>
      <c r="AX11" s="34">
        <f>VLOOKUP(AI11,坦克个性化细分!$AA$3:$AP$33,MATCH("后射击间隔",坦克个性化细分!$AA$3:$AP$3,0),FALSE)-VLOOKUP(AI11,坦克个性化细分!$AA$3:$AP$33,MATCH(AN$3,坦克个性化细分!$AA$3:$AP$3,0),FALSE)</f>
        <v>0</v>
      </c>
      <c r="AY11" s="34">
        <f>VLOOKUP(AR11,坦克个性化细分!$AA$3:$AP$33,MATCH("换弹区间",坦克个性化细分!$AA$3:$AP$3,0),FALSE)</f>
        <v>2.871330946957368</v>
      </c>
      <c r="AZ11" s="133"/>
      <c r="BA11" s="34">
        <f t="shared" si="8"/>
        <v>0.24999999999999994</v>
      </c>
      <c r="BB11" s="34">
        <f t="shared" si="9"/>
        <v>0.24999999999999994</v>
      </c>
      <c r="BC11" s="34">
        <f t="shared" si="10"/>
        <v>0</v>
      </c>
      <c r="BD11" s="34">
        <f t="shared" si="11"/>
        <v>0.16666666666666666</v>
      </c>
      <c r="BE11" s="34">
        <f t="shared" si="12"/>
        <v>0.34182511273302008</v>
      </c>
      <c r="BF11" s="34"/>
      <c r="BG11" s="133"/>
      <c r="BH11" s="2" t="str">
        <f t="shared" si="13"/>
        <v>二号1</v>
      </c>
      <c r="BI11" s="2">
        <f>IF(BL10&gt;=VLOOKUP(VLOOKUP(BJ10,坦克个性化设定!$B$18:$E$48,4,FALSE)&amp;BK10,坦克属性分配比例,MATCH("升星次数",坦克属性分配比例标头,0),FALSE),BI10+1,BI10)</f>
        <v>2</v>
      </c>
      <c r="BJ11" s="2" t="str">
        <f t="shared" si="14"/>
        <v>二号</v>
      </c>
      <c r="BK11" s="29" t="str">
        <f>VLOOKUP(BJ11,坦克个性化细分!$I$3:$J$33,2,FALSE)</f>
        <v>低</v>
      </c>
      <c r="BL11" s="2">
        <f t="shared" si="7"/>
        <v>1</v>
      </c>
      <c r="BM11" s="103">
        <f ca="1">ROUND(VLOOKUP($BJ11&amp;"初始",$S$3:$AE$63,MATCH(BM$3,$S$3:$AE$3,0),FALSE)+((VLOOKUP($BJ11&amp;"最终",$S$3:$AE$63,MATCH(BM$3,$S$3:$AE$3,0),FALSE)*坦克个性化细分!$C$9-VLOOKUP($BJ11&amp;"初始",$S$3:$AE$63,MATCH(BM$3,$S$3:$AE$3,0),FALSE))-(VLOOKUP($BJ11&amp;"最终",$S$3:$AE$63,MATCH(BM$3,$S$3:$AE$3,0),FALSE)-VLOOKUP($BJ11&amp;"初始",$S$3:$AE$63,MATCH(BM$3,$S$3:$AE$3,0),FALSE))*VLOOKUP(VLOOKUP($BJ11,坦克个性化设定!$B$18:$E$48,4,FALSE)&amp;$BK11,坦克属性分配比例,MATCH("部件比例",坦克属性分配比例标头,0),FALSE))*$BL11/VLOOKUP(VLOOKUP($BJ11,坦克个性化设定!$B$18:$E$48,4,FALSE)&amp;$BK11,坦克属性分配比例,MATCH("升星次数",坦克属性分配比例标头,0),FALSE),0)</f>
        <v>934</v>
      </c>
      <c r="BN11" s="103">
        <f ca="1">ROUND(VLOOKUP($BJ11&amp;"初始",$S$3:$AE$63,MATCH(BN$3,$S$3:$AE$3,0),FALSE)+(VLOOKUP($BJ11&amp;"最终",$S$3:$AE$63,MATCH(BN$3,$S$3:$AE$3,0),FALSE)-VLOOKUP($BJ11&amp;"初始",$S$3:$AE$63,MATCH(BN$3,$S$3:$AE$3,0),FALSE))*$BL11/VLOOKUP(VLOOKUP($BJ11,坦克个性化设定!$B$18:$E$48,4,FALSE)&amp;$BK11,坦克属性分配比例,MATCH("升星次数",坦克属性分配比例标头,0),FALSE)*VLOOKUP(VLOOKUP($BJ11,坦克个性化设定!$B$18:$E$48,4,FALSE)&amp;$BK11,坦克属性分配比例,MATCH("升星比例",坦克属性分配比例标头,0),FALSE),0)</f>
        <v>74</v>
      </c>
      <c r="BO11" s="103">
        <f ca="1">ROUND(VLOOKUP($BJ11&amp;"初始",$S$3:$AE$63,MATCH(BO$3,$S$3:$AE$3,0),FALSE)+(VLOOKUP($BJ11&amp;"最终",$S$3:$AE$63,MATCH(BO$3,$S$3:$AE$3,0),FALSE)-VLOOKUP($BJ11&amp;"初始",$S$3:$AE$63,MATCH(BO$3,$S$3:$AE$3,0),FALSE))*$BL11/VLOOKUP(VLOOKUP($BJ11,坦克个性化设定!$B$18:$E$48,4,FALSE)&amp;$BK11,坦克属性分配比例,MATCH("升星次数",坦克属性分配比例标头,0),FALSE)*(VLOOKUP(VLOOKUP($BJ11,坦克个性化设定!$B$18:$E$48,4,FALSE)&amp;$BK11,坦克属性分配比例,MATCH("升星比例",坦克属性分配比例标头,0),FALSE)+VLOOKUP(VLOOKUP($BJ11,坦克个性化设定!$B$18:$E$48,4,FALSE)&amp;$BK11,坦克属性分配比例,MATCH("部件比例",坦克属性分配比例标头,0),FALSE)*$C$3),0)</f>
        <v>414</v>
      </c>
      <c r="BP11" s="103">
        <f ca="1">ROUND(VLOOKUP($BJ11&amp;"初始",$S$3:$AE$63,MATCH(BP$3,$S$3:$AE$3,0),FALSE)+(VLOOKUP($BJ11&amp;"最终",$S$3:$AE$63,MATCH(BP$3,$S$3:$AE$3,0),FALSE)-VLOOKUP($BJ11&amp;"初始",$S$3:$AE$63,MATCH(BP$3,$S$3:$AE$3,0),FALSE))*$BL11/VLOOKUP(VLOOKUP($BJ11,坦克个性化设定!$B$18:$E$48,4,FALSE)&amp;$BK11,坦克属性分配比例,MATCH("升星次数",坦克属性分配比例标头,0),FALSE)*(VLOOKUP(VLOOKUP($BJ11,坦克个性化设定!$B$18:$E$48,4,FALSE)&amp;$BK11,坦克属性分配比例,MATCH("升星比例",坦克属性分配比例标头,0),FALSE)+VLOOKUP(VLOOKUP($BJ11,坦克个性化设定!$B$18:$E$48,4,FALSE)&amp;$BK11,坦克属性分配比例,MATCH("部件比例",坦克属性分配比例标头,0),FALSE)*$C$3),0)</f>
        <v>290</v>
      </c>
      <c r="BQ11" s="103">
        <f ca="1">ROUND(VLOOKUP($BJ11&amp;"初始",$S$3:$AE$63,MATCH(BQ$3,$S$3:$AE$3,0),FALSE)+(VLOOKUP($BJ11&amp;"最终",$S$3:$AE$63,MATCH(BQ$3,$S$3:$AE$3,0),FALSE)-VLOOKUP($BJ11&amp;"初始",$S$3:$AE$63,MATCH(BQ$3,$S$3:$AE$3,0),FALSE))*$BL11/VLOOKUP(VLOOKUP($BJ11,坦克个性化设定!$B$18:$E$48,4,FALSE)&amp;$BK11,坦克属性分配比例,MATCH("升星次数",坦克属性分配比例标头,0),FALSE)*VLOOKUP(VLOOKUP($BJ11,坦克个性化设定!$B$18:$E$48,4,FALSE)&amp;$BK11,坦克属性分配比例,MATCH("升星比例",坦克属性分配比例标头,0),FALSE),0)</f>
        <v>374</v>
      </c>
      <c r="BR11" s="2">
        <f ca="1">ROUND(VLOOKUP($BJ11&amp;"初始",$S$3:$AE$63,MATCH(BR$3,$S$3:$AE$3,0),FALSE)+(VLOOKUP($BJ11&amp;"最终",$S$3:$AE$63,MATCH(BR$3,$S$3:$AE$3,0),FALSE)-VLOOKUP($BJ11&amp;"初始",$S$3:$AE$63,MATCH(BR$3,$S$3:$AE$3,0),FALSE))*$BL11/VLOOKUP(VLOOKUP($BJ11,坦克个性化设定!$B$18:$E$48,4,FALSE)&amp;$BK11,坦克属性分配比例,MATCH("升星次数",坦克属性分配比例标头,0),FALSE),0)</f>
        <v>102</v>
      </c>
      <c r="BS11" s="2">
        <f>ROUND(VLOOKUP($BJ11,$AI$3:$AO$33,MATCH(BS$3,$AI$3:$AO$3,0),FALSE)+$BL11/VLOOKUP(VLOOKUP($BJ11,坦克个性化设定!$B$18:$E$48,4,FALSE)&amp;$BK11,坦克属性分配比例,MATCH("升星次数",坦克属性分配比例标头,0),FALSE)*VLOOKUP($BJ11,$AR$3:$AY$33,MATCH(BS$3,$AR$3:$AY$3,0),FALSE),1)</f>
        <v>48.8</v>
      </c>
      <c r="BT11" s="2">
        <f>ROUND(VLOOKUP($BJ11,$AI$3:$AO$33,MATCH(BT$3,$AI$3:$AO$3,0),FALSE)+$BL11/VLOOKUP(VLOOKUP($BJ11,坦克个性化设定!$B$18:$E$48,4,FALSE)&amp;$BK11,坦克属性分配比例,MATCH("升星次数",坦克属性分配比例标头,0),FALSE)*VLOOKUP($BJ11,$AR$3:$AY$33,MATCH(BT$3,$AR$3:$AY$3,0),FALSE),1)</f>
        <v>46.6</v>
      </c>
      <c r="BU11" s="2">
        <f>ROUND(VLOOKUP($BJ11,$AI$3:$AO$33,MATCH(BU$3,$AI$3:$AO$3,0),FALSE)+$BL11/VLOOKUP(VLOOKUP($BJ11,坦克个性化设定!$B$18:$E$48,4,FALSE)&amp;$BK11,坦克属性分配比例,MATCH("升星次数",坦克属性分配比例标头,0),FALSE)*VLOOKUP($BJ11,$AR$3:$AY$33,MATCH(BU$3,$AR$3:$AY$3,0),FALSE),1)</f>
        <v>10.5</v>
      </c>
      <c r="BV11" s="2">
        <f>IF(VLOOKUP(BJ11,坦克个性化设定!$B$18:$BC$48,MATCH("装弹类型",坦克个性化设定!$B$18:$BC$18,0),FALSE)="弹夹换弹",0,ROUND(VLOOKUP($BJ11,$AI$3:$AO$33,MATCH("换弹时间",$AI$3:$AO$3,0),FALSE)-$BL11/VLOOKUP(VLOOKUP($BJ11,坦克个性化设定!$B$18:$E$48,4,FALSE)&amp;$BK11,坦克属性分配比例,MATCH("升星次数",坦克属性分配比例标头,0),FALSE)*VLOOKUP($BJ11,$AR$3:$AY$33,MATCH("换弹时间",$AR$3:$AY$3,0),FALSE),2))</f>
        <v>0</v>
      </c>
      <c r="BW11" s="2">
        <f>IF(VLOOKUP(BJ11,坦克个性化设定!$B$18:$BC$48,MATCH("装弹类型",坦克个性化设定!$B$18:$BC$18,0),FALSE)="弹夹换弹",ROUND(VLOOKUP($BJ11,$AI$3:$AO$33,MATCH("换弹时间",$AI$3:$AO$3,0),FALSE)-$BL11/VLOOKUP(VLOOKUP($BJ11,坦克个性化设定!$B$18:$E$48,4,FALSE)&amp;$BK11,坦克属性分配比例,MATCH("升星次数",坦克属性分配比例标头,0),FALSE)*VLOOKUP($BJ11,$AR$3:$AY$33,MATCH("换弹时间",$AR$3:$AY$3,0),FALSE),1),0)</f>
        <v>8</v>
      </c>
      <c r="BX11" s="2">
        <f>ROUND(VLOOKUP($BJ11,$AI$3:$AO$33,MATCH(BX$3,$AI$3:$AO$3,0),FALSE)+$BL11/VLOOKUP(VLOOKUP($BJ11,坦克个性化设定!$B$18:$E$48,4,FALSE)&amp;$BK11,坦克属性分配比例,MATCH("升星次数",坦克属性分配比例标头,0),FALSE)*VLOOKUP($BJ11,$AR$3:$AY$33,MATCH(BX$3,$AR$3:$AY$3,0),FALSE),2)</f>
        <v>0.6</v>
      </c>
      <c r="BY11" s="2">
        <f>ROUND(VLOOKUP($BJ11,$AI$3:$AO$33,MATCH(BY$3,$AI$3:$AO$3,0),FALSE)-$BL11/VLOOKUP(VLOOKUP($BJ11,坦克个性化设定!$B$18:$E$48,4,FALSE)&amp;$BK11,坦克属性分配比例,MATCH("升星次数",坦克属性分配比例标头,0),FALSE)*VLOOKUP($BJ11,$AR$3:$AY$33,MATCH(BY$3,$AR$3:$AY$3,0),FALSE),2)</f>
        <v>0.38</v>
      </c>
      <c r="BZ11" s="134"/>
      <c r="CA11" s="2">
        <v>8</v>
      </c>
      <c r="CB11" s="2" t="str">
        <f t="shared" si="15"/>
        <v>M-41</v>
      </c>
      <c r="CC11" s="2" t="str">
        <f>VLOOKUP(CB11,坦克个性化设定!$B$18:$F$48,5,FALSE)</f>
        <v>轻坦弹夹</v>
      </c>
      <c r="CD11" s="29" t="str">
        <f>VLOOKUP(CB11,坦克个性化细分!$I$3:$J$33,2,FALSE)</f>
        <v>中</v>
      </c>
      <c r="CE11" s="42">
        <f ca="1">(VLOOKUP($CB11&amp;"最终",$S$3:$AE$63,MATCH(CE$3,$S$3:$AE$3,0),FALSE)-VLOOKUP($CB11&amp;"初始",$S$3:$AE$63,MATCH(CE$3,$S$3:$AE$3,0),FALSE))*VLOOKUP(VLOOKUP($CB11,坦克个性化设定!$B$18:$E$48,4,FALSE)&amp;$CD11,坦克属性分配比例,MATCH("部件比例",坦克属性分配比例标头,0),FALSE)</f>
        <v>353.62862370120769</v>
      </c>
      <c r="CF11" s="42">
        <f ca="1">(VLOOKUP($CB11&amp;"最终",$S$3:$AE$63,MATCH(CF$3,$S$3:$AE$3,0),FALSE)-VLOOKUP($CB11&amp;"初始",$S$3:$AE$63,MATCH(CF$3,$S$3:$AE$3,0),FALSE))*VLOOKUP(VLOOKUP($CB11,坦克个性化设定!$B$18:$E$48,4,FALSE)&amp;$CD11,坦克属性分配比例,MATCH("部件比例",坦克属性分配比例标头,0),FALSE)</f>
        <v>24.006146915628079</v>
      </c>
      <c r="CG11" s="42">
        <f ca="1">(VLOOKUP($CB11&amp;"最终",$S$3:$AE$63,MATCH(CG$3,$S$3:$AE$3,0),FALSE)-VLOOKUP($CB11&amp;"初始",$S$3:$AE$63,MATCH(CG$3,$S$3:$AE$3,0),FALSE))*VLOOKUP(VLOOKUP($CB11,坦克个性化设定!$B$18:$E$48,4,FALSE)&amp;$CD11,坦克属性分配比例,MATCH("部件比例",坦克属性分配比例标头,0),FALSE)*(1-$C$3)</f>
        <v>56.88000000000001</v>
      </c>
      <c r="CH11" s="42">
        <f ca="1">(VLOOKUP($CB11&amp;"最终",$S$3:$AE$63,MATCH(CH$3,$S$3:$AE$3,0),FALSE)-VLOOKUP($CB11&amp;"初始",$S$3:$AE$63,MATCH(CH$3,$S$3:$AE$3,0),FALSE))*VLOOKUP(VLOOKUP($CB11,坦克个性化设定!$B$18:$E$48,4,FALSE)&amp;$CD11,坦克属性分配比例,MATCH("部件比例",坦克属性分配比例标头,0),FALSE)*(1-$C$3)</f>
        <v>39.78</v>
      </c>
      <c r="CI11" s="42">
        <f ca="1">(VLOOKUP($CB11&amp;"最终",$S$3:$AE$63,MATCH(CI$3,$S$3:$AE$3,0),FALSE)-VLOOKUP($CB11&amp;"初始",$S$3:$AE$63,MATCH(CI$3,$S$3:$AE$3,0),FALSE))*VLOOKUP(VLOOKUP($CB11,坦克个性化设定!$B$18:$E$48,4,FALSE)&amp;$CD11,坦克属性分配比例,MATCH("部件比例",坦克属性分配比例标头,0),FALSE)</f>
        <v>129.6</v>
      </c>
    </row>
    <row r="12" spans="2:87" x14ac:dyDescent="0.3">
      <c r="B12" s="2">
        <v>7</v>
      </c>
      <c r="C12" s="2" t="str">
        <f>坦克个性化设定!B25</f>
        <v>霞飞</v>
      </c>
      <c r="D12" s="2">
        <v>1411</v>
      </c>
      <c r="E12" s="2" t="s">
        <v>625</v>
      </c>
      <c r="F12" s="2">
        <v>0</v>
      </c>
      <c r="G12" s="25" t="str">
        <f t="shared" si="17"/>
        <v>霞飞</v>
      </c>
      <c r="H12" s="2" t="str">
        <f>坦克等级成长!B21&amp;坦克等级成长!C21</f>
        <v>T4高</v>
      </c>
      <c r="I12" s="2">
        <v>11</v>
      </c>
      <c r="J12" s="2">
        <f>坦克等级成长!J21</f>
        <v>2</v>
      </c>
      <c r="K12" s="2">
        <f>坦克等级成长!K21</f>
        <v>3.0199999999999996</v>
      </c>
      <c r="L12" s="2">
        <f>坦克等级成长!E21</f>
        <v>6</v>
      </c>
      <c r="M12" s="2">
        <f>IFERROR(VLOOKUP(L12,坦克部件!$N$3:$R$9,5,FALSE),VLOOKUP(L12-1,坦克部件!$N$3:$R$9,5,FALSE))</f>
        <v>0.35499999999999998</v>
      </c>
      <c r="N12" s="2">
        <f t="shared" si="0"/>
        <v>0.71</v>
      </c>
      <c r="O12" s="162">
        <f t="shared" si="1"/>
        <v>0.55000000000000004</v>
      </c>
      <c r="P12" s="155">
        <v>0.45</v>
      </c>
      <c r="Q12" s="163"/>
      <c r="R12" s="25"/>
      <c r="S12" s="2" t="str">
        <f t="shared" si="2"/>
        <v>十字军初始</v>
      </c>
      <c r="T12" s="2">
        <f>IF(COUNTIF(U$4:U11,U11)&gt;=$B$3,T11+1,T11)</f>
        <v>5</v>
      </c>
      <c r="U12" s="2" t="str">
        <f t="shared" si="3"/>
        <v>十字军</v>
      </c>
      <c r="V12" s="2" t="str">
        <f>VLOOKUP(U12,坦克个性化设定!$B$18:$F$48,5,FALSE)</f>
        <v>轻坦弹夹</v>
      </c>
      <c r="W12" s="29" t="str">
        <f>VLOOKUP(U12,坦克个性化细分!$I$3:$J$33,2,FALSE)</f>
        <v>中</v>
      </c>
      <c r="X12" s="2" t="str">
        <f t="shared" si="16"/>
        <v>初始</v>
      </c>
      <c r="Y12" s="2" t="str">
        <f>VLOOKUP(VLOOKUP(U12,坦克个性化设定!$B$18:$F$48,4,FALSE)&amp;W12,坦克等级成长!$P$12:$U$24,MATCH(X12,坦克等级成长!$P$12:$U$12,0),FALSE)</f>
        <v>T3中3</v>
      </c>
      <c r="Z12" s="42">
        <f ca="1">VLOOKUP($Y12,INDIRECT($V12&amp;"_阶段属性"),MATCH(Z$3,属性标头_阶段属性,0),FALSE)*VLOOKUP($U12,坦克个性化设定!$B$84:$D$114,2,FALSE)</f>
        <v>1263.5443037169016</v>
      </c>
      <c r="AA12" s="42">
        <f ca="1">VLOOKUP($Y12,INDIRECT($V12&amp;"_阶段属性"),MATCH(AA$3,属性标头_阶段属性,0),FALSE)*VLOOKUP($U12,坦克个性化设定!$B$84:$D$114,3,FALSE)</f>
        <v>70.947632552320371</v>
      </c>
      <c r="AB12" s="2">
        <f t="shared" ca="1" si="4"/>
        <v>506</v>
      </c>
      <c r="AC12" s="2">
        <f t="shared" ca="1" si="4"/>
        <v>354</v>
      </c>
      <c r="AD12" s="2">
        <f t="shared" ca="1" si="4"/>
        <v>462</v>
      </c>
      <c r="AE12" s="2">
        <f t="shared" ca="1" si="4"/>
        <v>123</v>
      </c>
      <c r="AF12" s="25"/>
      <c r="AH12" s="2">
        <v>9</v>
      </c>
      <c r="AI12" s="2" t="str">
        <f t="shared" si="5"/>
        <v>BMP-3</v>
      </c>
      <c r="AJ12" s="2">
        <f>VLOOKUP($AI12,坦克个性化细分!$I$3:$P$33,MATCH(AJ$3,坦克个性化细分!$I$3:$P$3,0),FALSE)</f>
        <v>44.5</v>
      </c>
      <c r="AK12" s="2">
        <f>VLOOKUP($AI12,坦克个性化细分!$I$3:$P$33,MATCH(AK$3,坦克个性化细分!$I$3:$P$3,0),FALSE)</f>
        <v>52.5</v>
      </c>
      <c r="AL12" s="2">
        <f>VLOOKUP($AI12,坦克个性化细分!$I$3:$P$33,MATCH(AL$3,坦克个性化细分!$I$3:$P$3,0),FALSE)</f>
        <v>10.5</v>
      </c>
      <c r="AM12" s="34">
        <f>VLOOKUP(AI12,坦克个性化细分!$AA$3:$AP$33,MATCH("射击偏移角",坦克个性化细分!$AA$3:$AP$3,0),FALSE)/VLOOKUP(AI12,坦克个性化细分!$AA$3:$AP$33,MATCH("原瞄准速度",坦克个性化细分!$AA$3:$AP$3,0),FALSE)</f>
        <v>0.57499999999999996</v>
      </c>
      <c r="AN12" s="34">
        <f>VLOOKUP(AI12,坦克个性化细分!$AA$3:$AP$33,MATCH(AN$3,坦克个性化细分!$AA$3:$AP$3,0),FALSE)</f>
        <v>0.8</v>
      </c>
      <c r="AO12" s="2">
        <f>VLOOKUP(AI12,坦克个性化细分!$AA$3:$AP$33,MATCH("原换弹时间",坦克个性化细分!$AA$3:$AP$3,0),FALSE)</f>
        <v>4.1999999999999993</v>
      </c>
      <c r="AP12" s="133"/>
      <c r="AQ12" s="2">
        <v>9</v>
      </c>
      <c r="AR12" s="2" t="str">
        <f t="shared" si="6"/>
        <v>BMP-3</v>
      </c>
      <c r="AS12" s="2" t="s">
        <v>79</v>
      </c>
      <c r="AT12" s="34">
        <f>VLOOKUP(AR12,坦克个性化细分!$I$3:$P$33,MATCH("养成区间1",坦克个性化细分!$I$3:$P$3,0),FALSE)</f>
        <v>11.124999999999998</v>
      </c>
      <c r="AU12" s="2">
        <f>VLOOKUP(AR12,坦克个性化细分!$I$3:$P$33,MATCH("养成区间2",坦克个性化细分!$I$3:$P$3,0),FALSE)</f>
        <v>13.124999999999996</v>
      </c>
      <c r="AV12" s="2">
        <f>VLOOKUP(AR12,坦克个性化细分!$I$3:$P$33,MATCH("养成区间3",坦克个性化细分!$I$3:$P$3,0),FALSE)</f>
        <v>0</v>
      </c>
      <c r="AW12" s="34">
        <f>VLOOKUP(AR12,坦克个性化细分!$AA$3:$AP$33,MATCH("瞄准区间",坦克个性化细分!$AA$3:$AP$3,0),FALSE)</f>
        <v>9.5833333333333326E-2</v>
      </c>
      <c r="AX12" s="34">
        <f>VLOOKUP(AI12,坦克个性化细分!$AA$3:$AP$33,MATCH("后射击间隔",坦克个性化细分!$AA$3:$AP$3,0),FALSE)-VLOOKUP(AI12,坦克个性化细分!$AA$3:$AP$33,MATCH(AN$3,坦克个性化细分!$AA$3:$AP$3,0),FALSE)</f>
        <v>0</v>
      </c>
      <c r="AY12" s="34">
        <f>VLOOKUP(AR12,坦克个性化细分!$AA$3:$AP$33,MATCH("换弹区间",坦克个性化细分!$AA$3:$AP$3,0),FALSE)</f>
        <v>1.2031997562090515</v>
      </c>
      <c r="AZ12" s="133"/>
      <c r="BA12" s="34">
        <f t="shared" si="8"/>
        <v>0.24999999999999997</v>
      </c>
      <c r="BB12" s="34">
        <f t="shared" si="9"/>
        <v>0.24999999999999994</v>
      </c>
      <c r="BC12" s="34">
        <f t="shared" si="10"/>
        <v>0</v>
      </c>
      <c r="BD12" s="34">
        <f t="shared" si="11"/>
        <v>0.16666666666666666</v>
      </c>
      <c r="BE12" s="34">
        <f t="shared" si="12"/>
        <v>0.28647613243072662</v>
      </c>
      <c r="BF12" s="34"/>
      <c r="BG12" s="133"/>
      <c r="BH12" s="2" t="str">
        <f t="shared" si="13"/>
        <v>二号2</v>
      </c>
      <c r="BI12" s="2">
        <f>IF(BL11&gt;=VLOOKUP(VLOOKUP(BJ11,坦克个性化设定!$B$18:$E$48,4,FALSE)&amp;BK11,坦克属性分配比例,MATCH("升星次数",坦克属性分配比例标头,0),FALSE),BI11+1,BI11)</f>
        <v>2</v>
      </c>
      <c r="BJ12" s="2" t="str">
        <f t="shared" si="14"/>
        <v>二号</v>
      </c>
      <c r="BK12" s="29" t="str">
        <f>VLOOKUP(BJ12,坦克个性化细分!$I$3:$J$33,2,FALSE)</f>
        <v>低</v>
      </c>
      <c r="BL12" s="2">
        <f t="shared" si="7"/>
        <v>2</v>
      </c>
      <c r="BM12" s="103">
        <f ca="1">ROUND(VLOOKUP($BJ12&amp;"初始",$S$3:$AE$63,MATCH(BM$3,$S$3:$AE$3,0),FALSE)+((VLOOKUP($BJ12&amp;"最终",$S$3:$AE$63,MATCH(BM$3,$S$3:$AE$3,0),FALSE)*坦克个性化细分!$C$9-VLOOKUP($BJ12&amp;"初始",$S$3:$AE$63,MATCH(BM$3,$S$3:$AE$3,0),FALSE))-(VLOOKUP($BJ12&amp;"最终",$S$3:$AE$63,MATCH(BM$3,$S$3:$AE$3,0),FALSE)-VLOOKUP($BJ12&amp;"初始",$S$3:$AE$63,MATCH(BM$3,$S$3:$AE$3,0),FALSE))*VLOOKUP(VLOOKUP($BJ12,坦克个性化设定!$B$18:$E$48,4,FALSE)&amp;$BK12,坦克属性分配比例,MATCH("部件比例",坦克属性分配比例标头,0),FALSE))*$BL12/VLOOKUP(VLOOKUP($BJ12,坦克个性化设定!$B$18:$E$48,4,FALSE)&amp;$BK12,坦克属性分配比例,MATCH("升星次数",坦克属性分配比例标头,0),FALSE),0)</f>
        <v>991</v>
      </c>
      <c r="BN12" s="103">
        <f ca="1">ROUND(VLOOKUP($BJ12&amp;"初始",$S$3:$AE$63,MATCH(BN$3,$S$3:$AE$3,0),FALSE)+(VLOOKUP($BJ12&amp;"最终",$S$3:$AE$63,MATCH(BN$3,$S$3:$AE$3,0),FALSE)-VLOOKUP($BJ12&amp;"初始",$S$3:$AE$63,MATCH(BN$3,$S$3:$AE$3,0),FALSE))*$BL12/VLOOKUP(VLOOKUP($BJ12,坦克个性化设定!$B$18:$E$48,4,FALSE)&amp;$BK12,坦克属性分配比例,MATCH("升星次数",坦克属性分配比例标头,0),FALSE)*VLOOKUP(VLOOKUP($BJ12,坦克个性化设定!$B$18:$E$48,4,FALSE)&amp;$BK12,坦克属性分配比例,MATCH("升星比例",坦克属性分配比例标头,0),FALSE),0)</f>
        <v>77</v>
      </c>
      <c r="BO12" s="103">
        <f ca="1">ROUND(VLOOKUP($BJ12&amp;"初始",$S$3:$AE$63,MATCH(BO$3,$S$3:$AE$3,0),FALSE)+(VLOOKUP($BJ12&amp;"最终",$S$3:$AE$63,MATCH(BO$3,$S$3:$AE$3,0),FALSE)-VLOOKUP($BJ12&amp;"初始",$S$3:$AE$63,MATCH(BO$3,$S$3:$AE$3,0),FALSE))*$BL12/VLOOKUP(VLOOKUP($BJ12,坦克个性化设定!$B$18:$E$48,4,FALSE)&amp;$BK12,坦克属性分配比例,MATCH("升星次数",坦克属性分配比例标头,0),FALSE)*(VLOOKUP(VLOOKUP($BJ12,坦克个性化设定!$B$18:$E$48,4,FALSE)&amp;$BK12,坦克属性分配比例,MATCH("升星比例",坦克属性分配比例标头,0),FALSE)+VLOOKUP(VLOOKUP($BJ12,坦克个性化设定!$B$18:$E$48,4,FALSE)&amp;$BK12,坦克属性分配比例,MATCH("部件比例",坦克属性分配比例标头,0),FALSE)*$C$3),0)</f>
        <v>435</v>
      </c>
      <c r="BP12" s="103">
        <f ca="1">ROUND(VLOOKUP($BJ12&amp;"初始",$S$3:$AE$63,MATCH(BP$3,$S$3:$AE$3,0),FALSE)+(VLOOKUP($BJ12&amp;"最终",$S$3:$AE$63,MATCH(BP$3,$S$3:$AE$3,0),FALSE)-VLOOKUP($BJ12&amp;"初始",$S$3:$AE$63,MATCH(BP$3,$S$3:$AE$3,0),FALSE))*$BL12/VLOOKUP(VLOOKUP($BJ12,坦克个性化设定!$B$18:$E$48,4,FALSE)&amp;$BK12,坦克属性分配比例,MATCH("升星次数",坦克属性分配比例标头,0),FALSE)*(VLOOKUP(VLOOKUP($BJ12,坦克个性化设定!$B$18:$E$48,4,FALSE)&amp;$BK12,坦克属性分配比例,MATCH("升星比例",坦克属性分配比例标头,0),FALSE)+VLOOKUP(VLOOKUP($BJ12,坦克个性化设定!$B$18:$E$48,4,FALSE)&amp;$BK12,坦克属性分配比例,MATCH("部件比例",坦克属性分配比例标头,0),FALSE)*$C$3),0)</f>
        <v>304</v>
      </c>
      <c r="BQ12" s="103">
        <f ca="1">ROUND(VLOOKUP($BJ12&amp;"初始",$S$3:$AE$63,MATCH(BQ$3,$S$3:$AE$3,0),FALSE)+(VLOOKUP($BJ12&amp;"最终",$S$3:$AE$63,MATCH(BQ$3,$S$3:$AE$3,0),FALSE)-VLOOKUP($BJ12&amp;"初始",$S$3:$AE$63,MATCH(BQ$3,$S$3:$AE$3,0),FALSE))*$BL12/VLOOKUP(VLOOKUP($BJ12,坦克个性化设定!$B$18:$E$48,4,FALSE)&amp;$BK12,坦克属性分配比例,MATCH("升星次数",坦克属性分配比例标头,0),FALSE)*VLOOKUP(VLOOKUP($BJ12,坦克个性化设定!$B$18:$E$48,4,FALSE)&amp;$BK12,坦克属性分配比例,MATCH("升星比例",坦克属性分配比例标头,0),FALSE),0)</f>
        <v>388</v>
      </c>
      <c r="BR12" s="2">
        <f ca="1">ROUND(VLOOKUP($BJ12&amp;"初始",$S$3:$AE$63,MATCH(BR$3,$S$3:$AE$3,0),FALSE)+(VLOOKUP($BJ12&amp;"最终",$S$3:$AE$63,MATCH(BR$3,$S$3:$AE$3,0),FALSE)-VLOOKUP($BJ12&amp;"初始",$S$3:$AE$63,MATCH(BR$3,$S$3:$AE$3,0),FALSE))*$BL12/VLOOKUP(VLOOKUP($BJ12,坦克个性化设定!$B$18:$E$48,4,FALSE)&amp;$BK12,坦克属性分配比例,MATCH("升星次数",坦克属性分配比例标头,0),FALSE),0)</f>
        <v>107</v>
      </c>
      <c r="BS12" s="2">
        <f>ROUND(VLOOKUP($BJ12,$AI$3:$AO$33,MATCH(BS$3,$AI$3:$AO$3,0),FALSE)+$BL12/VLOOKUP(VLOOKUP($BJ12,坦克个性化设定!$B$18:$E$48,4,FALSE)&amp;$BK12,坦克属性分配比例,MATCH("升星次数",坦克属性分配比例标头,0),FALSE)*VLOOKUP($BJ12,$AR$3:$AY$33,MATCH(BS$3,$AR$3:$AY$3,0),FALSE),1)</f>
        <v>50.5</v>
      </c>
      <c r="BT12" s="2">
        <f>ROUND(VLOOKUP($BJ12,$AI$3:$AO$33,MATCH(BT$3,$AI$3:$AO$3,0),FALSE)+$BL12/VLOOKUP(VLOOKUP($BJ12,坦克个性化设定!$B$18:$E$48,4,FALSE)&amp;$BK12,坦克属性分配比例,MATCH("升星次数",坦克属性分配比例标头,0),FALSE)*VLOOKUP($BJ12,$AR$3:$AY$33,MATCH(BT$3,$AR$3:$AY$3,0),FALSE),1)</f>
        <v>48.2</v>
      </c>
      <c r="BU12" s="2">
        <f>ROUND(VLOOKUP($BJ12,$AI$3:$AO$33,MATCH(BU$3,$AI$3:$AO$3,0),FALSE)+$BL12/VLOOKUP(VLOOKUP($BJ12,坦克个性化设定!$B$18:$E$48,4,FALSE)&amp;$BK12,坦克属性分配比例,MATCH("升星次数",坦克属性分配比例标头,0),FALSE)*VLOOKUP($BJ12,$AR$3:$AY$33,MATCH(BU$3,$AR$3:$AY$3,0),FALSE),1)</f>
        <v>10.5</v>
      </c>
      <c r="BV12" s="2">
        <f>IF(VLOOKUP(BJ12,坦克个性化设定!$B$18:$BC$48,MATCH("装弹类型",坦克个性化设定!$B$18:$BC$18,0),FALSE)="弹夹换弹",0,ROUND(VLOOKUP($BJ12,$AI$3:$AO$33,MATCH("换弹时间",$AI$3:$AO$3,0),FALSE)-$BL12/VLOOKUP(VLOOKUP($BJ12,坦克个性化设定!$B$18:$E$48,4,FALSE)&amp;$BK12,坦克属性分配比例,MATCH("升星次数",坦克属性分配比例标头,0),FALSE)*VLOOKUP($BJ12,$AR$3:$AY$33,MATCH("换弹时间",$AR$3:$AY$3,0),FALSE),2))</f>
        <v>0</v>
      </c>
      <c r="BW12" s="2">
        <f>IF(VLOOKUP(BJ12,坦克个性化设定!$B$18:$BC$48,MATCH("装弹类型",坦克个性化设定!$B$18:$BC$18,0),FALSE)="弹夹换弹",ROUND(VLOOKUP($BJ12,$AI$3:$AO$33,MATCH("换弹时间",$AI$3:$AO$3,0),FALSE)-$BL12/VLOOKUP(VLOOKUP($BJ12,坦克个性化设定!$B$18:$E$48,4,FALSE)&amp;$BK12,坦克属性分配比例,MATCH("升星次数",坦克属性分配比例标头,0),FALSE)*VLOOKUP($BJ12,$AR$3:$AY$33,MATCH("换弹时间",$AR$3:$AY$3,0),FALSE),1),0)</f>
        <v>7.6</v>
      </c>
      <c r="BX12" s="2">
        <f>ROUND(VLOOKUP($BJ12,$AI$3:$AO$33,MATCH(BX$3,$AI$3:$AO$3,0),FALSE)+$BL12/VLOOKUP(VLOOKUP($BJ12,坦克个性化设定!$B$18:$E$48,4,FALSE)&amp;$BK12,坦克属性分配比例,MATCH("升星次数",坦克属性分配比例标头,0),FALSE)*VLOOKUP($BJ12,$AR$3:$AY$33,MATCH(BX$3,$AR$3:$AY$3,0),FALSE),2)</f>
        <v>0.6</v>
      </c>
      <c r="BY12" s="2">
        <f>ROUND(VLOOKUP($BJ12,$AI$3:$AO$33,MATCH(BY$3,$AI$3:$AO$3,0),FALSE)-$BL12/VLOOKUP(VLOOKUP($BJ12,坦克个性化设定!$B$18:$E$48,4,FALSE)&amp;$BK12,坦克属性分配比例,MATCH("升星次数",坦克属性分配比例标头,0),FALSE)*VLOOKUP($BJ12,$AR$3:$AY$33,MATCH(BY$3,$AR$3:$AY$3,0),FALSE),2)</f>
        <v>0.37</v>
      </c>
      <c r="CA12" s="2">
        <v>9</v>
      </c>
      <c r="CB12" s="2" t="str">
        <f t="shared" si="15"/>
        <v>BMP-3</v>
      </c>
      <c r="CC12" s="2" t="str">
        <f>VLOOKUP(CB12,坦克个性化设定!$B$18:$F$48,5,FALSE)</f>
        <v>轻坦弹夹</v>
      </c>
      <c r="CD12" s="29" t="str">
        <f>VLOOKUP(CB12,坦克个性化细分!$I$3:$J$33,2,FALSE)</f>
        <v>高</v>
      </c>
      <c r="CE12" s="42">
        <f ca="1">(VLOOKUP($CB12&amp;"最终",$S$3:$AE$63,MATCH(CE$3,$S$3:$AE$3,0),FALSE)-VLOOKUP($CB12&amp;"初始",$S$3:$AE$63,MATCH(CE$3,$S$3:$AE$3,0),FALSE))*VLOOKUP(VLOOKUP($CB12,坦克个性化设定!$B$18:$E$48,4,FALSE)&amp;$CD12,坦克属性分配比例,MATCH("部件比例",坦克属性分配比例标头,0),FALSE)</f>
        <v>386.07929753748004</v>
      </c>
      <c r="CF12" s="42">
        <f ca="1">(VLOOKUP($CB12&amp;"最终",$S$3:$AE$63,MATCH(CF$3,$S$3:$AE$3,0),FALSE)-VLOOKUP($CB12&amp;"初始",$S$3:$AE$63,MATCH(CF$3,$S$3:$AE$3,0),FALSE))*VLOOKUP(VLOOKUP($CB12,坦克个性化设定!$B$18:$E$48,4,FALSE)&amp;$CD12,坦克属性分配比例,MATCH("部件比例",坦克属性分配比例标头,0),FALSE)</f>
        <v>24.246090571610544</v>
      </c>
      <c r="CG12" s="42">
        <f ca="1">(VLOOKUP($CB12&amp;"最终",$S$3:$AE$63,MATCH(CG$3,$S$3:$AE$3,0),FALSE)-VLOOKUP($CB12&amp;"初始",$S$3:$AE$63,MATCH(CG$3,$S$3:$AE$3,0),FALSE))*VLOOKUP(VLOOKUP($CB12,坦克个性化设定!$B$18:$E$48,4,FALSE)&amp;$CD12,坦克属性分配比例,MATCH("部件比例",坦克属性分配比例标头,0),FALSE)*(1-$C$3)</f>
        <v>60.300000000000004</v>
      </c>
      <c r="CH12" s="42">
        <f ca="1">(VLOOKUP($CB12&amp;"最终",$S$3:$AE$63,MATCH(CH$3,$S$3:$AE$3,0),FALSE)-VLOOKUP($CB12&amp;"初始",$S$3:$AE$63,MATCH(CH$3,$S$3:$AE$3,0),FALSE))*VLOOKUP(VLOOKUP($CB12,坦克个性化设定!$B$18:$E$48,4,FALSE)&amp;$CD12,坦克属性分配比例,MATCH("部件比例",坦克属性分配比例标头,0),FALSE)*(1-$C$3)</f>
        <v>42.300000000000004</v>
      </c>
      <c r="CI12" s="42">
        <f ca="1">(VLOOKUP($CB12&amp;"最终",$S$3:$AE$63,MATCH(CI$3,$S$3:$AE$3,0),FALSE)-VLOOKUP($CB12&amp;"初始",$S$3:$AE$63,MATCH(CI$3,$S$3:$AE$3,0),FALSE))*VLOOKUP(VLOOKUP($CB12,坦克个性化设定!$B$18:$E$48,4,FALSE)&amp;$CD12,坦克属性分配比例,MATCH("部件比例",坦克属性分配比例标头,0),FALSE)</f>
        <v>137.70000000000002</v>
      </c>
    </row>
    <row r="13" spans="2:87" x14ac:dyDescent="0.3">
      <c r="B13" s="2">
        <v>8</v>
      </c>
      <c r="C13" s="2" t="str">
        <f>坦克个性化设定!B26</f>
        <v>M-41</v>
      </c>
      <c r="D13" s="2">
        <v>1421</v>
      </c>
      <c r="E13" s="2" t="s">
        <v>628</v>
      </c>
      <c r="F13" s="2">
        <v>0</v>
      </c>
      <c r="G13" s="25" t="str">
        <f t="shared" si="17"/>
        <v>M-41</v>
      </c>
      <c r="H13" s="2" t="str">
        <f>坦克等级成长!B22&amp;坦克等级成长!C22</f>
        <v>T5低</v>
      </c>
      <c r="I13" s="2">
        <v>13</v>
      </c>
      <c r="J13" s="2">
        <f>坦克等级成长!J22</f>
        <v>2.52</v>
      </c>
      <c r="K13" s="2">
        <f>坦克等级成长!K22</f>
        <v>3.65</v>
      </c>
      <c r="L13" s="2">
        <f>坦克等级成长!E22</f>
        <v>7</v>
      </c>
      <c r="M13" s="2">
        <f>IFERROR(VLOOKUP(L13,坦克部件!$N$3:$R$9,5,FALSE),VLOOKUP(L13-1,坦克部件!$N$3:$R$9,5,FALSE))</f>
        <v>0.35499999999999998</v>
      </c>
      <c r="N13" s="2">
        <f t="shared" si="0"/>
        <v>0.89459999999999995</v>
      </c>
      <c r="O13" s="162">
        <f t="shared" si="1"/>
        <v>0.5</v>
      </c>
      <c r="P13" s="155">
        <v>0.5</v>
      </c>
      <c r="Q13" s="163"/>
      <c r="R13" s="25"/>
      <c r="S13" s="2" t="str">
        <f t="shared" si="2"/>
        <v>十字军最终</v>
      </c>
      <c r="T13" s="2">
        <f>IF(COUNTIF(U$4:U12,U12)&gt;=$B$3,T12+1,T12)</f>
        <v>5</v>
      </c>
      <c r="U13" s="2" t="str">
        <f t="shared" si="3"/>
        <v>十字军</v>
      </c>
      <c r="V13" s="2" t="str">
        <f>VLOOKUP(U13,坦克个性化设定!$B$18:$F$48,5,FALSE)</f>
        <v>轻坦弹夹</v>
      </c>
      <c r="W13" s="29" t="str">
        <f>VLOOKUP(U13,坦克个性化细分!$I$3:$J$33,2,FALSE)</f>
        <v>中</v>
      </c>
      <c r="X13" s="2" t="str">
        <f t="shared" si="16"/>
        <v>最终</v>
      </c>
      <c r="Y13" s="2" t="str">
        <f>VLOOKUP(VLOOKUP(U13,坦克个性化设定!$B$18:$F$48,4,FALSE)&amp;W13,坦克等级成长!$P$12:$U$24,MATCH(X13,坦克等级成长!$P$12:$U$12,0),FALSE)</f>
        <v>T3中5</v>
      </c>
      <c r="Z13" s="42">
        <f ca="1">VLOOKUP($Y13,INDIRECT($V13&amp;"_阶段属性"),MATCH(Z$3,属性标头_阶段属性,0),FALSE)*VLOOKUP($U13,坦克个性化设定!$B$84:$D$114,2,FALSE)</f>
        <v>1870.7019561522959</v>
      </c>
      <c r="AA13" s="42">
        <f ca="1">VLOOKUP($Y13,INDIRECT($V13&amp;"_阶段属性"),MATCH(AA$3,属性标头_阶段属性,0),FALSE)*VLOOKUP($U13,坦克个性化设定!$B$84:$D$114,3,FALSE)</f>
        <v>105.87569780884732</v>
      </c>
      <c r="AB13" s="2">
        <f t="shared" ca="1" si="4"/>
        <v>749</v>
      </c>
      <c r="AC13" s="2">
        <f t="shared" ca="1" si="4"/>
        <v>524</v>
      </c>
      <c r="AD13" s="2">
        <f t="shared" ca="1" si="4"/>
        <v>684</v>
      </c>
      <c r="AE13" s="2">
        <f t="shared" ca="1" si="4"/>
        <v>182</v>
      </c>
      <c r="AF13" s="25"/>
      <c r="AH13" s="2">
        <v>10</v>
      </c>
      <c r="AI13" s="2" t="str">
        <f t="shared" si="5"/>
        <v>59式</v>
      </c>
      <c r="AJ13" s="2">
        <f>VLOOKUP($AI13,坦克个性化细分!$I$3:$P$33,MATCH(AJ$3,坦克个性化细分!$I$3:$P$3,0),FALSE)</f>
        <v>37.700000000000003</v>
      </c>
      <c r="AK13" s="2">
        <f>VLOOKUP($AI13,坦克个性化细分!$I$3:$P$33,MATCH(AK$3,坦克个性化细分!$I$3:$P$3,0),FALSE)</f>
        <v>56.3</v>
      </c>
      <c r="AL13" s="2">
        <f>VLOOKUP($AI13,坦克个性化细分!$I$3:$P$33,MATCH(AL$3,坦克个性化细分!$I$3:$P$3,0),FALSE)</f>
        <v>9.5</v>
      </c>
      <c r="AM13" s="34">
        <f>VLOOKUP(AI13,坦克个性化细分!$AA$3:$AP$33,MATCH("射击偏移角",坦克个性化细分!$AA$3:$AP$3,0),FALSE)/VLOOKUP(AI13,坦克个性化细分!$AA$3:$AP$33,MATCH("原瞄准速度",坦克个性化细分!$AA$3:$AP$3,0),FALSE)</f>
        <v>0.51666666666666672</v>
      </c>
      <c r="AN13" s="34">
        <f>VLOOKUP(AI13,坦克个性化细分!$AA$3:$AP$33,MATCH(AN$3,坦克个性化细分!$AA$3:$AP$3,0),FALSE)</f>
        <v>0.8</v>
      </c>
      <c r="AO13" s="2">
        <f>VLOOKUP(AI13,坦克个性化细分!$AA$3:$AP$33,MATCH("原换弹时间",坦克个性化细分!$AA$3:$AP$3,0),FALSE)</f>
        <v>6.3</v>
      </c>
      <c r="AP13" s="133"/>
      <c r="AQ13" s="2">
        <v>10</v>
      </c>
      <c r="AR13" s="2" t="str">
        <f t="shared" si="6"/>
        <v>59式</v>
      </c>
      <c r="AS13" s="2" t="s">
        <v>83</v>
      </c>
      <c r="AT13" s="34">
        <f>VLOOKUP(AR13,坦克个性化细分!$I$3:$P$33,MATCH("养成区间1",坦克个性化细分!$I$3:$P$3,0),FALSE)</f>
        <v>9.4249999999999972</v>
      </c>
      <c r="AU13" s="2">
        <f>VLOOKUP(AR13,坦克个性化细分!$I$3:$P$33,MATCH("养成区间2",坦克个性化细分!$I$3:$P$3,0),FALSE)</f>
        <v>14.074999999999994</v>
      </c>
      <c r="AV13" s="2">
        <f>VLOOKUP(AR13,坦克个性化细分!$I$3:$P$33,MATCH("养成区间3",坦克个性化细分!$I$3:$P$3,0),FALSE)</f>
        <v>0</v>
      </c>
      <c r="AW13" s="34">
        <f>VLOOKUP(AR13,坦克个性化细分!$AA$3:$AP$33,MATCH("瞄准区间",坦克个性化细分!$AA$3:$AP$3,0),FALSE)</f>
        <v>8.6111111111111138E-2</v>
      </c>
      <c r="AX13" s="34">
        <f>VLOOKUP(AI13,坦克个性化细分!$AA$3:$AP$33,MATCH("后射击间隔",坦克个性化细分!$AA$3:$AP$3,0),FALSE)-VLOOKUP(AI13,坦克个性化细分!$AA$3:$AP$33,MATCH(AN$3,坦克个性化细分!$AA$3:$AP$3,0),FALSE)</f>
        <v>0</v>
      </c>
      <c r="AY13" s="34">
        <f>VLOOKUP(AR13,坦克个性化细分!$AA$3:$AP$33,MATCH("换弹区间",坦克个性化细分!$AA$3:$AP$3,0),FALSE)</f>
        <v>1.9875914706113766</v>
      </c>
      <c r="AZ13" s="133"/>
      <c r="BA13" s="34">
        <f t="shared" si="8"/>
        <v>0.24999999999999992</v>
      </c>
      <c r="BB13" s="34">
        <f t="shared" si="9"/>
        <v>0.24999999999999992</v>
      </c>
      <c r="BC13" s="34">
        <f t="shared" si="10"/>
        <v>0</v>
      </c>
      <c r="BD13" s="34">
        <f t="shared" si="11"/>
        <v>0.16666666666666671</v>
      </c>
      <c r="BE13" s="34">
        <f t="shared" si="12"/>
        <v>0.31549070962085346</v>
      </c>
      <c r="BF13" s="34"/>
      <c r="BG13" s="133"/>
      <c r="BH13" s="2" t="str">
        <f t="shared" si="13"/>
        <v>二号3</v>
      </c>
      <c r="BI13" s="2">
        <f>IF(BL12&gt;=VLOOKUP(VLOOKUP(BJ12,坦克个性化设定!$B$18:$E$48,4,FALSE)&amp;BK12,坦克属性分配比例,MATCH("升星次数",坦克属性分配比例标头,0),FALSE),BI12+1,BI12)</f>
        <v>2</v>
      </c>
      <c r="BJ13" s="2" t="str">
        <f t="shared" si="14"/>
        <v>二号</v>
      </c>
      <c r="BK13" s="29" t="str">
        <f>VLOOKUP(BJ13,坦克个性化细分!$I$3:$J$33,2,FALSE)</f>
        <v>低</v>
      </c>
      <c r="BL13" s="2">
        <f t="shared" si="7"/>
        <v>3</v>
      </c>
      <c r="BM13" s="103">
        <f ca="1">ROUND(VLOOKUP($BJ13&amp;"初始",$S$3:$AE$63,MATCH(BM$3,$S$3:$AE$3,0),FALSE)+((VLOOKUP($BJ13&amp;"最终",$S$3:$AE$63,MATCH(BM$3,$S$3:$AE$3,0),FALSE)*坦克个性化细分!$C$9-VLOOKUP($BJ13&amp;"初始",$S$3:$AE$63,MATCH(BM$3,$S$3:$AE$3,0),FALSE))-(VLOOKUP($BJ13&amp;"最终",$S$3:$AE$63,MATCH(BM$3,$S$3:$AE$3,0),FALSE)-VLOOKUP($BJ13&amp;"初始",$S$3:$AE$63,MATCH(BM$3,$S$3:$AE$3,0),FALSE))*VLOOKUP(VLOOKUP($BJ13,坦克个性化设定!$B$18:$E$48,4,FALSE)&amp;$BK13,坦克属性分配比例,MATCH("部件比例",坦克属性分配比例标头,0),FALSE))*$BL13/VLOOKUP(VLOOKUP($BJ13,坦克个性化设定!$B$18:$E$48,4,FALSE)&amp;$BK13,坦克属性分配比例,MATCH("升星次数",坦克属性分配比例标头,0),FALSE),0)</f>
        <v>1049</v>
      </c>
      <c r="BN13" s="103">
        <f ca="1">ROUND(VLOOKUP($BJ13&amp;"初始",$S$3:$AE$63,MATCH(BN$3,$S$3:$AE$3,0),FALSE)+(VLOOKUP($BJ13&amp;"最终",$S$3:$AE$63,MATCH(BN$3,$S$3:$AE$3,0),FALSE)-VLOOKUP($BJ13&amp;"初始",$S$3:$AE$63,MATCH(BN$3,$S$3:$AE$3,0),FALSE))*$BL13/VLOOKUP(VLOOKUP($BJ13,坦克个性化设定!$B$18:$E$48,4,FALSE)&amp;$BK13,坦克属性分配比例,MATCH("升星次数",坦克属性分配比例标头,0),FALSE)*VLOOKUP(VLOOKUP($BJ13,坦克个性化设定!$B$18:$E$48,4,FALSE)&amp;$BK13,坦克属性分配比例,MATCH("升星比例",坦克属性分配比例标头,0),FALSE),0)</f>
        <v>80</v>
      </c>
      <c r="BO13" s="103">
        <f ca="1">ROUND(VLOOKUP($BJ13&amp;"初始",$S$3:$AE$63,MATCH(BO$3,$S$3:$AE$3,0),FALSE)+(VLOOKUP($BJ13&amp;"最终",$S$3:$AE$63,MATCH(BO$3,$S$3:$AE$3,0),FALSE)-VLOOKUP($BJ13&amp;"初始",$S$3:$AE$63,MATCH(BO$3,$S$3:$AE$3,0),FALSE))*$BL13/VLOOKUP(VLOOKUP($BJ13,坦克个性化设定!$B$18:$E$48,4,FALSE)&amp;$BK13,坦克属性分配比例,MATCH("升星次数",坦克属性分配比例标头,0),FALSE)*(VLOOKUP(VLOOKUP($BJ13,坦克个性化设定!$B$18:$E$48,4,FALSE)&amp;$BK13,坦克属性分配比例,MATCH("升星比例",坦克属性分配比例标头,0),FALSE)+VLOOKUP(VLOOKUP($BJ13,坦克个性化设定!$B$18:$E$48,4,FALSE)&amp;$BK13,坦克属性分配比例,MATCH("部件比例",坦克属性分配比例标头,0),FALSE)*$C$3),0)</f>
        <v>455</v>
      </c>
      <c r="BP13" s="103">
        <f ca="1">ROUND(VLOOKUP($BJ13&amp;"初始",$S$3:$AE$63,MATCH(BP$3,$S$3:$AE$3,0),FALSE)+(VLOOKUP($BJ13&amp;"最终",$S$3:$AE$63,MATCH(BP$3,$S$3:$AE$3,0),FALSE)-VLOOKUP($BJ13&amp;"初始",$S$3:$AE$63,MATCH(BP$3,$S$3:$AE$3,0),FALSE))*$BL13/VLOOKUP(VLOOKUP($BJ13,坦克个性化设定!$B$18:$E$48,4,FALSE)&amp;$BK13,坦克属性分配比例,MATCH("升星次数",坦克属性分配比例标头,0),FALSE)*(VLOOKUP(VLOOKUP($BJ13,坦克个性化设定!$B$18:$E$48,4,FALSE)&amp;$BK13,坦克属性分配比例,MATCH("升星比例",坦克属性分配比例标头,0),FALSE)+VLOOKUP(VLOOKUP($BJ13,坦克个性化设定!$B$18:$E$48,4,FALSE)&amp;$BK13,坦克属性分配比例,MATCH("部件比例",坦克属性分配比例标头,0),FALSE)*$C$3),0)</f>
        <v>318</v>
      </c>
      <c r="BQ13" s="103">
        <f ca="1">ROUND(VLOOKUP($BJ13&amp;"初始",$S$3:$AE$63,MATCH(BQ$3,$S$3:$AE$3,0),FALSE)+(VLOOKUP($BJ13&amp;"最终",$S$3:$AE$63,MATCH(BQ$3,$S$3:$AE$3,0),FALSE)-VLOOKUP($BJ13&amp;"初始",$S$3:$AE$63,MATCH(BQ$3,$S$3:$AE$3,0),FALSE))*$BL13/VLOOKUP(VLOOKUP($BJ13,坦克个性化设定!$B$18:$E$48,4,FALSE)&amp;$BK13,坦克属性分配比例,MATCH("升星次数",坦克属性分配比例标头,0),FALSE)*VLOOKUP(VLOOKUP($BJ13,坦克个性化设定!$B$18:$E$48,4,FALSE)&amp;$BK13,坦克属性分配比例,MATCH("升星比例",坦克属性分配比例标头,0),FALSE),0)</f>
        <v>402</v>
      </c>
      <c r="BR13" s="2">
        <f ca="1">ROUND(VLOOKUP($BJ13&amp;"初始",$S$3:$AE$63,MATCH(BR$3,$S$3:$AE$3,0),FALSE)+(VLOOKUP($BJ13&amp;"最终",$S$3:$AE$63,MATCH(BR$3,$S$3:$AE$3,0),FALSE)-VLOOKUP($BJ13&amp;"初始",$S$3:$AE$63,MATCH(BR$3,$S$3:$AE$3,0),FALSE))*$BL13/VLOOKUP(VLOOKUP($BJ13,坦克个性化设定!$B$18:$E$48,4,FALSE)&amp;$BK13,坦克属性分配比例,MATCH("升星次数",坦克属性分配比例标头,0),FALSE),0)</f>
        <v>113</v>
      </c>
      <c r="BS13" s="2">
        <f>ROUND(VLOOKUP($BJ13,$AI$3:$AO$33,MATCH(BS$3,$AI$3:$AO$3,0),FALSE)+$BL13/VLOOKUP(VLOOKUP($BJ13,坦克个性化设定!$B$18:$E$48,4,FALSE)&amp;$BK13,坦克属性分配比例,MATCH("升星次数",坦克属性分配比例标头,0),FALSE)*VLOOKUP($BJ13,$AR$3:$AY$33,MATCH(BS$3,$AR$3:$AY$3,0),FALSE),1)</f>
        <v>52.1</v>
      </c>
      <c r="BT13" s="2">
        <f>ROUND(VLOOKUP($BJ13,$AI$3:$AO$33,MATCH(BT$3,$AI$3:$AO$3,0),FALSE)+$BL13/VLOOKUP(VLOOKUP($BJ13,坦克个性化设定!$B$18:$E$48,4,FALSE)&amp;$BK13,坦克属性分配比例,MATCH("升星次数",坦克属性分配比例标头,0),FALSE)*VLOOKUP($BJ13,$AR$3:$AY$33,MATCH(BT$3,$AR$3:$AY$3,0),FALSE),1)</f>
        <v>49.8</v>
      </c>
      <c r="BU13" s="2">
        <f>ROUND(VLOOKUP($BJ13,$AI$3:$AO$33,MATCH(BU$3,$AI$3:$AO$3,0),FALSE)+$BL13/VLOOKUP(VLOOKUP($BJ13,坦克个性化设定!$B$18:$E$48,4,FALSE)&amp;$BK13,坦克属性分配比例,MATCH("升星次数",坦克属性分配比例标头,0),FALSE)*VLOOKUP($BJ13,$AR$3:$AY$33,MATCH(BU$3,$AR$3:$AY$3,0),FALSE),1)</f>
        <v>10.5</v>
      </c>
      <c r="BV13" s="2">
        <f>IF(VLOOKUP(BJ13,坦克个性化设定!$B$18:$BC$48,MATCH("装弹类型",坦克个性化设定!$B$18:$BC$18,0),FALSE)="弹夹换弹",0,ROUND(VLOOKUP($BJ13,$AI$3:$AO$33,MATCH("换弹时间",$AI$3:$AO$3,0),FALSE)-$BL13/VLOOKUP(VLOOKUP($BJ13,坦克个性化设定!$B$18:$E$48,4,FALSE)&amp;$BK13,坦克属性分配比例,MATCH("升星次数",坦克属性分配比例标头,0),FALSE)*VLOOKUP($BJ13,$AR$3:$AY$33,MATCH("换弹时间",$AR$3:$AY$3,0),FALSE),2))</f>
        <v>0</v>
      </c>
      <c r="BW13" s="2">
        <f>IF(VLOOKUP(BJ13,坦克个性化设定!$B$18:$BC$48,MATCH("装弹类型",坦克个性化设定!$B$18:$BC$18,0),FALSE)="弹夹换弹",ROUND(VLOOKUP($BJ13,$AI$3:$AO$33,MATCH("换弹时间",$AI$3:$AO$3,0),FALSE)-$BL13/VLOOKUP(VLOOKUP($BJ13,坦克个性化设定!$B$18:$E$48,4,FALSE)&amp;$BK13,坦克属性分配比例,MATCH("升星次数",坦克属性分配比例标头,0),FALSE)*VLOOKUP($BJ13,$AR$3:$AY$33,MATCH("换弹时间",$AR$3:$AY$3,0),FALSE),1),0)</f>
        <v>7.2</v>
      </c>
      <c r="BX13" s="2">
        <f>ROUND(VLOOKUP($BJ13,$AI$3:$AO$33,MATCH(BX$3,$AI$3:$AO$3,0),FALSE)+$BL13/VLOOKUP(VLOOKUP($BJ13,坦克个性化设定!$B$18:$E$48,4,FALSE)&amp;$BK13,坦克属性分配比例,MATCH("升星次数",坦克属性分配比例标头,0),FALSE)*VLOOKUP($BJ13,$AR$3:$AY$33,MATCH(BX$3,$AR$3:$AY$3,0),FALSE),2)</f>
        <v>0.6</v>
      </c>
      <c r="BY13" s="2">
        <f>ROUND(VLOOKUP($BJ13,$AI$3:$AO$33,MATCH(BY$3,$AI$3:$AO$3,0),FALSE)-$BL13/VLOOKUP(VLOOKUP($BJ13,坦克个性化设定!$B$18:$E$48,4,FALSE)&amp;$BK13,坦克属性分配比例,MATCH("升星次数",坦克属性分配比例标头,0),FALSE)*VLOOKUP($BJ13,$AR$3:$AY$33,MATCH(BY$3,$AR$3:$AY$3,0),FALSE),2)</f>
        <v>0.36</v>
      </c>
      <c r="CA13" s="2">
        <v>10</v>
      </c>
      <c r="CB13" s="2" t="str">
        <f t="shared" si="15"/>
        <v>59式</v>
      </c>
      <c r="CC13" s="2" t="str">
        <f>VLOOKUP(CB13,坦克个性化设定!$B$18:$F$48,5,FALSE)</f>
        <v>轻坦弹夹</v>
      </c>
      <c r="CD13" s="29" t="str">
        <f>VLOOKUP(CB13,坦克个性化细分!$I$3:$J$33,2,FALSE)</f>
        <v>低</v>
      </c>
      <c r="CE13" s="42">
        <f ca="1">(VLOOKUP($CB13&amp;"最终",$S$3:$AE$63,MATCH(CE$3,$S$3:$AE$3,0),FALSE)-VLOOKUP($CB13&amp;"初始",$S$3:$AE$63,MATCH(CE$3,$S$3:$AE$3,0),FALSE))*VLOOKUP(VLOOKUP($CB13,坦克个性化设定!$B$18:$E$48,4,FALSE)&amp;$CD13,坦克属性分配比例,MATCH("部件比例",坦克属性分配比例标头,0),FALSE)</f>
        <v>447.08009282490343</v>
      </c>
      <c r="CF13" s="42">
        <f ca="1">(VLOOKUP($CB13&amp;"最终",$S$3:$AE$63,MATCH(CF$3,$S$3:$AE$3,0),FALSE)-VLOOKUP($CB13&amp;"初始",$S$3:$AE$63,MATCH(CF$3,$S$3:$AE$3,0),FALSE))*VLOOKUP(VLOOKUP($CB13,坦克个性化设定!$B$18:$E$48,4,FALSE)&amp;$CD13,坦克属性分配比例,MATCH("部件比例",坦克属性分配比例标头,0),FALSE)</f>
        <v>31.559502030392039</v>
      </c>
      <c r="CG13" s="42">
        <f ca="1">(VLOOKUP($CB13&amp;"最终",$S$3:$AE$63,MATCH(CG$3,$S$3:$AE$3,0),FALSE)-VLOOKUP($CB13&amp;"初始",$S$3:$AE$63,MATCH(CG$3,$S$3:$AE$3,0),FALSE))*VLOOKUP(VLOOKUP($CB13,坦克个性化设定!$B$18:$E$48,4,FALSE)&amp;$CD13,坦克属性分配比例,MATCH("部件比例",坦克属性分配比例标头,0),FALSE)*(1-$C$3)</f>
        <v>74.2</v>
      </c>
      <c r="CH13" s="42">
        <f ca="1">(VLOOKUP($CB13&amp;"最终",$S$3:$AE$63,MATCH(CH$3,$S$3:$AE$3,0),FALSE)-VLOOKUP($CB13&amp;"初始",$S$3:$AE$63,MATCH(CH$3,$S$3:$AE$3,0),FALSE))*VLOOKUP(VLOOKUP($CB13,坦克个性化设定!$B$18:$E$48,4,FALSE)&amp;$CD13,坦克属性分配比例,MATCH("部件比例",坦克属性分配比例标头,0),FALSE)*(1-$C$3)</f>
        <v>52</v>
      </c>
      <c r="CI13" s="42">
        <f ca="1">(VLOOKUP($CB13&amp;"最终",$S$3:$AE$63,MATCH(CI$3,$S$3:$AE$3,0),FALSE)-VLOOKUP($CB13&amp;"初始",$S$3:$AE$63,MATCH(CI$3,$S$3:$AE$3,0),FALSE))*VLOOKUP(VLOOKUP($CB13,坦克个性化设定!$B$18:$E$48,4,FALSE)&amp;$CD13,坦克属性分配比例,MATCH("部件比例",坦克属性分配比例标头,0),FALSE)</f>
        <v>169.5</v>
      </c>
    </row>
    <row r="14" spans="2:87" x14ac:dyDescent="0.3">
      <c r="B14" s="2">
        <v>9</v>
      </c>
      <c r="C14" s="2" t="str">
        <f>坦克个性化设定!B27</f>
        <v>BMP-3</v>
      </c>
      <c r="D14" s="2">
        <v>1431</v>
      </c>
      <c r="E14" s="2" t="s">
        <v>630</v>
      </c>
      <c r="F14" s="2">
        <v>0</v>
      </c>
      <c r="G14" s="25" t="str">
        <f t="shared" si="17"/>
        <v>BMP-3</v>
      </c>
      <c r="H14" s="2" t="str">
        <f>坦克等级成长!B23&amp;坦克等级成长!C23</f>
        <v>T5中</v>
      </c>
      <c r="I14" s="2">
        <v>13</v>
      </c>
      <c r="J14" s="2">
        <f>坦克等级成长!J23</f>
        <v>2.62</v>
      </c>
      <c r="K14" s="2">
        <f>坦克等级成长!K23</f>
        <v>3.82</v>
      </c>
      <c r="L14" s="2">
        <f>坦克等级成长!E23</f>
        <v>7</v>
      </c>
      <c r="M14" s="2">
        <f>IFERROR(VLOOKUP(L14,坦克部件!$N$3:$R$9,5,FALSE),VLOOKUP(L14-1,坦克部件!$N$3:$R$9,5,FALSE))</f>
        <v>0.35499999999999998</v>
      </c>
      <c r="N14" s="2">
        <f t="shared" si="0"/>
        <v>0.93010000000000004</v>
      </c>
      <c r="O14" s="162">
        <f t="shared" si="1"/>
        <v>0.5</v>
      </c>
      <c r="P14" s="155">
        <v>0.5</v>
      </c>
      <c r="Q14" s="163"/>
      <c r="R14" s="25"/>
      <c r="S14" s="2" t="str">
        <f t="shared" si="2"/>
        <v>AMX-13初始</v>
      </c>
      <c r="T14" s="2">
        <f>IF(COUNTIF(U$4:U13,U13)&gt;=$B$3,T13+1,T13)</f>
        <v>6</v>
      </c>
      <c r="U14" s="2" t="str">
        <f t="shared" si="3"/>
        <v>AMX-13</v>
      </c>
      <c r="V14" s="2" t="str">
        <f>VLOOKUP(U14,坦克个性化设定!$B$18:$F$48,5,FALSE)</f>
        <v>轻坦弹夹</v>
      </c>
      <c r="W14" s="29" t="str">
        <f>VLOOKUP(U14,坦克个性化细分!$I$3:$J$33,2,FALSE)</f>
        <v>高</v>
      </c>
      <c r="X14" s="2" t="str">
        <f t="shared" si="16"/>
        <v>初始</v>
      </c>
      <c r="Y14" s="2" t="str">
        <f>VLOOKUP(VLOOKUP(U14,坦克个性化设定!$B$18:$F$48,4,FALSE)&amp;W14,坦克等级成长!$P$12:$U$24,MATCH(X14,坦克等级成长!$P$12:$U$12,0),FALSE)</f>
        <v>T3高3</v>
      </c>
      <c r="Z14" s="42">
        <f ca="1">VLOOKUP($Y14,INDIRECT($V14&amp;"_阶段属性"),MATCH(Z$3,属性标头_阶段属性,0),FALSE)*VLOOKUP($U14,坦克个性化设定!$B$84:$D$114,2,FALSE)</f>
        <v>1168.4620653042637</v>
      </c>
      <c r="AA14" s="42">
        <f ca="1">VLOOKUP($Y14,INDIRECT($V14&amp;"_阶段属性"),MATCH(AA$3,属性标头_阶段属性,0),FALSE)*VLOOKUP($U14,坦克个性化设定!$B$84:$D$114,3,FALSE)</f>
        <v>95.027176003397116</v>
      </c>
      <c r="AB14" s="2">
        <f t="shared" ca="1" si="4"/>
        <v>506</v>
      </c>
      <c r="AC14" s="2">
        <f t="shared" ca="1" si="4"/>
        <v>354</v>
      </c>
      <c r="AD14" s="2">
        <f t="shared" ca="1" si="4"/>
        <v>462</v>
      </c>
      <c r="AE14" s="2">
        <f t="shared" ca="1" si="4"/>
        <v>123</v>
      </c>
      <c r="AF14" s="25"/>
      <c r="AH14" s="2">
        <v>11</v>
      </c>
      <c r="AI14" s="2" t="str">
        <f t="shared" si="5"/>
        <v>Stuart</v>
      </c>
      <c r="AJ14" s="2">
        <f>VLOOKUP($AI14,坦克个性化细分!$I$3:$P$33,MATCH(AJ$3,坦克个性化细分!$I$3:$P$3,0),FALSE)</f>
        <v>44.5</v>
      </c>
      <c r="AK14" s="2">
        <f>VLOOKUP($AI14,坦克个性化细分!$I$3:$P$33,MATCH(AK$3,坦克个性化细分!$I$3:$P$3,0),FALSE)</f>
        <v>40</v>
      </c>
      <c r="AL14" s="2">
        <f>VLOOKUP($AI14,坦克个性化细分!$I$3:$P$33,MATCH(AL$3,坦克个性化细分!$I$3:$P$3,0),FALSE)</f>
        <v>8</v>
      </c>
      <c r="AM14" s="34">
        <f>VLOOKUP(AI14,坦克个性化细分!$AA$3:$AP$33,MATCH("射击偏移角",坦克个性化细分!$AA$3:$AP$3,0),FALSE)/VLOOKUP(AI14,坦克个性化细分!$AA$3:$AP$33,MATCH("原瞄准速度",坦克个性化细分!$AA$3:$AP$3,0),FALSE)</f>
        <v>1</v>
      </c>
      <c r="AN14" s="34">
        <f>VLOOKUP(AI14,坦克个性化细分!$AA$3:$AP$33,MATCH(AN$3,坦克个性化细分!$AA$3:$AP$3,0),FALSE)</f>
        <v>0.30000000000000004</v>
      </c>
      <c r="AO14" s="2">
        <f>VLOOKUP(AI14,坦克个性化细分!$AA$3:$AP$33,MATCH("原换弹时间",坦克个性化细分!$AA$3:$AP$3,0),FALSE)</f>
        <v>3.2</v>
      </c>
      <c r="AP14" s="133"/>
      <c r="AQ14" s="2">
        <v>11</v>
      </c>
      <c r="AR14" s="2" t="str">
        <f t="shared" si="6"/>
        <v>Stuart</v>
      </c>
      <c r="AS14" s="2" t="s">
        <v>85</v>
      </c>
      <c r="AT14" s="34">
        <f>VLOOKUP(AR14,坦克个性化细分!$I$3:$P$33,MATCH("养成区间1",坦克个性化细分!$I$3:$P$3,0),FALSE)</f>
        <v>11.124999999999998</v>
      </c>
      <c r="AU14" s="2">
        <f>VLOOKUP(AR14,坦克个性化细分!$I$3:$P$33,MATCH("养成区间2",坦克个性化细分!$I$3:$P$3,0),FALSE)</f>
        <v>9.9999999999999982</v>
      </c>
      <c r="AV14" s="2">
        <f>VLOOKUP(AR14,坦克个性化细分!$I$3:$P$33,MATCH("养成区间3",坦克个性化细分!$I$3:$P$3,0),FALSE)</f>
        <v>0</v>
      </c>
      <c r="AW14" s="34">
        <f>VLOOKUP(AR14,坦克个性化细分!$AA$3:$AP$33,MATCH("瞄准区间",坦克个性化细分!$AA$3:$AP$3,0),FALSE)</f>
        <v>0.16666666666666663</v>
      </c>
      <c r="AX14" s="34">
        <f>VLOOKUP(AI14,坦克个性化细分!$AA$3:$AP$33,MATCH("后射击间隔",坦克个性化细分!$AA$3:$AP$3,0),FALSE)-VLOOKUP(AI14,坦克个性化细分!$AA$3:$AP$33,MATCH(AN$3,坦克个性化细分!$AA$3:$AP$3,0),FALSE)</f>
        <v>0</v>
      </c>
      <c r="AY14" s="34">
        <f>VLOOKUP(AR14,坦克个性化细分!$AA$3:$AP$33,MATCH("换弹区间",坦克个性化细分!$AA$3:$AP$3,0),FALSE)</f>
        <v>0.58134206219312601</v>
      </c>
      <c r="AZ14" s="133"/>
      <c r="BA14" s="34">
        <f t="shared" si="8"/>
        <v>0.24999999999999997</v>
      </c>
      <c r="BB14" s="34">
        <f t="shared" si="9"/>
        <v>0.24999999999999994</v>
      </c>
      <c r="BC14" s="34">
        <f t="shared" si="10"/>
        <v>0</v>
      </c>
      <c r="BD14" s="34">
        <f t="shared" si="11"/>
        <v>0.16666666666666663</v>
      </c>
      <c r="BE14" s="34">
        <f t="shared" si="12"/>
        <v>0.18166939443535188</v>
      </c>
      <c r="BF14" s="34"/>
      <c r="BG14" s="133"/>
      <c r="BH14" s="2" t="str">
        <f t="shared" si="13"/>
        <v>二号4</v>
      </c>
      <c r="BI14" s="2">
        <f>IF(BL13&gt;=VLOOKUP(VLOOKUP(BJ13,坦克个性化设定!$B$18:$E$48,4,FALSE)&amp;BK13,坦克属性分配比例,MATCH("升星次数",坦克属性分配比例标头,0),FALSE),BI13+1,BI13)</f>
        <v>2</v>
      </c>
      <c r="BJ14" s="2" t="str">
        <f t="shared" si="14"/>
        <v>二号</v>
      </c>
      <c r="BK14" s="29" t="str">
        <f>VLOOKUP(BJ14,坦克个性化细分!$I$3:$J$33,2,FALSE)</f>
        <v>低</v>
      </c>
      <c r="BL14" s="2">
        <f t="shared" si="7"/>
        <v>4</v>
      </c>
      <c r="BM14" s="103">
        <f ca="1">ROUND(VLOOKUP($BJ14&amp;"初始",$S$3:$AE$63,MATCH(BM$3,$S$3:$AE$3,0),FALSE)+((VLOOKUP($BJ14&amp;"最终",$S$3:$AE$63,MATCH(BM$3,$S$3:$AE$3,0),FALSE)*坦克个性化细分!$C$9-VLOOKUP($BJ14&amp;"初始",$S$3:$AE$63,MATCH(BM$3,$S$3:$AE$3,0),FALSE))-(VLOOKUP($BJ14&amp;"最终",$S$3:$AE$63,MATCH(BM$3,$S$3:$AE$3,0),FALSE)-VLOOKUP($BJ14&amp;"初始",$S$3:$AE$63,MATCH(BM$3,$S$3:$AE$3,0),FALSE))*VLOOKUP(VLOOKUP($BJ14,坦克个性化设定!$B$18:$E$48,4,FALSE)&amp;$BK14,坦克属性分配比例,MATCH("部件比例",坦克属性分配比例标头,0),FALSE))*$BL14/VLOOKUP(VLOOKUP($BJ14,坦克个性化设定!$B$18:$E$48,4,FALSE)&amp;$BK14,坦克属性分配比例,MATCH("升星次数",坦克属性分配比例标头,0),FALSE),0)</f>
        <v>1107</v>
      </c>
      <c r="BN14" s="103">
        <f ca="1">ROUND(VLOOKUP($BJ14&amp;"初始",$S$3:$AE$63,MATCH(BN$3,$S$3:$AE$3,0),FALSE)+(VLOOKUP($BJ14&amp;"最终",$S$3:$AE$63,MATCH(BN$3,$S$3:$AE$3,0),FALSE)-VLOOKUP($BJ14&amp;"初始",$S$3:$AE$63,MATCH(BN$3,$S$3:$AE$3,0),FALSE))*$BL14/VLOOKUP(VLOOKUP($BJ14,坦克个性化设定!$B$18:$E$48,4,FALSE)&amp;$BK14,坦克属性分配比例,MATCH("升星次数",坦克属性分配比例标头,0),FALSE)*VLOOKUP(VLOOKUP($BJ14,坦克个性化设定!$B$18:$E$48,4,FALSE)&amp;$BK14,坦克属性分配比例,MATCH("升星比例",坦克属性分配比例标头,0),FALSE),0)</f>
        <v>83</v>
      </c>
      <c r="BO14" s="103">
        <f ca="1">ROUND(VLOOKUP($BJ14&amp;"初始",$S$3:$AE$63,MATCH(BO$3,$S$3:$AE$3,0),FALSE)+(VLOOKUP($BJ14&amp;"最终",$S$3:$AE$63,MATCH(BO$3,$S$3:$AE$3,0),FALSE)-VLOOKUP($BJ14&amp;"初始",$S$3:$AE$63,MATCH(BO$3,$S$3:$AE$3,0),FALSE))*$BL14/VLOOKUP(VLOOKUP($BJ14,坦克个性化设定!$B$18:$E$48,4,FALSE)&amp;$BK14,坦克属性分配比例,MATCH("升星次数",坦克属性分配比例标头,0),FALSE)*(VLOOKUP(VLOOKUP($BJ14,坦克个性化设定!$B$18:$E$48,4,FALSE)&amp;$BK14,坦克属性分配比例,MATCH("升星比例",坦克属性分配比例标头,0),FALSE)+VLOOKUP(VLOOKUP($BJ14,坦克个性化设定!$B$18:$E$48,4,FALSE)&amp;$BK14,坦克属性分配比例,MATCH("部件比例",坦克属性分配比例标头,0),FALSE)*$C$3),0)</f>
        <v>475</v>
      </c>
      <c r="BP14" s="103">
        <f ca="1">ROUND(VLOOKUP($BJ14&amp;"初始",$S$3:$AE$63,MATCH(BP$3,$S$3:$AE$3,0),FALSE)+(VLOOKUP($BJ14&amp;"最终",$S$3:$AE$63,MATCH(BP$3,$S$3:$AE$3,0),FALSE)-VLOOKUP($BJ14&amp;"初始",$S$3:$AE$63,MATCH(BP$3,$S$3:$AE$3,0),FALSE))*$BL14/VLOOKUP(VLOOKUP($BJ14,坦克个性化设定!$B$18:$E$48,4,FALSE)&amp;$BK14,坦克属性分配比例,MATCH("升星次数",坦克属性分配比例标头,0),FALSE)*(VLOOKUP(VLOOKUP($BJ14,坦克个性化设定!$B$18:$E$48,4,FALSE)&amp;$BK14,坦克属性分配比例,MATCH("升星比例",坦克属性分配比例标头,0),FALSE)+VLOOKUP(VLOOKUP($BJ14,坦克个性化设定!$B$18:$E$48,4,FALSE)&amp;$BK14,坦克属性分配比例,MATCH("部件比例",坦克属性分配比例标头,0),FALSE)*$C$3),0)</f>
        <v>333</v>
      </c>
      <c r="BQ14" s="103">
        <f ca="1">ROUND(VLOOKUP($BJ14&amp;"初始",$S$3:$AE$63,MATCH(BQ$3,$S$3:$AE$3,0),FALSE)+(VLOOKUP($BJ14&amp;"最终",$S$3:$AE$63,MATCH(BQ$3,$S$3:$AE$3,0),FALSE)-VLOOKUP($BJ14&amp;"初始",$S$3:$AE$63,MATCH(BQ$3,$S$3:$AE$3,0),FALSE))*$BL14/VLOOKUP(VLOOKUP($BJ14,坦克个性化设定!$B$18:$E$48,4,FALSE)&amp;$BK14,坦克属性分配比例,MATCH("升星次数",坦克属性分配比例标头,0),FALSE)*VLOOKUP(VLOOKUP($BJ14,坦克个性化设定!$B$18:$E$48,4,FALSE)&amp;$BK14,坦克属性分配比例,MATCH("升星比例",坦克属性分配比例标头,0),FALSE),0)</f>
        <v>416</v>
      </c>
      <c r="BR14" s="2">
        <f ca="1">ROUND(VLOOKUP($BJ14&amp;"初始",$S$3:$AE$63,MATCH(BR$3,$S$3:$AE$3,0),FALSE)+(VLOOKUP($BJ14&amp;"最终",$S$3:$AE$63,MATCH(BR$3,$S$3:$AE$3,0),FALSE)-VLOOKUP($BJ14&amp;"初始",$S$3:$AE$63,MATCH(BR$3,$S$3:$AE$3,0),FALSE))*$BL14/VLOOKUP(VLOOKUP($BJ14,坦克个性化设定!$B$18:$E$48,4,FALSE)&amp;$BK14,坦克属性分配比例,MATCH("升星次数",坦克属性分配比例标头,0),FALSE),0)</f>
        <v>119</v>
      </c>
      <c r="BS14" s="2">
        <f>ROUND(VLOOKUP($BJ14,$AI$3:$AO$33,MATCH(BS$3,$AI$3:$AO$3,0),FALSE)+$BL14/VLOOKUP(VLOOKUP($BJ14,坦克个性化设定!$B$18:$E$48,4,FALSE)&amp;$BK14,坦克属性分配比例,MATCH("升星次数",坦克属性分配比例标头,0),FALSE)*VLOOKUP($BJ14,$AR$3:$AY$33,MATCH(BS$3,$AR$3:$AY$3,0),FALSE),1)</f>
        <v>53.8</v>
      </c>
      <c r="BT14" s="2">
        <f>ROUND(VLOOKUP($BJ14,$AI$3:$AO$33,MATCH(BT$3,$AI$3:$AO$3,0),FALSE)+$BL14/VLOOKUP(VLOOKUP($BJ14,坦克个性化设定!$B$18:$E$48,4,FALSE)&amp;$BK14,坦克属性分配比例,MATCH("升星次数",坦克属性分配比例标头,0),FALSE)*VLOOKUP($BJ14,$AR$3:$AY$33,MATCH(BT$3,$AR$3:$AY$3,0),FALSE),1)</f>
        <v>51.4</v>
      </c>
      <c r="BU14" s="2">
        <f>ROUND(VLOOKUP($BJ14,$AI$3:$AO$33,MATCH(BU$3,$AI$3:$AO$3,0),FALSE)+$BL14/VLOOKUP(VLOOKUP($BJ14,坦克个性化设定!$B$18:$E$48,4,FALSE)&amp;$BK14,坦克属性分配比例,MATCH("升星次数",坦克属性分配比例标头,0),FALSE)*VLOOKUP($BJ14,$AR$3:$AY$33,MATCH(BU$3,$AR$3:$AY$3,0),FALSE),1)</f>
        <v>10.5</v>
      </c>
      <c r="BV14" s="2">
        <f>IF(VLOOKUP(BJ14,坦克个性化设定!$B$18:$BC$48,MATCH("装弹类型",坦克个性化设定!$B$18:$BC$18,0),FALSE)="弹夹换弹",0,ROUND(VLOOKUP($BJ14,$AI$3:$AO$33,MATCH("换弹时间",$AI$3:$AO$3,0),FALSE)-$BL14/VLOOKUP(VLOOKUP($BJ14,坦克个性化设定!$B$18:$E$48,4,FALSE)&amp;$BK14,坦克属性分配比例,MATCH("升星次数",坦克属性分配比例标头,0),FALSE)*VLOOKUP($BJ14,$AR$3:$AY$33,MATCH("换弹时间",$AR$3:$AY$3,0),FALSE),2))</f>
        <v>0</v>
      </c>
      <c r="BW14" s="2">
        <f>IF(VLOOKUP(BJ14,坦克个性化设定!$B$18:$BC$48,MATCH("装弹类型",坦克个性化设定!$B$18:$BC$18,0),FALSE)="弹夹换弹",ROUND(VLOOKUP($BJ14,$AI$3:$AO$33,MATCH("换弹时间",$AI$3:$AO$3,0),FALSE)-$BL14/VLOOKUP(VLOOKUP($BJ14,坦克个性化设定!$B$18:$E$48,4,FALSE)&amp;$BK14,坦克属性分配比例,MATCH("升星次数",坦克属性分配比例标头,0),FALSE)*VLOOKUP($BJ14,$AR$3:$AY$33,MATCH("换弹时间",$AR$3:$AY$3,0),FALSE),1),0)</f>
        <v>6.8</v>
      </c>
      <c r="BX14" s="2">
        <f>ROUND(VLOOKUP($BJ14,$AI$3:$AO$33,MATCH(BX$3,$AI$3:$AO$3,0),FALSE)+$BL14/VLOOKUP(VLOOKUP($BJ14,坦克个性化设定!$B$18:$E$48,4,FALSE)&amp;$BK14,坦克属性分配比例,MATCH("升星次数",坦克属性分配比例标头,0),FALSE)*VLOOKUP($BJ14,$AR$3:$AY$33,MATCH(BX$3,$AR$3:$AY$3,0),FALSE),2)</f>
        <v>0.6</v>
      </c>
      <c r="BY14" s="2">
        <f>ROUND(VLOOKUP($BJ14,$AI$3:$AO$33,MATCH(BY$3,$AI$3:$AO$3,0),FALSE)-$BL14/VLOOKUP(VLOOKUP($BJ14,坦克个性化设定!$B$18:$E$48,4,FALSE)&amp;$BK14,坦克属性分配比例,MATCH("升星次数",坦克属性分配比例标头,0),FALSE)*VLOOKUP($BJ14,$AR$3:$AY$33,MATCH(BY$3,$AR$3:$AY$3,0),FALSE),2)</f>
        <v>0.35</v>
      </c>
      <c r="CA14" s="2">
        <v>11</v>
      </c>
      <c r="CB14" s="2" t="str">
        <f t="shared" si="15"/>
        <v>Stuart</v>
      </c>
      <c r="CC14" s="2" t="str">
        <f>VLOOKUP(CB14,坦克个性化设定!$B$18:$F$48,5,FALSE)</f>
        <v>中坦自动</v>
      </c>
      <c r="CD14" s="29" t="str">
        <f>VLOOKUP(CB14,坦克个性化细分!$I$3:$J$33,2,FALSE)</f>
        <v>低</v>
      </c>
      <c r="CE14" s="42">
        <f ca="1">(VLOOKUP($CB14&amp;"最终",$S$3:$AE$63,MATCH(CE$3,$S$3:$AE$3,0),FALSE)-VLOOKUP($CB14&amp;"初始",$S$3:$AE$63,MATCH(CE$3,$S$3:$AE$3,0),FALSE))*VLOOKUP(VLOOKUP($CB14,坦克个性化设定!$B$18:$E$48,4,FALSE)&amp;$CD14,坦克属性分配比例,MATCH("部件比例",坦克属性分配比例标头,0),FALSE)</f>
        <v>123.12944825525788</v>
      </c>
      <c r="CF14" s="42">
        <f ca="1">(VLOOKUP($CB14&amp;"最终",$S$3:$AE$63,MATCH(CF$3,$S$3:$AE$3,0),FALSE)-VLOOKUP($CB14&amp;"初始",$S$3:$AE$63,MATCH(CF$3,$S$3:$AE$3,0),FALSE))*VLOOKUP(VLOOKUP($CB14,坦克个性化设定!$B$18:$E$48,4,FALSE)&amp;$CD14,坦克属性分配比例,MATCH("部件比例",坦克属性分配比例标头,0),FALSE)</f>
        <v>10.713463560789785</v>
      </c>
      <c r="CG14" s="42">
        <f ca="1">(VLOOKUP($CB14&amp;"最终",$S$3:$AE$63,MATCH(CG$3,$S$3:$AE$3,0),FALSE)-VLOOKUP($CB14&amp;"初始",$S$3:$AE$63,MATCH(CG$3,$S$3:$AE$3,0),FALSE))*VLOOKUP(VLOOKUP($CB14,坦克个性化设定!$B$18:$E$48,4,FALSE)&amp;$CD14,坦克属性分配比例,MATCH("部件比例",坦克属性分配比例标头,0),FALSE)*(1-$C$3)</f>
        <v>11.76</v>
      </c>
      <c r="CH14" s="42">
        <f ca="1">(VLOOKUP($CB14&amp;"最终",$S$3:$AE$63,MATCH(CH$3,$S$3:$AE$3,0),FALSE)-VLOOKUP($CB14&amp;"初始",$S$3:$AE$63,MATCH(CH$3,$S$3:$AE$3,0),FALSE))*VLOOKUP(VLOOKUP($CB14,坦克个性化设定!$B$18:$E$48,4,FALSE)&amp;$CD14,坦克属性分配比例,MATCH("部件比例",坦克属性分配比例标头,0),FALSE)*(1-$C$3)</f>
        <v>8.8800000000000008</v>
      </c>
      <c r="CI14" s="42">
        <f ca="1">(VLOOKUP($CB14&amp;"最终",$S$3:$AE$63,MATCH(CI$3,$S$3:$AE$3,0),FALSE)-VLOOKUP($CB14&amp;"初始",$S$3:$AE$63,MATCH(CI$3,$S$3:$AE$3,0),FALSE))*VLOOKUP(VLOOKUP($CB14,坦克个性化设定!$B$18:$E$48,4,FALSE)&amp;$CD14,坦克属性分配比例,MATCH("部件比例",坦克属性分配比例标头,0),FALSE)</f>
        <v>32.4</v>
      </c>
    </row>
    <row r="15" spans="2:87" x14ac:dyDescent="0.3">
      <c r="B15" s="2">
        <v>10</v>
      </c>
      <c r="C15" s="2" t="str">
        <f>坦克个性化设定!B28</f>
        <v>59式</v>
      </c>
      <c r="D15" s="2">
        <v>1511</v>
      </c>
      <c r="E15" s="2" t="s">
        <v>632</v>
      </c>
      <c r="F15" s="2">
        <v>0</v>
      </c>
      <c r="G15" s="25" t="str">
        <f t="shared" si="17"/>
        <v>59式</v>
      </c>
      <c r="H15" s="2" t="str">
        <f>坦克等级成长!B24&amp;坦克等级成长!C24</f>
        <v>T5高</v>
      </c>
      <c r="I15" s="2">
        <v>13</v>
      </c>
      <c r="J15" s="2">
        <f>坦克等级成长!J24</f>
        <v>2.62</v>
      </c>
      <c r="K15" s="2">
        <f>坦克等级成长!K24</f>
        <v>3.89</v>
      </c>
      <c r="L15" s="2">
        <f>坦克等级成长!E24</f>
        <v>7</v>
      </c>
      <c r="M15" s="2">
        <f>IFERROR(VLOOKUP(L15,坦克部件!$N$3:$R$9,5,FALSE),VLOOKUP(L15-1,坦克部件!$N$3:$R$9,5,FALSE))</f>
        <v>0.35499999999999998</v>
      </c>
      <c r="N15" s="2">
        <f t="shared" si="0"/>
        <v>0.93010000000000004</v>
      </c>
      <c r="O15" s="162">
        <f t="shared" si="1"/>
        <v>0.5</v>
      </c>
      <c r="P15" s="155">
        <v>0.5</v>
      </c>
      <c r="Q15" s="163"/>
      <c r="R15" s="25"/>
      <c r="S15" s="2" t="str">
        <f t="shared" si="2"/>
        <v>AMX-13最终</v>
      </c>
      <c r="T15" s="2">
        <f>IF(COUNTIF(U$4:U14,U14)&gt;=$B$3,T14+1,T14)</f>
        <v>6</v>
      </c>
      <c r="U15" s="2" t="str">
        <f t="shared" si="3"/>
        <v>AMX-13</v>
      </c>
      <c r="V15" s="2" t="str">
        <f>VLOOKUP(U15,坦克个性化设定!$B$18:$F$48,5,FALSE)</f>
        <v>轻坦弹夹</v>
      </c>
      <c r="W15" s="29" t="str">
        <f>VLOOKUP(U15,坦克个性化细分!$I$3:$J$33,2,FALSE)</f>
        <v>高</v>
      </c>
      <c r="X15" s="2" t="str">
        <f t="shared" si="16"/>
        <v>最终</v>
      </c>
      <c r="Y15" s="2" t="str">
        <f>VLOOKUP(VLOOKUP(U15,坦克个性化设定!$B$18:$F$48,4,FALSE)&amp;W15,坦克等级成长!$P$12:$U$24,MATCH(X15,坦克等级成长!$P$12:$U$12,0),FALSE)</f>
        <v>T3高5</v>
      </c>
      <c r="Z15" s="42">
        <f ca="1">VLOOKUP($Y15,INDIRECT($V15&amp;"_阶段属性"),MATCH(Z$3,属性标头_阶段属性,0),FALSE)*VLOOKUP($U15,坦克个性化设定!$B$84:$D$114,2,FALSE)</f>
        <v>1729.9308499309877</v>
      </c>
      <c r="AA15" s="42">
        <f ca="1">VLOOKUP($Y15,INDIRECT($V15&amp;"_阶段属性"),MATCH(AA$3,属性标头_阶段属性,0),FALSE)*VLOOKUP($U15,坦克个性化设定!$B$84:$D$114,3,FALSE)</f>
        <v>144.7336988359433</v>
      </c>
      <c r="AB15" s="2">
        <f t="shared" ca="1" si="4"/>
        <v>766</v>
      </c>
      <c r="AC15" s="2">
        <f t="shared" ca="1" si="4"/>
        <v>536</v>
      </c>
      <c r="AD15" s="2">
        <f t="shared" ca="1" si="4"/>
        <v>699</v>
      </c>
      <c r="AE15" s="2">
        <f t="shared" ca="1" si="4"/>
        <v>186</v>
      </c>
      <c r="AF15" s="25"/>
      <c r="AH15" s="2">
        <v>12</v>
      </c>
      <c r="AI15" s="2" t="str">
        <f t="shared" si="5"/>
        <v>T-34</v>
      </c>
      <c r="AJ15" s="2">
        <f>VLOOKUP($AI15,坦克个性化细分!$I$3:$P$33,MATCH(AJ$3,坦克个性化细分!$I$3:$P$3,0),FALSE)</f>
        <v>44.5</v>
      </c>
      <c r="AK15" s="2">
        <f>VLOOKUP($AI15,坦克个性化细分!$I$3:$P$33,MATCH(AK$3,坦克个性化细分!$I$3:$P$3,0),FALSE)</f>
        <v>40</v>
      </c>
      <c r="AL15" s="2">
        <f>VLOOKUP($AI15,坦克个性化细分!$I$3:$P$33,MATCH(AL$3,坦克个性化细分!$I$3:$P$3,0),FALSE)</f>
        <v>8</v>
      </c>
      <c r="AM15" s="34">
        <f>VLOOKUP(AI15,坦克个性化细分!$AA$3:$AP$33,MATCH("射击偏移角",坦克个性化细分!$AA$3:$AP$3,0),FALSE)/VLOOKUP(AI15,坦克个性化细分!$AA$3:$AP$33,MATCH("原瞄准速度",坦克个性化细分!$AA$3:$AP$3,0),FALSE)</f>
        <v>1.01</v>
      </c>
      <c r="AN15" s="34">
        <f>VLOOKUP(AI15,坦克个性化细分!$AA$3:$AP$33,MATCH(AN$3,坦克个性化细分!$AA$3:$AP$3,0),FALSE)</f>
        <v>0.32</v>
      </c>
      <c r="AO15" s="2">
        <f>VLOOKUP(AI15,坦克个性化细分!$AA$3:$AP$33,MATCH("原换弹时间",坦克个性化细分!$AA$3:$AP$3,0),FALSE)</f>
        <v>3.2</v>
      </c>
      <c r="AP15" s="133"/>
      <c r="AQ15" s="2">
        <v>12</v>
      </c>
      <c r="AR15" s="2" t="str">
        <f t="shared" si="6"/>
        <v>T-34</v>
      </c>
      <c r="AS15" s="2" t="s">
        <v>85</v>
      </c>
      <c r="AT15" s="34">
        <f>VLOOKUP(AR15,坦克个性化细分!$I$3:$P$33,MATCH("养成区间1",坦克个性化细分!$I$3:$P$3,0),FALSE)</f>
        <v>11.124999999999998</v>
      </c>
      <c r="AU15" s="2">
        <f>VLOOKUP(AR15,坦克个性化细分!$I$3:$P$33,MATCH("养成区间2",坦克个性化细分!$I$3:$P$3,0),FALSE)</f>
        <v>9.9999999999999982</v>
      </c>
      <c r="AV15" s="2">
        <f>VLOOKUP(AR15,坦克个性化细分!$I$3:$P$33,MATCH("养成区间3",坦克个性化细分!$I$3:$P$3,0),FALSE)</f>
        <v>0</v>
      </c>
      <c r="AW15" s="34">
        <f>VLOOKUP(AR15,坦克个性化细分!$AA$3:$AP$33,MATCH("瞄准区间",坦克个性化细分!$AA$3:$AP$3,0),FALSE)</f>
        <v>0.16833333333333333</v>
      </c>
      <c r="AX15" s="34">
        <f>VLOOKUP(AI15,坦克个性化细分!$AA$3:$AP$33,MATCH("后射击间隔",坦克个性化细分!$AA$3:$AP$3,0),FALSE)-VLOOKUP(AI15,坦克个性化细分!$AA$3:$AP$33,MATCH(AN$3,坦克个性化细分!$AA$3:$AP$3,0),FALSE)</f>
        <v>0.67999999999999994</v>
      </c>
      <c r="AY15" s="34">
        <f>VLOOKUP(AR15,坦克个性化细分!$AA$3:$AP$33,MATCH("换弹区间",坦克个性化细分!$AA$3:$AP$3,0),FALSE)</f>
        <v>0.58134206219312601</v>
      </c>
      <c r="AZ15" s="133"/>
      <c r="BA15" s="34">
        <f t="shared" si="8"/>
        <v>0.24999999999999997</v>
      </c>
      <c r="BB15" s="34">
        <f t="shared" si="9"/>
        <v>0.24999999999999994</v>
      </c>
      <c r="BC15" s="34">
        <f t="shared" si="10"/>
        <v>0</v>
      </c>
      <c r="BD15" s="34">
        <f t="shared" si="11"/>
        <v>0.16666666666666666</v>
      </c>
      <c r="BE15" s="34">
        <f t="shared" si="12"/>
        <v>0.18166939443535188</v>
      </c>
      <c r="BF15" s="34"/>
      <c r="BG15" s="133"/>
      <c r="BH15" s="2" t="str">
        <f t="shared" si="13"/>
        <v>二号5</v>
      </c>
      <c r="BI15" s="2">
        <f>IF(BL14&gt;=VLOOKUP(VLOOKUP(BJ14,坦克个性化设定!$B$18:$E$48,4,FALSE)&amp;BK14,坦克属性分配比例,MATCH("升星次数",坦克属性分配比例标头,0),FALSE),BI14+1,BI14)</f>
        <v>2</v>
      </c>
      <c r="BJ15" s="2" t="str">
        <f t="shared" si="14"/>
        <v>二号</v>
      </c>
      <c r="BK15" s="29" t="str">
        <f>VLOOKUP(BJ15,坦克个性化细分!$I$3:$J$33,2,FALSE)</f>
        <v>低</v>
      </c>
      <c r="BL15" s="2">
        <f t="shared" si="7"/>
        <v>5</v>
      </c>
      <c r="BM15" s="103">
        <f ca="1">ROUND(VLOOKUP($BJ15&amp;"初始",$S$3:$AE$63,MATCH(BM$3,$S$3:$AE$3,0),FALSE)+((VLOOKUP($BJ15&amp;"最终",$S$3:$AE$63,MATCH(BM$3,$S$3:$AE$3,0),FALSE)*坦克个性化细分!$C$9-VLOOKUP($BJ15&amp;"初始",$S$3:$AE$63,MATCH(BM$3,$S$3:$AE$3,0),FALSE))-(VLOOKUP($BJ15&amp;"最终",$S$3:$AE$63,MATCH(BM$3,$S$3:$AE$3,0),FALSE)-VLOOKUP($BJ15&amp;"初始",$S$3:$AE$63,MATCH(BM$3,$S$3:$AE$3,0),FALSE))*VLOOKUP(VLOOKUP($BJ15,坦克个性化设定!$B$18:$E$48,4,FALSE)&amp;$BK15,坦克属性分配比例,MATCH("部件比例",坦克属性分配比例标头,0),FALSE))*$BL15/VLOOKUP(VLOOKUP($BJ15,坦克个性化设定!$B$18:$E$48,4,FALSE)&amp;$BK15,坦克属性分配比例,MATCH("升星次数",坦克属性分配比例标头,0),FALSE),0)</f>
        <v>1165</v>
      </c>
      <c r="BN15" s="103">
        <f ca="1">ROUND(VLOOKUP($BJ15&amp;"初始",$S$3:$AE$63,MATCH(BN$3,$S$3:$AE$3,0),FALSE)+(VLOOKUP($BJ15&amp;"最终",$S$3:$AE$63,MATCH(BN$3,$S$3:$AE$3,0),FALSE)-VLOOKUP($BJ15&amp;"初始",$S$3:$AE$63,MATCH(BN$3,$S$3:$AE$3,0),FALSE))*$BL15/VLOOKUP(VLOOKUP($BJ15,坦克个性化设定!$B$18:$E$48,4,FALSE)&amp;$BK15,坦克属性分配比例,MATCH("升星次数",坦克属性分配比例标头,0),FALSE)*VLOOKUP(VLOOKUP($BJ15,坦克个性化设定!$B$18:$E$48,4,FALSE)&amp;$BK15,坦克属性分配比例,MATCH("升星比例",坦克属性分配比例标头,0),FALSE),0)</f>
        <v>85</v>
      </c>
      <c r="BO15" s="103">
        <f ca="1">ROUND(VLOOKUP($BJ15&amp;"初始",$S$3:$AE$63,MATCH(BO$3,$S$3:$AE$3,0),FALSE)+(VLOOKUP($BJ15&amp;"最终",$S$3:$AE$63,MATCH(BO$3,$S$3:$AE$3,0),FALSE)-VLOOKUP($BJ15&amp;"初始",$S$3:$AE$63,MATCH(BO$3,$S$3:$AE$3,0),FALSE))*$BL15/VLOOKUP(VLOOKUP($BJ15,坦克个性化设定!$B$18:$E$48,4,FALSE)&amp;$BK15,坦克属性分配比例,MATCH("升星次数",坦克属性分配比例标头,0),FALSE)*(VLOOKUP(VLOOKUP($BJ15,坦克个性化设定!$B$18:$E$48,4,FALSE)&amp;$BK15,坦克属性分配比例,MATCH("升星比例",坦克属性分配比例标头,0),FALSE)+VLOOKUP(VLOOKUP($BJ15,坦克个性化设定!$B$18:$E$48,4,FALSE)&amp;$BK15,坦克属性分配比例,MATCH("部件比例",坦克属性分配比例标头,0),FALSE)*$C$3),0)</f>
        <v>495</v>
      </c>
      <c r="BP15" s="103">
        <f ca="1">ROUND(VLOOKUP($BJ15&amp;"初始",$S$3:$AE$63,MATCH(BP$3,$S$3:$AE$3,0),FALSE)+(VLOOKUP($BJ15&amp;"最终",$S$3:$AE$63,MATCH(BP$3,$S$3:$AE$3,0),FALSE)-VLOOKUP($BJ15&amp;"初始",$S$3:$AE$63,MATCH(BP$3,$S$3:$AE$3,0),FALSE))*$BL15/VLOOKUP(VLOOKUP($BJ15,坦克个性化设定!$B$18:$E$48,4,FALSE)&amp;$BK15,坦克属性分配比例,MATCH("升星次数",坦克属性分配比例标头,0),FALSE)*(VLOOKUP(VLOOKUP($BJ15,坦克个性化设定!$B$18:$E$48,4,FALSE)&amp;$BK15,坦克属性分配比例,MATCH("升星比例",坦克属性分配比例标头,0),FALSE)+VLOOKUP(VLOOKUP($BJ15,坦克个性化设定!$B$18:$E$48,4,FALSE)&amp;$BK15,坦克属性分配比例,MATCH("部件比例",坦克属性分配比例标头,0),FALSE)*$C$3),0)</f>
        <v>347</v>
      </c>
      <c r="BQ15" s="103">
        <f ca="1">ROUND(VLOOKUP($BJ15&amp;"初始",$S$3:$AE$63,MATCH(BQ$3,$S$3:$AE$3,0),FALSE)+(VLOOKUP($BJ15&amp;"最终",$S$3:$AE$63,MATCH(BQ$3,$S$3:$AE$3,0),FALSE)-VLOOKUP($BJ15&amp;"初始",$S$3:$AE$63,MATCH(BQ$3,$S$3:$AE$3,0),FALSE))*$BL15/VLOOKUP(VLOOKUP($BJ15,坦克个性化设定!$B$18:$E$48,4,FALSE)&amp;$BK15,坦克属性分配比例,MATCH("升星次数",坦克属性分配比例标头,0),FALSE)*VLOOKUP(VLOOKUP($BJ15,坦克个性化设定!$B$18:$E$48,4,FALSE)&amp;$BK15,坦克属性分配比例,MATCH("升星比例",坦克属性分配比例标头,0),FALSE),0)</f>
        <v>430</v>
      </c>
      <c r="BR15" s="2">
        <f ca="1">ROUND(VLOOKUP($BJ15&amp;"初始",$S$3:$AE$63,MATCH(BR$3,$S$3:$AE$3,0),FALSE)+(VLOOKUP($BJ15&amp;"最终",$S$3:$AE$63,MATCH(BR$3,$S$3:$AE$3,0),FALSE)-VLOOKUP($BJ15&amp;"初始",$S$3:$AE$63,MATCH(BR$3,$S$3:$AE$3,0),FALSE))*$BL15/VLOOKUP(VLOOKUP($BJ15,坦克个性化设定!$B$18:$E$48,4,FALSE)&amp;$BK15,坦克属性分配比例,MATCH("升星次数",坦克属性分配比例标头,0),FALSE),0)</f>
        <v>125</v>
      </c>
      <c r="BS15" s="2">
        <f>ROUND(VLOOKUP($BJ15,$AI$3:$AO$33,MATCH(BS$3,$AI$3:$AO$3,0),FALSE)+$BL15/VLOOKUP(VLOOKUP($BJ15,坦克个性化设定!$B$18:$E$48,4,FALSE)&amp;$BK15,坦克属性分配比例,MATCH("升星次数",坦克属性分配比例标头,0),FALSE)*VLOOKUP($BJ15,$AR$3:$AY$33,MATCH(BS$3,$AR$3:$AY$3,0),FALSE),1)</f>
        <v>55.5</v>
      </c>
      <c r="BT15" s="2">
        <f>ROUND(VLOOKUP($BJ15,$AI$3:$AO$33,MATCH(BT$3,$AI$3:$AO$3,0),FALSE)+$BL15/VLOOKUP(VLOOKUP($BJ15,坦克个性化设定!$B$18:$E$48,4,FALSE)&amp;$BK15,坦克属性分配比例,MATCH("升星次数",坦克属性分配比例标头,0),FALSE)*VLOOKUP($BJ15,$AR$3:$AY$33,MATCH(BT$3,$AR$3:$AY$3,0),FALSE),1)</f>
        <v>53</v>
      </c>
      <c r="BU15" s="2">
        <f>ROUND(VLOOKUP($BJ15,$AI$3:$AO$33,MATCH(BU$3,$AI$3:$AO$3,0),FALSE)+$BL15/VLOOKUP(VLOOKUP($BJ15,坦克个性化设定!$B$18:$E$48,4,FALSE)&amp;$BK15,坦克属性分配比例,MATCH("升星次数",坦克属性分配比例标头,0),FALSE)*VLOOKUP($BJ15,$AR$3:$AY$33,MATCH(BU$3,$AR$3:$AY$3,0),FALSE),1)</f>
        <v>10.5</v>
      </c>
      <c r="BV15" s="2">
        <f>IF(VLOOKUP(BJ15,坦克个性化设定!$B$18:$BC$48,MATCH("装弹类型",坦克个性化设定!$B$18:$BC$18,0),FALSE)="弹夹换弹",0,ROUND(VLOOKUP($BJ15,$AI$3:$AO$33,MATCH("换弹时间",$AI$3:$AO$3,0),FALSE)-$BL15/VLOOKUP(VLOOKUP($BJ15,坦克个性化设定!$B$18:$E$48,4,FALSE)&amp;$BK15,坦克属性分配比例,MATCH("升星次数",坦克属性分配比例标头,0),FALSE)*VLOOKUP($BJ15,$AR$3:$AY$33,MATCH("换弹时间",$AR$3:$AY$3,0),FALSE),2))</f>
        <v>0</v>
      </c>
      <c r="BW15" s="2">
        <f>IF(VLOOKUP(BJ15,坦克个性化设定!$B$18:$BC$48,MATCH("装弹类型",坦克个性化设定!$B$18:$BC$18,0),FALSE)="弹夹换弹",ROUND(VLOOKUP($BJ15,$AI$3:$AO$33,MATCH("换弹时间",$AI$3:$AO$3,0),FALSE)-$BL15/VLOOKUP(VLOOKUP($BJ15,坦克个性化设定!$B$18:$E$48,4,FALSE)&amp;$BK15,坦克属性分配比例,MATCH("升星次数",坦克属性分配比例标头,0),FALSE)*VLOOKUP($BJ15,$AR$3:$AY$33,MATCH("换弹时间",$AR$3:$AY$3,0),FALSE),1),0)</f>
        <v>6.4</v>
      </c>
      <c r="BX15" s="2">
        <f>ROUND(VLOOKUP($BJ15,$AI$3:$AO$33,MATCH(BX$3,$AI$3:$AO$3,0),FALSE)+$BL15/VLOOKUP(VLOOKUP($BJ15,坦克个性化设定!$B$18:$E$48,4,FALSE)&amp;$BK15,坦克属性分配比例,MATCH("升星次数",坦克属性分配比例标头,0),FALSE)*VLOOKUP($BJ15,$AR$3:$AY$33,MATCH(BX$3,$AR$3:$AY$3,0),FALSE),2)</f>
        <v>0.6</v>
      </c>
      <c r="BY15" s="2">
        <f>ROUND(VLOOKUP($BJ15,$AI$3:$AO$33,MATCH(BY$3,$AI$3:$AO$3,0),FALSE)-$BL15/VLOOKUP(VLOOKUP($BJ15,坦克个性化设定!$B$18:$E$48,4,FALSE)&amp;$BK15,坦克属性分配比例,MATCH("升星次数",坦克属性分配比例标头,0),FALSE)*VLOOKUP($BJ15,$AR$3:$AY$33,MATCH(BY$3,$AR$3:$AY$3,0),FALSE),2)</f>
        <v>0.35</v>
      </c>
      <c r="CA15" s="2">
        <v>12</v>
      </c>
      <c r="CB15" s="2" t="str">
        <f t="shared" si="15"/>
        <v>T-34</v>
      </c>
      <c r="CC15" s="2" t="str">
        <f>VLOOKUP(CB15,坦克个性化设定!$B$18:$F$48,5,FALSE)</f>
        <v>中坦自动</v>
      </c>
      <c r="CD15" s="29" t="str">
        <f>VLOOKUP(CB15,坦克个性化细分!$I$3:$J$33,2,FALSE)</f>
        <v>低</v>
      </c>
      <c r="CE15" s="42">
        <f ca="1">(VLOOKUP($CB15&amp;"最终",$S$3:$AE$63,MATCH(CE$3,$S$3:$AE$3,0),FALSE)-VLOOKUP($CB15&amp;"初始",$S$3:$AE$63,MATCH(CE$3,$S$3:$AE$3,0),FALSE))*VLOOKUP(VLOOKUP($CB15,坦克个性化设定!$B$18:$E$48,4,FALSE)&amp;$CD15,坦克属性分配比例,MATCH("部件比例",坦克属性分配比例标头,0),FALSE)</f>
        <v>128.84869611441405</v>
      </c>
      <c r="CF15" s="42">
        <f ca="1">(VLOOKUP($CB15&amp;"最终",$S$3:$AE$63,MATCH(CF$3,$S$3:$AE$3,0),FALSE)-VLOOKUP($CB15&amp;"初始",$S$3:$AE$63,MATCH(CF$3,$S$3:$AE$3,0),FALSE))*VLOOKUP(VLOOKUP($CB15,坦克个性化设定!$B$18:$E$48,4,FALSE)&amp;$CD15,坦克属性分配比例,MATCH("部件比例",坦克属性分配比例标头,0),FALSE)</f>
        <v>18.97978073312008</v>
      </c>
      <c r="CG15" s="42">
        <f ca="1">(VLOOKUP($CB15&amp;"最终",$S$3:$AE$63,MATCH(CG$3,$S$3:$AE$3,0),FALSE)-VLOOKUP($CB15&amp;"初始",$S$3:$AE$63,MATCH(CG$3,$S$3:$AE$3,0),FALSE))*VLOOKUP(VLOOKUP($CB15,坦克个性化设定!$B$18:$E$48,4,FALSE)&amp;$CD15,坦克属性分配比例,MATCH("部件比例",坦克属性分配比例标头,0),FALSE)*(1-$C$3)</f>
        <v>23.099999999999998</v>
      </c>
      <c r="CH15" s="42">
        <f ca="1">(VLOOKUP($CB15&amp;"最终",$S$3:$AE$63,MATCH(CH$3,$S$3:$AE$3,0),FALSE)-VLOOKUP($CB15&amp;"初始",$S$3:$AE$63,MATCH(CH$3,$S$3:$AE$3,0),FALSE))*VLOOKUP(VLOOKUP($CB15,坦克个性化设定!$B$18:$E$48,4,FALSE)&amp;$CD15,坦克属性分配比例,MATCH("部件比例",坦克属性分配比例标头,0),FALSE)*(1-$C$3)</f>
        <v>17.22</v>
      </c>
      <c r="CI15" s="42">
        <f ca="1">(VLOOKUP($CB15&amp;"最终",$S$3:$AE$63,MATCH(CI$3,$S$3:$AE$3,0),FALSE)-VLOOKUP($CB15&amp;"初始",$S$3:$AE$63,MATCH(CI$3,$S$3:$AE$3,0),FALSE))*VLOOKUP(VLOOKUP($CB15,坦克个性化设定!$B$18:$E$48,4,FALSE)&amp;$CD15,坦克属性分配比例,MATCH("部件比例",坦克属性分配比例标头,0),FALSE)</f>
        <v>62.999999999999993</v>
      </c>
    </row>
    <row r="16" spans="2:87" x14ac:dyDescent="0.3">
      <c r="B16" s="2">
        <v>11</v>
      </c>
      <c r="C16" s="2" t="str">
        <f>坦克个性化设定!B29</f>
        <v>Stuart</v>
      </c>
      <c r="D16" s="2">
        <v>2111</v>
      </c>
      <c r="E16" s="2" t="s">
        <v>634</v>
      </c>
      <c r="F16" s="2">
        <v>1</v>
      </c>
      <c r="G16" s="25" t="str">
        <f t="shared" si="17"/>
        <v>Stuart</v>
      </c>
      <c r="H16" s="25"/>
      <c r="I16" s="25"/>
      <c r="J16" s="25"/>
      <c r="K16" s="25"/>
      <c r="L16" s="25"/>
      <c r="M16" s="25"/>
      <c r="N16" s="25"/>
      <c r="O16" s="25"/>
      <c r="P16" s="25"/>
      <c r="Q16" s="25"/>
      <c r="R16" s="25"/>
      <c r="S16" s="2" t="str">
        <f t="shared" si="2"/>
        <v>霞飞初始</v>
      </c>
      <c r="T16" s="2">
        <f>IF(COUNTIF(U$4:U15,U15)&gt;=$B$3,T15+1,T15)</f>
        <v>7</v>
      </c>
      <c r="U16" s="2" t="str">
        <f t="shared" si="3"/>
        <v>霞飞</v>
      </c>
      <c r="V16" s="2" t="str">
        <f>VLOOKUP(U16,坦克个性化设定!$B$18:$F$48,5,FALSE)</f>
        <v>轻坦弹夹</v>
      </c>
      <c r="W16" s="29" t="str">
        <f>VLOOKUP(U16,坦克个性化细分!$I$3:$J$33,2,FALSE)</f>
        <v>低</v>
      </c>
      <c r="X16" s="2" t="str">
        <f t="shared" si="16"/>
        <v>初始</v>
      </c>
      <c r="Y16" s="2" t="str">
        <f>VLOOKUP(VLOOKUP(U16,坦克个性化设定!$B$18:$F$48,4,FALSE)&amp;W16,坦克等级成长!$P$12:$U$24,MATCH(X16,坦克等级成长!$P$12:$U$12,0),FALSE)</f>
        <v>T4低4</v>
      </c>
      <c r="Z16" s="42">
        <f ca="1">VLOOKUP($Y16,INDIRECT($V16&amp;"_阶段属性"),MATCH(Z$3,属性标头_阶段属性,0),FALSE)*VLOOKUP($U16,坦克个性化设定!$B$84:$D$114,2,FALSE)</f>
        <v>1467.2456516442787</v>
      </c>
      <c r="AA16" s="42">
        <f ca="1">VLOOKUP($Y16,INDIRECT($V16&amp;"_阶段属性"),MATCH(AA$3,属性标头_阶段属性,0),FALSE)*VLOOKUP($U16,坦克个性化设定!$B$84:$D$114,3,FALSE)</f>
        <v>102.1652306238657</v>
      </c>
      <c r="AB16" s="2">
        <f t="shared" ca="1" si="4"/>
        <v>631</v>
      </c>
      <c r="AC16" s="2">
        <f t="shared" ca="1" si="4"/>
        <v>442</v>
      </c>
      <c r="AD16" s="2">
        <f t="shared" ca="1" si="4"/>
        <v>576</v>
      </c>
      <c r="AE16" s="2">
        <f t="shared" ca="1" si="4"/>
        <v>154</v>
      </c>
      <c r="AF16" s="25"/>
      <c r="AH16" s="2">
        <v>13</v>
      </c>
      <c r="AI16" s="2" t="str">
        <f t="shared" si="5"/>
        <v>四号</v>
      </c>
      <c r="AJ16" s="2">
        <f>VLOOKUP($AI16,坦克个性化细分!$I$3:$P$33,MATCH(AJ$3,坦克个性化细分!$I$3:$P$3,0),FALSE)</f>
        <v>36.299999999999997</v>
      </c>
      <c r="AK16" s="2">
        <f>VLOOKUP($AI16,坦克个性化细分!$I$3:$P$33,MATCH(AK$3,坦克个性化细分!$I$3:$P$3,0),FALSE)</f>
        <v>51</v>
      </c>
      <c r="AL16" s="2">
        <f>VLOOKUP($AI16,坦克个性化细分!$I$3:$P$33,MATCH(AL$3,坦克个性化细分!$I$3:$P$3,0),FALSE)</f>
        <v>7.3</v>
      </c>
      <c r="AM16" s="34">
        <f>VLOOKUP(AI16,坦克个性化细分!$AA$3:$AP$33,MATCH("射击偏移角",坦克个性化细分!$AA$3:$AP$3,0),FALSE)/VLOOKUP(AI16,坦克个性化细分!$AA$3:$AP$33,MATCH("原瞄准速度",坦克个性化细分!$AA$3:$AP$3,0),FALSE)</f>
        <v>1.4</v>
      </c>
      <c r="AN16" s="34">
        <f>VLOOKUP(AI16,坦克个性化细分!$AA$3:$AP$33,MATCH(AN$3,坦克个性化细分!$AA$3:$AP$3,0),FALSE)</f>
        <v>0.4</v>
      </c>
      <c r="AO16" s="2">
        <f>VLOOKUP(AI16,坦克个性化细分!$AA$3:$AP$33,MATCH("原换弹时间",坦克个性化细分!$AA$3:$AP$3,0),FALSE)</f>
        <v>2.4</v>
      </c>
      <c r="AP16" s="133"/>
      <c r="AQ16" s="2">
        <v>13</v>
      </c>
      <c r="AR16" s="2" t="str">
        <f t="shared" si="6"/>
        <v>四号</v>
      </c>
      <c r="AS16" s="2" t="s">
        <v>875</v>
      </c>
      <c r="AT16" s="34">
        <f>VLOOKUP(AR16,坦克个性化细分!$I$3:$P$33,MATCH("养成区间1",坦克个性化细分!$I$3:$P$3,0),FALSE)</f>
        <v>9.0749999999999957</v>
      </c>
      <c r="AU16" s="2">
        <f>VLOOKUP(AR16,坦克个性化细分!$I$3:$P$33,MATCH("养成区间2",坦克个性化细分!$I$3:$P$3,0),FALSE)</f>
        <v>12.749999999999996</v>
      </c>
      <c r="AV16" s="2">
        <f>VLOOKUP(AR16,坦克个性化细分!$I$3:$P$33,MATCH("养成区间3",坦克个性化细分!$I$3:$P$3,0),FALSE)</f>
        <v>0</v>
      </c>
      <c r="AW16" s="34">
        <f>VLOOKUP(AR16,坦克个性化细分!$AA$3:$AP$33,MATCH("瞄准区间",坦克个性化细分!$AA$3:$AP$3,0),FALSE)</f>
        <v>0.23333333333333317</v>
      </c>
      <c r="AX16" s="34">
        <f>VLOOKUP(AI16,坦克个性化细分!$AA$3:$AP$33,MATCH("后射击间隔",坦克个性化细分!$AA$3:$AP$3,0),FALSE)-VLOOKUP(AI16,坦克个性化细分!$AA$3:$AP$33,MATCH(AN$3,坦克个性化细分!$AA$3:$AP$3,0),FALSE)</f>
        <v>0</v>
      </c>
      <c r="AY16" s="34">
        <f>VLOOKUP(AR16,坦克个性化细分!$AA$3:$AP$33,MATCH("换弹区间",坦克个性化细分!$AA$3:$AP$3,0),FALSE)</f>
        <v>0.37639123102866767</v>
      </c>
      <c r="AZ16" s="133"/>
      <c r="BA16" s="34">
        <f t="shared" si="8"/>
        <v>0.24999999999999989</v>
      </c>
      <c r="BB16" s="34">
        <f t="shared" si="9"/>
        <v>0.24999999999999992</v>
      </c>
      <c r="BC16" s="34">
        <f t="shared" si="10"/>
        <v>0</v>
      </c>
      <c r="BD16" s="34">
        <f t="shared" si="11"/>
        <v>0.16666666666666657</v>
      </c>
      <c r="BE16" s="34">
        <f t="shared" si="12"/>
        <v>0.15682967959527822</v>
      </c>
      <c r="BF16" s="34"/>
      <c r="BG16" s="133"/>
      <c r="BH16" s="2" t="str">
        <f t="shared" si="13"/>
        <v>二号6</v>
      </c>
      <c r="BI16" s="2">
        <f>IF(BL15&gt;=VLOOKUP(VLOOKUP(BJ15,坦克个性化设定!$B$18:$E$48,4,FALSE)&amp;BK15,坦克属性分配比例,MATCH("升星次数",坦克属性分配比例标头,0),FALSE),BI15+1,BI15)</f>
        <v>2</v>
      </c>
      <c r="BJ16" s="2" t="str">
        <f t="shared" si="14"/>
        <v>二号</v>
      </c>
      <c r="BK16" s="29" t="str">
        <f>VLOOKUP(BJ16,坦克个性化细分!$I$3:$J$33,2,FALSE)</f>
        <v>低</v>
      </c>
      <c r="BL16" s="2">
        <f t="shared" si="7"/>
        <v>6</v>
      </c>
      <c r="BM16" s="103">
        <f ca="1">ROUND(VLOOKUP($BJ16&amp;"初始",$S$3:$AE$63,MATCH(BM$3,$S$3:$AE$3,0),FALSE)+((VLOOKUP($BJ16&amp;"最终",$S$3:$AE$63,MATCH(BM$3,$S$3:$AE$3,0),FALSE)*坦克个性化细分!$C$9-VLOOKUP($BJ16&amp;"初始",$S$3:$AE$63,MATCH(BM$3,$S$3:$AE$3,0),FALSE))-(VLOOKUP($BJ16&amp;"最终",$S$3:$AE$63,MATCH(BM$3,$S$3:$AE$3,0),FALSE)-VLOOKUP($BJ16&amp;"初始",$S$3:$AE$63,MATCH(BM$3,$S$3:$AE$3,0),FALSE))*VLOOKUP(VLOOKUP($BJ16,坦克个性化设定!$B$18:$E$48,4,FALSE)&amp;$BK16,坦克属性分配比例,MATCH("部件比例",坦克属性分配比例标头,0),FALSE))*$BL16/VLOOKUP(VLOOKUP($BJ16,坦克个性化设定!$B$18:$E$48,4,FALSE)&amp;$BK16,坦克属性分配比例,MATCH("升星次数",坦克属性分配比例标头,0),FALSE),0)</f>
        <v>1222</v>
      </c>
      <c r="BN16" s="103">
        <f ca="1">ROUND(VLOOKUP($BJ16&amp;"初始",$S$3:$AE$63,MATCH(BN$3,$S$3:$AE$3,0),FALSE)+(VLOOKUP($BJ16&amp;"最终",$S$3:$AE$63,MATCH(BN$3,$S$3:$AE$3,0),FALSE)-VLOOKUP($BJ16&amp;"初始",$S$3:$AE$63,MATCH(BN$3,$S$3:$AE$3,0),FALSE))*$BL16/VLOOKUP(VLOOKUP($BJ16,坦克个性化设定!$B$18:$E$48,4,FALSE)&amp;$BK16,坦克属性分配比例,MATCH("升星次数",坦克属性分配比例标头,0),FALSE)*VLOOKUP(VLOOKUP($BJ16,坦克个性化设定!$B$18:$E$48,4,FALSE)&amp;$BK16,坦克属性分配比例,MATCH("升星比例",坦克属性分配比例标头,0),FALSE),0)</f>
        <v>88</v>
      </c>
      <c r="BO16" s="103">
        <f ca="1">ROUND(VLOOKUP($BJ16&amp;"初始",$S$3:$AE$63,MATCH(BO$3,$S$3:$AE$3,0),FALSE)+(VLOOKUP($BJ16&amp;"最终",$S$3:$AE$63,MATCH(BO$3,$S$3:$AE$3,0),FALSE)-VLOOKUP($BJ16&amp;"初始",$S$3:$AE$63,MATCH(BO$3,$S$3:$AE$3,0),FALSE))*$BL16/VLOOKUP(VLOOKUP($BJ16,坦克个性化设定!$B$18:$E$48,4,FALSE)&amp;$BK16,坦克属性分配比例,MATCH("升星次数",坦克属性分配比例标头,0),FALSE)*(VLOOKUP(VLOOKUP($BJ16,坦克个性化设定!$B$18:$E$48,4,FALSE)&amp;$BK16,坦克属性分配比例,MATCH("升星比例",坦克属性分配比例标头,0),FALSE)+VLOOKUP(VLOOKUP($BJ16,坦克个性化设定!$B$18:$E$48,4,FALSE)&amp;$BK16,坦克属性分配比例,MATCH("部件比例",坦克属性分配比例标头,0),FALSE)*$C$3),0)</f>
        <v>516</v>
      </c>
      <c r="BP16" s="103">
        <f ca="1">ROUND(VLOOKUP($BJ16&amp;"初始",$S$3:$AE$63,MATCH(BP$3,$S$3:$AE$3,0),FALSE)+(VLOOKUP($BJ16&amp;"最终",$S$3:$AE$63,MATCH(BP$3,$S$3:$AE$3,0),FALSE)-VLOOKUP($BJ16&amp;"初始",$S$3:$AE$63,MATCH(BP$3,$S$3:$AE$3,0),FALSE))*$BL16/VLOOKUP(VLOOKUP($BJ16,坦克个性化设定!$B$18:$E$48,4,FALSE)&amp;$BK16,坦克属性分配比例,MATCH("升星次数",坦克属性分配比例标头,0),FALSE)*(VLOOKUP(VLOOKUP($BJ16,坦克个性化设定!$B$18:$E$48,4,FALSE)&amp;$BK16,坦克属性分配比例,MATCH("升星比例",坦克属性分配比例标头,0),FALSE)+VLOOKUP(VLOOKUP($BJ16,坦克个性化设定!$B$18:$E$48,4,FALSE)&amp;$BK16,坦克属性分配比例,MATCH("部件比例",坦克属性分配比例标头,0),FALSE)*$C$3),0)</f>
        <v>361</v>
      </c>
      <c r="BQ16" s="103">
        <f ca="1">ROUND(VLOOKUP($BJ16&amp;"初始",$S$3:$AE$63,MATCH(BQ$3,$S$3:$AE$3,0),FALSE)+(VLOOKUP($BJ16&amp;"最终",$S$3:$AE$63,MATCH(BQ$3,$S$3:$AE$3,0),FALSE)-VLOOKUP($BJ16&amp;"初始",$S$3:$AE$63,MATCH(BQ$3,$S$3:$AE$3,0),FALSE))*$BL16/VLOOKUP(VLOOKUP($BJ16,坦克个性化设定!$B$18:$E$48,4,FALSE)&amp;$BK16,坦克属性分配比例,MATCH("升星次数",坦克属性分配比例标头,0),FALSE)*VLOOKUP(VLOOKUP($BJ16,坦克个性化设定!$B$18:$E$48,4,FALSE)&amp;$BK16,坦克属性分配比例,MATCH("升星比例",坦克属性分配比例标头,0),FALSE),0)</f>
        <v>444</v>
      </c>
      <c r="BR16" s="2">
        <f ca="1">ROUND(VLOOKUP($BJ16&amp;"初始",$S$3:$AE$63,MATCH(BR$3,$S$3:$AE$3,0),FALSE)+(VLOOKUP($BJ16&amp;"最终",$S$3:$AE$63,MATCH(BR$3,$S$3:$AE$3,0),FALSE)-VLOOKUP($BJ16&amp;"初始",$S$3:$AE$63,MATCH(BR$3,$S$3:$AE$3,0),FALSE))*$BL16/VLOOKUP(VLOOKUP($BJ16,坦克个性化设定!$B$18:$E$48,4,FALSE)&amp;$BK16,坦克属性分配比例,MATCH("升星次数",坦克属性分配比例标头,0),FALSE),0)</f>
        <v>130</v>
      </c>
      <c r="BS16" s="2">
        <f>ROUND(VLOOKUP($BJ16,$AI$3:$AO$33,MATCH(BS$3,$AI$3:$AO$3,0),FALSE)+$BL16/VLOOKUP(VLOOKUP($BJ16,坦克个性化设定!$B$18:$E$48,4,FALSE)&amp;$BK16,坦克属性分配比例,MATCH("升星次数",坦克属性分配比例标头,0),FALSE)*VLOOKUP($BJ16,$AR$3:$AY$33,MATCH(BS$3,$AR$3:$AY$3,0),FALSE),1)</f>
        <v>57.2</v>
      </c>
      <c r="BT16" s="2">
        <f>ROUND(VLOOKUP($BJ16,$AI$3:$AO$33,MATCH(BT$3,$AI$3:$AO$3,0),FALSE)+$BL16/VLOOKUP(VLOOKUP($BJ16,坦克个性化设定!$B$18:$E$48,4,FALSE)&amp;$BK16,坦克属性分配比例,MATCH("升星次数",坦克属性分配比例标头,0),FALSE)*VLOOKUP($BJ16,$AR$3:$AY$33,MATCH(BT$3,$AR$3:$AY$3,0),FALSE),1)</f>
        <v>54.6</v>
      </c>
      <c r="BU16" s="2">
        <f>ROUND(VLOOKUP($BJ16,$AI$3:$AO$33,MATCH(BU$3,$AI$3:$AO$3,0),FALSE)+$BL16/VLOOKUP(VLOOKUP($BJ16,坦克个性化设定!$B$18:$E$48,4,FALSE)&amp;$BK16,坦克属性分配比例,MATCH("升星次数",坦克属性分配比例标头,0),FALSE)*VLOOKUP($BJ16,$AR$3:$AY$33,MATCH(BU$3,$AR$3:$AY$3,0),FALSE),1)</f>
        <v>10.5</v>
      </c>
      <c r="BV16" s="2">
        <f>IF(VLOOKUP(BJ16,坦克个性化设定!$B$18:$BC$48,MATCH("装弹类型",坦克个性化设定!$B$18:$BC$18,0),FALSE)="弹夹换弹",0,ROUND(VLOOKUP($BJ16,$AI$3:$AO$33,MATCH("换弹时间",$AI$3:$AO$3,0),FALSE)-$BL16/VLOOKUP(VLOOKUP($BJ16,坦克个性化设定!$B$18:$E$48,4,FALSE)&amp;$BK16,坦克属性分配比例,MATCH("升星次数",坦克属性分配比例标头,0),FALSE)*VLOOKUP($BJ16,$AR$3:$AY$33,MATCH("换弹时间",$AR$3:$AY$3,0),FALSE),2))</f>
        <v>0</v>
      </c>
      <c r="BW16" s="2">
        <f>IF(VLOOKUP(BJ16,坦克个性化设定!$B$18:$BC$48,MATCH("装弹类型",坦克个性化设定!$B$18:$BC$18,0),FALSE)="弹夹换弹",ROUND(VLOOKUP($BJ16,$AI$3:$AO$33,MATCH("换弹时间",$AI$3:$AO$3,0),FALSE)-$BL16/VLOOKUP(VLOOKUP($BJ16,坦克个性化设定!$B$18:$E$48,4,FALSE)&amp;$BK16,坦克属性分配比例,MATCH("升星次数",坦克属性分配比例标头,0),FALSE)*VLOOKUP($BJ16,$AR$3:$AY$33,MATCH("换弹时间",$AR$3:$AY$3,0),FALSE),1),0)</f>
        <v>6</v>
      </c>
      <c r="BX16" s="2">
        <f>ROUND(VLOOKUP($BJ16,$AI$3:$AO$33,MATCH(BX$3,$AI$3:$AO$3,0),FALSE)+$BL16/VLOOKUP(VLOOKUP($BJ16,坦克个性化设定!$B$18:$E$48,4,FALSE)&amp;$BK16,坦克属性分配比例,MATCH("升星次数",坦克属性分配比例标头,0),FALSE)*VLOOKUP($BJ16,$AR$3:$AY$33,MATCH(BX$3,$AR$3:$AY$3,0),FALSE),2)</f>
        <v>0.6</v>
      </c>
      <c r="BY16" s="2">
        <f>ROUND(VLOOKUP($BJ16,$AI$3:$AO$33,MATCH(BY$3,$AI$3:$AO$3,0),FALSE)-$BL16/VLOOKUP(VLOOKUP($BJ16,坦克个性化设定!$B$18:$E$48,4,FALSE)&amp;$BK16,坦克属性分配比例,MATCH("升星次数",坦克属性分配比例标头,0),FALSE)*VLOOKUP($BJ16,$AR$3:$AY$33,MATCH(BY$3,$AR$3:$AY$3,0),FALSE),2)</f>
        <v>0.34</v>
      </c>
      <c r="CA16" s="2">
        <v>13</v>
      </c>
      <c r="CB16" s="2" t="str">
        <f t="shared" si="15"/>
        <v>四号</v>
      </c>
      <c r="CC16" s="2" t="str">
        <f>VLOOKUP(CB16,坦克个性化设定!$B$18:$F$48,5,FALSE)</f>
        <v>中坦自动</v>
      </c>
      <c r="CD16" s="29" t="str">
        <f>VLOOKUP(CB16,坦克个性化细分!$I$3:$J$33,2,FALSE)</f>
        <v>中</v>
      </c>
      <c r="CE16" s="42">
        <f ca="1">(VLOOKUP($CB16&amp;"最终",$S$3:$AE$63,MATCH(CE$3,$S$3:$AE$3,0),FALSE)-VLOOKUP($CB16&amp;"初始",$S$3:$AE$63,MATCH(CE$3,$S$3:$AE$3,0),FALSE))*VLOOKUP(VLOOKUP($CB16,坦克个性化设定!$B$18:$E$48,4,FALSE)&amp;$CD16,坦克属性分配比例,MATCH("部件比例",坦克属性分配比例标头,0),FALSE)</f>
        <v>156.33504746955398</v>
      </c>
      <c r="CF16" s="42">
        <f ca="1">(VLOOKUP($CB16&amp;"最终",$S$3:$AE$63,MATCH(CF$3,$S$3:$AE$3,0),FALSE)-VLOOKUP($CB16&amp;"初始",$S$3:$AE$63,MATCH(CF$3,$S$3:$AE$3,0),FALSE))*VLOOKUP(VLOOKUP($CB16,坦克个性化设定!$B$18:$E$48,4,FALSE)&amp;$CD16,坦克属性分配比例,MATCH("部件比例",坦克属性分配比例标头,0),FALSE)</f>
        <v>20.476542567425433</v>
      </c>
      <c r="CG16" s="42">
        <f ca="1">(VLOOKUP($CB16&amp;"最终",$S$3:$AE$63,MATCH(CG$3,$S$3:$AE$3,0),FALSE)-VLOOKUP($CB16&amp;"初始",$S$3:$AE$63,MATCH(CG$3,$S$3:$AE$3,0),FALSE))*VLOOKUP(VLOOKUP($CB16,坦克个性化设定!$B$18:$E$48,4,FALSE)&amp;$CD16,坦克属性分配比例,MATCH("部件比例",坦克属性分配比例标头,0),FALSE)*(1-$C$3)</f>
        <v>24.78</v>
      </c>
      <c r="CH16" s="42">
        <f ca="1">(VLOOKUP($CB16&amp;"最终",$S$3:$AE$63,MATCH(CH$3,$S$3:$AE$3,0),FALSE)-VLOOKUP($CB16&amp;"初始",$S$3:$AE$63,MATCH(CH$3,$S$3:$AE$3,0),FALSE))*VLOOKUP(VLOOKUP($CB16,坦克个性化设定!$B$18:$E$48,4,FALSE)&amp;$CD16,坦克属性分配比例,MATCH("部件比例",坦克属性分配比例标头,0),FALSE)*(1-$C$3)</f>
        <v>18.62</v>
      </c>
      <c r="CI16" s="42">
        <f ca="1">(VLOOKUP($CB16&amp;"最终",$S$3:$AE$63,MATCH(CI$3,$S$3:$AE$3,0),FALSE)-VLOOKUP($CB16&amp;"初始",$S$3:$AE$63,MATCH(CI$3,$S$3:$AE$3,0),FALSE))*VLOOKUP(VLOOKUP($CB16,坦克个性化设定!$B$18:$E$48,4,FALSE)&amp;$CD16,坦克属性分配比例,MATCH("部件比例",坦克属性分配比例标头,0),FALSE)</f>
        <v>68.25</v>
      </c>
    </row>
    <row r="17" spans="2:87" x14ac:dyDescent="0.3">
      <c r="B17" s="2">
        <v>12</v>
      </c>
      <c r="C17" s="2" t="str">
        <f>坦克个性化设定!B30</f>
        <v>T-34</v>
      </c>
      <c r="D17" s="2">
        <v>2211</v>
      </c>
      <c r="E17" s="2" t="s">
        <v>635</v>
      </c>
      <c r="F17" s="2">
        <v>1</v>
      </c>
      <c r="G17" s="25" t="str">
        <f t="shared" si="17"/>
        <v>T-34</v>
      </c>
      <c r="H17" s="25"/>
      <c r="I17" s="25"/>
      <c r="J17" s="25"/>
      <c r="K17" s="25"/>
      <c r="L17" s="25"/>
      <c r="M17" s="25"/>
      <c r="N17" s="25"/>
      <c r="O17" s="25"/>
      <c r="P17" s="25"/>
      <c r="Q17" s="25"/>
      <c r="R17" s="25"/>
      <c r="S17" s="2" t="str">
        <f t="shared" si="2"/>
        <v>霞飞最终</v>
      </c>
      <c r="T17" s="2">
        <f>IF(COUNTIF(U$4:U16,U16)&gt;=$B$3,T16+1,T16)</f>
        <v>7</v>
      </c>
      <c r="U17" s="2" t="str">
        <f t="shared" si="3"/>
        <v>霞飞</v>
      </c>
      <c r="V17" s="2" t="str">
        <f>VLOOKUP(U17,坦克个性化设定!$B$18:$F$48,5,FALSE)</f>
        <v>轻坦弹夹</v>
      </c>
      <c r="W17" s="29" t="str">
        <f>VLOOKUP(U17,坦克个性化细分!$I$3:$J$33,2,FALSE)</f>
        <v>低</v>
      </c>
      <c r="X17" s="2" t="str">
        <f t="shared" si="16"/>
        <v>最终</v>
      </c>
      <c r="Y17" s="2" t="str">
        <f>VLOOKUP(VLOOKUP(U17,坦克个性化设定!$B$18:$F$48,4,FALSE)&amp;W17,坦克等级成长!$P$12:$U$24,MATCH(X17,坦克等级成长!$P$12:$U$12,0),FALSE)</f>
        <v>T4低6</v>
      </c>
      <c r="Z17" s="42">
        <f ca="1">VLOOKUP($Y17,INDIRECT($V17&amp;"_阶段属性"),MATCH(Z$3,属性标头_阶段属性,0),FALSE)*VLOOKUP($U17,坦克个性化设定!$B$84:$D$114,2,FALSE)</f>
        <v>2109.1656242386507</v>
      </c>
      <c r="AA17" s="42">
        <f ca="1">VLOOKUP($Y17,INDIRECT($V17&amp;"_阶段属性"),MATCH(AA$3,属性标头_阶段属性,0),FALSE)*VLOOKUP($U17,坦克个性化设定!$B$84:$D$114,3,FALSE)</f>
        <v>149.51009359590103</v>
      </c>
      <c r="AB17" s="2">
        <f t="shared" ca="1" si="4"/>
        <v>927</v>
      </c>
      <c r="AC17" s="2">
        <f t="shared" ca="1" si="4"/>
        <v>649</v>
      </c>
      <c r="AD17" s="2">
        <f t="shared" ca="1" si="4"/>
        <v>846</v>
      </c>
      <c r="AE17" s="2">
        <f t="shared" ca="1" si="4"/>
        <v>226</v>
      </c>
      <c r="AF17" s="25"/>
      <c r="AH17" s="2">
        <v>14</v>
      </c>
      <c r="AI17" s="2" t="str">
        <f t="shared" si="5"/>
        <v>玛蒂尔达</v>
      </c>
      <c r="AJ17" s="2">
        <f>VLOOKUP($AI17,坦克个性化细分!$I$3:$P$33,MATCH(AJ$3,坦克个性化细分!$I$3:$P$3,0),FALSE)</f>
        <v>44.5</v>
      </c>
      <c r="AK17" s="2">
        <f>VLOOKUP($AI17,坦克个性化细分!$I$3:$P$33,MATCH(AK$3,坦克个性化细分!$I$3:$P$3,0),FALSE)</f>
        <v>40</v>
      </c>
      <c r="AL17" s="2">
        <f>VLOOKUP($AI17,坦克个性化细分!$I$3:$P$33,MATCH(AL$3,坦克个性化细分!$I$3:$P$3,0),FALSE)</f>
        <v>8</v>
      </c>
      <c r="AM17" s="34">
        <f>VLOOKUP(AI17,坦克个性化细分!$AA$3:$AP$33,MATCH("射击偏移角",坦克个性化细分!$AA$3:$AP$3,0),FALSE)/VLOOKUP(AI17,坦克个性化细分!$AA$3:$AP$33,MATCH("原瞄准速度",坦克个性化细分!$AA$3:$AP$3,0),FALSE)</f>
        <v>0.99</v>
      </c>
      <c r="AN17" s="34">
        <f>VLOOKUP(AI17,坦克个性化细分!$AA$3:$AP$33,MATCH(AN$3,坦克个性化细分!$AA$3:$AP$3,0),FALSE)</f>
        <v>0.28000000000000003</v>
      </c>
      <c r="AO17" s="2">
        <f>VLOOKUP(AI17,坦克个性化细分!$AA$3:$AP$33,MATCH("原换弹时间",坦克个性化细分!$AA$3:$AP$3,0),FALSE)</f>
        <v>3.2</v>
      </c>
      <c r="AP17" s="133"/>
      <c r="AQ17" s="2">
        <v>14</v>
      </c>
      <c r="AR17" s="2" t="str">
        <f t="shared" si="6"/>
        <v>玛蒂尔达</v>
      </c>
      <c r="AS17" s="2" t="s">
        <v>85</v>
      </c>
      <c r="AT17" s="34">
        <f>VLOOKUP(AR17,坦克个性化细分!$I$3:$P$33,MATCH("养成区间1",坦克个性化细分!$I$3:$P$3,0),FALSE)</f>
        <v>11.124999999999998</v>
      </c>
      <c r="AU17" s="2">
        <f>VLOOKUP(AR17,坦克个性化细分!$I$3:$P$33,MATCH("养成区间2",坦克个性化细分!$I$3:$P$3,0),FALSE)</f>
        <v>9.9999999999999982</v>
      </c>
      <c r="AV17" s="2">
        <f>VLOOKUP(AR17,坦克个性化细分!$I$3:$P$33,MATCH("养成区间3",坦克个性化细分!$I$3:$P$3,0),FALSE)</f>
        <v>0</v>
      </c>
      <c r="AW17" s="34">
        <f>VLOOKUP(AR17,坦克个性化细分!$AA$3:$AP$33,MATCH("瞄准区间",坦克个性化细分!$AA$3:$AP$3,0),FALSE)</f>
        <v>0.16499999999999992</v>
      </c>
      <c r="AX17" s="34">
        <f>VLOOKUP(AI17,坦克个性化细分!$AA$3:$AP$33,MATCH("后射击间隔",坦克个性化细分!$AA$3:$AP$3,0),FALSE)-VLOOKUP(AI17,坦克个性化细分!$AA$3:$AP$33,MATCH(AN$3,坦克个性化细分!$AA$3:$AP$3,0),FALSE)</f>
        <v>0.31999999999999995</v>
      </c>
      <c r="AY17" s="34">
        <f>VLOOKUP(AR17,坦克个性化细分!$AA$3:$AP$33,MATCH("换弹区间",坦克个性化细分!$AA$3:$AP$3,0),FALSE)</f>
        <v>0.58134206219312601</v>
      </c>
      <c r="AZ17" s="133"/>
      <c r="BA17" s="34">
        <f t="shared" si="8"/>
        <v>0.24999999999999997</v>
      </c>
      <c r="BB17" s="34">
        <f t="shared" si="9"/>
        <v>0.24999999999999994</v>
      </c>
      <c r="BC17" s="34">
        <f t="shared" si="10"/>
        <v>0</v>
      </c>
      <c r="BD17" s="34">
        <f t="shared" si="11"/>
        <v>0.1666666666666666</v>
      </c>
      <c r="BE17" s="34">
        <f t="shared" si="12"/>
        <v>0.18166939443535188</v>
      </c>
      <c r="BF17" s="34"/>
      <c r="BG17" s="133"/>
      <c r="BH17" s="2" t="str">
        <f t="shared" si="13"/>
        <v>二号7</v>
      </c>
      <c r="BI17" s="2">
        <f>IF(BL16&gt;=VLOOKUP(VLOOKUP(BJ16,坦克个性化设定!$B$18:$E$48,4,FALSE)&amp;BK16,坦克属性分配比例,MATCH("升星次数",坦克属性分配比例标头,0),FALSE),BI16+1,BI16)</f>
        <v>2</v>
      </c>
      <c r="BJ17" s="2" t="str">
        <f t="shared" si="14"/>
        <v>二号</v>
      </c>
      <c r="BK17" s="29" t="str">
        <f>VLOOKUP(BJ17,坦克个性化细分!$I$3:$J$33,2,FALSE)</f>
        <v>低</v>
      </c>
      <c r="BL17" s="2">
        <f t="shared" si="7"/>
        <v>7</v>
      </c>
      <c r="BM17" s="103">
        <f ca="1">ROUND(VLOOKUP($BJ17&amp;"初始",$S$3:$AE$63,MATCH(BM$3,$S$3:$AE$3,0),FALSE)+((VLOOKUP($BJ17&amp;"最终",$S$3:$AE$63,MATCH(BM$3,$S$3:$AE$3,0),FALSE)*坦克个性化细分!$C$9-VLOOKUP($BJ17&amp;"初始",$S$3:$AE$63,MATCH(BM$3,$S$3:$AE$3,0),FALSE))-(VLOOKUP($BJ17&amp;"最终",$S$3:$AE$63,MATCH(BM$3,$S$3:$AE$3,0),FALSE)-VLOOKUP($BJ17&amp;"初始",$S$3:$AE$63,MATCH(BM$3,$S$3:$AE$3,0),FALSE))*VLOOKUP(VLOOKUP($BJ17,坦克个性化设定!$B$18:$E$48,4,FALSE)&amp;$BK17,坦克属性分配比例,MATCH("部件比例",坦克属性分配比例标头,0),FALSE))*$BL17/VLOOKUP(VLOOKUP($BJ17,坦克个性化设定!$B$18:$E$48,4,FALSE)&amp;$BK17,坦克属性分配比例,MATCH("升星次数",坦克属性分配比例标头,0),FALSE),0)</f>
        <v>1280</v>
      </c>
      <c r="BN17" s="103">
        <f ca="1">ROUND(VLOOKUP($BJ17&amp;"初始",$S$3:$AE$63,MATCH(BN$3,$S$3:$AE$3,0),FALSE)+(VLOOKUP($BJ17&amp;"最终",$S$3:$AE$63,MATCH(BN$3,$S$3:$AE$3,0),FALSE)-VLOOKUP($BJ17&amp;"初始",$S$3:$AE$63,MATCH(BN$3,$S$3:$AE$3,0),FALSE))*$BL17/VLOOKUP(VLOOKUP($BJ17,坦克个性化设定!$B$18:$E$48,4,FALSE)&amp;$BK17,坦克属性分配比例,MATCH("升星次数",坦克属性分配比例标头,0),FALSE)*VLOOKUP(VLOOKUP($BJ17,坦克个性化设定!$B$18:$E$48,4,FALSE)&amp;$BK17,坦克属性分配比例,MATCH("升星比例",坦克属性分配比例标头,0),FALSE),0)</f>
        <v>91</v>
      </c>
      <c r="BO17" s="103">
        <f ca="1">ROUND(VLOOKUP($BJ17&amp;"初始",$S$3:$AE$63,MATCH(BO$3,$S$3:$AE$3,0),FALSE)+(VLOOKUP($BJ17&amp;"最终",$S$3:$AE$63,MATCH(BO$3,$S$3:$AE$3,0),FALSE)-VLOOKUP($BJ17&amp;"初始",$S$3:$AE$63,MATCH(BO$3,$S$3:$AE$3,0),FALSE))*$BL17/VLOOKUP(VLOOKUP($BJ17,坦克个性化设定!$B$18:$E$48,4,FALSE)&amp;$BK17,坦克属性分配比例,MATCH("升星次数",坦克属性分配比例标头,0),FALSE)*(VLOOKUP(VLOOKUP($BJ17,坦克个性化设定!$B$18:$E$48,4,FALSE)&amp;$BK17,坦克属性分配比例,MATCH("升星比例",坦克属性分配比例标头,0),FALSE)+VLOOKUP(VLOOKUP($BJ17,坦克个性化设定!$B$18:$E$48,4,FALSE)&amp;$BK17,坦克属性分配比例,MATCH("部件比例",坦克属性分配比例标头,0),FALSE)*$C$3),0)</f>
        <v>536</v>
      </c>
      <c r="BP17" s="103">
        <f ca="1">ROUND(VLOOKUP($BJ17&amp;"初始",$S$3:$AE$63,MATCH(BP$3,$S$3:$AE$3,0),FALSE)+(VLOOKUP($BJ17&amp;"最终",$S$3:$AE$63,MATCH(BP$3,$S$3:$AE$3,0),FALSE)-VLOOKUP($BJ17&amp;"初始",$S$3:$AE$63,MATCH(BP$3,$S$3:$AE$3,0),FALSE))*$BL17/VLOOKUP(VLOOKUP($BJ17,坦克个性化设定!$B$18:$E$48,4,FALSE)&amp;$BK17,坦克属性分配比例,MATCH("升星次数",坦克属性分配比例标头,0),FALSE)*(VLOOKUP(VLOOKUP($BJ17,坦克个性化设定!$B$18:$E$48,4,FALSE)&amp;$BK17,坦克属性分配比例,MATCH("升星比例",坦克属性分配比例标头,0),FALSE)+VLOOKUP(VLOOKUP($BJ17,坦克个性化设定!$B$18:$E$48,4,FALSE)&amp;$BK17,坦克属性分配比例,MATCH("部件比例",坦克属性分配比例标头,0),FALSE)*$C$3),0)</f>
        <v>375</v>
      </c>
      <c r="BQ17" s="103">
        <f ca="1">ROUND(VLOOKUP($BJ17&amp;"初始",$S$3:$AE$63,MATCH(BQ$3,$S$3:$AE$3,0),FALSE)+(VLOOKUP($BJ17&amp;"最终",$S$3:$AE$63,MATCH(BQ$3,$S$3:$AE$3,0),FALSE)-VLOOKUP($BJ17&amp;"初始",$S$3:$AE$63,MATCH(BQ$3,$S$3:$AE$3,0),FALSE))*$BL17/VLOOKUP(VLOOKUP($BJ17,坦克个性化设定!$B$18:$E$48,4,FALSE)&amp;$BK17,坦克属性分配比例,MATCH("升星次数",坦克属性分配比例标头,0),FALSE)*VLOOKUP(VLOOKUP($BJ17,坦克个性化设定!$B$18:$E$48,4,FALSE)&amp;$BK17,坦克属性分配比例,MATCH("升星比例",坦克属性分配比例标头,0),FALSE),0)</f>
        <v>458</v>
      </c>
      <c r="BR17" s="2">
        <f ca="1">ROUND(VLOOKUP($BJ17&amp;"初始",$S$3:$AE$63,MATCH(BR$3,$S$3:$AE$3,0),FALSE)+(VLOOKUP($BJ17&amp;"最终",$S$3:$AE$63,MATCH(BR$3,$S$3:$AE$3,0),FALSE)-VLOOKUP($BJ17&amp;"初始",$S$3:$AE$63,MATCH(BR$3,$S$3:$AE$3,0),FALSE))*$BL17/VLOOKUP(VLOOKUP($BJ17,坦克个性化设定!$B$18:$E$48,4,FALSE)&amp;$BK17,坦克属性分配比例,MATCH("升星次数",坦克属性分配比例标头,0),FALSE),0)</f>
        <v>136</v>
      </c>
      <c r="BS17" s="2">
        <f>ROUND(VLOOKUP($BJ17,$AI$3:$AO$33,MATCH(BS$3,$AI$3:$AO$3,0),FALSE)+$BL17/VLOOKUP(VLOOKUP($BJ17,坦克个性化设定!$B$18:$E$48,4,FALSE)&amp;$BK17,坦克属性分配比例,MATCH("升星次数",坦克属性分配比例标头,0),FALSE)*VLOOKUP($BJ17,$AR$3:$AY$33,MATCH(BS$3,$AR$3:$AY$3,0),FALSE),1)</f>
        <v>58.9</v>
      </c>
      <c r="BT17" s="2">
        <f>ROUND(VLOOKUP($BJ17,$AI$3:$AO$33,MATCH(BT$3,$AI$3:$AO$3,0),FALSE)+$BL17/VLOOKUP(VLOOKUP($BJ17,坦克个性化设定!$B$18:$E$48,4,FALSE)&amp;$BK17,坦克属性分配比例,MATCH("升星次数",坦克属性分配比例标头,0),FALSE)*VLOOKUP($BJ17,$AR$3:$AY$33,MATCH(BT$3,$AR$3:$AY$3,0),FALSE),1)</f>
        <v>56.3</v>
      </c>
      <c r="BU17" s="2">
        <f>ROUND(VLOOKUP($BJ17,$AI$3:$AO$33,MATCH(BU$3,$AI$3:$AO$3,0),FALSE)+$BL17/VLOOKUP(VLOOKUP($BJ17,坦克个性化设定!$B$18:$E$48,4,FALSE)&amp;$BK17,坦克属性分配比例,MATCH("升星次数",坦克属性分配比例标头,0),FALSE)*VLOOKUP($BJ17,$AR$3:$AY$33,MATCH(BU$3,$AR$3:$AY$3,0),FALSE),1)</f>
        <v>10.5</v>
      </c>
      <c r="BV17" s="2">
        <f>IF(VLOOKUP(BJ17,坦克个性化设定!$B$18:$BC$48,MATCH("装弹类型",坦克个性化设定!$B$18:$BC$18,0),FALSE)="弹夹换弹",0,ROUND(VLOOKUP($BJ17,$AI$3:$AO$33,MATCH("换弹时间",$AI$3:$AO$3,0),FALSE)-$BL17/VLOOKUP(VLOOKUP($BJ17,坦克个性化设定!$B$18:$E$48,4,FALSE)&amp;$BK17,坦克属性分配比例,MATCH("升星次数",坦克属性分配比例标头,0),FALSE)*VLOOKUP($BJ17,$AR$3:$AY$33,MATCH("换弹时间",$AR$3:$AY$3,0),FALSE),2))</f>
        <v>0</v>
      </c>
      <c r="BW17" s="2">
        <f>IF(VLOOKUP(BJ17,坦克个性化设定!$B$18:$BC$48,MATCH("装弹类型",坦克个性化设定!$B$18:$BC$18,0),FALSE)="弹夹换弹",ROUND(VLOOKUP($BJ17,$AI$3:$AO$33,MATCH("换弹时间",$AI$3:$AO$3,0),FALSE)-$BL17/VLOOKUP(VLOOKUP($BJ17,坦克个性化设定!$B$18:$E$48,4,FALSE)&amp;$BK17,坦克属性分配比例,MATCH("升星次数",坦克属性分配比例标头,0),FALSE)*VLOOKUP($BJ17,$AR$3:$AY$33,MATCH("换弹时间",$AR$3:$AY$3,0),FALSE),1),0)</f>
        <v>5.6</v>
      </c>
      <c r="BX17" s="2">
        <f>ROUND(VLOOKUP($BJ17,$AI$3:$AO$33,MATCH(BX$3,$AI$3:$AO$3,0),FALSE)+$BL17/VLOOKUP(VLOOKUP($BJ17,坦克个性化设定!$B$18:$E$48,4,FALSE)&amp;$BK17,坦克属性分配比例,MATCH("升星次数",坦克属性分配比例标头,0),FALSE)*VLOOKUP($BJ17,$AR$3:$AY$33,MATCH(BX$3,$AR$3:$AY$3,0),FALSE),2)</f>
        <v>0.6</v>
      </c>
      <c r="BY17" s="2">
        <f>ROUND(VLOOKUP($BJ17,$AI$3:$AO$33,MATCH(BY$3,$AI$3:$AO$3,0),FALSE)-$BL17/VLOOKUP(VLOOKUP($BJ17,坦克个性化设定!$B$18:$E$48,4,FALSE)&amp;$BK17,坦克属性分配比例,MATCH("升星次数",坦克属性分配比例标头,0),FALSE)*VLOOKUP($BJ17,$AR$3:$AY$33,MATCH(BY$3,$AR$3:$AY$3,0),FALSE),2)</f>
        <v>0.33</v>
      </c>
      <c r="CA17" s="2">
        <v>14</v>
      </c>
      <c r="CB17" s="2" t="str">
        <f t="shared" si="15"/>
        <v>玛蒂尔达</v>
      </c>
      <c r="CC17" s="2" t="str">
        <f>VLOOKUP(CB17,坦克个性化设定!$B$18:$F$48,5,FALSE)</f>
        <v>中坦自动</v>
      </c>
      <c r="CD17" s="29" t="str">
        <f>VLOOKUP(CB17,坦克个性化细分!$I$3:$J$33,2,FALSE)</f>
        <v>低</v>
      </c>
      <c r="CE17" s="42">
        <f ca="1">(VLOOKUP($CB17&amp;"最终",$S$3:$AE$63,MATCH(CE$3,$S$3:$AE$3,0),FALSE)-VLOOKUP($CB17&amp;"初始",$S$3:$AE$63,MATCH(CE$3,$S$3:$AE$3,0),FALSE))*VLOOKUP(VLOOKUP($CB17,坦克个性化设定!$B$18:$E$48,4,FALSE)&amp;$CD17,坦克属性分配比例,MATCH("部件比例",坦克属性分配比例标头,0),FALSE)</f>
        <v>210.13680159509278</v>
      </c>
      <c r="CF17" s="42">
        <f ca="1">(VLOOKUP($CB17&amp;"最终",$S$3:$AE$63,MATCH(CF$3,$S$3:$AE$3,0),FALSE)-VLOOKUP($CB17&amp;"初始",$S$3:$AE$63,MATCH(CF$3,$S$3:$AE$3,0),FALSE))*VLOOKUP(VLOOKUP($CB17,坦克个性化设定!$B$18:$E$48,4,FALSE)&amp;$CD17,坦克属性分配比例,MATCH("部件比例",坦克属性分配比例标头,0),FALSE)</f>
        <v>29.353830234294605</v>
      </c>
      <c r="CG17" s="42">
        <f ca="1">(VLOOKUP($CB17&amp;"最终",$S$3:$AE$63,MATCH(CG$3,$S$3:$AE$3,0),FALSE)-VLOOKUP($CB17&amp;"初始",$S$3:$AE$63,MATCH(CG$3,$S$3:$AE$3,0),FALSE))*VLOOKUP(VLOOKUP($CB17,坦克个性化设定!$B$18:$E$48,4,FALSE)&amp;$CD17,坦克属性分配比例,MATCH("部件比例",坦克属性分配比例标头,0),FALSE)*(1-$C$3)</f>
        <v>36.320000000000007</v>
      </c>
      <c r="CH17" s="42">
        <f ca="1">(VLOOKUP($CB17&amp;"最终",$S$3:$AE$63,MATCH(CH$3,$S$3:$AE$3,0),FALSE)-VLOOKUP($CB17&amp;"初始",$S$3:$AE$63,MATCH(CH$3,$S$3:$AE$3,0),FALSE))*VLOOKUP(VLOOKUP($CB17,坦克个性化设定!$B$18:$E$48,4,FALSE)&amp;$CD17,坦克属性分配比例,MATCH("部件比例",坦克属性分配比例标头,0),FALSE)*(1-$C$3)</f>
        <v>27.200000000000003</v>
      </c>
      <c r="CI17" s="42">
        <f ca="1">(VLOOKUP($CB17&amp;"最终",$S$3:$AE$63,MATCH(CI$3,$S$3:$AE$3,0),FALSE)-VLOOKUP($CB17&amp;"初始",$S$3:$AE$63,MATCH(CI$3,$S$3:$AE$3,0),FALSE))*VLOOKUP(VLOOKUP($CB17,坦克个性化设定!$B$18:$E$48,4,FALSE)&amp;$CD17,坦克属性分配比例,MATCH("部件比例",坦克属性分配比例标头,0),FALSE)</f>
        <v>99.2</v>
      </c>
    </row>
    <row r="18" spans="2:87" x14ac:dyDescent="0.3">
      <c r="B18" s="2">
        <v>13</v>
      </c>
      <c r="C18" s="2" t="str">
        <f>坦克个性化设定!B31</f>
        <v>四号</v>
      </c>
      <c r="D18" s="2">
        <v>2221</v>
      </c>
      <c r="E18" s="2" t="s">
        <v>637</v>
      </c>
      <c r="F18" s="2">
        <v>1</v>
      </c>
      <c r="G18" s="25" t="str">
        <f t="shared" si="17"/>
        <v>四号</v>
      </c>
      <c r="H18" s="25"/>
      <c r="I18" s="25"/>
      <c r="J18" s="25"/>
      <c r="K18" s="25"/>
      <c r="L18" s="25"/>
      <c r="M18" s="25"/>
      <c r="N18" s="25"/>
      <c r="O18" s="25"/>
      <c r="P18" s="25"/>
      <c r="Q18" s="25"/>
      <c r="R18" s="25"/>
      <c r="S18" s="2" t="str">
        <f t="shared" si="2"/>
        <v>M-41初始</v>
      </c>
      <c r="T18" s="2">
        <f>IF(COUNTIF(U$4:U17,U17)&gt;=$B$3,T17+1,T17)</f>
        <v>8</v>
      </c>
      <c r="U18" s="2" t="str">
        <f t="shared" si="3"/>
        <v>M-41</v>
      </c>
      <c r="V18" s="2" t="str">
        <f>VLOOKUP(U18,坦克个性化设定!$B$18:$F$48,5,FALSE)</f>
        <v>轻坦弹夹</v>
      </c>
      <c r="W18" s="29" t="str">
        <f>VLOOKUP(U18,坦克个性化细分!$I$3:$J$33,2,FALSE)</f>
        <v>中</v>
      </c>
      <c r="X18" s="2" t="str">
        <f t="shared" si="16"/>
        <v>初始</v>
      </c>
      <c r="Y18" s="2" t="str">
        <f>VLOOKUP(VLOOKUP(U18,坦克个性化设定!$B$18:$F$48,4,FALSE)&amp;W18,坦克等级成长!$P$12:$U$24,MATCH(X18,坦克等级成长!$P$12:$U$12,0),FALSE)</f>
        <v>T4中4</v>
      </c>
      <c r="Z18" s="42">
        <f ca="1">VLOOKUP($Y18,INDIRECT($V18&amp;"_阶段属性"),MATCH(Z$3,属性标头_阶段属性,0),FALSE)*VLOOKUP($U18,坦克个性化设定!$B$84:$D$114,2,FALSE)</f>
        <v>1637.1695541722581</v>
      </c>
      <c r="AA18" s="42">
        <f ca="1">VLOOKUP($Y18,INDIRECT($V18&amp;"_阶段属性"),MATCH(AA$3,属性标头_阶段属性,0),FALSE)*VLOOKUP($U18,坦克个性化设定!$B$84:$D$114,3,FALSE)</f>
        <v>110.59742481454671</v>
      </c>
      <c r="AB18" s="2">
        <f t="shared" ca="1" si="4"/>
        <v>657</v>
      </c>
      <c r="AC18" s="2">
        <f t="shared" ca="1" si="4"/>
        <v>460</v>
      </c>
      <c r="AD18" s="2">
        <f t="shared" ca="1" si="4"/>
        <v>600</v>
      </c>
      <c r="AE18" s="2">
        <f t="shared" ca="1" si="4"/>
        <v>160</v>
      </c>
      <c r="AF18" s="25"/>
      <c r="AH18" s="2">
        <v>15</v>
      </c>
      <c r="AI18" s="2" t="str">
        <f t="shared" si="5"/>
        <v>谢尔曼</v>
      </c>
      <c r="AJ18" s="2">
        <f>VLOOKUP($AI18,坦克个性化细分!$I$3:$P$33,MATCH(AJ$3,坦克个性化细分!$I$3:$P$3,0),FALSE)</f>
        <v>36.299999999999997</v>
      </c>
      <c r="AK18" s="2">
        <f>VLOOKUP($AI18,坦克个性化细分!$I$3:$P$33,MATCH(AK$3,坦克个性化细分!$I$3:$P$3,0),FALSE)</f>
        <v>51</v>
      </c>
      <c r="AL18" s="2">
        <f>VLOOKUP($AI18,坦克个性化细分!$I$3:$P$33,MATCH(AL$3,坦克个性化细分!$I$3:$P$3,0),FALSE)</f>
        <v>7.3</v>
      </c>
      <c r="AM18" s="34">
        <f>VLOOKUP(AI18,坦克个性化细分!$AA$3:$AP$33,MATCH("射击偏移角",坦克个性化细分!$AA$3:$AP$3,0),FALSE)/VLOOKUP(AI18,坦克个性化细分!$AA$3:$AP$33,MATCH("原瞄准速度",坦克个性化细分!$AA$3:$AP$3,0),FALSE)</f>
        <v>1.4</v>
      </c>
      <c r="AN18" s="34">
        <f>VLOOKUP(AI18,坦克个性化细分!$AA$3:$AP$33,MATCH(AN$3,坦克个性化细分!$AA$3:$AP$3,0),FALSE)</f>
        <v>0.4</v>
      </c>
      <c r="AO18" s="2">
        <f>VLOOKUP(AI18,坦克个性化细分!$AA$3:$AP$33,MATCH("原换弹时间",坦克个性化细分!$AA$3:$AP$3,0),FALSE)</f>
        <v>2.4</v>
      </c>
      <c r="AP18" s="133"/>
      <c r="AQ18" s="2">
        <v>15</v>
      </c>
      <c r="AR18" s="2" t="str">
        <f t="shared" si="6"/>
        <v>谢尔曼</v>
      </c>
      <c r="AS18" s="2" t="s">
        <v>875</v>
      </c>
      <c r="AT18" s="34">
        <f>VLOOKUP(AR18,坦克个性化细分!$I$3:$P$33,MATCH("养成区间1",坦克个性化细分!$I$3:$P$3,0),FALSE)</f>
        <v>9.0749999999999957</v>
      </c>
      <c r="AU18" s="2">
        <f>VLOOKUP(AR18,坦克个性化细分!$I$3:$P$33,MATCH("养成区间2",坦克个性化细分!$I$3:$P$3,0),FALSE)</f>
        <v>12.749999999999996</v>
      </c>
      <c r="AV18" s="2">
        <f>VLOOKUP(AR18,坦克个性化细分!$I$3:$P$33,MATCH("养成区间3",坦克个性化细分!$I$3:$P$3,0),FALSE)</f>
        <v>0</v>
      </c>
      <c r="AW18" s="34">
        <f>VLOOKUP(AR18,坦克个性化细分!$AA$3:$AP$33,MATCH("瞄准区间",坦克个性化细分!$AA$3:$AP$3,0),FALSE)</f>
        <v>0.23333333333333317</v>
      </c>
      <c r="AX18" s="34">
        <f>VLOOKUP(AI18,坦克个性化细分!$AA$3:$AP$33,MATCH("后射击间隔",坦克个性化细分!$AA$3:$AP$3,0),FALSE)-VLOOKUP(AI18,坦克个性化细分!$AA$3:$AP$33,MATCH(AN$3,坦克个性化细分!$AA$3:$AP$3,0),FALSE)</f>
        <v>0</v>
      </c>
      <c r="AY18" s="34">
        <f>VLOOKUP(AR18,坦克个性化细分!$AA$3:$AP$33,MATCH("换弹区间",坦克个性化细分!$AA$3:$AP$3,0),FALSE)</f>
        <v>0.37639123102866767</v>
      </c>
      <c r="AZ18" s="133"/>
      <c r="BA18" s="34">
        <f t="shared" si="8"/>
        <v>0.24999999999999989</v>
      </c>
      <c r="BB18" s="34">
        <f t="shared" si="9"/>
        <v>0.24999999999999992</v>
      </c>
      <c r="BC18" s="34">
        <f t="shared" si="10"/>
        <v>0</v>
      </c>
      <c r="BD18" s="34">
        <f t="shared" si="11"/>
        <v>0.16666666666666657</v>
      </c>
      <c r="BE18" s="34">
        <f t="shared" si="12"/>
        <v>0.15682967959527822</v>
      </c>
      <c r="BF18" s="34"/>
      <c r="BG18" s="133"/>
      <c r="BH18" s="2" t="str">
        <f t="shared" si="13"/>
        <v>Puma0</v>
      </c>
      <c r="BI18" s="2">
        <f>IF(BL17&gt;=VLOOKUP(VLOOKUP(BJ17,坦克个性化设定!$B$18:$E$48,4,FALSE)&amp;BK17,坦克属性分配比例,MATCH("升星次数",坦克属性分配比例标头,0),FALSE),BI17+1,BI17)</f>
        <v>3</v>
      </c>
      <c r="BJ18" s="2" t="str">
        <f t="shared" si="14"/>
        <v>Puma</v>
      </c>
      <c r="BK18" s="29" t="str">
        <f>VLOOKUP(BJ18,坦克个性化细分!$I$3:$J$33,2,FALSE)</f>
        <v>中</v>
      </c>
      <c r="BL18" s="2">
        <f t="shared" si="7"/>
        <v>0</v>
      </c>
      <c r="BM18" s="103">
        <f ca="1">ROUND(VLOOKUP($BJ18&amp;"初始",$S$3:$AE$63,MATCH(BM$3,$S$3:$AE$3,0),FALSE)+((VLOOKUP($BJ18&amp;"最终",$S$3:$AE$63,MATCH(BM$3,$S$3:$AE$3,0),FALSE)*坦克个性化细分!$C$9-VLOOKUP($BJ18&amp;"初始",$S$3:$AE$63,MATCH(BM$3,$S$3:$AE$3,0),FALSE))-(VLOOKUP($BJ18&amp;"最终",$S$3:$AE$63,MATCH(BM$3,$S$3:$AE$3,0),FALSE)-VLOOKUP($BJ18&amp;"初始",$S$3:$AE$63,MATCH(BM$3,$S$3:$AE$3,0),FALSE))*VLOOKUP(VLOOKUP($BJ18,坦克个性化设定!$B$18:$E$48,4,FALSE)&amp;$BK18,坦克属性分配比例,MATCH("部件比例",坦克属性分配比例标头,0),FALSE))*$BL18/VLOOKUP(VLOOKUP($BJ18,坦克个性化设定!$B$18:$E$48,4,FALSE)&amp;$BK18,坦克属性分配比例,MATCH("升星次数",坦克属性分配比例标头,0),FALSE),0)</f>
        <v>1054</v>
      </c>
      <c r="BN18" s="103">
        <f ca="1">ROUND(VLOOKUP($BJ18&amp;"初始",$S$3:$AE$63,MATCH(BN$3,$S$3:$AE$3,0),FALSE)+(VLOOKUP($BJ18&amp;"最终",$S$3:$AE$63,MATCH(BN$3,$S$3:$AE$3,0),FALSE)-VLOOKUP($BJ18&amp;"初始",$S$3:$AE$63,MATCH(BN$3,$S$3:$AE$3,0),FALSE))*$BL18/VLOOKUP(VLOOKUP($BJ18,坦克个性化设定!$B$18:$E$48,4,FALSE)&amp;$BK18,坦克属性分配比例,MATCH("升星次数",坦克属性分配比例标头,0),FALSE)*VLOOKUP(VLOOKUP($BJ18,坦克个性化设定!$B$18:$E$48,4,FALSE)&amp;$BK18,坦克属性分配比例,MATCH("升星比例",坦克属性分配比例标头,0),FALSE),0)</f>
        <v>79</v>
      </c>
      <c r="BO18" s="103">
        <f ca="1">ROUND(VLOOKUP($BJ18&amp;"初始",$S$3:$AE$63,MATCH(BO$3,$S$3:$AE$3,0),FALSE)+(VLOOKUP($BJ18&amp;"最终",$S$3:$AE$63,MATCH(BO$3,$S$3:$AE$3,0),FALSE)-VLOOKUP($BJ18&amp;"初始",$S$3:$AE$63,MATCH(BO$3,$S$3:$AE$3,0),FALSE))*$BL18/VLOOKUP(VLOOKUP($BJ18,坦克个性化设定!$B$18:$E$48,4,FALSE)&amp;$BK18,坦克属性分配比例,MATCH("升星次数",坦克属性分配比例标头,0),FALSE)*(VLOOKUP(VLOOKUP($BJ18,坦克个性化设定!$B$18:$E$48,4,FALSE)&amp;$BK18,坦克属性分配比例,MATCH("升星比例",坦克属性分配比例标头,0),FALSE)+VLOOKUP(VLOOKUP($BJ18,坦克个性化设定!$B$18:$E$48,4,FALSE)&amp;$BK18,坦克属性分配比例,MATCH("部件比例",坦克属性分配比例标头,0),FALSE)*$C$3),0)</f>
        <v>401</v>
      </c>
      <c r="BP18" s="103">
        <f ca="1">ROUND(VLOOKUP($BJ18&amp;"初始",$S$3:$AE$63,MATCH(BP$3,$S$3:$AE$3,0),FALSE)+(VLOOKUP($BJ18&amp;"最终",$S$3:$AE$63,MATCH(BP$3,$S$3:$AE$3,0),FALSE)-VLOOKUP($BJ18&amp;"初始",$S$3:$AE$63,MATCH(BP$3,$S$3:$AE$3,0),FALSE))*$BL18/VLOOKUP(VLOOKUP($BJ18,坦克个性化设定!$B$18:$E$48,4,FALSE)&amp;$BK18,坦克属性分配比例,MATCH("升星次数",坦克属性分配比例标头,0),FALSE)*(VLOOKUP(VLOOKUP($BJ18,坦克个性化设定!$B$18:$E$48,4,FALSE)&amp;$BK18,坦克属性分配比例,MATCH("升星比例",坦克属性分配比例标头,0),FALSE)+VLOOKUP(VLOOKUP($BJ18,坦克个性化设定!$B$18:$E$48,4,FALSE)&amp;$BK18,坦克属性分配比例,MATCH("部件比例",坦克属性分配比例标头,0),FALSE)*$C$3),0)</f>
        <v>281</v>
      </c>
      <c r="BQ18" s="103">
        <f ca="1">ROUND(VLOOKUP($BJ18&amp;"初始",$S$3:$AE$63,MATCH(BQ$3,$S$3:$AE$3,0),FALSE)+(VLOOKUP($BJ18&amp;"最终",$S$3:$AE$63,MATCH(BQ$3,$S$3:$AE$3,0),FALSE)-VLOOKUP($BJ18&amp;"初始",$S$3:$AE$63,MATCH(BQ$3,$S$3:$AE$3,0),FALSE))*$BL18/VLOOKUP(VLOOKUP($BJ18,坦克个性化设定!$B$18:$E$48,4,FALSE)&amp;$BK18,坦克属性分配比例,MATCH("升星次数",坦克属性分配比例标头,0),FALSE)*VLOOKUP(VLOOKUP($BJ18,坦克个性化设定!$B$18:$E$48,4,FALSE)&amp;$BK18,坦克属性分配比例,MATCH("升星比例",坦克属性分配比例标头,0),FALSE),0)</f>
        <v>366</v>
      </c>
      <c r="BR18" s="2">
        <f ca="1">ROUND(VLOOKUP($BJ18&amp;"初始",$S$3:$AE$63,MATCH(BR$3,$S$3:$AE$3,0),FALSE)+(VLOOKUP($BJ18&amp;"最终",$S$3:$AE$63,MATCH(BR$3,$S$3:$AE$3,0),FALSE)-VLOOKUP($BJ18&amp;"初始",$S$3:$AE$63,MATCH(BR$3,$S$3:$AE$3,0),FALSE))*$BL18/VLOOKUP(VLOOKUP($BJ18,坦克个性化设定!$B$18:$E$48,4,FALSE)&amp;$BK18,坦克属性分配比例,MATCH("升星次数",坦克属性分配比例标头,0),FALSE),0)</f>
        <v>98</v>
      </c>
      <c r="BS18" s="2">
        <f>ROUND(VLOOKUP($BJ18,$AI$3:$AO$33,MATCH(BS$3,$AI$3:$AO$3,0),FALSE)+$BL18/VLOOKUP(VLOOKUP($BJ18,坦克个性化设定!$B$18:$E$48,4,FALSE)&amp;$BK18,坦克属性分配比例,MATCH("升星次数",坦克属性分配比例标头,0),FALSE)*VLOOKUP($BJ18,$AR$3:$AY$33,MATCH(BS$3,$AR$3:$AY$3,0),FALSE),1)</f>
        <v>43.3</v>
      </c>
      <c r="BT18" s="2">
        <f>ROUND(VLOOKUP($BJ18,$AI$3:$AO$33,MATCH(BT$3,$AI$3:$AO$3,0),FALSE)+$BL18/VLOOKUP(VLOOKUP($BJ18,坦克个性化设定!$B$18:$E$48,4,FALSE)&amp;$BK18,坦克属性分配比例,MATCH("升星次数",坦克属性分配比例标头,0),FALSE)*VLOOKUP($BJ18,$AR$3:$AY$33,MATCH(BT$3,$AR$3:$AY$3,0),FALSE),1)</f>
        <v>51</v>
      </c>
      <c r="BU18" s="2">
        <f>ROUND(VLOOKUP($BJ18,$AI$3:$AO$33,MATCH(BU$3,$AI$3:$AO$3,0),FALSE)+$BL18/VLOOKUP(VLOOKUP($BJ18,坦克个性化设定!$B$18:$E$48,4,FALSE)&amp;$BK18,坦克属性分配比例,MATCH("升星次数",坦克属性分配比例标头,0),FALSE)*VLOOKUP($BJ18,$AR$3:$AY$33,MATCH(BU$3,$AR$3:$AY$3,0),FALSE),1)</f>
        <v>10.199999999999999</v>
      </c>
      <c r="BV18" s="2">
        <f>IF(VLOOKUP(BJ18,坦克个性化设定!$B$18:$BC$48,MATCH("装弹类型",坦克个性化设定!$B$18:$BC$18,0),FALSE)="弹夹换弹",0,ROUND(VLOOKUP($BJ18,$AI$3:$AO$33,MATCH("换弹时间",$AI$3:$AO$3,0),FALSE)-$BL18/VLOOKUP(VLOOKUP($BJ18,坦克个性化设定!$B$18:$E$48,4,FALSE)&amp;$BK18,坦克属性分配比例,MATCH("升星次数",坦克属性分配比例标头,0),FALSE)*VLOOKUP($BJ18,$AR$3:$AY$33,MATCH("换弹时间",$AR$3:$AY$3,0),FALSE),2))</f>
        <v>0</v>
      </c>
      <c r="BW18" s="2">
        <f>IF(VLOOKUP(BJ18,坦克个性化设定!$B$18:$BC$48,MATCH("装弹类型",坦克个性化设定!$B$18:$BC$18,0),FALSE)="弹夹换弹",ROUND(VLOOKUP($BJ18,$AI$3:$AO$33,MATCH("换弹时间",$AI$3:$AO$3,0),FALSE)-$BL18/VLOOKUP(VLOOKUP($BJ18,坦克个性化设定!$B$18:$E$48,4,FALSE)&amp;$BK18,坦克属性分配比例,MATCH("升星次数",坦克属性分配比例标头,0),FALSE)*VLOOKUP($BJ18,$AR$3:$AY$33,MATCH("换弹时间",$AR$3:$AY$3,0),FALSE),1),0)</f>
        <v>3.2</v>
      </c>
      <c r="BX18" s="2">
        <f>ROUND(VLOOKUP($BJ18,$AI$3:$AO$33,MATCH(BX$3,$AI$3:$AO$3,0),FALSE)+$BL18/VLOOKUP(VLOOKUP($BJ18,坦克个性化设定!$B$18:$E$48,4,FALSE)&amp;$BK18,坦克属性分配比例,MATCH("升星次数",坦克属性分配比例标头,0),FALSE)*VLOOKUP($BJ18,$AR$3:$AY$33,MATCH(BX$3,$AR$3:$AY$3,0),FALSE),2)</f>
        <v>0.8</v>
      </c>
      <c r="BY18" s="2">
        <f>ROUND(VLOOKUP($BJ18,$AI$3:$AO$33,MATCH(BY$3,$AI$3:$AO$3,0),FALSE)-$BL18/VLOOKUP(VLOOKUP($BJ18,坦克个性化设定!$B$18:$E$48,4,FALSE)&amp;$BK18,坦克属性分配比例,MATCH("升星次数",坦克属性分配比例标头,0),FALSE)*VLOOKUP($BJ18,$AR$3:$AY$33,MATCH(BY$3,$AR$3:$AY$3,0),FALSE),2)</f>
        <v>0.57999999999999996</v>
      </c>
      <c r="CA18" s="2">
        <v>15</v>
      </c>
      <c r="CB18" s="2" t="str">
        <f t="shared" si="15"/>
        <v>谢尔曼</v>
      </c>
      <c r="CC18" s="2" t="str">
        <f>VLOOKUP(CB18,坦克个性化设定!$B$18:$F$48,5,FALSE)</f>
        <v>中坦自动</v>
      </c>
      <c r="CD18" s="29" t="str">
        <f>VLOOKUP(CB18,坦克个性化细分!$I$3:$J$33,2,FALSE)</f>
        <v>中</v>
      </c>
      <c r="CE18" s="42">
        <f ca="1">(VLOOKUP($CB18&amp;"最终",$S$3:$AE$63,MATCH(CE$3,$S$3:$AE$3,0),FALSE)-VLOOKUP($CB18&amp;"初始",$S$3:$AE$63,MATCH(CE$3,$S$3:$AE$3,0),FALSE))*VLOOKUP(VLOOKUP($CB18,坦克个性化设定!$B$18:$E$48,4,FALSE)&amp;$CD18,坦克属性分配比例,MATCH("部件比例",坦克属性分配比例标头,0),FALSE)</f>
        <v>249.5599529369448</v>
      </c>
      <c r="CF18" s="42">
        <f ca="1">(VLOOKUP($CB18&amp;"最终",$S$3:$AE$63,MATCH(CF$3,$S$3:$AE$3,0),FALSE)-VLOOKUP($CB18&amp;"初始",$S$3:$AE$63,MATCH(CF$3,$S$3:$AE$3,0),FALSE))*VLOOKUP(VLOOKUP($CB18,坦克个性化设定!$B$18:$E$48,4,FALSE)&amp;$CD18,坦克属性分配比例,MATCH("部件比例",坦克属性分配比例标头,0),FALSE)</f>
        <v>31.52162898749275</v>
      </c>
      <c r="CG18" s="42">
        <f ca="1">(VLOOKUP($CB18&amp;"最终",$S$3:$AE$63,MATCH(CG$3,$S$3:$AE$3,0),FALSE)-VLOOKUP($CB18&amp;"初始",$S$3:$AE$63,MATCH(CG$3,$S$3:$AE$3,0),FALSE))*VLOOKUP(VLOOKUP($CB18,坦克个性化设定!$B$18:$E$48,4,FALSE)&amp;$CD18,坦克属性分配比例,MATCH("部件比例",坦克属性分配比例标头,0),FALSE)*(1-$C$3)</f>
        <v>38.880000000000003</v>
      </c>
      <c r="CH18" s="42">
        <f ca="1">(VLOOKUP($CB18&amp;"最终",$S$3:$AE$63,MATCH(CH$3,$S$3:$AE$3,0),FALSE)-VLOOKUP($CB18&amp;"初始",$S$3:$AE$63,MATCH(CH$3,$S$3:$AE$3,0),FALSE))*VLOOKUP(VLOOKUP($CB18,坦克个性化设定!$B$18:$E$48,4,FALSE)&amp;$CD18,坦克属性分配比例,MATCH("部件比例",坦克属性分配比例标头,0),FALSE)*(1-$C$3)</f>
        <v>29.12</v>
      </c>
      <c r="CI18" s="42">
        <f ca="1">(VLOOKUP($CB18&amp;"最终",$S$3:$AE$63,MATCH(CI$3,$S$3:$AE$3,0),FALSE)-VLOOKUP($CB18&amp;"初始",$S$3:$AE$63,MATCH(CI$3,$S$3:$AE$3,0),FALSE))*VLOOKUP(VLOOKUP($CB18,坦克个性化设定!$B$18:$E$48,4,FALSE)&amp;$CD18,坦克属性分配比例,MATCH("部件比例",坦克属性分配比例标头,0),FALSE)</f>
        <v>106.80000000000001</v>
      </c>
    </row>
    <row r="19" spans="2:87" x14ac:dyDescent="0.3">
      <c r="B19" s="2">
        <v>14</v>
      </c>
      <c r="C19" s="2" t="str">
        <f>坦克个性化设定!B32</f>
        <v>玛蒂尔达</v>
      </c>
      <c r="D19" s="2">
        <v>2311</v>
      </c>
      <c r="E19" s="2" t="s">
        <v>638</v>
      </c>
      <c r="F19" s="2">
        <v>1</v>
      </c>
      <c r="G19" s="25" t="str">
        <f t="shared" si="17"/>
        <v>玛蒂尔达</v>
      </c>
      <c r="H19" s="25"/>
      <c r="I19" s="25"/>
      <c r="J19" s="25"/>
      <c r="K19" s="25"/>
      <c r="L19" s="25"/>
      <c r="M19" s="25"/>
      <c r="N19" s="25"/>
      <c r="O19" s="25"/>
      <c r="P19" s="25"/>
      <c r="Q19" s="25"/>
      <c r="R19" s="25"/>
      <c r="S19" s="2" t="str">
        <f t="shared" si="2"/>
        <v>M-41最终</v>
      </c>
      <c r="T19" s="2">
        <f>IF(COUNTIF(U$4:U18,U18)&gt;=$B$3,T18+1,T18)</f>
        <v>8</v>
      </c>
      <c r="U19" s="2" t="str">
        <f t="shared" si="3"/>
        <v>M-41</v>
      </c>
      <c r="V19" s="2" t="str">
        <f>VLOOKUP(U19,坦克个性化设定!$B$18:$F$48,5,FALSE)</f>
        <v>轻坦弹夹</v>
      </c>
      <c r="W19" s="29" t="str">
        <f>VLOOKUP(U19,坦克个性化细分!$I$3:$J$33,2,FALSE)</f>
        <v>中</v>
      </c>
      <c r="X19" s="2" t="str">
        <f t="shared" si="16"/>
        <v>最终</v>
      </c>
      <c r="Y19" s="2" t="str">
        <f>VLOOKUP(VLOOKUP(U19,坦克个性化设定!$B$18:$F$48,4,FALSE)&amp;W19,坦克等级成长!$P$12:$U$24,MATCH(X19,坦克等级成长!$P$12:$U$12,0),FALSE)</f>
        <v>T4中6</v>
      </c>
      <c r="Z19" s="42">
        <f ca="1">VLOOKUP($Y19,INDIRECT($V19&amp;"_阶段属性"),MATCH(Z$3,属性标头_阶段属性,0),FALSE)*VLOOKUP($U19,坦克个性化设定!$B$84:$D$114,2,FALSE)</f>
        <v>2423.0109401749419</v>
      </c>
      <c r="AA19" s="42">
        <f ca="1">VLOOKUP($Y19,INDIRECT($V19&amp;"_阶段属性"),MATCH(AA$3,属性标头_阶段属性,0),FALSE)*VLOOKUP($U19,坦克个性化设定!$B$84:$D$114,3,FALSE)</f>
        <v>163.94441796038689</v>
      </c>
      <c r="AB19" s="2">
        <f t="shared" ca="1" si="4"/>
        <v>973</v>
      </c>
      <c r="AC19" s="2">
        <f t="shared" ca="1" si="4"/>
        <v>681</v>
      </c>
      <c r="AD19" s="2">
        <f t="shared" ca="1" si="4"/>
        <v>888</v>
      </c>
      <c r="AE19" s="2">
        <f t="shared" ca="1" si="4"/>
        <v>237</v>
      </c>
      <c r="AF19" s="25"/>
      <c r="AH19" s="2">
        <v>16</v>
      </c>
      <c r="AI19" s="2" t="str">
        <f t="shared" si="5"/>
        <v>彗星</v>
      </c>
      <c r="AJ19" s="2">
        <f>VLOOKUP($AI19,坦克个性化细分!$I$3:$P$33,MATCH(AJ$3,坦克个性化细分!$I$3:$P$3,0),FALSE)</f>
        <v>37.4</v>
      </c>
      <c r="AK19" s="2">
        <f>VLOOKUP($AI19,坦克个性化细分!$I$3:$P$33,MATCH(AK$3,坦克个性化细分!$I$3:$P$3,0),FALSE)</f>
        <v>52.5</v>
      </c>
      <c r="AL19" s="2">
        <f>VLOOKUP($AI19,坦克个性化细分!$I$3:$P$33,MATCH(AL$3,坦克个性化细分!$I$3:$P$3,0),FALSE)</f>
        <v>7.6</v>
      </c>
      <c r="AM19" s="34">
        <f>VLOOKUP(AI19,坦克个性化细分!$AA$3:$AP$33,MATCH("射击偏移角",坦克个性化细分!$AA$3:$AP$3,0),FALSE)/VLOOKUP(AI19,坦克个性化细分!$AA$3:$AP$33,MATCH("原瞄准速度",坦克个性化细分!$AA$3:$AP$3,0),FALSE)</f>
        <v>1.1499999999999999</v>
      </c>
      <c r="AN19" s="34">
        <f>VLOOKUP(AI19,坦克个性化细分!$AA$3:$AP$33,MATCH(AN$3,坦克个性化细分!$AA$3:$AP$3,0),FALSE)</f>
        <v>0.4</v>
      </c>
      <c r="AO19" s="2">
        <f>VLOOKUP(AI19,坦克个性化细分!$AA$3:$AP$33,MATCH("原换弹时间",坦克个性化细分!$AA$3:$AP$3,0),FALSE)</f>
        <v>3</v>
      </c>
      <c r="AP19" s="133"/>
      <c r="AQ19" s="2">
        <v>16</v>
      </c>
      <c r="AR19" s="2" t="str">
        <f t="shared" si="6"/>
        <v>彗星</v>
      </c>
      <c r="AS19" s="2" t="s">
        <v>875</v>
      </c>
      <c r="AT19" s="34">
        <f>VLOOKUP(AR19,坦克个性化细分!$I$3:$P$33,MATCH("养成区间1",坦克个性化细分!$I$3:$P$3,0),FALSE)</f>
        <v>9.3499999999999961</v>
      </c>
      <c r="AU19" s="2">
        <f>VLOOKUP(AR19,坦克个性化细分!$I$3:$P$33,MATCH("养成区间2",坦克个性化细分!$I$3:$P$3,0),FALSE)</f>
        <v>13.124999999999996</v>
      </c>
      <c r="AV19" s="2">
        <f>VLOOKUP(AR19,坦克个性化细分!$I$3:$P$33,MATCH("养成区间3",坦克个性化细分!$I$3:$P$3,0),FALSE)</f>
        <v>0</v>
      </c>
      <c r="AW19" s="34">
        <f>VLOOKUP(AR19,坦克个性化细分!$AA$3:$AP$33,MATCH("瞄准区间",坦克个性化细分!$AA$3:$AP$3,0),FALSE)</f>
        <v>0.19166666666666665</v>
      </c>
      <c r="AX19" s="34">
        <f>VLOOKUP(AI19,坦克个性化细分!$AA$3:$AP$33,MATCH("后射击间隔",坦克个性化细分!$AA$3:$AP$3,0),FALSE)-VLOOKUP(AI19,坦克个性化细分!$AA$3:$AP$33,MATCH(AN$3,坦克个性化细分!$AA$3:$AP$3,0),FALSE)</f>
        <v>0</v>
      </c>
      <c r="AY19" s="34">
        <f>VLOOKUP(AR19,坦克个性化细分!$AA$3:$AP$33,MATCH("换弹区间",坦克个性化细分!$AA$3:$AP$3,0),FALSE)</f>
        <v>0.52066115702479276</v>
      </c>
      <c r="AZ19" s="133"/>
      <c r="BA19" s="34">
        <f t="shared" si="8"/>
        <v>0.24999999999999992</v>
      </c>
      <c r="BB19" s="34">
        <f t="shared" si="9"/>
        <v>0.24999999999999994</v>
      </c>
      <c r="BC19" s="34">
        <f t="shared" si="10"/>
        <v>0</v>
      </c>
      <c r="BD19" s="34">
        <f t="shared" si="11"/>
        <v>0.16666666666666666</v>
      </c>
      <c r="BE19" s="34">
        <f t="shared" si="12"/>
        <v>0.17355371900826425</v>
      </c>
      <c r="BF19" s="34"/>
      <c r="BG19" s="133"/>
      <c r="BH19" s="2" t="str">
        <f t="shared" si="13"/>
        <v>Puma1</v>
      </c>
      <c r="BI19" s="2">
        <f>IF(BL18&gt;=VLOOKUP(VLOOKUP(BJ18,坦克个性化设定!$B$18:$E$48,4,FALSE)&amp;BK18,坦克属性分配比例,MATCH("升星次数",坦克属性分配比例标头,0),FALSE),BI18+1,BI18)</f>
        <v>3</v>
      </c>
      <c r="BJ19" s="2" t="str">
        <f t="shared" si="14"/>
        <v>Puma</v>
      </c>
      <c r="BK19" s="29" t="str">
        <f>VLOOKUP(BJ19,坦克个性化细分!$I$3:$J$33,2,FALSE)</f>
        <v>中</v>
      </c>
      <c r="BL19" s="2">
        <f t="shared" si="7"/>
        <v>1</v>
      </c>
      <c r="BM19" s="103">
        <f ca="1">ROUND(VLOOKUP($BJ19&amp;"初始",$S$3:$AE$63,MATCH(BM$3,$S$3:$AE$3,0),FALSE)+((VLOOKUP($BJ19&amp;"最终",$S$3:$AE$63,MATCH(BM$3,$S$3:$AE$3,0),FALSE)*坦克个性化细分!$C$9-VLOOKUP($BJ19&amp;"初始",$S$3:$AE$63,MATCH(BM$3,$S$3:$AE$3,0),FALSE))-(VLOOKUP($BJ19&amp;"最终",$S$3:$AE$63,MATCH(BM$3,$S$3:$AE$3,0),FALSE)-VLOOKUP($BJ19&amp;"初始",$S$3:$AE$63,MATCH(BM$3,$S$3:$AE$3,0),FALSE))*VLOOKUP(VLOOKUP($BJ19,坦克个性化设定!$B$18:$E$48,4,FALSE)&amp;$BK19,坦克属性分配比例,MATCH("部件比例",坦克属性分配比例标头,0),FALSE))*$BL19/VLOOKUP(VLOOKUP($BJ19,坦克个性化设定!$B$18:$E$48,4,FALSE)&amp;$BK19,坦克属性分配比例,MATCH("升星次数",坦克属性分配比例标头,0),FALSE),0)</f>
        <v>1129</v>
      </c>
      <c r="BN19" s="103">
        <f ca="1">ROUND(VLOOKUP($BJ19&amp;"初始",$S$3:$AE$63,MATCH(BN$3,$S$3:$AE$3,0),FALSE)+(VLOOKUP($BJ19&amp;"最终",$S$3:$AE$63,MATCH(BN$3,$S$3:$AE$3,0),FALSE)-VLOOKUP($BJ19&amp;"初始",$S$3:$AE$63,MATCH(BN$3,$S$3:$AE$3,0),FALSE))*$BL19/VLOOKUP(VLOOKUP($BJ19,坦克个性化设定!$B$18:$E$48,4,FALSE)&amp;$BK19,坦克属性分配比例,MATCH("升星次数",坦克属性分配比例标头,0),FALSE)*VLOOKUP(VLOOKUP($BJ19,坦克个性化设定!$B$18:$E$48,4,FALSE)&amp;$BK19,坦克属性分配比例,MATCH("升星比例",坦克属性分配比例标头,0),FALSE),0)</f>
        <v>82</v>
      </c>
      <c r="BO19" s="103">
        <f ca="1">ROUND(VLOOKUP($BJ19&amp;"初始",$S$3:$AE$63,MATCH(BO$3,$S$3:$AE$3,0),FALSE)+(VLOOKUP($BJ19&amp;"最终",$S$3:$AE$63,MATCH(BO$3,$S$3:$AE$3,0),FALSE)-VLOOKUP($BJ19&amp;"初始",$S$3:$AE$63,MATCH(BO$3,$S$3:$AE$3,0),FALSE))*$BL19/VLOOKUP(VLOOKUP($BJ19,坦克个性化设定!$B$18:$E$48,4,FALSE)&amp;$BK19,坦克属性分配比例,MATCH("升星次数",坦克属性分配比例标头,0),FALSE)*(VLOOKUP(VLOOKUP($BJ19,坦克个性化设定!$B$18:$E$48,4,FALSE)&amp;$BK19,坦克属性分配比例,MATCH("升星比例",坦克属性分配比例标头,0),FALSE)+VLOOKUP(VLOOKUP($BJ19,坦克个性化设定!$B$18:$E$48,4,FALSE)&amp;$BK19,坦克属性分配比例,MATCH("部件比例",坦克属性分配比例标头,0),FALSE)*$C$3),0)</f>
        <v>423</v>
      </c>
      <c r="BP19" s="103">
        <f ca="1">ROUND(VLOOKUP($BJ19&amp;"初始",$S$3:$AE$63,MATCH(BP$3,$S$3:$AE$3,0),FALSE)+(VLOOKUP($BJ19&amp;"最终",$S$3:$AE$63,MATCH(BP$3,$S$3:$AE$3,0),FALSE)-VLOOKUP($BJ19&amp;"初始",$S$3:$AE$63,MATCH(BP$3,$S$3:$AE$3,0),FALSE))*$BL19/VLOOKUP(VLOOKUP($BJ19,坦克个性化设定!$B$18:$E$48,4,FALSE)&amp;$BK19,坦克属性分配比例,MATCH("升星次数",坦克属性分配比例标头,0),FALSE)*(VLOOKUP(VLOOKUP($BJ19,坦克个性化设定!$B$18:$E$48,4,FALSE)&amp;$BK19,坦克属性分配比例,MATCH("升星比例",坦克属性分配比例标头,0),FALSE)+VLOOKUP(VLOOKUP($BJ19,坦克个性化设定!$B$18:$E$48,4,FALSE)&amp;$BK19,坦克属性分配比例,MATCH("部件比例",坦克属性分配比例标头,0),FALSE)*$C$3),0)</f>
        <v>296</v>
      </c>
      <c r="BQ19" s="103">
        <f ca="1">ROUND(VLOOKUP($BJ19&amp;"初始",$S$3:$AE$63,MATCH(BQ$3,$S$3:$AE$3,0),FALSE)+(VLOOKUP($BJ19&amp;"最终",$S$3:$AE$63,MATCH(BQ$3,$S$3:$AE$3,0),FALSE)-VLOOKUP($BJ19&amp;"初始",$S$3:$AE$63,MATCH(BQ$3,$S$3:$AE$3,0),FALSE))*$BL19/VLOOKUP(VLOOKUP($BJ19,坦克个性化设定!$B$18:$E$48,4,FALSE)&amp;$BK19,坦克属性分配比例,MATCH("升星次数",坦克属性分配比例标头,0),FALSE)*VLOOKUP(VLOOKUP($BJ19,坦克个性化设定!$B$18:$E$48,4,FALSE)&amp;$BK19,坦克属性分配比例,MATCH("升星比例",坦克属性分配比例标头,0),FALSE),0)</f>
        <v>381</v>
      </c>
      <c r="BR19" s="2">
        <f ca="1">ROUND(VLOOKUP($BJ19&amp;"初始",$S$3:$AE$63,MATCH(BR$3,$S$3:$AE$3,0),FALSE)+(VLOOKUP($BJ19&amp;"最终",$S$3:$AE$63,MATCH(BR$3,$S$3:$AE$3,0),FALSE)-VLOOKUP($BJ19&amp;"初始",$S$3:$AE$63,MATCH(BR$3,$S$3:$AE$3,0),FALSE))*$BL19/VLOOKUP(VLOOKUP($BJ19,坦克个性化设定!$B$18:$E$48,4,FALSE)&amp;$BK19,坦克属性分配比例,MATCH("升星次数",坦克属性分配比例标头,0),FALSE),0)</f>
        <v>104</v>
      </c>
      <c r="BS19" s="2">
        <f>ROUND(VLOOKUP($BJ19,$AI$3:$AO$33,MATCH(BS$3,$AI$3:$AO$3,0),FALSE)+$BL19/VLOOKUP(VLOOKUP($BJ19,坦克个性化设定!$B$18:$E$48,4,FALSE)&amp;$BK19,坦克属性分配比例,MATCH("升星次数",坦克属性分配比例标头,0),FALSE)*VLOOKUP($BJ19,$AR$3:$AY$33,MATCH(BS$3,$AR$3:$AY$3,0),FALSE),1)</f>
        <v>44.8</v>
      </c>
      <c r="BT19" s="2">
        <f>ROUND(VLOOKUP($BJ19,$AI$3:$AO$33,MATCH(BT$3,$AI$3:$AO$3,0),FALSE)+$BL19/VLOOKUP(VLOOKUP($BJ19,坦克个性化设定!$B$18:$E$48,4,FALSE)&amp;$BK19,坦克属性分配比例,MATCH("升星次数",坦克属性分配比例标头,0),FALSE)*VLOOKUP($BJ19,$AR$3:$AY$33,MATCH(BT$3,$AR$3:$AY$3,0),FALSE),1)</f>
        <v>52.8</v>
      </c>
      <c r="BU19" s="2">
        <f>ROUND(VLOOKUP($BJ19,$AI$3:$AO$33,MATCH(BU$3,$AI$3:$AO$3,0),FALSE)+$BL19/VLOOKUP(VLOOKUP($BJ19,坦克个性化设定!$B$18:$E$48,4,FALSE)&amp;$BK19,坦克属性分配比例,MATCH("升星次数",坦克属性分配比例标头,0),FALSE)*VLOOKUP($BJ19,$AR$3:$AY$33,MATCH(BU$3,$AR$3:$AY$3,0),FALSE),1)</f>
        <v>10.199999999999999</v>
      </c>
      <c r="BV19" s="2">
        <f>IF(VLOOKUP(BJ19,坦克个性化设定!$B$18:$BC$48,MATCH("装弹类型",坦克个性化设定!$B$18:$BC$18,0),FALSE)="弹夹换弹",0,ROUND(VLOOKUP($BJ19,$AI$3:$AO$33,MATCH("换弹时间",$AI$3:$AO$3,0),FALSE)-$BL19/VLOOKUP(VLOOKUP($BJ19,坦克个性化设定!$B$18:$E$48,4,FALSE)&amp;$BK19,坦克属性分配比例,MATCH("升星次数",坦克属性分配比例标头,0),FALSE)*VLOOKUP($BJ19,$AR$3:$AY$33,MATCH("换弹时间",$AR$3:$AY$3,0),FALSE),2))</f>
        <v>0</v>
      </c>
      <c r="BW19" s="2">
        <f>IF(VLOOKUP(BJ19,坦克个性化设定!$B$18:$BC$48,MATCH("装弹类型",坦克个性化设定!$B$18:$BC$18,0),FALSE)="弹夹换弹",ROUND(VLOOKUP($BJ19,$AI$3:$AO$33,MATCH("换弹时间",$AI$3:$AO$3,0),FALSE)-$BL19/VLOOKUP(VLOOKUP($BJ19,坦克个性化设定!$B$18:$E$48,4,FALSE)&amp;$BK19,坦克属性分配比例,MATCH("升星次数",坦克属性分配比例标头,0),FALSE)*VLOOKUP($BJ19,$AR$3:$AY$33,MATCH("换弹时间",$AR$3:$AY$3,0),FALSE),1),0)</f>
        <v>3</v>
      </c>
      <c r="BX19" s="2">
        <f>ROUND(VLOOKUP($BJ19,$AI$3:$AO$33,MATCH(BX$3,$AI$3:$AO$3,0),FALSE)+$BL19/VLOOKUP(VLOOKUP($BJ19,坦克个性化设定!$B$18:$E$48,4,FALSE)&amp;$BK19,坦克属性分配比例,MATCH("升星次数",坦克属性分配比例标头,0),FALSE)*VLOOKUP($BJ19,$AR$3:$AY$33,MATCH(BX$3,$AR$3:$AY$3,0),FALSE),2)</f>
        <v>0.8</v>
      </c>
      <c r="BY19" s="2">
        <f>ROUND(VLOOKUP($BJ19,$AI$3:$AO$33,MATCH(BY$3,$AI$3:$AO$3,0),FALSE)-$BL19/VLOOKUP(VLOOKUP($BJ19,坦克个性化设定!$B$18:$E$48,4,FALSE)&amp;$BK19,坦克属性分配比例,MATCH("升星次数",坦克属性分配比例标头,0),FALSE)*VLOOKUP($BJ19,$AR$3:$AY$33,MATCH(BY$3,$AR$3:$AY$3,0),FALSE),2)</f>
        <v>0.56000000000000005</v>
      </c>
      <c r="CA19" s="2">
        <v>16</v>
      </c>
      <c r="CB19" s="2" t="str">
        <f t="shared" si="15"/>
        <v>彗星</v>
      </c>
      <c r="CC19" s="2" t="str">
        <f>VLOOKUP(CB19,坦克个性化设定!$B$18:$F$48,5,FALSE)</f>
        <v>中坦自动</v>
      </c>
      <c r="CD19" s="29" t="str">
        <f>VLOOKUP(CB19,坦克个性化细分!$I$3:$J$33,2,FALSE)</f>
        <v>高</v>
      </c>
      <c r="CE19" s="42">
        <f ca="1">(VLOOKUP($CB19&amp;"最终",$S$3:$AE$63,MATCH(CE$3,$S$3:$AE$3,0),FALSE)-VLOOKUP($CB19&amp;"初始",$S$3:$AE$63,MATCH(CE$3,$S$3:$AE$3,0),FALSE))*VLOOKUP(VLOOKUP($CB19,坦克个性化设定!$B$18:$E$48,4,FALSE)&amp;$CD19,坦克属性分配比例,MATCH("部件比例",坦克属性分配比例标头,0),FALSE)</f>
        <v>257.00055842929027</v>
      </c>
      <c r="CF19" s="42">
        <f ca="1">(VLOOKUP($CB19&amp;"最终",$S$3:$AE$63,MATCH(CF$3,$S$3:$AE$3,0),FALSE)-VLOOKUP($CB19&amp;"初始",$S$3:$AE$63,MATCH(CF$3,$S$3:$AE$3,0),FALSE))*VLOOKUP(VLOOKUP($CB19,坦克个性化设定!$B$18:$E$48,4,FALSE)&amp;$CD19,坦克属性分配比例,MATCH("部件比例",坦克属性分配比例标头,0),FALSE)</f>
        <v>33.365897312825133</v>
      </c>
      <c r="CG19" s="42">
        <f ca="1">(VLOOKUP($CB19&amp;"最终",$S$3:$AE$63,MATCH(CG$3,$S$3:$AE$3,0),FALSE)-VLOOKUP($CB19&amp;"初始",$S$3:$AE$63,MATCH(CG$3,$S$3:$AE$3,0),FALSE))*VLOOKUP(VLOOKUP($CB19,坦克个性化设定!$B$18:$E$48,4,FALSE)&amp;$CD19,坦克属性分配比例,MATCH("部件比例",坦克属性分配比例标头,0),FALSE)*(1-$C$3)</f>
        <v>41.6</v>
      </c>
      <c r="CH19" s="42">
        <f ca="1">(VLOOKUP($CB19&amp;"最终",$S$3:$AE$63,MATCH(CH$3,$S$3:$AE$3,0),FALSE)-VLOOKUP($CB19&amp;"初始",$S$3:$AE$63,MATCH(CH$3,$S$3:$AE$3,0),FALSE))*VLOOKUP(VLOOKUP($CB19,坦克个性化设定!$B$18:$E$48,4,FALSE)&amp;$CD19,坦克属性分配比例,MATCH("部件比例",坦克属性分配比例标头,0),FALSE)*(1-$C$3)</f>
        <v>31.040000000000006</v>
      </c>
      <c r="CI19" s="42">
        <f ca="1">(VLOOKUP($CB19&amp;"最终",$S$3:$AE$63,MATCH(CI$3,$S$3:$AE$3,0),FALSE)-VLOOKUP($CB19&amp;"初始",$S$3:$AE$63,MATCH(CI$3,$S$3:$AE$3,0),FALSE))*VLOOKUP(VLOOKUP($CB19,坦克个性化设定!$B$18:$E$48,4,FALSE)&amp;$CD19,坦克属性分配比例,MATCH("部件比例",坦克属性分配比例标头,0),FALSE)</f>
        <v>114</v>
      </c>
    </row>
    <row r="20" spans="2:87" x14ac:dyDescent="0.3">
      <c r="B20" s="2">
        <v>15</v>
      </c>
      <c r="C20" s="2" t="str">
        <f>坦克个性化设定!B33</f>
        <v>谢尔曼</v>
      </c>
      <c r="D20" s="2">
        <v>2321</v>
      </c>
      <c r="E20" s="2" t="s">
        <v>640</v>
      </c>
      <c r="F20" s="2">
        <v>1</v>
      </c>
      <c r="G20" s="25" t="str">
        <f t="shared" si="17"/>
        <v>谢尔曼</v>
      </c>
      <c r="H20" s="25"/>
      <c r="I20" s="25"/>
      <c r="J20" s="25"/>
      <c r="K20" s="25"/>
      <c r="L20" s="25"/>
      <c r="M20" s="25"/>
      <c r="N20" s="25"/>
      <c r="O20" s="25"/>
      <c r="P20" s="25"/>
      <c r="Q20" s="25"/>
      <c r="R20" s="25"/>
      <c r="S20" s="2" t="str">
        <f t="shared" si="2"/>
        <v>BMP-3初始</v>
      </c>
      <c r="T20" s="2">
        <f>IF(COUNTIF(U$4:U19,U19)&gt;=$B$3,T19+1,T19)</f>
        <v>9</v>
      </c>
      <c r="U20" s="2" t="str">
        <f t="shared" si="3"/>
        <v>BMP-3</v>
      </c>
      <c r="V20" s="2" t="str">
        <f>VLOOKUP(U20,坦克个性化设定!$B$18:$F$48,5,FALSE)</f>
        <v>轻坦弹夹</v>
      </c>
      <c r="W20" s="29" t="str">
        <f>VLOOKUP(U20,坦克个性化细分!$I$3:$J$33,2,FALSE)</f>
        <v>高</v>
      </c>
      <c r="X20" s="2" t="str">
        <f t="shared" si="16"/>
        <v>初始</v>
      </c>
      <c r="Y20" s="2" t="str">
        <f>VLOOKUP(VLOOKUP(U20,坦克个性化设定!$B$18:$F$48,4,FALSE)&amp;W20,坦克等级成长!$P$12:$U$24,MATCH(X20,坦克等级成长!$P$12:$U$12,0),FALSE)</f>
        <v>T4高4</v>
      </c>
      <c r="Z20" s="42">
        <f ca="1">VLOOKUP($Y20,INDIRECT($V20&amp;"_阶段属性"),MATCH(Z$3,属性标头_阶段属性,0),FALSE)*VLOOKUP($U20,坦克个性化设定!$B$84:$D$114,2,FALSE)</f>
        <v>1787.4041552661115</v>
      </c>
      <c r="AA20" s="42">
        <f ca="1">VLOOKUP($Y20,INDIRECT($V20&amp;"_阶段属性"),MATCH(AA$3,属性标头_阶段属性,0),FALSE)*VLOOKUP($U20,坦克个性化设定!$B$84:$D$114,3,FALSE)</f>
        <v>106.50737460397396</v>
      </c>
      <c r="AB20" s="2">
        <f t="shared" ca="1" si="4"/>
        <v>657</v>
      </c>
      <c r="AC20" s="2">
        <f t="shared" ca="1" si="4"/>
        <v>460</v>
      </c>
      <c r="AD20" s="2">
        <f t="shared" ca="1" si="4"/>
        <v>600</v>
      </c>
      <c r="AE20" s="2">
        <f t="shared" ca="1" si="4"/>
        <v>160</v>
      </c>
      <c r="AF20" s="25"/>
      <c r="AH20" s="2">
        <v>17</v>
      </c>
      <c r="AI20" s="2" t="str">
        <f t="shared" si="5"/>
        <v>M-48</v>
      </c>
      <c r="AJ20" s="2">
        <f>VLOOKUP($AI20,坦克个性化细分!$I$3:$P$33,MATCH(AJ$3,坦克个性化细分!$I$3:$P$3,0),FALSE)</f>
        <v>44.5</v>
      </c>
      <c r="AK20" s="2">
        <f>VLOOKUP($AI20,坦克个性化细分!$I$3:$P$33,MATCH(AK$3,坦克个性化细分!$I$3:$P$3,0),FALSE)</f>
        <v>40</v>
      </c>
      <c r="AL20" s="2">
        <f>VLOOKUP($AI20,坦克个性化细分!$I$3:$P$33,MATCH(AL$3,坦克个性化细分!$I$3:$P$3,0),FALSE)</f>
        <v>8</v>
      </c>
      <c r="AM20" s="34">
        <f>VLOOKUP(AI20,坦克个性化细分!$AA$3:$AP$33,MATCH("射击偏移角",坦克个性化细分!$AA$3:$AP$3,0),FALSE)/VLOOKUP(AI20,坦克个性化细分!$AA$3:$AP$33,MATCH("原瞄准速度",坦克个性化细分!$AA$3:$AP$3,0),FALSE)</f>
        <v>1.36</v>
      </c>
      <c r="AN20" s="34">
        <f>VLOOKUP(AI20,坦克个性化细分!$AA$3:$AP$33,MATCH(AN$3,坦克个性化细分!$AA$3:$AP$3,0),FALSE)</f>
        <v>0.32</v>
      </c>
      <c r="AO20" s="2">
        <f>VLOOKUP(AI20,坦克个性化细分!$AA$3:$AP$33,MATCH("原换弹时间",坦克个性化细分!$AA$3:$AP$3,0),FALSE)</f>
        <v>2.4</v>
      </c>
      <c r="AP20" s="133"/>
      <c r="AQ20" s="2">
        <v>17</v>
      </c>
      <c r="AR20" s="2" t="str">
        <f t="shared" si="6"/>
        <v>M-48</v>
      </c>
      <c r="AS20" s="2" t="s">
        <v>85</v>
      </c>
      <c r="AT20" s="34">
        <f>VLOOKUP(AR20,坦克个性化细分!$I$3:$P$33,MATCH("养成区间1",坦克个性化细分!$I$3:$P$3,0),FALSE)</f>
        <v>11.124999999999998</v>
      </c>
      <c r="AU20" s="2">
        <f>VLOOKUP(AR20,坦克个性化细分!$I$3:$P$33,MATCH("养成区间2",坦克个性化细分!$I$3:$P$3,0),FALSE)</f>
        <v>9.9999999999999982</v>
      </c>
      <c r="AV20" s="2">
        <f>VLOOKUP(AR20,坦克个性化细分!$I$3:$P$33,MATCH("养成区间3",坦克个性化细分!$I$3:$P$3,0),FALSE)</f>
        <v>0</v>
      </c>
      <c r="AW20" s="34">
        <f>VLOOKUP(AR20,坦克个性化细分!$AA$3:$AP$33,MATCH("瞄准区间",坦克个性化细分!$AA$3:$AP$3,0),FALSE)</f>
        <v>0.22666666666666657</v>
      </c>
      <c r="AX20" s="34">
        <f>VLOOKUP(AI20,坦克个性化细分!$AA$3:$AP$33,MATCH("后射击间隔",坦克个性化细分!$AA$3:$AP$3,0),FALSE)-VLOOKUP(AI20,坦克个性化细分!$AA$3:$AP$33,MATCH(AN$3,坦克个性化细分!$AA$3:$AP$3,0),FALSE)</f>
        <v>0.43</v>
      </c>
      <c r="AY20" s="34">
        <f>VLOOKUP(AR20,坦克个性化细分!$AA$3:$AP$33,MATCH("换弹区间",坦克个性化细分!$AA$3:$AP$3,0),FALSE)</f>
        <v>0.37639123102866767</v>
      </c>
      <c r="AZ20" s="133"/>
      <c r="BA20" s="34">
        <f t="shared" si="8"/>
        <v>0.24999999999999997</v>
      </c>
      <c r="BB20" s="34">
        <f t="shared" si="9"/>
        <v>0.24999999999999994</v>
      </c>
      <c r="BC20" s="34">
        <f t="shared" si="10"/>
        <v>0</v>
      </c>
      <c r="BD20" s="34">
        <f t="shared" si="11"/>
        <v>0.16666666666666657</v>
      </c>
      <c r="BE20" s="34">
        <f t="shared" si="12"/>
        <v>0.15682967959527822</v>
      </c>
      <c r="BF20" s="34"/>
      <c r="BG20" s="133"/>
      <c r="BH20" s="2" t="str">
        <f t="shared" si="13"/>
        <v>Puma2</v>
      </c>
      <c r="BI20" s="2">
        <f>IF(BL19&gt;=VLOOKUP(VLOOKUP(BJ19,坦克个性化设定!$B$18:$E$48,4,FALSE)&amp;BK19,坦克属性分配比例,MATCH("升星次数",坦克属性分配比例标头,0),FALSE),BI19+1,BI19)</f>
        <v>3</v>
      </c>
      <c r="BJ20" s="2" t="str">
        <f t="shared" si="14"/>
        <v>Puma</v>
      </c>
      <c r="BK20" s="29" t="str">
        <f>VLOOKUP(BJ20,坦克个性化细分!$I$3:$J$33,2,FALSE)</f>
        <v>中</v>
      </c>
      <c r="BL20" s="2">
        <f t="shared" si="7"/>
        <v>2</v>
      </c>
      <c r="BM20" s="103">
        <f ca="1">ROUND(VLOOKUP($BJ20&amp;"初始",$S$3:$AE$63,MATCH(BM$3,$S$3:$AE$3,0),FALSE)+((VLOOKUP($BJ20&amp;"最终",$S$3:$AE$63,MATCH(BM$3,$S$3:$AE$3,0),FALSE)*坦克个性化细分!$C$9-VLOOKUP($BJ20&amp;"初始",$S$3:$AE$63,MATCH(BM$3,$S$3:$AE$3,0),FALSE))-(VLOOKUP($BJ20&amp;"最终",$S$3:$AE$63,MATCH(BM$3,$S$3:$AE$3,0),FALSE)-VLOOKUP($BJ20&amp;"初始",$S$3:$AE$63,MATCH(BM$3,$S$3:$AE$3,0),FALSE))*VLOOKUP(VLOOKUP($BJ20,坦克个性化设定!$B$18:$E$48,4,FALSE)&amp;$BK20,坦克属性分配比例,MATCH("部件比例",坦克属性分配比例标头,0),FALSE))*$BL20/VLOOKUP(VLOOKUP($BJ20,坦克个性化设定!$B$18:$E$48,4,FALSE)&amp;$BK20,坦克属性分配比例,MATCH("升星次数",坦克属性分配比例标头,0),FALSE),0)</f>
        <v>1205</v>
      </c>
      <c r="BN20" s="103">
        <f ca="1">ROUND(VLOOKUP($BJ20&amp;"初始",$S$3:$AE$63,MATCH(BN$3,$S$3:$AE$3,0),FALSE)+(VLOOKUP($BJ20&amp;"最终",$S$3:$AE$63,MATCH(BN$3,$S$3:$AE$3,0),FALSE)-VLOOKUP($BJ20&amp;"初始",$S$3:$AE$63,MATCH(BN$3,$S$3:$AE$3,0),FALSE))*$BL20/VLOOKUP(VLOOKUP($BJ20,坦克个性化设定!$B$18:$E$48,4,FALSE)&amp;$BK20,坦克属性分配比例,MATCH("升星次数",坦克属性分配比例标头,0),FALSE)*VLOOKUP(VLOOKUP($BJ20,坦克个性化设定!$B$18:$E$48,4,FALSE)&amp;$BK20,坦克属性分配比例,MATCH("升星比例",坦克属性分配比例标头,0),FALSE),0)</f>
        <v>85</v>
      </c>
      <c r="BO20" s="103">
        <f ca="1">ROUND(VLOOKUP($BJ20&amp;"初始",$S$3:$AE$63,MATCH(BO$3,$S$3:$AE$3,0),FALSE)+(VLOOKUP($BJ20&amp;"最终",$S$3:$AE$63,MATCH(BO$3,$S$3:$AE$3,0),FALSE)-VLOOKUP($BJ20&amp;"初始",$S$3:$AE$63,MATCH(BO$3,$S$3:$AE$3,0),FALSE))*$BL20/VLOOKUP(VLOOKUP($BJ20,坦克个性化设定!$B$18:$E$48,4,FALSE)&amp;$BK20,坦克属性分配比例,MATCH("升星次数",坦克属性分配比例标头,0),FALSE)*(VLOOKUP(VLOOKUP($BJ20,坦克个性化设定!$B$18:$E$48,4,FALSE)&amp;$BK20,坦克属性分配比例,MATCH("升星比例",坦克属性分配比例标头,0),FALSE)+VLOOKUP(VLOOKUP($BJ20,坦克个性化设定!$B$18:$E$48,4,FALSE)&amp;$BK20,坦克属性分配比例,MATCH("部件比例",坦克属性分配比例标头,0),FALSE)*$C$3),0)</f>
        <v>444</v>
      </c>
      <c r="BP20" s="103">
        <f ca="1">ROUND(VLOOKUP($BJ20&amp;"初始",$S$3:$AE$63,MATCH(BP$3,$S$3:$AE$3,0),FALSE)+(VLOOKUP($BJ20&amp;"最终",$S$3:$AE$63,MATCH(BP$3,$S$3:$AE$3,0),FALSE)-VLOOKUP($BJ20&amp;"初始",$S$3:$AE$63,MATCH(BP$3,$S$3:$AE$3,0),FALSE))*$BL20/VLOOKUP(VLOOKUP($BJ20,坦克个性化设定!$B$18:$E$48,4,FALSE)&amp;$BK20,坦克属性分配比例,MATCH("升星次数",坦克属性分配比例标头,0),FALSE)*(VLOOKUP(VLOOKUP($BJ20,坦克个性化设定!$B$18:$E$48,4,FALSE)&amp;$BK20,坦克属性分配比例,MATCH("升星比例",坦克属性分配比例标头,0),FALSE)+VLOOKUP(VLOOKUP($BJ20,坦克个性化设定!$B$18:$E$48,4,FALSE)&amp;$BK20,坦克属性分配比例,MATCH("部件比例",坦克属性分配比例标头,0),FALSE)*$C$3),0)</f>
        <v>311</v>
      </c>
      <c r="BQ20" s="103">
        <f ca="1">ROUND(VLOOKUP($BJ20&amp;"初始",$S$3:$AE$63,MATCH(BQ$3,$S$3:$AE$3,0),FALSE)+(VLOOKUP($BJ20&amp;"最终",$S$3:$AE$63,MATCH(BQ$3,$S$3:$AE$3,0),FALSE)-VLOOKUP($BJ20&amp;"初始",$S$3:$AE$63,MATCH(BQ$3,$S$3:$AE$3,0),FALSE))*$BL20/VLOOKUP(VLOOKUP($BJ20,坦克个性化设定!$B$18:$E$48,4,FALSE)&amp;$BK20,坦克属性分配比例,MATCH("升星次数",坦克属性分配比例标头,0),FALSE)*VLOOKUP(VLOOKUP($BJ20,坦克个性化设定!$B$18:$E$48,4,FALSE)&amp;$BK20,坦克属性分配比例,MATCH("升星比例",坦克属性分配比例标头,0),FALSE),0)</f>
        <v>396</v>
      </c>
      <c r="BR20" s="2">
        <f ca="1">ROUND(VLOOKUP($BJ20&amp;"初始",$S$3:$AE$63,MATCH(BR$3,$S$3:$AE$3,0),FALSE)+(VLOOKUP($BJ20&amp;"最终",$S$3:$AE$63,MATCH(BR$3,$S$3:$AE$3,0),FALSE)-VLOOKUP($BJ20&amp;"初始",$S$3:$AE$63,MATCH(BR$3,$S$3:$AE$3,0),FALSE))*$BL20/VLOOKUP(VLOOKUP($BJ20,坦克个性化设定!$B$18:$E$48,4,FALSE)&amp;$BK20,坦克属性分配比例,MATCH("升星次数",坦克属性分配比例标头,0),FALSE),0)</f>
        <v>110</v>
      </c>
      <c r="BS20" s="2">
        <f>ROUND(VLOOKUP($BJ20,$AI$3:$AO$33,MATCH(BS$3,$AI$3:$AO$3,0),FALSE)+$BL20/VLOOKUP(VLOOKUP($BJ20,坦克个性化设定!$B$18:$E$48,4,FALSE)&amp;$BK20,坦克属性分配比例,MATCH("升星次数",坦克属性分配比例标头,0),FALSE)*VLOOKUP($BJ20,$AR$3:$AY$33,MATCH(BS$3,$AR$3:$AY$3,0),FALSE),1)</f>
        <v>46.4</v>
      </c>
      <c r="BT20" s="2">
        <f>ROUND(VLOOKUP($BJ20,$AI$3:$AO$33,MATCH(BT$3,$AI$3:$AO$3,0),FALSE)+$BL20/VLOOKUP(VLOOKUP($BJ20,坦克个性化设定!$B$18:$E$48,4,FALSE)&amp;$BK20,坦克属性分配比例,MATCH("升星次数",坦克属性分配比例标头,0),FALSE)*VLOOKUP($BJ20,$AR$3:$AY$33,MATCH(BT$3,$AR$3:$AY$3,0),FALSE),1)</f>
        <v>54.6</v>
      </c>
      <c r="BU20" s="2">
        <f>ROUND(VLOOKUP($BJ20,$AI$3:$AO$33,MATCH(BU$3,$AI$3:$AO$3,0),FALSE)+$BL20/VLOOKUP(VLOOKUP($BJ20,坦克个性化设定!$B$18:$E$48,4,FALSE)&amp;$BK20,坦克属性分配比例,MATCH("升星次数",坦克属性分配比例标头,0),FALSE)*VLOOKUP($BJ20,$AR$3:$AY$33,MATCH(BU$3,$AR$3:$AY$3,0),FALSE),1)</f>
        <v>10.199999999999999</v>
      </c>
      <c r="BV20" s="2">
        <f>IF(VLOOKUP(BJ20,坦克个性化设定!$B$18:$BC$48,MATCH("装弹类型",坦克个性化设定!$B$18:$BC$18,0),FALSE)="弹夹换弹",0,ROUND(VLOOKUP($BJ20,$AI$3:$AO$33,MATCH("换弹时间",$AI$3:$AO$3,0),FALSE)-$BL20/VLOOKUP(VLOOKUP($BJ20,坦克个性化设定!$B$18:$E$48,4,FALSE)&amp;$BK20,坦克属性分配比例,MATCH("升星次数",坦克属性分配比例标头,0),FALSE)*VLOOKUP($BJ20,$AR$3:$AY$33,MATCH("换弹时间",$AR$3:$AY$3,0),FALSE),2))</f>
        <v>0</v>
      </c>
      <c r="BW20" s="2">
        <f>IF(VLOOKUP(BJ20,坦克个性化设定!$B$18:$BC$48,MATCH("装弹类型",坦克个性化设定!$B$18:$BC$18,0),FALSE)="弹夹换弹",ROUND(VLOOKUP($BJ20,$AI$3:$AO$33,MATCH("换弹时间",$AI$3:$AO$3,0),FALSE)-$BL20/VLOOKUP(VLOOKUP($BJ20,坦克个性化设定!$B$18:$E$48,4,FALSE)&amp;$BK20,坦克属性分配比例,MATCH("升星次数",坦克属性分配比例标头,0),FALSE)*VLOOKUP($BJ20,$AR$3:$AY$33,MATCH("换弹时间",$AR$3:$AY$3,0),FALSE),1),0)</f>
        <v>2.9</v>
      </c>
      <c r="BX20" s="2">
        <f>ROUND(VLOOKUP($BJ20,$AI$3:$AO$33,MATCH(BX$3,$AI$3:$AO$3,0),FALSE)+$BL20/VLOOKUP(VLOOKUP($BJ20,坦克个性化设定!$B$18:$E$48,4,FALSE)&amp;$BK20,坦克属性分配比例,MATCH("升星次数",坦克属性分配比例标头,0),FALSE)*VLOOKUP($BJ20,$AR$3:$AY$33,MATCH(BX$3,$AR$3:$AY$3,0),FALSE),2)</f>
        <v>0.8</v>
      </c>
      <c r="BY20" s="2">
        <f>ROUND(VLOOKUP($BJ20,$AI$3:$AO$33,MATCH(BY$3,$AI$3:$AO$3,0),FALSE)-$BL20/VLOOKUP(VLOOKUP($BJ20,坦克个性化设定!$B$18:$E$48,4,FALSE)&amp;$BK20,坦克属性分配比例,MATCH("升星次数",坦克属性分配比例标头,0),FALSE)*VLOOKUP($BJ20,$AR$3:$AY$33,MATCH(BY$3,$AR$3:$AY$3,0),FALSE),2)</f>
        <v>0.55000000000000004</v>
      </c>
      <c r="CA20" s="2">
        <v>17</v>
      </c>
      <c r="CB20" s="2" t="str">
        <f t="shared" si="15"/>
        <v>M-48</v>
      </c>
      <c r="CC20" s="2" t="str">
        <f>VLOOKUP(CB20,坦克个性化设定!$B$18:$F$48,5,FALSE)</f>
        <v>中坦自动</v>
      </c>
      <c r="CD20" s="29" t="str">
        <f>VLOOKUP(CB20,坦克个性化细分!$I$3:$J$33,2,FALSE)</f>
        <v>低</v>
      </c>
      <c r="CE20" s="42">
        <f ca="1">(VLOOKUP($CB20&amp;"最终",$S$3:$AE$63,MATCH(CE$3,$S$3:$AE$3,0),FALSE)-VLOOKUP($CB20&amp;"初始",$S$3:$AE$63,MATCH(CE$3,$S$3:$AE$3,0),FALSE))*VLOOKUP(VLOOKUP($CB20,坦克个性化设定!$B$18:$E$48,4,FALSE)&amp;$CD20,坦克属性分配比例,MATCH("部件比例",坦克属性分配比例标头,0),FALSE)</f>
        <v>350.03126700017418</v>
      </c>
      <c r="CF20" s="42">
        <f ca="1">(VLOOKUP($CB20&amp;"最终",$S$3:$AE$63,MATCH(CF$3,$S$3:$AE$3,0),FALSE)-VLOOKUP($CB20&amp;"初始",$S$3:$AE$63,MATCH(CF$3,$S$3:$AE$3,0),FALSE))*VLOOKUP(VLOOKUP($CB20,坦克个性化设定!$B$18:$E$48,4,FALSE)&amp;$CD20,坦克属性分配比例,MATCH("部件比例",坦克属性分配比例标头,0),FALSE)</f>
        <v>38.088489283888833</v>
      </c>
      <c r="CG20" s="42">
        <f ca="1">(VLOOKUP($CB20&amp;"最终",$S$3:$AE$63,MATCH(CG$3,$S$3:$AE$3,0),FALSE)-VLOOKUP($CB20&amp;"初始",$S$3:$AE$63,MATCH(CG$3,$S$3:$AE$3,0),FALSE))*VLOOKUP(VLOOKUP($CB20,坦克个性化设定!$B$18:$E$48,4,FALSE)&amp;$CD20,坦克属性分配比例,MATCH("部件比例",坦克属性分配比例标头,0),FALSE)*(1-$C$3)</f>
        <v>53.280000000000008</v>
      </c>
      <c r="CH20" s="42">
        <f ca="1">(VLOOKUP($CB20&amp;"最终",$S$3:$AE$63,MATCH(CH$3,$S$3:$AE$3,0),FALSE)-VLOOKUP($CB20&amp;"初始",$S$3:$AE$63,MATCH(CH$3,$S$3:$AE$3,0),FALSE))*VLOOKUP(VLOOKUP($CB20,坦克个性化设定!$B$18:$E$48,4,FALSE)&amp;$CD20,坦克属性分配比例,MATCH("部件比例",坦克属性分配比例标头,0),FALSE)*(1-$C$3)</f>
        <v>39.960000000000008</v>
      </c>
      <c r="CI20" s="42">
        <f ca="1">(VLOOKUP($CB20&amp;"最终",$S$3:$AE$63,MATCH(CI$3,$S$3:$AE$3,0),FALSE)-VLOOKUP($CB20&amp;"初始",$S$3:$AE$63,MATCH(CI$3,$S$3:$AE$3,0),FALSE))*VLOOKUP(VLOOKUP($CB20,坦克个性化设定!$B$18:$E$48,4,FALSE)&amp;$CD20,坦克属性分配比例,MATCH("部件比例",坦克属性分配比例标头,0),FALSE)</f>
        <v>145.80000000000001</v>
      </c>
    </row>
    <row r="21" spans="2:87" x14ac:dyDescent="0.3">
      <c r="B21" s="2">
        <v>16</v>
      </c>
      <c r="C21" s="2" t="str">
        <f>坦克个性化设定!B34</f>
        <v>彗星</v>
      </c>
      <c r="D21" s="2">
        <v>2331</v>
      </c>
      <c r="E21" s="2" t="s">
        <v>642</v>
      </c>
      <c r="F21" s="2">
        <v>0</v>
      </c>
      <c r="G21" s="25" t="str">
        <f t="shared" si="17"/>
        <v>彗星</v>
      </c>
      <c r="H21" s="25"/>
      <c r="I21" s="25"/>
      <c r="J21" s="25"/>
      <c r="K21" s="25"/>
      <c r="L21" s="25"/>
      <c r="M21" s="25"/>
      <c r="N21" s="25"/>
      <c r="O21" s="25"/>
      <c r="P21" s="25"/>
      <c r="Q21" s="25"/>
      <c r="R21" s="25"/>
      <c r="S21" s="2" t="str">
        <f t="shared" si="2"/>
        <v>BMP-3最终</v>
      </c>
      <c r="T21" s="2">
        <f>IF(COUNTIF(U$4:U20,U20)&gt;=$B$3,T20+1,T20)</f>
        <v>9</v>
      </c>
      <c r="U21" s="2" t="str">
        <f t="shared" si="3"/>
        <v>BMP-3</v>
      </c>
      <c r="V21" s="2" t="str">
        <f>VLOOKUP(U21,坦克个性化设定!$B$18:$F$48,5,FALSE)</f>
        <v>轻坦弹夹</v>
      </c>
      <c r="W21" s="29" t="str">
        <f>VLOOKUP(U21,坦克个性化细分!$I$3:$J$33,2,FALSE)</f>
        <v>高</v>
      </c>
      <c r="X21" s="2" t="str">
        <f t="shared" si="16"/>
        <v>最终</v>
      </c>
      <c r="Y21" s="2" t="str">
        <f>VLOOKUP(VLOOKUP(U21,坦克个性化设定!$B$18:$F$48,4,FALSE)&amp;W21,坦克等级成长!$P$12:$U$24,MATCH(X21,坦克等级成长!$P$12:$U$12,0),FALSE)</f>
        <v>T4高6</v>
      </c>
      <c r="Z21" s="42">
        <f ca="1">VLOOKUP($Y21,INDIRECT($V21&amp;"_阶段属性"),MATCH(Z$3,属性标头_阶段属性,0),FALSE)*VLOOKUP($U21,坦克个性化设定!$B$84:$D$114,2,FALSE)</f>
        <v>2645.3581497938449</v>
      </c>
      <c r="AA21" s="42">
        <f ca="1">VLOOKUP($Y21,INDIRECT($V21&amp;"_阶段属性"),MATCH(AA$3,属性标头_阶段属性,0),FALSE)*VLOOKUP($U21,坦克个性化设定!$B$84:$D$114,3,FALSE)</f>
        <v>160.38757587421961</v>
      </c>
      <c r="AB21" s="2">
        <f t="shared" ca="1" si="4"/>
        <v>992</v>
      </c>
      <c r="AC21" s="2">
        <f t="shared" ca="1" si="4"/>
        <v>695</v>
      </c>
      <c r="AD21" s="2">
        <f t="shared" ca="1" si="4"/>
        <v>906</v>
      </c>
      <c r="AE21" s="2">
        <f t="shared" ca="1" si="4"/>
        <v>242</v>
      </c>
      <c r="AF21" s="25"/>
      <c r="AH21" s="2">
        <v>18</v>
      </c>
      <c r="AI21" s="2" t="str">
        <f t="shared" si="5"/>
        <v>潘兴</v>
      </c>
      <c r="AJ21" s="2">
        <f>VLOOKUP($AI21,坦克个性化细分!$I$3:$P$33,MATCH(AJ$3,坦克个性化细分!$I$3:$P$3,0),FALSE)</f>
        <v>36.299999999999997</v>
      </c>
      <c r="AK21" s="2">
        <f>VLOOKUP($AI21,坦克个性化细分!$I$3:$P$33,MATCH(AK$3,坦克个性化细分!$I$3:$P$3,0),FALSE)</f>
        <v>51</v>
      </c>
      <c r="AL21" s="2">
        <f>VLOOKUP($AI21,坦克个性化细分!$I$3:$P$33,MATCH(AL$3,坦克个性化细分!$I$3:$P$3,0),FALSE)</f>
        <v>7.3</v>
      </c>
      <c r="AM21" s="34">
        <f>VLOOKUP(AI21,坦克个性化细分!$AA$3:$AP$33,MATCH("射击偏移角",坦克个性化细分!$AA$3:$AP$3,0),FALSE)/VLOOKUP(AI21,坦克个性化细分!$AA$3:$AP$33,MATCH("原瞄准速度",坦克个性化细分!$AA$3:$AP$3,0),FALSE)</f>
        <v>1</v>
      </c>
      <c r="AN21" s="34">
        <f>VLOOKUP(AI21,坦克个性化细分!$AA$3:$AP$33,MATCH(AN$3,坦克个性化细分!$AA$3:$AP$3,0),FALSE)</f>
        <v>0.4</v>
      </c>
      <c r="AO21" s="2">
        <f>VLOOKUP(AI21,坦克个性化细分!$AA$3:$AP$33,MATCH("原换弹时间",坦克个性化细分!$AA$3:$AP$3,0),FALSE)</f>
        <v>3.6</v>
      </c>
      <c r="AP21" s="133"/>
      <c r="AQ21" s="2">
        <v>18</v>
      </c>
      <c r="AR21" s="2" t="str">
        <f t="shared" si="6"/>
        <v>潘兴</v>
      </c>
      <c r="AS21" s="2" t="s">
        <v>875</v>
      </c>
      <c r="AT21" s="34">
        <f>VLOOKUP(AR21,坦克个性化细分!$I$3:$P$33,MATCH("养成区间1",坦克个性化细分!$I$3:$P$3,0),FALSE)</f>
        <v>9.0749999999999957</v>
      </c>
      <c r="AU21" s="2">
        <f>VLOOKUP(AR21,坦克个性化细分!$I$3:$P$33,MATCH("养成区间2",坦克个性化细分!$I$3:$P$3,0),FALSE)</f>
        <v>12.749999999999996</v>
      </c>
      <c r="AV21" s="2">
        <f>VLOOKUP(AR21,坦克个性化细分!$I$3:$P$33,MATCH("养成区间3",坦克个性化细分!$I$3:$P$3,0),FALSE)</f>
        <v>0</v>
      </c>
      <c r="AW21" s="34">
        <f>VLOOKUP(AR21,坦克个性化细分!$AA$3:$AP$33,MATCH("瞄准区间",坦克个性化细分!$AA$3:$AP$3,0),FALSE)</f>
        <v>0.16666666666666663</v>
      </c>
      <c r="AX21" s="34">
        <f>VLOOKUP(AI21,坦克个性化细分!$AA$3:$AP$33,MATCH("后射击间隔",坦克个性化细分!$AA$3:$AP$3,0),FALSE)-VLOOKUP(AI21,坦克个性化细分!$AA$3:$AP$33,MATCH(AN$3,坦克个性化细分!$AA$3:$AP$3,0),FALSE)</f>
        <v>0</v>
      </c>
      <c r="AY21" s="34">
        <f>VLOOKUP(AR21,坦克个性化细分!$AA$3:$AP$33,MATCH("换弹区间",坦克个性化细分!$AA$3:$AP$3,0),FALSE)</f>
        <v>0.69677419354838666</v>
      </c>
      <c r="AZ21" s="133"/>
      <c r="BA21" s="34">
        <f t="shared" si="8"/>
        <v>0.24999999999999989</v>
      </c>
      <c r="BB21" s="34">
        <f t="shared" si="9"/>
        <v>0.24999999999999992</v>
      </c>
      <c r="BC21" s="34">
        <f t="shared" si="10"/>
        <v>0</v>
      </c>
      <c r="BD21" s="34">
        <f t="shared" si="11"/>
        <v>0.16666666666666663</v>
      </c>
      <c r="BE21" s="34">
        <f t="shared" si="12"/>
        <v>0.19354838709677408</v>
      </c>
      <c r="BF21" s="34"/>
      <c r="BG21" s="133"/>
      <c r="BH21" s="2" t="str">
        <f t="shared" si="13"/>
        <v>Puma3</v>
      </c>
      <c r="BI21" s="2">
        <f>IF(BL20&gt;=VLOOKUP(VLOOKUP(BJ20,坦克个性化设定!$B$18:$E$48,4,FALSE)&amp;BK20,坦克属性分配比例,MATCH("升星次数",坦克属性分配比例标头,0),FALSE),BI20+1,BI20)</f>
        <v>3</v>
      </c>
      <c r="BJ21" s="2" t="str">
        <f t="shared" si="14"/>
        <v>Puma</v>
      </c>
      <c r="BK21" s="29" t="str">
        <f>VLOOKUP(BJ21,坦克个性化细分!$I$3:$J$33,2,FALSE)</f>
        <v>中</v>
      </c>
      <c r="BL21" s="2">
        <f t="shared" si="7"/>
        <v>3</v>
      </c>
      <c r="BM21" s="103">
        <f ca="1">ROUND(VLOOKUP($BJ21&amp;"初始",$S$3:$AE$63,MATCH(BM$3,$S$3:$AE$3,0),FALSE)+((VLOOKUP($BJ21&amp;"最终",$S$3:$AE$63,MATCH(BM$3,$S$3:$AE$3,0),FALSE)*坦克个性化细分!$C$9-VLOOKUP($BJ21&amp;"初始",$S$3:$AE$63,MATCH(BM$3,$S$3:$AE$3,0),FALSE))-(VLOOKUP($BJ21&amp;"最终",$S$3:$AE$63,MATCH(BM$3,$S$3:$AE$3,0),FALSE)-VLOOKUP($BJ21&amp;"初始",$S$3:$AE$63,MATCH(BM$3,$S$3:$AE$3,0),FALSE))*VLOOKUP(VLOOKUP($BJ21,坦克个性化设定!$B$18:$E$48,4,FALSE)&amp;$BK21,坦克属性分配比例,MATCH("部件比例",坦克属性分配比例标头,0),FALSE))*$BL21/VLOOKUP(VLOOKUP($BJ21,坦克个性化设定!$B$18:$E$48,4,FALSE)&amp;$BK21,坦克属性分配比例,MATCH("升星次数",坦克属性分配比例标头,0),FALSE),0)</f>
        <v>1281</v>
      </c>
      <c r="BN21" s="103">
        <f ca="1">ROUND(VLOOKUP($BJ21&amp;"初始",$S$3:$AE$63,MATCH(BN$3,$S$3:$AE$3,0),FALSE)+(VLOOKUP($BJ21&amp;"最终",$S$3:$AE$63,MATCH(BN$3,$S$3:$AE$3,0),FALSE)-VLOOKUP($BJ21&amp;"初始",$S$3:$AE$63,MATCH(BN$3,$S$3:$AE$3,0),FALSE))*$BL21/VLOOKUP(VLOOKUP($BJ21,坦克个性化设定!$B$18:$E$48,4,FALSE)&amp;$BK21,坦克属性分配比例,MATCH("升星次数",坦克属性分配比例标头,0),FALSE)*VLOOKUP(VLOOKUP($BJ21,坦克个性化设定!$B$18:$E$48,4,FALSE)&amp;$BK21,坦克属性分配比例,MATCH("升星比例",坦克属性分配比例标头,0),FALSE),0)</f>
        <v>89</v>
      </c>
      <c r="BO21" s="103">
        <f ca="1">ROUND(VLOOKUP($BJ21&amp;"初始",$S$3:$AE$63,MATCH(BO$3,$S$3:$AE$3,0),FALSE)+(VLOOKUP($BJ21&amp;"最终",$S$3:$AE$63,MATCH(BO$3,$S$3:$AE$3,0),FALSE)-VLOOKUP($BJ21&amp;"初始",$S$3:$AE$63,MATCH(BO$3,$S$3:$AE$3,0),FALSE))*$BL21/VLOOKUP(VLOOKUP($BJ21,坦克个性化设定!$B$18:$E$48,4,FALSE)&amp;$BK21,坦克属性分配比例,MATCH("升星次数",坦克属性分配比例标头,0),FALSE)*(VLOOKUP(VLOOKUP($BJ21,坦克个性化设定!$B$18:$E$48,4,FALSE)&amp;$BK21,坦克属性分配比例,MATCH("升星比例",坦克属性分配比例标头,0),FALSE)+VLOOKUP(VLOOKUP($BJ21,坦克个性化设定!$B$18:$E$48,4,FALSE)&amp;$BK21,坦克属性分配比例,MATCH("部件比例",坦克属性分配比例标头,0),FALSE)*$C$3),0)</f>
        <v>466</v>
      </c>
      <c r="BP21" s="103">
        <f ca="1">ROUND(VLOOKUP($BJ21&amp;"初始",$S$3:$AE$63,MATCH(BP$3,$S$3:$AE$3,0),FALSE)+(VLOOKUP($BJ21&amp;"最终",$S$3:$AE$63,MATCH(BP$3,$S$3:$AE$3,0),FALSE)-VLOOKUP($BJ21&amp;"初始",$S$3:$AE$63,MATCH(BP$3,$S$3:$AE$3,0),FALSE))*$BL21/VLOOKUP(VLOOKUP($BJ21,坦克个性化设定!$B$18:$E$48,4,FALSE)&amp;$BK21,坦克属性分配比例,MATCH("升星次数",坦克属性分配比例标头,0),FALSE)*(VLOOKUP(VLOOKUP($BJ21,坦克个性化设定!$B$18:$E$48,4,FALSE)&amp;$BK21,坦克属性分配比例,MATCH("升星比例",坦克属性分配比例标头,0),FALSE)+VLOOKUP(VLOOKUP($BJ21,坦克个性化设定!$B$18:$E$48,4,FALSE)&amp;$BK21,坦克属性分配比例,MATCH("部件比例",坦克属性分配比例标头,0),FALSE)*$C$3),0)</f>
        <v>327</v>
      </c>
      <c r="BQ21" s="103">
        <f ca="1">ROUND(VLOOKUP($BJ21&amp;"初始",$S$3:$AE$63,MATCH(BQ$3,$S$3:$AE$3,0),FALSE)+(VLOOKUP($BJ21&amp;"最终",$S$3:$AE$63,MATCH(BQ$3,$S$3:$AE$3,0),FALSE)-VLOOKUP($BJ21&amp;"初始",$S$3:$AE$63,MATCH(BQ$3,$S$3:$AE$3,0),FALSE))*$BL21/VLOOKUP(VLOOKUP($BJ21,坦克个性化设定!$B$18:$E$48,4,FALSE)&amp;$BK21,坦克属性分配比例,MATCH("升星次数",坦克属性分配比例标头,0),FALSE)*VLOOKUP(VLOOKUP($BJ21,坦克个性化设定!$B$18:$E$48,4,FALSE)&amp;$BK21,坦克属性分配比例,MATCH("升星比例",坦克属性分配比例标头,0),FALSE),0)</f>
        <v>411</v>
      </c>
      <c r="BR21" s="2">
        <f ca="1">ROUND(VLOOKUP($BJ21&amp;"初始",$S$3:$AE$63,MATCH(BR$3,$S$3:$AE$3,0),FALSE)+(VLOOKUP($BJ21&amp;"最终",$S$3:$AE$63,MATCH(BR$3,$S$3:$AE$3,0),FALSE)-VLOOKUP($BJ21&amp;"初始",$S$3:$AE$63,MATCH(BR$3,$S$3:$AE$3,0),FALSE))*$BL21/VLOOKUP(VLOOKUP($BJ21,坦克个性化设定!$B$18:$E$48,4,FALSE)&amp;$BK21,坦克属性分配比例,MATCH("升星次数",坦克属性分配比例标头,0),FALSE),0)</f>
        <v>116</v>
      </c>
      <c r="BS21" s="2">
        <f>ROUND(VLOOKUP($BJ21,$AI$3:$AO$33,MATCH(BS$3,$AI$3:$AO$3,0),FALSE)+$BL21/VLOOKUP(VLOOKUP($BJ21,坦克个性化设定!$B$18:$E$48,4,FALSE)&amp;$BK21,坦克属性分配比例,MATCH("升星次数",坦克属性分配比例标头,0),FALSE)*VLOOKUP($BJ21,$AR$3:$AY$33,MATCH(BS$3,$AR$3:$AY$3,0),FALSE),1)</f>
        <v>47.9</v>
      </c>
      <c r="BT21" s="2">
        <f>ROUND(VLOOKUP($BJ21,$AI$3:$AO$33,MATCH(BT$3,$AI$3:$AO$3,0),FALSE)+$BL21/VLOOKUP(VLOOKUP($BJ21,坦克个性化设定!$B$18:$E$48,4,FALSE)&amp;$BK21,坦克属性分配比例,MATCH("升星次数",坦克属性分配比例标头,0),FALSE)*VLOOKUP($BJ21,$AR$3:$AY$33,MATCH(BT$3,$AR$3:$AY$3,0),FALSE),1)</f>
        <v>56.5</v>
      </c>
      <c r="BU21" s="2">
        <f>ROUND(VLOOKUP($BJ21,$AI$3:$AO$33,MATCH(BU$3,$AI$3:$AO$3,0),FALSE)+$BL21/VLOOKUP(VLOOKUP($BJ21,坦克个性化设定!$B$18:$E$48,4,FALSE)&amp;$BK21,坦克属性分配比例,MATCH("升星次数",坦克属性分配比例标头,0),FALSE)*VLOOKUP($BJ21,$AR$3:$AY$33,MATCH(BU$3,$AR$3:$AY$3,0),FALSE),1)</f>
        <v>10.199999999999999</v>
      </c>
      <c r="BV21" s="2">
        <f>IF(VLOOKUP(BJ21,坦克个性化设定!$B$18:$BC$48,MATCH("装弹类型",坦克个性化设定!$B$18:$BC$18,0),FALSE)="弹夹换弹",0,ROUND(VLOOKUP($BJ21,$AI$3:$AO$33,MATCH("换弹时间",$AI$3:$AO$3,0),FALSE)-$BL21/VLOOKUP(VLOOKUP($BJ21,坦克个性化设定!$B$18:$E$48,4,FALSE)&amp;$BK21,坦克属性分配比例,MATCH("升星次数",坦克属性分配比例标头,0),FALSE)*VLOOKUP($BJ21,$AR$3:$AY$33,MATCH("换弹时间",$AR$3:$AY$3,0),FALSE),2))</f>
        <v>0</v>
      </c>
      <c r="BW21" s="2">
        <f>IF(VLOOKUP(BJ21,坦克个性化设定!$B$18:$BC$48,MATCH("装弹类型",坦克个性化设定!$B$18:$BC$18,0),FALSE)="弹夹换弹",ROUND(VLOOKUP($BJ21,$AI$3:$AO$33,MATCH("换弹时间",$AI$3:$AO$3,0),FALSE)-$BL21/VLOOKUP(VLOOKUP($BJ21,坦克个性化设定!$B$18:$E$48,4,FALSE)&amp;$BK21,坦克属性分配比例,MATCH("升星次数",坦克属性分配比例标头,0),FALSE)*VLOOKUP($BJ21,$AR$3:$AY$33,MATCH("换弹时间",$AR$3:$AY$3,0),FALSE),1),0)</f>
        <v>2.7</v>
      </c>
      <c r="BX21" s="2">
        <f>ROUND(VLOOKUP($BJ21,$AI$3:$AO$33,MATCH(BX$3,$AI$3:$AO$3,0),FALSE)+$BL21/VLOOKUP(VLOOKUP($BJ21,坦克个性化设定!$B$18:$E$48,4,FALSE)&amp;$BK21,坦克属性分配比例,MATCH("升星次数",坦克属性分配比例标头,0),FALSE)*VLOOKUP($BJ21,$AR$3:$AY$33,MATCH(BX$3,$AR$3:$AY$3,0),FALSE),2)</f>
        <v>0.8</v>
      </c>
      <c r="BY21" s="2">
        <f>ROUND(VLOOKUP($BJ21,$AI$3:$AO$33,MATCH(BY$3,$AI$3:$AO$3,0),FALSE)-$BL21/VLOOKUP(VLOOKUP($BJ21,坦克个性化设定!$B$18:$E$48,4,FALSE)&amp;$BK21,坦克属性分配比例,MATCH("升星次数",坦克属性分配比例标头,0),FALSE)*VLOOKUP($BJ21,$AR$3:$AY$33,MATCH(BY$3,$AR$3:$AY$3,0),FALSE),2)</f>
        <v>0.53</v>
      </c>
      <c r="CA21" s="2">
        <v>18</v>
      </c>
      <c r="CB21" s="2" t="str">
        <f t="shared" si="15"/>
        <v>潘兴</v>
      </c>
      <c r="CC21" s="2" t="str">
        <f>VLOOKUP(CB21,坦克个性化设定!$B$18:$F$48,5,FALSE)</f>
        <v>中坦自动</v>
      </c>
      <c r="CD21" s="29" t="str">
        <f>VLOOKUP(CB21,坦克个性化细分!$I$3:$J$33,2,FALSE)</f>
        <v>中</v>
      </c>
      <c r="CE21" s="42">
        <f ca="1">(VLOOKUP($CB21&amp;"最终",$S$3:$AE$63,MATCH(CE$3,$S$3:$AE$3,0),FALSE)-VLOOKUP($CB21&amp;"初始",$S$3:$AE$63,MATCH(CE$3,$S$3:$AE$3,0),FALSE))*VLOOKUP(VLOOKUP($CB21,坦克个性化设定!$B$18:$E$48,4,FALSE)&amp;$CD21,坦克属性分配比例,MATCH("部件比例",坦克属性分配比例标头,0),FALSE)</f>
        <v>370.99461245754975</v>
      </c>
      <c r="CF21" s="42">
        <f ca="1">(VLOOKUP($CB21&amp;"最终",$S$3:$AE$63,MATCH(CF$3,$S$3:$AE$3,0),FALSE)-VLOOKUP($CB21&amp;"初始",$S$3:$AE$63,MATCH(CF$3,$S$3:$AE$3,0),FALSE))*VLOOKUP(VLOOKUP($CB21,坦克个性化设定!$B$18:$E$48,4,FALSE)&amp;$CD21,坦克属性分配比例,MATCH("部件比例",坦克属性分配比例标头,0),FALSE)</f>
        <v>45.245974488933022</v>
      </c>
      <c r="CG21" s="42">
        <f ca="1">(VLOOKUP($CB21&amp;"最终",$S$3:$AE$63,MATCH(CG$3,$S$3:$AE$3,0),FALSE)-VLOOKUP($CB21&amp;"初始",$S$3:$AE$63,MATCH(CG$3,$S$3:$AE$3,0),FALSE))*VLOOKUP(VLOOKUP($CB21,坦克个性化设定!$B$18:$E$48,4,FALSE)&amp;$CD21,坦克属性分配比例,MATCH("部件比例",坦克属性分配比例标头,0),FALSE)*(1-$C$3)</f>
        <v>56.88000000000001</v>
      </c>
      <c r="CH21" s="42">
        <f ca="1">(VLOOKUP($CB21&amp;"最终",$S$3:$AE$63,MATCH(CH$3,$S$3:$AE$3,0),FALSE)-VLOOKUP($CB21&amp;"初始",$S$3:$AE$63,MATCH(CH$3,$S$3:$AE$3,0),FALSE))*VLOOKUP(VLOOKUP($CB21,坦克个性化设定!$B$18:$E$48,4,FALSE)&amp;$CD21,坦克属性分配比例,MATCH("部件比例",坦克属性分配比例标头,0),FALSE)*(1-$C$3)</f>
        <v>42.480000000000004</v>
      </c>
      <c r="CI21" s="42">
        <f ca="1">(VLOOKUP($CB21&amp;"最终",$S$3:$AE$63,MATCH(CI$3,$S$3:$AE$3,0),FALSE)-VLOOKUP($CB21&amp;"初始",$S$3:$AE$63,MATCH(CI$3,$S$3:$AE$3,0),FALSE))*VLOOKUP(VLOOKUP($CB21,坦克个性化设定!$B$18:$E$48,4,FALSE)&amp;$CD21,坦克属性分配比例,MATCH("部件比例",坦克属性分配比例标头,0),FALSE)</f>
        <v>155.70000000000002</v>
      </c>
    </row>
    <row r="22" spans="2:87" x14ac:dyDescent="0.3">
      <c r="B22" s="2">
        <v>17</v>
      </c>
      <c r="C22" s="2" t="str">
        <f>坦克个性化设定!B35</f>
        <v>M-48</v>
      </c>
      <c r="D22" s="2">
        <v>2411</v>
      </c>
      <c r="E22" s="2" t="s">
        <v>644</v>
      </c>
      <c r="F22" s="2">
        <v>0</v>
      </c>
      <c r="G22" s="25" t="str">
        <f t="shared" si="17"/>
        <v>M-48</v>
      </c>
      <c r="H22" s="25"/>
      <c r="I22" s="25"/>
      <c r="J22" s="25"/>
      <c r="K22" s="25"/>
      <c r="L22" s="25"/>
      <c r="M22" s="25"/>
      <c r="N22" s="25"/>
      <c r="O22" s="25"/>
      <c r="P22" s="25"/>
      <c r="Q22" s="25"/>
      <c r="R22" s="25"/>
      <c r="S22" s="2" t="str">
        <f t="shared" si="2"/>
        <v>59式初始</v>
      </c>
      <c r="T22" s="2">
        <f>IF(COUNTIF(U$4:U21,U21)&gt;=$B$3,T21+1,T21)</f>
        <v>10</v>
      </c>
      <c r="U22" s="2" t="str">
        <f t="shared" si="3"/>
        <v>59式</v>
      </c>
      <c r="V22" s="2" t="str">
        <f>VLOOKUP(U22,坦克个性化设定!$B$18:$F$48,5,FALSE)</f>
        <v>轻坦弹夹</v>
      </c>
      <c r="W22" s="29" t="str">
        <f>VLOOKUP(U22,坦克个性化细分!$I$3:$J$33,2,FALSE)</f>
        <v>低</v>
      </c>
      <c r="X22" s="2" t="str">
        <f t="shared" si="16"/>
        <v>初始</v>
      </c>
      <c r="Y22" s="2" t="str">
        <f>VLOOKUP(VLOOKUP(U22,坦克个性化设定!$B$18:$F$48,4,FALSE)&amp;W22,坦克等级成长!$P$12:$U$24,MATCH(X22,坦克等级成长!$P$12:$U$12,0),FALSE)</f>
        <v>T5低5</v>
      </c>
      <c r="Z22" s="42">
        <f ca="1">VLOOKUP($Y22,INDIRECT($V22&amp;"_阶段属性"),MATCH(Z$3,属性标头_阶段属性,0),FALSE)*VLOOKUP($U22,坦克个性化设定!$B$84:$D$114,2,FALSE)</f>
        <v>2125.7393092806724</v>
      </c>
      <c r="AA22" s="42">
        <f ca="1">VLOOKUP($Y22,INDIRECT($V22&amp;"_阶段属性"),MATCH(AA$3,属性标头_阶段属性,0),FALSE)*VLOOKUP($U22,坦克个性化设定!$B$84:$D$114,3,FALSE)</f>
        <v>140.70277988549788</v>
      </c>
      <c r="AB22" s="2">
        <f t="shared" ca="1" si="4"/>
        <v>828</v>
      </c>
      <c r="AC22" s="2">
        <f t="shared" ca="1" si="4"/>
        <v>580</v>
      </c>
      <c r="AD22" s="2">
        <f t="shared" ca="1" si="4"/>
        <v>756</v>
      </c>
      <c r="AE22" s="2">
        <f t="shared" ca="1" si="4"/>
        <v>202</v>
      </c>
      <c r="AF22" s="25"/>
      <c r="AH22" s="2">
        <v>19</v>
      </c>
      <c r="AI22" s="2" t="str">
        <f t="shared" si="5"/>
        <v>百夫长</v>
      </c>
      <c r="AJ22" s="2">
        <f>VLOOKUP($AI22,坦克个性化细分!$I$3:$P$33,MATCH(AJ$3,坦克个性化细分!$I$3:$P$3,0),FALSE)</f>
        <v>46.7</v>
      </c>
      <c r="AK22" s="2">
        <f>VLOOKUP($AI22,坦克个性化细分!$I$3:$P$33,MATCH(AK$3,坦克个性化细分!$I$3:$P$3,0),FALSE)</f>
        <v>42</v>
      </c>
      <c r="AL22" s="2">
        <f>VLOOKUP($AI22,坦克个性化细分!$I$3:$P$33,MATCH(AL$3,坦克个性化细分!$I$3:$P$3,0),FALSE)</f>
        <v>8.4</v>
      </c>
      <c r="AM22" s="34">
        <f>VLOOKUP(AI22,坦克个性化细分!$AA$3:$AP$33,MATCH("射击偏移角",坦克个性化细分!$AA$3:$AP$3,0),FALSE)/VLOOKUP(AI22,坦克个性化细分!$AA$3:$AP$33,MATCH("原瞄准速度",坦克个性化细分!$AA$3:$AP$3,0),FALSE)</f>
        <v>1.87</v>
      </c>
      <c r="AN22" s="34">
        <f>VLOOKUP(AI22,坦克个性化细分!$AA$3:$AP$33,MATCH(AN$3,坦克个性化细分!$AA$3:$AP$3,0),FALSE)</f>
        <v>0.26</v>
      </c>
      <c r="AO22" s="2">
        <f>VLOOKUP(AI22,坦克个性化细分!$AA$3:$AP$33,MATCH("原换弹时间",坦克个性化细分!$AA$3:$AP$3,0),FALSE)</f>
        <v>2.4</v>
      </c>
      <c r="AP22" s="133"/>
      <c r="AQ22" s="2">
        <v>19</v>
      </c>
      <c r="AR22" s="2" t="str">
        <f t="shared" si="6"/>
        <v>百夫长</v>
      </c>
      <c r="AS22" s="2" t="s">
        <v>875</v>
      </c>
      <c r="AT22" s="34">
        <f>VLOOKUP(AR22,坦克个性化细分!$I$3:$P$33,MATCH("养成区间1",坦克个性化细分!$I$3:$P$3,0),FALSE)</f>
        <v>11.674999999999997</v>
      </c>
      <c r="AU22" s="2">
        <f>VLOOKUP(AR22,坦克个性化细分!$I$3:$P$33,MATCH("养成区间2",坦克个性化细分!$I$3:$P$3,0),FALSE)</f>
        <v>10.499999999999998</v>
      </c>
      <c r="AV22" s="2">
        <f>VLOOKUP(AR22,坦克个性化细分!$I$3:$P$33,MATCH("养成区间3",坦克个性化细分!$I$3:$P$3,0),FALSE)</f>
        <v>0</v>
      </c>
      <c r="AW22" s="34">
        <f>VLOOKUP(AR22,坦克个性化细分!$AA$3:$AP$33,MATCH("瞄准区间",坦克个性化细分!$AA$3:$AP$3,0),FALSE)</f>
        <v>0.31166666666666654</v>
      </c>
      <c r="AX22" s="34">
        <f>VLOOKUP(AI22,坦克个性化细分!$AA$3:$AP$33,MATCH("后射击间隔",坦克个性化细分!$AA$3:$AP$3,0),FALSE)-VLOOKUP(AI22,坦克个性化细分!$AA$3:$AP$33,MATCH(AN$3,坦克个性化细分!$AA$3:$AP$3,0),FALSE)</f>
        <v>0</v>
      </c>
      <c r="AY22" s="34">
        <f>VLOOKUP(AR22,坦克个性化细分!$AA$3:$AP$33,MATCH("换弹区间",坦克个性化细分!$AA$3:$AP$3,0),FALSE)</f>
        <v>0.35570698466780204</v>
      </c>
      <c r="AZ22" s="133"/>
      <c r="BA22" s="34">
        <f t="shared" si="8"/>
        <v>0.24999999999999992</v>
      </c>
      <c r="BB22" s="34">
        <f t="shared" si="9"/>
        <v>0.24999999999999994</v>
      </c>
      <c r="BC22" s="34">
        <f t="shared" si="10"/>
        <v>0</v>
      </c>
      <c r="BD22" s="34">
        <f t="shared" si="11"/>
        <v>0.16666666666666657</v>
      </c>
      <c r="BE22" s="34">
        <f t="shared" si="12"/>
        <v>0.14821124361158419</v>
      </c>
      <c r="BF22" s="34"/>
      <c r="BG22" s="133"/>
      <c r="BH22" s="2" t="str">
        <f t="shared" si="13"/>
        <v>Puma4</v>
      </c>
      <c r="BI22" s="2">
        <f>IF(BL21&gt;=VLOOKUP(VLOOKUP(BJ21,坦克个性化设定!$B$18:$E$48,4,FALSE)&amp;BK21,坦克属性分配比例,MATCH("升星次数",坦克属性分配比例标头,0),FALSE),BI21+1,BI21)</f>
        <v>3</v>
      </c>
      <c r="BJ22" s="2" t="str">
        <f t="shared" si="14"/>
        <v>Puma</v>
      </c>
      <c r="BK22" s="29" t="str">
        <f>VLOOKUP(BJ22,坦克个性化细分!$I$3:$J$33,2,FALSE)</f>
        <v>中</v>
      </c>
      <c r="BL22" s="2">
        <f t="shared" si="7"/>
        <v>4</v>
      </c>
      <c r="BM22" s="103">
        <f ca="1">ROUND(VLOOKUP($BJ22&amp;"初始",$S$3:$AE$63,MATCH(BM$3,$S$3:$AE$3,0),FALSE)+((VLOOKUP($BJ22&amp;"最终",$S$3:$AE$63,MATCH(BM$3,$S$3:$AE$3,0),FALSE)*坦克个性化细分!$C$9-VLOOKUP($BJ22&amp;"初始",$S$3:$AE$63,MATCH(BM$3,$S$3:$AE$3,0),FALSE))-(VLOOKUP($BJ22&amp;"最终",$S$3:$AE$63,MATCH(BM$3,$S$3:$AE$3,0),FALSE)-VLOOKUP($BJ22&amp;"初始",$S$3:$AE$63,MATCH(BM$3,$S$3:$AE$3,0),FALSE))*VLOOKUP(VLOOKUP($BJ22,坦克个性化设定!$B$18:$E$48,4,FALSE)&amp;$BK22,坦克属性分配比例,MATCH("部件比例",坦克属性分配比例标头,0),FALSE))*$BL22/VLOOKUP(VLOOKUP($BJ22,坦克个性化设定!$B$18:$E$48,4,FALSE)&amp;$BK22,坦克属性分配比例,MATCH("升星次数",坦克属性分配比例标头,0),FALSE),0)</f>
        <v>1357</v>
      </c>
      <c r="BN22" s="103">
        <f ca="1">ROUND(VLOOKUP($BJ22&amp;"初始",$S$3:$AE$63,MATCH(BN$3,$S$3:$AE$3,0),FALSE)+(VLOOKUP($BJ22&amp;"最终",$S$3:$AE$63,MATCH(BN$3,$S$3:$AE$3,0),FALSE)-VLOOKUP($BJ22&amp;"初始",$S$3:$AE$63,MATCH(BN$3,$S$3:$AE$3,0),FALSE))*$BL22/VLOOKUP(VLOOKUP($BJ22,坦克个性化设定!$B$18:$E$48,4,FALSE)&amp;$BK22,坦克属性分配比例,MATCH("升星次数",坦克属性分配比例标头,0),FALSE)*VLOOKUP(VLOOKUP($BJ22,坦克个性化设定!$B$18:$E$48,4,FALSE)&amp;$BK22,坦克属性分配比例,MATCH("升星比例",坦克属性分配比例标头,0),FALSE),0)</f>
        <v>92</v>
      </c>
      <c r="BO22" s="103">
        <f ca="1">ROUND(VLOOKUP($BJ22&amp;"初始",$S$3:$AE$63,MATCH(BO$3,$S$3:$AE$3,0),FALSE)+(VLOOKUP($BJ22&amp;"最终",$S$3:$AE$63,MATCH(BO$3,$S$3:$AE$3,0),FALSE)-VLOOKUP($BJ22&amp;"初始",$S$3:$AE$63,MATCH(BO$3,$S$3:$AE$3,0),FALSE))*$BL22/VLOOKUP(VLOOKUP($BJ22,坦克个性化设定!$B$18:$E$48,4,FALSE)&amp;$BK22,坦克属性分配比例,MATCH("升星次数",坦克属性分配比例标头,0),FALSE)*(VLOOKUP(VLOOKUP($BJ22,坦克个性化设定!$B$18:$E$48,4,FALSE)&amp;$BK22,坦克属性分配比例,MATCH("升星比例",坦克属性分配比例标头,0),FALSE)+VLOOKUP(VLOOKUP($BJ22,坦克个性化设定!$B$18:$E$48,4,FALSE)&amp;$BK22,坦克属性分配比例,MATCH("部件比例",坦克属性分配比例标头,0),FALSE)*$C$3),0)</f>
        <v>488</v>
      </c>
      <c r="BP22" s="103">
        <f ca="1">ROUND(VLOOKUP($BJ22&amp;"初始",$S$3:$AE$63,MATCH(BP$3,$S$3:$AE$3,0),FALSE)+(VLOOKUP($BJ22&amp;"最终",$S$3:$AE$63,MATCH(BP$3,$S$3:$AE$3,0),FALSE)-VLOOKUP($BJ22&amp;"初始",$S$3:$AE$63,MATCH(BP$3,$S$3:$AE$3,0),FALSE))*$BL22/VLOOKUP(VLOOKUP($BJ22,坦克个性化设定!$B$18:$E$48,4,FALSE)&amp;$BK22,坦克属性分配比例,MATCH("升星次数",坦克属性分配比例标头,0),FALSE)*(VLOOKUP(VLOOKUP($BJ22,坦克个性化设定!$B$18:$E$48,4,FALSE)&amp;$BK22,坦克属性分配比例,MATCH("升星比例",坦克属性分配比例标头,0),FALSE)+VLOOKUP(VLOOKUP($BJ22,坦克个性化设定!$B$18:$E$48,4,FALSE)&amp;$BK22,坦克属性分配比例,MATCH("部件比例",坦克属性分配比例标头,0),FALSE)*$C$3),0)</f>
        <v>342</v>
      </c>
      <c r="BQ22" s="103">
        <f ca="1">ROUND(VLOOKUP($BJ22&amp;"初始",$S$3:$AE$63,MATCH(BQ$3,$S$3:$AE$3,0),FALSE)+(VLOOKUP($BJ22&amp;"最终",$S$3:$AE$63,MATCH(BQ$3,$S$3:$AE$3,0),FALSE)-VLOOKUP($BJ22&amp;"初始",$S$3:$AE$63,MATCH(BQ$3,$S$3:$AE$3,0),FALSE))*$BL22/VLOOKUP(VLOOKUP($BJ22,坦克个性化设定!$B$18:$E$48,4,FALSE)&amp;$BK22,坦克属性分配比例,MATCH("升星次数",坦克属性分配比例标头,0),FALSE)*VLOOKUP(VLOOKUP($BJ22,坦克个性化设定!$B$18:$E$48,4,FALSE)&amp;$BK22,坦克属性分配比例,MATCH("升星比例",坦克属性分配比例标头,0),FALSE),0)</f>
        <v>426</v>
      </c>
      <c r="BR22" s="2">
        <f ca="1">ROUND(VLOOKUP($BJ22&amp;"初始",$S$3:$AE$63,MATCH(BR$3,$S$3:$AE$3,0),FALSE)+(VLOOKUP($BJ22&amp;"最终",$S$3:$AE$63,MATCH(BR$3,$S$3:$AE$3,0),FALSE)-VLOOKUP($BJ22&amp;"初始",$S$3:$AE$63,MATCH(BR$3,$S$3:$AE$3,0),FALSE))*$BL22/VLOOKUP(VLOOKUP($BJ22,坦克个性化设定!$B$18:$E$48,4,FALSE)&amp;$BK22,坦克属性分配比例,MATCH("升星次数",坦克属性分配比例标头,0),FALSE),0)</f>
        <v>123</v>
      </c>
      <c r="BS22" s="2">
        <f>ROUND(VLOOKUP($BJ22,$AI$3:$AO$33,MATCH(BS$3,$AI$3:$AO$3,0),FALSE)+$BL22/VLOOKUP(VLOOKUP($BJ22,坦克个性化设定!$B$18:$E$48,4,FALSE)&amp;$BK22,坦克属性分配比例,MATCH("升星次数",坦克属性分配比例标头,0),FALSE)*VLOOKUP($BJ22,$AR$3:$AY$33,MATCH(BS$3,$AR$3:$AY$3,0),FALSE),1)</f>
        <v>49.5</v>
      </c>
      <c r="BT22" s="2">
        <f>ROUND(VLOOKUP($BJ22,$AI$3:$AO$33,MATCH(BT$3,$AI$3:$AO$3,0),FALSE)+$BL22/VLOOKUP(VLOOKUP($BJ22,坦克个性化设定!$B$18:$E$48,4,FALSE)&amp;$BK22,坦克属性分配比例,MATCH("升星次数",坦克属性分配比例标头,0),FALSE)*VLOOKUP($BJ22,$AR$3:$AY$33,MATCH(BT$3,$AR$3:$AY$3,0),FALSE),1)</f>
        <v>58.3</v>
      </c>
      <c r="BU22" s="2">
        <f>ROUND(VLOOKUP($BJ22,$AI$3:$AO$33,MATCH(BU$3,$AI$3:$AO$3,0),FALSE)+$BL22/VLOOKUP(VLOOKUP($BJ22,坦克个性化设定!$B$18:$E$48,4,FALSE)&amp;$BK22,坦克属性分配比例,MATCH("升星次数",坦克属性分配比例标头,0),FALSE)*VLOOKUP($BJ22,$AR$3:$AY$33,MATCH(BU$3,$AR$3:$AY$3,0),FALSE),1)</f>
        <v>10.199999999999999</v>
      </c>
      <c r="BV22" s="2">
        <f>IF(VLOOKUP(BJ22,坦克个性化设定!$B$18:$BC$48,MATCH("装弹类型",坦克个性化设定!$B$18:$BC$18,0),FALSE)="弹夹换弹",0,ROUND(VLOOKUP($BJ22,$AI$3:$AO$33,MATCH("换弹时间",$AI$3:$AO$3,0),FALSE)-$BL22/VLOOKUP(VLOOKUP($BJ22,坦克个性化设定!$B$18:$E$48,4,FALSE)&amp;$BK22,坦克属性分配比例,MATCH("升星次数",坦克属性分配比例标头,0),FALSE)*VLOOKUP($BJ22,$AR$3:$AY$33,MATCH("换弹时间",$AR$3:$AY$3,0),FALSE),2))</f>
        <v>0</v>
      </c>
      <c r="BW22" s="2">
        <f>IF(VLOOKUP(BJ22,坦克个性化设定!$B$18:$BC$48,MATCH("装弹类型",坦克个性化设定!$B$18:$BC$18,0),FALSE)="弹夹换弹",ROUND(VLOOKUP($BJ22,$AI$3:$AO$33,MATCH("换弹时间",$AI$3:$AO$3,0),FALSE)-$BL22/VLOOKUP(VLOOKUP($BJ22,坦克个性化设定!$B$18:$E$48,4,FALSE)&amp;$BK22,坦克属性分配比例,MATCH("升星次数",坦克属性分配比例标头,0),FALSE)*VLOOKUP($BJ22,$AR$3:$AY$33,MATCH("换弹时间",$AR$3:$AY$3,0),FALSE),1),0)</f>
        <v>2.6</v>
      </c>
      <c r="BX22" s="2">
        <f>ROUND(VLOOKUP($BJ22,$AI$3:$AO$33,MATCH(BX$3,$AI$3:$AO$3,0),FALSE)+$BL22/VLOOKUP(VLOOKUP($BJ22,坦克个性化设定!$B$18:$E$48,4,FALSE)&amp;$BK22,坦克属性分配比例,MATCH("升星次数",坦克属性分配比例标头,0),FALSE)*VLOOKUP($BJ22,$AR$3:$AY$33,MATCH(BX$3,$AR$3:$AY$3,0),FALSE),2)</f>
        <v>0.8</v>
      </c>
      <c r="BY22" s="2">
        <f>ROUND(VLOOKUP($BJ22,$AI$3:$AO$33,MATCH(BY$3,$AI$3:$AO$3,0),FALSE)-$BL22/VLOOKUP(VLOOKUP($BJ22,坦克个性化设定!$B$18:$E$48,4,FALSE)&amp;$BK22,坦克属性分配比例,MATCH("升星次数",坦克属性分配比例标头,0),FALSE)*VLOOKUP($BJ22,$AR$3:$AY$33,MATCH(BY$3,$AR$3:$AY$3,0),FALSE),2)</f>
        <v>0.52</v>
      </c>
      <c r="CA22" s="2">
        <v>19</v>
      </c>
      <c r="CB22" s="2" t="str">
        <f t="shared" si="15"/>
        <v>百夫长</v>
      </c>
      <c r="CC22" s="2" t="str">
        <f>VLOOKUP(CB22,坦克个性化设定!$B$18:$F$48,5,FALSE)</f>
        <v>中坦自动</v>
      </c>
      <c r="CD22" s="29" t="str">
        <f>VLOOKUP(CB22,坦克个性化细分!$I$3:$J$33,2,FALSE)</f>
        <v>高</v>
      </c>
      <c r="CE22" s="42">
        <f ca="1">(VLOOKUP($CB22&amp;"最终",$S$3:$AE$63,MATCH(CE$3,$S$3:$AE$3,0),FALSE)-VLOOKUP($CB22&amp;"初始",$S$3:$AE$63,MATCH(CE$3,$S$3:$AE$3,0),FALSE))*VLOOKUP(VLOOKUP($CB22,坦克个性化设定!$B$18:$E$48,4,FALSE)&amp;$CD22,坦克属性分配比例,MATCH("部件比例",坦克属性分配比例标头,0),FALSE)</f>
        <v>420.05117625075496</v>
      </c>
      <c r="CF22" s="42">
        <f ca="1">(VLOOKUP($CB22&amp;"最终",$S$3:$AE$63,MATCH(CF$3,$S$3:$AE$3,0),FALSE)-VLOOKUP($CB22&amp;"初始",$S$3:$AE$63,MATCH(CF$3,$S$3:$AE$3,0),FALSE))*VLOOKUP(VLOOKUP($CB22,坦克个性化设定!$B$18:$E$48,4,FALSE)&amp;$CD22,坦克属性分配比例,MATCH("部件比例",坦克属性分配比例标头,0),FALSE)</f>
        <v>46.286473712113036</v>
      </c>
      <c r="CG22" s="42">
        <f ca="1">(VLOOKUP($CB22&amp;"最终",$S$3:$AE$63,MATCH(CG$3,$S$3:$AE$3,0),FALSE)-VLOOKUP($CB22&amp;"初始",$S$3:$AE$63,MATCH(CG$3,$S$3:$AE$3,0),FALSE))*VLOOKUP(VLOOKUP($CB22,坦克个性化设定!$B$18:$E$48,4,FALSE)&amp;$CD22,坦克属性分配比例,MATCH("部件比例",坦克属性分配比例标头,0),FALSE)*(1-$C$3)</f>
        <v>60.300000000000004</v>
      </c>
      <c r="CH22" s="42">
        <f ca="1">(VLOOKUP($CB22&amp;"最终",$S$3:$AE$63,MATCH(CH$3,$S$3:$AE$3,0),FALSE)-VLOOKUP($CB22&amp;"初始",$S$3:$AE$63,MATCH(CH$3,$S$3:$AE$3,0),FALSE))*VLOOKUP(VLOOKUP($CB22,坦克个性化设定!$B$18:$E$48,4,FALSE)&amp;$CD22,坦克属性分配比例,MATCH("部件比例",坦克属性分配比例标头,0),FALSE)*(1-$C$3)</f>
        <v>45.180000000000007</v>
      </c>
      <c r="CI22" s="42">
        <f ca="1">(VLOOKUP($CB22&amp;"最终",$S$3:$AE$63,MATCH(CI$3,$S$3:$AE$3,0),FALSE)-VLOOKUP($CB22&amp;"初始",$S$3:$AE$63,MATCH(CI$3,$S$3:$AE$3,0),FALSE))*VLOOKUP(VLOOKUP($CB22,坦克个性化设定!$B$18:$E$48,4,FALSE)&amp;$CD22,坦克属性分配比例,MATCH("部件比例",坦克属性分配比例标头,0),FALSE)</f>
        <v>165.15</v>
      </c>
    </row>
    <row r="23" spans="2:87" x14ac:dyDescent="0.3">
      <c r="B23" s="2">
        <v>18</v>
      </c>
      <c r="C23" s="2" t="str">
        <f>坦克个性化设定!B36</f>
        <v>潘兴</v>
      </c>
      <c r="D23" s="2">
        <v>2421</v>
      </c>
      <c r="E23" s="2" t="s">
        <v>646</v>
      </c>
      <c r="F23" s="2">
        <v>0</v>
      </c>
      <c r="G23" s="25" t="str">
        <f t="shared" si="17"/>
        <v>潘兴</v>
      </c>
      <c r="H23" s="25"/>
      <c r="I23" s="25"/>
      <c r="J23" s="25"/>
      <c r="K23" s="25"/>
      <c r="L23" s="25"/>
      <c r="M23" s="25"/>
      <c r="N23" s="25"/>
      <c r="O23" s="25"/>
      <c r="P23" s="25"/>
      <c r="Q23" s="25"/>
      <c r="R23" s="25"/>
      <c r="S23" s="2" t="str">
        <f t="shared" si="2"/>
        <v>59式最终</v>
      </c>
      <c r="T23" s="2">
        <f>IF(COUNTIF(U$4:U22,U22)&gt;=$B$3,T22+1,T22)</f>
        <v>10</v>
      </c>
      <c r="U23" s="2" t="str">
        <f t="shared" si="3"/>
        <v>59式</v>
      </c>
      <c r="V23" s="2" t="str">
        <f>VLOOKUP(U23,坦克个性化设定!$B$18:$F$48,5,FALSE)</f>
        <v>轻坦弹夹</v>
      </c>
      <c r="W23" s="29" t="str">
        <f>VLOOKUP(U23,坦克个性化细分!$I$3:$J$33,2,FALSE)</f>
        <v>低</v>
      </c>
      <c r="X23" s="2" t="str">
        <f t="shared" si="16"/>
        <v>最终</v>
      </c>
      <c r="Y23" s="2" t="str">
        <f>VLOOKUP(VLOOKUP(U23,坦克个性化设定!$B$18:$F$48,4,FALSE)&amp;W23,坦克等级成长!$P$12:$U$24,MATCH(X23,坦克等级成长!$P$12:$U$12,0),FALSE)</f>
        <v>T5低7</v>
      </c>
      <c r="Z23" s="42">
        <f ca="1">VLOOKUP($Y23,INDIRECT($V23&amp;"_阶段属性"),MATCH(Z$3,属性标头_阶段属性,0),FALSE)*VLOOKUP($U23,坦克个性化设定!$B$84:$D$114,2,FALSE)</f>
        <v>3019.8994949304792</v>
      </c>
      <c r="AA23" s="42">
        <f ca="1">VLOOKUP($Y23,INDIRECT($V23&amp;"_阶段属性"),MATCH(AA$3,属性标头_阶段属性,0),FALSE)*VLOOKUP($U23,坦克个性化设定!$B$84:$D$114,3,FALSE)</f>
        <v>203.82178394628195</v>
      </c>
      <c r="AB23" s="2">
        <f t="shared" ca="1" si="4"/>
        <v>1199</v>
      </c>
      <c r="AC23" s="2">
        <f t="shared" ca="1" si="4"/>
        <v>840</v>
      </c>
      <c r="AD23" s="2">
        <f t="shared" ca="1" si="4"/>
        <v>1095</v>
      </c>
      <c r="AE23" s="2">
        <f t="shared" ca="1" si="4"/>
        <v>292</v>
      </c>
      <c r="AF23" s="25"/>
      <c r="AH23" s="2">
        <v>20</v>
      </c>
      <c r="AI23" s="2" t="str">
        <f t="shared" si="5"/>
        <v>挑战者</v>
      </c>
      <c r="AJ23" s="2">
        <f>VLOOKUP($AI23,坦克个性化细分!$I$3:$P$33,MATCH(AJ$3,坦克个性化细分!$I$3:$P$3,0),FALSE)</f>
        <v>35.6</v>
      </c>
      <c r="AK23" s="2">
        <f>VLOOKUP($AI23,坦克个性化细分!$I$3:$P$33,MATCH(AK$3,坦克个性化细分!$I$3:$P$3,0),FALSE)</f>
        <v>50</v>
      </c>
      <c r="AL23" s="2">
        <f>VLOOKUP($AI23,坦克个性化细分!$I$3:$P$33,MATCH(AL$3,坦克个性化细分!$I$3:$P$3,0),FALSE)</f>
        <v>7.2</v>
      </c>
      <c r="AM23" s="34">
        <f>VLOOKUP(AI23,坦克个性化细分!$AA$3:$AP$33,MATCH("射击偏移角",坦克个性化细分!$AA$3:$AP$3,0),FALSE)/VLOOKUP(AI23,坦克个性化细分!$AA$3:$AP$33,MATCH("原瞄准速度",坦克个性化细分!$AA$3:$AP$3,0),FALSE)</f>
        <v>1.4</v>
      </c>
      <c r="AN23" s="34">
        <f>VLOOKUP(AI23,坦克个性化细分!$AA$3:$AP$33,MATCH(AN$3,坦克个性化细分!$AA$3:$AP$3,0),FALSE)</f>
        <v>0.4</v>
      </c>
      <c r="AO23" s="2">
        <f>VLOOKUP(AI23,坦克个性化细分!$AA$3:$AP$33,MATCH("原换弹时间",坦克个性化细分!$AA$3:$AP$3,0),FALSE)</f>
        <v>2.4</v>
      </c>
      <c r="AP23" s="133"/>
      <c r="AQ23" s="2">
        <v>20</v>
      </c>
      <c r="AR23" s="2" t="str">
        <f t="shared" si="6"/>
        <v>挑战者</v>
      </c>
      <c r="AS23" s="2" t="s">
        <v>875</v>
      </c>
      <c r="AT23" s="34">
        <f>VLOOKUP(AR23,坦克个性化细分!$I$3:$P$33,MATCH("养成区间1",坦克个性化细分!$I$3:$P$3,0),FALSE)</f>
        <v>8.8999999999999986</v>
      </c>
      <c r="AU23" s="2">
        <f>VLOOKUP(AR23,坦克个性化细分!$I$3:$P$33,MATCH("养成区间2",坦克个性化细分!$I$3:$P$3,0),FALSE)</f>
        <v>12.499999999999996</v>
      </c>
      <c r="AV23" s="2">
        <f>VLOOKUP(AR23,坦克个性化细分!$I$3:$P$33,MATCH("养成区间3",坦克个性化细分!$I$3:$P$3,0),FALSE)</f>
        <v>0</v>
      </c>
      <c r="AW23" s="34">
        <f>VLOOKUP(AR23,坦克个性化细分!$AA$3:$AP$33,MATCH("瞄准区间",坦克个性化细分!$AA$3:$AP$3,0),FALSE)</f>
        <v>0.23333333333333317</v>
      </c>
      <c r="AX23" s="34">
        <f>VLOOKUP(AI23,坦克个性化细分!$AA$3:$AP$33,MATCH("后射击间隔",坦克个性化细分!$AA$3:$AP$3,0),FALSE)-VLOOKUP(AI23,坦克个性化细分!$AA$3:$AP$33,MATCH(AN$3,坦克个性化细分!$AA$3:$AP$3,0),FALSE)</f>
        <v>0</v>
      </c>
      <c r="AY23" s="34">
        <f>VLOOKUP(AR23,坦克个性化细分!$AA$3:$AP$33,MATCH("换弹区间",坦克个性化细分!$AA$3:$AP$3,0),FALSE)</f>
        <v>0.37639123102866767</v>
      </c>
      <c r="AZ23" s="133"/>
      <c r="BA23" s="34">
        <f t="shared" si="8"/>
        <v>0.24999999999999994</v>
      </c>
      <c r="BB23" s="34">
        <f t="shared" si="9"/>
        <v>0.24999999999999992</v>
      </c>
      <c r="BC23" s="34">
        <f t="shared" si="10"/>
        <v>0</v>
      </c>
      <c r="BD23" s="34">
        <f t="shared" si="11"/>
        <v>0.16666666666666657</v>
      </c>
      <c r="BE23" s="34">
        <f t="shared" si="12"/>
        <v>0.15682967959527822</v>
      </c>
      <c r="BF23" s="34"/>
      <c r="BG23" s="133"/>
      <c r="BH23" s="2" t="str">
        <f t="shared" si="13"/>
        <v>Puma5</v>
      </c>
      <c r="BI23" s="2">
        <f>IF(BL22&gt;=VLOOKUP(VLOOKUP(BJ22,坦克个性化设定!$B$18:$E$48,4,FALSE)&amp;BK22,坦克属性分配比例,MATCH("升星次数",坦克属性分配比例标头,0),FALSE),BI22+1,BI22)</f>
        <v>3</v>
      </c>
      <c r="BJ23" s="2" t="str">
        <f t="shared" si="14"/>
        <v>Puma</v>
      </c>
      <c r="BK23" s="29" t="str">
        <f>VLOOKUP(BJ23,坦克个性化细分!$I$3:$J$33,2,FALSE)</f>
        <v>中</v>
      </c>
      <c r="BL23" s="2">
        <f t="shared" si="7"/>
        <v>5</v>
      </c>
      <c r="BM23" s="103">
        <f ca="1">ROUND(VLOOKUP($BJ23&amp;"初始",$S$3:$AE$63,MATCH(BM$3,$S$3:$AE$3,0),FALSE)+((VLOOKUP($BJ23&amp;"最终",$S$3:$AE$63,MATCH(BM$3,$S$3:$AE$3,0),FALSE)*坦克个性化细分!$C$9-VLOOKUP($BJ23&amp;"初始",$S$3:$AE$63,MATCH(BM$3,$S$3:$AE$3,0),FALSE))-(VLOOKUP($BJ23&amp;"最终",$S$3:$AE$63,MATCH(BM$3,$S$3:$AE$3,0),FALSE)-VLOOKUP($BJ23&amp;"初始",$S$3:$AE$63,MATCH(BM$3,$S$3:$AE$3,0),FALSE))*VLOOKUP(VLOOKUP($BJ23,坦克个性化设定!$B$18:$E$48,4,FALSE)&amp;$BK23,坦克属性分配比例,MATCH("部件比例",坦克属性分配比例标头,0),FALSE))*$BL23/VLOOKUP(VLOOKUP($BJ23,坦克个性化设定!$B$18:$E$48,4,FALSE)&amp;$BK23,坦克属性分配比例,MATCH("升星次数",坦克属性分配比例标头,0),FALSE),0)</f>
        <v>1433</v>
      </c>
      <c r="BN23" s="103">
        <f ca="1">ROUND(VLOOKUP($BJ23&amp;"初始",$S$3:$AE$63,MATCH(BN$3,$S$3:$AE$3,0),FALSE)+(VLOOKUP($BJ23&amp;"最终",$S$3:$AE$63,MATCH(BN$3,$S$3:$AE$3,0),FALSE)-VLOOKUP($BJ23&amp;"初始",$S$3:$AE$63,MATCH(BN$3,$S$3:$AE$3,0),FALSE))*$BL23/VLOOKUP(VLOOKUP($BJ23,坦克个性化设定!$B$18:$E$48,4,FALSE)&amp;$BK23,坦克属性分配比例,MATCH("升星次数",坦克属性分配比例标头,0),FALSE)*VLOOKUP(VLOOKUP($BJ23,坦克个性化设定!$B$18:$E$48,4,FALSE)&amp;$BK23,坦克属性分配比例,MATCH("升星比例",坦克属性分配比例标头,0),FALSE),0)</f>
        <v>95</v>
      </c>
      <c r="BO23" s="103">
        <f ca="1">ROUND(VLOOKUP($BJ23&amp;"初始",$S$3:$AE$63,MATCH(BO$3,$S$3:$AE$3,0),FALSE)+(VLOOKUP($BJ23&amp;"最终",$S$3:$AE$63,MATCH(BO$3,$S$3:$AE$3,0),FALSE)-VLOOKUP($BJ23&amp;"初始",$S$3:$AE$63,MATCH(BO$3,$S$3:$AE$3,0),FALSE))*$BL23/VLOOKUP(VLOOKUP($BJ23,坦克个性化设定!$B$18:$E$48,4,FALSE)&amp;$BK23,坦克属性分配比例,MATCH("升星次数",坦克属性分配比例标头,0),FALSE)*(VLOOKUP(VLOOKUP($BJ23,坦克个性化设定!$B$18:$E$48,4,FALSE)&amp;$BK23,坦克属性分配比例,MATCH("升星比例",坦克属性分配比例标头,0),FALSE)+VLOOKUP(VLOOKUP($BJ23,坦克个性化设定!$B$18:$E$48,4,FALSE)&amp;$BK23,坦克属性分配比例,MATCH("部件比例",坦克属性分配比例标头,0),FALSE)*$C$3),0)</f>
        <v>510</v>
      </c>
      <c r="BP23" s="103">
        <f ca="1">ROUND(VLOOKUP($BJ23&amp;"初始",$S$3:$AE$63,MATCH(BP$3,$S$3:$AE$3,0),FALSE)+(VLOOKUP($BJ23&amp;"最终",$S$3:$AE$63,MATCH(BP$3,$S$3:$AE$3,0),FALSE)-VLOOKUP($BJ23&amp;"初始",$S$3:$AE$63,MATCH(BP$3,$S$3:$AE$3,0),FALSE))*$BL23/VLOOKUP(VLOOKUP($BJ23,坦克个性化设定!$B$18:$E$48,4,FALSE)&amp;$BK23,坦克属性分配比例,MATCH("升星次数",坦克属性分配比例标头,0),FALSE)*(VLOOKUP(VLOOKUP($BJ23,坦克个性化设定!$B$18:$E$48,4,FALSE)&amp;$BK23,坦克属性分配比例,MATCH("升星比例",坦克属性分配比例标头,0),FALSE)+VLOOKUP(VLOOKUP($BJ23,坦克个性化设定!$B$18:$E$48,4,FALSE)&amp;$BK23,坦克属性分配比例,MATCH("部件比例",坦克属性分配比例标头,0),FALSE)*$C$3),0)</f>
        <v>357</v>
      </c>
      <c r="BQ23" s="103">
        <f ca="1">ROUND(VLOOKUP($BJ23&amp;"初始",$S$3:$AE$63,MATCH(BQ$3,$S$3:$AE$3,0),FALSE)+(VLOOKUP($BJ23&amp;"最终",$S$3:$AE$63,MATCH(BQ$3,$S$3:$AE$3,0),FALSE)-VLOOKUP($BJ23&amp;"初始",$S$3:$AE$63,MATCH(BQ$3,$S$3:$AE$3,0),FALSE))*$BL23/VLOOKUP(VLOOKUP($BJ23,坦克个性化设定!$B$18:$E$48,4,FALSE)&amp;$BK23,坦克属性分配比例,MATCH("升星次数",坦克属性分配比例标头,0),FALSE)*VLOOKUP(VLOOKUP($BJ23,坦克个性化设定!$B$18:$E$48,4,FALSE)&amp;$BK23,坦克属性分配比例,MATCH("升星比例",坦克属性分配比例标头,0),FALSE),0)</f>
        <v>441</v>
      </c>
      <c r="BR23" s="2">
        <f ca="1">ROUND(VLOOKUP($BJ23&amp;"初始",$S$3:$AE$63,MATCH(BR$3,$S$3:$AE$3,0),FALSE)+(VLOOKUP($BJ23&amp;"最终",$S$3:$AE$63,MATCH(BR$3,$S$3:$AE$3,0),FALSE)-VLOOKUP($BJ23&amp;"初始",$S$3:$AE$63,MATCH(BR$3,$S$3:$AE$3,0),FALSE))*$BL23/VLOOKUP(VLOOKUP($BJ23,坦克个性化设定!$B$18:$E$48,4,FALSE)&amp;$BK23,坦克属性分配比例,MATCH("升星次数",坦克属性分配比例标头,0),FALSE),0)</f>
        <v>129</v>
      </c>
      <c r="BS23" s="2">
        <f>ROUND(VLOOKUP($BJ23,$AI$3:$AO$33,MATCH(BS$3,$AI$3:$AO$3,0),FALSE)+$BL23/VLOOKUP(VLOOKUP($BJ23,坦克个性化设定!$B$18:$E$48,4,FALSE)&amp;$BK23,坦克属性分配比例,MATCH("升星次数",坦克属性分配比例标头,0),FALSE)*VLOOKUP($BJ23,$AR$3:$AY$33,MATCH(BS$3,$AR$3:$AY$3,0),FALSE),1)</f>
        <v>51</v>
      </c>
      <c r="BT23" s="2">
        <f>ROUND(VLOOKUP($BJ23,$AI$3:$AO$33,MATCH(BT$3,$AI$3:$AO$3,0),FALSE)+$BL23/VLOOKUP(VLOOKUP($BJ23,坦克个性化设定!$B$18:$E$48,4,FALSE)&amp;$BK23,坦克属性分配比例,MATCH("升星次数",坦克属性分配比例标头,0),FALSE)*VLOOKUP($BJ23,$AR$3:$AY$33,MATCH(BT$3,$AR$3:$AY$3,0),FALSE),1)</f>
        <v>60.1</v>
      </c>
      <c r="BU23" s="2">
        <f>ROUND(VLOOKUP($BJ23,$AI$3:$AO$33,MATCH(BU$3,$AI$3:$AO$3,0),FALSE)+$BL23/VLOOKUP(VLOOKUP($BJ23,坦克个性化设定!$B$18:$E$48,4,FALSE)&amp;$BK23,坦克属性分配比例,MATCH("升星次数",坦克属性分配比例标头,0),FALSE)*VLOOKUP($BJ23,$AR$3:$AY$33,MATCH(BU$3,$AR$3:$AY$3,0),FALSE),1)</f>
        <v>10.199999999999999</v>
      </c>
      <c r="BV23" s="2">
        <f>IF(VLOOKUP(BJ23,坦克个性化设定!$B$18:$BC$48,MATCH("装弹类型",坦克个性化设定!$B$18:$BC$18,0),FALSE)="弹夹换弹",0,ROUND(VLOOKUP($BJ23,$AI$3:$AO$33,MATCH("换弹时间",$AI$3:$AO$3,0),FALSE)-$BL23/VLOOKUP(VLOOKUP($BJ23,坦克个性化设定!$B$18:$E$48,4,FALSE)&amp;$BK23,坦克属性分配比例,MATCH("升星次数",坦克属性分配比例标头,0),FALSE)*VLOOKUP($BJ23,$AR$3:$AY$33,MATCH("换弹时间",$AR$3:$AY$3,0),FALSE),2))</f>
        <v>0</v>
      </c>
      <c r="BW23" s="2">
        <f>IF(VLOOKUP(BJ23,坦克个性化设定!$B$18:$BC$48,MATCH("装弹类型",坦克个性化设定!$B$18:$BC$18,0),FALSE)="弹夹换弹",ROUND(VLOOKUP($BJ23,$AI$3:$AO$33,MATCH("换弹时间",$AI$3:$AO$3,0),FALSE)-$BL23/VLOOKUP(VLOOKUP($BJ23,坦克个性化设定!$B$18:$E$48,4,FALSE)&amp;$BK23,坦克属性分配比例,MATCH("升星次数",坦克属性分配比例标头,0),FALSE)*VLOOKUP($BJ23,$AR$3:$AY$33,MATCH("换弹时间",$AR$3:$AY$3,0),FALSE),1),0)</f>
        <v>2.4</v>
      </c>
      <c r="BX23" s="2">
        <f>ROUND(VLOOKUP($BJ23,$AI$3:$AO$33,MATCH(BX$3,$AI$3:$AO$3,0),FALSE)+$BL23/VLOOKUP(VLOOKUP($BJ23,坦克个性化设定!$B$18:$E$48,4,FALSE)&amp;$BK23,坦克属性分配比例,MATCH("升星次数",坦克属性分配比例标头,0),FALSE)*VLOOKUP($BJ23,$AR$3:$AY$33,MATCH(BX$3,$AR$3:$AY$3,0),FALSE),2)</f>
        <v>0.8</v>
      </c>
      <c r="BY23" s="2">
        <f>ROUND(VLOOKUP($BJ23,$AI$3:$AO$33,MATCH(BY$3,$AI$3:$AO$3,0),FALSE)-$BL23/VLOOKUP(VLOOKUP($BJ23,坦克个性化设定!$B$18:$E$48,4,FALSE)&amp;$BK23,坦克属性分配比例,MATCH("升星次数",坦克属性分配比例标头,0),FALSE)*VLOOKUP($BJ23,$AR$3:$AY$33,MATCH(BY$3,$AR$3:$AY$3,0),FALSE),2)</f>
        <v>0.51</v>
      </c>
      <c r="CA23" s="2">
        <v>20</v>
      </c>
      <c r="CB23" s="2" t="str">
        <f t="shared" si="15"/>
        <v>挑战者</v>
      </c>
      <c r="CC23" s="2" t="str">
        <f>VLOOKUP(CB23,坦克个性化设定!$B$18:$F$48,5,FALSE)</f>
        <v>中坦自动</v>
      </c>
      <c r="CD23" s="29" t="str">
        <f>VLOOKUP(CB23,坦克个性化细分!$I$3:$J$33,2,FALSE)</f>
        <v>低</v>
      </c>
      <c r="CE23" s="42">
        <f ca="1">(VLOOKUP($CB23&amp;"最终",$S$3:$AE$63,MATCH(CE$3,$S$3:$AE$3,0),FALSE)-VLOOKUP($CB23&amp;"初始",$S$3:$AE$63,MATCH(CE$3,$S$3:$AE$3,0),FALSE))*VLOOKUP(VLOOKUP($CB23,坦克个性化设定!$B$18:$E$48,4,FALSE)&amp;$CD23,坦克属性分配比例,MATCH("部件比例",坦克属性分配比例标头,0),FALSE)</f>
        <v>516.25619458540359</v>
      </c>
      <c r="CF23" s="42">
        <f ca="1">(VLOOKUP($CB23&amp;"最终",$S$3:$AE$63,MATCH(CF$3,$S$3:$AE$3,0),FALSE)-VLOOKUP($CB23&amp;"初始",$S$3:$AE$63,MATCH(CF$3,$S$3:$AE$3,0),FALSE))*VLOOKUP(VLOOKUP($CB23,坦克个性化设定!$B$18:$E$48,4,FALSE)&amp;$CD23,坦克属性分配比例,MATCH("部件比例",坦克属性分配比例标头,0),FALSE)</f>
        <v>52.171818223730753</v>
      </c>
      <c r="CG23" s="42">
        <f ca="1">(VLOOKUP($CB23&amp;"最终",$S$3:$AE$63,MATCH(CG$3,$S$3:$AE$3,0),FALSE)-VLOOKUP($CB23&amp;"初始",$S$3:$AE$63,MATCH(CG$3,$S$3:$AE$3,0),FALSE))*VLOOKUP(VLOOKUP($CB23,坦克个性化设定!$B$18:$E$48,4,FALSE)&amp;$CD23,坦克属性分配比例,MATCH("部件比例",坦克属性分配比例标头,0),FALSE)*(1-$C$3)</f>
        <v>74.2</v>
      </c>
      <c r="CH23" s="42">
        <f ca="1">(VLOOKUP($CB23&amp;"最终",$S$3:$AE$63,MATCH(CH$3,$S$3:$AE$3,0),FALSE)-VLOOKUP($CB23&amp;"初始",$S$3:$AE$63,MATCH(CH$3,$S$3:$AE$3,0),FALSE))*VLOOKUP(VLOOKUP($CB23,坦克个性化设定!$B$18:$E$48,4,FALSE)&amp;$CD23,坦克属性分配比例,MATCH("部件比例",坦克属性分配比例标头,0),FALSE)*(1-$C$3)</f>
        <v>55.6</v>
      </c>
      <c r="CI23" s="42">
        <f ca="1">(VLOOKUP($CB23&amp;"最终",$S$3:$AE$63,MATCH(CI$3,$S$3:$AE$3,0),FALSE)-VLOOKUP($CB23&amp;"初始",$S$3:$AE$63,MATCH(CI$3,$S$3:$AE$3,0),FALSE))*VLOOKUP(VLOOKUP($CB23,坦克个性化设定!$B$18:$E$48,4,FALSE)&amp;$CD23,坦克属性分配比例,MATCH("部件比例",坦克属性分配比例标头,0),FALSE)</f>
        <v>203.5</v>
      </c>
    </row>
    <row r="24" spans="2:87" x14ac:dyDescent="0.3">
      <c r="B24" s="2">
        <v>19</v>
      </c>
      <c r="C24" s="2" t="str">
        <f>坦克个性化设定!B37</f>
        <v>百夫长</v>
      </c>
      <c r="D24" s="2">
        <v>2431</v>
      </c>
      <c r="E24" s="2" t="s">
        <v>648</v>
      </c>
      <c r="F24" s="2">
        <v>0</v>
      </c>
      <c r="G24" s="25" t="str">
        <f t="shared" si="17"/>
        <v>百夫长</v>
      </c>
      <c r="H24" s="25"/>
      <c r="I24" s="25"/>
      <c r="J24" s="25"/>
      <c r="K24" s="25"/>
      <c r="L24" s="25"/>
      <c r="M24" s="25"/>
      <c r="N24" s="25"/>
      <c r="O24" s="25"/>
      <c r="P24" s="25"/>
      <c r="Q24" s="25"/>
      <c r="R24" s="25"/>
      <c r="S24" s="2" t="str">
        <f t="shared" si="2"/>
        <v>Stuart初始</v>
      </c>
      <c r="T24" s="2">
        <f>IF(COUNTIF(U$4:U23,U23)&gt;=$B$3,T23+1,T23)</f>
        <v>11</v>
      </c>
      <c r="U24" s="2" t="str">
        <f t="shared" si="3"/>
        <v>Stuart</v>
      </c>
      <c r="V24" s="2" t="str">
        <f>VLOOKUP(U24,坦克个性化设定!$B$18:$F$48,5,FALSE)</f>
        <v>中坦自动</v>
      </c>
      <c r="W24" s="29" t="str">
        <f>VLOOKUP(U24,坦克个性化细分!$I$3:$J$33,2,FALSE)</f>
        <v>低</v>
      </c>
      <c r="X24" s="2" t="str">
        <f t="shared" si="16"/>
        <v>初始</v>
      </c>
      <c r="Y24" s="2" t="str">
        <f>VLOOKUP(VLOOKUP(U24,坦克个性化设定!$B$18:$F$48,4,FALSE)&amp;W24,坦克等级成长!$P$12:$U$24,MATCH(X24,坦克等级成长!$P$12:$U$12,0),FALSE)</f>
        <v>T1低1</v>
      </c>
      <c r="Z24" s="42">
        <f ca="1">VLOOKUP($Y24,INDIRECT($V24&amp;"_阶段属性"),MATCH(Z$3,属性标头_阶段属性,0),FALSE)*VLOOKUP($U24,坦克个性化设定!$B$84:$D$114,2,FALSE)</f>
        <v>559.91496469759375</v>
      </c>
      <c r="AA24" s="42">
        <f ca="1">VLOOKUP($Y24,INDIRECT($V24&amp;"_阶段属性"),MATCH(AA$3,属性标头_阶段属性,0),FALSE)*VLOOKUP($U24,坦克个性化设定!$B$84:$D$114,3,FALSE)</f>
        <v>117.71583418645569</v>
      </c>
      <c r="AB24" s="2">
        <f t="shared" ref="AB24:AE43" ca="1" si="18">VLOOKUP($Y24,INDIRECT($V24&amp;"_阶段属性"),MATCH(AB$3,属性标头_阶段属性,0),FALSE)</f>
        <v>329</v>
      </c>
      <c r="AC24" s="2">
        <f t="shared" ca="1" si="18"/>
        <v>246</v>
      </c>
      <c r="AD24" s="2">
        <f t="shared" ca="1" si="18"/>
        <v>360</v>
      </c>
      <c r="AE24" s="2">
        <f t="shared" ca="1" si="18"/>
        <v>86</v>
      </c>
      <c r="AF24" s="25"/>
      <c r="AH24" s="2">
        <v>21</v>
      </c>
      <c r="AI24" s="2" t="str">
        <f t="shared" si="5"/>
        <v>B-1</v>
      </c>
      <c r="AJ24" s="2">
        <f>VLOOKUP($AI24,坦克个性化细分!$I$3:$P$33,MATCH(AJ$3,坦克个性化细分!$I$3:$P$3,0),FALSE)</f>
        <v>38.299999999999997</v>
      </c>
      <c r="AK24" s="2">
        <f>VLOOKUP($AI24,坦克个性化细分!$I$3:$P$33,MATCH(AK$3,坦克个性化细分!$I$3:$P$3,0),FALSE)</f>
        <v>28</v>
      </c>
      <c r="AL24" s="2">
        <f>VLOOKUP($AI24,坦克个性化细分!$I$3:$P$33,MATCH(AL$3,坦克个性化细分!$I$3:$P$3,0),FALSE)</f>
        <v>7</v>
      </c>
      <c r="AM24" s="34">
        <f>VLOOKUP(AI24,坦克个性化细分!$AA$3:$AP$33,MATCH("射击偏移角",坦克个性化细分!$AA$3:$AP$3,0),FALSE)/VLOOKUP(AI24,坦克个性化细分!$AA$3:$AP$33,MATCH("原瞄准速度",坦克个性化细分!$AA$3:$AP$3,0),FALSE)</f>
        <v>2.5</v>
      </c>
      <c r="AN24" s="34">
        <f>VLOOKUP(AI24,坦克个性化细分!$AA$3:$AP$33,MATCH(AN$3,坦克个性化细分!$AA$3:$AP$3,0),FALSE)</f>
        <v>2.8</v>
      </c>
      <c r="AO24" s="2">
        <f>VLOOKUP(AI24,坦克个性化细分!$AA$3:$AP$33,MATCH("原换弹时间",坦克个性化细分!$AA$3:$AP$3,0),FALSE)</f>
        <v>5.3999999999999995</v>
      </c>
      <c r="AP24" s="133"/>
      <c r="AQ24" s="2">
        <v>21</v>
      </c>
      <c r="AR24" s="2" t="str">
        <f t="shared" si="6"/>
        <v>B-1</v>
      </c>
      <c r="AS24" s="2" t="s">
        <v>87</v>
      </c>
      <c r="AT24" s="34">
        <f>VLOOKUP(AR24,坦克个性化细分!$I$3:$P$33,MATCH("养成区间1",坦克个性化细分!$I$3:$P$3,0),FALSE)</f>
        <v>9.5749999999999957</v>
      </c>
      <c r="AU24" s="2">
        <f>VLOOKUP(AR24,坦克个性化细分!$I$3:$P$33,MATCH("养成区间2",坦克个性化细分!$I$3:$P$3,0),FALSE)</f>
        <v>6.9999999999999982</v>
      </c>
      <c r="AV24" s="2">
        <f>VLOOKUP(AR24,坦克个性化细分!$I$3:$P$33,MATCH("养成区间3",坦克个性化细分!$I$3:$P$3,0),FALSE)</f>
        <v>0</v>
      </c>
      <c r="AW24" s="34">
        <f>VLOOKUP(AR24,坦克个性化细分!$AA$3:$AP$33,MATCH("瞄准区间",坦克个性化细分!$AA$3:$AP$3,0),FALSE)</f>
        <v>0.41666666666666652</v>
      </c>
      <c r="AX24" s="34">
        <f>VLOOKUP(AI24,坦克个性化细分!$AA$3:$AP$33,MATCH("后射击间隔",坦克个性化细分!$AA$3:$AP$3,0),FALSE)-VLOOKUP(AI24,坦克个性化细分!$AA$3:$AP$33,MATCH(AN$3,坦克个性化细分!$AA$3:$AP$3,0),FALSE)</f>
        <v>0</v>
      </c>
      <c r="AY24" s="34">
        <f>VLOOKUP(AR24,坦克个性化细分!$AA$3:$AP$33,MATCH("换弹区间",坦克个性化细分!$AA$3:$AP$3,0),FALSE)</f>
        <v>0.75883111302105721</v>
      </c>
      <c r="AZ24" s="133"/>
      <c r="BA24" s="34">
        <f t="shared" si="8"/>
        <v>0.24999999999999992</v>
      </c>
      <c r="BB24" s="34">
        <f t="shared" si="9"/>
        <v>0.24999999999999994</v>
      </c>
      <c r="BC24" s="34">
        <f t="shared" si="10"/>
        <v>0</v>
      </c>
      <c r="BD24" s="34">
        <f t="shared" si="11"/>
        <v>0.1666666666666666</v>
      </c>
      <c r="BE24" s="34">
        <f t="shared" si="12"/>
        <v>0.14052428018908469</v>
      </c>
      <c r="BF24" s="34"/>
      <c r="BG24" s="133"/>
      <c r="BH24" s="2" t="str">
        <f t="shared" si="13"/>
        <v>Puma6</v>
      </c>
      <c r="BI24" s="2">
        <f>IF(BL23&gt;=VLOOKUP(VLOOKUP(BJ23,坦克个性化设定!$B$18:$E$48,4,FALSE)&amp;BK23,坦克属性分配比例,MATCH("升星次数",坦克属性分配比例标头,0),FALSE),BI23+1,BI23)</f>
        <v>3</v>
      </c>
      <c r="BJ24" s="2" t="str">
        <f t="shared" si="14"/>
        <v>Puma</v>
      </c>
      <c r="BK24" s="29" t="str">
        <f>VLOOKUP(BJ24,坦克个性化细分!$I$3:$J$33,2,FALSE)</f>
        <v>中</v>
      </c>
      <c r="BL24" s="2">
        <f t="shared" si="7"/>
        <v>6</v>
      </c>
      <c r="BM24" s="103">
        <f ca="1">ROUND(VLOOKUP($BJ24&amp;"初始",$S$3:$AE$63,MATCH(BM$3,$S$3:$AE$3,0),FALSE)+((VLOOKUP($BJ24&amp;"最终",$S$3:$AE$63,MATCH(BM$3,$S$3:$AE$3,0),FALSE)*坦克个性化细分!$C$9-VLOOKUP($BJ24&amp;"初始",$S$3:$AE$63,MATCH(BM$3,$S$3:$AE$3,0),FALSE))-(VLOOKUP($BJ24&amp;"最终",$S$3:$AE$63,MATCH(BM$3,$S$3:$AE$3,0),FALSE)-VLOOKUP($BJ24&amp;"初始",$S$3:$AE$63,MATCH(BM$3,$S$3:$AE$3,0),FALSE))*VLOOKUP(VLOOKUP($BJ24,坦克个性化设定!$B$18:$E$48,4,FALSE)&amp;$BK24,坦克属性分配比例,MATCH("部件比例",坦克属性分配比例标头,0),FALSE))*$BL24/VLOOKUP(VLOOKUP($BJ24,坦克个性化设定!$B$18:$E$48,4,FALSE)&amp;$BK24,坦克属性分配比例,MATCH("升星次数",坦克属性分配比例标头,0),FALSE),0)</f>
        <v>1509</v>
      </c>
      <c r="BN24" s="103">
        <f ca="1">ROUND(VLOOKUP($BJ24&amp;"初始",$S$3:$AE$63,MATCH(BN$3,$S$3:$AE$3,0),FALSE)+(VLOOKUP($BJ24&amp;"最终",$S$3:$AE$63,MATCH(BN$3,$S$3:$AE$3,0),FALSE)-VLOOKUP($BJ24&amp;"初始",$S$3:$AE$63,MATCH(BN$3,$S$3:$AE$3,0),FALSE))*$BL24/VLOOKUP(VLOOKUP($BJ24,坦克个性化设定!$B$18:$E$48,4,FALSE)&amp;$BK24,坦克属性分配比例,MATCH("升星次数",坦克属性分配比例标头,0),FALSE)*VLOOKUP(VLOOKUP($BJ24,坦克个性化设定!$B$18:$E$48,4,FALSE)&amp;$BK24,坦克属性分配比例,MATCH("升星比例",坦克属性分配比例标头,0),FALSE),0)</f>
        <v>98</v>
      </c>
      <c r="BO24" s="103">
        <f ca="1">ROUND(VLOOKUP($BJ24&amp;"初始",$S$3:$AE$63,MATCH(BO$3,$S$3:$AE$3,0),FALSE)+(VLOOKUP($BJ24&amp;"最终",$S$3:$AE$63,MATCH(BO$3,$S$3:$AE$3,0),FALSE)-VLOOKUP($BJ24&amp;"初始",$S$3:$AE$63,MATCH(BO$3,$S$3:$AE$3,0),FALSE))*$BL24/VLOOKUP(VLOOKUP($BJ24,坦克个性化设定!$B$18:$E$48,4,FALSE)&amp;$BK24,坦克属性分配比例,MATCH("升星次数",坦克属性分配比例标头,0),FALSE)*(VLOOKUP(VLOOKUP($BJ24,坦克个性化设定!$B$18:$E$48,4,FALSE)&amp;$BK24,坦克属性分配比例,MATCH("升星比例",坦克属性分配比例标头,0),FALSE)+VLOOKUP(VLOOKUP($BJ24,坦克个性化设定!$B$18:$E$48,4,FALSE)&amp;$BK24,坦克属性分配比例,MATCH("部件比例",坦克属性分配比例标头,0),FALSE)*$C$3),0)</f>
        <v>531</v>
      </c>
      <c r="BP24" s="103">
        <f ca="1">ROUND(VLOOKUP($BJ24&amp;"初始",$S$3:$AE$63,MATCH(BP$3,$S$3:$AE$3,0),FALSE)+(VLOOKUP($BJ24&amp;"最终",$S$3:$AE$63,MATCH(BP$3,$S$3:$AE$3,0),FALSE)-VLOOKUP($BJ24&amp;"初始",$S$3:$AE$63,MATCH(BP$3,$S$3:$AE$3,0),FALSE))*$BL24/VLOOKUP(VLOOKUP($BJ24,坦克个性化设定!$B$18:$E$48,4,FALSE)&amp;$BK24,坦克属性分配比例,MATCH("升星次数",坦克属性分配比例标头,0),FALSE)*(VLOOKUP(VLOOKUP($BJ24,坦克个性化设定!$B$18:$E$48,4,FALSE)&amp;$BK24,坦克属性分配比例,MATCH("升星比例",坦克属性分配比例标头,0),FALSE)+VLOOKUP(VLOOKUP($BJ24,坦克个性化设定!$B$18:$E$48,4,FALSE)&amp;$BK24,坦克属性分配比例,MATCH("部件比例",坦克属性分配比例标头,0),FALSE)*$C$3),0)</f>
        <v>372</v>
      </c>
      <c r="BQ24" s="103">
        <f ca="1">ROUND(VLOOKUP($BJ24&amp;"初始",$S$3:$AE$63,MATCH(BQ$3,$S$3:$AE$3,0),FALSE)+(VLOOKUP($BJ24&amp;"最终",$S$3:$AE$63,MATCH(BQ$3,$S$3:$AE$3,0),FALSE)-VLOOKUP($BJ24&amp;"初始",$S$3:$AE$63,MATCH(BQ$3,$S$3:$AE$3,0),FALSE))*$BL24/VLOOKUP(VLOOKUP($BJ24,坦克个性化设定!$B$18:$E$48,4,FALSE)&amp;$BK24,坦克属性分配比例,MATCH("升星次数",坦克属性分配比例标头,0),FALSE)*VLOOKUP(VLOOKUP($BJ24,坦克个性化设定!$B$18:$E$48,4,FALSE)&amp;$BK24,坦克属性分配比例,MATCH("升星比例",坦克属性分配比例标头,0),FALSE),0)</f>
        <v>456</v>
      </c>
      <c r="BR24" s="2">
        <f ca="1">ROUND(VLOOKUP($BJ24&amp;"初始",$S$3:$AE$63,MATCH(BR$3,$S$3:$AE$3,0),FALSE)+(VLOOKUP($BJ24&amp;"最终",$S$3:$AE$63,MATCH(BR$3,$S$3:$AE$3,0),FALSE)-VLOOKUP($BJ24&amp;"初始",$S$3:$AE$63,MATCH(BR$3,$S$3:$AE$3,0),FALSE))*$BL24/VLOOKUP(VLOOKUP($BJ24,坦克个性化设定!$B$18:$E$48,4,FALSE)&amp;$BK24,坦克属性分配比例,MATCH("升星次数",坦克属性分配比例标头,0),FALSE),0)</f>
        <v>135</v>
      </c>
      <c r="BS24" s="2">
        <f>ROUND(VLOOKUP($BJ24,$AI$3:$AO$33,MATCH(BS$3,$AI$3:$AO$3,0),FALSE)+$BL24/VLOOKUP(VLOOKUP($BJ24,坦克个性化设定!$B$18:$E$48,4,FALSE)&amp;$BK24,坦克属性分配比例,MATCH("升星次数",坦克属性分配比例标头,0),FALSE)*VLOOKUP($BJ24,$AR$3:$AY$33,MATCH(BS$3,$AR$3:$AY$3,0),FALSE),1)</f>
        <v>52.6</v>
      </c>
      <c r="BT24" s="2">
        <f>ROUND(VLOOKUP($BJ24,$AI$3:$AO$33,MATCH(BT$3,$AI$3:$AO$3,0),FALSE)+$BL24/VLOOKUP(VLOOKUP($BJ24,坦克个性化设定!$B$18:$E$48,4,FALSE)&amp;$BK24,坦克属性分配比例,MATCH("升星次数",坦克属性分配比例标头,0),FALSE)*VLOOKUP($BJ24,$AR$3:$AY$33,MATCH(BT$3,$AR$3:$AY$3,0),FALSE),1)</f>
        <v>61.9</v>
      </c>
      <c r="BU24" s="2">
        <f>ROUND(VLOOKUP($BJ24,$AI$3:$AO$33,MATCH(BU$3,$AI$3:$AO$3,0),FALSE)+$BL24/VLOOKUP(VLOOKUP($BJ24,坦克个性化设定!$B$18:$E$48,4,FALSE)&amp;$BK24,坦克属性分配比例,MATCH("升星次数",坦克属性分配比例标头,0),FALSE)*VLOOKUP($BJ24,$AR$3:$AY$33,MATCH(BU$3,$AR$3:$AY$3,0),FALSE),1)</f>
        <v>10.199999999999999</v>
      </c>
      <c r="BV24" s="2">
        <f>IF(VLOOKUP(BJ24,坦克个性化设定!$B$18:$BC$48,MATCH("装弹类型",坦克个性化设定!$B$18:$BC$18,0),FALSE)="弹夹换弹",0,ROUND(VLOOKUP($BJ24,$AI$3:$AO$33,MATCH("换弹时间",$AI$3:$AO$3,0),FALSE)-$BL24/VLOOKUP(VLOOKUP($BJ24,坦克个性化设定!$B$18:$E$48,4,FALSE)&amp;$BK24,坦克属性分配比例,MATCH("升星次数",坦克属性分配比例标头,0),FALSE)*VLOOKUP($BJ24,$AR$3:$AY$33,MATCH("换弹时间",$AR$3:$AY$3,0),FALSE),2))</f>
        <v>0</v>
      </c>
      <c r="BW24" s="2">
        <f>IF(VLOOKUP(BJ24,坦克个性化设定!$B$18:$BC$48,MATCH("装弹类型",坦克个性化设定!$B$18:$BC$18,0),FALSE)="弹夹换弹",ROUND(VLOOKUP($BJ24,$AI$3:$AO$33,MATCH("换弹时间",$AI$3:$AO$3,0),FALSE)-$BL24/VLOOKUP(VLOOKUP($BJ24,坦克个性化设定!$B$18:$E$48,4,FALSE)&amp;$BK24,坦克属性分配比例,MATCH("升星次数",坦克属性分配比例标头,0),FALSE)*VLOOKUP($BJ24,$AR$3:$AY$33,MATCH("换弹时间",$AR$3:$AY$3,0),FALSE),1),0)</f>
        <v>2.2999999999999998</v>
      </c>
      <c r="BX24" s="2">
        <f>ROUND(VLOOKUP($BJ24,$AI$3:$AO$33,MATCH(BX$3,$AI$3:$AO$3,0),FALSE)+$BL24/VLOOKUP(VLOOKUP($BJ24,坦克个性化设定!$B$18:$E$48,4,FALSE)&amp;$BK24,坦克属性分配比例,MATCH("升星次数",坦克属性分配比例标头,0),FALSE)*VLOOKUP($BJ24,$AR$3:$AY$33,MATCH(BX$3,$AR$3:$AY$3,0),FALSE),2)</f>
        <v>0.8</v>
      </c>
      <c r="BY24" s="2">
        <f>ROUND(VLOOKUP($BJ24,$AI$3:$AO$33,MATCH(BY$3,$AI$3:$AO$3,0),FALSE)-$BL24/VLOOKUP(VLOOKUP($BJ24,坦克个性化设定!$B$18:$E$48,4,FALSE)&amp;$BK24,坦克属性分配比例,MATCH("升星次数",坦克属性分配比例标头,0),FALSE)*VLOOKUP($BJ24,$AR$3:$AY$33,MATCH(BY$3,$AR$3:$AY$3,0),FALSE),2)</f>
        <v>0.49</v>
      </c>
      <c r="CA24" s="2">
        <v>21</v>
      </c>
      <c r="CB24" s="2" t="str">
        <f t="shared" si="15"/>
        <v>B-1</v>
      </c>
      <c r="CC24" s="2" t="str">
        <f>VLOOKUP(CB24,坦克个性化设定!$B$18:$F$48,5,FALSE)</f>
        <v>重坦自动</v>
      </c>
      <c r="CD24" s="29" t="str">
        <f>VLOOKUP(CB24,坦克个性化细分!$I$3:$J$33,2,FALSE)</f>
        <v>低</v>
      </c>
      <c r="CE24" s="42">
        <f ca="1">(VLOOKUP($CB24&amp;"最终",$S$3:$AE$63,MATCH(CE$3,$S$3:$AE$3,0),FALSE)-VLOOKUP($CB24&amp;"初始",$S$3:$AE$63,MATCH(CE$3,$S$3:$AE$3,0),FALSE))*VLOOKUP(VLOOKUP($CB24,坦克个性化设定!$B$18:$E$48,4,FALSE)&amp;$CD24,坦克属性分配比例,MATCH("部件比例",坦克属性分配比例标头,0),FALSE)</f>
        <v>159.56768687057883</v>
      </c>
      <c r="CF24" s="42">
        <f ca="1">(VLOOKUP($CB24&amp;"最终",$S$3:$AE$63,MATCH(CF$3,$S$3:$AE$3,0),FALSE)-VLOOKUP($CB24&amp;"初始",$S$3:$AE$63,MATCH(CF$3,$S$3:$AE$3,0),FALSE))*VLOOKUP(VLOOKUP($CB24,坦克个性化设定!$B$18:$E$48,4,FALSE)&amp;$CD24,坦克属性分配比例,MATCH("部件比例",坦克属性分配比例标头,0),FALSE)</f>
        <v>32.093155004672788</v>
      </c>
      <c r="CG24" s="42">
        <f ca="1">(VLOOKUP($CB24&amp;"最终",$S$3:$AE$63,MATCH(CG$3,$S$3:$AE$3,0),FALSE)-VLOOKUP($CB24&amp;"初始",$S$3:$AE$63,MATCH(CG$3,$S$3:$AE$3,0),FALSE))*VLOOKUP(VLOOKUP($CB24,坦克个性化设定!$B$18:$E$48,4,FALSE)&amp;$CD24,坦克属性分配比例,MATCH("部件比例",坦克属性分配比例标头,0),FALSE)*(1-$C$3)</f>
        <v>10.200000000000001</v>
      </c>
      <c r="CH24" s="42">
        <f ca="1">(VLOOKUP($CB24&amp;"最终",$S$3:$AE$63,MATCH(CH$3,$S$3:$AE$3,0),FALSE)-VLOOKUP($CB24&amp;"初始",$S$3:$AE$63,MATCH(CH$3,$S$3:$AE$3,0),FALSE))*VLOOKUP(VLOOKUP($CB24,坦克个性化设定!$B$18:$E$48,4,FALSE)&amp;$CD24,坦克属性分配比例,MATCH("部件比例",坦克属性分配比例标头,0),FALSE)*(1-$C$3)</f>
        <v>8.16</v>
      </c>
      <c r="CI24" s="42">
        <f ca="1">(VLOOKUP($CB24&amp;"最终",$S$3:$AE$63,MATCH(CI$3,$S$3:$AE$3,0),FALSE)-VLOOKUP($CB24&amp;"初始",$S$3:$AE$63,MATCH(CI$3,$S$3:$AE$3,0),FALSE))*VLOOKUP(VLOOKUP($CB24,坦克个性化设定!$B$18:$E$48,4,FALSE)&amp;$CD24,坦克属性分配比例,MATCH("部件比例",坦克属性分配比例标头,0),FALSE)</f>
        <v>37.799999999999997</v>
      </c>
    </row>
    <row r="25" spans="2:87" x14ac:dyDescent="0.3">
      <c r="B25" s="2">
        <v>20</v>
      </c>
      <c r="C25" s="2" t="str">
        <f>坦克个性化设定!B38</f>
        <v>挑战者</v>
      </c>
      <c r="D25" s="2">
        <v>2511</v>
      </c>
      <c r="E25" s="2" t="s">
        <v>650</v>
      </c>
      <c r="F25" s="2">
        <v>0</v>
      </c>
      <c r="G25" s="25" t="str">
        <f t="shared" si="17"/>
        <v>挑战者</v>
      </c>
      <c r="H25" s="25"/>
      <c r="I25" s="25"/>
      <c r="J25" s="25"/>
      <c r="K25" s="25"/>
      <c r="L25" s="25"/>
      <c r="M25" s="25"/>
      <c r="N25" s="25"/>
      <c r="O25" s="25"/>
      <c r="P25" s="25"/>
      <c r="Q25" s="25"/>
      <c r="R25" s="25"/>
      <c r="S25" s="2" t="str">
        <f t="shared" si="2"/>
        <v>Stuart最终</v>
      </c>
      <c r="T25" s="2">
        <f>IF(COUNTIF(U$4:U24,U24)&gt;=$B$3,T24+1,T24)</f>
        <v>11</v>
      </c>
      <c r="U25" s="2" t="str">
        <f t="shared" si="3"/>
        <v>Stuart</v>
      </c>
      <c r="V25" s="2" t="str">
        <f>VLOOKUP(U25,坦克个性化设定!$B$18:$F$48,5,FALSE)</f>
        <v>中坦自动</v>
      </c>
      <c r="W25" s="29" t="str">
        <f>VLOOKUP(U25,坦克个性化细分!$I$3:$J$33,2,FALSE)</f>
        <v>低</v>
      </c>
      <c r="X25" s="2" t="str">
        <f t="shared" si="16"/>
        <v>最终</v>
      </c>
      <c r="Y25" s="2" t="str">
        <f>VLOOKUP(VLOOKUP(U25,坦克个性化设定!$B$18:$F$48,4,FALSE)&amp;W25,坦克等级成长!$P$12:$U$24,MATCH(X25,坦克等级成长!$P$12:$U$12,0),FALSE)</f>
        <v>T1低3</v>
      </c>
      <c r="Z25" s="42">
        <f ca="1">VLOOKUP($Y25,INDIRECT($V25&amp;"_阶段属性"),MATCH(Z$3,属性标头_阶段属性,0),FALSE)*VLOOKUP($U25,坦克个性化设定!$B$84:$D$114,2,FALSE)</f>
        <v>970.3464588817867</v>
      </c>
      <c r="AA25" s="42">
        <f ca="1">VLOOKUP($Y25,INDIRECT($V25&amp;"_阶段属性"),MATCH(AA$3,属性标头_阶段属性,0),FALSE)*VLOOKUP($U25,坦克个性化设定!$B$84:$D$114,3,FALSE)</f>
        <v>153.42737938908832</v>
      </c>
      <c r="AB25" s="2">
        <f t="shared" ca="1" si="18"/>
        <v>427</v>
      </c>
      <c r="AC25" s="2">
        <f t="shared" ca="1" si="18"/>
        <v>320</v>
      </c>
      <c r="AD25" s="2">
        <f t="shared" ca="1" si="18"/>
        <v>468</v>
      </c>
      <c r="AE25" s="2">
        <f t="shared" ca="1" si="18"/>
        <v>112</v>
      </c>
      <c r="AF25" s="25"/>
      <c r="AH25" s="2">
        <v>22</v>
      </c>
      <c r="AI25" s="2" t="str">
        <f t="shared" si="5"/>
        <v>KV-1</v>
      </c>
      <c r="AJ25" s="2">
        <f>VLOOKUP($AI25,坦克个性化细分!$I$3:$P$33,MATCH(AJ$3,坦克个性化细分!$I$3:$P$3,0),FALSE)</f>
        <v>38.299999999999997</v>
      </c>
      <c r="AK25" s="2">
        <f>VLOOKUP($AI25,坦克个性化细分!$I$3:$P$33,MATCH(AK$3,坦克个性化细分!$I$3:$P$3,0),FALSE)</f>
        <v>28</v>
      </c>
      <c r="AL25" s="2">
        <f>VLOOKUP($AI25,坦克个性化细分!$I$3:$P$33,MATCH(AL$3,坦克个性化细分!$I$3:$P$3,0),FALSE)</f>
        <v>7</v>
      </c>
      <c r="AM25" s="34">
        <f>VLOOKUP(AI25,坦克个性化细分!$AA$3:$AP$33,MATCH("射击偏移角",坦克个性化细分!$AA$3:$AP$3,0),FALSE)/VLOOKUP(AI25,坦克个性化细分!$AA$3:$AP$33,MATCH("原瞄准速度",坦克个性化细分!$AA$3:$AP$3,0),FALSE)</f>
        <v>2.0833333333333335</v>
      </c>
      <c r="AN25" s="34">
        <f>VLOOKUP(AI25,坦克个性化细分!$AA$3:$AP$33,MATCH(AN$3,坦克个性化细分!$AA$3:$AP$3,0),FALSE)</f>
        <v>1.88</v>
      </c>
      <c r="AO25" s="2">
        <f>VLOOKUP(AI25,坦克个性化细分!$AA$3:$AP$33,MATCH("原换弹时间",坦克个性化细分!$AA$3:$AP$3,0),FALSE)</f>
        <v>3.6</v>
      </c>
      <c r="AP25" s="133"/>
      <c r="AQ25" s="2">
        <v>22</v>
      </c>
      <c r="AR25" s="2" t="str">
        <f t="shared" si="6"/>
        <v>KV-1</v>
      </c>
      <c r="AS25" s="2" t="s">
        <v>87</v>
      </c>
      <c r="AT25" s="34">
        <f>VLOOKUP(AR25,坦克个性化细分!$I$3:$P$33,MATCH("养成区间1",坦克个性化细分!$I$3:$P$3,0),FALSE)</f>
        <v>9.5749999999999957</v>
      </c>
      <c r="AU25" s="2">
        <f>VLOOKUP(AR25,坦克个性化细分!$I$3:$P$33,MATCH("养成区间2",坦克个性化细分!$I$3:$P$3,0),FALSE)</f>
        <v>6.9999999999999982</v>
      </c>
      <c r="AV25" s="2">
        <f>VLOOKUP(AR25,坦克个性化细分!$I$3:$P$33,MATCH("养成区间3",坦克个性化细分!$I$3:$P$3,0),FALSE)</f>
        <v>0</v>
      </c>
      <c r="AW25" s="34">
        <f>VLOOKUP(AR25,坦克个性化细分!$AA$3:$AP$33,MATCH("瞄准区间",坦克个性化细分!$AA$3:$AP$3,0),FALSE)</f>
        <v>0.34722222222222232</v>
      </c>
      <c r="AX25" s="34">
        <f>VLOOKUP(AI25,坦克个性化细分!$AA$3:$AP$33,MATCH("后射击间隔",坦克个性化细分!$AA$3:$AP$3,0),FALSE)-VLOOKUP(AI25,坦克个性化细分!$AA$3:$AP$33,MATCH(AN$3,坦克个性化细分!$AA$3:$AP$3,0),FALSE)</f>
        <v>0</v>
      </c>
      <c r="AY25" s="34">
        <f>VLOOKUP(AR25,坦克个性化细分!$AA$3:$AP$33,MATCH("换弹区间",坦克个性化细分!$AA$3:$AP$3,0),FALSE)</f>
        <v>0.54137638062871707</v>
      </c>
      <c r="AZ25" s="133"/>
      <c r="BA25" s="34">
        <f t="shared" si="8"/>
        <v>0.24999999999999992</v>
      </c>
      <c r="BB25" s="34">
        <f t="shared" si="9"/>
        <v>0.24999999999999994</v>
      </c>
      <c r="BC25" s="34">
        <f t="shared" si="10"/>
        <v>0</v>
      </c>
      <c r="BD25" s="34">
        <f t="shared" si="11"/>
        <v>0.16666666666666671</v>
      </c>
      <c r="BE25" s="34">
        <f t="shared" si="12"/>
        <v>0.1503823279524214</v>
      </c>
      <c r="BF25" s="34"/>
      <c r="BG25" s="133"/>
      <c r="BH25" s="2" t="str">
        <f t="shared" si="13"/>
        <v>Puma7</v>
      </c>
      <c r="BI25" s="2">
        <f>IF(BL24&gt;=VLOOKUP(VLOOKUP(BJ24,坦克个性化设定!$B$18:$E$48,4,FALSE)&amp;BK24,坦克属性分配比例,MATCH("升星次数",坦克属性分配比例标头,0),FALSE),BI24+1,BI24)</f>
        <v>3</v>
      </c>
      <c r="BJ25" s="2" t="str">
        <f t="shared" si="14"/>
        <v>Puma</v>
      </c>
      <c r="BK25" s="29" t="str">
        <f>VLOOKUP(BJ25,坦克个性化细分!$I$3:$J$33,2,FALSE)</f>
        <v>中</v>
      </c>
      <c r="BL25" s="2">
        <f t="shared" si="7"/>
        <v>7</v>
      </c>
      <c r="BM25" s="103">
        <f ca="1">ROUND(VLOOKUP($BJ25&amp;"初始",$S$3:$AE$63,MATCH(BM$3,$S$3:$AE$3,0),FALSE)+((VLOOKUP($BJ25&amp;"最终",$S$3:$AE$63,MATCH(BM$3,$S$3:$AE$3,0),FALSE)*坦克个性化细分!$C$9-VLOOKUP($BJ25&amp;"初始",$S$3:$AE$63,MATCH(BM$3,$S$3:$AE$3,0),FALSE))-(VLOOKUP($BJ25&amp;"最终",$S$3:$AE$63,MATCH(BM$3,$S$3:$AE$3,0),FALSE)-VLOOKUP($BJ25&amp;"初始",$S$3:$AE$63,MATCH(BM$3,$S$3:$AE$3,0),FALSE))*VLOOKUP(VLOOKUP($BJ25,坦克个性化设定!$B$18:$E$48,4,FALSE)&amp;$BK25,坦克属性分配比例,MATCH("部件比例",坦克属性分配比例标头,0),FALSE))*$BL25/VLOOKUP(VLOOKUP($BJ25,坦克个性化设定!$B$18:$E$48,4,FALSE)&amp;$BK25,坦克属性分配比例,MATCH("升星次数",坦克属性分配比例标头,0),FALSE),0)</f>
        <v>1585</v>
      </c>
      <c r="BN25" s="103">
        <f ca="1">ROUND(VLOOKUP($BJ25&amp;"初始",$S$3:$AE$63,MATCH(BN$3,$S$3:$AE$3,0),FALSE)+(VLOOKUP($BJ25&amp;"最终",$S$3:$AE$63,MATCH(BN$3,$S$3:$AE$3,0),FALSE)-VLOOKUP($BJ25&amp;"初始",$S$3:$AE$63,MATCH(BN$3,$S$3:$AE$3,0),FALSE))*$BL25/VLOOKUP(VLOOKUP($BJ25,坦克个性化设定!$B$18:$E$48,4,FALSE)&amp;$BK25,坦克属性分配比例,MATCH("升星次数",坦克属性分配比例标头,0),FALSE)*VLOOKUP(VLOOKUP($BJ25,坦克个性化设定!$B$18:$E$48,4,FALSE)&amp;$BK25,坦克属性分配比例,MATCH("升星比例",坦克属性分配比例标头,0),FALSE),0)</f>
        <v>102</v>
      </c>
      <c r="BO25" s="103">
        <f ca="1">ROUND(VLOOKUP($BJ25&amp;"初始",$S$3:$AE$63,MATCH(BO$3,$S$3:$AE$3,0),FALSE)+(VLOOKUP($BJ25&amp;"最终",$S$3:$AE$63,MATCH(BO$3,$S$3:$AE$3,0),FALSE)-VLOOKUP($BJ25&amp;"初始",$S$3:$AE$63,MATCH(BO$3,$S$3:$AE$3,0),FALSE))*$BL25/VLOOKUP(VLOOKUP($BJ25,坦克个性化设定!$B$18:$E$48,4,FALSE)&amp;$BK25,坦克属性分配比例,MATCH("升星次数",坦克属性分配比例标头,0),FALSE)*(VLOOKUP(VLOOKUP($BJ25,坦克个性化设定!$B$18:$E$48,4,FALSE)&amp;$BK25,坦克属性分配比例,MATCH("升星比例",坦克属性分配比例标头,0),FALSE)+VLOOKUP(VLOOKUP($BJ25,坦克个性化设定!$B$18:$E$48,4,FALSE)&amp;$BK25,坦克属性分配比例,MATCH("部件比例",坦克属性分配比例标头,0),FALSE)*$C$3),0)</f>
        <v>553</v>
      </c>
      <c r="BP25" s="103">
        <f ca="1">ROUND(VLOOKUP($BJ25&amp;"初始",$S$3:$AE$63,MATCH(BP$3,$S$3:$AE$3,0),FALSE)+(VLOOKUP($BJ25&amp;"最终",$S$3:$AE$63,MATCH(BP$3,$S$3:$AE$3,0),FALSE)-VLOOKUP($BJ25&amp;"初始",$S$3:$AE$63,MATCH(BP$3,$S$3:$AE$3,0),FALSE))*$BL25/VLOOKUP(VLOOKUP($BJ25,坦克个性化设定!$B$18:$E$48,4,FALSE)&amp;$BK25,坦克属性分配比例,MATCH("升星次数",坦克属性分配比例标头,0),FALSE)*(VLOOKUP(VLOOKUP($BJ25,坦克个性化设定!$B$18:$E$48,4,FALSE)&amp;$BK25,坦克属性分配比例,MATCH("升星比例",坦克属性分配比例标头,0),FALSE)+VLOOKUP(VLOOKUP($BJ25,坦克个性化设定!$B$18:$E$48,4,FALSE)&amp;$BK25,坦克属性分配比例,MATCH("部件比例",坦克属性分配比例标头,0),FALSE)*$C$3),0)</f>
        <v>388</v>
      </c>
      <c r="BQ25" s="103">
        <f ca="1">ROUND(VLOOKUP($BJ25&amp;"初始",$S$3:$AE$63,MATCH(BQ$3,$S$3:$AE$3,0),FALSE)+(VLOOKUP($BJ25&amp;"最终",$S$3:$AE$63,MATCH(BQ$3,$S$3:$AE$3,0),FALSE)-VLOOKUP($BJ25&amp;"初始",$S$3:$AE$63,MATCH(BQ$3,$S$3:$AE$3,0),FALSE))*$BL25/VLOOKUP(VLOOKUP($BJ25,坦克个性化设定!$B$18:$E$48,4,FALSE)&amp;$BK25,坦克属性分配比例,MATCH("升星次数",坦克属性分配比例标头,0),FALSE)*VLOOKUP(VLOOKUP($BJ25,坦克个性化设定!$B$18:$E$48,4,FALSE)&amp;$BK25,坦克属性分配比例,MATCH("升星比例",坦克属性分配比例标头,0),FALSE),0)</f>
        <v>471</v>
      </c>
      <c r="BR25" s="2">
        <f ca="1">ROUND(VLOOKUP($BJ25&amp;"初始",$S$3:$AE$63,MATCH(BR$3,$S$3:$AE$3,0),FALSE)+(VLOOKUP($BJ25&amp;"最终",$S$3:$AE$63,MATCH(BR$3,$S$3:$AE$3,0),FALSE)-VLOOKUP($BJ25&amp;"初始",$S$3:$AE$63,MATCH(BR$3,$S$3:$AE$3,0),FALSE))*$BL25/VLOOKUP(VLOOKUP($BJ25,坦克个性化设定!$B$18:$E$48,4,FALSE)&amp;$BK25,坦克属性分配比例,MATCH("升星次数",坦克属性分配比例标头,0),FALSE),0)</f>
        <v>141</v>
      </c>
      <c r="BS25" s="2">
        <f>ROUND(VLOOKUP($BJ25,$AI$3:$AO$33,MATCH(BS$3,$AI$3:$AO$3,0),FALSE)+$BL25/VLOOKUP(VLOOKUP($BJ25,坦克个性化设定!$B$18:$E$48,4,FALSE)&amp;$BK25,坦克属性分配比例,MATCH("升星次数",坦克属性分配比例标头,0),FALSE)*VLOOKUP($BJ25,$AR$3:$AY$33,MATCH(BS$3,$AR$3:$AY$3,0),FALSE),1)</f>
        <v>54.1</v>
      </c>
      <c r="BT25" s="2">
        <f>ROUND(VLOOKUP($BJ25,$AI$3:$AO$33,MATCH(BT$3,$AI$3:$AO$3,0),FALSE)+$BL25/VLOOKUP(VLOOKUP($BJ25,坦克个性化设定!$B$18:$E$48,4,FALSE)&amp;$BK25,坦克属性分配比例,MATCH("升星次数",坦克属性分配比例标头,0),FALSE)*VLOOKUP($BJ25,$AR$3:$AY$33,MATCH(BT$3,$AR$3:$AY$3,0),FALSE),1)</f>
        <v>63.8</v>
      </c>
      <c r="BU25" s="2">
        <f>ROUND(VLOOKUP($BJ25,$AI$3:$AO$33,MATCH(BU$3,$AI$3:$AO$3,0),FALSE)+$BL25/VLOOKUP(VLOOKUP($BJ25,坦克个性化设定!$B$18:$E$48,4,FALSE)&amp;$BK25,坦克属性分配比例,MATCH("升星次数",坦克属性分配比例标头,0),FALSE)*VLOOKUP($BJ25,$AR$3:$AY$33,MATCH(BU$3,$AR$3:$AY$3,0),FALSE),1)</f>
        <v>10.199999999999999</v>
      </c>
      <c r="BV25" s="2">
        <f>IF(VLOOKUP(BJ25,坦克个性化设定!$B$18:$BC$48,MATCH("装弹类型",坦克个性化设定!$B$18:$BC$18,0),FALSE)="弹夹换弹",0,ROUND(VLOOKUP($BJ25,$AI$3:$AO$33,MATCH("换弹时间",$AI$3:$AO$3,0),FALSE)-$BL25/VLOOKUP(VLOOKUP($BJ25,坦克个性化设定!$B$18:$E$48,4,FALSE)&amp;$BK25,坦克属性分配比例,MATCH("升星次数",坦克属性分配比例标头,0),FALSE)*VLOOKUP($BJ25,$AR$3:$AY$33,MATCH("换弹时间",$AR$3:$AY$3,0),FALSE),2))</f>
        <v>0</v>
      </c>
      <c r="BW25" s="2">
        <f>IF(VLOOKUP(BJ25,坦克个性化设定!$B$18:$BC$48,MATCH("装弹类型",坦克个性化设定!$B$18:$BC$18,0),FALSE)="弹夹换弹",ROUND(VLOOKUP($BJ25,$AI$3:$AO$33,MATCH("换弹时间",$AI$3:$AO$3,0),FALSE)-$BL25/VLOOKUP(VLOOKUP($BJ25,坦克个性化设定!$B$18:$E$48,4,FALSE)&amp;$BK25,坦克属性分配比例,MATCH("升星次数",坦克属性分配比例标头,0),FALSE)*VLOOKUP($BJ25,$AR$3:$AY$33,MATCH("换弹时间",$AR$3:$AY$3,0),FALSE),1),0)</f>
        <v>2.1</v>
      </c>
      <c r="BX25" s="2">
        <f>ROUND(VLOOKUP($BJ25,$AI$3:$AO$33,MATCH(BX$3,$AI$3:$AO$3,0),FALSE)+$BL25/VLOOKUP(VLOOKUP($BJ25,坦克个性化设定!$B$18:$E$48,4,FALSE)&amp;$BK25,坦克属性分配比例,MATCH("升星次数",坦克属性分配比例标头,0),FALSE)*VLOOKUP($BJ25,$AR$3:$AY$33,MATCH(BX$3,$AR$3:$AY$3,0),FALSE),2)</f>
        <v>0.8</v>
      </c>
      <c r="BY25" s="2">
        <f>ROUND(VLOOKUP($BJ25,$AI$3:$AO$33,MATCH(BY$3,$AI$3:$AO$3,0),FALSE)-$BL25/VLOOKUP(VLOOKUP($BJ25,坦克个性化设定!$B$18:$E$48,4,FALSE)&amp;$BK25,坦克属性分配比例,MATCH("升星次数",坦克属性分配比例标头,0),FALSE)*VLOOKUP($BJ25,$AR$3:$AY$33,MATCH(BY$3,$AR$3:$AY$3,0),FALSE),2)</f>
        <v>0.48</v>
      </c>
      <c r="CA25" s="2">
        <v>22</v>
      </c>
      <c r="CB25" s="2" t="str">
        <f t="shared" si="15"/>
        <v>KV-1</v>
      </c>
      <c r="CC25" s="2" t="str">
        <f>VLOOKUP(CB25,坦克个性化设定!$B$18:$F$48,5,FALSE)</f>
        <v>重坦自动</v>
      </c>
      <c r="CD25" s="29" t="str">
        <f>VLOOKUP(CB25,坦克个性化细分!$I$3:$J$33,2,FALSE)</f>
        <v>低</v>
      </c>
      <c r="CE25" s="42">
        <f ca="1">(VLOOKUP($CB25&amp;"最终",$S$3:$AE$63,MATCH(CE$3,$S$3:$AE$3,0),FALSE)-VLOOKUP($CB25&amp;"初始",$S$3:$AE$63,MATCH(CE$3,$S$3:$AE$3,0),FALSE))*VLOOKUP(VLOOKUP($CB25,坦克个性化设定!$B$18:$E$48,4,FALSE)&amp;$CD25,坦克属性分配比例,MATCH("部件比例",坦克属性分配比例标头,0),FALSE)</f>
        <v>150.8766712262659</v>
      </c>
      <c r="CF25" s="42">
        <f ca="1">(VLOOKUP($CB25&amp;"最终",$S$3:$AE$63,MATCH(CF$3,$S$3:$AE$3,0),FALSE)-VLOOKUP($CB25&amp;"初始",$S$3:$AE$63,MATCH(CF$3,$S$3:$AE$3,0),FALSE))*VLOOKUP(VLOOKUP($CB25,坦克个性化设定!$B$18:$E$48,4,FALSE)&amp;$CD25,坦克属性分配比例,MATCH("部件比例",坦克属性分配比例标头,0),FALSE)</f>
        <v>37.439129128183048</v>
      </c>
      <c r="CG25" s="42">
        <f ca="1">(VLOOKUP($CB25&amp;"最终",$S$3:$AE$63,MATCH(CG$3,$S$3:$AE$3,0),FALSE)-VLOOKUP($CB25&amp;"初始",$S$3:$AE$63,MATCH(CG$3,$S$3:$AE$3,0),FALSE))*VLOOKUP(VLOOKUP($CB25,坦克个性化设定!$B$18:$E$48,4,FALSE)&amp;$CD25,坦克属性分配比例,MATCH("部件比例",坦克属性分配比例标头,0),FALSE)*(1-$C$3)</f>
        <v>20.02</v>
      </c>
      <c r="CH25" s="42">
        <f ca="1">(VLOOKUP($CB25&amp;"最终",$S$3:$AE$63,MATCH(CH$3,$S$3:$AE$3,0),FALSE)-VLOOKUP($CB25&amp;"初始",$S$3:$AE$63,MATCH(CH$3,$S$3:$AE$3,0),FALSE))*VLOOKUP(VLOOKUP($CB25,坦克个性化设定!$B$18:$E$48,4,FALSE)&amp;$CD25,坦克属性分配比例,MATCH("部件比例",坦克属性分配比例标头,0),FALSE)*(1-$C$3)</f>
        <v>16.100000000000001</v>
      </c>
      <c r="CI25" s="42">
        <f ca="1">(VLOOKUP($CB25&amp;"最终",$S$3:$AE$63,MATCH(CI$3,$S$3:$AE$3,0),FALSE)-VLOOKUP($CB25&amp;"初始",$S$3:$AE$63,MATCH(CI$3,$S$3:$AE$3,0),FALSE))*VLOOKUP(VLOOKUP($CB25,坦克个性化设定!$B$18:$E$48,4,FALSE)&amp;$CD25,坦克属性分配比例,MATCH("部件比例",坦克属性分配比例标头,0),FALSE)</f>
        <v>73.5</v>
      </c>
    </row>
    <row r="26" spans="2:87" x14ac:dyDescent="0.3">
      <c r="B26" s="2">
        <v>21</v>
      </c>
      <c r="C26" s="2" t="str">
        <f>坦克个性化设定!B39</f>
        <v>B-1</v>
      </c>
      <c r="D26" s="2">
        <v>3111</v>
      </c>
      <c r="E26" s="2" t="s">
        <v>652</v>
      </c>
      <c r="F26" s="2">
        <v>1</v>
      </c>
      <c r="G26" s="25" t="str">
        <f t="shared" si="17"/>
        <v>B-1</v>
      </c>
      <c r="H26" s="25"/>
      <c r="I26" s="25"/>
      <c r="J26" s="25"/>
      <c r="K26" s="25"/>
      <c r="L26" s="25"/>
      <c r="M26" s="25"/>
      <c r="N26" s="25"/>
      <c r="O26" s="25"/>
      <c r="P26" s="25"/>
      <c r="Q26" s="25"/>
      <c r="R26" s="25"/>
      <c r="S26" s="2" t="str">
        <f t="shared" si="2"/>
        <v>T-34初始</v>
      </c>
      <c r="T26" s="2">
        <f>IF(COUNTIF(U$4:U25,U25)&gt;=$B$3,T25+1,T25)</f>
        <v>12</v>
      </c>
      <c r="U26" s="2" t="str">
        <f t="shared" si="3"/>
        <v>T-34</v>
      </c>
      <c r="V26" s="2" t="str">
        <f>VLOOKUP(U26,坦克个性化设定!$B$18:$F$48,5,FALSE)</f>
        <v>中坦自动</v>
      </c>
      <c r="W26" s="29" t="str">
        <f>VLOOKUP(U26,坦克个性化细分!$I$3:$J$33,2,FALSE)</f>
        <v>低</v>
      </c>
      <c r="X26" s="2" t="str">
        <f t="shared" si="16"/>
        <v>初始</v>
      </c>
      <c r="Y26" s="2" t="str">
        <f>VLOOKUP(VLOOKUP(U26,坦克个性化设定!$B$18:$F$48,4,FALSE)&amp;W26,坦克等级成长!$P$12:$U$24,MATCH(X26,坦克等级成长!$P$12:$U$12,0),FALSE)</f>
        <v>T2低2</v>
      </c>
      <c r="Z26" s="42">
        <f ca="1">VLOOKUP($Y26,INDIRECT($V26&amp;"_阶段属性"),MATCH(Z$3,属性标头_阶段属性,0),FALSE)*VLOOKUP($U26,坦克个性化设定!$B$84:$D$114,2,FALSE)</f>
        <v>944.92134825899893</v>
      </c>
      <c r="AA26" s="42">
        <f ca="1">VLOOKUP($Y26,INDIRECT($V26&amp;"_阶段属性"),MATCH(AA$3,属性标头_阶段属性,0),FALSE)*VLOOKUP($U26,坦克个性化设定!$B$84:$D$114,3,FALSE)</f>
        <v>131.8725024963538</v>
      </c>
      <c r="AB26" s="2">
        <f t="shared" ca="1" si="18"/>
        <v>394</v>
      </c>
      <c r="AC26" s="2">
        <f t="shared" ca="1" si="18"/>
        <v>296</v>
      </c>
      <c r="AD26" s="2">
        <f t="shared" ca="1" si="18"/>
        <v>432</v>
      </c>
      <c r="AE26" s="2">
        <f t="shared" ca="1" si="18"/>
        <v>104</v>
      </c>
      <c r="AF26" s="25"/>
      <c r="AH26" s="2">
        <v>23</v>
      </c>
      <c r="AI26" s="2" t="str">
        <f t="shared" si="5"/>
        <v>丘吉尔</v>
      </c>
      <c r="AJ26" s="2">
        <f>VLOOKUP($AI26,坦克个性化细分!$I$3:$P$33,MATCH(AJ$3,坦克个性化细分!$I$3:$P$3,0),FALSE)</f>
        <v>31.3</v>
      </c>
      <c r="AK26" s="2">
        <f>VLOOKUP($AI26,坦克个性化细分!$I$3:$P$33,MATCH(AK$3,坦克个性化细分!$I$3:$P$3,0),FALSE)</f>
        <v>31.4</v>
      </c>
      <c r="AL26" s="2">
        <f>VLOOKUP($AI26,坦克个性化细分!$I$3:$P$33,MATCH(AL$3,坦克个性化细分!$I$3:$P$3,0),FALSE)</f>
        <v>6.4</v>
      </c>
      <c r="AM26" s="34">
        <f>VLOOKUP(AI26,坦克个性化细分!$AA$3:$AP$33,MATCH("射击偏移角",坦克个性化细分!$AA$3:$AP$3,0),FALSE)/VLOOKUP(AI26,坦克个性化细分!$AA$3:$AP$33,MATCH("原瞄准速度",坦克个性化细分!$AA$3:$AP$3,0),FALSE)</f>
        <v>3</v>
      </c>
      <c r="AN26" s="34">
        <f>VLOOKUP(AI26,坦克个性化细分!$AA$3:$AP$33,MATCH(AN$3,坦克个性化细分!$AA$3:$AP$3,0),FALSE)</f>
        <v>0</v>
      </c>
      <c r="AO26" s="2">
        <f>VLOOKUP(AI26,坦克个性化细分!$AA$3:$AP$33,MATCH("原换弹时间",坦克个性化细分!$AA$3:$AP$3,0),FALSE)</f>
        <v>6</v>
      </c>
      <c r="AP26" s="133"/>
      <c r="AQ26" s="2">
        <v>23</v>
      </c>
      <c r="AR26" s="2" t="str">
        <f t="shared" si="6"/>
        <v>丘吉尔</v>
      </c>
      <c r="AS26" s="2" t="s">
        <v>88</v>
      </c>
      <c r="AT26" s="34">
        <f>VLOOKUP(AR26,坦克个性化细分!$I$3:$P$33,MATCH("养成区间1",坦克个性化细分!$I$3:$P$3,0),FALSE)</f>
        <v>7.8249999999999984</v>
      </c>
      <c r="AU26" s="2">
        <f>VLOOKUP(AR26,坦克个性化细分!$I$3:$P$33,MATCH("养成区间2",坦克个性化细分!$I$3:$P$3,0),FALSE)</f>
        <v>7.849999999999997</v>
      </c>
      <c r="AV26" s="2">
        <f>VLOOKUP(AR26,坦克个性化细分!$I$3:$P$33,MATCH("养成区间3",坦克个性化细分!$I$3:$P$3,0),FALSE)</f>
        <v>0</v>
      </c>
      <c r="AW26" s="34">
        <f>VLOOKUP(AR26,坦克个性化细分!$AA$3:$AP$33,MATCH("瞄准区间",坦克个性化细分!$AA$3:$AP$3,0),FALSE)</f>
        <v>0.5</v>
      </c>
      <c r="AX26" s="34">
        <f>VLOOKUP(AI26,坦克个性化细分!$AA$3:$AP$33,MATCH("后射击间隔",坦克个性化细分!$AA$3:$AP$3,0),FALSE)-VLOOKUP(AI26,坦克个性化细分!$AA$3:$AP$33,MATCH(AN$3,坦克个性化细分!$AA$3:$AP$3,0),FALSE)</f>
        <v>0</v>
      </c>
      <c r="AY26" s="34">
        <f>VLOOKUP(AR26,坦克个性化细分!$AA$3:$AP$33,MATCH("换弹区间",坦克个性化细分!$AA$3:$AP$3,0),FALSE)</f>
        <v>0.84978540772532085</v>
      </c>
      <c r="AZ26" s="133"/>
      <c r="BA26" s="34">
        <f t="shared" si="8"/>
        <v>0.24999999999999994</v>
      </c>
      <c r="BB26" s="34">
        <f t="shared" si="9"/>
        <v>0.24999999999999992</v>
      </c>
      <c r="BC26" s="34">
        <f t="shared" si="10"/>
        <v>0</v>
      </c>
      <c r="BD26" s="34">
        <f t="shared" si="11"/>
        <v>0.16666666666666666</v>
      </c>
      <c r="BE26" s="34">
        <f t="shared" si="12"/>
        <v>0.14163090128755348</v>
      </c>
      <c r="BF26" s="34"/>
      <c r="BG26" s="133"/>
      <c r="BH26" s="2" t="str">
        <f t="shared" si="13"/>
        <v>35(t)0</v>
      </c>
      <c r="BI26" s="2">
        <f>IF(BL25&gt;=VLOOKUP(VLOOKUP(BJ25,坦克个性化设定!$B$18:$E$48,4,FALSE)&amp;BK25,坦克属性分配比例,MATCH("升星次数",坦克属性分配比例标头,0),FALSE),BI25+1,BI25)</f>
        <v>4</v>
      </c>
      <c r="BJ26" s="2" t="str">
        <f t="shared" si="14"/>
        <v>35(t)</v>
      </c>
      <c r="BK26" s="29" t="str">
        <f>VLOOKUP(BJ26,坦克个性化细分!$I$3:$J$33,2,FALSE)</f>
        <v>低</v>
      </c>
      <c r="BL26" s="2">
        <f t="shared" si="7"/>
        <v>0</v>
      </c>
      <c r="BM26" s="103">
        <f ca="1">ROUND(VLOOKUP($BJ26&amp;"初始",$S$3:$AE$63,MATCH(BM$3,$S$3:$AE$3,0),FALSE)+((VLOOKUP($BJ26&amp;"最终",$S$3:$AE$63,MATCH(BM$3,$S$3:$AE$3,0),FALSE)*坦克个性化细分!$C$9-VLOOKUP($BJ26&amp;"初始",$S$3:$AE$63,MATCH(BM$3,$S$3:$AE$3,0),FALSE))-(VLOOKUP($BJ26&amp;"最终",$S$3:$AE$63,MATCH(BM$3,$S$3:$AE$3,0),FALSE)-VLOOKUP($BJ26&amp;"初始",$S$3:$AE$63,MATCH(BM$3,$S$3:$AE$3,0),FALSE))*VLOOKUP(VLOOKUP($BJ26,坦克个性化设定!$B$18:$E$48,4,FALSE)&amp;$BK26,坦克属性分配比例,MATCH("部件比例",坦克属性分配比例标头,0),FALSE))*$BL26/VLOOKUP(VLOOKUP($BJ26,坦克个性化设定!$B$18:$E$48,4,FALSE)&amp;$BK26,坦克属性分配比例,MATCH("升星次数",坦克属性分配比例标头,0),FALSE),0)</f>
        <v>1204</v>
      </c>
      <c r="BN26" s="103">
        <f ca="1">ROUND(VLOOKUP($BJ26&amp;"初始",$S$3:$AE$63,MATCH(BN$3,$S$3:$AE$3,0),FALSE)+(VLOOKUP($BJ26&amp;"最终",$S$3:$AE$63,MATCH(BN$3,$S$3:$AE$3,0),FALSE)-VLOOKUP($BJ26&amp;"初始",$S$3:$AE$63,MATCH(BN$3,$S$3:$AE$3,0),FALSE))*$BL26/VLOOKUP(VLOOKUP($BJ26,坦克个性化设定!$B$18:$E$48,4,FALSE)&amp;$BK26,坦克属性分配比例,MATCH("升星次数",坦克属性分配比例标头,0),FALSE)*VLOOKUP(VLOOKUP($BJ26,坦克个性化设定!$B$18:$E$48,4,FALSE)&amp;$BK26,坦克属性分配比例,MATCH("升星比例",坦克属性分配比例标头,0),FALSE),0)</f>
        <v>101</v>
      </c>
      <c r="BO26" s="103">
        <f ca="1">ROUND(VLOOKUP($BJ26&amp;"初始",$S$3:$AE$63,MATCH(BO$3,$S$3:$AE$3,0),FALSE)+(VLOOKUP($BJ26&amp;"最终",$S$3:$AE$63,MATCH(BO$3,$S$3:$AE$3,0),FALSE)-VLOOKUP($BJ26&amp;"初始",$S$3:$AE$63,MATCH(BO$3,$S$3:$AE$3,0),FALSE))*$BL26/VLOOKUP(VLOOKUP($BJ26,坦克个性化设定!$B$18:$E$48,4,FALSE)&amp;$BK26,坦克属性分配比例,MATCH("升星次数",坦克属性分配比例标头,0),FALSE)*(VLOOKUP(VLOOKUP($BJ26,坦克个性化设定!$B$18:$E$48,4,FALSE)&amp;$BK26,坦克属性分配比例,MATCH("升星比例",坦克属性分配比例标头,0),FALSE)+VLOOKUP(VLOOKUP($BJ26,坦克个性化设定!$B$18:$E$48,4,FALSE)&amp;$BK26,坦克属性分配比例,MATCH("部件比例",坦克属性分配比例标头,0),FALSE)*$C$3),0)</f>
        <v>486</v>
      </c>
      <c r="BP26" s="103">
        <f ca="1">ROUND(VLOOKUP($BJ26&amp;"初始",$S$3:$AE$63,MATCH(BP$3,$S$3:$AE$3,0),FALSE)+(VLOOKUP($BJ26&amp;"最终",$S$3:$AE$63,MATCH(BP$3,$S$3:$AE$3,0),FALSE)-VLOOKUP($BJ26&amp;"初始",$S$3:$AE$63,MATCH(BP$3,$S$3:$AE$3,0),FALSE))*$BL26/VLOOKUP(VLOOKUP($BJ26,坦克个性化设定!$B$18:$E$48,4,FALSE)&amp;$BK26,坦克属性分配比例,MATCH("升星次数",坦克属性分配比例标头,0),FALSE)*(VLOOKUP(VLOOKUP($BJ26,坦克个性化设定!$B$18:$E$48,4,FALSE)&amp;$BK26,坦克属性分配比例,MATCH("升星比例",坦克属性分配比例标头,0),FALSE)+VLOOKUP(VLOOKUP($BJ26,坦克个性化设定!$B$18:$E$48,4,FALSE)&amp;$BK26,坦克属性分配比例,MATCH("部件比例",坦克属性分配比例标头,0),FALSE)*$C$3),0)</f>
        <v>340</v>
      </c>
      <c r="BQ26" s="103">
        <f ca="1">ROUND(VLOOKUP($BJ26&amp;"初始",$S$3:$AE$63,MATCH(BQ$3,$S$3:$AE$3,0),FALSE)+(VLOOKUP($BJ26&amp;"最终",$S$3:$AE$63,MATCH(BQ$3,$S$3:$AE$3,0),FALSE)-VLOOKUP($BJ26&amp;"初始",$S$3:$AE$63,MATCH(BQ$3,$S$3:$AE$3,0),FALSE))*$BL26/VLOOKUP(VLOOKUP($BJ26,坦克个性化设定!$B$18:$E$48,4,FALSE)&amp;$BK26,坦克属性分配比例,MATCH("升星次数",坦克属性分配比例标头,0),FALSE)*VLOOKUP(VLOOKUP($BJ26,坦克个性化设定!$B$18:$E$48,4,FALSE)&amp;$BK26,坦克属性分配比例,MATCH("升星比例",坦克属性分配比例标头,0),FALSE),0)</f>
        <v>444</v>
      </c>
      <c r="BR26" s="2">
        <f ca="1">ROUND(VLOOKUP($BJ26&amp;"初始",$S$3:$AE$63,MATCH(BR$3,$S$3:$AE$3,0),FALSE)+(VLOOKUP($BJ26&amp;"最终",$S$3:$AE$63,MATCH(BR$3,$S$3:$AE$3,0),FALSE)-VLOOKUP($BJ26&amp;"初始",$S$3:$AE$63,MATCH(BR$3,$S$3:$AE$3,0),FALSE))*$BL26/VLOOKUP(VLOOKUP($BJ26,坦克个性化设定!$B$18:$E$48,4,FALSE)&amp;$BK26,坦克属性分配比例,MATCH("升星次数",坦克属性分配比例标头,0),FALSE),0)</f>
        <v>118</v>
      </c>
      <c r="BS26" s="2">
        <f>ROUND(VLOOKUP($BJ26,$AI$3:$AO$33,MATCH(BS$3,$AI$3:$AO$3,0),FALSE)+$BL26/VLOOKUP(VLOOKUP($BJ26,坦克个性化设定!$B$18:$E$48,4,FALSE)&amp;$BK26,坦克属性分配比例,MATCH("升星次数",坦克属性分配比例标头,0),FALSE)*VLOOKUP($BJ26,$AR$3:$AY$33,MATCH(BS$3,$AR$3:$AY$3,0),FALSE),1)</f>
        <v>42.4</v>
      </c>
      <c r="BT26" s="2">
        <f>ROUND(VLOOKUP($BJ26,$AI$3:$AO$33,MATCH(BT$3,$AI$3:$AO$3,0),FALSE)+$BL26/VLOOKUP(VLOOKUP($BJ26,坦克个性化设定!$B$18:$E$48,4,FALSE)&amp;$BK26,坦克属性分配比例,MATCH("升星次数",坦克属性分配比例标头,0),FALSE)*VLOOKUP($BJ26,$AR$3:$AY$33,MATCH(BT$3,$AR$3:$AY$3,0),FALSE),1)</f>
        <v>50</v>
      </c>
      <c r="BU26" s="2">
        <f>ROUND(VLOOKUP($BJ26,$AI$3:$AO$33,MATCH(BU$3,$AI$3:$AO$3,0),FALSE)+$BL26/VLOOKUP(VLOOKUP($BJ26,坦克个性化设定!$B$18:$E$48,4,FALSE)&amp;$BK26,坦克属性分配比例,MATCH("升星次数",坦克属性分配比例标头,0),FALSE)*VLOOKUP($BJ26,$AR$3:$AY$33,MATCH(BU$3,$AR$3:$AY$3,0),FALSE),1)</f>
        <v>10</v>
      </c>
      <c r="BV26" s="2">
        <f>IF(VLOOKUP(BJ26,坦克个性化设定!$B$18:$BC$48,MATCH("装弹类型",坦克个性化设定!$B$18:$BC$18,0),FALSE)="弹夹换弹",0,ROUND(VLOOKUP($BJ26,$AI$3:$AO$33,MATCH("换弹时间",$AI$3:$AO$3,0),FALSE)-$BL26/VLOOKUP(VLOOKUP($BJ26,坦克个性化设定!$B$18:$E$48,4,FALSE)&amp;$BK26,坦克属性分配比例,MATCH("升星次数",坦克属性分配比例标头,0),FALSE)*VLOOKUP($BJ26,$AR$3:$AY$33,MATCH("换弹时间",$AR$3:$AY$3,0),FALSE),2))</f>
        <v>0</v>
      </c>
      <c r="BW26" s="2">
        <f>IF(VLOOKUP(BJ26,坦克个性化设定!$B$18:$BC$48,MATCH("装弹类型",坦克个性化设定!$B$18:$BC$18,0),FALSE)="弹夹换弹",ROUND(VLOOKUP($BJ26,$AI$3:$AO$33,MATCH("换弹时间",$AI$3:$AO$3,0),FALSE)-$BL26/VLOOKUP(VLOOKUP($BJ26,坦克个性化设定!$B$18:$E$48,4,FALSE)&amp;$BK26,坦克属性分配比例,MATCH("升星次数",坦克属性分配比例标头,0),FALSE)*VLOOKUP($BJ26,$AR$3:$AY$33,MATCH("换弹时间",$AR$3:$AY$3,0),FALSE),1),0)</f>
        <v>6.3</v>
      </c>
      <c r="BX26" s="2">
        <f>ROUND(VLOOKUP($BJ26,$AI$3:$AO$33,MATCH(BX$3,$AI$3:$AO$3,0),FALSE)+$BL26/VLOOKUP(VLOOKUP($BJ26,坦克个性化设定!$B$18:$E$48,4,FALSE)&amp;$BK26,坦克属性分配比例,MATCH("升星次数",坦克属性分配比例标头,0),FALSE)*VLOOKUP($BJ26,$AR$3:$AY$33,MATCH(BX$3,$AR$3:$AY$3,0),FALSE),2)</f>
        <v>0.8</v>
      </c>
      <c r="BY26" s="2">
        <f>ROUND(VLOOKUP($BJ26,$AI$3:$AO$33,MATCH(BY$3,$AI$3:$AO$3,0),FALSE)-$BL26/VLOOKUP(VLOOKUP($BJ26,坦克个性化设定!$B$18:$E$48,4,FALSE)&amp;$BK26,坦克属性分配比例,MATCH("升星次数",坦克属性分配比例标头,0),FALSE)*VLOOKUP($BJ26,$AR$3:$AY$33,MATCH(BY$3,$AR$3:$AY$3,0),FALSE),2)</f>
        <v>0.52</v>
      </c>
      <c r="CA26" s="2">
        <v>23</v>
      </c>
      <c r="CB26" s="2" t="str">
        <f t="shared" si="15"/>
        <v>丘吉尔</v>
      </c>
      <c r="CC26" s="2" t="str">
        <f>VLOOKUP(CB26,坦克个性化设定!$B$18:$F$48,5,FALSE)</f>
        <v>重坦单发</v>
      </c>
      <c r="CD26" s="29" t="str">
        <f>VLOOKUP(CB26,坦克个性化细分!$I$3:$J$33,2,FALSE)</f>
        <v>中</v>
      </c>
      <c r="CE26" s="42">
        <f ca="1">(VLOOKUP($CB26&amp;"最终",$S$3:$AE$63,MATCH(CE$3,$S$3:$AE$3,0),FALSE)-VLOOKUP($CB26&amp;"初始",$S$3:$AE$63,MATCH(CE$3,$S$3:$AE$3,0),FALSE))*VLOOKUP(VLOOKUP($CB26,坦克个性化设定!$B$18:$E$48,4,FALSE)&amp;$CD26,坦克属性分配比例,MATCH("部件比例",坦克属性分配比例标头,0),FALSE)</f>
        <v>179.70765853755861</v>
      </c>
      <c r="CF26" s="42">
        <f ca="1">(VLOOKUP($CB26&amp;"最终",$S$3:$AE$63,MATCH(CF$3,$S$3:$AE$3,0),FALSE)-VLOOKUP($CB26&amp;"初始",$S$3:$AE$63,MATCH(CF$3,$S$3:$AE$3,0),FALSE))*VLOOKUP(VLOOKUP($CB26,坦克个性化设定!$B$18:$E$48,4,FALSE)&amp;$CD26,坦克属性分配比例,MATCH("部件比例",坦克属性分配比例标头,0),FALSE)</f>
        <v>69.104233514925781</v>
      </c>
      <c r="CG26" s="42">
        <f ca="1">(VLOOKUP($CB26&amp;"最终",$S$3:$AE$63,MATCH(CG$3,$S$3:$AE$3,0),FALSE)-VLOOKUP($CB26&amp;"初始",$S$3:$AE$63,MATCH(CG$3,$S$3:$AE$3,0),FALSE))*VLOOKUP(VLOOKUP($CB26,坦克个性化设定!$B$18:$E$48,4,FALSE)&amp;$CD26,坦克属性分配比例,MATCH("部件比例",坦克属性分配比例标头,0),FALSE)*(1-$C$3)</f>
        <v>23.799999999999997</v>
      </c>
      <c r="CH26" s="42">
        <f ca="1">(VLOOKUP($CB26&amp;"最终",$S$3:$AE$63,MATCH(CH$3,$S$3:$AE$3,0),FALSE)-VLOOKUP($CB26&amp;"初始",$S$3:$AE$63,MATCH(CH$3,$S$3:$AE$3,0),FALSE))*VLOOKUP(VLOOKUP($CB26,坦克个性化设定!$B$18:$E$48,4,FALSE)&amp;$CD26,坦克属性分配比例,MATCH("部件比例",坦克属性分配比例标头,0),FALSE)*(1-$C$3)</f>
        <v>19.04</v>
      </c>
      <c r="CI26" s="42">
        <f ca="1">(VLOOKUP($CB26&amp;"最终",$S$3:$AE$63,MATCH(CI$3,$S$3:$AE$3,0),FALSE)-VLOOKUP($CB26&amp;"初始",$S$3:$AE$63,MATCH(CI$3,$S$3:$AE$3,0),FALSE))*VLOOKUP(VLOOKUP($CB26,坦克个性化设定!$B$18:$E$48,4,FALSE)&amp;$CD26,坦克属性分配比例,MATCH("部件比例",坦克属性分配比例标头,0),FALSE)</f>
        <v>79.449999999999989</v>
      </c>
    </row>
    <row r="27" spans="2:87" x14ac:dyDescent="0.3">
      <c r="B27" s="2">
        <v>22</v>
      </c>
      <c r="C27" s="2" t="str">
        <f>坦克个性化设定!B40</f>
        <v>KV-1</v>
      </c>
      <c r="D27" s="2">
        <v>3211</v>
      </c>
      <c r="E27" s="2" t="s">
        <v>654</v>
      </c>
      <c r="F27" s="2">
        <v>1</v>
      </c>
      <c r="G27" s="25" t="str">
        <f t="shared" si="17"/>
        <v>KV-1</v>
      </c>
      <c r="H27" s="25"/>
      <c r="I27" s="25"/>
      <c r="J27" s="25"/>
      <c r="K27" s="25"/>
      <c r="L27" s="25"/>
      <c r="M27" s="25"/>
      <c r="N27" s="25"/>
      <c r="O27" s="25"/>
      <c r="P27" s="25"/>
      <c r="Q27" s="25"/>
      <c r="R27" s="25"/>
      <c r="S27" s="2" t="str">
        <f t="shared" si="2"/>
        <v>T-34最终</v>
      </c>
      <c r="T27" s="2">
        <f>IF(COUNTIF(U$4:U26,U26)&gt;=$B$3,T26+1,T26)</f>
        <v>12</v>
      </c>
      <c r="U27" s="2" t="str">
        <f t="shared" si="3"/>
        <v>T-34</v>
      </c>
      <c r="V27" s="2" t="str">
        <f>VLOOKUP(U27,坦克个性化设定!$B$18:$F$48,5,FALSE)</f>
        <v>中坦自动</v>
      </c>
      <c r="W27" s="29" t="str">
        <f>VLOOKUP(U27,坦克个性化细分!$I$3:$J$33,2,FALSE)</f>
        <v>低</v>
      </c>
      <c r="X27" s="2" t="str">
        <f t="shared" si="16"/>
        <v>最终</v>
      </c>
      <c r="Y27" s="2" t="str">
        <f>VLOOKUP(VLOOKUP(U27,坦克个性化设定!$B$18:$F$48,4,FALSE)&amp;W27,坦克等级成长!$P$12:$U$24,MATCH(X27,坦克等级成长!$P$12:$U$12,0),FALSE)</f>
        <v>T2低4</v>
      </c>
      <c r="Z27" s="42">
        <f ca="1">VLOOKUP($Y27,INDIRECT($V27&amp;"_阶段属性"),MATCH(Z$3,属性标头_阶段属性,0),FALSE)*VLOOKUP($U27,坦克个性化设定!$B$84:$D$114,2,FALSE)</f>
        <v>1313.0604800144677</v>
      </c>
      <c r="AA27" s="42">
        <f ca="1">VLOOKUP($Y27,INDIRECT($V27&amp;"_阶段属性"),MATCH(AA$3,属性标头_阶段属性,0),FALSE)*VLOOKUP($U27,坦克个性化设定!$B$84:$D$114,3,FALSE)</f>
        <v>186.10044744812546</v>
      </c>
      <c r="AB27" s="2">
        <f t="shared" ca="1" si="18"/>
        <v>559</v>
      </c>
      <c r="AC27" s="2">
        <f t="shared" ca="1" si="18"/>
        <v>419</v>
      </c>
      <c r="AD27" s="2">
        <f t="shared" ca="1" si="18"/>
        <v>612</v>
      </c>
      <c r="AE27" s="2">
        <f t="shared" ca="1" si="18"/>
        <v>147</v>
      </c>
      <c r="AF27" s="25"/>
      <c r="AH27" s="2">
        <v>24</v>
      </c>
      <c r="AI27" s="2" t="str">
        <f t="shared" si="5"/>
        <v>黑豹</v>
      </c>
      <c r="AJ27" s="2">
        <f>VLOOKUP($AI27,坦克个性化细分!$I$3:$P$33,MATCH(AJ$3,坦克个性化细分!$I$3:$P$3,0),FALSE)</f>
        <v>30.7</v>
      </c>
      <c r="AK27" s="2">
        <f>VLOOKUP($AI27,坦克个性化细分!$I$3:$P$33,MATCH(AK$3,坦克个性化细分!$I$3:$P$3,0),FALSE)</f>
        <v>33.6</v>
      </c>
      <c r="AL27" s="2">
        <f>VLOOKUP($AI27,坦克个性化细分!$I$3:$P$33,MATCH(AL$3,坦克个性化细分!$I$3:$P$3,0),FALSE)</f>
        <v>6.3</v>
      </c>
      <c r="AM27" s="34">
        <f>VLOOKUP(AI27,坦克个性化细分!$AA$3:$AP$33,MATCH("射击偏移角",坦克个性化细分!$AA$3:$AP$3,0),FALSE)/VLOOKUP(AI27,坦克个性化细分!$AA$3:$AP$33,MATCH("原瞄准速度",坦克个性化细分!$AA$3:$AP$3,0),FALSE)</f>
        <v>3</v>
      </c>
      <c r="AN27" s="34">
        <f>VLOOKUP(AI27,坦克个性化细分!$AA$3:$AP$33,MATCH(AN$3,坦克个性化细分!$AA$3:$AP$3,0),FALSE)</f>
        <v>0</v>
      </c>
      <c r="AO27" s="2">
        <f>VLOOKUP(AI27,坦克个性化细分!$AA$3:$AP$33,MATCH("原换弹时间",坦克个性化细分!$AA$3:$AP$3,0),FALSE)</f>
        <v>6</v>
      </c>
      <c r="AP27" s="133"/>
      <c r="AQ27" s="2">
        <v>24</v>
      </c>
      <c r="AR27" s="2" t="str">
        <f t="shared" si="6"/>
        <v>黑豹</v>
      </c>
      <c r="AS27" s="2" t="s">
        <v>88</v>
      </c>
      <c r="AT27" s="34">
        <f>VLOOKUP(AR27,坦克个性化细分!$I$3:$P$33,MATCH("养成区间1",坦克个性化细分!$I$3:$P$3,0),FALSE)</f>
        <v>7.674999999999998</v>
      </c>
      <c r="AU27" s="2">
        <f>VLOOKUP(AR27,坦克个性化细分!$I$3:$P$33,MATCH("养成区间2",坦克个性化细分!$I$3:$P$3,0),FALSE)</f>
        <v>8.3999999999999986</v>
      </c>
      <c r="AV27" s="2">
        <f>VLOOKUP(AR27,坦克个性化细分!$I$3:$P$33,MATCH("养成区间3",坦克个性化细分!$I$3:$P$3,0),FALSE)</f>
        <v>0</v>
      </c>
      <c r="AW27" s="34">
        <f>VLOOKUP(AR27,坦克个性化细分!$AA$3:$AP$33,MATCH("瞄准区间",坦克个性化细分!$AA$3:$AP$3,0),FALSE)</f>
        <v>0.5</v>
      </c>
      <c r="AX27" s="34">
        <f>VLOOKUP(AI27,坦克个性化细分!$AA$3:$AP$33,MATCH("后射击间隔",坦克个性化细分!$AA$3:$AP$3,0),FALSE)-VLOOKUP(AI27,坦克个性化细分!$AA$3:$AP$33,MATCH(AN$3,坦克个性化细分!$AA$3:$AP$3,0),FALSE)</f>
        <v>0</v>
      </c>
      <c r="AY27" s="34">
        <f>VLOOKUP(AR27,坦克个性化细分!$AA$3:$AP$33,MATCH("换弹区间",坦克个性化细分!$AA$3:$AP$3,0),FALSE)</f>
        <v>0.84978540772532085</v>
      </c>
      <c r="AZ27" s="133"/>
      <c r="BA27" s="34">
        <f t="shared" si="8"/>
        <v>0.24999999999999994</v>
      </c>
      <c r="BB27" s="34">
        <f t="shared" si="9"/>
        <v>0.24999999999999994</v>
      </c>
      <c r="BC27" s="34">
        <f t="shared" si="10"/>
        <v>0</v>
      </c>
      <c r="BD27" s="34">
        <f t="shared" si="11"/>
        <v>0.16666666666666666</v>
      </c>
      <c r="BE27" s="34">
        <f t="shared" si="12"/>
        <v>0.14163090128755348</v>
      </c>
      <c r="BF27" s="34"/>
      <c r="BG27" s="133"/>
      <c r="BH27" s="2" t="str">
        <f t="shared" si="13"/>
        <v>35(t)1</v>
      </c>
      <c r="BI27" s="2">
        <f>IF(BL26&gt;=VLOOKUP(VLOOKUP(BJ26,坦克个性化设定!$B$18:$E$48,4,FALSE)&amp;BK26,坦克属性分配比例,MATCH("升星次数",坦克属性分配比例标头,0),FALSE),BI26+1,BI26)</f>
        <v>4</v>
      </c>
      <c r="BJ27" s="2" t="str">
        <f t="shared" si="14"/>
        <v>35(t)</v>
      </c>
      <c r="BK27" s="29" t="str">
        <f>VLOOKUP(BJ27,坦克个性化细分!$I$3:$J$33,2,FALSE)</f>
        <v>低</v>
      </c>
      <c r="BL27" s="2">
        <f t="shared" si="7"/>
        <v>1</v>
      </c>
      <c r="BM27" s="103">
        <f ca="1">ROUND(VLOOKUP($BJ27&amp;"初始",$S$3:$AE$63,MATCH(BM$3,$S$3:$AE$3,0),FALSE)+((VLOOKUP($BJ27&amp;"最终",$S$3:$AE$63,MATCH(BM$3,$S$3:$AE$3,0),FALSE)*坦克个性化细分!$C$9-VLOOKUP($BJ27&amp;"初始",$S$3:$AE$63,MATCH(BM$3,$S$3:$AE$3,0),FALSE))-(VLOOKUP($BJ27&amp;"最终",$S$3:$AE$63,MATCH(BM$3,$S$3:$AE$3,0),FALSE)-VLOOKUP($BJ27&amp;"初始",$S$3:$AE$63,MATCH(BM$3,$S$3:$AE$3,0),FALSE))*VLOOKUP(VLOOKUP($BJ27,坦克个性化设定!$B$18:$E$48,4,FALSE)&amp;$BK27,坦克属性分配比例,MATCH("部件比例",坦克属性分配比例标头,0),FALSE))*$BL27/VLOOKUP(VLOOKUP($BJ27,坦克个性化设定!$B$18:$E$48,4,FALSE)&amp;$BK27,坦克属性分配比例,MATCH("升星次数",坦克属性分配比例标头,0),FALSE),0)</f>
        <v>1267</v>
      </c>
      <c r="BN27" s="103">
        <f ca="1">ROUND(VLOOKUP($BJ27&amp;"初始",$S$3:$AE$63,MATCH(BN$3,$S$3:$AE$3,0),FALSE)+(VLOOKUP($BJ27&amp;"最终",$S$3:$AE$63,MATCH(BN$3,$S$3:$AE$3,0),FALSE)-VLOOKUP($BJ27&amp;"初始",$S$3:$AE$63,MATCH(BN$3,$S$3:$AE$3,0),FALSE))*$BL27/VLOOKUP(VLOOKUP($BJ27,坦克个性化设定!$B$18:$E$48,4,FALSE)&amp;$BK27,坦克属性分配比例,MATCH("升星次数",坦克属性分配比例标头,0),FALSE)*VLOOKUP(VLOOKUP($BJ27,坦克个性化设定!$B$18:$E$48,4,FALSE)&amp;$BK27,坦克属性分配比例,MATCH("升星比例",坦克属性分配比例标头,0),FALSE),0)</f>
        <v>104</v>
      </c>
      <c r="BO27" s="103">
        <f ca="1">ROUND(VLOOKUP($BJ27&amp;"初始",$S$3:$AE$63,MATCH(BO$3,$S$3:$AE$3,0),FALSE)+(VLOOKUP($BJ27&amp;"最终",$S$3:$AE$63,MATCH(BO$3,$S$3:$AE$3,0),FALSE)-VLOOKUP($BJ27&amp;"初始",$S$3:$AE$63,MATCH(BO$3,$S$3:$AE$3,0),FALSE))*$BL27/VLOOKUP(VLOOKUP($BJ27,坦克个性化设定!$B$18:$E$48,4,FALSE)&amp;$BK27,坦克属性分配比例,MATCH("升星次数",坦克属性分配比例标头,0),FALSE)*(VLOOKUP(VLOOKUP($BJ27,坦克个性化设定!$B$18:$E$48,4,FALSE)&amp;$BK27,坦克属性分配比例,MATCH("升星比例",坦克属性分配比例标头,0),FALSE)+VLOOKUP(VLOOKUP($BJ27,坦克个性化设定!$B$18:$E$48,4,FALSE)&amp;$BK27,坦克属性分配比例,MATCH("部件比例",坦克属性分配比例标头,0),FALSE)*$C$3),0)</f>
        <v>507</v>
      </c>
      <c r="BP27" s="103">
        <f ca="1">ROUND(VLOOKUP($BJ27&amp;"初始",$S$3:$AE$63,MATCH(BP$3,$S$3:$AE$3,0),FALSE)+(VLOOKUP($BJ27&amp;"最终",$S$3:$AE$63,MATCH(BP$3,$S$3:$AE$3,0),FALSE)-VLOOKUP($BJ27&amp;"初始",$S$3:$AE$63,MATCH(BP$3,$S$3:$AE$3,0),FALSE))*$BL27/VLOOKUP(VLOOKUP($BJ27,坦克个性化设定!$B$18:$E$48,4,FALSE)&amp;$BK27,坦克属性分配比例,MATCH("升星次数",坦克属性分配比例标头,0),FALSE)*(VLOOKUP(VLOOKUP($BJ27,坦克个性化设定!$B$18:$E$48,4,FALSE)&amp;$BK27,坦克属性分配比例,MATCH("升星比例",坦克属性分配比例标头,0),FALSE)+VLOOKUP(VLOOKUP($BJ27,坦克个性化设定!$B$18:$E$48,4,FALSE)&amp;$BK27,坦克属性分配比例,MATCH("部件比例",坦克属性分配比例标头,0),FALSE)*$C$3),0)</f>
        <v>355</v>
      </c>
      <c r="BQ27" s="103">
        <f ca="1">ROUND(VLOOKUP($BJ27&amp;"初始",$S$3:$AE$63,MATCH(BQ$3,$S$3:$AE$3,0),FALSE)+(VLOOKUP($BJ27&amp;"最终",$S$3:$AE$63,MATCH(BQ$3,$S$3:$AE$3,0),FALSE)-VLOOKUP($BJ27&amp;"初始",$S$3:$AE$63,MATCH(BQ$3,$S$3:$AE$3,0),FALSE))*$BL27/VLOOKUP(VLOOKUP($BJ27,坦克个性化设定!$B$18:$E$48,4,FALSE)&amp;$BK27,坦克属性分配比例,MATCH("升星次数",坦克属性分配比例标头,0),FALSE)*VLOOKUP(VLOOKUP($BJ27,坦克个性化设定!$B$18:$E$48,4,FALSE)&amp;$BK27,坦克属性分配比例,MATCH("升星比例",坦克属性分配比例标头,0),FALSE),0)</f>
        <v>458</v>
      </c>
      <c r="BR27" s="2">
        <f ca="1">ROUND(VLOOKUP($BJ27&amp;"初始",$S$3:$AE$63,MATCH(BR$3,$S$3:$AE$3,0),FALSE)+(VLOOKUP($BJ27&amp;"最终",$S$3:$AE$63,MATCH(BR$3,$S$3:$AE$3,0),FALSE)-VLOOKUP($BJ27&amp;"初始",$S$3:$AE$63,MATCH(BR$3,$S$3:$AE$3,0),FALSE))*$BL27/VLOOKUP(VLOOKUP($BJ27,坦克个性化设定!$B$18:$E$48,4,FALSE)&amp;$BK27,坦克属性分配比例,MATCH("升星次数",坦克属性分配比例标头,0),FALSE),0)</f>
        <v>124</v>
      </c>
      <c r="BS27" s="2">
        <f>ROUND(VLOOKUP($BJ27,$AI$3:$AO$33,MATCH(BS$3,$AI$3:$AO$3,0),FALSE)+$BL27/VLOOKUP(VLOOKUP($BJ27,坦克个性化设定!$B$18:$E$48,4,FALSE)&amp;$BK27,坦克属性分配比例,MATCH("升星次数",坦克属性分配比例标头,0),FALSE)*VLOOKUP($BJ27,$AR$3:$AY$33,MATCH(BS$3,$AR$3:$AY$3,0),FALSE),1)</f>
        <v>43.6</v>
      </c>
      <c r="BT27" s="2">
        <f>ROUND(VLOOKUP($BJ27,$AI$3:$AO$33,MATCH(BT$3,$AI$3:$AO$3,0),FALSE)+$BL27/VLOOKUP(VLOOKUP($BJ27,坦克个性化设定!$B$18:$E$48,4,FALSE)&amp;$BK27,坦克属性分配比例,MATCH("升星次数",坦克属性分配比例标头,0),FALSE)*VLOOKUP($BJ27,$AR$3:$AY$33,MATCH(BT$3,$AR$3:$AY$3,0),FALSE),1)</f>
        <v>51.4</v>
      </c>
      <c r="BU27" s="2">
        <f>ROUND(VLOOKUP($BJ27,$AI$3:$AO$33,MATCH(BU$3,$AI$3:$AO$3,0),FALSE)+$BL27/VLOOKUP(VLOOKUP($BJ27,坦克个性化设定!$B$18:$E$48,4,FALSE)&amp;$BK27,坦克属性分配比例,MATCH("升星次数",坦克属性分配比例标头,0),FALSE)*VLOOKUP($BJ27,$AR$3:$AY$33,MATCH(BU$3,$AR$3:$AY$3,0),FALSE),1)</f>
        <v>10</v>
      </c>
      <c r="BV27" s="2">
        <f>IF(VLOOKUP(BJ27,坦克个性化设定!$B$18:$BC$48,MATCH("装弹类型",坦克个性化设定!$B$18:$BC$18,0),FALSE)="弹夹换弹",0,ROUND(VLOOKUP($BJ27,$AI$3:$AO$33,MATCH("换弹时间",$AI$3:$AO$3,0),FALSE)-$BL27/VLOOKUP(VLOOKUP($BJ27,坦克个性化设定!$B$18:$E$48,4,FALSE)&amp;$BK27,坦克属性分配比例,MATCH("升星次数",坦克属性分配比例标头,0),FALSE)*VLOOKUP($BJ27,$AR$3:$AY$33,MATCH("换弹时间",$AR$3:$AY$3,0),FALSE),2))</f>
        <v>0</v>
      </c>
      <c r="BW27" s="2">
        <f>IF(VLOOKUP(BJ27,坦克个性化设定!$B$18:$BC$48,MATCH("装弹类型",坦克个性化设定!$B$18:$BC$18,0),FALSE)="弹夹换弹",ROUND(VLOOKUP($BJ27,$AI$3:$AO$33,MATCH("换弹时间",$AI$3:$AO$3,0),FALSE)-$BL27/VLOOKUP(VLOOKUP($BJ27,坦克个性化设定!$B$18:$E$48,4,FALSE)&amp;$BK27,坦克属性分配比例,MATCH("升星次数",坦克属性分配比例标头,0),FALSE)*VLOOKUP($BJ27,$AR$3:$AY$33,MATCH("换弹时间",$AR$3:$AY$3,0),FALSE),1),0)</f>
        <v>6.1</v>
      </c>
      <c r="BX27" s="2">
        <f>ROUND(VLOOKUP($BJ27,$AI$3:$AO$33,MATCH(BX$3,$AI$3:$AO$3,0),FALSE)+$BL27/VLOOKUP(VLOOKUP($BJ27,坦克个性化设定!$B$18:$E$48,4,FALSE)&amp;$BK27,坦克属性分配比例,MATCH("升星次数",坦克属性分配比例标头,0),FALSE)*VLOOKUP($BJ27,$AR$3:$AY$33,MATCH(BX$3,$AR$3:$AY$3,0),FALSE),2)</f>
        <v>0.8</v>
      </c>
      <c r="BY27" s="2">
        <f>ROUND(VLOOKUP($BJ27,$AI$3:$AO$33,MATCH(BY$3,$AI$3:$AO$3,0),FALSE)-$BL27/VLOOKUP(VLOOKUP($BJ27,坦克个性化设定!$B$18:$E$48,4,FALSE)&amp;$BK27,坦克属性分配比例,MATCH("升星次数",坦克属性分配比例标头,0),FALSE)*VLOOKUP($BJ27,$AR$3:$AY$33,MATCH(BY$3,$AR$3:$AY$3,0),FALSE),2)</f>
        <v>0.51</v>
      </c>
      <c r="CA27" s="2">
        <v>24</v>
      </c>
      <c r="CB27" s="2" t="str">
        <f t="shared" si="15"/>
        <v>黑豹</v>
      </c>
      <c r="CC27" s="2" t="str">
        <f>VLOOKUP(CB27,坦克个性化设定!$B$18:$F$48,5,FALSE)</f>
        <v>重坦单发</v>
      </c>
      <c r="CD27" s="29" t="str">
        <f>VLOOKUP(CB27,坦克个性化细分!$I$3:$J$33,2,FALSE)</f>
        <v>低</v>
      </c>
      <c r="CE27" s="42">
        <f ca="1">(VLOOKUP($CB27&amp;"最终",$S$3:$AE$63,MATCH(CE$3,$S$3:$AE$3,0),FALSE)-VLOOKUP($CB27&amp;"初始",$S$3:$AE$63,MATCH(CE$3,$S$3:$AE$3,0),FALSE))*VLOOKUP(VLOOKUP($CB27,坦克个性化设定!$B$18:$E$48,4,FALSE)&amp;$CD27,坦克属性分配比例,MATCH("部件比例",坦克属性分配比例标头,0),FALSE)</f>
        <v>252.12875102144437</v>
      </c>
      <c r="CF27" s="42">
        <f ca="1">(VLOOKUP($CB27&amp;"最终",$S$3:$AE$63,MATCH(CF$3,$S$3:$AE$3,0),FALSE)-VLOOKUP($CB27&amp;"初始",$S$3:$AE$63,MATCH(CF$3,$S$3:$AE$3,0),FALSE))*VLOOKUP(VLOOKUP($CB27,坦克个性化设定!$B$18:$E$48,4,FALSE)&amp;$CD27,坦克属性分配比例,MATCH("部件比例",坦克属性分配比例标头,0),FALSE)</f>
        <v>97.483527366180994</v>
      </c>
      <c r="CG27" s="42">
        <f ca="1">(VLOOKUP($CB27&amp;"最终",$S$3:$AE$63,MATCH(CG$3,$S$3:$AE$3,0),FALSE)-VLOOKUP($CB27&amp;"初始",$S$3:$AE$63,MATCH(CG$3,$S$3:$AE$3,0),FALSE))*VLOOKUP(VLOOKUP($CB27,坦克个性化设定!$B$18:$E$48,4,FALSE)&amp;$CD27,坦克属性分配比例,MATCH("部件比例",坦克属性分配比例标头,0),FALSE)*(1-$C$3)</f>
        <v>34.720000000000006</v>
      </c>
      <c r="CH27" s="42">
        <f ca="1">(VLOOKUP($CB27&amp;"最终",$S$3:$AE$63,MATCH(CH$3,$S$3:$AE$3,0),FALSE)-VLOOKUP($CB27&amp;"初始",$S$3:$AE$63,MATCH(CH$3,$S$3:$AE$3,0),FALSE))*VLOOKUP(VLOOKUP($CB27,坦克个性化设定!$B$18:$E$48,4,FALSE)&amp;$CD27,坦克属性分配比例,MATCH("部件比例",坦克属性分配比例标头,0),FALSE)*(1-$C$3)</f>
        <v>27.840000000000003</v>
      </c>
      <c r="CI27" s="42">
        <f ca="1">(VLOOKUP($CB27&amp;"最终",$S$3:$AE$63,MATCH(CI$3,$S$3:$AE$3,0),FALSE)-VLOOKUP($CB27&amp;"初始",$S$3:$AE$63,MATCH(CI$3,$S$3:$AE$3,0),FALSE))*VLOOKUP(VLOOKUP($CB27,坦克个性化设定!$B$18:$E$48,4,FALSE)&amp;$CD27,坦克属性分配比例,MATCH("部件比例",坦克属性分配比例标头,0),FALSE)</f>
        <v>115.60000000000001</v>
      </c>
    </row>
    <row r="28" spans="2:87" x14ac:dyDescent="0.3">
      <c r="B28" s="2">
        <v>23</v>
      </c>
      <c r="C28" s="2" t="str">
        <f>坦克个性化设定!B41</f>
        <v>丘吉尔</v>
      </c>
      <c r="D28" s="2">
        <v>3221</v>
      </c>
      <c r="E28" s="2" t="s">
        <v>656</v>
      </c>
      <c r="F28" s="2">
        <v>1</v>
      </c>
      <c r="G28" s="25" t="str">
        <f t="shared" si="17"/>
        <v>丘吉尔</v>
      </c>
      <c r="H28" s="25"/>
      <c r="I28" s="25"/>
      <c r="J28" s="25"/>
      <c r="K28" s="25"/>
      <c r="L28" s="25"/>
      <c r="M28" s="25"/>
      <c r="N28" s="25"/>
      <c r="O28" s="25"/>
      <c r="P28" s="25"/>
      <c r="Q28" s="25"/>
      <c r="R28" s="25"/>
      <c r="S28" s="2" t="str">
        <f t="shared" si="2"/>
        <v>四号初始</v>
      </c>
      <c r="T28" s="2">
        <f>IF(COUNTIF(U$4:U27,U27)&gt;=$B$3,T27+1,T27)</f>
        <v>13</v>
      </c>
      <c r="U28" s="2" t="str">
        <f t="shared" si="3"/>
        <v>四号</v>
      </c>
      <c r="V28" s="2" t="str">
        <f>VLOOKUP(U28,坦克个性化设定!$B$18:$F$48,5,FALSE)</f>
        <v>中坦自动</v>
      </c>
      <c r="W28" s="29" t="str">
        <f>VLOOKUP(U28,坦克个性化细分!$I$3:$J$33,2,FALSE)</f>
        <v>中</v>
      </c>
      <c r="X28" s="2" t="str">
        <f t="shared" si="16"/>
        <v>初始</v>
      </c>
      <c r="Y28" s="2" t="str">
        <f>VLOOKUP(VLOOKUP(U28,坦克个性化设定!$B$18:$F$48,4,FALSE)&amp;W28,坦克等级成长!$P$12:$U$24,MATCH(X28,坦克等级成长!$P$12:$U$12,0),FALSE)</f>
        <v>T2中2</v>
      </c>
      <c r="Z28" s="42">
        <f ca="1">VLOOKUP($Y28,INDIRECT($V28&amp;"_阶段属性"),MATCH(Z$3,属性标头_阶段属性,0),FALSE)*VLOOKUP($U28,坦克个性化设定!$B$84:$D$114,2,FALSE)</f>
        <v>1007.1630773046211</v>
      </c>
      <c r="AA28" s="42">
        <f ca="1">VLOOKUP($Y28,INDIRECT($V28&amp;"_阶段属性"),MATCH(AA$3,属性标头_阶段属性,0),FALSE)*VLOOKUP($U28,坦克个性化设定!$B$84:$D$114,3,FALSE)</f>
        <v>132.85375832436742</v>
      </c>
      <c r="AB28" s="2">
        <f t="shared" ca="1" si="18"/>
        <v>401</v>
      </c>
      <c r="AC28" s="2">
        <f t="shared" ca="1" si="18"/>
        <v>301</v>
      </c>
      <c r="AD28" s="2">
        <f t="shared" ca="1" si="18"/>
        <v>439</v>
      </c>
      <c r="AE28" s="2">
        <f t="shared" ca="1" si="18"/>
        <v>105</v>
      </c>
      <c r="AF28" s="25"/>
      <c r="AH28" s="2">
        <v>25</v>
      </c>
      <c r="AI28" s="2" t="str">
        <f t="shared" si="5"/>
        <v>虎式</v>
      </c>
      <c r="AJ28" s="2">
        <f>VLOOKUP($AI28,坦克个性化细分!$I$3:$P$33,MATCH(AJ$3,坦克个性化细分!$I$3:$P$3,0),FALSE)</f>
        <v>31.3</v>
      </c>
      <c r="AK28" s="2">
        <f>VLOOKUP($AI28,坦克个性化细分!$I$3:$P$33,MATCH(AK$3,坦克个性化细分!$I$3:$P$3,0),FALSE)</f>
        <v>35.700000000000003</v>
      </c>
      <c r="AL28" s="2">
        <f>VLOOKUP($AI28,坦克个性化细分!$I$3:$P$33,MATCH(AL$3,坦克个性化细分!$I$3:$P$3,0),FALSE)</f>
        <v>6.4</v>
      </c>
      <c r="AM28" s="34">
        <f>VLOOKUP(AI28,坦克个性化细分!$AA$3:$AP$33,MATCH("射击偏移角",坦克个性化细分!$AA$3:$AP$3,0),FALSE)/VLOOKUP(AI28,坦克个性化细分!$AA$3:$AP$33,MATCH("原瞄准速度",坦克个性化细分!$AA$3:$AP$3,0),FALSE)</f>
        <v>3</v>
      </c>
      <c r="AN28" s="34">
        <f>VLOOKUP(AI28,坦克个性化细分!$AA$3:$AP$33,MATCH(AN$3,坦克个性化细分!$AA$3:$AP$3,0),FALSE)</f>
        <v>0</v>
      </c>
      <c r="AO28" s="2">
        <f>VLOOKUP(AI28,坦克个性化细分!$AA$3:$AP$33,MATCH("原换弹时间",坦克个性化细分!$AA$3:$AP$3,0),FALSE)</f>
        <v>6</v>
      </c>
      <c r="AP28" s="133"/>
      <c r="AQ28" s="2">
        <v>25</v>
      </c>
      <c r="AR28" s="2" t="str">
        <f t="shared" si="6"/>
        <v>虎式</v>
      </c>
      <c r="AS28" s="2" t="s">
        <v>88</v>
      </c>
      <c r="AT28" s="34">
        <f>VLOOKUP(AR28,坦克个性化细分!$I$3:$P$33,MATCH("养成区间1",坦克个性化细分!$I$3:$P$3,0),FALSE)</f>
        <v>7.8249999999999984</v>
      </c>
      <c r="AU28" s="2">
        <f>VLOOKUP(AR28,坦克个性化细分!$I$3:$P$33,MATCH("养成区间2",坦克个性化细分!$I$3:$P$3,0),FALSE)</f>
        <v>8.9249999999999972</v>
      </c>
      <c r="AV28" s="2">
        <f>VLOOKUP(AR28,坦克个性化细分!$I$3:$P$33,MATCH("养成区间3",坦克个性化细分!$I$3:$P$3,0),FALSE)</f>
        <v>0</v>
      </c>
      <c r="AW28" s="34">
        <f>VLOOKUP(AR28,坦克个性化细分!$AA$3:$AP$33,MATCH("瞄准区间",坦克个性化细分!$AA$3:$AP$3,0),FALSE)</f>
        <v>0.5</v>
      </c>
      <c r="AX28" s="34">
        <f>VLOOKUP(AI28,坦克个性化细分!$AA$3:$AP$33,MATCH("后射击间隔",坦克个性化细分!$AA$3:$AP$3,0),FALSE)-VLOOKUP(AI28,坦克个性化细分!$AA$3:$AP$33,MATCH(AN$3,坦克个性化细分!$AA$3:$AP$3,0),FALSE)</f>
        <v>0</v>
      </c>
      <c r="AY28" s="34">
        <f>VLOOKUP(AR28,坦克个性化细分!$AA$3:$AP$33,MATCH("换弹区间",坦克个性化细分!$AA$3:$AP$3,0),FALSE)</f>
        <v>0.84978540772532085</v>
      </c>
      <c r="AZ28" s="133"/>
      <c r="BA28" s="34">
        <f t="shared" si="8"/>
        <v>0.24999999999999994</v>
      </c>
      <c r="BB28" s="34">
        <f t="shared" si="9"/>
        <v>0.24999999999999989</v>
      </c>
      <c r="BC28" s="34">
        <f t="shared" si="10"/>
        <v>0</v>
      </c>
      <c r="BD28" s="34">
        <f t="shared" si="11"/>
        <v>0.16666666666666666</v>
      </c>
      <c r="BE28" s="34">
        <f t="shared" si="12"/>
        <v>0.14163090128755348</v>
      </c>
      <c r="BF28" s="34"/>
      <c r="BG28" s="133"/>
      <c r="BH28" s="2" t="str">
        <f t="shared" si="13"/>
        <v>35(t)2</v>
      </c>
      <c r="BI28" s="2">
        <f>IF(BL27&gt;=VLOOKUP(VLOOKUP(BJ27,坦克个性化设定!$B$18:$E$48,4,FALSE)&amp;BK27,坦克属性分配比例,MATCH("升星次数",坦克属性分配比例标头,0),FALSE),BI27+1,BI27)</f>
        <v>4</v>
      </c>
      <c r="BJ28" s="2" t="str">
        <f t="shared" si="14"/>
        <v>35(t)</v>
      </c>
      <c r="BK28" s="29" t="str">
        <f>VLOOKUP(BJ28,坦克个性化细分!$I$3:$J$33,2,FALSE)</f>
        <v>低</v>
      </c>
      <c r="BL28" s="2">
        <f t="shared" si="7"/>
        <v>2</v>
      </c>
      <c r="BM28" s="103">
        <f ca="1">ROUND(VLOOKUP($BJ28&amp;"初始",$S$3:$AE$63,MATCH(BM$3,$S$3:$AE$3,0),FALSE)+((VLOOKUP($BJ28&amp;"最终",$S$3:$AE$63,MATCH(BM$3,$S$3:$AE$3,0),FALSE)*坦克个性化细分!$C$9-VLOOKUP($BJ28&amp;"初始",$S$3:$AE$63,MATCH(BM$3,$S$3:$AE$3,0),FALSE))-(VLOOKUP($BJ28&amp;"最终",$S$3:$AE$63,MATCH(BM$3,$S$3:$AE$3,0),FALSE)-VLOOKUP($BJ28&amp;"初始",$S$3:$AE$63,MATCH(BM$3,$S$3:$AE$3,0),FALSE))*VLOOKUP(VLOOKUP($BJ28,坦克个性化设定!$B$18:$E$48,4,FALSE)&amp;$BK28,坦克属性分配比例,MATCH("部件比例",坦克属性分配比例标头,0),FALSE))*$BL28/VLOOKUP(VLOOKUP($BJ28,坦克个性化设定!$B$18:$E$48,4,FALSE)&amp;$BK28,坦克属性分配比例,MATCH("升星次数",坦克属性分配比例标头,0),FALSE),0)</f>
        <v>1331</v>
      </c>
      <c r="BN28" s="103">
        <f ca="1">ROUND(VLOOKUP($BJ28&amp;"初始",$S$3:$AE$63,MATCH(BN$3,$S$3:$AE$3,0),FALSE)+(VLOOKUP($BJ28&amp;"最终",$S$3:$AE$63,MATCH(BN$3,$S$3:$AE$3,0),FALSE)-VLOOKUP($BJ28&amp;"初始",$S$3:$AE$63,MATCH(BN$3,$S$3:$AE$3,0),FALSE))*$BL28/VLOOKUP(VLOOKUP($BJ28,坦克个性化设定!$B$18:$E$48,4,FALSE)&amp;$BK28,坦克属性分配比例,MATCH("升星次数",坦克属性分配比例标头,0),FALSE)*VLOOKUP(VLOOKUP($BJ28,坦克个性化设定!$B$18:$E$48,4,FALSE)&amp;$BK28,坦克属性分配比例,MATCH("升星比例",坦克属性分配比例标头,0),FALSE),0)</f>
        <v>107</v>
      </c>
      <c r="BO28" s="103">
        <f ca="1">ROUND(VLOOKUP($BJ28&amp;"初始",$S$3:$AE$63,MATCH(BO$3,$S$3:$AE$3,0),FALSE)+(VLOOKUP($BJ28&amp;"最终",$S$3:$AE$63,MATCH(BO$3,$S$3:$AE$3,0),FALSE)-VLOOKUP($BJ28&amp;"初始",$S$3:$AE$63,MATCH(BO$3,$S$3:$AE$3,0),FALSE))*$BL28/VLOOKUP(VLOOKUP($BJ28,坦克个性化设定!$B$18:$E$48,4,FALSE)&amp;$BK28,坦克属性分配比例,MATCH("升星次数",坦克属性分配比例标头,0),FALSE)*(VLOOKUP(VLOOKUP($BJ28,坦克个性化设定!$B$18:$E$48,4,FALSE)&amp;$BK28,坦克属性分配比例,MATCH("升星比例",坦克属性分配比例标头,0),FALSE)+VLOOKUP(VLOOKUP($BJ28,坦克个性化设定!$B$18:$E$48,4,FALSE)&amp;$BK28,坦克属性分配比例,MATCH("部件比例",坦克属性分配比例标头,0),FALSE)*$C$3),0)</f>
        <v>528</v>
      </c>
      <c r="BP28" s="103">
        <f ca="1">ROUND(VLOOKUP($BJ28&amp;"初始",$S$3:$AE$63,MATCH(BP$3,$S$3:$AE$3,0),FALSE)+(VLOOKUP($BJ28&amp;"最终",$S$3:$AE$63,MATCH(BP$3,$S$3:$AE$3,0),FALSE)-VLOOKUP($BJ28&amp;"初始",$S$3:$AE$63,MATCH(BP$3,$S$3:$AE$3,0),FALSE))*$BL28/VLOOKUP(VLOOKUP($BJ28,坦克个性化设定!$B$18:$E$48,4,FALSE)&amp;$BK28,坦克属性分配比例,MATCH("升星次数",坦克属性分配比例标头,0),FALSE)*(VLOOKUP(VLOOKUP($BJ28,坦克个性化设定!$B$18:$E$48,4,FALSE)&amp;$BK28,坦克属性分配比例,MATCH("升星比例",坦克属性分配比例标头,0),FALSE)+VLOOKUP(VLOOKUP($BJ28,坦克个性化设定!$B$18:$E$48,4,FALSE)&amp;$BK28,坦克属性分配比例,MATCH("部件比例",坦克属性分配比例标头,0),FALSE)*$C$3),0)</f>
        <v>370</v>
      </c>
      <c r="BQ28" s="103">
        <f ca="1">ROUND(VLOOKUP($BJ28&amp;"初始",$S$3:$AE$63,MATCH(BQ$3,$S$3:$AE$3,0),FALSE)+(VLOOKUP($BJ28&amp;"最终",$S$3:$AE$63,MATCH(BQ$3,$S$3:$AE$3,0),FALSE)-VLOOKUP($BJ28&amp;"初始",$S$3:$AE$63,MATCH(BQ$3,$S$3:$AE$3,0),FALSE))*$BL28/VLOOKUP(VLOOKUP($BJ28,坦克个性化设定!$B$18:$E$48,4,FALSE)&amp;$BK28,坦克属性分配比例,MATCH("升星次数",坦克属性分配比例标头,0),FALSE)*VLOOKUP(VLOOKUP($BJ28,坦克个性化设定!$B$18:$E$48,4,FALSE)&amp;$BK28,坦克属性分配比例,MATCH("升星比例",坦克属性分配比例标头,0),FALSE),0)</f>
        <v>472</v>
      </c>
      <c r="BR28" s="2">
        <f ca="1">ROUND(VLOOKUP($BJ28&amp;"初始",$S$3:$AE$63,MATCH(BR$3,$S$3:$AE$3,0),FALSE)+(VLOOKUP($BJ28&amp;"最终",$S$3:$AE$63,MATCH(BR$3,$S$3:$AE$3,0),FALSE)-VLOOKUP($BJ28&amp;"初始",$S$3:$AE$63,MATCH(BR$3,$S$3:$AE$3,0),FALSE))*$BL28/VLOOKUP(VLOOKUP($BJ28,坦克个性化设定!$B$18:$E$48,4,FALSE)&amp;$BK28,坦克属性分配比例,MATCH("升星次数",坦克属性分配比例标头,0),FALSE),0)</f>
        <v>130</v>
      </c>
      <c r="BS28" s="2">
        <f>ROUND(VLOOKUP($BJ28,$AI$3:$AO$33,MATCH(BS$3,$AI$3:$AO$3,0),FALSE)+$BL28/VLOOKUP(VLOOKUP($BJ28,坦克个性化设定!$B$18:$E$48,4,FALSE)&amp;$BK28,坦克属性分配比例,MATCH("升星次数",坦克属性分配比例标头,0),FALSE)*VLOOKUP($BJ28,$AR$3:$AY$33,MATCH(BS$3,$AR$3:$AY$3,0),FALSE),1)</f>
        <v>44.8</v>
      </c>
      <c r="BT28" s="2">
        <f>ROUND(VLOOKUP($BJ28,$AI$3:$AO$33,MATCH(BT$3,$AI$3:$AO$3,0),FALSE)+$BL28/VLOOKUP(VLOOKUP($BJ28,坦克个性化设定!$B$18:$E$48,4,FALSE)&amp;$BK28,坦克属性分配比例,MATCH("升星次数",坦克属性分配比例标头,0),FALSE)*VLOOKUP($BJ28,$AR$3:$AY$33,MATCH(BT$3,$AR$3:$AY$3,0),FALSE),1)</f>
        <v>52.8</v>
      </c>
      <c r="BU28" s="2">
        <f>ROUND(VLOOKUP($BJ28,$AI$3:$AO$33,MATCH(BU$3,$AI$3:$AO$3,0),FALSE)+$BL28/VLOOKUP(VLOOKUP($BJ28,坦克个性化设定!$B$18:$E$48,4,FALSE)&amp;$BK28,坦克属性分配比例,MATCH("升星次数",坦克属性分配比例标头,0),FALSE)*VLOOKUP($BJ28,$AR$3:$AY$33,MATCH(BU$3,$AR$3:$AY$3,0),FALSE),1)</f>
        <v>10</v>
      </c>
      <c r="BV28" s="2">
        <f>IF(VLOOKUP(BJ28,坦克个性化设定!$B$18:$BC$48,MATCH("装弹类型",坦克个性化设定!$B$18:$BC$18,0),FALSE)="弹夹换弹",0,ROUND(VLOOKUP($BJ28,$AI$3:$AO$33,MATCH("换弹时间",$AI$3:$AO$3,0),FALSE)-$BL28/VLOOKUP(VLOOKUP($BJ28,坦克个性化设定!$B$18:$E$48,4,FALSE)&amp;$BK28,坦克属性分配比例,MATCH("升星次数",坦克属性分配比例标头,0),FALSE)*VLOOKUP($BJ28,$AR$3:$AY$33,MATCH("换弹时间",$AR$3:$AY$3,0),FALSE),2))</f>
        <v>0</v>
      </c>
      <c r="BW28" s="2">
        <f>IF(VLOOKUP(BJ28,坦克个性化设定!$B$18:$BC$48,MATCH("装弹类型",坦克个性化设定!$B$18:$BC$18,0),FALSE)="弹夹换弹",ROUND(VLOOKUP($BJ28,$AI$3:$AO$33,MATCH("换弹时间",$AI$3:$AO$3,0),FALSE)-$BL28/VLOOKUP(VLOOKUP($BJ28,坦克个性化设定!$B$18:$E$48,4,FALSE)&amp;$BK28,坦克属性分配比例,MATCH("升星次数",坦克属性分配比例标头,0),FALSE)*VLOOKUP($BJ28,$AR$3:$AY$33,MATCH("换弹时间",$AR$3:$AY$3,0),FALSE),1),0)</f>
        <v>5.9</v>
      </c>
      <c r="BX28" s="2">
        <f>ROUND(VLOOKUP($BJ28,$AI$3:$AO$33,MATCH(BX$3,$AI$3:$AO$3,0),FALSE)+$BL28/VLOOKUP(VLOOKUP($BJ28,坦克个性化设定!$B$18:$E$48,4,FALSE)&amp;$BK28,坦克属性分配比例,MATCH("升星次数",坦克属性分配比例标头,0),FALSE)*VLOOKUP($BJ28,$AR$3:$AY$33,MATCH(BX$3,$AR$3:$AY$3,0),FALSE),2)</f>
        <v>0.8</v>
      </c>
      <c r="BY28" s="2">
        <f>ROUND(VLOOKUP($BJ28,$AI$3:$AO$33,MATCH(BY$3,$AI$3:$AO$3,0),FALSE)-$BL28/VLOOKUP(VLOOKUP($BJ28,坦克个性化设定!$B$18:$E$48,4,FALSE)&amp;$BK28,坦克属性分配比例,MATCH("升星次数",坦克属性分配比例标头,0),FALSE)*VLOOKUP($BJ28,$AR$3:$AY$33,MATCH(BY$3,$AR$3:$AY$3,0),FALSE),2)</f>
        <v>0.5</v>
      </c>
      <c r="CA28" s="2">
        <v>25</v>
      </c>
      <c r="CB28" s="2" t="str">
        <f t="shared" si="15"/>
        <v>虎式</v>
      </c>
      <c r="CC28" s="2" t="str">
        <f>VLOOKUP(CB28,坦克个性化设定!$B$18:$F$48,5,FALSE)</f>
        <v>重坦单发</v>
      </c>
      <c r="CD28" s="29" t="str">
        <f>VLOOKUP(CB28,坦克个性化细分!$I$3:$J$33,2,FALSE)</f>
        <v>中</v>
      </c>
      <c r="CE28" s="42">
        <f ca="1">(VLOOKUP($CB28&amp;"最终",$S$3:$AE$63,MATCH(CE$3,$S$3:$AE$3,0),FALSE)-VLOOKUP($CB28&amp;"初始",$S$3:$AE$63,MATCH(CE$3,$S$3:$AE$3,0),FALSE))*VLOOKUP(VLOOKUP($CB28,坦克个性化设定!$B$18:$E$48,4,FALSE)&amp;$CD28,坦克属性分配比例,MATCH("部件比例",坦克属性分配比例标头,0),FALSE)</f>
        <v>279.62089759977169</v>
      </c>
      <c r="CF28" s="42">
        <f ca="1">(VLOOKUP($CB28&amp;"最终",$S$3:$AE$63,MATCH(CF$3,$S$3:$AE$3,0),FALSE)-VLOOKUP($CB28&amp;"初始",$S$3:$AE$63,MATCH(CF$3,$S$3:$AE$3,0),FALSE))*VLOOKUP(VLOOKUP($CB28,坦克个性化设定!$B$18:$E$48,4,FALSE)&amp;$CD28,坦克属性分配比例,MATCH("部件比例",坦克属性分配比例标头,0),FALSE)</f>
        <v>108.54009932920258</v>
      </c>
      <c r="CG28" s="42">
        <f ca="1">(VLOOKUP($CB28&amp;"最终",$S$3:$AE$63,MATCH(CG$3,$S$3:$AE$3,0),FALSE)-VLOOKUP($CB28&amp;"初始",$S$3:$AE$63,MATCH(CG$3,$S$3:$AE$3,0),FALSE))*VLOOKUP(VLOOKUP($CB28,坦克个性化设定!$B$18:$E$48,4,FALSE)&amp;$CD28,坦克属性分配比例,MATCH("部件比例",坦克属性分配比例标头,0),FALSE)*(1-$C$3)</f>
        <v>37.28</v>
      </c>
      <c r="CH28" s="42">
        <f ca="1">(VLOOKUP($CB28&amp;"最终",$S$3:$AE$63,MATCH(CH$3,$S$3:$AE$3,0),FALSE)-VLOOKUP($CB28&amp;"初始",$S$3:$AE$63,MATCH(CH$3,$S$3:$AE$3,0),FALSE))*VLOOKUP(VLOOKUP($CB28,坦克个性化设定!$B$18:$E$48,4,FALSE)&amp;$CD28,坦克属性分配比例,MATCH("部件比例",坦克属性分配比例标头,0),FALSE)*(1-$C$3)</f>
        <v>29.760000000000005</v>
      </c>
      <c r="CI28" s="42">
        <f ca="1">(VLOOKUP($CB28&amp;"最终",$S$3:$AE$63,MATCH(CI$3,$S$3:$AE$3,0),FALSE)-VLOOKUP($CB28&amp;"初始",$S$3:$AE$63,MATCH(CI$3,$S$3:$AE$3,0),FALSE))*VLOOKUP(VLOOKUP($CB28,坦克个性化设定!$B$18:$E$48,4,FALSE)&amp;$CD28,坦克属性分配比例,MATCH("部件比例",坦克属性分配比例标头,0),FALSE)</f>
        <v>124.4</v>
      </c>
    </row>
    <row r="29" spans="2:87" x14ac:dyDescent="0.3">
      <c r="B29" s="2">
        <v>24</v>
      </c>
      <c r="C29" s="2" t="str">
        <f>坦克个性化设定!B42</f>
        <v>黑豹</v>
      </c>
      <c r="D29" s="2">
        <v>3311</v>
      </c>
      <c r="E29" s="2" t="s">
        <v>657</v>
      </c>
      <c r="F29" s="2">
        <v>1</v>
      </c>
      <c r="G29" s="25" t="str">
        <f t="shared" si="17"/>
        <v>黑豹</v>
      </c>
      <c r="H29" s="25"/>
      <c r="I29" s="25"/>
      <c r="J29" s="25"/>
      <c r="K29" s="25"/>
      <c r="L29" s="25"/>
      <c r="M29" s="25"/>
      <c r="N29" s="25"/>
      <c r="O29" s="25"/>
      <c r="P29" s="25"/>
      <c r="Q29" s="25"/>
      <c r="R29" s="25"/>
      <c r="S29" s="2" t="str">
        <f t="shared" si="2"/>
        <v>四号最终</v>
      </c>
      <c r="T29" s="2">
        <f>IF(COUNTIF(U$4:U28,U28)&gt;=$B$3,T28+1,T28)</f>
        <v>13</v>
      </c>
      <c r="U29" s="2" t="str">
        <f t="shared" si="3"/>
        <v>四号</v>
      </c>
      <c r="V29" s="2" t="str">
        <f>VLOOKUP(U29,坦克个性化设定!$B$18:$F$48,5,FALSE)</f>
        <v>中坦自动</v>
      </c>
      <c r="W29" s="29" t="str">
        <f>VLOOKUP(U29,坦克个性化细分!$I$3:$J$33,2,FALSE)</f>
        <v>中</v>
      </c>
      <c r="X29" s="2" t="str">
        <f t="shared" si="16"/>
        <v>最终</v>
      </c>
      <c r="Y29" s="2" t="str">
        <f>VLOOKUP(VLOOKUP(U29,坦克个性化设定!$B$18:$F$48,4,FALSE)&amp;W29,坦克等级成长!$P$12:$U$24,MATCH(X29,坦克等级成长!$P$12:$U$12,0),FALSE)</f>
        <v>T2中4</v>
      </c>
      <c r="Z29" s="42">
        <f ca="1">VLOOKUP($Y29,INDIRECT($V29&amp;"_阶段属性"),MATCH(Z$3,属性标头_阶段属性,0),FALSE)*VLOOKUP($U29,坦克个性化设定!$B$84:$D$114,2,FALSE)</f>
        <v>1453.8346415033468</v>
      </c>
      <c r="AA29" s="42">
        <f ca="1">VLOOKUP($Y29,INDIRECT($V29&amp;"_阶段属性"),MATCH(AA$3,属性标头_阶段属性,0),FALSE)*VLOOKUP($U29,坦克个性化设定!$B$84:$D$114,3,FALSE)</f>
        <v>191.35816565986866</v>
      </c>
      <c r="AB29" s="2">
        <f t="shared" ca="1" si="18"/>
        <v>578</v>
      </c>
      <c r="AC29" s="2">
        <f t="shared" ca="1" si="18"/>
        <v>434</v>
      </c>
      <c r="AD29" s="2">
        <f t="shared" ca="1" si="18"/>
        <v>634</v>
      </c>
      <c r="AE29" s="2">
        <f t="shared" ca="1" si="18"/>
        <v>152</v>
      </c>
      <c r="AF29" s="25"/>
      <c r="AH29" s="2">
        <v>26</v>
      </c>
      <c r="AI29" s="2" t="str">
        <f t="shared" si="5"/>
        <v>KV-2</v>
      </c>
      <c r="AJ29" s="2">
        <f>VLOOKUP($AI29,坦克个性化细分!$I$3:$P$33,MATCH(AJ$3,坦克个性化细分!$I$3:$P$3,0),FALSE)</f>
        <v>40.299999999999997</v>
      </c>
      <c r="AK29" s="2">
        <f>VLOOKUP($AI29,坦克个性化细分!$I$3:$P$33,MATCH(AK$3,坦克个性化细分!$I$3:$P$3,0),FALSE)</f>
        <v>29.4</v>
      </c>
      <c r="AL29" s="2">
        <f>VLOOKUP($AI29,坦克个性化细分!$I$3:$P$33,MATCH(AL$3,坦克个性化细分!$I$3:$P$3,0),FALSE)</f>
        <v>7.4</v>
      </c>
      <c r="AM29" s="34">
        <f>VLOOKUP(AI29,坦克个性化细分!$AA$3:$AP$33,MATCH("射击偏移角",坦克个性化细分!$AA$3:$AP$3,0),FALSE)/VLOOKUP(AI29,坦克个性化细分!$AA$3:$AP$33,MATCH("原瞄准速度",坦克个性化细分!$AA$3:$AP$3,0),FALSE)</f>
        <v>2.2500000000000004</v>
      </c>
      <c r="AN29" s="34">
        <f>VLOOKUP(AI29,坦克个性化细分!$AA$3:$AP$33,MATCH(AN$3,坦克个性化细分!$AA$3:$AP$3,0),FALSE)</f>
        <v>2</v>
      </c>
      <c r="AO29" s="2">
        <f>VLOOKUP(AI29,坦克个性化细分!$AA$3:$AP$33,MATCH("原换弹时间",坦克个性化细分!$AA$3:$AP$3,0),FALSE)</f>
        <v>4.05</v>
      </c>
      <c r="AP29" s="133"/>
      <c r="AQ29" s="2">
        <v>26</v>
      </c>
      <c r="AR29" s="2" t="str">
        <f t="shared" si="6"/>
        <v>KV-2</v>
      </c>
      <c r="AS29" s="2" t="s">
        <v>87</v>
      </c>
      <c r="AT29" s="34">
        <f>VLOOKUP(AR29,坦克个性化细分!$I$3:$P$33,MATCH("养成区间1",坦克个性化细分!$I$3:$P$3,0),FALSE)</f>
        <v>10.074999999999996</v>
      </c>
      <c r="AU29" s="2">
        <f>VLOOKUP(AR29,坦克个性化细分!$I$3:$P$33,MATCH("养成区间2",坦克个性化细分!$I$3:$P$3,0),FALSE)</f>
        <v>7.349999999999997</v>
      </c>
      <c r="AV29" s="2">
        <f>VLOOKUP(AR29,坦克个性化细分!$I$3:$P$33,MATCH("养成区间3",坦克个性化细分!$I$3:$P$3,0),FALSE)</f>
        <v>0</v>
      </c>
      <c r="AW29" s="34">
        <f>VLOOKUP(AR29,坦克个性化细分!$AA$3:$AP$33,MATCH("瞄准区间",坦克个性化细分!$AA$3:$AP$3,0),FALSE)</f>
        <v>0.37500000000000022</v>
      </c>
      <c r="AX29" s="34">
        <f>VLOOKUP(AI29,坦克个性化细分!$AA$3:$AP$33,MATCH("后射击间隔",坦克个性化细分!$AA$3:$AP$3,0),FALSE)-VLOOKUP(AI29,坦克个性化细分!$AA$3:$AP$33,MATCH(AN$3,坦克个性化细分!$AA$3:$AP$3,0),FALSE)</f>
        <v>0</v>
      </c>
      <c r="AY29" s="34">
        <f>VLOOKUP(AR29,坦克个性化细分!$AA$3:$AP$33,MATCH("换弹区间",坦克个性化细分!$AA$3:$AP$3,0),FALSE)</f>
        <v>0.58920102542191843</v>
      </c>
      <c r="AZ29" s="133"/>
      <c r="BA29" s="34">
        <f t="shared" si="8"/>
        <v>0.24999999999999992</v>
      </c>
      <c r="BB29" s="34">
        <f t="shared" si="9"/>
        <v>0.24999999999999992</v>
      </c>
      <c r="BC29" s="34">
        <f t="shared" si="10"/>
        <v>0</v>
      </c>
      <c r="BD29" s="34">
        <f t="shared" si="11"/>
        <v>0.16666666666666674</v>
      </c>
      <c r="BE29" s="34">
        <f t="shared" si="12"/>
        <v>0.14548173467207864</v>
      </c>
      <c r="BF29" s="34"/>
      <c r="BG29" s="133"/>
      <c r="BH29" s="2" t="str">
        <f t="shared" si="13"/>
        <v>35(t)3</v>
      </c>
      <c r="BI29" s="2">
        <f>IF(BL28&gt;=VLOOKUP(VLOOKUP(BJ28,坦克个性化设定!$B$18:$E$48,4,FALSE)&amp;BK28,坦克属性分配比例,MATCH("升星次数",坦克属性分配比例标头,0),FALSE),BI28+1,BI28)</f>
        <v>4</v>
      </c>
      <c r="BJ29" s="2" t="str">
        <f t="shared" si="14"/>
        <v>35(t)</v>
      </c>
      <c r="BK29" s="29" t="str">
        <f>VLOOKUP(BJ29,坦克个性化细分!$I$3:$J$33,2,FALSE)</f>
        <v>低</v>
      </c>
      <c r="BL29" s="2">
        <f t="shared" si="7"/>
        <v>3</v>
      </c>
      <c r="BM29" s="103">
        <f ca="1">ROUND(VLOOKUP($BJ29&amp;"初始",$S$3:$AE$63,MATCH(BM$3,$S$3:$AE$3,0),FALSE)+((VLOOKUP($BJ29&amp;"最终",$S$3:$AE$63,MATCH(BM$3,$S$3:$AE$3,0),FALSE)*坦克个性化细分!$C$9-VLOOKUP($BJ29&amp;"初始",$S$3:$AE$63,MATCH(BM$3,$S$3:$AE$3,0),FALSE))-(VLOOKUP($BJ29&amp;"最终",$S$3:$AE$63,MATCH(BM$3,$S$3:$AE$3,0),FALSE)-VLOOKUP($BJ29&amp;"初始",$S$3:$AE$63,MATCH(BM$3,$S$3:$AE$3,0),FALSE))*VLOOKUP(VLOOKUP($BJ29,坦克个性化设定!$B$18:$E$48,4,FALSE)&amp;$BK29,坦克属性分配比例,MATCH("部件比例",坦克属性分配比例标头,0),FALSE))*$BL29/VLOOKUP(VLOOKUP($BJ29,坦克个性化设定!$B$18:$E$48,4,FALSE)&amp;$BK29,坦克属性分配比例,MATCH("升星次数",坦克属性分配比例标头,0),FALSE),0)</f>
        <v>1394</v>
      </c>
      <c r="BN29" s="103">
        <f ca="1">ROUND(VLOOKUP($BJ29&amp;"初始",$S$3:$AE$63,MATCH(BN$3,$S$3:$AE$3,0),FALSE)+(VLOOKUP($BJ29&amp;"最终",$S$3:$AE$63,MATCH(BN$3,$S$3:$AE$3,0),FALSE)-VLOOKUP($BJ29&amp;"初始",$S$3:$AE$63,MATCH(BN$3,$S$3:$AE$3,0),FALSE))*$BL29/VLOOKUP(VLOOKUP($BJ29,坦克个性化设定!$B$18:$E$48,4,FALSE)&amp;$BK29,坦克属性分配比例,MATCH("升星次数",坦克属性分配比例标头,0),FALSE)*VLOOKUP(VLOOKUP($BJ29,坦克个性化设定!$B$18:$E$48,4,FALSE)&amp;$BK29,坦克属性分配比例,MATCH("升星比例",坦克属性分配比例标头,0),FALSE),0)</f>
        <v>111</v>
      </c>
      <c r="BO29" s="103">
        <f ca="1">ROUND(VLOOKUP($BJ29&amp;"初始",$S$3:$AE$63,MATCH(BO$3,$S$3:$AE$3,0),FALSE)+(VLOOKUP($BJ29&amp;"最终",$S$3:$AE$63,MATCH(BO$3,$S$3:$AE$3,0),FALSE)-VLOOKUP($BJ29&amp;"初始",$S$3:$AE$63,MATCH(BO$3,$S$3:$AE$3,0),FALSE))*$BL29/VLOOKUP(VLOOKUP($BJ29,坦克个性化设定!$B$18:$E$48,4,FALSE)&amp;$BK29,坦克属性分配比例,MATCH("升星次数",坦克属性分配比例标头,0),FALSE)*(VLOOKUP(VLOOKUP($BJ29,坦克个性化设定!$B$18:$E$48,4,FALSE)&amp;$BK29,坦克属性分配比例,MATCH("升星比例",坦克属性分配比例标头,0),FALSE)+VLOOKUP(VLOOKUP($BJ29,坦克个性化设定!$B$18:$E$48,4,FALSE)&amp;$BK29,坦克属性分配比例,MATCH("部件比例",坦克属性分配比例标头,0),FALSE)*$C$3),0)</f>
        <v>550</v>
      </c>
      <c r="BP29" s="103">
        <f ca="1">ROUND(VLOOKUP($BJ29&amp;"初始",$S$3:$AE$63,MATCH(BP$3,$S$3:$AE$3,0),FALSE)+(VLOOKUP($BJ29&amp;"最终",$S$3:$AE$63,MATCH(BP$3,$S$3:$AE$3,0),FALSE)-VLOOKUP($BJ29&amp;"初始",$S$3:$AE$63,MATCH(BP$3,$S$3:$AE$3,0),FALSE))*$BL29/VLOOKUP(VLOOKUP($BJ29,坦克个性化设定!$B$18:$E$48,4,FALSE)&amp;$BK29,坦克属性分配比例,MATCH("升星次数",坦克属性分配比例标头,0),FALSE)*(VLOOKUP(VLOOKUP($BJ29,坦克个性化设定!$B$18:$E$48,4,FALSE)&amp;$BK29,坦克属性分配比例,MATCH("升星比例",坦克属性分配比例标头,0),FALSE)+VLOOKUP(VLOOKUP($BJ29,坦克个性化设定!$B$18:$E$48,4,FALSE)&amp;$BK29,坦克属性分配比例,MATCH("部件比例",坦克属性分配比例标头,0),FALSE)*$C$3),0)</f>
        <v>385</v>
      </c>
      <c r="BQ29" s="103">
        <f ca="1">ROUND(VLOOKUP($BJ29&amp;"初始",$S$3:$AE$63,MATCH(BQ$3,$S$3:$AE$3,0),FALSE)+(VLOOKUP($BJ29&amp;"最终",$S$3:$AE$63,MATCH(BQ$3,$S$3:$AE$3,0),FALSE)-VLOOKUP($BJ29&amp;"初始",$S$3:$AE$63,MATCH(BQ$3,$S$3:$AE$3,0),FALSE))*$BL29/VLOOKUP(VLOOKUP($BJ29,坦克个性化设定!$B$18:$E$48,4,FALSE)&amp;$BK29,坦克属性分配比例,MATCH("升星次数",坦克属性分配比例标头,0),FALSE)*VLOOKUP(VLOOKUP($BJ29,坦克个性化设定!$B$18:$E$48,4,FALSE)&amp;$BK29,坦克属性分配比例,MATCH("升星比例",坦克属性分配比例标头,0),FALSE),0)</f>
        <v>485</v>
      </c>
      <c r="BR29" s="2">
        <f ca="1">ROUND(VLOOKUP($BJ29&amp;"初始",$S$3:$AE$63,MATCH(BR$3,$S$3:$AE$3,0),FALSE)+(VLOOKUP($BJ29&amp;"最终",$S$3:$AE$63,MATCH(BR$3,$S$3:$AE$3,0),FALSE)-VLOOKUP($BJ29&amp;"初始",$S$3:$AE$63,MATCH(BR$3,$S$3:$AE$3,0),FALSE))*$BL29/VLOOKUP(VLOOKUP($BJ29,坦克个性化设定!$B$18:$E$48,4,FALSE)&amp;$BK29,坦克属性分配比例,MATCH("升星次数",坦克属性分配比例标头,0),FALSE),0)</f>
        <v>137</v>
      </c>
      <c r="BS29" s="2">
        <f>ROUND(VLOOKUP($BJ29,$AI$3:$AO$33,MATCH(BS$3,$AI$3:$AO$3,0),FALSE)+$BL29/VLOOKUP(VLOOKUP($BJ29,坦克个性化设定!$B$18:$E$48,4,FALSE)&amp;$BK29,坦克属性分配比例,MATCH("升星次数",坦克属性分配比例标头,0),FALSE)*VLOOKUP($BJ29,$AR$3:$AY$33,MATCH(BS$3,$AR$3:$AY$3,0),FALSE),1)</f>
        <v>45.9</v>
      </c>
      <c r="BT29" s="2">
        <f>ROUND(VLOOKUP($BJ29,$AI$3:$AO$33,MATCH(BT$3,$AI$3:$AO$3,0),FALSE)+$BL29/VLOOKUP(VLOOKUP($BJ29,坦克个性化设定!$B$18:$E$48,4,FALSE)&amp;$BK29,坦克属性分配比例,MATCH("升星次数",坦克属性分配比例标头,0),FALSE)*VLOOKUP($BJ29,$AR$3:$AY$33,MATCH(BT$3,$AR$3:$AY$3,0),FALSE),1)</f>
        <v>54.2</v>
      </c>
      <c r="BU29" s="2">
        <f>ROUND(VLOOKUP($BJ29,$AI$3:$AO$33,MATCH(BU$3,$AI$3:$AO$3,0),FALSE)+$BL29/VLOOKUP(VLOOKUP($BJ29,坦克个性化设定!$B$18:$E$48,4,FALSE)&amp;$BK29,坦克属性分配比例,MATCH("升星次数",坦克属性分配比例标头,0),FALSE)*VLOOKUP($BJ29,$AR$3:$AY$33,MATCH(BU$3,$AR$3:$AY$3,0),FALSE),1)</f>
        <v>10</v>
      </c>
      <c r="BV29" s="2">
        <f>IF(VLOOKUP(BJ29,坦克个性化设定!$B$18:$BC$48,MATCH("装弹类型",坦克个性化设定!$B$18:$BC$18,0),FALSE)="弹夹换弹",0,ROUND(VLOOKUP($BJ29,$AI$3:$AO$33,MATCH("换弹时间",$AI$3:$AO$3,0),FALSE)-$BL29/VLOOKUP(VLOOKUP($BJ29,坦克个性化设定!$B$18:$E$48,4,FALSE)&amp;$BK29,坦克属性分配比例,MATCH("升星次数",坦克属性分配比例标头,0),FALSE)*VLOOKUP($BJ29,$AR$3:$AY$33,MATCH("换弹时间",$AR$3:$AY$3,0),FALSE),2))</f>
        <v>0</v>
      </c>
      <c r="BW29" s="2">
        <f>IF(VLOOKUP(BJ29,坦克个性化设定!$B$18:$BC$48,MATCH("装弹类型",坦克个性化设定!$B$18:$BC$18,0),FALSE)="弹夹换弹",ROUND(VLOOKUP($BJ29,$AI$3:$AO$33,MATCH("换弹时间",$AI$3:$AO$3,0),FALSE)-$BL29/VLOOKUP(VLOOKUP($BJ29,坦克个性化设定!$B$18:$E$48,4,FALSE)&amp;$BK29,坦克属性分配比例,MATCH("升星次数",坦克属性分配比例标头,0),FALSE)*VLOOKUP($BJ29,$AR$3:$AY$33,MATCH("换弹时间",$AR$3:$AY$3,0),FALSE),1),0)</f>
        <v>5.6</v>
      </c>
      <c r="BX29" s="2">
        <f>ROUND(VLOOKUP($BJ29,$AI$3:$AO$33,MATCH(BX$3,$AI$3:$AO$3,0),FALSE)+$BL29/VLOOKUP(VLOOKUP($BJ29,坦克个性化设定!$B$18:$E$48,4,FALSE)&amp;$BK29,坦克属性分配比例,MATCH("升星次数",坦克属性分配比例标头,0),FALSE)*VLOOKUP($BJ29,$AR$3:$AY$33,MATCH(BX$3,$AR$3:$AY$3,0),FALSE),2)</f>
        <v>0.8</v>
      </c>
      <c r="BY29" s="2">
        <f>ROUND(VLOOKUP($BJ29,$AI$3:$AO$33,MATCH(BY$3,$AI$3:$AO$3,0),FALSE)-$BL29/VLOOKUP(VLOOKUP($BJ29,坦克个性化设定!$B$18:$E$48,4,FALSE)&amp;$BK29,坦克属性分配比例,MATCH("升星次数",坦克属性分配比例标头,0),FALSE)*VLOOKUP($BJ29,$AR$3:$AY$33,MATCH(BY$3,$AR$3:$AY$3,0),FALSE),2)</f>
        <v>0.49</v>
      </c>
      <c r="CA29" s="2">
        <v>26</v>
      </c>
      <c r="CB29" s="2" t="str">
        <f t="shared" si="15"/>
        <v>KV-2</v>
      </c>
      <c r="CC29" s="2" t="str">
        <f>VLOOKUP(CB29,坦克个性化设定!$B$18:$F$48,5,FALSE)</f>
        <v>重坦自动</v>
      </c>
      <c r="CD29" s="29" t="str">
        <f>VLOOKUP(CB29,坦克个性化细分!$I$3:$J$33,2,FALSE)</f>
        <v>高</v>
      </c>
      <c r="CE29" s="42">
        <f ca="1">(VLOOKUP($CB29&amp;"最终",$S$3:$AE$63,MATCH(CE$3,$S$3:$AE$3,0),FALSE)-VLOOKUP($CB29&amp;"初始",$S$3:$AE$63,MATCH(CE$3,$S$3:$AE$3,0),FALSE))*VLOOKUP(VLOOKUP($CB29,坦克个性化设定!$B$18:$E$48,4,FALSE)&amp;$CD29,坦克属性分配比例,MATCH("部件比例",坦克属性分配比例标头,0),FALSE)</f>
        <v>284.94748855720718</v>
      </c>
      <c r="CF29" s="42">
        <f ca="1">(VLOOKUP($CB29&amp;"最终",$S$3:$AE$63,MATCH(CF$3,$S$3:$AE$3,0),FALSE)-VLOOKUP($CB29&amp;"初始",$S$3:$AE$63,MATCH(CF$3,$S$3:$AE$3,0),FALSE))*VLOOKUP(VLOOKUP($CB29,坦克个性化设定!$B$18:$E$48,4,FALSE)&amp;$CD29,坦克属性分配比例,MATCH("部件比例",坦克属性分配比例标头,0),FALSE)</f>
        <v>79.398393816142274</v>
      </c>
      <c r="CG29" s="42">
        <f ca="1">(VLOOKUP($CB29&amp;"最终",$S$3:$AE$63,MATCH(CG$3,$S$3:$AE$3,0),FALSE)-VLOOKUP($CB29&amp;"初始",$S$3:$AE$63,MATCH(CG$3,$S$3:$AE$3,0),FALSE))*VLOOKUP(VLOOKUP($CB29,坦克个性化设定!$B$18:$E$48,4,FALSE)&amp;$CD29,坦克属性分配比例,MATCH("部件比例",坦克属性分配比例标头,0),FALSE)*(1-$C$3)</f>
        <v>36.160000000000004</v>
      </c>
      <c r="CH29" s="42">
        <f ca="1">(VLOOKUP($CB29&amp;"最终",$S$3:$AE$63,MATCH(CH$3,$S$3:$AE$3,0),FALSE)-VLOOKUP($CB29&amp;"初始",$S$3:$AE$63,MATCH(CH$3,$S$3:$AE$3,0),FALSE))*VLOOKUP(VLOOKUP($CB29,坦克个性化设定!$B$18:$E$48,4,FALSE)&amp;$CD29,坦克属性分配比例,MATCH("部件比例",坦克属性分配比例标头,0),FALSE)*(1-$C$3)</f>
        <v>28.960000000000004</v>
      </c>
      <c r="CI29" s="42">
        <f ca="1">(VLOOKUP($CB29&amp;"最终",$S$3:$AE$63,MATCH(CI$3,$S$3:$AE$3,0),FALSE)-VLOOKUP($CB29&amp;"初始",$S$3:$AE$63,MATCH(CI$3,$S$3:$AE$3,0),FALSE))*VLOOKUP(VLOOKUP($CB29,坦克个性化设定!$B$18:$E$48,4,FALSE)&amp;$CD29,坦克属性分配比例,MATCH("部件比例",坦克属性分配比例标头,0),FALSE)</f>
        <v>132.80000000000001</v>
      </c>
    </row>
    <row r="30" spans="2:87" x14ac:dyDescent="0.3">
      <c r="B30" s="2">
        <v>25</v>
      </c>
      <c r="C30" s="2" t="str">
        <f>坦克个性化设定!B43</f>
        <v>虎式</v>
      </c>
      <c r="D30" s="2">
        <v>3321</v>
      </c>
      <c r="E30" s="2" t="s">
        <v>659</v>
      </c>
      <c r="F30" s="2">
        <v>1</v>
      </c>
      <c r="G30" s="25" t="str">
        <f t="shared" si="17"/>
        <v>虎式</v>
      </c>
      <c r="H30" s="25"/>
      <c r="I30" s="25"/>
      <c r="J30" s="25"/>
      <c r="K30" s="25"/>
      <c r="L30" s="25"/>
      <c r="M30" s="25"/>
      <c r="N30" s="25"/>
      <c r="O30" s="25"/>
      <c r="P30" s="25"/>
      <c r="Q30" s="25"/>
      <c r="R30" s="25"/>
      <c r="S30" s="2" t="str">
        <f t="shared" si="2"/>
        <v>玛蒂尔达初始</v>
      </c>
      <c r="T30" s="2">
        <f>IF(COUNTIF(U$4:U29,U29)&gt;=$B$3,T29+1,T29)</f>
        <v>14</v>
      </c>
      <c r="U30" s="2" t="str">
        <f t="shared" si="3"/>
        <v>玛蒂尔达</v>
      </c>
      <c r="V30" s="2" t="str">
        <f>VLOOKUP(U30,坦克个性化设定!$B$18:$F$48,5,FALSE)</f>
        <v>中坦自动</v>
      </c>
      <c r="W30" s="29" t="str">
        <f>VLOOKUP(U30,坦克个性化细分!$I$3:$J$33,2,FALSE)</f>
        <v>低</v>
      </c>
      <c r="X30" s="2" t="str">
        <f t="shared" si="16"/>
        <v>初始</v>
      </c>
      <c r="Y30" s="2" t="str">
        <f>VLOOKUP(VLOOKUP(U30,坦克个性化设定!$B$18:$F$48,4,FALSE)&amp;W30,坦克等级成长!$P$12:$U$24,MATCH(X30,坦克等级成长!$P$12:$U$12,0),FALSE)</f>
        <v>T3低3</v>
      </c>
      <c r="Z30" s="42">
        <f ca="1">VLOOKUP($Y30,INDIRECT($V30&amp;"_阶段属性"),MATCH(Z$3,属性标头_阶段属性,0),FALSE)*VLOOKUP($U30,坦克个性化设定!$B$84:$D$114,2,FALSE)</f>
        <v>1214.0815209698399</v>
      </c>
      <c r="AA30" s="42">
        <f ca="1">VLOOKUP($Y30,INDIRECT($V30&amp;"_阶段属性"),MATCH(AA$3,属性标头_阶段属性,0),FALSE)*VLOOKUP($U30,坦克个性化设定!$B$84:$D$114,3,FALSE)</f>
        <v>158.79940946421667</v>
      </c>
      <c r="AB30" s="2">
        <f t="shared" ca="1" si="18"/>
        <v>486</v>
      </c>
      <c r="AC30" s="2">
        <f t="shared" ca="1" si="18"/>
        <v>365</v>
      </c>
      <c r="AD30" s="2">
        <f t="shared" ca="1" si="18"/>
        <v>533</v>
      </c>
      <c r="AE30" s="2">
        <f t="shared" ca="1" si="18"/>
        <v>128</v>
      </c>
      <c r="AF30" s="25"/>
      <c r="AH30" s="2">
        <v>27</v>
      </c>
      <c r="AI30" s="2" t="str">
        <f t="shared" si="5"/>
        <v>征服者</v>
      </c>
      <c r="AJ30" s="2">
        <f>VLOOKUP($AI30,坦克个性化细分!$I$3:$P$33,MATCH(AJ$3,坦克个性化细分!$I$3:$P$3,0),FALSE)</f>
        <v>30.7</v>
      </c>
      <c r="AK30" s="2">
        <f>VLOOKUP($AI30,坦克个性化细分!$I$3:$P$33,MATCH(AK$3,坦克个性化细分!$I$3:$P$3,0),FALSE)</f>
        <v>35</v>
      </c>
      <c r="AL30" s="2">
        <f>VLOOKUP($AI30,坦克个性化细分!$I$3:$P$33,MATCH(AL$3,坦克个性化细分!$I$3:$P$3,0),FALSE)</f>
        <v>6.3</v>
      </c>
      <c r="AM30" s="34">
        <f>VLOOKUP(AI30,坦克个性化细分!$AA$3:$AP$33,MATCH("射击偏移角",坦克个性化细分!$AA$3:$AP$3,0),FALSE)/VLOOKUP(AI30,坦克个性化细分!$AA$3:$AP$33,MATCH("原瞄准速度",坦克个性化细分!$AA$3:$AP$3,0),FALSE)</f>
        <v>3</v>
      </c>
      <c r="AN30" s="34">
        <f>VLOOKUP(AI30,坦克个性化细分!$AA$3:$AP$33,MATCH(AN$3,坦克个性化细分!$AA$3:$AP$3,0),FALSE)</f>
        <v>0</v>
      </c>
      <c r="AO30" s="2">
        <f>VLOOKUP(AI30,坦克个性化细分!$AA$3:$AP$33,MATCH("原换弹时间",坦克个性化细分!$AA$3:$AP$3,0),FALSE)</f>
        <v>6</v>
      </c>
      <c r="AP30" s="133"/>
      <c r="AQ30" s="2">
        <v>27</v>
      </c>
      <c r="AR30" s="2" t="str">
        <f t="shared" si="6"/>
        <v>征服者</v>
      </c>
      <c r="AS30" s="2" t="s">
        <v>88</v>
      </c>
      <c r="AT30" s="34">
        <f>VLOOKUP(AR30,坦克个性化细分!$I$3:$P$33,MATCH("养成区间1",坦克个性化细分!$I$3:$P$3,0),FALSE)</f>
        <v>7.674999999999998</v>
      </c>
      <c r="AU30" s="2">
        <f>VLOOKUP(AR30,坦克个性化细分!$I$3:$P$33,MATCH("养成区间2",坦克个性化细分!$I$3:$P$3,0),FALSE)</f>
        <v>8.7499999999999982</v>
      </c>
      <c r="AV30" s="2">
        <f>VLOOKUP(AR30,坦克个性化细分!$I$3:$P$33,MATCH("养成区间3",坦克个性化细分!$I$3:$P$3,0),FALSE)</f>
        <v>0</v>
      </c>
      <c r="AW30" s="34">
        <f>VLOOKUP(AR30,坦克个性化细分!$AA$3:$AP$33,MATCH("瞄准区间",坦克个性化细分!$AA$3:$AP$3,0),FALSE)</f>
        <v>0.5</v>
      </c>
      <c r="AX30" s="34">
        <f>VLOOKUP(AI30,坦克个性化细分!$AA$3:$AP$33,MATCH("后射击间隔",坦克个性化细分!$AA$3:$AP$3,0),FALSE)-VLOOKUP(AI30,坦克个性化细分!$AA$3:$AP$33,MATCH(AN$3,坦克个性化细分!$AA$3:$AP$3,0),FALSE)</f>
        <v>0</v>
      </c>
      <c r="AY30" s="34">
        <f>VLOOKUP(AR30,坦克个性化细分!$AA$3:$AP$33,MATCH("换弹区间",坦克个性化细分!$AA$3:$AP$3,0),FALSE)</f>
        <v>0.84978540772532085</v>
      </c>
      <c r="AZ30" s="133"/>
      <c r="BA30" s="34">
        <f t="shared" si="8"/>
        <v>0.24999999999999994</v>
      </c>
      <c r="BB30" s="34">
        <f t="shared" si="9"/>
        <v>0.24999999999999994</v>
      </c>
      <c r="BC30" s="34">
        <f t="shared" si="10"/>
        <v>0</v>
      </c>
      <c r="BD30" s="34">
        <f t="shared" si="11"/>
        <v>0.16666666666666666</v>
      </c>
      <c r="BE30" s="34">
        <f t="shared" si="12"/>
        <v>0.14163090128755348</v>
      </c>
      <c r="BF30" s="34"/>
      <c r="BG30" s="133"/>
      <c r="BH30" s="2" t="str">
        <f t="shared" si="13"/>
        <v>35(t)4</v>
      </c>
      <c r="BI30" s="2">
        <f>IF(BL29&gt;=VLOOKUP(VLOOKUP(BJ29,坦克个性化设定!$B$18:$E$48,4,FALSE)&amp;BK29,坦克属性分配比例,MATCH("升星次数",坦克属性分配比例标头,0),FALSE),BI29+1,BI29)</f>
        <v>4</v>
      </c>
      <c r="BJ30" s="2" t="str">
        <f t="shared" si="14"/>
        <v>35(t)</v>
      </c>
      <c r="BK30" s="29" t="str">
        <f>VLOOKUP(BJ30,坦克个性化细分!$I$3:$J$33,2,FALSE)</f>
        <v>低</v>
      </c>
      <c r="BL30" s="2">
        <f t="shared" si="7"/>
        <v>4</v>
      </c>
      <c r="BM30" s="103">
        <f ca="1">ROUND(VLOOKUP($BJ30&amp;"初始",$S$3:$AE$63,MATCH(BM$3,$S$3:$AE$3,0),FALSE)+((VLOOKUP($BJ30&amp;"最终",$S$3:$AE$63,MATCH(BM$3,$S$3:$AE$3,0),FALSE)*坦克个性化细分!$C$9-VLOOKUP($BJ30&amp;"初始",$S$3:$AE$63,MATCH(BM$3,$S$3:$AE$3,0),FALSE))-(VLOOKUP($BJ30&amp;"最终",$S$3:$AE$63,MATCH(BM$3,$S$3:$AE$3,0),FALSE)-VLOOKUP($BJ30&amp;"初始",$S$3:$AE$63,MATCH(BM$3,$S$3:$AE$3,0),FALSE))*VLOOKUP(VLOOKUP($BJ30,坦克个性化设定!$B$18:$E$48,4,FALSE)&amp;$BK30,坦克属性分配比例,MATCH("部件比例",坦克属性分配比例标头,0),FALSE))*$BL30/VLOOKUP(VLOOKUP($BJ30,坦克个性化设定!$B$18:$E$48,4,FALSE)&amp;$BK30,坦克属性分配比例,MATCH("升星次数",坦克属性分配比例标头,0),FALSE),0)</f>
        <v>1457</v>
      </c>
      <c r="BN30" s="103">
        <f ca="1">ROUND(VLOOKUP($BJ30&amp;"初始",$S$3:$AE$63,MATCH(BN$3,$S$3:$AE$3,0),FALSE)+(VLOOKUP($BJ30&amp;"最终",$S$3:$AE$63,MATCH(BN$3,$S$3:$AE$3,0),FALSE)-VLOOKUP($BJ30&amp;"初始",$S$3:$AE$63,MATCH(BN$3,$S$3:$AE$3,0),FALSE))*$BL30/VLOOKUP(VLOOKUP($BJ30,坦克个性化设定!$B$18:$E$48,4,FALSE)&amp;$BK30,坦克属性分配比例,MATCH("升星次数",坦克属性分配比例标头,0),FALSE)*VLOOKUP(VLOOKUP($BJ30,坦克个性化设定!$B$18:$E$48,4,FALSE)&amp;$BK30,坦克属性分配比例,MATCH("升星比例",坦克属性分配比例标头,0),FALSE),0)</f>
        <v>114</v>
      </c>
      <c r="BO30" s="103">
        <f ca="1">ROUND(VLOOKUP($BJ30&amp;"初始",$S$3:$AE$63,MATCH(BO$3,$S$3:$AE$3,0),FALSE)+(VLOOKUP($BJ30&amp;"最终",$S$3:$AE$63,MATCH(BO$3,$S$3:$AE$3,0),FALSE)-VLOOKUP($BJ30&amp;"初始",$S$3:$AE$63,MATCH(BO$3,$S$3:$AE$3,0),FALSE))*$BL30/VLOOKUP(VLOOKUP($BJ30,坦克个性化设定!$B$18:$E$48,4,FALSE)&amp;$BK30,坦克属性分配比例,MATCH("升星次数",坦克属性分配比例标头,0),FALSE)*(VLOOKUP(VLOOKUP($BJ30,坦克个性化设定!$B$18:$E$48,4,FALSE)&amp;$BK30,坦克属性分配比例,MATCH("升星比例",坦克属性分配比例标头,0),FALSE)+VLOOKUP(VLOOKUP($BJ30,坦克个性化设定!$B$18:$E$48,4,FALSE)&amp;$BK30,坦克属性分配比例,MATCH("部件比例",坦克属性分配比例标头,0),FALSE)*$C$3),0)</f>
        <v>571</v>
      </c>
      <c r="BP30" s="103">
        <f ca="1">ROUND(VLOOKUP($BJ30&amp;"初始",$S$3:$AE$63,MATCH(BP$3,$S$3:$AE$3,0),FALSE)+(VLOOKUP($BJ30&amp;"最终",$S$3:$AE$63,MATCH(BP$3,$S$3:$AE$3,0),FALSE)-VLOOKUP($BJ30&amp;"初始",$S$3:$AE$63,MATCH(BP$3,$S$3:$AE$3,0),FALSE))*$BL30/VLOOKUP(VLOOKUP($BJ30,坦克个性化设定!$B$18:$E$48,4,FALSE)&amp;$BK30,坦克属性分配比例,MATCH("升星次数",坦克属性分配比例标头,0),FALSE)*(VLOOKUP(VLOOKUP($BJ30,坦克个性化设定!$B$18:$E$48,4,FALSE)&amp;$BK30,坦克属性分配比例,MATCH("升星比例",坦克属性分配比例标头,0),FALSE)+VLOOKUP(VLOOKUP($BJ30,坦克个性化设定!$B$18:$E$48,4,FALSE)&amp;$BK30,坦克属性分配比例,MATCH("部件比例",坦克属性分配比例标头,0),FALSE)*$C$3),0)</f>
        <v>399</v>
      </c>
      <c r="BQ30" s="103">
        <f ca="1">ROUND(VLOOKUP($BJ30&amp;"初始",$S$3:$AE$63,MATCH(BQ$3,$S$3:$AE$3,0),FALSE)+(VLOOKUP($BJ30&amp;"最终",$S$3:$AE$63,MATCH(BQ$3,$S$3:$AE$3,0),FALSE)-VLOOKUP($BJ30&amp;"初始",$S$3:$AE$63,MATCH(BQ$3,$S$3:$AE$3,0),FALSE))*$BL30/VLOOKUP(VLOOKUP($BJ30,坦克个性化设定!$B$18:$E$48,4,FALSE)&amp;$BK30,坦克属性分配比例,MATCH("升星次数",坦克属性分配比例标头,0),FALSE)*VLOOKUP(VLOOKUP($BJ30,坦克个性化设定!$B$18:$E$48,4,FALSE)&amp;$BK30,坦克属性分配比例,MATCH("升星比例",坦克属性分配比例标头,0),FALSE),0)</f>
        <v>499</v>
      </c>
      <c r="BR30" s="2">
        <f ca="1">ROUND(VLOOKUP($BJ30&amp;"初始",$S$3:$AE$63,MATCH(BR$3,$S$3:$AE$3,0),FALSE)+(VLOOKUP($BJ30&amp;"最终",$S$3:$AE$63,MATCH(BR$3,$S$3:$AE$3,0),FALSE)-VLOOKUP($BJ30&amp;"初始",$S$3:$AE$63,MATCH(BR$3,$S$3:$AE$3,0),FALSE))*$BL30/VLOOKUP(VLOOKUP($BJ30,坦克个性化设定!$B$18:$E$48,4,FALSE)&amp;$BK30,坦克属性分配比例,MATCH("升星次数",坦克属性分配比例标头,0),FALSE),0)</f>
        <v>143</v>
      </c>
      <c r="BS30" s="2">
        <f>ROUND(VLOOKUP($BJ30,$AI$3:$AO$33,MATCH(BS$3,$AI$3:$AO$3,0),FALSE)+$BL30/VLOOKUP(VLOOKUP($BJ30,坦克个性化设定!$B$18:$E$48,4,FALSE)&amp;$BK30,坦克属性分配比例,MATCH("升星次数",坦克属性分配比例标头,0),FALSE)*VLOOKUP($BJ30,$AR$3:$AY$33,MATCH(BS$3,$AR$3:$AY$3,0),FALSE),1)</f>
        <v>47.1</v>
      </c>
      <c r="BT30" s="2">
        <f>ROUND(VLOOKUP($BJ30,$AI$3:$AO$33,MATCH(BT$3,$AI$3:$AO$3,0),FALSE)+$BL30/VLOOKUP(VLOOKUP($BJ30,坦克个性化设定!$B$18:$E$48,4,FALSE)&amp;$BK30,坦克属性分配比例,MATCH("升星次数",坦克属性分配比例标头,0),FALSE)*VLOOKUP($BJ30,$AR$3:$AY$33,MATCH(BT$3,$AR$3:$AY$3,0),FALSE),1)</f>
        <v>55.6</v>
      </c>
      <c r="BU30" s="2">
        <f>ROUND(VLOOKUP($BJ30,$AI$3:$AO$33,MATCH(BU$3,$AI$3:$AO$3,0),FALSE)+$BL30/VLOOKUP(VLOOKUP($BJ30,坦克个性化设定!$B$18:$E$48,4,FALSE)&amp;$BK30,坦克属性分配比例,MATCH("升星次数",坦克属性分配比例标头,0),FALSE)*VLOOKUP($BJ30,$AR$3:$AY$33,MATCH(BU$3,$AR$3:$AY$3,0),FALSE),1)</f>
        <v>10</v>
      </c>
      <c r="BV30" s="2">
        <f>IF(VLOOKUP(BJ30,坦克个性化设定!$B$18:$BC$48,MATCH("装弹类型",坦克个性化设定!$B$18:$BC$18,0),FALSE)="弹夹换弹",0,ROUND(VLOOKUP($BJ30,$AI$3:$AO$33,MATCH("换弹时间",$AI$3:$AO$3,0),FALSE)-$BL30/VLOOKUP(VLOOKUP($BJ30,坦克个性化设定!$B$18:$E$48,4,FALSE)&amp;$BK30,坦克属性分配比例,MATCH("升星次数",坦克属性分配比例标头,0),FALSE)*VLOOKUP($BJ30,$AR$3:$AY$33,MATCH("换弹时间",$AR$3:$AY$3,0),FALSE),2))</f>
        <v>0</v>
      </c>
      <c r="BW30" s="2">
        <f>IF(VLOOKUP(BJ30,坦克个性化设定!$B$18:$BC$48,MATCH("装弹类型",坦克个性化设定!$B$18:$BC$18,0),FALSE)="弹夹换弹",ROUND(VLOOKUP($BJ30,$AI$3:$AO$33,MATCH("换弹时间",$AI$3:$AO$3,0),FALSE)-$BL30/VLOOKUP(VLOOKUP($BJ30,坦克个性化设定!$B$18:$E$48,4,FALSE)&amp;$BK30,坦克属性分配比例,MATCH("升星次数",坦克属性分配比例标头,0),FALSE)*VLOOKUP($BJ30,$AR$3:$AY$33,MATCH("换弹时间",$AR$3:$AY$3,0),FALSE),1),0)</f>
        <v>5.4</v>
      </c>
      <c r="BX30" s="2">
        <f>ROUND(VLOOKUP($BJ30,$AI$3:$AO$33,MATCH(BX$3,$AI$3:$AO$3,0),FALSE)+$BL30/VLOOKUP(VLOOKUP($BJ30,坦克个性化设定!$B$18:$E$48,4,FALSE)&amp;$BK30,坦克属性分配比例,MATCH("升星次数",坦克属性分配比例标头,0),FALSE)*VLOOKUP($BJ30,$AR$3:$AY$33,MATCH(BX$3,$AR$3:$AY$3,0),FALSE),2)</f>
        <v>0.8</v>
      </c>
      <c r="BY30" s="2">
        <f>ROUND(VLOOKUP($BJ30,$AI$3:$AO$33,MATCH(BY$3,$AI$3:$AO$3,0),FALSE)-$BL30/VLOOKUP(VLOOKUP($BJ30,坦克个性化设定!$B$18:$E$48,4,FALSE)&amp;$BK30,坦克属性分配比例,MATCH("升星次数",坦克属性分配比例标头,0),FALSE)*VLOOKUP($BJ30,$AR$3:$AY$33,MATCH(BY$3,$AR$3:$AY$3,0),FALSE),2)</f>
        <v>0.48</v>
      </c>
      <c r="CA30" s="2">
        <v>27</v>
      </c>
      <c r="CB30" s="2" t="str">
        <f t="shared" si="15"/>
        <v>征服者</v>
      </c>
      <c r="CC30" s="2" t="str">
        <f>VLOOKUP(CB30,坦克个性化设定!$B$18:$F$48,5,FALSE)</f>
        <v>重坦单发</v>
      </c>
      <c r="CD30" s="29" t="str">
        <f>VLOOKUP(CB30,坦克个性化细分!$I$3:$J$33,2,FALSE)</f>
        <v>低</v>
      </c>
      <c r="CE30" s="42">
        <f ca="1">(VLOOKUP($CB30&amp;"最终",$S$3:$AE$63,MATCH(CE$3,$S$3:$AE$3,0),FALSE)-VLOOKUP($CB30&amp;"初始",$S$3:$AE$63,MATCH(CE$3,$S$3:$AE$3,0),FALSE))*VLOOKUP(VLOOKUP($CB30,坦克个性化设定!$B$18:$E$48,4,FALSE)&amp;$CD30,坦克属性分配比例,MATCH("部件比例",坦克属性分配比例标头,0),FALSE)</f>
        <v>398.05683511788089</v>
      </c>
      <c r="CF30" s="42">
        <f ca="1">(VLOOKUP($CB30&amp;"最终",$S$3:$AE$63,MATCH(CF$3,$S$3:$AE$3,0),FALSE)-VLOOKUP($CB30&amp;"初始",$S$3:$AE$63,MATCH(CF$3,$S$3:$AE$3,0),FALSE))*VLOOKUP(VLOOKUP($CB30,坦克个性化设定!$B$18:$E$48,4,FALSE)&amp;$CD30,坦克属性分配比例,MATCH("部件比例",坦克属性分配比例标头,0),FALSE)</f>
        <v>133.39588801251253</v>
      </c>
      <c r="CG30" s="42">
        <f ca="1">(VLOOKUP($CB30&amp;"最终",$S$3:$AE$63,MATCH(CG$3,$S$3:$AE$3,0),FALSE)-VLOOKUP($CB30&amp;"初始",$S$3:$AE$63,MATCH(CG$3,$S$3:$AE$3,0),FALSE))*VLOOKUP(VLOOKUP($CB30,坦克个性化设定!$B$18:$E$48,4,FALSE)&amp;$CD30,坦克属性分配比例,MATCH("部件比例",坦克属性分配比例标头,0),FALSE)*(1-$C$3)</f>
        <v>50.940000000000005</v>
      </c>
      <c r="CH30" s="42">
        <f ca="1">(VLOOKUP($CB30&amp;"最终",$S$3:$AE$63,MATCH(CH$3,$S$3:$AE$3,0),FALSE)-VLOOKUP($CB30&amp;"初始",$S$3:$AE$63,MATCH(CH$3,$S$3:$AE$3,0),FALSE))*VLOOKUP(VLOOKUP($CB30,坦克个性化设定!$B$18:$E$48,4,FALSE)&amp;$CD30,坦克属性分配比例,MATCH("部件比例",坦克属性分配比例标头,0),FALSE)*(1-$C$3)</f>
        <v>40.680000000000007</v>
      </c>
      <c r="CI30" s="42">
        <f ca="1">(VLOOKUP($CB30&amp;"最终",$S$3:$AE$63,MATCH(CI$3,$S$3:$AE$3,0),FALSE)-VLOOKUP($CB30&amp;"初始",$S$3:$AE$63,MATCH(CI$3,$S$3:$AE$3,0),FALSE))*VLOOKUP(VLOOKUP($CB30,坦克个性化设定!$B$18:$E$48,4,FALSE)&amp;$CD30,坦克属性分配比例,MATCH("部件比例",坦克属性分配比例标头,0),FALSE)</f>
        <v>170.1</v>
      </c>
    </row>
    <row r="31" spans="2:87" x14ac:dyDescent="0.3">
      <c r="B31" s="2">
        <v>26</v>
      </c>
      <c r="C31" s="2" t="str">
        <f>坦克个性化设定!B44</f>
        <v>KV-2</v>
      </c>
      <c r="D31" s="2">
        <v>3331</v>
      </c>
      <c r="E31" s="2" t="s">
        <v>661</v>
      </c>
      <c r="F31" s="2">
        <v>0</v>
      </c>
      <c r="G31" s="25" t="str">
        <f t="shared" si="17"/>
        <v>KV-2</v>
      </c>
      <c r="H31" s="25"/>
      <c r="I31" s="25"/>
      <c r="J31" s="25"/>
      <c r="K31" s="25"/>
      <c r="L31" s="25"/>
      <c r="M31" s="25"/>
      <c r="N31" s="25"/>
      <c r="O31" s="25"/>
      <c r="P31" s="25"/>
      <c r="Q31" s="25"/>
      <c r="R31" s="25"/>
      <c r="S31" s="2" t="str">
        <f t="shared" si="2"/>
        <v>玛蒂尔达最终</v>
      </c>
      <c r="T31" s="2">
        <f>IF(COUNTIF(U$4:U30,U30)&gt;=$B$3,T30+1,T30)</f>
        <v>14</v>
      </c>
      <c r="U31" s="2" t="str">
        <f t="shared" si="3"/>
        <v>玛蒂尔达</v>
      </c>
      <c r="V31" s="2" t="str">
        <f>VLOOKUP(U31,坦克个性化设定!$B$18:$F$48,5,FALSE)</f>
        <v>中坦自动</v>
      </c>
      <c r="W31" s="29" t="str">
        <f>VLOOKUP(U31,坦克个性化细分!$I$3:$J$33,2,FALSE)</f>
        <v>低</v>
      </c>
      <c r="X31" s="2" t="str">
        <f t="shared" si="16"/>
        <v>最终</v>
      </c>
      <c r="Y31" s="2" t="str">
        <f>VLOOKUP(VLOOKUP(U31,坦克个性化设定!$B$18:$F$48,4,FALSE)&amp;W31,坦克等级成长!$P$12:$U$24,MATCH(X31,坦克等级成长!$P$12:$U$12,0),FALSE)</f>
        <v>T3低5</v>
      </c>
      <c r="Z31" s="42">
        <f ca="1">VLOOKUP($Y31,INDIRECT($V31&amp;"_阶段属性"),MATCH(Z$3,属性标头_阶段属性,0),FALSE)*VLOOKUP($U31,坦克个性化设定!$B$84:$D$114,2,FALSE)</f>
        <v>1739.4235249575718</v>
      </c>
      <c r="AA31" s="42">
        <f ca="1">VLOOKUP($Y31,INDIRECT($V31&amp;"_阶段属性"),MATCH(AA$3,属性标头_阶段属性,0),FALSE)*VLOOKUP($U31,坦克个性化设定!$B$84:$D$114,3,FALSE)</f>
        <v>232.18398504995318</v>
      </c>
      <c r="AB31" s="2">
        <f t="shared" ca="1" si="18"/>
        <v>713</v>
      </c>
      <c r="AC31" s="2">
        <f t="shared" ca="1" si="18"/>
        <v>535</v>
      </c>
      <c r="AD31" s="2">
        <f t="shared" ca="1" si="18"/>
        <v>781</v>
      </c>
      <c r="AE31" s="2">
        <f t="shared" ca="1" si="18"/>
        <v>187</v>
      </c>
      <c r="AF31" s="25"/>
      <c r="AH31" s="2">
        <v>28</v>
      </c>
      <c r="AI31" s="2" t="str">
        <f t="shared" si="5"/>
        <v>IS-4</v>
      </c>
      <c r="AJ31" s="2">
        <f>VLOOKUP($AI31,坦克个性化细分!$I$3:$P$33,MATCH(AJ$3,坦克个性化细分!$I$3:$P$3,0),FALSE)</f>
        <v>31.3</v>
      </c>
      <c r="AK31" s="2">
        <f>VLOOKUP($AI31,坦克个性化细分!$I$3:$P$33,MATCH(AK$3,坦克个性化细分!$I$3:$P$3,0),FALSE)</f>
        <v>35.700000000000003</v>
      </c>
      <c r="AL31" s="2">
        <f>VLOOKUP($AI31,坦克个性化细分!$I$3:$P$33,MATCH(AL$3,坦克个性化细分!$I$3:$P$3,0),FALSE)</f>
        <v>6.4</v>
      </c>
      <c r="AM31" s="34">
        <f>VLOOKUP(AI31,坦克个性化细分!$AA$3:$AP$33,MATCH("射击偏移角",坦克个性化细分!$AA$3:$AP$3,0),FALSE)/VLOOKUP(AI31,坦克个性化细分!$AA$3:$AP$33,MATCH("原瞄准速度",坦克个性化细分!$AA$3:$AP$3,0),FALSE)</f>
        <v>2.2500000000000004</v>
      </c>
      <c r="AN31" s="34">
        <f>VLOOKUP(AI31,坦克个性化细分!$AA$3:$AP$33,MATCH(AN$3,坦克个性化细分!$AA$3:$AP$3,0),FALSE)</f>
        <v>2</v>
      </c>
      <c r="AO31" s="2">
        <f>VLOOKUP(AI31,坦克个性化细分!$AA$3:$AP$33,MATCH("原换弹时间",坦克个性化细分!$AA$3:$AP$3,0),FALSE)</f>
        <v>4.5</v>
      </c>
      <c r="AP31" s="133"/>
      <c r="AQ31" s="2">
        <v>28</v>
      </c>
      <c r="AR31" s="2" t="str">
        <f t="shared" si="6"/>
        <v>IS-4</v>
      </c>
      <c r="AS31" s="2" t="s">
        <v>87</v>
      </c>
      <c r="AT31" s="34">
        <f>VLOOKUP(AR31,坦克个性化细分!$I$3:$P$33,MATCH("养成区间1",坦克个性化细分!$I$3:$P$3,0),FALSE)</f>
        <v>7.8249999999999984</v>
      </c>
      <c r="AU31" s="2">
        <f>VLOOKUP(AR31,坦克个性化细分!$I$3:$P$33,MATCH("养成区间2",坦克个性化细分!$I$3:$P$3,0),FALSE)</f>
        <v>8.9249999999999972</v>
      </c>
      <c r="AV31" s="2">
        <f>VLOOKUP(AR31,坦克个性化细分!$I$3:$P$33,MATCH("养成区间3",坦克个性化细分!$I$3:$P$3,0),FALSE)</f>
        <v>0</v>
      </c>
      <c r="AW31" s="34">
        <f>VLOOKUP(AR31,坦克个性化细分!$AA$3:$AP$33,MATCH("瞄准区间",坦克个性化细分!$AA$3:$AP$3,0),FALSE)</f>
        <v>0.37500000000000022</v>
      </c>
      <c r="AX31" s="34">
        <f>VLOOKUP(AI31,坦克个性化细分!$AA$3:$AP$33,MATCH("后射击间隔",坦克个性化细分!$AA$3:$AP$3,0),FALSE)-VLOOKUP(AI31,坦克个性化细分!$AA$3:$AP$33,MATCH(AN$3,坦克个性化细分!$AA$3:$AP$3,0),FALSE)</f>
        <v>0</v>
      </c>
      <c r="AY31" s="34">
        <f>VLOOKUP(AR31,坦克个性化细分!$AA$3:$AP$33,MATCH("换弹区间",坦克个性化细分!$AA$3:$AP$3,0),FALSE)</f>
        <v>0.66204690831556512</v>
      </c>
      <c r="AZ31" s="133"/>
      <c r="BA31" s="34">
        <f t="shared" si="8"/>
        <v>0.24999999999999994</v>
      </c>
      <c r="BB31" s="34">
        <f t="shared" si="9"/>
        <v>0.24999999999999989</v>
      </c>
      <c r="BC31" s="34">
        <f t="shared" si="10"/>
        <v>0</v>
      </c>
      <c r="BD31" s="34">
        <f t="shared" si="11"/>
        <v>0.16666666666666674</v>
      </c>
      <c r="BE31" s="34">
        <f t="shared" si="12"/>
        <v>0.14712153518123669</v>
      </c>
      <c r="BF31" s="34"/>
      <c r="BG31" s="133"/>
      <c r="BH31" s="2" t="str">
        <f t="shared" si="13"/>
        <v>35(t)5</v>
      </c>
      <c r="BI31" s="2">
        <f>IF(BL30&gt;=VLOOKUP(VLOOKUP(BJ30,坦克个性化设定!$B$18:$E$48,4,FALSE)&amp;BK30,坦克属性分配比例,MATCH("升星次数",坦克属性分配比例标头,0),FALSE),BI30+1,BI30)</f>
        <v>4</v>
      </c>
      <c r="BJ31" s="2" t="str">
        <f t="shared" si="14"/>
        <v>35(t)</v>
      </c>
      <c r="BK31" s="29" t="str">
        <f>VLOOKUP(BJ31,坦克个性化细分!$I$3:$J$33,2,FALSE)</f>
        <v>低</v>
      </c>
      <c r="BL31" s="2">
        <f t="shared" si="7"/>
        <v>5</v>
      </c>
      <c r="BM31" s="103">
        <f ca="1">ROUND(VLOOKUP($BJ31&amp;"初始",$S$3:$AE$63,MATCH(BM$3,$S$3:$AE$3,0),FALSE)+((VLOOKUP($BJ31&amp;"最终",$S$3:$AE$63,MATCH(BM$3,$S$3:$AE$3,0),FALSE)*坦克个性化细分!$C$9-VLOOKUP($BJ31&amp;"初始",$S$3:$AE$63,MATCH(BM$3,$S$3:$AE$3,0),FALSE))-(VLOOKUP($BJ31&amp;"最终",$S$3:$AE$63,MATCH(BM$3,$S$3:$AE$3,0),FALSE)-VLOOKUP($BJ31&amp;"初始",$S$3:$AE$63,MATCH(BM$3,$S$3:$AE$3,0),FALSE))*VLOOKUP(VLOOKUP($BJ31,坦克个性化设定!$B$18:$E$48,4,FALSE)&amp;$BK31,坦克属性分配比例,MATCH("部件比例",坦克属性分配比例标头,0),FALSE))*$BL31/VLOOKUP(VLOOKUP($BJ31,坦克个性化设定!$B$18:$E$48,4,FALSE)&amp;$BK31,坦克属性分配比例,MATCH("升星次数",坦克属性分配比例标头,0),FALSE),0)</f>
        <v>1521</v>
      </c>
      <c r="BN31" s="103">
        <f ca="1">ROUND(VLOOKUP($BJ31&amp;"初始",$S$3:$AE$63,MATCH(BN$3,$S$3:$AE$3,0),FALSE)+(VLOOKUP($BJ31&amp;"最终",$S$3:$AE$63,MATCH(BN$3,$S$3:$AE$3,0),FALSE)-VLOOKUP($BJ31&amp;"初始",$S$3:$AE$63,MATCH(BN$3,$S$3:$AE$3,0),FALSE))*$BL31/VLOOKUP(VLOOKUP($BJ31,坦克个性化设定!$B$18:$E$48,4,FALSE)&amp;$BK31,坦克属性分配比例,MATCH("升星次数",坦克属性分配比例标头,0),FALSE)*VLOOKUP(VLOOKUP($BJ31,坦克个性化设定!$B$18:$E$48,4,FALSE)&amp;$BK31,坦克属性分配比例,MATCH("升星比例",坦克属性分配比例标头,0),FALSE),0)</f>
        <v>117</v>
      </c>
      <c r="BO31" s="103">
        <f ca="1">ROUND(VLOOKUP($BJ31&amp;"初始",$S$3:$AE$63,MATCH(BO$3,$S$3:$AE$3,0),FALSE)+(VLOOKUP($BJ31&amp;"最终",$S$3:$AE$63,MATCH(BO$3,$S$3:$AE$3,0),FALSE)-VLOOKUP($BJ31&amp;"初始",$S$3:$AE$63,MATCH(BO$3,$S$3:$AE$3,0),FALSE))*$BL31/VLOOKUP(VLOOKUP($BJ31,坦克个性化设定!$B$18:$E$48,4,FALSE)&amp;$BK31,坦克属性分配比例,MATCH("升星次数",坦克属性分配比例标头,0),FALSE)*(VLOOKUP(VLOOKUP($BJ31,坦克个性化设定!$B$18:$E$48,4,FALSE)&amp;$BK31,坦克属性分配比例,MATCH("升星比例",坦克属性分配比例标头,0),FALSE)+VLOOKUP(VLOOKUP($BJ31,坦克个性化设定!$B$18:$E$48,4,FALSE)&amp;$BK31,坦克属性分配比例,MATCH("部件比例",坦克属性分配比例标头,0),FALSE)*$C$3),0)</f>
        <v>592</v>
      </c>
      <c r="BP31" s="103">
        <f ca="1">ROUND(VLOOKUP($BJ31&amp;"初始",$S$3:$AE$63,MATCH(BP$3,$S$3:$AE$3,0),FALSE)+(VLOOKUP($BJ31&amp;"最终",$S$3:$AE$63,MATCH(BP$3,$S$3:$AE$3,0),FALSE)-VLOOKUP($BJ31&amp;"初始",$S$3:$AE$63,MATCH(BP$3,$S$3:$AE$3,0),FALSE))*$BL31/VLOOKUP(VLOOKUP($BJ31,坦克个性化设定!$B$18:$E$48,4,FALSE)&amp;$BK31,坦克属性分配比例,MATCH("升星次数",坦克属性分配比例标头,0),FALSE)*(VLOOKUP(VLOOKUP($BJ31,坦克个性化设定!$B$18:$E$48,4,FALSE)&amp;$BK31,坦克属性分配比例,MATCH("升星比例",坦克属性分配比例标头,0),FALSE)+VLOOKUP(VLOOKUP($BJ31,坦克个性化设定!$B$18:$E$48,4,FALSE)&amp;$BK31,坦克属性分配比例,MATCH("部件比例",坦克属性分配比例标头,0),FALSE)*$C$3),0)</f>
        <v>414</v>
      </c>
      <c r="BQ31" s="103">
        <f ca="1">ROUND(VLOOKUP($BJ31&amp;"初始",$S$3:$AE$63,MATCH(BQ$3,$S$3:$AE$3,0),FALSE)+(VLOOKUP($BJ31&amp;"最终",$S$3:$AE$63,MATCH(BQ$3,$S$3:$AE$3,0),FALSE)-VLOOKUP($BJ31&amp;"初始",$S$3:$AE$63,MATCH(BQ$3,$S$3:$AE$3,0),FALSE))*$BL31/VLOOKUP(VLOOKUP($BJ31,坦克个性化设定!$B$18:$E$48,4,FALSE)&amp;$BK31,坦克属性分配比例,MATCH("升星次数",坦克属性分配比例标头,0),FALSE)*VLOOKUP(VLOOKUP($BJ31,坦克个性化设定!$B$18:$E$48,4,FALSE)&amp;$BK31,坦克属性分配比例,MATCH("升星比例",坦克属性分配比例标头,0),FALSE),0)</f>
        <v>513</v>
      </c>
      <c r="BR31" s="2">
        <f ca="1">ROUND(VLOOKUP($BJ31&amp;"初始",$S$3:$AE$63,MATCH(BR$3,$S$3:$AE$3,0),FALSE)+(VLOOKUP($BJ31&amp;"最终",$S$3:$AE$63,MATCH(BR$3,$S$3:$AE$3,0),FALSE)-VLOOKUP($BJ31&amp;"初始",$S$3:$AE$63,MATCH(BR$3,$S$3:$AE$3,0),FALSE))*$BL31/VLOOKUP(VLOOKUP($BJ31,坦克个性化设定!$B$18:$E$48,4,FALSE)&amp;$BK31,坦克属性分配比例,MATCH("升星次数",坦克属性分配比例标头,0),FALSE),0)</f>
        <v>149</v>
      </c>
      <c r="BS31" s="2">
        <f>ROUND(VLOOKUP($BJ31,$AI$3:$AO$33,MATCH(BS$3,$AI$3:$AO$3,0),FALSE)+$BL31/VLOOKUP(VLOOKUP($BJ31,坦克个性化设定!$B$18:$E$48,4,FALSE)&amp;$BK31,坦克属性分配比例,MATCH("升星次数",坦克属性分配比例标头,0),FALSE)*VLOOKUP($BJ31,$AR$3:$AY$33,MATCH(BS$3,$AR$3:$AY$3,0),FALSE),1)</f>
        <v>48.3</v>
      </c>
      <c r="BT31" s="2">
        <f>ROUND(VLOOKUP($BJ31,$AI$3:$AO$33,MATCH(BT$3,$AI$3:$AO$3,0),FALSE)+$BL31/VLOOKUP(VLOOKUP($BJ31,坦克个性化设定!$B$18:$E$48,4,FALSE)&amp;$BK31,坦克属性分配比例,MATCH("升星次数",坦克属性分配比例标头,0),FALSE)*VLOOKUP($BJ31,$AR$3:$AY$33,MATCH(BT$3,$AR$3:$AY$3,0),FALSE),1)</f>
        <v>56.9</v>
      </c>
      <c r="BU31" s="2">
        <f>ROUND(VLOOKUP($BJ31,$AI$3:$AO$33,MATCH(BU$3,$AI$3:$AO$3,0),FALSE)+$BL31/VLOOKUP(VLOOKUP($BJ31,坦克个性化设定!$B$18:$E$48,4,FALSE)&amp;$BK31,坦克属性分配比例,MATCH("升星次数",坦克属性分配比例标头,0),FALSE)*VLOOKUP($BJ31,$AR$3:$AY$33,MATCH(BU$3,$AR$3:$AY$3,0),FALSE),1)</f>
        <v>10</v>
      </c>
      <c r="BV31" s="2">
        <f>IF(VLOOKUP(BJ31,坦克个性化设定!$B$18:$BC$48,MATCH("装弹类型",坦克个性化设定!$B$18:$BC$18,0),FALSE)="弹夹换弹",0,ROUND(VLOOKUP($BJ31,$AI$3:$AO$33,MATCH("换弹时间",$AI$3:$AO$3,0),FALSE)-$BL31/VLOOKUP(VLOOKUP($BJ31,坦克个性化设定!$B$18:$E$48,4,FALSE)&amp;$BK31,坦克属性分配比例,MATCH("升星次数",坦克属性分配比例标头,0),FALSE)*VLOOKUP($BJ31,$AR$3:$AY$33,MATCH("换弹时间",$AR$3:$AY$3,0),FALSE),2))</f>
        <v>0</v>
      </c>
      <c r="BW31" s="2">
        <f>IF(VLOOKUP(BJ31,坦克个性化设定!$B$18:$BC$48,MATCH("装弹类型",坦克个性化设定!$B$18:$BC$18,0),FALSE)="弹夹换弹",ROUND(VLOOKUP($BJ31,$AI$3:$AO$33,MATCH("换弹时间",$AI$3:$AO$3,0),FALSE)-$BL31/VLOOKUP(VLOOKUP($BJ31,坦克个性化设定!$B$18:$E$48,4,FALSE)&amp;$BK31,坦克属性分配比例,MATCH("升星次数",坦克属性分配比例标头,0),FALSE)*VLOOKUP($BJ31,$AR$3:$AY$33,MATCH("换弹时间",$AR$3:$AY$3,0),FALSE),1),0)</f>
        <v>5.2</v>
      </c>
      <c r="BX31" s="2">
        <f>ROUND(VLOOKUP($BJ31,$AI$3:$AO$33,MATCH(BX$3,$AI$3:$AO$3,0),FALSE)+$BL31/VLOOKUP(VLOOKUP($BJ31,坦克个性化设定!$B$18:$E$48,4,FALSE)&amp;$BK31,坦克属性分配比例,MATCH("升星次数",坦克属性分配比例标头,0),FALSE)*VLOOKUP($BJ31,$AR$3:$AY$33,MATCH(BX$3,$AR$3:$AY$3,0),FALSE),2)</f>
        <v>0.8</v>
      </c>
      <c r="BY31" s="2">
        <f>ROUND(VLOOKUP($BJ31,$AI$3:$AO$33,MATCH(BY$3,$AI$3:$AO$3,0),FALSE)-$BL31/VLOOKUP(VLOOKUP($BJ31,坦克个性化设定!$B$18:$E$48,4,FALSE)&amp;$BK31,坦克属性分配比例,MATCH("升星次数",坦克属性分配比例标头,0),FALSE)*VLOOKUP($BJ31,$AR$3:$AY$33,MATCH(BY$3,$AR$3:$AY$3,0),FALSE),2)</f>
        <v>0.47</v>
      </c>
      <c r="CA31" s="2">
        <v>28</v>
      </c>
      <c r="CB31" s="2" t="str">
        <f t="shared" si="15"/>
        <v>IS-4</v>
      </c>
      <c r="CC31" s="2" t="str">
        <f>VLOOKUP(CB31,坦克个性化设定!$B$18:$F$48,5,FALSE)</f>
        <v>重坦自动</v>
      </c>
      <c r="CD31" s="29" t="str">
        <f>VLOOKUP(CB31,坦克个性化细分!$I$3:$J$33,2,FALSE)</f>
        <v>中</v>
      </c>
      <c r="CE31" s="42">
        <f ca="1">(VLOOKUP($CB31&amp;"最终",$S$3:$AE$63,MATCH(CE$3,$S$3:$AE$3,0),FALSE)-VLOOKUP($CB31&amp;"初始",$S$3:$AE$63,MATCH(CE$3,$S$3:$AE$3,0),FALSE))*VLOOKUP(VLOOKUP($CB31,坦克个性化设定!$B$18:$E$48,4,FALSE)&amp;$CD31,坦克属性分配比例,MATCH("部件比例",坦克属性分配比例标头,0),FALSE)</f>
        <v>419.33270838169204</v>
      </c>
      <c r="CF31" s="42">
        <f ca="1">(VLOOKUP($CB31&amp;"最终",$S$3:$AE$63,MATCH(CF$3,$S$3:$AE$3,0),FALSE)-VLOOKUP($CB31&amp;"初始",$S$3:$AE$63,MATCH(CF$3,$S$3:$AE$3,0),FALSE))*VLOOKUP(VLOOKUP($CB31,坦克个性化设定!$B$18:$E$48,4,FALSE)&amp;$CD31,坦克属性分配比例,MATCH("部件比例",坦克属性分配比例标头,0),FALSE)</f>
        <v>118.68688875221197</v>
      </c>
      <c r="CG31" s="42">
        <f ca="1">(VLOOKUP($CB31&amp;"最终",$S$3:$AE$63,MATCH(CG$3,$S$3:$AE$3,0),FALSE)-VLOOKUP($CB31&amp;"初始",$S$3:$AE$63,MATCH(CG$3,$S$3:$AE$3,0),FALSE))*VLOOKUP(VLOOKUP($CB31,坦克个性化设定!$B$18:$E$48,4,FALSE)&amp;$CD31,坦克属性分配比例,MATCH("部件比例",坦克属性分配比例标头,0),FALSE)*(1-$C$3)</f>
        <v>49.5</v>
      </c>
      <c r="CH31" s="42">
        <f ca="1">(VLOOKUP($CB31&amp;"最终",$S$3:$AE$63,MATCH(CH$3,$S$3:$AE$3,0),FALSE)-VLOOKUP($CB31&amp;"初始",$S$3:$AE$63,MATCH(CH$3,$S$3:$AE$3,0),FALSE))*VLOOKUP(VLOOKUP($CB31,坦克个性化设定!$B$18:$E$48,4,FALSE)&amp;$CD31,坦克属性分配比例,MATCH("部件比例",坦克属性分配比例标头,0),FALSE)*(1-$C$3)</f>
        <v>39.6</v>
      </c>
      <c r="CI31" s="42">
        <f ca="1">(VLOOKUP($CB31&amp;"最终",$S$3:$AE$63,MATCH(CI$3,$S$3:$AE$3,0),FALSE)-VLOOKUP($CB31&amp;"初始",$S$3:$AE$63,MATCH(CI$3,$S$3:$AE$3,0),FALSE))*VLOOKUP(VLOOKUP($CB31,坦克个性化设定!$B$18:$E$48,4,FALSE)&amp;$CD31,坦克属性分配比例,MATCH("部件比例",坦克属性分配比例标头,0),FALSE)</f>
        <v>181.35</v>
      </c>
    </row>
    <row r="32" spans="2:87" x14ac:dyDescent="0.3">
      <c r="B32" s="2">
        <v>27</v>
      </c>
      <c r="C32" s="2" t="str">
        <f>坦克个性化设定!B45</f>
        <v>征服者</v>
      </c>
      <c r="D32" s="2">
        <v>3411</v>
      </c>
      <c r="E32" s="2" t="s">
        <v>663</v>
      </c>
      <c r="F32" s="2">
        <v>0</v>
      </c>
      <c r="G32" s="25" t="str">
        <f t="shared" si="17"/>
        <v>征服者</v>
      </c>
      <c r="H32" s="25"/>
      <c r="I32" s="25"/>
      <c r="J32" s="25"/>
      <c r="K32" s="25"/>
      <c r="L32" s="25"/>
      <c r="M32" s="25"/>
      <c r="N32" s="25"/>
      <c r="O32" s="25"/>
      <c r="P32" s="25"/>
      <c r="Q32" s="25"/>
      <c r="R32" s="25"/>
      <c r="S32" s="2" t="str">
        <f t="shared" si="2"/>
        <v>谢尔曼初始</v>
      </c>
      <c r="T32" s="2">
        <f>IF(COUNTIF(U$4:U31,U31)&gt;=$B$3,T31+1,T31)</f>
        <v>15</v>
      </c>
      <c r="U32" s="2" t="str">
        <f t="shared" si="3"/>
        <v>谢尔曼</v>
      </c>
      <c r="V32" s="2" t="str">
        <f>VLOOKUP(U32,坦克个性化设定!$B$18:$F$48,5,FALSE)</f>
        <v>中坦自动</v>
      </c>
      <c r="W32" s="29" t="str">
        <f>VLOOKUP(U32,坦克个性化细分!$I$3:$J$33,2,FALSE)</f>
        <v>中</v>
      </c>
      <c r="X32" s="2" t="str">
        <f t="shared" si="16"/>
        <v>初始</v>
      </c>
      <c r="Y32" s="2" t="str">
        <f>VLOOKUP(VLOOKUP(U32,坦克个性化设定!$B$18:$F$48,4,FALSE)&amp;W32,坦克等级成长!$P$12:$U$24,MATCH(X32,坦克等级成长!$P$12:$U$12,0),FALSE)</f>
        <v>T3中3</v>
      </c>
      <c r="Z32" s="42">
        <f ca="1">VLOOKUP($Y32,INDIRECT($V32&amp;"_阶段属性"),MATCH(Z$3,属性标头_阶段属性,0),FALSE)*VLOOKUP($U32,坦克个性化设定!$B$84:$D$114,2,FALSE)</f>
        <v>1298.5709601179053</v>
      </c>
      <c r="AA32" s="42">
        <f ca="1">VLOOKUP($Y32,INDIRECT($V32&amp;"_阶段属性"),MATCH(AA$3,属性标头_阶段属性,0),FALSE)*VLOOKUP($U32,坦克个性化设定!$B$84:$D$114,3,FALSE)</f>
        <v>163.57815042751918</v>
      </c>
      <c r="AB32" s="2">
        <f t="shared" ca="1" si="18"/>
        <v>506</v>
      </c>
      <c r="AC32" s="2">
        <f t="shared" ca="1" si="18"/>
        <v>380</v>
      </c>
      <c r="AD32" s="2">
        <f t="shared" ca="1" si="18"/>
        <v>554</v>
      </c>
      <c r="AE32" s="2">
        <f t="shared" ca="1" si="18"/>
        <v>133</v>
      </c>
      <c r="AF32" s="25"/>
      <c r="AH32" s="2">
        <v>29</v>
      </c>
      <c r="AI32" s="2" t="str">
        <f t="shared" si="5"/>
        <v>T-32</v>
      </c>
      <c r="AJ32" s="2">
        <f>VLOOKUP($AI32,坦克个性化细分!$I$3:$P$33,MATCH(AJ$3,坦克个性化细分!$I$3:$P$3,0),FALSE)</f>
        <v>32.200000000000003</v>
      </c>
      <c r="AK32" s="2">
        <f>VLOOKUP($AI32,坦克个性化细分!$I$3:$P$33,MATCH(AK$3,坦克个性化细分!$I$3:$P$3,0),FALSE)</f>
        <v>36.799999999999997</v>
      </c>
      <c r="AL32" s="2">
        <f>VLOOKUP($AI32,坦克个性化细分!$I$3:$P$33,MATCH(AL$3,坦克个性化细分!$I$3:$P$3,0),FALSE)</f>
        <v>6.6</v>
      </c>
      <c r="AM32" s="34">
        <f>VLOOKUP(AI32,坦克个性化细分!$AA$3:$AP$33,MATCH("射击偏移角",坦克个性化细分!$AA$3:$AP$3,0),FALSE)/VLOOKUP(AI32,坦克个性化细分!$AA$3:$AP$33,MATCH("原瞄准速度",坦克个性化细分!$AA$3:$AP$3,0),FALSE)</f>
        <v>3</v>
      </c>
      <c r="AN32" s="34">
        <f>VLOOKUP(AI32,坦克个性化细分!$AA$3:$AP$33,MATCH(AN$3,坦克个性化细分!$AA$3:$AP$3,0),FALSE)</f>
        <v>0</v>
      </c>
      <c r="AO32" s="2">
        <f>VLOOKUP(AI32,坦克个性化细分!$AA$3:$AP$33,MATCH("原换弹时间",坦克个性化细分!$AA$3:$AP$3,0),FALSE)</f>
        <v>6</v>
      </c>
      <c r="AP32" s="133"/>
      <c r="AQ32" s="2">
        <v>29</v>
      </c>
      <c r="AR32" s="2" t="str">
        <f t="shared" si="6"/>
        <v>T-32</v>
      </c>
      <c r="AS32" s="2" t="s">
        <v>88</v>
      </c>
      <c r="AT32" s="34">
        <f>VLOOKUP(AR32,坦克个性化细分!$I$3:$P$33,MATCH("养成区间1",坦克个性化细分!$I$3:$P$3,0),FALSE)</f>
        <v>8.0499999999999989</v>
      </c>
      <c r="AU32" s="2">
        <f>VLOOKUP(AR32,坦克个性化细分!$I$3:$P$33,MATCH("养成区间2",坦克个性化细分!$I$3:$P$3,0),FALSE)</f>
        <v>9.1999999999999957</v>
      </c>
      <c r="AV32" s="2">
        <f>VLOOKUP(AR32,坦克个性化细分!$I$3:$P$33,MATCH("养成区间3",坦克个性化细分!$I$3:$P$3,0),FALSE)</f>
        <v>0</v>
      </c>
      <c r="AW32" s="34">
        <f>VLOOKUP(AR32,坦克个性化细分!$AA$3:$AP$33,MATCH("瞄准区间",坦克个性化细分!$AA$3:$AP$3,0),FALSE)</f>
        <v>0.5</v>
      </c>
      <c r="AX32" s="34">
        <f>VLOOKUP(AI32,坦克个性化细分!$AA$3:$AP$33,MATCH("后射击间隔",坦克个性化细分!$AA$3:$AP$3,0),FALSE)-VLOOKUP(AI32,坦克个性化细分!$AA$3:$AP$33,MATCH(AN$3,坦克个性化细分!$AA$3:$AP$3,0),FALSE)</f>
        <v>0</v>
      </c>
      <c r="AY32" s="34">
        <f>VLOOKUP(AR32,坦克个性化细分!$AA$3:$AP$33,MATCH("换弹区间",坦克个性化细分!$AA$3:$AP$3,0),FALSE)</f>
        <v>0.84978540772532085</v>
      </c>
      <c r="AZ32" s="133"/>
      <c r="BA32" s="34">
        <f t="shared" si="8"/>
        <v>0.24999999999999994</v>
      </c>
      <c r="BB32" s="34">
        <f t="shared" si="9"/>
        <v>0.24999999999999992</v>
      </c>
      <c r="BC32" s="34">
        <f t="shared" si="10"/>
        <v>0</v>
      </c>
      <c r="BD32" s="34">
        <f t="shared" si="11"/>
        <v>0.16666666666666666</v>
      </c>
      <c r="BE32" s="34">
        <f t="shared" si="12"/>
        <v>0.14163090128755348</v>
      </c>
      <c r="BF32" s="34"/>
      <c r="BG32" s="133"/>
      <c r="BH32" s="2" t="str">
        <f t="shared" si="13"/>
        <v>35(t)6</v>
      </c>
      <c r="BI32" s="2">
        <f>IF(BL31&gt;=VLOOKUP(VLOOKUP(BJ31,坦克个性化设定!$B$18:$E$48,4,FALSE)&amp;BK31,坦克属性分配比例,MATCH("升星次数",坦克属性分配比例标头,0),FALSE),BI31+1,BI31)</f>
        <v>4</v>
      </c>
      <c r="BJ32" s="2" t="str">
        <f t="shared" si="14"/>
        <v>35(t)</v>
      </c>
      <c r="BK32" s="29" t="str">
        <f>VLOOKUP(BJ32,坦克个性化细分!$I$3:$J$33,2,FALSE)</f>
        <v>低</v>
      </c>
      <c r="BL32" s="2">
        <f t="shared" si="7"/>
        <v>6</v>
      </c>
      <c r="BM32" s="103">
        <f ca="1">ROUND(VLOOKUP($BJ32&amp;"初始",$S$3:$AE$63,MATCH(BM$3,$S$3:$AE$3,0),FALSE)+((VLOOKUP($BJ32&amp;"最终",$S$3:$AE$63,MATCH(BM$3,$S$3:$AE$3,0),FALSE)*坦克个性化细分!$C$9-VLOOKUP($BJ32&amp;"初始",$S$3:$AE$63,MATCH(BM$3,$S$3:$AE$3,0),FALSE))-(VLOOKUP($BJ32&amp;"最终",$S$3:$AE$63,MATCH(BM$3,$S$3:$AE$3,0),FALSE)-VLOOKUP($BJ32&amp;"初始",$S$3:$AE$63,MATCH(BM$3,$S$3:$AE$3,0),FALSE))*VLOOKUP(VLOOKUP($BJ32,坦克个性化设定!$B$18:$E$48,4,FALSE)&amp;$BK32,坦克属性分配比例,MATCH("部件比例",坦克属性分配比例标头,0),FALSE))*$BL32/VLOOKUP(VLOOKUP($BJ32,坦克个性化设定!$B$18:$E$48,4,FALSE)&amp;$BK32,坦克属性分配比例,MATCH("升星次数",坦克属性分配比例标头,0),FALSE),0)</f>
        <v>1584</v>
      </c>
      <c r="BN32" s="103">
        <f ca="1">ROUND(VLOOKUP($BJ32&amp;"初始",$S$3:$AE$63,MATCH(BN$3,$S$3:$AE$3,0),FALSE)+(VLOOKUP($BJ32&amp;"最终",$S$3:$AE$63,MATCH(BN$3,$S$3:$AE$3,0),FALSE)-VLOOKUP($BJ32&amp;"初始",$S$3:$AE$63,MATCH(BN$3,$S$3:$AE$3,0),FALSE))*$BL32/VLOOKUP(VLOOKUP($BJ32,坦克个性化设定!$B$18:$E$48,4,FALSE)&amp;$BK32,坦克属性分配比例,MATCH("升星次数",坦克属性分配比例标头,0),FALSE)*VLOOKUP(VLOOKUP($BJ32,坦克个性化设定!$B$18:$E$48,4,FALSE)&amp;$BK32,坦克属性分配比例,MATCH("升星比例",坦克属性分配比例标头,0),FALSE),0)</f>
        <v>120</v>
      </c>
      <c r="BO32" s="103">
        <f ca="1">ROUND(VLOOKUP($BJ32&amp;"初始",$S$3:$AE$63,MATCH(BO$3,$S$3:$AE$3,0),FALSE)+(VLOOKUP($BJ32&amp;"最终",$S$3:$AE$63,MATCH(BO$3,$S$3:$AE$3,0),FALSE)-VLOOKUP($BJ32&amp;"初始",$S$3:$AE$63,MATCH(BO$3,$S$3:$AE$3,0),FALSE))*$BL32/VLOOKUP(VLOOKUP($BJ32,坦克个性化设定!$B$18:$E$48,4,FALSE)&amp;$BK32,坦克属性分配比例,MATCH("升星次数",坦克属性分配比例标头,0),FALSE)*(VLOOKUP(VLOOKUP($BJ32,坦克个性化设定!$B$18:$E$48,4,FALSE)&amp;$BK32,坦克属性分配比例,MATCH("升星比例",坦克属性分配比例标头,0),FALSE)+VLOOKUP(VLOOKUP($BJ32,坦克个性化设定!$B$18:$E$48,4,FALSE)&amp;$BK32,坦克属性分配比例,MATCH("部件比例",坦克属性分配比例标头,0),FALSE)*$C$3),0)</f>
        <v>613</v>
      </c>
      <c r="BP32" s="103">
        <f ca="1">ROUND(VLOOKUP($BJ32&amp;"初始",$S$3:$AE$63,MATCH(BP$3,$S$3:$AE$3,0),FALSE)+(VLOOKUP($BJ32&amp;"最终",$S$3:$AE$63,MATCH(BP$3,$S$3:$AE$3,0),FALSE)-VLOOKUP($BJ32&amp;"初始",$S$3:$AE$63,MATCH(BP$3,$S$3:$AE$3,0),FALSE))*$BL32/VLOOKUP(VLOOKUP($BJ32,坦克个性化设定!$B$18:$E$48,4,FALSE)&amp;$BK32,坦克属性分配比例,MATCH("升星次数",坦克属性分配比例标头,0),FALSE)*(VLOOKUP(VLOOKUP($BJ32,坦克个性化设定!$B$18:$E$48,4,FALSE)&amp;$BK32,坦克属性分配比例,MATCH("升星比例",坦克属性分配比例标头,0),FALSE)+VLOOKUP(VLOOKUP($BJ32,坦克个性化设定!$B$18:$E$48,4,FALSE)&amp;$BK32,坦克属性分配比例,MATCH("部件比例",坦克属性分配比例标头,0),FALSE)*$C$3),0)</f>
        <v>429</v>
      </c>
      <c r="BQ32" s="103">
        <f ca="1">ROUND(VLOOKUP($BJ32&amp;"初始",$S$3:$AE$63,MATCH(BQ$3,$S$3:$AE$3,0),FALSE)+(VLOOKUP($BJ32&amp;"最终",$S$3:$AE$63,MATCH(BQ$3,$S$3:$AE$3,0),FALSE)-VLOOKUP($BJ32&amp;"初始",$S$3:$AE$63,MATCH(BQ$3,$S$3:$AE$3,0),FALSE))*$BL32/VLOOKUP(VLOOKUP($BJ32,坦克个性化设定!$B$18:$E$48,4,FALSE)&amp;$BK32,坦克属性分配比例,MATCH("升星次数",坦克属性分配比例标头,0),FALSE)*VLOOKUP(VLOOKUP($BJ32,坦克个性化设定!$B$18:$E$48,4,FALSE)&amp;$BK32,坦克属性分配比例,MATCH("升星比例",坦克属性分配比例标头,0),FALSE),0)</f>
        <v>527</v>
      </c>
      <c r="BR32" s="2">
        <f ca="1">ROUND(VLOOKUP($BJ32&amp;"初始",$S$3:$AE$63,MATCH(BR$3,$S$3:$AE$3,0),FALSE)+(VLOOKUP($BJ32&amp;"最终",$S$3:$AE$63,MATCH(BR$3,$S$3:$AE$3,0),FALSE)-VLOOKUP($BJ32&amp;"初始",$S$3:$AE$63,MATCH(BR$3,$S$3:$AE$3,0),FALSE))*$BL32/VLOOKUP(VLOOKUP($BJ32,坦克个性化设定!$B$18:$E$48,4,FALSE)&amp;$BK32,坦克属性分配比例,MATCH("升星次数",坦克属性分配比例标头,0),FALSE),0)</f>
        <v>155</v>
      </c>
      <c r="BS32" s="2">
        <f>ROUND(VLOOKUP($BJ32,$AI$3:$AO$33,MATCH(BS$3,$AI$3:$AO$3,0),FALSE)+$BL32/VLOOKUP(VLOOKUP($BJ32,坦克个性化设定!$B$18:$E$48,4,FALSE)&amp;$BK32,坦克属性分配比例,MATCH("升星次数",坦克属性分配比例标头,0),FALSE)*VLOOKUP($BJ32,$AR$3:$AY$33,MATCH(BS$3,$AR$3:$AY$3,0),FALSE),1)</f>
        <v>49.5</v>
      </c>
      <c r="BT32" s="2">
        <f>ROUND(VLOOKUP($BJ32,$AI$3:$AO$33,MATCH(BT$3,$AI$3:$AO$3,0),FALSE)+$BL32/VLOOKUP(VLOOKUP($BJ32,坦克个性化设定!$B$18:$E$48,4,FALSE)&amp;$BK32,坦克属性分配比例,MATCH("升星次数",坦克属性分配比例标头,0),FALSE)*VLOOKUP($BJ32,$AR$3:$AY$33,MATCH(BT$3,$AR$3:$AY$3,0),FALSE),1)</f>
        <v>58.3</v>
      </c>
      <c r="BU32" s="2">
        <f>ROUND(VLOOKUP($BJ32,$AI$3:$AO$33,MATCH(BU$3,$AI$3:$AO$3,0),FALSE)+$BL32/VLOOKUP(VLOOKUP($BJ32,坦克个性化设定!$B$18:$E$48,4,FALSE)&amp;$BK32,坦克属性分配比例,MATCH("升星次数",坦克属性分配比例标头,0),FALSE)*VLOOKUP($BJ32,$AR$3:$AY$33,MATCH(BU$3,$AR$3:$AY$3,0),FALSE),1)</f>
        <v>10</v>
      </c>
      <c r="BV32" s="2">
        <f>IF(VLOOKUP(BJ32,坦克个性化设定!$B$18:$BC$48,MATCH("装弹类型",坦克个性化设定!$B$18:$BC$18,0),FALSE)="弹夹换弹",0,ROUND(VLOOKUP($BJ32,$AI$3:$AO$33,MATCH("换弹时间",$AI$3:$AO$3,0),FALSE)-$BL32/VLOOKUP(VLOOKUP($BJ32,坦克个性化设定!$B$18:$E$48,4,FALSE)&amp;$BK32,坦克属性分配比例,MATCH("升星次数",坦克属性分配比例标头,0),FALSE)*VLOOKUP($BJ32,$AR$3:$AY$33,MATCH("换弹时间",$AR$3:$AY$3,0),FALSE),2))</f>
        <v>0</v>
      </c>
      <c r="BW32" s="2">
        <f>IF(VLOOKUP(BJ32,坦克个性化设定!$B$18:$BC$48,MATCH("装弹类型",坦克个性化设定!$B$18:$BC$18,0),FALSE)="弹夹换弹",ROUND(VLOOKUP($BJ32,$AI$3:$AO$33,MATCH("换弹时间",$AI$3:$AO$3,0),FALSE)-$BL32/VLOOKUP(VLOOKUP($BJ32,坦克个性化设定!$B$18:$E$48,4,FALSE)&amp;$BK32,坦克属性分配比例,MATCH("升星次数",坦克属性分配比例标头,0),FALSE)*VLOOKUP($BJ32,$AR$3:$AY$33,MATCH("换弹时间",$AR$3:$AY$3,0),FALSE),1),0)</f>
        <v>5</v>
      </c>
      <c r="BX32" s="2">
        <f>ROUND(VLOOKUP($BJ32,$AI$3:$AO$33,MATCH(BX$3,$AI$3:$AO$3,0),FALSE)+$BL32/VLOOKUP(VLOOKUP($BJ32,坦克个性化设定!$B$18:$E$48,4,FALSE)&amp;$BK32,坦克属性分配比例,MATCH("升星次数",坦克属性分配比例标头,0),FALSE)*VLOOKUP($BJ32,$AR$3:$AY$33,MATCH(BX$3,$AR$3:$AY$3,0),FALSE),2)</f>
        <v>0.8</v>
      </c>
      <c r="BY32" s="2">
        <f>ROUND(VLOOKUP($BJ32,$AI$3:$AO$33,MATCH(BY$3,$AI$3:$AO$3,0),FALSE)-$BL32/VLOOKUP(VLOOKUP($BJ32,坦克个性化设定!$B$18:$E$48,4,FALSE)&amp;$BK32,坦克属性分配比例,MATCH("升星次数",坦克属性分配比例标头,0),FALSE)*VLOOKUP($BJ32,$AR$3:$AY$33,MATCH(BY$3,$AR$3:$AY$3,0),FALSE),2)</f>
        <v>0.46</v>
      </c>
      <c r="CA32" s="2">
        <v>29</v>
      </c>
      <c r="CB32" s="2" t="str">
        <f t="shared" si="15"/>
        <v>T-32</v>
      </c>
      <c r="CC32" s="2" t="str">
        <f>VLOOKUP(CB32,坦克个性化设定!$B$18:$F$48,5,FALSE)</f>
        <v>重坦单发</v>
      </c>
      <c r="CD32" s="29" t="str">
        <f>VLOOKUP(CB32,坦克个性化细分!$I$3:$J$33,2,FALSE)</f>
        <v>高</v>
      </c>
      <c r="CE32" s="42">
        <f ca="1">(VLOOKUP($CB32&amp;"最终",$S$3:$AE$63,MATCH(CE$3,$S$3:$AE$3,0),FALSE)-VLOOKUP($CB32&amp;"初始",$S$3:$AE$63,MATCH(CE$3,$S$3:$AE$3,0),FALSE))*VLOOKUP(VLOOKUP($CB32,坦克个性化设定!$B$18:$E$48,4,FALSE)&amp;$CD32,坦克属性分配比例,MATCH("部件比例",坦克属性分配比例标头,0),FALSE)</f>
        <v>397.21616943292236</v>
      </c>
      <c r="CF32" s="42">
        <f ca="1">(VLOOKUP($CB32&amp;"最终",$S$3:$AE$63,MATCH(CF$3,$S$3:$AE$3,0),FALSE)-VLOOKUP($CB32&amp;"初始",$S$3:$AE$63,MATCH(CF$3,$S$3:$AE$3,0),FALSE))*VLOOKUP(VLOOKUP($CB32,坦克个性化设定!$B$18:$E$48,4,FALSE)&amp;$CD32,坦克属性分配比例,MATCH("部件比例",坦克属性分配比例标头,0),FALSE)</f>
        <v>172.99484584955715</v>
      </c>
      <c r="CG32" s="42">
        <f ca="1">(VLOOKUP($CB32&amp;"最终",$S$3:$AE$63,MATCH(CG$3,$S$3:$AE$3,0),FALSE)-VLOOKUP($CB32&amp;"初始",$S$3:$AE$63,MATCH(CG$3,$S$3:$AE$3,0),FALSE))*VLOOKUP(VLOOKUP($CB32,坦克个性化设定!$B$18:$E$48,4,FALSE)&amp;$CD32,坦克属性分配比例,MATCH("部件比例",坦克属性分配比例标头,0),FALSE)*(1-$C$3)</f>
        <v>57.6</v>
      </c>
      <c r="CH32" s="42">
        <f ca="1">(VLOOKUP($CB32&amp;"最终",$S$3:$AE$63,MATCH(CH$3,$S$3:$AE$3,0),FALSE)-VLOOKUP($CB32&amp;"初始",$S$3:$AE$63,MATCH(CH$3,$S$3:$AE$3,0),FALSE))*VLOOKUP(VLOOKUP($CB32,坦克个性化设定!$B$18:$E$48,4,FALSE)&amp;$CD32,坦克属性分配比例,MATCH("部件比例",坦克属性分配比例标头,0),FALSE)*(1-$C$3)</f>
        <v>46.080000000000005</v>
      </c>
      <c r="CI32" s="42">
        <f ca="1">(VLOOKUP($CB32&amp;"最终",$S$3:$AE$63,MATCH(CI$3,$S$3:$AE$3,0),FALSE)-VLOOKUP($CB32&amp;"初始",$S$3:$AE$63,MATCH(CI$3,$S$3:$AE$3,0),FALSE))*VLOOKUP(VLOOKUP($CB32,坦克个性化设定!$B$18:$E$48,4,FALSE)&amp;$CD32,坦克属性分配比例,MATCH("部件比例",坦克属性分配比例标头,0),FALSE)</f>
        <v>192.6</v>
      </c>
    </row>
    <row r="33" spans="2:87" x14ac:dyDescent="0.3">
      <c r="B33" s="2">
        <v>28</v>
      </c>
      <c r="C33" s="2" t="str">
        <f>坦克个性化设定!B46</f>
        <v>IS-4</v>
      </c>
      <c r="D33" s="2">
        <v>3421</v>
      </c>
      <c r="E33" s="2" t="s">
        <v>665</v>
      </c>
      <c r="F33" s="2">
        <v>0</v>
      </c>
      <c r="G33" s="25" t="str">
        <f t="shared" si="17"/>
        <v>IS-4</v>
      </c>
      <c r="H33" s="25"/>
      <c r="I33" s="25"/>
      <c r="J33" s="25"/>
      <c r="K33" s="25"/>
      <c r="L33" s="25"/>
      <c r="M33" s="25"/>
      <c r="N33" s="25"/>
      <c r="O33" s="25"/>
      <c r="P33" s="25"/>
      <c r="Q33" s="25"/>
      <c r="R33" s="25"/>
      <c r="S33" s="2" t="str">
        <f t="shared" si="2"/>
        <v>谢尔曼最终</v>
      </c>
      <c r="T33" s="2">
        <f>IF(COUNTIF(U$4:U32,U32)&gt;=$B$3,T32+1,T32)</f>
        <v>15</v>
      </c>
      <c r="U33" s="2" t="str">
        <f t="shared" si="3"/>
        <v>谢尔曼</v>
      </c>
      <c r="V33" s="2" t="str">
        <f>VLOOKUP(U33,坦克个性化设定!$B$18:$F$48,5,FALSE)</f>
        <v>中坦自动</v>
      </c>
      <c r="W33" s="29" t="str">
        <f>VLOOKUP(U33,坦克个性化细分!$I$3:$J$33,2,FALSE)</f>
        <v>中</v>
      </c>
      <c r="X33" s="2" t="str">
        <f t="shared" si="16"/>
        <v>最终</v>
      </c>
      <c r="Y33" s="2" t="str">
        <f>VLOOKUP(VLOOKUP(U33,坦克个性化设定!$B$18:$F$48,4,FALSE)&amp;W33,坦克等级成长!$P$12:$U$24,MATCH(X33,坦克等级成长!$P$12:$U$12,0),FALSE)</f>
        <v>T3中5</v>
      </c>
      <c r="Z33" s="42">
        <f ca="1">VLOOKUP($Y33,INDIRECT($V33&amp;"_阶段属性"),MATCH(Z$3,属性标头_阶段属性,0),FALSE)*VLOOKUP($U33,坦克个性化设定!$B$84:$D$114,2,FALSE)</f>
        <v>1922.4708424602672</v>
      </c>
      <c r="AA33" s="42">
        <f ca="1">VLOOKUP($Y33,INDIRECT($V33&amp;"_阶段属性"),MATCH(AA$3,属性标头_阶段属性,0),FALSE)*VLOOKUP($U33,坦克个性化设定!$B$84:$D$114,3,FALSE)</f>
        <v>242.38222289625105</v>
      </c>
      <c r="AB33" s="2">
        <f t="shared" ca="1" si="18"/>
        <v>749</v>
      </c>
      <c r="AC33" s="2">
        <f t="shared" ca="1" si="18"/>
        <v>562</v>
      </c>
      <c r="AD33" s="2">
        <f t="shared" ca="1" si="18"/>
        <v>821</v>
      </c>
      <c r="AE33" s="2">
        <f t="shared" ca="1" si="18"/>
        <v>197</v>
      </c>
      <c r="AF33" s="25"/>
      <c r="AH33" s="2">
        <v>30</v>
      </c>
      <c r="AI33" s="2" t="str">
        <f t="shared" si="5"/>
        <v>M1A2</v>
      </c>
      <c r="AJ33" s="2">
        <f>VLOOKUP($AI33,坦克个性化细分!$I$3:$P$33,MATCH(AJ$3,坦克个性化细分!$I$3:$P$3,0),FALSE)</f>
        <v>30.7</v>
      </c>
      <c r="AK33" s="2">
        <f>VLOOKUP($AI33,坦克个性化细分!$I$3:$P$33,MATCH(AK$3,坦克个性化细分!$I$3:$P$3,0),FALSE)</f>
        <v>35</v>
      </c>
      <c r="AL33" s="2">
        <f>VLOOKUP($AI33,坦克个性化细分!$I$3:$P$33,MATCH(AL$3,坦克个性化细分!$I$3:$P$3,0),FALSE)</f>
        <v>6.3</v>
      </c>
      <c r="AM33" s="34">
        <f>VLOOKUP(AI33,坦克个性化细分!$AA$3:$AP$33,MATCH("射击偏移角",坦克个性化细分!$AA$3:$AP$3,0),FALSE)/VLOOKUP(AI33,坦克个性化细分!$AA$3:$AP$33,MATCH("原瞄准速度",坦克个性化细分!$AA$3:$AP$3,0),FALSE)</f>
        <v>3</v>
      </c>
      <c r="AN33" s="34">
        <f>VLOOKUP(AI33,坦克个性化细分!$AA$3:$AP$33,MATCH(AN$3,坦克个性化细分!$AA$3:$AP$3,0),FALSE)</f>
        <v>0</v>
      </c>
      <c r="AO33" s="2">
        <f>VLOOKUP(AI33,坦克个性化细分!$AA$3:$AP$33,MATCH("原换弹时间",坦克个性化细分!$AA$3:$AP$3,0),FALSE)</f>
        <v>6</v>
      </c>
      <c r="AP33" s="133"/>
      <c r="AQ33" s="2">
        <v>30</v>
      </c>
      <c r="AR33" s="2" t="str">
        <f t="shared" si="6"/>
        <v>M1A2</v>
      </c>
      <c r="AS33" s="2" t="s">
        <v>88</v>
      </c>
      <c r="AT33" s="34">
        <f>VLOOKUP(AR33,坦克个性化细分!$I$3:$P$33,MATCH("养成区间1",坦克个性化细分!$I$3:$P$3,0),FALSE)</f>
        <v>7.674999999999998</v>
      </c>
      <c r="AU33" s="2">
        <f>VLOOKUP(AR33,坦克个性化细分!$I$3:$P$33,MATCH("养成区间2",坦克个性化细分!$I$3:$P$3,0),FALSE)</f>
        <v>8.7499999999999982</v>
      </c>
      <c r="AV33" s="2">
        <f>VLOOKUP(AR33,坦克个性化细分!$I$3:$P$33,MATCH("养成区间3",坦克个性化细分!$I$3:$P$3,0),FALSE)</f>
        <v>0</v>
      </c>
      <c r="AW33" s="34">
        <f>VLOOKUP(AR33,坦克个性化细分!$AA$3:$AP$33,MATCH("瞄准区间",坦克个性化细分!$AA$3:$AP$3,0),FALSE)</f>
        <v>0.5</v>
      </c>
      <c r="AX33" s="34">
        <f>VLOOKUP(AI33,坦克个性化细分!$AA$3:$AP$33,MATCH("后射击间隔",坦克个性化细分!$AA$3:$AP$3,0),FALSE)-VLOOKUP(AI33,坦克个性化细分!$AA$3:$AP$33,MATCH(AN$3,坦克个性化细分!$AA$3:$AP$3,0),FALSE)</f>
        <v>0</v>
      </c>
      <c r="AY33" s="34">
        <f>VLOOKUP(AR33,坦克个性化细分!$AA$3:$AP$33,MATCH("换弹区间",坦克个性化细分!$AA$3:$AP$3,0),FALSE)</f>
        <v>0.84978540772532085</v>
      </c>
      <c r="AZ33" s="133"/>
      <c r="BA33" s="34">
        <f t="shared" si="8"/>
        <v>0.24999999999999994</v>
      </c>
      <c r="BB33" s="34">
        <f t="shared" si="9"/>
        <v>0.24999999999999994</v>
      </c>
      <c r="BC33" s="34">
        <f t="shared" si="10"/>
        <v>0</v>
      </c>
      <c r="BD33" s="34">
        <f t="shared" si="11"/>
        <v>0.16666666666666666</v>
      </c>
      <c r="BE33" s="34">
        <f t="shared" si="12"/>
        <v>0.14163090128755348</v>
      </c>
      <c r="BF33" s="34"/>
      <c r="BG33" s="133"/>
      <c r="BH33" s="2" t="str">
        <f t="shared" si="13"/>
        <v>35(t)7</v>
      </c>
      <c r="BI33" s="2">
        <f>IF(BL32&gt;=VLOOKUP(VLOOKUP(BJ32,坦克个性化设定!$B$18:$E$48,4,FALSE)&amp;BK32,坦克属性分配比例,MATCH("升星次数",坦克属性分配比例标头,0),FALSE),BI32+1,BI32)</f>
        <v>4</v>
      </c>
      <c r="BJ33" s="2" t="str">
        <f t="shared" si="14"/>
        <v>35(t)</v>
      </c>
      <c r="BK33" s="29" t="str">
        <f>VLOOKUP(BJ33,坦克个性化细分!$I$3:$J$33,2,FALSE)</f>
        <v>低</v>
      </c>
      <c r="BL33" s="2">
        <f t="shared" si="7"/>
        <v>7</v>
      </c>
      <c r="BM33" s="103">
        <f ca="1">ROUND(VLOOKUP($BJ33&amp;"初始",$S$3:$AE$63,MATCH(BM$3,$S$3:$AE$3,0),FALSE)+((VLOOKUP($BJ33&amp;"最终",$S$3:$AE$63,MATCH(BM$3,$S$3:$AE$3,0),FALSE)*坦克个性化细分!$C$9-VLOOKUP($BJ33&amp;"初始",$S$3:$AE$63,MATCH(BM$3,$S$3:$AE$3,0),FALSE))-(VLOOKUP($BJ33&amp;"最终",$S$3:$AE$63,MATCH(BM$3,$S$3:$AE$3,0),FALSE)-VLOOKUP($BJ33&amp;"初始",$S$3:$AE$63,MATCH(BM$3,$S$3:$AE$3,0),FALSE))*VLOOKUP(VLOOKUP($BJ33,坦克个性化设定!$B$18:$E$48,4,FALSE)&amp;$BK33,坦克属性分配比例,MATCH("部件比例",坦克属性分配比例标头,0),FALSE))*$BL33/VLOOKUP(VLOOKUP($BJ33,坦克个性化设定!$B$18:$E$48,4,FALSE)&amp;$BK33,坦克属性分配比例,MATCH("升星次数",坦克属性分配比例标头,0),FALSE),0)</f>
        <v>1648</v>
      </c>
      <c r="BN33" s="103">
        <f ca="1">ROUND(VLOOKUP($BJ33&amp;"初始",$S$3:$AE$63,MATCH(BN$3,$S$3:$AE$3,0),FALSE)+(VLOOKUP($BJ33&amp;"最终",$S$3:$AE$63,MATCH(BN$3,$S$3:$AE$3,0),FALSE)-VLOOKUP($BJ33&amp;"初始",$S$3:$AE$63,MATCH(BN$3,$S$3:$AE$3,0),FALSE))*$BL33/VLOOKUP(VLOOKUP($BJ33,坦克个性化设定!$B$18:$E$48,4,FALSE)&amp;$BK33,坦克属性分配比例,MATCH("升星次数",坦克属性分配比例标头,0),FALSE)*VLOOKUP(VLOOKUP($BJ33,坦克个性化设定!$B$18:$E$48,4,FALSE)&amp;$BK33,坦克属性分配比例,MATCH("升星比例",坦克属性分配比例标头,0),FALSE),0)</f>
        <v>123</v>
      </c>
      <c r="BO33" s="103">
        <f ca="1">ROUND(VLOOKUP($BJ33&amp;"初始",$S$3:$AE$63,MATCH(BO$3,$S$3:$AE$3,0),FALSE)+(VLOOKUP($BJ33&amp;"最终",$S$3:$AE$63,MATCH(BO$3,$S$3:$AE$3,0),FALSE)-VLOOKUP($BJ33&amp;"初始",$S$3:$AE$63,MATCH(BO$3,$S$3:$AE$3,0),FALSE))*$BL33/VLOOKUP(VLOOKUP($BJ33,坦克个性化设定!$B$18:$E$48,4,FALSE)&amp;$BK33,坦克属性分配比例,MATCH("升星次数",坦克属性分配比例标头,0),FALSE)*(VLOOKUP(VLOOKUP($BJ33,坦克个性化设定!$B$18:$E$48,4,FALSE)&amp;$BK33,坦克属性分配比例,MATCH("升星比例",坦克属性分配比例标头,0),FALSE)+VLOOKUP(VLOOKUP($BJ33,坦克个性化设定!$B$18:$E$48,4,FALSE)&amp;$BK33,坦克属性分配比例,MATCH("部件比例",坦克属性分配比例标头,0),FALSE)*$C$3),0)</f>
        <v>634</v>
      </c>
      <c r="BP33" s="103">
        <f ca="1">ROUND(VLOOKUP($BJ33&amp;"初始",$S$3:$AE$63,MATCH(BP$3,$S$3:$AE$3,0),FALSE)+(VLOOKUP($BJ33&amp;"最终",$S$3:$AE$63,MATCH(BP$3,$S$3:$AE$3,0),FALSE)-VLOOKUP($BJ33&amp;"初始",$S$3:$AE$63,MATCH(BP$3,$S$3:$AE$3,0),FALSE))*$BL33/VLOOKUP(VLOOKUP($BJ33,坦克个性化设定!$B$18:$E$48,4,FALSE)&amp;$BK33,坦克属性分配比例,MATCH("升星次数",坦克属性分配比例标头,0),FALSE)*(VLOOKUP(VLOOKUP($BJ33,坦克个性化设定!$B$18:$E$48,4,FALSE)&amp;$BK33,坦克属性分配比例,MATCH("升星比例",坦克属性分配比例标头,0),FALSE)+VLOOKUP(VLOOKUP($BJ33,坦克个性化设定!$B$18:$E$48,4,FALSE)&amp;$BK33,坦克属性分配比例,MATCH("部件比例",坦克属性分配比例标头,0),FALSE)*$C$3),0)</f>
        <v>444</v>
      </c>
      <c r="BQ33" s="103">
        <f ca="1">ROUND(VLOOKUP($BJ33&amp;"初始",$S$3:$AE$63,MATCH(BQ$3,$S$3:$AE$3,0),FALSE)+(VLOOKUP($BJ33&amp;"最终",$S$3:$AE$63,MATCH(BQ$3,$S$3:$AE$3,0),FALSE)-VLOOKUP($BJ33&amp;"初始",$S$3:$AE$63,MATCH(BQ$3,$S$3:$AE$3,0),FALSE))*$BL33/VLOOKUP(VLOOKUP($BJ33,坦克个性化设定!$B$18:$E$48,4,FALSE)&amp;$BK33,坦克属性分配比例,MATCH("升星次数",坦克属性分配比例标头,0),FALSE)*VLOOKUP(VLOOKUP($BJ33,坦克个性化设定!$B$18:$E$48,4,FALSE)&amp;$BK33,坦克属性分配比例,MATCH("升星比例",坦克属性分配比例标头,0),FALSE),0)</f>
        <v>541</v>
      </c>
      <c r="BR33" s="2">
        <f ca="1">ROUND(VLOOKUP($BJ33&amp;"初始",$S$3:$AE$63,MATCH(BR$3,$S$3:$AE$3,0),FALSE)+(VLOOKUP($BJ33&amp;"最终",$S$3:$AE$63,MATCH(BR$3,$S$3:$AE$3,0),FALSE)-VLOOKUP($BJ33&amp;"初始",$S$3:$AE$63,MATCH(BR$3,$S$3:$AE$3,0),FALSE))*$BL33/VLOOKUP(VLOOKUP($BJ33,坦克个性化设定!$B$18:$E$48,4,FALSE)&amp;$BK33,坦克属性分配比例,MATCH("升星次数",坦克属性分配比例标头,0),FALSE),0)</f>
        <v>162</v>
      </c>
      <c r="BS33" s="2">
        <f>ROUND(VLOOKUP($BJ33,$AI$3:$AO$33,MATCH(BS$3,$AI$3:$AO$3,0),FALSE)+$BL33/VLOOKUP(VLOOKUP($BJ33,坦克个性化设定!$B$18:$E$48,4,FALSE)&amp;$BK33,坦克属性分配比例,MATCH("升星次数",坦克属性分配比例标头,0),FALSE)*VLOOKUP($BJ33,$AR$3:$AY$33,MATCH(BS$3,$AR$3:$AY$3,0),FALSE),1)</f>
        <v>50.6</v>
      </c>
      <c r="BT33" s="2">
        <f>ROUND(VLOOKUP($BJ33,$AI$3:$AO$33,MATCH(BT$3,$AI$3:$AO$3,0),FALSE)+$BL33/VLOOKUP(VLOOKUP($BJ33,坦克个性化设定!$B$18:$E$48,4,FALSE)&amp;$BK33,坦克属性分配比例,MATCH("升星次数",坦克属性分配比例标头,0),FALSE)*VLOOKUP($BJ33,$AR$3:$AY$33,MATCH(BT$3,$AR$3:$AY$3,0),FALSE),1)</f>
        <v>59.7</v>
      </c>
      <c r="BU33" s="2">
        <f>ROUND(VLOOKUP($BJ33,$AI$3:$AO$33,MATCH(BU$3,$AI$3:$AO$3,0),FALSE)+$BL33/VLOOKUP(VLOOKUP($BJ33,坦克个性化设定!$B$18:$E$48,4,FALSE)&amp;$BK33,坦克属性分配比例,MATCH("升星次数",坦克属性分配比例标头,0),FALSE)*VLOOKUP($BJ33,$AR$3:$AY$33,MATCH(BU$3,$AR$3:$AY$3,0),FALSE),1)</f>
        <v>10</v>
      </c>
      <c r="BV33" s="2">
        <f>IF(VLOOKUP(BJ33,坦克个性化设定!$B$18:$BC$48,MATCH("装弹类型",坦克个性化设定!$B$18:$BC$18,0),FALSE)="弹夹换弹",0,ROUND(VLOOKUP($BJ33,$AI$3:$AO$33,MATCH("换弹时间",$AI$3:$AO$3,0),FALSE)-$BL33/VLOOKUP(VLOOKUP($BJ33,坦克个性化设定!$B$18:$E$48,4,FALSE)&amp;$BK33,坦克属性分配比例,MATCH("升星次数",坦克属性分配比例标头,0),FALSE)*VLOOKUP($BJ33,$AR$3:$AY$33,MATCH("换弹时间",$AR$3:$AY$3,0),FALSE),2))</f>
        <v>0</v>
      </c>
      <c r="BW33" s="2">
        <f>IF(VLOOKUP(BJ33,坦克个性化设定!$B$18:$BC$48,MATCH("装弹类型",坦克个性化设定!$B$18:$BC$18,0),FALSE)="弹夹换弹",ROUND(VLOOKUP($BJ33,$AI$3:$AO$33,MATCH("换弹时间",$AI$3:$AO$3,0),FALSE)-$BL33/VLOOKUP(VLOOKUP($BJ33,坦克个性化设定!$B$18:$E$48,4,FALSE)&amp;$BK33,坦克属性分配比例,MATCH("升星次数",坦克属性分配比例标头,0),FALSE)*VLOOKUP($BJ33,$AR$3:$AY$33,MATCH("换弹时间",$AR$3:$AY$3,0),FALSE),1),0)</f>
        <v>4.8</v>
      </c>
      <c r="BX33" s="2">
        <f>ROUND(VLOOKUP($BJ33,$AI$3:$AO$33,MATCH(BX$3,$AI$3:$AO$3,0),FALSE)+$BL33/VLOOKUP(VLOOKUP($BJ33,坦克个性化设定!$B$18:$E$48,4,FALSE)&amp;$BK33,坦克属性分配比例,MATCH("升星次数",坦克属性分配比例标头,0),FALSE)*VLOOKUP($BJ33,$AR$3:$AY$33,MATCH(BX$3,$AR$3:$AY$3,0),FALSE),2)</f>
        <v>0.8</v>
      </c>
      <c r="BY33" s="2">
        <f>ROUND(VLOOKUP($BJ33,$AI$3:$AO$33,MATCH(BY$3,$AI$3:$AO$3,0),FALSE)-$BL33/VLOOKUP(VLOOKUP($BJ33,坦克个性化设定!$B$18:$E$48,4,FALSE)&amp;$BK33,坦克属性分配比例,MATCH("升星次数",坦克属性分配比例标头,0),FALSE)*VLOOKUP($BJ33,$AR$3:$AY$33,MATCH(BY$3,$AR$3:$AY$3,0),FALSE),2)</f>
        <v>0.45</v>
      </c>
      <c r="CA33" s="2">
        <v>30</v>
      </c>
      <c r="CB33" s="2" t="str">
        <f t="shared" si="15"/>
        <v>M1A2</v>
      </c>
      <c r="CC33" s="2" t="str">
        <f>VLOOKUP(CB33,坦克个性化设定!$B$18:$F$48,5,FALSE)</f>
        <v>重坦单发</v>
      </c>
      <c r="CD33" s="29" t="str">
        <f>VLOOKUP(CB33,坦克个性化细分!$I$3:$J$33,2,FALSE)</f>
        <v>低</v>
      </c>
      <c r="CE33" s="42">
        <f ca="1">(VLOOKUP($CB33&amp;"最终",$S$3:$AE$63,MATCH(CE$3,$S$3:$AE$3,0),FALSE)-VLOOKUP($CB33&amp;"初始",$S$3:$AE$63,MATCH(CE$3,$S$3:$AE$3,0),FALSE))*VLOOKUP(VLOOKUP($CB33,坦克个性化设定!$B$18:$E$48,4,FALSE)&amp;$CD33,坦克属性分配比例,MATCH("部件比例",坦克属性分配比例标头,0),FALSE)</f>
        <v>551.09150294802589</v>
      </c>
      <c r="CF33" s="42">
        <f ca="1">(VLOOKUP($CB33&amp;"最终",$S$3:$AE$63,MATCH(CF$3,$S$3:$AE$3,0),FALSE)-VLOOKUP($CB33&amp;"初始",$S$3:$AE$63,MATCH(CF$3,$S$3:$AE$3,0),FALSE))*VLOOKUP(VLOOKUP($CB33,坦克个性化设定!$B$18:$E$48,4,FALSE)&amp;$CD33,坦克属性分配比例,MATCH("部件比例",坦克属性分配比例标头,0),FALSE)</f>
        <v>188.35347568367331</v>
      </c>
      <c r="CG33" s="42">
        <f ca="1">(VLOOKUP($CB33&amp;"最终",$S$3:$AE$63,MATCH(CG$3,$S$3:$AE$3,0),FALSE)-VLOOKUP($CB33&amp;"初始",$S$3:$AE$63,MATCH(CG$3,$S$3:$AE$3,0),FALSE))*VLOOKUP(VLOOKUP($CB33,坦克个性化设定!$B$18:$E$48,4,FALSE)&amp;$CD33,坦克属性分配比例,MATCH("部件比例",坦克属性分配比例标头,0),FALSE)*(1-$C$3)</f>
        <v>71</v>
      </c>
      <c r="CH33" s="42">
        <f ca="1">(VLOOKUP($CB33&amp;"最终",$S$3:$AE$63,MATCH(CH$3,$S$3:$AE$3,0),FALSE)-VLOOKUP($CB33&amp;"初始",$S$3:$AE$63,MATCH(CH$3,$S$3:$AE$3,0),FALSE))*VLOOKUP(VLOOKUP($CB33,坦克个性化设定!$B$18:$E$48,4,FALSE)&amp;$CD33,坦克属性分配比例,MATCH("部件比例",坦克属性分配比例标头,0),FALSE)*(1-$C$3)</f>
        <v>56.800000000000004</v>
      </c>
      <c r="CI33" s="42">
        <f ca="1">(VLOOKUP($CB33&amp;"最终",$S$3:$AE$63,MATCH(CI$3,$S$3:$AE$3,0),FALSE)-VLOOKUP($CB33&amp;"初始",$S$3:$AE$63,MATCH(CI$3,$S$3:$AE$3,0),FALSE))*VLOOKUP(VLOOKUP($CB33,坦克个性化设定!$B$18:$E$48,4,FALSE)&amp;$CD33,坦克属性分配比例,MATCH("部件比例",坦克属性分配比例标头,0),FALSE)</f>
        <v>237.5</v>
      </c>
    </row>
    <row r="34" spans="2:87" x14ac:dyDescent="0.3">
      <c r="B34" s="2">
        <v>29</v>
      </c>
      <c r="C34" s="2" t="str">
        <f>坦克个性化设定!B47</f>
        <v>T-32</v>
      </c>
      <c r="D34" s="2">
        <v>3431</v>
      </c>
      <c r="E34" s="2" t="s">
        <v>667</v>
      </c>
      <c r="F34" s="2">
        <v>0</v>
      </c>
      <c r="G34" s="25" t="str">
        <f t="shared" si="17"/>
        <v>T-32</v>
      </c>
      <c r="H34" s="25"/>
      <c r="I34" s="25"/>
      <c r="J34" s="25"/>
      <c r="K34" s="25"/>
      <c r="L34" s="25"/>
      <c r="M34" s="25"/>
      <c r="N34" s="25"/>
      <c r="O34" s="25"/>
      <c r="P34" s="25"/>
      <c r="Q34" s="25"/>
      <c r="R34" s="25"/>
      <c r="S34" s="2" t="str">
        <f t="shared" si="2"/>
        <v>彗星初始</v>
      </c>
      <c r="T34" s="2">
        <f>IF(COUNTIF(U$4:U33,U33)&gt;=$B$3,T33+1,T33)</f>
        <v>16</v>
      </c>
      <c r="U34" s="2" t="str">
        <f t="shared" si="3"/>
        <v>彗星</v>
      </c>
      <c r="V34" s="2" t="str">
        <f>VLOOKUP(U34,坦克个性化设定!$B$18:$F$48,5,FALSE)</f>
        <v>中坦自动</v>
      </c>
      <c r="W34" s="29" t="str">
        <f>VLOOKUP(U34,坦克个性化细分!$I$3:$J$33,2,FALSE)</f>
        <v>高</v>
      </c>
      <c r="X34" s="2" t="str">
        <f t="shared" si="16"/>
        <v>初始</v>
      </c>
      <c r="Y34" s="2" t="str">
        <f>VLOOKUP(VLOOKUP(U34,坦克个性化设定!$B$18:$F$48,4,FALSE)&amp;W34,坦克等级成长!$P$12:$U$24,MATCH(X34,坦克等级成长!$P$12:$U$12,0),FALSE)</f>
        <v>T3高3</v>
      </c>
      <c r="Z34" s="42">
        <f ca="1">VLOOKUP($Y34,INDIRECT($V34&amp;"_阶段属性"),MATCH(Z$3,属性标头_阶段属性,0),FALSE)*VLOOKUP($U34,坦克个性化设定!$B$84:$D$114,2,FALSE)</f>
        <v>1337.2877257862128</v>
      </c>
      <c r="AA34" s="42">
        <f ca="1">VLOOKUP($Y34,INDIRECT($V34&amp;"_阶段属性"),MATCH(AA$3,属性标头_阶段属性,0),FALSE)*VLOOKUP($U34,坦克个性化设定!$B$84:$D$114,3,FALSE)</f>
        <v>163.25456899489438</v>
      </c>
      <c r="AB34" s="2">
        <f t="shared" ca="1" si="18"/>
        <v>506</v>
      </c>
      <c r="AC34" s="2">
        <f t="shared" ca="1" si="18"/>
        <v>380</v>
      </c>
      <c r="AD34" s="2">
        <f t="shared" ca="1" si="18"/>
        <v>554</v>
      </c>
      <c r="AE34" s="2">
        <f t="shared" ca="1" si="18"/>
        <v>133</v>
      </c>
      <c r="AF34" s="25"/>
      <c r="BH34" s="2" t="str">
        <f t="shared" si="13"/>
        <v>35(t)8</v>
      </c>
      <c r="BI34" s="2">
        <f>IF(BL33&gt;=VLOOKUP(VLOOKUP(BJ33,坦克个性化设定!$B$18:$E$48,4,FALSE)&amp;BK33,坦克属性分配比例,MATCH("升星次数",坦克属性分配比例标头,0),FALSE),BI33+1,BI33)</f>
        <v>4</v>
      </c>
      <c r="BJ34" s="2" t="str">
        <f t="shared" si="14"/>
        <v>35(t)</v>
      </c>
      <c r="BK34" s="29" t="str">
        <f>VLOOKUP(BJ34,坦克个性化细分!$I$3:$J$33,2,FALSE)</f>
        <v>低</v>
      </c>
      <c r="BL34" s="2">
        <f t="shared" si="7"/>
        <v>8</v>
      </c>
      <c r="BM34" s="103">
        <f ca="1">ROUND(VLOOKUP($BJ34&amp;"初始",$S$3:$AE$63,MATCH(BM$3,$S$3:$AE$3,0),FALSE)+((VLOOKUP($BJ34&amp;"最终",$S$3:$AE$63,MATCH(BM$3,$S$3:$AE$3,0),FALSE)*坦克个性化细分!$C$9-VLOOKUP($BJ34&amp;"初始",$S$3:$AE$63,MATCH(BM$3,$S$3:$AE$3,0),FALSE))-(VLOOKUP($BJ34&amp;"最终",$S$3:$AE$63,MATCH(BM$3,$S$3:$AE$3,0),FALSE)-VLOOKUP($BJ34&amp;"初始",$S$3:$AE$63,MATCH(BM$3,$S$3:$AE$3,0),FALSE))*VLOOKUP(VLOOKUP($BJ34,坦克个性化设定!$B$18:$E$48,4,FALSE)&amp;$BK34,坦克属性分配比例,MATCH("部件比例",坦克属性分配比例标头,0),FALSE))*$BL34/VLOOKUP(VLOOKUP($BJ34,坦克个性化设定!$B$18:$E$48,4,FALSE)&amp;$BK34,坦克属性分配比例,MATCH("升星次数",坦克属性分配比例标头,0),FALSE),0)</f>
        <v>1711</v>
      </c>
      <c r="BN34" s="103">
        <f ca="1">ROUND(VLOOKUP($BJ34&amp;"初始",$S$3:$AE$63,MATCH(BN$3,$S$3:$AE$3,0),FALSE)+(VLOOKUP($BJ34&amp;"最终",$S$3:$AE$63,MATCH(BN$3,$S$3:$AE$3,0),FALSE)-VLOOKUP($BJ34&amp;"初始",$S$3:$AE$63,MATCH(BN$3,$S$3:$AE$3,0),FALSE))*$BL34/VLOOKUP(VLOOKUP($BJ34,坦克个性化设定!$B$18:$E$48,4,FALSE)&amp;$BK34,坦克属性分配比例,MATCH("升星次数",坦克属性分配比例标头,0),FALSE)*VLOOKUP(VLOOKUP($BJ34,坦克个性化设定!$B$18:$E$48,4,FALSE)&amp;$BK34,坦克属性分配比例,MATCH("升星比例",坦克属性分配比例标头,0),FALSE),0)</f>
        <v>126</v>
      </c>
      <c r="BO34" s="103">
        <f ca="1">ROUND(VLOOKUP($BJ34&amp;"初始",$S$3:$AE$63,MATCH(BO$3,$S$3:$AE$3,0),FALSE)+(VLOOKUP($BJ34&amp;"最终",$S$3:$AE$63,MATCH(BO$3,$S$3:$AE$3,0),FALSE)-VLOOKUP($BJ34&amp;"初始",$S$3:$AE$63,MATCH(BO$3,$S$3:$AE$3,0),FALSE))*$BL34/VLOOKUP(VLOOKUP($BJ34,坦克个性化设定!$B$18:$E$48,4,FALSE)&amp;$BK34,坦克属性分配比例,MATCH("升星次数",坦克属性分配比例标头,0),FALSE)*(VLOOKUP(VLOOKUP($BJ34,坦克个性化设定!$B$18:$E$48,4,FALSE)&amp;$BK34,坦克属性分配比例,MATCH("升星比例",坦克属性分配比例标头,0),FALSE)+VLOOKUP(VLOOKUP($BJ34,坦克个性化设定!$B$18:$E$48,4,FALSE)&amp;$BK34,坦克属性分配比例,MATCH("部件比例",坦克属性分配比例标头,0),FALSE)*$C$3),0)</f>
        <v>655</v>
      </c>
      <c r="BP34" s="103">
        <f ca="1">ROUND(VLOOKUP($BJ34&amp;"初始",$S$3:$AE$63,MATCH(BP$3,$S$3:$AE$3,0),FALSE)+(VLOOKUP($BJ34&amp;"最终",$S$3:$AE$63,MATCH(BP$3,$S$3:$AE$3,0),FALSE)-VLOOKUP($BJ34&amp;"初始",$S$3:$AE$63,MATCH(BP$3,$S$3:$AE$3,0),FALSE))*$BL34/VLOOKUP(VLOOKUP($BJ34,坦克个性化设定!$B$18:$E$48,4,FALSE)&amp;$BK34,坦克属性分配比例,MATCH("升星次数",坦克属性分配比例标头,0),FALSE)*(VLOOKUP(VLOOKUP($BJ34,坦克个性化设定!$B$18:$E$48,4,FALSE)&amp;$BK34,坦克属性分配比例,MATCH("升星比例",坦克属性分配比例标头,0),FALSE)+VLOOKUP(VLOOKUP($BJ34,坦克个性化设定!$B$18:$E$48,4,FALSE)&amp;$BK34,坦克属性分配比例,MATCH("部件比例",坦克属性分配比例标头,0),FALSE)*$C$3),0)</f>
        <v>459</v>
      </c>
      <c r="BQ34" s="103">
        <f ca="1">ROUND(VLOOKUP($BJ34&amp;"初始",$S$3:$AE$63,MATCH(BQ$3,$S$3:$AE$3,0),FALSE)+(VLOOKUP($BJ34&amp;"最终",$S$3:$AE$63,MATCH(BQ$3,$S$3:$AE$3,0),FALSE)-VLOOKUP($BJ34&amp;"初始",$S$3:$AE$63,MATCH(BQ$3,$S$3:$AE$3,0),FALSE))*$BL34/VLOOKUP(VLOOKUP($BJ34,坦克个性化设定!$B$18:$E$48,4,FALSE)&amp;$BK34,坦克属性分配比例,MATCH("升星次数",坦克属性分配比例标头,0),FALSE)*VLOOKUP(VLOOKUP($BJ34,坦克个性化设定!$B$18:$E$48,4,FALSE)&amp;$BK34,坦克属性分配比例,MATCH("升星比例",坦克属性分配比例标头,0),FALSE),0)</f>
        <v>554</v>
      </c>
      <c r="BR34" s="2">
        <f ca="1">ROUND(VLOOKUP($BJ34&amp;"初始",$S$3:$AE$63,MATCH(BR$3,$S$3:$AE$3,0),FALSE)+(VLOOKUP($BJ34&amp;"最终",$S$3:$AE$63,MATCH(BR$3,$S$3:$AE$3,0),FALSE)-VLOOKUP($BJ34&amp;"初始",$S$3:$AE$63,MATCH(BR$3,$S$3:$AE$3,0),FALSE))*$BL34/VLOOKUP(VLOOKUP($BJ34,坦克个性化设定!$B$18:$E$48,4,FALSE)&amp;$BK34,坦克属性分配比例,MATCH("升星次数",坦克属性分配比例标头,0),FALSE),0)</f>
        <v>168</v>
      </c>
      <c r="BS34" s="2">
        <f>ROUND(VLOOKUP($BJ34,$AI$3:$AO$33,MATCH(BS$3,$AI$3:$AO$3,0),FALSE)+$BL34/VLOOKUP(VLOOKUP($BJ34,坦克个性化设定!$B$18:$E$48,4,FALSE)&amp;$BK34,坦克属性分配比例,MATCH("升星次数",坦克属性分配比例标头,0),FALSE)*VLOOKUP($BJ34,$AR$3:$AY$33,MATCH(BS$3,$AR$3:$AY$3,0),FALSE),1)</f>
        <v>51.8</v>
      </c>
      <c r="BT34" s="2">
        <f>ROUND(VLOOKUP($BJ34,$AI$3:$AO$33,MATCH(BT$3,$AI$3:$AO$3,0),FALSE)+$BL34/VLOOKUP(VLOOKUP($BJ34,坦克个性化设定!$B$18:$E$48,4,FALSE)&amp;$BK34,坦克属性分配比例,MATCH("升星次数",坦克属性分配比例标头,0),FALSE)*VLOOKUP($BJ34,$AR$3:$AY$33,MATCH(BT$3,$AR$3:$AY$3,0),FALSE),1)</f>
        <v>61.1</v>
      </c>
      <c r="BU34" s="2">
        <f>ROUND(VLOOKUP($BJ34,$AI$3:$AO$33,MATCH(BU$3,$AI$3:$AO$3,0),FALSE)+$BL34/VLOOKUP(VLOOKUP($BJ34,坦克个性化设定!$B$18:$E$48,4,FALSE)&amp;$BK34,坦克属性分配比例,MATCH("升星次数",坦克属性分配比例标头,0),FALSE)*VLOOKUP($BJ34,$AR$3:$AY$33,MATCH(BU$3,$AR$3:$AY$3,0),FALSE),1)</f>
        <v>10</v>
      </c>
      <c r="BV34" s="2">
        <f>IF(VLOOKUP(BJ34,坦克个性化设定!$B$18:$BC$48,MATCH("装弹类型",坦克个性化设定!$B$18:$BC$18,0),FALSE)="弹夹换弹",0,ROUND(VLOOKUP($BJ34,$AI$3:$AO$33,MATCH("换弹时间",$AI$3:$AO$3,0),FALSE)-$BL34/VLOOKUP(VLOOKUP($BJ34,坦克个性化设定!$B$18:$E$48,4,FALSE)&amp;$BK34,坦克属性分配比例,MATCH("升星次数",坦克属性分配比例标头,0),FALSE)*VLOOKUP($BJ34,$AR$3:$AY$33,MATCH("换弹时间",$AR$3:$AY$3,0),FALSE),2))</f>
        <v>0</v>
      </c>
      <c r="BW34" s="2">
        <f>IF(VLOOKUP(BJ34,坦克个性化设定!$B$18:$BC$48,MATCH("装弹类型",坦克个性化设定!$B$18:$BC$18,0),FALSE)="弹夹换弹",ROUND(VLOOKUP($BJ34,$AI$3:$AO$33,MATCH("换弹时间",$AI$3:$AO$3,0),FALSE)-$BL34/VLOOKUP(VLOOKUP($BJ34,坦克个性化设定!$B$18:$E$48,4,FALSE)&amp;$BK34,坦克属性分配比例,MATCH("升星次数",坦克属性分配比例标头,0),FALSE)*VLOOKUP($BJ34,$AR$3:$AY$33,MATCH("换弹时间",$AR$3:$AY$3,0),FALSE),1),0)</f>
        <v>4.5</v>
      </c>
      <c r="BX34" s="2">
        <f>ROUND(VLOOKUP($BJ34,$AI$3:$AO$33,MATCH(BX$3,$AI$3:$AO$3,0),FALSE)+$BL34/VLOOKUP(VLOOKUP($BJ34,坦克个性化设定!$B$18:$E$48,4,FALSE)&amp;$BK34,坦克属性分配比例,MATCH("升星次数",坦克属性分配比例标头,0),FALSE)*VLOOKUP($BJ34,$AR$3:$AY$33,MATCH(BX$3,$AR$3:$AY$3,0),FALSE),2)</f>
        <v>0.8</v>
      </c>
      <c r="BY34" s="2">
        <f>ROUND(VLOOKUP($BJ34,$AI$3:$AO$33,MATCH(BY$3,$AI$3:$AO$3,0),FALSE)-$BL34/VLOOKUP(VLOOKUP($BJ34,坦克个性化设定!$B$18:$E$48,4,FALSE)&amp;$BK34,坦克属性分配比例,MATCH("升星次数",坦克属性分配比例标头,0),FALSE)*VLOOKUP($BJ34,$AR$3:$AY$33,MATCH(BY$3,$AR$3:$AY$3,0),FALSE),2)</f>
        <v>0.44</v>
      </c>
    </row>
    <row r="35" spans="2:87" x14ac:dyDescent="0.3">
      <c r="B35" s="2">
        <v>30</v>
      </c>
      <c r="C35" s="2" t="str">
        <f>坦克个性化设定!B48</f>
        <v>M1A2</v>
      </c>
      <c r="D35" s="2">
        <v>3511</v>
      </c>
      <c r="E35" s="2" t="s">
        <v>669</v>
      </c>
      <c r="F35" s="2">
        <v>0</v>
      </c>
      <c r="G35" s="25" t="str">
        <f t="shared" si="17"/>
        <v>M1A2</v>
      </c>
      <c r="H35" s="25"/>
      <c r="I35" s="25"/>
      <c r="J35" s="25"/>
      <c r="K35" s="25"/>
      <c r="L35" s="25"/>
      <c r="M35" s="25"/>
      <c r="N35" s="25"/>
      <c r="O35" s="25"/>
      <c r="P35" s="25"/>
      <c r="Q35" s="25"/>
      <c r="R35" s="25"/>
      <c r="S35" s="2" t="str">
        <f t="shared" si="2"/>
        <v>彗星最终</v>
      </c>
      <c r="T35" s="2">
        <f>IF(COUNTIF(U$4:U34,U34)&gt;=$B$3,T34+1,T34)</f>
        <v>16</v>
      </c>
      <c r="U35" s="2" t="str">
        <f t="shared" si="3"/>
        <v>彗星</v>
      </c>
      <c r="V35" s="2" t="str">
        <f>VLOOKUP(U35,坦克个性化设定!$B$18:$F$48,5,FALSE)</f>
        <v>中坦自动</v>
      </c>
      <c r="W35" s="29" t="str">
        <f>VLOOKUP(U35,坦克个性化细分!$I$3:$J$33,2,FALSE)</f>
        <v>高</v>
      </c>
      <c r="X35" s="2" t="str">
        <f t="shared" si="16"/>
        <v>最终</v>
      </c>
      <c r="Y35" s="2" t="str">
        <f>VLOOKUP(VLOOKUP(U35,坦克个性化设定!$B$18:$F$48,4,FALSE)&amp;W35,坦克等级成长!$P$12:$U$24,MATCH(X35,坦克等级成长!$P$12:$U$12,0),FALSE)</f>
        <v>T3高5</v>
      </c>
      <c r="Z35" s="42">
        <f ca="1">VLOOKUP($Y35,INDIRECT($V35&amp;"_阶段属性"),MATCH(Z$3,属性标头_阶段属性,0),FALSE)*VLOOKUP($U35,坦克个性化设定!$B$84:$D$114,2,FALSE)</f>
        <v>1979.7891218594384</v>
      </c>
      <c r="AA35" s="42">
        <f ca="1">VLOOKUP($Y35,INDIRECT($V35&amp;"_阶段属性"),MATCH(AA$3,属性标头_阶段属性,0),FALSE)*VLOOKUP($U35,坦克个性化设定!$B$84:$D$114,3,FALSE)</f>
        <v>246.66931227695721</v>
      </c>
      <c r="AB35" s="2">
        <f t="shared" ca="1" si="18"/>
        <v>766</v>
      </c>
      <c r="AC35" s="2">
        <f t="shared" ca="1" si="18"/>
        <v>574</v>
      </c>
      <c r="AD35" s="2">
        <f t="shared" ca="1" si="18"/>
        <v>839</v>
      </c>
      <c r="AE35" s="2">
        <f t="shared" ca="1" si="18"/>
        <v>201</v>
      </c>
      <c r="AF35" s="25"/>
      <c r="BH35" s="2" t="str">
        <f t="shared" si="13"/>
        <v>35(t)9</v>
      </c>
      <c r="BI35" s="2">
        <f>IF(BL34&gt;=VLOOKUP(VLOOKUP(BJ34,坦克个性化设定!$B$18:$E$48,4,FALSE)&amp;BK34,坦克属性分配比例,MATCH("升星次数",坦克属性分配比例标头,0),FALSE),BI34+1,BI34)</f>
        <v>4</v>
      </c>
      <c r="BJ35" s="2" t="str">
        <f t="shared" si="14"/>
        <v>35(t)</v>
      </c>
      <c r="BK35" s="29" t="str">
        <f>VLOOKUP(BJ35,坦克个性化细分!$I$3:$J$33,2,FALSE)</f>
        <v>低</v>
      </c>
      <c r="BL35" s="2">
        <f t="shared" si="7"/>
        <v>9</v>
      </c>
      <c r="BM35" s="103">
        <f ca="1">ROUND(VLOOKUP($BJ35&amp;"初始",$S$3:$AE$63,MATCH(BM$3,$S$3:$AE$3,0),FALSE)+((VLOOKUP($BJ35&amp;"最终",$S$3:$AE$63,MATCH(BM$3,$S$3:$AE$3,0),FALSE)*坦克个性化细分!$C$9-VLOOKUP($BJ35&amp;"初始",$S$3:$AE$63,MATCH(BM$3,$S$3:$AE$3,0),FALSE))-(VLOOKUP($BJ35&amp;"最终",$S$3:$AE$63,MATCH(BM$3,$S$3:$AE$3,0),FALSE)-VLOOKUP($BJ35&amp;"初始",$S$3:$AE$63,MATCH(BM$3,$S$3:$AE$3,0),FALSE))*VLOOKUP(VLOOKUP($BJ35,坦克个性化设定!$B$18:$E$48,4,FALSE)&amp;$BK35,坦克属性分配比例,MATCH("部件比例",坦克属性分配比例标头,0),FALSE))*$BL35/VLOOKUP(VLOOKUP($BJ35,坦克个性化设定!$B$18:$E$48,4,FALSE)&amp;$BK35,坦克属性分配比例,MATCH("升星次数",坦克属性分配比例标头,0),FALSE),0)</f>
        <v>1775</v>
      </c>
      <c r="BN35" s="103">
        <f ca="1">ROUND(VLOOKUP($BJ35&amp;"初始",$S$3:$AE$63,MATCH(BN$3,$S$3:$AE$3,0),FALSE)+(VLOOKUP($BJ35&amp;"最终",$S$3:$AE$63,MATCH(BN$3,$S$3:$AE$3,0),FALSE)-VLOOKUP($BJ35&amp;"初始",$S$3:$AE$63,MATCH(BN$3,$S$3:$AE$3,0),FALSE))*$BL35/VLOOKUP(VLOOKUP($BJ35,坦克个性化设定!$B$18:$E$48,4,FALSE)&amp;$BK35,坦克属性分配比例,MATCH("升星次数",坦克属性分配比例标头,0),FALSE)*VLOOKUP(VLOOKUP($BJ35,坦克个性化设定!$B$18:$E$48,4,FALSE)&amp;$BK35,坦克属性分配比例,MATCH("升星比例",坦克属性分配比例标头,0),FALSE),0)</f>
        <v>129</v>
      </c>
      <c r="BO35" s="103">
        <f ca="1">ROUND(VLOOKUP($BJ35&amp;"初始",$S$3:$AE$63,MATCH(BO$3,$S$3:$AE$3,0),FALSE)+(VLOOKUP($BJ35&amp;"最终",$S$3:$AE$63,MATCH(BO$3,$S$3:$AE$3,0),FALSE)-VLOOKUP($BJ35&amp;"初始",$S$3:$AE$63,MATCH(BO$3,$S$3:$AE$3,0),FALSE))*$BL35/VLOOKUP(VLOOKUP($BJ35,坦克个性化设定!$B$18:$E$48,4,FALSE)&amp;$BK35,坦克属性分配比例,MATCH("升星次数",坦克属性分配比例标头,0),FALSE)*(VLOOKUP(VLOOKUP($BJ35,坦克个性化设定!$B$18:$E$48,4,FALSE)&amp;$BK35,坦克属性分配比例,MATCH("升星比例",坦克属性分配比例标头,0),FALSE)+VLOOKUP(VLOOKUP($BJ35,坦克个性化设定!$B$18:$E$48,4,FALSE)&amp;$BK35,坦克属性分配比例,MATCH("部件比例",坦克属性分配比例标头,0),FALSE)*$C$3),0)</f>
        <v>677</v>
      </c>
      <c r="BP35" s="103">
        <f ca="1">ROUND(VLOOKUP($BJ35&amp;"初始",$S$3:$AE$63,MATCH(BP$3,$S$3:$AE$3,0),FALSE)+(VLOOKUP($BJ35&amp;"最终",$S$3:$AE$63,MATCH(BP$3,$S$3:$AE$3,0),FALSE)-VLOOKUP($BJ35&amp;"初始",$S$3:$AE$63,MATCH(BP$3,$S$3:$AE$3,0),FALSE))*$BL35/VLOOKUP(VLOOKUP($BJ35,坦克个性化设定!$B$18:$E$48,4,FALSE)&amp;$BK35,坦克属性分配比例,MATCH("升星次数",坦克属性分配比例标头,0),FALSE)*(VLOOKUP(VLOOKUP($BJ35,坦克个性化设定!$B$18:$E$48,4,FALSE)&amp;$BK35,坦克属性分配比例,MATCH("升星比例",坦克属性分配比例标头,0),FALSE)+VLOOKUP(VLOOKUP($BJ35,坦克个性化设定!$B$18:$E$48,4,FALSE)&amp;$BK35,坦克属性分配比例,MATCH("部件比例",坦克属性分配比例标头,0),FALSE)*$C$3),0)</f>
        <v>474</v>
      </c>
      <c r="BQ35" s="103">
        <f ca="1">ROUND(VLOOKUP($BJ35&amp;"初始",$S$3:$AE$63,MATCH(BQ$3,$S$3:$AE$3,0),FALSE)+(VLOOKUP($BJ35&amp;"最终",$S$3:$AE$63,MATCH(BQ$3,$S$3:$AE$3,0),FALSE)-VLOOKUP($BJ35&amp;"初始",$S$3:$AE$63,MATCH(BQ$3,$S$3:$AE$3,0),FALSE))*$BL35/VLOOKUP(VLOOKUP($BJ35,坦克个性化设定!$B$18:$E$48,4,FALSE)&amp;$BK35,坦克属性分配比例,MATCH("升星次数",坦克属性分配比例标头,0),FALSE)*VLOOKUP(VLOOKUP($BJ35,坦克个性化设定!$B$18:$E$48,4,FALSE)&amp;$BK35,坦克属性分配比例,MATCH("升星比例",坦克属性分配比例标头,0),FALSE),0)</f>
        <v>568</v>
      </c>
      <c r="BR35" s="2">
        <f ca="1">ROUND(VLOOKUP($BJ35&amp;"初始",$S$3:$AE$63,MATCH(BR$3,$S$3:$AE$3,0),FALSE)+(VLOOKUP($BJ35&amp;"最终",$S$3:$AE$63,MATCH(BR$3,$S$3:$AE$3,0),FALSE)-VLOOKUP($BJ35&amp;"初始",$S$3:$AE$63,MATCH(BR$3,$S$3:$AE$3,0),FALSE))*$BL35/VLOOKUP(VLOOKUP($BJ35,坦克个性化设定!$B$18:$E$48,4,FALSE)&amp;$BK35,坦克属性分配比例,MATCH("升星次数",坦克属性分配比例标头,0),FALSE),0)</f>
        <v>174</v>
      </c>
      <c r="BS35" s="2">
        <f>ROUND(VLOOKUP($BJ35,$AI$3:$AO$33,MATCH(BS$3,$AI$3:$AO$3,0),FALSE)+$BL35/VLOOKUP(VLOOKUP($BJ35,坦克个性化设定!$B$18:$E$48,4,FALSE)&amp;$BK35,坦克属性分配比例,MATCH("升星次数",坦克属性分配比例标头,0),FALSE)*VLOOKUP($BJ35,$AR$3:$AY$33,MATCH(BS$3,$AR$3:$AY$3,0),FALSE),1)</f>
        <v>53</v>
      </c>
      <c r="BT35" s="2">
        <f>ROUND(VLOOKUP($BJ35,$AI$3:$AO$33,MATCH(BT$3,$AI$3:$AO$3,0),FALSE)+$BL35/VLOOKUP(VLOOKUP($BJ35,坦克个性化设定!$B$18:$E$48,4,FALSE)&amp;$BK35,坦克属性分配比例,MATCH("升星次数",坦克属性分配比例标头,0),FALSE)*VLOOKUP($BJ35,$AR$3:$AY$33,MATCH(BT$3,$AR$3:$AY$3,0),FALSE),1)</f>
        <v>62.5</v>
      </c>
      <c r="BU35" s="2">
        <f>ROUND(VLOOKUP($BJ35,$AI$3:$AO$33,MATCH(BU$3,$AI$3:$AO$3,0),FALSE)+$BL35/VLOOKUP(VLOOKUP($BJ35,坦克个性化设定!$B$18:$E$48,4,FALSE)&amp;$BK35,坦克属性分配比例,MATCH("升星次数",坦克属性分配比例标头,0),FALSE)*VLOOKUP($BJ35,$AR$3:$AY$33,MATCH(BU$3,$AR$3:$AY$3,0),FALSE),1)</f>
        <v>10</v>
      </c>
      <c r="BV35" s="2">
        <f>IF(VLOOKUP(BJ35,坦克个性化设定!$B$18:$BC$48,MATCH("装弹类型",坦克个性化设定!$B$18:$BC$18,0),FALSE)="弹夹换弹",0,ROUND(VLOOKUP($BJ35,$AI$3:$AO$33,MATCH("换弹时间",$AI$3:$AO$3,0),FALSE)-$BL35/VLOOKUP(VLOOKUP($BJ35,坦克个性化设定!$B$18:$E$48,4,FALSE)&amp;$BK35,坦克属性分配比例,MATCH("升星次数",坦克属性分配比例标头,0),FALSE)*VLOOKUP($BJ35,$AR$3:$AY$33,MATCH("换弹时间",$AR$3:$AY$3,0),FALSE),2))</f>
        <v>0</v>
      </c>
      <c r="BW35" s="2">
        <f>IF(VLOOKUP(BJ35,坦克个性化设定!$B$18:$BC$48,MATCH("装弹类型",坦克个性化设定!$B$18:$BC$18,0),FALSE)="弹夹换弹",ROUND(VLOOKUP($BJ35,$AI$3:$AO$33,MATCH("换弹时间",$AI$3:$AO$3,0),FALSE)-$BL35/VLOOKUP(VLOOKUP($BJ35,坦克个性化设定!$B$18:$E$48,4,FALSE)&amp;$BK35,坦克属性分配比例,MATCH("升星次数",坦克属性分配比例标头,0),FALSE)*VLOOKUP($BJ35,$AR$3:$AY$33,MATCH("换弹时间",$AR$3:$AY$3,0),FALSE),1),0)</f>
        <v>4.3</v>
      </c>
      <c r="BX35" s="2">
        <f>ROUND(VLOOKUP($BJ35,$AI$3:$AO$33,MATCH(BX$3,$AI$3:$AO$3,0),FALSE)+$BL35/VLOOKUP(VLOOKUP($BJ35,坦克个性化设定!$B$18:$E$48,4,FALSE)&amp;$BK35,坦克属性分配比例,MATCH("升星次数",坦克属性分配比例标头,0),FALSE)*VLOOKUP($BJ35,$AR$3:$AY$33,MATCH(BX$3,$AR$3:$AY$3,0),FALSE),2)</f>
        <v>0.8</v>
      </c>
      <c r="BY35" s="2">
        <f>ROUND(VLOOKUP($BJ35,$AI$3:$AO$33,MATCH(BY$3,$AI$3:$AO$3,0),FALSE)-$BL35/VLOOKUP(VLOOKUP($BJ35,坦克个性化设定!$B$18:$E$48,4,FALSE)&amp;$BK35,坦克属性分配比例,MATCH("升星次数",坦克属性分配比例标头,0),FALSE)*VLOOKUP($BJ35,$AR$3:$AY$33,MATCH(BY$3,$AR$3:$AY$3,0),FALSE),2)</f>
        <v>0.43</v>
      </c>
    </row>
    <row r="36" spans="2:87" x14ac:dyDescent="0.3">
      <c r="B36" s="2">
        <v>31</v>
      </c>
      <c r="C36" s="2" t="s">
        <v>908</v>
      </c>
      <c r="D36" s="2">
        <v>3341</v>
      </c>
      <c r="E36" s="2" t="s">
        <v>671</v>
      </c>
      <c r="F36" s="2">
        <v>1</v>
      </c>
      <c r="G36" s="25" t="str">
        <f t="shared" si="17"/>
        <v>PZIII</v>
      </c>
      <c r="S36" s="2" t="str">
        <f t="shared" ref="S36:S63" si="19">U36&amp;X36</f>
        <v>M-48初始</v>
      </c>
      <c r="T36" s="2">
        <f>IF(COUNTIF(U$4:U35,U35)&gt;=$B$3,T35+1,T35)</f>
        <v>17</v>
      </c>
      <c r="U36" s="2" t="str">
        <f t="shared" ref="U36:U63" si="20">VLOOKUP(T36,$B$5:$C$35,2,FALSE)</f>
        <v>M-48</v>
      </c>
      <c r="V36" s="2" t="str">
        <f>VLOOKUP(U36,坦克个性化设定!$B$18:$F$48,5,FALSE)</f>
        <v>中坦自动</v>
      </c>
      <c r="W36" s="29" t="str">
        <f>VLOOKUP(U36,坦克个性化细分!$I$3:$J$33,2,FALSE)</f>
        <v>低</v>
      </c>
      <c r="X36" s="2" t="str">
        <f t="shared" si="16"/>
        <v>初始</v>
      </c>
      <c r="Y36" s="2" t="str">
        <f>VLOOKUP(VLOOKUP(U36,坦克个性化设定!$B$18:$F$48,4,FALSE)&amp;W36,坦克等级成长!$P$12:$U$24,MATCH(X36,坦克等级成长!$P$12:$U$12,0),FALSE)</f>
        <v>T4低4</v>
      </c>
      <c r="Z36" s="42">
        <f ca="1">VLOOKUP($Y36,INDIRECT($V36&amp;"_阶段属性"),MATCH(Z$3,属性标头_阶段属性,0),FALSE)*VLOOKUP($U36,坦克个性化设定!$B$84:$D$114,2,FALSE)</f>
        <v>1778.8562166629545</v>
      </c>
      <c r="AA36" s="42">
        <f ca="1">VLOOKUP($Y36,INDIRECT($V36&amp;"_阶段属性"),MATCH(AA$3,属性标头_阶段属性,0),FALSE)*VLOOKUP($U36,坦克个性化设定!$B$84:$D$114,3,FALSE)</f>
        <v>180.92032409847187</v>
      </c>
      <c r="AB36" s="2">
        <f t="shared" ca="1" si="18"/>
        <v>631</v>
      </c>
      <c r="AC36" s="2">
        <f t="shared" ca="1" si="18"/>
        <v>473</v>
      </c>
      <c r="AD36" s="2">
        <f t="shared" ca="1" si="18"/>
        <v>691</v>
      </c>
      <c r="AE36" s="2">
        <f t="shared" ca="1" si="18"/>
        <v>166</v>
      </c>
      <c r="AF36" s="25"/>
      <c r="AP36" s="130"/>
      <c r="BH36" s="2" t="str">
        <f t="shared" si="13"/>
        <v>十字军0</v>
      </c>
      <c r="BI36" s="2">
        <f>IF(BL35&gt;=VLOOKUP(VLOOKUP(BJ35,坦克个性化设定!$B$18:$E$48,4,FALSE)&amp;BK35,坦克属性分配比例,MATCH("升星次数",坦克属性分配比例标头,0),FALSE),BI35+1,BI35)</f>
        <v>5</v>
      </c>
      <c r="BJ36" s="2" t="str">
        <f t="shared" si="14"/>
        <v>十字军</v>
      </c>
      <c r="BK36" s="29" t="str">
        <f>VLOOKUP(BJ36,坦克个性化细分!$I$3:$J$33,2,FALSE)</f>
        <v>中</v>
      </c>
      <c r="BL36" s="2">
        <f t="shared" si="7"/>
        <v>0</v>
      </c>
      <c r="BM36" s="103">
        <f ca="1">ROUND(VLOOKUP($BJ36&amp;"初始",$S$3:$AE$63,MATCH(BM$3,$S$3:$AE$3,0),FALSE)+((VLOOKUP($BJ36&amp;"最终",$S$3:$AE$63,MATCH(BM$3,$S$3:$AE$3,0),FALSE)*坦克个性化细分!$C$9-VLOOKUP($BJ36&amp;"初始",$S$3:$AE$63,MATCH(BM$3,$S$3:$AE$3,0),FALSE))-(VLOOKUP($BJ36&amp;"最终",$S$3:$AE$63,MATCH(BM$3,$S$3:$AE$3,0),FALSE)-VLOOKUP($BJ36&amp;"初始",$S$3:$AE$63,MATCH(BM$3,$S$3:$AE$3,0),FALSE))*VLOOKUP(VLOOKUP($BJ36,坦克个性化设定!$B$18:$E$48,4,FALSE)&amp;$BK36,坦克属性分配比例,MATCH("部件比例",坦克属性分配比例标头,0),FALSE))*$BL36/VLOOKUP(VLOOKUP($BJ36,坦克个性化设定!$B$18:$E$48,4,FALSE)&amp;$BK36,坦克属性分配比例,MATCH("升星次数",坦克属性分配比例标头,0),FALSE),0)</f>
        <v>1264</v>
      </c>
      <c r="BN36" s="103">
        <f ca="1">ROUND(VLOOKUP($BJ36&amp;"初始",$S$3:$AE$63,MATCH(BN$3,$S$3:$AE$3,0),FALSE)+(VLOOKUP($BJ36&amp;"最终",$S$3:$AE$63,MATCH(BN$3,$S$3:$AE$3,0),FALSE)-VLOOKUP($BJ36&amp;"初始",$S$3:$AE$63,MATCH(BN$3,$S$3:$AE$3,0),FALSE))*$BL36/VLOOKUP(VLOOKUP($BJ36,坦克个性化设定!$B$18:$E$48,4,FALSE)&amp;$BK36,坦克属性分配比例,MATCH("升星次数",坦克属性分配比例标头,0),FALSE)*VLOOKUP(VLOOKUP($BJ36,坦克个性化设定!$B$18:$E$48,4,FALSE)&amp;$BK36,坦克属性分配比例,MATCH("升星比例",坦克属性分配比例标头,0),FALSE),0)</f>
        <v>71</v>
      </c>
      <c r="BO36" s="103">
        <f ca="1">ROUND(VLOOKUP($BJ36&amp;"初始",$S$3:$AE$63,MATCH(BO$3,$S$3:$AE$3,0),FALSE)+(VLOOKUP($BJ36&amp;"最终",$S$3:$AE$63,MATCH(BO$3,$S$3:$AE$3,0),FALSE)-VLOOKUP($BJ36&amp;"初始",$S$3:$AE$63,MATCH(BO$3,$S$3:$AE$3,0),FALSE))*$BL36/VLOOKUP(VLOOKUP($BJ36,坦克个性化设定!$B$18:$E$48,4,FALSE)&amp;$BK36,坦克属性分配比例,MATCH("升星次数",坦克属性分配比例标头,0),FALSE)*(VLOOKUP(VLOOKUP($BJ36,坦克个性化设定!$B$18:$E$48,4,FALSE)&amp;$BK36,坦克属性分配比例,MATCH("升星比例",坦克属性分配比例标头,0),FALSE)+VLOOKUP(VLOOKUP($BJ36,坦克个性化设定!$B$18:$E$48,4,FALSE)&amp;$BK36,坦克属性分配比例,MATCH("部件比例",坦克属性分配比例标头,0),FALSE)*$C$3),0)</f>
        <v>506</v>
      </c>
      <c r="BP36" s="103">
        <f ca="1">ROUND(VLOOKUP($BJ36&amp;"初始",$S$3:$AE$63,MATCH(BP$3,$S$3:$AE$3,0),FALSE)+(VLOOKUP($BJ36&amp;"最终",$S$3:$AE$63,MATCH(BP$3,$S$3:$AE$3,0),FALSE)-VLOOKUP($BJ36&amp;"初始",$S$3:$AE$63,MATCH(BP$3,$S$3:$AE$3,0),FALSE))*$BL36/VLOOKUP(VLOOKUP($BJ36,坦克个性化设定!$B$18:$E$48,4,FALSE)&amp;$BK36,坦克属性分配比例,MATCH("升星次数",坦克属性分配比例标头,0),FALSE)*(VLOOKUP(VLOOKUP($BJ36,坦克个性化设定!$B$18:$E$48,4,FALSE)&amp;$BK36,坦克属性分配比例,MATCH("升星比例",坦克属性分配比例标头,0),FALSE)+VLOOKUP(VLOOKUP($BJ36,坦克个性化设定!$B$18:$E$48,4,FALSE)&amp;$BK36,坦克属性分配比例,MATCH("部件比例",坦克属性分配比例标头,0),FALSE)*$C$3),0)</f>
        <v>354</v>
      </c>
      <c r="BQ36" s="103">
        <f ca="1">ROUND(VLOOKUP($BJ36&amp;"初始",$S$3:$AE$63,MATCH(BQ$3,$S$3:$AE$3,0),FALSE)+(VLOOKUP($BJ36&amp;"最终",$S$3:$AE$63,MATCH(BQ$3,$S$3:$AE$3,0),FALSE)-VLOOKUP($BJ36&amp;"初始",$S$3:$AE$63,MATCH(BQ$3,$S$3:$AE$3,0),FALSE))*$BL36/VLOOKUP(VLOOKUP($BJ36,坦克个性化设定!$B$18:$E$48,4,FALSE)&amp;$BK36,坦克属性分配比例,MATCH("升星次数",坦克属性分配比例标头,0),FALSE)*VLOOKUP(VLOOKUP($BJ36,坦克个性化设定!$B$18:$E$48,4,FALSE)&amp;$BK36,坦克属性分配比例,MATCH("升星比例",坦克属性分配比例标头,0),FALSE),0)</f>
        <v>462</v>
      </c>
      <c r="BR36" s="2">
        <f ca="1">ROUND(VLOOKUP($BJ36&amp;"初始",$S$3:$AE$63,MATCH(BR$3,$S$3:$AE$3,0),FALSE)+(VLOOKUP($BJ36&amp;"最终",$S$3:$AE$63,MATCH(BR$3,$S$3:$AE$3,0),FALSE)-VLOOKUP($BJ36&amp;"初始",$S$3:$AE$63,MATCH(BR$3,$S$3:$AE$3,0),FALSE))*$BL36/VLOOKUP(VLOOKUP($BJ36,坦克个性化设定!$B$18:$E$48,4,FALSE)&amp;$BK36,坦克属性分配比例,MATCH("升星次数",坦克属性分配比例标头,0),FALSE),0)</f>
        <v>123</v>
      </c>
      <c r="BS36" s="2">
        <f>ROUND(VLOOKUP($BJ36,$AI$3:$AO$33,MATCH(BS$3,$AI$3:$AO$3,0),FALSE)+$BL36/VLOOKUP(VLOOKUP($BJ36,坦克个性化设定!$B$18:$E$48,4,FALSE)&amp;$BK36,坦克属性分配比例,MATCH("升星次数",坦克属性分配比例标头,0),FALSE)*VLOOKUP($BJ36,$AR$3:$AY$33,MATCH(BS$3,$AR$3:$AY$3,0),FALSE),1)</f>
        <v>48.1</v>
      </c>
      <c r="BT36" s="2">
        <f>ROUND(VLOOKUP($BJ36,$AI$3:$AO$33,MATCH(BT$3,$AI$3:$AO$3,0),FALSE)+$BL36/VLOOKUP(VLOOKUP($BJ36,坦克个性化设定!$B$18:$E$48,4,FALSE)&amp;$BK36,坦克属性分配比例,MATCH("升星次数",坦克属性分配比例标头,0),FALSE)*VLOOKUP($BJ36,$AR$3:$AY$33,MATCH(BT$3,$AR$3:$AY$3,0),FALSE),1)</f>
        <v>45.9</v>
      </c>
      <c r="BU36" s="2">
        <f>ROUND(VLOOKUP($BJ36,$AI$3:$AO$33,MATCH(BU$3,$AI$3:$AO$3,0),FALSE)+$BL36/VLOOKUP(VLOOKUP($BJ36,坦克个性化设定!$B$18:$E$48,4,FALSE)&amp;$BK36,坦克属性分配比例,MATCH("升星次数",坦克属性分配比例标头,0),FALSE)*VLOOKUP($BJ36,$AR$3:$AY$33,MATCH(BU$3,$AR$3:$AY$3,0),FALSE),1)</f>
        <v>10.7</v>
      </c>
      <c r="BV36" s="2">
        <f>IF(VLOOKUP(BJ36,坦克个性化设定!$B$18:$BC$48,MATCH("装弹类型",坦克个性化设定!$B$18:$BC$18,0),FALSE)="弹夹换弹",0,ROUND(VLOOKUP($BJ36,$AI$3:$AO$33,MATCH("换弹时间",$AI$3:$AO$3,0),FALSE)-$BL36/VLOOKUP(VLOOKUP($BJ36,坦克个性化设定!$B$18:$E$48,4,FALSE)&amp;$BK36,坦克属性分配比例,MATCH("升星次数",坦克属性分配比例标头,0),FALSE)*VLOOKUP($BJ36,$AR$3:$AY$33,MATCH("换弹时间",$AR$3:$AY$3,0),FALSE),2))</f>
        <v>0</v>
      </c>
      <c r="BW36" s="2">
        <f>IF(VLOOKUP(BJ36,坦克个性化设定!$B$18:$BC$48,MATCH("装弹类型",坦克个性化设定!$B$18:$BC$18,0),FALSE)="弹夹换弹",ROUND(VLOOKUP($BJ36,$AI$3:$AO$33,MATCH("换弹时间",$AI$3:$AO$3,0),FALSE)-$BL36/VLOOKUP(VLOOKUP($BJ36,坦克个性化设定!$B$18:$E$48,4,FALSE)&amp;$BK36,坦克属性分配比例,MATCH("升星次数",坦克属性分配比例标头,0),FALSE)*VLOOKUP($BJ36,$AR$3:$AY$33,MATCH("换弹时间",$AR$3:$AY$3,0),FALSE),1),0)</f>
        <v>8.4</v>
      </c>
      <c r="BX36" s="2">
        <f>ROUND(VLOOKUP($BJ36,$AI$3:$AO$33,MATCH(BX$3,$AI$3:$AO$3,0),FALSE)+$BL36/VLOOKUP(VLOOKUP($BJ36,坦克个性化设定!$B$18:$E$48,4,FALSE)&amp;$BK36,坦克属性分配比例,MATCH("升星次数",坦克属性分配比例标头,0),FALSE)*VLOOKUP($BJ36,$AR$3:$AY$33,MATCH(BX$3,$AR$3:$AY$3,0),FALSE),2)</f>
        <v>0.6</v>
      </c>
      <c r="BY36" s="2">
        <f>ROUND(VLOOKUP($BJ36,$AI$3:$AO$33,MATCH(BY$3,$AI$3:$AO$3,0),FALSE)-$BL36/VLOOKUP(VLOOKUP($BJ36,坦克个性化设定!$B$18:$E$48,4,FALSE)&amp;$BK36,坦克属性分配比例,MATCH("升星次数",坦克属性分配比例标头,0),FALSE)*VLOOKUP($BJ36,$AR$3:$AY$33,MATCH(BY$3,$AR$3:$AY$3,0),FALSE),2)</f>
        <v>0.42</v>
      </c>
    </row>
    <row r="37" spans="2:87" x14ac:dyDescent="0.3">
      <c r="S37" s="2" t="str">
        <f t="shared" si="19"/>
        <v>M-48最终</v>
      </c>
      <c r="T37" s="2">
        <f>IF(COUNTIF(U$4:U36,U36)&gt;=$B$3,T36+1,T36)</f>
        <v>17</v>
      </c>
      <c r="U37" s="2" t="str">
        <f t="shared" si="20"/>
        <v>M-48</v>
      </c>
      <c r="V37" s="2" t="str">
        <f>VLOOKUP(U37,坦克个性化设定!$B$18:$F$48,5,FALSE)</f>
        <v>中坦自动</v>
      </c>
      <c r="W37" s="29" t="str">
        <f>VLOOKUP(U37,坦克个性化细分!$I$3:$J$33,2,FALSE)</f>
        <v>低</v>
      </c>
      <c r="X37" s="2" t="str">
        <f t="shared" si="16"/>
        <v>最终</v>
      </c>
      <c r="Y37" s="2" t="str">
        <f>VLOOKUP(VLOOKUP(U37,坦克个性化设定!$B$18:$F$48,4,FALSE)&amp;W37,坦克等级成长!$P$12:$U$24,MATCH(X37,坦克等级成长!$P$12:$U$12,0),FALSE)</f>
        <v>T4低6</v>
      </c>
      <c r="Z37" s="42">
        <f ca="1">VLOOKUP($Y37,INDIRECT($V37&amp;"_阶段属性"),MATCH(Z$3,属性标头_阶段属性,0),FALSE)*VLOOKUP($U37,坦克个性化设定!$B$84:$D$114,2,FALSE)</f>
        <v>2556.7034766633415</v>
      </c>
      <c r="AA37" s="42">
        <f ca="1">VLOOKUP($Y37,INDIRECT($V37&amp;"_阶段属性"),MATCH(AA$3,属性标头_阶段属性,0),FALSE)*VLOOKUP($U37,坦克个性化设定!$B$84:$D$114,3,FALSE)</f>
        <v>265.5614113960026</v>
      </c>
      <c r="AB37" s="2">
        <f t="shared" ca="1" si="18"/>
        <v>927</v>
      </c>
      <c r="AC37" s="2">
        <f t="shared" ca="1" si="18"/>
        <v>695</v>
      </c>
      <c r="AD37" s="2">
        <f t="shared" ca="1" si="18"/>
        <v>1015</v>
      </c>
      <c r="AE37" s="2">
        <f t="shared" ca="1" si="18"/>
        <v>243</v>
      </c>
      <c r="AF37" s="25"/>
      <c r="BH37" s="2" t="str">
        <f t="shared" si="13"/>
        <v>十字军1</v>
      </c>
      <c r="BI37" s="2">
        <f>IF(BL36&gt;=VLOOKUP(VLOOKUP(BJ36,坦克个性化设定!$B$18:$E$48,4,FALSE)&amp;BK36,坦克属性分配比例,MATCH("升星次数",坦克属性分配比例标头,0),FALSE),BI36+1,BI36)</f>
        <v>5</v>
      </c>
      <c r="BJ37" s="2" t="str">
        <f t="shared" si="14"/>
        <v>十字军</v>
      </c>
      <c r="BK37" s="29" t="str">
        <f>VLOOKUP(BJ37,坦克个性化细分!$I$3:$J$33,2,FALSE)</f>
        <v>中</v>
      </c>
      <c r="BL37" s="2">
        <f t="shared" si="7"/>
        <v>1</v>
      </c>
      <c r="BM37" s="103">
        <f ca="1">ROUND(VLOOKUP($BJ37&amp;"初始",$S$3:$AE$63,MATCH(BM$3,$S$3:$AE$3,0),FALSE)+((VLOOKUP($BJ37&amp;"最终",$S$3:$AE$63,MATCH(BM$3,$S$3:$AE$3,0),FALSE)*坦克个性化细分!$C$9-VLOOKUP($BJ37&amp;"初始",$S$3:$AE$63,MATCH(BM$3,$S$3:$AE$3,0),FALSE))-(VLOOKUP($BJ37&amp;"最终",$S$3:$AE$63,MATCH(BM$3,$S$3:$AE$3,0),FALSE)-VLOOKUP($BJ37&amp;"初始",$S$3:$AE$63,MATCH(BM$3,$S$3:$AE$3,0),FALSE))*VLOOKUP(VLOOKUP($BJ37,坦克个性化设定!$B$18:$E$48,4,FALSE)&amp;$BK37,坦克属性分配比例,MATCH("部件比例",坦克属性分配比例标头,0),FALSE))*$BL37/VLOOKUP(VLOOKUP($BJ37,坦克个性化设定!$B$18:$E$48,4,FALSE)&amp;$BK37,坦克属性分配比例,MATCH("升星次数",坦克属性分配比例标头,0),FALSE),0)</f>
        <v>1335</v>
      </c>
      <c r="BN37" s="103">
        <f ca="1">ROUND(VLOOKUP($BJ37&amp;"初始",$S$3:$AE$63,MATCH(BN$3,$S$3:$AE$3,0),FALSE)+(VLOOKUP($BJ37&amp;"最终",$S$3:$AE$63,MATCH(BN$3,$S$3:$AE$3,0),FALSE)-VLOOKUP($BJ37&amp;"初始",$S$3:$AE$63,MATCH(BN$3,$S$3:$AE$3,0),FALSE))*$BL37/VLOOKUP(VLOOKUP($BJ37,坦克个性化设定!$B$18:$E$48,4,FALSE)&amp;$BK37,坦克属性分配比例,MATCH("升星次数",坦克属性分配比例标头,0),FALSE)*VLOOKUP(VLOOKUP($BJ37,坦克个性化设定!$B$18:$E$48,4,FALSE)&amp;$BK37,坦克属性分配比例,MATCH("升星比例",坦克属性分配比例标头,0),FALSE),0)</f>
        <v>73</v>
      </c>
      <c r="BO37" s="103">
        <f ca="1">ROUND(VLOOKUP($BJ37&amp;"初始",$S$3:$AE$63,MATCH(BO$3,$S$3:$AE$3,0),FALSE)+(VLOOKUP($BJ37&amp;"最终",$S$3:$AE$63,MATCH(BO$3,$S$3:$AE$3,0),FALSE)-VLOOKUP($BJ37&amp;"初始",$S$3:$AE$63,MATCH(BO$3,$S$3:$AE$3,0),FALSE))*$BL37/VLOOKUP(VLOOKUP($BJ37,坦克个性化设定!$B$18:$E$48,4,FALSE)&amp;$BK37,坦克属性分配比例,MATCH("升星次数",坦克属性分配比例标头,0),FALSE)*(VLOOKUP(VLOOKUP($BJ37,坦克个性化设定!$B$18:$E$48,4,FALSE)&amp;$BK37,坦克属性分配比例,MATCH("升星比例",坦克属性分配比例标头,0),FALSE)+VLOOKUP(VLOOKUP($BJ37,坦克个性化设定!$B$18:$E$48,4,FALSE)&amp;$BK37,坦克属性分配比例,MATCH("部件比例",坦克属性分配比例标头,0),FALSE)*$C$3),0)</f>
        <v>529</v>
      </c>
      <c r="BP37" s="103">
        <f ca="1">ROUND(VLOOKUP($BJ37&amp;"初始",$S$3:$AE$63,MATCH(BP$3,$S$3:$AE$3,0),FALSE)+(VLOOKUP($BJ37&amp;"最终",$S$3:$AE$63,MATCH(BP$3,$S$3:$AE$3,0),FALSE)-VLOOKUP($BJ37&amp;"初始",$S$3:$AE$63,MATCH(BP$3,$S$3:$AE$3,0),FALSE))*$BL37/VLOOKUP(VLOOKUP($BJ37,坦克个性化设定!$B$18:$E$48,4,FALSE)&amp;$BK37,坦克属性分配比例,MATCH("升星次数",坦克属性分配比例标头,0),FALSE)*(VLOOKUP(VLOOKUP($BJ37,坦克个性化设定!$B$18:$E$48,4,FALSE)&amp;$BK37,坦克属性分配比例,MATCH("升星比例",坦克属性分配比例标头,0),FALSE)+VLOOKUP(VLOOKUP($BJ37,坦克个性化设定!$B$18:$E$48,4,FALSE)&amp;$BK37,坦克属性分配比例,MATCH("部件比例",坦克属性分配比例标头,0),FALSE)*$C$3),0)</f>
        <v>370</v>
      </c>
      <c r="BQ37" s="103">
        <f ca="1">ROUND(VLOOKUP($BJ37&amp;"初始",$S$3:$AE$63,MATCH(BQ$3,$S$3:$AE$3,0),FALSE)+(VLOOKUP($BJ37&amp;"最终",$S$3:$AE$63,MATCH(BQ$3,$S$3:$AE$3,0),FALSE)-VLOOKUP($BJ37&amp;"初始",$S$3:$AE$63,MATCH(BQ$3,$S$3:$AE$3,0),FALSE))*$BL37/VLOOKUP(VLOOKUP($BJ37,坦克个性化设定!$B$18:$E$48,4,FALSE)&amp;$BK37,坦克属性分配比例,MATCH("升星次数",坦克属性分配比例标头,0),FALSE)*VLOOKUP(VLOOKUP($BJ37,坦克个性化设定!$B$18:$E$48,4,FALSE)&amp;$BK37,坦克属性分配比例,MATCH("升星比例",坦克属性分配比例标头,0),FALSE),0)</f>
        <v>477</v>
      </c>
      <c r="BR37" s="2">
        <f ca="1">ROUND(VLOOKUP($BJ37&amp;"初始",$S$3:$AE$63,MATCH(BR$3,$S$3:$AE$3,0),FALSE)+(VLOOKUP($BJ37&amp;"最终",$S$3:$AE$63,MATCH(BR$3,$S$3:$AE$3,0),FALSE)-VLOOKUP($BJ37&amp;"初始",$S$3:$AE$63,MATCH(BR$3,$S$3:$AE$3,0),FALSE))*$BL37/VLOOKUP(VLOOKUP($BJ37,坦克个性化设定!$B$18:$E$48,4,FALSE)&amp;$BK37,坦克属性分配比例,MATCH("升星次数",坦克属性分配比例标头,0),FALSE),0)</f>
        <v>130</v>
      </c>
      <c r="BS37" s="2">
        <f>ROUND(VLOOKUP($BJ37,$AI$3:$AO$33,MATCH(BS$3,$AI$3:$AO$3,0),FALSE)+$BL37/VLOOKUP(VLOOKUP($BJ37,坦克个性化设定!$B$18:$E$48,4,FALSE)&amp;$BK37,坦克属性分配比例,MATCH("升星次数",坦克属性分配比例标头,0),FALSE)*VLOOKUP($BJ37,$AR$3:$AY$33,MATCH(BS$3,$AR$3:$AY$3,0),FALSE),1)</f>
        <v>49.4</v>
      </c>
      <c r="BT37" s="2">
        <f>ROUND(VLOOKUP($BJ37,$AI$3:$AO$33,MATCH(BT$3,$AI$3:$AO$3,0),FALSE)+$BL37/VLOOKUP(VLOOKUP($BJ37,坦克个性化设定!$B$18:$E$48,4,FALSE)&amp;$BK37,坦克属性分配比例,MATCH("升星次数",坦克属性分配比例标头,0),FALSE)*VLOOKUP($BJ37,$AR$3:$AY$33,MATCH(BT$3,$AR$3:$AY$3,0),FALSE),1)</f>
        <v>47.2</v>
      </c>
      <c r="BU37" s="2">
        <f>ROUND(VLOOKUP($BJ37,$AI$3:$AO$33,MATCH(BU$3,$AI$3:$AO$3,0),FALSE)+$BL37/VLOOKUP(VLOOKUP($BJ37,坦克个性化设定!$B$18:$E$48,4,FALSE)&amp;$BK37,坦克属性分配比例,MATCH("升星次数",坦克属性分配比例标头,0),FALSE)*VLOOKUP($BJ37,$AR$3:$AY$33,MATCH(BU$3,$AR$3:$AY$3,0),FALSE),1)</f>
        <v>10.7</v>
      </c>
      <c r="BV37" s="2">
        <f>IF(VLOOKUP(BJ37,坦克个性化设定!$B$18:$BC$48,MATCH("装弹类型",坦克个性化设定!$B$18:$BC$18,0),FALSE)="弹夹换弹",0,ROUND(VLOOKUP($BJ37,$AI$3:$AO$33,MATCH("换弹时间",$AI$3:$AO$3,0),FALSE)-$BL37/VLOOKUP(VLOOKUP($BJ37,坦克个性化设定!$B$18:$E$48,4,FALSE)&amp;$BK37,坦克属性分配比例,MATCH("升星次数",坦克属性分配比例标头,0),FALSE)*VLOOKUP($BJ37,$AR$3:$AY$33,MATCH("换弹时间",$AR$3:$AY$3,0),FALSE),2))</f>
        <v>0</v>
      </c>
      <c r="BW37" s="2">
        <f>IF(VLOOKUP(BJ37,坦克个性化设定!$B$18:$BC$48,MATCH("装弹类型",坦克个性化设定!$B$18:$BC$18,0),FALSE)="弹夹换弹",ROUND(VLOOKUP($BJ37,$AI$3:$AO$33,MATCH("换弹时间",$AI$3:$AO$3,0),FALSE)-$BL37/VLOOKUP(VLOOKUP($BJ37,坦克个性化设定!$B$18:$E$48,4,FALSE)&amp;$BK37,坦克属性分配比例,MATCH("升星次数",坦克属性分配比例标头,0),FALSE)*VLOOKUP($BJ37,$AR$3:$AY$33,MATCH("换弹时间",$AR$3:$AY$3,0),FALSE),1),0)</f>
        <v>8.1</v>
      </c>
      <c r="BX37" s="2">
        <f>ROUND(VLOOKUP($BJ37,$AI$3:$AO$33,MATCH(BX$3,$AI$3:$AO$3,0),FALSE)+$BL37/VLOOKUP(VLOOKUP($BJ37,坦克个性化设定!$B$18:$E$48,4,FALSE)&amp;$BK37,坦克属性分配比例,MATCH("升星次数",坦克属性分配比例标头,0),FALSE)*VLOOKUP($BJ37,$AR$3:$AY$33,MATCH(BX$3,$AR$3:$AY$3,0),FALSE),2)</f>
        <v>0.6</v>
      </c>
      <c r="BY37" s="2">
        <f>ROUND(VLOOKUP($BJ37,$AI$3:$AO$33,MATCH(BY$3,$AI$3:$AO$3,0),FALSE)-$BL37/VLOOKUP(VLOOKUP($BJ37,坦克个性化设定!$B$18:$E$48,4,FALSE)&amp;$BK37,坦克属性分配比例,MATCH("升星次数",坦克属性分配比例标头,0),FALSE)*VLOOKUP($BJ37,$AR$3:$AY$33,MATCH(BY$3,$AR$3:$AY$3,0),FALSE),2)</f>
        <v>0.41</v>
      </c>
    </row>
    <row r="38" spans="2:87" x14ac:dyDescent="0.3">
      <c r="S38" s="2" t="str">
        <f t="shared" si="19"/>
        <v>潘兴初始</v>
      </c>
      <c r="T38" s="2">
        <f>IF(COUNTIF(U$4:U37,U37)&gt;=$B$3,T37+1,T37)</f>
        <v>18</v>
      </c>
      <c r="U38" s="2" t="str">
        <f t="shared" si="20"/>
        <v>潘兴</v>
      </c>
      <c r="V38" s="2" t="str">
        <f>VLOOKUP(U38,坦克个性化设定!$B$18:$F$48,5,FALSE)</f>
        <v>中坦自动</v>
      </c>
      <c r="W38" s="29" t="str">
        <f>VLOOKUP(U38,坦克个性化细分!$I$3:$J$33,2,FALSE)</f>
        <v>中</v>
      </c>
      <c r="X38" s="2" t="str">
        <f t="shared" ref="X38:X63" si="21">X36</f>
        <v>初始</v>
      </c>
      <c r="Y38" s="2" t="str">
        <f>VLOOKUP(VLOOKUP(U38,坦克个性化设定!$B$18:$F$48,4,FALSE)&amp;W38,坦克等级成长!$P$12:$U$24,MATCH(X38,坦克等级成长!$P$12:$U$12,0),FALSE)</f>
        <v>T4中4</v>
      </c>
      <c r="Z38" s="42">
        <f ca="1">VLOOKUP($Y38,INDIRECT($V38&amp;"_阶段属性"),MATCH(Z$3,属性标头_阶段属性,0),FALSE)*VLOOKUP($U38,坦克个性化设定!$B$84:$D$114,2,FALSE)</f>
        <v>1717.4847760734172</v>
      </c>
      <c r="AA38" s="42">
        <f ca="1">VLOOKUP($Y38,INDIRECT($V38&amp;"_阶段属性"),MATCH(AA$3,属性标头_阶段属性,0),FALSE)*VLOOKUP($U38,坦克个性化设定!$B$84:$D$114,3,FALSE)</f>
        <v>210.55643030143992</v>
      </c>
      <c r="AB38" s="2">
        <f t="shared" ca="1" si="18"/>
        <v>657</v>
      </c>
      <c r="AC38" s="2">
        <f t="shared" ca="1" si="18"/>
        <v>493</v>
      </c>
      <c r="AD38" s="2">
        <f t="shared" ca="1" si="18"/>
        <v>720</v>
      </c>
      <c r="AE38" s="2">
        <f t="shared" ca="1" si="18"/>
        <v>173</v>
      </c>
      <c r="AF38" s="25"/>
      <c r="BH38" s="2" t="str">
        <f t="shared" si="13"/>
        <v>十字军2</v>
      </c>
      <c r="BI38" s="2">
        <f>IF(BL37&gt;=VLOOKUP(VLOOKUP(BJ37,坦克个性化设定!$B$18:$E$48,4,FALSE)&amp;BK37,坦克属性分配比例,MATCH("升星次数",坦克属性分配比例标头,0),FALSE),BI37+1,BI37)</f>
        <v>5</v>
      </c>
      <c r="BJ38" s="2" t="str">
        <f t="shared" si="14"/>
        <v>十字军</v>
      </c>
      <c r="BK38" s="29" t="str">
        <f>VLOOKUP(BJ38,坦克个性化细分!$I$3:$J$33,2,FALSE)</f>
        <v>中</v>
      </c>
      <c r="BL38" s="2">
        <f t="shared" si="7"/>
        <v>2</v>
      </c>
      <c r="BM38" s="103">
        <f ca="1">ROUND(VLOOKUP($BJ38&amp;"初始",$S$3:$AE$63,MATCH(BM$3,$S$3:$AE$3,0),FALSE)+((VLOOKUP($BJ38&amp;"最终",$S$3:$AE$63,MATCH(BM$3,$S$3:$AE$3,0),FALSE)*坦克个性化细分!$C$9-VLOOKUP($BJ38&amp;"初始",$S$3:$AE$63,MATCH(BM$3,$S$3:$AE$3,0),FALSE))-(VLOOKUP($BJ38&amp;"最终",$S$3:$AE$63,MATCH(BM$3,$S$3:$AE$3,0),FALSE)-VLOOKUP($BJ38&amp;"初始",$S$3:$AE$63,MATCH(BM$3,$S$3:$AE$3,0),FALSE))*VLOOKUP(VLOOKUP($BJ38,坦克个性化设定!$B$18:$E$48,4,FALSE)&amp;$BK38,坦克属性分配比例,MATCH("部件比例",坦克属性分配比例标头,0),FALSE))*$BL38/VLOOKUP(VLOOKUP($BJ38,坦克个性化设定!$B$18:$E$48,4,FALSE)&amp;$BK38,坦克属性分配比例,MATCH("升星次数",坦克属性分配比例标头,0),FALSE),0)</f>
        <v>1407</v>
      </c>
      <c r="BN38" s="103">
        <f ca="1">ROUND(VLOOKUP($BJ38&amp;"初始",$S$3:$AE$63,MATCH(BN$3,$S$3:$AE$3,0),FALSE)+(VLOOKUP($BJ38&amp;"最终",$S$3:$AE$63,MATCH(BN$3,$S$3:$AE$3,0),FALSE)-VLOOKUP($BJ38&amp;"初始",$S$3:$AE$63,MATCH(BN$3,$S$3:$AE$3,0),FALSE))*$BL38/VLOOKUP(VLOOKUP($BJ38,坦克个性化设定!$B$18:$E$48,4,FALSE)&amp;$BK38,坦克属性分配比例,MATCH("升星次数",坦克属性分配比例标头,0),FALSE)*VLOOKUP(VLOOKUP($BJ38,坦克个性化设定!$B$18:$E$48,4,FALSE)&amp;$BK38,坦克属性分配比例,MATCH("升星比例",坦克属性分配比例标头,0),FALSE),0)</f>
        <v>76</v>
      </c>
      <c r="BO38" s="103">
        <f ca="1">ROUND(VLOOKUP($BJ38&amp;"初始",$S$3:$AE$63,MATCH(BO$3,$S$3:$AE$3,0),FALSE)+(VLOOKUP($BJ38&amp;"最终",$S$3:$AE$63,MATCH(BO$3,$S$3:$AE$3,0),FALSE)-VLOOKUP($BJ38&amp;"初始",$S$3:$AE$63,MATCH(BO$3,$S$3:$AE$3,0),FALSE))*$BL38/VLOOKUP(VLOOKUP($BJ38,坦克个性化设定!$B$18:$E$48,4,FALSE)&amp;$BK38,坦克属性分配比例,MATCH("升星次数",坦克属性分配比例标头,0),FALSE)*(VLOOKUP(VLOOKUP($BJ38,坦克个性化设定!$B$18:$E$48,4,FALSE)&amp;$BK38,坦克属性分配比例,MATCH("升星比例",坦克属性分配比例标头,0),FALSE)+VLOOKUP(VLOOKUP($BJ38,坦克个性化设定!$B$18:$E$48,4,FALSE)&amp;$BK38,坦克属性分配比例,MATCH("部件比例",坦克属性分配比例标头,0),FALSE)*$C$3),0)</f>
        <v>551</v>
      </c>
      <c r="BP38" s="103">
        <f ca="1">ROUND(VLOOKUP($BJ38&amp;"初始",$S$3:$AE$63,MATCH(BP$3,$S$3:$AE$3,0),FALSE)+(VLOOKUP($BJ38&amp;"最终",$S$3:$AE$63,MATCH(BP$3,$S$3:$AE$3,0),FALSE)-VLOOKUP($BJ38&amp;"初始",$S$3:$AE$63,MATCH(BP$3,$S$3:$AE$3,0),FALSE))*$BL38/VLOOKUP(VLOOKUP($BJ38,坦克个性化设定!$B$18:$E$48,4,FALSE)&amp;$BK38,坦克属性分配比例,MATCH("升星次数",坦克属性分配比例标头,0),FALSE)*(VLOOKUP(VLOOKUP($BJ38,坦克个性化设定!$B$18:$E$48,4,FALSE)&amp;$BK38,坦克属性分配比例,MATCH("升星比例",坦克属性分配比例标头,0),FALSE)+VLOOKUP(VLOOKUP($BJ38,坦克个性化设定!$B$18:$E$48,4,FALSE)&amp;$BK38,坦克属性分配比例,MATCH("部件比例",坦克属性分配比例标头,0),FALSE)*$C$3),0)</f>
        <v>386</v>
      </c>
      <c r="BQ38" s="103">
        <f ca="1">ROUND(VLOOKUP($BJ38&amp;"初始",$S$3:$AE$63,MATCH(BQ$3,$S$3:$AE$3,0),FALSE)+(VLOOKUP($BJ38&amp;"最终",$S$3:$AE$63,MATCH(BQ$3,$S$3:$AE$3,0),FALSE)-VLOOKUP($BJ38&amp;"初始",$S$3:$AE$63,MATCH(BQ$3,$S$3:$AE$3,0),FALSE))*$BL38/VLOOKUP(VLOOKUP($BJ38,坦克个性化设定!$B$18:$E$48,4,FALSE)&amp;$BK38,坦克属性分配比例,MATCH("升星次数",坦克属性分配比例标头,0),FALSE)*VLOOKUP(VLOOKUP($BJ38,坦克个性化设定!$B$18:$E$48,4,FALSE)&amp;$BK38,坦克属性分配比例,MATCH("升星比例",坦克属性分配比例标头,0),FALSE),0)</f>
        <v>492</v>
      </c>
      <c r="BR38" s="2">
        <f ca="1">ROUND(VLOOKUP($BJ38&amp;"初始",$S$3:$AE$63,MATCH(BR$3,$S$3:$AE$3,0),FALSE)+(VLOOKUP($BJ38&amp;"最终",$S$3:$AE$63,MATCH(BR$3,$S$3:$AE$3,0),FALSE)-VLOOKUP($BJ38&amp;"初始",$S$3:$AE$63,MATCH(BR$3,$S$3:$AE$3,0),FALSE))*$BL38/VLOOKUP(VLOOKUP($BJ38,坦克个性化设定!$B$18:$E$48,4,FALSE)&amp;$BK38,坦克属性分配比例,MATCH("升星次数",坦克属性分配比例标头,0),FALSE),0)</f>
        <v>136</v>
      </c>
      <c r="BS38" s="2">
        <f>ROUND(VLOOKUP($BJ38,$AI$3:$AO$33,MATCH(BS$3,$AI$3:$AO$3,0),FALSE)+$BL38/VLOOKUP(VLOOKUP($BJ38,坦克个性化设定!$B$18:$E$48,4,FALSE)&amp;$BK38,坦克属性分配比例,MATCH("升星次数",坦克属性分配比例标头,0),FALSE)*VLOOKUP($BJ38,$AR$3:$AY$33,MATCH(BS$3,$AR$3:$AY$3,0),FALSE),1)</f>
        <v>50.8</v>
      </c>
      <c r="BT38" s="2">
        <f>ROUND(VLOOKUP($BJ38,$AI$3:$AO$33,MATCH(BT$3,$AI$3:$AO$3,0),FALSE)+$BL38/VLOOKUP(VLOOKUP($BJ38,坦克个性化设定!$B$18:$E$48,4,FALSE)&amp;$BK38,坦克属性分配比例,MATCH("升星次数",坦克属性分配比例标头,0),FALSE)*VLOOKUP($BJ38,$AR$3:$AY$33,MATCH(BT$3,$AR$3:$AY$3,0),FALSE),1)</f>
        <v>48.5</v>
      </c>
      <c r="BU38" s="2">
        <f>ROUND(VLOOKUP($BJ38,$AI$3:$AO$33,MATCH(BU$3,$AI$3:$AO$3,0),FALSE)+$BL38/VLOOKUP(VLOOKUP($BJ38,坦克个性化设定!$B$18:$E$48,4,FALSE)&amp;$BK38,坦克属性分配比例,MATCH("升星次数",坦克属性分配比例标头,0),FALSE)*VLOOKUP($BJ38,$AR$3:$AY$33,MATCH(BU$3,$AR$3:$AY$3,0),FALSE),1)</f>
        <v>10.7</v>
      </c>
      <c r="BV38" s="2">
        <f>IF(VLOOKUP(BJ38,坦克个性化设定!$B$18:$BC$48,MATCH("装弹类型",坦克个性化设定!$B$18:$BC$18,0),FALSE)="弹夹换弹",0,ROUND(VLOOKUP($BJ38,$AI$3:$AO$33,MATCH("换弹时间",$AI$3:$AO$3,0),FALSE)-$BL38/VLOOKUP(VLOOKUP($BJ38,坦克个性化设定!$B$18:$E$48,4,FALSE)&amp;$BK38,坦克属性分配比例,MATCH("升星次数",坦克属性分配比例标头,0),FALSE)*VLOOKUP($BJ38,$AR$3:$AY$33,MATCH("换弹时间",$AR$3:$AY$3,0),FALSE),2))</f>
        <v>0</v>
      </c>
      <c r="BW38" s="2">
        <f>IF(VLOOKUP(BJ38,坦克个性化设定!$B$18:$BC$48,MATCH("装弹类型",坦克个性化设定!$B$18:$BC$18,0),FALSE)="弹夹换弹",ROUND(VLOOKUP($BJ38,$AI$3:$AO$33,MATCH("换弹时间",$AI$3:$AO$3,0),FALSE)-$BL38/VLOOKUP(VLOOKUP($BJ38,坦克个性化设定!$B$18:$E$48,4,FALSE)&amp;$BK38,坦克属性分配比例,MATCH("升星次数",坦克属性分配比例标头,0),FALSE)*VLOOKUP($BJ38,$AR$3:$AY$33,MATCH("换弹时间",$AR$3:$AY$3,0),FALSE),1),0)</f>
        <v>7.9</v>
      </c>
      <c r="BX38" s="2">
        <f>ROUND(VLOOKUP($BJ38,$AI$3:$AO$33,MATCH(BX$3,$AI$3:$AO$3,0),FALSE)+$BL38/VLOOKUP(VLOOKUP($BJ38,坦克个性化设定!$B$18:$E$48,4,FALSE)&amp;$BK38,坦克属性分配比例,MATCH("升星次数",坦克属性分配比例标头,0),FALSE)*VLOOKUP($BJ38,$AR$3:$AY$33,MATCH(BX$3,$AR$3:$AY$3,0),FALSE),2)</f>
        <v>0.6</v>
      </c>
      <c r="BY38" s="2">
        <f>ROUND(VLOOKUP($BJ38,$AI$3:$AO$33,MATCH(BY$3,$AI$3:$AO$3,0),FALSE)-$BL38/VLOOKUP(VLOOKUP($BJ38,坦克个性化设定!$B$18:$E$48,4,FALSE)&amp;$BK38,坦克属性分配比例,MATCH("升星次数",坦克属性分配比例标头,0),FALSE)*VLOOKUP($BJ38,$AR$3:$AY$33,MATCH(BY$3,$AR$3:$AY$3,0),FALSE),2)</f>
        <v>0.4</v>
      </c>
    </row>
    <row r="39" spans="2:87" x14ac:dyDescent="0.3">
      <c r="S39" s="2" t="str">
        <f t="shared" si="19"/>
        <v>潘兴最终</v>
      </c>
      <c r="T39" s="2">
        <f>IF(COUNTIF(U$4:U38,U38)&gt;=$B$3,T38+1,T38)</f>
        <v>18</v>
      </c>
      <c r="U39" s="2" t="str">
        <f t="shared" si="20"/>
        <v>潘兴</v>
      </c>
      <c r="V39" s="2" t="str">
        <f>VLOOKUP(U39,坦克个性化设定!$B$18:$F$48,5,FALSE)</f>
        <v>中坦自动</v>
      </c>
      <c r="W39" s="29" t="str">
        <f>VLOOKUP(U39,坦克个性化细分!$I$3:$J$33,2,FALSE)</f>
        <v>中</v>
      </c>
      <c r="X39" s="2" t="str">
        <f t="shared" si="21"/>
        <v>最终</v>
      </c>
      <c r="Y39" s="2" t="str">
        <f>VLOOKUP(VLOOKUP(U39,坦克个性化设定!$B$18:$F$48,4,FALSE)&amp;W39,坦克等级成长!$P$12:$U$24,MATCH(X39,坦克等级成长!$P$12:$U$12,0),FALSE)</f>
        <v>T4中6</v>
      </c>
      <c r="Z39" s="42">
        <f ca="1">VLOOKUP($Y39,INDIRECT($V39&amp;"_阶段属性"),MATCH(Z$3,属性标头_阶段属性,0),FALSE)*VLOOKUP($U39,坦克个性化设定!$B$84:$D$114,2,FALSE)</f>
        <v>2541.9172482013055</v>
      </c>
      <c r="AA39" s="42">
        <f ca="1">VLOOKUP($Y39,INDIRECT($V39&amp;"_阶段属性"),MATCH(AA$3,属性标头_阶段属性,0),FALSE)*VLOOKUP($U39,坦克个性化设定!$B$84:$D$114,3,FALSE)</f>
        <v>311.10304027684663</v>
      </c>
      <c r="AB39" s="2">
        <f t="shared" ca="1" si="18"/>
        <v>973</v>
      </c>
      <c r="AC39" s="2">
        <f t="shared" ca="1" si="18"/>
        <v>729</v>
      </c>
      <c r="AD39" s="2">
        <f t="shared" ca="1" si="18"/>
        <v>1066</v>
      </c>
      <c r="AE39" s="2">
        <f t="shared" ca="1" si="18"/>
        <v>256</v>
      </c>
      <c r="AF39" s="25"/>
      <c r="BH39" s="2" t="str">
        <f t="shared" si="13"/>
        <v>十字军3</v>
      </c>
      <c r="BI39" s="2">
        <f>IF(BL38&gt;=VLOOKUP(VLOOKUP(BJ38,坦克个性化设定!$B$18:$E$48,4,FALSE)&amp;BK38,坦克属性分配比例,MATCH("升星次数",坦克属性分配比例标头,0),FALSE),BI38+1,BI38)</f>
        <v>5</v>
      </c>
      <c r="BJ39" s="2" t="str">
        <f t="shared" si="14"/>
        <v>十字军</v>
      </c>
      <c r="BK39" s="29" t="str">
        <f>VLOOKUP(BJ39,坦克个性化细分!$I$3:$J$33,2,FALSE)</f>
        <v>中</v>
      </c>
      <c r="BL39" s="2">
        <f t="shared" si="7"/>
        <v>3</v>
      </c>
      <c r="BM39" s="103">
        <f ca="1">ROUND(VLOOKUP($BJ39&amp;"初始",$S$3:$AE$63,MATCH(BM$3,$S$3:$AE$3,0),FALSE)+((VLOOKUP($BJ39&amp;"最终",$S$3:$AE$63,MATCH(BM$3,$S$3:$AE$3,0),FALSE)*坦克个性化细分!$C$9-VLOOKUP($BJ39&amp;"初始",$S$3:$AE$63,MATCH(BM$3,$S$3:$AE$3,0),FALSE))-(VLOOKUP($BJ39&amp;"最终",$S$3:$AE$63,MATCH(BM$3,$S$3:$AE$3,0),FALSE)-VLOOKUP($BJ39&amp;"初始",$S$3:$AE$63,MATCH(BM$3,$S$3:$AE$3,0),FALSE))*VLOOKUP(VLOOKUP($BJ39,坦克个性化设定!$B$18:$E$48,4,FALSE)&amp;$BK39,坦克属性分配比例,MATCH("部件比例",坦克属性分配比例标头,0),FALSE))*$BL39/VLOOKUP(VLOOKUP($BJ39,坦克个性化设定!$B$18:$E$48,4,FALSE)&amp;$BK39,坦克属性分配比例,MATCH("升星次数",坦克属性分配比例标头,0),FALSE),0)</f>
        <v>1479</v>
      </c>
      <c r="BN39" s="103">
        <f ca="1">ROUND(VLOOKUP($BJ39&amp;"初始",$S$3:$AE$63,MATCH(BN$3,$S$3:$AE$3,0),FALSE)+(VLOOKUP($BJ39&amp;"最终",$S$3:$AE$63,MATCH(BN$3,$S$3:$AE$3,0),FALSE)-VLOOKUP($BJ39&amp;"初始",$S$3:$AE$63,MATCH(BN$3,$S$3:$AE$3,0),FALSE))*$BL39/VLOOKUP(VLOOKUP($BJ39,坦克个性化设定!$B$18:$E$48,4,FALSE)&amp;$BK39,坦克属性分配比例,MATCH("升星次数",坦克属性分配比例标头,0),FALSE)*VLOOKUP(VLOOKUP($BJ39,坦克个性化设定!$B$18:$E$48,4,FALSE)&amp;$BK39,坦克属性分配比例,MATCH("升星比例",坦克属性分配比例标头,0),FALSE),0)</f>
        <v>78</v>
      </c>
      <c r="BO39" s="103">
        <f ca="1">ROUND(VLOOKUP($BJ39&amp;"初始",$S$3:$AE$63,MATCH(BO$3,$S$3:$AE$3,0),FALSE)+(VLOOKUP($BJ39&amp;"最终",$S$3:$AE$63,MATCH(BO$3,$S$3:$AE$3,0),FALSE)-VLOOKUP($BJ39&amp;"初始",$S$3:$AE$63,MATCH(BO$3,$S$3:$AE$3,0),FALSE))*$BL39/VLOOKUP(VLOOKUP($BJ39,坦克个性化设定!$B$18:$E$48,4,FALSE)&amp;$BK39,坦克属性分配比例,MATCH("升星次数",坦克属性分配比例标头,0),FALSE)*(VLOOKUP(VLOOKUP($BJ39,坦克个性化设定!$B$18:$E$48,4,FALSE)&amp;$BK39,坦克属性分配比例,MATCH("升星比例",坦克属性分配比例标头,0),FALSE)+VLOOKUP(VLOOKUP($BJ39,坦克个性化设定!$B$18:$E$48,4,FALSE)&amp;$BK39,坦克属性分配比例,MATCH("部件比例",坦克属性分配比例标头,0),FALSE)*$C$3),0)</f>
        <v>574</v>
      </c>
      <c r="BP39" s="103">
        <f ca="1">ROUND(VLOOKUP($BJ39&amp;"初始",$S$3:$AE$63,MATCH(BP$3,$S$3:$AE$3,0),FALSE)+(VLOOKUP($BJ39&amp;"最终",$S$3:$AE$63,MATCH(BP$3,$S$3:$AE$3,0),FALSE)-VLOOKUP($BJ39&amp;"初始",$S$3:$AE$63,MATCH(BP$3,$S$3:$AE$3,0),FALSE))*$BL39/VLOOKUP(VLOOKUP($BJ39,坦克个性化设定!$B$18:$E$48,4,FALSE)&amp;$BK39,坦克属性分配比例,MATCH("升星次数",坦克属性分配比例标头,0),FALSE)*(VLOOKUP(VLOOKUP($BJ39,坦克个性化设定!$B$18:$E$48,4,FALSE)&amp;$BK39,坦克属性分配比例,MATCH("升星比例",坦克属性分配比例标头,0),FALSE)+VLOOKUP(VLOOKUP($BJ39,坦克个性化设定!$B$18:$E$48,4,FALSE)&amp;$BK39,坦克属性分配比例,MATCH("部件比例",坦克属性分配比例标头,0),FALSE)*$C$3),0)</f>
        <v>402</v>
      </c>
      <c r="BQ39" s="103">
        <f ca="1">ROUND(VLOOKUP($BJ39&amp;"初始",$S$3:$AE$63,MATCH(BQ$3,$S$3:$AE$3,0),FALSE)+(VLOOKUP($BJ39&amp;"最终",$S$3:$AE$63,MATCH(BQ$3,$S$3:$AE$3,0),FALSE)-VLOOKUP($BJ39&amp;"初始",$S$3:$AE$63,MATCH(BQ$3,$S$3:$AE$3,0),FALSE))*$BL39/VLOOKUP(VLOOKUP($BJ39,坦克个性化设定!$B$18:$E$48,4,FALSE)&amp;$BK39,坦克属性分配比例,MATCH("升星次数",坦克属性分配比例标头,0),FALSE)*VLOOKUP(VLOOKUP($BJ39,坦克个性化设定!$B$18:$E$48,4,FALSE)&amp;$BK39,坦克属性分配比例,MATCH("升星比例",坦克属性分配比例标头,0),FALSE),0)</f>
        <v>506</v>
      </c>
      <c r="BR39" s="2">
        <f ca="1">ROUND(VLOOKUP($BJ39&amp;"初始",$S$3:$AE$63,MATCH(BR$3,$S$3:$AE$3,0),FALSE)+(VLOOKUP($BJ39&amp;"最终",$S$3:$AE$63,MATCH(BR$3,$S$3:$AE$3,0),FALSE)-VLOOKUP($BJ39&amp;"初始",$S$3:$AE$63,MATCH(BR$3,$S$3:$AE$3,0),FALSE))*$BL39/VLOOKUP(VLOOKUP($BJ39,坦克个性化设定!$B$18:$E$48,4,FALSE)&amp;$BK39,坦克属性分配比例,MATCH("升星次数",坦克属性分配比例标头,0),FALSE),0)</f>
        <v>143</v>
      </c>
      <c r="BS39" s="2">
        <f>ROUND(VLOOKUP($BJ39,$AI$3:$AO$33,MATCH(BS$3,$AI$3:$AO$3,0),FALSE)+$BL39/VLOOKUP(VLOOKUP($BJ39,坦克个性化设定!$B$18:$E$48,4,FALSE)&amp;$BK39,坦克属性分配比例,MATCH("升星次数",坦克属性分配比例标头,0),FALSE)*VLOOKUP($BJ39,$AR$3:$AY$33,MATCH(BS$3,$AR$3:$AY$3,0),FALSE),1)</f>
        <v>52.1</v>
      </c>
      <c r="BT39" s="2">
        <f>ROUND(VLOOKUP($BJ39,$AI$3:$AO$33,MATCH(BT$3,$AI$3:$AO$3,0),FALSE)+$BL39/VLOOKUP(VLOOKUP($BJ39,坦克个性化设定!$B$18:$E$48,4,FALSE)&amp;$BK39,坦克属性分配比例,MATCH("升星次数",坦克属性分配比例标头,0),FALSE)*VLOOKUP($BJ39,$AR$3:$AY$33,MATCH(BT$3,$AR$3:$AY$3,0),FALSE),1)</f>
        <v>49.7</v>
      </c>
      <c r="BU39" s="2">
        <f>ROUND(VLOOKUP($BJ39,$AI$3:$AO$33,MATCH(BU$3,$AI$3:$AO$3,0),FALSE)+$BL39/VLOOKUP(VLOOKUP($BJ39,坦克个性化设定!$B$18:$E$48,4,FALSE)&amp;$BK39,坦克属性分配比例,MATCH("升星次数",坦克属性分配比例标头,0),FALSE)*VLOOKUP($BJ39,$AR$3:$AY$33,MATCH(BU$3,$AR$3:$AY$3,0),FALSE),1)</f>
        <v>10.7</v>
      </c>
      <c r="BV39" s="2">
        <f>IF(VLOOKUP(BJ39,坦克个性化设定!$B$18:$BC$48,MATCH("装弹类型",坦克个性化设定!$B$18:$BC$18,0),FALSE)="弹夹换弹",0,ROUND(VLOOKUP($BJ39,$AI$3:$AO$33,MATCH("换弹时间",$AI$3:$AO$3,0),FALSE)-$BL39/VLOOKUP(VLOOKUP($BJ39,坦克个性化设定!$B$18:$E$48,4,FALSE)&amp;$BK39,坦克属性分配比例,MATCH("升星次数",坦克属性分配比例标头,0),FALSE)*VLOOKUP($BJ39,$AR$3:$AY$33,MATCH("换弹时间",$AR$3:$AY$3,0),FALSE),2))</f>
        <v>0</v>
      </c>
      <c r="BW39" s="2">
        <f>IF(VLOOKUP(BJ39,坦克个性化设定!$B$18:$BC$48,MATCH("装弹类型",坦克个性化设定!$B$18:$BC$18,0),FALSE)="弹夹换弹",ROUND(VLOOKUP($BJ39,$AI$3:$AO$33,MATCH("换弹时间",$AI$3:$AO$3,0),FALSE)-$BL39/VLOOKUP(VLOOKUP($BJ39,坦克个性化设定!$B$18:$E$48,4,FALSE)&amp;$BK39,坦克属性分配比例,MATCH("升星次数",坦克属性分配比例标头,0),FALSE)*VLOOKUP($BJ39,$AR$3:$AY$33,MATCH("换弹时间",$AR$3:$AY$3,0),FALSE),1),0)</f>
        <v>7.6</v>
      </c>
      <c r="BX39" s="2">
        <f>ROUND(VLOOKUP($BJ39,$AI$3:$AO$33,MATCH(BX$3,$AI$3:$AO$3,0),FALSE)+$BL39/VLOOKUP(VLOOKUP($BJ39,坦克个性化设定!$B$18:$E$48,4,FALSE)&amp;$BK39,坦克属性分配比例,MATCH("升星次数",坦克属性分配比例标头,0),FALSE)*VLOOKUP($BJ39,$AR$3:$AY$33,MATCH(BX$3,$AR$3:$AY$3,0),FALSE),2)</f>
        <v>0.6</v>
      </c>
      <c r="BY39" s="2">
        <f>ROUND(VLOOKUP($BJ39,$AI$3:$AO$33,MATCH(BY$3,$AI$3:$AO$3,0),FALSE)-$BL39/VLOOKUP(VLOOKUP($BJ39,坦克个性化设定!$B$18:$E$48,4,FALSE)&amp;$BK39,坦克属性分配比例,MATCH("升星次数",坦克属性分配比例标头,0),FALSE)*VLOOKUP($BJ39,$AR$3:$AY$33,MATCH(BY$3,$AR$3:$AY$3,0),FALSE),2)</f>
        <v>0.39</v>
      </c>
    </row>
    <row r="40" spans="2:87" x14ac:dyDescent="0.3">
      <c r="S40" s="2" t="str">
        <f t="shared" si="19"/>
        <v>百夫长初始</v>
      </c>
      <c r="T40" s="2">
        <f>IF(COUNTIF(U$4:U39,U39)&gt;=$B$3,T39+1,T39)</f>
        <v>19</v>
      </c>
      <c r="U40" s="2" t="str">
        <f t="shared" si="20"/>
        <v>百夫长</v>
      </c>
      <c r="V40" s="2" t="str">
        <f>VLOOKUP(U40,坦克个性化设定!$B$18:$F$48,5,FALSE)</f>
        <v>中坦自动</v>
      </c>
      <c r="W40" s="29" t="str">
        <f>VLOOKUP(U40,坦克个性化细分!$I$3:$J$33,2,FALSE)</f>
        <v>高</v>
      </c>
      <c r="X40" s="2" t="str">
        <f t="shared" si="21"/>
        <v>初始</v>
      </c>
      <c r="Y40" s="2" t="str">
        <f>VLOOKUP(VLOOKUP(U40,坦克个性化设定!$B$18:$F$48,4,FALSE)&amp;W40,坦克等级成长!$P$12:$U$24,MATCH(X40,坦克等级成长!$P$12:$U$12,0),FALSE)</f>
        <v>T4高4</v>
      </c>
      <c r="Z40" s="42">
        <f ca="1">VLOOKUP($Y40,INDIRECT($V40&amp;"_阶段属性"),MATCH(Z$3,属性标头_阶段属性,0),FALSE)*VLOOKUP($U40,坦克个性化设定!$B$84:$D$114,2,FALSE)</f>
        <v>1944.587538895735</v>
      </c>
      <c r="AA40" s="42">
        <f ca="1">VLOOKUP($Y40,INDIRECT($V40&amp;"_阶段属性"),MATCH(AA$3,属性标头_阶段属性,0),FALSE)*VLOOKUP($U40,坦克个性化设定!$B$84:$D$114,3,FALSE)</f>
        <v>201.1963936692581</v>
      </c>
      <c r="AB40" s="2">
        <f t="shared" ca="1" si="18"/>
        <v>657</v>
      </c>
      <c r="AC40" s="2">
        <f t="shared" ca="1" si="18"/>
        <v>493</v>
      </c>
      <c r="AD40" s="2">
        <f t="shared" ca="1" si="18"/>
        <v>720</v>
      </c>
      <c r="AE40" s="2">
        <f t="shared" ca="1" si="18"/>
        <v>173</v>
      </c>
      <c r="AF40" s="25"/>
      <c r="BH40" s="2" t="str">
        <f t="shared" si="13"/>
        <v>十字军4</v>
      </c>
      <c r="BI40" s="2">
        <f>IF(BL39&gt;=VLOOKUP(VLOOKUP(BJ39,坦克个性化设定!$B$18:$E$48,4,FALSE)&amp;BK39,坦克属性分配比例,MATCH("升星次数",坦克属性分配比例标头,0),FALSE),BI39+1,BI39)</f>
        <v>5</v>
      </c>
      <c r="BJ40" s="2" t="str">
        <f t="shared" si="14"/>
        <v>十字军</v>
      </c>
      <c r="BK40" s="29" t="str">
        <f>VLOOKUP(BJ40,坦克个性化细分!$I$3:$J$33,2,FALSE)</f>
        <v>中</v>
      </c>
      <c r="BL40" s="2">
        <f t="shared" si="7"/>
        <v>4</v>
      </c>
      <c r="BM40" s="103">
        <f ca="1">ROUND(VLOOKUP($BJ40&amp;"初始",$S$3:$AE$63,MATCH(BM$3,$S$3:$AE$3,0),FALSE)+((VLOOKUP($BJ40&amp;"最终",$S$3:$AE$63,MATCH(BM$3,$S$3:$AE$3,0),FALSE)*坦克个性化细分!$C$9-VLOOKUP($BJ40&amp;"初始",$S$3:$AE$63,MATCH(BM$3,$S$3:$AE$3,0),FALSE))-(VLOOKUP($BJ40&amp;"最终",$S$3:$AE$63,MATCH(BM$3,$S$3:$AE$3,0),FALSE)-VLOOKUP($BJ40&amp;"初始",$S$3:$AE$63,MATCH(BM$3,$S$3:$AE$3,0),FALSE))*VLOOKUP(VLOOKUP($BJ40,坦克个性化设定!$B$18:$E$48,4,FALSE)&amp;$BK40,坦克属性分配比例,MATCH("部件比例",坦克属性分配比例标头,0),FALSE))*$BL40/VLOOKUP(VLOOKUP($BJ40,坦克个性化设定!$B$18:$E$48,4,FALSE)&amp;$BK40,坦克属性分配比例,MATCH("升星次数",坦克属性分配比例标头,0),FALSE),0)</f>
        <v>1550</v>
      </c>
      <c r="BN40" s="103">
        <f ca="1">ROUND(VLOOKUP($BJ40&amp;"初始",$S$3:$AE$63,MATCH(BN$3,$S$3:$AE$3,0),FALSE)+(VLOOKUP($BJ40&amp;"最终",$S$3:$AE$63,MATCH(BN$3,$S$3:$AE$3,0),FALSE)-VLOOKUP($BJ40&amp;"初始",$S$3:$AE$63,MATCH(BN$3,$S$3:$AE$3,0),FALSE))*$BL40/VLOOKUP(VLOOKUP($BJ40,坦克个性化设定!$B$18:$E$48,4,FALSE)&amp;$BK40,坦克属性分配比例,MATCH("升星次数",坦克属性分配比例标头,0),FALSE)*VLOOKUP(VLOOKUP($BJ40,坦克个性化设定!$B$18:$E$48,4,FALSE)&amp;$BK40,坦克属性分配比例,MATCH("升星比例",坦克属性分配比例标头,0),FALSE),0)</f>
        <v>80</v>
      </c>
      <c r="BO40" s="103">
        <f ca="1">ROUND(VLOOKUP($BJ40&amp;"初始",$S$3:$AE$63,MATCH(BO$3,$S$3:$AE$3,0),FALSE)+(VLOOKUP($BJ40&amp;"最终",$S$3:$AE$63,MATCH(BO$3,$S$3:$AE$3,0),FALSE)-VLOOKUP($BJ40&amp;"初始",$S$3:$AE$63,MATCH(BO$3,$S$3:$AE$3,0),FALSE))*$BL40/VLOOKUP(VLOOKUP($BJ40,坦克个性化设定!$B$18:$E$48,4,FALSE)&amp;$BK40,坦克属性分配比例,MATCH("升星次数",坦克属性分配比例标头,0),FALSE)*(VLOOKUP(VLOOKUP($BJ40,坦克个性化设定!$B$18:$E$48,4,FALSE)&amp;$BK40,坦克属性分配比例,MATCH("升星比例",坦克属性分配比例标头,0),FALSE)+VLOOKUP(VLOOKUP($BJ40,坦克个性化设定!$B$18:$E$48,4,FALSE)&amp;$BK40,坦克属性分配比例,MATCH("部件比例",坦克属性分配比例标头,0),FALSE)*$C$3),0)</f>
        <v>597</v>
      </c>
      <c r="BP40" s="103">
        <f ca="1">ROUND(VLOOKUP($BJ40&amp;"初始",$S$3:$AE$63,MATCH(BP$3,$S$3:$AE$3,0),FALSE)+(VLOOKUP($BJ40&amp;"最终",$S$3:$AE$63,MATCH(BP$3,$S$3:$AE$3,0),FALSE)-VLOOKUP($BJ40&amp;"初始",$S$3:$AE$63,MATCH(BP$3,$S$3:$AE$3,0),FALSE))*$BL40/VLOOKUP(VLOOKUP($BJ40,坦克个性化设定!$B$18:$E$48,4,FALSE)&amp;$BK40,坦克属性分配比例,MATCH("升星次数",坦克属性分配比例标头,0),FALSE)*(VLOOKUP(VLOOKUP($BJ40,坦克个性化设定!$B$18:$E$48,4,FALSE)&amp;$BK40,坦克属性分配比例,MATCH("升星比例",坦克属性分配比例标头,0),FALSE)+VLOOKUP(VLOOKUP($BJ40,坦克个性化设定!$B$18:$E$48,4,FALSE)&amp;$BK40,坦克属性分配比例,MATCH("部件比例",坦克属性分配比例标头,0),FALSE)*$C$3),0)</f>
        <v>417</v>
      </c>
      <c r="BQ40" s="103">
        <f ca="1">ROUND(VLOOKUP($BJ40&amp;"初始",$S$3:$AE$63,MATCH(BQ$3,$S$3:$AE$3,0),FALSE)+(VLOOKUP($BJ40&amp;"最终",$S$3:$AE$63,MATCH(BQ$3,$S$3:$AE$3,0),FALSE)-VLOOKUP($BJ40&amp;"初始",$S$3:$AE$63,MATCH(BQ$3,$S$3:$AE$3,0),FALSE))*$BL40/VLOOKUP(VLOOKUP($BJ40,坦克个性化设定!$B$18:$E$48,4,FALSE)&amp;$BK40,坦克属性分配比例,MATCH("升星次数",坦克属性分配比例标头,0),FALSE)*VLOOKUP(VLOOKUP($BJ40,坦克个性化设定!$B$18:$E$48,4,FALSE)&amp;$BK40,坦克属性分配比例,MATCH("升星比例",坦克属性分配比例标头,0),FALSE),0)</f>
        <v>521</v>
      </c>
      <c r="BR40" s="2">
        <f ca="1">ROUND(VLOOKUP($BJ40&amp;"初始",$S$3:$AE$63,MATCH(BR$3,$S$3:$AE$3,0),FALSE)+(VLOOKUP($BJ40&amp;"最终",$S$3:$AE$63,MATCH(BR$3,$S$3:$AE$3,0),FALSE)-VLOOKUP($BJ40&amp;"初始",$S$3:$AE$63,MATCH(BR$3,$S$3:$AE$3,0),FALSE))*$BL40/VLOOKUP(VLOOKUP($BJ40,坦克个性化设定!$B$18:$E$48,4,FALSE)&amp;$BK40,坦克属性分配比例,MATCH("升星次数",坦克属性分配比例标头,0),FALSE),0)</f>
        <v>149</v>
      </c>
      <c r="BS40" s="2">
        <f>ROUND(VLOOKUP($BJ40,$AI$3:$AO$33,MATCH(BS$3,$AI$3:$AO$3,0),FALSE)+$BL40/VLOOKUP(VLOOKUP($BJ40,坦克个性化设定!$B$18:$E$48,4,FALSE)&amp;$BK40,坦克属性分配比例,MATCH("升星次数",坦克属性分配比例标头,0),FALSE)*VLOOKUP($BJ40,$AR$3:$AY$33,MATCH(BS$3,$AR$3:$AY$3,0),FALSE),1)</f>
        <v>53.4</v>
      </c>
      <c r="BT40" s="2">
        <f>ROUND(VLOOKUP($BJ40,$AI$3:$AO$33,MATCH(BT$3,$AI$3:$AO$3,0),FALSE)+$BL40/VLOOKUP(VLOOKUP($BJ40,坦克个性化设定!$B$18:$E$48,4,FALSE)&amp;$BK40,坦克属性分配比例,MATCH("升星次数",坦克属性分配比例标头,0),FALSE)*VLOOKUP($BJ40,$AR$3:$AY$33,MATCH(BT$3,$AR$3:$AY$3,0),FALSE),1)</f>
        <v>51</v>
      </c>
      <c r="BU40" s="2">
        <f>ROUND(VLOOKUP($BJ40,$AI$3:$AO$33,MATCH(BU$3,$AI$3:$AO$3,0),FALSE)+$BL40/VLOOKUP(VLOOKUP($BJ40,坦克个性化设定!$B$18:$E$48,4,FALSE)&amp;$BK40,坦克属性分配比例,MATCH("升星次数",坦克属性分配比例标头,0),FALSE)*VLOOKUP($BJ40,$AR$3:$AY$33,MATCH(BU$3,$AR$3:$AY$3,0),FALSE),1)</f>
        <v>10.7</v>
      </c>
      <c r="BV40" s="2">
        <f>IF(VLOOKUP(BJ40,坦克个性化设定!$B$18:$BC$48,MATCH("装弹类型",坦克个性化设定!$B$18:$BC$18,0),FALSE)="弹夹换弹",0,ROUND(VLOOKUP($BJ40,$AI$3:$AO$33,MATCH("换弹时间",$AI$3:$AO$3,0),FALSE)-$BL40/VLOOKUP(VLOOKUP($BJ40,坦克个性化设定!$B$18:$E$48,4,FALSE)&amp;$BK40,坦克属性分配比例,MATCH("升星次数",坦克属性分配比例标头,0),FALSE)*VLOOKUP($BJ40,$AR$3:$AY$33,MATCH("换弹时间",$AR$3:$AY$3,0),FALSE),2))</f>
        <v>0</v>
      </c>
      <c r="BW40" s="2">
        <f>IF(VLOOKUP(BJ40,坦克个性化设定!$B$18:$BC$48,MATCH("装弹类型",坦克个性化设定!$B$18:$BC$18,0),FALSE)="弹夹换弹",ROUND(VLOOKUP($BJ40,$AI$3:$AO$33,MATCH("换弹时间",$AI$3:$AO$3,0),FALSE)-$BL40/VLOOKUP(VLOOKUP($BJ40,坦克个性化设定!$B$18:$E$48,4,FALSE)&amp;$BK40,坦克属性分配比例,MATCH("升星次数",坦克属性分配比例标头,0),FALSE)*VLOOKUP($BJ40,$AR$3:$AY$33,MATCH("换弹时间",$AR$3:$AY$3,0),FALSE),1),0)</f>
        <v>7.3</v>
      </c>
      <c r="BX40" s="2">
        <f>ROUND(VLOOKUP($BJ40,$AI$3:$AO$33,MATCH(BX$3,$AI$3:$AO$3,0),FALSE)+$BL40/VLOOKUP(VLOOKUP($BJ40,坦克个性化设定!$B$18:$E$48,4,FALSE)&amp;$BK40,坦克属性分配比例,MATCH("升星次数",坦克属性分配比例标头,0),FALSE)*VLOOKUP($BJ40,$AR$3:$AY$33,MATCH(BX$3,$AR$3:$AY$3,0),FALSE),2)</f>
        <v>0.6</v>
      </c>
      <c r="BY40" s="2">
        <f>ROUND(VLOOKUP($BJ40,$AI$3:$AO$33,MATCH(BY$3,$AI$3:$AO$3,0),FALSE)-$BL40/VLOOKUP(VLOOKUP($BJ40,坦克个性化设定!$B$18:$E$48,4,FALSE)&amp;$BK40,坦克属性分配比例,MATCH("升星次数",坦克属性分配比例标头,0),FALSE)*VLOOKUP($BJ40,$AR$3:$AY$33,MATCH(BY$3,$AR$3:$AY$3,0),FALSE),2)</f>
        <v>0.39</v>
      </c>
    </row>
    <row r="41" spans="2:87" x14ac:dyDescent="0.3">
      <c r="S41" s="2" t="str">
        <f t="shared" si="19"/>
        <v>百夫长最终</v>
      </c>
      <c r="T41" s="2">
        <f>IF(COUNTIF(U$4:U40,U40)&gt;=$B$3,T40+1,T40)</f>
        <v>19</v>
      </c>
      <c r="U41" s="2" t="str">
        <f t="shared" si="20"/>
        <v>百夫长</v>
      </c>
      <c r="V41" s="2" t="str">
        <f>VLOOKUP(U41,坦克个性化设定!$B$18:$F$48,5,FALSE)</f>
        <v>中坦自动</v>
      </c>
      <c r="W41" s="29" t="str">
        <f>VLOOKUP(U41,坦克个性化细分!$I$3:$J$33,2,FALSE)</f>
        <v>高</v>
      </c>
      <c r="X41" s="2" t="str">
        <f t="shared" si="21"/>
        <v>最终</v>
      </c>
      <c r="Y41" s="2" t="str">
        <f>VLOOKUP(VLOOKUP(U41,坦克个性化设定!$B$18:$F$48,4,FALSE)&amp;W41,坦克等级成长!$P$12:$U$24,MATCH(X41,坦克等级成长!$P$12:$U$12,0),FALSE)</f>
        <v>T4高6</v>
      </c>
      <c r="Z41" s="42">
        <f ca="1">VLOOKUP($Y41,INDIRECT($V41&amp;"_阶段属性"),MATCH(Z$3,属性标头_阶段属性,0),FALSE)*VLOOKUP($U41,坦克个性化设定!$B$84:$D$114,2,FALSE)</f>
        <v>2878.0345972307459</v>
      </c>
      <c r="AA41" s="42">
        <f ca="1">VLOOKUP($Y41,INDIRECT($V41&amp;"_阶段属性"),MATCH(AA$3,属性标头_阶段属性,0),FALSE)*VLOOKUP($U41,坦克个性化设定!$B$84:$D$114,3,FALSE)</f>
        <v>304.0552241406204</v>
      </c>
      <c r="AB41" s="2">
        <f t="shared" ca="1" si="18"/>
        <v>992</v>
      </c>
      <c r="AC41" s="2">
        <f t="shared" ca="1" si="18"/>
        <v>744</v>
      </c>
      <c r="AD41" s="2">
        <f t="shared" ca="1" si="18"/>
        <v>1087</v>
      </c>
      <c r="AE41" s="2">
        <f t="shared" ca="1" si="18"/>
        <v>261</v>
      </c>
      <c r="AF41" s="25"/>
      <c r="BH41" s="2" t="str">
        <f t="shared" si="13"/>
        <v>十字军5</v>
      </c>
      <c r="BI41" s="2">
        <f>IF(BL40&gt;=VLOOKUP(VLOOKUP(BJ40,坦克个性化设定!$B$18:$E$48,4,FALSE)&amp;BK40,坦克属性分配比例,MATCH("升星次数",坦克属性分配比例标头,0),FALSE),BI40+1,BI40)</f>
        <v>5</v>
      </c>
      <c r="BJ41" s="2" t="str">
        <f t="shared" si="14"/>
        <v>十字军</v>
      </c>
      <c r="BK41" s="29" t="str">
        <f>VLOOKUP(BJ41,坦克个性化细分!$I$3:$J$33,2,FALSE)</f>
        <v>中</v>
      </c>
      <c r="BL41" s="2">
        <f t="shared" si="7"/>
        <v>5</v>
      </c>
      <c r="BM41" s="103">
        <f ca="1">ROUND(VLOOKUP($BJ41&amp;"初始",$S$3:$AE$63,MATCH(BM$3,$S$3:$AE$3,0),FALSE)+((VLOOKUP($BJ41&amp;"最终",$S$3:$AE$63,MATCH(BM$3,$S$3:$AE$3,0),FALSE)*坦克个性化细分!$C$9-VLOOKUP($BJ41&amp;"初始",$S$3:$AE$63,MATCH(BM$3,$S$3:$AE$3,0),FALSE))-(VLOOKUP($BJ41&amp;"最终",$S$3:$AE$63,MATCH(BM$3,$S$3:$AE$3,0),FALSE)-VLOOKUP($BJ41&amp;"初始",$S$3:$AE$63,MATCH(BM$3,$S$3:$AE$3,0),FALSE))*VLOOKUP(VLOOKUP($BJ41,坦克个性化设定!$B$18:$E$48,4,FALSE)&amp;$BK41,坦克属性分配比例,MATCH("部件比例",坦克属性分配比例标头,0),FALSE))*$BL41/VLOOKUP(VLOOKUP($BJ41,坦克个性化设定!$B$18:$E$48,4,FALSE)&amp;$BK41,坦克属性分配比例,MATCH("升星次数",坦克属性分配比例标头,0),FALSE),0)</f>
        <v>1622</v>
      </c>
      <c r="BN41" s="103">
        <f ca="1">ROUND(VLOOKUP($BJ41&amp;"初始",$S$3:$AE$63,MATCH(BN$3,$S$3:$AE$3,0),FALSE)+(VLOOKUP($BJ41&amp;"最终",$S$3:$AE$63,MATCH(BN$3,$S$3:$AE$3,0),FALSE)-VLOOKUP($BJ41&amp;"初始",$S$3:$AE$63,MATCH(BN$3,$S$3:$AE$3,0),FALSE))*$BL41/VLOOKUP(VLOOKUP($BJ41,坦克个性化设定!$B$18:$E$48,4,FALSE)&amp;$BK41,坦克属性分配比例,MATCH("升星次数",坦克属性分配比例标头,0),FALSE)*VLOOKUP(VLOOKUP($BJ41,坦克个性化设定!$B$18:$E$48,4,FALSE)&amp;$BK41,坦克属性分配比例,MATCH("升星比例",坦克属性分配比例标头,0),FALSE),0)</f>
        <v>83</v>
      </c>
      <c r="BO41" s="103">
        <f ca="1">ROUND(VLOOKUP($BJ41&amp;"初始",$S$3:$AE$63,MATCH(BO$3,$S$3:$AE$3,0),FALSE)+(VLOOKUP($BJ41&amp;"最终",$S$3:$AE$63,MATCH(BO$3,$S$3:$AE$3,0),FALSE)-VLOOKUP($BJ41&amp;"初始",$S$3:$AE$63,MATCH(BO$3,$S$3:$AE$3,0),FALSE))*$BL41/VLOOKUP(VLOOKUP($BJ41,坦克个性化设定!$B$18:$E$48,4,FALSE)&amp;$BK41,坦克属性分配比例,MATCH("升星次数",坦克属性分配比例标头,0),FALSE)*(VLOOKUP(VLOOKUP($BJ41,坦克个性化设定!$B$18:$E$48,4,FALSE)&amp;$BK41,坦克属性分配比例,MATCH("升星比例",坦克属性分配比例标头,0),FALSE)+VLOOKUP(VLOOKUP($BJ41,坦克个性化设定!$B$18:$E$48,4,FALSE)&amp;$BK41,坦克属性分配比例,MATCH("部件比例",坦克属性分配比例标头,0),FALSE)*$C$3),0)</f>
        <v>619</v>
      </c>
      <c r="BP41" s="103">
        <f ca="1">ROUND(VLOOKUP($BJ41&amp;"初始",$S$3:$AE$63,MATCH(BP$3,$S$3:$AE$3,0),FALSE)+(VLOOKUP($BJ41&amp;"最终",$S$3:$AE$63,MATCH(BP$3,$S$3:$AE$3,0),FALSE)-VLOOKUP($BJ41&amp;"初始",$S$3:$AE$63,MATCH(BP$3,$S$3:$AE$3,0),FALSE))*$BL41/VLOOKUP(VLOOKUP($BJ41,坦克个性化设定!$B$18:$E$48,4,FALSE)&amp;$BK41,坦克属性分配比例,MATCH("升星次数",坦克属性分配比例标头,0),FALSE)*(VLOOKUP(VLOOKUP($BJ41,坦克个性化设定!$B$18:$E$48,4,FALSE)&amp;$BK41,坦克属性分配比例,MATCH("升星比例",坦克属性分配比例标头,0),FALSE)+VLOOKUP(VLOOKUP($BJ41,坦克个性化设定!$B$18:$E$48,4,FALSE)&amp;$BK41,坦克属性分配比例,MATCH("部件比例",坦克属性分配比例标头,0),FALSE)*$C$3),0)</f>
        <v>433</v>
      </c>
      <c r="BQ41" s="103">
        <f ca="1">ROUND(VLOOKUP($BJ41&amp;"初始",$S$3:$AE$63,MATCH(BQ$3,$S$3:$AE$3,0),FALSE)+(VLOOKUP($BJ41&amp;"最终",$S$3:$AE$63,MATCH(BQ$3,$S$3:$AE$3,0),FALSE)-VLOOKUP($BJ41&amp;"初始",$S$3:$AE$63,MATCH(BQ$3,$S$3:$AE$3,0),FALSE))*$BL41/VLOOKUP(VLOOKUP($BJ41,坦克个性化设定!$B$18:$E$48,4,FALSE)&amp;$BK41,坦克属性分配比例,MATCH("升星次数",坦克属性分配比例标头,0),FALSE)*VLOOKUP(VLOOKUP($BJ41,坦克个性化设定!$B$18:$E$48,4,FALSE)&amp;$BK41,坦克属性分配比例,MATCH("升星比例",坦克属性分配比例标头,0),FALSE),0)</f>
        <v>536</v>
      </c>
      <c r="BR41" s="2">
        <f ca="1">ROUND(VLOOKUP($BJ41&amp;"初始",$S$3:$AE$63,MATCH(BR$3,$S$3:$AE$3,0),FALSE)+(VLOOKUP($BJ41&amp;"最终",$S$3:$AE$63,MATCH(BR$3,$S$3:$AE$3,0),FALSE)-VLOOKUP($BJ41&amp;"初始",$S$3:$AE$63,MATCH(BR$3,$S$3:$AE$3,0),FALSE))*$BL41/VLOOKUP(VLOOKUP($BJ41,坦克个性化设定!$B$18:$E$48,4,FALSE)&amp;$BK41,坦克属性分配比例,MATCH("升星次数",坦克属性分配比例标头,0),FALSE),0)</f>
        <v>156</v>
      </c>
      <c r="BS41" s="2">
        <f>ROUND(VLOOKUP($BJ41,$AI$3:$AO$33,MATCH(BS$3,$AI$3:$AO$3,0),FALSE)+$BL41/VLOOKUP(VLOOKUP($BJ41,坦克个性化设定!$B$18:$E$48,4,FALSE)&amp;$BK41,坦克属性分配比例,MATCH("升星次数",坦克属性分配比例标头,0),FALSE)*VLOOKUP($BJ41,$AR$3:$AY$33,MATCH(BS$3,$AR$3:$AY$3,0),FALSE),1)</f>
        <v>54.8</v>
      </c>
      <c r="BT41" s="2">
        <f>ROUND(VLOOKUP($BJ41,$AI$3:$AO$33,MATCH(BT$3,$AI$3:$AO$3,0),FALSE)+$BL41/VLOOKUP(VLOOKUP($BJ41,坦克个性化设定!$B$18:$E$48,4,FALSE)&amp;$BK41,坦克属性分配比例,MATCH("升星次数",坦克属性分配比例标头,0),FALSE)*VLOOKUP($BJ41,$AR$3:$AY$33,MATCH(BT$3,$AR$3:$AY$3,0),FALSE),1)</f>
        <v>52.3</v>
      </c>
      <c r="BU41" s="2">
        <f>ROUND(VLOOKUP($BJ41,$AI$3:$AO$33,MATCH(BU$3,$AI$3:$AO$3,0),FALSE)+$BL41/VLOOKUP(VLOOKUP($BJ41,坦克个性化设定!$B$18:$E$48,4,FALSE)&amp;$BK41,坦克属性分配比例,MATCH("升星次数",坦克属性分配比例标头,0),FALSE)*VLOOKUP($BJ41,$AR$3:$AY$33,MATCH(BU$3,$AR$3:$AY$3,0),FALSE),1)</f>
        <v>10.7</v>
      </c>
      <c r="BV41" s="2">
        <f>IF(VLOOKUP(BJ41,坦克个性化设定!$B$18:$BC$48,MATCH("装弹类型",坦克个性化设定!$B$18:$BC$18,0),FALSE)="弹夹换弹",0,ROUND(VLOOKUP($BJ41,$AI$3:$AO$33,MATCH("换弹时间",$AI$3:$AO$3,0),FALSE)-$BL41/VLOOKUP(VLOOKUP($BJ41,坦克个性化设定!$B$18:$E$48,4,FALSE)&amp;$BK41,坦克属性分配比例,MATCH("升星次数",坦克属性分配比例标头,0),FALSE)*VLOOKUP($BJ41,$AR$3:$AY$33,MATCH("换弹时间",$AR$3:$AY$3,0),FALSE),2))</f>
        <v>0</v>
      </c>
      <c r="BW41" s="2">
        <f>IF(VLOOKUP(BJ41,坦克个性化设定!$B$18:$BC$48,MATCH("装弹类型",坦克个性化设定!$B$18:$BC$18,0),FALSE)="弹夹换弹",ROUND(VLOOKUP($BJ41,$AI$3:$AO$33,MATCH("换弹时间",$AI$3:$AO$3,0),FALSE)-$BL41/VLOOKUP(VLOOKUP($BJ41,坦克个性化设定!$B$18:$E$48,4,FALSE)&amp;$BK41,坦克属性分配比例,MATCH("升星次数",坦克属性分配比例标头,0),FALSE)*VLOOKUP($BJ41,$AR$3:$AY$33,MATCH("换弹时间",$AR$3:$AY$3,0),FALSE),1),0)</f>
        <v>7.1</v>
      </c>
      <c r="BX41" s="2">
        <f>ROUND(VLOOKUP($BJ41,$AI$3:$AO$33,MATCH(BX$3,$AI$3:$AO$3,0),FALSE)+$BL41/VLOOKUP(VLOOKUP($BJ41,坦克个性化设定!$B$18:$E$48,4,FALSE)&amp;$BK41,坦克属性分配比例,MATCH("升星次数",坦克属性分配比例标头,0),FALSE)*VLOOKUP($BJ41,$AR$3:$AY$33,MATCH(BX$3,$AR$3:$AY$3,0),FALSE),2)</f>
        <v>0.6</v>
      </c>
      <c r="BY41" s="2">
        <f>ROUND(VLOOKUP($BJ41,$AI$3:$AO$33,MATCH(BY$3,$AI$3:$AO$3,0),FALSE)-$BL41/VLOOKUP(VLOOKUP($BJ41,坦克个性化设定!$B$18:$E$48,4,FALSE)&amp;$BK41,坦克属性分配比例,MATCH("升星次数",坦克属性分配比例标头,0),FALSE)*VLOOKUP($BJ41,$AR$3:$AY$33,MATCH(BY$3,$AR$3:$AY$3,0),FALSE),2)</f>
        <v>0.38</v>
      </c>
    </row>
    <row r="42" spans="2:87" x14ac:dyDescent="0.3">
      <c r="S42" s="2" t="str">
        <f t="shared" si="19"/>
        <v>挑战者初始</v>
      </c>
      <c r="T42" s="2">
        <f>IF(COUNTIF(U$4:U41,U41)&gt;=$B$3,T41+1,T41)</f>
        <v>20</v>
      </c>
      <c r="U42" s="2" t="str">
        <f t="shared" si="20"/>
        <v>挑战者</v>
      </c>
      <c r="V42" s="2" t="str">
        <f>VLOOKUP(U42,坦克个性化设定!$B$18:$F$48,5,FALSE)</f>
        <v>中坦自动</v>
      </c>
      <c r="W42" s="29" t="str">
        <f>VLOOKUP(U42,坦克个性化细分!$I$3:$J$33,2,FALSE)</f>
        <v>低</v>
      </c>
      <c r="X42" s="2" t="str">
        <f t="shared" si="21"/>
        <v>初始</v>
      </c>
      <c r="Y42" s="2" t="str">
        <f>VLOOKUP(VLOOKUP(U42,坦克个性化设定!$B$18:$F$48,4,FALSE)&amp;W42,坦克等级成长!$P$12:$U$24,MATCH(X42,坦克等级成长!$P$12:$U$12,0),FALSE)</f>
        <v>T5低5</v>
      </c>
      <c r="Z42" s="42">
        <f ca="1">VLOOKUP($Y42,INDIRECT($V42&amp;"_阶段属性"),MATCH(Z$3,属性标头_阶段属性,0),FALSE)*VLOOKUP($U42,坦克个性化设定!$B$84:$D$114,2,FALSE)</f>
        <v>2455.461157197461</v>
      </c>
      <c r="AA42" s="42">
        <f ca="1">VLOOKUP($Y42,INDIRECT($V42&amp;"_阶段属性"),MATCH(AA$3,属性标头_阶段属性,0),FALSE)*VLOOKUP($U42,坦克个性化设定!$B$84:$D$114,3,FALSE)</f>
        <v>231.41558974486509</v>
      </c>
      <c r="AB42" s="2">
        <f t="shared" ca="1" si="18"/>
        <v>828</v>
      </c>
      <c r="AC42" s="2">
        <f t="shared" ca="1" si="18"/>
        <v>621</v>
      </c>
      <c r="AD42" s="2">
        <f t="shared" ca="1" si="18"/>
        <v>907</v>
      </c>
      <c r="AE42" s="2">
        <f t="shared" ca="1" si="18"/>
        <v>218</v>
      </c>
      <c r="AF42" s="25"/>
      <c r="BH42" s="2" t="str">
        <f t="shared" si="13"/>
        <v>十字军6</v>
      </c>
      <c r="BI42" s="2">
        <f>IF(BL41&gt;=VLOOKUP(VLOOKUP(BJ41,坦克个性化设定!$B$18:$E$48,4,FALSE)&amp;BK41,坦克属性分配比例,MATCH("升星次数",坦克属性分配比例标头,0),FALSE),BI41+1,BI41)</f>
        <v>5</v>
      </c>
      <c r="BJ42" s="2" t="str">
        <f t="shared" si="14"/>
        <v>十字军</v>
      </c>
      <c r="BK42" s="29" t="str">
        <f>VLOOKUP(BJ42,坦克个性化细分!$I$3:$J$33,2,FALSE)</f>
        <v>中</v>
      </c>
      <c r="BL42" s="2">
        <f t="shared" si="7"/>
        <v>6</v>
      </c>
      <c r="BM42" s="103">
        <f ca="1">ROUND(VLOOKUP($BJ42&amp;"初始",$S$3:$AE$63,MATCH(BM$3,$S$3:$AE$3,0),FALSE)+((VLOOKUP($BJ42&amp;"最终",$S$3:$AE$63,MATCH(BM$3,$S$3:$AE$3,0),FALSE)*坦克个性化细分!$C$9-VLOOKUP($BJ42&amp;"初始",$S$3:$AE$63,MATCH(BM$3,$S$3:$AE$3,0),FALSE))-(VLOOKUP($BJ42&amp;"最终",$S$3:$AE$63,MATCH(BM$3,$S$3:$AE$3,0),FALSE)-VLOOKUP($BJ42&amp;"初始",$S$3:$AE$63,MATCH(BM$3,$S$3:$AE$3,0),FALSE))*VLOOKUP(VLOOKUP($BJ42,坦克个性化设定!$B$18:$E$48,4,FALSE)&amp;$BK42,坦克属性分配比例,MATCH("部件比例",坦克属性分配比例标头,0),FALSE))*$BL42/VLOOKUP(VLOOKUP($BJ42,坦克个性化设定!$B$18:$E$48,4,FALSE)&amp;$BK42,坦克属性分配比例,MATCH("升星次数",坦克属性分配比例标头,0),FALSE),0)</f>
        <v>1693</v>
      </c>
      <c r="BN42" s="103">
        <f ca="1">ROUND(VLOOKUP($BJ42&amp;"初始",$S$3:$AE$63,MATCH(BN$3,$S$3:$AE$3,0),FALSE)+(VLOOKUP($BJ42&amp;"最终",$S$3:$AE$63,MATCH(BN$3,$S$3:$AE$3,0),FALSE)-VLOOKUP($BJ42&amp;"初始",$S$3:$AE$63,MATCH(BN$3,$S$3:$AE$3,0),FALSE))*$BL42/VLOOKUP(VLOOKUP($BJ42,坦克个性化设定!$B$18:$E$48,4,FALSE)&amp;$BK42,坦克属性分配比例,MATCH("升星次数",坦克属性分配比例标头,0),FALSE)*VLOOKUP(VLOOKUP($BJ42,坦克个性化设定!$B$18:$E$48,4,FALSE)&amp;$BK42,坦克属性分配比例,MATCH("升星比例",坦克属性分配比例标头,0),FALSE),0)</f>
        <v>85</v>
      </c>
      <c r="BO42" s="103">
        <f ca="1">ROUND(VLOOKUP($BJ42&amp;"初始",$S$3:$AE$63,MATCH(BO$3,$S$3:$AE$3,0),FALSE)+(VLOOKUP($BJ42&amp;"最终",$S$3:$AE$63,MATCH(BO$3,$S$3:$AE$3,0),FALSE)-VLOOKUP($BJ42&amp;"初始",$S$3:$AE$63,MATCH(BO$3,$S$3:$AE$3,0),FALSE))*$BL42/VLOOKUP(VLOOKUP($BJ42,坦克个性化设定!$B$18:$E$48,4,FALSE)&amp;$BK42,坦克属性分配比例,MATCH("升星次数",坦克属性分配比例标头,0),FALSE)*(VLOOKUP(VLOOKUP($BJ42,坦克个性化设定!$B$18:$E$48,4,FALSE)&amp;$BK42,坦克属性分配比例,MATCH("升星比例",坦克属性分配比例标头,0),FALSE)+VLOOKUP(VLOOKUP($BJ42,坦克个性化设定!$B$18:$E$48,4,FALSE)&amp;$BK42,坦克属性分配比例,MATCH("部件比例",坦克属性分配比例标头,0),FALSE)*$C$3),0)</f>
        <v>642</v>
      </c>
      <c r="BP42" s="103">
        <f ca="1">ROUND(VLOOKUP($BJ42&amp;"初始",$S$3:$AE$63,MATCH(BP$3,$S$3:$AE$3,0),FALSE)+(VLOOKUP($BJ42&amp;"最终",$S$3:$AE$63,MATCH(BP$3,$S$3:$AE$3,0),FALSE)-VLOOKUP($BJ42&amp;"初始",$S$3:$AE$63,MATCH(BP$3,$S$3:$AE$3,0),FALSE))*$BL42/VLOOKUP(VLOOKUP($BJ42,坦克个性化设定!$B$18:$E$48,4,FALSE)&amp;$BK42,坦克属性分配比例,MATCH("升星次数",坦克属性分配比例标头,0),FALSE)*(VLOOKUP(VLOOKUP($BJ42,坦克个性化设定!$B$18:$E$48,4,FALSE)&amp;$BK42,坦克属性分配比例,MATCH("升星比例",坦克属性分配比例标头,0),FALSE)+VLOOKUP(VLOOKUP($BJ42,坦克个性化设定!$B$18:$E$48,4,FALSE)&amp;$BK42,坦克属性分配比例,MATCH("部件比例",坦克属性分配比例标头,0),FALSE)*$C$3),0)</f>
        <v>449</v>
      </c>
      <c r="BQ42" s="103">
        <f ca="1">ROUND(VLOOKUP($BJ42&amp;"初始",$S$3:$AE$63,MATCH(BQ$3,$S$3:$AE$3,0),FALSE)+(VLOOKUP($BJ42&amp;"最终",$S$3:$AE$63,MATCH(BQ$3,$S$3:$AE$3,0),FALSE)-VLOOKUP($BJ42&amp;"初始",$S$3:$AE$63,MATCH(BQ$3,$S$3:$AE$3,0),FALSE))*$BL42/VLOOKUP(VLOOKUP($BJ42,坦克个性化设定!$B$18:$E$48,4,FALSE)&amp;$BK42,坦克属性分配比例,MATCH("升星次数",坦克属性分配比例标头,0),FALSE)*VLOOKUP(VLOOKUP($BJ42,坦克个性化设定!$B$18:$E$48,4,FALSE)&amp;$BK42,坦克属性分配比例,MATCH("升星比例",坦克属性分配比例标头,0),FALSE),0)</f>
        <v>551</v>
      </c>
      <c r="BR42" s="2">
        <f ca="1">ROUND(VLOOKUP($BJ42&amp;"初始",$S$3:$AE$63,MATCH(BR$3,$S$3:$AE$3,0),FALSE)+(VLOOKUP($BJ42&amp;"最终",$S$3:$AE$63,MATCH(BR$3,$S$3:$AE$3,0),FALSE)-VLOOKUP($BJ42&amp;"初始",$S$3:$AE$63,MATCH(BR$3,$S$3:$AE$3,0),FALSE))*$BL42/VLOOKUP(VLOOKUP($BJ42,坦克个性化设定!$B$18:$E$48,4,FALSE)&amp;$BK42,坦克属性分配比例,MATCH("升星次数",坦克属性分配比例标头,0),FALSE),0)</f>
        <v>162</v>
      </c>
      <c r="BS42" s="2">
        <f>ROUND(VLOOKUP($BJ42,$AI$3:$AO$33,MATCH(BS$3,$AI$3:$AO$3,0),FALSE)+$BL42/VLOOKUP(VLOOKUP($BJ42,坦克个性化设定!$B$18:$E$48,4,FALSE)&amp;$BK42,坦克属性分配比例,MATCH("升星次数",坦克属性分配比例标头,0),FALSE)*VLOOKUP($BJ42,$AR$3:$AY$33,MATCH(BS$3,$AR$3:$AY$3,0),FALSE),1)</f>
        <v>56.1</v>
      </c>
      <c r="BT42" s="2">
        <f>ROUND(VLOOKUP($BJ42,$AI$3:$AO$33,MATCH(BT$3,$AI$3:$AO$3,0),FALSE)+$BL42/VLOOKUP(VLOOKUP($BJ42,坦克个性化设定!$B$18:$E$48,4,FALSE)&amp;$BK42,坦克属性分配比例,MATCH("升星次数",坦克属性分配比例标头,0),FALSE)*VLOOKUP($BJ42,$AR$3:$AY$33,MATCH(BT$3,$AR$3:$AY$3,0),FALSE),1)</f>
        <v>53.6</v>
      </c>
      <c r="BU42" s="2">
        <f>ROUND(VLOOKUP($BJ42,$AI$3:$AO$33,MATCH(BU$3,$AI$3:$AO$3,0),FALSE)+$BL42/VLOOKUP(VLOOKUP($BJ42,坦克个性化设定!$B$18:$E$48,4,FALSE)&amp;$BK42,坦克属性分配比例,MATCH("升星次数",坦克属性分配比例标头,0),FALSE)*VLOOKUP($BJ42,$AR$3:$AY$33,MATCH(BU$3,$AR$3:$AY$3,0),FALSE),1)</f>
        <v>10.7</v>
      </c>
      <c r="BV42" s="2">
        <f>IF(VLOOKUP(BJ42,坦克个性化设定!$B$18:$BC$48,MATCH("装弹类型",坦克个性化设定!$B$18:$BC$18,0),FALSE)="弹夹换弹",0,ROUND(VLOOKUP($BJ42,$AI$3:$AO$33,MATCH("换弹时间",$AI$3:$AO$3,0),FALSE)-$BL42/VLOOKUP(VLOOKUP($BJ42,坦克个性化设定!$B$18:$E$48,4,FALSE)&amp;$BK42,坦克属性分配比例,MATCH("升星次数",坦克属性分配比例标头,0),FALSE)*VLOOKUP($BJ42,$AR$3:$AY$33,MATCH("换弹时间",$AR$3:$AY$3,0),FALSE),2))</f>
        <v>0</v>
      </c>
      <c r="BW42" s="2">
        <f>IF(VLOOKUP(BJ42,坦克个性化设定!$B$18:$BC$48,MATCH("装弹类型",坦克个性化设定!$B$18:$BC$18,0),FALSE)="弹夹换弹",ROUND(VLOOKUP($BJ42,$AI$3:$AO$33,MATCH("换弹时间",$AI$3:$AO$3,0),FALSE)-$BL42/VLOOKUP(VLOOKUP($BJ42,坦克个性化设定!$B$18:$E$48,4,FALSE)&amp;$BK42,坦克属性分配比例,MATCH("升星次数",坦克属性分配比例标头,0),FALSE)*VLOOKUP($BJ42,$AR$3:$AY$33,MATCH("换弹时间",$AR$3:$AY$3,0),FALSE),1),0)</f>
        <v>6.8</v>
      </c>
      <c r="BX42" s="2">
        <f>ROUND(VLOOKUP($BJ42,$AI$3:$AO$33,MATCH(BX$3,$AI$3:$AO$3,0),FALSE)+$BL42/VLOOKUP(VLOOKUP($BJ42,坦克个性化设定!$B$18:$E$48,4,FALSE)&amp;$BK42,坦克属性分配比例,MATCH("升星次数",坦克属性分配比例标头,0),FALSE)*VLOOKUP($BJ42,$AR$3:$AY$33,MATCH(BX$3,$AR$3:$AY$3,0),FALSE),2)</f>
        <v>0.6</v>
      </c>
      <c r="BY42" s="2">
        <f>ROUND(VLOOKUP($BJ42,$AI$3:$AO$33,MATCH(BY$3,$AI$3:$AO$3,0),FALSE)-$BL42/VLOOKUP(VLOOKUP($BJ42,坦克个性化设定!$B$18:$E$48,4,FALSE)&amp;$BK42,坦克属性分配比例,MATCH("升星次数",坦克属性分配比例标头,0),FALSE)*VLOOKUP($BJ42,$AR$3:$AY$33,MATCH(BY$3,$AR$3:$AY$3,0),FALSE),2)</f>
        <v>0.37</v>
      </c>
    </row>
    <row r="43" spans="2:87" x14ac:dyDescent="0.3">
      <c r="S43" s="2" t="str">
        <f t="shared" si="19"/>
        <v>挑战者最终</v>
      </c>
      <c r="T43" s="2">
        <f>IF(COUNTIF(U$4:U42,U42)&gt;=$B$3,T42+1,T42)</f>
        <v>20</v>
      </c>
      <c r="U43" s="2" t="str">
        <f t="shared" si="20"/>
        <v>挑战者</v>
      </c>
      <c r="V43" s="2" t="str">
        <f>VLOOKUP(U43,坦克个性化设定!$B$18:$F$48,5,FALSE)</f>
        <v>中坦自动</v>
      </c>
      <c r="W43" s="29" t="str">
        <f>VLOOKUP(U43,坦克个性化细分!$I$3:$J$33,2,FALSE)</f>
        <v>低</v>
      </c>
      <c r="X43" s="2" t="str">
        <f t="shared" si="21"/>
        <v>最终</v>
      </c>
      <c r="Y43" s="2" t="str">
        <f>VLOOKUP(VLOOKUP(U43,坦克个性化设定!$B$18:$F$48,4,FALSE)&amp;W43,坦克等级成长!$P$12:$U$24,MATCH(X43,坦克等级成长!$P$12:$U$12,0),FALSE)</f>
        <v>T5低7</v>
      </c>
      <c r="Z43" s="42">
        <f ca="1">VLOOKUP($Y43,INDIRECT($V43&amp;"_阶段属性"),MATCH(Z$3,属性标头_阶段属性,0),FALSE)*VLOOKUP($U43,坦克个性化设定!$B$84:$D$114,2,FALSE)</f>
        <v>3487.9735463682682</v>
      </c>
      <c r="AA43" s="42">
        <f ca="1">VLOOKUP($Y43,INDIRECT($V43&amp;"_阶段属性"),MATCH(AA$3,属性标头_阶段属性,0),FALSE)*VLOOKUP($U43,坦克个性化设定!$B$84:$D$114,3,FALSE)</f>
        <v>335.75922619232659</v>
      </c>
      <c r="AB43" s="2">
        <f t="shared" ca="1" si="18"/>
        <v>1199</v>
      </c>
      <c r="AC43" s="2">
        <f t="shared" ca="1" si="18"/>
        <v>899</v>
      </c>
      <c r="AD43" s="2">
        <f t="shared" ca="1" si="18"/>
        <v>1314</v>
      </c>
      <c r="AE43" s="2">
        <f t="shared" ca="1" si="18"/>
        <v>315</v>
      </c>
      <c r="AF43" s="25"/>
      <c r="BH43" s="2" t="str">
        <f t="shared" si="13"/>
        <v>十字军7</v>
      </c>
      <c r="BI43" s="2">
        <f>IF(BL42&gt;=VLOOKUP(VLOOKUP(BJ42,坦克个性化设定!$B$18:$E$48,4,FALSE)&amp;BK42,坦克属性分配比例,MATCH("升星次数",坦克属性分配比例标头,0),FALSE),BI42+1,BI42)</f>
        <v>5</v>
      </c>
      <c r="BJ43" s="2" t="str">
        <f t="shared" si="14"/>
        <v>十字军</v>
      </c>
      <c r="BK43" s="29" t="str">
        <f>VLOOKUP(BJ43,坦克个性化细分!$I$3:$J$33,2,FALSE)</f>
        <v>中</v>
      </c>
      <c r="BL43" s="2">
        <f t="shared" si="7"/>
        <v>7</v>
      </c>
      <c r="BM43" s="103">
        <f ca="1">ROUND(VLOOKUP($BJ43&amp;"初始",$S$3:$AE$63,MATCH(BM$3,$S$3:$AE$3,0),FALSE)+((VLOOKUP($BJ43&amp;"最终",$S$3:$AE$63,MATCH(BM$3,$S$3:$AE$3,0),FALSE)*坦克个性化细分!$C$9-VLOOKUP($BJ43&amp;"初始",$S$3:$AE$63,MATCH(BM$3,$S$3:$AE$3,0),FALSE))-(VLOOKUP($BJ43&amp;"最终",$S$3:$AE$63,MATCH(BM$3,$S$3:$AE$3,0),FALSE)-VLOOKUP($BJ43&amp;"初始",$S$3:$AE$63,MATCH(BM$3,$S$3:$AE$3,0),FALSE))*VLOOKUP(VLOOKUP($BJ43,坦克个性化设定!$B$18:$E$48,4,FALSE)&amp;$BK43,坦克属性分配比例,MATCH("部件比例",坦克属性分配比例标头,0),FALSE))*$BL43/VLOOKUP(VLOOKUP($BJ43,坦克个性化设定!$B$18:$E$48,4,FALSE)&amp;$BK43,坦克属性分配比例,MATCH("升星次数",坦克属性分配比例标头,0),FALSE),0)</f>
        <v>1765</v>
      </c>
      <c r="BN43" s="103">
        <f ca="1">ROUND(VLOOKUP($BJ43&amp;"初始",$S$3:$AE$63,MATCH(BN$3,$S$3:$AE$3,0),FALSE)+(VLOOKUP($BJ43&amp;"最终",$S$3:$AE$63,MATCH(BN$3,$S$3:$AE$3,0),FALSE)-VLOOKUP($BJ43&amp;"初始",$S$3:$AE$63,MATCH(BN$3,$S$3:$AE$3,0),FALSE))*$BL43/VLOOKUP(VLOOKUP($BJ43,坦克个性化设定!$B$18:$E$48,4,FALSE)&amp;$BK43,坦克属性分配比例,MATCH("升星次数",坦克属性分配比例标头,0),FALSE)*VLOOKUP(VLOOKUP($BJ43,坦克个性化设定!$B$18:$E$48,4,FALSE)&amp;$BK43,坦克属性分配比例,MATCH("升星比例",坦克属性分配比例标头,0),FALSE),0)</f>
        <v>87</v>
      </c>
      <c r="BO43" s="103">
        <f ca="1">ROUND(VLOOKUP($BJ43&amp;"初始",$S$3:$AE$63,MATCH(BO$3,$S$3:$AE$3,0),FALSE)+(VLOOKUP($BJ43&amp;"最终",$S$3:$AE$63,MATCH(BO$3,$S$3:$AE$3,0),FALSE)-VLOOKUP($BJ43&amp;"初始",$S$3:$AE$63,MATCH(BO$3,$S$3:$AE$3,0),FALSE))*$BL43/VLOOKUP(VLOOKUP($BJ43,坦克个性化设定!$B$18:$E$48,4,FALSE)&amp;$BK43,坦克属性分配比例,MATCH("升星次数",坦克属性分配比例标头,0),FALSE)*(VLOOKUP(VLOOKUP($BJ43,坦克个性化设定!$B$18:$E$48,4,FALSE)&amp;$BK43,坦克属性分配比例,MATCH("升星比例",坦克属性分配比例标头,0),FALSE)+VLOOKUP(VLOOKUP($BJ43,坦克个性化设定!$B$18:$E$48,4,FALSE)&amp;$BK43,坦克属性分配比例,MATCH("部件比例",坦克属性分配比例标头,0),FALSE)*$C$3),0)</f>
        <v>665</v>
      </c>
      <c r="BP43" s="103">
        <f ca="1">ROUND(VLOOKUP($BJ43&amp;"初始",$S$3:$AE$63,MATCH(BP$3,$S$3:$AE$3,0),FALSE)+(VLOOKUP($BJ43&amp;"最终",$S$3:$AE$63,MATCH(BP$3,$S$3:$AE$3,0),FALSE)-VLOOKUP($BJ43&amp;"初始",$S$3:$AE$63,MATCH(BP$3,$S$3:$AE$3,0),FALSE))*$BL43/VLOOKUP(VLOOKUP($BJ43,坦克个性化设定!$B$18:$E$48,4,FALSE)&amp;$BK43,坦克属性分配比例,MATCH("升星次数",坦克属性分配比例标头,0),FALSE)*(VLOOKUP(VLOOKUP($BJ43,坦克个性化设定!$B$18:$E$48,4,FALSE)&amp;$BK43,坦克属性分配比例,MATCH("升星比例",坦克属性分配比例标头,0),FALSE)+VLOOKUP(VLOOKUP($BJ43,坦克个性化设定!$B$18:$E$48,4,FALSE)&amp;$BK43,坦克属性分配比例,MATCH("部件比例",坦克属性分配比例标头,0),FALSE)*$C$3),0)</f>
        <v>465</v>
      </c>
      <c r="BQ43" s="103">
        <f ca="1">ROUND(VLOOKUP($BJ43&amp;"初始",$S$3:$AE$63,MATCH(BQ$3,$S$3:$AE$3,0),FALSE)+(VLOOKUP($BJ43&amp;"最终",$S$3:$AE$63,MATCH(BQ$3,$S$3:$AE$3,0),FALSE)-VLOOKUP($BJ43&amp;"初始",$S$3:$AE$63,MATCH(BQ$3,$S$3:$AE$3,0),FALSE))*$BL43/VLOOKUP(VLOOKUP($BJ43,坦克个性化设定!$B$18:$E$48,4,FALSE)&amp;$BK43,坦克属性分配比例,MATCH("升星次数",坦克属性分配比例标头,0),FALSE)*VLOOKUP(VLOOKUP($BJ43,坦克个性化设定!$B$18:$E$48,4,FALSE)&amp;$BK43,坦克属性分配比例,MATCH("升星比例",坦克属性分配比例标头,0),FALSE),0)</f>
        <v>566</v>
      </c>
      <c r="BR43" s="2">
        <f ca="1">ROUND(VLOOKUP($BJ43&amp;"初始",$S$3:$AE$63,MATCH(BR$3,$S$3:$AE$3,0),FALSE)+(VLOOKUP($BJ43&amp;"最终",$S$3:$AE$63,MATCH(BR$3,$S$3:$AE$3,0),FALSE)-VLOOKUP($BJ43&amp;"初始",$S$3:$AE$63,MATCH(BR$3,$S$3:$AE$3,0),FALSE))*$BL43/VLOOKUP(VLOOKUP($BJ43,坦克个性化设定!$B$18:$E$48,4,FALSE)&amp;$BK43,坦克属性分配比例,MATCH("升星次数",坦克属性分配比例标头,0),FALSE),0)</f>
        <v>169</v>
      </c>
      <c r="BS43" s="2">
        <f>ROUND(VLOOKUP($BJ43,$AI$3:$AO$33,MATCH(BS$3,$AI$3:$AO$3,0),FALSE)+$BL43/VLOOKUP(VLOOKUP($BJ43,坦克个性化设定!$B$18:$E$48,4,FALSE)&amp;$BK43,坦克属性分配比例,MATCH("升星次数",坦克属性分配比例标头,0),FALSE)*VLOOKUP($BJ43,$AR$3:$AY$33,MATCH(BS$3,$AR$3:$AY$3,0),FALSE),1)</f>
        <v>57.5</v>
      </c>
      <c r="BT43" s="2">
        <f>ROUND(VLOOKUP($BJ43,$AI$3:$AO$33,MATCH(BT$3,$AI$3:$AO$3,0),FALSE)+$BL43/VLOOKUP(VLOOKUP($BJ43,坦克个性化设定!$B$18:$E$48,4,FALSE)&amp;$BK43,坦克属性分配比例,MATCH("升星次数",坦克属性分配比例标头,0),FALSE)*VLOOKUP($BJ43,$AR$3:$AY$33,MATCH(BT$3,$AR$3:$AY$3,0),FALSE),1)</f>
        <v>54.8</v>
      </c>
      <c r="BU43" s="2">
        <f>ROUND(VLOOKUP($BJ43,$AI$3:$AO$33,MATCH(BU$3,$AI$3:$AO$3,0),FALSE)+$BL43/VLOOKUP(VLOOKUP($BJ43,坦克个性化设定!$B$18:$E$48,4,FALSE)&amp;$BK43,坦克属性分配比例,MATCH("升星次数",坦克属性分配比例标头,0),FALSE)*VLOOKUP($BJ43,$AR$3:$AY$33,MATCH(BU$3,$AR$3:$AY$3,0),FALSE),1)</f>
        <v>10.7</v>
      </c>
      <c r="BV43" s="2">
        <f>IF(VLOOKUP(BJ43,坦克个性化设定!$B$18:$BC$48,MATCH("装弹类型",坦克个性化设定!$B$18:$BC$18,0),FALSE)="弹夹换弹",0,ROUND(VLOOKUP($BJ43,$AI$3:$AO$33,MATCH("换弹时间",$AI$3:$AO$3,0),FALSE)-$BL43/VLOOKUP(VLOOKUP($BJ43,坦克个性化设定!$B$18:$E$48,4,FALSE)&amp;$BK43,坦克属性分配比例,MATCH("升星次数",坦克属性分配比例标头,0),FALSE)*VLOOKUP($BJ43,$AR$3:$AY$33,MATCH("换弹时间",$AR$3:$AY$3,0),FALSE),2))</f>
        <v>0</v>
      </c>
      <c r="BW43" s="2">
        <f>IF(VLOOKUP(BJ43,坦克个性化设定!$B$18:$BC$48,MATCH("装弹类型",坦克个性化设定!$B$18:$BC$18,0),FALSE)="弹夹换弹",ROUND(VLOOKUP($BJ43,$AI$3:$AO$33,MATCH("换弹时间",$AI$3:$AO$3,0),FALSE)-$BL43/VLOOKUP(VLOOKUP($BJ43,坦克个性化设定!$B$18:$E$48,4,FALSE)&amp;$BK43,坦克属性分配比例,MATCH("升星次数",坦克属性分配比例标头,0),FALSE)*VLOOKUP($BJ43,$AR$3:$AY$33,MATCH("换弹时间",$AR$3:$AY$3,0),FALSE),1),0)</f>
        <v>6.5</v>
      </c>
      <c r="BX43" s="2">
        <f>ROUND(VLOOKUP($BJ43,$AI$3:$AO$33,MATCH(BX$3,$AI$3:$AO$3,0),FALSE)+$BL43/VLOOKUP(VLOOKUP($BJ43,坦克个性化设定!$B$18:$E$48,4,FALSE)&amp;$BK43,坦克属性分配比例,MATCH("升星次数",坦克属性分配比例标头,0),FALSE)*VLOOKUP($BJ43,$AR$3:$AY$33,MATCH(BX$3,$AR$3:$AY$3,0),FALSE),2)</f>
        <v>0.6</v>
      </c>
      <c r="BY43" s="2">
        <f>ROUND(VLOOKUP($BJ43,$AI$3:$AO$33,MATCH(BY$3,$AI$3:$AO$3,0),FALSE)-$BL43/VLOOKUP(VLOOKUP($BJ43,坦克个性化设定!$B$18:$E$48,4,FALSE)&amp;$BK43,坦克属性分配比例,MATCH("升星次数",坦克属性分配比例标头,0),FALSE)*VLOOKUP($BJ43,$AR$3:$AY$33,MATCH(BY$3,$AR$3:$AY$3,0),FALSE),2)</f>
        <v>0.36</v>
      </c>
    </row>
    <row r="44" spans="2:87" x14ac:dyDescent="0.3">
      <c r="S44" s="2" t="str">
        <f t="shared" si="19"/>
        <v>B-1初始</v>
      </c>
      <c r="T44" s="2">
        <f>IF(COUNTIF(U$4:U43,U43)&gt;=$B$3,T43+1,T43)</f>
        <v>21</v>
      </c>
      <c r="U44" s="2" t="str">
        <f t="shared" si="20"/>
        <v>B-1</v>
      </c>
      <c r="V44" s="2" t="str">
        <f>VLOOKUP(U44,坦克个性化设定!$B$18:$F$48,5,FALSE)</f>
        <v>重坦自动</v>
      </c>
      <c r="W44" s="29" t="str">
        <f>VLOOKUP(U44,坦克个性化细分!$I$3:$J$33,2,FALSE)</f>
        <v>低</v>
      </c>
      <c r="X44" s="2" t="str">
        <f t="shared" si="21"/>
        <v>初始</v>
      </c>
      <c r="Y44" s="2" t="str">
        <f>VLOOKUP(VLOOKUP(U44,坦克个性化设定!$B$18:$F$48,4,FALSE)&amp;W44,坦克等级成长!$P$12:$U$24,MATCH(X44,坦克等级成长!$P$12:$U$12,0),FALSE)</f>
        <v>T1低1</v>
      </c>
      <c r="Z44" s="42">
        <f ca="1">VLOOKUP($Y44,INDIRECT($V44&amp;"_阶段属性"),MATCH(Z$3,属性标头_阶段属性,0),FALSE)*VLOOKUP($U44,坦克个性化设定!$B$84:$D$114,2,FALSE)</f>
        <v>725.66717573113294</v>
      </c>
      <c r="AA44" s="42">
        <f ca="1">VLOOKUP($Y44,INDIRECT($V44&amp;"_阶段属性"),MATCH(AA$3,属性标头_阶段属性,0),FALSE)*VLOOKUP($U44,坦克个性化设定!$B$84:$D$114,3,FALSE)</f>
        <v>358.37356421884613</v>
      </c>
      <c r="AB44" s="2">
        <f t="shared" ref="AB44:AE63" ca="1" si="22">VLOOKUP($Y44,INDIRECT($V44&amp;"_阶段属性"),MATCH(AB$3,属性标头_阶段属性,0),FALSE)</f>
        <v>286</v>
      </c>
      <c r="AC44" s="2">
        <f t="shared" ca="1" si="22"/>
        <v>229</v>
      </c>
      <c r="AD44" s="2">
        <f t="shared" ca="1" si="22"/>
        <v>420</v>
      </c>
      <c r="AE44" s="2">
        <f t="shared" ca="1" si="22"/>
        <v>98</v>
      </c>
      <c r="AF44" s="25"/>
      <c r="BH44" s="2" t="str">
        <f t="shared" si="13"/>
        <v>十字军8</v>
      </c>
      <c r="BI44" s="2">
        <f>IF(BL43&gt;=VLOOKUP(VLOOKUP(BJ43,坦克个性化设定!$B$18:$E$48,4,FALSE)&amp;BK43,坦克属性分配比例,MATCH("升星次数",坦克属性分配比例标头,0),FALSE),BI43+1,BI43)</f>
        <v>5</v>
      </c>
      <c r="BJ44" s="2" t="str">
        <f t="shared" si="14"/>
        <v>十字军</v>
      </c>
      <c r="BK44" s="29" t="str">
        <f>VLOOKUP(BJ44,坦克个性化细分!$I$3:$J$33,2,FALSE)</f>
        <v>中</v>
      </c>
      <c r="BL44" s="2">
        <f t="shared" si="7"/>
        <v>8</v>
      </c>
      <c r="BM44" s="103">
        <f ca="1">ROUND(VLOOKUP($BJ44&amp;"初始",$S$3:$AE$63,MATCH(BM$3,$S$3:$AE$3,0),FALSE)+((VLOOKUP($BJ44&amp;"最终",$S$3:$AE$63,MATCH(BM$3,$S$3:$AE$3,0),FALSE)*坦克个性化细分!$C$9-VLOOKUP($BJ44&amp;"初始",$S$3:$AE$63,MATCH(BM$3,$S$3:$AE$3,0),FALSE))-(VLOOKUP($BJ44&amp;"最终",$S$3:$AE$63,MATCH(BM$3,$S$3:$AE$3,0),FALSE)-VLOOKUP($BJ44&amp;"初始",$S$3:$AE$63,MATCH(BM$3,$S$3:$AE$3,0),FALSE))*VLOOKUP(VLOOKUP($BJ44,坦克个性化设定!$B$18:$E$48,4,FALSE)&amp;$BK44,坦克属性分配比例,MATCH("部件比例",坦克属性分配比例标头,0),FALSE))*$BL44/VLOOKUP(VLOOKUP($BJ44,坦克个性化设定!$B$18:$E$48,4,FALSE)&amp;$BK44,坦克属性分配比例,MATCH("升星次数",坦克属性分配比例标头,0),FALSE),0)</f>
        <v>1837</v>
      </c>
      <c r="BN44" s="103">
        <f ca="1">ROUND(VLOOKUP($BJ44&amp;"初始",$S$3:$AE$63,MATCH(BN$3,$S$3:$AE$3,0),FALSE)+(VLOOKUP($BJ44&amp;"最终",$S$3:$AE$63,MATCH(BN$3,$S$3:$AE$3,0),FALSE)-VLOOKUP($BJ44&amp;"初始",$S$3:$AE$63,MATCH(BN$3,$S$3:$AE$3,0),FALSE))*$BL44/VLOOKUP(VLOOKUP($BJ44,坦克个性化设定!$B$18:$E$48,4,FALSE)&amp;$BK44,坦克属性分配比例,MATCH("升星次数",坦克属性分配比例标头,0),FALSE)*VLOOKUP(VLOOKUP($BJ44,坦克个性化设定!$B$18:$E$48,4,FALSE)&amp;$BK44,坦克属性分配比例,MATCH("升星比例",坦克属性分配比例标头,0),FALSE),0)</f>
        <v>90</v>
      </c>
      <c r="BO44" s="103">
        <f ca="1">ROUND(VLOOKUP($BJ44&amp;"初始",$S$3:$AE$63,MATCH(BO$3,$S$3:$AE$3,0),FALSE)+(VLOOKUP($BJ44&amp;"最终",$S$3:$AE$63,MATCH(BO$3,$S$3:$AE$3,0),FALSE)-VLOOKUP($BJ44&amp;"初始",$S$3:$AE$63,MATCH(BO$3,$S$3:$AE$3,0),FALSE))*$BL44/VLOOKUP(VLOOKUP($BJ44,坦克个性化设定!$B$18:$E$48,4,FALSE)&amp;$BK44,坦克属性分配比例,MATCH("升星次数",坦克属性分配比例标头,0),FALSE)*(VLOOKUP(VLOOKUP($BJ44,坦克个性化设定!$B$18:$E$48,4,FALSE)&amp;$BK44,坦克属性分配比例,MATCH("升星比例",坦克属性分配比例标头,0),FALSE)+VLOOKUP(VLOOKUP($BJ44,坦克个性化设定!$B$18:$E$48,4,FALSE)&amp;$BK44,坦克属性分配比例,MATCH("部件比例",坦克属性分配比例标头,0),FALSE)*$C$3),0)</f>
        <v>687</v>
      </c>
      <c r="BP44" s="103">
        <f ca="1">ROUND(VLOOKUP($BJ44&amp;"初始",$S$3:$AE$63,MATCH(BP$3,$S$3:$AE$3,0),FALSE)+(VLOOKUP($BJ44&amp;"最终",$S$3:$AE$63,MATCH(BP$3,$S$3:$AE$3,0),FALSE)-VLOOKUP($BJ44&amp;"初始",$S$3:$AE$63,MATCH(BP$3,$S$3:$AE$3,0),FALSE))*$BL44/VLOOKUP(VLOOKUP($BJ44,坦克个性化设定!$B$18:$E$48,4,FALSE)&amp;$BK44,坦克属性分配比例,MATCH("升星次数",坦克属性分配比例标头,0),FALSE)*(VLOOKUP(VLOOKUP($BJ44,坦克个性化设定!$B$18:$E$48,4,FALSE)&amp;$BK44,坦克属性分配比例,MATCH("升星比例",坦克属性分配比例标头,0),FALSE)+VLOOKUP(VLOOKUP($BJ44,坦克个性化设定!$B$18:$E$48,4,FALSE)&amp;$BK44,坦克属性分配比例,MATCH("部件比例",坦克属性分配比例标头,0),FALSE)*$C$3),0)</f>
        <v>481</v>
      </c>
      <c r="BQ44" s="103">
        <f ca="1">ROUND(VLOOKUP($BJ44&amp;"初始",$S$3:$AE$63,MATCH(BQ$3,$S$3:$AE$3,0),FALSE)+(VLOOKUP($BJ44&amp;"最终",$S$3:$AE$63,MATCH(BQ$3,$S$3:$AE$3,0),FALSE)-VLOOKUP($BJ44&amp;"初始",$S$3:$AE$63,MATCH(BQ$3,$S$3:$AE$3,0),FALSE))*$BL44/VLOOKUP(VLOOKUP($BJ44,坦克个性化设定!$B$18:$E$48,4,FALSE)&amp;$BK44,坦克属性分配比例,MATCH("升星次数",坦克属性分配比例标头,0),FALSE)*VLOOKUP(VLOOKUP($BJ44,坦克个性化设定!$B$18:$E$48,4,FALSE)&amp;$BK44,坦克属性分配比例,MATCH("升星比例",坦克属性分配比例标头,0),FALSE),0)</f>
        <v>580</v>
      </c>
      <c r="BR44" s="2">
        <f ca="1">ROUND(VLOOKUP($BJ44&amp;"初始",$S$3:$AE$63,MATCH(BR$3,$S$3:$AE$3,0),FALSE)+(VLOOKUP($BJ44&amp;"最终",$S$3:$AE$63,MATCH(BR$3,$S$3:$AE$3,0),FALSE)-VLOOKUP($BJ44&amp;"初始",$S$3:$AE$63,MATCH(BR$3,$S$3:$AE$3,0),FALSE))*$BL44/VLOOKUP(VLOOKUP($BJ44,坦克个性化设定!$B$18:$E$48,4,FALSE)&amp;$BK44,坦克属性分配比例,MATCH("升星次数",坦克属性分配比例标头,0),FALSE),0)</f>
        <v>175</v>
      </c>
      <c r="BS44" s="2">
        <f>ROUND(VLOOKUP($BJ44,$AI$3:$AO$33,MATCH(BS$3,$AI$3:$AO$3,0),FALSE)+$BL44/VLOOKUP(VLOOKUP($BJ44,坦克个性化设定!$B$18:$E$48,4,FALSE)&amp;$BK44,坦克属性分配比例,MATCH("升星次数",坦克属性分配比例标头,0),FALSE)*VLOOKUP($BJ44,$AR$3:$AY$33,MATCH(BS$3,$AR$3:$AY$3,0),FALSE),1)</f>
        <v>58.8</v>
      </c>
      <c r="BT44" s="2">
        <f>ROUND(VLOOKUP($BJ44,$AI$3:$AO$33,MATCH(BT$3,$AI$3:$AO$3,0),FALSE)+$BL44/VLOOKUP(VLOOKUP($BJ44,坦克个性化设定!$B$18:$E$48,4,FALSE)&amp;$BK44,坦克属性分配比例,MATCH("升星次数",坦克属性分配比例标头,0),FALSE)*VLOOKUP($BJ44,$AR$3:$AY$33,MATCH(BT$3,$AR$3:$AY$3,0),FALSE),1)</f>
        <v>56.1</v>
      </c>
      <c r="BU44" s="2">
        <f>ROUND(VLOOKUP($BJ44,$AI$3:$AO$33,MATCH(BU$3,$AI$3:$AO$3,0),FALSE)+$BL44/VLOOKUP(VLOOKUP($BJ44,坦克个性化设定!$B$18:$E$48,4,FALSE)&amp;$BK44,坦克属性分配比例,MATCH("升星次数",坦克属性分配比例标头,0),FALSE)*VLOOKUP($BJ44,$AR$3:$AY$33,MATCH(BU$3,$AR$3:$AY$3,0),FALSE),1)</f>
        <v>10.7</v>
      </c>
      <c r="BV44" s="2">
        <f>IF(VLOOKUP(BJ44,坦克个性化设定!$B$18:$BC$48,MATCH("装弹类型",坦克个性化设定!$B$18:$BC$18,0),FALSE)="弹夹换弹",0,ROUND(VLOOKUP($BJ44,$AI$3:$AO$33,MATCH("换弹时间",$AI$3:$AO$3,0),FALSE)-$BL44/VLOOKUP(VLOOKUP($BJ44,坦克个性化设定!$B$18:$E$48,4,FALSE)&amp;$BK44,坦克属性分配比例,MATCH("升星次数",坦克属性分配比例标头,0),FALSE)*VLOOKUP($BJ44,$AR$3:$AY$33,MATCH("换弹时间",$AR$3:$AY$3,0),FALSE),2))</f>
        <v>0</v>
      </c>
      <c r="BW44" s="2">
        <f>IF(VLOOKUP(BJ44,坦克个性化设定!$B$18:$BC$48,MATCH("装弹类型",坦克个性化设定!$B$18:$BC$18,0),FALSE)="弹夹换弹",ROUND(VLOOKUP($BJ44,$AI$3:$AO$33,MATCH("换弹时间",$AI$3:$AO$3,0),FALSE)-$BL44/VLOOKUP(VLOOKUP($BJ44,坦克个性化设定!$B$18:$E$48,4,FALSE)&amp;$BK44,坦克属性分配比例,MATCH("升星次数",坦克属性分配比例标头,0),FALSE)*VLOOKUP($BJ44,$AR$3:$AY$33,MATCH("换弹时间",$AR$3:$AY$3,0),FALSE),1),0)</f>
        <v>6.3</v>
      </c>
      <c r="BX44" s="2">
        <f>ROUND(VLOOKUP($BJ44,$AI$3:$AO$33,MATCH(BX$3,$AI$3:$AO$3,0),FALSE)+$BL44/VLOOKUP(VLOOKUP($BJ44,坦克个性化设定!$B$18:$E$48,4,FALSE)&amp;$BK44,坦克属性分配比例,MATCH("升星次数",坦克属性分配比例标头,0),FALSE)*VLOOKUP($BJ44,$AR$3:$AY$33,MATCH(BX$3,$AR$3:$AY$3,0),FALSE),2)</f>
        <v>0.6</v>
      </c>
      <c r="BY44" s="2">
        <f>ROUND(VLOOKUP($BJ44,$AI$3:$AO$33,MATCH(BY$3,$AI$3:$AO$3,0),FALSE)-$BL44/VLOOKUP(VLOOKUP($BJ44,坦克个性化设定!$B$18:$E$48,4,FALSE)&amp;$BK44,坦克属性分配比例,MATCH("升星次数",坦克属性分配比例标头,0),FALSE)*VLOOKUP($BJ44,$AR$3:$AY$33,MATCH(BY$3,$AR$3:$AY$3,0),FALSE),2)</f>
        <v>0.35</v>
      </c>
    </row>
    <row r="45" spans="2:87" x14ac:dyDescent="0.3">
      <c r="S45" s="2" t="str">
        <f t="shared" si="19"/>
        <v>B-1最终</v>
      </c>
      <c r="T45" s="2">
        <f>IF(COUNTIF(U$4:U44,U44)&gt;=$B$3,T44+1,T44)</f>
        <v>21</v>
      </c>
      <c r="U45" s="2" t="str">
        <f t="shared" si="20"/>
        <v>B-1</v>
      </c>
      <c r="V45" s="2" t="str">
        <f>VLOOKUP(U45,坦克个性化设定!$B$18:$F$48,5,FALSE)</f>
        <v>重坦自动</v>
      </c>
      <c r="W45" s="29" t="str">
        <f>VLOOKUP(U45,坦克个性化细分!$I$3:$J$33,2,FALSE)</f>
        <v>低</v>
      </c>
      <c r="X45" s="2" t="str">
        <f t="shared" si="21"/>
        <v>最终</v>
      </c>
      <c r="Y45" s="2" t="str">
        <f>VLOOKUP(VLOOKUP(U45,坦克个性化设定!$B$18:$F$48,4,FALSE)&amp;W45,坦克等级成长!$P$12:$U$24,MATCH(X45,坦克等级成长!$P$12:$U$12,0),FALSE)</f>
        <v>T1低3</v>
      </c>
      <c r="Z45" s="42">
        <f ca="1">VLOOKUP($Y45,INDIRECT($V45&amp;"_阶段属性"),MATCH(Z$3,属性标头_阶段属性,0),FALSE)*VLOOKUP($U45,坦克个性化设定!$B$84:$D$114,2,FALSE)</f>
        <v>1257.559465299729</v>
      </c>
      <c r="AA45" s="42">
        <f ca="1">VLOOKUP($Y45,INDIRECT($V45&amp;"_阶段属性"),MATCH(AA$3,属性标头_阶段属性,0),FALSE)*VLOOKUP($U45,坦克个性化设定!$B$84:$D$114,3,FALSE)</f>
        <v>465.35074756775543</v>
      </c>
      <c r="AB45" s="2">
        <f t="shared" ca="1" si="22"/>
        <v>371</v>
      </c>
      <c r="AC45" s="2">
        <f t="shared" ca="1" si="22"/>
        <v>297</v>
      </c>
      <c r="AD45" s="2">
        <f t="shared" ca="1" si="22"/>
        <v>546</v>
      </c>
      <c r="AE45" s="2">
        <f t="shared" ca="1" si="22"/>
        <v>127</v>
      </c>
      <c r="AF45" s="25"/>
      <c r="BH45" s="2" t="str">
        <f t="shared" si="13"/>
        <v>十字军9</v>
      </c>
      <c r="BI45" s="2">
        <f>IF(BL44&gt;=VLOOKUP(VLOOKUP(BJ44,坦克个性化设定!$B$18:$E$48,4,FALSE)&amp;BK44,坦克属性分配比例,MATCH("升星次数",坦克属性分配比例标头,0),FALSE),BI44+1,BI44)</f>
        <v>5</v>
      </c>
      <c r="BJ45" s="2" t="str">
        <f t="shared" si="14"/>
        <v>十字军</v>
      </c>
      <c r="BK45" s="29" t="str">
        <f>VLOOKUP(BJ45,坦克个性化细分!$I$3:$J$33,2,FALSE)</f>
        <v>中</v>
      </c>
      <c r="BL45" s="2">
        <f t="shared" si="7"/>
        <v>9</v>
      </c>
      <c r="BM45" s="103">
        <f ca="1">ROUND(VLOOKUP($BJ45&amp;"初始",$S$3:$AE$63,MATCH(BM$3,$S$3:$AE$3,0),FALSE)+((VLOOKUP($BJ45&amp;"最终",$S$3:$AE$63,MATCH(BM$3,$S$3:$AE$3,0),FALSE)*坦克个性化细分!$C$9-VLOOKUP($BJ45&amp;"初始",$S$3:$AE$63,MATCH(BM$3,$S$3:$AE$3,0),FALSE))-(VLOOKUP($BJ45&amp;"最终",$S$3:$AE$63,MATCH(BM$3,$S$3:$AE$3,0),FALSE)-VLOOKUP($BJ45&amp;"初始",$S$3:$AE$63,MATCH(BM$3,$S$3:$AE$3,0),FALSE))*VLOOKUP(VLOOKUP($BJ45,坦克个性化设定!$B$18:$E$48,4,FALSE)&amp;$BK45,坦克属性分配比例,MATCH("部件比例",坦克属性分配比例标头,0),FALSE))*$BL45/VLOOKUP(VLOOKUP($BJ45,坦克个性化设定!$B$18:$E$48,4,FALSE)&amp;$BK45,坦克属性分配比例,MATCH("升星次数",坦克属性分配比例标头,0),FALSE),0)</f>
        <v>1908</v>
      </c>
      <c r="BN45" s="103">
        <f ca="1">ROUND(VLOOKUP($BJ45&amp;"初始",$S$3:$AE$63,MATCH(BN$3,$S$3:$AE$3,0),FALSE)+(VLOOKUP($BJ45&amp;"最终",$S$3:$AE$63,MATCH(BN$3,$S$3:$AE$3,0),FALSE)-VLOOKUP($BJ45&amp;"初始",$S$3:$AE$63,MATCH(BN$3,$S$3:$AE$3,0),FALSE))*$BL45/VLOOKUP(VLOOKUP($BJ45,坦克个性化设定!$B$18:$E$48,4,FALSE)&amp;$BK45,坦克属性分配比例,MATCH("升星次数",坦克属性分配比例标头,0),FALSE)*VLOOKUP(VLOOKUP($BJ45,坦克个性化设定!$B$18:$E$48,4,FALSE)&amp;$BK45,坦克属性分配比例,MATCH("升星比例",坦克属性分配比例标头,0),FALSE),0)</f>
        <v>92</v>
      </c>
      <c r="BO45" s="103">
        <f ca="1">ROUND(VLOOKUP($BJ45&amp;"初始",$S$3:$AE$63,MATCH(BO$3,$S$3:$AE$3,0),FALSE)+(VLOOKUP($BJ45&amp;"最终",$S$3:$AE$63,MATCH(BO$3,$S$3:$AE$3,0),FALSE)-VLOOKUP($BJ45&amp;"初始",$S$3:$AE$63,MATCH(BO$3,$S$3:$AE$3,0),FALSE))*$BL45/VLOOKUP(VLOOKUP($BJ45,坦克个性化设定!$B$18:$E$48,4,FALSE)&amp;$BK45,坦克属性分配比例,MATCH("升星次数",坦克属性分配比例标头,0),FALSE)*(VLOOKUP(VLOOKUP($BJ45,坦克个性化设定!$B$18:$E$48,4,FALSE)&amp;$BK45,坦克属性分配比例,MATCH("升星比例",坦克属性分配比例标头,0),FALSE)+VLOOKUP(VLOOKUP($BJ45,坦克个性化设定!$B$18:$E$48,4,FALSE)&amp;$BK45,坦克属性分配比例,MATCH("部件比例",坦克属性分配比例标头,0),FALSE)*$C$3),0)</f>
        <v>710</v>
      </c>
      <c r="BP45" s="103">
        <f ca="1">ROUND(VLOOKUP($BJ45&amp;"初始",$S$3:$AE$63,MATCH(BP$3,$S$3:$AE$3,0),FALSE)+(VLOOKUP($BJ45&amp;"最终",$S$3:$AE$63,MATCH(BP$3,$S$3:$AE$3,0),FALSE)-VLOOKUP($BJ45&amp;"初始",$S$3:$AE$63,MATCH(BP$3,$S$3:$AE$3,0),FALSE))*$BL45/VLOOKUP(VLOOKUP($BJ45,坦克个性化设定!$B$18:$E$48,4,FALSE)&amp;$BK45,坦克属性分配比例,MATCH("升星次数",坦克属性分配比例标头,0),FALSE)*(VLOOKUP(VLOOKUP($BJ45,坦克个性化设定!$B$18:$E$48,4,FALSE)&amp;$BK45,坦克属性分配比例,MATCH("升星比例",坦克属性分配比例标头,0),FALSE)+VLOOKUP(VLOOKUP($BJ45,坦克个性化设定!$B$18:$E$48,4,FALSE)&amp;$BK45,坦克属性分配比例,MATCH("部件比例",坦克属性分配比例标头,0),FALSE)*$C$3),0)</f>
        <v>497</v>
      </c>
      <c r="BQ45" s="103">
        <f ca="1">ROUND(VLOOKUP($BJ45&amp;"初始",$S$3:$AE$63,MATCH(BQ$3,$S$3:$AE$3,0),FALSE)+(VLOOKUP($BJ45&amp;"最终",$S$3:$AE$63,MATCH(BQ$3,$S$3:$AE$3,0),FALSE)-VLOOKUP($BJ45&amp;"初始",$S$3:$AE$63,MATCH(BQ$3,$S$3:$AE$3,0),FALSE))*$BL45/VLOOKUP(VLOOKUP($BJ45,坦克个性化设定!$B$18:$E$48,4,FALSE)&amp;$BK45,坦克属性分配比例,MATCH("升星次数",坦克属性分配比例标头,0),FALSE)*VLOOKUP(VLOOKUP($BJ45,坦克个性化设定!$B$18:$E$48,4,FALSE)&amp;$BK45,坦克属性分配比例,MATCH("升星比例",坦克属性分配比例标头,0),FALSE),0)</f>
        <v>595</v>
      </c>
      <c r="BR45" s="2">
        <f ca="1">ROUND(VLOOKUP($BJ45&amp;"初始",$S$3:$AE$63,MATCH(BR$3,$S$3:$AE$3,0),FALSE)+(VLOOKUP($BJ45&amp;"最终",$S$3:$AE$63,MATCH(BR$3,$S$3:$AE$3,0),FALSE)-VLOOKUP($BJ45&amp;"初始",$S$3:$AE$63,MATCH(BR$3,$S$3:$AE$3,0),FALSE))*$BL45/VLOOKUP(VLOOKUP($BJ45,坦克个性化设定!$B$18:$E$48,4,FALSE)&amp;$BK45,坦克属性分配比例,MATCH("升星次数",坦克属性分配比例标头,0),FALSE),0)</f>
        <v>182</v>
      </c>
      <c r="BS45" s="2">
        <f>ROUND(VLOOKUP($BJ45,$AI$3:$AO$33,MATCH(BS$3,$AI$3:$AO$3,0),FALSE)+$BL45/VLOOKUP(VLOOKUP($BJ45,坦克个性化设定!$B$18:$E$48,4,FALSE)&amp;$BK45,坦克属性分配比例,MATCH("升星次数",坦克属性分配比例标头,0),FALSE)*VLOOKUP($BJ45,$AR$3:$AY$33,MATCH(BS$3,$AR$3:$AY$3,0),FALSE),1)</f>
        <v>60.1</v>
      </c>
      <c r="BT45" s="2">
        <f>ROUND(VLOOKUP($BJ45,$AI$3:$AO$33,MATCH(BT$3,$AI$3:$AO$3,0),FALSE)+$BL45/VLOOKUP(VLOOKUP($BJ45,坦克个性化设定!$B$18:$E$48,4,FALSE)&amp;$BK45,坦克属性分配比例,MATCH("升星次数",坦克属性分配比例标头,0),FALSE)*VLOOKUP($BJ45,$AR$3:$AY$33,MATCH(BT$3,$AR$3:$AY$3,0),FALSE),1)</f>
        <v>57.4</v>
      </c>
      <c r="BU45" s="2">
        <f>ROUND(VLOOKUP($BJ45,$AI$3:$AO$33,MATCH(BU$3,$AI$3:$AO$3,0),FALSE)+$BL45/VLOOKUP(VLOOKUP($BJ45,坦克个性化设定!$B$18:$E$48,4,FALSE)&amp;$BK45,坦克属性分配比例,MATCH("升星次数",坦克属性分配比例标头,0),FALSE)*VLOOKUP($BJ45,$AR$3:$AY$33,MATCH(BU$3,$AR$3:$AY$3,0),FALSE),1)</f>
        <v>10.7</v>
      </c>
      <c r="BV45" s="2">
        <f>IF(VLOOKUP(BJ45,坦克个性化设定!$B$18:$BC$48,MATCH("装弹类型",坦克个性化设定!$B$18:$BC$18,0),FALSE)="弹夹换弹",0,ROUND(VLOOKUP($BJ45,$AI$3:$AO$33,MATCH("换弹时间",$AI$3:$AO$3,0),FALSE)-$BL45/VLOOKUP(VLOOKUP($BJ45,坦克个性化设定!$B$18:$E$48,4,FALSE)&amp;$BK45,坦克属性分配比例,MATCH("升星次数",坦克属性分配比例标头,0),FALSE)*VLOOKUP($BJ45,$AR$3:$AY$33,MATCH("换弹时间",$AR$3:$AY$3,0),FALSE),2))</f>
        <v>0</v>
      </c>
      <c r="BW45" s="2">
        <f>IF(VLOOKUP(BJ45,坦克个性化设定!$B$18:$BC$48,MATCH("装弹类型",坦克个性化设定!$B$18:$BC$18,0),FALSE)="弹夹换弹",ROUND(VLOOKUP($BJ45,$AI$3:$AO$33,MATCH("换弹时间",$AI$3:$AO$3,0),FALSE)-$BL45/VLOOKUP(VLOOKUP($BJ45,坦克个性化设定!$B$18:$E$48,4,FALSE)&amp;$BK45,坦克属性分配比例,MATCH("升星次数",坦克属性分配比例标头,0),FALSE)*VLOOKUP($BJ45,$AR$3:$AY$33,MATCH("换弹时间",$AR$3:$AY$3,0),FALSE),1),0)</f>
        <v>6</v>
      </c>
      <c r="BX45" s="2">
        <f>ROUND(VLOOKUP($BJ45,$AI$3:$AO$33,MATCH(BX$3,$AI$3:$AO$3,0),FALSE)+$BL45/VLOOKUP(VLOOKUP($BJ45,坦克个性化设定!$B$18:$E$48,4,FALSE)&amp;$BK45,坦克属性分配比例,MATCH("升星次数",坦克属性分配比例标头,0),FALSE)*VLOOKUP($BJ45,$AR$3:$AY$33,MATCH(BX$3,$AR$3:$AY$3,0),FALSE),2)</f>
        <v>0.6</v>
      </c>
      <c r="BY45" s="2">
        <f>ROUND(VLOOKUP($BJ45,$AI$3:$AO$33,MATCH(BY$3,$AI$3:$AO$3,0),FALSE)-$BL45/VLOOKUP(VLOOKUP($BJ45,坦克个性化设定!$B$18:$E$48,4,FALSE)&amp;$BK45,坦克属性分配比例,MATCH("升星次数",坦克属性分配比例标头,0),FALSE)*VLOOKUP($BJ45,$AR$3:$AY$33,MATCH(BY$3,$AR$3:$AY$3,0),FALSE),2)</f>
        <v>0.35</v>
      </c>
    </row>
    <row r="46" spans="2:87" x14ac:dyDescent="0.3">
      <c r="S46" s="2" t="str">
        <f t="shared" si="19"/>
        <v>KV-1初始</v>
      </c>
      <c r="T46" s="2">
        <f>IF(COUNTIF(U$4:U45,U45)&gt;=$B$3,T45+1,T45)</f>
        <v>22</v>
      </c>
      <c r="U46" s="2" t="str">
        <f t="shared" si="20"/>
        <v>KV-1</v>
      </c>
      <c r="V46" s="2" t="str">
        <f>VLOOKUP(U46,坦克个性化设定!$B$18:$F$48,5,FALSE)</f>
        <v>重坦自动</v>
      </c>
      <c r="W46" s="29" t="str">
        <f>VLOOKUP(U46,坦克个性化细分!$I$3:$J$33,2,FALSE)</f>
        <v>低</v>
      </c>
      <c r="X46" s="2" t="str">
        <f t="shared" si="21"/>
        <v>初始</v>
      </c>
      <c r="Y46" s="2" t="str">
        <f>VLOOKUP(VLOOKUP(U46,坦克个性化设定!$B$18:$F$48,4,FALSE)&amp;W46,坦克等级成长!$P$12:$U$24,MATCH(X46,坦克等级成长!$P$12:$U$12,0),FALSE)</f>
        <v>T2低2</v>
      </c>
      <c r="Z46" s="42">
        <f ca="1">VLOOKUP($Y46,INDIRECT($V46&amp;"_阶段属性"),MATCH(Z$3,属性标头_阶段属性,0),FALSE)*VLOOKUP($U46,坦克个性化设定!$B$84:$D$114,2,FALSE)</f>
        <v>1106.4289223259498</v>
      </c>
      <c r="AA46" s="42">
        <f ca="1">VLOOKUP($Y46,INDIRECT($V46&amp;"_阶段属性"),MATCH(AA$3,属性标头_阶段属性,0),FALSE)*VLOOKUP($U46,坦克个性化设定!$B$84:$D$114,3,FALSE)</f>
        <v>257.04476714871947</v>
      </c>
      <c r="AB46" s="2">
        <f t="shared" ca="1" si="22"/>
        <v>343</v>
      </c>
      <c r="AC46" s="2">
        <f t="shared" ca="1" si="22"/>
        <v>274</v>
      </c>
      <c r="AD46" s="2">
        <f t="shared" ca="1" si="22"/>
        <v>504</v>
      </c>
      <c r="AE46" s="2">
        <f t="shared" ca="1" si="22"/>
        <v>117</v>
      </c>
      <c r="AF46" s="25"/>
      <c r="BH46" s="2" t="str">
        <f t="shared" si="13"/>
        <v>AMX-130</v>
      </c>
      <c r="BI46" s="2">
        <f>IF(BL45&gt;=VLOOKUP(VLOOKUP(BJ45,坦克个性化设定!$B$18:$E$48,4,FALSE)&amp;BK45,坦克属性分配比例,MATCH("升星次数",坦克属性分配比例标头,0),FALSE),BI45+1,BI45)</f>
        <v>6</v>
      </c>
      <c r="BJ46" s="2" t="str">
        <f t="shared" si="14"/>
        <v>AMX-13</v>
      </c>
      <c r="BK46" s="29" t="str">
        <f>VLOOKUP(BJ46,坦克个性化细分!$I$3:$J$33,2,FALSE)</f>
        <v>高</v>
      </c>
      <c r="BL46" s="2">
        <f t="shared" si="7"/>
        <v>0</v>
      </c>
      <c r="BM46" s="103">
        <f ca="1">ROUND(VLOOKUP($BJ46&amp;"初始",$S$3:$AE$63,MATCH(BM$3,$S$3:$AE$3,0),FALSE)+((VLOOKUP($BJ46&amp;"最终",$S$3:$AE$63,MATCH(BM$3,$S$3:$AE$3,0),FALSE)*坦克个性化细分!$C$9-VLOOKUP($BJ46&amp;"初始",$S$3:$AE$63,MATCH(BM$3,$S$3:$AE$3,0),FALSE))-(VLOOKUP($BJ46&amp;"最终",$S$3:$AE$63,MATCH(BM$3,$S$3:$AE$3,0),FALSE)-VLOOKUP($BJ46&amp;"初始",$S$3:$AE$63,MATCH(BM$3,$S$3:$AE$3,0),FALSE))*VLOOKUP(VLOOKUP($BJ46,坦克个性化设定!$B$18:$E$48,4,FALSE)&amp;$BK46,坦克属性分配比例,MATCH("部件比例",坦克属性分配比例标头,0),FALSE))*$BL46/VLOOKUP(VLOOKUP($BJ46,坦克个性化设定!$B$18:$E$48,4,FALSE)&amp;$BK46,坦克属性分配比例,MATCH("升星次数",坦克属性分配比例标头,0),FALSE),0)</f>
        <v>1168</v>
      </c>
      <c r="BN46" s="103">
        <f ca="1">ROUND(VLOOKUP($BJ46&amp;"初始",$S$3:$AE$63,MATCH(BN$3,$S$3:$AE$3,0),FALSE)+(VLOOKUP($BJ46&amp;"最终",$S$3:$AE$63,MATCH(BN$3,$S$3:$AE$3,0),FALSE)-VLOOKUP($BJ46&amp;"初始",$S$3:$AE$63,MATCH(BN$3,$S$3:$AE$3,0),FALSE))*$BL46/VLOOKUP(VLOOKUP($BJ46,坦克个性化设定!$B$18:$E$48,4,FALSE)&amp;$BK46,坦克属性分配比例,MATCH("升星次数",坦克属性分配比例标头,0),FALSE)*VLOOKUP(VLOOKUP($BJ46,坦克个性化设定!$B$18:$E$48,4,FALSE)&amp;$BK46,坦克属性分配比例,MATCH("升星比例",坦克属性分配比例标头,0),FALSE),0)</f>
        <v>95</v>
      </c>
      <c r="BO46" s="103">
        <f ca="1">ROUND(VLOOKUP($BJ46&amp;"初始",$S$3:$AE$63,MATCH(BO$3,$S$3:$AE$3,0),FALSE)+(VLOOKUP($BJ46&amp;"最终",$S$3:$AE$63,MATCH(BO$3,$S$3:$AE$3,0),FALSE)-VLOOKUP($BJ46&amp;"初始",$S$3:$AE$63,MATCH(BO$3,$S$3:$AE$3,0),FALSE))*$BL46/VLOOKUP(VLOOKUP($BJ46,坦克个性化设定!$B$18:$E$48,4,FALSE)&amp;$BK46,坦克属性分配比例,MATCH("升星次数",坦克属性分配比例标头,0),FALSE)*(VLOOKUP(VLOOKUP($BJ46,坦克个性化设定!$B$18:$E$48,4,FALSE)&amp;$BK46,坦克属性分配比例,MATCH("升星比例",坦克属性分配比例标头,0),FALSE)+VLOOKUP(VLOOKUP($BJ46,坦克个性化设定!$B$18:$E$48,4,FALSE)&amp;$BK46,坦克属性分配比例,MATCH("部件比例",坦克属性分配比例标头,0),FALSE)*$C$3),0)</f>
        <v>506</v>
      </c>
      <c r="BP46" s="103">
        <f ca="1">ROUND(VLOOKUP($BJ46&amp;"初始",$S$3:$AE$63,MATCH(BP$3,$S$3:$AE$3,0),FALSE)+(VLOOKUP($BJ46&amp;"最终",$S$3:$AE$63,MATCH(BP$3,$S$3:$AE$3,0),FALSE)-VLOOKUP($BJ46&amp;"初始",$S$3:$AE$63,MATCH(BP$3,$S$3:$AE$3,0),FALSE))*$BL46/VLOOKUP(VLOOKUP($BJ46,坦克个性化设定!$B$18:$E$48,4,FALSE)&amp;$BK46,坦克属性分配比例,MATCH("升星次数",坦克属性分配比例标头,0),FALSE)*(VLOOKUP(VLOOKUP($BJ46,坦克个性化设定!$B$18:$E$48,4,FALSE)&amp;$BK46,坦克属性分配比例,MATCH("升星比例",坦克属性分配比例标头,0),FALSE)+VLOOKUP(VLOOKUP($BJ46,坦克个性化设定!$B$18:$E$48,4,FALSE)&amp;$BK46,坦克属性分配比例,MATCH("部件比例",坦克属性分配比例标头,0),FALSE)*$C$3),0)</f>
        <v>354</v>
      </c>
      <c r="BQ46" s="103">
        <f ca="1">ROUND(VLOOKUP($BJ46&amp;"初始",$S$3:$AE$63,MATCH(BQ$3,$S$3:$AE$3,0),FALSE)+(VLOOKUP($BJ46&amp;"最终",$S$3:$AE$63,MATCH(BQ$3,$S$3:$AE$3,0),FALSE)-VLOOKUP($BJ46&amp;"初始",$S$3:$AE$63,MATCH(BQ$3,$S$3:$AE$3,0),FALSE))*$BL46/VLOOKUP(VLOOKUP($BJ46,坦克个性化设定!$B$18:$E$48,4,FALSE)&amp;$BK46,坦克属性分配比例,MATCH("升星次数",坦克属性分配比例标头,0),FALSE)*VLOOKUP(VLOOKUP($BJ46,坦克个性化设定!$B$18:$E$48,4,FALSE)&amp;$BK46,坦克属性分配比例,MATCH("升星比例",坦克属性分配比例标头,0),FALSE),0)</f>
        <v>462</v>
      </c>
      <c r="BR46" s="2">
        <f ca="1">ROUND(VLOOKUP($BJ46&amp;"初始",$S$3:$AE$63,MATCH(BR$3,$S$3:$AE$3,0),FALSE)+(VLOOKUP($BJ46&amp;"最终",$S$3:$AE$63,MATCH(BR$3,$S$3:$AE$3,0),FALSE)-VLOOKUP($BJ46&amp;"初始",$S$3:$AE$63,MATCH(BR$3,$S$3:$AE$3,0),FALSE))*$BL46/VLOOKUP(VLOOKUP($BJ46,坦克个性化设定!$B$18:$E$48,4,FALSE)&amp;$BK46,坦克属性分配比例,MATCH("升星次数",坦克属性分配比例标头,0),FALSE),0)</f>
        <v>123</v>
      </c>
      <c r="BS46" s="2">
        <f>ROUND(VLOOKUP($BJ46,$AI$3:$AO$33,MATCH(BS$3,$AI$3:$AO$3,0),FALSE)+$BL46/VLOOKUP(VLOOKUP($BJ46,坦克个性化设定!$B$18:$E$48,4,FALSE)&amp;$BK46,坦克属性分配比例,MATCH("升星次数",坦克属性分配比例标头,0),FALSE)*VLOOKUP($BJ46,$AR$3:$AY$33,MATCH(BS$3,$AR$3:$AY$3,0),FALSE),1)</f>
        <v>39.6</v>
      </c>
      <c r="BT46" s="2">
        <f>ROUND(VLOOKUP($BJ46,$AI$3:$AO$33,MATCH(BT$3,$AI$3:$AO$3,0),FALSE)+$BL46/VLOOKUP(VLOOKUP($BJ46,坦克个性化设定!$B$18:$E$48,4,FALSE)&amp;$BK46,坦克属性分配比例,MATCH("升星次数",坦克属性分配比例标头,0),FALSE)*VLOOKUP($BJ46,$AR$3:$AY$33,MATCH(BT$3,$AR$3:$AY$3,0),FALSE),1)</f>
        <v>59.1</v>
      </c>
      <c r="BU46" s="2">
        <f>ROUND(VLOOKUP($BJ46,$AI$3:$AO$33,MATCH(BU$3,$AI$3:$AO$3,0),FALSE)+$BL46/VLOOKUP(VLOOKUP($BJ46,坦克个性化设定!$B$18:$E$48,4,FALSE)&amp;$BK46,坦克属性分配比例,MATCH("升星次数",坦克属性分配比例标头,0),FALSE)*VLOOKUP($BJ46,$AR$3:$AY$33,MATCH(BU$3,$AR$3:$AY$3,0),FALSE),1)</f>
        <v>9.9</v>
      </c>
      <c r="BV46" s="2">
        <f>IF(VLOOKUP(BJ46,坦克个性化设定!$B$18:$BC$48,MATCH("装弹类型",坦克个性化设定!$B$18:$BC$18,0),FALSE)="弹夹换弹",0,ROUND(VLOOKUP($BJ46,$AI$3:$AO$33,MATCH("换弹时间",$AI$3:$AO$3,0),FALSE)-$BL46/VLOOKUP(VLOOKUP($BJ46,坦克个性化设定!$B$18:$E$48,4,FALSE)&amp;$BK46,坦克属性分配比例,MATCH("升星次数",坦克属性分配比例标头,0),FALSE)*VLOOKUP($BJ46,$AR$3:$AY$33,MATCH("换弹时间",$AR$3:$AY$3,0),FALSE),2))</f>
        <v>0</v>
      </c>
      <c r="BW46" s="2">
        <f>IF(VLOOKUP(BJ46,坦克个性化设定!$B$18:$BC$48,MATCH("装弹类型",坦克个性化设定!$B$18:$BC$18,0),FALSE)="弹夹换弹",ROUND(VLOOKUP($BJ46,$AI$3:$AO$33,MATCH("换弹时间",$AI$3:$AO$3,0),FALSE)-$BL46/VLOOKUP(VLOOKUP($BJ46,坦克个性化设定!$B$18:$E$48,4,FALSE)&amp;$BK46,坦克属性分配比例,MATCH("升星次数",坦克属性分配比例标头,0),FALSE)*VLOOKUP($BJ46,$AR$3:$AY$33,MATCH("换弹时间",$AR$3:$AY$3,0),FALSE),1),0)</f>
        <v>6.3</v>
      </c>
      <c r="BX46" s="2">
        <f>ROUND(VLOOKUP($BJ46,$AI$3:$AO$33,MATCH(BX$3,$AI$3:$AO$3,0),FALSE)+$BL46/VLOOKUP(VLOOKUP($BJ46,坦克个性化设定!$B$18:$E$48,4,FALSE)&amp;$BK46,坦克属性分配比例,MATCH("升星次数",坦克属性分配比例标头,0),FALSE)*VLOOKUP($BJ46,$AR$3:$AY$33,MATCH(BX$3,$AR$3:$AY$3,0),FALSE),2)</f>
        <v>0.8</v>
      </c>
      <c r="BY46" s="2">
        <f>ROUND(VLOOKUP($BJ46,$AI$3:$AO$33,MATCH(BY$3,$AI$3:$AO$3,0),FALSE)-$BL46/VLOOKUP(VLOOKUP($BJ46,坦克个性化设定!$B$18:$E$48,4,FALSE)&amp;$BK46,坦克属性分配比例,MATCH("升星次数",坦克属性分配比例标头,0),FALSE)*VLOOKUP($BJ46,$AR$3:$AY$33,MATCH(BY$3,$AR$3:$AY$3,0),FALSE),2)</f>
        <v>0.52</v>
      </c>
    </row>
    <row r="47" spans="2:87" x14ac:dyDescent="0.3">
      <c r="S47" s="2" t="str">
        <f t="shared" si="19"/>
        <v>KV-1最终</v>
      </c>
      <c r="T47" s="2">
        <f>IF(COUNTIF(U$4:U46,U46)&gt;=$B$3,T46+1,T46)</f>
        <v>22</v>
      </c>
      <c r="U47" s="2" t="str">
        <f t="shared" si="20"/>
        <v>KV-1</v>
      </c>
      <c r="V47" s="2" t="str">
        <f>VLOOKUP(U47,坦克个性化设定!$B$18:$F$48,5,FALSE)</f>
        <v>重坦自动</v>
      </c>
      <c r="W47" s="29" t="str">
        <f>VLOOKUP(U47,坦克个性化细分!$I$3:$J$33,2,FALSE)</f>
        <v>低</v>
      </c>
      <c r="X47" s="2" t="str">
        <f t="shared" si="21"/>
        <v>最终</v>
      </c>
      <c r="Y47" s="2" t="str">
        <f>VLOOKUP(VLOOKUP(U47,坦克个性化设定!$B$18:$F$48,4,FALSE)&amp;W47,坦克等级成长!$P$12:$U$24,MATCH(X47,坦克等级成长!$P$12:$U$12,0),FALSE)</f>
        <v>T2低4</v>
      </c>
      <c r="Z47" s="42">
        <f ca="1">VLOOKUP($Y47,INDIRECT($V47&amp;"_阶段属性"),MATCH(Z$3,属性标头_阶段属性,0),FALSE)*VLOOKUP($U47,坦克个性化设定!$B$84:$D$114,2,FALSE)</f>
        <v>1537.5051258295666</v>
      </c>
      <c r="AA47" s="42">
        <f ca="1">VLOOKUP($Y47,INDIRECT($V47&amp;"_阶段属性"),MATCH(AA$3,属性标头_阶段属性,0),FALSE)*VLOOKUP($U47,坦克个性化设定!$B$84:$D$114,3,FALSE)</f>
        <v>364.01370751495676</v>
      </c>
      <c r="AB47" s="2">
        <f t="shared" ca="1" si="22"/>
        <v>486</v>
      </c>
      <c r="AC47" s="2">
        <f t="shared" ca="1" si="22"/>
        <v>389</v>
      </c>
      <c r="AD47" s="2">
        <f t="shared" ca="1" si="22"/>
        <v>714</v>
      </c>
      <c r="AE47" s="2">
        <f t="shared" ca="1" si="22"/>
        <v>166</v>
      </c>
      <c r="AF47" s="25"/>
      <c r="BH47" s="2" t="str">
        <f t="shared" si="13"/>
        <v>AMX-131</v>
      </c>
      <c r="BI47" s="2">
        <f>IF(BL46&gt;=VLOOKUP(VLOOKUP(BJ46,坦克个性化设定!$B$18:$E$48,4,FALSE)&amp;BK46,坦克属性分配比例,MATCH("升星次数",坦克属性分配比例标头,0),FALSE),BI46+1,BI46)</f>
        <v>6</v>
      </c>
      <c r="BJ47" s="2" t="str">
        <f t="shared" si="14"/>
        <v>AMX-13</v>
      </c>
      <c r="BK47" s="29" t="str">
        <f>VLOOKUP(BJ47,坦克个性化细分!$I$3:$J$33,2,FALSE)</f>
        <v>高</v>
      </c>
      <c r="BL47" s="2">
        <f t="shared" si="7"/>
        <v>1</v>
      </c>
      <c r="BM47" s="103">
        <f ca="1">ROUND(VLOOKUP($BJ47&amp;"初始",$S$3:$AE$63,MATCH(BM$3,$S$3:$AE$3,0),FALSE)+((VLOOKUP($BJ47&amp;"最终",$S$3:$AE$63,MATCH(BM$3,$S$3:$AE$3,0),FALSE)*坦克个性化细分!$C$9-VLOOKUP($BJ47&amp;"初始",$S$3:$AE$63,MATCH(BM$3,$S$3:$AE$3,0),FALSE))-(VLOOKUP($BJ47&amp;"最终",$S$3:$AE$63,MATCH(BM$3,$S$3:$AE$3,0),FALSE)-VLOOKUP($BJ47&amp;"初始",$S$3:$AE$63,MATCH(BM$3,$S$3:$AE$3,0),FALSE))*VLOOKUP(VLOOKUP($BJ47,坦克个性化设定!$B$18:$E$48,4,FALSE)&amp;$BK47,坦克属性分配比例,MATCH("部件比例",坦克属性分配比例标头,0),FALSE))*$BL47/VLOOKUP(VLOOKUP($BJ47,坦克个性化设定!$B$18:$E$48,4,FALSE)&amp;$BK47,坦克属性分配比例,MATCH("升星次数",坦克属性分配比例标头,0),FALSE),0)</f>
        <v>1235</v>
      </c>
      <c r="BN47" s="103">
        <f ca="1">ROUND(VLOOKUP($BJ47&amp;"初始",$S$3:$AE$63,MATCH(BN$3,$S$3:$AE$3,0),FALSE)+(VLOOKUP($BJ47&amp;"最终",$S$3:$AE$63,MATCH(BN$3,$S$3:$AE$3,0),FALSE)-VLOOKUP($BJ47&amp;"初始",$S$3:$AE$63,MATCH(BN$3,$S$3:$AE$3,0),FALSE))*$BL47/VLOOKUP(VLOOKUP($BJ47,坦克个性化设定!$B$18:$E$48,4,FALSE)&amp;$BK47,坦克属性分配比例,MATCH("升星次数",坦克属性分配比例标头,0),FALSE)*VLOOKUP(VLOOKUP($BJ47,坦克个性化设定!$B$18:$E$48,4,FALSE)&amp;$BK47,坦克属性分配比例,MATCH("升星比例",坦克属性分配比例标头,0),FALSE),0)</f>
        <v>98</v>
      </c>
      <c r="BO47" s="103">
        <f ca="1">ROUND(VLOOKUP($BJ47&amp;"初始",$S$3:$AE$63,MATCH(BO$3,$S$3:$AE$3,0),FALSE)+(VLOOKUP($BJ47&amp;"最终",$S$3:$AE$63,MATCH(BO$3,$S$3:$AE$3,0),FALSE)-VLOOKUP($BJ47&amp;"初始",$S$3:$AE$63,MATCH(BO$3,$S$3:$AE$3,0),FALSE))*$BL47/VLOOKUP(VLOOKUP($BJ47,坦克个性化设定!$B$18:$E$48,4,FALSE)&amp;$BK47,坦克属性分配比例,MATCH("升星次数",坦克属性分配比例标头,0),FALSE)*(VLOOKUP(VLOOKUP($BJ47,坦克个性化设定!$B$18:$E$48,4,FALSE)&amp;$BK47,坦克属性分配比例,MATCH("升星比例",坦克属性分配比例标头,0),FALSE)+VLOOKUP(VLOOKUP($BJ47,坦克个性化设定!$B$18:$E$48,4,FALSE)&amp;$BK47,坦克属性分配比例,MATCH("部件比例",坦克属性分配比例标头,0),FALSE)*$C$3),0)</f>
        <v>530</v>
      </c>
      <c r="BP47" s="103">
        <f ca="1">ROUND(VLOOKUP($BJ47&amp;"初始",$S$3:$AE$63,MATCH(BP$3,$S$3:$AE$3,0),FALSE)+(VLOOKUP($BJ47&amp;"最终",$S$3:$AE$63,MATCH(BP$3,$S$3:$AE$3,0),FALSE)-VLOOKUP($BJ47&amp;"初始",$S$3:$AE$63,MATCH(BP$3,$S$3:$AE$3,0),FALSE))*$BL47/VLOOKUP(VLOOKUP($BJ47,坦克个性化设定!$B$18:$E$48,4,FALSE)&amp;$BK47,坦克属性分配比例,MATCH("升星次数",坦克属性分配比例标头,0),FALSE)*(VLOOKUP(VLOOKUP($BJ47,坦克个性化设定!$B$18:$E$48,4,FALSE)&amp;$BK47,坦克属性分配比例,MATCH("升星比例",坦克属性分配比例标头,0),FALSE)+VLOOKUP(VLOOKUP($BJ47,坦克个性化设定!$B$18:$E$48,4,FALSE)&amp;$BK47,坦克属性分配比例,MATCH("部件比例",坦克属性分配比例标头,0),FALSE)*$C$3),0)</f>
        <v>371</v>
      </c>
      <c r="BQ47" s="103">
        <f ca="1">ROUND(VLOOKUP($BJ47&amp;"初始",$S$3:$AE$63,MATCH(BQ$3,$S$3:$AE$3,0),FALSE)+(VLOOKUP($BJ47&amp;"最终",$S$3:$AE$63,MATCH(BQ$3,$S$3:$AE$3,0),FALSE)-VLOOKUP($BJ47&amp;"初始",$S$3:$AE$63,MATCH(BQ$3,$S$3:$AE$3,0),FALSE))*$BL47/VLOOKUP(VLOOKUP($BJ47,坦克个性化设定!$B$18:$E$48,4,FALSE)&amp;$BK47,坦克属性分配比例,MATCH("升星次数",坦克属性分配比例标头,0),FALSE)*VLOOKUP(VLOOKUP($BJ47,坦克个性化设定!$B$18:$E$48,4,FALSE)&amp;$BK47,坦克属性分配比例,MATCH("升星比例",坦克属性分配比例标头,0),FALSE),0)</f>
        <v>478</v>
      </c>
      <c r="BR47" s="2">
        <f ca="1">ROUND(VLOOKUP($BJ47&amp;"初始",$S$3:$AE$63,MATCH(BR$3,$S$3:$AE$3,0),FALSE)+(VLOOKUP($BJ47&amp;"最终",$S$3:$AE$63,MATCH(BR$3,$S$3:$AE$3,0),FALSE)-VLOOKUP($BJ47&amp;"初始",$S$3:$AE$63,MATCH(BR$3,$S$3:$AE$3,0),FALSE))*$BL47/VLOOKUP(VLOOKUP($BJ47,坦克个性化设定!$B$18:$E$48,4,FALSE)&amp;$BK47,坦克属性分配比例,MATCH("升星次数",坦克属性分配比例标头,0),FALSE),0)</f>
        <v>130</v>
      </c>
      <c r="BS47" s="2">
        <f>ROUND(VLOOKUP($BJ47,$AI$3:$AO$33,MATCH(BS$3,$AI$3:$AO$3,0),FALSE)+$BL47/VLOOKUP(VLOOKUP($BJ47,坦克个性化设定!$B$18:$E$48,4,FALSE)&amp;$BK47,坦克属性分配比例,MATCH("升星次数",坦克属性分配比例标头,0),FALSE)*VLOOKUP($BJ47,$AR$3:$AY$33,MATCH(BS$3,$AR$3:$AY$3,0),FALSE),1)</f>
        <v>40.700000000000003</v>
      </c>
      <c r="BT47" s="2">
        <f>ROUND(VLOOKUP($BJ47,$AI$3:$AO$33,MATCH(BT$3,$AI$3:$AO$3,0),FALSE)+$BL47/VLOOKUP(VLOOKUP($BJ47,坦克个性化设定!$B$18:$E$48,4,FALSE)&amp;$BK47,坦克属性分配比例,MATCH("升星次数",坦克属性分配比例标头,0),FALSE)*VLOOKUP($BJ47,$AR$3:$AY$33,MATCH(BT$3,$AR$3:$AY$3,0),FALSE),1)</f>
        <v>60.7</v>
      </c>
      <c r="BU47" s="2">
        <f>ROUND(VLOOKUP($BJ47,$AI$3:$AO$33,MATCH(BU$3,$AI$3:$AO$3,0),FALSE)+$BL47/VLOOKUP(VLOOKUP($BJ47,坦克个性化设定!$B$18:$E$48,4,FALSE)&amp;$BK47,坦克属性分配比例,MATCH("升星次数",坦克属性分配比例标头,0),FALSE)*VLOOKUP($BJ47,$AR$3:$AY$33,MATCH(BU$3,$AR$3:$AY$3,0),FALSE),1)</f>
        <v>9.9</v>
      </c>
      <c r="BV47" s="2">
        <f>IF(VLOOKUP(BJ47,坦克个性化设定!$B$18:$BC$48,MATCH("装弹类型",坦克个性化设定!$B$18:$BC$18,0),FALSE)="弹夹换弹",0,ROUND(VLOOKUP($BJ47,$AI$3:$AO$33,MATCH("换弹时间",$AI$3:$AO$3,0),FALSE)-$BL47/VLOOKUP(VLOOKUP($BJ47,坦克个性化设定!$B$18:$E$48,4,FALSE)&amp;$BK47,坦克属性分配比例,MATCH("升星次数",坦克属性分配比例标头,0),FALSE)*VLOOKUP($BJ47,$AR$3:$AY$33,MATCH("换弹时间",$AR$3:$AY$3,0),FALSE),2))</f>
        <v>0</v>
      </c>
      <c r="BW47" s="2">
        <f>IF(VLOOKUP(BJ47,坦克个性化设定!$B$18:$BC$48,MATCH("装弹类型",坦克个性化设定!$B$18:$BC$18,0),FALSE)="弹夹换弹",ROUND(VLOOKUP($BJ47,$AI$3:$AO$33,MATCH("换弹时间",$AI$3:$AO$3,0),FALSE)-$BL47/VLOOKUP(VLOOKUP($BJ47,坦克个性化设定!$B$18:$E$48,4,FALSE)&amp;$BK47,坦克属性分配比例,MATCH("升星次数",坦克属性分配比例标头,0),FALSE)*VLOOKUP($BJ47,$AR$3:$AY$33,MATCH("换弹时间",$AR$3:$AY$3,0),FALSE),1),0)</f>
        <v>6.1</v>
      </c>
      <c r="BX47" s="2">
        <f>ROUND(VLOOKUP($BJ47,$AI$3:$AO$33,MATCH(BX$3,$AI$3:$AO$3,0),FALSE)+$BL47/VLOOKUP(VLOOKUP($BJ47,坦克个性化设定!$B$18:$E$48,4,FALSE)&amp;$BK47,坦克属性分配比例,MATCH("升星次数",坦克属性分配比例标头,0),FALSE)*VLOOKUP($BJ47,$AR$3:$AY$33,MATCH(BX$3,$AR$3:$AY$3,0),FALSE),2)</f>
        <v>0.8</v>
      </c>
      <c r="BY47" s="2">
        <f>ROUND(VLOOKUP($BJ47,$AI$3:$AO$33,MATCH(BY$3,$AI$3:$AO$3,0),FALSE)-$BL47/VLOOKUP(VLOOKUP($BJ47,坦克个性化设定!$B$18:$E$48,4,FALSE)&amp;$BK47,坦克属性分配比例,MATCH("升星次数",坦克属性分配比例标头,0),FALSE)*VLOOKUP($BJ47,$AR$3:$AY$33,MATCH(BY$3,$AR$3:$AY$3,0),FALSE),2)</f>
        <v>0.51</v>
      </c>
    </row>
    <row r="48" spans="2:87" x14ac:dyDescent="0.3">
      <c r="S48" s="2" t="str">
        <f t="shared" si="19"/>
        <v>丘吉尔初始</v>
      </c>
      <c r="T48" s="2">
        <f>IF(COUNTIF(U$4:U47,U47)&gt;=$B$3,T47+1,T47)</f>
        <v>23</v>
      </c>
      <c r="U48" s="2" t="str">
        <f t="shared" si="20"/>
        <v>丘吉尔</v>
      </c>
      <c r="V48" s="2" t="str">
        <f>VLOOKUP(U48,坦克个性化设定!$B$18:$F$48,5,FALSE)</f>
        <v>重坦单发</v>
      </c>
      <c r="W48" s="29" t="str">
        <f>VLOOKUP(U48,坦克个性化细分!$I$3:$J$33,2,FALSE)</f>
        <v>中</v>
      </c>
      <c r="X48" s="2" t="str">
        <f t="shared" si="21"/>
        <v>初始</v>
      </c>
      <c r="Y48" s="2" t="str">
        <f>VLOOKUP(VLOOKUP(U48,坦克个性化设定!$B$18:$F$48,4,FALSE)&amp;W48,坦克等级成长!$P$12:$U$24,MATCH(X48,坦克等级成长!$P$12:$U$12,0),FALSE)</f>
        <v>T2中2</v>
      </c>
      <c r="Z48" s="42">
        <f ca="1">VLOOKUP($Y48,INDIRECT($V48&amp;"_阶段属性"),MATCH(Z$3,属性标头_阶段属性,0),FALSE)*VLOOKUP($U48,坦克个性化设定!$B$84:$D$114,2,FALSE)</f>
        <v>1161.0981834082527</v>
      </c>
      <c r="AA48" s="42">
        <f ca="1">VLOOKUP($Y48,INDIRECT($V48&amp;"_阶段属性"),MATCH(AA$3,属性标头_阶段属性,0),FALSE)*VLOOKUP($U48,坦克个性化设定!$B$84:$D$114,3,FALSE)</f>
        <v>444.24150116737991</v>
      </c>
      <c r="AB48" s="2">
        <f t="shared" ca="1" si="22"/>
        <v>383</v>
      </c>
      <c r="AC48" s="2">
        <f t="shared" ca="1" si="22"/>
        <v>307</v>
      </c>
      <c r="AD48" s="2">
        <f t="shared" ca="1" si="22"/>
        <v>512</v>
      </c>
      <c r="AE48" s="2">
        <f t="shared" ca="1" si="22"/>
        <v>119</v>
      </c>
      <c r="AF48" s="25"/>
      <c r="BH48" s="2" t="str">
        <f t="shared" si="13"/>
        <v>AMX-132</v>
      </c>
      <c r="BI48" s="2">
        <f>IF(BL47&gt;=VLOOKUP(VLOOKUP(BJ47,坦克个性化设定!$B$18:$E$48,4,FALSE)&amp;BK47,坦克属性分配比例,MATCH("升星次数",坦克属性分配比例标头,0),FALSE),BI47+1,BI47)</f>
        <v>6</v>
      </c>
      <c r="BJ48" s="2" t="str">
        <f t="shared" si="14"/>
        <v>AMX-13</v>
      </c>
      <c r="BK48" s="29" t="str">
        <f>VLOOKUP(BJ48,坦克个性化细分!$I$3:$J$33,2,FALSE)</f>
        <v>高</v>
      </c>
      <c r="BL48" s="2">
        <f t="shared" si="7"/>
        <v>2</v>
      </c>
      <c r="BM48" s="103">
        <f ca="1">ROUND(VLOOKUP($BJ48&amp;"初始",$S$3:$AE$63,MATCH(BM$3,$S$3:$AE$3,0),FALSE)+((VLOOKUP($BJ48&amp;"最终",$S$3:$AE$63,MATCH(BM$3,$S$3:$AE$3,0),FALSE)*坦克个性化细分!$C$9-VLOOKUP($BJ48&amp;"初始",$S$3:$AE$63,MATCH(BM$3,$S$3:$AE$3,0),FALSE))-(VLOOKUP($BJ48&amp;"最终",$S$3:$AE$63,MATCH(BM$3,$S$3:$AE$3,0),FALSE)-VLOOKUP($BJ48&amp;"初始",$S$3:$AE$63,MATCH(BM$3,$S$3:$AE$3,0),FALSE))*VLOOKUP(VLOOKUP($BJ48,坦克个性化设定!$B$18:$E$48,4,FALSE)&amp;$BK48,坦克属性分配比例,MATCH("部件比例",坦克属性分配比例标头,0),FALSE))*$BL48/VLOOKUP(VLOOKUP($BJ48,坦克个性化设定!$B$18:$E$48,4,FALSE)&amp;$BK48,坦克属性分配比例,MATCH("升星次数",坦克属性分配比例标头,0),FALSE),0)</f>
        <v>1301</v>
      </c>
      <c r="BN48" s="103">
        <f ca="1">ROUND(VLOOKUP($BJ48&amp;"初始",$S$3:$AE$63,MATCH(BN$3,$S$3:$AE$3,0),FALSE)+(VLOOKUP($BJ48&amp;"最终",$S$3:$AE$63,MATCH(BN$3,$S$3:$AE$3,0),FALSE)-VLOOKUP($BJ48&amp;"初始",$S$3:$AE$63,MATCH(BN$3,$S$3:$AE$3,0),FALSE))*$BL48/VLOOKUP(VLOOKUP($BJ48,坦克个性化设定!$B$18:$E$48,4,FALSE)&amp;$BK48,坦克属性分配比例,MATCH("升星次数",坦克属性分配比例标头,0),FALSE)*VLOOKUP(VLOOKUP($BJ48,坦克个性化设定!$B$18:$E$48,4,FALSE)&amp;$BK48,坦克属性分配比例,MATCH("升星比例",坦克属性分配比例标头,0),FALSE),0)</f>
        <v>102</v>
      </c>
      <c r="BO48" s="103">
        <f ca="1">ROUND(VLOOKUP($BJ48&amp;"初始",$S$3:$AE$63,MATCH(BO$3,$S$3:$AE$3,0),FALSE)+(VLOOKUP($BJ48&amp;"最终",$S$3:$AE$63,MATCH(BO$3,$S$3:$AE$3,0),FALSE)-VLOOKUP($BJ48&amp;"初始",$S$3:$AE$63,MATCH(BO$3,$S$3:$AE$3,0),FALSE))*$BL48/VLOOKUP(VLOOKUP($BJ48,坦克个性化设定!$B$18:$E$48,4,FALSE)&amp;$BK48,坦克属性分配比例,MATCH("升星次数",坦克属性分配比例标头,0),FALSE)*(VLOOKUP(VLOOKUP($BJ48,坦克个性化设定!$B$18:$E$48,4,FALSE)&amp;$BK48,坦克属性分配比例,MATCH("升星比例",坦克属性分配比例标头,0),FALSE)+VLOOKUP(VLOOKUP($BJ48,坦克个性化设定!$B$18:$E$48,4,FALSE)&amp;$BK48,坦克属性分配比例,MATCH("部件比例",坦克属性分配比例标头,0),FALSE)*$C$3),0)</f>
        <v>555</v>
      </c>
      <c r="BP48" s="103">
        <f ca="1">ROUND(VLOOKUP($BJ48&amp;"初始",$S$3:$AE$63,MATCH(BP$3,$S$3:$AE$3,0),FALSE)+(VLOOKUP($BJ48&amp;"最终",$S$3:$AE$63,MATCH(BP$3,$S$3:$AE$3,0),FALSE)-VLOOKUP($BJ48&amp;"初始",$S$3:$AE$63,MATCH(BP$3,$S$3:$AE$3,0),FALSE))*$BL48/VLOOKUP(VLOOKUP($BJ48,坦克个性化设定!$B$18:$E$48,4,FALSE)&amp;$BK48,坦克属性分配比例,MATCH("升星次数",坦克属性分配比例标头,0),FALSE)*(VLOOKUP(VLOOKUP($BJ48,坦克个性化设定!$B$18:$E$48,4,FALSE)&amp;$BK48,坦克属性分配比例,MATCH("升星比例",坦克属性分配比例标头,0),FALSE)+VLOOKUP(VLOOKUP($BJ48,坦克个性化设定!$B$18:$E$48,4,FALSE)&amp;$BK48,坦克属性分配比例,MATCH("部件比例",坦克属性分配比例标头,0),FALSE)*$C$3),0)</f>
        <v>388</v>
      </c>
      <c r="BQ48" s="103">
        <f ca="1">ROUND(VLOOKUP($BJ48&amp;"初始",$S$3:$AE$63,MATCH(BQ$3,$S$3:$AE$3,0),FALSE)+(VLOOKUP($BJ48&amp;"最终",$S$3:$AE$63,MATCH(BQ$3,$S$3:$AE$3,0),FALSE)-VLOOKUP($BJ48&amp;"初始",$S$3:$AE$63,MATCH(BQ$3,$S$3:$AE$3,0),FALSE))*$BL48/VLOOKUP(VLOOKUP($BJ48,坦克个性化设定!$B$18:$E$48,4,FALSE)&amp;$BK48,坦克属性分配比例,MATCH("升星次数",坦克属性分配比例标头,0),FALSE)*VLOOKUP(VLOOKUP($BJ48,坦克个性化设定!$B$18:$E$48,4,FALSE)&amp;$BK48,坦克属性分配比例,MATCH("升星比例",坦克属性分配比例标头,0),FALSE),0)</f>
        <v>494</v>
      </c>
      <c r="BR48" s="2">
        <f ca="1">ROUND(VLOOKUP($BJ48&amp;"初始",$S$3:$AE$63,MATCH(BR$3,$S$3:$AE$3,0),FALSE)+(VLOOKUP($BJ48&amp;"最终",$S$3:$AE$63,MATCH(BR$3,$S$3:$AE$3,0),FALSE)-VLOOKUP($BJ48&amp;"初始",$S$3:$AE$63,MATCH(BR$3,$S$3:$AE$3,0),FALSE))*$BL48/VLOOKUP(VLOOKUP($BJ48,坦克个性化设定!$B$18:$E$48,4,FALSE)&amp;$BK48,坦克属性分配比例,MATCH("升星次数",坦克属性分配比例标头,0),FALSE),0)</f>
        <v>137</v>
      </c>
      <c r="BS48" s="2">
        <f>ROUND(VLOOKUP($BJ48,$AI$3:$AO$33,MATCH(BS$3,$AI$3:$AO$3,0),FALSE)+$BL48/VLOOKUP(VLOOKUP($BJ48,坦克个性化设定!$B$18:$E$48,4,FALSE)&amp;$BK48,坦克属性分配比例,MATCH("升星次数",坦克属性分配比例标头,0),FALSE)*VLOOKUP($BJ48,$AR$3:$AY$33,MATCH(BS$3,$AR$3:$AY$3,0),FALSE),1)</f>
        <v>41.8</v>
      </c>
      <c r="BT48" s="2">
        <f>ROUND(VLOOKUP($BJ48,$AI$3:$AO$33,MATCH(BT$3,$AI$3:$AO$3,0),FALSE)+$BL48/VLOOKUP(VLOOKUP($BJ48,坦克个性化设定!$B$18:$E$48,4,FALSE)&amp;$BK48,坦克属性分配比例,MATCH("升星次数",坦克属性分配比例标头,0),FALSE)*VLOOKUP($BJ48,$AR$3:$AY$33,MATCH(BT$3,$AR$3:$AY$3,0),FALSE),1)</f>
        <v>62.4</v>
      </c>
      <c r="BU48" s="2">
        <f>ROUND(VLOOKUP($BJ48,$AI$3:$AO$33,MATCH(BU$3,$AI$3:$AO$3,0),FALSE)+$BL48/VLOOKUP(VLOOKUP($BJ48,坦克个性化设定!$B$18:$E$48,4,FALSE)&amp;$BK48,坦克属性分配比例,MATCH("升星次数",坦克属性分配比例标头,0),FALSE)*VLOOKUP($BJ48,$AR$3:$AY$33,MATCH(BU$3,$AR$3:$AY$3,0),FALSE),1)</f>
        <v>9.9</v>
      </c>
      <c r="BV48" s="2">
        <f>IF(VLOOKUP(BJ48,坦克个性化设定!$B$18:$BC$48,MATCH("装弹类型",坦克个性化设定!$B$18:$BC$18,0),FALSE)="弹夹换弹",0,ROUND(VLOOKUP($BJ48,$AI$3:$AO$33,MATCH("换弹时间",$AI$3:$AO$3,0),FALSE)-$BL48/VLOOKUP(VLOOKUP($BJ48,坦克个性化设定!$B$18:$E$48,4,FALSE)&amp;$BK48,坦克属性分配比例,MATCH("升星次数",坦克属性分配比例标头,0),FALSE)*VLOOKUP($BJ48,$AR$3:$AY$33,MATCH("换弹时间",$AR$3:$AY$3,0),FALSE),2))</f>
        <v>0</v>
      </c>
      <c r="BW48" s="2">
        <f>IF(VLOOKUP(BJ48,坦克个性化设定!$B$18:$BC$48,MATCH("装弹类型",坦克个性化设定!$B$18:$BC$18,0),FALSE)="弹夹换弹",ROUND(VLOOKUP($BJ48,$AI$3:$AO$33,MATCH("换弹时间",$AI$3:$AO$3,0),FALSE)-$BL48/VLOOKUP(VLOOKUP($BJ48,坦克个性化设定!$B$18:$E$48,4,FALSE)&amp;$BK48,坦克属性分配比例,MATCH("升星次数",坦克属性分配比例标头,0),FALSE)*VLOOKUP($BJ48,$AR$3:$AY$33,MATCH("换弹时间",$AR$3:$AY$3,0),FALSE),1),0)</f>
        <v>5.9</v>
      </c>
      <c r="BX48" s="2">
        <f>ROUND(VLOOKUP($BJ48,$AI$3:$AO$33,MATCH(BX$3,$AI$3:$AO$3,0),FALSE)+$BL48/VLOOKUP(VLOOKUP($BJ48,坦克个性化设定!$B$18:$E$48,4,FALSE)&amp;$BK48,坦克属性分配比例,MATCH("升星次数",坦克属性分配比例标头,0),FALSE)*VLOOKUP($BJ48,$AR$3:$AY$33,MATCH(BX$3,$AR$3:$AY$3,0),FALSE),2)</f>
        <v>0.8</v>
      </c>
      <c r="BY48" s="2">
        <f>ROUND(VLOOKUP($BJ48,$AI$3:$AO$33,MATCH(BY$3,$AI$3:$AO$3,0),FALSE)-$BL48/VLOOKUP(VLOOKUP($BJ48,坦克个性化设定!$B$18:$E$48,4,FALSE)&amp;$BK48,坦克属性分配比例,MATCH("升星次数",坦克属性分配比例标头,0),FALSE)*VLOOKUP($BJ48,$AR$3:$AY$33,MATCH(BY$3,$AR$3:$AY$3,0),FALSE),2)</f>
        <v>0.5</v>
      </c>
    </row>
    <row r="49" spans="19:77" x14ac:dyDescent="0.3">
      <c r="S49" s="2" t="str">
        <f t="shared" si="19"/>
        <v>丘吉尔最终</v>
      </c>
      <c r="T49" s="2">
        <f>IF(COUNTIF(U$4:U48,U48)&gt;=$B$3,T48+1,T48)</f>
        <v>23</v>
      </c>
      <c r="U49" s="2" t="str">
        <f t="shared" si="20"/>
        <v>丘吉尔</v>
      </c>
      <c r="V49" s="2" t="str">
        <f>VLOOKUP(U49,坦克个性化设定!$B$18:$F$48,5,FALSE)</f>
        <v>重坦单发</v>
      </c>
      <c r="W49" s="29" t="str">
        <f>VLOOKUP(U49,坦克个性化细分!$I$3:$J$33,2,FALSE)</f>
        <v>中</v>
      </c>
      <c r="X49" s="2" t="str">
        <f t="shared" si="21"/>
        <v>最终</v>
      </c>
      <c r="Y49" s="2" t="str">
        <f>VLOOKUP(VLOOKUP(U49,坦克个性化设定!$B$18:$F$48,4,FALSE)&amp;W49,坦克等级成长!$P$12:$U$24,MATCH(X49,坦克等级成长!$P$12:$U$12,0),FALSE)</f>
        <v>T2中4</v>
      </c>
      <c r="Z49" s="42">
        <f ca="1">VLOOKUP($Y49,INDIRECT($V49&amp;"_阶段属性"),MATCH(Z$3,属性标头_阶段属性,0),FALSE)*VLOOKUP($U49,坦克个性化设定!$B$84:$D$114,2,FALSE)</f>
        <v>1674.5486363727059</v>
      </c>
      <c r="AA49" s="42">
        <f ca="1">VLOOKUP($Y49,INDIRECT($V49&amp;"_阶段属性"),MATCH(AA$3,属性标头_阶段属性,0),FALSE)*VLOOKUP($U49,坦克个性化设定!$B$84:$D$114,3,FALSE)</f>
        <v>641.68216835288217</v>
      </c>
      <c r="AB49" s="2">
        <f t="shared" ca="1" si="22"/>
        <v>553</v>
      </c>
      <c r="AC49" s="2">
        <f t="shared" ca="1" si="22"/>
        <v>443</v>
      </c>
      <c r="AD49" s="2">
        <f t="shared" ca="1" si="22"/>
        <v>739</v>
      </c>
      <c r="AE49" s="2">
        <f t="shared" ca="1" si="22"/>
        <v>172</v>
      </c>
      <c r="AF49" s="25"/>
      <c r="BH49" s="2" t="str">
        <f t="shared" si="13"/>
        <v>AMX-133</v>
      </c>
      <c r="BI49" s="2">
        <f>IF(BL48&gt;=VLOOKUP(VLOOKUP(BJ48,坦克个性化设定!$B$18:$E$48,4,FALSE)&amp;BK48,坦克属性分配比例,MATCH("升星次数",坦克属性分配比例标头,0),FALSE),BI48+1,BI48)</f>
        <v>6</v>
      </c>
      <c r="BJ49" s="2" t="str">
        <f t="shared" si="14"/>
        <v>AMX-13</v>
      </c>
      <c r="BK49" s="29" t="str">
        <f>VLOOKUP(BJ49,坦克个性化细分!$I$3:$J$33,2,FALSE)</f>
        <v>高</v>
      </c>
      <c r="BL49" s="2">
        <f t="shared" si="7"/>
        <v>3</v>
      </c>
      <c r="BM49" s="103">
        <f ca="1">ROUND(VLOOKUP($BJ49&amp;"初始",$S$3:$AE$63,MATCH(BM$3,$S$3:$AE$3,0),FALSE)+((VLOOKUP($BJ49&amp;"最终",$S$3:$AE$63,MATCH(BM$3,$S$3:$AE$3,0),FALSE)*坦克个性化细分!$C$9-VLOOKUP($BJ49&amp;"初始",$S$3:$AE$63,MATCH(BM$3,$S$3:$AE$3,0),FALSE))-(VLOOKUP($BJ49&amp;"最终",$S$3:$AE$63,MATCH(BM$3,$S$3:$AE$3,0),FALSE)-VLOOKUP($BJ49&amp;"初始",$S$3:$AE$63,MATCH(BM$3,$S$3:$AE$3,0),FALSE))*VLOOKUP(VLOOKUP($BJ49,坦克个性化设定!$B$18:$E$48,4,FALSE)&amp;$BK49,坦克属性分配比例,MATCH("部件比例",坦克属性分配比例标头,0),FALSE))*$BL49/VLOOKUP(VLOOKUP($BJ49,坦克个性化设定!$B$18:$E$48,4,FALSE)&amp;$BK49,坦克属性分配比例,MATCH("升星次数",坦克属性分配比例标头,0),FALSE),0)</f>
        <v>1367</v>
      </c>
      <c r="BN49" s="103">
        <f ca="1">ROUND(VLOOKUP($BJ49&amp;"初始",$S$3:$AE$63,MATCH(BN$3,$S$3:$AE$3,0),FALSE)+(VLOOKUP($BJ49&amp;"最终",$S$3:$AE$63,MATCH(BN$3,$S$3:$AE$3,0),FALSE)-VLOOKUP($BJ49&amp;"初始",$S$3:$AE$63,MATCH(BN$3,$S$3:$AE$3,0),FALSE))*$BL49/VLOOKUP(VLOOKUP($BJ49,坦克个性化设定!$B$18:$E$48,4,FALSE)&amp;$BK49,坦克属性分配比例,MATCH("升星次数",坦克属性分配比例标头,0),FALSE)*VLOOKUP(VLOOKUP($BJ49,坦克个性化设定!$B$18:$E$48,4,FALSE)&amp;$BK49,坦克属性分配比例,MATCH("升星比例",坦克属性分配比例标头,0),FALSE),0)</f>
        <v>105</v>
      </c>
      <c r="BO49" s="103">
        <f ca="1">ROUND(VLOOKUP($BJ49&amp;"初始",$S$3:$AE$63,MATCH(BO$3,$S$3:$AE$3,0),FALSE)+(VLOOKUP($BJ49&amp;"最终",$S$3:$AE$63,MATCH(BO$3,$S$3:$AE$3,0),FALSE)-VLOOKUP($BJ49&amp;"初始",$S$3:$AE$63,MATCH(BO$3,$S$3:$AE$3,0),FALSE))*$BL49/VLOOKUP(VLOOKUP($BJ49,坦克个性化设定!$B$18:$E$48,4,FALSE)&amp;$BK49,坦克属性分配比例,MATCH("升星次数",坦克属性分配比例标头,0),FALSE)*(VLOOKUP(VLOOKUP($BJ49,坦克个性化设定!$B$18:$E$48,4,FALSE)&amp;$BK49,坦克属性分配比例,MATCH("升星比例",坦克属性分配比例标头,0),FALSE)+VLOOKUP(VLOOKUP($BJ49,坦克个性化设定!$B$18:$E$48,4,FALSE)&amp;$BK49,坦克属性分配比例,MATCH("部件比例",坦克属性分配比例标头,0),FALSE)*$C$3),0)</f>
        <v>579</v>
      </c>
      <c r="BP49" s="103">
        <f ca="1">ROUND(VLOOKUP($BJ49&amp;"初始",$S$3:$AE$63,MATCH(BP$3,$S$3:$AE$3,0),FALSE)+(VLOOKUP($BJ49&amp;"最终",$S$3:$AE$63,MATCH(BP$3,$S$3:$AE$3,0),FALSE)-VLOOKUP($BJ49&amp;"初始",$S$3:$AE$63,MATCH(BP$3,$S$3:$AE$3,0),FALSE))*$BL49/VLOOKUP(VLOOKUP($BJ49,坦克个性化设定!$B$18:$E$48,4,FALSE)&amp;$BK49,坦克属性分配比例,MATCH("升星次数",坦克属性分配比例标头,0),FALSE)*(VLOOKUP(VLOOKUP($BJ49,坦克个性化设定!$B$18:$E$48,4,FALSE)&amp;$BK49,坦克属性分配比例,MATCH("升星比例",坦克属性分配比例标头,0),FALSE)+VLOOKUP(VLOOKUP($BJ49,坦克个性化设定!$B$18:$E$48,4,FALSE)&amp;$BK49,坦克属性分配比例,MATCH("部件比例",坦克属性分配比例标头,0),FALSE)*$C$3),0)</f>
        <v>405</v>
      </c>
      <c r="BQ49" s="103">
        <f ca="1">ROUND(VLOOKUP($BJ49&amp;"初始",$S$3:$AE$63,MATCH(BQ$3,$S$3:$AE$3,0),FALSE)+(VLOOKUP($BJ49&amp;"最终",$S$3:$AE$63,MATCH(BQ$3,$S$3:$AE$3,0),FALSE)-VLOOKUP($BJ49&amp;"初始",$S$3:$AE$63,MATCH(BQ$3,$S$3:$AE$3,0),FALSE))*$BL49/VLOOKUP(VLOOKUP($BJ49,坦克个性化设定!$B$18:$E$48,4,FALSE)&amp;$BK49,坦克属性分配比例,MATCH("升星次数",坦克属性分配比例标头,0),FALSE)*VLOOKUP(VLOOKUP($BJ49,坦克个性化设定!$B$18:$E$48,4,FALSE)&amp;$BK49,坦克属性分配比例,MATCH("升星比例",坦克属性分配比例标头,0),FALSE),0)</f>
        <v>509</v>
      </c>
      <c r="BR49" s="2">
        <f ca="1">ROUND(VLOOKUP($BJ49&amp;"初始",$S$3:$AE$63,MATCH(BR$3,$S$3:$AE$3,0),FALSE)+(VLOOKUP($BJ49&amp;"最终",$S$3:$AE$63,MATCH(BR$3,$S$3:$AE$3,0),FALSE)-VLOOKUP($BJ49&amp;"初始",$S$3:$AE$63,MATCH(BR$3,$S$3:$AE$3,0),FALSE))*$BL49/VLOOKUP(VLOOKUP($BJ49,坦克个性化设定!$B$18:$E$48,4,FALSE)&amp;$BK49,坦克属性分配比例,MATCH("升星次数",坦克属性分配比例标头,0),FALSE),0)</f>
        <v>144</v>
      </c>
      <c r="BS49" s="2">
        <f>ROUND(VLOOKUP($BJ49,$AI$3:$AO$33,MATCH(BS$3,$AI$3:$AO$3,0),FALSE)+$BL49/VLOOKUP(VLOOKUP($BJ49,坦克个性化设定!$B$18:$E$48,4,FALSE)&amp;$BK49,坦克属性分配比例,MATCH("升星次数",坦克属性分配比例标头,0),FALSE)*VLOOKUP($BJ49,$AR$3:$AY$33,MATCH(BS$3,$AR$3:$AY$3,0),FALSE),1)</f>
        <v>42.9</v>
      </c>
      <c r="BT49" s="2">
        <f>ROUND(VLOOKUP($BJ49,$AI$3:$AO$33,MATCH(BT$3,$AI$3:$AO$3,0),FALSE)+$BL49/VLOOKUP(VLOOKUP($BJ49,坦克个性化设定!$B$18:$E$48,4,FALSE)&amp;$BK49,坦克属性分配比例,MATCH("升星次数",坦克属性分配比例标头,0),FALSE)*VLOOKUP($BJ49,$AR$3:$AY$33,MATCH(BT$3,$AR$3:$AY$3,0),FALSE),1)</f>
        <v>64</v>
      </c>
      <c r="BU49" s="2">
        <f>ROUND(VLOOKUP($BJ49,$AI$3:$AO$33,MATCH(BU$3,$AI$3:$AO$3,0),FALSE)+$BL49/VLOOKUP(VLOOKUP($BJ49,坦克个性化设定!$B$18:$E$48,4,FALSE)&amp;$BK49,坦克属性分配比例,MATCH("升星次数",坦克属性分配比例标头,0),FALSE)*VLOOKUP($BJ49,$AR$3:$AY$33,MATCH(BU$3,$AR$3:$AY$3,0),FALSE),1)</f>
        <v>9.9</v>
      </c>
      <c r="BV49" s="2">
        <f>IF(VLOOKUP(BJ49,坦克个性化设定!$B$18:$BC$48,MATCH("装弹类型",坦克个性化设定!$B$18:$BC$18,0),FALSE)="弹夹换弹",0,ROUND(VLOOKUP($BJ49,$AI$3:$AO$33,MATCH("换弹时间",$AI$3:$AO$3,0),FALSE)-$BL49/VLOOKUP(VLOOKUP($BJ49,坦克个性化设定!$B$18:$E$48,4,FALSE)&amp;$BK49,坦克属性分配比例,MATCH("升星次数",坦克属性分配比例标头,0),FALSE)*VLOOKUP($BJ49,$AR$3:$AY$33,MATCH("换弹时间",$AR$3:$AY$3,0),FALSE),2))</f>
        <v>0</v>
      </c>
      <c r="BW49" s="2">
        <f>IF(VLOOKUP(BJ49,坦克个性化设定!$B$18:$BC$48,MATCH("装弹类型",坦克个性化设定!$B$18:$BC$18,0),FALSE)="弹夹换弹",ROUND(VLOOKUP($BJ49,$AI$3:$AO$33,MATCH("换弹时间",$AI$3:$AO$3,0),FALSE)-$BL49/VLOOKUP(VLOOKUP($BJ49,坦克个性化设定!$B$18:$E$48,4,FALSE)&amp;$BK49,坦克属性分配比例,MATCH("升星次数",坦克属性分配比例标头,0),FALSE)*VLOOKUP($BJ49,$AR$3:$AY$33,MATCH("换弹时间",$AR$3:$AY$3,0),FALSE),1),0)</f>
        <v>5.6</v>
      </c>
      <c r="BX49" s="2">
        <f>ROUND(VLOOKUP($BJ49,$AI$3:$AO$33,MATCH(BX$3,$AI$3:$AO$3,0),FALSE)+$BL49/VLOOKUP(VLOOKUP($BJ49,坦克个性化设定!$B$18:$E$48,4,FALSE)&amp;$BK49,坦克属性分配比例,MATCH("升星次数",坦克属性分配比例标头,0),FALSE)*VLOOKUP($BJ49,$AR$3:$AY$33,MATCH(BX$3,$AR$3:$AY$3,0),FALSE),2)</f>
        <v>0.8</v>
      </c>
      <c r="BY49" s="2">
        <f>ROUND(VLOOKUP($BJ49,$AI$3:$AO$33,MATCH(BY$3,$AI$3:$AO$3,0),FALSE)-$BL49/VLOOKUP(VLOOKUP($BJ49,坦克个性化设定!$B$18:$E$48,4,FALSE)&amp;$BK49,坦克属性分配比例,MATCH("升星次数",坦克属性分配比例标头,0),FALSE)*VLOOKUP($BJ49,$AR$3:$AY$33,MATCH(BY$3,$AR$3:$AY$3,0),FALSE),2)</f>
        <v>0.49</v>
      </c>
    </row>
    <row r="50" spans="19:77" x14ac:dyDescent="0.3">
      <c r="S50" s="2" t="str">
        <f t="shared" si="19"/>
        <v>黑豹初始</v>
      </c>
      <c r="T50" s="2">
        <f>IF(COUNTIF(U$4:U49,U49)&gt;=$B$3,T49+1,T49)</f>
        <v>24</v>
      </c>
      <c r="U50" s="2" t="str">
        <f t="shared" si="20"/>
        <v>黑豹</v>
      </c>
      <c r="V50" s="2" t="str">
        <f>VLOOKUP(U50,坦克个性化设定!$B$18:$F$48,5,FALSE)</f>
        <v>重坦单发</v>
      </c>
      <c r="W50" s="29" t="str">
        <f>VLOOKUP(U50,坦克个性化细分!$I$3:$J$33,2,FALSE)</f>
        <v>低</v>
      </c>
      <c r="X50" s="2" t="str">
        <f t="shared" si="21"/>
        <v>初始</v>
      </c>
      <c r="Y50" s="2" t="str">
        <f>VLOOKUP(VLOOKUP(U50,坦克个性化设定!$B$18:$F$48,4,FALSE)&amp;W50,坦克等级成长!$P$12:$U$24,MATCH(X50,坦克等级成长!$P$12:$U$12,0),FALSE)</f>
        <v>T3低3</v>
      </c>
      <c r="Z50" s="42">
        <f ca="1">VLOOKUP($Y50,INDIRECT($V50&amp;"_阶段属性"),MATCH(Z$3,属性标头_阶段属性,0),FALSE)*VLOOKUP($U50,坦克个性化设定!$B$84:$D$114,2,FALSE)</f>
        <v>1455.6715768702209</v>
      </c>
      <c r="AA50" s="42">
        <f ca="1">VLOOKUP($Y50,INDIRECT($V50&amp;"_阶段属性"),MATCH(AA$3,属性标头_阶段属性,0),FALSE)*VLOOKUP($U50,坦克个性化设定!$B$84:$D$114,3,FALSE)</f>
        <v>521.23845244774327</v>
      </c>
      <c r="AB50" s="2">
        <f t="shared" ca="1" si="22"/>
        <v>465</v>
      </c>
      <c r="AC50" s="2">
        <f t="shared" ca="1" si="22"/>
        <v>372</v>
      </c>
      <c r="AD50" s="2">
        <f t="shared" ca="1" si="22"/>
        <v>622</v>
      </c>
      <c r="AE50" s="2">
        <f t="shared" ca="1" si="22"/>
        <v>145</v>
      </c>
      <c r="AF50" s="25"/>
      <c r="BH50" s="2" t="str">
        <f t="shared" si="13"/>
        <v>AMX-134</v>
      </c>
      <c r="BI50" s="2">
        <f>IF(BL49&gt;=VLOOKUP(VLOOKUP(BJ49,坦克个性化设定!$B$18:$E$48,4,FALSE)&amp;BK49,坦克属性分配比例,MATCH("升星次数",坦克属性分配比例标头,0),FALSE),BI49+1,BI49)</f>
        <v>6</v>
      </c>
      <c r="BJ50" s="2" t="str">
        <f t="shared" si="14"/>
        <v>AMX-13</v>
      </c>
      <c r="BK50" s="29" t="str">
        <f>VLOOKUP(BJ50,坦克个性化细分!$I$3:$J$33,2,FALSE)</f>
        <v>高</v>
      </c>
      <c r="BL50" s="2">
        <f t="shared" si="7"/>
        <v>4</v>
      </c>
      <c r="BM50" s="103">
        <f ca="1">ROUND(VLOOKUP($BJ50&amp;"初始",$S$3:$AE$63,MATCH(BM$3,$S$3:$AE$3,0),FALSE)+((VLOOKUP($BJ50&amp;"最终",$S$3:$AE$63,MATCH(BM$3,$S$3:$AE$3,0),FALSE)*坦克个性化细分!$C$9-VLOOKUP($BJ50&amp;"初始",$S$3:$AE$63,MATCH(BM$3,$S$3:$AE$3,0),FALSE))-(VLOOKUP($BJ50&amp;"最终",$S$3:$AE$63,MATCH(BM$3,$S$3:$AE$3,0),FALSE)-VLOOKUP($BJ50&amp;"初始",$S$3:$AE$63,MATCH(BM$3,$S$3:$AE$3,0),FALSE))*VLOOKUP(VLOOKUP($BJ50,坦克个性化设定!$B$18:$E$48,4,FALSE)&amp;$BK50,坦克属性分配比例,MATCH("部件比例",坦克属性分配比例标头,0),FALSE))*$BL50/VLOOKUP(VLOOKUP($BJ50,坦克个性化设定!$B$18:$E$48,4,FALSE)&amp;$BK50,坦克属性分配比例,MATCH("升星次数",坦克属性分配比例标头,0),FALSE),0)</f>
        <v>1434</v>
      </c>
      <c r="BN50" s="103">
        <f ca="1">ROUND(VLOOKUP($BJ50&amp;"初始",$S$3:$AE$63,MATCH(BN$3,$S$3:$AE$3,0),FALSE)+(VLOOKUP($BJ50&amp;"最终",$S$3:$AE$63,MATCH(BN$3,$S$3:$AE$3,0),FALSE)-VLOOKUP($BJ50&amp;"初始",$S$3:$AE$63,MATCH(BN$3,$S$3:$AE$3,0),FALSE))*$BL50/VLOOKUP(VLOOKUP($BJ50,坦克个性化设定!$B$18:$E$48,4,FALSE)&amp;$BK50,坦克属性分配比例,MATCH("升星次数",坦克属性分配比例标头,0),FALSE)*VLOOKUP(VLOOKUP($BJ50,坦克个性化设定!$B$18:$E$48,4,FALSE)&amp;$BK50,坦克属性分配比例,MATCH("升星比例",坦克属性分配比例标头,0),FALSE),0)</f>
        <v>108</v>
      </c>
      <c r="BO50" s="103">
        <f ca="1">ROUND(VLOOKUP($BJ50&amp;"初始",$S$3:$AE$63,MATCH(BO$3,$S$3:$AE$3,0),FALSE)+(VLOOKUP($BJ50&amp;"最终",$S$3:$AE$63,MATCH(BO$3,$S$3:$AE$3,0),FALSE)-VLOOKUP($BJ50&amp;"初始",$S$3:$AE$63,MATCH(BO$3,$S$3:$AE$3,0),FALSE))*$BL50/VLOOKUP(VLOOKUP($BJ50,坦克个性化设定!$B$18:$E$48,4,FALSE)&amp;$BK50,坦克属性分配比例,MATCH("升星次数",坦克属性分配比例标头,0),FALSE)*(VLOOKUP(VLOOKUP($BJ50,坦克个性化设定!$B$18:$E$48,4,FALSE)&amp;$BK50,坦克属性分配比例,MATCH("升星比例",坦克属性分配比例标头,0),FALSE)+VLOOKUP(VLOOKUP($BJ50,坦克个性化设定!$B$18:$E$48,4,FALSE)&amp;$BK50,坦克属性分配比例,MATCH("部件比例",坦克属性分配比例标头,0),FALSE)*$C$3),0)</f>
        <v>603</v>
      </c>
      <c r="BP50" s="103">
        <f ca="1">ROUND(VLOOKUP($BJ50&amp;"初始",$S$3:$AE$63,MATCH(BP$3,$S$3:$AE$3,0),FALSE)+(VLOOKUP($BJ50&amp;"最终",$S$3:$AE$63,MATCH(BP$3,$S$3:$AE$3,0),FALSE)-VLOOKUP($BJ50&amp;"初始",$S$3:$AE$63,MATCH(BP$3,$S$3:$AE$3,0),FALSE))*$BL50/VLOOKUP(VLOOKUP($BJ50,坦克个性化设定!$B$18:$E$48,4,FALSE)&amp;$BK50,坦克属性分配比例,MATCH("升星次数",坦克属性分配比例标头,0),FALSE)*(VLOOKUP(VLOOKUP($BJ50,坦克个性化设定!$B$18:$E$48,4,FALSE)&amp;$BK50,坦克属性分配比例,MATCH("升星比例",坦克属性分配比例标头,0),FALSE)+VLOOKUP(VLOOKUP($BJ50,坦克个性化设定!$B$18:$E$48,4,FALSE)&amp;$BK50,坦克属性分配比例,MATCH("部件比例",坦克属性分配比例标头,0),FALSE)*$C$3),0)</f>
        <v>422</v>
      </c>
      <c r="BQ50" s="103">
        <f ca="1">ROUND(VLOOKUP($BJ50&amp;"初始",$S$3:$AE$63,MATCH(BQ$3,$S$3:$AE$3,0),FALSE)+(VLOOKUP($BJ50&amp;"最终",$S$3:$AE$63,MATCH(BQ$3,$S$3:$AE$3,0),FALSE)-VLOOKUP($BJ50&amp;"初始",$S$3:$AE$63,MATCH(BQ$3,$S$3:$AE$3,0),FALSE))*$BL50/VLOOKUP(VLOOKUP($BJ50,坦克个性化设定!$B$18:$E$48,4,FALSE)&amp;$BK50,坦克属性分配比例,MATCH("升星次数",坦克属性分配比例标头,0),FALSE)*VLOOKUP(VLOOKUP($BJ50,坦克个性化设定!$B$18:$E$48,4,FALSE)&amp;$BK50,坦克属性分配比例,MATCH("升星比例",坦克属性分配比例标头,0),FALSE),0)</f>
        <v>525</v>
      </c>
      <c r="BR50" s="2">
        <f ca="1">ROUND(VLOOKUP($BJ50&amp;"初始",$S$3:$AE$63,MATCH(BR$3,$S$3:$AE$3,0),FALSE)+(VLOOKUP($BJ50&amp;"最终",$S$3:$AE$63,MATCH(BR$3,$S$3:$AE$3,0),FALSE)-VLOOKUP($BJ50&amp;"初始",$S$3:$AE$63,MATCH(BR$3,$S$3:$AE$3,0),FALSE))*$BL50/VLOOKUP(VLOOKUP($BJ50,坦克个性化设定!$B$18:$E$48,4,FALSE)&amp;$BK50,坦克属性分配比例,MATCH("升星次数",坦克属性分配比例标头,0),FALSE),0)</f>
        <v>151</v>
      </c>
      <c r="BS50" s="2">
        <f>ROUND(VLOOKUP($BJ50,$AI$3:$AO$33,MATCH(BS$3,$AI$3:$AO$3,0),FALSE)+$BL50/VLOOKUP(VLOOKUP($BJ50,坦克个性化设定!$B$18:$E$48,4,FALSE)&amp;$BK50,坦克属性分配比例,MATCH("升星次数",坦克属性分配比例标头,0),FALSE)*VLOOKUP($BJ50,$AR$3:$AY$33,MATCH(BS$3,$AR$3:$AY$3,0),FALSE),1)</f>
        <v>44</v>
      </c>
      <c r="BT50" s="2">
        <f>ROUND(VLOOKUP($BJ50,$AI$3:$AO$33,MATCH(BT$3,$AI$3:$AO$3,0),FALSE)+$BL50/VLOOKUP(VLOOKUP($BJ50,坦克个性化设定!$B$18:$E$48,4,FALSE)&amp;$BK50,坦克属性分配比例,MATCH("升星次数",坦克属性分配比例标头,0),FALSE)*VLOOKUP($BJ50,$AR$3:$AY$33,MATCH(BT$3,$AR$3:$AY$3,0),FALSE),1)</f>
        <v>65.7</v>
      </c>
      <c r="BU50" s="2">
        <f>ROUND(VLOOKUP($BJ50,$AI$3:$AO$33,MATCH(BU$3,$AI$3:$AO$3,0),FALSE)+$BL50/VLOOKUP(VLOOKUP($BJ50,坦克个性化设定!$B$18:$E$48,4,FALSE)&amp;$BK50,坦克属性分配比例,MATCH("升星次数",坦克属性分配比例标头,0),FALSE)*VLOOKUP($BJ50,$AR$3:$AY$33,MATCH(BU$3,$AR$3:$AY$3,0),FALSE),1)</f>
        <v>9.9</v>
      </c>
      <c r="BV50" s="2">
        <f>IF(VLOOKUP(BJ50,坦克个性化设定!$B$18:$BC$48,MATCH("装弹类型",坦克个性化设定!$B$18:$BC$18,0),FALSE)="弹夹换弹",0,ROUND(VLOOKUP($BJ50,$AI$3:$AO$33,MATCH("换弹时间",$AI$3:$AO$3,0),FALSE)-$BL50/VLOOKUP(VLOOKUP($BJ50,坦克个性化设定!$B$18:$E$48,4,FALSE)&amp;$BK50,坦克属性分配比例,MATCH("升星次数",坦克属性分配比例标头,0),FALSE)*VLOOKUP($BJ50,$AR$3:$AY$33,MATCH("换弹时间",$AR$3:$AY$3,0),FALSE),2))</f>
        <v>0</v>
      </c>
      <c r="BW50" s="2">
        <f>IF(VLOOKUP(BJ50,坦克个性化设定!$B$18:$BC$48,MATCH("装弹类型",坦克个性化设定!$B$18:$BC$18,0),FALSE)="弹夹换弹",ROUND(VLOOKUP($BJ50,$AI$3:$AO$33,MATCH("换弹时间",$AI$3:$AO$3,0),FALSE)-$BL50/VLOOKUP(VLOOKUP($BJ50,坦克个性化设定!$B$18:$E$48,4,FALSE)&amp;$BK50,坦克属性分配比例,MATCH("升星次数",坦克属性分配比例标头,0),FALSE)*VLOOKUP($BJ50,$AR$3:$AY$33,MATCH("换弹时间",$AR$3:$AY$3,0),FALSE),1),0)</f>
        <v>5.4</v>
      </c>
      <c r="BX50" s="2">
        <f>ROUND(VLOOKUP($BJ50,$AI$3:$AO$33,MATCH(BX$3,$AI$3:$AO$3,0),FALSE)+$BL50/VLOOKUP(VLOOKUP($BJ50,坦克个性化设定!$B$18:$E$48,4,FALSE)&amp;$BK50,坦克属性分配比例,MATCH("升星次数",坦克属性分配比例标头,0),FALSE)*VLOOKUP($BJ50,$AR$3:$AY$33,MATCH(BX$3,$AR$3:$AY$3,0),FALSE),2)</f>
        <v>0.8</v>
      </c>
      <c r="BY50" s="2">
        <f>ROUND(VLOOKUP($BJ50,$AI$3:$AO$33,MATCH(BY$3,$AI$3:$AO$3,0),FALSE)-$BL50/VLOOKUP(VLOOKUP($BJ50,坦克个性化设定!$B$18:$E$48,4,FALSE)&amp;$BK50,坦克属性分配比例,MATCH("升星次数",坦克属性分配比例标头,0),FALSE)*VLOOKUP($BJ50,$AR$3:$AY$33,MATCH(BY$3,$AR$3:$AY$3,0),FALSE),2)</f>
        <v>0.48</v>
      </c>
    </row>
    <row r="51" spans="19:77" x14ac:dyDescent="0.3">
      <c r="S51" s="2" t="str">
        <f t="shared" si="19"/>
        <v>黑豹最终</v>
      </c>
      <c r="T51" s="2">
        <f>IF(COUNTIF(U$4:U50,U50)&gt;=$B$3,T50+1,T50)</f>
        <v>24</v>
      </c>
      <c r="U51" s="2" t="str">
        <f t="shared" si="20"/>
        <v>黑豹</v>
      </c>
      <c r="V51" s="2" t="str">
        <f>VLOOKUP(U51,坦克个性化设定!$B$18:$F$48,5,FALSE)</f>
        <v>重坦单发</v>
      </c>
      <c r="W51" s="29" t="str">
        <f>VLOOKUP(U51,坦克个性化细分!$I$3:$J$33,2,FALSE)</f>
        <v>低</v>
      </c>
      <c r="X51" s="2" t="str">
        <f t="shared" si="21"/>
        <v>最终</v>
      </c>
      <c r="Y51" s="2" t="str">
        <f>VLOOKUP(VLOOKUP(U51,坦克个性化设定!$B$18:$F$48,4,FALSE)&amp;W51,坦克等级成长!$P$12:$U$24,MATCH(X51,坦克等级成长!$P$12:$U$12,0),FALSE)</f>
        <v>T3低5</v>
      </c>
      <c r="Z51" s="42">
        <f ca="1">VLOOKUP($Y51,INDIRECT($V51&amp;"_阶段属性"),MATCH(Z$3,属性标头_阶段属性,0),FALSE)*VLOOKUP($U51,坦克个性化设定!$B$84:$D$114,2,FALSE)</f>
        <v>2085.9934544238317</v>
      </c>
      <c r="AA51" s="42">
        <f ca="1">VLOOKUP($Y51,INDIRECT($V51&amp;"_阶段属性"),MATCH(AA$3,属性标头_阶段属性,0),FALSE)*VLOOKUP($U51,坦克个性化设定!$B$84:$D$114,3,FALSE)</f>
        <v>764.94727086319574</v>
      </c>
      <c r="AB51" s="2">
        <f t="shared" ca="1" si="22"/>
        <v>682</v>
      </c>
      <c r="AC51" s="2">
        <f t="shared" ca="1" si="22"/>
        <v>546</v>
      </c>
      <c r="AD51" s="2">
        <f t="shared" ca="1" si="22"/>
        <v>911</v>
      </c>
      <c r="AE51" s="2">
        <f t="shared" ca="1" si="22"/>
        <v>212</v>
      </c>
      <c r="AF51" s="25"/>
      <c r="BH51" s="2" t="str">
        <f t="shared" si="13"/>
        <v>AMX-135</v>
      </c>
      <c r="BI51" s="2">
        <f>IF(BL50&gt;=VLOOKUP(VLOOKUP(BJ50,坦克个性化设定!$B$18:$E$48,4,FALSE)&amp;BK50,坦克属性分配比例,MATCH("升星次数",坦克属性分配比例标头,0),FALSE),BI50+1,BI50)</f>
        <v>6</v>
      </c>
      <c r="BJ51" s="2" t="str">
        <f t="shared" si="14"/>
        <v>AMX-13</v>
      </c>
      <c r="BK51" s="29" t="str">
        <f>VLOOKUP(BJ51,坦克个性化细分!$I$3:$J$33,2,FALSE)</f>
        <v>高</v>
      </c>
      <c r="BL51" s="2">
        <f t="shared" si="7"/>
        <v>5</v>
      </c>
      <c r="BM51" s="103">
        <f ca="1">ROUND(VLOOKUP($BJ51&amp;"初始",$S$3:$AE$63,MATCH(BM$3,$S$3:$AE$3,0),FALSE)+((VLOOKUP($BJ51&amp;"最终",$S$3:$AE$63,MATCH(BM$3,$S$3:$AE$3,0),FALSE)*坦克个性化细分!$C$9-VLOOKUP($BJ51&amp;"初始",$S$3:$AE$63,MATCH(BM$3,$S$3:$AE$3,0),FALSE))-(VLOOKUP($BJ51&amp;"最终",$S$3:$AE$63,MATCH(BM$3,$S$3:$AE$3,0),FALSE)-VLOOKUP($BJ51&amp;"初始",$S$3:$AE$63,MATCH(BM$3,$S$3:$AE$3,0),FALSE))*VLOOKUP(VLOOKUP($BJ51,坦克个性化设定!$B$18:$E$48,4,FALSE)&amp;$BK51,坦克属性分配比例,MATCH("部件比例",坦克属性分配比例标头,0),FALSE))*$BL51/VLOOKUP(VLOOKUP($BJ51,坦克个性化设定!$B$18:$E$48,4,FALSE)&amp;$BK51,坦克属性分配比例,MATCH("升星次数",坦克属性分配比例标头,0),FALSE),0)</f>
        <v>1500</v>
      </c>
      <c r="BN51" s="103">
        <f ca="1">ROUND(VLOOKUP($BJ51&amp;"初始",$S$3:$AE$63,MATCH(BN$3,$S$3:$AE$3,0),FALSE)+(VLOOKUP($BJ51&amp;"最终",$S$3:$AE$63,MATCH(BN$3,$S$3:$AE$3,0),FALSE)-VLOOKUP($BJ51&amp;"初始",$S$3:$AE$63,MATCH(BN$3,$S$3:$AE$3,0),FALSE))*$BL51/VLOOKUP(VLOOKUP($BJ51,坦克个性化设定!$B$18:$E$48,4,FALSE)&amp;$BK51,坦克属性分配比例,MATCH("升星次数",坦克属性分配比例标头,0),FALSE)*VLOOKUP(VLOOKUP($BJ51,坦克个性化设定!$B$18:$E$48,4,FALSE)&amp;$BK51,坦克属性分配比例,MATCH("升星比例",坦克属性分配比例标头,0),FALSE),0)</f>
        <v>112</v>
      </c>
      <c r="BO51" s="103">
        <f ca="1">ROUND(VLOOKUP($BJ51&amp;"初始",$S$3:$AE$63,MATCH(BO$3,$S$3:$AE$3,0),FALSE)+(VLOOKUP($BJ51&amp;"最终",$S$3:$AE$63,MATCH(BO$3,$S$3:$AE$3,0),FALSE)-VLOOKUP($BJ51&amp;"初始",$S$3:$AE$63,MATCH(BO$3,$S$3:$AE$3,0),FALSE))*$BL51/VLOOKUP(VLOOKUP($BJ51,坦克个性化设定!$B$18:$E$48,4,FALSE)&amp;$BK51,坦克属性分配比例,MATCH("升星次数",坦克属性分配比例标头,0),FALSE)*(VLOOKUP(VLOOKUP($BJ51,坦克个性化设定!$B$18:$E$48,4,FALSE)&amp;$BK51,坦克属性分配比例,MATCH("升星比例",坦克属性分配比例标头,0),FALSE)+VLOOKUP(VLOOKUP($BJ51,坦克个性化设定!$B$18:$E$48,4,FALSE)&amp;$BK51,坦克属性分配比例,MATCH("部件比例",坦克属性分配比例标头,0),FALSE)*$C$3),0)</f>
        <v>627</v>
      </c>
      <c r="BP51" s="103">
        <f ca="1">ROUND(VLOOKUP($BJ51&amp;"初始",$S$3:$AE$63,MATCH(BP$3,$S$3:$AE$3,0),FALSE)+(VLOOKUP($BJ51&amp;"最终",$S$3:$AE$63,MATCH(BP$3,$S$3:$AE$3,0),FALSE)-VLOOKUP($BJ51&amp;"初始",$S$3:$AE$63,MATCH(BP$3,$S$3:$AE$3,0),FALSE))*$BL51/VLOOKUP(VLOOKUP($BJ51,坦克个性化设定!$B$18:$E$48,4,FALSE)&amp;$BK51,坦克属性分配比例,MATCH("升星次数",坦克属性分配比例标头,0),FALSE)*(VLOOKUP(VLOOKUP($BJ51,坦克个性化设定!$B$18:$E$48,4,FALSE)&amp;$BK51,坦克属性分配比例,MATCH("升星比例",坦克属性分配比例标头,0),FALSE)+VLOOKUP(VLOOKUP($BJ51,坦克个性化设定!$B$18:$E$48,4,FALSE)&amp;$BK51,坦克属性分配比例,MATCH("部件比例",坦克属性分配比例标头,0),FALSE)*$C$3),0)</f>
        <v>439</v>
      </c>
      <c r="BQ51" s="103">
        <f ca="1">ROUND(VLOOKUP($BJ51&amp;"初始",$S$3:$AE$63,MATCH(BQ$3,$S$3:$AE$3,0),FALSE)+(VLOOKUP($BJ51&amp;"最终",$S$3:$AE$63,MATCH(BQ$3,$S$3:$AE$3,0),FALSE)-VLOOKUP($BJ51&amp;"初始",$S$3:$AE$63,MATCH(BQ$3,$S$3:$AE$3,0),FALSE))*$BL51/VLOOKUP(VLOOKUP($BJ51,坦克个性化设定!$B$18:$E$48,4,FALSE)&amp;$BK51,坦克属性分配比例,MATCH("升星次数",坦克属性分配比例标头,0),FALSE)*VLOOKUP(VLOOKUP($BJ51,坦克个性化设定!$B$18:$E$48,4,FALSE)&amp;$BK51,坦克属性分配比例,MATCH("升星比例",坦克属性分配比例标头,0),FALSE),0)</f>
        <v>541</v>
      </c>
      <c r="BR51" s="2">
        <f ca="1">ROUND(VLOOKUP($BJ51&amp;"初始",$S$3:$AE$63,MATCH(BR$3,$S$3:$AE$3,0),FALSE)+(VLOOKUP($BJ51&amp;"最终",$S$3:$AE$63,MATCH(BR$3,$S$3:$AE$3,0),FALSE)-VLOOKUP($BJ51&amp;"初始",$S$3:$AE$63,MATCH(BR$3,$S$3:$AE$3,0),FALSE))*$BL51/VLOOKUP(VLOOKUP($BJ51,坦克个性化设定!$B$18:$E$48,4,FALSE)&amp;$BK51,坦克属性分配比例,MATCH("升星次数",坦克属性分配比例标头,0),FALSE),0)</f>
        <v>158</v>
      </c>
      <c r="BS51" s="2">
        <f>ROUND(VLOOKUP($BJ51,$AI$3:$AO$33,MATCH(BS$3,$AI$3:$AO$3,0),FALSE)+$BL51/VLOOKUP(VLOOKUP($BJ51,坦克个性化设定!$B$18:$E$48,4,FALSE)&amp;$BK51,坦克属性分配比例,MATCH("升星次数",坦克属性分配比例标头,0),FALSE)*VLOOKUP($BJ51,$AR$3:$AY$33,MATCH(BS$3,$AR$3:$AY$3,0),FALSE),1)</f>
        <v>45.1</v>
      </c>
      <c r="BT51" s="2">
        <f>ROUND(VLOOKUP($BJ51,$AI$3:$AO$33,MATCH(BT$3,$AI$3:$AO$3,0),FALSE)+$BL51/VLOOKUP(VLOOKUP($BJ51,坦克个性化设定!$B$18:$E$48,4,FALSE)&amp;$BK51,坦克属性分配比例,MATCH("升星次数",坦克属性分配比例标头,0),FALSE)*VLOOKUP($BJ51,$AR$3:$AY$33,MATCH(BT$3,$AR$3:$AY$3,0),FALSE),1)</f>
        <v>67.3</v>
      </c>
      <c r="BU51" s="2">
        <f>ROUND(VLOOKUP($BJ51,$AI$3:$AO$33,MATCH(BU$3,$AI$3:$AO$3,0),FALSE)+$BL51/VLOOKUP(VLOOKUP($BJ51,坦克个性化设定!$B$18:$E$48,4,FALSE)&amp;$BK51,坦克属性分配比例,MATCH("升星次数",坦克属性分配比例标头,0),FALSE)*VLOOKUP($BJ51,$AR$3:$AY$33,MATCH(BU$3,$AR$3:$AY$3,0),FALSE),1)</f>
        <v>9.9</v>
      </c>
      <c r="BV51" s="2">
        <f>IF(VLOOKUP(BJ51,坦克个性化设定!$B$18:$BC$48,MATCH("装弹类型",坦克个性化设定!$B$18:$BC$18,0),FALSE)="弹夹换弹",0,ROUND(VLOOKUP($BJ51,$AI$3:$AO$33,MATCH("换弹时间",$AI$3:$AO$3,0),FALSE)-$BL51/VLOOKUP(VLOOKUP($BJ51,坦克个性化设定!$B$18:$E$48,4,FALSE)&amp;$BK51,坦克属性分配比例,MATCH("升星次数",坦克属性分配比例标头,0),FALSE)*VLOOKUP($BJ51,$AR$3:$AY$33,MATCH("换弹时间",$AR$3:$AY$3,0),FALSE),2))</f>
        <v>0</v>
      </c>
      <c r="BW51" s="2">
        <f>IF(VLOOKUP(BJ51,坦克个性化设定!$B$18:$BC$48,MATCH("装弹类型",坦克个性化设定!$B$18:$BC$18,0),FALSE)="弹夹换弹",ROUND(VLOOKUP($BJ51,$AI$3:$AO$33,MATCH("换弹时间",$AI$3:$AO$3,0),FALSE)-$BL51/VLOOKUP(VLOOKUP($BJ51,坦克个性化设定!$B$18:$E$48,4,FALSE)&amp;$BK51,坦克属性分配比例,MATCH("升星次数",坦克属性分配比例标头,0),FALSE)*VLOOKUP($BJ51,$AR$3:$AY$33,MATCH("换弹时间",$AR$3:$AY$3,0),FALSE),1),0)</f>
        <v>5.2</v>
      </c>
      <c r="BX51" s="2">
        <f>ROUND(VLOOKUP($BJ51,$AI$3:$AO$33,MATCH(BX$3,$AI$3:$AO$3,0),FALSE)+$BL51/VLOOKUP(VLOOKUP($BJ51,坦克个性化设定!$B$18:$E$48,4,FALSE)&amp;$BK51,坦克属性分配比例,MATCH("升星次数",坦克属性分配比例标头,0),FALSE)*VLOOKUP($BJ51,$AR$3:$AY$33,MATCH(BX$3,$AR$3:$AY$3,0),FALSE),2)</f>
        <v>0.8</v>
      </c>
      <c r="BY51" s="2">
        <f>ROUND(VLOOKUP($BJ51,$AI$3:$AO$33,MATCH(BY$3,$AI$3:$AO$3,0),FALSE)-$BL51/VLOOKUP(VLOOKUP($BJ51,坦克个性化设定!$B$18:$E$48,4,FALSE)&amp;$BK51,坦克属性分配比例,MATCH("升星次数",坦克属性分配比例标头,0),FALSE)*VLOOKUP($BJ51,$AR$3:$AY$33,MATCH(BY$3,$AR$3:$AY$3,0),FALSE),2)</f>
        <v>0.47</v>
      </c>
    </row>
    <row r="52" spans="19:77" x14ac:dyDescent="0.3">
      <c r="S52" s="2" t="str">
        <f t="shared" si="19"/>
        <v>虎式初始</v>
      </c>
      <c r="T52" s="2">
        <f>IF(COUNTIF(U$4:U51,U51)&gt;=$B$3,T51+1,T51)</f>
        <v>25</v>
      </c>
      <c r="U52" s="2" t="str">
        <f t="shared" si="20"/>
        <v>虎式</v>
      </c>
      <c r="V52" s="2" t="str">
        <f>VLOOKUP(U52,坦克个性化设定!$B$18:$F$48,5,FALSE)</f>
        <v>重坦单发</v>
      </c>
      <c r="W52" s="29" t="str">
        <f>VLOOKUP(U52,坦克个性化细分!$I$3:$J$33,2,FALSE)</f>
        <v>中</v>
      </c>
      <c r="X52" s="2" t="str">
        <f t="shared" si="21"/>
        <v>初始</v>
      </c>
      <c r="Y52" s="2" t="str">
        <f>VLOOKUP(VLOOKUP(U52,坦克个性化设定!$B$18:$F$48,4,FALSE)&amp;W52,坦克等级成长!$P$12:$U$24,MATCH(X52,坦克等级成长!$P$12:$U$12,0),FALSE)</f>
        <v>T3中3</v>
      </c>
      <c r="Z52" s="42">
        <f ca="1">VLOOKUP($Y52,INDIRECT($V52&amp;"_阶段属性"),MATCH(Z$3,属性标头_阶段属性,0),FALSE)*VLOOKUP($U52,坦克个性化设定!$B$84:$D$114,2,FALSE)</f>
        <v>1455.0714526341708</v>
      </c>
      <c r="AA52" s="42">
        <f ca="1">VLOOKUP($Y52,INDIRECT($V52&amp;"_阶段属性"),MATCH(AA$3,属性标头_阶段属性,0),FALSE)*VLOOKUP($U52,坦克个性化设定!$B$84:$D$114,3,FALSE)</f>
        <v>565.48563200137994</v>
      </c>
      <c r="AB52" s="2">
        <f t="shared" ca="1" si="22"/>
        <v>484</v>
      </c>
      <c r="AC52" s="2">
        <f t="shared" ca="1" si="22"/>
        <v>387</v>
      </c>
      <c r="AD52" s="2">
        <f t="shared" ca="1" si="22"/>
        <v>647</v>
      </c>
      <c r="AE52" s="2">
        <f t="shared" ca="1" si="22"/>
        <v>151</v>
      </c>
      <c r="AF52" s="25"/>
      <c r="BH52" s="2" t="str">
        <f t="shared" si="13"/>
        <v>AMX-136</v>
      </c>
      <c r="BI52" s="2">
        <f>IF(BL51&gt;=VLOOKUP(VLOOKUP(BJ51,坦克个性化设定!$B$18:$E$48,4,FALSE)&amp;BK51,坦克属性分配比例,MATCH("升星次数",坦克属性分配比例标头,0),FALSE),BI51+1,BI51)</f>
        <v>6</v>
      </c>
      <c r="BJ52" s="2" t="str">
        <f t="shared" si="14"/>
        <v>AMX-13</v>
      </c>
      <c r="BK52" s="29" t="str">
        <f>VLOOKUP(BJ52,坦克个性化细分!$I$3:$J$33,2,FALSE)</f>
        <v>高</v>
      </c>
      <c r="BL52" s="2">
        <f t="shared" si="7"/>
        <v>6</v>
      </c>
      <c r="BM52" s="103">
        <f ca="1">ROUND(VLOOKUP($BJ52&amp;"初始",$S$3:$AE$63,MATCH(BM$3,$S$3:$AE$3,0),FALSE)+((VLOOKUP($BJ52&amp;"最终",$S$3:$AE$63,MATCH(BM$3,$S$3:$AE$3,0),FALSE)*坦克个性化细分!$C$9-VLOOKUP($BJ52&amp;"初始",$S$3:$AE$63,MATCH(BM$3,$S$3:$AE$3,0),FALSE))-(VLOOKUP($BJ52&amp;"最终",$S$3:$AE$63,MATCH(BM$3,$S$3:$AE$3,0),FALSE)-VLOOKUP($BJ52&amp;"初始",$S$3:$AE$63,MATCH(BM$3,$S$3:$AE$3,0),FALSE))*VLOOKUP(VLOOKUP($BJ52,坦克个性化设定!$B$18:$E$48,4,FALSE)&amp;$BK52,坦克属性分配比例,MATCH("部件比例",坦克属性分配比例标头,0),FALSE))*$BL52/VLOOKUP(VLOOKUP($BJ52,坦克个性化设定!$B$18:$E$48,4,FALSE)&amp;$BK52,坦克属性分配比例,MATCH("升星次数",坦克属性分配比例标头,0),FALSE),0)</f>
        <v>1566</v>
      </c>
      <c r="BN52" s="103">
        <f ca="1">ROUND(VLOOKUP($BJ52&amp;"初始",$S$3:$AE$63,MATCH(BN$3,$S$3:$AE$3,0),FALSE)+(VLOOKUP($BJ52&amp;"最终",$S$3:$AE$63,MATCH(BN$3,$S$3:$AE$3,0),FALSE)-VLOOKUP($BJ52&amp;"初始",$S$3:$AE$63,MATCH(BN$3,$S$3:$AE$3,0),FALSE))*$BL52/VLOOKUP(VLOOKUP($BJ52,坦克个性化设定!$B$18:$E$48,4,FALSE)&amp;$BK52,坦克属性分配比例,MATCH("升星次数",坦克属性分配比例标头,0),FALSE)*VLOOKUP(VLOOKUP($BJ52,坦克个性化设定!$B$18:$E$48,4,FALSE)&amp;$BK52,坦克属性分配比例,MATCH("升星比例",坦克属性分配比例标头,0),FALSE),0)</f>
        <v>115</v>
      </c>
      <c r="BO52" s="103">
        <f ca="1">ROUND(VLOOKUP($BJ52&amp;"初始",$S$3:$AE$63,MATCH(BO$3,$S$3:$AE$3,0),FALSE)+(VLOOKUP($BJ52&amp;"最终",$S$3:$AE$63,MATCH(BO$3,$S$3:$AE$3,0),FALSE)-VLOOKUP($BJ52&amp;"初始",$S$3:$AE$63,MATCH(BO$3,$S$3:$AE$3,0),FALSE))*$BL52/VLOOKUP(VLOOKUP($BJ52,坦克个性化设定!$B$18:$E$48,4,FALSE)&amp;$BK52,坦克属性分配比例,MATCH("升星次数",坦克属性分配比例标头,0),FALSE)*(VLOOKUP(VLOOKUP($BJ52,坦克个性化设定!$B$18:$E$48,4,FALSE)&amp;$BK52,坦克属性分配比例,MATCH("升星比例",坦克属性分配比例标头,0),FALSE)+VLOOKUP(VLOOKUP($BJ52,坦克个性化设定!$B$18:$E$48,4,FALSE)&amp;$BK52,坦克属性分配比例,MATCH("部件比例",坦克属性分配比例标头,0),FALSE)*$C$3),0)</f>
        <v>652</v>
      </c>
      <c r="BP52" s="103">
        <f ca="1">ROUND(VLOOKUP($BJ52&amp;"初始",$S$3:$AE$63,MATCH(BP$3,$S$3:$AE$3,0),FALSE)+(VLOOKUP($BJ52&amp;"最终",$S$3:$AE$63,MATCH(BP$3,$S$3:$AE$3,0),FALSE)-VLOOKUP($BJ52&amp;"初始",$S$3:$AE$63,MATCH(BP$3,$S$3:$AE$3,0),FALSE))*$BL52/VLOOKUP(VLOOKUP($BJ52,坦克个性化设定!$B$18:$E$48,4,FALSE)&amp;$BK52,坦克属性分配比例,MATCH("升星次数",坦克属性分配比例标头,0),FALSE)*(VLOOKUP(VLOOKUP($BJ52,坦克个性化设定!$B$18:$E$48,4,FALSE)&amp;$BK52,坦克属性分配比例,MATCH("升星比例",坦克属性分配比例标头,0),FALSE)+VLOOKUP(VLOOKUP($BJ52,坦克个性化设定!$B$18:$E$48,4,FALSE)&amp;$BK52,坦克属性分配比例,MATCH("部件比例",坦克属性分配比例标头,0),FALSE)*$C$3),0)</f>
        <v>456</v>
      </c>
      <c r="BQ52" s="103">
        <f ca="1">ROUND(VLOOKUP($BJ52&amp;"初始",$S$3:$AE$63,MATCH(BQ$3,$S$3:$AE$3,0),FALSE)+(VLOOKUP($BJ52&amp;"最终",$S$3:$AE$63,MATCH(BQ$3,$S$3:$AE$3,0),FALSE)-VLOOKUP($BJ52&amp;"初始",$S$3:$AE$63,MATCH(BQ$3,$S$3:$AE$3,0),FALSE))*$BL52/VLOOKUP(VLOOKUP($BJ52,坦克个性化设定!$B$18:$E$48,4,FALSE)&amp;$BK52,坦克属性分配比例,MATCH("升星次数",坦克属性分配比例标头,0),FALSE)*VLOOKUP(VLOOKUP($BJ52,坦克个性化设定!$B$18:$E$48,4,FALSE)&amp;$BK52,坦克属性分配比例,MATCH("升星比例",坦克属性分配比例标头,0),FALSE),0)</f>
        <v>557</v>
      </c>
      <c r="BR52" s="2">
        <f ca="1">ROUND(VLOOKUP($BJ52&amp;"初始",$S$3:$AE$63,MATCH(BR$3,$S$3:$AE$3,0),FALSE)+(VLOOKUP($BJ52&amp;"最终",$S$3:$AE$63,MATCH(BR$3,$S$3:$AE$3,0),FALSE)-VLOOKUP($BJ52&amp;"初始",$S$3:$AE$63,MATCH(BR$3,$S$3:$AE$3,0),FALSE))*$BL52/VLOOKUP(VLOOKUP($BJ52,坦克个性化设定!$B$18:$E$48,4,FALSE)&amp;$BK52,坦克属性分配比例,MATCH("升星次数",坦克属性分配比例标头,0),FALSE),0)</f>
        <v>165</v>
      </c>
      <c r="BS52" s="2">
        <f>ROUND(VLOOKUP($BJ52,$AI$3:$AO$33,MATCH(BS$3,$AI$3:$AO$3,0),FALSE)+$BL52/VLOOKUP(VLOOKUP($BJ52,坦克个性化设定!$B$18:$E$48,4,FALSE)&amp;$BK52,坦克属性分配比例,MATCH("升星次数",坦克属性分配比例标头,0),FALSE)*VLOOKUP($BJ52,$AR$3:$AY$33,MATCH(BS$3,$AR$3:$AY$3,0),FALSE),1)</f>
        <v>46.2</v>
      </c>
      <c r="BT52" s="2">
        <f>ROUND(VLOOKUP($BJ52,$AI$3:$AO$33,MATCH(BT$3,$AI$3:$AO$3,0),FALSE)+$BL52/VLOOKUP(VLOOKUP($BJ52,坦克个性化设定!$B$18:$E$48,4,FALSE)&amp;$BK52,坦克属性分配比例,MATCH("升星次数",坦克属性分配比例标头,0),FALSE)*VLOOKUP($BJ52,$AR$3:$AY$33,MATCH(BT$3,$AR$3:$AY$3,0),FALSE),1)</f>
        <v>69</v>
      </c>
      <c r="BU52" s="2">
        <f>ROUND(VLOOKUP($BJ52,$AI$3:$AO$33,MATCH(BU$3,$AI$3:$AO$3,0),FALSE)+$BL52/VLOOKUP(VLOOKUP($BJ52,坦克个性化设定!$B$18:$E$48,4,FALSE)&amp;$BK52,坦克属性分配比例,MATCH("升星次数",坦克属性分配比例标头,0),FALSE)*VLOOKUP($BJ52,$AR$3:$AY$33,MATCH(BU$3,$AR$3:$AY$3,0),FALSE),1)</f>
        <v>9.9</v>
      </c>
      <c r="BV52" s="2">
        <f>IF(VLOOKUP(BJ52,坦克个性化设定!$B$18:$BC$48,MATCH("装弹类型",坦克个性化设定!$B$18:$BC$18,0),FALSE)="弹夹换弹",0,ROUND(VLOOKUP($BJ52,$AI$3:$AO$33,MATCH("换弹时间",$AI$3:$AO$3,0),FALSE)-$BL52/VLOOKUP(VLOOKUP($BJ52,坦克个性化设定!$B$18:$E$48,4,FALSE)&amp;$BK52,坦克属性分配比例,MATCH("升星次数",坦克属性分配比例标头,0),FALSE)*VLOOKUP($BJ52,$AR$3:$AY$33,MATCH("换弹时间",$AR$3:$AY$3,0),FALSE),2))</f>
        <v>0</v>
      </c>
      <c r="BW52" s="2">
        <f>IF(VLOOKUP(BJ52,坦克个性化设定!$B$18:$BC$48,MATCH("装弹类型",坦克个性化设定!$B$18:$BC$18,0),FALSE)="弹夹换弹",ROUND(VLOOKUP($BJ52,$AI$3:$AO$33,MATCH("换弹时间",$AI$3:$AO$3,0),FALSE)-$BL52/VLOOKUP(VLOOKUP($BJ52,坦克个性化设定!$B$18:$E$48,4,FALSE)&amp;$BK52,坦克属性分配比例,MATCH("升星次数",坦克属性分配比例标头,0),FALSE)*VLOOKUP($BJ52,$AR$3:$AY$33,MATCH("换弹时间",$AR$3:$AY$3,0),FALSE),1),0)</f>
        <v>5</v>
      </c>
      <c r="BX52" s="2">
        <f>ROUND(VLOOKUP($BJ52,$AI$3:$AO$33,MATCH(BX$3,$AI$3:$AO$3,0),FALSE)+$BL52/VLOOKUP(VLOOKUP($BJ52,坦克个性化设定!$B$18:$E$48,4,FALSE)&amp;$BK52,坦克属性分配比例,MATCH("升星次数",坦克属性分配比例标头,0),FALSE)*VLOOKUP($BJ52,$AR$3:$AY$33,MATCH(BX$3,$AR$3:$AY$3,0),FALSE),2)</f>
        <v>0.8</v>
      </c>
      <c r="BY52" s="2">
        <f>ROUND(VLOOKUP($BJ52,$AI$3:$AO$33,MATCH(BY$3,$AI$3:$AO$3,0),FALSE)-$BL52/VLOOKUP(VLOOKUP($BJ52,坦克个性化设定!$B$18:$E$48,4,FALSE)&amp;$BK52,坦克属性分配比例,MATCH("升星次数",坦克属性分配比例标头,0),FALSE)*VLOOKUP($BJ52,$AR$3:$AY$33,MATCH(BY$3,$AR$3:$AY$3,0),FALSE),2)</f>
        <v>0.46</v>
      </c>
    </row>
    <row r="53" spans="19:77" x14ac:dyDescent="0.3">
      <c r="S53" s="2" t="str">
        <f t="shared" si="19"/>
        <v>虎式最终</v>
      </c>
      <c r="T53" s="2">
        <f>IF(COUNTIF(U$4:U52,U52)&gt;=$B$3,T52+1,T52)</f>
        <v>25</v>
      </c>
      <c r="U53" s="2" t="str">
        <f t="shared" si="20"/>
        <v>虎式</v>
      </c>
      <c r="V53" s="2" t="str">
        <f>VLOOKUP(U53,坦克个性化设定!$B$18:$F$48,5,FALSE)</f>
        <v>重坦单发</v>
      </c>
      <c r="W53" s="29" t="str">
        <f>VLOOKUP(U53,坦克个性化细分!$I$3:$J$33,2,FALSE)</f>
        <v>中</v>
      </c>
      <c r="X53" s="2" t="str">
        <f t="shared" si="21"/>
        <v>最终</v>
      </c>
      <c r="Y53" s="2" t="str">
        <f>VLOOKUP(VLOOKUP(U53,坦克个性化设定!$B$18:$F$48,4,FALSE)&amp;W53,坦克等级成长!$P$12:$U$24,MATCH(X53,坦克等级成长!$P$12:$U$12,0),FALSE)</f>
        <v>T3中5</v>
      </c>
      <c r="Z53" s="42">
        <f ca="1">VLOOKUP($Y53,INDIRECT($V53&amp;"_阶段属性"),MATCH(Z$3,属性标头_阶段属性,0),FALSE)*VLOOKUP($U53,坦克个性化设定!$B$84:$D$114,2,FALSE)</f>
        <v>2154.1236966336</v>
      </c>
      <c r="AA53" s="42">
        <f ca="1">VLOOKUP($Y53,INDIRECT($V53&amp;"_阶段属性"),MATCH(AA$3,属性标头_阶段属性,0),FALSE)*VLOOKUP($U53,坦克个性化设定!$B$84:$D$114,3,FALSE)</f>
        <v>836.83588032438638</v>
      </c>
      <c r="AB53" s="2">
        <f t="shared" ca="1" si="22"/>
        <v>717</v>
      </c>
      <c r="AC53" s="2">
        <f t="shared" ca="1" si="22"/>
        <v>573</v>
      </c>
      <c r="AD53" s="2">
        <f t="shared" ca="1" si="22"/>
        <v>958</v>
      </c>
      <c r="AE53" s="2">
        <f t="shared" ca="1" si="22"/>
        <v>223</v>
      </c>
      <c r="AF53" s="25"/>
      <c r="BH53" s="2" t="str">
        <f t="shared" si="13"/>
        <v>AMX-137</v>
      </c>
      <c r="BI53" s="2">
        <f>IF(BL52&gt;=VLOOKUP(VLOOKUP(BJ52,坦克个性化设定!$B$18:$E$48,4,FALSE)&amp;BK52,坦克属性分配比例,MATCH("升星次数",坦克属性分配比例标头,0),FALSE),BI52+1,BI52)</f>
        <v>6</v>
      </c>
      <c r="BJ53" s="2" t="str">
        <f t="shared" si="14"/>
        <v>AMX-13</v>
      </c>
      <c r="BK53" s="29" t="str">
        <f>VLOOKUP(BJ53,坦克个性化细分!$I$3:$J$33,2,FALSE)</f>
        <v>高</v>
      </c>
      <c r="BL53" s="2">
        <f t="shared" si="7"/>
        <v>7</v>
      </c>
      <c r="BM53" s="103">
        <f ca="1">ROUND(VLOOKUP($BJ53&amp;"初始",$S$3:$AE$63,MATCH(BM$3,$S$3:$AE$3,0),FALSE)+((VLOOKUP($BJ53&amp;"最终",$S$3:$AE$63,MATCH(BM$3,$S$3:$AE$3,0),FALSE)*坦克个性化细分!$C$9-VLOOKUP($BJ53&amp;"初始",$S$3:$AE$63,MATCH(BM$3,$S$3:$AE$3,0),FALSE))-(VLOOKUP($BJ53&amp;"最终",$S$3:$AE$63,MATCH(BM$3,$S$3:$AE$3,0),FALSE)-VLOOKUP($BJ53&amp;"初始",$S$3:$AE$63,MATCH(BM$3,$S$3:$AE$3,0),FALSE))*VLOOKUP(VLOOKUP($BJ53,坦克个性化设定!$B$18:$E$48,4,FALSE)&amp;$BK53,坦克属性分配比例,MATCH("部件比例",坦克属性分配比例标头,0),FALSE))*$BL53/VLOOKUP(VLOOKUP($BJ53,坦克个性化设定!$B$18:$E$48,4,FALSE)&amp;$BK53,坦克属性分配比例,MATCH("升星次数",坦克属性分配比例标头,0),FALSE),0)</f>
        <v>1632</v>
      </c>
      <c r="BN53" s="103">
        <f ca="1">ROUND(VLOOKUP($BJ53&amp;"初始",$S$3:$AE$63,MATCH(BN$3,$S$3:$AE$3,0),FALSE)+(VLOOKUP($BJ53&amp;"最终",$S$3:$AE$63,MATCH(BN$3,$S$3:$AE$3,0),FALSE)-VLOOKUP($BJ53&amp;"初始",$S$3:$AE$63,MATCH(BN$3,$S$3:$AE$3,0),FALSE))*$BL53/VLOOKUP(VLOOKUP($BJ53,坦克个性化设定!$B$18:$E$48,4,FALSE)&amp;$BK53,坦克属性分配比例,MATCH("升星次数",坦克属性分配比例标头,0),FALSE)*VLOOKUP(VLOOKUP($BJ53,坦克个性化设定!$B$18:$E$48,4,FALSE)&amp;$BK53,坦克属性分配比例,MATCH("升星比例",坦克属性分配比例标头,0),FALSE),0)</f>
        <v>118</v>
      </c>
      <c r="BO53" s="103">
        <f ca="1">ROUND(VLOOKUP($BJ53&amp;"初始",$S$3:$AE$63,MATCH(BO$3,$S$3:$AE$3,0),FALSE)+(VLOOKUP($BJ53&amp;"最终",$S$3:$AE$63,MATCH(BO$3,$S$3:$AE$3,0),FALSE)-VLOOKUP($BJ53&amp;"初始",$S$3:$AE$63,MATCH(BO$3,$S$3:$AE$3,0),FALSE))*$BL53/VLOOKUP(VLOOKUP($BJ53,坦克个性化设定!$B$18:$E$48,4,FALSE)&amp;$BK53,坦克属性分配比例,MATCH("升星次数",坦克属性分配比例标头,0),FALSE)*(VLOOKUP(VLOOKUP($BJ53,坦克个性化设定!$B$18:$E$48,4,FALSE)&amp;$BK53,坦克属性分配比例,MATCH("升星比例",坦克属性分配比例标头,0),FALSE)+VLOOKUP(VLOOKUP($BJ53,坦克个性化设定!$B$18:$E$48,4,FALSE)&amp;$BK53,坦克属性分配比例,MATCH("部件比例",坦克属性分配比例标头,0),FALSE)*$C$3),0)</f>
        <v>676</v>
      </c>
      <c r="BP53" s="103">
        <f ca="1">ROUND(VLOOKUP($BJ53&amp;"初始",$S$3:$AE$63,MATCH(BP$3,$S$3:$AE$3,0),FALSE)+(VLOOKUP($BJ53&amp;"最终",$S$3:$AE$63,MATCH(BP$3,$S$3:$AE$3,0),FALSE)-VLOOKUP($BJ53&amp;"初始",$S$3:$AE$63,MATCH(BP$3,$S$3:$AE$3,0),FALSE))*$BL53/VLOOKUP(VLOOKUP($BJ53,坦克个性化设定!$B$18:$E$48,4,FALSE)&amp;$BK53,坦克属性分配比例,MATCH("升星次数",坦克属性分配比例标头,0),FALSE)*(VLOOKUP(VLOOKUP($BJ53,坦克个性化设定!$B$18:$E$48,4,FALSE)&amp;$BK53,坦克属性分配比例,MATCH("升星比例",坦克属性分配比例标头,0),FALSE)+VLOOKUP(VLOOKUP($BJ53,坦克个性化设定!$B$18:$E$48,4,FALSE)&amp;$BK53,坦克属性分配比例,MATCH("部件比例",坦克属性分配比例标头,0),FALSE)*$C$3),0)</f>
        <v>473</v>
      </c>
      <c r="BQ53" s="103">
        <f ca="1">ROUND(VLOOKUP($BJ53&amp;"初始",$S$3:$AE$63,MATCH(BQ$3,$S$3:$AE$3,0),FALSE)+(VLOOKUP($BJ53&amp;"最终",$S$3:$AE$63,MATCH(BQ$3,$S$3:$AE$3,0),FALSE)-VLOOKUP($BJ53&amp;"初始",$S$3:$AE$63,MATCH(BQ$3,$S$3:$AE$3,0),FALSE))*$BL53/VLOOKUP(VLOOKUP($BJ53,坦克个性化设定!$B$18:$E$48,4,FALSE)&amp;$BK53,坦克属性分配比例,MATCH("升星次数",坦克属性分配比例标头,0),FALSE)*VLOOKUP(VLOOKUP($BJ53,坦克个性化设定!$B$18:$E$48,4,FALSE)&amp;$BK53,坦克属性分配比例,MATCH("升星比例",坦克属性分配比例标头,0),FALSE),0)</f>
        <v>573</v>
      </c>
      <c r="BR53" s="2">
        <f ca="1">ROUND(VLOOKUP($BJ53&amp;"初始",$S$3:$AE$63,MATCH(BR$3,$S$3:$AE$3,0),FALSE)+(VLOOKUP($BJ53&amp;"最终",$S$3:$AE$63,MATCH(BR$3,$S$3:$AE$3,0),FALSE)-VLOOKUP($BJ53&amp;"初始",$S$3:$AE$63,MATCH(BR$3,$S$3:$AE$3,0),FALSE))*$BL53/VLOOKUP(VLOOKUP($BJ53,坦克个性化设定!$B$18:$E$48,4,FALSE)&amp;$BK53,坦克属性分配比例,MATCH("升星次数",坦克属性分配比例标头,0),FALSE),0)</f>
        <v>172</v>
      </c>
      <c r="BS53" s="2">
        <f>ROUND(VLOOKUP($BJ53,$AI$3:$AO$33,MATCH(BS$3,$AI$3:$AO$3,0),FALSE)+$BL53/VLOOKUP(VLOOKUP($BJ53,坦克个性化设定!$B$18:$E$48,4,FALSE)&amp;$BK53,坦克属性分配比例,MATCH("升星次数",坦克属性分配比例标头,0),FALSE)*VLOOKUP($BJ53,$AR$3:$AY$33,MATCH(BS$3,$AR$3:$AY$3,0),FALSE),1)</f>
        <v>47.3</v>
      </c>
      <c r="BT53" s="2">
        <f>ROUND(VLOOKUP($BJ53,$AI$3:$AO$33,MATCH(BT$3,$AI$3:$AO$3,0),FALSE)+$BL53/VLOOKUP(VLOOKUP($BJ53,坦克个性化设定!$B$18:$E$48,4,FALSE)&amp;$BK53,坦克属性分配比例,MATCH("升星次数",坦克属性分配比例标头,0),FALSE)*VLOOKUP($BJ53,$AR$3:$AY$33,MATCH(BT$3,$AR$3:$AY$3,0),FALSE),1)</f>
        <v>70.599999999999994</v>
      </c>
      <c r="BU53" s="2">
        <f>ROUND(VLOOKUP($BJ53,$AI$3:$AO$33,MATCH(BU$3,$AI$3:$AO$3,0),FALSE)+$BL53/VLOOKUP(VLOOKUP($BJ53,坦克个性化设定!$B$18:$E$48,4,FALSE)&amp;$BK53,坦克属性分配比例,MATCH("升星次数",坦克属性分配比例标头,0),FALSE)*VLOOKUP($BJ53,$AR$3:$AY$33,MATCH(BU$3,$AR$3:$AY$3,0),FALSE),1)</f>
        <v>9.9</v>
      </c>
      <c r="BV53" s="2">
        <f>IF(VLOOKUP(BJ53,坦克个性化设定!$B$18:$BC$48,MATCH("装弹类型",坦克个性化设定!$B$18:$BC$18,0),FALSE)="弹夹换弹",0,ROUND(VLOOKUP($BJ53,$AI$3:$AO$33,MATCH("换弹时间",$AI$3:$AO$3,0),FALSE)-$BL53/VLOOKUP(VLOOKUP($BJ53,坦克个性化设定!$B$18:$E$48,4,FALSE)&amp;$BK53,坦克属性分配比例,MATCH("升星次数",坦克属性分配比例标头,0),FALSE)*VLOOKUP($BJ53,$AR$3:$AY$33,MATCH("换弹时间",$AR$3:$AY$3,0),FALSE),2))</f>
        <v>0</v>
      </c>
      <c r="BW53" s="2">
        <f>IF(VLOOKUP(BJ53,坦克个性化设定!$B$18:$BC$48,MATCH("装弹类型",坦克个性化设定!$B$18:$BC$18,0),FALSE)="弹夹换弹",ROUND(VLOOKUP($BJ53,$AI$3:$AO$33,MATCH("换弹时间",$AI$3:$AO$3,0),FALSE)-$BL53/VLOOKUP(VLOOKUP($BJ53,坦克个性化设定!$B$18:$E$48,4,FALSE)&amp;$BK53,坦克属性分配比例,MATCH("升星次数",坦克属性分配比例标头,0),FALSE)*VLOOKUP($BJ53,$AR$3:$AY$33,MATCH("换弹时间",$AR$3:$AY$3,0),FALSE),1),0)</f>
        <v>4.8</v>
      </c>
      <c r="BX53" s="2">
        <f>ROUND(VLOOKUP($BJ53,$AI$3:$AO$33,MATCH(BX$3,$AI$3:$AO$3,0),FALSE)+$BL53/VLOOKUP(VLOOKUP($BJ53,坦克个性化设定!$B$18:$E$48,4,FALSE)&amp;$BK53,坦克属性分配比例,MATCH("升星次数",坦克属性分配比例标头,0),FALSE)*VLOOKUP($BJ53,$AR$3:$AY$33,MATCH(BX$3,$AR$3:$AY$3,0),FALSE),2)</f>
        <v>0.8</v>
      </c>
      <c r="BY53" s="2">
        <f>ROUND(VLOOKUP($BJ53,$AI$3:$AO$33,MATCH(BY$3,$AI$3:$AO$3,0),FALSE)-$BL53/VLOOKUP(VLOOKUP($BJ53,坦克个性化设定!$B$18:$E$48,4,FALSE)&amp;$BK53,坦克属性分配比例,MATCH("升星次数",坦克属性分配比例标头,0),FALSE)*VLOOKUP($BJ53,$AR$3:$AY$33,MATCH(BY$3,$AR$3:$AY$3,0),FALSE),2)</f>
        <v>0.45</v>
      </c>
    </row>
    <row r="54" spans="19:77" x14ac:dyDescent="0.3">
      <c r="S54" s="2" t="str">
        <f t="shared" si="19"/>
        <v>KV-2初始</v>
      </c>
      <c r="T54" s="2">
        <f>IF(COUNTIF(U$4:U53,U53)&gt;=$B$3,T53+1,T53)</f>
        <v>26</v>
      </c>
      <c r="U54" s="2" t="str">
        <f t="shared" si="20"/>
        <v>KV-2</v>
      </c>
      <c r="V54" s="2" t="str">
        <f>VLOOKUP(U54,坦克个性化设定!$B$18:$F$48,5,FALSE)</f>
        <v>重坦自动</v>
      </c>
      <c r="W54" s="29" t="str">
        <f>VLOOKUP(U54,坦克个性化细分!$I$3:$J$33,2,FALSE)</f>
        <v>高</v>
      </c>
      <c r="X54" s="2" t="str">
        <f t="shared" si="21"/>
        <v>初始</v>
      </c>
      <c r="Y54" s="2" t="str">
        <f>VLOOKUP(VLOOKUP(U54,坦克个性化设定!$B$18:$F$48,4,FALSE)&amp;W54,坦克等级成长!$P$12:$U$24,MATCH(X54,坦克等级成长!$P$12:$U$12,0),FALSE)</f>
        <v>T3高3</v>
      </c>
      <c r="Z54" s="42">
        <f ca="1">VLOOKUP($Y54,INDIRECT($V54&amp;"_阶段属性"),MATCH(Z$3,属性标头_阶段属性,0),FALSE)*VLOOKUP($U54,坦克个性化设定!$B$84:$D$114,2,FALSE)</f>
        <v>1482.789589971379</v>
      </c>
      <c r="AA54" s="42">
        <f ca="1">VLOOKUP($Y54,INDIRECT($V54&amp;"_阶段属性"),MATCH(AA$3,属性标头_阶段属性,0),FALSE)*VLOOKUP($U54,坦克个性化设定!$B$84:$D$114,3,FALSE)</f>
        <v>386.69264912814555</v>
      </c>
      <c r="AB54" s="2">
        <f t="shared" ca="1" si="22"/>
        <v>440</v>
      </c>
      <c r="AC54" s="2">
        <f t="shared" ca="1" si="22"/>
        <v>352</v>
      </c>
      <c r="AD54" s="2">
        <f t="shared" ca="1" si="22"/>
        <v>647</v>
      </c>
      <c r="AE54" s="2">
        <f t="shared" ca="1" si="22"/>
        <v>151</v>
      </c>
      <c r="AF54" s="25"/>
      <c r="BH54" s="2" t="str">
        <f t="shared" si="13"/>
        <v>AMX-138</v>
      </c>
      <c r="BI54" s="2">
        <f>IF(BL53&gt;=VLOOKUP(VLOOKUP(BJ53,坦克个性化设定!$B$18:$E$48,4,FALSE)&amp;BK53,坦克属性分配比例,MATCH("升星次数",坦克属性分配比例标头,0),FALSE),BI53+1,BI53)</f>
        <v>6</v>
      </c>
      <c r="BJ54" s="2" t="str">
        <f t="shared" si="14"/>
        <v>AMX-13</v>
      </c>
      <c r="BK54" s="29" t="str">
        <f>VLOOKUP(BJ54,坦克个性化细分!$I$3:$J$33,2,FALSE)</f>
        <v>高</v>
      </c>
      <c r="BL54" s="2">
        <f t="shared" si="7"/>
        <v>8</v>
      </c>
      <c r="BM54" s="103">
        <f ca="1">ROUND(VLOOKUP($BJ54&amp;"初始",$S$3:$AE$63,MATCH(BM$3,$S$3:$AE$3,0),FALSE)+((VLOOKUP($BJ54&amp;"最终",$S$3:$AE$63,MATCH(BM$3,$S$3:$AE$3,0),FALSE)*坦克个性化细分!$C$9-VLOOKUP($BJ54&amp;"初始",$S$3:$AE$63,MATCH(BM$3,$S$3:$AE$3,0),FALSE))-(VLOOKUP($BJ54&amp;"最终",$S$3:$AE$63,MATCH(BM$3,$S$3:$AE$3,0),FALSE)-VLOOKUP($BJ54&amp;"初始",$S$3:$AE$63,MATCH(BM$3,$S$3:$AE$3,0),FALSE))*VLOOKUP(VLOOKUP($BJ54,坦克个性化设定!$B$18:$E$48,4,FALSE)&amp;$BK54,坦克属性分配比例,MATCH("部件比例",坦克属性分配比例标头,0),FALSE))*$BL54/VLOOKUP(VLOOKUP($BJ54,坦克个性化设定!$B$18:$E$48,4,FALSE)&amp;$BK54,坦克属性分配比例,MATCH("升星次数",坦克属性分配比例标头,0),FALSE),0)</f>
        <v>1699</v>
      </c>
      <c r="BN54" s="103">
        <f ca="1">ROUND(VLOOKUP($BJ54&amp;"初始",$S$3:$AE$63,MATCH(BN$3,$S$3:$AE$3,0),FALSE)+(VLOOKUP($BJ54&amp;"最终",$S$3:$AE$63,MATCH(BN$3,$S$3:$AE$3,0),FALSE)-VLOOKUP($BJ54&amp;"初始",$S$3:$AE$63,MATCH(BN$3,$S$3:$AE$3,0),FALSE))*$BL54/VLOOKUP(VLOOKUP($BJ54,坦克个性化设定!$B$18:$E$48,4,FALSE)&amp;$BK54,坦克属性分配比例,MATCH("升星次数",坦克属性分配比例标头,0),FALSE)*VLOOKUP(VLOOKUP($BJ54,坦克个性化设定!$B$18:$E$48,4,FALSE)&amp;$BK54,坦克属性分配比例,MATCH("升星比例",坦克属性分配比例标头,0),FALSE),0)</f>
        <v>122</v>
      </c>
      <c r="BO54" s="103">
        <f ca="1">ROUND(VLOOKUP($BJ54&amp;"初始",$S$3:$AE$63,MATCH(BO$3,$S$3:$AE$3,0),FALSE)+(VLOOKUP($BJ54&amp;"最终",$S$3:$AE$63,MATCH(BO$3,$S$3:$AE$3,0),FALSE)-VLOOKUP($BJ54&amp;"初始",$S$3:$AE$63,MATCH(BO$3,$S$3:$AE$3,0),FALSE))*$BL54/VLOOKUP(VLOOKUP($BJ54,坦克个性化设定!$B$18:$E$48,4,FALSE)&amp;$BK54,坦克属性分配比例,MATCH("升星次数",坦克属性分配比例标头,0),FALSE)*(VLOOKUP(VLOOKUP($BJ54,坦克个性化设定!$B$18:$E$48,4,FALSE)&amp;$BK54,坦克属性分配比例,MATCH("升星比例",坦克属性分配比例标头,0),FALSE)+VLOOKUP(VLOOKUP($BJ54,坦克个性化设定!$B$18:$E$48,4,FALSE)&amp;$BK54,坦克属性分配比例,MATCH("部件比例",坦克属性分配比例标头,0),FALSE)*$C$3),0)</f>
        <v>700</v>
      </c>
      <c r="BP54" s="103">
        <f ca="1">ROUND(VLOOKUP($BJ54&amp;"初始",$S$3:$AE$63,MATCH(BP$3,$S$3:$AE$3,0),FALSE)+(VLOOKUP($BJ54&amp;"最终",$S$3:$AE$63,MATCH(BP$3,$S$3:$AE$3,0),FALSE)-VLOOKUP($BJ54&amp;"初始",$S$3:$AE$63,MATCH(BP$3,$S$3:$AE$3,0),FALSE))*$BL54/VLOOKUP(VLOOKUP($BJ54,坦克个性化设定!$B$18:$E$48,4,FALSE)&amp;$BK54,坦克属性分配比例,MATCH("升星次数",坦克属性分配比例标头,0),FALSE)*(VLOOKUP(VLOOKUP($BJ54,坦克个性化设定!$B$18:$E$48,4,FALSE)&amp;$BK54,坦克属性分配比例,MATCH("升星比例",坦克属性分配比例标头,0),FALSE)+VLOOKUP(VLOOKUP($BJ54,坦克个性化设定!$B$18:$E$48,4,FALSE)&amp;$BK54,坦克属性分配比例,MATCH("部件比例",坦克属性分配比例标头,0),FALSE)*$C$3),0)</f>
        <v>490</v>
      </c>
      <c r="BQ54" s="103">
        <f ca="1">ROUND(VLOOKUP($BJ54&amp;"初始",$S$3:$AE$63,MATCH(BQ$3,$S$3:$AE$3,0),FALSE)+(VLOOKUP($BJ54&amp;"最终",$S$3:$AE$63,MATCH(BQ$3,$S$3:$AE$3,0),FALSE)-VLOOKUP($BJ54&amp;"初始",$S$3:$AE$63,MATCH(BQ$3,$S$3:$AE$3,0),FALSE))*$BL54/VLOOKUP(VLOOKUP($BJ54,坦克个性化设定!$B$18:$E$48,4,FALSE)&amp;$BK54,坦克属性分配比例,MATCH("升星次数",坦克属性分配比例标头,0),FALSE)*VLOOKUP(VLOOKUP($BJ54,坦克个性化设定!$B$18:$E$48,4,FALSE)&amp;$BK54,坦克属性分配比例,MATCH("升星比例",坦克属性分配比例标头,0),FALSE),0)</f>
        <v>588</v>
      </c>
      <c r="BR54" s="2">
        <f ca="1">ROUND(VLOOKUP($BJ54&amp;"初始",$S$3:$AE$63,MATCH(BR$3,$S$3:$AE$3,0),FALSE)+(VLOOKUP($BJ54&amp;"最终",$S$3:$AE$63,MATCH(BR$3,$S$3:$AE$3,0),FALSE)-VLOOKUP($BJ54&amp;"初始",$S$3:$AE$63,MATCH(BR$3,$S$3:$AE$3,0),FALSE))*$BL54/VLOOKUP(VLOOKUP($BJ54,坦克个性化设定!$B$18:$E$48,4,FALSE)&amp;$BK54,坦克属性分配比例,MATCH("升星次数",坦克属性分配比例标头,0),FALSE),0)</f>
        <v>179</v>
      </c>
      <c r="BS54" s="2">
        <f>ROUND(VLOOKUP($BJ54,$AI$3:$AO$33,MATCH(BS$3,$AI$3:$AO$3,0),FALSE)+$BL54/VLOOKUP(VLOOKUP($BJ54,坦克个性化设定!$B$18:$E$48,4,FALSE)&amp;$BK54,坦克属性分配比例,MATCH("升星次数",坦克属性分配比例标头,0),FALSE)*VLOOKUP($BJ54,$AR$3:$AY$33,MATCH(BS$3,$AR$3:$AY$3,0),FALSE),1)</f>
        <v>48.4</v>
      </c>
      <c r="BT54" s="2">
        <f>ROUND(VLOOKUP($BJ54,$AI$3:$AO$33,MATCH(BT$3,$AI$3:$AO$3,0),FALSE)+$BL54/VLOOKUP(VLOOKUP($BJ54,坦克个性化设定!$B$18:$E$48,4,FALSE)&amp;$BK54,坦克属性分配比例,MATCH("升星次数",坦克属性分配比例标头,0),FALSE)*VLOOKUP($BJ54,$AR$3:$AY$33,MATCH(BT$3,$AR$3:$AY$3,0),FALSE),1)</f>
        <v>72.2</v>
      </c>
      <c r="BU54" s="2">
        <f>ROUND(VLOOKUP($BJ54,$AI$3:$AO$33,MATCH(BU$3,$AI$3:$AO$3,0),FALSE)+$BL54/VLOOKUP(VLOOKUP($BJ54,坦克个性化设定!$B$18:$E$48,4,FALSE)&amp;$BK54,坦克属性分配比例,MATCH("升星次数",坦克属性分配比例标头,0),FALSE)*VLOOKUP($BJ54,$AR$3:$AY$33,MATCH(BU$3,$AR$3:$AY$3,0),FALSE),1)</f>
        <v>9.9</v>
      </c>
      <c r="BV54" s="2">
        <f>IF(VLOOKUP(BJ54,坦克个性化设定!$B$18:$BC$48,MATCH("装弹类型",坦克个性化设定!$B$18:$BC$18,0),FALSE)="弹夹换弹",0,ROUND(VLOOKUP($BJ54,$AI$3:$AO$33,MATCH("换弹时间",$AI$3:$AO$3,0),FALSE)-$BL54/VLOOKUP(VLOOKUP($BJ54,坦克个性化设定!$B$18:$E$48,4,FALSE)&amp;$BK54,坦克属性分配比例,MATCH("升星次数",坦克属性分配比例标头,0),FALSE)*VLOOKUP($BJ54,$AR$3:$AY$33,MATCH("换弹时间",$AR$3:$AY$3,0),FALSE),2))</f>
        <v>0</v>
      </c>
      <c r="BW54" s="2">
        <f>IF(VLOOKUP(BJ54,坦克个性化设定!$B$18:$BC$48,MATCH("装弹类型",坦克个性化设定!$B$18:$BC$18,0),FALSE)="弹夹换弹",ROUND(VLOOKUP($BJ54,$AI$3:$AO$33,MATCH("换弹时间",$AI$3:$AO$3,0),FALSE)-$BL54/VLOOKUP(VLOOKUP($BJ54,坦克个性化设定!$B$18:$E$48,4,FALSE)&amp;$BK54,坦克属性分配比例,MATCH("升星次数",坦克属性分配比例标头,0),FALSE)*VLOOKUP($BJ54,$AR$3:$AY$33,MATCH("换弹时间",$AR$3:$AY$3,0),FALSE),1),0)</f>
        <v>4.5</v>
      </c>
      <c r="BX54" s="2">
        <f>ROUND(VLOOKUP($BJ54,$AI$3:$AO$33,MATCH(BX$3,$AI$3:$AO$3,0),FALSE)+$BL54/VLOOKUP(VLOOKUP($BJ54,坦克个性化设定!$B$18:$E$48,4,FALSE)&amp;$BK54,坦克属性分配比例,MATCH("升星次数",坦克属性分配比例标头,0),FALSE)*VLOOKUP($BJ54,$AR$3:$AY$33,MATCH(BX$3,$AR$3:$AY$3,0),FALSE),2)</f>
        <v>0.8</v>
      </c>
      <c r="BY54" s="2">
        <f>ROUND(VLOOKUP($BJ54,$AI$3:$AO$33,MATCH(BY$3,$AI$3:$AO$3,0),FALSE)-$BL54/VLOOKUP(VLOOKUP($BJ54,坦克个性化设定!$B$18:$E$48,4,FALSE)&amp;$BK54,坦克属性分配比例,MATCH("升星次数",坦克属性分配比例标头,0),FALSE)*VLOOKUP($BJ54,$AR$3:$AY$33,MATCH(BY$3,$AR$3:$AY$3,0),FALSE),2)</f>
        <v>0.44</v>
      </c>
    </row>
    <row r="55" spans="19:77" x14ac:dyDescent="0.3">
      <c r="S55" s="2" t="str">
        <f t="shared" si="19"/>
        <v>KV-2最终</v>
      </c>
      <c r="T55" s="2">
        <f>IF(COUNTIF(U$4:U54,U54)&gt;=$B$3,T54+1,T54)</f>
        <v>26</v>
      </c>
      <c r="U55" s="2" t="str">
        <f t="shared" si="20"/>
        <v>KV-2</v>
      </c>
      <c r="V55" s="2" t="str">
        <f>VLOOKUP(U55,坦克个性化设定!$B$18:$F$48,5,FALSE)</f>
        <v>重坦自动</v>
      </c>
      <c r="W55" s="29" t="str">
        <f>VLOOKUP(U55,坦克个性化细分!$I$3:$J$33,2,FALSE)</f>
        <v>高</v>
      </c>
      <c r="X55" s="2" t="str">
        <f t="shared" si="21"/>
        <v>最终</v>
      </c>
      <c r="Y55" s="2" t="str">
        <f>VLOOKUP(VLOOKUP(U55,坦克个性化设定!$B$18:$F$48,4,FALSE)&amp;W55,坦克等级成长!$P$12:$U$24,MATCH(X55,坦克等级成长!$P$12:$U$12,0),FALSE)</f>
        <v>T3高5</v>
      </c>
      <c r="Z55" s="42">
        <f ca="1">VLOOKUP($Y55,INDIRECT($V55&amp;"_阶段属性"),MATCH(Z$3,属性标头_阶段属性,0),FALSE)*VLOOKUP($U55,坦克个性化设定!$B$84:$D$114,2,FALSE)</f>
        <v>2195.1583113643969</v>
      </c>
      <c r="AA55" s="42">
        <f ca="1">VLOOKUP($Y55,INDIRECT($V55&amp;"_阶段属性"),MATCH(AA$3,属性标头_阶段属性,0),FALSE)*VLOOKUP($U55,坦克个性化设定!$B$84:$D$114,3,FALSE)</f>
        <v>585.18863366850121</v>
      </c>
      <c r="AB55" s="2">
        <f t="shared" ca="1" si="22"/>
        <v>666</v>
      </c>
      <c r="AC55" s="2">
        <f t="shared" ca="1" si="22"/>
        <v>533</v>
      </c>
      <c r="AD55" s="2">
        <f t="shared" ca="1" si="22"/>
        <v>979</v>
      </c>
      <c r="AE55" s="2">
        <f t="shared" ca="1" si="22"/>
        <v>228</v>
      </c>
      <c r="AF55" s="25"/>
      <c r="BH55" s="2" t="str">
        <f t="shared" si="13"/>
        <v>AMX-139</v>
      </c>
      <c r="BI55" s="2">
        <f>IF(BL54&gt;=VLOOKUP(VLOOKUP(BJ54,坦克个性化设定!$B$18:$E$48,4,FALSE)&amp;BK54,坦克属性分配比例,MATCH("升星次数",坦克属性分配比例标头,0),FALSE),BI54+1,BI54)</f>
        <v>6</v>
      </c>
      <c r="BJ55" s="2" t="str">
        <f t="shared" si="14"/>
        <v>AMX-13</v>
      </c>
      <c r="BK55" s="29" t="str">
        <f>VLOOKUP(BJ55,坦克个性化细分!$I$3:$J$33,2,FALSE)</f>
        <v>高</v>
      </c>
      <c r="BL55" s="2">
        <f t="shared" si="7"/>
        <v>9</v>
      </c>
      <c r="BM55" s="103">
        <f ca="1">ROUND(VLOOKUP($BJ55&amp;"初始",$S$3:$AE$63,MATCH(BM$3,$S$3:$AE$3,0),FALSE)+((VLOOKUP($BJ55&amp;"最终",$S$3:$AE$63,MATCH(BM$3,$S$3:$AE$3,0),FALSE)*坦克个性化细分!$C$9-VLOOKUP($BJ55&amp;"初始",$S$3:$AE$63,MATCH(BM$3,$S$3:$AE$3,0),FALSE))-(VLOOKUP($BJ55&amp;"最终",$S$3:$AE$63,MATCH(BM$3,$S$3:$AE$3,0),FALSE)-VLOOKUP($BJ55&amp;"初始",$S$3:$AE$63,MATCH(BM$3,$S$3:$AE$3,0),FALSE))*VLOOKUP(VLOOKUP($BJ55,坦克个性化设定!$B$18:$E$48,4,FALSE)&amp;$BK55,坦克属性分配比例,MATCH("部件比例",坦克属性分配比例标头,0),FALSE))*$BL55/VLOOKUP(VLOOKUP($BJ55,坦克个性化设定!$B$18:$E$48,4,FALSE)&amp;$BK55,坦克属性分配比例,MATCH("升星次数",坦克属性分配比例标头,0),FALSE),0)</f>
        <v>1765</v>
      </c>
      <c r="BN55" s="103">
        <f ca="1">ROUND(VLOOKUP($BJ55&amp;"初始",$S$3:$AE$63,MATCH(BN$3,$S$3:$AE$3,0),FALSE)+(VLOOKUP($BJ55&amp;"最终",$S$3:$AE$63,MATCH(BN$3,$S$3:$AE$3,0),FALSE)-VLOOKUP($BJ55&amp;"初始",$S$3:$AE$63,MATCH(BN$3,$S$3:$AE$3,0),FALSE))*$BL55/VLOOKUP(VLOOKUP($BJ55,坦克个性化设定!$B$18:$E$48,4,FALSE)&amp;$BK55,坦克属性分配比例,MATCH("升星次数",坦克属性分配比例标头,0),FALSE)*VLOOKUP(VLOOKUP($BJ55,坦克个性化设定!$B$18:$E$48,4,FALSE)&amp;$BK55,坦克属性分配比例,MATCH("升星比例",坦克属性分配比例标头,0),FALSE),0)</f>
        <v>125</v>
      </c>
      <c r="BO55" s="103">
        <f ca="1">ROUND(VLOOKUP($BJ55&amp;"初始",$S$3:$AE$63,MATCH(BO$3,$S$3:$AE$3,0),FALSE)+(VLOOKUP($BJ55&amp;"最终",$S$3:$AE$63,MATCH(BO$3,$S$3:$AE$3,0),FALSE)-VLOOKUP($BJ55&amp;"初始",$S$3:$AE$63,MATCH(BO$3,$S$3:$AE$3,0),FALSE))*$BL55/VLOOKUP(VLOOKUP($BJ55,坦克个性化设定!$B$18:$E$48,4,FALSE)&amp;$BK55,坦克属性分配比例,MATCH("升星次数",坦克属性分配比例标头,0),FALSE)*(VLOOKUP(VLOOKUP($BJ55,坦克个性化设定!$B$18:$E$48,4,FALSE)&amp;$BK55,坦克属性分配比例,MATCH("升星比例",坦克属性分配比例标头,0),FALSE)+VLOOKUP(VLOOKUP($BJ55,坦克个性化设定!$B$18:$E$48,4,FALSE)&amp;$BK55,坦克属性分配比例,MATCH("部件比例",坦克属性分配比例标头,0),FALSE)*$C$3),0)</f>
        <v>724</v>
      </c>
      <c r="BP55" s="103">
        <f ca="1">ROUND(VLOOKUP($BJ55&amp;"初始",$S$3:$AE$63,MATCH(BP$3,$S$3:$AE$3,0),FALSE)+(VLOOKUP($BJ55&amp;"最终",$S$3:$AE$63,MATCH(BP$3,$S$3:$AE$3,0),FALSE)-VLOOKUP($BJ55&amp;"初始",$S$3:$AE$63,MATCH(BP$3,$S$3:$AE$3,0),FALSE))*$BL55/VLOOKUP(VLOOKUP($BJ55,坦克个性化设定!$B$18:$E$48,4,FALSE)&amp;$BK55,坦克属性分配比例,MATCH("升星次数",坦克属性分配比例标头,0),FALSE)*(VLOOKUP(VLOOKUP($BJ55,坦克个性化设定!$B$18:$E$48,4,FALSE)&amp;$BK55,坦克属性分配比例,MATCH("升星比例",坦克属性分配比例标头,0),FALSE)+VLOOKUP(VLOOKUP($BJ55,坦克个性化设定!$B$18:$E$48,4,FALSE)&amp;$BK55,坦克属性分配比例,MATCH("部件比例",坦克属性分配比例标头,0),FALSE)*$C$3),0)</f>
        <v>507</v>
      </c>
      <c r="BQ55" s="103">
        <f ca="1">ROUND(VLOOKUP($BJ55&amp;"初始",$S$3:$AE$63,MATCH(BQ$3,$S$3:$AE$3,0),FALSE)+(VLOOKUP($BJ55&amp;"最终",$S$3:$AE$63,MATCH(BQ$3,$S$3:$AE$3,0),FALSE)-VLOOKUP($BJ55&amp;"初始",$S$3:$AE$63,MATCH(BQ$3,$S$3:$AE$3,0),FALSE))*$BL55/VLOOKUP(VLOOKUP($BJ55,坦克个性化设定!$B$18:$E$48,4,FALSE)&amp;$BK55,坦克属性分配比例,MATCH("升星次数",坦克属性分配比例标头,0),FALSE)*VLOOKUP(VLOOKUP($BJ55,坦克个性化设定!$B$18:$E$48,4,FALSE)&amp;$BK55,坦克属性分配比例,MATCH("升星比例",坦克属性分配比例标头,0),FALSE),0)</f>
        <v>604</v>
      </c>
      <c r="BR55" s="2">
        <f ca="1">ROUND(VLOOKUP($BJ55&amp;"初始",$S$3:$AE$63,MATCH(BR$3,$S$3:$AE$3,0),FALSE)+(VLOOKUP($BJ55&amp;"最终",$S$3:$AE$63,MATCH(BR$3,$S$3:$AE$3,0),FALSE)-VLOOKUP($BJ55&amp;"初始",$S$3:$AE$63,MATCH(BR$3,$S$3:$AE$3,0),FALSE))*$BL55/VLOOKUP(VLOOKUP($BJ55,坦克个性化设定!$B$18:$E$48,4,FALSE)&amp;$BK55,坦克属性分配比例,MATCH("升星次数",坦克属性分配比例标头,0),FALSE),0)</f>
        <v>186</v>
      </c>
      <c r="BS55" s="2">
        <f>ROUND(VLOOKUP($BJ55,$AI$3:$AO$33,MATCH(BS$3,$AI$3:$AO$3,0),FALSE)+$BL55/VLOOKUP(VLOOKUP($BJ55,坦克个性化设定!$B$18:$E$48,4,FALSE)&amp;$BK55,坦克属性分配比例,MATCH("升星次数",坦克属性分配比例标头,0),FALSE)*VLOOKUP($BJ55,$AR$3:$AY$33,MATCH(BS$3,$AR$3:$AY$3,0),FALSE),1)</f>
        <v>49.5</v>
      </c>
      <c r="BT55" s="2">
        <f>ROUND(VLOOKUP($BJ55,$AI$3:$AO$33,MATCH(BT$3,$AI$3:$AO$3,0),FALSE)+$BL55/VLOOKUP(VLOOKUP($BJ55,坦克个性化设定!$B$18:$E$48,4,FALSE)&amp;$BK55,坦克属性分配比例,MATCH("升星次数",坦克属性分配比例标头,0),FALSE)*VLOOKUP($BJ55,$AR$3:$AY$33,MATCH(BT$3,$AR$3:$AY$3,0),FALSE),1)</f>
        <v>73.900000000000006</v>
      </c>
      <c r="BU55" s="2">
        <f>ROUND(VLOOKUP($BJ55,$AI$3:$AO$33,MATCH(BU$3,$AI$3:$AO$3,0),FALSE)+$BL55/VLOOKUP(VLOOKUP($BJ55,坦克个性化设定!$B$18:$E$48,4,FALSE)&amp;$BK55,坦克属性分配比例,MATCH("升星次数",坦克属性分配比例标头,0),FALSE)*VLOOKUP($BJ55,$AR$3:$AY$33,MATCH(BU$3,$AR$3:$AY$3,0),FALSE),1)</f>
        <v>9.9</v>
      </c>
      <c r="BV55" s="2">
        <f>IF(VLOOKUP(BJ55,坦克个性化设定!$B$18:$BC$48,MATCH("装弹类型",坦克个性化设定!$B$18:$BC$18,0),FALSE)="弹夹换弹",0,ROUND(VLOOKUP($BJ55,$AI$3:$AO$33,MATCH("换弹时间",$AI$3:$AO$3,0),FALSE)-$BL55/VLOOKUP(VLOOKUP($BJ55,坦克个性化设定!$B$18:$E$48,4,FALSE)&amp;$BK55,坦克属性分配比例,MATCH("升星次数",坦克属性分配比例标头,0),FALSE)*VLOOKUP($BJ55,$AR$3:$AY$33,MATCH("换弹时间",$AR$3:$AY$3,0),FALSE),2))</f>
        <v>0</v>
      </c>
      <c r="BW55" s="2">
        <f>IF(VLOOKUP(BJ55,坦克个性化设定!$B$18:$BC$48,MATCH("装弹类型",坦克个性化设定!$B$18:$BC$18,0),FALSE)="弹夹换弹",ROUND(VLOOKUP($BJ55,$AI$3:$AO$33,MATCH("换弹时间",$AI$3:$AO$3,0),FALSE)-$BL55/VLOOKUP(VLOOKUP($BJ55,坦克个性化设定!$B$18:$E$48,4,FALSE)&amp;$BK55,坦克属性分配比例,MATCH("升星次数",坦克属性分配比例标头,0),FALSE)*VLOOKUP($BJ55,$AR$3:$AY$33,MATCH("换弹时间",$AR$3:$AY$3,0),FALSE),1),0)</f>
        <v>4.3</v>
      </c>
      <c r="BX55" s="2">
        <f>ROUND(VLOOKUP($BJ55,$AI$3:$AO$33,MATCH(BX$3,$AI$3:$AO$3,0),FALSE)+$BL55/VLOOKUP(VLOOKUP($BJ55,坦克个性化设定!$B$18:$E$48,4,FALSE)&amp;$BK55,坦克属性分配比例,MATCH("升星次数",坦克属性分配比例标头,0),FALSE)*VLOOKUP($BJ55,$AR$3:$AY$33,MATCH(BX$3,$AR$3:$AY$3,0),FALSE),2)</f>
        <v>0.8</v>
      </c>
      <c r="BY55" s="2">
        <f>ROUND(VLOOKUP($BJ55,$AI$3:$AO$33,MATCH(BY$3,$AI$3:$AO$3,0),FALSE)-$BL55/VLOOKUP(VLOOKUP($BJ55,坦克个性化设定!$B$18:$E$48,4,FALSE)&amp;$BK55,坦克属性分配比例,MATCH("升星次数",坦克属性分配比例标头,0),FALSE)*VLOOKUP($BJ55,$AR$3:$AY$33,MATCH(BY$3,$AR$3:$AY$3,0),FALSE),2)</f>
        <v>0.43</v>
      </c>
    </row>
    <row r="56" spans="19:77" x14ac:dyDescent="0.3">
      <c r="S56" s="2" t="str">
        <f t="shared" si="19"/>
        <v>征服者初始</v>
      </c>
      <c r="T56" s="2">
        <f>IF(COUNTIF(U$4:U55,U55)&gt;=$B$3,T55+1,T55)</f>
        <v>27</v>
      </c>
      <c r="U56" s="2" t="str">
        <f t="shared" si="20"/>
        <v>征服者</v>
      </c>
      <c r="V56" s="2" t="str">
        <f>VLOOKUP(U56,坦克个性化设定!$B$18:$F$48,5,FALSE)</f>
        <v>重坦单发</v>
      </c>
      <c r="W56" s="29" t="str">
        <f>VLOOKUP(U56,坦克个性化细分!$I$3:$J$33,2,FALSE)</f>
        <v>低</v>
      </c>
      <c r="X56" s="2" t="str">
        <f t="shared" si="21"/>
        <v>初始</v>
      </c>
      <c r="Y56" s="2" t="str">
        <f>VLOOKUP(VLOOKUP(U56,坦克个性化设定!$B$18:$F$48,4,FALSE)&amp;W56,坦克等级成长!$P$12:$U$24,MATCH(X56,坦克等级成长!$P$12:$U$12,0),FALSE)</f>
        <v>T4低4</v>
      </c>
      <c r="Z56" s="42">
        <f ca="1">VLOOKUP($Y56,INDIRECT($V56&amp;"_阶段属性"),MATCH(Z$3,属性标头_阶段属性,0),FALSE)*VLOOKUP($U56,坦克个性化设定!$B$84:$D$114,2,FALSE)</f>
        <v>2022.0297193471156</v>
      </c>
      <c r="AA56" s="42">
        <f ca="1">VLOOKUP($Y56,INDIRECT($V56&amp;"_阶段属性"),MATCH(AA$3,属性标头_阶段属性,0),FALSE)*VLOOKUP($U56,坦克个性化设定!$B$84:$D$114,3,FALSE)</f>
        <v>631.89971332990956</v>
      </c>
      <c r="AB56" s="2">
        <f t="shared" ca="1" si="22"/>
        <v>603</v>
      </c>
      <c r="AC56" s="2">
        <f t="shared" ca="1" si="22"/>
        <v>483</v>
      </c>
      <c r="AD56" s="2">
        <f t="shared" ca="1" si="22"/>
        <v>806</v>
      </c>
      <c r="AE56" s="2">
        <f t="shared" ca="1" si="22"/>
        <v>188</v>
      </c>
      <c r="AF56" s="25"/>
      <c r="BH56" s="2" t="str">
        <f t="shared" si="13"/>
        <v>霞飞0</v>
      </c>
      <c r="BI56" s="2">
        <f>IF(BL55&gt;=VLOOKUP(VLOOKUP(BJ55,坦克个性化设定!$B$18:$E$48,4,FALSE)&amp;BK55,坦克属性分配比例,MATCH("升星次数",坦克属性分配比例标头,0),FALSE),BI55+1,BI55)</f>
        <v>7</v>
      </c>
      <c r="BJ56" s="2" t="str">
        <f t="shared" si="14"/>
        <v>霞飞</v>
      </c>
      <c r="BK56" s="29" t="str">
        <f>VLOOKUP(BJ56,坦克个性化细分!$I$3:$J$33,2,FALSE)</f>
        <v>低</v>
      </c>
      <c r="BL56" s="2">
        <f t="shared" si="7"/>
        <v>0</v>
      </c>
      <c r="BM56" s="103">
        <f ca="1">ROUND(VLOOKUP($BJ56&amp;"初始",$S$3:$AE$63,MATCH(BM$3,$S$3:$AE$3,0),FALSE)+((VLOOKUP($BJ56&amp;"最终",$S$3:$AE$63,MATCH(BM$3,$S$3:$AE$3,0),FALSE)*坦克个性化细分!$C$9-VLOOKUP($BJ56&amp;"初始",$S$3:$AE$63,MATCH(BM$3,$S$3:$AE$3,0),FALSE))-(VLOOKUP($BJ56&amp;"最终",$S$3:$AE$63,MATCH(BM$3,$S$3:$AE$3,0),FALSE)-VLOOKUP($BJ56&amp;"初始",$S$3:$AE$63,MATCH(BM$3,$S$3:$AE$3,0),FALSE))*VLOOKUP(VLOOKUP($BJ56,坦克个性化设定!$B$18:$E$48,4,FALSE)&amp;$BK56,坦克属性分配比例,MATCH("部件比例",坦克属性分配比例标头,0),FALSE))*$BL56/VLOOKUP(VLOOKUP($BJ56,坦克个性化设定!$B$18:$E$48,4,FALSE)&amp;$BK56,坦克属性分配比例,MATCH("升星次数",坦克属性分配比例标头,0),FALSE),0)</f>
        <v>1467</v>
      </c>
      <c r="BN56" s="103">
        <f ca="1">ROUND(VLOOKUP($BJ56&amp;"初始",$S$3:$AE$63,MATCH(BN$3,$S$3:$AE$3,0),FALSE)+(VLOOKUP($BJ56&amp;"最终",$S$3:$AE$63,MATCH(BN$3,$S$3:$AE$3,0),FALSE)-VLOOKUP($BJ56&amp;"初始",$S$3:$AE$63,MATCH(BN$3,$S$3:$AE$3,0),FALSE))*$BL56/VLOOKUP(VLOOKUP($BJ56,坦克个性化设定!$B$18:$E$48,4,FALSE)&amp;$BK56,坦克属性分配比例,MATCH("升星次数",坦克属性分配比例标头,0),FALSE)*VLOOKUP(VLOOKUP($BJ56,坦克个性化设定!$B$18:$E$48,4,FALSE)&amp;$BK56,坦克属性分配比例,MATCH("升星比例",坦克属性分配比例标头,0),FALSE),0)</f>
        <v>102</v>
      </c>
      <c r="BO56" s="103">
        <f ca="1">ROUND(VLOOKUP($BJ56&amp;"初始",$S$3:$AE$63,MATCH(BO$3,$S$3:$AE$3,0),FALSE)+(VLOOKUP($BJ56&amp;"最终",$S$3:$AE$63,MATCH(BO$3,$S$3:$AE$3,0),FALSE)-VLOOKUP($BJ56&amp;"初始",$S$3:$AE$63,MATCH(BO$3,$S$3:$AE$3,0),FALSE))*$BL56/VLOOKUP(VLOOKUP($BJ56,坦克个性化设定!$B$18:$E$48,4,FALSE)&amp;$BK56,坦克属性分配比例,MATCH("升星次数",坦克属性分配比例标头,0),FALSE)*(VLOOKUP(VLOOKUP($BJ56,坦克个性化设定!$B$18:$E$48,4,FALSE)&amp;$BK56,坦克属性分配比例,MATCH("升星比例",坦克属性分配比例标头,0),FALSE)+VLOOKUP(VLOOKUP($BJ56,坦克个性化设定!$B$18:$E$48,4,FALSE)&amp;$BK56,坦克属性分配比例,MATCH("部件比例",坦克属性分配比例标头,0),FALSE)*$C$3),0)</f>
        <v>631</v>
      </c>
      <c r="BP56" s="103">
        <f ca="1">ROUND(VLOOKUP($BJ56&amp;"初始",$S$3:$AE$63,MATCH(BP$3,$S$3:$AE$3,0),FALSE)+(VLOOKUP($BJ56&amp;"最终",$S$3:$AE$63,MATCH(BP$3,$S$3:$AE$3,0),FALSE)-VLOOKUP($BJ56&amp;"初始",$S$3:$AE$63,MATCH(BP$3,$S$3:$AE$3,0),FALSE))*$BL56/VLOOKUP(VLOOKUP($BJ56,坦克个性化设定!$B$18:$E$48,4,FALSE)&amp;$BK56,坦克属性分配比例,MATCH("升星次数",坦克属性分配比例标头,0),FALSE)*(VLOOKUP(VLOOKUP($BJ56,坦克个性化设定!$B$18:$E$48,4,FALSE)&amp;$BK56,坦克属性分配比例,MATCH("升星比例",坦克属性分配比例标头,0),FALSE)+VLOOKUP(VLOOKUP($BJ56,坦克个性化设定!$B$18:$E$48,4,FALSE)&amp;$BK56,坦克属性分配比例,MATCH("部件比例",坦克属性分配比例标头,0),FALSE)*$C$3),0)</f>
        <v>442</v>
      </c>
      <c r="BQ56" s="103">
        <f ca="1">ROUND(VLOOKUP($BJ56&amp;"初始",$S$3:$AE$63,MATCH(BQ$3,$S$3:$AE$3,0),FALSE)+(VLOOKUP($BJ56&amp;"最终",$S$3:$AE$63,MATCH(BQ$3,$S$3:$AE$3,0),FALSE)-VLOOKUP($BJ56&amp;"初始",$S$3:$AE$63,MATCH(BQ$3,$S$3:$AE$3,0),FALSE))*$BL56/VLOOKUP(VLOOKUP($BJ56,坦克个性化设定!$B$18:$E$48,4,FALSE)&amp;$BK56,坦克属性分配比例,MATCH("升星次数",坦克属性分配比例标头,0),FALSE)*VLOOKUP(VLOOKUP($BJ56,坦克个性化设定!$B$18:$E$48,4,FALSE)&amp;$BK56,坦克属性分配比例,MATCH("升星比例",坦克属性分配比例标头,0),FALSE),0)</f>
        <v>576</v>
      </c>
      <c r="BR56" s="2">
        <f ca="1">ROUND(VLOOKUP($BJ56&amp;"初始",$S$3:$AE$63,MATCH(BR$3,$S$3:$AE$3,0),FALSE)+(VLOOKUP($BJ56&amp;"最终",$S$3:$AE$63,MATCH(BR$3,$S$3:$AE$3,0),FALSE)-VLOOKUP($BJ56&amp;"初始",$S$3:$AE$63,MATCH(BR$3,$S$3:$AE$3,0),FALSE))*$BL56/VLOOKUP(VLOOKUP($BJ56,坦克个性化设定!$B$18:$E$48,4,FALSE)&amp;$BK56,坦克属性分配比例,MATCH("升星次数",坦克属性分配比例标头,0),FALSE),0)</f>
        <v>154</v>
      </c>
      <c r="BS56" s="2">
        <f>ROUND(VLOOKUP($BJ56,$AI$3:$AO$33,MATCH(BS$3,$AI$3:$AO$3,0),FALSE)+$BL56/VLOOKUP(VLOOKUP($BJ56,坦克个性化设定!$B$18:$E$48,4,FALSE)&amp;$BK56,坦克属性分配比例,MATCH("升星次数",坦克属性分配比例标头,0),FALSE)*VLOOKUP($BJ56,$AR$3:$AY$33,MATCH(BS$3,$AR$3:$AY$3,0),FALSE),1)</f>
        <v>42.4</v>
      </c>
      <c r="BT56" s="2">
        <f>ROUND(VLOOKUP($BJ56,$AI$3:$AO$33,MATCH(BT$3,$AI$3:$AO$3,0),FALSE)+$BL56/VLOOKUP(VLOOKUP($BJ56,坦克个性化设定!$B$18:$E$48,4,FALSE)&amp;$BK56,坦克属性分配比例,MATCH("升星次数",坦克属性分配比例标头,0),FALSE)*VLOOKUP($BJ56,$AR$3:$AY$33,MATCH(BT$3,$AR$3:$AY$3,0),FALSE),1)</f>
        <v>50</v>
      </c>
      <c r="BU56" s="2">
        <f>ROUND(VLOOKUP($BJ56,$AI$3:$AO$33,MATCH(BU$3,$AI$3:$AO$3,0),FALSE)+$BL56/VLOOKUP(VLOOKUP($BJ56,坦克个性化设定!$B$18:$E$48,4,FALSE)&amp;$BK56,坦克属性分配比例,MATCH("升星次数",坦克属性分配比例标头,0),FALSE)*VLOOKUP($BJ56,$AR$3:$AY$33,MATCH(BU$3,$AR$3:$AY$3,0),FALSE),1)</f>
        <v>10</v>
      </c>
      <c r="BV56" s="2">
        <f>IF(VLOOKUP(BJ56,坦克个性化设定!$B$18:$BC$48,MATCH("装弹类型",坦克个性化设定!$B$18:$BC$18,0),FALSE)="弹夹换弹",0,ROUND(VLOOKUP($BJ56,$AI$3:$AO$33,MATCH("换弹时间",$AI$3:$AO$3,0),FALSE)-$BL56/VLOOKUP(VLOOKUP($BJ56,坦克个性化设定!$B$18:$E$48,4,FALSE)&amp;$BK56,坦克属性分配比例,MATCH("升星次数",坦克属性分配比例标头,0),FALSE)*VLOOKUP($BJ56,$AR$3:$AY$33,MATCH("换弹时间",$AR$3:$AY$3,0),FALSE),2))</f>
        <v>0</v>
      </c>
      <c r="BW56" s="2">
        <f>IF(VLOOKUP(BJ56,坦克个性化设定!$B$18:$BC$48,MATCH("装弹类型",坦克个性化设定!$B$18:$BC$18,0),FALSE)="弹夹换弹",ROUND(VLOOKUP($BJ56,$AI$3:$AO$33,MATCH("换弹时间",$AI$3:$AO$3,0),FALSE)-$BL56/VLOOKUP(VLOOKUP($BJ56,坦克个性化设定!$B$18:$E$48,4,FALSE)&amp;$BK56,坦克属性分配比例,MATCH("升星次数",坦克属性分配比例标头,0),FALSE)*VLOOKUP($BJ56,$AR$3:$AY$33,MATCH("换弹时间",$AR$3:$AY$3,0),FALSE),1),0)</f>
        <v>6.3</v>
      </c>
      <c r="BX56" s="2">
        <f>ROUND(VLOOKUP($BJ56,$AI$3:$AO$33,MATCH(BX$3,$AI$3:$AO$3,0),FALSE)+$BL56/VLOOKUP(VLOOKUP($BJ56,坦克个性化设定!$B$18:$E$48,4,FALSE)&amp;$BK56,坦克属性分配比例,MATCH("升星次数",坦克属性分配比例标头,0),FALSE)*VLOOKUP($BJ56,$AR$3:$AY$33,MATCH(BX$3,$AR$3:$AY$3,0),FALSE),2)</f>
        <v>0.6</v>
      </c>
      <c r="BY56" s="2">
        <f>ROUND(VLOOKUP($BJ56,$AI$3:$AO$33,MATCH(BY$3,$AI$3:$AO$3,0),FALSE)-$BL56/VLOOKUP(VLOOKUP($BJ56,坦克个性化设定!$B$18:$E$48,4,FALSE)&amp;$BK56,坦克属性分配比例,MATCH("升星次数",坦克属性分配比例标头,0),FALSE)*VLOOKUP($BJ56,$AR$3:$AY$33,MATCH(BY$3,$AR$3:$AY$3,0),FALSE),2)</f>
        <v>0.45</v>
      </c>
    </row>
    <row r="57" spans="19:77" x14ac:dyDescent="0.3">
      <c r="S57" s="2" t="str">
        <f t="shared" si="19"/>
        <v>征服者最终</v>
      </c>
      <c r="T57" s="2">
        <f>IF(COUNTIF(U$4:U56,U56)&gt;=$B$3,T56+1,T56)</f>
        <v>27</v>
      </c>
      <c r="U57" s="2" t="str">
        <f t="shared" si="20"/>
        <v>征服者</v>
      </c>
      <c r="V57" s="2" t="str">
        <f>VLOOKUP(U57,坦克个性化设定!$B$18:$F$48,5,FALSE)</f>
        <v>重坦单发</v>
      </c>
      <c r="W57" s="29" t="str">
        <f>VLOOKUP(U57,坦克个性化细分!$I$3:$J$33,2,FALSE)</f>
        <v>低</v>
      </c>
      <c r="X57" s="2" t="str">
        <f t="shared" si="21"/>
        <v>最终</v>
      </c>
      <c r="Y57" s="2" t="str">
        <f>VLOOKUP(VLOOKUP(U57,坦克个性化设定!$B$18:$F$48,4,FALSE)&amp;W57,坦克等级成长!$P$12:$U$24,MATCH(X57,坦克等级成长!$P$12:$U$12,0),FALSE)</f>
        <v>T4低6</v>
      </c>
      <c r="Z57" s="42">
        <f ca="1">VLOOKUP($Y57,INDIRECT($V57&amp;"_阶段属性"),MATCH(Z$3,属性标头_阶段属性,0),FALSE)*VLOOKUP($U57,坦克个性化设定!$B$84:$D$114,2,FALSE)</f>
        <v>2906.6004640535175</v>
      </c>
      <c r="AA57" s="42">
        <f ca="1">VLOOKUP($Y57,INDIRECT($V57&amp;"_阶段属性"),MATCH(AA$3,属性标头_阶段属性,0),FALSE)*VLOOKUP($U57,坦克个性化设定!$B$84:$D$114,3,FALSE)</f>
        <v>928.33502002438183</v>
      </c>
      <c r="AB57" s="2">
        <f t="shared" ca="1" si="22"/>
        <v>886</v>
      </c>
      <c r="AC57" s="2">
        <f t="shared" ca="1" si="22"/>
        <v>709</v>
      </c>
      <c r="AD57" s="2">
        <f t="shared" ca="1" si="22"/>
        <v>1184</v>
      </c>
      <c r="AE57" s="2">
        <f t="shared" ca="1" si="22"/>
        <v>276</v>
      </c>
      <c r="AF57" s="25"/>
      <c r="BH57" s="2" t="str">
        <f t="shared" si="13"/>
        <v>霞飞1</v>
      </c>
      <c r="BI57" s="2">
        <f>IF(BL56&gt;=VLOOKUP(VLOOKUP(BJ56,坦克个性化设定!$B$18:$E$48,4,FALSE)&amp;BK56,坦克属性分配比例,MATCH("升星次数",坦克属性分配比例标头,0),FALSE),BI56+1,BI56)</f>
        <v>7</v>
      </c>
      <c r="BJ57" s="2" t="str">
        <f t="shared" si="14"/>
        <v>霞飞</v>
      </c>
      <c r="BK57" s="29" t="str">
        <f>VLOOKUP(BJ57,坦克个性化细分!$I$3:$J$33,2,FALSE)</f>
        <v>低</v>
      </c>
      <c r="BL57" s="2">
        <f t="shared" si="7"/>
        <v>1</v>
      </c>
      <c r="BM57" s="103">
        <f ca="1">ROUND(VLOOKUP($BJ57&amp;"初始",$S$3:$AE$63,MATCH(BM$3,$S$3:$AE$3,0),FALSE)+((VLOOKUP($BJ57&amp;"最终",$S$3:$AE$63,MATCH(BM$3,$S$3:$AE$3,0),FALSE)*坦克个性化细分!$C$9-VLOOKUP($BJ57&amp;"初始",$S$3:$AE$63,MATCH(BM$3,$S$3:$AE$3,0),FALSE))-(VLOOKUP($BJ57&amp;"最终",$S$3:$AE$63,MATCH(BM$3,$S$3:$AE$3,0),FALSE)-VLOOKUP($BJ57&amp;"初始",$S$3:$AE$63,MATCH(BM$3,$S$3:$AE$3,0),FALSE))*VLOOKUP(VLOOKUP($BJ57,坦克个性化设定!$B$18:$E$48,4,FALSE)&amp;$BK57,坦克属性分配比例,MATCH("部件比例",坦克属性分配比例标头,0),FALSE))*$BL57/VLOOKUP(VLOOKUP($BJ57,坦克个性化设定!$B$18:$E$48,4,FALSE)&amp;$BK57,坦克属性分配比例,MATCH("升星次数",坦克属性分配比例标头,0),FALSE),0)</f>
        <v>1528</v>
      </c>
      <c r="BN57" s="103">
        <f ca="1">ROUND(VLOOKUP($BJ57&amp;"初始",$S$3:$AE$63,MATCH(BN$3,$S$3:$AE$3,0),FALSE)+(VLOOKUP($BJ57&amp;"最终",$S$3:$AE$63,MATCH(BN$3,$S$3:$AE$3,0),FALSE)-VLOOKUP($BJ57&amp;"初始",$S$3:$AE$63,MATCH(BN$3,$S$3:$AE$3,0),FALSE))*$BL57/VLOOKUP(VLOOKUP($BJ57,坦克个性化设定!$B$18:$E$48,4,FALSE)&amp;$BK57,坦克属性分配比例,MATCH("升星次数",坦克属性分配比例标头,0),FALSE)*VLOOKUP(VLOOKUP($BJ57,坦克个性化设定!$B$18:$E$48,4,FALSE)&amp;$BK57,坦克属性分配比例,MATCH("升星比例",坦克属性分配比例标头,0),FALSE),0)</f>
        <v>105</v>
      </c>
      <c r="BO57" s="103">
        <f ca="1">ROUND(VLOOKUP($BJ57&amp;"初始",$S$3:$AE$63,MATCH(BO$3,$S$3:$AE$3,0),FALSE)+(VLOOKUP($BJ57&amp;"最终",$S$3:$AE$63,MATCH(BO$3,$S$3:$AE$3,0),FALSE)-VLOOKUP($BJ57&amp;"初始",$S$3:$AE$63,MATCH(BO$3,$S$3:$AE$3,0),FALSE))*$BL57/VLOOKUP(VLOOKUP($BJ57,坦克个性化设定!$B$18:$E$48,4,FALSE)&amp;$BK57,坦克属性分配比例,MATCH("升星次数",坦克属性分配比例标头,0),FALSE)*(VLOOKUP(VLOOKUP($BJ57,坦克个性化设定!$B$18:$E$48,4,FALSE)&amp;$BK57,坦克属性分配比例,MATCH("升星比例",坦克属性分配比例标头,0),FALSE)+VLOOKUP(VLOOKUP($BJ57,坦克个性化设定!$B$18:$E$48,4,FALSE)&amp;$BK57,坦克属性分配比例,MATCH("部件比例",坦克属性分配比例标头,0),FALSE)*$C$3),0)</f>
        <v>653</v>
      </c>
      <c r="BP57" s="103">
        <f ca="1">ROUND(VLOOKUP($BJ57&amp;"初始",$S$3:$AE$63,MATCH(BP$3,$S$3:$AE$3,0),FALSE)+(VLOOKUP($BJ57&amp;"最终",$S$3:$AE$63,MATCH(BP$3,$S$3:$AE$3,0),FALSE)-VLOOKUP($BJ57&amp;"初始",$S$3:$AE$63,MATCH(BP$3,$S$3:$AE$3,0),FALSE))*$BL57/VLOOKUP(VLOOKUP($BJ57,坦克个性化设定!$B$18:$E$48,4,FALSE)&amp;$BK57,坦克属性分配比例,MATCH("升星次数",坦克属性分配比例标头,0),FALSE)*(VLOOKUP(VLOOKUP($BJ57,坦克个性化设定!$B$18:$E$48,4,FALSE)&amp;$BK57,坦克属性分配比例,MATCH("升星比例",坦克属性分配比例标头,0),FALSE)+VLOOKUP(VLOOKUP($BJ57,坦克个性化设定!$B$18:$E$48,4,FALSE)&amp;$BK57,坦克属性分配比例,MATCH("部件比例",坦克属性分配比例标头,0),FALSE)*$C$3),0)</f>
        <v>457</v>
      </c>
      <c r="BQ57" s="103">
        <f ca="1">ROUND(VLOOKUP($BJ57&amp;"初始",$S$3:$AE$63,MATCH(BQ$3,$S$3:$AE$3,0),FALSE)+(VLOOKUP($BJ57&amp;"最终",$S$3:$AE$63,MATCH(BQ$3,$S$3:$AE$3,0),FALSE)-VLOOKUP($BJ57&amp;"初始",$S$3:$AE$63,MATCH(BQ$3,$S$3:$AE$3,0),FALSE))*$BL57/VLOOKUP(VLOOKUP($BJ57,坦克个性化设定!$B$18:$E$48,4,FALSE)&amp;$BK57,坦克属性分配比例,MATCH("升星次数",坦克属性分配比例标头,0),FALSE)*VLOOKUP(VLOOKUP($BJ57,坦克个性化设定!$B$18:$E$48,4,FALSE)&amp;$BK57,坦克属性分配比例,MATCH("升星比例",坦克属性分配比例标头,0),FALSE),0)</f>
        <v>590</v>
      </c>
      <c r="BR57" s="2">
        <f ca="1">ROUND(VLOOKUP($BJ57&amp;"初始",$S$3:$AE$63,MATCH(BR$3,$S$3:$AE$3,0),FALSE)+(VLOOKUP($BJ57&amp;"最终",$S$3:$AE$63,MATCH(BR$3,$S$3:$AE$3,0),FALSE)-VLOOKUP($BJ57&amp;"初始",$S$3:$AE$63,MATCH(BR$3,$S$3:$AE$3,0),FALSE))*$BL57/VLOOKUP(VLOOKUP($BJ57,坦克个性化设定!$B$18:$E$48,4,FALSE)&amp;$BK57,坦克属性分配比例,MATCH("升星次数",坦克属性分配比例标头,0),FALSE),0)</f>
        <v>161</v>
      </c>
      <c r="BS57" s="2">
        <f>ROUND(VLOOKUP($BJ57,$AI$3:$AO$33,MATCH(BS$3,$AI$3:$AO$3,0),FALSE)+$BL57/VLOOKUP(VLOOKUP($BJ57,坦克个性化设定!$B$18:$E$48,4,FALSE)&amp;$BK57,坦克属性分配比例,MATCH("升星次数",坦克属性分配比例标头,0),FALSE)*VLOOKUP($BJ57,$AR$3:$AY$33,MATCH(BS$3,$AR$3:$AY$3,0),FALSE),1)</f>
        <v>43.4</v>
      </c>
      <c r="BT57" s="2">
        <f>ROUND(VLOOKUP($BJ57,$AI$3:$AO$33,MATCH(BT$3,$AI$3:$AO$3,0),FALSE)+$BL57/VLOOKUP(VLOOKUP($BJ57,坦克个性化设定!$B$18:$E$48,4,FALSE)&amp;$BK57,坦克属性分配比例,MATCH("升星次数",坦克属性分配比例标头,0),FALSE)*VLOOKUP($BJ57,$AR$3:$AY$33,MATCH(BT$3,$AR$3:$AY$3,0),FALSE),1)</f>
        <v>51.1</v>
      </c>
      <c r="BU57" s="2">
        <f>ROUND(VLOOKUP($BJ57,$AI$3:$AO$33,MATCH(BU$3,$AI$3:$AO$3,0),FALSE)+$BL57/VLOOKUP(VLOOKUP($BJ57,坦克个性化设定!$B$18:$E$48,4,FALSE)&amp;$BK57,坦克属性分配比例,MATCH("升星次数",坦克属性分配比例标头,0),FALSE)*VLOOKUP($BJ57,$AR$3:$AY$33,MATCH(BU$3,$AR$3:$AY$3,0),FALSE),1)</f>
        <v>10</v>
      </c>
      <c r="BV57" s="2">
        <f>IF(VLOOKUP(BJ57,坦克个性化设定!$B$18:$BC$48,MATCH("装弹类型",坦克个性化设定!$B$18:$BC$18,0),FALSE)="弹夹换弹",0,ROUND(VLOOKUP($BJ57,$AI$3:$AO$33,MATCH("换弹时间",$AI$3:$AO$3,0),FALSE)-$BL57/VLOOKUP(VLOOKUP($BJ57,坦克个性化设定!$B$18:$E$48,4,FALSE)&amp;$BK57,坦克属性分配比例,MATCH("升星次数",坦克属性分配比例标头,0),FALSE)*VLOOKUP($BJ57,$AR$3:$AY$33,MATCH("换弹时间",$AR$3:$AY$3,0),FALSE),2))</f>
        <v>0</v>
      </c>
      <c r="BW57" s="2">
        <f>IF(VLOOKUP(BJ57,坦克个性化设定!$B$18:$BC$48,MATCH("装弹类型",坦克个性化设定!$B$18:$BC$18,0),FALSE)="弹夹换弹",ROUND(VLOOKUP($BJ57,$AI$3:$AO$33,MATCH("换弹时间",$AI$3:$AO$3,0),FALSE)-$BL57/VLOOKUP(VLOOKUP($BJ57,坦克个性化设定!$B$18:$E$48,4,FALSE)&amp;$BK57,坦克属性分配比例,MATCH("升星次数",坦克属性分配比例标头,0),FALSE)*VLOOKUP($BJ57,$AR$3:$AY$33,MATCH("换弹时间",$AR$3:$AY$3,0),FALSE),1),0)</f>
        <v>6.1</v>
      </c>
      <c r="BX57" s="2">
        <f>ROUND(VLOOKUP($BJ57,$AI$3:$AO$33,MATCH(BX$3,$AI$3:$AO$3,0),FALSE)+$BL57/VLOOKUP(VLOOKUP($BJ57,坦克个性化设定!$B$18:$E$48,4,FALSE)&amp;$BK57,坦克属性分配比例,MATCH("升星次数",坦克属性分配比例标头,0),FALSE)*VLOOKUP($BJ57,$AR$3:$AY$33,MATCH(BX$3,$AR$3:$AY$3,0),FALSE),2)</f>
        <v>0.6</v>
      </c>
      <c r="BY57" s="2">
        <f>ROUND(VLOOKUP($BJ57,$AI$3:$AO$33,MATCH(BY$3,$AI$3:$AO$3,0),FALSE)-$BL57/VLOOKUP(VLOOKUP($BJ57,坦克个性化设定!$B$18:$E$48,4,FALSE)&amp;$BK57,坦克属性分配比例,MATCH("升星次数",坦克属性分配比例标头,0),FALSE)*VLOOKUP($BJ57,$AR$3:$AY$33,MATCH(BY$3,$AR$3:$AY$3,0),FALSE),2)</f>
        <v>0.44</v>
      </c>
    </row>
    <row r="58" spans="19:77" x14ac:dyDescent="0.3">
      <c r="S58" s="2" t="str">
        <f t="shared" si="19"/>
        <v>IS-4初始</v>
      </c>
      <c r="T58" s="2">
        <f>IF(COUNTIF(U$4:U57,U57)&gt;=$B$3,T57+1,T57)</f>
        <v>28</v>
      </c>
      <c r="U58" s="2" t="str">
        <f t="shared" si="20"/>
        <v>IS-4</v>
      </c>
      <c r="V58" s="2" t="str">
        <f>VLOOKUP(U58,坦克个性化设定!$B$18:$F$48,5,FALSE)</f>
        <v>重坦自动</v>
      </c>
      <c r="W58" s="29" t="str">
        <f>VLOOKUP(U58,坦克个性化细分!$I$3:$J$33,2,FALSE)</f>
        <v>中</v>
      </c>
      <c r="X58" s="2" t="str">
        <f t="shared" si="21"/>
        <v>初始</v>
      </c>
      <c r="Y58" s="2" t="str">
        <f>VLOOKUP(VLOOKUP(U58,坦克个性化设定!$B$18:$F$48,4,FALSE)&amp;W58,坦克等级成长!$P$12:$U$24,MATCH(X58,坦克等级成长!$P$12:$U$12,0),FALSE)</f>
        <v>T4中4</v>
      </c>
      <c r="Z58" s="42">
        <f ca="1">VLOOKUP($Y58,INDIRECT($V58&amp;"_阶段属性"),MATCH(Z$3,属性标头_阶段属性,0),FALSE)*VLOOKUP($U58,坦克个性化设定!$B$84:$D$114,2,FALSE)</f>
        <v>1940.0333576902392</v>
      </c>
      <c r="AA58" s="42">
        <f ca="1">VLOOKUP($Y58,INDIRECT($V58&amp;"_阶段属性"),MATCH(AA$3,属性标头_阶段属性,0),FALSE)*VLOOKUP($U58,坦克个性化设定!$B$84:$D$114,3,FALSE)</f>
        <v>550.07498807769684</v>
      </c>
      <c r="AB58" s="2">
        <f t="shared" ca="1" si="22"/>
        <v>571</v>
      </c>
      <c r="AC58" s="2">
        <f t="shared" ca="1" si="22"/>
        <v>457</v>
      </c>
      <c r="AD58" s="2">
        <f t="shared" ca="1" si="22"/>
        <v>840</v>
      </c>
      <c r="AE58" s="2">
        <f t="shared" ca="1" si="22"/>
        <v>196</v>
      </c>
      <c r="AF58" s="25"/>
      <c r="BH58" s="2" t="str">
        <f t="shared" si="13"/>
        <v>霞飞2</v>
      </c>
      <c r="BI58" s="2">
        <f>IF(BL57&gt;=VLOOKUP(VLOOKUP(BJ57,坦克个性化设定!$B$18:$E$48,4,FALSE)&amp;BK57,坦克属性分配比例,MATCH("升星次数",坦克属性分配比例标头,0),FALSE),BI57+1,BI57)</f>
        <v>7</v>
      </c>
      <c r="BJ58" s="2" t="str">
        <f t="shared" si="14"/>
        <v>霞飞</v>
      </c>
      <c r="BK58" s="29" t="str">
        <f>VLOOKUP(BJ58,坦克个性化细分!$I$3:$J$33,2,FALSE)</f>
        <v>低</v>
      </c>
      <c r="BL58" s="2">
        <f t="shared" si="7"/>
        <v>2</v>
      </c>
      <c r="BM58" s="103">
        <f ca="1">ROUND(VLOOKUP($BJ58&amp;"初始",$S$3:$AE$63,MATCH(BM$3,$S$3:$AE$3,0),FALSE)+((VLOOKUP($BJ58&amp;"最终",$S$3:$AE$63,MATCH(BM$3,$S$3:$AE$3,0),FALSE)*坦克个性化细分!$C$9-VLOOKUP($BJ58&amp;"初始",$S$3:$AE$63,MATCH(BM$3,$S$3:$AE$3,0),FALSE))-(VLOOKUP($BJ58&amp;"最终",$S$3:$AE$63,MATCH(BM$3,$S$3:$AE$3,0),FALSE)-VLOOKUP($BJ58&amp;"初始",$S$3:$AE$63,MATCH(BM$3,$S$3:$AE$3,0),FALSE))*VLOOKUP(VLOOKUP($BJ58,坦克个性化设定!$B$18:$E$48,4,FALSE)&amp;$BK58,坦克属性分配比例,MATCH("部件比例",坦克属性分配比例标头,0),FALSE))*$BL58/VLOOKUP(VLOOKUP($BJ58,坦克个性化设定!$B$18:$E$48,4,FALSE)&amp;$BK58,坦克属性分配比例,MATCH("升星次数",坦克属性分配比例标头,0),FALSE),0)</f>
        <v>1589</v>
      </c>
      <c r="BN58" s="103">
        <f ca="1">ROUND(VLOOKUP($BJ58&amp;"初始",$S$3:$AE$63,MATCH(BN$3,$S$3:$AE$3,0),FALSE)+(VLOOKUP($BJ58&amp;"最终",$S$3:$AE$63,MATCH(BN$3,$S$3:$AE$3,0),FALSE)-VLOOKUP($BJ58&amp;"初始",$S$3:$AE$63,MATCH(BN$3,$S$3:$AE$3,0),FALSE))*$BL58/VLOOKUP(VLOOKUP($BJ58,坦克个性化设定!$B$18:$E$48,4,FALSE)&amp;$BK58,坦克属性分配比例,MATCH("升星次数",坦克属性分配比例标头,0),FALSE)*VLOOKUP(VLOOKUP($BJ58,坦克个性化设定!$B$18:$E$48,4,FALSE)&amp;$BK58,坦克属性分配比例,MATCH("升星比例",坦克属性分配比例标头,0),FALSE),0)</f>
        <v>107</v>
      </c>
      <c r="BO58" s="103">
        <f ca="1">ROUND(VLOOKUP($BJ58&amp;"初始",$S$3:$AE$63,MATCH(BO$3,$S$3:$AE$3,0),FALSE)+(VLOOKUP($BJ58&amp;"最终",$S$3:$AE$63,MATCH(BO$3,$S$3:$AE$3,0),FALSE)-VLOOKUP($BJ58&amp;"初始",$S$3:$AE$63,MATCH(BO$3,$S$3:$AE$3,0),FALSE))*$BL58/VLOOKUP(VLOOKUP($BJ58,坦克个性化设定!$B$18:$E$48,4,FALSE)&amp;$BK58,坦克属性分配比例,MATCH("升星次数",坦克属性分配比例标头,0),FALSE)*(VLOOKUP(VLOOKUP($BJ58,坦克个性化设定!$B$18:$E$48,4,FALSE)&amp;$BK58,坦克属性分配比例,MATCH("升星比例",坦克属性分配比例标头,0),FALSE)+VLOOKUP(VLOOKUP($BJ58,坦克个性化设定!$B$18:$E$48,4,FALSE)&amp;$BK58,坦克属性分配比例,MATCH("部件比例",坦克属性分配比例标头,0),FALSE)*$C$3),0)</f>
        <v>675</v>
      </c>
      <c r="BP58" s="103">
        <f ca="1">ROUND(VLOOKUP($BJ58&amp;"初始",$S$3:$AE$63,MATCH(BP$3,$S$3:$AE$3,0),FALSE)+(VLOOKUP($BJ58&amp;"最终",$S$3:$AE$63,MATCH(BP$3,$S$3:$AE$3,0),FALSE)-VLOOKUP($BJ58&amp;"初始",$S$3:$AE$63,MATCH(BP$3,$S$3:$AE$3,0),FALSE))*$BL58/VLOOKUP(VLOOKUP($BJ58,坦克个性化设定!$B$18:$E$48,4,FALSE)&amp;$BK58,坦克属性分配比例,MATCH("升星次数",坦克属性分配比例标头,0),FALSE)*(VLOOKUP(VLOOKUP($BJ58,坦克个性化设定!$B$18:$E$48,4,FALSE)&amp;$BK58,坦克属性分配比例,MATCH("升星比例",坦克属性分配比例标头,0),FALSE)+VLOOKUP(VLOOKUP($BJ58,坦克个性化设定!$B$18:$E$48,4,FALSE)&amp;$BK58,坦克属性分配比例,MATCH("部件比例",坦克属性分配比例标头,0),FALSE)*$C$3),0)</f>
        <v>473</v>
      </c>
      <c r="BQ58" s="103">
        <f ca="1">ROUND(VLOOKUP($BJ58&amp;"初始",$S$3:$AE$63,MATCH(BQ$3,$S$3:$AE$3,0),FALSE)+(VLOOKUP($BJ58&amp;"最终",$S$3:$AE$63,MATCH(BQ$3,$S$3:$AE$3,0),FALSE)-VLOOKUP($BJ58&amp;"初始",$S$3:$AE$63,MATCH(BQ$3,$S$3:$AE$3,0),FALSE))*$BL58/VLOOKUP(VLOOKUP($BJ58,坦克个性化设定!$B$18:$E$48,4,FALSE)&amp;$BK58,坦克属性分配比例,MATCH("升星次数",坦克属性分配比例标头,0),FALSE)*VLOOKUP(VLOOKUP($BJ58,坦克个性化设定!$B$18:$E$48,4,FALSE)&amp;$BK58,坦克属性分配比例,MATCH("升星比例",坦克属性分配比例标头,0),FALSE),0)</f>
        <v>603</v>
      </c>
      <c r="BR58" s="2">
        <f ca="1">ROUND(VLOOKUP($BJ58&amp;"初始",$S$3:$AE$63,MATCH(BR$3,$S$3:$AE$3,0),FALSE)+(VLOOKUP($BJ58&amp;"最终",$S$3:$AE$63,MATCH(BR$3,$S$3:$AE$3,0),FALSE)-VLOOKUP($BJ58&amp;"初始",$S$3:$AE$63,MATCH(BR$3,$S$3:$AE$3,0),FALSE))*$BL58/VLOOKUP(VLOOKUP($BJ58,坦克个性化设定!$B$18:$E$48,4,FALSE)&amp;$BK58,坦克属性分配比例,MATCH("升星次数",坦克属性分配比例标头,0),FALSE),0)</f>
        <v>167</v>
      </c>
      <c r="BS58" s="2">
        <f>ROUND(VLOOKUP($BJ58,$AI$3:$AO$33,MATCH(BS$3,$AI$3:$AO$3,0),FALSE)+$BL58/VLOOKUP(VLOOKUP($BJ58,坦克个性化设定!$B$18:$E$48,4,FALSE)&amp;$BK58,坦克属性分配比例,MATCH("升星次数",坦克属性分配比例标头,0),FALSE)*VLOOKUP($BJ58,$AR$3:$AY$33,MATCH(BS$3,$AR$3:$AY$3,0),FALSE),1)</f>
        <v>44.3</v>
      </c>
      <c r="BT58" s="2">
        <f>ROUND(VLOOKUP($BJ58,$AI$3:$AO$33,MATCH(BT$3,$AI$3:$AO$3,0),FALSE)+$BL58/VLOOKUP(VLOOKUP($BJ58,坦克个性化设定!$B$18:$E$48,4,FALSE)&amp;$BK58,坦克属性分配比例,MATCH("升星次数",坦克属性分配比例标头,0),FALSE)*VLOOKUP($BJ58,$AR$3:$AY$33,MATCH(BT$3,$AR$3:$AY$3,0),FALSE),1)</f>
        <v>52.3</v>
      </c>
      <c r="BU58" s="2">
        <f>ROUND(VLOOKUP($BJ58,$AI$3:$AO$33,MATCH(BU$3,$AI$3:$AO$3,0),FALSE)+$BL58/VLOOKUP(VLOOKUP($BJ58,坦克个性化设定!$B$18:$E$48,4,FALSE)&amp;$BK58,坦克属性分配比例,MATCH("升星次数",坦克属性分配比例标头,0),FALSE)*VLOOKUP($BJ58,$AR$3:$AY$33,MATCH(BU$3,$AR$3:$AY$3,0),FALSE),1)</f>
        <v>10</v>
      </c>
      <c r="BV58" s="2">
        <f>IF(VLOOKUP(BJ58,坦克个性化设定!$B$18:$BC$48,MATCH("装弹类型",坦克个性化设定!$B$18:$BC$18,0),FALSE)="弹夹换弹",0,ROUND(VLOOKUP($BJ58,$AI$3:$AO$33,MATCH("换弹时间",$AI$3:$AO$3,0),FALSE)-$BL58/VLOOKUP(VLOOKUP($BJ58,坦克个性化设定!$B$18:$E$48,4,FALSE)&amp;$BK58,坦克属性分配比例,MATCH("升星次数",坦克属性分配比例标头,0),FALSE)*VLOOKUP($BJ58,$AR$3:$AY$33,MATCH("换弹时间",$AR$3:$AY$3,0),FALSE),2))</f>
        <v>0</v>
      </c>
      <c r="BW58" s="2">
        <f>IF(VLOOKUP(BJ58,坦克个性化设定!$B$18:$BC$48,MATCH("装弹类型",坦克个性化设定!$B$18:$BC$18,0),FALSE)="弹夹换弹",ROUND(VLOOKUP($BJ58,$AI$3:$AO$33,MATCH("换弹时间",$AI$3:$AO$3,0),FALSE)-$BL58/VLOOKUP(VLOOKUP($BJ58,坦克个性化设定!$B$18:$E$48,4,FALSE)&amp;$BK58,坦克属性分配比例,MATCH("升星次数",坦克属性分配比例标头,0),FALSE)*VLOOKUP($BJ58,$AR$3:$AY$33,MATCH("换弹时间",$AR$3:$AY$3,0),FALSE),1),0)</f>
        <v>6</v>
      </c>
      <c r="BX58" s="2">
        <f>ROUND(VLOOKUP($BJ58,$AI$3:$AO$33,MATCH(BX$3,$AI$3:$AO$3,0),FALSE)+$BL58/VLOOKUP(VLOOKUP($BJ58,坦克个性化设定!$B$18:$E$48,4,FALSE)&amp;$BK58,坦克属性分配比例,MATCH("升星次数",坦克属性分配比例标头,0),FALSE)*VLOOKUP($BJ58,$AR$3:$AY$33,MATCH(BX$3,$AR$3:$AY$3,0),FALSE),2)</f>
        <v>0.6</v>
      </c>
      <c r="BY58" s="2">
        <f>ROUND(VLOOKUP($BJ58,$AI$3:$AO$33,MATCH(BY$3,$AI$3:$AO$3,0),FALSE)-$BL58/VLOOKUP(VLOOKUP($BJ58,坦克个性化设定!$B$18:$E$48,4,FALSE)&amp;$BK58,坦克属性分配比例,MATCH("升星次数",坦克属性分配比例标头,0),FALSE)*VLOOKUP($BJ58,$AR$3:$AY$33,MATCH(BY$3,$AR$3:$AY$3,0),FALSE),2)</f>
        <v>0.44</v>
      </c>
    </row>
    <row r="59" spans="19:77" x14ac:dyDescent="0.3">
      <c r="S59" s="2" t="str">
        <f t="shared" si="19"/>
        <v>IS-4最终</v>
      </c>
      <c r="T59" s="2">
        <f>IF(COUNTIF(U$4:U58,U58)&gt;=$B$3,T58+1,T58)</f>
        <v>28</v>
      </c>
      <c r="U59" s="2" t="str">
        <f t="shared" si="20"/>
        <v>IS-4</v>
      </c>
      <c r="V59" s="2" t="str">
        <f>VLOOKUP(U59,坦克个性化设定!$B$18:$F$48,5,FALSE)</f>
        <v>重坦自动</v>
      </c>
      <c r="W59" s="29" t="str">
        <f>VLOOKUP(U59,坦克个性化细分!$I$3:$J$33,2,FALSE)</f>
        <v>中</v>
      </c>
      <c r="X59" s="2" t="str">
        <f t="shared" si="21"/>
        <v>最终</v>
      </c>
      <c r="Y59" s="2" t="str">
        <f>VLOOKUP(VLOOKUP(U59,坦克个性化设定!$B$18:$F$48,4,FALSE)&amp;W59,坦克等级成长!$P$12:$U$24,MATCH(X59,坦克等级成长!$P$12:$U$12,0),FALSE)</f>
        <v>T4中6</v>
      </c>
      <c r="Z59" s="42">
        <f ca="1">VLOOKUP($Y59,INDIRECT($V59&amp;"_阶段属性"),MATCH(Z$3,属性标头_阶段属性,0),FALSE)*VLOOKUP($U59,坦克个性化设定!$B$84:$D$114,2,FALSE)</f>
        <v>2871.8838207606659</v>
      </c>
      <c r="AA59" s="42">
        <f ca="1">VLOOKUP($Y59,INDIRECT($V59&amp;"_阶段属性"),MATCH(AA$3,属性标头_阶段属性,0),FALSE)*VLOOKUP($U59,坦克个性化设定!$B$84:$D$114,3,FALSE)</f>
        <v>813.82362974927901</v>
      </c>
      <c r="AB59" s="2">
        <f t="shared" ca="1" si="22"/>
        <v>846</v>
      </c>
      <c r="AC59" s="2">
        <f t="shared" ca="1" si="22"/>
        <v>677</v>
      </c>
      <c r="AD59" s="2">
        <f t="shared" ca="1" si="22"/>
        <v>1243</v>
      </c>
      <c r="AE59" s="2">
        <f t="shared" ca="1" si="22"/>
        <v>290</v>
      </c>
      <c r="AF59" s="25"/>
      <c r="BH59" s="2" t="str">
        <f t="shared" si="13"/>
        <v>霞飞3</v>
      </c>
      <c r="BI59" s="2">
        <f>IF(BL58&gt;=VLOOKUP(VLOOKUP(BJ58,坦克个性化设定!$B$18:$E$48,4,FALSE)&amp;BK58,坦克属性分配比例,MATCH("升星次数",坦克属性分配比例标头,0),FALSE),BI58+1,BI58)</f>
        <v>7</v>
      </c>
      <c r="BJ59" s="2" t="str">
        <f t="shared" si="14"/>
        <v>霞飞</v>
      </c>
      <c r="BK59" s="29" t="str">
        <f>VLOOKUP(BJ59,坦克个性化细分!$I$3:$J$33,2,FALSE)</f>
        <v>低</v>
      </c>
      <c r="BL59" s="2">
        <f t="shared" si="7"/>
        <v>3</v>
      </c>
      <c r="BM59" s="103">
        <f ca="1">ROUND(VLOOKUP($BJ59&amp;"初始",$S$3:$AE$63,MATCH(BM$3,$S$3:$AE$3,0),FALSE)+((VLOOKUP($BJ59&amp;"最终",$S$3:$AE$63,MATCH(BM$3,$S$3:$AE$3,0),FALSE)*坦克个性化细分!$C$9-VLOOKUP($BJ59&amp;"初始",$S$3:$AE$63,MATCH(BM$3,$S$3:$AE$3,0),FALSE))-(VLOOKUP($BJ59&amp;"最终",$S$3:$AE$63,MATCH(BM$3,$S$3:$AE$3,0),FALSE)-VLOOKUP($BJ59&amp;"初始",$S$3:$AE$63,MATCH(BM$3,$S$3:$AE$3,0),FALSE))*VLOOKUP(VLOOKUP($BJ59,坦克个性化设定!$B$18:$E$48,4,FALSE)&amp;$BK59,坦克属性分配比例,MATCH("部件比例",坦克属性分配比例标头,0),FALSE))*$BL59/VLOOKUP(VLOOKUP($BJ59,坦克个性化设定!$B$18:$E$48,4,FALSE)&amp;$BK59,坦克属性分配比例,MATCH("升星次数",坦克属性分配比例标头,0),FALSE),0)</f>
        <v>1650</v>
      </c>
      <c r="BN59" s="103">
        <f ca="1">ROUND(VLOOKUP($BJ59&amp;"初始",$S$3:$AE$63,MATCH(BN$3,$S$3:$AE$3,0),FALSE)+(VLOOKUP($BJ59&amp;"最终",$S$3:$AE$63,MATCH(BN$3,$S$3:$AE$3,0),FALSE)-VLOOKUP($BJ59&amp;"初始",$S$3:$AE$63,MATCH(BN$3,$S$3:$AE$3,0),FALSE))*$BL59/VLOOKUP(VLOOKUP($BJ59,坦克个性化设定!$B$18:$E$48,4,FALSE)&amp;$BK59,坦克属性分配比例,MATCH("升星次数",坦克属性分配比例标头,0),FALSE)*VLOOKUP(VLOOKUP($BJ59,坦克个性化设定!$B$18:$E$48,4,FALSE)&amp;$BK59,坦克属性分配比例,MATCH("升星比例",坦克属性分配比例标头,0),FALSE),0)</f>
        <v>109</v>
      </c>
      <c r="BO59" s="103">
        <f ca="1">ROUND(VLOOKUP($BJ59&amp;"初始",$S$3:$AE$63,MATCH(BO$3,$S$3:$AE$3,0),FALSE)+(VLOOKUP($BJ59&amp;"最终",$S$3:$AE$63,MATCH(BO$3,$S$3:$AE$3,0),FALSE)-VLOOKUP($BJ59&amp;"初始",$S$3:$AE$63,MATCH(BO$3,$S$3:$AE$3,0),FALSE))*$BL59/VLOOKUP(VLOOKUP($BJ59,坦克个性化设定!$B$18:$E$48,4,FALSE)&amp;$BK59,坦克属性分配比例,MATCH("升星次数",坦克属性分配比例标头,0),FALSE)*(VLOOKUP(VLOOKUP($BJ59,坦克个性化设定!$B$18:$E$48,4,FALSE)&amp;$BK59,坦克属性分配比例,MATCH("升星比例",坦克属性分配比例标头,0),FALSE)+VLOOKUP(VLOOKUP($BJ59,坦克个性化设定!$B$18:$E$48,4,FALSE)&amp;$BK59,坦克属性分配比例,MATCH("部件比例",坦克属性分配比例标头,0),FALSE)*$C$3),0)</f>
        <v>697</v>
      </c>
      <c r="BP59" s="103">
        <f ca="1">ROUND(VLOOKUP($BJ59&amp;"初始",$S$3:$AE$63,MATCH(BP$3,$S$3:$AE$3,0),FALSE)+(VLOOKUP($BJ59&amp;"最终",$S$3:$AE$63,MATCH(BP$3,$S$3:$AE$3,0),FALSE)-VLOOKUP($BJ59&amp;"初始",$S$3:$AE$63,MATCH(BP$3,$S$3:$AE$3,0),FALSE))*$BL59/VLOOKUP(VLOOKUP($BJ59,坦克个性化设定!$B$18:$E$48,4,FALSE)&amp;$BK59,坦克属性分配比例,MATCH("升星次数",坦克属性分配比例标头,0),FALSE)*(VLOOKUP(VLOOKUP($BJ59,坦克个性化设定!$B$18:$E$48,4,FALSE)&amp;$BK59,坦克属性分配比例,MATCH("升星比例",坦克属性分配比例标头,0),FALSE)+VLOOKUP(VLOOKUP($BJ59,坦克个性化设定!$B$18:$E$48,4,FALSE)&amp;$BK59,坦克属性分配比例,MATCH("部件比例",坦克属性分配比例标头,0),FALSE)*$C$3),0)</f>
        <v>488</v>
      </c>
      <c r="BQ59" s="103">
        <f ca="1">ROUND(VLOOKUP($BJ59&amp;"初始",$S$3:$AE$63,MATCH(BQ$3,$S$3:$AE$3,0),FALSE)+(VLOOKUP($BJ59&amp;"最终",$S$3:$AE$63,MATCH(BQ$3,$S$3:$AE$3,0),FALSE)-VLOOKUP($BJ59&amp;"初始",$S$3:$AE$63,MATCH(BQ$3,$S$3:$AE$3,0),FALSE))*$BL59/VLOOKUP(VLOOKUP($BJ59,坦克个性化设定!$B$18:$E$48,4,FALSE)&amp;$BK59,坦克属性分配比例,MATCH("升星次数",坦克属性分配比例标头,0),FALSE)*VLOOKUP(VLOOKUP($BJ59,坦克个性化设定!$B$18:$E$48,4,FALSE)&amp;$BK59,坦克属性分配比例,MATCH("升星比例",坦克属性分配比例标头,0),FALSE),0)</f>
        <v>617</v>
      </c>
      <c r="BR59" s="2">
        <f ca="1">ROUND(VLOOKUP($BJ59&amp;"初始",$S$3:$AE$63,MATCH(BR$3,$S$3:$AE$3,0),FALSE)+(VLOOKUP($BJ59&amp;"最终",$S$3:$AE$63,MATCH(BR$3,$S$3:$AE$3,0),FALSE)-VLOOKUP($BJ59&amp;"初始",$S$3:$AE$63,MATCH(BR$3,$S$3:$AE$3,0),FALSE))*$BL59/VLOOKUP(VLOOKUP($BJ59,坦克个性化设定!$B$18:$E$48,4,FALSE)&amp;$BK59,坦克属性分配比例,MATCH("升星次数",坦克属性分配比例标头,0),FALSE),0)</f>
        <v>174</v>
      </c>
      <c r="BS59" s="2">
        <f>ROUND(VLOOKUP($BJ59,$AI$3:$AO$33,MATCH(BS$3,$AI$3:$AO$3,0),FALSE)+$BL59/VLOOKUP(VLOOKUP($BJ59,坦克个性化设定!$B$18:$E$48,4,FALSE)&amp;$BK59,坦克属性分配比例,MATCH("升星次数",坦克属性分配比例标头,0),FALSE)*VLOOKUP($BJ59,$AR$3:$AY$33,MATCH(BS$3,$AR$3:$AY$3,0),FALSE),1)</f>
        <v>45.3</v>
      </c>
      <c r="BT59" s="2">
        <f>ROUND(VLOOKUP($BJ59,$AI$3:$AO$33,MATCH(BT$3,$AI$3:$AO$3,0),FALSE)+$BL59/VLOOKUP(VLOOKUP($BJ59,坦克个性化设定!$B$18:$E$48,4,FALSE)&amp;$BK59,坦克属性分配比例,MATCH("升星次数",坦克属性分配比例标头,0),FALSE)*VLOOKUP($BJ59,$AR$3:$AY$33,MATCH(BT$3,$AR$3:$AY$3,0),FALSE),1)</f>
        <v>53.4</v>
      </c>
      <c r="BU59" s="2">
        <f>ROUND(VLOOKUP($BJ59,$AI$3:$AO$33,MATCH(BU$3,$AI$3:$AO$3,0),FALSE)+$BL59/VLOOKUP(VLOOKUP($BJ59,坦克个性化设定!$B$18:$E$48,4,FALSE)&amp;$BK59,坦克属性分配比例,MATCH("升星次数",坦克属性分配比例标头,0),FALSE)*VLOOKUP($BJ59,$AR$3:$AY$33,MATCH(BU$3,$AR$3:$AY$3,0),FALSE),1)</f>
        <v>10</v>
      </c>
      <c r="BV59" s="2">
        <f>IF(VLOOKUP(BJ59,坦克个性化设定!$B$18:$BC$48,MATCH("装弹类型",坦克个性化设定!$B$18:$BC$18,0),FALSE)="弹夹换弹",0,ROUND(VLOOKUP($BJ59,$AI$3:$AO$33,MATCH("换弹时间",$AI$3:$AO$3,0),FALSE)-$BL59/VLOOKUP(VLOOKUP($BJ59,坦克个性化设定!$B$18:$E$48,4,FALSE)&amp;$BK59,坦克属性分配比例,MATCH("升星次数",坦克属性分配比例标头,0),FALSE)*VLOOKUP($BJ59,$AR$3:$AY$33,MATCH("换弹时间",$AR$3:$AY$3,0),FALSE),2))</f>
        <v>0</v>
      </c>
      <c r="BW59" s="2">
        <f>IF(VLOOKUP(BJ59,坦克个性化设定!$B$18:$BC$48,MATCH("装弹类型",坦克个性化设定!$B$18:$BC$18,0),FALSE)="弹夹换弹",ROUND(VLOOKUP($BJ59,$AI$3:$AO$33,MATCH("换弹时间",$AI$3:$AO$3,0),FALSE)-$BL59/VLOOKUP(VLOOKUP($BJ59,坦克个性化设定!$B$18:$E$48,4,FALSE)&amp;$BK59,坦克属性分配比例,MATCH("升星次数",坦克属性分配比例标头,0),FALSE)*VLOOKUP($BJ59,$AR$3:$AY$33,MATCH("换弹时间",$AR$3:$AY$3,0),FALSE),1),0)</f>
        <v>5.8</v>
      </c>
      <c r="BX59" s="2">
        <f>ROUND(VLOOKUP($BJ59,$AI$3:$AO$33,MATCH(BX$3,$AI$3:$AO$3,0),FALSE)+$BL59/VLOOKUP(VLOOKUP($BJ59,坦克个性化设定!$B$18:$E$48,4,FALSE)&amp;$BK59,坦克属性分配比例,MATCH("升星次数",坦克属性分配比例标头,0),FALSE)*VLOOKUP($BJ59,$AR$3:$AY$33,MATCH(BX$3,$AR$3:$AY$3,0),FALSE),2)</f>
        <v>0.6</v>
      </c>
      <c r="BY59" s="2">
        <f>ROUND(VLOOKUP($BJ59,$AI$3:$AO$33,MATCH(BY$3,$AI$3:$AO$3,0),FALSE)-$BL59/VLOOKUP(VLOOKUP($BJ59,坦克个性化设定!$B$18:$E$48,4,FALSE)&amp;$BK59,坦克属性分配比例,MATCH("升星次数",坦克属性分配比例标头,0),FALSE)*VLOOKUP($BJ59,$AR$3:$AY$33,MATCH(BY$3,$AR$3:$AY$3,0),FALSE),2)</f>
        <v>0.43</v>
      </c>
    </row>
    <row r="60" spans="19:77" x14ac:dyDescent="0.3">
      <c r="S60" s="2" t="str">
        <f t="shared" si="19"/>
        <v>T-32初始</v>
      </c>
      <c r="T60" s="2">
        <f>IF(COUNTIF(U$4:U59,U59)&gt;=$B$3,T59+1,T59)</f>
        <v>29</v>
      </c>
      <c r="U60" s="2" t="str">
        <f t="shared" si="20"/>
        <v>T-32</v>
      </c>
      <c r="V60" s="2" t="str">
        <f>VLOOKUP(U60,坦克个性化设定!$B$18:$F$48,5,FALSE)</f>
        <v>重坦单发</v>
      </c>
      <c r="W60" s="29" t="str">
        <f>VLOOKUP(U60,坦克个性化细分!$I$3:$J$33,2,FALSE)</f>
        <v>高</v>
      </c>
      <c r="X60" s="2" t="str">
        <f t="shared" si="21"/>
        <v>初始</v>
      </c>
      <c r="Y60" s="2" t="str">
        <f>VLOOKUP(VLOOKUP(U60,坦克个性化设定!$B$18:$F$48,4,FALSE)&amp;W60,坦克等级成长!$P$12:$U$24,MATCH(X60,坦克等级成长!$P$12:$U$12,0),FALSE)</f>
        <v>T4高4</v>
      </c>
      <c r="Z60" s="42">
        <f ca="1">VLOOKUP($Y60,INDIRECT($V60&amp;"_阶段属性"),MATCH(Z$3,属性标头_阶段属性,0),FALSE)*VLOOKUP($U60,坦克个性化设定!$B$84:$D$114,2,FALSE)</f>
        <v>1837.7116869508964</v>
      </c>
      <c r="AA60" s="42">
        <f ca="1">VLOOKUP($Y60,INDIRECT($V60&amp;"_阶段属性"),MATCH(AA$3,属性标头_阶段属性,0),FALSE)*VLOOKUP($U60,坦克个性化设定!$B$84:$D$114,3,FALSE)</f>
        <v>755.02213424029571</v>
      </c>
      <c r="AB60" s="2">
        <f t="shared" ca="1" si="22"/>
        <v>629</v>
      </c>
      <c r="AC60" s="2">
        <f t="shared" ca="1" si="22"/>
        <v>503</v>
      </c>
      <c r="AD60" s="2">
        <f t="shared" ca="1" si="22"/>
        <v>840</v>
      </c>
      <c r="AE60" s="2">
        <f t="shared" ca="1" si="22"/>
        <v>196</v>
      </c>
      <c r="AF60" s="25"/>
      <c r="BH60" s="2" t="str">
        <f t="shared" si="13"/>
        <v>霞飞4</v>
      </c>
      <c r="BI60" s="2">
        <f>IF(BL59&gt;=VLOOKUP(VLOOKUP(BJ59,坦克个性化设定!$B$18:$E$48,4,FALSE)&amp;BK59,坦克属性分配比例,MATCH("升星次数",坦克属性分配比例标头,0),FALSE),BI59+1,BI59)</f>
        <v>7</v>
      </c>
      <c r="BJ60" s="2" t="str">
        <f t="shared" si="14"/>
        <v>霞飞</v>
      </c>
      <c r="BK60" s="29" t="str">
        <f>VLOOKUP(BJ60,坦克个性化细分!$I$3:$J$33,2,FALSE)</f>
        <v>低</v>
      </c>
      <c r="BL60" s="2">
        <f t="shared" si="7"/>
        <v>4</v>
      </c>
      <c r="BM60" s="103">
        <f ca="1">ROUND(VLOOKUP($BJ60&amp;"初始",$S$3:$AE$63,MATCH(BM$3,$S$3:$AE$3,0),FALSE)+((VLOOKUP($BJ60&amp;"最终",$S$3:$AE$63,MATCH(BM$3,$S$3:$AE$3,0),FALSE)*坦克个性化细分!$C$9-VLOOKUP($BJ60&amp;"初始",$S$3:$AE$63,MATCH(BM$3,$S$3:$AE$3,0),FALSE))-(VLOOKUP($BJ60&amp;"最终",$S$3:$AE$63,MATCH(BM$3,$S$3:$AE$3,0),FALSE)-VLOOKUP($BJ60&amp;"初始",$S$3:$AE$63,MATCH(BM$3,$S$3:$AE$3,0),FALSE))*VLOOKUP(VLOOKUP($BJ60,坦克个性化设定!$B$18:$E$48,4,FALSE)&amp;$BK60,坦克属性分配比例,MATCH("部件比例",坦克属性分配比例标头,0),FALSE))*$BL60/VLOOKUP(VLOOKUP($BJ60,坦克个性化设定!$B$18:$E$48,4,FALSE)&amp;$BK60,坦克属性分配比例,MATCH("升星次数",坦克属性分配比例标头,0),FALSE),0)</f>
        <v>1711</v>
      </c>
      <c r="BN60" s="103">
        <f ca="1">ROUND(VLOOKUP($BJ60&amp;"初始",$S$3:$AE$63,MATCH(BN$3,$S$3:$AE$3,0),FALSE)+(VLOOKUP($BJ60&amp;"最终",$S$3:$AE$63,MATCH(BN$3,$S$3:$AE$3,0),FALSE)-VLOOKUP($BJ60&amp;"初始",$S$3:$AE$63,MATCH(BN$3,$S$3:$AE$3,0),FALSE))*$BL60/VLOOKUP(VLOOKUP($BJ60,坦克个性化设定!$B$18:$E$48,4,FALSE)&amp;$BK60,坦克属性分配比例,MATCH("升星次数",坦克属性分配比例标头,0),FALSE)*VLOOKUP(VLOOKUP($BJ60,坦克个性化设定!$B$18:$E$48,4,FALSE)&amp;$BK60,坦克属性分配比例,MATCH("升星比例",坦克属性分配比例标头,0),FALSE),0)</f>
        <v>112</v>
      </c>
      <c r="BO60" s="103">
        <f ca="1">ROUND(VLOOKUP($BJ60&amp;"初始",$S$3:$AE$63,MATCH(BO$3,$S$3:$AE$3,0),FALSE)+(VLOOKUP($BJ60&amp;"最终",$S$3:$AE$63,MATCH(BO$3,$S$3:$AE$3,0),FALSE)-VLOOKUP($BJ60&amp;"初始",$S$3:$AE$63,MATCH(BO$3,$S$3:$AE$3,0),FALSE))*$BL60/VLOOKUP(VLOOKUP($BJ60,坦克个性化设定!$B$18:$E$48,4,FALSE)&amp;$BK60,坦克属性分配比例,MATCH("升星次数",坦克属性分配比例标头,0),FALSE)*(VLOOKUP(VLOOKUP($BJ60,坦克个性化设定!$B$18:$E$48,4,FALSE)&amp;$BK60,坦克属性分配比例,MATCH("升星比例",坦克属性分配比例标头,0),FALSE)+VLOOKUP(VLOOKUP($BJ60,坦克个性化设定!$B$18:$E$48,4,FALSE)&amp;$BK60,坦克属性分配比例,MATCH("部件比例",坦克属性分配比例标头,0),FALSE)*$C$3),0)</f>
        <v>719</v>
      </c>
      <c r="BP60" s="103">
        <f ca="1">ROUND(VLOOKUP($BJ60&amp;"初始",$S$3:$AE$63,MATCH(BP$3,$S$3:$AE$3,0),FALSE)+(VLOOKUP($BJ60&amp;"最终",$S$3:$AE$63,MATCH(BP$3,$S$3:$AE$3,0),FALSE)-VLOOKUP($BJ60&amp;"初始",$S$3:$AE$63,MATCH(BP$3,$S$3:$AE$3,0),FALSE))*$BL60/VLOOKUP(VLOOKUP($BJ60,坦克个性化设定!$B$18:$E$48,4,FALSE)&amp;$BK60,坦克属性分配比例,MATCH("升星次数",坦克属性分配比例标头,0),FALSE)*(VLOOKUP(VLOOKUP($BJ60,坦克个性化设定!$B$18:$E$48,4,FALSE)&amp;$BK60,坦克属性分配比例,MATCH("升星比例",坦克属性分配比例标头,0),FALSE)+VLOOKUP(VLOOKUP($BJ60,坦克个性化设定!$B$18:$E$48,4,FALSE)&amp;$BK60,坦克属性分配比例,MATCH("部件比例",坦克属性分配比例标头,0),FALSE)*$C$3),0)</f>
        <v>504</v>
      </c>
      <c r="BQ60" s="103">
        <f ca="1">ROUND(VLOOKUP($BJ60&amp;"初始",$S$3:$AE$63,MATCH(BQ$3,$S$3:$AE$3,0),FALSE)+(VLOOKUP($BJ60&amp;"最终",$S$3:$AE$63,MATCH(BQ$3,$S$3:$AE$3,0),FALSE)-VLOOKUP($BJ60&amp;"初始",$S$3:$AE$63,MATCH(BQ$3,$S$3:$AE$3,0),FALSE))*$BL60/VLOOKUP(VLOOKUP($BJ60,坦克个性化设定!$B$18:$E$48,4,FALSE)&amp;$BK60,坦克属性分配比例,MATCH("升星次数",坦克属性分配比例标头,0),FALSE)*VLOOKUP(VLOOKUP($BJ60,坦克个性化设定!$B$18:$E$48,4,FALSE)&amp;$BK60,坦克属性分配比例,MATCH("升星比例",坦克属性分配比例标头,0),FALSE),0)</f>
        <v>630</v>
      </c>
      <c r="BR60" s="2">
        <f ca="1">ROUND(VLOOKUP($BJ60&amp;"初始",$S$3:$AE$63,MATCH(BR$3,$S$3:$AE$3,0),FALSE)+(VLOOKUP($BJ60&amp;"最终",$S$3:$AE$63,MATCH(BR$3,$S$3:$AE$3,0),FALSE)-VLOOKUP($BJ60&amp;"初始",$S$3:$AE$63,MATCH(BR$3,$S$3:$AE$3,0),FALSE))*$BL60/VLOOKUP(VLOOKUP($BJ60,坦克个性化设定!$B$18:$E$48,4,FALSE)&amp;$BK60,坦克属性分配比例,MATCH("升星次数",坦克属性分配比例标头,0),FALSE),0)</f>
        <v>180</v>
      </c>
      <c r="BS60" s="2">
        <f>ROUND(VLOOKUP($BJ60,$AI$3:$AO$33,MATCH(BS$3,$AI$3:$AO$3,0),FALSE)+$BL60/VLOOKUP(VLOOKUP($BJ60,坦克个性化设定!$B$18:$E$48,4,FALSE)&amp;$BK60,坦克属性分配比例,MATCH("升星次数",坦克属性分配比例标头,0),FALSE)*VLOOKUP($BJ60,$AR$3:$AY$33,MATCH(BS$3,$AR$3:$AY$3,0),FALSE),1)</f>
        <v>46.3</v>
      </c>
      <c r="BT60" s="2">
        <f>ROUND(VLOOKUP($BJ60,$AI$3:$AO$33,MATCH(BT$3,$AI$3:$AO$3,0),FALSE)+$BL60/VLOOKUP(VLOOKUP($BJ60,坦克个性化设定!$B$18:$E$48,4,FALSE)&amp;$BK60,坦克属性分配比例,MATCH("升星次数",坦克属性分配比例标头,0),FALSE)*VLOOKUP($BJ60,$AR$3:$AY$33,MATCH(BT$3,$AR$3:$AY$3,0),FALSE),1)</f>
        <v>54.5</v>
      </c>
      <c r="BU60" s="2">
        <f>ROUND(VLOOKUP($BJ60,$AI$3:$AO$33,MATCH(BU$3,$AI$3:$AO$3,0),FALSE)+$BL60/VLOOKUP(VLOOKUP($BJ60,坦克个性化设定!$B$18:$E$48,4,FALSE)&amp;$BK60,坦克属性分配比例,MATCH("升星次数",坦克属性分配比例标头,0),FALSE)*VLOOKUP($BJ60,$AR$3:$AY$33,MATCH(BU$3,$AR$3:$AY$3,0),FALSE),1)</f>
        <v>10</v>
      </c>
      <c r="BV60" s="2">
        <f>IF(VLOOKUP(BJ60,坦克个性化设定!$B$18:$BC$48,MATCH("装弹类型",坦克个性化设定!$B$18:$BC$18,0),FALSE)="弹夹换弹",0,ROUND(VLOOKUP($BJ60,$AI$3:$AO$33,MATCH("换弹时间",$AI$3:$AO$3,0),FALSE)-$BL60/VLOOKUP(VLOOKUP($BJ60,坦克个性化设定!$B$18:$E$48,4,FALSE)&amp;$BK60,坦克属性分配比例,MATCH("升星次数",坦克属性分配比例标头,0),FALSE)*VLOOKUP($BJ60,$AR$3:$AY$33,MATCH("换弹时间",$AR$3:$AY$3,0),FALSE),2))</f>
        <v>0</v>
      </c>
      <c r="BW60" s="2">
        <f>IF(VLOOKUP(BJ60,坦克个性化设定!$B$18:$BC$48,MATCH("装弹类型",坦克个性化设定!$B$18:$BC$18,0),FALSE)="弹夹换弹",ROUND(VLOOKUP($BJ60,$AI$3:$AO$33,MATCH("换弹时间",$AI$3:$AO$3,0),FALSE)-$BL60/VLOOKUP(VLOOKUP($BJ60,坦克个性化设定!$B$18:$E$48,4,FALSE)&amp;$BK60,坦克属性分配比例,MATCH("升星次数",坦克属性分配比例标头,0),FALSE)*VLOOKUP($BJ60,$AR$3:$AY$33,MATCH("换弹时间",$AR$3:$AY$3,0),FALSE),1),0)</f>
        <v>5.7</v>
      </c>
      <c r="BX60" s="2">
        <f>ROUND(VLOOKUP($BJ60,$AI$3:$AO$33,MATCH(BX$3,$AI$3:$AO$3,0),FALSE)+$BL60/VLOOKUP(VLOOKUP($BJ60,坦克个性化设定!$B$18:$E$48,4,FALSE)&amp;$BK60,坦克属性分配比例,MATCH("升星次数",坦克属性分配比例标头,0),FALSE)*VLOOKUP($BJ60,$AR$3:$AY$33,MATCH(BX$3,$AR$3:$AY$3,0),FALSE),2)</f>
        <v>0.6</v>
      </c>
      <c r="BY60" s="2">
        <f>ROUND(VLOOKUP($BJ60,$AI$3:$AO$33,MATCH(BY$3,$AI$3:$AO$3,0),FALSE)-$BL60/VLOOKUP(VLOOKUP($BJ60,坦克个性化设定!$B$18:$E$48,4,FALSE)&amp;$BK60,坦克属性分配比例,MATCH("升星次数",坦克属性分配比例标头,0),FALSE)*VLOOKUP($BJ60,$AR$3:$AY$33,MATCH(BY$3,$AR$3:$AY$3,0),FALSE),2)</f>
        <v>0.42</v>
      </c>
    </row>
    <row r="61" spans="19:77" x14ac:dyDescent="0.3">
      <c r="S61" s="2" t="str">
        <f t="shared" si="19"/>
        <v>T-32最终</v>
      </c>
      <c r="T61" s="2">
        <f>IF(COUNTIF(U$4:U60,U60)&gt;=$B$3,T60+1,T60)</f>
        <v>29</v>
      </c>
      <c r="U61" s="2" t="str">
        <f t="shared" si="20"/>
        <v>T-32</v>
      </c>
      <c r="V61" s="2" t="str">
        <f>VLOOKUP(U61,坦克个性化设定!$B$18:$F$48,5,FALSE)</f>
        <v>重坦单发</v>
      </c>
      <c r="W61" s="29" t="str">
        <f>VLOOKUP(U61,坦克个性化细分!$I$3:$J$33,2,FALSE)</f>
        <v>高</v>
      </c>
      <c r="X61" s="2" t="str">
        <f t="shared" si="21"/>
        <v>最终</v>
      </c>
      <c r="Y61" s="2" t="str">
        <f>VLOOKUP(VLOOKUP(U61,坦克个性化设定!$B$18:$F$48,4,FALSE)&amp;W61,坦克等级成长!$P$12:$U$24,MATCH(X61,坦克等级成长!$P$12:$U$12,0),FALSE)</f>
        <v>T4高6</v>
      </c>
      <c r="Z61" s="42">
        <f ca="1">VLOOKUP($Y61,INDIRECT($V61&amp;"_阶段属性"),MATCH(Z$3,属性标头_阶段属性,0),FALSE)*VLOOKUP($U61,坦克个性化设定!$B$84:$D$114,2,FALSE)</f>
        <v>2720.4142856907238</v>
      </c>
      <c r="AA61" s="42">
        <f ca="1">VLOOKUP($Y61,INDIRECT($V61&amp;"_阶段属性"),MATCH(AA$3,属性标头_阶段属性,0),FALSE)*VLOOKUP($U61,坦克个性化设定!$B$84:$D$114,3,FALSE)</f>
        <v>1139.4551250170894</v>
      </c>
      <c r="AB61" s="2">
        <f t="shared" ca="1" si="22"/>
        <v>949</v>
      </c>
      <c r="AC61" s="2">
        <f t="shared" ca="1" si="22"/>
        <v>759</v>
      </c>
      <c r="AD61" s="2">
        <f t="shared" ca="1" si="22"/>
        <v>1268</v>
      </c>
      <c r="AE61" s="2">
        <f t="shared" ca="1" si="22"/>
        <v>296</v>
      </c>
      <c r="AF61" s="25"/>
      <c r="BH61" s="2" t="str">
        <f t="shared" si="13"/>
        <v>霞飞5</v>
      </c>
      <c r="BI61" s="2">
        <f>IF(BL60&gt;=VLOOKUP(VLOOKUP(BJ60,坦克个性化设定!$B$18:$E$48,4,FALSE)&amp;BK60,坦克属性分配比例,MATCH("升星次数",坦克属性分配比例标头,0),FALSE),BI60+1,BI60)</f>
        <v>7</v>
      </c>
      <c r="BJ61" s="2" t="str">
        <f t="shared" si="14"/>
        <v>霞飞</v>
      </c>
      <c r="BK61" s="29" t="str">
        <f>VLOOKUP(BJ61,坦克个性化细分!$I$3:$J$33,2,FALSE)</f>
        <v>低</v>
      </c>
      <c r="BL61" s="2">
        <f t="shared" si="7"/>
        <v>5</v>
      </c>
      <c r="BM61" s="103">
        <f ca="1">ROUND(VLOOKUP($BJ61&amp;"初始",$S$3:$AE$63,MATCH(BM$3,$S$3:$AE$3,0),FALSE)+((VLOOKUP($BJ61&amp;"最终",$S$3:$AE$63,MATCH(BM$3,$S$3:$AE$3,0),FALSE)*坦克个性化细分!$C$9-VLOOKUP($BJ61&amp;"初始",$S$3:$AE$63,MATCH(BM$3,$S$3:$AE$3,0),FALSE))-(VLOOKUP($BJ61&amp;"最终",$S$3:$AE$63,MATCH(BM$3,$S$3:$AE$3,0),FALSE)-VLOOKUP($BJ61&amp;"初始",$S$3:$AE$63,MATCH(BM$3,$S$3:$AE$3,0),FALSE))*VLOOKUP(VLOOKUP($BJ61,坦克个性化设定!$B$18:$E$48,4,FALSE)&amp;$BK61,坦克属性分配比例,MATCH("部件比例",坦克属性分配比例标头,0),FALSE))*$BL61/VLOOKUP(VLOOKUP($BJ61,坦克个性化设定!$B$18:$E$48,4,FALSE)&amp;$BK61,坦克属性分配比例,MATCH("升星次数",坦克属性分配比例标头,0),FALSE),0)</f>
        <v>1772</v>
      </c>
      <c r="BN61" s="103">
        <f ca="1">ROUND(VLOOKUP($BJ61&amp;"初始",$S$3:$AE$63,MATCH(BN$3,$S$3:$AE$3,0),FALSE)+(VLOOKUP($BJ61&amp;"最终",$S$3:$AE$63,MATCH(BN$3,$S$3:$AE$3,0),FALSE)-VLOOKUP($BJ61&amp;"初始",$S$3:$AE$63,MATCH(BN$3,$S$3:$AE$3,0),FALSE))*$BL61/VLOOKUP(VLOOKUP($BJ61,坦克个性化设定!$B$18:$E$48,4,FALSE)&amp;$BK61,坦克属性分配比例,MATCH("升星次数",坦克属性分配比例标头,0),FALSE)*VLOOKUP(VLOOKUP($BJ61,坦克个性化设定!$B$18:$E$48,4,FALSE)&amp;$BK61,坦克属性分配比例,MATCH("升星比例",坦克属性分配比例标头,0),FALSE),0)</f>
        <v>114</v>
      </c>
      <c r="BO61" s="103">
        <f ca="1">ROUND(VLOOKUP($BJ61&amp;"初始",$S$3:$AE$63,MATCH(BO$3,$S$3:$AE$3,0),FALSE)+(VLOOKUP($BJ61&amp;"最终",$S$3:$AE$63,MATCH(BO$3,$S$3:$AE$3,0),FALSE)-VLOOKUP($BJ61&amp;"初始",$S$3:$AE$63,MATCH(BO$3,$S$3:$AE$3,0),FALSE))*$BL61/VLOOKUP(VLOOKUP($BJ61,坦克个性化设定!$B$18:$E$48,4,FALSE)&amp;$BK61,坦克属性分配比例,MATCH("升星次数",坦克属性分配比例标头,0),FALSE)*(VLOOKUP(VLOOKUP($BJ61,坦克个性化设定!$B$18:$E$48,4,FALSE)&amp;$BK61,坦克属性分配比例,MATCH("升星比例",坦克属性分配比例标头,0),FALSE)+VLOOKUP(VLOOKUP($BJ61,坦克个性化设定!$B$18:$E$48,4,FALSE)&amp;$BK61,坦克属性分配比例,MATCH("部件比例",坦克属性分配比例标头,0),FALSE)*$C$3),0)</f>
        <v>741</v>
      </c>
      <c r="BP61" s="103">
        <f ca="1">ROUND(VLOOKUP($BJ61&amp;"初始",$S$3:$AE$63,MATCH(BP$3,$S$3:$AE$3,0),FALSE)+(VLOOKUP($BJ61&amp;"最终",$S$3:$AE$63,MATCH(BP$3,$S$3:$AE$3,0),FALSE)-VLOOKUP($BJ61&amp;"初始",$S$3:$AE$63,MATCH(BP$3,$S$3:$AE$3,0),FALSE))*$BL61/VLOOKUP(VLOOKUP($BJ61,坦克个性化设定!$B$18:$E$48,4,FALSE)&amp;$BK61,坦克属性分配比例,MATCH("升星次数",坦克属性分配比例标头,0),FALSE)*(VLOOKUP(VLOOKUP($BJ61,坦克个性化设定!$B$18:$E$48,4,FALSE)&amp;$BK61,坦克属性分配比例,MATCH("升星比例",坦克属性分配比例标头,0),FALSE)+VLOOKUP(VLOOKUP($BJ61,坦克个性化设定!$B$18:$E$48,4,FALSE)&amp;$BK61,坦克属性分配比例,MATCH("部件比例",坦克属性分配比例标头,0),FALSE)*$C$3),0)</f>
        <v>519</v>
      </c>
      <c r="BQ61" s="103">
        <f ca="1">ROUND(VLOOKUP($BJ61&amp;"初始",$S$3:$AE$63,MATCH(BQ$3,$S$3:$AE$3,0),FALSE)+(VLOOKUP($BJ61&amp;"最终",$S$3:$AE$63,MATCH(BQ$3,$S$3:$AE$3,0),FALSE)-VLOOKUP($BJ61&amp;"初始",$S$3:$AE$63,MATCH(BQ$3,$S$3:$AE$3,0),FALSE))*$BL61/VLOOKUP(VLOOKUP($BJ61,坦克个性化设定!$B$18:$E$48,4,FALSE)&amp;$BK61,坦克属性分配比例,MATCH("升星次数",坦克属性分配比例标头,0),FALSE)*VLOOKUP(VLOOKUP($BJ61,坦克个性化设定!$B$18:$E$48,4,FALSE)&amp;$BK61,坦克属性分配比例,MATCH("升星比例",坦克属性分配比例标头,0),FALSE),0)</f>
        <v>644</v>
      </c>
      <c r="BR61" s="2">
        <f ca="1">ROUND(VLOOKUP($BJ61&amp;"初始",$S$3:$AE$63,MATCH(BR$3,$S$3:$AE$3,0),FALSE)+(VLOOKUP($BJ61&amp;"最终",$S$3:$AE$63,MATCH(BR$3,$S$3:$AE$3,0),FALSE)-VLOOKUP($BJ61&amp;"初始",$S$3:$AE$63,MATCH(BR$3,$S$3:$AE$3,0),FALSE))*$BL61/VLOOKUP(VLOOKUP($BJ61,坦克个性化设定!$B$18:$E$48,4,FALSE)&amp;$BK61,坦克属性分配比例,MATCH("升星次数",坦克属性分配比例标头,0),FALSE),0)</f>
        <v>187</v>
      </c>
      <c r="BS61" s="2">
        <f>ROUND(VLOOKUP($BJ61,$AI$3:$AO$33,MATCH(BS$3,$AI$3:$AO$3,0),FALSE)+$BL61/VLOOKUP(VLOOKUP($BJ61,坦克个性化设定!$B$18:$E$48,4,FALSE)&amp;$BK61,坦克属性分配比例,MATCH("升星次数",坦克属性分配比例标头,0),FALSE)*VLOOKUP($BJ61,$AR$3:$AY$33,MATCH(BS$3,$AR$3:$AY$3,0),FALSE),1)</f>
        <v>47.2</v>
      </c>
      <c r="BT61" s="2">
        <f>ROUND(VLOOKUP($BJ61,$AI$3:$AO$33,MATCH(BT$3,$AI$3:$AO$3,0),FALSE)+$BL61/VLOOKUP(VLOOKUP($BJ61,坦克个性化设定!$B$18:$E$48,4,FALSE)&amp;$BK61,坦克属性分配比例,MATCH("升星次数",坦克属性分配比例标头,0),FALSE)*VLOOKUP($BJ61,$AR$3:$AY$33,MATCH(BT$3,$AR$3:$AY$3,0),FALSE),1)</f>
        <v>55.7</v>
      </c>
      <c r="BU61" s="2">
        <f>ROUND(VLOOKUP($BJ61,$AI$3:$AO$33,MATCH(BU$3,$AI$3:$AO$3,0),FALSE)+$BL61/VLOOKUP(VLOOKUP($BJ61,坦克个性化设定!$B$18:$E$48,4,FALSE)&amp;$BK61,坦克属性分配比例,MATCH("升星次数",坦克属性分配比例标头,0),FALSE)*VLOOKUP($BJ61,$AR$3:$AY$33,MATCH(BU$3,$AR$3:$AY$3,0),FALSE),1)</f>
        <v>10</v>
      </c>
      <c r="BV61" s="2">
        <f>IF(VLOOKUP(BJ61,坦克个性化设定!$B$18:$BC$48,MATCH("装弹类型",坦克个性化设定!$B$18:$BC$18,0),FALSE)="弹夹换弹",0,ROUND(VLOOKUP($BJ61,$AI$3:$AO$33,MATCH("换弹时间",$AI$3:$AO$3,0),FALSE)-$BL61/VLOOKUP(VLOOKUP($BJ61,坦克个性化设定!$B$18:$E$48,4,FALSE)&amp;$BK61,坦克属性分配比例,MATCH("升星次数",坦克属性分配比例标头,0),FALSE)*VLOOKUP($BJ61,$AR$3:$AY$33,MATCH("换弹时间",$AR$3:$AY$3,0),FALSE),2))</f>
        <v>0</v>
      </c>
      <c r="BW61" s="2">
        <f>IF(VLOOKUP(BJ61,坦克个性化设定!$B$18:$BC$48,MATCH("装弹类型",坦克个性化设定!$B$18:$BC$18,0),FALSE)="弹夹换弹",ROUND(VLOOKUP($BJ61,$AI$3:$AO$33,MATCH("换弹时间",$AI$3:$AO$3,0),FALSE)-$BL61/VLOOKUP(VLOOKUP($BJ61,坦克个性化设定!$B$18:$E$48,4,FALSE)&amp;$BK61,坦克属性分配比例,MATCH("升星次数",坦克属性分配比例标头,0),FALSE)*VLOOKUP($BJ61,$AR$3:$AY$33,MATCH("换弹时间",$AR$3:$AY$3,0),FALSE),1),0)</f>
        <v>5.5</v>
      </c>
      <c r="BX61" s="2">
        <f>ROUND(VLOOKUP($BJ61,$AI$3:$AO$33,MATCH(BX$3,$AI$3:$AO$3,0),FALSE)+$BL61/VLOOKUP(VLOOKUP($BJ61,坦克个性化设定!$B$18:$E$48,4,FALSE)&amp;$BK61,坦克属性分配比例,MATCH("升星次数",坦克属性分配比例标头,0),FALSE)*VLOOKUP($BJ61,$AR$3:$AY$33,MATCH(BX$3,$AR$3:$AY$3,0),FALSE),2)</f>
        <v>0.6</v>
      </c>
      <c r="BY61" s="2">
        <f>ROUND(VLOOKUP($BJ61,$AI$3:$AO$33,MATCH(BY$3,$AI$3:$AO$3,0),FALSE)-$BL61/VLOOKUP(VLOOKUP($BJ61,坦克个性化设定!$B$18:$E$48,4,FALSE)&amp;$BK61,坦克属性分配比例,MATCH("升星次数",坦克属性分配比例标头,0),FALSE)*VLOOKUP($BJ61,$AR$3:$AY$33,MATCH(BY$3,$AR$3:$AY$3,0),FALSE),2)</f>
        <v>0.42</v>
      </c>
    </row>
    <row r="62" spans="19:77" x14ac:dyDescent="0.3">
      <c r="S62" s="2" t="str">
        <f t="shared" si="19"/>
        <v>M1A2初始</v>
      </c>
      <c r="T62" s="2">
        <f>IF(COUNTIF(U$4:U61,U61)&gt;=$B$3,T61+1,T61)</f>
        <v>30</v>
      </c>
      <c r="U62" s="2" t="str">
        <f t="shared" si="20"/>
        <v>M1A2</v>
      </c>
      <c r="V62" s="2" t="str">
        <f>VLOOKUP(U62,坦克个性化设定!$B$18:$F$48,5,FALSE)</f>
        <v>重坦单发</v>
      </c>
      <c r="W62" s="29" t="str">
        <f>VLOOKUP(U62,坦克个性化细分!$I$3:$J$33,2,FALSE)</f>
        <v>低</v>
      </c>
      <c r="X62" s="2" t="str">
        <f t="shared" si="21"/>
        <v>初始</v>
      </c>
      <c r="Y62" s="2" t="str">
        <f>VLOOKUP(VLOOKUP(U62,坦克个性化设定!$B$18:$F$48,4,FALSE)&amp;W62,坦克等级成长!$P$12:$U$24,MATCH(X62,坦克等级成长!$P$12:$U$12,0),FALSE)</f>
        <v>T5低5</v>
      </c>
      <c r="Z62" s="42">
        <f ca="1">VLOOKUP($Y62,INDIRECT($V62&amp;"_阶段属性"),MATCH(Z$3,属性标头_阶段属性,0),FALSE)*VLOOKUP($U62,坦克个性化设定!$B$84:$D$114,2,FALSE)</f>
        <v>2618.4810140073828</v>
      </c>
      <c r="AA62" s="42">
        <f ca="1">VLOOKUP($Y62,INDIRECT($V62&amp;"_阶段属性"),MATCH(AA$3,属性标头_阶段属性,0),FALSE)*VLOOKUP($U62,坦克个性化设定!$B$84:$D$114,3,FALSE)</f>
        <v>840.99826892760166</v>
      </c>
      <c r="AB62" s="2">
        <f t="shared" ca="1" si="22"/>
        <v>792</v>
      </c>
      <c r="AC62" s="2">
        <f t="shared" ca="1" si="22"/>
        <v>634</v>
      </c>
      <c r="AD62" s="2">
        <f t="shared" ca="1" si="22"/>
        <v>1058</v>
      </c>
      <c r="AE62" s="2">
        <f t="shared" ca="1" si="22"/>
        <v>247</v>
      </c>
      <c r="AF62" s="25"/>
      <c r="BH62" s="2" t="str">
        <f t="shared" si="13"/>
        <v>霞飞6</v>
      </c>
      <c r="BI62" s="2">
        <f>IF(BL61&gt;=VLOOKUP(VLOOKUP(BJ61,坦克个性化设定!$B$18:$E$48,4,FALSE)&amp;BK61,坦克属性分配比例,MATCH("升星次数",坦克属性分配比例标头,0),FALSE),BI61+1,BI61)</f>
        <v>7</v>
      </c>
      <c r="BJ62" s="2" t="str">
        <f t="shared" si="14"/>
        <v>霞飞</v>
      </c>
      <c r="BK62" s="29" t="str">
        <f>VLOOKUP(BJ62,坦克个性化细分!$I$3:$J$33,2,FALSE)</f>
        <v>低</v>
      </c>
      <c r="BL62" s="2">
        <f t="shared" si="7"/>
        <v>6</v>
      </c>
      <c r="BM62" s="103">
        <f ca="1">ROUND(VLOOKUP($BJ62&amp;"初始",$S$3:$AE$63,MATCH(BM$3,$S$3:$AE$3,0),FALSE)+((VLOOKUP($BJ62&amp;"最终",$S$3:$AE$63,MATCH(BM$3,$S$3:$AE$3,0),FALSE)*坦克个性化细分!$C$9-VLOOKUP($BJ62&amp;"初始",$S$3:$AE$63,MATCH(BM$3,$S$3:$AE$3,0),FALSE))-(VLOOKUP($BJ62&amp;"最终",$S$3:$AE$63,MATCH(BM$3,$S$3:$AE$3,0),FALSE)-VLOOKUP($BJ62&amp;"初始",$S$3:$AE$63,MATCH(BM$3,$S$3:$AE$3,0),FALSE))*VLOOKUP(VLOOKUP($BJ62,坦克个性化设定!$B$18:$E$48,4,FALSE)&amp;$BK62,坦克属性分配比例,MATCH("部件比例",坦克属性分配比例标头,0),FALSE))*$BL62/VLOOKUP(VLOOKUP($BJ62,坦克个性化设定!$B$18:$E$48,4,FALSE)&amp;$BK62,坦克属性分配比例,MATCH("升星次数",坦克属性分配比例标头,0),FALSE),0)</f>
        <v>1832</v>
      </c>
      <c r="BN62" s="103">
        <f ca="1">ROUND(VLOOKUP($BJ62&amp;"初始",$S$3:$AE$63,MATCH(BN$3,$S$3:$AE$3,0),FALSE)+(VLOOKUP($BJ62&amp;"最终",$S$3:$AE$63,MATCH(BN$3,$S$3:$AE$3,0),FALSE)-VLOOKUP($BJ62&amp;"初始",$S$3:$AE$63,MATCH(BN$3,$S$3:$AE$3,0),FALSE))*$BL62/VLOOKUP(VLOOKUP($BJ62,坦克个性化设定!$B$18:$E$48,4,FALSE)&amp;$BK62,坦克属性分配比例,MATCH("升星次数",坦克属性分配比例标头,0),FALSE)*VLOOKUP(VLOOKUP($BJ62,坦克个性化设定!$B$18:$E$48,4,FALSE)&amp;$BK62,坦克属性分配比例,MATCH("升星比例",坦克属性分配比例标头,0),FALSE),0)</f>
        <v>116</v>
      </c>
      <c r="BO62" s="103">
        <f ca="1">ROUND(VLOOKUP($BJ62&amp;"初始",$S$3:$AE$63,MATCH(BO$3,$S$3:$AE$3,0),FALSE)+(VLOOKUP($BJ62&amp;"最终",$S$3:$AE$63,MATCH(BO$3,$S$3:$AE$3,0),FALSE)-VLOOKUP($BJ62&amp;"初始",$S$3:$AE$63,MATCH(BO$3,$S$3:$AE$3,0),FALSE))*$BL62/VLOOKUP(VLOOKUP($BJ62,坦克个性化设定!$B$18:$E$48,4,FALSE)&amp;$BK62,坦克属性分配比例,MATCH("升星次数",坦克属性分配比例标头,0),FALSE)*(VLOOKUP(VLOOKUP($BJ62,坦克个性化设定!$B$18:$E$48,4,FALSE)&amp;$BK62,坦克属性分配比例,MATCH("升星比例",坦克属性分配比例标头,0),FALSE)+VLOOKUP(VLOOKUP($BJ62,坦克个性化设定!$B$18:$E$48,4,FALSE)&amp;$BK62,坦克属性分配比例,MATCH("部件比例",坦克属性分配比例标头,0),FALSE)*$C$3),0)</f>
        <v>763</v>
      </c>
      <c r="BP62" s="103">
        <f ca="1">ROUND(VLOOKUP($BJ62&amp;"初始",$S$3:$AE$63,MATCH(BP$3,$S$3:$AE$3,0),FALSE)+(VLOOKUP($BJ62&amp;"最终",$S$3:$AE$63,MATCH(BP$3,$S$3:$AE$3,0),FALSE)-VLOOKUP($BJ62&amp;"初始",$S$3:$AE$63,MATCH(BP$3,$S$3:$AE$3,0),FALSE))*$BL62/VLOOKUP(VLOOKUP($BJ62,坦克个性化设定!$B$18:$E$48,4,FALSE)&amp;$BK62,坦克属性分配比例,MATCH("升星次数",坦克属性分配比例标头,0),FALSE)*(VLOOKUP(VLOOKUP($BJ62,坦克个性化设定!$B$18:$E$48,4,FALSE)&amp;$BK62,坦克属性分配比例,MATCH("升星比例",坦克属性分配比例标头,0),FALSE)+VLOOKUP(VLOOKUP($BJ62,坦克个性化设定!$B$18:$E$48,4,FALSE)&amp;$BK62,坦克属性分配比例,MATCH("部件比例",坦克属性分配比例标头,0),FALSE)*$C$3),0)</f>
        <v>535</v>
      </c>
      <c r="BQ62" s="103">
        <f ca="1">ROUND(VLOOKUP($BJ62&amp;"初始",$S$3:$AE$63,MATCH(BQ$3,$S$3:$AE$3,0),FALSE)+(VLOOKUP($BJ62&amp;"最终",$S$3:$AE$63,MATCH(BQ$3,$S$3:$AE$3,0),FALSE)-VLOOKUP($BJ62&amp;"初始",$S$3:$AE$63,MATCH(BQ$3,$S$3:$AE$3,0),FALSE))*$BL62/VLOOKUP(VLOOKUP($BJ62,坦克个性化设定!$B$18:$E$48,4,FALSE)&amp;$BK62,坦克属性分配比例,MATCH("升星次数",坦克属性分配比例标头,0),FALSE)*VLOOKUP(VLOOKUP($BJ62,坦克个性化设定!$B$18:$E$48,4,FALSE)&amp;$BK62,坦克属性分配比例,MATCH("升星比例",坦克属性分配比例标头,0),FALSE),0)</f>
        <v>657</v>
      </c>
      <c r="BR62" s="2">
        <f ca="1">ROUND(VLOOKUP($BJ62&amp;"初始",$S$3:$AE$63,MATCH(BR$3,$S$3:$AE$3,0),FALSE)+(VLOOKUP($BJ62&amp;"最终",$S$3:$AE$63,MATCH(BR$3,$S$3:$AE$3,0),FALSE)-VLOOKUP($BJ62&amp;"初始",$S$3:$AE$63,MATCH(BR$3,$S$3:$AE$3,0),FALSE))*$BL62/VLOOKUP(VLOOKUP($BJ62,坦克个性化设定!$B$18:$E$48,4,FALSE)&amp;$BK62,坦克属性分配比例,MATCH("升星次数",坦克属性分配比例标头,0),FALSE),0)</f>
        <v>193</v>
      </c>
      <c r="BS62" s="2">
        <f>ROUND(VLOOKUP($BJ62,$AI$3:$AO$33,MATCH(BS$3,$AI$3:$AO$3,0),FALSE)+$BL62/VLOOKUP(VLOOKUP($BJ62,坦克个性化设定!$B$18:$E$48,4,FALSE)&amp;$BK62,坦克属性分配比例,MATCH("升星次数",坦克属性分配比例标头,0),FALSE)*VLOOKUP($BJ62,$AR$3:$AY$33,MATCH(BS$3,$AR$3:$AY$3,0),FALSE),1)</f>
        <v>48.2</v>
      </c>
      <c r="BT62" s="2">
        <f>ROUND(VLOOKUP($BJ62,$AI$3:$AO$33,MATCH(BT$3,$AI$3:$AO$3,0),FALSE)+$BL62/VLOOKUP(VLOOKUP($BJ62,坦克个性化设定!$B$18:$E$48,4,FALSE)&amp;$BK62,坦克属性分配比例,MATCH("升星次数",坦克属性分配比例标头,0),FALSE)*VLOOKUP($BJ62,$AR$3:$AY$33,MATCH(BT$3,$AR$3:$AY$3,0),FALSE),1)</f>
        <v>56.8</v>
      </c>
      <c r="BU62" s="2">
        <f>ROUND(VLOOKUP($BJ62,$AI$3:$AO$33,MATCH(BU$3,$AI$3:$AO$3,0),FALSE)+$BL62/VLOOKUP(VLOOKUP($BJ62,坦克个性化设定!$B$18:$E$48,4,FALSE)&amp;$BK62,坦克属性分配比例,MATCH("升星次数",坦克属性分配比例标头,0),FALSE)*VLOOKUP($BJ62,$AR$3:$AY$33,MATCH(BU$3,$AR$3:$AY$3,0),FALSE),1)</f>
        <v>10</v>
      </c>
      <c r="BV62" s="2">
        <f>IF(VLOOKUP(BJ62,坦克个性化设定!$B$18:$BC$48,MATCH("装弹类型",坦克个性化设定!$B$18:$BC$18,0),FALSE)="弹夹换弹",0,ROUND(VLOOKUP($BJ62,$AI$3:$AO$33,MATCH("换弹时间",$AI$3:$AO$3,0),FALSE)-$BL62/VLOOKUP(VLOOKUP($BJ62,坦克个性化设定!$B$18:$E$48,4,FALSE)&amp;$BK62,坦克属性分配比例,MATCH("升星次数",坦克属性分配比例标头,0),FALSE)*VLOOKUP($BJ62,$AR$3:$AY$33,MATCH("换弹时间",$AR$3:$AY$3,0),FALSE),2))</f>
        <v>0</v>
      </c>
      <c r="BW62" s="2">
        <f>IF(VLOOKUP(BJ62,坦克个性化设定!$B$18:$BC$48,MATCH("装弹类型",坦克个性化设定!$B$18:$BC$18,0),FALSE)="弹夹换弹",ROUND(VLOOKUP($BJ62,$AI$3:$AO$33,MATCH("换弹时间",$AI$3:$AO$3,0),FALSE)-$BL62/VLOOKUP(VLOOKUP($BJ62,坦克个性化设定!$B$18:$E$48,4,FALSE)&amp;$BK62,坦克属性分配比例,MATCH("升星次数",坦克属性分配比例标头,0),FALSE)*VLOOKUP($BJ62,$AR$3:$AY$33,MATCH("换弹时间",$AR$3:$AY$3,0),FALSE),1),0)</f>
        <v>5.4</v>
      </c>
      <c r="BX62" s="2">
        <f>ROUND(VLOOKUP($BJ62,$AI$3:$AO$33,MATCH(BX$3,$AI$3:$AO$3,0),FALSE)+$BL62/VLOOKUP(VLOOKUP($BJ62,坦克个性化设定!$B$18:$E$48,4,FALSE)&amp;$BK62,坦克属性分配比例,MATCH("升星次数",坦克属性分配比例标头,0),FALSE)*VLOOKUP($BJ62,$AR$3:$AY$33,MATCH(BX$3,$AR$3:$AY$3,0),FALSE),2)</f>
        <v>0.6</v>
      </c>
      <c r="BY62" s="2">
        <f>ROUND(VLOOKUP($BJ62,$AI$3:$AO$33,MATCH(BY$3,$AI$3:$AO$3,0),FALSE)-$BL62/VLOOKUP(VLOOKUP($BJ62,坦克个性化设定!$B$18:$E$48,4,FALSE)&amp;$BK62,坦克属性分配比例,MATCH("升星次数",坦克属性分配比例标头,0),FALSE)*VLOOKUP($BJ62,$AR$3:$AY$33,MATCH(BY$3,$AR$3:$AY$3,0),FALSE),2)</f>
        <v>0.41</v>
      </c>
    </row>
    <row r="63" spans="19:77" x14ac:dyDescent="0.3">
      <c r="S63" s="2" t="str">
        <f t="shared" si="19"/>
        <v>M1A2最终</v>
      </c>
      <c r="T63" s="2">
        <f>IF(COUNTIF(U$4:U62,U62)&gt;=$B$3,T62+1,T62)</f>
        <v>30</v>
      </c>
      <c r="U63" s="2" t="str">
        <f t="shared" si="20"/>
        <v>M1A2</v>
      </c>
      <c r="V63" s="2" t="str">
        <f>VLOOKUP(U63,坦克个性化设定!$B$18:$F$48,5,FALSE)</f>
        <v>重坦单发</v>
      </c>
      <c r="W63" s="29" t="str">
        <f>VLOOKUP(U63,坦克个性化细分!$I$3:$J$33,2,FALSE)</f>
        <v>低</v>
      </c>
      <c r="X63" s="2" t="str">
        <f t="shared" si="21"/>
        <v>最终</v>
      </c>
      <c r="Y63" s="2" t="str">
        <f>VLOOKUP(VLOOKUP(U63,坦克个性化设定!$B$18:$F$48,4,FALSE)&amp;W63,坦克等级成长!$P$12:$U$24,MATCH(X63,坦克等级成长!$P$12:$U$12,0),FALSE)</f>
        <v>T5低7</v>
      </c>
      <c r="Z63" s="42">
        <f ca="1">VLOOKUP($Y63,INDIRECT($V63&amp;"_阶段属性"),MATCH(Z$3,属性标头_阶段属性,0),FALSE)*VLOOKUP($U63,坦克个性化设定!$B$84:$D$114,2,FALSE)</f>
        <v>3720.6640199034346</v>
      </c>
      <c r="AA63" s="42">
        <f ca="1">VLOOKUP($Y63,INDIRECT($V63&amp;"_阶段属性"),MATCH(AA$3,属性标头_阶段属性,0),FALSE)*VLOOKUP($U63,坦克个性化设定!$B$84:$D$114,3,FALSE)</f>
        <v>1217.7052202949483</v>
      </c>
      <c r="AB63" s="2">
        <f t="shared" ca="1" si="22"/>
        <v>1147</v>
      </c>
      <c r="AC63" s="2">
        <f t="shared" ca="1" si="22"/>
        <v>918</v>
      </c>
      <c r="AD63" s="2">
        <f t="shared" ca="1" si="22"/>
        <v>1533</v>
      </c>
      <c r="AE63" s="2">
        <f t="shared" ca="1" si="22"/>
        <v>357</v>
      </c>
      <c r="AF63" s="25"/>
      <c r="BH63" s="2" t="str">
        <f t="shared" si="13"/>
        <v>霞飞7</v>
      </c>
      <c r="BI63" s="2">
        <f>IF(BL62&gt;=VLOOKUP(VLOOKUP(BJ62,坦克个性化设定!$B$18:$E$48,4,FALSE)&amp;BK62,坦克属性分配比例,MATCH("升星次数",坦克属性分配比例标头,0),FALSE),BI62+1,BI62)</f>
        <v>7</v>
      </c>
      <c r="BJ63" s="2" t="str">
        <f t="shared" si="14"/>
        <v>霞飞</v>
      </c>
      <c r="BK63" s="29" t="str">
        <f>VLOOKUP(BJ63,坦克个性化细分!$I$3:$J$33,2,FALSE)</f>
        <v>低</v>
      </c>
      <c r="BL63" s="2">
        <f t="shared" si="7"/>
        <v>7</v>
      </c>
      <c r="BM63" s="103">
        <f ca="1">ROUND(VLOOKUP($BJ63&amp;"初始",$S$3:$AE$63,MATCH(BM$3,$S$3:$AE$3,0),FALSE)+((VLOOKUP($BJ63&amp;"最终",$S$3:$AE$63,MATCH(BM$3,$S$3:$AE$3,0),FALSE)*坦克个性化细分!$C$9-VLOOKUP($BJ63&amp;"初始",$S$3:$AE$63,MATCH(BM$3,$S$3:$AE$3,0),FALSE))-(VLOOKUP($BJ63&amp;"最终",$S$3:$AE$63,MATCH(BM$3,$S$3:$AE$3,0),FALSE)-VLOOKUP($BJ63&amp;"初始",$S$3:$AE$63,MATCH(BM$3,$S$3:$AE$3,0),FALSE))*VLOOKUP(VLOOKUP($BJ63,坦克个性化设定!$B$18:$E$48,4,FALSE)&amp;$BK63,坦克属性分配比例,MATCH("部件比例",坦克属性分配比例标头,0),FALSE))*$BL63/VLOOKUP(VLOOKUP($BJ63,坦克个性化设定!$B$18:$E$48,4,FALSE)&amp;$BK63,坦克属性分配比例,MATCH("升星次数",坦克属性分配比例标头,0),FALSE),0)</f>
        <v>1893</v>
      </c>
      <c r="BN63" s="103">
        <f ca="1">ROUND(VLOOKUP($BJ63&amp;"初始",$S$3:$AE$63,MATCH(BN$3,$S$3:$AE$3,0),FALSE)+(VLOOKUP($BJ63&amp;"最终",$S$3:$AE$63,MATCH(BN$3,$S$3:$AE$3,0),FALSE)-VLOOKUP($BJ63&amp;"初始",$S$3:$AE$63,MATCH(BN$3,$S$3:$AE$3,0),FALSE))*$BL63/VLOOKUP(VLOOKUP($BJ63,坦克个性化设定!$B$18:$E$48,4,FALSE)&amp;$BK63,坦克属性分配比例,MATCH("升星次数",坦克属性分配比例标头,0),FALSE)*VLOOKUP(VLOOKUP($BJ63,坦克个性化设定!$B$18:$E$48,4,FALSE)&amp;$BK63,坦克属性分配比例,MATCH("升星比例",坦克属性分配比例标头,0),FALSE),0)</f>
        <v>119</v>
      </c>
      <c r="BO63" s="103">
        <f ca="1">ROUND(VLOOKUP($BJ63&amp;"初始",$S$3:$AE$63,MATCH(BO$3,$S$3:$AE$3,0),FALSE)+(VLOOKUP($BJ63&amp;"最终",$S$3:$AE$63,MATCH(BO$3,$S$3:$AE$3,0),FALSE)-VLOOKUP($BJ63&amp;"初始",$S$3:$AE$63,MATCH(BO$3,$S$3:$AE$3,0),FALSE))*$BL63/VLOOKUP(VLOOKUP($BJ63,坦克个性化设定!$B$18:$E$48,4,FALSE)&amp;$BK63,坦克属性分配比例,MATCH("升星次数",坦克属性分配比例标头,0),FALSE)*(VLOOKUP(VLOOKUP($BJ63,坦克个性化设定!$B$18:$E$48,4,FALSE)&amp;$BK63,坦克属性分配比例,MATCH("升星比例",坦克属性分配比例标头,0),FALSE)+VLOOKUP(VLOOKUP($BJ63,坦克个性化设定!$B$18:$E$48,4,FALSE)&amp;$BK63,坦克属性分配比例,MATCH("部件比例",坦克属性分配比例标头,0),FALSE)*$C$3),0)</f>
        <v>785</v>
      </c>
      <c r="BP63" s="103">
        <f ca="1">ROUND(VLOOKUP($BJ63&amp;"初始",$S$3:$AE$63,MATCH(BP$3,$S$3:$AE$3,0),FALSE)+(VLOOKUP($BJ63&amp;"最终",$S$3:$AE$63,MATCH(BP$3,$S$3:$AE$3,0),FALSE)-VLOOKUP($BJ63&amp;"初始",$S$3:$AE$63,MATCH(BP$3,$S$3:$AE$3,0),FALSE))*$BL63/VLOOKUP(VLOOKUP($BJ63,坦克个性化设定!$B$18:$E$48,4,FALSE)&amp;$BK63,坦克属性分配比例,MATCH("升星次数",坦克属性分配比例标头,0),FALSE)*(VLOOKUP(VLOOKUP($BJ63,坦克个性化设定!$B$18:$E$48,4,FALSE)&amp;$BK63,坦克属性分配比例,MATCH("升星比例",坦克属性分配比例标头,0),FALSE)+VLOOKUP(VLOOKUP($BJ63,坦克个性化设定!$B$18:$E$48,4,FALSE)&amp;$BK63,坦克属性分配比例,MATCH("部件比例",坦克属性分配比例标头,0),FALSE)*$C$3),0)</f>
        <v>550</v>
      </c>
      <c r="BQ63" s="103">
        <f ca="1">ROUND(VLOOKUP($BJ63&amp;"初始",$S$3:$AE$63,MATCH(BQ$3,$S$3:$AE$3,0),FALSE)+(VLOOKUP($BJ63&amp;"最终",$S$3:$AE$63,MATCH(BQ$3,$S$3:$AE$3,0),FALSE)-VLOOKUP($BJ63&amp;"初始",$S$3:$AE$63,MATCH(BQ$3,$S$3:$AE$3,0),FALSE))*$BL63/VLOOKUP(VLOOKUP($BJ63,坦克个性化设定!$B$18:$E$48,4,FALSE)&amp;$BK63,坦克属性分配比例,MATCH("升星次数",坦克属性分配比例标头,0),FALSE)*VLOOKUP(VLOOKUP($BJ63,坦克个性化设定!$B$18:$E$48,4,FALSE)&amp;$BK63,坦克属性分配比例,MATCH("升星比例",坦克属性分配比例标头,0),FALSE),0)</f>
        <v>671</v>
      </c>
      <c r="BR63" s="2">
        <f ca="1">ROUND(VLOOKUP($BJ63&amp;"初始",$S$3:$AE$63,MATCH(BR$3,$S$3:$AE$3,0),FALSE)+(VLOOKUP($BJ63&amp;"最终",$S$3:$AE$63,MATCH(BR$3,$S$3:$AE$3,0),FALSE)-VLOOKUP($BJ63&amp;"初始",$S$3:$AE$63,MATCH(BR$3,$S$3:$AE$3,0),FALSE))*$BL63/VLOOKUP(VLOOKUP($BJ63,坦克个性化设定!$B$18:$E$48,4,FALSE)&amp;$BK63,坦克属性分配比例,MATCH("升星次数",坦克属性分配比例标头,0),FALSE),0)</f>
        <v>200</v>
      </c>
      <c r="BS63" s="2">
        <f>ROUND(VLOOKUP($BJ63,$AI$3:$AO$33,MATCH(BS$3,$AI$3:$AO$3,0),FALSE)+$BL63/VLOOKUP(VLOOKUP($BJ63,坦克个性化设定!$B$18:$E$48,4,FALSE)&amp;$BK63,坦克属性分配比例,MATCH("升星次数",坦克属性分配比例标头,0),FALSE)*VLOOKUP($BJ63,$AR$3:$AY$33,MATCH(BS$3,$AR$3:$AY$3,0),FALSE),1)</f>
        <v>49.1</v>
      </c>
      <c r="BT63" s="2">
        <f>ROUND(VLOOKUP($BJ63,$AI$3:$AO$33,MATCH(BT$3,$AI$3:$AO$3,0),FALSE)+$BL63/VLOOKUP(VLOOKUP($BJ63,坦克个性化设定!$B$18:$E$48,4,FALSE)&amp;$BK63,坦克属性分配比例,MATCH("升星次数",坦克属性分配比例标头,0),FALSE)*VLOOKUP($BJ63,$AR$3:$AY$33,MATCH(BT$3,$AR$3:$AY$3,0),FALSE),1)</f>
        <v>58</v>
      </c>
      <c r="BU63" s="2">
        <f>ROUND(VLOOKUP($BJ63,$AI$3:$AO$33,MATCH(BU$3,$AI$3:$AO$3,0),FALSE)+$BL63/VLOOKUP(VLOOKUP($BJ63,坦克个性化设定!$B$18:$E$48,4,FALSE)&amp;$BK63,坦克属性分配比例,MATCH("升星次数",坦克属性分配比例标头,0),FALSE)*VLOOKUP($BJ63,$AR$3:$AY$33,MATCH(BU$3,$AR$3:$AY$3,0),FALSE),1)</f>
        <v>10</v>
      </c>
      <c r="BV63" s="2">
        <f>IF(VLOOKUP(BJ63,坦克个性化设定!$B$18:$BC$48,MATCH("装弹类型",坦克个性化设定!$B$18:$BC$18,0),FALSE)="弹夹换弹",0,ROUND(VLOOKUP($BJ63,$AI$3:$AO$33,MATCH("换弹时间",$AI$3:$AO$3,0),FALSE)-$BL63/VLOOKUP(VLOOKUP($BJ63,坦克个性化设定!$B$18:$E$48,4,FALSE)&amp;$BK63,坦克属性分配比例,MATCH("升星次数",坦克属性分配比例标头,0),FALSE)*VLOOKUP($BJ63,$AR$3:$AY$33,MATCH("换弹时间",$AR$3:$AY$3,0),FALSE),2))</f>
        <v>0</v>
      </c>
      <c r="BW63" s="2">
        <f>IF(VLOOKUP(BJ63,坦克个性化设定!$B$18:$BC$48,MATCH("装弹类型",坦克个性化设定!$B$18:$BC$18,0),FALSE)="弹夹换弹",ROUND(VLOOKUP($BJ63,$AI$3:$AO$33,MATCH("换弹时间",$AI$3:$AO$3,0),FALSE)-$BL63/VLOOKUP(VLOOKUP($BJ63,坦克个性化设定!$B$18:$E$48,4,FALSE)&amp;$BK63,坦克属性分配比例,MATCH("升星次数",坦克属性分配比例标头,0),FALSE)*VLOOKUP($BJ63,$AR$3:$AY$33,MATCH("换弹时间",$AR$3:$AY$3,0),FALSE),1),0)</f>
        <v>5.2</v>
      </c>
      <c r="BX63" s="2">
        <f>ROUND(VLOOKUP($BJ63,$AI$3:$AO$33,MATCH(BX$3,$AI$3:$AO$3,0),FALSE)+$BL63/VLOOKUP(VLOOKUP($BJ63,坦克个性化设定!$B$18:$E$48,4,FALSE)&amp;$BK63,坦克属性分配比例,MATCH("升星次数",坦克属性分配比例标头,0),FALSE)*VLOOKUP($BJ63,$AR$3:$AY$33,MATCH(BX$3,$AR$3:$AY$3,0),FALSE),2)</f>
        <v>0.6</v>
      </c>
      <c r="BY63" s="2">
        <f>ROUND(VLOOKUP($BJ63,$AI$3:$AO$33,MATCH(BY$3,$AI$3:$AO$3,0),FALSE)-$BL63/VLOOKUP(VLOOKUP($BJ63,坦克个性化设定!$B$18:$E$48,4,FALSE)&amp;$BK63,坦克属性分配比例,MATCH("升星次数",坦克属性分配比例标头,0),FALSE)*VLOOKUP($BJ63,$AR$3:$AY$33,MATCH(BY$3,$AR$3:$AY$3,0),FALSE),2)</f>
        <v>0.4</v>
      </c>
    </row>
    <row r="64" spans="19:77" x14ac:dyDescent="0.3">
      <c r="S64" s="1" t="s">
        <v>909</v>
      </c>
      <c r="Z64" s="134">
        <f ca="1">MROUND(MAX(Z4:Z63)*1.15,10)</f>
        <v>4280</v>
      </c>
      <c r="AA64" s="134">
        <f ca="1">MROUND(MAX(AA4:AA63)*1.15,10)</f>
        <v>1400</v>
      </c>
      <c r="AB64" s="134">
        <f ca="1">MROUND(MAX(AB4:AB63)*1.15,10)</f>
        <v>1380</v>
      </c>
      <c r="AC64" s="134">
        <f ca="1">MROUND(MAX(AC4:AC63)*1.15,10)</f>
        <v>1060</v>
      </c>
      <c r="AD64" s="134">
        <f ca="1">MROUND(MAX(AD4:AD63)*1.15,10)</f>
        <v>1760</v>
      </c>
      <c r="BH64" s="2" t="str">
        <f t="shared" si="13"/>
        <v>霞飞8</v>
      </c>
      <c r="BI64" s="2">
        <f>IF(BL63&gt;=VLOOKUP(VLOOKUP(BJ63,坦克个性化设定!$B$18:$E$48,4,FALSE)&amp;BK63,坦克属性分配比例,MATCH("升星次数",坦克属性分配比例标头,0),FALSE),BI63+1,BI63)</f>
        <v>7</v>
      </c>
      <c r="BJ64" s="2" t="str">
        <f t="shared" si="14"/>
        <v>霞飞</v>
      </c>
      <c r="BK64" s="29" t="str">
        <f>VLOOKUP(BJ64,坦克个性化细分!$I$3:$J$33,2,FALSE)</f>
        <v>低</v>
      </c>
      <c r="BL64" s="2">
        <f t="shared" si="7"/>
        <v>8</v>
      </c>
      <c r="BM64" s="103">
        <f ca="1">ROUND(VLOOKUP($BJ64&amp;"初始",$S$3:$AE$63,MATCH(BM$3,$S$3:$AE$3,0),FALSE)+((VLOOKUP($BJ64&amp;"最终",$S$3:$AE$63,MATCH(BM$3,$S$3:$AE$3,0),FALSE)*坦克个性化细分!$C$9-VLOOKUP($BJ64&amp;"初始",$S$3:$AE$63,MATCH(BM$3,$S$3:$AE$3,0),FALSE))-(VLOOKUP($BJ64&amp;"最终",$S$3:$AE$63,MATCH(BM$3,$S$3:$AE$3,0),FALSE)-VLOOKUP($BJ64&amp;"初始",$S$3:$AE$63,MATCH(BM$3,$S$3:$AE$3,0),FALSE))*VLOOKUP(VLOOKUP($BJ64,坦克个性化设定!$B$18:$E$48,4,FALSE)&amp;$BK64,坦克属性分配比例,MATCH("部件比例",坦克属性分配比例标头,0),FALSE))*$BL64/VLOOKUP(VLOOKUP($BJ64,坦克个性化设定!$B$18:$E$48,4,FALSE)&amp;$BK64,坦克属性分配比例,MATCH("升星次数",坦克属性分配比例标头,0),FALSE),0)</f>
        <v>1954</v>
      </c>
      <c r="BN64" s="103">
        <f ca="1">ROUND(VLOOKUP($BJ64&amp;"初始",$S$3:$AE$63,MATCH(BN$3,$S$3:$AE$3,0),FALSE)+(VLOOKUP($BJ64&amp;"最终",$S$3:$AE$63,MATCH(BN$3,$S$3:$AE$3,0),FALSE)-VLOOKUP($BJ64&amp;"初始",$S$3:$AE$63,MATCH(BN$3,$S$3:$AE$3,0),FALSE))*$BL64/VLOOKUP(VLOOKUP($BJ64,坦克个性化设定!$B$18:$E$48,4,FALSE)&amp;$BK64,坦克属性分配比例,MATCH("升星次数",坦克属性分配比例标头,0),FALSE)*VLOOKUP(VLOOKUP($BJ64,坦克个性化设定!$B$18:$E$48,4,FALSE)&amp;$BK64,坦克属性分配比例,MATCH("升星比例",坦克属性分配比例标头,0),FALSE),0)</f>
        <v>121</v>
      </c>
      <c r="BO64" s="103">
        <f ca="1">ROUND(VLOOKUP($BJ64&amp;"初始",$S$3:$AE$63,MATCH(BO$3,$S$3:$AE$3,0),FALSE)+(VLOOKUP($BJ64&amp;"最终",$S$3:$AE$63,MATCH(BO$3,$S$3:$AE$3,0),FALSE)-VLOOKUP($BJ64&amp;"初始",$S$3:$AE$63,MATCH(BO$3,$S$3:$AE$3,0),FALSE))*$BL64/VLOOKUP(VLOOKUP($BJ64,坦克个性化设定!$B$18:$E$48,4,FALSE)&amp;$BK64,坦克属性分配比例,MATCH("升星次数",坦克属性分配比例标头,0),FALSE)*(VLOOKUP(VLOOKUP($BJ64,坦克个性化设定!$B$18:$E$48,4,FALSE)&amp;$BK64,坦克属性分配比例,MATCH("升星比例",坦克属性分配比例标头,0),FALSE)+VLOOKUP(VLOOKUP($BJ64,坦克个性化设定!$B$18:$E$48,4,FALSE)&amp;$BK64,坦克属性分配比例,MATCH("部件比例",坦克属性分配比例标头,0),FALSE)*$C$3),0)</f>
        <v>808</v>
      </c>
      <c r="BP64" s="103">
        <f ca="1">ROUND(VLOOKUP($BJ64&amp;"初始",$S$3:$AE$63,MATCH(BP$3,$S$3:$AE$3,0),FALSE)+(VLOOKUP($BJ64&amp;"最终",$S$3:$AE$63,MATCH(BP$3,$S$3:$AE$3,0),FALSE)-VLOOKUP($BJ64&amp;"初始",$S$3:$AE$63,MATCH(BP$3,$S$3:$AE$3,0),FALSE))*$BL64/VLOOKUP(VLOOKUP($BJ64,坦克个性化设定!$B$18:$E$48,4,FALSE)&amp;$BK64,坦克属性分配比例,MATCH("升星次数",坦克属性分配比例标头,0),FALSE)*(VLOOKUP(VLOOKUP($BJ64,坦克个性化设定!$B$18:$E$48,4,FALSE)&amp;$BK64,坦克属性分配比例,MATCH("升星比例",坦克属性分配比例标头,0),FALSE)+VLOOKUP(VLOOKUP($BJ64,坦克个性化设定!$B$18:$E$48,4,FALSE)&amp;$BK64,坦克属性分配比例,MATCH("部件比例",坦克属性分配比例标头,0),FALSE)*$C$3),0)</f>
        <v>565</v>
      </c>
      <c r="BQ64" s="103">
        <f ca="1">ROUND(VLOOKUP($BJ64&amp;"初始",$S$3:$AE$63,MATCH(BQ$3,$S$3:$AE$3,0),FALSE)+(VLOOKUP($BJ64&amp;"最终",$S$3:$AE$63,MATCH(BQ$3,$S$3:$AE$3,0),FALSE)-VLOOKUP($BJ64&amp;"初始",$S$3:$AE$63,MATCH(BQ$3,$S$3:$AE$3,0),FALSE))*$BL64/VLOOKUP(VLOOKUP($BJ64,坦克个性化设定!$B$18:$E$48,4,FALSE)&amp;$BK64,坦克属性分配比例,MATCH("升星次数",坦克属性分配比例标头,0),FALSE)*VLOOKUP(VLOOKUP($BJ64,坦克个性化设定!$B$18:$E$48,4,FALSE)&amp;$BK64,坦克属性分配比例,MATCH("升星比例",坦克属性分配比例标头,0),FALSE),0)</f>
        <v>684</v>
      </c>
      <c r="BR64" s="2">
        <f ca="1">ROUND(VLOOKUP($BJ64&amp;"初始",$S$3:$AE$63,MATCH(BR$3,$S$3:$AE$3,0),FALSE)+(VLOOKUP($BJ64&amp;"最终",$S$3:$AE$63,MATCH(BR$3,$S$3:$AE$3,0),FALSE)-VLOOKUP($BJ64&amp;"初始",$S$3:$AE$63,MATCH(BR$3,$S$3:$AE$3,0),FALSE))*$BL64/VLOOKUP(VLOOKUP($BJ64,坦克个性化设定!$B$18:$E$48,4,FALSE)&amp;$BK64,坦克属性分配比例,MATCH("升星次数",坦克属性分配比例标头,0),FALSE),0)</f>
        <v>206</v>
      </c>
      <c r="BS64" s="2">
        <f>ROUND(VLOOKUP($BJ64,$AI$3:$AO$33,MATCH(BS$3,$AI$3:$AO$3,0),FALSE)+$BL64/VLOOKUP(VLOOKUP($BJ64,坦克个性化设定!$B$18:$E$48,4,FALSE)&amp;$BK64,坦克属性分配比例,MATCH("升星次数",坦克属性分配比例标头,0),FALSE)*VLOOKUP($BJ64,$AR$3:$AY$33,MATCH(BS$3,$AR$3:$AY$3,0),FALSE),1)</f>
        <v>50.1</v>
      </c>
      <c r="BT64" s="2">
        <f>ROUND(VLOOKUP($BJ64,$AI$3:$AO$33,MATCH(BT$3,$AI$3:$AO$3,0),FALSE)+$BL64/VLOOKUP(VLOOKUP($BJ64,坦克个性化设定!$B$18:$E$48,4,FALSE)&amp;$BK64,坦克属性分配比例,MATCH("升星次数",坦克属性分配比例标头,0),FALSE)*VLOOKUP($BJ64,$AR$3:$AY$33,MATCH(BT$3,$AR$3:$AY$3,0),FALSE),1)</f>
        <v>59.1</v>
      </c>
      <c r="BU64" s="2">
        <f>ROUND(VLOOKUP($BJ64,$AI$3:$AO$33,MATCH(BU$3,$AI$3:$AO$3,0),FALSE)+$BL64/VLOOKUP(VLOOKUP($BJ64,坦克个性化设定!$B$18:$E$48,4,FALSE)&amp;$BK64,坦克属性分配比例,MATCH("升星次数",坦克属性分配比例标头,0),FALSE)*VLOOKUP($BJ64,$AR$3:$AY$33,MATCH(BU$3,$AR$3:$AY$3,0),FALSE),1)</f>
        <v>10</v>
      </c>
      <c r="BV64" s="2">
        <f>IF(VLOOKUP(BJ64,坦克个性化设定!$B$18:$BC$48,MATCH("装弹类型",坦克个性化设定!$B$18:$BC$18,0),FALSE)="弹夹换弹",0,ROUND(VLOOKUP($BJ64,$AI$3:$AO$33,MATCH("换弹时间",$AI$3:$AO$3,0),FALSE)-$BL64/VLOOKUP(VLOOKUP($BJ64,坦克个性化设定!$B$18:$E$48,4,FALSE)&amp;$BK64,坦克属性分配比例,MATCH("升星次数",坦克属性分配比例标头,0),FALSE)*VLOOKUP($BJ64,$AR$3:$AY$33,MATCH("换弹时间",$AR$3:$AY$3,0),FALSE),2))</f>
        <v>0</v>
      </c>
      <c r="BW64" s="2">
        <f>IF(VLOOKUP(BJ64,坦克个性化设定!$B$18:$BC$48,MATCH("装弹类型",坦克个性化设定!$B$18:$BC$18,0),FALSE)="弹夹换弹",ROUND(VLOOKUP($BJ64,$AI$3:$AO$33,MATCH("换弹时间",$AI$3:$AO$3,0),FALSE)-$BL64/VLOOKUP(VLOOKUP($BJ64,坦克个性化设定!$B$18:$E$48,4,FALSE)&amp;$BK64,坦克属性分配比例,MATCH("升星次数",坦克属性分配比例标头,0),FALSE)*VLOOKUP($BJ64,$AR$3:$AY$33,MATCH("换弹时间",$AR$3:$AY$3,0),FALSE),1),0)</f>
        <v>5.0999999999999996</v>
      </c>
      <c r="BX64" s="2">
        <f>ROUND(VLOOKUP($BJ64,$AI$3:$AO$33,MATCH(BX$3,$AI$3:$AO$3,0),FALSE)+$BL64/VLOOKUP(VLOOKUP($BJ64,坦克个性化设定!$B$18:$E$48,4,FALSE)&amp;$BK64,坦克属性分配比例,MATCH("升星次数",坦克属性分配比例标头,0),FALSE)*VLOOKUP($BJ64,$AR$3:$AY$33,MATCH(BX$3,$AR$3:$AY$3,0),FALSE),2)</f>
        <v>0.6</v>
      </c>
      <c r="BY64" s="2">
        <f>ROUND(VLOOKUP($BJ64,$AI$3:$AO$33,MATCH(BY$3,$AI$3:$AO$3,0),FALSE)-$BL64/VLOOKUP(VLOOKUP($BJ64,坦克个性化设定!$B$18:$E$48,4,FALSE)&amp;$BK64,坦克属性分配比例,MATCH("升星次数",坦克属性分配比例标头,0),FALSE)*VLOOKUP($BJ64,$AR$3:$AY$33,MATCH(BY$3,$AR$3:$AY$3,0),FALSE),2)</f>
        <v>0.4</v>
      </c>
    </row>
    <row r="65" spans="27:77" x14ac:dyDescent="0.3">
      <c r="AA65" s="134"/>
      <c r="BH65" s="2" t="str">
        <f t="shared" si="13"/>
        <v>霞飞9</v>
      </c>
      <c r="BI65" s="2">
        <f>IF(BL64&gt;=VLOOKUP(VLOOKUP(BJ64,坦克个性化设定!$B$18:$E$48,4,FALSE)&amp;BK64,坦克属性分配比例,MATCH("升星次数",坦克属性分配比例标头,0),FALSE),BI64+1,BI64)</f>
        <v>7</v>
      </c>
      <c r="BJ65" s="2" t="str">
        <f t="shared" si="14"/>
        <v>霞飞</v>
      </c>
      <c r="BK65" s="29" t="str">
        <f>VLOOKUP(BJ65,坦克个性化细分!$I$3:$J$33,2,FALSE)</f>
        <v>低</v>
      </c>
      <c r="BL65" s="2">
        <f t="shared" si="7"/>
        <v>9</v>
      </c>
      <c r="BM65" s="103">
        <f ca="1">ROUND(VLOOKUP($BJ65&amp;"初始",$S$3:$AE$63,MATCH(BM$3,$S$3:$AE$3,0),FALSE)+((VLOOKUP($BJ65&amp;"最终",$S$3:$AE$63,MATCH(BM$3,$S$3:$AE$3,0),FALSE)*坦克个性化细分!$C$9-VLOOKUP($BJ65&amp;"初始",$S$3:$AE$63,MATCH(BM$3,$S$3:$AE$3,0),FALSE))-(VLOOKUP($BJ65&amp;"最终",$S$3:$AE$63,MATCH(BM$3,$S$3:$AE$3,0),FALSE)-VLOOKUP($BJ65&amp;"初始",$S$3:$AE$63,MATCH(BM$3,$S$3:$AE$3,0),FALSE))*VLOOKUP(VLOOKUP($BJ65,坦克个性化设定!$B$18:$E$48,4,FALSE)&amp;$BK65,坦克属性分配比例,MATCH("部件比例",坦克属性分配比例标头,0),FALSE))*$BL65/VLOOKUP(VLOOKUP($BJ65,坦克个性化设定!$B$18:$E$48,4,FALSE)&amp;$BK65,坦克属性分配比例,MATCH("升星次数",坦克属性分配比例标头,0),FALSE),0)</f>
        <v>2015</v>
      </c>
      <c r="BN65" s="103">
        <f ca="1">ROUND(VLOOKUP($BJ65&amp;"初始",$S$3:$AE$63,MATCH(BN$3,$S$3:$AE$3,0),FALSE)+(VLOOKUP($BJ65&amp;"最终",$S$3:$AE$63,MATCH(BN$3,$S$3:$AE$3,0),FALSE)-VLOOKUP($BJ65&amp;"初始",$S$3:$AE$63,MATCH(BN$3,$S$3:$AE$3,0),FALSE))*$BL65/VLOOKUP(VLOOKUP($BJ65,坦克个性化设定!$B$18:$E$48,4,FALSE)&amp;$BK65,坦克属性分配比例,MATCH("升星次数",坦克属性分配比例标头,0),FALSE)*VLOOKUP(VLOOKUP($BJ65,坦克个性化设定!$B$18:$E$48,4,FALSE)&amp;$BK65,坦克属性分配比例,MATCH("升星比例",坦克属性分配比例标头,0),FALSE),0)</f>
        <v>123</v>
      </c>
      <c r="BO65" s="103">
        <f ca="1">ROUND(VLOOKUP($BJ65&amp;"初始",$S$3:$AE$63,MATCH(BO$3,$S$3:$AE$3,0),FALSE)+(VLOOKUP($BJ65&amp;"最终",$S$3:$AE$63,MATCH(BO$3,$S$3:$AE$3,0),FALSE)-VLOOKUP($BJ65&amp;"初始",$S$3:$AE$63,MATCH(BO$3,$S$3:$AE$3,0),FALSE))*$BL65/VLOOKUP(VLOOKUP($BJ65,坦克个性化设定!$B$18:$E$48,4,FALSE)&amp;$BK65,坦克属性分配比例,MATCH("升星次数",坦克属性分配比例标头,0),FALSE)*(VLOOKUP(VLOOKUP($BJ65,坦克个性化设定!$B$18:$E$48,4,FALSE)&amp;$BK65,坦克属性分配比例,MATCH("升星比例",坦克属性分配比例标头,0),FALSE)+VLOOKUP(VLOOKUP($BJ65,坦克个性化设定!$B$18:$E$48,4,FALSE)&amp;$BK65,坦克属性分配比例,MATCH("部件比例",坦克属性分配比例标头,0),FALSE)*$C$3),0)</f>
        <v>830</v>
      </c>
      <c r="BP65" s="103">
        <f ca="1">ROUND(VLOOKUP($BJ65&amp;"初始",$S$3:$AE$63,MATCH(BP$3,$S$3:$AE$3,0),FALSE)+(VLOOKUP($BJ65&amp;"最终",$S$3:$AE$63,MATCH(BP$3,$S$3:$AE$3,0),FALSE)-VLOOKUP($BJ65&amp;"初始",$S$3:$AE$63,MATCH(BP$3,$S$3:$AE$3,0),FALSE))*$BL65/VLOOKUP(VLOOKUP($BJ65,坦克个性化设定!$B$18:$E$48,4,FALSE)&amp;$BK65,坦克属性分配比例,MATCH("升星次数",坦克属性分配比例标头,0),FALSE)*(VLOOKUP(VLOOKUP($BJ65,坦克个性化设定!$B$18:$E$48,4,FALSE)&amp;$BK65,坦克属性分配比例,MATCH("升星比例",坦克属性分配比例标头,0),FALSE)+VLOOKUP(VLOOKUP($BJ65,坦克个性化设定!$B$18:$E$48,4,FALSE)&amp;$BK65,坦克属性分配比例,MATCH("部件比例",坦克属性分配比例标头,0),FALSE)*$C$3),0)</f>
        <v>581</v>
      </c>
      <c r="BQ65" s="103">
        <f ca="1">ROUND(VLOOKUP($BJ65&amp;"初始",$S$3:$AE$63,MATCH(BQ$3,$S$3:$AE$3,0),FALSE)+(VLOOKUP($BJ65&amp;"最终",$S$3:$AE$63,MATCH(BQ$3,$S$3:$AE$3,0),FALSE)-VLOOKUP($BJ65&amp;"初始",$S$3:$AE$63,MATCH(BQ$3,$S$3:$AE$3,0),FALSE))*$BL65/VLOOKUP(VLOOKUP($BJ65,坦克个性化设定!$B$18:$E$48,4,FALSE)&amp;$BK65,坦克属性分配比例,MATCH("升星次数",坦克属性分配比例标头,0),FALSE)*VLOOKUP(VLOOKUP($BJ65,坦克个性化设定!$B$18:$E$48,4,FALSE)&amp;$BK65,坦克属性分配比例,MATCH("升星比例",坦克属性分配比例标头,0),FALSE),0)</f>
        <v>698</v>
      </c>
      <c r="BR65" s="2">
        <f ca="1">ROUND(VLOOKUP($BJ65&amp;"初始",$S$3:$AE$63,MATCH(BR$3,$S$3:$AE$3,0),FALSE)+(VLOOKUP($BJ65&amp;"最终",$S$3:$AE$63,MATCH(BR$3,$S$3:$AE$3,0),FALSE)-VLOOKUP($BJ65&amp;"初始",$S$3:$AE$63,MATCH(BR$3,$S$3:$AE$3,0),FALSE))*$BL65/VLOOKUP(VLOOKUP($BJ65,坦克个性化设定!$B$18:$E$48,4,FALSE)&amp;$BK65,坦克属性分配比例,MATCH("升星次数",坦克属性分配比例标头,0),FALSE),0)</f>
        <v>213</v>
      </c>
      <c r="BS65" s="2">
        <f>ROUND(VLOOKUP($BJ65,$AI$3:$AO$33,MATCH(BS$3,$AI$3:$AO$3,0),FALSE)+$BL65/VLOOKUP(VLOOKUP($BJ65,坦克个性化设定!$B$18:$E$48,4,FALSE)&amp;$BK65,坦克属性分配比例,MATCH("升星次数",坦克属性分配比例标头,0),FALSE)*VLOOKUP($BJ65,$AR$3:$AY$33,MATCH(BS$3,$AR$3:$AY$3,0),FALSE),1)</f>
        <v>51.1</v>
      </c>
      <c r="BT65" s="2">
        <f>ROUND(VLOOKUP($BJ65,$AI$3:$AO$33,MATCH(BT$3,$AI$3:$AO$3,0),FALSE)+$BL65/VLOOKUP(VLOOKUP($BJ65,坦克个性化设定!$B$18:$E$48,4,FALSE)&amp;$BK65,坦克属性分配比例,MATCH("升星次数",坦克属性分配比例标头,0),FALSE)*VLOOKUP($BJ65,$AR$3:$AY$33,MATCH(BT$3,$AR$3:$AY$3,0),FALSE),1)</f>
        <v>60.2</v>
      </c>
      <c r="BU65" s="2">
        <f>ROUND(VLOOKUP($BJ65,$AI$3:$AO$33,MATCH(BU$3,$AI$3:$AO$3,0),FALSE)+$BL65/VLOOKUP(VLOOKUP($BJ65,坦克个性化设定!$B$18:$E$48,4,FALSE)&amp;$BK65,坦克属性分配比例,MATCH("升星次数",坦克属性分配比例标头,0),FALSE)*VLOOKUP($BJ65,$AR$3:$AY$33,MATCH(BU$3,$AR$3:$AY$3,0),FALSE),1)</f>
        <v>10</v>
      </c>
      <c r="BV65" s="2">
        <f>IF(VLOOKUP(BJ65,坦克个性化设定!$B$18:$BC$48,MATCH("装弹类型",坦克个性化设定!$B$18:$BC$18,0),FALSE)="弹夹换弹",0,ROUND(VLOOKUP($BJ65,$AI$3:$AO$33,MATCH("换弹时间",$AI$3:$AO$3,0),FALSE)-$BL65/VLOOKUP(VLOOKUP($BJ65,坦克个性化设定!$B$18:$E$48,4,FALSE)&amp;$BK65,坦克属性分配比例,MATCH("升星次数",坦克属性分配比例标头,0),FALSE)*VLOOKUP($BJ65,$AR$3:$AY$33,MATCH("换弹时间",$AR$3:$AY$3,0),FALSE),2))</f>
        <v>0</v>
      </c>
      <c r="BW65" s="2">
        <f>IF(VLOOKUP(BJ65,坦克个性化设定!$B$18:$BC$48,MATCH("装弹类型",坦克个性化设定!$B$18:$BC$18,0),FALSE)="弹夹换弹",ROUND(VLOOKUP($BJ65,$AI$3:$AO$33,MATCH("换弹时间",$AI$3:$AO$3,0),FALSE)-$BL65/VLOOKUP(VLOOKUP($BJ65,坦克个性化设定!$B$18:$E$48,4,FALSE)&amp;$BK65,坦克属性分配比例,MATCH("升星次数",坦克属性分配比例标头,0),FALSE)*VLOOKUP($BJ65,$AR$3:$AY$33,MATCH("换弹时间",$AR$3:$AY$3,0),FALSE),1),0)</f>
        <v>4.9000000000000004</v>
      </c>
      <c r="BX65" s="2">
        <f>ROUND(VLOOKUP($BJ65,$AI$3:$AO$33,MATCH(BX$3,$AI$3:$AO$3,0),FALSE)+$BL65/VLOOKUP(VLOOKUP($BJ65,坦克个性化设定!$B$18:$E$48,4,FALSE)&amp;$BK65,坦克属性分配比例,MATCH("升星次数",坦克属性分配比例标头,0),FALSE)*VLOOKUP($BJ65,$AR$3:$AY$33,MATCH(BX$3,$AR$3:$AY$3,0),FALSE),2)</f>
        <v>0.6</v>
      </c>
      <c r="BY65" s="2">
        <f>ROUND(VLOOKUP($BJ65,$AI$3:$AO$33,MATCH(BY$3,$AI$3:$AO$3,0),FALSE)-$BL65/VLOOKUP(VLOOKUP($BJ65,坦克个性化设定!$B$18:$E$48,4,FALSE)&amp;$BK65,坦克属性分配比例,MATCH("升星次数",坦克属性分配比例标头,0),FALSE)*VLOOKUP($BJ65,$AR$3:$AY$33,MATCH(BY$3,$AR$3:$AY$3,0),FALSE),2)</f>
        <v>0.39</v>
      </c>
    </row>
    <row r="66" spans="27:77" x14ac:dyDescent="0.3">
      <c r="BH66" s="2" t="str">
        <f t="shared" si="13"/>
        <v>霞飞10</v>
      </c>
      <c r="BI66" s="2">
        <f>IF(BL65&gt;=VLOOKUP(VLOOKUP(BJ65,坦克个性化设定!$B$18:$E$48,4,FALSE)&amp;BK65,坦克属性分配比例,MATCH("升星次数",坦克属性分配比例标头,0),FALSE),BI65+1,BI65)</f>
        <v>7</v>
      </c>
      <c r="BJ66" s="2" t="str">
        <f t="shared" si="14"/>
        <v>霞飞</v>
      </c>
      <c r="BK66" s="29" t="str">
        <f>VLOOKUP(BJ66,坦克个性化细分!$I$3:$J$33,2,FALSE)</f>
        <v>低</v>
      </c>
      <c r="BL66" s="2">
        <f t="shared" si="7"/>
        <v>10</v>
      </c>
      <c r="BM66" s="103">
        <f ca="1">ROUND(VLOOKUP($BJ66&amp;"初始",$S$3:$AE$63,MATCH(BM$3,$S$3:$AE$3,0),FALSE)+((VLOOKUP($BJ66&amp;"最终",$S$3:$AE$63,MATCH(BM$3,$S$3:$AE$3,0),FALSE)*坦克个性化细分!$C$9-VLOOKUP($BJ66&amp;"初始",$S$3:$AE$63,MATCH(BM$3,$S$3:$AE$3,0),FALSE))-(VLOOKUP($BJ66&amp;"最终",$S$3:$AE$63,MATCH(BM$3,$S$3:$AE$3,0),FALSE)-VLOOKUP($BJ66&amp;"初始",$S$3:$AE$63,MATCH(BM$3,$S$3:$AE$3,0),FALSE))*VLOOKUP(VLOOKUP($BJ66,坦克个性化设定!$B$18:$E$48,4,FALSE)&amp;$BK66,坦克属性分配比例,MATCH("部件比例",坦克属性分配比例标头,0),FALSE))*$BL66/VLOOKUP(VLOOKUP($BJ66,坦克个性化设定!$B$18:$E$48,4,FALSE)&amp;$BK66,坦克属性分配比例,MATCH("升星次数",坦克属性分配比例标头,0),FALSE),0)</f>
        <v>2076</v>
      </c>
      <c r="BN66" s="103">
        <f ca="1">ROUND(VLOOKUP($BJ66&amp;"初始",$S$3:$AE$63,MATCH(BN$3,$S$3:$AE$3,0),FALSE)+(VLOOKUP($BJ66&amp;"最终",$S$3:$AE$63,MATCH(BN$3,$S$3:$AE$3,0),FALSE)-VLOOKUP($BJ66&amp;"初始",$S$3:$AE$63,MATCH(BN$3,$S$3:$AE$3,0),FALSE))*$BL66/VLOOKUP(VLOOKUP($BJ66,坦克个性化设定!$B$18:$E$48,4,FALSE)&amp;$BK66,坦克属性分配比例,MATCH("升星次数",坦克属性分配比例标头,0),FALSE)*VLOOKUP(VLOOKUP($BJ66,坦克个性化设定!$B$18:$E$48,4,FALSE)&amp;$BK66,坦克属性分配比例,MATCH("升星比例",坦克属性分配比例标头,0),FALSE),0)</f>
        <v>126</v>
      </c>
      <c r="BO66" s="103">
        <f ca="1">ROUND(VLOOKUP($BJ66&amp;"初始",$S$3:$AE$63,MATCH(BO$3,$S$3:$AE$3,0),FALSE)+(VLOOKUP($BJ66&amp;"最终",$S$3:$AE$63,MATCH(BO$3,$S$3:$AE$3,0),FALSE)-VLOOKUP($BJ66&amp;"初始",$S$3:$AE$63,MATCH(BO$3,$S$3:$AE$3,0),FALSE))*$BL66/VLOOKUP(VLOOKUP($BJ66,坦克个性化设定!$B$18:$E$48,4,FALSE)&amp;$BK66,坦克属性分配比例,MATCH("升星次数",坦克属性分配比例标头,0),FALSE)*(VLOOKUP(VLOOKUP($BJ66,坦克个性化设定!$B$18:$E$48,4,FALSE)&amp;$BK66,坦克属性分配比例,MATCH("升星比例",坦克属性分配比例标头,0),FALSE)+VLOOKUP(VLOOKUP($BJ66,坦克个性化设定!$B$18:$E$48,4,FALSE)&amp;$BK66,坦克属性分配比例,MATCH("部件比例",坦克属性分配比例标头,0),FALSE)*$C$3),0)</f>
        <v>852</v>
      </c>
      <c r="BP66" s="103">
        <f ca="1">ROUND(VLOOKUP($BJ66&amp;"初始",$S$3:$AE$63,MATCH(BP$3,$S$3:$AE$3,0),FALSE)+(VLOOKUP($BJ66&amp;"最终",$S$3:$AE$63,MATCH(BP$3,$S$3:$AE$3,0),FALSE)-VLOOKUP($BJ66&amp;"初始",$S$3:$AE$63,MATCH(BP$3,$S$3:$AE$3,0),FALSE))*$BL66/VLOOKUP(VLOOKUP($BJ66,坦克个性化设定!$B$18:$E$48,4,FALSE)&amp;$BK66,坦克属性分配比例,MATCH("升星次数",坦克属性分配比例标头,0),FALSE)*(VLOOKUP(VLOOKUP($BJ66,坦克个性化设定!$B$18:$E$48,4,FALSE)&amp;$BK66,坦克属性分配比例,MATCH("升星比例",坦克属性分配比例标头,0),FALSE)+VLOOKUP(VLOOKUP($BJ66,坦克个性化设定!$B$18:$E$48,4,FALSE)&amp;$BK66,坦克属性分配比例,MATCH("部件比例",坦克属性分配比例标头,0),FALSE)*$C$3),0)</f>
        <v>596</v>
      </c>
      <c r="BQ66" s="103">
        <f ca="1">ROUND(VLOOKUP($BJ66&amp;"初始",$S$3:$AE$63,MATCH(BQ$3,$S$3:$AE$3,0),FALSE)+(VLOOKUP($BJ66&amp;"最终",$S$3:$AE$63,MATCH(BQ$3,$S$3:$AE$3,0),FALSE)-VLOOKUP($BJ66&amp;"初始",$S$3:$AE$63,MATCH(BQ$3,$S$3:$AE$3,0),FALSE))*$BL66/VLOOKUP(VLOOKUP($BJ66,坦克个性化设定!$B$18:$E$48,4,FALSE)&amp;$BK66,坦克属性分配比例,MATCH("升星次数",坦克属性分配比例标头,0),FALSE)*VLOOKUP(VLOOKUP($BJ66,坦克个性化设定!$B$18:$E$48,4,FALSE)&amp;$BK66,坦克属性分配比例,MATCH("升星比例",坦克属性分配比例标头,0),FALSE),0)</f>
        <v>711</v>
      </c>
      <c r="BR66" s="2">
        <f ca="1">ROUND(VLOOKUP($BJ66&amp;"初始",$S$3:$AE$63,MATCH(BR$3,$S$3:$AE$3,0),FALSE)+(VLOOKUP($BJ66&amp;"最终",$S$3:$AE$63,MATCH(BR$3,$S$3:$AE$3,0),FALSE)-VLOOKUP($BJ66&amp;"初始",$S$3:$AE$63,MATCH(BR$3,$S$3:$AE$3,0),FALSE))*$BL66/VLOOKUP(VLOOKUP($BJ66,坦克个性化设定!$B$18:$E$48,4,FALSE)&amp;$BK66,坦克属性分配比例,MATCH("升星次数",坦克属性分配比例标头,0),FALSE),0)</f>
        <v>219</v>
      </c>
      <c r="BS66" s="2">
        <f>ROUND(VLOOKUP($BJ66,$AI$3:$AO$33,MATCH(BS$3,$AI$3:$AO$3,0),FALSE)+$BL66/VLOOKUP(VLOOKUP($BJ66,坦克个性化设定!$B$18:$E$48,4,FALSE)&amp;$BK66,坦克属性分配比例,MATCH("升星次数",坦克属性分配比例标头,0),FALSE)*VLOOKUP($BJ66,$AR$3:$AY$33,MATCH(BS$3,$AR$3:$AY$3,0),FALSE),1)</f>
        <v>52</v>
      </c>
      <c r="BT66" s="2">
        <f>ROUND(VLOOKUP($BJ66,$AI$3:$AO$33,MATCH(BT$3,$AI$3:$AO$3,0),FALSE)+$BL66/VLOOKUP(VLOOKUP($BJ66,坦克个性化设定!$B$18:$E$48,4,FALSE)&amp;$BK66,坦克属性分配比例,MATCH("升星次数",坦克属性分配比例标头,0),FALSE)*VLOOKUP($BJ66,$AR$3:$AY$33,MATCH(BT$3,$AR$3:$AY$3,0),FALSE),1)</f>
        <v>61.4</v>
      </c>
      <c r="BU66" s="2">
        <f>ROUND(VLOOKUP($BJ66,$AI$3:$AO$33,MATCH(BU$3,$AI$3:$AO$3,0),FALSE)+$BL66/VLOOKUP(VLOOKUP($BJ66,坦克个性化设定!$B$18:$E$48,4,FALSE)&amp;$BK66,坦克属性分配比例,MATCH("升星次数",坦克属性分配比例标头,0),FALSE)*VLOOKUP($BJ66,$AR$3:$AY$33,MATCH(BU$3,$AR$3:$AY$3,0),FALSE),1)</f>
        <v>10</v>
      </c>
      <c r="BV66" s="2">
        <f>IF(VLOOKUP(BJ66,坦克个性化设定!$B$18:$BC$48,MATCH("装弹类型",坦克个性化设定!$B$18:$BC$18,0),FALSE)="弹夹换弹",0,ROUND(VLOOKUP($BJ66,$AI$3:$AO$33,MATCH("换弹时间",$AI$3:$AO$3,0),FALSE)-$BL66/VLOOKUP(VLOOKUP($BJ66,坦克个性化设定!$B$18:$E$48,4,FALSE)&amp;$BK66,坦克属性分配比例,MATCH("升星次数",坦克属性分配比例标头,0),FALSE)*VLOOKUP($BJ66,$AR$3:$AY$33,MATCH("换弹时间",$AR$3:$AY$3,0),FALSE),2))</f>
        <v>0</v>
      </c>
      <c r="BW66" s="2">
        <f>IF(VLOOKUP(BJ66,坦克个性化设定!$B$18:$BC$48,MATCH("装弹类型",坦克个性化设定!$B$18:$BC$18,0),FALSE)="弹夹换弹",ROUND(VLOOKUP($BJ66,$AI$3:$AO$33,MATCH("换弹时间",$AI$3:$AO$3,0),FALSE)-$BL66/VLOOKUP(VLOOKUP($BJ66,坦克个性化设定!$B$18:$E$48,4,FALSE)&amp;$BK66,坦克属性分配比例,MATCH("升星次数",坦克属性分配比例标头,0),FALSE)*VLOOKUP($BJ66,$AR$3:$AY$33,MATCH("换弹时间",$AR$3:$AY$3,0),FALSE),1),0)</f>
        <v>4.8</v>
      </c>
      <c r="BX66" s="2">
        <f>ROUND(VLOOKUP($BJ66,$AI$3:$AO$33,MATCH(BX$3,$AI$3:$AO$3,0),FALSE)+$BL66/VLOOKUP(VLOOKUP($BJ66,坦克个性化设定!$B$18:$E$48,4,FALSE)&amp;$BK66,坦克属性分配比例,MATCH("升星次数",坦克属性分配比例标头,0),FALSE)*VLOOKUP($BJ66,$AR$3:$AY$33,MATCH(BX$3,$AR$3:$AY$3,0),FALSE),2)</f>
        <v>0.6</v>
      </c>
      <c r="BY66" s="2">
        <f>ROUND(VLOOKUP($BJ66,$AI$3:$AO$33,MATCH(BY$3,$AI$3:$AO$3,0),FALSE)-$BL66/VLOOKUP(VLOOKUP($BJ66,坦克个性化设定!$B$18:$E$48,4,FALSE)&amp;$BK66,坦克属性分配比例,MATCH("升星次数",坦克属性分配比例标头,0),FALSE)*VLOOKUP($BJ66,$AR$3:$AY$33,MATCH(BY$3,$AR$3:$AY$3,0),FALSE),2)</f>
        <v>0.38</v>
      </c>
    </row>
    <row r="67" spans="27:77" x14ac:dyDescent="0.3">
      <c r="BH67" s="2" t="str">
        <f t="shared" si="13"/>
        <v>霞飞11</v>
      </c>
      <c r="BI67" s="2">
        <f>IF(BL66&gt;=VLOOKUP(VLOOKUP(BJ66,坦克个性化设定!$B$18:$E$48,4,FALSE)&amp;BK66,坦克属性分配比例,MATCH("升星次数",坦克属性分配比例标头,0),FALSE),BI66+1,BI66)</f>
        <v>7</v>
      </c>
      <c r="BJ67" s="2" t="str">
        <f t="shared" si="14"/>
        <v>霞飞</v>
      </c>
      <c r="BK67" s="29" t="str">
        <f>VLOOKUP(BJ67,坦克个性化细分!$I$3:$J$33,2,FALSE)</f>
        <v>低</v>
      </c>
      <c r="BL67" s="2">
        <f t="shared" si="7"/>
        <v>11</v>
      </c>
      <c r="BM67" s="103">
        <f ca="1">ROUND(VLOOKUP($BJ67&amp;"初始",$S$3:$AE$63,MATCH(BM$3,$S$3:$AE$3,0),FALSE)+((VLOOKUP($BJ67&amp;"最终",$S$3:$AE$63,MATCH(BM$3,$S$3:$AE$3,0),FALSE)*坦克个性化细分!$C$9-VLOOKUP($BJ67&amp;"初始",$S$3:$AE$63,MATCH(BM$3,$S$3:$AE$3,0),FALSE))-(VLOOKUP($BJ67&amp;"最终",$S$3:$AE$63,MATCH(BM$3,$S$3:$AE$3,0),FALSE)-VLOOKUP($BJ67&amp;"初始",$S$3:$AE$63,MATCH(BM$3,$S$3:$AE$3,0),FALSE))*VLOOKUP(VLOOKUP($BJ67,坦克个性化设定!$B$18:$E$48,4,FALSE)&amp;$BK67,坦克属性分配比例,MATCH("部件比例",坦克属性分配比例标头,0),FALSE))*$BL67/VLOOKUP(VLOOKUP($BJ67,坦克个性化设定!$B$18:$E$48,4,FALSE)&amp;$BK67,坦克属性分配比例,MATCH("升星次数",坦克属性分配比例标头,0),FALSE),0)</f>
        <v>2137</v>
      </c>
      <c r="BN67" s="103">
        <f ca="1">ROUND(VLOOKUP($BJ67&amp;"初始",$S$3:$AE$63,MATCH(BN$3,$S$3:$AE$3,0),FALSE)+(VLOOKUP($BJ67&amp;"最终",$S$3:$AE$63,MATCH(BN$3,$S$3:$AE$3,0),FALSE)-VLOOKUP($BJ67&amp;"初始",$S$3:$AE$63,MATCH(BN$3,$S$3:$AE$3,0),FALSE))*$BL67/VLOOKUP(VLOOKUP($BJ67,坦克个性化设定!$B$18:$E$48,4,FALSE)&amp;$BK67,坦克属性分配比例,MATCH("升星次数",坦克属性分配比例标头,0),FALSE)*VLOOKUP(VLOOKUP($BJ67,坦克个性化设定!$B$18:$E$48,4,FALSE)&amp;$BK67,坦克属性分配比例,MATCH("升星比例",坦克属性分配比例标头,0),FALSE),0)</f>
        <v>128</v>
      </c>
      <c r="BO67" s="103">
        <f ca="1">ROUND(VLOOKUP($BJ67&amp;"初始",$S$3:$AE$63,MATCH(BO$3,$S$3:$AE$3,0),FALSE)+(VLOOKUP($BJ67&amp;"最终",$S$3:$AE$63,MATCH(BO$3,$S$3:$AE$3,0),FALSE)-VLOOKUP($BJ67&amp;"初始",$S$3:$AE$63,MATCH(BO$3,$S$3:$AE$3,0),FALSE))*$BL67/VLOOKUP(VLOOKUP($BJ67,坦克个性化设定!$B$18:$E$48,4,FALSE)&amp;$BK67,坦克属性分配比例,MATCH("升星次数",坦克属性分配比例标头,0),FALSE)*(VLOOKUP(VLOOKUP($BJ67,坦克个性化设定!$B$18:$E$48,4,FALSE)&amp;$BK67,坦克属性分配比例,MATCH("升星比例",坦克属性分配比例标头,0),FALSE)+VLOOKUP(VLOOKUP($BJ67,坦克个性化设定!$B$18:$E$48,4,FALSE)&amp;$BK67,坦克属性分配比例,MATCH("部件比例",坦克属性分配比例标头,0),FALSE)*$C$3),0)</f>
        <v>874</v>
      </c>
      <c r="BP67" s="103">
        <f ca="1">ROUND(VLOOKUP($BJ67&amp;"初始",$S$3:$AE$63,MATCH(BP$3,$S$3:$AE$3,0),FALSE)+(VLOOKUP($BJ67&amp;"最终",$S$3:$AE$63,MATCH(BP$3,$S$3:$AE$3,0),FALSE)-VLOOKUP($BJ67&amp;"初始",$S$3:$AE$63,MATCH(BP$3,$S$3:$AE$3,0),FALSE))*$BL67/VLOOKUP(VLOOKUP($BJ67,坦克个性化设定!$B$18:$E$48,4,FALSE)&amp;$BK67,坦克属性分配比例,MATCH("升星次数",坦克属性分配比例标头,0),FALSE)*(VLOOKUP(VLOOKUP($BJ67,坦克个性化设定!$B$18:$E$48,4,FALSE)&amp;$BK67,坦克属性分配比例,MATCH("升星比例",坦克属性分配比例标头,0),FALSE)+VLOOKUP(VLOOKUP($BJ67,坦克个性化设定!$B$18:$E$48,4,FALSE)&amp;$BK67,坦克属性分配比例,MATCH("部件比例",坦克属性分配比例标头,0),FALSE)*$C$3),0)</f>
        <v>612</v>
      </c>
      <c r="BQ67" s="103">
        <f ca="1">ROUND(VLOOKUP($BJ67&amp;"初始",$S$3:$AE$63,MATCH(BQ$3,$S$3:$AE$3,0),FALSE)+(VLOOKUP($BJ67&amp;"最终",$S$3:$AE$63,MATCH(BQ$3,$S$3:$AE$3,0),FALSE)-VLOOKUP($BJ67&amp;"初始",$S$3:$AE$63,MATCH(BQ$3,$S$3:$AE$3,0),FALSE))*$BL67/VLOOKUP(VLOOKUP($BJ67,坦克个性化设定!$B$18:$E$48,4,FALSE)&amp;$BK67,坦克属性分配比例,MATCH("升星次数",坦克属性分配比例标头,0),FALSE)*VLOOKUP(VLOOKUP($BJ67,坦克个性化设定!$B$18:$E$48,4,FALSE)&amp;$BK67,坦克属性分配比例,MATCH("升星比例",坦克属性分配比例标头,0),FALSE),0)</f>
        <v>725</v>
      </c>
      <c r="BR67" s="2">
        <f ca="1">ROUND(VLOOKUP($BJ67&amp;"初始",$S$3:$AE$63,MATCH(BR$3,$S$3:$AE$3,0),FALSE)+(VLOOKUP($BJ67&amp;"最终",$S$3:$AE$63,MATCH(BR$3,$S$3:$AE$3,0),FALSE)-VLOOKUP($BJ67&amp;"初始",$S$3:$AE$63,MATCH(BR$3,$S$3:$AE$3,0),FALSE))*$BL67/VLOOKUP(VLOOKUP($BJ67,坦克个性化设定!$B$18:$E$48,4,FALSE)&amp;$BK67,坦克属性分配比例,MATCH("升星次数",坦克属性分配比例标头,0),FALSE),0)</f>
        <v>226</v>
      </c>
      <c r="BS67" s="2">
        <f>ROUND(VLOOKUP($BJ67,$AI$3:$AO$33,MATCH(BS$3,$AI$3:$AO$3,0),FALSE)+$BL67/VLOOKUP(VLOOKUP($BJ67,坦克个性化设定!$B$18:$E$48,4,FALSE)&amp;$BK67,坦克属性分配比例,MATCH("升星次数",坦克属性分配比例标头,0),FALSE)*VLOOKUP($BJ67,$AR$3:$AY$33,MATCH(BS$3,$AR$3:$AY$3,0),FALSE),1)</f>
        <v>53</v>
      </c>
      <c r="BT67" s="2">
        <f>ROUND(VLOOKUP($BJ67,$AI$3:$AO$33,MATCH(BT$3,$AI$3:$AO$3,0),FALSE)+$BL67/VLOOKUP(VLOOKUP($BJ67,坦克个性化设定!$B$18:$E$48,4,FALSE)&amp;$BK67,坦克属性分配比例,MATCH("升星次数",坦克属性分配比例标头,0),FALSE)*VLOOKUP($BJ67,$AR$3:$AY$33,MATCH(BT$3,$AR$3:$AY$3,0),FALSE),1)</f>
        <v>62.5</v>
      </c>
      <c r="BU67" s="2">
        <f>ROUND(VLOOKUP($BJ67,$AI$3:$AO$33,MATCH(BU$3,$AI$3:$AO$3,0),FALSE)+$BL67/VLOOKUP(VLOOKUP($BJ67,坦克个性化设定!$B$18:$E$48,4,FALSE)&amp;$BK67,坦克属性分配比例,MATCH("升星次数",坦克属性分配比例标头,0),FALSE)*VLOOKUP($BJ67,$AR$3:$AY$33,MATCH(BU$3,$AR$3:$AY$3,0),FALSE),1)</f>
        <v>10</v>
      </c>
      <c r="BV67" s="2">
        <f>IF(VLOOKUP(BJ67,坦克个性化设定!$B$18:$BC$48,MATCH("装弹类型",坦克个性化设定!$B$18:$BC$18,0),FALSE)="弹夹换弹",0,ROUND(VLOOKUP($BJ67,$AI$3:$AO$33,MATCH("换弹时间",$AI$3:$AO$3,0),FALSE)-$BL67/VLOOKUP(VLOOKUP($BJ67,坦克个性化设定!$B$18:$E$48,4,FALSE)&amp;$BK67,坦克属性分配比例,MATCH("升星次数",坦克属性分配比例标头,0),FALSE)*VLOOKUP($BJ67,$AR$3:$AY$33,MATCH("换弹时间",$AR$3:$AY$3,0),FALSE),2))</f>
        <v>0</v>
      </c>
      <c r="BW67" s="2">
        <f>IF(VLOOKUP(BJ67,坦克个性化设定!$B$18:$BC$48,MATCH("装弹类型",坦克个性化设定!$B$18:$BC$18,0),FALSE)="弹夹换弹",ROUND(VLOOKUP($BJ67,$AI$3:$AO$33,MATCH("换弹时间",$AI$3:$AO$3,0),FALSE)-$BL67/VLOOKUP(VLOOKUP($BJ67,坦克个性化设定!$B$18:$E$48,4,FALSE)&amp;$BK67,坦克属性分配比例,MATCH("升星次数",坦克属性分配比例标头,0),FALSE)*VLOOKUP($BJ67,$AR$3:$AY$33,MATCH("换弹时间",$AR$3:$AY$3,0),FALSE),1),0)</f>
        <v>4.5999999999999996</v>
      </c>
      <c r="BX67" s="2">
        <f>ROUND(VLOOKUP($BJ67,$AI$3:$AO$33,MATCH(BX$3,$AI$3:$AO$3,0),FALSE)+$BL67/VLOOKUP(VLOOKUP($BJ67,坦克个性化设定!$B$18:$E$48,4,FALSE)&amp;$BK67,坦克属性分配比例,MATCH("升星次数",坦克属性分配比例标头,0),FALSE)*VLOOKUP($BJ67,$AR$3:$AY$33,MATCH(BX$3,$AR$3:$AY$3,0),FALSE),2)</f>
        <v>0.6</v>
      </c>
      <c r="BY67" s="2">
        <f>ROUND(VLOOKUP($BJ67,$AI$3:$AO$33,MATCH(BY$3,$AI$3:$AO$3,0),FALSE)-$BL67/VLOOKUP(VLOOKUP($BJ67,坦克个性化设定!$B$18:$E$48,4,FALSE)&amp;$BK67,坦克属性分配比例,MATCH("升星次数",坦克属性分配比例标头,0),FALSE)*VLOOKUP($BJ67,$AR$3:$AY$33,MATCH(BY$3,$AR$3:$AY$3,0),FALSE),2)</f>
        <v>0.38</v>
      </c>
    </row>
    <row r="68" spans="27:77" x14ac:dyDescent="0.3">
      <c r="BH68" s="2" t="str">
        <f t="shared" si="13"/>
        <v>M-410</v>
      </c>
      <c r="BI68" s="2">
        <f>IF(BL67&gt;=VLOOKUP(VLOOKUP(BJ67,坦克个性化设定!$B$18:$E$48,4,FALSE)&amp;BK67,坦克属性分配比例,MATCH("升星次数",坦克属性分配比例标头,0),FALSE),BI67+1,BI67)</f>
        <v>8</v>
      </c>
      <c r="BJ68" s="2" t="str">
        <f t="shared" si="14"/>
        <v>M-41</v>
      </c>
      <c r="BK68" s="29" t="str">
        <f>VLOOKUP(BJ68,坦克个性化细分!$I$3:$J$33,2,FALSE)</f>
        <v>中</v>
      </c>
      <c r="BL68" s="2">
        <f t="shared" ref="BL68:BL131" si="23">IF(BJ68&lt;&gt;BJ67,0,BL67+1)</f>
        <v>0</v>
      </c>
      <c r="BM68" s="103">
        <f ca="1">ROUND(VLOOKUP($BJ68&amp;"初始",$S$3:$AE$63,MATCH(BM$3,$S$3:$AE$3,0),FALSE)+((VLOOKUP($BJ68&amp;"最终",$S$3:$AE$63,MATCH(BM$3,$S$3:$AE$3,0),FALSE)*坦克个性化细分!$C$9-VLOOKUP($BJ68&amp;"初始",$S$3:$AE$63,MATCH(BM$3,$S$3:$AE$3,0),FALSE))-(VLOOKUP($BJ68&amp;"最终",$S$3:$AE$63,MATCH(BM$3,$S$3:$AE$3,0),FALSE)-VLOOKUP($BJ68&amp;"初始",$S$3:$AE$63,MATCH(BM$3,$S$3:$AE$3,0),FALSE))*VLOOKUP(VLOOKUP($BJ68,坦克个性化设定!$B$18:$E$48,4,FALSE)&amp;$BK68,坦克属性分配比例,MATCH("部件比例",坦克属性分配比例标头,0),FALSE))*$BL68/VLOOKUP(VLOOKUP($BJ68,坦克个性化设定!$B$18:$E$48,4,FALSE)&amp;$BK68,坦克属性分配比例,MATCH("升星次数",坦克属性分配比例标头,0),FALSE),0)</f>
        <v>1637</v>
      </c>
      <c r="BN68" s="103">
        <f ca="1">ROUND(VLOOKUP($BJ68&amp;"初始",$S$3:$AE$63,MATCH(BN$3,$S$3:$AE$3,0),FALSE)+(VLOOKUP($BJ68&amp;"最终",$S$3:$AE$63,MATCH(BN$3,$S$3:$AE$3,0),FALSE)-VLOOKUP($BJ68&amp;"初始",$S$3:$AE$63,MATCH(BN$3,$S$3:$AE$3,0),FALSE))*$BL68/VLOOKUP(VLOOKUP($BJ68,坦克个性化设定!$B$18:$E$48,4,FALSE)&amp;$BK68,坦克属性分配比例,MATCH("升星次数",坦克属性分配比例标头,0),FALSE)*VLOOKUP(VLOOKUP($BJ68,坦克个性化设定!$B$18:$E$48,4,FALSE)&amp;$BK68,坦克属性分配比例,MATCH("升星比例",坦克属性分配比例标头,0),FALSE),0)</f>
        <v>111</v>
      </c>
      <c r="BO68" s="103">
        <f ca="1">ROUND(VLOOKUP($BJ68&amp;"初始",$S$3:$AE$63,MATCH(BO$3,$S$3:$AE$3,0),FALSE)+(VLOOKUP($BJ68&amp;"最终",$S$3:$AE$63,MATCH(BO$3,$S$3:$AE$3,0),FALSE)-VLOOKUP($BJ68&amp;"初始",$S$3:$AE$63,MATCH(BO$3,$S$3:$AE$3,0),FALSE))*$BL68/VLOOKUP(VLOOKUP($BJ68,坦克个性化设定!$B$18:$E$48,4,FALSE)&amp;$BK68,坦克属性分配比例,MATCH("升星次数",坦克属性分配比例标头,0),FALSE)*(VLOOKUP(VLOOKUP($BJ68,坦克个性化设定!$B$18:$E$48,4,FALSE)&amp;$BK68,坦克属性分配比例,MATCH("升星比例",坦克属性分配比例标头,0),FALSE)+VLOOKUP(VLOOKUP($BJ68,坦克个性化设定!$B$18:$E$48,4,FALSE)&amp;$BK68,坦克属性分配比例,MATCH("部件比例",坦克属性分配比例标头,0),FALSE)*$C$3),0)</f>
        <v>657</v>
      </c>
      <c r="BP68" s="103">
        <f ca="1">ROUND(VLOOKUP($BJ68&amp;"初始",$S$3:$AE$63,MATCH(BP$3,$S$3:$AE$3,0),FALSE)+(VLOOKUP($BJ68&amp;"最终",$S$3:$AE$63,MATCH(BP$3,$S$3:$AE$3,0),FALSE)-VLOOKUP($BJ68&amp;"初始",$S$3:$AE$63,MATCH(BP$3,$S$3:$AE$3,0),FALSE))*$BL68/VLOOKUP(VLOOKUP($BJ68,坦克个性化设定!$B$18:$E$48,4,FALSE)&amp;$BK68,坦克属性分配比例,MATCH("升星次数",坦克属性分配比例标头,0),FALSE)*(VLOOKUP(VLOOKUP($BJ68,坦克个性化设定!$B$18:$E$48,4,FALSE)&amp;$BK68,坦克属性分配比例,MATCH("升星比例",坦克属性分配比例标头,0),FALSE)+VLOOKUP(VLOOKUP($BJ68,坦克个性化设定!$B$18:$E$48,4,FALSE)&amp;$BK68,坦克属性分配比例,MATCH("部件比例",坦克属性分配比例标头,0),FALSE)*$C$3),0)</f>
        <v>460</v>
      </c>
      <c r="BQ68" s="103">
        <f ca="1">ROUND(VLOOKUP($BJ68&amp;"初始",$S$3:$AE$63,MATCH(BQ$3,$S$3:$AE$3,0),FALSE)+(VLOOKUP($BJ68&amp;"最终",$S$3:$AE$63,MATCH(BQ$3,$S$3:$AE$3,0),FALSE)-VLOOKUP($BJ68&amp;"初始",$S$3:$AE$63,MATCH(BQ$3,$S$3:$AE$3,0),FALSE))*$BL68/VLOOKUP(VLOOKUP($BJ68,坦克个性化设定!$B$18:$E$48,4,FALSE)&amp;$BK68,坦克属性分配比例,MATCH("升星次数",坦克属性分配比例标头,0),FALSE)*VLOOKUP(VLOOKUP($BJ68,坦克个性化设定!$B$18:$E$48,4,FALSE)&amp;$BK68,坦克属性分配比例,MATCH("升星比例",坦克属性分配比例标头,0),FALSE),0)</f>
        <v>600</v>
      </c>
      <c r="BR68" s="2">
        <f ca="1">ROUND(VLOOKUP($BJ68&amp;"初始",$S$3:$AE$63,MATCH(BR$3,$S$3:$AE$3,0),FALSE)+(VLOOKUP($BJ68&amp;"最终",$S$3:$AE$63,MATCH(BR$3,$S$3:$AE$3,0),FALSE)-VLOOKUP($BJ68&amp;"初始",$S$3:$AE$63,MATCH(BR$3,$S$3:$AE$3,0),FALSE))*$BL68/VLOOKUP(VLOOKUP($BJ68,坦克个性化设定!$B$18:$E$48,4,FALSE)&amp;$BK68,坦克属性分配比例,MATCH("升星次数",坦克属性分配比例标头,0),FALSE),0)</f>
        <v>160</v>
      </c>
      <c r="BS68" s="2">
        <f>ROUND(VLOOKUP($BJ68,$AI$3:$AO$33,MATCH(BS$3,$AI$3:$AO$3,0),FALSE)+$BL68/VLOOKUP(VLOOKUP($BJ68,坦克个性化设定!$B$18:$E$48,4,FALSE)&amp;$BK68,坦克属性分配比例,MATCH("升星次数",坦克属性分配比例标头,0),FALSE)*VLOOKUP($BJ68,$AR$3:$AY$33,MATCH(BS$3,$AR$3:$AY$3,0),FALSE),1)</f>
        <v>38.5</v>
      </c>
      <c r="BT68" s="2">
        <f>ROUND(VLOOKUP($BJ68,$AI$3:$AO$33,MATCH(BT$3,$AI$3:$AO$3,0),FALSE)+$BL68/VLOOKUP(VLOOKUP($BJ68,坦克个性化设定!$B$18:$E$48,4,FALSE)&amp;$BK68,坦克属性分配比例,MATCH("升星次数",坦克属性分配比例标头,0),FALSE)*VLOOKUP($BJ68,$AR$3:$AY$33,MATCH(BT$3,$AR$3:$AY$3,0),FALSE),1)</f>
        <v>57.4</v>
      </c>
      <c r="BU68" s="2">
        <f>ROUND(VLOOKUP($BJ68,$AI$3:$AO$33,MATCH(BU$3,$AI$3:$AO$3,0),FALSE)+$BL68/VLOOKUP(VLOOKUP($BJ68,坦克个性化设定!$B$18:$E$48,4,FALSE)&amp;$BK68,坦克属性分配比例,MATCH("升星次数",坦克属性分配比例标头,0),FALSE)*VLOOKUP($BJ68,$AR$3:$AY$33,MATCH(BU$3,$AR$3:$AY$3,0),FALSE),1)</f>
        <v>9.6</v>
      </c>
      <c r="BV68" s="2">
        <f>IF(VLOOKUP(BJ68,坦克个性化设定!$B$18:$BC$48,MATCH("装弹类型",坦克个性化设定!$B$18:$BC$18,0),FALSE)="弹夹换弹",0,ROUND(VLOOKUP($BJ68,$AI$3:$AO$33,MATCH("换弹时间",$AI$3:$AO$3,0),FALSE)-$BL68/VLOOKUP(VLOOKUP($BJ68,坦克个性化设定!$B$18:$E$48,4,FALSE)&amp;$BK68,坦克属性分配比例,MATCH("升星次数",坦克属性分配比例标头,0),FALSE)*VLOOKUP($BJ68,$AR$3:$AY$33,MATCH("换弹时间",$AR$3:$AY$3,0),FALSE),2))</f>
        <v>0</v>
      </c>
      <c r="BW68" s="2">
        <f>IF(VLOOKUP(BJ68,坦克个性化设定!$B$18:$BC$48,MATCH("装弹类型",坦克个性化设定!$B$18:$BC$18,0),FALSE)="弹夹换弹",ROUND(VLOOKUP($BJ68,$AI$3:$AO$33,MATCH("换弹时间",$AI$3:$AO$3,0),FALSE)-$BL68/VLOOKUP(VLOOKUP($BJ68,坦克个性化设定!$B$18:$E$48,4,FALSE)&amp;$BK68,坦克属性分配比例,MATCH("升星次数",坦克属性分配比例标头,0),FALSE)*VLOOKUP($BJ68,$AR$3:$AY$33,MATCH("换弹时间",$AR$3:$AY$3,0),FALSE),1),0)</f>
        <v>8.4</v>
      </c>
      <c r="BX68" s="2">
        <f>ROUND(VLOOKUP($BJ68,$AI$3:$AO$33,MATCH(BX$3,$AI$3:$AO$3,0),FALSE)+$BL68/VLOOKUP(VLOOKUP($BJ68,坦克个性化设定!$B$18:$E$48,4,FALSE)&amp;$BK68,坦克属性分配比例,MATCH("升星次数",坦克属性分配比例标头,0),FALSE)*VLOOKUP($BJ68,$AR$3:$AY$33,MATCH(BX$3,$AR$3:$AY$3,0),FALSE),2)</f>
        <v>0.8</v>
      </c>
      <c r="BY68" s="2">
        <f>ROUND(VLOOKUP($BJ68,$AI$3:$AO$33,MATCH(BY$3,$AI$3:$AO$3,0),FALSE)-$BL68/VLOOKUP(VLOOKUP($BJ68,坦克个性化设定!$B$18:$E$48,4,FALSE)&amp;$BK68,坦克属性分配比例,MATCH("升星次数",坦克属性分配比例标头,0),FALSE)*VLOOKUP($BJ68,$AR$3:$AY$33,MATCH(BY$3,$AR$3:$AY$3,0),FALSE),2)</f>
        <v>0.49</v>
      </c>
    </row>
    <row r="69" spans="27:77" x14ac:dyDescent="0.3">
      <c r="BH69" s="2" t="str">
        <f t="shared" ref="BH69:BH132" si="24">BJ69&amp;BL69</f>
        <v>M-411</v>
      </c>
      <c r="BI69" s="2">
        <f>IF(BL68&gt;=VLOOKUP(VLOOKUP(BJ68,坦克个性化设定!$B$18:$E$48,4,FALSE)&amp;BK68,坦克属性分配比例,MATCH("升星次数",坦克属性分配比例标头,0),FALSE),BI68+1,BI68)</f>
        <v>8</v>
      </c>
      <c r="BJ69" s="2" t="str">
        <f t="shared" ref="BJ69:BJ132" si="25">VLOOKUP(BI69,$B$5:$C$35,2,FALSE)</f>
        <v>M-41</v>
      </c>
      <c r="BK69" s="29" t="str">
        <f>VLOOKUP(BJ69,坦克个性化细分!$I$3:$J$33,2,FALSE)</f>
        <v>中</v>
      </c>
      <c r="BL69" s="2">
        <f t="shared" si="23"/>
        <v>1</v>
      </c>
      <c r="BM69" s="103">
        <f ca="1">ROUND(VLOOKUP($BJ69&amp;"初始",$S$3:$AE$63,MATCH(BM$3,$S$3:$AE$3,0),FALSE)+((VLOOKUP($BJ69&amp;"最终",$S$3:$AE$63,MATCH(BM$3,$S$3:$AE$3,0),FALSE)*坦克个性化细分!$C$9-VLOOKUP($BJ69&amp;"初始",$S$3:$AE$63,MATCH(BM$3,$S$3:$AE$3,0),FALSE))-(VLOOKUP($BJ69&amp;"最终",$S$3:$AE$63,MATCH(BM$3,$S$3:$AE$3,0),FALSE)-VLOOKUP($BJ69&amp;"初始",$S$3:$AE$63,MATCH(BM$3,$S$3:$AE$3,0),FALSE))*VLOOKUP(VLOOKUP($BJ69,坦克个性化设定!$B$18:$E$48,4,FALSE)&amp;$BK69,坦克属性分配比例,MATCH("部件比例",坦克属性分配比例标头,0),FALSE))*$BL69/VLOOKUP(VLOOKUP($BJ69,坦克个性化设定!$B$18:$E$48,4,FALSE)&amp;$BK69,坦克属性分配比例,MATCH("升星次数",坦克属性分配比例标头,0),FALSE),0)</f>
        <v>1710</v>
      </c>
      <c r="BN69" s="103">
        <f ca="1">ROUND(VLOOKUP($BJ69&amp;"初始",$S$3:$AE$63,MATCH(BN$3,$S$3:$AE$3,0),FALSE)+(VLOOKUP($BJ69&amp;"最终",$S$3:$AE$63,MATCH(BN$3,$S$3:$AE$3,0),FALSE)-VLOOKUP($BJ69&amp;"初始",$S$3:$AE$63,MATCH(BN$3,$S$3:$AE$3,0),FALSE))*$BL69/VLOOKUP(VLOOKUP($BJ69,坦克个性化设定!$B$18:$E$48,4,FALSE)&amp;$BK69,坦克属性分配比例,MATCH("升星次数",坦克属性分配比例标头,0),FALSE)*VLOOKUP(VLOOKUP($BJ69,坦克个性化设定!$B$18:$E$48,4,FALSE)&amp;$BK69,坦克属性分配比例,MATCH("升星比例",坦克属性分配比例标头,0),FALSE),0)</f>
        <v>113</v>
      </c>
      <c r="BO69" s="103">
        <f ca="1">ROUND(VLOOKUP($BJ69&amp;"初始",$S$3:$AE$63,MATCH(BO$3,$S$3:$AE$3,0),FALSE)+(VLOOKUP($BJ69&amp;"最终",$S$3:$AE$63,MATCH(BO$3,$S$3:$AE$3,0),FALSE)-VLOOKUP($BJ69&amp;"初始",$S$3:$AE$63,MATCH(BO$3,$S$3:$AE$3,0),FALSE))*$BL69/VLOOKUP(VLOOKUP($BJ69,坦克个性化设定!$B$18:$E$48,4,FALSE)&amp;$BK69,坦克属性分配比例,MATCH("升星次数",坦克属性分配比例标头,0),FALSE)*(VLOOKUP(VLOOKUP($BJ69,坦克个性化设定!$B$18:$E$48,4,FALSE)&amp;$BK69,坦克属性分配比例,MATCH("升星比例",坦克属性分配比例标头,0),FALSE)+VLOOKUP(VLOOKUP($BJ69,坦克个性化设定!$B$18:$E$48,4,FALSE)&amp;$BK69,坦克属性分配比例,MATCH("部件比例",坦克属性分配比例标头,0),FALSE)*$C$3),0)</f>
        <v>681</v>
      </c>
      <c r="BP69" s="103">
        <f ca="1">ROUND(VLOOKUP($BJ69&amp;"初始",$S$3:$AE$63,MATCH(BP$3,$S$3:$AE$3,0),FALSE)+(VLOOKUP($BJ69&amp;"最终",$S$3:$AE$63,MATCH(BP$3,$S$3:$AE$3,0),FALSE)-VLOOKUP($BJ69&amp;"初始",$S$3:$AE$63,MATCH(BP$3,$S$3:$AE$3,0),FALSE))*$BL69/VLOOKUP(VLOOKUP($BJ69,坦克个性化设定!$B$18:$E$48,4,FALSE)&amp;$BK69,坦克属性分配比例,MATCH("升星次数",坦克属性分配比例标头,0),FALSE)*(VLOOKUP(VLOOKUP($BJ69,坦克个性化设定!$B$18:$E$48,4,FALSE)&amp;$BK69,坦克属性分配比例,MATCH("升星比例",坦克属性分配比例标头,0),FALSE)+VLOOKUP(VLOOKUP($BJ69,坦克个性化设定!$B$18:$E$48,4,FALSE)&amp;$BK69,坦克属性分配比例,MATCH("部件比例",坦克属性分配比例标头,0),FALSE)*$C$3),0)</f>
        <v>476</v>
      </c>
      <c r="BQ69" s="103">
        <f ca="1">ROUND(VLOOKUP($BJ69&amp;"初始",$S$3:$AE$63,MATCH(BQ$3,$S$3:$AE$3,0),FALSE)+(VLOOKUP($BJ69&amp;"最终",$S$3:$AE$63,MATCH(BQ$3,$S$3:$AE$3,0),FALSE)-VLOOKUP($BJ69&amp;"初始",$S$3:$AE$63,MATCH(BQ$3,$S$3:$AE$3,0),FALSE))*$BL69/VLOOKUP(VLOOKUP($BJ69,坦克个性化设定!$B$18:$E$48,4,FALSE)&amp;$BK69,坦克属性分配比例,MATCH("升星次数",坦克属性分配比例标头,0),FALSE)*VLOOKUP(VLOOKUP($BJ69,坦克个性化设定!$B$18:$E$48,4,FALSE)&amp;$BK69,坦克属性分配比例,MATCH("升星比例",坦克属性分配比例标头,0),FALSE),0)</f>
        <v>614</v>
      </c>
      <c r="BR69" s="2">
        <f ca="1">ROUND(VLOOKUP($BJ69&amp;"初始",$S$3:$AE$63,MATCH(BR$3,$S$3:$AE$3,0),FALSE)+(VLOOKUP($BJ69&amp;"最终",$S$3:$AE$63,MATCH(BR$3,$S$3:$AE$3,0),FALSE)-VLOOKUP($BJ69&amp;"初始",$S$3:$AE$63,MATCH(BR$3,$S$3:$AE$3,0),FALSE))*$BL69/VLOOKUP(VLOOKUP($BJ69,坦克个性化设定!$B$18:$E$48,4,FALSE)&amp;$BK69,坦克属性分配比例,MATCH("升星次数",坦克属性分配比例标头,0),FALSE),0)</f>
        <v>167</v>
      </c>
      <c r="BS69" s="2">
        <f>ROUND(VLOOKUP($BJ69,$AI$3:$AO$33,MATCH(BS$3,$AI$3:$AO$3,0),FALSE)+$BL69/VLOOKUP(VLOOKUP($BJ69,坦克个性化设定!$B$18:$E$48,4,FALSE)&amp;$BK69,坦克属性分配比例,MATCH("升星次数",坦克属性分配比例标头,0),FALSE)*VLOOKUP($BJ69,$AR$3:$AY$33,MATCH(BS$3,$AR$3:$AY$3,0),FALSE),1)</f>
        <v>39.4</v>
      </c>
      <c r="BT69" s="2">
        <f>ROUND(VLOOKUP($BJ69,$AI$3:$AO$33,MATCH(BT$3,$AI$3:$AO$3,0),FALSE)+$BL69/VLOOKUP(VLOOKUP($BJ69,坦克个性化设定!$B$18:$E$48,4,FALSE)&amp;$BK69,坦克属性分配比例,MATCH("升星次数",坦克属性分配比例标头,0),FALSE)*VLOOKUP($BJ69,$AR$3:$AY$33,MATCH(BT$3,$AR$3:$AY$3,0),FALSE),1)</f>
        <v>58.7</v>
      </c>
      <c r="BU69" s="2">
        <f>ROUND(VLOOKUP($BJ69,$AI$3:$AO$33,MATCH(BU$3,$AI$3:$AO$3,0),FALSE)+$BL69/VLOOKUP(VLOOKUP($BJ69,坦克个性化设定!$B$18:$E$48,4,FALSE)&amp;$BK69,坦克属性分配比例,MATCH("升星次数",坦克属性分配比例标头,0),FALSE)*VLOOKUP($BJ69,$AR$3:$AY$33,MATCH(BU$3,$AR$3:$AY$3,0),FALSE),1)</f>
        <v>9.6</v>
      </c>
      <c r="BV69" s="2">
        <f>IF(VLOOKUP(BJ69,坦克个性化设定!$B$18:$BC$48,MATCH("装弹类型",坦克个性化设定!$B$18:$BC$18,0),FALSE)="弹夹换弹",0,ROUND(VLOOKUP($BJ69,$AI$3:$AO$33,MATCH("换弹时间",$AI$3:$AO$3,0),FALSE)-$BL69/VLOOKUP(VLOOKUP($BJ69,坦克个性化设定!$B$18:$E$48,4,FALSE)&amp;$BK69,坦克属性分配比例,MATCH("升星次数",坦克属性分配比例标头,0),FALSE)*VLOOKUP($BJ69,$AR$3:$AY$33,MATCH("换弹时间",$AR$3:$AY$3,0),FALSE),2))</f>
        <v>0</v>
      </c>
      <c r="BW69" s="2">
        <f>IF(VLOOKUP(BJ69,坦克个性化设定!$B$18:$BC$48,MATCH("装弹类型",坦克个性化设定!$B$18:$BC$18,0),FALSE)="弹夹换弹",ROUND(VLOOKUP($BJ69,$AI$3:$AO$33,MATCH("换弹时间",$AI$3:$AO$3,0),FALSE)-$BL69/VLOOKUP(VLOOKUP($BJ69,坦克个性化设定!$B$18:$E$48,4,FALSE)&amp;$BK69,坦克属性分配比例,MATCH("升星次数",坦克属性分配比例标头,0),FALSE)*VLOOKUP($BJ69,$AR$3:$AY$33,MATCH("换弹时间",$AR$3:$AY$3,0),FALSE),1),0)</f>
        <v>8.1</v>
      </c>
      <c r="BX69" s="2">
        <f>ROUND(VLOOKUP($BJ69,$AI$3:$AO$33,MATCH(BX$3,$AI$3:$AO$3,0),FALSE)+$BL69/VLOOKUP(VLOOKUP($BJ69,坦克个性化设定!$B$18:$E$48,4,FALSE)&amp;$BK69,坦克属性分配比例,MATCH("升星次数",坦克属性分配比例标头,0),FALSE)*VLOOKUP($BJ69,$AR$3:$AY$33,MATCH(BX$3,$AR$3:$AY$3,0),FALSE),2)</f>
        <v>0.8</v>
      </c>
      <c r="BY69" s="2">
        <f>ROUND(VLOOKUP($BJ69,$AI$3:$AO$33,MATCH(BY$3,$AI$3:$AO$3,0),FALSE)-$BL69/VLOOKUP(VLOOKUP($BJ69,坦克个性化设定!$B$18:$E$48,4,FALSE)&amp;$BK69,坦克属性分配比例,MATCH("升星次数",坦克属性分配比例标头,0),FALSE)*VLOOKUP($BJ69,$AR$3:$AY$33,MATCH(BY$3,$AR$3:$AY$3,0),FALSE),2)</f>
        <v>0.48</v>
      </c>
    </row>
    <row r="70" spans="27:77" x14ac:dyDescent="0.3">
      <c r="BH70" s="2" t="str">
        <f t="shared" si="24"/>
        <v>M-412</v>
      </c>
      <c r="BI70" s="2">
        <f>IF(BL69&gt;=VLOOKUP(VLOOKUP(BJ69,坦克个性化设定!$B$18:$E$48,4,FALSE)&amp;BK69,坦克属性分配比例,MATCH("升星次数",坦克属性分配比例标头,0),FALSE),BI69+1,BI69)</f>
        <v>8</v>
      </c>
      <c r="BJ70" s="2" t="str">
        <f t="shared" si="25"/>
        <v>M-41</v>
      </c>
      <c r="BK70" s="29" t="str">
        <f>VLOOKUP(BJ70,坦克个性化细分!$I$3:$J$33,2,FALSE)</f>
        <v>中</v>
      </c>
      <c r="BL70" s="2">
        <f t="shared" si="23"/>
        <v>2</v>
      </c>
      <c r="BM70" s="103">
        <f ca="1">ROUND(VLOOKUP($BJ70&amp;"初始",$S$3:$AE$63,MATCH(BM$3,$S$3:$AE$3,0),FALSE)+((VLOOKUP($BJ70&amp;"最终",$S$3:$AE$63,MATCH(BM$3,$S$3:$AE$3,0),FALSE)*坦克个性化细分!$C$9-VLOOKUP($BJ70&amp;"初始",$S$3:$AE$63,MATCH(BM$3,$S$3:$AE$3,0),FALSE))-(VLOOKUP($BJ70&amp;"最终",$S$3:$AE$63,MATCH(BM$3,$S$3:$AE$3,0),FALSE)-VLOOKUP($BJ70&amp;"初始",$S$3:$AE$63,MATCH(BM$3,$S$3:$AE$3,0),FALSE))*VLOOKUP(VLOOKUP($BJ70,坦克个性化设定!$B$18:$E$48,4,FALSE)&amp;$BK70,坦克属性分配比例,MATCH("部件比例",坦克属性分配比例标头,0),FALSE))*$BL70/VLOOKUP(VLOOKUP($BJ70,坦克个性化设定!$B$18:$E$48,4,FALSE)&amp;$BK70,坦克属性分配比例,MATCH("升星次数",坦克属性分配比例标头,0),FALSE),0)</f>
        <v>1782</v>
      </c>
      <c r="BN70" s="103">
        <f ca="1">ROUND(VLOOKUP($BJ70&amp;"初始",$S$3:$AE$63,MATCH(BN$3,$S$3:$AE$3,0),FALSE)+(VLOOKUP($BJ70&amp;"最终",$S$3:$AE$63,MATCH(BN$3,$S$3:$AE$3,0),FALSE)-VLOOKUP($BJ70&amp;"初始",$S$3:$AE$63,MATCH(BN$3,$S$3:$AE$3,0),FALSE))*$BL70/VLOOKUP(VLOOKUP($BJ70,坦克个性化设定!$B$18:$E$48,4,FALSE)&amp;$BK70,坦克属性分配比例,MATCH("升星次数",坦克属性分配比例标头,0),FALSE)*VLOOKUP(VLOOKUP($BJ70,坦克个性化设定!$B$18:$E$48,4,FALSE)&amp;$BK70,坦克属性分配比例,MATCH("升星比例",坦克属性分配比例标头,0),FALSE),0)</f>
        <v>116</v>
      </c>
      <c r="BO70" s="103">
        <f ca="1">ROUND(VLOOKUP($BJ70&amp;"初始",$S$3:$AE$63,MATCH(BO$3,$S$3:$AE$3,0),FALSE)+(VLOOKUP($BJ70&amp;"最终",$S$3:$AE$63,MATCH(BO$3,$S$3:$AE$3,0),FALSE)-VLOOKUP($BJ70&amp;"初始",$S$3:$AE$63,MATCH(BO$3,$S$3:$AE$3,0),FALSE))*$BL70/VLOOKUP(VLOOKUP($BJ70,坦克个性化设定!$B$18:$E$48,4,FALSE)&amp;$BK70,坦克属性分配比例,MATCH("升星次数",坦克属性分配比例标头,0),FALSE)*(VLOOKUP(VLOOKUP($BJ70,坦克个性化设定!$B$18:$E$48,4,FALSE)&amp;$BK70,坦克属性分配比例,MATCH("升星比例",坦克属性分配比例标头,0),FALSE)+VLOOKUP(VLOOKUP($BJ70,坦克个性化设定!$B$18:$E$48,4,FALSE)&amp;$BK70,坦克属性分配比例,MATCH("部件比例",坦克属性分配比例标头,0),FALSE)*$C$3),0)</f>
        <v>704</v>
      </c>
      <c r="BP70" s="103">
        <f ca="1">ROUND(VLOOKUP($BJ70&amp;"初始",$S$3:$AE$63,MATCH(BP$3,$S$3:$AE$3,0),FALSE)+(VLOOKUP($BJ70&amp;"最终",$S$3:$AE$63,MATCH(BP$3,$S$3:$AE$3,0),FALSE)-VLOOKUP($BJ70&amp;"初始",$S$3:$AE$63,MATCH(BP$3,$S$3:$AE$3,0),FALSE))*$BL70/VLOOKUP(VLOOKUP($BJ70,坦克个性化设定!$B$18:$E$48,4,FALSE)&amp;$BK70,坦克属性分配比例,MATCH("升星次数",坦克属性分配比例标头,0),FALSE)*(VLOOKUP(VLOOKUP($BJ70,坦克个性化设定!$B$18:$E$48,4,FALSE)&amp;$BK70,坦克属性分配比例,MATCH("升星比例",坦克属性分配比例标头,0),FALSE)+VLOOKUP(VLOOKUP($BJ70,坦克个性化设定!$B$18:$E$48,4,FALSE)&amp;$BK70,坦克属性分配比例,MATCH("部件比例",坦克属性分配比例标头,0),FALSE)*$C$3),0)</f>
        <v>493</v>
      </c>
      <c r="BQ70" s="103">
        <f ca="1">ROUND(VLOOKUP($BJ70&amp;"初始",$S$3:$AE$63,MATCH(BQ$3,$S$3:$AE$3,0),FALSE)+(VLOOKUP($BJ70&amp;"最终",$S$3:$AE$63,MATCH(BQ$3,$S$3:$AE$3,0),FALSE)-VLOOKUP($BJ70&amp;"初始",$S$3:$AE$63,MATCH(BQ$3,$S$3:$AE$3,0),FALSE))*$BL70/VLOOKUP(VLOOKUP($BJ70,坦克个性化设定!$B$18:$E$48,4,FALSE)&amp;$BK70,坦克属性分配比例,MATCH("升星次数",坦克属性分配比例标头,0),FALSE)*VLOOKUP(VLOOKUP($BJ70,坦克个性化设定!$B$18:$E$48,4,FALSE)&amp;$BK70,坦克属性分配比例,MATCH("升星比例",坦克属性分配比例标头,0),FALSE),0)</f>
        <v>629</v>
      </c>
      <c r="BR70" s="2">
        <f ca="1">ROUND(VLOOKUP($BJ70&amp;"初始",$S$3:$AE$63,MATCH(BR$3,$S$3:$AE$3,0),FALSE)+(VLOOKUP($BJ70&amp;"最终",$S$3:$AE$63,MATCH(BR$3,$S$3:$AE$3,0),FALSE)-VLOOKUP($BJ70&amp;"初始",$S$3:$AE$63,MATCH(BR$3,$S$3:$AE$3,0),FALSE))*$BL70/VLOOKUP(VLOOKUP($BJ70,坦克个性化设定!$B$18:$E$48,4,FALSE)&amp;$BK70,坦克属性分配比例,MATCH("升星次数",坦克属性分配比例标头,0),FALSE),0)</f>
        <v>174</v>
      </c>
      <c r="BS70" s="2">
        <f>ROUND(VLOOKUP($BJ70,$AI$3:$AO$33,MATCH(BS$3,$AI$3:$AO$3,0),FALSE)+$BL70/VLOOKUP(VLOOKUP($BJ70,坦克个性化设定!$B$18:$E$48,4,FALSE)&amp;$BK70,坦克属性分配比例,MATCH("升星次数",坦克属性分配比例标头,0),FALSE)*VLOOKUP($BJ70,$AR$3:$AY$33,MATCH(BS$3,$AR$3:$AY$3,0),FALSE),1)</f>
        <v>40.299999999999997</v>
      </c>
      <c r="BT70" s="2">
        <f>ROUND(VLOOKUP($BJ70,$AI$3:$AO$33,MATCH(BT$3,$AI$3:$AO$3,0),FALSE)+$BL70/VLOOKUP(VLOOKUP($BJ70,坦克个性化设定!$B$18:$E$48,4,FALSE)&amp;$BK70,坦克属性分配比例,MATCH("升星次数",坦克属性分配比例标头,0),FALSE)*VLOOKUP($BJ70,$AR$3:$AY$33,MATCH(BT$3,$AR$3:$AY$3,0),FALSE),1)</f>
        <v>60</v>
      </c>
      <c r="BU70" s="2">
        <f>ROUND(VLOOKUP($BJ70,$AI$3:$AO$33,MATCH(BU$3,$AI$3:$AO$3,0),FALSE)+$BL70/VLOOKUP(VLOOKUP($BJ70,坦克个性化设定!$B$18:$E$48,4,FALSE)&amp;$BK70,坦克属性分配比例,MATCH("升星次数",坦克属性分配比例标头,0),FALSE)*VLOOKUP($BJ70,$AR$3:$AY$33,MATCH(BU$3,$AR$3:$AY$3,0),FALSE),1)</f>
        <v>9.6</v>
      </c>
      <c r="BV70" s="2">
        <f>IF(VLOOKUP(BJ70,坦克个性化设定!$B$18:$BC$48,MATCH("装弹类型",坦克个性化设定!$B$18:$BC$18,0),FALSE)="弹夹换弹",0,ROUND(VLOOKUP($BJ70,$AI$3:$AO$33,MATCH("换弹时间",$AI$3:$AO$3,0),FALSE)-$BL70/VLOOKUP(VLOOKUP($BJ70,坦克个性化设定!$B$18:$E$48,4,FALSE)&amp;$BK70,坦克属性分配比例,MATCH("升星次数",坦克属性分配比例标头,0),FALSE)*VLOOKUP($BJ70,$AR$3:$AY$33,MATCH("换弹时间",$AR$3:$AY$3,0),FALSE),2))</f>
        <v>0</v>
      </c>
      <c r="BW70" s="2">
        <f>IF(VLOOKUP(BJ70,坦克个性化设定!$B$18:$BC$48,MATCH("装弹类型",坦克个性化设定!$B$18:$BC$18,0),FALSE)="弹夹换弹",ROUND(VLOOKUP($BJ70,$AI$3:$AO$33,MATCH("换弹时间",$AI$3:$AO$3,0),FALSE)-$BL70/VLOOKUP(VLOOKUP($BJ70,坦克个性化设定!$B$18:$E$48,4,FALSE)&amp;$BK70,坦克属性分配比例,MATCH("升星次数",坦克属性分配比例标头,0),FALSE)*VLOOKUP($BJ70,$AR$3:$AY$33,MATCH("换弹时间",$AR$3:$AY$3,0),FALSE),1),0)</f>
        <v>7.9</v>
      </c>
      <c r="BX70" s="2">
        <f>ROUND(VLOOKUP($BJ70,$AI$3:$AO$33,MATCH(BX$3,$AI$3:$AO$3,0),FALSE)+$BL70/VLOOKUP(VLOOKUP($BJ70,坦克个性化设定!$B$18:$E$48,4,FALSE)&amp;$BK70,坦克属性分配比例,MATCH("升星次数",坦克属性分配比例标头,0),FALSE)*VLOOKUP($BJ70,$AR$3:$AY$33,MATCH(BX$3,$AR$3:$AY$3,0),FALSE),2)</f>
        <v>0.8</v>
      </c>
      <c r="BY70" s="2">
        <f>ROUND(VLOOKUP($BJ70,$AI$3:$AO$33,MATCH(BY$3,$AI$3:$AO$3,0),FALSE)-$BL70/VLOOKUP(VLOOKUP($BJ70,坦克个性化设定!$B$18:$E$48,4,FALSE)&amp;$BK70,坦克属性分配比例,MATCH("升星次数",坦克属性分配比例标头,0),FALSE)*VLOOKUP($BJ70,$AR$3:$AY$33,MATCH(BY$3,$AR$3:$AY$3,0),FALSE),2)</f>
        <v>0.48</v>
      </c>
    </row>
    <row r="71" spans="27:77" x14ac:dyDescent="0.3">
      <c r="BH71" s="2" t="str">
        <f t="shared" si="24"/>
        <v>M-413</v>
      </c>
      <c r="BI71" s="2">
        <f>IF(BL70&gt;=VLOOKUP(VLOOKUP(BJ70,坦克个性化设定!$B$18:$E$48,4,FALSE)&amp;BK70,坦克属性分配比例,MATCH("升星次数",坦克属性分配比例标头,0),FALSE),BI70+1,BI70)</f>
        <v>8</v>
      </c>
      <c r="BJ71" s="2" t="str">
        <f t="shared" si="25"/>
        <v>M-41</v>
      </c>
      <c r="BK71" s="29" t="str">
        <f>VLOOKUP(BJ71,坦克个性化细分!$I$3:$J$33,2,FALSE)</f>
        <v>中</v>
      </c>
      <c r="BL71" s="2">
        <f t="shared" si="23"/>
        <v>3</v>
      </c>
      <c r="BM71" s="103">
        <f ca="1">ROUND(VLOOKUP($BJ71&amp;"初始",$S$3:$AE$63,MATCH(BM$3,$S$3:$AE$3,0),FALSE)+((VLOOKUP($BJ71&amp;"最终",$S$3:$AE$63,MATCH(BM$3,$S$3:$AE$3,0),FALSE)*坦克个性化细分!$C$9-VLOOKUP($BJ71&amp;"初始",$S$3:$AE$63,MATCH(BM$3,$S$3:$AE$3,0),FALSE))-(VLOOKUP($BJ71&amp;"最终",$S$3:$AE$63,MATCH(BM$3,$S$3:$AE$3,0),FALSE)-VLOOKUP($BJ71&amp;"初始",$S$3:$AE$63,MATCH(BM$3,$S$3:$AE$3,0),FALSE))*VLOOKUP(VLOOKUP($BJ71,坦克个性化设定!$B$18:$E$48,4,FALSE)&amp;$BK71,坦克属性分配比例,MATCH("部件比例",坦克属性分配比例标头,0),FALSE))*$BL71/VLOOKUP(VLOOKUP($BJ71,坦克个性化设定!$B$18:$E$48,4,FALSE)&amp;$BK71,坦克属性分配比例,MATCH("升星次数",坦克属性分配比例标头,0),FALSE),0)</f>
        <v>1854</v>
      </c>
      <c r="BN71" s="103">
        <f ca="1">ROUND(VLOOKUP($BJ71&amp;"初始",$S$3:$AE$63,MATCH(BN$3,$S$3:$AE$3,0),FALSE)+(VLOOKUP($BJ71&amp;"最终",$S$3:$AE$63,MATCH(BN$3,$S$3:$AE$3,0),FALSE)-VLOOKUP($BJ71&amp;"初始",$S$3:$AE$63,MATCH(BN$3,$S$3:$AE$3,0),FALSE))*$BL71/VLOOKUP(VLOOKUP($BJ71,坦克个性化设定!$B$18:$E$48,4,FALSE)&amp;$BK71,坦克属性分配比例,MATCH("升星次数",坦克属性分配比例标头,0),FALSE)*VLOOKUP(VLOOKUP($BJ71,坦克个性化设定!$B$18:$E$48,4,FALSE)&amp;$BK71,坦克属性分配比例,MATCH("升星比例",坦克属性分配比例标头,0),FALSE),0)</f>
        <v>119</v>
      </c>
      <c r="BO71" s="103">
        <f ca="1">ROUND(VLOOKUP($BJ71&amp;"初始",$S$3:$AE$63,MATCH(BO$3,$S$3:$AE$3,0),FALSE)+(VLOOKUP($BJ71&amp;"最终",$S$3:$AE$63,MATCH(BO$3,$S$3:$AE$3,0),FALSE)-VLOOKUP($BJ71&amp;"初始",$S$3:$AE$63,MATCH(BO$3,$S$3:$AE$3,0),FALSE))*$BL71/VLOOKUP(VLOOKUP($BJ71,坦克个性化设定!$B$18:$E$48,4,FALSE)&amp;$BK71,坦克属性分配比例,MATCH("升星次数",坦克属性分配比例标头,0),FALSE)*(VLOOKUP(VLOOKUP($BJ71,坦克个性化设定!$B$18:$E$48,4,FALSE)&amp;$BK71,坦克属性分配比例,MATCH("升星比例",坦克属性分配比例标头,0),FALSE)+VLOOKUP(VLOOKUP($BJ71,坦克个性化设定!$B$18:$E$48,4,FALSE)&amp;$BK71,坦克属性分配比例,MATCH("部件比例",坦克属性分配比例标头,0),FALSE)*$C$3),0)</f>
        <v>728</v>
      </c>
      <c r="BP71" s="103">
        <f ca="1">ROUND(VLOOKUP($BJ71&amp;"初始",$S$3:$AE$63,MATCH(BP$3,$S$3:$AE$3,0),FALSE)+(VLOOKUP($BJ71&amp;"最终",$S$3:$AE$63,MATCH(BP$3,$S$3:$AE$3,0),FALSE)-VLOOKUP($BJ71&amp;"初始",$S$3:$AE$63,MATCH(BP$3,$S$3:$AE$3,0),FALSE))*$BL71/VLOOKUP(VLOOKUP($BJ71,坦克个性化设定!$B$18:$E$48,4,FALSE)&amp;$BK71,坦克属性分配比例,MATCH("升星次数",坦克属性分配比例标头,0),FALSE)*(VLOOKUP(VLOOKUP($BJ71,坦克个性化设定!$B$18:$E$48,4,FALSE)&amp;$BK71,坦克属性分配比例,MATCH("升星比例",坦克属性分配比例标头,0),FALSE)+VLOOKUP(VLOOKUP($BJ71,坦克个性化设定!$B$18:$E$48,4,FALSE)&amp;$BK71,坦克属性分配比例,MATCH("部件比例",坦克属性分配比例标头,0),FALSE)*$C$3),0)</f>
        <v>509</v>
      </c>
      <c r="BQ71" s="103">
        <f ca="1">ROUND(VLOOKUP($BJ71&amp;"初始",$S$3:$AE$63,MATCH(BQ$3,$S$3:$AE$3,0),FALSE)+(VLOOKUP($BJ71&amp;"最终",$S$3:$AE$63,MATCH(BQ$3,$S$3:$AE$3,0),FALSE)-VLOOKUP($BJ71&amp;"初始",$S$3:$AE$63,MATCH(BQ$3,$S$3:$AE$3,0),FALSE))*$BL71/VLOOKUP(VLOOKUP($BJ71,坦克个性化设定!$B$18:$E$48,4,FALSE)&amp;$BK71,坦克属性分配比例,MATCH("升星次数",坦克属性分配比例标头,0),FALSE)*VLOOKUP(VLOOKUP($BJ71,坦克个性化设定!$B$18:$E$48,4,FALSE)&amp;$BK71,坦克属性分配比例,MATCH("升星比例",坦克属性分配比例标头,0),FALSE),0)</f>
        <v>643</v>
      </c>
      <c r="BR71" s="2">
        <f ca="1">ROUND(VLOOKUP($BJ71&amp;"初始",$S$3:$AE$63,MATCH(BR$3,$S$3:$AE$3,0),FALSE)+(VLOOKUP($BJ71&amp;"最终",$S$3:$AE$63,MATCH(BR$3,$S$3:$AE$3,0),FALSE)-VLOOKUP($BJ71&amp;"初始",$S$3:$AE$63,MATCH(BR$3,$S$3:$AE$3,0),FALSE))*$BL71/VLOOKUP(VLOOKUP($BJ71,坦克个性化设定!$B$18:$E$48,4,FALSE)&amp;$BK71,坦克属性分配比例,MATCH("升星次数",坦克属性分配比例标头,0),FALSE),0)</f>
        <v>181</v>
      </c>
      <c r="BS71" s="2">
        <f>ROUND(VLOOKUP($BJ71,$AI$3:$AO$33,MATCH(BS$3,$AI$3:$AO$3,0),FALSE)+$BL71/VLOOKUP(VLOOKUP($BJ71,坦克个性化设定!$B$18:$E$48,4,FALSE)&amp;$BK71,坦克属性分配比例,MATCH("升星次数",坦克属性分配比例标头,0),FALSE)*VLOOKUP($BJ71,$AR$3:$AY$33,MATCH(BS$3,$AR$3:$AY$3,0),FALSE),1)</f>
        <v>41.1</v>
      </c>
      <c r="BT71" s="2">
        <f>ROUND(VLOOKUP($BJ71,$AI$3:$AO$33,MATCH(BT$3,$AI$3:$AO$3,0),FALSE)+$BL71/VLOOKUP(VLOOKUP($BJ71,坦克个性化设定!$B$18:$E$48,4,FALSE)&amp;$BK71,坦克属性分配比例,MATCH("升星次数",坦克属性分配比例标头,0),FALSE)*VLOOKUP($BJ71,$AR$3:$AY$33,MATCH(BT$3,$AR$3:$AY$3,0),FALSE),1)</f>
        <v>61.3</v>
      </c>
      <c r="BU71" s="2">
        <f>ROUND(VLOOKUP($BJ71,$AI$3:$AO$33,MATCH(BU$3,$AI$3:$AO$3,0),FALSE)+$BL71/VLOOKUP(VLOOKUP($BJ71,坦克个性化设定!$B$18:$E$48,4,FALSE)&amp;$BK71,坦克属性分配比例,MATCH("升星次数",坦克属性分配比例标头,0),FALSE)*VLOOKUP($BJ71,$AR$3:$AY$33,MATCH(BU$3,$AR$3:$AY$3,0),FALSE),1)</f>
        <v>9.6</v>
      </c>
      <c r="BV71" s="2">
        <f>IF(VLOOKUP(BJ71,坦克个性化设定!$B$18:$BC$48,MATCH("装弹类型",坦克个性化设定!$B$18:$BC$18,0),FALSE)="弹夹换弹",0,ROUND(VLOOKUP($BJ71,$AI$3:$AO$33,MATCH("换弹时间",$AI$3:$AO$3,0),FALSE)-$BL71/VLOOKUP(VLOOKUP($BJ71,坦克个性化设定!$B$18:$E$48,4,FALSE)&amp;$BK71,坦克属性分配比例,MATCH("升星次数",坦克属性分配比例标头,0),FALSE)*VLOOKUP($BJ71,$AR$3:$AY$33,MATCH("换弹时间",$AR$3:$AY$3,0),FALSE),2))</f>
        <v>0</v>
      </c>
      <c r="BW71" s="2">
        <f>IF(VLOOKUP(BJ71,坦克个性化设定!$B$18:$BC$48,MATCH("装弹类型",坦克个性化设定!$B$18:$BC$18,0),FALSE)="弹夹换弹",ROUND(VLOOKUP($BJ71,$AI$3:$AO$33,MATCH("换弹时间",$AI$3:$AO$3,0),FALSE)-$BL71/VLOOKUP(VLOOKUP($BJ71,坦克个性化设定!$B$18:$E$48,4,FALSE)&amp;$BK71,坦克属性分配比例,MATCH("升星次数",坦克属性分配比例标头,0),FALSE)*VLOOKUP($BJ71,$AR$3:$AY$33,MATCH("换弹时间",$AR$3:$AY$3,0),FALSE),1),0)</f>
        <v>7.6</v>
      </c>
      <c r="BX71" s="2">
        <f>ROUND(VLOOKUP($BJ71,$AI$3:$AO$33,MATCH(BX$3,$AI$3:$AO$3,0),FALSE)+$BL71/VLOOKUP(VLOOKUP($BJ71,坦克个性化设定!$B$18:$E$48,4,FALSE)&amp;$BK71,坦克属性分配比例,MATCH("升星次数",坦克属性分配比例标头,0),FALSE)*VLOOKUP($BJ71,$AR$3:$AY$33,MATCH(BX$3,$AR$3:$AY$3,0),FALSE),2)</f>
        <v>0.8</v>
      </c>
      <c r="BY71" s="2">
        <f>ROUND(VLOOKUP($BJ71,$AI$3:$AO$33,MATCH(BY$3,$AI$3:$AO$3,0),FALSE)-$BL71/VLOOKUP(VLOOKUP($BJ71,坦克个性化设定!$B$18:$E$48,4,FALSE)&amp;$BK71,坦克属性分配比例,MATCH("升星次数",坦克属性分配比例标头,0),FALSE)*VLOOKUP($BJ71,$AR$3:$AY$33,MATCH(BY$3,$AR$3:$AY$3,0),FALSE),2)</f>
        <v>0.47</v>
      </c>
    </row>
    <row r="72" spans="27:77" x14ac:dyDescent="0.3">
      <c r="BH72" s="2" t="str">
        <f t="shared" si="24"/>
        <v>M-414</v>
      </c>
      <c r="BI72" s="2">
        <f>IF(BL71&gt;=VLOOKUP(VLOOKUP(BJ71,坦克个性化设定!$B$18:$E$48,4,FALSE)&amp;BK71,坦克属性分配比例,MATCH("升星次数",坦克属性分配比例标头,0),FALSE),BI71+1,BI71)</f>
        <v>8</v>
      </c>
      <c r="BJ72" s="2" t="str">
        <f t="shared" si="25"/>
        <v>M-41</v>
      </c>
      <c r="BK72" s="29" t="str">
        <f>VLOOKUP(BJ72,坦克个性化细分!$I$3:$J$33,2,FALSE)</f>
        <v>中</v>
      </c>
      <c r="BL72" s="2">
        <f t="shared" si="23"/>
        <v>4</v>
      </c>
      <c r="BM72" s="103">
        <f ca="1">ROUND(VLOOKUP($BJ72&amp;"初始",$S$3:$AE$63,MATCH(BM$3,$S$3:$AE$3,0),FALSE)+((VLOOKUP($BJ72&amp;"最终",$S$3:$AE$63,MATCH(BM$3,$S$3:$AE$3,0),FALSE)*坦克个性化细分!$C$9-VLOOKUP($BJ72&amp;"初始",$S$3:$AE$63,MATCH(BM$3,$S$3:$AE$3,0),FALSE))-(VLOOKUP($BJ72&amp;"最终",$S$3:$AE$63,MATCH(BM$3,$S$3:$AE$3,0),FALSE)-VLOOKUP($BJ72&amp;"初始",$S$3:$AE$63,MATCH(BM$3,$S$3:$AE$3,0),FALSE))*VLOOKUP(VLOOKUP($BJ72,坦克个性化设定!$B$18:$E$48,4,FALSE)&amp;$BK72,坦克属性分配比例,MATCH("部件比例",坦克属性分配比例标头,0),FALSE))*$BL72/VLOOKUP(VLOOKUP($BJ72,坦克个性化设定!$B$18:$E$48,4,FALSE)&amp;$BK72,坦克属性分配比例,MATCH("升星次数",坦克属性分配比例标头,0),FALSE),0)</f>
        <v>1927</v>
      </c>
      <c r="BN72" s="103">
        <f ca="1">ROUND(VLOOKUP($BJ72&amp;"初始",$S$3:$AE$63,MATCH(BN$3,$S$3:$AE$3,0),FALSE)+(VLOOKUP($BJ72&amp;"最终",$S$3:$AE$63,MATCH(BN$3,$S$3:$AE$3,0),FALSE)-VLOOKUP($BJ72&amp;"初始",$S$3:$AE$63,MATCH(BN$3,$S$3:$AE$3,0),FALSE))*$BL72/VLOOKUP(VLOOKUP($BJ72,坦克个性化设定!$B$18:$E$48,4,FALSE)&amp;$BK72,坦克属性分配比例,MATCH("升星次数",坦克属性分配比例标头,0),FALSE)*VLOOKUP(VLOOKUP($BJ72,坦克个性化设定!$B$18:$E$48,4,FALSE)&amp;$BK72,坦克属性分配比例,MATCH("升星比例",坦克属性分配比例标头,0),FALSE),0)</f>
        <v>121</v>
      </c>
      <c r="BO72" s="103">
        <f ca="1">ROUND(VLOOKUP($BJ72&amp;"初始",$S$3:$AE$63,MATCH(BO$3,$S$3:$AE$3,0),FALSE)+(VLOOKUP($BJ72&amp;"最终",$S$3:$AE$63,MATCH(BO$3,$S$3:$AE$3,0),FALSE)-VLOOKUP($BJ72&amp;"初始",$S$3:$AE$63,MATCH(BO$3,$S$3:$AE$3,0),FALSE))*$BL72/VLOOKUP(VLOOKUP($BJ72,坦克个性化设定!$B$18:$E$48,4,FALSE)&amp;$BK72,坦克属性分配比例,MATCH("升星次数",坦克属性分配比例标头,0),FALSE)*(VLOOKUP(VLOOKUP($BJ72,坦克个性化设定!$B$18:$E$48,4,FALSE)&amp;$BK72,坦克属性分配比例,MATCH("升星比例",坦克属性分配比例标头,0),FALSE)+VLOOKUP(VLOOKUP($BJ72,坦克个性化设定!$B$18:$E$48,4,FALSE)&amp;$BK72,坦克属性分配比例,MATCH("部件比例",坦克属性分配比例标头,0),FALSE)*$C$3),0)</f>
        <v>751</v>
      </c>
      <c r="BP72" s="103">
        <f ca="1">ROUND(VLOOKUP($BJ72&amp;"初始",$S$3:$AE$63,MATCH(BP$3,$S$3:$AE$3,0),FALSE)+(VLOOKUP($BJ72&amp;"最终",$S$3:$AE$63,MATCH(BP$3,$S$3:$AE$3,0),FALSE)-VLOOKUP($BJ72&amp;"初始",$S$3:$AE$63,MATCH(BP$3,$S$3:$AE$3,0),FALSE))*$BL72/VLOOKUP(VLOOKUP($BJ72,坦克个性化设定!$B$18:$E$48,4,FALSE)&amp;$BK72,坦克属性分配比例,MATCH("升星次数",坦克属性分配比例标头,0),FALSE)*(VLOOKUP(VLOOKUP($BJ72,坦克个性化设定!$B$18:$E$48,4,FALSE)&amp;$BK72,坦克属性分配比例,MATCH("升星比例",坦克属性分配比例标头,0),FALSE)+VLOOKUP(VLOOKUP($BJ72,坦克个性化设定!$B$18:$E$48,4,FALSE)&amp;$BK72,坦克属性分配比例,MATCH("部件比例",坦克属性分配比例标头,0),FALSE)*$C$3),0)</f>
        <v>526</v>
      </c>
      <c r="BQ72" s="103">
        <f ca="1">ROUND(VLOOKUP($BJ72&amp;"初始",$S$3:$AE$63,MATCH(BQ$3,$S$3:$AE$3,0),FALSE)+(VLOOKUP($BJ72&amp;"最终",$S$3:$AE$63,MATCH(BQ$3,$S$3:$AE$3,0),FALSE)-VLOOKUP($BJ72&amp;"初始",$S$3:$AE$63,MATCH(BQ$3,$S$3:$AE$3,0),FALSE))*$BL72/VLOOKUP(VLOOKUP($BJ72,坦克个性化设定!$B$18:$E$48,4,FALSE)&amp;$BK72,坦克属性分配比例,MATCH("升星次数",坦克属性分配比例标头,0),FALSE)*VLOOKUP(VLOOKUP($BJ72,坦克个性化设定!$B$18:$E$48,4,FALSE)&amp;$BK72,坦克属性分配比例,MATCH("升星比例",坦克属性分配比例标头,0),FALSE),0)</f>
        <v>658</v>
      </c>
      <c r="BR72" s="2">
        <f ca="1">ROUND(VLOOKUP($BJ72&amp;"初始",$S$3:$AE$63,MATCH(BR$3,$S$3:$AE$3,0),FALSE)+(VLOOKUP($BJ72&amp;"最终",$S$3:$AE$63,MATCH(BR$3,$S$3:$AE$3,0),FALSE)-VLOOKUP($BJ72&amp;"初始",$S$3:$AE$63,MATCH(BR$3,$S$3:$AE$3,0),FALSE))*$BL72/VLOOKUP(VLOOKUP($BJ72,坦克个性化设定!$B$18:$E$48,4,FALSE)&amp;$BK72,坦克属性分配比例,MATCH("升星次数",坦克属性分配比例标头,0),FALSE),0)</f>
        <v>188</v>
      </c>
      <c r="BS72" s="2">
        <f>ROUND(VLOOKUP($BJ72,$AI$3:$AO$33,MATCH(BS$3,$AI$3:$AO$3,0),FALSE)+$BL72/VLOOKUP(VLOOKUP($BJ72,坦克个性化设定!$B$18:$E$48,4,FALSE)&amp;$BK72,坦克属性分配比例,MATCH("升星次数",坦克属性分配比例标头,0),FALSE)*VLOOKUP($BJ72,$AR$3:$AY$33,MATCH(BS$3,$AR$3:$AY$3,0),FALSE),1)</f>
        <v>42</v>
      </c>
      <c r="BT72" s="2">
        <f>ROUND(VLOOKUP($BJ72,$AI$3:$AO$33,MATCH(BT$3,$AI$3:$AO$3,0),FALSE)+$BL72/VLOOKUP(VLOOKUP($BJ72,坦克个性化设定!$B$18:$E$48,4,FALSE)&amp;$BK72,坦克属性分配比例,MATCH("升星次数",坦克属性分配比例标头,0),FALSE)*VLOOKUP($BJ72,$AR$3:$AY$33,MATCH(BT$3,$AR$3:$AY$3,0),FALSE),1)</f>
        <v>62.6</v>
      </c>
      <c r="BU72" s="2">
        <f>ROUND(VLOOKUP($BJ72,$AI$3:$AO$33,MATCH(BU$3,$AI$3:$AO$3,0),FALSE)+$BL72/VLOOKUP(VLOOKUP($BJ72,坦克个性化设定!$B$18:$E$48,4,FALSE)&amp;$BK72,坦克属性分配比例,MATCH("升星次数",坦克属性分配比例标头,0),FALSE)*VLOOKUP($BJ72,$AR$3:$AY$33,MATCH(BU$3,$AR$3:$AY$3,0),FALSE),1)</f>
        <v>9.6</v>
      </c>
      <c r="BV72" s="2">
        <f>IF(VLOOKUP(BJ72,坦克个性化设定!$B$18:$BC$48,MATCH("装弹类型",坦克个性化设定!$B$18:$BC$18,0),FALSE)="弹夹换弹",0,ROUND(VLOOKUP($BJ72,$AI$3:$AO$33,MATCH("换弹时间",$AI$3:$AO$3,0),FALSE)-$BL72/VLOOKUP(VLOOKUP($BJ72,坦克个性化设定!$B$18:$E$48,4,FALSE)&amp;$BK72,坦克属性分配比例,MATCH("升星次数",坦克属性分配比例标头,0),FALSE)*VLOOKUP($BJ72,$AR$3:$AY$33,MATCH("换弹时间",$AR$3:$AY$3,0),FALSE),2))</f>
        <v>0</v>
      </c>
      <c r="BW72" s="2">
        <f>IF(VLOOKUP(BJ72,坦克个性化设定!$B$18:$BC$48,MATCH("装弹类型",坦克个性化设定!$B$18:$BC$18,0),FALSE)="弹夹换弹",ROUND(VLOOKUP($BJ72,$AI$3:$AO$33,MATCH("换弹时间",$AI$3:$AO$3,0),FALSE)-$BL72/VLOOKUP(VLOOKUP($BJ72,坦克个性化设定!$B$18:$E$48,4,FALSE)&amp;$BK72,坦克属性分配比例,MATCH("升星次数",坦克属性分配比例标头,0),FALSE)*VLOOKUP($BJ72,$AR$3:$AY$33,MATCH("换弹时间",$AR$3:$AY$3,0),FALSE),1),0)</f>
        <v>7.4</v>
      </c>
      <c r="BX72" s="2">
        <f>ROUND(VLOOKUP($BJ72,$AI$3:$AO$33,MATCH(BX$3,$AI$3:$AO$3,0),FALSE)+$BL72/VLOOKUP(VLOOKUP($BJ72,坦克个性化设定!$B$18:$E$48,4,FALSE)&amp;$BK72,坦克属性分配比例,MATCH("升星次数",坦克属性分配比例标头,0),FALSE)*VLOOKUP($BJ72,$AR$3:$AY$33,MATCH(BX$3,$AR$3:$AY$3,0),FALSE),2)</f>
        <v>0.8</v>
      </c>
      <c r="BY72" s="2">
        <f>ROUND(VLOOKUP($BJ72,$AI$3:$AO$33,MATCH(BY$3,$AI$3:$AO$3,0),FALSE)-$BL72/VLOOKUP(VLOOKUP($BJ72,坦克个性化设定!$B$18:$E$48,4,FALSE)&amp;$BK72,坦克属性分配比例,MATCH("升星次数",坦克属性分配比例标头,0),FALSE)*VLOOKUP($BJ72,$AR$3:$AY$33,MATCH(BY$3,$AR$3:$AY$3,0),FALSE),2)</f>
        <v>0.46</v>
      </c>
    </row>
    <row r="73" spans="27:77" x14ac:dyDescent="0.3">
      <c r="BH73" s="2" t="str">
        <f t="shared" si="24"/>
        <v>M-415</v>
      </c>
      <c r="BI73" s="2">
        <f>IF(BL72&gt;=VLOOKUP(VLOOKUP(BJ72,坦克个性化设定!$B$18:$E$48,4,FALSE)&amp;BK72,坦克属性分配比例,MATCH("升星次数",坦克属性分配比例标头,0),FALSE),BI72+1,BI72)</f>
        <v>8</v>
      </c>
      <c r="BJ73" s="2" t="str">
        <f t="shared" si="25"/>
        <v>M-41</v>
      </c>
      <c r="BK73" s="29" t="str">
        <f>VLOOKUP(BJ73,坦克个性化细分!$I$3:$J$33,2,FALSE)</f>
        <v>中</v>
      </c>
      <c r="BL73" s="2">
        <f t="shared" si="23"/>
        <v>5</v>
      </c>
      <c r="BM73" s="103">
        <f ca="1">ROUND(VLOOKUP($BJ73&amp;"初始",$S$3:$AE$63,MATCH(BM$3,$S$3:$AE$3,0),FALSE)+((VLOOKUP($BJ73&amp;"最终",$S$3:$AE$63,MATCH(BM$3,$S$3:$AE$3,0),FALSE)*坦克个性化细分!$C$9-VLOOKUP($BJ73&amp;"初始",$S$3:$AE$63,MATCH(BM$3,$S$3:$AE$3,0),FALSE))-(VLOOKUP($BJ73&amp;"最终",$S$3:$AE$63,MATCH(BM$3,$S$3:$AE$3,0),FALSE)-VLOOKUP($BJ73&amp;"初始",$S$3:$AE$63,MATCH(BM$3,$S$3:$AE$3,0),FALSE))*VLOOKUP(VLOOKUP($BJ73,坦克个性化设定!$B$18:$E$48,4,FALSE)&amp;$BK73,坦克属性分配比例,MATCH("部件比例",坦克属性分配比例标头,0),FALSE))*$BL73/VLOOKUP(VLOOKUP($BJ73,坦克个性化设定!$B$18:$E$48,4,FALSE)&amp;$BK73,坦克属性分配比例,MATCH("升星次数",坦克属性分配比例标头,0),FALSE),0)</f>
        <v>1999</v>
      </c>
      <c r="BN73" s="103">
        <f ca="1">ROUND(VLOOKUP($BJ73&amp;"初始",$S$3:$AE$63,MATCH(BN$3,$S$3:$AE$3,0),FALSE)+(VLOOKUP($BJ73&amp;"最终",$S$3:$AE$63,MATCH(BN$3,$S$3:$AE$3,0),FALSE)-VLOOKUP($BJ73&amp;"初始",$S$3:$AE$63,MATCH(BN$3,$S$3:$AE$3,0),FALSE))*$BL73/VLOOKUP(VLOOKUP($BJ73,坦克个性化设定!$B$18:$E$48,4,FALSE)&amp;$BK73,坦克属性分配比例,MATCH("升星次数",坦克属性分配比例标头,0),FALSE)*VLOOKUP(VLOOKUP($BJ73,坦克个性化设定!$B$18:$E$48,4,FALSE)&amp;$BK73,坦克属性分配比例,MATCH("升星比例",坦克属性分配比例标头,0),FALSE),0)</f>
        <v>124</v>
      </c>
      <c r="BO73" s="103">
        <f ca="1">ROUND(VLOOKUP($BJ73&amp;"初始",$S$3:$AE$63,MATCH(BO$3,$S$3:$AE$3,0),FALSE)+(VLOOKUP($BJ73&amp;"最终",$S$3:$AE$63,MATCH(BO$3,$S$3:$AE$3,0),FALSE)-VLOOKUP($BJ73&amp;"初始",$S$3:$AE$63,MATCH(BO$3,$S$3:$AE$3,0),FALSE))*$BL73/VLOOKUP(VLOOKUP($BJ73,坦克个性化设定!$B$18:$E$48,4,FALSE)&amp;$BK73,坦克属性分配比例,MATCH("升星次数",坦克属性分配比例标头,0),FALSE)*(VLOOKUP(VLOOKUP($BJ73,坦克个性化设定!$B$18:$E$48,4,FALSE)&amp;$BK73,坦克属性分配比例,MATCH("升星比例",坦克属性分配比例标头,0),FALSE)+VLOOKUP(VLOOKUP($BJ73,坦克个性化设定!$B$18:$E$48,4,FALSE)&amp;$BK73,坦克属性分配比例,MATCH("部件比例",坦克属性分配比例标头,0),FALSE)*$C$3),0)</f>
        <v>775</v>
      </c>
      <c r="BP73" s="103">
        <f ca="1">ROUND(VLOOKUP($BJ73&amp;"初始",$S$3:$AE$63,MATCH(BP$3,$S$3:$AE$3,0),FALSE)+(VLOOKUP($BJ73&amp;"最终",$S$3:$AE$63,MATCH(BP$3,$S$3:$AE$3,0),FALSE)-VLOOKUP($BJ73&amp;"初始",$S$3:$AE$63,MATCH(BP$3,$S$3:$AE$3,0),FALSE))*$BL73/VLOOKUP(VLOOKUP($BJ73,坦克个性化设定!$B$18:$E$48,4,FALSE)&amp;$BK73,坦克属性分配比例,MATCH("升星次数",坦克属性分配比例标头,0),FALSE)*(VLOOKUP(VLOOKUP($BJ73,坦克个性化设定!$B$18:$E$48,4,FALSE)&amp;$BK73,坦克属性分配比例,MATCH("升星比例",坦克属性分配比例标头,0),FALSE)+VLOOKUP(VLOOKUP($BJ73,坦克个性化设定!$B$18:$E$48,4,FALSE)&amp;$BK73,坦克属性分配比例,MATCH("部件比例",坦克属性分配比例标头,0),FALSE)*$C$3),0)</f>
        <v>542</v>
      </c>
      <c r="BQ73" s="103">
        <f ca="1">ROUND(VLOOKUP($BJ73&amp;"初始",$S$3:$AE$63,MATCH(BQ$3,$S$3:$AE$3,0),FALSE)+(VLOOKUP($BJ73&amp;"最终",$S$3:$AE$63,MATCH(BQ$3,$S$3:$AE$3,0),FALSE)-VLOOKUP($BJ73&amp;"初始",$S$3:$AE$63,MATCH(BQ$3,$S$3:$AE$3,0),FALSE))*$BL73/VLOOKUP(VLOOKUP($BJ73,坦克个性化设定!$B$18:$E$48,4,FALSE)&amp;$BK73,坦克属性分配比例,MATCH("升星次数",坦克属性分配比例标头,0),FALSE)*VLOOKUP(VLOOKUP($BJ73,坦克个性化设定!$B$18:$E$48,4,FALSE)&amp;$BK73,坦克属性分配比例,MATCH("升星比例",坦克属性分配比例标头,0),FALSE),0)</f>
        <v>672</v>
      </c>
      <c r="BR73" s="2">
        <f ca="1">ROUND(VLOOKUP($BJ73&amp;"初始",$S$3:$AE$63,MATCH(BR$3,$S$3:$AE$3,0),FALSE)+(VLOOKUP($BJ73&amp;"最终",$S$3:$AE$63,MATCH(BR$3,$S$3:$AE$3,0),FALSE)-VLOOKUP($BJ73&amp;"初始",$S$3:$AE$63,MATCH(BR$3,$S$3:$AE$3,0),FALSE))*$BL73/VLOOKUP(VLOOKUP($BJ73,坦克个性化设定!$B$18:$E$48,4,FALSE)&amp;$BK73,坦克属性分配比例,MATCH("升星次数",坦克属性分配比例标头,0),FALSE),0)</f>
        <v>195</v>
      </c>
      <c r="BS73" s="2">
        <f>ROUND(VLOOKUP($BJ73,$AI$3:$AO$33,MATCH(BS$3,$AI$3:$AO$3,0),FALSE)+$BL73/VLOOKUP(VLOOKUP($BJ73,坦克个性化设定!$B$18:$E$48,4,FALSE)&amp;$BK73,坦克属性分配比例,MATCH("升星次数",坦克属性分配比例标头,0),FALSE)*VLOOKUP($BJ73,$AR$3:$AY$33,MATCH(BS$3,$AR$3:$AY$3,0),FALSE),1)</f>
        <v>42.9</v>
      </c>
      <c r="BT73" s="2">
        <f>ROUND(VLOOKUP($BJ73,$AI$3:$AO$33,MATCH(BT$3,$AI$3:$AO$3,0),FALSE)+$BL73/VLOOKUP(VLOOKUP($BJ73,坦克个性化设定!$B$18:$E$48,4,FALSE)&amp;$BK73,坦克属性分配比例,MATCH("升星次数",坦克属性分配比例标头,0),FALSE)*VLOOKUP($BJ73,$AR$3:$AY$33,MATCH(BT$3,$AR$3:$AY$3,0),FALSE),1)</f>
        <v>63.9</v>
      </c>
      <c r="BU73" s="2">
        <f>ROUND(VLOOKUP($BJ73,$AI$3:$AO$33,MATCH(BU$3,$AI$3:$AO$3,0),FALSE)+$BL73/VLOOKUP(VLOOKUP($BJ73,坦克个性化设定!$B$18:$E$48,4,FALSE)&amp;$BK73,坦克属性分配比例,MATCH("升星次数",坦克属性分配比例标头,0),FALSE)*VLOOKUP($BJ73,$AR$3:$AY$33,MATCH(BU$3,$AR$3:$AY$3,0),FALSE),1)</f>
        <v>9.6</v>
      </c>
      <c r="BV73" s="2">
        <f>IF(VLOOKUP(BJ73,坦克个性化设定!$B$18:$BC$48,MATCH("装弹类型",坦克个性化设定!$B$18:$BC$18,0),FALSE)="弹夹换弹",0,ROUND(VLOOKUP($BJ73,$AI$3:$AO$33,MATCH("换弹时间",$AI$3:$AO$3,0),FALSE)-$BL73/VLOOKUP(VLOOKUP($BJ73,坦克个性化设定!$B$18:$E$48,4,FALSE)&amp;$BK73,坦克属性分配比例,MATCH("升星次数",坦克属性分配比例标头,0),FALSE)*VLOOKUP($BJ73,$AR$3:$AY$33,MATCH("换弹时间",$AR$3:$AY$3,0),FALSE),2))</f>
        <v>0</v>
      </c>
      <c r="BW73" s="2">
        <f>IF(VLOOKUP(BJ73,坦克个性化设定!$B$18:$BC$48,MATCH("装弹类型",坦克个性化设定!$B$18:$BC$18,0),FALSE)="弹夹换弹",ROUND(VLOOKUP($BJ73,$AI$3:$AO$33,MATCH("换弹时间",$AI$3:$AO$3,0),FALSE)-$BL73/VLOOKUP(VLOOKUP($BJ73,坦克个性化设定!$B$18:$E$48,4,FALSE)&amp;$BK73,坦克属性分配比例,MATCH("升星次数",坦克属性分配比例标头,0),FALSE)*VLOOKUP($BJ73,$AR$3:$AY$33,MATCH("换弹时间",$AR$3:$AY$3,0),FALSE),1),0)</f>
        <v>7.1</v>
      </c>
      <c r="BX73" s="2">
        <f>ROUND(VLOOKUP($BJ73,$AI$3:$AO$33,MATCH(BX$3,$AI$3:$AO$3,0),FALSE)+$BL73/VLOOKUP(VLOOKUP($BJ73,坦克个性化设定!$B$18:$E$48,4,FALSE)&amp;$BK73,坦克属性分配比例,MATCH("升星次数",坦克属性分配比例标头,0),FALSE)*VLOOKUP($BJ73,$AR$3:$AY$33,MATCH(BX$3,$AR$3:$AY$3,0),FALSE),2)</f>
        <v>0.8</v>
      </c>
      <c r="BY73" s="2">
        <f>ROUND(VLOOKUP($BJ73,$AI$3:$AO$33,MATCH(BY$3,$AI$3:$AO$3,0),FALSE)-$BL73/VLOOKUP(VLOOKUP($BJ73,坦克个性化设定!$B$18:$E$48,4,FALSE)&amp;$BK73,坦克属性分配比例,MATCH("升星次数",坦克属性分配比例标头,0),FALSE)*VLOOKUP($BJ73,$AR$3:$AY$33,MATCH(BY$3,$AR$3:$AY$3,0),FALSE),2)</f>
        <v>0.45</v>
      </c>
    </row>
    <row r="74" spans="27:77" x14ac:dyDescent="0.3">
      <c r="BH74" s="2" t="str">
        <f t="shared" si="24"/>
        <v>M-416</v>
      </c>
      <c r="BI74" s="2">
        <f>IF(BL73&gt;=VLOOKUP(VLOOKUP(BJ73,坦克个性化设定!$B$18:$E$48,4,FALSE)&amp;BK73,坦克属性分配比例,MATCH("升星次数",坦克属性分配比例标头,0),FALSE),BI73+1,BI73)</f>
        <v>8</v>
      </c>
      <c r="BJ74" s="2" t="str">
        <f t="shared" si="25"/>
        <v>M-41</v>
      </c>
      <c r="BK74" s="29" t="str">
        <f>VLOOKUP(BJ74,坦克个性化细分!$I$3:$J$33,2,FALSE)</f>
        <v>中</v>
      </c>
      <c r="BL74" s="2">
        <f t="shared" si="23"/>
        <v>6</v>
      </c>
      <c r="BM74" s="103">
        <f ca="1">ROUND(VLOOKUP($BJ74&amp;"初始",$S$3:$AE$63,MATCH(BM$3,$S$3:$AE$3,0),FALSE)+((VLOOKUP($BJ74&amp;"最终",$S$3:$AE$63,MATCH(BM$3,$S$3:$AE$3,0),FALSE)*坦克个性化细分!$C$9-VLOOKUP($BJ74&amp;"初始",$S$3:$AE$63,MATCH(BM$3,$S$3:$AE$3,0),FALSE))-(VLOOKUP($BJ74&amp;"最终",$S$3:$AE$63,MATCH(BM$3,$S$3:$AE$3,0),FALSE)-VLOOKUP($BJ74&amp;"初始",$S$3:$AE$63,MATCH(BM$3,$S$3:$AE$3,0),FALSE))*VLOOKUP(VLOOKUP($BJ74,坦克个性化设定!$B$18:$E$48,4,FALSE)&amp;$BK74,坦克属性分配比例,MATCH("部件比例",坦克属性分配比例标头,0),FALSE))*$BL74/VLOOKUP(VLOOKUP($BJ74,坦克个性化设定!$B$18:$E$48,4,FALSE)&amp;$BK74,坦克属性分配比例,MATCH("升星次数",坦克属性分配比例标头,0),FALSE),0)</f>
        <v>2071</v>
      </c>
      <c r="BN74" s="103">
        <f ca="1">ROUND(VLOOKUP($BJ74&amp;"初始",$S$3:$AE$63,MATCH(BN$3,$S$3:$AE$3,0),FALSE)+(VLOOKUP($BJ74&amp;"最终",$S$3:$AE$63,MATCH(BN$3,$S$3:$AE$3,0),FALSE)-VLOOKUP($BJ74&amp;"初始",$S$3:$AE$63,MATCH(BN$3,$S$3:$AE$3,0),FALSE))*$BL74/VLOOKUP(VLOOKUP($BJ74,坦克个性化设定!$B$18:$E$48,4,FALSE)&amp;$BK74,坦克属性分配比例,MATCH("升星次数",坦克属性分配比例标头,0),FALSE)*VLOOKUP(VLOOKUP($BJ74,坦克个性化设定!$B$18:$E$48,4,FALSE)&amp;$BK74,坦克属性分配比例,MATCH("升星比例",坦克属性分配比例标头,0),FALSE),0)</f>
        <v>127</v>
      </c>
      <c r="BO74" s="103">
        <f ca="1">ROUND(VLOOKUP($BJ74&amp;"初始",$S$3:$AE$63,MATCH(BO$3,$S$3:$AE$3,0),FALSE)+(VLOOKUP($BJ74&amp;"最终",$S$3:$AE$63,MATCH(BO$3,$S$3:$AE$3,0),FALSE)-VLOOKUP($BJ74&amp;"初始",$S$3:$AE$63,MATCH(BO$3,$S$3:$AE$3,0),FALSE))*$BL74/VLOOKUP(VLOOKUP($BJ74,坦克个性化设定!$B$18:$E$48,4,FALSE)&amp;$BK74,坦克属性分配比例,MATCH("升星次数",坦克属性分配比例标头,0),FALSE)*(VLOOKUP(VLOOKUP($BJ74,坦克个性化设定!$B$18:$E$48,4,FALSE)&amp;$BK74,坦克属性分配比例,MATCH("升星比例",坦克属性分配比例标头,0),FALSE)+VLOOKUP(VLOOKUP($BJ74,坦克个性化设定!$B$18:$E$48,4,FALSE)&amp;$BK74,坦克属性分配比例,MATCH("部件比例",坦克属性分配比例标头,0),FALSE)*$C$3),0)</f>
        <v>798</v>
      </c>
      <c r="BP74" s="103">
        <f ca="1">ROUND(VLOOKUP($BJ74&amp;"初始",$S$3:$AE$63,MATCH(BP$3,$S$3:$AE$3,0),FALSE)+(VLOOKUP($BJ74&amp;"最终",$S$3:$AE$63,MATCH(BP$3,$S$3:$AE$3,0),FALSE)-VLOOKUP($BJ74&amp;"初始",$S$3:$AE$63,MATCH(BP$3,$S$3:$AE$3,0),FALSE))*$BL74/VLOOKUP(VLOOKUP($BJ74,坦克个性化设定!$B$18:$E$48,4,FALSE)&amp;$BK74,坦克属性分配比例,MATCH("升星次数",坦克属性分配比例标头,0),FALSE)*(VLOOKUP(VLOOKUP($BJ74,坦克个性化设定!$B$18:$E$48,4,FALSE)&amp;$BK74,坦克属性分配比例,MATCH("升星比例",坦克属性分配比例标头,0),FALSE)+VLOOKUP(VLOOKUP($BJ74,坦克个性化设定!$B$18:$E$48,4,FALSE)&amp;$BK74,坦克属性分配比例,MATCH("部件比例",坦克属性分配比例标头,0),FALSE)*$C$3),0)</f>
        <v>559</v>
      </c>
      <c r="BQ74" s="103">
        <f ca="1">ROUND(VLOOKUP($BJ74&amp;"初始",$S$3:$AE$63,MATCH(BQ$3,$S$3:$AE$3,0),FALSE)+(VLOOKUP($BJ74&amp;"最终",$S$3:$AE$63,MATCH(BQ$3,$S$3:$AE$3,0),FALSE)-VLOOKUP($BJ74&amp;"初始",$S$3:$AE$63,MATCH(BQ$3,$S$3:$AE$3,0),FALSE))*$BL74/VLOOKUP(VLOOKUP($BJ74,坦克个性化设定!$B$18:$E$48,4,FALSE)&amp;$BK74,坦克属性分配比例,MATCH("升星次数",坦克属性分配比例标头,0),FALSE)*VLOOKUP(VLOOKUP($BJ74,坦克个性化设定!$B$18:$E$48,4,FALSE)&amp;$BK74,坦克属性分配比例,MATCH("升星比例",坦克属性分配比例标头,0),FALSE),0)</f>
        <v>686</v>
      </c>
      <c r="BR74" s="2">
        <f ca="1">ROUND(VLOOKUP($BJ74&amp;"初始",$S$3:$AE$63,MATCH(BR$3,$S$3:$AE$3,0),FALSE)+(VLOOKUP($BJ74&amp;"最终",$S$3:$AE$63,MATCH(BR$3,$S$3:$AE$3,0),FALSE)-VLOOKUP($BJ74&amp;"初始",$S$3:$AE$63,MATCH(BR$3,$S$3:$AE$3,0),FALSE))*$BL74/VLOOKUP(VLOOKUP($BJ74,坦克个性化设定!$B$18:$E$48,4,FALSE)&amp;$BK74,坦克属性分配比例,MATCH("升星次数",坦克属性分配比例标头,0),FALSE),0)</f>
        <v>202</v>
      </c>
      <c r="BS74" s="2">
        <f>ROUND(VLOOKUP($BJ74,$AI$3:$AO$33,MATCH(BS$3,$AI$3:$AO$3,0),FALSE)+$BL74/VLOOKUP(VLOOKUP($BJ74,坦克个性化设定!$B$18:$E$48,4,FALSE)&amp;$BK74,坦克属性分配比例,MATCH("升星次数",坦克属性分配比例标头,0),FALSE)*VLOOKUP($BJ74,$AR$3:$AY$33,MATCH(BS$3,$AR$3:$AY$3,0),FALSE),1)</f>
        <v>43.8</v>
      </c>
      <c r="BT74" s="2">
        <f>ROUND(VLOOKUP($BJ74,$AI$3:$AO$33,MATCH(BT$3,$AI$3:$AO$3,0),FALSE)+$BL74/VLOOKUP(VLOOKUP($BJ74,坦克个性化设定!$B$18:$E$48,4,FALSE)&amp;$BK74,坦克属性分配比例,MATCH("升星次数",坦克属性分配比例标头,0),FALSE)*VLOOKUP($BJ74,$AR$3:$AY$33,MATCH(BT$3,$AR$3:$AY$3,0),FALSE),1)</f>
        <v>65.2</v>
      </c>
      <c r="BU74" s="2">
        <f>ROUND(VLOOKUP($BJ74,$AI$3:$AO$33,MATCH(BU$3,$AI$3:$AO$3,0),FALSE)+$BL74/VLOOKUP(VLOOKUP($BJ74,坦克个性化设定!$B$18:$E$48,4,FALSE)&amp;$BK74,坦克属性分配比例,MATCH("升星次数",坦克属性分配比例标头,0),FALSE)*VLOOKUP($BJ74,$AR$3:$AY$33,MATCH(BU$3,$AR$3:$AY$3,0),FALSE),1)</f>
        <v>9.6</v>
      </c>
      <c r="BV74" s="2">
        <f>IF(VLOOKUP(BJ74,坦克个性化设定!$B$18:$BC$48,MATCH("装弹类型",坦克个性化设定!$B$18:$BC$18,0),FALSE)="弹夹换弹",0,ROUND(VLOOKUP($BJ74,$AI$3:$AO$33,MATCH("换弹时间",$AI$3:$AO$3,0),FALSE)-$BL74/VLOOKUP(VLOOKUP($BJ74,坦克个性化设定!$B$18:$E$48,4,FALSE)&amp;$BK74,坦克属性分配比例,MATCH("升星次数",坦克属性分配比例标头,0),FALSE)*VLOOKUP($BJ74,$AR$3:$AY$33,MATCH("换弹时间",$AR$3:$AY$3,0),FALSE),2))</f>
        <v>0</v>
      </c>
      <c r="BW74" s="2">
        <f>IF(VLOOKUP(BJ74,坦克个性化设定!$B$18:$BC$48,MATCH("装弹类型",坦克个性化设定!$B$18:$BC$18,0),FALSE)="弹夹换弹",ROUND(VLOOKUP($BJ74,$AI$3:$AO$33,MATCH("换弹时间",$AI$3:$AO$3,0),FALSE)-$BL74/VLOOKUP(VLOOKUP($BJ74,坦克个性化设定!$B$18:$E$48,4,FALSE)&amp;$BK74,坦克属性分配比例,MATCH("升星次数",坦克属性分配比例标头,0),FALSE)*VLOOKUP($BJ74,$AR$3:$AY$33,MATCH("换弹时间",$AR$3:$AY$3,0),FALSE),1),0)</f>
        <v>6.8</v>
      </c>
      <c r="BX74" s="2">
        <f>ROUND(VLOOKUP($BJ74,$AI$3:$AO$33,MATCH(BX$3,$AI$3:$AO$3,0),FALSE)+$BL74/VLOOKUP(VLOOKUP($BJ74,坦克个性化设定!$B$18:$E$48,4,FALSE)&amp;$BK74,坦克属性分配比例,MATCH("升星次数",坦克属性分配比例标头,0),FALSE)*VLOOKUP($BJ74,$AR$3:$AY$33,MATCH(BX$3,$AR$3:$AY$3,0),FALSE),2)</f>
        <v>0.8</v>
      </c>
      <c r="BY74" s="2">
        <f>ROUND(VLOOKUP($BJ74,$AI$3:$AO$33,MATCH(BY$3,$AI$3:$AO$3,0),FALSE)-$BL74/VLOOKUP(VLOOKUP($BJ74,坦克个性化设定!$B$18:$E$48,4,FALSE)&amp;$BK74,坦克属性分配比例,MATCH("升星次数",坦克属性分配比例标头,0),FALSE)*VLOOKUP($BJ74,$AR$3:$AY$33,MATCH(BY$3,$AR$3:$AY$3,0),FALSE),2)</f>
        <v>0.45</v>
      </c>
    </row>
    <row r="75" spans="27:77" x14ac:dyDescent="0.3">
      <c r="BH75" s="2" t="str">
        <f t="shared" si="24"/>
        <v>M-417</v>
      </c>
      <c r="BI75" s="2">
        <f>IF(BL74&gt;=VLOOKUP(VLOOKUP(BJ74,坦克个性化设定!$B$18:$E$48,4,FALSE)&amp;BK74,坦克属性分配比例,MATCH("升星次数",坦克属性分配比例标头,0),FALSE),BI74+1,BI74)</f>
        <v>8</v>
      </c>
      <c r="BJ75" s="2" t="str">
        <f t="shared" si="25"/>
        <v>M-41</v>
      </c>
      <c r="BK75" s="29" t="str">
        <f>VLOOKUP(BJ75,坦克个性化细分!$I$3:$J$33,2,FALSE)</f>
        <v>中</v>
      </c>
      <c r="BL75" s="2">
        <f t="shared" si="23"/>
        <v>7</v>
      </c>
      <c r="BM75" s="103">
        <f ca="1">ROUND(VLOOKUP($BJ75&amp;"初始",$S$3:$AE$63,MATCH(BM$3,$S$3:$AE$3,0),FALSE)+((VLOOKUP($BJ75&amp;"最终",$S$3:$AE$63,MATCH(BM$3,$S$3:$AE$3,0),FALSE)*坦克个性化细分!$C$9-VLOOKUP($BJ75&amp;"初始",$S$3:$AE$63,MATCH(BM$3,$S$3:$AE$3,0),FALSE))-(VLOOKUP($BJ75&amp;"最终",$S$3:$AE$63,MATCH(BM$3,$S$3:$AE$3,0),FALSE)-VLOOKUP($BJ75&amp;"初始",$S$3:$AE$63,MATCH(BM$3,$S$3:$AE$3,0),FALSE))*VLOOKUP(VLOOKUP($BJ75,坦克个性化设定!$B$18:$E$48,4,FALSE)&amp;$BK75,坦克属性分配比例,MATCH("部件比例",坦克属性分配比例标头,0),FALSE))*$BL75/VLOOKUP(VLOOKUP($BJ75,坦克个性化设定!$B$18:$E$48,4,FALSE)&amp;$BK75,坦克属性分配比例,MATCH("升星次数",坦克属性分配比例标头,0),FALSE),0)</f>
        <v>2144</v>
      </c>
      <c r="BN75" s="103">
        <f ca="1">ROUND(VLOOKUP($BJ75&amp;"初始",$S$3:$AE$63,MATCH(BN$3,$S$3:$AE$3,0),FALSE)+(VLOOKUP($BJ75&amp;"最终",$S$3:$AE$63,MATCH(BN$3,$S$3:$AE$3,0),FALSE)-VLOOKUP($BJ75&amp;"初始",$S$3:$AE$63,MATCH(BN$3,$S$3:$AE$3,0),FALSE))*$BL75/VLOOKUP(VLOOKUP($BJ75,坦克个性化设定!$B$18:$E$48,4,FALSE)&amp;$BK75,坦克属性分配比例,MATCH("升星次数",坦克属性分配比例标头,0),FALSE)*VLOOKUP(VLOOKUP($BJ75,坦克个性化设定!$B$18:$E$48,4,FALSE)&amp;$BK75,坦克属性分配比例,MATCH("升星比例",坦克属性分配比例标头,0),FALSE),0)</f>
        <v>129</v>
      </c>
      <c r="BO75" s="103">
        <f ca="1">ROUND(VLOOKUP($BJ75&amp;"初始",$S$3:$AE$63,MATCH(BO$3,$S$3:$AE$3,0),FALSE)+(VLOOKUP($BJ75&amp;"最终",$S$3:$AE$63,MATCH(BO$3,$S$3:$AE$3,0),FALSE)-VLOOKUP($BJ75&amp;"初始",$S$3:$AE$63,MATCH(BO$3,$S$3:$AE$3,0),FALSE))*$BL75/VLOOKUP(VLOOKUP($BJ75,坦克个性化设定!$B$18:$E$48,4,FALSE)&amp;$BK75,坦克属性分配比例,MATCH("升星次数",坦克属性分配比例标头,0),FALSE)*(VLOOKUP(VLOOKUP($BJ75,坦克个性化设定!$B$18:$E$48,4,FALSE)&amp;$BK75,坦克属性分配比例,MATCH("升星比例",坦克属性分配比例标头,0),FALSE)+VLOOKUP(VLOOKUP($BJ75,坦克个性化设定!$B$18:$E$48,4,FALSE)&amp;$BK75,坦克属性分配比例,MATCH("部件比例",坦克属性分配比例标头,0),FALSE)*$C$3),0)</f>
        <v>822</v>
      </c>
      <c r="BP75" s="103">
        <f ca="1">ROUND(VLOOKUP($BJ75&amp;"初始",$S$3:$AE$63,MATCH(BP$3,$S$3:$AE$3,0),FALSE)+(VLOOKUP($BJ75&amp;"最终",$S$3:$AE$63,MATCH(BP$3,$S$3:$AE$3,0),FALSE)-VLOOKUP($BJ75&amp;"初始",$S$3:$AE$63,MATCH(BP$3,$S$3:$AE$3,0),FALSE))*$BL75/VLOOKUP(VLOOKUP($BJ75,坦克个性化设定!$B$18:$E$48,4,FALSE)&amp;$BK75,坦克属性分配比例,MATCH("升星次数",坦克属性分配比例标头,0),FALSE)*(VLOOKUP(VLOOKUP($BJ75,坦克个性化设定!$B$18:$E$48,4,FALSE)&amp;$BK75,坦克属性分配比例,MATCH("升星比例",坦克属性分配比例标头,0),FALSE)+VLOOKUP(VLOOKUP($BJ75,坦克个性化设定!$B$18:$E$48,4,FALSE)&amp;$BK75,坦克属性分配比例,MATCH("部件比例",坦克属性分配比例标头,0),FALSE)*$C$3),0)</f>
        <v>575</v>
      </c>
      <c r="BQ75" s="103">
        <f ca="1">ROUND(VLOOKUP($BJ75&amp;"初始",$S$3:$AE$63,MATCH(BQ$3,$S$3:$AE$3,0),FALSE)+(VLOOKUP($BJ75&amp;"最终",$S$3:$AE$63,MATCH(BQ$3,$S$3:$AE$3,0),FALSE)-VLOOKUP($BJ75&amp;"初始",$S$3:$AE$63,MATCH(BQ$3,$S$3:$AE$3,0),FALSE))*$BL75/VLOOKUP(VLOOKUP($BJ75,坦克个性化设定!$B$18:$E$48,4,FALSE)&amp;$BK75,坦克属性分配比例,MATCH("升星次数",坦克属性分配比例标头,0),FALSE)*VLOOKUP(VLOOKUP($BJ75,坦克个性化设定!$B$18:$E$48,4,FALSE)&amp;$BK75,坦克属性分配比例,MATCH("升星比例",坦克属性分配比例标头,0),FALSE),0)</f>
        <v>701</v>
      </c>
      <c r="BR75" s="2">
        <f ca="1">ROUND(VLOOKUP($BJ75&amp;"初始",$S$3:$AE$63,MATCH(BR$3,$S$3:$AE$3,0),FALSE)+(VLOOKUP($BJ75&amp;"最终",$S$3:$AE$63,MATCH(BR$3,$S$3:$AE$3,0),FALSE)-VLOOKUP($BJ75&amp;"初始",$S$3:$AE$63,MATCH(BR$3,$S$3:$AE$3,0),FALSE))*$BL75/VLOOKUP(VLOOKUP($BJ75,坦克个性化设定!$B$18:$E$48,4,FALSE)&amp;$BK75,坦克属性分配比例,MATCH("升星次数",坦克属性分配比例标头,0),FALSE),0)</f>
        <v>209</v>
      </c>
      <c r="BS75" s="2">
        <f>ROUND(VLOOKUP($BJ75,$AI$3:$AO$33,MATCH(BS$3,$AI$3:$AO$3,0),FALSE)+$BL75/VLOOKUP(VLOOKUP($BJ75,坦克个性化设定!$B$18:$E$48,4,FALSE)&amp;$BK75,坦克属性分配比例,MATCH("升星次数",坦克属性分配比例标头,0),FALSE)*VLOOKUP($BJ75,$AR$3:$AY$33,MATCH(BS$3,$AR$3:$AY$3,0),FALSE),1)</f>
        <v>44.6</v>
      </c>
      <c r="BT75" s="2">
        <f>ROUND(VLOOKUP($BJ75,$AI$3:$AO$33,MATCH(BT$3,$AI$3:$AO$3,0),FALSE)+$BL75/VLOOKUP(VLOOKUP($BJ75,坦克个性化设定!$B$18:$E$48,4,FALSE)&amp;$BK75,坦克属性分配比例,MATCH("升星次数",坦克属性分配比例标头,0),FALSE)*VLOOKUP($BJ75,$AR$3:$AY$33,MATCH(BT$3,$AR$3:$AY$3,0),FALSE),1)</f>
        <v>66.5</v>
      </c>
      <c r="BU75" s="2">
        <f>ROUND(VLOOKUP($BJ75,$AI$3:$AO$33,MATCH(BU$3,$AI$3:$AO$3,0),FALSE)+$BL75/VLOOKUP(VLOOKUP($BJ75,坦克个性化设定!$B$18:$E$48,4,FALSE)&amp;$BK75,坦克属性分配比例,MATCH("升星次数",坦克属性分配比例标头,0),FALSE)*VLOOKUP($BJ75,$AR$3:$AY$33,MATCH(BU$3,$AR$3:$AY$3,0),FALSE),1)</f>
        <v>9.6</v>
      </c>
      <c r="BV75" s="2">
        <f>IF(VLOOKUP(BJ75,坦克个性化设定!$B$18:$BC$48,MATCH("装弹类型",坦克个性化设定!$B$18:$BC$18,0),FALSE)="弹夹换弹",0,ROUND(VLOOKUP($BJ75,$AI$3:$AO$33,MATCH("换弹时间",$AI$3:$AO$3,0),FALSE)-$BL75/VLOOKUP(VLOOKUP($BJ75,坦克个性化设定!$B$18:$E$48,4,FALSE)&amp;$BK75,坦克属性分配比例,MATCH("升星次数",坦克属性分配比例标头,0),FALSE)*VLOOKUP($BJ75,$AR$3:$AY$33,MATCH("换弹时间",$AR$3:$AY$3,0),FALSE),2))</f>
        <v>0</v>
      </c>
      <c r="BW75" s="2">
        <f>IF(VLOOKUP(BJ75,坦克个性化设定!$B$18:$BC$48,MATCH("装弹类型",坦克个性化设定!$B$18:$BC$18,0),FALSE)="弹夹换弹",ROUND(VLOOKUP($BJ75,$AI$3:$AO$33,MATCH("换弹时间",$AI$3:$AO$3,0),FALSE)-$BL75/VLOOKUP(VLOOKUP($BJ75,坦克个性化设定!$B$18:$E$48,4,FALSE)&amp;$BK75,坦克属性分配比例,MATCH("升星次数",坦克属性分配比例标头,0),FALSE)*VLOOKUP($BJ75,$AR$3:$AY$33,MATCH("换弹时间",$AR$3:$AY$3,0),FALSE),1),0)</f>
        <v>6.6</v>
      </c>
      <c r="BX75" s="2">
        <f>ROUND(VLOOKUP($BJ75,$AI$3:$AO$33,MATCH(BX$3,$AI$3:$AO$3,0),FALSE)+$BL75/VLOOKUP(VLOOKUP($BJ75,坦克个性化设定!$B$18:$E$48,4,FALSE)&amp;$BK75,坦克属性分配比例,MATCH("升星次数",坦克属性分配比例标头,0),FALSE)*VLOOKUP($BJ75,$AR$3:$AY$33,MATCH(BX$3,$AR$3:$AY$3,0),FALSE),2)</f>
        <v>0.8</v>
      </c>
      <c r="BY75" s="2">
        <f>ROUND(VLOOKUP($BJ75,$AI$3:$AO$33,MATCH(BY$3,$AI$3:$AO$3,0),FALSE)-$BL75/VLOOKUP(VLOOKUP($BJ75,坦克个性化设定!$B$18:$E$48,4,FALSE)&amp;$BK75,坦克属性分配比例,MATCH("升星次数",坦克属性分配比例标头,0),FALSE)*VLOOKUP($BJ75,$AR$3:$AY$33,MATCH(BY$3,$AR$3:$AY$3,0),FALSE),2)</f>
        <v>0.44</v>
      </c>
    </row>
    <row r="76" spans="27:77" x14ac:dyDescent="0.3">
      <c r="BH76" s="2" t="str">
        <f t="shared" si="24"/>
        <v>M-418</v>
      </c>
      <c r="BI76" s="2">
        <f>IF(BL75&gt;=VLOOKUP(VLOOKUP(BJ75,坦克个性化设定!$B$18:$E$48,4,FALSE)&amp;BK75,坦克属性分配比例,MATCH("升星次数",坦克属性分配比例标头,0),FALSE),BI75+1,BI75)</f>
        <v>8</v>
      </c>
      <c r="BJ76" s="2" t="str">
        <f t="shared" si="25"/>
        <v>M-41</v>
      </c>
      <c r="BK76" s="29" t="str">
        <f>VLOOKUP(BJ76,坦克个性化细分!$I$3:$J$33,2,FALSE)</f>
        <v>中</v>
      </c>
      <c r="BL76" s="2">
        <f t="shared" si="23"/>
        <v>8</v>
      </c>
      <c r="BM76" s="103">
        <f ca="1">ROUND(VLOOKUP($BJ76&amp;"初始",$S$3:$AE$63,MATCH(BM$3,$S$3:$AE$3,0),FALSE)+((VLOOKUP($BJ76&amp;"最终",$S$3:$AE$63,MATCH(BM$3,$S$3:$AE$3,0),FALSE)*坦克个性化细分!$C$9-VLOOKUP($BJ76&amp;"初始",$S$3:$AE$63,MATCH(BM$3,$S$3:$AE$3,0),FALSE))-(VLOOKUP($BJ76&amp;"最终",$S$3:$AE$63,MATCH(BM$3,$S$3:$AE$3,0),FALSE)-VLOOKUP($BJ76&amp;"初始",$S$3:$AE$63,MATCH(BM$3,$S$3:$AE$3,0),FALSE))*VLOOKUP(VLOOKUP($BJ76,坦克个性化设定!$B$18:$E$48,4,FALSE)&amp;$BK76,坦克属性分配比例,MATCH("部件比例",坦克属性分配比例标头,0),FALSE))*$BL76/VLOOKUP(VLOOKUP($BJ76,坦克个性化设定!$B$18:$E$48,4,FALSE)&amp;$BK76,坦克属性分配比例,MATCH("升星次数",坦克属性分配比例标头,0),FALSE),0)</f>
        <v>2216</v>
      </c>
      <c r="BN76" s="103">
        <f ca="1">ROUND(VLOOKUP($BJ76&amp;"初始",$S$3:$AE$63,MATCH(BN$3,$S$3:$AE$3,0),FALSE)+(VLOOKUP($BJ76&amp;"最终",$S$3:$AE$63,MATCH(BN$3,$S$3:$AE$3,0),FALSE)-VLOOKUP($BJ76&amp;"初始",$S$3:$AE$63,MATCH(BN$3,$S$3:$AE$3,0),FALSE))*$BL76/VLOOKUP(VLOOKUP($BJ76,坦克个性化设定!$B$18:$E$48,4,FALSE)&amp;$BK76,坦克属性分配比例,MATCH("升星次数",坦克属性分配比例标头,0),FALSE)*VLOOKUP(VLOOKUP($BJ76,坦克个性化设定!$B$18:$E$48,4,FALSE)&amp;$BK76,坦克属性分配比例,MATCH("升星比例",坦克属性分配比例标头,0),FALSE),0)</f>
        <v>132</v>
      </c>
      <c r="BO76" s="103">
        <f ca="1">ROUND(VLOOKUP($BJ76&amp;"初始",$S$3:$AE$63,MATCH(BO$3,$S$3:$AE$3,0),FALSE)+(VLOOKUP($BJ76&amp;"最终",$S$3:$AE$63,MATCH(BO$3,$S$3:$AE$3,0),FALSE)-VLOOKUP($BJ76&amp;"初始",$S$3:$AE$63,MATCH(BO$3,$S$3:$AE$3,0),FALSE))*$BL76/VLOOKUP(VLOOKUP($BJ76,坦克个性化设定!$B$18:$E$48,4,FALSE)&amp;$BK76,坦克属性分配比例,MATCH("升星次数",坦克属性分配比例标头,0),FALSE)*(VLOOKUP(VLOOKUP($BJ76,坦克个性化设定!$B$18:$E$48,4,FALSE)&amp;$BK76,坦克属性分配比例,MATCH("升星比例",坦克属性分配比例标头,0),FALSE)+VLOOKUP(VLOOKUP($BJ76,坦克个性化设定!$B$18:$E$48,4,FALSE)&amp;$BK76,坦克属性分配比例,MATCH("部件比例",坦克属性分配比例标头,0),FALSE)*$C$3),0)</f>
        <v>845</v>
      </c>
      <c r="BP76" s="103">
        <f ca="1">ROUND(VLOOKUP($BJ76&amp;"初始",$S$3:$AE$63,MATCH(BP$3,$S$3:$AE$3,0),FALSE)+(VLOOKUP($BJ76&amp;"最终",$S$3:$AE$63,MATCH(BP$3,$S$3:$AE$3,0),FALSE)-VLOOKUP($BJ76&amp;"初始",$S$3:$AE$63,MATCH(BP$3,$S$3:$AE$3,0),FALSE))*$BL76/VLOOKUP(VLOOKUP($BJ76,坦克个性化设定!$B$18:$E$48,4,FALSE)&amp;$BK76,坦克属性分配比例,MATCH("升星次数",坦克属性分配比例标头,0),FALSE)*(VLOOKUP(VLOOKUP($BJ76,坦克个性化设定!$B$18:$E$48,4,FALSE)&amp;$BK76,坦克属性分配比例,MATCH("升星比例",坦克属性分配比例标头,0),FALSE)+VLOOKUP(VLOOKUP($BJ76,坦克个性化设定!$B$18:$E$48,4,FALSE)&amp;$BK76,坦克属性分配比例,MATCH("部件比例",坦克属性分配比例标头,0),FALSE)*$C$3),0)</f>
        <v>592</v>
      </c>
      <c r="BQ76" s="103">
        <f ca="1">ROUND(VLOOKUP($BJ76&amp;"初始",$S$3:$AE$63,MATCH(BQ$3,$S$3:$AE$3,0),FALSE)+(VLOOKUP($BJ76&amp;"最终",$S$3:$AE$63,MATCH(BQ$3,$S$3:$AE$3,0),FALSE)-VLOOKUP($BJ76&amp;"初始",$S$3:$AE$63,MATCH(BQ$3,$S$3:$AE$3,0),FALSE))*$BL76/VLOOKUP(VLOOKUP($BJ76,坦克个性化设定!$B$18:$E$48,4,FALSE)&amp;$BK76,坦克属性分配比例,MATCH("升星次数",坦克属性分配比例标头,0),FALSE)*VLOOKUP(VLOOKUP($BJ76,坦克个性化设定!$B$18:$E$48,4,FALSE)&amp;$BK76,坦克属性分配比例,MATCH("升星比例",坦克属性分配比例标头,0),FALSE),0)</f>
        <v>715</v>
      </c>
      <c r="BR76" s="2">
        <f ca="1">ROUND(VLOOKUP($BJ76&amp;"初始",$S$3:$AE$63,MATCH(BR$3,$S$3:$AE$3,0),FALSE)+(VLOOKUP($BJ76&amp;"最终",$S$3:$AE$63,MATCH(BR$3,$S$3:$AE$3,0),FALSE)-VLOOKUP($BJ76&amp;"初始",$S$3:$AE$63,MATCH(BR$3,$S$3:$AE$3,0),FALSE))*$BL76/VLOOKUP(VLOOKUP($BJ76,坦克个性化设定!$B$18:$E$48,4,FALSE)&amp;$BK76,坦克属性分配比例,MATCH("升星次数",坦克属性分配比例标头,0),FALSE),0)</f>
        <v>216</v>
      </c>
      <c r="BS76" s="2">
        <f>ROUND(VLOOKUP($BJ76,$AI$3:$AO$33,MATCH(BS$3,$AI$3:$AO$3,0),FALSE)+$BL76/VLOOKUP(VLOOKUP($BJ76,坦克个性化设定!$B$18:$E$48,4,FALSE)&amp;$BK76,坦克属性分配比例,MATCH("升星次数",坦克属性分配比例标头,0),FALSE)*VLOOKUP($BJ76,$AR$3:$AY$33,MATCH(BS$3,$AR$3:$AY$3,0),FALSE),1)</f>
        <v>45.5</v>
      </c>
      <c r="BT76" s="2">
        <f>ROUND(VLOOKUP($BJ76,$AI$3:$AO$33,MATCH(BT$3,$AI$3:$AO$3,0),FALSE)+$BL76/VLOOKUP(VLOOKUP($BJ76,坦克个性化设定!$B$18:$E$48,4,FALSE)&amp;$BK76,坦克属性分配比例,MATCH("升星次数",坦克属性分配比例标头,0),FALSE)*VLOOKUP($BJ76,$AR$3:$AY$33,MATCH(BT$3,$AR$3:$AY$3,0),FALSE),1)</f>
        <v>67.8</v>
      </c>
      <c r="BU76" s="2">
        <f>ROUND(VLOOKUP($BJ76,$AI$3:$AO$33,MATCH(BU$3,$AI$3:$AO$3,0),FALSE)+$BL76/VLOOKUP(VLOOKUP($BJ76,坦克个性化设定!$B$18:$E$48,4,FALSE)&amp;$BK76,坦克属性分配比例,MATCH("升星次数",坦克属性分配比例标头,0),FALSE)*VLOOKUP($BJ76,$AR$3:$AY$33,MATCH(BU$3,$AR$3:$AY$3,0),FALSE),1)</f>
        <v>9.6</v>
      </c>
      <c r="BV76" s="2">
        <f>IF(VLOOKUP(BJ76,坦克个性化设定!$B$18:$BC$48,MATCH("装弹类型",坦克个性化设定!$B$18:$BC$18,0),FALSE)="弹夹换弹",0,ROUND(VLOOKUP($BJ76,$AI$3:$AO$33,MATCH("换弹时间",$AI$3:$AO$3,0),FALSE)-$BL76/VLOOKUP(VLOOKUP($BJ76,坦克个性化设定!$B$18:$E$48,4,FALSE)&amp;$BK76,坦克属性分配比例,MATCH("升星次数",坦克属性分配比例标头,0),FALSE)*VLOOKUP($BJ76,$AR$3:$AY$33,MATCH("换弹时间",$AR$3:$AY$3,0),FALSE),2))</f>
        <v>0</v>
      </c>
      <c r="BW76" s="2">
        <f>IF(VLOOKUP(BJ76,坦克个性化设定!$B$18:$BC$48,MATCH("装弹类型",坦克个性化设定!$B$18:$BC$18,0),FALSE)="弹夹换弹",ROUND(VLOOKUP($BJ76,$AI$3:$AO$33,MATCH("换弹时间",$AI$3:$AO$3,0),FALSE)-$BL76/VLOOKUP(VLOOKUP($BJ76,坦克个性化设定!$B$18:$E$48,4,FALSE)&amp;$BK76,坦克属性分配比例,MATCH("升星次数",坦克属性分配比例标头,0),FALSE)*VLOOKUP($BJ76,$AR$3:$AY$33,MATCH("换弹时间",$AR$3:$AY$3,0),FALSE),1),0)</f>
        <v>6.3</v>
      </c>
      <c r="BX76" s="2">
        <f>ROUND(VLOOKUP($BJ76,$AI$3:$AO$33,MATCH(BX$3,$AI$3:$AO$3,0),FALSE)+$BL76/VLOOKUP(VLOOKUP($BJ76,坦克个性化设定!$B$18:$E$48,4,FALSE)&amp;$BK76,坦克属性分配比例,MATCH("升星次数",坦克属性分配比例标头,0),FALSE)*VLOOKUP($BJ76,$AR$3:$AY$33,MATCH(BX$3,$AR$3:$AY$3,0),FALSE),2)</f>
        <v>0.8</v>
      </c>
      <c r="BY76" s="2">
        <f>ROUND(VLOOKUP($BJ76,$AI$3:$AO$33,MATCH(BY$3,$AI$3:$AO$3,0),FALSE)-$BL76/VLOOKUP(VLOOKUP($BJ76,坦克个性化设定!$B$18:$E$48,4,FALSE)&amp;$BK76,坦克属性分配比例,MATCH("升星次数",坦克属性分配比例标头,0),FALSE)*VLOOKUP($BJ76,$AR$3:$AY$33,MATCH(BY$3,$AR$3:$AY$3,0),FALSE),2)</f>
        <v>0.43</v>
      </c>
    </row>
    <row r="77" spans="27:77" x14ac:dyDescent="0.3">
      <c r="BH77" s="2" t="str">
        <f t="shared" si="24"/>
        <v>M-419</v>
      </c>
      <c r="BI77" s="2">
        <f>IF(BL76&gt;=VLOOKUP(VLOOKUP(BJ76,坦克个性化设定!$B$18:$E$48,4,FALSE)&amp;BK76,坦克属性分配比例,MATCH("升星次数",坦克属性分配比例标头,0),FALSE),BI76+1,BI76)</f>
        <v>8</v>
      </c>
      <c r="BJ77" s="2" t="str">
        <f t="shared" si="25"/>
        <v>M-41</v>
      </c>
      <c r="BK77" s="29" t="str">
        <f>VLOOKUP(BJ77,坦克个性化细分!$I$3:$J$33,2,FALSE)</f>
        <v>中</v>
      </c>
      <c r="BL77" s="2">
        <f t="shared" si="23"/>
        <v>9</v>
      </c>
      <c r="BM77" s="103">
        <f ca="1">ROUND(VLOOKUP($BJ77&amp;"初始",$S$3:$AE$63,MATCH(BM$3,$S$3:$AE$3,0),FALSE)+((VLOOKUP($BJ77&amp;"最终",$S$3:$AE$63,MATCH(BM$3,$S$3:$AE$3,0),FALSE)*坦克个性化细分!$C$9-VLOOKUP($BJ77&amp;"初始",$S$3:$AE$63,MATCH(BM$3,$S$3:$AE$3,0),FALSE))-(VLOOKUP($BJ77&amp;"最终",$S$3:$AE$63,MATCH(BM$3,$S$3:$AE$3,0),FALSE)-VLOOKUP($BJ77&amp;"初始",$S$3:$AE$63,MATCH(BM$3,$S$3:$AE$3,0),FALSE))*VLOOKUP(VLOOKUP($BJ77,坦克个性化设定!$B$18:$E$48,4,FALSE)&amp;$BK77,坦克属性分配比例,MATCH("部件比例",坦克属性分配比例标头,0),FALSE))*$BL77/VLOOKUP(VLOOKUP($BJ77,坦克个性化设定!$B$18:$E$48,4,FALSE)&amp;$BK77,坦克属性分配比例,MATCH("升星次数",坦克属性分配比例标头,0),FALSE),0)</f>
        <v>2288</v>
      </c>
      <c r="BN77" s="103">
        <f ca="1">ROUND(VLOOKUP($BJ77&amp;"初始",$S$3:$AE$63,MATCH(BN$3,$S$3:$AE$3,0),FALSE)+(VLOOKUP($BJ77&amp;"最终",$S$3:$AE$63,MATCH(BN$3,$S$3:$AE$3,0),FALSE)-VLOOKUP($BJ77&amp;"初始",$S$3:$AE$63,MATCH(BN$3,$S$3:$AE$3,0),FALSE))*$BL77/VLOOKUP(VLOOKUP($BJ77,坦克个性化设定!$B$18:$E$48,4,FALSE)&amp;$BK77,坦克属性分配比例,MATCH("升星次数",坦克属性分配比例标头,0),FALSE)*VLOOKUP(VLOOKUP($BJ77,坦克个性化设定!$B$18:$E$48,4,FALSE)&amp;$BK77,坦克属性分配比例,MATCH("升星比例",坦克属性分配比例标头,0),FALSE),0)</f>
        <v>135</v>
      </c>
      <c r="BO77" s="103">
        <f ca="1">ROUND(VLOOKUP($BJ77&amp;"初始",$S$3:$AE$63,MATCH(BO$3,$S$3:$AE$3,0),FALSE)+(VLOOKUP($BJ77&amp;"最终",$S$3:$AE$63,MATCH(BO$3,$S$3:$AE$3,0),FALSE)-VLOOKUP($BJ77&amp;"初始",$S$3:$AE$63,MATCH(BO$3,$S$3:$AE$3,0),FALSE))*$BL77/VLOOKUP(VLOOKUP($BJ77,坦克个性化设定!$B$18:$E$48,4,FALSE)&amp;$BK77,坦克属性分配比例,MATCH("升星次数",坦克属性分配比例标头,0),FALSE)*(VLOOKUP(VLOOKUP($BJ77,坦克个性化设定!$B$18:$E$48,4,FALSE)&amp;$BK77,坦克属性分配比例,MATCH("升星比例",坦克属性分配比例标头,0),FALSE)+VLOOKUP(VLOOKUP($BJ77,坦克个性化设定!$B$18:$E$48,4,FALSE)&amp;$BK77,坦克属性分配比例,MATCH("部件比例",坦克属性分配比例标头,0),FALSE)*$C$3),0)</f>
        <v>869</v>
      </c>
      <c r="BP77" s="103">
        <f ca="1">ROUND(VLOOKUP($BJ77&amp;"初始",$S$3:$AE$63,MATCH(BP$3,$S$3:$AE$3,0),FALSE)+(VLOOKUP($BJ77&amp;"最终",$S$3:$AE$63,MATCH(BP$3,$S$3:$AE$3,0),FALSE)-VLOOKUP($BJ77&amp;"初始",$S$3:$AE$63,MATCH(BP$3,$S$3:$AE$3,0),FALSE))*$BL77/VLOOKUP(VLOOKUP($BJ77,坦克个性化设定!$B$18:$E$48,4,FALSE)&amp;$BK77,坦克属性分配比例,MATCH("升星次数",坦克属性分配比例标头,0),FALSE)*(VLOOKUP(VLOOKUP($BJ77,坦克个性化设定!$B$18:$E$48,4,FALSE)&amp;$BK77,坦克属性分配比例,MATCH("升星比例",坦克属性分配比例标头,0),FALSE)+VLOOKUP(VLOOKUP($BJ77,坦克个性化设定!$B$18:$E$48,4,FALSE)&amp;$BK77,坦克属性分配比例,MATCH("部件比例",坦克属性分配比例标头,0),FALSE)*$C$3),0)</f>
        <v>608</v>
      </c>
      <c r="BQ77" s="103">
        <f ca="1">ROUND(VLOOKUP($BJ77&amp;"初始",$S$3:$AE$63,MATCH(BQ$3,$S$3:$AE$3,0),FALSE)+(VLOOKUP($BJ77&amp;"最终",$S$3:$AE$63,MATCH(BQ$3,$S$3:$AE$3,0),FALSE)-VLOOKUP($BJ77&amp;"初始",$S$3:$AE$63,MATCH(BQ$3,$S$3:$AE$3,0),FALSE))*$BL77/VLOOKUP(VLOOKUP($BJ77,坦克个性化设定!$B$18:$E$48,4,FALSE)&amp;$BK77,坦克属性分配比例,MATCH("升星次数",坦克属性分配比例标头,0),FALSE)*VLOOKUP(VLOOKUP($BJ77,坦克个性化设定!$B$18:$E$48,4,FALSE)&amp;$BK77,坦克属性分配比例,MATCH("升星比例",坦克属性分配比例标头,0),FALSE),0)</f>
        <v>730</v>
      </c>
      <c r="BR77" s="2">
        <f ca="1">ROUND(VLOOKUP($BJ77&amp;"初始",$S$3:$AE$63,MATCH(BR$3,$S$3:$AE$3,0),FALSE)+(VLOOKUP($BJ77&amp;"最终",$S$3:$AE$63,MATCH(BR$3,$S$3:$AE$3,0),FALSE)-VLOOKUP($BJ77&amp;"初始",$S$3:$AE$63,MATCH(BR$3,$S$3:$AE$3,0),FALSE))*$BL77/VLOOKUP(VLOOKUP($BJ77,坦克个性化设定!$B$18:$E$48,4,FALSE)&amp;$BK77,坦克属性分配比例,MATCH("升星次数",坦克属性分配比例标头,0),FALSE),0)</f>
        <v>223</v>
      </c>
      <c r="BS77" s="2">
        <f>ROUND(VLOOKUP($BJ77,$AI$3:$AO$33,MATCH(BS$3,$AI$3:$AO$3,0),FALSE)+$BL77/VLOOKUP(VLOOKUP($BJ77,坦克个性化设定!$B$18:$E$48,4,FALSE)&amp;$BK77,坦克属性分配比例,MATCH("升星次数",坦克属性分配比例标头,0),FALSE)*VLOOKUP($BJ77,$AR$3:$AY$33,MATCH(BS$3,$AR$3:$AY$3,0),FALSE),1)</f>
        <v>46.4</v>
      </c>
      <c r="BT77" s="2">
        <f>ROUND(VLOOKUP($BJ77,$AI$3:$AO$33,MATCH(BT$3,$AI$3:$AO$3,0),FALSE)+$BL77/VLOOKUP(VLOOKUP($BJ77,坦克个性化设定!$B$18:$E$48,4,FALSE)&amp;$BK77,坦克属性分配比例,MATCH("升星次数",坦克属性分配比例标头,0),FALSE)*VLOOKUP($BJ77,$AR$3:$AY$33,MATCH(BT$3,$AR$3:$AY$3,0),FALSE),1)</f>
        <v>69.099999999999994</v>
      </c>
      <c r="BU77" s="2">
        <f>ROUND(VLOOKUP($BJ77,$AI$3:$AO$33,MATCH(BU$3,$AI$3:$AO$3,0),FALSE)+$BL77/VLOOKUP(VLOOKUP($BJ77,坦克个性化设定!$B$18:$E$48,4,FALSE)&amp;$BK77,坦克属性分配比例,MATCH("升星次数",坦克属性分配比例标头,0),FALSE)*VLOOKUP($BJ77,$AR$3:$AY$33,MATCH(BU$3,$AR$3:$AY$3,0),FALSE),1)</f>
        <v>9.6</v>
      </c>
      <c r="BV77" s="2">
        <f>IF(VLOOKUP(BJ77,坦克个性化设定!$B$18:$BC$48,MATCH("装弹类型",坦克个性化设定!$B$18:$BC$18,0),FALSE)="弹夹换弹",0,ROUND(VLOOKUP($BJ77,$AI$3:$AO$33,MATCH("换弹时间",$AI$3:$AO$3,0),FALSE)-$BL77/VLOOKUP(VLOOKUP($BJ77,坦克个性化设定!$B$18:$E$48,4,FALSE)&amp;$BK77,坦克属性分配比例,MATCH("升星次数",坦克属性分配比例标头,0),FALSE)*VLOOKUP($BJ77,$AR$3:$AY$33,MATCH("换弹时间",$AR$3:$AY$3,0),FALSE),2))</f>
        <v>0</v>
      </c>
      <c r="BW77" s="2">
        <f>IF(VLOOKUP(BJ77,坦克个性化设定!$B$18:$BC$48,MATCH("装弹类型",坦克个性化设定!$B$18:$BC$18,0),FALSE)="弹夹换弹",ROUND(VLOOKUP($BJ77,$AI$3:$AO$33,MATCH("换弹时间",$AI$3:$AO$3,0),FALSE)-$BL77/VLOOKUP(VLOOKUP($BJ77,坦克个性化设定!$B$18:$E$48,4,FALSE)&amp;$BK77,坦克属性分配比例,MATCH("升星次数",坦克属性分配比例标头,0),FALSE)*VLOOKUP($BJ77,$AR$3:$AY$33,MATCH("换弹时间",$AR$3:$AY$3,0),FALSE),1),0)</f>
        <v>6.1</v>
      </c>
      <c r="BX77" s="2">
        <f>ROUND(VLOOKUP($BJ77,$AI$3:$AO$33,MATCH(BX$3,$AI$3:$AO$3,0),FALSE)+$BL77/VLOOKUP(VLOOKUP($BJ77,坦克个性化设定!$B$18:$E$48,4,FALSE)&amp;$BK77,坦克属性分配比例,MATCH("升星次数",坦克属性分配比例标头,0),FALSE)*VLOOKUP($BJ77,$AR$3:$AY$33,MATCH(BX$3,$AR$3:$AY$3,0),FALSE),2)</f>
        <v>0.8</v>
      </c>
      <c r="BY77" s="2">
        <f>ROUND(VLOOKUP($BJ77,$AI$3:$AO$33,MATCH(BY$3,$AI$3:$AO$3,0),FALSE)-$BL77/VLOOKUP(VLOOKUP($BJ77,坦克个性化设定!$B$18:$E$48,4,FALSE)&amp;$BK77,坦克属性分配比例,MATCH("升星次数",坦克属性分配比例标头,0),FALSE)*VLOOKUP($BJ77,$AR$3:$AY$33,MATCH(BY$3,$AR$3:$AY$3,0),FALSE),2)</f>
        <v>0.42</v>
      </c>
    </row>
    <row r="78" spans="27:77" x14ac:dyDescent="0.3">
      <c r="BH78" s="2" t="str">
        <f t="shared" si="24"/>
        <v>M-4110</v>
      </c>
      <c r="BI78" s="2">
        <f>IF(BL77&gt;=VLOOKUP(VLOOKUP(BJ77,坦克个性化设定!$B$18:$E$48,4,FALSE)&amp;BK77,坦克属性分配比例,MATCH("升星次数",坦克属性分配比例标头,0),FALSE),BI77+1,BI77)</f>
        <v>8</v>
      </c>
      <c r="BJ78" s="2" t="str">
        <f t="shared" si="25"/>
        <v>M-41</v>
      </c>
      <c r="BK78" s="29" t="str">
        <f>VLOOKUP(BJ78,坦克个性化细分!$I$3:$J$33,2,FALSE)</f>
        <v>中</v>
      </c>
      <c r="BL78" s="2">
        <f t="shared" si="23"/>
        <v>10</v>
      </c>
      <c r="BM78" s="103">
        <f ca="1">ROUND(VLOOKUP($BJ78&amp;"初始",$S$3:$AE$63,MATCH(BM$3,$S$3:$AE$3,0),FALSE)+((VLOOKUP($BJ78&amp;"最终",$S$3:$AE$63,MATCH(BM$3,$S$3:$AE$3,0),FALSE)*坦克个性化细分!$C$9-VLOOKUP($BJ78&amp;"初始",$S$3:$AE$63,MATCH(BM$3,$S$3:$AE$3,0),FALSE))-(VLOOKUP($BJ78&amp;"最终",$S$3:$AE$63,MATCH(BM$3,$S$3:$AE$3,0),FALSE)-VLOOKUP($BJ78&amp;"初始",$S$3:$AE$63,MATCH(BM$3,$S$3:$AE$3,0),FALSE))*VLOOKUP(VLOOKUP($BJ78,坦克个性化设定!$B$18:$E$48,4,FALSE)&amp;$BK78,坦克属性分配比例,MATCH("部件比例",坦克属性分配比例标头,0),FALSE))*$BL78/VLOOKUP(VLOOKUP($BJ78,坦克个性化设定!$B$18:$E$48,4,FALSE)&amp;$BK78,坦克属性分配比例,MATCH("升星次数",坦克属性分配比例标头,0),FALSE),0)</f>
        <v>2361</v>
      </c>
      <c r="BN78" s="103">
        <f ca="1">ROUND(VLOOKUP($BJ78&amp;"初始",$S$3:$AE$63,MATCH(BN$3,$S$3:$AE$3,0),FALSE)+(VLOOKUP($BJ78&amp;"最终",$S$3:$AE$63,MATCH(BN$3,$S$3:$AE$3,0),FALSE)-VLOOKUP($BJ78&amp;"初始",$S$3:$AE$63,MATCH(BN$3,$S$3:$AE$3,0),FALSE))*$BL78/VLOOKUP(VLOOKUP($BJ78,坦克个性化设定!$B$18:$E$48,4,FALSE)&amp;$BK78,坦克属性分配比例,MATCH("升星次数",坦克属性分配比例标头,0),FALSE)*VLOOKUP(VLOOKUP($BJ78,坦克个性化设定!$B$18:$E$48,4,FALSE)&amp;$BK78,坦克属性分配比例,MATCH("升星比例",坦克属性分配比例标头,0),FALSE),0)</f>
        <v>137</v>
      </c>
      <c r="BO78" s="103">
        <f ca="1">ROUND(VLOOKUP($BJ78&amp;"初始",$S$3:$AE$63,MATCH(BO$3,$S$3:$AE$3,0),FALSE)+(VLOOKUP($BJ78&amp;"最终",$S$3:$AE$63,MATCH(BO$3,$S$3:$AE$3,0),FALSE)-VLOOKUP($BJ78&amp;"初始",$S$3:$AE$63,MATCH(BO$3,$S$3:$AE$3,0),FALSE))*$BL78/VLOOKUP(VLOOKUP($BJ78,坦克个性化设定!$B$18:$E$48,4,FALSE)&amp;$BK78,坦克属性分配比例,MATCH("升星次数",坦克属性分配比例标头,0),FALSE)*(VLOOKUP(VLOOKUP($BJ78,坦克个性化设定!$B$18:$E$48,4,FALSE)&amp;$BK78,坦克属性分配比例,MATCH("升星比例",坦克属性分配比例标头,0),FALSE)+VLOOKUP(VLOOKUP($BJ78,坦克个性化设定!$B$18:$E$48,4,FALSE)&amp;$BK78,坦克属性分配比例,MATCH("部件比例",坦克属性分配比例标头,0),FALSE)*$C$3),0)</f>
        <v>893</v>
      </c>
      <c r="BP78" s="103">
        <f ca="1">ROUND(VLOOKUP($BJ78&amp;"初始",$S$3:$AE$63,MATCH(BP$3,$S$3:$AE$3,0),FALSE)+(VLOOKUP($BJ78&amp;"最终",$S$3:$AE$63,MATCH(BP$3,$S$3:$AE$3,0),FALSE)-VLOOKUP($BJ78&amp;"初始",$S$3:$AE$63,MATCH(BP$3,$S$3:$AE$3,0),FALSE))*$BL78/VLOOKUP(VLOOKUP($BJ78,坦克个性化设定!$B$18:$E$48,4,FALSE)&amp;$BK78,坦克属性分配比例,MATCH("升星次数",坦克属性分配比例标头,0),FALSE)*(VLOOKUP(VLOOKUP($BJ78,坦克个性化设定!$B$18:$E$48,4,FALSE)&amp;$BK78,坦克属性分配比例,MATCH("升星比例",坦克属性分配比例标头,0),FALSE)+VLOOKUP(VLOOKUP($BJ78,坦克个性化设定!$B$18:$E$48,4,FALSE)&amp;$BK78,坦克属性分配比例,MATCH("部件比例",坦克属性分配比例标头,0),FALSE)*$C$3),0)</f>
        <v>625</v>
      </c>
      <c r="BQ78" s="103">
        <f ca="1">ROUND(VLOOKUP($BJ78&amp;"初始",$S$3:$AE$63,MATCH(BQ$3,$S$3:$AE$3,0),FALSE)+(VLOOKUP($BJ78&amp;"最终",$S$3:$AE$63,MATCH(BQ$3,$S$3:$AE$3,0),FALSE)-VLOOKUP($BJ78&amp;"初始",$S$3:$AE$63,MATCH(BQ$3,$S$3:$AE$3,0),FALSE))*$BL78/VLOOKUP(VLOOKUP($BJ78,坦克个性化设定!$B$18:$E$48,4,FALSE)&amp;$BK78,坦克属性分配比例,MATCH("升星次数",坦克属性分配比例标头,0),FALSE)*VLOOKUP(VLOOKUP($BJ78,坦克个性化设定!$B$18:$E$48,4,FALSE)&amp;$BK78,坦克属性分配比例,MATCH("升星比例",坦克属性分配比例标头,0),FALSE),0)</f>
        <v>744</v>
      </c>
      <c r="BR78" s="2">
        <f ca="1">ROUND(VLOOKUP($BJ78&amp;"初始",$S$3:$AE$63,MATCH(BR$3,$S$3:$AE$3,0),FALSE)+(VLOOKUP($BJ78&amp;"最终",$S$3:$AE$63,MATCH(BR$3,$S$3:$AE$3,0),FALSE)-VLOOKUP($BJ78&amp;"初始",$S$3:$AE$63,MATCH(BR$3,$S$3:$AE$3,0),FALSE))*$BL78/VLOOKUP(VLOOKUP($BJ78,坦克个性化设定!$B$18:$E$48,4,FALSE)&amp;$BK78,坦克属性分配比例,MATCH("升星次数",坦克属性分配比例标头,0),FALSE),0)</f>
        <v>230</v>
      </c>
      <c r="BS78" s="2">
        <f>ROUND(VLOOKUP($BJ78,$AI$3:$AO$33,MATCH(BS$3,$AI$3:$AO$3,0),FALSE)+$BL78/VLOOKUP(VLOOKUP($BJ78,坦克个性化设定!$B$18:$E$48,4,FALSE)&amp;$BK78,坦克属性分配比例,MATCH("升星次数",坦克属性分配比例标头,0),FALSE)*VLOOKUP($BJ78,$AR$3:$AY$33,MATCH(BS$3,$AR$3:$AY$3,0),FALSE),1)</f>
        <v>47.3</v>
      </c>
      <c r="BT78" s="2">
        <f>ROUND(VLOOKUP($BJ78,$AI$3:$AO$33,MATCH(BT$3,$AI$3:$AO$3,0),FALSE)+$BL78/VLOOKUP(VLOOKUP($BJ78,坦克个性化设定!$B$18:$E$48,4,FALSE)&amp;$BK78,坦克属性分配比例,MATCH("升星次数",坦克属性分配比例标头,0),FALSE)*VLOOKUP($BJ78,$AR$3:$AY$33,MATCH(BT$3,$AR$3:$AY$3,0),FALSE),1)</f>
        <v>70.400000000000006</v>
      </c>
      <c r="BU78" s="2">
        <f>ROUND(VLOOKUP($BJ78,$AI$3:$AO$33,MATCH(BU$3,$AI$3:$AO$3,0),FALSE)+$BL78/VLOOKUP(VLOOKUP($BJ78,坦克个性化设定!$B$18:$E$48,4,FALSE)&amp;$BK78,坦克属性分配比例,MATCH("升星次数",坦克属性分配比例标头,0),FALSE)*VLOOKUP($BJ78,$AR$3:$AY$33,MATCH(BU$3,$AR$3:$AY$3,0),FALSE),1)</f>
        <v>9.6</v>
      </c>
      <c r="BV78" s="2">
        <f>IF(VLOOKUP(BJ78,坦克个性化设定!$B$18:$BC$48,MATCH("装弹类型",坦克个性化设定!$B$18:$BC$18,0),FALSE)="弹夹换弹",0,ROUND(VLOOKUP($BJ78,$AI$3:$AO$33,MATCH("换弹时间",$AI$3:$AO$3,0),FALSE)-$BL78/VLOOKUP(VLOOKUP($BJ78,坦克个性化设定!$B$18:$E$48,4,FALSE)&amp;$BK78,坦克属性分配比例,MATCH("升星次数",坦克属性分配比例标头,0),FALSE)*VLOOKUP($BJ78,$AR$3:$AY$33,MATCH("换弹时间",$AR$3:$AY$3,0),FALSE),2))</f>
        <v>0</v>
      </c>
      <c r="BW78" s="2">
        <f>IF(VLOOKUP(BJ78,坦克个性化设定!$B$18:$BC$48,MATCH("装弹类型",坦克个性化设定!$B$18:$BC$18,0),FALSE)="弹夹换弹",ROUND(VLOOKUP($BJ78,$AI$3:$AO$33,MATCH("换弹时间",$AI$3:$AO$3,0),FALSE)-$BL78/VLOOKUP(VLOOKUP($BJ78,坦克个性化设定!$B$18:$E$48,4,FALSE)&amp;$BK78,坦克属性分配比例,MATCH("升星次数",坦克属性分配比例标头,0),FALSE)*VLOOKUP($BJ78,$AR$3:$AY$33,MATCH("换弹时间",$AR$3:$AY$3,0),FALSE),1),0)</f>
        <v>5.8</v>
      </c>
      <c r="BX78" s="2">
        <f>ROUND(VLOOKUP($BJ78,$AI$3:$AO$33,MATCH(BX$3,$AI$3:$AO$3,0),FALSE)+$BL78/VLOOKUP(VLOOKUP($BJ78,坦克个性化设定!$B$18:$E$48,4,FALSE)&amp;$BK78,坦克属性分配比例,MATCH("升星次数",坦克属性分配比例标头,0),FALSE)*VLOOKUP($BJ78,$AR$3:$AY$33,MATCH(BX$3,$AR$3:$AY$3,0),FALSE),2)</f>
        <v>0.8</v>
      </c>
      <c r="BY78" s="2">
        <f>ROUND(VLOOKUP($BJ78,$AI$3:$AO$33,MATCH(BY$3,$AI$3:$AO$3,0),FALSE)-$BL78/VLOOKUP(VLOOKUP($BJ78,坦克个性化设定!$B$18:$E$48,4,FALSE)&amp;$BK78,坦克属性分配比例,MATCH("升星次数",坦克属性分配比例标头,0),FALSE)*VLOOKUP($BJ78,$AR$3:$AY$33,MATCH(BY$3,$AR$3:$AY$3,0),FALSE),2)</f>
        <v>0.42</v>
      </c>
    </row>
    <row r="79" spans="27:77" x14ac:dyDescent="0.3">
      <c r="BH79" s="2" t="str">
        <f t="shared" si="24"/>
        <v>M-4111</v>
      </c>
      <c r="BI79" s="2">
        <f>IF(BL78&gt;=VLOOKUP(VLOOKUP(BJ78,坦克个性化设定!$B$18:$E$48,4,FALSE)&amp;BK78,坦克属性分配比例,MATCH("升星次数",坦克属性分配比例标头,0),FALSE),BI78+1,BI78)</f>
        <v>8</v>
      </c>
      <c r="BJ79" s="2" t="str">
        <f t="shared" si="25"/>
        <v>M-41</v>
      </c>
      <c r="BK79" s="29" t="str">
        <f>VLOOKUP(BJ79,坦克个性化细分!$I$3:$J$33,2,FALSE)</f>
        <v>中</v>
      </c>
      <c r="BL79" s="2">
        <f t="shared" si="23"/>
        <v>11</v>
      </c>
      <c r="BM79" s="103">
        <f ca="1">ROUND(VLOOKUP($BJ79&amp;"初始",$S$3:$AE$63,MATCH(BM$3,$S$3:$AE$3,0),FALSE)+((VLOOKUP($BJ79&amp;"最终",$S$3:$AE$63,MATCH(BM$3,$S$3:$AE$3,0),FALSE)*坦克个性化细分!$C$9-VLOOKUP($BJ79&amp;"初始",$S$3:$AE$63,MATCH(BM$3,$S$3:$AE$3,0),FALSE))-(VLOOKUP($BJ79&amp;"最终",$S$3:$AE$63,MATCH(BM$3,$S$3:$AE$3,0),FALSE)-VLOOKUP($BJ79&amp;"初始",$S$3:$AE$63,MATCH(BM$3,$S$3:$AE$3,0),FALSE))*VLOOKUP(VLOOKUP($BJ79,坦克个性化设定!$B$18:$E$48,4,FALSE)&amp;$BK79,坦克属性分配比例,MATCH("部件比例",坦克属性分配比例标头,0),FALSE))*$BL79/VLOOKUP(VLOOKUP($BJ79,坦克个性化设定!$B$18:$E$48,4,FALSE)&amp;$BK79,坦克属性分配比例,MATCH("升星次数",坦克属性分配比例标头,0),FALSE),0)</f>
        <v>2433</v>
      </c>
      <c r="BN79" s="103">
        <f ca="1">ROUND(VLOOKUP($BJ79&amp;"初始",$S$3:$AE$63,MATCH(BN$3,$S$3:$AE$3,0),FALSE)+(VLOOKUP($BJ79&amp;"最终",$S$3:$AE$63,MATCH(BN$3,$S$3:$AE$3,0),FALSE)-VLOOKUP($BJ79&amp;"初始",$S$3:$AE$63,MATCH(BN$3,$S$3:$AE$3,0),FALSE))*$BL79/VLOOKUP(VLOOKUP($BJ79,坦克个性化设定!$B$18:$E$48,4,FALSE)&amp;$BK79,坦克属性分配比例,MATCH("升星次数",坦克属性分配比例标头,0),FALSE)*VLOOKUP(VLOOKUP($BJ79,坦克个性化设定!$B$18:$E$48,4,FALSE)&amp;$BK79,坦克属性分配比例,MATCH("升星比例",坦克属性分配比例标头,0),FALSE),0)</f>
        <v>140</v>
      </c>
      <c r="BO79" s="103">
        <f ca="1">ROUND(VLOOKUP($BJ79&amp;"初始",$S$3:$AE$63,MATCH(BO$3,$S$3:$AE$3,0),FALSE)+(VLOOKUP($BJ79&amp;"最终",$S$3:$AE$63,MATCH(BO$3,$S$3:$AE$3,0),FALSE)-VLOOKUP($BJ79&amp;"初始",$S$3:$AE$63,MATCH(BO$3,$S$3:$AE$3,0),FALSE))*$BL79/VLOOKUP(VLOOKUP($BJ79,坦克个性化设定!$B$18:$E$48,4,FALSE)&amp;$BK79,坦克属性分配比例,MATCH("升星次数",坦克属性分配比例标头,0),FALSE)*(VLOOKUP(VLOOKUP($BJ79,坦克个性化设定!$B$18:$E$48,4,FALSE)&amp;$BK79,坦克属性分配比例,MATCH("升星比例",坦克属性分配比例标头,0),FALSE)+VLOOKUP(VLOOKUP($BJ79,坦克个性化设定!$B$18:$E$48,4,FALSE)&amp;$BK79,坦克属性分配比例,MATCH("部件比例",坦克属性分配比例标头,0),FALSE)*$C$3),0)</f>
        <v>916</v>
      </c>
      <c r="BP79" s="103">
        <f ca="1">ROUND(VLOOKUP($BJ79&amp;"初始",$S$3:$AE$63,MATCH(BP$3,$S$3:$AE$3,0),FALSE)+(VLOOKUP($BJ79&amp;"最终",$S$3:$AE$63,MATCH(BP$3,$S$3:$AE$3,0),FALSE)-VLOOKUP($BJ79&amp;"初始",$S$3:$AE$63,MATCH(BP$3,$S$3:$AE$3,0),FALSE))*$BL79/VLOOKUP(VLOOKUP($BJ79,坦克个性化设定!$B$18:$E$48,4,FALSE)&amp;$BK79,坦克属性分配比例,MATCH("升星次数",坦克属性分配比例标头,0),FALSE)*(VLOOKUP(VLOOKUP($BJ79,坦克个性化设定!$B$18:$E$48,4,FALSE)&amp;$BK79,坦克属性分配比例,MATCH("升星比例",坦克属性分配比例标头,0),FALSE)+VLOOKUP(VLOOKUP($BJ79,坦克个性化设定!$B$18:$E$48,4,FALSE)&amp;$BK79,坦克属性分配比例,MATCH("部件比例",坦克属性分配比例标头,0),FALSE)*$C$3),0)</f>
        <v>641</v>
      </c>
      <c r="BQ79" s="103">
        <f ca="1">ROUND(VLOOKUP($BJ79&amp;"初始",$S$3:$AE$63,MATCH(BQ$3,$S$3:$AE$3,0),FALSE)+(VLOOKUP($BJ79&amp;"最终",$S$3:$AE$63,MATCH(BQ$3,$S$3:$AE$3,0),FALSE)-VLOOKUP($BJ79&amp;"初始",$S$3:$AE$63,MATCH(BQ$3,$S$3:$AE$3,0),FALSE))*$BL79/VLOOKUP(VLOOKUP($BJ79,坦克个性化设定!$B$18:$E$48,4,FALSE)&amp;$BK79,坦克属性分配比例,MATCH("升星次数",坦克属性分配比例标头,0),FALSE)*VLOOKUP(VLOOKUP($BJ79,坦克个性化设定!$B$18:$E$48,4,FALSE)&amp;$BK79,坦克属性分配比例,MATCH("升星比例",坦克属性分配比例标头,0),FALSE),0)</f>
        <v>758</v>
      </c>
      <c r="BR79" s="2">
        <f ca="1">ROUND(VLOOKUP($BJ79&amp;"初始",$S$3:$AE$63,MATCH(BR$3,$S$3:$AE$3,0),FALSE)+(VLOOKUP($BJ79&amp;"最终",$S$3:$AE$63,MATCH(BR$3,$S$3:$AE$3,0),FALSE)-VLOOKUP($BJ79&amp;"初始",$S$3:$AE$63,MATCH(BR$3,$S$3:$AE$3,0),FALSE))*$BL79/VLOOKUP(VLOOKUP($BJ79,坦克个性化设定!$B$18:$E$48,4,FALSE)&amp;$BK79,坦克属性分配比例,MATCH("升星次数",坦克属性分配比例标头,0),FALSE),0)</f>
        <v>237</v>
      </c>
      <c r="BS79" s="2">
        <f>ROUND(VLOOKUP($BJ79,$AI$3:$AO$33,MATCH(BS$3,$AI$3:$AO$3,0),FALSE)+$BL79/VLOOKUP(VLOOKUP($BJ79,坦克个性化设定!$B$18:$E$48,4,FALSE)&amp;$BK79,坦克属性分配比例,MATCH("升星次数",坦克属性分配比例标头,0),FALSE)*VLOOKUP($BJ79,$AR$3:$AY$33,MATCH(BS$3,$AR$3:$AY$3,0),FALSE),1)</f>
        <v>48.1</v>
      </c>
      <c r="BT79" s="2">
        <f>ROUND(VLOOKUP($BJ79,$AI$3:$AO$33,MATCH(BT$3,$AI$3:$AO$3,0),FALSE)+$BL79/VLOOKUP(VLOOKUP($BJ79,坦克个性化设定!$B$18:$E$48,4,FALSE)&amp;$BK79,坦克属性分配比例,MATCH("升星次数",坦克属性分配比例标头,0),FALSE)*VLOOKUP($BJ79,$AR$3:$AY$33,MATCH(BT$3,$AR$3:$AY$3,0),FALSE),1)</f>
        <v>71.8</v>
      </c>
      <c r="BU79" s="2">
        <f>ROUND(VLOOKUP($BJ79,$AI$3:$AO$33,MATCH(BU$3,$AI$3:$AO$3,0),FALSE)+$BL79/VLOOKUP(VLOOKUP($BJ79,坦克个性化设定!$B$18:$E$48,4,FALSE)&amp;$BK79,坦克属性分配比例,MATCH("升星次数",坦克属性分配比例标头,0),FALSE)*VLOOKUP($BJ79,$AR$3:$AY$33,MATCH(BU$3,$AR$3:$AY$3,0),FALSE),1)</f>
        <v>9.6</v>
      </c>
      <c r="BV79" s="2">
        <f>IF(VLOOKUP(BJ79,坦克个性化设定!$B$18:$BC$48,MATCH("装弹类型",坦克个性化设定!$B$18:$BC$18,0),FALSE)="弹夹换弹",0,ROUND(VLOOKUP($BJ79,$AI$3:$AO$33,MATCH("换弹时间",$AI$3:$AO$3,0),FALSE)-$BL79/VLOOKUP(VLOOKUP($BJ79,坦克个性化设定!$B$18:$E$48,4,FALSE)&amp;$BK79,坦克属性分配比例,MATCH("升星次数",坦克属性分配比例标头,0),FALSE)*VLOOKUP($BJ79,$AR$3:$AY$33,MATCH("换弹时间",$AR$3:$AY$3,0),FALSE),2))</f>
        <v>0</v>
      </c>
      <c r="BW79" s="2">
        <f>IF(VLOOKUP(BJ79,坦克个性化设定!$B$18:$BC$48,MATCH("装弹类型",坦克个性化设定!$B$18:$BC$18,0),FALSE)="弹夹换弹",ROUND(VLOOKUP($BJ79,$AI$3:$AO$33,MATCH("换弹时间",$AI$3:$AO$3,0),FALSE)-$BL79/VLOOKUP(VLOOKUP($BJ79,坦克个性化设定!$B$18:$E$48,4,FALSE)&amp;$BK79,坦克属性分配比例,MATCH("升星次数",坦克属性分配比例标头,0),FALSE)*VLOOKUP($BJ79,$AR$3:$AY$33,MATCH("换弹时间",$AR$3:$AY$3,0),FALSE),1),0)</f>
        <v>5.5</v>
      </c>
      <c r="BX79" s="2">
        <f>ROUND(VLOOKUP($BJ79,$AI$3:$AO$33,MATCH(BX$3,$AI$3:$AO$3,0),FALSE)+$BL79/VLOOKUP(VLOOKUP($BJ79,坦克个性化设定!$B$18:$E$48,4,FALSE)&amp;$BK79,坦克属性分配比例,MATCH("升星次数",坦克属性分配比例标头,0),FALSE)*VLOOKUP($BJ79,$AR$3:$AY$33,MATCH(BX$3,$AR$3:$AY$3,0),FALSE),2)</f>
        <v>0.8</v>
      </c>
      <c r="BY79" s="2">
        <f>ROUND(VLOOKUP($BJ79,$AI$3:$AO$33,MATCH(BY$3,$AI$3:$AO$3,0),FALSE)-$BL79/VLOOKUP(VLOOKUP($BJ79,坦克个性化设定!$B$18:$E$48,4,FALSE)&amp;$BK79,坦克属性分配比例,MATCH("升星次数",坦克属性分配比例标头,0),FALSE)*VLOOKUP($BJ79,$AR$3:$AY$33,MATCH(BY$3,$AR$3:$AY$3,0),FALSE),2)</f>
        <v>0.41</v>
      </c>
    </row>
    <row r="80" spans="27:77" x14ac:dyDescent="0.3">
      <c r="BH80" s="2" t="str">
        <f t="shared" si="24"/>
        <v>BMP-30</v>
      </c>
      <c r="BI80" s="2">
        <f>IF(BL79&gt;=VLOOKUP(VLOOKUP(BJ79,坦克个性化设定!$B$18:$E$48,4,FALSE)&amp;BK79,坦克属性分配比例,MATCH("升星次数",坦克属性分配比例标头,0),FALSE),BI79+1,BI79)</f>
        <v>9</v>
      </c>
      <c r="BJ80" s="2" t="str">
        <f t="shared" si="25"/>
        <v>BMP-3</v>
      </c>
      <c r="BK80" s="29" t="str">
        <f>VLOOKUP(BJ80,坦克个性化细分!$I$3:$J$33,2,FALSE)</f>
        <v>高</v>
      </c>
      <c r="BL80" s="2">
        <f t="shared" si="23"/>
        <v>0</v>
      </c>
      <c r="BM80" s="103">
        <f ca="1">ROUND(VLOOKUP($BJ80&amp;"初始",$S$3:$AE$63,MATCH(BM$3,$S$3:$AE$3,0),FALSE)+((VLOOKUP($BJ80&amp;"最终",$S$3:$AE$63,MATCH(BM$3,$S$3:$AE$3,0),FALSE)*坦克个性化细分!$C$9-VLOOKUP($BJ80&amp;"初始",$S$3:$AE$63,MATCH(BM$3,$S$3:$AE$3,0),FALSE))-(VLOOKUP($BJ80&amp;"最终",$S$3:$AE$63,MATCH(BM$3,$S$3:$AE$3,0),FALSE)-VLOOKUP($BJ80&amp;"初始",$S$3:$AE$63,MATCH(BM$3,$S$3:$AE$3,0),FALSE))*VLOOKUP(VLOOKUP($BJ80,坦克个性化设定!$B$18:$E$48,4,FALSE)&amp;$BK80,坦克属性分配比例,MATCH("部件比例",坦克属性分配比例标头,0),FALSE))*$BL80/VLOOKUP(VLOOKUP($BJ80,坦克个性化设定!$B$18:$E$48,4,FALSE)&amp;$BK80,坦克属性分配比例,MATCH("升星次数",坦克属性分配比例标头,0),FALSE),0)</f>
        <v>1787</v>
      </c>
      <c r="BN80" s="103">
        <f ca="1">ROUND(VLOOKUP($BJ80&amp;"初始",$S$3:$AE$63,MATCH(BN$3,$S$3:$AE$3,0),FALSE)+(VLOOKUP($BJ80&amp;"最终",$S$3:$AE$63,MATCH(BN$3,$S$3:$AE$3,0),FALSE)-VLOOKUP($BJ80&amp;"初始",$S$3:$AE$63,MATCH(BN$3,$S$3:$AE$3,0),FALSE))*$BL80/VLOOKUP(VLOOKUP($BJ80,坦克个性化设定!$B$18:$E$48,4,FALSE)&amp;$BK80,坦克属性分配比例,MATCH("升星次数",坦克属性分配比例标头,0),FALSE)*VLOOKUP(VLOOKUP($BJ80,坦克个性化设定!$B$18:$E$48,4,FALSE)&amp;$BK80,坦克属性分配比例,MATCH("升星比例",坦克属性分配比例标头,0),FALSE),0)</f>
        <v>107</v>
      </c>
      <c r="BO80" s="103">
        <f ca="1">ROUND(VLOOKUP($BJ80&amp;"初始",$S$3:$AE$63,MATCH(BO$3,$S$3:$AE$3,0),FALSE)+(VLOOKUP($BJ80&amp;"最终",$S$3:$AE$63,MATCH(BO$3,$S$3:$AE$3,0),FALSE)-VLOOKUP($BJ80&amp;"初始",$S$3:$AE$63,MATCH(BO$3,$S$3:$AE$3,0),FALSE))*$BL80/VLOOKUP(VLOOKUP($BJ80,坦克个性化设定!$B$18:$E$48,4,FALSE)&amp;$BK80,坦克属性分配比例,MATCH("升星次数",坦克属性分配比例标头,0),FALSE)*(VLOOKUP(VLOOKUP($BJ80,坦克个性化设定!$B$18:$E$48,4,FALSE)&amp;$BK80,坦克属性分配比例,MATCH("升星比例",坦克属性分配比例标头,0),FALSE)+VLOOKUP(VLOOKUP($BJ80,坦克个性化设定!$B$18:$E$48,4,FALSE)&amp;$BK80,坦克属性分配比例,MATCH("部件比例",坦克属性分配比例标头,0),FALSE)*$C$3),0)</f>
        <v>657</v>
      </c>
      <c r="BP80" s="103">
        <f ca="1">ROUND(VLOOKUP($BJ80&amp;"初始",$S$3:$AE$63,MATCH(BP$3,$S$3:$AE$3,0),FALSE)+(VLOOKUP($BJ80&amp;"最终",$S$3:$AE$63,MATCH(BP$3,$S$3:$AE$3,0),FALSE)-VLOOKUP($BJ80&amp;"初始",$S$3:$AE$63,MATCH(BP$3,$S$3:$AE$3,0),FALSE))*$BL80/VLOOKUP(VLOOKUP($BJ80,坦克个性化设定!$B$18:$E$48,4,FALSE)&amp;$BK80,坦克属性分配比例,MATCH("升星次数",坦克属性分配比例标头,0),FALSE)*(VLOOKUP(VLOOKUP($BJ80,坦克个性化设定!$B$18:$E$48,4,FALSE)&amp;$BK80,坦克属性分配比例,MATCH("升星比例",坦克属性分配比例标头,0),FALSE)+VLOOKUP(VLOOKUP($BJ80,坦克个性化设定!$B$18:$E$48,4,FALSE)&amp;$BK80,坦克属性分配比例,MATCH("部件比例",坦克属性分配比例标头,0),FALSE)*$C$3),0)</f>
        <v>460</v>
      </c>
      <c r="BQ80" s="103">
        <f ca="1">ROUND(VLOOKUP($BJ80&amp;"初始",$S$3:$AE$63,MATCH(BQ$3,$S$3:$AE$3,0),FALSE)+(VLOOKUP($BJ80&amp;"最终",$S$3:$AE$63,MATCH(BQ$3,$S$3:$AE$3,0),FALSE)-VLOOKUP($BJ80&amp;"初始",$S$3:$AE$63,MATCH(BQ$3,$S$3:$AE$3,0),FALSE))*$BL80/VLOOKUP(VLOOKUP($BJ80,坦克个性化设定!$B$18:$E$48,4,FALSE)&amp;$BK80,坦克属性分配比例,MATCH("升星次数",坦克属性分配比例标头,0),FALSE)*VLOOKUP(VLOOKUP($BJ80,坦克个性化设定!$B$18:$E$48,4,FALSE)&amp;$BK80,坦克属性分配比例,MATCH("升星比例",坦克属性分配比例标头,0),FALSE),0)</f>
        <v>600</v>
      </c>
      <c r="BR80" s="2">
        <f ca="1">ROUND(VLOOKUP($BJ80&amp;"初始",$S$3:$AE$63,MATCH(BR$3,$S$3:$AE$3,0),FALSE)+(VLOOKUP($BJ80&amp;"最终",$S$3:$AE$63,MATCH(BR$3,$S$3:$AE$3,0),FALSE)-VLOOKUP($BJ80&amp;"初始",$S$3:$AE$63,MATCH(BR$3,$S$3:$AE$3,0),FALSE))*$BL80/VLOOKUP(VLOOKUP($BJ80,坦克个性化设定!$B$18:$E$48,4,FALSE)&amp;$BK80,坦克属性分配比例,MATCH("升星次数",坦克属性分配比例标头,0),FALSE),0)</f>
        <v>160</v>
      </c>
      <c r="BS80" s="2">
        <f>ROUND(VLOOKUP($BJ80,$AI$3:$AO$33,MATCH(BS$3,$AI$3:$AO$3,0),FALSE)+$BL80/VLOOKUP(VLOOKUP($BJ80,坦克个性化设定!$B$18:$E$48,4,FALSE)&amp;$BK80,坦克属性分配比例,MATCH("升星次数",坦克属性分配比例标头,0),FALSE)*VLOOKUP($BJ80,$AR$3:$AY$33,MATCH(BS$3,$AR$3:$AY$3,0),FALSE),1)</f>
        <v>44.5</v>
      </c>
      <c r="BT80" s="2">
        <f>ROUND(VLOOKUP($BJ80,$AI$3:$AO$33,MATCH(BT$3,$AI$3:$AO$3,0),FALSE)+$BL80/VLOOKUP(VLOOKUP($BJ80,坦克个性化设定!$B$18:$E$48,4,FALSE)&amp;$BK80,坦克属性分配比例,MATCH("升星次数",坦克属性分配比例标头,0),FALSE)*VLOOKUP($BJ80,$AR$3:$AY$33,MATCH(BT$3,$AR$3:$AY$3,0),FALSE),1)</f>
        <v>52.5</v>
      </c>
      <c r="BU80" s="2">
        <f>ROUND(VLOOKUP($BJ80,$AI$3:$AO$33,MATCH(BU$3,$AI$3:$AO$3,0),FALSE)+$BL80/VLOOKUP(VLOOKUP($BJ80,坦克个性化设定!$B$18:$E$48,4,FALSE)&amp;$BK80,坦克属性分配比例,MATCH("升星次数",坦克属性分配比例标头,0),FALSE)*VLOOKUP($BJ80,$AR$3:$AY$33,MATCH(BU$3,$AR$3:$AY$3,0),FALSE),1)</f>
        <v>10.5</v>
      </c>
      <c r="BV80" s="2">
        <f>IF(VLOOKUP(BJ80,坦克个性化设定!$B$18:$BC$48,MATCH("装弹类型",坦克个性化设定!$B$18:$BC$18,0),FALSE)="弹夹换弹",0,ROUND(VLOOKUP($BJ80,$AI$3:$AO$33,MATCH("换弹时间",$AI$3:$AO$3,0),FALSE)-$BL80/VLOOKUP(VLOOKUP($BJ80,坦克个性化设定!$B$18:$E$48,4,FALSE)&amp;$BK80,坦克属性分配比例,MATCH("升星次数",坦克属性分配比例标头,0),FALSE)*VLOOKUP($BJ80,$AR$3:$AY$33,MATCH("换弹时间",$AR$3:$AY$3,0),FALSE),2))</f>
        <v>0</v>
      </c>
      <c r="BW80" s="2">
        <f>IF(VLOOKUP(BJ80,坦克个性化设定!$B$18:$BC$48,MATCH("装弹类型",坦克个性化设定!$B$18:$BC$18,0),FALSE)="弹夹换弹",ROUND(VLOOKUP($BJ80,$AI$3:$AO$33,MATCH("换弹时间",$AI$3:$AO$3,0),FALSE)-$BL80/VLOOKUP(VLOOKUP($BJ80,坦克个性化设定!$B$18:$E$48,4,FALSE)&amp;$BK80,坦克属性分配比例,MATCH("升星次数",坦克属性分配比例标头,0),FALSE)*VLOOKUP($BJ80,$AR$3:$AY$33,MATCH("换弹时间",$AR$3:$AY$3,0),FALSE),1),0)</f>
        <v>4.2</v>
      </c>
      <c r="BX80" s="2">
        <f>ROUND(VLOOKUP($BJ80,$AI$3:$AO$33,MATCH(BX$3,$AI$3:$AO$3,0),FALSE)+$BL80/VLOOKUP(VLOOKUP($BJ80,坦克个性化设定!$B$18:$E$48,4,FALSE)&amp;$BK80,坦克属性分配比例,MATCH("升星次数",坦克属性分配比例标头,0),FALSE)*VLOOKUP($BJ80,$AR$3:$AY$33,MATCH(BX$3,$AR$3:$AY$3,0),FALSE),2)</f>
        <v>0.8</v>
      </c>
      <c r="BY80" s="2">
        <f>ROUND(VLOOKUP($BJ80,$AI$3:$AO$33,MATCH(BY$3,$AI$3:$AO$3,0),FALSE)-$BL80/VLOOKUP(VLOOKUP($BJ80,坦克个性化设定!$B$18:$E$48,4,FALSE)&amp;$BK80,坦克属性分配比例,MATCH("升星次数",坦克属性分配比例标头,0),FALSE)*VLOOKUP($BJ80,$AR$3:$AY$33,MATCH(BY$3,$AR$3:$AY$3,0),FALSE),2)</f>
        <v>0.57999999999999996</v>
      </c>
    </row>
    <row r="81" spans="60:77" x14ac:dyDescent="0.3">
      <c r="BH81" s="2" t="str">
        <f t="shared" si="24"/>
        <v>BMP-31</v>
      </c>
      <c r="BI81" s="2">
        <f>IF(BL80&gt;=VLOOKUP(VLOOKUP(BJ80,坦克个性化设定!$B$18:$E$48,4,FALSE)&amp;BK80,坦克属性分配比例,MATCH("升星次数",坦克属性分配比例标头,0),FALSE),BI80+1,BI80)</f>
        <v>9</v>
      </c>
      <c r="BJ81" s="2" t="str">
        <f t="shared" si="25"/>
        <v>BMP-3</v>
      </c>
      <c r="BK81" s="29" t="str">
        <f>VLOOKUP(BJ81,坦克个性化细分!$I$3:$J$33,2,FALSE)</f>
        <v>高</v>
      </c>
      <c r="BL81" s="2">
        <f t="shared" si="23"/>
        <v>1</v>
      </c>
      <c r="BM81" s="103">
        <f ca="1">ROUND(VLOOKUP($BJ81&amp;"初始",$S$3:$AE$63,MATCH(BM$3,$S$3:$AE$3,0),FALSE)+((VLOOKUP($BJ81&amp;"最终",$S$3:$AE$63,MATCH(BM$3,$S$3:$AE$3,0),FALSE)*坦克个性化细分!$C$9-VLOOKUP($BJ81&amp;"初始",$S$3:$AE$63,MATCH(BM$3,$S$3:$AE$3,0),FALSE))-(VLOOKUP($BJ81&amp;"最终",$S$3:$AE$63,MATCH(BM$3,$S$3:$AE$3,0),FALSE)-VLOOKUP($BJ81&amp;"初始",$S$3:$AE$63,MATCH(BM$3,$S$3:$AE$3,0),FALSE))*VLOOKUP(VLOOKUP($BJ81,坦克个性化设定!$B$18:$E$48,4,FALSE)&amp;$BK81,坦克属性分配比例,MATCH("部件比例",坦克属性分配比例标头,0),FALSE))*$BL81/VLOOKUP(VLOOKUP($BJ81,坦克个性化设定!$B$18:$E$48,4,FALSE)&amp;$BK81,坦克属性分配比例,MATCH("升星次数",坦克属性分配比例标头,0),FALSE),0)</f>
        <v>1866</v>
      </c>
      <c r="BN81" s="103">
        <f ca="1">ROUND(VLOOKUP($BJ81&amp;"初始",$S$3:$AE$63,MATCH(BN$3,$S$3:$AE$3,0),FALSE)+(VLOOKUP($BJ81&amp;"最终",$S$3:$AE$63,MATCH(BN$3,$S$3:$AE$3,0),FALSE)-VLOOKUP($BJ81&amp;"初始",$S$3:$AE$63,MATCH(BN$3,$S$3:$AE$3,0),FALSE))*$BL81/VLOOKUP(VLOOKUP($BJ81,坦克个性化设定!$B$18:$E$48,4,FALSE)&amp;$BK81,坦克属性分配比例,MATCH("升星次数",坦克属性分配比例标头,0),FALSE)*VLOOKUP(VLOOKUP($BJ81,坦克个性化设定!$B$18:$E$48,4,FALSE)&amp;$BK81,坦克属性分配比例,MATCH("升星比例",坦克属性分配比例标头,0),FALSE),0)</f>
        <v>109</v>
      </c>
      <c r="BO81" s="103">
        <f ca="1">ROUND(VLOOKUP($BJ81&amp;"初始",$S$3:$AE$63,MATCH(BO$3,$S$3:$AE$3,0),FALSE)+(VLOOKUP($BJ81&amp;"最终",$S$3:$AE$63,MATCH(BO$3,$S$3:$AE$3,0),FALSE)-VLOOKUP($BJ81&amp;"初始",$S$3:$AE$63,MATCH(BO$3,$S$3:$AE$3,0),FALSE))*$BL81/VLOOKUP(VLOOKUP($BJ81,坦克个性化设定!$B$18:$E$48,4,FALSE)&amp;$BK81,坦克属性分配比例,MATCH("升星次数",坦克属性分配比例标头,0),FALSE)*(VLOOKUP(VLOOKUP($BJ81,坦克个性化设定!$B$18:$E$48,4,FALSE)&amp;$BK81,坦克属性分配比例,MATCH("升星比例",坦克属性分配比例标头,0),FALSE)+VLOOKUP(VLOOKUP($BJ81,坦克个性化设定!$B$18:$E$48,4,FALSE)&amp;$BK81,坦克属性分配比例,MATCH("部件比例",坦克属性分配比例标头,0),FALSE)*$C$3),0)</f>
        <v>682</v>
      </c>
      <c r="BP81" s="103">
        <f ca="1">ROUND(VLOOKUP($BJ81&amp;"初始",$S$3:$AE$63,MATCH(BP$3,$S$3:$AE$3,0),FALSE)+(VLOOKUP($BJ81&amp;"最终",$S$3:$AE$63,MATCH(BP$3,$S$3:$AE$3,0),FALSE)-VLOOKUP($BJ81&amp;"初始",$S$3:$AE$63,MATCH(BP$3,$S$3:$AE$3,0),FALSE))*$BL81/VLOOKUP(VLOOKUP($BJ81,坦克个性化设定!$B$18:$E$48,4,FALSE)&amp;$BK81,坦克属性分配比例,MATCH("升星次数",坦克属性分配比例标头,0),FALSE)*(VLOOKUP(VLOOKUP($BJ81,坦克个性化设定!$B$18:$E$48,4,FALSE)&amp;$BK81,坦克属性分配比例,MATCH("升星比例",坦克属性分配比例标头,0),FALSE)+VLOOKUP(VLOOKUP($BJ81,坦克个性化设定!$B$18:$E$48,4,FALSE)&amp;$BK81,坦克属性分配比例,MATCH("部件比例",坦克属性分配比例标头,0),FALSE)*$C$3),0)</f>
        <v>478</v>
      </c>
      <c r="BQ81" s="103">
        <f ca="1">ROUND(VLOOKUP($BJ81&amp;"初始",$S$3:$AE$63,MATCH(BQ$3,$S$3:$AE$3,0),FALSE)+(VLOOKUP($BJ81&amp;"最终",$S$3:$AE$63,MATCH(BQ$3,$S$3:$AE$3,0),FALSE)-VLOOKUP($BJ81&amp;"初始",$S$3:$AE$63,MATCH(BQ$3,$S$3:$AE$3,0),FALSE))*$BL81/VLOOKUP(VLOOKUP($BJ81,坦克个性化设定!$B$18:$E$48,4,FALSE)&amp;$BK81,坦克属性分配比例,MATCH("升星次数",坦克属性分配比例标头,0),FALSE)*VLOOKUP(VLOOKUP($BJ81,坦克个性化设定!$B$18:$E$48,4,FALSE)&amp;$BK81,坦克属性分配比例,MATCH("升星比例",坦克属性分配比例标头,0),FALSE),0)</f>
        <v>615</v>
      </c>
      <c r="BR81" s="2">
        <f ca="1">ROUND(VLOOKUP($BJ81&amp;"初始",$S$3:$AE$63,MATCH(BR$3,$S$3:$AE$3,0),FALSE)+(VLOOKUP($BJ81&amp;"最终",$S$3:$AE$63,MATCH(BR$3,$S$3:$AE$3,0),FALSE)-VLOOKUP($BJ81&amp;"初始",$S$3:$AE$63,MATCH(BR$3,$S$3:$AE$3,0),FALSE))*$BL81/VLOOKUP(VLOOKUP($BJ81,坦克个性化设定!$B$18:$E$48,4,FALSE)&amp;$BK81,坦克属性分配比例,MATCH("升星次数",坦克属性分配比例标头,0),FALSE),0)</f>
        <v>167</v>
      </c>
      <c r="BS81" s="2">
        <f>ROUND(VLOOKUP($BJ81,$AI$3:$AO$33,MATCH(BS$3,$AI$3:$AO$3,0),FALSE)+$BL81/VLOOKUP(VLOOKUP($BJ81,坦克个性化设定!$B$18:$E$48,4,FALSE)&amp;$BK81,坦克属性分配比例,MATCH("升星次数",坦克属性分配比例标头,0),FALSE)*VLOOKUP($BJ81,$AR$3:$AY$33,MATCH(BS$3,$AR$3:$AY$3,0),FALSE),1)</f>
        <v>45.5</v>
      </c>
      <c r="BT81" s="2">
        <f>ROUND(VLOOKUP($BJ81,$AI$3:$AO$33,MATCH(BT$3,$AI$3:$AO$3,0),FALSE)+$BL81/VLOOKUP(VLOOKUP($BJ81,坦克个性化设定!$B$18:$E$48,4,FALSE)&amp;$BK81,坦克属性分配比例,MATCH("升星次数",坦克属性分配比例标头,0),FALSE)*VLOOKUP($BJ81,$AR$3:$AY$33,MATCH(BT$3,$AR$3:$AY$3,0),FALSE),1)</f>
        <v>53.7</v>
      </c>
      <c r="BU81" s="2">
        <f>ROUND(VLOOKUP($BJ81,$AI$3:$AO$33,MATCH(BU$3,$AI$3:$AO$3,0),FALSE)+$BL81/VLOOKUP(VLOOKUP($BJ81,坦克个性化设定!$B$18:$E$48,4,FALSE)&amp;$BK81,坦克属性分配比例,MATCH("升星次数",坦克属性分配比例标头,0),FALSE)*VLOOKUP($BJ81,$AR$3:$AY$33,MATCH(BU$3,$AR$3:$AY$3,0),FALSE),1)</f>
        <v>10.5</v>
      </c>
      <c r="BV81" s="2">
        <f>IF(VLOOKUP(BJ81,坦克个性化设定!$B$18:$BC$48,MATCH("装弹类型",坦克个性化设定!$B$18:$BC$18,0),FALSE)="弹夹换弹",0,ROUND(VLOOKUP($BJ81,$AI$3:$AO$33,MATCH("换弹时间",$AI$3:$AO$3,0),FALSE)-$BL81/VLOOKUP(VLOOKUP($BJ81,坦克个性化设定!$B$18:$E$48,4,FALSE)&amp;$BK81,坦克属性分配比例,MATCH("升星次数",坦克属性分配比例标头,0),FALSE)*VLOOKUP($BJ81,$AR$3:$AY$33,MATCH("换弹时间",$AR$3:$AY$3,0),FALSE),2))</f>
        <v>0</v>
      </c>
      <c r="BW81" s="2">
        <f>IF(VLOOKUP(BJ81,坦克个性化设定!$B$18:$BC$48,MATCH("装弹类型",坦克个性化设定!$B$18:$BC$18,0),FALSE)="弹夹换弹",ROUND(VLOOKUP($BJ81,$AI$3:$AO$33,MATCH("换弹时间",$AI$3:$AO$3,0),FALSE)-$BL81/VLOOKUP(VLOOKUP($BJ81,坦克个性化设定!$B$18:$E$48,4,FALSE)&amp;$BK81,坦克属性分配比例,MATCH("升星次数",坦克属性分配比例标头,0),FALSE)*VLOOKUP($BJ81,$AR$3:$AY$33,MATCH("换弹时间",$AR$3:$AY$3,0),FALSE),1),0)</f>
        <v>4.0999999999999996</v>
      </c>
      <c r="BX81" s="2">
        <f>ROUND(VLOOKUP($BJ81,$AI$3:$AO$33,MATCH(BX$3,$AI$3:$AO$3,0),FALSE)+$BL81/VLOOKUP(VLOOKUP($BJ81,坦克个性化设定!$B$18:$E$48,4,FALSE)&amp;$BK81,坦克属性分配比例,MATCH("升星次数",坦克属性分配比例标头,0),FALSE)*VLOOKUP($BJ81,$AR$3:$AY$33,MATCH(BX$3,$AR$3:$AY$3,0),FALSE),2)</f>
        <v>0.8</v>
      </c>
      <c r="BY81" s="2">
        <f>ROUND(VLOOKUP($BJ81,$AI$3:$AO$33,MATCH(BY$3,$AI$3:$AO$3,0),FALSE)-$BL81/VLOOKUP(VLOOKUP($BJ81,坦克个性化设定!$B$18:$E$48,4,FALSE)&amp;$BK81,坦克属性分配比例,MATCH("升星次数",坦克属性分配比例标头,0),FALSE)*VLOOKUP($BJ81,$AR$3:$AY$33,MATCH(BY$3,$AR$3:$AY$3,0),FALSE),2)</f>
        <v>0.56999999999999995</v>
      </c>
    </row>
    <row r="82" spans="60:77" x14ac:dyDescent="0.3">
      <c r="BH82" s="2" t="str">
        <f t="shared" si="24"/>
        <v>BMP-32</v>
      </c>
      <c r="BI82" s="2">
        <f>IF(BL81&gt;=VLOOKUP(VLOOKUP(BJ81,坦克个性化设定!$B$18:$E$48,4,FALSE)&amp;BK81,坦克属性分配比例,MATCH("升星次数",坦克属性分配比例标头,0),FALSE),BI81+1,BI81)</f>
        <v>9</v>
      </c>
      <c r="BJ82" s="2" t="str">
        <f t="shared" si="25"/>
        <v>BMP-3</v>
      </c>
      <c r="BK82" s="29" t="str">
        <f>VLOOKUP(BJ82,坦克个性化细分!$I$3:$J$33,2,FALSE)</f>
        <v>高</v>
      </c>
      <c r="BL82" s="2">
        <f t="shared" si="23"/>
        <v>2</v>
      </c>
      <c r="BM82" s="103">
        <f ca="1">ROUND(VLOOKUP($BJ82&amp;"初始",$S$3:$AE$63,MATCH(BM$3,$S$3:$AE$3,0),FALSE)+((VLOOKUP($BJ82&amp;"最终",$S$3:$AE$63,MATCH(BM$3,$S$3:$AE$3,0),FALSE)*坦克个性化细分!$C$9-VLOOKUP($BJ82&amp;"初始",$S$3:$AE$63,MATCH(BM$3,$S$3:$AE$3,0),FALSE))-(VLOOKUP($BJ82&amp;"最终",$S$3:$AE$63,MATCH(BM$3,$S$3:$AE$3,0),FALSE)-VLOOKUP($BJ82&amp;"初始",$S$3:$AE$63,MATCH(BM$3,$S$3:$AE$3,0),FALSE))*VLOOKUP(VLOOKUP($BJ82,坦克个性化设定!$B$18:$E$48,4,FALSE)&amp;$BK82,坦克属性分配比例,MATCH("部件比例",坦克属性分配比例标头,0),FALSE))*$BL82/VLOOKUP(VLOOKUP($BJ82,坦克个性化设定!$B$18:$E$48,4,FALSE)&amp;$BK82,坦克属性分配比例,MATCH("升星次数",坦克属性分配比例标头,0),FALSE),0)</f>
        <v>1945</v>
      </c>
      <c r="BN82" s="103">
        <f ca="1">ROUND(VLOOKUP($BJ82&amp;"初始",$S$3:$AE$63,MATCH(BN$3,$S$3:$AE$3,0),FALSE)+(VLOOKUP($BJ82&amp;"最终",$S$3:$AE$63,MATCH(BN$3,$S$3:$AE$3,0),FALSE)-VLOOKUP($BJ82&amp;"初始",$S$3:$AE$63,MATCH(BN$3,$S$3:$AE$3,0),FALSE))*$BL82/VLOOKUP(VLOOKUP($BJ82,坦克个性化设定!$B$18:$E$48,4,FALSE)&amp;$BK82,坦克属性分配比例,MATCH("升星次数",坦克属性分配比例标头,0),FALSE)*VLOOKUP(VLOOKUP($BJ82,坦克个性化设定!$B$18:$E$48,4,FALSE)&amp;$BK82,坦克属性分配比例,MATCH("升星比例",坦克属性分配比例标头,0),FALSE),0)</f>
        <v>112</v>
      </c>
      <c r="BO82" s="103">
        <f ca="1">ROUND(VLOOKUP($BJ82&amp;"初始",$S$3:$AE$63,MATCH(BO$3,$S$3:$AE$3,0),FALSE)+(VLOOKUP($BJ82&amp;"最终",$S$3:$AE$63,MATCH(BO$3,$S$3:$AE$3,0),FALSE)-VLOOKUP($BJ82&amp;"初始",$S$3:$AE$63,MATCH(BO$3,$S$3:$AE$3,0),FALSE))*$BL82/VLOOKUP(VLOOKUP($BJ82,坦克个性化设定!$B$18:$E$48,4,FALSE)&amp;$BK82,坦克属性分配比例,MATCH("升星次数",坦克属性分配比例标头,0),FALSE)*(VLOOKUP(VLOOKUP($BJ82,坦克个性化设定!$B$18:$E$48,4,FALSE)&amp;$BK82,坦克属性分配比例,MATCH("升星比例",坦克属性分配比例标头,0),FALSE)+VLOOKUP(VLOOKUP($BJ82,坦克个性化设定!$B$18:$E$48,4,FALSE)&amp;$BK82,坦克属性分配比例,MATCH("部件比例",坦克属性分配比例标头,0),FALSE)*$C$3),0)</f>
        <v>707</v>
      </c>
      <c r="BP82" s="103">
        <f ca="1">ROUND(VLOOKUP($BJ82&amp;"初始",$S$3:$AE$63,MATCH(BP$3,$S$3:$AE$3,0),FALSE)+(VLOOKUP($BJ82&amp;"最终",$S$3:$AE$63,MATCH(BP$3,$S$3:$AE$3,0),FALSE)-VLOOKUP($BJ82&amp;"初始",$S$3:$AE$63,MATCH(BP$3,$S$3:$AE$3,0),FALSE))*$BL82/VLOOKUP(VLOOKUP($BJ82,坦克个性化设定!$B$18:$E$48,4,FALSE)&amp;$BK82,坦克属性分配比例,MATCH("升星次数",坦克属性分配比例标头,0),FALSE)*(VLOOKUP(VLOOKUP($BJ82,坦克个性化设定!$B$18:$E$48,4,FALSE)&amp;$BK82,坦克属性分配比例,MATCH("升星比例",坦克属性分配比例标头,0),FALSE)+VLOOKUP(VLOOKUP($BJ82,坦克个性化设定!$B$18:$E$48,4,FALSE)&amp;$BK82,坦克属性分配比例,MATCH("部件比例",坦克属性分配比例标头,0),FALSE)*$C$3),0)</f>
        <v>495</v>
      </c>
      <c r="BQ82" s="103">
        <f ca="1">ROUND(VLOOKUP($BJ82&amp;"初始",$S$3:$AE$63,MATCH(BQ$3,$S$3:$AE$3,0),FALSE)+(VLOOKUP($BJ82&amp;"最终",$S$3:$AE$63,MATCH(BQ$3,$S$3:$AE$3,0),FALSE)-VLOOKUP($BJ82&amp;"初始",$S$3:$AE$63,MATCH(BQ$3,$S$3:$AE$3,0),FALSE))*$BL82/VLOOKUP(VLOOKUP($BJ82,坦克个性化设定!$B$18:$E$48,4,FALSE)&amp;$BK82,坦克属性分配比例,MATCH("升星次数",坦克属性分配比例标头,0),FALSE)*VLOOKUP(VLOOKUP($BJ82,坦克个性化设定!$B$18:$E$48,4,FALSE)&amp;$BK82,坦克属性分配比例,MATCH("升星比例",坦克属性分配比例标头,0),FALSE),0)</f>
        <v>631</v>
      </c>
      <c r="BR82" s="2">
        <f ca="1">ROUND(VLOOKUP($BJ82&amp;"初始",$S$3:$AE$63,MATCH(BR$3,$S$3:$AE$3,0),FALSE)+(VLOOKUP($BJ82&amp;"最终",$S$3:$AE$63,MATCH(BR$3,$S$3:$AE$3,0),FALSE)-VLOOKUP($BJ82&amp;"初始",$S$3:$AE$63,MATCH(BR$3,$S$3:$AE$3,0),FALSE))*$BL82/VLOOKUP(VLOOKUP($BJ82,坦克个性化设定!$B$18:$E$48,4,FALSE)&amp;$BK82,坦克属性分配比例,MATCH("升星次数",坦克属性分配比例标头,0),FALSE),0)</f>
        <v>175</v>
      </c>
      <c r="BS82" s="2">
        <f>ROUND(VLOOKUP($BJ82,$AI$3:$AO$33,MATCH(BS$3,$AI$3:$AO$3,0),FALSE)+$BL82/VLOOKUP(VLOOKUP($BJ82,坦克个性化设定!$B$18:$E$48,4,FALSE)&amp;$BK82,坦克属性分配比例,MATCH("升星次数",坦克属性分配比例标头,0),FALSE)*VLOOKUP($BJ82,$AR$3:$AY$33,MATCH(BS$3,$AR$3:$AY$3,0),FALSE),1)</f>
        <v>46.5</v>
      </c>
      <c r="BT82" s="2">
        <f>ROUND(VLOOKUP($BJ82,$AI$3:$AO$33,MATCH(BT$3,$AI$3:$AO$3,0),FALSE)+$BL82/VLOOKUP(VLOOKUP($BJ82,坦克个性化设定!$B$18:$E$48,4,FALSE)&amp;$BK82,坦克属性分配比例,MATCH("升星次数",坦克属性分配比例标头,0),FALSE)*VLOOKUP($BJ82,$AR$3:$AY$33,MATCH(BT$3,$AR$3:$AY$3,0),FALSE),1)</f>
        <v>54.9</v>
      </c>
      <c r="BU82" s="2">
        <f>ROUND(VLOOKUP($BJ82,$AI$3:$AO$33,MATCH(BU$3,$AI$3:$AO$3,0),FALSE)+$BL82/VLOOKUP(VLOOKUP($BJ82,坦克个性化设定!$B$18:$E$48,4,FALSE)&amp;$BK82,坦克属性分配比例,MATCH("升星次数",坦克属性分配比例标头,0),FALSE)*VLOOKUP($BJ82,$AR$3:$AY$33,MATCH(BU$3,$AR$3:$AY$3,0),FALSE),1)</f>
        <v>10.5</v>
      </c>
      <c r="BV82" s="2">
        <f>IF(VLOOKUP(BJ82,坦克个性化设定!$B$18:$BC$48,MATCH("装弹类型",坦克个性化设定!$B$18:$BC$18,0),FALSE)="弹夹换弹",0,ROUND(VLOOKUP($BJ82,$AI$3:$AO$33,MATCH("换弹时间",$AI$3:$AO$3,0),FALSE)-$BL82/VLOOKUP(VLOOKUP($BJ82,坦克个性化设定!$B$18:$E$48,4,FALSE)&amp;$BK82,坦克属性分配比例,MATCH("升星次数",坦克属性分配比例标头,0),FALSE)*VLOOKUP($BJ82,$AR$3:$AY$33,MATCH("换弹时间",$AR$3:$AY$3,0),FALSE),2))</f>
        <v>0</v>
      </c>
      <c r="BW82" s="2">
        <f>IF(VLOOKUP(BJ82,坦克个性化设定!$B$18:$BC$48,MATCH("装弹类型",坦克个性化设定!$B$18:$BC$18,0),FALSE)="弹夹换弹",ROUND(VLOOKUP($BJ82,$AI$3:$AO$33,MATCH("换弹时间",$AI$3:$AO$3,0),FALSE)-$BL82/VLOOKUP(VLOOKUP($BJ82,坦克个性化设定!$B$18:$E$48,4,FALSE)&amp;$BK82,坦克属性分配比例,MATCH("升星次数",坦克属性分配比例标头,0),FALSE)*VLOOKUP($BJ82,$AR$3:$AY$33,MATCH("换弹时间",$AR$3:$AY$3,0),FALSE),1),0)</f>
        <v>4</v>
      </c>
      <c r="BX82" s="2">
        <f>ROUND(VLOOKUP($BJ82,$AI$3:$AO$33,MATCH(BX$3,$AI$3:$AO$3,0),FALSE)+$BL82/VLOOKUP(VLOOKUP($BJ82,坦克个性化设定!$B$18:$E$48,4,FALSE)&amp;$BK82,坦克属性分配比例,MATCH("升星次数",坦克属性分配比例标头,0),FALSE)*VLOOKUP($BJ82,$AR$3:$AY$33,MATCH(BX$3,$AR$3:$AY$3,0),FALSE),2)</f>
        <v>0.8</v>
      </c>
      <c r="BY82" s="2">
        <f>ROUND(VLOOKUP($BJ82,$AI$3:$AO$33,MATCH(BY$3,$AI$3:$AO$3,0),FALSE)-$BL82/VLOOKUP(VLOOKUP($BJ82,坦克个性化设定!$B$18:$E$48,4,FALSE)&amp;$BK82,坦克属性分配比例,MATCH("升星次数",坦克属性分配比例标头,0),FALSE)*VLOOKUP($BJ82,$AR$3:$AY$33,MATCH(BY$3,$AR$3:$AY$3,0),FALSE),2)</f>
        <v>0.56000000000000005</v>
      </c>
    </row>
    <row r="83" spans="60:77" x14ac:dyDescent="0.3">
      <c r="BH83" s="2" t="str">
        <f t="shared" si="24"/>
        <v>BMP-33</v>
      </c>
      <c r="BI83" s="2">
        <f>IF(BL82&gt;=VLOOKUP(VLOOKUP(BJ82,坦克个性化设定!$B$18:$E$48,4,FALSE)&amp;BK82,坦克属性分配比例,MATCH("升星次数",坦克属性分配比例标头,0),FALSE),BI82+1,BI82)</f>
        <v>9</v>
      </c>
      <c r="BJ83" s="2" t="str">
        <f t="shared" si="25"/>
        <v>BMP-3</v>
      </c>
      <c r="BK83" s="29" t="str">
        <f>VLOOKUP(BJ83,坦克个性化细分!$I$3:$J$33,2,FALSE)</f>
        <v>高</v>
      </c>
      <c r="BL83" s="2">
        <f t="shared" si="23"/>
        <v>3</v>
      </c>
      <c r="BM83" s="103">
        <f ca="1">ROUND(VLOOKUP($BJ83&amp;"初始",$S$3:$AE$63,MATCH(BM$3,$S$3:$AE$3,0),FALSE)+((VLOOKUP($BJ83&amp;"最终",$S$3:$AE$63,MATCH(BM$3,$S$3:$AE$3,0),FALSE)*坦克个性化细分!$C$9-VLOOKUP($BJ83&amp;"初始",$S$3:$AE$63,MATCH(BM$3,$S$3:$AE$3,0),FALSE))-(VLOOKUP($BJ83&amp;"最终",$S$3:$AE$63,MATCH(BM$3,$S$3:$AE$3,0),FALSE)-VLOOKUP($BJ83&amp;"初始",$S$3:$AE$63,MATCH(BM$3,$S$3:$AE$3,0),FALSE))*VLOOKUP(VLOOKUP($BJ83,坦克个性化设定!$B$18:$E$48,4,FALSE)&amp;$BK83,坦克属性分配比例,MATCH("部件比例",坦克属性分配比例标头,0),FALSE))*$BL83/VLOOKUP(VLOOKUP($BJ83,坦克个性化设定!$B$18:$E$48,4,FALSE)&amp;$BK83,坦克属性分配比例,MATCH("升星次数",坦克属性分配比例标头,0),FALSE),0)</f>
        <v>2024</v>
      </c>
      <c r="BN83" s="103">
        <f ca="1">ROUND(VLOOKUP($BJ83&amp;"初始",$S$3:$AE$63,MATCH(BN$3,$S$3:$AE$3,0),FALSE)+(VLOOKUP($BJ83&amp;"最终",$S$3:$AE$63,MATCH(BN$3,$S$3:$AE$3,0),FALSE)-VLOOKUP($BJ83&amp;"初始",$S$3:$AE$63,MATCH(BN$3,$S$3:$AE$3,0),FALSE))*$BL83/VLOOKUP(VLOOKUP($BJ83,坦克个性化设定!$B$18:$E$48,4,FALSE)&amp;$BK83,坦克属性分配比例,MATCH("升星次数",坦克属性分配比例标头,0),FALSE)*VLOOKUP(VLOOKUP($BJ83,坦克个性化设定!$B$18:$E$48,4,FALSE)&amp;$BK83,坦克属性分配比例,MATCH("升星比例",坦克属性分配比例标头,0),FALSE),0)</f>
        <v>115</v>
      </c>
      <c r="BO83" s="103">
        <f ca="1">ROUND(VLOOKUP($BJ83&amp;"初始",$S$3:$AE$63,MATCH(BO$3,$S$3:$AE$3,0),FALSE)+(VLOOKUP($BJ83&amp;"最终",$S$3:$AE$63,MATCH(BO$3,$S$3:$AE$3,0),FALSE)-VLOOKUP($BJ83&amp;"初始",$S$3:$AE$63,MATCH(BO$3,$S$3:$AE$3,0),FALSE))*$BL83/VLOOKUP(VLOOKUP($BJ83,坦克个性化设定!$B$18:$E$48,4,FALSE)&amp;$BK83,坦克属性分配比例,MATCH("升星次数",坦克属性分配比例标头,0),FALSE)*(VLOOKUP(VLOOKUP($BJ83,坦克个性化设定!$B$18:$E$48,4,FALSE)&amp;$BK83,坦克属性分配比例,MATCH("升星比例",坦克属性分配比例标头,0),FALSE)+VLOOKUP(VLOOKUP($BJ83,坦克个性化设定!$B$18:$E$48,4,FALSE)&amp;$BK83,坦克属性分配比例,MATCH("部件比例",坦克属性分配比例标头,0),FALSE)*$C$3),0)</f>
        <v>732</v>
      </c>
      <c r="BP83" s="103">
        <f ca="1">ROUND(VLOOKUP($BJ83&amp;"初始",$S$3:$AE$63,MATCH(BP$3,$S$3:$AE$3,0),FALSE)+(VLOOKUP($BJ83&amp;"最终",$S$3:$AE$63,MATCH(BP$3,$S$3:$AE$3,0),FALSE)-VLOOKUP($BJ83&amp;"初始",$S$3:$AE$63,MATCH(BP$3,$S$3:$AE$3,0),FALSE))*$BL83/VLOOKUP(VLOOKUP($BJ83,坦克个性化设定!$B$18:$E$48,4,FALSE)&amp;$BK83,坦克属性分配比例,MATCH("升星次数",坦克属性分配比例标头,0),FALSE)*(VLOOKUP(VLOOKUP($BJ83,坦克个性化设定!$B$18:$E$48,4,FALSE)&amp;$BK83,坦克属性分配比例,MATCH("升星比例",坦克属性分配比例标头,0),FALSE)+VLOOKUP(VLOOKUP($BJ83,坦克个性化设定!$B$18:$E$48,4,FALSE)&amp;$BK83,坦克属性分配比例,MATCH("部件比例",坦克属性分配比例标头,0),FALSE)*$C$3),0)</f>
        <v>513</v>
      </c>
      <c r="BQ83" s="103">
        <f ca="1">ROUND(VLOOKUP($BJ83&amp;"初始",$S$3:$AE$63,MATCH(BQ$3,$S$3:$AE$3,0),FALSE)+(VLOOKUP($BJ83&amp;"最终",$S$3:$AE$63,MATCH(BQ$3,$S$3:$AE$3,0),FALSE)-VLOOKUP($BJ83&amp;"初始",$S$3:$AE$63,MATCH(BQ$3,$S$3:$AE$3,0),FALSE))*$BL83/VLOOKUP(VLOOKUP($BJ83,坦克个性化设定!$B$18:$E$48,4,FALSE)&amp;$BK83,坦克属性分配比例,MATCH("升星次数",坦克属性分配比例标头,0),FALSE)*VLOOKUP(VLOOKUP($BJ83,坦克个性化设定!$B$18:$E$48,4,FALSE)&amp;$BK83,坦克属性分配比例,MATCH("升星比例",坦克属性分配比例标头,0),FALSE),0)</f>
        <v>646</v>
      </c>
      <c r="BR83" s="2">
        <f ca="1">ROUND(VLOOKUP($BJ83&amp;"初始",$S$3:$AE$63,MATCH(BR$3,$S$3:$AE$3,0),FALSE)+(VLOOKUP($BJ83&amp;"最终",$S$3:$AE$63,MATCH(BR$3,$S$3:$AE$3,0),FALSE)-VLOOKUP($BJ83&amp;"初始",$S$3:$AE$63,MATCH(BR$3,$S$3:$AE$3,0),FALSE))*$BL83/VLOOKUP(VLOOKUP($BJ83,坦克个性化设定!$B$18:$E$48,4,FALSE)&amp;$BK83,坦克属性分配比例,MATCH("升星次数",坦克属性分配比例标头,0),FALSE),0)</f>
        <v>182</v>
      </c>
      <c r="BS83" s="2">
        <f>ROUND(VLOOKUP($BJ83,$AI$3:$AO$33,MATCH(BS$3,$AI$3:$AO$3,0),FALSE)+$BL83/VLOOKUP(VLOOKUP($BJ83,坦克个性化设定!$B$18:$E$48,4,FALSE)&amp;$BK83,坦克属性分配比例,MATCH("升星次数",坦克属性分配比例标头,0),FALSE)*VLOOKUP($BJ83,$AR$3:$AY$33,MATCH(BS$3,$AR$3:$AY$3,0),FALSE),1)</f>
        <v>47.5</v>
      </c>
      <c r="BT83" s="2">
        <f>ROUND(VLOOKUP($BJ83,$AI$3:$AO$33,MATCH(BT$3,$AI$3:$AO$3,0),FALSE)+$BL83/VLOOKUP(VLOOKUP($BJ83,坦克个性化设定!$B$18:$E$48,4,FALSE)&amp;$BK83,坦克属性分配比例,MATCH("升星次数",坦克属性分配比例标头,0),FALSE)*VLOOKUP($BJ83,$AR$3:$AY$33,MATCH(BT$3,$AR$3:$AY$3,0),FALSE),1)</f>
        <v>56.1</v>
      </c>
      <c r="BU83" s="2">
        <f>ROUND(VLOOKUP($BJ83,$AI$3:$AO$33,MATCH(BU$3,$AI$3:$AO$3,0),FALSE)+$BL83/VLOOKUP(VLOOKUP($BJ83,坦克个性化设定!$B$18:$E$48,4,FALSE)&amp;$BK83,坦克属性分配比例,MATCH("升星次数",坦克属性分配比例标头,0),FALSE)*VLOOKUP($BJ83,$AR$3:$AY$33,MATCH(BU$3,$AR$3:$AY$3,0),FALSE),1)</f>
        <v>10.5</v>
      </c>
      <c r="BV83" s="2">
        <f>IF(VLOOKUP(BJ83,坦克个性化设定!$B$18:$BC$48,MATCH("装弹类型",坦克个性化设定!$B$18:$BC$18,0),FALSE)="弹夹换弹",0,ROUND(VLOOKUP($BJ83,$AI$3:$AO$33,MATCH("换弹时间",$AI$3:$AO$3,0),FALSE)-$BL83/VLOOKUP(VLOOKUP($BJ83,坦克个性化设定!$B$18:$E$48,4,FALSE)&amp;$BK83,坦克属性分配比例,MATCH("升星次数",坦克属性分配比例标头,0),FALSE)*VLOOKUP($BJ83,$AR$3:$AY$33,MATCH("换弹时间",$AR$3:$AY$3,0),FALSE),2))</f>
        <v>0</v>
      </c>
      <c r="BW83" s="2">
        <f>IF(VLOOKUP(BJ83,坦克个性化设定!$B$18:$BC$48,MATCH("装弹类型",坦克个性化设定!$B$18:$BC$18,0),FALSE)="弹夹换弹",ROUND(VLOOKUP($BJ83,$AI$3:$AO$33,MATCH("换弹时间",$AI$3:$AO$3,0),FALSE)-$BL83/VLOOKUP(VLOOKUP($BJ83,坦克个性化设定!$B$18:$E$48,4,FALSE)&amp;$BK83,坦克属性分配比例,MATCH("升星次数",坦克属性分配比例标头,0),FALSE)*VLOOKUP($BJ83,$AR$3:$AY$33,MATCH("换弹时间",$AR$3:$AY$3,0),FALSE),1),0)</f>
        <v>3.9</v>
      </c>
      <c r="BX83" s="2">
        <f>ROUND(VLOOKUP($BJ83,$AI$3:$AO$33,MATCH(BX$3,$AI$3:$AO$3,0),FALSE)+$BL83/VLOOKUP(VLOOKUP($BJ83,坦克个性化设定!$B$18:$E$48,4,FALSE)&amp;$BK83,坦克属性分配比例,MATCH("升星次数",坦克属性分配比例标头,0),FALSE)*VLOOKUP($BJ83,$AR$3:$AY$33,MATCH(BX$3,$AR$3:$AY$3,0),FALSE),2)</f>
        <v>0.8</v>
      </c>
      <c r="BY83" s="2">
        <f>ROUND(VLOOKUP($BJ83,$AI$3:$AO$33,MATCH(BY$3,$AI$3:$AO$3,0),FALSE)-$BL83/VLOOKUP(VLOOKUP($BJ83,坦克个性化设定!$B$18:$E$48,4,FALSE)&amp;$BK83,坦克属性分配比例,MATCH("升星次数",坦克属性分配比例标头,0),FALSE)*VLOOKUP($BJ83,$AR$3:$AY$33,MATCH(BY$3,$AR$3:$AY$3,0),FALSE),2)</f>
        <v>0.55000000000000004</v>
      </c>
    </row>
    <row r="84" spans="60:77" x14ac:dyDescent="0.3">
      <c r="BH84" s="2" t="str">
        <f t="shared" si="24"/>
        <v>BMP-34</v>
      </c>
      <c r="BI84" s="2">
        <f>IF(BL83&gt;=VLOOKUP(VLOOKUP(BJ83,坦克个性化设定!$B$18:$E$48,4,FALSE)&amp;BK83,坦克属性分配比例,MATCH("升星次数",坦克属性分配比例标头,0),FALSE),BI83+1,BI83)</f>
        <v>9</v>
      </c>
      <c r="BJ84" s="2" t="str">
        <f t="shared" si="25"/>
        <v>BMP-3</v>
      </c>
      <c r="BK84" s="29" t="str">
        <f>VLOOKUP(BJ84,坦克个性化细分!$I$3:$J$33,2,FALSE)</f>
        <v>高</v>
      </c>
      <c r="BL84" s="2">
        <f t="shared" si="23"/>
        <v>4</v>
      </c>
      <c r="BM84" s="103">
        <f ca="1">ROUND(VLOOKUP($BJ84&amp;"初始",$S$3:$AE$63,MATCH(BM$3,$S$3:$AE$3,0),FALSE)+((VLOOKUP($BJ84&amp;"最终",$S$3:$AE$63,MATCH(BM$3,$S$3:$AE$3,0),FALSE)*坦克个性化细分!$C$9-VLOOKUP($BJ84&amp;"初始",$S$3:$AE$63,MATCH(BM$3,$S$3:$AE$3,0),FALSE))-(VLOOKUP($BJ84&amp;"最终",$S$3:$AE$63,MATCH(BM$3,$S$3:$AE$3,0),FALSE)-VLOOKUP($BJ84&amp;"初始",$S$3:$AE$63,MATCH(BM$3,$S$3:$AE$3,0),FALSE))*VLOOKUP(VLOOKUP($BJ84,坦克个性化设定!$B$18:$E$48,4,FALSE)&amp;$BK84,坦克属性分配比例,MATCH("部件比例",坦克属性分配比例标头,0),FALSE))*$BL84/VLOOKUP(VLOOKUP($BJ84,坦克个性化设定!$B$18:$E$48,4,FALSE)&amp;$BK84,坦克属性分配比例,MATCH("升星次数",坦克属性分配比例标头,0),FALSE),0)</f>
        <v>2103</v>
      </c>
      <c r="BN84" s="103">
        <f ca="1">ROUND(VLOOKUP($BJ84&amp;"初始",$S$3:$AE$63,MATCH(BN$3,$S$3:$AE$3,0),FALSE)+(VLOOKUP($BJ84&amp;"最终",$S$3:$AE$63,MATCH(BN$3,$S$3:$AE$3,0),FALSE)-VLOOKUP($BJ84&amp;"初始",$S$3:$AE$63,MATCH(BN$3,$S$3:$AE$3,0),FALSE))*$BL84/VLOOKUP(VLOOKUP($BJ84,坦克个性化设定!$B$18:$E$48,4,FALSE)&amp;$BK84,坦克属性分配比例,MATCH("升星次数",坦克属性分配比例标头,0),FALSE)*VLOOKUP(VLOOKUP($BJ84,坦克个性化设定!$B$18:$E$48,4,FALSE)&amp;$BK84,坦克属性分配比例,MATCH("升星比例",坦克属性分配比例标头,0),FALSE),0)</f>
        <v>117</v>
      </c>
      <c r="BO84" s="103">
        <f ca="1">ROUND(VLOOKUP($BJ84&amp;"初始",$S$3:$AE$63,MATCH(BO$3,$S$3:$AE$3,0),FALSE)+(VLOOKUP($BJ84&amp;"最终",$S$3:$AE$63,MATCH(BO$3,$S$3:$AE$3,0),FALSE)-VLOOKUP($BJ84&amp;"初始",$S$3:$AE$63,MATCH(BO$3,$S$3:$AE$3,0),FALSE))*$BL84/VLOOKUP(VLOOKUP($BJ84,坦克个性化设定!$B$18:$E$48,4,FALSE)&amp;$BK84,坦克属性分配比例,MATCH("升星次数",坦克属性分配比例标头,0),FALSE)*(VLOOKUP(VLOOKUP($BJ84,坦克个性化设定!$B$18:$E$48,4,FALSE)&amp;$BK84,坦克属性分配比例,MATCH("升星比例",坦克属性分配比例标头,0),FALSE)+VLOOKUP(VLOOKUP($BJ84,坦克个性化设定!$B$18:$E$48,4,FALSE)&amp;$BK84,坦克属性分配比例,MATCH("部件比例",坦克属性分配比例标头,0),FALSE)*$C$3),0)</f>
        <v>757</v>
      </c>
      <c r="BP84" s="103">
        <f ca="1">ROUND(VLOOKUP($BJ84&amp;"初始",$S$3:$AE$63,MATCH(BP$3,$S$3:$AE$3,0),FALSE)+(VLOOKUP($BJ84&amp;"最终",$S$3:$AE$63,MATCH(BP$3,$S$3:$AE$3,0),FALSE)-VLOOKUP($BJ84&amp;"初始",$S$3:$AE$63,MATCH(BP$3,$S$3:$AE$3,0),FALSE))*$BL84/VLOOKUP(VLOOKUP($BJ84,坦克个性化设定!$B$18:$E$48,4,FALSE)&amp;$BK84,坦克属性分配比例,MATCH("升星次数",坦克属性分配比例标头,0),FALSE)*(VLOOKUP(VLOOKUP($BJ84,坦克个性化设定!$B$18:$E$48,4,FALSE)&amp;$BK84,坦克属性分配比例,MATCH("升星比例",坦克属性分配比例标头,0),FALSE)+VLOOKUP(VLOOKUP($BJ84,坦克个性化设定!$B$18:$E$48,4,FALSE)&amp;$BK84,坦克属性分配比例,MATCH("部件比例",坦克属性分配比例标头,0),FALSE)*$C$3),0)</f>
        <v>530</v>
      </c>
      <c r="BQ84" s="103">
        <f ca="1">ROUND(VLOOKUP($BJ84&amp;"初始",$S$3:$AE$63,MATCH(BQ$3,$S$3:$AE$3,0),FALSE)+(VLOOKUP($BJ84&amp;"最终",$S$3:$AE$63,MATCH(BQ$3,$S$3:$AE$3,0),FALSE)-VLOOKUP($BJ84&amp;"初始",$S$3:$AE$63,MATCH(BQ$3,$S$3:$AE$3,0),FALSE))*$BL84/VLOOKUP(VLOOKUP($BJ84,坦克个性化设定!$B$18:$E$48,4,FALSE)&amp;$BK84,坦克属性分配比例,MATCH("升星次数",坦克属性分配比例标头,0),FALSE)*VLOOKUP(VLOOKUP($BJ84,坦克个性化设定!$B$18:$E$48,4,FALSE)&amp;$BK84,坦克属性分配比例,MATCH("升星比例",坦克属性分配比例标头,0),FALSE),0)</f>
        <v>661</v>
      </c>
      <c r="BR84" s="2">
        <f ca="1">ROUND(VLOOKUP($BJ84&amp;"初始",$S$3:$AE$63,MATCH(BR$3,$S$3:$AE$3,0),FALSE)+(VLOOKUP($BJ84&amp;"最终",$S$3:$AE$63,MATCH(BR$3,$S$3:$AE$3,0),FALSE)-VLOOKUP($BJ84&amp;"初始",$S$3:$AE$63,MATCH(BR$3,$S$3:$AE$3,0),FALSE))*$BL84/VLOOKUP(VLOOKUP($BJ84,坦克个性化设定!$B$18:$E$48,4,FALSE)&amp;$BK84,坦克属性分配比例,MATCH("升星次数",坦克属性分配比例标头,0),FALSE),0)</f>
        <v>190</v>
      </c>
      <c r="BS84" s="2">
        <f>ROUND(VLOOKUP($BJ84,$AI$3:$AO$33,MATCH(BS$3,$AI$3:$AO$3,0),FALSE)+$BL84/VLOOKUP(VLOOKUP($BJ84,坦克个性化设定!$B$18:$E$48,4,FALSE)&amp;$BK84,坦克属性分配比例,MATCH("升星次数",坦克属性分配比例标头,0),FALSE)*VLOOKUP($BJ84,$AR$3:$AY$33,MATCH(BS$3,$AR$3:$AY$3,0),FALSE),1)</f>
        <v>48.5</v>
      </c>
      <c r="BT84" s="2">
        <f>ROUND(VLOOKUP($BJ84,$AI$3:$AO$33,MATCH(BT$3,$AI$3:$AO$3,0),FALSE)+$BL84/VLOOKUP(VLOOKUP($BJ84,坦克个性化设定!$B$18:$E$48,4,FALSE)&amp;$BK84,坦克属性分配比例,MATCH("升星次数",坦克属性分配比例标头,0),FALSE)*VLOOKUP($BJ84,$AR$3:$AY$33,MATCH(BT$3,$AR$3:$AY$3,0),FALSE),1)</f>
        <v>57.3</v>
      </c>
      <c r="BU84" s="2">
        <f>ROUND(VLOOKUP($BJ84,$AI$3:$AO$33,MATCH(BU$3,$AI$3:$AO$3,0),FALSE)+$BL84/VLOOKUP(VLOOKUP($BJ84,坦克个性化设定!$B$18:$E$48,4,FALSE)&amp;$BK84,坦克属性分配比例,MATCH("升星次数",坦克属性分配比例标头,0),FALSE)*VLOOKUP($BJ84,$AR$3:$AY$33,MATCH(BU$3,$AR$3:$AY$3,0),FALSE),1)</f>
        <v>10.5</v>
      </c>
      <c r="BV84" s="2">
        <f>IF(VLOOKUP(BJ84,坦克个性化设定!$B$18:$BC$48,MATCH("装弹类型",坦克个性化设定!$B$18:$BC$18,0),FALSE)="弹夹换弹",0,ROUND(VLOOKUP($BJ84,$AI$3:$AO$33,MATCH("换弹时间",$AI$3:$AO$3,0),FALSE)-$BL84/VLOOKUP(VLOOKUP($BJ84,坦克个性化设定!$B$18:$E$48,4,FALSE)&amp;$BK84,坦克属性分配比例,MATCH("升星次数",坦克属性分配比例标头,0),FALSE)*VLOOKUP($BJ84,$AR$3:$AY$33,MATCH("换弹时间",$AR$3:$AY$3,0),FALSE),2))</f>
        <v>0</v>
      </c>
      <c r="BW84" s="2">
        <f>IF(VLOOKUP(BJ84,坦克个性化设定!$B$18:$BC$48,MATCH("装弹类型",坦克个性化设定!$B$18:$BC$18,0),FALSE)="弹夹换弹",ROUND(VLOOKUP($BJ84,$AI$3:$AO$33,MATCH("换弹时间",$AI$3:$AO$3,0),FALSE)-$BL84/VLOOKUP(VLOOKUP($BJ84,坦克个性化设定!$B$18:$E$48,4,FALSE)&amp;$BK84,坦克属性分配比例,MATCH("升星次数",坦克属性分配比例标头,0),FALSE)*VLOOKUP($BJ84,$AR$3:$AY$33,MATCH("换弹时间",$AR$3:$AY$3,0),FALSE),1),0)</f>
        <v>3.8</v>
      </c>
      <c r="BX84" s="2">
        <f>ROUND(VLOOKUP($BJ84,$AI$3:$AO$33,MATCH(BX$3,$AI$3:$AO$3,0),FALSE)+$BL84/VLOOKUP(VLOOKUP($BJ84,坦克个性化设定!$B$18:$E$48,4,FALSE)&amp;$BK84,坦克属性分配比例,MATCH("升星次数",坦克属性分配比例标头,0),FALSE)*VLOOKUP($BJ84,$AR$3:$AY$33,MATCH(BX$3,$AR$3:$AY$3,0),FALSE),2)</f>
        <v>0.8</v>
      </c>
      <c r="BY84" s="2">
        <f>ROUND(VLOOKUP($BJ84,$AI$3:$AO$33,MATCH(BY$3,$AI$3:$AO$3,0),FALSE)-$BL84/VLOOKUP(VLOOKUP($BJ84,坦克个性化设定!$B$18:$E$48,4,FALSE)&amp;$BK84,坦克属性分配比例,MATCH("升星次数",坦克属性分配比例标头,0),FALSE)*VLOOKUP($BJ84,$AR$3:$AY$33,MATCH(BY$3,$AR$3:$AY$3,0),FALSE),2)</f>
        <v>0.54</v>
      </c>
    </row>
    <row r="85" spans="60:77" x14ac:dyDescent="0.3">
      <c r="BH85" s="2" t="str">
        <f t="shared" si="24"/>
        <v>BMP-35</v>
      </c>
      <c r="BI85" s="2">
        <f>IF(BL84&gt;=VLOOKUP(VLOOKUP(BJ84,坦克个性化设定!$B$18:$E$48,4,FALSE)&amp;BK84,坦克属性分配比例,MATCH("升星次数",坦克属性分配比例标头,0),FALSE),BI84+1,BI84)</f>
        <v>9</v>
      </c>
      <c r="BJ85" s="2" t="str">
        <f t="shared" si="25"/>
        <v>BMP-3</v>
      </c>
      <c r="BK85" s="29" t="str">
        <f>VLOOKUP(BJ85,坦克个性化细分!$I$3:$J$33,2,FALSE)</f>
        <v>高</v>
      </c>
      <c r="BL85" s="2">
        <f t="shared" si="23"/>
        <v>5</v>
      </c>
      <c r="BM85" s="103">
        <f ca="1">ROUND(VLOOKUP($BJ85&amp;"初始",$S$3:$AE$63,MATCH(BM$3,$S$3:$AE$3,0),FALSE)+((VLOOKUP($BJ85&amp;"最终",$S$3:$AE$63,MATCH(BM$3,$S$3:$AE$3,0),FALSE)*坦克个性化细分!$C$9-VLOOKUP($BJ85&amp;"初始",$S$3:$AE$63,MATCH(BM$3,$S$3:$AE$3,0),FALSE))-(VLOOKUP($BJ85&amp;"最终",$S$3:$AE$63,MATCH(BM$3,$S$3:$AE$3,0),FALSE)-VLOOKUP($BJ85&amp;"初始",$S$3:$AE$63,MATCH(BM$3,$S$3:$AE$3,0),FALSE))*VLOOKUP(VLOOKUP($BJ85,坦克个性化设定!$B$18:$E$48,4,FALSE)&amp;$BK85,坦克属性分配比例,MATCH("部件比例",坦克属性分配比例标头,0),FALSE))*$BL85/VLOOKUP(VLOOKUP($BJ85,坦克个性化设定!$B$18:$E$48,4,FALSE)&amp;$BK85,坦克属性分配比例,MATCH("升星次数",坦克属性分配比例标头,0),FALSE),0)</f>
        <v>2182</v>
      </c>
      <c r="BN85" s="103">
        <f ca="1">ROUND(VLOOKUP($BJ85&amp;"初始",$S$3:$AE$63,MATCH(BN$3,$S$3:$AE$3,0),FALSE)+(VLOOKUP($BJ85&amp;"最终",$S$3:$AE$63,MATCH(BN$3,$S$3:$AE$3,0),FALSE)-VLOOKUP($BJ85&amp;"初始",$S$3:$AE$63,MATCH(BN$3,$S$3:$AE$3,0),FALSE))*$BL85/VLOOKUP(VLOOKUP($BJ85,坦克个性化设定!$B$18:$E$48,4,FALSE)&amp;$BK85,坦克属性分配比例,MATCH("升星次数",坦克属性分配比例标头,0),FALSE)*VLOOKUP(VLOOKUP($BJ85,坦克个性化设定!$B$18:$E$48,4,FALSE)&amp;$BK85,坦克属性分配比例,MATCH("升星比例",坦克属性分配比例标头,0),FALSE),0)</f>
        <v>120</v>
      </c>
      <c r="BO85" s="103">
        <f ca="1">ROUND(VLOOKUP($BJ85&amp;"初始",$S$3:$AE$63,MATCH(BO$3,$S$3:$AE$3,0),FALSE)+(VLOOKUP($BJ85&amp;"最终",$S$3:$AE$63,MATCH(BO$3,$S$3:$AE$3,0),FALSE)-VLOOKUP($BJ85&amp;"初始",$S$3:$AE$63,MATCH(BO$3,$S$3:$AE$3,0),FALSE))*$BL85/VLOOKUP(VLOOKUP($BJ85,坦克个性化设定!$B$18:$E$48,4,FALSE)&amp;$BK85,坦克属性分配比例,MATCH("升星次数",坦克属性分配比例标头,0),FALSE)*(VLOOKUP(VLOOKUP($BJ85,坦克个性化设定!$B$18:$E$48,4,FALSE)&amp;$BK85,坦克属性分配比例,MATCH("升星比例",坦克属性分配比例标头,0),FALSE)+VLOOKUP(VLOOKUP($BJ85,坦克个性化设定!$B$18:$E$48,4,FALSE)&amp;$BK85,坦克属性分配比例,MATCH("部件比例",坦克属性分配比例标头,0),FALSE)*$C$3),0)</f>
        <v>782</v>
      </c>
      <c r="BP85" s="103">
        <f ca="1">ROUND(VLOOKUP($BJ85&amp;"初始",$S$3:$AE$63,MATCH(BP$3,$S$3:$AE$3,0),FALSE)+(VLOOKUP($BJ85&amp;"最终",$S$3:$AE$63,MATCH(BP$3,$S$3:$AE$3,0),FALSE)-VLOOKUP($BJ85&amp;"初始",$S$3:$AE$63,MATCH(BP$3,$S$3:$AE$3,0),FALSE))*$BL85/VLOOKUP(VLOOKUP($BJ85,坦克个性化设定!$B$18:$E$48,4,FALSE)&amp;$BK85,坦克属性分配比例,MATCH("升星次数",坦克属性分配比例标头,0),FALSE)*(VLOOKUP(VLOOKUP($BJ85,坦克个性化设定!$B$18:$E$48,4,FALSE)&amp;$BK85,坦克属性分配比例,MATCH("升星比例",坦克属性分配比例标头,0),FALSE)+VLOOKUP(VLOOKUP($BJ85,坦克个性化设定!$B$18:$E$48,4,FALSE)&amp;$BK85,坦克属性分配比例,MATCH("部件比例",坦克属性分配比例标头,0),FALSE)*$C$3),0)</f>
        <v>548</v>
      </c>
      <c r="BQ85" s="103">
        <f ca="1">ROUND(VLOOKUP($BJ85&amp;"初始",$S$3:$AE$63,MATCH(BQ$3,$S$3:$AE$3,0),FALSE)+(VLOOKUP($BJ85&amp;"最终",$S$3:$AE$63,MATCH(BQ$3,$S$3:$AE$3,0),FALSE)-VLOOKUP($BJ85&amp;"初始",$S$3:$AE$63,MATCH(BQ$3,$S$3:$AE$3,0),FALSE))*$BL85/VLOOKUP(VLOOKUP($BJ85,坦克个性化设定!$B$18:$E$48,4,FALSE)&amp;$BK85,坦克属性分配比例,MATCH("升星次数",坦克属性分配比例标头,0),FALSE)*VLOOKUP(VLOOKUP($BJ85,坦克个性化设定!$B$18:$E$48,4,FALSE)&amp;$BK85,坦克属性分配比例,MATCH("升星比例",坦克属性分配比例标头,0),FALSE),0)</f>
        <v>677</v>
      </c>
      <c r="BR85" s="2">
        <f ca="1">ROUND(VLOOKUP($BJ85&amp;"初始",$S$3:$AE$63,MATCH(BR$3,$S$3:$AE$3,0),FALSE)+(VLOOKUP($BJ85&amp;"最终",$S$3:$AE$63,MATCH(BR$3,$S$3:$AE$3,0),FALSE)-VLOOKUP($BJ85&amp;"初始",$S$3:$AE$63,MATCH(BR$3,$S$3:$AE$3,0),FALSE))*$BL85/VLOOKUP(VLOOKUP($BJ85,坦克个性化设定!$B$18:$E$48,4,FALSE)&amp;$BK85,坦克属性分配比例,MATCH("升星次数",坦克属性分配比例标头,0),FALSE),0)</f>
        <v>197</v>
      </c>
      <c r="BS85" s="2">
        <f>ROUND(VLOOKUP($BJ85,$AI$3:$AO$33,MATCH(BS$3,$AI$3:$AO$3,0),FALSE)+$BL85/VLOOKUP(VLOOKUP($BJ85,坦克个性化设定!$B$18:$E$48,4,FALSE)&amp;$BK85,坦克属性分配比例,MATCH("升星次数",坦克属性分配比例标头,0),FALSE)*VLOOKUP($BJ85,$AR$3:$AY$33,MATCH(BS$3,$AR$3:$AY$3,0),FALSE),1)</f>
        <v>49.6</v>
      </c>
      <c r="BT85" s="2">
        <f>ROUND(VLOOKUP($BJ85,$AI$3:$AO$33,MATCH(BT$3,$AI$3:$AO$3,0),FALSE)+$BL85/VLOOKUP(VLOOKUP($BJ85,坦克个性化设定!$B$18:$E$48,4,FALSE)&amp;$BK85,坦克属性分配比例,MATCH("升星次数",坦克属性分配比例标头,0),FALSE)*VLOOKUP($BJ85,$AR$3:$AY$33,MATCH(BT$3,$AR$3:$AY$3,0),FALSE),1)</f>
        <v>58.5</v>
      </c>
      <c r="BU85" s="2">
        <f>ROUND(VLOOKUP($BJ85,$AI$3:$AO$33,MATCH(BU$3,$AI$3:$AO$3,0),FALSE)+$BL85/VLOOKUP(VLOOKUP($BJ85,坦克个性化设定!$B$18:$E$48,4,FALSE)&amp;$BK85,坦克属性分配比例,MATCH("升星次数",坦克属性分配比例标头,0),FALSE)*VLOOKUP($BJ85,$AR$3:$AY$33,MATCH(BU$3,$AR$3:$AY$3,0),FALSE),1)</f>
        <v>10.5</v>
      </c>
      <c r="BV85" s="2">
        <f>IF(VLOOKUP(BJ85,坦克个性化设定!$B$18:$BC$48,MATCH("装弹类型",坦克个性化设定!$B$18:$BC$18,0),FALSE)="弹夹换弹",0,ROUND(VLOOKUP($BJ85,$AI$3:$AO$33,MATCH("换弹时间",$AI$3:$AO$3,0),FALSE)-$BL85/VLOOKUP(VLOOKUP($BJ85,坦克个性化设定!$B$18:$E$48,4,FALSE)&amp;$BK85,坦克属性分配比例,MATCH("升星次数",坦克属性分配比例标头,0),FALSE)*VLOOKUP($BJ85,$AR$3:$AY$33,MATCH("换弹时间",$AR$3:$AY$3,0),FALSE),2))</f>
        <v>0</v>
      </c>
      <c r="BW85" s="2">
        <f>IF(VLOOKUP(BJ85,坦克个性化设定!$B$18:$BC$48,MATCH("装弹类型",坦克个性化设定!$B$18:$BC$18,0),FALSE)="弹夹换弹",ROUND(VLOOKUP($BJ85,$AI$3:$AO$33,MATCH("换弹时间",$AI$3:$AO$3,0),FALSE)-$BL85/VLOOKUP(VLOOKUP($BJ85,坦克个性化设定!$B$18:$E$48,4,FALSE)&amp;$BK85,坦克属性分配比例,MATCH("升星次数",坦克属性分配比例标头,0),FALSE)*VLOOKUP($BJ85,$AR$3:$AY$33,MATCH("换弹时间",$AR$3:$AY$3,0),FALSE),1),0)</f>
        <v>3.7</v>
      </c>
      <c r="BX85" s="2">
        <f>ROUND(VLOOKUP($BJ85,$AI$3:$AO$33,MATCH(BX$3,$AI$3:$AO$3,0),FALSE)+$BL85/VLOOKUP(VLOOKUP($BJ85,坦克个性化设定!$B$18:$E$48,4,FALSE)&amp;$BK85,坦克属性分配比例,MATCH("升星次数",坦克属性分配比例标头,0),FALSE)*VLOOKUP($BJ85,$AR$3:$AY$33,MATCH(BX$3,$AR$3:$AY$3,0),FALSE),2)</f>
        <v>0.8</v>
      </c>
      <c r="BY85" s="2">
        <f>ROUND(VLOOKUP($BJ85,$AI$3:$AO$33,MATCH(BY$3,$AI$3:$AO$3,0),FALSE)-$BL85/VLOOKUP(VLOOKUP($BJ85,坦克个性化设定!$B$18:$E$48,4,FALSE)&amp;$BK85,坦克属性分配比例,MATCH("升星次数",坦克属性分配比例标头,0),FALSE)*VLOOKUP($BJ85,$AR$3:$AY$33,MATCH(BY$3,$AR$3:$AY$3,0),FALSE),2)</f>
        <v>0.53</v>
      </c>
    </row>
    <row r="86" spans="60:77" x14ac:dyDescent="0.3">
      <c r="BH86" s="2" t="str">
        <f t="shared" si="24"/>
        <v>BMP-36</v>
      </c>
      <c r="BI86" s="2">
        <f>IF(BL85&gt;=VLOOKUP(VLOOKUP(BJ85,坦克个性化设定!$B$18:$E$48,4,FALSE)&amp;BK85,坦克属性分配比例,MATCH("升星次数",坦克属性分配比例标头,0),FALSE),BI85+1,BI85)</f>
        <v>9</v>
      </c>
      <c r="BJ86" s="2" t="str">
        <f t="shared" si="25"/>
        <v>BMP-3</v>
      </c>
      <c r="BK86" s="29" t="str">
        <f>VLOOKUP(BJ86,坦克个性化细分!$I$3:$J$33,2,FALSE)</f>
        <v>高</v>
      </c>
      <c r="BL86" s="2">
        <f t="shared" si="23"/>
        <v>6</v>
      </c>
      <c r="BM86" s="103">
        <f ca="1">ROUND(VLOOKUP($BJ86&amp;"初始",$S$3:$AE$63,MATCH(BM$3,$S$3:$AE$3,0),FALSE)+((VLOOKUP($BJ86&amp;"最终",$S$3:$AE$63,MATCH(BM$3,$S$3:$AE$3,0),FALSE)*坦克个性化细分!$C$9-VLOOKUP($BJ86&amp;"初始",$S$3:$AE$63,MATCH(BM$3,$S$3:$AE$3,0),FALSE))-(VLOOKUP($BJ86&amp;"最终",$S$3:$AE$63,MATCH(BM$3,$S$3:$AE$3,0),FALSE)-VLOOKUP($BJ86&amp;"初始",$S$3:$AE$63,MATCH(BM$3,$S$3:$AE$3,0),FALSE))*VLOOKUP(VLOOKUP($BJ86,坦克个性化设定!$B$18:$E$48,4,FALSE)&amp;$BK86,坦克属性分配比例,MATCH("部件比例",坦克属性分配比例标头,0),FALSE))*$BL86/VLOOKUP(VLOOKUP($BJ86,坦克个性化设定!$B$18:$E$48,4,FALSE)&amp;$BK86,坦克属性分配比例,MATCH("升星次数",坦克属性分配比例标头,0),FALSE),0)</f>
        <v>2261</v>
      </c>
      <c r="BN86" s="103">
        <f ca="1">ROUND(VLOOKUP($BJ86&amp;"初始",$S$3:$AE$63,MATCH(BN$3,$S$3:$AE$3,0),FALSE)+(VLOOKUP($BJ86&amp;"最终",$S$3:$AE$63,MATCH(BN$3,$S$3:$AE$3,0),FALSE)-VLOOKUP($BJ86&amp;"初始",$S$3:$AE$63,MATCH(BN$3,$S$3:$AE$3,0),FALSE))*$BL86/VLOOKUP(VLOOKUP($BJ86,坦克个性化设定!$B$18:$E$48,4,FALSE)&amp;$BK86,坦克属性分配比例,MATCH("升星次数",坦克属性分配比例标头,0),FALSE)*VLOOKUP(VLOOKUP($BJ86,坦克个性化设定!$B$18:$E$48,4,FALSE)&amp;$BK86,坦克属性分配比例,MATCH("升星比例",坦克属性分配比例标头,0),FALSE),0)</f>
        <v>123</v>
      </c>
      <c r="BO86" s="103">
        <f ca="1">ROUND(VLOOKUP($BJ86&amp;"初始",$S$3:$AE$63,MATCH(BO$3,$S$3:$AE$3,0),FALSE)+(VLOOKUP($BJ86&amp;"最终",$S$3:$AE$63,MATCH(BO$3,$S$3:$AE$3,0),FALSE)-VLOOKUP($BJ86&amp;"初始",$S$3:$AE$63,MATCH(BO$3,$S$3:$AE$3,0),FALSE))*$BL86/VLOOKUP(VLOOKUP($BJ86,坦克个性化设定!$B$18:$E$48,4,FALSE)&amp;$BK86,坦克属性分配比例,MATCH("升星次数",坦克属性分配比例标头,0),FALSE)*(VLOOKUP(VLOOKUP($BJ86,坦克个性化设定!$B$18:$E$48,4,FALSE)&amp;$BK86,坦克属性分配比例,MATCH("升星比例",坦克属性分配比例标头,0),FALSE)+VLOOKUP(VLOOKUP($BJ86,坦克个性化设定!$B$18:$E$48,4,FALSE)&amp;$BK86,坦克属性分配比例,MATCH("部件比例",坦克属性分配比例标头,0),FALSE)*$C$3),0)</f>
        <v>807</v>
      </c>
      <c r="BP86" s="103">
        <f ca="1">ROUND(VLOOKUP($BJ86&amp;"初始",$S$3:$AE$63,MATCH(BP$3,$S$3:$AE$3,0),FALSE)+(VLOOKUP($BJ86&amp;"最终",$S$3:$AE$63,MATCH(BP$3,$S$3:$AE$3,0),FALSE)-VLOOKUP($BJ86&amp;"初始",$S$3:$AE$63,MATCH(BP$3,$S$3:$AE$3,0),FALSE))*$BL86/VLOOKUP(VLOOKUP($BJ86,坦克个性化设定!$B$18:$E$48,4,FALSE)&amp;$BK86,坦克属性分配比例,MATCH("升星次数",坦克属性分配比例标头,0),FALSE)*(VLOOKUP(VLOOKUP($BJ86,坦克个性化设定!$B$18:$E$48,4,FALSE)&amp;$BK86,坦克属性分配比例,MATCH("升星比例",坦克属性分配比例标头,0),FALSE)+VLOOKUP(VLOOKUP($BJ86,坦克个性化设定!$B$18:$E$48,4,FALSE)&amp;$BK86,坦克属性分配比例,MATCH("部件比例",坦克属性分配比例标头,0),FALSE)*$C$3),0)</f>
        <v>565</v>
      </c>
      <c r="BQ86" s="103">
        <f ca="1">ROUND(VLOOKUP($BJ86&amp;"初始",$S$3:$AE$63,MATCH(BQ$3,$S$3:$AE$3,0),FALSE)+(VLOOKUP($BJ86&amp;"最终",$S$3:$AE$63,MATCH(BQ$3,$S$3:$AE$3,0),FALSE)-VLOOKUP($BJ86&amp;"初始",$S$3:$AE$63,MATCH(BQ$3,$S$3:$AE$3,0),FALSE))*$BL86/VLOOKUP(VLOOKUP($BJ86,坦克个性化设定!$B$18:$E$48,4,FALSE)&amp;$BK86,坦克属性分配比例,MATCH("升星次数",坦克属性分配比例标头,0),FALSE)*VLOOKUP(VLOOKUP($BJ86,坦克个性化设定!$B$18:$E$48,4,FALSE)&amp;$BK86,坦克属性分配比例,MATCH("升星比例",坦克属性分配比例标头,0),FALSE),0)</f>
        <v>692</v>
      </c>
      <c r="BR86" s="2">
        <f ca="1">ROUND(VLOOKUP($BJ86&amp;"初始",$S$3:$AE$63,MATCH(BR$3,$S$3:$AE$3,0),FALSE)+(VLOOKUP($BJ86&amp;"最终",$S$3:$AE$63,MATCH(BR$3,$S$3:$AE$3,0),FALSE)-VLOOKUP($BJ86&amp;"初始",$S$3:$AE$63,MATCH(BR$3,$S$3:$AE$3,0),FALSE))*$BL86/VLOOKUP(VLOOKUP($BJ86,坦克个性化设定!$B$18:$E$48,4,FALSE)&amp;$BK86,坦克属性分配比例,MATCH("升星次数",坦克属性分配比例标头,0),FALSE),0)</f>
        <v>205</v>
      </c>
      <c r="BS86" s="2">
        <f>ROUND(VLOOKUP($BJ86,$AI$3:$AO$33,MATCH(BS$3,$AI$3:$AO$3,0),FALSE)+$BL86/VLOOKUP(VLOOKUP($BJ86,坦克个性化设定!$B$18:$E$48,4,FALSE)&amp;$BK86,坦克属性分配比例,MATCH("升星次数",坦克属性分配比例标头,0),FALSE)*VLOOKUP($BJ86,$AR$3:$AY$33,MATCH(BS$3,$AR$3:$AY$3,0),FALSE),1)</f>
        <v>50.6</v>
      </c>
      <c r="BT86" s="2">
        <f>ROUND(VLOOKUP($BJ86,$AI$3:$AO$33,MATCH(BT$3,$AI$3:$AO$3,0),FALSE)+$BL86/VLOOKUP(VLOOKUP($BJ86,坦克个性化设定!$B$18:$E$48,4,FALSE)&amp;$BK86,坦克属性分配比例,MATCH("升星次数",坦克属性分配比例标头,0),FALSE)*VLOOKUP($BJ86,$AR$3:$AY$33,MATCH(BT$3,$AR$3:$AY$3,0),FALSE),1)</f>
        <v>59.7</v>
      </c>
      <c r="BU86" s="2">
        <f>ROUND(VLOOKUP($BJ86,$AI$3:$AO$33,MATCH(BU$3,$AI$3:$AO$3,0),FALSE)+$BL86/VLOOKUP(VLOOKUP($BJ86,坦克个性化设定!$B$18:$E$48,4,FALSE)&amp;$BK86,坦克属性分配比例,MATCH("升星次数",坦克属性分配比例标头,0),FALSE)*VLOOKUP($BJ86,$AR$3:$AY$33,MATCH(BU$3,$AR$3:$AY$3,0),FALSE),1)</f>
        <v>10.5</v>
      </c>
      <c r="BV86" s="2">
        <f>IF(VLOOKUP(BJ86,坦克个性化设定!$B$18:$BC$48,MATCH("装弹类型",坦克个性化设定!$B$18:$BC$18,0),FALSE)="弹夹换弹",0,ROUND(VLOOKUP($BJ86,$AI$3:$AO$33,MATCH("换弹时间",$AI$3:$AO$3,0),FALSE)-$BL86/VLOOKUP(VLOOKUP($BJ86,坦克个性化设定!$B$18:$E$48,4,FALSE)&amp;$BK86,坦克属性分配比例,MATCH("升星次数",坦克属性分配比例标头,0),FALSE)*VLOOKUP($BJ86,$AR$3:$AY$33,MATCH("换弹时间",$AR$3:$AY$3,0),FALSE),2))</f>
        <v>0</v>
      </c>
      <c r="BW86" s="2">
        <f>IF(VLOOKUP(BJ86,坦克个性化设定!$B$18:$BC$48,MATCH("装弹类型",坦克个性化设定!$B$18:$BC$18,0),FALSE)="弹夹换弹",ROUND(VLOOKUP($BJ86,$AI$3:$AO$33,MATCH("换弹时间",$AI$3:$AO$3,0),FALSE)-$BL86/VLOOKUP(VLOOKUP($BJ86,坦克个性化设定!$B$18:$E$48,4,FALSE)&amp;$BK86,坦克属性分配比例,MATCH("升星次数",坦克属性分配比例标头,0),FALSE)*VLOOKUP($BJ86,$AR$3:$AY$33,MATCH("换弹时间",$AR$3:$AY$3,0),FALSE),1),0)</f>
        <v>3.5</v>
      </c>
      <c r="BX86" s="2">
        <f>ROUND(VLOOKUP($BJ86,$AI$3:$AO$33,MATCH(BX$3,$AI$3:$AO$3,0),FALSE)+$BL86/VLOOKUP(VLOOKUP($BJ86,坦克个性化设定!$B$18:$E$48,4,FALSE)&amp;$BK86,坦克属性分配比例,MATCH("升星次数",坦克属性分配比例标头,0),FALSE)*VLOOKUP($BJ86,$AR$3:$AY$33,MATCH(BX$3,$AR$3:$AY$3,0),FALSE),2)</f>
        <v>0.8</v>
      </c>
      <c r="BY86" s="2">
        <f>ROUND(VLOOKUP($BJ86,$AI$3:$AO$33,MATCH(BY$3,$AI$3:$AO$3,0),FALSE)-$BL86/VLOOKUP(VLOOKUP($BJ86,坦克个性化设定!$B$18:$E$48,4,FALSE)&amp;$BK86,坦克属性分配比例,MATCH("升星次数",坦克属性分配比例标头,0),FALSE)*VLOOKUP($BJ86,$AR$3:$AY$33,MATCH(BY$3,$AR$3:$AY$3,0),FALSE),2)</f>
        <v>0.52</v>
      </c>
    </row>
    <row r="87" spans="60:77" x14ac:dyDescent="0.3">
      <c r="BH87" s="2" t="str">
        <f t="shared" si="24"/>
        <v>BMP-37</v>
      </c>
      <c r="BI87" s="2">
        <f>IF(BL86&gt;=VLOOKUP(VLOOKUP(BJ86,坦克个性化设定!$B$18:$E$48,4,FALSE)&amp;BK86,坦克属性分配比例,MATCH("升星次数",坦克属性分配比例标头,0),FALSE),BI86+1,BI86)</f>
        <v>9</v>
      </c>
      <c r="BJ87" s="2" t="str">
        <f t="shared" si="25"/>
        <v>BMP-3</v>
      </c>
      <c r="BK87" s="29" t="str">
        <f>VLOOKUP(BJ87,坦克个性化细分!$I$3:$J$33,2,FALSE)</f>
        <v>高</v>
      </c>
      <c r="BL87" s="2">
        <f t="shared" si="23"/>
        <v>7</v>
      </c>
      <c r="BM87" s="103">
        <f ca="1">ROUND(VLOOKUP($BJ87&amp;"初始",$S$3:$AE$63,MATCH(BM$3,$S$3:$AE$3,0),FALSE)+((VLOOKUP($BJ87&amp;"最终",$S$3:$AE$63,MATCH(BM$3,$S$3:$AE$3,0),FALSE)*坦克个性化细分!$C$9-VLOOKUP($BJ87&amp;"初始",$S$3:$AE$63,MATCH(BM$3,$S$3:$AE$3,0),FALSE))-(VLOOKUP($BJ87&amp;"最终",$S$3:$AE$63,MATCH(BM$3,$S$3:$AE$3,0),FALSE)-VLOOKUP($BJ87&amp;"初始",$S$3:$AE$63,MATCH(BM$3,$S$3:$AE$3,0),FALSE))*VLOOKUP(VLOOKUP($BJ87,坦克个性化设定!$B$18:$E$48,4,FALSE)&amp;$BK87,坦克属性分配比例,MATCH("部件比例",坦克属性分配比例标头,0),FALSE))*$BL87/VLOOKUP(VLOOKUP($BJ87,坦克个性化设定!$B$18:$E$48,4,FALSE)&amp;$BK87,坦克属性分配比例,MATCH("升星次数",坦克属性分配比例标头,0),FALSE),0)</f>
        <v>2340</v>
      </c>
      <c r="BN87" s="103">
        <f ca="1">ROUND(VLOOKUP($BJ87&amp;"初始",$S$3:$AE$63,MATCH(BN$3,$S$3:$AE$3,0),FALSE)+(VLOOKUP($BJ87&amp;"最终",$S$3:$AE$63,MATCH(BN$3,$S$3:$AE$3,0),FALSE)-VLOOKUP($BJ87&amp;"初始",$S$3:$AE$63,MATCH(BN$3,$S$3:$AE$3,0),FALSE))*$BL87/VLOOKUP(VLOOKUP($BJ87,坦克个性化设定!$B$18:$E$48,4,FALSE)&amp;$BK87,坦克属性分配比例,MATCH("升星次数",坦克属性分配比例标头,0),FALSE)*VLOOKUP(VLOOKUP($BJ87,坦克个性化设定!$B$18:$E$48,4,FALSE)&amp;$BK87,坦克属性分配比例,MATCH("升星比例",坦克属性分配比例标头,0),FALSE),0)</f>
        <v>125</v>
      </c>
      <c r="BO87" s="103">
        <f ca="1">ROUND(VLOOKUP($BJ87&amp;"初始",$S$3:$AE$63,MATCH(BO$3,$S$3:$AE$3,0),FALSE)+(VLOOKUP($BJ87&amp;"最终",$S$3:$AE$63,MATCH(BO$3,$S$3:$AE$3,0),FALSE)-VLOOKUP($BJ87&amp;"初始",$S$3:$AE$63,MATCH(BO$3,$S$3:$AE$3,0),FALSE))*$BL87/VLOOKUP(VLOOKUP($BJ87,坦克个性化设定!$B$18:$E$48,4,FALSE)&amp;$BK87,坦克属性分配比例,MATCH("升星次数",坦克属性分配比例标头,0),FALSE)*(VLOOKUP(VLOOKUP($BJ87,坦克个性化设定!$B$18:$E$48,4,FALSE)&amp;$BK87,坦克属性分配比例,MATCH("升星比例",坦克属性分配比例标头,0),FALSE)+VLOOKUP(VLOOKUP($BJ87,坦克个性化设定!$B$18:$E$48,4,FALSE)&amp;$BK87,坦克属性分配比例,MATCH("部件比例",坦克属性分配比例标头,0),FALSE)*$C$3),0)</f>
        <v>832</v>
      </c>
      <c r="BP87" s="103">
        <f ca="1">ROUND(VLOOKUP($BJ87&amp;"初始",$S$3:$AE$63,MATCH(BP$3,$S$3:$AE$3,0),FALSE)+(VLOOKUP($BJ87&amp;"最终",$S$3:$AE$63,MATCH(BP$3,$S$3:$AE$3,0),FALSE)-VLOOKUP($BJ87&amp;"初始",$S$3:$AE$63,MATCH(BP$3,$S$3:$AE$3,0),FALSE))*$BL87/VLOOKUP(VLOOKUP($BJ87,坦克个性化设定!$B$18:$E$48,4,FALSE)&amp;$BK87,坦克属性分配比例,MATCH("升星次数",坦克属性分配比例标头,0),FALSE)*(VLOOKUP(VLOOKUP($BJ87,坦克个性化设定!$B$18:$E$48,4,FALSE)&amp;$BK87,坦克属性分配比例,MATCH("升星比例",坦克属性分配比例标头,0),FALSE)+VLOOKUP(VLOOKUP($BJ87,坦克个性化设定!$B$18:$E$48,4,FALSE)&amp;$BK87,坦克属性分配比例,MATCH("部件比例",坦克属性分配比例标头,0),FALSE)*$C$3),0)</f>
        <v>583</v>
      </c>
      <c r="BQ87" s="103">
        <f ca="1">ROUND(VLOOKUP($BJ87&amp;"初始",$S$3:$AE$63,MATCH(BQ$3,$S$3:$AE$3,0),FALSE)+(VLOOKUP($BJ87&amp;"最终",$S$3:$AE$63,MATCH(BQ$3,$S$3:$AE$3,0),FALSE)-VLOOKUP($BJ87&amp;"初始",$S$3:$AE$63,MATCH(BQ$3,$S$3:$AE$3,0),FALSE))*$BL87/VLOOKUP(VLOOKUP($BJ87,坦克个性化设定!$B$18:$E$48,4,FALSE)&amp;$BK87,坦克属性分配比例,MATCH("升星次数",坦克属性分配比例标头,0),FALSE)*VLOOKUP(VLOOKUP($BJ87,坦克个性化设定!$B$18:$E$48,4,FALSE)&amp;$BK87,坦克属性分配比例,MATCH("升星比例",坦克属性分配比例标头,0),FALSE),0)</f>
        <v>707</v>
      </c>
      <c r="BR87" s="2">
        <f ca="1">ROUND(VLOOKUP($BJ87&amp;"初始",$S$3:$AE$63,MATCH(BR$3,$S$3:$AE$3,0),FALSE)+(VLOOKUP($BJ87&amp;"最终",$S$3:$AE$63,MATCH(BR$3,$S$3:$AE$3,0),FALSE)-VLOOKUP($BJ87&amp;"初始",$S$3:$AE$63,MATCH(BR$3,$S$3:$AE$3,0),FALSE))*$BL87/VLOOKUP(VLOOKUP($BJ87,坦克个性化设定!$B$18:$E$48,4,FALSE)&amp;$BK87,坦克属性分配比例,MATCH("升星次数",坦克属性分配比例标头,0),FALSE),0)</f>
        <v>212</v>
      </c>
      <c r="BS87" s="2">
        <f>ROUND(VLOOKUP($BJ87,$AI$3:$AO$33,MATCH(BS$3,$AI$3:$AO$3,0),FALSE)+$BL87/VLOOKUP(VLOOKUP($BJ87,坦克个性化设定!$B$18:$E$48,4,FALSE)&amp;$BK87,坦克属性分配比例,MATCH("升星次数",坦克属性分配比例标头,0),FALSE)*VLOOKUP($BJ87,$AR$3:$AY$33,MATCH(BS$3,$AR$3:$AY$3,0),FALSE),1)</f>
        <v>51.6</v>
      </c>
      <c r="BT87" s="2">
        <f>ROUND(VLOOKUP($BJ87,$AI$3:$AO$33,MATCH(BT$3,$AI$3:$AO$3,0),FALSE)+$BL87/VLOOKUP(VLOOKUP($BJ87,坦克个性化设定!$B$18:$E$48,4,FALSE)&amp;$BK87,坦克属性分配比例,MATCH("升星次数",坦克属性分配比例标头,0),FALSE)*VLOOKUP($BJ87,$AR$3:$AY$33,MATCH(BT$3,$AR$3:$AY$3,0),FALSE),1)</f>
        <v>60.9</v>
      </c>
      <c r="BU87" s="2">
        <f>ROUND(VLOOKUP($BJ87,$AI$3:$AO$33,MATCH(BU$3,$AI$3:$AO$3,0),FALSE)+$BL87/VLOOKUP(VLOOKUP($BJ87,坦克个性化设定!$B$18:$E$48,4,FALSE)&amp;$BK87,坦克属性分配比例,MATCH("升星次数",坦克属性分配比例标头,0),FALSE)*VLOOKUP($BJ87,$AR$3:$AY$33,MATCH(BU$3,$AR$3:$AY$3,0),FALSE),1)</f>
        <v>10.5</v>
      </c>
      <c r="BV87" s="2">
        <f>IF(VLOOKUP(BJ87,坦克个性化设定!$B$18:$BC$48,MATCH("装弹类型",坦克个性化设定!$B$18:$BC$18,0),FALSE)="弹夹换弹",0,ROUND(VLOOKUP($BJ87,$AI$3:$AO$33,MATCH("换弹时间",$AI$3:$AO$3,0),FALSE)-$BL87/VLOOKUP(VLOOKUP($BJ87,坦克个性化设定!$B$18:$E$48,4,FALSE)&amp;$BK87,坦克属性分配比例,MATCH("升星次数",坦克属性分配比例标头,0),FALSE)*VLOOKUP($BJ87,$AR$3:$AY$33,MATCH("换弹时间",$AR$3:$AY$3,0),FALSE),2))</f>
        <v>0</v>
      </c>
      <c r="BW87" s="2">
        <f>IF(VLOOKUP(BJ87,坦克个性化设定!$B$18:$BC$48,MATCH("装弹类型",坦克个性化设定!$B$18:$BC$18,0),FALSE)="弹夹换弹",ROUND(VLOOKUP($BJ87,$AI$3:$AO$33,MATCH("换弹时间",$AI$3:$AO$3,0),FALSE)-$BL87/VLOOKUP(VLOOKUP($BJ87,坦克个性化设定!$B$18:$E$48,4,FALSE)&amp;$BK87,坦克属性分配比例,MATCH("升星次数",坦克属性分配比例标头,0),FALSE)*VLOOKUP($BJ87,$AR$3:$AY$33,MATCH("换弹时间",$AR$3:$AY$3,0),FALSE),1),0)</f>
        <v>3.4</v>
      </c>
      <c r="BX87" s="2">
        <f>ROUND(VLOOKUP($BJ87,$AI$3:$AO$33,MATCH(BX$3,$AI$3:$AO$3,0),FALSE)+$BL87/VLOOKUP(VLOOKUP($BJ87,坦克个性化设定!$B$18:$E$48,4,FALSE)&amp;$BK87,坦克属性分配比例,MATCH("升星次数",坦克属性分配比例标头,0),FALSE)*VLOOKUP($BJ87,$AR$3:$AY$33,MATCH(BX$3,$AR$3:$AY$3,0),FALSE),2)</f>
        <v>0.8</v>
      </c>
      <c r="BY87" s="2">
        <f>ROUND(VLOOKUP($BJ87,$AI$3:$AO$33,MATCH(BY$3,$AI$3:$AO$3,0),FALSE)-$BL87/VLOOKUP(VLOOKUP($BJ87,坦克个性化设定!$B$18:$E$48,4,FALSE)&amp;$BK87,坦克属性分配比例,MATCH("升星次数",坦克属性分配比例标头,0),FALSE)*VLOOKUP($BJ87,$AR$3:$AY$33,MATCH(BY$3,$AR$3:$AY$3,0),FALSE),2)</f>
        <v>0.51</v>
      </c>
    </row>
    <row r="88" spans="60:77" x14ac:dyDescent="0.3">
      <c r="BH88" s="2" t="str">
        <f t="shared" si="24"/>
        <v>BMP-38</v>
      </c>
      <c r="BI88" s="2">
        <f>IF(BL87&gt;=VLOOKUP(VLOOKUP(BJ87,坦克个性化设定!$B$18:$E$48,4,FALSE)&amp;BK87,坦克属性分配比例,MATCH("升星次数",坦克属性分配比例标头,0),FALSE),BI87+1,BI87)</f>
        <v>9</v>
      </c>
      <c r="BJ88" s="2" t="str">
        <f t="shared" si="25"/>
        <v>BMP-3</v>
      </c>
      <c r="BK88" s="29" t="str">
        <f>VLOOKUP(BJ88,坦克个性化细分!$I$3:$J$33,2,FALSE)</f>
        <v>高</v>
      </c>
      <c r="BL88" s="2">
        <f t="shared" si="23"/>
        <v>8</v>
      </c>
      <c r="BM88" s="103">
        <f ca="1">ROUND(VLOOKUP($BJ88&amp;"初始",$S$3:$AE$63,MATCH(BM$3,$S$3:$AE$3,0),FALSE)+((VLOOKUP($BJ88&amp;"最终",$S$3:$AE$63,MATCH(BM$3,$S$3:$AE$3,0),FALSE)*坦克个性化细分!$C$9-VLOOKUP($BJ88&amp;"初始",$S$3:$AE$63,MATCH(BM$3,$S$3:$AE$3,0),FALSE))-(VLOOKUP($BJ88&amp;"最终",$S$3:$AE$63,MATCH(BM$3,$S$3:$AE$3,0),FALSE)-VLOOKUP($BJ88&amp;"初始",$S$3:$AE$63,MATCH(BM$3,$S$3:$AE$3,0),FALSE))*VLOOKUP(VLOOKUP($BJ88,坦克个性化设定!$B$18:$E$48,4,FALSE)&amp;$BK88,坦克属性分配比例,MATCH("部件比例",坦克属性分配比例标头,0),FALSE))*$BL88/VLOOKUP(VLOOKUP($BJ88,坦克个性化设定!$B$18:$E$48,4,FALSE)&amp;$BK88,坦克属性分配比例,MATCH("升星次数",坦克属性分配比例标头,0),FALSE),0)</f>
        <v>2419</v>
      </c>
      <c r="BN88" s="103">
        <f ca="1">ROUND(VLOOKUP($BJ88&amp;"初始",$S$3:$AE$63,MATCH(BN$3,$S$3:$AE$3,0),FALSE)+(VLOOKUP($BJ88&amp;"最终",$S$3:$AE$63,MATCH(BN$3,$S$3:$AE$3,0),FALSE)-VLOOKUP($BJ88&amp;"初始",$S$3:$AE$63,MATCH(BN$3,$S$3:$AE$3,0),FALSE))*$BL88/VLOOKUP(VLOOKUP($BJ88,坦克个性化设定!$B$18:$E$48,4,FALSE)&amp;$BK88,坦克属性分配比例,MATCH("升星次数",坦克属性分配比例标头,0),FALSE)*VLOOKUP(VLOOKUP($BJ88,坦克个性化设定!$B$18:$E$48,4,FALSE)&amp;$BK88,坦克属性分配比例,MATCH("升星比例",坦克属性分配比例标头,0),FALSE),0)</f>
        <v>128</v>
      </c>
      <c r="BO88" s="103">
        <f ca="1">ROUND(VLOOKUP($BJ88&amp;"初始",$S$3:$AE$63,MATCH(BO$3,$S$3:$AE$3,0),FALSE)+(VLOOKUP($BJ88&amp;"最终",$S$3:$AE$63,MATCH(BO$3,$S$3:$AE$3,0),FALSE)-VLOOKUP($BJ88&amp;"初始",$S$3:$AE$63,MATCH(BO$3,$S$3:$AE$3,0),FALSE))*$BL88/VLOOKUP(VLOOKUP($BJ88,坦克个性化设定!$B$18:$E$48,4,FALSE)&amp;$BK88,坦克属性分配比例,MATCH("升星次数",坦克属性分配比例标头,0),FALSE)*(VLOOKUP(VLOOKUP($BJ88,坦克个性化设定!$B$18:$E$48,4,FALSE)&amp;$BK88,坦克属性分配比例,MATCH("升星比例",坦克属性分配比例标头,0),FALSE)+VLOOKUP(VLOOKUP($BJ88,坦克个性化设定!$B$18:$E$48,4,FALSE)&amp;$BK88,坦克属性分配比例,MATCH("部件比例",坦克属性分配比例标头,0),FALSE)*$C$3),0)</f>
        <v>857</v>
      </c>
      <c r="BP88" s="103">
        <f ca="1">ROUND(VLOOKUP($BJ88&amp;"初始",$S$3:$AE$63,MATCH(BP$3,$S$3:$AE$3,0),FALSE)+(VLOOKUP($BJ88&amp;"最终",$S$3:$AE$63,MATCH(BP$3,$S$3:$AE$3,0),FALSE)-VLOOKUP($BJ88&amp;"初始",$S$3:$AE$63,MATCH(BP$3,$S$3:$AE$3,0),FALSE))*$BL88/VLOOKUP(VLOOKUP($BJ88,坦克个性化设定!$B$18:$E$48,4,FALSE)&amp;$BK88,坦克属性分配比例,MATCH("升星次数",坦克属性分配比例标头,0),FALSE)*(VLOOKUP(VLOOKUP($BJ88,坦克个性化设定!$B$18:$E$48,4,FALSE)&amp;$BK88,坦克属性分配比例,MATCH("升星比例",坦克属性分配比例标头,0),FALSE)+VLOOKUP(VLOOKUP($BJ88,坦克个性化设定!$B$18:$E$48,4,FALSE)&amp;$BK88,坦克属性分配比例,MATCH("部件比例",坦克属性分配比例标头,0),FALSE)*$C$3),0)</f>
        <v>600</v>
      </c>
      <c r="BQ88" s="103">
        <f ca="1">ROUND(VLOOKUP($BJ88&amp;"初始",$S$3:$AE$63,MATCH(BQ$3,$S$3:$AE$3,0),FALSE)+(VLOOKUP($BJ88&amp;"最终",$S$3:$AE$63,MATCH(BQ$3,$S$3:$AE$3,0),FALSE)-VLOOKUP($BJ88&amp;"初始",$S$3:$AE$63,MATCH(BQ$3,$S$3:$AE$3,0),FALSE))*$BL88/VLOOKUP(VLOOKUP($BJ88,坦克个性化设定!$B$18:$E$48,4,FALSE)&amp;$BK88,坦克属性分配比例,MATCH("升星次数",坦克属性分配比例标头,0),FALSE)*VLOOKUP(VLOOKUP($BJ88,坦克个性化设定!$B$18:$E$48,4,FALSE)&amp;$BK88,坦克属性分配比例,MATCH("升星比例",坦克属性分配比例标头,0),FALSE),0)</f>
        <v>722</v>
      </c>
      <c r="BR88" s="2">
        <f ca="1">ROUND(VLOOKUP($BJ88&amp;"初始",$S$3:$AE$63,MATCH(BR$3,$S$3:$AE$3,0),FALSE)+(VLOOKUP($BJ88&amp;"最终",$S$3:$AE$63,MATCH(BR$3,$S$3:$AE$3,0),FALSE)-VLOOKUP($BJ88&amp;"初始",$S$3:$AE$63,MATCH(BR$3,$S$3:$AE$3,0),FALSE))*$BL88/VLOOKUP(VLOOKUP($BJ88,坦克个性化设定!$B$18:$E$48,4,FALSE)&amp;$BK88,坦克属性分配比例,MATCH("升星次数",坦克属性分配比例标头,0),FALSE),0)</f>
        <v>220</v>
      </c>
      <c r="BS88" s="2">
        <f>ROUND(VLOOKUP($BJ88,$AI$3:$AO$33,MATCH(BS$3,$AI$3:$AO$3,0),FALSE)+$BL88/VLOOKUP(VLOOKUP($BJ88,坦克个性化设定!$B$18:$E$48,4,FALSE)&amp;$BK88,坦克属性分配比例,MATCH("升星次数",坦克属性分配比例标头,0),FALSE)*VLOOKUP($BJ88,$AR$3:$AY$33,MATCH(BS$3,$AR$3:$AY$3,0),FALSE),1)</f>
        <v>52.6</v>
      </c>
      <c r="BT88" s="2">
        <f>ROUND(VLOOKUP($BJ88,$AI$3:$AO$33,MATCH(BT$3,$AI$3:$AO$3,0),FALSE)+$BL88/VLOOKUP(VLOOKUP($BJ88,坦克个性化设定!$B$18:$E$48,4,FALSE)&amp;$BK88,坦克属性分配比例,MATCH("升星次数",坦克属性分配比例标头,0),FALSE)*VLOOKUP($BJ88,$AR$3:$AY$33,MATCH(BT$3,$AR$3:$AY$3,0),FALSE),1)</f>
        <v>62</v>
      </c>
      <c r="BU88" s="2">
        <f>ROUND(VLOOKUP($BJ88,$AI$3:$AO$33,MATCH(BU$3,$AI$3:$AO$3,0),FALSE)+$BL88/VLOOKUP(VLOOKUP($BJ88,坦克个性化设定!$B$18:$E$48,4,FALSE)&amp;$BK88,坦克属性分配比例,MATCH("升星次数",坦克属性分配比例标头,0),FALSE)*VLOOKUP($BJ88,$AR$3:$AY$33,MATCH(BU$3,$AR$3:$AY$3,0),FALSE),1)</f>
        <v>10.5</v>
      </c>
      <c r="BV88" s="2">
        <f>IF(VLOOKUP(BJ88,坦克个性化设定!$B$18:$BC$48,MATCH("装弹类型",坦克个性化设定!$B$18:$BC$18,0),FALSE)="弹夹换弹",0,ROUND(VLOOKUP($BJ88,$AI$3:$AO$33,MATCH("换弹时间",$AI$3:$AO$3,0),FALSE)-$BL88/VLOOKUP(VLOOKUP($BJ88,坦克个性化设定!$B$18:$E$48,4,FALSE)&amp;$BK88,坦克属性分配比例,MATCH("升星次数",坦克属性分配比例标头,0),FALSE)*VLOOKUP($BJ88,$AR$3:$AY$33,MATCH("换弹时间",$AR$3:$AY$3,0),FALSE),2))</f>
        <v>0</v>
      </c>
      <c r="BW88" s="2">
        <f>IF(VLOOKUP(BJ88,坦克个性化设定!$B$18:$BC$48,MATCH("装弹类型",坦克个性化设定!$B$18:$BC$18,0),FALSE)="弹夹换弹",ROUND(VLOOKUP($BJ88,$AI$3:$AO$33,MATCH("换弹时间",$AI$3:$AO$3,0),FALSE)-$BL88/VLOOKUP(VLOOKUP($BJ88,坦克个性化设定!$B$18:$E$48,4,FALSE)&amp;$BK88,坦克属性分配比例,MATCH("升星次数",坦克属性分配比例标头,0),FALSE)*VLOOKUP($BJ88,$AR$3:$AY$33,MATCH("换弹时间",$AR$3:$AY$3,0),FALSE),1),0)</f>
        <v>3.3</v>
      </c>
      <c r="BX88" s="2">
        <f>ROUND(VLOOKUP($BJ88,$AI$3:$AO$33,MATCH(BX$3,$AI$3:$AO$3,0),FALSE)+$BL88/VLOOKUP(VLOOKUP($BJ88,坦克个性化设定!$B$18:$E$48,4,FALSE)&amp;$BK88,坦克属性分配比例,MATCH("升星次数",坦克属性分配比例标头,0),FALSE)*VLOOKUP($BJ88,$AR$3:$AY$33,MATCH(BX$3,$AR$3:$AY$3,0),FALSE),2)</f>
        <v>0.8</v>
      </c>
      <c r="BY88" s="2">
        <f>ROUND(VLOOKUP($BJ88,$AI$3:$AO$33,MATCH(BY$3,$AI$3:$AO$3,0),FALSE)-$BL88/VLOOKUP(VLOOKUP($BJ88,坦克个性化设定!$B$18:$E$48,4,FALSE)&amp;$BK88,坦克属性分配比例,MATCH("升星次数",坦克属性分配比例标头,0),FALSE)*VLOOKUP($BJ88,$AR$3:$AY$33,MATCH(BY$3,$AR$3:$AY$3,0),FALSE),2)</f>
        <v>0.51</v>
      </c>
    </row>
    <row r="89" spans="60:77" x14ac:dyDescent="0.3">
      <c r="BH89" s="2" t="str">
        <f t="shared" si="24"/>
        <v>BMP-39</v>
      </c>
      <c r="BI89" s="2">
        <f>IF(BL88&gt;=VLOOKUP(VLOOKUP(BJ88,坦克个性化设定!$B$18:$E$48,4,FALSE)&amp;BK88,坦克属性分配比例,MATCH("升星次数",坦克属性分配比例标头,0),FALSE),BI88+1,BI88)</f>
        <v>9</v>
      </c>
      <c r="BJ89" s="2" t="str">
        <f t="shared" si="25"/>
        <v>BMP-3</v>
      </c>
      <c r="BK89" s="29" t="str">
        <f>VLOOKUP(BJ89,坦克个性化细分!$I$3:$J$33,2,FALSE)</f>
        <v>高</v>
      </c>
      <c r="BL89" s="2">
        <f t="shared" si="23"/>
        <v>9</v>
      </c>
      <c r="BM89" s="103">
        <f ca="1">ROUND(VLOOKUP($BJ89&amp;"初始",$S$3:$AE$63,MATCH(BM$3,$S$3:$AE$3,0),FALSE)+((VLOOKUP($BJ89&amp;"最终",$S$3:$AE$63,MATCH(BM$3,$S$3:$AE$3,0),FALSE)*坦克个性化细分!$C$9-VLOOKUP($BJ89&amp;"初始",$S$3:$AE$63,MATCH(BM$3,$S$3:$AE$3,0),FALSE))-(VLOOKUP($BJ89&amp;"最终",$S$3:$AE$63,MATCH(BM$3,$S$3:$AE$3,0),FALSE)-VLOOKUP($BJ89&amp;"初始",$S$3:$AE$63,MATCH(BM$3,$S$3:$AE$3,0),FALSE))*VLOOKUP(VLOOKUP($BJ89,坦克个性化设定!$B$18:$E$48,4,FALSE)&amp;$BK89,坦克属性分配比例,MATCH("部件比例",坦克属性分配比例标头,0),FALSE))*$BL89/VLOOKUP(VLOOKUP($BJ89,坦克个性化设定!$B$18:$E$48,4,FALSE)&amp;$BK89,坦克属性分配比例,MATCH("升星次数",坦克属性分配比例标头,0),FALSE),0)</f>
        <v>2498</v>
      </c>
      <c r="BN89" s="103">
        <f ca="1">ROUND(VLOOKUP($BJ89&amp;"初始",$S$3:$AE$63,MATCH(BN$3,$S$3:$AE$3,0),FALSE)+(VLOOKUP($BJ89&amp;"最终",$S$3:$AE$63,MATCH(BN$3,$S$3:$AE$3,0),FALSE)-VLOOKUP($BJ89&amp;"初始",$S$3:$AE$63,MATCH(BN$3,$S$3:$AE$3,0),FALSE))*$BL89/VLOOKUP(VLOOKUP($BJ89,坦克个性化设定!$B$18:$E$48,4,FALSE)&amp;$BK89,坦克属性分配比例,MATCH("升星次数",坦克属性分配比例标头,0),FALSE)*VLOOKUP(VLOOKUP($BJ89,坦克个性化设定!$B$18:$E$48,4,FALSE)&amp;$BK89,坦克属性分配比例,MATCH("升星比例",坦克属性分配比例标头,0),FALSE),0)</f>
        <v>131</v>
      </c>
      <c r="BO89" s="103">
        <f ca="1">ROUND(VLOOKUP($BJ89&amp;"初始",$S$3:$AE$63,MATCH(BO$3,$S$3:$AE$3,0),FALSE)+(VLOOKUP($BJ89&amp;"最终",$S$3:$AE$63,MATCH(BO$3,$S$3:$AE$3,0),FALSE)-VLOOKUP($BJ89&amp;"初始",$S$3:$AE$63,MATCH(BO$3,$S$3:$AE$3,0),FALSE))*$BL89/VLOOKUP(VLOOKUP($BJ89,坦克个性化设定!$B$18:$E$48,4,FALSE)&amp;$BK89,坦克属性分配比例,MATCH("升星次数",坦克属性分配比例标头,0),FALSE)*(VLOOKUP(VLOOKUP($BJ89,坦克个性化设定!$B$18:$E$48,4,FALSE)&amp;$BK89,坦克属性分配比例,MATCH("升星比例",坦克属性分配比例标头,0),FALSE)+VLOOKUP(VLOOKUP($BJ89,坦克个性化设定!$B$18:$E$48,4,FALSE)&amp;$BK89,坦克属性分配比例,MATCH("部件比例",坦克属性分配比例标头,0),FALSE)*$C$3),0)</f>
        <v>882</v>
      </c>
      <c r="BP89" s="103">
        <f ca="1">ROUND(VLOOKUP($BJ89&amp;"初始",$S$3:$AE$63,MATCH(BP$3,$S$3:$AE$3,0),FALSE)+(VLOOKUP($BJ89&amp;"最终",$S$3:$AE$63,MATCH(BP$3,$S$3:$AE$3,0),FALSE)-VLOOKUP($BJ89&amp;"初始",$S$3:$AE$63,MATCH(BP$3,$S$3:$AE$3,0),FALSE))*$BL89/VLOOKUP(VLOOKUP($BJ89,坦克个性化设定!$B$18:$E$48,4,FALSE)&amp;$BK89,坦克属性分配比例,MATCH("升星次数",坦克属性分配比例标头,0),FALSE)*(VLOOKUP(VLOOKUP($BJ89,坦克个性化设定!$B$18:$E$48,4,FALSE)&amp;$BK89,坦克属性分配比例,MATCH("升星比例",坦克属性分配比例标头,0),FALSE)+VLOOKUP(VLOOKUP($BJ89,坦克个性化设定!$B$18:$E$48,4,FALSE)&amp;$BK89,坦克属性分配比例,MATCH("部件比例",坦克属性分配比例标头,0),FALSE)*$C$3),0)</f>
        <v>618</v>
      </c>
      <c r="BQ89" s="103">
        <f ca="1">ROUND(VLOOKUP($BJ89&amp;"初始",$S$3:$AE$63,MATCH(BQ$3,$S$3:$AE$3,0),FALSE)+(VLOOKUP($BJ89&amp;"最终",$S$3:$AE$63,MATCH(BQ$3,$S$3:$AE$3,0),FALSE)-VLOOKUP($BJ89&amp;"初始",$S$3:$AE$63,MATCH(BQ$3,$S$3:$AE$3,0),FALSE))*$BL89/VLOOKUP(VLOOKUP($BJ89,坦克个性化设定!$B$18:$E$48,4,FALSE)&amp;$BK89,坦克属性分配比例,MATCH("升星次数",坦克属性分配比例标头,0),FALSE)*VLOOKUP(VLOOKUP($BJ89,坦克个性化设定!$B$18:$E$48,4,FALSE)&amp;$BK89,坦克属性分配比例,MATCH("升星比例",坦克属性分配比例标头,0),FALSE),0)</f>
        <v>738</v>
      </c>
      <c r="BR89" s="2">
        <f ca="1">ROUND(VLOOKUP($BJ89&amp;"初始",$S$3:$AE$63,MATCH(BR$3,$S$3:$AE$3,0),FALSE)+(VLOOKUP($BJ89&amp;"最终",$S$3:$AE$63,MATCH(BR$3,$S$3:$AE$3,0),FALSE)-VLOOKUP($BJ89&amp;"初始",$S$3:$AE$63,MATCH(BR$3,$S$3:$AE$3,0),FALSE))*$BL89/VLOOKUP(VLOOKUP($BJ89,坦克个性化设定!$B$18:$E$48,4,FALSE)&amp;$BK89,坦克属性分配比例,MATCH("升星次数",坦克属性分配比例标头,0),FALSE),0)</f>
        <v>227</v>
      </c>
      <c r="BS89" s="2">
        <f>ROUND(VLOOKUP($BJ89,$AI$3:$AO$33,MATCH(BS$3,$AI$3:$AO$3,0),FALSE)+$BL89/VLOOKUP(VLOOKUP($BJ89,坦克个性化设定!$B$18:$E$48,4,FALSE)&amp;$BK89,坦克属性分配比例,MATCH("升星次数",坦克属性分配比例标头,0),FALSE)*VLOOKUP($BJ89,$AR$3:$AY$33,MATCH(BS$3,$AR$3:$AY$3,0),FALSE),1)</f>
        <v>53.6</v>
      </c>
      <c r="BT89" s="2">
        <f>ROUND(VLOOKUP($BJ89,$AI$3:$AO$33,MATCH(BT$3,$AI$3:$AO$3,0),FALSE)+$BL89/VLOOKUP(VLOOKUP($BJ89,坦克个性化设定!$B$18:$E$48,4,FALSE)&amp;$BK89,坦克属性分配比例,MATCH("升星次数",坦克属性分配比例标头,0),FALSE)*VLOOKUP($BJ89,$AR$3:$AY$33,MATCH(BT$3,$AR$3:$AY$3,0),FALSE),1)</f>
        <v>63.2</v>
      </c>
      <c r="BU89" s="2">
        <f>ROUND(VLOOKUP($BJ89,$AI$3:$AO$33,MATCH(BU$3,$AI$3:$AO$3,0),FALSE)+$BL89/VLOOKUP(VLOOKUP($BJ89,坦克个性化设定!$B$18:$E$48,4,FALSE)&amp;$BK89,坦克属性分配比例,MATCH("升星次数",坦克属性分配比例标头,0),FALSE)*VLOOKUP($BJ89,$AR$3:$AY$33,MATCH(BU$3,$AR$3:$AY$3,0),FALSE),1)</f>
        <v>10.5</v>
      </c>
      <c r="BV89" s="2">
        <f>IF(VLOOKUP(BJ89,坦克个性化设定!$B$18:$BC$48,MATCH("装弹类型",坦克个性化设定!$B$18:$BC$18,0),FALSE)="弹夹换弹",0,ROUND(VLOOKUP($BJ89,$AI$3:$AO$33,MATCH("换弹时间",$AI$3:$AO$3,0),FALSE)-$BL89/VLOOKUP(VLOOKUP($BJ89,坦克个性化设定!$B$18:$E$48,4,FALSE)&amp;$BK89,坦克属性分配比例,MATCH("升星次数",坦克属性分配比例标头,0),FALSE)*VLOOKUP($BJ89,$AR$3:$AY$33,MATCH("换弹时间",$AR$3:$AY$3,0),FALSE),2))</f>
        <v>0</v>
      </c>
      <c r="BW89" s="2">
        <f>IF(VLOOKUP(BJ89,坦克个性化设定!$B$18:$BC$48,MATCH("装弹类型",坦克个性化设定!$B$18:$BC$18,0),FALSE)="弹夹换弹",ROUND(VLOOKUP($BJ89,$AI$3:$AO$33,MATCH("换弹时间",$AI$3:$AO$3,0),FALSE)-$BL89/VLOOKUP(VLOOKUP($BJ89,坦克个性化设定!$B$18:$E$48,4,FALSE)&amp;$BK89,坦克属性分配比例,MATCH("升星次数",坦克属性分配比例标头,0),FALSE)*VLOOKUP($BJ89,$AR$3:$AY$33,MATCH("换弹时间",$AR$3:$AY$3,0),FALSE),1),0)</f>
        <v>3.2</v>
      </c>
      <c r="BX89" s="2">
        <f>ROUND(VLOOKUP($BJ89,$AI$3:$AO$33,MATCH(BX$3,$AI$3:$AO$3,0),FALSE)+$BL89/VLOOKUP(VLOOKUP($BJ89,坦克个性化设定!$B$18:$E$48,4,FALSE)&amp;$BK89,坦克属性分配比例,MATCH("升星次数",坦克属性分配比例标头,0),FALSE)*VLOOKUP($BJ89,$AR$3:$AY$33,MATCH(BX$3,$AR$3:$AY$3,0),FALSE),2)</f>
        <v>0.8</v>
      </c>
      <c r="BY89" s="2">
        <f>ROUND(VLOOKUP($BJ89,$AI$3:$AO$33,MATCH(BY$3,$AI$3:$AO$3,0),FALSE)-$BL89/VLOOKUP(VLOOKUP($BJ89,坦克个性化设定!$B$18:$E$48,4,FALSE)&amp;$BK89,坦克属性分配比例,MATCH("升星次数",坦克属性分配比例标头,0),FALSE)*VLOOKUP($BJ89,$AR$3:$AY$33,MATCH(BY$3,$AR$3:$AY$3,0),FALSE),2)</f>
        <v>0.5</v>
      </c>
    </row>
    <row r="90" spans="60:77" x14ac:dyDescent="0.3">
      <c r="BH90" s="2" t="str">
        <f t="shared" si="24"/>
        <v>BMP-310</v>
      </c>
      <c r="BI90" s="2">
        <f>IF(BL89&gt;=VLOOKUP(VLOOKUP(BJ89,坦克个性化设定!$B$18:$E$48,4,FALSE)&amp;BK89,坦克属性分配比例,MATCH("升星次数",坦克属性分配比例标头,0),FALSE),BI89+1,BI89)</f>
        <v>9</v>
      </c>
      <c r="BJ90" s="2" t="str">
        <f t="shared" si="25"/>
        <v>BMP-3</v>
      </c>
      <c r="BK90" s="29" t="str">
        <f>VLOOKUP(BJ90,坦克个性化细分!$I$3:$J$33,2,FALSE)</f>
        <v>高</v>
      </c>
      <c r="BL90" s="2">
        <f t="shared" si="23"/>
        <v>10</v>
      </c>
      <c r="BM90" s="103">
        <f ca="1">ROUND(VLOOKUP($BJ90&amp;"初始",$S$3:$AE$63,MATCH(BM$3,$S$3:$AE$3,0),FALSE)+((VLOOKUP($BJ90&amp;"最终",$S$3:$AE$63,MATCH(BM$3,$S$3:$AE$3,0),FALSE)*坦克个性化细分!$C$9-VLOOKUP($BJ90&amp;"初始",$S$3:$AE$63,MATCH(BM$3,$S$3:$AE$3,0),FALSE))-(VLOOKUP($BJ90&amp;"最终",$S$3:$AE$63,MATCH(BM$3,$S$3:$AE$3,0),FALSE)-VLOOKUP($BJ90&amp;"初始",$S$3:$AE$63,MATCH(BM$3,$S$3:$AE$3,0),FALSE))*VLOOKUP(VLOOKUP($BJ90,坦克个性化设定!$B$18:$E$48,4,FALSE)&amp;$BK90,坦克属性分配比例,MATCH("部件比例",坦克属性分配比例标头,0),FALSE))*$BL90/VLOOKUP(VLOOKUP($BJ90,坦克个性化设定!$B$18:$E$48,4,FALSE)&amp;$BK90,坦克属性分配比例,MATCH("升星次数",坦克属性分配比例标头,0),FALSE),0)</f>
        <v>2577</v>
      </c>
      <c r="BN90" s="103">
        <f ca="1">ROUND(VLOOKUP($BJ90&amp;"初始",$S$3:$AE$63,MATCH(BN$3,$S$3:$AE$3,0),FALSE)+(VLOOKUP($BJ90&amp;"最终",$S$3:$AE$63,MATCH(BN$3,$S$3:$AE$3,0),FALSE)-VLOOKUP($BJ90&amp;"初始",$S$3:$AE$63,MATCH(BN$3,$S$3:$AE$3,0),FALSE))*$BL90/VLOOKUP(VLOOKUP($BJ90,坦克个性化设定!$B$18:$E$48,4,FALSE)&amp;$BK90,坦克属性分配比例,MATCH("升星次数",坦克属性分配比例标头,0),FALSE)*VLOOKUP(VLOOKUP($BJ90,坦克个性化设定!$B$18:$E$48,4,FALSE)&amp;$BK90,坦克属性分配比例,MATCH("升星比例",坦克属性分配比例标头,0),FALSE),0)</f>
        <v>133</v>
      </c>
      <c r="BO90" s="103">
        <f ca="1">ROUND(VLOOKUP($BJ90&amp;"初始",$S$3:$AE$63,MATCH(BO$3,$S$3:$AE$3,0),FALSE)+(VLOOKUP($BJ90&amp;"最终",$S$3:$AE$63,MATCH(BO$3,$S$3:$AE$3,0),FALSE)-VLOOKUP($BJ90&amp;"初始",$S$3:$AE$63,MATCH(BO$3,$S$3:$AE$3,0),FALSE))*$BL90/VLOOKUP(VLOOKUP($BJ90,坦克个性化设定!$B$18:$E$48,4,FALSE)&amp;$BK90,坦克属性分配比例,MATCH("升星次数",坦克属性分配比例标头,0),FALSE)*(VLOOKUP(VLOOKUP($BJ90,坦克个性化设定!$B$18:$E$48,4,FALSE)&amp;$BK90,坦克属性分配比例,MATCH("升星比例",坦克属性分配比例标头,0),FALSE)+VLOOKUP(VLOOKUP($BJ90,坦克个性化设定!$B$18:$E$48,4,FALSE)&amp;$BK90,坦克属性分配比例,MATCH("部件比例",坦克属性分配比例标头,0),FALSE)*$C$3),0)</f>
        <v>907</v>
      </c>
      <c r="BP90" s="103">
        <f ca="1">ROUND(VLOOKUP($BJ90&amp;"初始",$S$3:$AE$63,MATCH(BP$3,$S$3:$AE$3,0),FALSE)+(VLOOKUP($BJ90&amp;"最终",$S$3:$AE$63,MATCH(BP$3,$S$3:$AE$3,0),FALSE)-VLOOKUP($BJ90&amp;"初始",$S$3:$AE$63,MATCH(BP$3,$S$3:$AE$3,0),FALSE))*$BL90/VLOOKUP(VLOOKUP($BJ90,坦克个性化设定!$B$18:$E$48,4,FALSE)&amp;$BK90,坦克属性分配比例,MATCH("升星次数",坦克属性分配比例标头,0),FALSE)*(VLOOKUP(VLOOKUP($BJ90,坦克个性化设定!$B$18:$E$48,4,FALSE)&amp;$BK90,坦克属性分配比例,MATCH("升星比例",坦克属性分配比例标头,0),FALSE)+VLOOKUP(VLOOKUP($BJ90,坦克个性化设定!$B$18:$E$48,4,FALSE)&amp;$BK90,坦克属性分配比例,MATCH("部件比例",坦克属性分配比例标头,0),FALSE)*$C$3),0)</f>
        <v>635</v>
      </c>
      <c r="BQ90" s="103">
        <f ca="1">ROUND(VLOOKUP($BJ90&amp;"初始",$S$3:$AE$63,MATCH(BQ$3,$S$3:$AE$3,0),FALSE)+(VLOOKUP($BJ90&amp;"最终",$S$3:$AE$63,MATCH(BQ$3,$S$3:$AE$3,0),FALSE)-VLOOKUP($BJ90&amp;"初始",$S$3:$AE$63,MATCH(BQ$3,$S$3:$AE$3,0),FALSE))*$BL90/VLOOKUP(VLOOKUP($BJ90,坦克个性化设定!$B$18:$E$48,4,FALSE)&amp;$BK90,坦克属性分配比例,MATCH("升星次数",坦克属性分配比例标头,0),FALSE)*VLOOKUP(VLOOKUP($BJ90,坦克个性化设定!$B$18:$E$48,4,FALSE)&amp;$BK90,坦克属性分配比例,MATCH("升星比例",坦克属性分配比例标头,0),FALSE),0)</f>
        <v>753</v>
      </c>
      <c r="BR90" s="2">
        <f ca="1">ROUND(VLOOKUP($BJ90&amp;"初始",$S$3:$AE$63,MATCH(BR$3,$S$3:$AE$3,0),FALSE)+(VLOOKUP($BJ90&amp;"最终",$S$3:$AE$63,MATCH(BR$3,$S$3:$AE$3,0),FALSE)-VLOOKUP($BJ90&amp;"初始",$S$3:$AE$63,MATCH(BR$3,$S$3:$AE$3,0),FALSE))*$BL90/VLOOKUP(VLOOKUP($BJ90,坦克个性化设定!$B$18:$E$48,4,FALSE)&amp;$BK90,坦克属性分配比例,MATCH("升星次数",坦克属性分配比例标头,0),FALSE),0)</f>
        <v>235</v>
      </c>
      <c r="BS90" s="2">
        <f>ROUND(VLOOKUP($BJ90,$AI$3:$AO$33,MATCH(BS$3,$AI$3:$AO$3,0),FALSE)+$BL90/VLOOKUP(VLOOKUP($BJ90,坦克个性化设定!$B$18:$E$48,4,FALSE)&amp;$BK90,坦克属性分配比例,MATCH("升星次数",坦克属性分配比例标头,0),FALSE)*VLOOKUP($BJ90,$AR$3:$AY$33,MATCH(BS$3,$AR$3:$AY$3,0),FALSE),1)</f>
        <v>54.6</v>
      </c>
      <c r="BT90" s="2">
        <f>ROUND(VLOOKUP($BJ90,$AI$3:$AO$33,MATCH(BT$3,$AI$3:$AO$3,0),FALSE)+$BL90/VLOOKUP(VLOOKUP($BJ90,坦克个性化设定!$B$18:$E$48,4,FALSE)&amp;$BK90,坦克属性分配比例,MATCH("升星次数",坦克属性分配比例标头,0),FALSE)*VLOOKUP($BJ90,$AR$3:$AY$33,MATCH(BT$3,$AR$3:$AY$3,0),FALSE),1)</f>
        <v>64.400000000000006</v>
      </c>
      <c r="BU90" s="2">
        <f>ROUND(VLOOKUP($BJ90,$AI$3:$AO$33,MATCH(BU$3,$AI$3:$AO$3,0),FALSE)+$BL90/VLOOKUP(VLOOKUP($BJ90,坦克个性化设定!$B$18:$E$48,4,FALSE)&amp;$BK90,坦克属性分配比例,MATCH("升星次数",坦克属性分配比例标头,0),FALSE)*VLOOKUP($BJ90,$AR$3:$AY$33,MATCH(BU$3,$AR$3:$AY$3,0),FALSE),1)</f>
        <v>10.5</v>
      </c>
      <c r="BV90" s="2">
        <f>IF(VLOOKUP(BJ90,坦克个性化设定!$B$18:$BC$48,MATCH("装弹类型",坦克个性化设定!$B$18:$BC$18,0),FALSE)="弹夹换弹",0,ROUND(VLOOKUP($BJ90,$AI$3:$AO$33,MATCH("换弹时间",$AI$3:$AO$3,0),FALSE)-$BL90/VLOOKUP(VLOOKUP($BJ90,坦克个性化设定!$B$18:$E$48,4,FALSE)&amp;$BK90,坦克属性分配比例,MATCH("升星次数",坦克属性分配比例标头,0),FALSE)*VLOOKUP($BJ90,$AR$3:$AY$33,MATCH("换弹时间",$AR$3:$AY$3,0),FALSE),2))</f>
        <v>0</v>
      </c>
      <c r="BW90" s="2">
        <f>IF(VLOOKUP(BJ90,坦克个性化设定!$B$18:$BC$48,MATCH("装弹类型",坦克个性化设定!$B$18:$BC$18,0),FALSE)="弹夹换弹",ROUND(VLOOKUP($BJ90,$AI$3:$AO$33,MATCH("换弹时间",$AI$3:$AO$3,0),FALSE)-$BL90/VLOOKUP(VLOOKUP($BJ90,坦克个性化设定!$B$18:$E$48,4,FALSE)&amp;$BK90,坦克属性分配比例,MATCH("升星次数",坦克属性分配比例标头,0),FALSE)*VLOOKUP($BJ90,$AR$3:$AY$33,MATCH("换弹时间",$AR$3:$AY$3,0),FALSE),1),0)</f>
        <v>3.1</v>
      </c>
      <c r="BX90" s="2">
        <f>ROUND(VLOOKUP($BJ90,$AI$3:$AO$33,MATCH(BX$3,$AI$3:$AO$3,0),FALSE)+$BL90/VLOOKUP(VLOOKUP($BJ90,坦克个性化设定!$B$18:$E$48,4,FALSE)&amp;$BK90,坦克属性分配比例,MATCH("升星次数",坦克属性分配比例标头,0),FALSE)*VLOOKUP($BJ90,$AR$3:$AY$33,MATCH(BX$3,$AR$3:$AY$3,0),FALSE),2)</f>
        <v>0.8</v>
      </c>
      <c r="BY90" s="2">
        <f>ROUND(VLOOKUP($BJ90,$AI$3:$AO$33,MATCH(BY$3,$AI$3:$AO$3,0),FALSE)-$BL90/VLOOKUP(VLOOKUP($BJ90,坦克个性化设定!$B$18:$E$48,4,FALSE)&amp;$BK90,坦克属性分配比例,MATCH("升星次数",坦克属性分配比例标头,0),FALSE)*VLOOKUP($BJ90,$AR$3:$AY$33,MATCH(BY$3,$AR$3:$AY$3,0),FALSE),2)</f>
        <v>0.49</v>
      </c>
    </row>
    <row r="91" spans="60:77" x14ac:dyDescent="0.3">
      <c r="BH91" s="2" t="str">
        <f t="shared" si="24"/>
        <v>BMP-311</v>
      </c>
      <c r="BI91" s="2">
        <f>IF(BL90&gt;=VLOOKUP(VLOOKUP(BJ90,坦克个性化设定!$B$18:$E$48,4,FALSE)&amp;BK90,坦克属性分配比例,MATCH("升星次数",坦克属性分配比例标头,0),FALSE),BI90+1,BI90)</f>
        <v>9</v>
      </c>
      <c r="BJ91" s="2" t="str">
        <f t="shared" si="25"/>
        <v>BMP-3</v>
      </c>
      <c r="BK91" s="29" t="str">
        <f>VLOOKUP(BJ91,坦克个性化细分!$I$3:$J$33,2,FALSE)</f>
        <v>高</v>
      </c>
      <c r="BL91" s="2">
        <f t="shared" si="23"/>
        <v>11</v>
      </c>
      <c r="BM91" s="103">
        <f ca="1">ROUND(VLOOKUP($BJ91&amp;"初始",$S$3:$AE$63,MATCH(BM$3,$S$3:$AE$3,0),FALSE)+((VLOOKUP($BJ91&amp;"最终",$S$3:$AE$63,MATCH(BM$3,$S$3:$AE$3,0),FALSE)*坦克个性化细分!$C$9-VLOOKUP($BJ91&amp;"初始",$S$3:$AE$63,MATCH(BM$3,$S$3:$AE$3,0),FALSE))-(VLOOKUP($BJ91&amp;"最终",$S$3:$AE$63,MATCH(BM$3,$S$3:$AE$3,0),FALSE)-VLOOKUP($BJ91&amp;"初始",$S$3:$AE$63,MATCH(BM$3,$S$3:$AE$3,0),FALSE))*VLOOKUP(VLOOKUP($BJ91,坦克个性化设定!$B$18:$E$48,4,FALSE)&amp;$BK91,坦克属性分配比例,MATCH("部件比例",坦克属性分配比例标头,0),FALSE))*$BL91/VLOOKUP(VLOOKUP($BJ91,坦克个性化设定!$B$18:$E$48,4,FALSE)&amp;$BK91,坦克属性分配比例,MATCH("升星次数",坦克属性分配比例标头,0),FALSE),0)</f>
        <v>2656</v>
      </c>
      <c r="BN91" s="103">
        <f ca="1">ROUND(VLOOKUP($BJ91&amp;"初始",$S$3:$AE$63,MATCH(BN$3,$S$3:$AE$3,0),FALSE)+(VLOOKUP($BJ91&amp;"最终",$S$3:$AE$63,MATCH(BN$3,$S$3:$AE$3,0),FALSE)-VLOOKUP($BJ91&amp;"初始",$S$3:$AE$63,MATCH(BN$3,$S$3:$AE$3,0),FALSE))*$BL91/VLOOKUP(VLOOKUP($BJ91,坦克个性化设定!$B$18:$E$48,4,FALSE)&amp;$BK91,坦克属性分配比例,MATCH("升星次数",坦克属性分配比例标头,0),FALSE)*VLOOKUP(VLOOKUP($BJ91,坦克个性化设定!$B$18:$E$48,4,FALSE)&amp;$BK91,坦克属性分配比例,MATCH("升星比例",坦克属性分配比例标头,0),FALSE),0)</f>
        <v>136</v>
      </c>
      <c r="BO91" s="103">
        <f ca="1">ROUND(VLOOKUP($BJ91&amp;"初始",$S$3:$AE$63,MATCH(BO$3,$S$3:$AE$3,0),FALSE)+(VLOOKUP($BJ91&amp;"最终",$S$3:$AE$63,MATCH(BO$3,$S$3:$AE$3,0),FALSE)-VLOOKUP($BJ91&amp;"初始",$S$3:$AE$63,MATCH(BO$3,$S$3:$AE$3,0),FALSE))*$BL91/VLOOKUP(VLOOKUP($BJ91,坦克个性化设定!$B$18:$E$48,4,FALSE)&amp;$BK91,坦克属性分配比例,MATCH("升星次数",坦克属性分配比例标头,0),FALSE)*(VLOOKUP(VLOOKUP($BJ91,坦克个性化设定!$B$18:$E$48,4,FALSE)&amp;$BK91,坦克属性分配比例,MATCH("升星比例",坦克属性分配比例标头,0),FALSE)+VLOOKUP(VLOOKUP($BJ91,坦克个性化设定!$B$18:$E$48,4,FALSE)&amp;$BK91,坦克属性分配比例,MATCH("部件比例",坦克属性分配比例标头,0),FALSE)*$C$3),0)</f>
        <v>932</v>
      </c>
      <c r="BP91" s="103">
        <f ca="1">ROUND(VLOOKUP($BJ91&amp;"初始",$S$3:$AE$63,MATCH(BP$3,$S$3:$AE$3,0),FALSE)+(VLOOKUP($BJ91&amp;"最终",$S$3:$AE$63,MATCH(BP$3,$S$3:$AE$3,0),FALSE)-VLOOKUP($BJ91&amp;"初始",$S$3:$AE$63,MATCH(BP$3,$S$3:$AE$3,0),FALSE))*$BL91/VLOOKUP(VLOOKUP($BJ91,坦克个性化设定!$B$18:$E$48,4,FALSE)&amp;$BK91,坦克属性分配比例,MATCH("升星次数",坦克属性分配比例标头,0),FALSE)*(VLOOKUP(VLOOKUP($BJ91,坦克个性化设定!$B$18:$E$48,4,FALSE)&amp;$BK91,坦克属性分配比例,MATCH("升星比例",坦克属性分配比例标头,0),FALSE)+VLOOKUP(VLOOKUP($BJ91,坦克个性化设定!$B$18:$E$48,4,FALSE)&amp;$BK91,坦克属性分配比例,MATCH("部件比例",坦克属性分配比例标头,0),FALSE)*$C$3),0)</f>
        <v>653</v>
      </c>
      <c r="BQ91" s="103">
        <f ca="1">ROUND(VLOOKUP($BJ91&amp;"初始",$S$3:$AE$63,MATCH(BQ$3,$S$3:$AE$3,0),FALSE)+(VLOOKUP($BJ91&amp;"最终",$S$3:$AE$63,MATCH(BQ$3,$S$3:$AE$3,0),FALSE)-VLOOKUP($BJ91&amp;"初始",$S$3:$AE$63,MATCH(BQ$3,$S$3:$AE$3,0),FALSE))*$BL91/VLOOKUP(VLOOKUP($BJ91,坦克个性化设定!$B$18:$E$48,4,FALSE)&amp;$BK91,坦克属性分配比例,MATCH("升星次数",坦克属性分配比例标头,0),FALSE)*VLOOKUP(VLOOKUP($BJ91,坦克个性化设定!$B$18:$E$48,4,FALSE)&amp;$BK91,坦克属性分配比例,MATCH("升星比例",坦克属性分配比例标头,0),FALSE),0)</f>
        <v>768</v>
      </c>
      <c r="BR91" s="2">
        <f ca="1">ROUND(VLOOKUP($BJ91&amp;"初始",$S$3:$AE$63,MATCH(BR$3,$S$3:$AE$3,0),FALSE)+(VLOOKUP($BJ91&amp;"最终",$S$3:$AE$63,MATCH(BR$3,$S$3:$AE$3,0),FALSE)-VLOOKUP($BJ91&amp;"初始",$S$3:$AE$63,MATCH(BR$3,$S$3:$AE$3,0),FALSE))*$BL91/VLOOKUP(VLOOKUP($BJ91,坦克个性化设定!$B$18:$E$48,4,FALSE)&amp;$BK91,坦克属性分配比例,MATCH("升星次数",坦克属性分配比例标头,0),FALSE),0)</f>
        <v>242</v>
      </c>
      <c r="BS91" s="2">
        <f>ROUND(VLOOKUP($BJ91,$AI$3:$AO$33,MATCH(BS$3,$AI$3:$AO$3,0),FALSE)+$BL91/VLOOKUP(VLOOKUP($BJ91,坦克个性化设定!$B$18:$E$48,4,FALSE)&amp;$BK91,坦克属性分配比例,MATCH("升星次数",坦克属性分配比例标头,0),FALSE)*VLOOKUP($BJ91,$AR$3:$AY$33,MATCH(BS$3,$AR$3:$AY$3,0),FALSE),1)</f>
        <v>55.6</v>
      </c>
      <c r="BT91" s="2">
        <f>ROUND(VLOOKUP($BJ91,$AI$3:$AO$33,MATCH(BT$3,$AI$3:$AO$3,0),FALSE)+$BL91/VLOOKUP(VLOOKUP($BJ91,坦克个性化设定!$B$18:$E$48,4,FALSE)&amp;$BK91,坦克属性分配比例,MATCH("升星次数",坦克属性分配比例标头,0),FALSE)*VLOOKUP($BJ91,$AR$3:$AY$33,MATCH(BT$3,$AR$3:$AY$3,0),FALSE),1)</f>
        <v>65.599999999999994</v>
      </c>
      <c r="BU91" s="2">
        <f>ROUND(VLOOKUP($BJ91,$AI$3:$AO$33,MATCH(BU$3,$AI$3:$AO$3,0),FALSE)+$BL91/VLOOKUP(VLOOKUP($BJ91,坦克个性化设定!$B$18:$E$48,4,FALSE)&amp;$BK91,坦克属性分配比例,MATCH("升星次数",坦克属性分配比例标头,0),FALSE)*VLOOKUP($BJ91,$AR$3:$AY$33,MATCH(BU$3,$AR$3:$AY$3,0),FALSE),1)</f>
        <v>10.5</v>
      </c>
      <c r="BV91" s="2">
        <f>IF(VLOOKUP(BJ91,坦克个性化设定!$B$18:$BC$48,MATCH("装弹类型",坦克个性化设定!$B$18:$BC$18,0),FALSE)="弹夹换弹",0,ROUND(VLOOKUP($BJ91,$AI$3:$AO$33,MATCH("换弹时间",$AI$3:$AO$3,0),FALSE)-$BL91/VLOOKUP(VLOOKUP($BJ91,坦克个性化设定!$B$18:$E$48,4,FALSE)&amp;$BK91,坦克属性分配比例,MATCH("升星次数",坦克属性分配比例标头,0),FALSE)*VLOOKUP($BJ91,$AR$3:$AY$33,MATCH("换弹时间",$AR$3:$AY$3,0),FALSE),2))</f>
        <v>0</v>
      </c>
      <c r="BW91" s="2">
        <f>IF(VLOOKUP(BJ91,坦克个性化设定!$B$18:$BC$48,MATCH("装弹类型",坦克个性化设定!$B$18:$BC$18,0),FALSE)="弹夹换弹",ROUND(VLOOKUP($BJ91,$AI$3:$AO$33,MATCH("换弹时间",$AI$3:$AO$3,0),FALSE)-$BL91/VLOOKUP(VLOOKUP($BJ91,坦克个性化设定!$B$18:$E$48,4,FALSE)&amp;$BK91,坦克属性分配比例,MATCH("升星次数",坦克属性分配比例标头,0),FALSE)*VLOOKUP($BJ91,$AR$3:$AY$33,MATCH("换弹时间",$AR$3:$AY$3,0),FALSE),1),0)</f>
        <v>3</v>
      </c>
      <c r="BX91" s="2">
        <f>ROUND(VLOOKUP($BJ91,$AI$3:$AO$33,MATCH(BX$3,$AI$3:$AO$3,0),FALSE)+$BL91/VLOOKUP(VLOOKUP($BJ91,坦克个性化设定!$B$18:$E$48,4,FALSE)&amp;$BK91,坦克属性分配比例,MATCH("升星次数",坦克属性分配比例标头,0),FALSE)*VLOOKUP($BJ91,$AR$3:$AY$33,MATCH(BX$3,$AR$3:$AY$3,0),FALSE),2)</f>
        <v>0.8</v>
      </c>
      <c r="BY91" s="2">
        <f>ROUND(VLOOKUP($BJ91,$AI$3:$AO$33,MATCH(BY$3,$AI$3:$AO$3,0),FALSE)-$BL91/VLOOKUP(VLOOKUP($BJ91,坦克个性化设定!$B$18:$E$48,4,FALSE)&amp;$BK91,坦克属性分配比例,MATCH("升星次数",坦克属性分配比例标头,0),FALSE)*VLOOKUP($BJ91,$AR$3:$AY$33,MATCH(BY$3,$AR$3:$AY$3,0),FALSE),2)</f>
        <v>0.48</v>
      </c>
    </row>
    <row r="92" spans="60:77" x14ac:dyDescent="0.3">
      <c r="BH92" s="2" t="str">
        <f t="shared" si="24"/>
        <v>59式0</v>
      </c>
      <c r="BI92" s="2">
        <f>IF(BL91&gt;=VLOOKUP(VLOOKUP(BJ91,坦克个性化设定!$B$18:$E$48,4,FALSE)&amp;BK91,坦克属性分配比例,MATCH("升星次数",坦克属性分配比例标头,0),FALSE),BI91+1,BI91)</f>
        <v>10</v>
      </c>
      <c r="BJ92" s="2" t="str">
        <f t="shared" si="25"/>
        <v>59式</v>
      </c>
      <c r="BK92" s="29" t="str">
        <f>VLOOKUP(BJ92,坦克个性化细分!$I$3:$J$33,2,FALSE)</f>
        <v>低</v>
      </c>
      <c r="BL92" s="2">
        <f t="shared" si="23"/>
        <v>0</v>
      </c>
      <c r="BM92" s="103">
        <f ca="1">ROUND(VLOOKUP($BJ92&amp;"初始",$S$3:$AE$63,MATCH(BM$3,$S$3:$AE$3,0),FALSE)+((VLOOKUP($BJ92&amp;"最终",$S$3:$AE$63,MATCH(BM$3,$S$3:$AE$3,0),FALSE)*坦克个性化细分!$C$9-VLOOKUP($BJ92&amp;"初始",$S$3:$AE$63,MATCH(BM$3,$S$3:$AE$3,0),FALSE))-(VLOOKUP($BJ92&amp;"最终",$S$3:$AE$63,MATCH(BM$3,$S$3:$AE$3,0),FALSE)-VLOOKUP($BJ92&amp;"初始",$S$3:$AE$63,MATCH(BM$3,$S$3:$AE$3,0),FALSE))*VLOOKUP(VLOOKUP($BJ92,坦克个性化设定!$B$18:$E$48,4,FALSE)&amp;$BK92,坦克属性分配比例,MATCH("部件比例",坦克属性分配比例标头,0),FALSE))*$BL92/VLOOKUP(VLOOKUP($BJ92,坦克个性化设定!$B$18:$E$48,4,FALSE)&amp;$BK92,坦克属性分配比例,MATCH("升星次数",坦克属性分配比例标头,0),FALSE),0)</f>
        <v>2126</v>
      </c>
      <c r="BN92" s="103">
        <f ca="1">ROUND(VLOOKUP($BJ92&amp;"初始",$S$3:$AE$63,MATCH(BN$3,$S$3:$AE$3,0),FALSE)+(VLOOKUP($BJ92&amp;"最终",$S$3:$AE$63,MATCH(BN$3,$S$3:$AE$3,0),FALSE)-VLOOKUP($BJ92&amp;"初始",$S$3:$AE$63,MATCH(BN$3,$S$3:$AE$3,0),FALSE))*$BL92/VLOOKUP(VLOOKUP($BJ92,坦克个性化设定!$B$18:$E$48,4,FALSE)&amp;$BK92,坦克属性分配比例,MATCH("升星次数",坦克属性分配比例标头,0),FALSE)*VLOOKUP(VLOOKUP($BJ92,坦克个性化设定!$B$18:$E$48,4,FALSE)&amp;$BK92,坦克属性分配比例,MATCH("升星比例",坦克属性分配比例标头,0),FALSE),0)</f>
        <v>141</v>
      </c>
      <c r="BO92" s="103">
        <f ca="1">ROUND(VLOOKUP($BJ92&amp;"初始",$S$3:$AE$63,MATCH(BO$3,$S$3:$AE$3,0),FALSE)+(VLOOKUP($BJ92&amp;"最终",$S$3:$AE$63,MATCH(BO$3,$S$3:$AE$3,0),FALSE)-VLOOKUP($BJ92&amp;"初始",$S$3:$AE$63,MATCH(BO$3,$S$3:$AE$3,0),FALSE))*$BL92/VLOOKUP(VLOOKUP($BJ92,坦克个性化设定!$B$18:$E$48,4,FALSE)&amp;$BK92,坦克属性分配比例,MATCH("升星次数",坦克属性分配比例标头,0),FALSE)*(VLOOKUP(VLOOKUP($BJ92,坦克个性化设定!$B$18:$E$48,4,FALSE)&amp;$BK92,坦克属性分配比例,MATCH("升星比例",坦克属性分配比例标头,0),FALSE)+VLOOKUP(VLOOKUP($BJ92,坦克个性化设定!$B$18:$E$48,4,FALSE)&amp;$BK92,坦克属性分配比例,MATCH("部件比例",坦克属性分配比例标头,0),FALSE)*$C$3),0)</f>
        <v>828</v>
      </c>
      <c r="BP92" s="103">
        <f ca="1">ROUND(VLOOKUP($BJ92&amp;"初始",$S$3:$AE$63,MATCH(BP$3,$S$3:$AE$3,0),FALSE)+(VLOOKUP($BJ92&amp;"最终",$S$3:$AE$63,MATCH(BP$3,$S$3:$AE$3,0),FALSE)-VLOOKUP($BJ92&amp;"初始",$S$3:$AE$63,MATCH(BP$3,$S$3:$AE$3,0),FALSE))*$BL92/VLOOKUP(VLOOKUP($BJ92,坦克个性化设定!$B$18:$E$48,4,FALSE)&amp;$BK92,坦克属性分配比例,MATCH("升星次数",坦克属性分配比例标头,0),FALSE)*(VLOOKUP(VLOOKUP($BJ92,坦克个性化设定!$B$18:$E$48,4,FALSE)&amp;$BK92,坦克属性分配比例,MATCH("升星比例",坦克属性分配比例标头,0),FALSE)+VLOOKUP(VLOOKUP($BJ92,坦克个性化设定!$B$18:$E$48,4,FALSE)&amp;$BK92,坦克属性分配比例,MATCH("部件比例",坦克属性分配比例标头,0),FALSE)*$C$3),0)</f>
        <v>580</v>
      </c>
      <c r="BQ92" s="103">
        <f ca="1">ROUND(VLOOKUP($BJ92&amp;"初始",$S$3:$AE$63,MATCH(BQ$3,$S$3:$AE$3,0),FALSE)+(VLOOKUP($BJ92&amp;"最终",$S$3:$AE$63,MATCH(BQ$3,$S$3:$AE$3,0),FALSE)-VLOOKUP($BJ92&amp;"初始",$S$3:$AE$63,MATCH(BQ$3,$S$3:$AE$3,0),FALSE))*$BL92/VLOOKUP(VLOOKUP($BJ92,坦克个性化设定!$B$18:$E$48,4,FALSE)&amp;$BK92,坦克属性分配比例,MATCH("升星次数",坦克属性分配比例标头,0),FALSE)*VLOOKUP(VLOOKUP($BJ92,坦克个性化设定!$B$18:$E$48,4,FALSE)&amp;$BK92,坦克属性分配比例,MATCH("升星比例",坦克属性分配比例标头,0),FALSE),0)</f>
        <v>756</v>
      </c>
      <c r="BR92" s="2">
        <f ca="1">ROUND(VLOOKUP($BJ92&amp;"初始",$S$3:$AE$63,MATCH(BR$3,$S$3:$AE$3,0),FALSE)+(VLOOKUP($BJ92&amp;"最终",$S$3:$AE$63,MATCH(BR$3,$S$3:$AE$3,0),FALSE)-VLOOKUP($BJ92&amp;"初始",$S$3:$AE$63,MATCH(BR$3,$S$3:$AE$3,0),FALSE))*$BL92/VLOOKUP(VLOOKUP($BJ92,坦克个性化设定!$B$18:$E$48,4,FALSE)&amp;$BK92,坦克属性分配比例,MATCH("升星次数",坦克属性分配比例标头,0),FALSE),0)</f>
        <v>202</v>
      </c>
      <c r="BS92" s="2">
        <f>ROUND(VLOOKUP($BJ92,$AI$3:$AO$33,MATCH(BS$3,$AI$3:$AO$3,0),FALSE)+$BL92/VLOOKUP(VLOOKUP($BJ92,坦克个性化设定!$B$18:$E$48,4,FALSE)&amp;$BK92,坦克属性分配比例,MATCH("升星次数",坦克属性分配比例标头,0),FALSE)*VLOOKUP($BJ92,$AR$3:$AY$33,MATCH(BS$3,$AR$3:$AY$3,0),FALSE),1)</f>
        <v>37.700000000000003</v>
      </c>
      <c r="BT92" s="2">
        <f>ROUND(VLOOKUP($BJ92,$AI$3:$AO$33,MATCH(BT$3,$AI$3:$AO$3,0),FALSE)+$BL92/VLOOKUP(VLOOKUP($BJ92,坦克个性化设定!$B$18:$E$48,4,FALSE)&amp;$BK92,坦克属性分配比例,MATCH("升星次数",坦克属性分配比例标头,0),FALSE)*VLOOKUP($BJ92,$AR$3:$AY$33,MATCH(BT$3,$AR$3:$AY$3,0),FALSE),1)</f>
        <v>56.3</v>
      </c>
      <c r="BU92" s="2">
        <f>ROUND(VLOOKUP($BJ92,$AI$3:$AO$33,MATCH(BU$3,$AI$3:$AO$3,0),FALSE)+$BL92/VLOOKUP(VLOOKUP($BJ92,坦克个性化设定!$B$18:$E$48,4,FALSE)&amp;$BK92,坦克属性分配比例,MATCH("升星次数",坦克属性分配比例标头,0),FALSE)*VLOOKUP($BJ92,$AR$3:$AY$33,MATCH(BU$3,$AR$3:$AY$3,0),FALSE),1)</f>
        <v>9.5</v>
      </c>
      <c r="BV92" s="2">
        <f>IF(VLOOKUP(BJ92,坦克个性化设定!$B$18:$BC$48,MATCH("装弹类型",坦克个性化设定!$B$18:$BC$18,0),FALSE)="弹夹换弹",0,ROUND(VLOOKUP($BJ92,$AI$3:$AO$33,MATCH("换弹时间",$AI$3:$AO$3,0),FALSE)-$BL92/VLOOKUP(VLOOKUP($BJ92,坦克个性化设定!$B$18:$E$48,4,FALSE)&amp;$BK92,坦克属性分配比例,MATCH("升星次数",坦克属性分配比例标头,0),FALSE)*VLOOKUP($BJ92,$AR$3:$AY$33,MATCH("换弹时间",$AR$3:$AY$3,0),FALSE),2))</f>
        <v>0</v>
      </c>
      <c r="BW92" s="2">
        <f>IF(VLOOKUP(BJ92,坦克个性化设定!$B$18:$BC$48,MATCH("装弹类型",坦克个性化设定!$B$18:$BC$18,0),FALSE)="弹夹换弹",ROUND(VLOOKUP($BJ92,$AI$3:$AO$33,MATCH("换弹时间",$AI$3:$AO$3,0),FALSE)-$BL92/VLOOKUP(VLOOKUP($BJ92,坦克个性化设定!$B$18:$E$48,4,FALSE)&amp;$BK92,坦克属性分配比例,MATCH("升星次数",坦克属性分配比例标头,0),FALSE)*VLOOKUP($BJ92,$AR$3:$AY$33,MATCH("换弹时间",$AR$3:$AY$3,0),FALSE),1),0)</f>
        <v>6.3</v>
      </c>
      <c r="BX92" s="2">
        <f>ROUND(VLOOKUP($BJ92,$AI$3:$AO$33,MATCH(BX$3,$AI$3:$AO$3,0),FALSE)+$BL92/VLOOKUP(VLOOKUP($BJ92,坦克个性化设定!$B$18:$E$48,4,FALSE)&amp;$BK92,坦克属性分配比例,MATCH("升星次数",坦克属性分配比例标头,0),FALSE)*VLOOKUP($BJ92,$AR$3:$AY$33,MATCH(BX$3,$AR$3:$AY$3,0),FALSE),2)</f>
        <v>0.8</v>
      </c>
      <c r="BY92" s="2">
        <f>ROUND(VLOOKUP($BJ92,$AI$3:$AO$33,MATCH(BY$3,$AI$3:$AO$3,0),FALSE)-$BL92/VLOOKUP(VLOOKUP($BJ92,坦克个性化设定!$B$18:$E$48,4,FALSE)&amp;$BK92,坦克属性分配比例,MATCH("升星次数",坦克属性分配比例标头,0),FALSE)*VLOOKUP($BJ92,$AR$3:$AY$33,MATCH(BY$3,$AR$3:$AY$3,0),FALSE),2)</f>
        <v>0.52</v>
      </c>
    </row>
    <row r="93" spans="60:77" x14ac:dyDescent="0.3">
      <c r="BH93" s="2" t="str">
        <f t="shared" si="24"/>
        <v>59式1</v>
      </c>
      <c r="BI93" s="2">
        <f>IF(BL92&gt;=VLOOKUP(VLOOKUP(BJ92,坦克个性化设定!$B$18:$E$48,4,FALSE)&amp;BK92,坦克属性分配比例,MATCH("升星次数",坦克属性分配比例标头,0),FALSE),BI92+1,BI92)</f>
        <v>10</v>
      </c>
      <c r="BJ93" s="2" t="str">
        <f t="shared" si="25"/>
        <v>59式</v>
      </c>
      <c r="BK93" s="29" t="str">
        <f>VLOOKUP(BJ93,坦克个性化细分!$I$3:$J$33,2,FALSE)</f>
        <v>低</v>
      </c>
      <c r="BL93" s="2">
        <f t="shared" si="23"/>
        <v>1</v>
      </c>
      <c r="BM93" s="103">
        <f ca="1">ROUND(VLOOKUP($BJ93&amp;"初始",$S$3:$AE$63,MATCH(BM$3,$S$3:$AE$3,0),FALSE)+((VLOOKUP($BJ93&amp;"最终",$S$3:$AE$63,MATCH(BM$3,$S$3:$AE$3,0),FALSE)*坦克个性化细分!$C$9-VLOOKUP($BJ93&amp;"初始",$S$3:$AE$63,MATCH(BM$3,$S$3:$AE$3,0),FALSE))-(VLOOKUP($BJ93&amp;"最终",$S$3:$AE$63,MATCH(BM$3,$S$3:$AE$3,0),FALSE)-VLOOKUP($BJ93&amp;"初始",$S$3:$AE$63,MATCH(BM$3,$S$3:$AE$3,0),FALSE))*VLOOKUP(VLOOKUP($BJ93,坦克个性化设定!$B$18:$E$48,4,FALSE)&amp;$BK93,坦克属性分配比例,MATCH("部件比例",坦克属性分配比例标头,0),FALSE))*$BL93/VLOOKUP(VLOOKUP($BJ93,坦克个性化设定!$B$18:$E$48,4,FALSE)&amp;$BK93,坦克属性分配比例,MATCH("升星次数",坦克属性分配比例标头,0),FALSE),0)</f>
        <v>2195</v>
      </c>
      <c r="BN93" s="103">
        <f ca="1">ROUND(VLOOKUP($BJ93&amp;"初始",$S$3:$AE$63,MATCH(BN$3,$S$3:$AE$3,0),FALSE)+(VLOOKUP($BJ93&amp;"最终",$S$3:$AE$63,MATCH(BN$3,$S$3:$AE$3,0),FALSE)-VLOOKUP($BJ93&amp;"初始",$S$3:$AE$63,MATCH(BN$3,$S$3:$AE$3,0),FALSE))*$BL93/VLOOKUP(VLOOKUP($BJ93,坦克个性化设定!$B$18:$E$48,4,FALSE)&amp;$BK93,坦克属性分配比例,MATCH("升星次数",坦克属性分配比例标头,0),FALSE)*VLOOKUP(VLOOKUP($BJ93,坦克个性化设定!$B$18:$E$48,4,FALSE)&amp;$BK93,坦克属性分配比例,MATCH("升星比例",坦克属性分配比例标头,0),FALSE),0)</f>
        <v>143</v>
      </c>
      <c r="BO93" s="103">
        <f ca="1">ROUND(VLOOKUP($BJ93&amp;"初始",$S$3:$AE$63,MATCH(BO$3,$S$3:$AE$3,0),FALSE)+(VLOOKUP($BJ93&amp;"最终",$S$3:$AE$63,MATCH(BO$3,$S$3:$AE$3,0),FALSE)-VLOOKUP($BJ93&amp;"初始",$S$3:$AE$63,MATCH(BO$3,$S$3:$AE$3,0),FALSE))*$BL93/VLOOKUP(VLOOKUP($BJ93,坦克个性化设定!$B$18:$E$48,4,FALSE)&amp;$BK93,坦克属性分配比例,MATCH("升星次数",坦克属性分配比例标头,0),FALSE)*(VLOOKUP(VLOOKUP($BJ93,坦克个性化设定!$B$18:$E$48,4,FALSE)&amp;$BK93,坦克属性分配比例,MATCH("升星比例",坦克属性分配比例标头,0),FALSE)+VLOOKUP(VLOOKUP($BJ93,坦克个性化设定!$B$18:$E$48,4,FALSE)&amp;$BK93,坦克属性分配比例,MATCH("部件比例",坦克属性分配比例标头,0),FALSE)*$C$3),0)</f>
        <v>851</v>
      </c>
      <c r="BP93" s="103">
        <f ca="1">ROUND(VLOOKUP($BJ93&amp;"初始",$S$3:$AE$63,MATCH(BP$3,$S$3:$AE$3,0),FALSE)+(VLOOKUP($BJ93&amp;"最终",$S$3:$AE$63,MATCH(BP$3,$S$3:$AE$3,0),FALSE)-VLOOKUP($BJ93&amp;"初始",$S$3:$AE$63,MATCH(BP$3,$S$3:$AE$3,0),FALSE))*$BL93/VLOOKUP(VLOOKUP($BJ93,坦克个性化设定!$B$18:$E$48,4,FALSE)&amp;$BK93,坦克属性分配比例,MATCH("升星次数",坦克属性分配比例标头,0),FALSE)*(VLOOKUP(VLOOKUP($BJ93,坦克个性化设定!$B$18:$E$48,4,FALSE)&amp;$BK93,坦克属性分配比例,MATCH("升星比例",坦克属性分配比例标头,0),FALSE)+VLOOKUP(VLOOKUP($BJ93,坦克个性化设定!$B$18:$E$48,4,FALSE)&amp;$BK93,坦克属性分配比例,MATCH("部件比例",坦克属性分配比例标头,0),FALSE)*$C$3),0)</f>
        <v>596</v>
      </c>
      <c r="BQ93" s="103">
        <f ca="1">ROUND(VLOOKUP($BJ93&amp;"初始",$S$3:$AE$63,MATCH(BQ$3,$S$3:$AE$3,0),FALSE)+(VLOOKUP($BJ93&amp;"最终",$S$3:$AE$63,MATCH(BQ$3,$S$3:$AE$3,0),FALSE)-VLOOKUP($BJ93&amp;"初始",$S$3:$AE$63,MATCH(BQ$3,$S$3:$AE$3,0),FALSE))*$BL93/VLOOKUP(VLOOKUP($BJ93,坦克个性化设定!$B$18:$E$48,4,FALSE)&amp;$BK93,坦克属性分配比例,MATCH("升星次数",坦克属性分配比例标头,0),FALSE)*VLOOKUP(VLOOKUP($BJ93,坦克个性化设定!$B$18:$E$48,4,FALSE)&amp;$BK93,坦克属性分配比例,MATCH("升星比例",坦克属性分配比例标头,0),FALSE),0)</f>
        <v>769</v>
      </c>
      <c r="BR93" s="2">
        <f ca="1">ROUND(VLOOKUP($BJ93&amp;"初始",$S$3:$AE$63,MATCH(BR$3,$S$3:$AE$3,0),FALSE)+(VLOOKUP($BJ93&amp;"最终",$S$3:$AE$63,MATCH(BR$3,$S$3:$AE$3,0),FALSE)-VLOOKUP($BJ93&amp;"初始",$S$3:$AE$63,MATCH(BR$3,$S$3:$AE$3,0),FALSE))*$BL93/VLOOKUP(VLOOKUP($BJ93,坦克个性化设定!$B$18:$E$48,4,FALSE)&amp;$BK93,坦克属性分配比例,MATCH("升星次数",坦克属性分配比例标头,0),FALSE),0)</f>
        <v>209</v>
      </c>
      <c r="BS93" s="2">
        <f>ROUND(VLOOKUP($BJ93,$AI$3:$AO$33,MATCH(BS$3,$AI$3:$AO$3,0),FALSE)+$BL93/VLOOKUP(VLOOKUP($BJ93,坦克个性化设定!$B$18:$E$48,4,FALSE)&amp;$BK93,坦克属性分配比例,MATCH("升星次数",坦克属性分配比例标头,0),FALSE)*VLOOKUP($BJ93,$AR$3:$AY$33,MATCH(BS$3,$AR$3:$AY$3,0),FALSE),1)</f>
        <v>38.4</v>
      </c>
      <c r="BT93" s="2">
        <f>ROUND(VLOOKUP($BJ93,$AI$3:$AO$33,MATCH(BT$3,$AI$3:$AO$3,0),FALSE)+$BL93/VLOOKUP(VLOOKUP($BJ93,坦克个性化设定!$B$18:$E$48,4,FALSE)&amp;$BK93,坦克属性分配比例,MATCH("升星次数",坦克属性分配比例标头,0),FALSE)*VLOOKUP($BJ93,$AR$3:$AY$33,MATCH(BT$3,$AR$3:$AY$3,0),FALSE),1)</f>
        <v>57.4</v>
      </c>
      <c r="BU93" s="2">
        <f>ROUND(VLOOKUP($BJ93,$AI$3:$AO$33,MATCH(BU$3,$AI$3:$AO$3,0),FALSE)+$BL93/VLOOKUP(VLOOKUP($BJ93,坦克个性化设定!$B$18:$E$48,4,FALSE)&amp;$BK93,坦克属性分配比例,MATCH("升星次数",坦克属性分配比例标头,0),FALSE)*VLOOKUP($BJ93,$AR$3:$AY$33,MATCH(BU$3,$AR$3:$AY$3,0),FALSE),1)</f>
        <v>9.5</v>
      </c>
      <c r="BV93" s="2">
        <f>IF(VLOOKUP(BJ93,坦克个性化设定!$B$18:$BC$48,MATCH("装弹类型",坦克个性化设定!$B$18:$BC$18,0),FALSE)="弹夹换弹",0,ROUND(VLOOKUP($BJ93,$AI$3:$AO$33,MATCH("换弹时间",$AI$3:$AO$3,0),FALSE)-$BL93/VLOOKUP(VLOOKUP($BJ93,坦克个性化设定!$B$18:$E$48,4,FALSE)&amp;$BK93,坦克属性分配比例,MATCH("升星次数",坦克属性分配比例标头,0),FALSE)*VLOOKUP($BJ93,$AR$3:$AY$33,MATCH("换弹时间",$AR$3:$AY$3,0),FALSE),2))</f>
        <v>0</v>
      </c>
      <c r="BW93" s="2">
        <f>IF(VLOOKUP(BJ93,坦克个性化设定!$B$18:$BC$48,MATCH("装弹类型",坦克个性化设定!$B$18:$BC$18,0),FALSE)="弹夹换弹",ROUND(VLOOKUP($BJ93,$AI$3:$AO$33,MATCH("换弹时间",$AI$3:$AO$3,0),FALSE)-$BL93/VLOOKUP(VLOOKUP($BJ93,坦克个性化设定!$B$18:$E$48,4,FALSE)&amp;$BK93,坦克属性分配比例,MATCH("升星次数",坦克属性分配比例标头,0),FALSE)*VLOOKUP($BJ93,$AR$3:$AY$33,MATCH("换弹时间",$AR$3:$AY$3,0),FALSE),1),0)</f>
        <v>6.1</v>
      </c>
      <c r="BX93" s="2">
        <f>ROUND(VLOOKUP($BJ93,$AI$3:$AO$33,MATCH(BX$3,$AI$3:$AO$3,0),FALSE)+$BL93/VLOOKUP(VLOOKUP($BJ93,坦克个性化设定!$B$18:$E$48,4,FALSE)&amp;$BK93,坦克属性分配比例,MATCH("升星次数",坦克属性分配比例标头,0),FALSE)*VLOOKUP($BJ93,$AR$3:$AY$33,MATCH(BX$3,$AR$3:$AY$3,0),FALSE),2)</f>
        <v>0.8</v>
      </c>
      <c r="BY93" s="2">
        <f>ROUND(VLOOKUP($BJ93,$AI$3:$AO$33,MATCH(BY$3,$AI$3:$AO$3,0),FALSE)-$BL93/VLOOKUP(VLOOKUP($BJ93,坦克个性化设定!$B$18:$E$48,4,FALSE)&amp;$BK93,坦克属性分配比例,MATCH("升星次数",坦克属性分配比例标头,0),FALSE)*VLOOKUP($BJ93,$AR$3:$AY$33,MATCH(BY$3,$AR$3:$AY$3,0),FALSE),2)</f>
        <v>0.51</v>
      </c>
    </row>
    <row r="94" spans="60:77" x14ac:dyDescent="0.3">
      <c r="BH94" s="2" t="str">
        <f t="shared" si="24"/>
        <v>59式2</v>
      </c>
      <c r="BI94" s="2">
        <f>IF(BL93&gt;=VLOOKUP(VLOOKUP(BJ93,坦克个性化设定!$B$18:$E$48,4,FALSE)&amp;BK93,坦克属性分配比例,MATCH("升星次数",坦克属性分配比例标头,0),FALSE),BI93+1,BI93)</f>
        <v>10</v>
      </c>
      <c r="BJ94" s="2" t="str">
        <f t="shared" si="25"/>
        <v>59式</v>
      </c>
      <c r="BK94" s="29" t="str">
        <f>VLOOKUP(BJ94,坦克个性化细分!$I$3:$J$33,2,FALSE)</f>
        <v>低</v>
      </c>
      <c r="BL94" s="2">
        <f t="shared" si="23"/>
        <v>2</v>
      </c>
      <c r="BM94" s="103">
        <f ca="1">ROUND(VLOOKUP($BJ94&amp;"初始",$S$3:$AE$63,MATCH(BM$3,$S$3:$AE$3,0),FALSE)+((VLOOKUP($BJ94&amp;"最终",$S$3:$AE$63,MATCH(BM$3,$S$3:$AE$3,0),FALSE)*坦克个性化细分!$C$9-VLOOKUP($BJ94&amp;"初始",$S$3:$AE$63,MATCH(BM$3,$S$3:$AE$3,0),FALSE))-(VLOOKUP($BJ94&amp;"最终",$S$3:$AE$63,MATCH(BM$3,$S$3:$AE$3,0),FALSE)-VLOOKUP($BJ94&amp;"初始",$S$3:$AE$63,MATCH(BM$3,$S$3:$AE$3,0),FALSE))*VLOOKUP(VLOOKUP($BJ94,坦克个性化设定!$B$18:$E$48,4,FALSE)&amp;$BK94,坦克属性分配比例,MATCH("部件比例",坦克属性分配比例标头,0),FALSE))*$BL94/VLOOKUP(VLOOKUP($BJ94,坦克个性化设定!$B$18:$E$48,4,FALSE)&amp;$BK94,坦克属性分配比例,MATCH("升星次数",坦克属性分配比例标头,0),FALSE),0)</f>
        <v>2264</v>
      </c>
      <c r="BN94" s="103">
        <f ca="1">ROUND(VLOOKUP($BJ94&amp;"初始",$S$3:$AE$63,MATCH(BN$3,$S$3:$AE$3,0),FALSE)+(VLOOKUP($BJ94&amp;"最终",$S$3:$AE$63,MATCH(BN$3,$S$3:$AE$3,0),FALSE)-VLOOKUP($BJ94&amp;"初始",$S$3:$AE$63,MATCH(BN$3,$S$3:$AE$3,0),FALSE))*$BL94/VLOOKUP(VLOOKUP($BJ94,坦克个性化设定!$B$18:$E$48,4,FALSE)&amp;$BK94,坦克属性分配比例,MATCH("升星次数",坦克属性分配比例标头,0),FALSE)*VLOOKUP(VLOOKUP($BJ94,坦克个性化设定!$B$18:$E$48,4,FALSE)&amp;$BK94,坦克属性分配比例,MATCH("升星比例",坦克属性分配比例标头,0),FALSE),0)</f>
        <v>146</v>
      </c>
      <c r="BO94" s="103">
        <f ca="1">ROUND(VLOOKUP($BJ94&amp;"初始",$S$3:$AE$63,MATCH(BO$3,$S$3:$AE$3,0),FALSE)+(VLOOKUP($BJ94&amp;"最终",$S$3:$AE$63,MATCH(BO$3,$S$3:$AE$3,0),FALSE)-VLOOKUP($BJ94&amp;"初始",$S$3:$AE$63,MATCH(BO$3,$S$3:$AE$3,0),FALSE))*$BL94/VLOOKUP(VLOOKUP($BJ94,坦克个性化设定!$B$18:$E$48,4,FALSE)&amp;$BK94,坦克属性分配比例,MATCH("升星次数",坦克属性分配比例标头,0),FALSE)*(VLOOKUP(VLOOKUP($BJ94,坦克个性化设定!$B$18:$E$48,4,FALSE)&amp;$BK94,坦克属性分配比例,MATCH("升星比例",坦克属性分配比例标头,0),FALSE)+VLOOKUP(VLOOKUP($BJ94,坦克个性化设定!$B$18:$E$48,4,FALSE)&amp;$BK94,坦克属性分配比例,MATCH("部件比例",坦克属性分配比例标头,0),FALSE)*$C$3),0)</f>
        <v>874</v>
      </c>
      <c r="BP94" s="103">
        <f ca="1">ROUND(VLOOKUP($BJ94&amp;"初始",$S$3:$AE$63,MATCH(BP$3,$S$3:$AE$3,0),FALSE)+(VLOOKUP($BJ94&amp;"最终",$S$3:$AE$63,MATCH(BP$3,$S$3:$AE$3,0),FALSE)-VLOOKUP($BJ94&amp;"初始",$S$3:$AE$63,MATCH(BP$3,$S$3:$AE$3,0),FALSE))*$BL94/VLOOKUP(VLOOKUP($BJ94,坦克个性化设定!$B$18:$E$48,4,FALSE)&amp;$BK94,坦克属性分配比例,MATCH("升星次数",坦克属性分配比例标头,0),FALSE)*(VLOOKUP(VLOOKUP($BJ94,坦克个性化设定!$B$18:$E$48,4,FALSE)&amp;$BK94,坦克属性分配比例,MATCH("升星比例",坦克属性分配比例标头,0),FALSE)+VLOOKUP(VLOOKUP($BJ94,坦克个性化设定!$B$18:$E$48,4,FALSE)&amp;$BK94,坦克属性分配比例,MATCH("部件比例",坦克属性分配比例标头,0),FALSE)*$C$3),0)</f>
        <v>612</v>
      </c>
      <c r="BQ94" s="103">
        <f ca="1">ROUND(VLOOKUP($BJ94&amp;"初始",$S$3:$AE$63,MATCH(BQ$3,$S$3:$AE$3,0),FALSE)+(VLOOKUP($BJ94&amp;"最终",$S$3:$AE$63,MATCH(BQ$3,$S$3:$AE$3,0),FALSE)-VLOOKUP($BJ94&amp;"初始",$S$3:$AE$63,MATCH(BQ$3,$S$3:$AE$3,0),FALSE))*$BL94/VLOOKUP(VLOOKUP($BJ94,坦克个性化设定!$B$18:$E$48,4,FALSE)&amp;$BK94,坦克属性分配比例,MATCH("升星次数",坦克属性分配比例标头,0),FALSE)*VLOOKUP(VLOOKUP($BJ94,坦克个性化设定!$B$18:$E$48,4,FALSE)&amp;$BK94,坦克属性分配比例,MATCH("升星比例",坦克属性分配比例标头,0),FALSE),0)</f>
        <v>782</v>
      </c>
      <c r="BR94" s="2">
        <f ca="1">ROUND(VLOOKUP($BJ94&amp;"初始",$S$3:$AE$63,MATCH(BR$3,$S$3:$AE$3,0),FALSE)+(VLOOKUP($BJ94&amp;"最终",$S$3:$AE$63,MATCH(BR$3,$S$3:$AE$3,0),FALSE)-VLOOKUP($BJ94&amp;"初始",$S$3:$AE$63,MATCH(BR$3,$S$3:$AE$3,0),FALSE))*$BL94/VLOOKUP(VLOOKUP($BJ94,坦克个性化设定!$B$18:$E$48,4,FALSE)&amp;$BK94,坦克属性分配比例,MATCH("升星次数",坦克属性分配比例标头,0),FALSE),0)</f>
        <v>216</v>
      </c>
      <c r="BS94" s="2">
        <f>ROUND(VLOOKUP($BJ94,$AI$3:$AO$33,MATCH(BS$3,$AI$3:$AO$3,0),FALSE)+$BL94/VLOOKUP(VLOOKUP($BJ94,坦克个性化设定!$B$18:$E$48,4,FALSE)&amp;$BK94,坦克属性分配比例,MATCH("升星次数",坦克属性分配比例标头,0),FALSE)*VLOOKUP($BJ94,$AR$3:$AY$33,MATCH(BS$3,$AR$3:$AY$3,0),FALSE),1)</f>
        <v>39.200000000000003</v>
      </c>
      <c r="BT94" s="2">
        <f>ROUND(VLOOKUP($BJ94,$AI$3:$AO$33,MATCH(BT$3,$AI$3:$AO$3,0),FALSE)+$BL94/VLOOKUP(VLOOKUP($BJ94,坦克个性化设定!$B$18:$E$48,4,FALSE)&amp;$BK94,坦克属性分配比例,MATCH("升星次数",坦克属性分配比例标头,0),FALSE)*VLOOKUP($BJ94,$AR$3:$AY$33,MATCH(BT$3,$AR$3:$AY$3,0),FALSE),1)</f>
        <v>58.5</v>
      </c>
      <c r="BU94" s="2">
        <f>ROUND(VLOOKUP($BJ94,$AI$3:$AO$33,MATCH(BU$3,$AI$3:$AO$3,0),FALSE)+$BL94/VLOOKUP(VLOOKUP($BJ94,坦克个性化设定!$B$18:$E$48,4,FALSE)&amp;$BK94,坦克属性分配比例,MATCH("升星次数",坦克属性分配比例标头,0),FALSE)*VLOOKUP($BJ94,$AR$3:$AY$33,MATCH(BU$3,$AR$3:$AY$3,0),FALSE),1)</f>
        <v>9.5</v>
      </c>
      <c r="BV94" s="2">
        <f>IF(VLOOKUP(BJ94,坦克个性化设定!$B$18:$BC$48,MATCH("装弹类型",坦克个性化设定!$B$18:$BC$18,0),FALSE)="弹夹换弹",0,ROUND(VLOOKUP($BJ94,$AI$3:$AO$33,MATCH("换弹时间",$AI$3:$AO$3,0),FALSE)-$BL94/VLOOKUP(VLOOKUP($BJ94,坦克个性化设定!$B$18:$E$48,4,FALSE)&amp;$BK94,坦克属性分配比例,MATCH("升星次数",坦克属性分配比例标头,0),FALSE)*VLOOKUP($BJ94,$AR$3:$AY$33,MATCH("换弹时间",$AR$3:$AY$3,0),FALSE),2))</f>
        <v>0</v>
      </c>
      <c r="BW94" s="2">
        <f>IF(VLOOKUP(BJ94,坦克个性化设定!$B$18:$BC$48,MATCH("装弹类型",坦克个性化设定!$B$18:$BC$18,0),FALSE)="弹夹换弹",ROUND(VLOOKUP($BJ94,$AI$3:$AO$33,MATCH("换弹时间",$AI$3:$AO$3,0),FALSE)-$BL94/VLOOKUP(VLOOKUP($BJ94,坦克个性化设定!$B$18:$E$48,4,FALSE)&amp;$BK94,坦克属性分配比例,MATCH("升星次数",坦克属性分配比例标头,0),FALSE)*VLOOKUP($BJ94,$AR$3:$AY$33,MATCH("换弹时间",$AR$3:$AY$3,0),FALSE),1),0)</f>
        <v>6</v>
      </c>
      <c r="BX94" s="2">
        <f>ROUND(VLOOKUP($BJ94,$AI$3:$AO$33,MATCH(BX$3,$AI$3:$AO$3,0),FALSE)+$BL94/VLOOKUP(VLOOKUP($BJ94,坦克个性化设定!$B$18:$E$48,4,FALSE)&amp;$BK94,坦克属性分配比例,MATCH("升星次数",坦克属性分配比例标头,0),FALSE)*VLOOKUP($BJ94,$AR$3:$AY$33,MATCH(BX$3,$AR$3:$AY$3,0),FALSE),2)</f>
        <v>0.8</v>
      </c>
      <c r="BY94" s="2">
        <f>ROUND(VLOOKUP($BJ94,$AI$3:$AO$33,MATCH(BY$3,$AI$3:$AO$3,0),FALSE)-$BL94/VLOOKUP(VLOOKUP($BJ94,坦克个性化设定!$B$18:$E$48,4,FALSE)&amp;$BK94,坦克属性分配比例,MATCH("升星次数",坦克属性分配比例标头,0),FALSE)*VLOOKUP($BJ94,$AR$3:$AY$33,MATCH(BY$3,$AR$3:$AY$3,0),FALSE),2)</f>
        <v>0.5</v>
      </c>
    </row>
    <row r="95" spans="60:77" x14ac:dyDescent="0.3">
      <c r="BH95" s="2" t="str">
        <f t="shared" si="24"/>
        <v>59式3</v>
      </c>
      <c r="BI95" s="2">
        <f>IF(BL94&gt;=VLOOKUP(VLOOKUP(BJ94,坦克个性化设定!$B$18:$E$48,4,FALSE)&amp;BK94,坦克属性分配比例,MATCH("升星次数",坦克属性分配比例标头,0),FALSE),BI94+1,BI94)</f>
        <v>10</v>
      </c>
      <c r="BJ95" s="2" t="str">
        <f t="shared" si="25"/>
        <v>59式</v>
      </c>
      <c r="BK95" s="29" t="str">
        <f>VLOOKUP(BJ95,坦克个性化细分!$I$3:$J$33,2,FALSE)</f>
        <v>低</v>
      </c>
      <c r="BL95" s="2">
        <f t="shared" si="23"/>
        <v>3</v>
      </c>
      <c r="BM95" s="103">
        <f ca="1">ROUND(VLOOKUP($BJ95&amp;"初始",$S$3:$AE$63,MATCH(BM$3,$S$3:$AE$3,0),FALSE)+((VLOOKUP($BJ95&amp;"最终",$S$3:$AE$63,MATCH(BM$3,$S$3:$AE$3,0),FALSE)*坦克个性化细分!$C$9-VLOOKUP($BJ95&amp;"初始",$S$3:$AE$63,MATCH(BM$3,$S$3:$AE$3,0),FALSE))-(VLOOKUP($BJ95&amp;"最终",$S$3:$AE$63,MATCH(BM$3,$S$3:$AE$3,0),FALSE)-VLOOKUP($BJ95&amp;"初始",$S$3:$AE$63,MATCH(BM$3,$S$3:$AE$3,0),FALSE))*VLOOKUP(VLOOKUP($BJ95,坦克个性化设定!$B$18:$E$48,4,FALSE)&amp;$BK95,坦克属性分配比例,MATCH("部件比例",坦克属性分配比例标头,0),FALSE))*$BL95/VLOOKUP(VLOOKUP($BJ95,坦克个性化设定!$B$18:$E$48,4,FALSE)&amp;$BK95,坦克属性分配比例,MATCH("升星次数",坦克属性分配比例标头,0),FALSE),0)</f>
        <v>2333</v>
      </c>
      <c r="BN95" s="103">
        <f ca="1">ROUND(VLOOKUP($BJ95&amp;"初始",$S$3:$AE$63,MATCH(BN$3,$S$3:$AE$3,0),FALSE)+(VLOOKUP($BJ95&amp;"最终",$S$3:$AE$63,MATCH(BN$3,$S$3:$AE$3,0),FALSE)-VLOOKUP($BJ95&amp;"初始",$S$3:$AE$63,MATCH(BN$3,$S$3:$AE$3,0),FALSE))*$BL95/VLOOKUP(VLOOKUP($BJ95,坦克个性化设定!$B$18:$E$48,4,FALSE)&amp;$BK95,坦克属性分配比例,MATCH("升星次数",坦克属性分配比例标头,0),FALSE)*VLOOKUP(VLOOKUP($BJ95,坦克个性化设定!$B$18:$E$48,4,FALSE)&amp;$BK95,坦克属性分配比例,MATCH("升星比例",坦克属性分配比例标头,0),FALSE),0)</f>
        <v>148</v>
      </c>
      <c r="BO95" s="103">
        <f ca="1">ROUND(VLOOKUP($BJ95&amp;"初始",$S$3:$AE$63,MATCH(BO$3,$S$3:$AE$3,0),FALSE)+(VLOOKUP($BJ95&amp;"最终",$S$3:$AE$63,MATCH(BO$3,$S$3:$AE$3,0),FALSE)-VLOOKUP($BJ95&amp;"初始",$S$3:$AE$63,MATCH(BO$3,$S$3:$AE$3,0),FALSE))*$BL95/VLOOKUP(VLOOKUP($BJ95,坦克个性化设定!$B$18:$E$48,4,FALSE)&amp;$BK95,坦克属性分配比例,MATCH("升星次数",坦克属性分配比例标头,0),FALSE)*(VLOOKUP(VLOOKUP($BJ95,坦克个性化设定!$B$18:$E$48,4,FALSE)&amp;$BK95,坦克属性分配比例,MATCH("升星比例",坦克属性分配比例标头,0),FALSE)+VLOOKUP(VLOOKUP($BJ95,坦克个性化设定!$B$18:$E$48,4,FALSE)&amp;$BK95,坦克属性分配比例,MATCH("部件比例",坦克属性分配比例标头,0),FALSE)*$C$3),0)</f>
        <v>896</v>
      </c>
      <c r="BP95" s="103">
        <f ca="1">ROUND(VLOOKUP($BJ95&amp;"初始",$S$3:$AE$63,MATCH(BP$3,$S$3:$AE$3,0),FALSE)+(VLOOKUP($BJ95&amp;"最终",$S$3:$AE$63,MATCH(BP$3,$S$3:$AE$3,0),FALSE)-VLOOKUP($BJ95&amp;"初始",$S$3:$AE$63,MATCH(BP$3,$S$3:$AE$3,0),FALSE))*$BL95/VLOOKUP(VLOOKUP($BJ95,坦克个性化设定!$B$18:$E$48,4,FALSE)&amp;$BK95,坦克属性分配比例,MATCH("升星次数",坦克属性分配比例标头,0),FALSE)*(VLOOKUP(VLOOKUP($BJ95,坦克个性化设定!$B$18:$E$48,4,FALSE)&amp;$BK95,坦克属性分配比例,MATCH("升星比例",坦克属性分配比例标头,0),FALSE)+VLOOKUP(VLOOKUP($BJ95,坦克个性化设定!$B$18:$E$48,4,FALSE)&amp;$BK95,坦克属性分配比例,MATCH("部件比例",坦克属性分配比例标头,0),FALSE)*$C$3),0)</f>
        <v>628</v>
      </c>
      <c r="BQ95" s="103">
        <f ca="1">ROUND(VLOOKUP($BJ95&amp;"初始",$S$3:$AE$63,MATCH(BQ$3,$S$3:$AE$3,0),FALSE)+(VLOOKUP($BJ95&amp;"最终",$S$3:$AE$63,MATCH(BQ$3,$S$3:$AE$3,0),FALSE)-VLOOKUP($BJ95&amp;"初始",$S$3:$AE$63,MATCH(BQ$3,$S$3:$AE$3,0),FALSE))*$BL95/VLOOKUP(VLOOKUP($BJ95,坦克个性化设定!$B$18:$E$48,4,FALSE)&amp;$BK95,坦克属性分配比例,MATCH("升星次数",坦克属性分配比例标头,0),FALSE)*VLOOKUP(VLOOKUP($BJ95,坦克个性化设定!$B$18:$E$48,4,FALSE)&amp;$BK95,坦克属性分配比例,MATCH("升星比例",坦克属性分配比例标头,0),FALSE),0)</f>
        <v>795</v>
      </c>
      <c r="BR95" s="2">
        <f ca="1">ROUND(VLOOKUP($BJ95&amp;"初始",$S$3:$AE$63,MATCH(BR$3,$S$3:$AE$3,0),FALSE)+(VLOOKUP($BJ95&amp;"最终",$S$3:$AE$63,MATCH(BR$3,$S$3:$AE$3,0),FALSE)-VLOOKUP($BJ95&amp;"初始",$S$3:$AE$63,MATCH(BR$3,$S$3:$AE$3,0),FALSE))*$BL95/VLOOKUP(VLOOKUP($BJ95,坦克个性化设定!$B$18:$E$48,4,FALSE)&amp;$BK95,坦克属性分配比例,MATCH("升星次数",坦克属性分配比例标头,0),FALSE),0)</f>
        <v>223</v>
      </c>
      <c r="BS95" s="2">
        <f>ROUND(VLOOKUP($BJ95,$AI$3:$AO$33,MATCH(BS$3,$AI$3:$AO$3,0),FALSE)+$BL95/VLOOKUP(VLOOKUP($BJ95,坦克个性化设定!$B$18:$E$48,4,FALSE)&amp;$BK95,坦克属性分配比例,MATCH("升星次数",坦克属性分配比例标头,0),FALSE)*VLOOKUP($BJ95,$AR$3:$AY$33,MATCH(BS$3,$AR$3:$AY$3,0),FALSE),1)</f>
        <v>39.9</v>
      </c>
      <c r="BT95" s="2">
        <f>ROUND(VLOOKUP($BJ95,$AI$3:$AO$33,MATCH(BT$3,$AI$3:$AO$3,0),FALSE)+$BL95/VLOOKUP(VLOOKUP($BJ95,坦克个性化设定!$B$18:$E$48,4,FALSE)&amp;$BK95,坦克属性分配比例,MATCH("升星次数",坦克属性分配比例标头,0),FALSE)*VLOOKUP($BJ95,$AR$3:$AY$33,MATCH(BT$3,$AR$3:$AY$3,0),FALSE),1)</f>
        <v>59.5</v>
      </c>
      <c r="BU95" s="2">
        <f>ROUND(VLOOKUP($BJ95,$AI$3:$AO$33,MATCH(BU$3,$AI$3:$AO$3,0),FALSE)+$BL95/VLOOKUP(VLOOKUP($BJ95,坦克个性化设定!$B$18:$E$48,4,FALSE)&amp;$BK95,坦克属性分配比例,MATCH("升星次数",坦克属性分配比例标头,0),FALSE)*VLOOKUP($BJ95,$AR$3:$AY$33,MATCH(BU$3,$AR$3:$AY$3,0),FALSE),1)</f>
        <v>9.5</v>
      </c>
      <c r="BV95" s="2">
        <f>IF(VLOOKUP(BJ95,坦克个性化设定!$B$18:$BC$48,MATCH("装弹类型",坦克个性化设定!$B$18:$BC$18,0),FALSE)="弹夹换弹",0,ROUND(VLOOKUP($BJ95,$AI$3:$AO$33,MATCH("换弹时间",$AI$3:$AO$3,0),FALSE)-$BL95/VLOOKUP(VLOOKUP($BJ95,坦克个性化设定!$B$18:$E$48,4,FALSE)&amp;$BK95,坦克属性分配比例,MATCH("升星次数",坦克属性分配比例标头,0),FALSE)*VLOOKUP($BJ95,$AR$3:$AY$33,MATCH("换弹时间",$AR$3:$AY$3,0),FALSE),2))</f>
        <v>0</v>
      </c>
      <c r="BW95" s="2">
        <f>IF(VLOOKUP(BJ95,坦克个性化设定!$B$18:$BC$48,MATCH("装弹类型",坦克个性化设定!$B$18:$BC$18,0),FALSE)="弹夹换弹",ROUND(VLOOKUP($BJ95,$AI$3:$AO$33,MATCH("换弹时间",$AI$3:$AO$3,0),FALSE)-$BL95/VLOOKUP(VLOOKUP($BJ95,坦克个性化设定!$B$18:$E$48,4,FALSE)&amp;$BK95,坦克属性分配比例,MATCH("升星次数",坦克属性分配比例标头,0),FALSE)*VLOOKUP($BJ95,$AR$3:$AY$33,MATCH("换弹时间",$AR$3:$AY$3,0),FALSE),1),0)</f>
        <v>5.8</v>
      </c>
      <c r="BX95" s="2">
        <f>ROUND(VLOOKUP($BJ95,$AI$3:$AO$33,MATCH(BX$3,$AI$3:$AO$3,0),FALSE)+$BL95/VLOOKUP(VLOOKUP($BJ95,坦克个性化设定!$B$18:$E$48,4,FALSE)&amp;$BK95,坦克属性分配比例,MATCH("升星次数",坦克属性分配比例标头,0),FALSE)*VLOOKUP($BJ95,$AR$3:$AY$33,MATCH(BX$3,$AR$3:$AY$3,0),FALSE),2)</f>
        <v>0.8</v>
      </c>
      <c r="BY95" s="2">
        <f>ROUND(VLOOKUP($BJ95,$AI$3:$AO$33,MATCH(BY$3,$AI$3:$AO$3,0),FALSE)-$BL95/VLOOKUP(VLOOKUP($BJ95,坦克个性化设定!$B$18:$E$48,4,FALSE)&amp;$BK95,坦克属性分配比例,MATCH("升星次数",坦克属性分配比例标头,0),FALSE)*VLOOKUP($BJ95,$AR$3:$AY$33,MATCH(BY$3,$AR$3:$AY$3,0),FALSE),2)</f>
        <v>0.5</v>
      </c>
    </row>
    <row r="96" spans="60:77" x14ac:dyDescent="0.3">
      <c r="BH96" s="2" t="str">
        <f t="shared" si="24"/>
        <v>59式4</v>
      </c>
      <c r="BI96" s="2">
        <f>IF(BL95&gt;=VLOOKUP(VLOOKUP(BJ95,坦克个性化设定!$B$18:$E$48,4,FALSE)&amp;BK95,坦克属性分配比例,MATCH("升星次数",坦克属性分配比例标头,0),FALSE),BI95+1,BI95)</f>
        <v>10</v>
      </c>
      <c r="BJ96" s="2" t="str">
        <f t="shared" si="25"/>
        <v>59式</v>
      </c>
      <c r="BK96" s="29" t="str">
        <f>VLOOKUP(BJ96,坦克个性化细分!$I$3:$J$33,2,FALSE)</f>
        <v>低</v>
      </c>
      <c r="BL96" s="2">
        <f t="shared" si="23"/>
        <v>4</v>
      </c>
      <c r="BM96" s="103">
        <f ca="1">ROUND(VLOOKUP($BJ96&amp;"初始",$S$3:$AE$63,MATCH(BM$3,$S$3:$AE$3,0),FALSE)+((VLOOKUP($BJ96&amp;"最终",$S$3:$AE$63,MATCH(BM$3,$S$3:$AE$3,0),FALSE)*坦克个性化细分!$C$9-VLOOKUP($BJ96&amp;"初始",$S$3:$AE$63,MATCH(BM$3,$S$3:$AE$3,0),FALSE))-(VLOOKUP($BJ96&amp;"最终",$S$3:$AE$63,MATCH(BM$3,$S$3:$AE$3,0),FALSE)-VLOOKUP($BJ96&amp;"初始",$S$3:$AE$63,MATCH(BM$3,$S$3:$AE$3,0),FALSE))*VLOOKUP(VLOOKUP($BJ96,坦克个性化设定!$B$18:$E$48,4,FALSE)&amp;$BK96,坦克属性分配比例,MATCH("部件比例",坦克属性分配比例标头,0),FALSE))*$BL96/VLOOKUP(VLOOKUP($BJ96,坦克个性化设定!$B$18:$E$48,4,FALSE)&amp;$BK96,坦克属性分配比例,MATCH("升星次数",坦克属性分配比例标头,0),FALSE),0)</f>
        <v>2403</v>
      </c>
      <c r="BN96" s="103">
        <f ca="1">ROUND(VLOOKUP($BJ96&amp;"初始",$S$3:$AE$63,MATCH(BN$3,$S$3:$AE$3,0),FALSE)+(VLOOKUP($BJ96&amp;"最终",$S$3:$AE$63,MATCH(BN$3,$S$3:$AE$3,0),FALSE)-VLOOKUP($BJ96&amp;"初始",$S$3:$AE$63,MATCH(BN$3,$S$3:$AE$3,0),FALSE))*$BL96/VLOOKUP(VLOOKUP($BJ96,坦克个性化设定!$B$18:$E$48,4,FALSE)&amp;$BK96,坦克属性分配比例,MATCH("升星次数",坦克属性分配比例标头,0),FALSE)*VLOOKUP(VLOOKUP($BJ96,坦克个性化设定!$B$18:$E$48,4,FALSE)&amp;$BK96,坦克属性分配比例,MATCH("升星比例",坦克属性分配比例标头,0),FALSE),0)</f>
        <v>150</v>
      </c>
      <c r="BO96" s="103">
        <f ca="1">ROUND(VLOOKUP($BJ96&amp;"初始",$S$3:$AE$63,MATCH(BO$3,$S$3:$AE$3,0),FALSE)+(VLOOKUP($BJ96&amp;"最终",$S$3:$AE$63,MATCH(BO$3,$S$3:$AE$3,0),FALSE)-VLOOKUP($BJ96&amp;"初始",$S$3:$AE$63,MATCH(BO$3,$S$3:$AE$3,0),FALSE))*$BL96/VLOOKUP(VLOOKUP($BJ96,坦克个性化设定!$B$18:$E$48,4,FALSE)&amp;$BK96,坦克属性分配比例,MATCH("升星次数",坦克属性分配比例标头,0),FALSE)*(VLOOKUP(VLOOKUP($BJ96,坦克个性化设定!$B$18:$E$48,4,FALSE)&amp;$BK96,坦克属性分配比例,MATCH("升星比例",坦克属性分配比例标头,0),FALSE)+VLOOKUP(VLOOKUP($BJ96,坦克个性化设定!$B$18:$E$48,4,FALSE)&amp;$BK96,坦克属性分配比例,MATCH("部件比例",坦克属性分配比例标头,0),FALSE)*$C$3),0)</f>
        <v>919</v>
      </c>
      <c r="BP96" s="103">
        <f ca="1">ROUND(VLOOKUP($BJ96&amp;"初始",$S$3:$AE$63,MATCH(BP$3,$S$3:$AE$3,0),FALSE)+(VLOOKUP($BJ96&amp;"最终",$S$3:$AE$63,MATCH(BP$3,$S$3:$AE$3,0),FALSE)-VLOOKUP($BJ96&amp;"初始",$S$3:$AE$63,MATCH(BP$3,$S$3:$AE$3,0),FALSE))*$BL96/VLOOKUP(VLOOKUP($BJ96,坦克个性化设定!$B$18:$E$48,4,FALSE)&amp;$BK96,坦克属性分配比例,MATCH("升星次数",坦克属性分配比例标头,0),FALSE)*(VLOOKUP(VLOOKUP($BJ96,坦克个性化设定!$B$18:$E$48,4,FALSE)&amp;$BK96,坦克属性分配比例,MATCH("升星比例",坦克属性分配比例标头,0),FALSE)+VLOOKUP(VLOOKUP($BJ96,坦克个性化设定!$B$18:$E$48,4,FALSE)&amp;$BK96,坦克属性分配比例,MATCH("部件比例",坦克属性分配比例标头,0),FALSE)*$C$3),0)</f>
        <v>644</v>
      </c>
      <c r="BQ96" s="103">
        <f ca="1">ROUND(VLOOKUP($BJ96&amp;"初始",$S$3:$AE$63,MATCH(BQ$3,$S$3:$AE$3,0),FALSE)+(VLOOKUP($BJ96&amp;"最终",$S$3:$AE$63,MATCH(BQ$3,$S$3:$AE$3,0),FALSE)-VLOOKUP($BJ96&amp;"初始",$S$3:$AE$63,MATCH(BQ$3,$S$3:$AE$3,0),FALSE))*$BL96/VLOOKUP(VLOOKUP($BJ96,坦克个性化设定!$B$18:$E$48,4,FALSE)&amp;$BK96,坦克属性分配比例,MATCH("升星次数",坦克属性分配比例标头,0),FALSE)*VLOOKUP(VLOOKUP($BJ96,坦克个性化设定!$B$18:$E$48,4,FALSE)&amp;$BK96,坦克属性分配比例,MATCH("升星比例",坦克属性分配比例标头,0),FALSE),0)</f>
        <v>808</v>
      </c>
      <c r="BR96" s="2">
        <f ca="1">ROUND(VLOOKUP($BJ96&amp;"初始",$S$3:$AE$63,MATCH(BR$3,$S$3:$AE$3,0),FALSE)+(VLOOKUP($BJ96&amp;"最终",$S$3:$AE$63,MATCH(BR$3,$S$3:$AE$3,0),FALSE)-VLOOKUP($BJ96&amp;"初始",$S$3:$AE$63,MATCH(BR$3,$S$3:$AE$3,0),FALSE))*$BL96/VLOOKUP(VLOOKUP($BJ96,坦克个性化设定!$B$18:$E$48,4,FALSE)&amp;$BK96,坦克属性分配比例,MATCH("升星次数",坦克属性分配比例标头,0),FALSE),0)</f>
        <v>230</v>
      </c>
      <c r="BS96" s="2">
        <f>ROUND(VLOOKUP($BJ96,$AI$3:$AO$33,MATCH(BS$3,$AI$3:$AO$3,0),FALSE)+$BL96/VLOOKUP(VLOOKUP($BJ96,坦克个性化设定!$B$18:$E$48,4,FALSE)&amp;$BK96,坦克属性分配比例,MATCH("升星次数",坦克属性分配比例标头,0),FALSE)*VLOOKUP($BJ96,$AR$3:$AY$33,MATCH(BS$3,$AR$3:$AY$3,0),FALSE),1)</f>
        <v>40.6</v>
      </c>
      <c r="BT96" s="2">
        <f>ROUND(VLOOKUP($BJ96,$AI$3:$AO$33,MATCH(BT$3,$AI$3:$AO$3,0),FALSE)+$BL96/VLOOKUP(VLOOKUP($BJ96,坦克个性化设定!$B$18:$E$48,4,FALSE)&amp;$BK96,坦克属性分配比例,MATCH("升星次数",坦克属性分配比例标头,0),FALSE)*VLOOKUP($BJ96,$AR$3:$AY$33,MATCH(BT$3,$AR$3:$AY$3,0),FALSE),1)</f>
        <v>60.6</v>
      </c>
      <c r="BU96" s="2">
        <f>ROUND(VLOOKUP($BJ96,$AI$3:$AO$33,MATCH(BU$3,$AI$3:$AO$3,0),FALSE)+$BL96/VLOOKUP(VLOOKUP($BJ96,坦克个性化设定!$B$18:$E$48,4,FALSE)&amp;$BK96,坦克属性分配比例,MATCH("升星次数",坦克属性分配比例标头,0),FALSE)*VLOOKUP($BJ96,$AR$3:$AY$33,MATCH(BU$3,$AR$3:$AY$3,0),FALSE),1)</f>
        <v>9.5</v>
      </c>
      <c r="BV96" s="2">
        <f>IF(VLOOKUP(BJ96,坦克个性化设定!$B$18:$BC$48,MATCH("装弹类型",坦克个性化设定!$B$18:$BC$18,0),FALSE)="弹夹换弹",0,ROUND(VLOOKUP($BJ96,$AI$3:$AO$33,MATCH("换弹时间",$AI$3:$AO$3,0),FALSE)-$BL96/VLOOKUP(VLOOKUP($BJ96,坦克个性化设定!$B$18:$E$48,4,FALSE)&amp;$BK96,坦克属性分配比例,MATCH("升星次数",坦克属性分配比例标头,0),FALSE)*VLOOKUP($BJ96,$AR$3:$AY$33,MATCH("换弹时间",$AR$3:$AY$3,0),FALSE),2))</f>
        <v>0</v>
      </c>
      <c r="BW96" s="2">
        <f>IF(VLOOKUP(BJ96,坦克个性化设定!$B$18:$BC$48,MATCH("装弹类型",坦克个性化设定!$B$18:$BC$18,0),FALSE)="弹夹换弹",ROUND(VLOOKUP($BJ96,$AI$3:$AO$33,MATCH("换弹时间",$AI$3:$AO$3,0),FALSE)-$BL96/VLOOKUP(VLOOKUP($BJ96,坦克个性化设定!$B$18:$E$48,4,FALSE)&amp;$BK96,坦克属性分配比例,MATCH("升星次数",坦克属性分配比例标头,0),FALSE)*VLOOKUP($BJ96,$AR$3:$AY$33,MATCH("换弹时间",$AR$3:$AY$3,0),FALSE),1),0)</f>
        <v>5.7</v>
      </c>
      <c r="BX96" s="2">
        <f>ROUND(VLOOKUP($BJ96,$AI$3:$AO$33,MATCH(BX$3,$AI$3:$AO$3,0),FALSE)+$BL96/VLOOKUP(VLOOKUP($BJ96,坦克个性化设定!$B$18:$E$48,4,FALSE)&amp;$BK96,坦克属性分配比例,MATCH("升星次数",坦克属性分配比例标头,0),FALSE)*VLOOKUP($BJ96,$AR$3:$AY$33,MATCH(BX$3,$AR$3:$AY$3,0),FALSE),2)</f>
        <v>0.8</v>
      </c>
      <c r="BY96" s="2">
        <f>ROUND(VLOOKUP($BJ96,$AI$3:$AO$33,MATCH(BY$3,$AI$3:$AO$3,0),FALSE)-$BL96/VLOOKUP(VLOOKUP($BJ96,坦克个性化设定!$B$18:$E$48,4,FALSE)&amp;$BK96,坦克属性分配比例,MATCH("升星次数",坦克属性分配比例标头,0),FALSE)*VLOOKUP($BJ96,$AR$3:$AY$33,MATCH(BY$3,$AR$3:$AY$3,0),FALSE),2)</f>
        <v>0.49</v>
      </c>
    </row>
    <row r="97" spans="60:77" x14ac:dyDescent="0.3">
      <c r="BH97" s="2" t="str">
        <f t="shared" si="24"/>
        <v>59式5</v>
      </c>
      <c r="BI97" s="2">
        <f>IF(BL96&gt;=VLOOKUP(VLOOKUP(BJ96,坦克个性化设定!$B$18:$E$48,4,FALSE)&amp;BK96,坦克属性分配比例,MATCH("升星次数",坦克属性分配比例标头,0),FALSE),BI96+1,BI96)</f>
        <v>10</v>
      </c>
      <c r="BJ97" s="2" t="str">
        <f t="shared" si="25"/>
        <v>59式</v>
      </c>
      <c r="BK97" s="29" t="str">
        <f>VLOOKUP(BJ97,坦克个性化细分!$I$3:$J$33,2,FALSE)</f>
        <v>低</v>
      </c>
      <c r="BL97" s="2">
        <f t="shared" si="23"/>
        <v>5</v>
      </c>
      <c r="BM97" s="103">
        <f ca="1">ROUND(VLOOKUP($BJ97&amp;"初始",$S$3:$AE$63,MATCH(BM$3,$S$3:$AE$3,0),FALSE)+((VLOOKUP($BJ97&amp;"最终",$S$3:$AE$63,MATCH(BM$3,$S$3:$AE$3,0),FALSE)*坦克个性化细分!$C$9-VLOOKUP($BJ97&amp;"初始",$S$3:$AE$63,MATCH(BM$3,$S$3:$AE$3,0),FALSE))-(VLOOKUP($BJ97&amp;"最终",$S$3:$AE$63,MATCH(BM$3,$S$3:$AE$3,0),FALSE)-VLOOKUP($BJ97&amp;"初始",$S$3:$AE$63,MATCH(BM$3,$S$3:$AE$3,0),FALSE))*VLOOKUP(VLOOKUP($BJ97,坦克个性化设定!$B$18:$E$48,4,FALSE)&amp;$BK97,坦克属性分配比例,MATCH("部件比例",坦克属性分配比例标头,0),FALSE))*$BL97/VLOOKUP(VLOOKUP($BJ97,坦克个性化设定!$B$18:$E$48,4,FALSE)&amp;$BK97,坦克属性分配比例,MATCH("升星次数",坦克属性分配比例标头,0),FALSE),0)</f>
        <v>2472</v>
      </c>
      <c r="BN97" s="103">
        <f ca="1">ROUND(VLOOKUP($BJ97&amp;"初始",$S$3:$AE$63,MATCH(BN$3,$S$3:$AE$3,0),FALSE)+(VLOOKUP($BJ97&amp;"最终",$S$3:$AE$63,MATCH(BN$3,$S$3:$AE$3,0),FALSE)-VLOOKUP($BJ97&amp;"初始",$S$3:$AE$63,MATCH(BN$3,$S$3:$AE$3,0),FALSE))*$BL97/VLOOKUP(VLOOKUP($BJ97,坦克个性化设定!$B$18:$E$48,4,FALSE)&amp;$BK97,坦克属性分配比例,MATCH("升星次数",坦克属性分配比例标头,0),FALSE)*VLOOKUP(VLOOKUP($BJ97,坦克个性化设定!$B$18:$E$48,4,FALSE)&amp;$BK97,坦克属性分配比例,MATCH("升星比例",坦克属性分配比例标头,0),FALSE),0)</f>
        <v>153</v>
      </c>
      <c r="BO97" s="103">
        <f ca="1">ROUND(VLOOKUP($BJ97&amp;"初始",$S$3:$AE$63,MATCH(BO$3,$S$3:$AE$3,0),FALSE)+(VLOOKUP($BJ97&amp;"最终",$S$3:$AE$63,MATCH(BO$3,$S$3:$AE$3,0),FALSE)-VLOOKUP($BJ97&amp;"初始",$S$3:$AE$63,MATCH(BO$3,$S$3:$AE$3,0),FALSE))*$BL97/VLOOKUP(VLOOKUP($BJ97,坦克个性化设定!$B$18:$E$48,4,FALSE)&amp;$BK97,坦克属性分配比例,MATCH("升星次数",坦克属性分配比例标头,0),FALSE)*(VLOOKUP(VLOOKUP($BJ97,坦克个性化设定!$B$18:$E$48,4,FALSE)&amp;$BK97,坦克属性分配比例,MATCH("升星比例",坦克属性分配比例标头,0),FALSE)+VLOOKUP(VLOOKUP($BJ97,坦克个性化设定!$B$18:$E$48,4,FALSE)&amp;$BK97,坦克属性分配比例,MATCH("部件比例",坦克属性分配比例标头,0),FALSE)*$C$3),0)</f>
        <v>942</v>
      </c>
      <c r="BP97" s="103">
        <f ca="1">ROUND(VLOOKUP($BJ97&amp;"初始",$S$3:$AE$63,MATCH(BP$3,$S$3:$AE$3,0),FALSE)+(VLOOKUP($BJ97&amp;"最终",$S$3:$AE$63,MATCH(BP$3,$S$3:$AE$3,0),FALSE)-VLOOKUP($BJ97&amp;"初始",$S$3:$AE$63,MATCH(BP$3,$S$3:$AE$3,0),FALSE))*$BL97/VLOOKUP(VLOOKUP($BJ97,坦克个性化设定!$B$18:$E$48,4,FALSE)&amp;$BK97,坦克属性分配比例,MATCH("升星次数",坦克属性分配比例标头,0),FALSE)*(VLOOKUP(VLOOKUP($BJ97,坦克个性化设定!$B$18:$E$48,4,FALSE)&amp;$BK97,坦克属性分配比例,MATCH("升星比例",坦克属性分配比例标头,0),FALSE)+VLOOKUP(VLOOKUP($BJ97,坦克个性化设定!$B$18:$E$48,4,FALSE)&amp;$BK97,坦克属性分配比例,MATCH("部件比例",坦克属性分配比例标头,0),FALSE)*$C$3),0)</f>
        <v>660</v>
      </c>
      <c r="BQ97" s="103">
        <f ca="1">ROUND(VLOOKUP($BJ97&amp;"初始",$S$3:$AE$63,MATCH(BQ$3,$S$3:$AE$3,0),FALSE)+(VLOOKUP($BJ97&amp;"最终",$S$3:$AE$63,MATCH(BQ$3,$S$3:$AE$3,0),FALSE)-VLOOKUP($BJ97&amp;"初始",$S$3:$AE$63,MATCH(BQ$3,$S$3:$AE$3,0),FALSE))*$BL97/VLOOKUP(VLOOKUP($BJ97,坦克个性化设定!$B$18:$E$48,4,FALSE)&amp;$BK97,坦克属性分配比例,MATCH("升星次数",坦克属性分配比例标头,0),FALSE)*VLOOKUP(VLOOKUP($BJ97,坦克个性化设定!$B$18:$E$48,4,FALSE)&amp;$BK97,坦克属性分配比例,MATCH("升星比例",坦克属性分配比例标头,0),FALSE),0)</f>
        <v>821</v>
      </c>
      <c r="BR97" s="2">
        <f ca="1">ROUND(VLOOKUP($BJ97&amp;"初始",$S$3:$AE$63,MATCH(BR$3,$S$3:$AE$3,0),FALSE)+(VLOOKUP($BJ97&amp;"最终",$S$3:$AE$63,MATCH(BR$3,$S$3:$AE$3,0),FALSE)-VLOOKUP($BJ97&amp;"初始",$S$3:$AE$63,MATCH(BR$3,$S$3:$AE$3,0),FALSE))*$BL97/VLOOKUP(VLOOKUP($BJ97,坦克个性化设定!$B$18:$E$48,4,FALSE)&amp;$BK97,坦克属性分配比例,MATCH("升星次数",坦克属性分配比例标头,0),FALSE),0)</f>
        <v>237</v>
      </c>
      <c r="BS97" s="2">
        <f>ROUND(VLOOKUP($BJ97,$AI$3:$AO$33,MATCH(BS$3,$AI$3:$AO$3,0),FALSE)+$BL97/VLOOKUP(VLOOKUP($BJ97,坦克个性化设定!$B$18:$E$48,4,FALSE)&amp;$BK97,坦克属性分配比例,MATCH("升星次数",坦克属性分配比例标头,0),FALSE)*VLOOKUP($BJ97,$AR$3:$AY$33,MATCH(BS$3,$AR$3:$AY$3,0),FALSE),1)</f>
        <v>41.3</v>
      </c>
      <c r="BT97" s="2">
        <f>ROUND(VLOOKUP($BJ97,$AI$3:$AO$33,MATCH(BT$3,$AI$3:$AO$3,0),FALSE)+$BL97/VLOOKUP(VLOOKUP($BJ97,坦克个性化设定!$B$18:$E$48,4,FALSE)&amp;$BK97,坦克属性分配比例,MATCH("升星次数",坦克属性分配比例标头,0),FALSE)*VLOOKUP($BJ97,$AR$3:$AY$33,MATCH(BT$3,$AR$3:$AY$3,0),FALSE),1)</f>
        <v>61.7</v>
      </c>
      <c r="BU97" s="2">
        <f>ROUND(VLOOKUP($BJ97,$AI$3:$AO$33,MATCH(BU$3,$AI$3:$AO$3,0),FALSE)+$BL97/VLOOKUP(VLOOKUP($BJ97,坦克个性化设定!$B$18:$E$48,4,FALSE)&amp;$BK97,坦克属性分配比例,MATCH("升星次数",坦克属性分配比例标头,0),FALSE)*VLOOKUP($BJ97,$AR$3:$AY$33,MATCH(BU$3,$AR$3:$AY$3,0),FALSE),1)</f>
        <v>9.5</v>
      </c>
      <c r="BV97" s="2">
        <f>IF(VLOOKUP(BJ97,坦克个性化设定!$B$18:$BC$48,MATCH("装弹类型",坦克个性化设定!$B$18:$BC$18,0),FALSE)="弹夹换弹",0,ROUND(VLOOKUP($BJ97,$AI$3:$AO$33,MATCH("换弹时间",$AI$3:$AO$3,0),FALSE)-$BL97/VLOOKUP(VLOOKUP($BJ97,坦克个性化设定!$B$18:$E$48,4,FALSE)&amp;$BK97,坦克属性分配比例,MATCH("升星次数",坦克属性分配比例标头,0),FALSE)*VLOOKUP($BJ97,$AR$3:$AY$33,MATCH("换弹时间",$AR$3:$AY$3,0),FALSE),2))</f>
        <v>0</v>
      </c>
      <c r="BW97" s="2">
        <f>IF(VLOOKUP(BJ97,坦克个性化设定!$B$18:$BC$48,MATCH("装弹类型",坦克个性化设定!$B$18:$BC$18,0),FALSE)="弹夹换弹",ROUND(VLOOKUP($BJ97,$AI$3:$AO$33,MATCH("换弹时间",$AI$3:$AO$3,0),FALSE)-$BL97/VLOOKUP(VLOOKUP($BJ97,坦克个性化设定!$B$18:$E$48,4,FALSE)&amp;$BK97,坦克属性分配比例,MATCH("升星次数",坦克属性分配比例标头,0),FALSE)*VLOOKUP($BJ97,$AR$3:$AY$33,MATCH("换弹时间",$AR$3:$AY$3,0),FALSE),1),0)</f>
        <v>5.5</v>
      </c>
      <c r="BX97" s="2">
        <f>ROUND(VLOOKUP($BJ97,$AI$3:$AO$33,MATCH(BX$3,$AI$3:$AO$3,0),FALSE)+$BL97/VLOOKUP(VLOOKUP($BJ97,坦克个性化设定!$B$18:$E$48,4,FALSE)&amp;$BK97,坦克属性分配比例,MATCH("升星次数",坦克属性分配比例标头,0),FALSE)*VLOOKUP($BJ97,$AR$3:$AY$33,MATCH(BX$3,$AR$3:$AY$3,0),FALSE),2)</f>
        <v>0.8</v>
      </c>
      <c r="BY97" s="2">
        <f>ROUND(VLOOKUP($BJ97,$AI$3:$AO$33,MATCH(BY$3,$AI$3:$AO$3,0),FALSE)-$BL97/VLOOKUP(VLOOKUP($BJ97,坦克个性化设定!$B$18:$E$48,4,FALSE)&amp;$BK97,坦克属性分配比例,MATCH("升星次数",坦克属性分配比例标头,0),FALSE)*VLOOKUP($BJ97,$AR$3:$AY$33,MATCH(BY$3,$AR$3:$AY$3,0),FALSE),2)</f>
        <v>0.48</v>
      </c>
    </row>
    <row r="98" spans="60:77" x14ac:dyDescent="0.3">
      <c r="BH98" s="2" t="str">
        <f t="shared" si="24"/>
        <v>59式6</v>
      </c>
      <c r="BI98" s="2">
        <f>IF(BL97&gt;=VLOOKUP(VLOOKUP(BJ97,坦克个性化设定!$B$18:$E$48,4,FALSE)&amp;BK97,坦克属性分配比例,MATCH("升星次数",坦克属性分配比例标头,0),FALSE),BI97+1,BI97)</f>
        <v>10</v>
      </c>
      <c r="BJ98" s="2" t="str">
        <f t="shared" si="25"/>
        <v>59式</v>
      </c>
      <c r="BK98" s="29" t="str">
        <f>VLOOKUP(BJ98,坦克个性化细分!$I$3:$J$33,2,FALSE)</f>
        <v>低</v>
      </c>
      <c r="BL98" s="2">
        <f t="shared" si="23"/>
        <v>6</v>
      </c>
      <c r="BM98" s="103">
        <f ca="1">ROUND(VLOOKUP($BJ98&amp;"初始",$S$3:$AE$63,MATCH(BM$3,$S$3:$AE$3,0),FALSE)+((VLOOKUP($BJ98&amp;"最终",$S$3:$AE$63,MATCH(BM$3,$S$3:$AE$3,0),FALSE)*坦克个性化细分!$C$9-VLOOKUP($BJ98&amp;"初始",$S$3:$AE$63,MATCH(BM$3,$S$3:$AE$3,0),FALSE))-(VLOOKUP($BJ98&amp;"最终",$S$3:$AE$63,MATCH(BM$3,$S$3:$AE$3,0),FALSE)-VLOOKUP($BJ98&amp;"初始",$S$3:$AE$63,MATCH(BM$3,$S$3:$AE$3,0),FALSE))*VLOOKUP(VLOOKUP($BJ98,坦克个性化设定!$B$18:$E$48,4,FALSE)&amp;$BK98,坦克属性分配比例,MATCH("部件比例",坦克属性分配比例标头,0),FALSE))*$BL98/VLOOKUP(VLOOKUP($BJ98,坦克个性化设定!$B$18:$E$48,4,FALSE)&amp;$BK98,坦克属性分配比例,MATCH("升星次数",坦克属性分配比例标头,0),FALSE),0)</f>
        <v>2541</v>
      </c>
      <c r="BN98" s="103">
        <f ca="1">ROUND(VLOOKUP($BJ98&amp;"初始",$S$3:$AE$63,MATCH(BN$3,$S$3:$AE$3,0),FALSE)+(VLOOKUP($BJ98&amp;"最终",$S$3:$AE$63,MATCH(BN$3,$S$3:$AE$3,0),FALSE)-VLOOKUP($BJ98&amp;"初始",$S$3:$AE$63,MATCH(BN$3,$S$3:$AE$3,0),FALSE))*$BL98/VLOOKUP(VLOOKUP($BJ98,坦克个性化设定!$B$18:$E$48,4,FALSE)&amp;$BK98,坦克属性分配比例,MATCH("升星次数",坦克属性分配比例标头,0),FALSE)*VLOOKUP(VLOOKUP($BJ98,坦克个性化设定!$B$18:$E$48,4,FALSE)&amp;$BK98,坦克属性分配比例,MATCH("升星比例",坦克属性分配比例标头,0),FALSE),0)</f>
        <v>155</v>
      </c>
      <c r="BO98" s="103">
        <f ca="1">ROUND(VLOOKUP($BJ98&amp;"初始",$S$3:$AE$63,MATCH(BO$3,$S$3:$AE$3,0),FALSE)+(VLOOKUP($BJ98&amp;"最终",$S$3:$AE$63,MATCH(BO$3,$S$3:$AE$3,0),FALSE)-VLOOKUP($BJ98&amp;"初始",$S$3:$AE$63,MATCH(BO$3,$S$3:$AE$3,0),FALSE))*$BL98/VLOOKUP(VLOOKUP($BJ98,坦克个性化设定!$B$18:$E$48,4,FALSE)&amp;$BK98,坦克属性分配比例,MATCH("升星次数",坦克属性分配比例标头,0),FALSE)*(VLOOKUP(VLOOKUP($BJ98,坦克个性化设定!$B$18:$E$48,4,FALSE)&amp;$BK98,坦克属性分配比例,MATCH("升星比例",坦克属性分配比例标头,0),FALSE)+VLOOKUP(VLOOKUP($BJ98,坦克个性化设定!$B$18:$E$48,4,FALSE)&amp;$BK98,坦克属性分配比例,MATCH("部件比例",坦克属性分配比例标头,0),FALSE)*$C$3),0)</f>
        <v>965</v>
      </c>
      <c r="BP98" s="103">
        <f ca="1">ROUND(VLOOKUP($BJ98&amp;"初始",$S$3:$AE$63,MATCH(BP$3,$S$3:$AE$3,0),FALSE)+(VLOOKUP($BJ98&amp;"最终",$S$3:$AE$63,MATCH(BP$3,$S$3:$AE$3,0),FALSE)-VLOOKUP($BJ98&amp;"初始",$S$3:$AE$63,MATCH(BP$3,$S$3:$AE$3,0),FALSE))*$BL98/VLOOKUP(VLOOKUP($BJ98,坦克个性化设定!$B$18:$E$48,4,FALSE)&amp;$BK98,坦克属性分配比例,MATCH("升星次数",坦克属性分配比例标头,0),FALSE)*(VLOOKUP(VLOOKUP($BJ98,坦克个性化设定!$B$18:$E$48,4,FALSE)&amp;$BK98,坦克属性分配比例,MATCH("升星比例",坦克属性分配比例标头,0),FALSE)+VLOOKUP(VLOOKUP($BJ98,坦克个性化设定!$B$18:$E$48,4,FALSE)&amp;$BK98,坦克属性分配比例,MATCH("部件比例",坦克属性分配比例标头,0),FALSE)*$C$3),0)</f>
        <v>676</v>
      </c>
      <c r="BQ98" s="103">
        <f ca="1">ROUND(VLOOKUP($BJ98&amp;"初始",$S$3:$AE$63,MATCH(BQ$3,$S$3:$AE$3,0),FALSE)+(VLOOKUP($BJ98&amp;"最终",$S$3:$AE$63,MATCH(BQ$3,$S$3:$AE$3,0),FALSE)-VLOOKUP($BJ98&amp;"初始",$S$3:$AE$63,MATCH(BQ$3,$S$3:$AE$3,0),FALSE))*$BL98/VLOOKUP(VLOOKUP($BJ98,坦克个性化设定!$B$18:$E$48,4,FALSE)&amp;$BK98,坦克属性分配比例,MATCH("升星次数",坦克属性分配比例标头,0),FALSE)*VLOOKUP(VLOOKUP($BJ98,坦克个性化设定!$B$18:$E$48,4,FALSE)&amp;$BK98,坦克属性分配比例,MATCH("升星比例",坦克属性分配比例标头,0),FALSE),0)</f>
        <v>834</v>
      </c>
      <c r="BR98" s="2">
        <f ca="1">ROUND(VLOOKUP($BJ98&amp;"初始",$S$3:$AE$63,MATCH(BR$3,$S$3:$AE$3,0),FALSE)+(VLOOKUP($BJ98&amp;"最终",$S$3:$AE$63,MATCH(BR$3,$S$3:$AE$3,0),FALSE)-VLOOKUP($BJ98&amp;"初始",$S$3:$AE$63,MATCH(BR$3,$S$3:$AE$3,0),FALSE))*$BL98/VLOOKUP(VLOOKUP($BJ98,坦克个性化设定!$B$18:$E$48,4,FALSE)&amp;$BK98,坦克属性分配比例,MATCH("升星次数",坦克属性分配比例标头,0),FALSE),0)</f>
        <v>244</v>
      </c>
      <c r="BS98" s="2">
        <f>ROUND(VLOOKUP($BJ98,$AI$3:$AO$33,MATCH(BS$3,$AI$3:$AO$3,0),FALSE)+$BL98/VLOOKUP(VLOOKUP($BJ98,坦克个性化设定!$B$18:$E$48,4,FALSE)&amp;$BK98,坦克属性分配比例,MATCH("升星次数",坦克属性分配比例标头,0),FALSE)*VLOOKUP($BJ98,$AR$3:$AY$33,MATCH(BS$3,$AR$3:$AY$3,0),FALSE),1)</f>
        <v>42.1</v>
      </c>
      <c r="BT98" s="2">
        <f>ROUND(VLOOKUP($BJ98,$AI$3:$AO$33,MATCH(BT$3,$AI$3:$AO$3,0),FALSE)+$BL98/VLOOKUP(VLOOKUP($BJ98,坦克个性化设定!$B$18:$E$48,4,FALSE)&amp;$BK98,坦克属性分配比例,MATCH("升星次数",坦克属性分配比例标头,0),FALSE)*VLOOKUP($BJ98,$AR$3:$AY$33,MATCH(BT$3,$AR$3:$AY$3,0),FALSE),1)</f>
        <v>62.8</v>
      </c>
      <c r="BU98" s="2">
        <f>ROUND(VLOOKUP($BJ98,$AI$3:$AO$33,MATCH(BU$3,$AI$3:$AO$3,0),FALSE)+$BL98/VLOOKUP(VLOOKUP($BJ98,坦克个性化设定!$B$18:$E$48,4,FALSE)&amp;$BK98,坦克属性分配比例,MATCH("升星次数",坦克属性分配比例标头,0),FALSE)*VLOOKUP($BJ98,$AR$3:$AY$33,MATCH(BU$3,$AR$3:$AY$3,0),FALSE),1)</f>
        <v>9.5</v>
      </c>
      <c r="BV98" s="2">
        <f>IF(VLOOKUP(BJ98,坦克个性化设定!$B$18:$BC$48,MATCH("装弹类型",坦克个性化设定!$B$18:$BC$18,0),FALSE)="弹夹换弹",0,ROUND(VLOOKUP($BJ98,$AI$3:$AO$33,MATCH("换弹时间",$AI$3:$AO$3,0),FALSE)-$BL98/VLOOKUP(VLOOKUP($BJ98,坦克个性化设定!$B$18:$E$48,4,FALSE)&amp;$BK98,坦克属性分配比例,MATCH("升星次数",坦克属性分配比例标头,0),FALSE)*VLOOKUP($BJ98,$AR$3:$AY$33,MATCH("换弹时间",$AR$3:$AY$3,0),FALSE),2))</f>
        <v>0</v>
      </c>
      <c r="BW98" s="2">
        <f>IF(VLOOKUP(BJ98,坦克个性化设定!$B$18:$BC$48,MATCH("装弹类型",坦克个性化设定!$B$18:$BC$18,0),FALSE)="弹夹换弹",ROUND(VLOOKUP($BJ98,$AI$3:$AO$33,MATCH("换弹时间",$AI$3:$AO$3,0),FALSE)-$BL98/VLOOKUP(VLOOKUP($BJ98,坦克个性化设定!$B$18:$E$48,4,FALSE)&amp;$BK98,坦克属性分配比例,MATCH("升星次数",坦克属性分配比例标头,0),FALSE)*VLOOKUP($BJ98,$AR$3:$AY$33,MATCH("换弹时间",$AR$3:$AY$3,0),FALSE),1),0)</f>
        <v>5.4</v>
      </c>
      <c r="BX98" s="2">
        <f>ROUND(VLOOKUP($BJ98,$AI$3:$AO$33,MATCH(BX$3,$AI$3:$AO$3,0),FALSE)+$BL98/VLOOKUP(VLOOKUP($BJ98,坦克个性化设定!$B$18:$E$48,4,FALSE)&amp;$BK98,坦克属性分配比例,MATCH("升星次数",坦克属性分配比例标头,0),FALSE)*VLOOKUP($BJ98,$AR$3:$AY$33,MATCH(BX$3,$AR$3:$AY$3,0),FALSE),2)</f>
        <v>0.8</v>
      </c>
      <c r="BY98" s="2">
        <f>ROUND(VLOOKUP($BJ98,$AI$3:$AO$33,MATCH(BY$3,$AI$3:$AO$3,0),FALSE)-$BL98/VLOOKUP(VLOOKUP($BJ98,坦克个性化设定!$B$18:$E$48,4,FALSE)&amp;$BK98,坦克属性分配比例,MATCH("升星次数",坦克属性分配比例标头,0),FALSE)*VLOOKUP($BJ98,$AR$3:$AY$33,MATCH(BY$3,$AR$3:$AY$3,0),FALSE),2)</f>
        <v>0.48</v>
      </c>
    </row>
    <row r="99" spans="60:77" x14ac:dyDescent="0.3">
      <c r="BH99" s="2" t="str">
        <f t="shared" si="24"/>
        <v>59式7</v>
      </c>
      <c r="BI99" s="2">
        <f>IF(BL98&gt;=VLOOKUP(VLOOKUP(BJ98,坦克个性化设定!$B$18:$E$48,4,FALSE)&amp;BK98,坦克属性分配比例,MATCH("升星次数",坦克属性分配比例标头,0),FALSE),BI98+1,BI98)</f>
        <v>10</v>
      </c>
      <c r="BJ99" s="2" t="str">
        <f t="shared" si="25"/>
        <v>59式</v>
      </c>
      <c r="BK99" s="29" t="str">
        <f>VLOOKUP(BJ99,坦克个性化细分!$I$3:$J$33,2,FALSE)</f>
        <v>低</v>
      </c>
      <c r="BL99" s="2">
        <f t="shared" si="23"/>
        <v>7</v>
      </c>
      <c r="BM99" s="103">
        <f ca="1">ROUND(VLOOKUP($BJ99&amp;"初始",$S$3:$AE$63,MATCH(BM$3,$S$3:$AE$3,0),FALSE)+((VLOOKUP($BJ99&amp;"最终",$S$3:$AE$63,MATCH(BM$3,$S$3:$AE$3,0),FALSE)*坦克个性化细分!$C$9-VLOOKUP($BJ99&amp;"初始",$S$3:$AE$63,MATCH(BM$3,$S$3:$AE$3,0),FALSE))-(VLOOKUP($BJ99&amp;"最终",$S$3:$AE$63,MATCH(BM$3,$S$3:$AE$3,0),FALSE)-VLOOKUP($BJ99&amp;"初始",$S$3:$AE$63,MATCH(BM$3,$S$3:$AE$3,0),FALSE))*VLOOKUP(VLOOKUP($BJ99,坦克个性化设定!$B$18:$E$48,4,FALSE)&amp;$BK99,坦克属性分配比例,MATCH("部件比例",坦克属性分配比例标头,0),FALSE))*$BL99/VLOOKUP(VLOOKUP($BJ99,坦克个性化设定!$B$18:$E$48,4,FALSE)&amp;$BK99,坦克属性分配比例,MATCH("升星次数",坦克属性分配比例标头,0),FALSE),0)</f>
        <v>2610</v>
      </c>
      <c r="BN99" s="103">
        <f ca="1">ROUND(VLOOKUP($BJ99&amp;"初始",$S$3:$AE$63,MATCH(BN$3,$S$3:$AE$3,0),FALSE)+(VLOOKUP($BJ99&amp;"最终",$S$3:$AE$63,MATCH(BN$3,$S$3:$AE$3,0),FALSE)-VLOOKUP($BJ99&amp;"初始",$S$3:$AE$63,MATCH(BN$3,$S$3:$AE$3,0),FALSE))*$BL99/VLOOKUP(VLOOKUP($BJ99,坦克个性化设定!$B$18:$E$48,4,FALSE)&amp;$BK99,坦克属性分配比例,MATCH("升星次数",坦克属性分配比例标头,0),FALSE)*VLOOKUP(VLOOKUP($BJ99,坦克个性化设定!$B$18:$E$48,4,FALSE)&amp;$BK99,坦克属性分配比例,MATCH("升星比例",坦克属性分配比例标头,0),FALSE),0)</f>
        <v>158</v>
      </c>
      <c r="BO99" s="103">
        <f ca="1">ROUND(VLOOKUP($BJ99&amp;"初始",$S$3:$AE$63,MATCH(BO$3,$S$3:$AE$3,0),FALSE)+(VLOOKUP($BJ99&amp;"最终",$S$3:$AE$63,MATCH(BO$3,$S$3:$AE$3,0),FALSE)-VLOOKUP($BJ99&amp;"初始",$S$3:$AE$63,MATCH(BO$3,$S$3:$AE$3,0),FALSE))*$BL99/VLOOKUP(VLOOKUP($BJ99,坦克个性化设定!$B$18:$E$48,4,FALSE)&amp;$BK99,坦克属性分配比例,MATCH("升星次数",坦克属性分配比例标头,0),FALSE)*(VLOOKUP(VLOOKUP($BJ99,坦克个性化设定!$B$18:$E$48,4,FALSE)&amp;$BK99,坦克属性分配比例,MATCH("升星比例",坦克属性分配比例标头,0),FALSE)+VLOOKUP(VLOOKUP($BJ99,坦克个性化设定!$B$18:$E$48,4,FALSE)&amp;$BK99,坦克属性分配比例,MATCH("部件比例",坦克属性分配比例标头,0),FALSE)*$C$3),0)</f>
        <v>988</v>
      </c>
      <c r="BP99" s="103">
        <f ca="1">ROUND(VLOOKUP($BJ99&amp;"初始",$S$3:$AE$63,MATCH(BP$3,$S$3:$AE$3,0),FALSE)+(VLOOKUP($BJ99&amp;"最终",$S$3:$AE$63,MATCH(BP$3,$S$3:$AE$3,0),FALSE)-VLOOKUP($BJ99&amp;"初始",$S$3:$AE$63,MATCH(BP$3,$S$3:$AE$3,0),FALSE))*$BL99/VLOOKUP(VLOOKUP($BJ99,坦克个性化设定!$B$18:$E$48,4,FALSE)&amp;$BK99,坦克属性分配比例,MATCH("升星次数",坦克属性分配比例标头,0),FALSE)*(VLOOKUP(VLOOKUP($BJ99,坦克个性化设定!$B$18:$E$48,4,FALSE)&amp;$BK99,坦克属性分配比例,MATCH("升星比例",坦克属性分配比例标头,0),FALSE)+VLOOKUP(VLOOKUP($BJ99,坦克个性化设定!$B$18:$E$48,4,FALSE)&amp;$BK99,坦克属性分配比例,MATCH("部件比例",坦克属性分配比例标头,0),FALSE)*$C$3),0)</f>
        <v>692</v>
      </c>
      <c r="BQ99" s="103">
        <f ca="1">ROUND(VLOOKUP($BJ99&amp;"初始",$S$3:$AE$63,MATCH(BQ$3,$S$3:$AE$3,0),FALSE)+(VLOOKUP($BJ99&amp;"最终",$S$3:$AE$63,MATCH(BQ$3,$S$3:$AE$3,0),FALSE)-VLOOKUP($BJ99&amp;"初始",$S$3:$AE$63,MATCH(BQ$3,$S$3:$AE$3,0),FALSE))*$BL99/VLOOKUP(VLOOKUP($BJ99,坦克个性化设定!$B$18:$E$48,4,FALSE)&amp;$BK99,坦克属性分配比例,MATCH("升星次数",坦克属性分配比例标头,0),FALSE)*VLOOKUP(VLOOKUP($BJ99,坦克个性化设定!$B$18:$E$48,4,FALSE)&amp;$BK99,坦克属性分配比例,MATCH("升星比例",坦克属性分配比例标头,0),FALSE),0)</f>
        <v>847</v>
      </c>
      <c r="BR99" s="2">
        <f ca="1">ROUND(VLOOKUP($BJ99&amp;"初始",$S$3:$AE$63,MATCH(BR$3,$S$3:$AE$3,0),FALSE)+(VLOOKUP($BJ99&amp;"最终",$S$3:$AE$63,MATCH(BR$3,$S$3:$AE$3,0),FALSE)-VLOOKUP($BJ99&amp;"初始",$S$3:$AE$63,MATCH(BR$3,$S$3:$AE$3,0),FALSE))*$BL99/VLOOKUP(VLOOKUP($BJ99,坦克个性化设定!$B$18:$E$48,4,FALSE)&amp;$BK99,坦克属性分配比例,MATCH("升星次数",坦克属性分配比例标头,0),FALSE),0)</f>
        <v>250</v>
      </c>
      <c r="BS99" s="2">
        <f>ROUND(VLOOKUP($BJ99,$AI$3:$AO$33,MATCH(BS$3,$AI$3:$AO$3,0),FALSE)+$BL99/VLOOKUP(VLOOKUP($BJ99,坦克个性化设定!$B$18:$E$48,4,FALSE)&amp;$BK99,坦克属性分配比例,MATCH("升星次数",坦克属性分配比例标头,0),FALSE)*VLOOKUP($BJ99,$AR$3:$AY$33,MATCH(BS$3,$AR$3:$AY$3,0),FALSE),1)</f>
        <v>42.8</v>
      </c>
      <c r="BT99" s="2">
        <f>ROUND(VLOOKUP($BJ99,$AI$3:$AO$33,MATCH(BT$3,$AI$3:$AO$3,0),FALSE)+$BL99/VLOOKUP(VLOOKUP($BJ99,坦克个性化设定!$B$18:$E$48,4,FALSE)&amp;$BK99,坦克属性分配比例,MATCH("升星次数",坦克属性分配比例标头,0),FALSE)*VLOOKUP($BJ99,$AR$3:$AY$33,MATCH(BT$3,$AR$3:$AY$3,0),FALSE),1)</f>
        <v>63.9</v>
      </c>
      <c r="BU99" s="2">
        <f>ROUND(VLOOKUP($BJ99,$AI$3:$AO$33,MATCH(BU$3,$AI$3:$AO$3,0),FALSE)+$BL99/VLOOKUP(VLOOKUP($BJ99,坦克个性化设定!$B$18:$E$48,4,FALSE)&amp;$BK99,坦克属性分配比例,MATCH("升星次数",坦克属性分配比例标头,0),FALSE)*VLOOKUP($BJ99,$AR$3:$AY$33,MATCH(BU$3,$AR$3:$AY$3,0),FALSE),1)</f>
        <v>9.5</v>
      </c>
      <c r="BV99" s="2">
        <f>IF(VLOOKUP(BJ99,坦克个性化设定!$B$18:$BC$48,MATCH("装弹类型",坦克个性化设定!$B$18:$BC$18,0),FALSE)="弹夹换弹",0,ROUND(VLOOKUP($BJ99,$AI$3:$AO$33,MATCH("换弹时间",$AI$3:$AO$3,0),FALSE)-$BL99/VLOOKUP(VLOOKUP($BJ99,坦克个性化设定!$B$18:$E$48,4,FALSE)&amp;$BK99,坦克属性分配比例,MATCH("升星次数",坦克属性分配比例标头,0),FALSE)*VLOOKUP($BJ99,$AR$3:$AY$33,MATCH("换弹时间",$AR$3:$AY$3,0),FALSE),2))</f>
        <v>0</v>
      </c>
      <c r="BW99" s="2">
        <f>IF(VLOOKUP(BJ99,坦克个性化设定!$B$18:$BC$48,MATCH("装弹类型",坦克个性化设定!$B$18:$BC$18,0),FALSE)="弹夹换弹",ROUND(VLOOKUP($BJ99,$AI$3:$AO$33,MATCH("换弹时间",$AI$3:$AO$3,0),FALSE)-$BL99/VLOOKUP(VLOOKUP($BJ99,坦克个性化设定!$B$18:$E$48,4,FALSE)&amp;$BK99,坦克属性分配比例,MATCH("升星次数",坦克属性分配比例标头,0),FALSE)*VLOOKUP($BJ99,$AR$3:$AY$33,MATCH("换弹时间",$AR$3:$AY$3,0),FALSE),1),0)</f>
        <v>5.2</v>
      </c>
      <c r="BX99" s="2">
        <f>ROUND(VLOOKUP($BJ99,$AI$3:$AO$33,MATCH(BX$3,$AI$3:$AO$3,0),FALSE)+$BL99/VLOOKUP(VLOOKUP($BJ99,坦克个性化设定!$B$18:$E$48,4,FALSE)&amp;$BK99,坦克属性分配比例,MATCH("升星次数",坦克属性分配比例标头,0),FALSE)*VLOOKUP($BJ99,$AR$3:$AY$33,MATCH(BX$3,$AR$3:$AY$3,0),FALSE),2)</f>
        <v>0.8</v>
      </c>
      <c r="BY99" s="2">
        <f>ROUND(VLOOKUP($BJ99,$AI$3:$AO$33,MATCH(BY$3,$AI$3:$AO$3,0),FALSE)-$BL99/VLOOKUP(VLOOKUP($BJ99,坦克个性化设定!$B$18:$E$48,4,FALSE)&amp;$BK99,坦克属性分配比例,MATCH("升星次数",坦克属性分配比例标头,0),FALSE)*VLOOKUP($BJ99,$AR$3:$AY$33,MATCH(BY$3,$AR$3:$AY$3,0),FALSE),2)</f>
        <v>0.47</v>
      </c>
    </row>
    <row r="100" spans="60:77" x14ac:dyDescent="0.3">
      <c r="BH100" s="2" t="str">
        <f t="shared" si="24"/>
        <v>59式8</v>
      </c>
      <c r="BI100" s="2">
        <f>IF(BL99&gt;=VLOOKUP(VLOOKUP(BJ99,坦克个性化设定!$B$18:$E$48,4,FALSE)&amp;BK99,坦克属性分配比例,MATCH("升星次数",坦克属性分配比例标头,0),FALSE),BI99+1,BI99)</f>
        <v>10</v>
      </c>
      <c r="BJ100" s="2" t="str">
        <f t="shared" si="25"/>
        <v>59式</v>
      </c>
      <c r="BK100" s="29" t="str">
        <f>VLOOKUP(BJ100,坦克个性化细分!$I$3:$J$33,2,FALSE)</f>
        <v>低</v>
      </c>
      <c r="BL100" s="2">
        <f t="shared" si="23"/>
        <v>8</v>
      </c>
      <c r="BM100" s="103">
        <f ca="1">ROUND(VLOOKUP($BJ100&amp;"初始",$S$3:$AE$63,MATCH(BM$3,$S$3:$AE$3,0),FALSE)+((VLOOKUP($BJ100&amp;"最终",$S$3:$AE$63,MATCH(BM$3,$S$3:$AE$3,0),FALSE)*坦克个性化细分!$C$9-VLOOKUP($BJ100&amp;"初始",$S$3:$AE$63,MATCH(BM$3,$S$3:$AE$3,0),FALSE))-(VLOOKUP($BJ100&amp;"最终",$S$3:$AE$63,MATCH(BM$3,$S$3:$AE$3,0),FALSE)-VLOOKUP($BJ100&amp;"初始",$S$3:$AE$63,MATCH(BM$3,$S$3:$AE$3,0),FALSE))*VLOOKUP(VLOOKUP($BJ100,坦克个性化设定!$B$18:$E$48,4,FALSE)&amp;$BK100,坦克属性分配比例,MATCH("部件比例",坦克属性分配比例标头,0),FALSE))*$BL100/VLOOKUP(VLOOKUP($BJ100,坦克个性化设定!$B$18:$E$48,4,FALSE)&amp;$BK100,坦克属性分配比例,MATCH("升星次数",坦克属性分配比例标头,0),FALSE),0)</f>
        <v>2680</v>
      </c>
      <c r="BN100" s="103">
        <f ca="1">ROUND(VLOOKUP($BJ100&amp;"初始",$S$3:$AE$63,MATCH(BN$3,$S$3:$AE$3,0),FALSE)+(VLOOKUP($BJ100&amp;"最终",$S$3:$AE$63,MATCH(BN$3,$S$3:$AE$3,0),FALSE)-VLOOKUP($BJ100&amp;"初始",$S$3:$AE$63,MATCH(BN$3,$S$3:$AE$3,0),FALSE))*$BL100/VLOOKUP(VLOOKUP($BJ100,坦克个性化设定!$B$18:$E$48,4,FALSE)&amp;$BK100,坦克属性分配比例,MATCH("升星次数",坦克属性分配比例标头,0),FALSE)*VLOOKUP(VLOOKUP($BJ100,坦克个性化设定!$B$18:$E$48,4,FALSE)&amp;$BK100,坦克属性分配比例,MATCH("升星比例",坦克属性分配比例标头,0),FALSE),0)</f>
        <v>160</v>
      </c>
      <c r="BO100" s="103">
        <f ca="1">ROUND(VLOOKUP($BJ100&amp;"初始",$S$3:$AE$63,MATCH(BO$3,$S$3:$AE$3,0),FALSE)+(VLOOKUP($BJ100&amp;"最终",$S$3:$AE$63,MATCH(BO$3,$S$3:$AE$3,0),FALSE)-VLOOKUP($BJ100&amp;"初始",$S$3:$AE$63,MATCH(BO$3,$S$3:$AE$3,0),FALSE))*$BL100/VLOOKUP(VLOOKUP($BJ100,坦克个性化设定!$B$18:$E$48,4,FALSE)&amp;$BK100,坦克属性分配比例,MATCH("升星次数",坦克属性分配比例标头,0),FALSE)*(VLOOKUP(VLOOKUP($BJ100,坦克个性化设定!$B$18:$E$48,4,FALSE)&amp;$BK100,坦克属性分配比例,MATCH("升星比例",坦克属性分配比例标头,0),FALSE)+VLOOKUP(VLOOKUP($BJ100,坦克个性化设定!$B$18:$E$48,4,FALSE)&amp;$BK100,坦克属性分配比例,MATCH("部件比例",坦克属性分配比例标头,0),FALSE)*$C$3),0)</f>
        <v>1011</v>
      </c>
      <c r="BP100" s="103">
        <f ca="1">ROUND(VLOOKUP($BJ100&amp;"初始",$S$3:$AE$63,MATCH(BP$3,$S$3:$AE$3,0),FALSE)+(VLOOKUP($BJ100&amp;"最终",$S$3:$AE$63,MATCH(BP$3,$S$3:$AE$3,0),FALSE)-VLOOKUP($BJ100&amp;"初始",$S$3:$AE$63,MATCH(BP$3,$S$3:$AE$3,0),FALSE))*$BL100/VLOOKUP(VLOOKUP($BJ100,坦克个性化设定!$B$18:$E$48,4,FALSE)&amp;$BK100,坦克属性分配比例,MATCH("升星次数",坦克属性分配比例标头,0),FALSE)*(VLOOKUP(VLOOKUP($BJ100,坦克个性化设定!$B$18:$E$48,4,FALSE)&amp;$BK100,坦克属性分配比例,MATCH("升星比例",坦克属性分配比例标头,0),FALSE)+VLOOKUP(VLOOKUP($BJ100,坦克个性化设定!$B$18:$E$48,4,FALSE)&amp;$BK100,坦克属性分配比例,MATCH("部件比例",坦克属性分配比例标头,0),FALSE)*$C$3),0)</f>
        <v>708</v>
      </c>
      <c r="BQ100" s="103">
        <f ca="1">ROUND(VLOOKUP($BJ100&amp;"初始",$S$3:$AE$63,MATCH(BQ$3,$S$3:$AE$3,0),FALSE)+(VLOOKUP($BJ100&amp;"最终",$S$3:$AE$63,MATCH(BQ$3,$S$3:$AE$3,0),FALSE)-VLOOKUP($BJ100&amp;"初始",$S$3:$AE$63,MATCH(BQ$3,$S$3:$AE$3,0),FALSE))*$BL100/VLOOKUP(VLOOKUP($BJ100,坦克个性化设定!$B$18:$E$48,4,FALSE)&amp;$BK100,坦克属性分配比例,MATCH("升星次数",坦克属性分配比例标头,0),FALSE)*VLOOKUP(VLOOKUP($BJ100,坦克个性化设定!$B$18:$E$48,4,FALSE)&amp;$BK100,坦克属性分配比例,MATCH("升星比例",坦克属性分配比例标头,0),FALSE),0)</f>
        <v>860</v>
      </c>
      <c r="BR100" s="2">
        <f ca="1">ROUND(VLOOKUP($BJ100&amp;"初始",$S$3:$AE$63,MATCH(BR$3,$S$3:$AE$3,0),FALSE)+(VLOOKUP($BJ100&amp;"最终",$S$3:$AE$63,MATCH(BR$3,$S$3:$AE$3,0),FALSE)-VLOOKUP($BJ100&amp;"初始",$S$3:$AE$63,MATCH(BR$3,$S$3:$AE$3,0),FALSE))*$BL100/VLOOKUP(VLOOKUP($BJ100,坦克个性化设定!$B$18:$E$48,4,FALSE)&amp;$BK100,坦克属性分配比例,MATCH("升星次数",坦克属性分配比例标头,0),FALSE),0)</f>
        <v>257</v>
      </c>
      <c r="BS100" s="2">
        <f>ROUND(VLOOKUP($BJ100,$AI$3:$AO$33,MATCH(BS$3,$AI$3:$AO$3,0),FALSE)+$BL100/VLOOKUP(VLOOKUP($BJ100,坦克个性化设定!$B$18:$E$48,4,FALSE)&amp;$BK100,坦克属性分配比例,MATCH("升星次数",坦克属性分配比例标头,0),FALSE)*VLOOKUP($BJ100,$AR$3:$AY$33,MATCH(BS$3,$AR$3:$AY$3,0),FALSE),1)</f>
        <v>43.5</v>
      </c>
      <c r="BT100" s="2">
        <f>ROUND(VLOOKUP($BJ100,$AI$3:$AO$33,MATCH(BT$3,$AI$3:$AO$3,0),FALSE)+$BL100/VLOOKUP(VLOOKUP($BJ100,坦克个性化设定!$B$18:$E$48,4,FALSE)&amp;$BK100,坦克属性分配比例,MATCH("升星次数",坦克属性分配比例标头,0),FALSE)*VLOOKUP($BJ100,$AR$3:$AY$33,MATCH(BT$3,$AR$3:$AY$3,0),FALSE),1)</f>
        <v>65</v>
      </c>
      <c r="BU100" s="2">
        <f>ROUND(VLOOKUP($BJ100,$AI$3:$AO$33,MATCH(BU$3,$AI$3:$AO$3,0),FALSE)+$BL100/VLOOKUP(VLOOKUP($BJ100,坦克个性化设定!$B$18:$E$48,4,FALSE)&amp;$BK100,坦克属性分配比例,MATCH("升星次数",坦克属性分配比例标头,0),FALSE)*VLOOKUP($BJ100,$AR$3:$AY$33,MATCH(BU$3,$AR$3:$AY$3,0),FALSE),1)</f>
        <v>9.5</v>
      </c>
      <c r="BV100" s="2">
        <f>IF(VLOOKUP(BJ100,坦克个性化设定!$B$18:$BC$48,MATCH("装弹类型",坦克个性化设定!$B$18:$BC$18,0),FALSE)="弹夹换弹",0,ROUND(VLOOKUP($BJ100,$AI$3:$AO$33,MATCH("换弹时间",$AI$3:$AO$3,0),FALSE)-$BL100/VLOOKUP(VLOOKUP($BJ100,坦克个性化设定!$B$18:$E$48,4,FALSE)&amp;$BK100,坦克属性分配比例,MATCH("升星次数",坦克属性分配比例标头,0),FALSE)*VLOOKUP($BJ100,$AR$3:$AY$33,MATCH("换弹时间",$AR$3:$AY$3,0),FALSE),2))</f>
        <v>0</v>
      </c>
      <c r="BW100" s="2">
        <f>IF(VLOOKUP(BJ100,坦克个性化设定!$B$18:$BC$48,MATCH("装弹类型",坦克个性化设定!$B$18:$BC$18,0),FALSE)="弹夹换弹",ROUND(VLOOKUP($BJ100,$AI$3:$AO$33,MATCH("换弹时间",$AI$3:$AO$3,0),FALSE)-$BL100/VLOOKUP(VLOOKUP($BJ100,坦克个性化设定!$B$18:$E$48,4,FALSE)&amp;$BK100,坦克属性分配比例,MATCH("升星次数",坦克属性分配比例标头,0),FALSE)*VLOOKUP($BJ100,$AR$3:$AY$33,MATCH("换弹时间",$AR$3:$AY$3,0),FALSE),1),0)</f>
        <v>5.0999999999999996</v>
      </c>
      <c r="BX100" s="2">
        <f>ROUND(VLOOKUP($BJ100,$AI$3:$AO$33,MATCH(BX$3,$AI$3:$AO$3,0),FALSE)+$BL100/VLOOKUP(VLOOKUP($BJ100,坦克个性化设定!$B$18:$E$48,4,FALSE)&amp;$BK100,坦克属性分配比例,MATCH("升星次数",坦克属性分配比例标头,0),FALSE)*VLOOKUP($BJ100,$AR$3:$AY$33,MATCH(BX$3,$AR$3:$AY$3,0),FALSE),2)</f>
        <v>0.8</v>
      </c>
      <c r="BY100" s="2">
        <f>ROUND(VLOOKUP($BJ100,$AI$3:$AO$33,MATCH(BY$3,$AI$3:$AO$3,0),FALSE)-$BL100/VLOOKUP(VLOOKUP($BJ100,坦克个性化设定!$B$18:$E$48,4,FALSE)&amp;$BK100,坦克属性分配比例,MATCH("升星次数",坦克属性分配比例标头,0),FALSE)*VLOOKUP($BJ100,$AR$3:$AY$33,MATCH(BY$3,$AR$3:$AY$3,0),FALSE),2)</f>
        <v>0.46</v>
      </c>
    </row>
    <row r="101" spans="60:77" x14ac:dyDescent="0.3">
      <c r="BH101" s="2" t="str">
        <f t="shared" si="24"/>
        <v>59式9</v>
      </c>
      <c r="BI101" s="2">
        <f>IF(BL100&gt;=VLOOKUP(VLOOKUP(BJ100,坦克个性化设定!$B$18:$E$48,4,FALSE)&amp;BK100,坦克属性分配比例,MATCH("升星次数",坦克属性分配比例标头,0),FALSE),BI100+1,BI100)</f>
        <v>10</v>
      </c>
      <c r="BJ101" s="2" t="str">
        <f t="shared" si="25"/>
        <v>59式</v>
      </c>
      <c r="BK101" s="29" t="str">
        <f>VLOOKUP(BJ101,坦克个性化细分!$I$3:$J$33,2,FALSE)</f>
        <v>低</v>
      </c>
      <c r="BL101" s="2">
        <f t="shared" si="23"/>
        <v>9</v>
      </c>
      <c r="BM101" s="103">
        <f ca="1">ROUND(VLOOKUP($BJ101&amp;"初始",$S$3:$AE$63,MATCH(BM$3,$S$3:$AE$3,0),FALSE)+((VLOOKUP($BJ101&amp;"最终",$S$3:$AE$63,MATCH(BM$3,$S$3:$AE$3,0),FALSE)*坦克个性化细分!$C$9-VLOOKUP($BJ101&amp;"初始",$S$3:$AE$63,MATCH(BM$3,$S$3:$AE$3,0),FALSE))-(VLOOKUP($BJ101&amp;"最终",$S$3:$AE$63,MATCH(BM$3,$S$3:$AE$3,0),FALSE)-VLOOKUP($BJ101&amp;"初始",$S$3:$AE$63,MATCH(BM$3,$S$3:$AE$3,0),FALSE))*VLOOKUP(VLOOKUP($BJ101,坦克个性化设定!$B$18:$E$48,4,FALSE)&amp;$BK101,坦克属性分配比例,MATCH("部件比例",坦克属性分配比例标头,0),FALSE))*$BL101/VLOOKUP(VLOOKUP($BJ101,坦克个性化设定!$B$18:$E$48,4,FALSE)&amp;$BK101,坦克属性分配比例,MATCH("升星次数",坦克属性分配比例标头,0),FALSE),0)</f>
        <v>2749</v>
      </c>
      <c r="BN101" s="103">
        <f ca="1">ROUND(VLOOKUP($BJ101&amp;"初始",$S$3:$AE$63,MATCH(BN$3,$S$3:$AE$3,0),FALSE)+(VLOOKUP($BJ101&amp;"最终",$S$3:$AE$63,MATCH(BN$3,$S$3:$AE$3,0),FALSE)-VLOOKUP($BJ101&amp;"初始",$S$3:$AE$63,MATCH(BN$3,$S$3:$AE$3,0),FALSE))*$BL101/VLOOKUP(VLOOKUP($BJ101,坦克个性化设定!$B$18:$E$48,4,FALSE)&amp;$BK101,坦克属性分配比例,MATCH("升星次数",坦克属性分配比例标头,0),FALSE)*VLOOKUP(VLOOKUP($BJ101,坦克个性化设定!$B$18:$E$48,4,FALSE)&amp;$BK101,坦克属性分配比例,MATCH("升星比例",坦克属性分配比例标头,0),FALSE),0)</f>
        <v>163</v>
      </c>
      <c r="BO101" s="103">
        <f ca="1">ROUND(VLOOKUP($BJ101&amp;"初始",$S$3:$AE$63,MATCH(BO$3,$S$3:$AE$3,0),FALSE)+(VLOOKUP($BJ101&amp;"最终",$S$3:$AE$63,MATCH(BO$3,$S$3:$AE$3,0),FALSE)-VLOOKUP($BJ101&amp;"初始",$S$3:$AE$63,MATCH(BO$3,$S$3:$AE$3,0),FALSE))*$BL101/VLOOKUP(VLOOKUP($BJ101,坦克个性化设定!$B$18:$E$48,4,FALSE)&amp;$BK101,坦克属性分配比例,MATCH("升星次数",坦克属性分配比例标头,0),FALSE)*(VLOOKUP(VLOOKUP($BJ101,坦克个性化设定!$B$18:$E$48,4,FALSE)&amp;$BK101,坦克属性分配比例,MATCH("升星比例",坦克属性分配比例标头,0),FALSE)+VLOOKUP(VLOOKUP($BJ101,坦克个性化设定!$B$18:$E$48,4,FALSE)&amp;$BK101,坦克属性分配比例,MATCH("部件比例",坦克属性分配比例标头,0),FALSE)*$C$3),0)</f>
        <v>1033</v>
      </c>
      <c r="BP101" s="103">
        <f ca="1">ROUND(VLOOKUP($BJ101&amp;"初始",$S$3:$AE$63,MATCH(BP$3,$S$3:$AE$3,0),FALSE)+(VLOOKUP($BJ101&amp;"最终",$S$3:$AE$63,MATCH(BP$3,$S$3:$AE$3,0),FALSE)-VLOOKUP($BJ101&amp;"初始",$S$3:$AE$63,MATCH(BP$3,$S$3:$AE$3,0),FALSE))*$BL101/VLOOKUP(VLOOKUP($BJ101,坦克个性化设定!$B$18:$E$48,4,FALSE)&amp;$BK101,坦克属性分配比例,MATCH("升星次数",坦克属性分配比例标头,0),FALSE)*(VLOOKUP(VLOOKUP($BJ101,坦克个性化设定!$B$18:$E$48,4,FALSE)&amp;$BK101,坦克属性分配比例,MATCH("升星比例",坦克属性分配比例标头,0),FALSE)+VLOOKUP(VLOOKUP($BJ101,坦克个性化设定!$B$18:$E$48,4,FALSE)&amp;$BK101,坦克属性分配比例,MATCH("部件比例",坦克属性分配比例标头,0),FALSE)*$C$3),0)</f>
        <v>724</v>
      </c>
      <c r="BQ101" s="103">
        <f ca="1">ROUND(VLOOKUP($BJ101&amp;"初始",$S$3:$AE$63,MATCH(BQ$3,$S$3:$AE$3,0),FALSE)+(VLOOKUP($BJ101&amp;"最终",$S$3:$AE$63,MATCH(BQ$3,$S$3:$AE$3,0),FALSE)-VLOOKUP($BJ101&amp;"初始",$S$3:$AE$63,MATCH(BQ$3,$S$3:$AE$3,0),FALSE))*$BL101/VLOOKUP(VLOOKUP($BJ101,坦克个性化设定!$B$18:$E$48,4,FALSE)&amp;$BK101,坦克属性分配比例,MATCH("升星次数",坦克属性分配比例标头,0),FALSE)*VLOOKUP(VLOOKUP($BJ101,坦克个性化设定!$B$18:$E$48,4,FALSE)&amp;$BK101,坦克属性分配比例,MATCH("升星比例",坦克属性分配比例标头,0),FALSE),0)</f>
        <v>873</v>
      </c>
      <c r="BR101" s="2">
        <f ca="1">ROUND(VLOOKUP($BJ101&amp;"初始",$S$3:$AE$63,MATCH(BR$3,$S$3:$AE$3,0),FALSE)+(VLOOKUP($BJ101&amp;"最终",$S$3:$AE$63,MATCH(BR$3,$S$3:$AE$3,0),FALSE)-VLOOKUP($BJ101&amp;"初始",$S$3:$AE$63,MATCH(BR$3,$S$3:$AE$3,0),FALSE))*$BL101/VLOOKUP(VLOOKUP($BJ101,坦克个性化设定!$B$18:$E$48,4,FALSE)&amp;$BK101,坦克属性分配比例,MATCH("升星次数",坦克属性分配比例标头,0),FALSE),0)</f>
        <v>264</v>
      </c>
      <c r="BS101" s="2">
        <f>ROUND(VLOOKUP($BJ101,$AI$3:$AO$33,MATCH(BS$3,$AI$3:$AO$3,0),FALSE)+$BL101/VLOOKUP(VLOOKUP($BJ101,坦克个性化设定!$B$18:$E$48,4,FALSE)&amp;$BK101,坦克属性分配比例,MATCH("升星次数",坦克属性分配比例标头,0),FALSE)*VLOOKUP($BJ101,$AR$3:$AY$33,MATCH(BS$3,$AR$3:$AY$3,0),FALSE),1)</f>
        <v>44.2</v>
      </c>
      <c r="BT101" s="2">
        <f>ROUND(VLOOKUP($BJ101,$AI$3:$AO$33,MATCH(BT$3,$AI$3:$AO$3,0),FALSE)+$BL101/VLOOKUP(VLOOKUP($BJ101,坦克个性化设定!$B$18:$E$48,4,FALSE)&amp;$BK101,坦克属性分配比例,MATCH("升星次数",坦克属性分配比例标头,0),FALSE)*VLOOKUP($BJ101,$AR$3:$AY$33,MATCH(BT$3,$AR$3:$AY$3,0),FALSE),1)</f>
        <v>66</v>
      </c>
      <c r="BU101" s="2">
        <f>ROUND(VLOOKUP($BJ101,$AI$3:$AO$33,MATCH(BU$3,$AI$3:$AO$3,0),FALSE)+$BL101/VLOOKUP(VLOOKUP($BJ101,坦克个性化设定!$B$18:$E$48,4,FALSE)&amp;$BK101,坦克属性分配比例,MATCH("升星次数",坦克属性分配比例标头,0),FALSE)*VLOOKUP($BJ101,$AR$3:$AY$33,MATCH(BU$3,$AR$3:$AY$3,0),FALSE),1)</f>
        <v>9.5</v>
      </c>
      <c r="BV101" s="2">
        <f>IF(VLOOKUP(BJ101,坦克个性化设定!$B$18:$BC$48,MATCH("装弹类型",坦克个性化设定!$B$18:$BC$18,0),FALSE)="弹夹换弹",0,ROUND(VLOOKUP($BJ101,$AI$3:$AO$33,MATCH("换弹时间",$AI$3:$AO$3,0),FALSE)-$BL101/VLOOKUP(VLOOKUP($BJ101,坦克个性化设定!$B$18:$E$48,4,FALSE)&amp;$BK101,坦克属性分配比例,MATCH("升星次数",坦克属性分配比例标头,0),FALSE)*VLOOKUP($BJ101,$AR$3:$AY$33,MATCH("换弹时间",$AR$3:$AY$3,0),FALSE),2))</f>
        <v>0</v>
      </c>
      <c r="BW101" s="2">
        <f>IF(VLOOKUP(BJ101,坦克个性化设定!$B$18:$BC$48,MATCH("装弹类型",坦克个性化设定!$B$18:$BC$18,0),FALSE)="弹夹换弹",ROUND(VLOOKUP($BJ101,$AI$3:$AO$33,MATCH("换弹时间",$AI$3:$AO$3,0),FALSE)-$BL101/VLOOKUP(VLOOKUP($BJ101,坦克个性化设定!$B$18:$E$48,4,FALSE)&amp;$BK101,坦克属性分配比例,MATCH("升星次数",坦克属性分配比例标头,0),FALSE)*VLOOKUP($BJ101,$AR$3:$AY$33,MATCH("换弹时间",$AR$3:$AY$3,0),FALSE),1),0)</f>
        <v>4.9000000000000004</v>
      </c>
      <c r="BX101" s="2">
        <f>ROUND(VLOOKUP($BJ101,$AI$3:$AO$33,MATCH(BX$3,$AI$3:$AO$3,0),FALSE)+$BL101/VLOOKUP(VLOOKUP($BJ101,坦克个性化设定!$B$18:$E$48,4,FALSE)&amp;$BK101,坦克属性分配比例,MATCH("升星次数",坦克属性分配比例标头,0),FALSE)*VLOOKUP($BJ101,$AR$3:$AY$33,MATCH(BX$3,$AR$3:$AY$3,0),FALSE),2)</f>
        <v>0.8</v>
      </c>
      <c r="BY101" s="2">
        <f>ROUND(VLOOKUP($BJ101,$AI$3:$AO$33,MATCH(BY$3,$AI$3:$AO$3,0),FALSE)-$BL101/VLOOKUP(VLOOKUP($BJ101,坦克个性化设定!$B$18:$E$48,4,FALSE)&amp;$BK101,坦克属性分配比例,MATCH("升星次数",坦克属性分配比例标头,0),FALSE)*VLOOKUP($BJ101,$AR$3:$AY$33,MATCH(BY$3,$AR$3:$AY$3,0),FALSE),2)</f>
        <v>0.46</v>
      </c>
    </row>
    <row r="102" spans="60:77" x14ac:dyDescent="0.3">
      <c r="BH102" s="2" t="str">
        <f t="shared" si="24"/>
        <v>59式10</v>
      </c>
      <c r="BI102" s="2">
        <f>IF(BL101&gt;=VLOOKUP(VLOOKUP(BJ101,坦克个性化设定!$B$18:$E$48,4,FALSE)&amp;BK101,坦克属性分配比例,MATCH("升星次数",坦克属性分配比例标头,0),FALSE),BI101+1,BI101)</f>
        <v>10</v>
      </c>
      <c r="BJ102" s="2" t="str">
        <f t="shared" si="25"/>
        <v>59式</v>
      </c>
      <c r="BK102" s="29" t="str">
        <f>VLOOKUP(BJ102,坦克个性化细分!$I$3:$J$33,2,FALSE)</f>
        <v>低</v>
      </c>
      <c r="BL102" s="2">
        <f t="shared" si="23"/>
        <v>10</v>
      </c>
      <c r="BM102" s="103">
        <f ca="1">ROUND(VLOOKUP($BJ102&amp;"初始",$S$3:$AE$63,MATCH(BM$3,$S$3:$AE$3,0),FALSE)+((VLOOKUP($BJ102&amp;"最终",$S$3:$AE$63,MATCH(BM$3,$S$3:$AE$3,0),FALSE)*坦克个性化细分!$C$9-VLOOKUP($BJ102&amp;"初始",$S$3:$AE$63,MATCH(BM$3,$S$3:$AE$3,0),FALSE))-(VLOOKUP($BJ102&amp;"最终",$S$3:$AE$63,MATCH(BM$3,$S$3:$AE$3,0),FALSE)-VLOOKUP($BJ102&amp;"初始",$S$3:$AE$63,MATCH(BM$3,$S$3:$AE$3,0),FALSE))*VLOOKUP(VLOOKUP($BJ102,坦克个性化设定!$B$18:$E$48,4,FALSE)&amp;$BK102,坦克属性分配比例,MATCH("部件比例",坦克属性分配比例标头,0),FALSE))*$BL102/VLOOKUP(VLOOKUP($BJ102,坦克个性化设定!$B$18:$E$48,4,FALSE)&amp;$BK102,坦克属性分配比例,MATCH("升星次数",坦克属性分配比例标头,0),FALSE),0)</f>
        <v>2818</v>
      </c>
      <c r="BN102" s="103">
        <f ca="1">ROUND(VLOOKUP($BJ102&amp;"初始",$S$3:$AE$63,MATCH(BN$3,$S$3:$AE$3,0),FALSE)+(VLOOKUP($BJ102&amp;"最终",$S$3:$AE$63,MATCH(BN$3,$S$3:$AE$3,0),FALSE)-VLOOKUP($BJ102&amp;"初始",$S$3:$AE$63,MATCH(BN$3,$S$3:$AE$3,0),FALSE))*$BL102/VLOOKUP(VLOOKUP($BJ102,坦克个性化设定!$B$18:$E$48,4,FALSE)&amp;$BK102,坦克属性分配比例,MATCH("升星次数",坦克属性分配比例标头,0),FALSE)*VLOOKUP(VLOOKUP($BJ102,坦克个性化设定!$B$18:$E$48,4,FALSE)&amp;$BK102,坦克属性分配比例,MATCH("升星比例",坦克属性分配比例标头,0),FALSE),0)</f>
        <v>165</v>
      </c>
      <c r="BO102" s="103">
        <f ca="1">ROUND(VLOOKUP($BJ102&amp;"初始",$S$3:$AE$63,MATCH(BO$3,$S$3:$AE$3,0),FALSE)+(VLOOKUP($BJ102&amp;"最终",$S$3:$AE$63,MATCH(BO$3,$S$3:$AE$3,0),FALSE)-VLOOKUP($BJ102&amp;"初始",$S$3:$AE$63,MATCH(BO$3,$S$3:$AE$3,0),FALSE))*$BL102/VLOOKUP(VLOOKUP($BJ102,坦克个性化设定!$B$18:$E$48,4,FALSE)&amp;$BK102,坦克属性分配比例,MATCH("升星次数",坦克属性分配比例标头,0),FALSE)*(VLOOKUP(VLOOKUP($BJ102,坦克个性化设定!$B$18:$E$48,4,FALSE)&amp;$BK102,坦克属性分配比例,MATCH("升星比例",坦克属性分配比例标头,0),FALSE)+VLOOKUP(VLOOKUP($BJ102,坦克个性化设定!$B$18:$E$48,4,FALSE)&amp;$BK102,坦克属性分配比例,MATCH("部件比例",坦克属性分配比例标头,0),FALSE)*$C$3),0)</f>
        <v>1056</v>
      </c>
      <c r="BP102" s="103">
        <f ca="1">ROUND(VLOOKUP($BJ102&amp;"初始",$S$3:$AE$63,MATCH(BP$3,$S$3:$AE$3,0),FALSE)+(VLOOKUP($BJ102&amp;"最终",$S$3:$AE$63,MATCH(BP$3,$S$3:$AE$3,0),FALSE)-VLOOKUP($BJ102&amp;"初始",$S$3:$AE$63,MATCH(BP$3,$S$3:$AE$3,0),FALSE))*$BL102/VLOOKUP(VLOOKUP($BJ102,坦克个性化设定!$B$18:$E$48,4,FALSE)&amp;$BK102,坦克属性分配比例,MATCH("升星次数",坦克属性分配比例标头,0),FALSE)*(VLOOKUP(VLOOKUP($BJ102,坦克个性化设定!$B$18:$E$48,4,FALSE)&amp;$BK102,坦克属性分配比例,MATCH("升星比例",坦克属性分配比例标头,0),FALSE)+VLOOKUP(VLOOKUP($BJ102,坦克个性化设定!$B$18:$E$48,4,FALSE)&amp;$BK102,坦克属性分配比例,MATCH("部件比例",坦克属性分配比例标头,0),FALSE)*$C$3),0)</f>
        <v>740</v>
      </c>
      <c r="BQ102" s="103">
        <f ca="1">ROUND(VLOOKUP($BJ102&amp;"初始",$S$3:$AE$63,MATCH(BQ$3,$S$3:$AE$3,0),FALSE)+(VLOOKUP($BJ102&amp;"最终",$S$3:$AE$63,MATCH(BQ$3,$S$3:$AE$3,0),FALSE)-VLOOKUP($BJ102&amp;"初始",$S$3:$AE$63,MATCH(BQ$3,$S$3:$AE$3,0),FALSE))*$BL102/VLOOKUP(VLOOKUP($BJ102,坦克个性化设定!$B$18:$E$48,4,FALSE)&amp;$BK102,坦克属性分配比例,MATCH("升星次数",坦克属性分配比例标头,0),FALSE)*VLOOKUP(VLOOKUP($BJ102,坦克个性化设定!$B$18:$E$48,4,FALSE)&amp;$BK102,坦克属性分配比例,MATCH("升星比例",坦克属性分配比例标头,0),FALSE),0)</f>
        <v>886</v>
      </c>
      <c r="BR102" s="2">
        <f ca="1">ROUND(VLOOKUP($BJ102&amp;"初始",$S$3:$AE$63,MATCH(BR$3,$S$3:$AE$3,0),FALSE)+(VLOOKUP($BJ102&amp;"最终",$S$3:$AE$63,MATCH(BR$3,$S$3:$AE$3,0),FALSE)-VLOOKUP($BJ102&amp;"初始",$S$3:$AE$63,MATCH(BR$3,$S$3:$AE$3,0),FALSE))*$BL102/VLOOKUP(VLOOKUP($BJ102,坦克个性化设定!$B$18:$E$48,4,FALSE)&amp;$BK102,坦克属性分配比例,MATCH("升星次数",坦克属性分配比例标头,0),FALSE),0)</f>
        <v>271</v>
      </c>
      <c r="BS102" s="2">
        <f>ROUND(VLOOKUP($BJ102,$AI$3:$AO$33,MATCH(BS$3,$AI$3:$AO$3,0),FALSE)+$BL102/VLOOKUP(VLOOKUP($BJ102,坦克个性化设定!$B$18:$E$48,4,FALSE)&amp;$BK102,坦克属性分配比例,MATCH("升星次数",坦克属性分配比例标头,0),FALSE)*VLOOKUP($BJ102,$AR$3:$AY$33,MATCH(BS$3,$AR$3:$AY$3,0),FALSE),1)</f>
        <v>45</v>
      </c>
      <c r="BT102" s="2">
        <f>ROUND(VLOOKUP($BJ102,$AI$3:$AO$33,MATCH(BT$3,$AI$3:$AO$3,0),FALSE)+$BL102/VLOOKUP(VLOOKUP($BJ102,坦克个性化设定!$B$18:$E$48,4,FALSE)&amp;$BK102,坦克属性分配比例,MATCH("升星次数",坦克属性分配比例标头,0),FALSE)*VLOOKUP($BJ102,$AR$3:$AY$33,MATCH(BT$3,$AR$3:$AY$3,0),FALSE),1)</f>
        <v>67.099999999999994</v>
      </c>
      <c r="BU102" s="2">
        <f>ROUND(VLOOKUP($BJ102,$AI$3:$AO$33,MATCH(BU$3,$AI$3:$AO$3,0),FALSE)+$BL102/VLOOKUP(VLOOKUP($BJ102,坦克个性化设定!$B$18:$E$48,4,FALSE)&amp;$BK102,坦克属性分配比例,MATCH("升星次数",坦克属性分配比例标头,0),FALSE)*VLOOKUP($BJ102,$AR$3:$AY$33,MATCH(BU$3,$AR$3:$AY$3,0),FALSE),1)</f>
        <v>9.5</v>
      </c>
      <c r="BV102" s="2">
        <f>IF(VLOOKUP(BJ102,坦克个性化设定!$B$18:$BC$48,MATCH("装弹类型",坦克个性化设定!$B$18:$BC$18,0),FALSE)="弹夹换弹",0,ROUND(VLOOKUP($BJ102,$AI$3:$AO$33,MATCH("换弹时间",$AI$3:$AO$3,0),FALSE)-$BL102/VLOOKUP(VLOOKUP($BJ102,坦克个性化设定!$B$18:$E$48,4,FALSE)&amp;$BK102,坦克属性分配比例,MATCH("升星次数",坦克属性分配比例标头,0),FALSE)*VLOOKUP($BJ102,$AR$3:$AY$33,MATCH("换弹时间",$AR$3:$AY$3,0),FALSE),2))</f>
        <v>0</v>
      </c>
      <c r="BW102" s="2">
        <f>IF(VLOOKUP(BJ102,坦克个性化设定!$B$18:$BC$48,MATCH("装弹类型",坦克个性化设定!$B$18:$BC$18,0),FALSE)="弹夹换弹",ROUND(VLOOKUP($BJ102,$AI$3:$AO$33,MATCH("换弹时间",$AI$3:$AO$3,0),FALSE)-$BL102/VLOOKUP(VLOOKUP($BJ102,坦克个性化设定!$B$18:$E$48,4,FALSE)&amp;$BK102,坦克属性分配比例,MATCH("升星次数",坦克属性分配比例标头,0),FALSE)*VLOOKUP($BJ102,$AR$3:$AY$33,MATCH("换弹时间",$AR$3:$AY$3,0),FALSE),1),0)</f>
        <v>4.8</v>
      </c>
      <c r="BX102" s="2">
        <f>ROUND(VLOOKUP($BJ102,$AI$3:$AO$33,MATCH(BX$3,$AI$3:$AO$3,0),FALSE)+$BL102/VLOOKUP(VLOOKUP($BJ102,坦克个性化设定!$B$18:$E$48,4,FALSE)&amp;$BK102,坦克属性分配比例,MATCH("升星次数",坦克属性分配比例标头,0),FALSE)*VLOOKUP($BJ102,$AR$3:$AY$33,MATCH(BX$3,$AR$3:$AY$3,0),FALSE),2)</f>
        <v>0.8</v>
      </c>
      <c r="BY102" s="2">
        <f>ROUND(VLOOKUP($BJ102,$AI$3:$AO$33,MATCH(BY$3,$AI$3:$AO$3,0),FALSE)-$BL102/VLOOKUP(VLOOKUP($BJ102,坦克个性化设定!$B$18:$E$48,4,FALSE)&amp;$BK102,坦克属性分配比例,MATCH("升星次数",坦克属性分配比例标头,0),FALSE)*VLOOKUP($BJ102,$AR$3:$AY$33,MATCH(BY$3,$AR$3:$AY$3,0),FALSE),2)</f>
        <v>0.45</v>
      </c>
    </row>
    <row r="103" spans="60:77" x14ac:dyDescent="0.3">
      <c r="BH103" s="2" t="str">
        <f t="shared" si="24"/>
        <v>59式11</v>
      </c>
      <c r="BI103" s="2">
        <f>IF(BL102&gt;=VLOOKUP(VLOOKUP(BJ102,坦克个性化设定!$B$18:$E$48,4,FALSE)&amp;BK102,坦克属性分配比例,MATCH("升星次数",坦克属性分配比例标头,0),FALSE),BI102+1,BI102)</f>
        <v>10</v>
      </c>
      <c r="BJ103" s="2" t="str">
        <f t="shared" si="25"/>
        <v>59式</v>
      </c>
      <c r="BK103" s="29" t="str">
        <f>VLOOKUP(BJ103,坦克个性化细分!$I$3:$J$33,2,FALSE)</f>
        <v>低</v>
      </c>
      <c r="BL103" s="2">
        <f t="shared" si="23"/>
        <v>11</v>
      </c>
      <c r="BM103" s="103">
        <f ca="1">ROUND(VLOOKUP($BJ103&amp;"初始",$S$3:$AE$63,MATCH(BM$3,$S$3:$AE$3,0),FALSE)+((VLOOKUP($BJ103&amp;"最终",$S$3:$AE$63,MATCH(BM$3,$S$3:$AE$3,0),FALSE)*坦克个性化细分!$C$9-VLOOKUP($BJ103&amp;"初始",$S$3:$AE$63,MATCH(BM$3,$S$3:$AE$3,0),FALSE))-(VLOOKUP($BJ103&amp;"最终",$S$3:$AE$63,MATCH(BM$3,$S$3:$AE$3,0),FALSE)-VLOOKUP($BJ103&amp;"初始",$S$3:$AE$63,MATCH(BM$3,$S$3:$AE$3,0),FALSE))*VLOOKUP(VLOOKUP($BJ103,坦克个性化设定!$B$18:$E$48,4,FALSE)&amp;$BK103,坦克属性分配比例,MATCH("部件比例",坦克属性分配比例标头,0),FALSE))*$BL103/VLOOKUP(VLOOKUP($BJ103,坦克个性化设定!$B$18:$E$48,4,FALSE)&amp;$BK103,坦克属性分配比例,MATCH("升星次数",坦克属性分配比例标头,0),FALSE),0)</f>
        <v>2887</v>
      </c>
      <c r="BN103" s="103">
        <f ca="1">ROUND(VLOOKUP($BJ103&amp;"初始",$S$3:$AE$63,MATCH(BN$3,$S$3:$AE$3,0),FALSE)+(VLOOKUP($BJ103&amp;"最终",$S$3:$AE$63,MATCH(BN$3,$S$3:$AE$3,0),FALSE)-VLOOKUP($BJ103&amp;"初始",$S$3:$AE$63,MATCH(BN$3,$S$3:$AE$3,0),FALSE))*$BL103/VLOOKUP(VLOOKUP($BJ103,坦克个性化设定!$B$18:$E$48,4,FALSE)&amp;$BK103,坦克属性分配比例,MATCH("升星次数",坦克属性分配比例标头,0),FALSE)*VLOOKUP(VLOOKUP($BJ103,坦克个性化设定!$B$18:$E$48,4,FALSE)&amp;$BK103,坦克属性分配比例,MATCH("升星比例",坦克属性分配比例标头,0),FALSE),0)</f>
        <v>167</v>
      </c>
      <c r="BO103" s="103">
        <f ca="1">ROUND(VLOOKUP($BJ103&amp;"初始",$S$3:$AE$63,MATCH(BO$3,$S$3:$AE$3,0),FALSE)+(VLOOKUP($BJ103&amp;"最终",$S$3:$AE$63,MATCH(BO$3,$S$3:$AE$3,0),FALSE)-VLOOKUP($BJ103&amp;"初始",$S$3:$AE$63,MATCH(BO$3,$S$3:$AE$3,0),FALSE))*$BL103/VLOOKUP(VLOOKUP($BJ103,坦克个性化设定!$B$18:$E$48,4,FALSE)&amp;$BK103,坦克属性分配比例,MATCH("升星次数",坦克属性分配比例标头,0),FALSE)*(VLOOKUP(VLOOKUP($BJ103,坦克个性化设定!$B$18:$E$48,4,FALSE)&amp;$BK103,坦克属性分配比例,MATCH("升星比例",坦克属性分配比例标头,0),FALSE)+VLOOKUP(VLOOKUP($BJ103,坦克个性化设定!$B$18:$E$48,4,FALSE)&amp;$BK103,坦克属性分配比例,MATCH("部件比例",坦克属性分配比例标头,0),FALSE)*$C$3),0)</f>
        <v>1079</v>
      </c>
      <c r="BP103" s="103">
        <f ca="1">ROUND(VLOOKUP($BJ103&amp;"初始",$S$3:$AE$63,MATCH(BP$3,$S$3:$AE$3,0),FALSE)+(VLOOKUP($BJ103&amp;"最终",$S$3:$AE$63,MATCH(BP$3,$S$3:$AE$3,0),FALSE)-VLOOKUP($BJ103&amp;"初始",$S$3:$AE$63,MATCH(BP$3,$S$3:$AE$3,0),FALSE))*$BL103/VLOOKUP(VLOOKUP($BJ103,坦克个性化设定!$B$18:$E$48,4,FALSE)&amp;$BK103,坦克属性分配比例,MATCH("升星次数",坦克属性分配比例标头,0),FALSE)*(VLOOKUP(VLOOKUP($BJ103,坦克个性化设定!$B$18:$E$48,4,FALSE)&amp;$BK103,坦克属性分配比例,MATCH("升星比例",坦克属性分配比例标头,0),FALSE)+VLOOKUP(VLOOKUP($BJ103,坦克个性化设定!$B$18:$E$48,4,FALSE)&amp;$BK103,坦克属性分配比例,MATCH("部件比例",坦克属性分配比例标头,0),FALSE)*$C$3),0)</f>
        <v>756</v>
      </c>
      <c r="BQ103" s="103">
        <f ca="1">ROUND(VLOOKUP($BJ103&amp;"初始",$S$3:$AE$63,MATCH(BQ$3,$S$3:$AE$3,0),FALSE)+(VLOOKUP($BJ103&amp;"最终",$S$3:$AE$63,MATCH(BQ$3,$S$3:$AE$3,0),FALSE)-VLOOKUP($BJ103&amp;"初始",$S$3:$AE$63,MATCH(BQ$3,$S$3:$AE$3,0),FALSE))*$BL103/VLOOKUP(VLOOKUP($BJ103,坦克个性化设定!$B$18:$E$48,4,FALSE)&amp;$BK103,坦克属性分配比例,MATCH("升星次数",坦克属性分配比例标头,0),FALSE)*VLOOKUP(VLOOKUP($BJ103,坦克个性化设定!$B$18:$E$48,4,FALSE)&amp;$BK103,坦克属性分配比例,MATCH("升星比例",坦克属性分配比例标头,0),FALSE),0)</f>
        <v>899</v>
      </c>
      <c r="BR103" s="2">
        <f ca="1">ROUND(VLOOKUP($BJ103&amp;"初始",$S$3:$AE$63,MATCH(BR$3,$S$3:$AE$3,0),FALSE)+(VLOOKUP($BJ103&amp;"最终",$S$3:$AE$63,MATCH(BR$3,$S$3:$AE$3,0),FALSE)-VLOOKUP($BJ103&amp;"初始",$S$3:$AE$63,MATCH(BR$3,$S$3:$AE$3,0),FALSE))*$BL103/VLOOKUP(VLOOKUP($BJ103,坦克个性化设定!$B$18:$E$48,4,FALSE)&amp;$BK103,坦克属性分配比例,MATCH("升星次数",坦克属性分配比例标头,0),FALSE),0)</f>
        <v>278</v>
      </c>
      <c r="BS103" s="2">
        <f>ROUND(VLOOKUP($BJ103,$AI$3:$AO$33,MATCH(BS$3,$AI$3:$AO$3,0),FALSE)+$BL103/VLOOKUP(VLOOKUP($BJ103,坦克个性化设定!$B$18:$E$48,4,FALSE)&amp;$BK103,坦克属性分配比例,MATCH("升星次数",坦克属性分配比例标头,0),FALSE)*VLOOKUP($BJ103,$AR$3:$AY$33,MATCH(BS$3,$AR$3:$AY$3,0),FALSE),1)</f>
        <v>45.7</v>
      </c>
      <c r="BT103" s="2">
        <f>ROUND(VLOOKUP($BJ103,$AI$3:$AO$33,MATCH(BT$3,$AI$3:$AO$3,0),FALSE)+$BL103/VLOOKUP(VLOOKUP($BJ103,坦克个性化设定!$B$18:$E$48,4,FALSE)&amp;$BK103,坦克属性分配比例,MATCH("升星次数",坦克属性分配比例标头,0),FALSE)*VLOOKUP($BJ103,$AR$3:$AY$33,MATCH(BT$3,$AR$3:$AY$3,0),FALSE),1)</f>
        <v>68.2</v>
      </c>
      <c r="BU103" s="2">
        <f>ROUND(VLOOKUP($BJ103,$AI$3:$AO$33,MATCH(BU$3,$AI$3:$AO$3,0),FALSE)+$BL103/VLOOKUP(VLOOKUP($BJ103,坦克个性化设定!$B$18:$E$48,4,FALSE)&amp;$BK103,坦克属性分配比例,MATCH("升星次数",坦克属性分配比例标头,0),FALSE)*VLOOKUP($BJ103,$AR$3:$AY$33,MATCH(BU$3,$AR$3:$AY$3,0),FALSE),1)</f>
        <v>9.5</v>
      </c>
      <c r="BV103" s="2">
        <f>IF(VLOOKUP(BJ103,坦克个性化设定!$B$18:$BC$48,MATCH("装弹类型",坦克个性化设定!$B$18:$BC$18,0),FALSE)="弹夹换弹",0,ROUND(VLOOKUP($BJ103,$AI$3:$AO$33,MATCH("换弹时间",$AI$3:$AO$3,0),FALSE)-$BL103/VLOOKUP(VLOOKUP($BJ103,坦克个性化设定!$B$18:$E$48,4,FALSE)&amp;$BK103,坦克属性分配比例,MATCH("升星次数",坦克属性分配比例标头,0),FALSE)*VLOOKUP($BJ103,$AR$3:$AY$33,MATCH("换弹时间",$AR$3:$AY$3,0),FALSE),2))</f>
        <v>0</v>
      </c>
      <c r="BW103" s="2">
        <f>IF(VLOOKUP(BJ103,坦克个性化设定!$B$18:$BC$48,MATCH("装弹类型",坦克个性化设定!$B$18:$BC$18,0),FALSE)="弹夹换弹",ROUND(VLOOKUP($BJ103,$AI$3:$AO$33,MATCH("换弹时间",$AI$3:$AO$3,0),FALSE)-$BL103/VLOOKUP(VLOOKUP($BJ103,坦克个性化设定!$B$18:$E$48,4,FALSE)&amp;$BK103,坦克属性分配比例,MATCH("升星次数",坦克属性分配比例标头,0),FALSE)*VLOOKUP($BJ103,$AR$3:$AY$33,MATCH("换弹时间",$AR$3:$AY$3,0),FALSE),1),0)</f>
        <v>4.5999999999999996</v>
      </c>
      <c r="BX103" s="2">
        <f>ROUND(VLOOKUP($BJ103,$AI$3:$AO$33,MATCH(BX$3,$AI$3:$AO$3,0),FALSE)+$BL103/VLOOKUP(VLOOKUP($BJ103,坦克个性化设定!$B$18:$E$48,4,FALSE)&amp;$BK103,坦克属性分配比例,MATCH("升星次数",坦克属性分配比例标头,0),FALSE)*VLOOKUP($BJ103,$AR$3:$AY$33,MATCH(BX$3,$AR$3:$AY$3,0),FALSE),2)</f>
        <v>0.8</v>
      </c>
      <c r="BY103" s="2">
        <f>ROUND(VLOOKUP($BJ103,$AI$3:$AO$33,MATCH(BY$3,$AI$3:$AO$3,0),FALSE)-$BL103/VLOOKUP(VLOOKUP($BJ103,坦克个性化设定!$B$18:$E$48,4,FALSE)&amp;$BK103,坦克属性分配比例,MATCH("升星次数",坦克属性分配比例标头,0),FALSE)*VLOOKUP($BJ103,$AR$3:$AY$33,MATCH(BY$3,$AR$3:$AY$3,0),FALSE),2)</f>
        <v>0.44</v>
      </c>
    </row>
    <row r="104" spans="60:77" x14ac:dyDescent="0.3">
      <c r="BH104" s="2" t="str">
        <f t="shared" si="24"/>
        <v>59式12</v>
      </c>
      <c r="BI104" s="2">
        <f>IF(BL103&gt;=VLOOKUP(VLOOKUP(BJ103,坦克个性化设定!$B$18:$E$48,4,FALSE)&amp;BK103,坦克属性分配比例,MATCH("升星次数",坦克属性分配比例标头,0),FALSE),BI103+1,BI103)</f>
        <v>10</v>
      </c>
      <c r="BJ104" s="2" t="str">
        <f t="shared" si="25"/>
        <v>59式</v>
      </c>
      <c r="BK104" s="29" t="str">
        <f>VLOOKUP(BJ104,坦克个性化细分!$I$3:$J$33,2,FALSE)</f>
        <v>低</v>
      </c>
      <c r="BL104" s="2">
        <f t="shared" si="23"/>
        <v>12</v>
      </c>
      <c r="BM104" s="103">
        <f ca="1">ROUND(VLOOKUP($BJ104&amp;"初始",$S$3:$AE$63,MATCH(BM$3,$S$3:$AE$3,0),FALSE)+((VLOOKUP($BJ104&amp;"最终",$S$3:$AE$63,MATCH(BM$3,$S$3:$AE$3,0),FALSE)*坦克个性化细分!$C$9-VLOOKUP($BJ104&amp;"初始",$S$3:$AE$63,MATCH(BM$3,$S$3:$AE$3,0),FALSE))-(VLOOKUP($BJ104&amp;"最终",$S$3:$AE$63,MATCH(BM$3,$S$3:$AE$3,0),FALSE)-VLOOKUP($BJ104&amp;"初始",$S$3:$AE$63,MATCH(BM$3,$S$3:$AE$3,0),FALSE))*VLOOKUP(VLOOKUP($BJ104,坦克个性化设定!$B$18:$E$48,4,FALSE)&amp;$BK104,坦克属性分配比例,MATCH("部件比例",坦克属性分配比例标头,0),FALSE))*$BL104/VLOOKUP(VLOOKUP($BJ104,坦克个性化设定!$B$18:$E$48,4,FALSE)&amp;$BK104,坦克属性分配比例,MATCH("升星次数",坦克属性分配比例标头,0),FALSE),0)</f>
        <v>2957</v>
      </c>
      <c r="BN104" s="103">
        <f ca="1">ROUND(VLOOKUP($BJ104&amp;"初始",$S$3:$AE$63,MATCH(BN$3,$S$3:$AE$3,0),FALSE)+(VLOOKUP($BJ104&amp;"最终",$S$3:$AE$63,MATCH(BN$3,$S$3:$AE$3,0),FALSE)-VLOOKUP($BJ104&amp;"初始",$S$3:$AE$63,MATCH(BN$3,$S$3:$AE$3,0),FALSE))*$BL104/VLOOKUP(VLOOKUP($BJ104,坦克个性化设定!$B$18:$E$48,4,FALSE)&amp;$BK104,坦克属性分配比例,MATCH("升星次数",坦克属性分配比例标头,0),FALSE)*VLOOKUP(VLOOKUP($BJ104,坦克个性化设定!$B$18:$E$48,4,FALSE)&amp;$BK104,坦克属性分配比例,MATCH("升星比例",坦克属性分配比例标头,0),FALSE),0)</f>
        <v>170</v>
      </c>
      <c r="BO104" s="103">
        <f ca="1">ROUND(VLOOKUP($BJ104&amp;"初始",$S$3:$AE$63,MATCH(BO$3,$S$3:$AE$3,0),FALSE)+(VLOOKUP($BJ104&amp;"最终",$S$3:$AE$63,MATCH(BO$3,$S$3:$AE$3,0),FALSE)-VLOOKUP($BJ104&amp;"初始",$S$3:$AE$63,MATCH(BO$3,$S$3:$AE$3,0),FALSE))*$BL104/VLOOKUP(VLOOKUP($BJ104,坦克个性化设定!$B$18:$E$48,4,FALSE)&amp;$BK104,坦克属性分配比例,MATCH("升星次数",坦克属性分配比例标头,0),FALSE)*(VLOOKUP(VLOOKUP($BJ104,坦克个性化设定!$B$18:$E$48,4,FALSE)&amp;$BK104,坦克属性分配比例,MATCH("升星比例",坦克属性分配比例标头,0),FALSE)+VLOOKUP(VLOOKUP($BJ104,坦克个性化设定!$B$18:$E$48,4,FALSE)&amp;$BK104,坦克属性分配比例,MATCH("部件比例",坦克属性分配比例标头,0),FALSE)*$C$3),0)</f>
        <v>1102</v>
      </c>
      <c r="BP104" s="103">
        <f ca="1">ROUND(VLOOKUP($BJ104&amp;"初始",$S$3:$AE$63,MATCH(BP$3,$S$3:$AE$3,0),FALSE)+(VLOOKUP($BJ104&amp;"最终",$S$3:$AE$63,MATCH(BP$3,$S$3:$AE$3,0),FALSE)-VLOOKUP($BJ104&amp;"初始",$S$3:$AE$63,MATCH(BP$3,$S$3:$AE$3,0),FALSE))*$BL104/VLOOKUP(VLOOKUP($BJ104,坦克个性化设定!$B$18:$E$48,4,FALSE)&amp;$BK104,坦克属性分配比例,MATCH("升星次数",坦克属性分配比例标头,0),FALSE)*(VLOOKUP(VLOOKUP($BJ104,坦克个性化设定!$B$18:$E$48,4,FALSE)&amp;$BK104,坦克属性分配比例,MATCH("升星比例",坦克属性分配比例标头,0),FALSE)+VLOOKUP(VLOOKUP($BJ104,坦克个性化设定!$B$18:$E$48,4,FALSE)&amp;$BK104,坦克属性分配比例,MATCH("部件比例",坦克属性分配比例标头,0),FALSE)*$C$3),0)</f>
        <v>772</v>
      </c>
      <c r="BQ104" s="103">
        <f ca="1">ROUND(VLOOKUP($BJ104&amp;"初始",$S$3:$AE$63,MATCH(BQ$3,$S$3:$AE$3,0),FALSE)+(VLOOKUP($BJ104&amp;"最终",$S$3:$AE$63,MATCH(BQ$3,$S$3:$AE$3,0),FALSE)-VLOOKUP($BJ104&amp;"初始",$S$3:$AE$63,MATCH(BQ$3,$S$3:$AE$3,0),FALSE))*$BL104/VLOOKUP(VLOOKUP($BJ104,坦克个性化设定!$B$18:$E$48,4,FALSE)&amp;$BK104,坦克属性分配比例,MATCH("升星次数",坦克属性分配比例标头,0),FALSE)*VLOOKUP(VLOOKUP($BJ104,坦克个性化设定!$B$18:$E$48,4,FALSE)&amp;$BK104,坦克属性分配比例,MATCH("升星比例",坦克属性分配比例标头,0),FALSE),0)</f>
        <v>912</v>
      </c>
      <c r="BR104" s="2">
        <f ca="1">ROUND(VLOOKUP($BJ104&amp;"初始",$S$3:$AE$63,MATCH(BR$3,$S$3:$AE$3,0),FALSE)+(VLOOKUP($BJ104&amp;"最终",$S$3:$AE$63,MATCH(BR$3,$S$3:$AE$3,0),FALSE)-VLOOKUP($BJ104&amp;"初始",$S$3:$AE$63,MATCH(BR$3,$S$3:$AE$3,0),FALSE))*$BL104/VLOOKUP(VLOOKUP($BJ104,坦克个性化设定!$B$18:$E$48,4,FALSE)&amp;$BK104,坦克属性分配比例,MATCH("升星次数",坦克属性分配比例标头,0),FALSE),0)</f>
        <v>285</v>
      </c>
      <c r="BS104" s="2">
        <f>ROUND(VLOOKUP($BJ104,$AI$3:$AO$33,MATCH(BS$3,$AI$3:$AO$3,0),FALSE)+$BL104/VLOOKUP(VLOOKUP($BJ104,坦克个性化设定!$B$18:$E$48,4,FALSE)&amp;$BK104,坦克属性分配比例,MATCH("升星次数",坦克属性分配比例标头,0),FALSE)*VLOOKUP($BJ104,$AR$3:$AY$33,MATCH(BS$3,$AR$3:$AY$3,0),FALSE),1)</f>
        <v>46.4</v>
      </c>
      <c r="BT104" s="2">
        <f>ROUND(VLOOKUP($BJ104,$AI$3:$AO$33,MATCH(BT$3,$AI$3:$AO$3,0),FALSE)+$BL104/VLOOKUP(VLOOKUP($BJ104,坦克个性化设定!$B$18:$E$48,4,FALSE)&amp;$BK104,坦克属性分配比例,MATCH("升星次数",坦克属性分配比例标头,0),FALSE)*VLOOKUP($BJ104,$AR$3:$AY$33,MATCH(BT$3,$AR$3:$AY$3,0),FALSE),1)</f>
        <v>69.3</v>
      </c>
      <c r="BU104" s="2">
        <f>ROUND(VLOOKUP($BJ104,$AI$3:$AO$33,MATCH(BU$3,$AI$3:$AO$3,0),FALSE)+$BL104/VLOOKUP(VLOOKUP($BJ104,坦克个性化设定!$B$18:$E$48,4,FALSE)&amp;$BK104,坦克属性分配比例,MATCH("升星次数",坦克属性分配比例标头,0),FALSE)*VLOOKUP($BJ104,$AR$3:$AY$33,MATCH(BU$3,$AR$3:$AY$3,0),FALSE),1)</f>
        <v>9.5</v>
      </c>
      <c r="BV104" s="2">
        <f>IF(VLOOKUP(BJ104,坦克个性化设定!$B$18:$BC$48,MATCH("装弹类型",坦克个性化设定!$B$18:$BC$18,0),FALSE)="弹夹换弹",0,ROUND(VLOOKUP($BJ104,$AI$3:$AO$33,MATCH("换弹时间",$AI$3:$AO$3,0),FALSE)-$BL104/VLOOKUP(VLOOKUP($BJ104,坦克个性化设定!$B$18:$E$48,4,FALSE)&amp;$BK104,坦克属性分配比例,MATCH("升星次数",坦克属性分配比例标头,0),FALSE)*VLOOKUP($BJ104,$AR$3:$AY$33,MATCH("换弹时间",$AR$3:$AY$3,0),FALSE),2))</f>
        <v>0</v>
      </c>
      <c r="BW104" s="2">
        <f>IF(VLOOKUP(BJ104,坦克个性化设定!$B$18:$BC$48,MATCH("装弹类型",坦克个性化设定!$B$18:$BC$18,0),FALSE)="弹夹换弹",ROUND(VLOOKUP($BJ104,$AI$3:$AO$33,MATCH("换弹时间",$AI$3:$AO$3,0),FALSE)-$BL104/VLOOKUP(VLOOKUP($BJ104,坦克个性化设定!$B$18:$E$48,4,FALSE)&amp;$BK104,坦克属性分配比例,MATCH("升星次数",坦克属性分配比例标头,0),FALSE)*VLOOKUP($BJ104,$AR$3:$AY$33,MATCH("换弹时间",$AR$3:$AY$3,0),FALSE),1),0)</f>
        <v>4.5</v>
      </c>
      <c r="BX104" s="2">
        <f>ROUND(VLOOKUP($BJ104,$AI$3:$AO$33,MATCH(BX$3,$AI$3:$AO$3,0),FALSE)+$BL104/VLOOKUP(VLOOKUP($BJ104,坦克个性化设定!$B$18:$E$48,4,FALSE)&amp;$BK104,坦克属性分配比例,MATCH("升星次数",坦克属性分配比例标头,0),FALSE)*VLOOKUP($BJ104,$AR$3:$AY$33,MATCH(BX$3,$AR$3:$AY$3,0),FALSE),2)</f>
        <v>0.8</v>
      </c>
      <c r="BY104" s="2">
        <f>ROUND(VLOOKUP($BJ104,$AI$3:$AO$33,MATCH(BY$3,$AI$3:$AO$3,0),FALSE)-$BL104/VLOOKUP(VLOOKUP($BJ104,坦克个性化设定!$B$18:$E$48,4,FALSE)&amp;$BK104,坦克属性分配比例,MATCH("升星次数",坦克属性分配比例标头,0),FALSE)*VLOOKUP($BJ104,$AR$3:$AY$33,MATCH(BY$3,$AR$3:$AY$3,0),FALSE),2)</f>
        <v>0.44</v>
      </c>
    </row>
    <row r="105" spans="60:77" x14ac:dyDescent="0.3">
      <c r="BH105" s="2" t="str">
        <f t="shared" si="24"/>
        <v>59式13</v>
      </c>
      <c r="BI105" s="2">
        <f>IF(BL104&gt;=VLOOKUP(VLOOKUP(BJ104,坦克个性化设定!$B$18:$E$48,4,FALSE)&amp;BK104,坦克属性分配比例,MATCH("升星次数",坦克属性分配比例标头,0),FALSE),BI104+1,BI104)</f>
        <v>10</v>
      </c>
      <c r="BJ105" s="2" t="str">
        <f t="shared" si="25"/>
        <v>59式</v>
      </c>
      <c r="BK105" s="29" t="str">
        <f>VLOOKUP(BJ105,坦克个性化细分!$I$3:$J$33,2,FALSE)</f>
        <v>低</v>
      </c>
      <c r="BL105" s="2">
        <f t="shared" si="23"/>
        <v>13</v>
      </c>
      <c r="BM105" s="103">
        <f ca="1">ROUND(VLOOKUP($BJ105&amp;"初始",$S$3:$AE$63,MATCH(BM$3,$S$3:$AE$3,0),FALSE)+((VLOOKUP($BJ105&amp;"最终",$S$3:$AE$63,MATCH(BM$3,$S$3:$AE$3,0),FALSE)*坦克个性化细分!$C$9-VLOOKUP($BJ105&amp;"初始",$S$3:$AE$63,MATCH(BM$3,$S$3:$AE$3,0),FALSE))-(VLOOKUP($BJ105&amp;"最终",$S$3:$AE$63,MATCH(BM$3,$S$3:$AE$3,0),FALSE)-VLOOKUP($BJ105&amp;"初始",$S$3:$AE$63,MATCH(BM$3,$S$3:$AE$3,0),FALSE))*VLOOKUP(VLOOKUP($BJ105,坦克个性化设定!$B$18:$E$48,4,FALSE)&amp;$BK105,坦克属性分配比例,MATCH("部件比例",坦克属性分配比例标头,0),FALSE))*$BL105/VLOOKUP(VLOOKUP($BJ105,坦克个性化设定!$B$18:$E$48,4,FALSE)&amp;$BK105,坦克属性分配比例,MATCH("升星次数",坦克属性分配比例标头,0),FALSE),0)</f>
        <v>3026</v>
      </c>
      <c r="BN105" s="103">
        <f ca="1">ROUND(VLOOKUP($BJ105&amp;"初始",$S$3:$AE$63,MATCH(BN$3,$S$3:$AE$3,0),FALSE)+(VLOOKUP($BJ105&amp;"最终",$S$3:$AE$63,MATCH(BN$3,$S$3:$AE$3,0),FALSE)-VLOOKUP($BJ105&amp;"初始",$S$3:$AE$63,MATCH(BN$3,$S$3:$AE$3,0),FALSE))*$BL105/VLOOKUP(VLOOKUP($BJ105,坦克个性化设定!$B$18:$E$48,4,FALSE)&amp;$BK105,坦克属性分配比例,MATCH("升星次数",坦克属性分配比例标头,0),FALSE)*VLOOKUP(VLOOKUP($BJ105,坦克个性化设定!$B$18:$E$48,4,FALSE)&amp;$BK105,坦克属性分配比例,MATCH("升星比例",坦克属性分配比例标头,0),FALSE),0)</f>
        <v>172</v>
      </c>
      <c r="BO105" s="103">
        <f ca="1">ROUND(VLOOKUP($BJ105&amp;"初始",$S$3:$AE$63,MATCH(BO$3,$S$3:$AE$3,0),FALSE)+(VLOOKUP($BJ105&amp;"最终",$S$3:$AE$63,MATCH(BO$3,$S$3:$AE$3,0),FALSE)-VLOOKUP($BJ105&amp;"初始",$S$3:$AE$63,MATCH(BO$3,$S$3:$AE$3,0),FALSE))*$BL105/VLOOKUP(VLOOKUP($BJ105,坦克个性化设定!$B$18:$E$48,4,FALSE)&amp;$BK105,坦克属性分配比例,MATCH("升星次数",坦克属性分配比例标头,0),FALSE)*(VLOOKUP(VLOOKUP($BJ105,坦克个性化设定!$B$18:$E$48,4,FALSE)&amp;$BK105,坦克属性分配比例,MATCH("升星比例",坦克属性分配比例标头,0),FALSE)+VLOOKUP(VLOOKUP($BJ105,坦克个性化设定!$B$18:$E$48,4,FALSE)&amp;$BK105,坦克属性分配比例,MATCH("部件比例",坦克属性分配比例标头,0),FALSE)*$C$3),0)</f>
        <v>1125</v>
      </c>
      <c r="BP105" s="103">
        <f ca="1">ROUND(VLOOKUP($BJ105&amp;"初始",$S$3:$AE$63,MATCH(BP$3,$S$3:$AE$3,0),FALSE)+(VLOOKUP($BJ105&amp;"最终",$S$3:$AE$63,MATCH(BP$3,$S$3:$AE$3,0),FALSE)-VLOOKUP($BJ105&amp;"初始",$S$3:$AE$63,MATCH(BP$3,$S$3:$AE$3,0),FALSE))*$BL105/VLOOKUP(VLOOKUP($BJ105,坦克个性化设定!$B$18:$E$48,4,FALSE)&amp;$BK105,坦克属性分配比例,MATCH("升星次数",坦克属性分配比例标头,0),FALSE)*(VLOOKUP(VLOOKUP($BJ105,坦克个性化设定!$B$18:$E$48,4,FALSE)&amp;$BK105,坦克属性分配比例,MATCH("升星比例",坦克属性分配比例标头,0),FALSE)+VLOOKUP(VLOOKUP($BJ105,坦克个性化设定!$B$18:$E$48,4,FALSE)&amp;$BK105,坦克属性分配比例,MATCH("部件比例",坦克属性分配比例标头,0),FALSE)*$C$3),0)</f>
        <v>788</v>
      </c>
      <c r="BQ105" s="103">
        <f ca="1">ROUND(VLOOKUP($BJ105&amp;"初始",$S$3:$AE$63,MATCH(BQ$3,$S$3:$AE$3,0),FALSE)+(VLOOKUP($BJ105&amp;"最终",$S$3:$AE$63,MATCH(BQ$3,$S$3:$AE$3,0),FALSE)-VLOOKUP($BJ105&amp;"初始",$S$3:$AE$63,MATCH(BQ$3,$S$3:$AE$3,0),FALSE))*$BL105/VLOOKUP(VLOOKUP($BJ105,坦克个性化设定!$B$18:$E$48,4,FALSE)&amp;$BK105,坦克属性分配比例,MATCH("升星次数",坦克属性分配比例标头,0),FALSE)*VLOOKUP(VLOOKUP($BJ105,坦克个性化设定!$B$18:$E$48,4,FALSE)&amp;$BK105,坦克属性分配比例,MATCH("升星比例",坦克属性分配比例标头,0),FALSE),0)</f>
        <v>926</v>
      </c>
      <c r="BR105" s="2">
        <f ca="1">ROUND(VLOOKUP($BJ105&amp;"初始",$S$3:$AE$63,MATCH(BR$3,$S$3:$AE$3,0),FALSE)+(VLOOKUP($BJ105&amp;"最终",$S$3:$AE$63,MATCH(BR$3,$S$3:$AE$3,0),FALSE)-VLOOKUP($BJ105&amp;"初始",$S$3:$AE$63,MATCH(BR$3,$S$3:$AE$3,0),FALSE))*$BL105/VLOOKUP(VLOOKUP($BJ105,坦克个性化设定!$B$18:$E$48,4,FALSE)&amp;$BK105,坦克属性分配比例,MATCH("升星次数",坦克属性分配比例标头,0),FALSE),0)</f>
        <v>292</v>
      </c>
      <c r="BS105" s="2">
        <f>ROUND(VLOOKUP($BJ105,$AI$3:$AO$33,MATCH(BS$3,$AI$3:$AO$3,0),FALSE)+$BL105/VLOOKUP(VLOOKUP($BJ105,坦克个性化设定!$B$18:$E$48,4,FALSE)&amp;$BK105,坦克属性分配比例,MATCH("升星次数",坦克属性分配比例标头,0),FALSE)*VLOOKUP($BJ105,$AR$3:$AY$33,MATCH(BS$3,$AR$3:$AY$3,0),FALSE),1)</f>
        <v>47.1</v>
      </c>
      <c r="BT105" s="2">
        <f>ROUND(VLOOKUP($BJ105,$AI$3:$AO$33,MATCH(BT$3,$AI$3:$AO$3,0),FALSE)+$BL105/VLOOKUP(VLOOKUP($BJ105,坦克个性化设定!$B$18:$E$48,4,FALSE)&amp;$BK105,坦克属性分配比例,MATCH("升星次数",坦克属性分配比例标头,0),FALSE)*VLOOKUP($BJ105,$AR$3:$AY$33,MATCH(BT$3,$AR$3:$AY$3,0),FALSE),1)</f>
        <v>70.400000000000006</v>
      </c>
      <c r="BU105" s="2">
        <f>ROUND(VLOOKUP($BJ105,$AI$3:$AO$33,MATCH(BU$3,$AI$3:$AO$3,0),FALSE)+$BL105/VLOOKUP(VLOOKUP($BJ105,坦克个性化设定!$B$18:$E$48,4,FALSE)&amp;$BK105,坦克属性分配比例,MATCH("升星次数",坦克属性分配比例标头,0),FALSE)*VLOOKUP($BJ105,$AR$3:$AY$33,MATCH(BU$3,$AR$3:$AY$3,0),FALSE),1)</f>
        <v>9.5</v>
      </c>
      <c r="BV105" s="2">
        <f>IF(VLOOKUP(BJ105,坦克个性化设定!$B$18:$BC$48,MATCH("装弹类型",坦克个性化设定!$B$18:$BC$18,0),FALSE)="弹夹换弹",0,ROUND(VLOOKUP($BJ105,$AI$3:$AO$33,MATCH("换弹时间",$AI$3:$AO$3,0),FALSE)-$BL105/VLOOKUP(VLOOKUP($BJ105,坦克个性化设定!$B$18:$E$48,4,FALSE)&amp;$BK105,坦克属性分配比例,MATCH("升星次数",坦克属性分配比例标头,0),FALSE)*VLOOKUP($BJ105,$AR$3:$AY$33,MATCH("换弹时间",$AR$3:$AY$3,0),FALSE),2))</f>
        <v>0</v>
      </c>
      <c r="BW105" s="2">
        <f>IF(VLOOKUP(BJ105,坦克个性化设定!$B$18:$BC$48,MATCH("装弹类型",坦克个性化设定!$B$18:$BC$18,0),FALSE)="弹夹换弹",ROUND(VLOOKUP($BJ105,$AI$3:$AO$33,MATCH("换弹时间",$AI$3:$AO$3,0),FALSE)-$BL105/VLOOKUP(VLOOKUP($BJ105,坦克个性化设定!$B$18:$E$48,4,FALSE)&amp;$BK105,坦克属性分配比例,MATCH("升星次数",坦克属性分配比例标头,0),FALSE)*VLOOKUP($BJ105,$AR$3:$AY$33,MATCH("换弹时间",$AR$3:$AY$3,0),FALSE),1),0)</f>
        <v>4.3</v>
      </c>
      <c r="BX105" s="2">
        <f>ROUND(VLOOKUP($BJ105,$AI$3:$AO$33,MATCH(BX$3,$AI$3:$AO$3,0),FALSE)+$BL105/VLOOKUP(VLOOKUP($BJ105,坦克个性化设定!$B$18:$E$48,4,FALSE)&amp;$BK105,坦克属性分配比例,MATCH("升星次数",坦克属性分配比例标头,0),FALSE)*VLOOKUP($BJ105,$AR$3:$AY$33,MATCH(BX$3,$AR$3:$AY$3,0),FALSE),2)</f>
        <v>0.8</v>
      </c>
      <c r="BY105" s="2">
        <f>ROUND(VLOOKUP($BJ105,$AI$3:$AO$33,MATCH(BY$3,$AI$3:$AO$3,0),FALSE)-$BL105/VLOOKUP(VLOOKUP($BJ105,坦克个性化设定!$B$18:$E$48,4,FALSE)&amp;$BK105,坦克属性分配比例,MATCH("升星次数",坦克属性分配比例标头,0),FALSE)*VLOOKUP($BJ105,$AR$3:$AY$33,MATCH(BY$3,$AR$3:$AY$3,0),FALSE),2)</f>
        <v>0.43</v>
      </c>
    </row>
    <row r="106" spans="60:77" x14ac:dyDescent="0.3">
      <c r="BH106" s="2" t="str">
        <f t="shared" si="24"/>
        <v>Stuart0</v>
      </c>
      <c r="BI106" s="2">
        <f>IF(BL105&gt;=VLOOKUP(VLOOKUP(BJ105,坦克个性化设定!$B$18:$E$48,4,FALSE)&amp;BK105,坦克属性分配比例,MATCH("升星次数",坦克属性分配比例标头,0),FALSE),BI105+1,BI105)</f>
        <v>11</v>
      </c>
      <c r="BJ106" s="2" t="str">
        <f t="shared" si="25"/>
        <v>Stuart</v>
      </c>
      <c r="BK106" s="29" t="str">
        <f>VLOOKUP(BJ106,坦克个性化细分!$I$3:$J$33,2,FALSE)</f>
        <v>低</v>
      </c>
      <c r="BL106" s="2">
        <f t="shared" si="23"/>
        <v>0</v>
      </c>
      <c r="BM106" s="103">
        <f ca="1">ROUND(VLOOKUP($BJ106&amp;"初始",$S$3:$AE$63,MATCH(BM$3,$S$3:$AE$3,0),FALSE)+((VLOOKUP($BJ106&amp;"最终",$S$3:$AE$63,MATCH(BM$3,$S$3:$AE$3,0),FALSE)*坦克个性化细分!$C$9-VLOOKUP($BJ106&amp;"初始",$S$3:$AE$63,MATCH(BM$3,$S$3:$AE$3,0),FALSE))-(VLOOKUP($BJ106&amp;"最终",$S$3:$AE$63,MATCH(BM$3,$S$3:$AE$3,0),FALSE)-VLOOKUP($BJ106&amp;"初始",$S$3:$AE$63,MATCH(BM$3,$S$3:$AE$3,0),FALSE))*VLOOKUP(VLOOKUP($BJ106,坦克个性化设定!$B$18:$E$48,4,FALSE)&amp;$BK106,坦克属性分配比例,MATCH("部件比例",坦克属性分配比例标头,0),FALSE))*$BL106/VLOOKUP(VLOOKUP($BJ106,坦克个性化设定!$B$18:$E$48,4,FALSE)&amp;$BK106,坦克属性分配比例,MATCH("升星次数",坦克属性分配比例标头,0),FALSE),0)</f>
        <v>560</v>
      </c>
      <c r="BN106" s="103">
        <f ca="1">ROUND(VLOOKUP($BJ106&amp;"初始",$S$3:$AE$63,MATCH(BN$3,$S$3:$AE$3,0),FALSE)+(VLOOKUP($BJ106&amp;"最终",$S$3:$AE$63,MATCH(BN$3,$S$3:$AE$3,0),FALSE)-VLOOKUP($BJ106&amp;"初始",$S$3:$AE$63,MATCH(BN$3,$S$3:$AE$3,0),FALSE))*$BL106/VLOOKUP(VLOOKUP($BJ106,坦克个性化设定!$B$18:$E$48,4,FALSE)&amp;$BK106,坦克属性分配比例,MATCH("升星次数",坦克属性分配比例标头,0),FALSE)*VLOOKUP(VLOOKUP($BJ106,坦克个性化设定!$B$18:$E$48,4,FALSE)&amp;$BK106,坦克属性分配比例,MATCH("升星比例",坦克属性分配比例标头,0),FALSE),0)</f>
        <v>118</v>
      </c>
      <c r="BO106" s="103">
        <f ca="1">ROUND(VLOOKUP($BJ106&amp;"初始",$S$3:$AE$63,MATCH(BO$3,$S$3:$AE$3,0),FALSE)+(VLOOKUP($BJ106&amp;"最终",$S$3:$AE$63,MATCH(BO$3,$S$3:$AE$3,0),FALSE)-VLOOKUP($BJ106&amp;"初始",$S$3:$AE$63,MATCH(BO$3,$S$3:$AE$3,0),FALSE))*$BL106/VLOOKUP(VLOOKUP($BJ106,坦克个性化设定!$B$18:$E$48,4,FALSE)&amp;$BK106,坦克属性分配比例,MATCH("升星次数",坦克属性分配比例标头,0),FALSE)*(VLOOKUP(VLOOKUP($BJ106,坦克个性化设定!$B$18:$E$48,4,FALSE)&amp;$BK106,坦克属性分配比例,MATCH("升星比例",坦克属性分配比例标头,0),FALSE)+VLOOKUP(VLOOKUP($BJ106,坦克个性化设定!$B$18:$E$48,4,FALSE)&amp;$BK106,坦克属性分配比例,MATCH("部件比例",坦克属性分配比例标头,0),FALSE)*$C$3),0)</f>
        <v>329</v>
      </c>
      <c r="BP106" s="103">
        <f ca="1">ROUND(VLOOKUP($BJ106&amp;"初始",$S$3:$AE$63,MATCH(BP$3,$S$3:$AE$3,0),FALSE)+(VLOOKUP($BJ106&amp;"最终",$S$3:$AE$63,MATCH(BP$3,$S$3:$AE$3,0),FALSE)-VLOOKUP($BJ106&amp;"初始",$S$3:$AE$63,MATCH(BP$3,$S$3:$AE$3,0),FALSE))*$BL106/VLOOKUP(VLOOKUP($BJ106,坦克个性化设定!$B$18:$E$48,4,FALSE)&amp;$BK106,坦克属性分配比例,MATCH("升星次数",坦克属性分配比例标头,0),FALSE)*(VLOOKUP(VLOOKUP($BJ106,坦克个性化设定!$B$18:$E$48,4,FALSE)&amp;$BK106,坦克属性分配比例,MATCH("升星比例",坦克属性分配比例标头,0),FALSE)+VLOOKUP(VLOOKUP($BJ106,坦克个性化设定!$B$18:$E$48,4,FALSE)&amp;$BK106,坦克属性分配比例,MATCH("部件比例",坦克属性分配比例标头,0),FALSE)*$C$3),0)</f>
        <v>246</v>
      </c>
      <c r="BQ106" s="103">
        <f ca="1">ROUND(VLOOKUP($BJ106&amp;"初始",$S$3:$AE$63,MATCH(BQ$3,$S$3:$AE$3,0),FALSE)+(VLOOKUP($BJ106&amp;"最终",$S$3:$AE$63,MATCH(BQ$3,$S$3:$AE$3,0),FALSE)-VLOOKUP($BJ106&amp;"初始",$S$3:$AE$63,MATCH(BQ$3,$S$3:$AE$3,0),FALSE))*$BL106/VLOOKUP(VLOOKUP($BJ106,坦克个性化设定!$B$18:$E$48,4,FALSE)&amp;$BK106,坦克属性分配比例,MATCH("升星次数",坦克属性分配比例标头,0),FALSE)*VLOOKUP(VLOOKUP($BJ106,坦克个性化设定!$B$18:$E$48,4,FALSE)&amp;$BK106,坦克属性分配比例,MATCH("升星比例",坦克属性分配比例标头,0),FALSE),0)</f>
        <v>360</v>
      </c>
      <c r="BR106" s="2">
        <f ca="1">ROUND(VLOOKUP($BJ106&amp;"初始",$S$3:$AE$63,MATCH(BR$3,$S$3:$AE$3,0),FALSE)+(VLOOKUP($BJ106&amp;"最终",$S$3:$AE$63,MATCH(BR$3,$S$3:$AE$3,0),FALSE)-VLOOKUP($BJ106&amp;"初始",$S$3:$AE$63,MATCH(BR$3,$S$3:$AE$3,0),FALSE))*$BL106/VLOOKUP(VLOOKUP($BJ106,坦克个性化设定!$B$18:$E$48,4,FALSE)&amp;$BK106,坦克属性分配比例,MATCH("升星次数",坦克属性分配比例标头,0),FALSE),0)</f>
        <v>86</v>
      </c>
      <c r="BS106" s="2">
        <f>ROUND(VLOOKUP($BJ106,$AI$3:$AO$33,MATCH(BS$3,$AI$3:$AO$3,0),FALSE)+$BL106/VLOOKUP(VLOOKUP($BJ106,坦克个性化设定!$B$18:$E$48,4,FALSE)&amp;$BK106,坦克属性分配比例,MATCH("升星次数",坦克属性分配比例标头,0),FALSE)*VLOOKUP($BJ106,$AR$3:$AY$33,MATCH(BS$3,$AR$3:$AY$3,0),FALSE),1)</f>
        <v>44.5</v>
      </c>
      <c r="BT106" s="2">
        <f>ROUND(VLOOKUP($BJ106,$AI$3:$AO$33,MATCH(BT$3,$AI$3:$AO$3,0),FALSE)+$BL106/VLOOKUP(VLOOKUP($BJ106,坦克个性化设定!$B$18:$E$48,4,FALSE)&amp;$BK106,坦克属性分配比例,MATCH("升星次数",坦克属性分配比例标头,0),FALSE)*VLOOKUP($BJ106,$AR$3:$AY$33,MATCH(BT$3,$AR$3:$AY$3,0),FALSE),1)</f>
        <v>40</v>
      </c>
      <c r="BU106" s="2">
        <f>ROUND(VLOOKUP($BJ106,$AI$3:$AO$33,MATCH(BU$3,$AI$3:$AO$3,0),FALSE)+$BL106/VLOOKUP(VLOOKUP($BJ106,坦克个性化设定!$B$18:$E$48,4,FALSE)&amp;$BK106,坦克属性分配比例,MATCH("升星次数",坦克属性分配比例标头,0),FALSE)*VLOOKUP($BJ106,$AR$3:$AY$33,MATCH(BU$3,$AR$3:$AY$3,0),FALSE),1)</f>
        <v>8</v>
      </c>
      <c r="BV106" s="2">
        <f>IF(VLOOKUP(BJ106,坦克个性化设定!$B$18:$BC$48,MATCH("装弹类型",坦克个性化设定!$B$18:$BC$18,0),FALSE)="弹夹换弹",0,ROUND(VLOOKUP($BJ106,$AI$3:$AO$33,MATCH("换弹时间",$AI$3:$AO$3,0),FALSE)-$BL106/VLOOKUP(VLOOKUP($BJ106,坦克个性化设定!$B$18:$E$48,4,FALSE)&amp;$BK106,坦克属性分配比例,MATCH("升星次数",坦克属性分配比例标头,0),FALSE)*VLOOKUP($BJ106,$AR$3:$AY$33,MATCH("换弹时间",$AR$3:$AY$3,0),FALSE),2))</f>
        <v>0</v>
      </c>
      <c r="BW106" s="2">
        <f>IF(VLOOKUP(BJ106,坦克个性化设定!$B$18:$BC$48,MATCH("装弹类型",坦克个性化设定!$B$18:$BC$18,0),FALSE)="弹夹换弹",ROUND(VLOOKUP($BJ106,$AI$3:$AO$33,MATCH("换弹时间",$AI$3:$AO$3,0),FALSE)-$BL106/VLOOKUP(VLOOKUP($BJ106,坦克个性化设定!$B$18:$E$48,4,FALSE)&amp;$BK106,坦克属性分配比例,MATCH("升星次数",坦克属性分配比例标头,0),FALSE)*VLOOKUP($BJ106,$AR$3:$AY$33,MATCH("换弹时间",$AR$3:$AY$3,0),FALSE),1),0)</f>
        <v>3.2</v>
      </c>
      <c r="BX106" s="2">
        <f>ROUND(VLOOKUP($BJ106,$AI$3:$AO$33,MATCH(BX$3,$AI$3:$AO$3,0),FALSE)+$BL106/VLOOKUP(VLOOKUP($BJ106,坦克个性化设定!$B$18:$E$48,4,FALSE)&amp;$BK106,坦克属性分配比例,MATCH("升星次数",坦克属性分配比例标头,0),FALSE)*VLOOKUP($BJ106,$AR$3:$AY$33,MATCH(BX$3,$AR$3:$AY$3,0),FALSE),2)</f>
        <v>0.3</v>
      </c>
      <c r="BY106" s="2">
        <f>ROUND(VLOOKUP($BJ106,$AI$3:$AO$33,MATCH(BY$3,$AI$3:$AO$3,0),FALSE)-$BL106/VLOOKUP(VLOOKUP($BJ106,坦克个性化设定!$B$18:$E$48,4,FALSE)&amp;$BK106,坦克属性分配比例,MATCH("升星次数",坦克属性分配比例标头,0),FALSE)*VLOOKUP($BJ106,$AR$3:$AY$33,MATCH(BY$3,$AR$3:$AY$3,0),FALSE),2)</f>
        <v>1</v>
      </c>
    </row>
    <row r="107" spans="60:77" x14ac:dyDescent="0.3">
      <c r="BH107" s="2" t="str">
        <f t="shared" si="24"/>
        <v>Stuart1</v>
      </c>
      <c r="BI107" s="2">
        <f>IF(BL106&gt;=VLOOKUP(VLOOKUP(BJ106,坦克个性化设定!$B$18:$E$48,4,FALSE)&amp;BK106,坦克属性分配比例,MATCH("升星次数",坦克属性分配比例标头,0),FALSE),BI106+1,BI106)</f>
        <v>11</v>
      </c>
      <c r="BJ107" s="2" t="str">
        <f t="shared" si="25"/>
        <v>Stuart</v>
      </c>
      <c r="BK107" s="29" t="str">
        <f>VLOOKUP(BJ107,坦克个性化细分!$I$3:$J$33,2,FALSE)</f>
        <v>低</v>
      </c>
      <c r="BL107" s="2">
        <f t="shared" si="23"/>
        <v>1</v>
      </c>
      <c r="BM107" s="103">
        <f ca="1">ROUND(VLOOKUP($BJ107&amp;"初始",$S$3:$AE$63,MATCH(BM$3,$S$3:$AE$3,0),FALSE)+((VLOOKUP($BJ107&amp;"最终",$S$3:$AE$63,MATCH(BM$3,$S$3:$AE$3,0),FALSE)*坦克个性化细分!$C$9-VLOOKUP($BJ107&amp;"初始",$S$3:$AE$63,MATCH(BM$3,$S$3:$AE$3,0),FALSE))-(VLOOKUP($BJ107&amp;"最终",$S$3:$AE$63,MATCH(BM$3,$S$3:$AE$3,0),FALSE)-VLOOKUP($BJ107&amp;"初始",$S$3:$AE$63,MATCH(BM$3,$S$3:$AE$3,0),FALSE))*VLOOKUP(VLOOKUP($BJ107,坦克个性化设定!$B$18:$E$48,4,FALSE)&amp;$BK107,坦克属性分配比例,MATCH("部件比例",坦克属性分配比例标头,0),FALSE))*$BL107/VLOOKUP(VLOOKUP($BJ107,坦克个性化设定!$B$18:$E$48,4,FALSE)&amp;$BK107,坦克属性分配比例,MATCH("升星次数",坦克属性分配比例标头,0),FALSE),0)</f>
        <v>646</v>
      </c>
      <c r="BN107" s="103">
        <f ca="1">ROUND(VLOOKUP($BJ107&amp;"初始",$S$3:$AE$63,MATCH(BN$3,$S$3:$AE$3,0),FALSE)+(VLOOKUP($BJ107&amp;"最终",$S$3:$AE$63,MATCH(BN$3,$S$3:$AE$3,0),FALSE)-VLOOKUP($BJ107&amp;"初始",$S$3:$AE$63,MATCH(BN$3,$S$3:$AE$3,0),FALSE))*$BL107/VLOOKUP(VLOOKUP($BJ107,坦克个性化设定!$B$18:$E$48,4,FALSE)&amp;$BK107,坦克属性分配比例,MATCH("升星次数",坦克属性分配比例标头,0),FALSE)*VLOOKUP(VLOOKUP($BJ107,坦克个性化设定!$B$18:$E$48,4,FALSE)&amp;$BK107,坦克属性分配比例,MATCH("升星比例",坦克属性分配比例标头,0),FALSE),0)</f>
        <v>123</v>
      </c>
      <c r="BO107" s="103">
        <f ca="1">ROUND(VLOOKUP($BJ107&amp;"初始",$S$3:$AE$63,MATCH(BO$3,$S$3:$AE$3,0),FALSE)+(VLOOKUP($BJ107&amp;"最终",$S$3:$AE$63,MATCH(BO$3,$S$3:$AE$3,0),FALSE)-VLOOKUP($BJ107&amp;"初始",$S$3:$AE$63,MATCH(BO$3,$S$3:$AE$3,0),FALSE))*$BL107/VLOOKUP(VLOOKUP($BJ107,坦克个性化设定!$B$18:$E$48,4,FALSE)&amp;$BK107,坦克属性分配比例,MATCH("升星次数",坦克属性分配比例标头,0),FALSE)*(VLOOKUP(VLOOKUP($BJ107,坦克个性化设定!$B$18:$E$48,4,FALSE)&amp;$BK107,坦克属性分配比例,MATCH("升星比例",坦克属性分配比例标头,0),FALSE)+VLOOKUP(VLOOKUP($BJ107,坦克个性化设定!$B$18:$E$48,4,FALSE)&amp;$BK107,坦克属性分配比例,MATCH("部件比例",坦克属性分配比例标头,0),FALSE)*$C$3),0)</f>
        <v>346</v>
      </c>
      <c r="BP107" s="103">
        <f ca="1">ROUND(VLOOKUP($BJ107&amp;"初始",$S$3:$AE$63,MATCH(BP$3,$S$3:$AE$3,0),FALSE)+(VLOOKUP($BJ107&amp;"最终",$S$3:$AE$63,MATCH(BP$3,$S$3:$AE$3,0),FALSE)-VLOOKUP($BJ107&amp;"初始",$S$3:$AE$63,MATCH(BP$3,$S$3:$AE$3,0),FALSE))*$BL107/VLOOKUP(VLOOKUP($BJ107,坦克个性化设定!$B$18:$E$48,4,FALSE)&amp;$BK107,坦克属性分配比例,MATCH("升星次数",坦克属性分配比例标头,0),FALSE)*(VLOOKUP(VLOOKUP($BJ107,坦克个性化设定!$B$18:$E$48,4,FALSE)&amp;$BK107,坦克属性分配比例,MATCH("升星比例",坦克属性分配比例标头,0),FALSE)+VLOOKUP(VLOOKUP($BJ107,坦克个性化设定!$B$18:$E$48,4,FALSE)&amp;$BK107,坦克属性分配比例,MATCH("部件比例",坦克属性分配比例标头,0),FALSE)*$C$3),0)</f>
        <v>259</v>
      </c>
      <c r="BQ107" s="103">
        <f ca="1">ROUND(VLOOKUP($BJ107&amp;"初始",$S$3:$AE$63,MATCH(BQ$3,$S$3:$AE$3,0),FALSE)+(VLOOKUP($BJ107&amp;"最终",$S$3:$AE$63,MATCH(BQ$3,$S$3:$AE$3,0),FALSE)-VLOOKUP($BJ107&amp;"初始",$S$3:$AE$63,MATCH(BQ$3,$S$3:$AE$3,0),FALSE))*$BL107/VLOOKUP(VLOOKUP($BJ107,坦克个性化设定!$B$18:$E$48,4,FALSE)&amp;$BK107,坦克属性分配比例,MATCH("升星次数",坦克属性分配比例标头,0),FALSE)*VLOOKUP(VLOOKUP($BJ107,坦克个性化设定!$B$18:$E$48,4,FALSE)&amp;$BK107,坦克属性分配比例,MATCH("升星比例",坦克属性分配比例标头,0),FALSE),0)</f>
        <v>375</v>
      </c>
      <c r="BR107" s="2">
        <f ca="1">ROUND(VLOOKUP($BJ107&amp;"初始",$S$3:$AE$63,MATCH(BR$3,$S$3:$AE$3,0),FALSE)+(VLOOKUP($BJ107&amp;"最终",$S$3:$AE$63,MATCH(BR$3,$S$3:$AE$3,0),FALSE)-VLOOKUP($BJ107&amp;"初始",$S$3:$AE$63,MATCH(BR$3,$S$3:$AE$3,0),FALSE))*$BL107/VLOOKUP(VLOOKUP($BJ107,坦克个性化设定!$B$18:$E$48,4,FALSE)&amp;$BK107,坦克属性分配比例,MATCH("升星次数",坦克属性分配比例标头,0),FALSE),0)</f>
        <v>91</v>
      </c>
      <c r="BS107" s="2">
        <f>ROUND(VLOOKUP($BJ107,$AI$3:$AO$33,MATCH(BS$3,$AI$3:$AO$3,0),FALSE)+$BL107/VLOOKUP(VLOOKUP($BJ107,坦克个性化设定!$B$18:$E$48,4,FALSE)&amp;$BK107,坦克属性分配比例,MATCH("升星次数",坦克属性分配比例标头,0),FALSE)*VLOOKUP($BJ107,$AR$3:$AY$33,MATCH(BS$3,$AR$3:$AY$3,0),FALSE),1)</f>
        <v>46.7</v>
      </c>
      <c r="BT107" s="2">
        <f>ROUND(VLOOKUP($BJ107,$AI$3:$AO$33,MATCH(BT$3,$AI$3:$AO$3,0),FALSE)+$BL107/VLOOKUP(VLOOKUP($BJ107,坦克个性化设定!$B$18:$E$48,4,FALSE)&amp;$BK107,坦克属性分配比例,MATCH("升星次数",坦克属性分配比例标头,0),FALSE)*VLOOKUP($BJ107,$AR$3:$AY$33,MATCH(BT$3,$AR$3:$AY$3,0),FALSE),1)</f>
        <v>42</v>
      </c>
      <c r="BU107" s="2">
        <f>ROUND(VLOOKUP($BJ107,$AI$3:$AO$33,MATCH(BU$3,$AI$3:$AO$3,0),FALSE)+$BL107/VLOOKUP(VLOOKUP($BJ107,坦克个性化设定!$B$18:$E$48,4,FALSE)&amp;$BK107,坦克属性分配比例,MATCH("升星次数",坦克属性分配比例标头,0),FALSE)*VLOOKUP($BJ107,$AR$3:$AY$33,MATCH(BU$3,$AR$3:$AY$3,0),FALSE),1)</f>
        <v>8</v>
      </c>
      <c r="BV107" s="2">
        <f>IF(VLOOKUP(BJ107,坦克个性化设定!$B$18:$BC$48,MATCH("装弹类型",坦克个性化设定!$B$18:$BC$18,0),FALSE)="弹夹换弹",0,ROUND(VLOOKUP($BJ107,$AI$3:$AO$33,MATCH("换弹时间",$AI$3:$AO$3,0),FALSE)-$BL107/VLOOKUP(VLOOKUP($BJ107,坦克个性化设定!$B$18:$E$48,4,FALSE)&amp;$BK107,坦克属性分配比例,MATCH("升星次数",坦克属性分配比例标头,0),FALSE)*VLOOKUP($BJ107,$AR$3:$AY$33,MATCH("换弹时间",$AR$3:$AY$3,0),FALSE),2))</f>
        <v>0</v>
      </c>
      <c r="BW107" s="2">
        <f>IF(VLOOKUP(BJ107,坦克个性化设定!$B$18:$BC$48,MATCH("装弹类型",坦克个性化设定!$B$18:$BC$18,0),FALSE)="弹夹换弹",ROUND(VLOOKUP($BJ107,$AI$3:$AO$33,MATCH("换弹时间",$AI$3:$AO$3,0),FALSE)-$BL107/VLOOKUP(VLOOKUP($BJ107,坦克个性化设定!$B$18:$E$48,4,FALSE)&amp;$BK107,坦克属性分配比例,MATCH("升星次数",坦克属性分配比例标头,0),FALSE)*VLOOKUP($BJ107,$AR$3:$AY$33,MATCH("换弹时间",$AR$3:$AY$3,0),FALSE),1),0)</f>
        <v>3.1</v>
      </c>
      <c r="BX107" s="2">
        <f>ROUND(VLOOKUP($BJ107,$AI$3:$AO$33,MATCH(BX$3,$AI$3:$AO$3,0),FALSE)+$BL107/VLOOKUP(VLOOKUP($BJ107,坦克个性化设定!$B$18:$E$48,4,FALSE)&amp;$BK107,坦克属性分配比例,MATCH("升星次数",坦克属性分配比例标头,0),FALSE)*VLOOKUP($BJ107,$AR$3:$AY$33,MATCH(BX$3,$AR$3:$AY$3,0),FALSE),2)</f>
        <v>0.3</v>
      </c>
      <c r="BY107" s="2">
        <f>ROUND(VLOOKUP($BJ107,$AI$3:$AO$33,MATCH(BY$3,$AI$3:$AO$3,0),FALSE)-$BL107/VLOOKUP(VLOOKUP($BJ107,坦克个性化设定!$B$18:$E$48,4,FALSE)&amp;$BK107,坦克属性分配比例,MATCH("升星次数",坦克属性分配比例标头,0),FALSE)*VLOOKUP($BJ107,$AR$3:$AY$33,MATCH(BY$3,$AR$3:$AY$3,0),FALSE),2)</f>
        <v>0.97</v>
      </c>
    </row>
    <row r="108" spans="60:77" x14ac:dyDescent="0.3">
      <c r="BH108" s="2" t="str">
        <f t="shared" si="24"/>
        <v>Stuart2</v>
      </c>
      <c r="BI108" s="2">
        <f>IF(BL107&gt;=VLOOKUP(VLOOKUP(BJ107,坦克个性化设定!$B$18:$E$48,4,FALSE)&amp;BK107,坦克属性分配比例,MATCH("升星次数",坦克属性分配比例标头,0),FALSE),BI107+1,BI107)</f>
        <v>11</v>
      </c>
      <c r="BJ108" s="2" t="str">
        <f t="shared" si="25"/>
        <v>Stuart</v>
      </c>
      <c r="BK108" s="29" t="str">
        <f>VLOOKUP(BJ108,坦克个性化细分!$I$3:$J$33,2,FALSE)</f>
        <v>低</v>
      </c>
      <c r="BL108" s="2">
        <f t="shared" si="23"/>
        <v>2</v>
      </c>
      <c r="BM108" s="103">
        <f ca="1">ROUND(VLOOKUP($BJ108&amp;"初始",$S$3:$AE$63,MATCH(BM$3,$S$3:$AE$3,0),FALSE)+((VLOOKUP($BJ108&amp;"最终",$S$3:$AE$63,MATCH(BM$3,$S$3:$AE$3,0),FALSE)*坦克个性化细分!$C$9-VLOOKUP($BJ108&amp;"初始",$S$3:$AE$63,MATCH(BM$3,$S$3:$AE$3,0),FALSE))-(VLOOKUP($BJ108&amp;"最终",$S$3:$AE$63,MATCH(BM$3,$S$3:$AE$3,0),FALSE)-VLOOKUP($BJ108&amp;"初始",$S$3:$AE$63,MATCH(BM$3,$S$3:$AE$3,0),FALSE))*VLOOKUP(VLOOKUP($BJ108,坦克个性化设定!$B$18:$E$48,4,FALSE)&amp;$BK108,坦克属性分配比例,MATCH("部件比例",坦克属性分配比例标头,0),FALSE))*$BL108/VLOOKUP(VLOOKUP($BJ108,坦克个性化设定!$B$18:$E$48,4,FALSE)&amp;$BK108,坦克属性分配比例,MATCH("升星次数",坦克属性分配比例标头,0),FALSE),0)</f>
        <v>733</v>
      </c>
      <c r="BN108" s="103">
        <f ca="1">ROUND(VLOOKUP($BJ108&amp;"初始",$S$3:$AE$63,MATCH(BN$3,$S$3:$AE$3,0),FALSE)+(VLOOKUP($BJ108&amp;"最终",$S$3:$AE$63,MATCH(BN$3,$S$3:$AE$3,0),FALSE)-VLOOKUP($BJ108&amp;"初始",$S$3:$AE$63,MATCH(BN$3,$S$3:$AE$3,0),FALSE))*$BL108/VLOOKUP(VLOOKUP($BJ108,坦克个性化设定!$B$18:$E$48,4,FALSE)&amp;$BK108,坦克属性分配比例,MATCH("升星次数",坦克属性分配比例标头,0),FALSE)*VLOOKUP(VLOOKUP($BJ108,坦克个性化设定!$B$18:$E$48,4,FALSE)&amp;$BK108,坦克属性分配比例,MATCH("升星比例",坦克属性分配比例标头,0),FALSE),0)</f>
        <v>128</v>
      </c>
      <c r="BO108" s="103">
        <f ca="1">ROUND(VLOOKUP($BJ108&amp;"初始",$S$3:$AE$63,MATCH(BO$3,$S$3:$AE$3,0),FALSE)+(VLOOKUP($BJ108&amp;"最终",$S$3:$AE$63,MATCH(BO$3,$S$3:$AE$3,0),FALSE)-VLOOKUP($BJ108&amp;"初始",$S$3:$AE$63,MATCH(BO$3,$S$3:$AE$3,0),FALSE))*$BL108/VLOOKUP(VLOOKUP($BJ108,坦克个性化设定!$B$18:$E$48,4,FALSE)&amp;$BK108,坦克属性分配比例,MATCH("升星次数",坦克属性分配比例标头,0),FALSE)*(VLOOKUP(VLOOKUP($BJ108,坦克个性化设定!$B$18:$E$48,4,FALSE)&amp;$BK108,坦克属性分配比例,MATCH("升星比例",坦克属性分配比例标头,0),FALSE)+VLOOKUP(VLOOKUP($BJ108,坦克个性化设定!$B$18:$E$48,4,FALSE)&amp;$BK108,坦克属性分配比例,MATCH("部件比例",坦克属性分配比例标头,0),FALSE)*$C$3),0)</f>
        <v>363</v>
      </c>
      <c r="BP108" s="103">
        <f ca="1">ROUND(VLOOKUP($BJ108&amp;"初始",$S$3:$AE$63,MATCH(BP$3,$S$3:$AE$3,0),FALSE)+(VLOOKUP($BJ108&amp;"最终",$S$3:$AE$63,MATCH(BP$3,$S$3:$AE$3,0),FALSE)-VLOOKUP($BJ108&amp;"初始",$S$3:$AE$63,MATCH(BP$3,$S$3:$AE$3,0),FALSE))*$BL108/VLOOKUP(VLOOKUP($BJ108,坦克个性化设定!$B$18:$E$48,4,FALSE)&amp;$BK108,坦克属性分配比例,MATCH("升星次数",坦克属性分配比例标头,0),FALSE)*(VLOOKUP(VLOOKUP($BJ108,坦克个性化设定!$B$18:$E$48,4,FALSE)&amp;$BK108,坦克属性分配比例,MATCH("升星比例",坦克属性分配比例标头,0),FALSE)+VLOOKUP(VLOOKUP($BJ108,坦克个性化设定!$B$18:$E$48,4,FALSE)&amp;$BK108,坦克属性分配比例,MATCH("部件比例",坦克属性分配比例标头,0),FALSE)*$C$3),0)</f>
        <v>272</v>
      </c>
      <c r="BQ108" s="103">
        <f ca="1">ROUND(VLOOKUP($BJ108&amp;"初始",$S$3:$AE$63,MATCH(BQ$3,$S$3:$AE$3,0),FALSE)+(VLOOKUP($BJ108&amp;"最终",$S$3:$AE$63,MATCH(BQ$3,$S$3:$AE$3,0),FALSE)-VLOOKUP($BJ108&amp;"初始",$S$3:$AE$63,MATCH(BQ$3,$S$3:$AE$3,0),FALSE))*$BL108/VLOOKUP(VLOOKUP($BJ108,坦克个性化设定!$B$18:$E$48,4,FALSE)&amp;$BK108,坦克属性分配比例,MATCH("升星次数",坦克属性分配比例标头,0),FALSE)*VLOOKUP(VLOOKUP($BJ108,坦克个性化设定!$B$18:$E$48,4,FALSE)&amp;$BK108,坦克属性分配比例,MATCH("升星比例",坦克属性分配比例标头,0),FALSE),0)</f>
        <v>390</v>
      </c>
      <c r="BR108" s="2">
        <f ca="1">ROUND(VLOOKUP($BJ108&amp;"初始",$S$3:$AE$63,MATCH(BR$3,$S$3:$AE$3,0),FALSE)+(VLOOKUP($BJ108&amp;"最终",$S$3:$AE$63,MATCH(BR$3,$S$3:$AE$3,0),FALSE)-VLOOKUP($BJ108&amp;"初始",$S$3:$AE$63,MATCH(BR$3,$S$3:$AE$3,0),FALSE))*$BL108/VLOOKUP(VLOOKUP($BJ108,坦克个性化设定!$B$18:$E$48,4,FALSE)&amp;$BK108,坦克属性分配比例,MATCH("升星次数",坦克属性分配比例标头,0),FALSE),0)</f>
        <v>96</v>
      </c>
      <c r="BS108" s="2">
        <f>ROUND(VLOOKUP($BJ108,$AI$3:$AO$33,MATCH(BS$3,$AI$3:$AO$3,0),FALSE)+$BL108/VLOOKUP(VLOOKUP($BJ108,坦克个性化设定!$B$18:$E$48,4,FALSE)&amp;$BK108,坦克属性分配比例,MATCH("升星次数",坦克属性分配比例标头,0),FALSE)*VLOOKUP($BJ108,$AR$3:$AY$33,MATCH(BS$3,$AR$3:$AY$3,0),FALSE),1)</f>
        <v>49</v>
      </c>
      <c r="BT108" s="2">
        <f>ROUND(VLOOKUP($BJ108,$AI$3:$AO$33,MATCH(BT$3,$AI$3:$AO$3,0),FALSE)+$BL108/VLOOKUP(VLOOKUP($BJ108,坦克个性化设定!$B$18:$E$48,4,FALSE)&amp;$BK108,坦克属性分配比例,MATCH("升星次数",坦克属性分配比例标头,0),FALSE)*VLOOKUP($BJ108,$AR$3:$AY$33,MATCH(BT$3,$AR$3:$AY$3,0),FALSE),1)</f>
        <v>44</v>
      </c>
      <c r="BU108" s="2">
        <f>ROUND(VLOOKUP($BJ108,$AI$3:$AO$33,MATCH(BU$3,$AI$3:$AO$3,0),FALSE)+$BL108/VLOOKUP(VLOOKUP($BJ108,坦克个性化设定!$B$18:$E$48,4,FALSE)&amp;$BK108,坦克属性分配比例,MATCH("升星次数",坦克属性分配比例标头,0),FALSE)*VLOOKUP($BJ108,$AR$3:$AY$33,MATCH(BU$3,$AR$3:$AY$3,0),FALSE),1)</f>
        <v>8</v>
      </c>
      <c r="BV108" s="2">
        <f>IF(VLOOKUP(BJ108,坦克个性化设定!$B$18:$BC$48,MATCH("装弹类型",坦克个性化设定!$B$18:$BC$18,0),FALSE)="弹夹换弹",0,ROUND(VLOOKUP($BJ108,$AI$3:$AO$33,MATCH("换弹时间",$AI$3:$AO$3,0),FALSE)-$BL108/VLOOKUP(VLOOKUP($BJ108,坦克个性化设定!$B$18:$E$48,4,FALSE)&amp;$BK108,坦克属性分配比例,MATCH("升星次数",坦克属性分配比例标头,0),FALSE)*VLOOKUP($BJ108,$AR$3:$AY$33,MATCH("换弹时间",$AR$3:$AY$3,0),FALSE),2))</f>
        <v>0</v>
      </c>
      <c r="BW108" s="2">
        <f>IF(VLOOKUP(BJ108,坦克个性化设定!$B$18:$BC$48,MATCH("装弹类型",坦克个性化设定!$B$18:$BC$18,0),FALSE)="弹夹换弹",ROUND(VLOOKUP($BJ108,$AI$3:$AO$33,MATCH("换弹时间",$AI$3:$AO$3,0),FALSE)-$BL108/VLOOKUP(VLOOKUP($BJ108,坦克个性化设定!$B$18:$E$48,4,FALSE)&amp;$BK108,坦克属性分配比例,MATCH("升星次数",坦克属性分配比例标头,0),FALSE)*VLOOKUP($BJ108,$AR$3:$AY$33,MATCH("换弹时间",$AR$3:$AY$3,0),FALSE),1),0)</f>
        <v>3</v>
      </c>
      <c r="BX108" s="2">
        <f>ROUND(VLOOKUP($BJ108,$AI$3:$AO$33,MATCH(BX$3,$AI$3:$AO$3,0),FALSE)+$BL108/VLOOKUP(VLOOKUP($BJ108,坦克个性化设定!$B$18:$E$48,4,FALSE)&amp;$BK108,坦克属性分配比例,MATCH("升星次数",坦克属性分配比例标头,0),FALSE)*VLOOKUP($BJ108,$AR$3:$AY$33,MATCH(BX$3,$AR$3:$AY$3,0),FALSE),2)</f>
        <v>0.3</v>
      </c>
      <c r="BY108" s="2">
        <f>ROUND(VLOOKUP($BJ108,$AI$3:$AO$33,MATCH(BY$3,$AI$3:$AO$3,0),FALSE)-$BL108/VLOOKUP(VLOOKUP($BJ108,坦克个性化设定!$B$18:$E$48,4,FALSE)&amp;$BK108,坦克属性分配比例,MATCH("升星次数",坦克属性分配比例标头,0),FALSE)*VLOOKUP($BJ108,$AR$3:$AY$33,MATCH(BY$3,$AR$3:$AY$3,0),FALSE),2)</f>
        <v>0.93</v>
      </c>
    </row>
    <row r="109" spans="60:77" x14ac:dyDescent="0.3">
      <c r="BH109" s="2" t="str">
        <f t="shared" si="24"/>
        <v>Stuart3</v>
      </c>
      <c r="BI109" s="2">
        <f>IF(BL108&gt;=VLOOKUP(VLOOKUP(BJ108,坦克个性化设定!$B$18:$E$48,4,FALSE)&amp;BK108,坦克属性分配比例,MATCH("升星次数",坦克属性分配比例标头,0),FALSE),BI108+1,BI108)</f>
        <v>11</v>
      </c>
      <c r="BJ109" s="2" t="str">
        <f t="shared" si="25"/>
        <v>Stuart</v>
      </c>
      <c r="BK109" s="29" t="str">
        <f>VLOOKUP(BJ109,坦克个性化细分!$I$3:$J$33,2,FALSE)</f>
        <v>低</v>
      </c>
      <c r="BL109" s="2">
        <f t="shared" si="23"/>
        <v>3</v>
      </c>
      <c r="BM109" s="103">
        <f ca="1">ROUND(VLOOKUP($BJ109&amp;"初始",$S$3:$AE$63,MATCH(BM$3,$S$3:$AE$3,0),FALSE)+((VLOOKUP($BJ109&amp;"最终",$S$3:$AE$63,MATCH(BM$3,$S$3:$AE$3,0),FALSE)*坦克个性化细分!$C$9-VLOOKUP($BJ109&amp;"初始",$S$3:$AE$63,MATCH(BM$3,$S$3:$AE$3,0),FALSE))-(VLOOKUP($BJ109&amp;"最终",$S$3:$AE$63,MATCH(BM$3,$S$3:$AE$3,0),FALSE)-VLOOKUP($BJ109&amp;"初始",$S$3:$AE$63,MATCH(BM$3,$S$3:$AE$3,0),FALSE))*VLOOKUP(VLOOKUP($BJ109,坦克个性化设定!$B$18:$E$48,4,FALSE)&amp;$BK109,坦克属性分配比例,MATCH("部件比例",坦克属性分配比例标头,0),FALSE))*$BL109/VLOOKUP(VLOOKUP($BJ109,坦克个性化设定!$B$18:$E$48,4,FALSE)&amp;$BK109,坦克属性分配比例,MATCH("升星次数",坦克属性分配比例标头,0),FALSE),0)</f>
        <v>820</v>
      </c>
      <c r="BN109" s="103">
        <f ca="1">ROUND(VLOOKUP($BJ109&amp;"初始",$S$3:$AE$63,MATCH(BN$3,$S$3:$AE$3,0),FALSE)+(VLOOKUP($BJ109&amp;"最终",$S$3:$AE$63,MATCH(BN$3,$S$3:$AE$3,0),FALSE)-VLOOKUP($BJ109&amp;"初始",$S$3:$AE$63,MATCH(BN$3,$S$3:$AE$3,0),FALSE))*$BL109/VLOOKUP(VLOOKUP($BJ109,坦克个性化设定!$B$18:$E$48,4,FALSE)&amp;$BK109,坦克属性分配比例,MATCH("升星次数",坦克属性分配比例标头,0),FALSE)*VLOOKUP(VLOOKUP($BJ109,坦克个性化设定!$B$18:$E$48,4,FALSE)&amp;$BK109,坦克属性分配比例,MATCH("升星比例",坦克属性分配比例标头,0),FALSE),0)</f>
        <v>133</v>
      </c>
      <c r="BO109" s="103">
        <f ca="1">ROUND(VLOOKUP($BJ109&amp;"初始",$S$3:$AE$63,MATCH(BO$3,$S$3:$AE$3,0),FALSE)+(VLOOKUP($BJ109&amp;"最终",$S$3:$AE$63,MATCH(BO$3,$S$3:$AE$3,0),FALSE)-VLOOKUP($BJ109&amp;"初始",$S$3:$AE$63,MATCH(BO$3,$S$3:$AE$3,0),FALSE))*$BL109/VLOOKUP(VLOOKUP($BJ109,坦克个性化设定!$B$18:$E$48,4,FALSE)&amp;$BK109,坦克属性分配比例,MATCH("升星次数",坦克属性分配比例标头,0),FALSE)*(VLOOKUP(VLOOKUP($BJ109,坦克个性化设定!$B$18:$E$48,4,FALSE)&amp;$BK109,坦克属性分配比例,MATCH("升星比例",坦克属性分配比例标头,0),FALSE)+VLOOKUP(VLOOKUP($BJ109,坦克个性化设定!$B$18:$E$48,4,FALSE)&amp;$BK109,坦克属性分配比例,MATCH("部件比例",坦克属性分配比例标头,0),FALSE)*$C$3),0)</f>
        <v>381</v>
      </c>
      <c r="BP109" s="103">
        <f ca="1">ROUND(VLOOKUP($BJ109&amp;"初始",$S$3:$AE$63,MATCH(BP$3,$S$3:$AE$3,0),FALSE)+(VLOOKUP($BJ109&amp;"最终",$S$3:$AE$63,MATCH(BP$3,$S$3:$AE$3,0),FALSE)-VLOOKUP($BJ109&amp;"初始",$S$3:$AE$63,MATCH(BP$3,$S$3:$AE$3,0),FALSE))*$BL109/VLOOKUP(VLOOKUP($BJ109,坦克个性化设定!$B$18:$E$48,4,FALSE)&amp;$BK109,坦克属性分配比例,MATCH("升星次数",坦克属性分配比例标头,0),FALSE)*(VLOOKUP(VLOOKUP($BJ109,坦克个性化设定!$B$18:$E$48,4,FALSE)&amp;$BK109,坦克属性分配比例,MATCH("升星比例",坦克属性分配比例标头,0),FALSE)+VLOOKUP(VLOOKUP($BJ109,坦克个性化设定!$B$18:$E$48,4,FALSE)&amp;$BK109,坦克属性分配比例,MATCH("部件比例",坦克属性分配比例标头,0),FALSE)*$C$3),0)</f>
        <v>285</v>
      </c>
      <c r="BQ109" s="103">
        <f ca="1">ROUND(VLOOKUP($BJ109&amp;"初始",$S$3:$AE$63,MATCH(BQ$3,$S$3:$AE$3,0),FALSE)+(VLOOKUP($BJ109&amp;"最终",$S$3:$AE$63,MATCH(BQ$3,$S$3:$AE$3,0),FALSE)-VLOOKUP($BJ109&amp;"初始",$S$3:$AE$63,MATCH(BQ$3,$S$3:$AE$3,0),FALSE))*$BL109/VLOOKUP(VLOOKUP($BJ109,坦克个性化设定!$B$18:$E$48,4,FALSE)&amp;$BK109,坦克属性分配比例,MATCH("升星次数",坦克属性分配比例标头,0),FALSE)*VLOOKUP(VLOOKUP($BJ109,坦克个性化设定!$B$18:$E$48,4,FALSE)&amp;$BK109,坦克属性分配比例,MATCH("升星比例",坦克属性分配比例标头,0),FALSE),0)</f>
        <v>405</v>
      </c>
      <c r="BR109" s="2">
        <f ca="1">ROUND(VLOOKUP($BJ109&amp;"初始",$S$3:$AE$63,MATCH(BR$3,$S$3:$AE$3,0),FALSE)+(VLOOKUP($BJ109&amp;"最终",$S$3:$AE$63,MATCH(BR$3,$S$3:$AE$3,0),FALSE)-VLOOKUP($BJ109&amp;"初始",$S$3:$AE$63,MATCH(BR$3,$S$3:$AE$3,0),FALSE))*$BL109/VLOOKUP(VLOOKUP($BJ109,坦克个性化设定!$B$18:$E$48,4,FALSE)&amp;$BK109,坦克属性分配比例,MATCH("升星次数",坦克属性分配比例标头,0),FALSE),0)</f>
        <v>102</v>
      </c>
      <c r="BS109" s="2">
        <f>ROUND(VLOOKUP($BJ109,$AI$3:$AO$33,MATCH(BS$3,$AI$3:$AO$3,0),FALSE)+$BL109/VLOOKUP(VLOOKUP($BJ109,坦克个性化设定!$B$18:$E$48,4,FALSE)&amp;$BK109,坦克属性分配比例,MATCH("升星次数",坦克属性分配比例标头,0),FALSE)*VLOOKUP($BJ109,$AR$3:$AY$33,MATCH(BS$3,$AR$3:$AY$3,0),FALSE),1)</f>
        <v>51.2</v>
      </c>
      <c r="BT109" s="2">
        <f>ROUND(VLOOKUP($BJ109,$AI$3:$AO$33,MATCH(BT$3,$AI$3:$AO$3,0),FALSE)+$BL109/VLOOKUP(VLOOKUP($BJ109,坦克个性化设定!$B$18:$E$48,4,FALSE)&amp;$BK109,坦克属性分配比例,MATCH("升星次数",坦克属性分配比例标头,0),FALSE)*VLOOKUP($BJ109,$AR$3:$AY$33,MATCH(BT$3,$AR$3:$AY$3,0),FALSE),1)</f>
        <v>46</v>
      </c>
      <c r="BU109" s="2">
        <f>ROUND(VLOOKUP($BJ109,$AI$3:$AO$33,MATCH(BU$3,$AI$3:$AO$3,0),FALSE)+$BL109/VLOOKUP(VLOOKUP($BJ109,坦克个性化设定!$B$18:$E$48,4,FALSE)&amp;$BK109,坦克属性分配比例,MATCH("升星次数",坦克属性分配比例标头,0),FALSE)*VLOOKUP($BJ109,$AR$3:$AY$33,MATCH(BU$3,$AR$3:$AY$3,0),FALSE),1)</f>
        <v>8</v>
      </c>
      <c r="BV109" s="2">
        <f>IF(VLOOKUP(BJ109,坦克个性化设定!$B$18:$BC$48,MATCH("装弹类型",坦克个性化设定!$B$18:$BC$18,0),FALSE)="弹夹换弹",0,ROUND(VLOOKUP($BJ109,$AI$3:$AO$33,MATCH("换弹时间",$AI$3:$AO$3,0),FALSE)-$BL109/VLOOKUP(VLOOKUP($BJ109,坦克个性化设定!$B$18:$E$48,4,FALSE)&amp;$BK109,坦克属性分配比例,MATCH("升星次数",坦克属性分配比例标头,0),FALSE)*VLOOKUP($BJ109,$AR$3:$AY$33,MATCH("换弹时间",$AR$3:$AY$3,0),FALSE),2))</f>
        <v>0</v>
      </c>
      <c r="BW109" s="2">
        <f>IF(VLOOKUP(BJ109,坦克个性化设定!$B$18:$BC$48,MATCH("装弹类型",坦克个性化设定!$B$18:$BC$18,0),FALSE)="弹夹换弹",ROUND(VLOOKUP($BJ109,$AI$3:$AO$33,MATCH("换弹时间",$AI$3:$AO$3,0),FALSE)-$BL109/VLOOKUP(VLOOKUP($BJ109,坦克个性化设定!$B$18:$E$48,4,FALSE)&amp;$BK109,坦克属性分配比例,MATCH("升星次数",坦克属性分配比例标头,0),FALSE)*VLOOKUP($BJ109,$AR$3:$AY$33,MATCH("换弹时间",$AR$3:$AY$3,0),FALSE),1),0)</f>
        <v>2.9</v>
      </c>
      <c r="BX109" s="2">
        <f>ROUND(VLOOKUP($BJ109,$AI$3:$AO$33,MATCH(BX$3,$AI$3:$AO$3,0),FALSE)+$BL109/VLOOKUP(VLOOKUP($BJ109,坦克个性化设定!$B$18:$E$48,4,FALSE)&amp;$BK109,坦克属性分配比例,MATCH("升星次数",坦克属性分配比例标头,0),FALSE)*VLOOKUP($BJ109,$AR$3:$AY$33,MATCH(BX$3,$AR$3:$AY$3,0),FALSE),2)</f>
        <v>0.3</v>
      </c>
      <c r="BY109" s="2">
        <f>ROUND(VLOOKUP($BJ109,$AI$3:$AO$33,MATCH(BY$3,$AI$3:$AO$3,0),FALSE)-$BL109/VLOOKUP(VLOOKUP($BJ109,坦克个性化设定!$B$18:$E$48,4,FALSE)&amp;$BK109,坦克属性分配比例,MATCH("升星次数",坦克属性分配比例标头,0),FALSE)*VLOOKUP($BJ109,$AR$3:$AY$33,MATCH(BY$3,$AR$3:$AY$3,0),FALSE),2)</f>
        <v>0.9</v>
      </c>
    </row>
    <row r="110" spans="60:77" x14ac:dyDescent="0.3">
      <c r="BH110" s="2" t="str">
        <f t="shared" si="24"/>
        <v>Stuart4</v>
      </c>
      <c r="BI110" s="2">
        <f>IF(BL109&gt;=VLOOKUP(VLOOKUP(BJ109,坦克个性化设定!$B$18:$E$48,4,FALSE)&amp;BK109,坦克属性分配比例,MATCH("升星次数",坦克属性分配比例标头,0),FALSE),BI109+1,BI109)</f>
        <v>11</v>
      </c>
      <c r="BJ110" s="2" t="str">
        <f t="shared" si="25"/>
        <v>Stuart</v>
      </c>
      <c r="BK110" s="29" t="str">
        <f>VLOOKUP(BJ110,坦克个性化细分!$I$3:$J$33,2,FALSE)</f>
        <v>低</v>
      </c>
      <c r="BL110" s="2">
        <f t="shared" si="23"/>
        <v>4</v>
      </c>
      <c r="BM110" s="103">
        <f ca="1">ROUND(VLOOKUP($BJ110&amp;"初始",$S$3:$AE$63,MATCH(BM$3,$S$3:$AE$3,0),FALSE)+((VLOOKUP($BJ110&amp;"最终",$S$3:$AE$63,MATCH(BM$3,$S$3:$AE$3,0),FALSE)*坦克个性化细分!$C$9-VLOOKUP($BJ110&amp;"初始",$S$3:$AE$63,MATCH(BM$3,$S$3:$AE$3,0),FALSE))-(VLOOKUP($BJ110&amp;"最终",$S$3:$AE$63,MATCH(BM$3,$S$3:$AE$3,0),FALSE)-VLOOKUP($BJ110&amp;"初始",$S$3:$AE$63,MATCH(BM$3,$S$3:$AE$3,0),FALSE))*VLOOKUP(VLOOKUP($BJ110,坦克个性化设定!$B$18:$E$48,4,FALSE)&amp;$BK110,坦克属性分配比例,MATCH("部件比例",坦克属性分配比例标头,0),FALSE))*$BL110/VLOOKUP(VLOOKUP($BJ110,坦克个性化设定!$B$18:$E$48,4,FALSE)&amp;$BK110,坦克属性分配比例,MATCH("升星次数",坦克属性分配比例标头,0),FALSE),0)</f>
        <v>906</v>
      </c>
      <c r="BN110" s="103">
        <f ca="1">ROUND(VLOOKUP($BJ110&amp;"初始",$S$3:$AE$63,MATCH(BN$3,$S$3:$AE$3,0),FALSE)+(VLOOKUP($BJ110&amp;"最终",$S$3:$AE$63,MATCH(BN$3,$S$3:$AE$3,0),FALSE)-VLOOKUP($BJ110&amp;"初始",$S$3:$AE$63,MATCH(BN$3,$S$3:$AE$3,0),FALSE))*$BL110/VLOOKUP(VLOOKUP($BJ110,坦克个性化设定!$B$18:$E$48,4,FALSE)&amp;$BK110,坦克属性分配比例,MATCH("升星次数",坦克属性分配比例标头,0),FALSE)*VLOOKUP(VLOOKUP($BJ110,坦克个性化设定!$B$18:$E$48,4,FALSE)&amp;$BK110,坦克属性分配比例,MATCH("升星比例",坦克属性分配比例标头,0),FALSE),0)</f>
        <v>138</v>
      </c>
      <c r="BO110" s="103">
        <f ca="1">ROUND(VLOOKUP($BJ110&amp;"初始",$S$3:$AE$63,MATCH(BO$3,$S$3:$AE$3,0),FALSE)+(VLOOKUP($BJ110&amp;"最终",$S$3:$AE$63,MATCH(BO$3,$S$3:$AE$3,0),FALSE)-VLOOKUP($BJ110&amp;"初始",$S$3:$AE$63,MATCH(BO$3,$S$3:$AE$3,0),FALSE))*$BL110/VLOOKUP(VLOOKUP($BJ110,坦克个性化设定!$B$18:$E$48,4,FALSE)&amp;$BK110,坦克属性分配比例,MATCH("升星次数",坦克属性分配比例标头,0),FALSE)*(VLOOKUP(VLOOKUP($BJ110,坦克个性化设定!$B$18:$E$48,4,FALSE)&amp;$BK110,坦克属性分配比例,MATCH("升星比例",坦克属性分配比例标头,0),FALSE)+VLOOKUP(VLOOKUP($BJ110,坦克个性化设定!$B$18:$E$48,4,FALSE)&amp;$BK110,坦克属性分配比例,MATCH("部件比例",坦克属性分配比例标头,0),FALSE)*$C$3),0)</f>
        <v>398</v>
      </c>
      <c r="BP110" s="103">
        <f ca="1">ROUND(VLOOKUP($BJ110&amp;"初始",$S$3:$AE$63,MATCH(BP$3,$S$3:$AE$3,0),FALSE)+(VLOOKUP($BJ110&amp;"最终",$S$3:$AE$63,MATCH(BP$3,$S$3:$AE$3,0),FALSE)-VLOOKUP($BJ110&amp;"初始",$S$3:$AE$63,MATCH(BP$3,$S$3:$AE$3,0),FALSE))*$BL110/VLOOKUP(VLOOKUP($BJ110,坦克个性化设定!$B$18:$E$48,4,FALSE)&amp;$BK110,坦克属性分配比例,MATCH("升星次数",坦克属性分配比例标头,0),FALSE)*(VLOOKUP(VLOOKUP($BJ110,坦克个性化设定!$B$18:$E$48,4,FALSE)&amp;$BK110,坦克属性分配比例,MATCH("升星比例",坦克属性分配比例标头,0),FALSE)+VLOOKUP(VLOOKUP($BJ110,坦克个性化设定!$B$18:$E$48,4,FALSE)&amp;$BK110,坦克属性分配比例,MATCH("部件比例",坦克属性分配比例标头,0),FALSE)*$C$3),0)</f>
        <v>298</v>
      </c>
      <c r="BQ110" s="103">
        <f ca="1">ROUND(VLOOKUP($BJ110&amp;"初始",$S$3:$AE$63,MATCH(BQ$3,$S$3:$AE$3,0),FALSE)+(VLOOKUP($BJ110&amp;"最终",$S$3:$AE$63,MATCH(BQ$3,$S$3:$AE$3,0),FALSE)-VLOOKUP($BJ110&amp;"初始",$S$3:$AE$63,MATCH(BQ$3,$S$3:$AE$3,0),FALSE))*$BL110/VLOOKUP(VLOOKUP($BJ110,坦克个性化设定!$B$18:$E$48,4,FALSE)&amp;$BK110,坦克属性分配比例,MATCH("升星次数",坦克属性分配比例标头,0),FALSE)*VLOOKUP(VLOOKUP($BJ110,坦克个性化设定!$B$18:$E$48,4,FALSE)&amp;$BK110,坦克属性分配比例,MATCH("升星比例",坦克属性分配比例标头,0),FALSE),0)</f>
        <v>420</v>
      </c>
      <c r="BR110" s="2">
        <f ca="1">ROUND(VLOOKUP($BJ110&amp;"初始",$S$3:$AE$63,MATCH(BR$3,$S$3:$AE$3,0),FALSE)+(VLOOKUP($BJ110&amp;"最终",$S$3:$AE$63,MATCH(BR$3,$S$3:$AE$3,0),FALSE)-VLOOKUP($BJ110&amp;"初始",$S$3:$AE$63,MATCH(BR$3,$S$3:$AE$3,0),FALSE))*$BL110/VLOOKUP(VLOOKUP($BJ110,坦克个性化设定!$B$18:$E$48,4,FALSE)&amp;$BK110,坦克属性分配比例,MATCH("升星次数",坦克属性分配比例标头,0),FALSE),0)</f>
        <v>107</v>
      </c>
      <c r="BS110" s="2">
        <f>ROUND(VLOOKUP($BJ110,$AI$3:$AO$33,MATCH(BS$3,$AI$3:$AO$3,0),FALSE)+$BL110/VLOOKUP(VLOOKUP($BJ110,坦克个性化设定!$B$18:$E$48,4,FALSE)&amp;$BK110,坦克属性分配比例,MATCH("升星次数",坦克属性分配比例标头,0),FALSE)*VLOOKUP($BJ110,$AR$3:$AY$33,MATCH(BS$3,$AR$3:$AY$3,0),FALSE),1)</f>
        <v>53.4</v>
      </c>
      <c r="BT110" s="2">
        <f>ROUND(VLOOKUP($BJ110,$AI$3:$AO$33,MATCH(BT$3,$AI$3:$AO$3,0),FALSE)+$BL110/VLOOKUP(VLOOKUP($BJ110,坦克个性化设定!$B$18:$E$48,4,FALSE)&amp;$BK110,坦克属性分配比例,MATCH("升星次数",坦克属性分配比例标头,0),FALSE)*VLOOKUP($BJ110,$AR$3:$AY$33,MATCH(BT$3,$AR$3:$AY$3,0),FALSE),1)</f>
        <v>48</v>
      </c>
      <c r="BU110" s="2">
        <f>ROUND(VLOOKUP($BJ110,$AI$3:$AO$33,MATCH(BU$3,$AI$3:$AO$3,0),FALSE)+$BL110/VLOOKUP(VLOOKUP($BJ110,坦克个性化设定!$B$18:$E$48,4,FALSE)&amp;$BK110,坦克属性分配比例,MATCH("升星次数",坦克属性分配比例标头,0),FALSE)*VLOOKUP($BJ110,$AR$3:$AY$33,MATCH(BU$3,$AR$3:$AY$3,0),FALSE),1)</f>
        <v>8</v>
      </c>
      <c r="BV110" s="2">
        <f>IF(VLOOKUP(BJ110,坦克个性化设定!$B$18:$BC$48,MATCH("装弹类型",坦克个性化设定!$B$18:$BC$18,0),FALSE)="弹夹换弹",0,ROUND(VLOOKUP($BJ110,$AI$3:$AO$33,MATCH("换弹时间",$AI$3:$AO$3,0),FALSE)-$BL110/VLOOKUP(VLOOKUP($BJ110,坦克个性化设定!$B$18:$E$48,4,FALSE)&amp;$BK110,坦克属性分配比例,MATCH("升星次数",坦克属性分配比例标头,0),FALSE)*VLOOKUP($BJ110,$AR$3:$AY$33,MATCH("换弹时间",$AR$3:$AY$3,0),FALSE),2))</f>
        <v>0</v>
      </c>
      <c r="BW110" s="2">
        <f>IF(VLOOKUP(BJ110,坦克个性化设定!$B$18:$BC$48,MATCH("装弹类型",坦克个性化设定!$B$18:$BC$18,0),FALSE)="弹夹换弹",ROUND(VLOOKUP($BJ110,$AI$3:$AO$33,MATCH("换弹时间",$AI$3:$AO$3,0),FALSE)-$BL110/VLOOKUP(VLOOKUP($BJ110,坦克个性化设定!$B$18:$E$48,4,FALSE)&amp;$BK110,坦克属性分配比例,MATCH("升星次数",坦克属性分配比例标头,0),FALSE)*VLOOKUP($BJ110,$AR$3:$AY$33,MATCH("换弹时间",$AR$3:$AY$3,0),FALSE),1),0)</f>
        <v>2.7</v>
      </c>
      <c r="BX110" s="2">
        <f>ROUND(VLOOKUP($BJ110,$AI$3:$AO$33,MATCH(BX$3,$AI$3:$AO$3,0),FALSE)+$BL110/VLOOKUP(VLOOKUP($BJ110,坦克个性化设定!$B$18:$E$48,4,FALSE)&amp;$BK110,坦克属性分配比例,MATCH("升星次数",坦克属性分配比例标头,0),FALSE)*VLOOKUP($BJ110,$AR$3:$AY$33,MATCH(BX$3,$AR$3:$AY$3,0),FALSE),2)</f>
        <v>0.3</v>
      </c>
      <c r="BY110" s="2">
        <f>ROUND(VLOOKUP($BJ110,$AI$3:$AO$33,MATCH(BY$3,$AI$3:$AO$3,0),FALSE)-$BL110/VLOOKUP(VLOOKUP($BJ110,坦克个性化设定!$B$18:$E$48,4,FALSE)&amp;$BK110,坦克属性分配比例,MATCH("升星次数",坦克属性分配比例标头,0),FALSE)*VLOOKUP($BJ110,$AR$3:$AY$33,MATCH(BY$3,$AR$3:$AY$3,0),FALSE),2)</f>
        <v>0.87</v>
      </c>
    </row>
    <row r="111" spans="60:77" x14ac:dyDescent="0.3">
      <c r="BH111" s="2" t="str">
        <f t="shared" si="24"/>
        <v>Stuart5</v>
      </c>
      <c r="BI111" s="2">
        <f>IF(BL110&gt;=VLOOKUP(VLOOKUP(BJ110,坦克个性化设定!$B$18:$E$48,4,FALSE)&amp;BK110,坦克属性分配比例,MATCH("升星次数",坦克属性分配比例标头,0),FALSE),BI110+1,BI110)</f>
        <v>11</v>
      </c>
      <c r="BJ111" s="2" t="str">
        <f t="shared" si="25"/>
        <v>Stuart</v>
      </c>
      <c r="BK111" s="29" t="str">
        <f>VLOOKUP(BJ111,坦克个性化细分!$I$3:$J$33,2,FALSE)</f>
        <v>低</v>
      </c>
      <c r="BL111" s="2">
        <f t="shared" si="23"/>
        <v>5</v>
      </c>
      <c r="BM111" s="103">
        <f ca="1">ROUND(VLOOKUP($BJ111&amp;"初始",$S$3:$AE$63,MATCH(BM$3,$S$3:$AE$3,0),FALSE)+((VLOOKUP($BJ111&amp;"最终",$S$3:$AE$63,MATCH(BM$3,$S$3:$AE$3,0),FALSE)*坦克个性化细分!$C$9-VLOOKUP($BJ111&amp;"初始",$S$3:$AE$63,MATCH(BM$3,$S$3:$AE$3,0),FALSE))-(VLOOKUP($BJ111&amp;"最终",$S$3:$AE$63,MATCH(BM$3,$S$3:$AE$3,0),FALSE)-VLOOKUP($BJ111&amp;"初始",$S$3:$AE$63,MATCH(BM$3,$S$3:$AE$3,0),FALSE))*VLOOKUP(VLOOKUP($BJ111,坦克个性化设定!$B$18:$E$48,4,FALSE)&amp;$BK111,坦克属性分配比例,MATCH("部件比例",坦克属性分配比例标头,0),FALSE))*$BL111/VLOOKUP(VLOOKUP($BJ111,坦克个性化设定!$B$18:$E$48,4,FALSE)&amp;$BK111,坦克属性分配比例,MATCH("升星次数",坦克属性分配比例标头,0),FALSE),0)</f>
        <v>993</v>
      </c>
      <c r="BN111" s="103">
        <f ca="1">ROUND(VLOOKUP($BJ111&amp;"初始",$S$3:$AE$63,MATCH(BN$3,$S$3:$AE$3,0),FALSE)+(VLOOKUP($BJ111&amp;"最终",$S$3:$AE$63,MATCH(BN$3,$S$3:$AE$3,0),FALSE)-VLOOKUP($BJ111&amp;"初始",$S$3:$AE$63,MATCH(BN$3,$S$3:$AE$3,0),FALSE))*$BL111/VLOOKUP(VLOOKUP($BJ111,坦克个性化设定!$B$18:$E$48,4,FALSE)&amp;$BK111,坦克属性分配比例,MATCH("升星次数",坦克属性分配比例标头,0),FALSE)*VLOOKUP(VLOOKUP($BJ111,坦克个性化设定!$B$18:$E$48,4,FALSE)&amp;$BK111,坦克属性分配比例,MATCH("升星比例",坦克属性分配比例标头,0),FALSE),0)</f>
        <v>143</v>
      </c>
      <c r="BO111" s="103">
        <f ca="1">ROUND(VLOOKUP($BJ111&amp;"初始",$S$3:$AE$63,MATCH(BO$3,$S$3:$AE$3,0),FALSE)+(VLOOKUP($BJ111&amp;"最终",$S$3:$AE$63,MATCH(BO$3,$S$3:$AE$3,0),FALSE)-VLOOKUP($BJ111&amp;"初始",$S$3:$AE$63,MATCH(BO$3,$S$3:$AE$3,0),FALSE))*$BL111/VLOOKUP(VLOOKUP($BJ111,坦克个性化设定!$B$18:$E$48,4,FALSE)&amp;$BK111,坦克属性分配比例,MATCH("升星次数",坦克属性分配比例标头,0),FALSE)*(VLOOKUP(VLOOKUP($BJ111,坦克个性化设定!$B$18:$E$48,4,FALSE)&amp;$BK111,坦克属性分配比例,MATCH("升星比例",坦克属性分配比例标头,0),FALSE)+VLOOKUP(VLOOKUP($BJ111,坦克个性化设定!$B$18:$E$48,4,FALSE)&amp;$BK111,坦克属性分配比例,MATCH("部件比例",坦克属性分配比例标头,0),FALSE)*$C$3),0)</f>
        <v>415</v>
      </c>
      <c r="BP111" s="103">
        <f ca="1">ROUND(VLOOKUP($BJ111&amp;"初始",$S$3:$AE$63,MATCH(BP$3,$S$3:$AE$3,0),FALSE)+(VLOOKUP($BJ111&amp;"最终",$S$3:$AE$63,MATCH(BP$3,$S$3:$AE$3,0),FALSE)-VLOOKUP($BJ111&amp;"初始",$S$3:$AE$63,MATCH(BP$3,$S$3:$AE$3,0),FALSE))*$BL111/VLOOKUP(VLOOKUP($BJ111,坦克个性化设定!$B$18:$E$48,4,FALSE)&amp;$BK111,坦克属性分配比例,MATCH("升星次数",坦克属性分配比例标头,0),FALSE)*(VLOOKUP(VLOOKUP($BJ111,坦克个性化设定!$B$18:$E$48,4,FALSE)&amp;$BK111,坦克属性分配比例,MATCH("升星比例",坦克属性分配比例标头,0),FALSE)+VLOOKUP(VLOOKUP($BJ111,坦克个性化设定!$B$18:$E$48,4,FALSE)&amp;$BK111,坦克属性分配比例,MATCH("部件比例",坦克属性分配比例标头,0),FALSE)*$C$3),0)</f>
        <v>311</v>
      </c>
      <c r="BQ111" s="103">
        <f ca="1">ROUND(VLOOKUP($BJ111&amp;"初始",$S$3:$AE$63,MATCH(BQ$3,$S$3:$AE$3,0),FALSE)+(VLOOKUP($BJ111&amp;"最终",$S$3:$AE$63,MATCH(BQ$3,$S$3:$AE$3,0),FALSE)-VLOOKUP($BJ111&amp;"初始",$S$3:$AE$63,MATCH(BQ$3,$S$3:$AE$3,0),FALSE))*$BL111/VLOOKUP(VLOOKUP($BJ111,坦克个性化设定!$B$18:$E$48,4,FALSE)&amp;$BK111,坦克属性分配比例,MATCH("升星次数",坦克属性分配比例标头,0),FALSE)*VLOOKUP(VLOOKUP($BJ111,坦克个性化设定!$B$18:$E$48,4,FALSE)&amp;$BK111,坦克属性分配比例,MATCH("升星比例",坦克属性分配比例标头,0),FALSE),0)</f>
        <v>436</v>
      </c>
      <c r="BR111" s="2">
        <f ca="1">ROUND(VLOOKUP($BJ111&amp;"初始",$S$3:$AE$63,MATCH(BR$3,$S$3:$AE$3,0),FALSE)+(VLOOKUP($BJ111&amp;"最终",$S$3:$AE$63,MATCH(BR$3,$S$3:$AE$3,0),FALSE)-VLOOKUP($BJ111&amp;"初始",$S$3:$AE$63,MATCH(BR$3,$S$3:$AE$3,0),FALSE))*$BL111/VLOOKUP(VLOOKUP($BJ111,坦克个性化设定!$B$18:$E$48,4,FALSE)&amp;$BK111,坦克属性分配比例,MATCH("升星次数",坦克属性分配比例标头,0),FALSE),0)</f>
        <v>112</v>
      </c>
      <c r="BS111" s="2">
        <f>ROUND(VLOOKUP($BJ111,$AI$3:$AO$33,MATCH(BS$3,$AI$3:$AO$3,0),FALSE)+$BL111/VLOOKUP(VLOOKUP($BJ111,坦克个性化设定!$B$18:$E$48,4,FALSE)&amp;$BK111,坦克属性分配比例,MATCH("升星次数",坦克属性分配比例标头,0),FALSE)*VLOOKUP($BJ111,$AR$3:$AY$33,MATCH(BS$3,$AR$3:$AY$3,0),FALSE),1)</f>
        <v>55.6</v>
      </c>
      <c r="BT111" s="2">
        <f>ROUND(VLOOKUP($BJ111,$AI$3:$AO$33,MATCH(BT$3,$AI$3:$AO$3,0),FALSE)+$BL111/VLOOKUP(VLOOKUP($BJ111,坦克个性化设定!$B$18:$E$48,4,FALSE)&amp;$BK111,坦克属性分配比例,MATCH("升星次数",坦克属性分配比例标头,0),FALSE)*VLOOKUP($BJ111,$AR$3:$AY$33,MATCH(BT$3,$AR$3:$AY$3,0),FALSE),1)</f>
        <v>50</v>
      </c>
      <c r="BU111" s="2">
        <f>ROUND(VLOOKUP($BJ111,$AI$3:$AO$33,MATCH(BU$3,$AI$3:$AO$3,0),FALSE)+$BL111/VLOOKUP(VLOOKUP($BJ111,坦克个性化设定!$B$18:$E$48,4,FALSE)&amp;$BK111,坦克属性分配比例,MATCH("升星次数",坦克属性分配比例标头,0),FALSE)*VLOOKUP($BJ111,$AR$3:$AY$33,MATCH(BU$3,$AR$3:$AY$3,0),FALSE),1)</f>
        <v>8</v>
      </c>
      <c r="BV111" s="2">
        <f>IF(VLOOKUP(BJ111,坦克个性化设定!$B$18:$BC$48,MATCH("装弹类型",坦克个性化设定!$B$18:$BC$18,0),FALSE)="弹夹换弹",0,ROUND(VLOOKUP($BJ111,$AI$3:$AO$33,MATCH("换弹时间",$AI$3:$AO$3,0),FALSE)-$BL111/VLOOKUP(VLOOKUP($BJ111,坦克个性化设定!$B$18:$E$48,4,FALSE)&amp;$BK111,坦克属性分配比例,MATCH("升星次数",坦克属性分配比例标头,0),FALSE)*VLOOKUP($BJ111,$AR$3:$AY$33,MATCH("换弹时间",$AR$3:$AY$3,0),FALSE),2))</f>
        <v>0</v>
      </c>
      <c r="BW111" s="2">
        <f>IF(VLOOKUP(BJ111,坦克个性化设定!$B$18:$BC$48,MATCH("装弹类型",坦克个性化设定!$B$18:$BC$18,0),FALSE)="弹夹换弹",ROUND(VLOOKUP($BJ111,$AI$3:$AO$33,MATCH("换弹时间",$AI$3:$AO$3,0),FALSE)-$BL111/VLOOKUP(VLOOKUP($BJ111,坦克个性化设定!$B$18:$E$48,4,FALSE)&amp;$BK111,坦克属性分配比例,MATCH("升星次数",坦克属性分配比例标头,0),FALSE)*VLOOKUP($BJ111,$AR$3:$AY$33,MATCH("换弹时间",$AR$3:$AY$3,0),FALSE),1),0)</f>
        <v>2.6</v>
      </c>
      <c r="BX111" s="2">
        <f>ROUND(VLOOKUP($BJ111,$AI$3:$AO$33,MATCH(BX$3,$AI$3:$AO$3,0),FALSE)+$BL111/VLOOKUP(VLOOKUP($BJ111,坦克个性化设定!$B$18:$E$48,4,FALSE)&amp;$BK111,坦克属性分配比例,MATCH("升星次数",坦克属性分配比例标头,0),FALSE)*VLOOKUP($BJ111,$AR$3:$AY$33,MATCH(BX$3,$AR$3:$AY$3,0),FALSE),2)</f>
        <v>0.3</v>
      </c>
      <c r="BY111" s="2">
        <f>ROUND(VLOOKUP($BJ111,$AI$3:$AO$33,MATCH(BY$3,$AI$3:$AO$3,0),FALSE)-$BL111/VLOOKUP(VLOOKUP($BJ111,坦克个性化设定!$B$18:$E$48,4,FALSE)&amp;$BK111,坦克属性分配比例,MATCH("升星次数",坦克属性分配比例标头,0),FALSE)*VLOOKUP($BJ111,$AR$3:$AY$33,MATCH(BY$3,$AR$3:$AY$3,0),FALSE),2)</f>
        <v>0.83</v>
      </c>
    </row>
    <row r="112" spans="60:77" x14ac:dyDescent="0.3">
      <c r="BH112" s="2" t="str">
        <f t="shared" si="24"/>
        <v>T-340</v>
      </c>
      <c r="BI112" s="2">
        <f>IF(BL111&gt;=VLOOKUP(VLOOKUP(BJ111,坦克个性化设定!$B$18:$E$48,4,FALSE)&amp;BK111,坦克属性分配比例,MATCH("升星次数",坦克属性分配比例标头,0),FALSE),BI111+1,BI111)</f>
        <v>12</v>
      </c>
      <c r="BJ112" s="2" t="str">
        <f t="shared" si="25"/>
        <v>T-34</v>
      </c>
      <c r="BK112" s="29" t="str">
        <f>VLOOKUP(BJ112,坦克个性化细分!$I$3:$J$33,2,FALSE)</f>
        <v>低</v>
      </c>
      <c r="BL112" s="2">
        <f t="shared" si="23"/>
        <v>0</v>
      </c>
      <c r="BM112" s="103">
        <f ca="1">ROUND(VLOOKUP($BJ112&amp;"初始",$S$3:$AE$63,MATCH(BM$3,$S$3:$AE$3,0),FALSE)+((VLOOKUP($BJ112&amp;"最终",$S$3:$AE$63,MATCH(BM$3,$S$3:$AE$3,0),FALSE)*坦克个性化细分!$C$9-VLOOKUP($BJ112&amp;"初始",$S$3:$AE$63,MATCH(BM$3,$S$3:$AE$3,0),FALSE))-(VLOOKUP($BJ112&amp;"最终",$S$3:$AE$63,MATCH(BM$3,$S$3:$AE$3,0),FALSE)-VLOOKUP($BJ112&amp;"初始",$S$3:$AE$63,MATCH(BM$3,$S$3:$AE$3,0),FALSE))*VLOOKUP(VLOOKUP($BJ112,坦克个性化设定!$B$18:$E$48,4,FALSE)&amp;$BK112,坦克属性分配比例,MATCH("部件比例",坦克属性分配比例标头,0),FALSE))*$BL112/VLOOKUP(VLOOKUP($BJ112,坦克个性化设定!$B$18:$E$48,4,FALSE)&amp;$BK112,坦克属性分配比例,MATCH("升星次数",坦克属性分配比例标头,0),FALSE),0)</f>
        <v>945</v>
      </c>
      <c r="BN112" s="103">
        <f ca="1">ROUND(VLOOKUP($BJ112&amp;"初始",$S$3:$AE$63,MATCH(BN$3,$S$3:$AE$3,0),FALSE)+(VLOOKUP($BJ112&amp;"最终",$S$3:$AE$63,MATCH(BN$3,$S$3:$AE$3,0),FALSE)-VLOOKUP($BJ112&amp;"初始",$S$3:$AE$63,MATCH(BN$3,$S$3:$AE$3,0),FALSE))*$BL112/VLOOKUP(VLOOKUP($BJ112,坦克个性化设定!$B$18:$E$48,4,FALSE)&amp;$BK112,坦克属性分配比例,MATCH("升星次数",坦克属性分配比例标头,0),FALSE)*VLOOKUP(VLOOKUP($BJ112,坦克个性化设定!$B$18:$E$48,4,FALSE)&amp;$BK112,坦克属性分配比例,MATCH("升星比例",坦克属性分配比例标头,0),FALSE),0)</f>
        <v>132</v>
      </c>
      <c r="BO112" s="103">
        <f ca="1">ROUND(VLOOKUP($BJ112&amp;"初始",$S$3:$AE$63,MATCH(BO$3,$S$3:$AE$3,0),FALSE)+(VLOOKUP($BJ112&amp;"最终",$S$3:$AE$63,MATCH(BO$3,$S$3:$AE$3,0),FALSE)-VLOOKUP($BJ112&amp;"初始",$S$3:$AE$63,MATCH(BO$3,$S$3:$AE$3,0),FALSE))*$BL112/VLOOKUP(VLOOKUP($BJ112,坦克个性化设定!$B$18:$E$48,4,FALSE)&amp;$BK112,坦克属性分配比例,MATCH("升星次数",坦克属性分配比例标头,0),FALSE)*(VLOOKUP(VLOOKUP($BJ112,坦克个性化设定!$B$18:$E$48,4,FALSE)&amp;$BK112,坦克属性分配比例,MATCH("升星比例",坦克属性分配比例标头,0),FALSE)+VLOOKUP(VLOOKUP($BJ112,坦克个性化设定!$B$18:$E$48,4,FALSE)&amp;$BK112,坦克属性分配比例,MATCH("部件比例",坦克属性分配比例标头,0),FALSE)*$C$3),0)</f>
        <v>394</v>
      </c>
      <c r="BP112" s="103">
        <f ca="1">ROUND(VLOOKUP($BJ112&amp;"初始",$S$3:$AE$63,MATCH(BP$3,$S$3:$AE$3,0),FALSE)+(VLOOKUP($BJ112&amp;"最终",$S$3:$AE$63,MATCH(BP$3,$S$3:$AE$3,0),FALSE)-VLOOKUP($BJ112&amp;"初始",$S$3:$AE$63,MATCH(BP$3,$S$3:$AE$3,0),FALSE))*$BL112/VLOOKUP(VLOOKUP($BJ112,坦克个性化设定!$B$18:$E$48,4,FALSE)&amp;$BK112,坦克属性分配比例,MATCH("升星次数",坦克属性分配比例标头,0),FALSE)*(VLOOKUP(VLOOKUP($BJ112,坦克个性化设定!$B$18:$E$48,4,FALSE)&amp;$BK112,坦克属性分配比例,MATCH("升星比例",坦克属性分配比例标头,0),FALSE)+VLOOKUP(VLOOKUP($BJ112,坦克个性化设定!$B$18:$E$48,4,FALSE)&amp;$BK112,坦克属性分配比例,MATCH("部件比例",坦克属性分配比例标头,0),FALSE)*$C$3),0)</f>
        <v>296</v>
      </c>
      <c r="BQ112" s="103">
        <f ca="1">ROUND(VLOOKUP($BJ112&amp;"初始",$S$3:$AE$63,MATCH(BQ$3,$S$3:$AE$3,0),FALSE)+(VLOOKUP($BJ112&amp;"最终",$S$3:$AE$63,MATCH(BQ$3,$S$3:$AE$3,0),FALSE)-VLOOKUP($BJ112&amp;"初始",$S$3:$AE$63,MATCH(BQ$3,$S$3:$AE$3,0),FALSE))*$BL112/VLOOKUP(VLOOKUP($BJ112,坦克个性化设定!$B$18:$E$48,4,FALSE)&amp;$BK112,坦克属性分配比例,MATCH("升星次数",坦克属性分配比例标头,0),FALSE)*VLOOKUP(VLOOKUP($BJ112,坦克个性化设定!$B$18:$E$48,4,FALSE)&amp;$BK112,坦克属性分配比例,MATCH("升星比例",坦克属性分配比例标头,0),FALSE),0)</f>
        <v>432</v>
      </c>
      <c r="BR112" s="2">
        <f ca="1">ROUND(VLOOKUP($BJ112&amp;"初始",$S$3:$AE$63,MATCH(BR$3,$S$3:$AE$3,0),FALSE)+(VLOOKUP($BJ112&amp;"最终",$S$3:$AE$63,MATCH(BR$3,$S$3:$AE$3,0),FALSE)-VLOOKUP($BJ112&amp;"初始",$S$3:$AE$63,MATCH(BR$3,$S$3:$AE$3,0),FALSE))*$BL112/VLOOKUP(VLOOKUP($BJ112,坦克个性化设定!$B$18:$E$48,4,FALSE)&amp;$BK112,坦克属性分配比例,MATCH("升星次数",坦克属性分配比例标头,0),FALSE),0)</f>
        <v>104</v>
      </c>
      <c r="BS112" s="2">
        <f>ROUND(VLOOKUP($BJ112,$AI$3:$AO$33,MATCH(BS$3,$AI$3:$AO$3,0),FALSE)+$BL112/VLOOKUP(VLOOKUP($BJ112,坦克个性化设定!$B$18:$E$48,4,FALSE)&amp;$BK112,坦克属性分配比例,MATCH("升星次数",坦克属性分配比例标头,0),FALSE)*VLOOKUP($BJ112,$AR$3:$AY$33,MATCH(BS$3,$AR$3:$AY$3,0),FALSE),1)</f>
        <v>44.5</v>
      </c>
      <c r="BT112" s="2">
        <f>ROUND(VLOOKUP($BJ112,$AI$3:$AO$33,MATCH(BT$3,$AI$3:$AO$3,0),FALSE)+$BL112/VLOOKUP(VLOOKUP($BJ112,坦克个性化设定!$B$18:$E$48,4,FALSE)&amp;$BK112,坦克属性分配比例,MATCH("升星次数",坦克属性分配比例标头,0),FALSE)*VLOOKUP($BJ112,$AR$3:$AY$33,MATCH(BT$3,$AR$3:$AY$3,0),FALSE),1)</f>
        <v>40</v>
      </c>
      <c r="BU112" s="2">
        <f>ROUND(VLOOKUP($BJ112,$AI$3:$AO$33,MATCH(BU$3,$AI$3:$AO$3,0),FALSE)+$BL112/VLOOKUP(VLOOKUP($BJ112,坦克个性化设定!$B$18:$E$48,4,FALSE)&amp;$BK112,坦克属性分配比例,MATCH("升星次数",坦克属性分配比例标头,0),FALSE)*VLOOKUP($BJ112,$AR$3:$AY$33,MATCH(BU$3,$AR$3:$AY$3,0),FALSE),1)</f>
        <v>8</v>
      </c>
      <c r="BV112" s="2">
        <f>IF(VLOOKUP(BJ112,坦克个性化设定!$B$18:$BC$48,MATCH("装弹类型",坦克个性化设定!$B$18:$BC$18,0),FALSE)="弹夹换弹",0,ROUND(VLOOKUP($BJ112,$AI$3:$AO$33,MATCH("换弹时间",$AI$3:$AO$3,0),FALSE)-$BL112/VLOOKUP(VLOOKUP($BJ112,坦克个性化设定!$B$18:$E$48,4,FALSE)&amp;$BK112,坦克属性分配比例,MATCH("升星次数",坦克属性分配比例标头,0),FALSE)*VLOOKUP($BJ112,$AR$3:$AY$33,MATCH("换弹时间",$AR$3:$AY$3,0),FALSE),2))</f>
        <v>0</v>
      </c>
      <c r="BW112" s="2">
        <f>IF(VLOOKUP(BJ112,坦克个性化设定!$B$18:$BC$48,MATCH("装弹类型",坦克个性化设定!$B$18:$BC$18,0),FALSE)="弹夹换弹",ROUND(VLOOKUP($BJ112,$AI$3:$AO$33,MATCH("换弹时间",$AI$3:$AO$3,0),FALSE)-$BL112/VLOOKUP(VLOOKUP($BJ112,坦克个性化设定!$B$18:$E$48,4,FALSE)&amp;$BK112,坦克属性分配比例,MATCH("升星次数",坦克属性分配比例标头,0),FALSE)*VLOOKUP($BJ112,$AR$3:$AY$33,MATCH("换弹时间",$AR$3:$AY$3,0),FALSE),1),0)</f>
        <v>3.2</v>
      </c>
      <c r="BX112" s="2">
        <f>ROUND(VLOOKUP($BJ112,$AI$3:$AO$33,MATCH(BX$3,$AI$3:$AO$3,0),FALSE)+$BL112/VLOOKUP(VLOOKUP($BJ112,坦克个性化设定!$B$18:$E$48,4,FALSE)&amp;$BK112,坦克属性分配比例,MATCH("升星次数",坦克属性分配比例标头,0),FALSE)*VLOOKUP($BJ112,$AR$3:$AY$33,MATCH(BX$3,$AR$3:$AY$3,0),FALSE),2)</f>
        <v>0.32</v>
      </c>
      <c r="BY112" s="2">
        <f>ROUND(VLOOKUP($BJ112,$AI$3:$AO$33,MATCH(BY$3,$AI$3:$AO$3,0),FALSE)-$BL112/VLOOKUP(VLOOKUP($BJ112,坦克个性化设定!$B$18:$E$48,4,FALSE)&amp;$BK112,坦克属性分配比例,MATCH("升星次数",坦克属性分配比例标头,0),FALSE)*VLOOKUP($BJ112,$AR$3:$AY$33,MATCH(BY$3,$AR$3:$AY$3,0),FALSE),2)</f>
        <v>1.01</v>
      </c>
    </row>
    <row r="113" spans="60:77" x14ac:dyDescent="0.3">
      <c r="BH113" s="2" t="str">
        <f t="shared" si="24"/>
        <v>T-341</v>
      </c>
      <c r="BI113" s="2">
        <f>IF(BL112&gt;=VLOOKUP(VLOOKUP(BJ112,坦克个性化设定!$B$18:$E$48,4,FALSE)&amp;BK112,坦克属性分配比例,MATCH("升星次数",坦克属性分配比例标头,0),FALSE),BI112+1,BI112)</f>
        <v>12</v>
      </c>
      <c r="BJ113" s="2" t="str">
        <f t="shared" si="25"/>
        <v>T-34</v>
      </c>
      <c r="BK113" s="29" t="str">
        <f>VLOOKUP(BJ113,坦克个性化细分!$I$3:$J$33,2,FALSE)</f>
        <v>低</v>
      </c>
      <c r="BL113" s="2">
        <f t="shared" si="23"/>
        <v>1</v>
      </c>
      <c r="BM113" s="103">
        <f ca="1">ROUND(VLOOKUP($BJ113&amp;"初始",$S$3:$AE$63,MATCH(BM$3,$S$3:$AE$3,0),FALSE)+((VLOOKUP($BJ113&amp;"最终",$S$3:$AE$63,MATCH(BM$3,$S$3:$AE$3,0),FALSE)*坦克个性化细分!$C$9-VLOOKUP($BJ113&amp;"初始",$S$3:$AE$63,MATCH(BM$3,$S$3:$AE$3,0),FALSE))-(VLOOKUP($BJ113&amp;"最终",$S$3:$AE$63,MATCH(BM$3,$S$3:$AE$3,0),FALSE)-VLOOKUP($BJ113&amp;"初始",$S$3:$AE$63,MATCH(BM$3,$S$3:$AE$3,0),FALSE))*VLOOKUP(VLOOKUP($BJ113,坦克个性化设定!$B$18:$E$48,4,FALSE)&amp;$BK113,坦克属性分配比例,MATCH("部件比例",坦克属性分配比例标头,0),FALSE))*$BL113/VLOOKUP(VLOOKUP($BJ113,坦克个性化设定!$B$18:$E$48,4,FALSE)&amp;$BK113,坦克属性分配比例,MATCH("升星次数",坦克属性分配比例标头,0),FALSE),0)</f>
        <v>1007</v>
      </c>
      <c r="BN113" s="103">
        <f ca="1">ROUND(VLOOKUP($BJ113&amp;"初始",$S$3:$AE$63,MATCH(BN$3,$S$3:$AE$3,0),FALSE)+(VLOOKUP($BJ113&amp;"最终",$S$3:$AE$63,MATCH(BN$3,$S$3:$AE$3,0),FALSE)-VLOOKUP($BJ113&amp;"初始",$S$3:$AE$63,MATCH(BN$3,$S$3:$AE$3,0),FALSE))*$BL113/VLOOKUP(VLOOKUP($BJ113,坦克个性化设定!$B$18:$E$48,4,FALSE)&amp;$BK113,坦克属性分配比例,MATCH("升星次数",坦克属性分配比例标头,0),FALSE)*VLOOKUP(VLOOKUP($BJ113,坦克个性化设定!$B$18:$E$48,4,FALSE)&amp;$BK113,坦克属性分配比例,MATCH("升星比例",坦克属性分配比例标头,0),FALSE),0)</f>
        <v>137</v>
      </c>
      <c r="BO113" s="103">
        <f ca="1">ROUND(VLOOKUP($BJ113&amp;"初始",$S$3:$AE$63,MATCH(BO$3,$S$3:$AE$3,0),FALSE)+(VLOOKUP($BJ113&amp;"最终",$S$3:$AE$63,MATCH(BO$3,$S$3:$AE$3,0),FALSE)-VLOOKUP($BJ113&amp;"初始",$S$3:$AE$63,MATCH(BO$3,$S$3:$AE$3,0),FALSE))*$BL113/VLOOKUP(VLOOKUP($BJ113,坦克个性化设定!$B$18:$E$48,4,FALSE)&amp;$BK113,坦克属性分配比例,MATCH("升星次数",坦克属性分配比例标头,0),FALSE)*(VLOOKUP(VLOOKUP($BJ113,坦克个性化设定!$B$18:$E$48,4,FALSE)&amp;$BK113,坦克属性分配比例,MATCH("升星比例",坦克属性分配比例标头,0),FALSE)+VLOOKUP(VLOOKUP($BJ113,坦克个性化设定!$B$18:$E$48,4,FALSE)&amp;$BK113,坦克属性分配比例,MATCH("部件比例",坦克属性分配比例标头,0),FALSE)*$C$3),0)</f>
        <v>414</v>
      </c>
      <c r="BP113" s="103">
        <f ca="1">ROUND(VLOOKUP($BJ113&amp;"初始",$S$3:$AE$63,MATCH(BP$3,$S$3:$AE$3,0),FALSE)+(VLOOKUP($BJ113&amp;"最终",$S$3:$AE$63,MATCH(BP$3,$S$3:$AE$3,0),FALSE)-VLOOKUP($BJ113&amp;"初始",$S$3:$AE$63,MATCH(BP$3,$S$3:$AE$3,0),FALSE))*$BL113/VLOOKUP(VLOOKUP($BJ113,坦克个性化设定!$B$18:$E$48,4,FALSE)&amp;$BK113,坦克属性分配比例,MATCH("升星次数",坦克属性分配比例标头,0),FALSE)*(VLOOKUP(VLOOKUP($BJ113,坦克个性化设定!$B$18:$E$48,4,FALSE)&amp;$BK113,坦克属性分配比例,MATCH("升星比例",坦克属性分配比例标头,0),FALSE)+VLOOKUP(VLOOKUP($BJ113,坦克个性化设定!$B$18:$E$48,4,FALSE)&amp;$BK113,坦克属性分配比例,MATCH("部件比例",坦克属性分配比例标头,0),FALSE)*$C$3),0)</f>
        <v>311</v>
      </c>
      <c r="BQ113" s="103">
        <f ca="1">ROUND(VLOOKUP($BJ113&amp;"初始",$S$3:$AE$63,MATCH(BQ$3,$S$3:$AE$3,0),FALSE)+(VLOOKUP($BJ113&amp;"最终",$S$3:$AE$63,MATCH(BQ$3,$S$3:$AE$3,0),FALSE)-VLOOKUP($BJ113&amp;"初始",$S$3:$AE$63,MATCH(BQ$3,$S$3:$AE$3,0),FALSE))*$BL113/VLOOKUP(VLOOKUP($BJ113,坦克个性化设定!$B$18:$E$48,4,FALSE)&amp;$BK113,坦克属性分配比例,MATCH("升星次数",坦克属性分配比例标头,0),FALSE)*VLOOKUP(VLOOKUP($BJ113,坦克个性化设定!$B$18:$E$48,4,FALSE)&amp;$BK113,坦克属性分配比例,MATCH("升星比例",坦克属性分配比例标头,0),FALSE),0)</f>
        <v>449</v>
      </c>
      <c r="BR113" s="2">
        <f ca="1">ROUND(VLOOKUP($BJ113&amp;"初始",$S$3:$AE$63,MATCH(BR$3,$S$3:$AE$3,0),FALSE)+(VLOOKUP($BJ113&amp;"最终",$S$3:$AE$63,MATCH(BR$3,$S$3:$AE$3,0),FALSE)-VLOOKUP($BJ113&amp;"初始",$S$3:$AE$63,MATCH(BR$3,$S$3:$AE$3,0),FALSE))*$BL113/VLOOKUP(VLOOKUP($BJ113,坦克个性化设定!$B$18:$E$48,4,FALSE)&amp;$BK113,坦克属性分配比例,MATCH("升星次数",坦克属性分配比例标头,0),FALSE),0)</f>
        <v>110</v>
      </c>
      <c r="BS113" s="2">
        <f>ROUND(VLOOKUP($BJ113,$AI$3:$AO$33,MATCH(BS$3,$AI$3:$AO$3,0),FALSE)+$BL113/VLOOKUP(VLOOKUP($BJ113,坦克个性化设定!$B$18:$E$48,4,FALSE)&amp;$BK113,坦克属性分配比例,MATCH("升星次数",坦克属性分配比例标头,0),FALSE)*VLOOKUP($BJ113,$AR$3:$AY$33,MATCH(BS$3,$AR$3:$AY$3,0),FALSE),1)</f>
        <v>46.1</v>
      </c>
      <c r="BT113" s="2">
        <f>ROUND(VLOOKUP($BJ113,$AI$3:$AO$33,MATCH(BT$3,$AI$3:$AO$3,0),FALSE)+$BL113/VLOOKUP(VLOOKUP($BJ113,坦克个性化设定!$B$18:$E$48,4,FALSE)&amp;$BK113,坦克属性分配比例,MATCH("升星次数",坦克属性分配比例标头,0),FALSE)*VLOOKUP($BJ113,$AR$3:$AY$33,MATCH(BT$3,$AR$3:$AY$3,0),FALSE),1)</f>
        <v>41.4</v>
      </c>
      <c r="BU113" s="2">
        <f>ROUND(VLOOKUP($BJ113,$AI$3:$AO$33,MATCH(BU$3,$AI$3:$AO$3,0),FALSE)+$BL113/VLOOKUP(VLOOKUP($BJ113,坦克个性化设定!$B$18:$E$48,4,FALSE)&amp;$BK113,坦克属性分配比例,MATCH("升星次数",坦克属性分配比例标头,0),FALSE)*VLOOKUP($BJ113,$AR$3:$AY$33,MATCH(BU$3,$AR$3:$AY$3,0),FALSE),1)</f>
        <v>8</v>
      </c>
      <c r="BV113" s="2">
        <f>IF(VLOOKUP(BJ113,坦克个性化设定!$B$18:$BC$48,MATCH("装弹类型",坦克个性化设定!$B$18:$BC$18,0),FALSE)="弹夹换弹",0,ROUND(VLOOKUP($BJ113,$AI$3:$AO$33,MATCH("换弹时间",$AI$3:$AO$3,0),FALSE)-$BL113/VLOOKUP(VLOOKUP($BJ113,坦克个性化设定!$B$18:$E$48,4,FALSE)&amp;$BK113,坦克属性分配比例,MATCH("升星次数",坦克属性分配比例标头,0),FALSE)*VLOOKUP($BJ113,$AR$3:$AY$33,MATCH("换弹时间",$AR$3:$AY$3,0),FALSE),2))</f>
        <v>0</v>
      </c>
      <c r="BW113" s="2">
        <f>IF(VLOOKUP(BJ113,坦克个性化设定!$B$18:$BC$48,MATCH("装弹类型",坦克个性化设定!$B$18:$BC$18,0),FALSE)="弹夹换弹",ROUND(VLOOKUP($BJ113,$AI$3:$AO$33,MATCH("换弹时间",$AI$3:$AO$3,0),FALSE)-$BL113/VLOOKUP(VLOOKUP($BJ113,坦克个性化设定!$B$18:$E$48,4,FALSE)&amp;$BK113,坦克属性分配比例,MATCH("升星次数",坦克属性分配比例标头,0),FALSE)*VLOOKUP($BJ113,$AR$3:$AY$33,MATCH("换弹时间",$AR$3:$AY$3,0),FALSE),1),0)</f>
        <v>3.1</v>
      </c>
      <c r="BX113" s="2">
        <f>ROUND(VLOOKUP($BJ113,$AI$3:$AO$33,MATCH(BX$3,$AI$3:$AO$3,0),FALSE)+$BL113/VLOOKUP(VLOOKUP($BJ113,坦克个性化设定!$B$18:$E$48,4,FALSE)&amp;$BK113,坦克属性分配比例,MATCH("升星次数",坦克属性分配比例标头,0),FALSE)*VLOOKUP($BJ113,$AR$3:$AY$33,MATCH(BX$3,$AR$3:$AY$3,0),FALSE),2)</f>
        <v>0.42</v>
      </c>
      <c r="BY113" s="2">
        <f>ROUND(VLOOKUP($BJ113,$AI$3:$AO$33,MATCH(BY$3,$AI$3:$AO$3,0),FALSE)-$BL113/VLOOKUP(VLOOKUP($BJ113,坦克个性化设定!$B$18:$E$48,4,FALSE)&amp;$BK113,坦克属性分配比例,MATCH("升星次数",坦克属性分配比例标头,0),FALSE)*VLOOKUP($BJ113,$AR$3:$AY$33,MATCH(BY$3,$AR$3:$AY$3,0),FALSE),2)</f>
        <v>0.99</v>
      </c>
    </row>
    <row r="114" spans="60:77" x14ac:dyDescent="0.3">
      <c r="BH114" s="2" t="str">
        <f t="shared" si="24"/>
        <v>T-342</v>
      </c>
      <c r="BI114" s="2">
        <f>IF(BL113&gt;=VLOOKUP(VLOOKUP(BJ113,坦克个性化设定!$B$18:$E$48,4,FALSE)&amp;BK113,坦克属性分配比例,MATCH("升星次数",坦克属性分配比例标头,0),FALSE),BI113+1,BI113)</f>
        <v>12</v>
      </c>
      <c r="BJ114" s="2" t="str">
        <f t="shared" si="25"/>
        <v>T-34</v>
      </c>
      <c r="BK114" s="29" t="str">
        <f>VLOOKUP(BJ114,坦克个性化细分!$I$3:$J$33,2,FALSE)</f>
        <v>低</v>
      </c>
      <c r="BL114" s="2">
        <f t="shared" si="23"/>
        <v>2</v>
      </c>
      <c r="BM114" s="103">
        <f ca="1">ROUND(VLOOKUP($BJ114&amp;"初始",$S$3:$AE$63,MATCH(BM$3,$S$3:$AE$3,0),FALSE)+((VLOOKUP($BJ114&amp;"最终",$S$3:$AE$63,MATCH(BM$3,$S$3:$AE$3,0),FALSE)*坦克个性化细分!$C$9-VLOOKUP($BJ114&amp;"初始",$S$3:$AE$63,MATCH(BM$3,$S$3:$AE$3,0),FALSE))-(VLOOKUP($BJ114&amp;"最终",$S$3:$AE$63,MATCH(BM$3,$S$3:$AE$3,0),FALSE)-VLOOKUP($BJ114&amp;"初始",$S$3:$AE$63,MATCH(BM$3,$S$3:$AE$3,0),FALSE))*VLOOKUP(VLOOKUP($BJ114,坦克个性化设定!$B$18:$E$48,4,FALSE)&amp;$BK114,坦克属性分配比例,MATCH("部件比例",坦克属性分配比例标头,0),FALSE))*$BL114/VLOOKUP(VLOOKUP($BJ114,坦克个性化设定!$B$18:$E$48,4,FALSE)&amp;$BK114,坦克属性分配比例,MATCH("升星次数",坦克属性分配比例标头,0),FALSE),0)</f>
        <v>1070</v>
      </c>
      <c r="BN114" s="103">
        <f ca="1">ROUND(VLOOKUP($BJ114&amp;"初始",$S$3:$AE$63,MATCH(BN$3,$S$3:$AE$3,0),FALSE)+(VLOOKUP($BJ114&amp;"最终",$S$3:$AE$63,MATCH(BN$3,$S$3:$AE$3,0),FALSE)-VLOOKUP($BJ114&amp;"初始",$S$3:$AE$63,MATCH(BN$3,$S$3:$AE$3,0),FALSE))*$BL114/VLOOKUP(VLOOKUP($BJ114,坦克个性化设定!$B$18:$E$48,4,FALSE)&amp;$BK114,坦克属性分配比例,MATCH("升星次数",坦克属性分配比例标头,0),FALSE)*VLOOKUP(VLOOKUP($BJ114,坦克个性化设定!$B$18:$E$48,4,FALSE)&amp;$BK114,坦克属性分配比例,MATCH("升星比例",坦克属性分配比例标头,0),FALSE),0)</f>
        <v>142</v>
      </c>
      <c r="BO114" s="103">
        <f ca="1">ROUND(VLOOKUP($BJ114&amp;"初始",$S$3:$AE$63,MATCH(BO$3,$S$3:$AE$3,0),FALSE)+(VLOOKUP($BJ114&amp;"最终",$S$3:$AE$63,MATCH(BO$3,$S$3:$AE$3,0),FALSE)-VLOOKUP($BJ114&amp;"初始",$S$3:$AE$63,MATCH(BO$3,$S$3:$AE$3,0),FALSE))*$BL114/VLOOKUP(VLOOKUP($BJ114,坦克个性化设定!$B$18:$E$48,4,FALSE)&amp;$BK114,坦克属性分配比例,MATCH("升星次数",坦克属性分配比例标头,0),FALSE)*(VLOOKUP(VLOOKUP($BJ114,坦克个性化设定!$B$18:$E$48,4,FALSE)&amp;$BK114,坦克属性分配比例,MATCH("升星比例",坦克属性分配比例标头,0),FALSE)+VLOOKUP(VLOOKUP($BJ114,坦克个性化设定!$B$18:$E$48,4,FALSE)&amp;$BK114,坦克属性分配比例,MATCH("部件比例",坦克属性分配比例标头,0),FALSE)*$C$3),0)</f>
        <v>435</v>
      </c>
      <c r="BP114" s="103">
        <f ca="1">ROUND(VLOOKUP($BJ114&amp;"初始",$S$3:$AE$63,MATCH(BP$3,$S$3:$AE$3,0),FALSE)+(VLOOKUP($BJ114&amp;"最终",$S$3:$AE$63,MATCH(BP$3,$S$3:$AE$3,0),FALSE)-VLOOKUP($BJ114&amp;"初始",$S$3:$AE$63,MATCH(BP$3,$S$3:$AE$3,0),FALSE))*$BL114/VLOOKUP(VLOOKUP($BJ114,坦克个性化设定!$B$18:$E$48,4,FALSE)&amp;$BK114,坦克属性分配比例,MATCH("升星次数",坦克属性分配比例标头,0),FALSE)*(VLOOKUP(VLOOKUP($BJ114,坦克个性化设定!$B$18:$E$48,4,FALSE)&amp;$BK114,坦克属性分配比例,MATCH("升星比例",坦克属性分配比例标头,0),FALSE)+VLOOKUP(VLOOKUP($BJ114,坦克个性化设定!$B$18:$E$48,4,FALSE)&amp;$BK114,坦克属性分配比例,MATCH("部件比例",坦克属性分配比例标头,0),FALSE)*$C$3),0)</f>
        <v>326</v>
      </c>
      <c r="BQ114" s="103">
        <f ca="1">ROUND(VLOOKUP($BJ114&amp;"初始",$S$3:$AE$63,MATCH(BQ$3,$S$3:$AE$3,0),FALSE)+(VLOOKUP($BJ114&amp;"最终",$S$3:$AE$63,MATCH(BQ$3,$S$3:$AE$3,0),FALSE)-VLOOKUP($BJ114&amp;"初始",$S$3:$AE$63,MATCH(BQ$3,$S$3:$AE$3,0),FALSE))*$BL114/VLOOKUP(VLOOKUP($BJ114,坦克个性化设定!$B$18:$E$48,4,FALSE)&amp;$BK114,坦克属性分配比例,MATCH("升星次数",坦克属性分配比例标头,0),FALSE)*VLOOKUP(VLOOKUP($BJ114,坦克个性化设定!$B$18:$E$48,4,FALSE)&amp;$BK114,坦克属性分配比例,MATCH("升星比例",坦克属性分配比例标头,0),FALSE),0)</f>
        <v>465</v>
      </c>
      <c r="BR114" s="2">
        <f ca="1">ROUND(VLOOKUP($BJ114&amp;"初始",$S$3:$AE$63,MATCH(BR$3,$S$3:$AE$3,0),FALSE)+(VLOOKUP($BJ114&amp;"最终",$S$3:$AE$63,MATCH(BR$3,$S$3:$AE$3,0),FALSE)-VLOOKUP($BJ114&amp;"初始",$S$3:$AE$63,MATCH(BR$3,$S$3:$AE$3,0),FALSE))*$BL114/VLOOKUP(VLOOKUP($BJ114,坦克个性化设定!$B$18:$E$48,4,FALSE)&amp;$BK114,坦克属性分配比例,MATCH("升星次数",坦克属性分配比例标头,0),FALSE),0)</f>
        <v>116</v>
      </c>
      <c r="BS114" s="2">
        <f>ROUND(VLOOKUP($BJ114,$AI$3:$AO$33,MATCH(BS$3,$AI$3:$AO$3,0),FALSE)+$BL114/VLOOKUP(VLOOKUP($BJ114,坦克个性化设定!$B$18:$E$48,4,FALSE)&amp;$BK114,坦克属性分配比例,MATCH("升星次数",坦克属性分配比例标头,0),FALSE)*VLOOKUP($BJ114,$AR$3:$AY$33,MATCH(BS$3,$AR$3:$AY$3,0),FALSE),1)</f>
        <v>47.7</v>
      </c>
      <c r="BT114" s="2">
        <f>ROUND(VLOOKUP($BJ114,$AI$3:$AO$33,MATCH(BT$3,$AI$3:$AO$3,0),FALSE)+$BL114/VLOOKUP(VLOOKUP($BJ114,坦克个性化设定!$B$18:$E$48,4,FALSE)&amp;$BK114,坦克属性分配比例,MATCH("升星次数",坦克属性分配比例标头,0),FALSE)*VLOOKUP($BJ114,$AR$3:$AY$33,MATCH(BT$3,$AR$3:$AY$3,0),FALSE),1)</f>
        <v>42.9</v>
      </c>
      <c r="BU114" s="2">
        <f>ROUND(VLOOKUP($BJ114,$AI$3:$AO$33,MATCH(BU$3,$AI$3:$AO$3,0),FALSE)+$BL114/VLOOKUP(VLOOKUP($BJ114,坦克个性化设定!$B$18:$E$48,4,FALSE)&amp;$BK114,坦克属性分配比例,MATCH("升星次数",坦克属性分配比例标头,0),FALSE)*VLOOKUP($BJ114,$AR$3:$AY$33,MATCH(BU$3,$AR$3:$AY$3,0),FALSE),1)</f>
        <v>8</v>
      </c>
      <c r="BV114" s="2">
        <f>IF(VLOOKUP(BJ114,坦克个性化设定!$B$18:$BC$48,MATCH("装弹类型",坦克个性化设定!$B$18:$BC$18,0),FALSE)="弹夹换弹",0,ROUND(VLOOKUP($BJ114,$AI$3:$AO$33,MATCH("换弹时间",$AI$3:$AO$3,0),FALSE)-$BL114/VLOOKUP(VLOOKUP($BJ114,坦克个性化设定!$B$18:$E$48,4,FALSE)&amp;$BK114,坦克属性分配比例,MATCH("升星次数",坦克属性分配比例标头,0),FALSE)*VLOOKUP($BJ114,$AR$3:$AY$33,MATCH("换弹时间",$AR$3:$AY$3,0),FALSE),2))</f>
        <v>0</v>
      </c>
      <c r="BW114" s="2">
        <f>IF(VLOOKUP(BJ114,坦克个性化设定!$B$18:$BC$48,MATCH("装弹类型",坦克个性化设定!$B$18:$BC$18,0),FALSE)="弹夹换弹",ROUND(VLOOKUP($BJ114,$AI$3:$AO$33,MATCH("换弹时间",$AI$3:$AO$3,0),FALSE)-$BL114/VLOOKUP(VLOOKUP($BJ114,坦克个性化设定!$B$18:$E$48,4,FALSE)&amp;$BK114,坦克属性分配比例,MATCH("升星次数",坦克属性分配比例标头,0),FALSE)*VLOOKUP($BJ114,$AR$3:$AY$33,MATCH("换弹时间",$AR$3:$AY$3,0),FALSE),1),0)</f>
        <v>3</v>
      </c>
      <c r="BX114" s="2">
        <f>ROUND(VLOOKUP($BJ114,$AI$3:$AO$33,MATCH(BX$3,$AI$3:$AO$3,0),FALSE)+$BL114/VLOOKUP(VLOOKUP($BJ114,坦克个性化设定!$B$18:$E$48,4,FALSE)&amp;$BK114,坦克属性分配比例,MATCH("升星次数",坦克属性分配比例标头,0),FALSE)*VLOOKUP($BJ114,$AR$3:$AY$33,MATCH(BX$3,$AR$3:$AY$3,0),FALSE),2)</f>
        <v>0.51</v>
      </c>
      <c r="BY114" s="2">
        <f>ROUND(VLOOKUP($BJ114,$AI$3:$AO$33,MATCH(BY$3,$AI$3:$AO$3,0),FALSE)-$BL114/VLOOKUP(VLOOKUP($BJ114,坦克个性化设定!$B$18:$E$48,4,FALSE)&amp;$BK114,坦克属性分配比例,MATCH("升星次数",坦克属性分配比例标头,0),FALSE)*VLOOKUP($BJ114,$AR$3:$AY$33,MATCH(BY$3,$AR$3:$AY$3,0),FALSE),2)</f>
        <v>0.96</v>
      </c>
    </row>
    <row r="115" spans="60:77" x14ac:dyDescent="0.3">
      <c r="BH115" s="2" t="str">
        <f t="shared" si="24"/>
        <v>T-343</v>
      </c>
      <c r="BI115" s="2">
        <f>IF(BL114&gt;=VLOOKUP(VLOOKUP(BJ114,坦克个性化设定!$B$18:$E$48,4,FALSE)&amp;BK114,坦克属性分配比例,MATCH("升星次数",坦克属性分配比例标头,0),FALSE),BI114+1,BI114)</f>
        <v>12</v>
      </c>
      <c r="BJ115" s="2" t="str">
        <f t="shared" si="25"/>
        <v>T-34</v>
      </c>
      <c r="BK115" s="29" t="str">
        <f>VLOOKUP(BJ115,坦克个性化细分!$I$3:$J$33,2,FALSE)</f>
        <v>低</v>
      </c>
      <c r="BL115" s="2">
        <f t="shared" si="23"/>
        <v>3</v>
      </c>
      <c r="BM115" s="103">
        <f ca="1">ROUND(VLOOKUP($BJ115&amp;"初始",$S$3:$AE$63,MATCH(BM$3,$S$3:$AE$3,0),FALSE)+((VLOOKUP($BJ115&amp;"最终",$S$3:$AE$63,MATCH(BM$3,$S$3:$AE$3,0),FALSE)*坦克个性化细分!$C$9-VLOOKUP($BJ115&amp;"初始",$S$3:$AE$63,MATCH(BM$3,$S$3:$AE$3,0),FALSE))-(VLOOKUP($BJ115&amp;"最终",$S$3:$AE$63,MATCH(BM$3,$S$3:$AE$3,0),FALSE)-VLOOKUP($BJ115&amp;"初始",$S$3:$AE$63,MATCH(BM$3,$S$3:$AE$3,0),FALSE))*VLOOKUP(VLOOKUP($BJ115,坦克个性化设定!$B$18:$E$48,4,FALSE)&amp;$BK115,坦克属性分配比例,MATCH("部件比例",坦克属性分配比例标头,0),FALSE))*$BL115/VLOOKUP(VLOOKUP($BJ115,坦克个性化设定!$B$18:$E$48,4,FALSE)&amp;$BK115,坦克属性分配比例,MATCH("升星次数",坦克属性分配比例标头,0),FALSE),0)</f>
        <v>1132</v>
      </c>
      <c r="BN115" s="103">
        <f ca="1">ROUND(VLOOKUP($BJ115&amp;"初始",$S$3:$AE$63,MATCH(BN$3,$S$3:$AE$3,0),FALSE)+(VLOOKUP($BJ115&amp;"最终",$S$3:$AE$63,MATCH(BN$3,$S$3:$AE$3,0),FALSE)-VLOOKUP($BJ115&amp;"初始",$S$3:$AE$63,MATCH(BN$3,$S$3:$AE$3,0),FALSE))*$BL115/VLOOKUP(VLOOKUP($BJ115,坦克个性化设定!$B$18:$E$48,4,FALSE)&amp;$BK115,坦克属性分配比例,MATCH("升星次数",坦克属性分配比例标头,0),FALSE)*VLOOKUP(VLOOKUP($BJ115,坦克个性化设定!$B$18:$E$48,4,FALSE)&amp;$BK115,坦克属性分配比例,MATCH("升星比例",坦克属性分配比例标头,0),FALSE),0)</f>
        <v>147</v>
      </c>
      <c r="BO115" s="103">
        <f ca="1">ROUND(VLOOKUP($BJ115&amp;"初始",$S$3:$AE$63,MATCH(BO$3,$S$3:$AE$3,0),FALSE)+(VLOOKUP($BJ115&amp;"最终",$S$3:$AE$63,MATCH(BO$3,$S$3:$AE$3,0),FALSE)-VLOOKUP($BJ115&amp;"初始",$S$3:$AE$63,MATCH(BO$3,$S$3:$AE$3,0),FALSE))*$BL115/VLOOKUP(VLOOKUP($BJ115,坦克个性化设定!$B$18:$E$48,4,FALSE)&amp;$BK115,坦克属性分配比例,MATCH("升星次数",坦克属性分配比例标头,0),FALSE)*(VLOOKUP(VLOOKUP($BJ115,坦克个性化设定!$B$18:$E$48,4,FALSE)&amp;$BK115,坦克属性分配比例,MATCH("升星比例",坦克属性分配比例标头,0),FALSE)+VLOOKUP(VLOOKUP($BJ115,坦克个性化设定!$B$18:$E$48,4,FALSE)&amp;$BK115,坦克属性分配比例,MATCH("部件比例",坦克属性分配比例标头,0),FALSE)*$C$3),0)</f>
        <v>455</v>
      </c>
      <c r="BP115" s="103">
        <f ca="1">ROUND(VLOOKUP($BJ115&amp;"初始",$S$3:$AE$63,MATCH(BP$3,$S$3:$AE$3,0),FALSE)+(VLOOKUP($BJ115&amp;"最终",$S$3:$AE$63,MATCH(BP$3,$S$3:$AE$3,0),FALSE)-VLOOKUP($BJ115&amp;"初始",$S$3:$AE$63,MATCH(BP$3,$S$3:$AE$3,0),FALSE))*$BL115/VLOOKUP(VLOOKUP($BJ115,坦克个性化设定!$B$18:$E$48,4,FALSE)&amp;$BK115,坦克属性分配比例,MATCH("升星次数",坦克属性分配比例标头,0),FALSE)*(VLOOKUP(VLOOKUP($BJ115,坦克个性化设定!$B$18:$E$48,4,FALSE)&amp;$BK115,坦克属性分配比例,MATCH("升星比例",坦克属性分配比例标头,0),FALSE)+VLOOKUP(VLOOKUP($BJ115,坦克个性化设定!$B$18:$E$48,4,FALSE)&amp;$BK115,坦克属性分配比例,MATCH("部件比例",坦克属性分配比例标头,0),FALSE)*$C$3),0)</f>
        <v>341</v>
      </c>
      <c r="BQ115" s="103">
        <f ca="1">ROUND(VLOOKUP($BJ115&amp;"初始",$S$3:$AE$63,MATCH(BQ$3,$S$3:$AE$3,0),FALSE)+(VLOOKUP($BJ115&amp;"最终",$S$3:$AE$63,MATCH(BQ$3,$S$3:$AE$3,0),FALSE)-VLOOKUP($BJ115&amp;"初始",$S$3:$AE$63,MATCH(BQ$3,$S$3:$AE$3,0),FALSE))*$BL115/VLOOKUP(VLOOKUP($BJ115,坦克个性化设定!$B$18:$E$48,4,FALSE)&amp;$BK115,坦克属性分配比例,MATCH("升星次数",坦克属性分配比例标头,0),FALSE)*VLOOKUP(VLOOKUP($BJ115,坦克个性化设定!$B$18:$E$48,4,FALSE)&amp;$BK115,坦克属性分配比例,MATCH("升星比例",坦克属性分配比例标头,0),FALSE),0)</f>
        <v>482</v>
      </c>
      <c r="BR115" s="2">
        <f ca="1">ROUND(VLOOKUP($BJ115&amp;"初始",$S$3:$AE$63,MATCH(BR$3,$S$3:$AE$3,0),FALSE)+(VLOOKUP($BJ115&amp;"最终",$S$3:$AE$63,MATCH(BR$3,$S$3:$AE$3,0),FALSE)-VLOOKUP($BJ115&amp;"初始",$S$3:$AE$63,MATCH(BR$3,$S$3:$AE$3,0),FALSE))*$BL115/VLOOKUP(VLOOKUP($BJ115,坦克个性化设定!$B$18:$E$48,4,FALSE)&amp;$BK115,坦克属性分配比例,MATCH("升星次数",坦克属性分配比例标头,0),FALSE),0)</f>
        <v>122</v>
      </c>
      <c r="BS115" s="2">
        <f>ROUND(VLOOKUP($BJ115,$AI$3:$AO$33,MATCH(BS$3,$AI$3:$AO$3,0),FALSE)+$BL115/VLOOKUP(VLOOKUP($BJ115,坦克个性化设定!$B$18:$E$48,4,FALSE)&amp;$BK115,坦克属性分配比例,MATCH("升星次数",坦克属性分配比例标头,0),FALSE)*VLOOKUP($BJ115,$AR$3:$AY$33,MATCH(BS$3,$AR$3:$AY$3,0),FALSE),1)</f>
        <v>49.3</v>
      </c>
      <c r="BT115" s="2">
        <f>ROUND(VLOOKUP($BJ115,$AI$3:$AO$33,MATCH(BT$3,$AI$3:$AO$3,0),FALSE)+$BL115/VLOOKUP(VLOOKUP($BJ115,坦克个性化设定!$B$18:$E$48,4,FALSE)&amp;$BK115,坦克属性分配比例,MATCH("升星次数",坦克属性分配比例标头,0),FALSE)*VLOOKUP($BJ115,$AR$3:$AY$33,MATCH(BT$3,$AR$3:$AY$3,0),FALSE),1)</f>
        <v>44.3</v>
      </c>
      <c r="BU115" s="2">
        <f>ROUND(VLOOKUP($BJ115,$AI$3:$AO$33,MATCH(BU$3,$AI$3:$AO$3,0),FALSE)+$BL115/VLOOKUP(VLOOKUP($BJ115,坦克个性化设定!$B$18:$E$48,4,FALSE)&amp;$BK115,坦克属性分配比例,MATCH("升星次数",坦克属性分配比例标头,0),FALSE)*VLOOKUP($BJ115,$AR$3:$AY$33,MATCH(BU$3,$AR$3:$AY$3,0),FALSE),1)</f>
        <v>8</v>
      </c>
      <c r="BV115" s="2">
        <f>IF(VLOOKUP(BJ115,坦克个性化设定!$B$18:$BC$48,MATCH("装弹类型",坦克个性化设定!$B$18:$BC$18,0),FALSE)="弹夹换弹",0,ROUND(VLOOKUP($BJ115,$AI$3:$AO$33,MATCH("换弹时间",$AI$3:$AO$3,0),FALSE)-$BL115/VLOOKUP(VLOOKUP($BJ115,坦克个性化设定!$B$18:$E$48,4,FALSE)&amp;$BK115,坦克属性分配比例,MATCH("升星次数",坦克属性分配比例标头,0),FALSE)*VLOOKUP($BJ115,$AR$3:$AY$33,MATCH("换弹时间",$AR$3:$AY$3,0),FALSE),2))</f>
        <v>0</v>
      </c>
      <c r="BW115" s="2">
        <f>IF(VLOOKUP(BJ115,坦克个性化设定!$B$18:$BC$48,MATCH("装弹类型",坦克个性化设定!$B$18:$BC$18,0),FALSE)="弹夹换弹",ROUND(VLOOKUP($BJ115,$AI$3:$AO$33,MATCH("换弹时间",$AI$3:$AO$3,0),FALSE)-$BL115/VLOOKUP(VLOOKUP($BJ115,坦克个性化设定!$B$18:$E$48,4,FALSE)&amp;$BK115,坦克属性分配比例,MATCH("升星次数",坦克属性分配比例标头,0),FALSE)*VLOOKUP($BJ115,$AR$3:$AY$33,MATCH("换弹时间",$AR$3:$AY$3,0),FALSE),1),0)</f>
        <v>3</v>
      </c>
      <c r="BX115" s="2">
        <f>ROUND(VLOOKUP($BJ115,$AI$3:$AO$33,MATCH(BX$3,$AI$3:$AO$3,0),FALSE)+$BL115/VLOOKUP(VLOOKUP($BJ115,坦克个性化设定!$B$18:$E$48,4,FALSE)&amp;$BK115,坦克属性分配比例,MATCH("升星次数",坦克属性分配比例标头,0),FALSE)*VLOOKUP($BJ115,$AR$3:$AY$33,MATCH(BX$3,$AR$3:$AY$3,0),FALSE),2)</f>
        <v>0.61</v>
      </c>
      <c r="BY115" s="2">
        <f>ROUND(VLOOKUP($BJ115,$AI$3:$AO$33,MATCH(BY$3,$AI$3:$AO$3,0),FALSE)-$BL115/VLOOKUP(VLOOKUP($BJ115,坦克个性化设定!$B$18:$E$48,4,FALSE)&amp;$BK115,坦克属性分配比例,MATCH("升星次数",坦克属性分配比例标头,0),FALSE)*VLOOKUP($BJ115,$AR$3:$AY$33,MATCH(BY$3,$AR$3:$AY$3,0),FALSE),2)</f>
        <v>0.94</v>
      </c>
    </row>
    <row r="116" spans="60:77" x14ac:dyDescent="0.3">
      <c r="BH116" s="2" t="str">
        <f t="shared" si="24"/>
        <v>T-344</v>
      </c>
      <c r="BI116" s="2">
        <f>IF(BL115&gt;=VLOOKUP(VLOOKUP(BJ115,坦克个性化设定!$B$18:$E$48,4,FALSE)&amp;BK115,坦克属性分配比例,MATCH("升星次数",坦克属性分配比例标头,0),FALSE),BI115+1,BI115)</f>
        <v>12</v>
      </c>
      <c r="BJ116" s="2" t="str">
        <f t="shared" si="25"/>
        <v>T-34</v>
      </c>
      <c r="BK116" s="29" t="str">
        <f>VLOOKUP(BJ116,坦克个性化细分!$I$3:$J$33,2,FALSE)</f>
        <v>低</v>
      </c>
      <c r="BL116" s="2">
        <f t="shared" si="23"/>
        <v>4</v>
      </c>
      <c r="BM116" s="103">
        <f ca="1">ROUND(VLOOKUP($BJ116&amp;"初始",$S$3:$AE$63,MATCH(BM$3,$S$3:$AE$3,0),FALSE)+((VLOOKUP($BJ116&amp;"最终",$S$3:$AE$63,MATCH(BM$3,$S$3:$AE$3,0),FALSE)*坦克个性化细分!$C$9-VLOOKUP($BJ116&amp;"初始",$S$3:$AE$63,MATCH(BM$3,$S$3:$AE$3,0),FALSE))-(VLOOKUP($BJ116&amp;"最终",$S$3:$AE$63,MATCH(BM$3,$S$3:$AE$3,0),FALSE)-VLOOKUP($BJ116&amp;"初始",$S$3:$AE$63,MATCH(BM$3,$S$3:$AE$3,0),FALSE))*VLOOKUP(VLOOKUP($BJ116,坦克个性化设定!$B$18:$E$48,4,FALSE)&amp;$BK116,坦克属性分配比例,MATCH("部件比例",坦克属性分配比例标头,0),FALSE))*$BL116/VLOOKUP(VLOOKUP($BJ116,坦克个性化设定!$B$18:$E$48,4,FALSE)&amp;$BK116,坦克属性分配比例,MATCH("升星次数",坦克属性分配比例标头,0),FALSE),0)</f>
        <v>1194</v>
      </c>
      <c r="BN116" s="103">
        <f ca="1">ROUND(VLOOKUP($BJ116&amp;"初始",$S$3:$AE$63,MATCH(BN$3,$S$3:$AE$3,0),FALSE)+(VLOOKUP($BJ116&amp;"最终",$S$3:$AE$63,MATCH(BN$3,$S$3:$AE$3,0),FALSE)-VLOOKUP($BJ116&amp;"初始",$S$3:$AE$63,MATCH(BN$3,$S$3:$AE$3,0),FALSE))*$BL116/VLOOKUP(VLOOKUP($BJ116,坦克个性化设定!$B$18:$E$48,4,FALSE)&amp;$BK116,坦克属性分配比例,MATCH("升星次数",坦克属性分配比例标头,0),FALSE)*VLOOKUP(VLOOKUP($BJ116,坦克个性化设定!$B$18:$E$48,4,FALSE)&amp;$BK116,坦克属性分配比例,MATCH("升星比例",坦克属性分配比例标头,0),FALSE),0)</f>
        <v>152</v>
      </c>
      <c r="BO116" s="103">
        <f ca="1">ROUND(VLOOKUP($BJ116&amp;"初始",$S$3:$AE$63,MATCH(BO$3,$S$3:$AE$3,0),FALSE)+(VLOOKUP($BJ116&amp;"最终",$S$3:$AE$63,MATCH(BO$3,$S$3:$AE$3,0),FALSE)-VLOOKUP($BJ116&amp;"初始",$S$3:$AE$63,MATCH(BO$3,$S$3:$AE$3,0),FALSE))*$BL116/VLOOKUP(VLOOKUP($BJ116,坦克个性化设定!$B$18:$E$48,4,FALSE)&amp;$BK116,坦克属性分配比例,MATCH("升星次数",坦克属性分配比例标头,0),FALSE)*(VLOOKUP(VLOOKUP($BJ116,坦克个性化设定!$B$18:$E$48,4,FALSE)&amp;$BK116,坦克属性分配比例,MATCH("升星比例",坦克属性分配比例标头,0),FALSE)+VLOOKUP(VLOOKUP($BJ116,坦克个性化设定!$B$18:$E$48,4,FALSE)&amp;$BK116,坦克属性分配比例,MATCH("部件比例",坦克属性分配比例标头,0),FALSE)*$C$3),0)</f>
        <v>475</v>
      </c>
      <c r="BP116" s="103">
        <f ca="1">ROUND(VLOOKUP($BJ116&amp;"初始",$S$3:$AE$63,MATCH(BP$3,$S$3:$AE$3,0),FALSE)+(VLOOKUP($BJ116&amp;"最终",$S$3:$AE$63,MATCH(BP$3,$S$3:$AE$3,0),FALSE)-VLOOKUP($BJ116&amp;"初始",$S$3:$AE$63,MATCH(BP$3,$S$3:$AE$3,0),FALSE))*$BL116/VLOOKUP(VLOOKUP($BJ116,坦克个性化设定!$B$18:$E$48,4,FALSE)&amp;$BK116,坦克属性分配比例,MATCH("升星次数",坦克属性分配比例标头,0),FALSE)*(VLOOKUP(VLOOKUP($BJ116,坦克个性化设定!$B$18:$E$48,4,FALSE)&amp;$BK116,坦克属性分配比例,MATCH("升星比例",坦克属性分配比例标头,0),FALSE)+VLOOKUP(VLOOKUP($BJ116,坦克个性化设定!$B$18:$E$48,4,FALSE)&amp;$BK116,坦克属性分配比例,MATCH("部件比例",坦克属性分配比例标头,0),FALSE)*$C$3),0)</f>
        <v>356</v>
      </c>
      <c r="BQ116" s="103">
        <f ca="1">ROUND(VLOOKUP($BJ116&amp;"初始",$S$3:$AE$63,MATCH(BQ$3,$S$3:$AE$3,0),FALSE)+(VLOOKUP($BJ116&amp;"最终",$S$3:$AE$63,MATCH(BQ$3,$S$3:$AE$3,0),FALSE)-VLOOKUP($BJ116&amp;"初始",$S$3:$AE$63,MATCH(BQ$3,$S$3:$AE$3,0),FALSE))*$BL116/VLOOKUP(VLOOKUP($BJ116,坦克个性化设定!$B$18:$E$48,4,FALSE)&amp;$BK116,坦克属性分配比例,MATCH("升星次数",坦克属性分配比例标头,0),FALSE)*VLOOKUP(VLOOKUP($BJ116,坦克个性化设定!$B$18:$E$48,4,FALSE)&amp;$BK116,坦克属性分配比例,MATCH("升星比例",坦克属性分配比例标头,0),FALSE),0)</f>
        <v>499</v>
      </c>
      <c r="BR116" s="2">
        <f ca="1">ROUND(VLOOKUP($BJ116&amp;"初始",$S$3:$AE$63,MATCH(BR$3,$S$3:$AE$3,0),FALSE)+(VLOOKUP($BJ116&amp;"最终",$S$3:$AE$63,MATCH(BR$3,$S$3:$AE$3,0),FALSE)-VLOOKUP($BJ116&amp;"初始",$S$3:$AE$63,MATCH(BR$3,$S$3:$AE$3,0),FALSE))*$BL116/VLOOKUP(VLOOKUP($BJ116,坦克个性化设定!$B$18:$E$48,4,FALSE)&amp;$BK116,坦克属性分配比例,MATCH("升星次数",坦克属性分配比例标头,0),FALSE),0)</f>
        <v>129</v>
      </c>
      <c r="BS116" s="2">
        <f>ROUND(VLOOKUP($BJ116,$AI$3:$AO$33,MATCH(BS$3,$AI$3:$AO$3,0),FALSE)+$BL116/VLOOKUP(VLOOKUP($BJ116,坦克个性化设定!$B$18:$E$48,4,FALSE)&amp;$BK116,坦克属性分配比例,MATCH("升星次数",坦克属性分配比例标头,0),FALSE)*VLOOKUP($BJ116,$AR$3:$AY$33,MATCH(BS$3,$AR$3:$AY$3,0),FALSE),1)</f>
        <v>50.9</v>
      </c>
      <c r="BT116" s="2">
        <f>ROUND(VLOOKUP($BJ116,$AI$3:$AO$33,MATCH(BT$3,$AI$3:$AO$3,0),FALSE)+$BL116/VLOOKUP(VLOOKUP($BJ116,坦克个性化设定!$B$18:$E$48,4,FALSE)&amp;$BK116,坦克属性分配比例,MATCH("升星次数",坦克属性分配比例标头,0),FALSE)*VLOOKUP($BJ116,$AR$3:$AY$33,MATCH(BT$3,$AR$3:$AY$3,0),FALSE),1)</f>
        <v>45.7</v>
      </c>
      <c r="BU116" s="2">
        <f>ROUND(VLOOKUP($BJ116,$AI$3:$AO$33,MATCH(BU$3,$AI$3:$AO$3,0),FALSE)+$BL116/VLOOKUP(VLOOKUP($BJ116,坦克个性化设定!$B$18:$E$48,4,FALSE)&amp;$BK116,坦克属性分配比例,MATCH("升星次数",坦克属性分配比例标头,0),FALSE)*VLOOKUP($BJ116,$AR$3:$AY$33,MATCH(BU$3,$AR$3:$AY$3,0),FALSE),1)</f>
        <v>8</v>
      </c>
      <c r="BV116" s="2">
        <f>IF(VLOOKUP(BJ116,坦克个性化设定!$B$18:$BC$48,MATCH("装弹类型",坦克个性化设定!$B$18:$BC$18,0),FALSE)="弹夹换弹",0,ROUND(VLOOKUP($BJ116,$AI$3:$AO$33,MATCH("换弹时间",$AI$3:$AO$3,0),FALSE)-$BL116/VLOOKUP(VLOOKUP($BJ116,坦克个性化设定!$B$18:$E$48,4,FALSE)&amp;$BK116,坦克属性分配比例,MATCH("升星次数",坦克属性分配比例标头,0),FALSE)*VLOOKUP($BJ116,$AR$3:$AY$33,MATCH("换弹时间",$AR$3:$AY$3,0),FALSE),2))</f>
        <v>0</v>
      </c>
      <c r="BW116" s="2">
        <f>IF(VLOOKUP(BJ116,坦克个性化设定!$B$18:$BC$48,MATCH("装弹类型",坦克个性化设定!$B$18:$BC$18,0),FALSE)="弹夹换弹",ROUND(VLOOKUP($BJ116,$AI$3:$AO$33,MATCH("换弹时间",$AI$3:$AO$3,0),FALSE)-$BL116/VLOOKUP(VLOOKUP($BJ116,坦克个性化设定!$B$18:$E$48,4,FALSE)&amp;$BK116,坦克属性分配比例,MATCH("升星次数",坦克属性分配比例标头,0),FALSE)*VLOOKUP($BJ116,$AR$3:$AY$33,MATCH("换弹时间",$AR$3:$AY$3,0),FALSE),1),0)</f>
        <v>2.9</v>
      </c>
      <c r="BX116" s="2">
        <f>ROUND(VLOOKUP($BJ116,$AI$3:$AO$33,MATCH(BX$3,$AI$3:$AO$3,0),FALSE)+$BL116/VLOOKUP(VLOOKUP($BJ116,坦克个性化设定!$B$18:$E$48,4,FALSE)&amp;$BK116,坦克属性分配比例,MATCH("升星次数",坦克属性分配比例标头,0),FALSE)*VLOOKUP($BJ116,$AR$3:$AY$33,MATCH(BX$3,$AR$3:$AY$3,0),FALSE),2)</f>
        <v>0.71</v>
      </c>
      <c r="BY116" s="2">
        <f>ROUND(VLOOKUP($BJ116,$AI$3:$AO$33,MATCH(BY$3,$AI$3:$AO$3,0),FALSE)-$BL116/VLOOKUP(VLOOKUP($BJ116,坦克个性化设定!$B$18:$E$48,4,FALSE)&amp;$BK116,坦克属性分配比例,MATCH("升星次数",坦克属性分配比例标头,0),FALSE)*VLOOKUP($BJ116,$AR$3:$AY$33,MATCH(BY$3,$AR$3:$AY$3,0),FALSE),2)</f>
        <v>0.91</v>
      </c>
    </row>
    <row r="117" spans="60:77" x14ac:dyDescent="0.3">
      <c r="BH117" s="2" t="str">
        <f t="shared" si="24"/>
        <v>T-345</v>
      </c>
      <c r="BI117" s="2">
        <f>IF(BL116&gt;=VLOOKUP(VLOOKUP(BJ116,坦克个性化设定!$B$18:$E$48,4,FALSE)&amp;BK116,坦克属性分配比例,MATCH("升星次数",坦克属性分配比例标头,0),FALSE),BI116+1,BI116)</f>
        <v>12</v>
      </c>
      <c r="BJ117" s="2" t="str">
        <f t="shared" si="25"/>
        <v>T-34</v>
      </c>
      <c r="BK117" s="29" t="str">
        <f>VLOOKUP(BJ117,坦克个性化细分!$I$3:$J$33,2,FALSE)</f>
        <v>低</v>
      </c>
      <c r="BL117" s="2">
        <f t="shared" si="23"/>
        <v>5</v>
      </c>
      <c r="BM117" s="103">
        <f ca="1">ROUND(VLOOKUP($BJ117&amp;"初始",$S$3:$AE$63,MATCH(BM$3,$S$3:$AE$3,0),FALSE)+((VLOOKUP($BJ117&amp;"最终",$S$3:$AE$63,MATCH(BM$3,$S$3:$AE$3,0),FALSE)*坦克个性化细分!$C$9-VLOOKUP($BJ117&amp;"初始",$S$3:$AE$63,MATCH(BM$3,$S$3:$AE$3,0),FALSE))-(VLOOKUP($BJ117&amp;"最终",$S$3:$AE$63,MATCH(BM$3,$S$3:$AE$3,0),FALSE)-VLOOKUP($BJ117&amp;"初始",$S$3:$AE$63,MATCH(BM$3,$S$3:$AE$3,0),FALSE))*VLOOKUP(VLOOKUP($BJ117,坦克个性化设定!$B$18:$E$48,4,FALSE)&amp;$BK117,坦克属性分配比例,MATCH("部件比例",坦克属性分配比例标头,0),FALSE))*$BL117/VLOOKUP(VLOOKUP($BJ117,坦克个性化设定!$B$18:$E$48,4,FALSE)&amp;$BK117,坦克属性分配比例,MATCH("升星次数",坦克属性分配比例标头,0),FALSE),0)</f>
        <v>1257</v>
      </c>
      <c r="BN117" s="103">
        <f ca="1">ROUND(VLOOKUP($BJ117&amp;"初始",$S$3:$AE$63,MATCH(BN$3,$S$3:$AE$3,0),FALSE)+(VLOOKUP($BJ117&amp;"最终",$S$3:$AE$63,MATCH(BN$3,$S$3:$AE$3,0),FALSE)-VLOOKUP($BJ117&amp;"初始",$S$3:$AE$63,MATCH(BN$3,$S$3:$AE$3,0),FALSE))*$BL117/VLOOKUP(VLOOKUP($BJ117,坦克个性化设定!$B$18:$E$48,4,FALSE)&amp;$BK117,坦克属性分配比例,MATCH("升星次数",坦克属性分配比例标头,0),FALSE)*VLOOKUP(VLOOKUP($BJ117,坦克个性化设定!$B$18:$E$48,4,FALSE)&amp;$BK117,坦克属性分配比例,MATCH("升星比例",坦克属性分配比例标头,0),FALSE),0)</f>
        <v>157</v>
      </c>
      <c r="BO117" s="103">
        <f ca="1">ROUND(VLOOKUP($BJ117&amp;"初始",$S$3:$AE$63,MATCH(BO$3,$S$3:$AE$3,0),FALSE)+(VLOOKUP($BJ117&amp;"最终",$S$3:$AE$63,MATCH(BO$3,$S$3:$AE$3,0),FALSE)-VLOOKUP($BJ117&amp;"初始",$S$3:$AE$63,MATCH(BO$3,$S$3:$AE$3,0),FALSE))*$BL117/VLOOKUP(VLOOKUP($BJ117,坦克个性化设定!$B$18:$E$48,4,FALSE)&amp;$BK117,坦克属性分配比例,MATCH("升星次数",坦克属性分配比例标头,0),FALSE)*(VLOOKUP(VLOOKUP($BJ117,坦克个性化设定!$B$18:$E$48,4,FALSE)&amp;$BK117,坦克属性分配比例,MATCH("升星比例",坦克属性分配比例标头,0),FALSE)+VLOOKUP(VLOOKUP($BJ117,坦克个性化设定!$B$18:$E$48,4,FALSE)&amp;$BK117,坦克属性分配比例,MATCH("部件比例",坦克属性分配比例标头,0),FALSE)*$C$3),0)</f>
        <v>495</v>
      </c>
      <c r="BP117" s="103">
        <f ca="1">ROUND(VLOOKUP($BJ117&amp;"初始",$S$3:$AE$63,MATCH(BP$3,$S$3:$AE$3,0),FALSE)+(VLOOKUP($BJ117&amp;"最终",$S$3:$AE$63,MATCH(BP$3,$S$3:$AE$3,0),FALSE)-VLOOKUP($BJ117&amp;"初始",$S$3:$AE$63,MATCH(BP$3,$S$3:$AE$3,0),FALSE))*$BL117/VLOOKUP(VLOOKUP($BJ117,坦克个性化设定!$B$18:$E$48,4,FALSE)&amp;$BK117,坦克属性分配比例,MATCH("升星次数",坦克属性分配比例标头,0),FALSE)*(VLOOKUP(VLOOKUP($BJ117,坦克个性化设定!$B$18:$E$48,4,FALSE)&amp;$BK117,坦克属性分配比例,MATCH("升星比例",坦克属性分配比例标头,0),FALSE)+VLOOKUP(VLOOKUP($BJ117,坦克个性化设定!$B$18:$E$48,4,FALSE)&amp;$BK117,坦克属性分配比例,MATCH("部件比例",坦克属性分配比例标头,0),FALSE)*$C$3),0)</f>
        <v>372</v>
      </c>
      <c r="BQ117" s="103">
        <f ca="1">ROUND(VLOOKUP($BJ117&amp;"初始",$S$3:$AE$63,MATCH(BQ$3,$S$3:$AE$3,0),FALSE)+(VLOOKUP($BJ117&amp;"最终",$S$3:$AE$63,MATCH(BQ$3,$S$3:$AE$3,0),FALSE)-VLOOKUP($BJ117&amp;"初始",$S$3:$AE$63,MATCH(BQ$3,$S$3:$AE$3,0),FALSE))*$BL117/VLOOKUP(VLOOKUP($BJ117,坦克个性化设定!$B$18:$E$48,4,FALSE)&amp;$BK117,坦克属性分配比例,MATCH("升星次数",坦克属性分配比例标头,0),FALSE)*VLOOKUP(VLOOKUP($BJ117,坦克个性化设定!$B$18:$E$48,4,FALSE)&amp;$BK117,坦克属性分配比例,MATCH("升星比例",坦克属性分配比例标头,0),FALSE),0)</f>
        <v>516</v>
      </c>
      <c r="BR117" s="2">
        <f ca="1">ROUND(VLOOKUP($BJ117&amp;"初始",$S$3:$AE$63,MATCH(BR$3,$S$3:$AE$3,0),FALSE)+(VLOOKUP($BJ117&amp;"最终",$S$3:$AE$63,MATCH(BR$3,$S$3:$AE$3,0),FALSE)-VLOOKUP($BJ117&amp;"初始",$S$3:$AE$63,MATCH(BR$3,$S$3:$AE$3,0),FALSE))*$BL117/VLOOKUP(VLOOKUP($BJ117,坦克个性化设定!$B$18:$E$48,4,FALSE)&amp;$BK117,坦克属性分配比例,MATCH("升星次数",坦克属性分配比例标头,0),FALSE),0)</f>
        <v>135</v>
      </c>
      <c r="BS117" s="2">
        <f>ROUND(VLOOKUP($BJ117,$AI$3:$AO$33,MATCH(BS$3,$AI$3:$AO$3,0),FALSE)+$BL117/VLOOKUP(VLOOKUP($BJ117,坦克个性化设定!$B$18:$E$48,4,FALSE)&amp;$BK117,坦克属性分配比例,MATCH("升星次数",坦克属性分配比例标头,0),FALSE)*VLOOKUP($BJ117,$AR$3:$AY$33,MATCH(BS$3,$AR$3:$AY$3,0),FALSE),1)</f>
        <v>52.4</v>
      </c>
      <c r="BT117" s="2">
        <f>ROUND(VLOOKUP($BJ117,$AI$3:$AO$33,MATCH(BT$3,$AI$3:$AO$3,0),FALSE)+$BL117/VLOOKUP(VLOOKUP($BJ117,坦克个性化设定!$B$18:$E$48,4,FALSE)&amp;$BK117,坦克属性分配比例,MATCH("升星次数",坦克属性分配比例标头,0),FALSE)*VLOOKUP($BJ117,$AR$3:$AY$33,MATCH(BT$3,$AR$3:$AY$3,0),FALSE),1)</f>
        <v>47.1</v>
      </c>
      <c r="BU117" s="2">
        <f>ROUND(VLOOKUP($BJ117,$AI$3:$AO$33,MATCH(BU$3,$AI$3:$AO$3,0),FALSE)+$BL117/VLOOKUP(VLOOKUP($BJ117,坦克个性化设定!$B$18:$E$48,4,FALSE)&amp;$BK117,坦克属性分配比例,MATCH("升星次数",坦克属性分配比例标头,0),FALSE)*VLOOKUP($BJ117,$AR$3:$AY$33,MATCH(BU$3,$AR$3:$AY$3,0),FALSE),1)</f>
        <v>8</v>
      </c>
      <c r="BV117" s="2">
        <f>IF(VLOOKUP(BJ117,坦克个性化设定!$B$18:$BC$48,MATCH("装弹类型",坦克个性化设定!$B$18:$BC$18,0),FALSE)="弹夹换弹",0,ROUND(VLOOKUP($BJ117,$AI$3:$AO$33,MATCH("换弹时间",$AI$3:$AO$3,0),FALSE)-$BL117/VLOOKUP(VLOOKUP($BJ117,坦克个性化设定!$B$18:$E$48,4,FALSE)&amp;$BK117,坦克属性分配比例,MATCH("升星次数",坦克属性分配比例标头,0),FALSE)*VLOOKUP($BJ117,$AR$3:$AY$33,MATCH("换弹时间",$AR$3:$AY$3,0),FALSE),2))</f>
        <v>0</v>
      </c>
      <c r="BW117" s="2">
        <f>IF(VLOOKUP(BJ117,坦克个性化设定!$B$18:$BC$48,MATCH("装弹类型",坦克个性化设定!$B$18:$BC$18,0),FALSE)="弹夹换弹",ROUND(VLOOKUP($BJ117,$AI$3:$AO$33,MATCH("换弹时间",$AI$3:$AO$3,0),FALSE)-$BL117/VLOOKUP(VLOOKUP($BJ117,坦克个性化设定!$B$18:$E$48,4,FALSE)&amp;$BK117,坦克属性分配比例,MATCH("升星次数",坦克属性分配比例标头,0),FALSE)*VLOOKUP($BJ117,$AR$3:$AY$33,MATCH("换弹时间",$AR$3:$AY$3,0),FALSE),1),0)</f>
        <v>2.8</v>
      </c>
      <c r="BX117" s="2">
        <f>ROUND(VLOOKUP($BJ117,$AI$3:$AO$33,MATCH(BX$3,$AI$3:$AO$3,0),FALSE)+$BL117/VLOOKUP(VLOOKUP($BJ117,坦克个性化设定!$B$18:$E$48,4,FALSE)&amp;$BK117,坦克属性分配比例,MATCH("升星次数",坦克属性分配比例标头,0),FALSE)*VLOOKUP($BJ117,$AR$3:$AY$33,MATCH(BX$3,$AR$3:$AY$3,0),FALSE),2)</f>
        <v>0.81</v>
      </c>
      <c r="BY117" s="2">
        <f>ROUND(VLOOKUP($BJ117,$AI$3:$AO$33,MATCH(BY$3,$AI$3:$AO$3,0),FALSE)-$BL117/VLOOKUP(VLOOKUP($BJ117,坦克个性化设定!$B$18:$E$48,4,FALSE)&amp;$BK117,坦克属性分配比例,MATCH("升星次数",坦克属性分配比例标头,0),FALSE)*VLOOKUP($BJ117,$AR$3:$AY$33,MATCH(BY$3,$AR$3:$AY$3,0),FALSE),2)</f>
        <v>0.89</v>
      </c>
    </row>
    <row r="118" spans="60:77" x14ac:dyDescent="0.3">
      <c r="BH118" s="2" t="str">
        <f t="shared" si="24"/>
        <v>T-346</v>
      </c>
      <c r="BI118" s="2">
        <f>IF(BL117&gt;=VLOOKUP(VLOOKUP(BJ117,坦克个性化设定!$B$18:$E$48,4,FALSE)&amp;BK117,坦克属性分配比例,MATCH("升星次数",坦克属性分配比例标头,0),FALSE),BI117+1,BI117)</f>
        <v>12</v>
      </c>
      <c r="BJ118" s="2" t="str">
        <f t="shared" si="25"/>
        <v>T-34</v>
      </c>
      <c r="BK118" s="29" t="str">
        <f>VLOOKUP(BJ118,坦克个性化细分!$I$3:$J$33,2,FALSE)</f>
        <v>低</v>
      </c>
      <c r="BL118" s="2">
        <f t="shared" si="23"/>
        <v>6</v>
      </c>
      <c r="BM118" s="103">
        <f ca="1">ROUND(VLOOKUP($BJ118&amp;"初始",$S$3:$AE$63,MATCH(BM$3,$S$3:$AE$3,0),FALSE)+((VLOOKUP($BJ118&amp;"最终",$S$3:$AE$63,MATCH(BM$3,$S$3:$AE$3,0),FALSE)*坦克个性化细分!$C$9-VLOOKUP($BJ118&amp;"初始",$S$3:$AE$63,MATCH(BM$3,$S$3:$AE$3,0),FALSE))-(VLOOKUP($BJ118&amp;"最终",$S$3:$AE$63,MATCH(BM$3,$S$3:$AE$3,0),FALSE)-VLOOKUP($BJ118&amp;"初始",$S$3:$AE$63,MATCH(BM$3,$S$3:$AE$3,0),FALSE))*VLOOKUP(VLOOKUP($BJ118,坦克个性化设定!$B$18:$E$48,4,FALSE)&amp;$BK118,坦克属性分配比例,MATCH("部件比例",坦克属性分配比例标头,0),FALSE))*$BL118/VLOOKUP(VLOOKUP($BJ118,坦克个性化设定!$B$18:$E$48,4,FALSE)&amp;$BK118,坦克属性分配比例,MATCH("升星次数",坦克属性分配比例标头,0),FALSE),0)</f>
        <v>1319</v>
      </c>
      <c r="BN118" s="103">
        <f ca="1">ROUND(VLOOKUP($BJ118&amp;"初始",$S$3:$AE$63,MATCH(BN$3,$S$3:$AE$3,0),FALSE)+(VLOOKUP($BJ118&amp;"最终",$S$3:$AE$63,MATCH(BN$3,$S$3:$AE$3,0),FALSE)-VLOOKUP($BJ118&amp;"初始",$S$3:$AE$63,MATCH(BN$3,$S$3:$AE$3,0),FALSE))*$BL118/VLOOKUP(VLOOKUP($BJ118,坦克个性化设定!$B$18:$E$48,4,FALSE)&amp;$BK118,坦克属性分配比例,MATCH("升星次数",坦克属性分配比例标头,0),FALSE)*VLOOKUP(VLOOKUP($BJ118,坦克个性化设定!$B$18:$E$48,4,FALSE)&amp;$BK118,坦克属性分配比例,MATCH("升星比例",坦克属性分配比例标头,0),FALSE),0)</f>
        <v>162</v>
      </c>
      <c r="BO118" s="103">
        <f ca="1">ROUND(VLOOKUP($BJ118&amp;"初始",$S$3:$AE$63,MATCH(BO$3,$S$3:$AE$3,0),FALSE)+(VLOOKUP($BJ118&amp;"最终",$S$3:$AE$63,MATCH(BO$3,$S$3:$AE$3,0),FALSE)-VLOOKUP($BJ118&amp;"初始",$S$3:$AE$63,MATCH(BO$3,$S$3:$AE$3,0),FALSE))*$BL118/VLOOKUP(VLOOKUP($BJ118,坦克个性化设定!$B$18:$E$48,4,FALSE)&amp;$BK118,坦克属性分配比例,MATCH("升星次数",坦克属性分配比例标头,0),FALSE)*(VLOOKUP(VLOOKUP($BJ118,坦克个性化设定!$B$18:$E$48,4,FALSE)&amp;$BK118,坦克属性分配比例,MATCH("升星比例",坦克属性分配比例标头,0),FALSE)+VLOOKUP(VLOOKUP($BJ118,坦克个性化设定!$B$18:$E$48,4,FALSE)&amp;$BK118,坦克属性分配比例,MATCH("部件比例",坦克属性分配比例标头,0),FALSE)*$C$3),0)</f>
        <v>516</v>
      </c>
      <c r="BP118" s="103">
        <f ca="1">ROUND(VLOOKUP($BJ118&amp;"初始",$S$3:$AE$63,MATCH(BP$3,$S$3:$AE$3,0),FALSE)+(VLOOKUP($BJ118&amp;"最终",$S$3:$AE$63,MATCH(BP$3,$S$3:$AE$3,0),FALSE)-VLOOKUP($BJ118&amp;"初始",$S$3:$AE$63,MATCH(BP$3,$S$3:$AE$3,0),FALSE))*$BL118/VLOOKUP(VLOOKUP($BJ118,坦克个性化设定!$B$18:$E$48,4,FALSE)&amp;$BK118,坦克属性分配比例,MATCH("升星次数",坦克属性分配比例标头,0),FALSE)*(VLOOKUP(VLOOKUP($BJ118,坦克个性化设定!$B$18:$E$48,4,FALSE)&amp;$BK118,坦克属性分配比例,MATCH("升星比例",坦克属性分配比例标头,0),FALSE)+VLOOKUP(VLOOKUP($BJ118,坦克个性化设定!$B$18:$E$48,4,FALSE)&amp;$BK118,坦克属性分配比例,MATCH("部件比例",坦克属性分配比例标头,0),FALSE)*$C$3),0)</f>
        <v>387</v>
      </c>
      <c r="BQ118" s="103">
        <f ca="1">ROUND(VLOOKUP($BJ118&amp;"初始",$S$3:$AE$63,MATCH(BQ$3,$S$3:$AE$3,0),FALSE)+(VLOOKUP($BJ118&amp;"最终",$S$3:$AE$63,MATCH(BQ$3,$S$3:$AE$3,0),FALSE)-VLOOKUP($BJ118&amp;"初始",$S$3:$AE$63,MATCH(BQ$3,$S$3:$AE$3,0),FALSE))*$BL118/VLOOKUP(VLOOKUP($BJ118,坦克个性化设定!$B$18:$E$48,4,FALSE)&amp;$BK118,坦克属性分配比例,MATCH("升星次数",坦克属性分配比例标头,0),FALSE)*VLOOKUP(VLOOKUP($BJ118,坦克个性化设定!$B$18:$E$48,4,FALSE)&amp;$BK118,坦克属性分配比例,MATCH("升星比例",坦克属性分配比例标头,0),FALSE),0)</f>
        <v>532</v>
      </c>
      <c r="BR118" s="2">
        <f ca="1">ROUND(VLOOKUP($BJ118&amp;"初始",$S$3:$AE$63,MATCH(BR$3,$S$3:$AE$3,0),FALSE)+(VLOOKUP($BJ118&amp;"最终",$S$3:$AE$63,MATCH(BR$3,$S$3:$AE$3,0),FALSE)-VLOOKUP($BJ118&amp;"初始",$S$3:$AE$63,MATCH(BR$3,$S$3:$AE$3,0),FALSE))*$BL118/VLOOKUP(VLOOKUP($BJ118,坦克个性化设定!$B$18:$E$48,4,FALSE)&amp;$BK118,坦克属性分配比例,MATCH("升星次数",坦克属性分配比例标头,0),FALSE),0)</f>
        <v>141</v>
      </c>
      <c r="BS118" s="2">
        <f>ROUND(VLOOKUP($BJ118,$AI$3:$AO$33,MATCH(BS$3,$AI$3:$AO$3,0),FALSE)+$BL118/VLOOKUP(VLOOKUP($BJ118,坦克个性化设定!$B$18:$E$48,4,FALSE)&amp;$BK118,坦克属性分配比例,MATCH("升星次数",坦克属性分配比例标头,0),FALSE)*VLOOKUP($BJ118,$AR$3:$AY$33,MATCH(BS$3,$AR$3:$AY$3,0),FALSE),1)</f>
        <v>54</v>
      </c>
      <c r="BT118" s="2">
        <f>ROUND(VLOOKUP($BJ118,$AI$3:$AO$33,MATCH(BT$3,$AI$3:$AO$3,0),FALSE)+$BL118/VLOOKUP(VLOOKUP($BJ118,坦克个性化设定!$B$18:$E$48,4,FALSE)&amp;$BK118,坦克属性分配比例,MATCH("升星次数",坦克属性分配比例标头,0),FALSE)*VLOOKUP($BJ118,$AR$3:$AY$33,MATCH(BT$3,$AR$3:$AY$3,0),FALSE),1)</f>
        <v>48.6</v>
      </c>
      <c r="BU118" s="2">
        <f>ROUND(VLOOKUP($BJ118,$AI$3:$AO$33,MATCH(BU$3,$AI$3:$AO$3,0),FALSE)+$BL118/VLOOKUP(VLOOKUP($BJ118,坦克个性化设定!$B$18:$E$48,4,FALSE)&amp;$BK118,坦克属性分配比例,MATCH("升星次数",坦克属性分配比例标头,0),FALSE)*VLOOKUP($BJ118,$AR$3:$AY$33,MATCH(BU$3,$AR$3:$AY$3,0),FALSE),1)</f>
        <v>8</v>
      </c>
      <c r="BV118" s="2">
        <f>IF(VLOOKUP(BJ118,坦克个性化设定!$B$18:$BC$48,MATCH("装弹类型",坦克个性化设定!$B$18:$BC$18,0),FALSE)="弹夹换弹",0,ROUND(VLOOKUP($BJ118,$AI$3:$AO$33,MATCH("换弹时间",$AI$3:$AO$3,0),FALSE)-$BL118/VLOOKUP(VLOOKUP($BJ118,坦克个性化设定!$B$18:$E$48,4,FALSE)&amp;$BK118,坦克属性分配比例,MATCH("升星次数",坦克属性分配比例标头,0),FALSE)*VLOOKUP($BJ118,$AR$3:$AY$33,MATCH("换弹时间",$AR$3:$AY$3,0),FALSE),2))</f>
        <v>0</v>
      </c>
      <c r="BW118" s="2">
        <f>IF(VLOOKUP(BJ118,坦克个性化设定!$B$18:$BC$48,MATCH("装弹类型",坦克个性化设定!$B$18:$BC$18,0),FALSE)="弹夹换弹",ROUND(VLOOKUP($BJ118,$AI$3:$AO$33,MATCH("换弹时间",$AI$3:$AO$3,0),FALSE)-$BL118/VLOOKUP(VLOOKUP($BJ118,坦克个性化设定!$B$18:$E$48,4,FALSE)&amp;$BK118,坦克属性分配比例,MATCH("升星次数",坦克属性分配比例标头,0),FALSE)*VLOOKUP($BJ118,$AR$3:$AY$33,MATCH("换弹时间",$AR$3:$AY$3,0),FALSE),1),0)</f>
        <v>2.7</v>
      </c>
      <c r="BX118" s="2">
        <f>ROUND(VLOOKUP($BJ118,$AI$3:$AO$33,MATCH(BX$3,$AI$3:$AO$3,0),FALSE)+$BL118/VLOOKUP(VLOOKUP($BJ118,坦克个性化设定!$B$18:$E$48,4,FALSE)&amp;$BK118,坦克属性分配比例,MATCH("升星次数",坦克属性分配比例标头,0),FALSE)*VLOOKUP($BJ118,$AR$3:$AY$33,MATCH(BX$3,$AR$3:$AY$3,0),FALSE),2)</f>
        <v>0.9</v>
      </c>
      <c r="BY118" s="2">
        <f>ROUND(VLOOKUP($BJ118,$AI$3:$AO$33,MATCH(BY$3,$AI$3:$AO$3,0),FALSE)-$BL118/VLOOKUP(VLOOKUP($BJ118,坦克个性化设定!$B$18:$E$48,4,FALSE)&amp;$BK118,坦克属性分配比例,MATCH("升星次数",坦克属性分配比例标头,0),FALSE)*VLOOKUP($BJ118,$AR$3:$AY$33,MATCH(BY$3,$AR$3:$AY$3,0),FALSE),2)</f>
        <v>0.87</v>
      </c>
    </row>
    <row r="119" spans="60:77" x14ac:dyDescent="0.3">
      <c r="BH119" s="2" t="str">
        <f t="shared" si="24"/>
        <v>T-347</v>
      </c>
      <c r="BI119" s="2">
        <f>IF(BL118&gt;=VLOOKUP(VLOOKUP(BJ118,坦克个性化设定!$B$18:$E$48,4,FALSE)&amp;BK118,坦克属性分配比例,MATCH("升星次数",坦克属性分配比例标头,0),FALSE),BI118+1,BI118)</f>
        <v>12</v>
      </c>
      <c r="BJ119" s="2" t="str">
        <f t="shared" si="25"/>
        <v>T-34</v>
      </c>
      <c r="BK119" s="29" t="str">
        <f>VLOOKUP(BJ119,坦克个性化细分!$I$3:$J$33,2,FALSE)</f>
        <v>低</v>
      </c>
      <c r="BL119" s="2">
        <f t="shared" si="23"/>
        <v>7</v>
      </c>
      <c r="BM119" s="103">
        <f ca="1">ROUND(VLOOKUP($BJ119&amp;"初始",$S$3:$AE$63,MATCH(BM$3,$S$3:$AE$3,0),FALSE)+((VLOOKUP($BJ119&amp;"最终",$S$3:$AE$63,MATCH(BM$3,$S$3:$AE$3,0),FALSE)*坦克个性化细分!$C$9-VLOOKUP($BJ119&amp;"初始",$S$3:$AE$63,MATCH(BM$3,$S$3:$AE$3,0),FALSE))-(VLOOKUP($BJ119&amp;"最终",$S$3:$AE$63,MATCH(BM$3,$S$3:$AE$3,0),FALSE)-VLOOKUP($BJ119&amp;"初始",$S$3:$AE$63,MATCH(BM$3,$S$3:$AE$3,0),FALSE))*VLOOKUP(VLOOKUP($BJ119,坦克个性化设定!$B$18:$E$48,4,FALSE)&amp;$BK119,坦克属性分配比例,MATCH("部件比例",坦克属性分配比例标头,0),FALSE))*$BL119/VLOOKUP(VLOOKUP($BJ119,坦克个性化设定!$B$18:$E$48,4,FALSE)&amp;$BK119,坦克属性分配比例,MATCH("升星次数",坦克属性分配比例标头,0),FALSE),0)</f>
        <v>1381</v>
      </c>
      <c r="BN119" s="103">
        <f ca="1">ROUND(VLOOKUP($BJ119&amp;"初始",$S$3:$AE$63,MATCH(BN$3,$S$3:$AE$3,0),FALSE)+(VLOOKUP($BJ119&amp;"最终",$S$3:$AE$63,MATCH(BN$3,$S$3:$AE$3,0),FALSE)-VLOOKUP($BJ119&amp;"初始",$S$3:$AE$63,MATCH(BN$3,$S$3:$AE$3,0),FALSE))*$BL119/VLOOKUP(VLOOKUP($BJ119,坦克个性化设定!$B$18:$E$48,4,FALSE)&amp;$BK119,坦克属性分配比例,MATCH("升星次数",坦克属性分配比例标头,0),FALSE)*VLOOKUP(VLOOKUP($BJ119,坦克个性化设定!$B$18:$E$48,4,FALSE)&amp;$BK119,坦克属性分配比例,MATCH("升星比例",坦克属性分配比例标头,0),FALSE),0)</f>
        <v>167</v>
      </c>
      <c r="BO119" s="103">
        <f ca="1">ROUND(VLOOKUP($BJ119&amp;"初始",$S$3:$AE$63,MATCH(BO$3,$S$3:$AE$3,0),FALSE)+(VLOOKUP($BJ119&amp;"最终",$S$3:$AE$63,MATCH(BO$3,$S$3:$AE$3,0),FALSE)-VLOOKUP($BJ119&amp;"初始",$S$3:$AE$63,MATCH(BO$3,$S$3:$AE$3,0),FALSE))*$BL119/VLOOKUP(VLOOKUP($BJ119,坦克个性化设定!$B$18:$E$48,4,FALSE)&amp;$BK119,坦克属性分配比例,MATCH("升星次数",坦克属性分配比例标头,0),FALSE)*(VLOOKUP(VLOOKUP($BJ119,坦克个性化设定!$B$18:$E$48,4,FALSE)&amp;$BK119,坦克属性分配比例,MATCH("升星比例",坦克属性分配比例标头,0),FALSE)+VLOOKUP(VLOOKUP($BJ119,坦克个性化设定!$B$18:$E$48,4,FALSE)&amp;$BK119,坦克属性分配比例,MATCH("部件比例",坦克属性分配比例标头,0),FALSE)*$C$3),0)</f>
        <v>536</v>
      </c>
      <c r="BP119" s="103">
        <f ca="1">ROUND(VLOOKUP($BJ119&amp;"初始",$S$3:$AE$63,MATCH(BP$3,$S$3:$AE$3,0),FALSE)+(VLOOKUP($BJ119&amp;"最终",$S$3:$AE$63,MATCH(BP$3,$S$3:$AE$3,0),FALSE)-VLOOKUP($BJ119&amp;"初始",$S$3:$AE$63,MATCH(BP$3,$S$3:$AE$3,0),FALSE))*$BL119/VLOOKUP(VLOOKUP($BJ119,坦克个性化设定!$B$18:$E$48,4,FALSE)&amp;$BK119,坦克属性分配比例,MATCH("升星次数",坦克属性分配比例标头,0),FALSE)*(VLOOKUP(VLOOKUP($BJ119,坦克个性化设定!$B$18:$E$48,4,FALSE)&amp;$BK119,坦克属性分配比例,MATCH("升星比例",坦克属性分配比例标头,0),FALSE)+VLOOKUP(VLOOKUP($BJ119,坦克个性化设定!$B$18:$E$48,4,FALSE)&amp;$BK119,坦克属性分配比例,MATCH("部件比例",坦克属性分配比例标头,0),FALSE)*$C$3),0)</f>
        <v>402</v>
      </c>
      <c r="BQ119" s="103">
        <f ca="1">ROUND(VLOOKUP($BJ119&amp;"初始",$S$3:$AE$63,MATCH(BQ$3,$S$3:$AE$3,0),FALSE)+(VLOOKUP($BJ119&amp;"最终",$S$3:$AE$63,MATCH(BQ$3,$S$3:$AE$3,0),FALSE)-VLOOKUP($BJ119&amp;"初始",$S$3:$AE$63,MATCH(BQ$3,$S$3:$AE$3,0),FALSE))*$BL119/VLOOKUP(VLOOKUP($BJ119,坦克个性化设定!$B$18:$E$48,4,FALSE)&amp;$BK119,坦克属性分配比例,MATCH("升星次数",坦克属性分配比例标头,0),FALSE)*VLOOKUP(VLOOKUP($BJ119,坦克个性化设定!$B$18:$E$48,4,FALSE)&amp;$BK119,坦克属性分配比例,MATCH("升星比例",坦克属性分配比例标头,0),FALSE),0)</f>
        <v>549</v>
      </c>
      <c r="BR119" s="2">
        <f ca="1">ROUND(VLOOKUP($BJ119&amp;"初始",$S$3:$AE$63,MATCH(BR$3,$S$3:$AE$3,0),FALSE)+(VLOOKUP($BJ119&amp;"最终",$S$3:$AE$63,MATCH(BR$3,$S$3:$AE$3,0),FALSE)-VLOOKUP($BJ119&amp;"初始",$S$3:$AE$63,MATCH(BR$3,$S$3:$AE$3,0),FALSE))*$BL119/VLOOKUP(VLOOKUP($BJ119,坦克个性化设定!$B$18:$E$48,4,FALSE)&amp;$BK119,坦克属性分配比例,MATCH("升星次数",坦克属性分配比例标头,0),FALSE),0)</f>
        <v>147</v>
      </c>
      <c r="BS119" s="2">
        <f>ROUND(VLOOKUP($BJ119,$AI$3:$AO$33,MATCH(BS$3,$AI$3:$AO$3,0),FALSE)+$BL119/VLOOKUP(VLOOKUP($BJ119,坦克个性化设定!$B$18:$E$48,4,FALSE)&amp;$BK119,坦克属性分配比例,MATCH("升星次数",坦克属性分配比例标头,0),FALSE)*VLOOKUP($BJ119,$AR$3:$AY$33,MATCH(BS$3,$AR$3:$AY$3,0),FALSE),1)</f>
        <v>55.6</v>
      </c>
      <c r="BT119" s="2">
        <f>ROUND(VLOOKUP($BJ119,$AI$3:$AO$33,MATCH(BT$3,$AI$3:$AO$3,0),FALSE)+$BL119/VLOOKUP(VLOOKUP($BJ119,坦克个性化设定!$B$18:$E$48,4,FALSE)&amp;$BK119,坦克属性分配比例,MATCH("升星次数",坦克属性分配比例标头,0),FALSE)*VLOOKUP($BJ119,$AR$3:$AY$33,MATCH(BT$3,$AR$3:$AY$3,0),FALSE),1)</f>
        <v>50</v>
      </c>
      <c r="BU119" s="2">
        <f>ROUND(VLOOKUP($BJ119,$AI$3:$AO$33,MATCH(BU$3,$AI$3:$AO$3,0),FALSE)+$BL119/VLOOKUP(VLOOKUP($BJ119,坦克个性化设定!$B$18:$E$48,4,FALSE)&amp;$BK119,坦克属性分配比例,MATCH("升星次数",坦克属性分配比例标头,0),FALSE)*VLOOKUP($BJ119,$AR$3:$AY$33,MATCH(BU$3,$AR$3:$AY$3,0),FALSE),1)</f>
        <v>8</v>
      </c>
      <c r="BV119" s="2">
        <f>IF(VLOOKUP(BJ119,坦克个性化设定!$B$18:$BC$48,MATCH("装弹类型",坦克个性化设定!$B$18:$BC$18,0),FALSE)="弹夹换弹",0,ROUND(VLOOKUP($BJ119,$AI$3:$AO$33,MATCH("换弹时间",$AI$3:$AO$3,0),FALSE)-$BL119/VLOOKUP(VLOOKUP($BJ119,坦克个性化设定!$B$18:$E$48,4,FALSE)&amp;$BK119,坦克属性分配比例,MATCH("升星次数",坦克属性分配比例标头,0),FALSE)*VLOOKUP($BJ119,$AR$3:$AY$33,MATCH("换弹时间",$AR$3:$AY$3,0),FALSE),2))</f>
        <v>0</v>
      </c>
      <c r="BW119" s="2">
        <f>IF(VLOOKUP(BJ119,坦克个性化设定!$B$18:$BC$48,MATCH("装弹类型",坦克个性化设定!$B$18:$BC$18,0),FALSE)="弹夹换弹",ROUND(VLOOKUP($BJ119,$AI$3:$AO$33,MATCH("换弹时间",$AI$3:$AO$3,0),FALSE)-$BL119/VLOOKUP(VLOOKUP($BJ119,坦克个性化设定!$B$18:$E$48,4,FALSE)&amp;$BK119,坦克属性分配比例,MATCH("升星次数",坦克属性分配比例标头,0),FALSE)*VLOOKUP($BJ119,$AR$3:$AY$33,MATCH("换弹时间",$AR$3:$AY$3,0),FALSE),1),0)</f>
        <v>2.6</v>
      </c>
      <c r="BX119" s="2">
        <f>ROUND(VLOOKUP($BJ119,$AI$3:$AO$33,MATCH(BX$3,$AI$3:$AO$3,0),FALSE)+$BL119/VLOOKUP(VLOOKUP($BJ119,坦克个性化设定!$B$18:$E$48,4,FALSE)&amp;$BK119,坦克属性分配比例,MATCH("升星次数",坦克属性分配比例标头,0),FALSE)*VLOOKUP($BJ119,$AR$3:$AY$33,MATCH(BX$3,$AR$3:$AY$3,0),FALSE),2)</f>
        <v>1</v>
      </c>
      <c r="BY119" s="2">
        <f>ROUND(VLOOKUP($BJ119,$AI$3:$AO$33,MATCH(BY$3,$AI$3:$AO$3,0),FALSE)-$BL119/VLOOKUP(VLOOKUP($BJ119,坦克个性化设定!$B$18:$E$48,4,FALSE)&amp;$BK119,坦克属性分配比例,MATCH("升星次数",坦克属性分配比例标头,0),FALSE)*VLOOKUP($BJ119,$AR$3:$AY$33,MATCH(BY$3,$AR$3:$AY$3,0),FALSE),2)</f>
        <v>0.84</v>
      </c>
    </row>
    <row r="120" spans="60:77" x14ac:dyDescent="0.3">
      <c r="BH120" s="2" t="str">
        <f t="shared" si="24"/>
        <v>四号0</v>
      </c>
      <c r="BI120" s="2">
        <f>IF(BL119&gt;=VLOOKUP(VLOOKUP(BJ119,坦克个性化设定!$B$18:$E$48,4,FALSE)&amp;BK119,坦克属性分配比例,MATCH("升星次数",坦克属性分配比例标头,0),FALSE),BI119+1,BI119)</f>
        <v>13</v>
      </c>
      <c r="BJ120" s="2" t="str">
        <f t="shared" si="25"/>
        <v>四号</v>
      </c>
      <c r="BK120" s="29" t="str">
        <f>VLOOKUP(BJ120,坦克个性化细分!$I$3:$J$33,2,FALSE)</f>
        <v>中</v>
      </c>
      <c r="BL120" s="2">
        <f t="shared" si="23"/>
        <v>0</v>
      </c>
      <c r="BM120" s="103">
        <f ca="1">ROUND(VLOOKUP($BJ120&amp;"初始",$S$3:$AE$63,MATCH(BM$3,$S$3:$AE$3,0),FALSE)+((VLOOKUP($BJ120&amp;"最终",$S$3:$AE$63,MATCH(BM$3,$S$3:$AE$3,0),FALSE)*坦克个性化细分!$C$9-VLOOKUP($BJ120&amp;"初始",$S$3:$AE$63,MATCH(BM$3,$S$3:$AE$3,0),FALSE))-(VLOOKUP($BJ120&amp;"最终",$S$3:$AE$63,MATCH(BM$3,$S$3:$AE$3,0),FALSE)-VLOOKUP($BJ120&amp;"初始",$S$3:$AE$63,MATCH(BM$3,$S$3:$AE$3,0),FALSE))*VLOOKUP(VLOOKUP($BJ120,坦克个性化设定!$B$18:$E$48,4,FALSE)&amp;$BK120,坦克属性分配比例,MATCH("部件比例",坦克属性分配比例标头,0),FALSE))*$BL120/VLOOKUP(VLOOKUP($BJ120,坦克个性化设定!$B$18:$E$48,4,FALSE)&amp;$BK120,坦克属性分配比例,MATCH("升星次数",坦克属性分配比例标头,0),FALSE),0)</f>
        <v>1007</v>
      </c>
      <c r="BN120" s="103">
        <f ca="1">ROUND(VLOOKUP($BJ120&amp;"初始",$S$3:$AE$63,MATCH(BN$3,$S$3:$AE$3,0),FALSE)+(VLOOKUP($BJ120&amp;"最终",$S$3:$AE$63,MATCH(BN$3,$S$3:$AE$3,0),FALSE)-VLOOKUP($BJ120&amp;"初始",$S$3:$AE$63,MATCH(BN$3,$S$3:$AE$3,0),FALSE))*$BL120/VLOOKUP(VLOOKUP($BJ120,坦克个性化设定!$B$18:$E$48,4,FALSE)&amp;$BK120,坦克属性分配比例,MATCH("升星次数",坦克属性分配比例标头,0),FALSE)*VLOOKUP(VLOOKUP($BJ120,坦克个性化设定!$B$18:$E$48,4,FALSE)&amp;$BK120,坦克属性分配比例,MATCH("升星比例",坦克属性分配比例标头,0),FALSE),0)</f>
        <v>133</v>
      </c>
      <c r="BO120" s="103">
        <f ca="1">ROUND(VLOOKUP($BJ120&amp;"初始",$S$3:$AE$63,MATCH(BO$3,$S$3:$AE$3,0),FALSE)+(VLOOKUP($BJ120&amp;"最终",$S$3:$AE$63,MATCH(BO$3,$S$3:$AE$3,0),FALSE)-VLOOKUP($BJ120&amp;"初始",$S$3:$AE$63,MATCH(BO$3,$S$3:$AE$3,0),FALSE))*$BL120/VLOOKUP(VLOOKUP($BJ120,坦克个性化设定!$B$18:$E$48,4,FALSE)&amp;$BK120,坦克属性分配比例,MATCH("升星次数",坦克属性分配比例标头,0),FALSE)*(VLOOKUP(VLOOKUP($BJ120,坦克个性化设定!$B$18:$E$48,4,FALSE)&amp;$BK120,坦克属性分配比例,MATCH("升星比例",坦克属性分配比例标头,0),FALSE)+VLOOKUP(VLOOKUP($BJ120,坦克个性化设定!$B$18:$E$48,4,FALSE)&amp;$BK120,坦克属性分配比例,MATCH("部件比例",坦克属性分配比例标头,0),FALSE)*$C$3),0)</f>
        <v>401</v>
      </c>
      <c r="BP120" s="103">
        <f ca="1">ROUND(VLOOKUP($BJ120&amp;"初始",$S$3:$AE$63,MATCH(BP$3,$S$3:$AE$3,0),FALSE)+(VLOOKUP($BJ120&amp;"最终",$S$3:$AE$63,MATCH(BP$3,$S$3:$AE$3,0),FALSE)-VLOOKUP($BJ120&amp;"初始",$S$3:$AE$63,MATCH(BP$3,$S$3:$AE$3,0),FALSE))*$BL120/VLOOKUP(VLOOKUP($BJ120,坦克个性化设定!$B$18:$E$48,4,FALSE)&amp;$BK120,坦克属性分配比例,MATCH("升星次数",坦克属性分配比例标头,0),FALSE)*(VLOOKUP(VLOOKUP($BJ120,坦克个性化设定!$B$18:$E$48,4,FALSE)&amp;$BK120,坦克属性分配比例,MATCH("升星比例",坦克属性分配比例标头,0),FALSE)+VLOOKUP(VLOOKUP($BJ120,坦克个性化设定!$B$18:$E$48,4,FALSE)&amp;$BK120,坦克属性分配比例,MATCH("部件比例",坦克属性分配比例标头,0),FALSE)*$C$3),0)</f>
        <v>301</v>
      </c>
      <c r="BQ120" s="103">
        <f ca="1">ROUND(VLOOKUP($BJ120&amp;"初始",$S$3:$AE$63,MATCH(BQ$3,$S$3:$AE$3,0),FALSE)+(VLOOKUP($BJ120&amp;"最终",$S$3:$AE$63,MATCH(BQ$3,$S$3:$AE$3,0),FALSE)-VLOOKUP($BJ120&amp;"初始",$S$3:$AE$63,MATCH(BQ$3,$S$3:$AE$3,0),FALSE))*$BL120/VLOOKUP(VLOOKUP($BJ120,坦克个性化设定!$B$18:$E$48,4,FALSE)&amp;$BK120,坦克属性分配比例,MATCH("升星次数",坦克属性分配比例标头,0),FALSE)*VLOOKUP(VLOOKUP($BJ120,坦克个性化设定!$B$18:$E$48,4,FALSE)&amp;$BK120,坦克属性分配比例,MATCH("升星比例",坦克属性分配比例标头,0),FALSE),0)</f>
        <v>439</v>
      </c>
      <c r="BR120" s="2">
        <f ca="1">ROUND(VLOOKUP($BJ120&amp;"初始",$S$3:$AE$63,MATCH(BR$3,$S$3:$AE$3,0),FALSE)+(VLOOKUP($BJ120&amp;"最终",$S$3:$AE$63,MATCH(BR$3,$S$3:$AE$3,0),FALSE)-VLOOKUP($BJ120&amp;"初始",$S$3:$AE$63,MATCH(BR$3,$S$3:$AE$3,0),FALSE))*$BL120/VLOOKUP(VLOOKUP($BJ120,坦克个性化设定!$B$18:$E$48,4,FALSE)&amp;$BK120,坦克属性分配比例,MATCH("升星次数",坦克属性分配比例标头,0),FALSE),0)</f>
        <v>105</v>
      </c>
      <c r="BS120" s="2">
        <f>ROUND(VLOOKUP($BJ120,$AI$3:$AO$33,MATCH(BS$3,$AI$3:$AO$3,0),FALSE)+$BL120/VLOOKUP(VLOOKUP($BJ120,坦克个性化设定!$B$18:$E$48,4,FALSE)&amp;$BK120,坦克属性分配比例,MATCH("升星次数",坦克属性分配比例标头,0),FALSE)*VLOOKUP($BJ120,$AR$3:$AY$33,MATCH(BS$3,$AR$3:$AY$3,0),FALSE),1)</f>
        <v>36.299999999999997</v>
      </c>
      <c r="BT120" s="2">
        <f>ROUND(VLOOKUP($BJ120,$AI$3:$AO$33,MATCH(BT$3,$AI$3:$AO$3,0),FALSE)+$BL120/VLOOKUP(VLOOKUP($BJ120,坦克个性化设定!$B$18:$E$48,4,FALSE)&amp;$BK120,坦克属性分配比例,MATCH("升星次数",坦克属性分配比例标头,0),FALSE)*VLOOKUP($BJ120,$AR$3:$AY$33,MATCH(BT$3,$AR$3:$AY$3,0),FALSE),1)</f>
        <v>51</v>
      </c>
      <c r="BU120" s="2">
        <f>ROUND(VLOOKUP($BJ120,$AI$3:$AO$33,MATCH(BU$3,$AI$3:$AO$3,0),FALSE)+$BL120/VLOOKUP(VLOOKUP($BJ120,坦克个性化设定!$B$18:$E$48,4,FALSE)&amp;$BK120,坦克属性分配比例,MATCH("升星次数",坦克属性分配比例标头,0),FALSE)*VLOOKUP($BJ120,$AR$3:$AY$33,MATCH(BU$3,$AR$3:$AY$3,0),FALSE),1)</f>
        <v>7.3</v>
      </c>
      <c r="BV120" s="2">
        <f>IF(VLOOKUP(BJ120,坦克个性化设定!$B$18:$BC$48,MATCH("装弹类型",坦克个性化设定!$B$18:$BC$18,0),FALSE)="弹夹换弹",0,ROUND(VLOOKUP($BJ120,$AI$3:$AO$33,MATCH("换弹时间",$AI$3:$AO$3,0),FALSE)-$BL120/VLOOKUP(VLOOKUP($BJ120,坦克个性化设定!$B$18:$E$48,4,FALSE)&amp;$BK120,坦克属性分配比例,MATCH("升星次数",坦克属性分配比例标头,0),FALSE)*VLOOKUP($BJ120,$AR$3:$AY$33,MATCH("换弹时间",$AR$3:$AY$3,0),FALSE),2))</f>
        <v>2.4</v>
      </c>
      <c r="BW120" s="2">
        <f>IF(VLOOKUP(BJ120,坦克个性化设定!$B$18:$BC$48,MATCH("装弹类型",坦克个性化设定!$B$18:$BC$18,0),FALSE)="弹夹换弹",ROUND(VLOOKUP($BJ120,$AI$3:$AO$33,MATCH("换弹时间",$AI$3:$AO$3,0),FALSE)-$BL120/VLOOKUP(VLOOKUP($BJ120,坦克个性化设定!$B$18:$E$48,4,FALSE)&amp;$BK120,坦克属性分配比例,MATCH("升星次数",坦克属性分配比例标头,0),FALSE)*VLOOKUP($BJ120,$AR$3:$AY$33,MATCH("换弹时间",$AR$3:$AY$3,0),FALSE),1),0)</f>
        <v>0</v>
      </c>
      <c r="BX120" s="2">
        <f>ROUND(VLOOKUP($BJ120,$AI$3:$AO$33,MATCH(BX$3,$AI$3:$AO$3,0),FALSE)+$BL120/VLOOKUP(VLOOKUP($BJ120,坦克个性化设定!$B$18:$E$48,4,FALSE)&amp;$BK120,坦克属性分配比例,MATCH("升星次数",坦克属性分配比例标头,0),FALSE)*VLOOKUP($BJ120,$AR$3:$AY$33,MATCH(BX$3,$AR$3:$AY$3,0),FALSE),2)</f>
        <v>0.4</v>
      </c>
      <c r="BY120" s="2">
        <f>ROUND(VLOOKUP($BJ120,$AI$3:$AO$33,MATCH(BY$3,$AI$3:$AO$3,0),FALSE)-$BL120/VLOOKUP(VLOOKUP($BJ120,坦克个性化设定!$B$18:$E$48,4,FALSE)&amp;$BK120,坦克属性分配比例,MATCH("升星次数",坦克属性分配比例标头,0),FALSE)*VLOOKUP($BJ120,$AR$3:$AY$33,MATCH(BY$3,$AR$3:$AY$3,0),FALSE),2)</f>
        <v>1.4</v>
      </c>
    </row>
    <row r="121" spans="60:77" x14ac:dyDescent="0.3">
      <c r="BH121" s="2" t="str">
        <f t="shared" si="24"/>
        <v>四号1</v>
      </c>
      <c r="BI121" s="2">
        <f>IF(BL120&gt;=VLOOKUP(VLOOKUP(BJ120,坦克个性化设定!$B$18:$E$48,4,FALSE)&amp;BK120,坦克属性分配比例,MATCH("升星次数",坦克属性分配比例标头,0),FALSE),BI120+1,BI120)</f>
        <v>13</v>
      </c>
      <c r="BJ121" s="2" t="str">
        <f t="shared" si="25"/>
        <v>四号</v>
      </c>
      <c r="BK121" s="29" t="str">
        <f>VLOOKUP(BJ121,坦克个性化细分!$I$3:$J$33,2,FALSE)</f>
        <v>中</v>
      </c>
      <c r="BL121" s="2">
        <f t="shared" si="23"/>
        <v>1</v>
      </c>
      <c r="BM121" s="103">
        <f ca="1">ROUND(VLOOKUP($BJ121&amp;"初始",$S$3:$AE$63,MATCH(BM$3,$S$3:$AE$3,0),FALSE)+((VLOOKUP($BJ121&amp;"最终",$S$3:$AE$63,MATCH(BM$3,$S$3:$AE$3,0),FALSE)*坦克个性化细分!$C$9-VLOOKUP($BJ121&amp;"初始",$S$3:$AE$63,MATCH(BM$3,$S$3:$AE$3,0),FALSE))-(VLOOKUP($BJ121&amp;"最终",$S$3:$AE$63,MATCH(BM$3,$S$3:$AE$3,0),FALSE)-VLOOKUP($BJ121&amp;"初始",$S$3:$AE$63,MATCH(BM$3,$S$3:$AE$3,0),FALSE))*VLOOKUP(VLOOKUP($BJ121,坦克个性化设定!$B$18:$E$48,4,FALSE)&amp;$BK121,坦克属性分配比例,MATCH("部件比例",坦克属性分配比例标头,0),FALSE))*$BL121/VLOOKUP(VLOOKUP($BJ121,坦克个性化设定!$B$18:$E$48,4,FALSE)&amp;$BK121,坦克属性分配比例,MATCH("升星次数",坦克属性分配比例标头,0),FALSE),0)</f>
        <v>1080</v>
      </c>
      <c r="BN121" s="103">
        <f ca="1">ROUND(VLOOKUP($BJ121&amp;"初始",$S$3:$AE$63,MATCH(BN$3,$S$3:$AE$3,0),FALSE)+(VLOOKUP($BJ121&amp;"最终",$S$3:$AE$63,MATCH(BN$3,$S$3:$AE$3,0),FALSE)-VLOOKUP($BJ121&amp;"初始",$S$3:$AE$63,MATCH(BN$3,$S$3:$AE$3,0),FALSE))*$BL121/VLOOKUP(VLOOKUP($BJ121,坦克个性化设定!$B$18:$E$48,4,FALSE)&amp;$BK121,坦克属性分配比例,MATCH("升星次数",坦克属性分配比例标头,0),FALSE)*VLOOKUP(VLOOKUP($BJ121,坦克个性化设定!$B$18:$E$48,4,FALSE)&amp;$BK121,坦克属性分配比例,MATCH("升星比例",坦克属性分配比例标头,0),FALSE),0)</f>
        <v>138</v>
      </c>
      <c r="BO121" s="103">
        <f ca="1">ROUND(VLOOKUP($BJ121&amp;"初始",$S$3:$AE$63,MATCH(BO$3,$S$3:$AE$3,0),FALSE)+(VLOOKUP($BJ121&amp;"最终",$S$3:$AE$63,MATCH(BO$3,$S$3:$AE$3,0),FALSE)-VLOOKUP($BJ121&amp;"初始",$S$3:$AE$63,MATCH(BO$3,$S$3:$AE$3,0),FALSE))*$BL121/VLOOKUP(VLOOKUP($BJ121,坦克个性化设定!$B$18:$E$48,4,FALSE)&amp;$BK121,坦克属性分配比例,MATCH("升星次数",坦克属性分配比例标头,0),FALSE)*(VLOOKUP(VLOOKUP($BJ121,坦克个性化设定!$B$18:$E$48,4,FALSE)&amp;$BK121,坦克属性分配比例,MATCH("升星比例",坦克属性分配比例标头,0),FALSE)+VLOOKUP(VLOOKUP($BJ121,坦克个性化设定!$B$18:$E$48,4,FALSE)&amp;$BK121,坦克属性分配比例,MATCH("部件比例",坦克属性分配比例标头,0),FALSE)*$C$3),0)</f>
        <v>423</v>
      </c>
      <c r="BP121" s="103">
        <f ca="1">ROUND(VLOOKUP($BJ121&amp;"初始",$S$3:$AE$63,MATCH(BP$3,$S$3:$AE$3,0),FALSE)+(VLOOKUP($BJ121&amp;"最终",$S$3:$AE$63,MATCH(BP$3,$S$3:$AE$3,0),FALSE)-VLOOKUP($BJ121&amp;"初始",$S$3:$AE$63,MATCH(BP$3,$S$3:$AE$3,0),FALSE))*$BL121/VLOOKUP(VLOOKUP($BJ121,坦克个性化设定!$B$18:$E$48,4,FALSE)&amp;$BK121,坦克属性分配比例,MATCH("升星次数",坦克属性分配比例标头,0),FALSE)*(VLOOKUP(VLOOKUP($BJ121,坦克个性化设定!$B$18:$E$48,4,FALSE)&amp;$BK121,坦克属性分配比例,MATCH("升星比例",坦克属性分配比例标头,0),FALSE)+VLOOKUP(VLOOKUP($BJ121,坦克个性化设定!$B$18:$E$48,4,FALSE)&amp;$BK121,坦克属性分配比例,MATCH("部件比例",坦克属性分配比例标头,0),FALSE)*$C$3),0)</f>
        <v>317</v>
      </c>
      <c r="BQ121" s="103">
        <f ca="1">ROUND(VLOOKUP($BJ121&amp;"初始",$S$3:$AE$63,MATCH(BQ$3,$S$3:$AE$3,0),FALSE)+(VLOOKUP($BJ121&amp;"最终",$S$3:$AE$63,MATCH(BQ$3,$S$3:$AE$3,0),FALSE)-VLOOKUP($BJ121&amp;"初始",$S$3:$AE$63,MATCH(BQ$3,$S$3:$AE$3,0),FALSE))*$BL121/VLOOKUP(VLOOKUP($BJ121,坦克个性化设定!$B$18:$E$48,4,FALSE)&amp;$BK121,坦克属性分配比例,MATCH("升星次数",坦克属性分配比例标头,0),FALSE)*VLOOKUP(VLOOKUP($BJ121,坦克个性化设定!$B$18:$E$48,4,FALSE)&amp;$BK121,坦克属性分配比例,MATCH("升星比例",坦克属性分配比例标头,0),FALSE),0)</f>
        <v>457</v>
      </c>
      <c r="BR121" s="2">
        <f ca="1">ROUND(VLOOKUP($BJ121&amp;"初始",$S$3:$AE$63,MATCH(BR$3,$S$3:$AE$3,0),FALSE)+(VLOOKUP($BJ121&amp;"最终",$S$3:$AE$63,MATCH(BR$3,$S$3:$AE$3,0),FALSE)-VLOOKUP($BJ121&amp;"初始",$S$3:$AE$63,MATCH(BR$3,$S$3:$AE$3,0),FALSE))*$BL121/VLOOKUP(VLOOKUP($BJ121,坦克个性化设定!$B$18:$E$48,4,FALSE)&amp;$BK121,坦克属性分配比例,MATCH("升星次数",坦克属性分配比例标头,0),FALSE),0)</f>
        <v>112</v>
      </c>
      <c r="BS121" s="2">
        <f>ROUND(VLOOKUP($BJ121,$AI$3:$AO$33,MATCH(BS$3,$AI$3:$AO$3,0),FALSE)+$BL121/VLOOKUP(VLOOKUP($BJ121,坦克个性化设定!$B$18:$E$48,4,FALSE)&amp;$BK121,坦克属性分配比例,MATCH("升星次数",坦克属性分配比例标头,0),FALSE)*VLOOKUP($BJ121,$AR$3:$AY$33,MATCH(BS$3,$AR$3:$AY$3,0),FALSE),1)</f>
        <v>37.6</v>
      </c>
      <c r="BT121" s="2">
        <f>ROUND(VLOOKUP($BJ121,$AI$3:$AO$33,MATCH(BT$3,$AI$3:$AO$3,0),FALSE)+$BL121/VLOOKUP(VLOOKUP($BJ121,坦克个性化设定!$B$18:$E$48,4,FALSE)&amp;$BK121,坦克属性分配比例,MATCH("升星次数",坦克属性分配比例标头,0),FALSE)*VLOOKUP($BJ121,$AR$3:$AY$33,MATCH(BT$3,$AR$3:$AY$3,0),FALSE),1)</f>
        <v>52.8</v>
      </c>
      <c r="BU121" s="2">
        <f>ROUND(VLOOKUP($BJ121,$AI$3:$AO$33,MATCH(BU$3,$AI$3:$AO$3,0),FALSE)+$BL121/VLOOKUP(VLOOKUP($BJ121,坦克个性化设定!$B$18:$E$48,4,FALSE)&amp;$BK121,坦克属性分配比例,MATCH("升星次数",坦克属性分配比例标头,0),FALSE)*VLOOKUP($BJ121,$AR$3:$AY$33,MATCH(BU$3,$AR$3:$AY$3,0),FALSE),1)</f>
        <v>7.3</v>
      </c>
      <c r="BV121" s="2">
        <f>IF(VLOOKUP(BJ121,坦克个性化设定!$B$18:$BC$48,MATCH("装弹类型",坦克个性化设定!$B$18:$BC$18,0),FALSE)="弹夹换弹",0,ROUND(VLOOKUP($BJ121,$AI$3:$AO$33,MATCH("换弹时间",$AI$3:$AO$3,0),FALSE)-$BL121/VLOOKUP(VLOOKUP($BJ121,坦克个性化设定!$B$18:$E$48,4,FALSE)&amp;$BK121,坦克属性分配比例,MATCH("升星次数",坦克属性分配比例标头,0),FALSE)*VLOOKUP($BJ121,$AR$3:$AY$33,MATCH("换弹时间",$AR$3:$AY$3,0),FALSE),2))</f>
        <v>2.35</v>
      </c>
      <c r="BW121" s="2">
        <f>IF(VLOOKUP(BJ121,坦克个性化设定!$B$18:$BC$48,MATCH("装弹类型",坦克个性化设定!$B$18:$BC$18,0),FALSE)="弹夹换弹",ROUND(VLOOKUP($BJ121,$AI$3:$AO$33,MATCH("换弹时间",$AI$3:$AO$3,0),FALSE)-$BL121/VLOOKUP(VLOOKUP($BJ121,坦克个性化设定!$B$18:$E$48,4,FALSE)&amp;$BK121,坦克属性分配比例,MATCH("升星次数",坦克属性分配比例标头,0),FALSE)*VLOOKUP($BJ121,$AR$3:$AY$33,MATCH("换弹时间",$AR$3:$AY$3,0),FALSE),1),0)</f>
        <v>0</v>
      </c>
      <c r="BX121" s="2">
        <f>ROUND(VLOOKUP($BJ121,$AI$3:$AO$33,MATCH(BX$3,$AI$3:$AO$3,0),FALSE)+$BL121/VLOOKUP(VLOOKUP($BJ121,坦克个性化设定!$B$18:$E$48,4,FALSE)&amp;$BK121,坦克属性分配比例,MATCH("升星次数",坦克属性分配比例标头,0),FALSE)*VLOOKUP($BJ121,$AR$3:$AY$33,MATCH(BX$3,$AR$3:$AY$3,0),FALSE),2)</f>
        <v>0.4</v>
      </c>
      <c r="BY121" s="2">
        <f>ROUND(VLOOKUP($BJ121,$AI$3:$AO$33,MATCH(BY$3,$AI$3:$AO$3,0),FALSE)-$BL121/VLOOKUP(VLOOKUP($BJ121,坦克个性化设定!$B$18:$E$48,4,FALSE)&amp;$BK121,坦克属性分配比例,MATCH("升星次数",坦克属性分配比例标头,0),FALSE)*VLOOKUP($BJ121,$AR$3:$AY$33,MATCH(BY$3,$AR$3:$AY$3,0),FALSE),2)</f>
        <v>1.37</v>
      </c>
    </row>
    <row r="122" spans="60:77" x14ac:dyDescent="0.3">
      <c r="BH122" s="2" t="str">
        <f t="shared" si="24"/>
        <v>四号2</v>
      </c>
      <c r="BI122" s="2">
        <f>IF(BL121&gt;=VLOOKUP(VLOOKUP(BJ121,坦克个性化设定!$B$18:$E$48,4,FALSE)&amp;BK121,坦克属性分配比例,MATCH("升星次数",坦克属性分配比例标头,0),FALSE),BI121+1,BI121)</f>
        <v>13</v>
      </c>
      <c r="BJ122" s="2" t="str">
        <f t="shared" si="25"/>
        <v>四号</v>
      </c>
      <c r="BK122" s="29" t="str">
        <f>VLOOKUP(BJ122,坦克个性化细分!$I$3:$J$33,2,FALSE)</f>
        <v>中</v>
      </c>
      <c r="BL122" s="2">
        <f t="shared" si="23"/>
        <v>2</v>
      </c>
      <c r="BM122" s="103">
        <f ca="1">ROUND(VLOOKUP($BJ122&amp;"初始",$S$3:$AE$63,MATCH(BM$3,$S$3:$AE$3,0),FALSE)+((VLOOKUP($BJ122&amp;"最终",$S$3:$AE$63,MATCH(BM$3,$S$3:$AE$3,0),FALSE)*坦克个性化细分!$C$9-VLOOKUP($BJ122&amp;"初始",$S$3:$AE$63,MATCH(BM$3,$S$3:$AE$3,0),FALSE))-(VLOOKUP($BJ122&amp;"最终",$S$3:$AE$63,MATCH(BM$3,$S$3:$AE$3,0),FALSE)-VLOOKUP($BJ122&amp;"初始",$S$3:$AE$63,MATCH(BM$3,$S$3:$AE$3,0),FALSE))*VLOOKUP(VLOOKUP($BJ122,坦克个性化设定!$B$18:$E$48,4,FALSE)&amp;$BK122,坦克属性分配比例,MATCH("部件比例",坦克属性分配比例标头,0),FALSE))*$BL122/VLOOKUP(VLOOKUP($BJ122,坦克个性化设定!$B$18:$E$48,4,FALSE)&amp;$BK122,坦克属性分配比例,MATCH("升星次数",坦克属性分配比例标头,0),FALSE),0)</f>
        <v>1152</v>
      </c>
      <c r="BN122" s="103">
        <f ca="1">ROUND(VLOOKUP($BJ122&amp;"初始",$S$3:$AE$63,MATCH(BN$3,$S$3:$AE$3,0),FALSE)+(VLOOKUP($BJ122&amp;"最终",$S$3:$AE$63,MATCH(BN$3,$S$3:$AE$3,0),FALSE)-VLOOKUP($BJ122&amp;"初始",$S$3:$AE$63,MATCH(BN$3,$S$3:$AE$3,0),FALSE))*$BL122/VLOOKUP(VLOOKUP($BJ122,坦克个性化设定!$B$18:$E$48,4,FALSE)&amp;$BK122,坦克属性分配比例,MATCH("升星次数",坦克属性分配比例标头,0),FALSE)*VLOOKUP(VLOOKUP($BJ122,坦克个性化设定!$B$18:$E$48,4,FALSE)&amp;$BK122,坦克属性分配比例,MATCH("升星比例",坦克属性分配比例标头,0),FALSE),0)</f>
        <v>144</v>
      </c>
      <c r="BO122" s="103">
        <f ca="1">ROUND(VLOOKUP($BJ122&amp;"初始",$S$3:$AE$63,MATCH(BO$3,$S$3:$AE$3,0),FALSE)+(VLOOKUP($BJ122&amp;"最终",$S$3:$AE$63,MATCH(BO$3,$S$3:$AE$3,0),FALSE)-VLOOKUP($BJ122&amp;"初始",$S$3:$AE$63,MATCH(BO$3,$S$3:$AE$3,0),FALSE))*$BL122/VLOOKUP(VLOOKUP($BJ122,坦克个性化设定!$B$18:$E$48,4,FALSE)&amp;$BK122,坦克属性分配比例,MATCH("升星次数",坦克属性分配比例标头,0),FALSE)*(VLOOKUP(VLOOKUP($BJ122,坦克个性化设定!$B$18:$E$48,4,FALSE)&amp;$BK122,坦克属性分配比例,MATCH("升星比例",坦克属性分配比例标头,0),FALSE)+VLOOKUP(VLOOKUP($BJ122,坦克个性化设定!$B$18:$E$48,4,FALSE)&amp;$BK122,坦克属性分配比例,MATCH("部件比例",坦克属性分配比例标头,0),FALSE)*$C$3),0)</f>
        <v>444</v>
      </c>
      <c r="BP122" s="103">
        <f ca="1">ROUND(VLOOKUP($BJ122&amp;"初始",$S$3:$AE$63,MATCH(BP$3,$S$3:$AE$3,0),FALSE)+(VLOOKUP($BJ122&amp;"最终",$S$3:$AE$63,MATCH(BP$3,$S$3:$AE$3,0),FALSE)-VLOOKUP($BJ122&amp;"初始",$S$3:$AE$63,MATCH(BP$3,$S$3:$AE$3,0),FALSE))*$BL122/VLOOKUP(VLOOKUP($BJ122,坦克个性化设定!$B$18:$E$48,4,FALSE)&amp;$BK122,坦克属性分配比例,MATCH("升星次数",坦克属性分配比例标头,0),FALSE)*(VLOOKUP(VLOOKUP($BJ122,坦克个性化设定!$B$18:$E$48,4,FALSE)&amp;$BK122,坦克属性分配比例,MATCH("升星比例",坦克属性分配比例标头,0),FALSE)+VLOOKUP(VLOOKUP($BJ122,坦克个性化设定!$B$18:$E$48,4,FALSE)&amp;$BK122,坦克属性分配比例,MATCH("部件比例",坦克属性分配比例标头,0),FALSE)*$C$3),0)</f>
        <v>334</v>
      </c>
      <c r="BQ122" s="103">
        <f ca="1">ROUND(VLOOKUP($BJ122&amp;"初始",$S$3:$AE$63,MATCH(BQ$3,$S$3:$AE$3,0),FALSE)+(VLOOKUP($BJ122&amp;"最终",$S$3:$AE$63,MATCH(BQ$3,$S$3:$AE$3,0),FALSE)-VLOOKUP($BJ122&amp;"初始",$S$3:$AE$63,MATCH(BQ$3,$S$3:$AE$3,0),FALSE))*$BL122/VLOOKUP(VLOOKUP($BJ122,坦克个性化设定!$B$18:$E$48,4,FALSE)&amp;$BK122,坦克属性分配比例,MATCH("升星次数",坦克属性分配比例标头,0),FALSE)*VLOOKUP(VLOOKUP($BJ122,坦克个性化设定!$B$18:$E$48,4,FALSE)&amp;$BK122,坦克属性分配比例,MATCH("升星比例",坦克属性分配比例标头,0),FALSE),0)</f>
        <v>475</v>
      </c>
      <c r="BR122" s="2">
        <f ca="1">ROUND(VLOOKUP($BJ122&amp;"初始",$S$3:$AE$63,MATCH(BR$3,$S$3:$AE$3,0),FALSE)+(VLOOKUP($BJ122&amp;"最终",$S$3:$AE$63,MATCH(BR$3,$S$3:$AE$3,0),FALSE)-VLOOKUP($BJ122&amp;"初始",$S$3:$AE$63,MATCH(BR$3,$S$3:$AE$3,0),FALSE))*$BL122/VLOOKUP(VLOOKUP($BJ122,坦克个性化设定!$B$18:$E$48,4,FALSE)&amp;$BK122,坦克属性分配比例,MATCH("升星次数",坦克属性分配比例标头,0),FALSE),0)</f>
        <v>118</v>
      </c>
      <c r="BS122" s="2">
        <f>ROUND(VLOOKUP($BJ122,$AI$3:$AO$33,MATCH(BS$3,$AI$3:$AO$3,0),FALSE)+$BL122/VLOOKUP(VLOOKUP($BJ122,坦克个性化设定!$B$18:$E$48,4,FALSE)&amp;$BK122,坦克属性分配比例,MATCH("升星次数",坦克属性分配比例标头,0),FALSE)*VLOOKUP($BJ122,$AR$3:$AY$33,MATCH(BS$3,$AR$3:$AY$3,0),FALSE),1)</f>
        <v>38.9</v>
      </c>
      <c r="BT122" s="2">
        <f>ROUND(VLOOKUP($BJ122,$AI$3:$AO$33,MATCH(BT$3,$AI$3:$AO$3,0),FALSE)+$BL122/VLOOKUP(VLOOKUP($BJ122,坦克个性化设定!$B$18:$E$48,4,FALSE)&amp;$BK122,坦克属性分配比例,MATCH("升星次数",坦克属性分配比例标头,0),FALSE)*VLOOKUP($BJ122,$AR$3:$AY$33,MATCH(BT$3,$AR$3:$AY$3,0),FALSE),1)</f>
        <v>54.6</v>
      </c>
      <c r="BU122" s="2">
        <f>ROUND(VLOOKUP($BJ122,$AI$3:$AO$33,MATCH(BU$3,$AI$3:$AO$3,0),FALSE)+$BL122/VLOOKUP(VLOOKUP($BJ122,坦克个性化设定!$B$18:$E$48,4,FALSE)&amp;$BK122,坦克属性分配比例,MATCH("升星次数",坦克属性分配比例标头,0),FALSE)*VLOOKUP($BJ122,$AR$3:$AY$33,MATCH(BU$3,$AR$3:$AY$3,0),FALSE),1)</f>
        <v>7.3</v>
      </c>
      <c r="BV122" s="2">
        <f>IF(VLOOKUP(BJ122,坦克个性化设定!$B$18:$BC$48,MATCH("装弹类型",坦克个性化设定!$B$18:$BC$18,0),FALSE)="弹夹换弹",0,ROUND(VLOOKUP($BJ122,$AI$3:$AO$33,MATCH("换弹时间",$AI$3:$AO$3,0),FALSE)-$BL122/VLOOKUP(VLOOKUP($BJ122,坦克个性化设定!$B$18:$E$48,4,FALSE)&amp;$BK122,坦克属性分配比例,MATCH("升星次数",坦克属性分配比例标头,0),FALSE)*VLOOKUP($BJ122,$AR$3:$AY$33,MATCH("换弹时间",$AR$3:$AY$3,0),FALSE),2))</f>
        <v>2.29</v>
      </c>
      <c r="BW122" s="2">
        <f>IF(VLOOKUP(BJ122,坦克个性化设定!$B$18:$BC$48,MATCH("装弹类型",坦克个性化设定!$B$18:$BC$18,0),FALSE)="弹夹换弹",ROUND(VLOOKUP($BJ122,$AI$3:$AO$33,MATCH("换弹时间",$AI$3:$AO$3,0),FALSE)-$BL122/VLOOKUP(VLOOKUP($BJ122,坦克个性化设定!$B$18:$E$48,4,FALSE)&amp;$BK122,坦克属性分配比例,MATCH("升星次数",坦克属性分配比例标头,0),FALSE)*VLOOKUP($BJ122,$AR$3:$AY$33,MATCH("换弹时间",$AR$3:$AY$3,0),FALSE),1),0)</f>
        <v>0</v>
      </c>
      <c r="BX122" s="2">
        <f>ROUND(VLOOKUP($BJ122,$AI$3:$AO$33,MATCH(BX$3,$AI$3:$AO$3,0),FALSE)+$BL122/VLOOKUP(VLOOKUP($BJ122,坦克个性化设定!$B$18:$E$48,4,FALSE)&amp;$BK122,坦克属性分配比例,MATCH("升星次数",坦克属性分配比例标头,0),FALSE)*VLOOKUP($BJ122,$AR$3:$AY$33,MATCH(BX$3,$AR$3:$AY$3,0),FALSE),2)</f>
        <v>0.4</v>
      </c>
      <c r="BY122" s="2">
        <f>ROUND(VLOOKUP($BJ122,$AI$3:$AO$33,MATCH(BY$3,$AI$3:$AO$3,0),FALSE)-$BL122/VLOOKUP(VLOOKUP($BJ122,坦克个性化设定!$B$18:$E$48,4,FALSE)&amp;$BK122,坦克属性分配比例,MATCH("升星次数",坦克属性分配比例标头,0),FALSE)*VLOOKUP($BJ122,$AR$3:$AY$33,MATCH(BY$3,$AR$3:$AY$3,0),FALSE),2)</f>
        <v>1.33</v>
      </c>
    </row>
    <row r="123" spans="60:77" x14ac:dyDescent="0.3">
      <c r="BH123" s="2" t="str">
        <f t="shared" si="24"/>
        <v>四号3</v>
      </c>
      <c r="BI123" s="2">
        <f>IF(BL122&gt;=VLOOKUP(VLOOKUP(BJ122,坦克个性化设定!$B$18:$E$48,4,FALSE)&amp;BK122,坦克属性分配比例,MATCH("升星次数",坦克属性分配比例标头,0),FALSE),BI122+1,BI122)</f>
        <v>13</v>
      </c>
      <c r="BJ123" s="2" t="str">
        <f t="shared" si="25"/>
        <v>四号</v>
      </c>
      <c r="BK123" s="29" t="str">
        <f>VLOOKUP(BJ123,坦克个性化细分!$I$3:$J$33,2,FALSE)</f>
        <v>中</v>
      </c>
      <c r="BL123" s="2">
        <f t="shared" si="23"/>
        <v>3</v>
      </c>
      <c r="BM123" s="103">
        <f ca="1">ROUND(VLOOKUP($BJ123&amp;"初始",$S$3:$AE$63,MATCH(BM$3,$S$3:$AE$3,0),FALSE)+((VLOOKUP($BJ123&amp;"最终",$S$3:$AE$63,MATCH(BM$3,$S$3:$AE$3,0),FALSE)*坦克个性化细分!$C$9-VLOOKUP($BJ123&amp;"初始",$S$3:$AE$63,MATCH(BM$3,$S$3:$AE$3,0),FALSE))-(VLOOKUP($BJ123&amp;"最终",$S$3:$AE$63,MATCH(BM$3,$S$3:$AE$3,0),FALSE)-VLOOKUP($BJ123&amp;"初始",$S$3:$AE$63,MATCH(BM$3,$S$3:$AE$3,0),FALSE))*VLOOKUP(VLOOKUP($BJ123,坦克个性化设定!$B$18:$E$48,4,FALSE)&amp;$BK123,坦克属性分配比例,MATCH("部件比例",坦克属性分配比例标头,0),FALSE))*$BL123/VLOOKUP(VLOOKUP($BJ123,坦克个性化设定!$B$18:$E$48,4,FALSE)&amp;$BK123,坦克属性分配比例,MATCH("升星次数",坦克属性分配比例标头,0),FALSE),0)</f>
        <v>1225</v>
      </c>
      <c r="BN123" s="103">
        <f ca="1">ROUND(VLOOKUP($BJ123&amp;"初始",$S$3:$AE$63,MATCH(BN$3,$S$3:$AE$3,0),FALSE)+(VLOOKUP($BJ123&amp;"最终",$S$3:$AE$63,MATCH(BN$3,$S$3:$AE$3,0),FALSE)-VLOOKUP($BJ123&amp;"初始",$S$3:$AE$63,MATCH(BN$3,$S$3:$AE$3,0),FALSE))*$BL123/VLOOKUP(VLOOKUP($BJ123,坦克个性化设定!$B$18:$E$48,4,FALSE)&amp;$BK123,坦克属性分配比例,MATCH("升星次数",坦克属性分配比例标头,0),FALSE)*VLOOKUP(VLOOKUP($BJ123,坦克个性化设定!$B$18:$E$48,4,FALSE)&amp;$BK123,坦克属性分配比例,MATCH("升星比例",坦克属性分配比例标头,0),FALSE),0)</f>
        <v>149</v>
      </c>
      <c r="BO123" s="103">
        <f ca="1">ROUND(VLOOKUP($BJ123&amp;"初始",$S$3:$AE$63,MATCH(BO$3,$S$3:$AE$3,0),FALSE)+(VLOOKUP($BJ123&amp;"最终",$S$3:$AE$63,MATCH(BO$3,$S$3:$AE$3,0),FALSE)-VLOOKUP($BJ123&amp;"初始",$S$3:$AE$63,MATCH(BO$3,$S$3:$AE$3,0),FALSE))*$BL123/VLOOKUP(VLOOKUP($BJ123,坦克个性化设定!$B$18:$E$48,4,FALSE)&amp;$BK123,坦克属性分配比例,MATCH("升星次数",坦克属性分配比例标头,0),FALSE)*(VLOOKUP(VLOOKUP($BJ123,坦克个性化设定!$B$18:$E$48,4,FALSE)&amp;$BK123,坦克属性分配比例,MATCH("升星比例",坦克属性分配比例标头,0),FALSE)+VLOOKUP(VLOOKUP($BJ123,坦克个性化设定!$B$18:$E$48,4,FALSE)&amp;$BK123,坦克属性分配比例,MATCH("部件比例",坦克属性分配比例标头,0),FALSE)*$C$3),0)</f>
        <v>466</v>
      </c>
      <c r="BP123" s="103">
        <f ca="1">ROUND(VLOOKUP($BJ123&amp;"初始",$S$3:$AE$63,MATCH(BP$3,$S$3:$AE$3,0),FALSE)+(VLOOKUP($BJ123&amp;"最终",$S$3:$AE$63,MATCH(BP$3,$S$3:$AE$3,0),FALSE)-VLOOKUP($BJ123&amp;"初始",$S$3:$AE$63,MATCH(BP$3,$S$3:$AE$3,0),FALSE))*$BL123/VLOOKUP(VLOOKUP($BJ123,坦克个性化设定!$B$18:$E$48,4,FALSE)&amp;$BK123,坦克属性分配比例,MATCH("升星次数",坦克属性分配比例标头,0),FALSE)*(VLOOKUP(VLOOKUP($BJ123,坦克个性化设定!$B$18:$E$48,4,FALSE)&amp;$BK123,坦克属性分配比例,MATCH("升星比例",坦克属性分配比例标头,0),FALSE)+VLOOKUP(VLOOKUP($BJ123,坦克个性化设定!$B$18:$E$48,4,FALSE)&amp;$BK123,坦克属性分配比例,MATCH("部件比例",坦克属性分配比例标头,0),FALSE)*$C$3),0)</f>
        <v>350</v>
      </c>
      <c r="BQ123" s="103">
        <f ca="1">ROUND(VLOOKUP($BJ123&amp;"初始",$S$3:$AE$63,MATCH(BQ$3,$S$3:$AE$3,0),FALSE)+(VLOOKUP($BJ123&amp;"最终",$S$3:$AE$63,MATCH(BQ$3,$S$3:$AE$3,0),FALSE)-VLOOKUP($BJ123&amp;"初始",$S$3:$AE$63,MATCH(BQ$3,$S$3:$AE$3,0),FALSE))*$BL123/VLOOKUP(VLOOKUP($BJ123,坦克个性化设定!$B$18:$E$48,4,FALSE)&amp;$BK123,坦克属性分配比例,MATCH("升星次数",坦克属性分配比例标头,0),FALSE)*VLOOKUP(VLOOKUP($BJ123,坦克个性化设定!$B$18:$E$48,4,FALSE)&amp;$BK123,坦克属性分配比例,MATCH("升星比例",坦克属性分配比例标头,0),FALSE),0)</f>
        <v>493</v>
      </c>
      <c r="BR123" s="2">
        <f ca="1">ROUND(VLOOKUP($BJ123&amp;"初始",$S$3:$AE$63,MATCH(BR$3,$S$3:$AE$3,0),FALSE)+(VLOOKUP($BJ123&amp;"最终",$S$3:$AE$63,MATCH(BR$3,$S$3:$AE$3,0),FALSE)-VLOOKUP($BJ123&amp;"初始",$S$3:$AE$63,MATCH(BR$3,$S$3:$AE$3,0),FALSE))*$BL123/VLOOKUP(VLOOKUP($BJ123,坦克个性化设定!$B$18:$E$48,4,FALSE)&amp;$BK123,坦克属性分配比例,MATCH("升星次数",坦克属性分配比例标头,0),FALSE),0)</f>
        <v>125</v>
      </c>
      <c r="BS123" s="2">
        <f>ROUND(VLOOKUP($BJ123,$AI$3:$AO$33,MATCH(BS$3,$AI$3:$AO$3,0),FALSE)+$BL123/VLOOKUP(VLOOKUP($BJ123,坦克个性化设定!$B$18:$E$48,4,FALSE)&amp;$BK123,坦克属性分配比例,MATCH("升星次数",坦克属性分配比例标头,0),FALSE)*VLOOKUP($BJ123,$AR$3:$AY$33,MATCH(BS$3,$AR$3:$AY$3,0),FALSE),1)</f>
        <v>40.200000000000003</v>
      </c>
      <c r="BT123" s="2">
        <f>ROUND(VLOOKUP($BJ123,$AI$3:$AO$33,MATCH(BT$3,$AI$3:$AO$3,0),FALSE)+$BL123/VLOOKUP(VLOOKUP($BJ123,坦克个性化设定!$B$18:$E$48,4,FALSE)&amp;$BK123,坦克属性分配比例,MATCH("升星次数",坦克属性分配比例标头,0),FALSE)*VLOOKUP($BJ123,$AR$3:$AY$33,MATCH(BT$3,$AR$3:$AY$3,0),FALSE),1)</f>
        <v>56.5</v>
      </c>
      <c r="BU123" s="2">
        <f>ROUND(VLOOKUP($BJ123,$AI$3:$AO$33,MATCH(BU$3,$AI$3:$AO$3,0),FALSE)+$BL123/VLOOKUP(VLOOKUP($BJ123,坦克个性化设定!$B$18:$E$48,4,FALSE)&amp;$BK123,坦克属性分配比例,MATCH("升星次数",坦克属性分配比例标头,0),FALSE)*VLOOKUP($BJ123,$AR$3:$AY$33,MATCH(BU$3,$AR$3:$AY$3,0),FALSE),1)</f>
        <v>7.3</v>
      </c>
      <c r="BV123" s="2">
        <f>IF(VLOOKUP(BJ123,坦克个性化设定!$B$18:$BC$48,MATCH("装弹类型",坦克个性化设定!$B$18:$BC$18,0),FALSE)="弹夹换弹",0,ROUND(VLOOKUP($BJ123,$AI$3:$AO$33,MATCH("换弹时间",$AI$3:$AO$3,0),FALSE)-$BL123/VLOOKUP(VLOOKUP($BJ123,坦克个性化设定!$B$18:$E$48,4,FALSE)&amp;$BK123,坦克属性分配比例,MATCH("升星次数",坦克属性分配比例标头,0),FALSE)*VLOOKUP($BJ123,$AR$3:$AY$33,MATCH("换弹时间",$AR$3:$AY$3,0),FALSE),2))</f>
        <v>2.2400000000000002</v>
      </c>
      <c r="BW123" s="2">
        <f>IF(VLOOKUP(BJ123,坦克个性化设定!$B$18:$BC$48,MATCH("装弹类型",坦克个性化设定!$B$18:$BC$18,0),FALSE)="弹夹换弹",ROUND(VLOOKUP($BJ123,$AI$3:$AO$33,MATCH("换弹时间",$AI$3:$AO$3,0),FALSE)-$BL123/VLOOKUP(VLOOKUP($BJ123,坦克个性化设定!$B$18:$E$48,4,FALSE)&amp;$BK123,坦克属性分配比例,MATCH("升星次数",坦克属性分配比例标头,0),FALSE)*VLOOKUP($BJ123,$AR$3:$AY$33,MATCH("换弹时间",$AR$3:$AY$3,0),FALSE),1),0)</f>
        <v>0</v>
      </c>
      <c r="BX123" s="2">
        <f>ROUND(VLOOKUP($BJ123,$AI$3:$AO$33,MATCH(BX$3,$AI$3:$AO$3,0),FALSE)+$BL123/VLOOKUP(VLOOKUP($BJ123,坦克个性化设定!$B$18:$E$48,4,FALSE)&amp;$BK123,坦克属性分配比例,MATCH("升星次数",坦克属性分配比例标头,0),FALSE)*VLOOKUP($BJ123,$AR$3:$AY$33,MATCH(BX$3,$AR$3:$AY$3,0),FALSE),2)</f>
        <v>0.4</v>
      </c>
      <c r="BY123" s="2">
        <f>ROUND(VLOOKUP($BJ123,$AI$3:$AO$33,MATCH(BY$3,$AI$3:$AO$3,0),FALSE)-$BL123/VLOOKUP(VLOOKUP($BJ123,坦克个性化设定!$B$18:$E$48,4,FALSE)&amp;$BK123,坦克属性分配比例,MATCH("升星次数",坦克属性分配比例标头,0),FALSE)*VLOOKUP($BJ123,$AR$3:$AY$33,MATCH(BY$3,$AR$3:$AY$3,0),FALSE),2)</f>
        <v>1.3</v>
      </c>
    </row>
    <row r="124" spans="60:77" x14ac:dyDescent="0.3">
      <c r="BH124" s="2" t="str">
        <f t="shared" si="24"/>
        <v>四号4</v>
      </c>
      <c r="BI124" s="2">
        <f>IF(BL123&gt;=VLOOKUP(VLOOKUP(BJ123,坦克个性化设定!$B$18:$E$48,4,FALSE)&amp;BK123,坦克属性分配比例,MATCH("升星次数",坦克属性分配比例标头,0),FALSE),BI123+1,BI123)</f>
        <v>13</v>
      </c>
      <c r="BJ124" s="2" t="str">
        <f t="shared" si="25"/>
        <v>四号</v>
      </c>
      <c r="BK124" s="29" t="str">
        <f>VLOOKUP(BJ124,坦克个性化细分!$I$3:$J$33,2,FALSE)</f>
        <v>中</v>
      </c>
      <c r="BL124" s="2">
        <f t="shared" si="23"/>
        <v>4</v>
      </c>
      <c r="BM124" s="103">
        <f ca="1">ROUND(VLOOKUP($BJ124&amp;"初始",$S$3:$AE$63,MATCH(BM$3,$S$3:$AE$3,0),FALSE)+((VLOOKUP($BJ124&amp;"最终",$S$3:$AE$63,MATCH(BM$3,$S$3:$AE$3,0),FALSE)*坦克个性化细分!$C$9-VLOOKUP($BJ124&amp;"初始",$S$3:$AE$63,MATCH(BM$3,$S$3:$AE$3,0),FALSE))-(VLOOKUP($BJ124&amp;"最终",$S$3:$AE$63,MATCH(BM$3,$S$3:$AE$3,0),FALSE)-VLOOKUP($BJ124&amp;"初始",$S$3:$AE$63,MATCH(BM$3,$S$3:$AE$3,0),FALSE))*VLOOKUP(VLOOKUP($BJ124,坦克个性化设定!$B$18:$E$48,4,FALSE)&amp;$BK124,坦克属性分配比例,MATCH("部件比例",坦克属性分配比例标头,0),FALSE))*$BL124/VLOOKUP(VLOOKUP($BJ124,坦克个性化设定!$B$18:$E$48,4,FALSE)&amp;$BK124,坦克属性分配比例,MATCH("升星次数",坦克属性分配比例标头,0),FALSE),0)</f>
        <v>1298</v>
      </c>
      <c r="BN124" s="103">
        <f ca="1">ROUND(VLOOKUP($BJ124&amp;"初始",$S$3:$AE$63,MATCH(BN$3,$S$3:$AE$3,0),FALSE)+(VLOOKUP($BJ124&amp;"最终",$S$3:$AE$63,MATCH(BN$3,$S$3:$AE$3,0),FALSE)-VLOOKUP($BJ124&amp;"初始",$S$3:$AE$63,MATCH(BN$3,$S$3:$AE$3,0),FALSE))*$BL124/VLOOKUP(VLOOKUP($BJ124,坦克个性化设定!$B$18:$E$48,4,FALSE)&amp;$BK124,坦克属性分配比例,MATCH("升星次数",坦克属性分配比例标头,0),FALSE)*VLOOKUP(VLOOKUP($BJ124,坦克个性化设定!$B$18:$E$48,4,FALSE)&amp;$BK124,坦克属性分配比例,MATCH("升星比例",坦克属性分配比例标头,0),FALSE),0)</f>
        <v>155</v>
      </c>
      <c r="BO124" s="103">
        <f ca="1">ROUND(VLOOKUP($BJ124&amp;"初始",$S$3:$AE$63,MATCH(BO$3,$S$3:$AE$3,0),FALSE)+(VLOOKUP($BJ124&amp;"最终",$S$3:$AE$63,MATCH(BO$3,$S$3:$AE$3,0),FALSE)-VLOOKUP($BJ124&amp;"初始",$S$3:$AE$63,MATCH(BO$3,$S$3:$AE$3,0),FALSE))*$BL124/VLOOKUP(VLOOKUP($BJ124,坦克个性化设定!$B$18:$E$48,4,FALSE)&amp;$BK124,坦克属性分配比例,MATCH("升星次数",坦克属性分配比例标头,0),FALSE)*(VLOOKUP(VLOOKUP($BJ124,坦克个性化设定!$B$18:$E$48,4,FALSE)&amp;$BK124,坦克属性分配比例,MATCH("升星比例",坦克属性分配比例标头,0),FALSE)+VLOOKUP(VLOOKUP($BJ124,坦克个性化设定!$B$18:$E$48,4,FALSE)&amp;$BK124,坦克属性分配比例,MATCH("部件比例",坦克属性分配比例标头,0),FALSE)*$C$3),0)</f>
        <v>488</v>
      </c>
      <c r="BP124" s="103">
        <f ca="1">ROUND(VLOOKUP($BJ124&amp;"初始",$S$3:$AE$63,MATCH(BP$3,$S$3:$AE$3,0),FALSE)+(VLOOKUP($BJ124&amp;"最终",$S$3:$AE$63,MATCH(BP$3,$S$3:$AE$3,0),FALSE)-VLOOKUP($BJ124&amp;"初始",$S$3:$AE$63,MATCH(BP$3,$S$3:$AE$3,0),FALSE))*$BL124/VLOOKUP(VLOOKUP($BJ124,坦克个性化设定!$B$18:$E$48,4,FALSE)&amp;$BK124,坦克属性分配比例,MATCH("升星次数",坦克属性分配比例标头,0),FALSE)*(VLOOKUP(VLOOKUP($BJ124,坦克个性化设定!$B$18:$E$48,4,FALSE)&amp;$BK124,坦克属性分配比例,MATCH("升星比例",坦克属性分配比例标头,0),FALSE)+VLOOKUP(VLOOKUP($BJ124,坦克个性化设定!$B$18:$E$48,4,FALSE)&amp;$BK124,坦克属性分配比例,MATCH("部件比例",坦克属性分配比例标头,0),FALSE)*$C$3),0)</f>
        <v>366</v>
      </c>
      <c r="BQ124" s="103">
        <f ca="1">ROUND(VLOOKUP($BJ124&amp;"初始",$S$3:$AE$63,MATCH(BQ$3,$S$3:$AE$3,0),FALSE)+(VLOOKUP($BJ124&amp;"最终",$S$3:$AE$63,MATCH(BQ$3,$S$3:$AE$3,0),FALSE)-VLOOKUP($BJ124&amp;"初始",$S$3:$AE$63,MATCH(BQ$3,$S$3:$AE$3,0),FALSE))*$BL124/VLOOKUP(VLOOKUP($BJ124,坦克个性化设定!$B$18:$E$48,4,FALSE)&amp;$BK124,坦克属性分配比例,MATCH("升星次数",坦克属性分配比例标头,0),FALSE)*VLOOKUP(VLOOKUP($BJ124,坦克个性化设定!$B$18:$E$48,4,FALSE)&amp;$BK124,坦克属性分配比例,MATCH("升星比例",坦克属性分配比例标头,0),FALSE),0)</f>
        <v>511</v>
      </c>
      <c r="BR124" s="2">
        <f ca="1">ROUND(VLOOKUP($BJ124&amp;"初始",$S$3:$AE$63,MATCH(BR$3,$S$3:$AE$3,0),FALSE)+(VLOOKUP($BJ124&amp;"最终",$S$3:$AE$63,MATCH(BR$3,$S$3:$AE$3,0),FALSE)-VLOOKUP($BJ124&amp;"初始",$S$3:$AE$63,MATCH(BR$3,$S$3:$AE$3,0),FALSE))*$BL124/VLOOKUP(VLOOKUP($BJ124,坦克个性化设定!$B$18:$E$48,4,FALSE)&amp;$BK124,坦克属性分配比例,MATCH("升星次数",坦克属性分配比例标头,0),FALSE),0)</f>
        <v>132</v>
      </c>
      <c r="BS124" s="2">
        <f>ROUND(VLOOKUP($BJ124,$AI$3:$AO$33,MATCH(BS$3,$AI$3:$AO$3,0),FALSE)+$BL124/VLOOKUP(VLOOKUP($BJ124,坦克个性化设定!$B$18:$E$48,4,FALSE)&amp;$BK124,坦克属性分配比例,MATCH("升星次数",坦克属性分配比例标头,0),FALSE)*VLOOKUP($BJ124,$AR$3:$AY$33,MATCH(BS$3,$AR$3:$AY$3,0),FALSE),1)</f>
        <v>41.5</v>
      </c>
      <c r="BT124" s="2">
        <f>ROUND(VLOOKUP($BJ124,$AI$3:$AO$33,MATCH(BT$3,$AI$3:$AO$3,0),FALSE)+$BL124/VLOOKUP(VLOOKUP($BJ124,坦克个性化设定!$B$18:$E$48,4,FALSE)&amp;$BK124,坦克属性分配比例,MATCH("升星次数",坦克属性分配比例标头,0),FALSE)*VLOOKUP($BJ124,$AR$3:$AY$33,MATCH(BT$3,$AR$3:$AY$3,0),FALSE),1)</f>
        <v>58.3</v>
      </c>
      <c r="BU124" s="2">
        <f>ROUND(VLOOKUP($BJ124,$AI$3:$AO$33,MATCH(BU$3,$AI$3:$AO$3,0),FALSE)+$BL124/VLOOKUP(VLOOKUP($BJ124,坦克个性化设定!$B$18:$E$48,4,FALSE)&amp;$BK124,坦克属性分配比例,MATCH("升星次数",坦克属性分配比例标头,0),FALSE)*VLOOKUP($BJ124,$AR$3:$AY$33,MATCH(BU$3,$AR$3:$AY$3,0),FALSE),1)</f>
        <v>7.3</v>
      </c>
      <c r="BV124" s="2">
        <f>IF(VLOOKUP(BJ124,坦克个性化设定!$B$18:$BC$48,MATCH("装弹类型",坦克个性化设定!$B$18:$BC$18,0),FALSE)="弹夹换弹",0,ROUND(VLOOKUP($BJ124,$AI$3:$AO$33,MATCH("换弹时间",$AI$3:$AO$3,0),FALSE)-$BL124/VLOOKUP(VLOOKUP($BJ124,坦克个性化设定!$B$18:$E$48,4,FALSE)&amp;$BK124,坦克属性分配比例,MATCH("升星次数",坦克属性分配比例标头,0),FALSE)*VLOOKUP($BJ124,$AR$3:$AY$33,MATCH("换弹时间",$AR$3:$AY$3,0),FALSE),2))</f>
        <v>2.1800000000000002</v>
      </c>
      <c r="BW124" s="2">
        <f>IF(VLOOKUP(BJ124,坦克个性化设定!$B$18:$BC$48,MATCH("装弹类型",坦克个性化设定!$B$18:$BC$18,0),FALSE)="弹夹换弹",ROUND(VLOOKUP($BJ124,$AI$3:$AO$33,MATCH("换弹时间",$AI$3:$AO$3,0),FALSE)-$BL124/VLOOKUP(VLOOKUP($BJ124,坦克个性化设定!$B$18:$E$48,4,FALSE)&amp;$BK124,坦克属性分配比例,MATCH("升星次数",坦克属性分配比例标头,0),FALSE)*VLOOKUP($BJ124,$AR$3:$AY$33,MATCH("换弹时间",$AR$3:$AY$3,0),FALSE),1),0)</f>
        <v>0</v>
      </c>
      <c r="BX124" s="2">
        <f>ROUND(VLOOKUP($BJ124,$AI$3:$AO$33,MATCH(BX$3,$AI$3:$AO$3,0),FALSE)+$BL124/VLOOKUP(VLOOKUP($BJ124,坦克个性化设定!$B$18:$E$48,4,FALSE)&amp;$BK124,坦克属性分配比例,MATCH("升星次数",坦克属性分配比例标头,0),FALSE)*VLOOKUP($BJ124,$AR$3:$AY$33,MATCH(BX$3,$AR$3:$AY$3,0),FALSE),2)</f>
        <v>0.4</v>
      </c>
      <c r="BY124" s="2">
        <f>ROUND(VLOOKUP($BJ124,$AI$3:$AO$33,MATCH(BY$3,$AI$3:$AO$3,0),FALSE)-$BL124/VLOOKUP(VLOOKUP($BJ124,坦克个性化设定!$B$18:$E$48,4,FALSE)&amp;$BK124,坦克属性分配比例,MATCH("升星次数",坦克属性分配比例标头,0),FALSE)*VLOOKUP($BJ124,$AR$3:$AY$33,MATCH(BY$3,$AR$3:$AY$3,0),FALSE),2)</f>
        <v>1.27</v>
      </c>
    </row>
    <row r="125" spans="60:77" x14ac:dyDescent="0.3">
      <c r="BH125" s="2" t="str">
        <f t="shared" si="24"/>
        <v>四号5</v>
      </c>
      <c r="BI125" s="2">
        <f>IF(BL124&gt;=VLOOKUP(VLOOKUP(BJ124,坦克个性化设定!$B$18:$E$48,4,FALSE)&amp;BK124,坦克属性分配比例,MATCH("升星次数",坦克属性分配比例标头,0),FALSE),BI124+1,BI124)</f>
        <v>13</v>
      </c>
      <c r="BJ125" s="2" t="str">
        <f t="shared" si="25"/>
        <v>四号</v>
      </c>
      <c r="BK125" s="29" t="str">
        <f>VLOOKUP(BJ125,坦克个性化细分!$I$3:$J$33,2,FALSE)</f>
        <v>中</v>
      </c>
      <c r="BL125" s="2">
        <f t="shared" si="23"/>
        <v>5</v>
      </c>
      <c r="BM125" s="103">
        <f ca="1">ROUND(VLOOKUP($BJ125&amp;"初始",$S$3:$AE$63,MATCH(BM$3,$S$3:$AE$3,0),FALSE)+((VLOOKUP($BJ125&amp;"最终",$S$3:$AE$63,MATCH(BM$3,$S$3:$AE$3,0),FALSE)*坦克个性化细分!$C$9-VLOOKUP($BJ125&amp;"初始",$S$3:$AE$63,MATCH(BM$3,$S$3:$AE$3,0),FALSE))-(VLOOKUP($BJ125&amp;"最终",$S$3:$AE$63,MATCH(BM$3,$S$3:$AE$3,0),FALSE)-VLOOKUP($BJ125&amp;"初始",$S$3:$AE$63,MATCH(BM$3,$S$3:$AE$3,0),FALSE))*VLOOKUP(VLOOKUP($BJ125,坦克个性化设定!$B$18:$E$48,4,FALSE)&amp;$BK125,坦克属性分配比例,MATCH("部件比例",坦克属性分配比例标头,0),FALSE))*$BL125/VLOOKUP(VLOOKUP($BJ125,坦克个性化设定!$B$18:$E$48,4,FALSE)&amp;$BK125,坦克属性分配比例,MATCH("升星次数",坦克属性分配比例标头,0),FALSE),0)</f>
        <v>1370</v>
      </c>
      <c r="BN125" s="103">
        <f ca="1">ROUND(VLOOKUP($BJ125&amp;"初始",$S$3:$AE$63,MATCH(BN$3,$S$3:$AE$3,0),FALSE)+(VLOOKUP($BJ125&amp;"最终",$S$3:$AE$63,MATCH(BN$3,$S$3:$AE$3,0),FALSE)-VLOOKUP($BJ125&amp;"初始",$S$3:$AE$63,MATCH(BN$3,$S$3:$AE$3,0),FALSE))*$BL125/VLOOKUP(VLOOKUP($BJ125,坦克个性化设定!$B$18:$E$48,4,FALSE)&amp;$BK125,坦克属性分配比例,MATCH("升星次数",坦克属性分配比例标头,0),FALSE)*VLOOKUP(VLOOKUP($BJ125,坦克个性化设定!$B$18:$E$48,4,FALSE)&amp;$BK125,坦克属性分配比例,MATCH("升星比例",坦克属性分配比例标头,0),FALSE),0)</f>
        <v>160</v>
      </c>
      <c r="BO125" s="103">
        <f ca="1">ROUND(VLOOKUP($BJ125&amp;"初始",$S$3:$AE$63,MATCH(BO$3,$S$3:$AE$3,0),FALSE)+(VLOOKUP($BJ125&amp;"最终",$S$3:$AE$63,MATCH(BO$3,$S$3:$AE$3,0),FALSE)-VLOOKUP($BJ125&amp;"初始",$S$3:$AE$63,MATCH(BO$3,$S$3:$AE$3,0),FALSE))*$BL125/VLOOKUP(VLOOKUP($BJ125,坦克个性化设定!$B$18:$E$48,4,FALSE)&amp;$BK125,坦克属性分配比例,MATCH("升星次数",坦克属性分配比例标头,0),FALSE)*(VLOOKUP(VLOOKUP($BJ125,坦克个性化设定!$B$18:$E$48,4,FALSE)&amp;$BK125,坦克属性分配比例,MATCH("升星比例",坦克属性分配比例标头,0),FALSE)+VLOOKUP(VLOOKUP($BJ125,坦克个性化设定!$B$18:$E$48,4,FALSE)&amp;$BK125,坦克属性分配比例,MATCH("部件比例",坦克属性分配比例标头,0),FALSE)*$C$3),0)</f>
        <v>510</v>
      </c>
      <c r="BP125" s="103">
        <f ca="1">ROUND(VLOOKUP($BJ125&amp;"初始",$S$3:$AE$63,MATCH(BP$3,$S$3:$AE$3,0),FALSE)+(VLOOKUP($BJ125&amp;"最终",$S$3:$AE$63,MATCH(BP$3,$S$3:$AE$3,0),FALSE)-VLOOKUP($BJ125&amp;"初始",$S$3:$AE$63,MATCH(BP$3,$S$3:$AE$3,0),FALSE))*$BL125/VLOOKUP(VLOOKUP($BJ125,坦克个性化设定!$B$18:$E$48,4,FALSE)&amp;$BK125,坦克属性分配比例,MATCH("升星次数",坦克属性分配比例标头,0),FALSE)*(VLOOKUP(VLOOKUP($BJ125,坦克个性化设定!$B$18:$E$48,4,FALSE)&amp;$BK125,坦克属性分配比例,MATCH("升星比例",坦克属性分配比例标头,0),FALSE)+VLOOKUP(VLOOKUP($BJ125,坦克个性化设定!$B$18:$E$48,4,FALSE)&amp;$BK125,坦克属性分配比例,MATCH("部件比例",坦克属性分配比例标头,0),FALSE)*$C$3),0)</f>
        <v>383</v>
      </c>
      <c r="BQ125" s="103">
        <f ca="1">ROUND(VLOOKUP($BJ125&amp;"初始",$S$3:$AE$63,MATCH(BQ$3,$S$3:$AE$3,0),FALSE)+(VLOOKUP($BJ125&amp;"最终",$S$3:$AE$63,MATCH(BQ$3,$S$3:$AE$3,0),FALSE)-VLOOKUP($BJ125&amp;"初始",$S$3:$AE$63,MATCH(BQ$3,$S$3:$AE$3,0),FALSE))*$BL125/VLOOKUP(VLOOKUP($BJ125,坦克个性化设定!$B$18:$E$48,4,FALSE)&amp;$BK125,坦克属性分配比例,MATCH("升星次数",坦克属性分配比例标头,0),FALSE)*VLOOKUP(VLOOKUP($BJ125,坦克个性化设定!$B$18:$E$48,4,FALSE)&amp;$BK125,坦克属性分配比例,MATCH("升星比例",坦克属性分配比例标头,0),FALSE),0)</f>
        <v>530</v>
      </c>
      <c r="BR125" s="2">
        <f ca="1">ROUND(VLOOKUP($BJ125&amp;"初始",$S$3:$AE$63,MATCH(BR$3,$S$3:$AE$3,0),FALSE)+(VLOOKUP($BJ125&amp;"最终",$S$3:$AE$63,MATCH(BR$3,$S$3:$AE$3,0),FALSE)-VLOOKUP($BJ125&amp;"初始",$S$3:$AE$63,MATCH(BR$3,$S$3:$AE$3,0),FALSE))*$BL125/VLOOKUP(VLOOKUP($BJ125,坦克个性化设定!$B$18:$E$48,4,FALSE)&amp;$BK125,坦克属性分配比例,MATCH("升星次数",坦克属性分配比例标头,0),FALSE),0)</f>
        <v>139</v>
      </c>
      <c r="BS125" s="2">
        <f>ROUND(VLOOKUP($BJ125,$AI$3:$AO$33,MATCH(BS$3,$AI$3:$AO$3,0),FALSE)+$BL125/VLOOKUP(VLOOKUP($BJ125,坦克个性化设定!$B$18:$E$48,4,FALSE)&amp;$BK125,坦克属性分配比例,MATCH("升星次数",坦克属性分配比例标头,0),FALSE)*VLOOKUP($BJ125,$AR$3:$AY$33,MATCH(BS$3,$AR$3:$AY$3,0),FALSE),1)</f>
        <v>42.8</v>
      </c>
      <c r="BT125" s="2">
        <f>ROUND(VLOOKUP($BJ125,$AI$3:$AO$33,MATCH(BT$3,$AI$3:$AO$3,0),FALSE)+$BL125/VLOOKUP(VLOOKUP($BJ125,坦克个性化设定!$B$18:$E$48,4,FALSE)&amp;$BK125,坦克属性分配比例,MATCH("升星次数",坦克属性分配比例标头,0),FALSE)*VLOOKUP($BJ125,$AR$3:$AY$33,MATCH(BT$3,$AR$3:$AY$3,0),FALSE),1)</f>
        <v>60.1</v>
      </c>
      <c r="BU125" s="2">
        <f>ROUND(VLOOKUP($BJ125,$AI$3:$AO$33,MATCH(BU$3,$AI$3:$AO$3,0),FALSE)+$BL125/VLOOKUP(VLOOKUP($BJ125,坦克个性化设定!$B$18:$E$48,4,FALSE)&amp;$BK125,坦克属性分配比例,MATCH("升星次数",坦克属性分配比例标头,0),FALSE)*VLOOKUP($BJ125,$AR$3:$AY$33,MATCH(BU$3,$AR$3:$AY$3,0),FALSE),1)</f>
        <v>7.3</v>
      </c>
      <c r="BV125" s="2">
        <f>IF(VLOOKUP(BJ125,坦克个性化设定!$B$18:$BC$48,MATCH("装弹类型",坦克个性化设定!$B$18:$BC$18,0),FALSE)="弹夹换弹",0,ROUND(VLOOKUP($BJ125,$AI$3:$AO$33,MATCH("换弹时间",$AI$3:$AO$3,0),FALSE)-$BL125/VLOOKUP(VLOOKUP($BJ125,坦克个性化设定!$B$18:$E$48,4,FALSE)&amp;$BK125,坦克属性分配比例,MATCH("升星次数",坦克属性分配比例标头,0),FALSE)*VLOOKUP($BJ125,$AR$3:$AY$33,MATCH("换弹时间",$AR$3:$AY$3,0),FALSE),2))</f>
        <v>2.13</v>
      </c>
      <c r="BW125" s="2">
        <f>IF(VLOOKUP(BJ125,坦克个性化设定!$B$18:$BC$48,MATCH("装弹类型",坦克个性化设定!$B$18:$BC$18,0),FALSE)="弹夹换弹",ROUND(VLOOKUP($BJ125,$AI$3:$AO$33,MATCH("换弹时间",$AI$3:$AO$3,0),FALSE)-$BL125/VLOOKUP(VLOOKUP($BJ125,坦克个性化设定!$B$18:$E$48,4,FALSE)&amp;$BK125,坦克属性分配比例,MATCH("升星次数",坦克属性分配比例标头,0),FALSE)*VLOOKUP($BJ125,$AR$3:$AY$33,MATCH("换弹时间",$AR$3:$AY$3,0),FALSE),1),0)</f>
        <v>0</v>
      </c>
      <c r="BX125" s="2">
        <f>ROUND(VLOOKUP($BJ125,$AI$3:$AO$33,MATCH(BX$3,$AI$3:$AO$3,0),FALSE)+$BL125/VLOOKUP(VLOOKUP($BJ125,坦克个性化设定!$B$18:$E$48,4,FALSE)&amp;$BK125,坦克属性分配比例,MATCH("升星次数",坦克属性分配比例标头,0),FALSE)*VLOOKUP($BJ125,$AR$3:$AY$33,MATCH(BX$3,$AR$3:$AY$3,0),FALSE),2)</f>
        <v>0.4</v>
      </c>
      <c r="BY125" s="2">
        <f>ROUND(VLOOKUP($BJ125,$AI$3:$AO$33,MATCH(BY$3,$AI$3:$AO$3,0),FALSE)-$BL125/VLOOKUP(VLOOKUP($BJ125,坦克个性化设定!$B$18:$E$48,4,FALSE)&amp;$BK125,坦克属性分配比例,MATCH("升星次数",坦克属性分配比例标头,0),FALSE)*VLOOKUP($BJ125,$AR$3:$AY$33,MATCH(BY$3,$AR$3:$AY$3,0),FALSE),2)</f>
        <v>1.23</v>
      </c>
    </row>
    <row r="126" spans="60:77" x14ac:dyDescent="0.3">
      <c r="BH126" s="2" t="str">
        <f t="shared" si="24"/>
        <v>四号6</v>
      </c>
      <c r="BI126" s="2">
        <f>IF(BL125&gt;=VLOOKUP(VLOOKUP(BJ125,坦克个性化设定!$B$18:$E$48,4,FALSE)&amp;BK125,坦克属性分配比例,MATCH("升星次数",坦克属性分配比例标头,0),FALSE),BI125+1,BI125)</f>
        <v>13</v>
      </c>
      <c r="BJ126" s="2" t="str">
        <f t="shared" si="25"/>
        <v>四号</v>
      </c>
      <c r="BK126" s="29" t="str">
        <f>VLOOKUP(BJ126,坦克个性化细分!$I$3:$J$33,2,FALSE)</f>
        <v>中</v>
      </c>
      <c r="BL126" s="2">
        <f t="shared" si="23"/>
        <v>6</v>
      </c>
      <c r="BM126" s="103">
        <f ca="1">ROUND(VLOOKUP($BJ126&amp;"初始",$S$3:$AE$63,MATCH(BM$3,$S$3:$AE$3,0),FALSE)+((VLOOKUP($BJ126&amp;"最终",$S$3:$AE$63,MATCH(BM$3,$S$3:$AE$3,0),FALSE)*坦克个性化细分!$C$9-VLOOKUP($BJ126&amp;"初始",$S$3:$AE$63,MATCH(BM$3,$S$3:$AE$3,0),FALSE))-(VLOOKUP($BJ126&amp;"最终",$S$3:$AE$63,MATCH(BM$3,$S$3:$AE$3,0),FALSE)-VLOOKUP($BJ126&amp;"初始",$S$3:$AE$63,MATCH(BM$3,$S$3:$AE$3,0),FALSE))*VLOOKUP(VLOOKUP($BJ126,坦克个性化设定!$B$18:$E$48,4,FALSE)&amp;$BK126,坦克属性分配比例,MATCH("部件比例",坦克属性分配比例标头,0),FALSE))*$BL126/VLOOKUP(VLOOKUP($BJ126,坦克个性化设定!$B$18:$E$48,4,FALSE)&amp;$BK126,坦克属性分配比例,MATCH("升星次数",坦克属性分配比例标头,0),FALSE),0)</f>
        <v>1443</v>
      </c>
      <c r="BN126" s="103">
        <f ca="1">ROUND(VLOOKUP($BJ126&amp;"初始",$S$3:$AE$63,MATCH(BN$3,$S$3:$AE$3,0),FALSE)+(VLOOKUP($BJ126&amp;"最终",$S$3:$AE$63,MATCH(BN$3,$S$3:$AE$3,0),FALSE)-VLOOKUP($BJ126&amp;"初始",$S$3:$AE$63,MATCH(BN$3,$S$3:$AE$3,0),FALSE))*$BL126/VLOOKUP(VLOOKUP($BJ126,坦克个性化设定!$B$18:$E$48,4,FALSE)&amp;$BK126,坦克属性分配比例,MATCH("升星次数",坦克属性分配比例标头,0),FALSE)*VLOOKUP(VLOOKUP($BJ126,坦克个性化设定!$B$18:$E$48,4,FALSE)&amp;$BK126,坦克属性分配比例,MATCH("升星比例",坦克属性分配比例标头,0),FALSE),0)</f>
        <v>165</v>
      </c>
      <c r="BO126" s="103">
        <f ca="1">ROUND(VLOOKUP($BJ126&amp;"初始",$S$3:$AE$63,MATCH(BO$3,$S$3:$AE$3,0),FALSE)+(VLOOKUP($BJ126&amp;"最终",$S$3:$AE$63,MATCH(BO$3,$S$3:$AE$3,0),FALSE)-VLOOKUP($BJ126&amp;"初始",$S$3:$AE$63,MATCH(BO$3,$S$3:$AE$3,0),FALSE))*$BL126/VLOOKUP(VLOOKUP($BJ126,坦克个性化设定!$B$18:$E$48,4,FALSE)&amp;$BK126,坦克属性分配比例,MATCH("升星次数",坦克属性分配比例标头,0),FALSE)*(VLOOKUP(VLOOKUP($BJ126,坦克个性化设定!$B$18:$E$48,4,FALSE)&amp;$BK126,坦克属性分配比例,MATCH("升星比例",坦克属性分配比例标头,0),FALSE)+VLOOKUP(VLOOKUP($BJ126,坦克个性化设定!$B$18:$E$48,4,FALSE)&amp;$BK126,坦克属性分配比例,MATCH("部件比例",坦克属性分配比例标头,0),FALSE)*$C$3),0)</f>
        <v>531</v>
      </c>
      <c r="BP126" s="103">
        <f ca="1">ROUND(VLOOKUP($BJ126&amp;"初始",$S$3:$AE$63,MATCH(BP$3,$S$3:$AE$3,0),FALSE)+(VLOOKUP($BJ126&amp;"最终",$S$3:$AE$63,MATCH(BP$3,$S$3:$AE$3,0),FALSE)-VLOOKUP($BJ126&amp;"初始",$S$3:$AE$63,MATCH(BP$3,$S$3:$AE$3,0),FALSE))*$BL126/VLOOKUP(VLOOKUP($BJ126,坦克个性化设定!$B$18:$E$48,4,FALSE)&amp;$BK126,坦克属性分配比例,MATCH("升星次数",坦克属性分配比例标头,0),FALSE)*(VLOOKUP(VLOOKUP($BJ126,坦克个性化设定!$B$18:$E$48,4,FALSE)&amp;$BK126,坦克属性分配比例,MATCH("升星比例",坦克属性分配比例标头,0),FALSE)+VLOOKUP(VLOOKUP($BJ126,坦克个性化设定!$B$18:$E$48,4,FALSE)&amp;$BK126,坦克属性分配比例,MATCH("部件比例",坦克属性分配比例标头,0),FALSE)*$C$3),0)</f>
        <v>399</v>
      </c>
      <c r="BQ126" s="103">
        <f ca="1">ROUND(VLOOKUP($BJ126&amp;"初始",$S$3:$AE$63,MATCH(BQ$3,$S$3:$AE$3,0),FALSE)+(VLOOKUP($BJ126&amp;"最终",$S$3:$AE$63,MATCH(BQ$3,$S$3:$AE$3,0),FALSE)-VLOOKUP($BJ126&amp;"初始",$S$3:$AE$63,MATCH(BQ$3,$S$3:$AE$3,0),FALSE))*$BL126/VLOOKUP(VLOOKUP($BJ126,坦克个性化设定!$B$18:$E$48,4,FALSE)&amp;$BK126,坦克属性分配比例,MATCH("升星次数",坦克属性分配比例标头,0),FALSE)*VLOOKUP(VLOOKUP($BJ126,坦克个性化设定!$B$18:$E$48,4,FALSE)&amp;$BK126,坦克属性分配比例,MATCH("升星比例",坦克属性分配比例标头,0),FALSE),0)</f>
        <v>548</v>
      </c>
      <c r="BR126" s="2">
        <f ca="1">ROUND(VLOOKUP($BJ126&amp;"初始",$S$3:$AE$63,MATCH(BR$3,$S$3:$AE$3,0),FALSE)+(VLOOKUP($BJ126&amp;"最终",$S$3:$AE$63,MATCH(BR$3,$S$3:$AE$3,0),FALSE)-VLOOKUP($BJ126&amp;"初始",$S$3:$AE$63,MATCH(BR$3,$S$3:$AE$3,0),FALSE))*$BL126/VLOOKUP(VLOOKUP($BJ126,坦克个性化设定!$B$18:$E$48,4,FALSE)&amp;$BK126,坦克属性分配比例,MATCH("升星次数",坦克属性分配比例标头,0),FALSE),0)</f>
        <v>145</v>
      </c>
      <c r="BS126" s="2">
        <f>ROUND(VLOOKUP($BJ126,$AI$3:$AO$33,MATCH(BS$3,$AI$3:$AO$3,0),FALSE)+$BL126/VLOOKUP(VLOOKUP($BJ126,坦克个性化设定!$B$18:$E$48,4,FALSE)&amp;$BK126,坦克属性分配比例,MATCH("升星次数",坦克属性分配比例标头,0),FALSE)*VLOOKUP($BJ126,$AR$3:$AY$33,MATCH(BS$3,$AR$3:$AY$3,0),FALSE),1)</f>
        <v>44.1</v>
      </c>
      <c r="BT126" s="2">
        <f>ROUND(VLOOKUP($BJ126,$AI$3:$AO$33,MATCH(BT$3,$AI$3:$AO$3,0),FALSE)+$BL126/VLOOKUP(VLOOKUP($BJ126,坦克个性化设定!$B$18:$E$48,4,FALSE)&amp;$BK126,坦克属性分配比例,MATCH("升星次数",坦克属性分配比例标头,0),FALSE)*VLOOKUP($BJ126,$AR$3:$AY$33,MATCH(BT$3,$AR$3:$AY$3,0),FALSE),1)</f>
        <v>61.9</v>
      </c>
      <c r="BU126" s="2">
        <f>ROUND(VLOOKUP($BJ126,$AI$3:$AO$33,MATCH(BU$3,$AI$3:$AO$3,0),FALSE)+$BL126/VLOOKUP(VLOOKUP($BJ126,坦克个性化设定!$B$18:$E$48,4,FALSE)&amp;$BK126,坦克属性分配比例,MATCH("升星次数",坦克属性分配比例标头,0),FALSE)*VLOOKUP($BJ126,$AR$3:$AY$33,MATCH(BU$3,$AR$3:$AY$3,0),FALSE),1)</f>
        <v>7.3</v>
      </c>
      <c r="BV126" s="2">
        <f>IF(VLOOKUP(BJ126,坦克个性化设定!$B$18:$BC$48,MATCH("装弹类型",坦克个性化设定!$B$18:$BC$18,0),FALSE)="弹夹换弹",0,ROUND(VLOOKUP($BJ126,$AI$3:$AO$33,MATCH("换弹时间",$AI$3:$AO$3,0),FALSE)-$BL126/VLOOKUP(VLOOKUP($BJ126,坦克个性化设定!$B$18:$E$48,4,FALSE)&amp;$BK126,坦克属性分配比例,MATCH("升星次数",坦克属性分配比例标头,0),FALSE)*VLOOKUP($BJ126,$AR$3:$AY$33,MATCH("换弹时间",$AR$3:$AY$3,0),FALSE),2))</f>
        <v>2.08</v>
      </c>
      <c r="BW126" s="2">
        <f>IF(VLOOKUP(BJ126,坦克个性化设定!$B$18:$BC$48,MATCH("装弹类型",坦克个性化设定!$B$18:$BC$18,0),FALSE)="弹夹换弹",ROUND(VLOOKUP($BJ126,$AI$3:$AO$33,MATCH("换弹时间",$AI$3:$AO$3,0),FALSE)-$BL126/VLOOKUP(VLOOKUP($BJ126,坦克个性化设定!$B$18:$E$48,4,FALSE)&amp;$BK126,坦克属性分配比例,MATCH("升星次数",坦克属性分配比例标头,0),FALSE)*VLOOKUP($BJ126,$AR$3:$AY$33,MATCH("换弹时间",$AR$3:$AY$3,0),FALSE),1),0)</f>
        <v>0</v>
      </c>
      <c r="BX126" s="2">
        <f>ROUND(VLOOKUP($BJ126,$AI$3:$AO$33,MATCH(BX$3,$AI$3:$AO$3,0),FALSE)+$BL126/VLOOKUP(VLOOKUP($BJ126,坦克个性化设定!$B$18:$E$48,4,FALSE)&amp;$BK126,坦克属性分配比例,MATCH("升星次数",坦克属性分配比例标头,0),FALSE)*VLOOKUP($BJ126,$AR$3:$AY$33,MATCH(BX$3,$AR$3:$AY$3,0),FALSE),2)</f>
        <v>0.4</v>
      </c>
      <c r="BY126" s="2">
        <f>ROUND(VLOOKUP($BJ126,$AI$3:$AO$33,MATCH(BY$3,$AI$3:$AO$3,0),FALSE)-$BL126/VLOOKUP(VLOOKUP($BJ126,坦克个性化设定!$B$18:$E$48,4,FALSE)&amp;$BK126,坦克属性分配比例,MATCH("升星次数",坦克属性分配比例标头,0),FALSE)*VLOOKUP($BJ126,$AR$3:$AY$33,MATCH(BY$3,$AR$3:$AY$3,0),FALSE),2)</f>
        <v>1.2</v>
      </c>
    </row>
    <row r="127" spans="60:77" x14ac:dyDescent="0.3">
      <c r="BH127" s="2" t="str">
        <f t="shared" si="24"/>
        <v>四号7</v>
      </c>
      <c r="BI127" s="2">
        <f>IF(BL126&gt;=VLOOKUP(VLOOKUP(BJ126,坦克个性化设定!$B$18:$E$48,4,FALSE)&amp;BK126,坦克属性分配比例,MATCH("升星次数",坦克属性分配比例标头,0),FALSE),BI126+1,BI126)</f>
        <v>13</v>
      </c>
      <c r="BJ127" s="2" t="str">
        <f t="shared" si="25"/>
        <v>四号</v>
      </c>
      <c r="BK127" s="29" t="str">
        <f>VLOOKUP(BJ127,坦克个性化细分!$I$3:$J$33,2,FALSE)</f>
        <v>中</v>
      </c>
      <c r="BL127" s="2">
        <f t="shared" si="23"/>
        <v>7</v>
      </c>
      <c r="BM127" s="103">
        <f ca="1">ROUND(VLOOKUP($BJ127&amp;"初始",$S$3:$AE$63,MATCH(BM$3,$S$3:$AE$3,0),FALSE)+((VLOOKUP($BJ127&amp;"最终",$S$3:$AE$63,MATCH(BM$3,$S$3:$AE$3,0),FALSE)*坦克个性化细分!$C$9-VLOOKUP($BJ127&amp;"初始",$S$3:$AE$63,MATCH(BM$3,$S$3:$AE$3,0),FALSE))-(VLOOKUP($BJ127&amp;"最终",$S$3:$AE$63,MATCH(BM$3,$S$3:$AE$3,0),FALSE)-VLOOKUP($BJ127&amp;"初始",$S$3:$AE$63,MATCH(BM$3,$S$3:$AE$3,0),FALSE))*VLOOKUP(VLOOKUP($BJ127,坦克个性化设定!$B$18:$E$48,4,FALSE)&amp;$BK127,坦克属性分配比例,MATCH("部件比例",坦克属性分配比例标头,0),FALSE))*$BL127/VLOOKUP(VLOOKUP($BJ127,坦克个性化设定!$B$18:$E$48,4,FALSE)&amp;$BK127,坦克属性分配比例,MATCH("升星次数",坦克属性分配比例标头,0),FALSE),0)</f>
        <v>1516</v>
      </c>
      <c r="BN127" s="103">
        <f ca="1">ROUND(VLOOKUP($BJ127&amp;"初始",$S$3:$AE$63,MATCH(BN$3,$S$3:$AE$3,0),FALSE)+(VLOOKUP($BJ127&amp;"最终",$S$3:$AE$63,MATCH(BN$3,$S$3:$AE$3,0),FALSE)-VLOOKUP($BJ127&amp;"初始",$S$3:$AE$63,MATCH(BN$3,$S$3:$AE$3,0),FALSE))*$BL127/VLOOKUP(VLOOKUP($BJ127,坦克个性化设定!$B$18:$E$48,4,FALSE)&amp;$BK127,坦克属性分配比例,MATCH("升星次数",坦克属性分配比例标头,0),FALSE)*VLOOKUP(VLOOKUP($BJ127,坦克个性化设定!$B$18:$E$48,4,FALSE)&amp;$BK127,坦克属性分配比例,MATCH("升星比例",坦克属性分配比例标头,0),FALSE),0)</f>
        <v>171</v>
      </c>
      <c r="BO127" s="103">
        <f ca="1">ROUND(VLOOKUP($BJ127&amp;"初始",$S$3:$AE$63,MATCH(BO$3,$S$3:$AE$3,0),FALSE)+(VLOOKUP($BJ127&amp;"最终",$S$3:$AE$63,MATCH(BO$3,$S$3:$AE$3,0),FALSE)-VLOOKUP($BJ127&amp;"初始",$S$3:$AE$63,MATCH(BO$3,$S$3:$AE$3,0),FALSE))*$BL127/VLOOKUP(VLOOKUP($BJ127,坦克个性化设定!$B$18:$E$48,4,FALSE)&amp;$BK127,坦克属性分配比例,MATCH("升星次数",坦克属性分配比例标头,0),FALSE)*(VLOOKUP(VLOOKUP($BJ127,坦克个性化设定!$B$18:$E$48,4,FALSE)&amp;$BK127,坦克属性分配比例,MATCH("升星比例",坦克属性分配比例标头,0),FALSE)+VLOOKUP(VLOOKUP($BJ127,坦克个性化设定!$B$18:$E$48,4,FALSE)&amp;$BK127,坦克属性分配比例,MATCH("部件比例",坦克属性分配比例标头,0),FALSE)*$C$3),0)</f>
        <v>553</v>
      </c>
      <c r="BP127" s="103">
        <f ca="1">ROUND(VLOOKUP($BJ127&amp;"初始",$S$3:$AE$63,MATCH(BP$3,$S$3:$AE$3,0),FALSE)+(VLOOKUP($BJ127&amp;"最终",$S$3:$AE$63,MATCH(BP$3,$S$3:$AE$3,0),FALSE)-VLOOKUP($BJ127&amp;"初始",$S$3:$AE$63,MATCH(BP$3,$S$3:$AE$3,0),FALSE))*$BL127/VLOOKUP(VLOOKUP($BJ127,坦克个性化设定!$B$18:$E$48,4,FALSE)&amp;$BK127,坦克属性分配比例,MATCH("升星次数",坦克属性分配比例标头,0),FALSE)*(VLOOKUP(VLOOKUP($BJ127,坦克个性化设定!$B$18:$E$48,4,FALSE)&amp;$BK127,坦克属性分配比例,MATCH("升星比例",坦克属性分配比例标头,0),FALSE)+VLOOKUP(VLOOKUP($BJ127,坦克个性化设定!$B$18:$E$48,4,FALSE)&amp;$BK127,坦克属性分配比例,MATCH("部件比例",坦克属性分配比例标头,0),FALSE)*$C$3),0)</f>
        <v>415</v>
      </c>
      <c r="BQ127" s="103">
        <f ca="1">ROUND(VLOOKUP($BJ127&amp;"初始",$S$3:$AE$63,MATCH(BQ$3,$S$3:$AE$3,0),FALSE)+(VLOOKUP($BJ127&amp;"最终",$S$3:$AE$63,MATCH(BQ$3,$S$3:$AE$3,0),FALSE)-VLOOKUP($BJ127&amp;"初始",$S$3:$AE$63,MATCH(BQ$3,$S$3:$AE$3,0),FALSE))*$BL127/VLOOKUP(VLOOKUP($BJ127,坦克个性化设定!$B$18:$E$48,4,FALSE)&amp;$BK127,坦克属性分配比例,MATCH("升星次数",坦克属性分配比例标头,0),FALSE)*VLOOKUP(VLOOKUP($BJ127,坦克个性化设定!$B$18:$E$48,4,FALSE)&amp;$BK127,坦克属性分配比例,MATCH("升星比例",坦克属性分配比例标头,0),FALSE),0)</f>
        <v>566</v>
      </c>
      <c r="BR127" s="2">
        <f ca="1">ROUND(VLOOKUP($BJ127&amp;"初始",$S$3:$AE$63,MATCH(BR$3,$S$3:$AE$3,0),FALSE)+(VLOOKUP($BJ127&amp;"最终",$S$3:$AE$63,MATCH(BR$3,$S$3:$AE$3,0),FALSE)-VLOOKUP($BJ127&amp;"初始",$S$3:$AE$63,MATCH(BR$3,$S$3:$AE$3,0),FALSE))*$BL127/VLOOKUP(VLOOKUP($BJ127,坦克个性化设定!$B$18:$E$48,4,FALSE)&amp;$BK127,坦克属性分配比例,MATCH("升星次数",坦克属性分配比例标头,0),FALSE),0)</f>
        <v>152</v>
      </c>
      <c r="BS127" s="2">
        <f>ROUND(VLOOKUP($BJ127,$AI$3:$AO$33,MATCH(BS$3,$AI$3:$AO$3,0),FALSE)+$BL127/VLOOKUP(VLOOKUP($BJ127,坦克个性化设定!$B$18:$E$48,4,FALSE)&amp;$BK127,坦克属性分配比例,MATCH("升星次数",坦克属性分配比例标头,0),FALSE)*VLOOKUP($BJ127,$AR$3:$AY$33,MATCH(BS$3,$AR$3:$AY$3,0),FALSE),1)</f>
        <v>45.4</v>
      </c>
      <c r="BT127" s="2">
        <f>ROUND(VLOOKUP($BJ127,$AI$3:$AO$33,MATCH(BT$3,$AI$3:$AO$3,0),FALSE)+$BL127/VLOOKUP(VLOOKUP($BJ127,坦克个性化设定!$B$18:$E$48,4,FALSE)&amp;$BK127,坦克属性分配比例,MATCH("升星次数",坦克属性分配比例标头,0),FALSE)*VLOOKUP($BJ127,$AR$3:$AY$33,MATCH(BT$3,$AR$3:$AY$3,0),FALSE),1)</f>
        <v>63.8</v>
      </c>
      <c r="BU127" s="2">
        <f>ROUND(VLOOKUP($BJ127,$AI$3:$AO$33,MATCH(BU$3,$AI$3:$AO$3,0),FALSE)+$BL127/VLOOKUP(VLOOKUP($BJ127,坦克个性化设定!$B$18:$E$48,4,FALSE)&amp;$BK127,坦克属性分配比例,MATCH("升星次数",坦克属性分配比例标头,0),FALSE)*VLOOKUP($BJ127,$AR$3:$AY$33,MATCH(BU$3,$AR$3:$AY$3,0),FALSE),1)</f>
        <v>7.3</v>
      </c>
      <c r="BV127" s="2">
        <f>IF(VLOOKUP(BJ127,坦克个性化设定!$B$18:$BC$48,MATCH("装弹类型",坦克个性化设定!$B$18:$BC$18,0),FALSE)="弹夹换弹",0,ROUND(VLOOKUP($BJ127,$AI$3:$AO$33,MATCH("换弹时间",$AI$3:$AO$3,0),FALSE)-$BL127/VLOOKUP(VLOOKUP($BJ127,坦克个性化设定!$B$18:$E$48,4,FALSE)&amp;$BK127,坦克属性分配比例,MATCH("升星次数",坦克属性分配比例标头,0),FALSE)*VLOOKUP($BJ127,$AR$3:$AY$33,MATCH("换弹时间",$AR$3:$AY$3,0),FALSE),2))</f>
        <v>2.02</v>
      </c>
      <c r="BW127" s="2">
        <f>IF(VLOOKUP(BJ127,坦克个性化设定!$B$18:$BC$48,MATCH("装弹类型",坦克个性化设定!$B$18:$BC$18,0),FALSE)="弹夹换弹",ROUND(VLOOKUP($BJ127,$AI$3:$AO$33,MATCH("换弹时间",$AI$3:$AO$3,0),FALSE)-$BL127/VLOOKUP(VLOOKUP($BJ127,坦克个性化设定!$B$18:$E$48,4,FALSE)&amp;$BK127,坦克属性分配比例,MATCH("升星次数",坦克属性分配比例标头,0),FALSE)*VLOOKUP($BJ127,$AR$3:$AY$33,MATCH("换弹时间",$AR$3:$AY$3,0),FALSE),1),0)</f>
        <v>0</v>
      </c>
      <c r="BX127" s="2">
        <f>ROUND(VLOOKUP($BJ127,$AI$3:$AO$33,MATCH(BX$3,$AI$3:$AO$3,0),FALSE)+$BL127/VLOOKUP(VLOOKUP($BJ127,坦克个性化设定!$B$18:$E$48,4,FALSE)&amp;$BK127,坦克属性分配比例,MATCH("升星次数",坦克属性分配比例标头,0),FALSE)*VLOOKUP($BJ127,$AR$3:$AY$33,MATCH(BX$3,$AR$3:$AY$3,0),FALSE),2)</f>
        <v>0.4</v>
      </c>
      <c r="BY127" s="2">
        <f>ROUND(VLOOKUP($BJ127,$AI$3:$AO$33,MATCH(BY$3,$AI$3:$AO$3,0),FALSE)-$BL127/VLOOKUP(VLOOKUP($BJ127,坦克个性化设定!$B$18:$E$48,4,FALSE)&amp;$BK127,坦克属性分配比例,MATCH("升星次数",坦克属性分配比例标头,0),FALSE)*VLOOKUP($BJ127,$AR$3:$AY$33,MATCH(BY$3,$AR$3:$AY$3,0),FALSE),2)</f>
        <v>1.17</v>
      </c>
    </row>
    <row r="128" spans="60:77" x14ac:dyDescent="0.3">
      <c r="BH128" s="2" t="str">
        <f t="shared" si="24"/>
        <v>玛蒂尔达0</v>
      </c>
      <c r="BI128" s="2">
        <f>IF(BL127&gt;=VLOOKUP(VLOOKUP(BJ127,坦克个性化设定!$B$18:$E$48,4,FALSE)&amp;BK127,坦克属性分配比例,MATCH("升星次数",坦克属性分配比例标头,0),FALSE),BI127+1,BI127)</f>
        <v>14</v>
      </c>
      <c r="BJ128" s="2" t="str">
        <f t="shared" si="25"/>
        <v>玛蒂尔达</v>
      </c>
      <c r="BK128" s="29" t="str">
        <f>VLOOKUP(BJ128,坦克个性化细分!$I$3:$J$33,2,FALSE)</f>
        <v>低</v>
      </c>
      <c r="BL128" s="2">
        <f t="shared" si="23"/>
        <v>0</v>
      </c>
      <c r="BM128" s="103">
        <f ca="1">ROUND(VLOOKUP($BJ128&amp;"初始",$S$3:$AE$63,MATCH(BM$3,$S$3:$AE$3,0),FALSE)+((VLOOKUP($BJ128&amp;"最终",$S$3:$AE$63,MATCH(BM$3,$S$3:$AE$3,0),FALSE)*坦克个性化细分!$C$9-VLOOKUP($BJ128&amp;"初始",$S$3:$AE$63,MATCH(BM$3,$S$3:$AE$3,0),FALSE))-(VLOOKUP($BJ128&amp;"最终",$S$3:$AE$63,MATCH(BM$3,$S$3:$AE$3,0),FALSE)-VLOOKUP($BJ128&amp;"初始",$S$3:$AE$63,MATCH(BM$3,$S$3:$AE$3,0),FALSE))*VLOOKUP(VLOOKUP($BJ128,坦克个性化设定!$B$18:$E$48,4,FALSE)&amp;$BK128,坦克属性分配比例,MATCH("部件比例",坦克属性分配比例标头,0),FALSE))*$BL128/VLOOKUP(VLOOKUP($BJ128,坦克个性化设定!$B$18:$E$48,4,FALSE)&amp;$BK128,坦克属性分配比例,MATCH("升星次数",坦克属性分配比例标头,0),FALSE),0)</f>
        <v>1214</v>
      </c>
      <c r="BN128" s="103">
        <f ca="1">ROUND(VLOOKUP($BJ128&amp;"初始",$S$3:$AE$63,MATCH(BN$3,$S$3:$AE$3,0),FALSE)+(VLOOKUP($BJ128&amp;"最终",$S$3:$AE$63,MATCH(BN$3,$S$3:$AE$3,0),FALSE)-VLOOKUP($BJ128&amp;"初始",$S$3:$AE$63,MATCH(BN$3,$S$3:$AE$3,0),FALSE))*$BL128/VLOOKUP(VLOOKUP($BJ128,坦克个性化设定!$B$18:$E$48,4,FALSE)&amp;$BK128,坦克属性分配比例,MATCH("升星次数",坦克属性分配比例标头,0),FALSE)*VLOOKUP(VLOOKUP($BJ128,坦克个性化设定!$B$18:$E$48,4,FALSE)&amp;$BK128,坦克属性分配比例,MATCH("升星比例",坦克属性分配比例标头,0),FALSE),0)</f>
        <v>159</v>
      </c>
      <c r="BO128" s="103">
        <f ca="1">ROUND(VLOOKUP($BJ128&amp;"初始",$S$3:$AE$63,MATCH(BO$3,$S$3:$AE$3,0),FALSE)+(VLOOKUP($BJ128&amp;"最终",$S$3:$AE$63,MATCH(BO$3,$S$3:$AE$3,0),FALSE)-VLOOKUP($BJ128&amp;"初始",$S$3:$AE$63,MATCH(BO$3,$S$3:$AE$3,0),FALSE))*$BL128/VLOOKUP(VLOOKUP($BJ128,坦克个性化设定!$B$18:$E$48,4,FALSE)&amp;$BK128,坦克属性分配比例,MATCH("升星次数",坦克属性分配比例标头,0),FALSE)*(VLOOKUP(VLOOKUP($BJ128,坦克个性化设定!$B$18:$E$48,4,FALSE)&amp;$BK128,坦克属性分配比例,MATCH("升星比例",坦克属性分配比例标头,0),FALSE)+VLOOKUP(VLOOKUP($BJ128,坦克个性化设定!$B$18:$E$48,4,FALSE)&amp;$BK128,坦克属性分配比例,MATCH("部件比例",坦克属性分配比例标头,0),FALSE)*$C$3),0)</f>
        <v>486</v>
      </c>
      <c r="BP128" s="103">
        <f ca="1">ROUND(VLOOKUP($BJ128&amp;"初始",$S$3:$AE$63,MATCH(BP$3,$S$3:$AE$3,0),FALSE)+(VLOOKUP($BJ128&amp;"最终",$S$3:$AE$63,MATCH(BP$3,$S$3:$AE$3,0),FALSE)-VLOOKUP($BJ128&amp;"初始",$S$3:$AE$63,MATCH(BP$3,$S$3:$AE$3,0),FALSE))*$BL128/VLOOKUP(VLOOKUP($BJ128,坦克个性化设定!$B$18:$E$48,4,FALSE)&amp;$BK128,坦克属性分配比例,MATCH("升星次数",坦克属性分配比例标头,0),FALSE)*(VLOOKUP(VLOOKUP($BJ128,坦克个性化设定!$B$18:$E$48,4,FALSE)&amp;$BK128,坦克属性分配比例,MATCH("升星比例",坦克属性分配比例标头,0),FALSE)+VLOOKUP(VLOOKUP($BJ128,坦克个性化设定!$B$18:$E$48,4,FALSE)&amp;$BK128,坦克属性分配比例,MATCH("部件比例",坦克属性分配比例标头,0),FALSE)*$C$3),0)</f>
        <v>365</v>
      </c>
      <c r="BQ128" s="103">
        <f ca="1">ROUND(VLOOKUP($BJ128&amp;"初始",$S$3:$AE$63,MATCH(BQ$3,$S$3:$AE$3,0),FALSE)+(VLOOKUP($BJ128&amp;"最终",$S$3:$AE$63,MATCH(BQ$3,$S$3:$AE$3,0),FALSE)-VLOOKUP($BJ128&amp;"初始",$S$3:$AE$63,MATCH(BQ$3,$S$3:$AE$3,0),FALSE))*$BL128/VLOOKUP(VLOOKUP($BJ128,坦克个性化设定!$B$18:$E$48,4,FALSE)&amp;$BK128,坦克属性分配比例,MATCH("升星次数",坦克属性分配比例标头,0),FALSE)*VLOOKUP(VLOOKUP($BJ128,坦克个性化设定!$B$18:$E$48,4,FALSE)&amp;$BK128,坦克属性分配比例,MATCH("升星比例",坦克属性分配比例标头,0),FALSE),0)</f>
        <v>533</v>
      </c>
      <c r="BR128" s="2">
        <f ca="1">ROUND(VLOOKUP($BJ128&amp;"初始",$S$3:$AE$63,MATCH(BR$3,$S$3:$AE$3,0),FALSE)+(VLOOKUP($BJ128&amp;"最终",$S$3:$AE$63,MATCH(BR$3,$S$3:$AE$3,0),FALSE)-VLOOKUP($BJ128&amp;"初始",$S$3:$AE$63,MATCH(BR$3,$S$3:$AE$3,0),FALSE))*$BL128/VLOOKUP(VLOOKUP($BJ128,坦克个性化设定!$B$18:$E$48,4,FALSE)&amp;$BK128,坦克属性分配比例,MATCH("升星次数",坦克属性分配比例标头,0),FALSE),0)</f>
        <v>128</v>
      </c>
      <c r="BS128" s="2">
        <f>ROUND(VLOOKUP($BJ128,$AI$3:$AO$33,MATCH(BS$3,$AI$3:$AO$3,0),FALSE)+$BL128/VLOOKUP(VLOOKUP($BJ128,坦克个性化设定!$B$18:$E$48,4,FALSE)&amp;$BK128,坦克属性分配比例,MATCH("升星次数",坦克属性分配比例标头,0),FALSE)*VLOOKUP($BJ128,$AR$3:$AY$33,MATCH(BS$3,$AR$3:$AY$3,0),FALSE),1)</f>
        <v>44.5</v>
      </c>
      <c r="BT128" s="2">
        <f>ROUND(VLOOKUP($BJ128,$AI$3:$AO$33,MATCH(BT$3,$AI$3:$AO$3,0),FALSE)+$BL128/VLOOKUP(VLOOKUP($BJ128,坦克个性化设定!$B$18:$E$48,4,FALSE)&amp;$BK128,坦克属性分配比例,MATCH("升星次数",坦克属性分配比例标头,0),FALSE)*VLOOKUP($BJ128,$AR$3:$AY$33,MATCH(BT$3,$AR$3:$AY$3,0),FALSE),1)</f>
        <v>40</v>
      </c>
      <c r="BU128" s="2">
        <f>ROUND(VLOOKUP($BJ128,$AI$3:$AO$33,MATCH(BU$3,$AI$3:$AO$3,0),FALSE)+$BL128/VLOOKUP(VLOOKUP($BJ128,坦克个性化设定!$B$18:$E$48,4,FALSE)&amp;$BK128,坦克属性分配比例,MATCH("升星次数",坦克属性分配比例标头,0),FALSE)*VLOOKUP($BJ128,$AR$3:$AY$33,MATCH(BU$3,$AR$3:$AY$3,0),FALSE),1)</f>
        <v>8</v>
      </c>
      <c r="BV128" s="2">
        <f>IF(VLOOKUP(BJ128,坦克个性化设定!$B$18:$BC$48,MATCH("装弹类型",坦克个性化设定!$B$18:$BC$18,0),FALSE)="弹夹换弹",0,ROUND(VLOOKUP($BJ128,$AI$3:$AO$33,MATCH("换弹时间",$AI$3:$AO$3,0),FALSE)-$BL128/VLOOKUP(VLOOKUP($BJ128,坦克个性化设定!$B$18:$E$48,4,FALSE)&amp;$BK128,坦克属性分配比例,MATCH("升星次数",坦克属性分配比例标头,0),FALSE)*VLOOKUP($BJ128,$AR$3:$AY$33,MATCH("换弹时间",$AR$3:$AY$3,0),FALSE),2))</f>
        <v>0</v>
      </c>
      <c r="BW128" s="2">
        <f>IF(VLOOKUP(BJ128,坦克个性化设定!$B$18:$BC$48,MATCH("装弹类型",坦克个性化设定!$B$18:$BC$18,0),FALSE)="弹夹换弹",ROUND(VLOOKUP($BJ128,$AI$3:$AO$33,MATCH("换弹时间",$AI$3:$AO$3,0),FALSE)-$BL128/VLOOKUP(VLOOKUP($BJ128,坦克个性化设定!$B$18:$E$48,4,FALSE)&amp;$BK128,坦克属性分配比例,MATCH("升星次数",坦克属性分配比例标头,0),FALSE)*VLOOKUP($BJ128,$AR$3:$AY$33,MATCH("换弹时间",$AR$3:$AY$3,0),FALSE),1),0)</f>
        <v>3.2</v>
      </c>
      <c r="BX128" s="2">
        <f>ROUND(VLOOKUP($BJ128,$AI$3:$AO$33,MATCH(BX$3,$AI$3:$AO$3,0),FALSE)+$BL128/VLOOKUP(VLOOKUP($BJ128,坦克个性化设定!$B$18:$E$48,4,FALSE)&amp;$BK128,坦克属性分配比例,MATCH("升星次数",坦克属性分配比例标头,0),FALSE)*VLOOKUP($BJ128,$AR$3:$AY$33,MATCH(BX$3,$AR$3:$AY$3,0),FALSE),2)</f>
        <v>0.28000000000000003</v>
      </c>
      <c r="BY128" s="2">
        <f>ROUND(VLOOKUP($BJ128,$AI$3:$AO$33,MATCH(BY$3,$AI$3:$AO$3,0),FALSE)-$BL128/VLOOKUP(VLOOKUP($BJ128,坦克个性化设定!$B$18:$E$48,4,FALSE)&amp;$BK128,坦克属性分配比例,MATCH("升星次数",坦克属性分配比例标头,0),FALSE)*VLOOKUP($BJ128,$AR$3:$AY$33,MATCH(BY$3,$AR$3:$AY$3,0),FALSE),2)</f>
        <v>0.99</v>
      </c>
    </row>
    <row r="129" spans="60:77" x14ac:dyDescent="0.3">
      <c r="BH129" s="2" t="str">
        <f t="shared" si="24"/>
        <v>玛蒂尔达1</v>
      </c>
      <c r="BI129" s="2">
        <f>IF(BL128&gt;=VLOOKUP(VLOOKUP(BJ128,坦克个性化设定!$B$18:$E$48,4,FALSE)&amp;BK128,坦克属性分配比例,MATCH("升星次数",坦克属性分配比例标头,0),FALSE),BI128+1,BI128)</f>
        <v>14</v>
      </c>
      <c r="BJ129" s="2" t="str">
        <f t="shared" si="25"/>
        <v>玛蒂尔达</v>
      </c>
      <c r="BK129" s="29" t="str">
        <f>VLOOKUP(BJ129,坦克个性化细分!$I$3:$J$33,2,FALSE)</f>
        <v>低</v>
      </c>
      <c r="BL129" s="2">
        <f t="shared" si="23"/>
        <v>1</v>
      </c>
      <c r="BM129" s="103">
        <f ca="1">ROUND(VLOOKUP($BJ129&amp;"初始",$S$3:$AE$63,MATCH(BM$3,$S$3:$AE$3,0),FALSE)+((VLOOKUP($BJ129&amp;"最终",$S$3:$AE$63,MATCH(BM$3,$S$3:$AE$3,0),FALSE)*坦克个性化细分!$C$9-VLOOKUP($BJ129&amp;"初始",$S$3:$AE$63,MATCH(BM$3,$S$3:$AE$3,0),FALSE))-(VLOOKUP($BJ129&amp;"最终",$S$3:$AE$63,MATCH(BM$3,$S$3:$AE$3,0),FALSE)-VLOOKUP($BJ129&amp;"初始",$S$3:$AE$63,MATCH(BM$3,$S$3:$AE$3,0),FALSE))*VLOOKUP(VLOOKUP($BJ129,坦克个性化设定!$B$18:$E$48,4,FALSE)&amp;$BK129,坦克属性分配比例,MATCH("部件比例",坦克属性分配比例标头,0),FALSE))*$BL129/VLOOKUP(VLOOKUP($BJ129,坦克个性化设定!$B$18:$E$48,4,FALSE)&amp;$BK129,坦克属性分配比例,MATCH("升星次数",坦克属性分配比例标头,0),FALSE),0)</f>
        <v>1278</v>
      </c>
      <c r="BN129" s="103">
        <f ca="1">ROUND(VLOOKUP($BJ129&amp;"初始",$S$3:$AE$63,MATCH(BN$3,$S$3:$AE$3,0),FALSE)+(VLOOKUP($BJ129&amp;"最终",$S$3:$AE$63,MATCH(BN$3,$S$3:$AE$3,0),FALSE)-VLOOKUP($BJ129&amp;"初始",$S$3:$AE$63,MATCH(BN$3,$S$3:$AE$3,0),FALSE))*$BL129/VLOOKUP(VLOOKUP($BJ129,坦克个性化设定!$B$18:$E$48,4,FALSE)&amp;$BK129,坦克属性分配比例,MATCH("升星次数",坦克属性分配比例标头,0),FALSE)*VLOOKUP(VLOOKUP($BJ129,坦克个性化设定!$B$18:$E$48,4,FALSE)&amp;$BK129,坦克属性分配比例,MATCH("升星比例",坦克属性分配比例标头,0),FALSE),0)</f>
        <v>164</v>
      </c>
      <c r="BO129" s="103">
        <f ca="1">ROUND(VLOOKUP($BJ129&amp;"初始",$S$3:$AE$63,MATCH(BO$3,$S$3:$AE$3,0),FALSE)+(VLOOKUP($BJ129&amp;"最终",$S$3:$AE$63,MATCH(BO$3,$S$3:$AE$3,0),FALSE)-VLOOKUP($BJ129&amp;"初始",$S$3:$AE$63,MATCH(BO$3,$S$3:$AE$3,0),FALSE))*$BL129/VLOOKUP(VLOOKUP($BJ129,坦克个性化设定!$B$18:$E$48,4,FALSE)&amp;$BK129,坦克属性分配比例,MATCH("升星次数",坦克属性分配比例标头,0),FALSE)*(VLOOKUP(VLOOKUP($BJ129,坦克个性化设定!$B$18:$E$48,4,FALSE)&amp;$BK129,坦克属性分配比例,MATCH("升星比例",坦克属性分配比例标头,0),FALSE)+VLOOKUP(VLOOKUP($BJ129,坦克个性化设定!$B$18:$E$48,4,FALSE)&amp;$BK129,坦克属性分配比例,MATCH("部件比例",坦克属性分配比例标头,0),FALSE)*$C$3),0)</f>
        <v>507</v>
      </c>
      <c r="BP129" s="103">
        <f ca="1">ROUND(VLOOKUP($BJ129&amp;"初始",$S$3:$AE$63,MATCH(BP$3,$S$3:$AE$3,0),FALSE)+(VLOOKUP($BJ129&amp;"最终",$S$3:$AE$63,MATCH(BP$3,$S$3:$AE$3,0),FALSE)-VLOOKUP($BJ129&amp;"初始",$S$3:$AE$63,MATCH(BP$3,$S$3:$AE$3,0),FALSE))*$BL129/VLOOKUP(VLOOKUP($BJ129,坦克个性化设定!$B$18:$E$48,4,FALSE)&amp;$BK129,坦克属性分配比例,MATCH("升星次数",坦克属性分配比例标头,0),FALSE)*(VLOOKUP(VLOOKUP($BJ129,坦克个性化设定!$B$18:$E$48,4,FALSE)&amp;$BK129,坦克属性分配比例,MATCH("升星比例",坦克属性分配比例标头,0),FALSE)+VLOOKUP(VLOOKUP($BJ129,坦克个性化设定!$B$18:$E$48,4,FALSE)&amp;$BK129,坦克属性分配比例,MATCH("部件比例",坦克属性分配比例标头,0),FALSE)*$C$3),0)</f>
        <v>381</v>
      </c>
      <c r="BQ129" s="103">
        <f ca="1">ROUND(VLOOKUP($BJ129&amp;"初始",$S$3:$AE$63,MATCH(BQ$3,$S$3:$AE$3,0),FALSE)+(VLOOKUP($BJ129&amp;"最终",$S$3:$AE$63,MATCH(BQ$3,$S$3:$AE$3,0),FALSE)-VLOOKUP($BJ129&amp;"初始",$S$3:$AE$63,MATCH(BQ$3,$S$3:$AE$3,0),FALSE))*$BL129/VLOOKUP(VLOOKUP($BJ129,坦克个性化设定!$B$18:$E$48,4,FALSE)&amp;$BK129,坦克属性分配比例,MATCH("升星次数",坦克属性分配比例标头,0),FALSE)*VLOOKUP(VLOOKUP($BJ129,坦克个性化设定!$B$18:$E$48,4,FALSE)&amp;$BK129,坦克属性分配比例,MATCH("升星比例",坦克属性分配比例标头,0),FALSE),0)</f>
        <v>550</v>
      </c>
      <c r="BR129" s="2">
        <f ca="1">ROUND(VLOOKUP($BJ129&amp;"初始",$S$3:$AE$63,MATCH(BR$3,$S$3:$AE$3,0),FALSE)+(VLOOKUP($BJ129&amp;"最终",$S$3:$AE$63,MATCH(BR$3,$S$3:$AE$3,0),FALSE)-VLOOKUP($BJ129&amp;"初始",$S$3:$AE$63,MATCH(BR$3,$S$3:$AE$3,0),FALSE))*$BL129/VLOOKUP(VLOOKUP($BJ129,坦克个性化设定!$B$18:$E$48,4,FALSE)&amp;$BK129,坦克属性分配比例,MATCH("升星次数",坦克属性分配比例标头,0),FALSE),0)</f>
        <v>135</v>
      </c>
      <c r="BS129" s="2">
        <f>ROUND(VLOOKUP($BJ129,$AI$3:$AO$33,MATCH(BS$3,$AI$3:$AO$3,0),FALSE)+$BL129/VLOOKUP(VLOOKUP($BJ129,坦克个性化设定!$B$18:$E$48,4,FALSE)&amp;$BK129,坦克属性分配比例,MATCH("升星次数",坦克属性分配比例标头,0),FALSE)*VLOOKUP($BJ129,$AR$3:$AY$33,MATCH(BS$3,$AR$3:$AY$3,0),FALSE),1)</f>
        <v>45.7</v>
      </c>
      <c r="BT129" s="2">
        <f>ROUND(VLOOKUP($BJ129,$AI$3:$AO$33,MATCH(BT$3,$AI$3:$AO$3,0),FALSE)+$BL129/VLOOKUP(VLOOKUP($BJ129,坦克个性化设定!$B$18:$E$48,4,FALSE)&amp;$BK129,坦克属性分配比例,MATCH("升星次数",坦克属性分配比例标头,0),FALSE)*VLOOKUP($BJ129,$AR$3:$AY$33,MATCH(BT$3,$AR$3:$AY$3,0),FALSE),1)</f>
        <v>41.1</v>
      </c>
      <c r="BU129" s="2">
        <f>ROUND(VLOOKUP($BJ129,$AI$3:$AO$33,MATCH(BU$3,$AI$3:$AO$3,0),FALSE)+$BL129/VLOOKUP(VLOOKUP($BJ129,坦克个性化设定!$B$18:$E$48,4,FALSE)&amp;$BK129,坦克属性分配比例,MATCH("升星次数",坦克属性分配比例标头,0),FALSE)*VLOOKUP($BJ129,$AR$3:$AY$33,MATCH(BU$3,$AR$3:$AY$3,0),FALSE),1)</f>
        <v>8</v>
      </c>
      <c r="BV129" s="2">
        <f>IF(VLOOKUP(BJ129,坦克个性化设定!$B$18:$BC$48,MATCH("装弹类型",坦克个性化设定!$B$18:$BC$18,0),FALSE)="弹夹换弹",0,ROUND(VLOOKUP($BJ129,$AI$3:$AO$33,MATCH("换弹时间",$AI$3:$AO$3,0),FALSE)-$BL129/VLOOKUP(VLOOKUP($BJ129,坦克个性化设定!$B$18:$E$48,4,FALSE)&amp;$BK129,坦克属性分配比例,MATCH("升星次数",坦克属性分配比例标头,0),FALSE)*VLOOKUP($BJ129,$AR$3:$AY$33,MATCH("换弹时间",$AR$3:$AY$3,0),FALSE),2))</f>
        <v>0</v>
      </c>
      <c r="BW129" s="2">
        <f>IF(VLOOKUP(BJ129,坦克个性化设定!$B$18:$BC$48,MATCH("装弹类型",坦克个性化设定!$B$18:$BC$18,0),FALSE)="弹夹换弹",ROUND(VLOOKUP($BJ129,$AI$3:$AO$33,MATCH("换弹时间",$AI$3:$AO$3,0),FALSE)-$BL129/VLOOKUP(VLOOKUP($BJ129,坦克个性化设定!$B$18:$E$48,4,FALSE)&amp;$BK129,坦克属性分配比例,MATCH("升星次数",坦克属性分配比例标头,0),FALSE)*VLOOKUP($BJ129,$AR$3:$AY$33,MATCH("换弹时间",$AR$3:$AY$3,0),FALSE),1),0)</f>
        <v>3.1</v>
      </c>
      <c r="BX129" s="2">
        <f>ROUND(VLOOKUP($BJ129,$AI$3:$AO$33,MATCH(BX$3,$AI$3:$AO$3,0),FALSE)+$BL129/VLOOKUP(VLOOKUP($BJ129,坦克个性化设定!$B$18:$E$48,4,FALSE)&amp;$BK129,坦克属性分配比例,MATCH("升星次数",坦克属性分配比例标头,0),FALSE)*VLOOKUP($BJ129,$AR$3:$AY$33,MATCH(BX$3,$AR$3:$AY$3,0),FALSE),2)</f>
        <v>0.32</v>
      </c>
      <c r="BY129" s="2">
        <f>ROUND(VLOOKUP($BJ129,$AI$3:$AO$33,MATCH(BY$3,$AI$3:$AO$3,0),FALSE)-$BL129/VLOOKUP(VLOOKUP($BJ129,坦克个性化设定!$B$18:$E$48,4,FALSE)&amp;$BK129,坦克属性分配比例,MATCH("升星次数",坦克属性分配比例标头,0),FALSE)*VLOOKUP($BJ129,$AR$3:$AY$33,MATCH(BY$3,$AR$3:$AY$3,0),FALSE),2)</f>
        <v>0.97</v>
      </c>
    </row>
    <row r="130" spans="60:77" x14ac:dyDescent="0.3">
      <c r="BH130" s="2" t="str">
        <f t="shared" si="24"/>
        <v>玛蒂尔达2</v>
      </c>
      <c r="BI130" s="2">
        <f>IF(BL129&gt;=VLOOKUP(VLOOKUP(BJ129,坦克个性化设定!$B$18:$E$48,4,FALSE)&amp;BK129,坦克属性分配比例,MATCH("升星次数",坦克属性分配比例标头,0),FALSE),BI129+1,BI129)</f>
        <v>14</v>
      </c>
      <c r="BJ130" s="2" t="str">
        <f t="shared" si="25"/>
        <v>玛蒂尔达</v>
      </c>
      <c r="BK130" s="29" t="str">
        <f>VLOOKUP(BJ130,坦克个性化细分!$I$3:$J$33,2,FALSE)</f>
        <v>低</v>
      </c>
      <c r="BL130" s="2">
        <f t="shared" si="23"/>
        <v>2</v>
      </c>
      <c r="BM130" s="103">
        <f ca="1">ROUND(VLOOKUP($BJ130&amp;"初始",$S$3:$AE$63,MATCH(BM$3,$S$3:$AE$3,0),FALSE)+((VLOOKUP($BJ130&amp;"最终",$S$3:$AE$63,MATCH(BM$3,$S$3:$AE$3,0),FALSE)*坦克个性化细分!$C$9-VLOOKUP($BJ130&amp;"初始",$S$3:$AE$63,MATCH(BM$3,$S$3:$AE$3,0),FALSE))-(VLOOKUP($BJ130&amp;"最终",$S$3:$AE$63,MATCH(BM$3,$S$3:$AE$3,0),FALSE)-VLOOKUP($BJ130&amp;"初始",$S$3:$AE$63,MATCH(BM$3,$S$3:$AE$3,0),FALSE))*VLOOKUP(VLOOKUP($BJ130,坦克个性化设定!$B$18:$E$48,4,FALSE)&amp;$BK130,坦克属性分配比例,MATCH("部件比例",坦克属性分配比例标头,0),FALSE))*$BL130/VLOOKUP(VLOOKUP($BJ130,坦克个性化设定!$B$18:$E$48,4,FALSE)&amp;$BK130,坦克属性分配比例,MATCH("升星次数",坦克属性分配比例标头,0),FALSE),0)</f>
        <v>1342</v>
      </c>
      <c r="BN130" s="103">
        <f ca="1">ROUND(VLOOKUP($BJ130&amp;"初始",$S$3:$AE$63,MATCH(BN$3,$S$3:$AE$3,0),FALSE)+(VLOOKUP($BJ130&amp;"最终",$S$3:$AE$63,MATCH(BN$3,$S$3:$AE$3,0),FALSE)-VLOOKUP($BJ130&amp;"初始",$S$3:$AE$63,MATCH(BN$3,$S$3:$AE$3,0),FALSE))*$BL130/VLOOKUP(VLOOKUP($BJ130,坦克个性化设定!$B$18:$E$48,4,FALSE)&amp;$BK130,坦克属性分配比例,MATCH("升星次数",坦克属性分配比例标头,0),FALSE)*VLOOKUP(VLOOKUP($BJ130,坦克个性化设定!$B$18:$E$48,4,FALSE)&amp;$BK130,坦克属性分配比例,MATCH("升星比例",坦克属性分配比例标头,0),FALSE),0)</f>
        <v>169</v>
      </c>
      <c r="BO130" s="103">
        <f ca="1">ROUND(VLOOKUP($BJ130&amp;"初始",$S$3:$AE$63,MATCH(BO$3,$S$3:$AE$3,0),FALSE)+(VLOOKUP($BJ130&amp;"最终",$S$3:$AE$63,MATCH(BO$3,$S$3:$AE$3,0),FALSE)-VLOOKUP($BJ130&amp;"初始",$S$3:$AE$63,MATCH(BO$3,$S$3:$AE$3,0),FALSE))*$BL130/VLOOKUP(VLOOKUP($BJ130,坦克个性化设定!$B$18:$E$48,4,FALSE)&amp;$BK130,坦克属性分配比例,MATCH("升星次数",坦克属性分配比例标头,0),FALSE)*(VLOOKUP(VLOOKUP($BJ130,坦克个性化设定!$B$18:$E$48,4,FALSE)&amp;$BK130,坦克属性分配比例,MATCH("升星比例",坦克属性分配比例标头,0),FALSE)+VLOOKUP(VLOOKUP($BJ130,坦克个性化设定!$B$18:$E$48,4,FALSE)&amp;$BK130,坦克属性分配比例,MATCH("部件比例",坦克属性分配比例标头,0),FALSE)*$C$3),0)</f>
        <v>528</v>
      </c>
      <c r="BP130" s="103">
        <f ca="1">ROUND(VLOOKUP($BJ130&amp;"初始",$S$3:$AE$63,MATCH(BP$3,$S$3:$AE$3,0),FALSE)+(VLOOKUP($BJ130&amp;"最终",$S$3:$AE$63,MATCH(BP$3,$S$3:$AE$3,0),FALSE)-VLOOKUP($BJ130&amp;"初始",$S$3:$AE$63,MATCH(BP$3,$S$3:$AE$3,0),FALSE))*$BL130/VLOOKUP(VLOOKUP($BJ130,坦克个性化设定!$B$18:$E$48,4,FALSE)&amp;$BK130,坦克属性分配比例,MATCH("升星次数",坦克属性分配比例标头,0),FALSE)*(VLOOKUP(VLOOKUP($BJ130,坦克个性化设定!$B$18:$E$48,4,FALSE)&amp;$BK130,坦克属性分配比例,MATCH("升星比例",坦克属性分配比例标头,0),FALSE)+VLOOKUP(VLOOKUP($BJ130,坦克个性化设定!$B$18:$E$48,4,FALSE)&amp;$BK130,坦克属性分配比例,MATCH("部件比例",坦克属性分配比例标头,0),FALSE)*$C$3),0)</f>
        <v>397</v>
      </c>
      <c r="BQ130" s="103">
        <f ca="1">ROUND(VLOOKUP($BJ130&amp;"初始",$S$3:$AE$63,MATCH(BQ$3,$S$3:$AE$3,0),FALSE)+(VLOOKUP($BJ130&amp;"最终",$S$3:$AE$63,MATCH(BQ$3,$S$3:$AE$3,0),FALSE)-VLOOKUP($BJ130&amp;"初始",$S$3:$AE$63,MATCH(BQ$3,$S$3:$AE$3,0),FALSE))*$BL130/VLOOKUP(VLOOKUP($BJ130,坦克个性化设定!$B$18:$E$48,4,FALSE)&amp;$BK130,坦克属性分配比例,MATCH("升星次数",坦克属性分配比例标头,0),FALSE)*VLOOKUP(VLOOKUP($BJ130,坦克个性化设定!$B$18:$E$48,4,FALSE)&amp;$BK130,坦克属性分配比例,MATCH("升星比例",坦克属性分配比例标头,0),FALSE),0)</f>
        <v>566</v>
      </c>
      <c r="BR130" s="2">
        <f ca="1">ROUND(VLOOKUP($BJ130&amp;"初始",$S$3:$AE$63,MATCH(BR$3,$S$3:$AE$3,0),FALSE)+(VLOOKUP($BJ130&amp;"最终",$S$3:$AE$63,MATCH(BR$3,$S$3:$AE$3,0),FALSE)-VLOOKUP($BJ130&amp;"初始",$S$3:$AE$63,MATCH(BR$3,$S$3:$AE$3,0),FALSE))*$BL130/VLOOKUP(VLOOKUP($BJ130,坦克个性化设定!$B$18:$E$48,4,FALSE)&amp;$BK130,坦克属性分配比例,MATCH("升星次数",坦克属性分配比例标头,0),FALSE),0)</f>
        <v>141</v>
      </c>
      <c r="BS130" s="2">
        <f>ROUND(VLOOKUP($BJ130,$AI$3:$AO$33,MATCH(BS$3,$AI$3:$AO$3,0),FALSE)+$BL130/VLOOKUP(VLOOKUP($BJ130,坦克个性化设定!$B$18:$E$48,4,FALSE)&amp;$BK130,坦克属性分配比例,MATCH("升星次数",坦克属性分配比例标头,0),FALSE)*VLOOKUP($BJ130,$AR$3:$AY$33,MATCH(BS$3,$AR$3:$AY$3,0),FALSE),1)</f>
        <v>47</v>
      </c>
      <c r="BT130" s="2">
        <f>ROUND(VLOOKUP($BJ130,$AI$3:$AO$33,MATCH(BT$3,$AI$3:$AO$3,0),FALSE)+$BL130/VLOOKUP(VLOOKUP($BJ130,坦克个性化设定!$B$18:$E$48,4,FALSE)&amp;$BK130,坦克属性分配比例,MATCH("升星次数",坦克属性分配比例标头,0),FALSE)*VLOOKUP($BJ130,$AR$3:$AY$33,MATCH(BT$3,$AR$3:$AY$3,0),FALSE),1)</f>
        <v>42.2</v>
      </c>
      <c r="BU130" s="2">
        <f>ROUND(VLOOKUP($BJ130,$AI$3:$AO$33,MATCH(BU$3,$AI$3:$AO$3,0),FALSE)+$BL130/VLOOKUP(VLOOKUP($BJ130,坦克个性化设定!$B$18:$E$48,4,FALSE)&amp;$BK130,坦克属性分配比例,MATCH("升星次数",坦克属性分配比例标头,0),FALSE)*VLOOKUP($BJ130,$AR$3:$AY$33,MATCH(BU$3,$AR$3:$AY$3,0),FALSE),1)</f>
        <v>8</v>
      </c>
      <c r="BV130" s="2">
        <f>IF(VLOOKUP(BJ130,坦克个性化设定!$B$18:$BC$48,MATCH("装弹类型",坦克个性化设定!$B$18:$BC$18,0),FALSE)="弹夹换弹",0,ROUND(VLOOKUP($BJ130,$AI$3:$AO$33,MATCH("换弹时间",$AI$3:$AO$3,0),FALSE)-$BL130/VLOOKUP(VLOOKUP($BJ130,坦克个性化设定!$B$18:$E$48,4,FALSE)&amp;$BK130,坦克属性分配比例,MATCH("升星次数",坦克属性分配比例标头,0),FALSE)*VLOOKUP($BJ130,$AR$3:$AY$33,MATCH("换弹时间",$AR$3:$AY$3,0),FALSE),2))</f>
        <v>0</v>
      </c>
      <c r="BW130" s="2">
        <f>IF(VLOOKUP(BJ130,坦克个性化设定!$B$18:$BC$48,MATCH("装弹类型",坦克个性化设定!$B$18:$BC$18,0),FALSE)="弹夹换弹",ROUND(VLOOKUP($BJ130,$AI$3:$AO$33,MATCH("换弹时间",$AI$3:$AO$3,0),FALSE)-$BL130/VLOOKUP(VLOOKUP($BJ130,坦克个性化设定!$B$18:$E$48,4,FALSE)&amp;$BK130,坦克属性分配比例,MATCH("升星次数",坦克属性分配比例标头,0),FALSE)*VLOOKUP($BJ130,$AR$3:$AY$33,MATCH("换弹时间",$AR$3:$AY$3,0),FALSE),1),0)</f>
        <v>3.1</v>
      </c>
      <c r="BX130" s="2">
        <f>ROUND(VLOOKUP($BJ130,$AI$3:$AO$33,MATCH(BX$3,$AI$3:$AO$3,0),FALSE)+$BL130/VLOOKUP(VLOOKUP($BJ130,坦克个性化设定!$B$18:$E$48,4,FALSE)&amp;$BK130,坦克属性分配比例,MATCH("升星次数",坦克属性分配比例标头,0),FALSE)*VLOOKUP($BJ130,$AR$3:$AY$33,MATCH(BX$3,$AR$3:$AY$3,0),FALSE),2)</f>
        <v>0.35</v>
      </c>
      <c r="BY130" s="2">
        <f>ROUND(VLOOKUP($BJ130,$AI$3:$AO$33,MATCH(BY$3,$AI$3:$AO$3,0),FALSE)-$BL130/VLOOKUP(VLOOKUP($BJ130,坦克个性化设定!$B$18:$E$48,4,FALSE)&amp;$BK130,坦克属性分配比例,MATCH("升星次数",坦克属性分配比例标头,0),FALSE)*VLOOKUP($BJ130,$AR$3:$AY$33,MATCH(BY$3,$AR$3:$AY$3,0),FALSE),2)</f>
        <v>0.95</v>
      </c>
    </row>
    <row r="131" spans="60:77" x14ac:dyDescent="0.3">
      <c r="BH131" s="2" t="str">
        <f t="shared" si="24"/>
        <v>玛蒂尔达3</v>
      </c>
      <c r="BI131" s="2">
        <f>IF(BL130&gt;=VLOOKUP(VLOOKUP(BJ130,坦克个性化设定!$B$18:$E$48,4,FALSE)&amp;BK130,坦克属性分配比例,MATCH("升星次数",坦克属性分配比例标头,0),FALSE),BI130+1,BI130)</f>
        <v>14</v>
      </c>
      <c r="BJ131" s="2" t="str">
        <f t="shared" si="25"/>
        <v>玛蒂尔达</v>
      </c>
      <c r="BK131" s="29" t="str">
        <f>VLOOKUP(BJ131,坦克个性化细分!$I$3:$J$33,2,FALSE)</f>
        <v>低</v>
      </c>
      <c r="BL131" s="2">
        <f t="shared" si="23"/>
        <v>3</v>
      </c>
      <c r="BM131" s="103">
        <f ca="1">ROUND(VLOOKUP($BJ131&amp;"初始",$S$3:$AE$63,MATCH(BM$3,$S$3:$AE$3,0),FALSE)+((VLOOKUP($BJ131&amp;"最终",$S$3:$AE$63,MATCH(BM$3,$S$3:$AE$3,0),FALSE)*坦克个性化细分!$C$9-VLOOKUP($BJ131&amp;"初始",$S$3:$AE$63,MATCH(BM$3,$S$3:$AE$3,0),FALSE))-(VLOOKUP($BJ131&amp;"最终",$S$3:$AE$63,MATCH(BM$3,$S$3:$AE$3,0),FALSE)-VLOOKUP($BJ131&amp;"初始",$S$3:$AE$63,MATCH(BM$3,$S$3:$AE$3,0),FALSE))*VLOOKUP(VLOOKUP($BJ131,坦克个性化设定!$B$18:$E$48,4,FALSE)&amp;$BK131,坦克属性分配比例,MATCH("部件比例",坦克属性分配比例标头,0),FALSE))*$BL131/VLOOKUP(VLOOKUP($BJ131,坦克个性化设定!$B$18:$E$48,4,FALSE)&amp;$BK131,坦克属性分配比例,MATCH("升星次数",坦克属性分配比例标头,0),FALSE),0)</f>
        <v>1406</v>
      </c>
      <c r="BN131" s="103">
        <f ca="1">ROUND(VLOOKUP($BJ131&amp;"初始",$S$3:$AE$63,MATCH(BN$3,$S$3:$AE$3,0),FALSE)+(VLOOKUP($BJ131&amp;"最终",$S$3:$AE$63,MATCH(BN$3,$S$3:$AE$3,0),FALSE)-VLOOKUP($BJ131&amp;"初始",$S$3:$AE$63,MATCH(BN$3,$S$3:$AE$3,0),FALSE))*$BL131/VLOOKUP(VLOOKUP($BJ131,坦克个性化设定!$B$18:$E$48,4,FALSE)&amp;$BK131,坦克属性分配比例,MATCH("升星次数",坦克属性分配比例标头,0),FALSE)*VLOOKUP(VLOOKUP($BJ131,坦克个性化设定!$B$18:$E$48,4,FALSE)&amp;$BK131,坦克属性分配比例,MATCH("升星比例",坦克属性分配比例标头,0),FALSE),0)</f>
        <v>173</v>
      </c>
      <c r="BO131" s="103">
        <f ca="1">ROUND(VLOOKUP($BJ131&amp;"初始",$S$3:$AE$63,MATCH(BO$3,$S$3:$AE$3,0),FALSE)+(VLOOKUP($BJ131&amp;"最终",$S$3:$AE$63,MATCH(BO$3,$S$3:$AE$3,0),FALSE)-VLOOKUP($BJ131&amp;"初始",$S$3:$AE$63,MATCH(BO$3,$S$3:$AE$3,0),FALSE))*$BL131/VLOOKUP(VLOOKUP($BJ131,坦克个性化设定!$B$18:$E$48,4,FALSE)&amp;$BK131,坦克属性分配比例,MATCH("升星次数",坦克属性分配比例标头,0),FALSE)*(VLOOKUP(VLOOKUP($BJ131,坦克个性化设定!$B$18:$E$48,4,FALSE)&amp;$BK131,坦克属性分配比例,MATCH("升星比例",坦克属性分配比例标头,0),FALSE)+VLOOKUP(VLOOKUP($BJ131,坦克个性化设定!$B$18:$E$48,4,FALSE)&amp;$BK131,坦克属性分配比例,MATCH("部件比例",坦克属性分配比例标头,0),FALSE)*$C$3),0)</f>
        <v>550</v>
      </c>
      <c r="BP131" s="103">
        <f ca="1">ROUND(VLOOKUP($BJ131&amp;"初始",$S$3:$AE$63,MATCH(BP$3,$S$3:$AE$3,0),FALSE)+(VLOOKUP($BJ131&amp;"最终",$S$3:$AE$63,MATCH(BP$3,$S$3:$AE$3,0),FALSE)-VLOOKUP($BJ131&amp;"初始",$S$3:$AE$63,MATCH(BP$3,$S$3:$AE$3,0),FALSE))*$BL131/VLOOKUP(VLOOKUP($BJ131,坦克个性化设定!$B$18:$E$48,4,FALSE)&amp;$BK131,坦克属性分配比例,MATCH("升星次数",坦克属性分配比例标头,0),FALSE)*(VLOOKUP(VLOOKUP($BJ131,坦克个性化设定!$B$18:$E$48,4,FALSE)&amp;$BK131,坦克属性分配比例,MATCH("升星比例",坦克属性分配比例标头,0),FALSE)+VLOOKUP(VLOOKUP($BJ131,坦克个性化设定!$B$18:$E$48,4,FALSE)&amp;$BK131,坦克属性分配比例,MATCH("部件比例",坦克属性分配比例标头,0),FALSE)*$C$3),0)</f>
        <v>413</v>
      </c>
      <c r="BQ131" s="103">
        <f ca="1">ROUND(VLOOKUP($BJ131&amp;"初始",$S$3:$AE$63,MATCH(BQ$3,$S$3:$AE$3,0),FALSE)+(VLOOKUP($BJ131&amp;"最终",$S$3:$AE$63,MATCH(BQ$3,$S$3:$AE$3,0),FALSE)-VLOOKUP($BJ131&amp;"初始",$S$3:$AE$63,MATCH(BQ$3,$S$3:$AE$3,0),FALSE))*$BL131/VLOOKUP(VLOOKUP($BJ131,坦克个性化设定!$B$18:$E$48,4,FALSE)&amp;$BK131,坦克属性分配比例,MATCH("升星次数",坦克属性分配比例标头,0),FALSE)*VLOOKUP(VLOOKUP($BJ131,坦克个性化设定!$B$18:$E$48,4,FALSE)&amp;$BK131,坦克属性分配比例,MATCH("升星比例",坦克属性分配比例标头,0),FALSE),0)</f>
        <v>583</v>
      </c>
      <c r="BR131" s="2">
        <f ca="1">ROUND(VLOOKUP($BJ131&amp;"初始",$S$3:$AE$63,MATCH(BR$3,$S$3:$AE$3,0),FALSE)+(VLOOKUP($BJ131&amp;"最终",$S$3:$AE$63,MATCH(BR$3,$S$3:$AE$3,0),FALSE)-VLOOKUP($BJ131&amp;"初始",$S$3:$AE$63,MATCH(BR$3,$S$3:$AE$3,0),FALSE))*$BL131/VLOOKUP(VLOOKUP($BJ131,坦克个性化设定!$B$18:$E$48,4,FALSE)&amp;$BK131,坦克属性分配比例,MATCH("升星次数",坦克属性分配比例标头,0),FALSE),0)</f>
        <v>148</v>
      </c>
      <c r="BS131" s="2">
        <f>ROUND(VLOOKUP($BJ131,$AI$3:$AO$33,MATCH(BS$3,$AI$3:$AO$3,0),FALSE)+$BL131/VLOOKUP(VLOOKUP($BJ131,坦克个性化设定!$B$18:$E$48,4,FALSE)&amp;$BK131,坦克属性分配比例,MATCH("升星次数",坦克属性分配比例标头,0),FALSE)*VLOOKUP($BJ131,$AR$3:$AY$33,MATCH(BS$3,$AR$3:$AY$3,0),FALSE),1)</f>
        <v>48.2</v>
      </c>
      <c r="BT131" s="2">
        <f>ROUND(VLOOKUP($BJ131,$AI$3:$AO$33,MATCH(BT$3,$AI$3:$AO$3,0),FALSE)+$BL131/VLOOKUP(VLOOKUP($BJ131,坦克个性化设定!$B$18:$E$48,4,FALSE)&amp;$BK131,坦克属性分配比例,MATCH("升星次数",坦克属性分配比例标头,0),FALSE)*VLOOKUP($BJ131,$AR$3:$AY$33,MATCH(BT$3,$AR$3:$AY$3,0),FALSE),1)</f>
        <v>43.3</v>
      </c>
      <c r="BU131" s="2">
        <f>ROUND(VLOOKUP($BJ131,$AI$3:$AO$33,MATCH(BU$3,$AI$3:$AO$3,0),FALSE)+$BL131/VLOOKUP(VLOOKUP($BJ131,坦克个性化设定!$B$18:$E$48,4,FALSE)&amp;$BK131,坦克属性分配比例,MATCH("升星次数",坦克属性分配比例标头,0),FALSE)*VLOOKUP($BJ131,$AR$3:$AY$33,MATCH(BU$3,$AR$3:$AY$3,0),FALSE),1)</f>
        <v>8</v>
      </c>
      <c r="BV131" s="2">
        <f>IF(VLOOKUP(BJ131,坦克个性化设定!$B$18:$BC$48,MATCH("装弹类型",坦克个性化设定!$B$18:$BC$18,0),FALSE)="弹夹换弹",0,ROUND(VLOOKUP($BJ131,$AI$3:$AO$33,MATCH("换弹时间",$AI$3:$AO$3,0),FALSE)-$BL131/VLOOKUP(VLOOKUP($BJ131,坦克个性化设定!$B$18:$E$48,4,FALSE)&amp;$BK131,坦克属性分配比例,MATCH("升星次数",坦克属性分配比例标头,0),FALSE)*VLOOKUP($BJ131,$AR$3:$AY$33,MATCH("换弹时间",$AR$3:$AY$3,0),FALSE),2))</f>
        <v>0</v>
      </c>
      <c r="BW131" s="2">
        <f>IF(VLOOKUP(BJ131,坦克个性化设定!$B$18:$BC$48,MATCH("装弹类型",坦克个性化设定!$B$18:$BC$18,0),FALSE)="弹夹换弹",ROUND(VLOOKUP($BJ131,$AI$3:$AO$33,MATCH("换弹时间",$AI$3:$AO$3,0),FALSE)-$BL131/VLOOKUP(VLOOKUP($BJ131,坦克个性化设定!$B$18:$E$48,4,FALSE)&amp;$BK131,坦克属性分配比例,MATCH("升星次数",坦克属性分配比例标头,0),FALSE)*VLOOKUP($BJ131,$AR$3:$AY$33,MATCH("换弹时间",$AR$3:$AY$3,0),FALSE),1),0)</f>
        <v>3</v>
      </c>
      <c r="BX131" s="2">
        <f>ROUND(VLOOKUP($BJ131,$AI$3:$AO$33,MATCH(BX$3,$AI$3:$AO$3,0),FALSE)+$BL131/VLOOKUP(VLOOKUP($BJ131,坦克个性化设定!$B$18:$E$48,4,FALSE)&amp;$BK131,坦克属性分配比例,MATCH("升星次数",坦克属性分配比例标头,0),FALSE)*VLOOKUP($BJ131,$AR$3:$AY$33,MATCH(BX$3,$AR$3:$AY$3,0),FALSE),2)</f>
        <v>0.39</v>
      </c>
      <c r="BY131" s="2">
        <f>ROUND(VLOOKUP($BJ131,$AI$3:$AO$33,MATCH(BY$3,$AI$3:$AO$3,0),FALSE)-$BL131/VLOOKUP(VLOOKUP($BJ131,坦克个性化设定!$B$18:$E$48,4,FALSE)&amp;$BK131,坦克属性分配比例,MATCH("升星次数",坦克属性分配比例标头,0),FALSE)*VLOOKUP($BJ131,$AR$3:$AY$33,MATCH(BY$3,$AR$3:$AY$3,0),FALSE),2)</f>
        <v>0.94</v>
      </c>
    </row>
    <row r="132" spans="60:77" x14ac:dyDescent="0.3">
      <c r="BH132" s="2" t="str">
        <f t="shared" si="24"/>
        <v>玛蒂尔达4</v>
      </c>
      <c r="BI132" s="2">
        <f>IF(BL131&gt;=VLOOKUP(VLOOKUP(BJ131,坦克个性化设定!$B$18:$E$48,4,FALSE)&amp;BK131,坦克属性分配比例,MATCH("升星次数",坦克属性分配比例标头,0),FALSE),BI131+1,BI131)</f>
        <v>14</v>
      </c>
      <c r="BJ132" s="2" t="str">
        <f t="shared" si="25"/>
        <v>玛蒂尔达</v>
      </c>
      <c r="BK132" s="29" t="str">
        <f>VLOOKUP(BJ132,坦克个性化细分!$I$3:$J$33,2,FALSE)</f>
        <v>低</v>
      </c>
      <c r="BL132" s="2">
        <f t="shared" ref="BL132:BL195" si="26">IF(BJ132&lt;&gt;BJ131,0,BL131+1)</f>
        <v>4</v>
      </c>
      <c r="BM132" s="103">
        <f ca="1">ROUND(VLOOKUP($BJ132&amp;"初始",$S$3:$AE$63,MATCH(BM$3,$S$3:$AE$3,0),FALSE)+((VLOOKUP($BJ132&amp;"最终",$S$3:$AE$63,MATCH(BM$3,$S$3:$AE$3,0),FALSE)*坦克个性化细分!$C$9-VLOOKUP($BJ132&amp;"初始",$S$3:$AE$63,MATCH(BM$3,$S$3:$AE$3,0),FALSE))-(VLOOKUP($BJ132&amp;"最终",$S$3:$AE$63,MATCH(BM$3,$S$3:$AE$3,0),FALSE)-VLOOKUP($BJ132&amp;"初始",$S$3:$AE$63,MATCH(BM$3,$S$3:$AE$3,0),FALSE))*VLOOKUP(VLOOKUP($BJ132,坦克个性化设定!$B$18:$E$48,4,FALSE)&amp;$BK132,坦克属性分配比例,MATCH("部件比例",坦克属性分配比例标头,0),FALSE))*$BL132/VLOOKUP(VLOOKUP($BJ132,坦克个性化设定!$B$18:$E$48,4,FALSE)&amp;$BK132,坦克属性分配比例,MATCH("升星次数",坦克属性分配比例标头,0),FALSE),0)</f>
        <v>1470</v>
      </c>
      <c r="BN132" s="103">
        <f ca="1">ROUND(VLOOKUP($BJ132&amp;"初始",$S$3:$AE$63,MATCH(BN$3,$S$3:$AE$3,0),FALSE)+(VLOOKUP($BJ132&amp;"最终",$S$3:$AE$63,MATCH(BN$3,$S$3:$AE$3,0),FALSE)-VLOOKUP($BJ132&amp;"初始",$S$3:$AE$63,MATCH(BN$3,$S$3:$AE$3,0),FALSE))*$BL132/VLOOKUP(VLOOKUP($BJ132,坦克个性化设定!$B$18:$E$48,4,FALSE)&amp;$BK132,坦克属性分配比例,MATCH("升星次数",坦克属性分配比例标头,0),FALSE)*VLOOKUP(VLOOKUP($BJ132,坦克个性化设定!$B$18:$E$48,4,FALSE)&amp;$BK132,坦克属性分配比例,MATCH("升星比例",坦克属性分配比例标头,0),FALSE),0)</f>
        <v>178</v>
      </c>
      <c r="BO132" s="103">
        <f ca="1">ROUND(VLOOKUP($BJ132&amp;"初始",$S$3:$AE$63,MATCH(BO$3,$S$3:$AE$3,0),FALSE)+(VLOOKUP($BJ132&amp;"最终",$S$3:$AE$63,MATCH(BO$3,$S$3:$AE$3,0),FALSE)-VLOOKUP($BJ132&amp;"初始",$S$3:$AE$63,MATCH(BO$3,$S$3:$AE$3,0),FALSE))*$BL132/VLOOKUP(VLOOKUP($BJ132,坦克个性化设定!$B$18:$E$48,4,FALSE)&amp;$BK132,坦克属性分配比例,MATCH("升星次数",坦克属性分配比例标头,0),FALSE)*(VLOOKUP(VLOOKUP($BJ132,坦克个性化设定!$B$18:$E$48,4,FALSE)&amp;$BK132,坦克属性分配比例,MATCH("升星比例",坦克属性分配比例标头,0),FALSE)+VLOOKUP(VLOOKUP($BJ132,坦克个性化设定!$B$18:$E$48,4,FALSE)&amp;$BK132,坦克属性分配比例,MATCH("部件比例",坦克属性分配比例标头,0),FALSE)*$C$3),0)</f>
        <v>571</v>
      </c>
      <c r="BP132" s="103">
        <f ca="1">ROUND(VLOOKUP($BJ132&amp;"初始",$S$3:$AE$63,MATCH(BP$3,$S$3:$AE$3,0),FALSE)+(VLOOKUP($BJ132&amp;"最终",$S$3:$AE$63,MATCH(BP$3,$S$3:$AE$3,0),FALSE)-VLOOKUP($BJ132&amp;"初始",$S$3:$AE$63,MATCH(BP$3,$S$3:$AE$3,0),FALSE))*$BL132/VLOOKUP(VLOOKUP($BJ132,坦克个性化设定!$B$18:$E$48,4,FALSE)&amp;$BK132,坦克属性分配比例,MATCH("升星次数",坦克属性分配比例标头,0),FALSE)*(VLOOKUP(VLOOKUP($BJ132,坦克个性化设定!$B$18:$E$48,4,FALSE)&amp;$BK132,坦克属性分配比例,MATCH("升星比例",坦克属性分配比例标头,0),FALSE)+VLOOKUP(VLOOKUP($BJ132,坦克个性化设定!$B$18:$E$48,4,FALSE)&amp;$BK132,坦克属性分配比例,MATCH("部件比例",坦克属性分配比例标头,0),FALSE)*$C$3),0)</f>
        <v>428</v>
      </c>
      <c r="BQ132" s="103">
        <f ca="1">ROUND(VLOOKUP($BJ132&amp;"初始",$S$3:$AE$63,MATCH(BQ$3,$S$3:$AE$3,0),FALSE)+(VLOOKUP($BJ132&amp;"最终",$S$3:$AE$63,MATCH(BQ$3,$S$3:$AE$3,0),FALSE)-VLOOKUP($BJ132&amp;"初始",$S$3:$AE$63,MATCH(BQ$3,$S$3:$AE$3,0),FALSE))*$BL132/VLOOKUP(VLOOKUP($BJ132,坦克个性化设定!$B$18:$E$48,4,FALSE)&amp;$BK132,坦克属性分配比例,MATCH("升星次数",坦克属性分配比例标头,0),FALSE)*VLOOKUP(VLOOKUP($BJ132,坦克个性化设定!$B$18:$E$48,4,FALSE)&amp;$BK132,坦克属性分配比例,MATCH("升星比例",坦克属性分配比例标头,0),FALSE),0)</f>
        <v>599</v>
      </c>
      <c r="BR132" s="2">
        <f ca="1">ROUND(VLOOKUP($BJ132&amp;"初始",$S$3:$AE$63,MATCH(BR$3,$S$3:$AE$3,0),FALSE)+(VLOOKUP($BJ132&amp;"最终",$S$3:$AE$63,MATCH(BR$3,$S$3:$AE$3,0),FALSE)-VLOOKUP($BJ132&amp;"初始",$S$3:$AE$63,MATCH(BR$3,$S$3:$AE$3,0),FALSE))*$BL132/VLOOKUP(VLOOKUP($BJ132,坦克个性化设定!$B$18:$E$48,4,FALSE)&amp;$BK132,坦克属性分配比例,MATCH("升星次数",坦克属性分配比例标头,0),FALSE),0)</f>
        <v>154</v>
      </c>
      <c r="BS132" s="2">
        <f>ROUND(VLOOKUP($BJ132,$AI$3:$AO$33,MATCH(BS$3,$AI$3:$AO$3,0),FALSE)+$BL132/VLOOKUP(VLOOKUP($BJ132,坦克个性化设定!$B$18:$E$48,4,FALSE)&amp;$BK132,坦克属性分配比例,MATCH("升星次数",坦克属性分配比例标头,0),FALSE)*VLOOKUP($BJ132,$AR$3:$AY$33,MATCH(BS$3,$AR$3:$AY$3,0),FALSE),1)</f>
        <v>49.4</v>
      </c>
      <c r="BT132" s="2">
        <f>ROUND(VLOOKUP($BJ132,$AI$3:$AO$33,MATCH(BT$3,$AI$3:$AO$3,0),FALSE)+$BL132/VLOOKUP(VLOOKUP($BJ132,坦克个性化设定!$B$18:$E$48,4,FALSE)&amp;$BK132,坦克属性分配比例,MATCH("升星次数",坦克属性分配比例标头,0),FALSE)*VLOOKUP($BJ132,$AR$3:$AY$33,MATCH(BT$3,$AR$3:$AY$3,0),FALSE),1)</f>
        <v>44.4</v>
      </c>
      <c r="BU132" s="2">
        <f>ROUND(VLOOKUP($BJ132,$AI$3:$AO$33,MATCH(BU$3,$AI$3:$AO$3,0),FALSE)+$BL132/VLOOKUP(VLOOKUP($BJ132,坦克个性化设定!$B$18:$E$48,4,FALSE)&amp;$BK132,坦克属性分配比例,MATCH("升星次数",坦克属性分配比例标头,0),FALSE)*VLOOKUP($BJ132,$AR$3:$AY$33,MATCH(BU$3,$AR$3:$AY$3,0),FALSE),1)</f>
        <v>8</v>
      </c>
      <c r="BV132" s="2">
        <f>IF(VLOOKUP(BJ132,坦克个性化设定!$B$18:$BC$48,MATCH("装弹类型",坦克个性化设定!$B$18:$BC$18,0),FALSE)="弹夹换弹",0,ROUND(VLOOKUP($BJ132,$AI$3:$AO$33,MATCH("换弹时间",$AI$3:$AO$3,0),FALSE)-$BL132/VLOOKUP(VLOOKUP($BJ132,坦克个性化设定!$B$18:$E$48,4,FALSE)&amp;$BK132,坦克属性分配比例,MATCH("升星次数",坦克属性分配比例标头,0),FALSE)*VLOOKUP($BJ132,$AR$3:$AY$33,MATCH("换弹时间",$AR$3:$AY$3,0),FALSE),2))</f>
        <v>0</v>
      </c>
      <c r="BW132" s="2">
        <f>IF(VLOOKUP(BJ132,坦克个性化设定!$B$18:$BC$48,MATCH("装弹类型",坦克个性化设定!$B$18:$BC$18,0),FALSE)="弹夹换弹",ROUND(VLOOKUP($BJ132,$AI$3:$AO$33,MATCH("换弹时间",$AI$3:$AO$3,0),FALSE)-$BL132/VLOOKUP(VLOOKUP($BJ132,坦克个性化设定!$B$18:$E$48,4,FALSE)&amp;$BK132,坦克属性分配比例,MATCH("升星次数",坦克属性分配比例标头,0),FALSE)*VLOOKUP($BJ132,$AR$3:$AY$33,MATCH("换弹时间",$AR$3:$AY$3,0),FALSE),1),0)</f>
        <v>2.9</v>
      </c>
      <c r="BX132" s="2">
        <f>ROUND(VLOOKUP($BJ132,$AI$3:$AO$33,MATCH(BX$3,$AI$3:$AO$3,0),FALSE)+$BL132/VLOOKUP(VLOOKUP($BJ132,坦克个性化设定!$B$18:$E$48,4,FALSE)&amp;$BK132,坦克属性分配比例,MATCH("升星次数",坦克属性分配比例标头,0),FALSE)*VLOOKUP($BJ132,$AR$3:$AY$33,MATCH(BX$3,$AR$3:$AY$3,0),FALSE),2)</f>
        <v>0.42</v>
      </c>
      <c r="BY132" s="2">
        <f>ROUND(VLOOKUP($BJ132,$AI$3:$AO$33,MATCH(BY$3,$AI$3:$AO$3,0),FALSE)-$BL132/VLOOKUP(VLOOKUP($BJ132,坦克个性化设定!$B$18:$E$48,4,FALSE)&amp;$BK132,坦克属性分配比例,MATCH("升星次数",坦克属性分配比例标头,0),FALSE)*VLOOKUP($BJ132,$AR$3:$AY$33,MATCH(BY$3,$AR$3:$AY$3,0),FALSE),2)</f>
        <v>0.92</v>
      </c>
    </row>
    <row r="133" spans="60:77" x14ac:dyDescent="0.3">
      <c r="BH133" s="2" t="str">
        <f t="shared" ref="BH133:BH196" si="27">BJ133&amp;BL133</f>
        <v>玛蒂尔达5</v>
      </c>
      <c r="BI133" s="2">
        <f>IF(BL132&gt;=VLOOKUP(VLOOKUP(BJ132,坦克个性化设定!$B$18:$E$48,4,FALSE)&amp;BK132,坦克属性分配比例,MATCH("升星次数",坦克属性分配比例标头,0),FALSE),BI132+1,BI132)</f>
        <v>14</v>
      </c>
      <c r="BJ133" s="2" t="str">
        <f t="shared" ref="BJ133:BJ196" si="28">VLOOKUP(BI133,$B$5:$C$35,2,FALSE)</f>
        <v>玛蒂尔达</v>
      </c>
      <c r="BK133" s="29" t="str">
        <f>VLOOKUP(BJ133,坦克个性化细分!$I$3:$J$33,2,FALSE)</f>
        <v>低</v>
      </c>
      <c r="BL133" s="2">
        <f t="shared" si="26"/>
        <v>5</v>
      </c>
      <c r="BM133" s="103">
        <f ca="1">ROUND(VLOOKUP($BJ133&amp;"初始",$S$3:$AE$63,MATCH(BM$3,$S$3:$AE$3,0),FALSE)+((VLOOKUP($BJ133&amp;"最终",$S$3:$AE$63,MATCH(BM$3,$S$3:$AE$3,0),FALSE)*坦克个性化细分!$C$9-VLOOKUP($BJ133&amp;"初始",$S$3:$AE$63,MATCH(BM$3,$S$3:$AE$3,0),FALSE))-(VLOOKUP($BJ133&amp;"最终",$S$3:$AE$63,MATCH(BM$3,$S$3:$AE$3,0),FALSE)-VLOOKUP($BJ133&amp;"初始",$S$3:$AE$63,MATCH(BM$3,$S$3:$AE$3,0),FALSE))*VLOOKUP(VLOOKUP($BJ133,坦克个性化设定!$B$18:$E$48,4,FALSE)&amp;$BK133,坦克属性分配比例,MATCH("部件比例",坦克属性分配比例标头,0),FALSE))*$BL133/VLOOKUP(VLOOKUP($BJ133,坦克个性化设定!$B$18:$E$48,4,FALSE)&amp;$BK133,坦克属性分配比例,MATCH("升星次数",坦克属性分配比例标头,0),FALSE),0)</f>
        <v>1534</v>
      </c>
      <c r="BN133" s="103">
        <f ca="1">ROUND(VLOOKUP($BJ133&amp;"初始",$S$3:$AE$63,MATCH(BN$3,$S$3:$AE$3,0),FALSE)+(VLOOKUP($BJ133&amp;"最终",$S$3:$AE$63,MATCH(BN$3,$S$3:$AE$3,0),FALSE)-VLOOKUP($BJ133&amp;"初始",$S$3:$AE$63,MATCH(BN$3,$S$3:$AE$3,0),FALSE))*$BL133/VLOOKUP(VLOOKUP($BJ133,坦克个性化设定!$B$18:$E$48,4,FALSE)&amp;$BK133,坦克属性分配比例,MATCH("升星次数",坦克属性分配比例标头,0),FALSE)*VLOOKUP(VLOOKUP($BJ133,坦克个性化设定!$B$18:$E$48,4,FALSE)&amp;$BK133,坦克属性分配比例,MATCH("升星比例",坦克属性分配比例标头,0),FALSE),0)</f>
        <v>183</v>
      </c>
      <c r="BO133" s="103">
        <f ca="1">ROUND(VLOOKUP($BJ133&amp;"初始",$S$3:$AE$63,MATCH(BO$3,$S$3:$AE$3,0),FALSE)+(VLOOKUP($BJ133&amp;"最终",$S$3:$AE$63,MATCH(BO$3,$S$3:$AE$3,0),FALSE)-VLOOKUP($BJ133&amp;"初始",$S$3:$AE$63,MATCH(BO$3,$S$3:$AE$3,0),FALSE))*$BL133/VLOOKUP(VLOOKUP($BJ133,坦克个性化设定!$B$18:$E$48,4,FALSE)&amp;$BK133,坦克属性分配比例,MATCH("升星次数",坦克属性分配比例标头,0),FALSE)*(VLOOKUP(VLOOKUP($BJ133,坦克个性化设定!$B$18:$E$48,4,FALSE)&amp;$BK133,坦克属性分配比例,MATCH("升星比例",坦克属性分配比例标头,0),FALSE)+VLOOKUP(VLOOKUP($BJ133,坦克个性化设定!$B$18:$E$48,4,FALSE)&amp;$BK133,坦克属性分配比例,MATCH("部件比例",坦克属性分配比例标头,0),FALSE)*$C$3),0)</f>
        <v>592</v>
      </c>
      <c r="BP133" s="103">
        <f ca="1">ROUND(VLOOKUP($BJ133&amp;"初始",$S$3:$AE$63,MATCH(BP$3,$S$3:$AE$3,0),FALSE)+(VLOOKUP($BJ133&amp;"最终",$S$3:$AE$63,MATCH(BP$3,$S$3:$AE$3,0),FALSE)-VLOOKUP($BJ133&amp;"初始",$S$3:$AE$63,MATCH(BP$3,$S$3:$AE$3,0),FALSE))*$BL133/VLOOKUP(VLOOKUP($BJ133,坦克个性化设定!$B$18:$E$48,4,FALSE)&amp;$BK133,坦克属性分配比例,MATCH("升星次数",坦克属性分配比例标头,0),FALSE)*(VLOOKUP(VLOOKUP($BJ133,坦克个性化设定!$B$18:$E$48,4,FALSE)&amp;$BK133,坦克属性分配比例,MATCH("升星比例",坦克属性分配比例标头,0),FALSE)+VLOOKUP(VLOOKUP($BJ133,坦克个性化设定!$B$18:$E$48,4,FALSE)&amp;$BK133,坦克属性分配比例,MATCH("部件比例",坦克属性分配比例标头,0),FALSE)*$C$3),0)</f>
        <v>444</v>
      </c>
      <c r="BQ133" s="103">
        <f ca="1">ROUND(VLOOKUP($BJ133&amp;"初始",$S$3:$AE$63,MATCH(BQ$3,$S$3:$AE$3,0),FALSE)+(VLOOKUP($BJ133&amp;"最终",$S$3:$AE$63,MATCH(BQ$3,$S$3:$AE$3,0),FALSE)-VLOOKUP($BJ133&amp;"初始",$S$3:$AE$63,MATCH(BQ$3,$S$3:$AE$3,0),FALSE))*$BL133/VLOOKUP(VLOOKUP($BJ133,坦克个性化设定!$B$18:$E$48,4,FALSE)&amp;$BK133,坦克属性分配比例,MATCH("升星次数",坦克属性分配比例标头,0),FALSE)*VLOOKUP(VLOOKUP($BJ133,坦克个性化设定!$B$18:$E$48,4,FALSE)&amp;$BK133,坦克属性分配比例,MATCH("升星比例",坦克属性分配比例标头,0),FALSE),0)</f>
        <v>616</v>
      </c>
      <c r="BR133" s="2">
        <f ca="1">ROUND(VLOOKUP($BJ133&amp;"初始",$S$3:$AE$63,MATCH(BR$3,$S$3:$AE$3,0),FALSE)+(VLOOKUP($BJ133&amp;"最终",$S$3:$AE$63,MATCH(BR$3,$S$3:$AE$3,0),FALSE)-VLOOKUP($BJ133&amp;"初始",$S$3:$AE$63,MATCH(BR$3,$S$3:$AE$3,0),FALSE))*$BL133/VLOOKUP(VLOOKUP($BJ133,坦克个性化设定!$B$18:$E$48,4,FALSE)&amp;$BK133,坦克属性分配比例,MATCH("升星次数",坦克属性分配比例标头,0),FALSE),0)</f>
        <v>161</v>
      </c>
      <c r="BS133" s="2">
        <f>ROUND(VLOOKUP($BJ133,$AI$3:$AO$33,MATCH(BS$3,$AI$3:$AO$3,0),FALSE)+$BL133/VLOOKUP(VLOOKUP($BJ133,坦克个性化设定!$B$18:$E$48,4,FALSE)&amp;$BK133,坦克属性分配比例,MATCH("升星次数",坦克属性分配比例标头,0),FALSE)*VLOOKUP($BJ133,$AR$3:$AY$33,MATCH(BS$3,$AR$3:$AY$3,0),FALSE),1)</f>
        <v>50.7</v>
      </c>
      <c r="BT133" s="2">
        <f>ROUND(VLOOKUP($BJ133,$AI$3:$AO$33,MATCH(BT$3,$AI$3:$AO$3,0),FALSE)+$BL133/VLOOKUP(VLOOKUP($BJ133,坦克个性化设定!$B$18:$E$48,4,FALSE)&amp;$BK133,坦克属性分配比例,MATCH("升星次数",坦克属性分配比例标头,0),FALSE)*VLOOKUP($BJ133,$AR$3:$AY$33,MATCH(BT$3,$AR$3:$AY$3,0),FALSE),1)</f>
        <v>45.6</v>
      </c>
      <c r="BU133" s="2">
        <f>ROUND(VLOOKUP($BJ133,$AI$3:$AO$33,MATCH(BU$3,$AI$3:$AO$3,0),FALSE)+$BL133/VLOOKUP(VLOOKUP($BJ133,坦克个性化设定!$B$18:$E$48,4,FALSE)&amp;$BK133,坦克属性分配比例,MATCH("升星次数",坦克属性分配比例标头,0),FALSE)*VLOOKUP($BJ133,$AR$3:$AY$33,MATCH(BU$3,$AR$3:$AY$3,0),FALSE),1)</f>
        <v>8</v>
      </c>
      <c r="BV133" s="2">
        <f>IF(VLOOKUP(BJ133,坦克个性化设定!$B$18:$BC$48,MATCH("装弹类型",坦克个性化设定!$B$18:$BC$18,0),FALSE)="弹夹换弹",0,ROUND(VLOOKUP($BJ133,$AI$3:$AO$33,MATCH("换弹时间",$AI$3:$AO$3,0),FALSE)-$BL133/VLOOKUP(VLOOKUP($BJ133,坦克个性化设定!$B$18:$E$48,4,FALSE)&amp;$BK133,坦克属性分配比例,MATCH("升星次数",坦克属性分配比例标头,0),FALSE)*VLOOKUP($BJ133,$AR$3:$AY$33,MATCH("换弹时间",$AR$3:$AY$3,0),FALSE),2))</f>
        <v>0</v>
      </c>
      <c r="BW133" s="2">
        <f>IF(VLOOKUP(BJ133,坦克个性化设定!$B$18:$BC$48,MATCH("装弹类型",坦克个性化设定!$B$18:$BC$18,0),FALSE)="弹夹换弹",ROUND(VLOOKUP($BJ133,$AI$3:$AO$33,MATCH("换弹时间",$AI$3:$AO$3,0),FALSE)-$BL133/VLOOKUP(VLOOKUP($BJ133,坦克个性化设定!$B$18:$E$48,4,FALSE)&amp;$BK133,坦克属性分配比例,MATCH("升星次数",坦克属性分配比例标头,0),FALSE)*VLOOKUP($BJ133,$AR$3:$AY$33,MATCH("换弹时间",$AR$3:$AY$3,0),FALSE),1),0)</f>
        <v>2.9</v>
      </c>
      <c r="BX133" s="2">
        <f>ROUND(VLOOKUP($BJ133,$AI$3:$AO$33,MATCH(BX$3,$AI$3:$AO$3,0),FALSE)+$BL133/VLOOKUP(VLOOKUP($BJ133,坦克个性化设定!$B$18:$E$48,4,FALSE)&amp;$BK133,坦克属性分配比例,MATCH("升星次数",坦克属性分配比例标头,0),FALSE)*VLOOKUP($BJ133,$AR$3:$AY$33,MATCH(BX$3,$AR$3:$AY$3,0),FALSE),2)</f>
        <v>0.46</v>
      </c>
      <c r="BY133" s="2">
        <f>ROUND(VLOOKUP($BJ133,$AI$3:$AO$33,MATCH(BY$3,$AI$3:$AO$3,0),FALSE)-$BL133/VLOOKUP(VLOOKUP($BJ133,坦克个性化设定!$B$18:$E$48,4,FALSE)&amp;$BK133,坦克属性分配比例,MATCH("升星次数",坦克属性分配比例标头,0),FALSE)*VLOOKUP($BJ133,$AR$3:$AY$33,MATCH(BY$3,$AR$3:$AY$3,0),FALSE),2)</f>
        <v>0.9</v>
      </c>
    </row>
    <row r="134" spans="60:77" x14ac:dyDescent="0.3">
      <c r="BH134" s="2" t="str">
        <f t="shared" si="27"/>
        <v>玛蒂尔达6</v>
      </c>
      <c r="BI134" s="2">
        <f>IF(BL133&gt;=VLOOKUP(VLOOKUP(BJ133,坦克个性化设定!$B$18:$E$48,4,FALSE)&amp;BK133,坦克属性分配比例,MATCH("升星次数",坦克属性分配比例标头,0),FALSE),BI133+1,BI133)</f>
        <v>14</v>
      </c>
      <c r="BJ134" s="2" t="str">
        <f t="shared" si="28"/>
        <v>玛蒂尔达</v>
      </c>
      <c r="BK134" s="29" t="str">
        <f>VLOOKUP(BJ134,坦克个性化细分!$I$3:$J$33,2,FALSE)</f>
        <v>低</v>
      </c>
      <c r="BL134" s="2">
        <f t="shared" si="26"/>
        <v>6</v>
      </c>
      <c r="BM134" s="103">
        <f ca="1">ROUND(VLOOKUP($BJ134&amp;"初始",$S$3:$AE$63,MATCH(BM$3,$S$3:$AE$3,0),FALSE)+((VLOOKUP($BJ134&amp;"最终",$S$3:$AE$63,MATCH(BM$3,$S$3:$AE$3,0),FALSE)*坦克个性化细分!$C$9-VLOOKUP($BJ134&amp;"初始",$S$3:$AE$63,MATCH(BM$3,$S$3:$AE$3,0),FALSE))-(VLOOKUP($BJ134&amp;"最终",$S$3:$AE$63,MATCH(BM$3,$S$3:$AE$3,0),FALSE)-VLOOKUP($BJ134&amp;"初始",$S$3:$AE$63,MATCH(BM$3,$S$3:$AE$3,0),FALSE))*VLOOKUP(VLOOKUP($BJ134,坦克个性化设定!$B$18:$E$48,4,FALSE)&amp;$BK134,坦克属性分配比例,MATCH("部件比例",坦克属性分配比例标头,0),FALSE))*$BL134/VLOOKUP(VLOOKUP($BJ134,坦克个性化设定!$B$18:$E$48,4,FALSE)&amp;$BK134,坦克属性分配比例,MATCH("升星次数",坦克属性分配比例标头,0),FALSE),0)</f>
        <v>1598</v>
      </c>
      <c r="BN134" s="103">
        <f ca="1">ROUND(VLOOKUP($BJ134&amp;"初始",$S$3:$AE$63,MATCH(BN$3,$S$3:$AE$3,0),FALSE)+(VLOOKUP($BJ134&amp;"最终",$S$3:$AE$63,MATCH(BN$3,$S$3:$AE$3,0),FALSE)-VLOOKUP($BJ134&amp;"初始",$S$3:$AE$63,MATCH(BN$3,$S$3:$AE$3,0),FALSE))*$BL134/VLOOKUP(VLOOKUP($BJ134,坦克个性化设定!$B$18:$E$48,4,FALSE)&amp;$BK134,坦克属性分配比例,MATCH("升星次数",坦克属性分配比例标头,0),FALSE)*VLOOKUP(VLOOKUP($BJ134,坦克个性化设定!$B$18:$E$48,4,FALSE)&amp;$BK134,坦克属性分配比例,MATCH("升星比例",坦克属性分配比例标头,0),FALSE),0)</f>
        <v>188</v>
      </c>
      <c r="BO134" s="103">
        <f ca="1">ROUND(VLOOKUP($BJ134&amp;"初始",$S$3:$AE$63,MATCH(BO$3,$S$3:$AE$3,0),FALSE)+(VLOOKUP($BJ134&amp;"最终",$S$3:$AE$63,MATCH(BO$3,$S$3:$AE$3,0),FALSE)-VLOOKUP($BJ134&amp;"初始",$S$3:$AE$63,MATCH(BO$3,$S$3:$AE$3,0),FALSE))*$BL134/VLOOKUP(VLOOKUP($BJ134,坦克个性化设定!$B$18:$E$48,4,FALSE)&amp;$BK134,坦克属性分配比例,MATCH("升星次数",坦克属性分配比例标头,0),FALSE)*(VLOOKUP(VLOOKUP($BJ134,坦克个性化设定!$B$18:$E$48,4,FALSE)&amp;$BK134,坦克属性分配比例,MATCH("升星比例",坦克属性分配比例标头,0),FALSE)+VLOOKUP(VLOOKUP($BJ134,坦克个性化设定!$B$18:$E$48,4,FALSE)&amp;$BK134,坦克属性分配比例,MATCH("部件比例",坦克属性分配比例标头,0),FALSE)*$C$3),0)</f>
        <v>613</v>
      </c>
      <c r="BP134" s="103">
        <f ca="1">ROUND(VLOOKUP($BJ134&amp;"初始",$S$3:$AE$63,MATCH(BP$3,$S$3:$AE$3,0),FALSE)+(VLOOKUP($BJ134&amp;"最终",$S$3:$AE$63,MATCH(BP$3,$S$3:$AE$3,0),FALSE)-VLOOKUP($BJ134&amp;"初始",$S$3:$AE$63,MATCH(BP$3,$S$3:$AE$3,0),FALSE))*$BL134/VLOOKUP(VLOOKUP($BJ134,坦克个性化设定!$B$18:$E$48,4,FALSE)&amp;$BK134,坦克属性分配比例,MATCH("升星次数",坦克属性分配比例标头,0),FALSE)*(VLOOKUP(VLOOKUP($BJ134,坦克个性化设定!$B$18:$E$48,4,FALSE)&amp;$BK134,坦克属性分配比例,MATCH("升星比例",坦克属性分配比例标头,0),FALSE)+VLOOKUP(VLOOKUP($BJ134,坦克个性化设定!$B$18:$E$48,4,FALSE)&amp;$BK134,坦克属性分配比例,MATCH("部件比例",坦克属性分配比例标头,0),FALSE)*$C$3),0)</f>
        <v>460</v>
      </c>
      <c r="BQ134" s="103">
        <f ca="1">ROUND(VLOOKUP($BJ134&amp;"初始",$S$3:$AE$63,MATCH(BQ$3,$S$3:$AE$3,0),FALSE)+(VLOOKUP($BJ134&amp;"最终",$S$3:$AE$63,MATCH(BQ$3,$S$3:$AE$3,0),FALSE)-VLOOKUP($BJ134&amp;"初始",$S$3:$AE$63,MATCH(BQ$3,$S$3:$AE$3,0),FALSE))*$BL134/VLOOKUP(VLOOKUP($BJ134,坦克个性化设定!$B$18:$E$48,4,FALSE)&amp;$BK134,坦克属性分配比例,MATCH("升星次数",坦克属性分配比例标头,0),FALSE)*VLOOKUP(VLOOKUP($BJ134,坦克个性化设定!$B$18:$E$48,4,FALSE)&amp;$BK134,坦克属性分配比例,MATCH("升星比例",坦克属性分配比例标头,0),FALSE),0)</f>
        <v>632</v>
      </c>
      <c r="BR134" s="2">
        <f ca="1">ROUND(VLOOKUP($BJ134&amp;"初始",$S$3:$AE$63,MATCH(BR$3,$S$3:$AE$3,0),FALSE)+(VLOOKUP($BJ134&amp;"最终",$S$3:$AE$63,MATCH(BR$3,$S$3:$AE$3,0),FALSE)-VLOOKUP($BJ134&amp;"初始",$S$3:$AE$63,MATCH(BR$3,$S$3:$AE$3,0),FALSE))*$BL134/VLOOKUP(VLOOKUP($BJ134,坦克个性化设定!$B$18:$E$48,4,FALSE)&amp;$BK134,坦克属性分配比例,MATCH("升星次数",坦克属性分配比例标头,0),FALSE),0)</f>
        <v>167</v>
      </c>
      <c r="BS134" s="2">
        <f>ROUND(VLOOKUP($BJ134,$AI$3:$AO$33,MATCH(BS$3,$AI$3:$AO$3,0),FALSE)+$BL134/VLOOKUP(VLOOKUP($BJ134,坦克个性化设定!$B$18:$E$48,4,FALSE)&amp;$BK134,坦克属性分配比例,MATCH("升星次数",坦克属性分配比例标头,0),FALSE)*VLOOKUP($BJ134,$AR$3:$AY$33,MATCH(BS$3,$AR$3:$AY$3,0),FALSE),1)</f>
        <v>51.9</v>
      </c>
      <c r="BT134" s="2">
        <f>ROUND(VLOOKUP($BJ134,$AI$3:$AO$33,MATCH(BT$3,$AI$3:$AO$3,0),FALSE)+$BL134/VLOOKUP(VLOOKUP($BJ134,坦克个性化设定!$B$18:$E$48,4,FALSE)&amp;$BK134,坦克属性分配比例,MATCH("升星次数",坦克属性分配比例标头,0),FALSE)*VLOOKUP($BJ134,$AR$3:$AY$33,MATCH(BT$3,$AR$3:$AY$3,0),FALSE),1)</f>
        <v>46.7</v>
      </c>
      <c r="BU134" s="2">
        <f>ROUND(VLOOKUP($BJ134,$AI$3:$AO$33,MATCH(BU$3,$AI$3:$AO$3,0),FALSE)+$BL134/VLOOKUP(VLOOKUP($BJ134,坦克个性化设定!$B$18:$E$48,4,FALSE)&amp;$BK134,坦克属性分配比例,MATCH("升星次数",坦克属性分配比例标头,0),FALSE)*VLOOKUP($BJ134,$AR$3:$AY$33,MATCH(BU$3,$AR$3:$AY$3,0),FALSE),1)</f>
        <v>8</v>
      </c>
      <c r="BV134" s="2">
        <f>IF(VLOOKUP(BJ134,坦克个性化设定!$B$18:$BC$48,MATCH("装弹类型",坦克个性化设定!$B$18:$BC$18,0),FALSE)="弹夹换弹",0,ROUND(VLOOKUP($BJ134,$AI$3:$AO$33,MATCH("换弹时间",$AI$3:$AO$3,0),FALSE)-$BL134/VLOOKUP(VLOOKUP($BJ134,坦克个性化设定!$B$18:$E$48,4,FALSE)&amp;$BK134,坦克属性分配比例,MATCH("升星次数",坦克属性分配比例标头,0),FALSE)*VLOOKUP($BJ134,$AR$3:$AY$33,MATCH("换弹时间",$AR$3:$AY$3,0),FALSE),2))</f>
        <v>0</v>
      </c>
      <c r="BW134" s="2">
        <f>IF(VLOOKUP(BJ134,坦克个性化设定!$B$18:$BC$48,MATCH("装弹类型",坦克个性化设定!$B$18:$BC$18,0),FALSE)="弹夹换弹",ROUND(VLOOKUP($BJ134,$AI$3:$AO$33,MATCH("换弹时间",$AI$3:$AO$3,0),FALSE)-$BL134/VLOOKUP(VLOOKUP($BJ134,坦克个性化设定!$B$18:$E$48,4,FALSE)&amp;$BK134,坦克属性分配比例,MATCH("升星次数",坦克属性分配比例标头,0),FALSE)*VLOOKUP($BJ134,$AR$3:$AY$33,MATCH("换弹时间",$AR$3:$AY$3,0),FALSE),1),0)</f>
        <v>2.8</v>
      </c>
      <c r="BX134" s="2">
        <f>ROUND(VLOOKUP($BJ134,$AI$3:$AO$33,MATCH(BX$3,$AI$3:$AO$3,0),FALSE)+$BL134/VLOOKUP(VLOOKUP($BJ134,坦克个性化设定!$B$18:$E$48,4,FALSE)&amp;$BK134,坦克属性分配比例,MATCH("升星次数",坦克属性分配比例标头,0),FALSE)*VLOOKUP($BJ134,$AR$3:$AY$33,MATCH(BX$3,$AR$3:$AY$3,0),FALSE),2)</f>
        <v>0.49</v>
      </c>
      <c r="BY134" s="2">
        <f>ROUND(VLOOKUP($BJ134,$AI$3:$AO$33,MATCH(BY$3,$AI$3:$AO$3,0),FALSE)-$BL134/VLOOKUP(VLOOKUP($BJ134,坦克个性化设定!$B$18:$E$48,4,FALSE)&amp;$BK134,坦克属性分配比例,MATCH("升星次数",坦克属性分配比例标头,0),FALSE)*VLOOKUP($BJ134,$AR$3:$AY$33,MATCH(BY$3,$AR$3:$AY$3,0),FALSE),2)</f>
        <v>0.88</v>
      </c>
    </row>
    <row r="135" spans="60:77" x14ac:dyDescent="0.3">
      <c r="BH135" s="2" t="str">
        <f t="shared" si="27"/>
        <v>玛蒂尔达7</v>
      </c>
      <c r="BI135" s="2">
        <f>IF(BL134&gt;=VLOOKUP(VLOOKUP(BJ134,坦克个性化设定!$B$18:$E$48,4,FALSE)&amp;BK134,坦克属性分配比例,MATCH("升星次数",坦克属性分配比例标头,0),FALSE),BI134+1,BI134)</f>
        <v>14</v>
      </c>
      <c r="BJ135" s="2" t="str">
        <f t="shared" si="28"/>
        <v>玛蒂尔达</v>
      </c>
      <c r="BK135" s="29" t="str">
        <f>VLOOKUP(BJ135,坦克个性化细分!$I$3:$J$33,2,FALSE)</f>
        <v>低</v>
      </c>
      <c r="BL135" s="2">
        <f t="shared" si="26"/>
        <v>7</v>
      </c>
      <c r="BM135" s="103">
        <f ca="1">ROUND(VLOOKUP($BJ135&amp;"初始",$S$3:$AE$63,MATCH(BM$3,$S$3:$AE$3,0),FALSE)+((VLOOKUP($BJ135&amp;"最终",$S$3:$AE$63,MATCH(BM$3,$S$3:$AE$3,0),FALSE)*坦克个性化细分!$C$9-VLOOKUP($BJ135&amp;"初始",$S$3:$AE$63,MATCH(BM$3,$S$3:$AE$3,0),FALSE))-(VLOOKUP($BJ135&amp;"最终",$S$3:$AE$63,MATCH(BM$3,$S$3:$AE$3,0),FALSE)-VLOOKUP($BJ135&amp;"初始",$S$3:$AE$63,MATCH(BM$3,$S$3:$AE$3,0),FALSE))*VLOOKUP(VLOOKUP($BJ135,坦克个性化设定!$B$18:$E$48,4,FALSE)&amp;$BK135,坦克属性分配比例,MATCH("部件比例",坦克属性分配比例标头,0),FALSE))*$BL135/VLOOKUP(VLOOKUP($BJ135,坦克个性化设定!$B$18:$E$48,4,FALSE)&amp;$BK135,坦克属性分配比例,MATCH("升星次数",坦克属性分配比例标头,0),FALSE),0)</f>
        <v>1662</v>
      </c>
      <c r="BN135" s="103">
        <f ca="1">ROUND(VLOOKUP($BJ135&amp;"初始",$S$3:$AE$63,MATCH(BN$3,$S$3:$AE$3,0),FALSE)+(VLOOKUP($BJ135&amp;"最终",$S$3:$AE$63,MATCH(BN$3,$S$3:$AE$3,0),FALSE)-VLOOKUP($BJ135&amp;"初始",$S$3:$AE$63,MATCH(BN$3,$S$3:$AE$3,0),FALSE))*$BL135/VLOOKUP(VLOOKUP($BJ135,坦克个性化设定!$B$18:$E$48,4,FALSE)&amp;$BK135,坦克属性分配比例,MATCH("升星次数",坦克属性分配比例标头,0),FALSE)*VLOOKUP(VLOOKUP($BJ135,坦克个性化设定!$B$18:$E$48,4,FALSE)&amp;$BK135,坦克属性分配比例,MATCH("升星比例",坦克属性分配比例标头,0),FALSE),0)</f>
        <v>193</v>
      </c>
      <c r="BO135" s="103">
        <f ca="1">ROUND(VLOOKUP($BJ135&amp;"初始",$S$3:$AE$63,MATCH(BO$3,$S$3:$AE$3,0),FALSE)+(VLOOKUP($BJ135&amp;"最终",$S$3:$AE$63,MATCH(BO$3,$S$3:$AE$3,0),FALSE)-VLOOKUP($BJ135&amp;"初始",$S$3:$AE$63,MATCH(BO$3,$S$3:$AE$3,0),FALSE))*$BL135/VLOOKUP(VLOOKUP($BJ135,坦克个性化设定!$B$18:$E$48,4,FALSE)&amp;$BK135,坦克属性分配比例,MATCH("升星次数",坦克属性分配比例标头,0),FALSE)*(VLOOKUP(VLOOKUP($BJ135,坦克个性化设定!$B$18:$E$48,4,FALSE)&amp;$BK135,坦克属性分配比例,MATCH("升星比例",坦克属性分配比例标头,0),FALSE)+VLOOKUP(VLOOKUP($BJ135,坦克个性化设定!$B$18:$E$48,4,FALSE)&amp;$BK135,坦克属性分配比例,MATCH("部件比例",坦克属性分配比例标头,0),FALSE)*$C$3),0)</f>
        <v>634</v>
      </c>
      <c r="BP135" s="103">
        <f ca="1">ROUND(VLOOKUP($BJ135&amp;"初始",$S$3:$AE$63,MATCH(BP$3,$S$3:$AE$3,0),FALSE)+(VLOOKUP($BJ135&amp;"最终",$S$3:$AE$63,MATCH(BP$3,$S$3:$AE$3,0),FALSE)-VLOOKUP($BJ135&amp;"初始",$S$3:$AE$63,MATCH(BP$3,$S$3:$AE$3,0),FALSE))*$BL135/VLOOKUP(VLOOKUP($BJ135,坦克个性化设定!$B$18:$E$48,4,FALSE)&amp;$BK135,坦克属性分配比例,MATCH("升星次数",坦克属性分配比例标头,0),FALSE)*(VLOOKUP(VLOOKUP($BJ135,坦克个性化设定!$B$18:$E$48,4,FALSE)&amp;$BK135,坦克属性分配比例,MATCH("升星比例",坦克属性分配比例标头,0),FALSE)+VLOOKUP(VLOOKUP($BJ135,坦克个性化设定!$B$18:$E$48,4,FALSE)&amp;$BK135,坦克属性分配比例,MATCH("部件比例",坦克属性分配比例标头,0),FALSE)*$C$3),0)</f>
        <v>476</v>
      </c>
      <c r="BQ135" s="103">
        <f ca="1">ROUND(VLOOKUP($BJ135&amp;"初始",$S$3:$AE$63,MATCH(BQ$3,$S$3:$AE$3,0),FALSE)+(VLOOKUP($BJ135&amp;"最终",$S$3:$AE$63,MATCH(BQ$3,$S$3:$AE$3,0),FALSE)-VLOOKUP($BJ135&amp;"初始",$S$3:$AE$63,MATCH(BQ$3,$S$3:$AE$3,0),FALSE))*$BL135/VLOOKUP(VLOOKUP($BJ135,坦克个性化设定!$B$18:$E$48,4,FALSE)&amp;$BK135,坦克属性分配比例,MATCH("升星次数",坦克属性分配比例标头,0),FALSE)*VLOOKUP(VLOOKUP($BJ135,坦克个性化设定!$B$18:$E$48,4,FALSE)&amp;$BK135,坦克属性分配比例,MATCH("升星比例",坦克属性分配比例标头,0),FALSE),0)</f>
        <v>649</v>
      </c>
      <c r="BR135" s="2">
        <f ca="1">ROUND(VLOOKUP($BJ135&amp;"初始",$S$3:$AE$63,MATCH(BR$3,$S$3:$AE$3,0),FALSE)+(VLOOKUP($BJ135&amp;"最终",$S$3:$AE$63,MATCH(BR$3,$S$3:$AE$3,0),FALSE)-VLOOKUP($BJ135&amp;"初始",$S$3:$AE$63,MATCH(BR$3,$S$3:$AE$3,0),FALSE))*$BL135/VLOOKUP(VLOOKUP($BJ135,坦克个性化设定!$B$18:$E$48,4,FALSE)&amp;$BK135,坦克属性分配比例,MATCH("升星次数",坦克属性分配比例标头,0),FALSE),0)</f>
        <v>174</v>
      </c>
      <c r="BS135" s="2">
        <f>ROUND(VLOOKUP($BJ135,$AI$3:$AO$33,MATCH(BS$3,$AI$3:$AO$3,0),FALSE)+$BL135/VLOOKUP(VLOOKUP($BJ135,坦克个性化设定!$B$18:$E$48,4,FALSE)&amp;$BK135,坦克属性分配比例,MATCH("升星次数",坦克属性分配比例标头,0),FALSE)*VLOOKUP($BJ135,$AR$3:$AY$33,MATCH(BS$3,$AR$3:$AY$3,0),FALSE),1)</f>
        <v>53.2</v>
      </c>
      <c r="BT135" s="2">
        <f>ROUND(VLOOKUP($BJ135,$AI$3:$AO$33,MATCH(BT$3,$AI$3:$AO$3,0),FALSE)+$BL135/VLOOKUP(VLOOKUP($BJ135,坦克个性化设定!$B$18:$E$48,4,FALSE)&amp;$BK135,坦克属性分配比例,MATCH("升星次数",坦克属性分配比例标头,0),FALSE)*VLOOKUP($BJ135,$AR$3:$AY$33,MATCH(BT$3,$AR$3:$AY$3,0),FALSE),1)</f>
        <v>47.8</v>
      </c>
      <c r="BU135" s="2">
        <f>ROUND(VLOOKUP($BJ135,$AI$3:$AO$33,MATCH(BU$3,$AI$3:$AO$3,0),FALSE)+$BL135/VLOOKUP(VLOOKUP($BJ135,坦克个性化设定!$B$18:$E$48,4,FALSE)&amp;$BK135,坦克属性分配比例,MATCH("升星次数",坦克属性分配比例标头,0),FALSE)*VLOOKUP($BJ135,$AR$3:$AY$33,MATCH(BU$3,$AR$3:$AY$3,0),FALSE),1)</f>
        <v>8</v>
      </c>
      <c r="BV135" s="2">
        <f>IF(VLOOKUP(BJ135,坦克个性化设定!$B$18:$BC$48,MATCH("装弹类型",坦克个性化设定!$B$18:$BC$18,0),FALSE)="弹夹换弹",0,ROUND(VLOOKUP($BJ135,$AI$3:$AO$33,MATCH("换弹时间",$AI$3:$AO$3,0),FALSE)-$BL135/VLOOKUP(VLOOKUP($BJ135,坦克个性化设定!$B$18:$E$48,4,FALSE)&amp;$BK135,坦克属性分配比例,MATCH("升星次数",坦克属性分配比例标头,0),FALSE)*VLOOKUP($BJ135,$AR$3:$AY$33,MATCH("换弹时间",$AR$3:$AY$3,0),FALSE),2))</f>
        <v>0</v>
      </c>
      <c r="BW135" s="2">
        <f>IF(VLOOKUP(BJ135,坦克个性化设定!$B$18:$BC$48,MATCH("装弹类型",坦克个性化设定!$B$18:$BC$18,0),FALSE)="弹夹换弹",ROUND(VLOOKUP($BJ135,$AI$3:$AO$33,MATCH("换弹时间",$AI$3:$AO$3,0),FALSE)-$BL135/VLOOKUP(VLOOKUP($BJ135,坦克个性化设定!$B$18:$E$48,4,FALSE)&amp;$BK135,坦克属性分配比例,MATCH("升星次数",坦克属性分配比例标头,0),FALSE)*VLOOKUP($BJ135,$AR$3:$AY$33,MATCH("换弹时间",$AR$3:$AY$3,0),FALSE),1),0)</f>
        <v>2.7</v>
      </c>
      <c r="BX135" s="2">
        <f>ROUND(VLOOKUP($BJ135,$AI$3:$AO$33,MATCH(BX$3,$AI$3:$AO$3,0),FALSE)+$BL135/VLOOKUP(VLOOKUP($BJ135,坦克个性化设定!$B$18:$E$48,4,FALSE)&amp;$BK135,坦克属性分配比例,MATCH("升星次数",坦克属性分配比例标头,0),FALSE)*VLOOKUP($BJ135,$AR$3:$AY$33,MATCH(BX$3,$AR$3:$AY$3,0),FALSE),2)</f>
        <v>0.53</v>
      </c>
      <c r="BY135" s="2">
        <f>ROUND(VLOOKUP($BJ135,$AI$3:$AO$33,MATCH(BY$3,$AI$3:$AO$3,0),FALSE)-$BL135/VLOOKUP(VLOOKUP($BJ135,坦克个性化设定!$B$18:$E$48,4,FALSE)&amp;$BK135,坦克属性分配比例,MATCH("升星次数",坦克属性分配比例标头,0),FALSE)*VLOOKUP($BJ135,$AR$3:$AY$33,MATCH(BY$3,$AR$3:$AY$3,0),FALSE),2)</f>
        <v>0.86</v>
      </c>
    </row>
    <row r="136" spans="60:77" x14ac:dyDescent="0.3">
      <c r="BH136" s="2" t="str">
        <f t="shared" si="27"/>
        <v>玛蒂尔达8</v>
      </c>
      <c r="BI136" s="2">
        <f>IF(BL135&gt;=VLOOKUP(VLOOKUP(BJ135,坦克个性化设定!$B$18:$E$48,4,FALSE)&amp;BK135,坦克属性分配比例,MATCH("升星次数",坦克属性分配比例标头,0),FALSE),BI135+1,BI135)</f>
        <v>14</v>
      </c>
      <c r="BJ136" s="2" t="str">
        <f t="shared" si="28"/>
        <v>玛蒂尔达</v>
      </c>
      <c r="BK136" s="29" t="str">
        <f>VLOOKUP(BJ136,坦克个性化细分!$I$3:$J$33,2,FALSE)</f>
        <v>低</v>
      </c>
      <c r="BL136" s="2">
        <f t="shared" si="26"/>
        <v>8</v>
      </c>
      <c r="BM136" s="103">
        <f ca="1">ROUND(VLOOKUP($BJ136&amp;"初始",$S$3:$AE$63,MATCH(BM$3,$S$3:$AE$3,0),FALSE)+((VLOOKUP($BJ136&amp;"最终",$S$3:$AE$63,MATCH(BM$3,$S$3:$AE$3,0),FALSE)*坦克个性化细分!$C$9-VLOOKUP($BJ136&amp;"初始",$S$3:$AE$63,MATCH(BM$3,$S$3:$AE$3,0),FALSE))-(VLOOKUP($BJ136&amp;"最终",$S$3:$AE$63,MATCH(BM$3,$S$3:$AE$3,0),FALSE)-VLOOKUP($BJ136&amp;"初始",$S$3:$AE$63,MATCH(BM$3,$S$3:$AE$3,0),FALSE))*VLOOKUP(VLOOKUP($BJ136,坦克个性化设定!$B$18:$E$48,4,FALSE)&amp;$BK136,坦克属性分配比例,MATCH("部件比例",坦克属性分配比例标头,0),FALSE))*$BL136/VLOOKUP(VLOOKUP($BJ136,坦克个性化设定!$B$18:$E$48,4,FALSE)&amp;$BK136,坦克属性分配比例,MATCH("升星次数",坦克属性分配比例标头,0),FALSE),0)</f>
        <v>1726</v>
      </c>
      <c r="BN136" s="103">
        <f ca="1">ROUND(VLOOKUP($BJ136&amp;"初始",$S$3:$AE$63,MATCH(BN$3,$S$3:$AE$3,0),FALSE)+(VLOOKUP($BJ136&amp;"最终",$S$3:$AE$63,MATCH(BN$3,$S$3:$AE$3,0),FALSE)-VLOOKUP($BJ136&amp;"初始",$S$3:$AE$63,MATCH(BN$3,$S$3:$AE$3,0),FALSE))*$BL136/VLOOKUP(VLOOKUP($BJ136,坦克个性化设定!$B$18:$E$48,4,FALSE)&amp;$BK136,坦克属性分配比例,MATCH("升星次数",坦克属性分配比例标头,0),FALSE)*VLOOKUP(VLOOKUP($BJ136,坦克个性化设定!$B$18:$E$48,4,FALSE)&amp;$BK136,坦克属性分配比例,MATCH("升星比例",坦克属性分配比例标头,0),FALSE),0)</f>
        <v>198</v>
      </c>
      <c r="BO136" s="103">
        <f ca="1">ROUND(VLOOKUP($BJ136&amp;"初始",$S$3:$AE$63,MATCH(BO$3,$S$3:$AE$3,0),FALSE)+(VLOOKUP($BJ136&amp;"最终",$S$3:$AE$63,MATCH(BO$3,$S$3:$AE$3,0),FALSE)-VLOOKUP($BJ136&amp;"初始",$S$3:$AE$63,MATCH(BO$3,$S$3:$AE$3,0),FALSE))*$BL136/VLOOKUP(VLOOKUP($BJ136,坦克个性化设定!$B$18:$E$48,4,FALSE)&amp;$BK136,坦克属性分配比例,MATCH("升星次数",坦克属性分配比例标头,0),FALSE)*(VLOOKUP(VLOOKUP($BJ136,坦克个性化设定!$B$18:$E$48,4,FALSE)&amp;$BK136,坦克属性分配比例,MATCH("升星比例",坦克属性分配比例标头,0),FALSE)+VLOOKUP(VLOOKUP($BJ136,坦克个性化设定!$B$18:$E$48,4,FALSE)&amp;$BK136,坦克属性分配比例,MATCH("部件比例",坦克属性分配比例标头,0),FALSE)*$C$3),0)</f>
        <v>655</v>
      </c>
      <c r="BP136" s="103">
        <f ca="1">ROUND(VLOOKUP($BJ136&amp;"初始",$S$3:$AE$63,MATCH(BP$3,$S$3:$AE$3,0),FALSE)+(VLOOKUP($BJ136&amp;"最终",$S$3:$AE$63,MATCH(BP$3,$S$3:$AE$3,0),FALSE)-VLOOKUP($BJ136&amp;"初始",$S$3:$AE$63,MATCH(BP$3,$S$3:$AE$3,0),FALSE))*$BL136/VLOOKUP(VLOOKUP($BJ136,坦克个性化设定!$B$18:$E$48,4,FALSE)&amp;$BK136,坦克属性分配比例,MATCH("升星次数",坦克属性分配比例标头,0),FALSE)*(VLOOKUP(VLOOKUP($BJ136,坦克个性化设定!$B$18:$E$48,4,FALSE)&amp;$BK136,坦克属性分配比例,MATCH("升星比例",坦克属性分配比例标头,0),FALSE)+VLOOKUP(VLOOKUP($BJ136,坦克个性化设定!$B$18:$E$48,4,FALSE)&amp;$BK136,坦克属性分配比例,MATCH("部件比例",坦克属性分配比例标头,0),FALSE)*$C$3),0)</f>
        <v>492</v>
      </c>
      <c r="BQ136" s="103">
        <f ca="1">ROUND(VLOOKUP($BJ136&amp;"初始",$S$3:$AE$63,MATCH(BQ$3,$S$3:$AE$3,0),FALSE)+(VLOOKUP($BJ136&amp;"最终",$S$3:$AE$63,MATCH(BQ$3,$S$3:$AE$3,0),FALSE)-VLOOKUP($BJ136&amp;"初始",$S$3:$AE$63,MATCH(BQ$3,$S$3:$AE$3,0),FALSE))*$BL136/VLOOKUP(VLOOKUP($BJ136,坦克个性化设定!$B$18:$E$48,4,FALSE)&amp;$BK136,坦克属性分配比例,MATCH("升星次数",坦克属性分配比例标头,0),FALSE)*VLOOKUP(VLOOKUP($BJ136,坦克个性化设定!$B$18:$E$48,4,FALSE)&amp;$BK136,坦克属性分配比例,MATCH("升星比例",坦克属性分配比例标头,0),FALSE),0)</f>
        <v>665</v>
      </c>
      <c r="BR136" s="2">
        <f ca="1">ROUND(VLOOKUP($BJ136&amp;"初始",$S$3:$AE$63,MATCH(BR$3,$S$3:$AE$3,0),FALSE)+(VLOOKUP($BJ136&amp;"最终",$S$3:$AE$63,MATCH(BR$3,$S$3:$AE$3,0),FALSE)-VLOOKUP($BJ136&amp;"初始",$S$3:$AE$63,MATCH(BR$3,$S$3:$AE$3,0),FALSE))*$BL136/VLOOKUP(VLOOKUP($BJ136,坦克个性化设定!$B$18:$E$48,4,FALSE)&amp;$BK136,坦克属性分配比例,MATCH("升星次数",坦克属性分配比例标头,0),FALSE),0)</f>
        <v>180</v>
      </c>
      <c r="BS136" s="2">
        <f>ROUND(VLOOKUP($BJ136,$AI$3:$AO$33,MATCH(BS$3,$AI$3:$AO$3,0),FALSE)+$BL136/VLOOKUP(VLOOKUP($BJ136,坦克个性化设定!$B$18:$E$48,4,FALSE)&amp;$BK136,坦克属性分配比例,MATCH("升星次数",坦克属性分配比例标头,0),FALSE)*VLOOKUP($BJ136,$AR$3:$AY$33,MATCH(BS$3,$AR$3:$AY$3,0),FALSE),1)</f>
        <v>54.4</v>
      </c>
      <c r="BT136" s="2">
        <f>ROUND(VLOOKUP($BJ136,$AI$3:$AO$33,MATCH(BT$3,$AI$3:$AO$3,0),FALSE)+$BL136/VLOOKUP(VLOOKUP($BJ136,坦克个性化设定!$B$18:$E$48,4,FALSE)&amp;$BK136,坦克属性分配比例,MATCH("升星次数",坦克属性分配比例标头,0),FALSE)*VLOOKUP($BJ136,$AR$3:$AY$33,MATCH(BT$3,$AR$3:$AY$3,0),FALSE),1)</f>
        <v>48.9</v>
      </c>
      <c r="BU136" s="2">
        <f>ROUND(VLOOKUP($BJ136,$AI$3:$AO$33,MATCH(BU$3,$AI$3:$AO$3,0),FALSE)+$BL136/VLOOKUP(VLOOKUP($BJ136,坦克个性化设定!$B$18:$E$48,4,FALSE)&amp;$BK136,坦克属性分配比例,MATCH("升星次数",坦克属性分配比例标头,0),FALSE)*VLOOKUP($BJ136,$AR$3:$AY$33,MATCH(BU$3,$AR$3:$AY$3,0),FALSE),1)</f>
        <v>8</v>
      </c>
      <c r="BV136" s="2">
        <f>IF(VLOOKUP(BJ136,坦克个性化设定!$B$18:$BC$48,MATCH("装弹类型",坦克个性化设定!$B$18:$BC$18,0),FALSE)="弹夹换弹",0,ROUND(VLOOKUP($BJ136,$AI$3:$AO$33,MATCH("换弹时间",$AI$3:$AO$3,0),FALSE)-$BL136/VLOOKUP(VLOOKUP($BJ136,坦克个性化设定!$B$18:$E$48,4,FALSE)&amp;$BK136,坦克属性分配比例,MATCH("升星次数",坦克属性分配比例标头,0),FALSE)*VLOOKUP($BJ136,$AR$3:$AY$33,MATCH("换弹时间",$AR$3:$AY$3,0),FALSE),2))</f>
        <v>0</v>
      </c>
      <c r="BW136" s="2">
        <f>IF(VLOOKUP(BJ136,坦克个性化设定!$B$18:$BC$48,MATCH("装弹类型",坦克个性化设定!$B$18:$BC$18,0),FALSE)="弹夹换弹",ROUND(VLOOKUP($BJ136,$AI$3:$AO$33,MATCH("换弹时间",$AI$3:$AO$3,0),FALSE)-$BL136/VLOOKUP(VLOOKUP($BJ136,坦克个性化设定!$B$18:$E$48,4,FALSE)&amp;$BK136,坦克属性分配比例,MATCH("升星次数",坦克属性分配比例标头,0),FALSE)*VLOOKUP($BJ136,$AR$3:$AY$33,MATCH("换弹时间",$AR$3:$AY$3,0),FALSE),1),0)</f>
        <v>2.7</v>
      </c>
      <c r="BX136" s="2">
        <f>ROUND(VLOOKUP($BJ136,$AI$3:$AO$33,MATCH(BX$3,$AI$3:$AO$3,0),FALSE)+$BL136/VLOOKUP(VLOOKUP($BJ136,坦克个性化设定!$B$18:$E$48,4,FALSE)&amp;$BK136,坦克属性分配比例,MATCH("升星次数",坦克属性分配比例标头,0),FALSE)*VLOOKUP($BJ136,$AR$3:$AY$33,MATCH(BX$3,$AR$3:$AY$3,0),FALSE),2)</f>
        <v>0.56000000000000005</v>
      </c>
      <c r="BY136" s="2">
        <f>ROUND(VLOOKUP($BJ136,$AI$3:$AO$33,MATCH(BY$3,$AI$3:$AO$3,0),FALSE)-$BL136/VLOOKUP(VLOOKUP($BJ136,坦克个性化设定!$B$18:$E$48,4,FALSE)&amp;$BK136,坦克属性分配比例,MATCH("升星次数",坦克属性分配比例标头,0),FALSE)*VLOOKUP($BJ136,$AR$3:$AY$33,MATCH(BY$3,$AR$3:$AY$3,0),FALSE),2)</f>
        <v>0.84</v>
      </c>
    </row>
    <row r="137" spans="60:77" x14ac:dyDescent="0.3">
      <c r="BH137" s="2" t="str">
        <f t="shared" si="27"/>
        <v>玛蒂尔达9</v>
      </c>
      <c r="BI137" s="2">
        <f>IF(BL136&gt;=VLOOKUP(VLOOKUP(BJ136,坦克个性化设定!$B$18:$E$48,4,FALSE)&amp;BK136,坦克属性分配比例,MATCH("升星次数",坦克属性分配比例标头,0),FALSE),BI136+1,BI136)</f>
        <v>14</v>
      </c>
      <c r="BJ137" s="2" t="str">
        <f t="shared" si="28"/>
        <v>玛蒂尔达</v>
      </c>
      <c r="BK137" s="29" t="str">
        <f>VLOOKUP(BJ137,坦克个性化细分!$I$3:$J$33,2,FALSE)</f>
        <v>低</v>
      </c>
      <c r="BL137" s="2">
        <f t="shared" si="26"/>
        <v>9</v>
      </c>
      <c r="BM137" s="103">
        <f ca="1">ROUND(VLOOKUP($BJ137&amp;"初始",$S$3:$AE$63,MATCH(BM$3,$S$3:$AE$3,0),FALSE)+((VLOOKUP($BJ137&amp;"最终",$S$3:$AE$63,MATCH(BM$3,$S$3:$AE$3,0),FALSE)*坦克个性化细分!$C$9-VLOOKUP($BJ137&amp;"初始",$S$3:$AE$63,MATCH(BM$3,$S$3:$AE$3,0),FALSE))-(VLOOKUP($BJ137&amp;"最终",$S$3:$AE$63,MATCH(BM$3,$S$3:$AE$3,0),FALSE)-VLOOKUP($BJ137&amp;"初始",$S$3:$AE$63,MATCH(BM$3,$S$3:$AE$3,0),FALSE))*VLOOKUP(VLOOKUP($BJ137,坦克个性化设定!$B$18:$E$48,4,FALSE)&amp;$BK137,坦克属性分配比例,MATCH("部件比例",坦克属性分配比例标头,0),FALSE))*$BL137/VLOOKUP(VLOOKUP($BJ137,坦克个性化设定!$B$18:$E$48,4,FALSE)&amp;$BK137,坦克属性分配比例,MATCH("升星次数",坦克属性分配比例标头,0),FALSE),0)</f>
        <v>1790</v>
      </c>
      <c r="BN137" s="103">
        <f ca="1">ROUND(VLOOKUP($BJ137&amp;"初始",$S$3:$AE$63,MATCH(BN$3,$S$3:$AE$3,0),FALSE)+(VLOOKUP($BJ137&amp;"最终",$S$3:$AE$63,MATCH(BN$3,$S$3:$AE$3,0),FALSE)-VLOOKUP($BJ137&amp;"初始",$S$3:$AE$63,MATCH(BN$3,$S$3:$AE$3,0),FALSE))*$BL137/VLOOKUP(VLOOKUP($BJ137,坦克个性化设定!$B$18:$E$48,4,FALSE)&amp;$BK137,坦克属性分配比例,MATCH("升星次数",坦克属性分配比例标头,0),FALSE)*VLOOKUP(VLOOKUP($BJ137,坦克个性化设定!$B$18:$E$48,4,FALSE)&amp;$BK137,坦克属性分配比例,MATCH("升星比例",坦克属性分配比例标头,0),FALSE),0)</f>
        <v>203</v>
      </c>
      <c r="BO137" s="103">
        <f ca="1">ROUND(VLOOKUP($BJ137&amp;"初始",$S$3:$AE$63,MATCH(BO$3,$S$3:$AE$3,0),FALSE)+(VLOOKUP($BJ137&amp;"最终",$S$3:$AE$63,MATCH(BO$3,$S$3:$AE$3,0),FALSE)-VLOOKUP($BJ137&amp;"初始",$S$3:$AE$63,MATCH(BO$3,$S$3:$AE$3,0),FALSE))*$BL137/VLOOKUP(VLOOKUP($BJ137,坦克个性化设定!$B$18:$E$48,4,FALSE)&amp;$BK137,坦克属性分配比例,MATCH("升星次数",坦克属性分配比例标头,0),FALSE)*(VLOOKUP(VLOOKUP($BJ137,坦克个性化设定!$B$18:$E$48,4,FALSE)&amp;$BK137,坦克属性分配比例,MATCH("升星比例",坦克属性分配比例标头,0),FALSE)+VLOOKUP(VLOOKUP($BJ137,坦克个性化设定!$B$18:$E$48,4,FALSE)&amp;$BK137,坦克属性分配比例,MATCH("部件比例",坦克属性分配比例标头,0),FALSE)*$C$3),0)</f>
        <v>677</v>
      </c>
      <c r="BP137" s="103">
        <f ca="1">ROUND(VLOOKUP($BJ137&amp;"初始",$S$3:$AE$63,MATCH(BP$3,$S$3:$AE$3,0),FALSE)+(VLOOKUP($BJ137&amp;"最终",$S$3:$AE$63,MATCH(BP$3,$S$3:$AE$3,0),FALSE)-VLOOKUP($BJ137&amp;"初始",$S$3:$AE$63,MATCH(BP$3,$S$3:$AE$3,0),FALSE))*$BL137/VLOOKUP(VLOOKUP($BJ137,坦克个性化设定!$B$18:$E$48,4,FALSE)&amp;$BK137,坦克属性分配比例,MATCH("升星次数",坦克属性分配比例标头,0),FALSE)*(VLOOKUP(VLOOKUP($BJ137,坦克个性化设定!$B$18:$E$48,4,FALSE)&amp;$BK137,坦克属性分配比例,MATCH("升星比例",坦克属性分配比例标头,0),FALSE)+VLOOKUP(VLOOKUP($BJ137,坦克个性化设定!$B$18:$E$48,4,FALSE)&amp;$BK137,坦克属性分配比例,MATCH("部件比例",坦克属性分配比例标头,0),FALSE)*$C$3),0)</f>
        <v>508</v>
      </c>
      <c r="BQ137" s="103">
        <f ca="1">ROUND(VLOOKUP($BJ137&amp;"初始",$S$3:$AE$63,MATCH(BQ$3,$S$3:$AE$3,0),FALSE)+(VLOOKUP($BJ137&amp;"最终",$S$3:$AE$63,MATCH(BQ$3,$S$3:$AE$3,0),FALSE)-VLOOKUP($BJ137&amp;"初始",$S$3:$AE$63,MATCH(BQ$3,$S$3:$AE$3,0),FALSE))*$BL137/VLOOKUP(VLOOKUP($BJ137,坦克个性化设定!$B$18:$E$48,4,FALSE)&amp;$BK137,坦克属性分配比例,MATCH("升星次数",坦克属性分配比例标头,0),FALSE)*VLOOKUP(VLOOKUP($BJ137,坦克个性化设定!$B$18:$E$48,4,FALSE)&amp;$BK137,坦克属性分配比例,MATCH("升星比例",坦克属性分配比例标头,0),FALSE),0)</f>
        <v>682</v>
      </c>
      <c r="BR137" s="2">
        <f ca="1">ROUND(VLOOKUP($BJ137&amp;"初始",$S$3:$AE$63,MATCH(BR$3,$S$3:$AE$3,0),FALSE)+(VLOOKUP($BJ137&amp;"最终",$S$3:$AE$63,MATCH(BR$3,$S$3:$AE$3,0),FALSE)-VLOOKUP($BJ137&amp;"初始",$S$3:$AE$63,MATCH(BR$3,$S$3:$AE$3,0),FALSE))*$BL137/VLOOKUP(VLOOKUP($BJ137,坦克个性化设定!$B$18:$E$48,4,FALSE)&amp;$BK137,坦克属性分配比例,MATCH("升星次数",坦克属性分配比例标头,0),FALSE),0)</f>
        <v>187</v>
      </c>
      <c r="BS137" s="2">
        <f>ROUND(VLOOKUP($BJ137,$AI$3:$AO$33,MATCH(BS$3,$AI$3:$AO$3,0),FALSE)+$BL137/VLOOKUP(VLOOKUP($BJ137,坦克个性化设定!$B$18:$E$48,4,FALSE)&amp;$BK137,坦克属性分配比例,MATCH("升星次数",坦克属性分配比例标头,0),FALSE)*VLOOKUP($BJ137,$AR$3:$AY$33,MATCH(BS$3,$AR$3:$AY$3,0),FALSE),1)</f>
        <v>55.6</v>
      </c>
      <c r="BT137" s="2">
        <f>ROUND(VLOOKUP($BJ137,$AI$3:$AO$33,MATCH(BT$3,$AI$3:$AO$3,0),FALSE)+$BL137/VLOOKUP(VLOOKUP($BJ137,坦克个性化设定!$B$18:$E$48,4,FALSE)&amp;$BK137,坦克属性分配比例,MATCH("升星次数",坦克属性分配比例标头,0),FALSE)*VLOOKUP($BJ137,$AR$3:$AY$33,MATCH(BT$3,$AR$3:$AY$3,0),FALSE),1)</f>
        <v>50</v>
      </c>
      <c r="BU137" s="2">
        <f>ROUND(VLOOKUP($BJ137,$AI$3:$AO$33,MATCH(BU$3,$AI$3:$AO$3,0),FALSE)+$BL137/VLOOKUP(VLOOKUP($BJ137,坦克个性化设定!$B$18:$E$48,4,FALSE)&amp;$BK137,坦克属性分配比例,MATCH("升星次数",坦克属性分配比例标头,0),FALSE)*VLOOKUP($BJ137,$AR$3:$AY$33,MATCH(BU$3,$AR$3:$AY$3,0),FALSE),1)</f>
        <v>8</v>
      </c>
      <c r="BV137" s="2">
        <f>IF(VLOOKUP(BJ137,坦克个性化设定!$B$18:$BC$48,MATCH("装弹类型",坦克个性化设定!$B$18:$BC$18,0),FALSE)="弹夹换弹",0,ROUND(VLOOKUP($BJ137,$AI$3:$AO$33,MATCH("换弹时间",$AI$3:$AO$3,0),FALSE)-$BL137/VLOOKUP(VLOOKUP($BJ137,坦克个性化设定!$B$18:$E$48,4,FALSE)&amp;$BK137,坦克属性分配比例,MATCH("升星次数",坦克属性分配比例标头,0),FALSE)*VLOOKUP($BJ137,$AR$3:$AY$33,MATCH("换弹时间",$AR$3:$AY$3,0),FALSE),2))</f>
        <v>0</v>
      </c>
      <c r="BW137" s="2">
        <f>IF(VLOOKUP(BJ137,坦克个性化设定!$B$18:$BC$48,MATCH("装弹类型",坦克个性化设定!$B$18:$BC$18,0),FALSE)="弹夹换弹",ROUND(VLOOKUP($BJ137,$AI$3:$AO$33,MATCH("换弹时间",$AI$3:$AO$3,0),FALSE)-$BL137/VLOOKUP(VLOOKUP($BJ137,坦克个性化设定!$B$18:$E$48,4,FALSE)&amp;$BK137,坦克属性分配比例,MATCH("升星次数",坦克属性分配比例标头,0),FALSE)*VLOOKUP($BJ137,$AR$3:$AY$33,MATCH("换弹时间",$AR$3:$AY$3,0),FALSE),1),0)</f>
        <v>2.6</v>
      </c>
      <c r="BX137" s="2">
        <f>ROUND(VLOOKUP($BJ137,$AI$3:$AO$33,MATCH(BX$3,$AI$3:$AO$3,0),FALSE)+$BL137/VLOOKUP(VLOOKUP($BJ137,坦克个性化设定!$B$18:$E$48,4,FALSE)&amp;$BK137,坦克属性分配比例,MATCH("升星次数",坦克属性分配比例标头,0),FALSE)*VLOOKUP($BJ137,$AR$3:$AY$33,MATCH(BX$3,$AR$3:$AY$3,0),FALSE),2)</f>
        <v>0.6</v>
      </c>
      <c r="BY137" s="2">
        <f>ROUND(VLOOKUP($BJ137,$AI$3:$AO$33,MATCH(BY$3,$AI$3:$AO$3,0),FALSE)-$BL137/VLOOKUP(VLOOKUP($BJ137,坦克个性化设定!$B$18:$E$48,4,FALSE)&amp;$BK137,坦克属性分配比例,MATCH("升星次数",坦克属性分配比例标头,0),FALSE)*VLOOKUP($BJ137,$AR$3:$AY$33,MATCH(BY$3,$AR$3:$AY$3,0),FALSE),2)</f>
        <v>0.83</v>
      </c>
    </row>
    <row r="138" spans="60:77" x14ac:dyDescent="0.3">
      <c r="BH138" s="2" t="str">
        <f t="shared" si="27"/>
        <v>谢尔曼0</v>
      </c>
      <c r="BI138" s="2">
        <f>IF(BL137&gt;=VLOOKUP(VLOOKUP(BJ137,坦克个性化设定!$B$18:$E$48,4,FALSE)&amp;BK137,坦克属性分配比例,MATCH("升星次数",坦克属性分配比例标头,0),FALSE),BI137+1,BI137)</f>
        <v>15</v>
      </c>
      <c r="BJ138" s="2" t="str">
        <f t="shared" si="28"/>
        <v>谢尔曼</v>
      </c>
      <c r="BK138" s="29" t="str">
        <f>VLOOKUP(BJ138,坦克个性化细分!$I$3:$J$33,2,FALSE)</f>
        <v>中</v>
      </c>
      <c r="BL138" s="2">
        <f t="shared" si="26"/>
        <v>0</v>
      </c>
      <c r="BM138" s="103">
        <f ca="1">ROUND(VLOOKUP($BJ138&amp;"初始",$S$3:$AE$63,MATCH(BM$3,$S$3:$AE$3,0),FALSE)+((VLOOKUP($BJ138&amp;"最终",$S$3:$AE$63,MATCH(BM$3,$S$3:$AE$3,0),FALSE)*坦克个性化细分!$C$9-VLOOKUP($BJ138&amp;"初始",$S$3:$AE$63,MATCH(BM$3,$S$3:$AE$3,0),FALSE))-(VLOOKUP($BJ138&amp;"最终",$S$3:$AE$63,MATCH(BM$3,$S$3:$AE$3,0),FALSE)-VLOOKUP($BJ138&amp;"初始",$S$3:$AE$63,MATCH(BM$3,$S$3:$AE$3,0),FALSE))*VLOOKUP(VLOOKUP($BJ138,坦克个性化设定!$B$18:$E$48,4,FALSE)&amp;$BK138,坦克属性分配比例,MATCH("部件比例",坦克属性分配比例标头,0),FALSE))*$BL138/VLOOKUP(VLOOKUP($BJ138,坦克个性化设定!$B$18:$E$48,4,FALSE)&amp;$BK138,坦克属性分配比例,MATCH("升星次数",坦克属性分配比例标头,0),FALSE),0)</f>
        <v>1299</v>
      </c>
      <c r="BN138" s="103">
        <f ca="1">ROUND(VLOOKUP($BJ138&amp;"初始",$S$3:$AE$63,MATCH(BN$3,$S$3:$AE$3,0),FALSE)+(VLOOKUP($BJ138&amp;"最终",$S$3:$AE$63,MATCH(BN$3,$S$3:$AE$3,0),FALSE)-VLOOKUP($BJ138&amp;"初始",$S$3:$AE$63,MATCH(BN$3,$S$3:$AE$3,0),FALSE))*$BL138/VLOOKUP(VLOOKUP($BJ138,坦克个性化设定!$B$18:$E$48,4,FALSE)&amp;$BK138,坦克属性分配比例,MATCH("升星次数",坦克属性分配比例标头,0),FALSE)*VLOOKUP(VLOOKUP($BJ138,坦克个性化设定!$B$18:$E$48,4,FALSE)&amp;$BK138,坦克属性分配比例,MATCH("升星比例",坦克属性分配比例标头,0),FALSE),0)</f>
        <v>164</v>
      </c>
      <c r="BO138" s="103">
        <f ca="1">ROUND(VLOOKUP($BJ138&amp;"初始",$S$3:$AE$63,MATCH(BO$3,$S$3:$AE$3,0),FALSE)+(VLOOKUP($BJ138&amp;"最终",$S$3:$AE$63,MATCH(BO$3,$S$3:$AE$3,0),FALSE)-VLOOKUP($BJ138&amp;"初始",$S$3:$AE$63,MATCH(BO$3,$S$3:$AE$3,0),FALSE))*$BL138/VLOOKUP(VLOOKUP($BJ138,坦克个性化设定!$B$18:$E$48,4,FALSE)&amp;$BK138,坦克属性分配比例,MATCH("升星次数",坦克属性分配比例标头,0),FALSE)*(VLOOKUP(VLOOKUP($BJ138,坦克个性化设定!$B$18:$E$48,4,FALSE)&amp;$BK138,坦克属性分配比例,MATCH("升星比例",坦克属性分配比例标头,0),FALSE)+VLOOKUP(VLOOKUP($BJ138,坦克个性化设定!$B$18:$E$48,4,FALSE)&amp;$BK138,坦克属性分配比例,MATCH("部件比例",坦克属性分配比例标头,0),FALSE)*$C$3),0)</f>
        <v>506</v>
      </c>
      <c r="BP138" s="103">
        <f ca="1">ROUND(VLOOKUP($BJ138&amp;"初始",$S$3:$AE$63,MATCH(BP$3,$S$3:$AE$3,0),FALSE)+(VLOOKUP($BJ138&amp;"最终",$S$3:$AE$63,MATCH(BP$3,$S$3:$AE$3,0),FALSE)-VLOOKUP($BJ138&amp;"初始",$S$3:$AE$63,MATCH(BP$3,$S$3:$AE$3,0),FALSE))*$BL138/VLOOKUP(VLOOKUP($BJ138,坦克个性化设定!$B$18:$E$48,4,FALSE)&amp;$BK138,坦克属性分配比例,MATCH("升星次数",坦克属性分配比例标头,0),FALSE)*(VLOOKUP(VLOOKUP($BJ138,坦克个性化设定!$B$18:$E$48,4,FALSE)&amp;$BK138,坦克属性分配比例,MATCH("升星比例",坦克属性分配比例标头,0),FALSE)+VLOOKUP(VLOOKUP($BJ138,坦克个性化设定!$B$18:$E$48,4,FALSE)&amp;$BK138,坦克属性分配比例,MATCH("部件比例",坦克属性分配比例标头,0),FALSE)*$C$3),0)</f>
        <v>380</v>
      </c>
      <c r="BQ138" s="103">
        <f ca="1">ROUND(VLOOKUP($BJ138&amp;"初始",$S$3:$AE$63,MATCH(BQ$3,$S$3:$AE$3,0),FALSE)+(VLOOKUP($BJ138&amp;"最终",$S$3:$AE$63,MATCH(BQ$3,$S$3:$AE$3,0),FALSE)-VLOOKUP($BJ138&amp;"初始",$S$3:$AE$63,MATCH(BQ$3,$S$3:$AE$3,0),FALSE))*$BL138/VLOOKUP(VLOOKUP($BJ138,坦克个性化设定!$B$18:$E$48,4,FALSE)&amp;$BK138,坦克属性分配比例,MATCH("升星次数",坦克属性分配比例标头,0),FALSE)*VLOOKUP(VLOOKUP($BJ138,坦克个性化设定!$B$18:$E$48,4,FALSE)&amp;$BK138,坦克属性分配比例,MATCH("升星比例",坦克属性分配比例标头,0),FALSE),0)</f>
        <v>554</v>
      </c>
      <c r="BR138" s="2">
        <f ca="1">ROUND(VLOOKUP($BJ138&amp;"初始",$S$3:$AE$63,MATCH(BR$3,$S$3:$AE$3,0),FALSE)+(VLOOKUP($BJ138&amp;"最终",$S$3:$AE$63,MATCH(BR$3,$S$3:$AE$3,0),FALSE)-VLOOKUP($BJ138&amp;"初始",$S$3:$AE$63,MATCH(BR$3,$S$3:$AE$3,0),FALSE))*$BL138/VLOOKUP(VLOOKUP($BJ138,坦克个性化设定!$B$18:$E$48,4,FALSE)&amp;$BK138,坦克属性分配比例,MATCH("升星次数",坦克属性分配比例标头,0),FALSE),0)</f>
        <v>133</v>
      </c>
      <c r="BS138" s="2">
        <f>ROUND(VLOOKUP($BJ138,$AI$3:$AO$33,MATCH(BS$3,$AI$3:$AO$3,0),FALSE)+$BL138/VLOOKUP(VLOOKUP($BJ138,坦克个性化设定!$B$18:$E$48,4,FALSE)&amp;$BK138,坦克属性分配比例,MATCH("升星次数",坦克属性分配比例标头,0),FALSE)*VLOOKUP($BJ138,$AR$3:$AY$33,MATCH(BS$3,$AR$3:$AY$3,0),FALSE),1)</f>
        <v>36.299999999999997</v>
      </c>
      <c r="BT138" s="2">
        <f>ROUND(VLOOKUP($BJ138,$AI$3:$AO$33,MATCH(BT$3,$AI$3:$AO$3,0),FALSE)+$BL138/VLOOKUP(VLOOKUP($BJ138,坦克个性化设定!$B$18:$E$48,4,FALSE)&amp;$BK138,坦克属性分配比例,MATCH("升星次数",坦克属性分配比例标头,0),FALSE)*VLOOKUP($BJ138,$AR$3:$AY$33,MATCH(BT$3,$AR$3:$AY$3,0),FALSE),1)</f>
        <v>51</v>
      </c>
      <c r="BU138" s="2">
        <f>ROUND(VLOOKUP($BJ138,$AI$3:$AO$33,MATCH(BU$3,$AI$3:$AO$3,0),FALSE)+$BL138/VLOOKUP(VLOOKUP($BJ138,坦克个性化设定!$B$18:$E$48,4,FALSE)&amp;$BK138,坦克属性分配比例,MATCH("升星次数",坦克属性分配比例标头,0),FALSE)*VLOOKUP($BJ138,$AR$3:$AY$33,MATCH(BU$3,$AR$3:$AY$3,0),FALSE),1)</f>
        <v>7.3</v>
      </c>
      <c r="BV138" s="2">
        <f>IF(VLOOKUP(BJ138,坦克个性化设定!$B$18:$BC$48,MATCH("装弹类型",坦克个性化设定!$B$18:$BC$18,0),FALSE)="弹夹换弹",0,ROUND(VLOOKUP($BJ138,$AI$3:$AO$33,MATCH("换弹时间",$AI$3:$AO$3,0),FALSE)-$BL138/VLOOKUP(VLOOKUP($BJ138,坦克个性化设定!$B$18:$E$48,4,FALSE)&amp;$BK138,坦克属性分配比例,MATCH("升星次数",坦克属性分配比例标头,0),FALSE)*VLOOKUP($BJ138,$AR$3:$AY$33,MATCH("换弹时间",$AR$3:$AY$3,0),FALSE),2))</f>
        <v>2.4</v>
      </c>
      <c r="BW138" s="2">
        <f>IF(VLOOKUP(BJ138,坦克个性化设定!$B$18:$BC$48,MATCH("装弹类型",坦克个性化设定!$B$18:$BC$18,0),FALSE)="弹夹换弹",ROUND(VLOOKUP($BJ138,$AI$3:$AO$33,MATCH("换弹时间",$AI$3:$AO$3,0),FALSE)-$BL138/VLOOKUP(VLOOKUP($BJ138,坦克个性化设定!$B$18:$E$48,4,FALSE)&amp;$BK138,坦克属性分配比例,MATCH("升星次数",坦克属性分配比例标头,0),FALSE)*VLOOKUP($BJ138,$AR$3:$AY$33,MATCH("换弹时间",$AR$3:$AY$3,0),FALSE),1),0)</f>
        <v>0</v>
      </c>
      <c r="BX138" s="2">
        <f>ROUND(VLOOKUP($BJ138,$AI$3:$AO$33,MATCH(BX$3,$AI$3:$AO$3,0),FALSE)+$BL138/VLOOKUP(VLOOKUP($BJ138,坦克个性化设定!$B$18:$E$48,4,FALSE)&amp;$BK138,坦克属性分配比例,MATCH("升星次数",坦克属性分配比例标头,0),FALSE)*VLOOKUP($BJ138,$AR$3:$AY$33,MATCH(BX$3,$AR$3:$AY$3,0),FALSE),2)</f>
        <v>0.4</v>
      </c>
      <c r="BY138" s="2">
        <f>ROUND(VLOOKUP($BJ138,$AI$3:$AO$33,MATCH(BY$3,$AI$3:$AO$3,0),FALSE)-$BL138/VLOOKUP(VLOOKUP($BJ138,坦克个性化设定!$B$18:$E$48,4,FALSE)&amp;$BK138,坦克属性分配比例,MATCH("升星次数",坦克属性分配比例标头,0),FALSE)*VLOOKUP($BJ138,$AR$3:$AY$33,MATCH(BY$3,$AR$3:$AY$3,0),FALSE),2)</f>
        <v>1.4</v>
      </c>
    </row>
    <row r="139" spans="60:77" x14ac:dyDescent="0.3">
      <c r="BH139" s="2" t="str">
        <f t="shared" si="27"/>
        <v>谢尔曼1</v>
      </c>
      <c r="BI139" s="2">
        <f>IF(BL138&gt;=VLOOKUP(VLOOKUP(BJ138,坦克个性化设定!$B$18:$E$48,4,FALSE)&amp;BK138,坦克属性分配比例,MATCH("升星次数",坦克属性分配比例标头,0),FALSE),BI138+1,BI138)</f>
        <v>15</v>
      </c>
      <c r="BJ139" s="2" t="str">
        <f t="shared" si="28"/>
        <v>谢尔曼</v>
      </c>
      <c r="BK139" s="29" t="str">
        <f>VLOOKUP(BJ139,坦克个性化细分!$I$3:$J$33,2,FALSE)</f>
        <v>中</v>
      </c>
      <c r="BL139" s="2">
        <f t="shared" si="26"/>
        <v>1</v>
      </c>
      <c r="BM139" s="103">
        <f ca="1">ROUND(VLOOKUP($BJ139&amp;"初始",$S$3:$AE$63,MATCH(BM$3,$S$3:$AE$3,0),FALSE)+((VLOOKUP($BJ139&amp;"最终",$S$3:$AE$63,MATCH(BM$3,$S$3:$AE$3,0),FALSE)*坦克个性化细分!$C$9-VLOOKUP($BJ139&amp;"初始",$S$3:$AE$63,MATCH(BM$3,$S$3:$AE$3,0),FALSE))-(VLOOKUP($BJ139&amp;"最终",$S$3:$AE$63,MATCH(BM$3,$S$3:$AE$3,0),FALSE)-VLOOKUP($BJ139&amp;"初始",$S$3:$AE$63,MATCH(BM$3,$S$3:$AE$3,0),FALSE))*VLOOKUP(VLOOKUP($BJ139,坦克个性化设定!$B$18:$E$48,4,FALSE)&amp;$BK139,坦克属性分配比例,MATCH("部件比例",坦克属性分配比例标头,0),FALSE))*$BL139/VLOOKUP(VLOOKUP($BJ139,坦克个性化设定!$B$18:$E$48,4,FALSE)&amp;$BK139,坦克属性分配比例,MATCH("升星次数",坦克属性分配比例标头,0),FALSE),0)</f>
        <v>1372</v>
      </c>
      <c r="BN139" s="103">
        <f ca="1">ROUND(VLOOKUP($BJ139&amp;"初始",$S$3:$AE$63,MATCH(BN$3,$S$3:$AE$3,0),FALSE)+(VLOOKUP($BJ139&amp;"最终",$S$3:$AE$63,MATCH(BN$3,$S$3:$AE$3,0),FALSE)-VLOOKUP($BJ139&amp;"初始",$S$3:$AE$63,MATCH(BN$3,$S$3:$AE$3,0),FALSE))*$BL139/VLOOKUP(VLOOKUP($BJ139,坦克个性化设定!$B$18:$E$48,4,FALSE)&amp;$BK139,坦克属性分配比例,MATCH("升星次数",坦克属性分配比例标头,0),FALSE)*VLOOKUP(VLOOKUP($BJ139,坦克个性化设定!$B$18:$E$48,4,FALSE)&amp;$BK139,坦克属性分配比例,MATCH("升星比例",坦克属性分配比例标头,0),FALSE),0)</f>
        <v>169</v>
      </c>
      <c r="BO139" s="103">
        <f ca="1">ROUND(VLOOKUP($BJ139&amp;"初始",$S$3:$AE$63,MATCH(BO$3,$S$3:$AE$3,0),FALSE)+(VLOOKUP($BJ139&amp;"最终",$S$3:$AE$63,MATCH(BO$3,$S$3:$AE$3,0),FALSE)-VLOOKUP($BJ139&amp;"初始",$S$3:$AE$63,MATCH(BO$3,$S$3:$AE$3,0),FALSE))*$BL139/VLOOKUP(VLOOKUP($BJ139,坦克个性化设定!$B$18:$E$48,4,FALSE)&amp;$BK139,坦克属性分配比例,MATCH("升星次数",坦克属性分配比例标头,0),FALSE)*(VLOOKUP(VLOOKUP($BJ139,坦克个性化设定!$B$18:$E$48,4,FALSE)&amp;$BK139,坦克属性分配比例,MATCH("升星比例",坦克属性分配比例标头,0),FALSE)+VLOOKUP(VLOOKUP($BJ139,坦克个性化设定!$B$18:$E$48,4,FALSE)&amp;$BK139,坦克属性分配比例,MATCH("部件比例",坦克属性分配比例标头,0),FALSE)*$C$3),0)</f>
        <v>529</v>
      </c>
      <c r="BP139" s="103">
        <f ca="1">ROUND(VLOOKUP($BJ139&amp;"初始",$S$3:$AE$63,MATCH(BP$3,$S$3:$AE$3,0),FALSE)+(VLOOKUP($BJ139&amp;"最终",$S$3:$AE$63,MATCH(BP$3,$S$3:$AE$3,0),FALSE)-VLOOKUP($BJ139&amp;"初始",$S$3:$AE$63,MATCH(BP$3,$S$3:$AE$3,0),FALSE))*$BL139/VLOOKUP(VLOOKUP($BJ139,坦克个性化设定!$B$18:$E$48,4,FALSE)&amp;$BK139,坦克属性分配比例,MATCH("升星次数",坦克属性分配比例标头,0),FALSE)*(VLOOKUP(VLOOKUP($BJ139,坦克个性化设定!$B$18:$E$48,4,FALSE)&amp;$BK139,坦克属性分配比例,MATCH("升星比例",坦克属性分配比例标头,0),FALSE)+VLOOKUP(VLOOKUP($BJ139,坦克个性化设定!$B$18:$E$48,4,FALSE)&amp;$BK139,坦克属性分配比例,MATCH("部件比例",坦克属性分配比例标头,0),FALSE)*$C$3),0)</f>
        <v>397</v>
      </c>
      <c r="BQ139" s="103">
        <f ca="1">ROUND(VLOOKUP($BJ139&amp;"初始",$S$3:$AE$63,MATCH(BQ$3,$S$3:$AE$3,0),FALSE)+(VLOOKUP($BJ139&amp;"最终",$S$3:$AE$63,MATCH(BQ$3,$S$3:$AE$3,0),FALSE)-VLOOKUP($BJ139&amp;"初始",$S$3:$AE$63,MATCH(BQ$3,$S$3:$AE$3,0),FALSE))*$BL139/VLOOKUP(VLOOKUP($BJ139,坦克个性化设定!$B$18:$E$48,4,FALSE)&amp;$BK139,坦克属性分配比例,MATCH("升星次数",坦克属性分配比例标头,0),FALSE)*VLOOKUP(VLOOKUP($BJ139,坦克个性化设定!$B$18:$E$48,4,FALSE)&amp;$BK139,坦克属性分配比例,MATCH("升星比例",坦克属性分配比例标头,0),FALSE),0)</f>
        <v>572</v>
      </c>
      <c r="BR139" s="2">
        <f ca="1">ROUND(VLOOKUP($BJ139&amp;"初始",$S$3:$AE$63,MATCH(BR$3,$S$3:$AE$3,0),FALSE)+(VLOOKUP($BJ139&amp;"最终",$S$3:$AE$63,MATCH(BR$3,$S$3:$AE$3,0),FALSE)-VLOOKUP($BJ139&amp;"初始",$S$3:$AE$63,MATCH(BR$3,$S$3:$AE$3,0),FALSE))*$BL139/VLOOKUP(VLOOKUP($BJ139,坦克个性化设定!$B$18:$E$48,4,FALSE)&amp;$BK139,坦克属性分配比例,MATCH("升星次数",坦克属性分配比例标头,0),FALSE),0)</f>
        <v>140</v>
      </c>
      <c r="BS139" s="2">
        <f>ROUND(VLOOKUP($BJ139,$AI$3:$AO$33,MATCH(BS$3,$AI$3:$AO$3,0),FALSE)+$BL139/VLOOKUP(VLOOKUP($BJ139,坦克个性化设定!$B$18:$E$48,4,FALSE)&amp;$BK139,坦克属性分配比例,MATCH("升星次数",坦克属性分配比例标头,0),FALSE)*VLOOKUP($BJ139,$AR$3:$AY$33,MATCH(BS$3,$AR$3:$AY$3,0),FALSE),1)</f>
        <v>37.299999999999997</v>
      </c>
      <c r="BT139" s="2">
        <f>ROUND(VLOOKUP($BJ139,$AI$3:$AO$33,MATCH(BT$3,$AI$3:$AO$3,0),FALSE)+$BL139/VLOOKUP(VLOOKUP($BJ139,坦克个性化设定!$B$18:$E$48,4,FALSE)&amp;$BK139,坦克属性分配比例,MATCH("升星次数",坦克属性分配比例标头,0),FALSE)*VLOOKUP($BJ139,$AR$3:$AY$33,MATCH(BT$3,$AR$3:$AY$3,0),FALSE),1)</f>
        <v>52.4</v>
      </c>
      <c r="BU139" s="2">
        <f>ROUND(VLOOKUP($BJ139,$AI$3:$AO$33,MATCH(BU$3,$AI$3:$AO$3,0),FALSE)+$BL139/VLOOKUP(VLOOKUP($BJ139,坦克个性化设定!$B$18:$E$48,4,FALSE)&amp;$BK139,坦克属性分配比例,MATCH("升星次数",坦克属性分配比例标头,0),FALSE)*VLOOKUP($BJ139,$AR$3:$AY$33,MATCH(BU$3,$AR$3:$AY$3,0),FALSE),1)</f>
        <v>7.3</v>
      </c>
      <c r="BV139" s="2">
        <f>IF(VLOOKUP(BJ139,坦克个性化设定!$B$18:$BC$48,MATCH("装弹类型",坦克个性化设定!$B$18:$BC$18,0),FALSE)="弹夹换弹",0,ROUND(VLOOKUP($BJ139,$AI$3:$AO$33,MATCH("换弹时间",$AI$3:$AO$3,0),FALSE)-$BL139/VLOOKUP(VLOOKUP($BJ139,坦克个性化设定!$B$18:$E$48,4,FALSE)&amp;$BK139,坦克属性分配比例,MATCH("升星次数",坦克属性分配比例标头,0),FALSE)*VLOOKUP($BJ139,$AR$3:$AY$33,MATCH("换弹时间",$AR$3:$AY$3,0),FALSE),2))</f>
        <v>2.36</v>
      </c>
      <c r="BW139" s="2">
        <f>IF(VLOOKUP(BJ139,坦克个性化设定!$B$18:$BC$48,MATCH("装弹类型",坦克个性化设定!$B$18:$BC$18,0),FALSE)="弹夹换弹",ROUND(VLOOKUP($BJ139,$AI$3:$AO$33,MATCH("换弹时间",$AI$3:$AO$3,0),FALSE)-$BL139/VLOOKUP(VLOOKUP($BJ139,坦克个性化设定!$B$18:$E$48,4,FALSE)&amp;$BK139,坦克属性分配比例,MATCH("升星次数",坦克属性分配比例标头,0),FALSE)*VLOOKUP($BJ139,$AR$3:$AY$33,MATCH("换弹时间",$AR$3:$AY$3,0),FALSE),1),0)</f>
        <v>0</v>
      </c>
      <c r="BX139" s="2">
        <f>ROUND(VLOOKUP($BJ139,$AI$3:$AO$33,MATCH(BX$3,$AI$3:$AO$3,0),FALSE)+$BL139/VLOOKUP(VLOOKUP($BJ139,坦克个性化设定!$B$18:$E$48,4,FALSE)&amp;$BK139,坦克属性分配比例,MATCH("升星次数",坦克属性分配比例标头,0),FALSE)*VLOOKUP($BJ139,$AR$3:$AY$33,MATCH(BX$3,$AR$3:$AY$3,0),FALSE),2)</f>
        <v>0.4</v>
      </c>
      <c r="BY139" s="2">
        <f>ROUND(VLOOKUP($BJ139,$AI$3:$AO$33,MATCH(BY$3,$AI$3:$AO$3,0),FALSE)-$BL139/VLOOKUP(VLOOKUP($BJ139,坦克个性化设定!$B$18:$E$48,4,FALSE)&amp;$BK139,坦克属性分配比例,MATCH("升星次数",坦克属性分配比例标头,0),FALSE)*VLOOKUP($BJ139,$AR$3:$AY$33,MATCH(BY$3,$AR$3:$AY$3,0),FALSE),2)</f>
        <v>1.37</v>
      </c>
    </row>
    <row r="140" spans="60:77" x14ac:dyDescent="0.3">
      <c r="BH140" s="2" t="str">
        <f t="shared" si="27"/>
        <v>谢尔曼2</v>
      </c>
      <c r="BI140" s="2">
        <f>IF(BL139&gt;=VLOOKUP(VLOOKUP(BJ139,坦克个性化设定!$B$18:$E$48,4,FALSE)&amp;BK139,坦克属性分配比例,MATCH("升星次数",坦克属性分配比例标头,0),FALSE),BI139+1,BI139)</f>
        <v>15</v>
      </c>
      <c r="BJ140" s="2" t="str">
        <f t="shared" si="28"/>
        <v>谢尔曼</v>
      </c>
      <c r="BK140" s="29" t="str">
        <f>VLOOKUP(BJ140,坦克个性化细分!$I$3:$J$33,2,FALSE)</f>
        <v>中</v>
      </c>
      <c r="BL140" s="2">
        <f t="shared" si="26"/>
        <v>2</v>
      </c>
      <c r="BM140" s="103">
        <f ca="1">ROUND(VLOOKUP($BJ140&amp;"初始",$S$3:$AE$63,MATCH(BM$3,$S$3:$AE$3,0),FALSE)+((VLOOKUP($BJ140&amp;"最终",$S$3:$AE$63,MATCH(BM$3,$S$3:$AE$3,0),FALSE)*坦克个性化细分!$C$9-VLOOKUP($BJ140&amp;"初始",$S$3:$AE$63,MATCH(BM$3,$S$3:$AE$3,0),FALSE))-(VLOOKUP($BJ140&amp;"最终",$S$3:$AE$63,MATCH(BM$3,$S$3:$AE$3,0),FALSE)-VLOOKUP($BJ140&amp;"初始",$S$3:$AE$63,MATCH(BM$3,$S$3:$AE$3,0),FALSE))*VLOOKUP(VLOOKUP($BJ140,坦克个性化设定!$B$18:$E$48,4,FALSE)&amp;$BK140,坦克属性分配比例,MATCH("部件比例",坦克属性分配比例标头,0),FALSE))*$BL140/VLOOKUP(VLOOKUP($BJ140,坦克个性化设定!$B$18:$E$48,4,FALSE)&amp;$BK140,坦克属性分配比例,MATCH("升星次数",坦克属性分配比例标头,0),FALSE),0)</f>
        <v>1446</v>
      </c>
      <c r="BN140" s="103">
        <f ca="1">ROUND(VLOOKUP($BJ140&amp;"初始",$S$3:$AE$63,MATCH(BN$3,$S$3:$AE$3,0),FALSE)+(VLOOKUP($BJ140&amp;"最终",$S$3:$AE$63,MATCH(BN$3,$S$3:$AE$3,0),FALSE)-VLOOKUP($BJ140&amp;"初始",$S$3:$AE$63,MATCH(BN$3,$S$3:$AE$3,0),FALSE))*$BL140/VLOOKUP(VLOOKUP($BJ140,坦克个性化设定!$B$18:$E$48,4,FALSE)&amp;$BK140,坦克属性分配比例,MATCH("升星次数",坦克属性分配比例标头,0),FALSE)*VLOOKUP(VLOOKUP($BJ140,坦克个性化设定!$B$18:$E$48,4,FALSE)&amp;$BK140,坦克属性分配比例,MATCH("升星比例",坦克属性分配比例标头,0),FALSE),0)</f>
        <v>174</v>
      </c>
      <c r="BO140" s="103">
        <f ca="1">ROUND(VLOOKUP($BJ140&amp;"初始",$S$3:$AE$63,MATCH(BO$3,$S$3:$AE$3,0),FALSE)+(VLOOKUP($BJ140&amp;"最终",$S$3:$AE$63,MATCH(BO$3,$S$3:$AE$3,0),FALSE)-VLOOKUP($BJ140&amp;"初始",$S$3:$AE$63,MATCH(BO$3,$S$3:$AE$3,0),FALSE))*$BL140/VLOOKUP(VLOOKUP($BJ140,坦克个性化设定!$B$18:$E$48,4,FALSE)&amp;$BK140,坦克属性分配比例,MATCH("升星次数",坦克属性分配比例标头,0),FALSE)*(VLOOKUP(VLOOKUP($BJ140,坦克个性化设定!$B$18:$E$48,4,FALSE)&amp;$BK140,坦克属性分配比例,MATCH("升星比例",坦克属性分配比例标头,0),FALSE)+VLOOKUP(VLOOKUP($BJ140,坦克个性化设定!$B$18:$E$48,4,FALSE)&amp;$BK140,坦克属性分配比例,MATCH("部件比例",坦克属性分配比例标头,0),FALSE)*$C$3),0)</f>
        <v>551</v>
      </c>
      <c r="BP140" s="103">
        <f ca="1">ROUND(VLOOKUP($BJ140&amp;"初始",$S$3:$AE$63,MATCH(BP$3,$S$3:$AE$3,0),FALSE)+(VLOOKUP($BJ140&amp;"最终",$S$3:$AE$63,MATCH(BP$3,$S$3:$AE$3,0),FALSE)-VLOOKUP($BJ140&amp;"初始",$S$3:$AE$63,MATCH(BP$3,$S$3:$AE$3,0),FALSE))*$BL140/VLOOKUP(VLOOKUP($BJ140,坦克个性化设定!$B$18:$E$48,4,FALSE)&amp;$BK140,坦克属性分配比例,MATCH("升星次数",坦克属性分配比例标头,0),FALSE)*(VLOOKUP(VLOOKUP($BJ140,坦克个性化设定!$B$18:$E$48,4,FALSE)&amp;$BK140,坦克属性分配比例,MATCH("升星比例",坦克属性分配比例标头,0),FALSE)+VLOOKUP(VLOOKUP($BJ140,坦克个性化设定!$B$18:$E$48,4,FALSE)&amp;$BK140,坦克属性分配比例,MATCH("部件比例",坦克属性分配比例标头,0),FALSE)*$C$3),0)</f>
        <v>414</v>
      </c>
      <c r="BQ140" s="103">
        <f ca="1">ROUND(VLOOKUP($BJ140&amp;"初始",$S$3:$AE$63,MATCH(BQ$3,$S$3:$AE$3,0),FALSE)+(VLOOKUP($BJ140&amp;"最终",$S$3:$AE$63,MATCH(BQ$3,$S$3:$AE$3,0),FALSE)-VLOOKUP($BJ140&amp;"初始",$S$3:$AE$63,MATCH(BQ$3,$S$3:$AE$3,0),FALSE))*$BL140/VLOOKUP(VLOOKUP($BJ140,坦克个性化设定!$B$18:$E$48,4,FALSE)&amp;$BK140,坦克属性分配比例,MATCH("升星次数",坦克属性分配比例标头,0),FALSE)*VLOOKUP(VLOOKUP($BJ140,坦克个性化设定!$B$18:$E$48,4,FALSE)&amp;$BK140,坦克属性分配比例,MATCH("升星比例",坦克属性分配比例标头,0),FALSE),0)</f>
        <v>590</v>
      </c>
      <c r="BR140" s="2">
        <f ca="1">ROUND(VLOOKUP($BJ140&amp;"初始",$S$3:$AE$63,MATCH(BR$3,$S$3:$AE$3,0),FALSE)+(VLOOKUP($BJ140&amp;"最终",$S$3:$AE$63,MATCH(BR$3,$S$3:$AE$3,0),FALSE)-VLOOKUP($BJ140&amp;"初始",$S$3:$AE$63,MATCH(BR$3,$S$3:$AE$3,0),FALSE))*$BL140/VLOOKUP(VLOOKUP($BJ140,坦克个性化设定!$B$18:$E$48,4,FALSE)&amp;$BK140,坦克属性分配比例,MATCH("升星次数",坦克属性分配比例标头,0),FALSE),0)</f>
        <v>147</v>
      </c>
      <c r="BS140" s="2">
        <f>ROUND(VLOOKUP($BJ140,$AI$3:$AO$33,MATCH(BS$3,$AI$3:$AO$3,0),FALSE)+$BL140/VLOOKUP(VLOOKUP($BJ140,坦克个性化设定!$B$18:$E$48,4,FALSE)&amp;$BK140,坦克属性分配比例,MATCH("升星次数",坦克属性分配比例标头,0),FALSE)*VLOOKUP($BJ140,$AR$3:$AY$33,MATCH(BS$3,$AR$3:$AY$3,0),FALSE),1)</f>
        <v>38.299999999999997</v>
      </c>
      <c r="BT140" s="2">
        <f>ROUND(VLOOKUP($BJ140,$AI$3:$AO$33,MATCH(BT$3,$AI$3:$AO$3,0),FALSE)+$BL140/VLOOKUP(VLOOKUP($BJ140,坦克个性化设定!$B$18:$E$48,4,FALSE)&amp;$BK140,坦克属性分配比例,MATCH("升星次数",坦克属性分配比例标头,0),FALSE)*VLOOKUP($BJ140,$AR$3:$AY$33,MATCH(BT$3,$AR$3:$AY$3,0),FALSE),1)</f>
        <v>53.8</v>
      </c>
      <c r="BU140" s="2">
        <f>ROUND(VLOOKUP($BJ140,$AI$3:$AO$33,MATCH(BU$3,$AI$3:$AO$3,0),FALSE)+$BL140/VLOOKUP(VLOOKUP($BJ140,坦克个性化设定!$B$18:$E$48,4,FALSE)&amp;$BK140,坦克属性分配比例,MATCH("升星次数",坦克属性分配比例标头,0),FALSE)*VLOOKUP($BJ140,$AR$3:$AY$33,MATCH(BU$3,$AR$3:$AY$3,0),FALSE),1)</f>
        <v>7.3</v>
      </c>
      <c r="BV140" s="2">
        <f>IF(VLOOKUP(BJ140,坦克个性化设定!$B$18:$BC$48,MATCH("装弹类型",坦克个性化设定!$B$18:$BC$18,0),FALSE)="弹夹换弹",0,ROUND(VLOOKUP($BJ140,$AI$3:$AO$33,MATCH("换弹时间",$AI$3:$AO$3,0),FALSE)-$BL140/VLOOKUP(VLOOKUP($BJ140,坦克个性化设定!$B$18:$E$48,4,FALSE)&amp;$BK140,坦克属性分配比例,MATCH("升星次数",坦克属性分配比例标头,0),FALSE)*VLOOKUP($BJ140,$AR$3:$AY$33,MATCH("换弹时间",$AR$3:$AY$3,0),FALSE),2))</f>
        <v>2.3199999999999998</v>
      </c>
      <c r="BW140" s="2">
        <f>IF(VLOOKUP(BJ140,坦克个性化设定!$B$18:$BC$48,MATCH("装弹类型",坦克个性化设定!$B$18:$BC$18,0),FALSE)="弹夹换弹",ROUND(VLOOKUP($BJ140,$AI$3:$AO$33,MATCH("换弹时间",$AI$3:$AO$3,0),FALSE)-$BL140/VLOOKUP(VLOOKUP($BJ140,坦克个性化设定!$B$18:$E$48,4,FALSE)&amp;$BK140,坦克属性分配比例,MATCH("升星次数",坦克属性分配比例标头,0),FALSE)*VLOOKUP($BJ140,$AR$3:$AY$33,MATCH("换弹时间",$AR$3:$AY$3,0),FALSE),1),0)</f>
        <v>0</v>
      </c>
      <c r="BX140" s="2">
        <f>ROUND(VLOOKUP($BJ140,$AI$3:$AO$33,MATCH(BX$3,$AI$3:$AO$3,0),FALSE)+$BL140/VLOOKUP(VLOOKUP($BJ140,坦克个性化设定!$B$18:$E$48,4,FALSE)&amp;$BK140,坦克属性分配比例,MATCH("升星次数",坦克属性分配比例标头,0),FALSE)*VLOOKUP($BJ140,$AR$3:$AY$33,MATCH(BX$3,$AR$3:$AY$3,0),FALSE),2)</f>
        <v>0.4</v>
      </c>
      <c r="BY140" s="2">
        <f>ROUND(VLOOKUP($BJ140,$AI$3:$AO$33,MATCH(BY$3,$AI$3:$AO$3,0),FALSE)-$BL140/VLOOKUP(VLOOKUP($BJ140,坦克个性化设定!$B$18:$E$48,4,FALSE)&amp;$BK140,坦克属性分配比例,MATCH("升星次数",坦克属性分配比例标头,0),FALSE)*VLOOKUP($BJ140,$AR$3:$AY$33,MATCH(BY$3,$AR$3:$AY$3,0),FALSE),2)</f>
        <v>1.35</v>
      </c>
    </row>
    <row r="141" spans="60:77" x14ac:dyDescent="0.3">
      <c r="BH141" s="2" t="str">
        <f t="shared" si="27"/>
        <v>谢尔曼3</v>
      </c>
      <c r="BI141" s="2">
        <f>IF(BL140&gt;=VLOOKUP(VLOOKUP(BJ140,坦克个性化设定!$B$18:$E$48,4,FALSE)&amp;BK140,坦克属性分配比例,MATCH("升星次数",坦克属性分配比例标头,0),FALSE),BI140+1,BI140)</f>
        <v>15</v>
      </c>
      <c r="BJ141" s="2" t="str">
        <f t="shared" si="28"/>
        <v>谢尔曼</v>
      </c>
      <c r="BK141" s="29" t="str">
        <f>VLOOKUP(BJ141,坦克个性化细分!$I$3:$J$33,2,FALSE)</f>
        <v>中</v>
      </c>
      <c r="BL141" s="2">
        <f t="shared" si="26"/>
        <v>3</v>
      </c>
      <c r="BM141" s="103">
        <f ca="1">ROUND(VLOOKUP($BJ141&amp;"初始",$S$3:$AE$63,MATCH(BM$3,$S$3:$AE$3,0),FALSE)+((VLOOKUP($BJ141&amp;"最终",$S$3:$AE$63,MATCH(BM$3,$S$3:$AE$3,0),FALSE)*坦克个性化细分!$C$9-VLOOKUP($BJ141&amp;"初始",$S$3:$AE$63,MATCH(BM$3,$S$3:$AE$3,0),FALSE))-(VLOOKUP($BJ141&amp;"最终",$S$3:$AE$63,MATCH(BM$3,$S$3:$AE$3,0),FALSE)-VLOOKUP($BJ141&amp;"初始",$S$3:$AE$63,MATCH(BM$3,$S$3:$AE$3,0),FALSE))*VLOOKUP(VLOOKUP($BJ141,坦克个性化设定!$B$18:$E$48,4,FALSE)&amp;$BK141,坦克属性分配比例,MATCH("部件比例",坦克属性分配比例标头,0),FALSE))*$BL141/VLOOKUP(VLOOKUP($BJ141,坦克个性化设定!$B$18:$E$48,4,FALSE)&amp;$BK141,坦克属性分配比例,MATCH("升星次数",坦克属性分配比例标头,0),FALSE),0)</f>
        <v>1519</v>
      </c>
      <c r="BN141" s="103">
        <f ca="1">ROUND(VLOOKUP($BJ141&amp;"初始",$S$3:$AE$63,MATCH(BN$3,$S$3:$AE$3,0),FALSE)+(VLOOKUP($BJ141&amp;"最终",$S$3:$AE$63,MATCH(BN$3,$S$3:$AE$3,0),FALSE)-VLOOKUP($BJ141&amp;"初始",$S$3:$AE$63,MATCH(BN$3,$S$3:$AE$3,0),FALSE))*$BL141/VLOOKUP(VLOOKUP($BJ141,坦克个性化设定!$B$18:$E$48,4,FALSE)&amp;$BK141,坦克属性分配比例,MATCH("升星次数",坦克属性分配比例标头,0),FALSE)*VLOOKUP(VLOOKUP($BJ141,坦克个性化设定!$B$18:$E$48,4,FALSE)&amp;$BK141,坦克属性分配比例,MATCH("升星比例",坦克属性分配比例标头,0),FALSE),0)</f>
        <v>179</v>
      </c>
      <c r="BO141" s="103">
        <f ca="1">ROUND(VLOOKUP($BJ141&amp;"初始",$S$3:$AE$63,MATCH(BO$3,$S$3:$AE$3,0),FALSE)+(VLOOKUP($BJ141&amp;"最终",$S$3:$AE$63,MATCH(BO$3,$S$3:$AE$3,0),FALSE)-VLOOKUP($BJ141&amp;"初始",$S$3:$AE$63,MATCH(BO$3,$S$3:$AE$3,0),FALSE))*$BL141/VLOOKUP(VLOOKUP($BJ141,坦克个性化设定!$B$18:$E$48,4,FALSE)&amp;$BK141,坦克属性分配比例,MATCH("升星次数",坦克属性分配比例标头,0),FALSE)*(VLOOKUP(VLOOKUP($BJ141,坦克个性化设定!$B$18:$E$48,4,FALSE)&amp;$BK141,坦克属性分配比例,MATCH("升星比例",坦克属性分配比例标头,0),FALSE)+VLOOKUP(VLOOKUP($BJ141,坦克个性化设定!$B$18:$E$48,4,FALSE)&amp;$BK141,坦克属性分配比例,MATCH("部件比例",坦克属性分配比例标头,0),FALSE)*$C$3),0)</f>
        <v>574</v>
      </c>
      <c r="BP141" s="103">
        <f ca="1">ROUND(VLOOKUP($BJ141&amp;"初始",$S$3:$AE$63,MATCH(BP$3,$S$3:$AE$3,0),FALSE)+(VLOOKUP($BJ141&amp;"最终",$S$3:$AE$63,MATCH(BP$3,$S$3:$AE$3,0),FALSE)-VLOOKUP($BJ141&amp;"初始",$S$3:$AE$63,MATCH(BP$3,$S$3:$AE$3,0),FALSE))*$BL141/VLOOKUP(VLOOKUP($BJ141,坦克个性化设定!$B$18:$E$48,4,FALSE)&amp;$BK141,坦克属性分配比例,MATCH("升星次数",坦克属性分配比例标头,0),FALSE)*(VLOOKUP(VLOOKUP($BJ141,坦克个性化设定!$B$18:$E$48,4,FALSE)&amp;$BK141,坦克属性分配比例,MATCH("升星比例",坦克属性分配比例标头,0),FALSE)+VLOOKUP(VLOOKUP($BJ141,坦克个性化设定!$B$18:$E$48,4,FALSE)&amp;$BK141,坦克属性分配比例,MATCH("部件比例",坦克属性分配比例标头,0),FALSE)*$C$3),0)</f>
        <v>431</v>
      </c>
      <c r="BQ141" s="103">
        <f ca="1">ROUND(VLOOKUP($BJ141&amp;"初始",$S$3:$AE$63,MATCH(BQ$3,$S$3:$AE$3,0),FALSE)+(VLOOKUP($BJ141&amp;"最终",$S$3:$AE$63,MATCH(BQ$3,$S$3:$AE$3,0),FALSE)-VLOOKUP($BJ141&amp;"初始",$S$3:$AE$63,MATCH(BQ$3,$S$3:$AE$3,0),FALSE))*$BL141/VLOOKUP(VLOOKUP($BJ141,坦克个性化设定!$B$18:$E$48,4,FALSE)&amp;$BK141,坦克属性分配比例,MATCH("升星次数",坦克属性分配比例标头,0),FALSE)*VLOOKUP(VLOOKUP($BJ141,坦克个性化设定!$B$18:$E$48,4,FALSE)&amp;$BK141,坦克属性分配比例,MATCH("升星比例",坦克属性分配比例标头,0),FALSE),0)</f>
        <v>607</v>
      </c>
      <c r="BR141" s="2">
        <f ca="1">ROUND(VLOOKUP($BJ141&amp;"初始",$S$3:$AE$63,MATCH(BR$3,$S$3:$AE$3,0),FALSE)+(VLOOKUP($BJ141&amp;"最终",$S$3:$AE$63,MATCH(BR$3,$S$3:$AE$3,0),FALSE)-VLOOKUP($BJ141&amp;"初始",$S$3:$AE$63,MATCH(BR$3,$S$3:$AE$3,0),FALSE))*$BL141/VLOOKUP(VLOOKUP($BJ141,坦克个性化设定!$B$18:$E$48,4,FALSE)&amp;$BK141,坦克属性分配比例,MATCH("升星次数",坦克属性分配比例标头,0),FALSE),0)</f>
        <v>154</v>
      </c>
      <c r="BS141" s="2">
        <f>ROUND(VLOOKUP($BJ141,$AI$3:$AO$33,MATCH(BS$3,$AI$3:$AO$3,0),FALSE)+$BL141/VLOOKUP(VLOOKUP($BJ141,坦克个性化设定!$B$18:$E$48,4,FALSE)&amp;$BK141,坦克属性分配比例,MATCH("升星次数",坦克属性分配比例标头,0),FALSE)*VLOOKUP($BJ141,$AR$3:$AY$33,MATCH(BS$3,$AR$3:$AY$3,0),FALSE),1)</f>
        <v>39.299999999999997</v>
      </c>
      <c r="BT141" s="2">
        <f>ROUND(VLOOKUP($BJ141,$AI$3:$AO$33,MATCH(BT$3,$AI$3:$AO$3,0),FALSE)+$BL141/VLOOKUP(VLOOKUP($BJ141,坦克个性化设定!$B$18:$E$48,4,FALSE)&amp;$BK141,坦克属性分配比例,MATCH("升星次数",坦克属性分配比例标头,0),FALSE)*VLOOKUP($BJ141,$AR$3:$AY$33,MATCH(BT$3,$AR$3:$AY$3,0),FALSE),1)</f>
        <v>55.3</v>
      </c>
      <c r="BU141" s="2">
        <f>ROUND(VLOOKUP($BJ141,$AI$3:$AO$33,MATCH(BU$3,$AI$3:$AO$3,0),FALSE)+$BL141/VLOOKUP(VLOOKUP($BJ141,坦克个性化设定!$B$18:$E$48,4,FALSE)&amp;$BK141,坦克属性分配比例,MATCH("升星次数",坦克属性分配比例标头,0),FALSE)*VLOOKUP($BJ141,$AR$3:$AY$33,MATCH(BU$3,$AR$3:$AY$3,0),FALSE),1)</f>
        <v>7.3</v>
      </c>
      <c r="BV141" s="2">
        <f>IF(VLOOKUP(BJ141,坦克个性化设定!$B$18:$BC$48,MATCH("装弹类型",坦克个性化设定!$B$18:$BC$18,0),FALSE)="弹夹换弹",0,ROUND(VLOOKUP($BJ141,$AI$3:$AO$33,MATCH("换弹时间",$AI$3:$AO$3,0),FALSE)-$BL141/VLOOKUP(VLOOKUP($BJ141,坦克个性化设定!$B$18:$E$48,4,FALSE)&amp;$BK141,坦克属性分配比例,MATCH("升星次数",坦克属性分配比例标头,0),FALSE)*VLOOKUP($BJ141,$AR$3:$AY$33,MATCH("换弹时间",$AR$3:$AY$3,0),FALSE),2))</f>
        <v>2.27</v>
      </c>
      <c r="BW141" s="2">
        <f>IF(VLOOKUP(BJ141,坦克个性化设定!$B$18:$BC$48,MATCH("装弹类型",坦克个性化设定!$B$18:$BC$18,0),FALSE)="弹夹换弹",ROUND(VLOOKUP($BJ141,$AI$3:$AO$33,MATCH("换弹时间",$AI$3:$AO$3,0),FALSE)-$BL141/VLOOKUP(VLOOKUP($BJ141,坦克个性化设定!$B$18:$E$48,4,FALSE)&amp;$BK141,坦克属性分配比例,MATCH("升星次数",坦克属性分配比例标头,0),FALSE)*VLOOKUP($BJ141,$AR$3:$AY$33,MATCH("换弹时间",$AR$3:$AY$3,0),FALSE),1),0)</f>
        <v>0</v>
      </c>
      <c r="BX141" s="2">
        <f>ROUND(VLOOKUP($BJ141,$AI$3:$AO$33,MATCH(BX$3,$AI$3:$AO$3,0),FALSE)+$BL141/VLOOKUP(VLOOKUP($BJ141,坦克个性化设定!$B$18:$E$48,4,FALSE)&amp;$BK141,坦克属性分配比例,MATCH("升星次数",坦克属性分配比例标头,0),FALSE)*VLOOKUP($BJ141,$AR$3:$AY$33,MATCH(BX$3,$AR$3:$AY$3,0),FALSE),2)</f>
        <v>0.4</v>
      </c>
      <c r="BY141" s="2">
        <f>ROUND(VLOOKUP($BJ141,$AI$3:$AO$33,MATCH(BY$3,$AI$3:$AO$3,0),FALSE)-$BL141/VLOOKUP(VLOOKUP($BJ141,坦克个性化设定!$B$18:$E$48,4,FALSE)&amp;$BK141,坦克属性分配比例,MATCH("升星次数",坦克属性分配比例标头,0),FALSE)*VLOOKUP($BJ141,$AR$3:$AY$33,MATCH(BY$3,$AR$3:$AY$3,0),FALSE),2)</f>
        <v>1.32</v>
      </c>
    </row>
    <row r="142" spans="60:77" x14ac:dyDescent="0.3">
      <c r="BH142" s="2" t="str">
        <f t="shared" si="27"/>
        <v>谢尔曼4</v>
      </c>
      <c r="BI142" s="2">
        <f>IF(BL141&gt;=VLOOKUP(VLOOKUP(BJ141,坦克个性化设定!$B$18:$E$48,4,FALSE)&amp;BK141,坦克属性分配比例,MATCH("升星次数",坦克属性分配比例标头,0),FALSE),BI141+1,BI141)</f>
        <v>15</v>
      </c>
      <c r="BJ142" s="2" t="str">
        <f t="shared" si="28"/>
        <v>谢尔曼</v>
      </c>
      <c r="BK142" s="29" t="str">
        <f>VLOOKUP(BJ142,坦克个性化细分!$I$3:$J$33,2,FALSE)</f>
        <v>中</v>
      </c>
      <c r="BL142" s="2">
        <f t="shared" si="26"/>
        <v>4</v>
      </c>
      <c r="BM142" s="103">
        <f ca="1">ROUND(VLOOKUP($BJ142&amp;"初始",$S$3:$AE$63,MATCH(BM$3,$S$3:$AE$3,0),FALSE)+((VLOOKUP($BJ142&amp;"最终",$S$3:$AE$63,MATCH(BM$3,$S$3:$AE$3,0),FALSE)*坦克个性化细分!$C$9-VLOOKUP($BJ142&amp;"初始",$S$3:$AE$63,MATCH(BM$3,$S$3:$AE$3,0),FALSE))-(VLOOKUP($BJ142&amp;"最终",$S$3:$AE$63,MATCH(BM$3,$S$3:$AE$3,0),FALSE)-VLOOKUP($BJ142&amp;"初始",$S$3:$AE$63,MATCH(BM$3,$S$3:$AE$3,0),FALSE))*VLOOKUP(VLOOKUP($BJ142,坦克个性化设定!$B$18:$E$48,4,FALSE)&amp;$BK142,坦克属性分配比例,MATCH("部件比例",坦克属性分配比例标头,0),FALSE))*$BL142/VLOOKUP(VLOOKUP($BJ142,坦克个性化设定!$B$18:$E$48,4,FALSE)&amp;$BK142,坦克属性分配比例,MATCH("升星次数",坦克属性分配比例标头,0),FALSE),0)</f>
        <v>1593</v>
      </c>
      <c r="BN142" s="103">
        <f ca="1">ROUND(VLOOKUP($BJ142&amp;"初始",$S$3:$AE$63,MATCH(BN$3,$S$3:$AE$3,0),FALSE)+(VLOOKUP($BJ142&amp;"最终",$S$3:$AE$63,MATCH(BN$3,$S$3:$AE$3,0),FALSE)-VLOOKUP($BJ142&amp;"初始",$S$3:$AE$63,MATCH(BN$3,$S$3:$AE$3,0),FALSE))*$BL142/VLOOKUP(VLOOKUP($BJ142,坦克个性化设定!$B$18:$E$48,4,FALSE)&amp;$BK142,坦克属性分配比例,MATCH("升星次数",坦克属性分配比例标头,0),FALSE)*VLOOKUP(VLOOKUP($BJ142,坦克个性化设定!$B$18:$E$48,4,FALSE)&amp;$BK142,坦克属性分配比例,MATCH("升星比例",坦克属性分配比例标头,0),FALSE),0)</f>
        <v>185</v>
      </c>
      <c r="BO142" s="103">
        <f ca="1">ROUND(VLOOKUP($BJ142&amp;"初始",$S$3:$AE$63,MATCH(BO$3,$S$3:$AE$3,0),FALSE)+(VLOOKUP($BJ142&amp;"最终",$S$3:$AE$63,MATCH(BO$3,$S$3:$AE$3,0),FALSE)-VLOOKUP($BJ142&amp;"初始",$S$3:$AE$63,MATCH(BO$3,$S$3:$AE$3,0),FALSE))*$BL142/VLOOKUP(VLOOKUP($BJ142,坦克个性化设定!$B$18:$E$48,4,FALSE)&amp;$BK142,坦克属性分配比例,MATCH("升星次数",坦克属性分配比例标头,0),FALSE)*(VLOOKUP(VLOOKUP($BJ142,坦克个性化设定!$B$18:$E$48,4,FALSE)&amp;$BK142,坦克属性分配比例,MATCH("升星比例",坦克属性分配比例标头,0),FALSE)+VLOOKUP(VLOOKUP($BJ142,坦克个性化设定!$B$18:$E$48,4,FALSE)&amp;$BK142,坦克属性分配比例,MATCH("部件比例",坦克属性分配比例标头,0),FALSE)*$C$3),0)</f>
        <v>597</v>
      </c>
      <c r="BP142" s="103">
        <f ca="1">ROUND(VLOOKUP($BJ142&amp;"初始",$S$3:$AE$63,MATCH(BP$3,$S$3:$AE$3,0),FALSE)+(VLOOKUP($BJ142&amp;"最终",$S$3:$AE$63,MATCH(BP$3,$S$3:$AE$3,0),FALSE)-VLOOKUP($BJ142&amp;"初始",$S$3:$AE$63,MATCH(BP$3,$S$3:$AE$3,0),FALSE))*$BL142/VLOOKUP(VLOOKUP($BJ142,坦克个性化设定!$B$18:$E$48,4,FALSE)&amp;$BK142,坦克属性分配比例,MATCH("升星次数",坦克属性分配比例标头,0),FALSE)*(VLOOKUP(VLOOKUP($BJ142,坦克个性化设定!$B$18:$E$48,4,FALSE)&amp;$BK142,坦克属性分配比例,MATCH("升星比例",坦克属性分配比例标头,0),FALSE)+VLOOKUP(VLOOKUP($BJ142,坦克个性化设定!$B$18:$E$48,4,FALSE)&amp;$BK142,坦克属性分配比例,MATCH("部件比例",坦克属性分配比例标头,0),FALSE)*$C$3),0)</f>
        <v>448</v>
      </c>
      <c r="BQ142" s="103">
        <f ca="1">ROUND(VLOOKUP($BJ142&amp;"初始",$S$3:$AE$63,MATCH(BQ$3,$S$3:$AE$3,0),FALSE)+(VLOOKUP($BJ142&amp;"最终",$S$3:$AE$63,MATCH(BQ$3,$S$3:$AE$3,0),FALSE)-VLOOKUP($BJ142&amp;"初始",$S$3:$AE$63,MATCH(BQ$3,$S$3:$AE$3,0),FALSE))*$BL142/VLOOKUP(VLOOKUP($BJ142,坦克个性化设定!$B$18:$E$48,4,FALSE)&amp;$BK142,坦克属性分配比例,MATCH("升星次数",坦克属性分配比例标头,0),FALSE)*VLOOKUP(VLOOKUP($BJ142,坦克个性化设定!$B$18:$E$48,4,FALSE)&amp;$BK142,坦克属性分配比例,MATCH("升星比例",坦克属性分配比例标头,0),FALSE),0)</f>
        <v>625</v>
      </c>
      <c r="BR142" s="2">
        <f ca="1">ROUND(VLOOKUP($BJ142&amp;"初始",$S$3:$AE$63,MATCH(BR$3,$S$3:$AE$3,0),FALSE)+(VLOOKUP($BJ142&amp;"最终",$S$3:$AE$63,MATCH(BR$3,$S$3:$AE$3,0),FALSE)-VLOOKUP($BJ142&amp;"初始",$S$3:$AE$63,MATCH(BR$3,$S$3:$AE$3,0),FALSE))*$BL142/VLOOKUP(VLOOKUP($BJ142,坦克个性化设定!$B$18:$E$48,4,FALSE)&amp;$BK142,坦克属性分配比例,MATCH("升星次数",坦克属性分配比例标头,0),FALSE),0)</f>
        <v>161</v>
      </c>
      <c r="BS142" s="2">
        <f>ROUND(VLOOKUP($BJ142,$AI$3:$AO$33,MATCH(BS$3,$AI$3:$AO$3,0),FALSE)+$BL142/VLOOKUP(VLOOKUP($BJ142,坦克个性化设定!$B$18:$E$48,4,FALSE)&amp;$BK142,坦克属性分配比例,MATCH("升星次数",坦克属性分配比例标头,0),FALSE)*VLOOKUP($BJ142,$AR$3:$AY$33,MATCH(BS$3,$AR$3:$AY$3,0),FALSE),1)</f>
        <v>40.299999999999997</v>
      </c>
      <c r="BT142" s="2">
        <f>ROUND(VLOOKUP($BJ142,$AI$3:$AO$33,MATCH(BT$3,$AI$3:$AO$3,0),FALSE)+$BL142/VLOOKUP(VLOOKUP($BJ142,坦克个性化设定!$B$18:$E$48,4,FALSE)&amp;$BK142,坦克属性分配比例,MATCH("升星次数",坦克属性分配比例标头,0),FALSE)*VLOOKUP($BJ142,$AR$3:$AY$33,MATCH(BT$3,$AR$3:$AY$3,0),FALSE),1)</f>
        <v>56.7</v>
      </c>
      <c r="BU142" s="2">
        <f>ROUND(VLOOKUP($BJ142,$AI$3:$AO$33,MATCH(BU$3,$AI$3:$AO$3,0),FALSE)+$BL142/VLOOKUP(VLOOKUP($BJ142,坦克个性化设定!$B$18:$E$48,4,FALSE)&amp;$BK142,坦克属性分配比例,MATCH("升星次数",坦克属性分配比例标头,0),FALSE)*VLOOKUP($BJ142,$AR$3:$AY$33,MATCH(BU$3,$AR$3:$AY$3,0),FALSE),1)</f>
        <v>7.3</v>
      </c>
      <c r="BV142" s="2">
        <f>IF(VLOOKUP(BJ142,坦克个性化设定!$B$18:$BC$48,MATCH("装弹类型",坦克个性化设定!$B$18:$BC$18,0),FALSE)="弹夹换弹",0,ROUND(VLOOKUP($BJ142,$AI$3:$AO$33,MATCH("换弹时间",$AI$3:$AO$3,0),FALSE)-$BL142/VLOOKUP(VLOOKUP($BJ142,坦克个性化设定!$B$18:$E$48,4,FALSE)&amp;$BK142,坦克属性分配比例,MATCH("升星次数",坦克属性分配比例标头,0),FALSE)*VLOOKUP($BJ142,$AR$3:$AY$33,MATCH("换弹时间",$AR$3:$AY$3,0),FALSE),2))</f>
        <v>2.23</v>
      </c>
      <c r="BW142" s="2">
        <f>IF(VLOOKUP(BJ142,坦克个性化设定!$B$18:$BC$48,MATCH("装弹类型",坦克个性化设定!$B$18:$BC$18,0),FALSE)="弹夹换弹",ROUND(VLOOKUP($BJ142,$AI$3:$AO$33,MATCH("换弹时间",$AI$3:$AO$3,0),FALSE)-$BL142/VLOOKUP(VLOOKUP($BJ142,坦克个性化设定!$B$18:$E$48,4,FALSE)&amp;$BK142,坦克属性分配比例,MATCH("升星次数",坦克属性分配比例标头,0),FALSE)*VLOOKUP($BJ142,$AR$3:$AY$33,MATCH("换弹时间",$AR$3:$AY$3,0),FALSE),1),0)</f>
        <v>0</v>
      </c>
      <c r="BX142" s="2">
        <f>ROUND(VLOOKUP($BJ142,$AI$3:$AO$33,MATCH(BX$3,$AI$3:$AO$3,0),FALSE)+$BL142/VLOOKUP(VLOOKUP($BJ142,坦克个性化设定!$B$18:$E$48,4,FALSE)&amp;$BK142,坦克属性分配比例,MATCH("升星次数",坦克属性分配比例标头,0),FALSE)*VLOOKUP($BJ142,$AR$3:$AY$33,MATCH(BX$3,$AR$3:$AY$3,0),FALSE),2)</f>
        <v>0.4</v>
      </c>
      <c r="BY142" s="2">
        <f>ROUND(VLOOKUP($BJ142,$AI$3:$AO$33,MATCH(BY$3,$AI$3:$AO$3,0),FALSE)-$BL142/VLOOKUP(VLOOKUP($BJ142,坦克个性化设定!$B$18:$E$48,4,FALSE)&amp;$BK142,坦克属性分配比例,MATCH("升星次数",坦克属性分配比例标头,0),FALSE)*VLOOKUP($BJ142,$AR$3:$AY$33,MATCH(BY$3,$AR$3:$AY$3,0),FALSE),2)</f>
        <v>1.3</v>
      </c>
    </row>
    <row r="143" spans="60:77" x14ac:dyDescent="0.3">
      <c r="BH143" s="2" t="str">
        <f t="shared" si="27"/>
        <v>谢尔曼5</v>
      </c>
      <c r="BI143" s="2">
        <f>IF(BL142&gt;=VLOOKUP(VLOOKUP(BJ142,坦克个性化设定!$B$18:$E$48,4,FALSE)&amp;BK142,坦克属性分配比例,MATCH("升星次数",坦克属性分配比例标头,0),FALSE),BI142+1,BI142)</f>
        <v>15</v>
      </c>
      <c r="BJ143" s="2" t="str">
        <f t="shared" si="28"/>
        <v>谢尔曼</v>
      </c>
      <c r="BK143" s="29" t="str">
        <f>VLOOKUP(BJ143,坦克个性化细分!$I$3:$J$33,2,FALSE)</f>
        <v>中</v>
      </c>
      <c r="BL143" s="2">
        <f t="shared" si="26"/>
        <v>5</v>
      </c>
      <c r="BM143" s="103">
        <f ca="1">ROUND(VLOOKUP($BJ143&amp;"初始",$S$3:$AE$63,MATCH(BM$3,$S$3:$AE$3,0),FALSE)+((VLOOKUP($BJ143&amp;"最终",$S$3:$AE$63,MATCH(BM$3,$S$3:$AE$3,0),FALSE)*坦克个性化细分!$C$9-VLOOKUP($BJ143&amp;"初始",$S$3:$AE$63,MATCH(BM$3,$S$3:$AE$3,0),FALSE))-(VLOOKUP($BJ143&amp;"最终",$S$3:$AE$63,MATCH(BM$3,$S$3:$AE$3,0),FALSE)-VLOOKUP($BJ143&amp;"初始",$S$3:$AE$63,MATCH(BM$3,$S$3:$AE$3,0),FALSE))*VLOOKUP(VLOOKUP($BJ143,坦克个性化设定!$B$18:$E$48,4,FALSE)&amp;$BK143,坦克属性分配比例,MATCH("部件比例",坦克属性分配比例标头,0),FALSE))*$BL143/VLOOKUP(VLOOKUP($BJ143,坦克个性化设定!$B$18:$E$48,4,FALSE)&amp;$BK143,坦克属性分配比例,MATCH("升星次数",坦克属性分配比例标头,0),FALSE),0)</f>
        <v>1667</v>
      </c>
      <c r="BN143" s="103">
        <f ca="1">ROUND(VLOOKUP($BJ143&amp;"初始",$S$3:$AE$63,MATCH(BN$3,$S$3:$AE$3,0),FALSE)+(VLOOKUP($BJ143&amp;"最终",$S$3:$AE$63,MATCH(BN$3,$S$3:$AE$3,0),FALSE)-VLOOKUP($BJ143&amp;"初始",$S$3:$AE$63,MATCH(BN$3,$S$3:$AE$3,0),FALSE))*$BL143/VLOOKUP(VLOOKUP($BJ143,坦克个性化设定!$B$18:$E$48,4,FALSE)&amp;$BK143,坦克属性分配比例,MATCH("升星次数",坦克属性分配比例标头,0),FALSE)*VLOOKUP(VLOOKUP($BJ143,坦克个性化设定!$B$18:$E$48,4,FALSE)&amp;$BK143,坦克属性分配比例,MATCH("升星比例",坦克属性分配比例标头,0),FALSE),0)</f>
        <v>190</v>
      </c>
      <c r="BO143" s="103">
        <f ca="1">ROUND(VLOOKUP($BJ143&amp;"初始",$S$3:$AE$63,MATCH(BO$3,$S$3:$AE$3,0),FALSE)+(VLOOKUP($BJ143&amp;"最终",$S$3:$AE$63,MATCH(BO$3,$S$3:$AE$3,0),FALSE)-VLOOKUP($BJ143&amp;"初始",$S$3:$AE$63,MATCH(BO$3,$S$3:$AE$3,0),FALSE))*$BL143/VLOOKUP(VLOOKUP($BJ143,坦克个性化设定!$B$18:$E$48,4,FALSE)&amp;$BK143,坦克属性分配比例,MATCH("升星次数",坦克属性分配比例标头,0),FALSE)*(VLOOKUP(VLOOKUP($BJ143,坦克个性化设定!$B$18:$E$48,4,FALSE)&amp;$BK143,坦克属性分配比例,MATCH("升星比例",坦克属性分配比例标头,0),FALSE)+VLOOKUP(VLOOKUP($BJ143,坦克个性化设定!$B$18:$E$48,4,FALSE)&amp;$BK143,坦克属性分配比例,MATCH("部件比例",坦克属性分配比例标头,0),FALSE)*$C$3),0)</f>
        <v>619</v>
      </c>
      <c r="BP143" s="103">
        <f ca="1">ROUND(VLOOKUP($BJ143&amp;"初始",$S$3:$AE$63,MATCH(BP$3,$S$3:$AE$3,0),FALSE)+(VLOOKUP($BJ143&amp;"最终",$S$3:$AE$63,MATCH(BP$3,$S$3:$AE$3,0),FALSE)-VLOOKUP($BJ143&amp;"初始",$S$3:$AE$63,MATCH(BP$3,$S$3:$AE$3,0),FALSE))*$BL143/VLOOKUP(VLOOKUP($BJ143,坦克个性化设定!$B$18:$E$48,4,FALSE)&amp;$BK143,坦克属性分配比例,MATCH("升星次数",坦克属性分配比例标头,0),FALSE)*(VLOOKUP(VLOOKUP($BJ143,坦克个性化设定!$B$18:$E$48,4,FALSE)&amp;$BK143,坦克属性分配比例,MATCH("升星比例",坦克属性分配比例标头,0),FALSE)+VLOOKUP(VLOOKUP($BJ143,坦克个性化设定!$B$18:$E$48,4,FALSE)&amp;$BK143,坦克属性分配比例,MATCH("部件比例",坦克属性分配比例标头,0),FALSE)*$C$3),0)</f>
        <v>465</v>
      </c>
      <c r="BQ143" s="103">
        <f ca="1">ROUND(VLOOKUP($BJ143&amp;"初始",$S$3:$AE$63,MATCH(BQ$3,$S$3:$AE$3,0),FALSE)+(VLOOKUP($BJ143&amp;"最终",$S$3:$AE$63,MATCH(BQ$3,$S$3:$AE$3,0),FALSE)-VLOOKUP($BJ143&amp;"初始",$S$3:$AE$63,MATCH(BQ$3,$S$3:$AE$3,0),FALSE))*$BL143/VLOOKUP(VLOOKUP($BJ143,坦克个性化设定!$B$18:$E$48,4,FALSE)&amp;$BK143,坦克属性分配比例,MATCH("升星次数",坦克属性分配比例标头,0),FALSE)*VLOOKUP(VLOOKUP($BJ143,坦克个性化设定!$B$18:$E$48,4,FALSE)&amp;$BK143,坦克属性分配比例,MATCH("升星比例",坦克属性分配比例标头,0),FALSE),0)</f>
        <v>643</v>
      </c>
      <c r="BR143" s="2">
        <f ca="1">ROUND(VLOOKUP($BJ143&amp;"初始",$S$3:$AE$63,MATCH(BR$3,$S$3:$AE$3,0),FALSE)+(VLOOKUP($BJ143&amp;"最终",$S$3:$AE$63,MATCH(BR$3,$S$3:$AE$3,0),FALSE)-VLOOKUP($BJ143&amp;"初始",$S$3:$AE$63,MATCH(BR$3,$S$3:$AE$3,0),FALSE))*$BL143/VLOOKUP(VLOOKUP($BJ143,坦克个性化设定!$B$18:$E$48,4,FALSE)&amp;$BK143,坦克属性分配比例,MATCH("升星次数",坦克属性分配比例标头,0),FALSE),0)</f>
        <v>169</v>
      </c>
      <c r="BS143" s="2">
        <f>ROUND(VLOOKUP($BJ143,$AI$3:$AO$33,MATCH(BS$3,$AI$3:$AO$3,0),FALSE)+$BL143/VLOOKUP(VLOOKUP($BJ143,坦克个性化设定!$B$18:$E$48,4,FALSE)&amp;$BK143,坦克属性分配比例,MATCH("升星次数",坦克属性分配比例标头,0),FALSE)*VLOOKUP($BJ143,$AR$3:$AY$33,MATCH(BS$3,$AR$3:$AY$3,0),FALSE),1)</f>
        <v>41.3</v>
      </c>
      <c r="BT143" s="2">
        <f>ROUND(VLOOKUP($BJ143,$AI$3:$AO$33,MATCH(BT$3,$AI$3:$AO$3,0),FALSE)+$BL143/VLOOKUP(VLOOKUP($BJ143,坦克个性化设定!$B$18:$E$48,4,FALSE)&amp;$BK143,坦克属性分配比例,MATCH("升星次数",坦克属性分配比例标头,0),FALSE)*VLOOKUP($BJ143,$AR$3:$AY$33,MATCH(BT$3,$AR$3:$AY$3,0),FALSE),1)</f>
        <v>58.1</v>
      </c>
      <c r="BU143" s="2">
        <f>ROUND(VLOOKUP($BJ143,$AI$3:$AO$33,MATCH(BU$3,$AI$3:$AO$3,0),FALSE)+$BL143/VLOOKUP(VLOOKUP($BJ143,坦克个性化设定!$B$18:$E$48,4,FALSE)&amp;$BK143,坦克属性分配比例,MATCH("升星次数",坦克属性分配比例标头,0),FALSE)*VLOOKUP($BJ143,$AR$3:$AY$33,MATCH(BU$3,$AR$3:$AY$3,0),FALSE),1)</f>
        <v>7.3</v>
      </c>
      <c r="BV143" s="2">
        <f>IF(VLOOKUP(BJ143,坦克个性化设定!$B$18:$BC$48,MATCH("装弹类型",坦克个性化设定!$B$18:$BC$18,0),FALSE)="弹夹换弹",0,ROUND(VLOOKUP($BJ143,$AI$3:$AO$33,MATCH("换弹时间",$AI$3:$AO$3,0),FALSE)-$BL143/VLOOKUP(VLOOKUP($BJ143,坦克个性化设定!$B$18:$E$48,4,FALSE)&amp;$BK143,坦克属性分配比例,MATCH("升星次数",坦克属性分配比例标头,0),FALSE)*VLOOKUP($BJ143,$AR$3:$AY$33,MATCH("换弹时间",$AR$3:$AY$3,0),FALSE),2))</f>
        <v>2.19</v>
      </c>
      <c r="BW143" s="2">
        <f>IF(VLOOKUP(BJ143,坦克个性化设定!$B$18:$BC$48,MATCH("装弹类型",坦克个性化设定!$B$18:$BC$18,0),FALSE)="弹夹换弹",ROUND(VLOOKUP($BJ143,$AI$3:$AO$33,MATCH("换弹时间",$AI$3:$AO$3,0),FALSE)-$BL143/VLOOKUP(VLOOKUP($BJ143,坦克个性化设定!$B$18:$E$48,4,FALSE)&amp;$BK143,坦克属性分配比例,MATCH("升星次数",坦克属性分配比例标头,0),FALSE)*VLOOKUP($BJ143,$AR$3:$AY$33,MATCH("换弹时间",$AR$3:$AY$3,0),FALSE),1),0)</f>
        <v>0</v>
      </c>
      <c r="BX143" s="2">
        <f>ROUND(VLOOKUP($BJ143,$AI$3:$AO$33,MATCH(BX$3,$AI$3:$AO$3,0),FALSE)+$BL143/VLOOKUP(VLOOKUP($BJ143,坦克个性化设定!$B$18:$E$48,4,FALSE)&amp;$BK143,坦克属性分配比例,MATCH("升星次数",坦克属性分配比例标头,0),FALSE)*VLOOKUP($BJ143,$AR$3:$AY$33,MATCH(BX$3,$AR$3:$AY$3,0),FALSE),2)</f>
        <v>0.4</v>
      </c>
      <c r="BY143" s="2">
        <f>ROUND(VLOOKUP($BJ143,$AI$3:$AO$33,MATCH(BY$3,$AI$3:$AO$3,0),FALSE)-$BL143/VLOOKUP(VLOOKUP($BJ143,坦克个性化设定!$B$18:$E$48,4,FALSE)&amp;$BK143,坦克属性分配比例,MATCH("升星次数",坦克属性分配比例标头,0),FALSE)*VLOOKUP($BJ143,$AR$3:$AY$33,MATCH(BY$3,$AR$3:$AY$3,0),FALSE),2)</f>
        <v>1.27</v>
      </c>
    </row>
    <row r="144" spans="60:77" x14ac:dyDescent="0.3">
      <c r="BH144" s="2" t="str">
        <f t="shared" si="27"/>
        <v>谢尔曼6</v>
      </c>
      <c r="BI144" s="2">
        <f>IF(BL143&gt;=VLOOKUP(VLOOKUP(BJ143,坦克个性化设定!$B$18:$E$48,4,FALSE)&amp;BK143,坦克属性分配比例,MATCH("升星次数",坦克属性分配比例标头,0),FALSE),BI143+1,BI143)</f>
        <v>15</v>
      </c>
      <c r="BJ144" s="2" t="str">
        <f t="shared" si="28"/>
        <v>谢尔曼</v>
      </c>
      <c r="BK144" s="29" t="str">
        <f>VLOOKUP(BJ144,坦克个性化细分!$I$3:$J$33,2,FALSE)</f>
        <v>中</v>
      </c>
      <c r="BL144" s="2">
        <f t="shared" si="26"/>
        <v>6</v>
      </c>
      <c r="BM144" s="103">
        <f ca="1">ROUND(VLOOKUP($BJ144&amp;"初始",$S$3:$AE$63,MATCH(BM$3,$S$3:$AE$3,0),FALSE)+((VLOOKUP($BJ144&amp;"最终",$S$3:$AE$63,MATCH(BM$3,$S$3:$AE$3,0),FALSE)*坦克个性化细分!$C$9-VLOOKUP($BJ144&amp;"初始",$S$3:$AE$63,MATCH(BM$3,$S$3:$AE$3,0),FALSE))-(VLOOKUP($BJ144&amp;"最终",$S$3:$AE$63,MATCH(BM$3,$S$3:$AE$3,0),FALSE)-VLOOKUP($BJ144&amp;"初始",$S$3:$AE$63,MATCH(BM$3,$S$3:$AE$3,0),FALSE))*VLOOKUP(VLOOKUP($BJ144,坦克个性化设定!$B$18:$E$48,4,FALSE)&amp;$BK144,坦克属性分配比例,MATCH("部件比例",坦克属性分配比例标头,0),FALSE))*$BL144/VLOOKUP(VLOOKUP($BJ144,坦克个性化设定!$B$18:$E$48,4,FALSE)&amp;$BK144,坦克属性分配比例,MATCH("升星次数",坦克属性分配比例标头,0),FALSE),0)</f>
        <v>1740</v>
      </c>
      <c r="BN144" s="103">
        <f ca="1">ROUND(VLOOKUP($BJ144&amp;"初始",$S$3:$AE$63,MATCH(BN$3,$S$3:$AE$3,0),FALSE)+(VLOOKUP($BJ144&amp;"最终",$S$3:$AE$63,MATCH(BN$3,$S$3:$AE$3,0),FALSE)-VLOOKUP($BJ144&amp;"初始",$S$3:$AE$63,MATCH(BN$3,$S$3:$AE$3,0),FALSE))*$BL144/VLOOKUP(VLOOKUP($BJ144,坦克个性化设定!$B$18:$E$48,4,FALSE)&amp;$BK144,坦克属性分配比例,MATCH("升星次数",坦克属性分配比例标头,0),FALSE)*VLOOKUP(VLOOKUP($BJ144,坦克个性化设定!$B$18:$E$48,4,FALSE)&amp;$BK144,坦克属性分配比例,MATCH("升星比例",坦克属性分配比例标头,0),FALSE),0)</f>
        <v>195</v>
      </c>
      <c r="BO144" s="103">
        <f ca="1">ROUND(VLOOKUP($BJ144&amp;"初始",$S$3:$AE$63,MATCH(BO$3,$S$3:$AE$3,0),FALSE)+(VLOOKUP($BJ144&amp;"最终",$S$3:$AE$63,MATCH(BO$3,$S$3:$AE$3,0),FALSE)-VLOOKUP($BJ144&amp;"初始",$S$3:$AE$63,MATCH(BO$3,$S$3:$AE$3,0),FALSE))*$BL144/VLOOKUP(VLOOKUP($BJ144,坦克个性化设定!$B$18:$E$48,4,FALSE)&amp;$BK144,坦克属性分配比例,MATCH("升星次数",坦克属性分配比例标头,0),FALSE)*(VLOOKUP(VLOOKUP($BJ144,坦克个性化设定!$B$18:$E$48,4,FALSE)&amp;$BK144,坦克属性分配比例,MATCH("升星比例",坦克属性分配比例标头,0),FALSE)+VLOOKUP(VLOOKUP($BJ144,坦克个性化设定!$B$18:$E$48,4,FALSE)&amp;$BK144,坦克属性分配比例,MATCH("部件比例",坦克属性分配比例标头,0),FALSE)*$C$3),0)</f>
        <v>642</v>
      </c>
      <c r="BP144" s="103">
        <f ca="1">ROUND(VLOOKUP($BJ144&amp;"初始",$S$3:$AE$63,MATCH(BP$3,$S$3:$AE$3,0),FALSE)+(VLOOKUP($BJ144&amp;"最终",$S$3:$AE$63,MATCH(BP$3,$S$3:$AE$3,0),FALSE)-VLOOKUP($BJ144&amp;"初始",$S$3:$AE$63,MATCH(BP$3,$S$3:$AE$3,0),FALSE))*$BL144/VLOOKUP(VLOOKUP($BJ144,坦克个性化设定!$B$18:$E$48,4,FALSE)&amp;$BK144,坦克属性分配比例,MATCH("升星次数",坦克属性分配比例标头,0),FALSE)*(VLOOKUP(VLOOKUP($BJ144,坦克个性化设定!$B$18:$E$48,4,FALSE)&amp;$BK144,坦克属性分配比例,MATCH("升星比例",坦克属性分配比例标头,0),FALSE)+VLOOKUP(VLOOKUP($BJ144,坦克个性化设定!$B$18:$E$48,4,FALSE)&amp;$BK144,坦克属性分配比例,MATCH("部件比例",坦克属性分配比例标头,0),FALSE)*$C$3),0)</f>
        <v>482</v>
      </c>
      <c r="BQ144" s="103">
        <f ca="1">ROUND(VLOOKUP($BJ144&amp;"初始",$S$3:$AE$63,MATCH(BQ$3,$S$3:$AE$3,0),FALSE)+(VLOOKUP($BJ144&amp;"最终",$S$3:$AE$63,MATCH(BQ$3,$S$3:$AE$3,0),FALSE)-VLOOKUP($BJ144&amp;"初始",$S$3:$AE$63,MATCH(BQ$3,$S$3:$AE$3,0),FALSE))*$BL144/VLOOKUP(VLOOKUP($BJ144,坦克个性化设定!$B$18:$E$48,4,FALSE)&amp;$BK144,坦克属性分配比例,MATCH("升星次数",坦克属性分配比例标头,0),FALSE)*VLOOKUP(VLOOKUP($BJ144,坦克个性化设定!$B$18:$E$48,4,FALSE)&amp;$BK144,坦克属性分配比例,MATCH("升星比例",坦克属性分配比例标头,0),FALSE),0)</f>
        <v>661</v>
      </c>
      <c r="BR144" s="2">
        <f ca="1">ROUND(VLOOKUP($BJ144&amp;"初始",$S$3:$AE$63,MATCH(BR$3,$S$3:$AE$3,0),FALSE)+(VLOOKUP($BJ144&amp;"最终",$S$3:$AE$63,MATCH(BR$3,$S$3:$AE$3,0),FALSE)-VLOOKUP($BJ144&amp;"初始",$S$3:$AE$63,MATCH(BR$3,$S$3:$AE$3,0),FALSE))*$BL144/VLOOKUP(VLOOKUP($BJ144,坦克个性化设定!$B$18:$E$48,4,FALSE)&amp;$BK144,坦克属性分配比例,MATCH("升星次数",坦克属性分配比例标头,0),FALSE),0)</f>
        <v>176</v>
      </c>
      <c r="BS144" s="2">
        <f>ROUND(VLOOKUP($BJ144,$AI$3:$AO$33,MATCH(BS$3,$AI$3:$AO$3,0),FALSE)+$BL144/VLOOKUP(VLOOKUP($BJ144,坦克个性化设定!$B$18:$E$48,4,FALSE)&amp;$BK144,坦克属性分配比例,MATCH("升星次数",坦克属性分配比例标头,0),FALSE)*VLOOKUP($BJ144,$AR$3:$AY$33,MATCH(BS$3,$AR$3:$AY$3,0),FALSE),1)</f>
        <v>42.4</v>
      </c>
      <c r="BT144" s="2">
        <f>ROUND(VLOOKUP($BJ144,$AI$3:$AO$33,MATCH(BT$3,$AI$3:$AO$3,0),FALSE)+$BL144/VLOOKUP(VLOOKUP($BJ144,坦克个性化设定!$B$18:$E$48,4,FALSE)&amp;$BK144,坦克属性分配比例,MATCH("升星次数",坦克属性分配比例标头,0),FALSE)*VLOOKUP($BJ144,$AR$3:$AY$33,MATCH(BT$3,$AR$3:$AY$3,0),FALSE),1)</f>
        <v>59.5</v>
      </c>
      <c r="BU144" s="2">
        <f>ROUND(VLOOKUP($BJ144,$AI$3:$AO$33,MATCH(BU$3,$AI$3:$AO$3,0),FALSE)+$BL144/VLOOKUP(VLOOKUP($BJ144,坦克个性化设定!$B$18:$E$48,4,FALSE)&amp;$BK144,坦克属性分配比例,MATCH("升星次数",坦克属性分配比例标头,0),FALSE)*VLOOKUP($BJ144,$AR$3:$AY$33,MATCH(BU$3,$AR$3:$AY$3,0),FALSE),1)</f>
        <v>7.3</v>
      </c>
      <c r="BV144" s="2">
        <f>IF(VLOOKUP(BJ144,坦克个性化设定!$B$18:$BC$48,MATCH("装弹类型",坦克个性化设定!$B$18:$BC$18,0),FALSE)="弹夹换弹",0,ROUND(VLOOKUP($BJ144,$AI$3:$AO$33,MATCH("换弹时间",$AI$3:$AO$3,0),FALSE)-$BL144/VLOOKUP(VLOOKUP($BJ144,坦克个性化设定!$B$18:$E$48,4,FALSE)&amp;$BK144,坦克属性分配比例,MATCH("升星次数",坦克属性分配比例标头,0),FALSE)*VLOOKUP($BJ144,$AR$3:$AY$33,MATCH("换弹时间",$AR$3:$AY$3,0),FALSE),2))</f>
        <v>2.15</v>
      </c>
      <c r="BW144" s="2">
        <f>IF(VLOOKUP(BJ144,坦克个性化设定!$B$18:$BC$48,MATCH("装弹类型",坦克个性化设定!$B$18:$BC$18,0),FALSE)="弹夹换弹",ROUND(VLOOKUP($BJ144,$AI$3:$AO$33,MATCH("换弹时间",$AI$3:$AO$3,0),FALSE)-$BL144/VLOOKUP(VLOOKUP($BJ144,坦克个性化设定!$B$18:$E$48,4,FALSE)&amp;$BK144,坦克属性分配比例,MATCH("升星次数",坦克属性分配比例标头,0),FALSE)*VLOOKUP($BJ144,$AR$3:$AY$33,MATCH("换弹时间",$AR$3:$AY$3,0),FALSE),1),0)</f>
        <v>0</v>
      </c>
      <c r="BX144" s="2">
        <f>ROUND(VLOOKUP($BJ144,$AI$3:$AO$33,MATCH(BX$3,$AI$3:$AO$3,0),FALSE)+$BL144/VLOOKUP(VLOOKUP($BJ144,坦克个性化设定!$B$18:$E$48,4,FALSE)&amp;$BK144,坦克属性分配比例,MATCH("升星次数",坦克属性分配比例标头,0),FALSE)*VLOOKUP($BJ144,$AR$3:$AY$33,MATCH(BX$3,$AR$3:$AY$3,0),FALSE),2)</f>
        <v>0.4</v>
      </c>
      <c r="BY144" s="2">
        <f>ROUND(VLOOKUP($BJ144,$AI$3:$AO$33,MATCH(BY$3,$AI$3:$AO$3,0),FALSE)-$BL144/VLOOKUP(VLOOKUP($BJ144,坦克个性化设定!$B$18:$E$48,4,FALSE)&amp;$BK144,坦克属性分配比例,MATCH("升星次数",坦克属性分配比例标头,0),FALSE)*VLOOKUP($BJ144,$AR$3:$AY$33,MATCH(BY$3,$AR$3:$AY$3,0),FALSE),2)</f>
        <v>1.24</v>
      </c>
    </row>
    <row r="145" spans="60:77" x14ac:dyDescent="0.3">
      <c r="BH145" s="2" t="str">
        <f t="shared" si="27"/>
        <v>谢尔曼7</v>
      </c>
      <c r="BI145" s="2">
        <f>IF(BL144&gt;=VLOOKUP(VLOOKUP(BJ144,坦克个性化设定!$B$18:$E$48,4,FALSE)&amp;BK144,坦克属性分配比例,MATCH("升星次数",坦克属性分配比例标头,0),FALSE),BI144+1,BI144)</f>
        <v>15</v>
      </c>
      <c r="BJ145" s="2" t="str">
        <f t="shared" si="28"/>
        <v>谢尔曼</v>
      </c>
      <c r="BK145" s="29" t="str">
        <f>VLOOKUP(BJ145,坦克个性化细分!$I$3:$J$33,2,FALSE)</f>
        <v>中</v>
      </c>
      <c r="BL145" s="2">
        <f t="shared" si="26"/>
        <v>7</v>
      </c>
      <c r="BM145" s="103">
        <f ca="1">ROUND(VLOOKUP($BJ145&amp;"初始",$S$3:$AE$63,MATCH(BM$3,$S$3:$AE$3,0),FALSE)+((VLOOKUP($BJ145&amp;"最终",$S$3:$AE$63,MATCH(BM$3,$S$3:$AE$3,0),FALSE)*坦克个性化细分!$C$9-VLOOKUP($BJ145&amp;"初始",$S$3:$AE$63,MATCH(BM$3,$S$3:$AE$3,0),FALSE))-(VLOOKUP($BJ145&amp;"最终",$S$3:$AE$63,MATCH(BM$3,$S$3:$AE$3,0),FALSE)-VLOOKUP($BJ145&amp;"初始",$S$3:$AE$63,MATCH(BM$3,$S$3:$AE$3,0),FALSE))*VLOOKUP(VLOOKUP($BJ145,坦克个性化设定!$B$18:$E$48,4,FALSE)&amp;$BK145,坦克属性分配比例,MATCH("部件比例",坦克属性分配比例标头,0),FALSE))*$BL145/VLOOKUP(VLOOKUP($BJ145,坦克个性化设定!$B$18:$E$48,4,FALSE)&amp;$BK145,坦克属性分配比例,MATCH("升星次数",坦克属性分配比例标头,0),FALSE),0)</f>
        <v>1814</v>
      </c>
      <c r="BN145" s="103">
        <f ca="1">ROUND(VLOOKUP($BJ145&amp;"初始",$S$3:$AE$63,MATCH(BN$3,$S$3:$AE$3,0),FALSE)+(VLOOKUP($BJ145&amp;"最终",$S$3:$AE$63,MATCH(BN$3,$S$3:$AE$3,0),FALSE)-VLOOKUP($BJ145&amp;"初始",$S$3:$AE$63,MATCH(BN$3,$S$3:$AE$3,0),FALSE))*$BL145/VLOOKUP(VLOOKUP($BJ145,坦克个性化设定!$B$18:$E$48,4,FALSE)&amp;$BK145,坦克属性分配比例,MATCH("升星次数",坦克属性分配比例标头,0),FALSE)*VLOOKUP(VLOOKUP($BJ145,坦克个性化设定!$B$18:$E$48,4,FALSE)&amp;$BK145,坦克属性分配比例,MATCH("升星比例",坦克属性分配比例标头,0),FALSE),0)</f>
        <v>200</v>
      </c>
      <c r="BO145" s="103">
        <f ca="1">ROUND(VLOOKUP($BJ145&amp;"初始",$S$3:$AE$63,MATCH(BO$3,$S$3:$AE$3,0),FALSE)+(VLOOKUP($BJ145&amp;"最终",$S$3:$AE$63,MATCH(BO$3,$S$3:$AE$3,0),FALSE)-VLOOKUP($BJ145&amp;"初始",$S$3:$AE$63,MATCH(BO$3,$S$3:$AE$3,0),FALSE))*$BL145/VLOOKUP(VLOOKUP($BJ145,坦克个性化设定!$B$18:$E$48,4,FALSE)&amp;$BK145,坦克属性分配比例,MATCH("升星次数",坦克属性分配比例标头,0),FALSE)*(VLOOKUP(VLOOKUP($BJ145,坦克个性化设定!$B$18:$E$48,4,FALSE)&amp;$BK145,坦克属性分配比例,MATCH("升星比例",坦克属性分配比例标头,0),FALSE)+VLOOKUP(VLOOKUP($BJ145,坦克个性化设定!$B$18:$E$48,4,FALSE)&amp;$BK145,坦克属性分配比例,MATCH("部件比例",坦克属性分配比例标头,0),FALSE)*$C$3),0)</f>
        <v>665</v>
      </c>
      <c r="BP145" s="103">
        <f ca="1">ROUND(VLOOKUP($BJ145&amp;"初始",$S$3:$AE$63,MATCH(BP$3,$S$3:$AE$3,0),FALSE)+(VLOOKUP($BJ145&amp;"最终",$S$3:$AE$63,MATCH(BP$3,$S$3:$AE$3,0),FALSE)-VLOOKUP($BJ145&amp;"初始",$S$3:$AE$63,MATCH(BP$3,$S$3:$AE$3,0),FALSE))*$BL145/VLOOKUP(VLOOKUP($BJ145,坦克个性化设定!$B$18:$E$48,4,FALSE)&amp;$BK145,坦克属性分配比例,MATCH("升星次数",坦克属性分配比例标头,0),FALSE)*(VLOOKUP(VLOOKUP($BJ145,坦克个性化设定!$B$18:$E$48,4,FALSE)&amp;$BK145,坦克属性分配比例,MATCH("升星比例",坦克属性分配比例标头,0),FALSE)+VLOOKUP(VLOOKUP($BJ145,坦克个性化设定!$B$18:$E$48,4,FALSE)&amp;$BK145,坦克属性分配比例,MATCH("部件比例",坦克属性分配比例标头,0),FALSE)*$C$3),0)</f>
        <v>499</v>
      </c>
      <c r="BQ145" s="103">
        <f ca="1">ROUND(VLOOKUP($BJ145&amp;"初始",$S$3:$AE$63,MATCH(BQ$3,$S$3:$AE$3,0),FALSE)+(VLOOKUP($BJ145&amp;"最终",$S$3:$AE$63,MATCH(BQ$3,$S$3:$AE$3,0),FALSE)-VLOOKUP($BJ145&amp;"初始",$S$3:$AE$63,MATCH(BQ$3,$S$3:$AE$3,0),FALSE))*$BL145/VLOOKUP(VLOOKUP($BJ145,坦克个性化设定!$B$18:$E$48,4,FALSE)&amp;$BK145,坦克属性分配比例,MATCH("升星次数",坦克属性分配比例标头,0),FALSE)*VLOOKUP(VLOOKUP($BJ145,坦克个性化设定!$B$18:$E$48,4,FALSE)&amp;$BK145,坦克属性分配比例,MATCH("升星比例",坦克属性分配比例标头,0),FALSE),0)</f>
        <v>679</v>
      </c>
      <c r="BR145" s="2">
        <f ca="1">ROUND(VLOOKUP($BJ145&amp;"初始",$S$3:$AE$63,MATCH(BR$3,$S$3:$AE$3,0),FALSE)+(VLOOKUP($BJ145&amp;"最终",$S$3:$AE$63,MATCH(BR$3,$S$3:$AE$3,0),FALSE)-VLOOKUP($BJ145&amp;"初始",$S$3:$AE$63,MATCH(BR$3,$S$3:$AE$3,0),FALSE))*$BL145/VLOOKUP(VLOOKUP($BJ145,坦克个性化设定!$B$18:$E$48,4,FALSE)&amp;$BK145,坦克属性分配比例,MATCH("升星次数",坦克属性分配比例标头,0),FALSE),0)</f>
        <v>183</v>
      </c>
      <c r="BS145" s="2">
        <f>ROUND(VLOOKUP($BJ145,$AI$3:$AO$33,MATCH(BS$3,$AI$3:$AO$3,0),FALSE)+$BL145/VLOOKUP(VLOOKUP($BJ145,坦克个性化设定!$B$18:$E$48,4,FALSE)&amp;$BK145,坦克属性分配比例,MATCH("升星次数",坦克属性分配比例标头,0),FALSE)*VLOOKUP($BJ145,$AR$3:$AY$33,MATCH(BS$3,$AR$3:$AY$3,0),FALSE),1)</f>
        <v>43.4</v>
      </c>
      <c r="BT145" s="2">
        <f>ROUND(VLOOKUP($BJ145,$AI$3:$AO$33,MATCH(BT$3,$AI$3:$AO$3,0),FALSE)+$BL145/VLOOKUP(VLOOKUP($BJ145,坦克个性化设定!$B$18:$E$48,4,FALSE)&amp;$BK145,坦克属性分配比例,MATCH("升星次数",坦克属性分配比例标头,0),FALSE)*VLOOKUP($BJ145,$AR$3:$AY$33,MATCH(BT$3,$AR$3:$AY$3,0),FALSE),1)</f>
        <v>60.9</v>
      </c>
      <c r="BU145" s="2">
        <f>ROUND(VLOOKUP($BJ145,$AI$3:$AO$33,MATCH(BU$3,$AI$3:$AO$3,0),FALSE)+$BL145/VLOOKUP(VLOOKUP($BJ145,坦克个性化设定!$B$18:$E$48,4,FALSE)&amp;$BK145,坦克属性分配比例,MATCH("升星次数",坦克属性分配比例标头,0),FALSE)*VLOOKUP($BJ145,$AR$3:$AY$33,MATCH(BU$3,$AR$3:$AY$3,0),FALSE),1)</f>
        <v>7.3</v>
      </c>
      <c r="BV145" s="2">
        <f>IF(VLOOKUP(BJ145,坦克个性化设定!$B$18:$BC$48,MATCH("装弹类型",坦克个性化设定!$B$18:$BC$18,0),FALSE)="弹夹换弹",0,ROUND(VLOOKUP($BJ145,$AI$3:$AO$33,MATCH("换弹时间",$AI$3:$AO$3,0),FALSE)-$BL145/VLOOKUP(VLOOKUP($BJ145,坦克个性化设定!$B$18:$E$48,4,FALSE)&amp;$BK145,坦克属性分配比例,MATCH("升星次数",坦克属性分配比例标头,0),FALSE)*VLOOKUP($BJ145,$AR$3:$AY$33,MATCH("换弹时间",$AR$3:$AY$3,0),FALSE),2))</f>
        <v>2.11</v>
      </c>
      <c r="BW145" s="2">
        <f>IF(VLOOKUP(BJ145,坦克个性化设定!$B$18:$BC$48,MATCH("装弹类型",坦克个性化设定!$B$18:$BC$18,0),FALSE)="弹夹换弹",ROUND(VLOOKUP($BJ145,$AI$3:$AO$33,MATCH("换弹时间",$AI$3:$AO$3,0),FALSE)-$BL145/VLOOKUP(VLOOKUP($BJ145,坦克个性化设定!$B$18:$E$48,4,FALSE)&amp;$BK145,坦克属性分配比例,MATCH("升星次数",坦克属性分配比例标头,0),FALSE)*VLOOKUP($BJ145,$AR$3:$AY$33,MATCH("换弹时间",$AR$3:$AY$3,0),FALSE),1),0)</f>
        <v>0</v>
      </c>
      <c r="BX145" s="2">
        <f>ROUND(VLOOKUP($BJ145,$AI$3:$AO$33,MATCH(BX$3,$AI$3:$AO$3,0),FALSE)+$BL145/VLOOKUP(VLOOKUP($BJ145,坦克个性化设定!$B$18:$E$48,4,FALSE)&amp;$BK145,坦克属性分配比例,MATCH("升星次数",坦克属性分配比例标头,0),FALSE)*VLOOKUP($BJ145,$AR$3:$AY$33,MATCH(BX$3,$AR$3:$AY$3,0),FALSE),2)</f>
        <v>0.4</v>
      </c>
      <c r="BY145" s="2">
        <f>ROUND(VLOOKUP($BJ145,$AI$3:$AO$33,MATCH(BY$3,$AI$3:$AO$3,0),FALSE)-$BL145/VLOOKUP(VLOOKUP($BJ145,坦克个性化设定!$B$18:$E$48,4,FALSE)&amp;$BK145,坦克属性分配比例,MATCH("升星次数",坦克属性分配比例标头,0),FALSE)*VLOOKUP($BJ145,$AR$3:$AY$33,MATCH(BY$3,$AR$3:$AY$3,0),FALSE),2)</f>
        <v>1.22</v>
      </c>
    </row>
    <row r="146" spans="60:77" x14ac:dyDescent="0.3">
      <c r="BH146" s="2" t="str">
        <f t="shared" si="27"/>
        <v>谢尔曼8</v>
      </c>
      <c r="BI146" s="2">
        <f>IF(BL145&gt;=VLOOKUP(VLOOKUP(BJ145,坦克个性化设定!$B$18:$E$48,4,FALSE)&amp;BK145,坦克属性分配比例,MATCH("升星次数",坦克属性分配比例标头,0),FALSE),BI145+1,BI145)</f>
        <v>15</v>
      </c>
      <c r="BJ146" s="2" t="str">
        <f t="shared" si="28"/>
        <v>谢尔曼</v>
      </c>
      <c r="BK146" s="29" t="str">
        <f>VLOOKUP(BJ146,坦克个性化细分!$I$3:$J$33,2,FALSE)</f>
        <v>中</v>
      </c>
      <c r="BL146" s="2">
        <f t="shared" si="26"/>
        <v>8</v>
      </c>
      <c r="BM146" s="103">
        <f ca="1">ROUND(VLOOKUP($BJ146&amp;"初始",$S$3:$AE$63,MATCH(BM$3,$S$3:$AE$3,0),FALSE)+((VLOOKUP($BJ146&amp;"最终",$S$3:$AE$63,MATCH(BM$3,$S$3:$AE$3,0),FALSE)*坦克个性化细分!$C$9-VLOOKUP($BJ146&amp;"初始",$S$3:$AE$63,MATCH(BM$3,$S$3:$AE$3,0),FALSE))-(VLOOKUP($BJ146&amp;"最终",$S$3:$AE$63,MATCH(BM$3,$S$3:$AE$3,0),FALSE)-VLOOKUP($BJ146&amp;"初始",$S$3:$AE$63,MATCH(BM$3,$S$3:$AE$3,0),FALSE))*VLOOKUP(VLOOKUP($BJ146,坦克个性化设定!$B$18:$E$48,4,FALSE)&amp;$BK146,坦克属性分配比例,MATCH("部件比例",坦克属性分配比例标头,0),FALSE))*$BL146/VLOOKUP(VLOOKUP($BJ146,坦克个性化设定!$B$18:$E$48,4,FALSE)&amp;$BK146,坦克属性分配比例,MATCH("升星次数",坦克属性分配比例标头,0),FALSE),0)</f>
        <v>1888</v>
      </c>
      <c r="BN146" s="103">
        <f ca="1">ROUND(VLOOKUP($BJ146&amp;"初始",$S$3:$AE$63,MATCH(BN$3,$S$3:$AE$3,0),FALSE)+(VLOOKUP($BJ146&amp;"最终",$S$3:$AE$63,MATCH(BN$3,$S$3:$AE$3,0),FALSE)-VLOOKUP($BJ146&amp;"初始",$S$3:$AE$63,MATCH(BN$3,$S$3:$AE$3,0),FALSE))*$BL146/VLOOKUP(VLOOKUP($BJ146,坦克个性化设定!$B$18:$E$48,4,FALSE)&amp;$BK146,坦克属性分配比例,MATCH("升星次数",坦克属性分配比例标头,0),FALSE)*VLOOKUP(VLOOKUP($BJ146,坦克个性化设定!$B$18:$E$48,4,FALSE)&amp;$BK146,坦克属性分配比例,MATCH("升星比例",坦克属性分配比例标头,0),FALSE),0)</f>
        <v>206</v>
      </c>
      <c r="BO146" s="103">
        <f ca="1">ROUND(VLOOKUP($BJ146&amp;"初始",$S$3:$AE$63,MATCH(BO$3,$S$3:$AE$3,0),FALSE)+(VLOOKUP($BJ146&amp;"最终",$S$3:$AE$63,MATCH(BO$3,$S$3:$AE$3,0),FALSE)-VLOOKUP($BJ146&amp;"初始",$S$3:$AE$63,MATCH(BO$3,$S$3:$AE$3,0),FALSE))*$BL146/VLOOKUP(VLOOKUP($BJ146,坦克个性化设定!$B$18:$E$48,4,FALSE)&amp;$BK146,坦克属性分配比例,MATCH("升星次数",坦克属性分配比例标头,0),FALSE)*(VLOOKUP(VLOOKUP($BJ146,坦克个性化设定!$B$18:$E$48,4,FALSE)&amp;$BK146,坦克属性分配比例,MATCH("升星比例",坦克属性分配比例标头,0),FALSE)+VLOOKUP(VLOOKUP($BJ146,坦克个性化设定!$B$18:$E$48,4,FALSE)&amp;$BK146,坦克属性分配比例,MATCH("部件比例",坦克属性分配比例标头,0),FALSE)*$C$3),0)</f>
        <v>687</v>
      </c>
      <c r="BP146" s="103">
        <f ca="1">ROUND(VLOOKUP($BJ146&amp;"初始",$S$3:$AE$63,MATCH(BP$3,$S$3:$AE$3,0),FALSE)+(VLOOKUP($BJ146&amp;"最终",$S$3:$AE$63,MATCH(BP$3,$S$3:$AE$3,0),FALSE)-VLOOKUP($BJ146&amp;"初始",$S$3:$AE$63,MATCH(BP$3,$S$3:$AE$3,0),FALSE))*$BL146/VLOOKUP(VLOOKUP($BJ146,坦克个性化设定!$B$18:$E$48,4,FALSE)&amp;$BK146,坦克属性分配比例,MATCH("升星次数",坦克属性分配比例标头,0),FALSE)*(VLOOKUP(VLOOKUP($BJ146,坦克个性化设定!$B$18:$E$48,4,FALSE)&amp;$BK146,坦克属性分配比例,MATCH("升星比例",坦克属性分配比例标头,0),FALSE)+VLOOKUP(VLOOKUP($BJ146,坦克个性化设定!$B$18:$E$48,4,FALSE)&amp;$BK146,坦克属性分配比例,MATCH("部件比例",坦克属性分配比例标头,0),FALSE)*$C$3),0)</f>
        <v>516</v>
      </c>
      <c r="BQ146" s="103">
        <f ca="1">ROUND(VLOOKUP($BJ146&amp;"初始",$S$3:$AE$63,MATCH(BQ$3,$S$3:$AE$3,0),FALSE)+(VLOOKUP($BJ146&amp;"最终",$S$3:$AE$63,MATCH(BQ$3,$S$3:$AE$3,0),FALSE)-VLOOKUP($BJ146&amp;"初始",$S$3:$AE$63,MATCH(BQ$3,$S$3:$AE$3,0),FALSE))*$BL146/VLOOKUP(VLOOKUP($BJ146,坦克个性化设定!$B$18:$E$48,4,FALSE)&amp;$BK146,坦克属性分配比例,MATCH("升星次数",坦克属性分配比例标头,0),FALSE)*VLOOKUP(VLOOKUP($BJ146,坦克个性化设定!$B$18:$E$48,4,FALSE)&amp;$BK146,坦克属性分配比例,MATCH("升星比例",坦克属性分配比例标头,0),FALSE),0)</f>
        <v>696</v>
      </c>
      <c r="BR146" s="2">
        <f ca="1">ROUND(VLOOKUP($BJ146&amp;"初始",$S$3:$AE$63,MATCH(BR$3,$S$3:$AE$3,0),FALSE)+(VLOOKUP($BJ146&amp;"最终",$S$3:$AE$63,MATCH(BR$3,$S$3:$AE$3,0),FALSE)-VLOOKUP($BJ146&amp;"初始",$S$3:$AE$63,MATCH(BR$3,$S$3:$AE$3,0),FALSE))*$BL146/VLOOKUP(VLOOKUP($BJ146,坦克个性化设定!$B$18:$E$48,4,FALSE)&amp;$BK146,坦克属性分配比例,MATCH("升星次数",坦克属性分配比例标头,0),FALSE),0)</f>
        <v>190</v>
      </c>
      <c r="BS146" s="2">
        <f>ROUND(VLOOKUP($BJ146,$AI$3:$AO$33,MATCH(BS$3,$AI$3:$AO$3,0),FALSE)+$BL146/VLOOKUP(VLOOKUP($BJ146,坦克个性化设定!$B$18:$E$48,4,FALSE)&amp;$BK146,坦克属性分配比例,MATCH("升星次数",坦克属性分配比例标头,0),FALSE)*VLOOKUP($BJ146,$AR$3:$AY$33,MATCH(BS$3,$AR$3:$AY$3,0),FALSE),1)</f>
        <v>44.4</v>
      </c>
      <c r="BT146" s="2">
        <f>ROUND(VLOOKUP($BJ146,$AI$3:$AO$33,MATCH(BT$3,$AI$3:$AO$3,0),FALSE)+$BL146/VLOOKUP(VLOOKUP($BJ146,坦克个性化设定!$B$18:$E$48,4,FALSE)&amp;$BK146,坦克属性分配比例,MATCH("升星次数",坦克属性分配比例标头,0),FALSE)*VLOOKUP($BJ146,$AR$3:$AY$33,MATCH(BT$3,$AR$3:$AY$3,0),FALSE),1)</f>
        <v>62.3</v>
      </c>
      <c r="BU146" s="2">
        <f>ROUND(VLOOKUP($BJ146,$AI$3:$AO$33,MATCH(BU$3,$AI$3:$AO$3,0),FALSE)+$BL146/VLOOKUP(VLOOKUP($BJ146,坦克个性化设定!$B$18:$E$48,4,FALSE)&amp;$BK146,坦克属性分配比例,MATCH("升星次数",坦克属性分配比例标头,0),FALSE)*VLOOKUP($BJ146,$AR$3:$AY$33,MATCH(BU$3,$AR$3:$AY$3,0),FALSE),1)</f>
        <v>7.3</v>
      </c>
      <c r="BV146" s="2">
        <f>IF(VLOOKUP(BJ146,坦克个性化设定!$B$18:$BC$48,MATCH("装弹类型",坦克个性化设定!$B$18:$BC$18,0),FALSE)="弹夹换弹",0,ROUND(VLOOKUP($BJ146,$AI$3:$AO$33,MATCH("换弹时间",$AI$3:$AO$3,0),FALSE)-$BL146/VLOOKUP(VLOOKUP($BJ146,坦克个性化设定!$B$18:$E$48,4,FALSE)&amp;$BK146,坦克属性分配比例,MATCH("升星次数",坦克属性分配比例标头,0),FALSE)*VLOOKUP($BJ146,$AR$3:$AY$33,MATCH("换弹时间",$AR$3:$AY$3,0),FALSE),2))</f>
        <v>2.0699999999999998</v>
      </c>
      <c r="BW146" s="2">
        <f>IF(VLOOKUP(BJ146,坦克个性化设定!$B$18:$BC$48,MATCH("装弹类型",坦克个性化设定!$B$18:$BC$18,0),FALSE)="弹夹换弹",ROUND(VLOOKUP($BJ146,$AI$3:$AO$33,MATCH("换弹时间",$AI$3:$AO$3,0),FALSE)-$BL146/VLOOKUP(VLOOKUP($BJ146,坦克个性化设定!$B$18:$E$48,4,FALSE)&amp;$BK146,坦克属性分配比例,MATCH("升星次数",坦克属性分配比例标头,0),FALSE)*VLOOKUP($BJ146,$AR$3:$AY$33,MATCH("换弹时间",$AR$3:$AY$3,0),FALSE),1),0)</f>
        <v>0</v>
      </c>
      <c r="BX146" s="2">
        <f>ROUND(VLOOKUP($BJ146,$AI$3:$AO$33,MATCH(BX$3,$AI$3:$AO$3,0),FALSE)+$BL146/VLOOKUP(VLOOKUP($BJ146,坦克个性化设定!$B$18:$E$48,4,FALSE)&amp;$BK146,坦克属性分配比例,MATCH("升星次数",坦克属性分配比例标头,0),FALSE)*VLOOKUP($BJ146,$AR$3:$AY$33,MATCH(BX$3,$AR$3:$AY$3,0),FALSE),2)</f>
        <v>0.4</v>
      </c>
      <c r="BY146" s="2">
        <f>ROUND(VLOOKUP($BJ146,$AI$3:$AO$33,MATCH(BY$3,$AI$3:$AO$3,0),FALSE)-$BL146/VLOOKUP(VLOOKUP($BJ146,坦克个性化设定!$B$18:$E$48,4,FALSE)&amp;$BK146,坦克属性分配比例,MATCH("升星次数",坦克属性分配比例标头,0),FALSE)*VLOOKUP($BJ146,$AR$3:$AY$33,MATCH(BY$3,$AR$3:$AY$3,0),FALSE),2)</f>
        <v>1.19</v>
      </c>
    </row>
    <row r="147" spans="60:77" x14ac:dyDescent="0.3">
      <c r="BH147" s="2" t="str">
        <f t="shared" si="27"/>
        <v>谢尔曼9</v>
      </c>
      <c r="BI147" s="2">
        <f>IF(BL146&gt;=VLOOKUP(VLOOKUP(BJ146,坦克个性化设定!$B$18:$E$48,4,FALSE)&amp;BK146,坦克属性分配比例,MATCH("升星次数",坦克属性分配比例标头,0),FALSE),BI146+1,BI146)</f>
        <v>15</v>
      </c>
      <c r="BJ147" s="2" t="str">
        <f t="shared" si="28"/>
        <v>谢尔曼</v>
      </c>
      <c r="BK147" s="29" t="str">
        <f>VLOOKUP(BJ147,坦克个性化细分!$I$3:$J$33,2,FALSE)</f>
        <v>中</v>
      </c>
      <c r="BL147" s="2">
        <f t="shared" si="26"/>
        <v>9</v>
      </c>
      <c r="BM147" s="103">
        <f ca="1">ROUND(VLOOKUP($BJ147&amp;"初始",$S$3:$AE$63,MATCH(BM$3,$S$3:$AE$3,0),FALSE)+((VLOOKUP($BJ147&amp;"最终",$S$3:$AE$63,MATCH(BM$3,$S$3:$AE$3,0),FALSE)*坦克个性化细分!$C$9-VLOOKUP($BJ147&amp;"初始",$S$3:$AE$63,MATCH(BM$3,$S$3:$AE$3,0),FALSE))-(VLOOKUP($BJ147&amp;"最终",$S$3:$AE$63,MATCH(BM$3,$S$3:$AE$3,0),FALSE)-VLOOKUP($BJ147&amp;"初始",$S$3:$AE$63,MATCH(BM$3,$S$3:$AE$3,0),FALSE))*VLOOKUP(VLOOKUP($BJ147,坦克个性化设定!$B$18:$E$48,4,FALSE)&amp;$BK147,坦克属性分配比例,MATCH("部件比例",坦克属性分配比例标头,0),FALSE))*$BL147/VLOOKUP(VLOOKUP($BJ147,坦克个性化设定!$B$18:$E$48,4,FALSE)&amp;$BK147,坦克属性分配比例,MATCH("升星次数",坦克属性分配比例标头,0),FALSE),0)</f>
        <v>1961</v>
      </c>
      <c r="BN147" s="103">
        <f ca="1">ROUND(VLOOKUP($BJ147&amp;"初始",$S$3:$AE$63,MATCH(BN$3,$S$3:$AE$3,0),FALSE)+(VLOOKUP($BJ147&amp;"最终",$S$3:$AE$63,MATCH(BN$3,$S$3:$AE$3,0),FALSE)-VLOOKUP($BJ147&amp;"初始",$S$3:$AE$63,MATCH(BN$3,$S$3:$AE$3,0),FALSE))*$BL147/VLOOKUP(VLOOKUP($BJ147,坦克个性化设定!$B$18:$E$48,4,FALSE)&amp;$BK147,坦克属性分配比例,MATCH("升星次数",坦克属性分配比例标头,0),FALSE)*VLOOKUP(VLOOKUP($BJ147,坦克个性化设定!$B$18:$E$48,4,FALSE)&amp;$BK147,坦克属性分配比例,MATCH("升星比例",坦克属性分配比例标头,0),FALSE),0)</f>
        <v>211</v>
      </c>
      <c r="BO147" s="103">
        <f ca="1">ROUND(VLOOKUP($BJ147&amp;"初始",$S$3:$AE$63,MATCH(BO$3,$S$3:$AE$3,0),FALSE)+(VLOOKUP($BJ147&amp;"最终",$S$3:$AE$63,MATCH(BO$3,$S$3:$AE$3,0),FALSE)-VLOOKUP($BJ147&amp;"初始",$S$3:$AE$63,MATCH(BO$3,$S$3:$AE$3,0),FALSE))*$BL147/VLOOKUP(VLOOKUP($BJ147,坦克个性化设定!$B$18:$E$48,4,FALSE)&amp;$BK147,坦克属性分配比例,MATCH("升星次数",坦克属性分配比例标头,0),FALSE)*(VLOOKUP(VLOOKUP($BJ147,坦克个性化设定!$B$18:$E$48,4,FALSE)&amp;$BK147,坦克属性分配比例,MATCH("升星比例",坦克属性分配比例标头,0),FALSE)+VLOOKUP(VLOOKUP($BJ147,坦克个性化设定!$B$18:$E$48,4,FALSE)&amp;$BK147,坦克属性分配比例,MATCH("部件比例",坦克属性分配比例标头,0),FALSE)*$C$3),0)</f>
        <v>710</v>
      </c>
      <c r="BP147" s="103">
        <f ca="1">ROUND(VLOOKUP($BJ147&amp;"初始",$S$3:$AE$63,MATCH(BP$3,$S$3:$AE$3,0),FALSE)+(VLOOKUP($BJ147&amp;"最终",$S$3:$AE$63,MATCH(BP$3,$S$3:$AE$3,0),FALSE)-VLOOKUP($BJ147&amp;"初始",$S$3:$AE$63,MATCH(BP$3,$S$3:$AE$3,0),FALSE))*$BL147/VLOOKUP(VLOOKUP($BJ147,坦克个性化设定!$B$18:$E$48,4,FALSE)&amp;$BK147,坦克属性分配比例,MATCH("升星次数",坦克属性分配比例标头,0),FALSE)*(VLOOKUP(VLOOKUP($BJ147,坦克个性化设定!$B$18:$E$48,4,FALSE)&amp;$BK147,坦克属性分配比例,MATCH("升星比例",坦克属性分配比例标头,0),FALSE)+VLOOKUP(VLOOKUP($BJ147,坦克个性化设定!$B$18:$E$48,4,FALSE)&amp;$BK147,坦克属性分配比例,MATCH("部件比例",坦克属性分配比例标头,0),FALSE)*$C$3),0)</f>
        <v>533</v>
      </c>
      <c r="BQ147" s="103">
        <f ca="1">ROUND(VLOOKUP($BJ147&amp;"初始",$S$3:$AE$63,MATCH(BQ$3,$S$3:$AE$3,0),FALSE)+(VLOOKUP($BJ147&amp;"最终",$S$3:$AE$63,MATCH(BQ$3,$S$3:$AE$3,0),FALSE)-VLOOKUP($BJ147&amp;"初始",$S$3:$AE$63,MATCH(BQ$3,$S$3:$AE$3,0),FALSE))*$BL147/VLOOKUP(VLOOKUP($BJ147,坦克个性化设定!$B$18:$E$48,4,FALSE)&amp;$BK147,坦克属性分配比例,MATCH("升星次数",坦克属性分配比例标头,0),FALSE)*VLOOKUP(VLOOKUP($BJ147,坦克个性化设定!$B$18:$E$48,4,FALSE)&amp;$BK147,坦克属性分配比例,MATCH("升星比例",坦克属性分配比例标头,0),FALSE),0)</f>
        <v>714</v>
      </c>
      <c r="BR147" s="2">
        <f ca="1">ROUND(VLOOKUP($BJ147&amp;"初始",$S$3:$AE$63,MATCH(BR$3,$S$3:$AE$3,0),FALSE)+(VLOOKUP($BJ147&amp;"最终",$S$3:$AE$63,MATCH(BR$3,$S$3:$AE$3,0),FALSE)-VLOOKUP($BJ147&amp;"初始",$S$3:$AE$63,MATCH(BR$3,$S$3:$AE$3,0),FALSE))*$BL147/VLOOKUP(VLOOKUP($BJ147,坦克个性化设定!$B$18:$E$48,4,FALSE)&amp;$BK147,坦克属性分配比例,MATCH("升星次数",坦克属性分配比例标头,0),FALSE),0)</f>
        <v>197</v>
      </c>
      <c r="BS147" s="2">
        <f>ROUND(VLOOKUP($BJ147,$AI$3:$AO$33,MATCH(BS$3,$AI$3:$AO$3,0),FALSE)+$BL147/VLOOKUP(VLOOKUP($BJ147,坦克个性化设定!$B$18:$E$48,4,FALSE)&amp;$BK147,坦克属性分配比例,MATCH("升星次数",坦克属性分配比例标头,0),FALSE)*VLOOKUP($BJ147,$AR$3:$AY$33,MATCH(BS$3,$AR$3:$AY$3,0),FALSE),1)</f>
        <v>45.4</v>
      </c>
      <c r="BT147" s="2">
        <f>ROUND(VLOOKUP($BJ147,$AI$3:$AO$33,MATCH(BT$3,$AI$3:$AO$3,0),FALSE)+$BL147/VLOOKUP(VLOOKUP($BJ147,坦克个性化设定!$B$18:$E$48,4,FALSE)&amp;$BK147,坦克属性分配比例,MATCH("升星次数",坦克属性分配比例标头,0),FALSE)*VLOOKUP($BJ147,$AR$3:$AY$33,MATCH(BT$3,$AR$3:$AY$3,0),FALSE),1)</f>
        <v>63.8</v>
      </c>
      <c r="BU147" s="2">
        <f>ROUND(VLOOKUP($BJ147,$AI$3:$AO$33,MATCH(BU$3,$AI$3:$AO$3,0),FALSE)+$BL147/VLOOKUP(VLOOKUP($BJ147,坦克个性化设定!$B$18:$E$48,4,FALSE)&amp;$BK147,坦克属性分配比例,MATCH("升星次数",坦克属性分配比例标头,0),FALSE)*VLOOKUP($BJ147,$AR$3:$AY$33,MATCH(BU$3,$AR$3:$AY$3,0),FALSE),1)</f>
        <v>7.3</v>
      </c>
      <c r="BV147" s="2">
        <f>IF(VLOOKUP(BJ147,坦克个性化设定!$B$18:$BC$48,MATCH("装弹类型",坦克个性化设定!$B$18:$BC$18,0),FALSE)="弹夹换弹",0,ROUND(VLOOKUP($BJ147,$AI$3:$AO$33,MATCH("换弹时间",$AI$3:$AO$3,0),FALSE)-$BL147/VLOOKUP(VLOOKUP($BJ147,坦克个性化设定!$B$18:$E$48,4,FALSE)&amp;$BK147,坦克属性分配比例,MATCH("升星次数",坦克属性分配比例标头,0),FALSE)*VLOOKUP($BJ147,$AR$3:$AY$33,MATCH("换弹时间",$AR$3:$AY$3,0),FALSE),2))</f>
        <v>2.02</v>
      </c>
      <c r="BW147" s="2">
        <f>IF(VLOOKUP(BJ147,坦克个性化设定!$B$18:$BC$48,MATCH("装弹类型",坦克个性化设定!$B$18:$BC$18,0),FALSE)="弹夹换弹",ROUND(VLOOKUP($BJ147,$AI$3:$AO$33,MATCH("换弹时间",$AI$3:$AO$3,0),FALSE)-$BL147/VLOOKUP(VLOOKUP($BJ147,坦克个性化设定!$B$18:$E$48,4,FALSE)&amp;$BK147,坦克属性分配比例,MATCH("升星次数",坦克属性分配比例标头,0),FALSE)*VLOOKUP($BJ147,$AR$3:$AY$33,MATCH("换弹时间",$AR$3:$AY$3,0),FALSE),1),0)</f>
        <v>0</v>
      </c>
      <c r="BX147" s="2">
        <f>ROUND(VLOOKUP($BJ147,$AI$3:$AO$33,MATCH(BX$3,$AI$3:$AO$3,0),FALSE)+$BL147/VLOOKUP(VLOOKUP($BJ147,坦克个性化设定!$B$18:$E$48,4,FALSE)&amp;$BK147,坦克属性分配比例,MATCH("升星次数",坦克属性分配比例标头,0),FALSE)*VLOOKUP($BJ147,$AR$3:$AY$33,MATCH(BX$3,$AR$3:$AY$3,0),FALSE),2)</f>
        <v>0.4</v>
      </c>
      <c r="BY147" s="2">
        <f>ROUND(VLOOKUP($BJ147,$AI$3:$AO$33,MATCH(BY$3,$AI$3:$AO$3,0),FALSE)-$BL147/VLOOKUP(VLOOKUP($BJ147,坦克个性化设定!$B$18:$E$48,4,FALSE)&amp;$BK147,坦克属性分配比例,MATCH("升星次数",坦克属性分配比例标头,0),FALSE)*VLOOKUP($BJ147,$AR$3:$AY$33,MATCH(BY$3,$AR$3:$AY$3,0),FALSE),2)</f>
        <v>1.17</v>
      </c>
    </row>
    <row r="148" spans="60:77" x14ac:dyDescent="0.3">
      <c r="BH148" s="2" t="str">
        <f t="shared" si="27"/>
        <v>彗星0</v>
      </c>
      <c r="BI148" s="2">
        <f>IF(BL147&gt;=VLOOKUP(VLOOKUP(BJ147,坦克个性化设定!$B$18:$E$48,4,FALSE)&amp;BK147,坦克属性分配比例,MATCH("升星次数",坦克属性分配比例标头,0),FALSE),BI147+1,BI147)</f>
        <v>16</v>
      </c>
      <c r="BJ148" s="2" t="str">
        <f t="shared" si="28"/>
        <v>彗星</v>
      </c>
      <c r="BK148" s="29" t="str">
        <f>VLOOKUP(BJ148,坦克个性化细分!$I$3:$J$33,2,FALSE)</f>
        <v>高</v>
      </c>
      <c r="BL148" s="2">
        <f t="shared" si="26"/>
        <v>0</v>
      </c>
      <c r="BM148" s="103">
        <f ca="1">ROUND(VLOOKUP($BJ148&amp;"初始",$S$3:$AE$63,MATCH(BM$3,$S$3:$AE$3,0),FALSE)+((VLOOKUP($BJ148&amp;"最终",$S$3:$AE$63,MATCH(BM$3,$S$3:$AE$3,0),FALSE)*坦克个性化细分!$C$9-VLOOKUP($BJ148&amp;"初始",$S$3:$AE$63,MATCH(BM$3,$S$3:$AE$3,0),FALSE))-(VLOOKUP($BJ148&amp;"最终",$S$3:$AE$63,MATCH(BM$3,$S$3:$AE$3,0),FALSE)-VLOOKUP($BJ148&amp;"初始",$S$3:$AE$63,MATCH(BM$3,$S$3:$AE$3,0),FALSE))*VLOOKUP(VLOOKUP($BJ148,坦克个性化设定!$B$18:$E$48,4,FALSE)&amp;$BK148,坦克属性分配比例,MATCH("部件比例",坦克属性分配比例标头,0),FALSE))*$BL148/VLOOKUP(VLOOKUP($BJ148,坦克个性化设定!$B$18:$E$48,4,FALSE)&amp;$BK148,坦克属性分配比例,MATCH("升星次数",坦克属性分配比例标头,0),FALSE),0)</f>
        <v>1337</v>
      </c>
      <c r="BN148" s="103">
        <f ca="1">ROUND(VLOOKUP($BJ148&amp;"初始",$S$3:$AE$63,MATCH(BN$3,$S$3:$AE$3,0),FALSE)+(VLOOKUP($BJ148&amp;"最终",$S$3:$AE$63,MATCH(BN$3,$S$3:$AE$3,0),FALSE)-VLOOKUP($BJ148&amp;"初始",$S$3:$AE$63,MATCH(BN$3,$S$3:$AE$3,0),FALSE))*$BL148/VLOOKUP(VLOOKUP($BJ148,坦克个性化设定!$B$18:$E$48,4,FALSE)&amp;$BK148,坦克属性分配比例,MATCH("升星次数",坦克属性分配比例标头,0),FALSE)*VLOOKUP(VLOOKUP($BJ148,坦克个性化设定!$B$18:$E$48,4,FALSE)&amp;$BK148,坦克属性分配比例,MATCH("升星比例",坦克属性分配比例标头,0),FALSE),0)</f>
        <v>163</v>
      </c>
      <c r="BO148" s="103">
        <f ca="1">ROUND(VLOOKUP($BJ148&amp;"初始",$S$3:$AE$63,MATCH(BO$3,$S$3:$AE$3,0),FALSE)+(VLOOKUP($BJ148&amp;"最终",$S$3:$AE$63,MATCH(BO$3,$S$3:$AE$3,0),FALSE)-VLOOKUP($BJ148&amp;"初始",$S$3:$AE$63,MATCH(BO$3,$S$3:$AE$3,0),FALSE))*$BL148/VLOOKUP(VLOOKUP($BJ148,坦克个性化设定!$B$18:$E$48,4,FALSE)&amp;$BK148,坦克属性分配比例,MATCH("升星次数",坦克属性分配比例标头,0),FALSE)*(VLOOKUP(VLOOKUP($BJ148,坦克个性化设定!$B$18:$E$48,4,FALSE)&amp;$BK148,坦克属性分配比例,MATCH("升星比例",坦克属性分配比例标头,0),FALSE)+VLOOKUP(VLOOKUP($BJ148,坦克个性化设定!$B$18:$E$48,4,FALSE)&amp;$BK148,坦克属性分配比例,MATCH("部件比例",坦克属性分配比例标头,0),FALSE)*$C$3),0)</f>
        <v>506</v>
      </c>
      <c r="BP148" s="103">
        <f ca="1">ROUND(VLOOKUP($BJ148&amp;"初始",$S$3:$AE$63,MATCH(BP$3,$S$3:$AE$3,0),FALSE)+(VLOOKUP($BJ148&amp;"最终",$S$3:$AE$63,MATCH(BP$3,$S$3:$AE$3,0),FALSE)-VLOOKUP($BJ148&amp;"初始",$S$3:$AE$63,MATCH(BP$3,$S$3:$AE$3,0),FALSE))*$BL148/VLOOKUP(VLOOKUP($BJ148,坦克个性化设定!$B$18:$E$48,4,FALSE)&amp;$BK148,坦克属性分配比例,MATCH("升星次数",坦克属性分配比例标头,0),FALSE)*(VLOOKUP(VLOOKUP($BJ148,坦克个性化设定!$B$18:$E$48,4,FALSE)&amp;$BK148,坦克属性分配比例,MATCH("升星比例",坦克属性分配比例标头,0),FALSE)+VLOOKUP(VLOOKUP($BJ148,坦克个性化设定!$B$18:$E$48,4,FALSE)&amp;$BK148,坦克属性分配比例,MATCH("部件比例",坦克属性分配比例标头,0),FALSE)*$C$3),0)</f>
        <v>380</v>
      </c>
      <c r="BQ148" s="103">
        <f ca="1">ROUND(VLOOKUP($BJ148&amp;"初始",$S$3:$AE$63,MATCH(BQ$3,$S$3:$AE$3,0),FALSE)+(VLOOKUP($BJ148&amp;"最终",$S$3:$AE$63,MATCH(BQ$3,$S$3:$AE$3,0),FALSE)-VLOOKUP($BJ148&amp;"初始",$S$3:$AE$63,MATCH(BQ$3,$S$3:$AE$3,0),FALSE))*$BL148/VLOOKUP(VLOOKUP($BJ148,坦克个性化设定!$B$18:$E$48,4,FALSE)&amp;$BK148,坦克属性分配比例,MATCH("升星次数",坦克属性分配比例标头,0),FALSE)*VLOOKUP(VLOOKUP($BJ148,坦克个性化设定!$B$18:$E$48,4,FALSE)&amp;$BK148,坦克属性分配比例,MATCH("升星比例",坦克属性分配比例标头,0),FALSE),0)</f>
        <v>554</v>
      </c>
      <c r="BR148" s="2">
        <f ca="1">ROUND(VLOOKUP($BJ148&amp;"初始",$S$3:$AE$63,MATCH(BR$3,$S$3:$AE$3,0),FALSE)+(VLOOKUP($BJ148&amp;"最终",$S$3:$AE$63,MATCH(BR$3,$S$3:$AE$3,0),FALSE)-VLOOKUP($BJ148&amp;"初始",$S$3:$AE$63,MATCH(BR$3,$S$3:$AE$3,0),FALSE))*$BL148/VLOOKUP(VLOOKUP($BJ148,坦克个性化设定!$B$18:$E$48,4,FALSE)&amp;$BK148,坦克属性分配比例,MATCH("升星次数",坦克属性分配比例标头,0),FALSE),0)</f>
        <v>133</v>
      </c>
      <c r="BS148" s="2">
        <f>ROUND(VLOOKUP($BJ148,$AI$3:$AO$33,MATCH(BS$3,$AI$3:$AO$3,0),FALSE)+$BL148/VLOOKUP(VLOOKUP($BJ148,坦克个性化设定!$B$18:$E$48,4,FALSE)&amp;$BK148,坦克属性分配比例,MATCH("升星次数",坦克属性分配比例标头,0),FALSE)*VLOOKUP($BJ148,$AR$3:$AY$33,MATCH(BS$3,$AR$3:$AY$3,0),FALSE),1)</f>
        <v>37.4</v>
      </c>
      <c r="BT148" s="2">
        <f>ROUND(VLOOKUP($BJ148,$AI$3:$AO$33,MATCH(BT$3,$AI$3:$AO$3,0),FALSE)+$BL148/VLOOKUP(VLOOKUP($BJ148,坦克个性化设定!$B$18:$E$48,4,FALSE)&amp;$BK148,坦克属性分配比例,MATCH("升星次数",坦克属性分配比例标头,0),FALSE)*VLOOKUP($BJ148,$AR$3:$AY$33,MATCH(BT$3,$AR$3:$AY$3,0),FALSE),1)</f>
        <v>52.5</v>
      </c>
      <c r="BU148" s="2">
        <f>ROUND(VLOOKUP($BJ148,$AI$3:$AO$33,MATCH(BU$3,$AI$3:$AO$3,0),FALSE)+$BL148/VLOOKUP(VLOOKUP($BJ148,坦克个性化设定!$B$18:$E$48,4,FALSE)&amp;$BK148,坦克属性分配比例,MATCH("升星次数",坦克属性分配比例标头,0),FALSE)*VLOOKUP($BJ148,$AR$3:$AY$33,MATCH(BU$3,$AR$3:$AY$3,0),FALSE),1)</f>
        <v>7.6</v>
      </c>
      <c r="BV148" s="2">
        <f>IF(VLOOKUP(BJ148,坦克个性化设定!$B$18:$BC$48,MATCH("装弹类型",坦克个性化设定!$B$18:$BC$18,0),FALSE)="弹夹换弹",0,ROUND(VLOOKUP($BJ148,$AI$3:$AO$33,MATCH("换弹时间",$AI$3:$AO$3,0),FALSE)-$BL148/VLOOKUP(VLOOKUP($BJ148,坦克个性化设定!$B$18:$E$48,4,FALSE)&amp;$BK148,坦克属性分配比例,MATCH("升星次数",坦克属性分配比例标头,0),FALSE)*VLOOKUP($BJ148,$AR$3:$AY$33,MATCH("换弹时间",$AR$3:$AY$3,0),FALSE),2))</f>
        <v>3</v>
      </c>
      <c r="BW148" s="2">
        <f>IF(VLOOKUP(BJ148,坦克个性化设定!$B$18:$BC$48,MATCH("装弹类型",坦克个性化设定!$B$18:$BC$18,0),FALSE)="弹夹换弹",ROUND(VLOOKUP($BJ148,$AI$3:$AO$33,MATCH("换弹时间",$AI$3:$AO$3,0),FALSE)-$BL148/VLOOKUP(VLOOKUP($BJ148,坦克个性化设定!$B$18:$E$48,4,FALSE)&amp;$BK148,坦克属性分配比例,MATCH("升星次数",坦克属性分配比例标头,0),FALSE)*VLOOKUP($BJ148,$AR$3:$AY$33,MATCH("换弹时间",$AR$3:$AY$3,0),FALSE),1),0)</f>
        <v>0</v>
      </c>
      <c r="BX148" s="2">
        <f>ROUND(VLOOKUP($BJ148,$AI$3:$AO$33,MATCH(BX$3,$AI$3:$AO$3,0),FALSE)+$BL148/VLOOKUP(VLOOKUP($BJ148,坦克个性化设定!$B$18:$E$48,4,FALSE)&amp;$BK148,坦克属性分配比例,MATCH("升星次数",坦克属性分配比例标头,0),FALSE)*VLOOKUP($BJ148,$AR$3:$AY$33,MATCH(BX$3,$AR$3:$AY$3,0),FALSE),2)</f>
        <v>0.4</v>
      </c>
      <c r="BY148" s="2">
        <f>ROUND(VLOOKUP($BJ148,$AI$3:$AO$33,MATCH(BY$3,$AI$3:$AO$3,0),FALSE)-$BL148/VLOOKUP(VLOOKUP($BJ148,坦克个性化设定!$B$18:$E$48,4,FALSE)&amp;$BK148,坦克属性分配比例,MATCH("升星次数",坦克属性分配比例标头,0),FALSE)*VLOOKUP($BJ148,$AR$3:$AY$33,MATCH(BY$3,$AR$3:$AY$3,0),FALSE),2)</f>
        <v>1.1499999999999999</v>
      </c>
    </row>
    <row r="149" spans="60:77" x14ac:dyDescent="0.3">
      <c r="BH149" s="2" t="str">
        <f t="shared" si="27"/>
        <v>彗星1</v>
      </c>
      <c r="BI149" s="2">
        <f>IF(BL148&gt;=VLOOKUP(VLOOKUP(BJ148,坦克个性化设定!$B$18:$E$48,4,FALSE)&amp;BK148,坦克属性分配比例,MATCH("升星次数",坦克属性分配比例标头,0),FALSE),BI148+1,BI148)</f>
        <v>16</v>
      </c>
      <c r="BJ149" s="2" t="str">
        <f t="shared" si="28"/>
        <v>彗星</v>
      </c>
      <c r="BK149" s="29" t="str">
        <f>VLOOKUP(BJ149,坦克个性化细分!$I$3:$J$33,2,FALSE)</f>
        <v>高</v>
      </c>
      <c r="BL149" s="2">
        <f t="shared" si="26"/>
        <v>1</v>
      </c>
      <c r="BM149" s="103">
        <f ca="1">ROUND(VLOOKUP($BJ149&amp;"初始",$S$3:$AE$63,MATCH(BM$3,$S$3:$AE$3,0),FALSE)+((VLOOKUP($BJ149&amp;"最终",$S$3:$AE$63,MATCH(BM$3,$S$3:$AE$3,0),FALSE)*坦克个性化细分!$C$9-VLOOKUP($BJ149&amp;"初始",$S$3:$AE$63,MATCH(BM$3,$S$3:$AE$3,0),FALSE))-(VLOOKUP($BJ149&amp;"最终",$S$3:$AE$63,MATCH(BM$3,$S$3:$AE$3,0),FALSE)-VLOOKUP($BJ149&amp;"初始",$S$3:$AE$63,MATCH(BM$3,$S$3:$AE$3,0),FALSE))*VLOOKUP(VLOOKUP($BJ149,坦克个性化设定!$B$18:$E$48,4,FALSE)&amp;$BK149,坦克属性分配比例,MATCH("部件比例",坦克属性分配比例标头,0),FALSE))*$BL149/VLOOKUP(VLOOKUP($BJ149,坦克个性化设定!$B$18:$E$48,4,FALSE)&amp;$BK149,坦克属性分配比例,MATCH("升星次数",坦克属性分配比例标头,0),FALSE),0)</f>
        <v>1413</v>
      </c>
      <c r="BN149" s="103">
        <f ca="1">ROUND(VLOOKUP($BJ149&amp;"初始",$S$3:$AE$63,MATCH(BN$3,$S$3:$AE$3,0),FALSE)+(VLOOKUP($BJ149&amp;"最终",$S$3:$AE$63,MATCH(BN$3,$S$3:$AE$3,0),FALSE)-VLOOKUP($BJ149&amp;"初始",$S$3:$AE$63,MATCH(BN$3,$S$3:$AE$3,0),FALSE))*$BL149/VLOOKUP(VLOOKUP($BJ149,坦克个性化设定!$B$18:$E$48,4,FALSE)&amp;$BK149,坦克属性分配比例,MATCH("升星次数",坦克属性分配比例标头,0),FALSE)*VLOOKUP(VLOOKUP($BJ149,坦克个性化设定!$B$18:$E$48,4,FALSE)&amp;$BK149,坦克属性分配比例,MATCH("升星比例",坦克属性分配比例标头,0),FALSE),0)</f>
        <v>169</v>
      </c>
      <c r="BO149" s="103">
        <f ca="1">ROUND(VLOOKUP($BJ149&amp;"初始",$S$3:$AE$63,MATCH(BO$3,$S$3:$AE$3,0),FALSE)+(VLOOKUP($BJ149&amp;"最终",$S$3:$AE$63,MATCH(BO$3,$S$3:$AE$3,0),FALSE)-VLOOKUP($BJ149&amp;"初始",$S$3:$AE$63,MATCH(BO$3,$S$3:$AE$3,0),FALSE))*$BL149/VLOOKUP(VLOOKUP($BJ149,坦克个性化设定!$B$18:$E$48,4,FALSE)&amp;$BK149,坦克属性分配比例,MATCH("升星次数",坦克属性分配比例标头,0),FALSE)*(VLOOKUP(VLOOKUP($BJ149,坦克个性化设定!$B$18:$E$48,4,FALSE)&amp;$BK149,坦克属性分配比例,MATCH("升星比例",坦克属性分配比例标头,0),FALSE)+VLOOKUP(VLOOKUP($BJ149,坦克个性化设定!$B$18:$E$48,4,FALSE)&amp;$BK149,坦克属性分配比例,MATCH("部件比例",坦克属性分配比例标头,0),FALSE)*$C$3),0)</f>
        <v>530</v>
      </c>
      <c r="BP149" s="103">
        <f ca="1">ROUND(VLOOKUP($BJ149&amp;"初始",$S$3:$AE$63,MATCH(BP$3,$S$3:$AE$3,0),FALSE)+(VLOOKUP($BJ149&amp;"最终",$S$3:$AE$63,MATCH(BP$3,$S$3:$AE$3,0),FALSE)-VLOOKUP($BJ149&amp;"初始",$S$3:$AE$63,MATCH(BP$3,$S$3:$AE$3,0),FALSE))*$BL149/VLOOKUP(VLOOKUP($BJ149,坦克个性化设定!$B$18:$E$48,4,FALSE)&amp;$BK149,坦克属性分配比例,MATCH("升星次数",坦克属性分配比例标头,0),FALSE)*(VLOOKUP(VLOOKUP($BJ149,坦克个性化设定!$B$18:$E$48,4,FALSE)&amp;$BK149,坦克属性分配比例,MATCH("升星比例",坦克属性分配比例标头,0),FALSE)+VLOOKUP(VLOOKUP($BJ149,坦克个性化设定!$B$18:$E$48,4,FALSE)&amp;$BK149,坦克属性分配比例,MATCH("部件比例",坦克属性分配比例标头,0),FALSE)*$C$3),0)</f>
        <v>398</v>
      </c>
      <c r="BQ149" s="103">
        <f ca="1">ROUND(VLOOKUP($BJ149&amp;"初始",$S$3:$AE$63,MATCH(BQ$3,$S$3:$AE$3,0),FALSE)+(VLOOKUP($BJ149&amp;"最终",$S$3:$AE$63,MATCH(BQ$3,$S$3:$AE$3,0),FALSE)-VLOOKUP($BJ149&amp;"初始",$S$3:$AE$63,MATCH(BQ$3,$S$3:$AE$3,0),FALSE))*$BL149/VLOOKUP(VLOOKUP($BJ149,坦克个性化设定!$B$18:$E$48,4,FALSE)&amp;$BK149,坦克属性分配比例,MATCH("升星次数",坦克属性分配比例标头,0),FALSE)*VLOOKUP(VLOOKUP($BJ149,坦克个性化设定!$B$18:$E$48,4,FALSE)&amp;$BK149,坦克属性分配比例,MATCH("升星比例",坦克属性分配比例标头,0),FALSE),0)</f>
        <v>573</v>
      </c>
      <c r="BR149" s="2">
        <f ca="1">ROUND(VLOOKUP($BJ149&amp;"初始",$S$3:$AE$63,MATCH(BR$3,$S$3:$AE$3,0),FALSE)+(VLOOKUP($BJ149&amp;"最终",$S$3:$AE$63,MATCH(BR$3,$S$3:$AE$3,0),FALSE)-VLOOKUP($BJ149&amp;"初始",$S$3:$AE$63,MATCH(BR$3,$S$3:$AE$3,0),FALSE))*$BL149/VLOOKUP(VLOOKUP($BJ149,坦克个性化设定!$B$18:$E$48,4,FALSE)&amp;$BK149,坦克属性分配比例,MATCH("升星次数",坦克属性分配比例标头,0),FALSE),0)</f>
        <v>141</v>
      </c>
      <c r="BS149" s="2">
        <f>ROUND(VLOOKUP($BJ149,$AI$3:$AO$33,MATCH(BS$3,$AI$3:$AO$3,0),FALSE)+$BL149/VLOOKUP(VLOOKUP($BJ149,坦克个性化设定!$B$18:$E$48,4,FALSE)&amp;$BK149,坦克属性分配比例,MATCH("升星次数",坦克属性分配比例标头,0),FALSE)*VLOOKUP($BJ149,$AR$3:$AY$33,MATCH(BS$3,$AR$3:$AY$3,0),FALSE),1)</f>
        <v>38.4</v>
      </c>
      <c r="BT149" s="2">
        <f>ROUND(VLOOKUP($BJ149,$AI$3:$AO$33,MATCH(BT$3,$AI$3:$AO$3,0),FALSE)+$BL149/VLOOKUP(VLOOKUP($BJ149,坦克个性化设定!$B$18:$E$48,4,FALSE)&amp;$BK149,坦克属性分配比例,MATCH("升星次数",坦克属性分配比例标头,0),FALSE)*VLOOKUP($BJ149,$AR$3:$AY$33,MATCH(BT$3,$AR$3:$AY$3,0),FALSE),1)</f>
        <v>54</v>
      </c>
      <c r="BU149" s="2">
        <f>ROUND(VLOOKUP($BJ149,$AI$3:$AO$33,MATCH(BU$3,$AI$3:$AO$3,0),FALSE)+$BL149/VLOOKUP(VLOOKUP($BJ149,坦克个性化设定!$B$18:$E$48,4,FALSE)&amp;$BK149,坦克属性分配比例,MATCH("升星次数",坦克属性分配比例标头,0),FALSE)*VLOOKUP($BJ149,$AR$3:$AY$33,MATCH(BU$3,$AR$3:$AY$3,0),FALSE),1)</f>
        <v>7.6</v>
      </c>
      <c r="BV149" s="2">
        <f>IF(VLOOKUP(BJ149,坦克个性化设定!$B$18:$BC$48,MATCH("装弹类型",坦克个性化设定!$B$18:$BC$18,0),FALSE)="弹夹换弹",0,ROUND(VLOOKUP($BJ149,$AI$3:$AO$33,MATCH("换弹时间",$AI$3:$AO$3,0),FALSE)-$BL149/VLOOKUP(VLOOKUP($BJ149,坦克个性化设定!$B$18:$E$48,4,FALSE)&amp;$BK149,坦克属性分配比例,MATCH("升星次数",坦克属性分配比例标头,0),FALSE)*VLOOKUP($BJ149,$AR$3:$AY$33,MATCH("换弹时间",$AR$3:$AY$3,0),FALSE),2))</f>
        <v>2.94</v>
      </c>
      <c r="BW149" s="2">
        <f>IF(VLOOKUP(BJ149,坦克个性化设定!$B$18:$BC$48,MATCH("装弹类型",坦克个性化设定!$B$18:$BC$18,0),FALSE)="弹夹换弹",ROUND(VLOOKUP($BJ149,$AI$3:$AO$33,MATCH("换弹时间",$AI$3:$AO$3,0),FALSE)-$BL149/VLOOKUP(VLOOKUP($BJ149,坦克个性化设定!$B$18:$E$48,4,FALSE)&amp;$BK149,坦克属性分配比例,MATCH("升星次数",坦克属性分配比例标头,0),FALSE)*VLOOKUP($BJ149,$AR$3:$AY$33,MATCH("换弹时间",$AR$3:$AY$3,0),FALSE),1),0)</f>
        <v>0</v>
      </c>
      <c r="BX149" s="2">
        <f>ROUND(VLOOKUP($BJ149,$AI$3:$AO$33,MATCH(BX$3,$AI$3:$AO$3,0),FALSE)+$BL149/VLOOKUP(VLOOKUP($BJ149,坦克个性化设定!$B$18:$E$48,4,FALSE)&amp;$BK149,坦克属性分配比例,MATCH("升星次数",坦克属性分配比例标头,0),FALSE)*VLOOKUP($BJ149,$AR$3:$AY$33,MATCH(BX$3,$AR$3:$AY$3,0),FALSE),2)</f>
        <v>0.4</v>
      </c>
      <c r="BY149" s="2">
        <f>ROUND(VLOOKUP($BJ149,$AI$3:$AO$33,MATCH(BY$3,$AI$3:$AO$3,0),FALSE)-$BL149/VLOOKUP(VLOOKUP($BJ149,坦克个性化设定!$B$18:$E$48,4,FALSE)&amp;$BK149,坦克属性分配比例,MATCH("升星次数",坦克属性分配比例标头,0),FALSE)*VLOOKUP($BJ149,$AR$3:$AY$33,MATCH(BY$3,$AR$3:$AY$3,0),FALSE),2)</f>
        <v>1.1299999999999999</v>
      </c>
    </row>
    <row r="150" spans="60:77" x14ac:dyDescent="0.3">
      <c r="BH150" s="2" t="str">
        <f t="shared" si="27"/>
        <v>彗星2</v>
      </c>
      <c r="BI150" s="2">
        <f>IF(BL149&gt;=VLOOKUP(VLOOKUP(BJ149,坦克个性化设定!$B$18:$E$48,4,FALSE)&amp;BK149,坦克属性分配比例,MATCH("升星次数",坦克属性分配比例标头,0),FALSE),BI149+1,BI149)</f>
        <v>16</v>
      </c>
      <c r="BJ150" s="2" t="str">
        <f t="shared" si="28"/>
        <v>彗星</v>
      </c>
      <c r="BK150" s="29" t="str">
        <f>VLOOKUP(BJ150,坦克个性化细分!$I$3:$J$33,2,FALSE)</f>
        <v>高</v>
      </c>
      <c r="BL150" s="2">
        <f t="shared" si="26"/>
        <v>2</v>
      </c>
      <c r="BM150" s="103">
        <f ca="1">ROUND(VLOOKUP($BJ150&amp;"初始",$S$3:$AE$63,MATCH(BM$3,$S$3:$AE$3,0),FALSE)+((VLOOKUP($BJ150&amp;"最终",$S$3:$AE$63,MATCH(BM$3,$S$3:$AE$3,0),FALSE)*坦克个性化细分!$C$9-VLOOKUP($BJ150&amp;"初始",$S$3:$AE$63,MATCH(BM$3,$S$3:$AE$3,0),FALSE))-(VLOOKUP($BJ150&amp;"最终",$S$3:$AE$63,MATCH(BM$3,$S$3:$AE$3,0),FALSE)-VLOOKUP($BJ150&amp;"初始",$S$3:$AE$63,MATCH(BM$3,$S$3:$AE$3,0),FALSE))*VLOOKUP(VLOOKUP($BJ150,坦克个性化设定!$B$18:$E$48,4,FALSE)&amp;$BK150,坦克属性分配比例,MATCH("部件比例",坦克属性分配比例标头,0),FALSE))*$BL150/VLOOKUP(VLOOKUP($BJ150,坦克个性化设定!$B$18:$E$48,4,FALSE)&amp;$BK150,坦克属性分配比例,MATCH("升星次数",坦克属性分配比例标头,0),FALSE),0)</f>
        <v>1489</v>
      </c>
      <c r="BN150" s="103">
        <f ca="1">ROUND(VLOOKUP($BJ150&amp;"初始",$S$3:$AE$63,MATCH(BN$3,$S$3:$AE$3,0),FALSE)+(VLOOKUP($BJ150&amp;"最终",$S$3:$AE$63,MATCH(BN$3,$S$3:$AE$3,0),FALSE)-VLOOKUP($BJ150&amp;"初始",$S$3:$AE$63,MATCH(BN$3,$S$3:$AE$3,0),FALSE))*$BL150/VLOOKUP(VLOOKUP($BJ150,坦克个性化设定!$B$18:$E$48,4,FALSE)&amp;$BK150,坦克属性分配比例,MATCH("升星次数",坦克属性分配比例标头,0),FALSE)*VLOOKUP(VLOOKUP($BJ150,坦克个性化设定!$B$18:$E$48,4,FALSE)&amp;$BK150,坦克属性分配比例,MATCH("升星比例",坦克属性分配比例标头,0),FALSE),0)</f>
        <v>174</v>
      </c>
      <c r="BO150" s="103">
        <f ca="1">ROUND(VLOOKUP($BJ150&amp;"初始",$S$3:$AE$63,MATCH(BO$3,$S$3:$AE$3,0),FALSE)+(VLOOKUP($BJ150&amp;"最终",$S$3:$AE$63,MATCH(BO$3,$S$3:$AE$3,0),FALSE)-VLOOKUP($BJ150&amp;"初始",$S$3:$AE$63,MATCH(BO$3,$S$3:$AE$3,0),FALSE))*$BL150/VLOOKUP(VLOOKUP($BJ150,坦克个性化设定!$B$18:$E$48,4,FALSE)&amp;$BK150,坦克属性分配比例,MATCH("升星次数",坦克属性分配比例标头,0),FALSE)*(VLOOKUP(VLOOKUP($BJ150,坦克个性化设定!$B$18:$E$48,4,FALSE)&amp;$BK150,坦克属性分配比例,MATCH("升星比例",坦克属性分配比例标头,0),FALSE)+VLOOKUP(VLOOKUP($BJ150,坦克个性化设定!$B$18:$E$48,4,FALSE)&amp;$BK150,坦克属性分配比例,MATCH("部件比例",坦克属性分配比例标头,0),FALSE)*$C$3),0)</f>
        <v>555</v>
      </c>
      <c r="BP150" s="103">
        <f ca="1">ROUND(VLOOKUP($BJ150&amp;"初始",$S$3:$AE$63,MATCH(BP$3,$S$3:$AE$3,0),FALSE)+(VLOOKUP($BJ150&amp;"最终",$S$3:$AE$63,MATCH(BP$3,$S$3:$AE$3,0),FALSE)-VLOOKUP($BJ150&amp;"初始",$S$3:$AE$63,MATCH(BP$3,$S$3:$AE$3,0),FALSE))*$BL150/VLOOKUP(VLOOKUP($BJ150,坦克个性化设定!$B$18:$E$48,4,FALSE)&amp;$BK150,坦克属性分配比例,MATCH("升星次数",坦克属性分配比例标头,0),FALSE)*(VLOOKUP(VLOOKUP($BJ150,坦克个性化设定!$B$18:$E$48,4,FALSE)&amp;$BK150,坦克属性分配比例,MATCH("升星比例",坦克属性分配比例标头,0),FALSE)+VLOOKUP(VLOOKUP($BJ150,坦克个性化设定!$B$18:$E$48,4,FALSE)&amp;$BK150,坦克属性分配比例,MATCH("部件比例",坦克属性分配比例标头,0),FALSE)*$C$3),0)</f>
        <v>416</v>
      </c>
      <c r="BQ150" s="103">
        <f ca="1">ROUND(VLOOKUP($BJ150&amp;"初始",$S$3:$AE$63,MATCH(BQ$3,$S$3:$AE$3,0),FALSE)+(VLOOKUP($BJ150&amp;"最终",$S$3:$AE$63,MATCH(BQ$3,$S$3:$AE$3,0),FALSE)-VLOOKUP($BJ150&amp;"初始",$S$3:$AE$63,MATCH(BQ$3,$S$3:$AE$3,0),FALSE))*$BL150/VLOOKUP(VLOOKUP($BJ150,坦克个性化设定!$B$18:$E$48,4,FALSE)&amp;$BK150,坦克属性分配比例,MATCH("升星次数",坦克属性分配比例标头,0),FALSE)*VLOOKUP(VLOOKUP($BJ150,坦克个性化设定!$B$18:$E$48,4,FALSE)&amp;$BK150,坦克属性分配比例,MATCH("升星比例",坦克属性分配比例标头,0),FALSE),0)</f>
        <v>592</v>
      </c>
      <c r="BR150" s="2">
        <f ca="1">ROUND(VLOOKUP($BJ150&amp;"初始",$S$3:$AE$63,MATCH(BR$3,$S$3:$AE$3,0),FALSE)+(VLOOKUP($BJ150&amp;"最终",$S$3:$AE$63,MATCH(BR$3,$S$3:$AE$3,0),FALSE)-VLOOKUP($BJ150&amp;"初始",$S$3:$AE$63,MATCH(BR$3,$S$3:$AE$3,0),FALSE))*$BL150/VLOOKUP(VLOOKUP($BJ150,坦克个性化设定!$B$18:$E$48,4,FALSE)&amp;$BK150,坦克属性分配比例,MATCH("升星次数",坦克属性分配比例标头,0),FALSE),0)</f>
        <v>148</v>
      </c>
      <c r="BS150" s="2">
        <f>ROUND(VLOOKUP($BJ150,$AI$3:$AO$33,MATCH(BS$3,$AI$3:$AO$3,0),FALSE)+$BL150/VLOOKUP(VLOOKUP($BJ150,坦克个性化设定!$B$18:$E$48,4,FALSE)&amp;$BK150,坦克属性分配比例,MATCH("升星次数",坦克属性分配比例标头,0),FALSE)*VLOOKUP($BJ150,$AR$3:$AY$33,MATCH(BS$3,$AR$3:$AY$3,0),FALSE),1)</f>
        <v>39.5</v>
      </c>
      <c r="BT150" s="2">
        <f>ROUND(VLOOKUP($BJ150,$AI$3:$AO$33,MATCH(BT$3,$AI$3:$AO$3,0),FALSE)+$BL150/VLOOKUP(VLOOKUP($BJ150,坦克个性化设定!$B$18:$E$48,4,FALSE)&amp;$BK150,坦克属性分配比例,MATCH("升星次数",坦克属性分配比例标头,0),FALSE)*VLOOKUP($BJ150,$AR$3:$AY$33,MATCH(BT$3,$AR$3:$AY$3,0),FALSE),1)</f>
        <v>55.4</v>
      </c>
      <c r="BU150" s="2">
        <f>ROUND(VLOOKUP($BJ150,$AI$3:$AO$33,MATCH(BU$3,$AI$3:$AO$3,0),FALSE)+$BL150/VLOOKUP(VLOOKUP($BJ150,坦克个性化设定!$B$18:$E$48,4,FALSE)&amp;$BK150,坦克属性分配比例,MATCH("升星次数",坦克属性分配比例标头,0),FALSE)*VLOOKUP($BJ150,$AR$3:$AY$33,MATCH(BU$3,$AR$3:$AY$3,0),FALSE),1)</f>
        <v>7.6</v>
      </c>
      <c r="BV150" s="2">
        <f>IF(VLOOKUP(BJ150,坦克个性化设定!$B$18:$BC$48,MATCH("装弹类型",坦克个性化设定!$B$18:$BC$18,0),FALSE)="弹夹换弹",0,ROUND(VLOOKUP($BJ150,$AI$3:$AO$33,MATCH("换弹时间",$AI$3:$AO$3,0),FALSE)-$BL150/VLOOKUP(VLOOKUP($BJ150,坦克个性化设定!$B$18:$E$48,4,FALSE)&amp;$BK150,坦克属性分配比例,MATCH("升星次数",坦克属性分配比例标头,0),FALSE)*VLOOKUP($BJ150,$AR$3:$AY$33,MATCH("换弹时间",$AR$3:$AY$3,0),FALSE),2))</f>
        <v>2.88</v>
      </c>
      <c r="BW150" s="2">
        <f>IF(VLOOKUP(BJ150,坦克个性化设定!$B$18:$BC$48,MATCH("装弹类型",坦克个性化设定!$B$18:$BC$18,0),FALSE)="弹夹换弹",ROUND(VLOOKUP($BJ150,$AI$3:$AO$33,MATCH("换弹时间",$AI$3:$AO$3,0),FALSE)-$BL150/VLOOKUP(VLOOKUP($BJ150,坦克个性化设定!$B$18:$E$48,4,FALSE)&amp;$BK150,坦克属性分配比例,MATCH("升星次数",坦克属性分配比例标头,0),FALSE)*VLOOKUP($BJ150,$AR$3:$AY$33,MATCH("换弹时间",$AR$3:$AY$3,0),FALSE),1),0)</f>
        <v>0</v>
      </c>
      <c r="BX150" s="2">
        <f>ROUND(VLOOKUP($BJ150,$AI$3:$AO$33,MATCH(BX$3,$AI$3:$AO$3,0),FALSE)+$BL150/VLOOKUP(VLOOKUP($BJ150,坦克个性化设定!$B$18:$E$48,4,FALSE)&amp;$BK150,坦克属性分配比例,MATCH("升星次数",坦克属性分配比例标头,0),FALSE)*VLOOKUP($BJ150,$AR$3:$AY$33,MATCH(BX$3,$AR$3:$AY$3,0),FALSE),2)</f>
        <v>0.4</v>
      </c>
      <c r="BY150" s="2">
        <f>ROUND(VLOOKUP($BJ150,$AI$3:$AO$33,MATCH(BY$3,$AI$3:$AO$3,0),FALSE)-$BL150/VLOOKUP(VLOOKUP($BJ150,坦克个性化设定!$B$18:$E$48,4,FALSE)&amp;$BK150,坦克属性分配比例,MATCH("升星次数",坦克属性分配比例标头,0),FALSE)*VLOOKUP($BJ150,$AR$3:$AY$33,MATCH(BY$3,$AR$3:$AY$3,0),FALSE),2)</f>
        <v>1.1100000000000001</v>
      </c>
    </row>
    <row r="151" spans="60:77" x14ac:dyDescent="0.3">
      <c r="BH151" s="2" t="str">
        <f t="shared" si="27"/>
        <v>彗星3</v>
      </c>
      <c r="BI151" s="2">
        <f>IF(BL150&gt;=VLOOKUP(VLOOKUP(BJ150,坦克个性化设定!$B$18:$E$48,4,FALSE)&amp;BK150,坦克属性分配比例,MATCH("升星次数",坦克属性分配比例标头,0),FALSE),BI150+1,BI150)</f>
        <v>16</v>
      </c>
      <c r="BJ151" s="2" t="str">
        <f t="shared" si="28"/>
        <v>彗星</v>
      </c>
      <c r="BK151" s="29" t="str">
        <f>VLOOKUP(BJ151,坦克个性化细分!$I$3:$J$33,2,FALSE)</f>
        <v>高</v>
      </c>
      <c r="BL151" s="2">
        <f t="shared" si="26"/>
        <v>3</v>
      </c>
      <c r="BM151" s="103">
        <f ca="1">ROUND(VLOOKUP($BJ151&amp;"初始",$S$3:$AE$63,MATCH(BM$3,$S$3:$AE$3,0),FALSE)+((VLOOKUP($BJ151&amp;"最终",$S$3:$AE$63,MATCH(BM$3,$S$3:$AE$3,0),FALSE)*坦克个性化细分!$C$9-VLOOKUP($BJ151&amp;"初始",$S$3:$AE$63,MATCH(BM$3,$S$3:$AE$3,0),FALSE))-(VLOOKUP($BJ151&amp;"最终",$S$3:$AE$63,MATCH(BM$3,$S$3:$AE$3,0),FALSE)-VLOOKUP($BJ151&amp;"初始",$S$3:$AE$63,MATCH(BM$3,$S$3:$AE$3,0),FALSE))*VLOOKUP(VLOOKUP($BJ151,坦克个性化设定!$B$18:$E$48,4,FALSE)&amp;$BK151,坦克属性分配比例,MATCH("部件比例",坦克属性分配比例标头,0),FALSE))*$BL151/VLOOKUP(VLOOKUP($BJ151,坦克个性化设定!$B$18:$E$48,4,FALSE)&amp;$BK151,坦克属性分配比例,MATCH("升星次数",坦克属性分配比例标头,0),FALSE),0)</f>
        <v>1565</v>
      </c>
      <c r="BN151" s="103">
        <f ca="1">ROUND(VLOOKUP($BJ151&amp;"初始",$S$3:$AE$63,MATCH(BN$3,$S$3:$AE$3,0),FALSE)+(VLOOKUP($BJ151&amp;"最终",$S$3:$AE$63,MATCH(BN$3,$S$3:$AE$3,0),FALSE)-VLOOKUP($BJ151&amp;"初始",$S$3:$AE$63,MATCH(BN$3,$S$3:$AE$3,0),FALSE))*$BL151/VLOOKUP(VLOOKUP($BJ151,坦克个性化设定!$B$18:$E$48,4,FALSE)&amp;$BK151,坦克属性分配比例,MATCH("升星次数",坦克属性分配比例标头,0),FALSE)*VLOOKUP(VLOOKUP($BJ151,坦克个性化设定!$B$18:$E$48,4,FALSE)&amp;$BK151,坦克属性分配比例,MATCH("升星比例",坦克属性分配比例标头,0),FALSE),0)</f>
        <v>180</v>
      </c>
      <c r="BO151" s="103">
        <f ca="1">ROUND(VLOOKUP($BJ151&amp;"初始",$S$3:$AE$63,MATCH(BO$3,$S$3:$AE$3,0),FALSE)+(VLOOKUP($BJ151&amp;"最终",$S$3:$AE$63,MATCH(BO$3,$S$3:$AE$3,0),FALSE)-VLOOKUP($BJ151&amp;"初始",$S$3:$AE$63,MATCH(BO$3,$S$3:$AE$3,0),FALSE))*$BL151/VLOOKUP(VLOOKUP($BJ151,坦克个性化设定!$B$18:$E$48,4,FALSE)&amp;$BK151,坦克属性分配比例,MATCH("升星次数",坦克属性分配比例标头,0),FALSE)*(VLOOKUP(VLOOKUP($BJ151,坦克个性化设定!$B$18:$E$48,4,FALSE)&amp;$BK151,坦克属性分配比例,MATCH("升星比例",坦克属性分配比例标头,0),FALSE)+VLOOKUP(VLOOKUP($BJ151,坦克个性化设定!$B$18:$E$48,4,FALSE)&amp;$BK151,坦克属性分配比例,MATCH("部件比例",坦克属性分配比例标头,0),FALSE)*$C$3),0)</f>
        <v>579</v>
      </c>
      <c r="BP151" s="103">
        <f ca="1">ROUND(VLOOKUP($BJ151&amp;"初始",$S$3:$AE$63,MATCH(BP$3,$S$3:$AE$3,0),FALSE)+(VLOOKUP($BJ151&amp;"最终",$S$3:$AE$63,MATCH(BP$3,$S$3:$AE$3,0),FALSE)-VLOOKUP($BJ151&amp;"初始",$S$3:$AE$63,MATCH(BP$3,$S$3:$AE$3,0),FALSE))*$BL151/VLOOKUP(VLOOKUP($BJ151,坦克个性化设定!$B$18:$E$48,4,FALSE)&amp;$BK151,坦克属性分配比例,MATCH("升星次数",坦克属性分配比例标头,0),FALSE)*(VLOOKUP(VLOOKUP($BJ151,坦克个性化设定!$B$18:$E$48,4,FALSE)&amp;$BK151,坦克属性分配比例,MATCH("升星比例",坦克属性分配比例标头,0),FALSE)+VLOOKUP(VLOOKUP($BJ151,坦克个性化设定!$B$18:$E$48,4,FALSE)&amp;$BK151,坦克属性分配比例,MATCH("部件比例",坦克属性分配比例标头,0),FALSE)*$C$3),0)</f>
        <v>434</v>
      </c>
      <c r="BQ151" s="103">
        <f ca="1">ROUND(VLOOKUP($BJ151&amp;"初始",$S$3:$AE$63,MATCH(BQ$3,$S$3:$AE$3,0),FALSE)+(VLOOKUP($BJ151&amp;"最终",$S$3:$AE$63,MATCH(BQ$3,$S$3:$AE$3,0),FALSE)-VLOOKUP($BJ151&amp;"初始",$S$3:$AE$63,MATCH(BQ$3,$S$3:$AE$3,0),FALSE))*$BL151/VLOOKUP(VLOOKUP($BJ151,坦克个性化设定!$B$18:$E$48,4,FALSE)&amp;$BK151,坦克属性分配比例,MATCH("升星次数",坦克属性分配比例标头,0),FALSE)*VLOOKUP(VLOOKUP($BJ151,坦克个性化设定!$B$18:$E$48,4,FALSE)&amp;$BK151,坦克属性分配比例,MATCH("升星比例",坦克属性分配比例标头,0),FALSE),0)</f>
        <v>611</v>
      </c>
      <c r="BR151" s="2">
        <f ca="1">ROUND(VLOOKUP($BJ151&amp;"初始",$S$3:$AE$63,MATCH(BR$3,$S$3:$AE$3,0),FALSE)+(VLOOKUP($BJ151&amp;"最终",$S$3:$AE$63,MATCH(BR$3,$S$3:$AE$3,0),FALSE)-VLOOKUP($BJ151&amp;"初始",$S$3:$AE$63,MATCH(BR$3,$S$3:$AE$3,0),FALSE))*$BL151/VLOOKUP(VLOOKUP($BJ151,坦克个性化设定!$B$18:$E$48,4,FALSE)&amp;$BK151,坦克属性分配比例,MATCH("升星次数",坦克属性分配比例标头,0),FALSE),0)</f>
        <v>156</v>
      </c>
      <c r="BS151" s="2">
        <f>ROUND(VLOOKUP($BJ151,$AI$3:$AO$33,MATCH(BS$3,$AI$3:$AO$3,0),FALSE)+$BL151/VLOOKUP(VLOOKUP($BJ151,坦克个性化设定!$B$18:$E$48,4,FALSE)&amp;$BK151,坦克属性分配比例,MATCH("升星次数",坦克属性分配比例标头,0),FALSE)*VLOOKUP($BJ151,$AR$3:$AY$33,MATCH(BS$3,$AR$3:$AY$3,0),FALSE),1)</f>
        <v>40.5</v>
      </c>
      <c r="BT151" s="2">
        <f>ROUND(VLOOKUP($BJ151,$AI$3:$AO$33,MATCH(BT$3,$AI$3:$AO$3,0),FALSE)+$BL151/VLOOKUP(VLOOKUP($BJ151,坦克个性化设定!$B$18:$E$48,4,FALSE)&amp;$BK151,坦克属性分配比例,MATCH("升星次数",坦克属性分配比例标头,0),FALSE)*VLOOKUP($BJ151,$AR$3:$AY$33,MATCH(BT$3,$AR$3:$AY$3,0),FALSE),1)</f>
        <v>56.9</v>
      </c>
      <c r="BU151" s="2">
        <f>ROUND(VLOOKUP($BJ151,$AI$3:$AO$33,MATCH(BU$3,$AI$3:$AO$3,0),FALSE)+$BL151/VLOOKUP(VLOOKUP($BJ151,坦克个性化设定!$B$18:$E$48,4,FALSE)&amp;$BK151,坦克属性分配比例,MATCH("升星次数",坦克属性分配比例标头,0),FALSE)*VLOOKUP($BJ151,$AR$3:$AY$33,MATCH(BU$3,$AR$3:$AY$3,0),FALSE),1)</f>
        <v>7.6</v>
      </c>
      <c r="BV151" s="2">
        <f>IF(VLOOKUP(BJ151,坦克个性化设定!$B$18:$BC$48,MATCH("装弹类型",坦克个性化设定!$B$18:$BC$18,0),FALSE)="弹夹换弹",0,ROUND(VLOOKUP($BJ151,$AI$3:$AO$33,MATCH("换弹时间",$AI$3:$AO$3,0),FALSE)-$BL151/VLOOKUP(VLOOKUP($BJ151,坦克个性化设定!$B$18:$E$48,4,FALSE)&amp;$BK151,坦克属性分配比例,MATCH("升星次数",坦克属性分配比例标头,0),FALSE)*VLOOKUP($BJ151,$AR$3:$AY$33,MATCH("换弹时间",$AR$3:$AY$3,0),FALSE),2))</f>
        <v>2.83</v>
      </c>
      <c r="BW151" s="2">
        <f>IF(VLOOKUP(BJ151,坦克个性化设定!$B$18:$BC$48,MATCH("装弹类型",坦克个性化设定!$B$18:$BC$18,0),FALSE)="弹夹换弹",ROUND(VLOOKUP($BJ151,$AI$3:$AO$33,MATCH("换弹时间",$AI$3:$AO$3,0),FALSE)-$BL151/VLOOKUP(VLOOKUP($BJ151,坦克个性化设定!$B$18:$E$48,4,FALSE)&amp;$BK151,坦克属性分配比例,MATCH("升星次数",坦克属性分配比例标头,0),FALSE)*VLOOKUP($BJ151,$AR$3:$AY$33,MATCH("换弹时间",$AR$3:$AY$3,0),FALSE),1),0)</f>
        <v>0</v>
      </c>
      <c r="BX151" s="2">
        <f>ROUND(VLOOKUP($BJ151,$AI$3:$AO$33,MATCH(BX$3,$AI$3:$AO$3,0),FALSE)+$BL151/VLOOKUP(VLOOKUP($BJ151,坦克个性化设定!$B$18:$E$48,4,FALSE)&amp;$BK151,坦克属性分配比例,MATCH("升星次数",坦克属性分配比例标头,0),FALSE)*VLOOKUP($BJ151,$AR$3:$AY$33,MATCH(BX$3,$AR$3:$AY$3,0),FALSE),2)</f>
        <v>0.4</v>
      </c>
      <c r="BY151" s="2">
        <f>ROUND(VLOOKUP($BJ151,$AI$3:$AO$33,MATCH(BY$3,$AI$3:$AO$3,0),FALSE)-$BL151/VLOOKUP(VLOOKUP($BJ151,坦克个性化设定!$B$18:$E$48,4,FALSE)&amp;$BK151,坦克属性分配比例,MATCH("升星次数",坦克属性分配比例标头,0),FALSE)*VLOOKUP($BJ151,$AR$3:$AY$33,MATCH(BY$3,$AR$3:$AY$3,0),FALSE),2)</f>
        <v>1.0900000000000001</v>
      </c>
    </row>
    <row r="152" spans="60:77" x14ac:dyDescent="0.3">
      <c r="BH152" s="2" t="str">
        <f t="shared" si="27"/>
        <v>彗星4</v>
      </c>
      <c r="BI152" s="2">
        <f>IF(BL151&gt;=VLOOKUP(VLOOKUP(BJ151,坦克个性化设定!$B$18:$E$48,4,FALSE)&amp;BK151,坦克属性分配比例,MATCH("升星次数",坦克属性分配比例标头,0),FALSE),BI151+1,BI151)</f>
        <v>16</v>
      </c>
      <c r="BJ152" s="2" t="str">
        <f t="shared" si="28"/>
        <v>彗星</v>
      </c>
      <c r="BK152" s="29" t="str">
        <f>VLOOKUP(BJ152,坦克个性化细分!$I$3:$J$33,2,FALSE)</f>
        <v>高</v>
      </c>
      <c r="BL152" s="2">
        <f t="shared" si="26"/>
        <v>4</v>
      </c>
      <c r="BM152" s="103">
        <f ca="1">ROUND(VLOOKUP($BJ152&amp;"初始",$S$3:$AE$63,MATCH(BM$3,$S$3:$AE$3,0),FALSE)+((VLOOKUP($BJ152&amp;"最终",$S$3:$AE$63,MATCH(BM$3,$S$3:$AE$3,0),FALSE)*坦克个性化细分!$C$9-VLOOKUP($BJ152&amp;"初始",$S$3:$AE$63,MATCH(BM$3,$S$3:$AE$3,0),FALSE))-(VLOOKUP($BJ152&amp;"最终",$S$3:$AE$63,MATCH(BM$3,$S$3:$AE$3,0),FALSE)-VLOOKUP($BJ152&amp;"初始",$S$3:$AE$63,MATCH(BM$3,$S$3:$AE$3,0),FALSE))*VLOOKUP(VLOOKUP($BJ152,坦克个性化设定!$B$18:$E$48,4,FALSE)&amp;$BK152,坦克属性分配比例,MATCH("部件比例",坦克属性分配比例标头,0),FALSE))*$BL152/VLOOKUP(VLOOKUP($BJ152,坦克个性化设定!$B$18:$E$48,4,FALSE)&amp;$BK152,坦克属性分配比例,MATCH("升星次数",坦克属性分配比例标头,0),FALSE),0)</f>
        <v>1641</v>
      </c>
      <c r="BN152" s="103">
        <f ca="1">ROUND(VLOOKUP($BJ152&amp;"初始",$S$3:$AE$63,MATCH(BN$3,$S$3:$AE$3,0),FALSE)+(VLOOKUP($BJ152&amp;"最终",$S$3:$AE$63,MATCH(BN$3,$S$3:$AE$3,0),FALSE)-VLOOKUP($BJ152&amp;"初始",$S$3:$AE$63,MATCH(BN$3,$S$3:$AE$3,0),FALSE))*$BL152/VLOOKUP(VLOOKUP($BJ152,坦克个性化设定!$B$18:$E$48,4,FALSE)&amp;$BK152,坦克属性分配比例,MATCH("升星次数",坦克属性分配比例标头,0),FALSE)*VLOOKUP(VLOOKUP($BJ152,坦克个性化设定!$B$18:$E$48,4,FALSE)&amp;$BK152,坦克属性分配比例,MATCH("升星比例",坦克属性分配比例标头,0),FALSE),0)</f>
        <v>185</v>
      </c>
      <c r="BO152" s="103">
        <f ca="1">ROUND(VLOOKUP($BJ152&amp;"初始",$S$3:$AE$63,MATCH(BO$3,$S$3:$AE$3,0),FALSE)+(VLOOKUP($BJ152&amp;"最终",$S$3:$AE$63,MATCH(BO$3,$S$3:$AE$3,0),FALSE)-VLOOKUP($BJ152&amp;"初始",$S$3:$AE$63,MATCH(BO$3,$S$3:$AE$3,0),FALSE))*$BL152/VLOOKUP(VLOOKUP($BJ152,坦克个性化设定!$B$18:$E$48,4,FALSE)&amp;$BK152,坦克属性分配比例,MATCH("升星次数",坦克属性分配比例标头,0),FALSE)*(VLOOKUP(VLOOKUP($BJ152,坦克个性化设定!$B$18:$E$48,4,FALSE)&amp;$BK152,坦克属性分配比例,MATCH("升星比例",坦克属性分配比例标头,0),FALSE)+VLOOKUP(VLOOKUP($BJ152,坦克个性化设定!$B$18:$E$48,4,FALSE)&amp;$BK152,坦克属性分配比例,MATCH("部件比例",坦克属性分配比例标头,0),FALSE)*$C$3),0)</f>
        <v>603</v>
      </c>
      <c r="BP152" s="103">
        <f ca="1">ROUND(VLOOKUP($BJ152&amp;"初始",$S$3:$AE$63,MATCH(BP$3,$S$3:$AE$3,0),FALSE)+(VLOOKUP($BJ152&amp;"最终",$S$3:$AE$63,MATCH(BP$3,$S$3:$AE$3,0),FALSE)-VLOOKUP($BJ152&amp;"初始",$S$3:$AE$63,MATCH(BP$3,$S$3:$AE$3,0),FALSE))*$BL152/VLOOKUP(VLOOKUP($BJ152,坦克个性化设定!$B$18:$E$48,4,FALSE)&amp;$BK152,坦克属性分配比例,MATCH("升星次数",坦克属性分配比例标头,0),FALSE)*(VLOOKUP(VLOOKUP($BJ152,坦克个性化设定!$B$18:$E$48,4,FALSE)&amp;$BK152,坦克属性分配比例,MATCH("升星比例",坦克属性分配比例标头,0),FALSE)+VLOOKUP(VLOOKUP($BJ152,坦克个性化设定!$B$18:$E$48,4,FALSE)&amp;$BK152,坦克属性分配比例,MATCH("部件比例",坦克属性分配比例标头,0),FALSE)*$C$3),0)</f>
        <v>452</v>
      </c>
      <c r="BQ152" s="103">
        <f ca="1">ROUND(VLOOKUP($BJ152&amp;"初始",$S$3:$AE$63,MATCH(BQ$3,$S$3:$AE$3,0),FALSE)+(VLOOKUP($BJ152&amp;"最终",$S$3:$AE$63,MATCH(BQ$3,$S$3:$AE$3,0),FALSE)-VLOOKUP($BJ152&amp;"初始",$S$3:$AE$63,MATCH(BQ$3,$S$3:$AE$3,0),FALSE))*$BL152/VLOOKUP(VLOOKUP($BJ152,坦克个性化设定!$B$18:$E$48,4,FALSE)&amp;$BK152,坦克属性分配比例,MATCH("升星次数",坦克属性分配比例标头,0),FALSE)*VLOOKUP(VLOOKUP($BJ152,坦克个性化设定!$B$18:$E$48,4,FALSE)&amp;$BK152,坦克属性分配比例,MATCH("升星比例",坦克属性分配比例标头,0),FALSE),0)</f>
        <v>630</v>
      </c>
      <c r="BR152" s="2">
        <f ca="1">ROUND(VLOOKUP($BJ152&amp;"初始",$S$3:$AE$63,MATCH(BR$3,$S$3:$AE$3,0),FALSE)+(VLOOKUP($BJ152&amp;"最终",$S$3:$AE$63,MATCH(BR$3,$S$3:$AE$3,0),FALSE)-VLOOKUP($BJ152&amp;"初始",$S$3:$AE$63,MATCH(BR$3,$S$3:$AE$3,0),FALSE))*$BL152/VLOOKUP(VLOOKUP($BJ152,坦克个性化设定!$B$18:$E$48,4,FALSE)&amp;$BK152,坦克属性分配比例,MATCH("升星次数",坦克属性分配比例标头,0),FALSE),0)</f>
        <v>163</v>
      </c>
      <c r="BS152" s="2">
        <f>ROUND(VLOOKUP($BJ152,$AI$3:$AO$33,MATCH(BS$3,$AI$3:$AO$3,0),FALSE)+$BL152/VLOOKUP(VLOOKUP($BJ152,坦克个性化设定!$B$18:$E$48,4,FALSE)&amp;$BK152,坦克属性分配比例,MATCH("升星次数",坦克属性分配比例标头,0),FALSE)*VLOOKUP($BJ152,$AR$3:$AY$33,MATCH(BS$3,$AR$3:$AY$3,0),FALSE),1)</f>
        <v>41.6</v>
      </c>
      <c r="BT152" s="2">
        <f>ROUND(VLOOKUP($BJ152,$AI$3:$AO$33,MATCH(BT$3,$AI$3:$AO$3,0),FALSE)+$BL152/VLOOKUP(VLOOKUP($BJ152,坦克个性化设定!$B$18:$E$48,4,FALSE)&amp;$BK152,坦克属性分配比例,MATCH("升星次数",坦克属性分配比例标头,0),FALSE)*VLOOKUP($BJ152,$AR$3:$AY$33,MATCH(BT$3,$AR$3:$AY$3,0),FALSE),1)</f>
        <v>58.3</v>
      </c>
      <c r="BU152" s="2">
        <f>ROUND(VLOOKUP($BJ152,$AI$3:$AO$33,MATCH(BU$3,$AI$3:$AO$3,0),FALSE)+$BL152/VLOOKUP(VLOOKUP($BJ152,坦克个性化设定!$B$18:$E$48,4,FALSE)&amp;$BK152,坦克属性分配比例,MATCH("升星次数",坦克属性分配比例标头,0),FALSE)*VLOOKUP($BJ152,$AR$3:$AY$33,MATCH(BU$3,$AR$3:$AY$3,0),FALSE),1)</f>
        <v>7.6</v>
      </c>
      <c r="BV152" s="2">
        <f>IF(VLOOKUP(BJ152,坦克个性化设定!$B$18:$BC$48,MATCH("装弹类型",坦克个性化设定!$B$18:$BC$18,0),FALSE)="弹夹换弹",0,ROUND(VLOOKUP($BJ152,$AI$3:$AO$33,MATCH("换弹时间",$AI$3:$AO$3,0),FALSE)-$BL152/VLOOKUP(VLOOKUP($BJ152,坦克个性化设定!$B$18:$E$48,4,FALSE)&amp;$BK152,坦克属性分配比例,MATCH("升星次数",坦克属性分配比例标头,0),FALSE)*VLOOKUP($BJ152,$AR$3:$AY$33,MATCH("换弹时间",$AR$3:$AY$3,0),FALSE),2))</f>
        <v>2.77</v>
      </c>
      <c r="BW152" s="2">
        <f>IF(VLOOKUP(BJ152,坦克个性化设定!$B$18:$BC$48,MATCH("装弹类型",坦克个性化设定!$B$18:$BC$18,0),FALSE)="弹夹换弹",ROUND(VLOOKUP($BJ152,$AI$3:$AO$33,MATCH("换弹时间",$AI$3:$AO$3,0),FALSE)-$BL152/VLOOKUP(VLOOKUP($BJ152,坦克个性化设定!$B$18:$E$48,4,FALSE)&amp;$BK152,坦克属性分配比例,MATCH("升星次数",坦克属性分配比例标头,0),FALSE)*VLOOKUP($BJ152,$AR$3:$AY$33,MATCH("换弹时间",$AR$3:$AY$3,0),FALSE),1),0)</f>
        <v>0</v>
      </c>
      <c r="BX152" s="2">
        <f>ROUND(VLOOKUP($BJ152,$AI$3:$AO$33,MATCH(BX$3,$AI$3:$AO$3,0),FALSE)+$BL152/VLOOKUP(VLOOKUP($BJ152,坦克个性化设定!$B$18:$E$48,4,FALSE)&amp;$BK152,坦克属性分配比例,MATCH("升星次数",坦克属性分配比例标头,0),FALSE)*VLOOKUP($BJ152,$AR$3:$AY$33,MATCH(BX$3,$AR$3:$AY$3,0),FALSE),2)</f>
        <v>0.4</v>
      </c>
      <c r="BY152" s="2">
        <f>ROUND(VLOOKUP($BJ152,$AI$3:$AO$33,MATCH(BY$3,$AI$3:$AO$3,0),FALSE)-$BL152/VLOOKUP(VLOOKUP($BJ152,坦克个性化设定!$B$18:$E$48,4,FALSE)&amp;$BK152,坦克属性分配比例,MATCH("升星次数",坦克属性分配比例标头,0),FALSE)*VLOOKUP($BJ152,$AR$3:$AY$33,MATCH(BY$3,$AR$3:$AY$3,0),FALSE),2)</f>
        <v>1.06</v>
      </c>
    </row>
    <row r="153" spans="60:77" x14ac:dyDescent="0.3">
      <c r="BH153" s="2" t="str">
        <f t="shared" si="27"/>
        <v>彗星5</v>
      </c>
      <c r="BI153" s="2">
        <f>IF(BL152&gt;=VLOOKUP(VLOOKUP(BJ152,坦克个性化设定!$B$18:$E$48,4,FALSE)&amp;BK152,坦克属性分配比例,MATCH("升星次数",坦克属性分配比例标头,0),FALSE),BI152+1,BI152)</f>
        <v>16</v>
      </c>
      <c r="BJ153" s="2" t="str">
        <f t="shared" si="28"/>
        <v>彗星</v>
      </c>
      <c r="BK153" s="29" t="str">
        <f>VLOOKUP(BJ153,坦克个性化细分!$I$3:$J$33,2,FALSE)</f>
        <v>高</v>
      </c>
      <c r="BL153" s="2">
        <f t="shared" si="26"/>
        <v>5</v>
      </c>
      <c r="BM153" s="103">
        <f ca="1">ROUND(VLOOKUP($BJ153&amp;"初始",$S$3:$AE$63,MATCH(BM$3,$S$3:$AE$3,0),FALSE)+((VLOOKUP($BJ153&amp;"最终",$S$3:$AE$63,MATCH(BM$3,$S$3:$AE$3,0),FALSE)*坦克个性化细分!$C$9-VLOOKUP($BJ153&amp;"初始",$S$3:$AE$63,MATCH(BM$3,$S$3:$AE$3,0),FALSE))-(VLOOKUP($BJ153&amp;"最终",$S$3:$AE$63,MATCH(BM$3,$S$3:$AE$3,0),FALSE)-VLOOKUP($BJ153&amp;"初始",$S$3:$AE$63,MATCH(BM$3,$S$3:$AE$3,0),FALSE))*VLOOKUP(VLOOKUP($BJ153,坦克个性化设定!$B$18:$E$48,4,FALSE)&amp;$BK153,坦克属性分配比例,MATCH("部件比例",坦克属性分配比例标头,0),FALSE))*$BL153/VLOOKUP(VLOOKUP($BJ153,坦克个性化设定!$B$18:$E$48,4,FALSE)&amp;$BK153,坦克属性分配比例,MATCH("升星次数",坦克属性分配比例标头,0),FALSE),0)</f>
        <v>1716</v>
      </c>
      <c r="BN153" s="103">
        <f ca="1">ROUND(VLOOKUP($BJ153&amp;"初始",$S$3:$AE$63,MATCH(BN$3,$S$3:$AE$3,0),FALSE)+(VLOOKUP($BJ153&amp;"最终",$S$3:$AE$63,MATCH(BN$3,$S$3:$AE$3,0),FALSE)-VLOOKUP($BJ153&amp;"初始",$S$3:$AE$63,MATCH(BN$3,$S$3:$AE$3,0),FALSE))*$BL153/VLOOKUP(VLOOKUP($BJ153,坦克个性化设定!$B$18:$E$48,4,FALSE)&amp;$BK153,坦克属性分配比例,MATCH("升星次数",坦克属性分配比例标头,0),FALSE)*VLOOKUP(VLOOKUP($BJ153,坦克个性化设定!$B$18:$E$48,4,FALSE)&amp;$BK153,坦克属性分配比例,MATCH("升星比例",坦克属性分配比例标头,0),FALSE),0)</f>
        <v>191</v>
      </c>
      <c r="BO153" s="103">
        <f ca="1">ROUND(VLOOKUP($BJ153&amp;"初始",$S$3:$AE$63,MATCH(BO$3,$S$3:$AE$3,0),FALSE)+(VLOOKUP($BJ153&amp;"最终",$S$3:$AE$63,MATCH(BO$3,$S$3:$AE$3,0),FALSE)-VLOOKUP($BJ153&amp;"初始",$S$3:$AE$63,MATCH(BO$3,$S$3:$AE$3,0),FALSE))*$BL153/VLOOKUP(VLOOKUP($BJ153,坦克个性化设定!$B$18:$E$48,4,FALSE)&amp;$BK153,坦克属性分配比例,MATCH("升星次数",坦克属性分配比例标头,0),FALSE)*(VLOOKUP(VLOOKUP($BJ153,坦克个性化设定!$B$18:$E$48,4,FALSE)&amp;$BK153,坦克属性分配比例,MATCH("升星比例",坦克属性分配比例标头,0),FALSE)+VLOOKUP(VLOOKUP($BJ153,坦克个性化设定!$B$18:$E$48,4,FALSE)&amp;$BK153,坦克属性分配比例,MATCH("部件比例",坦克属性分配比例标头,0),FALSE)*$C$3),0)</f>
        <v>627</v>
      </c>
      <c r="BP153" s="103">
        <f ca="1">ROUND(VLOOKUP($BJ153&amp;"初始",$S$3:$AE$63,MATCH(BP$3,$S$3:$AE$3,0),FALSE)+(VLOOKUP($BJ153&amp;"最终",$S$3:$AE$63,MATCH(BP$3,$S$3:$AE$3,0),FALSE)-VLOOKUP($BJ153&amp;"初始",$S$3:$AE$63,MATCH(BP$3,$S$3:$AE$3,0),FALSE))*$BL153/VLOOKUP(VLOOKUP($BJ153,坦克个性化设定!$B$18:$E$48,4,FALSE)&amp;$BK153,坦克属性分配比例,MATCH("升星次数",坦克属性分配比例标头,0),FALSE)*(VLOOKUP(VLOOKUP($BJ153,坦克个性化设定!$B$18:$E$48,4,FALSE)&amp;$BK153,坦克属性分配比例,MATCH("升星比例",坦克属性分配比例标头,0),FALSE)+VLOOKUP(VLOOKUP($BJ153,坦克个性化设定!$B$18:$E$48,4,FALSE)&amp;$BK153,坦克属性分配比例,MATCH("部件比例",坦克属性分配比例标头,0),FALSE)*$C$3),0)</f>
        <v>471</v>
      </c>
      <c r="BQ153" s="103">
        <f ca="1">ROUND(VLOOKUP($BJ153&amp;"初始",$S$3:$AE$63,MATCH(BQ$3,$S$3:$AE$3,0),FALSE)+(VLOOKUP($BJ153&amp;"最终",$S$3:$AE$63,MATCH(BQ$3,$S$3:$AE$3,0),FALSE)-VLOOKUP($BJ153&amp;"初始",$S$3:$AE$63,MATCH(BQ$3,$S$3:$AE$3,0),FALSE))*$BL153/VLOOKUP(VLOOKUP($BJ153,坦克个性化设定!$B$18:$E$48,4,FALSE)&amp;$BK153,坦克属性分配比例,MATCH("升星次数",坦克属性分配比例标头,0),FALSE)*VLOOKUP(VLOOKUP($BJ153,坦克个性化设定!$B$18:$E$48,4,FALSE)&amp;$BK153,坦克属性分配比例,MATCH("升星比例",坦克属性分配比例标头,0),FALSE),0)</f>
        <v>649</v>
      </c>
      <c r="BR153" s="2">
        <f ca="1">ROUND(VLOOKUP($BJ153&amp;"初始",$S$3:$AE$63,MATCH(BR$3,$S$3:$AE$3,0),FALSE)+(VLOOKUP($BJ153&amp;"最终",$S$3:$AE$63,MATCH(BR$3,$S$3:$AE$3,0),FALSE)-VLOOKUP($BJ153&amp;"初始",$S$3:$AE$63,MATCH(BR$3,$S$3:$AE$3,0),FALSE))*$BL153/VLOOKUP(VLOOKUP($BJ153,坦克个性化设定!$B$18:$E$48,4,FALSE)&amp;$BK153,坦克属性分配比例,MATCH("升星次数",坦克属性分配比例标头,0),FALSE),0)</f>
        <v>171</v>
      </c>
      <c r="BS153" s="2">
        <f>ROUND(VLOOKUP($BJ153,$AI$3:$AO$33,MATCH(BS$3,$AI$3:$AO$3,0),FALSE)+$BL153/VLOOKUP(VLOOKUP($BJ153,坦克个性化设定!$B$18:$E$48,4,FALSE)&amp;$BK153,坦克属性分配比例,MATCH("升星次数",坦克属性分配比例标头,0),FALSE)*VLOOKUP($BJ153,$AR$3:$AY$33,MATCH(BS$3,$AR$3:$AY$3,0),FALSE),1)</f>
        <v>42.6</v>
      </c>
      <c r="BT153" s="2">
        <f>ROUND(VLOOKUP($BJ153,$AI$3:$AO$33,MATCH(BT$3,$AI$3:$AO$3,0),FALSE)+$BL153/VLOOKUP(VLOOKUP($BJ153,坦克个性化设定!$B$18:$E$48,4,FALSE)&amp;$BK153,坦克属性分配比例,MATCH("升星次数",坦克属性分配比例标头,0),FALSE)*VLOOKUP($BJ153,$AR$3:$AY$33,MATCH(BT$3,$AR$3:$AY$3,0),FALSE),1)</f>
        <v>59.8</v>
      </c>
      <c r="BU153" s="2">
        <f>ROUND(VLOOKUP($BJ153,$AI$3:$AO$33,MATCH(BU$3,$AI$3:$AO$3,0),FALSE)+$BL153/VLOOKUP(VLOOKUP($BJ153,坦克个性化设定!$B$18:$E$48,4,FALSE)&amp;$BK153,坦克属性分配比例,MATCH("升星次数",坦克属性分配比例标头,0),FALSE)*VLOOKUP($BJ153,$AR$3:$AY$33,MATCH(BU$3,$AR$3:$AY$3,0),FALSE),1)</f>
        <v>7.6</v>
      </c>
      <c r="BV153" s="2">
        <f>IF(VLOOKUP(BJ153,坦克个性化设定!$B$18:$BC$48,MATCH("装弹类型",坦克个性化设定!$B$18:$BC$18,0),FALSE)="弹夹换弹",0,ROUND(VLOOKUP($BJ153,$AI$3:$AO$33,MATCH("换弹时间",$AI$3:$AO$3,0),FALSE)-$BL153/VLOOKUP(VLOOKUP($BJ153,坦克个性化设定!$B$18:$E$48,4,FALSE)&amp;$BK153,坦克属性分配比例,MATCH("升星次数",坦克属性分配比例标头,0),FALSE)*VLOOKUP($BJ153,$AR$3:$AY$33,MATCH("换弹时间",$AR$3:$AY$3,0),FALSE),2))</f>
        <v>2.71</v>
      </c>
      <c r="BW153" s="2">
        <f>IF(VLOOKUP(BJ153,坦克个性化设定!$B$18:$BC$48,MATCH("装弹类型",坦克个性化设定!$B$18:$BC$18,0),FALSE)="弹夹换弹",ROUND(VLOOKUP($BJ153,$AI$3:$AO$33,MATCH("换弹时间",$AI$3:$AO$3,0),FALSE)-$BL153/VLOOKUP(VLOOKUP($BJ153,坦克个性化设定!$B$18:$E$48,4,FALSE)&amp;$BK153,坦克属性分配比例,MATCH("升星次数",坦克属性分配比例标头,0),FALSE)*VLOOKUP($BJ153,$AR$3:$AY$33,MATCH("换弹时间",$AR$3:$AY$3,0),FALSE),1),0)</f>
        <v>0</v>
      </c>
      <c r="BX153" s="2">
        <f>ROUND(VLOOKUP($BJ153,$AI$3:$AO$33,MATCH(BX$3,$AI$3:$AO$3,0),FALSE)+$BL153/VLOOKUP(VLOOKUP($BJ153,坦克个性化设定!$B$18:$E$48,4,FALSE)&amp;$BK153,坦克属性分配比例,MATCH("升星次数",坦克属性分配比例标头,0),FALSE)*VLOOKUP($BJ153,$AR$3:$AY$33,MATCH(BX$3,$AR$3:$AY$3,0),FALSE),2)</f>
        <v>0.4</v>
      </c>
      <c r="BY153" s="2">
        <f>ROUND(VLOOKUP($BJ153,$AI$3:$AO$33,MATCH(BY$3,$AI$3:$AO$3,0),FALSE)-$BL153/VLOOKUP(VLOOKUP($BJ153,坦克个性化设定!$B$18:$E$48,4,FALSE)&amp;$BK153,坦克属性分配比例,MATCH("升星次数",坦克属性分配比例标头,0),FALSE)*VLOOKUP($BJ153,$AR$3:$AY$33,MATCH(BY$3,$AR$3:$AY$3,0),FALSE),2)</f>
        <v>1.04</v>
      </c>
    </row>
    <row r="154" spans="60:77" x14ac:dyDescent="0.3">
      <c r="BH154" s="2" t="str">
        <f t="shared" si="27"/>
        <v>彗星6</v>
      </c>
      <c r="BI154" s="2">
        <f>IF(BL153&gt;=VLOOKUP(VLOOKUP(BJ153,坦克个性化设定!$B$18:$E$48,4,FALSE)&amp;BK153,坦克属性分配比例,MATCH("升星次数",坦克属性分配比例标头,0),FALSE),BI153+1,BI153)</f>
        <v>16</v>
      </c>
      <c r="BJ154" s="2" t="str">
        <f t="shared" si="28"/>
        <v>彗星</v>
      </c>
      <c r="BK154" s="29" t="str">
        <f>VLOOKUP(BJ154,坦克个性化细分!$I$3:$J$33,2,FALSE)</f>
        <v>高</v>
      </c>
      <c r="BL154" s="2">
        <f t="shared" si="26"/>
        <v>6</v>
      </c>
      <c r="BM154" s="103">
        <f ca="1">ROUND(VLOOKUP($BJ154&amp;"初始",$S$3:$AE$63,MATCH(BM$3,$S$3:$AE$3,0),FALSE)+((VLOOKUP($BJ154&amp;"最终",$S$3:$AE$63,MATCH(BM$3,$S$3:$AE$3,0),FALSE)*坦克个性化细分!$C$9-VLOOKUP($BJ154&amp;"初始",$S$3:$AE$63,MATCH(BM$3,$S$3:$AE$3,0),FALSE))-(VLOOKUP($BJ154&amp;"最终",$S$3:$AE$63,MATCH(BM$3,$S$3:$AE$3,0),FALSE)-VLOOKUP($BJ154&amp;"初始",$S$3:$AE$63,MATCH(BM$3,$S$3:$AE$3,0),FALSE))*VLOOKUP(VLOOKUP($BJ154,坦克个性化设定!$B$18:$E$48,4,FALSE)&amp;$BK154,坦克属性分配比例,MATCH("部件比例",坦克属性分配比例标头,0),FALSE))*$BL154/VLOOKUP(VLOOKUP($BJ154,坦克个性化设定!$B$18:$E$48,4,FALSE)&amp;$BK154,坦克属性分配比例,MATCH("升星次数",坦克属性分配比例标头,0),FALSE),0)</f>
        <v>1792</v>
      </c>
      <c r="BN154" s="103">
        <f ca="1">ROUND(VLOOKUP($BJ154&amp;"初始",$S$3:$AE$63,MATCH(BN$3,$S$3:$AE$3,0),FALSE)+(VLOOKUP($BJ154&amp;"最终",$S$3:$AE$63,MATCH(BN$3,$S$3:$AE$3,0),FALSE)-VLOOKUP($BJ154&amp;"初始",$S$3:$AE$63,MATCH(BN$3,$S$3:$AE$3,0),FALSE))*$BL154/VLOOKUP(VLOOKUP($BJ154,坦克个性化设定!$B$18:$E$48,4,FALSE)&amp;$BK154,坦克属性分配比例,MATCH("升星次数",坦克属性分配比例标头,0),FALSE)*VLOOKUP(VLOOKUP($BJ154,坦克个性化设定!$B$18:$E$48,4,FALSE)&amp;$BK154,坦克属性分配比例,MATCH("升星比例",坦克属性分配比例标头,0),FALSE),0)</f>
        <v>197</v>
      </c>
      <c r="BO154" s="103">
        <f ca="1">ROUND(VLOOKUP($BJ154&amp;"初始",$S$3:$AE$63,MATCH(BO$3,$S$3:$AE$3,0),FALSE)+(VLOOKUP($BJ154&amp;"最终",$S$3:$AE$63,MATCH(BO$3,$S$3:$AE$3,0),FALSE)-VLOOKUP($BJ154&amp;"初始",$S$3:$AE$63,MATCH(BO$3,$S$3:$AE$3,0),FALSE))*$BL154/VLOOKUP(VLOOKUP($BJ154,坦克个性化设定!$B$18:$E$48,4,FALSE)&amp;$BK154,坦克属性分配比例,MATCH("升星次数",坦克属性分配比例标头,0),FALSE)*(VLOOKUP(VLOOKUP($BJ154,坦克个性化设定!$B$18:$E$48,4,FALSE)&amp;$BK154,坦克属性分配比例,MATCH("升星比例",坦克属性分配比例标头,0),FALSE)+VLOOKUP(VLOOKUP($BJ154,坦克个性化设定!$B$18:$E$48,4,FALSE)&amp;$BK154,坦克属性分配比例,MATCH("部件比例",坦克属性分配比例标头,0),FALSE)*$C$3),0)</f>
        <v>652</v>
      </c>
      <c r="BP154" s="103">
        <f ca="1">ROUND(VLOOKUP($BJ154&amp;"初始",$S$3:$AE$63,MATCH(BP$3,$S$3:$AE$3,0),FALSE)+(VLOOKUP($BJ154&amp;"最终",$S$3:$AE$63,MATCH(BP$3,$S$3:$AE$3,0),FALSE)-VLOOKUP($BJ154&amp;"初始",$S$3:$AE$63,MATCH(BP$3,$S$3:$AE$3,0),FALSE))*$BL154/VLOOKUP(VLOOKUP($BJ154,坦克个性化设定!$B$18:$E$48,4,FALSE)&amp;$BK154,坦克属性分配比例,MATCH("升星次数",坦克属性分配比例标头,0),FALSE)*(VLOOKUP(VLOOKUP($BJ154,坦克个性化设定!$B$18:$E$48,4,FALSE)&amp;$BK154,坦克属性分配比例,MATCH("升星比例",坦克属性分配比例标头,0),FALSE)+VLOOKUP(VLOOKUP($BJ154,坦克个性化设定!$B$18:$E$48,4,FALSE)&amp;$BK154,坦克属性分配比例,MATCH("部件比例",坦克属性分配比例标头,0),FALSE)*$C$3),0)</f>
        <v>489</v>
      </c>
      <c r="BQ154" s="103">
        <f ca="1">ROUND(VLOOKUP($BJ154&amp;"初始",$S$3:$AE$63,MATCH(BQ$3,$S$3:$AE$3,0),FALSE)+(VLOOKUP($BJ154&amp;"最终",$S$3:$AE$63,MATCH(BQ$3,$S$3:$AE$3,0),FALSE)-VLOOKUP($BJ154&amp;"初始",$S$3:$AE$63,MATCH(BQ$3,$S$3:$AE$3,0),FALSE))*$BL154/VLOOKUP(VLOOKUP($BJ154,坦克个性化设定!$B$18:$E$48,4,FALSE)&amp;$BK154,坦克属性分配比例,MATCH("升星次数",坦克属性分配比例标头,0),FALSE)*VLOOKUP(VLOOKUP($BJ154,坦克个性化设定!$B$18:$E$48,4,FALSE)&amp;$BK154,坦克属性分配比例,MATCH("升星比例",坦克属性分配比例标头,0),FALSE),0)</f>
        <v>668</v>
      </c>
      <c r="BR154" s="2">
        <f ca="1">ROUND(VLOOKUP($BJ154&amp;"初始",$S$3:$AE$63,MATCH(BR$3,$S$3:$AE$3,0),FALSE)+(VLOOKUP($BJ154&amp;"最终",$S$3:$AE$63,MATCH(BR$3,$S$3:$AE$3,0),FALSE)-VLOOKUP($BJ154&amp;"初始",$S$3:$AE$63,MATCH(BR$3,$S$3:$AE$3,0),FALSE))*$BL154/VLOOKUP(VLOOKUP($BJ154,坦克个性化设定!$B$18:$E$48,4,FALSE)&amp;$BK154,坦克属性分配比例,MATCH("升星次数",坦克属性分配比例标头,0),FALSE),0)</f>
        <v>178</v>
      </c>
      <c r="BS154" s="2">
        <f>ROUND(VLOOKUP($BJ154,$AI$3:$AO$33,MATCH(BS$3,$AI$3:$AO$3,0),FALSE)+$BL154/VLOOKUP(VLOOKUP($BJ154,坦克个性化设定!$B$18:$E$48,4,FALSE)&amp;$BK154,坦克属性分配比例,MATCH("升星次数",坦克属性分配比例标头,0),FALSE)*VLOOKUP($BJ154,$AR$3:$AY$33,MATCH(BS$3,$AR$3:$AY$3,0),FALSE),1)</f>
        <v>43.6</v>
      </c>
      <c r="BT154" s="2">
        <f>ROUND(VLOOKUP($BJ154,$AI$3:$AO$33,MATCH(BT$3,$AI$3:$AO$3,0),FALSE)+$BL154/VLOOKUP(VLOOKUP($BJ154,坦克个性化设定!$B$18:$E$48,4,FALSE)&amp;$BK154,坦克属性分配比例,MATCH("升星次数",坦克属性分配比例标头,0),FALSE)*VLOOKUP($BJ154,$AR$3:$AY$33,MATCH(BT$3,$AR$3:$AY$3,0),FALSE),1)</f>
        <v>61.3</v>
      </c>
      <c r="BU154" s="2">
        <f>ROUND(VLOOKUP($BJ154,$AI$3:$AO$33,MATCH(BU$3,$AI$3:$AO$3,0),FALSE)+$BL154/VLOOKUP(VLOOKUP($BJ154,坦克个性化设定!$B$18:$E$48,4,FALSE)&amp;$BK154,坦克属性分配比例,MATCH("升星次数",坦克属性分配比例标头,0),FALSE)*VLOOKUP($BJ154,$AR$3:$AY$33,MATCH(BU$3,$AR$3:$AY$3,0),FALSE),1)</f>
        <v>7.6</v>
      </c>
      <c r="BV154" s="2">
        <f>IF(VLOOKUP(BJ154,坦克个性化设定!$B$18:$BC$48,MATCH("装弹类型",坦克个性化设定!$B$18:$BC$18,0),FALSE)="弹夹换弹",0,ROUND(VLOOKUP($BJ154,$AI$3:$AO$33,MATCH("换弹时间",$AI$3:$AO$3,0),FALSE)-$BL154/VLOOKUP(VLOOKUP($BJ154,坦克个性化设定!$B$18:$E$48,4,FALSE)&amp;$BK154,坦克属性分配比例,MATCH("升星次数",坦克属性分配比例标头,0),FALSE)*VLOOKUP($BJ154,$AR$3:$AY$33,MATCH("换弹时间",$AR$3:$AY$3,0),FALSE),2))</f>
        <v>2.65</v>
      </c>
      <c r="BW154" s="2">
        <f>IF(VLOOKUP(BJ154,坦克个性化设定!$B$18:$BC$48,MATCH("装弹类型",坦克个性化设定!$B$18:$BC$18,0),FALSE)="弹夹换弹",ROUND(VLOOKUP($BJ154,$AI$3:$AO$33,MATCH("换弹时间",$AI$3:$AO$3,0),FALSE)-$BL154/VLOOKUP(VLOOKUP($BJ154,坦克个性化设定!$B$18:$E$48,4,FALSE)&amp;$BK154,坦克属性分配比例,MATCH("升星次数",坦克属性分配比例标头,0),FALSE)*VLOOKUP($BJ154,$AR$3:$AY$33,MATCH("换弹时间",$AR$3:$AY$3,0),FALSE),1),0)</f>
        <v>0</v>
      </c>
      <c r="BX154" s="2">
        <f>ROUND(VLOOKUP($BJ154,$AI$3:$AO$33,MATCH(BX$3,$AI$3:$AO$3,0),FALSE)+$BL154/VLOOKUP(VLOOKUP($BJ154,坦克个性化设定!$B$18:$E$48,4,FALSE)&amp;$BK154,坦克属性分配比例,MATCH("升星次数",坦克属性分配比例标头,0),FALSE)*VLOOKUP($BJ154,$AR$3:$AY$33,MATCH(BX$3,$AR$3:$AY$3,0),FALSE),2)</f>
        <v>0.4</v>
      </c>
      <c r="BY154" s="2">
        <f>ROUND(VLOOKUP($BJ154,$AI$3:$AO$33,MATCH(BY$3,$AI$3:$AO$3,0),FALSE)-$BL154/VLOOKUP(VLOOKUP($BJ154,坦克个性化设定!$B$18:$E$48,4,FALSE)&amp;$BK154,坦克属性分配比例,MATCH("升星次数",坦克属性分配比例标头,0),FALSE)*VLOOKUP($BJ154,$AR$3:$AY$33,MATCH(BY$3,$AR$3:$AY$3,0),FALSE),2)</f>
        <v>1.02</v>
      </c>
    </row>
    <row r="155" spans="60:77" x14ac:dyDescent="0.3">
      <c r="BH155" s="2" t="str">
        <f t="shared" si="27"/>
        <v>彗星7</v>
      </c>
      <c r="BI155" s="2">
        <f>IF(BL154&gt;=VLOOKUP(VLOOKUP(BJ154,坦克个性化设定!$B$18:$E$48,4,FALSE)&amp;BK154,坦克属性分配比例,MATCH("升星次数",坦克属性分配比例标头,0),FALSE),BI154+1,BI154)</f>
        <v>16</v>
      </c>
      <c r="BJ155" s="2" t="str">
        <f t="shared" si="28"/>
        <v>彗星</v>
      </c>
      <c r="BK155" s="29" t="str">
        <f>VLOOKUP(BJ155,坦克个性化细分!$I$3:$J$33,2,FALSE)</f>
        <v>高</v>
      </c>
      <c r="BL155" s="2">
        <f t="shared" si="26"/>
        <v>7</v>
      </c>
      <c r="BM155" s="103">
        <f ca="1">ROUND(VLOOKUP($BJ155&amp;"初始",$S$3:$AE$63,MATCH(BM$3,$S$3:$AE$3,0),FALSE)+((VLOOKUP($BJ155&amp;"最终",$S$3:$AE$63,MATCH(BM$3,$S$3:$AE$3,0),FALSE)*坦克个性化细分!$C$9-VLOOKUP($BJ155&amp;"初始",$S$3:$AE$63,MATCH(BM$3,$S$3:$AE$3,0),FALSE))-(VLOOKUP($BJ155&amp;"最终",$S$3:$AE$63,MATCH(BM$3,$S$3:$AE$3,0),FALSE)-VLOOKUP($BJ155&amp;"初始",$S$3:$AE$63,MATCH(BM$3,$S$3:$AE$3,0),FALSE))*VLOOKUP(VLOOKUP($BJ155,坦克个性化设定!$B$18:$E$48,4,FALSE)&amp;$BK155,坦克属性分配比例,MATCH("部件比例",坦克属性分配比例标头,0),FALSE))*$BL155/VLOOKUP(VLOOKUP($BJ155,坦克个性化设定!$B$18:$E$48,4,FALSE)&amp;$BK155,坦克属性分配比例,MATCH("升星次数",坦克属性分配比例标头,0),FALSE),0)</f>
        <v>1868</v>
      </c>
      <c r="BN155" s="103">
        <f ca="1">ROUND(VLOOKUP($BJ155&amp;"初始",$S$3:$AE$63,MATCH(BN$3,$S$3:$AE$3,0),FALSE)+(VLOOKUP($BJ155&amp;"最终",$S$3:$AE$63,MATCH(BN$3,$S$3:$AE$3,0),FALSE)-VLOOKUP($BJ155&amp;"初始",$S$3:$AE$63,MATCH(BN$3,$S$3:$AE$3,0),FALSE))*$BL155/VLOOKUP(VLOOKUP($BJ155,坦克个性化设定!$B$18:$E$48,4,FALSE)&amp;$BK155,坦克属性分配比例,MATCH("升星次数",坦克属性分配比例标头,0),FALSE)*VLOOKUP(VLOOKUP($BJ155,坦克个性化设定!$B$18:$E$48,4,FALSE)&amp;$BK155,坦克属性分配比例,MATCH("升星比例",坦克属性分配比例标头,0),FALSE),0)</f>
        <v>202</v>
      </c>
      <c r="BO155" s="103">
        <f ca="1">ROUND(VLOOKUP($BJ155&amp;"初始",$S$3:$AE$63,MATCH(BO$3,$S$3:$AE$3,0),FALSE)+(VLOOKUP($BJ155&amp;"最终",$S$3:$AE$63,MATCH(BO$3,$S$3:$AE$3,0),FALSE)-VLOOKUP($BJ155&amp;"初始",$S$3:$AE$63,MATCH(BO$3,$S$3:$AE$3,0),FALSE))*$BL155/VLOOKUP(VLOOKUP($BJ155,坦克个性化设定!$B$18:$E$48,4,FALSE)&amp;$BK155,坦克属性分配比例,MATCH("升星次数",坦克属性分配比例标头,0),FALSE)*(VLOOKUP(VLOOKUP($BJ155,坦克个性化设定!$B$18:$E$48,4,FALSE)&amp;$BK155,坦克属性分配比例,MATCH("升星比例",坦克属性分配比例标头,0),FALSE)+VLOOKUP(VLOOKUP($BJ155,坦克个性化设定!$B$18:$E$48,4,FALSE)&amp;$BK155,坦克属性分配比例,MATCH("部件比例",坦克属性分配比例标头,0),FALSE)*$C$3),0)</f>
        <v>676</v>
      </c>
      <c r="BP155" s="103">
        <f ca="1">ROUND(VLOOKUP($BJ155&amp;"初始",$S$3:$AE$63,MATCH(BP$3,$S$3:$AE$3,0),FALSE)+(VLOOKUP($BJ155&amp;"最终",$S$3:$AE$63,MATCH(BP$3,$S$3:$AE$3,0),FALSE)-VLOOKUP($BJ155&amp;"初始",$S$3:$AE$63,MATCH(BP$3,$S$3:$AE$3,0),FALSE))*$BL155/VLOOKUP(VLOOKUP($BJ155,坦克个性化设定!$B$18:$E$48,4,FALSE)&amp;$BK155,坦克属性分配比例,MATCH("升星次数",坦克属性分配比例标头,0),FALSE)*(VLOOKUP(VLOOKUP($BJ155,坦克个性化设定!$B$18:$E$48,4,FALSE)&amp;$BK155,坦克属性分配比例,MATCH("升星比例",坦克属性分配比例标头,0),FALSE)+VLOOKUP(VLOOKUP($BJ155,坦克个性化设定!$B$18:$E$48,4,FALSE)&amp;$BK155,坦克属性分配比例,MATCH("部件比例",坦克属性分配比例标头,0),FALSE)*$C$3),0)</f>
        <v>507</v>
      </c>
      <c r="BQ155" s="103">
        <f ca="1">ROUND(VLOOKUP($BJ155&amp;"初始",$S$3:$AE$63,MATCH(BQ$3,$S$3:$AE$3,0),FALSE)+(VLOOKUP($BJ155&amp;"最终",$S$3:$AE$63,MATCH(BQ$3,$S$3:$AE$3,0),FALSE)-VLOOKUP($BJ155&amp;"初始",$S$3:$AE$63,MATCH(BQ$3,$S$3:$AE$3,0),FALSE))*$BL155/VLOOKUP(VLOOKUP($BJ155,坦克个性化设定!$B$18:$E$48,4,FALSE)&amp;$BK155,坦克属性分配比例,MATCH("升星次数",坦克属性分配比例标头,0),FALSE)*VLOOKUP(VLOOKUP($BJ155,坦克个性化设定!$B$18:$E$48,4,FALSE)&amp;$BK155,坦克属性分配比例,MATCH("升星比例",坦克属性分配比例标头,0),FALSE),0)</f>
        <v>687</v>
      </c>
      <c r="BR155" s="2">
        <f ca="1">ROUND(VLOOKUP($BJ155&amp;"初始",$S$3:$AE$63,MATCH(BR$3,$S$3:$AE$3,0),FALSE)+(VLOOKUP($BJ155&amp;"最终",$S$3:$AE$63,MATCH(BR$3,$S$3:$AE$3,0),FALSE)-VLOOKUP($BJ155&amp;"初始",$S$3:$AE$63,MATCH(BR$3,$S$3:$AE$3,0),FALSE))*$BL155/VLOOKUP(VLOOKUP($BJ155,坦克个性化设定!$B$18:$E$48,4,FALSE)&amp;$BK155,坦克属性分配比例,MATCH("升星次数",坦克属性分配比例标头,0),FALSE),0)</f>
        <v>186</v>
      </c>
      <c r="BS155" s="2">
        <f>ROUND(VLOOKUP($BJ155,$AI$3:$AO$33,MATCH(BS$3,$AI$3:$AO$3,0),FALSE)+$BL155/VLOOKUP(VLOOKUP($BJ155,坦克个性化设定!$B$18:$E$48,4,FALSE)&amp;$BK155,坦克属性分配比例,MATCH("升星次数",坦克属性分配比例标头,0),FALSE)*VLOOKUP($BJ155,$AR$3:$AY$33,MATCH(BS$3,$AR$3:$AY$3,0),FALSE),1)</f>
        <v>44.7</v>
      </c>
      <c r="BT155" s="2">
        <f>ROUND(VLOOKUP($BJ155,$AI$3:$AO$33,MATCH(BT$3,$AI$3:$AO$3,0),FALSE)+$BL155/VLOOKUP(VLOOKUP($BJ155,坦克个性化设定!$B$18:$E$48,4,FALSE)&amp;$BK155,坦克属性分配比例,MATCH("升星次数",坦克属性分配比例标头,0),FALSE)*VLOOKUP($BJ155,$AR$3:$AY$33,MATCH(BT$3,$AR$3:$AY$3,0),FALSE),1)</f>
        <v>62.7</v>
      </c>
      <c r="BU155" s="2">
        <f>ROUND(VLOOKUP($BJ155,$AI$3:$AO$33,MATCH(BU$3,$AI$3:$AO$3,0),FALSE)+$BL155/VLOOKUP(VLOOKUP($BJ155,坦克个性化设定!$B$18:$E$48,4,FALSE)&amp;$BK155,坦克属性分配比例,MATCH("升星次数",坦克属性分配比例标头,0),FALSE)*VLOOKUP($BJ155,$AR$3:$AY$33,MATCH(BU$3,$AR$3:$AY$3,0),FALSE),1)</f>
        <v>7.6</v>
      </c>
      <c r="BV155" s="2">
        <f>IF(VLOOKUP(BJ155,坦克个性化设定!$B$18:$BC$48,MATCH("装弹类型",坦克个性化设定!$B$18:$BC$18,0),FALSE)="弹夹换弹",0,ROUND(VLOOKUP($BJ155,$AI$3:$AO$33,MATCH("换弹时间",$AI$3:$AO$3,0),FALSE)-$BL155/VLOOKUP(VLOOKUP($BJ155,坦克个性化设定!$B$18:$E$48,4,FALSE)&amp;$BK155,坦克属性分配比例,MATCH("升星次数",坦克属性分配比例标头,0),FALSE)*VLOOKUP($BJ155,$AR$3:$AY$33,MATCH("换弹时间",$AR$3:$AY$3,0),FALSE),2))</f>
        <v>2.6</v>
      </c>
      <c r="BW155" s="2">
        <f>IF(VLOOKUP(BJ155,坦克个性化设定!$B$18:$BC$48,MATCH("装弹类型",坦克个性化设定!$B$18:$BC$18,0),FALSE)="弹夹换弹",ROUND(VLOOKUP($BJ155,$AI$3:$AO$33,MATCH("换弹时间",$AI$3:$AO$3,0),FALSE)-$BL155/VLOOKUP(VLOOKUP($BJ155,坦克个性化设定!$B$18:$E$48,4,FALSE)&amp;$BK155,坦克属性分配比例,MATCH("升星次数",坦克属性分配比例标头,0),FALSE)*VLOOKUP($BJ155,$AR$3:$AY$33,MATCH("换弹时间",$AR$3:$AY$3,0),FALSE),1),0)</f>
        <v>0</v>
      </c>
      <c r="BX155" s="2">
        <f>ROUND(VLOOKUP($BJ155,$AI$3:$AO$33,MATCH(BX$3,$AI$3:$AO$3,0),FALSE)+$BL155/VLOOKUP(VLOOKUP($BJ155,坦克个性化设定!$B$18:$E$48,4,FALSE)&amp;$BK155,坦克属性分配比例,MATCH("升星次数",坦克属性分配比例标头,0),FALSE)*VLOOKUP($BJ155,$AR$3:$AY$33,MATCH(BX$3,$AR$3:$AY$3,0),FALSE),2)</f>
        <v>0.4</v>
      </c>
      <c r="BY155" s="2">
        <f>ROUND(VLOOKUP($BJ155,$AI$3:$AO$33,MATCH(BY$3,$AI$3:$AO$3,0),FALSE)-$BL155/VLOOKUP(VLOOKUP($BJ155,坦克个性化设定!$B$18:$E$48,4,FALSE)&amp;$BK155,坦克属性分配比例,MATCH("升星次数",坦克属性分配比例标头,0),FALSE)*VLOOKUP($BJ155,$AR$3:$AY$33,MATCH(BY$3,$AR$3:$AY$3,0),FALSE),2)</f>
        <v>1</v>
      </c>
    </row>
    <row r="156" spans="60:77" x14ac:dyDescent="0.3">
      <c r="BH156" s="2" t="str">
        <f t="shared" si="27"/>
        <v>彗星8</v>
      </c>
      <c r="BI156" s="2">
        <f>IF(BL155&gt;=VLOOKUP(VLOOKUP(BJ155,坦克个性化设定!$B$18:$E$48,4,FALSE)&amp;BK155,坦克属性分配比例,MATCH("升星次数",坦克属性分配比例标头,0),FALSE),BI155+1,BI155)</f>
        <v>16</v>
      </c>
      <c r="BJ156" s="2" t="str">
        <f t="shared" si="28"/>
        <v>彗星</v>
      </c>
      <c r="BK156" s="29" t="str">
        <f>VLOOKUP(BJ156,坦克个性化细分!$I$3:$J$33,2,FALSE)</f>
        <v>高</v>
      </c>
      <c r="BL156" s="2">
        <f t="shared" si="26"/>
        <v>8</v>
      </c>
      <c r="BM156" s="103">
        <f ca="1">ROUND(VLOOKUP($BJ156&amp;"初始",$S$3:$AE$63,MATCH(BM$3,$S$3:$AE$3,0),FALSE)+((VLOOKUP($BJ156&amp;"最终",$S$3:$AE$63,MATCH(BM$3,$S$3:$AE$3,0),FALSE)*坦克个性化细分!$C$9-VLOOKUP($BJ156&amp;"初始",$S$3:$AE$63,MATCH(BM$3,$S$3:$AE$3,0),FALSE))-(VLOOKUP($BJ156&amp;"最终",$S$3:$AE$63,MATCH(BM$3,$S$3:$AE$3,0),FALSE)-VLOOKUP($BJ156&amp;"初始",$S$3:$AE$63,MATCH(BM$3,$S$3:$AE$3,0),FALSE))*VLOOKUP(VLOOKUP($BJ156,坦克个性化设定!$B$18:$E$48,4,FALSE)&amp;$BK156,坦克属性分配比例,MATCH("部件比例",坦克属性分配比例标头,0),FALSE))*$BL156/VLOOKUP(VLOOKUP($BJ156,坦克个性化设定!$B$18:$E$48,4,FALSE)&amp;$BK156,坦克属性分配比例,MATCH("升星次数",坦克属性分配比例标头,0),FALSE),0)</f>
        <v>1944</v>
      </c>
      <c r="BN156" s="103">
        <f ca="1">ROUND(VLOOKUP($BJ156&amp;"初始",$S$3:$AE$63,MATCH(BN$3,$S$3:$AE$3,0),FALSE)+(VLOOKUP($BJ156&amp;"最终",$S$3:$AE$63,MATCH(BN$3,$S$3:$AE$3,0),FALSE)-VLOOKUP($BJ156&amp;"初始",$S$3:$AE$63,MATCH(BN$3,$S$3:$AE$3,0),FALSE))*$BL156/VLOOKUP(VLOOKUP($BJ156,坦克个性化设定!$B$18:$E$48,4,FALSE)&amp;$BK156,坦克属性分配比例,MATCH("升星次数",坦克属性分配比例标头,0),FALSE)*VLOOKUP(VLOOKUP($BJ156,坦克个性化设定!$B$18:$E$48,4,FALSE)&amp;$BK156,坦克属性分配比例,MATCH("升星比例",坦克属性分配比例标头,0),FALSE),0)</f>
        <v>208</v>
      </c>
      <c r="BO156" s="103">
        <f ca="1">ROUND(VLOOKUP($BJ156&amp;"初始",$S$3:$AE$63,MATCH(BO$3,$S$3:$AE$3,0),FALSE)+(VLOOKUP($BJ156&amp;"最终",$S$3:$AE$63,MATCH(BO$3,$S$3:$AE$3,0),FALSE)-VLOOKUP($BJ156&amp;"初始",$S$3:$AE$63,MATCH(BO$3,$S$3:$AE$3,0),FALSE))*$BL156/VLOOKUP(VLOOKUP($BJ156,坦克个性化设定!$B$18:$E$48,4,FALSE)&amp;$BK156,坦克属性分配比例,MATCH("升星次数",坦克属性分配比例标头,0),FALSE)*(VLOOKUP(VLOOKUP($BJ156,坦克个性化设定!$B$18:$E$48,4,FALSE)&amp;$BK156,坦克属性分配比例,MATCH("升星比例",坦克属性分配比例标头,0),FALSE)+VLOOKUP(VLOOKUP($BJ156,坦克个性化设定!$B$18:$E$48,4,FALSE)&amp;$BK156,坦克属性分配比例,MATCH("部件比例",坦克属性分配比例标头,0),FALSE)*$C$3),0)</f>
        <v>700</v>
      </c>
      <c r="BP156" s="103">
        <f ca="1">ROUND(VLOOKUP($BJ156&amp;"初始",$S$3:$AE$63,MATCH(BP$3,$S$3:$AE$3,0),FALSE)+(VLOOKUP($BJ156&amp;"最终",$S$3:$AE$63,MATCH(BP$3,$S$3:$AE$3,0),FALSE)-VLOOKUP($BJ156&amp;"初始",$S$3:$AE$63,MATCH(BP$3,$S$3:$AE$3,0),FALSE))*$BL156/VLOOKUP(VLOOKUP($BJ156,坦克个性化设定!$B$18:$E$48,4,FALSE)&amp;$BK156,坦克属性分配比例,MATCH("升星次数",坦克属性分配比例标头,0),FALSE)*(VLOOKUP(VLOOKUP($BJ156,坦克个性化设定!$B$18:$E$48,4,FALSE)&amp;$BK156,坦克属性分配比例,MATCH("升星比例",坦克属性分配比例标头,0),FALSE)+VLOOKUP(VLOOKUP($BJ156,坦克个性化设定!$B$18:$E$48,4,FALSE)&amp;$BK156,坦克属性分配比例,MATCH("部件比例",坦克属性分配比例标头,0),FALSE)*$C$3),0)</f>
        <v>525</v>
      </c>
      <c r="BQ156" s="103">
        <f ca="1">ROUND(VLOOKUP($BJ156&amp;"初始",$S$3:$AE$63,MATCH(BQ$3,$S$3:$AE$3,0),FALSE)+(VLOOKUP($BJ156&amp;"最终",$S$3:$AE$63,MATCH(BQ$3,$S$3:$AE$3,0),FALSE)-VLOOKUP($BJ156&amp;"初始",$S$3:$AE$63,MATCH(BQ$3,$S$3:$AE$3,0),FALSE))*$BL156/VLOOKUP(VLOOKUP($BJ156,坦克个性化设定!$B$18:$E$48,4,FALSE)&amp;$BK156,坦克属性分配比例,MATCH("升星次数",坦克属性分配比例标头,0),FALSE)*VLOOKUP(VLOOKUP($BJ156,坦克个性化设定!$B$18:$E$48,4,FALSE)&amp;$BK156,坦克属性分配比例,MATCH("升星比例",坦克属性分配比例标头,0),FALSE),0)</f>
        <v>706</v>
      </c>
      <c r="BR156" s="2">
        <f ca="1">ROUND(VLOOKUP($BJ156&amp;"初始",$S$3:$AE$63,MATCH(BR$3,$S$3:$AE$3,0),FALSE)+(VLOOKUP($BJ156&amp;"最终",$S$3:$AE$63,MATCH(BR$3,$S$3:$AE$3,0),FALSE)-VLOOKUP($BJ156&amp;"初始",$S$3:$AE$63,MATCH(BR$3,$S$3:$AE$3,0),FALSE))*$BL156/VLOOKUP(VLOOKUP($BJ156,坦克个性化设定!$B$18:$E$48,4,FALSE)&amp;$BK156,坦克属性分配比例,MATCH("升星次数",坦克属性分配比例标头,0),FALSE),0)</f>
        <v>193</v>
      </c>
      <c r="BS156" s="2">
        <f>ROUND(VLOOKUP($BJ156,$AI$3:$AO$33,MATCH(BS$3,$AI$3:$AO$3,0),FALSE)+$BL156/VLOOKUP(VLOOKUP($BJ156,坦克个性化设定!$B$18:$E$48,4,FALSE)&amp;$BK156,坦克属性分配比例,MATCH("升星次数",坦克属性分配比例标头,0),FALSE)*VLOOKUP($BJ156,$AR$3:$AY$33,MATCH(BS$3,$AR$3:$AY$3,0),FALSE),1)</f>
        <v>45.7</v>
      </c>
      <c r="BT156" s="2">
        <f>ROUND(VLOOKUP($BJ156,$AI$3:$AO$33,MATCH(BT$3,$AI$3:$AO$3,0),FALSE)+$BL156/VLOOKUP(VLOOKUP($BJ156,坦克个性化设定!$B$18:$E$48,4,FALSE)&amp;$BK156,坦克属性分配比例,MATCH("升星次数",坦克属性分配比例标头,0),FALSE)*VLOOKUP($BJ156,$AR$3:$AY$33,MATCH(BT$3,$AR$3:$AY$3,0),FALSE),1)</f>
        <v>64.2</v>
      </c>
      <c r="BU156" s="2">
        <f>ROUND(VLOOKUP($BJ156,$AI$3:$AO$33,MATCH(BU$3,$AI$3:$AO$3,0),FALSE)+$BL156/VLOOKUP(VLOOKUP($BJ156,坦克个性化设定!$B$18:$E$48,4,FALSE)&amp;$BK156,坦克属性分配比例,MATCH("升星次数",坦克属性分配比例标头,0),FALSE)*VLOOKUP($BJ156,$AR$3:$AY$33,MATCH(BU$3,$AR$3:$AY$3,0),FALSE),1)</f>
        <v>7.6</v>
      </c>
      <c r="BV156" s="2">
        <f>IF(VLOOKUP(BJ156,坦克个性化设定!$B$18:$BC$48,MATCH("装弹类型",坦克个性化设定!$B$18:$BC$18,0),FALSE)="弹夹换弹",0,ROUND(VLOOKUP($BJ156,$AI$3:$AO$33,MATCH("换弹时间",$AI$3:$AO$3,0),FALSE)-$BL156/VLOOKUP(VLOOKUP($BJ156,坦克个性化设定!$B$18:$E$48,4,FALSE)&amp;$BK156,坦克属性分配比例,MATCH("升星次数",坦克属性分配比例标头,0),FALSE)*VLOOKUP($BJ156,$AR$3:$AY$33,MATCH("换弹时间",$AR$3:$AY$3,0),FALSE),2))</f>
        <v>2.54</v>
      </c>
      <c r="BW156" s="2">
        <f>IF(VLOOKUP(BJ156,坦克个性化设定!$B$18:$BC$48,MATCH("装弹类型",坦克个性化设定!$B$18:$BC$18,0),FALSE)="弹夹换弹",ROUND(VLOOKUP($BJ156,$AI$3:$AO$33,MATCH("换弹时间",$AI$3:$AO$3,0),FALSE)-$BL156/VLOOKUP(VLOOKUP($BJ156,坦克个性化设定!$B$18:$E$48,4,FALSE)&amp;$BK156,坦克属性分配比例,MATCH("升星次数",坦克属性分配比例标头,0),FALSE)*VLOOKUP($BJ156,$AR$3:$AY$33,MATCH("换弹时间",$AR$3:$AY$3,0),FALSE),1),0)</f>
        <v>0</v>
      </c>
      <c r="BX156" s="2">
        <f>ROUND(VLOOKUP($BJ156,$AI$3:$AO$33,MATCH(BX$3,$AI$3:$AO$3,0),FALSE)+$BL156/VLOOKUP(VLOOKUP($BJ156,坦克个性化设定!$B$18:$E$48,4,FALSE)&amp;$BK156,坦克属性分配比例,MATCH("升星次数",坦克属性分配比例标头,0),FALSE)*VLOOKUP($BJ156,$AR$3:$AY$33,MATCH(BX$3,$AR$3:$AY$3,0),FALSE),2)</f>
        <v>0.4</v>
      </c>
      <c r="BY156" s="2">
        <f>ROUND(VLOOKUP($BJ156,$AI$3:$AO$33,MATCH(BY$3,$AI$3:$AO$3,0),FALSE)-$BL156/VLOOKUP(VLOOKUP($BJ156,坦克个性化设定!$B$18:$E$48,4,FALSE)&amp;$BK156,坦克属性分配比例,MATCH("升星次数",坦克属性分配比例标头,0),FALSE)*VLOOKUP($BJ156,$AR$3:$AY$33,MATCH(BY$3,$AR$3:$AY$3,0),FALSE),2)</f>
        <v>0.98</v>
      </c>
    </row>
    <row r="157" spans="60:77" x14ac:dyDescent="0.3">
      <c r="BH157" s="2" t="str">
        <f t="shared" si="27"/>
        <v>彗星9</v>
      </c>
      <c r="BI157" s="2">
        <f>IF(BL156&gt;=VLOOKUP(VLOOKUP(BJ156,坦克个性化设定!$B$18:$E$48,4,FALSE)&amp;BK156,坦克属性分配比例,MATCH("升星次数",坦克属性分配比例标头,0),FALSE),BI156+1,BI156)</f>
        <v>16</v>
      </c>
      <c r="BJ157" s="2" t="str">
        <f t="shared" si="28"/>
        <v>彗星</v>
      </c>
      <c r="BK157" s="29" t="str">
        <f>VLOOKUP(BJ157,坦克个性化细分!$I$3:$J$33,2,FALSE)</f>
        <v>高</v>
      </c>
      <c r="BL157" s="2">
        <f t="shared" si="26"/>
        <v>9</v>
      </c>
      <c r="BM157" s="103">
        <f ca="1">ROUND(VLOOKUP($BJ157&amp;"初始",$S$3:$AE$63,MATCH(BM$3,$S$3:$AE$3,0),FALSE)+((VLOOKUP($BJ157&amp;"最终",$S$3:$AE$63,MATCH(BM$3,$S$3:$AE$3,0),FALSE)*坦克个性化细分!$C$9-VLOOKUP($BJ157&amp;"初始",$S$3:$AE$63,MATCH(BM$3,$S$3:$AE$3,0),FALSE))-(VLOOKUP($BJ157&amp;"最终",$S$3:$AE$63,MATCH(BM$3,$S$3:$AE$3,0),FALSE)-VLOOKUP($BJ157&amp;"初始",$S$3:$AE$63,MATCH(BM$3,$S$3:$AE$3,0),FALSE))*VLOOKUP(VLOOKUP($BJ157,坦克个性化设定!$B$18:$E$48,4,FALSE)&amp;$BK157,坦克属性分配比例,MATCH("部件比例",坦克属性分配比例标头,0),FALSE))*$BL157/VLOOKUP(VLOOKUP($BJ157,坦克个性化设定!$B$18:$E$48,4,FALSE)&amp;$BK157,坦克属性分配比例,MATCH("升星次数",坦克属性分配比例标头,0),FALSE),0)</f>
        <v>2020</v>
      </c>
      <c r="BN157" s="103">
        <f ca="1">ROUND(VLOOKUP($BJ157&amp;"初始",$S$3:$AE$63,MATCH(BN$3,$S$3:$AE$3,0),FALSE)+(VLOOKUP($BJ157&amp;"最终",$S$3:$AE$63,MATCH(BN$3,$S$3:$AE$3,0),FALSE)-VLOOKUP($BJ157&amp;"初始",$S$3:$AE$63,MATCH(BN$3,$S$3:$AE$3,0),FALSE))*$BL157/VLOOKUP(VLOOKUP($BJ157,坦克个性化设定!$B$18:$E$48,4,FALSE)&amp;$BK157,坦克属性分配比例,MATCH("升星次数",坦克属性分配比例标头,0),FALSE)*VLOOKUP(VLOOKUP($BJ157,坦克个性化设定!$B$18:$E$48,4,FALSE)&amp;$BK157,坦克属性分配比例,MATCH("升星比例",坦克属性分配比例标头,0),FALSE),0)</f>
        <v>213</v>
      </c>
      <c r="BO157" s="103">
        <f ca="1">ROUND(VLOOKUP($BJ157&amp;"初始",$S$3:$AE$63,MATCH(BO$3,$S$3:$AE$3,0),FALSE)+(VLOOKUP($BJ157&amp;"最终",$S$3:$AE$63,MATCH(BO$3,$S$3:$AE$3,0),FALSE)-VLOOKUP($BJ157&amp;"初始",$S$3:$AE$63,MATCH(BO$3,$S$3:$AE$3,0),FALSE))*$BL157/VLOOKUP(VLOOKUP($BJ157,坦克个性化设定!$B$18:$E$48,4,FALSE)&amp;$BK157,坦克属性分配比例,MATCH("升星次数",坦克属性分配比例标头,0),FALSE)*(VLOOKUP(VLOOKUP($BJ157,坦克个性化设定!$B$18:$E$48,4,FALSE)&amp;$BK157,坦克属性分配比例,MATCH("升星比例",坦克属性分配比例标头,0),FALSE)+VLOOKUP(VLOOKUP($BJ157,坦克个性化设定!$B$18:$E$48,4,FALSE)&amp;$BK157,坦克属性分配比例,MATCH("部件比例",坦克属性分配比例标头,0),FALSE)*$C$3),0)</f>
        <v>724</v>
      </c>
      <c r="BP157" s="103">
        <f ca="1">ROUND(VLOOKUP($BJ157&amp;"初始",$S$3:$AE$63,MATCH(BP$3,$S$3:$AE$3,0),FALSE)+(VLOOKUP($BJ157&amp;"最终",$S$3:$AE$63,MATCH(BP$3,$S$3:$AE$3,0),FALSE)-VLOOKUP($BJ157&amp;"初始",$S$3:$AE$63,MATCH(BP$3,$S$3:$AE$3,0),FALSE))*$BL157/VLOOKUP(VLOOKUP($BJ157,坦克个性化设定!$B$18:$E$48,4,FALSE)&amp;$BK157,坦克属性分配比例,MATCH("升星次数",坦克属性分配比例标头,0),FALSE)*(VLOOKUP(VLOOKUP($BJ157,坦克个性化设定!$B$18:$E$48,4,FALSE)&amp;$BK157,坦克属性分配比例,MATCH("升星比例",坦克属性分配比例标头,0),FALSE)+VLOOKUP(VLOOKUP($BJ157,坦克个性化设定!$B$18:$E$48,4,FALSE)&amp;$BK157,坦克属性分配比例,MATCH("部件比例",坦克属性分配比例标头,0),FALSE)*$C$3),0)</f>
        <v>543</v>
      </c>
      <c r="BQ157" s="103">
        <f ca="1">ROUND(VLOOKUP($BJ157&amp;"初始",$S$3:$AE$63,MATCH(BQ$3,$S$3:$AE$3,0),FALSE)+(VLOOKUP($BJ157&amp;"最终",$S$3:$AE$63,MATCH(BQ$3,$S$3:$AE$3,0),FALSE)-VLOOKUP($BJ157&amp;"初始",$S$3:$AE$63,MATCH(BQ$3,$S$3:$AE$3,0),FALSE))*$BL157/VLOOKUP(VLOOKUP($BJ157,坦克个性化设定!$B$18:$E$48,4,FALSE)&amp;$BK157,坦克属性分配比例,MATCH("升星次数",坦克属性分配比例标头,0),FALSE)*VLOOKUP(VLOOKUP($BJ157,坦克个性化设定!$B$18:$E$48,4,FALSE)&amp;$BK157,坦克属性分配比例,MATCH("升星比例",坦克属性分配比例标头,0),FALSE),0)</f>
        <v>725</v>
      </c>
      <c r="BR157" s="2">
        <f ca="1">ROUND(VLOOKUP($BJ157&amp;"初始",$S$3:$AE$63,MATCH(BR$3,$S$3:$AE$3,0),FALSE)+(VLOOKUP($BJ157&amp;"最终",$S$3:$AE$63,MATCH(BR$3,$S$3:$AE$3,0),FALSE)-VLOOKUP($BJ157&amp;"初始",$S$3:$AE$63,MATCH(BR$3,$S$3:$AE$3,0),FALSE))*$BL157/VLOOKUP(VLOOKUP($BJ157,坦克个性化设定!$B$18:$E$48,4,FALSE)&amp;$BK157,坦克属性分配比例,MATCH("升星次数",坦克属性分配比例标头,0),FALSE),0)</f>
        <v>201</v>
      </c>
      <c r="BS157" s="2">
        <f>ROUND(VLOOKUP($BJ157,$AI$3:$AO$33,MATCH(BS$3,$AI$3:$AO$3,0),FALSE)+$BL157/VLOOKUP(VLOOKUP($BJ157,坦克个性化设定!$B$18:$E$48,4,FALSE)&amp;$BK157,坦克属性分配比例,MATCH("升星次数",坦克属性分配比例标头,0),FALSE)*VLOOKUP($BJ157,$AR$3:$AY$33,MATCH(BS$3,$AR$3:$AY$3,0),FALSE),1)</f>
        <v>46.8</v>
      </c>
      <c r="BT157" s="2">
        <f>ROUND(VLOOKUP($BJ157,$AI$3:$AO$33,MATCH(BT$3,$AI$3:$AO$3,0),FALSE)+$BL157/VLOOKUP(VLOOKUP($BJ157,坦克个性化设定!$B$18:$E$48,4,FALSE)&amp;$BK157,坦克属性分配比例,MATCH("升星次数",坦克属性分配比例标头,0),FALSE)*VLOOKUP($BJ157,$AR$3:$AY$33,MATCH(BT$3,$AR$3:$AY$3,0),FALSE),1)</f>
        <v>65.599999999999994</v>
      </c>
      <c r="BU157" s="2">
        <f>ROUND(VLOOKUP($BJ157,$AI$3:$AO$33,MATCH(BU$3,$AI$3:$AO$3,0),FALSE)+$BL157/VLOOKUP(VLOOKUP($BJ157,坦克个性化设定!$B$18:$E$48,4,FALSE)&amp;$BK157,坦克属性分配比例,MATCH("升星次数",坦克属性分配比例标头,0),FALSE)*VLOOKUP($BJ157,$AR$3:$AY$33,MATCH(BU$3,$AR$3:$AY$3,0),FALSE),1)</f>
        <v>7.6</v>
      </c>
      <c r="BV157" s="2">
        <f>IF(VLOOKUP(BJ157,坦克个性化设定!$B$18:$BC$48,MATCH("装弹类型",坦克个性化设定!$B$18:$BC$18,0),FALSE)="弹夹换弹",0,ROUND(VLOOKUP($BJ157,$AI$3:$AO$33,MATCH("换弹时间",$AI$3:$AO$3,0),FALSE)-$BL157/VLOOKUP(VLOOKUP($BJ157,坦克个性化设定!$B$18:$E$48,4,FALSE)&amp;$BK157,坦克属性分配比例,MATCH("升星次数",坦克属性分配比例标头,0),FALSE)*VLOOKUP($BJ157,$AR$3:$AY$33,MATCH("换弹时间",$AR$3:$AY$3,0),FALSE),2))</f>
        <v>2.48</v>
      </c>
      <c r="BW157" s="2">
        <f>IF(VLOOKUP(BJ157,坦克个性化设定!$B$18:$BC$48,MATCH("装弹类型",坦克个性化设定!$B$18:$BC$18,0),FALSE)="弹夹换弹",ROUND(VLOOKUP($BJ157,$AI$3:$AO$33,MATCH("换弹时间",$AI$3:$AO$3,0),FALSE)-$BL157/VLOOKUP(VLOOKUP($BJ157,坦克个性化设定!$B$18:$E$48,4,FALSE)&amp;$BK157,坦克属性分配比例,MATCH("升星次数",坦克属性分配比例标头,0),FALSE)*VLOOKUP($BJ157,$AR$3:$AY$33,MATCH("换弹时间",$AR$3:$AY$3,0),FALSE),1),0)</f>
        <v>0</v>
      </c>
      <c r="BX157" s="2">
        <f>ROUND(VLOOKUP($BJ157,$AI$3:$AO$33,MATCH(BX$3,$AI$3:$AO$3,0),FALSE)+$BL157/VLOOKUP(VLOOKUP($BJ157,坦克个性化设定!$B$18:$E$48,4,FALSE)&amp;$BK157,坦克属性分配比例,MATCH("升星次数",坦克属性分配比例标头,0),FALSE)*VLOOKUP($BJ157,$AR$3:$AY$33,MATCH(BX$3,$AR$3:$AY$3,0),FALSE),2)</f>
        <v>0.4</v>
      </c>
      <c r="BY157" s="2">
        <f>ROUND(VLOOKUP($BJ157,$AI$3:$AO$33,MATCH(BY$3,$AI$3:$AO$3,0),FALSE)-$BL157/VLOOKUP(VLOOKUP($BJ157,坦克个性化设定!$B$18:$E$48,4,FALSE)&amp;$BK157,坦克属性分配比例,MATCH("升星次数",坦克属性分配比例标头,0),FALSE)*VLOOKUP($BJ157,$AR$3:$AY$33,MATCH(BY$3,$AR$3:$AY$3,0),FALSE),2)</f>
        <v>0.96</v>
      </c>
    </row>
    <row r="158" spans="60:77" x14ac:dyDescent="0.3">
      <c r="BH158" s="2" t="str">
        <f t="shared" si="27"/>
        <v>M-480</v>
      </c>
      <c r="BI158" s="2">
        <f>IF(BL157&gt;=VLOOKUP(VLOOKUP(BJ157,坦克个性化设定!$B$18:$E$48,4,FALSE)&amp;BK157,坦克属性分配比例,MATCH("升星次数",坦克属性分配比例标头,0),FALSE),BI157+1,BI157)</f>
        <v>17</v>
      </c>
      <c r="BJ158" s="2" t="str">
        <f t="shared" si="28"/>
        <v>M-48</v>
      </c>
      <c r="BK158" s="29" t="str">
        <f>VLOOKUP(BJ158,坦克个性化细分!$I$3:$J$33,2,FALSE)</f>
        <v>低</v>
      </c>
      <c r="BL158" s="2">
        <f t="shared" si="26"/>
        <v>0</v>
      </c>
      <c r="BM158" s="103">
        <f ca="1">ROUND(VLOOKUP($BJ158&amp;"初始",$S$3:$AE$63,MATCH(BM$3,$S$3:$AE$3,0),FALSE)+((VLOOKUP($BJ158&amp;"最终",$S$3:$AE$63,MATCH(BM$3,$S$3:$AE$3,0),FALSE)*坦克个性化细分!$C$9-VLOOKUP($BJ158&amp;"初始",$S$3:$AE$63,MATCH(BM$3,$S$3:$AE$3,0),FALSE))-(VLOOKUP($BJ158&amp;"最终",$S$3:$AE$63,MATCH(BM$3,$S$3:$AE$3,0),FALSE)-VLOOKUP($BJ158&amp;"初始",$S$3:$AE$63,MATCH(BM$3,$S$3:$AE$3,0),FALSE))*VLOOKUP(VLOOKUP($BJ158,坦克个性化设定!$B$18:$E$48,4,FALSE)&amp;$BK158,坦克属性分配比例,MATCH("部件比例",坦克属性分配比例标头,0),FALSE))*$BL158/VLOOKUP(VLOOKUP($BJ158,坦克个性化设定!$B$18:$E$48,4,FALSE)&amp;$BK158,坦克属性分配比例,MATCH("升星次数",坦克属性分配比例标头,0),FALSE),0)</f>
        <v>1779</v>
      </c>
      <c r="BN158" s="103">
        <f ca="1">ROUND(VLOOKUP($BJ158&amp;"初始",$S$3:$AE$63,MATCH(BN$3,$S$3:$AE$3,0),FALSE)+(VLOOKUP($BJ158&amp;"最终",$S$3:$AE$63,MATCH(BN$3,$S$3:$AE$3,0),FALSE)-VLOOKUP($BJ158&amp;"初始",$S$3:$AE$63,MATCH(BN$3,$S$3:$AE$3,0),FALSE))*$BL158/VLOOKUP(VLOOKUP($BJ158,坦克个性化设定!$B$18:$E$48,4,FALSE)&amp;$BK158,坦克属性分配比例,MATCH("升星次数",坦克属性分配比例标头,0),FALSE)*VLOOKUP(VLOOKUP($BJ158,坦克个性化设定!$B$18:$E$48,4,FALSE)&amp;$BK158,坦克属性分配比例,MATCH("升星比例",坦克属性分配比例标头,0),FALSE),0)</f>
        <v>181</v>
      </c>
      <c r="BO158" s="103">
        <f ca="1">ROUND(VLOOKUP($BJ158&amp;"初始",$S$3:$AE$63,MATCH(BO$3,$S$3:$AE$3,0),FALSE)+(VLOOKUP($BJ158&amp;"最终",$S$3:$AE$63,MATCH(BO$3,$S$3:$AE$3,0),FALSE)-VLOOKUP($BJ158&amp;"初始",$S$3:$AE$63,MATCH(BO$3,$S$3:$AE$3,0),FALSE))*$BL158/VLOOKUP(VLOOKUP($BJ158,坦克个性化设定!$B$18:$E$48,4,FALSE)&amp;$BK158,坦克属性分配比例,MATCH("升星次数",坦克属性分配比例标头,0),FALSE)*(VLOOKUP(VLOOKUP($BJ158,坦克个性化设定!$B$18:$E$48,4,FALSE)&amp;$BK158,坦克属性分配比例,MATCH("升星比例",坦克属性分配比例标头,0),FALSE)+VLOOKUP(VLOOKUP($BJ158,坦克个性化设定!$B$18:$E$48,4,FALSE)&amp;$BK158,坦克属性分配比例,MATCH("部件比例",坦克属性分配比例标头,0),FALSE)*$C$3),0)</f>
        <v>631</v>
      </c>
      <c r="BP158" s="103">
        <f ca="1">ROUND(VLOOKUP($BJ158&amp;"初始",$S$3:$AE$63,MATCH(BP$3,$S$3:$AE$3,0),FALSE)+(VLOOKUP($BJ158&amp;"最终",$S$3:$AE$63,MATCH(BP$3,$S$3:$AE$3,0),FALSE)-VLOOKUP($BJ158&amp;"初始",$S$3:$AE$63,MATCH(BP$3,$S$3:$AE$3,0),FALSE))*$BL158/VLOOKUP(VLOOKUP($BJ158,坦克个性化设定!$B$18:$E$48,4,FALSE)&amp;$BK158,坦克属性分配比例,MATCH("升星次数",坦克属性分配比例标头,0),FALSE)*(VLOOKUP(VLOOKUP($BJ158,坦克个性化设定!$B$18:$E$48,4,FALSE)&amp;$BK158,坦克属性分配比例,MATCH("升星比例",坦克属性分配比例标头,0),FALSE)+VLOOKUP(VLOOKUP($BJ158,坦克个性化设定!$B$18:$E$48,4,FALSE)&amp;$BK158,坦克属性分配比例,MATCH("部件比例",坦克属性分配比例标头,0),FALSE)*$C$3),0)</f>
        <v>473</v>
      </c>
      <c r="BQ158" s="103">
        <f ca="1">ROUND(VLOOKUP($BJ158&amp;"初始",$S$3:$AE$63,MATCH(BQ$3,$S$3:$AE$3,0),FALSE)+(VLOOKUP($BJ158&amp;"最终",$S$3:$AE$63,MATCH(BQ$3,$S$3:$AE$3,0),FALSE)-VLOOKUP($BJ158&amp;"初始",$S$3:$AE$63,MATCH(BQ$3,$S$3:$AE$3,0),FALSE))*$BL158/VLOOKUP(VLOOKUP($BJ158,坦克个性化设定!$B$18:$E$48,4,FALSE)&amp;$BK158,坦克属性分配比例,MATCH("升星次数",坦克属性分配比例标头,0),FALSE)*VLOOKUP(VLOOKUP($BJ158,坦克个性化设定!$B$18:$E$48,4,FALSE)&amp;$BK158,坦克属性分配比例,MATCH("升星比例",坦克属性分配比例标头,0),FALSE),0)</f>
        <v>691</v>
      </c>
      <c r="BR158" s="2">
        <f ca="1">ROUND(VLOOKUP($BJ158&amp;"初始",$S$3:$AE$63,MATCH(BR$3,$S$3:$AE$3,0),FALSE)+(VLOOKUP($BJ158&amp;"最终",$S$3:$AE$63,MATCH(BR$3,$S$3:$AE$3,0),FALSE)-VLOOKUP($BJ158&amp;"初始",$S$3:$AE$63,MATCH(BR$3,$S$3:$AE$3,0),FALSE))*$BL158/VLOOKUP(VLOOKUP($BJ158,坦克个性化设定!$B$18:$E$48,4,FALSE)&amp;$BK158,坦克属性分配比例,MATCH("升星次数",坦克属性分配比例标头,0),FALSE),0)</f>
        <v>166</v>
      </c>
      <c r="BS158" s="2">
        <f>ROUND(VLOOKUP($BJ158,$AI$3:$AO$33,MATCH(BS$3,$AI$3:$AO$3,0),FALSE)+$BL158/VLOOKUP(VLOOKUP($BJ158,坦克个性化设定!$B$18:$E$48,4,FALSE)&amp;$BK158,坦克属性分配比例,MATCH("升星次数",坦克属性分配比例标头,0),FALSE)*VLOOKUP($BJ158,$AR$3:$AY$33,MATCH(BS$3,$AR$3:$AY$3,0),FALSE),1)</f>
        <v>44.5</v>
      </c>
      <c r="BT158" s="2">
        <f>ROUND(VLOOKUP($BJ158,$AI$3:$AO$33,MATCH(BT$3,$AI$3:$AO$3,0),FALSE)+$BL158/VLOOKUP(VLOOKUP($BJ158,坦克个性化设定!$B$18:$E$48,4,FALSE)&amp;$BK158,坦克属性分配比例,MATCH("升星次数",坦克属性分配比例标头,0),FALSE)*VLOOKUP($BJ158,$AR$3:$AY$33,MATCH(BT$3,$AR$3:$AY$3,0),FALSE),1)</f>
        <v>40</v>
      </c>
      <c r="BU158" s="2">
        <f>ROUND(VLOOKUP($BJ158,$AI$3:$AO$33,MATCH(BU$3,$AI$3:$AO$3,0),FALSE)+$BL158/VLOOKUP(VLOOKUP($BJ158,坦克个性化设定!$B$18:$E$48,4,FALSE)&amp;$BK158,坦克属性分配比例,MATCH("升星次数",坦克属性分配比例标头,0),FALSE)*VLOOKUP($BJ158,$AR$3:$AY$33,MATCH(BU$3,$AR$3:$AY$3,0),FALSE),1)</f>
        <v>8</v>
      </c>
      <c r="BV158" s="2">
        <f>IF(VLOOKUP(BJ158,坦克个性化设定!$B$18:$BC$48,MATCH("装弹类型",坦克个性化设定!$B$18:$BC$18,0),FALSE)="弹夹换弹",0,ROUND(VLOOKUP($BJ158,$AI$3:$AO$33,MATCH("换弹时间",$AI$3:$AO$3,0),FALSE)-$BL158/VLOOKUP(VLOOKUP($BJ158,坦克个性化设定!$B$18:$E$48,4,FALSE)&amp;$BK158,坦克属性分配比例,MATCH("升星次数",坦克属性分配比例标头,0),FALSE)*VLOOKUP($BJ158,$AR$3:$AY$33,MATCH("换弹时间",$AR$3:$AY$3,0),FALSE),2))</f>
        <v>0</v>
      </c>
      <c r="BW158" s="2">
        <f>IF(VLOOKUP(BJ158,坦克个性化设定!$B$18:$BC$48,MATCH("装弹类型",坦克个性化设定!$B$18:$BC$18,0),FALSE)="弹夹换弹",ROUND(VLOOKUP($BJ158,$AI$3:$AO$33,MATCH("换弹时间",$AI$3:$AO$3,0),FALSE)-$BL158/VLOOKUP(VLOOKUP($BJ158,坦克个性化设定!$B$18:$E$48,4,FALSE)&amp;$BK158,坦克属性分配比例,MATCH("升星次数",坦克属性分配比例标头,0),FALSE)*VLOOKUP($BJ158,$AR$3:$AY$33,MATCH("换弹时间",$AR$3:$AY$3,0),FALSE),1),0)</f>
        <v>2.4</v>
      </c>
      <c r="BX158" s="2">
        <f>ROUND(VLOOKUP($BJ158,$AI$3:$AO$33,MATCH(BX$3,$AI$3:$AO$3,0),FALSE)+$BL158/VLOOKUP(VLOOKUP($BJ158,坦克个性化设定!$B$18:$E$48,4,FALSE)&amp;$BK158,坦克属性分配比例,MATCH("升星次数",坦克属性分配比例标头,0),FALSE)*VLOOKUP($BJ158,$AR$3:$AY$33,MATCH(BX$3,$AR$3:$AY$3,0),FALSE),2)</f>
        <v>0.32</v>
      </c>
      <c r="BY158" s="2">
        <f>ROUND(VLOOKUP($BJ158,$AI$3:$AO$33,MATCH(BY$3,$AI$3:$AO$3,0),FALSE)-$BL158/VLOOKUP(VLOOKUP($BJ158,坦克个性化设定!$B$18:$E$48,4,FALSE)&amp;$BK158,坦克属性分配比例,MATCH("升星次数",坦克属性分配比例标头,0),FALSE)*VLOOKUP($BJ158,$AR$3:$AY$33,MATCH(BY$3,$AR$3:$AY$3,0),FALSE),2)</f>
        <v>1.36</v>
      </c>
    </row>
    <row r="159" spans="60:77" x14ac:dyDescent="0.3">
      <c r="BH159" s="2" t="str">
        <f t="shared" si="27"/>
        <v>M-481</v>
      </c>
      <c r="BI159" s="2">
        <f>IF(BL158&gt;=VLOOKUP(VLOOKUP(BJ158,坦克个性化设定!$B$18:$E$48,4,FALSE)&amp;BK158,坦克属性分配比例,MATCH("升星次数",坦克属性分配比例标头,0),FALSE),BI158+1,BI158)</f>
        <v>17</v>
      </c>
      <c r="BJ159" s="2" t="str">
        <f t="shared" si="28"/>
        <v>M-48</v>
      </c>
      <c r="BK159" s="29" t="str">
        <f>VLOOKUP(BJ159,坦克个性化细分!$I$3:$J$33,2,FALSE)</f>
        <v>低</v>
      </c>
      <c r="BL159" s="2">
        <f t="shared" si="26"/>
        <v>1</v>
      </c>
      <c r="BM159" s="103">
        <f ca="1">ROUND(VLOOKUP($BJ159&amp;"初始",$S$3:$AE$63,MATCH(BM$3,$S$3:$AE$3,0),FALSE)+((VLOOKUP($BJ159&amp;"最终",$S$3:$AE$63,MATCH(BM$3,$S$3:$AE$3,0),FALSE)*坦克个性化细分!$C$9-VLOOKUP($BJ159&amp;"初始",$S$3:$AE$63,MATCH(BM$3,$S$3:$AE$3,0),FALSE))-(VLOOKUP($BJ159&amp;"最终",$S$3:$AE$63,MATCH(BM$3,$S$3:$AE$3,0),FALSE)-VLOOKUP($BJ159&amp;"初始",$S$3:$AE$63,MATCH(BM$3,$S$3:$AE$3,0),FALSE))*VLOOKUP(VLOOKUP($BJ159,坦克个性化设定!$B$18:$E$48,4,FALSE)&amp;$BK159,坦克属性分配比例,MATCH("部件比例",坦克属性分配比例标头,0),FALSE))*$BL159/VLOOKUP(VLOOKUP($BJ159,坦克个性化设定!$B$18:$E$48,4,FALSE)&amp;$BK159,坦克属性分配比例,MATCH("升星次数",坦克属性分配比例标头,0),FALSE),0)</f>
        <v>1853</v>
      </c>
      <c r="BN159" s="103">
        <f ca="1">ROUND(VLOOKUP($BJ159&amp;"初始",$S$3:$AE$63,MATCH(BN$3,$S$3:$AE$3,0),FALSE)+(VLOOKUP($BJ159&amp;"最终",$S$3:$AE$63,MATCH(BN$3,$S$3:$AE$3,0),FALSE)-VLOOKUP($BJ159&amp;"初始",$S$3:$AE$63,MATCH(BN$3,$S$3:$AE$3,0),FALSE))*$BL159/VLOOKUP(VLOOKUP($BJ159,坦克个性化设定!$B$18:$E$48,4,FALSE)&amp;$BK159,坦克属性分配比例,MATCH("升星次数",坦克属性分配比例标头,0),FALSE)*VLOOKUP(VLOOKUP($BJ159,坦克个性化设定!$B$18:$E$48,4,FALSE)&amp;$BK159,坦克属性分配比例,MATCH("升星比例",坦克属性分配比例标头,0),FALSE),0)</f>
        <v>185</v>
      </c>
      <c r="BO159" s="103">
        <f ca="1">ROUND(VLOOKUP($BJ159&amp;"初始",$S$3:$AE$63,MATCH(BO$3,$S$3:$AE$3,0),FALSE)+(VLOOKUP($BJ159&amp;"最终",$S$3:$AE$63,MATCH(BO$3,$S$3:$AE$3,0),FALSE)-VLOOKUP($BJ159&amp;"初始",$S$3:$AE$63,MATCH(BO$3,$S$3:$AE$3,0),FALSE))*$BL159/VLOOKUP(VLOOKUP($BJ159,坦克个性化设定!$B$18:$E$48,4,FALSE)&amp;$BK159,坦克属性分配比例,MATCH("升星次数",坦克属性分配比例标头,0),FALSE)*(VLOOKUP(VLOOKUP($BJ159,坦克个性化设定!$B$18:$E$48,4,FALSE)&amp;$BK159,坦克属性分配比例,MATCH("升星比例",坦克属性分配比例标头,0),FALSE)+VLOOKUP(VLOOKUP($BJ159,坦克个性化设定!$B$18:$E$48,4,FALSE)&amp;$BK159,坦克属性分配比例,MATCH("部件比例",坦克属性分配比例标头,0),FALSE)*$C$3),0)</f>
        <v>653</v>
      </c>
      <c r="BP159" s="103">
        <f ca="1">ROUND(VLOOKUP($BJ159&amp;"初始",$S$3:$AE$63,MATCH(BP$3,$S$3:$AE$3,0),FALSE)+(VLOOKUP($BJ159&amp;"最终",$S$3:$AE$63,MATCH(BP$3,$S$3:$AE$3,0),FALSE)-VLOOKUP($BJ159&amp;"初始",$S$3:$AE$63,MATCH(BP$3,$S$3:$AE$3,0),FALSE))*$BL159/VLOOKUP(VLOOKUP($BJ159,坦克个性化设定!$B$18:$E$48,4,FALSE)&amp;$BK159,坦克属性分配比例,MATCH("升星次数",坦克属性分配比例标头,0),FALSE)*(VLOOKUP(VLOOKUP($BJ159,坦克个性化设定!$B$18:$E$48,4,FALSE)&amp;$BK159,坦克属性分配比例,MATCH("升星比例",坦克属性分配比例标头,0),FALSE)+VLOOKUP(VLOOKUP($BJ159,坦克个性化设定!$B$18:$E$48,4,FALSE)&amp;$BK159,坦克属性分配比例,MATCH("部件比例",坦克属性分配比例标头,0),FALSE)*$C$3),0)</f>
        <v>490</v>
      </c>
      <c r="BQ159" s="103">
        <f ca="1">ROUND(VLOOKUP($BJ159&amp;"初始",$S$3:$AE$63,MATCH(BQ$3,$S$3:$AE$3,0),FALSE)+(VLOOKUP($BJ159&amp;"最终",$S$3:$AE$63,MATCH(BQ$3,$S$3:$AE$3,0),FALSE)-VLOOKUP($BJ159&amp;"初始",$S$3:$AE$63,MATCH(BQ$3,$S$3:$AE$3,0),FALSE))*$BL159/VLOOKUP(VLOOKUP($BJ159,坦克个性化设定!$B$18:$E$48,4,FALSE)&amp;$BK159,坦克属性分配比例,MATCH("升星次数",坦克属性分配比例标头,0),FALSE)*VLOOKUP(VLOOKUP($BJ159,坦克个性化设定!$B$18:$E$48,4,FALSE)&amp;$BK159,坦克属性分配比例,MATCH("升星比例",坦克属性分配比例标头,0),FALSE),0)</f>
        <v>707</v>
      </c>
      <c r="BR159" s="2">
        <f ca="1">ROUND(VLOOKUP($BJ159&amp;"初始",$S$3:$AE$63,MATCH(BR$3,$S$3:$AE$3,0),FALSE)+(VLOOKUP($BJ159&amp;"最终",$S$3:$AE$63,MATCH(BR$3,$S$3:$AE$3,0),FALSE)-VLOOKUP($BJ159&amp;"初始",$S$3:$AE$63,MATCH(BR$3,$S$3:$AE$3,0),FALSE))*$BL159/VLOOKUP(VLOOKUP($BJ159,坦克个性化设定!$B$18:$E$48,4,FALSE)&amp;$BK159,坦克属性分配比例,MATCH("升星次数",坦克属性分配比例标头,0),FALSE),0)</f>
        <v>173</v>
      </c>
      <c r="BS159" s="2">
        <f>ROUND(VLOOKUP($BJ159,$AI$3:$AO$33,MATCH(BS$3,$AI$3:$AO$3,0),FALSE)+$BL159/VLOOKUP(VLOOKUP($BJ159,坦克个性化设定!$B$18:$E$48,4,FALSE)&amp;$BK159,坦克属性分配比例,MATCH("升星次数",坦克属性分配比例标头,0),FALSE)*VLOOKUP($BJ159,$AR$3:$AY$33,MATCH(BS$3,$AR$3:$AY$3,0),FALSE),1)</f>
        <v>45.5</v>
      </c>
      <c r="BT159" s="2">
        <f>ROUND(VLOOKUP($BJ159,$AI$3:$AO$33,MATCH(BT$3,$AI$3:$AO$3,0),FALSE)+$BL159/VLOOKUP(VLOOKUP($BJ159,坦克个性化设定!$B$18:$E$48,4,FALSE)&amp;$BK159,坦克属性分配比例,MATCH("升星次数",坦克属性分配比例标头,0),FALSE)*VLOOKUP($BJ159,$AR$3:$AY$33,MATCH(BT$3,$AR$3:$AY$3,0),FALSE),1)</f>
        <v>40.9</v>
      </c>
      <c r="BU159" s="2">
        <f>ROUND(VLOOKUP($BJ159,$AI$3:$AO$33,MATCH(BU$3,$AI$3:$AO$3,0),FALSE)+$BL159/VLOOKUP(VLOOKUP($BJ159,坦克个性化设定!$B$18:$E$48,4,FALSE)&amp;$BK159,坦克属性分配比例,MATCH("升星次数",坦克属性分配比例标头,0),FALSE)*VLOOKUP($BJ159,$AR$3:$AY$33,MATCH(BU$3,$AR$3:$AY$3,0),FALSE),1)</f>
        <v>8</v>
      </c>
      <c r="BV159" s="2">
        <f>IF(VLOOKUP(BJ159,坦克个性化设定!$B$18:$BC$48,MATCH("装弹类型",坦克个性化设定!$B$18:$BC$18,0),FALSE)="弹夹换弹",0,ROUND(VLOOKUP($BJ159,$AI$3:$AO$33,MATCH("换弹时间",$AI$3:$AO$3,0),FALSE)-$BL159/VLOOKUP(VLOOKUP($BJ159,坦克个性化设定!$B$18:$E$48,4,FALSE)&amp;$BK159,坦克属性分配比例,MATCH("升星次数",坦克属性分配比例标头,0),FALSE)*VLOOKUP($BJ159,$AR$3:$AY$33,MATCH("换弹时间",$AR$3:$AY$3,0),FALSE),2))</f>
        <v>0</v>
      </c>
      <c r="BW159" s="2">
        <f>IF(VLOOKUP(BJ159,坦克个性化设定!$B$18:$BC$48,MATCH("装弹类型",坦克个性化设定!$B$18:$BC$18,0),FALSE)="弹夹换弹",ROUND(VLOOKUP($BJ159,$AI$3:$AO$33,MATCH("换弹时间",$AI$3:$AO$3,0),FALSE)-$BL159/VLOOKUP(VLOOKUP($BJ159,坦克个性化设定!$B$18:$E$48,4,FALSE)&amp;$BK159,坦克属性分配比例,MATCH("升星次数",坦克属性分配比例标头,0),FALSE)*VLOOKUP($BJ159,$AR$3:$AY$33,MATCH("换弹时间",$AR$3:$AY$3,0),FALSE),1),0)</f>
        <v>2.4</v>
      </c>
      <c r="BX159" s="2">
        <f>ROUND(VLOOKUP($BJ159,$AI$3:$AO$33,MATCH(BX$3,$AI$3:$AO$3,0),FALSE)+$BL159/VLOOKUP(VLOOKUP($BJ159,坦克个性化设定!$B$18:$E$48,4,FALSE)&amp;$BK159,坦克属性分配比例,MATCH("升星次数",坦克属性分配比例标头,0),FALSE)*VLOOKUP($BJ159,$AR$3:$AY$33,MATCH(BX$3,$AR$3:$AY$3,0),FALSE),2)</f>
        <v>0.36</v>
      </c>
      <c r="BY159" s="2">
        <f>ROUND(VLOOKUP($BJ159,$AI$3:$AO$33,MATCH(BY$3,$AI$3:$AO$3,0),FALSE)-$BL159/VLOOKUP(VLOOKUP($BJ159,坦克个性化设定!$B$18:$E$48,4,FALSE)&amp;$BK159,坦克属性分配比例,MATCH("升星次数",坦克属性分配比例标头,0),FALSE)*VLOOKUP($BJ159,$AR$3:$AY$33,MATCH(BY$3,$AR$3:$AY$3,0),FALSE),2)</f>
        <v>1.34</v>
      </c>
    </row>
    <row r="160" spans="60:77" x14ac:dyDescent="0.3">
      <c r="BH160" s="2" t="str">
        <f t="shared" si="27"/>
        <v>M-482</v>
      </c>
      <c r="BI160" s="2">
        <f>IF(BL159&gt;=VLOOKUP(VLOOKUP(BJ159,坦克个性化设定!$B$18:$E$48,4,FALSE)&amp;BK159,坦克属性分配比例,MATCH("升星次数",坦克属性分配比例标头,0),FALSE),BI159+1,BI159)</f>
        <v>17</v>
      </c>
      <c r="BJ160" s="2" t="str">
        <f t="shared" si="28"/>
        <v>M-48</v>
      </c>
      <c r="BK160" s="29" t="str">
        <f>VLOOKUP(BJ160,坦克个性化细分!$I$3:$J$33,2,FALSE)</f>
        <v>低</v>
      </c>
      <c r="BL160" s="2">
        <f t="shared" si="26"/>
        <v>2</v>
      </c>
      <c r="BM160" s="103">
        <f ca="1">ROUND(VLOOKUP($BJ160&amp;"初始",$S$3:$AE$63,MATCH(BM$3,$S$3:$AE$3,0),FALSE)+((VLOOKUP($BJ160&amp;"最终",$S$3:$AE$63,MATCH(BM$3,$S$3:$AE$3,0),FALSE)*坦克个性化细分!$C$9-VLOOKUP($BJ160&amp;"初始",$S$3:$AE$63,MATCH(BM$3,$S$3:$AE$3,0),FALSE))-(VLOOKUP($BJ160&amp;"最终",$S$3:$AE$63,MATCH(BM$3,$S$3:$AE$3,0),FALSE)-VLOOKUP($BJ160&amp;"初始",$S$3:$AE$63,MATCH(BM$3,$S$3:$AE$3,0),FALSE))*VLOOKUP(VLOOKUP($BJ160,坦克个性化设定!$B$18:$E$48,4,FALSE)&amp;$BK160,坦克属性分配比例,MATCH("部件比例",坦克属性分配比例标头,0),FALSE))*$BL160/VLOOKUP(VLOOKUP($BJ160,坦克个性化设定!$B$18:$E$48,4,FALSE)&amp;$BK160,坦克属性分配比例,MATCH("升星次数",坦克属性分配比例标头,0),FALSE),0)</f>
        <v>1926</v>
      </c>
      <c r="BN160" s="103">
        <f ca="1">ROUND(VLOOKUP($BJ160&amp;"初始",$S$3:$AE$63,MATCH(BN$3,$S$3:$AE$3,0),FALSE)+(VLOOKUP($BJ160&amp;"最终",$S$3:$AE$63,MATCH(BN$3,$S$3:$AE$3,0),FALSE)-VLOOKUP($BJ160&amp;"初始",$S$3:$AE$63,MATCH(BN$3,$S$3:$AE$3,0),FALSE))*$BL160/VLOOKUP(VLOOKUP($BJ160,坦克个性化设定!$B$18:$E$48,4,FALSE)&amp;$BK160,坦克属性分配比例,MATCH("升星次数",坦克属性分配比例标头,0),FALSE)*VLOOKUP(VLOOKUP($BJ160,坦克个性化设定!$B$18:$E$48,4,FALSE)&amp;$BK160,坦克属性分配比例,MATCH("升星比例",坦克属性分配比例标头,0),FALSE),0)</f>
        <v>189</v>
      </c>
      <c r="BO160" s="103">
        <f ca="1">ROUND(VLOOKUP($BJ160&amp;"初始",$S$3:$AE$63,MATCH(BO$3,$S$3:$AE$3,0),FALSE)+(VLOOKUP($BJ160&amp;"最终",$S$3:$AE$63,MATCH(BO$3,$S$3:$AE$3,0),FALSE)-VLOOKUP($BJ160&amp;"初始",$S$3:$AE$63,MATCH(BO$3,$S$3:$AE$3,0),FALSE))*$BL160/VLOOKUP(VLOOKUP($BJ160,坦克个性化设定!$B$18:$E$48,4,FALSE)&amp;$BK160,坦克属性分配比例,MATCH("升星次数",坦克属性分配比例标头,0),FALSE)*(VLOOKUP(VLOOKUP($BJ160,坦克个性化设定!$B$18:$E$48,4,FALSE)&amp;$BK160,坦克属性分配比例,MATCH("升星比例",坦克属性分配比例标头,0),FALSE)+VLOOKUP(VLOOKUP($BJ160,坦克个性化设定!$B$18:$E$48,4,FALSE)&amp;$BK160,坦克属性分配比例,MATCH("部件比例",坦克属性分配比例标头,0),FALSE)*$C$3),0)</f>
        <v>675</v>
      </c>
      <c r="BP160" s="103">
        <f ca="1">ROUND(VLOOKUP($BJ160&amp;"初始",$S$3:$AE$63,MATCH(BP$3,$S$3:$AE$3,0),FALSE)+(VLOOKUP($BJ160&amp;"最终",$S$3:$AE$63,MATCH(BP$3,$S$3:$AE$3,0),FALSE)-VLOOKUP($BJ160&amp;"初始",$S$3:$AE$63,MATCH(BP$3,$S$3:$AE$3,0),FALSE))*$BL160/VLOOKUP(VLOOKUP($BJ160,坦克个性化设定!$B$18:$E$48,4,FALSE)&amp;$BK160,坦克属性分配比例,MATCH("升星次数",坦克属性分配比例标头,0),FALSE)*(VLOOKUP(VLOOKUP($BJ160,坦克个性化设定!$B$18:$E$48,4,FALSE)&amp;$BK160,坦克属性分配比例,MATCH("升星比例",坦克属性分配比例标头,0),FALSE)+VLOOKUP(VLOOKUP($BJ160,坦克个性化设定!$B$18:$E$48,4,FALSE)&amp;$BK160,坦克属性分配比例,MATCH("部件比例",坦克属性分配比例标头,0),FALSE)*$C$3),0)</f>
        <v>506</v>
      </c>
      <c r="BQ160" s="103">
        <f ca="1">ROUND(VLOOKUP($BJ160&amp;"初始",$S$3:$AE$63,MATCH(BQ$3,$S$3:$AE$3,0),FALSE)+(VLOOKUP($BJ160&amp;"最终",$S$3:$AE$63,MATCH(BQ$3,$S$3:$AE$3,0),FALSE)-VLOOKUP($BJ160&amp;"初始",$S$3:$AE$63,MATCH(BQ$3,$S$3:$AE$3,0),FALSE))*$BL160/VLOOKUP(VLOOKUP($BJ160,坦克个性化设定!$B$18:$E$48,4,FALSE)&amp;$BK160,坦克属性分配比例,MATCH("升星次数",坦克属性分配比例标头,0),FALSE)*VLOOKUP(VLOOKUP($BJ160,坦克个性化设定!$B$18:$E$48,4,FALSE)&amp;$BK160,坦克属性分配比例,MATCH("升星比例",坦克属性分配比例标头,0),FALSE),0)</f>
        <v>723</v>
      </c>
      <c r="BR160" s="2">
        <f ca="1">ROUND(VLOOKUP($BJ160&amp;"初始",$S$3:$AE$63,MATCH(BR$3,$S$3:$AE$3,0),FALSE)+(VLOOKUP($BJ160&amp;"最终",$S$3:$AE$63,MATCH(BR$3,$S$3:$AE$3,0),FALSE)-VLOOKUP($BJ160&amp;"初始",$S$3:$AE$63,MATCH(BR$3,$S$3:$AE$3,0),FALSE))*$BL160/VLOOKUP(VLOOKUP($BJ160,坦克个性化设定!$B$18:$E$48,4,FALSE)&amp;$BK160,坦克属性分配比例,MATCH("升星次数",坦克属性分配比例标头,0),FALSE),0)</f>
        <v>180</v>
      </c>
      <c r="BS160" s="2">
        <f>ROUND(VLOOKUP($BJ160,$AI$3:$AO$33,MATCH(BS$3,$AI$3:$AO$3,0),FALSE)+$BL160/VLOOKUP(VLOOKUP($BJ160,坦克个性化设定!$B$18:$E$48,4,FALSE)&amp;$BK160,坦克属性分配比例,MATCH("升星次数",坦克属性分配比例标头,0),FALSE)*VLOOKUP($BJ160,$AR$3:$AY$33,MATCH(BS$3,$AR$3:$AY$3,0),FALSE),1)</f>
        <v>46.5</v>
      </c>
      <c r="BT160" s="2">
        <f>ROUND(VLOOKUP($BJ160,$AI$3:$AO$33,MATCH(BT$3,$AI$3:$AO$3,0),FALSE)+$BL160/VLOOKUP(VLOOKUP($BJ160,坦克个性化设定!$B$18:$E$48,4,FALSE)&amp;$BK160,坦克属性分配比例,MATCH("升星次数",坦克属性分配比例标头,0),FALSE)*VLOOKUP($BJ160,$AR$3:$AY$33,MATCH(BT$3,$AR$3:$AY$3,0),FALSE),1)</f>
        <v>41.8</v>
      </c>
      <c r="BU160" s="2">
        <f>ROUND(VLOOKUP($BJ160,$AI$3:$AO$33,MATCH(BU$3,$AI$3:$AO$3,0),FALSE)+$BL160/VLOOKUP(VLOOKUP($BJ160,坦克个性化设定!$B$18:$E$48,4,FALSE)&amp;$BK160,坦克属性分配比例,MATCH("升星次数",坦克属性分配比例标头,0),FALSE)*VLOOKUP($BJ160,$AR$3:$AY$33,MATCH(BU$3,$AR$3:$AY$3,0),FALSE),1)</f>
        <v>8</v>
      </c>
      <c r="BV160" s="2">
        <f>IF(VLOOKUP(BJ160,坦克个性化设定!$B$18:$BC$48,MATCH("装弹类型",坦克个性化设定!$B$18:$BC$18,0),FALSE)="弹夹换弹",0,ROUND(VLOOKUP($BJ160,$AI$3:$AO$33,MATCH("换弹时间",$AI$3:$AO$3,0),FALSE)-$BL160/VLOOKUP(VLOOKUP($BJ160,坦克个性化设定!$B$18:$E$48,4,FALSE)&amp;$BK160,坦克属性分配比例,MATCH("升星次数",坦克属性分配比例标头,0),FALSE)*VLOOKUP($BJ160,$AR$3:$AY$33,MATCH("换弹时间",$AR$3:$AY$3,0),FALSE),2))</f>
        <v>0</v>
      </c>
      <c r="BW160" s="2">
        <f>IF(VLOOKUP(BJ160,坦克个性化设定!$B$18:$BC$48,MATCH("装弹类型",坦克个性化设定!$B$18:$BC$18,0),FALSE)="弹夹换弹",ROUND(VLOOKUP($BJ160,$AI$3:$AO$33,MATCH("换弹时间",$AI$3:$AO$3,0),FALSE)-$BL160/VLOOKUP(VLOOKUP($BJ160,坦克个性化设定!$B$18:$E$48,4,FALSE)&amp;$BK160,坦克属性分配比例,MATCH("升星次数",坦克属性分配比例标头,0),FALSE)*VLOOKUP($BJ160,$AR$3:$AY$33,MATCH("换弹时间",$AR$3:$AY$3,0),FALSE),1),0)</f>
        <v>2.2999999999999998</v>
      </c>
      <c r="BX160" s="2">
        <f>ROUND(VLOOKUP($BJ160,$AI$3:$AO$33,MATCH(BX$3,$AI$3:$AO$3,0),FALSE)+$BL160/VLOOKUP(VLOOKUP($BJ160,坦克个性化设定!$B$18:$E$48,4,FALSE)&amp;$BK160,坦克属性分配比例,MATCH("升星次数",坦克属性分配比例标头,0),FALSE)*VLOOKUP($BJ160,$AR$3:$AY$33,MATCH(BX$3,$AR$3:$AY$3,0),FALSE),2)</f>
        <v>0.4</v>
      </c>
      <c r="BY160" s="2">
        <f>ROUND(VLOOKUP($BJ160,$AI$3:$AO$33,MATCH(BY$3,$AI$3:$AO$3,0),FALSE)-$BL160/VLOOKUP(VLOOKUP($BJ160,坦克个性化设定!$B$18:$E$48,4,FALSE)&amp;$BK160,坦克属性分配比例,MATCH("升星次数",坦克属性分配比例标头,0),FALSE)*VLOOKUP($BJ160,$AR$3:$AY$33,MATCH(BY$3,$AR$3:$AY$3,0),FALSE),2)</f>
        <v>1.32</v>
      </c>
    </row>
    <row r="161" spans="60:77" x14ac:dyDescent="0.3">
      <c r="BH161" s="2" t="str">
        <f t="shared" si="27"/>
        <v>M-483</v>
      </c>
      <c r="BI161" s="2">
        <f>IF(BL160&gt;=VLOOKUP(VLOOKUP(BJ160,坦克个性化设定!$B$18:$E$48,4,FALSE)&amp;BK160,坦克属性分配比例,MATCH("升星次数",坦克属性分配比例标头,0),FALSE),BI160+1,BI160)</f>
        <v>17</v>
      </c>
      <c r="BJ161" s="2" t="str">
        <f t="shared" si="28"/>
        <v>M-48</v>
      </c>
      <c r="BK161" s="29" t="str">
        <f>VLOOKUP(BJ161,坦克个性化细分!$I$3:$J$33,2,FALSE)</f>
        <v>低</v>
      </c>
      <c r="BL161" s="2">
        <f t="shared" si="26"/>
        <v>3</v>
      </c>
      <c r="BM161" s="103">
        <f ca="1">ROUND(VLOOKUP($BJ161&amp;"初始",$S$3:$AE$63,MATCH(BM$3,$S$3:$AE$3,0),FALSE)+((VLOOKUP($BJ161&amp;"最终",$S$3:$AE$63,MATCH(BM$3,$S$3:$AE$3,0),FALSE)*坦克个性化细分!$C$9-VLOOKUP($BJ161&amp;"初始",$S$3:$AE$63,MATCH(BM$3,$S$3:$AE$3,0),FALSE))-(VLOOKUP($BJ161&amp;"最终",$S$3:$AE$63,MATCH(BM$3,$S$3:$AE$3,0),FALSE)-VLOOKUP($BJ161&amp;"初始",$S$3:$AE$63,MATCH(BM$3,$S$3:$AE$3,0),FALSE))*VLOOKUP(VLOOKUP($BJ161,坦克个性化设定!$B$18:$E$48,4,FALSE)&amp;$BK161,坦克属性分配比例,MATCH("部件比例",坦克属性分配比例标头,0),FALSE))*$BL161/VLOOKUP(VLOOKUP($BJ161,坦克个性化设定!$B$18:$E$48,4,FALSE)&amp;$BK161,坦克属性分配比例,MATCH("升星次数",坦克属性分配比例标头,0),FALSE),0)</f>
        <v>2000</v>
      </c>
      <c r="BN161" s="103">
        <f ca="1">ROUND(VLOOKUP($BJ161&amp;"初始",$S$3:$AE$63,MATCH(BN$3,$S$3:$AE$3,0),FALSE)+(VLOOKUP($BJ161&amp;"最终",$S$3:$AE$63,MATCH(BN$3,$S$3:$AE$3,0),FALSE)-VLOOKUP($BJ161&amp;"初始",$S$3:$AE$63,MATCH(BN$3,$S$3:$AE$3,0),FALSE))*$BL161/VLOOKUP(VLOOKUP($BJ161,坦克个性化设定!$B$18:$E$48,4,FALSE)&amp;$BK161,坦克属性分配比例,MATCH("升星次数",坦克属性分配比例标头,0),FALSE)*VLOOKUP(VLOOKUP($BJ161,坦克个性化设定!$B$18:$E$48,4,FALSE)&amp;$BK161,坦克属性分配比例,MATCH("升星比例",坦克属性分配比例标头,0),FALSE),0)</f>
        <v>194</v>
      </c>
      <c r="BO161" s="103">
        <f ca="1">ROUND(VLOOKUP($BJ161&amp;"初始",$S$3:$AE$63,MATCH(BO$3,$S$3:$AE$3,0),FALSE)+(VLOOKUP($BJ161&amp;"最终",$S$3:$AE$63,MATCH(BO$3,$S$3:$AE$3,0),FALSE)-VLOOKUP($BJ161&amp;"初始",$S$3:$AE$63,MATCH(BO$3,$S$3:$AE$3,0),FALSE))*$BL161/VLOOKUP(VLOOKUP($BJ161,坦克个性化设定!$B$18:$E$48,4,FALSE)&amp;$BK161,坦克属性分配比例,MATCH("升星次数",坦克属性分配比例标头,0),FALSE)*(VLOOKUP(VLOOKUP($BJ161,坦克个性化设定!$B$18:$E$48,4,FALSE)&amp;$BK161,坦克属性分配比例,MATCH("升星比例",坦克属性分配比例标头,0),FALSE)+VLOOKUP(VLOOKUP($BJ161,坦克个性化设定!$B$18:$E$48,4,FALSE)&amp;$BK161,坦克属性分配比例,MATCH("部件比例",坦克属性分配比例标头,0),FALSE)*$C$3),0)</f>
        <v>697</v>
      </c>
      <c r="BP161" s="103">
        <f ca="1">ROUND(VLOOKUP($BJ161&amp;"初始",$S$3:$AE$63,MATCH(BP$3,$S$3:$AE$3,0),FALSE)+(VLOOKUP($BJ161&amp;"最终",$S$3:$AE$63,MATCH(BP$3,$S$3:$AE$3,0),FALSE)-VLOOKUP($BJ161&amp;"初始",$S$3:$AE$63,MATCH(BP$3,$S$3:$AE$3,0),FALSE))*$BL161/VLOOKUP(VLOOKUP($BJ161,坦克个性化设定!$B$18:$E$48,4,FALSE)&amp;$BK161,坦克属性分配比例,MATCH("升星次数",坦克属性分配比例标头,0),FALSE)*(VLOOKUP(VLOOKUP($BJ161,坦克个性化设定!$B$18:$E$48,4,FALSE)&amp;$BK161,坦克属性分配比例,MATCH("升星比例",坦克属性分配比例标头,0),FALSE)+VLOOKUP(VLOOKUP($BJ161,坦克个性化设定!$B$18:$E$48,4,FALSE)&amp;$BK161,坦克属性分配比例,MATCH("部件比例",坦克属性分配比例标头,0),FALSE)*$C$3),0)</f>
        <v>523</v>
      </c>
      <c r="BQ161" s="103">
        <f ca="1">ROUND(VLOOKUP($BJ161&amp;"初始",$S$3:$AE$63,MATCH(BQ$3,$S$3:$AE$3,0),FALSE)+(VLOOKUP($BJ161&amp;"最终",$S$3:$AE$63,MATCH(BQ$3,$S$3:$AE$3,0),FALSE)-VLOOKUP($BJ161&amp;"初始",$S$3:$AE$63,MATCH(BQ$3,$S$3:$AE$3,0),FALSE))*$BL161/VLOOKUP(VLOOKUP($BJ161,坦克个性化设定!$B$18:$E$48,4,FALSE)&amp;$BK161,坦克属性分配比例,MATCH("升星次数",坦克属性分配比例标头,0),FALSE)*VLOOKUP(VLOOKUP($BJ161,坦克个性化设定!$B$18:$E$48,4,FALSE)&amp;$BK161,坦克属性分配比例,MATCH("升星比例",坦克属性分配比例标头,0),FALSE),0)</f>
        <v>740</v>
      </c>
      <c r="BR161" s="2">
        <f ca="1">ROUND(VLOOKUP($BJ161&amp;"初始",$S$3:$AE$63,MATCH(BR$3,$S$3:$AE$3,0),FALSE)+(VLOOKUP($BJ161&amp;"最终",$S$3:$AE$63,MATCH(BR$3,$S$3:$AE$3,0),FALSE)-VLOOKUP($BJ161&amp;"初始",$S$3:$AE$63,MATCH(BR$3,$S$3:$AE$3,0),FALSE))*$BL161/VLOOKUP(VLOOKUP($BJ161,坦克个性化设定!$B$18:$E$48,4,FALSE)&amp;$BK161,坦克属性分配比例,MATCH("升星次数",坦克属性分配比例标头,0),FALSE),0)</f>
        <v>187</v>
      </c>
      <c r="BS161" s="2">
        <f>ROUND(VLOOKUP($BJ161,$AI$3:$AO$33,MATCH(BS$3,$AI$3:$AO$3,0),FALSE)+$BL161/VLOOKUP(VLOOKUP($BJ161,坦克个性化设定!$B$18:$E$48,4,FALSE)&amp;$BK161,坦克属性分配比例,MATCH("升星次数",坦克属性分配比例标头,0),FALSE)*VLOOKUP($BJ161,$AR$3:$AY$33,MATCH(BS$3,$AR$3:$AY$3,0),FALSE),1)</f>
        <v>47.5</v>
      </c>
      <c r="BT161" s="2">
        <f>ROUND(VLOOKUP($BJ161,$AI$3:$AO$33,MATCH(BT$3,$AI$3:$AO$3,0),FALSE)+$BL161/VLOOKUP(VLOOKUP($BJ161,坦克个性化设定!$B$18:$E$48,4,FALSE)&amp;$BK161,坦克属性分配比例,MATCH("升星次数",坦克属性分配比例标头,0),FALSE)*VLOOKUP($BJ161,$AR$3:$AY$33,MATCH(BT$3,$AR$3:$AY$3,0),FALSE),1)</f>
        <v>42.7</v>
      </c>
      <c r="BU161" s="2">
        <f>ROUND(VLOOKUP($BJ161,$AI$3:$AO$33,MATCH(BU$3,$AI$3:$AO$3,0),FALSE)+$BL161/VLOOKUP(VLOOKUP($BJ161,坦克个性化设定!$B$18:$E$48,4,FALSE)&amp;$BK161,坦克属性分配比例,MATCH("升星次数",坦克属性分配比例标头,0),FALSE)*VLOOKUP($BJ161,$AR$3:$AY$33,MATCH(BU$3,$AR$3:$AY$3,0),FALSE),1)</f>
        <v>8</v>
      </c>
      <c r="BV161" s="2">
        <f>IF(VLOOKUP(BJ161,坦克个性化设定!$B$18:$BC$48,MATCH("装弹类型",坦克个性化设定!$B$18:$BC$18,0),FALSE)="弹夹换弹",0,ROUND(VLOOKUP($BJ161,$AI$3:$AO$33,MATCH("换弹时间",$AI$3:$AO$3,0),FALSE)-$BL161/VLOOKUP(VLOOKUP($BJ161,坦克个性化设定!$B$18:$E$48,4,FALSE)&amp;$BK161,坦克属性分配比例,MATCH("升星次数",坦克属性分配比例标头,0),FALSE)*VLOOKUP($BJ161,$AR$3:$AY$33,MATCH("换弹时间",$AR$3:$AY$3,0),FALSE),2))</f>
        <v>0</v>
      </c>
      <c r="BW161" s="2">
        <f>IF(VLOOKUP(BJ161,坦克个性化设定!$B$18:$BC$48,MATCH("装弹类型",坦克个性化设定!$B$18:$BC$18,0),FALSE)="弹夹换弹",ROUND(VLOOKUP($BJ161,$AI$3:$AO$33,MATCH("换弹时间",$AI$3:$AO$3,0),FALSE)-$BL161/VLOOKUP(VLOOKUP($BJ161,坦克个性化设定!$B$18:$E$48,4,FALSE)&amp;$BK161,坦克属性分配比例,MATCH("升星次数",坦克属性分配比例标头,0),FALSE)*VLOOKUP($BJ161,$AR$3:$AY$33,MATCH("换弹时间",$AR$3:$AY$3,0),FALSE),1),0)</f>
        <v>2.2999999999999998</v>
      </c>
      <c r="BX161" s="2">
        <f>ROUND(VLOOKUP($BJ161,$AI$3:$AO$33,MATCH(BX$3,$AI$3:$AO$3,0),FALSE)+$BL161/VLOOKUP(VLOOKUP($BJ161,坦克个性化设定!$B$18:$E$48,4,FALSE)&amp;$BK161,坦克属性分配比例,MATCH("升星次数",坦克属性分配比例标头,0),FALSE)*VLOOKUP($BJ161,$AR$3:$AY$33,MATCH(BX$3,$AR$3:$AY$3,0),FALSE),2)</f>
        <v>0.44</v>
      </c>
      <c r="BY161" s="2">
        <f>ROUND(VLOOKUP($BJ161,$AI$3:$AO$33,MATCH(BY$3,$AI$3:$AO$3,0),FALSE)-$BL161/VLOOKUP(VLOOKUP($BJ161,坦克个性化设定!$B$18:$E$48,4,FALSE)&amp;$BK161,坦克属性分配比例,MATCH("升星次数",坦克属性分配比例标头,0),FALSE)*VLOOKUP($BJ161,$AR$3:$AY$33,MATCH(BY$3,$AR$3:$AY$3,0),FALSE),2)</f>
        <v>1.3</v>
      </c>
    </row>
    <row r="162" spans="60:77" x14ac:dyDescent="0.3">
      <c r="BH162" s="2" t="str">
        <f t="shared" si="27"/>
        <v>M-484</v>
      </c>
      <c r="BI162" s="2">
        <f>IF(BL161&gt;=VLOOKUP(VLOOKUP(BJ161,坦克个性化设定!$B$18:$E$48,4,FALSE)&amp;BK161,坦克属性分配比例,MATCH("升星次数",坦克属性分配比例标头,0),FALSE),BI161+1,BI161)</f>
        <v>17</v>
      </c>
      <c r="BJ162" s="2" t="str">
        <f t="shared" si="28"/>
        <v>M-48</v>
      </c>
      <c r="BK162" s="29" t="str">
        <f>VLOOKUP(BJ162,坦克个性化细分!$I$3:$J$33,2,FALSE)</f>
        <v>低</v>
      </c>
      <c r="BL162" s="2">
        <f t="shared" si="26"/>
        <v>4</v>
      </c>
      <c r="BM162" s="103">
        <f ca="1">ROUND(VLOOKUP($BJ162&amp;"初始",$S$3:$AE$63,MATCH(BM$3,$S$3:$AE$3,0),FALSE)+((VLOOKUP($BJ162&amp;"最终",$S$3:$AE$63,MATCH(BM$3,$S$3:$AE$3,0),FALSE)*坦克个性化细分!$C$9-VLOOKUP($BJ162&amp;"初始",$S$3:$AE$63,MATCH(BM$3,$S$3:$AE$3,0),FALSE))-(VLOOKUP($BJ162&amp;"最终",$S$3:$AE$63,MATCH(BM$3,$S$3:$AE$3,0),FALSE)-VLOOKUP($BJ162&amp;"初始",$S$3:$AE$63,MATCH(BM$3,$S$3:$AE$3,0),FALSE))*VLOOKUP(VLOOKUP($BJ162,坦克个性化设定!$B$18:$E$48,4,FALSE)&amp;$BK162,坦克属性分配比例,MATCH("部件比例",坦克属性分配比例标头,0),FALSE))*$BL162/VLOOKUP(VLOOKUP($BJ162,坦克个性化设定!$B$18:$E$48,4,FALSE)&amp;$BK162,坦克属性分配比例,MATCH("升星次数",坦克属性分配比例标头,0),FALSE),0)</f>
        <v>2074</v>
      </c>
      <c r="BN162" s="103">
        <f ca="1">ROUND(VLOOKUP($BJ162&amp;"初始",$S$3:$AE$63,MATCH(BN$3,$S$3:$AE$3,0),FALSE)+(VLOOKUP($BJ162&amp;"最终",$S$3:$AE$63,MATCH(BN$3,$S$3:$AE$3,0),FALSE)-VLOOKUP($BJ162&amp;"初始",$S$3:$AE$63,MATCH(BN$3,$S$3:$AE$3,0),FALSE))*$BL162/VLOOKUP(VLOOKUP($BJ162,坦克个性化设定!$B$18:$E$48,4,FALSE)&amp;$BK162,坦克属性分配比例,MATCH("升星次数",坦克属性分配比例标头,0),FALSE)*VLOOKUP(VLOOKUP($BJ162,坦克个性化设定!$B$18:$E$48,4,FALSE)&amp;$BK162,坦克属性分配比例,MATCH("升星比例",坦克属性分配比例标头,0),FALSE),0)</f>
        <v>198</v>
      </c>
      <c r="BO162" s="103">
        <f ca="1">ROUND(VLOOKUP($BJ162&amp;"初始",$S$3:$AE$63,MATCH(BO$3,$S$3:$AE$3,0),FALSE)+(VLOOKUP($BJ162&amp;"最终",$S$3:$AE$63,MATCH(BO$3,$S$3:$AE$3,0),FALSE)-VLOOKUP($BJ162&amp;"初始",$S$3:$AE$63,MATCH(BO$3,$S$3:$AE$3,0),FALSE))*$BL162/VLOOKUP(VLOOKUP($BJ162,坦克个性化设定!$B$18:$E$48,4,FALSE)&amp;$BK162,坦克属性分配比例,MATCH("升星次数",坦克属性分配比例标头,0),FALSE)*(VLOOKUP(VLOOKUP($BJ162,坦克个性化设定!$B$18:$E$48,4,FALSE)&amp;$BK162,坦克属性分配比例,MATCH("升星比例",坦克属性分配比例标头,0),FALSE)+VLOOKUP(VLOOKUP($BJ162,坦克个性化设定!$B$18:$E$48,4,FALSE)&amp;$BK162,坦克属性分配比例,MATCH("部件比例",坦克属性分配比例标头,0),FALSE)*$C$3),0)</f>
        <v>719</v>
      </c>
      <c r="BP162" s="103">
        <f ca="1">ROUND(VLOOKUP($BJ162&amp;"初始",$S$3:$AE$63,MATCH(BP$3,$S$3:$AE$3,0),FALSE)+(VLOOKUP($BJ162&amp;"最终",$S$3:$AE$63,MATCH(BP$3,$S$3:$AE$3,0),FALSE)-VLOOKUP($BJ162&amp;"初始",$S$3:$AE$63,MATCH(BP$3,$S$3:$AE$3,0),FALSE))*$BL162/VLOOKUP(VLOOKUP($BJ162,坦克个性化设定!$B$18:$E$48,4,FALSE)&amp;$BK162,坦克属性分配比例,MATCH("升星次数",坦克属性分配比例标头,0),FALSE)*(VLOOKUP(VLOOKUP($BJ162,坦克个性化设定!$B$18:$E$48,4,FALSE)&amp;$BK162,坦克属性分配比例,MATCH("升星比例",坦克属性分配比例标头,0),FALSE)+VLOOKUP(VLOOKUP($BJ162,坦克个性化设定!$B$18:$E$48,4,FALSE)&amp;$BK162,坦克属性分配比例,MATCH("部件比例",坦克属性分配比例标头,0),FALSE)*$C$3),0)</f>
        <v>539</v>
      </c>
      <c r="BQ162" s="103">
        <f ca="1">ROUND(VLOOKUP($BJ162&amp;"初始",$S$3:$AE$63,MATCH(BQ$3,$S$3:$AE$3,0),FALSE)+(VLOOKUP($BJ162&amp;"最终",$S$3:$AE$63,MATCH(BQ$3,$S$3:$AE$3,0),FALSE)-VLOOKUP($BJ162&amp;"初始",$S$3:$AE$63,MATCH(BQ$3,$S$3:$AE$3,0),FALSE))*$BL162/VLOOKUP(VLOOKUP($BJ162,坦克个性化设定!$B$18:$E$48,4,FALSE)&amp;$BK162,坦克属性分配比例,MATCH("升星次数",坦克属性分配比例标头,0),FALSE)*VLOOKUP(VLOOKUP($BJ162,坦克个性化设定!$B$18:$E$48,4,FALSE)&amp;$BK162,坦克属性分配比例,MATCH("升星比例",坦克属性分配比例标头,0),FALSE),0)</f>
        <v>756</v>
      </c>
      <c r="BR162" s="2">
        <f ca="1">ROUND(VLOOKUP($BJ162&amp;"初始",$S$3:$AE$63,MATCH(BR$3,$S$3:$AE$3,0),FALSE)+(VLOOKUP($BJ162&amp;"最终",$S$3:$AE$63,MATCH(BR$3,$S$3:$AE$3,0),FALSE)-VLOOKUP($BJ162&amp;"初始",$S$3:$AE$63,MATCH(BR$3,$S$3:$AE$3,0),FALSE))*$BL162/VLOOKUP(VLOOKUP($BJ162,坦克个性化设定!$B$18:$E$48,4,FALSE)&amp;$BK162,坦克属性分配比例,MATCH("升星次数",坦克属性分配比例标头,0),FALSE),0)</f>
        <v>194</v>
      </c>
      <c r="BS162" s="2">
        <f>ROUND(VLOOKUP($BJ162,$AI$3:$AO$33,MATCH(BS$3,$AI$3:$AO$3,0),FALSE)+$BL162/VLOOKUP(VLOOKUP($BJ162,坦克个性化设定!$B$18:$E$48,4,FALSE)&amp;$BK162,坦克属性分配比例,MATCH("升星次数",坦克属性分配比例标头,0),FALSE)*VLOOKUP($BJ162,$AR$3:$AY$33,MATCH(BS$3,$AR$3:$AY$3,0),FALSE),1)</f>
        <v>48.5</v>
      </c>
      <c r="BT162" s="2">
        <f>ROUND(VLOOKUP($BJ162,$AI$3:$AO$33,MATCH(BT$3,$AI$3:$AO$3,0),FALSE)+$BL162/VLOOKUP(VLOOKUP($BJ162,坦克个性化设定!$B$18:$E$48,4,FALSE)&amp;$BK162,坦克属性分配比例,MATCH("升星次数",坦克属性分配比例标头,0),FALSE)*VLOOKUP($BJ162,$AR$3:$AY$33,MATCH(BT$3,$AR$3:$AY$3,0),FALSE),1)</f>
        <v>43.6</v>
      </c>
      <c r="BU162" s="2">
        <f>ROUND(VLOOKUP($BJ162,$AI$3:$AO$33,MATCH(BU$3,$AI$3:$AO$3,0),FALSE)+$BL162/VLOOKUP(VLOOKUP($BJ162,坦克个性化设定!$B$18:$E$48,4,FALSE)&amp;$BK162,坦克属性分配比例,MATCH("升星次数",坦克属性分配比例标头,0),FALSE)*VLOOKUP($BJ162,$AR$3:$AY$33,MATCH(BU$3,$AR$3:$AY$3,0),FALSE),1)</f>
        <v>8</v>
      </c>
      <c r="BV162" s="2">
        <f>IF(VLOOKUP(BJ162,坦克个性化设定!$B$18:$BC$48,MATCH("装弹类型",坦克个性化设定!$B$18:$BC$18,0),FALSE)="弹夹换弹",0,ROUND(VLOOKUP($BJ162,$AI$3:$AO$33,MATCH("换弹时间",$AI$3:$AO$3,0),FALSE)-$BL162/VLOOKUP(VLOOKUP($BJ162,坦克个性化设定!$B$18:$E$48,4,FALSE)&amp;$BK162,坦克属性分配比例,MATCH("升星次数",坦克属性分配比例标头,0),FALSE)*VLOOKUP($BJ162,$AR$3:$AY$33,MATCH("换弹时间",$AR$3:$AY$3,0),FALSE),2))</f>
        <v>0</v>
      </c>
      <c r="BW162" s="2">
        <f>IF(VLOOKUP(BJ162,坦克个性化设定!$B$18:$BC$48,MATCH("装弹类型",坦克个性化设定!$B$18:$BC$18,0),FALSE)="弹夹换弹",ROUND(VLOOKUP($BJ162,$AI$3:$AO$33,MATCH("换弹时间",$AI$3:$AO$3,0),FALSE)-$BL162/VLOOKUP(VLOOKUP($BJ162,坦克个性化设定!$B$18:$E$48,4,FALSE)&amp;$BK162,坦克属性分配比例,MATCH("升星次数",坦克属性分配比例标头,0),FALSE)*VLOOKUP($BJ162,$AR$3:$AY$33,MATCH("换弹时间",$AR$3:$AY$3,0),FALSE),1),0)</f>
        <v>2.2999999999999998</v>
      </c>
      <c r="BX162" s="2">
        <f>ROUND(VLOOKUP($BJ162,$AI$3:$AO$33,MATCH(BX$3,$AI$3:$AO$3,0),FALSE)+$BL162/VLOOKUP(VLOOKUP($BJ162,坦克个性化设定!$B$18:$E$48,4,FALSE)&amp;$BK162,坦克属性分配比例,MATCH("升星次数",坦克属性分配比例标头,0),FALSE)*VLOOKUP($BJ162,$AR$3:$AY$33,MATCH(BX$3,$AR$3:$AY$3,0),FALSE),2)</f>
        <v>0.48</v>
      </c>
      <c r="BY162" s="2">
        <f>ROUND(VLOOKUP($BJ162,$AI$3:$AO$33,MATCH(BY$3,$AI$3:$AO$3,0),FALSE)-$BL162/VLOOKUP(VLOOKUP($BJ162,坦克个性化设定!$B$18:$E$48,4,FALSE)&amp;$BK162,坦克属性分配比例,MATCH("升星次数",坦克属性分配比例标头,0),FALSE)*VLOOKUP($BJ162,$AR$3:$AY$33,MATCH(BY$3,$AR$3:$AY$3,0),FALSE),2)</f>
        <v>1.28</v>
      </c>
    </row>
    <row r="163" spans="60:77" x14ac:dyDescent="0.3">
      <c r="BH163" s="2" t="str">
        <f t="shared" si="27"/>
        <v>M-485</v>
      </c>
      <c r="BI163" s="2">
        <f>IF(BL162&gt;=VLOOKUP(VLOOKUP(BJ162,坦克个性化设定!$B$18:$E$48,4,FALSE)&amp;BK162,坦克属性分配比例,MATCH("升星次数",坦克属性分配比例标头,0),FALSE),BI162+1,BI162)</f>
        <v>17</v>
      </c>
      <c r="BJ163" s="2" t="str">
        <f t="shared" si="28"/>
        <v>M-48</v>
      </c>
      <c r="BK163" s="29" t="str">
        <f>VLOOKUP(BJ163,坦克个性化细分!$I$3:$J$33,2,FALSE)</f>
        <v>低</v>
      </c>
      <c r="BL163" s="2">
        <f t="shared" si="26"/>
        <v>5</v>
      </c>
      <c r="BM163" s="103">
        <f ca="1">ROUND(VLOOKUP($BJ163&amp;"初始",$S$3:$AE$63,MATCH(BM$3,$S$3:$AE$3,0),FALSE)+((VLOOKUP($BJ163&amp;"最终",$S$3:$AE$63,MATCH(BM$3,$S$3:$AE$3,0),FALSE)*坦克个性化细分!$C$9-VLOOKUP($BJ163&amp;"初始",$S$3:$AE$63,MATCH(BM$3,$S$3:$AE$3,0),FALSE))-(VLOOKUP($BJ163&amp;"最终",$S$3:$AE$63,MATCH(BM$3,$S$3:$AE$3,0),FALSE)-VLOOKUP($BJ163&amp;"初始",$S$3:$AE$63,MATCH(BM$3,$S$3:$AE$3,0),FALSE))*VLOOKUP(VLOOKUP($BJ163,坦克个性化设定!$B$18:$E$48,4,FALSE)&amp;$BK163,坦克属性分配比例,MATCH("部件比例",坦克属性分配比例标头,0),FALSE))*$BL163/VLOOKUP(VLOOKUP($BJ163,坦克个性化设定!$B$18:$E$48,4,FALSE)&amp;$BK163,坦克属性分配比例,MATCH("升星次数",坦克属性分配比例标头,0),FALSE),0)</f>
        <v>2148</v>
      </c>
      <c r="BN163" s="103">
        <f ca="1">ROUND(VLOOKUP($BJ163&amp;"初始",$S$3:$AE$63,MATCH(BN$3,$S$3:$AE$3,0),FALSE)+(VLOOKUP($BJ163&amp;"最终",$S$3:$AE$63,MATCH(BN$3,$S$3:$AE$3,0),FALSE)-VLOOKUP($BJ163&amp;"初始",$S$3:$AE$63,MATCH(BN$3,$S$3:$AE$3,0),FALSE))*$BL163/VLOOKUP(VLOOKUP($BJ163,坦克个性化设定!$B$18:$E$48,4,FALSE)&amp;$BK163,坦克属性分配比例,MATCH("升星次数",坦克属性分配比例标头,0),FALSE)*VLOOKUP(VLOOKUP($BJ163,坦克个性化设定!$B$18:$E$48,4,FALSE)&amp;$BK163,坦克属性分配比例,MATCH("升星比例",坦克属性分配比例标头,0),FALSE),0)</f>
        <v>202</v>
      </c>
      <c r="BO163" s="103">
        <f ca="1">ROUND(VLOOKUP($BJ163&amp;"初始",$S$3:$AE$63,MATCH(BO$3,$S$3:$AE$3,0),FALSE)+(VLOOKUP($BJ163&amp;"最终",$S$3:$AE$63,MATCH(BO$3,$S$3:$AE$3,0),FALSE)-VLOOKUP($BJ163&amp;"初始",$S$3:$AE$63,MATCH(BO$3,$S$3:$AE$3,0),FALSE))*$BL163/VLOOKUP(VLOOKUP($BJ163,坦克个性化设定!$B$18:$E$48,4,FALSE)&amp;$BK163,坦克属性分配比例,MATCH("升星次数",坦克属性分配比例标头,0),FALSE)*(VLOOKUP(VLOOKUP($BJ163,坦克个性化设定!$B$18:$E$48,4,FALSE)&amp;$BK163,坦克属性分配比例,MATCH("升星比例",坦克属性分配比例标头,0),FALSE)+VLOOKUP(VLOOKUP($BJ163,坦克个性化设定!$B$18:$E$48,4,FALSE)&amp;$BK163,坦克属性分配比例,MATCH("部件比例",坦克属性分配比例标头,0),FALSE)*$C$3),0)</f>
        <v>741</v>
      </c>
      <c r="BP163" s="103">
        <f ca="1">ROUND(VLOOKUP($BJ163&amp;"初始",$S$3:$AE$63,MATCH(BP$3,$S$3:$AE$3,0),FALSE)+(VLOOKUP($BJ163&amp;"最终",$S$3:$AE$63,MATCH(BP$3,$S$3:$AE$3,0),FALSE)-VLOOKUP($BJ163&amp;"初始",$S$3:$AE$63,MATCH(BP$3,$S$3:$AE$3,0),FALSE))*$BL163/VLOOKUP(VLOOKUP($BJ163,坦克个性化设定!$B$18:$E$48,4,FALSE)&amp;$BK163,坦克属性分配比例,MATCH("升星次数",坦克属性分配比例标头,0),FALSE)*(VLOOKUP(VLOOKUP($BJ163,坦克个性化设定!$B$18:$E$48,4,FALSE)&amp;$BK163,坦克属性分配比例,MATCH("升星比例",坦克属性分配比例标头,0),FALSE)+VLOOKUP(VLOOKUP($BJ163,坦克个性化设定!$B$18:$E$48,4,FALSE)&amp;$BK163,坦克属性分配比例,MATCH("部件比例",坦克属性分配比例标头,0),FALSE)*$C$3),0)</f>
        <v>556</v>
      </c>
      <c r="BQ163" s="103">
        <f ca="1">ROUND(VLOOKUP($BJ163&amp;"初始",$S$3:$AE$63,MATCH(BQ$3,$S$3:$AE$3,0),FALSE)+(VLOOKUP($BJ163&amp;"最终",$S$3:$AE$63,MATCH(BQ$3,$S$3:$AE$3,0),FALSE)-VLOOKUP($BJ163&amp;"初始",$S$3:$AE$63,MATCH(BQ$3,$S$3:$AE$3,0),FALSE))*$BL163/VLOOKUP(VLOOKUP($BJ163,坦克个性化设定!$B$18:$E$48,4,FALSE)&amp;$BK163,坦克属性分配比例,MATCH("升星次数",坦克属性分配比例标头,0),FALSE)*VLOOKUP(VLOOKUP($BJ163,坦克个性化设定!$B$18:$E$48,4,FALSE)&amp;$BK163,坦克属性分配比例,MATCH("升星比例",坦克属性分配比例标头,0),FALSE),0)</f>
        <v>772</v>
      </c>
      <c r="BR163" s="2">
        <f ca="1">ROUND(VLOOKUP($BJ163&amp;"初始",$S$3:$AE$63,MATCH(BR$3,$S$3:$AE$3,0),FALSE)+(VLOOKUP($BJ163&amp;"最终",$S$3:$AE$63,MATCH(BR$3,$S$3:$AE$3,0),FALSE)-VLOOKUP($BJ163&amp;"初始",$S$3:$AE$63,MATCH(BR$3,$S$3:$AE$3,0),FALSE))*$BL163/VLOOKUP(VLOOKUP($BJ163,坦克个性化设定!$B$18:$E$48,4,FALSE)&amp;$BK163,坦克属性分配比例,MATCH("升星次数",坦克属性分配比例标头,0),FALSE),0)</f>
        <v>201</v>
      </c>
      <c r="BS163" s="2">
        <f>ROUND(VLOOKUP($BJ163,$AI$3:$AO$33,MATCH(BS$3,$AI$3:$AO$3,0),FALSE)+$BL163/VLOOKUP(VLOOKUP($BJ163,坦克个性化设定!$B$18:$E$48,4,FALSE)&amp;$BK163,坦克属性分配比例,MATCH("升星次数",坦克属性分配比例标头,0),FALSE)*VLOOKUP($BJ163,$AR$3:$AY$33,MATCH(BS$3,$AR$3:$AY$3,0),FALSE),1)</f>
        <v>49.6</v>
      </c>
      <c r="BT163" s="2">
        <f>ROUND(VLOOKUP($BJ163,$AI$3:$AO$33,MATCH(BT$3,$AI$3:$AO$3,0),FALSE)+$BL163/VLOOKUP(VLOOKUP($BJ163,坦克个性化设定!$B$18:$E$48,4,FALSE)&amp;$BK163,坦克属性分配比例,MATCH("升星次数",坦克属性分配比例标头,0),FALSE)*VLOOKUP($BJ163,$AR$3:$AY$33,MATCH(BT$3,$AR$3:$AY$3,0),FALSE),1)</f>
        <v>44.5</v>
      </c>
      <c r="BU163" s="2">
        <f>ROUND(VLOOKUP($BJ163,$AI$3:$AO$33,MATCH(BU$3,$AI$3:$AO$3,0),FALSE)+$BL163/VLOOKUP(VLOOKUP($BJ163,坦克个性化设定!$B$18:$E$48,4,FALSE)&amp;$BK163,坦克属性分配比例,MATCH("升星次数",坦克属性分配比例标头,0),FALSE)*VLOOKUP($BJ163,$AR$3:$AY$33,MATCH(BU$3,$AR$3:$AY$3,0),FALSE),1)</f>
        <v>8</v>
      </c>
      <c r="BV163" s="2">
        <f>IF(VLOOKUP(BJ163,坦克个性化设定!$B$18:$BC$48,MATCH("装弹类型",坦克个性化设定!$B$18:$BC$18,0),FALSE)="弹夹换弹",0,ROUND(VLOOKUP($BJ163,$AI$3:$AO$33,MATCH("换弹时间",$AI$3:$AO$3,0),FALSE)-$BL163/VLOOKUP(VLOOKUP($BJ163,坦克个性化设定!$B$18:$E$48,4,FALSE)&amp;$BK163,坦克属性分配比例,MATCH("升星次数",坦克属性分配比例标头,0),FALSE)*VLOOKUP($BJ163,$AR$3:$AY$33,MATCH("换弹时间",$AR$3:$AY$3,0),FALSE),2))</f>
        <v>0</v>
      </c>
      <c r="BW163" s="2">
        <f>IF(VLOOKUP(BJ163,坦克个性化设定!$B$18:$BC$48,MATCH("装弹类型",坦克个性化设定!$B$18:$BC$18,0),FALSE)="弹夹换弹",ROUND(VLOOKUP($BJ163,$AI$3:$AO$33,MATCH("换弹时间",$AI$3:$AO$3,0),FALSE)-$BL163/VLOOKUP(VLOOKUP($BJ163,坦克个性化设定!$B$18:$E$48,4,FALSE)&amp;$BK163,坦克属性分配比例,MATCH("升星次数",坦克属性分配比例标头,0),FALSE)*VLOOKUP($BJ163,$AR$3:$AY$33,MATCH("换弹时间",$AR$3:$AY$3,0),FALSE),1),0)</f>
        <v>2.2000000000000002</v>
      </c>
      <c r="BX163" s="2">
        <f>ROUND(VLOOKUP($BJ163,$AI$3:$AO$33,MATCH(BX$3,$AI$3:$AO$3,0),FALSE)+$BL163/VLOOKUP(VLOOKUP($BJ163,坦克个性化设定!$B$18:$E$48,4,FALSE)&amp;$BK163,坦克属性分配比例,MATCH("升星次数",坦克属性分配比例标头,0),FALSE)*VLOOKUP($BJ163,$AR$3:$AY$33,MATCH(BX$3,$AR$3:$AY$3,0),FALSE),2)</f>
        <v>0.52</v>
      </c>
      <c r="BY163" s="2">
        <f>ROUND(VLOOKUP($BJ163,$AI$3:$AO$33,MATCH(BY$3,$AI$3:$AO$3,0),FALSE)-$BL163/VLOOKUP(VLOOKUP($BJ163,坦克个性化设定!$B$18:$E$48,4,FALSE)&amp;$BK163,坦克属性分配比例,MATCH("升星次数",坦克属性分配比例标头,0),FALSE)*VLOOKUP($BJ163,$AR$3:$AY$33,MATCH(BY$3,$AR$3:$AY$3,0),FALSE),2)</f>
        <v>1.26</v>
      </c>
    </row>
    <row r="164" spans="60:77" x14ac:dyDescent="0.3">
      <c r="BH164" s="2" t="str">
        <f t="shared" si="27"/>
        <v>M-486</v>
      </c>
      <c r="BI164" s="2">
        <f>IF(BL163&gt;=VLOOKUP(VLOOKUP(BJ163,坦克个性化设定!$B$18:$E$48,4,FALSE)&amp;BK163,坦克属性分配比例,MATCH("升星次数",坦克属性分配比例标头,0),FALSE),BI163+1,BI163)</f>
        <v>17</v>
      </c>
      <c r="BJ164" s="2" t="str">
        <f t="shared" si="28"/>
        <v>M-48</v>
      </c>
      <c r="BK164" s="29" t="str">
        <f>VLOOKUP(BJ164,坦克个性化细分!$I$3:$J$33,2,FALSE)</f>
        <v>低</v>
      </c>
      <c r="BL164" s="2">
        <f t="shared" si="26"/>
        <v>6</v>
      </c>
      <c r="BM164" s="103">
        <f ca="1">ROUND(VLOOKUP($BJ164&amp;"初始",$S$3:$AE$63,MATCH(BM$3,$S$3:$AE$3,0),FALSE)+((VLOOKUP($BJ164&amp;"最终",$S$3:$AE$63,MATCH(BM$3,$S$3:$AE$3,0),FALSE)*坦克个性化细分!$C$9-VLOOKUP($BJ164&amp;"初始",$S$3:$AE$63,MATCH(BM$3,$S$3:$AE$3,0),FALSE))-(VLOOKUP($BJ164&amp;"最终",$S$3:$AE$63,MATCH(BM$3,$S$3:$AE$3,0),FALSE)-VLOOKUP($BJ164&amp;"初始",$S$3:$AE$63,MATCH(BM$3,$S$3:$AE$3,0),FALSE))*VLOOKUP(VLOOKUP($BJ164,坦克个性化设定!$B$18:$E$48,4,FALSE)&amp;$BK164,坦克属性分配比例,MATCH("部件比例",坦克属性分配比例标头,0),FALSE))*$BL164/VLOOKUP(VLOOKUP($BJ164,坦克个性化设定!$B$18:$E$48,4,FALSE)&amp;$BK164,坦克属性分配比例,MATCH("升星次数",坦克属性分配比例标头,0),FALSE),0)</f>
        <v>2221</v>
      </c>
      <c r="BN164" s="103">
        <f ca="1">ROUND(VLOOKUP($BJ164&amp;"初始",$S$3:$AE$63,MATCH(BN$3,$S$3:$AE$3,0),FALSE)+(VLOOKUP($BJ164&amp;"最终",$S$3:$AE$63,MATCH(BN$3,$S$3:$AE$3,0),FALSE)-VLOOKUP($BJ164&amp;"初始",$S$3:$AE$63,MATCH(BN$3,$S$3:$AE$3,0),FALSE))*$BL164/VLOOKUP(VLOOKUP($BJ164,坦克个性化设定!$B$18:$E$48,4,FALSE)&amp;$BK164,坦克属性分配比例,MATCH("升星次数",坦克属性分配比例标头,0),FALSE)*VLOOKUP(VLOOKUP($BJ164,坦克个性化设定!$B$18:$E$48,4,FALSE)&amp;$BK164,坦克属性分配比例,MATCH("升星比例",坦克属性分配比例标头,0),FALSE),0)</f>
        <v>206</v>
      </c>
      <c r="BO164" s="103">
        <f ca="1">ROUND(VLOOKUP($BJ164&amp;"初始",$S$3:$AE$63,MATCH(BO$3,$S$3:$AE$3,0),FALSE)+(VLOOKUP($BJ164&amp;"最终",$S$3:$AE$63,MATCH(BO$3,$S$3:$AE$3,0),FALSE)-VLOOKUP($BJ164&amp;"初始",$S$3:$AE$63,MATCH(BO$3,$S$3:$AE$3,0),FALSE))*$BL164/VLOOKUP(VLOOKUP($BJ164,坦克个性化设定!$B$18:$E$48,4,FALSE)&amp;$BK164,坦克属性分配比例,MATCH("升星次数",坦克属性分配比例标头,0),FALSE)*(VLOOKUP(VLOOKUP($BJ164,坦克个性化设定!$B$18:$E$48,4,FALSE)&amp;$BK164,坦克属性分配比例,MATCH("升星比例",坦克属性分配比例标头,0),FALSE)+VLOOKUP(VLOOKUP($BJ164,坦克个性化设定!$B$18:$E$48,4,FALSE)&amp;$BK164,坦克属性分配比例,MATCH("部件比例",坦克属性分配比例标头,0),FALSE)*$C$3),0)</f>
        <v>763</v>
      </c>
      <c r="BP164" s="103">
        <f ca="1">ROUND(VLOOKUP($BJ164&amp;"初始",$S$3:$AE$63,MATCH(BP$3,$S$3:$AE$3,0),FALSE)+(VLOOKUP($BJ164&amp;"最终",$S$3:$AE$63,MATCH(BP$3,$S$3:$AE$3,0),FALSE)-VLOOKUP($BJ164&amp;"初始",$S$3:$AE$63,MATCH(BP$3,$S$3:$AE$3,0),FALSE))*$BL164/VLOOKUP(VLOOKUP($BJ164,坦克个性化设定!$B$18:$E$48,4,FALSE)&amp;$BK164,坦克属性分配比例,MATCH("升星次数",坦克属性分配比例标头,0),FALSE)*(VLOOKUP(VLOOKUP($BJ164,坦克个性化设定!$B$18:$E$48,4,FALSE)&amp;$BK164,坦克属性分配比例,MATCH("升星比例",坦克属性分配比例标头,0),FALSE)+VLOOKUP(VLOOKUP($BJ164,坦克个性化设定!$B$18:$E$48,4,FALSE)&amp;$BK164,坦克属性分配比例,MATCH("部件比例",坦克属性分配比例标头,0),FALSE)*$C$3),0)</f>
        <v>572</v>
      </c>
      <c r="BQ164" s="103">
        <f ca="1">ROUND(VLOOKUP($BJ164&amp;"初始",$S$3:$AE$63,MATCH(BQ$3,$S$3:$AE$3,0),FALSE)+(VLOOKUP($BJ164&amp;"最终",$S$3:$AE$63,MATCH(BQ$3,$S$3:$AE$3,0),FALSE)-VLOOKUP($BJ164&amp;"初始",$S$3:$AE$63,MATCH(BQ$3,$S$3:$AE$3,0),FALSE))*$BL164/VLOOKUP(VLOOKUP($BJ164,坦克个性化设定!$B$18:$E$48,4,FALSE)&amp;$BK164,坦克属性分配比例,MATCH("升星次数",坦克属性分配比例标头,0),FALSE)*VLOOKUP(VLOOKUP($BJ164,坦克个性化设定!$B$18:$E$48,4,FALSE)&amp;$BK164,坦克属性分配比例,MATCH("升星比例",坦克属性分配比例标头,0),FALSE),0)</f>
        <v>788</v>
      </c>
      <c r="BR164" s="2">
        <f ca="1">ROUND(VLOOKUP($BJ164&amp;"初始",$S$3:$AE$63,MATCH(BR$3,$S$3:$AE$3,0),FALSE)+(VLOOKUP($BJ164&amp;"最终",$S$3:$AE$63,MATCH(BR$3,$S$3:$AE$3,0),FALSE)-VLOOKUP($BJ164&amp;"初始",$S$3:$AE$63,MATCH(BR$3,$S$3:$AE$3,0),FALSE))*$BL164/VLOOKUP(VLOOKUP($BJ164,坦克个性化设定!$B$18:$E$48,4,FALSE)&amp;$BK164,坦克属性分配比例,MATCH("升星次数",坦克属性分配比例标头,0),FALSE),0)</f>
        <v>208</v>
      </c>
      <c r="BS164" s="2">
        <f>ROUND(VLOOKUP($BJ164,$AI$3:$AO$33,MATCH(BS$3,$AI$3:$AO$3,0),FALSE)+$BL164/VLOOKUP(VLOOKUP($BJ164,坦克个性化设定!$B$18:$E$48,4,FALSE)&amp;$BK164,坦克属性分配比例,MATCH("升星次数",坦克属性分配比例标头,0),FALSE)*VLOOKUP($BJ164,$AR$3:$AY$33,MATCH(BS$3,$AR$3:$AY$3,0),FALSE),1)</f>
        <v>50.6</v>
      </c>
      <c r="BT164" s="2">
        <f>ROUND(VLOOKUP($BJ164,$AI$3:$AO$33,MATCH(BT$3,$AI$3:$AO$3,0),FALSE)+$BL164/VLOOKUP(VLOOKUP($BJ164,坦克个性化设定!$B$18:$E$48,4,FALSE)&amp;$BK164,坦克属性分配比例,MATCH("升星次数",坦克属性分配比例标头,0),FALSE)*VLOOKUP($BJ164,$AR$3:$AY$33,MATCH(BT$3,$AR$3:$AY$3,0),FALSE),1)</f>
        <v>45.5</v>
      </c>
      <c r="BU164" s="2">
        <f>ROUND(VLOOKUP($BJ164,$AI$3:$AO$33,MATCH(BU$3,$AI$3:$AO$3,0),FALSE)+$BL164/VLOOKUP(VLOOKUP($BJ164,坦克个性化设定!$B$18:$E$48,4,FALSE)&amp;$BK164,坦克属性分配比例,MATCH("升星次数",坦克属性分配比例标头,0),FALSE)*VLOOKUP($BJ164,$AR$3:$AY$33,MATCH(BU$3,$AR$3:$AY$3,0),FALSE),1)</f>
        <v>8</v>
      </c>
      <c r="BV164" s="2">
        <f>IF(VLOOKUP(BJ164,坦克个性化设定!$B$18:$BC$48,MATCH("装弹类型",坦克个性化设定!$B$18:$BC$18,0),FALSE)="弹夹换弹",0,ROUND(VLOOKUP($BJ164,$AI$3:$AO$33,MATCH("换弹时间",$AI$3:$AO$3,0),FALSE)-$BL164/VLOOKUP(VLOOKUP($BJ164,坦克个性化设定!$B$18:$E$48,4,FALSE)&amp;$BK164,坦克属性分配比例,MATCH("升星次数",坦克属性分配比例标头,0),FALSE)*VLOOKUP($BJ164,$AR$3:$AY$33,MATCH("换弹时间",$AR$3:$AY$3,0),FALSE),2))</f>
        <v>0</v>
      </c>
      <c r="BW164" s="2">
        <f>IF(VLOOKUP(BJ164,坦克个性化设定!$B$18:$BC$48,MATCH("装弹类型",坦克个性化设定!$B$18:$BC$18,0),FALSE)="弹夹换弹",ROUND(VLOOKUP($BJ164,$AI$3:$AO$33,MATCH("换弹时间",$AI$3:$AO$3,0),FALSE)-$BL164/VLOOKUP(VLOOKUP($BJ164,坦克个性化设定!$B$18:$E$48,4,FALSE)&amp;$BK164,坦克属性分配比例,MATCH("升星次数",坦克属性分配比例标头,0),FALSE)*VLOOKUP($BJ164,$AR$3:$AY$33,MATCH("换弹时间",$AR$3:$AY$3,0),FALSE),1),0)</f>
        <v>2.2000000000000002</v>
      </c>
      <c r="BX164" s="2">
        <f>ROUND(VLOOKUP($BJ164,$AI$3:$AO$33,MATCH(BX$3,$AI$3:$AO$3,0),FALSE)+$BL164/VLOOKUP(VLOOKUP($BJ164,坦克个性化设定!$B$18:$E$48,4,FALSE)&amp;$BK164,坦克属性分配比例,MATCH("升星次数",坦克属性分配比例标头,0),FALSE)*VLOOKUP($BJ164,$AR$3:$AY$33,MATCH(BX$3,$AR$3:$AY$3,0),FALSE),2)</f>
        <v>0.55000000000000004</v>
      </c>
      <c r="BY164" s="2">
        <f>ROUND(VLOOKUP($BJ164,$AI$3:$AO$33,MATCH(BY$3,$AI$3:$AO$3,0),FALSE)-$BL164/VLOOKUP(VLOOKUP($BJ164,坦克个性化设定!$B$18:$E$48,4,FALSE)&amp;$BK164,坦克属性分配比例,MATCH("升星次数",坦克属性分配比例标头,0),FALSE)*VLOOKUP($BJ164,$AR$3:$AY$33,MATCH(BY$3,$AR$3:$AY$3,0),FALSE),2)</f>
        <v>1.24</v>
      </c>
    </row>
    <row r="165" spans="60:77" x14ac:dyDescent="0.3">
      <c r="BH165" s="2" t="str">
        <f t="shared" si="27"/>
        <v>M-487</v>
      </c>
      <c r="BI165" s="2">
        <f>IF(BL164&gt;=VLOOKUP(VLOOKUP(BJ164,坦克个性化设定!$B$18:$E$48,4,FALSE)&amp;BK164,坦克属性分配比例,MATCH("升星次数",坦克属性分配比例标头,0),FALSE),BI164+1,BI164)</f>
        <v>17</v>
      </c>
      <c r="BJ165" s="2" t="str">
        <f t="shared" si="28"/>
        <v>M-48</v>
      </c>
      <c r="BK165" s="29" t="str">
        <f>VLOOKUP(BJ165,坦克个性化细分!$I$3:$J$33,2,FALSE)</f>
        <v>低</v>
      </c>
      <c r="BL165" s="2">
        <f t="shared" si="26"/>
        <v>7</v>
      </c>
      <c r="BM165" s="103">
        <f ca="1">ROUND(VLOOKUP($BJ165&amp;"初始",$S$3:$AE$63,MATCH(BM$3,$S$3:$AE$3,0),FALSE)+((VLOOKUP($BJ165&amp;"最终",$S$3:$AE$63,MATCH(BM$3,$S$3:$AE$3,0),FALSE)*坦克个性化细分!$C$9-VLOOKUP($BJ165&amp;"初始",$S$3:$AE$63,MATCH(BM$3,$S$3:$AE$3,0),FALSE))-(VLOOKUP($BJ165&amp;"最终",$S$3:$AE$63,MATCH(BM$3,$S$3:$AE$3,0),FALSE)-VLOOKUP($BJ165&amp;"初始",$S$3:$AE$63,MATCH(BM$3,$S$3:$AE$3,0),FALSE))*VLOOKUP(VLOOKUP($BJ165,坦克个性化设定!$B$18:$E$48,4,FALSE)&amp;$BK165,坦克属性分配比例,MATCH("部件比例",坦克属性分配比例标头,0),FALSE))*$BL165/VLOOKUP(VLOOKUP($BJ165,坦克个性化设定!$B$18:$E$48,4,FALSE)&amp;$BK165,坦克属性分配比例,MATCH("升星次数",坦克属性分配比例标头,0),FALSE),0)</f>
        <v>2295</v>
      </c>
      <c r="BN165" s="103">
        <f ca="1">ROUND(VLOOKUP($BJ165&amp;"初始",$S$3:$AE$63,MATCH(BN$3,$S$3:$AE$3,0),FALSE)+(VLOOKUP($BJ165&amp;"最终",$S$3:$AE$63,MATCH(BN$3,$S$3:$AE$3,0),FALSE)-VLOOKUP($BJ165&amp;"初始",$S$3:$AE$63,MATCH(BN$3,$S$3:$AE$3,0),FALSE))*$BL165/VLOOKUP(VLOOKUP($BJ165,坦克个性化设定!$B$18:$E$48,4,FALSE)&amp;$BK165,坦克属性分配比例,MATCH("升星次数",坦克属性分配比例标头,0),FALSE)*VLOOKUP(VLOOKUP($BJ165,坦克个性化设定!$B$18:$E$48,4,FALSE)&amp;$BK165,坦克属性分配比例,MATCH("升星比例",坦克属性分配比例标头,0),FALSE),0)</f>
        <v>211</v>
      </c>
      <c r="BO165" s="103">
        <f ca="1">ROUND(VLOOKUP($BJ165&amp;"初始",$S$3:$AE$63,MATCH(BO$3,$S$3:$AE$3,0),FALSE)+(VLOOKUP($BJ165&amp;"最终",$S$3:$AE$63,MATCH(BO$3,$S$3:$AE$3,0),FALSE)-VLOOKUP($BJ165&amp;"初始",$S$3:$AE$63,MATCH(BO$3,$S$3:$AE$3,0),FALSE))*$BL165/VLOOKUP(VLOOKUP($BJ165,坦克个性化设定!$B$18:$E$48,4,FALSE)&amp;$BK165,坦克属性分配比例,MATCH("升星次数",坦克属性分配比例标头,0),FALSE)*(VLOOKUP(VLOOKUP($BJ165,坦克个性化设定!$B$18:$E$48,4,FALSE)&amp;$BK165,坦克属性分配比例,MATCH("升星比例",坦克属性分配比例标头,0),FALSE)+VLOOKUP(VLOOKUP($BJ165,坦克个性化设定!$B$18:$E$48,4,FALSE)&amp;$BK165,坦克属性分配比例,MATCH("部件比例",坦克属性分配比例标头,0),FALSE)*$C$3),0)</f>
        <v>785</v>
      </c>
      <c r="BP165" s="103">
        <f ca="1">ROUND(VLOOKUP($BJ165&amp;"初始",$S$3:$AE$63,MATCH(BP$3,$S$3:$AE$3,0),FALSE)+(VLOOKUP($BJ165&amp;"最终",$S$3:$AE$63,MATCH(BP$3,$S$3:$AE$3,0),FALSE)-VLOOKUP($BJ165&amp;"初始",$S$3:$AE$63,MATCH(BP$3,$S$3:$AE$3,0),FALSE))*$BL165/VLOOKUP(VLOOKUP($BJ165,坦克个性化设定!$B$18:$E$48,4,FALSE)&amp;$BK165,坦克属性分配比例,MATCH("升星次数",坦克属性分配比例标头,0),FALSE)*(VLOOKUP(VLOOKUP($BJ165,坦克个性化设定!$B$18:$E$48,4,FALSE)&amp;$BK165,坦克属性分配比例,MATCH("升星比例",坦克属性分配比例标头,0),FALSE)+VLOOKUP(VLOOKUP($BJ165,坦克个性化设定!$B$18:$E$48,4,FALSE)&amp;$BK165,坦克属性分配比例,MATCH("部件比例",坦克属性分配比例标头,0),FALSE)*$C$3),0)</f>
        <v>589</v>
      </c>
      <c r="BQ165" s="103">
        <f ca="1">ROUND(VLOOKUP($BJ165&amp;"初始",$S$3:$AE$63,MATCH(BQ$3,$S$3:$AE$3,0),FALSE)+(VLOOKUP($BJ165&amp;"最终",$S$3:$AE$63,MATCH(BQ$3,$S$3:$AE$3,0),FALSE)-VLOOKUP($BJ165&amp;"初始",$S$3:$AE$63,MATCH(BQ$3,$S$3:$AE$3,0),FALSE))*$BL165/VLOOKUP(VLOOKUP($BJ165,坦克个性化设定!$B$18:$E$48,4,FALSE)&amp;$BK165,坦克属性分配比例,MATCH("升星次数",坦克属性分配比例标头,0),FALSE)*VLOOKUP(VLOOKUP($BJ165,坦克个性化设定!$B$18:$E$48,4,FALSE)&amp;$BK165,坦克属性分配比例,MATCH("升星比例",坦克属性分配比例标头,0),FALSE),0)</f>
        <v>804</v>
      </c>
      <c r="BR165" s="2">
        <f ca="1">ROUND(VLOOKUP($BJ165&amp;"初始",$S$3:$AE$63,MATCH(BR$3,$S$3:$AE$3,0),FALSE)+(VLOOKUP($BJ165&amp;"最终",$S$3:$AE$63,MATCH(BR$3,$S$3:$AE$3,0),FALSE)-VLOOKUP($BJ165&amp;"初始",$S$3:$AE$63,MATCH(BR$3,$S$3:$AE$3,0),FALSE))*$BL165/VLOOKUP(VLOOKUP($BJ165,坦克个性化设定!$B$18:$E$48,4,FALSE)&amp;$BK165,坦克属性分配比例,MATCH("升星次数",坦克属性分配比例标头,0),FALSE),0)</f>
        <v>215</v>
      </c>
      <c r="BS165" s="2">
        <f>ROUND(VLOOKUP($BJ165,$AI$3:$AO$33,MATCH(BS$3,$AI$3:$AO$3,0),FALSE)+$BL165/VLOOKUP(VLOOKUP($BJ165,坦克个性化设定!$B$18:$E$48,4,FALSE)&amp;$BK165,坦克属性分配比例,MATCH("升星次数",坦克属性分配比例标头,0),FALSE)*VLOOKUP($BJ165,$AR$3:$AY$33,MATCH(BS$3,$AR$3:$AY$3,0),FALSE),1)</f>
        <v>51.6</v>
      </c>
      <c r="BT165" s="2">
        <f>ROUND(VLOOKUP($BJ165,$AI$3:$AO$33,MATCH(BT$3,$AI$3:$AO$3,0),FALSE)+$BL165/VLOOKUP(VLOOKUP($BJ165,坦克个性化设定!$B$18:$E$48,4,FALSE)&amp;$BK165,坦克属性分配比例,MATCH("升星次数",坦克属性分配比例标头,0),FALSE)*VLOOKUP($BJ165,$AR$3:$AY$33,MATCH(BT$3,$AR$3:$AY$3,0),FALSE),1)</f>
        <v>46.4</v>
      </c>
      <c r="BU165" s="2">
        <f>ROUND(VLOOKUP($BJ165,$AI$3:$AO$33,MATCH(BU$3,$AI$3:$AO$3,0),FALSE)+$BL165/VLOOKUP(VLOOKUP($BJ165,坦克个性化设定!$B$18:$E$48,4,FALSE)&amp;$BK165,坦克属性分配比例,MATCH("升星次数",坦克属性分配比例标头,0),FALSE)*VLOOKUP($BJ165,$AR$3:$AY$33,MATCH(BU$3,$AR$3:$AY$3,0),FALSE),1)</f>
        <v>8</v>
      </c>
      <c r="BV165" s="2">
        <f>IF(VLOOKUP(BJ165,坦克个性化设定!$B$18:$BC$48,MATCH("装弹类型",坦克个性化设定!$B$18:$BC$18,0),FALSE)="弹夹换弹",0,ROUND(VLOOKUP($BJ165,$AI$3:$AO$33,MATCH("换弹时间",$AI$3:$AO$3,0),FALSE)-$BL165/VLOOKUP(VLOOKUP($BJ165,坦克个性化设定!$B$18:$E$48,4,FALSE)&amp;$BK165,坦克属性分配比例,MATCH("升星次数",坦克属性分配比例标头,0),FALSE)*VLOOKUP($BJ165,$AR$3:$AY$33,MATCH("换弹时间",$AR$3:$AY$3,0),FALSE),2))</f>
        <v>0</v>
      </c>
      <c r="BW165" s="2">
        <f>IF(VLOOKUP(BJ165,坦克个性化设定!$B$18:$BC$48,MATCH("装弹类型",坦克个性化设定!$B$18:$BC$18,0),FALSE)="弹夹换弹",ROUND(VLOOKUP($BJ165,$AI$3:$AO$33,MATCH("换弹时间",$AI$3:$AO$3,0),FALSE)-$BL165/VLOOKUP(VLOOKUP($BJ165,坦克个性化设定!$B$18:$E$48,4,FALSE)&amp;$BK165,坦克属性分配比例,MATCH("升星次数",坦克属性分配比例标头,0),FALSE)*VLOOKUP($BJ165,$AR$3:$AY$33,MATCH("换弹时间",$AR$3:$AY$3,0),FALSE),1),0)</f>
        <v>2.2000000000000002</v>
      </c>
      <c r="BX165" s="2">
        <f>ROUND(VLOOKUP($BJ165,$AI$3:$AO$33,MATCH(BX$3,$AI$3:$AO$3,0),FALSE)+$BL165/VLOOKUP(VLOOKUP($BJ165,坦克个性化设定!$B$18:$E$48,4,FALSE)&amp;$BK165,坦克属性分配比例,MATCH("升星次数",坦克属性分配比例标头,0),FALSE)*VLOOKUP($BJ165,$AR$3:$AY$33,MATCH(BX$3,$AR$3:$AY$3,0),FALSE),2)</f>
        <v>0.59</v>
      </c>
      <c r="BY165" s="2">
        <f>ROUND(VLOOKUP($BJ165,$AI$3:$AO$33,MATCH(BY$3,$AI$3:$AO$3,0),FALSE)-$BL165/VLOOKUP(VLOOKUP($BJ165,坦克个性化设定!$B$18:$E$48,4,FALSE)&amp;$BK165,坦克属性分配比例,MATCH("升星次数",坦克属性分配比例标头,0),FALSE)*VLOOKUP($BJ165,$AR$3:$AY$33,MATCH(BY$3,$AR$3:$AY$3,0),FALSE),2)</f>
        <v>1.22</v>
      </c>
    </row>
    <row r="166" spans="60:77" x14ac:dyDescent="0.3">
      <c r="BH166" s="2" t="str">
        <f t="shared" si="27"/>
        <v>M-488</v>
      </c>
      <c r="BI166" s="2">
        <f>IF(BL165&gt;=VLOOKUP(VLOOKUP(BJ165,坦克个性化设定!$B$18:$E$48,4,FALSE)&amp;BK165,坦克属性分配比例,MATCH("升星次数",坦克属性分配比例标头,0),FALSE),BI165+1,BI165)</f>
        <v>17</v>
      </c>
      <c r="BJ166" s="2" t="str">
        <f t="shared" si="28"/>
        <v>M-48</v>
      </c>
      <c r="BK166" s="29" t="str">
        <f>VLOOKUP(BJ166,坦克个性化细分!$I$3:$J$33,2,FALSE)</f>
        <v>低</v>
      </c>
      <c r="BL166" s="2">
        <f t="shared" si="26"/>
        <v>8</v>
      </c>
      <c r="BM166" s="103">
        <f ca="1">ROUND(VLOOKUP($BJ166&amp;"初始",$S$3:$AE$63,MATCH(BM$3,$S$3:$AE$3,0),FALSE)+((VLOOKUP($BJ166&amp;"最终",$S$3:$AE$63,MATCH(BM$3,$S$3:$AE$3,0),FALSE)*坦克个性化细分!$C$9-VLOOKUP($BJ166&amp;"初始",$S$3:$AE$63,MATCH(BM$3,$S$3:$AE$3,0),FALSE))-(VLOOKUP($BJ166&amp;"最终",$S$3:$AE$63,MATCH(BM$3,$S$3:$AE$3,0),FALSE)-VLOOKUP($BJ166&amp;"初始",$S$3:$AE$63,MATCH(BM$3,$S$3:$AE$3,0),FALSE))*VLOOKUP(VLOOKUP($BJ166,坦克个性化设定!$B$18:$E$48,4,FALSE)&amp;$BK166,坦克属性分配比例,MATCH("部件比例",坦克属性分配比例标头,0),FALSE))*$BL166/VLOOKUP(VLOOKUP($BJ166,坦克个性化设定!$B$18:$E$48,4,FALSE)&amp;$BK166,坦克属性分配比例,MATCH("升星次数",坦克属性分配比例标头,0),FALSE),0)</f>
        <v>2369</v>
      </c>
      <c r="BN166" s="103">
        <f ca="1">ROUND(VLOOKUP($BJ166&amp;"初始",$S$3:$AE$63,MATCH(BN$3,$S$3:$AE$3,0),FALSE)+(VLOOKUP($BJ166&amp;"最终",$S$3:$AE$63,MATCH(BN$3,$S$3:$AE$3,0),FALSE)-VLOOKUP($BJ166&amp;"初始",$S$3:$AE$63,MATCH(BN$3,$S$3:$AE$3,0),FALSE))*$BL166/VLOOKUP(VLOOKUP($BJ166,坦克个性化设定!$B$18:$E$48,4,FALSE)&amp;$BK166,坦克属性分配比例,MATCH("升星次数",坦克属性分配比例标头,0),FALSE)*VLOOKUP(VLOOKUP($BJ166,坦克个性化设定!$B$18:$E$48,4,FALSE)&amp;$BK166,坦克属性分配比例,MATCH("升星比例",坦克属性分配比例标头,0),FALSE),0)</f>
        <v>215</v>
      </c>
      <c r="BO166" s="103">
        <f ca="1">ROUND(VLOOKUP($BJ166&amp;"初始",$S$3:$AE$63,MATCH(BO$3,$S$3:$AE$3,0),FALSE)+(VLOOKUP($BJ166&amp;"最终",$S$3:$AE$63,MATCH(BO$3,$S$3:$AE$3,0),FALSE)-VLOOKUP($BJ166&amp;"初始",$S$3:$AE$63,MATCH(BO$3,$S$3:$AE$3,0),FALSE))*$BL166/VLOOKUP(VLOOKUP($BJ166,坦克个性化设定!$B$18:$E$48,4,FALSE)&amp;$BK166,坦克属性分配比例,MATCH("升星次数",坦克属性分配比例标头,0),FALSE)*(VLOOKUP(VLOOKUP($BJ166,坦克个性化设定!$B$18:$E$48,4,FALSE)&amp;$BK166,坦克属性分配比例,MATCH("升星比例",坦克属性分配比例标头,0),FALSE)+VLOOKUP(VLOOKUP($BJ166,坦克个性化设定!$B$18:$E$48,4,FALSE)&amp;$BK166,坦克属性分配比例,MATCH("部件比例",坦克属性分配比例标头,0),FALSE)*$C$3),0)</f>
        <v>808</v>
      </c>
      <c r="BP166" s="103">
        <f ca="1">ROUND(VLOOKUP($BJ166&amp;"初始",$S$3:$AE$63,MATCH(BP$3,$S$3:$AE$3,0),FALSE)+(VLOOKUP($BJ166&amp;"最终",$S$3:$AE$63,MATCH(BP$3,$S$3:$AE$3,0),FALSE)-VLOOKUP($BJ166&amp;"初始",$S$3:$AE$63,MATCH(BP$3,$S$3:$AE$3,0),FALSE))*$BL166/VLOOKUP(VLOOKUP($BJ166,坦克个性化设定!$B$18:$E$48,4,FALSE)&amp;$BK166,坦克属性分配比例,MATCH("升星次数",坦克属性分配比例标头,0),FALSE)*(VLOOKUP(VLOOKUP($BJ166,坦克个性化设定!$B$18:$E$48,4,FALSE)&amp;$BK166,坦克属性分配比例,MATCH("升星比例",坦克属性分配比例标头,0),FALSE)+VLOOKUP(VLOOKUP($BJ166,坦克个性化设定!$B$18:$E$48,4,FALSE)&amp;$BK166,坦克属性分配比例,MATCH("部件比例",坦克属性分配比例标头,0),FALSE)*$C$3),0)</f>
        <v>605</v>
      </c>
      <c r="BQ166" s="103">
        <f ca="1">ROUND(VLOOKUP($BJ166&amp;"初始",$S$3:$AE$63,MATCH(BQ$3,$S$3:$AE$3,0),FALSE)+(VLOOKUP($BJ166&amp;"最终",$S$3:$AE$63,MATCH(BQ$3,$S$3:$AE$3,0),FALSE)-VLOOKUP($BJ166&amp;"初始",$S$3:$AE$63,MATCH(BQ$3,$S$3:$AE$3,0),FALSE))*$BL166/VLOOKUP(VLOOKUP($BJ166,坦克个性化设定!$B$18:$E$48,4,FALSE)&amp;$BK166,坦克属性分配比例,MATCH("升星次数",坦克属性分配比例标头,0),FALSE)*VLOOKUP(VLOOKUP($BJ166,坦克个性化设定!$B$18:$E$48,4,FALSE)&amp;$BK166,坦克属性分配比例,MATCH("升星比例",坦克属性分配比例标头,0),FALSE),0)</f>
        <v>821</v>
      </c>
      <c r="BR166" s="2">
        <f ca="1">ROUND(VLOOKUP($BJ166&amp;"初始",$S$3:$AE$63,MATCH(BR$3,$S$3:$AE$3,0),FALSE)+(VLOOKUP($BJ166&amp;"最终",$S$3:$AE$63,MATCH(BR$3,$S$3:$AE$3,0),FALSE)-VLOOKUP($BJ166&amp;"初始",$S$3:$AE$63,MATCH(BR$3,$S$3:$AE$3,0),FALSE))*$BL166/VLOOKUP(VLOOKUP($BJ166,坦克个性化设定!$B$18:$E$48,4,FALSE)&amp;$BK166,坦克属性分配比例,MATCH("升星次数",坦克属性分配比例标头,0),FALSE),0)</f>
        <v>222</v>
      </c>
      <c r="BS166" s="2">
        <f>ROUND(VLOOKUP($BJ166,$AI$3:$AO$33,MATCH(BS$3,$AI$3:$AO$3,0),FALSE)+$BL166/VLOOKUP(VLOOKUP($BJ166,坦克个性化设定!$B$18:$E$48,4,FALSE)&amp;$BK166,坦克属性分配比例,MATCH("升星次数",坦克属性分配比例标头,0),FALSE)*VLOOKUP($BJ166,$AR$3:$AY$33,MATCH(BS$3,$AR$3:$AY$3,0),FALSE),1)</f>
        <v>52.6</v>
      </c>
      <c r="BT166" s="2">
        <f>ROUND(VLOOKUP($BJ166,$AI$3:$AO$33,MATCH(BT$3,$AI$3:$AO$3,0),FALSE)+$BL166/VLOOKUP(VLOOKUP($BJ166,坦克个性化设定!$B$18:$E$48,4,FALSE)&amp;$BK166,坦克属性分配比例,MATCH("升星次数",坦克属性分配比例标头,0),FALSE)*VLOOKUP($BJ166,$AR$3:$AY$33,MATCH(BT$3,$AR$3:$AY$3,0),FALSE),1)</f>
        <v>47.3</v>
      </c>
      <c r="BU166" s="2">
        <f>ROUND(VLOOKUP($BJ166,$AI$3:$AO$33,MATCH(BU$3,$AI$3:$AO$3,0),FALSE)+$BL166/VLOOKUP(VLOOKUP($BJ166,坦克个性化设定!$B$18:$E$48,4,FALSE)&amp;$BK166,坦克属性分配比例,MATCH("升星次数",坦克属性分配比例标头,0),FALSE)*VLOOKUP($BJ166,$AR$3:$AY$33,MATCH(BU$3,$AR$3:$AY$3,0),FALSE),1)</f>
        <v>8</v>
      </c>
      <c r="BV166" s="2">
        <f>IF(VLOOKUP(BJ166,坦克个性化设定!$B$18:$BC$48,MATCH("装弹类型",坦克个性化设定!$B$18:$BC$18,0),FALSE)="弹夹换弹",0,ROUND(VLOOKUP($BJ166,$AI$3:$AO$33,MATCH("换弹时间",$AI$3:$AO$3,0),FALSE)-$BL166/VLOOKUP(VLOOKUP($BJ166,坦克个性化设定!$B$18:$E$48,4,FALSE)&amp;$BK166,坦克属性分配比例,MATCH("升星次数",坦克属性分配比例标头,0),FALSE)*VLOOKUP($BJ166,$AR$3:$AY$33,MATCH("换弹时间",$AR$3:$AY$3,0),FALSE),2))</f>
        <v>0</v>
      </c>
      <c r="BW166" s="2">
        <f>IF(VLOOKUP(BJ166,坦克个性化设定!$B$18:$BC$48,MATCH("装弹类型",坦克个性化设定!$B$18:$BC$18,0),FALSE)="弹夹换弹",ROUND(VLOOKUP($BJ166,$AI$3:$AO$33,MATCH("换弹时间",$AI$3:$AO$3,0),FALSE)-$BL166/VLOOKUP(VLOOKUP($BJ166,坦克个性化设定!$B$18:$E$48,4,FALSE)&amp;$BK166,坦克属性分配比例,MATCH("升星次数",坦克属性分配比例标头,0),FALSE)*VLOOKUP($BJ166,$AR$3:$AY$33,MATCH("换弹时间",$AR$3:$AY$3,0),FALSE),1),0)</f>
        <v>2.1</v>
      </c>
      <c r="BX166" s="2">
        <f>ROUND(VLOOKUP($BJ166,$AI$3:$AO$33,MATCH(BX$3,$AI$3:$AO$3,0),FALSE)+$BL166/VLOOKUP(VLOOKUP($BJ166,坦克个性化设定!$B$18:$E$48,4,FALSE)&amp;$BK166,坦克属性分配比例,MATCH("升星次数",坦克属性分配比例标头,0),FALSE)*VLOOKUP($BJ166,$AR$3:$AY$33,MATCH(BX$3,$AR$3:$AY$3,0),FALSE),2)</f>
        <v>0.63</v>
      </c>
      <c r="BY166" s="2">
        <f>ROUND(VLOOKUP($BJ166,$AI$3:$AO$33,MATCH(BY$3,$AI$3:$AO$3,0),FALSE)-$BL166/VLOOKUP(VLOOKUP($BJ166,坦克个性化设定!$B$18:$E$48,4,FALSE)&amp;$BK166,坦克属性分配比例,MATCH("升星次数",坦克属性分配比例标头,0),FALSE)*VLOOKUP($BJ166,$AR$3:$AY$33,MATCH(BY$3,$AR$3:$AY$3,0),FALSE),2)</f>
        <v>1.2</v>
      </c>
    </row>
    <row r="167" spans="60:77" x14ac:dyDescent="0.3">
      <c r="BH167" s="2" t="str">
        <f t="shared" si="27"/>
        <v>M-489</v>
      </c>
      <c r="BI167" s="2">
        <f>IF(BL166&gt;=VLOOKUP(VLOOKUP(BJ166,坦克个性化设定!$B$18:$E$48,4,FALSE)&amp;BK166,坦克属性分配比例,MATCH("升星次数",坦克属性分配比例标头,0),FALSE),BI166+1,BI166)</f>
        <v>17</v>
      </c>
      <c r="BJ167" s="2" t="str">
        <f t="shared" si="28"/>
        <v>M-48</v>
      </c>
      <c r="BK167" s="29" t="str">
        <f>VLOOKUP(BJ167,坦克个性化细分!$I$3:$J$33,2,FALSE)</f>
        <v>低</v>
      </c>
      <c r="BL167" s="2">
        <f t="shared" si="26"/>
        <v>9</v>
      </c>
      <c r="BM167" s="103">
        <f ca="1">ROUND(VLOOKUP($BJ167&amp;"初始",$S$3:$AE$63,MATCH(BM$3,$S$3:$AE$3,0),FALSE)+((VLOOKUP($BJ167&amp;"最终",$S$3:$AE$63,MATCH(BM$3,$S$3:$AE$3,0),FALSE)*坦克个性化细分!$C$9-VLOOKUP($BJ167&amp;"初始",$S$3:$AE$63,MATCH(BM$3,$S$3:$AE$3,0),FALSE))-(VLOOKUP($BJ167&amp;"最终",$S$3:$AE$63,MATCH(BM$3,$S$3:$AE$3,0),FALSE)-VLOOKUP($BJ167&amp;"初始",$S$3:$AE$63,MATCH(BM$3,$S$3:$AE$3,0),FALSE))*VLOOKUP(VLOOKUP($BJ167,坦克个性化设定!$B$18:$E$48,4,FALSE)&amp;$BK167,坦克属性分配比例,MATCH("部件比例",坦克属性分配比例标头,0),FALSE))*$BL167/VLOOKUP(VLOOKUP($BJ167,坦克个性化设定!$B$18:$E$48,4,FALSE)&amp;$BK167,坦克属性分配比例,MATCH("升星次数",坦克属性分配比例标头,0),FALSE),0)</f>
        <v>2443</v>
      </c>
      <c r="BN167" s="103">
        <f ca="1">ROUND(VLOOKUP($BJ167&amp;"初始",$S$3:$AE$63,MATCH(BN$3,$S$3:$AE$3,0),FALSE)+(VLOOKUP($BJ167&amp;"最终",$S$3:$AE$63,MATCH(BN$3,$S$3:$AE$3,0),FALSE)-VLOOKUP($BJ167&amp;"初始",$S$3:$AE$63,MATCH(BN$3,$S$3:$AE$3,0),FALSE))*$BL167/VLOOKUP(VLOOKUP($BJ167,坦克个性化设定!$B$18:$E$48,4,FALSE)&amp;$BK167,坦克属性分配比例,MATCH("升星次数",坦克属性分配比例标头,0),FALSE)*VLOOKUP(VLOOKUP($BJ167,坦克个性化设定!$B$18:$E$48,4,FALSE)&amp;$BK167,坦克属性分配比例,MATCH("升星比例",坦克属性分配比例标头,0),FALSE),0)</f>
        <v>219</v>
      </c>
      <c r="BO167" s="103">
        <f ca="1">ROUND(VLOOKUP($BJ167&amp;"初始",$S$3:$AE$63,MATCH(BO$3,$S$3:$AE$3,0),FALSE)+(VLOOKUP($BJ167&amp;"最终",$S$3:$AE$63,MATCH(BO$3,$S$3:$AE$3,0),FALSE)-VLOOKUP($BJ167&amp;"初始",$S$3:$AE$63,MATCH(BO$3,$S$3:$AE$3,0),FALSE))*$BL167/VLOOKUP(VLOOKUP($BJ167,坦克个性化设定!$B$18:$E$48,4,FALSE)&amp;$BK167,坦克属性分配比例,MATCH("升星次数",坦克属性分配比例标头,0),FALSE)*(VLOOKUP(VLOOKUP($BJ167,坦克个性化设定!$B$18:$E$48,4,FALSE)&amp;$BK167,坦克属性分配比例,MATCH("升星比例",坦克属性分配比例标头,0),FALSE)+VLOOKUP(VLOOKUP($BJ167,坦克个性化设定!$B$18:$E$48,4,FALSE)&amp;$BK167,坦克属性分配比例,MATCH("部件比例",坦克属性分配比例标头,0),FALSE)*$C$3),0)</f>
        <v>830</v>
      </c>
      <c r="BP167" s="103">
        <f ca="1">ROUND(VLOOKUP($BJ167&amp;"初始",$S$3:$AE$63,MATCH(BP$3,$S$3:$AE$3,0),FALSE)+(VLOOKUP($BJ167&amp;"最终",$S$3:$AE$63,MATCH(BP$3,$S$3:$AE$3,0),FALSE)-VLOOKUP($BJ167&amp;"初始",$S$3:$AE$63,MATCH(BP$3,$S$3:$AE$3,0),FALSE))*$BL167/VLOOKUP(VLOOKUP($BJ167,坦克个性化设定!$B$18:$E$48,4,FALSE)&amp;$BK167,坦克属性分配比例,MATCH("升星次数",坦克属性分配比例标头,0),FALSE)*(VLOOKUP(VLOOKUP($BJ167,坦克个性化设定!$B$18:$E$48,4,FALSE)&amp;$BK167,坦克属性分配比例,MATCH("升星比例",坦克属性分配比例标头,0),FALSE)+VLOOKUP(VLOOKUP($BJ167,坦克个性化设定!$B$18:$E$48,4,FALSE)&amp;$BK167,坦克属性分配比例,MATCH("部件比例",坦克属性分配比例标头,0),FALSE)*$C$3),0)</f>
        <v>622</v>
      </c>
      <c r="BQ167" s="103">
        <f ca="1">ROUND(VLOOKUP($BJ167&amp;"初始",$S$3:$AE$63,MATCH(BQ$3,$S$3:$AE$3,0),FALSE)+(VLOOKUP($BJ167&amp;"最终",$S$3:$AE$63,MATCH(BQ$3,$S$3:$AE$3,0),FALSE)-VLOOKUP($BJ167&amp;"初始",$S$3:$AE$63,MATCH(BQ$3,$S$3:$AE$3,0),FALSE))*$BL167/VLOOKUP(VLOOKUP($BJ167,坦克个性化设定!$B$18:$E$48,4,FALSE)&amp;$BK167,坦克属性分配比例,MATCH("升星次数",坦克属性分配比例标头,0),FALSE)*VLOOKUP(VLOOKUP($BJ167,坦克个性化设定!$B$18:$E$48,4,FALSE)&amp;$BK167,坦克属性分配比例,MATCH("升星比例",坦克属性分配比例标头,0),FALSE),0)</f>
        <v>837</v>
      </c>
      <c r="BR167" s="2">
        <f ca="1">ROUND(VLOOKUP($BJ167&amp;"初始",$S$3:$AE$63,MATCH(BR$3,$S$3:$AE$3,0),FALSE)+(VLOOKUP($BJ167&amp;"最终",$S$3:$AE$63,MATCH(BR$3,$S$3:$AE$3,0),FALSE)-VLOOKUP($BJ167&amp;"初始",$S$3:$AE$63,MATCH(BR$3,$S$3:$AE$3,0),FALSE))*$BL167/VLOOKUP(VLOOKUP($BJ167,坦克个性化设定!$B$18:$E$48,4,FALSE)&amp;$BK167,坦克属性分配比例,MATCH("升星次数",坦克属性分配比例标头,0),FALSE),0)</f>
        <v>229</v>
      </c>
      <c r="BS167" s="2">
        <f>ROUND(VLOOKUP($BJ167,$AI$3:$AO$33,MATCH(BS$3,$AI$3:$AO$3,0),FALSE)+$BL167/VLOOKUP(VLOOKUP($BJ167,坦克个性化设定!$B$18:$E$48,4,FALSE)&amp;$BK167,坦克属性分配比例,MATCH("升星次数",坦克属性分配比例标头,0),FALSE)*VLOOKUP($BJ167,$AR$3:$AY$33,MATCH(BS$3,$AR$3:$AY$3,0),FALSE),1)</f>
        <v>53.6</v>
      </c>
      <c r="BT167" s="2">
        <f>ROUND(VLOOKUP($BJ167,$AI$3:$AO$33,MATCH(BT$3,$AI$3:$AO$3,0),FALSE)+$BL167/VLOOKUP(VLOOKUP($BJ167,坦克个性化设定!$B$18:$E$48,4,FALSE)&amp;$BK167,坦克属性分配比例,MATCH("升星次数",坦克属性分配比例标头,0),FALSE)*VLOOKUP($BJ167,$AR$3:$AY$33,MATCH(BT$3,$AR$3:$AY$3,0),FALSE),1)</f>
        <v>48.2</v>
      </c>
      <c r="BU167" s="2">
        <f>ROUND(VLOOKUP($BJ167,$AI$3:$AO$33,MATCH(BU$3,$AI$3:$AO$3,0),FALSE)+$BL167/VLOOKUP(VLOOKUP($BJ167,坦克个性化设定!$B$18:$E$48,4,FALSE)&amp;$BK167,坦克属性分配比例,MATCH("升星次数",坦克属性分配比例标头,0),FALSE)*VLOOKUP($BJ167,$AR$3:$AY$33,MATCH(BU$3,$AR$3:$AY$3,0),FALSE),1)</f>
        <v>8</v>
      </c>
      <c r="BV167" s="2">
        <f>IF(VLOOKUP(BJ167,坦克个性化设定!$B$18:$BC$48,MATCH("装弹类型",坦克个性化设定!$B$18:$BC$18,0),FALSE)="弹夹换弹",0,ROUND(VLOOKUP($BJ167,$AI$3:$AO$33,MATCH("换弹时间",$AI$3:$AO$3,0),FALSE)-$BL167/VLOOKUP(VLOOKUP($BJ167,坦克个性化设定!$B$18:$E$48,4,FALSE)&amp;$BK167,坦克属性分配比例,MATCH("升星次数",坦克属性分配比例标头,0),FALSE)*VLOOKUP($BJ167,$AR$3:$AY$33,MATCH("换弹时间",$AR$3:$AY$3,0),FALSE),2))</f>
        <v>0</v>
      </c>
      <c r="BW167" s="2">
        <f>IF(VLOOKUP(BJ167,坦克个性化设定!$B$18:$BC$48,MATCH("装弹类型",坦克个性化设定!$B$18:$BC$18,0),FALSE)="弹夹换弹",ROUND(VLOOKUP($BJ167,$AI$3:$AO$33,MATCH("换弹时间",$AI$3:$AO$3,0),FALSE)-$BL167/VLOOKUP(VLOOKUP($BJ167,坦克个性化设定!$B$18:$E$48,4,FALSE)&amp;$BK167,坦克属性分配比例,MATCH("升星次数",坦克属性分配比例标头,0),FALSE)*VLOOKUP($BJ167,$AR$3:$AY$33,MATCH("换弹时间",$AR$3:$AY$3,0),FALSE),1),0)</f>
        <v>2.1</v>
      </c>
      <c r="BX167" s="2">
        <f>ROUND(VLOOKUP($BJ167,$AI$3:$AO$33,MATCH(BX$3,$AI$3:$AO$3,0),FALSE)+$BL167/VLOOKUP(VLOOKUP($BJ167,坦克个性化设定!$B$18:$E$48,4,FALSE)&amp;$BK167,坦克属性分配比例,MATCH("升星次数",坦克属性分配比例标头,0),FALSE)*VLOOKUP($BJ167,$AR$3:$AY$33,MATCH(BX$3,$AR$3:$AY$3,0),FALSE),2)</f>
        <v>0.67</v>
      </c>
      <c r="BY167" s="2">
        <f>ROUND(VLOOKUP($BJ167,$AI$3:$AO$33,MATCH(BY$3,$AI$3:$AO$3,0),FALSE)-$BL167/VLOOKUP(VLOOKUP($BJ167,坦克个性化设定!$B$18:$E$48,4,FALSE)&amp;$BK167,坦克属性分配比例,MATCH("升星次数",坦克属性分配比例标头,0),FALSE)*VLOOKUP($BJ167,$AR$3:$AY$33,MATCH(BY$3,$AR$3:$AY$3,0),FALSE),2)</f>
        <v>1.17</v>
      </c>
    </row>
    <row r="168" spans="60:77" x14ac:dyDescent="0.3">
      <c r="BH168" s="2" t="str">
        <f t="shared" si="27"/>
        <v>M-4810</v>
      </c>
      <c r="BI168" s="2">
        <f>IF(BL167&gt;=VLOOKUP(VLOOKUP(BJ167,坦克个性化设定!$B$18:$E$48,4,FALSE)&amp;BK167,坦克属性分配比例,MATCH("升星次数",坦克属性分配比例标头,0),FALSE),BI167+1,BI167)</f>
        <v>17</v>
      </c>
      <c r="BJ168" s="2" t="str">
        <f t="shared" si="28"/>
        <v>M-48</v>
      </c>
      <c r="BK168" s="29" t="str">
        <f>VLOOKUP(BJ168,坦克个性化细分!$I$3:$J$33,2,FALSE)</f>
        <v>低</v>
      </c>
      <c r="BL168" s="2">
        <f t="shared" si="26"/>
        <v>10</v>
      </c>
      <c r="BM168" s="103">
        <f ca="1">ROUND(VLOOKUP($BJ168&amp;"初始",$S$3:$AE$63,MATCH(BM$3,$S$3:$AE$3,0),FALSE)+((VLOOKUP($BJ168&amp;"最终",$S$3:$AE$63,MATCH(BM$3,$S$3:$AE$3,0),FALSE)*坦克个性化细分!$C$9-VLOOKUP($BJ168&amp;"初始",$S$3:$AE$63,MATCH(BM$3,$S$3:$AE$3,0),FALSE))-(VLOOKUP($BJ168&amp;"最终",$S$3:$AE$63,MATCH(BM$3,$S$3:$AE$3,0),FALSE)-VLOOKUP($BJ168&amp;"初始",$S$3:$AE$63,MATCH(BM$3,$S$3:$AE$3,0),FALSE))*VLOOKUP(VLOOKUP($BJ168,坦克个性化设定!$B$18:$E$48,4,FALSE)&amp;$BK168,坦克属性分配比例,MATCH("部件比例",坦克属性分配比例标头,0),FALSE))*$BL168/VLOOKUP(VLOOKUP($BJ168,坦克个性化设定!$B$18:$E$48,4,FALSE)&amp;$BK168,坦克属性分配比例,MATCH("升星次数",坦克属性分配比例标头,0),FALSE),0)</f>
        <v>2516</v>
      </c>
      <c r="BN168" s="103">
        <f ca="1">ROUND(VLOOKUP($BJ168&amp;"初始",$S$3:$AE$63,MATCH(BN$3,$S$3:$AE$3,0),FALSE)+(VLOOKUP($BJ168&amp;"最终",$S$3:$AE$63,MATCH(BN$3,$S$3:$AE$3,0),FALSE)-VLOOKUP($BJ168&amp;"初始",$S$3:$AE$63,MATCH(BN$3,$S$3:$AE$3,0),FALSE))*$BL168/VLOOKUP(VLOOKUP($BJ168,坦克个性化设定!$B$18:$E$48,4,FALSE)&amp;$BK168,坦克属性分配比例,MATCH("升星次数",坦克属性分配比例标头,0),FALSE)*VLOOKUP(VLOOKUP($BJ168,坦克个性化设定!$B$18:$E$48,4,FALSE)&amp;$BK168,坦克属性分配比例,MATCH("升星比例",坦克属性分配比例标头,0),FALSE),0)</f>
        <v>223</v>
      </c>
      <c r="BO168" s="103">
        <f ca="1">ROUND(VLOOKUP($BJ168&amp;"初始",$S$3:$AE$63,MATCH(BO$3,$S$3:$AE$3,0),FALSE)+(VLOOKUP($BJ168&amp;"最终",$S$3:$AE$63,MATCH(BO$3,$S$3:$AE$3,0),FALSE)-VLOOKUP($BJ168&amp;"初始",$S$3:$AE$63,MATCH(BO$3,$S$3:$AE$3,0),FALSE))*$BL168/VLOOKUP(VLOOKUP($BJ168,坦克个性化设定!$B$18:$E$48,4,FALSE)&amp;$BK168,坦克属性分配比例,MATCH("升星次数",坦克属性分配比例标头,0),FALSE)*(VLOOKUP(VLOOKUP($BJ168,坦克个性化设定!$B$18:$E$48,4,FALSE)&amp;$BK168,坦克属性分配比例,MATCH("升星比例",坦克属性分配比例标头,0),FALSE)+VLOOKUP(VLOOKUP($BJ168,坦克个性化设定!$B$18:$E$48,4,FALSE)&amp;$BK168,坦克属性分配比例,MATCH("部件比例",坦克属性分配比例标头,0),FALSE)*$C$3),0)</f>
        <v>852</v>
      </c>
      <c r="BP168" s="103">
        <f ca="1">ROUND(VLOOKUP($BJ168&amp;"初始",$S$3:$AE$63,MATCH(BP$3,$S$3:$AE$3,0),FALSE)+(VLOOKUP($BJ168&amp;"最终",$S$3:$AE$63,MATCH(BP$3,$S$3:$AE$3,0),FALSE)-VLOOKUP($BJ168&amp;"初始",$S$3:$AE$63,MATCH(BP$3,$S$3:$AE$3,0),FALSE))*$BL168/VLOOKUP(VLOOKUP($BJ168,坦克个性化设定!$B$18:$E$48,4,FALSE)&amp;$BK168,坦克属性分配比例,MATCH("升星次数",坦克属性分配比例标头,0),FALSE)*(VLOOKUP(VLOOKUP($BJ168,坦克个性化设定!$B$18:$E$48,4,FALSE)&amp;$BK168,坦克属性分配比例,MATCH("升星比例",坦克属性分配比例标头,0),FALSE)+VLOOKUP(VLOOKUP($BJ168,坦克个性化设定!$B$18:$E$48,4,FALSE)&amp;$BK168,坦克属性分配比例,MATCH("部件比例",坦克属性分配比例标头,0),FALSE)*$C$3),0)</f>
        <v>638</v>
      </c>
      <c r="BQ168" s="103">
        <f ca="1">ROUND(VLOOKUP($BJ168&amp;"初始",$S$3:$AE$63,MATCH(BQ$3,$S$3:$AE$3,0),FALSE)+(VLOOKUP($BJ168&amp;"最终",$S$3:$AE$63,MATCH(BQ$3,$S$3:$AE$3,0),FALSE)-VLOOKUP($BJ168&amp;"初始",$S$3:$AE$63,MATCH(BQ$3,$S$3:$AE$3,0),FALSE))*$BL168/VLOOKUP(VLOOKUP($BJ168,坦克个性化设定!$B$18:$E$48,4,FALSE)&amp;$BK168,坦克属性分配比例,MATCH("升星次数",坦克属性分配比例标头,0),FALSE)*VLOOKUP(VLOOKUP($BJ168,坦克个性化设定!$B$18:$E$48,4,FALSE)&amp;$BK168,坦克属性分配比例,MATCH("升星比例",坦克属性分配比例标头,0),FALSE),0)</f>
        <v>853</v>
      </c>
      <c r="BR168" s="2">
        <f ca="1">ROUND(VLOOKUP($BJ168&amp;"初始",$S$3:$AE$63,MATCH(BR$3,$S$3:$AE$3,0),FALSE)+(VLOOKUP($BJ168&amp;"最终",$S$3:$AE$63,MATCH(BR$3,$S$3:$AE$3,0),FALSE)-VLOOKUP($BJ168&amp;"初始",$S$3:$AE$63,MATCH(BR$3,$S$3:$AE$3,0),FALSE))*$BL168/VLOOKUP(VLOOKUP($BJ168,坦克个性化设定!$B$18:$E$48,4,FALSE)&amp;$BK168,坦克属性分配比例,MATCH("升星次数",坦克属性分配比例标头,0),FALSE),0)</f>
        <v>236</v>
      </c>
      <c r="BS168" s="2">
        <f>ROUND(VLOOKUP($BJ168,$AI$3:$AO$33,MATCH(BS$3,$AI$3:$AO$3,0),FALSE)+$BL168/VLOOKUP(VLOOKUP($BJ168,坦克个性化设定!$B$18:$E$48,4,FALSE)&amp;$BK168,坦克属性分配比例,MATCH("升星次数",坦克属性分配比例标头,0),FALSE)*VLOOKUP($BJ168,$AR$3:$AY$33,MATCH(BS$3,$AR$3:$AY$3,0),FALSE),1)</f>
        <v>54.6</v>
      </c>
      <c r="BT168" s="2">
        <f>ROUND(VLOOKUP($BJ168,$AI$3:$AO$33,MATCH(BT$3,$AI$3:$AO$3,0),FALSE)+$BL168/VLOOKUP(VLOOKUP($BJ168,坦克个性化设定!$B$18:$E$48,4,FALSE)&amp;$BK168,坦克属性分配比例,MATCH("升星次数",坦克属性分配比例标头,0),FALSE)*VLOOKUP($BJ168,$AR$3:$AY$33,MATCH(BT$3,$AR$3:$AY$3,0),FALSE),1)</f>
        <v>49.1</v>
      </c>
      <c r="BU168" s="2">
        <f>ROUND(VLOOKUP($BJ168,$AI$3:$AO$33,MATCH(BU$3,$AI$3:$AO$3,0),FALSE)+$BL168/VLOOKUP(VLOOKUP($BJ168,坦克个性化设定!$B$18:$E$48,4,FALSE)&amp;$BK168,坦克属性分配比例,MATCH("升星次数",坦克属性分配比例标头,0),FALSE)*VLOOKUP($BJ168,$AR$3:$AY$33,MATCH(BU$3,$AR$3:$AY$3,0),FALSE),1)</f>
        <v>8</v>
      </c>
      <c r="BV168" s="2">
        <f>IF(VLOOKUP(BJ168,坦克个性化设定!$B$18:$BC$48,MATCH("装弹类型",坦克个性化设定!$B$18:$BC$18,0),FALSE)="弹夹换弹",0,ROUND(VLOOKUP($BJ168,$AI$3:$AO$33,MATCH("换弹时间",$AI$3:$AO$3,0),FALSE)-$BL168/VLOOKUP(VLOOKUP($BJ168,坦克个性化设定!$B$18:$E$48,4,FALSE)&amp;$BK168,坦克属性分配比例,MATCH("升星次数",坦克属性分配比例标头,0),FALSE)*VLOOKUP($BJ168,$AR$3:$AY$33,MATCH("换弹时间",$AR$3:$AY$3,0),FALSE),2))</f>
        <v>0</v>
      </c>
      <c r="BW168" s="2">
        <f>IF(VLOOKUP(BJ168,坦克个性化设定!$B$18:$BC$48,MATCH("装弹类型",坦克个性化设定!$B$18:$BC$18,0),FALSE)="弹夹换弹",ROUND(VLOOKUP($BJ168,$AI$3:$AO$33,MATCH("换弹时间",$AI$3:$AO$3,0),FALSE)-$BL168/VLOOKUP(VLOOKUP($BJ168,坦克个性化设定!$B$18:$E$48,4,FALSE)&amp;$BK168,坦克属性分配比例,MATCH("升星次数",坦克属性分配比例标头,0),FALSE)*VLOOKUP($BJ168,$AR$3:$AY$33,MATCH("换弹时间",$AR$3:$AY$3,0),FALSE),1),0)</f>
        <v>2.1</v>
      </c>
      <c r="BX168" s="2">
        <f>ROUND(VLOOKUP($BJ168,$AI$3:$AO$33,MATCH(BX$3,$AI$3:$AO$3,0),FALSE)+$BL168/VLOOKUP(VLOOKUP($BJ168,坦克个性化设定!$B$18:$E$48,4,FALSE)&amp;$BK168,坦克属性分配比例,MATCH("升星次数",坦克属性分配比例标头,0),FALSE)*VLOOKUP($BJ168,$AR$3:$AY$33,MATCH(BX$3,$AR$3:$AY$3,0),FALSE),2)</f>
        <v>0.71</v>
      </c>
      <c r="BY168" s="2">
        <f>ROUND(VLOOKUP($BJ168,$AI$3:$AO$33,MATCH(BY$3,$AI$3:$AO$3,0),FALSE)-$BL168/VLOOKUP(VLOOKUP($BJ168,坦克个性化设定!$B$18:$E$48,4,FALSE)&amp;$BK168,坦克属性分配比例,MATCH("升星次数",坦克属性分配比例标头,0),FALSE)*VLOOKUP($BJ168,$AR$3:$AY$33,MATCH(BY$3,$AR$3:$AY$3,0),FALSE),2)</f>
        <v>1.1499999999999999</v>
      </c>
    </row>
    <row r="169" spans="60:77" x14ac:dyDescent="0.3">
      <c r="BH169" s="2" t="str">
        <f t="shared" si="27"/>
        <v>M-4811</v>
      </c>
      <c r="BI169" s="2">
        <f>IF(BL168&gt;=VLOOKUP(VLOOKUP(BJ168,坦克个性化设定!$B$18:$E$48,4,FALSE)&amp;BK168,坦克属性分配比例,MATCH("升星次数",坦克属性分配比例标头,0),FALSE),BI168+1,BI168)</f>
        <v>17</v>
      </c>
      <c r="BJ169" s="2" t="str">
        <f t="shared" si="28"/>
        <v>M-48</v>
      </c>
      <c r="BK169" s="29" t="str">
        <f>VLOOKUP(BJ169,坦克个性化细分!$I$3:$J$33,2,FALSE)</f>
        <v>低</v>
      </c>
      <c r="BL169" s="2">
        <f t="shared" si="26"/>
        <v>11</v>
      </c>
      <c r="BM169" s="103">
        <f ca="1">ROUND(VLOOKUP($BJ169&amp;"初始",$S$3:$AE$63,MATCH(BM$3,$S$3:$AE$3,0),FALSE)+((VLOOKUP($BJ169&amp;"最终",$S$3:$AE$63,MATCH(BM$3,$S$3:$AE$3,0),FALSE)*坦克个性化细分!$C$9-VLOOKUP($BJ169&amp;"初始",$S$3:$AE$63,MATCH(BM$3,$S$3:$AE$3,0),FALSE))-(VLOOKUP($BJ169&amp;"最终",$S$3:$AE$63,MATCH(BM$3,$S$3:$AE$3,0),FALSE)-VLOOKUP($BJ169&amp;"初始",$S$3:$AE$63,MATCH(BM$3,$S$3:$AE$3,0),FALSE))*VLOOKUP(VLOOKUP($BJ169,坦克个性化设定!$B$18:$E$48,4,FALSE)&amp;$BK169,坦克属性分配比例,MATCH("部件比例",坦克属性分配比例标头,0),FALSE))*$BL169/VLOOKUP(VLOOKUP($BJ169,坦克个性化设定!$B$18:$E$48,4,FALSE)&amp;$BK169,坦克属性分配比例,MATCH("升星次数",坦克属性分配比例标头,0),FALSE),0)</f>
        <v>2590</v>
      </c>
      <c r="BN169" s="103">
        <f ca="1">ROUND(VLOOKUP($BJ169&amp;"初始",$S$3:$AE$63,MATCH(BN$3,$S$3:$AE$3,0),FALSE)+(VLOOKUP($BJ169&amp;"最终",$S$3:$AE$63,MATCH(BN$3,$S$3:$AE$3,0),FALSE)-VLOOKUP($BJ169&amp;"初始",$S$3:$AE$63,MATCH(BN$3,$S$3:$AE$3,0),FALSE))*$BL169/VLOOKUP(VLOOKUP($BJ169,坦克个性化设定!$B$18:$E$48,4,FALSE)&amp;$BK169,坦克属性分配比例,MATCH("升星次数",坦克属性分配比例标头,0),FALSE)*VLOOKUP(VLOOKUP($BJ169,坦克个性化设定!$B$18:$E$48,4,FALSE)&amp;$BK169,坦克属性分配比例,MATCH("升星比例",坦克属性分配比例标头,0),FALSE),0)</f>
        <v>227</v>
      </c>
      <c r="BO169" s="103">
        <f ca="1">ROUND(VLOOKUP($BJ169&amp;"初始",$S$3:$AE$63,MATCH(BO$3,$S$3:$AE$3,0),FALSE)+(VLOOKUP($BJ169&amp;"最终",$S$3:$AE$63,MATCH(BO$3,$S$3:$AE$3,0),FALSE)-VLOOKUP($BJ169&amp;"初始",$S$3:$AE$63,MATCH(BO$3,$S$3:$AE$3,0),FALSE))*$BL169/VLOOKUP(VLOOKUP($BJ169,坦克个性化设定!$B$18:$E$48,4,FALSE)&amp;$BK169,坦克属性分配比例,MATCH("升星次数",坦克属性分配比例标头,0),FALSE)*(VLOOKUP(VLOOKUP($BJ169,坦克个性化设定!$B$18:$E$48,4,FALSE)&amp;$BK169,坦克属性分配比例,MATCH("升星比例",坦克属性分配比例标头,0),FALSE)+VLOOKUP(VLOOKUP($BJ169,坦克个性化设定!$B$18:$E$48,4,FALSE)&amp;$BK169,坦克属性分配比例,MATCH("部件比例",坦克属性分配比例标头,0),FALSE)*$C$3),0)</f>
        <v>874</v>
      </c>
      <c r="BP169" s="103">
        <f ca="1">ROUND(VLOOKUP($BJ169&amp;"初始",$S$3:$AE$63,MATCH(BP$3,$S$3:$AE$3,0),FALSE)+(VLOOKUP($BJ169&amp;"最终",$S$3:$AE$63,MATCH(BP$3,$S$3:$AE$3,0),FALSE)-VLOOKUP($BJ169&amp;"初始",$S$3:$AE$63,MATCH(BP$3,$S$3:$AE$3,0),FALSE))*$BL169/VLOOKUP(VLOOKUP($BJ169,坦克个性化设定!$B$18:$E$48,4,FALSE)&amp;$BK169,坦克属性分配比例,MATCH("升星次数",坦克属性分配比例标头,0),FALSE)*(VLOOKUP(VLOOKUP($BJ169,坦克个性化设定!$B$18:$E$48,4,FALSE)&amp;$BK169,坦克属性分配比例,MATCH("升星比例",坦克属性分配比例标头,0),FALSE)+VLOOKUP(VLOOKUP($BJ169,坦克个性化设定!$B$18:$E$48,4,FALSE)&amp;$BK169,坦克属性分配比例,MATCH("部件比例",坦克属性分配比例标头,0),FALSE)*$C$3),0)</f>
        <v>655</v>
      </c>
      <c r="BQ169" s="103">
        <f ca="1">ROUND(VLOOKUP($BJ169&amp;"初始",$S$3:$AE$63,MATCH(BQ$3,$S$3:$AE$3,0),FALSE)+(VLOOKUP($BJ169&amp;"最终",$S$3:$AE$63,MATCH(BQ$3,$S$3:$AE$3,0),FALSE)-VLOOKUP($BJ169&amp;"初始",$S$3:$AE$63,MATCH(BQ$3,$S$3:$AE$3,0),FALSE))*$BL169/VLOOKUP(VLOOKUP($BJ169,坦克个性化设定!$B$18:$E$48,4,FALSE)&amp;$BK169,坦克属性分配比例,MATCH("升星次数",坦克属性分配比例标头,0),FALSE)*VLOOKUP(VLOOKUP($BJ169,坦克个性化设定!$B$18:$E$48,4,FALSE)&amp;$BK169,坦克属性分配比例,MATCH("升星比例",坦克属性分配比例标头,0),FALSE),0)</f>
        <v>869</v>
      </c>
      <c r="BR169" s="2">
        <f ca="1">ROUND(VLOOKUP($BJ169&amp;"初始",$S$3:$AE$63,MATCH(BR$3,$S$3:$AE$3,0),FALSE)+(VLOOKUP($BJ169&amp;"最终",$S$3:$AE$63,MATCH(BR$3,$S$3:$AE$3,0),FALSE)-VLOOKUP($BJ169&amp;"初始",$S$3:$AE$63,MATCH(BR$3,$S$3:$AE$3,0),FALSE))*$BL169/VLOOKUP(VLOOKUP($BJ169,坦克个性化设定!$B$18:$E$48,4,FALSE)&amp;$BK169,坦克属性分配比例,MATCH("升星次数",坦克属性分配比例标头,0),FALSE),0)</f>
        <v>243</v>
      </c>
      <c r="BS169" s="2">
        <f>ROUND(VLOOKUP($BJ169,$AI$3:$AO$33,MATCH(BS$3,$AI$3:$AO$3,0),FALSE)+$BL169/VLOOKUP(VLOOKUP($BJ169,坦克个性化设定!$B$18:$E$48,4,FALSE)&amp;$BK169,坦克属性分配比例,MATCH("升星次数",坦克属性分配比例标头,0),FALSE)*VLOOKUP($BJ169,$AR$3:$AY$33,MATCH(BS$3,$AR$3:$AY$3,0),FALSE),1)</f>
        <v>55.6</v>
      </c>
      <c r="BT169" s="2">
        <f>ROUND(VLOOKUP($BJ169,$AI$3:$AO$33,MATCH(BT$3,$AI$3:$AO$3,0),FALSE)+$BL169/VLOOKUP(VLOOKUP($BJ169,坦克个性化设定!$B$18:$E$48,4,FALSE)&amp;$BK169,坦克属性分配比例,MATCH("升星次数",坦克属性分配比例标头,0),FALSE)*VLOOKUP($BJ169,$AR$3:$AY$33,MATCH(BT$3,$AR$3:$AY$3,0),FALSE),1)</f>
        <v>50</v>
      </c>
      <c r="BU169" s="2">
        <f>ROUND(VLOOKUP($BJ169,$AI$3:$AO$33,MATCH(BU$3,$AI$3:$AO$3,0),FALSE)+$BL169/VLOOKUP(VLOOKUP($BJ169,坦克个性化设定!$B$18:$E$48,4,FALSE)&amp;$BK169,坦克属性分配比例,MATCH("升星次数",坦克属性分配比例标头,0),FALSE)*VLOOKUP($BJ169,$AR$3:$AY$33,MATCH(BU$3,$AR$3:$AY$3,0),FALSE),1)</f>
        <v>8</v>
      </c>
      <c r="BV169" s="2">
        <f>IF(VLOOKUP(BJ169,坦克个性化设定!$B$18:$BC$48,MATCH("装弹类型",坦克个性化设定!$B$18:$BC$18,0),FALSE)="弹夹换弹",0,ROUND(VLOOKUP($BJ169,$AI$3:$AO$33,MATCH("换弹时间",$AI$3:$AO$3,0),FALSE)-$BL169/VLOOKUP(VLOOKUP($BJ169,坦克个性化设定!$B$18:$E$48,4,FALSE)&amp;$BK169,坦克属性分配比例,MATCH("升星次数",坦克属性分配比例标头,0),FALSE)*VLOOKUP($BJ169,$AR$3:$AY$33,MATCH("换弹时间",$AR$3:$AY$3,0),FALSE),2))</f>
        <v>0</v>
      </c>
      <c r="BW169" s="2">
        <f>IF(VLOOKUP(BJ169,坦克个性化设定!$B$18:$BC$48,MATCH("装弹类型",坦克个性化设定!$B$18:$BC$18,0),FALSE)="弹夹换弹",ROUND(VLOOKUP($BJ169,$AI$3:$AO$33,MATCH("换弹时间",$AI$3:$AO$3,0),FALSE)-$BL169/VLOOKUP(VLOOKUP($BJ169,坦克个性化设定!$B$18:$E$48,4,FALSE)&amp;$BK169,坦克属性分配比例,MATCH("升星次数",坦克属性分配比例标头,0),FALSE)*VLOOKUP($BJ169,$AR$3:$AY$33,MATCH("换弹时间",$AR$3:$AY$3,0),FALSE),1),0)</f>
        <v>2</v>
      </c>
      <c r="BX169" s="2">
        <f>ROUND(VLOOKUP($BJ169,$AI$3:$AO$33,MATCH(BX$3,$AI$3:$AO$3,0),FALSE)+$BL169/VLOOKUP(VLOOKUP($BJ169,坦克个性化设定!$B$18:$E$48,4,FALSE)&amp;$BK169,坦克属性分配比例,MATCH("升星次数",坦克属性分配比例标头,0),FALSE)*VLOOKUP($BJ169,$AR$3:$AY$33,MATCH(BX$3,$AR$3:$AY$3,0),FALSE),2)</f>
        <v>0.75</v>
      </c>
      <c r="BY169" s="2">
        <f>ROUND(VLOOKUP($BJ169,$AI$3:$AO$33,MATCH(BY$3,$AI$3:$AO$3,0),FALSE)-$BL169/VLOOKUP(VLOOKUP($BJ169,坦克个性化设定!$B$18:$E$48,4,FALSE)&amp;$BK169,坦克属性分配比例,MATCH("升星次数",坦克属性分配比例标头,0),FALSE)*VLOOKUP($BJ169,$AR$3:$AY$33,MATCH(BY$3,$AR$3:$AY$3,0),FALSE),2)</f>
        <v>1.1299999999999999</v>
      </c>
    </row>
    <row r="170" spans="60:77" x14ac:dyDescent="0.3">
      <c r="BH170" s="2" t="str">
        <f t="shared" si="27"/>
        <v>潘兴0</v>
      </c>
      <c r="BI170" s="2">
        <f>IF(BL169&gt;=VLOOKUP(VLOOKUP(BJ169,坦克个性化设定!$B$18:$E$48,4,FALSE)&amp;BK169,坦克属性分配比例,MATCH("升星次数",坦克属性分配比例标头,0),FALSE),BI169+1,BI169)</f>
        <v>18</v>
      </c>
      <c r="BJ170" s="2" t="str">
        <f t="shared" si="28"/>
        <v>潘兴</v>
      </c>
      <c r="BK170" s="29" t="str">
        <f>VLOOKUP(BJ170,坦克个性化细分!$I$3:$J$33,2,FALSE)</f>
        <v>中</v>
      </c>
      <c r="BL170" s="2">
        <f t="shared" si="26"/>
        <v>0</v>
      </c>
      <c r="BM170" s="103">
        <f ca="1">ROUND(VLOOKUP($BJ170&amp;"初始",$S$3:$AE$63,MATCH(BM$3,$S$3:$AE$3,0),FALSE)+((VLOOKUP($BJ170&amp;"最终",$S$3:$AE$63,MATCH(BM$3,$S$3:$AE$3,0),FALSE)*坦克个性化细分!$C$9-VLOOKUP($BJ170&amp;"初始",$S$3:$AE$63,MATCH(BM$3,$S$3:$AE$3,0),FALSE))-(VLOOKUP($BJ170&amp;"最终",$S$3:$AE$63,MATCH(BM$3,$S$3:$AE$3,0),FALSE)-VLOOKUP($BJ170&amp;"初始",$S$3:$AE$63,MATCH(BM$3,$S$3:$AE$3,0),FALSE))*VLOOKUP(VLOOKUP($BJ170,坦克个性化设定!$B$18:$E$48,4,FALSE)&amp;$BK170,坦克属性分配比例,MATCH("部件比例",坦克属性分配比例标头,0),FALSE))*$BL170/VLOOKUP(VLOOKUP($BJ170,坦克个性化设定!$B$18:$E$48,4,FALSE)&amp;$BK170,坦克属性分配比例,MATCH("升星次数",坦克属性分配比例标头,0),FALSE),0)</f>
        <v>1717</v>
      </c>
      <c r="BN170" s="103">
        <f ca="1">ROUND(VLOOKUP($BJ170&amp;"初始",$S$3:$AE$63,MATCH(BN$3,$S$3:$AE$3,0),FALSE)+(VLOOKUP($BJ170&amp;"最终",$S$3:$AE$63,MATCH(BN$3,$S$3:$AE$3,0),FALSE)-VLOOKUP($BJ170&amp;"初始",$S$3:$AE$63,MATCH(BN$3,$S$3:$AE$3,0),FALSE))*$BL170/VLOOKUP(VLOOKUP($BJ170,坦克个性化设定!$B$18:$E$48,4,FALSE)&amp;$BK170,坦克属性分配比例,MATCH("升星次数",坦克属性分配比例标头,0),FALSE)*VLOOKUP(VLOOKUP($BJ170,坦克个性化设定!$B$18:$E$48,4,FALSE)&amp;$BK170,坦克属性分配比例,MATCH("升星比例",坦克属性分配比例标头,0),FALSE),0)</f>
        <v>211</v>
      </c>
      <c r="BO170" s="103">
        <f ca="1">ROUND(VLOOKUP($BJ170&amp;"初始",$S$3:$AE$63,MATCH(BO$3,$S$3:$AE$3,0),FALSE)+(VLOOKUP($BJ170&amp;"最终",$S$3:$AE$63,MATCH(BO$3,$S$3:$AE$3,0),FALSE)-VLOOKUP($BJ170&amp;"初始",$S$3:$AE$63,MATCH(BO$3,$S$3:$AE$3,0),FALSE))*$BL170/VLOOKUP(VLOOKUP($BJ170,坦克个性化设定!$B$18:$E$48,4,FALSE)&amp;$BK170,坦克属性分配比例,MATCH("升星次数",坦克属性分配比例标头,0),FALSE)*(VLOOKUP(VLOOKUP($BJ170,坦克个性化设定!$B$18:$E$48,4,FALSE)&amp;$BK170,坦克属性分配比例,MATCH("升星比例",坦克属性分配比例标头,0),FALSE)+VLOOKUP(VLOOKUP($BJ170,坦克个性化设定!$B$18:$E$48,4,FALSE)&amp;$BK170,坦克属性分配比例,MATCH("部件比例",坦克属性分配比例标头,0),FALSE)*$C$3),0)</f>
        <v>657</v>
      </c>
      <c r="BP170" s="103">
        <f ca="1">ROUND(VLOOKUP($BJ170&amp;"初始",$S$3:$AE$63,MATCH(BP$3,$S$3:$AE$3,0),FALSE)+(VLOOKUP($BJ170&amp;"最终",$S$3:$AE$63,MATCH(BP$3,$S$3:$AE$3,0),FALSE)-VLOOKUP($BJ170&amp;"初始",$S$3:$AE$63,MATCH(BP$3,$S$3:$AE$3,0),FALSE))*$BL170/VLOOKUP(VLOOKUP($BJ170,坦克个性化设定!$B$18:$E$48,4,FALSE)&amp;$BK170,坦克属性分配比例,MATCH("升星次数",坦克属性分配比例标头,0),FALSE)*(VLOOKUP(VLOOKUP($BJ170,坦克个性化设定!$B$18:$E$48,4,FALSE)&amp;$BK170,坦克属性分配比例,MATCH("升星比例",坦克属性分配比例标头,0),FALSE)+VLOOKUP(VLOOKUP($BJ170,坦克个性化设定!$B$18:$E$48,4,FALSE)&amp;$BK170,坦克属性分配比例,MATCH("部件比例",坦克属性分配比例标头,0),FALSE)*$C$3),0)</f>
        <v>493</v>
      </c>
      <c r="BQ170" s="103">
        <f ca="1">ROUND(VLOOKUP($BJ170&amp;"初始",$S$3:$AE$63,MATCH(BQ$3,$S$3:$AE$3,0),FALSE)+(VLOOKUP($BJ170&amp;"最终",$S$3:$AE$63,MATCH(BQ$3,$S$3:$AE$3,0),FALSE)-VLOOKUP($BJ170&amp;"初始",$S$3:$AE$63,MATCH(BQ$3,$S$3:$AE$3,0),FALSE))*$BL170/VLOOKUP(VLOOKUP($BJ170,坦克个性化设定!$B$18:$E$48,4,FALSE)&amp;$BK170,坦克属性分配比例,MATCH("升星次数",坦克属性分配比例标头,0),FALSE)*VLOOKUP(VLOOKUP($BJ170,坦克个性化设定!$B$18:$E$48,4,FALSE)&amp;$BK170,坦克属性分配比例,MATCH("升星比例",坦克属性分配比例标头,0),FALSE),0)</f>
        <v>720</v>
      </c>
      <c r="BR170" s="2">
        <f ca="1">ROUND(VLOOKUP($BJ170&amp;"初始",$S$3:$AE$63,MATCH(BR$3,$S$3:$AE$3,0),FALSE)+(VLOOKUP($BJ170&amp;"最终",$S$3:$AE$63,MATCH(BR$3,$S$3:$AE$3,0),FALSE)-VLOOKUP($BJ170&amp;"初始",$S$3:$AE$63,MATCH(BR$3,$S$3:$AE$3,0),FALSE))*$BL170/VLOOKUP(VLOOKUP($BJ170,坦克个性化设定!$B$18:$E$48,4,FALSE)&amp;$BK170,坦克属性分配比例,MATCH("升星次数",坦克属性分配比例标头,0),FALSE),0)</f>
        <v>173</v>
      </c>
      <c r="BS170" s="2">
        <f>ROUND(VLOOKUP($BJ170,$AI$3:$AO$33,MATCH(BS$3,$AI$3:$AO$3,0),FALSE)+$BL170/VLOOKUP(VLOOKUP($BJ170,坦克个性化设定!$B$18:$E$48,4,FALSE)&amp;$BK170,坦克属性分配比例,MATCH("升星次数",坦克属性分配比例标头,0),FALSE)*VLOOKUP($BJ170,$AR$3:$AY$33,MATCH(BS$3,$AR$3:$AY$3,0),FALSE),1)</f>
        <v>36.299999999999997</v>
      </c>
      <c r="BT170" s="2">
        <f>ROUND(VLOOKUP($BJ170,$AI$3:$AO$33,MATCH(BT$3,$AI$3:$AO$3,0),FALSE)+$BL170/VLOOKUP(VLOOKUP($BJ170,坦克个性化设定!$B$18:$E$48,4,FALSE)&amp;$BK170,坦克属性分配比例,MATCH("升星次数",坦克属性分配比例标头,0),FALSE)*VLOOKUP($BJ170,$AR$3:$AY$33,MATCH(BT$3,$AR$3:$AY$3,0),FALSE),1)</f>
        <v>51</v>
      </c>
      <c r="BU170" s="2">
        <f>ROUND(VLOOKUP($BJ170,$AI$3:$AO$33,MATCH(BU$3,$AI$3:$AO$3,0),FALSE)+$BL170/VLOOKUP(VLOOKUP($BJ170,坦克个性化设定!$B$18:$E$48,4,FALSE)&amp;$BK170,坦克属性分配比例,MATCH("升星次数",坦克属性分配比例标头,0),FALSE)*VLOOKUP($BJ170,$AR$3:$AY$33,MATCH(BU$3,$AR$3:$AY$3,0),FALSE),1)</f>
        <v>7.3</v>
      </c>
      <c r="BV170" s="2">
        <f>IF(VLOOKUP(BJ170,坦克个性化设定!$B$18:$BC$48,MATCH("装弹类型",坦克个性化设定!$B$18:$BC$18,0),FALSE)="弹夹换弹",0,ROUND(VLOOKUP($BJ170,$AI$3:$AO$33,MATCH("换弹时间",$AI$3:$AO$3,0),FALSE)-$BL170/VLOOKUP(VLOOKUP($BJ170,坦克个性化设定!$B$18:$E$48,4,FALSE)&amp;$BK170,坦克属性分配比例,MATCH("升星次数",坦克属性分配比例标头,0),FALSE)*VLOOKUP($BJ170,$AR$3:$AY$33,MATCH("换弹时间",$AR$3:$AY$3,0),FALSE),2))</f>
        <v>3.6</v>
      </c>
      <c r="BW170" s="2">
        <f>IF(VLOOKUP(BJ170,坦克个性化设定!$B$18:$BC$48,MATCH("装弹类型",坦克个性化设定!$B$18:$BC$18,0),FALSE)="弹夹换弹",ROUND(VLOOKUP($BJ170,$AI$3:$AO$33,MATCH("换弹时间",$AI$3:$AO$3,0),FALSE)-$BL170/VLOOKUP(VLOOKUP($BJ170,坦克个性化设定!$B$18:$E$48,4,FALSE)&amp;$BK170,坦克属性分配比例,MATCH("升星次数",坦克属性分配比例标头,0),FALSE)*VLOOKUP($BJ170,$AR$3:$AY$33,MATCH("换弹时间",$AR$3:$AY$3,0),FALSE),1),0)</f>
        <v>0</v>
      </c>
      <c r="BX170" s="2">
        <f>ROUND(VLOOKUP($BJ170,$AI$3:$AO$33,MATCH(BX$3,$AI$3:$AO$3,0),FALSE)+$BL170/VLOOKUP(VLOOKUP($BJ170,坦克个性化设定!$B$18:$E$48,4,FALSE)&amp;$BK170,坦克属性分配比例,MATCH("升星次数",坦克属性分配比例标头,0),FALSE)*VLOOKUP($BJ170,$AR$3:$AY$33,MATCH(BX$3,$AR$3:$AY$3,0),FALSE),2)</f>
        <v>0.4</v>
      </c>
      <c r="BY170" s="2">
        <f>ROUND(VLOOKUP($BJ170,$AI$3:$AO$33,MATCH(BY$3,$AI$3:$AO$3,0),FALSE)-$BL170/VLOOKUP(VLOOKUP($BJ170,坦克个性化设定!$B$18:$E$48,4,FALSE)&amp;$BK170,坦克属性分配比例,MATCH("升星次数",坦克属性分配比例标头,0),FALSE)*VLOOKUP($BJ170,$AR$3:$AY$33,MATCH(BY$3,$AR$3:$AY$3,0),FALSE),2)</f>
        <v>1</v>
      </c>
    </row>
    <row r="171" spans="60:77" x14ac:dyDescent="0.3">
      <c r="BH171" s="2" t="str">
        <f t="shared" si="27"/>
        <v>潘兴1</v>
      </c>
      <c r="BI171" s="2">
        <f>IF(BL170&gt;=VLOOKUP(VLOOKUP(BJ170,坦克个性化设定!$B$18:$E$48,4,FALSE)&amp;BK170,坦克属性分配比例,MATCH("升星次数",坦克属性分配比例标头,0),FALSE),BI170+1,BI170)</f>
        <v>18</v>
      </c>
      <c r="BJ171" s="2" t="str">
        <f t="shared" si="28"/>
        <v>潘兴</v>
      </c>
      <c r="BK171" s="29" t="str">
        <f>VLOOKUP(BJ171,坦克个性化细分!$I$3:$J$33,2,FALSE)</f>
        <v>中</v>
      </c>
      <c r="BL171" s="2">
        <f t="shared" si="26"/>
        <v>1</v>
      </c>
      <c r="BM171" s="103">
        <f ca="1">ROUND(VLOOKUP($BJ171&amp;"初始",$S$3:$AE$63,MATCH(BM$3,$S$3:$AE$3,0),FALSE)+((VLOOKUP($BJ171&amp;"最终",$S$3:$AE$63,MATCH(BM$3,$S$3:$AE$3,0),FALSE)*坦克个性化细分!$C$9-VLOOKUP($BJ171&amp;"初始",$S$3:$AE$63,MATCH(BM$3,$S$3:$AE$3,0),FALSE))-(VLOOKUP($BJ171&amp;"最终",$S$3:$AE$63,MATCH(BM$3,$S$3:$AE$3,0),FALSE)-VLOOKUP($BJ171&amp;"初始",$S$3:$AE$63,MATCH(BM$3,$S$3:$AE$3,0),FALSE))*VLOOKUP(VLOOKUP($BJ171,坦克个性化设定!$B$18:$E$48,4,FALSE)&amp;$BK171,坦克属性分配比例,MATCH("部件比例",坦克属性分配比例标头,0),FALSE))*$BL171/VLOOKUP(VLOOKUP($BJ171,坦克个性化设定!$B$18:$E$48,4,FALSE)&amp;$BK171,坦克属性分配比例,MATCH("升星次数",坦克属性分配比例标头,0),FALSE),0)</f>
        <v>1793</v>
      </c>
      <c r="BN171" s="103">
        <f ca="1">ROUND(VLOOKUP($BJ171&amp;"初始",$S$3:$AE$63,MATCH(BN$3,$S$3:$AE$3,0),FALSE)+(VLOOKUP($BJ171&amp;"最终",$S$3:$AE$63,MATCH(BN$3,$S$3:$AE$3,0),FALSE)-VLOOKUP($BJ171&amp;"初始",$S$3:$AE$63,MATCH(BN$3,$S$3:$AE$3,0),FALSE))*$BL171/VLOOKUP(VLOOKUP($BJ171,坦克个性化设定!$B$18:$E$48,4,FALSE)&amp;$BK171,坦克属性分配比例,MATCH("升星次数",坦克属性分配比例标头,0),FALSE)*VLOOKUP(VLOOKUP($BJ171,坦克个性化设定!$B$18:$E$48,4,FALSE)&amp;$BK171,坦克属性分配比例,MATCH("升星比例",坦克属性分配比例标头,0),FALSE),0)</f>
        <v>216</v>
      </c>
      <c r="BO171" s="103">
        <f ca="1">ROUND(VLOOKUP($BJ171&amp;"初始",$S$3:$AE$63,MATCH(BO$3,$S$3:$AE$3,0),FALSE)+(VLOOKUP($BJ171&amp;"最终",$S$3:$AE$63,MATCH(BO$3,$S$3:$AE$3,0),FALSE)-VLOOKUP($BJ171&amp;"初始",$S$3:$AE$63,MATCH(BO$3,$S$3:$AE$3,0),FALSE))*$BL171/VLOOKUP(VLOOKUP($BJ171,坦克个性化设定!$B$18:$E$48,4,FALSE)&amp;$BK171,坦克属性分配比例,MATCH("升星次数",坦克属性分配比例标头,0),FALSE)*(VLOOKUP(VLOOKUP($BJ171,坦克个性化设定!$B$18:$E$48,4,FALSE)&amp;$BK171,坦克属性分配比例,MATCH("升星比例",坦克属性分配比例标头,0),FALSE)+VLOOKUP(VLOOKUP($BJ171,坦克个性化设定!$B$18:$E$48,4,FALSE)&amp;$BK171,坦克属性分配比例,MATCH("部件比例",坦克属性分配比例标头,0),FALSE)*$C$3),0)</f>
        <v>681</v>
      </c>
      <c r="BP171" s="103">
        <f ca="1">ROUND(VLOOKUP($BJ171&amp;"初始",$S$3:$AE$63,MATCH(BP$3,$S$3:$AE$3,0),FALSE)+(VLOOKUP($BJ171&amp;"最终",$S$3:$AE$63,MATCH(BP$3,$S$3:$AE$3,0),FALSE)-VLOOKUP($BJ171&amp;"初始",$S$3:$AE$63,MATCH(BP$3,$S$3:$AE$3,0),FALSE))*$BL171/VLOOKUP(VLOOKUP($BJ171,坦克个性化设定!$B$18:$E$48,4,FALSE)&amp;$BK171,坦克属性分配比例,MATCH("升星次数",坦克属性分配比例标头,0),FALSE)*(VLOOKUP(VLOOKUP($BJ171,坦克个性化设定!$B$18:$E$48,4,FALSE)&amp;$BK171,坦克属性分配比例,MATCH("升星比例",坦克属性分配比例标头,0),FALSE)+VLOOKUP(VLOOKUP($BJ171,坦克个性化设定!$B$18:$E$48,4,FALSE)&amp;$BK171,坦克属性分配比例,MATCH("部件比例",坦克属性分配比例标头,0),FALSE)*$C$3),0)</f>
        <v>511</v>
      </c>
      <c r="BQ171" s="103">
        <f ca="1">ROUND(VLOOKUP($BJ171&amp;"初始",$S$3:$AE$63,MATCH(BQ$3,$S$3:$AE$3,0),FALSE)+(VLOOKUP($BJ171&amp;"最终",$S$3:$AE$63,MATCH(BQ$3,$S$3:$AE$3,0),FALSE)-VLOOKUP($BJ171&amp;"初始",$S$3:$AE$63,MATCH(BQ$3,$S$3:$AE$3,0),FALSE))*$BL171/VLOOKUP(VLOOKUP($BJ171,坦克个性化设定!$B$18:$E$48,4,FALSE)&amp;$BK171,坦克属性分配比例,MATCH("升星次数",坦克属性分配比例标头,0),FALSE)*VLOOKUP(VLOOKUP($BJ171,坦克个性化设定!$B$18:$E$48,4,FALSE)&amp;$BK171,坦克属性分配比例,MATCH("升星比例",坦克属性分配比例标头,0),FALSE),0)</f>
        <v>737</v>
      </c>
      <c r="BR171" s="2">
        <f ca="1">ROUND(VLOOKUP($BJ171&amp;"初始",$S$3:$AE$63,MATCH(BR$3,$S$3:$AE$3,0),FALSE)+(VLOOKUP($BJ171&amp;"最终",$S$3:$AE$63,MATCH(BR$3,$S$3:$AE$3,0),FALSE)-VLOOKUP($BJ171&amp;"初始",$S$3:$AE$63,MATCH(BR$3,$S$3:$AE$3,0),FALSE))*$BL171/VLOOKUP(VLOOKUP($BJ171,坦克个性化设定!$B$18:$E$48,4,FALSE)&amp;$BK171,坦克属性分配比例,MATCH("升星次数",坦克属性分配比例标头,0),FALSE),0)</f>
        <v>181</v>
      </c>
      <c r="BS171" s="2">
        <f>ROUND(VLOOKUP($BJ171,$AI$3:$AO$33,MATCH(BS$3,$AI$3:$AO$3,0),FALSE)+$BL171/VLOOKUP(VLOOKUP($BJ171,坦克个性化设定!$B$18:$E$48,4,FALSE)&amp;$BK171,坦克属性分配比例,MATCH("升星次数",坦克属性分配比例标头,0),FALSE)*VLOOKUP($BJ171,$AR$3:$AY$33,MATCH(BS$3,$AR$3:$AY$3,0),FALSE),1)</f>
        <v>37.1</v>
      </c>
      <c r="BT171" s="2">
        <f>ROUND(VLOOKUP($BJ171,$AI$3:$AO$33,MATCH(BT$3,$AI$3:$AO$3,0),FALSE)+$BL171/VLOOKUP(VLOOKUP($BJ171,坦克个性化设定!$B$18:$E$48,4,FALSE)&amp;$BK171,坦克属性分配比例,MATCH("升星次数",坦克属性分配比例标头,0),FALSE)*VLOOKUP($BJ171,$AR$3:$AY$33,MATCH(BT$3,$AR$3:$AY$3,0),FALSE),1)</f>
        <v>52.2</v>
      </c>
      <c r="BU171" s="2">
        <f>ROUND(VLOOKUP($BJ171,$AI$3:$AO$33,MATCH(BU$3,$AI$3:$AO$3,0),FALSE)+$BL171/VLOOKUP(VLOOKUP($BJ171,坦克个性化设定!$B$18:$E$48,4,FALSE)&amp;$BK171,坦克属性分配比例,MATCH("升星次数",坦克属性分配比例标头,0),FALSE)*VLOOKUP($BJ171,$AR$3:$AY$33,MATCH(BU$3,$AR$3:$AY$3,0),FALSE),1)</f>
        <v>7.3</v>
      </c>
      <c r="BV171" s="2">
        <f>IF(VLOOKUP(BJ171,坦克个性化设定!$B$18:$BC$48,MATCH("装弹类型",坦克个性化设定!$B$18:$BC$18,0),FALSE)="弹夹换弹",0,ROUND(VLOOKUP($BJ171,$AI$3:$AO$33,MATCH("换弹时间",$AI$3:$AO$3,0),FALSE)-$BL171/VLOOKUP(VLOOKUP($BJ171,坦克个性化设定!$B$18:$E$48,4,FALSE)&amp;$BK171,坦克属性分配比例,MATCH("升星次数",坦克属性分配比例标头,0),FALSE)*VLOOKUP($BJ171,$AR$3:$AY$33,MATCH("换弹时间",$AR$3:$AY$3,0),FALSE),2))</f>
        <v>3.54</v>
      </c>
      <c r="BW171" s="2">
        <f>IF(VLOOKUP(BJ171,坦克个性化设定!$B$18:$BC$48,MATCH("装弹类型",坦克个性化设定!$B$18:$BC$18,0),FALSE)="弹夹换弹",ROUND(VLOOKUP($BJ171,$AI$3:$AO$33,MATCH("换弹时间",$AI$3:$AO$3,0),FALSE)-$BL171/VLOOKUP(VLOOKUP($BJ171,坦克个性化设定!$B$18:$E$48,4,FALSE)&amp;$BK171,坦克属性分配比例,MATCH("升星次数",坦克属性分配比例标头,0),FALSE)*VLOOKUP($BJ171,$AR$3:$AY$33,MATCH("换弹时间",$AR$3:$AY$3,0),FALSE),1),0)</f>
        <v>0</v>
      </c>
      <c r="BX171" s="2">
        <f>ROUND(VLOOKUP($BJ171,$AI$3:$AO$33,MATCH(BX$3,$AI$3:$AO$3,0),FALSE)+$BL171/VLOOKUP(VLOOKUP($BJ171,坦克个性化设定!$B$18:$E$48,4,FALSE)&amp;$BK171,坦克属性分配比例,MATCH("升星次数",坦克属性分配比例标头,0),FALSE)*VLOOKUP($BJ171,$AR$3:$AY$33,MATCH(BX$3,$AR$3:$AY$3,0),FALSE),2)</f>
        <v>0.4</v>
      </c>
      <c r="BY171" s="2">
        <f>ROUND(VLOOKUP($BJ171,$AI$3:$AO$33,MATCH(BY$3,$AI$3:$AO$3,0),FALSE)-$BL171/VLOOKUP(VLOOKUP($BJ171,坦克个性化设定!$B$18:$E$48,4,FALSE)&amp;$BK171,坦克属性分配比例,MATCH("升星次数",坦克属性分配比例标头,0),FALSE)*VLOOKUP($BJ171,$AR$3:$AY$33,MATCH(BY$3,$AR$3:$AY$3,0),FALSE),2)</f>
        <v>0.98</v>
      </c>
    </row>
    <row r="172" spans="60:77" x14ac:dyDescent="0.3">
      <c r="BH172" s="2" t="str">
        <f t="shared" si="27"/>
        <v>潘兴2</v>
      </c>
      <c r="BI172" s="2">
        <f>IF(BL171&gt;=VLOOKUP(VLOOKUP(BJ171,坦克个性化设定!$B$18:$E$48,4,FALSE)&amp;BK171,坦克属性分配比例,MATCH("升星次数",坦克属性分配比例标头,0),FALSE),BI171+1,BI171)</f>
        <v>18</v>
      </c>
      <c r="BJ172" s="2" t="str">
        <f t="shared" si="28"/>
        <v>潘兴</v>
      </c>
      <c r="BK172" s="29" t="str">
        <f>VLOOKUP(BJ172,坦克个性化细分!$I$3:$J$33,2,FALSE)</f>
        <v>中</v>
      </c>
      <c r="BL172" s="2">
        <f t="shared" si="26"/>
        <v>2</v>
      </c>
      <c r="BM172" s="103">
        <f ca="1">ROUND(VLOOKUP($BJ172&amp;"初始",$S$3:$AE$63,MATCH(BM$3,$S$3:$AE$3,0),FALSE)+((VLOOKUP($BJ172&amp;"最终",$S$3:$AE$63,MATCH(BM$3,$S$3:$AE$3,0),FALSE)*坦克个性化细分!$C$9-VLOOKUP($BJ172&amp;"初始",$S$3:$AE$63,MATCH(BM$3,$S$3:$AE$3,0),FALSE))-(VLOOKUP($BJ172&amp;"最终",$S$3:$AE$63,MATCH(BM$3,$S$3:$AE$3,0),FALSE)-VLOOKUP($BJ172&amp;"初始",$S$3:$AE$63,MATCH(BM$3,$S$3:$AE$3,0),FALSE))*VLOOKUP(VLOOKUP($BJ172,坦克个性化设定!$B$18:$E$48,4,FALSE)&amp;$BK172,坦克属性分配比例,MATCH("部件比例",坦克属性分配比例标头,0),FALSE))*$BL172/VLOOKUP(VLOOKUP($BJ172,坦克个性化设定!$B$18:$E$48,4,FALSE)&amp;$BK172,坦克属性分配比例,MATCH("升星次数",坦克属性分配比例标头,0),FALSE),0)</f>
        <v>1869</v>
      </c>
      <c r="BN172" s="103">
        <f ca="1">ROUND(VLOOKUP($BJ172&amp;"初始",$S$3:$AE$63,MATCH(BN$3,$S$3:$AE$3,0),FALSE)+(VLOOKUP($BJ172&amp;"最终",$S$3:$AE$63,MATCH(BN$3,$S$3:$AE$3,0),FALSE)-VLOOKUP($BJ172&amp;"初始",$S$3:$AE$63,MATCH(BN$3,$S$3:$AE$3,0),FALSE))*$BL172/VLOOKUP(VLOOKUP($BJ172,坦克个性化设定!$B$18:$E$48,4,FALSE)&amp;$BK172,坦克属性分配比例,MATCH("升星次数",坦克属性分配比例标头,0),FALSE)*VLOOKUP(VLOOKUP($BJ172,坦克个性化设定!$B$18:$E$48,4,FALSE)&amp;$BK172,坦克属性分配比例,MATCH("升星比例",坦克属性分配比例标头,0),FALSE),0)</f>
        <v>221</v>
      </c>
      <c r="BO172" s="103">
        <f ca="1">ROUND(VLOOKUP($BJ172&amp;"初始",$S$3:$AE$63,MATCH(BO$3,$S$3:$AE$3,0),FALSE)+(VLOOKUP($BJ172&amp;"最终",$S$3:$AE$63,MATCH(BO$3,$S$3:$AE$3,0),FALSE)-VLOOKUP($BJ172&amp;"初始",$S$3:$AE$63,MATCH(BO$3,$S$3:$AE$3,0),FALSE))*$BL172/VLOOKUP(VLOOKUP($BJ172,坦克个性化设定!$B$18:$E$48,4,FALSE)&amp;$BK172,坦克属性分配比例,MATCH("升星次数",坦克属性分配比例标头,0),FALSE)*(VLOOKUP(VLOOKUP($BJ172,坦克个性化设定!$B$18:$E$48,4,FALSE)&amp;$BK172,坦克属性分配比例,MATCH("升星比例",坦克属性分配比例标头,0),FALSE)+VLOOKUP(VLOOKUP($BJ172,坦克个性化设定!$B$18:$E$48,4,FALSE)&amp;$BK172,坦克属性分配比例,MATCH("部件比例",坦克属性分配比例标头,0),FALSE)*$C$3),0)</f>
        <v>704</v>
      </c>
      <c r="BP172" s="103">
        <f ca="1">ROUND(VLOOKUP($BJ172&amp;"初始",$S$3:$AE$63,MATCH(BP$3,$S$3:$AE$3,0),FALSE)+(VLOOKUP($BJ172&amp;"最终",$S$3:$AE$63,MATCH(BP$3,$S$3:$AE$3,0),FALSE)-VLOOKUP($BJ172&amp;"初始",$S$3:$AE$63,MATCH(BP$3,$S$3:$AE$3,0),FALSE))*$BL172/VLOOKUP(VLOOKUP($BJ172,坦克个性化设定!$B$18:$E$48,4,FALSE)&amp;$BK172,坦克属性分配比例,MATCH("升星次数",坦克属性分配比例标头,0),FALSE)*(VLOOKUP(VLOOKUP($BJ172,坦克个性化设定!$B$18:$E$48,4,FALSE)&amp;$BK172,坦克属性分配比例,MATCH("升星比例",坦克属性分配比例标头,0),FALSE)+VLOOKUP(VLOOKUP($BJ172,坦克个性化设定!$B$18:$E$48,4,FALSE)&amp;$BK172,坦克属性分配比例,MATCH("部件比例",坦克属性分配比例标头,0),FALSE)*$C$3),0)</f>
        <v>528</v>
      </c>
      <c r="BQ172" s="103">
        <f ca="1">ROUND(VLOOKUP($BJ172&amp;"初始",$S$3:$AE$63,MATCH(BQ$3,$S$3:$AE$3,0),FALSE)+(VLOOKUP($BJ172&amp;"最终",$S$3:$AE$63,MATCH(BQ$3,$S$3:$AE$3,0),FALSE)-VLOOKUP($BJ172&amp;"初始",$S$3:$AE$63,MATCH(BQ$3,$S$3:$AE$3,0),FALSE))*$BL172/VLOOKUP(VLOOKUP($BJ172,坦克个性化设定!$B$18:$E$48,4,FALSE)&amp;$BK172,坦克属性分配比例,MATCH("升星次数",坦克属性分配比例标头,0),FALSE)*VLOOKUP(VLOOKUP($BJ172,坦克个性化设定!$B$18:$E$48,4,FALSE)&amp;$BK172,坦克属性分配比例,MATCH("升星比例",坦克属性分配比例标头,0),FALSE),0)</f>
        <v>755</v>
      </c>
      <c r="BR172" s="2">
        <f ca="1">ROUND(VLOOKUP($BJ172&amp;"初始",$S$3:$AE$63,MATCH(BR$3,$S$3:$AE$3,0),FALSE)+(VLOOKUP($BJ172&amp;"最终",$S$3:$AE$63,MATCH(BR$3,$S$3:$AE$3,0),FALSE)-VLOOKUP($BJ172&amp;"初始",$S$3:$AE$63,MATCH(BR$3,$S$3:$AE$3,0),FALSE))*$BL172/VLOOKUP(VLOOKUP($BJ172,坦克个性化设定!$B$18:$E$48,4,FALSE)&amp;$BK172,坦克属性分配比例,MATCH("升星次数",坦克属性分配比例标头,0),FALSE),0)</f>
        <v>188</v>
      </c>
      <c r="BS172" s="2">
        <f>ROUND(VLOOKUP($BJ172,$AI$3:$AO$33,MATCH(BS$3,$AI$3:$AO$3,0),FALSE)+$BL172/VLOOKUP(VLOOKUP($BJ172,坦克个性化设定!$B$18:$E$48,4,FALSE)&amp;$BK172,坦克属性分配比例,MATCH("升星次数",坦克属性分配比例标头,0),FALSE)*VLOOKUP($BJ172,$AR$3:$AY$33,MATCH(BS$3,$AR$3:$AY$3,0),FALSE),1)</f>
        <v>38</v>
      </c>
      <c r="BT172" s="2">
        <f>ROUND(VLOOKUP($BJ172,$AI$3:$AO$33,MATCH(BT$3,$AI$3:$AO$3,0),FALSE)+$BL172/VLOOKUP(VLOOKUP($BJ172,坦克个性化设定!$B$18:$E$48,4,FALSE)&amp;$BK172,坦克属性分配比例,MATCH("升星次数",坦克属性分配比例标头,0),FALSE)*VLOOKUP($BJ172,$AR$3:$AY$33,MATCH(BT$3,$AR$3:$AY$3,0),FALSE),1)</f>
        <v>53.3</v>
      </c>
      <c r="BU172" s="2">
        <f>ROUND(VLOOKUP($BJ172,$AI$3:$AO$33,MATCH(BU$3,$AI$3:$AO$3,0),FALSE)+$BL172/VLOOKUP(VLOOKUP($BJ172,坦克个性化设定!$B$18:$E$48,4,FALSE)&amp;$BK172,坦克属性分配比例,MATCH("升星次数",坦克属性分配比例标头,0),FALSE)*VLOOKUP($BJ172,$AR$3:$AY$33,MATCH(BU$3,$AR$3:$AY$3,0),FALSE),1)</f>
        <v>7.3</v>
      </c>
      <c r="BV172" s="2">
        <f>IF(VLOOKUP(BJ172,坦克个性化设定!$B$18:$BC$48,MATCH("装弹类型",坦克个性化设定!$B$18:$BC$18,0),FALSE)="弹夹换弹",0,ROUND(VLOOKUP($BJ172,$AI$3:$AO$33,MATCH("换弹时间",$AI$3:$AO$3,0),FALSE)-$BL172/VLOOKUP(VLOOKUP($BJ172,坦克个性化设定!$B$18:$E$48,4,FALSE)&amp;$BK172,坦克属性分配比例,MATCH("升星次数",坦克属性分配比例标头,0),FALSE)*VLOOKUP($BJ172,$AR$3:$AY$33,MATCH("换弹时间",$AR$3:$AY$3,0),FALSE),2))</f>
        <v>3.47</v>
      </c>
      <c r="BW172" s="2">
        <f>IF(VLOOKUP(BJ172,坦克个性化设定!$B$18:$BC$48,MATCH("装弹类型",坦克个性化设定!$B$18:$BC$18,0),FALSE)="弹夹换弹",ROUND(VLOOKUP($BJ172,$AI$3:$AO$33,MATCH("换弹时间",$AI$3:$AO$3,0),FALSE)-$BL172/VLOOKUP(VLOOKUP($BJ172,坦克个性化设定!$B$18:$E$48,4,FALSE)&amp;$BK172,坦克属性分配比例,MATCH("升星次数",坦克属性分配比例标头,0),FALSE)*VLOOKUP($BJ172,$AR$3:$AY$33,MATCH("换弹时间",$AR$3:$AY$3,0),FALSE),1),0)</f>
        <v>0</v>
      </c>
      <c r="BX172" s="2">
        <f>ROUND(VLOOKUP($BJ172,$AI$3:$AO$33,MATCH(BX$3,$AI$3:$AO$3,0),FALSE)+$BL172/VLOOKUP(VLOOKUP($BJ172,坦克个性化设定!$B$18:$E$48,4,FALSE)&amp;$BK172,坦克属性分配比例,MATCH("升星次数",坦克属性分配比例标头,0),FALSE)*VLOOKUP($BJ172,$AR$3:$AY$33,MATCH(BX$3,$AR$3:$AY$3,0),FALSE),2)</f>
        <v>0.4</v>
      </c>
      <c r="BY172" s="2">
        <f>ROUND(VLOOKUP($BJ172,$AI$3:$AO$33,MATCH(BY$3,$AI$3:$AO$3,0),FALSE)-$BL172/VLOOKUP(VLOOKUP($BJ172,坦克个性化设定!$B$18:$E$48,4,FALSE)&amp;$BK172,坦克属性分配比例,MATCH("升星次数",坦克属性分配比例标头,0),FALSE)*VLOOKUP($BJ172,$AR$3:$AY$33,MATCH(BY$3,$AR$3:$AY$3,0),FALSE),2)</f>
        <v>0.97</v>
      </c>
    </row>
    <row r="173" spans="60:77" x14ac:dyDescent="0.3">
      <c r="BH173" s="2" t="str">
        <f t="shared" si="27"/>
        <v>潘兴3</v>
      </c>
      <c r="BI173" s="2">
        <f>IF(BL172&gt;=VLOOKUP(VLOOKUP(BJ172,坦克个性化设定!$B$18:$E$48,4,FALSE)&amp;BK172,坦克属性分配比例,MATCH("升星次数",坦克属性分配比例标头,0),FALSE),BI172+1,BI172)</f>
        <v>18</v>
      </c>
      <c r="BJ173" s="2" t="str">
        <f t="shared" si="28"/>
        <v>潘兴</v>
      </c>
      <c r="BK173" s="29" t="str">
        <f>VLOOKUP(BJ173,坦克个性化细分!$I$3:$J$33,2,FALSE)</f>
        <v>中</v>
      </c>
      <c r="BL173" s="2">
        <f t="shared" si="26"/>
        <v>3</v>
      </c>
      <c r="BM173" s="103">
        <f ca="1">ROUND(VLOOKUP($BJ173&amp;"初始",$S$3:$AE$63,MATCH(BM$3,$S$3:$AE$3,0),FALSE)+((VLOOKUP($BJ173&amp;"最终",$S$3:$AE$63,MATCH(BM$3,$S$3:$AE$3,0),FALSE)*坦克个性化细分!$C$9-VLOOKUP($BJ173&amp;"初始",$S$3:$AE$63,MATCH(BM$3,$S$3:$AE$3,0),FALSE))-(VLOOKUP($BJ173&amp;"最终",$S$3:$AE$63,MATCH(BM$3,$S$3:$AE$3,0),FALSE)-VLOOKUP($BJ173&amp;"初始",$S$3:$AE$63,MATCH(BM$3,$S$3:$AE$3,0),FALSE))*VLOOKUP(VLOOKUP($BJ173,坦克个性化设定!$B$18:$E$48,4,FALSE)&amp;$BK173,坦克属性分配比例,MATCH("部件比例",坦克属性分配比例标头,0),FALSE))*$BL173/VLOOKUP(VLOOKUP($BJ173,坦克个性化设定!$B$18:$E$48,4,FALSE)&amp;$BK173,坦克属性分配比例,MATCH("升星次数",坦克属性分配比例标头,0),FALSE),0)</f>
        <v>1945</v>
      </c>
      <c r="BN173" s="103">
        <f ca="1">ROUND(VLOOKUP($BJ173&amp;"初始",$S$3:$AE$63,MATCH(BN$3,$S$3:$AE$3,0),FALSE)+(VLOOKUP($BJ173&amp;"最终",$S$3:$AE$63,MATCH(BN$3,$S$3:$AE$3,0),FALSE)-VLOOKUP($BJ173&amp;"初始",$S$3:$AE$63,MATCH(BN$3,$S$3:$AE$3,0),FALSE))*$BL173/VLOOKUP(VLOOKUP($BJ173,坦克个性化设定!$B$18:$E$48,4,FALSE)&amp;$BK173,坦克属性分配比例,MATCH("升星次数",坦克属性分配比例标头,0),FALSE)*VLOOKUP(VLOOKUP($BJ173,坦克个性化设定!$B$18:$E$48,4,FALSE)&amp;$BK173,坦克属性分配比例,MATCH("升星比例",坦克属性分配比例标头,0),FALSE),0)</f>
        <v>226</v>
      </c>
      <c r="BO173" s="103">
        <f ca="1">ROUND(VLOOKUP($BJ173&amp;"初始",$S$3:$AE$63,MATCH(BO$3,$S$3:$AE$3,0),FALSE)+(VLOOKUP($BJ173&amp;"最终",$S$3:$AE$63,MATCH(BO$3,$S$3:$AE$3,0),FALSE)-VLOOKUP($BJ173&amp;"初始",$S$3:$AE$63,MATCH(BO$3,$S$3:$AE$3,0),FALSE))*$BL173/VLOOKUP(VLOOKUP($BJ173,坦克个性化设定!$B$18:$E$48,4,FALSE)&amp;$BK173,坦克属性分配比例,MATCH("升星次数",坦克属性分配比例标头,0),FALSE)*(VLOOKUP(VLOOKUP($BJ173,坦克个性化设定!$B$18:$E$48,4,FALSE)&amp;$BK173,坦克属性分配比例,MATCH("升星比例",坦克属性分配比例标头,0),FALSE)+VLOOKUP(VLOOKUP($BJ173,坦克个性化设定!$B$18:$E$48,4,FALSE)&amp;$BK173,坦克属性分配比例,MATCH("部件比例",坦克属性分配比例标头,0),FALSE)*$C$3),0)</f>
        <v>728</v>
      </c>
      <c r="BP173" s="103">
        <f ca="1">ROUND(VLOOKUP($BJ173&amp;"初始",$S$3:$AE$63,MATCH(BP$3,$S$3:$AE$3,0),FALSE)+(VLOOKUP($BJ173&amp;"最终",$S$3:$AE$63,MATCH(BP$3,$S$3:$AE$3,0),FALSE)-VLOOKUP($BJ173&amp;"初始",$S$3:$AE$63,MATCH(BP$3,$S$3:$AE$3,0),FALSE))*$BL173/VLOOKUP(VLOOKUP($BJ173,坦克个性化设定!$B$18:$E$48,4,FALSE)&amp;$BK173,坦克属性分配比例,MATCH("升星次数",坦克属性分配比例标头,0),FALSE)*(VLOOKUP(VLOOKUP($BJ173,坦克个性化设定!$B$18:$E$48,4,FALSE)&amp;$BK173,坦克属性分配比例,MATCH("升星比例",坦克属性分配比例标头,0),FALSE)+VLOOKUP(VLOOKUP($BJ173,坦克个性化设定!$B$18:$E$48,4,FALSE)&amp;$BK173,坦克属性分配比例,MATCH("部件比例",坦克属性分配比例标头,0),FALSE)*$C$3),0)</f>
        <v>546</v>
      </c>
      <c r="BQ173" s="103">
        <f ca="1">ROUND(VLOOKUP($BJ173&amp;"初始",$S$3:$AE$63,MATCH(BQ$3,$S$3:$AE$3,0),FALSE)+(VLOOKUP($BJ173&amp;"最终",$S$3:$AE$63,MATCH(BQ$3,$S$3:$AE$3,0),FALSE)-VLOOKUP($BJ173&amp;"初始",$S$3:$AE$63,MATCH(BQ$3,$S$3:$AE$3,0),FALSE))*$BL173/VLOOKUP(VLOOKUP($BJ173,坦克个性化设定!$B$18:$E$48,4,FALSE)&amp;$BK173,坦克属性分配比例,MATCH("升星次数",坦克属性分配比例标头,0),FALSE)*VLOOKUP(VLOOKUP($BJ173,坦克个性化设定!$B$18:$E$48,4,FALSE)&amp;$BK173,坦克属性分配比例,MATCH("升星比例",坦克属性分配比例标头,0),FALSE),0)</f>
        <v>772</v>
      </c>
      <c r="BR173" s="2">
        <f ca="1">ROUND(VLOOKUP($BJ173&amp;"初始",$S$3:$AE$63,MATCH(BR$3,$S$3:$AE$3,0),FALSE)+(VLOOKUP($BJ173&amp;"最终",$S$3:$AE$63,MATCH(BR$3,$S$3:$AE$3,0),FALSE)-VLOOKUP($BJ173&amp;"初始",$S$3:$AE$63,MATCH(BR$3,$S$3:$AE$3,0),FALSE))*$BL173/VLOOKUP(VLOOKUP($BJ173,坦克个性化设定!$B$18:$E$48,4,FALSE)&amp;$BK173,坦克属性分配比例,MATCH("升星次数",坦克属性分配比例标头,0),FALSE),0)</f>
        <v>196</v>
      </c>
      <c r="BS173" s="2">
        <f>ROUND(VLOOKUP($BJ173,$AI$3:$AO$33,MATCH(BS$3,$AI$3:$AO$3,0),FALSE)+$BL173/VLOOKUP(VLOOKUP($BJ173,坦克个性化设定!$B$18:$E$48,4,FALSE)&amp;$BK173,坦克属性分配比例,MATCH("升星次数",坦克属性分配比例标头,0),FALSE)*VLOOKUP($BJ173,$AR$3:$AY$33,MATCH(BS$3,$AR$3:$AY$3,0),FALSE),1)</f>
        <v>38.799999999999997</v>
      </c>
      <c r="BT173" s="2">
        <f>ROUND(VLOOKUP($BJ173,$AI$3:$AO$33,MATCH(BT$3,$AI$3:$AO$3,0),FALSE)+$BL173/VLOOKUP(VLOOKUP($BJ173,坦克个性化设定!$B$18:$E$48,4,FALSE)&amp;$BK173,坦克属性分配比例,MATCH("升星次数",坦克属性分配比例标头,0),FALSE)*VLOOKUP($BJ173,$AR$3:$AY$33,MATCH(BT$3,$AR$3:$AY$3,0),FALSE),1)</f>
        <v>54.5</v>
      </c>
      <c r="BU173" s="2">
        <f>ROUND(VLOOKUP($BJ173,$AI$3:$AO$33,MATCH(BU$3,$AI$3:$AO$3,0),FALSE)+$BL173/VLOOKUP(VLOOKUP($BJ173,坦克个性化设定!$B$18:$E$48,4,FALSE)&amp;$BK173,坦克属性分配比例,MATCH("升星次数",坦克属性分配比例标头,0),FALSE)*VLOOKUP($BJ173,$AR$3:$AY$33,MATCH(BU$3,$AR$3:$AY$3,0),FALSE),1)</f>
        <v>7.3</v>
      </c>
      <c r="BV173" s="2">
        <f>IF(VLOOKUP(BJ173,坦克个性化设定!$B$18:$BC$48,MATCH("装弹类型",坦克个性化设定!$B$18:$BC$18,0),FALSE)="弹夹换弹",0,ROUND(VLOOKUP($BJ173,$AI$3:$AO$33,MATCH("换弹时间",$AI$3:$AO$3,0),FALSE)-$BL173/VLOOKUP(VLOOKUP($BJ173,坦克个性化设定!$B$18:$E$48,4,FALSE)&amp;$BK173,坦克属性分配比例,MATCH("升星次数",坦克属性分配比例标头,0),FALSE)*VLOOKUP($BJ173,$AR$3:$AY$33,MATCH("换弹时间",$AR$3:$AY$3,0),FALSE),2))</f>
        <v>3.41</v>
      </c>
      <c r="BW173" s="2">
        <f>IF(VLOOKUP(BJ173,坦克个性化设定!$B$18:$BC$48,MATCH("装弹类型",坦克个性化设定!$B$18:$BC$18,0),FALSE)="弹夹换弹",ROUND(VLOOKUP($BJ173,$AI$3:$AO$33,MATCH("换弹时间",$AI$3:$AO$3,0),FALSE)-$BL173/VLOOKUP(VLOOKUP($BJ173,坦克个性化设定!$B$18:$E$48,4,FALSE)&amp;$BK173,坦克属性分配比例,MATCH("升星次数",坦克属性分配比例标头,0),FALSE)*VLOOKUP($BJ173,$AR$3:$AY$33,MATCH("换弹时间",$AR$3:$AY$3,0),FALSE),1),0)</f>
        <v>0</v>
      </c>
      <c r="BX173" s="2">
        <f>ROUND(VLOOKUP($BJ173,$AI$3:$AO$33,MATCH(BX$3,$AI$3:$AO$3,0),FALSE)+$BL173/VLOOKUP(VLOOKUP($BJ173,坦克个性化设定!$B$18:$E$48,4,FALSE)&amp;$BK173,坦克属性分配比例,MATCH("升星次数",坦克属性分配比例标头,0),FALSE)*VLOOKUP($BJ173,$AR$3:$AY$33,MATCH(BX$3,$AR$3:$AY$3,0),FALSE),2)</f>
        <v>0.4</v>
      </c>
      <c r="BY173" s="2">
        <f>ROUND(VLOOKUP($BJ173,$AI$3:$AO$33,MATCH(BY$3,$AI$3:$AO$3,0),FALSE)-$BL173/VLOOKUP(VLOOKUP($BJ173,坦克个性化设定!$B$18:$E$48,4,FALSE)&amp;$BK173,坦克属性分配比例,MATCH("升星次数",坦克属性分配比例标头,0),FALSE)*VLOOKUP($BJ173,$AR$3:$AY$33,MATCH(BY$3,$AR$3:$AY$3,0),FALSE),2)</f>
        <v>0.95</v>
      </c>
    </row>
    <row r="174" spans="60:77" x14ac:dyDescent="0.3">
      <c r="BH174" s="2" t="str">
        <f t="shared" si="27"/>
        <v>潘兴4</v>
      </c>
      <c r="BI174" s="2">
        <f>IF(BL173&gt;=VLOOKUP(VLOOKUP(BJ173,坦克个性化设定!$B$18:$E$48,4,FALSE)&amp;BK173,坦克属性分配比例,MATCH("升星次数",坦克属性分配比例标头,0),FALSE),BI173+1,BI173)</f>
        <v>18</v>
      </c>
      <c r="BJ174" s="2" t="str">
        <f t="shared" si="28"/>
        <v>潘兴</v>
      </c>
      <c r="BK174" s="29" t="str">
        <f>VLOOKUP(BJ174,坦克个性化细分!$I$3:$J$33,2,FALSE)</f>
        <v>中</v>
      </c>
      <c r="BL174" s="2">
        <f t="shared" si="26"/>
        <v>4</v>
      </c>
      <c r="BM174" s="103">
        <f ca="1">ROUND(VLOOKUP($BJ174&amp;"初始",$S$3:$AE$63,MATCH(BM$3,$S$3:$AE$3,0),FALSE)+((VLOOKUP($BJ174&amp;"最终",$S$3:$AE$63,MATCH(BM$3,$S$3:$AE$3,0),FALSE)*坦克个性化细分!$C$9-VLOOKUP($BJ174&amp;"初始",$S$3:$AE$63,MATCH(BM$3,$S$3:$AE$3,0),FALSE))-(VLOOKUP($BJ174&amp;"最终",$S$3:$AE$63,MATCH(BM$3,$S$3:$AE$3,0),FALSE)-VLOOKUP($BJ174&amp;"初始",$S$3:$AE$63,MATCH(BM$3,$S$3:$AE$3,0),FALSE))*VLOOKUP(VLOOKUP($BJ174,坦克个性化设定!$B$18:$E$48,4,FALSE)&amp;$BK174,坦克属性分配比例,MATCH("部件比例",坦克属性分配比例标头,0),FALSE))*$BL174/VLOOKUP(VLOOKUP($BJ174,坦克个性化设定!$B$18:$E$48,4,FALSE)&amp;$BK174,坦克属性分配比例,MATCH("升星次数",坦克属性分配比例标头,0),FALSE),0)</f>
        <v>2021</v>
      </c>
      <c r="BN174" s="103">
        <f ca="1">ROUND(VLOOKUP($BJ174&amp;"初始",$S$3:$AE$63,MATCH(BN$3,$S$3:$AE$3,0),FALSE)+(VLOOKUP($BJ174&amp;"最终",$S$3:$AE$63,MATCH(BN$3,$S$3:$AE$3,0),FALSE)-VLOOKUP($BJ174&amp;"初始",$S$3:$AE$63,MATCH(BN$3,$S$3:$AE$3,0),FALSE))*$BL174/VLOOKUP(VLOOKUP($BJ174,坦克个性化设定!$B$18:$E$48,4,FALSE)&amp;$BK174,坦克属性分配比例,MATCH("升星次数",坦克属性分配比例标头,0),FALSE)*VLOOKUP(VLOOKUP($BJ174,坦克个性化设定!$B$18:$E$48,4,FALSE)&amp;$BK174,坦克属性分配比例,MATCH("升星比例",坦克属性分配比例标头,0),FALSE),0)</f>
        <v>231</v>
      </c>
      <c r="BO174" s="103">
        <f ca="1">ROUND(VLOOKUP($BJ174&amp;"初始",$S$3:$AE$63,MATCH(BO$3,$S$3:$AE$3,0),FALSE)+(VLOOKUP($BJ174&amp;"最终",$S$3:$AE$63,MATCH(BO$3,$S$3:$AE$3,0),FALSE)-VLOOKUP($BJ174&amp;"初始",$S$3:$AE$63,MATCH(BO$3,$S$3:$AE$3,0),FALSE))*$BL174/VLOOKUP(VLOOKUP($BJ174,坦克个性化设定!$B$18:$E$48,4,FALSE)&amp;$BK174,坦克属性分配比例,MATCH("升星次数",坦克属性分配比例标头,0),FALSE)*(VLOOKUP(VLOOKUP($BJ174,坦克个性化设定!$B$18:$E$48,4,FALSE)&amp;$BK174,坦克属性分配比例,MATCH("升星比例",坦克属性分配比例标头,0),FALSE)+VLOOKUP(VLOOKUP($BJ174,坦克个性化设定!$B$18:$E$48,4,FALSE)&amp;$BK174,坦克属性分配比例,MATCH("部件比例",坦克属性分配比例标头,0),FALSE)*$C$3),0)</f>
        <v>751</v>
      </c>
      <c r="BP174" s="103">
        <f ca="1">ROUND(VLOOKUP($BJ174&amp;"初始",$S$3:$AE$63,MATCH(BP$3,$S$3:$AE$3,0),FALSE)+(VLOOKUP($BJ174&amp;"最终",$S$3:$AE$63,MATCH(BP$3,$S$3:$AE$3,0),FALSE)-VLOOKUP($BJ174&amp;"初始",$S$3:$AE$63,MATCH(BP$3,$S$3:$AE$3,0),FALSE))*$BL174/VLOOKUP(VLOOKUP($BJ174,坦克个性化设定!$B$18:$E$48,4,FALSE)&amp;$BK174,坦克属性分配比例,MATCH("升星次数",坦克属性分配比例标头,0),FALSE)*(VLOOKUP(VLOOKUP($BJ174,坦克个性化设定!$B$18:$E$48,4,FALSE)&amp;$BK174,坦克属性分配比例,MATCH("升星比例",坦克属性分配比例标头,0),FALSE)+VLOOKUP(VLOOKUP($BJ174,坦克个性化设定!$B$18:$E$48,4,FALSE)&amp;$BK174,坦克属性分配比例,MATCH("部件比例",坦克属性分配比例标头,0),FALSE)*$C$3),0)</f>
        <v>563</v>
      </c>
      <c r="BQ174" s="103">
        <f ca="1">ROUND(VLOOKUP($BJ174&amp;"初始",$S$3:$AE$63,MATCH(BQ$3,$S$3:$AE$3,0),FALSE)+(VLOOKUP($BJ174&amp;"最终",$S$3:$AE$63,MATCH(BQ$3,$S$3:$AE$3,0),FALSE)-VLOOKUP($BJ174&amp;"初始",$S$3:$AE$63,MATCH(BQ$3,$S$3:$AE$3,0),FALSE))*$BL174/VLOOKUP(VLOOKUP($BJ174,坦克个性化设定!$B$18:$E$48,4,FALSE)&amp;$BK174,坦克属性分配比例,MATCH("升星次数",坦克属性分配比例标头,0),FALSE)*VLOOKUP(VLOOKUP($BJ174,坦克个性化设定!$B$18:$E$48,4,FALSE)&amp;$BK174,坦克属性分配比例,MATCH("升星比例",坦克属性分配比例标头,0),FALSE),0)</f>
        <v>789</v>
      </c>
      <c r="BR174" s="2">
        <f ca="1">ROUND(VLOOKUP($BJ174&amp;"初始",$S$3:$AE$63,MATCH(BR$3,$S$3:$AE$3,0),FALSE)+(VLOOKUP($BJ174&amp;"最终",$S$3:$AE$63,MATCH(BR$3,$S$3:$AE$3,0),FALSE)-VLOOKUP($BJ174&amp;"初始",$S$3:$AE$63,MATCH(BR$3,$S$3:$AE$3,0),FALSE))*$BL174/VLOOKUP(VLOOKUP($BJ174,坦克个性化设定!$B$18:$E$48,4,FALSE)&amp;$BK174,坦克属性分配比例,MATCH("升星次数",坦克属性分配比例标头,0),FALSE),0)</f>
        <v>203</v>
      </c>
      <c r="BS174" s="2">
        <f>ROUND(VLOOKUP($BJ174,$AI$3:$AO$33,MATCH(BS$3,$AI$3:$AO$3,0),FALSE)+$BL174/VLOOKUP(VLOOKUP($BJ174,坦克个性化设定!$B$18:$E$48,4,FALSE)&amp;$BK174,坦克属性分配比例,MATCH("升星次数",坦克属性分配比例标头,0),FALSE)*VLOOKUP($BJ174,$AR$3:$AY$33,MATCH(BS$3,$AR$3:$AY$3,0),FALSE),1)</f>
        <v>39.6</v>
      </c>
      <c r="BT174" s="2">
        <f>ROUND(VLOOKUP($BJ174,$AI$3:$AO$33,MATCH(BT$3,$AI$3:$AO$3,0),FALSE)+$BL174/VLOOKUP(VLOOKUP($BJ174,坦克个性化设定!$B$18:$E$48,4,FALSE)&amp;$BK174,坦克属性分配比例,MATCH("升星次数",坦克属性分配比例标头,0),FALSE)*VLOOKUP($BJ174,$AR$3:$AY$33,MATCH(BT$3,$AR$3:$AY$3,0),FALSE),1)</f>
        <v>55.6</v>
      </c>
      <c r="BU174" s="2">
        <f>ROUND(VLOOKUP($BJ174,$AI$3:$AO$33,MATCH(BU$3,$AI$3:$AO$3,0),FALSE)+$BL174/VLOOKUP(VLOOKUP($BJ174,坦克个性化设定!$B$18:$E$48,4,FALSE)&amp;$BK174,坦克属性分配比例,MATCH("升星次数",坦克属性分配比例标头,0),FALSE)*VLOOKUP($BJ174,$AR$3:$AY$33,MATCH(BU$3,$AR$3:$AY$3,0),FALSE),1)</f>
        <v>7.3</v>
      </c>
      <c r="BV174" s="2">
        <f>IF(VLOOKUP(BJ174,坦克个性化设定!$B$18:$BC$48,MATCH("装弹类型",坦克个性化设定!$B$18:$BC$18,0),FALSE)="弹夹换弹",0,ROUND(VLOOKUP($BJ174,$AI$3:$AO$33,MATCH("换弹时间",$AI$3:$AO$3,0),FALSE)-$BL174/VLOOKUP(VLOOKUP($BJ174,坦克个性化设定!$B$18:$E$48,4,FALSE)&amp;$BK174,坦克属性分配比例,MATCH("升星次数",坦克属性分配比例标头,0),FALSE)*VLOOKUP($BJ174,$AR$3:$AY$33,MATCH("换弹时间",$AR$3:$AY$3,0),FALSE),2))</f>
        <v>3.35</v>
      </c>
      <c r="BW174" s="2">
        <f>IF(VLOOKUP(BJ174,坦克个性化设定!$B$18:$BC$48,MATCH("装弹类型",坦克个性化设定!$B$18:$BC$18,0),FALSE)="弹夹换弹",ROUND(VLOOKUP($BJ174,$AI$3:$AO$33,MATCH("换弹时间",$AI$3:$AO$3,0),FALSE)-$BL174/VLOOKUP(VLOOKUP($BJ174,坦克个性化设定!$B$18:$E$48,4,FALSE)&amp;$BK174,坦克属性分配比例,MATCH("升星次数",坦克属性分配比例标头,0),FALSE)*VLOOKUP($BJ174,$AR$3:$AY$33,MATCH("换弹时间",$AR$3:$AY$3,0),FALSE),1),0)</f>
        <v>0</v>
      </c>
      <c r="BX174" s="2">
        <f>ROUND(VLOOKUP($BJ174,$AI$3:$AO$33,MATCH(BX$3,$AI$3:$AO$3,0),FALSE)+$BL174/VLOOKUP(VLOOKUP($BJ174,坦克个性化设定!$B$18:$E$48,4,FALSE)&amp;$BK174,坦克属性分配比例,MATCH("升星次数",坦克属性分配比例标头,0),FALSE)*VLOOKUP($BJ174,$AR$3:$AY$33,MATCH(BX$3,$AR$3:$AY$3,0),FALSE),2)</f>
        <v>0.4</v>
      </c>
      <c r="BY174" s="2">
        <f>ROUND(VLOOKUP($BJ174,$AI$3:$AO$33,MATCH(BY$3,$AI$3:$AO$3,0),FALSE)-$BL174/VLOOKUP(VLOOKUP($BJ174,坦克个性化设定!$B$18:$E$48,4,FALSE)&amp;$BK174,坦克属性分配比例,MATCH("升星次数",坦克属性分配比例标头,0),FALSE)*VLOOKUP($BJ174,$AR$3:$AY$33,MATCH(BY$3,$AR$3:$AY$3,0),FALSE),2)</f>
        <v>0.94</v>
      </c>
    </row>
    <row r="175" spans="60:77" x14ac:dyDescent="0.3">
      <c r="BH175" s="2" t="str">
        <f t="shared" si="27"/>
        <v>潘兴5</v>
      </c>
      <c r="BI175" s="2">
        <f>IF(BL174&gt;=VLOOKUP(VLOOKUP(BJ174,坦克个性化设定!$B$18:$E$48,4,FALSE)&amp;BK174,坦克属性分配比例,MATCH("升星次数",坦克属性分配比例标头,0),FALSE),BI174+1,BI174)</f>
        <v>18</v>
      </c>
      <c r="BJ175" s="2" t="str">
        <f t="shared" si="28"/>
        <v>潘兴</v>
      </c>
      <c r="BK175" s="29" t="str">
        <f>VLOOKUP(BJ175,坦克个性化细分!$I$3:$J$33,2,FALSE)</f>
        <v>中</v>
      </c>
      <c r="BL175" s="2">
        <f t="shared" si="26"/>
        <v>5</v>
      </c>
      <c r="BM175" s="103">
        <f ca="1">ROUND(VLOOKUP($BJ175&amp;"初始",$S$3:$AE$63,MATCH(BM$3,$S$3:$AE$3,0),FALSE)+((VLOOKUP($BJ175&amp;"最终",$S$3:$AE$63,MATCH(BM$3,$S$3:$AE$3,0),FALSE)*坦克个性化细分!$C$9-VLOOKUP($BJ175&amp;"初始",$S$3:$AE$63,MATCH(BM$3,$S$3:$AE$3,0),FALSE))-(VLOOKUP($BJ175&amp;"最终",$S$3:$AE$63,MATCH(BM$3,$S$3:$AE$3,0),FALSE)-VLOOKUP($BJ175&amp;"初始",$S$3:$AE$63,MATCH(BM$3,$S$3:$AE$3,0),FALSE))*VLOOKUP(VLOOKUP($BJ175,坦克个性化设定!$B$18:$E$48,4,FALSE)&amp;$BK175,坦克属性分配比例,MATCH("部件比例",坦克属性分配比例标头,0),FALSE))*$BL175/VLOOKUP(VLOOKUP($BJ175,坦克个性化设定!$B$18:$E$48,4,FALSE)&amp;$BK175,坦克属性分配比例,MATCH("升星次数",坦克属性分配比例标头,0),FALSE),0)</f>
        <v>2097</v>
      </c>
      <c r="BN175" s="103">
        <f ca="1">ROUND(VLOOKUP($BJ175&amp;"初始",$S$3:$AE$63,MATCH(BN$3,$S$3:$AE$3,0),FALSE)+(VLOOKUP($BJ175&amp;"最终",$S$3:$AE$63,MATCH(BN$3,$S$3:$AE$3,0),FALSE)-VLOOKUP($BJ175&amp;"初始",$S$3:$AE$63,MATCH(BN$3,$S$3:$AE$3,0),FALSE))*$BL175/VLOOKUP(VLOOKUP($BJ175,坦克个性化设定!$B$18:$E$48,4,FALSE)&amp;$BK175,坦克属性分配比例,MATCH("升星次数",坦克属性分配比例标头,0),FALSE)*VLOOKUP(VLOOKUP($BJ175,坦克个性化设定!$B$18:$E$48,4,FALSE)&amp;$BK175,坦克属性分配比例,MATCH("升星比例",坦克属性分配比例标头,0),FALSE),0)</f>
        <v>236</v>
      </c>
      <c r="BO175" s="103">
        <f ca="1">ROUND(VLOOKUP($BJ175&amp;"初始",$S$3:$AE$63,MATCH(BO$3,$S$3:$AE$3,0),FALSE)+(VLOOKUP($BJ175&amp;"最终",$S$3:$AE$63,MATCH(BO$3,$S$3:$AE$3,0),FALSE)-VLOOKUP($BJ175&amp;"初始",$S$3:$AE$63,MATCH(BO$3,$S$3:$AE$3,0),FALSE))*$BL175/VLOOKUP(VLOOKUP($BJ175,坦克个性化设定!$B$18:$E$48,4,FALSE)&amp;$BK175,坦克属性分配比例,MATCH("升星次数",坦克属性分配比例标头,0),FALSE)*(VLOOKUP(VLOOKUP($BJ175,坦克个性化设定!$B$18:$E$48,4,FALSE)&amp;$BK175,坦克属性分配比例,MATCH("升星比例",坦克属性分配比例标头,0),FALSE)+VLOOKUP(VLOOKUP($BJ175,坦克个性化设定!$B$18:$E$48,4,FALSE)&amp;$BK175,坦克属性分配比例,MATCH("部件比例",坦克属性分配比例标头,0),FALSE)*$C$3),0)</f>
        <v>775</v>
      </c>
      <c r="BP175" s="103">
        <f ca="1">ROUND(VLOOKUP($BJ175&amp;"初始",$S$3:$AE$63,MATCH(BP$3,$S$3:$AE$3,0),FALSE)+(VLOOKUP($BJ175&amp;"最终",$S$3:$AE$63,MATCH(BP$3,$S$3:$AE$3,0),FALSE)-VLOOKUP($BJ175&amp;"初始",$S$3:$AE$63,MATCH(BP$3,$S$3:$AE$3,0),FALSE))*$BL175/VLOOKUP(VLOOKUP($BJ175,坦克个性化设定!$B$18:$E$48,4,FALSE)&amp;$BK175,坦克属性分配比例,MATCH("升星次数",坦克属性分配比例标头,0),FALSE)*(VLOOKUP(VLOOKUP($BJ175,坦克个性化设定!$B$18:$E$48,4,FALSE)&amp;$BK175,坦克属性分配比例,MATCH("升星比例",坦克属性分配比例标头,0),FALSE)+VLOOKUP(VLOOKUP($BJ175,坦克个性化设定!$B$18:$E$48,4,FALSE)&amp;$BK175,坦克属性分配比例,MATCH("部件比例",坦克属性分配比例标头,0),FALSE)*$C$3),0)</f>
        <v>581</v>
      </c>
      <c r="BQ175" s="103">
        <f ca="1">ROUND(VLOOKUP($BJ175&amp;"初始",$S$3:$AE$63,MATCH(BQ$3,$S$3:$AE$3,0),FALSE)+(VLOOKUP($BJ175&amp;"最终",$S$3:$AE$63,MATCH(BQ$3,$S$3:$AE$3,0),FALSE)-VLOOKUP($BJ175&amp;"初始",$S$3:$AE$63,MATCH(BQ$3,$S$3:$AE$3,0),FALSE))*$BL175/VLOOKUP(VLOOKUP($BJ175,坦克个性化设定!$B$18:$E$48,4,FALSE)&amp;$BK175,坦克属性分配比例,MATCH("升星次数",坦克属性分配比例标头,0),FALSE)*VLOOKUP(VLOOKUP($BJ175,坦克个性化设定!$B$18:$E$48,4,FALSE)&amp;$BK175,坦克属性分配比例,MATCH("升星比例",坦克属性分配比例标头,0),FALSE),0)</f>
        <v>807</v>
      </c>
      <c r="BR175" s="2">
        <f ca="1">ROUND(VLOOKUP($BJ175&amp;"初始",$S$3:$AE$63,MATCH(BR$3,$S$3:$AE$3,0),FALSE)+(VLOOKUP($BJ175&amp;"最终",$S$3:$AE$63,MATCH(BR$3,$S$3:$AE$3,0),FALSE)-VLOOKUP($BJ175&amp;"初始",$S$3:$AE$63,MATCH(BR$3,$S$3:$AE$3,0),FALSE))*$BL175/VLOOKUP(VLOOKUP($BJ175,坦克个性化设定!$B$18:$E$48,4,FALSE)&amp;$BK175,坦克属性分配比例,MATCH("升星次数",坦克属性分配比例标头,0),FALSE),0)</f>
        <v>211</v>
      </c>
      <c r="BS175" s="2">
        <f>ROUND(VLOOKUP($BJ175,$AI$3:$AO$33,MATCH(BS$3,$AI$3:$AO$3,0),FALSE)+$BL175/VLOOKUP(VLOOKUP($BJ175,坦克个性化设定!$B$18:$E$48,4,FALSE)&amp;$BK175,坦克属性分配比例,MATCH("升星次数",坦克属性分配比例标头,0),FALSE)*VLOOKUP($BJ175,$AR$3:$AY$33,MATCH(BS$3,$AR$3:$AY$3,0),FALSE),1)</f>
        <v>40.4</v>
      </c>
      <c r="BT175" s="2">
        <f>ROUND(VLOOKUP($BJ175,$AI$3:$AO$33,MATCH(BT$3,$AI$3:$AO$3,0),FALSE)+$BL175/VLOOKUP(VLOOKUP($BJ175,坦克个性化设定!$B$18:$E$48,4,FALSE)&amp;$BK175,坦克属性分配比例,MATCH("升星次数",坦克属性分配比例标头,0),FALSE)*VLOOKUP($BJ175,$AR$3:$AY$33,MATCH(BT$3,$AR$3:$AY$3,0),FALSE),1)</f>
        <v>56.8</v>
      </c>
      <c r="BU175" s="2">
        <f>ROUND(VLOOKUP($BJ175,$AI$3:$AO$33,MATCH(BU$3,$AI$3:$AO$3,0),FALSE)+$BL175/VLOOKUP(VLOOKUP($BJ175,坦克个性化设定!$B$18:$E$48,4,FALSE)&amp;$BK175,坦克属性分配比例,MATCH("升星次数",坦克属性分配比例标头,0),FALSE)*VLOOKUP($BJ175,$AR$3:$AY$33,MATCH(BU$3,$AR$3:$AY$3,0),FALSE),1)</f>
        <v>7.3</v>
      </c>
      <c r="BV175" s="2">
        <f>IF(VLOOKUP(BJ175,坦克个性化设定!$B$18:$BC$48,MATCH("装弹类型",坦克个性化设定!$B$18:$BC$18,0),FALSE)="弹夹换弹",0,ROUND(VLOOKUP($BJ175,$AI$3:$AO$33,MATCH("换弹时间",$AI$3:$AO$3,0),FALSE)-$BL175/VLOOKUP(VLOOKUP($BJ175,坦克个性化设定!$B$18:$E$48,4,FALSE)&amp;$BK175,坦克属性分配比例,MATCH("升星次数",坦克属性分配比例标头,0),FALSE)*VLOOKUP($BJ175,$AR$3:$AY$33,MATCH("换弹时间",$AR$3:$AY$3,0),FALSE),2))</f>
        <v>3.28</v>
      </c>
      <c r="BW175" s="2">
        <f>IF(VLOOKUP(BJ175,坦克个性化设定!$B$18:$BC$48,MATCH("装弹类型",坦克个性化设定!$B$18:$BC$18,0),FALSE)="弹夹换弹",ROUND(VLOOKUP($BJ175,$AI$3:$AO$33,MATCH("换弹时间",$AI$3:$AO$3,0),FALSE)-$BL175/VLOOKUP(VLOOKUP($BJ175,坦克个性化设定!$B$18:$E$48,4,FALSE)&amp;$BK175,坦克属性分配比例,MATCH("升星次数",坦克属性分配比例标头,0),FALSE)*VLOOKUP($BJ175,$AR$3:$AY$33,MATCH("换弹时间",$AR$3:$AY$3,0),FALSE),1),0)</f>
        <v>0</v>
      </c>
      <c r="BX175" s="2">
        <f>ROUND(VLOOKUP($BJ175,$AI$3:$AO$33,MATCH(BX$3,$AI$3:$AO$3,0),FALSE)+$BL175/VLOOKUP(VLOOKUP($BJ175,坦克个性化设定!$B$18:$E$48,4,FALSE)&amp;$BK175,坦克属性分配比例,MATCH("升星次数",坦克属性分配比例标头,0),FALSE)*VLOOKUP($BJ175,$AR$3:$AY$33,MATCH(BX$3,$AR$3:$AY$3,0),FALSE),2)</f>
        <v>0.4</v>
      </c>
      <c r="BY175" s="2">
        <f>ROUND(VLOOKUP($BJ175,$AI$3:$AO$33,MATCH(BY$3,$AI$3:$AO$3,0),FALSE)-$BL175/VLOOKUP(VLOOKUP($BJ175,坦克个性化设定!$B$18:$E$48,4,FALSE)&amp;$BK175,坦克属性分配比例,MATCH("升星次数",坦克属性分配比例标头,0),FALSE)*VLOOKUP($BJ175,$AR$3:$AY$33,MATCH(BY$3,$AR$3:$AY$3,0),FALSE),2)</f>
        <v>0.92</v>
      </c>
    </row>
    <row r="176" spans="60:77" x14ac:dyDescent="0.3">
      <c r="BH176" s="2" t="str">
        <f t="shared" si="27"/>
        <v>潘兴6</v>
      </c>
      <c r="BI176" s="2">
        <f>IF(BL175&gt;=VLOOKUP(VLOOKUP(BJ175,坦克个性化设定!$B$18:$E$48,4,FALSE)&amp;BK175,坦克属性分配比例,MATCH("升星次数",坦克属性分配比例标头,0),FALSE),BI175+1,BI175)</f>
        <v>18</v>
      </c>
      <c r="BJ176" s="2" t="str">
        <f t="shared" si="28"/>
        <v>潘兴</v>
      </c>
      <c r="BK176" s="29" t="str">
        <f>VLOOKUP(BJ176,坦克个性化细分!$I$3:$J$33,2,FALSE)</f>
        <v>中</v>
      </c>
      <c r="BL176" s="2">
        <f t="shared" si="26"/>
        <v>6</v>
      </c>
      <c r="BM176" s="103">
        <f ca="1">ROUND(VLOOKUP($BJ176&amp;"初始",$S$3:$AE$63,MATCH(BM$3,$S$3:$AE$3,0),FALSE)+((VLOOKUP($BJ176&amp;"最终",$S$3:$AE$63,MATCH(BM$3,$S$3:$AE$3,0),FALSE)*坦克个性化细分!$C$9-VLOOKUP($BJ176&amp;"初始",$S$3:$AE$63,MATCH(BM$3,$S$3:$AE$3,0),FALSE))-(VLOOKUP($BJ176&amp;"最终",$S$3:$AE$63,MATCH(BM$3,$S$3:$AE$3,0),FALSE)-VLOOKUP($BJ176&amp;"初始",$S$3:$AE$63,MATCH(BM$3,$S$3:$AE$3,0),FALSE))*VLOOKUP(VLOOKUP($BJ176,坦克个性化设定!$B$18:$E$48,4,FALSE)&amp;$BK176,坦克属性分配比例,MATCH("部件比例",坦克属性分配比例标头,0),FALSE))*$BL176/VLOOKUP(VLOOKUP($BJ176,坦克个性化设定!$B$18:$E$48,4,FALSE)&amp;$BK176,坦克属性分配比例,MATCH("升星次数",坦克属性分配比例标头,0),FALSE),0)</f>
        <v>2173</v>
      </c>
      <c r="BN176" s="103">
        <f ca="1">ROUND(VLOOKUP($BJ176&amp;"初始",$S$3:$AE$63,MATCH(BN$3,$S$3:$AE$3,0),FALSE)+(VLOOKUP($BJ176&amp;"最终",$S$3:$AE$63,MATCH(BN$3,$S$3:$AE$3,0),FALSE)-VLOOKUP($BJ176&amp;"初始",$S$3:$AE$63,MATCH(BN$3,$S$3:$AE$3,0),FALSE))*$BL176/VLOOKUP(VLOOKUP($BJ176,坦克个性化设定!$B$18:$E$48,4,FALSE)&amp;$BK176,坦克属性分配比例,MATCH("升星次数",坦克属性分配比例标头,0),FALSE)*VLOOKUP(VLOOKUP($BJ176,坦克个性化设定!$B$18:$E$48,4,FALSE)&amp;$BK176,坦克属性分配比例,MATCH("升星比例",坦克属性分配比例标头,0),FALSE),0)</f>
        <v>241</v>
      </c>
      <c r="BO176" s="103">
        <f ca="1">ROUND(VLOOKUP($BJ176&amp;"初始",$S$3:$AE$63,MATCH(BO$3,$S$3:$AE$3,0),FALSE)+(VLOOKUP($BJ176&amp;"最终",$S$3:$AE$63,MATCH(BO$3,$S$3:$AE$3,0),FALSE)-VLOOKUP($BJ176&amp;"初始",$S$3:$AE$63,MATCH(BO$3,$S$3:$AE$3,0),FALSE))*$BL176/VLOOKUP(VLOOKUP($BJ176,坦克个性化设定!$B$18:$E$48,4,FALSE)&amp;$BK176,坦克属性分配比例,MATCH("升星次数",坦克属性分配比例标头,0),FALSE)*(VLOOKUP(VLOOKUP($BJ176,坦克个性化设定!$B$18:$E$48,4,FALSE)&amp;$BK176,坦克属性分配比例,MATCH("升星比例",坦克属性分配比例标头,0),FALSE)+VLOOKUP(VLOOKUP($BJ176,坦克个性化设定!$B$18:$E$48,4,FALSE)&amp;$BK176,坦克属性分配比例,MATCH("部件比例",坦克属性分配比例标头,0),FALSE)*$C$3),0)</f>
        <v>798</v>
      </c>
      <c r="BP176" s="103">
        <f ca="1">ROUND(VLOOKUP($BJ176&amp;"初始",$S$3:$AE$63,MATCH(BP$3,$S$3:$AE$3,0),FALSE)+(VLOOKUP($BJ176&amp;"最终",$S$3:$AE$63,MATCH(BP$3,$S$3:$AE$3,0),FALSE)-VLOOKUP($BJ176&amp;"初始",$S$3:$AE$63,MATCH(BP$3,$S$3:$AE$3,0),FALSE))*$BL176/VLOOKUP(VLOOKUP($BJ176,坦克个性化设定!$B$18:$E$48,4,FALSE)&amp;$BK176,坦克属性分配比例,MATCH("升星次数",坦克属性分配比例标头,0),FALSE)*(VLOOKUP(VLOOKUP($BJ176,坦克个性化设定!$B$18:$E$48,4,FALSE)&amp;$BK176,坦克属性分配比例,MATCH("升星比例",坦克属性分配比例标头,0),FALSE)+VLOOKUP(VLOOKUP($BJ176,坦克个性化设定!$B$18:$E$48,4,FALSE)&amp;$BK176,坦克属性分配比例,MATCH("部件比例",坦克属性分配比例标头,0),FALSE)*$C$3),0)</f>
        <v>599</v>
      </c>
      <c r="BQ176" s="103">
        <f ca="1">ROUND(VLOOKUP($BJ176&amp;"初始",$S$3:$AE$63,MATCH(BQ$3,$S$3:$AE$3,0),FALSE)+(VLOOKUP($BJ176&amp;"最终",$S$3:$AE$63,MATCH(BQ$3,$S$3:$AE$3,0),FALSE)-VLOOKUP($BJ176&amp;"初始",$S$3:$AE$63,MATCH(BQ$3,$S$3:$AE$3,0),FALSE))*$BL176/VLOOKUP(VLOOKUP($BJ176,坦克个性化设定!$B$18:$E$48,4,FALSE)&amp;$BK176,坦克属性分配比例,MATCH("升星次数",坦克属性分配比例标头,0),FALSE)*VLOOKUP(VLOOKUP($BJ176,坦克个性化设定!$B$18:$E$48,4,FALSE)&amp;$BK176,坦克属性分配比例,MATCH("升星比例",坦克属性分配比例标头,0),FALSE),0)</f>
        <v>824</v>
      </c>
      <c r="BR176" s="2">
        <f ca="1">ROUND(VLOOKUP($BJ176&amp;"初始",$S$3:$AE$63,MATCH(BR$3,$S$3:$AE$3,0),FALSE)+(VLOOKUP($BJ176&amp;"最终",$S$3:$AE$63,MATCH(BR$3,$S$3:$AE$3,0),FALSE)-VLOOKUP($BJ176&amp;"初始",$S$3:$AE$63,MATCH(BR$3,$S$3:$AE$3,0),FALSE))*$BL176/VLOOKUP(VLOOKUP($BJ176,坦克个性化设定!$B$18:$E$48,4,FALSE)&amp;$BK176,坦克属性分配比例,MATCH("升星次数",坦克属性分配比例标头,0),FALSE),0)</f>
        <v>218</v>
      </c>
      <c r="BS176" s="2">
        <f>ROUND(VLOOKUP($BJ176,$AI$3:$AO$33,MATCH(BS$3,$AI$3:$AO$3,0),FALSE)+$BL176/VLOOKUP(VLOOKUP($BJ176,坦克个性化设定!$B$18:$E$48,4,FALSE)&amp;$BK176,坦克属性分配比例,MATCH("升星次数",坦克属性分配比例标头,0),FALSE)*VLOOKUP($BJ176,$AR$3:$AY$33,MATCH(BS$3,$AR$3:$AY$3,0),FALSE),1)</f>
        <v>41.3</v>
      </c>
      <c r="BT176" s="2">
        <f>ROUND(VLOOKUP($BJ176,$AI$3:$AO$33,MATCH(BT$3,$AI$3:$AO$3,0),FALSE)+$BL176/VLOOKUP(VLOOKUP($BJ176,坦克个性化设定!$B$18:$E$48,4,FALSE)&amp;$BK176,坦克属性分配比例,MATCH("升星次数",坦克属性分配比例标头,0),FALSE)*VLOOKUP($BJ176,$AR$3:$AY$33,MATCH(BT$3,$AR$3:$AY$3,0),FALSE),1)</f>
        <v>58</v>
      </c>
      <c r="BU176" s="2">
        <f>ROUND(VLOOKUP($BJ176,$AI$3:$AO$33,MATCH(BU$3,$AI$3:$AO$3,0),FALSE)+$BL176/VLOOKUP(VLOOKUP($BJ176,坦克个性化设定!$B$18:$E$48,4,FALSE)&amp;$BK176,坦克属性分配比例,MATCH("升星次数",坦克属性分配比例标头,0),FALSE)*VLOOKUP($BJ176,$AR$3:$AY$33,MATCH(BU$3,$AR$3:$AY$3,0),FALSE),1)</f>
        <v>7.3</v>
      </c>
      <c r="BV176" s="2">
        <f>IF(VLOOKUP(BJ176,坦克个性化设定!$B$18:$BC$48,MATCH("装弹类型",坦克个性化设定!$B$18:$BC$18,0),FALSE)="弹夹换弹",0,ROUND(VLOOKUP($BJ176,$AI$3:$AO$33,MATCH("换弹时间",$AI$3:$AO$3,0),FALSE)-$BL176/VLOOKUP(VLOOKUP($BJ176,坦克个性化设定!$B$18:$E$48,4,FALSE)&amp;$BK176,坦克属性分配比例,MATCH("升星次数",坦克属性分配比例标头,0),FALSE)*VLOOKUP($BJ176,$AR$3:$AY$33,MATCH("换弹时间",$AR$3:$AY$3,0),FALSE),2))</f>
        <v>3.22</v>
      </c>
      <c r="BW176" s="2">
        <f>IF(VLOOKUP(BJ176,坦克个性化设定!$B$18:$BC$48,MATCH("装弹类型",坦克个性化设定!$B$18:$BC$18,0),FALSE)="弹夹换弹",ROUND(VLOOKUP($BJ176,$AI$3:$AO$33,MATCH("换弹时间",$AI$3:$AO$3,0),FALSE)-$BL176/VLOOKUP(VLOOKUP($BJ176,坦克个性化设定!$B$18:$E$48,4,FALSE)&amp;$BK176,坦克属性分配比例,MATCH("升星次数",坦克属性分配比例标头,0),FALSE)*VLOOKUP($BJ176,$AR$3:$AY$33,MATCH("换弹时间",$AR$3:$AY$3,0),FALSE),1),0)</f>
        <v>0</v>
      </c>
      <c r="BX176" s="2">
        <f>ROUND(VLOOKUP($BJ176,$AI$3:$AO$33,MATCH(BX$3,$AI$3:$AO$3,0),FALSE)+$BL176/VLOOKUP(VLOOKUP($BJ176,坦克个性化设定!$B$18:$E$48,4,FALSE)&amp;$BK176,坦克属性分配比例,MATCH("升星次数",坦克属性分配比例标头,0),FALSE)*VLOOKUP($BJ176,$AR$3:$AY$33,MATCH(BX$3,$AR$3:$AY$3,0),FALSE),2)</f>
        <v>0.4</v>
      </c>
      <c r="BY176" s="2">
        <f>ROUND(VLOOKUP($BJ176,$AI$3:$AO$33,MATCH(BY$3,$AI$3:$AO$3,0),FALSE)-$BL176/VLOOKUP(VLOOKUP($BJ176,坦克个性化设定!$B$18:$E$48,4,FALSE)&amp;$BK176,坦克属性分配比例,MATCH("升星次数",坦克属性分配比例标头,0),FALSE)*VLOOKUP($BJ176,$AR$3:$AY$33,MATCH(BY$3,$AR$3:$AY$3,0),FALSE),2)</f>
        <v>0.91</v>
      </c>
    </row>
    <row r="177" spans="60:77" x14ac:dyDescent="0.3">
      <c r="BH177" s="2" t="str">
        <f t="shared" si="27"/>
        <v>潘兴7</v>
      </c>
      <c r="BI177" s="2">
        <f>IF(BL176&gt;=VLOOKUP(VLOOKUP(BJ176,坦克个性化设定!$B$18:$E$48,4,FALSE)&amp;BK176,坦克属性分配比例,MATCH("升星次数",坦克属性分配比例标头,0),FALSE),BI176+1,BI176)</f>
        <v>18</v>
      </c>
      <c r="BJ177" s="2" t="str">
        <f t="shared" si="28"/>
        <v>潘兴</v>
      </c>
      <c r="BK177" s="29" t="str">
        <f>VLOOKUP(BJ177,坦克个性化细分!$I$3:$J$33,2,FALSE)</f>
        <v>中</v>
      </c>
      <c r="BL177" s="2">
        <f t="shared" si="26"/>
        <v>7</v>
      </c>
      <c r="BM177" s="103">
        <f ca="1">ROUND(VLOOKUP($BJ177&amp;"初始",$S$3:$AE$63,MATCH(BM$3,$S$3:$AE$3,0),FALSE)+((VLOOKUP($BJ177&amp;"最终",$S$3:$AE$63,MATCH(BM$3,$S$3:$AE$3,0),FALSE)*坦克个性化细分!$C$9-VLOOKUP($BJ177&amp;"初始",$S$3:$AE$63,MATCH(BM$3,$S$3:$AE$3,0),FALSE))-(VLOOKUP($BJ177&amp;"最终",$S$3:$AE$63,MATCH(BM$3,$S$3:$AE$3,0),FALSE)-VLOOKUP($BJ177&amp;"初始",$S$3:$AE$63,MATCH(BM$3,$S$3:$AE$3,0),FALSE))*VLOOKUP(VLOOKUP($BJ177,坦克个性化设定!$B$18:$E$48,4,FALSE)&amp;$BK177,坦克属性分配比例,MATCH("部件比例",坦克属性分配比例标头,0),FALSE))*$BL177/VLOOKUP(VLOOKUP($BJ177,坦克个性化设定!$B$18:$E$48,4,FALSE)&amp;$BK177,坦克属性分配比例,MATCH("升星次数",坦克属性分配比例标头,0),FALSE),0)</f>
        <v>2249</v>
      </c>
      <c r="BN177" s="103">
        <f ca="1">ROUND(VLOOKUP($BJ177&amp;"初始",$S$3:$AE$63,MATCH(BN$3,$S$3:$AE$3,0),FALSE)+(VLOOKUP($BJ177&amp;"最终",$S$3:$AE$63,MATCH(BN$3,$S$3:$AE$3,0),FALSE)-VLOOKUP($BJ177&amp;"初始",$S$3:$AE$63,MATCH(BN$3,$S$3:$AE$3,0),FALSE))*$BL177/VLOOKUP(VLOOKUP($BJ177,坦克个性化设定!$B$18:$E$48,4,FALSE)&amp;$BK177,坦克属性分配比例,MATCH("升星次数",坦克属性分配比例标头,0),FALSE)*VLOOKUP(VLOOKUP($BJ177,坦克个性化设定!$B$18:$E$48,4,FALSE)&amp;$BK177,坦克属性分配比例,MATCH("升星比例",坦克属性分配比例标头,0),FALSE),0)</f>
        <v>246</v>
      </c>
      <c r="BO177" s="103">
        <f ca="1">ROUND(VLOOKUP($BJ177&amp;"初始",$S$3:$AE$63,MATCH(BO$3,$S$3:$AE$3,0),FALSE)+(VLOOKUP($BJ177&amp;"最终",$S$3:$AE$63,MATCH(BO$3,$S$3:$AE$3,0),FALSE)-VLOOKUP($BJ177&amp;"初始",$S$3:$AE$63,MATCH(BO$3,$S$3:$AE$3,0),FALSE))*$BL177/VLOOKUP(VLOOKUP($BJ177,坦克个性化设定!$B$18:$E$48,4,FALSE)&amp;$BK177,坦克属性分配比例,MATCH("升星次数",坦克属性分配比例标头,0),FALSE)*(VLOOKUP(VLOOKUP($BJ177,坦克个性化设定!$B$18:$E$48,4,FALSE)&amp;$BK177,坦克属性分配比例,MATCH("升星比例",坦克属性分配比例标头,0),FALSE)+VLOOKUP(VLOOKUP($BJ177,坦克个性化设定!$B$18:$E$48,4,FALSE)&amp;$BK177,坦克属性分配比例,MATCH("部件比例",坦克属性分配比例标头,0),FALSE)*$C$3),0)</f>
        <v>822</v>
      </c>
      <c r="BP177" s="103">
        <f ca="1">ROUND(VLOOKUP($BJ177&amp;"初始",$S$3:$AE$63,MATCH(BP$3,$S$3:$AE$3,0),FALSE)+(VLOOKUP($BJ177&amp;"最终",$S$3:$AE$63,MATCH(BP$3,$S$3:$AE$3,0),FALSE)-VLOOKUP($BJ177&amp;"初始",$S$3:$AE$63,MATCH(BP$3,$S$3:$AE$3,0),FALSE))*$BL177/VLOOKUP(VLOOKUP($BJ177,坦克个性化设定!$B$18:$E$48,4,FALSE)&amp;$BK177,坦克属性分配比例,MATCH("升星次数",坦克属性分配比例标头,0),FALSE)*(VLOOKUP(VLOOKUP($BJ177,坦克个性化设定!$B$18:$E$48,4,FALSE)&amp;$BK177,坦克属性分配比例,MATCH("升星比例",坦克属性分配比例标头,0),FALSE)+VLOOKUP(VLOOKUP($BJ177,坦克个性化设定!$B$18:$E$48,4,FALSE)&amp;$BK177,坦克属性分配比例,MATCH("部件比例",坦克属性分配比例标头,0),FALSE)*$C$3),0)</f>
        <v>616</v>
      </c>
      <c r="BQ177" s="103">
        <f ca="1">ROUND(VLOOKUP($BJ177&amp;"初始",$S$3:$AE$63,MATCH(BQ$3,$S$3:$AE$3,0),FALSE)+(VLOOKUP($BJ177&amp;"最终",$S$3:$AE$63,MATCH(BQ$3,$S$3:$AE$3,0),FALSE)-VLOOKUP($BJ177&amp;"初始",$S$3:$AE$63,MATCH(BQ$3,$S$3:$AE$3,0),FALSE))*$BL177/VLOOKUP(VLOOKUP($BJ177,坦克个性化设定!$B$18:$E$48,4,FALSE)&amp;$BK177,坦克属性分配比例,MATCH("升星次数",坦克属性分配比例标头,0),FALSE)*VLOOKUP(VLOOKUP($BJ177,坦克个性化设定!$B$18:$E$48,4,FALSE)&amp;$BK177,坦克属性分配比例,MATCH("升星比例",坦克属性分配比例标头,0),FALSE),0)</f>
        <v>841</v>
      </c>
      <c r="BR177" s="2">
        <f ca="1">ROUND(VLOOKUP($BJ177&amp;"初始",$S$3:$AE$63,MATCH(BR$3,$S$3:$AE$3,0),FALSE)+(VLOOKUP($BJ177&amp;"最终",$S$3:$AE$63,MATCH(BR$3,$S$3:$AE$3,0),FALSE)-VLOOKUP($BJ177&amp;"初始",$S$3:$AE$63,MATCH(BR$3,$S$3:$AE$3,0),FALSE))*$BL177/VLOOKUP(VLOOKUP($BJ177,坦克个性化设定!$B$18:$E$48,4,FALSE)&amp;$BK177,坦克属性分配比例,MATCH("升星次数",坦克属性分配比例标头,0),FALSE),0)</f>
        <v>226</v>
      </c>
      <c r="BS177" s="2">
        <f>ROUND(VLOOKUP($BJ177,$AI$3:$AO$33,MATCH(BS$3,$AI$3:$AO$3,0),FALSE)+$BL177/VLOOKUP(VLOOKUP($BJ177,坦克个性化设定!$B$18:$E$48,4,FALSE)&amp;$BK177,坦克属性分配比例,MATCH("升星次数",坦克属性分配比例标头,0),FALSE)*VLOOKUP($BJ177,$AR$3:$AY$33,MATCH(BS$3,$AR$3:$AY$3,0),FALSE),1)</f>
        <v>42.1</v>
      </c>
      <c r="BT177" s="2">
        <f>ROUND(VLOOKUP($BJ177,$AI$3:$AO$33,MATCH(BT$3,$AI$3:$AO$3,0),FALSE)+$BL177/VLOOKUP(VLOOKUP($BJ177,坦克个性化设定!$B$18:$E$48,4,FALSE)&amp;$BK177,坦克属性分配比例,MATCH("升星次数",坦克属性分配比例标头,0),FALSE)*VLOOKUP($BJ177,$AR$3:$AY$33,MATCH(BT$3,$AR$3:$AY$3,0),FALSE),1)</f>
        <v>59.1</v>
      </c>
      <c r="BU177" s="2">
        <f>ROUND(VLOOKUP($BJ177,$AI$3:$AO$33,MATCH(BU$3,$AI$3:$AO$3,0),FALSE)+$BL177/VLOOKUP(VLOOKUP($BJ177,坦克个性化设定!$B$18:$E$48,4,FALSE)&amp;$BK177,坦克属性分配比例,MATCH("升星次数",坦克属性分配比例标头,0),FALSE)*VLOOKUP($BJ177,$AR$3:$AY$33,MATCH(BU$3,$AR$3:$AY$3,0),FALSE),1)</f>
        <v>7.3</v>
      </c>
      <c r="BV177" s="2">
        <f>IF(VLOOKUP(BJ177,坦克个性化设定!$B$18:$BC$48,MATCH("装弹类型",坦克个性化设定!$B$18:$BC$18,0),FALSE)="弹夹换弹",0,ROUND(VLOOKUP($BJ177,$AI$3:$AO$33,MATCH("换弹时间",$AI$3:$AO$3,0),FALSE)-$BL177/VLOOKUP(VLOOKUP($BJ177,坦克个性化设定!$B$18:$E$48,4,FALSE)&amp;$BK177,坦克属性分配比例,MATCH("升星次数",坦克属性分配比例标头,0),FALSE)*VLOOKUP($BJ177,$AR$3:$AY$33,MATCH("换弹时间",$AR$3:$AY$3,0),FALSE),2))</f>
        <v>3.16</v>
      </c>
      <c r="BW177" s="2">
        <f>IF(VLOOKUP(BJ177,坦克个性化设定!$B$18:$BC$48,MATCH("装弹类型",坦克个性化设定!$B$18:$BC$18,0),FALSE)="弹夹换弹",ROUND(VLOOKUP($BJ177,$AI$3:$AO$33,MATCH("换弹时间",$AI$3:$AO$3,0),FALSE)-$BL177/VLOOKUP(VLOOKUP($BJ177,坦克个性化设定!$B$18:$E$48,4,FALSE)&amp;$BK177,坦克属性分配比例,MATCH("升星次数",坦克属性分配比例标头,0),FALSE)*VLOOKUP($BJ177,$AR$3:$AY$33,MATCH("换弹时间",$AR$3:$AY$3,0),FALSE),1),0)</f>
        <v>0</v>
      </c>
      <c r="BX177" s="2">
        <f>ROUND(VLOOKUP($BJ177,$AI$3:$AO$33,MATCH(BX$3,$AI$3:$AO$3,0),FALSE)+$BL177/VLOOKUP(VLOOKUP($BJ177,坦克个性化设定!$B$18:$E$48,4,FALSE)&amp;$BK177,坦克属性分配比例,MATCH("升星次数",坦克属性分配比例标头,0),FALSE)*VLOOKUP($BJ177,$AR$3:$AY$33,MATCH(BX$3,$AR$3:$AY$3,0),FALSE),2)</f>
        <v>0.4</v>
      </c>
      <c r="BY177" s="2">
        <f>ROUND(VLOOKUP($BJ177,$AI$3:$AO$33,MATCH(BY$3,$AI$3:$AO$3,0),FALSE)-$BL177/VLOOKUP(VLOOKUP($BJ177,坦克个性化设定!$B$18:$E$48,4,FALSE)&amp;$BK177,坦克属性分配比例,MATCH("升星次数",坦克属性分配比例标头,0),FALSE)*VLOOKUP($BJ177,$AR$3:$AY$33,MATCH(BY$3,$AR$3:$AY$3,0),FALSE),2)</f>
        <v>0.89</v>
      </c>
    </row>
    <row r="178" spans="60:77" x14ac:dyDescent="0.3">
      <c r="BH178" s="2" t="str">
        <f t="shared" si="27"/>
        <v>潘兴8</v>
      </c>
      <c r="BI178" s="2">
        <f>IF(BL177&gt;=VLOOKUP(VLOOKUP(BJ177,坦克个性化设定!$B$18:$E$48,4,FALSE)&amp;BK177,坦克属性分配比例,MATCH("升星次数",坦克属性分配比例标头,0),FALSE),BI177+1,BI177)</f>
        <v>18</v>
      </c>
      <c r="BJ178" s="2" t="str">
        <f t="shared" si="28"/>
        <v>潘兴</v>
      </c>
      <c r="BK178" s="29" t="str">
        <f>VLOOKUP(BJ178,坦克个性化细分!$I$3:$J$33,2,FALSE)</f>
        <v>中</v>
      </c>
      <c r="BL178" s="2">
        <f t="shared" si="26"/>
        <v>8</v>
      </c>
      <c r="BM178" s="103">
        <f ca="1">ROUND(VLOOKUP($BJ178&amp;"初始",$S$3:$AE$63,MATCH(BM$3,$S$3:$AE$3,0),FALSE)+((VLOOKUP($BJ178&amp;"最终",$S$3:$AE$63,MATCH(BM$3,$S$3:$AE$3,0),FALSE)*坦克个性化细分!$C$9-VLOOKUP($BJ178&amp;"初始",$S$3:$AE$63,MATCH(BM$3,$S$3:$AE$3,0),FALSE))-(VLOOKUP($BJ178&amp;"最终",$S$3:$AE$63,MATCH(BM$3,$S$3:$AE$3,0),FALSE)-VLOOKUP($BJ178&amp;"初始",$S$3:$AE$63,MATCH(BM$3,$S$3:$AE$3,0),FALSE))*VLOOKUP(VLOOKUP($BJ178,坦克个性化设定!$B$18:$E$48,4,FALSE)&amp;$BK178,坦克属性分配比例,MATCH("部件比例",坦克属性分配比例标头,0),FALSE))*$BL178/VLOOKUP(VLOOKUP($BJ178,坦克个性化设定!$B$18:$E$48,4,FALSE)&amp;$BK178,坦克属性分配比例,MATCH("升星次数",坦克属性分配比例标头,0),FALSE),0)</f>
        <v>2325</v>
      </c>
      <c r="BN178" s="103">
        <f ca="1">ROUND(VLOOKUP($BJ178&amp;"初始",$S$3:$AE$63,MATCH(BN$3,$S$3:$AE$3,0),FALSE)+(VLOOKUP($BJ178&amp;"最终",$S$3:$AE$63,MATCH(BN$3,$S$3:$AE$3,0),FALSE)-VLOOKUP($BJ178&amp;"初始",$S$3:$AE$63,MATCH(BN$3,$S$3:$AE$3,0),FALSE))*$BL178/VLOOKUP(VLOOKUP($BJ178,坦克个性化设定!$B$18:$E$48,4,FALSE)&amp;$BK178,坦克属性分配比例,MATCH("升星次数",坦克属性分配比例标头,0),FALSE)*VLOOKUP(VLOOKUP($BJ178,坦克个性化设定!$B$18:$E$48,4,FALSE)&amp;$BK178,坦克属性分配比例,MATCH("升星比例",坦克属性分配比例标头,0),FALSE),0)</f>
        <v>251</v>
      </c>
      <c r="BO178" s="103">
        <f ca="1">ROUND(VLOOKUP($BJ178&amp;"初始",$S$3:$AE$63,MATCH(BO$3,$S$3:$AE$3,0),FALSE)+(VLOOKUP($BJ178&amp;"最终",$S$3:$AE$63,MATCH(BO$3,$S$3:$AE$3,0),FALSE)-VLOOKUP($BJ178&amp;"初始",$S$3:$AE$63,MATCH(BO$3,$S$3:$AE$3,0),FALSE))*$BL178/VLOOKUP(VLOOKUP($BJ178,坦克个性化设定!$B$18:$E$48,4,FALSE)&amp;$BK178,坦克属性分配比例,MATCH("升星次数",坦克属性分配比例标头,0),FALSE)*(VLOOKUP(VLOOKUP($BJ178,坦克个性化设定!$B$18:$E$48,4,FALSE)&amp;$BK178,坦克属性分配比例,MATCH("升星比例",坦克属性分配比例标头,0),FALSE)+VLOOKUP(VLOOKUP($BJ178,坦克个性化设定!$B$18:$E$48,4,FALSE)&amp;$BK178,坦克属性分配比例,MATCH("部件比例",坦克属性分配比例标头,0),FALSE)*$C$3),0)</f>
        <v>845</v>
      </c>
      <c r="BP178" s="103">
        <f ca="1">ROUND(VLOOKUP($BJ178&amp;"初始",$S$3:$AE$63,MATCH(BP$3,$S$3:$AE$3,0),FALSE)+(VLOOKUP($BJ178&amp;"最终",$S$3:$AE$63,MATCH(BP$3,$S$3:$AE$3,0),FALSE)-VLOOKUP($BJ178&amp;"初始",$S$3:$AE$63,MATCH(BP$3,$S$3:$AE$3,0),FALSE))*$BL178/VLOOKUP(VLOOKUP($BJ178,坦克个性化设定!$B$18:$E$48,4,FALSE)&amp;$BK178,坦克属性分配比例,MATCH("升星次数",坦克属性分配比例标头,0),FALSE)*(VLOOKUP(VLOOKUP($BJ178,坦克个性化设定!$B$18:$E$48,4,FALSE)&amp;$BK178,坦克属性分配比例,MATCH("升星比例",坦克属性分配比例标头,0),FALSE)+VLOOKUP(VLOOKUP($BJ178,坦克个性化设定!$B$18:$E$48,4,FALSE)&amp;$BK178,坦克属性分配比例,MATCH("部件比例",坦克属性分配比例标头,0),FALSE)*$C$3),0)</f>
        <v>634</v>
      </c>
      <c r="BQ178" s="103">
        <f ca="1">ROUND(VLOOKUP($BJ178&amp;"初始",$S$3:$AE$63,MATCH(BQ$3,$S$3:$AE$3,0),FALSE)+(VLOOKUP($BJ178&amp;"最终",$S$3:$AE$63,MATCH(BQ$3,$S$3:$AE$3,0),FALSE)-VLOOKUP($BJ178&amp;"初始",$S$3:$AE$63,MATCH(BQ$3,$S$3:$AE$3,0),FALSE))*$BL178/VLOOKUP(VLOOKUP($BJ178,坦克个性化设定!$B$18:$E$48,4,FALSE)&amp;$BK178,坦克属性分配比例,MATCH("升星次数",坦克属性分配比例标头,0),FALSE)*VLOOKUP(VLOOKUP($BJ178,坦克个性化设定!$B$18:$E$48,4,FALSE)&amp;$BK178,坦克属性分配比例,MATCH("升星比例",坦克属性分配比例标头,0),FALSE),0)</f>
        <v>858</v>
      </c>
      <c r="BR178" s="2">
        <f ca="1">ROUND(VLOOKUP($BJ178&amp;"初始",$S$3:$AE$63,MATCH(BR$3,$S$3:$AE$3,0),FALSE)+(VLOOKUP($BJ178&amp;"最终",$S$3:$AE$63,MATCH(BR$3,$S$3:$AE$3,0),FALSE)-VLOOKUP($BJ178&amp;"初始",$S$3:$AE$63,MATCH(BR$3,$S$3:$AE$3,0),FALSE))*$BL178/VLOOKUP(VLOOKUP($BJ178,坦克个性化设定!$B$18:$E$48,4,FALSE)&amp;$BK178,坦克属性分配比例,MATCH("升星次数",坦克属性分配比例标头,0),FALSE),0)</f>
        <v>233</v>
      </c>
      <c r="BS178" s="2">
        <f>ROUND(VLOOKUP($BJ178,$AI$3:$AO$33,MATCH(BS$3,$AI$3:$AO$3,0),FALSE)+$BL178/VLOOKUP(VLOOKUP($BJ178,坦克个性化设定!$B$18:$E$48,4,FALSE)&amp;$BK178,坦克属性分配比例,MATCH("升星次数",坦克属性分配比例标头,0),FALSE)*VLOOKUP($BJ178,$AR$3:$AY$33,MATCH(BS$3,$AR$3:$AY$3,0),FALSE),1)</f>
        <v>42.9</v>
      </c>
      <c r="BT178" s="2">
        <f>ROUND(VLOOKUP($BJ178,$AI$3:$AO$33,MATCH(BT$3,$AI$3:$AO$3,0),FALSE)+$BL178/VLOOKUP(VLOOKUP($BJ178,坦克个性化设定!$B$18:$E$48,4,FALSE)&amp;$BK178,坦克属性分配比例,MATCH("升星次数",坦克属性分配比例标头,0),FALSE)*VLOOKUP($BJ178,$AR$3:$AY$33,MATCH(BT$3,$AR$3:$AY$3,0),FALSE),1)</f>
        <v>60.3</v>
      </c>
      <c r="BU178" s="2">
        <f>ROUND(VLOOKUP($BJ178,$AI$3:$AO$33,MATCH(BU$3,$AI$3:$AO$3,0),FALSE)+$BL178/VLOOKUP(VLOOKUP($BJ178,坦克个性化设定!$B$18:$E$48,4,FALSE)&amp;$BK178,坦克属性分配比例,MATCH("升星次数",坦克属性分配比例标头,0),FALSE)*VLOOKUP($BJ178,$AR$3:$AY$33,MATCH(BU$3,$AR$3:$AY$3,0),FALSE),1)</f>
        <v>7.3</v>
      </c>
      <c r="BV178" s="2">
        <f>IF(VLOOKUP(BJ178,坦克个性化设定!$B$18:$BC$48,MATCH("装弹类型",坦克个性化设定!$B$18:$BC$18,0),FALSE)="弹夹换弹",0,ROUND(VLOOKUP($BJ178,$AI$3:$AO$33,MATCH("换弹时间",$AI$3:$AO$3,0),FALSE)-$BL178/VLOOKUP(VLOOKUP($BJ178,坦克个性化设定!$B$18:$E$48,4,FALSE)&amp;$BK178,坦克属性分配比例,MATCH("升星次数",坦克属性分配比例标头,0),FALSE)*VLOOKUP($BJ178,$AR$3:$AY$33,MATCH("换弹时间",$AR$3:$AY$3,0),FALSE),2))</f>
        <v>3.09</v>
      </c>
      <c r="BW178" s="2">
        <f>IF(VLOOKUP(BJ178,坦克个性化设定!$B$18:$BC$48,MATCH("装弹类型",坦克个性化设定!$B$18:$BC$18,0),FALSE)="弹夹换弹",ROUND(VLOOKUP($BJ178,$AI$3:$AO$33,MATCH("换弹时间",$AI$3:$AO$3,0),FALSE)-$BL178/VLOOKUP(VLOOKUP($BJ178,坦克个性化设定!$B$18:$E$48,4,FALSE)&amp;$BK178,坦克属性分配比例,MATCH("升星次数",坦克属性分配比例标头,0),FALSE)*VLOOKUP($BJ178,$AR$3:$AY$33,MATCH("换弹时间",$AR$3:$AY$3,0),FALSE),1),0)</f>
        <v>0</v>
      </c>
      <c r="BX178" s="2">
        <f>ROUND(VLOOKUP($BJ178,$AI$3:$AO$33,MATCH(BX$3,$AI$3:$AO$3,0),FALSE)+$BL178/VLOOKUP(VLOOKUP($BJ178,坦克个性化设定!$B$18:$E$48,4,FALSE)&amp;$BK178,坦克属性分配比例,MATCH("升星次数",坦克属性分配比例标头,0),FALSE)*VLOOKUP($BJ178,$AR$3:$AY$33,MATCH(BX$3,$AR$3:$AY$3,0),FALSE),2)</f>
        <v>0.4</v>
      </c>
      <c r="BY178" s="2">
        <f>ROUND(VLOOKUP($BJ178,$AI$3:$AO$33,MATCH(BY$3,$AI$3:$AO$3,0),FALSE)-$BL178/VLOOKUP(VLOOKUP($BJ178,坦克个性化设定!$B$18:$E$48,4,FALSE)&amp;$BK178,坦克属性分配比例,MATCH("升星次数",坦克属性分配比例标头,0),FALSE)*VLOOKUP($BJ178,$AR$3:$AY$33,MATCH(BY$3,$AR$3:$AY$3,0),FALSE),2)</f>
        <v>0.88</v>
      </c>
    </row>
    <row r="179" spans="60:77" x14ac:dyDescent="0.3">
      <c r="BH179" s="2" t="str">
        <f t="shared" si="27"/>
        <v>潘兴9</v>
      </c>
      <c r="BI179" s="2">
        <f>IF(BL178&gt;=VLOOKUP(VLOOKUP(BJ178,坦克个性化设定!$B$18:$E$48,4,FALSE)&amp;BK178,坦克属性分配比例,MATCH("升星次数",坦克属性分配比例标头,0),FALSE),BI178+1,BI178)</f>
        <v>18</v>
      </c>
      <c r="BJ179" s="2" t="str">
        <f t="shared" si="28"/>
        <v>潘兴</v>
      </c>
      <c r="BK179" s="29" t="str">
        <f>VLOOKUP(BJ179,坦克个性化细分!$I$3:$J$33,2,FALSE)</f>
        <v>中</v>
      </c>
      <c r="BL179" s="2">
        <f t="shared" si="26"/>
        <v>9</v>
      </c>
      <c r="BM179" s="103">
        <f ca="1">ROUND(VLOOKUP($BJ179&amp;"初始",$S$3:$AE$63,MATCH(BM$3,$S$3:$AE$3,0),FALSE)+((VLOOKUP($BJ179&amp;"最终",$S$3:$AE$63,MATCH(BM$3,$S$3:$AE$3,0),FALSE)*坦克个性化细分!$C$9-VLOOKUP($BJ179&amp;"初始",$S$3:$AE$63,MATCH(BM$3,$S$3:$AE$3,0),FALSE))-(VLOOKUP($BJ179&amp;"最终",$S$3:$AE$63,MATCH(BM$3,$S$3:$AE$3,0),FALSE)-VLOOKUP($BJ179&amp;"初始",$S$3:$AE$63,MATCH(BM$3,$S$3:$AE$3,0),FALSE))*VLOOKUP(VLOOKUP($BJ179,坦克个性化设定!$B$18:$E$48,4,FALSE)&amp;$BK179,坦克属性分配比例,MATCH("部件比例",坦克属性分配比例标头,0),FALSE))*$BL179/VLOOKUP(VLOOKUP($BJ179,坦克个性化设定!$B$18:$E$48,4,FALSE)&amp;$BK179,坦克属性分配比例,MATCH("升星次数",坦克属性分配比例标头,0),FALSE),0)</f>
        <v>2400</v>
      </c>
      <c r="BN179" s="103">
        <f ca="1">ROUND(VLOOKUP($BJ179&amp;"初始",$S$3:$AE$63,MATCH(BN$3,$S$3:$AE$3,0),FALSE)+(VLOOKUP($BJ179&amp;"最终",$S$3:$AE$63,MATCH(BN$3,$S$3:$AE$3,0),FALSE)-VLOOKUP($BJ179&amp;"初始",$S$3:$AE$63,MATCH(BN$3,$S$3:$AE$3,0),FALSE))*$BL179/VLOOKUP(VLOOKUP($BJ179,坦克个性化设定!$B$18:$E$48,4,FALSE)&amp;$BK179,坦克属性分配比例,MATCH("升星次数",坦克属性分配比例标头,0),FALSE)*VLOOKUP(VLOOKUP($BJ179,坦克个性化设定!$B$18:$E$48,4,FALSE)&amp;$BK179,坦克属性分配比例,MATCH("升星比例",坦克属性分配比例标头,0),FALSE),0)</f>
        <v>256</v>
      </c>
      <c r="BO179" s="103">
        <f ca="1">ROUND(VLOOKUP($BJ179&amp;"初始",$S$3:$AE$63,MATCH(BO$3,$S$3:$AE$3,0),FALSE)+(VLOOKUP($BJ179&amp;"最终",$S$3:$AE$63,MATCH(BO$3,$S$3:$AE$3,0),FALSE)-VLOOKUP($BJ179&amp;"初始",$S$3:$AE$63,MATCH(BO$3,$S$3:$AE$3,0),FALSE))*$BL179/VLOOKUP(VLOOKUP($BJ179,坦克个性化设定!$B$18:$E$48,4,FALSE)&amp;$BK179,坦克属性分配比例,MATCH("升星次数",坦克属性分配比例标头,0),FALSE)*(VLOOKUP(VLOOKUP($BJ179,坦克个性化设定!$B$18:$E$48,4,FALSE)&amp;$BK179,坦克属性分配比例,MATCH("升星比例",坦克属性分配比例标头,0),FALSE)+VLOOKUP(VLOOKUP($BJ179,坦克个性化设定!$B$18:$E$48,4,FALSE)&amp;$BK179,坦克属性分配比例,MATCH("部件比例",坦克属性分配比例标头,0),FALSE)*$C$3),0)</f>
        <v>869</v>
      </c>
      <c r="BP179" s="103">
        <f ca="1">ROUND(VLOOKUP($BJ179&amp;"初始",$S$3:$AE$63,MATCH(BP$3,$S$3:$AE$3,0),FALSE)+(VLOOKUP($BJ179&amp;"最终",$S$3:$AE$63,MATCH(BP$3,$S$3:$AE$3,0),FALSE)-VLOOKUP($BJ179&amp;"初始",$S$3:$AE$63,MATCH(BP$3,$S$3:$AE$3,0),FALSE))*$BL179/VLOOKUP(VLOOKUP($BJ179,坦克个性化设定!$B$18:$E$48,4,FALSE)&amp;$BK179,坦克属性分配比例,MATCH("升星次数",坦克属性分配比例标头,0),FALSE)*(VLOOKUP(VLOOKUP($BJ179,坦克个性化设定!$B$18:$E$48,4,FALSE)&amp;$BK179,坦克属性分配比例,MATCH("升星比例",坦克属性分配比例标头,0),FALSE)+VLOOKUP(VLOOKUP($BJ179,坦克个性化设定!$B$18:$E$48,4,FALSE)&amp;$BK179,坦克属性分配比例,MATCH("部件比例",坦克属性分配比例标头,0),FALSE)*$C$3),0)</f>
        <v>651</v>
      </c>
      <c r="BQ179" s="103">
        <f ca="1">ROUND(VLOOKUP($BJ179&amp;"初始",$S$3:$AE$63,MATCH(BQ$3,$S$3:$AE$3,0),FALSE)+(VLOOKUP($BJ179&amp;"最终",$S$3:$AE$63,MATCH(BQ$3,$S$3:$AE$3,0),FALSE)-VLOOKUP($BJ179&amp;"初始",$S$3:$AE$63,MATCH(BQ$3,$S$3:$AE$3,0),FALSE))*$BL179/VLOOKUP(VLOOKUP($BJ179,坦克个性化设定!$B$18:$E$48,4,FALSE)&amp;$BK179,坦克属性分配比例,MATCH("升星次数",坦克属性分配比例标头,0),FALSE)*VLOOKUP(VLOOKUP($BJ179,坦克个性化设定!$B$18:$E$48,4,FALSE)&amp;$BK179,坦克属性分配比例,MATCH("升星比例",坦克属性分配比例标头,0),FALSE),0)</f>
        <v>876</v>
      </c>
      <c r="BR179" s="2">
        <f ca="1">ROUND(VLOOKUP($BJ179&amp;"初始",$S$3:$AE$63,MATCH(BR$3,$S$3:$AE$3,0),FALSE)+(VLOOKUP($BJ179&amp;"最终",$S$3:$AE$63,MATCH(BR$3,$S$3:$AE$3,0),FALSE)-VLOOKUP($BJ179&amp;"初始",$S$3:$AE$63,MATCH(BR$3,$S$3:$AE$3,0),FALSE))*$BL179/VLOOKUP(VLOOKUP($BJ179,坦克个性化设定!$B$18:$E$48,4,FALSE)&amp;$BK179,坦克属性分配比例,MATCH("升星次数",坦克属性分配比例标头,0),FALSE),0)</f>
        <v>241</v>
      </c>
      <c r="BS179" s="2">
        <f>ROUND(VLOOKUP($BJ179,$AI$3:$AO$33,MATCH(BS$3,$AI$3:$AO$3,0),FALSE)+$BL179/VLOOKUP(VLOOKUP($BJ179,坦克个性化设定!$B$18:$E$48,4,FALSE)&amp;$BK179,坦克属性分配比例,MATCH("升星次数",坦克属性分配比例标头,0),FALSE)*VLOOKUP($BJ179,$AR$3:$AY$33,MATCH(BS$3,$AR$3:$AY$3,0),FALSE),1)</f>
        <v>43.7</v>
      </c>
      <c r="BT179" s="2">
        <f>ROUND(VLOOKUP($BJ179,$AI$3:$AO$33,MATCH(BT$3,$AI$3:$AO$3,0),FALSE)+$BL179/VLOOKUP(VLOOKUP($BJ179,坦克个性化设定!$B$18:$E$48,4,FALSE)&amp;$BK179,坦克属性分配比例,MATCH("升星次数",坦克属性分配比例标头,0),FALSE)*VLOOKUP($BJ179,$AR$3:$AY$33,MATCH(BT$3,$AR$3:$AY$3,0),FALSE),1)</f>
        <v>61.4</v>
      </c>
      <c r="BU179" s="2">
        <f>ROUND(VLOOKUP($BJ179,$AI$3:$AO$33,MATCH(BU$3,$AI$3:$AO$3,0),FALSE)+$BL179/VLOOKUP(VLOOKUP($BJ179,坦克个性化设定!$B$18:$E$48,4,FALSE)&amp;$BK179,坦克属性分配比例,MATCH("升星次数",坦克属性分配比例标头,0),FALSE)*VLOOKUP($BJ179,$AR$3:$AY$33,MATCH(BU$3,$AR$3:$AY$3,0),FALSE),1)</f>
        <v>7.3</v>
      </c>
      <c r="BV179" s="2">
        <f>IF(VLOOKUP(BJ179,坦克个性化设定!$B$18:$BC$48,MATCH("装弹类型",坦克个性化设定!$B$18:$BC$18,0),FALSE)="弹夹换弹",0,ROUND(VLOOKUP($BJ179,$AI$3:$AO$33,MATCH("换弹时间",$AI$3:$AO$3,0),FALSE)-$BL179/VLOOKUP(VLOOKUP($BJ179,坦克个性化设定!$B$18:$E$48,4,FALSE)&amp;$BK179,坦克属性分配比例,MATCH("升星次数",坦克属性分配比例标头,0),FALSE)*VLOOKUP($BJ179,$AR$3:$AY$33,MATCH("换弹时间",$AR$3:$AY$3,0),FALSE),2))</f>
        <v>3.03</v>
      </c>
      <c r="BW179" s="2">
        <f>IF(VLOOKUP(BJ179,坦克个性化设定!$B$18:$BC$48,MATCH("装弹类型",坦克个性化设定!$B$18:$BC$18,0),FALSE)="弹夹换弹",ROUND(VLOOKUP($BJ179,$AI$3:$AO$33,MATCH("换弹时间",$AI$3:$AO$3,0),FALSE)-$BL179/VLOOKUP(VLOOKUP($BJ179,坦克个性化设定!$B$18:$E$48,4,FALSE)&amp;$BK179,坦克属性分配比例,MATCH("升星次数",坦克属性分配比例标头,0),FALSE)*VLOOKUP($BJ179,$AR$3:$AY$33,MATCH("换弹时间",$AR$3:$AY$3,0),FALSE),1),0)</f>
        <v>0</v>
      </c>
      <c r="BX179" s="2">
        <f>ROUND(VLOOKUP($BJ179,$AI$3:$AO$33,MATCH(BX$3,$AI$3:$AO$3,0),FALSE)+$BL179/VLOOKUP(VLOOKUP($BJ179,坦克个性化设定!$B$18:$E$48,4,FALSE)&amp;$BK179,坦克属性分配比例,MATCH("升星次数",坦克属性分配比例标头,0),FALSE)*VLOOKUP($BJ179,$AR$3:$AY$33,MATCH(BX$3,$AR$3:$AY$3,0),FALSE),2)</f>
        <v>0.4</v>
      </c>
      <c r="BY179" s="2">
        <f>ROUND(VLOOKUP($BJ179,$AI$3:$AO$33,MATCH(BY$3,$AI$3:$AO$3,0),FALSE)-$BL179/VLOOKUP(VLOOKUP($BJ179,坦克个性化设定!$B$18:$E$48,4,FALSE)&amp;$BK179,坦克属性分配比例,MATCH("升星次数",坦克属性分配比例标头,0),FALSE)*VLOOKUP($BJ179,$AR$3:$AY$33,MATCH(BY$3,$AR$3:$AY$3,0),FALSE),2)</f>
        <v>0.86</v>
      </c>
    </row>
    <row r="180" spans="60:77" x14ac:dyDescent="0.3">
      <c r="BH180" s="2" t="str">
        <f t="shared" si="27"/>
        <v>潘兴10</v>
      </c>
      <c r="BI180" s="2">
        <f>IF(BL179&gt;=VLOOKUP(VLOOKUP(BJ179,坦克个性化设定!$B$18:$E$48,4,FALSE)&amp;BK179,坦克属性分配比例,MATCH("升星次数",坦克属性分配比例标头,0),FALSE),BI179+1,BI179)</f>
        <v>18</v>
      </c>
      <c r="BJ180" s="2" t="str">
        <f t="shared" si="28"/>
        <v>潘兴</v>
      </c>
      <c r="BK180" s="29" t="str">
        <f>VLOOKUP(BJ180,坦克个性化细分!$I$3:$J$33,2,FALSE)</f>
        <v>中</v>
      </c>
      <c r="BL180" s="2">
        <f t="shared" si="26"/>
        <v>10</v>
      </c>
      <c r="BM180" s="103">
        <f ca="1">ROUND(VLOOKUP($BJ180&amp;"初始",$S$3:$AE$63,MATCH(BM$3,$S$3:$AE$3,0),FALSE)+((VLOOKUP($BJ180&amp;"最终",$S$3:$AE$63,MATCH(BM$3,$S$3:$AE$3,0),FALSE)*坦克个性化细分!$C$9-VLOOKUP($BJ180&amp;"初始",$S$3:$AE$63,MATCH(BM$3,$S$3:$AE$3,0),FALSE))-(VLOOKUP($BJ180&amp;"最终",$S$3:$AE$63,MATCH(BM$3,$S$3:$AE$3,0),FALSE)-VLOOKUP($BJ180&amp;"初始",$S$3:$AE$63,MATCH(BM$3,$S$3:$AE$3,0),FALSE))*VLOOKUP(VLOOKUP($BJ180,坦克个性化设定!$B$18:$E$48,4,FALSE)&amp;$BK180,坦克属性分配比例,MATCH("部件比例",坦克属性分配比例标头,0),FALSE))*$BL180/VLOOKUP(VLOOKUP($BJ180,坦克个性化设定!$B$18:$E$48,4,FALSE)&amp;$BK180,坦克属性分配比例,MATCH("升星次数",坦克属性分配比例标头,0),FALSE),0)</f>
        <v>2476</v>
      </c>
      <c r="BN180" s="103">
        <f ca="1">ROUND(VLOOKUP($BJ180&amp;"初始",$S$3:$AE$63,MATCH(BN$3,$S$3:$AE$3,0),FALSE)+(VLOOKUP($BJ180&amp;"最终",$S$3:$AE$63,MATCH(BN$3,$S$3:$AE$3,0),FALSE)-VLOOKUP($BJ180&amp;"初始",$S$3:$AE$63,MATCH(BN$3,$S$3:$AE$3,0),FALSE))*$BL180/VLOOKUP(VLOOKUP($BJ180,坦克个性化设定!$B$18:$E$48,4,FALSE)&amp;$BK180,坦克属性分配比例,MATCH("升星次数",坦克属性分配比例标头,0),FALSE)*VLOOKUP(VLOOKUP($BJ180,坦克个性化设定!$B$18:$E$48,4,FALSE)&amp;$BK180,坦克属性分配比例,MATCH("升星比例",坦克属性分配比例标头,0),FALSE),0)</f>
        <v>261</v>
      </c>
      <c r="BO180" s="103">
        <f ca="1">ROUND(VLOOKUP($BJ180&amp;"初始",$S$3:$AE$63,MATCH(BO$3,$S$3:$AE$3,0),FALSE)+(VLOOKUP($BJ180&amp;"最终",$S$3:$AE$63,MATCH(BO$3,$S$3:$AE$3,0),FALSE)-VLOOKUP($BJ180&amp;"初始",$S$3:$AE$63,MATCH(BO$3,$S$3:$AE$3,0),FALSE))*$BL180/VLOOKUP(VLOOKUP($BJ180,坦克个性化设定!$B$18:$E$48,4,FALSE)&amp;$BK180,坦克属性分配比例,MATCH("升星次数",坦克属性分配比例标头,0),FALSE)*(VLOOKUP(VLOOKUP($BJ180,坦克个性化设定!$B$18:$E$48,4,FALSE)&amp;$BK180,坦克属性分配比例,MATCH("升星比例",坦克属性分配比例标头,0),FALSE)+VLOOKUP(VLOOKUP($BJ180,坦克个性化设定!$B$18:$E$48,4,FALSE)&amp;$BK180,坦克属性分配比例,MATCH("部件比例",坦克属性分配比例标头,0),FALSE)*$C$3),0)</f>
        <v>893</v>
      </c>
      <c r="BP180" s="103">
        <f ca="1">ROUND(VLOOKUP($BJ180&amp;"初始",$S$3:$AE$63,MATCH(BP$3,$S$3:$AE$3,0),FALSE)+(VLOOKUP($BJ180&amp;"最终",$S$3:$AE$63,MATCH(BP$3,$S$3:$AE$3,0),FALSE)-VLOOKUP($BJ180&amp;"初始",$S$3:$AE$63,MATCH(BP$3,$S$3:$AE$3,0),FALSE))*$BL180/VLOOKUP(VLOOKUP($BJ180,坦克个性化设定!$B$18:$E$48,4,FALSE)&amp;$BK180,坦克属性分配比例,MATCH("升星次数",坦克属性分配比例标头,0),FALSE)*(VLOOKUP(VLOOKUP($BJ180,坦克个性化设定!$B$18:$E$48,4,FALSE)&amp;$BK180,坦克属性分配比例,MATCH("升星比例",坦克属性分配比例标头,0),FALSE)+VLOOKUP(VLOOKUP($BJ180,坦克个性化设定!$B$18:$E$48,4,FALSE)&amp;$BK180,坦克属性分配比例,MATCH("部件比例",坦克属性分配比例标头,0),FALSE)*$C$3),0)</f>
        <v>669</v>
      </c>
      <c r="BQ180" s="103">
        <f ca="1">ROUND(VLOOKUP($BJ180&amp;"初始",$S$3:$AE$63,MATCH(BQ$3,$S$3:$AE$3,0),FALSE)+(VLOOKUP($BJ180&amp;"最终",$S$3:$AE$63,MATCH(BQ$3,$S$3:$AE$3,0),FALSE)-VLOOKUP($BJ180&amp;"初始",$S$3:$AE$63,MATCH(BQ$3,$S$3:$AE$3,0),FALSE))*$BL180/VLOOKUP(VLOOKUP($BJ180,坦克个性化设定!$B$18:$E$48,4,FALSE)&amp;$BK180,坦克属性分配比例,MATCH("升星次数",坦克属性分配比例标头,0),FALSE)*VLOOKUP(VLOOKUP($BJ180,坦克个性化设定!$B$18:$E$48,4,FALSE)&amp;$BK180,坦克属性分配比例,MATCH("升星比例",坦克属性分配比例标头,0),FALSE),0)</f>
        <v>893</v>
      </c>
      <c r="BR180" s="2">
        <f ca="1">ROUND(VLOOKUP($BJ180&amp;"初始",$S$3:$AE$63,MATCH(BR$3,$S$3:$AE$3,0),FALSE)+(VLOOKUP($BJ180&amp;"最终",$S$3:$AE$63,MATCH(BR$3,$S$3:$AE$3,0),FALSE)-VLOOKUP($BJ180&amp;"初始",$S$3:$AE$63,MATCH(BR$3,$S$3:$AE$3,0),FALSE))*$BL180/VLOOKUP(VLOOKUP($BJ180,坦克个性化设定!$B$18:$E$48,4,FALSE)&amp;$BK180,坦克属性分配比例,MATCH("升星次数",坦克属性分配比例标头,0),FALSE),0)</f>
        <v>248</v>
      </c>
      <c r="BS180" s="2">
        <f>ROUND(VLOOKUP($BJ180,$AI$3:$AO$33,MATCH(BS$3,$AI$3:$AO$3,0),FALSE)+$BL180/VLOOKUP(VLOOKUP($BJ180,坦克个性化设定!$B$18:$E$48,4,FALSE)&amp;$BK180,坦克属性分配比例,MATCH("升星次数",坦克属性分配比例标头,0),FALSE)*VLOOKUP($BJ180,$AR$3:$AY$33,MATCH(BS$3,$AR$3:$AY$3,0),FALSE),1)</f>
        <v>44.6</v>
      </c>
      <c r="BT180" s="2">
        <f>ROUND(VLOOKUP($BJ180,$AI$3:$AO$33,MATCH(BT$3,$AI$3:$AO$3,0),FALSE)+$BL180/VLOOKUP(VLOOKUP($BJ180,坦克个性化设定!$B$18:$E$48,4,FALSE)&amp;$BK180,坦克属性分配比例,MATCH("升星次数",坦克属性分配比例标头,0),FALSE)*VLOOKUP($BJ180,$AR$3:$AY$33,MATCH(BT$3,$AR$3:$AY$3,0),FALSE),1)</f>
        <v>62.6</v>
      </c>
      <c r="BU180" s="2">
        <f>ROUND(VLOOKUP($BJ180,$AI$3:$AO$33,MATCH(BU$3,$AI$3:$AO$3,0),FALSE)+$BL180/VLOOKUP(VLOOKUP($BJ180,坦克个性化设定!$B$18:$E$48,4,FALSE)&amp;$BK180,坦克属性分配比例,MATCH("升星次数",坦克属性分配比例标头,0),FALSE)*VLOOKUP($BJ180,$AR$3:$AY$33,MATCH(BU$3,$AR$3:$AY$3,0),FALSE),1)</f>
        <v>7.3</v>
      </c>
      <c r="BV180" s="2">
        <f>IF(VLOOKUP(BJ180,坦克个性化设定!$B$18:$BC$48,MATCH("装弹类型",坦克个性化设定!$B$18:$BC$18,0),FALSE)="弹夹换弹",0,ROUND(VLOOKUP($BJ180,$AI$3:$AO$33,MATCH("换弹时间",$AI$3:$AO$3,0),FALSE)-$BL180/VLOOKUP(VLOOKUP($BJ180,坦克个性化设定!$B$18:$E$48,4,FALSE)&amp;$BK180,坦克属性分配比例,MATCH("升星次数",坦克属性分配比例标头,0),FALSE)*VLOOKUP($BJ180,$AR$3:$AY$33,MATCH("换弹时间",$AR$3:$AY$3,0),FALSE),2))</f>
        <v>2.97</v>
      </c>
      <c r="BW180" s="2">
        <f>IF(VLOOKUP(BJ180,坦克个性化设定!$B$18:$BC$48,MATCH("装弹类型",坦克个性化设定!$B$18:$BC$18,0),FALSE)="弹夹换弹",ROUND(VLOOKUP($BJ180,$AI$3:$AO$33,MATCH("换弹时间",$AI$3:$AO$3,0),FALSE)-$BL180/VLOOKUP(VLOOKUP($BJ180,坦克个性化设定!$B$18:$E$48,4,FALSE)&amp;$BK180,坦克属性分配比例,MATCH("升星次数",坦克属性分配比例标头,0),FALSE)*VLOOKUP($BJ180,$AR$3:$AY$33,MATCH("换弹时间",$AR$3:$AY$3,0),FALSE),1),0)</f>
        <v>0</v>
      </c>
      <c r="BX180" s="2">
        <f>ROUND(VLOOKUP($BJ180,$AI$3:$AO$33,MATCH(BX$3,$AI$3:$AO$3,0),FALSE)+$BL180/VLOOKUP(VLOOKUP($BJ180,坦克个性化设定!$B$18:$E$48,4,FALSE)&amp;$BK180,坦克属性分配比例,MATCH("升星次数",坦克属性分配比例标头,0),FALSE)*VLOOKUP($BJ180,$AR$3:$AY$33,MATCH(BX$3,$AR$3:$AY$3,0),FALSE),2)</f>
        <v>0.4</v>
      </c>
      <c r="BY180" s="2">
        <f>ROUND(VLOOKUP($BJ180,$AI$3:$AO$33,MATCH(BY$3,$AI$3:$AO$3,0),FALSE)-$BL180/VLOOKUP(VLOOKUP($BJ180,坦克个性化设定!$B$18:$E$48,4,FALSE)&amp;$BK180,坦克属性分配比例,MATCH("升星次数",坦克属性分配比例标头,0),FALSE)*VLOOKUP($BJ180,$AR$3:$AY$33,MATCH(BY$3,$AR$3:$AY$3,0),FALSE),2)</f>
        <v>0.85</v>
      </c>
    </row>
    <row r="181" spans="60:77" x14ac:dyDescent="0.3">
      <c r="BH181" s="2" t="str">
        <f t="shared" si="27"/>
        <v>潘兴11</v>
      </c>
      <c r="BI181" s="2">
        <f>IF(BL180&gt;=VLOOKUP(VLOOKUP(BJ180,坦克个性化设定!$B$18:$E$48,4,FALSE)&amp;BK180,坦克属性分配比例,MATCH("升星次数",坦克属性分配比例标头,0),FALSE),BI180+1,BI180)</f>
        <v>18</v>
      </c>
      <c r="BJ181" s="2" t="str">
        <f t="shared" si="28"/>
        <v>潘兴</v>
      </c>
      <c r="BK181" s="29" t="str">
        <f>VLOOKUP(BJ181,坦克个性化细分!$I$3:$J$33,2,FALSE)</f>
        <v>中</v>
      </c>
      <c r="BL181" s="2">
        <f t="shared" si="26"/>
        <v>11</v>
      </c>
      <c r="BM181" s="103">
        <f ca="1">ROUND(VLOOKUP($BJ181&amp;"初始",$S$3:$AE$63,MATCH(BM$3,$S$3:$AE$3,0),FALSE)+((VLOOKUP($BJ181&amp;"最终",$S$3:$AE$63,MATCH(BM$3,$S$3:$AE$3,0),FALSE)*坦克个性化细分!$C$9-VLOOKUP($BJ181&amp;"初始",$S$3:$AE$63,MATCH(BM$3,$S$3:$AE$3,0),FALSE))-(VLOOKUP($BJ181&amp;"最终",$S$3:$AE$63,MATCH(BM$3,$S$3:$AE$3,0),FALSE)-VLOOKUP($BJ181&amp;"初始",$S$3:$AE$63,MATCH(BM$3,$S$3:$AE$3,0),FALSE))*VLOOKUP(VLOOKUP($BJ181,坦克个性化设定!$B$18:$E$48,4,FALSE)&amp;$BK181,坦克属性分配比例,MATCH("部件比例",坦克属性分配比例标头,0),FALSE))*$BL181/VLOOKUP(VLOOKUP($BJ181,坦克个性化设定!$B$18:$E$48,4,FALSE)&amp;$BK181,坦克属性分配比例,MATCH("升星次数",坦克属性分配比例标头,0),FALSE),0)</f>
        <v>2552</v>
      </c>
      <c r="BN181" s="103">
        <f ca="1">ROUND(VLOOKUP($BJ181&amp;"初始",$S$3:$AE$63,MATCH(BN$3,$S$3:$AE$3,0),FALSE)+(VLOOKUP($BJ181&amp;"最终",$S$3:$AE$63,MATCH(BN$3,$S$3:$AE$3,0),FALSE)-VLOOKUP($BJ181&amp;"初始",$S$3:$AE$63,MATCH(BN$3,$S$3:$AE$3,0),FALSE))*$BL181/VLOOKUP(VLOOKUP($BJ181,坦克个性化设定!$B$18:$E$48,4,FALSE)&amp;$BK181,坦克属性分配比例,MATCH("升星次数",坦克属性分配比例标头,0),FALSE)*VLOOKUP(VLOOKUP($BJ181,坦克个性化设定!$B$18:$E$48,4,FALSE)&amp;$BK181,坦克属性分配比例,MATCH("升星比例",坦克属性分配比例标头,0),FALSE),0)</f>
        <v>266</v>
      </c>
      <c r="BO181" s="103">
        <f ca="1">ROUND(VLOOKUP($BJ181&amp;"初始",$S$3:$AE$63,MATCH(BO$3,$S$3:$AE$3,0),FALSE)+(VLOOKUP($BJ181&amp;"最终",$S$3:$AE$63,MATCH(BO$3,$S$3:$AE$3,0),FALSE)-VLOOKUP($BJ181&amp;"初始",$S$3:$AE$63,MATCH(BO$3,$S$3:$AE$3,0),FALSE))*$BL181/VLOOKUP(VLOOKUP($BJ181,坦克个性化设定!$B$18:$E$48,4,FALSE)&amp;$BK181,坦克属性分配比例,MATCH("升星次数",坦克属性分配比例标头,0),FALSE)*(VLOOKUP(VLOOKUP($BJ181,坦克个性化设定!$B$18:$E$48,4,FALSE)&amp;$BK181,坦克属性分配比例,MATCH("升星比例",坦克属性分配比例标头,0),FALSE)+VLOOKUP(VLOOKUP($BJ181,坦克个性化设定!$B$18:$E$48,4,FALSE)&amp;$BK181,坦克属性分配比例,MATCH("部件比例",坦克属性分配比例标头,0),FALSE)*$C$3),0)</f>
        <v>916</v>
      </c>
      <c r="BP181" s="103">
        <f ca="1">ROUND(VLOOKUP($BJ181&amp;"初始",$S$3:$AE$63,MATCH(BP$3,$S$3:$AE$3,0),FALSE)+(VLOOKUP($BJ181&amp;"最终",$S$3:$AE$63,MATCH(BP$3,$S$3:$AE$3,0),FALSE)-VLOOKUP($BJ181&amp;"初始",$S$3:$AE$63,MATCH(BP$3,$S$3:$AE$3,0),FALSE))*$BL181/VLOOKUP(VLOOKUP($BJ181,坦克个性化设定!$B$18:$E$48,4,FALSE)&amp;$BK181,坦克属性分配比例,MATCH("升星次数",坦克属性分配比例标头,0),FALSE)*(VLOOKUP(VLOOKUP($BJ181,坦克个性化设定!$B$18:$E$48,4,FALSE)&amp;$BK181,坦克属性分配比例,MATCH("升星比例",坦克属性分配比例标头,0),FALSE)+VLOOKUP(VLOOKUP($BJ181,坦克个性化设定!$B$18:$E$48,4,FALSE)&amp;$BK181,坦克属性分配比例,MATCH("部件比例",坦克属性分配比例标头,0),FALSE)*$C$3),0)</f>
        <v>687</v>
      </c>
      <c r="BQ181" s="103">
        <f ca="1">ROUND(VLOOKUP($BJ181&amp;"初始",$S$3:$AE$63,MATCH(BQ$3,$S$3:$AE$3,0),FALSE)+(VLOOKUP($BJ181&amp;"最终",$S$3:$AE$63,MATCH(BQ$3,$S$3:$AE$3,0),FALSE)-VLOOKUP($BJ181&amp;"初始",$S$3:$AE$63,MATCH(BQ$3,$S$3:$AE$3,0),FALSE))*$BL181/VLOOKUP(VLOOKUP($BJ181,坦克个性化设定!$B$18:$E$48,4,FALSE)&amp;$BK181,坦克属性分配比例,MATCH("升星次数",坦克属性分配比例标头,0),FALSE)*VLOOKUP(VLOOKUP($BJ181,坦克个性化设定!$B$18:$E$48,4,FALSE)&amp;$BK181,坦克属性分配比例,MATCH("升星比例",坦克属性分配比例标头,0),FALSE),0)</f>
        <v>910</v>
      </c>
      <c r="BR181" s="2">
        <f ca="1">ROUND(VLOOKUP($BJ181&amp;"初始",$S$3:$AE$63,MATCH(BR$3,$S$3:$AE$3,0),FALSE)+(VLOOKUP($BJ181&amp;"最终",$S$3:$AE$63,MATCH(BR$3,$S$3:$AE$3,0),FALSE)-VLOOKUP($BJ181&amp;"初始",$S$3:$AE$63,MATCH(BR$3,$S$3:$AE$3,0),FALSE))*$BL181/VLOOKUP(VLOOKUP($BJ181,坦克个性化设定!$B$18:$E$48,4,FALSE)&amp;$BK181,坦克属性分配比例,MATCH("升星次数",坦克属性分配比例标头,0),FALSE),0)</f>
        <v>256</v>
      </c>
      <c r="BS181" s="2">
        <f>ROUND(VLOOKUP($BJ181,$AI$3:$AO$33,MATCH(BS$3,$AI$3:$AO$3,0),FALSE)+$BL181/VLOOKUP(VLOOKUP($BJ181,坦克个性化设定!$B$18:$E$48,4,FALSE)&amp;$BK181,坦克属性分配比例,MATCH("升星次数",坦克属性分配比例标头,0),FALSE)*VLOOKUP($BJ181,$AR$3:$AY$33,MATCH(BS$3,$AR$3:$AY$3,0),FALSE),1)</f>
        <v>45.4</v>
      </c>
      <c r="BT181" s="2">
        <f>ROUND(VLOOKUP($BJ181,$AI$3:$AO$33,MATCH(BT$3,$AI$3:$AO$3,0),FALSE)+$BL181/VLOOKUP(VLOOKUP($BJ181,坦克个性化设定!$B$18:$E$48,4,FALSE)&amp;$BK181,坦克属性分配比例,MATCH("升星次数",坦克属性分配比例标头,0),FALSE)*VLOOKUP($BJ181,$AR$3:$AY$33,MATCH(BT$3,$AR$3:$AY$3,0),FALSE),1)</f>
        <v>63.8</v>
      </c>
      <c r="BU181" s="2">
        <f>ROUND(VLOOKUP($BJ181,$AI$3:$AO$33,MATCH(BU$3,$AI$3:$AO$3,0),FALSE)+$BL181/VLOOKUP(VLOOKUP($BJ181,坦克个性化设定!$B$18:$E$48,4,FALSE)&amp;$BK181,坦克属性分配比例,MATCH("升星次数",坦克属性分配比例标头,0),FALSE)*VLOOKUP($BJ181,$AR$3:$AY$33,MATCH(BU$3,$AR$3:$AY$3,0),FALSE),1)</f>
        <v>7.3</v>
      </c>
      <c r="BV181" s="2">
        <f>IF(VLOOKUP(BJ181,坦克个性化设定!$B$18:$BC$48,MATCH("装弹类型",坦克个性化设定!$B$18:$BC$18,0),FALSE)="弹夹换弹",0,ROUND(VLOOKUP($BJ181,$AI$3:$AO$33,MATCH("换弹时间",$AI$3:$AO$3,0),FALSE)-$BL181/VLOOKUP(VLOOKUP($BJ181,坦克个性化设定!$B$18:$E$48,4,FALSE)&amp;$BK181,坦克属性分配比例,MATCH("升星次数",坦克属性分配比例标头,0),FALSE)*VLOOKUP($BJ181,$AR$3:$AY$33,MATCH("换弹时间",$AR$3:$AY$3,0),FALSE),2))</f>
        <v>2.9</v>
      </c>
      <c r="BW181" s="2">
        <f>IF(VLOOKUP(BJ181,坦克个性化设定!$B$18:$BC$48,MATCH("装弹类型",坦克个性化设定!$B$18:$BC$18,0),FALSE)="弹夹换弹",ROUND(VLOOKUP($BJ181,$AI$3:$AO$33,MATCH("换弹时间",$AI$3:$AO$3,0),FALSE)-$BL181/VLOOKUP(VLOOKUP($BJ181,坦克个性化设定!$B$18:$E$48,4,FALSE)&amp;$BK181,坦克属性分配比例,MATCH("升星次数",坦克属性分配比例标头,0),FALSE)*VLOOKUP($BJ181,$AR$3:$AY$33,MATCH("换弹时间",$AR$3:$AY$3,0),FALSE),1),0)</f>
        <v>0</v>
      </c>
      <c r="BX181" s="2">
        <f>ROUND(VLOOKUP($BJ181,$AI$3:$AO$33,MATCH(BX$3,$AI$3:$AO$3,0),FALSE)+$BL181/VLOOKUP(VLOOKUP($BJ181,坦克个性化设定!$B$18:$E$48,4,FALSE)&amp;$BK181,坦克属性分配比例,MATCH("升星次数",坦克属性分配比例标头,0),FALSE)*VLOOKUP($BJ181,$AR$3:$AY$33,MATCH(BX$3,$AR$3:$AY$3,0),FALSE),2)</f>
        <v>0.4</v>
      </c>
      <c r="BY181" s="2">
        <f>ROUND(VLOOKUP($BJ181,$AI$3:$AO$33,MATCH(BY$3,$AI$3:$AO$3,0),FALSE)-$BL181/VLOOKUP(VLOOKUP($BJ181,坦克个性化设定!$B$18:$E$48,4,FALSE)&amp;$BK181,坦克属性分配比例,MATCH("升星次数",坦克属性分配比例标头,0),FALSE)*VLOOKUP($BJ181,$AR$3:$AY$33,MATCH(BY$3,$AR$3:$AY$3,0),FALSE),2)</f>
        <v>0.83</v>
      </c>
    </row>
    <row r="182" spans="60:77" x14ac:dyDescent="0.3">
      <c r="BH182" s="2" t="str">
        <f t="shared" si="27"/>
        <v>百夫长0</v>
      </c>
      <c r="BI182" s="2">
        <f>IF(BL181&gt;=VLOOKUP(VLOOKUP(BJ181,坦克个性化设定!$B$18:$E$48,4,FALSE)&amp;BK181,坦克属性分配比例,MATCH("升星次数",坦克属性分配比例标头,0),FALSE),BI181+1,BI181)</f>
        <v>19</v>
      </c>
      <c r="BJ182" s="2" t="str">
        <f t="shared" si="28"/>
        <v>百夫长</v>
      </c>
      <c r="BK182" s="29" t="str">
        <f>VLOOKUP(BJ182,坦克个性化细分!$I$3:$J$33,2,FALSE)</f>
        <v>高</v>
      </c>
      <c r="BL182" s="2">
        <f t="shared" si="26"/>
        <v>0</v>
      </c>
      <c r="BM182" s="103">
        <f ca="1">ROUND(VLOOKUP($BJ182&amp;"初始",$S$3:$AE$63,MATCH(BM$3,$S$3:$AE$3,0),FALSE)+((VLOOKUP($BJ182&amp;"最终",$S$3:$AE$63,MATCH(BM$3,$S$3:$AE$3,0),FALSE)*坦克个性化细分!$C$9-VLOOKUP($BJ182&amp;"初始",$S$3:$AE$63,MATCH(BM$3,$S$3:$AE$3,0),FALSE))-(VLOOKUP($BJ182&amp;"最终",$S$3:$AE$63,MATCH(BM$3,$S$3:$AE$3,0),FALSE)-VLOOKUP($BJ182&amp;"初始",$S$3:$AE$63,MATCH(BM$3,$S$3:$AE$3,0),FALSE))*VLOOKUP(VLOOKUP($BJ182,坦克个性化设定!$B$18:$E$48,4,FALSE)&amp;$BK182,坦克属性分配比例,MATCH("部件比例",坦克属性分配比例标头,0),FALSE))*$BL182/VLOOKUP(VLOOKUP($BJ182,坦克个性化设定!$B$18:$E$48,4,FALSE)&amp;$BK182,坦克属性分配比例,MATCH("升星次数",坦克属性分配比例标头,0),FALSE),0)</f>
        <v>1945</v>
      </c>
      <c r="BN182" s="103">
        <f ca="1">ROUND(VLOOKUP($BJ182&amp;"初始",$S$3:$AE$63,MATCH(BN$3,$S$3:$AE$3,0),FALSE)+(VLOOKUP($BJ182&amp;"最终",$S$3:$AE$63,MATCH(BN$3,$S$3:$AE$3,0),FALSE)-VLOOKUP($BJ182&amp;"初始",$S$3:$AE$63,MATCH(BN$3,$S$3:$AE$3,0),FALSE))*$BL182/VLOOKUP(VLOOKUP($BJ182,坦克个性化设定!$B$18:$E$48,4,FALSE)&amp;$BK182,坦克属性分配比例,MATCH("升星次数",坦克属性分配比例标头,0),FALSE)*VLOOKUP(VLOOKUP($BJ182,坦克个性化设定!$B$18:$E$48,4,FALSE)&amp;$BK182,坦克属性分配比例,MATCH("升星比例",坦克属性分配比例标头,0),FALSE),0)</f>
        <v>201</v>
      </c>
      <c r="BO182" s="103">
        <f ca="1">ROUND(VLOOKUP($BJ182&amp;"初始",$S$3:$AE$63,MATCH(BO$3,$S$3:$AE$3,0),FALSE)+(VLOOKUP($BJ182&amp;"最终",$S$3:$AE$63,MATCH(BO$3,$S$3:$AE$3,0),FALSE)-VLOOKUP($BJ182&amp;"初始",$S$3:$AE$63,MATCH(BO$3,$S$3:$AE$3,0),FALSE))*$BL182/VLOOKUP(VLOOKUP($BJ182,坦克个性化设定!$B$18:$E$48,4,FALSE)&amp;$BK182,坦克属性分配比例,MATCH("升星次数",坦克属性分配比例标头,0),FALSE)*(VLOOKUP(VLOOKUP($BJ182,坦克个性化设定!$B$18:$E$48,4,FALSE)&amp;$BK182,坦克属性分配比例,MATCH("升星比例",坦克属性分配比例标头,0),FALSE)+VLOOKUP(VLOOKUP($BJ182,坦克个性化设定!$B$18:$E$48,4,FALSE)&amp;$BK182,坦克属性分配比例,MATCH("部件比例",坦克属性分配比例标头,0),FALSE)*$C$3),0)</f>
        <v>657</v>
      </c>
      <c r="BP182" s="103">
        <f ca="1">ROUND(VLOOKUP($BJ182&amp;"初始",$S$3:$AE$63,MATCH(BP$3,$S$3:$AE$3,0),FALSE)+(VLOOKUP($BJ182&amp;"最终",$S$3:$AE$63,MATCH(BP$3,$S$3:$AE$3,0),FALSE)-VLOOKUP($BJ182&amp;"初始",$S$3:$AE$63,MATCH(BP$3,$S$3:$AE$3,0),FALSE))*$BL182/VLOOKUP(VLOOKUP($BJ182,坦克个性化设定!$B$18:$E$48,4,FALSE)&amp;$BK182,坦克属性分配比例,MATCH("升星次数",坦克属性分配比例标头,0),FALSE)*(VLOOKUP(VLOOKUP($BJ182,坦克个性化设定!$B$18:$E$48,4,FALSE)&amp;$BK182,坦克属性分配比例,MATCH("升星比例",坦克属性分配比例标头,0),FALSE)+VLOOKUP(VLOOKUP($BJ182,坦克个性化设定!$B$18:$E$48,4,FALSE)&amp;$BK182,坦克属性分配比例,MATCH("部件比例",坦克属性分配比例标头,0),FALSE)*$C$3),0)</f>
        <v>493</v>
      </c>
      <c r="BQ182" s="103">
        <f ca="1">ROUND(VLOOKUP($BJ182&amp;"初始",$S$3:$AE$63,MATCH(BQ$3,$S$3:$AE$3,0),FALSE)+(VLOOKUP($BJ182&amp;"最终",$S$3:$AE$63,MATCH(BQ$3,$S$3:$AE$3,0),FALSE)-VLOOKUP($BJ182&amp;"初始",$S$3:$AE$63,MATCH(BQ$3,$S$3:$AE$3,0),FALSE))*$BL182/VLOOKUP(VLOOKUP($BJ182,坦克个性化设定!$B$18:$E$48,4,FALSE)&amp;$BK182,坦克属性分配比例,MATCH("升星次数",坦克属性分配比例标头,0),FALSE)*VLOOKUP(VLOOKUP($BJ182,坦克个性化设定!$B$18:$E$48,4,FALSE)&amp;$BK182,坦克属性分配比例,MATCH("升星比例",坦克属性分配比例标头,0),FALSE),0)</f>
        <v>720</v>
      </c>
      <c r="BR182" s="2">
        <f ca="1">ROUND(VLOOKUP($BJ182&amp;"初始",$S$3:$AE$63,MATCH(BR$3,$S$3:$AE$3,0),FALSE)+(VLOOKUP($BJ182&amp;"最终",$S$3:$AE$63,MATCH(BR$3,$S$3:$AE$3,0),FALSE)-VLOOKUP($BJ182&amp;"初始",$S$3:$AE$63,MATCH(BR$3,$S$3:$AE$3,0),FALSE))*$BL182/VLOOKUP(VLOOKUP($BJ182,坦克个性化设定!$B$18:$E$48,4,FALSE)&amp;$BK182,坦克属性分配比例,MATCH("升星次数",坦克属性分配比例标头,0),FALSE),0)</f>
        <v>173</v>
      </c>
      <c r="BS182" s="2">
        <f>ROUND(VLOOKUP($BJ182,$AI$3:$AO$33,MATCH(BS$3,$AI$3:$AO$3,0),FALSE)+$BL182/VLOOKUP(VLOOKUP($BJ182,坦克个性化设定!$B$18:$E$48,4,FALSE)&amp;$BK182,坦克属性分配比例,MATCH("升星次数",坦克属性分配比例标头,0),FALSE)*VLOOKUP($BJ182,$AR$3:$AY$33,MATCH(BS$3,$AR$3:$AY$3,0),FALSE),1)</f>
        <v>46.7</v>
      </c>
      <c r="BT182" s="2">
        <f>ROUND(VLOOKUP($BJ182,$AI$3:$AO$33,MATCH(BT$3,$AI$3:$AO$3,0),FALSE)+$BL182/VLOOKUP(VLOOKUP($BJ182,坦克个性化设定!$B$18:$E$48,4,FALSE)&amp;$BK182,坦克属性分配比例,MATCH("升星次数",坦克属性分配比例标头,0),FALSE)*VLOOKUP($BJ182,$AR$3:$AY$33,MATCH(BT$3,$AR$3:$AY$3,0),FALSE),1)</f>
        <v>42</v>
      </c>
      <c r="BU182" s="2">
        <f>ROUND(VLOOKUP($BJ182,$AI$3:$AO$33,MATCH(BU$3,$AI$3:$AO$3,0),FALSE)+$BL182/VLOOKUP(VLOOKUP($BJ182,坦克个性化设定!$B$18:$E$48,4,FALSE)&amp;$BK182,坦克属性分配比例,MATCH("升星次数",坦克属性分配比例标头,0),FALSE)*VLOOKUP($BJ182,$AR$3:$AY$33,MATCH(BU$3,$AR$3:$AY$3,0),FALSE),1)</f>
        <v>8.4</v>
      </c>
      <c r="BV182" s="2">
        <f>IF(VLOOKUP(BJ182,坦克个性化设定!$B$18:$BC$48,MATCH("装弹类型",坦克个性化设定!$B$18:$BC$18,0),FALSE)="弹夹换弹",0,ROUND(VLOOKUP($BJ182,$AI$3:$AO$33,MATCH("换弹时间",$AI$3:$AO$3,0),FALSE)-$BL182/VLOOKUP(VLOOKUP($BJ182,坦克个性化设定!$B$18:$E$48,4,FALSE)&amp;$BK182,坦克属性分配比例,MATCH("升星次数",坦克属性分配比例标头,0),FALSE)*VLOOKUP($BJ182,$AR$3:$AY$33,MATCH("换弹时间",$AR$3:$AY$3,0),FALSE),2))</f>
        <v>2.4</v>
      </c>
      <c r="BW182" s="2">
        <f>IF(VLOOKUP(BJ182,坦克个性化设定!$B$18:$BC$48,MATCH("装弹类型",坦克个性化设定!$B$18:$BC$18,0),FALSE)="弹夹换弹",ROUND(VLOOKUP($BJ182,$AI$3:$AO$33,MATCH("换弹时间",$AI$3:$AO$3,0),FALSE)-$BL182/VLOOKUP(VLOOKUP($BJ182,坦克个性化设定!$B$18:$E$48,4,FALSE)&amp;$BK182,坦克属性分配比例,MATCH("升星次数",坦克属性分配比例标头,0),FALSE)*VLOOKUP($BJ182,$AR$3:$AY$33,MATCH("换弹时间",$AR$3:$AY$3,0),FALSE),1),0)</f>
        <v>0</v>
      </c>
      <c r="BX182" s="2">
        <f>ROUND(VLOOKUP($BJ182,$AI$3:$AO$33,MATCH(BX$3,$AI$3:$AO$3,0),FALSE)+$BL182/VLOOKUP(VLOOKUP($BJ182,坦克个性化设定!$B$18:$E$48,4,FALSE)&amp;$BK182,坦克属性分配比例,MATCH("升星次数",坦克属性分配比例标头,0),FALSE)*VLOOKUP($BJ182,$AR$3:$AY$33,MATCH(BX$3,$AR$3:$AY$3,0),FALSE),2)</f>
        <v>0.26</v>
      </c>
      <c r="BY182" s="2">
        <f>ROUND(VLOOKUP($BJ182,$AI$3:$AO$33,MATCH(BY$3,$AI$3:$AO$3,0),FALSE)-$BL182/VLOOKUP(VLOOKUP($BJ182,坦克个性化设定!$B$18:$E$48,4,FALSE)&amp;$BK182,坦克属性分配比例,MATCH("升星次数",坦克属性分配比例标头,0),FALSE)*VLOOKUP($BJ182,$AR$3:$AY$33,MATCH(BY$3,$AR$3:$AY$3,0),FALSE),2)</f>
        <v>1.87</v>
      </c>
    </row>
    <row r="183" spans="60:77" x14ac:dyDescent="0.3">
      <c r="BH183" s="2" t="str">
        <f t="shared" si="27"/>
        <v>百夫长1</v>
      </c>
      <c r="BI183" s="2">
        <f>IF(BL182&gt;=VLOOKUP(VLOOKUP(BJ182,坦克个性化设定!$B$18:$E$48,4,FALSE)&amp;BK182,坦克属性分配比例,MATCH("升星次数",坦克属性分配比例标头,0),FALSE),BI182+1,BI182)</f>
        <v>19</v>
      </c>
      <c r="BJ183" s="2" t="str">
        <f t="shared" si="28"/>
        <v>百夫长</v>
      </c>
      <c r="BK183" s="29" t="str">
        <f>VLOOKUP(BJ183,坦克个性化细分!$I$3:$J$33,2,FALSE)</f>
        <v>高</v>
      </c>
      <c r="BL183" s="2">
        <f t="shared" si="26"/>
        <v>1</v>
      </c>
      <c r="BM183" s="103">
        <f ca="1">ROUND(VLOOKUP($BJ183&amp;"初始",$S$3:$AE$63,MATCH(BM$3,$S$3:$AE$3,0),FALSE)+((VLOOKUP($BJ183&amp;"最终",$S$3:$AE$63,MATCH(BM$3,$S$3:$AE$3,0),FALSE)*坦克个性化细分!$C$9-VLOOKUP($BJ183&amp;"初始",$S$3:$AE$63,MATCH(BM$3,$S$3:$AE$3,0),FALSE))-(VLOOKUP($BJ183&amp;"最终",$S$3:$AE$63,MATCH(BM$3,$S$3:$AE$3,0),FALSE)-VLOOKUP($BJ183&amp;"初始",$S$3:$AE$63,MATCH(BM$3,$S$3:$AE$3,0),FALSE))*VLOOKUP(VLOOKUP($BJ183,坦克个性化设定!$B$18:$E$48,4,FALSE)&amp;$BK183,坦克属性分配比例,MATCH("部件比例",坦克属性分配比例标头,0),FALSE))*$BL183/VLOOKUP(VLOOKUP($BJ183,坦克个性化设定!$B$18:$E$48,4,FALSE)&amp;$BK183,坦克属性分配比例,MATCH("升星次数",坦克属性分配比例标头,0),FALSE),0)</f>
        <v>2031</v>
      </c>
      <c r="BN183" s="103">
        <f ca="1">ROUND(VLOOKUP($BJ183&amp;"初始",$S$3:$AE$63,MATCH(BN$3,$S$3:$AE$3,0),FALSE)+(VLOOKUP($BJ183&amp;"最终",$S$3:$AE$63,MATCH(BN$3,$S$3:$AE$3,0),FALSE)-VLOOKUP($BJ183&amp;"初始",$S$3:$AE$63,MATCH(BN$3,$S$3:$AE$3,0),FALSE))*$BL183/VLOOKUP(VLOOKUP($BJ183,坦克个性化设定!$B$18:$E$48,4,FALSE)&amp;$BK183,坦克属性分配比例,MATCH("升星次数",坦克属性分配比例标头,0),FALSE)*VLOOKUP(VLOOKUP($BJ183,坦克个性化设定!$B$18:$E$48,4,FALSE)&amp;$BK183,坦克属性分配比例,MATCH("升星比例",坦克属性分配比例标头,0),FALSE),0)</f>
        <v>206</v>
      </c>
      <c r="BO183" s="103">
        <f ca="1">ROUND(VLOOKUP($BJ183&amp;"初始",$S$3:$AE$63,MATCH(BO$3,$S$3:$AE$3,0),FALSE)+(VLOOKUP($BJ183&amp;"最终",$S$3:$AE$63,MATCH(BO$3,$S$3:$AE$3,0),FALSE)-VLOOKUP($BJ183&amp;"初始",$S$3:$AE$63,MATCH(BO$3,$S$3:$AE$3,0),FALSE))*$BL183/VLOOKUP(VLOOKUP($BJ183,坦克个性化设定!$B$18:$E$48,4,FALSE)&amp;$BK183,坦克属性分配比例,MATCH("升星次数",坦克属性分配比例标头,0),FALSE)*(VLOOKUP(VLOOKUP($BJ183,坦克个性化设定!$B$18:$E$48,4,FALSE)&amp;$BK183,坦克属性分配比例,MATCH("升星比例",坦克属性分配比例标头,0),FALSE)+VLOOKUP(VLOOKUP($BJ183,坦克个性化设定!$B$18:$E$48,4,FALSE)&amp;$BK183,坦克属性分配比例,MATCH("部件比例",坦克属性分配比例标头,0),FALSE)*$C$3),0)</f>
        <v>682</v>
      </c>
      <c r="BP183" s="103">
        <f ca="1">ROUND(VLOOKUP($BJ183&amp;"初始",$S$3:$AE$63,MATCH(BP$3,$S$3:$AE$3,0),FALSE)+(VLOOKUP($BJ183&amp;"最终",$S$3:$AE$63,MATCH(BP$3,$S$3:$AE$3,0),FALSE)-VLOOKUP($BJ183&amp;"初始",$S$3:$AE$63,MATCH(BP$3,$S$3:$AE$3,0),FALSE))*$BL183/VLOOKUP(VLOOKUP($BJ183,坦克个性化设定!$B$18:$E$48,4,FALSE)&amp;$BK183,坦克属性分配比例,MATCH("升星次数",坦克属性分配比例标头,0),FALSE)*(VLOOKUP(VLOOKUP($BJ183,坦克个性化设定!$B$18:$E$48,4,FALSE)&amp;$BK183,坦克属性分配比例,MATCH("升星比例",坦克属性分配比例标头,0),FALSE)+VLOOKUP(VLOOKUP($BJ183,坦克个性化设定!$B$18:$E$48,4,FALSE)&amp;$BK183,坦克属性分配比例,MATCH("部件比例",坦克属性分配比例标头,0),FALSE)*$C$3),0)</f>
        <v>512</v>
      </c>
      <c r="BQ183" s="103">
        <f ca="1">ROUND(VLOOKUP($BJ183&amp;"初始",$S$3:$AE$63,MATCH(BQ$3,$S$3:$AE$3,0),FALSE)+(VLOOKUP($BJ183&amp;"最终",$S$3:$AE$63,MATCH(BQ$3,$S$3:$AE$3,0),FALSE)-VLOOKUP($BJ183&amp;"初始",$S$3:$AE$63,MATCH(BQ$3,$S$3:$AE$3,0),FALSE))*$BL183/VLOOKUP(VLOOKUP($BJ183,坦克个性化设定!$B$18:$E$48,4,FALSE)&amp;$BK183,坦克属性分配比例,MATCH("升星次数",坦克属性分配比例标头,0),FALSE)*VLOOKUP(VLOOKUP($BJ183,坦克个性化设定!$B$18:$E$48,4,FALSE)&amp;$BK183,坦克属性分配比例,MATCH("升星比例",坦克属性分配比例标头,0),FALSE),0)</f>
        <v>738</v>
      </c>
      <c r="BR183" s="2">
        <f ca="1">ROUND(VLOOKUP($BJ183&amp;"初始",$S$3:$AE$63,MATCH(BR$3,$S$3:$AE$3,0),FALSE)+(VLOOKUP($BJ183&amp;"最终",$S$3:$AE$63,MATCH(BR$3,$S$3:$AE$3,0),FALSE)-VLOOKUP($BJ183&amp;"初始",$S$3:$AE$63,MATCH(BR$3,$S$3:$AE$3,0),FALSE))*$BL183/VLOOKUP(VLOOKUP($BJ183,坦克个性化设定!$B$18:$E$48,4,FALSE)&amp;$BK183,坦克属性分配比例,MATCH("升星次数",坦克属性分配比例标头,0),FALSE),0)</f>
        <v>181</v>
      </c>
      <c r="BS183" s="2">
        <f>ROUND(VLOOKUP($BJ183,$AI$3:$AO$33,MATCH(BS$3,$AI$3:$AO$3,0),FALSE)+$BL183/VLOOKUP(VLOOKUP($BJ183,坦克个性化设定!$B$18:$E$48,4,FALSE)&amp;$BK183,坦克属性分配比例,MATCH("升星次数",坦克属性分配比例标头,0),FALSE)*VLOOKUP($BJ183,$AR$3:$AY$33,MATCH(BS$3,$AR$3:$AY$3,0),FALSE),1)</f>
        <v>47.8</v>
      </c>
      <c r="BT183" s="2">
        <f>ROUND(VLOOKUP($BJ183,$AI$3:$AO$33,MATCH(BT$3,$AI$3:$AO$3,0),FALSE)+$BL183/VLOOKUP(VLOOKUP($BJ183,坦克个性化设定!$B$18:$E$48,4,FALSE)&amp;$BK183,坦克属性分配比例,MATCH("升星次数",坦克属性分配比例标头,0),FALSE)*VLOOKUP($BJ183,$AR$3:$AY$33,MATCH(BT$3,$AR$3:$AY$3,0),FALSE),1)</f>
        <v>43</v>
      </c>
      <c r="BU183" s="2">
        <f>ROUND(VLOOKUP($BJ183,$AI$3:$AO$33,MATCH(BU$3,$AI$3:$AO$3,0),FALSE)+$BL183/VLOOKUP(VLOOKUP($BJ183,坦克个性化设定!$B$18:$E$48,4,FALSE)&amp;$BK183,坦克属性分配比例,MATCH("升星次数",坦克属性分配比例标头,0),FALSE)*VLOOKUP($BJ183,$AR$3:$AY$33,MATCH(BU$3,$AR$3:$AY$3,0),FALSE),1)</f>
        <v>8.4</v>
      </c>
      <c r="BV183" s="2">
        <f>IF(VLOOKUP(BJ183,坦克个性化设定!$B$18:$BC$48,MATCH("装弹类型",坦克个性化设定!$B$18:$BC$18,0),FALSE)="弹夹换弹",0,ROUND(VLOOKUP($BJ183,$AI$3:$AO$33,MATCH("换弹时间",$AI$3:$AO$3,0),FALSE)-$BL183/VLOOKUP(VLOOKUP($BJ183,坦克个性化设定!$B$18:$E$48,4,FALSE)&amp;$BK183,坦克属性分配比例,MATCH("升星次数",坦克属性分配比例标头,0),FALSE)*VLOOKUP($BJ183,$AR$3:$AY$33,MATCH("换弹时间",$AR$3:$AY$3,0),FALSE),2))</f>
        <v>2.37</v>
      </c>
      <c r="BW183" s="2">
        <f>IF(VLOOKUP(BJ183,坦克个性化设定!$B$18:$BC$48,MATCH("装弹类型",坦克个性化设定!$B$18:$BC$18,0),FALSE)="弹夹换弹",ROUND(VLOOKUP($BJ183,$AI$3:$AO$33,MATCH("换弹时间",$AI$3:$AO$3,0),FALSE)-$BL183/VLOOKUP(VLOOKUP($BJ183,坦克个性化设定!$B$18:$E$48,4,FALSE)&amp;$BK183,坦克属性分配比例,MATCH("升星次数",坦克属性分配比例标头,0),FALSE)*VLOOKUP($BJ183,$AR$3:$AY$33,MATCH("换弹时间",$AR$3:$AY$3,0),FALSE),1),0)</f>
        <v>0</v>
      </c>
      <c r="BX183" s="2">
        <f>ROUND(VLOOKUP($BJ183,$AI$3:$AO$33,MATCH(BX$3,$AI$3:$AO$3,0),FALSE)+$BL183/VLOOKUP(VLOOKUP($BJ183,坦克个性化设定!$B$18:$E$48,4,FALSE)&amp;$BK183,坦克属性分配比例,MATCH("升星次数",坦克属性分配比例标头,0),FALSE)*VLOOKUP($BJ183,$AR$3:$AY$33,MATCH(BX$3,$AR$3:$AY$3,0),FALSE),2)</f>
        <v>0.26</v>
      </c>
      <c r="BY183" s="2">
        <f>ROUND(VLOOKUP($BJ183,$AI$3:$AO$33,MATCH(BY$3,$AI$3:$AO$3,0),FALSE)-$BL183/VLOOKUP(VLOOKUP($BJ183,坦克个性化设定!$B$18:$E$48,4,FALSE)&amp;$BK183,坦克属性分配比例,MATCH("升星次数",坦克属性分配比例标头,0),FALSE)*VLOOKUP($BJ183,$AR$3:$AY$33,MATCH(BY$3,$AR$3:$AY$3,0),FALSE),2)</f>
        <v>1.84</v>
      </c>
    </row>
    <row r="184" spans="60:77" x14ac:dyDescent="0.3">
      <c r="BH184" s="2" t="str">
        <f t="shared" si="27"/>
        <v>百夫长2</v>
      </c>
      <c r="BI184" s="2">
        <f>IF(BL183&gt;=VLOOKUP(VLOOKUP(BJ183,坦克个性化设定!$B$18:$E$48,4,FALSE)&amp;BK183,坦克属性分配比例,MATCH("升星次数",坦克属性分配比例标头,0),FALSE),BI183+1,BI183)</f>
        <v>19</v>
      </c>
      <c r="BJ184" s="2" t="str">
        <f t="shared" si="28"/>
        <v>百夫长</v>
      </c>
      <c r="BK184" s="29" t="str">
        <f>VLOOKUP(BJ184,坦克个性化细分!$I$3:$J$33,2,FALSE)</f>
        <v>高</v>
      </c>
      <c r="BL184" s="2">
        <f t="shared" si="26"/>
        <v>2</v>
      </c>
      <c r="BM184" s="103">
        <f ca="1">ROUND(VLOOKUP($BJ184&amp;"初始",$S$3:$AE$63,MATCH(BM$3,$S$3:$AE$3,0),FALSE)+((VLOOKUP($BJ184&amp;"最终",$S$3:$AE$63,MATCH(BM$3,$S$3:$AE$3,0),FALSE)*坦克个性化细分!$C$9-VLOOKUP($BJ184&amp;"初始",$S$3:$AE$63,MATCH(BM$3,$S$3:$AE$3,0),FALSE))-(VLOOKUP($BJ184&amp;"最终",$S$3:$AE$63,MATCH(BM$3,$S$3:$AE$3,0),FALSE)-VLOOKUP($BJ184&amp;"初始",$S$3:$AE$63,MATCH(BM$3,$S$3:$AE$3,0),FALSE))*VLOOKUP(VLOOKUP($BJ184,坦克个性化设定!$B$18:$E$48,4,FALSE)&amp;$BK184,坦克属性分配比例,MATCH("部件比例",坦克属性分配比例标头,0),FALSE))*$BL184/VLOOKUP(VLOOKUP($BJ184,坦克个性化设定!$B$18:$E$48,4,FALSE)&amp;$BK184,坦克属性分配比例,MATCH("升星次数",坦克属性分配比例标头,0),FALSE),0)</f>
        <v>2116</v>
      </c>
      <c r="BN184" s="103">
        <f ca="1">ROUND(VLOOKUP($BJ184&amp;"初始",$S$3:$AE$63,MATCH(BN$3,$S$3:$AE$3,0),FALSE)+(VLOOKUP($BJ184&amp;"最终",$S$3:$AE$63,MATCH(BN$3,$S$3:$AE$3,0),FALSE)-VLOOKUP($BJ184&amp;"初始",$S$3:$AE$63,MATCH(BN$3,$S$3:$AE$3,0),FALSE))*$BL184/VLOOKUP(VLOOKUP($BJ184,坦克个性化设定!$B$18:$E$48,4,FALSE)&amp;$BK184,坦克属性分配比例,MATCH("升星次数",坦克属性分配比例标头,0),FALSE)*VLOOKUP(VLOOKUP($BJ184,坦克个性化设定!$B$18:$E$48,4,FALSE)&amp;$BK184,坦克属性分配比例,MATCH("升星比例",坦克属性分配比例标头,0),FALSE),0)</f>
        <v>211</v>
      </c>
      <c r="BO184" s="103">
        <f ca="1">ROUND(VLOOKUP($BJ184&amp;"初始",$S$3:$AE$63,MATCH(BO$3,$S$3:$AE$3,0),FALSE)+(VLOOKUP($BJ184&amp;"最终",$S$3:$AE$63,MATCH(BO$3,$S$3:$AE$3,0),FALSE)-VLOOKUP($BJ184&amp;"初始",$S$3:$AE$63,MATCH(BO$3,$S$3:$AE$3,0),FALSE))*$BL184/VLOOKUP(VLOOKUP($BJ184,坦克个性化设定!$B$18:$E$48,4,FALSE)&amp;$BK184,坦克属性分配比例,MATCH("升星次数",坦克属性分配比例标头,0),FALSE)*(VLOOKUP(VLOOKUP($BJ184,坦克个性化设定!$B$18:$E$48,4,FALSE)&amp;$BK184,坦克属性分配比例,MATCH("升星比例",坦克属性分配比例标头,0),FALSE)+VLOOKUP(VLOOKUP($BJ184,坦克个性化设定!$B$18:$E$48,4,FALSE)&amp;$BK184,坦克属性分配比例,MATCH("部件比例",坦克属性分配比例标头,0),FALSE)*$C$3),0)</f>
        <v>707</v>
      </c>
      <c r="BP184" s="103">
        <f ca="1">ROUND(VLOOKUP($BJ184&amp;"初始",$S$3:$AE$63,MATCH(BP$3,$S$3:$AE$3,0),FALSE)+(VLOOKUP($BJ184&amp;"最终",$S$3:$AE$63,MATCH(BP$3,$S$3:$AE$3,0),FALSE)-VLOOKUP($BJ184&amp;"初始",$S$3:$AE$63,MATCH(BP$3,$S$3:$AE$3,0),FALSE))*$BL184/VLOOKUP(VLOOKUP($BJ184,坦克个性化设定!$B$18:$E$48,4,FALSE)&amp;$BK184,坦克属性分配比例,MATCH("升星次数",坦克属性分配比例标头,0),FALSE)*(VLOOKUP(VLOOKUP($BJ184,坦克个性化设定!$B$18:$E$48,4,FALSE)&amp;$BK184,坦克属性分配比例,MATCH("升星比例",坦克属性分配比例标头,0),FALSE)+VLOOKUP(VLOOKUP($BJ184,坦克个性化设定!$B$18:$E$48,4,FALSE)&amp;$BK184,坦克属性分配比例,MATCH("部件比例",坦克属性分配比例标头,0),FALSE)*$C$3),0)</f>
        <v>530</v>
      </c>
      <c r="BQ184" s="103">
        <f ca="1">ROUND(VLOOKUP($BJ184&amp;"初始",$S$3:$AE$63,MATCH(BQ$3,$S$3:$AE$3,0),FALSE)+(VLOOKUP($BJ184&amp;"最终",$S$3:$AE$63,MATCH(BQ$3,$S$3:$AE$3,0),FALSE)-VLOOKUP($BJ184&amp;"初始",$S$3:$AE$63,MATCH(BQ$3,$S$3:$AE$3,0),FALSE))*$BL184/VLOOKUP(VLOOKUP($BJ184,坦克个性化设定!$B$18:$E$48,4,FALSE)&amp;$BK184,坦克属性分配比例,MATCH("升星次数",坦克属性分配比例标头,0),FALSE)*VLOOKUP(VLOOKUP($BJ184,坦克个性化设定!$B$18:$E$48,4,FALSE)&amp;$BK184,坦克属性分配比例,MATCH("升星比例",坦克属性分配比例标头,0),FALSE),0)</f>
        <v>757</v>
      </c>
      <c r="BR184" s="2">
        <f ca="1">ROUND(VLOOKUP($BJ184&amp;"初始",$S$3:$AE$63,MATCH(BR$3,$S$3:$AE$3,0),FALSE)+(VLOOKUP($BJ184&amp;"最终",$S$3:$AE$63,MATCH(BR$3,$S$3:$AE$3,0),FALSE)-VLOOKUP($BJ184&amp;"初始",$S$3:$AE$63,MATCH(BR$3,$S$3:$AE$3,0),FALSE))*$BL184/VLOOKUP(VLOOKUP($BJ184,坦克个性化设定!$B$18:$E$48,4,FALSE)&amp;$BK184,坦克属性分配比例,MATCH("升星次数",坦克属性分配比例标头,0),FALSE),0)</f>
        <v>189</v>
      </c>
      <c r="BS184" s="2">
        <f>ROUND(VLOOKUP($BJ184,$AI$3:$AO$33,MATCH(BS$3,$AI$3:$AO$3,0),FALSE)+$BL184/VLOOKUP(VLOOKUP($BJ184,坦克个性化设定!$B$18:$E$48,4,FALSE)&amp;$BK184,坦克属性分配比例,MATCH("升星次数",坦克属性分配比例标头,0),FALSE)*VLOOKUP($BJ184,$AR$3:$AY$33,MATCH(BS$3,$AR$3:$AY$3,0),FALSE),1)</f>
        <v>48.8</v>
      </c>
      <c r="BT184" s="2">
        <f>ROUND(VLOOKUP($BJ184,$AI$3:$AO$33,MATCH(BT$3,$AI$3:$AO$3,0),FALSE)+$BL184/VLOOKUP(VLOOKUP($BJ184,坦克个性化设定!$B$18:$E$48,4,FALSE)&amp;$BK184,坦克属性分配比例,MATCH("升星次数",坦克属性分配比例标头,0),FALSE)*VLOOKUP($BJ184,$AR$3:$AY$33,MATCH(BT$3,$AR$3:$AY$3,0),FALSE),1)</f>
        <v>43.9</v>
      </c>
      <c r="BU184" s="2">
        <f>ROUND(VLOOKUP($BJ184,$AI$3:$AO$33,MATCH(BU$3,$AI$3:$AO$3,0),FALSE)+$BL184/VLOOKUP(VLOOKUP($BJ184,坦克个性化设定!$B$18:$E$48,4,FALSE)&amp;$BK184,坦克属性分配比例,MATCH("升星次数",坦克属性分配比例标头,0),FALSE)*VLOOKUP($BJ184,$AR$3:$AY$33,MATCH(BU$3,$AR$3:$AY$3,0),FALSE),1)</f>
        <v>8.4</v>
      </c>
      <c r="BV184" s="2">
        <f>IF(VLOOKUP(BJ184,坦克个性化设定!$B$18:$BC$48,MATCH("装弹类型",坦克个性化设定!$B$18:$BC$18,0),FALSE)="弹夹换弹",0,ROUND(VLOOKUP($BJ184,$AI$3:$AO$33,MATCH("换弹时间",$AI$3:$AO$3,0),FALSE)-$BL184/VLOOKUP(VLOOKUP($BJ184,坦克个性化设定!$B$18:$E$48,4,FALSE)&amp;$BK184,坦克属性分配比例,MATCH("升星次数",坦克属性分配比例标头,0),FALSE)*VLOOKUP($BJ184,$AR$3:$AY$33,MATCH("换弹时间",$AR$3:$AY$3,0),FALSE),2))</f>
        <v>2.34</v>
      </c>
      <c r="BW184" s="2">
        <f>IF(VLOOKUP(BJ184,坦克个性化设定!$B$18:$BC$48,MATCH("装弹类型",坦克个性化设定!$B$18:$BC$18,0),FALSE)="弹夹换弹",ROUND(VLOOKUP($BJ184,$AI$3:$AO$33,MATCH("换弹时间",$AI$3:$AO$3,0),FALSE)-$BL184/VLOOKUP(VLOOKUP($BJ184,坦克个性化设定!$B$18:$E$48,4,FALSE)&amp;$BK184,坦克属性分配比例,MATCH("升星次数",坦克属性分配比例标头,0),FALSE)*VLOOKUP($BJ184,$AR$3:$AY$33,MATCH("换弹时间",$AR$3:$AY$3,0),FALSE),1),0)</f>
        <v>0</v>
      </c>
      <c r="BX184" s="2">
        <f>ROUND(VLOOKUP($BJ184,$AI$3:$AO$33,MATCH(BX$3,$AI$3:$AO$3,0),FALSE)+$BL184/VLOOKUP(VLOOKUP($BJ184,坦克个性化设定!$B$18:$E$48,4,FALSE)&amp;$BK184,坦克属性分配比例,MATCH("升星次数",坦克属性分配比例标头,0),FALSE)*VLOOKUP($BJ184,$AR$3:$AY$33,MATCH(BX$3,$AR$3:$AY$3,0),FALSE),2)</f>
        <v>0.26</v>
      </c>
      <c r="BY184" s="2">
        <f>ROUND(VLOOKUP($BJ184,$AI$3:$AO$33,MATCH(BY$3,$AI$3:$AO$3,0),FALSE)-$BL184/VLOOKUP(VLOOKUP($BJ184,坦克个性化设定!$B$18:$E$48,4,FALSE)&amp;$BK184,坦克属性分配比例,MATCH("升星次数",坦克属性分配比例标头,0),FALSE)*VLOOKUP($BJ184,$AR$3:$AY$33,MATCH(BY$3,$AR$3:$AY$3,0),FALSE),2)</f>
        <v>1.81</v>
      </c>
    </row>
    <row r="185" spans="60:77" x14ac:dyDescent="0.3">
      <c r="BH185" s="2" t="str">
        <f t="shared" si="27"/>
        <v>百夫长3</v>
      </c>
      <c r="BI185" s="2">
        <f>IF(BL184&gt;=VLOOKUP(VLOOKUP(BJ184,坦克个性化设定!$B$18:$E$48,4,FALSE)&amp;BK184,坦克属性分配比例,MATCH("升星次数",坦克属性分配比例标头,0),FALSE),BI184+1,BI184)</f>
        <v>19</v>
      </c>
      <c r="BJ185" s="2" t="str">
        <f t="shared" si="28"/>
        <v>百夫长</v>
      </c>
      <c r="BK185" s="29" t="str">
        <f>VLOOKUP(BJ185,坦克个性化细分!$I$3:$J$33,2,FALSE)</f>
        <v>高</v>
      </c>
      <c r="BL185" s="2">
        <f t="shared" si="26"/>
        <v>3</v>
      </c>
      <c r="BM185" s="103">
        <f ca="1">ROUND(VLOOKUP($BJ185&amp;"初始",$S$3:$AE$63,MATCH(BM$3,$S$3:$AE$3,0),FALSE)+((VLOOKUP($BJ185&amp;"最终",$S$3:$AE$63,MATCH(BM$3,$S$3:$AE$3,0),FALSE)*坦克个性化细分!$C$9-VLOOKUP($BJ185&amp;"初始",$S$3:$AE$63,MATCH(BM$3,$S$3:$AE$3,0),FALSE))-(VLOOKUP($BJ185&amp;"最终",$S$3:$AE$63,MATCH(BM$3,$S$3:$AE$3,0),FALSE)-VLOOKUP($BJ185&amp;"初始",$S$3:$AE$63,MATCH(BM$3,$S$3:$AE$3,0),FALSE))*VLOOKUP(VLOOKUP($BJ185,坦克个性化设定!$B$18:$E$48,4,FALSE)&amp;$BK185,坦克属性分配比例,MATCH("部件比例",坦克属性分配比例标头,0),FALSE))*$BL185/VLOOKUP(VLOOKUP($BJ185,坦克个性化设定!$B$18:$E$48,4,FALSE)&amp;$BK185,坦克属性分配比例,MATCH("升星次数",坦克属性分配比例标头,0),FALSE),0)</f>
        <v>2202</v>
      </c>
      <c r="BN185" s="103">
        <f ca="1">ROUND(VLOOKUP($BJ185&amp;"初始",$S$3:$AE$63,MATCH(BN$3,$S$3:$AE$3,0),FALSE)+(VLOOKUP($BJ185&amp;"最终",$S$3:$AE$63,MATCH(BN$3,$S$3:$AE$3,0),FALSE)-VLOOKUP($BJ185&amp;"初始",$S$3:$AE$63,MATCH(BN$3,$S$3:$AE$3,0),FALSE))*$BL185/VLOOKUP(VLOOKUP($BJ185,坦克个性化设定!$B$18:$E$48,4,FALSE)&amp;$BK185,坦克属性分配比例,MATCH("升星次数",坦克属性分配比例标头,0),FALSE)*VLOOKUP(VLOOKUP($BJ185,坦克个性化设定!$B$18:$E$48,4,FALSE)&amp;$BK185,坦克属性分配比例,MATCH("升星比例",坦克属性分配比例标头,0),FALSE),0)</f>
        <v>217</v>
      </c>
      <c r="BO185" s="103">
        <f ca="1">ROUND(VLOOKUP($BJ185&amp;"初始",$S$3:$AE$63,MATCH(BO$3,$S$3:$AE$3,0),FALSE)+(VLOOKUP($BJ185&amp;"最终",$S$3:$AE$63,MATCH(BO$3,$S$3:$AE$3,0),FALSE)-VLOOKUP($BJ185&amp;"初始",$S$3:$AE$63,MATCH(BO$3,$S$3:$AE$3,0),FALSE))*$BL185/VLOOKUP(VLOOKUP($BJ185,坦克个性化设定!$B$18:$E$48,4,FALSE)&amp;$BK185,坦克属性分配比例,MATCH("升星次数",坦克属性分配比例标头,0),FALSE)*(VLOOKUP(VLOOKUP($BJ185,坦克个性化设定!$B$18:$E$48,4,FALSE)&amp;$BK185,坦克属性分配比例,MATCH("升星比例",坦克属性分配比例标头,0),FALSE)+VLOOKUP(VLOOKUP($BJ185,坦克个性化设定!$B$18:$E$48,4,FALSE)&amp;$BK185,坦克属性分配比例,MATCH("部件比例",坦克属性分配比例标头,0),FALSE)*$C$3),0)</f>
        <v>732</v>
      </c>
      <c r="BP185" s="103">
        <f ca="1">ROUND(VLOOKUP($BJ185&amp;"初始",$S$3:$AE$63,MATCH(BP$3,$S$3:$AE$3,0),FALSE)+(VLOOKUP($BJ185&amp;"最终",$S$3:$AE$63,MATCH(BP$3,$S$3:$AE$3,0),FALSE)-VLOOKUP($BJ185&amp;"初始",$S$3:$AE$63,MATCH(BP$3,$S$3:$AE$3,0),FALSE))*$BL185/VLOOKUP(VLOOKUP($BJ185,坦克个性化设定!$B$18:$E$48,4,FALSE)&amp;$BK185,坦克属性分配比例,MATCH("升星次数",坦克属性分配比例标头,0),FALSE)*(VLOOKUP(VLOOKUP($BJ185,坦克个性化设定!$B$18:$E$48,4,FALSE)&amp;$BK185,坦克属性分配比例,MATCH("升星比例",坦克属性分配比例标头,0),FALSE)+VLOOKUP(VLOOKUP($BJ185,坦克个性化设定!$B$18:$E$48,4,FALSE)&amp;$BK185,坦克属性分配比例,MATCH("部件比例",坦克属性分配比例标头,0),FALSE)*$C$3),0)</f>
        <v>549</v>
      </c>
      <c r="BQ185" s="103">
        <f ca="1">ROUND(VLOOKUP($BJ185&amp;"初始",$S$3:$AE$63,MATCH(BQ$3,$S$3:$AE$3,0),FALSE)+(VLOOKUP($BJ185&amp;"最终",$S$3:$AE$63,MATCH(BQ$3,$S$3:$AE$3,0),FALSE)-VLOOKUP($BJ185&amp;"初始",$S$3:$AE$63,MATCH(BQ$3,$S$3:$AE$3,0),FALSE))*$BL185/VLOOKUP(VLOOKUP($BJ185,坦克个性化设定!$B$18:$E$48,4,FALSE)&amp;$BK185,坦克属性分配比例,MATCH("升星次数",坦克属性分配比例标头,0),FALSE)*VLOOKUP(VLOOKUP($BJ185,坦克个性化设定!$B$18:$E$48,4,FALSE)&amp;$BK185,坦克属性分配比例,MATCH("升星比例",坦克属性分配比例标头,0),FALSE),0)</f>
        <v>775</v>
      </c>
      <c r="BR185" s="2">
        <f ca="1">ROUND(VLOOKUP($BJ185&amp;"初始",$S$3:$AE$63,MATCH(BR$3,$S$3:$AE$3,0),FALSE)+(VLOOKUP($BJ185&amp;"最终",$S$3:$AE$63,MATCH(BR$3,$S$3:$AE$3,0),FALSE)-VLOOKUP($BJ185&amp;"初始",$S$3:$AE$63,MATCH(BR$3,$S$3:$AE$3,0),FALSE))*$BL185/VLOOKUP(VLOOKUP($BJ185,坦克个性化设定!$B$18:$E$48,4,FALSE)&amp;$BK185,坦克属性分配比例,MATCH("升星次数",坦克属性分配比例标头,0),FALSE),0)</f>
        <v>197</v>
      </c>
      <c r="BS185" s="2">
        <f>ROUND(VLOOKUP($BJ185,$AI$3:$AO$33,MATCH(BS$3,$AI$3:$AO$3,0),FALSE)+$BL185/VLOOKUP(VLOOKUP($BJ185,坦克个性化设定!$B$18:$E$48,4,FALSE)&amp;$BK185,坦克属性分配比例,MATCH("升星次数",坦克属性分配比例标头,0),FALSE)*VLOOKUP($BJ185,$AR$3:$AY$33,MATCH(BS$3,$AR$3:$AY$3,0),FALSE),1)</f>
        <v>49.9</v>
      </c>
      <c r="BT185" s="2">
        <f>ROUND(VLOOKUP($BJ185,$AI$3:$AO$33,MATCH(BT$3,$AI$3:$AO$3,0),FALSE)+$BL185/VLOOKUP(VLOOKUP($BJ185,坦克个性化设定!$B$18:$E$48,4,FALSE)&amp;$BK185,坦克属性分配比例,MATCH("升星次数",坦克属性分配比例标头,0),FALSE)*VLOOKUP($BJ185,$AR$3:$AY$33,MATCH(BT$3,$AR$3:$AY$3,0),FALSE),1)</f>
        <v>44.9</v>
      </c>
      <c r="BU185" s="2">
        <f>ROUND(VLOOKUP($BJ185,$AI$3:$AO$33,MATCH(BU$3,$AI$3:$AO$3,0),FALSE)+$BL185/VLOOKUP(VLOOKUP($BJ185,坦克个性化设定!$B$18:$E$48,4,FALSE)&amp;$BK185,坦克属性分配比例,MATCH("升星次数",坦克属性分配比例标头,0),FALSE)*VLOOKUP($BJ185,$AR$3:$AY$33,MATCH(BU$3,$AR$3:$AY$3,0),FALSE),1)</f>
        <v>8.4</v>
      </c>
      <c r="BV185" s="2">
        <f>IF(VLOOKUP(BJ185,坦克个性化设定!$B$18:$BC$48,MATCH("装弹类型",坦克个性化设定!$B$18:$BC$18,0),FALSE)="弹夹换弹",0,ROUND(VLOOKUP($BJ185,$AI$3:$AO$33,MATCH("换弹时间",$AI$3:$AO$3,0),FALSE)-$BL185/VLOOKUP(VLOOKUP($BJ185,坦克个性化设定!$B$18:$E$48,4,FALSE)&amp;$BK185,坦克属性分配比例,MATCH("升星次数",坦克属性分配比例标头,0),FALSE)*VLOOKUP($BJ185,$AR$3:$AY$33,MATCH("换弹时间",$AR$3:$AY$3,0),FALSE),2))</f>
        <v>2.2999999999999998</v>
      </c>
      <c r="BW185" s="2">
        <f>IF(VLOOKUP(BJ185,坦克个性化设定!$B$18:$BC$48,MATCH("装弹类型",坦克个性化设定!$B$18:$BC$18,0),FALSE)="弹夹换弹",ROUND(VLOOKUP($BJ185,$AI$3:$AO$33,MATCH("换弹时间",$AI$3:$AO$3,0),FALSE)-$BL185/VLOOKUP(VLOOKUP($BJ185,坦克个性化设定!$B$18:$E$48,4,FALSE)&amp;$BK185,坦克属性分配比例,MATCH("升星次数",坦克属性分配比例标头,0),FALSE)*VLOOKUP($BJ185,$AR$3:$AY$33,MATCH("换弹时间",$AR$3:$AY$3,0),FALSE),1),0)</f>
        <v>0</v>
      </c>
      <c r="BX185" s="2">
        <f>ROUND(VLOOKUP($BJ185,$AI$3:$AO$33,MATCH(BX$3,$AI$3:$AO$3,0),FALSE)+$BL185/VLOOKUP(VLOOKUP($BJ185,坦克个性化设定!$B$18:$E$48,4,FALSE)&amp;$BK185,坦克属性分配比例,MATCH("升星次数",坦克属性分配比例标头,0),FALSE)*VLOOKUP($BJ185,$AR$3:$AY$33,MATCH(BX$3,$AR$3:$AY$3,0),FALSE),2)</f>
        <v>0.26</v>
      </c>
      <c r="BY185" s="2">
        <f>ROUND(VLOOKUP($BJ185,$AI$3:$AO$33,MATCH(BY$3,$AI$3:$AO$3,0),FALSE)-$BL185/VLOOKUP(VLOOKUP($BJ185,坦克个性化设定!$B$18:$E$48,4,FALSE)&amp;$BK185,坦克属性分配比例,MATCH("升星次数",坦克属性分配比例标头,0),FALSE)*VLOOKUP($BJ185,$AR$3:$AY$33,MATCH(BY$3,$AR$3:$AY$3,0),FALSE),2)</f>
        <v>1.79</v>
      </c>
    </row>
    <row r="186" spans="60:77" x14ac:dyDescent="0.3">
      <c r="BH186" s="2" t="str">
        <f t="shared" si="27"/>
        <v>百夫长4</v>
      </c>
      <c r="BI186" s="2">
        <f>IF(BL185&gt;=VLOOKUP(VLOOKUP(BJ185,坦克个性化设定!$B$18:$E$48,4,FALSE)&amp;BK185,坦克属性分配比例,MATCH("升星次数",坦克属性分配比例标头,0),FALSE),BI185+1,BI185)</f>
        <v>19</v>
      </c>
      <c r="BJ186" s="2" t="str">
        <f t="shared" si="28"/>
        <v>百夫长</v>
      </c>
      <c r="BK186" s="29" t="str">
        <f>VLOOKUP(BJ186,坦克个性化细分!$I$3:$J$33,2,FALSE)</f>
        <v>高</v>
      </c>
      <c r="BL186" s="2">
        <f t="shared" si="26"/>
        <v>4</v>
      </c>
      <c r="BM186" s="103">
        <f ca="1">ROUND(VLOOKUP($BJ186&amp;"初始",$S$3:$AE$63,MATCH(BM$3,$S$3:$AE$3,0),FALSE)+((VLOOKUP($BJ186&amp;"最终",$S$3:$AE$63,MATCH(BM$3,$S$3:$AE$3,0),FALSE)*坦克个性化细分!$C$9-VLOOKUP($BJ186&amp;"初始",$S$3:$AE$63,MATCH(BM$3,$S$3:$AE$3,0),FALSE))-(VLOOKUP($BJ186&amp;"最终",$S$3:$AE$63,MATCH(BM$3,$S$3:$AE$3,0),FALSE)-VLOOKUP($BJ186&amp;"初始",$S$3:$AE$63,MATCH(BM$3,$S$3:$AE$3,0),FALSE))*VLOOKUP(VLOOKUP($BJ186,坦克个性化设定!$B$18:$E$48,4,FALSE)&amp;$BK186,坦克属性分配比例,MATCH("部件比例",坦克属性分配比例标头,0),FALSE))*$BL186/VLOOKUP(VLOOKUP($BJ186,坦克个性化设定!$B$18:$E$48,4,FALSE)&amp;$BK186,坦克属性分配比例,MATCH("升星次数",坦克属性分配比例标头,0),FALSE),0)</f>
        <v>2288</v>
      </c>
      <c r="BN186" s="103">
        <f ca="1">ROUND(VLOOKUP($BJ186&amp;"初始",$S$3:$AE$63,MATCH(BN$3,$S$3:$AE$3,0),FALSE)+(VLOOKUP($BJ186&amp;"最终",$S$3:$AE$63,MATCH(BN$3,$S$3:$AE$3,0),FALSE)-VLOOKUP($BJ186&amp;"初始",$S$3:$AE$63,MATCH(BN$3,$S$3:$AE$3,0),FALSE))*$BL186/VLOOKUP(VLOOKUP($BJ186,坦克个性化设定!$B$18:$E$48,4,FALSE)&amp;$BK186,坦克属性分配比例,MATCH("升星次数",坦克属性分配比例标头,0),FALSE)*VLOOKUP(VLOOKUP($BJ186,坦克个性化设定!$B$18:$E$48,4,FALSE)&amp;$BK186,坦克属性分配比例,MATCH("升星比例",坦克属性分配比例标头,0),FALSE),0)</f>
        <v>222</v>
      </c>
      <c r="BO186" s="103">
        <f ca="1">ROUND(VLOOKUP($BJ186&amp;"初始",$S$3:$AE$63,MATCH(BO$3,$S$3:$AE$3,0),FALSE)+(VLOOKUP($BJ186&amp;"最终",$S$3:$AE$63,MATCH(BO$3,$S$3:$AE$3,0),FALSE)-VLOOKUP($BJ186&amp;"初始",$S$3:$AE$63,MATCH(BO$3,$S$3:$AE$3,0),FALSE))*$BL186/VLOOKUP(VLOOKUP($BJ186,坦克个性化设定!$B$18:$E$48,4,FALSE)&amp;$BK186,坦克属性分配比例,MATCH("升星次数",坦克属性分配比例标头,0),FALSE)*(VLOOKUP(VLOOKUP($BJ186,坦克个性化设定!$B$18:$E$48,4,FALSE)&amp;$BK186,坦克属性分配比例,MATCH("升星比例",坦克属性分配比例标头,0),FALSE)+VLOOKUP(VLOOKUP($BJ186,坦克个性化设定!$B$18:$E$48,4,FALSE)&amp;$BK186,坦克属性分配比例,MATCH("部件比例",坦克属性分配比例标头,0),FALSE)*$C$3),0)</f>
        <v>757</v>
      </c>
      <c r="BP186" s="103">
        <f ca="1">ROUND(VLOOKUP($BJ186&amp;"初始",$S$3:$AE$63,MATCH(BP$3,$S$3:$AE$3,0),FALSE)+(VLOOKUP($BJ186&amp;"最终",$S$3:$AE$63,MATCH(BP$3,$S$3:$AE$3,0),FALSE)-VLOOKUP($BJ186&amp;"初始",$S$3:$AE$63,MATCH(BP$3,$S$3:$AE$3,0),FALSE))*$BL186/VLOOKUP(VLOOKUP($BJ186,坦克个性化设定!$B$18:$E$48,4,FALSE)&amp;$BK186,坦克属性分配比例,MATCH("升星次数",坦克属性分配比例标头,0),FALSE)*(VLOOKUP(VLOOKUP($BJ186,坦克个性化设定!$B$18:$E$48,4,FALSE)&amp;$BK186,坦克属性分配比例,MATCH("升星比例",坦克属性分配比例标头,0),FALSE)+VLOOKUP(VLOOKUP($BJ186,坦克个性化设定!$B$18:$E$48,4,FALSE)&amp;$BK186,坦克属性分配比例,MATCH("部件比例",坦克属性分配比例标头,0),FALSE)*$C$3),0)</f>
        <v>568</v>
      </c>
      <c r="BQ186" s="103">
        <f ca="1">ROUND(VLOOKUP($BJ186&amp;"初始",$S$3:$AE$63,MATCH(BQ$3,$S$3:$AE$3,0),FALSE)+(VLOOKUP($BJ186&amp;"最终",$S$3:$AE$63,MATCH(BQ$3,$S$3:$AE$3,0),FALSE)-VLOOKUP($BJ186&amp;"初始",$S$3:$AE$63,MATCH(BQ$3,$S$3:$AE$3,0),FALSE))*$BL186/VLOOKUP(VLOOKUP($BJ186,坦克个性化设定!$B$18:$E$48,4,FALSE)&amp;$BK186,坦克属性分配比例,MATCH("升星次数",坦克属性分配比例标头,0),FALSE)*VLOOKUP(VLOOKUP($BJ186,坦克个性化设定!$B$18:$E$48,4,FALSE)&amp;$BK186,坦克属性分配比例,MATCH("升星比例",坦克属性分配比例标头,0),FALSE),0)</f>
        <v>793</v>
      </c>
      <c r="BR186" s="2">
        <f ca="1">ROUND(VLOOKUP($BJ186&amp;"初始",$S$3:$AE$63,MATCH(BR$3,$S$3:$AE$3,0),FALSE)+(VLOOKUP($BJ186&amp;"最终",$S$3:$AE$63,MATCH(BR$3,$S$3:$AE$3,0),FALSE)-VLOOKUP($BJ186&amp;"初始",$S$3:$AE$63,MATCH(BR$3,$S$3:$AE$3,0),FALSE))*$BL186/VLOOKUP(VLOOKUP($BJ186,坦克个性化设定!$B$18:$E$48,4,FALSE)&amp;$BK186,坦克属性分配比例,MATCH("升星次数",坦克属性分配比例标头,0),FALSE),0)</f>
        <v>205</v>
      </c>
      <c r="BS186" s="2">
        <f>ROUND(VLOOKUP($BJ186,$AI$3:$AO$33,MATCH(BS$3,$AI$3:$AO$3,0),FALSE)+$BL186/VLOOKUP(VLOOKUP($BJ186,坦克个性化设定!$B$18:$E$48,4,FALSE)&amp;$BK186,坦克属性分配比例,MATCH("升星次数",坦克属性分配比例标头,0),FALSE)*VLOOKUP($BJ186,$AR$3:$AY$33,MATCH(BS$3,$AR$3:$AY$3,0),FALSE),1)</f>
        <v>50.9</v>
      </c>
      <c r="BT186" s="2">
        <f>ROUND(VLOOKUP($BJ186,$AI$3:$AO$33,MATCH(BT$3,$AI$3:$AO$3,0),FALSE)+$BL186/VLOOKUP(VLOOKUP($BJ186,坦克个性化设定!$B$18:$E$48,4,FALSE)&amp;$BK186,坦克属性分配比例,MATCH("升星次数",坦克属性分配比例标头,0),FALSE)*VLOOKUP($BJ186,$AR$3:$AY$33,MATCH(BT$3,$AR$3:$AY$3,0),FALSE),1)</f>
        <v>45.8</v>
      </c>
      <c r="BU186" s="2">
        <f>ROUND(VLOOKUP($BJ186,$AI$3:$AO$33,MATCH(BU$3,$AI$3:$AO$3,0),FALSE)+$BL186/VLOOKUP(VLOOKUP($BJ186,坦克个性化设定!$B$18:$E$48,4,FALSE)&amp;$BK186,坦克属性分配比例,MATCH("升星次数",坦克属性分配比例标头,0),FALSE)*VLOOKUP($BJ186,$AR$3:$AY$33,MATCH(BU$3,$AR$3:$AY$3,0),FALSE),1)</f>
        <v>8.4</v>
      </c>
      <c r="BV186" s="2">
        <f>IF(VLOOKUP(BJ186,坦克个性化设定!$B$18:$BC$48,MATCH("装弹类型",坦克个性化设定!$B$18:$BC$18,0),FALSE)="弹夹换弹",0,ROUND(VLOOKUP($BJ186,$AI$3:$AO$33,MATCH("换弹时间",$AI$3:$AO$3,0),FALSE)-$BL186/VLOOKUP(VLOOKUP($BJ186,坦克个性化设定!$B$18:$E$48,4,FALSE)&amp;$BK186,坦克属性分配比例,MATCH("升星次数",坦克属性分配比例标头,0),FALSE)*VLOOKUP($BJ186,$AR$3:$AY$33,MATCH("换弹时间",$AR$3:$AY$3,0),FALSE),2))</f>
        <v>2.27</v>
      </c>
      <c r="BW186" s="2">
        <f>IF(VLOOKUP(BJ186,坦克个性化设定!$B$18:$BC$48,MATCH("装弹类型",坦克个性化设定!$B$18:$BC$18,0),FALSE)="弹夹换弹",ROUND(VLOOKUP($BJ186,$AI$3:$AO$33,MATCH("换弹时间",$AI$3:$AO$3,0),FALSE)-$BL186/VLOOKUP(VLOOKUP($BJ186,坦克个性化设定!$B$18:$E$48,4,FALSE)&amp;$BK186,坦克属性分配比例,MATCH("升星次数",坦克属性分配比例标头,0),FALSE)*VLOOKUP($BJ186,$AR$3:$AY$33,MATCH("换弹时间",$AR$3:$AY$3,0),FALSE),1),0)</f>
        <v>0</v>
      </c>
      <c r="BX186" s="2">
        <f>ROUND(VLOOKUP($BJ186,$AI$3:$AO$33,MATCH(BX$3,$AI$3:$AO$3,0),FALSE)+$BL186/VLOOKUP(VLOOKUP($BJ186,坦克个性化设定!$B$18:$E$48,4,FALSE)&amp;$BK186,坦克属性分配比例,MATCH("升星次数",坦克属性分配比例标头,0),FALSE)*VLOOKUP($BJ186,$AR$3:$AY$33,MATCH(BX$3,$AR$3:$AY$3,0),FALSE),2)</f>
        <v>0.26</v>
      </c>
      <c r="BY186" s="2">
        <f>ROUND(VLOOKUP($BJ186,$AI$3:$AO$33,MATCH(BY$3,$AI$3:$AO$3,0),FALSE)-$BL186/VLOOKUP(VLOOKUP($BJ186,坦克个性化设定!$B$18:$E$48,4,FALSE)&amp;$BK186,坦克属性分配比例,MATCH("升星次数",坦克属性分配比例标头,0),FALSE)*VLOOKUP($BJ186,$AR$3:$AY$33,MATCH(BY$3,$AR$3:$AY$3,0),FALSE),2)</f>
        <v>1.76</v>
      </c>
    </row>
    <row r="187" spans="60:77" x14ac:dyDescent="0.3">
      <c r="BH187" s="2" t="str">
        <f t="shared" si="27"/>
        <v>百夫长5</v>
      </c>
      <c r="BI187" s="2">
        <f>IF(BL186&gt;=VLOOKUP(VLOOKUP(BJ186,坦克个性化设定!$B$18:$E$48,4,FALSE)&amp;BK186,坦克属性分配比例,MATCH("升星次数",坦克属性分配比例标头,0),FALSE),BI186+1,BI186)</f>
        <v>19</v>
      </c>
      <c r="BJ187" s="2" t="str">
        <f t="shared" si="28"/>
        <v>百夫长</v>
      </c>
      <c r="BK187" s="29" t="str">
        <f>VLOOKUP(BJ187,坦克个性化细分!$I$3:$J$33,2,FALSE)</f>
        <v>高</v>
      </c>
      <c r="BL187" s="2">
        <f t="shared" si="26"/>
        <v>5</v>
      </c>
      <c r="BM187" s="103">
        <f ca="1">ROUND(VLOOKUP($BJ187&amp;"初始",$S$3:$AE$63,MATCH(BM$3,$S$3:$AE$3,0),FALSE)+((VLOOKUP($BJ187&amp;"最终",$S$3:$AE$63,MATCH(BM$3,$S$3:$AE$3,0),FALSE)*坦克个性化细分!$C$9-VLOOKUP($BJ187&amp;"初始",$S$3:$AE$63,MATCH(BM$3,$S$3:$AE$3,0),FALSE))-(VLOOKUP($BJ187&amp;"最终",$S$3:$AE$63,MATCH(BM$3,$S$3:$AE$3,0),FALSE)-VLOOKUP($BJ187&amp;"初始",$S$3:$AE$63,MATCH(BM$3,$S$3:$AE$3,0),FALSE))*VLOOKUP(VLOOKUP($BJ187,坦克个性化设定!$B$18:$E$48,4,FALSE)&amp;$BK187,坦克属性分配比例,MATCH("部件比例",坦克属性分配比例标头,0),FALSE))*$BL187/VLOOKUP(VLOOKUP($BJ187,坦克个性化设定!$B$18:$E$48,4,FALSE)&amp;$BK187,坦克属性分配比例,MATCH("升星次数",坦克属性分配比例标头,0),FALSE),0)</f>
        <v>2374</v>
      </c>
      <c r="BN187" s="103">
        <f ca="1">ROUND(VLOOKUP($BJ187&amp;"初始",$S$3:$AE$63,MATCH(BN$3,$S$3:$AE$3,0),FALSE)+(VLOOKUP($BJ187&amp;"最终",$S$3:$AE$63,MATCH(BN$3,$S$3:$AE$3,0),FALSE)-VLOOKUP($BJ187&amp;"初始",$S$3:$AE$63,MATCH(BN$3,$S$3:$AE$3,0),FALSE))*$BL187/VLOOKUP(VLOOKUP($BJ187,坦克个性化设定!$B$18:$E$48,4,FALSE)&amp;$BK187,坦克属性分配比例,MATCH("升星次数",坦克属性分配比例标头,0),FALSE)*VLOOKUP(VLOOKUP($BJ187,坦克个性化设定!$B$18:$E$48,4,FALSE)&amp;$BK187,坦克属性分配比例,MATCH("升星比例",坦克属性分配比例标头,0),FALSE),0)</f>
        <v>227</v>
      </c>
      <c r="BO187" s="103">
        <f ca="1">ROUND(VLOOKUP($BJ187&amp;"初始",$S$3:$AE$63,MATCH(BO$3,$S$3:$AE$3,0),FALSE)+(VLOOKUP($BJ187&amp;"最终",$S$3:$AE$63,MATCH(BO$3,$S$3:$AE$3,0),FALSE)-VLOOKUP($BJ187&amp;"初始",$S$3:$AE$63,MATCH(BO$3,$S$3:$AE$3,0),FALSE))*$BL187/VLOOKUP(VLOOKUP($BJ187,坦克个性化设定!$B$18:$E$48,4,FALSE)&amp;$BK187,坦克属性分配比例,MATCH("升星次数",坦克属性分配比例标头,0),FALSE)*(VLOOKUP(VLOOKUP($BJ187,坦克个性化设定!$B$18:$E$48,4,FALSE)&amp;$BK187,坦克属性分配比例,MATCH("升星比例",坦克属性分配比例标头,0),FALSE)+VLOOKUP(VLOOKUP($BJ187,坦克个性化设定!$B$18:$E$48,4,FALSE)&amp;$BK187,坦克属性分配比例,MATCH("部件比例",坦克属性分配比例标头,0),FALSE)*$C$3),0)</f>
        <v>782</v>
      </c>
      <c r="BP187" s="103">
        <f ca="1">ROUND(VLOOKUP($BJ187&amp;"初始",$S$3:$AE$63,MATCH(BP$3,$S$3:$AE$3,0),FALSE)+(VLOOKUP($BJ187&amp;"最终",$S$3:$AE$63,MATCH(BP$3,$S$3:$AE$3,0),FALSE)-VLOOKUP($BJ187&amp;"初始",$S$3:$AE$63,MATCH(BP$3,$S$3:$AE$3,0),FALSE))*$BL187/VLOOKUP(VLOOKUP($BJ187,坦克个性化设定!$B$18:$E$48,4,FALSE)&amp;$BK187,坦克属性分配比例,MATCH("升星次数",坦克属性分配比例标头,0),FALSE)*(VLOOKUP(VLOOKUP($BJ187,坦克个性化设定!$B$18:$E$48,4,FALSE)&amp;$BK187,坦克属性分配比例,MATCH("升星比例",坦克属性分配比例标头,0),FALSE)+VLOOKUP(VLOOKUP($BJ187,坦克个性化设定!$B$18:$E$48,4,FALSE)&amp;$BK187,坦克属性分配比例,MATCH("部件比例",坦克属性分配比例标头,0),FALSE)*$C$3),0)</f>
        <v>587</v>
      </c>
      <c r="BQ187" s="103">
        <f ca="1">ROUND(VLOOKUP($BJ187&amp;"初始",$S$3:$AE$63,MATCH(BQ$3,$S$3:$AE$3,0),FALSE)+(VLOOKUP($BJ187&amp;"最终",$S$3:$AE$63,MATCH(BQ$3,$S$3:$AE$3,0),FALSE)-VLOOKUP($BJ187&amp;"初始",$S$3:$AE$63,MATCH(BQ$3,$S$3:$AE$3,0),FALSE))*$BL187/VLOOKUP(VLOOKUP($BJ187,坦克个性化设定!$B$18:$E$48,4,FALSE)&amp;$BK187,坦克属性分配比例,MATCH("升星次数",坦克属性分配比例标头,0),FALSE)*VLOOKUP(VLOOKUP($BJ187,坦克个性化设定!$B$18:$E$48,4,FALSE)&amp;$BK187,坦克属性分配比例,MATCH("升星比例",坦克属性分配比例标头,0),FALSE),0)</f>
        <v>812</v>
      </c>
      <c r="BR187" s="2">
        <f ca="1">ROUND(VLOOKUP($BJ187&amp;"初始",$S$3:$AE$63,MATCH(BR$3,$S$3:$AE$3,0),FALSE)+(VLOOKUP($BJ187&amp;"最终",$S$3:$AE$63,MATCH(BR$3,$S$3:$AE$3,0),FALSE)-VLOOKUP($BJ187&amp;"初始",$S$3:$AE$63,MATCH(BR$3,$S$3:$AE$3,0),FALSE))*$BL187/VLOOKUP(VLOOKUP($BJ187,坦克个性化设定!$B$18:$E$48,4,FALSE)&amp;$BK187,坦克属性分配比例,MATCH("升星次数",坦克属性分配比例标头,0),FALSE),0)</f>
        <v>213</v>
      </c>
      <c r="BS187" s="2">
        <f>ROUND(VLOOKUP($BJ187,$AI$3:$AO$33,MATCH(BS$3,$AI$3:$AO$3,0),FALSE)+$BL187/VLOOKUP(VLOOKUP($BJ187,坦克个性化设定!$B$18:$E$48,4,FALSE)&amp;$BK187,坦克属性分配比例,MATCH("升星次数",坦克属性分配比例标头,0),FALSE)*VLOOKUP($BJ187,$AR$3:$AY$33,MATCH(BS$3,$AR$3:$AY$3,0),FALSE),1)</f>
        <v>52</v>
      </c>
      <c r="BT187" s="2">
        <f>ROUND(VLOOKUP($BJ187,$AI$3:$AO$33,MATCH(BT$3,$AI$3:$AO$3,0),FALSE)+$BL187/VLOOKUP(VLOOKUP($BJ187,坦克个性化设定!$B$18:$E$48,4,FALSE)&amp;$BK187,坦克属性分配比例,MATCH("升星次数",坦克属性分配比例标头,0),FALSE)*VLOOKUP($BJ187,$AR$3:$AY$33,MATCH(BT$3,$AR$3:$AY$3,0),FALSE),1)</f>
        <v>46.8</v>
      </c>
      <c r="BU187" s="2">
        <f>ROUND(VLOOKUP($BJ187,$AI$3:$AO$33,MATCH(BU$3,$AI$3:$AO$3,0),FALSE)+$BL187/VLOOKUP(VLOOKUP($BJ187,坦克个性化设定!$B$18:$E$48,4,FALSE)&amp;$BK187,坦克属性分配比例,MATCH("升星次数",坦克属性分配比例标头,0),FALSE)*VLOOKUP($BJ187,$AR$3:$AY$33,MATCH(BU$3,$AR$3:$AY$3,0),FALSE),1)</f>
        <v>8.4</v>
      </c>
      <c r="BV187" s="2">
        <f>IF(VLOOKUP(BJ187,坦克个性化设定!$B$18:$BC$48,MATCH("装弹类型",坦克个性化设定!$B$18:$BC$18,0),FALSE)="弹夹换弹",0,ROUND(VLOOKUP($BJ187,$AI$3:$AO$33,MATCH("换弹时间",$AI$3:$AO$3,0),FALSE)-$BL187/VLOOKUP(VLOOKUP($BJ187,坦克个性化设定!$B$18:$E$48,4,FALSE)&amp;$BK187,坦克属性分配比例,MATCH("升星次数",坦克属性分配比例标头,0),FALSE)*VLOOKUP($BJ187,$AR$3:$AY$33,MATCH("换弹时间",$AR$3:$AY$3,0),FALSE),2))</f>
        <v>2.2400000000000002</v>
      </c>
      <c r="BW187" s="2">
        <f>IF(VLOOKUP(BJ187,坦克个性化设定!$B$18:$BC$48,MATCH("装弹类型",坦克个性化设定!$B$18:$BC$18,0),FALSE)="弹夹换弹",ROUND(VLOOKUP($BJ187,$AI$3:$AO$33,MATCH("换弹时间",$AI$3:$AO$3,0),FALSE)-$BL187/VLOOKUP(VLOOKUP($BJ187,坦克个性化设定!$B$18:$E$48,4,FALSE)&amp;$BK187,坦克属性分配比例,MATCH("升星次数",坦克属性分配比例标头,0),FALSE)*VLOOKUP($BJ187,$AR$3:$AY$33,MATCH("换弹时间",$AR$3:$AY$3,0),FALSE),1),0)</f>
        <v>0</v>
      </c>
      <c r="BX187" s="2">
        <f>ROUND(VLOOKUP($BJ187,$AI$3:$AO$33,MATCH(BX$3,$AI$3:$AO$3,0),FALSE)+$BL187/VLOOKUP(VLOOKUP($BJ187,坦克个性化设定!$B$18:$E$48,4,FALSE)&amp;$BK187,坦克属性分配比例,MATCH("升星次数",坦克属性分配比例标头,0),FALSE)*VLOOKUP($BJ187,$AR$3:$AY$33,MATCH(BX$3,$AR$3:$AY$3,0),FALSE),2)</f>
        <v>0.26</v>
      </c>
      <c r="BY187" s="2">
        <f>ROUND(VLOOKUP($BJ187,$AI$3:$AO$33,MATCH(BY$3,$AI$3:$AO$3,0),FALSE)-$BL187/VLOOKUP(VLOOKUP($BJ187,坦克个性化设定!$B$18:$E$48,4,FALSE)&amp;$BK187,坦克属性分配比例,MATCH("升星次数",坦克属性分配比例标头,0),FALSE)*VLOOKUP($BJ187,$AR$3:$AY$33,MATCH(BY$3,$AR$3:$AY$3,0),FALSE),2)</f>
        <v>1.73</v>
      </c>
    </row>
    <row r="188" spans="60:77" x14ac:dyDescent="0.3">
      <c r="BH188" s="2" t="str">
        <f t="shared" si="27"/>
        <v>百夫长6</v>
      </c>
      <c r="BI188" s="2">
        <f>IF(BL187&gt;=VLOOKUP(VLOOKUP(BJ187,坦克个性化设定!$B$18:$E$48,4,FALSE)&amp;BK187,坦克属性分配比例,MATCH("升星次数",坦克属性分配比例标头,0),FALSE),BI187+1,BI187)</f>
        <v>19</v>
      </c>
      <c r="BJ188" s="2" t="str">
        <f t="shared" si="28"/>
        <v>百夫长</v>
      </c>
      <c r="BK188" s="29" t="str">
        <f>VLOOKUP(BJ188,坦克个性化细分!$I$3:$J$33,2,FALSE)</f>
        <v>高</v>
      </c>
      <c r="BL188" s="2">
        <f t="shared" si="26"/>
        <v>6</v>
      </c>
      <c r="BM188" s="103">
        <f ca="1">ROUND(VLOOKUP($BJ188&amp;"初始",$S$3:$AE$63,MATCH(BM$3,$S$3:$AE$3,0),FALSE)+((VLOOKUP($BJ188&amp;"最终",$S$3:$AE$63,MATCH(BM$3,$S$3:$AE$3,0),FALSE)*坦克个性化细分!$C$9-VLOOKUP($BJ188&amp;"初始",$S$3:$AE$63,MATCH(BM$3,$S$3:$AE$3,0),FALSE))-(VLOOKUP($BJ188&amp;"最终",$S$3:$AE$63,MATCH(BM$3,$S$3:$AE$3,0),FALSE)-VLOOKUP($BJ188&amp;"初始",$S$3:$AE$63,MATCH(BM$3,$S$3:$AE$3,0),FALSE))*VLOOKUP(VLOOKUP($BJ188,坦克个性化设定!$B$18:$E$48,4,FALSE)&amp;$BK188,坦克属性分配比例,MATCH("部件比例",坦克属性分配比例标头,0),FALSE))*$BL188/VLOOKUP(VLOOKUP($BJ188,坦克个性化设定!$B$18:$E$48,4,FALSE)&amp;$BK188,坦克属性分配比例,MATCH("升星次数",坦克属性分配比例标头,0),FALSE),0)</f>
        <v>2460</v>
      </c>
      <c r="BN188" s="103">
        <f ca="1">ROUND(VLOOKUP($BJ188&amp;"初始",$S$3:$AE$63,MATCH(BN$3,$S$3:$AE$3,0),FALSE)+(VLOOKUP($BJ188&amp;"最终",$S$3:$AE$63,MATCH(BN$3,$S$3:$AE$3,0),FALSE)-VLOOKUP($BJ188&amp;"初始",$S$3:$AE$63,MATCH(BN$3,$S$3:$AE$3,0),FALSE))*$BL188/VLOOKUP(VLOOKUP($BJ188,坦克个性化设定!$B$18:$E$48,4,FALSE)&amp;$BK188,坦克属性分配比例,MATCH("升星次数",坦克属性分配比例标头,0),FALSE)*VLOOKUP(VLOOKUP($BJ188,坦克个性化设定!$B$18:$E$48,4,FALSE)&amp;$BK188,坦克属性分配比例,MATCH("升星比例",坦克属性分配比例标头,0),FALSE),0)</f>
        <v>232</v>
      </c>
      <c r="BO188" s="103">
        <f ca="1">ROUND(VLOOKUP($BJ188&amp;"初始",$S$3:$AE$63,MATCH(BO$3,$S$3:$AE$3,0),FALSE)+(VLOOKUP($BJ188&amp;"最终",$S$3:$AE$63,MATCH(BO$3,$S$3:$AE$3,0),FALSE)-VLOOKUP($BJ188&amp;"初始",$S$3:$AE$63,MATCH(BO$3,$S$3:$AE$3,0),FALSE))*$BL188/VLOOKUP(VLOOKUP($BJ188,坦克个性化设定!$B$18:$E$48,4,FALSE)&amp;$BK188,坦克属性分配比例,MATCH("升星次数",坦克属性分配比例标头,0),FALSE)*(VLOOKUP(VLOOKUP($BJ188,坦克个性化设定!$B$18:$E$48,4,FALSE)&amp;$BK188,坦克属性分配比例,MATCH("升星比例",坦克属性分配比例标头,0),FALSE)+VLOOKUP(VLOOKUP($BJ188,坦克个性化设定!$B$18:$E$48,4,FALSE)&amp;$BK188,坦克属性分配比例,MATCH("部件比例",坦克属性分配比例标头,0),FALSE)*$C$3),0)</f>
        <v>807</v>
      </c>
      <c r="BP188" s="103">
        <f ca="1">ROUND(VLOOKUP($BJ188&amp;"初始",$S$3:$AE$63,MATCH(BP$3,$S$3:$AE$3,0),FALSE)+(VLOOKUP($BJ188&amp;"最终",$S$3:$AE$63,MATCH(BP$3,$S$3:$AE$3,0),FALSE)-VLOOKUP($BJ188&amp;"初始",$S$3:$AE$63,MATCH(BP$3,$S$3:$AE$3,0),FALSE))*$BL188/VLOOKUP(VLOOKUP($BJ188,坦克个性化设定!$B$18:$E$48,4,FALSE)&amp;$BK188,坦克属性分配比例,MATCH("升星次数",坦克属性分配比例标头,0),FALSE)*(VLOOKUP(VLOOKUP($BJ188,坦克个性化设定!$B$18:$E$48,4,FALSE)&amp;$BK188,坦克属性分配比例,MATCH("升星比例",坦克属性分配比例标头,0),FALSE)+VLOOKUP(VLOOKUP($BJ188,坦克个性化设定!$B$18:$E$48,4,FALSE)&amp;$BK188,坦克属性分配比例,MATCH("部件比例",坦克属性分配比例标头,0),FALSE)*$C$3),0)</f>
        <v>605</v>
      </c>
      <c r="BQ188" s="103">
        <f ca="1">ROUND(VLOOKUP($BJ188&amp;"初始",$S$3:$AE$63,MATCH(BQ$3,$S$3:$AE$3,0),FALSE)+(VLOOKUP($BJ188&amp;"最终",$S$3:$AE$63,MATCH(BQ$3,$S$3:$AE$3,0),FALSE)-VLOOKUP($BJ188&amp;"初始",$S$3:$AE$63,MATCH(BQ$3,$S$3:$AE$3,0),FALSE))*$BL188/VLOOKUP(VLOOKUP($BJ188,坦克个性化设定!$B$18:$E$48,4,FALSE)&amp;$BK188,坦克属性分配比例,MATCH("升星次数",坦克属性分配比例标头,0),FALSE)*VLOOKUP(VLOOKUP($BJ188,坦克个性化设定!$B$18:$E$48,4,FALSE)&amp;$BK188,坦克属性分配比例,MATCH("升星比例",坦克属性分配比例标头,0),FALSE),0)</f>
        <v>830</v>
      </c>
      <c r="BR188" s="2">
        <f ca="1">ROUND(VLOOKUP($BJ188&amp;"初始",$S$3:$AE$63,MATCH(BR$3,$S$3:$AE$3,0),FALSE)+(VLOOKUP($BJ188&amp;"最终",$S$3:$AE$63,MATCH(BR$3,$S$3:$AE$3,0),FALSE)-VLOOKUP($BJ188&amp;"初始",$S$3:$AE$63,MATCH(BR$3,$S$3:$AE$3,0),FALSE))*$BL188/VLOOKUP(VLOOKUP($BJ188,坦克个性化设定!$B$18:$E$48,4,FALSE)&amp;$BK188,坦克属性分配比例,MATCH("升星次数",坦克属性分配比例标头,0),FALSE),0)</f>
        <v>221</v>
      </c>
      <c r="BS188" s="2">
        <f>ROUND(VLOOKUP($BJ188,$AI$3:$AO$33,MATCH(BS$3,$AI$3:$AO$3,0),FALSE)+$BL188/VLOOKUP(VLOOKUP($BJ188,坦克个性化设定!$B$18:$E$48,4,FALSE)&amp;$BK188,坦克属性分配比例,MATCH("升星次数",坦克属性分配比例标头,0),FALSE)*VLOOKUP($BJ188,$AR$3:$AY$33,MATCH(BS$3,$AR$3:$AY$3,0),FALSE),1)</f>
        <v>53.1</v>
      </c>
      <c r="BT188" s="2">
        <f>ROUND(VLOOKUP($BJ188,$AI$3:$AO$33,MATCH(BT$3,$AI$3:$AO$3,0),FALSE)+$BL188/VLOOKUP(VLOOKUP($BJ188,坦克个性化设定!$B$18:$E$48,4,FALSE)&amp;$BK188,坦克属性分配比例,MATCH("升星次数",坦克属性分配比例标头,0),FALSE)*VLOOKUP($BJ188,$AR$3:$AY$33,MATCH(BT$3,$AR$3:$AY$3,0),FALSE),1)</f>
        <v>47.7</v>
      </c>
      <c r="BU188" s="2">
        <f>ROUND(VLOOKUP($BJ188,$AI$3:$AO$33,MATCH(BU$3,$AI$3:$AO$3,0),FALSE)+$BL188/VLOOKUP(VLOOKUP($BJ188,坦克个性化设定!$B$18:$E$48,4,FALSE)&amp;$BK188,坦克属性分配比例,MATCH("升星次数",坦克属性分配比例标头,0),FALSE)*VLOOKUP($BJ188,$AR$3:$AY$33,MATCH(BU$3,$AR$3:$AY$3,0),FALSE),1)</f>
        <v>8.4</v>
      </c>
      <c r="BV188" s="2">
        <f>IF(VLOOKUP(BJ188,坦克个性化设定!$B$18:$BC$48,MATCH("装弹类型",坦克个性化设定!$B$18:$BC$18,0),FALSE)="弹夹换弹",0,ROUND(VLOOKUP($BJ188,$AI$3:$AO$33,MATCH("换弹时间",$AI$3:$AO$3,0),FALSE)-$BL188/VLOOKUP(VLOOKUP($BJ188,坦克个性化设定!$B$18:$E$48,4,FALSE)&amp;$BK188,坦克属性分配比例,MATCH("升星次数",坦克属性分配比例标头,0),FALSE)*VLOOKUP($BJ188,$AR$3:$AY$33,MATCH("换弹时间",$AR$3:$AY$3,0),FALSE),2))</f>
        <v>2.21</v>
      </c>
      <c r="BW188" s="2">
        <f>IF(VLOOKUP(BJ188,坦克个性化设定!$B$18:$BC$48,MATCH("装弹类型",坦克个性化设定!$B$18:$BC$18,0),FALSE)="弹夹换弹",ROUND(VLOOKUP($BJ188,$AI$3:$AO$33,MATCH("换弹时间",$AI$3:$AO$3,0),FALSE)-$BL188/VLOOKUP(VLOOKUP($BJ188,坦克个性化设定!$B$18:$E$48,4,FALSE)&amp;$BK188,坦克属性分配比例,MATCH("升星次数",坦克属性分配比例标头,0),FALSE)*VLOOKUP($BJ188,$AR$3:$AY$33,MATCH("换弹时间",$AR$3:$AY$3,0),FALSE),1),0)</f>
        <v>0</v>
      </c>
      <c r="BX188" s="2">
        <f>ROUND(VLOOKUP($BJ188,$AI$3:$AO$33,MATCH(BX$3,$AI$3:$AO$3,0),FALSE)+$BL188/VLOOKUP(VLOOKUP($BJ188,坦克个性化设定!$B$18:$E$48,4,FALSE)&amp;$BK188,坦克属性分配比例,MATCH("升星次数",坦克属性分配比例标头,0),FALSE)*VLOOKUP($BJ188,$AR$3:$AY$33,MATCH(BX$3,$AR$3:$AY$3,0),FALSE),2)</f>
        <v>0.26</v>
      </c>
      <c r="BY188" s="2">
        <f>ROUND(VLOOKUP($BJ188,$AI$3:$AO$33,MATCH(BY$3,$AI$3:$AO$3,0),FALSE)-$BL188/VLOOKUP(VLOOKUP($BJ188,坦克个性化设定!$B$18:$E$48,4,FALSE)&amp;$BK188,坦克属性分配比例,MATCH("升星次数",坦克属性分配比例标头,0),FALSE)*VLOOKUP($BJ188,$AR$3:$AY$33,MATCH(BY$3,$AR$3:$AY$3,0),FALSE),2)</f>
        <v>1.7</v>
      </c>
    </row>
    <row r="189" spans="60:77" x14ac:dyDescent="0.3">
      <c r="BH189" s="2" t="str">
        <f t="shared" si="27"/>
        <v>百夫长7</v>
      </c>
      <c r="BI189" s="2">
        <f>IF(BL188&gt;=VLOOKUP(VLOOKUP(BJ188,坦克个性化设定!$B$18:$E$48,4,FALSE)&amp;BK188,坦克属性分配比例,MATCH("升星次数",坦克属性分配比例标头,0),FALSE),BI188+1,BI188)</f>
        <v>19</v>
      </c>
      <c r="BJ189" s="2" t="str">
        <f t="shared" si="28"/>
        <v>百夫长</v>
      </c>
      <c r="BK189" s="29" t="str">
        <f>VLOOKUP(BJ189,坦克个性化细分!$I$3:$J$33,2,FALSE)</f>
        <v>高</v>
      </c>
      <c r="BL189" s="2">
        <f t="shared" si="26"/>
        <v>7</v>
      </c>
      <c r="BM189" s="103">
        <f ca="1">ROUND(VLOOKUP($BJ189&amp;"初始",$S$3:$AE$63,MATCH(BM$3,$S$3:$AE$3,0),FALSE)+((VLOOKUP($BJ189&amp;"最终",$S$3:$AE$63,MATCH(BM$3,$S$3:$AE$3,0),FALSE)*坦克个性化细分!$C$9-VLOOKUP($BJ189&amp;"初始",$S$3:$AE$63,MATCH(BM$3,$S$3:$AE$3,0),FALSE))-(VLOOKUP($BJ189&amp;"最终",$S$3:$AE$63,MATCH(BM$3,$S$3:$AE$3,0),FALSE)-VLOOKUP($BJ189&amp;"初始",$S$3:$AE$63,MATCH(BM$3,$S$3:$AE$3,0),FALSE))*VLOOKUP(VLOOKUP($BJ189,坦克个性化设定!$B$18:$E$48,4,FALSE)&amp;$BK189,坦克属性分配比例,MATCH("部件比例",坦克属性分配比例标头,0),FALSE))*$BL189/VLOOKUP(VLOOKUP($BJ189,坦克个性化设定!$B$18:$E$48,4,FALSE)&amp;$BK189,坦克属性分配比例,MATCH("升星次数",坦克属性分配比例标头,0),FALSE),0)</f>
        <v>2546</v>
      </c>
      <c r="BN189" s="103">
        <f ca="1">ROUND(VLOOKUP($BJ189&amp;"初始",$S$3:$AE$63,MATCH(BN$3,$S$3:$AE$3,0),FALSE)+(VLOOKUP($BJ189&amp;"最终",$S$3:$AE$63,MATCH(BN$3,$S$3:$AE$3,0),FALSE)-VLOOKUP($BJ189&amp;"初始",$S$3:$AE$63,MATCH(BN$3,$S$3:$AE$3,0),FALSE))*$BL189/VLOOKUP(VLOOKUP($BJ189,坦克个性化设定!$B$18:$E$48,4,FALSE)&amp;$BK189,坦克属性分配比例,MATCH("升星次数",坦克属性分配比例标头,0),FALSE)*VLOOKUP(VLOOKUP($BJ189,坦克个性化设定!$B$18:$E$48,4,FALSE)&amp;$BK189,坦克属性分配比例,MATCH("升星比例",坦克属性分配比例标头,0),FALSE),0)</f>
        <v>237</v>
      </c>
      <c r="BO189" s="103">
        <f ca="1">ROUND(VLOOKUP($BJ189&amp;"初始",$S$3:$AE$63,MATCH(BO$3,$S$3:$AE$3,0),FALSE)+(VLOOKUP($BJ189&amp;"最终",$S$3:$AE$63,MATCH(BO$3,$S$3:$AE$3,0),FALSE)-VLOOKUP($BJ189&amp;"初始",$S$3:$AE$63,MATCH(BO$3,$S$3:$AE$3,0),FALSE))*$BL189/VLOOKUP(VLOOKUP($BJ189,坦克个性化设定!$B$18:$E$48,4,FALSE)&amp;$BK189,坦克属性分配比例,MATCH("升星次数",坦克属性分配比例标头,0),FALSE)*(VLOOKUP(VLOOKUP($BJ189,坦克个性化设定!$B$18:$E$48,4,FALSE)&amp;$BK189,坦克属性分配比例,MATCH("升星比例",坦克属性分配比例标头,0),FALSE)+VLOOKUP(VLOOKUP($BJ189,坦克个性化设定!$B$18:$E$48,4,FALSE)&amp;$BK189,坦克属性分配比例,MATCH("部件比例",坦克属性分配比例标头,0),FALSE)*$C$3),0)</f>
        <v>832</v>
      </c>
      <c r="BP189" s="103">
        <f ca="1">ROUND(VLOOKUP($BJ189&amp;"初始",$S$3:$AE$63,MATCH(BP$3,$S$3:$AE$3,0),FALSE)+(VLOOKUP($BJ189&amp;"最终",$S$3:$AE$63,MATCH(BP$3,$S$3:$AE$3,0),FALSE)-VLOOKUP($BJ189&amp;"初始",$S$3:$AE$63,MATCH(BP$3,$S$3:$AE$3,0),FALSE))*$BL189/VLOOKUP(VLOOKUP($BJ189,坦克个性化设定!$B$18:$E$48,4,FALSE)&amp;$BK189,坦克属性分配比例,MATCH("升星次数",坦克属性分配比例标头,0),FALSE)*(VLOOKUP(VLOOKUP($BJ189,坦克个性化设定!$B$18:$E$48,4,FALSE)&amp;$BK189,坦克属性分配比例,MATCH("升星比例",坦克属性分配比例标头,0),FALSE)+VLOOKUP(VLOOKUP($BJ189,坦克个性化设定!$B$18:$E$48,4,FALSE)&amp;$BK189,坦克属性分配比例,MATCH("部件比例",坦克属性分配比例标头,0),FALSE)*$C$3),0)</f>
        <v>624</v>
      </c>
      <c r="BQ189" s="103">
        <f ca="1">ROUND(VLOOKUP($BJ189&amp;"初始",$S$3:$AE$63,MATCH(BQ$3,$S$3:$AE$3,0),FALSE)+(VLOOKUP($BJ189&amp;"最终",$S$3:$AE$63,MATCH(BQ$3,$S$3:$AE$3,0),FALSE)-VLOOKUP($BJ189&amp;"初始",$S$3:$AE$63,MATCH(BQ$3,$S$3:$AE$3,0),FALSE))*$BL189/VLOOKUP(VLOOKUP($BJ189,坦克个性化设定!$B$18:$E$48,4,FALSE)&amp;$BK189,坦克属性分配比例,MATCH("升星次数",坦克属性分配比例标头,0),FALSE)*VLOOKUP(VLOOKUP($BJ189,坦克个性化设定!$B$18:$E$48,4,FALSE)&amp;$BK189,坦克属性分配比例,MATCH("升星比例",坦克属性分配比例标头,0),FALSE),0)</f>
        <v>848</v>
      </c>
      <c r="BR189" s="2">
        <f ca="1">ROUND(VLOOKUP($BJ189&amp;"初始",$S$3:$AE$63,MATCH(BR$3,$S$3:$AE$3,0),FALSE)+(VLOOKUP($BJ189&amp;"最终",$S$3:$AE$63,MATCH(BR$3,$S$3:$AE$3,0),FALSE)-VLOOKUP($BJ189&amp;"初始",$S$3:$AE$63,MATCH(BR$3,$S$3:$AE$3,0),FALSE))*$BL189/VLOOKUP(VLOOKUP($BJ189,坦克个性化设定!$B$18:$E$48,4,FALSE)&amp;$BK189,坦克属性分配比例,MATCH("升星次数",坦克属性分配比例标头,0),FALSE),0)</f>
        <v>229</v>
      </c>
      <c r="BS189" s="2">
        <f>ROUND(VLOOKUP($BJ189,$AI$3:$AO$33,MATCH(BS$3,$AI$3:$AO$3,0),FALSE)+$BL189/VLOOKUP(VLOOKUP($BJ189,坦克个性化设定!$B$18:$E$48,4,FALSE)&amp;$BK189,坦克属性分配比例,MATCH("升星次数",坦克属性分配比例标头,0),FALSE)*VLOOKUP($BJ189,$AR$3:$AY$33,MATCH(BS$3,$AR$3:$AY$3,0),FALSE),1)</f>
        <v>54.1</v>
      </c>
      <c r="BT189" s="2">
        <f>ROUND(VLOOKUP($BJ189,$AI$3:$AO$33,MATCH(BT$3,$AI$3:$AO$3,0),FALSE)+$BL189/VLOOKUP(VLOOKUP($BJ189,坦克个性化设定!$B$18:$E$48,4,FALSE)&amp;$BK189,坦克属性分配比例,MATCH("升星次数",坦克属性分配比例标头,0),FALSE)*VLOOKUP($BJ189,$AR$3:$AY$33,MATCH(BT$3,$AR$3:$AY$3,0),FALSE),1)</f>
        <v>48.7</v>
      </c>
      <c r="BU189" s="2">
        <f>ROUND(VLOOKUP($BJ189,$AI$3:$AO$33,MATCH(BU$3,$AI$3:$AO$3,0),FALSE)+$BL189/VLOOKUP(VLOOKUP($BJ189,坦克个性化设定!$B$18:$E$48,4,FALSE)&amp;$BK189,坦克属性分配比例,MATCH("升星次数",坦克属性分配比例标头,0),FALSE)*VLOOKUP($BJ189,$AR$3:$AY$33,MATCH(BU$3,$AR$3:$AY$3,0),FALSE),1)</f>
        <v>8.4</v>
      </c>
      <c r="BV189" s="2">
        <f>IF(VLOOKUP(BJ189,坦克个性化设定!$B$18:$BC$48,MATCH("装弹类型",坦克个性化设定!$B$18:$BC$18,0),FALSE)="弹夹换弹",0,ROUND(VLOOKUP($BJ189,$AI$3:$AO$33,MATCH("换弹时间",$AI$3:$AO$3,0),FALSE)-$BL189/VLOOKUP(VLOOKUP($BJ189,坦克个性化设定!$B$18:$E$48,4,FALSE)&amp;$BK189,坦克属性分配比例,MATCH("升星次数",坦克属性分配比例标头,0),FALSE)*VLOOKUP($BJ189,$AR$3:$AY$33,MATCH("换弹时间",$AR$3:$AY$3,0),FALSE),2))</f>
        <v>2.17</v>
      </c>
      <c r="BW189" s="2">
        <f>IF(VLOOKUP(BJ189,坦克个性化设定!$B$18:$BC$48,MATCH("装弹类型",坦克个性化设定!$B$18:$BC$18,0),FALSE)="弹夹换弹",ROUND(VLOOKUP($BJ189,$AI$3:$AO$33,MATCH("换弹时间",$AI$3:$AO$3,0),FALSE)-$BL189/VLOOKUP(VLOOKUP($BJ189,坦克个性化设定!$B$18:$E$48,4,FALSE)&amp;$BK189,坦克属性分配比例,MATCH("升星次数",坦克属性分配比例标头,0),FALSE)*VLOOKUP($BJ189,$AR$3:$AY$33,MATCH("换弹时间",$AR$3:$AY$3,0),FALSE),1),0)</f>
        <v>0</v>
      </c>
      <c r="BX189" s="2">
        <f>ROUND(VLOOKUP($BJ189,$AI$3:$AO$33,MATCH(BX$3,$AI$3:$AO$3,0),FALSE)+$BL189/VLOOKUP(VLOOKUP($BJ189,坦克个性化设定!$B$18:$E$48,4,FALSE)&amp;$BK189,坦克属性分配比例,MATCH("升星次数",坦克属性分配比例标头,0),FALSE)*VLOOKUP($BJ189,$AR$3:$AY$33,MATCH(BX$3,$AR$3:$AY$3,0),FALSE),2)</f>
        <v>0.26</v>
      </c>
      <c r="BY189" s="2">
        <f>ROUND(VLOOKUP($BJ189,$AI$3:$AO$33,MATCH(BY$3,$AI$3:$AO$3,0),FALSE)-$BL189/VLOOKUP(VLOOKUP($BJ189,坦克个性化设定!$B$18:$E$48,4,FALSE)&amp;$BK189,坦克属性分配比例,MATCH("升星次数",坦克属性分配比例标头,0),FALSE)*VLOOKUP($BJ189,$AR$3:$AY$33,MATCH(BY$3,$AR$3:$AY$3,0),FALSE),2)</f>
        <v>1.67</v>
      </c>
    </row>
    <row r="190" spans="60:77" x14ac:dyDescent="0.3">
      <c r="BH190" s="2" t="str">
        <f t="shared" si="27"/>
        <v>百夫长8</v>
      </c>
      <c r="BI190" s="2">
        <f>IF(BL189&gt;=VLOOKUP(VLOOKUP(BJ189,坦克个性化设定!$B$18:$E$48,4,FALSE)&amp;BK189,坦克属性分配比例,MATCH("升星次数",坦克属性分配比例标头,0),FALSE),BI189+1,BI189)</f>
        <v>19</v>
      </c>
      <c r="BJ190" s="2" t="str">
        <f t="shared" si="28"/>
        <v>百夫长</v>
      </c>
      <c r="BK190" s="29" t="str">
        <f>VLOOKUP(BJ190,坦克个性化细分!$I$3:$J$33,2,FALSE)</f>
        <v>高</v>
      </c>
      <c r="BL190" s="2">
        <f t="shared" si="26"/>
        <v>8</v>
      </c>
      <c r="BM190" s="103">
        <f ca="1">ROUND(VLOOKUP($BJ190&amp;"初始",$S$3:$AE$63,MATCH(BM$3,$S$3:$AE$3,0),FALSE)+((VLOOKUP($BJ190&amp;"最终",$S$3:$AE$63,MATCH(BM$3,$S$3:$AE$3,0),FALSE)*坦克个性化细分!$C$9-VLOOKUP($BJ190&amp;"初始",$S$3:$AE$63,MATCH(BM$3,$S$3:$AE$3,0),FALSE))-(VLOOKUP($BJ190&amp;"最终",$S$3:$AE$63,MATCH(BM$3,$S$3:$AE$3,0),FALSE)-VLOOKUP($BJ190&amp;"初始",$S$3:$AE$63,MATCH(BM$3,$S$3:$AE$3,0),FALSE))*VLOOKUP(VLOOKUP($BJ190,坦克个性化设定!$B$18:$E$48,4,FALSE)&amp;$BK190,坦克属性分配比例,MATCH("部件比例",坦克属性分配比例标头,0),FALSE))*$BL190/VLOOKUP(VLOOKUP($BJ190,坦克个性化设定!$B$18:$E$48,4,FALSE)&amp;$BK190,坦克属性分配比例,MATCH("升星次数",坦克属性分配比例标头,0),FALSE),0)</f>
        <v>2632</v>
      </c>
      <c r="BN190" s="103">
        <f ca="1">ROUND(VLOOKUP($BJ190&amp;"初始",$S$3:$AE$63,MATCH(BN$3,$S$3:$AE$3,0),FALSE)+(VLOOKUP($BJ190&amp;"最终",$S$3:$AE$63,MATCH(BN$3,$S$3:$AE$3,0),FALSE)-VLOOKUP($BJ190&amp;"初始",$S$3:$AE$63,MATCH(BN$3,$S$3:$AE$3,0),FALSE))*$BL190/VLOOKUP(VLOOKUP($BJ190,坦克个性化设定!$B$18:$E$48,4,FALSE)&amp;$BK190,坦克属性分配比例,MATCH("升星次数",坦克属性分配比例标头,0),FALSE)*VLOOKUP(VLOOKUP($BJ190,坦克个性化设定!$B$18:$E$48,4,FALSE)&amp;$BK190,坦克属性分配比例,MATCH("升星比例",坦克属性分配比例标头,0),FALSE),0)</f>
        <v>242</v>
      </c>
      <c r="BO190" s="103">
        <f ca="1">ROUND(VLOOKUP($BJ190&amp;"初始",$S$3:$AE$63,MATCH(BO$3,$S$3:$AE$3,0),FALSE)+(VLOOKUP($BJ190&amp;"最终",$S$3:$AE$63,MATCH(BO$3,$S$3:$AE$3,0),FALSE)-VLOOKUP($BJ190&amp;"初始",$S$3:$AE$63,MATCH(BO$3,$S$3:$AE$3,0),FALSE))*$BL190/VLOOKUP(VLOOKUP($BJ190,坦克个性化设定!$B$18:$E$48,4,FALSE)&amp;$BK190,坦克属性分配比例,MATCH("升星次数",坦克属性分配比例标头,0),FALSE)*(VLOOKUP(VLOOKUP($BJ190,坦克个性化设定!$B$18:$E$48,4,FALSE)&amp;$BK190,坦克属性分配比例,MATCH("升星比例",坦克属性分配比例标头,0),FALSE)+VLOOKUP(VLOOKUP($BJ190,坦克个性化设定!$B$18:$E$48,4,FALSE)&amp;$BK190,坦克属性分配比例,MATCH("部件比例",坦克属性分配比例标头,0),FALSE)*$C$3),0)</f>
        <v>857</v>
      </c>
      <c r="BP190" s="103">
        <f ca="1">ROUND(VLOOKUP($BJ190&amp;"初始",$S$3:$AE$63,MATCH(BP$3,$S$3:$AE$3,0),FALSE)+(VLOOKUP($BJ190&amp;"最终",$S$3:$AE$63,MATCH(BP$3,$S$3:$AE$3,0),FALSE)-VLOOKUP($BJ190&amp;"初始",$S$3:$AE$63,MATCH(BP$3,$S$3:$AE$3,0),FALSE))*$BL190/VLOOKUP(VLOOKUP($BJ190,坦克个性化设定!$B$18:$E$48,4,FALSE)&amp;$BK190,坦克属性分配比例,MATCH("升星次数",坦克属性分配比例标头,0),FALSE)*(VLOOKUP(VLOOKUP($BJ190,坦克个性化设定!$B$18:$E$48,4,FALSE)&amp;$BK190,坦克属性分配比例,MATCH("升星比例",坦克属性分配比例标头,0),FALSE)+VLOOKUP(VLOOKUP($BJ190,坦克个性化设定!$B$18:$E$48,4,FALSE)&amp;$BK190,坦克属性分配比例,MATCH("部件比例",坦克属性分配比例标头,0),FALSE)*$C$3),0)</f>
        <v>643</v>
      </c>
      <c r="BQ190" s="103">
        <f ca="1">ROUND(VLOOKUP($BJ190&amp;"初始",$S$3:$AE$63,MATCH(BQ$3,$S$3:$AE$3,0),FALSE)+(VLOOKUP($BJ190&amp;"最终",$S$3:$AE$63,MATCH(BQ$3,$S$3:$AE$3,0),FALSE)-VLOOKUP($BJ190&amp;"初始",$S$3:$AE$63,MATCH(BQ$3,$S$3:$AE$3,0),FALSE))*$BL190/VLOOKUP(VLOOKUP($BJ190,坦克个性化设定!$B$18:$E$48,4,FALSE)&amp;$BK190,坦克属性分配比例,MATCH("升星次数",坦克属性分配比例标头,0),FALSE)*VLOOKUP(VLOOKUP($BJ190,坦克个性化设定!$B$18:$E$48,4,FALSE)&amp;$BK190,坦克属性分配比例,MATCH("升星比例",坦克属性分配比例标头,0),FALSE),0)</f>
        <v>867</v>
      </c>
      <c r="BR190" s="2">
        <f ca="1">ROUND(VLOOKUP($BJ190&amp;"初始",$S$3:$AE$63,MATCH(BR$3,$S$3:$AE$3,0),FALSE)+(VLOOKUP($BJ190&amp;"最终",$S$3:$AE$63,MATCH(BR$3,$S$3:$AE$3,0),FALSE)-VLOOKUP($BJ190&amp;"初始",$S$3:$AE$63,MATCH(BR$3,$S$3:$AE$3,0),FALSE))*$BL190/VLOOKUP(VLOOKUP($BJ190,坦克个性化设定!$B$18:$E$48,4,FALSE)&amp;$BK190,坦克属性分配比例,MATCH("升星次数",坦克属性分配比例标头,0),FALSE),0)</f>
        <v>237</v>
      </c>
      <c r="BS190" s="2">
        <f>ROUND(VLOOKUP($BJ190,$AI$3:$AO$33,MATCH(BS$3,$AI$3:$AO$3,0),FALSE)+$BL190/VLOOKUP(VLOOKUP($BJ190,坦克个性化设定!$B$18:$E$48,4,FALSE)&amp;$BK190,坦克属性分配比例,MATCH("升星次数",坦克属性分配比例标头,0),FALSE)*VLOOKUP($BJ190,$AR$3:$AY$33,MATCH(BS$3,$AR$3:$AY$3,0),FALSE),1)</f>
        <v>55.2</v>
      </c>
      <c r="BT190" s="2">
        <f>ROUND(VLOOKUP($BJ190,$AI$3:$AO$33,MATCH(BT$3,$AI$3:$AO$3,0),FALSE)+$BL190/VLOOKUP(VLOOKUP($BJ190,坦克个性化设定!$B$18:$E$48,4,FALSE)&amp;$BK190,坦克属性分配比例,MATCH("升星次数",坦克属性分配比例标头,0),FALSE)*VLOOKUP($BJ190,$AR$3:$AY$33,MATCH(BT$3,$AR$3:$AY$3,0),FALSE),1)</f>
        <v>49.6</v>
      </c>
      <c r="BU190" s="2">
        <f>ROUND(VLOOKUP($BJ190,$AI$3:$AO$33,MATCH(BU$3,$AI$3:$AO$3,0),FALSE)+$BL190/VLOOKUP(VLOOKUP($BJ190,坦克个性化设定!$B$18:$E$48,4,FALSE)&amp;$BK190,坦克属性分配比例,MATCH("升星次数",坦克属性分配比例标头,0),FALSE)*VLOOKUP($BJ190,$AR$3:$AY$33,MATCH(BU$3,$AR$3:$AY$3,0),FALSE),1)</f>
        <v>8.4</v>
      </c>
      <c r="BV190" s="2">
        <f>IF(VLOOKUP(BJ190,坦克个性化设定!$B$18:$BC$48,MATCH("装弹类型",坦克个性化设定!$B$18:$BC$18,0),FALSE)="弹夹换弹",0,ROUND(VLOOKUP($BJ190,$AI$3:$AO$33,MATCH("换弹时间",$AI$3:$AO$3,0),FALSE)-$BL190/VLOOKUP(VLOOKUP($BJ190,坦克个性化设定!$B$18:$E$48,4,FALSE)&amp;$BK190,坦克属性分配比例,MATCH("升星次数",坦克属性分配比例标头,0),FALSE)*VLOOKUP($BJ190,$AR$3:$AY$33,MATCH("换弹时间",$AR$3:$AY$3,0),FALSE),2))</f>
        <v>2.14</v>
      </c>
      <c r="BW190" s="2">
        <f>IF(VLOOKUP(BJ190,坦克个性化设定!$B$18:$BC$48,MATCH("装弹类型",坦克个性化设定!$B$18:$BC$18,0),FALSE)="弹夹换弹",ROUND(VLOOKUP($BJ190,$AI$3:$AO$33,MATCH("换弹时间",$AI$3:$AO$3,0),FALSE)-$BL190/VLOOKUP(VLOOKUP($BJ190,坦克个性化设定!$B$18:$E$48,4,FALSE)&amp;$BK190,坦克属性分配比例,MATCH("升星次数",坦克属性分配比例标头,0),FALSE)*VLOOKUP($BJ190,$AR$3:$AY$33,MATCH("换弹时间",$AR$3:$AY$3,0),FALSE),1),0)</f>
        <v>0</v>
      </c>
      <c r="BX190" s="2">
        <f>ROUND(VLOOKUP($BJ190,$AI$3:$AO$33,MATCH(BX$3,$AI$3:$AO$3,0),FALSE)+$BL190/VLOOKUP(VLOOKUP($BJ190,坦克个性化设定!$B$18:$E$48,4,FALSE)&amp;$BK190,坦克属性分配比例,MATCH("升星次数",坦克属性分配比例标头,0),FALSE)*VLOOKUP($BJ190,$AR$3:$AY$33,MATCH(BX$3,$AR$3:$AY$3,0),FALSE),2)</f>
        <v>0.26</v>
      </c>
      <c r="BY190" s="2">
        <f>ROUND(VLOOKUP($BJ190,$AI$3:$AO$33,MATCH(BY$3,$AI$3:$AO$3,0),FALSE)-$BL190/VLOOKUP(VLOOKUP($BJ190,坦克个性化设定!$B$18:$E$48,4,FALSE)&amp;$BK190,坦克属性分配比例,MATCH("升星次数",坦克属性分配比例标头,0),FALSE)*VLOOKUP($BJ190,$AR$3:$AY$33,MATCH(BY$3,$AR$3:$AY$3,0),FALSE),2)</f>
        <v>1.64</v>
      </c>
    </row>
    <row r="191" spans="60:77" x14ac:dyDescent="0.3">
      <c r="BH191" s="2" t="str">
        <f t="shared" si="27"/>
        <v>百夫长9</v>
      </c>
      <c r="BI191" s="2">
        <f>IF(BL190&gt;=VLOOKUP(VLOOKUP(BJ190,坦克个性化设定!$B$18:$E$48,4,FALSE)&amp;BK190,坦克属性分配比例,MATCH("升星次数",坦克属性分配比例标头,0),FALSE),BI190+1,BI190)</f>
        <v>19</v>
      </c>
      <c r="BJ191" s="2" t="str">
        <f t="shared" si="28"/>
        <v>百夫长</v>
      </c>
      <c r="BK191" s="29" t="str">
        <f>VLOOKUP(BJ191,坦克个性化细分!$I$3:$J$33,2,FALSE)</f>
        <v>高</v>
      </c>
      <c r="BL191" s="2">
        <f t="shared" si="26"/>
        <v>9</v>
      </c>
      <c r="BM191" s="103">
        <f ca="1">ROUND(VLOOKUP($BJ191&amp;"初始",$S$3:$AE$63,MATCH(BM$3,$S$3:$AE$3,0),FALSE)+((VLOOKUP($BJ191&amp;"最终",$S$3:$AE$63,MATCH(BM$3,$S$3:$AE$3,0),FALSE)*坦克个性化细分!$C$9-VLOOKUP($BJ191&amp;"初始",$S$3:$AE$63,MATCH(BM$3,$S$3:$AE$3,0),FALSE))-(VLOOKUP($BJ191&amp;"最终",$S$3:$AE$63,MATCH(BM$3,$S$3:$AE$3,0),FALSE)-VLOOKUP($BJ191&amp;"初始",$S$3:$AE$63,MATCH(BM$3,$S$3:$AE$3,0),FALSE))*VLOOKUP(VLOOKUP($BJ191,坦克个性化设定!$B$18:$E$48,4,FALSE)&amp;$BK191,坦克属性分配比例,MATCH("部件比例",坦克属性分配比例标头,0),FALSE))*$BL191/VLOOKUP(VLOOKUP($BJ191,坦克个性化设定!$B$18:$E$48,4,FALSE)&amp;$BK191,坦克属性分配比例,MATCH("升星次数",坦克属性分配比例标头,0),FALSE),0)</f>
        <v>2718</v>
      </c>
      <c r="BN191" s="103">
        <f ca="1">ROUND(VLOOKUP($BJ191&amp;"初始",$S$3:$AE$63,MATCH(BN$3,$S$3:$AE$3,0),FALSE)+(VLOOKUP($BJ191&amp;"最终",$S$3:$AE$63,MATCH(BN$3,$S$3:$AE$3,0),FALSE)-VLOOKUP($BJ191&amp;"初始",$S$3:$AE$63,MATCH(BN$3,$S$3:$AE$3,0),FALSE))*$BL191/VLOOKUP(VLOOKUP($BJ191,坦克个性化设定!$B$18:$E$48,4,FALSE)&amp;$BK191,坦克属性分配比例,MATCH("升星次数",坦克属性分配比例标头,0),FALSE)*VLOOKUP(VLOOKUP($BJ191,坦克个性化设定!$B$18:$E$48,4,FALSE)&amp;$BK191,坦克属性分配比例,MATCH("升星比例",坦克属性分配比例标头,0),FALSE),0)</f>
        <v>247</v>
      </c>
      <c r="BO191" s="103">
        <f ca="1">ROUND(VLOOKUP($BJ191&amp;"初始",$S$3:$AE$63,MATCH(BO$3,$S$3:$AE$3,0),FALSE)+(VLOOKUP($BJ191&amp;"最终",$S$3:$AE$63,MATCH(BO$3,$S$3:$AE$3,0),FALSE)-VLOOKUP($BJ191&amp;"初始",$S$3:$AE$63,MATCH(BO$3,$S$3:$AE$3,0),FALSE))*$BL191/VLOOKUP(VLOOKUP($BJ191,坦克个性化设定!$B$18:$E$48,4,FALSE)&amp;$BK191,坦克属性分配比例,MATCH("升星次数",坦克属性分配比例标头,0),FALSE)*(VLOOKUP(VLOOKUP($BJ191,坦克个性化设定!$B$18:$E$48,4,FALSE)&amp;$BK191,坦克属性分配比例,MATCH("升星比例",坦克属性分配比例标头,0),FALSE)+VLOOKUP(VLOOKUP($BJ191,坦克个性化设定!$B$18:$E$48,4,FALSE)&amp;$BK191,坦克属性分配比例,MATCH("部件比例",坦克属性分配比例标头,0),FALSE)*$C$3),0)</f>
        <v>882</v>
      </c>
      <c r="BP191" s="103">
        <f ca="1">ROUND(VLOOKUP($BJ191&amp;"初始",$S$3:$AE$63,MATCH(BP$3,$S$3:$AE$3,0),FALSE)+(VLOOKUP($BJ191&amp;"最终",$S$3:$AE$63,MATCH(BP$3,$S$3:$AE$3,0),FALSE)-VLOOKUP($BJ191&amp;"初始",$S$3:$AE$63,MATCH(BP$3,$S$3:$AE$3,0),FALSE))*$BL191/VLOOKUP(VLOOKUP($BJ191,坦克个性化设定!$B$18:$E$48,4,FALSE)&amp;$BK191,坦克属性分配比例,MATCH("升星次数",坦克属性分配比例标头,0),FALSE)*(VLOOKUP(VLOOKUP($BJ191,坦克个性化设定!$B$18:$E$48,4,FALSE)&amp;$BK191,坦克属性分配比例,MATCH("升星比例",坦克属性分配比例标头,0),FALSE)+VLOOKUP(VLOOKUP($BJ191,坦克个性化设定!$B$18:$E$48,4,FALSE)&amp;$BK191,坦克属性分配比例,MATCH("部件比例",坦克属性分配比例标头,0),FALSE)*$C$3),0)</f>
        <v>661</v>
      </c>
      <c r="BQ191" s="103">
        <f ca="1">ROUND(VLOOKUP($BJ191&amp;"初始",$S$3:$AE$63,MATCH(BQ$3,$S$3:$AE$3,0),FALSE)+(VLOOKUP($BJ191&amp;"最终",$S$3:$AE$63,MATCH(BQ$3,$S$3:$AE$3,0),FALSE)-VLOOKUP($BJ191&amp;"初始",$S$3:$AE$63,MATCH(BQ$3,$S$3:$AE$3,0),FALSE))*$BL191/VLOOKUP(VLOOKUP($BJ191,坦克个性化设定!$B$18:$E$48,4,FALSE)&amp;$BK191,坦克属性分配比例,MATCH("升星次数",坦克属性分配比例标头,0),FALSE)*VLOOKUP(VLOOKUP($BJ191,坦克个性化设定!$B$18:$E$48,4,FALSE)&amp;$BK191,坦克属性分配比例,MATCH("升星比例",坦克属性分配比例标头,0),FALSE),0)</f>
        <v>885</v>
      </c>
      <c r="BR191" s="2">
        <f ca="1">ROUND(VLOOKUP($BJ191&amp;"初始",$S$3:$AE$63,MATCH(BR$3,$S$3:$AE$3,0),FALSE)+(VLOOKUP($BJ191&amp;"最终",$S$3:$AE$63,MATCH(BR$3,$S$3:$AE$3,0),FALSE)-VLOOKUP($BJ191&amp;"初始",$S$3:$AE$63,MATCH(BR$3,$S$3:$AE$3,0),FALSE))*$BL191/VLOOKUP(VLOOKUP($BJ191,坦克个性化设定!$B$18:$E$48,4,FALSE)&amp;$BK191,坦克属性分配比例,MATCH("升星次数",坦克属性分配比例标头,0),FALSE),0)</f>
        <v>245</v>
      </c>
      <c r="BS191" s="2">
        <f>ROUND(VLOOKUP($BJ191,$AI$3:$AO$33,MATCH(BS$3,$AI$3:$AO$3,0),FALSE)+$BL191/VLOOKUP(VLOOKUP($BJ191,坦克个性化设定!$B$18:$E$48,4,FALSE)&amp;$BK191,坦克属性分配比例,MATCH("升星次数",坦克属性分配比例标头,0),FALSE)*VLOOKUP($BJ191,$AR$3:$AY$33,MATCH(BS$3,$AR$3:$AY$3,0),FALSE),1)</f>
        <v>56.3</v>
      </c>
      <c r="BT191" s="2">
        <f>ROUND(VLOOKUP($BJ191,$AI$3:$AO$33,MATCH(BT$3,$AI$3:$AO$3,0),FALSE)+$BL191/VLOOKUP(VLOOKUP($BJ191,坦克个性化设定!$B$18:$E$48,4,FALSE)&amp;$BK191,坦克属性分配比例,MATCH("升星次数",坦克属性分配比例标头,0),FALSE)*VLOOKUP($BJ191,$AR$3:$AY$33,MATCH(BT$3,$AR$3:$AY$3,0),FALSE),1)</f>
        <v>50.6</v>
      </c>
      <c r="BU191" s="2">
        <f>ROUND(VLOOKUP($BJ191,$AI$3:$AO$33,MATCH(BU$3,$AI$3:$AO$3,0),FALSE)+$BL191/VLOOKUP(VLOOKUP($BJ191,坦克个性化设定!$B$18:$E$48,4,FALSE)&amp;$BK191,坦克属性分配比例,MATCH("升星次数",坦克属性分配比例标头,0),FALSE)*VLOOKUP($BJ191,$AR$3:$AY$33,MATCH(BU$3,$AR$3:$AY$3,0),FALSE),1)</f>
        <v>8.4</v>
      </c>
      <c r="BV191" s="2">
        <f>IF(VLOOKUP(BJ191,坦克个性化设定!$B$18:$BC$48,MATCH("装弹类型",坦克个性化设定!$B$18:$BC$18,0),FALSE)="弹夹换弹",0,ROUND(VLOOKUP($BJ191,$AI$3:$AO$33,MATCH("换弹时间",$AI$3:$AO$3,0),FALSE)-$BL191/VLOOKUP(VLOOKUP($BJ191,坦克个性化设定!$B$18:$E$48,4,FALSE)&amp;$BK191,坦克属性分配比例,MATCH("升星次数",坦克属性分配比例标头,0),FALSE)*VLOOKUP($BJ191,$AR$3:$AY$33,MATCH("换弹时间",$AR$3:$AY$3,0),FALSE),2))</f>
        <v>2.11</v>
      </c>
      <c r="BW191" s="2">
        <f>IF(VLOOKUP(BJ191,坦克个性化设定!$B$18:$BC$48,MATCH("装弹类型",坦克个性化设定!$B$18:$BC$18,0),FALSE)="弹夹换弹",ROUND(VLOOKUP($BJ191,$AI$3:$AO$33,MATCH("换弹时间",$AI$3:$AO$3,0),FALSE)-$BL191/VLOOKUP(VLOOKUP($BJ191,坦克个性化设定!$B$18:$E$48,4,FALSE)&amp;$BK191,坦克属性分配比例,MATCH("升星次数",坦克属性分配比例标头,0),FALSE)*VLOOKUP($BJ191,$AR$3:$AY$33,MATCH("换弹时间",$AR$3:$AY$3,0),FALSE),1),0)</f>
        <v>0</v>
      </c>
      <c r="BX191" s="2">
        <f>ROUND(VLOOKUP($BJ191,$AI$3:$AO$33,MATCH(BX$3,$AI$3:$AO$3,0),FALSE)+$BL191/VLOOKUP(VLOOKUP($BJ191,坦克个性化设定!$B$18:$E$48,4,FALSE)&amp;$BK191,坦克属性分配比例,MATCH("升星次数",坦克属性分配比例标头,0),FALSE)*VLOOKUP($BJ191,$AR$3:$AY$33,MATCH(BX$3,$AR$3:$AY$3,0),FALSE),2)</f>
        <v>0.26</v>
      </c>
      <c r="BY191" s="2">
        <f>ROUND(VLOOKUP($BJ191,$AI$3:$AO$33,MATCH(BY$3,$AI$3:$AO$3,0),FALSE)-$BL191/VLOOKUP(VLOOKUP($BJ191,坦克个性化设定!$B$18:$E$48,4,FALSE)&amp;$BK191,坦克属性分配比例,MATCH("升星次数",坦克属性分配比例标头,0),FALSE)*VLOOKUP($BJ191,$AR$3:$AY$33,MATCH(BY$3,$AR$3:$AY$3,0),FALSE),2)</f>
        <v>1.62</v>
      </c>
    </row>
    <row r="192" spans="60:77" x14ac:dyDescent="0.3">
      <c r="BH192" s="2" t="str">
        <f t="shared" si="27"/>
        <v>百夫长10</v>
      </c>
      <c r="BI192" s="2">
        <f>IF(BL191&gt;=VLOOKUP(VLOOKUP(BJ191,坦克个性化设定!$B$18:$E$48,4,FALSE)&amp;BK191,坦克属性分配比例,MATCH("升星次数",坦克属性分配比例标头,0),FALSE),BI191+1,BI191)</f>
        <v>19</v>
      </c>
      <c r="BJ192" s="2" t="str">
        <f t="shared" si="28"/>
        <v>百夫长</v>
      </c>
      <c r="BK192" s="29" t="str">
        <f>VLOOKUP(BJ192,坦克个性化细分!$I$3:$J$33,2,FALSE)</f>
        <v>高</v>
      </c>
      <c r="BL192" s="2">
        <f t="shared" si="26"/>
        <v>10</v>
      </c>
      <c r="BM192" s="103">
        <f ca="1">ROUND(VLOOKUP($BJ192&amp;"初始",$S$3:$AE$63,MATCH(BM$3,$S$3:$AE$3,0),FALSE)+((VLOOKUP($BJ192&amp;"最终",$S$3:$AE$63,MATCH(BM$3,$S$3:$AE$3,0),FALSE)*坦克个性化细分!$C$9-VLOOKUP($BJ192&amp;"初始",$S$3:$AE$63,MATCH(BM$3,$S$3:$AE$3,0),FALSE))-(VLOOKUP($BJ192&amp;"最终",$S$3:$AE$63,MATCH(BM$3,$S$3:$AE$3,0),FALSE)-VLOOKUP($BJ192&amp;"初始",$S$3:$AE$63,MATCH(BM$3,$S$3:$AE$3,0),FALSE))*VLOOKUP(VLOOKUP($BJ192,坦克个性化设定!$B$18:$E$48,4,FALSE)&amp;$BK192,坦克属性分配比例,MATCH("部件比例",坦克属性分配比例标头,0),FALSE))*$BL192/VLOOKUP(VLOOKUP($BJ192,坦克个性化设定!$B$18:$E$48,4,FALSE)&amp;$BK192,坦克属性分配比例,MATCH("升星次数",坦克属性分配比例标头,0),FALSE),0)</f>
        <v>2804</v>
      </c>
      <c r="BN192" s="103">
        <f ca="1">ROUND(VLOOKUP($BJ192&amp;"初始",$S$3:$AE$63,MATCH(BN$3,$S$3:$AE$3,0),FALSE)+(VLOOKUP($BJ192&amp;"最终",$S$3:$AE$63,MATCH(BN$3,$S$3:$AE$3,0),FALSE)-VLOOKUP($BJ192&amp;"初始",$S$3:$AE$63,MATCH(BN$3,$S$3:$AE$3,0),FALSE))*$BL192/VLOOKUP(VLOOKUP($BJ192,坦克个性化设定!$B$18:$E$48,4,FALSE)&amp;$BK192,坦克属性分配比例,MATCH("升星次数",坦克属性分配比例标头,0),FALSE)*VLOOKUP(VLOOKUP($BJ192,坦克个性化设定!$B$18:$E$48,4,FALSE)&amp;$BK192,坦克属性分配比例,MATCH("升星比例",坦克属性分配比例标头,0),FALSE),0)</f>
        <v>253</v>
      </c>
      <c r="BO192" s="103">
        <f ca="1">ROUND(VLOOKUP($BJ192&amp;"初始",$S$3:$AE$63,MATCH(BO$3,$S$3:$AE$3,0),FALSE)+(VLOOKUP($BJ192&amp;"最终",$S$3:$AE$63,MATCH(BO$3,$S$3:$AE$3,0),FALSE)-VLOOKUP($BJ192&amp;"初始",$S$3:$AE$63,MATCH(BO$3,$S$3:$AE$3,0),FALSE))*$BL192/VLOOKUP(VLOOKUP($BJ192,坦克个性化设定!$B$18:$E$48,4,FALSE)&amp;$BK192,坦克属性分配比例,MATCH("升星次数",坦克属性分配比例标头,0),FALSE)*(VLOOKUP(VLOOKUP($BJ192,坦克个性化设定!$B$18:$E$48,4,FALSE)&amp;$BK192,坦克属性分配比例,MATCH("升星比例",坦克属性分配比例标头,0),FALSE)+VLOOKUP(VLOOKUP($BJ192,坦克个性化设定!$B$18:$E$48,4,FALSE)&amp;$BK192,坦克属性分配比例,MATCH("部件比例",坦克属性分配比例标头,0),FALSE)*$C$3),0)</f>
        <v>907</v>
      </c>
      <c r="BP192" s="103">
        <f ca="1">ROUND(VLOOKUP($BJ192&amp;"初始",$S$3:$AE$63,MATCH(BP$3,$S$3:$AE$3,0),FALSE)+(VLOOKUP($BJ192&amp;"最终",$S$3:$AE$63,MATCH(BP$3,$S$3:$AE$3,0),FALSE)-VLOOKUP($BJ192&amp;"初始",$S$3:$AE$63,MATCH(BP$3,$S$3:$AE$3,0),FALSE))*$BL192/VLOOKUP(VLOOKUP($BJ192,坦克个性化设定!$B$18:$E$48,4,FALSE)&amp;$BK192,坦克属性分配比例,MATCH("升星次数",坦克属性分配比例标头,0),FALSE)*(VLOOKUP(VLOOKUP($BJ192,坦克个性化设定!$B$18:$E$48,4,FALSE)&amp;$BK192,坦克属性分配比例,MATCH("升星比例",坦克属性分配比例标头,0),FALSE)+VLOOKUP(VLOOKUP($BJ192,坦克个性化设定!$B$18:$E$48,4,FALSE)&amp;$BK192,坦克属性分配比例,MATCH("部件比例",坦克属性分配比例标头,0),FALSE)*$C$3),0)</f>
        <v>680</v>
      </c>
      <c r="BQ192" s="103">
        <f ca="1">ROUND(VLOOKUP($BJ192&amp;"初始",$S$3:$AE$63,MATCH(BQ$3,$S$3:$AE$3,0),FALSE)+(VLOOKUP($BJ192&amp;"最终",$S$3:$AE$63,MATCH(BQ$3,$S$3:$AE$3,0),FALSE)-VLOOKUP($BJ192&amp;"初始",$S$3:$AE$63,MATCH(BQ$3,$S$3:$AE$3,0),FALSE))*$BL192/VLOOKUP(VLOOKUP($BJ192,坦克个性化设定!$B$18:$E$48,4,FALSE)&amp;$BK192,坦克属性分配比例,MATCH("升星次数",坦克属性分配比例标头,0),FALSE)*VLOOKUP(VLOOKUP($BJ192,坦克个性化设定!$B$18:$E$48,4,FALSE)&amp;$BK192,坦克属性分配比例,MATCH("升星比例",坦克属性分配比例标头,0),FALSE),0)</f>
        <v>904</v>
      </c>
      <c r="BR192" s="2">
        <f ca="1">ROUND(VLOOKUP($BJ192&amp;"初始",$S$3:$AE$63,MATCH(BR$3,$S$3:$AE$3,0),FALSE)+(VLOOKUP($BJ192&amp;"最终",$S$3:$AE$63,MATCH(BR$3,$S$3:$AE$3,0),FALSE)-VLOOKUP($BJ192&amp;"初始",$S$3:$AE$63,MATCH(BR$3,$S$3:$AE$3,0),FALSE))*$BL192/VLOOKUP(VLOOKUP($BJ192,坦克个性化设定!$B$18:$E$48,4,FALSE)&amp;$BK192,坦克属性分配比例,MATCH("升星次数",坦克属性分配比例标头,0),FALSE),0)</f>
        <v>253</v>
      </c>
      <c r="BS192" s="2">
        <f>ROUND(VLOOKUP($BJ192,$AI$3:$AO$33,MATCH(BS$3,$AI$3:$AO$3,0),FALSE)+$BL192/VLOOKUP(VLOOKUP($BJ192,坦克个性化设定!$B$18:$E$48,4,FALSE)&amp;$BK192,坦克属性分配比例,MATCH("升星次数",坦克属性分配比例标头,0),FALSE)*VLOOKUP($BJ192,$AR$3:$AY$33,MATCH(BS$3,$AR$3:$AY$3,0),FALSE),1)</f>
        <v>57.3</v>
      </c>
      <c r="BT192" s="2">
        <f>ROUND(VLOOKUP($BJ192,$AI$3:$AO$33,MATCH(BT$3,$AI$3:$AO$3,0),FALSE)+$BL192/VLOOKUP(VLOOKUP($BJ192,坦克个性化设定!$B$18:$E$48,4,FALSE)&amp;$BK192,坦克属性分配比例,MATCH("升星次数",坦克属性分配比例标头,0),FALSE)*VLOOKUP($BJ192,$AR$3:$AY$33,MATCH(BT$3,$AR$3:$AY$3,0),FALSE),1)</f>
        <v>51.5</v>
      </c>
      <c r="BU192" s="2">
        <f>ROUND(VLOOKUP($BJ192,$AI$3:$AO$33,MATCH(BU$3,$AI$3:$AO$3,0),FALSE)+$BL192/VLOOKUP(VLOOKUP($BJ192,坦克个性化设定!$B$18:$E$48,4,FALSE)&amp;$BK192,坦克属性分配比例,MATCH("升星次数",坦克属性分配比例标头,0),FALSE)*VLOOKUP($BJ192,$AR$3:$AY$33,MATCH(BU$3,$AR$3:$AY$3,0),FALSE),1)</f>
        <v>8.4</v>
      </c>
      <c r="BV192" s="2">
        <f>IF(VLOOKUP(BJ192,坦克个性化设定!$B$18:$BC$48,MATCH("装弹类型",坦克个性化设定!$B$18:$BC$18,0),FALSE)="弹夹换弹",0,ROUND(VLOOKUP($BJ192,$AI$3:$AO$33,MATCH("换弹时间",$AI$3:$AO$3,0),FALSE)-$BL192/VLOOKUP(VLOOKUP($BJ192,坦克个性化设定!$B$18:$E$48,4,FALSE)&amp;$BK192,坦克属性分配比例,MATCH("升星次数",坦克属性分配比例标头,0),FALSE)*VLOOKUP($BJ192,$AR$3:$AY$33,MATCH("换弹时间",$AR$3:$AY$3,0),FALSE),2))</f>
        <v>2.08</v>
      </c>
      <c r="BW192" s="2">
        <f>IF(VLOOKUP(BJ192,坦克个性化设定!$B$18:$BC$48,MATCH("装弹类型",坦克个性化设定!$B$18:$BC$18,0),FALSE)="弹夹换弹",ROUND(VLOOKUP($BJ192,$AI$3:$AO$33,MATCH("换弹时间",$AI$3:$AO$3,0),FALSE)-$BL192/VLOOKUP(VLOOKUP($BJ192,坦克个性化设定!$B$18:$E$48,4,FALSE)&amp;$BK192,坦克属性分配比例,MATCH("升星次数",坦克属性分配比例标头,0),FALSE)*VLOOKUP($BJ192,$AR$3:$AY$33,MATCH("换弹时间",$AR$3:$AY$3,0),FALSE),1),0)</f>
        <v>0</v>
      </c>
      <c r="BX192" s="2">
        <f>ROUND(VLOOKUP($BJ192,$AI$3:$AO$33,MATCH(BX$3,$AI$3:$AO$3,0),FALSE)+$BL192/VLOOKUP(VLOOKUP($BJ192,坦克个性化设定!$B$18:$E$48,4,FALSE)&amp;$BK192,坦克属性分配比例,MATCH("升星次数",坦克属性分配比例标头,0),FALSE)*VLOOKUP($BJ192,$AR$3:$AY$33,MATCH(BX$3,$AR$3:$AY$3,0),FALSE),2)</f>
        <v>0.26</v>
      </c>
      <c r="BY192" s="2">
        <f>ROUND(VLOOKUP($BJ192,$AI$3:$AO$33,MATCH(BY$3,$AI$3:$AO$3,0),FALSE)-$BL192/VLOOKUP(VLOOKUP($BJ192,坦克个性化设定!$B$18:$E$48,4,FALSE)&amp;$BK192,坦克属性分配比例,MATCH("升星次数",坦克属性分配比例标头,0),FALSE)*VLOOKUP($BJ192,$AR$3:$AY$33,MATCH(BY$3,$AR$3:$AY$3,0),FALSE),2)</f>
        <v>1.59</v>
      </c>
    </row>
    <row r="193" spans="60:77" x14ac:dyDescent="0.3">
      <c r="BH193" s="2" t="str">
        <f t="shared" si="27"/>
        <v>百夫长11</v>
      </c>
      <c r="BI193" s="2">
        <f>IF(BL192&gt;=VLOOKUP(VLOOKUP(BJ192,坦克个性化设定!$B$18:$E$48,4,FALSE)&amp;BK192,坦克属性分配比例,MATCH("升星次数",坦克属性分配比例标头,0),FALSE),BI192+1,BI192)</f>
        <v>19</v>
      </c>
      <c r="BJ193" s="2" t="str">
        <f t="shared" si="28"/>
        <v>百夫长</v>
      </c>
      <c r="BK193" s="29" t="str">
        <f>VLOOKUP(BJ193,坦克个性化细分!$I$3:$J$33,2,FALSE)</f>
        <v>高</v>
      </c>
      <c r="BL193" s="2">
        <f t="shared" si="26"/>
        <v>11</v>
      </c>
      <c r="BM193" s="103">
        <f ca="1">ROUND(VLOOKUP($BJ193&amp;"初始",$S$3:$AE$63,MATCH(BM$3,$S$3:$AE$3,0),FALSE)+((VLOOKUP($BJ193&amp;"最终",$S$3:$AE$63,MATCH(BM$3,$S$3:$AE$3,0),FALSE)*坦克个性化细分!$C$9-VLOOKUP($BJ193&amp;"初始",$S$3:$AE$63,MATCH(BM$3,$S$3:$AE$3,0),FALSE))-(VLOOKUP($BJ193&amp;"最终",$S$3:$AE$63,MATCH(BM$3,$S$3:$AE$3,0),FALSE)-VLOOKUP($BJ193&amp;"初始",$S$3:$AE$63,MATCH(BM$3,$S$3:$AE$3,0),FALSE))*VLOOKUP(VLOOKUP($BJ193,坦克个性化设定!$B$18:$E$48,4,FALSE)&amp;$BK193,坦克属性分配比例,MATCH("部件比例",坦克属性分配比例标头,0),FALSE))*$BL193/VLOOKUP(VLOOKUP($BJ193,坦克个性化设定!$B$18:$E$48,4,FALSE)&amp;$BK193,坦克属性分配比例,MATCH("升星次数",坦克属性分配比例标头,0),FALSE),0)</f>
        <v>2890</v>
      </c>
      <c r="BN193" s="103">
        <f ca="1">ROUND(VLOOKUP($BJ193&amp;"初始",$S$3:$AE$63,MATCH(BN$3,$S$3:$AE$3,0),FALSE)+(VLOOKUP($BJ193&amp;"最终",$S$3:$AE$63,MATCH(BN$3,$S$3:$AE$3,0),FALSE)-VLOOKUP($BJ193&amp;"初始",$S$3:$AE$63,MATCH(BN$3,$S$3:$AE$3,0),FALSE))*$BL193/VLOOKUP(VLOOKUP($BJ193,坦克个性化设定!$B$18:$E$48,4,FALSE)&amp;$BK193,坦克属性分配比例,MATCH("升星次数",坦克属性分配比例标头,0),FALSE)*VLOOKUP(VLOOKUP($BJ193,坦克个性化设定!$B$18:$E$48,4,FALSE)&amp;$BK193,坦克属性分配比例,MATCH("升星比例",坦克属性分配比例标头,0),FALSE),0)</f>
        <v>258</v>
      </c>
      <c r="BO193" s="103">
        <f ca="1">ROUND(VLOOKUP($BJ193&amp;"初始",$S$3:$AE$63,MATCH(BO$3,$S$3:$AE$3,0),FALSE)+(VLOOKUP($BJ193&amp;"最终",$S$3:$AE$63,MATCH(BO$3,$S$3:$AE$3,0),FALSE)-VLOOKUP($BJ193&amp;"初始",$S$3:$AE$63,MATCH(BO$3,$S$3:$AE$3,0),FALSE))*$BL193/VLOOKUP(VLOOKUP($BJ193,坦克个性化设定!$B$18:$E$48,4,FALSE)&amp;$BK193,坦克属性分配比例,MATCH("升星次数",坦克属性分配比例标头,0),FALSE)*(VLOOKUP(VLOOKUP($BJ193,坦克个性化设定!$B$18:$E$48,4,FALSE)&amp;$BK193,坦克属性分配比例,MATCH("升星比例",坦克属性分配比例标头,0),FALSE)+VLOOKUP(VLOOKUP($BJ193,坦克个性化设定!$B$18:$E$48,4,FALSE)&amp;$BK193,坦克属性分配比例,MATCH("部件比例",坦克属性分配比例标头,0),FALSE)*$C$3),0)</f>
        <v>932</v>
      </c>
      <c r="BP193" s="103">
        <f ca="1">ROUND(VLOOKUP($BJ193&amp;"初始",$S$3:$AE$63,MATCH(BP$3,$S$3:$AE$3,0),FALSE)+(VLOOKUP($BJ193&amp;"最终",$S$3:$AE$63,MATCH(BP$3,$S$3:$AE$3,0),FALSE)-VLOOKUP($BJ193&amp;"初始",$S$3:$AE$63,MATCH(BP$3,$S$3:$AE$3,0),FALSE))*$BL193/VLOOKUP(VLOOKUP($BJ193,坦克个性化设定!$B$18:$E$48,4,FALSE)&amp;$BK193,坦克属性分配比例,MATCH("升星次数",坦克属性分配比例标头,0),FALSE)*(VLOOKUP(VLOOKUP($BJ193,坦克个性化设定!$B$18:$E$48,4,FALSE)&amp;$BK193,坦克属性分配比例,MATCH("升星比例",坦克属性分配比例标头,0),FALSE)+VLOOKUP(VLOOKUP($BJ193,坦克个性化设定!$B$18:$E$48,4,FALSE)&amp;$BK193,坦克属性分配比例,MATCH("部件比例",坦克属性分配比例标头,0),FALSE)*$C$3),0)</f>
        <v>699</v>
      </c>
      <c r="BQ193" s="103">
        <f ca="1">ROUND(VLOOKUP($BJ193&amp;"初始",$S$3:$AE$63,MATCH(BQ$3,$S$3:$AE$3,0),FALSE)+(VLOOKUP($BJ193&amp;"最终",$S$3:$AE$63,MATCH(BQ$3,$S$3:$AE$3,0),FALSE)-VLOOKUP($BJ193&amp;"初始",$S$3:$AE$63,MATCH(BQ$3,$S$3:$AE$3,0),FALSE))*$BL193/VLOOKUP(VLOOKUP($BJ193,坦克个性化设定!$B$18:$E$48,4,FALSE)&amp;$BK193,坦克属性分配比例,MATCH("升星次数",坦克属性分配比例标头,0),FALSE)*VLOOKUP(VLOOKUP($BJ193,坦克个性化设定!$B$18:$E$48,4,FALSE)&amp;$BK193,坦克属性分配比例,MATCH("升星比例",坦克属性分配比例标头,0),FALSE),0)</f>
        <v>922</v>
      </c>
      <c r="BR193" s="2">
        <f ca="1">ROUND(VLOOKUP($BJ193&amp;"初始",$S$3:$AE$63,MATCH(BR$3,$S$3:$AE$3,0),FALSE)+(VLOOKUP($BJ193&amp;"最终",$S$3:$AE$63,MATCH(BR$3,$S$3:$AE$3,0),FALSE)-VLOOKUP($BJ193&amp;"初始",$S$3:$AE$63,MATCH(BR$3,$S$3:$AE$3,0),FALSE))*$BL193/VLOOKUP(VLOOKUP($BJ193,坦克个性化设定!$B$18:$E$48,4,FALSE)&amp;$BK193,坦克属性分配比例,MATCH("升星次数",坦克属性分配比例标头,0),FALSE),0)</f>
        <v>261</v>
      </c>
      <c r="BS193" s="2">
        <f>ROUND(VLOOKUP($BJ193,$AI$3:$AO$33,MATCH(BS$3,$AI$3:$AO$3,0),FALSE)+$BL193/VLOOKUP(VLOOKUP($BJ193,坦克个性化设定!$B$18:$E$48,4,FALSE)&amp;$BK193,坦克属性分配比例,MATCH("升星次数",坦克属性分配比例标头,0),FALSE)*VLOOKUP($BJ193,$AR$3:$AY$33,MATCH(BS$3,$AR$3:$AY$3,0),FALSE),1)</f>
        <v>58.4</v>
      </c>
      <c r="BT193" s="2">
        <f>ROUND(VLOOKUP($BJ193,$AI$3:$AO$33,MATCH(BT$3,$AI$3:$AO$3,0),FALSE)+$BL193/VLOOKUP(VLOOKUP($BJ193,坦克个性化设定!$B$18:$E$48,4,FALSE)&amp;$BK193,坦克属性分配比例,MATCH("升星次数",坦克属性分配比例标头,0),FALSE)*VLOOKUP($BJ193,$AR$3:$AY$33,MATCH(BT$3,$AR$3:$AY$3,0),FALSE),1)</f>
        <v>52.5</v>
      </c>
      <c r="BU193" s="2">
        <f>ROUND(VLOOKUP($BJ193,$AI$3:$AO$33,MATCH(BU$3,$AI$3:$AO$3,0),FALSE)+$BL193/VLOOKUP(VLOOKUP($BJ193,坦克个性化设定!$B$18:$E$48,4,FALSE)&amp;$BK193,坦克属性分配比例,MATCH("升星次数",坦克属性分配比例标头,0),FALSE)*VLOOKUP($BJ193,$AR$3:$AY$33,MATCH(BU$3,$AR$3:$AY$3,0),FALSE),1)</f>
        <v>8.4</v>
      </c>
      <c r="BV193" s="2">
        <f>IF(VLOOKUP(BJ193,坦克个性化设定!$B$18:$BC$48,MATCH("装弹类型",坦克个性化设定!$B$18:$BC$18,0),FALSE)="弹夹换弹",0,ROUND(VLOOKUP($BJ193,$AI$3:$AO$33,MATCH("换弹时间",$AI$3:$AO$3,0),FALSE)-$BL193/VLOOKUP(VLOOKUP($BJ193,坦克个性化设定!$B$18:$E$48,4,FALSE)&amp;$BK193,坦克属性分配比例,MATCH("升星次数",坦克属性分配比例标头,0),FALSE)*VLOOKUP($BJ193,$AR$3:$AY$33,MATCH("换弹时间",$AR$3:$AY$3,0),FALSE),2))</f>
        <v>2.04</v>
      </c>
      <c r="BW193" s="2">
        <f>IF(VLOOKUP(BJ193,坦克个性化设定!$B$18:$BC$48,MATCH("装弹类型",坦克个性化设定!$B$18:$BC$18,0),FALSE)="弹夹换弹",ROUND(VLOOKUP($BJ193,$AI$3:$AO$33,MATCH("换弹时间",$AI$3:$AO$3,0),FALSE)-$BL193/VLOOKUP(VLOOKUP($BJ193,坦克个性化设定!$B$18:$E$48,4,FALSE)&amp;$BK193,坦克属性分配比例,MATCH("升星次数",坦克属性分配比例标头,0),FALSE)*VLOOKUP($BJ193,$AR$3:$AY$33,MATCH("换弹时间",$AR$3:$AY$3,0),FALSE),1),0)</f>
        <v>0</v>
      </c>
      <c r="BX193" s="2">
        <f>ROUND(VLOOKUP($BJ193,$AI$3:$AO$33,MATCH(BX$3,$AI$3:$AO$3,0),FALSE)+$BL193/VLOOKUP(VLOOKUP($BJ193,坦克个性化设定!$B$18:$E$48,4,FALSE)&amp;$BK193,坦克属性分配比例,MATCH("升星次数",坦克属性分配比例标头,0),FALSE)*VLOOKUP($BJ193,$AR$3:$AY$33,MATCH(BX$3,$AR$3:$AY$3,0),FALSE),2)</f>
        <v>0.26</v>
      </c>
      <c r="BY193" s="2">
        <f>ROUND(VLOOKUP($BJ193,$AI$3:$AO$33,MATCH(BY$3,$AI$3:$AO$3,0),FALSE)-$BL193/VLOOKUP(VLOOKUP($BJ193,坦克个性化设定!$B$18:$E$48,4,FALSE)&amp;$BK193,坦克属性分配比例,MATCH("升星次数",坦克属性分配比例标头,0),FALSE)*VLOOKUP($BJ193,$AR$3:$AY$33,MATCH(BY$3,$AR$3:$AY$3,0),FALSE),2)</f>
        <v>1.56</v>
      </c>
    </row>
    <row r="194" spans="60:77" x14ac:dyDescent="0.3">
      <c r="BH194" s="2" t="str">
        <f t="shared" si="27"/>
        <v>挑战者0</v>
      </c>
      <c r="BI194" s="2">
        <f>IF(BL193&gt;=VLOOKUP(VLOOKUP(BJ193,坦克个性化设定!$B$18:$E$48,4,FALSE)&amp;BK193,坦克属性分配比例,MATCH("升星次数",坦克属性分配比例标头,0),FALSE),BI193+1,BI193)</f>
        <v>20</v>
      </c>
      <c r="BJ194" s="2" t="str">
        <f t="shared" si="28"/>
        <v>挑战者</v>
      </c>
      <c r="BK194" s="29" t="str">
        <f>VLOOKUP(BJ194,坦克个性化细分!$I$3:$J$33,2,FALSE)</f>
        <v>低</v>
      </c>
      <c r="BL194" s="2">
        <f t="shared" si="26"/>
        <v>0</v>
      </c>
      <c r="BM194" s="103">
        <f ca="1">ROUND(VLOOKUP($BJ194&amp;"初始",$S$3:$AE$63,MATCH(BM$3,$S$3:$AE$3,0),FALSE)+((VLOOKUP($BJ194&amp;"最终",$S$3:$AE$63,MATCH(BM$3,$S$3:$AE$3,0),FALSE)*坦克个性化细分!$C$9-VLOOKUP($BJ194&amp;"初始",$S$3:$AE$63,MATCH(BM$3,$S$3:$AE$3,0),FALSE))-(VLOOKUP($BJ194&amp;"最终",$S$3:$AE$63,MATCH(BM$3,$S$3:$AE$3,0),FALSE)-VLOOKUP($BJ194&amp;"初始",$S$3:$AE$63,MATCH(BM$3,$S$3:$AE$3,0),FALSE))*VLOOKUP(VLOOKUP($BJ194,坦克个性化设定!$B$18:$E$48,4,FALSE)&amp;$BK194,坦克属性分配比例,MATCH("部件比例",坦克属性分配比例标头,0),FALSE))*$BL194/VLOOKUP(VLOOKUP($BJ194,坦克个性化设定!$B$18:$E$48,4,FALSE)&amp;$BK194,坦克属性分配比例,MATCH("升星次数",坦克属性分配比例标头,0),FALSE),0)</f>
        <v>2455</v>
      </c>
      <c r="BN194" s="103">
        <f ca="1">ROUND(VLOOKUP($BJ194&amp;"初始",$S$3:$AE$63,MATCH(BN$3,$S$3:$AE$3,0),FALSE)+(VLOOKUP($BJ194&amp;"最终",$S$3:$AE$63,MATCH(BN$3,$S$3:$AE$3,0),FALSE)-VLOOKUP($BJ194&amp;"初始",$S$3:$AE$63,MATCH(BN$3,$S$3:$AE$3,0),FALSE))*$BL194/VLOOKUP(VLOOKUP($BJ194,坦克个性化设定!$B$18:$E$48,4,FALSE)&amp;$BK194,坦克属性分配比例,MATCH("升星次数",坦克属性分配比例标头,0),FALSE)*VLOOKUP(VLOOKUP($BJ194,坦克个性化设定!$B$18:$E$48,4,FALSE)&amp;$BK194,坦克属性分配比例,MATCH("升星比例",坦克属性分配比例标头,0),FALSE),0)</f>
        <v>231</v>
      </c>
      <c r="BO194" s="103">
        <f ca="1">ROUND(VLOOKUP($BJ194&amp;"初始",$S$3:$AE$63,MATCH(BO$3,$S$3:$AE$3,0),FALSE)+(VLOOKUP($BJ194&amp;"最终",$S$3:$AE$63,MATCH(BO$3,$S$3:$AE$3,0),FALSE)-VLOOKUP($BJ194&amp;"初始",$S$3:$AE$63,MATCH(BO$3,$S$3:$AE$3,0),FALSE))*$BL194/VLOOKUP(VLOOKUP($BJ194,坦克个性化设定!$B$18:$E$48,4,FALSE)&amp;$BK194,坦克属性分配比例,MATCH("升星次数",坦克属性分配比例标头,0),FALSE)*(VLOOKUP(VLOOKUP($BJ194,坦克个性化设定!$B$18:$E$48,4,FALSE)&amp;$BK194,坦克属性分配比例,MATCH("升星比例",坦克属性分配比例标头,0),FALSE)+VLOOKUP(VLOOKUP($BJ194,坦克个性化设定!$B$18:$E$48,4,FALSE)&amp;$BK194,坦克属性分配比例,MATCH("部件比例",坦克属性分配比例标头,0),FALSE)*$C$3),0)</f>
        <v>828</v>
      </c>
      <c r="BP194" s="103">
        <f ca="1">ROUND(VLOOKUP($BJ194&amp;"初始",$S$3:$AE$63,MATCH(BP$3,$S$3:$AE$3,0),FALSE)+(VLOOKUP($BJ194&amp;"最终",$S$3:$AE$63,MATCH(BP$3,$S$3:$AE$3,0),FALSE)-VLOOKUP($BJ194&amp;"初始",$S$3:$AE$63,MATCH(BP$3,$S$3:$AE$3,0),FALSE))*$BL194/VLOOKUP(VLOOKUP($BJ194,坦克个性化设定!$B$18:$E$48,4,FALSE)&amp;$BK194,坦克属性分配比例,MATCH("升星次数",坦克属性分配比例标头,0),FALSE)*(VLOOKUP(VLOOKUP($BJ194,坦克个性化设定!$B$18:$E$48,4,FALSE)&amp;$BK194,坦克属性分配比例,MATCH("升星比例",坦克属性分配比例标头,0),FALSE)+VLOOKUP(VLOOKUP($BJ194,坦克个性化设定!$B$18:$E$48,4,FALSE)&amp;$BK194,坦克属性分配比例,MATCH("部件比例",坦克属性分配比例标头,0),FALSE)*$C$3),0)</f>
        <v>621</v>
      </c>
      <c r="BQ194" s="103">
        <f ca="1">ROUND(VLOOKUP($BJ194&amp;"初始",$S$3:$AE$63,MATCH(BQ$3,$S$3:$AE$3,0),FALSE)+(VLOOKUP($BJ194&amp;"最终",$S$3:$AE$63,MATCH(BQ$3,$S$3:$AE$3,0),FALSE)-VLOOKUP($BJ194&amp;"初始",$S$3:$AE$63,MATCH(BQ$3,$S$3:$AE$3,0),FALSE))*$BL194/VLOOKUP(VLOOKUP($BJ194,坦克个性化设定!$B$18:$E$48,4,FALSE)&amp;$BK194,坦克属性分配比例,MATCH("升星次数",坦克属性分配比例标头,0),FALSE)*VLOOKUP(VLOOKUP($BJ194,坦克个性化设定!$B$18:$E$48,4,FALSE)&amp;$BK194,坦克属性分配比例,MATCH("升星比例",坦克属性分配比例标头,0),FALSE),0)</f>
        <v>907</v>
      </c>
      <c r="BR194" s="2">
        <f ca="1">ROUND(VLOOKUP($BJ194&amp;"初始",$S$3:$AE$63,MATCH(BR$3,$S$3:$AE$3,0),FALSE)+(VLOOKUP($BJ194&amp;"最终",$S$3:$AE$63,MATCH(BR$3,$S$3:$AE$3,0),FALSE)-VLOOKUP($BJ194&amp;"初始",$S$3:$AE$63,MATCH(BR$3,$S$3:$AE$3,0),FALSE))*$BL194/VLOOKUP(VLOOKUP($BJ194,坦克个性化设定!$B$18:$E$48,4,FALSE)&amp;$BK194,坦克属性分配比例,MATCH("升星次数",坦克属性分配比例标头,0),FALSE),0)</f>
        <v>218</v>
      </c>
      <c r="BS194" s="2">
        <f>ROUND(VLOOKUP($BJ194,$AI$3:$AO$33,MATCH(BS$3,$AI$3:$AO$3,0),FALSE)+$BL194/VLOOKUP(VLOOKUP($BJ194,坦克个性化设定!$B$18:$E$48,4,FALSE)&amp;$BK194,坦克属性分配比例,MATCH("升星次数",坦克属性分配比例标头,0),FALSE)*VLOOKUP($BJ194,$AR$3:$AY$33,MATCH(BS$3,$AR$3:$AY$3,0),FALSE),1)</f>
        <v>35.6</v>
      </c>
      <c r="BT194" s="2">
        <f>ROUND(VLOOKUP($BJ194,$AI$3:$AO$33,MATCH(BT$3,$AI$3:$AO$3,0),FALSE)+$BL194/VLOOKUP(VLOOKUP($BJ194,坦克个性化设定!$B$18:$E$48,4,FALSE)&amp;$BK194,坦克属性分配比例,MATCH("升星次数",坦克属性分配比例标头,0),FALSE)*VLOOKUP($BJ194,$AR$3:$AY$33,MATCH(BT$3,$AR$3:$AY$3,0),FALSE),1)</f>
        <v>50</v>
      </c>
      <c r="BU194" s="2">
        <f>ROUND(VLOOKUP($BJ194,$AI$3:$AO$33,MATCH(BU$3,$AI$3:$AO$3,0),FALSE)+$BL194/VLOOKUP(VLOOKUP($BJ194,坦克个性化设定!$B$18:$E$48,4,FALSE)&amp;$BK194,坦克属性分配比例,MATCH("升星次数",坦克属性分配比例标头,0),FALSE)*VLOOKUP($BJ194,$AR$3:$AY$33,MATCH(BU$3,$AR$3:$AY$3,0),FALSE),1)</f>
        <v>7.2</v>
      </c>
      <c r="BV194" s="2">
        <f>IF(VLOOKUP(BJ194,坦克个性化设定!$B$18:$BC$48,MATCH("装弹类型",坦克个性化设定!$B$18:$BC$18,0),FALSE)="弹夹换弹",0,ROUND(VLOOKUP($BJ194,$AI$3:$AO$33,MATCH("换弹时间",$AI$3:$AO$3,0),FALSE)-$BL194/VLOOKUP(VLOOKUP($BJ194,坦克个性化设定!$B$18:$E$48,4,FALSE)&amp;$BK194,坦克属性分配比例,MATCH("升星次数",坦克属性分配比例标头,0),FALSE)*VLOOKUP($BJ194,$AR$3:$AY$33,MATCH("换弹时间",$AR$3:$AY$3,0),FALSE),2))</f>
        <v>2.4</v>
      </c>
      <c r="BW194" s="2">
        <f>IF(VLOOKUP(BJ194,坦克个性化设定!$B$18:$BC$48,MATCH("装弹类型",坦克个性化设定!$B$18:$BC$18,0),FALSE)="弹夹换弹",ROUND(VLOOKUP($BJ194,$AI$3:$AO$33,MATCH("换弹时间",$AI$3:$AO$3,0),FALSE)-$BL194/VLOOKUP(VLOOKUP($BJ194,坦克个性化设定!$B$18:$E$48,4,FALSE)&amp;$BK194,坦克属性分配比例,MATCH("升星次数",坦克属性分配比例标头,0),FALSE)*VLOOKUP($BJ194,$AR$3:$AY$33,MATCH("换弹时间",$AR$3:$AY$3,0),FALSE),1),0)</f>
        <v>0</v>
      </c>
      <c r="BX194" s="2">
        <f>ROUND(VLOOKUP($BJ194,$AI$3:$AO$33,MATCH(BX$3,$AI$3:$AO$3,0),FALSE)+$BL194/VLOOKUP(VLOOKUP($BJ194,坦克个性化设定!$B$18:$E$48,4,FALSE)&amp;$BK194,坦克属性分配比例,MATCH("升星次数",坦克属性分配比例标头,0),FALSE)*VLOOKUP($BJ194,$AR$3:$AY$33,MATCH(BX$3,$AR$3:$AY$3,0),FALSE),2)</f>
        <v>0.4</v>
      </c>
      <c r="BY194" s="2">
        <f>ROUND(VLOOKUP($BJ194,$AI$3:$AO$33,MATCH(BY$3,$AI$3:$AO$3,0),FALSE)-$BL194/VLOOKUP(VLOOKUP($BJ194,坦克个性化设定!$B$18:$E$48,4,FALSE)&amp;$BK194,坦克属性分配比例,MATCH("升星次数",坦克属性分配比例标头,0),FALSE)*VLOOKUP($BJ194,$AR$3:$AY$33,MATCH(BY$3,$AR$3:$AY$3,0),FALSE),2)</f>
        <v>1.4</v>
      </c>
    </row>
    <row r="195" spans="60:77" x14ac:dyDescent="0.3">
      <c r="BH195" s="2" t="str">
        <f t="shared" si="27"/>
        <v>挑战者1</v>
      </c>
      <c r="BI195" s="2">
        <f>IF(BL194&gt;=VLOOKUP(VLOOKUP(BJ194,坦克个性化设定!$B$18:$E$48,4,FALSE)&amp;BK194,坦克属性分配比例,MATCH("升星次数",坦克属性分配比例标头,0),FALSE),BI194+1,BI194)</f>
        <v>20</v>
      </c>
      <c r="BJ195" s="2" t="str">
        <f t="shared" si="28"/>
        <v>挑战者</v>
      </c>
      <c r="BK195" s="29" t="str">
        <f>VLOOKUP(BJ195,坦克个性化细分!$I$3:$J$33,2,FALSE)</f>
        <v>低</v>
      </c>
      <c r="BL195" s="2">
        <f t="shared" si="26"/>
        <v>1</v>
      </c>
      <c r="BM195" s="103">
        <f ca="1">ROUND(VLOOKUP($BJ195&amp;"初始",$S$3:$AE$63,MATCH(BM$3,$S$3:$AE$3,0),FALSE)+((VLOOKUP($BJ195&amp;"最终",$S$3:$AE$63,MATCH(BM$3,$S$3:$AE$3,0),FALSE)*坦克个性化细分!$C$9-VLOOKUP($BJ195&amp;"初始",$S$3:$AE$63,MATCH(BM$3,$S$3:$AE$3,0),FALSE))-(VLOOKUP($BJ195&amp;"最终",$S$3:$AE$63,MATCH(BM$3,$S$3:$AE$3,0),FALSE)-VLOOKUP($BJ195&amp;"初始",$S$3:$AE$63,MATCH(BM$3,$S$3:$AE$3,0),FALSE))*VLOOKUP(VLOOKUP($BJ195,坦克个性化设定!$B$18:$E$48,4,FALSE)&amp;$BK195,坦克属性分配比例,MATCH("部件比例",坦克属性分配比例标头,0),FALSE))*$BL195/VLOOKUP(VLOOKUP($BJ195,坦克个性化设定!$B$18:$E$48,4,FALSE)&amp;$BK195,坦克属性分配比例,MATCH("升星次数",坦克属性分配比例标头,0),FALSE),0)</f>
        <v>2535</v>
      </c>
      <c r="BN195" s="103">
        <f ca="1">ROUND(VLOOKUP($BJ195&amp;"初始",$S$3:$AE$63,MATCH(BN$3,$S$3:$AE$3,0),FALSE)+(VLOOKUP($BJ195&amp;"最终",$S$3:$AE$63,MATCH(BN$3,$S$3:$AE$3,0),FALSE)-VLOOKUP($BJ195&amp;"初始",$S$3:$AE$63,MATCH(BN$3,$S$3:$AE$3,0),FALSE))*$BL195/VLOOKUP(VLOOKUP($BJ195,坦克个性化设定!$B$18:$E$48,4,FALSE)&amp;$BK195,坦克属性分配比例,MATCH("升星次数",坦克属性分配比例标头,0),FALSE)*VLOOKUP(VLOOKUP($BJ195,坦克个性化设定!$B$18:$E$48,4,FALSE)&amp;$BK195,坦克属性分配比例,MATCH("升星比例",坦克属性分配比例标头,0),FALSE),0)</f>
        <v>235</v>
      </c>
      <c r="BO195" s="103">
        <f ca="1">ROUND(VLOOKUP($BJ195&amp;"初始",$S$3:$AE$63,MATCH(BO$3,$S$3:$AE$3,0),FALSE)+(VLOOKUP($BJ195&amp;"最终",$S$3:$AE$63,MATCH(BO$3,$S$3:$AE$3,0),FALSE)-VLOOKUP($BJ195&amp;"初始",$S$3:$AE$63,MATCH(BO$3,$S$3:$AE$3,0),FALSE))*$BL195/VLOOKUP(VLOOKUP($BJ195,坦克个性化设定!$B$18:$E$48,4,FALSE)&amp;$BK195,坦克属性分配比例,MATCH("升星次数",坦克属性分配比例标头,0),FALSE)*(VLOOKUP(VLOOKUP($BJ195,坦克个性化设定!$B$18:$E$48,4,FALSE)&amp;$BK195,坦克属性分配比例,MATCH("升星比例",坦克属性分配比例标头,0),FALSE)+VLOOKUP(VLOOKUP($BJ195,坦克个性化设定!$B$18:$E$48,4,FALSE)&amp;$BK195,坦克属性分配比例,MATCH("部件比例",坦克属性分配比例标头,0),FALSE)*$C$3),0)</f>
        <v>851</v>
      </c>
      <c r="BP195" s="103">
        <f ca="1">ROUND(VLOOKUP($BJ195&amp;"初始",$S$3:$AE$63,MATCH(BP$3,$S$3:$AE$3,0),FALSE)+(VLOOKUP($BJ195&amp;"最终",$S$3:$AE$63,MATCH(BP$3,$S$3:$AE$3,0),FALSE)-VLOOKUP($BJ195&amp;"初始",$S$3:$AE$63,MATCH(BP$3,$S$3:$AE$3,0),FALSE))*$BL195/VLOOKUP(VLOOKUP($BJ195,坦克个性化设定!$B$18:$E$48,4,FALSE)&amp;$BK195,坦克属性分配比例,MATCH("升星次数",坦克属性分配比例标头,0),FALSE)*(VLOOKUP(VLOOKUP($BJ195,坦克个性化设定!$B$18:$E$48,4,FALSE)&amp;$BK195,坦克属性分配比例,MATCH("升星比例",坦克属性分配比例标头,0),FALSE)+VLOOKUP(VLOOKUP($BJ195,坦克个性化设定!$B$18:$E$48,4,FALSE)&amp;$BK195,坦克属性分配比例,MATCH("部件比例",坦克属性分配比例标头,0),FALSE)*$C$3),0)</f>
        <v>638</v>
      </c>
      <c r="BQ195" s="103">
        <f ca="1">ROUND(VLOOKUP($BJ195&amp;"初始",$S$3:$AE$63,MATCH(BQ$3,$S$3:$AE$3,0),FALSE)+(VLOOKUP($BJ195&amp;"最终",$S$3:$AE$63,MATCH(BQ$3,$S$3:$AE$3,0),FALSE)-VLOOKUP($BJ195&amp;"初始",$S$3:$AE$63,MATCH(BQ$3,$S$3:$AE$3,0),FALSE))*$BL195/VLOOKUP(VLOOKUP($BJ195,坦克个性化设定!$B$18:$E$48,4,FALSE)&amp;$BK195,坦克属性分配比例,MATCH("升星次数",坦克属性分配比例标头,0),FALSE)*VLOOKUP(VLOOKUP($BJ195,坦克个性化设定!$B$18:$E$48,4,FALSE)&amp;$BK195,坦克属性分配比例,MATCH("升星比例",坦克属性分配比例标头,0),FALSE),0)</f>
        <v>923</v>
      </c>
      <c r="BR195" s="2">
        <f ca="1">ROUND(VLOOKUP($BJ195&amp;"初始",$S$3:$AE$63,MATCH(BR$3,$S$3:$AE$3,0),FALSE)+(VLOOKUP($BJ195&amp;"最终",$S$3:$AE$63,MATCH(BR$3,$S$3:$AE$3,0),FALSE)-VLOOKUP($BJ195&amp;"初始",$S$3:$AE$63,MATCH(BR$3,$S$3:$AE$3,0),FALSE))*$BL195/VLOOKUP(VLOOKUP($BJ195,坦克个性化设定!$B$18:$E$48,4,FALSE)&amp;$BK195,坦克属性分配比例,MATCH("升星次数",坦克属性分配比例标头,0),FALSE),0)</f>
        <v>225</v>
      </c>
      <c r="BS195" s="2">
        <f>ROUND(VLOOKUP($BJ195,$AI$3:$AO$33,MATCH(BS$3,$AI$3:$AO$3,0),FALSE)+$BL195/VLOOKUP(VLOOKUP($BJ195,坦克个性化设定!$B$18:$E$48,4,FALSE)&amp;$BK195,坦克属性分配比例,MATCH("升星次数",坦克属性分配比例标头,0),FALSE)*VLOOKUP($BJ195,$AR$3:$AY$33,MATCH(BS$3,$AR$3:$AY$3,0),FALSE),1)</f>
        <v>36.299999999999997</v>
      </c>
      <c r="BT195" s="2">
        <f>ROUND(VLOOKUP($BJ195,$AI$3:$AO$33,MATCH(BT$3,$AI$3:$AO$3,0),FALSE)+$BL195/VLOOKUP(VLOOKUP($BJ195,坦克个性化设定!$B$18:$E$48,4,FALSE)&amp;$BK195,坦克属性分配比例,MATCH("升星次数",坦克属性分配比例标头,0),FALSE)*VLOOKUP($BJ195,$AR$3:$AY$33,MATCH(BT$3,$AR$3:$AY$3,0),FALSE),1)</f>
        <v>51</v>
      </c>
      <c r="BU195" s="2">
        <f>ROUND(VLOOKUP($BJ195,$AI$3:$AO$33,MATCH(BU$3,$AI$3:$AO$3,0),FALSE)+$BL195/VLOOKUP(VLOOKUP($BJ195,坦克个性化设定!$B$18:$E$48,4,FALSE)&amp;$BK195,坦克属性分配比例,MATCH("升星次数",坦克属性分配比例标头,0),FALSE)*VLOOKUP($BJ195,$AR$3:$AY$33,MATCH(BU$3,$AR$3:$AY$3,0),FALSE),1)</f>
        <v>7.2</v>
      </c>
      <c r="BV195" s="2">
        <f>IF(VLOOKUP(BJ195,坦克个性化设定!$B$18:$BC$48,MATCH("装弹类型",坦克个性化设定!$B$18:$BC$18,0),FALSE)="弹夹换弹",0,ROUND(VLOOKUP($BJ195,$AI$3:$AO$33,MATCH("换弹时间",$AI$3:$AO$3,0),FALSE)-$BL195/VLOOKUP(VLOOKUP($BJ195,坦克个性化设定!$B$18:$E$48,4,FALSE)&amp;$BK195,坦克属性分配比例,MATCH("升星次数",坦克属性分配比例标头,0),FALSE)*VLOOKUP($BJ195,$AR$3:$AY$33,MATCH("换弹时间",$AR$3:$AY$3,0),FALSE),2))</f>
        <v>2.37</v>
      </c>
      <c r="BW195" s="2">
        <f>IF(VLOOKUP(BJ195,坦克个性化设定!$B$18:$BC$48,MATCH("装弹类型",坦克个性化设定!$B$18:$BC$18,0),FALSE)="弹夹换弹",ROUND(VLOOKUP($BJ195,$AI$3:$AO$33,MATCH("换弹时间",$AI$3:$AO$3,0),FALSE)-$BL195/VLOOKUP(VLOOKUP($BJ195,坦克个性化设定!$B$18:$E$48,4,FALSE)&amp;$BK195,坦克属性分配比例,MATCH("升星次数",坦克属性分配比例标头,0),FALSE)*VLOOKUP($BJ195,$AR$3:$AY$33,MATCH("换弹时间",$AR$3:$AY$3,0),FALSE),1),0)</f>
        <v>0</v>
      </c>
      <c r="BX195" s="2">
        <f>ROUND(VLOOKUP($BJ195,$AI$3:$AO$33,MATCH(BX$3,$AI$3:$AO$3,0),FALSE)+$BL195/VLOOKUP(VLOOKUP($BJ195,坦克个性化设定!$B$18:$E$48,4,FALSE)&amp;$BK195,坦克属性分配比例,MATCH("升星次数",坦克属性分配比例标头,0),FALSE)*VLOOKUP($BJ195,$AR$3:$AY$33,MATCH(BX$3,$AR$3:$AY$3,0),FALSE),2)</f>
        <v>0.4</v>
      </c>
      <c r="BY195" s="2">
        <f>ROUND(VLOOKUP($BJ195,$AI$3:$AO$33,MATCH(BY$3,$AI$3:$AO$3,0),FALSE)-$BL195/VLOOKUP(VLOOKUP($BJ195,坦克个性化设定!$B$18:$E$48,4,FALSE)&amp;$BK195,坦克属性分配比例,MATCH("升星次数",坦克属性分配比例标头,0),FALSE)*VLOOKUP($BJ195,$AR$3:$AY$33,MATCH(BY$3,$AR$3:$AY$3,0),FALSE),2)</f>
        <v>1.38</v>
      </c>
    </row>
    <row r="196" spans="60:77" x14ac:dyDescent="0.3">
      <c r="BH196" s="2" t="str">
        <f t="shared" si="27"/>
        <v>挑战者2</v>
      </c>
      <c r="BI196" s="2">
        <f>IF(BL195&gt;=VLOOKUP(VLOOKUP(BJ195,坦克个性化设定!$B$18:$E$48,4,FALSE)&amp;BK195,坦克属性分配比例,MATCH("升星次数",坦克属性分配比例标头,0),FALSE),BI195+1,BI195)</f>
        <v>20</v>
      </c>
      <c r="BJ196" s="2" t="str">
        <f t="shared" si="28"/>
        <v>挑战者</v>
      </c>
      <c r="BK196" s="29" t="str">
        <f>VLOOKUP(BJ196,坦克个性化细分!$I$3:$J$33,2,FALSE)</f>
        <v>低</v>
      </c>
      <c r="BL196" s="2">
        <f t="shared" ref="BL196:BL204" si="29">IF(BJ196&lt;&gt;BJ195,0,BL195+1)</f>
        <v>2</v>
      </c>
      <c r="BM196" s="103">
        <f ca="1">ROUND(VLOOKUP($BJ196&amp;"初始",$S$3:$AE$63,MATCH(BM$3,$S$3:$AE$3,0),FALSE)+((VLOOKUP($BJ196&amp;"最终",$S$3:$AE$63,MATCH(BM$3,$S$3:$AE$3,0),FALSE)*坦克个性化细分!$C$9-VLOOKUP($BJ196&amp;"初始",$S$3:$AE$63,MATCH(BM$3,$S$3:$AE$3,0),FALSE))-(VLOOKUP($BJ196&amp;"最终",$S$3:$AE$63,MATCH(BM$3,$S$3:$AE$3,0),FALSE)-VLOOKUP($BJ196&amp;"初始",$S$3:$AE$63,MATCH(BM$3,$S$3:$AE$3,0),FALSE))*VLOOKUP(VLOOKUP($BJ196,坦克个性化设定!$B$18:$E$48,4,FALSE)&amp;$BK196,坦克属性分配比例,MATCH("部件比例",坦克属性分配比例标头,0),FALSE))*$BL196/VLOOKUP(VLOOKUP($BJ196,坦克个性化设定!$B$18:$E$48,4,FALSE)&amp;$BK196,坦克属性分配比例,MATCH("升星次数",坦克属性分配比例标头,0),FALSE),0)</f>
        <v>2615</v>
      </c>
      <c r="BN196" s="103">
        <f ca="1">ROUND(VLOOKUP($BJ196&amp;"初始",$S$3:$AE$63,MATCH(BN$3,$S$3:$AE$3,0),FALSE)+(VLOOKUP($BJ196&amp;"最终",$S$3:$AE$63,MATCH(BN$3,$S$3:$AE$3,0),FALSE)-VLOOKUP($BJ196&amp;"初始",$S$3:$AE$63,MATCH(BN$3,$S$3:$AE$3,0),FALSE))*$BL196/VLOOKUP(VLOOKUP($BJ196,坦克个性化设定!$B$18:$E$48,4,FALSE)&amp;$BK196,坦克属性分配比例,MATCH("升星次数",坦克属性分配比例标头,0),FALSE)*VLOOKUP(VLOOKUP($BJ196,坦克个性化设定!$B$18:$E$48,4,FALSE)&amp;$BK196,坦克属性分配比例,MATCH("升星比例",坦克属性分配比例标头,0),FALSE),0)</f>
        <v>239</v>
      </c>
      <c r="BO196" s="103">
        <f ca="1">ROUND(VLOOKUP($BJ196&amp;"初始",$S$3:$AE$63,MATCH(BO$3,$S$3:$AE$3,0),FALSE)+(VLOOKUP($BJ196&amp;"最终",$S$3:$AE$63,MATCH(BO$3,$S$3:$AE$3,0),FALSE)-VLOOKUP($BJ196&amp;"初始",$S$3:$AE$63,MATCH(BO$3,$S$3:$AE$3,0),FALSE))*$BL196/VLOOKUP(VLOOKUP($BJ196,坦克个性化设定!$B$18:$E$48,4,FALSE)&amp;$BK196,坦克属性分配比例,MATCH("升星次数",坦克属性分配比例标头,0),FALSE)*(VLOOKUP(VLOOKUP($BJ196,坦克个性化设定!$B$18:$E$48,4,FALSE)&amp;$BK196,坦克属性分配比例,MATCH("升星比例",坦克属性分配比例标头,0),FALSE)+VLOOKUP(VLOOKUP($BJ196,坦克个性化设定!$B$18:$E$48,4,FALSE)&amp;$BK196,坦克属性分配比例,MATCH("部件比例",坦克属性分配比例标头,0),FALSE)*$C$3),0)</f>
        <v>874</v>
      </c>
      <c r="BP196" s="103">
        <f ca="1">ROUND(VLOOKUP($BJ196&amp;"初始",$S$3:$AE$63,MATCH(BP$3,$S$3:$AE$3,0),FALSE)+(VLOOKUP($BJ196&amp;"最终",$S$3:$AE$63,MATCH(BP$3,$S$3:$AE$3,0),FALSE)-VLOOKUP($BJ196&amp;"初始",$S$3:$AE$63,MATCH(BP$3,$S$3:$AE$3,0),FALSE))*$BL196/VLOOKUP(VLOOKUP($BJ196,坦克个性化设定!$B$18:$E$48,4,FALSE)&amp;$BK196,坦克属性分配比例,MATCH("升星次数",坦克属性分配比例标头,0),FALSE)*(VLOOKUP(VLOOKUP($BJ196,坦克个性化设定!$B$18:$E$48,4,FALSE)&amp;$BK196,坦克属性分配比例,MATCH("升星比例",坦克属性分配比例标头,0),FALSE)+VLOOKUP(VLOOKUP($BJ196,坦克个性化设定!$B$18:$E$48,4,FALSE)&amp;$BK196,坦克属性分配比例,MATCH("部件比例",坦克属性分配比例标头,0),FALSE)*$C$3),0)</f>
        <v>655</v>
      </c>
      <c r="BQ196" s="103">
        <f ca="1">ROUND(VLOOKUP($BJ196&amp;"初始",$S$3:$AE$63,MATCH(BQ$3,$S$3:$AE$3,0),FALSE)+(VLOOKUP($BJ196&amp;"最终",$S$3:$AE$63,MATCH(BQ$3,$S$3:$AE$3,0),FALSE)-VLOOKUP($BJ196&amp;"初始",$S$3:$AE$63,MATCH(BQ$3,$S$3:$AE$3,0),FALSE))*$BL196/VLOOKUP(VLOOKUP($BJ196,坦克个性化设定!$B$18:$E$48,4,FALSE)&amp;$BK196,坦克属性分配比例,MATCH("升星次数",坦克属性分配比例标头,0),FALSE)*VLOOKUP(VLOOKUP($BJ196,坦克个性化设定!$B$18:$E$48,4,FALSE)&amp;$BK196,坦克属性分配比例,MATCH("升星比例",坦克属性分配比例标头,0),FALSE),0)</f>
        <v>938</v>
      </c>
      <c r="BR196" s="2">
        <f ca="1">ROUND(VLOOKUP($BJ196&amp;"初始",$S$3:$AE$63,MATCH(BR$3,$S$3:$AE$3,0),FALSE)+(VLOOKUP($BJ196&amp;"最终",$S$3:$AE$63,MATCH(BR$3,$S$3:$AE$3,0),FALSE)-VLOOKUP($BJ196&amp;"初始",$S$3:$AE$63,MATCH(BR$3,$S$3:$AE$3,0),FALSE))*$BL196/VLOOKUP(VLOOKUP($BJ196,坦克个性化设定!$B$18:$E$48,4,FALSE)&amp;$BK196,坦克属性分配比例,MATCH("升星次数",坦克属性分配比例标头,0),FALSE),0)</f>
        <v>233</v>
      </c>
      <c r="BS196" s="2">
        <f>ROUND(VLOOKUP($BJ196,$AI$3:$AO$33,MATCH(BS$3,$AI$3:$AO$3,0),FALSE)+$BL196/VLOOKUP(VLOOKUP($BJ196,坦克个性化设定!$B$18:$E$48,4,FALSE)&amp;$BK196,坦克属性分配比例,MATCH("升星次数",坦克属性分配比例标头,0),FALSE)*VLOOKUP($BJ196,$AR$3:$AY$33,MATCH(BS$3,$AR$3:$AY$3,0),FALSE),1)</f>
        <v>37</v>
      </c>
      <c r="BT196" s="2">
        <f>ROUND(VLOOKUP($BJ196,$AI$3:$AO$33,MATCH(BT$3,$AI$3:$AO$3,0),FALSE)+$BL196/VLOOKUP(VLOOKUP($BJ196,坦克个性化设定!$B$18:$E$48,4,FALSE)&amp;$BK196,坦克属性分配比例,MATCH("升星次数",坦克属性分配比例标头,0),FALSE)*VLOOKUP($BJ196,$AR$3:$AY$33,MATCH(BT$3,$AR$3:$AY$3,0),FALSE),1)</f>
        <v>51.9</v>
      </c>
      <c r="BU196" s="2">
        <f>ROUND(VLOOKUP($BJ196,$AI$3:$AO$33,MATCH(BU$3,$AI$3:$AO$3,0),FALSE)+$BL196/VLOOKUP(VLOOKUP($BJ196,坦克个性化设定!$B$18:$E$48,4,FALSE)&amp;$BK196,坦克属性分配比例,MATCH("升星次数",坦克属性分配比例标头,0),FALSE)*VLOOKUP($BJ196,$AR$3:$AY$33,MATCH(BU$3,$AR$3:$AY$3,0),FALSE),1)</f>
        <v>7.2</v>
      </c>
      <c r="BV196" s="2">
        <f>IF(VLOOKUP(BJ196,坦克个性化设定!$B$18:$BC$48,MATCH("装弹类型",坦克个性化设定!$B$18:$BC$18,0),FALSE)="弹夹换弹",0,ROUND(VLOOKUP($BJ196,$AI$3:$AO$33,MATCH("换弹时间",$AI$3:$AO$3,0),FALSE)-$BL196/VLOOKUP(VLOOKUP($BJ196,坦克个性化设定!$B$18:$E$48,4,FALSE)&amp;$BK196,坦克属性分配比例,MATCH("升星次数",坦克属性分配比例标头,0),FALSE)*VLOOKUP($BJ196,$AR$3:$AY$33,MATCH("换弹时间",$AR$3:$AY$3,0),FALSE),2))</f>
        <v>2.34</v>
      </c>
      <c r="BW196" s="2">
        <f>IF(VLOOKUP(BJ196,坦克个性化设定!$B$18:$BC$48,MATCH("装弹类型",坦克个性化设定!$B$18:$BC$18,0),FALSE)="弹夹换弹",ROUND(VLOOKUP($BJ196,$AI$3:$AO$33,MATCH("换弹时间",$AI$3:$AO$3,0),FALSE)-$BL196/VLOOKUP(VLOOKUP($BJ196,坦克个性化设定!$B$18:$E$48,4,FALSE)&amp;$BK196,坦克属性分配比例,MATCH("升星次数",坦克属性分配比例标头,0),FALSE)*VLOOKUP($BJ196,$AR$3:$AY$33,MATCH("换弹时间",$AR$3:$AY$3,0),FALSE),1),0)</f>
        <v>0</v>
      </c>
      <c r="BX196" s="2">
        <f>ROUND(VLOOKUP($BJ196,$AI$3:$AO$33,MATCH(BX$3,$AI$3:$AO$3,0),FALSE)+$BL196/VLOOKUP(VLOOKUP($BJ196,坦克个性化设定!$B$18:$E$48,4,FALSE)&amp;$BK196,坦克属性分配比例,MATCH("升星次数",坦克属性分配比例标头,0),FALSE)*VLOOKUP($BJ196,$AR$3:$AY$33,MATCH(BX$3,$AR$3:$AY$3,0),FALSE),2)</f>
        <v>0.4</v>
      </c>
      <c r="BY196" s="2">
        <f>ROUND(VLOOKUP($BJ196,$AI$3:$AO$33,MATCH(BY$3,$AI$3:$AO$3,0),FALSE)-$BL196/VLOOKUP(VLOOKUP($BJ196,坦克个性化设定!$B$18:$E$48,4,FALSE)&amp;$BK196,坦克属性分配比例,MATCH("升星次数",坦克属性分配比例标头,0),FALSE)*VLOOKUP($BJ196,$AR$3:$AY$33,MATCH(BY$3,$AR$3:$AY$3,0),FALSE),2)</f>
        <v>1.36</v>
      </c>
    </row>
    <row r="197" spans="60:77" x14ac:dyDescent="0.3">
      <c r="BH197" s="2" t="str">
        <f t="shared" ref="BH197:BH204" si="30">BJ197&amp;BL197</f>
        <v>挑战者3</v>
      </c>
      <c r="BI197" s="2">
        <f>IF(BL196&gt;=VLOOKUP(VLOOKUP(BJ196,坦克个性化设定!$B$18:$E$48,4,FALSE)&amp;BK196,坦克属性分配比例,MATCH("升星次数",坦克属性分配比例标头,0),FALSE),BI196+1,BI196)</f>
        <v>20</v>
      </c>
      <c r="BJ197" s="2" t="str">
        <f t="shared" ref="BJ197:BJ204" si="31">VLOOKUP(BI197,$B$5:$C$35,2,FALSE)</f>
        <v>挑战者</v>
      </c>
      <c r="BK197" s="29" t="str">
        <f>VLOOKUP(BJ197,坦克个性化细分!$I$3:$J$33,2,FALSE)</f>
        <v>低</v>
      </c>
      <c r="BL197" s="2">
        <f t="shared" si="29"/>
        <v>3</v>
      </c>
      <c r="BM197" s="103">
        <f ca="1">ROUND(VLOOKUP($BJ197&amp;"初始",$S$3:$AE$63,MATCH(BM$3,$S$3:$AE$3,0),FALSE)+((VLOOKUP($BJ197&amp;"最终",$S$3:$AE$63,MATCH(BM$3,$S$3:$AE$3,0),FALSE)*坦克个性化细分!$C$9-VLOOKUP($BJ197&amp;"初始",$S$3:$AE$63,MATCH(BM$3,$S$3:$AE$3,0),FALSE))-(VLOOKUP($BJ197&amp;"最终",$S$3:$AE$63,MATCH(BM$3,$S$3:$AE$3,0),FALSE)-VLOOKUP($BJ197&amp;"初始",$S$3:$AE$63,MATCH(BM$3,$S$3:$AE$3,0),FALSE))*VLOOKUP(VLOOKUP($BJ197,坦克个性化设定!$B$18:$E$48,4,FALSE)&amp;$BK197,坦克属性分配比例,MATCH("部件比例",坦克属性分配比例标头,0),FALSE))*$BL197/VLOOKUP(VLOOKUP($BJ197,坦克个性化设定!$B$18:$E$48,4,FALSE)&amp;$BK197,坦克属性分配比例,MATCH("升星次数",坦克属性分配比例标头,0),FALSE),0)</f>
        <v>2695</v>
      </c>
      <c r="BN197" s="103">
        <f ca="1">ROUND(VLOOKUP($BJ197&amp;"初始",$S$3:$AE$63,MATCH(BN$3,$S$3:$AE$3,0),FALSE)+(VLOOKUP($BJ197&amp;"最终",$S$3:$AE$63,MATCH(BN$3,$S$3:$AE$3,0),FALSE)-VLOOKUP($BJ197&amp;"初始",$S$3:$AE$63,MATCH(BN$3,$S$3:$AE$3,0),FALSE))*$BL197/VLOOKUP(VLOOKUP($BJ197,坦克个性化设定!$B$18:$E$48,4,FALSE)&amp;$BK197,坦克属性分配比例,MATCH("升星次数",坦克属性分配比例标头,0),FALSE)*VLOOKUP(VLOOKUP($BJ197,坦克个性化设定!$B$18:$E$48,4,FALSE)&amp;$BK197,坦克属性分配比例,MATCH("升星比例",坦克属性分配比例标头,0),FALSE),0)</f>
        <v>243</v>
      </c>
      <c r="BO197" s="103">
        <f ca="1">ROUND(VLOOKUP($BJ197&amp;"初始",$S$3:$AE$63,MATCH(BO$3,$S$3:$AE$3,0),FALSE)+(VLOOKUP($BJ197&amp;"最终",$S$3:$AE$63,MATCH(BO$3,$S$3:$AE$3,0),FALSE)-VLOOKUP($BJ197&amp;"初始",$S$3:$AE$63,MATCH(BO$3,$S$3:$AE$3,0),FALSE))*$BL197/VLOOKUP(VLOOKUP($BJ197,坦克个性化设定!$B$18:$E$48,4,FALSE)&amp;$BK197,坦克属性分配比例,MATCH("升星次数",坦克属性分配比例标头,0),FALSE)*(VLOOKUP(VLOOKUP($BJ197,坦克个性化设定!$B$18:$E$48,4,FALSE)&amp;$BK197,坦克属性分配比例,MATCH("升星比例",坦克属性分配比例标头,0),FALSE)+VLOOKUP(VLOOKUP($BJ197,坦克个性化设定!$B$18:$E$48,4,FALSE)&amp;$BK197,坦克属性分配比例,MATCH("部件比例",坦克属性分配比例标头,0),FALSE)*$C$3),0)</f>
        <v>896</v>
      </c>
      <c r="BP197" s="103">
        <f ca="1">ROUND(VLOOKUP($BJ197&amp;"初始",$S$3:$AE$63,MATCH(BP$3,$S$3:$AE$3,0),FALSE)+(VLOOKUP($BJ197&amp;"最终",$S$3:$AE$63,MATCH(BP$3,$S$3:$AE$3,0),FALSE)-VLOOKUP($BJ197&amp;"初始",$S$3:$AE$63,MATCH(BP$3,$S$3:$AE$3,0),FALSE))*$BL197/VLOOKUP(VLOOKUP($BJ197,坦克个性化设定!$B$18:$E$48,4,FALSE)&amp;$BK197,坦克属性分配比例,MATCH("升星次数",坦克属性分配比例标头,0),FALSE)*(VLOOKUP(VLOOKUP($BJ197,坦克个性化设定!$B$18:$E$48,4,FALSE)&amp;$BK197,坦克属性分配比例,MATCH("升星比例",坦克属性分配比例标头,0),FALSE)+VLOOKUP(VLOOKUP($BJ197,坦克个性化设定!$B$18:$E$48,4,FALSE)&amp;$BK197,坦克属性分配比例,MATCH("部件比例",坦克属性分配比例标头,0),FALSE)*$C$3),0)</f>
        <v>672</v>
      </c>
      <c r="BQ197" s="103">
        <f ca="1">ROUND(VLOOKUP($BJ197&amp;"初始",$S$3:$AE$63,MATCH(BQ$3,$S$3:$AE$3,0),FALSE)+(VLOOKUP($BJ197&amp;"最终",$S$3:$AE$63,MATCH(BQ$3,$S$3:$AE$3,0),FALSE)-VLOOKUP($BJ197&amp;"初始",$S$3:$AE$63,MATCH(BQ$3,$S$3:$AE$3,0),FALSE))*$BL197/VLOOKUP(VLOOKUP($BJ197,坦克个性化设定!$B$18:$E$48,4,FALSE)&amp;$BK197,坦克属性分配比例,MATCH("升星次数",坦克属性分配比例标头,0),FALSE)*VLOOKUP(VLOOKUP($BJ197,坦克个性化设定!$B$18:$E$48,4,FALSE)&amp;$BK197,坦克属性分配比例,MATCH("升星比例",坦克属性分配比例标头,0),FALSE),0)</f>
        <v>954</v>
      </c>
      <c r="BR197" s="2">
        <f ca="1">ROUND(VLOOKUP($BJ197&amp;"初始",$S$3:$AE$63,MATCH(BR$3,$S$3:$AE$3,0),FALSE)+(VLOOKUP($BJ197&amp;"最终",$S$3:$AE$63,MATCH(BR$3,$S$3:$AE$3,0),FALSE)-VLOOKUP($BJ197&amp;"初始",$S$3:$AE$63,MATCH(BR$3,$S$3:$AE$3,0),FALSE))*$BL197/VLOOKUP(VLOOKUP($BJ197,坦克个性化设定!$B$18:$E$48,4,FALSE)&amp;$BK197,坦克属性分配比例,MATCH("升星次数",坦克属性分配比例标头,0),FALSE),0)</f>
        <v>240</v>
      </c>
      <c r="BS197" s="2">
        <f>ROUND(VLOOKUP($BJ197,$AI$3:$AO$33,MATCH(BS$3,$AI$3:$AO$3,0),FALSE)+$BL197/VLOOKUP(VLOOKUP($BJ197,坦克个性化设定!$B$18:$E$48,4,FALSE)&amp;$BK197,坦克属性分配比例,MATCH("升星次数",坦克属性分配比例标头,0),FALSE)*VLOOKUP($BJ197,$AR$3:$AY$33,MATCH(BS$3,$AR$3:$AY$3,0),FALSE),1)</f>
        <v>37.700000000000003</v>
      </c>
      <c r="BT197" s="2">
        <f>ROUND(VLOOKUP($BJ197,$AI$3:$AO$33,MATCH(BT$3,$AI$3:$AO$3,0),FALSE)+$BL197/VLOOKUP(VLOOKUP($BJ197,坦克个性化设定!$B$18:$E$48,4,FALSE)&amp;$BK197,坦克属性分配比例,MATCH("升星次数",坦克属性分配比例标头,0),FALSE)*VLOOKUP($BJ197,$AR$3:$AY$33,MATCH(BT$3,$AR$3:$AY$3,0),FALSE),1)</f>
        <v>52.9</v>
      </c>
      <c r="BU197" s="2">
        <f>ROUND(VLOOKUP($BJ197,$AI$3:$AO$33,MATCH(BU$3,$AI$3:$AO$3,0),FALSE)+$BL197/VLOOKUP(VLOOKUP($BJ197,坦克个性化设定!$B$18:$E$48,4,FALSE)&amp;$BK197,坦克属性分配比例,MATCH("升星次数",坦克属性分配比例标头,0),FALSE)*VLOOKUP($BJ197,$AR$3:$AY$33,MATCH(BU$3,$AR$3:$AY$3,0),FALSE),1)</f>
        <v>7.2</v>
      </c>
      <c r="BV197" s="2">
        <f>IF(VLOOKUP(BJ197,坦克个性化设定!$B$18:$BC$48,MATCH("装弹类型",坦克个性化设定!$B$18:$BC$18,0),FALSE)="弹夹换弹",0,ROUND(VLOOKUP($BJ197,$AI$3:$AO$33,MATCH("换弹时间",$AI$3:$AO$3,0),FALSE)-$BL197/VLOOKUP(VLOOKUP($BJ197,坦克个性化设定!$B$18:$E$48,4,FALSE)&amp;$BK197,坦克属性分配比例,MATCH("升星次数",坦克属性分配比例标头,0),FALSE)*VLOOKUP($BJ197,$AR$3:$AY$33,MATCH("换弹时间",$AR$3:$AY$3,0),FALSE),2))</f>
        <v>2.31</v>
      </c>
      <c r="BW197" s="2">
        <f>IF(VLOOKUP(BJ197,坦克个性化设定!$B$18:$BC$48,MATCH("装弹类型",坦克个性化设定!$B$18:$BC$18,0),FALSE)="弹夹换弹",ROUND(VLOOKUP($BJ197,$AI$3:$AO$33,MATCH("换弹时间",$AI$3:$AO$3,0),FALSE)-$BL197/VLOOKUP(VLOOKUP($BJ197,坦克个性化设定!$B$18:$E$48,4,FALSE)&amp;$BK197,坦克属性分配比例,MATCH("升星次数",坦克属性分配比例标头,0),FALSE)*VLOOKUP($BJ197,$AR$3:$AY$33,MATCH("换弹时间",$AR$3:$AY$3,0),FALSE),1),0)</f>
        <v>0</v>
      </c>
      <c r="BX197" s="2">
        <f>ROUND(VLOOKUP($BJ197,$AI$3:$AO$33,MATCH(BX$3,$AI$3:$AO$3,0),FALSE)+$BL197/VLOOKUP(VLOOKUP($BJ197,坦克个性化设定!$B$18:$E$48,4,FALSE)&amp;$BK197,坦克属性分配比例,MATCH("升星次数",坦克属性分配比例标头,0),FALSE)*VLOOKUP($BJ197,$AR$3:$AY$33,MATCH(BX$3,$AR$3:$AY$3,0),FALSE),2)</f>
        <v>0.4</v>
      </c>
      <c r="BY197" s="2">
        <f>ROUND(VLOOKUP($BJ197,$AI$3:$AO$33,MATCH(BY$3,$AI$3:$AO$3,0),FALSE)-$BL197/VLOOKUP(VLOOKUP($BJ197,坦克个性化设定!$B$18:$E$48,4,FALSE)&amp;$BK197,坦克属性分配比例,MATCH("升星次数",坦克属性分配比例标头,0),FALSE)*VLOOKUP($BJ197,$AR$3:$AY$33,MATCH(BY$3,$AR$3:$AY$3,0),FALSE),2)</f>
        <v>1.35</v>
      </c>
    </row>
    <row r="198" spans="60:77" x14ac:dyDescent="0.3">
      <c r="BH198" s="2" t="str">
        <f t="shared" si="30"/>
        <v>挑战者4</v>
      </c>
      <c r="BI198" s="2">
        <f>IF(BL197&gt;=VLOOKUP(VLOOKUP(BJ197,坦克个性化设定!$B$18:$E$48,4,FALSE)&amp;BK197,坦克属性分配比例,MATCH("升星次数",坦克属性分配比例标头,0),FALSE),BI197+1,BI197)</f>
        <v>20</v>
      </c>
      <c r="BJ198" s="2" t="str">
        <f t="shared" si="31"/>
        <v>挑战者</v>
      </c>
      <c r="BK198" s="29" t="str">
        <f>VLOOKUP(BJ198,坦克个性化细分!$I$3:$J$33,2,FALSE)</f>
        <v>低</v>
      </c>
      <c r="BL198" s="2">
        <f t="shared" si="29"/>
        <v>4</v>
      </c>
      <c r="BM198" s="103">
        <f ca="1">ROUND(VLOOKUP($BJ198&amp;"初始",$S$3:$AE$63,MATCH(BM$3,$S$3:$AE$3,0),FALSE)+((VLOOKUP($BJ198&amp;"最终",$S$3:$AE$63,MATCH(BM$3,$S$3:$AE$3,0),FALSE)*坦克个性化细分!$C$9-VLOOKUP($BJ198&amp;"初始",$S$3:$AE$63,MATCH(BM$3,$S$3:$AE$3,0),FALSE))-(VLOOKUP($BJ198&amp;"最终",$S$3:$AE$63,MATCH(BM$3,$S$3:$AE$3,0),FALSE)-VLOOKUP($BJ198&amp;"初始",$S$3:$AE$63,MATCH(BM$3,$S$3:$AE$3,0),FALSE))*VLOOKUP(VLOOKUP($BJ198,坦克个性化设定!$B$18:$E$48,4,FALSE)&amp;$BK198,坦克属性分配比例,MATCH("部件比例",坦克属性分配比例标头,0),FALSE))*$BL198/VLOOKUP(VLOOKUP($BJ198,坦克个性化设定!$B$18:$E$48,4,FALSE)&amp;$BK198,坦克属性分配比例,MATCH("升星次数",坦克属性分配比例标头,0),FALSE),0)</f>
        <v>2775</v>
      </c>
      <c r="BN198" s="103">
        <f ca="1">ROUND(VLOOKUP($BJ198&amp;"初始",$S$3:$AE$63,MATCH(BN$3,$S$3:$AE$3,0),FALSE)+(VLOOKUP($BJ198&amp;"最终",$S$3:$AE$63,MATCH(BN$3,$S$3:$AE$3,0),FALSE)-VLOOKUP($BJ198&amp;"初始",$S$3:$AE$63,MATCH(BN$3,$S$3:$AE$3,0),FALSE))*$BL198/VLOOKUP(VLOOKUP($BJ198,坦克个性化设定!$B$18:$E$48,4,FALSE)&amp;$BK198,坦克属性分配比例,MATCH("升星次数",坦克属性分配比例标头,0),FALSE)*VLOOKUP(VLOOKUP($BJ198,坦克个性化设定!$B$18:$E$48,4,FALSE)&amp;$BK198,坦克属性分配比例,MATCH("升星比例",坦克属性分配比例标头,0),FALSE),0)</f>
        <v>247</v>
      </c>
      <c r="BO198" s="103">
        <f ca="1">ROUND(VLOOKUP($BJ198&amp;"初始",$S$3:$AE$63,MATCH(BO$3,$S$3:$AE$3,0),FALSE)+(VLOOKUP($BJ198&amp;"最终",$S$3:$AE$63,MATCH(BO$3,$S$3:$AE$3,0),FALSE)-VLOOKUP($BJ198&amp;"初始",$S$3:$AE$63,MATCH(BO$3,$S$3:$AE$3,0),FALSE))*$BL198/VLOOKUP(VLOOKUP($BJ198,坦克个性化设定!$B$18:$E$48,4,FALSE)&amp;$BK198,坦克属性分配比例,MATCH("升星次数",坦克属性分配比例标头,0),FALSE)*(VLOOKUP(VLOOKUP($BJ198,坦克个性化设定!$B$18:$E$48,4,FALSE)&amp;$BK198,坦克属性分配比例,MATCH("升星比例",坦克属性分配比例标头,0),FALSE)+VLOOKUP(VLOOKUP($BJ198,坦克个性化设定!$B$18:$E$48,4,FALSE)&amp;$BK198,坦克属性分配比例,MATCH("部件比例",坦克属性分配比例标头,0),FALSE)*$C$3),0)</f>
        <v>919</v>
      </c>
      <c r="BP198" s="103">
        <f ca="1">ROUND(VLOOKUP($BJ198&amp;"初始",$S$3:$AE$63,MATCH(BP$3,$S$3:$AE$3,0),FALSE)+(VLOOKUP($BJ198&amp;"最终",$S$3:$AE$63,MATCH(BP$3,$S$3:$AE$3,0),FALSE)-VLOOKUP($BJ198&amp;"初始",$S$3:$AE$63,MATCH(BP$3,$S$3:$AE$3,0),FALSE))*$BL198/VLOOKUP(VLOOKUP($BJ198,坦克个性化设定!$B$18:$E$48,4,FALSE)&amp;$BK198,坦克属性分配比例,MATCH("升星次数",坦克属性分配比例标头,0),FALSE)*(VLOOKUP(VLOOKUP($BJ198,坦克个性化设定!$B$18:$E$48,4,FALSE)&amp;$BK198,坦克属性分配比例,MATCH("升星比例",坦克属性分配比例标头,0),FALSE)+VLOOKUP(VLOOKUP($BJ198,坦克个性化设定!$B$18:$E$48,4,FALSE)&amp;$BK198,坦克属性分配比例,MATCH("部件比例",坦克属性分配比例标头,0),FALSE)*$C$3),0)</f>
        <v>689</v>
      </c>
      <c r="BQ198" s="103">
        <f ca="1">ROUND(VLOOKUP($BJ198&amp;"初始",$S$3:$AE$63,MATCH(BQ$3,$S$3:$AE$3,0),FALSE)+(VLOOKUP($BJ198&amp;"最终",$S$3:$AE$63,MATCH(BQ$3,$S$3:$AE$3,0),FALSE)-VLOOKUP($BJ198&amp;"初始",$S$3:$AE$63,MATCH(BQ$3,$S$3:$AE$3,0),FALSE))*$BL198/VLOOKUP(VLOOKUP($BJ198,坦克个性化设定!$B$18:$E$48,4,FALSE)&amp;$BK198,坦克属性分配比例,MATCH("升星次数",坦克属性分配比例标头,0),FALSE)*VLOOKUP(VLOOKUP($BJ198,坦克个性化设定!$B$18:$E$48,4,FALSE)&amp;$BK198,坦克属性分配比例,MATCH("升星比例",坦克属性分配比例标头,0),FALSE),0)</f>
        <v>970</v>
      </c>
      <c r="BR198" s="2">
        <f ca="1">ROUND(VLOOKUP($BJ198&amp;"初始",$S$3:$AE$63,MATCH(BR$3,$S$3:$AE$3,0),FALSE)+(VLOOKUP($BJ198&amp;"最终",$S$3:$AE$63,MATCH(BR$3,$S$3:$AE$3,0),FALSE)-VLOOKUP($BJ198&amp;"初始",$S$3:$AE$63,MATCH(BR$3,$S$3:$AE$3,0),FALSE))*$BL198/VLOOKUP(VLOOKUP($BJ198,坦克个性化设定!$B$18:$E$48,4,FALSE)&amp;$BK198,坦克属性分配比例,MATCH("升星次数",坦克属性分配比例标头,0),FALSE),0)</f>
        <v>248</v>
      </c>
      <c r="BS198" s="2">
        <f>ROUND(VLOOKUP($BJ198,$AI$3:$AO$33,MATCH(BS$3,$AI$3:$AO$3,0),FALSE)+$BL198/VLOOKUP(VLOOKUP($BJ198,坦克个性化设定!$B$18:$E$48,4,FALSE)&amp;$BK198,坦克属性分配比例,MATCH("升星次数",坦克属性分配比例标头,0),FALSE)*VLOOKUP($BJ198,$AR$3:$AY$33,MATCH(BS$3,$AR$3:$AY$3,0),FALSE),1)</f>
        <v>38.299999999999997</v>
      </c>
      <c r="BT198" s="2">
        <f>ROUND(VLOOKUP($BJ198,$AI$3:$AO$33,MATCH(BT$3,$AI$3:$AO$3,0),FALSE)+$BL198/VLOOKUP(VLOOKUP($BJ198,坦克个性化设定!$B$18:$E$48,4,FALSE)&amp;$BK198,坦克属性分配比例,MATCH("升星次数",坦克属性分配比例标头,0),FALSE)*VLOOKUP($BJ198,$AR$3:$AY$33,MATCH(BT$3,$AR$3:$AY$3,0),FALSE),1)</f>
        <v>53.8</v>
      </c>
      <c r="BU198" s="2">
        <f>ROUND(VLOOKUP($BJ198,$AI$3:$AO$33,MATCH(BU$3,$AI$3:$AO$3,0),FALSE)+$BL198/VLOOKUP(VLOOKUP($BJ198,坦克个性化设定!$B$18:$E$48,4,FALSE)&amp;$BK198,坦克属性分配比例,MATCH("升星次数",坦克属性分配比例标头,0),FALSE)*VLOOKUP($BJ198,$AR$3:$AY$33,MATCH(BU$3,$AR$3:$AY$3,0),FALSE),1)</f>
        <v>7.2</v>
      </c>
      <c r="BV198" s="2">
        <f>IF(VLOOKUP(BJ198,坦克个性化设定!$B$18:$BC$48,MATCH("装弹类型",坦克个性化设定!$B$18:$BC$18,0),FALSE)="弹夹换弹",0,ROUND(VLOOKUP($BJ198,$AI$3:$AO$33,MATCH("换弹时间",$AI$3:$AO$3,0),FALSE)-$BL198/VLOOKUP(VLOOKUP($BJ198,坦克个性化设定!$B$18:$E$48,4,FALSE)&amp;$BK198,坦克属性分配比例,MATCH("升星次数",坦克属性分配比例标头,0),FALSE)*VLOOKUP($BJ198,$AR$3:$AY$33,MATCH("换弹时间",$AR$3:$AY$3,0),FALSE),2))</f>
        <v>2.2799999999999998</v>
      </c>
      <c r="BW198" s="2">
        <f>IF(VLOOKUP(BJ198,坦克个性化设定!$B$18:$BC$48,MATCH("装弹类型",坦克个性化设定!$B$18:$BC$18,0),FALSE)="弹夹换弹",ROUND(VLOOKUP($BJ198,$AI$3:$AO$33,MATCH("换弹时间",$AI$3:$AO$3,0),FALSE)-$BL198/VLOOKUP(VLOOKUP($BJ198,坦克个性化设定!$B$18:$E$48,4,FALSE)&amp;$BK198,坦克属性分配比例,MATCH("升星次数",坦克属性分配比例标头,0),FALSE)*VLOOKUP($BJ198,$AR$3:$AY$33,MATCH("换弹时间",$AR$3:$AY$3,0),FALSE),1),0)</f>
        <v>0</v>
      </c>
      <c r="BX198" s="2">
        <f>ROUND(VLOOKUP($BJ198,$AI$3:$AO$33,MATCH(BX$3,$AI$3:$AO$3,0),FALSE)+$BL198/VLOOKUP(VLOOKUP($BJ198,坦克个性化设定!$B$18:$E$48,4,FALSE)&amp;$BK198,坦克属性分配比例,MATCH("升星次数",坦克属性分配比例标头,0),FALSE)*VLOOKUP($BJ198,$AR$3:$AY$33,MATCH(BX$3,$AR$3:$AY$3,0),FALSE),2)</f>
        <v>0.4</v>
      </c>
      <c r="BY198" s="2">
        <f>ROUND(VLOOKUP($BJ198,$AI$3:$AO$33,MATCH(BY$3,$AI$3:$AO$3,0),FALSE)-$BL198/VLOOKUP(VLOOKUP($BJ198,坦克个性化设定!$B$18:$E$48,4,FALSE)&amp;$BK198,坦克属性分配比例,MATCH("升星次数",坦克属性分配比例标头,0),FALSE)*VLOOKUP($BJ198,$AR$3:$AY$33,MATCH(BY$3,$AR$3:$AY$3,0),FALSE),2)</f>
        <v>1.33</v>
      </c>
    </row>
    <row r="199" spans="60:77" x14ac:dyDescent="0.3">
      <c r="BH199" s="2" t="str">
        <f t="shared" si="30"/>
        <v>挑战者5</v>
      </c>
      <c r="BI199" s="2">
        <f>IF(BL198&gt;=VLOOKUP(VLOOKUP(BJ198,坦克个性化设定!$B$18:$E$48,4,FALSE)&amp;BK198,坦克属性分配比例,MATCH("升星次数",坦克属性分配比例标头,0),FALSE),BI198+1,BI198)</f>
        <v>20</v>
      </c>
      <c r="BJ199" s="2" t="str">
        <f t="shared" si="31"/>
        <v>挑战者</v>
      </c>
      <c r="BK199" s="29" t="str">
        <f>VLOOKUP(BJ199,坦克个性化细分!$I$3:$J$33,2,FALSE)</f>
        <v>低</v>
      </c>
      <c r="BL199" s="2">
        <f t="shared" si="29"/>
        <v>5</v>
      </c>
      <c r="BM199" s="103">
        <f ca="1">ROUND(VLOOKUP($BJ199&amp;"初始",$S$3:$AE$63,MATCH(BM$3,$S$3:$AE$3,0),FALSE)+((VLOOKUP($BJ199&amp;"最终",$S$3:$AE$63,MATCH(BM$3,$S$3:$AE$3,0),FALSE)*坦克个性化细分!$C$9-VLOOKUP($BJ199&amp;"初始",$S$3:$AE$63,MATCH(BM$3,$S$3:$AE$3,0),FALSE))-(VLOOKUP($BJ199&amp;"最终",$S$3:$AE$63,MATCH(BM$3,$S$3:$AE$3,0),FALSE)-VLOOKUP($BJ199&amp;"初始",$S$3:$AE$63,MATCH(BM$3,$S$3:$AE$3,0),FALSE))*VLOOKUP(VLOOKUP($BJ199,坦克个性化设定!$B$18:$E$48,4,FALSE)&amp;$BK199,坦克属性分配比例,MATCH("部件比例",坦克属性分配比例标头,0),FALSE))*$BL199/VLOOKUP(VLOOKUP($BJ199,坦克个性化设定!$B$18:$E$48,4,FALSE)&amp;$BK199,坦克属性分配比例,MATCH("升星次数",坦克属性分配比例标头,0),FALSE),0)</f>
        <v>2855</v>
      </c>
      <c r="BN199" s="103">
        <f ca="1">ROUND(VLOOKUP($BJ199&amp;"初始",$S$3:$AE$63,MATCH(BN$3,$S$3:$AE$3,0),FALSE)+(VLOOKUP($BJ199&amp;"最终",$S$3:$AE$63,MATCH(BN$3,$S$3:$AE$3,0),FALSE)-VLOOKUP($BJ199&amp;"初始",$S$3:$AE$63,MATCH(BN$3,$S$3:$AE$3,0),FALSE))*$BL199/VLOOKUP(VLOOKUP($BJ199,坦克个性化设定!$B$18:$E$48,4,FALSE)&amp;$BK199,坦克属性分配比例,MATCH("升星次数",坦克属性分配比例标头,0),FALSE)*VLOOKUP(VLOOKUP($BJ199,坦克个性化设定!$B$18:$E$48,4,FALSE)&amp;$BK199,坦克属性分配比例,MATCH("升星比例",坦克属性分配比例标头,0),FALSE),0)</f>
        <v>251</v>
      </c>
      <c r="BO199" s="103">
        <f ca="1">ROUND(VLOOKUP($BJ199&amp;"初始",$S$3:$AE$63,MATCH(BO$3,$S$3:$AE$3,0),FALSE)+(VLOOKUP($BJ199&amp;"最终",$S$3:$AE$63,MATCH(BO$3,$S$3:$AE$3,0),FALSE)-VLOOKUP($BJ199&amp;"初始",$S$3:$AE$63,MATCH(BO$3,$S$3:$AE$3,0),FALSE))*$BL199/VLOOKUP(VLOOKUP($BJ199,坦克个性化设定!$B$18:$E$48,4,FALSE)&amp;$BK199,坦克属性分配比例,MATCH("升星次数",坦克属性分配比例标头,0),FALSE)*(VLOOKUP(VLOOKUP($BJ199,坦克个性化设定!$B$18:$E$48,4,FALSE)&amp;$BK199,坦克属性分配比例,MATCH("升星比例",坦克属性分配比例标头,0),FALSE)+VLOOKUP(VLOOKUP($BJ199,坦克个性化设定!$B$18:$E$48,4,FALSE)&amp;$BK199,坦克属性分配比例,MATCH("部件比例",坦克属性分配比例标头,0),FALSE)*$C$3),0)</f>
        <v>942</v>
      </c>
      <c r="BP199" s="103">
        <f ca="1">ROUND(VLOOKUP($BJ199&amp;"初始",$S$3:$AE$63,MATCH(BP$3,$S$3:$AE$3,0),FALSE)+(VLOOKUP($BJ199&amp;"最终",$S$3:$AE$63,MATCH(BP$3,$S$3:$AE$3,0),FALSE)-VLOOKUP($BJ199&amp;"初始",$S$3:$AE$63,MATCH(BP$3,$S$3:$AE$3,0),FALSE))*$BL199/VLOOKUP(VLOOKUP($BJ199,坦克个性化设定!$B$18:$E$48,4,FALSE)&amp;$BK199,坦克属性分配比例,MATCH("升星次数",坦克属性分配比例标头,0),FALSE)*(VLOOKUP(VLOOKUP($BJ199,坦克个性化设定!$B$18:$E$48,4,FALSE)&amp;$BK199,坦克属性分配比例,MATCH("升星比例",坦克属性分配比例标头,0),FALSE)+VLOOKUP(VLOOKUP($BJ199,坦克个性化设定!$B$18:$E$48,4,FALSE)&amp;$BK199,坦克属性分配比例,MATCH("部件比例",坦克属性分配比例标头,0),FALSE)*$C$3),0)</f>
        <v>707</v>
      </c>
      <c r="BQ199" s="103">
        <f ca="1">ROUND(VLOOKUP($BJ199&amp;"初始",$S$3:$AE$63,MATCH(BQ$3,$S$3:$AE$3,0),FALSE)+(VLOOKUP($BJ199&amp;"最终",$S$3:$AE$63,MATCH(BQ$3,$S$3:$AE$3,0),FALSE)-VLOOKUP($BJ199&amp;"初始",$S$3:$AE$63,MATCH(BQ$3,$S$3:$AE$3,0),FALSE))*$BL199/VLOOKUP(VLOOKUP($BJ199,坦克个性化设定!$B$18:$E$48,4,FALSE)&amp;$BK199,坦克属性分配比例,MATCH("升星次数",坦克属性分配比例标头,0),FALSE)*VLOOKUP(VLOOKUP($BJ199,坦克个性化设定!$B$18:$E$48,4,FALSE)&amp;$BK199,坦克属性分配比例,MATCH("升星比例",坦克属性分配比例标头,0),FALSE),0)</f>
        <v>985</v>
      </c>
      <c r="BR199" s="2">
        <f ca="1">ROUND(VLOOKUP($BJ199&amp;"初始",$S$3:$AE$63,MATCH(BR$3,$S$3:$AE$3,0),FALSE)+(VLOOKUP($BJ199&amp;"最终",$S$3:$AE$63,MATCH(BR$3,$S$3:$AE$3,0),FALSE)-VLOOKUP($BJ199&amp;"初始",$S$3:$AE$63,MATCH(BR$3,$S$3:$AE$3,0),FALSE))*$BL199/VLOOKUP(VLOOKUP($BJ199,坦克个性化设定!$B$18:$E$48,4,FALSE)&amp;$BK199,坦克属性分配比例,MATCH("升星次数",坦克属性分配比例标头,0),FALSE),0)</f>
        <v>255</v>
      </c>
      <c r="BS199" s="2">
        <f>ROUND(VLOOKUP($BJ199,$AI$3:$AO$33,MATCH(BS$3,$AI$3:$AO$3,0),FALSE)+$BL199/VLOOKUP(VLOOKUP($BJ199,坦克个性化设定!$B$18:$E$48,4,FALSE)&amp;$BK199,坦克属性分配比例,MATCH("升星次数",坦克属性分配比例标头,0),FALSE)*VLOOKUP($BJ199,$AR$3:$AY$33,MATCH(BS$3,$AR$3:$AY$3,0),FALSE),1)</f>
        <v>39</v>
      </c>
      <c r="BT199" s="2">
        <f>ROUND(VLOOKUP($BJ199,$AI$3:$AO$33,MATCH(BT$3,$AI$3:$AO$3,0),FALSE)+$BL199/VLOOKUP(VLOOKUP($BJ199,坦克个性化设定!$B$18:$E$48,4,FALSE)&amp;$BK199,坦克属性分配比例,MATCH("升星次数",坦克属性分配比例标头,0),FALSE)*VLOOKUP($BJ199,$AR$3:$AY$33,MATCH(BT$3,$AR$3:$AY$3,0),FALSE),1)</f>
        <v>54.8</v>
      </c>
      <c r="BU199" s="2">
        <f>ROUND(VLOOKUP($BJ199,$AI$3:$AO$33,MATCH(BU$3,$AI$3:$AO$3,0),FALSE)+$BL199/VLOOKUP(VLOOKUP($BJ199,坦克个性化设定!$B$18:$E$48,4,FALSE)&amp;$BK199,坦克属性分配比例,MATCH("升星次数",坦克属性分配比例标头,0),FALSE)*VLOOKUP($BJ199,$AR$3:$AY$33,MATCH(BU$3,$AR$3:$AY$3,0),FALSE),1)</f>
        <v>7.2</v>
      </c>
      <c r="BV199" s="2">
        <f>IF(VLOOKUP(BJ199,坦克个性化设定!$B$18:$BC$48,MATCH("装弹类型",坦克个性化设定!$B$18:$BC$18,0),FALSE)="弹夹换弹",0,ROUND(VLOOKUP($BJ199,$AI$3:$AO$33,MATCH("换弹时间",$AI$3:$AO$3,0),FALSE)-$BL199/VLOOKUP(VLOOKUP($BJ199,坦克个性化设定!$B$18:$E$48,4,FALSE)&amp;$BK199,坦克属性分配比例,MATCH("升星次数",坦克属性分配比例标头,0),FALSE)*VLOOKUP($BJ199,$AR$3:$AY$33,MATCH("换弹时间",$AR$3:$AY$3,0),FALSE),2))</f>
        <v>2.2599999999999998</v>
      </c>
      <c r="BW199" s="2">
        <f>IF(VLOOKUP(BJ199,坦克个性化设定!$B$18:$BC$48,MATCH("装弹类型",坦克个性化设定!$B$18:$BC$18,0),FALSE)="弹夹换弹",ROUND(VLOOKUP($BJ199,$AI$3:$AO$33,MATCH("换弹时间",$AI$3:$AO$3,0),FALSE)-$BL199/VLOOKUP(VLOOKUP($BJ199,坦克个性化设定!$B$18:$E$48,4,FALSE)&amp;$BK199,坦克属性分配比例,MATCH("升星次数",坦克属性分配比例标头,0),FALSE)*VLOOKUP($BJ199,$AR$3:$AY$33,MATCH("换弹时间",$AR$3:$AY$3,0),FALSE),1),0)</f>
        <v>0</v>
      </c>
      <c r="BX199" s="2">
        <f>ROUND(VLOOKUP($BJ199,$AI$3:$AO$33,MATCH(BX$3,$AI$3:$AO$3,0),FALSE)+$BL199/VLOOKUP(VLOOKUP($BJ199,坦克个性化设定!$B$18:$E$48,4,FALSE)&amp;$BK199,坦克属性分配比例,MATCH("升星次数",坦克属性分配比例标头,0),FALSE)*VLOOKUP($BJ199,$AR$3:$AY$33,MATCH(BX$3,$AR$3:$AY$3,0),FALSE),2)</f>
        <v>0.4</v>
      </c>
      <c r="BY199" s="2">
        <f>ROUND(VLOOKUP($BJ199,$AI$3:$AO$33,MATCH(BY$3,$AI$3:$AO$3,0),FALSE)-$BL199/VLOOKUP(VLOOKUP($BJ199,坦克个性化设定!$B$18:$E$48,4,FALSE)&amp;$BK199,坦克属性分配比例,MATCH("升星次数",坦克属性分配比例标头,0),FALSE)*VLOOKUP($BJ199,$AR$3:$AY$33,MATCH(BY$3,$AR$3:$AY$3,0),FALSE),2)</f>
        <v>1.31</v>
      </c>
    </row>
    <row r="200" spans="60:77" x14ac:dyDescent="0.3">
      <c r="BH200" s="2" t="str">
        <f t="shared" si="30"/>
        <v>挑战者6</v>
      </c>
      <c r="BI200" s="2">
        <f>IF(BL199&gt;=VLOOKUP(VLOOKUP(BJ199,坦克个性化设定!$B$18:$E$48,4,FALSE)&amp;BK199,坦克属性分配比例,MATCH("升星次数",坦克属性分配比例标头,0),FALSE),BI199+1,BI199)</f>
        <v>20</v>
      </c>
      <c r="BJ200" s="2" t="str">
        <f t="shared" si="31"/>
        <v>挑战者</v>
      </c>
      <c r="BK200" s="29" t="str">
        <f>VLOOKUP(BJ200,坦克个性化细分!$I$3:$J$33,2,FALSE)</f>
        <v>低</v>
      </c>
      <c r="BL200" s="2">
        <f t="shared" si="29"/>
        <v>6</v>
      </c>
      <c r="BM200" s="103">
        <f ca="1">ROUND(VLOOKUP($BJ200&amp;"初始",$S$3:$AE$63,MATCH(BM$3,$S$3:$AE$3,0),FALSE)+((VLOOKUP($BJ200&amp;"最终",$S$3:$AE$63,MATCH(BM$3,$S$3:$AE$3,0),FALSE)*坦克个性化细分!$C$9-VLOOKUP($BJ200&amp;"初始",$S$3:$AE$63,MATCH(BM$3,$S$3:$AE$3,0),FALSE))-(VLOOKUP($BJ200&amp;"最终",$S$3:$AE$63,MATCH(BM$3,$S$3:$AE$3,0),FALSE)-VLOOKUP($BJ200&amp;"初始",$S$3:$AE$63,MATCH(BM$3,$S$3:$AE$3,0),FALSE))*VLOOKUP(VLOOKUP($BJ200,坦克个性化设定!$B$18:$E$48,4,FALSE)&amp;$BK200,坦克属性分配比例,MATCH("部件比例",坦克属性分配比例标头,0),FALSE))*$BL200/VLOOKUP(VLOOKUP($BJ200,坦克个性化设定!$B$18:$E$48,4,FALSE)&amp;$BK200,坦克属性分配比例,MATCH("升星次数",坦克属性分配比例标头,0),FALSE),0)</f>
        <v>2935</v>
      </c>
      <c r="BN200" s="103">
        <f ca="1">ROUND(VLOOKUP($BJ200&amp;"初始",$S$3:$AE$63,MATCH(BN$3,$S$3:$AE$3,0),FALSE)+(VLOOKUP($BJ200&amp;"最终",$S$3:$AE$63,MATCH(BN$3,$S$3:$AE$3,0),FALSE)-VLOOKUP($BJ200&amp;"初始",$S$3:$AE$63,MATCH(BN$3,$S$3:$AE$3,0),FALSE))*$BL200/VLOOKUP(VLOOKUP($BJ200,坦克个性化设定!$B$18:$E$48,4,FALSE)&amp;$BK200,坦克属性分配比例,MATCH("升星次数",坦克属性分配比例标头,0),FALSE)*VLOOKUP(VLOOKUP($BJ200,坦克个性化设定!$B$18:$E$48,4,FALSE)&amp;$BK200,坦克属性分配比例,MATCH("升星比例",坦克属性分配比例标头,0),FALSE),0)</f>
        <v>255</v>
      </c>
      <c r="BO200" s="103">
        <f ca="1">ROUND(VLOOKUP($BJ200&amp;"初始",$S$3:$AE$63,MATCH(BO$3,$S$3:$AE$3,0),FALSE)+(VLOOKUP($BJ200&amp;"最终",$S$3:$AE$63,MATCH(BO$3,$S$3:$AE$3,0),FALSE)-VLOOKUP($BJ200&amp;"初始",$S$3:$AE$63,MATCH(BO$3,$S$3:$AE$3,0),FALSE))*$BL200/VLOOKUP(VLOOKUP($BJ200,坦克个性化设定!$B$18:$E$48,4,FALSE)&amp;$BK200,坦克属性分配比例,MATCH("升星次数",坦克属性分配比例标头,0),FALSE)*(VLOOKUP(VLOOKUP($BJ200,坦克个性化设定!$B$18:$E$48,4,FALSE)&amp;$BK200,坦克属性分配比例,MATCH("升星比例",坦克属性分配比例标头,0),FALSE)+VLOOKUP(VLOOKUP($BJ200,坦克个性化设定!$B$18:$E$48,4,FALSE)&amp;$BK200,坦克属性分配比例,MATCH("部件比例",坦克属性分配比例标头,0),FALSE)*$C$3),0)</f>
        <v>965</v>
      </c>
      <c r="BP200" s="103">
        <f ca="1">ROUND(VLOOKUP($BJ200&amp;"初始",$S$3:$AE$63,MATCH(BP$3,$S$3:$AE$3,0),FALSE)+(VLOOKUP($BJ200&amp;"最终",$S$3:$AE$63,MATCH(BP$3,$S$3:$AE$3,0),FALSE)-VLOOKUP($BJ200&amp;"初始",$S$3:$AE$63,MATCH(BP$3,$S$3:$AE$3,0),FALSE))*$BL200/VLOOKUP(VLOOKUP($BJ200,坦克个性化设定!$B$18:$E$48,4,FALSE)&amp;$BK200,坦克属性分配比例,MATCH("升星次数",坦克属性分配比例标头,0),FALSE)*(VLOOKUP(VLOOKUP($BJ200,坦克个性化设定!$B$18:$E$48,4,FALSE)&amp;$BK200,坦克属性分配比例,MATCH("升星比例",坦克属性分配比例标头,0),FALSE)+VLOOKUP(VLOOKUP($BJ200,坦克个性化设定!$B$18:$E$48,4,FALSE)&amp;$BK200,坦克属性分配比例,MATCH("部件比例",坦克属性分配比例标头,0),FALSE)*$C$3),0)</f>
        <v>724</v>
      </c>
      <c r="BQ200" s="103">
        <f ca="1">ROUND(VLOOKUP($BJ200&amp;"初始",$S$3:$AE$63,MATCH(BQ$3,$S$3:$AE$3,0),FALSE)+(VLOOKUP($BJ200&amp;"最终",$S$3:$AE$63,MATCH(BQ$3,$S$3:$AE$3,0),FALSE)-VLOOKUP($BJ200&amp;"初始",$S$3:$AE$63,MATCH(BQ$3,$S$3:$AE$3,0),FALSE))*$BL200/VLOOKUP(VLOOKUP($BJ200,坦克个性化设定!$B$18:$E$48,4,FALSE)&amp;$BK200,坦克属性分配比例,MATCH("升星次数",坦克属性分配比例标头,0),FALSE)*VLOOKUP(VLOOKUP($BJ200,坦克个性化设定!$B$18:$E$48,4,FALSE)&amp;$BK200,坦克属性分配比例,MATCH("升星比例",坦克属性分配比例标头,0),FALSE),0)</f>
        <v>1001</v>
      </c>
      <c r="BR200" s="2">
        <f ca="1">ROUND(VLOOKUP($BJ200&amp;"初始",$S$3:$AE$63,MATCH(BR$3,$S$3:$AE$3,0),FALSE)+(VLOOKUP($BJ200&amp;"最终",$S$3:$AE$63,MATCH(BR$3,$S$3:$AE$3,0),FALSE)-VLOOKUP($BJ200&amp;"初始",$S$3:$AE$63,MATCH(BR$3,$S$3:$AE$3,0),FALSE))*$BL200/VLOOKUP(VLOOKUP($BJ200,坦克个性化设定!$B$18:$E$48,4,FALSE)&amp;$BK200,坦克属性分配比例,MATCH("升星次数",坦克属性分配比例标头,0),FALSE),0)</f>
        <v>263</v>
      </c>
      <c r="BS200" s="2">
        <f>ROUND(VLOOKUP($BJ200,$AI$3:$AO$33,MATCH(BS$3,$AI$3:$AO$3,0),FALSE)+$BL200/VLOOKUP(VLOOKUP($BJ200,坦克个性化设定!$B$18:$E$48,4,FALSE)&amp;$BK200,坦克属性分配比例,MATCH("升星次数",坦克属性分配比例标头,0),FALSE)*VLOOKUP($BJ200,$AR$3:$AY$33,MATCH(BS$3,$AR$3:$AY$3,0),FALSE),1)</f>
        <v>39.700000000000003</v>
      </c>
      <c r="BT200" s="2">
        <f>ROUND(VLOOKUP($BJ200,$AI$3:$AO$33,MATCH(BT$3,$AI$3:$AO$3,0),FALSE)+$BL200/VLOOKUP(VLOOKUP($BJ200,坦克个性化设定!$B$18:$E$48,4,FALSE)&amp;$BK200,坦克属性分配比例,MATCH("升星次数",坦克属性分配比例标头,0),FALSE)*VLOOKUP($BJ200,$AR$3:$AY$33,MATCH(BT$3,$AR$3:$AY$3,0),FALSE),1)</f>
        <v>55.8</v>
      </c>
      <c r="BU200" s="2">
        <f>ROUND(VLOOKUP($BJ200,$AI$3:$AO$33,MATCH(BU$3,$AI$3:$AO$3,0),FALSE)+$BL200/VLOOKUP(VLOOKUP($BJ200,坦克个性化设定!$B$18:$E$48,4,FALSE)&amp;$BK200,坦克属性分配比例,MATCH("升星次数",坦克属性分配比例标头,0),FALSE)*VLOOKUP($BJ200,$AR$3:$AY$33,MATCH(BU$3,$AR$3:$AY$3,0),FALSE),1)</f>
        <v>7.2</v>
      </c>
      <c r="BV200" s="2">
        <f>IF(VLOOKUP(BJ200,坦克个性化设定!$B$18:$BC$48,MATCH("装弹类型",坦克个性化设定!$B$18:$BC$18,0),FALSE)="弹夹换弹",0,ROUND(VLOOKUP($BJ200,$AI$3:$AO$33,MATCH("换弹时间",$AI$3:$AO$3,0),FALSE)-$BL200/VLOOKUP(VLOOKUP($BJ200,坦克个性化设定!$B$18:$E$48,4,FALSE)&amp;$BK200,坦克属性分配比例,MATCH("升星次数",坦克属性分配比例标头,0),FALSE)*VLOOKUP($BJ200,$AR$3:$AY$33,MATCH("换弹时间",$AR$3:$AY$3,0),FALSE),2))</f>
        <v>2.23</v>
      </c>
      <c r="BW200" s="2">
        <f>IF(VLOOKUP(BJ200,坦克个性化设定!$B$18:$BC$48,MATCH("装弹类型",坦克个性化设定!$B$18:$BC$18,0),FALSE)="弹夹换弹",ROUND(VLOOKUP($BJ200,$AI$3:$AO$33,MATCH("换弹时间",$AI$3:$AO$3,0),FALSE)-$BL200/VLOOKUP(VLOOKUP($BJ200,坦克个性化设定!$B$18:$E$48,4,FALSE)&amp;$BK200,坦克属性分配比例,MATCH("升星次数",坦克属性分配比例标头,0),FALSE)*VLOOKUP($BJ200,$AR$3:$AY$33,MATCH("换弹时间",$AR$3:$AY$3,0),FALSE),1),0)</f>
        <v>0</v>
      </c>
      <c r="BX200" s="2">
        <f>ROUND(VLOOKUP($BJ200,$AI$3:$AO$33,MATCH(BX$3,$AI$3:$AO$3,0),FALSE)+$BL200/VLOOKUP(VLOOKUP($BJ200,坦克个性化设定!$B$18:$E$48,4,FALSE)&amp;$BK200,坦克属性分配比例,MATCH("升星次数",坦克属性分配比例标头,0),FALSE)*VLOOKUP($BJ200,$AR$3:$AY$33,MATCH(BX$3,$AR$3:$AY$3,0),FALSE),2)</f>
        <v>0.4</v>
      </c>
      <c r="BY200" s="2">
        <f>ROUND(VLOOKUP($BJ200,$AI$3:$AO$33,MATCH(BY$3,$AI$3:$AO$3,0),FALSE)-$BL200/VLOOKUP(VLOOKUP($BJ200,坦克个性化设定!$B$18:$E$48,4,FALSE)&amp;$BK200,坦克属性分配比例,MATCH("升星次数",坦克属性分配比例标头,0),FALSE)*VLOOKUP($BJ200,$AR$3:$AY$33,MATCH(BY$3,$AR$3:$AY$3,0),FALSE),2)</f>
        <v>1.29</v>
      </c>
    </row>
    <row r="201" spans="60:77" x14ac:dyDescent="0.3">
      <c r="BH201" s="2" t="str">
        <f t="shared" si="30"/>
        <v>挑战者7</v>
      </c>
      <c r="BI201" s="2">
        <f>IF(BL200&gt;=VLOOKUP(VLOOKUP(BJ200,坦克个性化设定!$B$18:$E$48,4,FALSE)&amp;BK200,坦克属性分配比例,MATCH("升星次数",坦克属性分配比例标头,0),FALSE),BI200+1,BI200)</f>
        <v>20</v>
      </c>
      <c r="BJ201" s="2" t="str">
        <f t="shared" si="31"/>
        <v>挑战者</v>
      </c>
      <c r="BK201" s="29" t="str">
        <f>VLOOKUP(BJ201,坦克个性化细分!$I$3:$J$33,2,FALSE)</f>
        <v>低</v>
      </c>
      <c r="BL201" s="2">
        <f t="shared" si="29"/>
        <v>7</v>
      </c>
      <c r="BM201" s="103">
        <f ca="1">ROUND(VLOOKUP($BJ201&amp;"初始",$S$3:$AE$63,MATCH(BM$3,$S$3:$AE$3,0),FALSE)+((VLOOKUP($BJ201&amp;"最终",$S$3:$AE$63,MATCH(BM$3,$S$3:$AE$3,0),FALSE)*坦克个性化细分!$C$9-VLOOKUP($BJ201&amp;"初始",$S$3:$AE$63,MATCH(BM$3,$S$3:$AE$3,0),FALSE))-(VLOOKUP($BJ201&amp;"最终",$S$3:$AE$63,MATCH(BM$3,$S$3:$AE$3,0),FALSE)-VLOOKUP($BJ201&amp;"初始",$S$3:$AE$63,MATCH(BM$3,$S$3:$AE$3,0),FALSE))*VLOOKUP(VLOOKUP($BJ201,坦克个性化设定!$B$18:$E$48,4,FALSE)&amp;$BK201,坦克属性分配比例,MATCH("部件比例",坦克属性分配比例标头,0),FALSE))*$BL201/VLOOKUP(VLOOKUP($BJ201,坦克个性化设定!$B$18:$E$48,4,FALSE)&amp;$BK201,坦克属性分配比例,MATCH("升星次数",坦克属性分配比例标头,0),FALSE),0)</f>
        <v>3015</v>
      </c>
      <c r="BN201" s="103">
        <f ca="1">ROUND(VLOOKUP($BJ201&amp;"初始",$S$3:$AE$63,MATCH(BN$3,$S$3:$AE$3,0),FALSE)+(VLOOKUP($BJ201&amp;"最终",$S$3:$AE$63,MATCH(BN$3,$S$3:$AE$3,0),FALSE)-VLOOKUP($BJ201&amp;"初始",$S$3:$AE$63,MATCH(BN$3,$S$3:$AE$3,0),FALSE))*$BL201/VLOOKUP(VLOOKUP($BJ201,坦克个性化设定!$B$18:$E$48,4,FALSE)&amp;$BK201,坦克属性分配比例,MATCH("升星次数",坦克属性分配比例标头,0),FALSE)*VLOOKUP(VLOOKUP($BJ201,坦克个性化设定!$B$18:$E$48,4,FALSE)&amp;$BK201,坦克属性分配比例,MATCH("升星比例",坦克属性分配比例标头,0),FALSE),0)</f>
        <v>260</v>
      </c>
      <c r="BO201" s="103">
        <f ca="1">ROUND(VLOOKUP($BJ201&amp;"初始",$S$3:$AE$63,MATCH(BO$3,$S$3:$AE$3,0),FALSE)+(VLOOKUP($BJ201&amp;"最终",$S$3:$AE$63,MATCH(BO$3,$S$3:$AE$3,0),FALSE)-VLOOKUP($BJ201&amp;"初始",$S$3:$AE$63,MATCH(BO$3,$S$3:$AE$3,0),FALSE))*$BL201/VLOOKUP(VLOOKUP($BJ201,坦克个性化设定!$B$18:$E$48,4,FALSE)&amp;$BK201,坦克属性分配比例,MATCH("升星次数",坦克属性分配比例标头,0),FALSE)*(VLOOKUP(VLOOKUP($BJ201,坦克个性化设定!$B$18:$E$48,4,FALSE)&amp;$BK201,坦克属性分配比例,MATCH("升星比例",坦克属性分配比例标头,0),FALSE)+VLOOKUP(VLOOKUP($BJ201,坦克个性化设定!$B$18:$E$48,4,FALSE)&amp;$BK201,坦克属性分配比例,MATCH("部件比例",坦克属性分配比例标头,0),FALSE)*$C$3),0)</f>
        <v>988</v>
      </c>
      <c r="BP201" s="103">
        <f ca="1">ROUND(VLOOKUP($BJ201&amp;"初始",$S$3:$AE$63,MATCH(BP$3,$S$3:$AE$3,0),FALSE)+(VLOOKUP($BJ201&amp;"最终",$S$3:$AE$63,MATCH(BP$3,$S$3:$AE$3,0),FALSE)-VLOOKUP($BJ201&amp;"初始",$S$3:$AE$63,MATCH(BP$3,$S$3:$AE$3,0),FALSE))*$BL201/VLOOKUP(VLOOKUP($BJ201,坦克个性化设定!$B$18:$E$48,4,FALSE)&amp;$BK201,坦克属性分配比例,MATCH("升星次数",坦克属性分配比例标头,0),FALSE)*(VLOOKUP(VLOOKUP($BJ201,坦克个性化设定!$B$18:$E$48,4,FALSE)&amp;$BK201,坦克属性分配比例,MATCH("升星比例",坦克属性分配比例标头,0),FALSE)+VLOOKUP(VLOOKUP($BJ201,坦克个性化设定!$B$18:$E$48,4,FALSE)&amp;$BK201,坦克属性分配比例,MATCH("部件比例",坦克属性分配比例标头,0),FALSE)*$C$3),0)</f>
        <v>741</v>
      </c>
      <c r="BQ201" s="103">
        <f ca="1">ROUND(VLOOKUP($BJ201&amp;"初始",$S$3:$AE$63,MATCH(BQ$3,$S$3:$AE$3,0),FALSE)+(VLOOKUP($BJ201&amp;"最终",$S$3:$AE$63,MATCH(BQ$3,$S$3:$AE$3,0),FALSE)-VLOOKUP($BJ201&amp;"初始",$S$3:$AE$63,MATCH(BQ$3,$S$3:$AE$3,0),FALSE))*$BL201/VLOOKUP(VLOOKUP($BJ201,坦克个性化设定!$B$18:$E$48,4,FALSE)&amp;$BK201,坦克属性分配比例,MATCH("升星次数",坦克属性分配比例标头,0),FALSE)*VLOOKUP(VLOOKUP($BJ201,坦克个性化设定!$B$18:$E$48,4,FALSE)&amp;$BK201,坦克属性分配比例,MATCH("升星比例",坦克属性分配比例标头,0),FALSE),0)</f>
        <v>1017</v>
      </c>
      <c r="BR201" s="2">
        <f ca="1">ROUND(VLOOKUP($BJ201&amp;"初始",$S$3:$AE$63,MATCH(BR$3,$S$3:$AE$3,0),FALSE)+(VLOOKUP($BJ201&amp;"最终",$S$3:$AE$63,MATCH(BR$3,$S$3:$AE$3,0),FALSE)-VLOOKUP($BJ201&amp;"初始",$S$3:$AE$63,MATCH(BR$3,$S$3:$AE$3,0),FALSE))*$BL201/VLOOKUP(VLOOKUP($BJ201,坦克个性化设定!$B$18:$E$48,4,FALSE)&amp;$BK201,坦克属性分配比例,MATCH("升星次数",坦克属性分配比例标头,0),FALSE),0)</f>
        <v>270</v>
      </c>
      <c r="BS201" s="2">
        <f>ROUND(VLOOKUP($BJ201,$AI$3:$AO$33,MATCH(BS$3,$AI$3:$AO$3,0),FALSE)+$BL201/VLOOKUP(VLOOKUP($BJ201,坦克个性化设定!$B$18:$E$48,4,FALSE)&amp;$BK201,坦克属性分配比例,MATCH("升星次数",坦克属性分配比例标头,0),FALSE)*VLOOKUP($BJ201,$AR$3:$AY$33,MATCH(BS$3,$AR$3:$AY$3,0),FALSE),1)</f>
        <v>40.4</v>
      </c>
      <c r="BT201" s="2">
        <f>ROUND(VLOOKUP($BJ201,$AI$3:$AO$33,MATCH(BT$3,$AI$3:$AO$3,0),FALSE)+$BL201/VLOOKUP(VLOOKUP($BJ201,坦克个性化设定!$B$18:$E$48,4,FALSE)&amp;$BK201,坦克属性分配比例,MATCH("升星次数",坦克属性分配比例标头,0),FALSE)*VLOOKUP($BJ201,$AR$3:$AY$33,MATCH(BT$3,$AR$3:$AY$3,0),FALSE),1)</f>
        <v>56.7</v>
      </c>
      <c r="BU201" s="2">
        <f>ROUND(VLOOKUP($BJ201,$AI$3:$AO$33,MATCH(BU$3,$AI$3:$AO$3,0),FALSE)+$BL201/VLOOKUP(VLOOKUP($BJ201,坦克个性化设定!$B$18:$E$48,4,FALSE)&amp;$BK201,坦克属性分配比例,MATCH("升星次数",坦克属性分配比例标头,0),FALSE)*VLOOKUP($BJ201,$AR$3:$AY$33,MATCH(BU$3,$AR$3:$AY$3,0),FALSE),1)</f>
        <v>7.2</v>
      </c>
      <c r="BV201" s="2">
        <f>IF(VLOOKUP(BJ201,坦克个性化设定!$B$18:$BC$48,MATCH("装弹类型",坦克个性化设定!$B$18:$BC$18,0),FALSE)="弹夹换弹",0,ROUND(VLOOKUP($BJ201,$AI$3:$AO$33,MATCH("换弹时间",$AI$3:$AO$3,0),FALSE)-$BL201/VLOOKUP(VLOOKUP($BJ201,坦克个性化设定!$B$18:$E$48,4,FALSE)&amp;$BK201,坦克属性分配比例,MATCH("升星次数",坦克属性分配比例标头,0),FALSE)*VLOOKUP($BJ201,$AR$3:$AY$33,MATCH("换弹时间",$AR$3:$AY$3,0),FALSE),2))</f>
        <v>2.2000000000000002</v>
      </c>
      <c r="BW201" s="2">
        <f>IF(VLOOKUP(BJ201,坦克个性化设定!$B$18:$BC$48,MATCH("装弹类型",坦克个性化设定!$B$18:$BC$18,0),FALSE)="弹夹换弹",ROUND(VLOOKUP($BJ201,$AI$3:$AO$33,MATCH("换弹时间",$AI$3:$AO$3,0),FALSE)-$BL201/VLOOKUP(VLOOKUP($BJ201,坦克个性化设定!$B$18:$E$48,4,FALSE)&amp;$BK201,坦克属性分配比例,MATCH("升星次数",坦克属性分配比例标头,0),FALSE)*VLOOKUP($BJ201,$AR$3:$AY$33,MATCH("换弹时间",$AR$3:$AY$3,0),FALSE),1),0)</f>
        <v>0</v>
      </c>
      <c r="BX201" s="2">
        <f>ROUND(VLOOKUP($BJ201,$AI$3:$AO$33,MATCH(BX$3,$AI$3:$AO$3,0),FALSE)+$BL201/VLOOKUP(VLOOKUP($BJ201,坦克个性化设定!$B$18:$E$48,4,FALSE)&amp;$BK201,坦克属性分配比例,MATCH("升星次数",坦克属性分配比例标头,0),FALSE)*VLOOKUP($BJ201,$AR$3:$AY$33,MATCH(BX$3,$AR$3:$AY$3,0),FALSE),2)</f>
        <v>0.4</v>
      </c>
      <c r="BY201" s="2">
        <f>ROUND(VLOOKUP($BJ201,$AI$3:$AO$33,MATCH(BY$3,$AI$3:$AO$3,0),FALSE)-$BL201/VLOOKUP(VLOOKUP($BJ201,坦克个性化设定!$B$18:$E$48,4,FALSE)&amp;$BK201,坦克属性分配比例,MATCH("升星次数",坦克属性分配比例标头,0),FALSE)*VLOOKUP($BJ201,$AR$3:$AY$33,MATCH(BY$3,$AR$3:$AY$3,0),FALSE),2)</f>
        <v>1.27</v>
      </c>
    </row>
    <row r="202" spans="60:77" x14ac:dyDescent="0.3">
      <c r="BH202" s="2" t="str">
        <f t="shared" si="30"/>
        <v>挑战者8</v>
      </c>
      <c r="BI202" s="2">
        <f>IF(BL201&gt;=VLOOKUP(VLOOKUP(BJ201,坦克个性化设定!$B$18:$E$48,4,FALSE)&amp;BK201,坦克属性分配比例,MATCH("升星次数",坦克属性分配比例标头,0),FALSE),BI201+1,BI201)</f>
        <v>20</v>
      </c>
      <c r="BJ202" s="2" t="str">
        <f t="shared" si="31"/>
        <v>挑战者</v>
      </c>
      <c r="BK202" s="29" t="str">
        <f>VLOOKUP(BJ202,坦克个性化细分!$I$3:$J$33,2,FALSE)</f>
        <v>低</v>
      </c>
      <c r="BL202" s="2">
        <f t="shared" si="29"/>
        <v>8</v>
      </c>
      <c r="BM202" s="103">
        <f ca="1">ROUND(VLOOKUP($BJ202&amp;"初始",$S$3:$AE$63,MATCH(BM$3,$S$3:$AE$3,0),FALSE)+((VLOOKUP($BJ202&amp;"最终",$S$3:$AE$63,MATCH(BM$3,$S$3:$AE$3,0),FALSE)*坦克个性化细分!$C$9-VLOOKUP($BJ202&amp;"初始",$S$3:$AE$63,MATCH(BM$3,$S$3:$AE$3,0),FALSE))-(VLOOKUP($BJ202&amp;"最终",$S$3:$AE$63,MATCH(BM$3,$S$3:$AE$3,0),FALSE)-VLOOKUP($BJ202&amp;"初始",$S$3:$AE$63,MATCH(BM$3,$S$3:$AE$3,0),FALSE))*VLOOKUP(VLOOKUP($BJ202,坦克个性化设定!$B$18:$E$48,4,FALSE)&amp;$BK202,坦克属性分配比例,MATCH("部件比例",坦克属性分配比例标头,0),FALSE))*$BL202/VLOOKUP(VLOOKUP($BJ202,坦克个性化设定!$B$18:$E$48,4,FALSE)&amp;$BK202,坦克属性分配比例,MATCH("升星次数",坦克属性分配比例标头,0),FALSE),0)</f>
        <v>3095</v>
      </c>
      <c r="BN202" s="103">
        <f ca="1">ROUND(VLOOKUP($BJ202&amp;"初始",$S$3:$AE$63,MATCH(BN$3,$S$3:$AE$3,0),FALSE)+(VLOOKUP($BJ202&amp;"最终",$S$3:$AE$63,MATCH(BN$3,$S$3:$AE$3,0),FALSE)-VLOOKUP($BJ202&amp;"初始",$S$3:$AE$63,MATCH(BN$3,$S$3:$AE$3,0),FALSE))*$BL202/VLOOKUP(VLOOKUP($BJ202,坦克个性化设定!$B$18:$E$48,4,FALSE)&amp;$BK202,坦克属性分配比例,MATCH("升星次数",坦克属性分配比例标头,0),FALSE)*VLOOKUP(VLOOKUP($BJ202,坦克个性化设定!$B$18:$E$48,4,FALSE)&amp;$BK202,坦克属性分配比例,MATCH("升星比例",坦克属性分配比例标头,0),FALSE),0)</f>
        <v>264</v>
      </c>
      <c r="BO202" s="103">
        <f ca="1">ROUND(VLOOKUP($BJ202&amp;"初始",$S$3:$AE$63,MATCH(BO$3,$S$3:$AE$3,0),FALSE)+(VLOOKUP($BJ202&amp;"最终",$S$3:$AE$63,MATCH(BO$3,$S$3:$AE$3,0),FALSE)-VLOOKUP($BJ202&amp;"初始",$S$3:$AE$63,MATCH(BO$3,$S$3:$AE$3,0),FALSE))*$BL202/VLOOKUP(VLOOKUP($BJ202,坦克个性化设定!$B$18:$E$48,4,FALSE)&amp;$BK202,坦克属性分配比例,MATCH("升星次数",坦克属性分配比例标头,0),FALSE)*(VLOOKUP(VLOOKUP($BJ202,坦克个性化设定!$B$18:$E$48,4,FALSE)&amp;$BK202,坦克属性分配比例,MATCH("升星比例",坦克属性分配比例标头,0),FALSE)+VLOOKUP(VLOOKUP($BJ202,坦克个性化设定!$B$18:$E$48,4,FALSE)&amp;$BK202,坦克属性分配比例,MATCH("部件比例",坦克属性分配比例标头,0),FALSE)*$C$3),0)</f>
        <v>1011</v>
      </c>
      <c r="BP202" s="103">
        <f ca="1">ROUND(VLOOKUP($BJ202&amp;"初始",$S$3:$AE$63,MATCH(BP$3,$S$3:$AE$3,0),FALSE)+(VLOOKUP($BJ202&amp;"最终",$S$3:$AE$63,MATCH(BP$3,$S$3:$AE$3,0),FALSE)-VLOOKUP($BJ202&amp;"初始",$S$3:$AE$63,MATCH(BP$3,$S$3:$AE$3,0),FALSE))*$BL202/VLOOKUP(VLOOKUP($BJ202,坦克个性化设定!$B$18:$E$48,4,FALSE)&amp;$BK202,坦克属性分配比例,MATCH("升星次数",坦克属性分配比例标头,0),FALSE)*(VLOOKUP(VLOOKUP($BJ202,坦克个性化设定!$B$18:$E$48,4,FALSE)&amp;$BK202,坦克属性分配比例,MATCH("升星比例",坦克属性分配比例标头,0),FALSE)+VLOOKUP(VLOOKUP($BJ202,坦克个性化设定!$B$18:$E$48,4,FALSE)&amp;$BK202,坦克属性分配比例,MATCH("部件比例",坦克属性分配比例标头,0),FALSE)*$C$3),0)</f>
        <v>758</v>
      </c>
      <c r="BQ202" s="103">
        <f ca="1">ROUND(VLOOKUP($BJ202&amp;"初始",$S$3:$AE$63,MATCH(BQ$3,$S$3:$AE$3,0),FALSE)+(VLOOKUP($BJ202&amp;"最终",$S$3:$AE$63,MATCH(BQ$3,$S$3:$AE$3,0),FALSE)-VLOOKUP($BJ202&amp;"初始",$S$3:$AE$63,MATCH(BQ$3,$S$3:$AE$3,0),FALSE))*$BL202/VLOOKUP(VLOOKUP($BJ202,坦克个性化设定!$B$18:$E$48,4,FALSE)&amp;$BK202,坦克属性分配比例,MATCH("升星次数",坦克属性分配比例标头,0),FALSE)*VLOOKUP(VLOOKUP($BJ202,坦克个性化设定!$B$18:$E$48,4,FALSE)&amp;$BK202,坦克属性分配比例,MATCH("升星比例",坦克属性分配比例标头,0),FALSE),0)</f>
        <v>1032</v>
      </c>
      <c r="BR202" s="2">
        <f ca="1">ROUND(VLOOKUP($BJ202&amp;"初始",$S$3:$AE$63,MATCH(BR$3,$S$3:$AE$3,0),FALSE)+(VLOOKUP($BJ202&amp;"最终",$S$3:$AE$63,MATCH(BR$3,$S$3:$AE$3,0),FALSE)-VLOOKUP($BJ202&amp;"初始",$S$3:$AE$63,MATCH(BR$3,$S$3:$AE$3,0),FALSE))*$BL202/VLOOKUP(VLOOKUP($BJ202,坦克个性化设定!$B$18:$E$48,4,FALSE)&amp;$BK202,坦克属性分配比例,MATCH("升星次数",坦克属性分配比例标头,0),FALSE),0)</f>
        <v>278</v>
      </c>
      <c r="BS202" s="2">
        <f>ROUND(VLOOKUP($BJ202,$AI$3:$AO$33,MATCH(BS$3,$AI$3:$AO$3,0),FALSE)+$BL202/VLOOKUP(VLOOKUP($BJ202,坦克个性化设定!$B$18:$E$48,4,FALSE)&amp;$BK202,坦克属性分配比例,MATCH("升星次数",坦克属性分配比例标头,0),FALSE)*VLOOKUP($BJ202,$AR$3:$AY$33,MATCH(BS$3,$AR$3:$AY$3,0),FALSE),1)</f>
        <v>41.1</v>
      </c>
      <c r="BT202" s="2">
        <f>ROUND(VLOOKUP($BJ202,$AI$3:$AO$33,MATCH(BT$3,$AI$3:$AO$3,0),FALSE)+$BL202/VLOOKUP(VLOOKUP($BJ202,坦克个性化设定!$B$18:$E$48,4,FALSE)&amp;$BK202,坦克属性分配比例,MATCH("升星次数",坦克属性分配比例标头,0),FALSE)*VLOOKUP($BJ202,$AR$3:$AY$33,MATCH(BT$3,$AR$3:$AY$3,0),FALSE),1)</f>
        <v>57.7</v>
      </c>
      <c r="BU202" s="2">
        <f>ROUND(VLOOKUP($BJ202,$AI$3:$AO$33,MATCH(BU$3,$AI$3:$AO$3,0),FALSE)+$BL202/VLOOKUP(VLOOKUP($BJ202,坦克个性化设定!$B$18:$E$48,4,FALSE)&amp;$BK202,坦克属性分配比例,MATCH("升星次数",坦克属性分配比例标头,0),FALSE)*VLOOKUP($BJ202,$AR$3:$AY$33,MATCH(BU$3,$AR$3:$AY$3,0),FALSE),1)</f>
        <v>7.2</v>
      </c>
      <c r="BV202" s="2">
        <f>IF(VLOOKUP(BJ202,坦克个性化设定!$B$18:$BC$48,MATCH("装弹类型",坦克个性化设定!$B$18:$BC$18,0),FALSE)="弹夹换弹",0,ROUND(VLOOKUP($BJ202,$AI$3:$AO$33,MATCH("换弹时间",$AI$3:$AO$3,0),FALSE)-$BL202/VLOOKUP(VLOOKUP($BJ202,坦克个性化设定!$B$18:$E$48,4,FALSE)&amp;$BK202,坦克属性分配比例,MATCH("升星次数",坦克属性分配比例标头,0),FALSE)*VLOOKUP($BJ202,$AR$3:$AY$33,MATCH("换弹时间",$AR$3:$AY$3,0),FALSE),2))</f>
        <v>2.17</v>
      </c>
      <c r="BW202" s="2">
        <f>IF(VLOOKUP(BJ202,坦克个性化设定!$B$18:$BC$48,MATCH("装弹类型",坦克个性化设定!$B$18:$BC$18,0),FALSE)="弹夹换弹",ROUND(VLOOKUP($BJ202,$AI$3:$AO$33,MATCH("换弹时间",$AI$3:$AO$3,0),FALSE)-$BL202/VLOOKUP(VLOOKUP($BJ202,坦克个性化设定!$B$18:$E$48,4,FALSE)&amp;$BK202,坦克属性分配比例,MATCH("升星次数",坦克属性分配比例标头,0),FALSE)*VLOOKUP($BJ202,$AR$3:$AY$33,MATCH("换弹时间",$AR$3:$AY$3,0),FALSE),1),0)</f>
        <v>0</v>
      </c>
      <c r="BX202" s="2">
        <f>ROUND(VLOOKUP($BJ202,$AI$3:$AO$33,MATCH(BX$3,$AI$3:$AO$3,0),FALSE)+$BL202/VLOOKUP(VLOOKUP($BJ202,坦克个性化设定!$B$18:$E$48,4,FALSE)&amp;$BK202,坦克属性分配比例,MATCH("升星次数",坦克属性分配比例标头,0),FALSE)*VLOOKUP($BJ202,$AR$3:$AY$33,MATCH(BX$3,$AR$3:$AY$3,0),FALSE),2)</f>
        <v>0.4</v>
      </c>
      <c r="BY202" s="2">
        <f>ROUND(VLOOKUP($BJ202,$AI$3:$AO$33,MATCH(BY$3,$AI$3:$AO$3,0),FALSE)-$BL202/VLOOKUP(VLOOKUP($BJ202,坦克个性化设定!$B$18:$E$48,4,FALSE)&amp;$BK202,坦克属性分配比例,MATCH("升星次数",坦克属性分配比例标头,0),FALSE)*VLOOKUP($BJ202,$AR$3:$AY$33,MATCH(BY$3,$AR$3:$AY$3,0),FALSE),2)</f>
        <v>1.26</v>
      </c>
    </row>
    <row r="203" spans="60:77" x14ac:dyDescent="0.3">
      <c r="BH203" s="2" t="str">
        <f t="shared" si="30"/>
        <v>挑战者9</v>
      </c>
      <c r="BI203" s="2">
        <f>IF(BL202&gt;=VLOOKUP(VLOOKUP(BJ202,坦克个性化设定!$B$18:$E$48,4,FALSE)&amp;BK202,坦克属性分配比例,MATCH("升星次数",坦克属性分配比例标头,0),FALSE),BI202+1,BI202)</f>
        <v>20</v>
      </c>
      <c r="BJ203" s="2" t="str">
        <f t="shared" si="31"/>
        <v>挑战者</v>
      </c>
      <c r="BK203" s="29" t="str">
        <f>VLOOKUP(BJ203,坦克个性化细分!$I$3:$J$33,2,FALSE)</f>
        <v>低</v>
      </c>
      <c r="BL203" s="2">
        <f t="shared" si="29"/>
        <v>9</v>
      </c>
      <c r="BM203" s="103">
        <f ca="1">ROUND(VLOOKUP($BJ203&amp;"初始",$S$3:$AE$63,MATCH(BM$3,$S$3:$AE$3,0),FALSE)+((VLOOKUP($BJ203&amp;"最终",$S$3:$AE$63,MATCH(BM$3,$S$3:$AE$3,0),FALSE)*坦克个性化细分!$C$9-VLOOKUP($BJ203&amp;"初始",$S$3:$AE$63,MATCH(BM$3,$S$3:$AE$3,0),FALSE))-(VLOOKUP($BJ203&amp;"最终",$S$3:$AE$63,MATCH(BM$3,$S$3:$AE$3,0),FALSE)-VLOOKUP($BJ203&amp;"初始",$S$3:$AE$63,MATCH(BM$3,$S$3:$AE$3,0),FALSE))*VLOOKUP(VLOOKUP($BJ203,坦克个性化设定!$B$18:$E$48,4,FALSE)&amp;$BK203,坦克属性分配比例,MATCH("部件比例",坦克属性分配比例标头,0),FALSE))*$BL203/VLOOKUP(VLOOKUP($BJ203,坦克个性化设定!$B$18:$E$48,4,FALSE)&amp;$BK203,坦克属性分配比例,MATCH("升星次数",坦克属性分配比例标头,0),FALSE),0)</f>
        <v>3175</v>
      </c>
      <c r="BN203" s="103">
        <f ca="1">ROUND(VLOOKUP($BJ203&amp;"初始",$S$3:$AE$63,MATCH(BN$3,$S$3:$AE$3,0),FALSE)+(VLOOKUP($BJ203&amp;"最终",$S$3:$AE$63,MATCH(BN$3,$S$3:$AE$3,0),FALSE)-VLOOKUP($BJ203&amp;"初始",$S$3:$AE$63,MATCH(BN$3,$S$3:$AE$3,0),FALSE))*$BL203/VLOOKUP(VLOOKUP($BJ203,坦克个性化设定!$B$18:$E$48,4,FALSE)&amp;$BK203,坦克属性分配比例,MATCH("升星次数",坦克属性分配比例标头,0),FALSE)*VLOOKUP(VLOOKUP($BJ203,坦克个性化设定!$B$18:$E$48,4,FALSE)&amp;$BK203,坦克属性分配比例,MATCH("升星比例",坦克属性分配比例标头,0),FALSE),0)</f>
        <v>268</v>
      </c>
      <c r="BO203" s="103">
        <f ca="1">ROUND(VLOOKUP($BJ203&amp;"初始",$S$3:$AE$63,MATCH(BO$3,$S$3:$AE$3,0),FALSE)+(VLOOKUP($BJ203&amp;"最终",$S$3:$AE$63,MATCH(BO$3,$S$3:$AE$3,0),FALSE)-VLOOKUP($BJ203&amp;"初始",$S$3:$AE$63,MATCH(BO$3,$S$3:$AE$3,0),FALSE))*$BL203/VLOOKUP(VLOOKUP($BJ203,坦克个性化设定!$B$18:$E$48,4,FALSE)&amp;$BK203,坦克属性分配比例,MATCH("升星次数",坦克属性分配比例标头,0),FALSE)*(VLOOKUP(VLOOKUP($BJ203,坦克个性化设定!$B$18:$E$48,4,FALSE)&amp;$BK203,坦克属性分配比例,MATCH("升星比例",坦克属性分配比例标头,0),FALSE)+VLOOKUP(VLOOKUP($BJ203,坦克个性化设定!$B$18:$E$48,4,FALSE)&amp;$BK203,坦克属性分配比例,MATCH("部件比例",坦克属性分配比例标头,0),FALSE)*$C$3),0)</f>
        <v>1033</v>
      </c>
      <c r="BP203" s="103">
        <f ca="1">ROUND(VLOOKUP($BJ203&amp;"初始",$S$3:$AE$63,MATCH(BP$3,$S$3:$AE$3,0),FALSE)+(VLOOKUP($BJ203&amp;"最终",$S$3:$AE$63,MATCH(BP$3,$S$3:$AE$3,0),FALSE)-VLOOKUP($BJ203&amp;"初始",$S$3:$AE$63,MATCH(BP$3,$S$3:$AE$3,0),FALSE))*$BL203/VLOOKUP(VLOOKUP($BJ203,坦克个性化设定!$B$18:$E$48,4,FALSE)&amp;$BK203,坦克属性分配比例,MATCH("升星次数",坦克属性分配比例标头,0),FALSE)*(VLOOKUP(VLOOKUP($BJ203,坦克个性化设定!$B$18:$E$48,4,FALSE)&amp;$BK203,坦克属性分配比例,MATCH("升星比例",坦克属性分配比例标头,0),FALSE)+VLOOKUP(VLOOKUP($BJ203,坦克个性化设定!$B$18:$E$48,4,FALSE)&amp;$BK203,坦克属性分配比例,MATCH("部件比例",坦克属性分配比例标头,0),FALSE)*$C$3),0)</f>
        <v>775</v>
      </c>
      <c r="BQ203" s="103">
        <f ca="1">ROUND(VLOOKUP($BJ203&amp;"初始",$S$3:$AE$63,MATCH(BQ$3,$S$3:$AE$3,0),FALSE)+(VLOOKUP($BJ203&amp;"最终",$S$3:$AE$63,MATCH(BQ$3,$S$3:$AE$3,0),FALSE)-VLOOKUP($BJ203&amp;"初始",$S$3:$AE$63,MATCH(BQ$3,$S$3:$AE$3,0),FALSE))*$BL203/VLOOKUP(VLOOKUP($BJ203,坦克个性化设定!$B$18:$E$48,4,FALSE)&amp;$BK203,坦克属性分配比例,MATCH("升星次数",坦克属性分配比例标头,0),FALSE)*VLOOKUP(VLOOKUP($BJ203,坦克个性化设定!$B$18:$E$48,4,FALSE)&amp;$BK203,坦克属性分配比例,MATCH("升星比例",坦克属性分配比例标头,0),FALSE),0)</f>
        <v>1048</v>
      </c>
      <c r="BR203" s="2">
        <f ca="1">ROUND(VLOOKUP($BJ203&amp;"初始",$S$3:$AE$63,MATCH(BR$3,$S$3:$AE$3,0),FALSE)+(VLOOKUP($BJ203&amp;"最终",$S$3:$AE$63,MATCH(BR$3,$S$3:$AE$3,0),FALSE)-VLOOKUP($BJ203&amp;"初始",$S$3:$AE$63,MATCH(BR$3,$S$3:$AE$3,0),FALSE))*$BL203/VLOOKUP(VLOOKUP($BJ203,坦克个性化设定!$B$18:$E$48,4,FALSE)&amp;$BK203,坦克属性分配比例,MATCH("升星次数",坦克属性分配比例标头,0),FALSE),0)</f>
        <v>285</v>
      </c>
      <c r="BS203" s="2">
        <f>ROUND(VLOOKUP($BJ203,$AI$3:$AO$33,MATCH(BS$3,$AI$3:$AO$3,0),FALSE)+$BL203/VLOOKUP(VLOOKUP($BJ203,坦克个性化设定!$B$18:$E$48,4,FALSE)&amp;$BK203,坦克属性分配比例,MATCH("升星次数",坦克属性分配比例标头,0),FALSE)*VLOOKUP($BJ203,$AR$3:$AY$33,MATCH(BS$3,$AR$3:$AY$3,0),FALSE),1)</f>
        <v>41.8</v>
      </c>
      <c r="BT203" s="2">
        <f>ROUND(VLOOKUP($BJ203,$AI$3:$AO$33,MATCH(BT$3,$AI$3:$AO$3,0),FALSE)+$BL203/VLOOKUP(VLOOKUP($BJ203,坦克个性化设定!$B$18:$E$48,4,FALSE)&amp;$BK203,坦克属性分配比例,MATCH("升星次数",坦克属性分配比例标头,0),FALSE)*VLOOKUP($BJ203,$AR$3:$AY$33,MATCH(BT$3,$AR$3:$AY$3,0),FALSE),1)</f>
        <v>58.7</v>
      </c>
      <c r="BU203" s="2">
        <f>ROUND(VLOOKUP($BJ203,$AI$3:$AO$33,MATCH(BU$3,$AI$3:$AO$3,0),FALSE)+$BL203/VLOOKUP(VLOOKUP($BJ203,坦克个性化设定!$B$18:$E$48,4,FALSE)&amp;$BK203,坦克属性分配比例,MATCH("升星次数",坦克属性分配比例标头,0),FALSE)*VLOOKUP($BJ203,$AR$3:$AY$33,MATCH(BU$3,$AR$3:$AY$3,0),FALSE),1)</f>
        <v>7.2</v>
      </c>
      <c r="BV203" s="2">
        <f>IF(VLOOKUP(BJ203,坦克个性化设定!$B$18:$BC$48,MATCH("装弹类型",坦克个性化设定!$B$18:$BC$18,0),FALSE)="弹夹换弹",0,ROUND(VLOOKUP($BJ203,$AI$3:$AO$33,MATCH("换弹时间",$AI$3:$AO$3,0),FALSE)-$BL203/VLOOKUP(VLOOKUP($BJ203,坦克个性化设定!$B$18:$E$48,4,FALSE)&amp;$BK203,坦克属性分配比例,MATCH("升星次数",坦克属性分配比例标头,0),FALSE)*VLOOKUP($BJ203,$AR$3:$AY$33,MATCH("换弹时间",$AR$3:$AY$3,0),FALSE),2))</f>
        <v>2.14</v>
      </c>
      <c r="BW203" s="2">
        <f>IF(VLOOKUP(BJ203,坦克个性化设定!$B$18:$BC$48,MATCH("装弹类型",坦克个性化设定!$B$18:$BC$18,0),FALSE)="弹夹换弹",ROUND(VLOOKUP($BJ203,$AI$3:$AO$33,MATCH("换弹时间",$AI$3:$AO$3,0),FALSE)-$BL203/VLOOKUP(VLOOKUP($BJ203,坦克个性化设定!$B$18:$E$48,4,FALSE)&amp;$BK203,坦克属性分配比例,MATCH("升星次数",坦克属性分配比例标头,0),FALSE)*VLOOKUP($BJ203,$AR$3:$AY$33,MATCH("换弹时间",$AR$3:$AY$3,0),FALSE),1),0)</f>
        <v>0</v>
      </c>
      <c r="BX203" s="2">
        <f>ROUND(VLOOKUP($BJ203,$AI$3:$AO$33,MATCH(BX$3,$AI$3:$AO$3,0),FALSE)+$BL203/VLOOKUP(VLOOKUP($BJ203,坦克个性化设定!$B$18:$E$48,4,FALSE)&amp;$BK203,坦克属性分配比例,MATCH("升星次数",坦克属性分配比例标头,0),FALSE)*VLOOKUP($BJ203,$AR$3:$AY$33,MATCH(BX$3,$AR$3:$AY$3,0),FALSE),2)</f>
        <v>0.4</v>
      </c>
      <c r="BY203" s="2">
        <f>ROUND(VLOOKUP($BJ203,$AI$3:$AO$33,MATCH(BY$3,$AI$3:$AO$3,0),FALSE)-$BL203/VLOOKUP(VLOOKUP($BJ203,坦克个性化设定!$B$18:$E$48,4,FALSE)&amp;$BK203,坦克属性分配比例,MATCH("升星次数",坦克属性分配比例标头,0),FALSE)*VLOOKUP($BJ203,$AR$3:$AY$33,MATCH(BY$3,$AR$3:$AY$3,0),FALSE),2)</f>
        <v>1.24</v>
      </c>
    </row>
    <row r="204" spans="60:77" x14ac:dyDescent="0.3">
      <c r="BH204" s="2" t="str">
        <f t="shared" si="30"/>
        <v>挑战者10</v>
      </c>
      <c r="BI204" s="2">
        <f>IF(BL203&gt;=VLOOKUP(VLOOKUP(BJ203,坦克个性化设定!$B$18:$E$48,4,FALSE)&amp;BK203,坦克属性分配比例,MATCH("升星次数",坦克属性分配比例标头,0),FALSE),BI203+1,BI203)</f>
        <v>20</v>
      </c>
      <c r="BJ204" s="2" t="str">
        <f t="shared" si="31"/>
        <v>挑战者</v>
      </c>
      <c r="BK204" s="29" t="str">
        <f>VLOOKUP(BJ204,坦克个性化细分!$I$3:$J$33,2,FALSE)</f>
        <v>低</v>
      </c>
      <c r="BL204" s="2">
        <f t="shared" si="29"/>
        <v>10</v>
      </c>
      <c r="BM204" s="103">
        <f ca="1">ROUND(VLOOKUP($BJ204&amp;"初始",$S$3:$AE$63,MATCH(BM$3,$S$3:$AE$3,0),FALSE)+((VLOOKUP($BJ204&amp;"最终",$S$3:$AE$63,MATCH(BM$3,$S$3:$AE$3,0),FALSE)*坦克个性化细分!$C$9-VLOOKUP($BJ204&amp;"初始",$S$3:$AE$63,MATCH(BM$3,$S$3:$AE$3,0),FALSE))-(VLOOKUP($BJ204&amp;"最终",$S$3:$AE$63,MATCH(BM$3,$S$3:$AE$3,0),FALSE)-VLOOKUP($BJ204&amp;"初始",$S$3:$AE$63,MATCH(BM$3,$S$3:$AE$3,0),FALSE))*VLOOKUP(VLOOKUP($BJ204,坦克个性化设定!$B$18:$E$48,4,FALSE)&amp;$BK204,坦克属性分配比例,MATCH("部件比例",坦克属性分配比例标头,0),FALSE))*$BL204/VLOOKUP(VLOOKUP($BJ204,坦克个性化设定!$B$18:$E$48,4,FALSE)&amp;$BK204,坦克属性分配比例,MATCH("升星次数",坦克属性分配比例标头,0),FALSE),0)</f>
        <v>3255</v>
      </c>
      <c r="BN204" s="103">
        <f ca="1">ROUND(VLOOKUP($BJ204&amp;"初始",$S$3:$AE$63,MATCH(BN$3,$S$3:$AE$3,0),FALSE)+(VLOOKUP($BJ204&amp;"最终",$S$3:$AE$63,MATCH(BN$3,$S$3:$AE$3,0),FALSE)-VLOOKUP($BJ204&amp;"初始",$S$3:$AE$63,MATCH(BN$3,$S$3:$AE$3,0),FALSE))*$BL204/VLOOKUP(VLOOKUP($BJ204,坦克个性化设定!$B$18:$E$48,4,FALSE)&amp;$BK204,坦克属性分配比例,MATCH("升星次数",坦克属性分配比例标头,0),FALSE)*VLOOKUP(VLOOKUP($BJ204,坦克个性化设定!$B$18:$E$48,4,FALSE)&amp;$BK204,坦克属性分配比例,MATCH("升星比例",坦克属性分配比例标头,0),FALSE),0)</f>
        <v>272</v>
      </c>
      <c r="BO204" s="103">
        <f ca="1">ROUND(VLOOKUP($BJ204&amp;"初始",$S$3:$AE$63,MATCH(BO$3,$S$3:$AE$3,0),FALSE)+(VLOOKUP($BJ204&amp;"最终",$S$3:$AE$63,MATCH(BO$3,$S$3:$AE$3,0),FALSE)-VLOOKUP($BJ204&amp;"初始",$S$3:$AE$63,MATCH(BO$3,$S$3:$AE$3,0),FALSE))*$BL204/VLOOKUP(VLOOKUP($BJ204,坦克个性化设定!$B$18:$E$48,4,FALSE)&amp;$BK204,坦克属性分配比例,MATCH("升星次数",坦克属性分配比例标头,0),FALSE)*(VLOOKUP(VLOOKUP($BJ204,坦克个性化设定!$B$18:$E$48,4,FALSE)&amp;$BK204,坦克属性分配比例,MATCH("升星比例",坦克属性分配比例标头,0),FALSE)+VLOOKUP(VLOOKUP($BJ204,坦克个性化设定!$B$18:$E$48,4,FALSE)&amp;$BK204,坦克属性分配比例,MATCH("部件比例",坦克属性分配比例标头,0),FALSE)*$C$3),0)</f>
        <v>1056</v>
      </c>
      <c r="BP204" s="103">
        <f ca="1">ROUND(VLOOKUP($BJ204&amp;"初始",$S$3:$AE$63,MATCH(BP$3,$S$3:$AE$3,0),FALSE)+(VLOOKUP($BJ204&amp;"最终",$S$3:$AE$63,MATCH(BP$3,$S$3:$AE$3,0),FALSE)-VLOOKUP($BJ204&amp;"初始",$S$3:$AE$63,MATCH(BP$3,$S$3:$AE$3,0),FALSE))*$BL204/VLOOKUP(VLOOKUP($BJ204,坦克个性化设定!$B$18:$E$48,4,FALSE)&amp;$BK204,坦克属性分配比例,MATCH("升星次数",坦克属性分配比例标头,0),FALSE)*(VLOOKUP(VLOOKUP($BJ204,坦克个性化设定!$B$18:$E$48,4,FALSE)&amp;$BK204,坦克属性分配比例,MATCH("升星比例",坦克属性分配比例标头,0),FALSE)+VLOOKUP(VLOOKUP($BJ204,坦克个性化设定!$B$18:$E$48,4,FALSE)&amp;$BK204,坦克属性分配比例,MATCH("部件比例",坦克属性分配比例标头,0),FALSE)*$C$3),0)</f>
        <v>792</v>
      </c>
      <c r="BQ204" s="103">
        <f ca="1">ROUND(VLOOKUP($BJ204&amp;"初始",$S$3:$AE$63,MATCH(BQ$3,$S$3:$AE$3,0),FALSE)+(VLOOKUP($BJ204&amp;"最终",$S$3:$AE$63,MATCH(BQ$3,$S$3:$AE$3,0),FALSE)-VLOOKUP($BJ204&amp;"初始",$S$3:$AE$63,MATCH(BQ$3,$S$3:$AE$3,0),FALSE))*$BL204/VLOOKUP(VLOOKUP($BJ204,坦克个性化设定!$B$18:$E$48,4,FALSE)&amp;$BK204,坦克属性分配比例,MATCH("升星次数",坦克属性分配比例标头,0),FALSE)*VLOOKUP(VLOOKUP($BJ204,坦克个性化设定!$B$18:$E$48,4,FALSE)&amp;$BK204,坦克属性分配比例,MATCH("升星比例",坦克属性分配比例标头,0),FALSE),0)</f>
        <v>1064</v>
      </c>
      <c r="BR204" s="2">
        <f ca="1">ROUND(VLOOKUP($BJ204&amp;"初始",$S$3:$AE$63,MATCH(BR$3,$S$3:$AE$3,0),FALSE)+(VLOOKUP($BJ204&amp;"最终",$S$3:$AE$63,MATCH(BR$3,$S$3:$AE$3,0),FALSE)-VLOOKUP($BJ204&amp;"初始",$S$3:$AE$63,MATCH(BR$3,$S$3:$AE$3,0),FALSE))*$BL204/VLOOKUP(VLOOKUP($BJ204,坦克个性化设定!$B$18:$E$48,4,FALSE)&amp;$BK204,坦克属性分配比例,MATCH("升星次数",坦克属性分配比例标头,0),FALSE),0)</f>
        <v>293</v>
      </c>
      <c r="BS204" s="2">
        <f>ROUND(VLOOKUP($BJ204,$AI$3:$AO$33,MATCH(BS$3,$AI$3:$AO$3,0),FALSE)+$BL204/VLOOKUP(VLOOKUP($BJ204,坦克个性化设定!$B$18:$E$48,4,FALSE)&amp;$BK204,坦克属性分配比例,MATCH("升星次数",坦克属性分配比例标头,0),FALSE)*VLOOKUP($BJ204,$AR$3:$AY$33,MATCH(BS$3,$AR$3:$AY$3,0),FALSE),1)</f>
        <v>42.4</v>
      </c>
      <c r="BT204" s="2">
        <f>ROUND(VLOOKUP($BJ204,$AI$3:$AO$33,MATCH(BT$3,$AI$3:$AO$3,0),FALSE)+$BL204/VLOOKUP(VLOOKUP($BJ204,坦克个性化设定!$B$18:$E$48,4,FALSE)&amp;$BK204,坦克属性分配比例,MATCH("升星次数",坦克属性分配比例标头,0),FALSE)*VLOOKUP($BJ204,$AR$3:$AY$33,MATCH(BT$3,$AR$3:$AY$3,0),FALSE),1)</f>
        <v>59.6</v>
      </c>
      <c r="BU204" s="2">
        <f>ROUND(VLOOKUP($BJ204,$AI$3:$AO$33,MATCH(BU$3,$AI$3:$AO$3,0),FALSE)+$BL204/VLOOKUP(VLOOKUP($BJ204,坦克个性化设定!$B$18:$E$48,4,FALSE)&amp;$BK204,坦克属性分配比例,MATCH("升星次数",坦克属性分配比例标头,0),FALSE)*VLOOKUP($BJ204,$AR$3:$AY$33,MATCH(BU$3,$AR$3:$AY$3,0),FALSE),1)</f>
        <v>7.2</v>
      </c>
      <c r="BV204" s="2">
        <f>IF(VLOOKUP(BJ204,坦克个性化设定!$B$18:$BC$48,MATCH("装弹类型",坦克个性化设定!$B$18:$BC$18,0),FALSE)="弹夹换弹",0,ROUND(VLOOKUP($BJ204,$AI$3:$AO$33,MATCH("换弹时间",$AI$3:$AO$3,0),FALSE)-$BL204/VLOOKUP(VLOOKUP($BJ204,坦克个性化设定!$B$18:$E$48,4,FALSE)&amp;$BK204,坦克属性分配比例,MATCH("升星次数",坦克属性分配比例标头,0),FALSE)*VLOOKUP($BJ204,$AR$3:$AY$33,MATCH("换弹时间",$AR$3:$AY$3,0),FALSE),2))</f>
        <v>2.11</v>
      </c>
      <c r="BW204" s="2">
        <f>IF(VLOOKUP(BJ204,坦克个性化设定!$B$18:$BC$48,MATCH("装弹类型",坦克个性化设定!$B$18:$BC$18,0),FALSE)="弹夹换弹",ROUND(VLOOKUP($BJ204,$AI$3:$AO$33,MATCH("换弹时间",$AI$3:$AO$3,0),FALSE)-$BL204/VLOOKUP(VLOOKUP($BJ204,坦克个性化设定!$B$18:$E$48,4,FALSE)&amp;$BK204,坦克属性分配比例,MATCH("升星次数",坦克属性分配比例标头,0),FALSE)*VLOOKUP($BJ204,$AR$3:$AY$33,MATCH("换弹时间",$AR$3:$AY$3,0),FALSE),1),0)</f>
        <v>0</v>
      </c>
      <c r="BX204" s="2">
        <f>ROUND(VLOOKUP($BJ204,$AI$3:$AO$33,MATCH(BX$3,$AI$3:$AO$3,0),FALSE)+$BL204/VLOOKUP(VLOOKUP($BJ204,坦克个性化设定!$B$18:$E$48,4,FALSE)&amp;$BK204,坦克属性分配比例,MATCH("升星次数",坦克属性分配比例标头,0),FALSE)*VLOOKUP($BJ204,$AR$3:$AY$33,MATCH(BX$3,$AR$3:$AY$3,0),FALSE),2)</f>
        <v>0.4</v>
      </c>
      <c r="BY204" s="2">
        <f>ROUND(VLOOKUP($BJ204,$AI$3:$AO$33,MATCH(BY$3,$AI$3:$AO$3,0),FALSE)-$BL204/VLOOKUP(VLOOKUP($BJ204,坦克个性化设定!$B$18:$E$48,4,FALSE)&amp;$BK204,坦克属性分配比例,MATCH("升星次数",坦克属性分配比例标头,0),FALSE)*VLOOKUP($BJ204,$AR$3:$AY$33,MATCH(BY$3,$AR$3:$AY$3,0),FALSE),2)</f>
        <v>1.22</v>
      </c>
    </row>
    <row r="205" spans="60:77" x14ac:dyDescent="0.3">
      <c r="BH205" s="2" t="str">
        <f t="shared" ref="BH205:BH253" si="32">BJ205&amp;BL205</f>
        <v>挑战者11</v>
      </c>
      <c r="BI205" s="2">
        <f>IF(BL204&gt;=VLOOKUP(VLOOKUP(BJ204,坦克个性化设定!$B$18:$E$48,4,FALSE)&amp;BK204,坦克属性分配比例,MATCH("升星次数",坦克属性分配比例标头,0),FALSE),BI204+1,BI204)</f>
        <v>20</v>
      </c>
      <c r="BJ205" s="2" t="str">
        <f t="shared" ref="BJ205:BJ253" si="33">VLOOKUP(BI205,$B$5:$C$35,2,FALSE)</f>
        <v>挑战者</v>
      </c>
      <c r="BK205" s="29" t="str">
        <f>VLOOKUP(BJ205,坦克个性化细分!$I$3:$J$33,2,FALSE)</f>
        <v>低</v>
      </c>
      <c r="BL205" s="2">
        <f t="shared" ref="BL205:BL253" si="34">IF(BJ205&lt;&gt;BJ204,0,BL204+1)</f>
        <v>11</v>
      </c>
      <c r="BM205" s="103">
        <f ca="1">ROUND(VLOOKUP($BJ205&amp;"初始",$S$3:$AE$63,MATCH(BM$3,$S$3:$AE$3,0),FALSE)+((VLOOKUP($BJ205&amp;"最终",$S$3:$AE$63,MATCH(BM$3,$S$3:$AE$3,0),FALSE)*坦克个性化细分!$C$9-VLOOKUP($BJ205&amp;"初始",$S$3:$AE$63,MATCH(BM$3,$S$3:$AE$3,0),FALSE))-(VLOOKUP($BJ205&amp;"最终",$S$3:$AE$63,MATCH(BM$3,$S$3:$AE$3,0),FALSE)-VLOOKUP($BJ205&amp;"初始",$S$3:$AE$63,MATCH(BM$3,$S$3:$AE$3,0),FALSE))*VLOOKUP(VLOOKUP($BJ205,坦克个性化设定!$B$18:$E$48,4,FALSE)&amp;$BK205,坦克属性分配比例,MATCH("部件比例",坦克属性分配比例标头,0),FALSE))*$BL205/VLOOKUP(VLOOKUP($BJ205,坦克个性化设定!$B$18:$E$48,4,FALSE)&amp;$BK205,坦克属性分配比例,MATCH("升星次数",坦克属性分配比例标头,0),FALSE),0)</f>
        <v>3335</v>
      </c>
      <c r="BN205" s="103">
        <f ca="1">ROUND(VLOOKUP($BJ205&amp;"初始",$S$3:$AE$63,MATCH(BN$3,$S$3:$AE$3,0),FALSE)+(VLOOKUP($BJ205&amp;"最终",$S$3:$AE$63,MATCH(BN$3,$S$3:$AE$3,0),FALSE)-VLOOKUP($BJ205&amp;"初始",$S$3:$AE$63,MATCH(BN$3,$S$3:$AE$3,0),FALSE))*$BL205/VLOOKUP(VLOOKUP($BJ205,坦克个性化设定!$B$18:$E$48,4,FALSE)&amp;$BK205,坦克属性分配比例,MATCH("升星次数",坦克属性分配比例标头,0),FALSE)*VLOOKUP(VLOOKUP($BJ205,坦克个性化设定!$B$18:$E$48,4,FALSE)&amp;$BK205,坦克属性分配比例,MATCH("升星比例",坦克属性分配比例标头,0),FALSE),0)</f>
        <v>276</v>
      </c>
      <c r="BO205" s="103">
        <f ca="1">ROUND(VLOOKUP($BJ205&amp;"初始",$S$3:$AE$63,MATCH(BO$3,$S$3:$AE$3,0),FALSE)+(VLOOKUP($BJ205&amp;"最终",$S$3:$AE$63,MATCH(BO$3,$S$3:$AE$3,0),FALSE)-VLOOKUP($BJ205&amp;"初始",$S$3:$AE$63,MATCH(BO$3,$S$3:$AE$3,0),FALSE))*$BL205/VLOOKUP(VLOOKUP($BJ205,坦克个性化设定!$B$18:$E$48,4,FALSE)&amp;$BK205,坦克属性分配比例,MATCH("升星次数",坦克属性分配比例标头,0),FALSE)*(VLOOKUP(VLOOKUP($BJ205,坦克个性化设定!$B$18:$E$48,4,FALSE)&amp;$BK205,坦克属性分配比例,MATCH("升星比例",坦克属性分配比例标头,0),FALSE)+VLOOKUP(VLOOKUP($BJ205,坦克个性化设定!$B$18:$E$48,4,FALSE)&amp;$BK205,坦克属性分配比例,MATCH("部件比例",坦克属性分配比例标头,0),FALSE)*$C$3),0)</f>
        <v>1079</v>
      </c>
      <c r="BP205" s="103">
        <f ca="1">ROUND(VLOOKUP($BJ205&amp;"初始",$S$3:$AE$63,MATCH(BP$3,$S$3:$AE$3,0),FALSE)+(VLOOKUP($BJ205&amp;"最终",$S$3:$AE$63,MATCH(BP$3,$S$3:$AE$3,0),FALSE)-VLOOKUP($BJ205&amp;"初始",$S$3:$AE$63,MATCH(BP$3,$S$3:$AE$3,0),FALSE))*$BL205/VLOOKUP(VLOOKUP($BJ205,坦克个性化设定!$B$18:$E$48,4,FALSE)&amp;$BK205,坦克属性分配比例,MATCH("升星次数",坦克属性分配比例标头,0),FALSE)*(VLOOKUP(VLOOKUP($BJ205,坦克个性化设定!$B$18:$E$48,4,FALSE)&amp;$BK205,坦克属性分配比例,MATCH("升星比例",坦克属性分配比例标头,0),FALSE)+VLOOKUP(VLOOKUP($BJ205,坦克个性化设定!$B$18:$E$48,4,FALSE)&amp;$BK205,坦克属性分配比例,MATCH("部件比例",坦克属性分配比例标头,0),FALSE)*$C$3),0)</f>
        <v>809</v>
      </c>
      <c r="BQ205" s="103">
        <f ca="1">ROUND(VLOOKUP($BJ205&amp;"初始",$S$3:$AE$63,MATCH(BQ$3,$S$3:$AE$3,0),FALSE)+(VLOOKUP($BJ205&amp;"最终",$S$3:$AE$63,MATCH(BQ$3,$S$3:$AE$3,0),FALSE)-VLOOKUP($BJ205&amp;"初始",$S$3:$AE$63,MATCH(BQ$3,$S$3:$AE$3,0),FALSE))*$BL205/VLOOKUP(VLOOKUP($BJ205,坦克个性化设定!$B$18:$E$48,4,FALSE)&amp;$BK205,坦克属性分配比例,MATCH("升星次数",坦克属性分配比例标头,0),FALSE)*VLOOKUP(VLOOKUP($BJ205,坦克个性化设定!$B$18:$E$48,4,FALSE)&amp;$BK205,坦克属性分配比例,MATCH("升星比例",坦克属性分配比例标头,0),FALSE),0)</f>
        <v>1079</v>
      </c>
      <c r="BR205" s="2">
        <f ca="1">ROUND(VLOOKUP($BJ205&amp;"初始",$S$3:$AE$63,MATCH(BR$3,$S$3:$AE$3,0),FALSE)+(VLOOKUP($BJ205&amp;"最终",$S$3:$AE$63,MATCH(BR$3,$S$3:$AE$3,0),FALSE)-VLOOKUP($BJ205&amp;"初始",$S$3:$AE$63,MATCH(BR$3,$S$3:$AE$3,0),FALSE))*$BL205/VLOOKUP(VLOOKUP($BJ205,坦克个性化设定!$B$18:$E$48,4,FALSE)&amp;$BK205,坦克属性分配比例,MATCH("升星次数",坦克属性分配比例标头,0),FALSE),0)</f>
        <v>300</v>
      </c>
      <c r="BS205" s="2">
        <f>ROUND(VLOOKUP($BJ205,$AI$3:$AO$33,MATCH(BS$3,$AI$3:$AO$3,0),FALSE)+$BL205/VLOOKUP(VLOOKUP($BJ205,坦克个性化设定!$B$18:$E$48,4,FALSE)&amp;$BK205,坦克属性分配比例,MATCH("升星次数",坦克属性分配比例标头,0),FALSE)*VLOOKUP($BJ205,$AR$3:$AY$33,MATCH(BS$3,$AR$3:$AY$3,0),FALSE),1)</f>
        <v>43.1</v>
      </c>
      <c r="BT205" s="2">
        <f>ROUND(VLOOKUP($BJ205,$AI$3:$AO$33,MATCH(BT$3,$AI$3:$AO$3,0),FALSE)+$BL205/VLOOKUP(VLOOKUP($BJ205,坦克个性化设定!$B$18:$E$48,4,FALSE)&amp;$BK205,坦克属性分配比例,MATCH("升星次数",坦克属性分配比例标头,0),FALSE)*VLOOKUP($BJ205,$AR$3:$AY$33,MATCH(BT$3,$AR$3:$AY$3,0),FALSE),1)</f>
        <v>60.6</v>
      </c>
      <c r="BU205" s="2">
        <f>ROUND(VLOOKUP($BJ205,$AI$3:$AO$33,MATCH(BU$3,$AI$3:$AO$3,0),FALSE)+$BL205/VLOOKUP(VLOOKUP($BJ205,坦克个性化设定!$B$18:$E$48,4,FALSE)&amp;$BK205,坦克属性分配比例,MATCH("升星次数",坦克属性分配比例标头,0),FALSE)*VLOOKUP($BJ205,$AR$3:$AY$33,MATCH(BU$3,$AR$3:$AY$3,0),FALSE),1)</f>
        <v>7.2</v>
      </c>
      <c r="BV205" s="2">
        <f>IF(VLOOKUP(BJ205,坦克个性化设定!$B$18:$BC$48,MATCH("装弹类型",坦克个性化设定!$B$18:$BC$18,0),FALSE)="弹夹换弹",0,ROUND(VLOOKUP($BJ205,$AI$3:$AO$33,MATCH("换弹时间",$AI$3:$AO$3,0),FALSE)-$BL205/VLOOKUP(VLOOKUP($BJ205,坦克个性化设定!$B$18:$E$48,4,FALSE)&amp;$BK205,坦克属性分配比例,MATCH("升星次数",坦克属性分配比例标头,0),FALSE)*VLOOKUP($BJ205,$AR$3:$AY$33,MATCH("换弹时间",$AR$3:$AY$3,0),FALSE),2))</f>
        <v>2.08</v>
      </c>
      <c r="BW205" s="2">
        <f>IF(VLOOKUP(BJ205,坦克个性化设定!$B$18:$BC$48,MATCH("装弹类型",坦克个性化设定!$B$18:$BC$18,0),FALSE)="弹夹换弹",ROUND(VLOOKUP($BJ205,$AI$3:$AO$33,MATCH("换弹时间",$AI$3:$AO$3,0),FALSE)-$BL205/VLOOKUP(VLOOKUP($BJ205,坦克个性化设定!$B$18:$E$48,4,FALSE)&amp;$BK205,坦克属性分配比例,MATCH("升星次数",坦克属性分配比例标头,0),FALSE)*VLOOKUP($BJ205,$AR$3:$AY$33,MATCH("换弹时间",$AR$3:$AY$3,0),FALSE),1),0)</f>
        <v>0</v>
      </c>
      <c r="BX205" s="2">
        <f>ROUND(VLOOKUP($BJ205,$AI$3:$AO$33,MATCH(BX$3,$AI$3:$AO$3,0),FALSE)+$BL205/VLOOKUP(VLOOKUP($BJ205,坦克个性化设定!$B$18:$E$48,4,FALSE)&amp;$BK205,坦克属性分配比例,MATCH("升星次数",坦克属性分配比例标头,0),FALSE)*VLOOKUP($BJ205,$AR$3:$AY$33,MATCH(BX$3,$AR$3:$AY$3,0),FALSE),2)</f>
        <v>0.4</v>
      </c>
      <c r="BY205" s="2">
        <f>ROUND(VLOOKUP($BJ205,$AI$3:$AO$33,MATCH(BY$3,$AI$3:$AO$3,0),FALSE)-$BL205/VLOOKUP(VLOOKUP($BJ205,坦克个性化设定!$B$18:$E$48,4,FALSE)&amp;$BK205,坦克属性分配比例,MATCH("升星次数",坦克属性分配比例标头,0),FALSE)*VLOOKUP($BJ205,$AR$3:$AY$33,MATCH(BY$3,$AR$3:$AY$3,0),FALSE),2)</f>
        <v>1.2</v>
      </c>
    </row>
    <row r="206" spans="60:77" x14ac:dyDescent="0.3">
      <c r="BH206" s="2" t="str">
        <f t="shared" si="32"/>
        <v>挑战者12</v>
      </c>
      <c r="BI206" s="2">
        <f>IF(BL205&gt;=VLOOKUP(VLOOKUP(BJ205,坦克个性化设定!$B$18:$E$48,4,FALSE)&amp;BK205,坦克属性分配比例,MATCH("升星次数",坦克属性分配比例标头,0),FALSE),BI205+1,BI205)</f>
        <v>20</v>
      </c>
      <c r="BJ206" s="2" t="str">
        <f t="shared" si="33"/>
        <v>挑战者</v>
      </c>
      <c r="BK206" s="29" t="str">
        <f>VLOOKUP(BJ206,坦克个性化细分!$I$3:$J$33,2,FALSE)</f>
        <v>低</v>
      </c>
      <c r="BL206" s="2">
        <f t="shared" si="34"/>
        <v>12</v>
      </c>
      <c r="BM206" s="103">
        <f ca="1">ROUND(VLOOKUP($BJ206&amp;"初始",$S$3:$AE$63,MATCH(BM$3,$S$3:$AE$3,0),FALSE)+((VLOOKUP($BJ206&amp;"最终",$S$3:$AE$63,MATCH(BM$3,$S$3:$AE$3,0),FALSE)*坦克个性化细分!$C$9-VLOOKUP($BJ206&amp;"初始",$S$3:$AE$63,MATCH(BM$3,$S$3:$AE$3,0),FALSE))-(VLOOKUP($BJ206&amp;"最终",$S$3:$AE$63,MATCH(BM$3,$S$3:$AE$3,0),FALSE)-VLOOKUP($BJ206&amp;"初始",$S$3:$AE$63,MATCH(BM$3,$S$3:$AE$3,0),FALSE))*VLOOKUP(VLOOKUP($BJ206,坦克个性化设定!$B$18:$E$48,4,FALSE)&amp;$BK206,坦克属性分配比例,MATCH("部件比例",坦克属性分配比例标头,0),FALSE))*$BL206/VLOOKUP(VLOOKUP($BJ206,坦克个性化设定!$B$18:$E$48,4,FALSE)&amp;$BK206,坦克属性分配比例,MATCH("升星次数",坦克属性分配比例标头,0),FALSE),0)</f>
        <v>3415</v>
      </c>
      <c r="BN206" s="103">
        <f ca="1">ROUND(VLOOKUP($BJ206&amp;"初始",$S$3:$AE$63,MATCH(BN$3,$S$3:$AE$3,0),FALSE)+(VLOOKUP($BJ206&amp;"最终",$S$3:$AE$63,MATCH(BN$3,$S$3:$AE$3,0),FALSE)-VLOOKUP($BJ206&amp;"初始",$S$3:$AE$63,MATCH(BN$3,$S$3:$AE$3,0),FALSE))*$BL206/VLOOKUP(VLOOKUP($BJ206,坦克个性化设定!$B$18:$E$48,4,FALSE)&amp;$BK206,坦克属性分配比例,MATCH("升星次数",坦克属性分配比例标头,0),FALSE)*VLOOKUP(VLOOKUP($BJ206,坦克个性化设定!$B$18:$E$48,4,FALSE)&amp;$BK206,坦克属性分配比例,MATCH("升星比例",坦克属性分配比例标头,0),FALSE),0)</f>
        <v>280</v>
      </c>
      <c r="BO206" s="103">
        <f ca="1">ROUND(VLOOKUP($BJ206&amp;"初始",$S$3:$AE$63,MATCH(BO$3,$S$3:$AE$3,0),FALSE)+(VLOOKUP($BJ206&amp;"最终",$S$3:$AE$63,MATCH(BO$3,$S$3:$AE$3,0),FALSE)-VLOOKUP($BJ206&amp;"初始",$S$3:$AE$63,MATCH(BO$3,$S$3:$AE$3,0),FALSE))*$BL206/VLOOKUP(VLOOKUP($BJ206,坦克个性化设定!$B$18:$E$48,4,FALSE)&amp;$BK206,坦克属性分配比例,MATCH("升星次数",坦克属性分配比例标头,0),FALSE)*(VLOOKUP(VLOOKUP($BJ206,坦克个性化设定!$B$18:$E$48,4,FALSE)&amp;$BK206,坦克属性分配比例,MATCH("升星比例",坦克属性分配比例标头,0),FALSE)+VLOOKUP(VLOOKUP($BJ206,坦克个性化设定!$B$18:$E$48,4,FALSE)&amp;$BK206,坦克属性分配比例,MATCH("部件比例",坦克属性分配比例标头,0),FALSE)*$C$3),0)</f>
        <v>1102</v>
      </c>
      <c r="BP206" s="103">
        <f ca="1">ROUND(VLOOKUP($BJ206&amp;"初始",$S$3:$AE$63,MATCH(BP$3,$S$3:$AE$3,0),FALSE)+(VLOOKUP($BJ206&amp;"最终",$S$3:$AE$63,MATCH(BP$3,$S$3:$AE$3,0),FALSE)-VLOOKUP($BJ206&amp;"初始",$S$3:$AE$63,MATCH(BP$3,$S$3:$AE$3,0),FALSE))*$BL206/VLOOKUP(VLOOKUP($BJ206,坦克个性化设定!$B$18:$E$48,4,FALSE)&amp;$BK206,坦克属性分配比例,MATCH("升星次数",坦克属性分配比例标头,0),FALSE)*(VLOOKUP(VLOOKUP($BJ206,坦克个性化设定!$B$18:$E$48,4,FALSE)&amp;$BK206,坦克属性分配比例,MATCH("升星比例",坦克属性分配比例标头,0),FALSE)+VLOOKUP(VLOOKUP($BJ206,坦克个性化设定!$B$18:$E$48,4,FALSE)&amp;$BK206,坦克属性分配比例,MATCH("部件比例",坦克属性分配比例标头,0),FALSE)*$C$3),0)</f>
        <v>826</v>
      </c>
      <c r="BQ206" s="103">
        <f ca="1">ROUND(VLOOKUP($BJ206&amp;"初始",$S$3:$AE$63,MATCH(BQ$3,$S$3:$AE$3,0),FALSE)+(VLOOKUP($BJ206&amp;"最终",$S$3:$AE$63,MATCH(BQ$3,$S$3:$AE$3,0),FALSE)-VLOOKUP($BJ206&amp;"初始",$S$3:$AE$63,MATCH(BQ$3,$S$3:$AE$3,0),FALSE))*$BL206/VLOOKUP(VLOOKUP($BJ206,坦克个性化设定!$B$18:$E$48,4,FALSE)&amp;$BK206,坦克属性分配比例,MATCH("升星次数",坦克属性分配比例标头,0),FALSE)*VLOOKUP(VLOOKUP($BJ206,坦克个性化设定!$B$18:$E$48,4,FALSE)&amp;$BK206,坦克属性分配比例,MATCH("升星比例",坦克属性分配比例标头,0),FALSE),0)</f>
        <v>1095</v>
      </c>
      <c r="BR206" s="2">
        <f ca="1">ROUND(VLOOKUP($BJ206&amp;"初始",$S$3:$AE$63,MATCH(BR$3,$S$3:$AE$3,0),FALSE)+(VLOOKUP($BJ206&amp;"最终",$S$3:$AE$63,MATCH(BR$3,$S$3:$AE$3,0),FALSE)-VLOOKUP($BJ206&amp;"初始",$S$3:$AE$63,MATCH(BR$3,$S$3:$AE$3,0),FALSE))*$BL206/VLOOKUP(VLOOKUP($BJ206,坦克个性化设定!$B$18:$E$48,4,FALSE)&amp;$BK206,坦克属性分配比例,MATCH("升星次数",坦克属性分配比例标头,0),FALSE),0)</f>
        <v>308</v>
      </c>
      <c r="BS206" s="2">
        <f>ROUND(VLOOKUP($BJ206,$AI$3:$AO$33,MATCH(BS$3,$AI$3:$AO$3,0),FALSE)+$BL206/VLOOKUP(VLOOKUP($BJ206,坦克个性化设定!$B$18:$E$48,4,FALSE)&amp;$BK206,坦克属性分配比例,MATCH("升星次数",坦克属性分配比例标头,0),FALSE)*VLOOKUP($BJ206,$AR$3:$AY$33,MATCH(BS$3,$AR$3:$AY$3,0),FALSE),1)</f>
        <v>43.8</v>
      </c>
      <c r="BT206" s="2">
        <f>ROUND(VLOOKUP($BJ206,$AI$3:$AO$33,MATCH(BT$3,$AI$3:$AO$3,0),FALSE)+$BL206/VLOOKUP(VLOOKUP($BJ206,坦克个性化设定!$B$18:$E$48,4,FALSE)&amp;$BK206,坦克属性分配比例,MATCH("升星次数",坦克属性分配比例标头,0),FALSE)*VLOOKUP($BJ206,$AR$3:$AY$33,MATCH(BT$3,$AR$3:$AY$3,0),FALSE),1)</f>
        <v>61.5</v>
      </c>
      <c r="BU206" s="2">
        <f>ROUND(VLOOKUP($BJ206,$AI$3:$AO$33,MATCH(BU$3,$AI$3:$AO$3,0),FALSE)+$BL206/VLOOKUP(VLOOKUP($BJ206,坦克个性化设定!$B$18:$E$48,4,FALSE)&amp;$BK206,坦克属性分配比例,MATCH("升星次数",坦克属性分配比例标头,0),FALSE)*VLOOKUP($BJ206,$AR$3:$AY$33,MATCH(BU$3,$AR$3:$AY$3,0),FALSE),1)</f>
        <v>7.2</v>
      </c>
      <c r="BV206" s="2">
        <f>IF(VLOOKUP(BJ206,坦克个性化设定!$B$18:$BC$48,MATCH("装弹类型",坦克个性化设定!$B$18:$BC$18,0),FALSE)="弹夹换弹",0,ROUND(VLOOKUP($BJ206,$AI$3:$AO$33,MATCH("换弹时间",$AI$3:$AO$3,0),FALSE)-$BL206/VLOOKUP(VLOOKUP($BJ206,坦克个性化设定!$B$18:$E$48,4,FALSE)&amp;$BK206,坦克属性分配比例,MATCH("升星次数",坦克属性分配比例标头,0),FALSE)*VLOOKUP($BJ206,$AR$3:$AY$33,MATCH("换弹时间",$AR$3:$AY$3,0),FALSE),2))</f>
        <v>2.0499999999999998</v>
      </c>
      <c r="BW206" s="2">
        <f>IF(VLOOKUP(BJ206,坦克个性化设定!$B$18:$BC$48,MATCH("装弹类型",坦克个性化设定!$B$18:$BC$18,0),FALSE)="弹夹换弹",ROUND(VLOOKUP($BJ206,$AI$3:$AO$33,MATCH("换弹时间",$AI$3:$AO$3,0),FALSE)-$BL206/VLOOKUP(VLOOKUP($BJ206,坦克个性化设定!$B$18:$E$48,4,FALSE)&amp;$BK206,坦克属性分配比例,MATCH("升星次数",坦克属性分配比例标头,0),FALSE)*VLOOKUP($BJ206,$AR$3:$AY$33,MATCH("换弹时间",$AR$3:$AY$3,0),FALSE),1),0)</f>
        <v>0</v>
      </c>
      <c r="BX206" s="2">
        <f>ROUND(VLOOKUP($BJ206,$AI$3:$AO$33,MATCH(BX$3,$AI$3:$AO$3,0),FALSE)+$BL206/VLOOKUP(VLOOKUP($BJ206,坦克个性化设定!$B$18:$E$48,4,FALSE)&amp;$BK206,坦克属性分配比例,MATCH("升星次数",坦克属性分配比例标头,0),FALSE)*VLOOKUP($BJ206,$AR$3:$AY$33,MATCH(BX$3,$AR$3:$AY$3,0),FALSE),2)</f>
        <v>0.4</v>
      </c>
      <c r="BY206" s="2">
        <f>ROUND(VLOOKUP($BJ206,$AI$3:$AO$33,MATCH(BY$3,$AI$3:$AO$3,0),FALSE)-$BL206/VLOOKUP(VLOOKUP($BJ206,坦克个性化设定!$B$18:$E$48,4,FALSE)&amp;$BK206,坦克属性分配比例,MATCH("升星次数",坦克属性分配比例标头,0),FALSE)*VLOOKUP($BJ206,$AR$3:$AY$33,MATCH(BY$3,$AR$3:$AY$3,0),FALSE),2)</f>
        <v>1.18</v>
      </c>
    </row>
    <row r="207" spans="60:77" x14ac:dyDescent="0.3">
      <c r="BH207" s="2" t="str">
        <f t="shared" si="32"/>
        <v>挑战者13</v>
      </c>
      <c r="BI207" s="2">
        <f>IF(BL206&gt;=VLOOKUP(VLOOKUP(BJ206,坦克个性化设定!$B$18:$E$48,4,FALSE)&amp;BK206,坦克属性分配比例,MATCH("升星次数",坦克属性分配比例标头,0),FALSE),BI206+1,BI206)</f>
        <v>20</v>
      </c>
      <c r="BJ207" s="2" t="str">
        <f t="shared" si="33"/>
        <v>挑战者</v>
      </c>
      <c r="BK207" s="29" t="str">
        <f>VLOOKUP(BJ207,坦克个性化细分!$I$3:$J$33,2,FALSE)</f>
        <v>低</v>
      </c>
      <c r="BL207" s="2">
        <f t="shared" si="34"/>
        <v>13</v>
      </c>
      <c r="BM207" s="103">
        <f ca="1">ROUND(VLOOKUP($BJ207&amp;"初始",$S$3:$AE$63,MATCH(BM$3,$S$3:$AE$3,0),FALSE)+((VLOOKUP($BJ207&amp;"最终",$S$3:$AE$63,MATCH(BM$3,$S$3:$AE$3,0),FALSE)*坦克个性化细分!$C$9-VLOOKUP($BJ207&amp;"初始",$S$3:$AE$63,MATCH(BM$3,$S$3:$AE$3,0),FALSE))-(VLOOKUP($BJ207&amp;"最终",$S$3:$AE$63,MATCH(BM$3,$S$3:$AE$3,0),FALSE)-VLOOKUP($BJ207&amp;"初始",$S$3:$AE$63,MATCH(BM$3,$S$3:$AE$3,0),FALSE))*VLOOKUP(VLOOKUP($BJ207,坦克个性化设定!$B$18:$E$48,4,FALSE)&amp;$BK207,坦克属性分配比例,MATCH("部件比例",坦克属性分配比例标头,0),FALSE))*$BL207/VLOOKUP(VLOOKUP($BJ207,坦克个性化设定!$B$18:$E$48,4,FALSE)&amp;$BK207,坦克属性分配比例,MATCH("升星次数",坦克属性分配比例标头,0),FALSE),0)</f>
        <v>3495</v>
      </c>
      <c r="BN207" s="103">
        <f ca="1">ROUND(VLOOKUP($BJ207&amp;"初始",$S$3:$AE$63,MATCH(BN$3,$S$3:$AE$3,0),FALSE)+(VLOOKUP($BJ207&amp;"最终",$S$3:$AE$63,MATCH(BN$3,$S$3:$AE$3,0),FALSE)-VLOOKUP($BJ207&amp;"初始",$S$3:$AE$63,MATCH(BN$3,$S$3:$AE$3,0),FALSE))*$BL207/VLOOKUP(VLOOKUP($BJ207,坦克个性化设定!$B$18:$E$48,4,FALSE)&amp;$BK207,坦克属性分配比例,MATCH("升星次数",坦克属性分配比例标头,0),FALSE)*VLOOKUP(VLOOKUP($BJ207,坦克个性化设定!$B$18:$E$48,4,FALSE)&amp;$BK207,坦克属性分配比例,MATCH("升星比例",坦克属性分配比例标头,0),FALSE),0)</f>
        <v>284</v>
      </c>
      <c r="BO207" s="103">
        <f ca="1">ROUND(VLOOKUP($BJ207&amp;"初始",$S$3:$AE$63,MATCH(BO$3,$S$3:$AE$3,0),FALSE)+(VLOOKUP($BJ207&amp;"最终",$S$3:$AE$63,MATCH(BO$3,$S$3:$AE$3,0),FALSE)-VLOOKUP($BJ207&amp;"初始",$S$3:$AE$63,MATCH(BO$3,$S$3:$AE$3,0),FALSE))*$BL207/VLOOKUP(VLOOKUP($BJ207,坦克个性化设定!$B$18:$E$48,4,FALSE)&amp;$BK207,坦克属性分配比例,MATCH("升星次数",坦克属性分配比例标头,0),FALSE)*(VLOOKUP(VLOOKUP($BJ207,坦克个性化设定!$B$18:$E$48,4,FALSE)&amp;$BK207,坦克属性分配比例,MATCH("升星比例",坦克属性分配比例标头,0),FALSE)+VLOOKUP(VLOOKUP($BJ207,坦克个性化设定!$B$18:$E$48,4,FALSE)&amp;$BK207,坦克属性分配比例,MATCH("部件比例",坦克属性分配比例标头,0),FALSE)*$C$3),0)</f>
        <v>1125</v>
      </c>
      <c r="BP207" s="103">
        <f ca="1">ROUND(VLOOKUP($BJ207&amp;"初始",$S$3:$AE$63,MATCH(BP$3,$S$3:$AE$3,0),FALSE)+(VLOOKUP($BJ207&amp;"最终",$S$3:$AE$63,MATCH(BP$3,$S$3:$AE$3,0),FALSE)-VLOOKUP($BJ207&amp;"初始",$S$3:$AE$63,MATCH(BP$3,$S$3:$AE$3,0),FALSE))*$BL207/VLOOKUP(VLOOKUP($BJ207,坦克个性化设定!$B$18:$E$48,4,FALSE)&amp;$BK207,坦克属性分配比例,MATCH("升星次数",坦克属性分配比例标头,0),FALSE)*(VLOOKUP(VLOOKUP($BJ207,坦克个性化设定!$B$18:$E$48,4,FALSE)&amp;$BK207,坦克属性分配比例,MATCH("升星比例",坦克属性分配比例标头,0),FALSE)+VLOOKUP(VLOOKUP($BJ207,坦克个性化设定!$B$18:$E$48,4,FALSE)&amp;$BK207,坦克属性分配比例,MATCH("部件比例",坦克属性分配比例标头,0),FALSE)*$C$3),0)</f>
        <v>843</v>
      </c>
      <c r="BQ207" s="103">
        <f ca="1">ROUND(VLOOKUP($BJ207&amp;"初始",$S$3:$AE$63,MATCH(BQ$3,$S$3:$AE$3,0),FALSE)+(VLOOKUP($BJ207&amp;"最终",$S$3:$AE$63,MATCH(BQ$3,$S$3:$AE$3,0),FALSE)-VLOOKUP($BJ207&amp;"初始",$S$3:$AE$63,MATCH(BQ$3,$S$3:$AE$3,0),FALSE))*$BL207/VLOOKUP(VLOOKUP($BJ207,坦克个性化设定!$B$18:$E$48,4,FALSE)&amp;$BK207,坦克属性分配比例,MATCH("升星次数",坦克属性分配比例标头,0),FALSE)*VLOOKUP(VLOOKUP($BJ207,坦克个性化设定!$B$18:$E$48,4,FALSE)&amp;$BK207,坦克属性分配比例,MATCH("升星比例",坦克属性分配比例标头,0),FALSE),0)</f>
        <v>1111</v>
      </c>
      <c r="BR207" s="2">
        <f ca="1">ROUND(VLOOKUP($BJ207&amp;"初始",$S$3:$AE$63,MATCH(BR$3,$S$3:$AE$3,0),FALSE)+(VLOOKUP($BJ207&amp;"最终",$S$3:$AE$63,MATCH(BR$3,$S$3:$AE$3,0),FALSE)-VLOOKUP($BJ207&amp;"初始",$S$3:$AE$63,MATCH(BR$3,$S$3:$AE$3,0),FALSE))*$BL207/VLOOKUP(VLOOKUP($BJ207,坦克个性化设定!$B$18:$E$48,4,FALSE)&amp;$BK207,坦克属性分配比例,MATCH("升星次数",坦克属性分配比例标头,0),FALSE),0)</f>
        <v>315</v>
      </c>
      <c r="BS207" s="2">
        <f>ROUND(VLOOKUP($BJ207,$AI$3:$AO$33,MATCH(BS$3,$AI$3:$AO$3,0),FALSE)+$BL207/VLOOKUP(VLOOKUP($BJ207,坦克个性化设定!$B$18:$E$48,4,FALSE)&amp;$BK207,坦克属性分配比例,MATCH("升星次数",坦克属性分配比例标头,0),FALSE)*VLOOKUP($BJ207,$AR$3:$AY$33,MATCH(BS$3,$AR$3:$AY$3,0),FALSE),1)</f>
        <v>44.5</v>
      </c>
      <c r="BT207" s="2">
        <f>ROUND(VLOOKUP($BJ207,$AI$3:$AO$33,MATCH(BT$3,$AI$3:$AO$3,0),FALSE)+$BL207/VLOOKUP(VLOOKUP($BJ207,坦克个性化设定!$B$18:$E$48,4,FALSE)&amp;$BK207,坦克属性分配比例,MATCH("升星次数",坦克属性分配比例标头,0),FALSE)*VLOOKUP($BJ207,$AR$3:$AY$33,MATCH(BT$3,$AR$3:$AY$3,0),FALSE),1)</f>
        <v>62.5</v>
      </c>
      <c r="BU207" s="2">
        <f>ROUND(VLOOKUP($BJ207,$AI$3:$AO$33,MATCH(BU$3,$AI$3:$AO$3,0),FALSE)+$BL207/VLOOKUP(VLOOKUP($BJ207,坦克个性化设定!$B$18:$E$48,4,FALSE)&amp;$BK207,坦克属性分配比例,MATCH("升星次数",坦克属性分配比例标头,0),FALSE)*VLOOKUP($BJ207,$AR$3:$AY$33,MATCH(BU$3,$AR$3:$AY$3,0),FALSE),1)</f>
        <v>7.2</v>
      </c>
      <c r="BV207" s="2">
        <f>IF(VLOOKUP(BJ207,坦克个性化设定!$B$18:$BC$48,MATCH("装弹类型",坦克个性化设定!$B$18:$BC$18,0),FALSE)="弹夹换弹",0,ROUND(VLOOKUP($BJ207,$AI$3:$AO$33,MATCH("换弹时间",$AI$3:$AO$3,0),FALSE)-$BL207/VLOOKUP(VLOOKUP($BJ207,坦克个性化设定!$B$18:$E$48,4,FALSE)&amp;$BK207,坦克属性分配比例,MATCH("升星次数",坦克属性分配比例标头,0),FALSE)*VLOOKUP($BJ207,$AR$3:$AY$33,MATCH("换弹时间",$AR$3:$AY$3,0),FALSE),2))</f>
        <v>2.02</v>
      </c>
      <c r="BW207" s="2">
        <f>IF(VLOOKUP(BJ207,坦克个性化设定!$B$18:$BC$48,MATCH("装弹类型",坦克个性化设定!$B$18:$BC$18,0),FALSE)="弹夹换弹",ROUND(VLOOKUP($BJ207,$AI$3:$AO$33,MATCH("换弹时间",$AI$3:$AO$3,0),FALSE)-$BL207/VLOOKUP(VLOOKUP($BJ207,坦克个性化设定!$B$18:$E$48,4,FALSE)&amp;$BK207,坦克属性分配比例,MATCH("升星次数",坦克属性分配比例标头,0),FALSE)*VLOOKUP($BJ207,$AR$3:$AY$33,MATCH("换弹时间",$AR$3:$AY$3,0),FALSE),1),0)</f>
        <v>0</v>
      </c>
      <c r="BX207" s="2">
        <f>ROUND(VLOOKUP($BJ207,$AI$3:$AO$33,MATCH(BX$3,$AI$3:$AO$3,0),FALSE)+$BL207/VLOOKUP(VLOOKUP($BJ207,坦克个性化设定!$B$18:$E$48,4,FALSE)&amp;$BK207,坦克属性分配比例,MATCH("升星次数",坦克属性分配比例标头,0),FALSE)*VLOOKUP($BJ207,$AR$3:$AY$33,MATCH(BX$3,$AR$3:$AY$3,0),FALSE),2)</f>
        <v>0.4</v>
      </c>
      <c r="BY207" s="2">
        <f>ROUND(VLOOKUP($BJ207,$AI$3:$AO$33,MATCH(BY$3,$AI$3:$AO$3,0),FALSE)-$BL207/VLOOKUP(VLOOKUP($BJ207,坦克个性化设定!$B$18:$E$48,4,FALSE)&amp;$BK207,坦克属性分配比例,MATCH("升星次数",坦克属性分配比例标头,0),FALSE)*VLOOKUP($BJ207,$AR$3:$AY$33,MATCH(BY$3,$AR$3:$AY$3,0),FALSE),2)</f>
        <v>1.17</v>
      </c>
    </row>
    <row r="208" spans="60:77" x14ac:dyDescent="0.3">
      <c r="BH208" s="2" t="str">
        <f t="shared" si="32"/>
        <v>B-10</v>
      </c>
      <c r="BI208" s="2">
        <f>IF(BL207&gt;=VLOOKUP(VLOOKUP(BJ207,坦克个性化设定!$B$18:$E$48,4,FALSE)&amp;BK207,坦克属性分配比例,MATCH("升星次数",坦克属性分配比例标头,0),FALSE),BI207+1,BI207)</f>
        <v>21</v>
      </c>
      <c r="BJ208" s="2" t="str">
        <f t="shared" si="33"/>
        <v>B-1</v>
      </c>
      <c r="BK208" s="29" t="str">
        <f>VLOOKUP(BJ208,坦克个性化细分!$I$3:$J$33,2,FALSE)</f>
        <v>低</v>
      </c>
      <c r="BL208" s="2">
        <f t="shared" si="34"/>
        <v>0</v>
      </c>
      <c r="BM208" s="103">
        <f ca="1">ROUND(VLOOKUP($BJ208&amp;"初始",$S$3:$AE$63,MATCH(BM$3,$S$3:$AE$3,0),FALSE)+((VLOOKUP($BJ208&amp;"最终",$S$3:$AE$63,MATCH(BM$3,$S$3:$AE$3,0),FALSE)*坦克个性化细分!$C$9-VLOOKUP($BJ208&amp;"初始",$S$3:$AE$63,MATCH(BM$3,$S$3:$AE$3,0),FALSE))-(VLOOKUP($BJ208&amp;"最终",$S$3:$AE$63,MATCH(BM$3,$S$3:$AE$3,0),FALSE)-VLOOKUP($BJ208&amp;"初始",$S$3:$AE$63,MATCH(BM$3,$S$3:$AE$3,0),FALSE))*VLOOKUP(VLOOKUP($BJ208,坦克个性化设定!$B$18:$E$48,4,FALSE)&amp;$BK208,坦克属性分配比例,MATCH("部件比例",坦克属性分配比例标头,0),FALSE))*$BL208/VLOOKUP(VLOOKUP($BJ208,坦克个性化设定!$B$18:$E$48,4,FALSE)&amp;$BK208,坦克属性分配比例,MATCH("升星次数",坦克属性分配比例标头,0),FALSE),0)</f>
        <v>726</v>
      </c>
      <c r="BN208" s="103">
        <f ca="1">ROUND(VLOOKUP($BJ208&amp;"初始",$S$3:$AE$63,MATCH(BN$3,$S$3:$AE$3,0),FALSE)+(VLOOKUP($BJ208&amp;"最终",$S$3:$AE$63,MATCH(BN$3,$S$3:$AE$3,0),FALSE)-VLOOKUP($BJ208&amp;"初始",$S$3:$AE$63,MATCH(BN$3,$S$3:$AE$3,0),FALSE))*$BL208/VLOOKUP(VLOOKUP($BJ208,坦克个性化设定!$B$18:$E$48,4,FALSE)&amp;$BK208,坦克属性分配比例,MATCH("升星次数",坦克属性分配比例标头,0),FALSE)*VLOOKUP(VLOOKUP($BJ208,坦克个性化设定!$B$18:$E$48,4,FALSE)&amp;$BK208,坦克属性分配比例,MATCH("升星比例",坦克属性分配比例标头,0),FALSE),0)</f>
        <v>358</v>
      </c>
      <c r="BO208" s="103">
        <f ca="1">ROUND(VLOOKUP($BJ208&amp;"初始",$S$3:$AE$63,MATCH(BO$3,$S$3:$AE$3,0),FALSE)+(VLOOKUP($BJ208&amp;"最终",$S$3:$AE$63,MATCH(BO$3,$S$3:$AE$3,0),FALSE)-VLOOKUP($BJ208&amp;"初始",$S$3:$AE$63,MATCH(BO$3,$S$3:$AE$3,0),FALSE))*$BL208/VLOOKUP(VLOOKUP($BJ208,坦克个性化设定!$B$18:$E$48,4,FALSE)&amp;$BK208,坦克属性分配比例,MATCH("升星次数",坦克属性分配比例标头,0),FALSE)*(VLOOKUP(VLOOKUP($BJ208,坦克个性化设定!$B$18:$E$48,4,FALSE)&amp;$BK208,坦克属性分配比例,MATCH("升星比例",坦克属性分配比例标头,0),FALSE)+VLOOKUP(VLOOKUP($BJ208,坦克个性化设定!$B$18:$E$48,4,FALSE)&amp;$BK208,坦克属性分配比例,MATCH("部件比例",坦克属性分配比例标头,0),FALSE)*$C$3),0)</f>
        <v>286</v>
      </c>
      <c r="BP208" s="103">
        <f ca="1">ROUND(VLOOKUP($BJ208&amp;"初始",$S$3:$AE$63,MATCH(BP$3,$S$3:$AE$3,0),FALSE)+(VLOOKUP($BJ208&amp;"最终",$S$3:$AE$63,MATCH(BP$3,$S$3:$AE$3,0),FALSE)-VLOOKUP($BJ208&amp;"初始",$S$3:$AE$63,MATCH(BP$3,$S$3:$AE$3,0),FALSE))*$BL208/VLOOKUP(VLOOKUP($BJ208,坦克个性化设定!$B$18:$E$48,4,FALSE)&amp;$BK208,坦克属性分配比例,MATCH("升星次数",坦克属性分配比例标头,0),FALSE)*(VLOOKUP(VLOOKUP($BJ208,坦克个性化设定!$B$18:$E$48,4,FALSE)&amp;$BK208,坦克属性分配比例,MATCH("升星比例",坦克属性分配比例标头,0),FALSE)+VLOOKUP(VLOOKUP($BJ208,坦克个性化设定!$B$18:$E$48,4,FALSE)&amp;$BK208,坦克属性分配比例,MATCH("部件比例",坦克属性分配比例标头,0),FALSE)*$C$3),0)</f>
        <v>229</v>
      </c>
      <c r="BQ208" s="103">
        <f ca="1">ROUND(VLOOKUP($BJ208&amp;"初始",$S$3:$AE$63,MATCH(BQ$3,$S$3:$AE$3,0),FALSE)+(VLOOKUP($BJ208&amp;"最终",$S$3:$AE$63,MATCH(BQ$3,$S$3:$AE$3,0),FALSE)-VLOOKUP($BJ208&amp;"初始",$S$3:$AE$63,MATCH(BQ$3,$S$3:$AE$3,0),FALSE))*$BL208/VLOOKUP(VLOOKUP($BJ208,坦克个性化设定!$B$18:$E$48,4,FALSE)&amp;$BK208,坦克属性分配比例,MATCH("升星次数",坦克属性分配比例标头,0),FALSE)*VLOOKUP(VLOOKUP($BJ208,坦克个性化设定!$B$18:$E$48,4,FALSE)&amp;$BK208,坦克属性分配比例,MATCH("升星比例",坦克属性分配比例标头,0),FALSE),0)</f>
        <v>420</v>
      </c>
      <c r="BR208" s="2">
        <f ca="1">ROUND(VLOOKUP($BJ208&amp;"初始",$S$3:$AE$63,MATCH(BR$3,$S$3:$AE$3,0),FALSE)+(VLOOKUP($BJ208&amp;"最终",$S$3:$AE$63,MATCH(BR$3,$S$3:$AE$3,0),FALSE)-VLOOKUP($BJ208&amp;"初始",$S$3:$AE$63,MATCH(BR$3,$S$3:$AE$3,0),FALSE))*$BL208/VLOOKUP(VLOOKUP($BJ208,坦克个性化设定!$B$18:$E$48,4,FALSE)&amp;$BK208,坦克属性分配比例,MATCH("升星次数",坦克属性分配比例标头,0),FALSE),0)</f>
        <v>98</v>
      </c>
      <c r="BS208" s="2">
        <f>ROUND(VLOOKUP($BJ208,$AI$3:$AO$33,MATCH(BS$3,$AI$3:$AO$3,0),FALSE)+$BL208/VLOOKUP(VLOOKUP($BJ208,坦克个性化设定!$B$18:$E$48,4,FALSE)&amp;$BK208,坦克属性分配比例,MATCH("升星次数",坦克属性分配比例标头,0),FALSE)*VLOOKUP($BJ208,$AR$3:$AY$33,MATCH(BS$3,$AR$3:$AY$3,0),FALSE),1)</f>
        <v>38.299999999999997</v>
      </c>
      <c r="BT208" s="2">
        <f>ROUND(VLOOKUP($BJ208,$AI$3:$AO$33,MATCH(BT$3,$AI$3:$AO$3,0),FALSE)+$BL208/VLOOKUP(VLOOKUP($BJ208,坦克个性化设定!$B$18:$E$48,4,FALSE)&amp;$BK208,坦克属性分配比例,MATCH("升星次数",坦克属性分配比例标头,0),FALSE)*VLOOKUP($BJ208,$AR$3:$AY$33,MATCH(BT$3,$AR$3:$AY$3,0),FALSE),1)</f>
        <v>28</v>
      </c>
      <c r="BU208" s="2">
        <f>ROUND(VLOOKUP($BJ208,$AI$3:$AO$33,MATCH(BU$3,$AI$3:$AO$3,0),FALSE)+$BL208/VLOOKUP(VLOOKUP($BJ208,坦克个性化设定!$B$18:$E$48,4,FALSE)&amp;$BK208,坦克属性分配比例,MATCH("升星次数",坦克属性分配比例标头,0),FALSE)*VLOOKUP($BJ208,$AR$3:$AY$33,MATCH(BU$3,$AR$3:$AY$3,0),FALSE),1)</f>
        <v>7</v>
      </c>
      <c r="BV208" s="2">
        <f>IF(VLOOKUP(BJ208,坦克个性化设定!$B$18:$BC$48,MATCH("装弹类型",坦克个性化设定!$B$18:$BC$18,0),FALSE)="弹夹换弹",0,ROUND(VLOOKUP($BJ208,$AI$3:$AO$33,MATCH("换弹时间",$AI$3:$AO$3,0),FALSE)-$BL208/VLOOKUP(VLOOKUP($BJ208,坦克个性化设定!$B$18:$E$48,4,FALSE)&amp;$BK208,坦克属性分配比例,MATCH("升星次数",坦克属性分配比例标头,0),FALSE)*VLOOKUP($BJ208,$AR$3:$AY$33,MATCH("换弹时间",$AR$3:$AY$3,0),FALSE),2))</f>
        <v>5.4</v>
      </c>
      <c r="BW208" s="2">
        <f>IF(VLOOKUP(BJ208,坦克个性化设定!$B$18:$BC$48,MATCH("装弹类型",坦克个性化设定!$B$18:$BC$18,0),FALSE)="弹夹换弹",ROUND(VLOOKUP($BJ208,$AI$3:$AO$33,MATCH("换弹时间",$AI$3:$AO$3,0),FALSE)-$BL208/VLOOKUP(VLOOKUP($BJ208,坦克个性化设定!$B$18:$E$48,4,FALSE)&amp;$BK208,坦克属性分配比例,MATCH("升星次数",坦克属性分配比例标头,0),FALSE)*VLOOKUP($BJ208,$AR$3:$AY$33,MATCH("换弹时间",$AR$3:$AY$3,0),FALSE),1),0)</f>
        <v>0</v>
      </c>
      <c r="BX208" s="2">
        <f>ROUND(VLOOKUP($BJ208,$AI$3:$AO$33,MATCH(BX$3,$AI$3:$AO$3,0),FALSE)+$BL208/VLOOKUP(VLOOKUP($BJ208,坦克个性化设定!$B$18:$E$48,4,FALSE)&amp;$BK208,坦克属性分配比例,MATCH("升星次数",坦克属性分配比例标头,0),FALSE)*VLOOKUP($BJ208,$AR$3:$AY$33,MATCH(BX$3,$AR$3:$AY$3,0),FALSE),2)</f>
        <v>2.8</v>
      </c>
      <c r="BY208" s="2">
        <f>ROUND(VLOOKUP($BJ208,$AI$3:$AO$33,MATCH(BY$3,$AI$3:$AO$3,0),FALSE)-$BL208/VLOOKUP(VLOOKUP($BJ208,坦克个性化设定!$B$18:$E$48,4,FALSE)&amp;$BK208,坦克属性分配比例,MATCH("升星次数",坦克属性分配比例标头,0),FALSE)*VLOOKUP($BJ208,$AR$3:$AY$33,MATCH(BY$3,$AR$3:$AY$3,0),FALSE),2)</f>
        <v>2.5</v>
      </c>
    </row>
    <row r="209" spans="60:77" x14ac:dyDescent="0.3">
      <c r="BH209" s="2" t="str">
        <f t="shared" si="32"/>
        <v>B-11</v>
      </c>
      <c r="BI209" s="2">
        <f>IF(BL208&gt;=VLOOKUP(VLOOKUP(BJ208,坦克个性化设定!$B$18:$E$48,4,FALSE)&amp;BK208,坦克属性分配比例,MATCH("升星次数",坦克属性分配比例标头,0),FALSE),BI208+1,BI208)</f>
        <v>21</v>
      </c>
      <c r="BJ209" s="2" t="str">
        <f t="shared" si="33"/>
        <v>B-1</v>
      </c>
      <c r="BK209" s="29" t="str">
        <f>VLOOKUP(BJ209,坦克个性化细分!$I$3:$J$33,2,FALSE)</f>
        <v>低</v>
      </c>
      <c r="BL209" s="2">
        <f t="shared" si="34"/>
        <v>1</v>
      </c>
      <c r="BM209" s="103">
        <f ca="1">ROUND(VLOOKUP($BJ209&amp;"初始",$S$3:$AE$63,MATCH(BM$3,$S$3:$AE$3,0),FALSE)+((VLOOKUP($BJ209&amp;"最终",$S$3:$AE$63,MATCH(BM$3,$S$3:$AE$3,0),FALSE)*坦克个性化细分!$C$9-VLOOKUP($BJ209&amp;"初始",$S$3:$AE$63,MATCH(BM$3,$S$3:$AE$3,0),FALSE))-(VLOOKUP($BJ209&amp;"最终",$S$3:$AE$63,MATCH(BM$3,$S$3:$AE$3,0),FALSE)-VLOOKUP($BJ209&amp;"初始",$S$3:$AE$63,MATCH(BM$3,$S$3:$AE$3,0),FALSE))*VLOOKUP(VLOOKUP($BJ209,坦克个性化设定!$B$18:$E$48,4,FALSE)&amp;$BK209,坦克属性分配比例,MATCH("部件比例",坦克属性分配比例标头,0),FALSE))*$BL209/VLOOKUP(VLOOKUP($BJ209,坦克个性化设定!$B$18:$E$48,4,FALSE)&amp;$BK209,坦克属性分配比例,MATCH("升星次数",坦克属性分配比例标头,0),FALSE),0)</f>
        <v>838</v>
      </c>
      <c r="BN209" s="103">
        <f ca="1">ROUND(VLOOKUP($BJ209&amp;"初始",$S$3:$AE$63,MATCH(BN$3,$S$3:$AE$3,0),FALSE)+(VLOOKUP($BJ209&amp;"最终",$S$3:$AE$63,MATCH(BN$3,$S$3:$AE$3,0),FALSE)-VLOOKUP($BJ209&amp;"初始",$S$3:$AE$63,MATCH(BN$3,$S$3:$AE$3,0),FALSE))*$BL209/VLOOKUP(VLOOKUP($BJ209,坦克个性化设定!$B$18:$E$48,4,FALSE)&amp;$BK209,坦克属性分配比例,MATCH("升星次数",坦克属性分配比例标头,0),FALSE)*VLOOKUP(VLOOKUP($BJ209,坦克个性化设定!$B$18:$E$48,4,FALSE)&amp;$BK209,坦克属性分配比例,MATCH("升星比例",坦克属性分配比例标头,0),FALSE),0)</f>
        <v>373</v>
      </c>
      <c r="BO209" s="103">
        <f ca="1">ROUND(VLOOKUP($BJ209&amp;"初始",$S$3:$AE$63,MATCH(BO$3,$S$3:$AE$3,0),FALSE)+(VLOOKUP($BJ209&amp;"最终",$S$3:$AE$63,MATCH(BO$3,$S$3:$AE$3,0),FALSE)-VLOOKUP($BJ209&amp;"初始",$S$3:$AE$63,MATCH(BO$3,$S$3:$AE$3,0),FALSE))*$BL209/VLOOKUP(VLOOKUP($BJ209,坦克个性化设定!$B$18:$E$48,4,FALSE)&amp;$BK209,坦克属性分配比例,MATCH("升星次数",坦克属性分配比例标头,0),FALSE)*(VLOOKUP(VLOOKUP($BJ209,坦克个性化设定!$B$18:$E$48,4,FALSE)&amp;$BK209,坦克属性分配比例,MATCH("升星比例",坦克属性分配比例标头,0),FALSE)+VLOOKUP(VLOOKUP($BJ209,坦克个性化设定!$B$18:$E$48,4,FALSE)&amp;$BK209,坦克属性分配比例,MATCH("部件比例",坦克属性分配比例标头,0),FALSE)*$C$3),0)</f>
        <v>301</v>
      </c>
      <c r="BP209" s="103">
        <f ca="1">ROUND(VLOOKUP($BJ209&amp;"初始",$S$3:$AE$63,MATCH(BP$3,$S$3:$AE$3,0),FALSE)+(VLOOKUP($BJ209&amp;"最终",$S$3:$AE$63,MATCH(BP$3,$S$3:$AE$3,0),FALSE)-VLOOKUP($BJ209&amp;"初始",$S$3:$AE$63,MATCH(BP$3,$S$3:$AE$3,0),FALSE))*$BL209/VLOOKUP(VLOOKUP($BJ209,坦克个性化设定!$B$18:$E$48,4,FALSE)&amp;$BK209,坦克属性分配比例,MATCH("升星次数",坦克属性分配比例标头,0),FALSE)*(VLOOKUP(VLOOKUP($BJ209,坦克个性化设定!$B$18:$E$48,4,FALSE)&amp;$BK209,坦克属性分配比例,MATCH("升星比例",坦克属性分配比例标头,0),FALSE)+VLOOKUP(VLOOKUP($BJ209,坦克个性化设定!$B$18:$E$48,4,FALSE)&amp;$BK209,坦克属性分配比例,MATCH("部件比例",坦克属性分配比例标头,0),FALSE)*$C$3),0)</f>
        <v>241</v>
      </c>
      <c r="BQ209" s="103">
        <f ca="1">ROUND(VLOOKUP($BJ209&amp;"初始",$S$3:$AE$63,MATCH(BQ$3,$S$3:$AE$3,0),FALSE)+(VLOOKUP($BJ209&amp;"最终",$S$3:$AE$63,MATCH(BQ$3,$S$3:$AE$3,0),FALSE)-VLOOKUP($BJ209&amp;"初始",$S$3:$AE$63,MATCH(BQ$3,$S$3:$AE$3,0),FALSE))*$BL209/VLOOKUP(VLOOKUP($BJ209,坦克个性化设定!$B$18:$E$48,4,FALSE)&amp;$BK209,坦克属性分配比例,MATCH("升星次数",坦克属性分配比例标头,0),FALSE)*VLOOKUP(VLOOKUP($BJ209,坦克个性化设定!$B$18:$E$48,4,FALSE)&amp;$BK209,坦克属性分配比例,MATCH("升星比例",坦克属性分配比例标头,0),FALSE),0)</f>
        <v>438</v>
      </c>
      <c r="BR209" s="2">
        <f ca="1">ROUND(VLOOKUP($BJ209&amp;"初始",$S$3:$AE$63,MATCH(BR$3,$S$3:$AE$3,0),FALSE)+(VLOOKUP($BJ209&amp;"最终",$S$3:$AE$63,MATCH(BR$3,$S$3:$AE$3,0),FALSE)-VLOOKUP($BJ209&amp;"初始",$S$3:$AE$63,MATCH(BR$3,$S$3:$AE$3,0),FALSE))*$BL209/VLOOKUP(VLOOKUP($BJ209,坦克个性化设定!$B$18:$E$48,4,FALSE)&amp;$BK209,坦克属性分配比例,MATCH("升星次数",坦克属性分配比例标头,0),FALSE),0)</f>
        <v>104</v>
      </c>
      <c r="BS209" s="2">
        <f>ROUND(VLOOKUP($BJ209,$AI$3:$AO$33,MATCH(BS$3,$AI$3:$AO$3,0),FALSE)+$BL209/VLOOKUP(VLOOKUP($BJ209,坦克个性化设定!$B$18:$E$48,4,FALSE)&amp;$BK209,坦克属性分配比例,MATCH("升星次数",坦克属性分配比例标头,0),FALSE)*VLOOKUP($BJ209,$AR$3:$AY$33,MATCH(BS$3,$AR$3:$AY$3,0),FALSE),1)</f>
        <v>40.200000000000003</v>
      </c>
      <c r="BT209" s="2">
        <f>ROUND(VLOOKUP($BJ209,$AI$3:$AO$33,MATCH(BT$3,$AI$3:$AO$3,0),FALSE)+$BL209/VLOOKUP(VLOOKUP($BJ209,坦克个性化设定!$B$18:$E$48,4,FALSE)&amp;$BK209,坦克属性分配比例,MATCH("升星次数",坦克属性分配比例标头,0),FALSE)*VLOOKUP($BJ209,$AR$3:$AY$33,MATCH(BT$3,$AR$3:$AY$3,0),FALSE),1)</f>
        <v>29.4</v>
      </c>
      <c r="BU209" s="2">
        <f>ROUND(VLOOKUP($BJ209,$AI$3:$AO$33,MATCH(BU$3,$AI$3:$AO$3,0),FALSE)+$BL209/VLOOKUP(VLOOKUP($BJ209,坦克个性化设定!$B$18:$E$48,4,FALSE)&amp;$BK209,坦克属性分配比例,MATCH("升星次数",坦克属性分配比例标头,0),FALSE)*VLOOKUP($BJ209,$AR$3:$AY$33,MATCH(BU$3,$AR$3:$AY$3,0),FALSE),1)</f>
        <v>7</v>
      </c>
      <c r="BV209" s="2">
        <f>IF(VLOOKUP(BJ209,坦克个性化设定!$B$18:$BC$48,MATCH("装弹类型",坦克个性化设定!$B$18:$BC$18,0),FALSE)="弹夹换弹",0,ROUND(VLOOKUP($BJ209,$AI$3:$AO$33,MATCH("换弹时间",$AI$3:$AO$3,0),FALSE)-$BL209/VLOOKUP(VLOOKUP($BJ209,坦克个性化设定!$B$18:$E$48,4,FALSE)&amp;$BK209,坦克属性分配比例,MATCH("升星次数",坦克属性分配比例标头,0),FALSE)*VLOOKUP($BJ209,$AR$3:$AY$33,MATCH("换弹时间",$AR$3:$AY$3,0),FALSE),2))</f>
        <v>5.25</v>
      </c>
      <c r="BW209" s="2">
        <f>IF(VLOOKUP(BJ209,坦克个性化设定!$B$18:$BC$48,MATCH("装弹类型",坦克个性化设定!$B$18:$BC$18,0),FALSE)="弹夹换弹",ROUND(VLOOKUP($BJ209,$AI$3:$AO$33,MATCH("换弹时间",$AI$3:$AO$3,0),FALSE)-$BL209/VLOOKUP(VLOOKUP($BJ209,坦克个性化设定!$B$18:$E$48,4,FALSE)&amp;$BK209,坦克属性分配比例,MATCH("升星次数",坦克属性分配比例标头,0),FALSE)*VLOOKUP($BJ209,$AR$3:$AY$33,MATCH("换弹时间",$AR$3:$AY$3,0),FALSE),1),0)</f>
        <v>0</v>
      </c>
      <c r="BX209" s="2">
        <f>ROUND(VLOOKUP($BJ209,$AI$3:$AO$33,MATCH(BX$3,$AI$3:$AO$3,0),FALSE)+$BL209/VLOOKUP(VLOOKUP($BJ209,坦克个性化设定!$B$18:$E$48,4,FALSE)&amp;$BK209,坦克属性分配比例,MATCH("升星次数",坦克属性分配比例标头,0),FALSE)*VLOOKUP($BJ209,$AR$3:$AY$33,MATCH(BX$3,$AR$3:$AY$3,0),FALSE),2)</f>
        <v>2.8</v>
      </c>
      <c r="BY209" s="2">
        <f>ROUND(VLOOKUP($BJ209,$AI$3:$AO$33,MATCH(BY$3,$AI$3:$AO$3,0),FALSE)-$BL209/VLOOKUP(VLOOKUP($BJ209,坦克个性化设定!$B$18:$E$48,4,FALSE)&amp;$BK209,坦克属性分配比例,MATCH("升星次数",坦克属性分配比例标头,0),FALSE)*VLOOKUP($BJ209,$AR$3:$AY$33,MATCH(BY$3,$AR$3:$AY$3,0),FALSE),2)</f>
        <v>2.42</v>
      </c>
    </row>
    <row r="210" spans="60:77" x14ac:dyDescent="0.3">
      <c r="BH210" s="2" t="str">
        <f t="shared" si="32"/>
        <v>B-12</v>
      </c>
      <c r="BI210" s="2">
        <f>IF(BL209&gt;=VLOOKUP(VLOOKUP(BJ209,坦克个性化设定!$B$18:$E$48,4,FALSE)&amp;BK209,坦克属性分配比例,MATCH("升星次数",坦克属性分配比例标头,0),FALSE),BI209+1,BI209)</f>
        <v>21</v>
      </c>
      <c r="BJ210" s="2" t="str">
        <f t="shared" si="33"/>
        <v>B-1</v>
      </c>
      <c r="BK210" s="29" t="str">
        <f>VLOOKUP(BJ210,坦克个性化细分!$I$3:$J$33,2,FALSE)</f>
        <v>低</v>
      </c>
      <c r="BL210" s="2">
        <f t="shared" si="34"/>
        <v>2</v>
      </c>
      <c r="BM210" s="103">
        <f ca="1">ROUND(VLOOKUP($BJ210&amp;"初始",$S$3:$AE$63,MATCH(BM$3,$S$3:$AE$3,0),FALSE)+((VLOOKUP($BJ210&amp;"最终",$S$3:$AE$63,MATCH(BM$3,$S$3:$AE$3,0),FALSE)*坦克个性化细分!$C$9-VLOOKUP($BJ210&amp;"初始",$S$3:$AE$63,MATCH(BM$3,$S$3:$AE$3,0),FALSE))-(VLOOKUP($BJ210&amp;"最终",$S$3:$AE$63,MATCH(BM$3,$S$3:$AE$3,0),FALSE)-VLOOKUP($BJ210&amp;"初始",$S$3:$AE$63,MATCH(BM$3,$S$3:$AE$3,0),FALSE))*VLOOKUP(VLOOKUP($BJ210,坦克个性化设定!$B$18:$E$48,4,FALSE)&amp;$BK210,坦克属性分配比例,MATCH("部件比例",坦克属性分配比例标头,0),FALSE))*$BL210/VLOOKUP(VLOOKUP($BJ210,坦克个性化设定!$B$18:$E$48,4,FALSE)&amp;$BK210,坦克属性分配比例,MATCH("升星次数",坦克属性分配比例标头,0),FALSE),0)</f>
        <v>950</v>
      </c>
      <c r="BN210" s="103">
        <f ca="1">ROUND(VLOOKUP($BJ210&amp;"初始",$S$3:$AE$63,MATCH(BN$3,$S$3:$AE$3,0),FALSE)+(VLOOKUP($BJ210&amp;"最终",$S$3:$AE$63,MATCH(BN$3,$S$3:$AE$3,0),FALSE)-VLOOKUP($BJ210&amp;"初始",$S$3:$AE$63,MATCH(BN$3,$S$3:$AE$3,0),FALSE))*$BL210/VLOOKUP(VLOOKUP($BJ210,坦克个性化设定!$B$18:$E$48,4,FALSE)&amp;$BK210,坦克属性分配比例,MATCH("升星次数",坦克属性分配比例标头,0),FALSE)*VLOOKUP(VLOOKUP($BJ210,坦克个性化设定!$B$18:$E$48,4,FALSE)&amp;$BK210,坦克属性分配比例,MATCH("升星比例",坦克属性分配比例标头,0),FALSE),0)</f>
        <v>388</v>
      </c>
      <c r="BO210" s="103">
        <f ca="1">ROUND(VLOOKUP($BJ210&amp;"初始",$S$3:$AE$63,MATCH(BO$3,$S$3:$AE$3,0),FALSE)+(VLOOKUP($BJ210&amp;"最终",$S$3:$AE$63,MATCH(BO$3,$S$3:$AE$3,0),FALSE)-VLOOKUP($BJ210&amp;"初始",$S$3:$AE$63,MATCH(BO$3,$S$3:$AE$3,0),FALSE))*$BL210/VLOOKUP(VLOOKUP($BJ210,坦克个性化设定!$B$18:$E$48,4,FALSE)&amp;$BK210,坦克属性分配比例,MATCH("升星次数",坦克属性分配比例标头,0),FALSE)*(VLOOKUP(VLOOKUP($BJ210,坦克个性化设定!$B$18:$E$48,4,FALSE)&amp;$BK210,坦克属性分配比例,MATCH("升星比例",坦克属性分配比例标头,0),FALSE)+VLOOKUP(VLOOKUP($BJ210,坦克个性化设定!$B$18:$E$48,4,FALSE)&amp;$BK210,坦克属性分配比例,MATCH("部件比例",坦克属性分配比例标头,0),FALSE)*$C$3),0)</f>
        <v>316</v>
      </c>
      <c r="BP210" s="103">
        <f ca="1">ROUND(VLOOKUP($BJ210&amp;"初始",$S$3:$AE$63,MATCH(BP$3,$S$3:$AE$3,0),FALSE)+(VLOOKUP($BJ210&amp;"最终",$S$3:$AE$63,MATCH(BP$3,$S$3:$AE$3,0),FALSE)-VLOOKUP($BJ210&amp;"初始",$S$3:$AE$63,MATCH(BP$3,$S$3:$AE$3,0),FALSE))*$BL210/VLOOKUP(VLOOKUP($BJ210,坦克个性化设定!$B$18:$E$48,4,FALSE)&amp;$BK210,坦克属性分配比例,MATCH("升星次数",坦克属性分配比例标头,0),FALSE)*(VLOOKUP(VLOOKUP($BJ210,坦克个性化设定!$B$18:$E$48,4,FALSE)&amp;$BK210,坦克属性分配比例,MATCH("升星比例",坦克属性分配比例标头,0),FALSE)+VLOOKUP(VLOOKUP($BJ210,坦克个性化设定!$B$18:$E$48,4,FALSE)&amp;$BK210,坦克属性分配比例,MATCH("部件比例",坦克属性分配比例标头,0),FALSE)*$C$3),0)</f>
        <v>253</v>
      </c>
      <c r="BQ210" s="103">
        <f ca="1">ROUND(VLOOKUP($BJ210&amp;"初始",$S$3:$AE$63,MATCH(BQ$3,$S$3:$AE$3,0),FALSE)+(VLOOKUP($BJ210&amp;"最终",$S$3:$AE$63,MATCH(BQ$3,$S$3:$AE$3,0),FALSE)-VLOOKUP($BJ210&amp;"初始",$S$3:$AE$63,MATCH(BQ$3,$S$3:$AE$3,0),FALSE))*$BL210/VLOOKUP(VLOOKUP($BJ210,坦克个性化设定!$B$18:$E$48,4,FALSE)&amp;$BK210,坦克属性分配比例,MATCH("升星次数",坦克属性分配比例标头,0),FALSE)*VLOOKUP(VLOOKUP($BJ210,坦克个性化设定!$B$18:$E$48,4,FALSE)&amp;$BK210,坦克属性分配比例,MATCH("升星比例",坦克属性分配比例标头,0),FALSE),0)</f>
        <v>455</v>
      </c>
      <c r="BR210" s="2">
        <f ca="1">ROUND(VLOOKUP($BJ210&amp;"初始",$S$3:$AE$63,MATCH(BR$3,$S$3:$AE$3,0),FALSE)+(VLOOKUP($BJ210&amp;"最终",$S$3:$AE$63,MATCH(BR$3,$S$3:$AE$3,0),FALSE)-VLOOKUP($BJ210&amp;"初始",$S$3:$AE$63,MATCH(BR$3,$S$3:$AE$3,0),FALSE))*$BL210/VLOOKUP(VLOOKUP($BJ210,坦克个性化设定!$B$18:$E$48,4,FALSE)&amp;$BK210,坦克属性分配比例,MATCH("升星次数",坦克属性分配比例标头,0),FALSE),0)</f>
        <v>110</v>
      </c>
      <c r="BS210" s="2">
        <f>ROUND(VLOOKUP($BJ210,$AI$3:$AO$33,MATCH(BS$3,$AI$3:$AO$3,0),FALSE)+$BL210/VLOOKUP(VLOOKUP($BJ210,坦克个性化设定!$B$18:$E$48,4,FALSE)&amp;$BK210,坦克属性分配比例,MATCH("升星次数",坦克属性分配比例标头,0),FALSE)*VLOOKUP($BJ210,$AR$3:$AY$33,MATCH(BS$3,$AR$3:$AY$3,0),FALSE),1)</f>
        <v>42.1</v>
      </c>
      <c r="BT210" s="2">
        <f>ROUND(VLOOKUP($BJ210,$AI$3:$AO$33,MATCH(BT$3,$AI$3:$AO$3,0),FALSE)+$BL210/VLOOKUP(VLOOKUP($BJ210,坦克个性化设定!$B$18:$E$48,4,FALSE)&amp;$BK210,坦克属性分配比例,MATCH("升星次数",坦克属性分配比例标头,0),FALSE)*VLOOKUP($BJ210,$AR$3:$AY$33,MATCH(BT$3,$AR$3:$AY$3,0),FALSE),1)</f>
        <v>30.8</v>
      </c>
      <c r="BU210" s="2">
        <f>ROUND(VLOOKUP($BJ210,$AI$3:$AO$33,MATCH(BU$3,$AI$3:$AO$3,0),FALSE)+$BL210/VLOOKUP(VLOOKUP($BJ210,坦克个性化设定!$B$18:$E$48,4,FALSE)&amp;$BK210,坦克属性分配比例,MATCH("升星次数",坦克属性分配比例标头,0),FALSE)*VLOOKUP($BJ210,$AR$3:$AY$33,MATCH(BU$3,$AR$3:$AY$3,0),FALSE),1)</f>
        <v>7</v>
      </c>
      <c r="BV210" s="2">
        <f>IF(VLOOKUP(BJ210,坦克个性化设定!$B$18:$BC$48,MATCH("装弹类型",坦克个性化设定!$B$18:$BC$18,0),FALSE)="弹夹换弹",0,ROUND(VLOOKUP($BJ210,$AI$3:$AO$33,MATCH("换弹时间",$AI$3:$AO$3,0),FALSE)-$BL210/VLOOKUP(VLOOKUP($BJ210,坦克个性化设定!$B$18:$E$48,4,FALSE)&amp;$BK210,坦克属性分配比例,MATCH("升星次数",坦克属性分配比例标头,0),FALSE)*VLOOKUP($BJ210,$AR$3:$AY$33,MATCH("换弹时间",$AR$3:$AY$3,0),FALSE),2))</f>
        <v>5.0999999999999996</v>
      </c>
      <c r="BW210" s="2">
        <f>IF(VLOOKUP(BJ210,坦克个性化设定!$B$18:$BC$48,MATCH("装弹类型",坦克个性化设定!$B$18:$BC$18,0),FALSE)="弹夹换弹",ROUND(VLOOKUP($BJ210,$AI$3:$AO$33,MATCH("换弹时间",$AI$3:$AO$3,0),FALSE)-$BL210/VLOOKUP(VLOOKUP($BJ210,坦克个性化设定!$B$18:$E$48,4,FALSE)&amp;$BK210,坦克属性分配比例,MATCH("升星次数",坦克属性分配比例标头,0),FALSE)*VLOOKUP($BJ210,$AR$3:$AY$33,MATCH("换弹时间",$AR$3:$AY$3,0),FALSE),1),0)</f>
        <v>0</v>
      </c>
      <c r="BX210" s="2">
        <f>ROUND(VLOOKUP($BJ210,$AI$3:$AO$33,MATCH(BX$3,$AI$3:$AO$3,0),FALSE)+$BL210/VLOOKUP(VLOOKUP($BJ210,坦克个性化设定!$B$18:$E$48,4,FALSE)&amp;$BK210,坦克属性分配比例,MATCH("升星次数",坦克属性分配比例标头,0),FALSE)*VLOOKUP($BJ210,$AR$3:$AY$33,MATCH(BX$3,$AR$3:$AY$3,0),FALSE),2)</f>
        <v>2.8</v>
      </c>
      <c r="BY210" s="2">
        <f>ROUND(VLOOKUP($BJ210,$AI$3:$AO$33,MATCH(BY$3,$AI$3:$AO$3,0),FALSE)-$BL210/VLOOKUP(VLOOKUP($BJ210,坦克个性化设定!$B$18:$E$48,4,FALSE)&amp;$BK210,坦克属性分配比例,MATCH("升星次数",坦克属性分配比例标头,0),FALSE)*VLOOKUP($BJ210,$AR$3:$AY$33,MATCH(BY$3,$AR$3:$AY$3,0),FALSE),2)</f>
        <v>2.33</v>
      </c>
    </row>
    <row r="211" spans="60:77" x14ac:dyDescent="0.3">
      <c r="BH211" s="2" t="str">
        <f t="shared" si="32"/>
        <v>B-13</v>
      </c>
      <c r="BI211" s="2">
        <f>IF(BL210&gt;=VLOOKUP(VLOOKUP(BJ210,坦克个性化设定!$B$18:$E$48,4,FALSE)&amp;BK210,坦克属性分配比例,MATCH("升星次数",坦克属性分配比例标头,0),FALSE),BI210+1,BI210)</f>
        <v>21</v>
      </c>
      <c r="BJ211" s="2" t="str">
        <f t="shared" si="33"/>
        <v>B-1</v>
      </c>
      <c r="BK211" s="29" t="str">
        <f>VLOOKUP(BJ211,坦克个性化细分!$I$3:$J$33,2,FALSE)</f>
        <v>低</v>
      </c>
      <c r="BL211" s="2">
        <f t="shared" si="34"/>
        <v>3</v>
      </c>
      <c r="BM211" s="103">
        <f ca="1">ROUND(VLOOKUP($BJ211&amp;"初始",$S$3:$AE$63,MATCH(BM$3,$S$3:$AE$3,0),FALSE)+((VLOOKUP($BJ211&amp;"最终",$S$3:$AE$63,MATCH(BM$3,$S$3:$AE$3,0),FALSE)*坦克个性化细分!$C$9-VLOOKUP($BJ211&amp;"初始",$S$3:$AE$63,MATCH(BM$3,$S$3:$AE$3,0),FALSE))-(VLOOKUP($BJ211&amp;"最终",$S$3:$AE$63,MATCH(BM$3,$S$3:$AE$3,0),FALSE)-VLOOKUP($BJ211&amp;"初始",$S$3:$AE$63,MATCH(BM$3,$S$3:$AE$3,0),FALSE))*VLOOKUP(VLOOKUP($BJ211,坦克个性化设定!$B$18:$E$48,4,FALSE)&amp;$BK211,坦克属性分配比例,MATCH("部件比例",坦克属性分配比例标头,0),FALSE))*$BL211/VLOOKUP(VLOOKUP($BJ211,坦克个性化设定!$B$18:$E$48,4,FALSE)&amp;$BK211,坦克属性分配比例,MATCH("升星次数",坦克属性分配比例标头,0),FALSE),0)</f>
        <v>1062</v>
      </c>
      <c r="BN211" s="103">
        <f ca="1">ROUND(VLOOKUP($BJ211&amp;"初始",$S$3:$AE$63,MATCH(BN$3,$S$3:$AE$3,0),FALSE)+(VLOOKUP($BJ211&amp;"最终",$S$3:$AE$63,MATCH(BN$3,$S$3:$AE$3,0),FALSE)-VLOOKUP($BJ211&amp;"初始",$S$3:$AE$63,MATCH(BN$3,$S$3:$AE$3,0),FALSE))*$BL211/VLOOKUP(VLOOKUP($BJ211,坦克个性化设定!$B$18:$E$48,4,FALSE)&amp;$BK211,坦克属性分配比例,MATCH("升星次数",坦克属性分配比例标头,0),FALSE)*VLOOKUP(VLOOKUP($BJ211,坦克个性化设定!$B$18:$E$48,4,FALSE)&amp;$BK211,坦克属性分配比例,MATCH("升星比例",坦克属性分配比例标头,0),FALSE),0)</f>
        <v>403</v>
      </c>
      <c r="BO211" s="103">
        <f ca="1">ROUND(VLOOKUP($BJ211&amp;"初始",$S$3:$AE$63,MATCH(BO$3,$S$3:$AE$3,0),FALSE)+(VLOOKUP($BJ211&amp;"最终",$S$3:$AE$63,MATCH(BO$3,$S$3:$AE$3,0),FALSE)-VLOOKUP($BJ211&amp;"初始",$S$3:$AE$63,MATCH(BO$3,$S$3:$AE$3,0),FALSE))*$BL211/VLOOKUP(VLOOKUP($BJ211,坦克个性化设定!$B$18:$E$48,4,FALSE)&amp;$BK211,坦克属性分配比例,MATCH("升星次数",坦克属性分配比例标头,0),FALSE)*(VLOOKUP(VLOOKUP($BJ211,坦克个性化设定!$B$18:$E$48,4,FALSE)&amp;$BK211,坦克属性分配比例,MATCH("升星比例",坦克属性分配比例标头,0),FALSE)+VLOOKUP(VLOOKUP($BJ211,坦克个性化设定!$B$18:$E$48,4,FALSE)&amp;$BK211,坦克属性分配比例,MATCH("部件比例",坦克属性分配比例标头,0),FALSE)*$C$3),0)</f>
        <v>331</v>
      </c>
      <c r="BP211" s="103">
        <f ca="1">ROUND(VLOOKUP($BJ211&amp;"初始",$S$3:$AE$63,MATCH(BP$3,$S$3:$AE$3,0),FALSE)+(VLOOKUP($BJ211&amp;"最终",$S$3:$AE$63,MATCH(BP$3,$S$3:$AE$3,0),FALSE)-VLOOKUP($BJ211&amp;"初始",$S$3:$AE$63,MATCH(BP$3,$S$3:$AE$3,0),FALSE))*$BL211/VLOOKUP(VLOOKUP($BJ211,坦克个性化设定!$B$18:$E$48,4,FALSE)&amp;$BK211,坦克属性分配比例,MATCH("升星次数",坦克属性分配比例标头,0),FALSE)*(VLOOKUP(VLOOKUP($BJ211,坦克个性化设定!$B$18:$E$48,4,FALSE)&amp;$BK211,坦克属性分配比例,MATCH("升星比例",坦克属性分配比例标头,0),FALSE)+VLOOKUP(VLOOKUP($BJ211,坦克个性化设定!$B$18:$E$48,4,FALSE)&amp;$BK211,坦克属性分配比例,MATCH("部件比例",坦克属性分配比例标头,0),FALSE)*$C$3),0)</f>
        <v>265</v>
      </c>
      <c r="BQ211" s="103">
        <f ca="1">ROUND(VLOOKUP($BJ211&amp;"初始",$S$3:$AE$63,MATCH(BQ$3,$S$3:$AE$3,0),FALSE)+(VLOOKUP($BJ211&amp;"最终",$S$3:$AE$63,MATCH(BQ$3,$S$3:$AE$3,0),FALSE)-VLOOKUP($BJ211&amp;"初始",$S$3:$AE$63,MATCH(BQ$3,$S$3:$AE$3,0),FALSE))*$BL211/VLOOKUP(VLOOKUP($BJ211,坦克个性化设定!$B$18:$E$48,4,FALSE)&amp;$BK211,坦克属性分配比例,MATCH("升星次数",坦克属性分配比例标头,0),FALSE)*VLOOKUP(VLOOKUP($BJ211,坦克个性化设定!$B$18:$E$48,4,FALSE)&amp;$BK211,坦克属性分配比例,MATCH("升星比例",坦克属性分配比例标头,0),FALSE),0)</f>
        <v>473</v>
      </c>
      <c r="BR211" s="2">
        <f ca="1">ROUND(VLOOKUP($BJ211&amp;"初始",$S$3:$AE$63,MATCH(BR$3,$S$3:$AE$3,0),FALSE)+(VLOOKUP($BJ211&amp;"最终",$S$3:$AE$63,MATCH(BR$3,$S$3:$AE$3,0),FALSE)-VLOOKUP($BJ211&amp;"初始",$S$3:$AE$63,MATCH(BR$3,$S$3:$AE$3,0),FALSE))*$BL211/VLOOKUP(VLOOKUP($BJ211,坦克个性化设定!$B$18:$E$48,4,FALSE)&amp;$BK211,坦克属性分配比例,MATCH("升星次数",坦克属性分配比例标头,0),FALSE),0)</f>
        <v>115</v>
      </c>
      <c r="BS211" s="2">
        <f>ROUND(VLOOKUP($BJ211,$AI$3:$AO$33,MATCH(BS$3,$AI$3:$AO$3,0),FALSE)+$BL211/VLOOKUP(VLOOKUP($BJ211,坦克个性化设定!$B$18:$E$48,4,FALSE)&amp;$BK211,坦克属性分配比例,MATCH("升星次数",坦克属性分配比例标头,0),FALSE)*VLOOKUP($BJ211,$AR$3:$AY$33,MATCH(BS$3,$AR$3:$AY$3,0),FALSE),1)</f>
        <v>44</v>
      </c>
      <c r="BT211" s="2">
        <f>ROUND(VLOOKUP($BJ211,$AI$3:$AO$33,MATCH(BT$3,$AI$3:$AO$3,0),FALSE)+$BL211/VLOOKUP(VLOOKUP($BJ211,坦克个性化设定!$B$18:$E$48,4,FALSE)&amp;$BK211,坦克属性分配比例,MATCH("升星次数",坦克属性分配比例标头,0),FALSE)*VLOOKUP($BJ211,$AR$3:$AY$33,MATCH(BT$3,$AR$3:$AY$3,0),FALSE),1)</f>
        <v>32.200000000000003</v>
      </c>
      <c r="BU211" s="2">
        <f>ROUND(VLOOKUP($BJ211,$AI$3:$AO$33,MATCH(BU$3,$AI$3:$AO$3,0),FALSE)+$BL211/VLOOKUP(VLOOKUP($BJ211,坦克个性化设定!$B$18:$E$48,4,FALSE)&amp;$BK211,坦克属性分配比例,MATCH("升星次数",坦克属性分配比例标头,0),FALSE)*VLOOKUP($BJ211,$AR$3:$AY$33,MATCH(BU$3,$AR$3:$AY$3,0),FALSE),1)</f>
        <v>7</v>
      </c>
      <c r="BV211" s="2">
        <f>IF(VLOOKUP(BJ211,坦克个性化设定!$B$18:$BC$48,MATCH("装弹类型",坦克个性化设定!$B$18:$BC$18,0),FALSE)="弹夹换弹",0,ROUND(VLOOKUP($BJ211,$AI$3:$AO$33,MATCH("换弹时间",$AI$3:$AO$3,0),FALSE)-$BL211/VLOOKUP(VLOOKUP($BJ211,坦克个性化设定!$B$18:$E$48,4,FALSE)&amp;$BK211,坦克属性分配比例,MATCH("升星次数",坦克属性分配比例标头,0),FALSE)*VLOOKUP($BJ211,$AR$3:$AY$33,MATCH("换弹时间",$AR$3:$AY$3,0),FALSE),2))</f>
        <v>4.9400000000000004</v>
      </c>
      <c r="BW211" s="2">
        <f>IF(VLOOKUP(BJ211,坦克个性化设定!$B$18:$BC$48,MATCH("装弹类型",坦克个性化设定!$B$18:$BC$18,0),FALSE)="弹夹换弹",ROUND(VLOOKUP($BJ211,$AI$3:$AO$33,MATCH("换弹时间",$AI$3:$AO$3,0),FALSE)-$BL211/VLOOKUP(VLOOKUP($BJ211,坦克个性化设定!$B$18:$E$48,4,FALSE)&amp;$BK211,坦克属性分配比例,MATCH("升星次数",坦克属性分配比例标头,0),FALSE)*VLOOKUP($BJ211,$AR$3:$AY$33,MATCH("换弹时间",$AR$3:$AY$3,0),FALSE),1),0)</f>
        <v>0</v>
      </c>
      <c r="BX211" s="2">
        <f>ROUND(VLOOKUP($BJ211,$AI$3:$AO$33,MATCH(BX$3,$AI$3:$AO$3,0),FALSE)+$BL211/VLOOKUP(VLOOKUP($BJ211,坦克个性化设定!$B$18:$E$48,4,FALSE)&amp;$BK211,坦克属性分配比例,MATCH("升星次数",坦克属性分配比例标头,0),FALSE)*VLOOKUP($BJ211,$AR$3:$AY$33,MATCH(BX$3,$AR$3:$AY$3,0),FALSE),2)</f>
        <v>2.8</v>
      </c>
      <c r="BY211" s="2">
        <f>ROUND(VLOOKUP($BJ211,$AI$3:$AO$33,MATCH(BY$3,$AI$3:$AO$3,0),FALSE)-$BL211/VLOOKUP(VLOOKUP($BJ211,坦克个性化设定!$B$18:$E$48,4,FALSE)&amp;$BK211,坦克属性分配比例,MATCH("升星次数",坦克属性分配比例标头,0),FALSE)*VLOOKUP($BJ211,$AR$3:$AY$33,MATCH(BY$3,$AR$3:$AY$3,0),FALSE),2)</f>
        <v>2.25</v>
      </c>
    </row>
    <row r="212" spans="60:77" x14ac:dyDescent="0.3">
      <c r="BH212" s="2" t="str">
        <f t="shared" si="32"/>
        <v>B-14</v>
      </c>
      <c r="BI212" s="2">
        <f>IF(BL211&gt;=VLOOKUP(VLOOKUP(BJ211,坦克个性化设定!$B$18:$E$48,4,FALSE)&amp;BK211,坦克属性分配比例,MATCH("升星次数",坦克属性分配比例标头,0),FALSE),BI211+1,BI211)</f>
        <v>21</v>
      </c>
      <c r="BJ212" s="2" t="str">
        <f t="shared" si="33"/>
        <v>B-1</v>
      </c>
      <c r="BK212" s="29" t="str">
        <f>VLOOKUP(BJ212,坦克个性化细分!$I$3:$J$33,2,FALSE)</f>
        <v>低</v>
      </c>
      <c r="BL212" s="2">
        <f t="shared" si="34"/>
        <v>4</v>
      </c>
      <c r="BM212" s="103">
        <f ca="1">ROUND(VLOOKUP($BJ212&amp;"初始",$S$3:$AE$63,MATCH(BM$3,$S$3:$AE$3,0),FALSE)+((VLOOKUP($BJ212&amp;"最终",$S$3:$AE$63,MATCH(BM$3,$S$3:$AE$3,0),FALSE)*坦克个性化细分!$C$9-VLOOKUP($BJ212&amp;"初始",$S$3:$AE$63,MATCH(BM$3,$S$3:$AE$3,0),FALSE))-(VLOOKUP($BJ212&amp;"最终",$S$3:$AE$63,MATCH(BM$3,$S$3:$AE$3,0),FALSE)-VLOOKUP($BJ212&amp;"初始",$S$3:$AE$63,MATCH(BM$3,$S$3:$AE$3,0),FALSE))*VLOOKUP(VLOOKUP($BJ212,坦克个性化设定!$B$18:$E$48,4,FALSE)&amp;$BK212,坦克属性分配比例,MATCH("部件比例",坦克属性分配比例标头,0),FALSE))*$BL212/VLOOKUP(VLOOKUP($BJ212,坦克个性化设定!$B$18:$E$48,4,FALSE)&amp;$BK212,坦克属性分配比例,MATCH("升星次数",坦克属性分配比例标头,0),FALSE),0)</f>
        <v>1174</v>
      </c>
      <c r="BN212" s="103">
        <f ca="1">ROUND(VLOOKUP($BJ212&amp;"初始",$S$3:$AE$63,MATCH(BN$3,$S$3:$AE$3,0),FALSE)+(VLOOKUP($BJ212&amp;"最终",$S$3:$AE$63,MATCH(BN$3,$S$3:$AE$3,0),FALSE)-VLOOKUP($BJ212&amp;"初始",$S$3:$AE$63,MATCH(BN$3,$S$3:$AE$3,0),FALSE))*$BL212/VLOOKUP(VLOOKUP($BJ212,坦克个性化设定!$B$18:$E$48,4,FALSE)&amp;$BK212,坦克属性分配比例,MATCH("升星次数",坦克属性分配比例标头,0),FALSE)*VLOOKUP(VLOOKUP($BJ212,坦克个性化设定!$B$18:$E$48,4,FALSE)&amp;$BK212,坦克属性分配比例,MATCH("升星比例",坦克属性分配比例标头,0),FALSE),0)</f>
        <v>418</v>
      </c>
      <c r="BO212" s="103">
        <f ca="1">ROUND(VLOOKUP($BJ212&amp;"初始",$S$3:$AE$63,MATCH(BO$3,$S$3:$AE$3,0),FALSE)+(VLOOKUP($BJ212&amp;"最终",$S$3:$AE$63,MATCH(BO$3,$S$3:$AE$3,0),FALSE)-VLOOKUP($BJ212&amp;"初始",$S$3:$AE$63,MATCH(BO$3,$S$3:$AE$3,0),FALSE))*$BL212/VLOOKUP(VLOOKUP($BJ212,坦克个性化设定!$B$18:$E$48,4,FALSE)&amp;$BK212,坦克属性分配比例,MATCH("升星次数",坦克属性分配比例标头,0),FALSE)*(VLOOKUP(VLOOKUP($BJ212,坦克个性化设定!$B$18:$E$48,4,FALSE)&amp;$BK212,坦克属性分配比例,MATCH("升星比例",坦克属性分配比例标头,0),FALSE)+VLOOKUP(VLOOKUP($BJ212,坦克个性化设定!$B$18:$E$48,4,FALSE)&amp;$BK212,坦克属性分配比例,MATCH("部件比例",坦克属性分配比例标头,0),FALSE)*$C$3),0)</f>
        <v>346</v>
      </c>
      <c r="BP212" s="103">
        <f ca="1">ROUND(VLOOKUP($BJ212&amp;"初始",$S$3:$AE$63,MATCH(BP$3,$S$3:$AE$3,0),FALSE)+(VLOOKUP($BJ212&amp;"最终",$S$3:$AE$63,MATCH(BP$3,$S$3:$AE$3,0),FALSE)-VLOOKUP($BJ212&amp;"初始",$S$3:$AE$63,MATCH(BP$3,$S$3:$AE$3,0),FALSE))*$BL212/VLOOKUP(VLOOKUP($BJ212,坦克个性化设定!$B$18:$E$48,4,FALSE)&amp;$BK212,坦克属性分配比例,MATCH("升星次数",坦克属性分配比例标头,0),FALSE)*(VLOOKUP(VLOOKUP($BJ212,坦克个性化设定!$B$18:$E$48,4,FALSE)&amp;$BK212,坦克属性分配比例,MATCH("升星比例",坦克属性分配比例标头,0),FALSE)+VLOOKUP(VLOOKUP($BJ212,坦克个性化设定!$B$18:$E$48,4,FALSE)&amp;$BK212,坦克属性分配比例,MATCH("部件比例",坦克属性分配比例标头,0),FALSE)*$C$3),0)</f>
        <v>277</v>
      </c>
      <c r="BQ212" s="103">
        <f ca="1">ROUND(VLOOKUP($BJ212&amp;"初始",$S$3:$AE$63,MATCH(BQ$3,$S$3:$AE$3,0),FALSE)+(VLOOKUP($BJ212&amp;"最终",$S$3:$AE$63,MATCH(BQ$3,$S$3:$AE$3,0),FALSE)-VLOOKUP($BJ212&amp;"初始",$S$3:$AE$63,MATCH(BQ$3,$S$3:$AE$3,0),FALSE))*$BL212/VLOOKUP(VLOOKUP($BJ212,坦克个性化设定!$B$18:$E$48,4,FALSE)&amp;$BK212,坦克属性分配比例,MATCH("升星次数",坦克属性分配比例标头,0),FALSE)*VLOOKUP(VLOOKUP($BJ212,坦克个性化设定!$B$18:$E$48,4,FALSE)&amp;$BK212,坦克属性分配比例,MATCH("升星比例",坦克属性分配比例标头,0),FALSE),0)</f>
        <v>491</v>
      </c>
      <c r="BR212" s="2">
        <f ca="1">ROUND(VLOOKUP($BJ212&amp;"初始",$S$3:$AE$63,MATCH(BR$3,$S$3:$AE$3,0),FALSE)+(VLOOKUP($BJ212&amp;"最终",$S$3:$AE$63,MATCH(BR$3,$S$3:$AE$3,0),FALSE)-VLOOKUP($BJ212&amp;"初始",$S$3:$AE$63,MATCH(BR$3,$S$3:$AE$3,0),FALSE))*$BL212/VLOOKUP(VLOOKUP($BJ212,坦克个性化设定!$B$18:$E$48,4,FALSE)&amp;$BK212,坦克属性分配比例,MATCH("升星次数",坦克属性分配比例标头,0),FALSE),0)</f>
        <v>121</v>
      </c>
      <c r="BS212" s="2">
        <f>ROUND(VLOOKUP($BJ212,$AI$3:$AO$33,MATCH(BS$3,$AI$3:$AO$3,0),FALSE)+$BL212/VLOOKUP(VLOOKUP($BJ212,坦克个性化设定!$B$18:$E$48,4,FALSE)&amp;$BK212,坦克属性分配比例,MATCH("升星次数",坦克属性分配比例标头,0),FALSE)*VLOOKUP($BJ212,$AR$3:$AY$33,MATCH(BS$3,$AR$3:$AY$3,0),FALSE),1)</f>
        <v>46</v>
      </c>
      <c r="BT212" s="2">
        <f>ROUND(VLOOKUP($BJ212,$AI$3:$AO$33,MATCH(BT$3,$AI$3:$AO$3,0),FALSE)+$BL212/VLOOKUP(VLOOKUP($BJ212,坦克个性化设定!$B$18:$E$48,4,FALSE)&amp;$BK212,坦克属性分配比例,MATCH("升星次数",坦克属性分配比例标头,0),FALSE)*VLOOKUP($BJ212,$AR$3:$AY$33,MATCH(BT$3,$AR$3:$AY$3,0),FALSE),1)</f>
        <v>33.6</v>
      </c>
      <c r="BU212" s="2">
        <f>ROUND(VLOOKUP($BJ212,$AI$3:$AO$33,MATCH(BU$3,$AI$3:$AO$3,0),FALSE)+$BL212/VLOOKUP(VLOOKUP($BJ212,坦克个性化设定!$B$18:$E$48,4,FALSE)&amp;$BK212,坦克属性分配比例,MATCH("升星次数",坦克属性分配比例标头,0),FALSE)*VLOOKUP($BJ212,$AR$3:$AY$33,MATCH(BU$3,$AR$3:$AY$3,0),FALSE),1)</f>
        <v>7</v>
      </c>
      <c r="BV212" s="2">
        <f>IF(VLOOKUP(BJ212,坦克个性化设定!$B$18:$BC$48,MATCH("装弹类型",坦克个性化设定!$B$18:$BC$18,0),FALSE)="弹夹换弹",0,ROUND(VLOOKUP($BJ212,$AI$3:$AO$33,MATCH("换弹时间",$AI$3:$AO$3,0),FALSE)-$BL212/VLOOKUP(VLOOKUP($BJ212,坦克个性化设定!$B$18:$E$48,4,FALSE)&amp;$BK212,坦克属性分配比例,MATCH("升星次数",坦克属性分配比例标头,0),FALSE)*VLOOKUP($BJ212,$AR$3:$AY$33,MATCH("换弹时间",$AR$3:$AY$3,0),FALSE),2))</f>
        <v>4.79</v>
      </c>
      <c r="BW212" s="2">
        <f>IF(VLOOKUP(BJ212,坦克个性化设定!$B$18:$BC$48,MATCH("装弹类型",坦克个性化设定!$B$18:$BC$18,0),FALSE)="弹夹换弹",ROUND(VLOOKUP($BJ212,$AI$3:$AO$33,MATCH("换弹时间",$AI$3:$AO$3,0),FALSE)-$BL212/VLOOKUP(VLOOKUP($BJ212,坦克个性化设定!$B$18:$E$48,4,FALSE)&amp;$BK212,坦克属性分配比例,MATCH("升星次数",坦克属性分配比例标头,0),FALSE)*VLOOKUP($BJ212,$AR$3:$AY$33,MATCH("换弹时间",$AR$3:$AY$3,0),FALSE),1),0)</f>
        <v>0</v>
      </c>
      <c r="BX212" s="2">
        <f>ROUND(VLOOKUP($BJ212,$AI$3:$AO$33,MATCH(BX$3,$AI$3:$AO$3,0),FALSE)+$BL212/VLOOKUP(VLOOKUP($BJ212,坦克个性化设定!$B$18:$E$48,4,FALSE)&amp;$BK212,坦克属性分配比例,MATCH("升星次数",坦克属性分配比例标头,0),FALSE)*VLOOKUP($BJ212,$AR$3:$AY$33,MATCH(BX$3,$AR$3:$AY$3,0),FALSE),2)</f>
        <v>2.8</v>
      </c>
      <c r="BY212" s="2">
        <f>ROUND(VLOOKUP($BJ212,$AI$3:$AO$33,MATCH(BY$3,$AI$3:$AO$3,0),FALSE)-$BL212/VLOOKUP(VLOOKUP($BJ212,坦克个性化设定!$B$18:$E$48,4,FALSE)&amp;$BK212,坦克属性分配比例,MATCH("升星次数",坦克属性分配比例标头,0),FALSE)*VLOOKUP($BJ212,$AR$3:$AY$33,MATCH(BY$3,$AR$3:$AY$3,0),FALSE),2)</f>
        <v>2.17</v>
      </c>
    </row>
    <row r="213" spans="60:77" x14ac:dyDescent="0.3">
      <c r="BH213" s="2" t="str">
        <f t="shared" si="32"/>
        <v>B-15</v>
      </c>
      <c r="BI213" s="2">
        <f>IF(BL212&gt;=VLOOKUP(VLOOKUP(BJ212,坦克个性化设定!$B$18:$E$48,4,FALSE)&amp;BK212,坦克属性分配比例,MATCH("升星次数",坦克属性分配比例标头,0),FALSE),BI212+1,BI212)</f>
        <v>21</v>
      </c>
      <c r="BJ213" s="2" t="str">
        <f t="shared" si="33"/>
        <v>B-1</v>
      </c>
      <c r="BK213" s="29" t="str">
        <f>VLOOKUP(BJ213,坦克个性化细分!$I$3:$J$33,2,FALSE)</f>
        <v>低</v>
      </c>
      <c r="BL213" s="2">
        <f t="shared" si="34"/>
        <v>5</v>
      </c>
      <c r="BM213" s="103">
        <f ca="1">ROUND(VLOOKUP($BJ213&amp;"初始",$S$3:$AE$63,MATCH(BM$3,$S$3:$AE$3,0),FALSE)+((VLOOKUP($BJ213&amp;"最终",$S$3:$AE$63,MATCH(BM$3,$S$3:$AE$3,0),FALSE)*坦克个性化细分!$C$9-VLOOKUP($BJ213&amp;"初始",$S$3:$AE$63,MATCH(BM$3,$S$3:$AE$3,0),FALSE))-(VLOOKUP($BJ213&amp;"最终",$S$3:$AE$63,MATCH(BM$3,$S$3:$AE$3,0),FALSE)-VLOOKUP($BJ213&amp;"初始",$S$3:$AE$63,MATCH(BM$3,$S$3:$AE$3,0),FALSE))*VLOOKUP(VLOOKUP($BJ213,坦克个性化设定!$B$18:$E$48,4,FALSE)&amp;$BK213,坦克属性分配比例,MATCH("部件比例",坦克属性分配比例标头,0),FALSE))*$BL213/VLOOKUP(VLOOKUP($BJ213,坦克个性化设定!$B$18:$E$48,4,FALSE)&amp;$BK213,坦克属性分配比例,MATCH("升星次数",坦克属性分配比例标头,0),FALSE),0)</f>
        <v>1287</v>
      </c>
      <c r="BN213" s="103">
        <f ca="1">ROUND(VLOOKUP($BJ213&amp;"初始",$S$3:$AE$63,MATCH(BN$3,$S$3:$AE$3,0),FALSE)+(VLOOKUP($BJ213&amp;"最终",$S$3:$AE$63,MATCH(BN$3,$S$3:$AE$3,0),FALSE)-VLOOKUP($BJ213&amp;"初始",$S$3:$AE$63,MATCH(BN$3,$S$3:$AE$3,0),FALSE))*$BL213/VLOOKUP(VLOOKUP($BJ213,坦克个性化设定!$B$18:$E$48,4,FALSE)&amp;$BK213,坦克属性分配比例,MATCH("升星次数",坦克属性分配比例标头,0),FALSE)*VLOOKUP(VLOOKUP($BJ213,坦克个性化设定!$B$18:$E$48,4,FALSE)&amp;$BK213,坦克属性分配比例,MATCH("升星比例",坦克属性分配比例标头,0),FALSE),0)</f>
        <v>433</v>
      </c>
      <c r="BO213" s="103">
        <f ca="1">ROUND(VLOOKUP($BJ213&amp;"初始",$S$3:$AE$63,MATCH(BO$3,$S$3:$AE$3,0),FALSE)+(VLOOKUP($BJ213&amp;"最终",$S$3:$AE$63,MATCH(BO$3,$S$3:$AE$3,0),FALSE)-VLOOKUP($BJ213&amp;"初始",$S$3:$AE$63,MATCH(BO$3,$S$3:$AE$3,0),FALSE))*$BL213/VLOOKUP(VLOOKUP($BJ213,坦克个性化设定!$B$18:$E$48,4,FALSE)&amp;$BK213,坦克属性分配比例,MATCH("升星次数",坦克属性分配比例标头,0),FALSE)*(VLOOKUP(VLOOKUP($BJ213,坦克个性化设定!$B$18:$E$48,4,FALSE)&amp;$BK213,坦克属性分配比例,MATCH("升星比例",坦克属性分配比例标头,0),FALSE)+VLOOKUP(VLOOKUP($BJ213,坦克个性化设定!$B$18:$E$48,4,FALSE)&amp;$BK213,坦克属性分配比例,MATCH("部件比例",坦克属性分配比例标头,0),FALSE)*$C$3),0)</f>
        <v>361</v>
      </c>
      <c r="BP213" s="103">
        <f ca="1">ROUND(VLOOKUP($BJ213&amp;"初始",$S$3:$AE$63,MATCH(BP$3,$S$3:$AE$3,0),FALSE)+(VLOOKUP($BJ213&amp;"最终",$S$3:$AE$63,MATCH(BP$3,$S$3:$AE$3,0),FALSE)-VLOOKUP($BJ213&amp;"初始",$S$3:$AE$63,MATCH(BP$3,$S$3:$AE$3,0),FALSE))*$BL213/VLOOKUP(VLOOKUP($BJ213,坦克个性化设定!$B$18:$E$48,4,FALSE)&amp;$BK213,坦克属性分配比例,MATCH("升星次数",坦克属性分配比例标头,0),FALSE)*(VLOOKUP(VLOOKUP($BJ213,坦克个性化设定!$B$18:$E$48,4,FALSE)&amp;$BK213,坦克属性分配比例,MATCH("升星比例",坦克属性分配比例标头,0),FALSE)+VLOOKUP(VLOOKUP($BJ213,坦克个性化设定!$B$18:$E$48,4,FALSE)&amp;$BK213,坦克属性分配比例,MATCH("部件比例",坦克属性分配比例标头,0),FALSE)*$C$3),0)</f>
        <v>289</v>
      </c>
      <c r="BQ213" s="103">
        <f ca="1">ROUND(VLOOKUP($BJ213&amp;"初始",$S$3:$AE$63,MATCH(BQ$3,$S$3:$AE$3,0),FALSE)+(VLOOKUP($BJ213&amp;"最终",$S$3:$AE$63,MATCH(BQ$3,$S$3:$AE$3,0),FALSE)-VLOOKUP($BJ213&amp;"初始",$S$3:$AE$63,MATCH(BQ$3,$S$3:$AE$3,0),FALSE))*$BL213/VLOOKUP(VLOOKUP($BJ213,坦克个性化设定!$B$18:$E$48,4,FALSE)&amp;$BK213,坦克属性分配比例,MATCH("升星次数",坦克属性分配比例标头,0),FALSE)*VLOOKUP(VLOOKUP($BJ213,坦克个性化设定!$B$18:$E$48,4,FALSE)&amp;$BK213,坦克属性分配比例,MATCH("升星比例",坦克属性分配比例标头,0),FALSE),0)</f>
        <v>508</v>
      </c>
      <c r="BR213" s="2">
        <f ca="1">ROUND(VLOOKUP($BJ213&amp;"初始",$S$3:$AE$63,MATCH(BR$3,$S$3:$AE$3,0),FALSE)+(VLOOKUP($BJ213&amp;"最终",$S$3:$AE$63,MATCH(BR$3,$S$3:$AE$3,0),FALSE)-VLOOKUP($BJ213&amp;"初始",$S$3:$AE$63,MATCH(BR$3,$S$3:$AE$3,0),FALSE))*$BL213/VLOOKUP(VLOOKUP($BJ213,坦克个性化设定!$B$18:$E$48,4,FALSE)&amp;$BK213,坦克属性分配比例,MATCH("升星次数",坦克属性分配比例标头,0),FALSE),0)</f>
        <v>127</v>
      </c>
      <c r="BS213" s="2">
        <f>ROUND(VLOOKUP($BJ213,$AI$3:$AO$33,MATCH(BS$3,$AI$3:$AO$3,0),FALSE)+$BL213/VLOOKUP(VLOOKUP($BJ213,坦克个性化设定!$B$18:$E$48,4,FALSE)&amp;$BK213,坦克属性分配比例,MATCH("升星次数",坦克属性分配比例标头,0),FALSE)*VLOOKUP($BJ213,$AR$3:$AY$33,MATCH(BS$3,$AR$3:$AY$3,0),FALSE),1)</f>
        <v>47.9</v>
      </c>
      <c r="BT213" s="2">
        <f>ROUND(VLOOKUP($BJ213,$AI$3:$AO$33,MATCH(BT$3,$AI$3:$AO$3,0),FALSE)+$BL213/VLOOKUP(VLOOKUP($BJ213,坦克个性化设定!$B$18:$E$48,4,FALSE)&amp;$BK213,坦克属性分配比例,MATCH("升星次数",坦克属性分配比例标头,0),FALSE)*VLOOKUP($BJ213,$AR$3:$AY$33,MATCH(BT$3,$AR$3:$AY$3,0),FALSE),1)</f>
        <v>35</v>
      </c>
      <c r="BU213" s="2">
        <f>ROUND(VLOOKUP($BJ213,$AI$3:$AO$33,MATCH(BU$3,$AI$3:$AO$3,0),FALSE)+$BL213/VLOOKUP(VLOOKUP($BJ213,坦克个性化设定!$B$18:$E$48,4,FALSE)&amp;$BK213,坦克属性分配比例,MATCH("升星次数",坦克属性分配比例标头,0),FALSE)*VLOOKUP($BJ213,$AR$3:$AY$33,MATCH(BU$3,$AR$3:$AY$3,0),FALSE),1)</f>
        <v>7</v>
      </c>
      <c r="BV213" s="2">
        <f>IF(VLOOKUP(BJ213,坦克个性化设定!$B$18:$BC$48,MATCH("装弹类型",坦克个性化设定!$B$18:$BC$18,0),FALSE)="弹夹换弹",0,ROUND(VLOOKUP($BJ213,$AI$3:$AO$33,MATCH("换弹时间",$AI$3:$AO$3,0),FALSE)-$BL213/VLOOKUP(VLOOKUP($BJ213,坦克个性化设定!$B$18:$E$48,4,FALSE)&amp;$BK213,坦克属性分配比例,MATCH("升星次数",坦克属性分配比例标头,0),FALSE)*VLOOKUP($BJ213,$AR$3:$AY$33,MATCH("换弹时间",$AR$3:$AY$3,0),FALSE),2))</f>
        <v>4.6399999999999997</v>
      </c>
      <c r="BW213" s="2">
        <f>IF(VLOOKUP(BJ213,坦克个性化设定!$B$18:$BC$48,MATCH("装弹类型",坦克个性化设定!$B$18:$BC$18,0),FALSE)="弹夹换弹",ROUND(VLOOKUP($BJ213,$AI$3:$AO$33,MATCH("换弹时间",$AI$3:$AO$3,0),FALSE)-$BL213/VLOOKUP(VLOOKUP($BJ213,坦克个性化设定!$B$18:$E$48,4,FALSE)&amp;$BK213,坦克属性分配比例,MATCH("升星次数",坦克属性分配比例标头,0),FALSE)*VLOOKUP($BJ213,$AR$3:$AY$33,MATCH("换弹时间",$AR$3:$AY$3,0),FALSE),1),0)</f>
        <v>0</v>
      </c>
      <c r="BX213" s="2">
        <f>ROUND(VLOOKUP($BJ213,$AI$3:$AO$33,MATCH(BX$3,$AI$3:$AO$3,0),FALSE)+$BL213/VLOOKUP(VLOOKUP($BJ213,坦克个性化设定!$B$18:$E$48,4,FALSE)&amp;$BK213,坦克属性分配比例,MATCH("升星次数",坦克属性分配比例标头,0),FALSE)*VLOOKUP($BJ213,$AR$3:$AY$33,MATCH(BX$3,$AR$3:$AY$3,0),FALSE),2)</f>
        <v>2.8</v>
      </c>
      <c r="BY213" s="2">
        <f>ROUND(VLOOKUP($BJ213,$AI$3:$AO$33,MATCH(BY$3,$AI$3:$AO$3,0),FALSE)-$BL213/VLOOKUP(VLOOKUP($BJ213,坦克个性化设定!$B$18:$E$48,4,FALSE)&amp;$BK213,坦克属性分配比例,MATCH("升星次数",坦克属性分配比例标头,0),FALSE)*VLOOKUP($BJ213,$AR$3:$AY$33,MATCH(BY$3,$AR$3:$AY$3,0),FALSE),2)</f>
        <v>2.08</v>
      </c>
    </row>
    <row r="214" spans="60:77" x14ac:dyDescent="0.3">
      <c r="BH214" s="2" t="str">
        <f t="shared" si="32"/>
        <v>KV-10</v>
      </c>
      <c r="BI214" s="2">
        <f>IF(BL213&gt;=VLOOKUP(VLOOKUP(BJ213,坦克个性化设定!$B$18:$E$48,4,FALSE)&amp;BK213,坦克属性分配比例,MATCH("升星次数",坦克属性分配比例标头,0),FALSE),BI213+1,BI213)</f>
        <v>22</v>
      </c>
      <c r="BJ214" s="2" t="str">
        <f t="shared" si="33"/>
        <v>KV-1</v>
      </c>
      <c r="BK214" s="29" t="str">
        <f>VLOOKUP(BJ214,坦克个性化细分!$I$3:$J$33,2,FALSE)</f>
        <v>低</v>
      </c>
      <c r="BL214" s="2">
        <f t="shared" si="34"/>
        <v>0</v>
      </c>
      <c r="BM214" s="103">
        <f ca="1">ROUND(VLOOKUP($BJ214&amp;"初始",$S$3:$AE$63,MATCH(BM$3,$S$3:$AE$3,0),FALSE)+((VLOOKUP($BJ214&amp;"最终",$S$3:$AE$63,MATCH(BM$3,$S$3:$AE$3,0),FALSE)*坦克个性化细分!$C$9-VLOOKUP($BJ214&amp;"初始",$S$3:$AE$63,MATCH(BM$3,$S$3:$AE$3,0),FALSE))-(VLOOKUP($BJ214&amp;"最终",$S$3:$AE$63,MATCH(BM$3,$S$3:$AE$3,0),FALSE)-VLOOKUP($BJ214&amp;"初始",$S$3:$AE$63,MATCH(BM$3,$S$3:$AE$3,0),FALSE))*VLOOKUP(VLOOKUP($BJ214,坦克个性化设定!$B$18:$E$48,4,FALSE)&amp;$BK214,坦克属性分配比例,MATCH("部件比例",坦克属性分配比例标头,0),FALSE))*$BL214/VLOOKUP(VLOOKUP($BJ214,坦克个性化设定!$B$18:$E$48,4,FALSE)&amp;$BK214,坦克属性分配比例,MATCH("升星次数",坦克属性分配比例标头,0),FALSE),0)</f>
        <v>1106</v>
      </c>
      <c r="BN214" s="103">
        <f ca="1">ROUND(VLOOKUP($BJ214&amp;"初始",$S$3:$AE$63,MATCH(BN$3,$S$3:$AE$3,0),FALSE)+(VLOOKUP($BJ214&amp;"最终",$S$3:$AE$63,MATCH(BN$3,$S$3:$AE$3,0),FALSE)-VLOOKUP($BJ214&amp;"初始",$S$3:$AE$63,MATCH(BN$3,$S$3:$AE$3,0),FALSE))*$BL214/VLOOKUP(VLOOKUP($BJ214,坦克个性化设定!$B$18:$E$48,4,FALSE)&amp;$BK214,坦克属性分配比例,MATCH("升星次数",坦克属性分配比例标头,0),FALSE)*VLOOKUP(VLOOKUP($BJ214,坦克个性化设定!$B$18:$E$48,4,FALSE)&amp;$BK214,坦克属性分配比例,MATCH("升星比例",坦克属性分配比例标头,0),FALSE),0)</f>
        <v>257</v>
      </c>
      <c r="BO214" s="103">
        <f ca="1">ROUND(VLOOKUP($BJ214&amp;"初始",$S$3:$AE$63,MATCH(BO$3,$S$3:$AE$3,0),FALSE)+(VLOOKUP($BJ214&amp;"最终",$S$3:$AE$63,MATCH(BO$3,$S$3:$AE$3,0),FALSE)-VLOOKUP($BJ214&amp;"初始",$S$3:$AE$63,MATCH(BO$3,$S$3:$AE$3,0),FALSE))*$BL214/VLOOKUP(VLOOKUP($BJ214,坦克个性化设定!$B$18:$E$48,4,FALSE)&amp;$BK214,坦克属性分配比例,MATCH("升星次数",坦克属性分配比例标头,0),FALSE)*(VLOOKUP(VLOOKUP($BJ214,坦克个性化设定!$B$18:$E$48,4,FALSE)&amp;$BK214,坦克属性分配比例,MATCH("升星比例",坦克属性分配比例标头,0),FALSE)+VLOOKUP(VLOOKUP($BJ214,坦克个性化设定!$B$18:$E$48,4,FALSE)&amp;$BK214,坦克属性分配比例,MATCH("部件比例",坦克属性分配比例标头,0),FALSE)*$C$3),0)</f>
        <v>343</v>
      </c>
      <c r="BP214" s="103">
        <f ca="1">ROUND(VLOOKUP($BJ214&amp;"初始",$S$3:$AE$63,MATCH(BP$3,$S$3:$AE$3,0),FALSE)+(VLOOKUP($BJ214&amp;"最终",$S$3:$AE$63,MATCH(BP$3,$S$3:$AE$3,0),FALSE)-VLOOKUP($BJ214&amp;"初始",$S$3:$AE$63,MATCH(BP$3,$S$3:$AE$3,0),FALSE))*$BL214/VLOOKUP(VLOOKUP($BJ214,坦克个性化设定!$B$18:$E$48,4,FALSE)&amp;$BK214,坦克属性分配比例,MATCH("升星次数",坦克属性分配比例标头,0),FALSE)*(VLOOKUP(VLOOKUP($BJ214,坦克个性化设定!$B$18:$E$48,4,FALSE)&amp;$BK214,坦克属性分配比例,MATCH("升星比例",坦克属性分配比例标头,0),FALSE)+VLOOKUP(VLOOKUP($BJ214,坦克个性化设定!$B$18:$E$48,4,FALSE)&amp;$BK214,坦克属性分配比例,MATCH("部件比例",坦克属性分配比例标头,0),FALSE)*$C$3),0)</f>
        <v>274</v>
      </c>
      <c r="BQ214" s="103">
        <f ca="1">ROUND(VLOOKUP($BJ214&amp;"初始",$S$3:$AE$63,MATCH(BQ$3,$S$3:$AE$3,0),FALSE)+(VLOOKUP($BJ214&amp;"最终",$S$3:$AE$63,MATCH(BQ$3,$S$3:$AE$3,0),FALSE)-VLOOKUP($BJ214&amp;"初始",$S$3:$AE$63,MATCH(BQ$3,$S$3:$AE$3,0),FALSE))*$BL214/VLOOKUP(VLOOKUP($BJ214,坦克个性化设定!$B$18:$E$48,4,FALSE)&amp;$BK214,坦克属性分配比例,MATCH("升星次数",坦克属性分配比例标头,0),FALSE)*VLOOKUP(VLOOKUP($BJ214,坦克个性化设定!$B$18:$E$48,4,FALSE)&amp;$BK214,坦克属性分配比例,MATCH("升星比例",坦克属性分配比例标头,0),FALSE),0)</f>
        <v>504</v>
      </c>
      <c r="BR214" s="2">
        <f ca="1">ROUND(VLOOKUP($BJ214&amp;"初始",$S$3:$AE$63,MATCH(BR$3,$S$3:$AE$3,0),FALSE)+(VLOOKUP($BJ214&amp;"最终",$S$3:$AE$63,MATCH(BR$3,$S$3:$AE$3,0),FALSE)-VLOOKUP($BJ214&amp;"初始",$S$3:$AE$63,MATCH(BR$3,$S$3:$AE$3,0),FALSE))*$BL214/VLOOKUP(VLOOKUP($BJ214,坦克个性化设定!$B$18:$E$48,4,FALSE)&amp;$BK214,坦克属性分配比例,MATCH("升星次数",坦克属性分配比例标头,0),FALSE),0)</f>
        <v>117</v>
      </c>
      <c r="BS214" s="2">
        <f>ROUND(VLOOKUP($BJ214,$AI$3:$AO$33,MATCH(BS$3,$AI$3:$AO$3,0),FALSE)+$BL214/VLOOKUP(VLOOKUP($BJ214,坦克个性化设定!$B$18:$E$48,4,FALSE)&amp;$BK214,坦克属性分配比例,MATCH("升星次数",坦克属性分配比例标头,0),FALSE)*VLOOKUP($BJ214,$AR$3:$AY$33,MATCH(BS$3,$AR$3:$AY$3,0),FALSE),1)</f>
        <v>38.299999999999997</v>
      </c>
      <c r="BT214" s="2">
        <f>ROUND(VLOOKUP($BJ214,$AI$3:$AO$33,MATCH(BT$3,$AI$3:$AO$3,0),FALSE)+$BL214/VLOOKUP(VLOOKUP($BJ214,坦克个性化设定!$B$18:$E$48,4,FALSE)&amp;$BK214,坦克属性分配比例,MATCH("升星次数",坦克属性分配比例标头,0),FALSE)*VLOOKUP($BJ214,$AR$3:$AY$33,MATCH(BT$3,$AR$3:$AY$3,0),FALSE),1)</f>
        <v>28</v>
      </c>
      <c r="BU214" s="2">
        <f>ROUND(VLOOKUP($BJ214,$AI$3:$AO$33,MATCH(BU$3,$AI$3:$AO$3,0),FALSE)+$BL214/VLOOKUP(VLOOKUP($BJ214,坦克个性化设定!$B$18:$E$48,4,FALSE)&amp;$BK214,坦克属性分配比例,MATCH("升星次数",坦克属性分配比例标头,0),FALSE)*VLOOKUP($BJ214,$AR$3:$AY$33,MATCH(BU$3,$AR$3:$AY$3,0),FALSE),1)</f>
        <v>7</v>
      </c>
      <c r="BV214" s="2">
        <f>IF(VLOOKUP(BJ214,坦克个性化设定!$B$18:$BC$48,MATCH("装弹类型",坦克个性化设定!$B$18:$BC$18,0),FALSE)="弹夹换弹",0,ROUND(VLOOKUP($BJ214,$AI$3:$AO$33,MATCH("换弹时间",$AI$3:$AO$3,0),FALSE)-$BL214/VLOOKUP(VLOOKUP($BJ214,坦克个性化设定!$B$18:$E$48,4,FALSE)&amp;$BK214,坦克属性分配比例,MATCH("升星次数",坦克属性分配比例标头,0),FALSE)*VLOOKUP($BJ214,$AR$3:$AY$33,MATCH("换弹时间",$AR$3:$AY$3,0),FALSE),2))</f>
        <v>3.6</v>
      </c>
      <c r="BW214" s="2">
        <f>IF(VLOOKUP(BJ214,坦克个性化设定!$B$18:$BC$48,MATCH("装弹类型",坦克个性化设定!$B$18:$BC$18,0),FALSE)="弹夹换弹",ROUND(VLOOKUP($BJ214,$AI$3:$AO$33,MATCH("换弹时间",$AI$3:$AO$3,0),FALSE)-$BL214/VLOOKUP(VLOOKUP($BJ214,坦克个性化设定!$B$18:$E$48,4,FALSE)&amp;$BK214,坦克属性分配比例,MATCH("升星次数",坦克属性分配比例标头,0),FALSE)*VLOOKUP($BJ214,$AR$3:$AY$33,MATCH("换弹时间",$AR$3:$AY$3,0),FALSE),1),0)</f>
        <v>0</v>
      </c>
      <c r="BX214" s="2">
        <f>ROUND(VLOOKUP($BJ214,$AI$3:$AO$33,MATCH(BX$3,$AI$3:$AO$3,0),FALSE)+$BL214/VLOOKUP(VLOOKUP($BJ214,坦克个性化设定!$B$18:$E$48,4,FALSE)&amp;$BK214,坦克属性分配比例,MATCH("升星次数",坦克属性分配比例标头,0),FALSE)*VLOOKUP($BJ214,$AR$3:$AY$33,MATCH(BX$3,$AR$3:$AY$3,0),FALSE),2)</f>
        <v>1.88</v>
      </c>
      <c r="BY214" s="2">
        <f>ROUND(VLOOKUP($BJ214,$AI$3:$AO$33,MATCH(BY$3,$AI$3:$AO$3,0),FALSE)-$BL214/VLOOKUP(VLOOKUP($BJ214,坦克个性化设定!$B$18:$E$48,4,FALSE)&amp;$BK214,坦克属性分配比例,MATCH("升星次数",坦克属性分配比例标头,0),FALSE)*VLOOKUP($BJ214,$AR$3:$AY$33,MATCH(BY$3,$AR$3:$AY$3,0),FALSE),2)</f>
        <v>2.08</v>
      </c>
    </row>
    <row r="215" spans="60:77" x14ac:dyDescent="0.3">
      <c r="BH215" s="2" t="str">
        <f t="shared" si="32"/>
        <v>KV-11</v>
      </c>
      <c r="BI215" s="2">
        <f>IF(BL214&gt;=VLOOKUP(VLOOKUP(BJ214,坦克个性化设定!$B$18:$E$48,4,FALSE)&amp;BK214,坦克属性分配比例,MATCH("升星次数",坦克属性分配比例标头,0),FALSE),BI214+1,BI214)</f>
        <v>22</v>
      </c>
      <c r="BJ215" s="2" t="str">
        <f t="shared" si="33"/>
        <v>KV-1</v>
      </c>
      <c r="BK215" s="29" t="str">
        <f>VLOOKUP(BJ215,坦克个性化细分!$I$3:$J$33,2,FALSE)</f>
        <v>低</v>
      </c>
      <c r="BL215" s="2">
        <f t="shared" si="34"/>
        <v>1</v>
      </c>
      <c r="BM215" s="103">
        <f ca="1">ROUND(VLOOKUP($BJ215&amp;"初始",$S$3:$AE$63,MATCH(BM$3,$S$3:$AE$3,0),FALSE)+((VLOOKUP($BJ215&amp;"最终",$S$3:$AE$63,MATCH(BM$3,$S$3:$AE$3,0),FALSE)*坦克个性化细分!$C$9-VLOOKUP($BJ215&amp;"初始",$S$3:$AE$63,MATCH(BM$3,$S$3:$AE$3,0),FALSE))-(VLOOKUP($BJ215&amp;"最终",$S$3:$AE$63,MATCH(BM$3,$S$3:$AE$3,0),FALSE)-VLOOKUP($BJ215&amp;"初始",$S$3:$AE$63,MATCH(BM$3,$S$3:$AE$3,0),FALSE))*VLOOKUP(VLOOKUP($BJ215,坦克个性化设定!$B$18:$E$48,4,FALSE)&amp;$BK215,坦克属性分配比例,MATCH("部件比例",坦克属性分配比例标头,0),FALSE))*$BL215/VLOOKUP(VLOOKUP($BJ215,坦克个性化设定!$B$18:$E$48,4,FALSE)&amp;$BK215,坦克属性分配比例,MATCH("升星次数",坦克属性分配比例标头,0),FALSE),0)</f>
        <v>1179</v>
      </c>
      <c r="BN215" s="103">
        <f ca="1">ROUND(VLOOKUP($BJ215&amp;"初始",$S$3:$AE$63,MATCH(BN$3,$S$3:$AE$3,0),FALSE)+(VLOOKUP($BJ215&amp;"最终",$S$3:$AE$63,MATCH(BN$3,$S$3:$AE$3,0),FALSE)-VLOOKUP($BJ215&amp;"初始",$S$3:$AE$63,MATCH(BN$3,$S$3:$AE$3,0),FALSE))*$BL215/VLOOKUP(VLOOKUP($BJ215,坦克个性化设定!$B$18:$E$48,4,FALSE)&amp;$BK215,坦克属性分配比例,MATCH("升星次数",坦克属性分配比例标头,0),FALSE)*VLOOKUP(VLOOKUP($BJ215,坦克个性化设定!$B$18:$E$48,4,FALSE)&amp;$BK215,坦克属性分配比例,MATCH("升星比例",坦克属性分配比例标头,0),FALSE),0)</f>
        <v>267</v>
      </c>
      <c r="BO215" s="103">
        <f ca="1">ROUND(VLOOKUP($BJ215&amp;"初始",$S$3:$AE$63,MATCH(BO$3,$S$3:$AE$3,0),FALSE)+(VLOOKUP($BJ215&amp;"最终",$S$3:$AE$63,MATCH(BO$3,$S$3:$AE$3,0),FALSE)-VLOOKUP($BJ215&amp;"初始",$S$3:$AE$63,MATCH(BO$3,$S$3:$AE$3,0),FALSE))*$BL215/VLOOKUP(VLOOKUP($BJ215,坦克个性化设定!$B$18:$E$48,4,FALSE)&amp;$BK215,坦克属性分配比例,MATCH("升星次数",坦克属性分配比例标头,0),FALSE)*(VLOOKUP(VLOOKUP($BJ215,坦克个性化设定!$B$18:$E$48,4,FALSE)&amp;$BK215,坦克属性分配比例,MATCH("升星比例",坦克属性分配比例标头,0),FALSE)+VLOOKUP(VLOOKUP($BJ215,坦克个性化设定!$B$18:$E$48,4,FALSE)&amp;$BK215,坦克属性分配比例,MATCH("部件比例",坦克属性分配比例标头,0),FALSE)*$C$3),0)</f>
        <v>361</v>
      </c>
      <c r="BP215" s="103">
        <f ca="1">ROUND(VLOOKUP($BJ215&amp;"初始",$S$3:$AE$63,MATCH(BP$3,$S$3:$AE$3,0),FALSE)+(VLOOKUP($BJ215&amp;"最终",$S$3:$AE$63,MATCH(BP$3,$S$3:$AE$3,0),FALSE)-VLOOKUP($BJ215&amp;"初始",$S$3:$AE$63,MATCH(BP$3,$S$3:$AE$3,0),FALSE))*$BL215/VLOOKUP(VLOOKUP($BJ215,坦克个性化设定!$B$18:$E$48,4,FALSE)&amp;$BK215,坦克属性分配比例,MATCH("升星次数",坦克属性分配比例标头,0),FALSE)*(VLOOKUP(VLOOKUP($BJ215,坦克个性化设定!$B$18:$E$48,4,FALSE)&amp;$BK215,坦克属性分配比例,MATCH("升星比例",坦克属性分配比例标头,0),FALSE)+VLOOKUP(VLOOKUP($BJ215,坦克个性化设定!$B$18:$E$48,4,FALSE)&amp;$BK215,坦克属性分配比例,MATCH("部件比例",坦克属性分配比例标头,0),FALSE)*$C$3),0)</f>
        <v>288</v>
      </c>
      <c r="BQ215" s="103">
        <f ca="1">ROUND(VLOOKUP($BJ215&amp;"初始",$S$3:$AE$63,MATCH(BQ$3,$S$3:$AE$3,0),FALSE)+(VLOOKUP($BJ215&amp;"最终",$S$3:$AE$63,MATCH(BQ$3,$S$3:$AE$3,0),FALSE)-VLOOKUP($BJ215&amp;"初始",$S$3:$AE$63,MATCH(BQ$3,$S$3:$AE$3,0),FALSE))*$BL215/VLOOKUP(VLOOKUP($BJ215,坦克个性化设定!$B$18:$E$48,4,FALSE)&amp;$BK215,坦克属性分配比例,MATCH("升星次数",坦克属性分配比例标头,0),FALSE)*VLOOKUP(VLOOKUP($BJ215,坦克个性化设定!$B$18:$E$48,4,FALSE)&amp;$BK215,坦克属性分配比例,MATCH("升星比例",坦克属性分配比例标头,0),FALSE),0)</f>
        <v>524</v>
      </c>
      <c r="BR215" s="2">
        <f ca="1">ROUND(VLOOKUP($BJ215&amp;"初始",$S$3:$AE$63,MATCH(BR$3,$S$3:$AE$3,0),FALSE)+(VLOOKUP($BJ215&amp;"最终",$S$3:$AE$63,MATCH(BR$3,$S$3:$AE$3,0),FALSE)-VLOOKUP($BJ215&amp;"初始",$S$3:$AE$63,MATCH(BR$3,$S$3:$AE$3,0),FALSE))*$BL215/VLOOKUP(VLOOKUP($BJ215,坦克个性化设定!$B$18:$E$48,4,FALSE)&amp;$BK215,坦克属性分配比例,MATCH("升星次数",坦克属性分配比例标头,0),FALSE),0)</f>
        <v>124</v>
      </c>
      <c r="BS215" s="2">
        <f>ROUND(VLOOKUP($BJ215,$AI$3:$AO$33,MATCH(BS$3,$AI$3:$AO$3,0),FALSE)+$BL215/VLOOKUP(VLOOKUP($BJ215,坦克个性化设定!$B$18:$E$48,4,FALSE)&amp;$BK215,坦克属性分配比例,MATCH("升星次数",坦克属性分配比例标头,0),FALSE)*VLOOKUP($BJ215,$AR$3:$AY$33,MATCH(BS$3,$AR$3:$AY$3,0),FALSE),1)</f>
        <v>39.700000000000003</v>
      </c>
      <c r="BT215" s="2">
        <f>ROUND(VLOOKUP($BJ215,$AI$3:$AO$33,MATCH(BT$3,$AI$3:$AO$3,0),FALSE)+$BL215/VLOOKUP(VLOOKUP($BJ215,坦克个性化设定!$B$18:$E$48,4,FALSE)&amp;$BK215,坦克属性分配比例,MATCH("升星次数",坦克属性分配比例标头,0),FALSE)*VLOOKUP($BJ215,$AR$3:$AY$33,MATCH(BT$3,$AR$3:$AY$3,0),FALSE),1)</f>
        <v>29</v>
      </c>
      <c r="BU215" s="2">
        <f>ROUND(VLOOKUP($BJ215,$AI$3:$AO$33,MATCH(BU$3,$AI$3:$AO$3,0),FALSE)+$BL215/VLOOKUP(VLOOKUP($BJ215,坦克个性化设定!$B$18:$E$48,4,FALSE)&amp;$BK215,坦克属性分配比例,MATCH("升星次数",坦克属性分配比例标头,0),FALSE)*VLOOKUP($BJ215,$AR$3:$AY$33,MATCH(BU$3,$AR$3:$AY$3,0),FALSE),1)</f>
        <v>7</v>
      </c>
      <c r="BV215" s="2">
        <f>IF(VLOOKUP(BJ215,坦克个性化设定!$B$18:$BC$48,MATCH("装弹类型",坦克个性化设定!$B$18:$BC$18,0),FALSE)="弹夹换弹",0,ROUND(VLOOKUP($BJ215,$AI$3:$AO$33,MATCH("换弹时间",$AI$3:$AO$3,0),FALSE)-$BL215/VLOOKUP(VLOOKUP($BJ215,坦克个性化设定!$B$18:$E$48,4,FALSE)&amp;$BK215,坦克属性分配比例,MATCH("升星次数",坦克属性分配比例标头,0),FALSE)*VLOOKUP($BJ215,$AR$3:$AY$33,MATCH("换弹时间",$AR$3:$AY$3,0),FALSE),2))</f>
        <v>3.52</v>
      </c>
      <c r="BW215" s="2">
        <f>IF(VLOOKUP(BJ215,坦克个性化设定!$B$18:$BC$48,MATCH("装弹类型",坦克个性化设定!$B$18:$BC$18,0),FALSE)="弹夹换弹",ROUND(VLOOKUP($BJ215,$AI$3:$AO$33,MATCH("换弹时间",$AI$3:$AO$3,0),FALSE)-$BL215/VLOOKUP(VLOOKUP($BJ215,坦克个性化设定!$B$18:$E$48,4,FALSE)&amp;$BK215,坦克属性分配比例,MATCH("升星次数",坦克属性分配比例标头,0),FALSE)*VLOOKUP($BJ215,$AR$3:$AY$33,MATCH("换弹时间",$AR$3:$AY$3,0),FALSE),1),0)</f>
        <v>0</v>
      </c>
      <c r="BX215" s="2">
        <f>ROUND(VLOOKUP($BJ215,$AI$3:$AO$33,MATCH(BX$3,$AI$3:$AO$3,0),FALSE)+$BL215/VLOOKUP(VLOOKUP($BJ215,坦克个性化设定!$B$18:$E$48,4,FALSE)&amp;$BK215,坦克属性分配比例,MATCH("升星次数",坦克属性分配比例标头,0),FALSE)*VLOOKUP($BJ215,$AR$3:$AY$33,MATCH(BX$3,$AR$3:$AY$3,0),FALSE),2)</f>
        <v>1.88</v>
      </c>
      <c r="BY215" s="2">
        <f>ROUND(VLOOKUP($BJ215,$AI$3:$AO$33,MATCH(BY$3,$AI$3:$AO$3,0),FALSE)-$BL215/VLOOKUP(VLOOKUP($BJ215,坦克个性化设定!$B$18:$E$48,4,FALSE)&amp;$BK215,坦克属性分配比例,MATCH("升星次数",坦克属性分配比例标头,0),FALSE)*VLOOKUP($BJ215,$AR$3:$AY$33,MATCH(BY$3,$AR$3:$AY$3,0),FALSE),2)</f>
        <v>2.0299999999999998</v>
      </c>
    </row>
    <row r="216" spans="60:77" x14ac:dyDescent="0.3">
      <c r="BH216" s="2" t="str">
        <f t="shared" si="32"/>
        <v>KV-12</v>
      </c>
      <c r="BI216" s="2">
        <f>IF(BL215&gt;=VLOOKUP(VLOOKUP(BJ215,坦克个性化设定!$B$18:$E$48,4,FALSE)&amp;BK215,坦克属性分配比例,MATCH("升星次数",坦克属性分配比例标头,0),FALSE),BI215+1,BI215)</f>
        <v>22</v>
      </c>
      <c r="BJ216" s="2" t="str">
        <f t="shared" si="33"/>
        <v>KV-1</v>
      </c>
      <c r="BK216" s="29" t="str">
        <f>VLOOKUP(BJ216,坦克个性化细分!$I$3:$J$33,2,FALSE)</f>
        <v>低</v>
      </c>
      <c r="BL216" s="2">
        <f t="shared" si="34"/>
        <v>2</v>
      </c>
      <c r="BM216" s="103">
        <f ca="1">ROUND(VLOOKUP($BJ216&amp;"初始",$S$3:$AE$63,MATCH(BM$3,$S$3:$AE$3,0),FALSE)+((VLOOKUP($BJ216&amp;"最终",$S$3:$AE$63,MATCH(BM$3,$S$3:$AE$3,0),FALSE)*坦克个性化细分!$C$9-VLOOKUP($BJ216&amp;"初始",$S$3:$AE$63,MATCH(BM$3,$S$3:$AE$3,0),FALSE))-(VLOOKUP($BJ216&amp;"最终",$S$3:$AE$63,MATCH(BM$3,$S$3:$AE$3,0),FALSE)-VLOOKUP($BJ216&amp;"初始",$S$3:$AE$63,MATCH(BM$3,$S$3:$AE$3,0),FALSE))*VLOOKUP(VLOOKUP($BJ216,坦克个性化设定!$B$18:$E$48,4,FALSE)&amp;$BK216,坦克属性分配比例,MATCH("部件比例",坦克属性分配比例标头,0),FALSE))*$BL216/VLOOKUP(VLOOKUP($BJ216,坦克个性化设定!$B$18:$E$48,4,FALSE)&amp;$BK216,坦克属性分配比例,MATCH("升星次数",坦克属性分配比例标头,0),FALSE),0)</f>
        <v>1252</v>
      </c>
      <c r="BN216" s="103">
        <f ca="1">ROUND(VLOOKUP($BJ216&amp;"初始",$S$3:$AE$63,MATCH(BN$3,$S$3:$AE$3,0),FALSE)+(VLOOKUP($BJ216&amp;"最终",$S$3:$AE$63,MATCH(BN$3,$S$3:$AE$3,0),FALSE)-VLOOKUP($BJ216&amp;"初始",$S$3:$AE$63,MATCH(BN$3,$S$3:$AE$3,0),FALSE))*$BL216/VLOOKUP(VLOOKUP($BJ216,坦克个性化设定!$B$18:$E$48,4,FALSE)&amp;$BK216,坦克属性分配比例,MATCH("升星次数",坦克属性分配比例标头,0),FALSE)*VLOOKUP(VLOOKUP($BJ216,坦克个性化设定!$B$18:$E$48,4,FALSE)&amp;$BK216,坦克属性分配比例,MATCH("升星比例",坦克属性分配比例标头,0),FALSE),0)</f>
        <v>277</v>
      </c>
      <c r="BO216" s="103">
        <f ca="1">ROUND(VLOOKUP($BJ216&amp;"初始",$S$3:$AE$63,MATCH(BO$3,$S$3:$AE$3,0),FALSE)+(VLOOKUP($BJ216&amp;"最终",$S$3:$AE$63,MATCH(BO$3,$S$3:$AE$3,0),FALSE)-VLOOKUP($BJ216&amp;"初始",$S$3:$AE$63,MATCH(BO$3,$S$3:$AE$3,0),FALSE))*$BL216/VLOOKUP(VLOOKUP($BJ216,坦克个性化设定!$B$18:$E$48,4,FALSE)&amp;$BK216,坦克属性分配比例,MATCH("升星次数",坦克属性分配比例标头,0),FALSE)*(VLOOKUP(VLOOKUP($BJ216,坦克个性化设定!$B$18:$E$48,4,FALSE)&amp;$BK216,坦克属性分配比例,MATCH("升星比例",坦克属性分配比例标头,0),FALSE)+VLOOKUP(VLOOKUP($BJ216,坦克个性化设定!$B$18:$E$48,4,FALSE)&amp;$BK216,坦克属性分配比例,MATCH("部件比例",坦克属性分配比例标头,0),FALSE)*$C$3),0)</f>
        <v>378</v>
      </c>
      <c r="BP216" s="103">
        <f ca="1">ROUND(VLOOKUP($BJ216&amp;"初始",$S$3:$AE$63,MATCH(BP$3,$S$3:$AE$3,0),FALSE)+(VLOOKUP($BJ216&amp;"最终",$S$3:$AE$63,MATCH(BP$3,$S$3:$AE$3,0),FALSE)-VLOOKUP($BJ216&amp;"初始",$S$3:$AE$63,MATCH(BP$3,$S$3:$AE$3,0),FALSE))*$BL216/VLOOKUP(VLOOKUP($BJ216,坦克个性化设定!$B$18:$E$48,4,FALSE)&amp;$BK216,坦克属性分配比例,MATCH("升星次数",坦克属性分配比例标头,0),FALSE)*(VLOOKUP(VLOOKUP($BJ216,坦克个性化设定!$B$18:$E$48,4,FALSE)&amp;$BK216,坦克属性分配比例,MATCH("升星比例",坦克属性分配比例标头,0),FALSE)+VLOOKUP(VLOOKUP($BJ216,坦克个性化设定!$B$18:$E$48,4,FALSE)&amp;$BK216,坦克属性分配比例,MATCH("部件比例",坦克属性分配比例标头,0),FALSE)*$C$3),0)</f>
        <v>302</v>
      </c>
      <c r="BQ216" s="103">
        <f ca="1">ROUND(VLOOKUP($BJ216&amp;"初始",$S$3:$AE$63,MATCH(BQ$3,$S$3:$AE$3,0),FALSE)+(VLOOKUP($BJ216&amp;"最终",$S$3:$AE$63,MATCH(BQ$3,$S$3:$AE$3,0),FALSE)-VLOOKUP($BJ216&amp;"初始",$S$3:$AE$63,MATCH(BQ$3,$S$3:$AE$3,0),FALSE))*$BL216/VLOOKUP(VLOOKUP($BJ216,坦克个性化设定!$B$18:$E$48,4,FALSE)&amp;$BK216,坦克属性分配比例,MATCH("升星次数",坦克属性分配比例标头,0),FALSE)*VLOOKUP(VLOOKUP($BJ216,坦克个性化设定!$B$18:$E$48,4,FALSE)&amp;$BK216,坦克属性分配比例,MATCH("升星比例",坦克属性分配比例标头,0),FALSE),0)</f>
        <v>543</v>
      </c>
      <c r="BR216" s="2">
        <f ca="1">ROUND(VLOOKUP($BJ216&amp;"初始",$S$3:$AE$63,MATCH(BR$3,$S$3:$AE$3,0),FALSE)+(VLOOKUP($BJ216&amp;"最终",$S$3:$AE$63,MATCH(BR$3,$S$3:$AE$3,0),FALSE)-VLOOKUP($BJ216&amp;"初始",$S$3:$AE$63,MATCH(BR$3,$S$3:$AE$3,0),FALSE))*$BL216/VLOOKUP(VLOOKUP($BJ216,坦克个性化设定!$B$18:$E$48,4,FALSE)&amp;$BK216,坦克属性分配比例,MATCH("升星次数",坦克属性分配比例标头,0),FALSE),0)</f>
        <v>131</v>
      </c>
      <c r="BS216" s="2">
        <f>ROUND(VLOOKUP($BJ216,$AI$3:$AO$33,MATCH(BS$3,$AI$3:$AO$3,0),FALSE)+$BL216/VLOOKUP(VLOOKUP($BJ216,坦克个性化设定!$B$18:$E$48,4,FALSE)&amp;$BK216,坦克属性分配比例,MATCH("升星次数",坦克属性分配比例标头,0),FALSE)*VLOOKUP($BJ216,$AR$3:$AY$33,MATCH(BS$3,$AR$3:$AY$3,0),FALSE),1)</f>
        <v>41</v>
      </c>
      <c r="BT216" s="2">
        <f>ROUND(VLOOKUP($BJ216,$AI$3:$AO$33,MATCH(BT$3,$AI$3:$AO$3,0),FALSE)+$BL216/VLOOKUP(VLOOKUP($BJ216,坦克个性化设定!$B$18:$E$48,4,FALSE)&amp;$BK216,坦克属性分配比例,MATCH("升星次数",坦克属性分配比例标头,0),FALSE)*VLOOKUP($BJ216,$AR$3:$AY$33,MATCH(BT$3,$AR$3:$AY$3,0),FALSE),1)</f>
        <v>30</v>
      </c>
      <c r="BU216" s="2">
        <f>ROUND(VLOOKUP($BJ216,$AI$3:$AO$33,MATCH(BU$3,$AI$3:$AO$3,0),FALSE)+$BL216/VLOOKUP(VLOOKUP($BJ216,坦克个性化设定!$B$18:$E$48,4,FALSE)&amp;$BK216,坦克属性分配比例,MATCH("升星次数",坦克属性分配比例标头,0),FALSE)*VLOOKUP($BJ216,$AR$3:$AY$33,MATCH(BU$3,$AR$3:$AY$3,0),FALSE),1)</f>
        <v>7</v>
      </c>
      <c r="BV216" s="2">
        <f>IF(VLOOKUP(BJ216,坦克个性化设定!$B$18:$BC$48,MATCH("装弹类型",坦克个性化设定!$B$18:$BC$18,0),FALSE)="弹夹换弹",0,ROUND(VLOOKUP($BJ216,$AI$3:$AO$33,MATCH("换弹时间",$AI$3:$AO$3,0),FALSE)-$BL216/VLOOKUP(VLOOKUP($BJ216,坦克个性化设定!$B$18:$E$48,4,FALSE)&amp;$BK216,坦克属性分配比例,MATCH("升星次数",坦克属性分配比例标头,0),FALSE)*VLOOKUP($BJ216,$AR$3:$AY$33,MATCH("换弹时间",$AR$3:$AY$3,0),FALSE),2))</f>
        <v>3.45</v>
      </c>
      <c r="BW216" s="2">
        <f>IF(VLOOKUP(BJ216,坦克个性化设定!$B$18:$BC$48,MATCH("装弹类型",坦克个性化设定!$B$18:$BC$18,0),FALSE)="弹夹换弹",ROUND(VLOOKUP($BJ216,$AI$3:$AO$33,MATCH("换弹时间",$AI$3:$AO$3,0),FALSE)-$BL216/VLOOKUP(VLOOKUP($BJ216,坦克个性化设定!$B$18:$E$48,4,FALSE)&amp;$BK216,坦克属性分配比例,MATCH("升星次数",坦克属性分配比例标头,0),FALSE)*VLOOKUP($BJ216,$AR$3:$AY$33,MATCH("换弹时间",$AR$3:$AY$3,0),FALSE),1),0)</f>
        <v>0</v>
      </c>
      <c r="BX216" s="2">
        <f>ROUND(VLOOKUP($BJ216,$AI$3:$AO$33,MATCH(BX$3,$AI$3:$AO$3,0),FALSE)+$BL216/VLOOKUP(VLOOKUP($BJ216,坦克个性化设定!$B$18:$E$48,4,FALSE)&amp;$BK216,坦克属性分配比例,MATCH("升星次数",坦克属性分配比例标头,0),FALSE)*VLOOKUP($BJ216,$AR$3:$AY$33,MATCH(BX$3,$AR$3:$AY$3,0),FALSE),2)</f>
        <v>1.88</v>
      </c>
      <c r="BY216" s="2">
        <f>ROUND(VLOOKUP($BJ216,$AI$3:$AO$33,MATCH(BY$3,$AI$3:$AO$3,0),FALSE)-$BL216/VLOOKUP(VLOOKUP($BJ216,坦克个性化设定!$B$18:$E$48,4,FALSE)&amp;$BK216,坦克属性分配比例,MATCH("升星次数",坦克属性分配比例标头,0),FALSE)*VLOOKUP($BJ216,$AR$3:$AY$33,MATCH(BY$3,$AR$3:$AY$3,0),FALSE),2)</f>
        <v>1.98</v>
      </c>
    </row>
    <row r="217" spans="60:77" x14ac:dyDescent="0.3">
      <c r="BH217" s="2" t="str">
        <f t="shared" si="32"/>
        <v>KV-13</v>
      </c>
      <c r="BI217" s="2">
        <f>IF(BL216&gt;=VLOOKUP(VLOOKUP(BJ216,坦克个性化设定!$B$18:$E$48,4,FALSE)&amp;BK216,坦克属性分配比例,MATCH("升星次数",坦克属性分配比例标头,0),FALSE),BI216+1,BI216)</f>
        <v>22</v>
      </c>
      <c r="BJ217" s="2" t="str">
        <f t="shared" si="33"/>
        <v>KV-1</v>
      </c>
      <c r="BK217" s="29" t="str">
        <f>VLOOKUP(BJ217,坦克个性化细分!$I$3:$J$33,2,FALSE)</f>
        <v>低</v>
      </c>
      <c r="BL217" s="2">
        <f t="shared" si="34"/>
        <v>3</v>
      </c>
      <c r="BM217" s="103">
        <f ca="1">ROUND(VLOOKUP($BJ217&amp;"初始",$S$3:$AE$63,MATCH(BM$3,$S$3:$AE$3,0),FALSE)+((VLOOKUP($BJ217&amp;"最终",$S$3:$AE$63,MATCH(BM$3,$S$3:$AE$3,0),FALSE)*坦克个性化细分!$C$9-VLOOKUP($BJ217&amp;"初始",$S$3:$AE$63,MATCH(BM$3,$S$3:$AE$3,0),FALSE))-(VLOOKUP($BJ217&amp;"最终",$S$3:$AE$63,MATCH(BM$3,$S$3:$AE$3,0),FALSE)-VLOOKUP($BJ217&amp;"初始",$S$3:$AE$63,MATCH(BM$3,$S$3:$AE$3,0),FALSE))*VLOOKUP(VLOOKUP($BJ217,坦克个性化设定!$B$18:$E$48,4,FALSE)&amp;$BK217,坦克属性分配比例,MATCH("部件比例",坦克属性分配比例标头,0),FALSE))*$BL217/VLOOKUP(VLOOKUP($BJ217,坦克个性化设定!$B$18:$E$48,4,FALSE)&amp;$BK217,坦克属性分配比例,MATCH("升星次数",坦克属性分配比例标头,0),FALSE),0)</f>
        <v>1325</v>
      </c>
      <c r="BN217" s="103">
        <f ca="1">ROUND(VLOOKUP($BJ217&amp;"初始",$S$3:$AE$63,MATCH(BN$3,$S$3:$AE$3,0),FALSE)+(VLOOKUP($BJ217&amp;"最终",$S$3:$AE$63,MATCH(BN$3,$S$3:$AE$3,0),FALSE)-VLOOKUP($BJ217&amp;"初始",$S$3:$AE$63,MATCH(BN$3,$S$3:$AE$3,0),FALSE))*$BL217/VLOOKUP(VLOOKUP($BJ217,坦克个性化设定!$B$18:$E$48,4,FALSE)&amp;$BK217,坦克属性分配比例,MATCH("升星次数",坦克属性分配比例标头,0),FALSE)*VLOOKUP(VLOOKUP($BJ217,坦克个性化设定!$B$18:$E$48,4,FALSE)&amp;$BK217,坦克属性分配比例,MATCH("升星比例",坦克属性分配比例标头,0),FALSE),0)</f>
        <v>287</v>
      </c>
      <c r="BO217" s="103">
        <f ca="1">ROUND(VLOOKUP($BJ217&amp;"初始",$S$3:$AE$63,MATCH(BO$3,$S$3:$AE$3,0),FALSE)+(VLOOKUP($BJ217&amp;"最终",$S$3:$AE$63,MATCH(BO$3,$S$3:$AE$3,0),FALSE)-VLOOKUP($BJ217&amp;"初始",$S$3:$AE$63,MATCH(BO$3,$S$3:$AE$3,0),FALSE))*$BL217/VLOOKUP(VLOOKUP($BJ217,坦克个性化设定!$B$18:$E$48,4,FALSE)&amp;$BK217,坦克属性分配比例,MATCH("升星次数",坦克属性分配比例标头,0),FALSE)*(VLOOKUP(VLOOKUP($BJ217,坦克个性化设定!$B$18:$E$48,4,FALSE)&amp;$BK217,坦克属性分配比例,MATCH("升星比例",坦克属性分配比例标头,0),FALSE)+VLOOKUP(VLOOKUP($BJ217,坦克个性化设定!$B$18:$E$48,4,FALSE)&amp;$BK217,坦克属性分配比例,MATCH("部件比例",坦克属性分配比例标头,0),FALSE)*$C$3),0)</f>
        <v>396</v>
      </c>
      <c r="BP217" s="103">
        <f ca="1">ROUND(VLOOKUP($BJ217&amp;"初始",$S$3:$AE$63,MATCH(BP$3,$S$3:$AE$3,0),FALSE)+(VLOOKUP($BJ217&amp;"最终",$S$3:$AE$63,MATCH(BP$3,$S$3:$AE$3,0),FALSE)-VLOOKUP($BJ217&amp;"初始",$S$3:$AE$63,MATCH(BP$3,$S$3:$AE$3,0),FALSE))*$BL217/VLOOKUP(VLOOKUP($BJ217,坦克个性化设定!$B$18:$E$48,4,FALSE)&amp;$BK217,坦克属性分配比例,MATCH("升星次数",坦克属性分配比例标头,0),FALSE)*(VLOOKUP(VLOOKUP($BJ217,坦克个性化设定!$B$18:$E$48,4,FALSE)&amp;$BK217,坦克属性分配比例,MATCH("升星比例",坦克属性分配比例标头,0),FALSE)+VLOOKUP(VLOOKUP($BJ217,坦克个性化设定!$B$18:$E$48,4,FALSE)&amp;$BK217,坦克属性分配比例,MATCH("部件比例",坦克属性分配比例标头,0),FALSE)*$C$3),0)</f>
        <v>316</v>
      </c>
      <c r="BQ217" s="103">
        <f ca="1">ROUND(VLOOKUP($BJ217&amp;"初始",$S$3:$AE$63,MATCH(BQ$3,$S$3:$AE$3,0),FALSE)+(VLOOKUP($BJ217&amp;"最终",$S$3:$AE$63,MATCH(BQ$3,$S$3:$AE$3,0),FALSE)-VLOOKUP($BJ217&amp;"初始",$S$3:$AE$63,MATCH(BQ$3,$S$3:$AE$3,0),FALSE))*$BL217/VLOOKUP(VLOOKUP($BJ217,坦克个性化设定!$B$18:$E$48,4,FALSE)&amp;$BK217,坦克属性分配比例,MATCH("升星次数",坦克属性分配比例标头,0),FALSE)*VLOOKUP(VLOOKUP($BJ217,坦克个性化设定!$B$18:$E$48,4,FALSE)&amp;$BK217,坦克属性分配比例,MATCH("升星比例",坦克属性分配比例标头,0),FALSE),0)</f>
        <v>563</v>
      </c>
      <c r="BR217" s="2">
        <f ca="1">ROUND(VLOOKUP($BJ217&amp;"初始",$S$3:$AE$63,MATCH(BR$3,$S$3:$AE$3,0),FALSE)+(VLOOKUP($BJ217&amp;"最终",$S$3:$AE$63,MATCH(BR$3,$S$3:$AE$3,0),FALSE)-VLOOKUP($BJ217&amp;"初始",$S$3:$AE$63,MATCH(BR$3,$S$3:$AE$3,0),FALSE))*$BL217/VLOOKUP(VLOOKUP($BJ217,坦克个性化设定!$B$18:$E$48,4,FALSE)&amp;$BK217,坦克属性分配比例,MATCH("升星次数",坦克属性分配比例标头,0),FALSE),0)</f>
        <v>138</v>
      </c>
      <c r="BS217" s="2">
        <f>ROUND(VLOOKUP($BJ217,$AI$3:$AO$33,MATCH(BS$3,$AI$3:$AO$3,0),FALSE)+$BL217/VLOOKUP(VLOOKUP($BJ217,坦克个性化设定!$B$18:$E$48,4,FALSE)&amp;$BK217,坦克属性分配比例,MATCH("升星次数",坦克属性分配比例标头,0),FALSE)*VLOOKUP($BJ217,$AR$3:$AY$33,MATCH(BS$3,$AR$3:$AY$3,0),FALSE),1)</f>
        <v>42.4</v>
      </c>
      <c r="BT217" s="2">
        <f>ROUND(VLOOKUP($BJ217,$AI$3:$AO$33,MATCH(BT$3,$AI$3:$AO$3,0),FALSE)+$BL217/VLOOKUP(VLOOKUP($BJ217,坦克个性化设定!$B$18:$E$48,4,FALSE)&amp;$BK217,坦克属性分配比例,MATCH("升星次数",坦克属性分配比例标头,0),FALSE)*VLOOKUP($BJ217,$AR$3:$AY$33,MATCH(BT$3,$AR$3:$AY$3,0),FALSE),1)</f>
        <v>31</v>
      </c>
      <c r="BU217" s="2">
        <f>ROUND(VLOOKUP($BJ217,$AI$3:$AO$33,MATCH(BU$3,$AI$3:$AO$3,0),FALSE)+$BL217/VLOOKUP(VLOOKUP($BJ217,坦克个性化设定!$B$18:$E$48,4,FALSE)&amp;$BK217,坦克属性分配比例,MATCH("升星次数",坦克属性分配比例标头,0),FALSE)*VLOOKUP($BJ217,$AR$3:$AY$33,MATCH(BU$3,$AR$3:$AY$3,0),FALSE),1)</f>
        <v>7</v>
      </c>
      <c r="BV217" s="2">
        <f>IF(VLOOKUP(BJ217,坦克个性化设定!$B$18:$BC$48,MATCH("装弹类型",坦克个性化设定!$B$18:$BC$18,0),FALSE)="弹夹换弹",0,ROUND(VLOOKUP($BJ217,$AI$3:$AO$33,MATCH("换弹时间",$AI$3:$AO$3,0),FALSE)-$BL217/VLOOKUP(VLOOKUP($BJ217,坦克个性化设定!$B$18:$E$48,4,FALSE)&amp;$BK217,坦克属性分配比例,MATCH("升星次数",坦克属性分配比例标头,0),FALSE)*VLOOKUP($BJ217,$AR$3:$AY$33,MATCH("换弹时间",$AR$3:$AY$3,0),FALSE),2))</f>
        <v>3.37</v>
      </c>
      <c r="BW217" s="2">
        <f>IF(VLOOKUP(BJ217,坦克个性化设定!$B$18:$BC$48,MATCH("装弹类型",坦克个性化设定!$B$18:$BC$18,0),FALSE)="弹夹换弹",ROUND(VLOOKUP($BJ217,$AI$3:$AO$33,MATCH("换弹时间",$AI$3:$AO$3,0),FALSE)-$BL217/VLOOKUP(VLOOKUP($BJ217,坦克个性化设定!$B$18:$E$48,4,FALSE)&amp;$BK217,坦克属性分配比例,MATCH("升星次数",坦克属性分配比例标头,0),FALSE)*VLOOKUP($BJ217,$AR$3:$AY$33,MATCH("换弹时间",$AR$3:$AY$3,0),FALSE),1),0)</f>
        <v>0</v>
      </c>
      <c r="BX217" s="2">
        <f>ROUND(VLOOKUP($BJ217,$AI$3:$AO$33,MATCH(BX$3,$AI$3:$AO$3,0),FALSE)+$BL217/VLOOKUP(VLOOKUP($BJ217,坦克个性化设定!$B$18:$E$48,4,FALSE)&amp;$BK217,坦克属性分配比例,MATCH("升星次数",坦克属性分配比例标头,0),FALSE)*VLOOKUP($BJ217,$AR$3:$AY$33,MATCH(BX$3,$AR$3:$AY$3,0),FALSE),2)</f>
        <v>1.88</v>
      </c>
      <c r="BY217" s="2">
        <f>ROUND(VLOOKUP($BJ217,$AI$3:$AO$33,MATCH(BY$3,$AI$3:$AO$3,0),FALSE)-$BL217/VLOOKUP(VLOOKUP($BJ217,坦克个性化设定!$B$18:$E$48,4,FALSE)&amp;$BK217,坦克属性分配比例,MATCH("升星次数",坦克属性分配比例标头,0),FALSE)*VLOOKUP($BJ217,$AR$3:$AY$33,MATCH(BY$3,$AR$3:$AY$3,0),FALSE),2)</f>
        <v>1.93</v>
      </c>
    </row>
    <row r="218" spans="60:77" x14ac:dyDescent="0.3">
      <c r="BH218" s="2" t="str">
        <f t="shared" si="32"/>
        <v>KV-14</v>
      </c>
      <c r="BI218" s="2">
        <f>IF(BL217&gt;=VLOOKUP(VLOOKUP(BJ217,坦克个性化设定!$B$18:$E$48,4,FALSE)&amp;BK217,坦克属性分配比例,MATCH("升星次数",坦克属性分配比例标头,0),FALSE),BI217+1,BI217)</f>
        <v>22</v>
      </c>
      <c r="BJ218" s="2" t="str">
        <f t="shared" si="33"/>
        <v>KV-1</v>
      </c>
      <c r="BK218" s="29" t="str">
        <f>VLOOKUP(BJ218,坦克个性化细分!$I$3:$J$33,2,FALSE)</f>
        <v>低</v>
      </c>
      <c r="BL218" s="2">
        <f t="shared" si="34"/>
        <v>4</v>
      </c>
      <c r="BM218" s="103">
        <f ca="1">ROUND(VLOOKUP($BJ218&amp;"初始",$S$3:$AE$63,MATCH(BM$3,$S$3:$AE$3,0),FALSE)+((VLOOKUP($BJ218&amp;"最终",$S$3:$AE$63,MATCH(BM$3,$S$3:$AE$3,0),FALSE)*坦克个性化细分!$C$9-VLOOKUP($BJ218&amp;"初始",$S$3:$AE$63,MATCH(BM$3,$S$3:$AE$3,0),FALSE))-(VLOOKUP($BJ218&amp;"最终",$S$3:$AE$63,MATCH(BM$3,$S$3:$AE$3,0),FALSE)-VLOOKUP($BJ218&amp;"初始",$S$3:$AE$63,MATCH(BM$3,$S$3:$AE$3,0),FALSE))*VLOOKUP(VLOOKUP($BJ218,坦克个性化设定!$B$18:$E$48,4,FALSE)&amp;$BK218,坦克属性分配比例,MATCH("部件比例",坦克属性分配比例标头,0),FALSE))*$BL218/VLOOKUP(VLOOKUP($BJ218,坦克个性化设定!$B$18:$E$48,4,FALSE)&amp;$BK218,坦克属性分配比例,MATCH("升星次数",坦克属性分配比例标头,0),FALSE),0)</f>
        <v>1398</v>
      </c>
      <c r="BN218" s="103">
        <f ca="1">ROUND(VLOOKUP($BJ218&amp;"初始",$S$3:$AE$63,MATCH(BN$3,$S$3:$AE$3,0),FALSE)+(VLOOKUP($BJ218&amp;"最终",$S$3:$AE$63,MATCH(BN$3,$S$3:$AE$3,0),FALSE)-VLOOKUP($BJ218&amp;"初始",$S$3:$AE$63,MATCH(BN$3,$S$3:$AE$3,0),FALSE))*$BL218/VLOOKUP(VLOOKUP($BJ218,坦克个性化设定!$B$18:$E$48,4,FALSE)&amp;$BK218,坦克属性分配比例,MATCH("升星次数",坦克属性分配比例标头,0),FALSE)*VLOOKUP(VLOOKUP($BJ218,坦克个性化设定!$B$18:$E$48,4,FALSE)&amp;$BK218,坦克属性分配比例,MATCH("升星比例",坦克属性分配比例标头,0),FALSE),0)</f>
        <v>297</v>
      </c>
      <c r="BO218" s="103">
        <f ca="1">ROUND(VLOOKUP($BJ218&amp;"初始",$S$3:$AE$63,MATCH(BO$3,$S$3:$AE$3,0),FALSE)+(VLOOKUP($BJ218&amp;"最终",$S$3:$AE$63,MATCH(BO$3,$S$3:$AE$3,0),FALSE)-VLOOKUP($BJ218&amp;"初始",$S$3:$AE$63,MATCH(BO$3,$S$3:$AE$3,0),FALSE))*$BL218/VLOOKUP(VLOOKUP($BJ218,坦克个性化设定!$B$18:$E$48,4,FALSE)&amp;$BK218,坦克属性分配比例,MATCH("升星次数",坦克属性分配比例标头,0),FALSE)*(VLOOKUP(VLOOKUP($BJ218,坦克个性化设定!$B$18:$E$48,4,FALSE)&amp;$BK218,坦克属性分配比例,MATCH("升星比例",坦克属性分配比例标头,0),FALSE)+VLOOKUP(VLOOKUP($BJ218,坦克个性化设定!$B$18:$E$48,4,FALSE)&amp;$BK218,坦克属性分配比例,MATCH("部件比例",坦克属性分配比例标头,0),FALSE)*$C$3),0)</f>
        <v>413</v>
      </c>
      <c r="BP218" s="103">
        <f ca="1">ROUND(VLOOKUP($BJ218&amp;"初始",$S$3:$AE$63,MATCH(BP$3,$S$3:$AE$3,0),FALSE)+(VLOOKUP($BJ218&amp;"最终",$S$3:$AE$63,MATCH(BP$3,$S$3:$AE$3,0),FALSE)-VLOOKUP($BJ218&amp;"初始",$S$3:$AE$63,MATCH(BP$3,$S$3:$AE$3,0),FALSE))*$BL218/VLOOKUP(VLOOKUP($BJ218,坦克个性化设定!$B$18:$E$48,4,FALSE)&amp;$BK218,坦克属性分配比例,MATCH("升星次数",坦克属性分配比例标头,0),FALSE)*(VLOOKUP(VLOOKUP($BJ218,坦克个性化设定!$B$18:$E$48,4,FALSE)&amp;$BK218,坦克属性分配比例,MATCH("升星比例",坦克属性分配比例标头,0),FALSE)+VLOOKUP(VLOOKUP($BJ218,坦克个性化设定!$B$18:$E$48,4,FALSE)&amp;$BK218,坦克属性分配比例,MATCH("部件比例",坦克属性分配比例标头,0),FALSE)*$C$3),0)</f>
        <v>331</v>
      </c>
      <c r="BQ218" s="103">
        <f ca="1">ROUND(VLOOKUP($BJ218&amp;"初始",$S$3:$AE$63,MATCH(BQ$3,$S$3:$AE$3,0),FALSE)+(VLOOKUP($BJ218&amp;"最终",$S$3:$AE$63,MATCH(BQ$3,$S$3:$AE$3,0),FALSE)-VLOOKUP($BJ218&amp;"初始",$S$3:$AE$63,MATCH(BQ$3,$S$3:$AE$3,0),FALSE))*$BL218/VLOOKUP(VLOOKUP($BJ218,坦克个性化设定!$B$18:$E$48,4,FALSE)&amp;$BK218,坦克属性分配比例,MATCH("升星次数",坦克属性分配比例标头,0),FALSE)*VLOOKUP(VLOOKUP($BJ218,坦克个性化设定!$B$18:$E$48,4,FALSE)&amp;$BK218,坦克属性分配比例,MATCH("升星比例",坦克属性分配比例标头,0),FALSE),0)</f>
        <v>582</v>
      </c>
      <c r="BR218" s="2">
        <f ca="1">ROUND(VLOOKUP($BJ218&amp;"初始",$S$3:$AE$63,MATCH(BR$3,$S$3:$AE$3,0),FALSE)+(VLOOKUP($BJ218&amp;"最终",$S$3:$AE$63,MATCH(BR$3,$S$3:$AE$3,0),FALSE)-VLOOKUP($BJ218&amp;"初始",$S$3:$AE$63,MATCH(BR$3,$S$3:$AE$3,0),FALSE))*$BL218/VLOOKUP(VLOOKUP($BJ218,坦克个性化设定!$B$18:$E$48,4,FALSE)&amp;$BK218,坦克属性分配比例,MATCH("升星次数",坦克属性分配比例标头,0),FALSE),0)</f>
        <v>145</v>
      </c>
      <c r="BS218" s="2">
        <f>ROUND(VLOOKUP($BJ218,$AI$3:$AO$33,MATCH(BS$3,$AI$3:$AO$3,0),FALSE)+$BL218/VLOOKUP(VLOOKUP($BJ218,坦克个性化设定!$B$18:$E$48,4,FALSE)&amp;$BK218,坦克属性分配比例,MATCH("升星次数",坦克属性分配比例标头,0),FALSE)*VLOOKUP($BJ218,$AR$3:$AY$33,MATCH(BS$3,$AR$3:$AY$3,0),FALSE),1)</f>
        <v>43.8</v>
      </c>
      <c r="BT218" s="2">
        <f>ROUND(VLOOKUP($BJ218,$AI$3:$AO$33,MATCH(BT$3,$AI$3:$AO$3,0),FALSE)+$BL218/VLOOKUP(VLOOKUP($BJ218,坦克个性化设定!$B$18:$E$48,4,FALSE)&amp;$BK218,坦克属性分配比例,MATCH("升星次数",坦克属性分配比例标头,0),FALSE)*VLOOKUP($BJ218,$AR$3:$AY$33,MATCH(BT$3,$AR$3:$AY$3,0),FALSE),1)</f>
        <v>32</v>
      </c>
      <c r="BU218" s="2">
        <f>ROUND(VLOOKUP($BJ218,$AI$3:$AO$33,MATCH(BU$3,$AI$3:$AO$3,0),FALSE)+$BL218/VLOOKUP(VLOOKUP($BJ218,坦克个性化设定!$B$18:$E$48,4,FALSE)&amp;$BK218,坦克属性分配比例,MATCH("升星次数",坦克属性分配比例标头,0),FALSE)*VLOOKUP($BJ218,$AR$3:$AY$33,MATCH(BU$3,$AR$3:$AY$3,0),FALSE),1)</f>
        <v>7</v>
      </c>
      <c r="BV218" s="2">
        <f>IF(VLOOKUP(BJ218,坦克个性化设定!$B$18:$BC$48,MATCH("装弹类型",坦克个性化设定!$B$18:$BC$18,0),FALSE)="弹夹换弹",0,ROUND(VLOOKUP($BJ218,$AI$3:$AO$33,MATCH("换弹时间",$AI$3:$AO$3,0),FALSE)-$BL218/VLOOKUP(VLOOKUP($BJ218,坦克个性化设定!$B$18:$E$48,4,FALSE)&amp;$BK218,坦克属性分配比例,MATCH("升星次数",坦克属性分配比例标头,0),FALSE)*VLOOKUP($BJ218,$AR$3:$AY$33,MATCH("换弹时间",$AR$3:$AY$3,0),FALSE),2))</f>
        <v>3.29</v>
      </c>
      <c r="BW218" s="2">
        <f>IF(VLOOKUP(BJ218,坦克个性化设定!$B$18:$BC$48,MATCH("装弹类型",坦克个性化设定!$B$18:$BC$18,0),FALSE)="弹夹换弹",ROUND(VLOOKUP($BJ218,$AI$3:$AO$33,MATCH("换弹时间",$AI$3:$AO$3,0),FALSE)-$BL218/VLOOKUP(VLOOKUP($BJ218,坦克个性化设定!$B$18:$E$48,4,FALSE)&amp;$BK218,坦克属性分配比例,MATCH("升星次数",坦克属性分配比例标头,0),FALSE)*VLOOKUP($BJ218,$AR$3:$AY$33,MATCH("换弹时间",$AR$3:$AY$3,0),FALSE),1),0)</f>
        <v>0</v>
      </c>
      <c r="BX218" s="2">
        <f>ROUND(VLOOKUP($BJ218,$AI$3:$AO$33,MATCH(BX$3,$AI$3:$AO$3,0),FALSE)+$BL218/VLOOKUP(VLOOKUP($BJ218,坦克个性化设定!$B$18:$E$48,4,FALSE)&amp;$BK218,坦克属性分配比例,MATCH("升星次数",坦克属性分配比例标头,0),FALSE)*VLOOKUP($BJ218,$AR$3:$AY$33,MATCH(BX$3,$AR$3:$AY$3,0),FALSE),2)</f>
        <v>1.88</v>
      </c>
      <c r="BY218" s="2">
        <f>ROUND(VLOOKUP($BJ218,$AI$3:$AO$33,MATCH(BY$3,$AI$3:$AO$3,0),FALSE)-$BL218/VLOOKUP(VLOOKUP($BJ218,坦克个性化设定!$B$18:$E$48,4,FALSE)&amp;$BK218,坦克属性分配比例,MATCH("升星次数",坦克属性分配比例标头,0),FALSE)*VLOOKUP($BJ218,$AR$3:$AY$33,MATCH(BY$3,$AR$3:$AY$3,0),FALSE),2)</f>
        <v>1.88</v>
      </c>
    </row>
    <row r="219" spans="60:77" x14ac:dyDescent="0.3">
      <c r="BH219" s="2" t="str">
        <f t="shared" si="32"/>
        <v>KV-15</v>
      </c>
      <c r="BI219" s="2">
        <f>IF(BL218&gt;=VLOOKUP(VLOOKUP(BJ218,坦克个性化设定!$B$18:$E$48,4,FALSE)&amp;BK218,坦克属性分配比例,MATCH("升星次数",坦克属性分配比例标头,0),FALSE),BI218+1,BI218)</f>
        <v>22</v>
      </c>
      <c r="BJ219" s="2" t="str">
        <f t="shared" si="33"/>
        <v>KV-1</v>
      </c>
      <c r="BK219" s="29" t="str">
        <f>VLOOKUP(BJ219,坦克个性化细分!$I$3:$J$33,2,FALSE)</f>
        <v>低</v>
      </c>
      <c r="BL219" s="2">
        <f t="shared" si="34"/>
        <v>5</v>
      </c>
      <c r="BM219" s="103">
        <f ca="1">ROUND(VLOOKUP($BJ219&amp;"初始",$S$3:$AE$63,MATCH(BM$3,$S$3:$AE$3,0),FALSE)+((VLOOKUP($BJ219&amp;"最终",$S$3:$AE$63,MATCH(BM$3,$S$3:$AE$3,0),FALSE)*坦克个性化细分!$C$9-VLOOKUP($BJ219&amp;"初始",$S$3:$AE$63,MATCH(BM$3,$S$3:$AE$3,0),FALSE))-(VLOOKUP($BJ219&amp;"最终",$S$3:$AE$63,MATCH(BM$3,$S$3:$AE$3,0),FALSE)-VLOOKUP($BJ219&amp;"初始",$S$3:$AE$63,MATCH(BM$3,$S$3:$AE$3,0),FALSE))*VLOOKUP(VLOOKUP($BJ219,坦克个性化设定!$B$18:$E$48,4,FALSE)&amp;$BK219,坦克属性分配比例,MATCH("部件比例",坦克属性分配比例标头,0),FALSE))*$BL219/VLOOKUP(VLOOKUP($BJ219,坦克个性化设定!$B$18:$E$48,4,FALSE)&amp;$BK219,坦克属性分配比例,MATCH("升星次数",坦克属性分配比例标头,0),FALSE),0)</f>
        <v>1471</v>
      </c>
      <c r="BN219" s="103">
        <f ca="1">ROUND(VLOOKUP($BJ219&amp;"初始",$S$3:$AE$63,MATCH(BN$3,$S$3:$AE$3,0),FALSE)+(VLOOKUP($BJ219&amp;"最终",$S$3:$AE$63,MATCH(BN$3,$S$3:$AE$3,0),FALSE)-VLOOKUP($BJ219&amp;"初始",$S$3:$AE$63,MATCH(BN$3,$S$3:$AE$3,0),FALSE))*$BL219/VLOOKUP(VLOOKUP($BJ219,坦克个性化设定!$B$18:$E$48,4,FALSE)&amp;$BK219,坦克属性分配比例,MATCH("升星次数",坦克属性分配比例标头,0),FALSE)*VLOOKUP(VLOOKUP($BJ219,坦克个性化设定!$B$18:$E$48,4,FALSE)&amp;$BK219,坦克属性分配比例,MATCH("升星比例",坦克属性分配比例标头,0),FALSE),0)</f>
        <v>307</v>
      </c>
      <c r="BO219" s="103">
        <f ca="1">ROUND(VLOOKUP($BJ219&amp;"初始",$S$3:$AE$63,MATCH(BO$3,$S$3:$AE$3,0),FALSE)+(VLOOKUP($BJ219&amp;"最终",$S$3:$AE$63,MATCH(BO$3,$S$3:$AE$3,0),FALSE)-VLOOKUP($BJ219&amp;"初始",$S$3:$AE$63,MATCH(BO$3,$S$3:$AE$3,0),FALSE))*$BL219/VLOOKUP(VLOOKUP($BJ219,坦克个性化设定!$B$18:$E$48,4,FALSE)&amp;$BK219,坦克属性分配比例,MATCH("升星次数",坦克属性分配比例标头,0),FALSE)*(VLOOKUP(VLOOKUP($BJ219,坦克个性化设定!$B$18:$E$48,4,FALSE)&amp;$BK219,坦克属性分配比例,MATCH("升星比例",坦克属性分配比例标头,0),FALSE)+VLOOKUP(VLOOKUP($BJ219,坦克个性化设定!$B$18:$E$48,4,FALSE)&amp;$BK219,坦克属性分配比例,MATCH("部件比例",坦克属性分配比例标头,0),FALSE)*$C$3),0)</f>
        <v>431</v>
      </c>
      <c r="BP219" s="103">
        <f ca="1">ROUND(VLOOKUP($BJ219&amp;"初始",$S$3:$AE$63,MATCH(BP$3,$S$3:$AE$3,0),FALSE)+(VLOOKUP($BJ219&amp;"最终",$S$3:$AE$63,MATCH(BP$3,$S$3:$AE$3,0),FALSE)-VLOOKUP($BJ219&amp;"初始",$S$3:$AE$63,MATCH(BP$3,$S$3:$AE$3,0),FALSE))*$BL219/VLOOKUP(VLOOKUP($BJ219,坦克个性化设定!$B$18:$E$48,4,FALSE)&amp;$BK219,坦克属性分配比例,MATCH("升星次数",坦克属性分配比例标头,0),FALSE)*(VLOOKUP(VLOOKUP($BJ219,坦克个性化设定!$B$18:$E$48,4,FALSE)&amp;$BK219,坦克属性分配比例,MATCH("升星比例",坦克属性分配比例标头,0),FALSE)+VLOOKUP(VLOOKUP($BJ219,坦克个性化设定!$B$18:$E$48,4,FALSE)&amp;$BK219,坦克属性分配比例,MATCH("部件比例",坦克属性分配比例标头,0),FALSE)*$C$3),0)</f>
        <v>345</v>
      </c>
      <c r="BQ219" s="103">
        <f ca="1">ROUND(VLOOKUP($BJ219&amp;"初始",$S$3:$AE$63,MATCH(BQ$3,$S$3:$AE$3,0),FALSE)+(VLOOKUP($BJ219&amp;"最终",$S$3:$AE$63,MATCH(BQ$3,$S$3:$AE$3,0),FALSE)-VLOOKUP($BJ219&amp;"初始",$S$3:$AE$63,MATCH(BQ$3,$S$3:$AE$3,0),FALSE))*$BL219/VLOOKUP(VLOOKUP($BJ219,坦克个性化设定!$B$18:$E$48,4,FALSE)&amp;$BK219,坦克属性分配比例,MATCH("升星次数",坦克属性分配比例标头,0),FALSE)*VLOOKUP(VLOOKUP($BJ219,坦克个性化设定!$B$18:$E$48,4,FALSE)&amp;$BK219,坦克属性分配比例,MATCH("升星比例",坦克属性分配比例标头,0),FALSE),0)</f>
        <v>602</v>
      </c>
      <c r="BR219" s="2">
        <f ca="1">ROUND(VLOOKUP($BJ219&amp;"初始",$S$3:$AE$63,MATCH(BR$3,$S$3:$AE$3,0),FALSE)+(VLOOKUP($BJ219&amp;"最终",$S$3:$AE$63,MATCH(BR$3,$S$3:$AE$3,0),FALSE)-VLOOKUP($BJ219&amp;"初始",$S$3:$AE$63,MATCH(BR$3,$S$3:$AE$3,0),FALSE))*$BL219/VLOOKUP(VLOOKUP($BJ219,坦克个性化设定!$B$18:$E$48,4,FALSE)&amp;$BK219,坦克属性分配比例,MATCH("升星次数",坦克属性分配比例标头,0),FALSE),0)</f>
        <v>152</v>
      </c>
      <c r="BS219" s="2">
        <f>ROUND(VLOOKUP($BJ219,$AI$3:$AO$33,MATCH(BS$3,$AI$3:$AO$3,0),FALSE)+$BL219/VLOOKUP(VLOOKUP($BJ219,坦克个性化设定!$B$18:$E$48,4,FALSE)&amp;$BK219,坦克属性分配比例,MATCH("升星次数",坦克属性分配比例标头,0),FALSE)*VLOOKUP($BJ219,$AR$3:$AY$33,MATCH(BS$3,$AR$3:$AY$3,0),FALSE),1)</f>
        <v>45.1</v>
      </c>
      <c r="BT219" s="2">
        <f>ROUND(VLOOKUP($BJ219,$AI$3:$AO$33,MATCH(BT$3,$AI$3:$AO$3,0),FALSE)+$BL219/VLOOKUP(VLOOKUP($BJ219,坦克个性化设定!$B$18:$E$48,4,FALSE)&amp;$BK219,坦克属性分配比例,MATCH("升星次数",坦克属性分配比例标头,0),FALSE)*VLOOKUP($BJ219,$AR$3:$AY$33,MATCH(BT$3,$AR$3:$AY$3,0),FALSE),1)</f>
        <v>33</v>
      </c>
      <c r="BU219" s="2">
        <f>ROUND(VLOOKUP($BJ219,$AI$3:$AO$33,MATCH(BU$3,$AI$3:$AO$3,0),FALSE)+$BL219/VLOOKUP(VLOOKUP($BJ219,坦克个性化设定!$B$18:$E$48,4,FALSE)&amp;$BK219,坦克属性分配比例,MATCH("升星次数",坦克属性分配比例标头,0),FALSE)*VLOOKUP($BJ219,$AR$3:$AY$33,MATCH(BU$3,$AR$3:$AY$3,0),FALSE),1)</f>
        <v>7</v>
      </c>
      <c r="BV219" s="2">
        <f>IF(VLOOKUP(BJ219,坦克个性化设定!$B$18:$BC$48,MATCH("装弹类型",坦克个性化设定!$B$18:$BC$18,0),FALSE)="弹夹换弹",0,ROUND(VLOOKUP($BJ219,$AI$3:$AO$33,MATCH("换弹时间",$AI$3:$AO$3,0),FALSE)-$BL219/VLOOKUP(VLOOKUP($BJ219,坦克个性化设定!$B$18:$E$48,4,FALSE)&amp;$BK219,坦克属性分配比例,MATCH("升星次数",坦克属性分配比例标头,0),FALSE)*VLOOKUP($BJ219,$AR$3:$AY$33,MATCH("换弹时间",$AR$3:$AY$3,0),FALSE),2))</f>
        <v>3.21</v>
      </c>
      <c r="BW219" s="2">
        <f>IF(VLOOKUP(BJ219,坦克个性化设定!$B$18:$BC$48,MATCH("装弹类型",坦克个性化设定!$B$18:$BC$18,0),FALSE)="弹夹换弹",ROUND(VLOOKUP($BJ219,$AI$3:$AO$33,MATCH("换弹时间",$AI$3:$AO$3,0),FALSE)-$BL219/VLOOKUP(VLOOKUP($BJ219,坦克个性化设定!$B$18:$E$48,4,FALSE)&amp;$BK219,坦克属性分配比例,MATCH("升星次数",坦克属性分配比例标头,0),FALSE)*VLOOKUP($BJ219,$AR$3:$AY$33,MATCH("换弹时间",$AR$3:$AY$3,0),FALSE),1),0)</f>
        <v>0</v>
      </c>
      <c r="BX219" s="2">
        <f>ROUND(VLOOKUP($BJ219,$AI$3:$AO$33,MATCH(BX$3,$AI$3:$AO$3,0),FALSE)+$BL219/VLOOKUP(VLOOKUP($BJ219,坦克个性化设定!$B$18:$E$48,4,FALSE)&amp;$BK219,坦克属性分配比例,MATCH("升星次数",坦克属性分配比例标头,0),FALSE)*VLOOKUP($BJ219,$AR$3:$AY$33,MATCH(BX$3,$AR$3:$AY$3,0),FALSE),2)</f>
        <v>1.88</v>
      </c>
      <c r="BY219" s="2">
        <f>ROUND(VLOOKUP($BJ219,$AI$3:$AO$33,MATCH(BY$3,$AI$3:$AO$3,0),FALSE)-$BL219/VLOOKUP(VLOOKUP($BJ219,坦克个性化设定!$B$18:$E$48,4,FALSE)&amp;$BK219,坦克属性分配比例,MATCH("升星次数",坦克属性分配比例标头,0),FALSE)*VLOOKUP($BJ219,$AR$3:$AY$33,MATCH(BY$3,$AR$3:$AY$3,0),FALSE),2)</f>
        <v>1.84</v>
      </c>
    </row>
    <row r="220" spans="60:77" x14ac:dyDescent="0.3">
      <c r="BH220" s="2" t="str">
        <f t="shared" si="32"/>
        <v>KV-16</v>
      </c>
      <c r="BI220" s="2">
        <f>IF(BL219&gt;=VLOOKUP(VLOOKUP(BJ219,坦克个性化设定!$B$18:$E$48,4,FALSE)&amp;BK219,坦克属性分配比例,MATCH("升星次数",坦克属性分配比例标头,0),FALSE),BI219+1,BI219)</f>
        <v>22</v>
      </c>
      <c r="BJ220" s="2" t="str">
        <f t="shared" si="33"/>
        <v>KV-1</v>
      </c>
      <c r="BK220" s="29" t="str">
        <f>VLOOKUP(BJ220,坦克个性化细分!$I$3:$J$33,2,FALSE)</f>
        <v>低</v>
      </c>
      <c r="BL220" s="2">
        <f t="shared" si="34"/>
        <v>6</v>
      </c>
      <c r="BM220" s="103">
        <f ca="1">ROUND(VLOOKUP($BJ220&amp;"初始",$S$3:$AE$63,MATCH(BM$3,$S$3:$AE$3,0),FALSE)+((VLOOKUP($BJ220&amp;"最终",$S$3:$AE$63,MATCH(BM$3,$S$3:$AE$3,0),FALSE)*坦克个性化细分!$C$9-VLOOKUP($BJ220&amp;"初始",$S$3:$AE$63,MATCH(BM$3,$S$3:$AE$3,0),FALSE))-(VLOOKUP($BJ220&amp;"最终",$S$3:$AE$63,MATCH(BM$3,$S$3:$AE$3,0),FALSE)-VLOOKUP($BJ220&amp;"初始",$S$3:$AE$63,MATCH(BM$3,$S$3:$AE$3,0),FALSE))*VLOOKUP(VLOOKUP($BJ220,坦克个性化设定!$B$18:$E$48,4,FALSE)&amp;$BK220,坦克属性分配比例,MATCH("部件比例",坦克属性分配比例标头,0),FALSE))*$BL220/VLOOKUP(VLOOKUP($BJ220,坦克个性化设定!$B$18:$E$48,4,FALSE)&amp;$BK220,坦克属性分配比例,MATCH("升星次数",坦克属性分配比例标头,0),FALSE),0)</f>
        <v>1544</v>
      </c>
      <c r="BN220" s="103">
        <f ca="1">ROUND(VLOOKUP($BJ220&amp;"初始",$S$3:$AE$63,MATCH(BN$3,$S$3:$AE$3,0),FALSE)+(VLOOKUP($BJ220&amp;"最终",$S$3:$AE$63,MATCH(BN$3,$S$3:$AE$3,0),FALSE)-VLOOKUP($BJ220&amp;"初始",$S$3:$AE$63,MATCH(BN$3,$S$3:$AE$3,0),FALSE))*$BL220/VLOOKUP(VLOOKUP($BJ220,坦克个性化设定!$B$18:$E$48,4,FALSE)&amp;$BK220,坦克属性分配比例,MATCH("升星次数",坦克属性分配比例标头,0),FALSE)*VLOOKUP(VLOOKUP($BJ220,坦克个性化设定!$B$18:$E$48,4,FALSE)&amp;$BK220,坦克属性分配比例,MATCH("升星比例",坦克属性分配比例标头,0),FALSE),0)</f>
        <v>317</v>
      </c>
      <c r="BO220" s="103">
        <f ca="1">ROUND(VLOOKUP($BJ220&amp;"初始",$S$3:$AE$63,MATCH(BO$3,$S$3:$AE$3,0),FALSE)+(VLOOKUP($BJ220&amp;"最终",$S$3:$AE$63,MATCH(BO$3,$S$3:$AE$3,0),FALSE)-VLOOKUP($BJ220&amp;"初始",$S$3:$AE$63,MATCH(BO$3,$S$3:$AE$3,0),FALSE))*$BL220/VLOOKUP(VLOOKUP($BJ220,坦克个性化设定!$B$18:$E$48,4,FALSE)&amp;$BK220,坦克属性分配比例,MATCH("升星次数",坦克属性分配比例标头,0),FALSE)*(VLOOKUP(VLOOKUP($BJ220,坦克个性化设定!$B$18:$E$48,4,FALSE)&amp;$BK220,坦克属性分配比例,MATCH("升星比例",坦克属性分配比例标头,0),FALSE)+VLOOKUP(VLOOKUP($BJ220,坦克个性化设定!$B$18:$E$48,4,FALSE)&amp;$BK220,坦克属性分配比例,MATCH("部件比例",坦克属性分配比例标头,0),FALSE)*$C$3),0)</f>
        <v>448</v>
      </c>
      <c r="BP220" s="103">
        <f ca="1">ROUND(VLOOKUP($BJ220&amp;"初始",$S$3:$AE$63,MATCH(BP$3,$S$3:$AE$3,0),FALSE)+(VLOOKUP($BJ220&amp;"最终",$S$3:$AE$63,MATCH(BP$3,$S$3:$AE$3,0),FALSE)-VLOOKUP($BJ220&amp;"初始",$S$3:$AE$63,MATCH(BP$3,$S$3:$AE$3,0),FALSE))*$BL220/VLOOKUP(VLOOKUP($BJ220,坦克个性化设定!$B$18:$E$48,4,FALSE)&amp;$BK220,坦克属性分配比例,MATCH("升星次数",坦克属性分配比例标头,0),FALSE)*(VLOOKUP(VLOOKUP($BJ220,坦克个性化设定!$B$18:$E$48,4,FALSE)&amp;$BK220,坦克属性分配比例,MATCH("升星比例",坦克属性分配比例标头,0),FALSE)+VLOOKUP(VLOOKUP($BJ220,坦克个性化设定!$B$18:$E$48,4,FALSE)&amp;$BK220,坦克属性分配比例,MATCH("部件比例",坦克属性分配比例标头,0),FALSE)*$C$3),0)</f>
        <v>359</v>
      </c>
      <c r="BQ220" s="103">
        <f ca="1">ROUND(VLOOKUP($BJ220&amp;"初始",$S$3:$AE$63,MATCH(BQ$3,$S$3:$AE$3,0),FALSE)+(VLOOKUP($BJ220&amp;"最终",$S$3:$AE$63,MATCH(BQ$3,$S$3:$AE$3,0),FALSE)-VLOOKUP($BJ220&amp;"初始",$S$3:$AE$63,MATCH(BQ$3,$S$3:$AE$3,0),FALSE))*$BL220/VLOOKUP(VLOOKUP($BJ220,坦克个性化设定!$B$18:$E$48,4,FALSE)&amp;$BK220,坦克属性分配比例,MATCH("升星次数",坦克属性分配比例标头,0),FALSE)*VLOOKUP(VLOOKUP($BJ220,坦克个性化设定!$B$18:$E$48,4,FALSE)&amp;$BK220,坦克属性分配比例,MATCH("升星比例",坦克属性分配比例标头,0),FALSE),0)</f>
        <v>621</v>
      </c>
      <c r="BR220" s="2">
        <f ca="1">ROUND(VLOOKUP($BJ220&amp;"初始",$S$3:$AE$63,MATCH(BR$3,$S$3:$AE$3,0),FALSE)+(VLOOKUP($BJ220&amp;"最终",$S$3:$AE$63,MATCH(BR$3,$S$3:$AE$3,0),FALSE)-VLOOKUP($BJ220&amp;"初始",$S$3:$AE$63,MATCH(BR$3,$S$3:$AE$3,0),FALSE))*$BL220/VLOOKUP(VLOOKUP($BJ220,坦克个性化设定!$B$18:$E$48,4,FALSE)&amp;$BK220,坦克属性分配比例,MATCH("升星次数",坦克属性分配比例标头,0),FALSE),0)</f>
        <v>159</v>
      </c>
      <c r="BS220" s="2">
        <f>ROUND(VLOOKUP($BJ220,$AI$3:$AO$33,MATCH(BS$3,$AI$3:$AO$3,0),FALSE)+$BL220/VLOOKUP(VLOOKUP($BJ220,坦克个性化设定!$B$18:$E$48,4,FALSE)&amp;$BK220,坦克属性分配比例,MATCH("升星次数",坦克属性分配比例标头,0),FALSE)*VLOOKUP($BJ220,$AR$3:$AY$33,MATCH(BS$3,$AR$3:$AY$3,0),FALSE),1)</f>
        <v>46.5</v>
      </c>
      <c r="BT220" s="2">
        <f>ROUND(VLOOKUP($BJ220,$AI$3:$AO$33,MATCH(BT$3,$AI$3:$AO$3,0),FALSE)+$BL220/VLOOKUP(VLOOKUP($BJ220,坦克个性化设定!$B$18:$E$48,4,FALSE)&amp;$BK220,坦克属性分配比例,MATCH("升星次数",坦克属性分配比例标头,0),FALSE)*VLOOKUP($BJ220,$AR$3:$AY$33,MATCH(BT$3,$AR$3:$AY$3,0),FALSE),1)</f>
        <v>34</v>
      </c>
      <c r="BU220" s="2">
        <f>ROUND(VLOOKUP($BJ220,$AI$3:$AO$33,MATCH(BU$3,$AI$3:$AO$3,0),FALSE)+$BL220/VLOOKUP(VLOOKUP($BJ220,坦克个性化设定!$B$18:$E$48,4,FALSE)&amp;$BK220,坦克属性分配比例,MATCH("升星次数",坦克属性分配比例标头,0),FALSE)*VLOOKUP($BJ220,$AR$3:$AY$33,MATCH(BU$3,$AR$3:$AY$3,0),FALSE),1)</f>
        <v>7</v>
      </c>
      <c r="BV220" s="2">
        <f>IF(VLOOKUP(BJ220,坦克个性化设定!$B$18:$BC$48,MATCH("装弹类型",坦克个性化设定!$B$18:$BC$18,0),FALSE)="弹夹换弹",0,ROUND(VLOOKUP($BJ220,$AI$3:$AO$33,MATCH("换弹时间",$AI$3:$AO$3,0),FALSE)-$BL220/VLOOKUP(VLOOKUP($BJ220,坦克个性化设定!$B$18:$E$48,4,FALSE)&amp;$BK220,坦克属性分配比例,MATCH("升星次数",坦克属性分配比例标头,0),FALSE)*VLOOKUP($BJ220,$AR$3:$AY$33,MATCH("换弹时间",$AR$3:$AY$3,0),FALSE),2))</f>
        <v>3.14</v>
      </c>
      <c r="BW220" s="2">
        <f>IF(VLOOKUP(BJ220,坦克个性化设定!$B$18:$BC$48,MATCH("装弹类型",坦克个性化设定!$B$18:$BC$18,0),FALSE)="弹夹换弹",ROUND(VLOOKUP($BJ220,$AI$3:$AO$33,MATCH("换弹时间",$AI$3:$AO$3,0),FALSE)-$BL220/VLOOKUP(VLOOKUP($BJ220,坦克个性化设定!$B$18:$E$48,4,FALSE)&amp;$BK220,坦克属性分配比例,MATCH("升星次数",坦克属性分配比例标头,0),FALSE)*VLOOKUP($BJ220,$AR$3:$AY$33,MATCH("换弹时间",$AR$3:$AY$3,0),FALSE),1),0)</f>
        <v>0</v>
      </c>
      <c r="BX220" s="2">
        <f>ROUND(VLOOKUP($BJ220,$AI$3:$AO$33,MATCH(BX$3,$AI$3:$AO$3,0),FALSE)+$BL220/VLOOKUP(VLOOKUP($BJ220,坦克个性化设定!$B$18:$E$48,4,FALSE)&amp;$BK220,坦克属性分配比例,MATCH("升星次数",坦克属性分配比例标头,0),FALSE)*VLOOKUP($BJ220,$AR$3:$AY$33,MATCH(BX$3,$AR$3:$AY$3,0),FALSE),2)</f>
        <v>1.88</v>
      </c>
      <c r="BY220" s="2">
        <f>ROUND(VLOOKUP($BJ220,$AI$3:$AO$33,MATCH(BY$3,$AI$3:$AO$3,0),FALSE)-$BL220/VLOOKUP(VLOOKUP($BJ220,坦克个性化设定!$B$18:$E$48,4,FALSE)&amp;$BK220,坦克属性分配比例,MATCH("升星次数",坦克属性分配比例标头,0),FALSE)*VLOOKUP($BJ220,$AR$3:$AY$33,MATCH(BY$3,$AR$3:$AY$3,0),FALSE),2)</f>
        <v>1.79</v>
      </c>
    </row>
    <row r="221" spans="60:77" x14ac:dyDescent="0.3">
      <c r="BH221" s="2" t="str">
        <f t="shared" si="32"/>
        <v>KV-17</v>
      </c>
      <c r="BI221" s="2">
        <f>IF(BL220&gt;=VLOOKUP(VLOOKUP(BJ220,坦克个性化设定!$B$18:$E$48,4,FALSE)&amp;BK220,坦克属性分配比例,MATCH("升星次数",坦克属性分配比例标头,0),FALSE),BI220+1,BI220)</f>
        <v>22</v>
      </c>
      <c r="BJ221" s="2" t="str">
        <f t="shared" si="33"/>
        <v>KV-1</v>
      </c>
      <c r="BK221" s="29" t="str">
        <f>VLOOKUP(BJ221,坦克个性化细分!$I$3:$J$33,2,FALSE)</f>
        <v>低</v>
      </c>
      <c r="BL221" s="2">
        <f t="shared" si="34"/>
        <v>7</v>
      </c>
      <c r="BM221" s="103">
        <f ca="1">ROUND(VLOOKUP($BJ221&amp;"初始",$S$3:$AE$63,MATCH(BM$3,$S$3:$AE$3,0),FALSE)+((VLOOKUP($BJ221&amp;"最终",$S$3:$AE$63,MATCH(BM$3,$S$3:$AE$3,0),FALSE)*坦克个性化细分!$C$9-VLOOKUP($BJ221&amp;"初始",$S$3:$AE$63,MATCH(BM$3,$S$3:$AE$3,0),FALSE))-(VLOOKUP($BJ221&amp;"最终",$S$3:$AE$63,MATCH(BM$3,$S$3:$AE$3,0),FALSE)-VLOOKUP($BJ221&amp;"初始",$S$3:$AE$63,MATCH(BM$3,$S$3:$AE$3,0),FALSE))*VLOOKUP(VLOOKUP($BJ221,坦克个性化设定!$B$18:$E$48,4,FALSE)&amp;$BK221,坦克属性分配比例,MATCH("部件比例",坦克属性分配比例标头,0),FALSE))*$BL221/VLOOKUP(VLOOKUP($BJ221,坦克个性化设定!$B$18:$E$48,4,FALSE)&amp;$BK221,坦克属性分配比例,MATCH("升星次数",坦克属性分配比例标头,0),FALSE),0)</f>
        <v>1617</v>
      </c>
      <c r="BN221" s="103">
        <f ca="1">ROUND(VLOOKUP($BJ221&amp;"初始",$S$3:$AE$63,MATCH(BN$3,$S$3:$AE$3,0),FALSE)+(VLOOKUP($BJ221&amp;"最终",$S$3:$AE$63,MATCH(BN$3,$S$3:$AE$3,0),FALSE)-VLOOKUP($BJ221&amp;"初始",$S$3:$AE$63,MATCH(BN$3,$S$3:$AE$3,0),FALSE))*$BL221/VLOOKUP(VLOOKUP($BJ221,坦克个性化设定!$B$18:$E$48,4,FALSE)&amp;$BK221,坦克属性分配比例,MATCH("升星次数",坦克属性分配比例标头,0),FALSE)*VLOOKUP(VLOOKUP($BJ221,坦克个性化设定!$B$18:$E$48,4,FALSE)&amp;$BK221,坦克属性分配比例,MATCH("升星比例",坦克属性分配比例标头,0),FALSE),0)</f>
        <v>327</v>
      </c>
      <c r="BO221" s="103">
        <f ca="1">ROUND(VLOOKUP($BJ221&amp;"初始",$S$3:$AE$63,MATCH(BO$3,$S$3:$AE$3,0),FALSE)+(VLOOKUP($BJ221&amp;"最终",$S$3:$AE$63,MATCH(BO$3,$S$3:$AE$3,0),FALSE)-VLOOKUP($BJ221&amp;"初始",$S$3:$AE$63,MATCH(BO$3,$S$3:$AE$3,0),FALSE))*$BL221/VLOOKUP(VLOOKUP($BJ221,坦克个性化设定!$B$18:$E$48,4,FALSE)&amp;$BK221,坦克属性分配比例,MATCH("升星次数",坦克属性分配比例标头,0),FALSE)*(VLOOKUP(VLOOKUP($BJ221,坦克个性化设定!$B$18:$E$48,4,FALSE)&amp;$BK221,坦克属性分配比例,MATCH("升星比例",坦克属性分配比例标头,0),FALSE)+VLOOKUP(VLOOKUP($BJ221,坦克个性化设定!$B$18:$E$48,4,FALSE)&amp;$BK221,坦克属性分配比例,MATCH("部件比例",坦克属性分配比例标头,0),FALSE)*$C$3),0)</f>
        <v>466</v>
      </c>
      <c r="BP221" s="103">
        <f ca="1">ROUND(VLOOKUP($BJ221&amp;"初始",$S$3:$AE$63,MATCH(BP$3,$S$3:$AE$3,0),FALSE)+(VLOOKUP($BJ221&amp;"最终",$S$3:$AE$63,MATCH(BP$3,$S$3:$AE$3,0),FALSE)-VLOOKUP($BJ221&amp;"初始",$S$3:$AE$63,MATCH(BP$3,$S$3:$AE$3,0),FALSE))*$BL221/VLOOKUP(VLOOKUP($BJ221,坦克个性化设定!$B$18:$E$48,4,FALSE)&amp;$BK221,坦克属性分配比例,MATCH("升星次数",坦克属性分配比例标头,0),FALSE)*(VLOOKUP(VLOOKUP($BJ221,坦克个性化设定!$B$18:$E$48,4,FALSE)&amp;$BK221,坦克属性分配比例,MATCH("升星比例",坦克属性分配比例标头,0),FALSE)+VLOOKUP(VLOOKUP($BJ221,坦克个性化设定!$B$18:$E$48,4,FALSE)&amp;$BK221,坦克属性分配比例,MATCH("部件比例",坦克属性分配比例标头,0),FALSE)*$C$3),0)</f>
        <v>373</v>
      </c>
      <c r="BQ221" s="103">
        <f ca="1">ROUND(VLOOKUP($BJ221&amp;"初始",$S$3:$AE$63,MATCH(BQ$3,$S$3:$AE$3,0),FALSE)+(VLOOKUP($BJ221&amp;"最终",$S$3:$AE$63,MATCH(BQ$3,$S$3:$AE$3,0),FALSE)-VLOOKUP($BJ221&amp;"初始",$S$3:$AE$63,MATCH(BQ$3,$S$3:$AE$3,0),FALSE))*$BL221/VLOOKUP(VLOOKUP($BJ221,坦克个性化设定!$B$18:$E$48,4,FALSE)&amp;$BK221,坦克属性分配比例,MATCH("升星次数",坦克属性分配比例标头,0),FALSE)*VLOOKUP(VLOOKUP($BJ221,坦克个性化设定!$B$18:$E$48,4,FALSE)&amp;$BK221,坦克属性分配比例,MATCH("升星比例",坦克属性分配比例标头,0),FALSE),0)</f>
        <v>641</v>
      </c>
      <c r="BR221" s="2">
        <f ca="1">ROUND(VLOOKUP($BJ221&amp;"初始",$S$3:$AE$63,MATCH(BR$3,$S$3:$AE$3,0),FALSE)+(VLOOKUP($BJ221&amp;"最终",$S$3:$AE$63,MATCH(BR$3,$S$3:$AE$3,0),FALSE)-VLOOKUP($BJ221&amp;"初始",$S$3:$AE$63,MATCH(BR$3,$S$3:$AE$3,0),FALSE))*$BL221/VLOOKUP(VLOOKUP($BJ221,坦克个性化设定!$B$18:$E$48,4,FALSE)&amp;$BK221,坦克属性分配比例,MATCH("升星次数",坦克属性分配比例标头,0),FALSE),0)</f>
        <v>166</v>
      </c>
      <c r="BS221" s="2">
        <f>ROUND(VLOOKUP($BJ221,$AI$3:$AO$33,MATCH(BS$3,$AI$3:$AO$3,0),FALSE)+$BL221/VLOOKUP(VLOOKUP($BJ221,坦克个性化设定!$B$18:$E$48,4,FALSE)&amp;$BK221,坦克属性分配比例,MATCH("升星次数",坦克属性分配比例标头,0),FALSE)*VLOOKUP($BJ221,$AR$3:$AY$33,MATCH(BS$3,$AR$3:$AY$3,0),FALSE),1)</f>
        <v>47.9</v>
      </c>
      <c r="BT221" s="2">
        <f>ROUND(VLOOKUP($BJ221,$AI$3:$AO$33,MATCH(BT$3,$AI$3:$AO$3,0),FALSE)+$BL221/VLOOKUP(VLOOKUP($BJ221,坦克个性化设定!$B$18:$E$48,4,FALSE)&amp;$BK221,坦克属性分配比例,MATCH("升星次数",坦克属性分配比例标头,0),FALSE)*VLOOKUP($BJ221,$AR$3:$AY$33,MATCH(BT$3,$AR$3:$AY$3,0),FALSE),1)</f>
        <v>35</v>
      </c>
      <c r="BU221" s="2">
        <f>ROUND(VLOOKUP($BJ221,$AI$3:$AO$33,MATCH(BU$3,$AI$3:$AO$3,0),FALSE)+$BL221/VLOOKUP(VLOOKUP($BJ221,坦克个性化设定!$B$18:$E$48,4,FALSE)&amp;$BK221,坦克属性分配比例,MATCH("升星次数",坦克属性分配比例标头,0),FALSE)*VLOOKUP($BJ221,$AR$3:$AY$33,MATCH(BU$3,$AR$3:$AY$3,0),FALSE),1)</f>
        <v>7</v>
      </c>
      <c r="BV221" s="2">
        <f>IF(VLOOKUP(BJ221,坦克个性化设定!$B$18:$BC$48,MATCH("装弹类型",坦克个性化设定!$B$18:$BC$18,0),FALSE)="弹夹换弹",0,ROUND(VLOOKUP($BJ221,$AI$3:$AO$33,MATCH("换弹时间",$AI$3:$AO$3,0),FALSE)-$BL221/VLOOKUP(VLOOKUP($BJ221,坦克个性化设定!$B$18:$E$48,4,FALSE)&amp;$BK221,坦克属性分配比例,MATCH("升星次数",坦克属性分配比例标头,0),FALSE)*VLOOKUP($BJ221,$AR$3:$AY$33,MATCH("换弹时间",$AR$3:$AY$3,0),FALSE),2))</f>
        <v>3.06</v>
      </c>
      <c r="BW221" s="2">
        <f>IF(VLOOKUP(BJ221,坦克个性化设定!$B$18:$BC$48,MATCH("装弹类型",坦克个性化设定!$B$18:$BC$18,0),FALSE)="弹夹换弹",ROUND(VLOOKUP($BJ221,$AI$3:$AO$33,MATCH("换弹时间",$AI$3:$AO$3,0),FALSE)-$BL221/VLOOKUP(VLOOKUP($BJ221,坦克个性化设定!$B$18:$E$48,4,FALSE)&amp;$BK221,坦克属性分配比例,MATCH("升星次数",坦克属性分配比例标头,0),FALSE)*VLOOKUP($BJ221,$AR$3:$AY$33,MATCH("换弹时间",$AR$3:$AY$3,0),FALSE),1),0)</f>
        <v>0</v>
      </c>
      <c r="BX221" s="2">
        <f>ROUND(VLOOKUP($BJ221,$AI$3:$AO$33,MATCH(BX$3,$AI$3:$AO$3,0),FALSE)+$BL221/VLOOKUP(VLOOKUP($BJ221,坦克个性化设定!$B$18:$E$48,4,FALSE)&amp;$BK221,坦克属性分配比例,MATCH("升星次数",坦克属性分配比例标头,0),FALSE)*VLOOKUP($BJ221,$AR$3:$AY$33,MATCH(BX$3,$AR$3:$AY$3,0),FALSE),2)</f>
        <v>1.88</v>
      </c>
      <c r="BY221" s="2">
        <f>ROUND(VLOOKUP($BJ221,$AI$3:$AO$33,MATCH(BY$3,$AI$3:$AO$3,0),FALSE)-$BL221/VLOOKUP(VLOOKUP($BJ221,坦克个性化设定!$B$18:$E$48,4,FALSE)&amp;$BK221,坦克属性分配比例,MATCH("升星次数",坦克属性分配比例标头,0),FALSE)*VLOOKUP($BJ221,$AR$3:$AY$33,MATCH(BY$3,$AR$3:$AY$3,0),FALSE),2)</f>
        <v>1.74</v>
      </c>
    </row>
    <row r="222" spans="60:77" x14ac:dyDescent="0.3">
      <c r="BH222" s="2" t="str">
        <f t="shared" si="32"/>
        <v>丘吉尔0</v>
      </c>
      <c r="BI222" s="2">
        <f>IF(BL221&gt;=VLOOKUP(VLOOKUP(BJ221,坦克个性化设定!$B$18:$E$48,4,FALSE)&amp;BK221,坦克属性分配比例,MATCH("升星次数",坦克属性分配比例标头,0),FALSE),BI221+1,BI221)</f>
        <v>23</v>
      </c>
      <c r="BJ222" s="2" t="str">
        <f t="shared" si="33"/>
        <v>丘吉尔</v>
      </c>
      <c r="BK222" s="29" t="str">
        <f>VLOOKUP(BJ222,坦克个性化细分!$I$3:$J$33,2,FALSE)</f>
        <v>中</v>
      </c>
      <c r="BL222" s="2">
        <f t="shared" si="34"/>
        <v>0</v>
      </c>
      <c r="BM222" s="103">
        <f ca="1">ROUND(VLOOKUP($BJ222&amp;"初始",$S$3:$AE$63,MATCH(BM$3,$S$3:$AE$3,0),FALSE)+((VLOOKUP($BJ222&amp;"最终",$S$3:$AE$63,MATCH(BM$3,$S$3:$AE$3,0),FALSE)*坦克个性化细分!$C$9-VLOOKUP($BJ222&amp;"初始",$S$3:$AE$63,MATCH(BM$3,$S$3:$AE$3,0),FALSE))-(VLOOKUP($BJ222&amp;"最终",$S$3:$AE$63,MATCH(BM$3,$S$3:$AE$3,0),FALSE)-VLOOKUP($BJ222&amp;"初始",$S$3:$AE$63,MATCH(BM$3,$S$3:$AE$3,0),FALSE))*VLOOKUP(VLOOKUP($BJ222,坦克个性化设定!$B$18:$E$48,4,FALSE)&amp;$BK222,坦克属性分配比例,MATCH("部件比例",坦克属性分配比例标头,0),FALSE))*$BL222/VLOOKUP(VLOOKUP($BJ222,坦克个性化设定!$B$18:$E$48,4,FALSE)&amp;$BK222,坦克属性分配比例,MATCH("升星次数",坦克属性分配比例标头,0),FALSE),0)</f>
        <v>1161</v>
      </c>
      <c r="BN222" s="103">
        <f ca="1">ROUND(VLOOKUP($BJ222&amp;"初始",$S$3:$AE$63,MATCH(BN$3,$S$3:$AE$3,0),FALSE)+(VLOOKUP($BJ222&amp;"最终",$S$3:$AE$63,MATCH(BN$3,$S$3:$AE$3,0),FALSE)-VLOOKUP($BJ222&amp;"初始",$S$3:$AE$63,MATCH(BN$3,$S$3:$AE$3,0),FALSE))*$BL222/VLOOKUP(VLOOKUP($BJ222,坦克个性化设定!$B$18:$E$48,4,FALSE)&amp;$BK222,坦克属性分配比例,MATCH("升星次数",坦克属性分配比例标头,0),FALSE)*VLOOKUP(VLOOKUP($BJ222,坦克个性化设定!$B$18:$E$48,4,FALSE)&amp;$BK222,坦克属性分配比例,MATCH("升星比例",坦克属性分配比例标头,0),FALSE),0)</f>
        <v>444</v>
      </c>
      <c r="BO222" s="103">
        <f ca="1">ROUND(VLOOKUP($BJ222&amp;"初始",$S$3:$AE$63,MATCH(BO$3,$S$3:$AE$3,0),FALSE)+(VLOOKUP($BJ222&amp;"最终",$S$3:$AE$63,MATCH(BO$3,$S$3:$AE$3,0),FALSE)-VLOOKUP($BJ222&amp;"初始",$S$3:$AE$63,MATCH(BO$3,$S$3:$AE$3,0),FALSE))*$BL222/VLOOKUP(VLOOKUP($BJ222,坦克个性化设定!$B$18:$E$48,4,FALSE)&amp;$BK222,坦克属性分配比例,MATCH("升星次数",坦克属性分配比例标头,0),FALSE)*(VLOOKUP(VLOOKUP($BJ222,坦克个性化设定!$B$18:$E$48,4,FALSE)&amp;$BK222,坦克属性分配比例,MATCH("升星比例",坦克属性分配比例标头,0),FALSE)+VLOOKUP(VLOOKUP($BJ222,坦克个性化设定!$B$18:$E$48,4,FALSE)&amp;$BK222,坦克属性分配比例,MATCH("部件比例",坦克属性分配比例标头,0),FALSE)*$C$3),0)</f>
        <v>383</v>
      </c>
      <c r="BP222" s="103">
        <f ca="1">ROUND(VLOOKUP($BJ222&amp;"初始",$S$3:$AE$63,MATCH(BP$3,$S$3:$AE$3,0),FALSE)+(VLOOKUP($BJ222&amp;"最终",$S$3:$AE$63,MATCH(BP$3,$S$3:$AE$3,0),FALSE)-VLOOKUP($BJ222&amp;"初始",$S$3:$AE$63,MATCH(BP$3,$S$3:$AE$3,0),FALSE))*$BL222/VLOOKUP(VLOOKUP($BJ222,坦克个性化设定!$B$18:$E$48,4,FALSE)&amp;$BK222,坦克属性分配比例,MATCH("升星次数",坦克属性分配比例标头,0),FALSE)*(VLOOKUP(VLOOKUP($BJ222,坦克个性化设定!$B$18:$E$48,4,FALSE)&amp;$BK222,坦克属性分配比例,MATCH("升星比例",坦克属性分配比例标头,0),FALSE)+VLOOKUP(VLOOKUP($BJ222,坦克个性化设定!$B$18:$E$48,4,FALSE)&amp;$BK222,坦克属性分配比例,MATCH("部件比例",坦克属性分配比例标头,0),FALSE)*$C$3),0)</f>
        <v>307</v>
      </c>
      <c r="BQ222" s="103">
        <f ca="1">ROUND(VLOOKUP($BJ222&amp;"初始",$S$3:$AE$63,MATCH(BQ$3,$S$3:$AE$3,0),FALSE)+(VLOOKUP($BJ222&amp;"最终",$S$3:$AE$63,MATCH(BQ$3,$S$3:$AE$3,0),FALSE)-VLOOKUP($BJ222&amp;"初始",$S$3:$AE$63,MATCH(BQ$3,$S$3:$AE$3,0),FALSE))*$BL222/VLOOKUP(VLOOKUP($BJ222,坦克个性化设定!$B$18:$E$48,4,FALSE)&amp;$BK222,坦克属性分配比例,MATCH("升星次数",坦克属性分配比例标头,0),FALSE)*VLOOKUP(VLOOKUP($BJ222,坦克个性化设定!$B$18:$E$48,4,FALSE)&amp;$BK222,坦克属性分配比例,MATCH("升星比例",坦克属性分配比例标头,0),FALSE),0)</f>
        <v>512</v>
      </c>
      <c r="BR222" s="2">
        <f ca="1">ROUND(VLOOKUP($BJ222&amp;"初始",$S$3:$AE$63,MATCH(BR$3,$S$3:$AE$3,0),FALSE)+(VLOOKUP($BJ222&amp;"最终",$S$3:$AE$63,MATCH(BR$3,$S$3:$AE$3,0),FALSE)-VLOOKUP($BJ222&amp;"初始",$S$3:$AE$63,MATCH(BR$3,$S$3:$AE$3,0),FALSE))*$BL222/VLOOKUP(VLOOKUP($BJ222,坦克个性化设定!$B$18:$E$48,4,FALSE)&amp;$BK222,坦克属性分配比例,MATCH("升星次数",坦克属性分配比例标头,0),FALSE),0)</f>
        <v>119</v>
      </c>
      <c r="BS222" s="2">
        <f>ROUND(VLOOKUP($BJ222,$AI$3:$AO$33,MATCH(BS$3,$AI$3:$AO$3,0),FALSE)+$BL222/VLOOKUP(VLOOKUP($BJ222,坦克个性化设定!$B$18:$E$48,4,FALSE)&amp;$BK222,坦克属性分配比例,MATCH("升星次数",坦克属性分配比例标头,0),FALSE)*VLOOKUP($BJ222,$AR$3:$AY$33,MATCH(BS$3,$AR$3:$AY$3,0),FALSE),1)</f>
        <v>31.3</v>
      </c>
      <c r="BT222" s="2">
        <f>ROUND(VLOOKUP($BJ222,$AI$3:$AO$33,MATCH(BT$3,$AI$3:$AO$3,0),FALSE)+$BL222/VLOOKUP(VLOOKUP($BJ222,坦克个性化设定!$B$18:$E$48,4,FALSE)&amp;$BK222,坦克属性分配比例,MATCH("升星次数",坦克属性分配比例标头,0),FALSE)*VLOOKUP($BJ222,$AR$3:$AY$33,MATCH(BT$3,$AR$3:$AY$3,0),FALSE),1)</f>
        <v>31.4</v>
      </c>
      <c r="BU222" s="2">
        <f>ROUND(VLOOKUP($BJ222,$AI$3:$AO$33,MATCH(BU$3,$AI$3:$AO$3,0),FALSE)+$BL222/VLOOKUP(VLOOKUP($BJ222,坦克个性化设定!$B$18:$E$48,4,FALSE)&amp;$BK222,坦克属性分配比例,MATCH("升星次数",坦克属性分配比例标头,0),FALSE)*VLOOKUP($BJ222,$AR$3:$AY$33,MATCH(BU$3,$AR$3:$AY$3,0),FALSE),1)</f>
        <v>6.4</v>
      </c>
      <c r="BV222" s="2">
        <f>IF(VLOOKUP(BJ222,坦克个性化设定!$B$18:$BC$48,MATCH("装弹类型",坦克个性化设定!$B$18:$BC$18,0),FALSE)="弹夹换弹",0,ROUND(VLOOKUP($BJ222,$AI$3:$AO$33,MATCH("换弹时间",$AI$3:$AO$3,0),FALSE)-$BL222/VLOOKUP(VLOOKUP($BJ222,坦克个性化设定!$B$18:$E$48,4,FALSE)&amp;$BK222,坦克属性分配比例,MATCH("升星次数",坦克属性分配比例标头,0),FALSE)*VLOOKUP($BJ222,$AR$3:$AY$33,MATCH("换弹时间",$AR$3:$AY$3,0),FALSE),2))</f>
        <v>6</v>
      </c>
      <c r="BW222" s="2">
        <f>IF(VLOOKUP(BJ222,坦克个性化设定!$B$18:$BC$48,MATCH("装弹类型",坦克个性化设定!$B$18:$BC$18,0),FALSE)="弹夹换弹",ROUND(VLOOKUP($BJ222,$AI$3:$AO$33,MATCH("换弹时间",$AI$3:$AO$3,0),FALSE)-$BL222/VLOOKUP(VLOOKUP($BJ222,坦克个性化设定!$B$18:$E$48,4,FALSE)&amp;$BK222,坦克属性分配比例,MATCH("升星次数",坦克属性分配比例标头,0),FALSE)*VLOOKUP($BJ222,$AR$3:$AY$33,MATCH("换弹时间",$AR$3:$AY$3,0),FALSE),1),0)</f>
        <v>0</v>
      </c>
      <c r="BX222" s="2">
        <f>ROUND(VLOOKUP($BJ222,$AI$3:$AO$33,MATCH(BX$3,$AI$3:$AO$3,0),FALSE)+$BL222/VLOOKUP(VLOOKUP($BJ222,坦克个性化设定!$B$18:$E$48,4,FALSE)&amp;$BK222,坦克属性分配比例,MATCH("升星次数",坦克属性分配比例标头,0),FALSE)*VLOOKUP($BJ222,$AR$3:$AY$33,MATCH(BX$3,$AR$3:$AY$3,0),FALSE),2)</f>
        <v>0</v>
      </c>
      <c r="BY222" s="2">
        <f>ROUND(VLOOKUP($BJ222,$AI$3:$AO$33,MATCH(BY$3,$AI$3:$AO$3,0),FALSE)-$BL222/VLOOKUP(VLOOKUP($BJ222,坦克个性化设定!$B$18:$E$48,4,FALSE)&amp;$BK222,坦克属性分配比例,MATCH("升星次数",坦克属性分配比例标头,0),FALSE)*VLOOKUP($BJ222,$AR$3:$AY$33,MATCH(BY$3,$AR$3:$AY$3,0),FALSE),2)</f>
        <v>3</v>
      </c>
    </row>
    <row r="223" spans="60:77" x14ac:dyDescent="0.3">
      <c r="BH223" s="2" t="str">
        <f t="shared" si="32"/>
        <v>丘吉尔1</v>
      </c>
      <c r="BI223" s="2">
        <f>IF(BL222&gt;=VLOOKUP(VLOOKUP(BJ222,坦克个性化设定!$B$18:$E$48,4,FALSE)&amp;BK222,坦克属性分配比例,MATCH("升星次数",坦克属性分配比例标头,0),FALSE),BI222+1,BI222)</f>
        <v>23</v>
      </c>
      <c r="BJ223" s="2" t="str">
        <f t="shared" si="33"/>
        <v>丘吉尔</v>
      </c>
      <c r="BK223" s="29" t="str">
        <f>VLOOKUP(BJ223,坦克个性化细分!$I$3:$J$33,2,FALSE)</f>
        <v>中</v>
      </c>
      <c r="BL223" s="2">
        <f t="shared" si="34"/>
        <v>1</v>
      </c>
      <c r="BM223" s="103">
        <f ca="1">ROUND(VLOOKUP($BJ223&amp;"初始",$S$3:$AE$63,MATCH(BM$3,$S$3:$AE$3,0),FALSE)+((VLOOKUP($BJ223&amp;"最终",$S$3:$AE$63,MATCH(BM$3,$S$3:$AE$3,0),FALSE)*坦克个性化细分!$C$9-VLOOKUP($BJ223&amp;"初始",$S$3:$AE$63,MATCH(BM$3,$S$3:$AE$3,0),FALSE))-(VLOOKUP($BJ223&amp;"最终",$S$3:$AE$63,MATCH(BM$3,$S$3:$AE$3,0),FALSE)-VLOOKUP($BJ223&amp;"初始",$S$3:$AE$63,MATCH(BM$3,$S$3:$AE$3,0),FALSE))*VLOOKUP(VLOOKUP($BJ223,坦克个性化设定!$B$18:$E$48,4,FALSE)&amp;$BK223,坦克属性分配比例,MATCH("部件比例",坦克属性分配比例标头,0),FALSE))*$BL223/VLOOKUP(VLOOKUP($BJ223,坦克个性化设定!$B$18:$E$48,4,FALSE)&amp;$BK223,坦克属性分配比例,MATCH("升星次数",坦克属性分配比例标头,0),FALSE),0)</f>
        <v>1245</v>
      </c>
      <c r="BN223" s="103">
        <f ca="1">ROUND(VLOOKUP($BJ223&amp;"初始",$S$3:$AE$63,MATCH(BN$3,$S$3:$AE$3,0),FALSE)+(VLOOKUP($BJ223&amp;"最终",$S$3:$AE$63,MATCH(BN$3,$S$3:$AE$3,0),FALSE)-VLOOKUP($BJ223&amp;"初始",$S$3:$AE$63,MATCH(BN$3,$S$3:$AE$3,0),FALSE))*$BL223/VLOOKUP(VLOOKUP($BJ223,坦克个性化设定!$B$18:$E$48,4,FALSE)&amp;$BK223,坦克属性分配比例,MATCH("升星次数",坦克属性分配比例标头,0),FALSE)*VLOOKUP(VLOOKUP($BJ223,坦克个性化设定!$B$18:$E$48,4,FALSE)&amp;$BK223,坦克属性分配比例,MATCH("升星比例",坦克属性分配比例标头,0),FALSE),0)</f>
        <v>463</v>
      </c>
      <c r="BO223" s="103">
        <f ca="1">ROUND(VLOOKUP($BJ223&amp;"初始",$S$3:$AE$63,MATCH(BO$3,$S$3:$AE$3,0),FALSE)+(VLOOKUP($BJ223&amp;"最终",$S$3:$AE$63,MATCH(BO$3,$S$3:$AE$3,0),FALSE)-VLOOKUP($BJ223&amp;"初始",$S$3:$AE$63,MATCH(BO$3,$S$3:$AE$3,0),FALSE))*$BL223/VLOOKUP(VLOOKUP($BJ223,坦克个性化设定!$B$18:$E$48,4,FALSE)&amp;$BK223,坦克属性分配比例,MATCH("升星次数",坦克属性分配比例标头,0),FALSE)*(VLOOKUP(VLOOKUP($BJ223,坦克个性化设定!$B$18:$E$48,4,FALSE)&amp;$BK223,坦克属性分配比例,MATCH("升星比例",坦克属性分配比例标头,0),FALSE)+VLOOKUP(VLOOKUP($BJ223,坦克个性化设定!$B$18:$E$48,4,FALSE)&amp;$BK223,坦克属性分配比例,MATCH("部件比例",坦克属性分配比例标头,0),FALSE)*$C$3),0)</f>
        <v>404</v>
      </c>
      <c r="BP223" s="103">
        <f ca="1">ROUND(VLOOKUP($BJ223&amp;"初始",$S$3:$AE$63,MATCH(BP$3,$S$3:$AE$3,0),FALSE)+(VLOOKUP($BJ223&amp;"最终",$S$3:$AE$63,MATCH(BP$3,$S$3:$AE$3,0),FALSE)-VLOOKUP($BJ223&amp;"初始",$S$3:$AE$63,MATCH(BP$3,$S$3:$AE$3,0),FALSE))*$BL223/VLOOKUP(VLOOKUP($BJ223,坦克个性化设定!$B$18:$E$48,4,FALSE)&amp;$BK223,坦克属性分配比例,MATCH("升星次数",坦克属性分配比例标头,0),FALSE)*(VLOOKUP(VLOOKUP($BJ223,坦克个性化设定!$B$18:$E$48,4,FALSE)&amp;$BK223,坦克属性分配比例,MATCH("升星比例",坦克属性分配比例标头,0),FALSE)+VLOOKUP(VLOOKUP($BJ223,坦克个性化设定!$B$18:$E$48,4,FALSE)&amp;$BK223,坦克属性分配比例,MATCH("部件比例",坦克属性分配比例标头,0),FALSE)*$C$3),0)</f>
        <v>324</v>
      </c>
      <c r="BQ223" s="103">
        <f ca="1">ROUND(VLOOKUP($BJ223&amp;"初始",$S$3:$AE$63,MATCH(BQ$3,$S$3:$AE$3,0),FALSE)+(VLOOKUP($BJ223&amp;"最终",$S$3:$AE$63,MATCH(BQ$3,$S$3:$AE$3,0),FALSE)-VLOOKUP($BJ223&amp;"初始",$S$3:$AE$63,MATCH(BQ$3,$S$3:$AE$3,0),FALSE))*$BL223/VLOOKUP(VLOOKUP($BJ223,坦克个性化设定!$B$18:$E$48,4,FALSE)&amp;$BK223,坦克属性分配比例,MATCH("升星次数",坦克属性分配比例标头,0),FALSE)*VLOOKUP(VLOOKUP($BJ223,坦克个性化设定!$B$18:$E$48,4,FALSE)&amp;$BK223,坦克属性分配比例,MATCH("升星比例",坦克属性分配比例标头,0),FALSE),0)</f>
        <v>533</v>
      </c>
      <c r="BR223" s="2">
        <f ca="1">ROUND(VLOOKUP($BJ223&amp;"初始",$S$3:$AE$63,MATCH(BR$3,$S$3:$AE$3,0),FALSE)+(VLOOKUP($BJ223&amp;"最终",$S$3:$AE$63,MATCH(BR$3,$S$3:$AE$3,0),FALSE)-VLOOKUP($BJ223&amp;"初始",$S$3:$AE$63,MATCH(BR$3,$S$3:$AE$3,0),FALSE))*$BL223/VLOOKUP(VLOOKUP($BJ223,坦克个性化设定!$B$18:$E$48,4,FALSE)&amp;$BK223,坦克属性分配比例,MATCH("升星次数",坦克属性分配比例标头,0),FALSE),0)</f>
        <v>127</v>
      </c>
      <c r="BS223" s="2">
        <f>ROUND(VLOOKUP($BJ223,$AI$3:$AO$33,MATCH(BS$3,$AI$3:$AO$3,0),FALSE)+$BL223/VLOOKUP(VLOOKUP($BJ223,坦克个性化设定!$B$18:$E$48,4,FALSE)&amp;$BK223,坦克属性分配比例,MATCH("升星次数",坦克属性分配比例标头,0),FALSE)*VLOOKUP($BJ223,$AR$3:$AY$33,MATCH(BS$3,$AR$3:$AY$3,0),FALSE),1)</f>
        <v>32.4</v>
      </c>
      <c r="BT223" s="2">
        <f>ROUND(VLOOKUP($BJ223,$AI$3:$AO$33,MATCH(BT$3,$AI$3:$AO$3,0),FALSE)+$BL223/VLOOKUP(VLOOKUP($BJ223,坦克个性化设定!$B$18:$E$48,4,FALSE)&amp;$BK223,坦克属性分配比例,MATCH("升星次数",坦克属性分配比例标头,0),FALSE)*VLOOKUP($BJ223,$AR$3:$AY$33,MATCH(BT$3,$AR$3:$AY$3,0),FALSE),1)</f>
        <v>32.5</v>
      </c>
      <c r="BU223" s="2">
        <f>ROUND(VLOOKUP($BJ223,$AI$3:$AO$33,MATCH(BU$3,$AI$3:$AO$3,0),FALSE)+$BL223/VLOOKUP(VLOOKUP($BJ223,坦克个性化设定!$B$18:$E$48,4,FALSE)&amp;$BK223,坦克属性分配比例,MATCH("升星次数",坦克属性分配比例标头,0),FALSE)*VLOOKUP($BJ223,$AR$3:$AY$33,MATCH(BU$3,$AR$3:$AY$3,0),FALSE),1)</f>
        <v>6.4</v>
      </c>
      <c r="BV223" s="2">
        <f>IF(VLOOKUP(BJ223,坦克个性化设定!$B$18:$BC$48,MATCH("装弹类型",坦克个性化设定!$B$18:$BC$18,0),FALSE)="弹夹换弹",0,ROUND(VLOOKUP($BJ223,$AI$3:$AO$33,MATCH("换弹时间",$AI$3:$AO$3,0),FALSE)-$BL223/VLOOKUP(VLOOKUP($BJ223,坦克个性化设定!$B$18:$E$48,4,FALSE)&amp;$BK223,坦克属性分配比例,MATCH("升星次数",坦克属性分配比例标头,0),FALSE)*VLOOKUP($BJ223,$AR$3:$AY$33,MATCH("换弹时间",$AR$3:$AY$3,0),FALSE),2))</f>
        <v>5.88</v>
      </c>
      <c r="BW223" s="2">
        <f>IF(VLOOKUP(BJ223,坦克个性化设定!$B$18:$BC$48,MATCH("装弹类型",坦克个性化设定!$B$18:$BC$18,0),FALSE)="弹夹换弹",ROUND(VLOOKUP($BJ223,$AI$3:$AO$33,MATCH("换弹时间",$AI$3:$AO$3,0),FALSE)-$BL223/VLOOKUP(VLOOKUP($BJ223,坦克个性化设定!$B$18:$E$48,4,FALSE)&amp;$BK223,坦克属性分配比例,MATCH("升星次数",坦克属性分配比例标头,0),FALSE)*VLOOKUP($BJ223,$AR$3:$AY$33,MATCH("换弹时间",$AR$3:$AY$3,0),FALSE),1),0)</f>
        <v>0</v>
      </c>
      <c r="BX223" s="2">
        <f>ROUND(VLOOKUP($BJ223,$AI$3:$AO$33,MATCH(BX$3,$AI$3:$AO$3,0),FALSE)+$BL223/VLOOKUP(VLOOKUP($BJ223,坦克个性化设定!$B$18:$E$48,4,FALSE)&amp;$BK223,坦克属性分配比例,MATCH("升星次数",坦克属性分配比例标头,0),FALSE)*VLOOKUP($BJ223,$AR$3:$AY$33,MATCH(BX$3,$AR$3:$AY$3,0),FALSE),2)</f>
        <v>0</v>
      </c>
      <c r="BY223" s="2">
        <f>ROUND(VLOOKUP($BJ223,$AI$3:$AO$33,MATCH(BY$3,$AI$3:$AO$3,0),FALSE)-$BL223/VLOOKUP(VLOOKUP($BJ223,坦克个性化设定!$B$18:$E$48,4,FALSE)&amp;$BK223,坦克属性分配比例,MATCH("升星次数",坦克属性分配比例标头,0),FALSE)*VLOOKUP($BJ223,$AR$3:$AY$33,MATCH(BY$3,$AR$3:$AY$3,0),FALSE),2)</f>
        <v>2.93</v>
      </c>
    </row>
    <row r="224" spans="60:77" x14ac:dyDescent="0.3">
      <c r="BH224" s="2" t="str">
        <f t="shared" si="32"/>
        <v>丘吉尔2</v>
      </c>
      <c r="BI224" s="2">
        <f>IF(BL223&gt;=VLOOKUP(VLOOKUP(BJ223,坦克个性化设定!$B$18:$E$48,4,FALSE)&amp;BK223,坦克属性分配比例,MATCH("升星次数",坦克属性分配比例标头,0),FALSE),BI223+1,BI223)</f>
        <v>23</v>
      </c>
      <c r="BJ224" s="2" t="str">
        <f t="shared" si="33"/>
        <v>丘吉尔</v>
      </c>
      <c r="BK224" s="29" t="str">
        <f>VLOOKUP(BJ224,坦克个性化细分!$I$3:$J$33,2,FALSE)</f>
        <v>中</v>
      </c>
      <c r="BL224" s="2">
        <f t="shared" si="34"/>
        <v>2</v>
      </c>
      <c r="BM224" s="103">
        <f ca="1">ROUND(VLOOKUP($BJ224&amp;"初始",$S$3:$AE$63,MATCH(BM$3,$S$3:$AE$3,0),FALSE)+((VLOOKUP($BJ224&amp;"最终",$S$3:$AE$63,MATCH(BM$3,$S$3:$AE$3,0),FALSE)*坦克个性化细分!$C$9-VLOOKUP($BJ224&amp;"初始",$S$3:$AE$63,MATCH(BM$3,$S$3:$AE$3,0),FALSE))-(VLOOKUP($BJ224&amp;"最终",$S$3:$AE$63,MATCH(BM$3,$S$3:$AE$3,0),FALSE)-VLOOKUP($BJ224&amp;"初始",$S$3:$AE$63,MATCH(BM$3,$S$3:$AE$3,0),FALSE))*VLOOKUP(VLOOKUP($BJ224,坦克个性化设定!$B$18:$E$48,4,FALSE)&amp;$BK224,坦克属性分配比例,MATCH("部件比例",坦克属性分配比例标头,0),FALSE))*$BL224/VLOOKUP(VLOOKUP($BJ224,坦克个性化设定!$B$18:$E$48,4,FALSE)&amp;$BK224,坦克属性分配比例,MATCH("升星次数",坦克属性分配比例标头,0),FALSE),0)</f>
        <v>1328</v>
      </c>
      <c r="BN224" s="103">
        <f ca="1">ROUND(VLOOKUP($BJ224&amp;"初始",$S$3:$AE$63,MATCH(BN$3,$S$3:$AE$3,0),FALSE)+(VLOOKUP($BJ224&amp;"最终",$S$3:$AE$63,MATCH(BN$3,$S$3:$AE$3,0),FALSE)-VLOOKUP($BJ224&amp;"初始",$S$3:$AE$63,MATCH(BN$3,$S$3:$AE$3,0),FALSE))*$BL224/VLOOKUP(VLOOKUP($BJ224,坦克个性化设定!$B$18:$E$48,4,FALSE)&amp;$BK224,坦克属性分配比例,MATCH("升星次数",坦克属性分配比例标头,0),FALSE)*VLOOKUP(VLOOKUP($BJ224,坦克个性化设定!$B$18:$E$48,4,FALSE)&amp;$BK224,坦克属性分配比例,MATCH("升星比例",坦克属性分配比例标头,0),FALSE),0)</f>
        <v>481</v>
      </c>
      <c r="BO224" s="103">
        <f ca="1">ROUND(VLOOKUP($BJ224&amp;"初始",$S$3:$AE$63,MATCH(BO$3,$S$3:$AE$3,0),FALSE)+(VLOOKUP($BJ224&amp;"最终",$S$3:$AE$63,MATCH(BO$3,$S$3:$AE$3,0),FALSE)-VLOOKUP($BJ224&amp;"初始",$S$3:$AE$63,MATCH(BO$3,$S$3:$AE$3,0),FALSE))*$BL224/VLOOKUP(VLOOKUP($BJ224,坦克个性化设定!$B$18:$E$48,4,FALSE)&amp;$BK224,坦克属性分配比例,MATCH("升星次数",坦克属性分配比例标头,0),FALSE)*(VLOOKUP(VLOOKUP($BJ224,坦克个性化设定!$B$18:$E$48,4,FALSE)&amp;$BK224,坦克属性分配比例,MATCH("升星比例",坦克属性分配比例标头,0),FALSE)+VLOOKUP(VLOOKUP($BJ224,坦克个性化设定!$B$18:$E$48,4,FALSE)&amp;$BK224,坦克属性分配比例,MATCH("部件比例",坦克属性分配比例标头,0),FALSE)*$C$3),0)</f>
        <v>425</v>
      </c>
      <c r="BP224" s="103">
        <f ca="1">ROUND(VLOOKUP($BJ224&amp;"初始",$S$3:$AE$63,MATCH(BP$3,$S$3:$AE$3,0),FALSE)+(VLOOKUP($BJ224&amp;"最终",$S$3:$AE$63,MATCH(BP$3,$S$3:$AE$3,0),FALSE)-VLOOKUP($BJ224&amp;"初始",$S$3:$AE$63,MATCH(BP$3,$S$3:$AE$3,0),FALSE))*$BL224/VLOOKUP(VLOOKUP($BJ224,坦克个性化设定!$B$18:$E$48,4,FALSE)&amp;$BK224,坦克属性分配比例,MATCH("升星次数",坦克属性分配比例标头,0),FALSE)*(VLOOKUP(VLOOKUP($BJ224,坦克个性化设定!$B$18:$E$48,4,FALSE)&amp;$BK224,坦克属性分配比例,MATCH("升星比例",坦克属性分配比例标头,0),FALSE)+VLOOKUP(VLOOKUP($BJ224,坦克个性化设定!$B$18:$E$48,4,FALSE)&amp;$BK224,坦克属性分配比例,MATCH("部件比例",坦克属性分配比例标头,0),FALSE)*$C$3),0)</f>
        <v>340</v>
      </c>
      <c r="BQ224" s="103">
        <f ca="1">ROUND(VLOOKUP($BJ224&amp;"初始",$S$3:$AE$63,MATCH(BQ$3,$S$3:$AE$3,0),FALSE)+(VLOOKUP($BJ224&amp;"最终",$S$3:$AE$63,MATCH(BQ$3,$S$3:$AE$3,0),FALSE)-VLOOKUP($BJ224&amp;"初始",$S$3:$AE$63,MATCH(BQ$3,$S$3:$AE$3,0),FALSE))*$BL224/VLOOKUP(VLOOKUP($BJ224,坦克个性化设定!$B$18:$E$48,4,FALSE)&amp;$BK224,坦克属性分配比例,MATCH("升星次数",坦克属性分配比例标头,0),FALSE)*VLOOKUP(VLOOKUP($BJ224,坦克个性化设定!$B$18:$E$48,4,FALSE)&amp;$BK224,坦克属性分配比例,MATCH("升星比例",坦克属性分配比例标头,0),FALSE),0)</f>
        <v>554</v>
      </c>
      <c r="BR224" s="2">
        <f ca="1">ROUND(VLOOKUP($BJ224&amp;"初始",$S$3:$AE$63,MATCH(BR$3,$S$3:$AE$3,0),FALSE)+(VLOOKUP($BJ224&amp;"最终",$S$3:$AE$63,MATCH(BR$3,$S$3:$AE$3,0),FALSE)-VLOOKUP($BJ224&amp;"初始",$S$3:$AE$63,MATCH(BR$3,$S$3:$AE$3,0),FALSE))*$BL224/VLOOKUP(VLOOKUP($BJ224,坦克个性化设定!$B$18:$E$48,4,FALSE)&amp;$BK224,坦克属性分配比例,MATCH("升星次数",坦克属性分配比例标头,0),FALSE),0)</f>
        <v>134</v>
      </c>
      <c r="BS224" s="2">
        <f>ROUND(VLOOKUP($BJ224,$AI$3:$AO$33,MATCH(BS$3,$AI$3:$AO$3,0),FALSE)+$BL224/VLOOKUP(VLOOKUP($BJ224,坦克个性化设定!$B$18:$E$48,4,FALSE)&amp;$BK224,坦克属性分配比例,MATCH("升星次数",坦克属性分配比例标头,0),FALSE)*VLOOKUP($BJ224,$AR$3:$AY$33,MATCH(BS$3,$AR$3:$AY$3,0),FALSE),1)</f>
        <v>33.5</v>
      </c>
      <c r="BT224" s="2">
        <f>ROUND(VLOOKUP($BJ224,$AI$3:$AO$33,MATCH(BT$3,$AI$3:$AO$3,0),FALSE)+$BL224/VLOOKUP(VLOOKUP($BJ224,坦克个性化设定!$B$18:$E$48,4,FALSE)&amp;$BK224,坦克属性分配比例,MATCH("升星次数",坦克属性分配比例标头,0),FALSE)*VLOOKUP($BJ224,$AR$3:$AY$33,MATCH(BT$3,$AR$3:$AY$3,0),FALSE),1)</f>
        <v>33.6</v>
      </c>
      <c r="BU224" s="2">
        <f>ROUND(VLOOKUP($BJ224,$AI$3:$AO$33,MATCH(BU$3,$AI$3:$AO$3,0),FALSE)+$BL224/VLOOKUP(VLOOKUP($BJ224,坦克个性化设定!$B$18:$E$48,4,FALSE)&amp;$BK224,坦克属性分配比例,MATCH("升星次数",坦克属性分配比例标头,0),FALSE)*VLOOKUP($BJ224,$AR$3:$AY$33,MATCH(BU$3,$AR$3:$AY$3,0),FALSE),1)</f>
        <v>6.4</v>
      </c>
      <c r="BV224" s="2">
        <f>IF(VLOOKUP(BJ224,坦克个性化设定!$B$18:$BC$48,MATCH("装弹类型",坦克个性化设定!$B$18:$BC$18,0),FALSE)="弹夹换弹",0,ROUND(VLOOKUP($BJ224,$AI$3:$AO$33,MATCH("换弹时间",$AI$3:$AO$3,0),FALSE)-$BL224/VLOOKUP(VLOOKUP($BJ224,坦克个性化设定!$B$18:$E$48,4,FALSE)&amp;$BK224,坦克属性分配比例,MATCH("升星次数",坦克属性分配比例标头,0),FALSE)*VLOOKUP($BJ224,$AR$3:$AY$33,MATCH("换弹时间",$AR$3:$AY$3,0),FALSE),2))</f>
        <v>5.76</v>
      </c>
      <c r="BW224" s="2">
        <f>IF(VLOOKUP(BJ224,坦克个性化设定!$B$18:$BC$48,MATCH("装弹类型",坦克个性化设定!$B$18:$BC$18,0),FALSE)="弹夹换弹",ROUND(VLOOKUP($BJ224,$AI$3:$AO$33,MATCH("换弹时间",$AI$3:$AO$3,0),FALSE)-$BL224/VLOOKUP(VLOOKUP($BJ224,坦克个性化设定!$B$18:$E$48,4,FALSE)&amp;$BK224,坦克属性分配比例,MATCH("升星次数",坦克属性分配比例标头,0),FALSE)*VLOOKUP($BJ224,$AR$3:$AY$33,MATCH("换弹时间",$AR$3:$AY$3,0),FALSE),1),0)</f>
        <v>0</v>
      </c>
      <c r="BX224" s="2">
        <f>ROUND(VLOOKUP($BJ224,$AI$3:$AO$33,MATCH(BX$3,$AI$3:$AO$3,0),FALSE)+$BL224/VLOOKUP(VLOOKUP($BJ224,坦克个性化设定!$B$18:$E$48,4,FALSE)&amp;$BK224,坦克属性分配比例,MATCH("升星次数",坦克属性分配比例标头,0),FALSE)*VLOOKUP($BJ224,$AR$3:$AY$33,MATCH(BX$3,$AR$3:$AY$3,0),FALSE),2)</f>
        <v>0</v>
      </c>
      <c r="BY224" s="2">
        <f>ROUND(VLOOKUP($BJ224,$AI$3:$AO$33,MATCH(BY$3,$AI$3:$AO$3,0),FALSE)-$BL224/VLOOKUP(VLOOKUP($BJ224,坦克个性化设定!$B$18:$E$48,4,FALSE)&amp;$BK224,坦克属性分配比例,MATCH("升星次数",坦克属性分配比例标头,0),FALSE)*VLOOKUP($BJ224,$AR$3:$AY$33,MATCH(BY$3,$AR$3:$AY$3,0),FALSE),2)</f>
        <v>2.86</v>
      </c>
    </row>
    <row r="225" spans="60:77" x14ac:dyDescent="0.3">
      <c r="BH225" s="2" t="str">
        <f t="shared" si="32"/>
        <v>丘吉尔3</v>
      </c>
      <c r="BI225" s="2">
        <f>IF(BL224&gt;=VLOOKUP(VLOOKUP(BJ224,坦克个性化设定!$B$18:$E$48,4,FALSE)&amp;BK224,坦克属性分配比例,MATCH("升星次数",坦克属性分配比例标头,0),FALSE),BI224+1,BI224)</f>
        <v>23</v>
      </c>
      <c r="BJ225" s="2" t="str">
        <f t="shared" si="33"/>
        <v>丘吉尔</v>
      </c>
      <c r="BK225" s="29" t="str">
        <f>VLOOKUP(BJ225,坦克个性化细分!$I$3:$J$33,2,FALSE)</f>
        <v>中</v>
      </c>
      <c r="BL225" s="2">
        <f t="shared" si="34"/>
        <v>3</v>
      </c>
      <c r="BM225" s="103">
        <f ca="1">ROUND(VLOOKUP($BJ225&amp;"初始",$S$3:$AE$63,MATCH(BM$3,$S$3:$AE$3,0),FALSE)+((VLOOKUP($BJ225&amp;"最终",$S$3:$AE$63,MATCH(BM$3,$S$3:$AE$3,0),FALSE)*坦克个性化细分!$C$9-VLOOKUP($BJ225&amp;"初始",$S$3:$AE$63,MATCH(BM$3,$S$3:$AE$3,0),FALSE))-(VLOOKUP($BJ225&amp;"最终",$S$3:$AE$63,MATCH(BM$3,$S$3:$AE$3,0),FALSE)-VLOOKUP($BJ225&amp;"初始",$S$3:$AE$63,MATCH(BM$3,$S$3:$AE$3,0),FALSE))*VLOOKUP(VLOOKUP($BJ225,坦克个性化设定!$B$18:$E$48,4,FALSE)&amp;$BK225,坦克属性分配比例,MATCH("部件比例",坦克属性分配比例标头,0),FALSE))*$BL225/VLOOKUP(VLOOKUP($BJ225,坦克个性化设定!$B$18:$E$48,4,FALSE)&amp;$BK225,坦克属性分配比例,MATCH("升星次数",坦克属性分配比例标头,0),FALSE),0)</f>
        <v>1412</v>
      </c>
      <c r="BN225" s="103">
        <f ca="1">ROUND(VLOOKUP($BJ225&amp;"初始",$S$3:$AE$63,MATCH(BN$3,$S$3:$AE$3,0),FALSE)+(VLOOKUP($BJ225&amp;"最终",$S$3:$AE$63,MATCH(BN$3,$S$3:$AE$3,0),FALSE)-VLOOKUP($BJ225&amp;"初始",$S$3:$AE$63,MATCH(BN$3,$S$3:$AE$3,0),FALSE))*$BL225/VLOOKUP(VLOOKUP($BJ225,坦克个性化设定!$B$18:$E$48,4,FALSE)&amp;$BK225,坦克属性分配比例,MATCH("升星次数",坦克属性分配比例标头,0),FALSE)*VLOOKUP(VLOOKUP($BJ225,坦克个性化设定!$B$18:$E$48,4,FALSE)&amp;$BK225,坦克属性分配比例,MATCH("升星比例",坦克属性分配比例标头,0),FALSE),0)</f>
        <v>499</v>
      </c>
      <c r="BO225" s="103">
        <f ca="1">ROUND(VLOOKUP($BJ225&amp;"初始",$S$3:$AE$63,MATCH(BO$3,$S$3:$AE$3,0),FALSE)+(VLOOKUP($BJ225&amp;"最终",$S$3:$AE$63,MATCH(BO$3,$S$3:$AE$3,0),FALSE)-VLOOKUP($BJ225&amp;"初始",$S$3:$AE$63,MATCH(BO$3,$S$3:$AE$3,0),FALSE))*$BL225/VLOOKUP(VLOOKUP($BJ225,坦克个性化设定!$B$18:$E$48,4,FALSE)&amp;$BK225,坦克属性分配比例,MATCH("升星次数",坦克属性分配比例标头,0),FALSE)*(VLOOKUP(VLOOKUP($BJ225,坦克个性化设定!$B$18:$E$48,4,FALSE)&amp;$BK225,坦克属性分配比例,MATCH("升星比例",坦克属性分配比例标头,0),FALSE)+VLOOKUP(VLOOKUP($BJ225,坦克个性化设定!$B$18:$E$48,4,FALSE)&amp;$BK225,坦克属性分配比例,MATCH("部件比例",坦克属性分配比例标头,0),FALSE)*$C$3),0)</f>
        <v>446</v>
      </c>
      <c r="BP225" s="103">
        <f ca="1">ROUND(VLOOKUP($BJ225&amp;"初始",$S$3:$AE$63,MATCH(BP$3,$S$3:$AE$3,0),FALSE)+(VLOOKUP($BJ225&amp;"最终",$S$3:$AE$63,MATCH(BP$3,$S$3:$AE$3,0),FALSE)-VLOOKUP($BJ225&amp;"初始",$S$3:$AE$63,MATCH(BP$3,$S$3:$AE$3,0),FALSE))*$BL225/VLOOKUP(VLOOKUP($BJ225,坦克个性化设定!$B$18:$E$48,4,FALSE)&amp;$BK225,坦克属性分配比例,MATCH("升星次数",坦克属性分配比例标头,0),FALSE)*(VLOOKUP(VLOOKUP($BJ225,坦克个性化设定!$B$18:$E$48,4,FALSE)&amp;$BK225,坦克属性分配比例,MATCH("升星比例",坦克属性分配比例标头,0),FALSE)+VLOOKUP(VLOOKUP($BJ225,坦克个性化设定!$B$18:$E$48,4,FALSE)&amp;$BK225,坦克属性分配比例,MATCH("部件比例",坦克属性分配比例标头,0),FALSE)*$C$3),0)</f>
        <v>357</v>
      </c>
      <c r="BQ225" s="103">
        <f ca="1">ROUND(VLOOKUP($BJ225&amp;"初始",$S$3:$AE$63,MATCH(BQ$3,$S$3:$AE$3,0),FALSE)+(VLOOKUP($BJ225&amp;"最终",$S$3:$AE$63,MATCH(BQ$3,$S$3:$AE$3,0),FALSE)-VLOOKUP($BJ225&amp;"初始",$S$3:$AE$63,MATCH(BQ$3,$S$3:$AE$3,0),FALSE))*$BL225/VLOOKUP(VLOOKUP($BJ225,坦克个性化设定!$B$18:$E$48,4,FALSE)&amp;$BK225,坦克属性分配比例,MATCH("升星次数",坦克属性分配比例标头,0),FALSE)*VLOOKUP(VLOOKUP($BJ225,坦克个性化设定!$B$18:$E$48,4,FALSE)&amp;$BK225,坦克属性分配比例,MATCH("升星比例",坦克属性分配比例标头,0),FALSE),0)</f>
        <v>575</v>
      </c>
      <c r="BR225" s="2">
        <f ca="1">ROUND(VLOOKUP($BJ225&amp;"初始",$S$3:$AE$63,MATCH(BR$3,$S$3:$AE$3,0),FALSE)+(VLOOKUP($BJ225&amp;"最终",$S$3:$AE$63,MATCH(BR$3,$S$3:$AE$3,0),FALSE)-VLOOKUP($BJ225&amp;"初始",$S$3:$AE$63,MATCH(BR$3,$S$3:$AE$3,0),FALSE))*$BL225/VLOOKUP(VLOOKUP($BJ225,坦克个性化设定!$B$18:$E$48,4,FALSE)&amp;$BK225,坦克属性分配比例,MATCH("升星次数",坦克属性分配比例标头,0),FALSE),0)</f>
        <v>142</v>
      </c>
      <c r="BS225" s="2">
        <f>ROUND(VLOOKUP($BJ225,$AI$3:$AO$33,MATCH(BS$3,$AI$3:$AO$3,0),FALSE)+$BL225/VLOOKUP(VLOOKUP($BJ225,坦克个性化设定!$B$18:$E$48,4,FALSE)&amp;$BK225,坦克属性分配比例,MATCH("升星次数",坦克属性分配比例标头,0),FALSE)*VLOOKUP($BJ225,$AR$3:$AY$33,MATCH(BS$3,$AR$3:$AY$3,0),FALSE),1)</f>
        <v>34.700000000000003</v>
      </c>
      <c r="BT225" s="2">
        <f>ROUND(VLOOKUP($BJ225,$AI$3:$AO$33,MATCH(BT$3,$AI$3:$AO$3,0),FALSE)+$BL225/VLOOKUP(VLOOKUP($BJ225,坦克个性化设定!$B$18:$E$48,4,FALSE)&amp;$BK225,坦克属性分配比例,MATCH("升星次数",坦克属性分配比例标头,0),FALSE)*VLOOKUP($BJ225,$AR$3:$AY$33,MATCH(BT$3,$AR$3:$AY$3,0),FALSE),1)</f>
        <v>34.799999999999997</v>
      </c>
      <c r="BU225" s="2">
        <f>ROUND(VLOOKUP($BJ225,$AI$3:$AO$33,MATCH(BU$3,$AI$3:$AO$3,0),FALSE)+$BL225/VLOOKUP(VLOOKUP($BJ225,坦克个性化设定!$B$18:$E$48,4,FALSE)&amp;$BK225,坦克属性分配比例,MATCH("升星次数",坦克属性分配比例标头,0),FALSE)*VLOOKUP($BJ225,$AR$3:$AY$33,MATCH(BU$3,$AR$3:$AY$3,0),FALSE),1)</f>
        <v>6.4</v>
      </c>
      <c r="BV225" s="2">
        <f>IF(VLOOKUP(BJ225,坦克个性化设定!$B$18:$BC$48,MATCH("装弹类型",坦克个性化设定!$B$18:$BC$18,0),FALSE)="弹夹换弹",0,ROUND(VLOOKUP($BJ225,$AI$3:$AO$33,MATCH("换弹时间",$AI$3:$AO$3,0),FALSE)-$BL225/VLOOKUP(VLOOKUP($BJ225,坦克个性化设定!$B$18:$E$48,4,FALSE)&amp;$BK225,坦克属性分配比例,MATCH("升星次数",坦克属性分配比例标头,0),FALSE)*VLOOKUP($BJ225,$AR$3:$AY$33,MATCH("换弹时间",$AR$3:$AY$3,0),FALSE),2))</f>
        <v>5.64</v>
      </c>
      <c r="BW225" s="2">
        <f>IF(VLOOKUP(BJ225,坦克个性化设定!$B$18:$BC$48,MATCH("装弹类型",坦克个性化设定!$B$18:$BC$18,0),FALSE)="弹夹换弹",ROUND(VLOOKUP($BJ225,$AI$3:$AO$33,MATCH("换弹时间",$AI$3:$AO$3,0),FALSE)-$BL225/VLOOKUP(VLOOKUP($BJ225,坦克个性化设定!$B$18:$E$48,4,FALSE)&amp;$BK225,坦克属性分配比例,MATCH("升星次数",坦克属性分配比例标头,0),FALSE)*VLOOKUP($BJ225,$AR$3:$AY$33,MATCH("换弹时间",$AR$3:$AY$3,0),FALSE),1),0)</f>
        <v>0</v>
      </c>
      <c r="BX225" s="2">
        <f>ROUND(VLOOKUP($BJ225,$AI$3:$AO$33,MATCH(BX$3,$AI$3:$AO$3,0),FALSE)+$BL225/VLOOKUP(VLOOKUP($BJ225,坦克个性化设定!$B$18:$E$48,4,FALSE)&amp;$BK225,坦克属性分配比例,MATCH("升星次数",坦克属性分配比例标头,0),FALSE)*VLOOKUP($BJ225,$AR$3:$AY$33,MATCH(BX$3,$AR$3:$AY$3,0),FALSE),2)</f>
        <v>0</v>
      </c>
      <c r="BY225" s="2">
        <f>ROUND(VLOOKUP($BJ225,$AI$3:$AO$33,MATCH(BY$3,$AI$3:$AO$3,0),FALSE)-$BL225/VLOOKUP(VLOOKUP($BJ225,坦克个性化设定!$B$18:$E$48,4,FALSE)&amp;$BK225,坦克属性分配比例,MATCH("升星次数",坦克属性分配比例标头,0),FALSE)*VLOOKUP($BJ225,$AR$3:$AY$33,MATCH(BY$3,$AR$3:$AY$3,0),FALSE),2)</f>
        <v>2.79</v>
      </c>
    </row>
    <row r="226" spans="60:77" x14ac:dyDescent="0.3">
      <c r="BH226" s="2" t="str">
        <f t="shared" si="32"/>
        <v>丘吉尔4</v>
      </c>
      <c r="BI226" s="2">
        <f>IF(BL225&gt;=VLOOKUP(VLOOKUP(BJ225,坦克个性化设定!$B$18:$E$48,4,FALSE)&amp;BK225,坦克属性分配比例,MATCH("升星次数",坦克属性分配比例标头,0),FALSE),BI225+1,BI225)</f>
        <v>23</v>
      </c>
      <c r="BJ226" s="2" t="str">
        <f t="shared" si="33"/>
        <v>丘吉尔</v>
      </c>
      <c r="BK226" s="29" t="str">
        <f>VLOOKUP(BJ226,坦克个性化细分!$I$3:$J$33,2,FALSE)</f>
        <v>中</v>
      </c>
      <c r="BL226" s="2">
        <f t="shared" si="34"/>
        <v>4</v>
      </c>
      <c r="BM226" s="103">
        <f ca="1">ROUND(VLOOKUP($BJ226&amp;"初始",$S$3:$AE$63,MATCH(BM$3,$S$3:$AE$3,0),FALSE)+((VLOOKUP($BJ226&amp;"最终",$S$3:$AE$63,MATCH(BM$3,$S$3:$AE$3,0),FALSE)*坦克个性化细分!$C$9-VLOOKUP($BJ226&amp;"初始",$S$3:$AE$63,MATCH(BM$3,$S$3:$AE$3,0),FALSE))-(VLOOKUP($BJ226&amp;"最终",$S$3:$AE$63,MATCH(BM$3,$S$3:$AE$3,0),FALSE)-VLOOKUP($BJ226&amp;"初始",$S$3:$AE$63,MATCH(BM$3,$S$3:$AE$3,0),FALSE))*VLOOKUP(VLOOKUP($BJ226,坦克个性化设定!$B$18:$E$48,4,FALSE)&amp;$BK226,坦克属性分配比例,MATCH("部件比例",坦克属性分配比例标头,0),FALSE))*$BL226/VLOOKUP(VLOOKUP($BJ226,坦克个性化设定!$B$18:$E$48,4,FALSE)&amp;$BK226,坦克属性分配比例,MATCH("升星次数",坦克属性分配比例标头,0),FALSE),0)</f>
        <v>1495</v>
      </c>
      <c r="BN226" s="103">
        <f ca="1">ROUND(VLOOKUP($BJ226&amp;"初始",$S$3:$AE$63,MATCH(BN$3,$S$3:$AE$3,0),FALSE)+(VLOOKUP($BJ226&amp;"最终",$S$3:$AE$63,MATCH(BN$3,$S$3:$AE$3,0),FALSE)-VLOOKUP($BJ226&amp;"初始",$S$3:$AE$63,MATCH(BN$3,$S$3:$AE$3,0),FALSE))*$BL226/VLOOKUP(VLOOKUP($BJ226,坦克个性化设定!$B$18:$E$48,4,FALSE)&amp;$BK226,坦克属性分配比例,MATCH("升星次数",坦克属性分配比例标头,0),FALSE)*VLOOKUP(VLOOKUP($BJ226,坦克个性化设定!$B$18:$E$48,4,FALSE)&amp;$BK226,坦克属性分配比例,MATCH("升星比例",坦克属性分配比例标头,0),FALSE),0)</f>
        <v>518</v>
      </c>
      <c r="BO226" s="103">
        <f ca="1">ROUND(VLOOKUP($BJ226&amp;"初始",$S$3:$AE$63,MATCH(BO$3,$S$3:$AE$3,0),FALSE)+(VLOOKUP($BJ226&amp;"最终",$S$3:$AE$63,MATCH(BO$3,$S$3:$AE$3,0),FALSE)-VLOOKUP($BJ226&amp;"初始",$S$3:$AE$63,MATCH(BO$3,$S$3:$AE$3,0),FALSE))*$BL226/VLOOKUP(VLOOKUP($BJ226,坦克个性化设定!$B$18:$E$48,4,FALSE)&amp;$BK226,坦克属性分配比例,MATCH("升星次数",坦克属性分配比例标头,0),FALSE)*(VLOOKUP(VLOOKUP($BJ226,坦克个性化设定!$B$18:$E$48,4,FALSE)&amp;$BK226,坦克属性分配比例,MATCH("升星比例",坦克属性分配比例标头,0),FALSE)+VLOOKUP(VLOOKUP($BJ226,坦克个性化设定!$B$18:$E$48,4,FALSE)&amp;$BK226,坦克属性分配比例,MATCH("部件比例",坦克属性分配比例标头,0),FALSE)*$C$3),0)</f>
        <v>467</v>
      </c>
      <c r="BP226" s="103">
        <f ca="1">ROUND(VLOOKUP($BJ226&amp;"初始",$S$3:$AE$63,MATCH(BP$3,$S$3:$AE$3,0),FALSE)+(VLOOKUP($BJ226&amp;"最终",$S$3:$AE$63,MATCH(BP$3,$S$3:$AE$3,0),FALSE)-VLOOKUP($BJ226&amp;"初始",$S$3:$AE$63,MATCH(BP$3,$S$3:$AE$3,0),FALSE))*$BL226/VLOOKUP(VLOOKUP($BJ226,坦克个性化设定!$B$18:$E$48,4,FALSE)&amp;$BK226,坦克属性分配比例,MATCH("升星次数",坦克属性分配比例标头,0),FALSE)*(VLOOKUP(VLOOKUP($BJ226,坦克个性化设定!$B$18:$E$48,4,FALSE)&amp;$BK226,坦克属性分配比例,MATCH("升星比例",坦克属性分配比例标头,0),FALSE)+VLOOKUP(VLOOKUP($BJ226,坦克个性化设定!$B$18:$E$48,4,FALSE)&amp;$BK226,坦克属性分配比例,MATCH("部件比例",坦克属性分配比例标头,0),FALSE)*$C$3),0)</f>
        <v>374</v>
      </c>
      <c r="BQ226" s="103">
        <f ca="1">ROUND(VLOOKUP($BJ226&amp;"初始",$S$3:$AE$63,MATCH(BQ$3,$S$3:$AE$3,0),FALSE)+(VLOOKUP($BJ226&amp;"最终",$S$3:$AE$63,MATCH(BQ$3,$S$3:$AE$3,0),FALSE)-VLOOKUP($BJ226&amp;"初始",$S$3:$AE$63,MATCH(BQ$3,$S$3:$AE$3,0),FALSE))*$BL226/VLOOKUP(VLOOKUP($BJ226,坦克个性化设定!$B$18:$E$48,4,FALSE)&amp;$BK226,坦克属性分配比例,MATCH("升星次数",坦克属性分配比例标头,0),FALSE)*VLOOKUP(VLOOKUP($BJ226,坦克个性化设定!$B$18:$E$48,4,FALSE)&amp;$BK226,坦克属性分配比例,MATCH("升星比例",坦克属性分配比例标头,0),FALSE),0)</f>
        <v>596</v>
      </c>
      <c r="BR226" s="2">
        <f ca="1">ROUND(VLOOKUP($BJ226&amp;"初始",$S$3:$AE$63,MATCH(BR$3,$S$3:$AE$3,0),FALSE)+(VLOOKUP($BJ226&amp;"最终",$S$3:$AE$63,MATCH(BR$3,$S$3:$AE$3,0),FALSE)-VLOOKUP($BJ226&amp;"初始",$S$3:$AE$63,MATCH(BR$3,$S$3:$AE$3,0),FALSE))*$BL226/VLOOKUP(VLOOKUP($BJ226,坦克个性化设定!$B$18:$E$48,4,FALSE)&amp;$BK226,坦克属性分配比例,MATCH("升星次数",坦克属性分配比例标头,0),FALSE),0)</f>
        <v>149</v>
      </c>
      <c r="BS226" s="2">
        <f>ROUND(VLOOKUP($BJ226,$AI$3:$AO$33,MATCH(BS$3,$AI$3:$AO$3,0),FALSE)+$BL226/VLOOKUP(VLOOKUP($BJ226,坦克个性化设定!$B$18:$E$48,4,FALSE)&amp;$BK226,坦克属性分配比例,MATCH("升星次数",坦克属性分配比例标头,0),FALSE)*VLOOKUP($BJ226,$AR$3:$AY$33,MATCH(BS$3,$AR$3:$AY$3,0),FALSE),1)</f>
        <v>35.799999999999997</v>
      </c>
      <c r="BT226" s="2">
        <f>ROUND(VLOOKUP($BJ226,$AI$3:$AO$33,MATCH(BT$3,$AI$3:$AO$3,0),FALSE)+$BL226/VLOOKUP(VLOOKUP($BJ226,坦克个性化设定!$B$18:$E$48,4,FALSE)&amp;$BK226,坦克属性分配比例,MATCH("升星次数",坦克属性分配比例标头,0),FALSE)*VLOOKUP($BJ226,$AR$3:$AY$33,MATCH(BT$3,$AR$3:$AY$3,0),FALSE),1)</f>
        <v>35.9</v>
      </c>
      <c r="BU226" s="2">
        <f>ROUND(VLOOKUP($BJ226,$AI$3:$AO$33,MATCH(BU$3,$AI$3:$AO$3,0),FALSE)+$BL226/VLOOKUP(VLOOKUP($BJ226,坦克个性化设定!$B$18:$E$48,4,FALSE)&amp;$BK226,坦克属性分配比例,MATCH("升星次数",坦克属性分配比例标头,0),FALSE)*VLOOKUP($BJ226,$AR$3:$AY$33,MATCH(BU$3,$AR$3:$AY$3,0),FALSE),1)</f>
        <v>6.4</v>
      </c>
      <c r="BV226" s="2">
        <f>IF(VLOOKUP(BJ226,坦克个性化设定!$B$18:$BC$48,MATCH("装弹类型",坦克个性化设定!$B$18:$BC$18,0),FALSE)="弹夹换弹",0,ROUND(VLOOKUP($BJ226,$AI$3:$AO$33,MATCH("换弹时间",$AI$3:$AO$3,0),FALSE)-$BL226/VLOOKUP(VLOOKUP($BJ226,坦克个性化设定!$B$18:$E$48,4,FALSE)&amp;$BK226,坦克属性分配比例,MATCH("升星次数",坦克属性分配比例标头,0),FALSE)*VLOOKUP($BJ226,$AR$3:$AY$33,MATCH("换弹时间",$AR$3:$AY$3,0),FALSE),2))</f>
        <v>5.51</v>
      </c>
      <c r="BW226" s="2">
        <f>IF(VLOOKUP(BJ226,坦克个性化设定!$B$18:$BC$48,MATCH("装弹类型",坦克个性化设定!$B$18:$BC$18,0),FALSE)="弹夹换弹",ROUND(VLOOKUP($BJ226,$AI$3:$AO$33,MATCH("换弹时间",$AI$3:$AO$3,0),FALSE)-$BL226/VLOOKUP(VLOOKUP($BJ226,坦克个性化设定!$B$18:$E$48,4,FALSE)&amp;$BK226,坦克属性分配比例,MATCH("升星次数",坦克属性分配比例标头,0),FALSE)*VLOOKUP($BJ226,$AR$3:$AY$33,MATCH("换弹时间",$AR$3:$AY$3,0),FALSE),1),0)</f>
        <v>0</v>
      </c>
      <c r="BX226" s="2">
        <f>ROUND(VLOOKUP($BJ226,$AI$3:$AO$33,MATCH(BX$3,$AI$3:$AO$3,0),FALSE)+$BL226/VLOOKUP(VLOOKUP($BJ226,坦克个性化设定!$B$18:$E$48,4,FALSE)&amp;$BK226,坦克属性分配比例,MATCH("升星次数",坦克属性分配比例标头,0),FALSE)*VLOOKUP($BJ226,$AR$3:$AY$33,MATCH(BX$3,$AR$3:$AY$3,0),FALSE),2)</f>
        <v>0</v>
      </c>
      <c r="BY226" s="2">
        <f>ROUND(VLOOKUP($BJ226,$AI$3:$AO$33,MATCH(BY$3,$AI$3:$AO$3,0),FALSE)-$BL226/VLOOKUP(VLOOKUP($BJ226,坦克个性化设定!$B$18:$E$48,4,FALSE)&amp;$BK226,坦克属性分配比例,MATCH("升星次数",坦克属性分配比例标头,0),FALSE)*VLOOKUP($BJ226,$AR$3:$AY$33,MATCH(BY$3,$AR$3:$AY$3,0),FALSE),2)</f>
        <v>2.71</v>
      </c>
    </row>
    <row r="227" spans="60:77" x14ac:dyDescent="0.3">
      <c r="BH227" s="2" t="str">
        <f t="shared" si="32"/>
        <v>丘吉尔5</v>
      </c>
      <c r="BI227" s="2">
        <f>IF(BL226&gt;=VLOOKUP(VLOOKUP(BJ226,坦克个性化设定!$B$18:$E$48,4,FALSE)&amp;BK226,坦克属性分配比例,MATCH("升星次数",坦克属性分配比例标头,0),FALSE),BI226+1,BI226)</f>
        <v>23</v>
      </c>
      <c r="BJ227" s="2" t="str">
        <f t="shared" si="33"/>
        <v>丘吉尔</v>
      </c>
      <c r="BK227" s="29" t="str">
        <f>VLOOKUP(BJ227,坦克个性化细分!$I$3:$J$33,2,FALSE)</f>
        <v>中</v>
      </c>
      <c r="BL227" s="2">
        <f t="shared" si="34"/>
        <v>5</v>
      </c>
      <c r="BM227" s="103">
        <f ca="1">ROUND(VLOOKUP($BJ227&amp;"初始",$S$3:$AE$63,MATCH(BM$3,$S$3:$AE$3,0),FALSE)+((VLOOKUP($BJ227&amp;"最终",$S$3:$AE$63,MATCH(BM$3,$S$3:$AE$3,0),FALSE)*坦克个性化细分!$C$9-VLOOKUP($BJ227&amp;"初始",$S$3:$AE$63,MATCH(BM$3,$S$3:$AE$3,0),FALSE))-(VLOOKUP($BJ227&amp;"最终",$S$3:$AE$63,MATCH(BM$3,$S$3:$AE$3,0),FALSE)-VLOOKUP($BJ227&amp;"初始",$S$3:$AE$63,MATCH(BM$3,$S$3:$AE$3,0),FALSE))*VLOOKUP(VLOOKUP($BJ227,坦克个性化设定!$B$18:$E$48,4,FALSE)&amp;$BK227,坦克属性分配比例,MATCH("部件比例",坦克属性分配比例标头,0),FALSE))*$BL227/VLOOKUP(VLOOKUP($BJ227,坦克个性化设定!$B$18:$E$48,4,FALSE)&amp;$BK227,坦克属性分配比例,MATCH("升星次数",坦克属性分配比例标头,0),FALSE),0)</f>
        <v>1579</v>
      </c>
      <c r="BN227" s="103">
        <f ca="1">ROUND(VLOOKUP($BJ227&amp;"初始",$S$3:$AE$63,MATCH(BN$3,$S$3:$AE$3,0),FALSE)+(VLOOKUP($BJ227&amp;"最终",$S$3:$AE$63,MATCH(BN$3,$S$3:$AE$3,0),FALSE)-VLOOKUP($BJ227&amp;"初始",$S$3:$AE$63,MATCH(BN$3,$S$3:$AE$3,0),FALSE))*$BL227/VLOOKUP(VLOOKUP($BJ227,坦克个性化设定!$B$18:$E$48,4,FALSE)&amp;$BK227,坦克属性分配比例,MATCH("升星次数",坦克属性分配比例标头,0),FALSE)*VLOOKUP(VLOOKUP($BJ227,坦克个性化设定!$B$18:$E$48,4,FALSE)&amp;$BK227,坦克属性分配比例,MATCH("升星比例",坦克属性分配比例标头,0),FALSE),0)</f>
        <v>536</v>
      </c>
      <c r="BO227" s="103">
        <f ca="1">ROUND(VLOOKUP($BJ227&amp;"初始",$S$3:$AE$63,MATCH(BO$3,$S$3:$AE$3,0),FALSE)+(VLOOKUP($BJ227&amp;"最终",$S$3:$AE$63,MATCH(BO$3,$S$3:$AE$3,0),FALSE)-VLOOKUP($BJ227&amp;"初始",$S$3:$AE$63,MATCH(BO$3,$S$3:$AE$3,0),FALSE))*$BL227/VLOOKUP(VLOOKUP($BJ227,坦克个性化设定!$B$18:$E$48,4,FALSE)&amp;$BK227,坦克属性分配比例,MATCH("升星次数",坦克属性分配比例标头,0),FALSE)*(VLOOKUP(VLOOKUP($BJ227,坦克个性化设定!$B$18:$E$48,4,FALSE)&amp;$BK227,坦克属性分配比例,MATCH("升星比例",坦克属性分配比例标头,0),FALSE)+VLOOKUP(VLOOKUP($BJ227,坦克个性化设定!$B$18:$E$48,4,FALSE)&amp;$BK227,坦克属性分配比例,MATCH("部件比例",坦克属性分配比例标头,0),FALSE)*$C$3),0)</f>
        <v>487</v>
      </c>
      <c r="BP227" s="103">
        <f ca="1">ROUND(VLOOKUP($BJ227&amp;"初始",$S$3:$AE$63,MATCH(BP$3,$S$3:$AE$3,0),FALSE)+(VLOOKUP($BJ227&amp;"最终",$S$3:$AE$63,MATCH(BP$3,$S$3:$AE$3,0),FALSE)-VLOOKUP($BJ227&amp;"初始",$S$3:$AE$63,MATCH(BP$3,$S$3:$AE$3,0),FALSE))*$BL227/VLOOKUP(VLOOKUP($BJ227,坦克个性化设定!$B$18:$E$48,4,FALSE)&amp;$BK227,坦克属性分配比例,MATCH("升星次数",坦克属性分配比例标头,0),FALSE)*(VLOOKUP(VLOOKUP($BJ227,坦克个性化设定!$B$18:$E$48,4,FALSE)&amp;$BK227,坦克属性分配比例,MATCH("升星比例",坦克属性分配比例标头,0),FALSE)+VLOOKUP(VLOOKUP($BJ227,坦克个性化设定!$B$18:$E$48,4,FALSE)&amp;$BK227,坦克属性分配比例,MATCH("部件比例",坦克属性分配比例标头,0),FALSE)*$C$3),0)</f>
        <v>391</v>
      </c>
      <c r="BQ227" s="103">
        <f ca="1">ROUND(VLOOKUP($BJ227&amp;"初始",$S$3:$AE$63,MATCH(BQ$3,$S$3:$AE$3,0),FALSE)+(VLOOKUP($BJ227&amp;"最终",$S$3:$AE$63,MATCH(BQ$3,$S$3:$AE$3,0),FALSE)-VLOOKUP($BJ227&amp;"初始",$S$3:$AE$63,MATCH(BQ$3,$S$3:$AE$3,0),FALSE))*$BL227/VLOOKUP(VLOOKUP($BJ227,坦克个性化设定!$B$18:$E$48,4,FALSE)&amp;$BK227,坦克属性分配比例,MATCH("升星次数",坦克属性分配比例标头,0),FALSE)*VLOOKUP(VLOOKUP($BJ227,坦克个性化设定!$B$18:$E$48,4,FALSE)&amp;$BK227,坦克属性分配比例,MATCH("升星比例",坦克属性分配比例标头,0),FALSE),0)</f>
        <v>617</v>
      </c>
      <c r="BR227" s="2">
        <f ca="1">ROUND(VLOOKUP($BJ227&amp;"初始",$S$3:$AE$63,MATCH(BR$3,$S$3:$AE$3,0),FALSE)+(VLOOKUP($BJ227&amp;"最终",$S$3:$AE$63,MATCH(BR$3,$S$3:$AE$3,0),FALSE)-VLOOKUP($BJ227&amp;"初始",$S$3:$AE$63,MATCH(BR$3,$S$3:$AE$3,0),FALSE))*$BL227/VLOOKUP(VLOOKUP($BJ227,坦克个性化设定!$B$18:$E$48,4,FALSE)&amp;$BK227,坦克属性分配比例,MATCH("升星次数",坦克属性分配比例标头,0),FALSE),0)</f>
        <v>157</v>
      </c>
      <c r="BS227" s="2">
        <f>ROUND(VLOOKUP($BJ227,$AI$3:$AO$33,MATCH(BS$3,$AI$3:$AO$3,0),FALSE)+$BL227/VLOOKUP(VLOOKUP($BJ227,坦克个性化设定!$B$18:$E$48,4,FALSE)&amp;$BK227,坦克属性分配比例,MATCH("升星次数",坦克属性分配比例标头,0),FALSE)*VLOOKUP($BJ227,$AR$3:$AY$33,MATCH(BS$3,$AR$3:$AY$3,0),FALSE),1)</f>
        <v>36.9</v>
      </c>
      <c r="BT227" s="2">
        <f>ROUND(VLOOKUP($BJ227,$AI$3:$AO$33,MATCH(BT$3,$AI$3:$AO$3,0),FALSE)+$BL227/VLOOKUP(VLOOKUP($BJ227,坦克个性化设定!$B$18:$E$48,4,FALSE)&amp;$BK227,坦克属性分配比例,MATCH("升星次数",坦克属性分配比例标头,0),FALSE)*VLOOKUP($BJ227,$AR$3:$AY$33,MATCH(BT$3,$AR$3:$AY$3,0),FALSE),1)</f>
        <v>37</v>
      </c>
      <c r="BU227" s="2">
        <f>ROUND(VLOOKUP($BJ227,$AI$3:$AO$33,MATCH(BU$3,$AI$3:$AO$3,0),FALSE)+$BL227/VLOOKUP(VLOOKUP($BJ227,坦克个性化设定!$B$18:$E$48,4,FALSE)&amp;$BK227,坦克属性分配比例,MATCH("升星次数",坦克属性分配比例标头,0),FALSE)*VLOOKUP($BJ227,$AR$3:$AY$33,MATCH(BU$3,$AR$3:$AY$3,0),FALSE),1)</f>
        <v>6.4</v>
      </c>
      <c r="BV227" s="2">
        <f>IF(VLOOKUP(BJ227,坦克个性化设定!$B$18:$BC$48,MATCH("装弹类型",坦克个性化设定!$B$18:$BC$18,0),FALSE)="弹夹换弹",0,ROUND(VLOOKUP($BJ227,$AI$3:$AO$33,MATCH("换弹时间",$AI$3:$AO$3,0),FALSE)-$BL227/VLOOKUP(VLOOKUP($BJ227,坦克个性化设定!$B$18:$E$48,4,FALSE)&amp;$BK227,坦克属性分配比例,MATCH("升星次数",坦克属性分配比例标头,0),FALSE)*VLOOKUP($BJ227,$AR$3:$AY$33,MATCH("换弹时间",$AR$3:$AY$3,0),FALSE),2))</f>
        <v>5.39</v>
      </c>
      <c r="BW227" s="2">
        <f>IF(VLOOKUP(BJ227,坦克个性化设定!$B$18:$BC$48,MATCH("装弹类型",坦克个性化设定!$B$18:$BC$18,0),FALSE)="弹夹换弹",ROUND(VLOOKUP($BJ227,$AI$3:$AO$33,MATCH("换弹时间",$AI$3:$AO$3,0),FALSE)-$BL227/VLOOKUP(VLOOKUP($BJ227,坦克个性化设定!$B$18:$E$48,4,FALSE)&amp;$BK227,坦克属性分配比例,MATCH("升星次数",坦克属性分配比例标头,0),FALSE)*VLOOKUP($BJ227,$AR$3:$AY$33,MATCH("换弹时间",$AR$3:$AY$3,0),FALSE),1),0)</f>
        <v>0</v>
      </c>
      <c r="BX227" s="2">
        <f>ROUND(VLOOKUP($BJ227,$AI$3:$AO$33,MATCH(BX$3,$AI$3:$AO$3,0),FALSE)+$BL227/VLOOKUP(VLOOKUP($BJ227,坦克个性化设定!$B$18:$E$48,4,FALSE)&amp;$BK227,坦克属性分配比例,MATCH("升星次数",坦克属性分配比例标头,0),FALSE)*VLOOKUP($BJ227,$AR$3:$AY$33,MATCH(BX$3,$AR$3:$AY$3,0),FALSE),2)</f>
        <v>0</v>
      </c>
      <c r="BY227" s="2">
        <f>ROUND(VLOOKUP($BJ227,$AI$3:$AO$33,MATCH(BY$3,$AI$3:$AO$3,0),FALSE)-$BL227/VLOOKUP(VLOOKUP($BJ227,坦克个性化设定!$B$18:$E$48,4,FALSE)&amp;$BK227,坦克属性分配比例,MATCH("升星次数",坦克属性分配比例标头,0),FALSE)*VLOOKUP($BJ227,$AR$3:$AY$33,MATCH(BY$3,$AR$3:$AY$3,0),FALSE),2)</f>
        <v>2.64</v>
      </c>
    </row>
    <row r="228" spans="60:77" x14ac:dyDescent="0.3">
      <c r="BH228" s="2" t="str">
        <f t="shared" si="32"/>
        <v>丘吉尔6</v>
      </c>
      <c r="BI228" s="2">
        <f>IF(BL227&gt;=VLOOKUP(VLOOKUP(BJ227,坦克个性化设定!$B$18:$E$48,4,FALSE)&amp;BK227,坦克属性分配比例,MATCH("升星次数",坦克属性分配比例标头,0),FALSE),BI227+1,BI227)</f>
        <v>23</v>
      </c>
      <c r="BJ228" s="2" t="str">
        <f t="shared" si="33"/>
        <v>丘吉尔</v>
      </c>
      <c r="BK228" s="29" t="str">
        <f>VLOOKUP(BJ228,坦克个性化细分!$I$3:$J$33,2,FALSE)</f>
        <v>中</v>
      </c>
      <c r="BL228" s="2">
        <f t="shared" si="34"/>
        <v>6</v>
      </c>
      <c r="BM228" s="103">
        <f ca="1">ROUND(VLOOKUP($BJ228&amp;"初始",$S$3:$AE$63,MATCH(BM$3,$S$3:$AE$3,0),FALSE)+((VLOOKUP($BJ228&amp;"最终",$S$3:$AE$63,MATCH(BM$3,$S$3:$AE$3,0),FALSE)*坦克个性化细分!$C$9-VLOOKUP($BJ228&amp;"初始",$S$3:$AE$63,MATCH(BM$3,$S$3:$AE$3,0),FALSE))-(VLOOKUP($BJ228&amp;"最终",$S$3:$AE$63,MATCH(BM$3,$S$3:$AE$3,0),FALSE)-VLOOKUP($BJ228&amp;"初始",$S$3:$AE$63,MATCH(BM$3,$S$3:$AE$3,0),FALSE))*VLOOKUP(VLOOKUP($BJ228,坦克个性化设定!$B$18:$E$48,4,FALSE)&amp;$BK228,坦克属性分配比例,MATCH("部件比例",坦克属性分配比例标头,0),FALSE))*$BL228/VLOOKUP(VLOOKUP($BJ228,坦克个性化设定!$B$18:$E$48,4,FALSE)&amp;$BK228,坦克属性分配比例,MATCH("升星次数",坦克属性分配比例标头,0),FALSE),0)</f>
        <v>1662</v>
      </c>
      <c r="BN228" s="103">
        <f ca="1">ROUND(VLOOKUP($BJ228&amp;"初始",$S$3:$AE$63,MATCH(BN$3,$S$3:$AE$3,0),FALSE)+(VLOOKUP($BJ228&amp;"最终",$S$3:$AE$63,MATCH(BN$3,$S$3:$AE$3,0),FALSE)-VLOOKUP($BJ228&amp;"初始",$S$3:$AE$63,MATCH(BN$3,$S$3:$AE$3,0),FALSE))*$BL228/VLOOKUP(VLOOKUP($BJ228,坦克个性化设定!$B$18:$E$48,4,FALSE)&amp;$BK228,坦克属性分配比例,MATCH("升星次数",坦克属性分配比例标头,0),FALSE)*VLOOKUP(VLOOKUP($BJ228,坦克个性化设定!$B$18:$E$48,4,FALSE)&amp;$BK228,坦克属性分配比例,MATCH("升星比例",坦克属性分配比例标头,0),FALSE),0)</f>
        <v>554</v>
      </c>
      <c r="BO228" s="103">
        <f ca="1">ROUND(VLOOKUP($BJ228&amp;"初始",$S$3:$AE$63,MATCH(BO$3,$S$3:$AE$3,0),FALSE)+(VLOOKUP($BJ228&amp;"最终",$S$3:$AE$63,MATCH(BO$3,$S$3:$AE$3,0),FALSE)-VLOOKUP($BJ228&amp;"初始",$S$3:$AE$63,MATCH(BO$3,$S$3:$AE$3,0),FALSE))*$BL228/VLOOKUP(VLOOKUP($BJ228,坦克个性化设定!$B$18:$E$48,4,FALSE)&amp;$BK228,坦克属性分配比例,MATCH("升星次数",坦克属性分配比例标头,0),FALSE)*(VLOOKUP(VLOOKUP($BJ228,坦克个性化设定!$B$18:$E$48,4,FALSE)&amp;$BK228,坦克属性分配比例,MATCH("升星比例",坦克属性分配比例标头,0),FALSE)+VLOOKUP(VLOOKUP($BJ228,坦克个性化设定!$B$18:$E$48,4,FALSE)&amp;$BK228,坦克属性分配比例,MATCH("部件比例",坦克属性分配比例标头,0),FALSE)*$C$3),0)</f>
        <v>508</v>
      </c>
      <c r="BP228" s="103">
        <f ca="1">ROUND(VLOOKUP($BJ228&amp;"初始",$S$3:$AE$63,MATCH(BP$3,$S$3:$AE$3,0),FALSE)+(VLOOKUP($BJ228&amp;"最终",$S$3:$AE$63,MATCH(BP$3,$S$3:$AE$3,0),FALSE)-VLOOKUP($BJ228&amp;"初始",$S$3:$AE$63,MATCH(BP$3,$S$3:$AE$3,0),FALSE))*$BL228/VLOOKUP(VLOOKUP($BJ228,坦克个性化设定!$B$18:$E$48,4,FALSE)&amp;$BK228,坦克属性分配比例,MATCH("升星次数",坦克属性分配比例标头,0),FALSE)*(VLOOKUP(VLOOKUP($BJ228,坦克个性化设定!$B$18:$E$48,4,FALSE)&amp;$BK228,坦克属性分配比例,MATCH("升星比例",坦克属性分配比例标头,0),FALSE)+VLOOKUP(VLOOKUP($BJ228,坦克个性化设定!$B$18:$E$48,4,FALSE)&amp;$BK228,坦克属性分配比例,MATCH("部件比例",坦克属性分配比例标头,0),FALSE)*$C$3),0)</f>
        <v>407</v>
      </c>
      <c r="BQ228" s="103">
        <f ca="1">ROUND(VLOOKUP($BJ228&amp;"初始",$S$3:$AE$63,MATCH(BQ$3,$S$3:$AE$3,0),FALSE)+(VLOOKUP($BJ228&amp;"最终",$S$3:$AE$63,MATCH(BQ$3,$S$3:$AE$3,0),FALSE)-VLOOKUP($BJ228&amp;"初始",$S$3:$AE$63,MATCH(BQ$3,$S$3:$AE$3,0),FALSE))*$BL228/VLOOKUP(VLOOKUP($BJ228,坦克个性化设定!$B$18:$E$48,4,FALSE)&amp;$BK228,坦克属性分配比例,MATCH("升星次数",坦克属性分配比例标头,0),FALSE)*VLOOKUP(VLOOKUP($BJ228,坦克个性化设定!$B$18:$E$48,4,FALSE)&amp;$BK228,坦克属性分配比例,MATCH("升星比例",坦克属性分配比例标头,0),FALSE),0)</f>
        <v>638</v>
      </c>
      <c r="BR228" s="2">
        <f ca="1">ROUND(VLOOKUP($BJ228&amp;"初始",$S$3:$AE$63,MATCH(BR$3,$S$3:$AE$3,0),FALSE)+(VLOOKUP($BJ228&amp;"最终",$S$3:$AE$63,MATCH(BR$3,$S$3:$AE$3,0),FALSE)-VLOOKUP($BJ228&amp;"初始",$S$3:$AE$63,MATCH(BR$3,$S$3:$AE$3,0),FALSE))*$BL228/VLOOKUP(VLOOKUP($BJ228,坦克个性化设定!$B$18:$E$48,4,FALSE)&amp;$BK228,坦克属性分配比例,MATCH("升星次数",坦克属性分配比例标头,0),FALSE),0)</f>
        <v>164</v>
      </c>
      <c r="BS228" s="2">
        <f>ROUND(VLOOKUP($BJ228,$AI$3:$AO$33,MATCH(BS$3,$AI$3:$AO$3,0),FALSE)+$BL228/VLOOKUP(VLOOKUP($BJ228,坦克个性化设定!$B$18:$E$48,4,FALSE)&amp;$BK228,坦克属性分配比例,MATCH("升星次数",坦克属性分配比例标头,0),FALSE)*VLOOKUP($BJ228,$AR$3:$AY$33,MATCH(BS$3,$AR$3:$AY$3,0),FALSE),1)</f>
        <v>38</v>
      </c>
      <c r="BT228" s="2">
        <f>ROUND(VLOOKUP($BJ228,$AI$3:$AO$33,MATCH(BT$3,$AI$3:$AO$3,0),FALSE)+$BL228/VLOOKUP(VLOOKUP($BJ228,坦克个性化设定!$B$18:$E$48,4,FALSE)&amp;$BK228,坦克属性分配比例,MATCH("升星次数",坦克属性分配比例标头,0),FALSE)*VLOOKUP($BJ228,$AR$3:$AY$33,MATCH(BT$3,$AR$3:$AY$3,0),FALSE),1)</f>
        <v>38.1</v>
      </c>
      <c r="BU228" s="2">
        <f>ROUND(VLOOKUP($BJ228,$AI$3:$AO$33,MATCH(BU$3,$AI$3:$AO$3,0),FALSE)+$BL228/VLOOKUP(VLOOKUP($BJ228,坦克个性化设定!$B$18:$E$48,4,FALSE)&amp;$BK228,坦克属性分配比例,MATCH("升星次数",坦克属性分配比例标头,0),FALSE)*VLOOKUP($BJ228,$AR$3:$AY$33,MATCH(BU$3,$AR$3:$AY$3,0),FALSE),1)</f>
        <v>6.4</v>
      </c>
      <c r="BV228" s="2">
        <f>IF(VLOOKUP(BJ228,坦克个性化设定!$B$18:$BC$48,MATCH("装弹类型",坦克个性化设定!$B$18:$BC$18,0),FALSE)="弹夹换弹",0,ROUND(VLOOKUP($BJ228,$AI$3:$AO$33,MATCH("换弹时间",$AI$3:$AO$3,0),FALSE)-$BL228/VLOOKUP(VLOOKUP($BJ228,坦克个性化设定!$B$18:$E$48,4,FALSE)&amp;$BK228,坦克属性分配比例,MATCH("升星次数",坦克属性分配比例标头,0),FALSE)*VLOOKUP($BJ228,$AR$3:$AY$33,MATCH("换弹时间",$AR$3:$AY$3,0),FALSE),2))</f>
        <v>5.27</v>
      </c>
      <c r="BW228" s="2">
        <f>IF(VLOOKUP(BJ228,坦克个性化设定!$B$18:$BC$48,MATCH("装弹类型",坦克个性化设定!$B$18:$BC$18,0),FALSE)="弹夹换弹",ROUND(VLOOKUP($BJ228,$AI$3:$AO$33,MATCH("换弹时间",$AI$3:$AO$3,0),FALSE)-$BL228/VLOOKUP(VLOOKUP($BJ228,坦克个性化设定!$B$18:$E$48,4,FALSE)&amp;$BK228,坦克属性分配比例,MATCH("升星次数",坦克属性分配比例标头,0),FALSE)*VLOOKUP($BJ228,$AR$3:$AY$33,MATCH("换弹时间",$AR$3:$AY$3,0),FALSE),1),0)</f>
        <v>0</v>
      </c>
      <c r="BX228" s="2">
        <f>ROUND(VLOOKUP($BJ228,$AI$3:$AO$33,MATCH(BX$3,$AI$3:$AO$3,0),FALSE)+$BL228/VLOOKUP(VLOOKUP($BJ228,坦克个性化设定!$B$18:$E$48,4,FALSE)&amp;$BK228,坦克属性分配比例,MATCH("升星次数",坦克属性分配比例标头,0),FALSE)*VLOOKUP($BJ228,$AR$3:$AY$33,MATCH(BX$3,$AR$3:$AY$3,0),FALSE),2)</f>
        <v>0</v>
      </c>
      <c r="BY228" s="2">
        <f>ROUND(VLOOKUP($BJ228,$AI$3:$AO$33,MATCH(BY$3,$AI$3:$AO$3,0),FALSE)-$BL228/VLOOKUP(VLOOKUP($BJ228,坦克个性化设定!$B$18:$E$48,4,FALSE)&amp;$BK228,坦克属性分配比例,MATCH("升星次数",坦克属性分配比例标头,0),FALSE)*VLOOKUP($BJ228,$AR$3:$AY$33,MATCH(BY$3,$AR$3:$AY$3,0),FALSE),2)</f>
        <v>2.57</v>
      </c>
    </row>
    <row r="229" spans="60:77" x14ac:dyDescent="0.3">
      <c r="BH229" s="2" t="str">
        <f t="shared" si="32"/>
        <v>丘吉尔7</v>
      </c>
      <c r="BI229" s="2">
        <f>IF(BL228&gt;=VLOOKUP(VLOOKUP(BJ228,坦克个性化设定!$B$18:$E$48,4,FALSE)&amp;BK228,坦克属性分配比例,MATCH("升星次数",坦克属性分配比例标头,0),FALSE),BI228+1,BI228)</f>
        <v>23</v>
      </c>
      <c r="BJ229" s="2" t="str">
        <f t="shared" si="33"/>
        <v>丘吉尔</v>
      </c>
      <c r="BK229" s="29" t="str">
        <f>VLOOKUP(BJ229,坦克个性化细分!$I$3:$J$33,2,FALSE)</f>
        <v>中</v>
      </c>
      <c r="BL229" s="2">
        <f t="shared" si="34"/>
        <v>7</v>
      </c>
      <c r="BM229" s="103">
        <f ca="1">ROUND(VLOOKUP($BJ229&amp;"初始",$S$3:$AE$63,MATCH(BM$3,$S$3:$AE$3,0),FALSE)+((VLOOKUP($BJ229&amp;"最终",$S$3:$AE$63,MATCH(BM$3,$S$3:$AE$3,0),FALSE)*坦克个性化细分!$C$9-VLOOKUP($BJ229&amp;"初始",$S$3:$AE$63,MATCH(BM$3,$S$3:$AE$3,0),FALSE))-(VLOOKUP($BJ229&amp;"最终",$S$3:$AE$63,MATCH(BM$3,$S$3:$AE$3,0),FALSE)-VLOOKUP($BJ229&amp;"初始",$S$3:$AE$63,MATCH(BM$3,$S$3:$AE$3,0),FALSE))*VLOOKUP(VLOOKUP($BJ229,坦克个性化设定!$B$18:$E$48,4,FALSE)&amp;$BK229,坦克属性分配比例,MATCH("部件比例",坦克属性分配比例标头,0),FALSE))*$BL229/VLOOKUP(VLOOKUP($BJ229,坦克个性化设定!$B$18:$E$48,4,FALSE)&amp;$BK229,坦克属性分配比例,MATCH("升星次数",坦克属性分配比例标头,0),FALSE),0)</f>
        <v>1746</v>
      </c>
      <c r="BN229" s="103">
        <f ca="1">ROUND(VLOOKUP($BJ229&amp;"初始",$S$3:$AE$63,MATCH(BN$3,$S$3:$AE$3,0),FALSE)+(VLOOKUP($BJ229&amp;"最终",$S$3:$AE$63,MATCH(BN$3,$S$3:$AE$3,0),FALSE)-VLOOKUP($BJ229&amp;"初始",$S$3:$AE$63,MATCH(BN$3,$S$3:$AE$3,0),FALSE))*$BL229/VLOOKUP(VLOOKUP($BJ229,坦克个性化设定!$B$18:$E$48,4,FALSE)&amp;$BK229,坦克属性分配比例,MATCH("升星次数",坦克属性分配比例标头,0),FALSE)*VLOOKUP(VLOOKUP($BJ229,坦克个性化设定!$B$18:$E$48,4,FALSE)&amp;$BK229,坦克属性分配比例,MATCH("升星比例",坦克属性分配比例标头,0),FALSE),0)</f>
        <v>573</v>
      </c>
      <c r="BO229" s="103">
        <f ca="1">ROUND(VLOOKUP($BJ229&amp;"初始",$S$3:$AE$63,MATCH(BO$3,$S$3:$AE$3,0),FALSE)+(VLOOKUP($BJ229&amp;"最终",$S$3:$AE$63,MATCH(BO$3,$S$3:$AE$3,0),FALSE)-VLOOKUP($BJ229&amp;"初始",$S$3:$AE$63,MATCH(BO$3,$S$3:$AE$3,0),FALSE))*$BL229/VLOOKUP(VLOOKUP($BJ229,坦克个性化设定!$B$18:$E$48,4,FALSE)&amp;$BK229,坦克属性分配比例,MATCH("升星次数",坦克属性分配比例标头,0),FALSE)*(VLOOKUP(VLOOKUP($BJ229,坦克个性化设定!$B$18:$E$48,4,FALSE)&amp;$BK229,坦克属性分配比例,MATCH("升星比例",坦克属性分配比例标头,0),FALSE)+VLOOKUP(VLOOKUP($BJ229,坦克个性化设定!$B$18:$E$48,4,FALSE)&amp;$BK229,坦克属性分配比例,MATCH("部件比例",坦克属性分配比例标头,0),FALSE)*$C$3),0)</f>
        <v>529</v>
      </c>
      <c r="BP229" s="103">
        <f ca="1">ROUND(VLOOKUP($BJ229&amp;"初始",$S$3:$AE$63,MATCH(BP$3,$S$3:$AE$3,0),FALSE)+(VLOOKUP($BJ229&amp;"最终",$S$3:$AE$63,MATCH(BP$3,$S$3:$AE$3,0),FALSE)-VLOOKUP($BJ229&amp;"初始",$S$3:$AE$63,MATCH(BP$3,$S$3:$AE$3,0),FALSE))*$BL229/VLOOKUP(VLOOKUP($BJ229,坦克个性化设定!$B$18:$E$48,4,FALSE)&amp;$BK229,坦克属性分配比例,MATCH("升星次数",坦克属性分配比例标头,0),FALSE)*(VLOOKUP(VLOOKUP($BJ229,坦克个性化设定!$B$18:$E$48,4,FALSE)&amp;$BK229,坦克属性分配比例,MATCH("升星比例",坦克属性分配比例标头,0),FALSE)+VLOOKUP(VLOOKUP($BJ229,坦克个性化设定!$B$18:$E$48,4,FALSE)&amp;$BK229,坦克属性分配比例,MATCH("部件比例",坦克属性分配比例标头,0),FALSE)*$C$3),0)</f>
        <v>424</v>
      </c>
      <c r="BQ229" s="103">
        <f ca="1">ROUND(VLOOKUP($BJ229&amp;"初始",$S$3:$AE$63,MATCH(BQ$3,$S$3:$AE$3,0),FALSE)+(VLOOKUP($BJ229&amp;"最终",$S$3:$AE$63,MATCH(BQ$3,$S$3:$AE$3,0),FALSE)-VLOOKUP($BJ229&amp;"初始",$S$3:$AE$63,MATCH(BQ$3,$S$3:$AE$3,0),FALSE))*$BL229/VLOOKUP(VLOOKUP($BJ229,坦克个性化设定!$B$18:$E$48,4,FALSE)&amp;$BK229,坦克属性分配比例,MATCH("升星次数",坦克属性分配比例标头,0),FALSE)*VLOOKUP(VLOOKUP($BJ229,坦克个性化设定!$B$18:$E$48,4,FALSE)&amp;$BK229,坦克属性分配比例,MATCH("升星比例",坦克属性分配比例标头,0),FALSE),0)</f>
        <v>660</v>
      </c>
      <c r="BR229" s="2">
        <f ca="1">ROUND(VLOOKUP($BJ229&amp;"初始",$S$3:$AE$63,MATCH(BR$3,$S$3:$AE$3,0),FALSE)+(VLOOKUP($BJ229&amp;"最终",$S$3:$AE$63,MATCH(BR$3,$S$3:$AE$3,0),FALSE)-VLOOKUP($BJ229&amp;"初始",$S$3:$AE$63,MATCH(BR$3,$S$3:$AE$3,0),FALSE))*$BL229/VLOOKUP(VLOOKUP($BJ229,坦克个性化设定!$B$18:$E$48,4,FALSE)&amp;$BK229,坦克属性分配比例,MATCH("升星次数",坦克属性分配比例标头,0),FALSE),0)</f>
        <v>172</v>
      </c>
      <c r="BS229" s="2">
        <f>ROUND(VLOOKUP($BJ229,$AI$3:$AO$33,MATCH(BS$3,$AI$3:$AO$3,0),FALSE)+$BL229/VLOOKUP(VLOOKUP($BJ229,坦克个性化设定!$B$18:$E$48,4,FALSE)&amp;$BK229,坦克属性分配比例,MATCH("升星次数",坦克属性分配比例标头,0),FALSE)*VLOOKUP($BJ229,$AR$3:$AY$33,MATCH(BS$3,$AR$3:$AY$3,0),FALSE),1)</f>
        <v>39.1</v>
      </c>
      <c r="BT229" s="2">
        <f>ROUND(VLOOKUP($BJ229,$AI$3:$AO$33,MATCH(BT$3,$AI$3:$AO$3,0),FALSE)+$BL229/VLOOKUP(VLOOKUP($BJ229,坦克个性化设定!$B$18:$E$48,4,FALSE)&amp;$BK229,坦克属性分配比例,MATCH("升星次数",坦克属性分配比例标头,0),FALSE)*VLOOKUP($BJ229,$AR$3:$AY$33,MATCH(BT$3,$AR$3:$AY$3,0),FALSE),1)</f>
        <v>39.299999999999997</v>
      </c>
      <c r="BU229" s="2">
        <f>ROUND(VLOOKUP($BJ229,$AI$3:$AO$33,MATCH(BU$3,$AI$3:$AO$3,0),FALSE)+$BL229/VLOOKUP(VLOOKUP($BJ229,坦克个性化设定!$B$18:$E$48,4,FALSE)&amp;$BK229,坦克属性分配比例,MATCH("升星次数",坦克属性分配比例标头,0),FALSE)*VLOOKUP($BJ229,$AR$3:$AY$33,MATCH(BU$3,$AR$3:$AY$3,0),FALSE),1)</f>
        <v>6.4</v>
      </c>
      <c r="BV229" s="2">
        <f>IF(VLOOKUP(BJ229,坦克个性化设定!$B$18:$BC$48,MATCH("装弹类型",坦克个性化设定!$B$18:$BC$18,0),FALSE)="弹夹换弹",0,ROUND(VLOOKUP($BJ229,$AI$3:$AO$33,MATCH("换弹时间",$AI$3:$AO$3,0),FALSE)-$BL229/VLOOKUP(VLOOKUP($BJ229,坦克个性化设定!$B$18:$E$48,4,FALSE)&amp;$BK229,坦克属性分配比例,MATCH("升星次数",坦克属性分配比例标头,0),FALSE)*VLOOKUP($BJ229,$AR$3:$AY$33,MATCH("换弹时间",$AR$3:$AY$3,0),FALSE),2))</f>
        <v>5.15</v>
      </c>
      <c r="BW229" s="2">
        <f>IF(VLOOKUP(BJ229,坦克个性化设定!$B$18:$BC$48,MATCH("装弹类型",坦克个性化设定!$B$18:$BC$18,0),FALSE)="弹夹换弹",ROUND(VLOOKUP($BJ229,$AI$3:$AO$33,MATCH("换弹时间",$AI$3:$AO$3,0),FALSE)-$BL229/VLOOKUP(VLOOKUP($BJ229,坦克个性化设定!$B$18:$E$48,4,FALSE)&amp;$BK229,坦克属性分配比例,MATCH("升星次数",坦克属性分配比例标头,0),FALSE)*VLOOKUP($BJ229,$AR$3:$AY$33,MATCH("换弹时间",$AR$3:$AY$3,0),FALSE),1),0)</f>
        <v>0</v>
      </c>
      <c r="BX229" s="2">
        <f>ROUND(VLOOKUP($BJ229,$AI$3:$AO$33,MATCH(BX$3,$AI$3:$AO$3,0),FALSE)+$BL229/VLOOKUP(VLOOKUP($BJ229,坦克个性化设定!$B$18:$E$48,4,FALSE)&amp;$BK229,坦克属性分配比例,MATCH("升星次数",坦克属性分配比例标头,0),FALSE)*VLOOKUP($BJ229,$AR$3:$AY$33,MATCH(BX$3,$AR$3:$AY$3,0),FALSE),2)</f>
        <v>0</v>
      </c>
      <c r="BY229" s="2">
        <f>ROUND(VLOOKUP($BJ229,$AI$3:$AO$33,MATCH(BY$3,$AI$3:$AO$3,0),FALSE)-$BL229/VLOOKUP(VLOOKUP($BJ229,坦克个性化设定!$B$18:$E$48,4,FALSE)&amp;$BK229,坦克属性分配比例,MATCH("升星次数",坦克属性分配比例标头,0),FALSE)*VLOOKUP($BJ229,$AR$3:$AY$33,MATCH(BY$3,$AR$3:$AY$3,0),FALSE),2)</f>
        <v>2.5</v>
      </c>
    </row>
    <row r="230" spans="60:77" x14ac:dyDescent="0.3">
      <c r="BH230" s="2" t="str">
        <f t="shared" si="32"/>
        <v>黑豹0</v>
      </c>
      <c r="BI230" s="2">
        <f>IF(BL229&gt;=VLOOKUP(VLOOKUP(BJ229,坦克个性化设定!$B$18:$E$48,4,FALSE)&amp;BK229,坦克属性分配比例,MATCH("升星次数",坦克属性分配比例标头,0),FALSE),BI229+1,BI229)</f>
        <v>24</v>
      </c>
      <c r="BJ230" s="2" t="str">
        <f t="shared" si="33"/>
        <v>黑豹</v>
      </c>
      <c r="BK230" s="29" t="str">
        <f>VLOOKUP(BJ230,坦克个性化细分!$I$3:$J$33,2,FALSE)</f>
        <v>低</v>
      </c>
      <c r="BL230" s="2">
        <f t="shared" si="34"/>
        <v>0</v>
      </c>
      <c r="BM230" s="103">
        <f ca="1">ROUND(VLOOKUP($BJ230&amp;"初始",$S$3:$AE$63,MATCH(BM$3,$S$3:$AE$3,0),FALSE)+((VLOOKUP($BJ230&amp;"最终",$S$3:$AE$63,MATCH(BM$3,$S$3:$AE$3,0),FALSE)*坦克个性化细分!$C$9-VLOOKUP($BJ230&amp;"初始",$S$3:$AE$63,MATCH(BM$3,$S$3:$AE$3,0),FALSE))-(VLOOKUP($BJ230&amp;"最终",$S$3:$AE$63,MATCH(BM$3,$S$3:$AE$3,0),FALSE)-VLOOKUP($BJ230&amp;"初始",$S$3:$AE$63,MATCH(BM$3,$S$3:$AE$3,0),FALSE))*VLOOKUP(VLOOKUP($BJ230,坦克个性化设定!$B$18:$E$48,4,FALSE)&amp;$BK230,坦克属性分配比例,MATCH("部件比例",坦克属性分配比例标头,0),FALSE))*$BL230/VLOOKUP(VLOOKUP($BJ230,坦克个性化设定!$B$18:$E$48,4,FALSE)&amp;$BK230,坦克属性分配比例,MATCH("升星次数",坦克属性分配比例标头,0),FALSE),0)</f>
        <v>1456</v>
      </c>
      <c r="BN230" s="103">
        <f ca="1">ROUND(VLOOKUP($BJ230&amp;"初始",$S$3:$AE$63,MATCH(BN$3,$S$3:$AE$3,0),FALSE)+(VLOOKUP($BJ230&amp;"最终",$S$3:$AE$63,MATCH(BN$3,$S$3:$AE$3,0),FALSE)-VLOOKUP($BJ230&amp;"初始",$S$3:$AE$63,MATCH(BN$3,$S$3:$AE$3,0),FALSE))*$BL230/VLOOKUP(VLOOKUP($BJ230,坦克个性化设定!$B$18:$E$48,4,FALSE)&amp;$BK230,坦克属性分配比例,MATCH("升星次数",坦克属性分配比例标头,0),FALSE)*VLOOKUP(VLOOKUP($BJ230,坦克个性化设定!$B$18:$E$48,4,FALSE)&amp;$BK230,坦克属性分配比例,MATCH("升星比例",坦克属性分配比例标头,0),FALSE),0)</f>
        <v>521</v>
      </c>
      <c r="BO230" s="103">
        <f ca="1">ROUND(VLOOKUP($BJ230&amp;"初始",$S$3:$AE$63,MATCH(BO$3,$S$3:$AE$3,0),FALSE)+(VLOOKUP($BJ230&amp;"最终",$S$3:$AE$63,MATCH(BO$3,$S$3:$AE$3,0),FALSE)-VLOOKUP($BJ230&amp;"初始",$S$3:$AE$63,MATCH(BO$3,$S$3:$AE$3,0),FALSE))*$BL230/VLOOKUP(VLOOKUP($BJ230,坦克个性化设定!$B$18:$E$48,4,FALSE)&amp;$BK230,坦克属性分配比例,MATCH("升星次数",坦克属性分配比例标头,0),FALSE)*(VLOOKUP(VLOOKUP($BJ230,坦克个性化设定!$B$18:$E$48,4,FALSE)&amp;$BK230,坦克属性分配比例,MATCH("升星比例",坦克属性分配比例标头,0),FALSE)+VLOOKUP(VLOOKUP($BJ230,坦克个性化设定!$B$18:$E$48,4,FALSE)&amp;$BK230,坦克属性分配比例,MATCH("部件比例",坦克属性分配比例标头,0),FALSE)*$C$3),0)</f>
        <v>465</v>
      </c>
      <c r="BP230" s="103">
        <f ca="1">ROUND(VLOOKUP($BJ230&amp;"初始",$S$3:$AE$63,MATCH(BP$3,$S$3:$AE$3,0),FALSE)+(VLOOKUP($BJ230&amp;"最终",$S$3:$AE$63,MATCH(BP$3,$S$3:$AE$3,0),FALSE)-VLOOKUP($BJ230&amp;"初始",$S$3:$AE$63,MATCH(BP$3,$S$3:$AE$3,0),FALSE))*$BL230/VLOOKUP(VLOOKUP($BJ230,坦克个性化设定!$B$18:$E$48,4,FALSE)&amp;$BK230,坦克属性分配比例,MATCH("升星次数",坦克属性分配比例标头,0),FALSE)*(VLOOKUP(VLOOKUP($BJ230,坦克个性化设定!$B$18:$E$48,4,FALSE)&amp;$BK230,坦克属性分配比例,MATCH("升星比例",坦克属性分配比例标头,0),FALSE)+VLOOKUP(VLOOKUP($BJ230,坦克个性化设定!$B$18:$E$48,4,FALSE)&amp;$BK230,坦克属性分配比例,MATCH("部件比例",坦克属性分配比例标头,0),FALSE)*$C$3),0)</f>
        <v>372</v>
      </c>
      <c r="BQ230" s="103">
        <f ca="1">ROUND(VLOOKUP($BJ230&amp;"初始",$S$3:$AE$63,MATCH(BQ$3,$S$3:$AE$3,0),FALSE)+(VLOOKUP($BJ230&amp;"最终",$S$3:$AE$63,MATCH(BQ$3,$S$3:$AE$3,0),FALSE)-VLOOKUP($BJ230&amp;"初始",$S$3:$AE$63,MATCH(BQ$3,$S$3:$AE$3,0),FALSE))*$BL230/VLOOKUP(VLOOKUP($BJ230,坦克个性化设定!$B$18:$E$48,4,FALSE)&amp;$BK230,坦克属性分配比例,MATCH("升星次数",坦克属性分配比例标头,0),FALSE)*VLOOKUP(VLOOKUP($BJ230,坦克个性化设定!$B$18:$E$48,4,FALSE)&amp;$BK230,坦克属性分配比例,MATCH("升星比例",坦克属性分配比例标头,0),FALSE),0)</f>
        <v>622</v>
      </c>
      <c r="BR230" s="2">
        <f ca="1">ROUND(VLOOKUP($BJ230&amp;"初始",$S$3:$AE$63,MATCH(BR$3,$S$3:$AE$3,0),FALSE)+(VLOOKUP($BJ230&amp;"最终",$S$3:$AE$63,MATCH(BR$3,$S$3:$AE$3,0),FALSE)-VLOOKUP($BJ230&amp;"初始",$S$3:$AE$63,MATCH(BR$3,$S$3:$AE$3,0),FALSE))*$BL230/VLOOKUP(VLOOKUP($BJ230,坦克个性化设定!$B$18:$E$48,4,FALSE)&amp;$BK230,坦克属性分配比例,MATCH("升星次数",坦克属性分配比例标头,0),FALSE),0)</f>
        <v>145</v>
      </c>
      <c r="BS230" s="2">
        <f>ROUND(VLOOKUP($BJ230,$AI$3:$AO$33,MATCH(BS$3,$AI$3:$AO$3,0),FALSE)+$BL230/VLOOKUP(VLOOKUP($BJ230,坦克个性化设定!$B$18:$E$48,4,FALSE)&amp;$BK230,坦克属性分配比例,MATCH("升星次数",坦克属性分配比例标头,0),FALSE)*VLOOKUP($BJ230,$AR$3:$AY$33,MATCH(BS$3,$AR$3:$AY$3,0),FALSE),1)</f>
        <v>30.7</v>
      </c>
      <c r="BT230" s="2">
        <f>ROUND(VLOOKUP($BJ230,$AI$3:$AO$33,MATCH(BT$3,$AI$3:$AO$3,0),FALSE)+$BL230/VLOOKUP(VLOOKUP($BJ230,坦克个性化设定!$B$18:$E$48,4,FALSE)&amp;$BK230,坦克属性分配比例,MATCH("升星次数",坦克属性分配比例标头,0),FALSE)*VLOOKUP($BJ230,$AR$3:$AY$33,MATCH(BT$3,$AR$3:$AY$3,0),FALSE),1)</f>
        <v>33.6</v>
      </c>
      <c r="BU230" s="2">
        <f>ROUND(VLOOKUP($BJ230,$AI$3:$AO$33,MATCH(BU$3,$AI$3:$AO$3,0),FALSE)+$BL230/VLOOKUP(VLOOKUP($BJ230,坦克个性化设定!$B$18:$E$48,4,FALSE)&amp;$BK230,坦克属性分配比例,MATCH("升星次数",坦克属性分配比例标头,0),FALSE)*VLOOKUP($BJ230,$AR$3:$AY$33,MATCH(BU$3,$AR$3:$AY$3,0),FALSE),1)</f>
        <v>6.3</v>
      </c>
      <c r="BV230" s="2">
        <f>IF(VLOOKUP(BJ230,坦克个性化设定!$B$18:$BC$48,MATCH("装弹类型",坦克个性化设定!$B$18:$BC$18,0),FALSE)="弹夹换弹",0,ROUND(VLOOKUP($BJ230,$AI$3:$AO$33,MATCH("换弹时间",$AI$3:$AO$3,0),FALSE)-$BL230/VLOOKUP(VLOOKUP($BJ230,坦克个性化设定!$B$18:$E$48,4,FALSE)&amp;$BK230,坦克属性分配比例,MATCH("升星次数",坦克属性分配比例标头,0),FALSE)*VLOOKUP($BJ230,$AR$3:$AY$33,MATCH("换弹时间",$AR$3:$AY$3,0),FALSE),2))</f>
        <v>6</v>
      </c>
      <c r="BW230" s="2">
        <f>IF(VLOOKUP(BJ230,坦克个性化设定!$B$18:$BC$48,MATCH("装弹类型",坦克个性化设定!$B$18:$BC$18,0),FALSE)="弹夹换弹",ROUND(VLOOKUP($BJ230,$AI$3:$AO$33,MATCH("换弹时间",$AI$3:$AO$3,0),FALSE)-$BL230/VLOOKUP(VLOOKUP($BJ230,坦克个性化设定!$B$18:$E$48,4,FALSE)&amp;$BK230,坦克属性分配比例,MATCH("升星次数",坦克属性分配比例标头,0),FALSE)*VLOOKUP($BJ230,$AR$3:$AY$33,MATCH("换弹时间",$AR$3:$AY$3,0),FALSE),1),0)</f>
        <v>0</v>
      </c>
      <c r="BX230" s="2">
        <f>ROUND(VLOOKUP($BJ230,$AI$3:$AO$33,MATCH(BX$3,$AI$3:$AO$3,0),FALSE)+$BL230/VLOOKUP(VLOOKUP($BJ230,坦克个性化设定!$B$18:$E$48,4,FALSE)&amp;$BK230,坦克属性分配比例,MATCH("升星次数",坦克属性分配比例标头,0),FALSE)*VLOOKUP($BJ230,$AR$3:$AY$33,MATCH(BX$3,$AR$3:$AY$3,0),FALSE),2)</f>
        <v>0</v>
      </c>
      <c r="BY230" s="2">
        <f>ROUND(VLOOKUP($BJ230,$AI$3:$AO$33,MATCH(BY$3,$AI$3:$AO$3,0),FALSE)-$BL230/VLOOKUP(VLOOKUP($BJ230,坦克个性化设定!$B$18:$E$48,4,FALSE)&amp;$BK230,坦克属性分配比例,MATCH("升星次数",坦克属性分配比例标头,0),FALSE)*VLOOKUP($BJ230,$AR$3:$AY$33,MATCH(BY$3,$AR$3:$AY$3,0),FALSE),2)</f>
        <v>3</v>
      </c>
    </row>
    <row r="231" spans="60:77" x14ac:dyDescent="0.3">
      <c r="BH231" s="2" t="str">
        <f t="shared" si="32"/>
        <v>黑豹1</v>
      </c>
      <c r="BI231" s="2">
        <f>IF(BL230&gt;=VLOOKUP(VLOOKUP(BJ230,坦克个性化设定!$B$18:$E$48,4,FALSE)&amp;BK230,坦克属性分配比例,MATCH("升星次数",坦克属性分配比例标头,0),FALSE),BI230+1,BI230)</f>
        <v>24</v>
      </c>
      <c r="BJ231" s="2" t="str">
        <f t="shared" si="33"/>
        <v>黑豹</v>
      </c>
      <c r="BK231" s="29" t="str">
        <f>VLOOKUP(BJ231,坦克个性化细分!$I$3:$J$33,2,FALSE)</f>
        <v>低</v>
      </c>
      <c r="BL231" s="2">
        <f t="shared" si="34"/>
        <v>1</v>
      </c>
      <c r="BM231" s="103">
        <f ca="1">ROUND(VLOOKUP($BJ231&amp;"初始",$S$3:$AE$63,MATCH(BM$3,$S$3:$AE$3,0),FALSE)+((VLOOKUP($BJ231&amp;"最终",$S$3:$AE$63,MATCH(BM$3,$S$3:$AE$3,0),FALSE)*坦克个性化细分!$C$9-VLOOKUP($BJ231&amp;"初始",$S$3:$AE$63,MATCH(BM$3,$S$3:$AE$3,0),FALSE))-(VLOOKUP($BJ231&amp;"最终",$S$3:$AE$63,MATCH(BM$3,$S$3:$AE$3,0),FALSE)-VLOOKUP($BJ231&amp;"初始",$S$3:$AE$63,MATCH(BM$3,$S$3:$AE$3,0),FALSE))*VLOOKUP(VLOOKUP($BJ231,坦克个性化设定!$B$18:$E$48,4,FALSE)&amp;$BK231,坦克属性分配比例,MATCH("部件比例",坦克属性分配比例标头,0),FALSE))*$BL231/VLOOKUP(VLOOKUP($BJ231,坦克个性化设定!$B$18:$E$48,4,FALSE)&amp;$BK231,坦克属性分配比例,MATCH("升星次数",坦克属性分配比例标头,0),FALSE),0)</f>
        <v>1532</v>
      </c>
      <c r="BN231" s="103">
        <f ca="1">ROUND(VLOOKUP($BJ231&amp;"初始",$S$3:$AE$63,MATCH(BN$3,$S$3:$AE$3,0),FALSE)+(VLOOKUP($BJ231&amp;"最终",$S$3:$AE$63,MATCH(BN$3,$S$3:$AE$3,0),FALSE)-VLOOKUP($BJ231&amp;"初始",$S$3:$AE$63,MATCH(BN$3,$S$3:$AE$3,0),FALSE))*$BL231/VLOOKUP(VLOOKUP($BJ231,坦克个性化设定!$B$18:$E$48,4,FALSE)&amp;$BK231,坦克属性分配比例,MATCH("升星次数",坦克属性分配比例标头,0),FALSE)*VLOOKUP(VLOOKUP($BJ231,坦克个性化设定!$B$18:$E$48,4,FALSE)&amp;$BK231,坦克属性分配比例,MATCH("升星比例",坦克属性分配比例标头,0),FALSE),0)</f>
        <v>537</v>
      </c>
      <c r="BO231" s="103">
        <f ca="1">ROUND(VLOOKUP($BJ231&amp;"初始",$S$3:$AE$63,MATCH(BO$3,$S$3:$AE$3,0),FALSE)+(VLOOKUP($BJ231&amp;"最终",$S$3:$AE$63,MATCH(BO$3,$S$3:$AE$3,0),FALSE)-VLOOKUP($BJ231&amp;"初始",$S$3:$AE$63,MATCH(BO$3,$S$3:$AE$3,0),FALSE))*$BL231/VLOOKUP(VLOOKUP($BJ231,坦克个性化设定!$B$18:$E$48,4,FALSE)&amp;$BK231,坦克属性分配比例,MATCH("升星次数",坦克属性分配比例标头,0),FALSE)*(VLOOKUP(VLOOKUP($BJ231,坦克个性化设定!$B$18:$E$48,4,FALSE)&amp;$BK231,坦克属性分配比例,MATCH("升星比例",坦克属性分配比例标头,0),FALSE)+VLOOKUP(VLOOKUP($BJ231,坦克个性化设定!$B$18:$E$48,4,FALSE)&amp;$BK231,坦克属性分配比例,MATCH("部件比例",坦克属性分配比例标头,0),FALSE)*$C$3),0)</f>
        <v>485</v>
      </c>
      <c r="BP231" s="103">
        <f ca="1">ROUND(VLOOKUP($BJ231&amp;"初始",$S$3:$AE$63,MATCH(BP$3,$S$3:$AE$3,0),FALSE)+(VLOOKUP($BJ231&amp;"最终",$S$3:$AE$63,MATCH(BP$3,$S$3:$AE$3,0),FALSE)-VLOOKUP($BJ231&amp;"初始",$S$3:$AE$63,MATCH(BP$3,$S$3:$AE$3,0),FALSE))*$BL231/VLOOKUP(VLOOKUP($BJ231,坦克个性化设定!$B$18:$E$48,4,FALSE)&amp;$BK231,坦克属性分配比例,MATCH("升星次数",坦克属性分配比例标头,0),FALSE)*(VLOOKUP(VLOOKUP($BJ231,坦克个性化设定!$B$18:$E$48,4,FALSE)&amp;$BK231,坦克属性分配比例,MATCH("升星比例",坦克属性分配比例标头,0),FALSE)+VLOOKUP(VLOOKUP($BJ231,坦克个性化设定!$B$18:$E$48,4,FALSE)&amp;$BK231,坦克属性分配比例,MATCH("部件比例",坦克属性分配比例标头,0),FALSE)*$C$3),0)</f>
        <v>388</v>
      </c>
      <c r="BQ231" s="103">
        <f ca="1">ROUND(VLOOKUP($BJ231&amp;"初始",$S$3:$AE$63,MATCH(BQ$3,$S$3:$AE$3,0),FALSE)+(VLOOKUP($BJ231&amp;"最终",$S$3:$AE$63,MATCH(BQ$3,$S$3:$AE$3,0),FALSE)-VLOOKUP($BJ231&amp;"初始",$S$3:$AE$63,MATCH(BQ$3,$S$3:$AE$3,0),FALSE))*$BL231/VLOOKUP(VLOOKUP($BJ231,坦克个性化设定!$B$18:$E$48,4,FALSE)&amp;$BK231,坦克属性分配比例,MATCH("升星次数",坦克属性分配比例标头,0),FALSE)*VLOOKUP(VLOOKUP($BJ231,坦克个性化设定!$B$18:$E$48,4,FALSE)&amp;$BK231,坦克属性分配比例,MATCH("升星比例",坦克属性分配比例标头,0),FALSE),0)</f>
        <v>641</v>
      </c>
      <c r="BR231" s="2">
        <f ca="1">ROUND(VLOOKUP($BJ231&amp;"初始",$S$3:$AE$63,MATCH(BR$3,$S$3:$AE$3,0),FALSE)+(VLOOKUP($BJ231&amp;"最终",$S$3:$AE$63,MATCH(BR$3,$S$3:$AE$3,0),FALSE)-VLOOKUP($BJ231&amp;"初始",$S$3:$AE$63,MATCH(BR$3,$S$3:$AE$3,0),FALSE))*$BL231/VLOOKUP(VLOOKUP($BJ231,坦克个性化设定!$B$18:$E$48,4,FALSE)&amp;$BK231,坦克属性分配比例,MATCH("升星次数",坦克属性分配比例标头,0),FALSE),0)</f>
        <v>152</v>
      </c>
      <c r="BS231" s="2">
        <f>ROUND(VLOOKUP($BJ231,$AI$3:$AO$33,MATCH(BS$3,$AI$3:$AO$3,0),FALSE)+$BL231/VLOOKUP(VLOOKUP($BJ231,坦克个性化设定!$B$18:$E$48,4,FALSE)&amp;$BK231,坦克属性分配比例,MATCH("升星次数",坦克属性分配比例标头,0),FALSE)*VLOOKUP($BJ231,$AR$3:$AY$33,MATCH(BS$3,$AR$3:$AY$3,0),FALSE),1)</f>
        <v>31.6</v>
      </c>
      <c r="BT231" s="2">
        <f>ROUND(VLOOKUP($BJ231,$AI$3:$AO$33,MATCH(BT$3,$AI$3:$AO$3,0),FALSE)+$BL231/VLOOKUP(VLOOKUP($BJ231,坦克个性化设定!$B$18:$E$48,4,FALSE)&amp;$BK231,坦克属性分配比例,MATCH("升星次数",坦克属性分配比例标头,0),FALSE)*VLOOKUP($BJ231,$AR$3:$AY$33,MATCH(BT$3,$AR$3:$AY$3,0),FALSE),1)</f>
        <v>34.5</v>
      </c>
      <c r="BU231" s="2">
        <f>ROUND(VLOOKUP($BJ231,$AI$3:$AO$33,MATCH(BU$3,$AI$3:$AO$3,0),FALSE)+$BL231/VLOOKUP(VLOOKUP($BJ231,坦克个性化设定!$B$18:$E$48,4,FALSE)&amp;$BK231,坦克属性分配比例,MATCH("升星次数",坦克属性分配比例标头,0),FALSE)*VLOOKUP($BJ231,$AR$3:$AY$33,MATCH(BU$3,$AR$3:$AY$3,0),FALSE),1)</f>
        <v>6.3</v>
      </c>
      <c r="BV231" s="2">
        <f>IF(VLOOKUP(BJ231,坦克个性化设定!$B$18:$BC$48,MATCH("装弹类型",坦克个性化设定!$B$18:$BC$18,0),FALSE)="弹夹换弹",0,ROUND(VLOOKUP($BJ231,$AI$3:$AO$33,MATCH("换弹时间",$AI$3:$AO$3,0),FALSE)-$BL231/VLOOKUP(VLOOKUP($BJ231,坦克个性化设定!$B$18:$E$48,4,FALSE)&amp;$BK231,坦克属性分配比例,MATCH("升星次数",坦克属性分配比例标头,0),FALSE)*VLOOKUP($BJ231,$AR$3:$AY$33,MATCH("换弹时间",$AR$3:$AY$3,0),FALSE),2))</f>
        <v>5.91</v>
      </c>
      <c r="BW231" s="2">
        <f>IF(VLOOKUP(BJ231,坦克个性化设定!$B$18:$BC$48,MATCH("装弹类型",坦克个性化设定!$B$18:$BC$18,0),FALSE)="弹夹换弹",ROUND(VLOOKUP($BJ231,$AI$3:$AO$33,MATCH("换弹时间",$AI$3:$AO$3,0),FALSE)-$BL231/VLOOKUP(VLOOKUP($BJ231,坦克个性化设定!$B$18:$E$48,4,FALSE)&amp;$BK231,坦克属性分配比例,MATCH("升星次数",坦克属性分配比例标头,0),FALSE)*VLOOKUP($BJ231,$AR$3:$AY$33,MATCH("换弹时间",$AR$3:$AY$3,0),FALSE),1),0)</f>
        <v>0</v>
      </c>
      <c r="BX231" s="2">
        <f>ROUND(VLOOKUP($BJ231,$AI$3:$AO$33,MATCH(BX$3,$AI$3:$AO$3,0),FALSE)+$BL231/VLOOKUP(VLOOKUP($BJ231,坦克个性化设定!$B$18:$E$48,4,FALSE)&amp;$BK231,坦克属性分配比例,MATCH("升星次数",坦克属性分配比例标头,0),FALSE)*VLOOKUP($BJ231,$AR$3:$AY$33,MATCH(BX$3,$AR$3:$AY$3,0),FALSE),2)</f>
        <v>0</v>
      </c>
      <c r="BY231" s="2">
        <f>ROUND(VLOOKUP($BJ231,$AI$3:$AO$33,MATCH(BY$3,$AI$3:$AO$3,0),FALSE)-$BL231/VLOOKUP(VLOOKUP($BJ231,坦克个性化设定!$B$18:$E$48,4,FALSE)&amp;$BK231,坦克属性分配比例,MATCH("升星次数",坦克属性分配比例标头,0),FALSE)*VLOOKUP($BJ231,$AR$3:$AY$33,MATCH(BY$3,$AR$3:$AY$3,0),FALSE),2)</f>
        <v>2.94</v>
      </c>
    </row>
    <row r="232" spans="60:77" x14ac:dyDescent="0.3">
      <c r="BH232" s="2" t="str">
        <f t="shared" si="32"/>
        <v>黑豹2</v>
      </c>
      <c r="BI232" s="2">
        <f>IF(BL231&gt;=VLOOKUP(VLOOKUP(BJ231,坦克个性化设定!$B$18:$E$48,4,FALSE)&amp;BK231,坦克属性分配比例,MATCH("升星次数",坦克属性分配比例标头,0),FALSE),BI231+1,BI231)</f>
        <v>24</v>
      </c>
      <c r="BJ232" s="2" t="str">
        <f t="shared" si="33"/>
        <v>黑豹</v>
      </c>
      <c r="BK232" s="29" t="str">
        <f>VLOOKUP(BJ232,坦克个性化细分!$I$3:$J$33,2,FALSE)</f>
        <v>低</v>
      </c>
      <c r="BL232" s="2">
        <f t="shared" si="34"/>
        <v>2</v>
      </c>
      <c r="BM232" s="103">
        <f ca="1">ROUND(VLOOKUP($BJ232&amp;"初始",$S$3:$AE$63,MATCH(BM$3,$S$3:$AE$3,0),FALSE)+((VLOOKUP($BJ232&amp;"最终",$S$3:$AE$63,MATCH(BM$3,$S$3:$AE$3,0),FALSE)*坦克个性化细分!$C$9-VLOOKUP($BJ232&amp;"初始",$S$3:$AE$63,MATCH(BM$3,$S$3:$AE$3,0),FALSE))-(VLOOKUP($BJ232&amp;"最终",$S$3:$AE$63,MATCH(BM$3,$S$3:$AE$3,0),FALSE)-VLOOKUP($BJ232&amp;"初始",$S$3:$AE$63,MATCH(BM$3,$S$3:$AE$3,0),FALSE))*VLOOKUP(VLOOKUP($BJ232,坦克个性化设定!$B$18:$E$48,4,FALSE)&amp;$BK232,坦克属性分配比例,MATCH("部件比例",坦克属性分配比例标头,0),FALSE))*$BL232/VLOOKUP(VLOOKUP($BJ232,坦克个性化设定!$B$18:$E$48,4,FALSE)&amp;$BK232,坦克属性分配比例,MATCH("升星次数",坦克属性分配比例标头,0),FALSE),0)</f>
        <v>1609</v>
      </c>
      <c r="BN232" s="103">
        <f ca="1">ROUND(VLOOKUP($BJ232&amp;"初始",$S$3:$AE$63,MATCH(BN$3,$S$3:$AE$3,0),FALSE)+(VLOOKUP($BJ232&amp;"最终",$S$3:$AE$63,MATCH(BN$3,$S$3:$AE$3,0),FALSE)-VLOOKUP($BJ232&amp;"初始",$S$3:$AE$63,MATCH(BN$3,$S$3:$AE$3,0),FALSE))*$BL232/VLOOKUP(VLOOKUP($BJ232,坦克个性化设定!$B$18:$E$48,4,FALSE)&amp;$BK232,坦克属性分配比例,MATCH("升星次数",坦克属性分配比例标头,0),FALSE)*VLOOKUP(VLOOKUP($BJ232,坦克个性化设定!$B$18:$E$48,4,FALSE)&amp;$BK232,坦克属性分配比例,MATCH("升星比例",坦克属性分配比例标头,0),FALSE),0)</f>
        <v>554</v>
      </c>
      <c r="BO232" s="103">
        <f ca="1">ROUND(VLOOKUP($BJ232&amp;"初始",$S$3:$AE$63,MATCH(BO$3,$S$3:$AE$3,0),FALSE)+(VLOOKUP($BJ232&amp;"最终",$S$3:$AE$63,MATCH(BO$3,$S$3:$AE$3,0),FALSE)-VLOOKUP($BJ232&amp;"初始",$S$3:$AE$63,MATCH(BO$3,$S$3:$AE$3,0),FALSE))*$BL232/VLOOKUP(VLOOKUP($BJ232,坦克个性化设定!$B$18:$E$48,4,FALSE)&amp;$BK232,坦克属性分配比例,MATCH("升星次数",坦克属性分配比例标头,0),FALSE)*(VLOOKUP(VLOOKUP($BJ232,坦克个性化设定!$B$18:$E$48,4,FALSE)&amp;$BK232,坦克属性分配比例,MATCH("升星比例",坦克属性分配比例标头,0),FALSE)+VLOOKUP(VLOOKUP($BJ232,坦克个性化设定!$B$18:$E$48,4,FALSE)&amp;$BK232,坦克属性分配比例,MATCH("部件比例",坦克属性分配比例标头,0),FALSE)*$C$3),0)</f>
        <v>506</v>
      </c>
      <c r="BP232" s="103">
        <f ca="1">ROUND(VLOOKUP($BJ232&amp;"初始",$S$3:$AE$63,MATCH(BP$3,$S$3:$AE$3,0),FALSE)+(VLOOKUP($BJ232&amp;"最终",$S$3:$AE$63,MATCH(BP$3,$S$3:$AE$3,0),FALSE)-VLOOKUP($BJ232&amp;"初始",$S$3:$AE$63,MATCH(BP$3,$S$3:$AE$3,0),FALSE))*$BL232/VLOOKUP(VLOOKUP($BJ232,坦克个性化设定!$B$18:$E$48,4,FALSE)&amp;$BK232,坦克属性分配比例,MATCH("升星次数",坦克属性分配比例标头,0),FALSE)*(VLOOKUP(VLOOKUP($BJ232,坦克个性化设定!$B$18:$E$48,4,FALSE)&amp;$BK232,坦克属性分配比例,MATCH("升星比例",坦克属性分配比例标头,0),FALSE)+VLOOKUP(VLOOKUP($BJ232,坦克个性化设定!$B$18:$E$48,4,FALSE)&amp;$BK232,坦克属性分配比例,MATCH("部件比例",坦克属性分配比例标头,0),FALSE)*$C$3),0)</f>
        <v>404</v>
      </c>
      <c r="BQ232" s="103">
        <f ca="1">ROUND(VLOOKUP($BJ232&amp;"初始",$S$3:$AE$63,MATCH(BQ$3,$S$3:$AE$3,0),FALSE)+(VLOOKUP($BJ232&amp;"最终",$S$3:$AE$63,MATCH(BQ$3,$S$3:$AE$3,0),FALSE)-VLOOKUP($BJ232&amp;"初始",$S$3:$AE$63,MATCH(BQ$3,$S$3:$AE$3,0),FALSE))*$BL232/VLOOKUP(VLOOKUP($BJ232,坦克个性化设定!$B$18:$E$48,4,FALSE)&amp;$BK232,坦克属性分配比例,MATCH("升星次数",坦克属性分配比例标头,0),FALSE)*VLOOKUP(VLOOKUP($BJ232,坦克个性化设定!$B$18:$E$48,4,FALSE)&amp;$BK232,坦克属性分配比例,MATCH("升星比例",坦克属性分配比例标头,0),FALSE),0)</f>
        <v>661</v>
      </c>
      <c r="BR232" s="2">
        <f ca="1">ROUND(VLOOKUP($BJ232&amp;"初始",$S$3:$AE$63,MATCH(BR$3,$S$3:$AE$3,0),FALSE)+(VLOOKUP($BJ232&amp;"最终",$S$3:$AE$63,MATCH(BR$3,$S$3:$AE$3,0),FALSE)-VLOOKUP($BJ232&amp;"初始",$S$3:$AE$63,MATCH(BR$3,$S$3:$AE$3,0),FALSE))*$BL232/VLOOKUP(VLOOKUP($BJ232,坦克个性化设定!$B$18:$E$48,4,FALSE)&amp;$BK232,坦克属性分配比例,MATCH("升星次数",坦克属性分配比例标头,0),FALSE),0)</f>
        <v>160</v>
      </c>
      <c r="BS232" s="2">
        <f>ROUND(VLOOKUP($BJ232,$AI$3:$AO$33,MATCH(BS$3,$AI$3:$AO$3,0),FALSE)+$BL232/VLOOKUP(VLOOKUP($BJ232,坦克个性化设定!$B$18:$E$48,4,FALSE)&amp;$BK232,坦克属性分配比例,MATCH("升星次数",坦克属性分配比例标头,0),FALSE)*VLOOKUP($BJ232,$AR$3:$AY$33,MATCH(BS$3,$AR$3:$AY$3,0),FALSE),1)</f>
        <v>32.4</v>
      </c>
      <c r="BT232" s="2">
        <f>ROUND(VLOOKUP($BJ232,$AI$3:$AO$33,MATCH(BT$3,$AI$3:$AO$3,0),FALSE)+$BL232/VLOOKUP(VLOOKUP($BJ232,坦克个性化设定!$B$18:$E$48,4,FALSE)&amp;$BK232,坦克属性分配比例,MATCH("升星次数",坦克属性分配比例标头,0),FALSE)*VLOOKUP($BJ232,$AR$3:$AY$33,MATCH(BT$3,$AR$3:$AY$3,0),FALSE),1)</f>
        <v>35.5</v>
      </c>
      <c r="BU232" s="2">
        <f>ROUND(VLOOKUP($BJ232,$AI$3:$AO$33,MATCH(BU$3,$AI$3:$AO$3,0),FALSE)+$BL232/VLOOKUP(VLOOKUP($BJ232,坦克个性化设定!$B$18:$E$48,4,FALSE)&amp;$BK232,坦克属性分配比例,MATCH("升星次数",坦克属性分配比例标头,0),FALSE)*VLOOKUP($BJ232,$AR$3:$AY$33,MATCH(BU$3,$AR$3:$AY$3,0),FALSE),1)</f>
        <v>6.3</v>
      </c>
      <c r="BV232" s="2">
        <f>IF(VLOOKUP(BJ232,坦克个性化设定!$B$18:$BC$48,MATCH("装弹类型",坦克个性化设定!$B$18:$BC$18,0),FALSE)="弹夹换弹",0,ROUND(VLOOKUP($BJ232,$AI$3:$AO$33,MATCH("换弹时间",$AI$3:$AO$3,0),FALSE)-$BL232/VLOOKUP(VLOOKUP($BJ232,坦克个性化设定!$B$18:$E$48,4,FALSE)&amp;$BK232,坦克属性分配比例,MATCH("升星次数",坦克属性分配比例标头,0),FALSE)*VLOOKUP($BJ232,$AR$3:$AY$33,MATCH("换弹时间",$AR$3:$AY$3,0),FALSE),2))</f>
        <v>5.81</v>
      </c>
      <c r="BW232" s="2">
        <f>IF(VLOOKUP(BJ232,坦克个性化设定!$B$18:$BC$48,MATCH("装弹类型",坦克个性化设定!$B$18:$BC$18,0),FALSE)="弹夹换弹",ROUND(VLOOKUP($BJ232,$AI$3:$AO$33,MATCH("换弹时间",$AI$3:$AO$3,0),FALSE)-$BL232/VLOOKUP(VLOOKUP($BJ232,坦克个性化设定!$B$18:$E$48,4,FALSE)&amp;$BK232,坦克属性分配比例,MATCH("升星次数",坦克属性分配比例标头,0),FALSE)*VLOOKUP($BJ232,$AR$3:$AY$33,MATCH("换弹时间",$AR$3:$AY$3,0),FALSE),1),0)</f>
        <v>0</v>
      </c>
      <c r="BX232" s="2">
        <f>ROUND(VLOOKUP($BJ232,$AI$3:$AO$33,MATCH(BX$3,$AI$3:$AO$3,0),FALSE)+$BL232/VLOOKUP(VLOOKUP($BJ232,坦克个性化设定!$B$18:$E$48,4,FALSE)&amp;$BK232,坦克属性分配比例,MATCH("升星次数",坦克属性分配比例标头,0),FALSE)*VLOOKUP($BJ232,$AR$3:$AY$33,MATCH(BX$3,$AR$3:$AY$3,0),FALSE),2)</f>
        <v>0</v>
      </c>
      <c r="BY232" s="2">
        <f>ROUND(VLOOKUP($BJ232,$AI$3:$AO$33,MATCH(BY$3,$AI$3:$AO$3,0),FALSE)-$BL232/VLOOKUP(VLOOKUP($BJ232,坦克个性化设定!$B$18:$E$48,4,FALSE)&amp;$BK232,坦克属性分配比例,MATCH("升星次数",坦克属性分配比例标头,0),FALSE)*VLOOKUP($BJ232,$AR$3:$AY$33,MATCH(BY$3,$AR$3:$AY$3,0),FALSE),2)</f>
        <v>2.89</v>
      </c>
    </row>
    <row r="233" spans="60:77" x14ac:dyDescent="0.3">
      <c r="BH233" s="2" t="str">
        <f t="shared" si="32"/>
        <v>黑豹3</v>
      </c>
      <c r="BI233" s="2">
        <f>IF(BL232&gt;=VLOOKUP(VLOOKUP(BJ232,坦克个性化设定!$B$18:$E$48,4,FALSE)&amp;BK232,坦克属性分配比例,MATCH("升星次数",坦克属性分配比例标头,0),FALSE),BI232+1,BI232)</f>
        <v>24</v>
      </c>
      <c r="BJ233" s="2" t="str">
        <f t="shared" si="33"/>
        <v>黑豹</v>
      </c>
      <c r="BK233" s="29" t="str">
        <f>VLOOKUP(BJ233,坦克个性化细分!$I$3:$J$33,2,FALSE)</f>
        <v>低</v>
      </c>
      <c r="BL233" s="2">
        <f t="shared" si="34"/>
        <v>3</v>
      </c>
      <c r="BM233" s="103">
        <f ca="1">ROUND(VLOOKUP($BJ233&amp;"初始",$S$3:$AE$63,MATCH(BM$3,$S$3:$AE$3,0),FALSE)+((VLOOKUP($BJ233&amp;"最终",$S$3:$AE$63,MATCH(BM$3,$S$3:$AE$3,0),FALSE)*坦克个性化细分!$C$9-VLOOKUP($BJ233&amp;"初始",$S$3:$AE$63,MATCH(BM$3,$S$3:$AE$3,0),FALSE))-(VLOOKUP($BJ233&amp;"最终",$S$3:$AE$63,MATCH(BM$3,$S$3:$AE$3,0),FALSE)-VLOOKUP($BJ233&amp;"初始",$S$3:$AE$63,MATCH(BM$3,$S$3:$AE$3,0),FALSE))*VLOOKUP(VLOOKUP($BJ233,坦克个性化设定!$B$18:$E$48,4,FALSE)&amp;$BK233,坦克属性分配比例,MATCH("部件比例",坦克属性分配比例标头,0),FALSE))*$BL233/VLOOKUP(VLOOKUP($BJ233,坦克个性化设定!$B$18:$E$48,4,FALSE)&amp;$BK233,坦克属性分配比例,MATCH("升星次数",坦克属性分配比例标头,0),FALSE),0)</f>
        <v>1686</v>
      </c>
      <c r="BN233" s="103">
        <f ca="1">ROUND(VLOOKUP($BJ233&amp;"初始",$S$3:$AE$63,MATCH(BN$3,$S$3:$AE$3,0),FALSE)+(VLOOKUP($BJ233&amp;"最终",$S$3:$AE$63,MATCH(BN$3,$S$3:$AE$3,0),FALSE)-VLOOKUP($BJ233&amp;"初始",$S$3:$AE$63,MATCH(BN$3,$S$3:$AE$3,0),FALSE))*$BL233/VLOOKUP(VLOOKUP($BJ233,坦克个性化设定!$B$18:$E$48,4,FALSE)&amp;$BK233,坦克属性分配比例,MATCH("升星次数",坦克属性分配比例标头,0),FALSE)*VLOOKUP(VLOOKUP($BJ233,坦克个性化设定!$B$18:$E$48,4,FALSE)&amp;$BK233,坦克属性分配比例,MATCH("升星比例",坦克属性分配比例标头,0),FALSE),0)</f>
        <v>570</v>
      </c>
      <c r="BO233" s="103">
        <f ca="1">ROUND(VLOOKUP($BJ233&amp;"初始",$S$3:$AE$63,MATCH(BO$3,$S$3:$AE$3,0),FALSE)+(VLOOKUP($BJ233&amp;"最终",$S$3:$AE$63,MATCH(BO$3,$S$3:$AE$3,0),FALSE)-VLOOKUP($BJ233&amp;"初始",$S$3:$AE$63,MATCH(BO$3,$S$3:$AE$3,0),FALSE))*$BL233/VLOOKUP(VLOOKUP($BJ233,坦克个性化设定!$B$18:$E$48,4,FALSE)&amp;$BK233,坦克属性分配比例,MATCH("升星次数",坦克属性分配比例标头,0),FALSE)*(VLOOKUP(VLOOKUP($BJ233,坦克个性化设定!$B$18:$E$48,4,FALSE)&amp;$BK233,坦克属性分配比例,MATCH("升星比例",坦克属性分配比例标头,0),FALSE)+VLOOKUP(VLOOKUP($BJ233,坦克个性化设定!$B$18:$E$48,4,FALSE)&amp;$BK233,坦克属性分配比例,MATCH("部件比例",坦克属性分配比例标头,0),FALSE)*$C$3),0)</f>
        <v>526</v>
      </c>
      <c r="BP233" s="103">
        <f ca="1">ROUND(VLOOKUP($BJ233&amp;"初始",$S$3:$AE$63,MATCH(BP$3,$S$3:$AE$3,0),FALSE)+(VLOOKUP($BJ233&amp;"最终",$S$3:$AE$63,MATCH(BP$3,$S$3:$AE$3,0),FALSE)-VLOOKUP($BJ233&amp;"初始",$S$3:$AE$63,MATCH(BP$3,$S$3:$AE$3,0),FALSE))*$BL233/VLOOKUP(VLOOKUP($BJ233,坦克个性化设定!$B$18:$E$48,4,FALSE)&amp;$BK233,坦克属性分配比例,MATCH("升星次数",坦克属性分配比例标头,0),FALSE)*(VLOOKUP(VLOOKUP($BJ233,坦克个性化设定!$B$18:$E$48,4,FALSE)&amp;$BK233,坦克属性分配比例,MATCH("升星比例",坦克属性分配比例标头,0),FALSE)+VLOOKUP(VLOOKUP($BJ233,坦克个性化设定!$B$18:$E$48,4,FALSE)&amp;$BK233,坦克属性分配比例,MATCH("部件比例",坦克属性分配比例标头,0),FALSE)*$C$3),0)</f>
        <v>421</v>
      </c>
      <c r="BQ233" s="103">
        <f ca="1">ROUND(VLOOKUP($BJ233&amp;"初始",$S$3:$AE$63,MATCH(BQ$3,$S$3:$AE$3,0),FALSE)+(VLOOKUP($BJ233&amp;"最终",$S$3:$AE$63,MATCH(BQ$3,$S$3:$AE$3,0),FALSE)-VLOOKUP($BJ233&amp;"初始",$S$3:$AE$63,MATCH(BQ$3,$S$3:$AE$3,0),FALSE))*$BL233/VLOOKUP(VLOOKUP($BJ233,坦克个性化设定!$B$18:$E$48,4,FALSE)&amp;$BK233,坦克属性分配比例,MATCH("升星次数",坦克属性分配比例标头,0),FALSE)*VLOOKUP(VLOOKUP($BJ233,坦克个性化设定!$B$18:$E$48,4,FALSE)&amp;$BK233,坦克属性分配比例,MATCH("升星比例",坦克属性分配比例标头,0),FALSE),0)</f>
        <v>680</v>
      </c>
      <c r="BR233" s="2">
        <f ca="1">ROUND(VLOOKUP($BJ233&amp;"初始",$S$3:$AE$63,MATCH(BR$3,$S$3:$AE$3,0),FALSE)+(VLOOKUP($BJ233&amp;"最终",$S$3:$AE$63,MATCH(BR$3,$S$3:$AE$3,0),FALSE)-VLOOKUP($BJ233&amp;"初始",$S$3:$AE$63,MATCH(BR$3,$S$3:$AE$3,0),FALSE))*$BL233/VLOOKUP(VLOOKUP($BJ233,坦克个性化设定!$B$18:$E$48,4,FALSE)&amp;$BK233,坦克属性分配比例,MATCH("升星次数",坦克属性分配比例标头,0),FALSE),0)</f>
        <v>167</v>
      </c>
      <c r="BS233" s="2">
        <f>ROUND(VLOOKUP($BJ233,$AI$3:$AO$33,MATCH(BS$3,$AI$3:$AO$3,0),FALSE)+$BL233/VLOOKUP(VLOOKUP($BJ233,坦克个性化设定!$B$18:$E$48,4,FALSE)&amp;$BK233,坦克属性分配比例,MATCH("升星次数",坦克属性分配比例标头,0),FALSE)*VLOOKUP($BJ233,$AR$3:$AY$33,MATCH(BS$3,$AR$3:$AY$3,0),FALSE),1)</f>
        <v>33.299999999999997</v>
      </c>
      <c r="BT233" s="2">
        <f>ROUND(VLOOKUP($BJ233,$AI$3:$AO$33,MATCH(BT$3,$AI$3:$AO$3,0),FALSE)+$BL233/VLOOKUP(VLOOKUP($BJ233,坦克个性化设定!$B$18:$E$48,4,FALSE)&amp;$BK233,坦克属性分配比例,MATCH("升星次数",坦克属性分配比例标头,0),FALSE)*VLOOKUP($BJ233,$AR$3:$AY$33,MATCH(BT$3,$AR$3:$AY$3,0),FALSE),1)</f>
        <v>36.4</v>
      </c>
      <c r="BU233" s="2">
        <f>ROUND(VLOOKUP($BJ233,$AI$3:$AO$33,MATCH(BU$3,$AI$3:$AO$3,0),FALSE)+$BL233/VLOOKUP(VLOOKUP($BJ233,坦克个性化设定!$B$18:$E$48,4,FALSE)&amp;$BK233,坦克属性分配比例,MATCH("升星次数",坦克属性分配比例标头,0),FALSE)*VLOOKUP($BJ233,$AR$3:$AY$33,MATCH(BU$3,$AR$3:$AY$3,0),FALSE),1)</f>
        <v>6.3</v>
      </c>
      <c r="BV233" s="2">
        <f>IF(VLOOKUP(BJ233,坦克个性化设定!$B$18:$BC$48,MATCH("装弹类型",坦克个性化设定!$B$18:$BC$18,0),FALSE)="弹夹换弹",0,ROUND(VLOOKUP($BJ233,$AI$3:$AO$33,MATCH("换弹时间",$AI$3:$AO$3,0),FALSE)-$BL233/VLOOKUP(VLOOKUP($BJ233,坦克个性化设定!$B$18:$E$48,4,FALSE)&amp;$BK233,坦克属性分配比例,MATCH("升星次数",坦克属性分配比例标头,0),FALSE)*VLOOKUP($BJ233,$AR$3:$AY$33,MATCH("换弹时间",$AR$3:$AY$3,0),FALSE),2))</f>
        <v>5.72</v>
      </c>
      <c r="BW233" s="2">
        <f>IF(VLOOKUP(BJ233,坦克个性化设定!$B$18:$BC$48,MATCH("装弹类型",坦克个性化设定!$B$18:$BC$18,0),FALSE)="弹夹换弹",ROUND(VLOOKUP($BJ233,$AI$3:$AO$33,MATCH("换弹时间",$AI$3:$AO$3,0),FALSE)-$BL233/VLOOKUP(VLOOKUP($BJ233,坦克个性化设定!$B$18:$E$48,4,FALSE)&amp;$BK233,坦克属性分配比例,MATCH("升星次数",坦克属性分配比例标头,0),FALSE)*VLOOKUP($BJ233,$AR$3:$AY$33,MATCH("换弹时间",$AR$3:$AY$3,0),FALSE),1),0)</f>
        <v>0</v>
      </c>
      <c r="BX233" s="2">
        <f>ROUND(VLOOKUP($BJ233,$AI$3:$AO$33,MATCH(BX$3,$AI$3:$AO$3,0),FALSE)+$BL233/VLOOKUP(VLOOKUP($BJ233,坦克个性化设定!$B$18:$E$48,4,FALSE)&amp;$BK233,坦克属性分配比例,MATCH("升星次数",坦克属性分配比例标头,0),FALSE)*VLOOKUP($BJ233,$AR$3:$AY$33,MATCH(BX$3,$AR$3:$AY$3,0),FALSE),2)</f>
        <v>0</v>
      </c>
      <c r="BY233" s="2">
        <f>ROUND(VLOOKUP($BJ233,$AI$3:$AO$33,MATCH(BY$3,$AI$3:$AO$3,0),FALSE)-$BL233/VLOOKUP(VLOOKUP($BJ233,坦克个性化设定!$B$18:$E$48,4,FALSE)&amp;$BK233,坦克属性分配比例,MATCH("升星次数",坦克属性分配比例标头,0),FALSE)*VLOOKUP($BJ233,$AR$3:$AY$33,MATCH(BY$3,$AR$3:$AY$3,0),FALSE),2)</f>
        <v>2.83</v>
      </c>
    </row>
    <row r="234" spans="60:77" x14ac:dyDescent="0.3">
      <c r="BH234" s="2" t="str">
        <f t="shared" si="32"/>
        <v>黑豹4</v>
      </c>
      <c r="BI234" s="2">
        <f>IF(BL233&gt;=VLOOKUP(VLOOKUP(BJ233,坦克个性化设定!$B$18:$E$48,4,FALSE)&amp;BK233,坦克属性分配比例,MATCH("升星次数",坦克属性分配比例标头,0),FALSE),BI233+1,BI233)</f>
        <v>24</v>
      </c>
      <c r="BJ234" s="2" t="str">
        <f t="shared" si="33"/>
        <v>黑豹</v>
      </c>
      <c r="BK234" s="29" t="str">
        <f>VLOOKUP(BJ234,坦克个性化细分!$I$3:$J$33,2,FALSE)</f>
        <v>低</v>
      </c>
      <c r="BL234" s="2">
        <f t="shared" si="34"/>
        <v>4</v>
      </c>
      <c r="BM234" s="103">
        <f ca="1">ROUND(VLOOKUP($BJ234&amp;"初始",$S$3:$AE$63,MATCH(BM$3,$S$3:$AE$3,0),FALSE)+((VLOOKUP($BJ234&amp;"最终",$S$3:$AE$63,MATCH(BM$3,$S$3:$AE$3,0),FALSE)*坦克个性化细分!$C$9-VLOOKUP($BJ234&amp;"初始",$S$3:$AE$63,MATCH(BM$3,$S$3:$AE$3,0),FALSE))-(VLOOKUP($BJ234&amp;"最终",$S$3:$AE$63,MATCH(BM$3,$S$3:$AE$3,0),FALSE)-VLOOKUP($BJ234&amp;"初始",$S$3:$AE$63,MATCH(BM$3,$S$3:$AE$3,0),FALSE))*VLOOKUP(VLOOKUP($BJ234,坦克个性化设定!$B$18:$E$48,4,FALSE)&amp;$BK234,坦克属性分配比例,MATCH("部件比例",坦克属性分配比例标头,0),FALSE))*$BL234/VLOOKUP(VLOOKUP($BJ234,坦克个性化设定!$B$18:$E$48,4,FALSE)&amp;$BK234,坦克属性分配比例,MATCH("升星次数",坦克属性分配比例标头,0),FALSE),0)</f>
        <v>1763</v>
      </c>
      <c r="BN234" s="103">
        <f ca="1">ROUND(VLOOKUP($BJ234&amp;"初始",$S$3:$AE$63,MATCH(BN$3,$S$3:$AE$3,0),FALSE)+(VLOOKUP($BJ234&amp;"最终",$S$3:$AE$63,MATCH(BN$3,$S$3:$AE$3,0),FALSE)-VLOOKUP($BJ234&amp;"初始",$S$3:$AE$63,MATCH(BN$3,$S$3:$AE$3,0),FALSE))*$BL234/VLOOKUP(VLOOKUP($BJ234,坦克个性化设定!$B$18:$E$48,4,FALSE)&amp;$BK234,坦克属性分配比例,MATCH("升星次数",坦克属性分配比例标头,0),FALSE)*VLOOKUP(VLOOKUP($BJ234,坦克个性化设定!$B$18:$E$48,4,FALSE)&amp;$BK234,坦克属性分配比例,MATCH("升星比例",坦克属性分配比例标头,0),FALSE),0)</f>
        <v>586</v>
      </c>
      <c r="BO234" s="103">
        <f ca="1">ROUND(VLOOKUP($BJ234&amp;"初始",$S$3:$AE$63,MATCH(BO$3,$S$3:$AE$3,0),FALSE)+(VLOOKUP($BJ234&amp;"最终",$S$3:$AE$63,MATCH(BO$3,$S$3:$AE$3,0),FALSE)-VLOOKUP($BJ234&amp;"初始",$S$3:$AE$63,MATCH(BO$3,$S$3:$AE$3,0),FALSE))*$BL234/VLOOKUP(VLOOKUP($BJ234,坦克个性化设定!$B$18:$E$48,4,FALSE)&amp;$BK234,坦克属性分配比例,MATCH("升星次数",坦克属性分配比例标头,0),FALSE)*(VLOOKUP(VLOOKUP($BJ234,坦克个性化设定!$B$18:$E$48,4,FALSE)&amp;$BK234,坦克属性分配比例,MATCH("升星比例",坦克属性分配比例标头,0),FALSE)+VLOOKUP(VLOOKUP($BJ234,坦克个性化设定!$B$18:$E$48,4,FALSE)&amp;$BK234,坦克属性分配比例,MATCH("部件比例",坦克属性分配比例标头,0),FALSE)*$C$3),0)</f>
        <v>546</v>
      </c>
      <c r="BP234" s="103">
        <f ca="1">ROUND(VLOOKUP($BJ234&amp;"初始",$S$3:$AE$63,MATCH(BP$3,$S$3:$AE$3,0),FALSE)+(VLOOKUP($BJ234&amp;"最终",$S$3:$AE$63,MATCH(BP$3,$S$3:$AE$3,0),FALSE)-VLOOKUP($BJ234&amp;"初始",$S$3:$AE$63,MATCH(BP$3,$S$3:$AE$3,0),FALSE))*$BL234/VLOOKUP(VLOOKUP($BJ234,坦克个性化设定!$B$18:$E$48,4,FALSE)&amp;$BK234,坦克属性分配比例,MATCH("升星次数",坦克属性分配比例标头,0),FALSE)*(VLOOKUP(VLOOKUP($BJ234,坦克个性化设定!$B$18:$E$48,4,FALSE)&amp;$BK234,坦克属性分配比例,MATCH("升星比例",坦克属性分配比例标头,0),FALSE)+VLOOKUP(VLOOKUP($BJ234,坦克个性化设定!$B$18:$E$48,4,FALSE)&amp;$BK234,坦克属性分配比例,MATCH("部件比例",坦克属性分配比例标头,0),FALSE)*$C$3),0)</f>
        <v>437</v>
      </c>
      <c r="BQ234" s="103">
        <f ca="1">ROUND(VLOOKUP($BJ234&amp;"初始",$S$3:$AE$63,MATCH(BQ$3,$S$3:$AE$3,0),FALSE)+(VLOOKUP($BJ234&amp;"最终",$S$3:$AE$63,MATCH(BQ$3,$S$3:$AE$3,0),FALSE)-VLOOKUP($BJ234&amp;"初始",$S$3:$AE$63,MATCH(BQ$3,$S$3:$AE$3,0),FALSE))*$BL234/VLOOKUP(VLOOKUP($BJ234,坦克个性化设定!$B$18:$E$48,4,FALSE)&amp;$BK234,坦克属性分配比例,MATCH("升星次数",坦克属性分配比例标头,0),FALSE)*VLOOKUP(VLOOKUP($BJ234,坦克个性化设定!$B$18:$E$48,4,FALSE)&amp;$BK234,坦克属性分配比例,MATCH("升星比例",坦克属性分配比例标头,0),FALSE),0)</f>
        <v>699</v>
      </c>
      <c r="BR234" s="2">
        <f ca="1">ROUND(VLOOKUP($BJ234&amp;"初始",$S$3:$AE$63,MATCH(BR$3,$S$3:$AE$3,0),FALSE)+(VLOOKUP($BJ234&amp;"最终",$S$3:$AE$63,MATCH(BR$3,$S$3:$AE$3,0),FALSE)-VLOOKUP($BJ234&amp;"初始",$S$3:$AE$63,MATCH(BR$3,$S$3:$AE$3,0),FALSE))*$BL234/VLOOKUP(VLOOKUP($BJ234,坦克个性化设定!$B$18:$E$48,4,FALSE)&amp;$BK234,坦克属性分配比例,MATCH("升星次数",坦克属性分配比例标头,0),FALSE),0)</f>
        <v>175</v>
      </c>
      <c r="BS234" s="2">
        <f>ROUND(VLOOKUP($BJ234,$AI$3:$AO$33,MATCH(BS$3,$AI$3:$AO$3,0),FALSE)+$BL234/VLOOKUP(VLOOKUP($BJ234,坦克个性化设定!$B$18:$E$48,4,FALSE)&amp;$BK234,坦克属性分配比例,MATCH("升星次数",坦克属性分配比例标头,0),FALSE)*VLOOKUP($BJ234,$AR$3:$AY$33,MATCH(BS$3,$AR$3:$AY$3,0),FALSE),1)</f>
        <v>34.1</v>
      </c>
      <c r="BT234" s="2">
        <f>ROUND(VLOOKUP($BJ234,$AI$3:$AO$33,MATCH(BT$3,$AI$3:$AO$3,0),FALSE)+$BL234/VLOOKUP(VLOOKUP($BJ234,坦克个性化设定!$B$18:$E$48,4,FALSE)&amp;$BK234,坦克属性分配比例,MATCH("升星次数",坦克属性分配比例标头,0),FALSE)*VLOOKUP($BJ234,$AR$3:$AY$33,MATCH(BT$3,$AR$3:$AY$3,0),FALSE),1)</f>
        <v>37.299999999999997</v>
      </c>
      <c r="BU234" s="2">
        <f>ROUND(VLOOKUP($BJ234,$AI$3:$AO$33,MATCH(BU$3,$AI$3:$AO$3,0),FALSE)+$BL234/VLOOKUP(VLOOKUP($BJ234,坦克个性化设定!$B$18:$E$48,4,FALSE)&amp;$BK234,坦克属性分配比例,MATCH("升星次数",坦克属性分配比例标头,0),FALSE)*VLOOKUP($BJ234,$AR$3:$AY$33,MATCH(BU$3,$AR$3:$AY$3,0),FALSE),1)</f>
        <v>6.3</v>
      </c>
      <c r="BV234" s="2">
        <f>IF(VLOOKUP(BJ234,坦克个性化设定!$B$18:$BC$48,MATCH("装弹类型",坦克个性化设定!$B$18:$BC$18,0),FALSE)="弹夹换弹",0,ROUND(VLOOKUP($BJ234,$AI$3:$AO$33,MATCH("换弹时间",$AI$3:$AO$3,0),FALSE)-$BL234/VLOOKUP(VLOOKUP($BJ234,坦克个性化设定!$B$18:$E$48,4,FALSE)&amp;$BK234,坦克属性分配比例,MATCH("升星次数",坦克属性分配比例标头,0),FALSE)*VLOOKUP($BJ234,$AR$3:$AY$33,MATCH("换弹时间",$AR$3:$AY$3,0),FALSE),2))</f>
        <v>5.62</v>
      </c>
      <c r="BW234" s="2">
        <f>IF(VLOOKUP(BJ234,坦克个性化设定!$B$18:$BC$48,MATCH("装弹类型",坦克个性化设定!$B$18:$BC$18,0),FALSE)="弹夹换弹",ROUND(VLOOKUP($BJ234,$AI$3:$AO$33,MATCH("换弹时间",$AI$3:$AO$3,0),FALSE)-$BL234/VLOOKUP(VLOOKUP($BJ234,坦克个性化设定!$B$18:$E$48,4,FALSE)&amp;$BK234,坦克属性分配比例,MATCH("升星次数",坦克属性分配比例标头,0),FALSE)*VLOOKUP($BJ234,$AR$3:$AY$33,MATCH("换弹时间",$AR$3:$AY$3,0),FALSE),1),0)</f>
        <v>0</v>
      </c>
      <c r="BX234" s="2">
        <f>ROUND(VLOOKUP($BJ234,$AI$3:$AO$33,MATCH(BX$3,$AI$3:$AO$3,0),FALSE)+$BL234/VLOOKUP(VLOOKUP($BJ234,坦克个性化设定!$B$18:$E$48,4,FALSE)&amp;$BK234,坦克属性分配比例,MATCH("升星次数",坦克属性分配比例标头,0),FALSE)*VLOOKUP($BJ234,$AR$3:$AY$33,MATCH(BX$3,$AR$3:$AY$3,0),FALSE),2)</f>
        <v>0</v>
      </c>
      <c r="BY234" s="2">
        <f>ROUND(VLOOKUP($BJ234,$AI$3:$AO$33,MATCH(BY$3,$AI$3:$AO$3,0),FALSE)-$BL234/VLOOKUP(VLOOKUP($BJ234,坦克个性化设定!$B$18:$E$48,4,FALSE)&amp;$BK234,坦克属性分配比例,MATCH("升星次数",坦克属性分配比例标头,0),FALSE)*VLOOKUP($BJ234,$AR$3:$AY$33,MATCH(BY$3,$AR$3:$AY$3,0),FALSE),2)</f>
        <v>2.78</v>
      </c>
    </row>
    <row r="235" spans="60:77" x14ac:dyDescent="0.3">
      <c r="BH235" s="2" t="str">
        <f t="shared" si="32"/>
        <v>黑豹5</v>
      </c>
      <c r="BI235" s="2">
        <f>IF(BL234&gt;=VLOOKUP(VLOOKUP(BJ234,坦克个性化设定!$B$18:$E$48,4,FALSE)&amp;BK234,坦克属性分配比例,MATCH("升星次数",坦克属性分配比例标头,0),FALSE),BI234+1,BI234)</f>
        <v>24</v>
      </c>
      <c r="BJ235" s="2" t="str">
        <f t="shared" si="33"/>
        <v>黑豹</v>
      </c>
      <c r="BK235" s="29" t="str">
        <f>VLOOKUP(BJ235,坦克个性化细分!$I$3:$J$33,2,FALSE)</f>
        <v>低</v>
      </c>
      <c r="BL235" s="2">
        <f t="shared" si="34"/>
        <v>5</v>
      </c>
      <c r="BM235" s="103">
        <f ca="1">ROUND(VLOOKUP($BJ235&amp;"初始",$S$3:$AE$63,MATCH(BM$3,$S$3:$AE$3,0),FALSE)+((VLOOKUP($BJ235&amp;"最终",$S$3:$AE$63,MATCH(BM$3,$S$3:$AE$3,0),FALSE)*坦克个性化细分!$C$9-VLOOKUP($BJ235&amp;"初始",$S$3:$AE$63,MATCH(BM$3,$S$3:$AE$3,0),FALSE))-(VLOOKUP($BJ235&amp;"最终",$S$3:$AE$63,MATCH(BM$3,$S$3:$AE$3,0),FALSE)-VLOOKUP($BJ235&amp;"初始",$S$3:$AE$63,MATCH(BM$3,$S$3:$AE$3,0),FALSE))*VLOOKUP(VLOOKUP($BJ235,坦克个性化设定!$B$18:$E$48,4,FALSE)&amp;$BK235,坦克属性分配比例,MATCH("部件比例",坦克属性分配比例标头,0),FALSE))*$BL235/VLOOKUP(VLOOKUP($BJ235,坦克个性化设定!$B$18:$E$48,4,FALSE)&amp;$BK235,坦克属性分配比例,MATCH("升星次数",坦克属性分配比例标头,0),FALSE),0)</f>
        <v>1840</v>
      </c>
      <c r="BN235" s="103">
        <f ca="1">ROUND(VLOOKUP($BJ235&amp;"初始",$S$3:$AE$63,MATCH(BN$3,$S$3:$AE$3,0),FALSE)+(VLOOKUP($BJ235&amp;"最终",$S$3:$AE$63,MATCH(BN$3,$S$3:$AE$3,0),FALSE)-VLOOKUP($BJ235&amp;"初始",$S$3:$AE$63,MATCH(BN$3,$S$3:$AE$3,0),FALSE))*$BL235/VLOOKUP(VLOOKUP($BJ235,坦克个性化设定!$B$18:$E$48,4,FALSE)&amp;$BK235,坦克属性分配比例,MATCH("升星次数",坦克属性分配比例标头,0),FALSE)*VLOOKUP(VLOOKUP($BJ235,坦克个性化设定!$B$18:$E$48,4,FALSE)&amp;$BK235,坦克属性分配比例,MATCH("升星比例",坦克属性分配比例标头,0),FALSE),0)</f>
        <v>602</v>
      </c>
      <c r="BO235" s="103">
        <f ca="1">ROUND(VLOOKUP($BJ235&amp;"初始",$S$3:$AE$63,MATCH(BO$3,$S$3:$AE$3,0),FALSE)+(VLOOKUP($BJ235&amp;"最终",$S$3:$AE$63,MATCH(BO$3,$S$3:$AE$3,0),FALSE)-VLOOKUP($BJ235&amp;"初始",$S$3:$AE$63,MATCH(BO$3,$S$3:$AE$3,0),FALSE))*$BL235/VLOOKUP(VLOOKUP($BJ235,坦克个性化设定!$B$18:$E$48,4,FALSE)&amp;$BK235,坦克属性分配比例,MATCH("升星次数",坦克属性分配比例标头,0),FALSE)*(VLOOKUP(VLOOKUP($BJ235,坦克个性化设定!$B$18:$E$48,4,FALSE)&amp;$BK235,坦克属性分配比例,MATCH("升星比例",坦克属性分配比例标头,0),FALSE)+VLOOKUP(VLOOKUP($BJ235,坦克个性化设定!$B$18:$E$48,4,FALSE)&amp;$BK235,坦克属性分配比例,MATCH("部件比例",坦克属性分配比例标头,0),FALSE)*$C$3),0)</f>
        <v>566</v>
      </c>
      <c r="BP235" s="103">
        <f ca="1">ROUND(VLOOKUP($BJ235&amp;"初始",$S$3:$AE$63,MATCH(BP$3,$S$3:$AE$3,0),FALSE)+(VLOOKUP($BJ235&amp;"最终",$S$3:$AE$63,MATCH(BP$3,$S$3:$AE$3,0),FALSE)-VLOOKUP($BJ235&amp;"初始",$S$3:$AE$63,MATCH(BP$3,$S$3:$AE$3,0),FALSE))*$BL235/VLOOKUP(VLOOKUP($BJ235,坦克个性化设定!$B$18:$E$48,4,FALSE)&amp;$BK235,坦克属性分配比例,MATCH("升星次数",坦克属性分配比例标头,0),FALSE)*(VLOOKUP(VLOOKUP($BJ235,坦克个性化设定!$B$18:$E$48,4,FALSE)&amp;$BK235,坦克属性分配比例,MATCH("升星比例",坦克属性分配比例标头,0),FALSE)+VLOOKUP(VLOOKUP($BJ235,坦克个性化设定!$B$18:$E$48,4,FALSE)&amp;$BK235,坦克属性分配比例,MATCH("部件比例",坦克属性分配比例标头,0),FALSE)*$C$3),0)</f>
        <v>453</v>
      </c>
      <c r="BQ235" s="103">
        <f ca="1">ROUND(VLOOKUP($BJ235&amp;"初始",$S$3:$AE$63,MATCH(BQ$3,$S$3:$AE$3,0),FALSE)+(VLOOKUP($BJ235&amp;"最终",$S$3:$AE$63,MATCH(BQ$3,$S$3:$AE$3,0),FALSE)-VLOOKUP($BJ235&amp;"初始",$S$3:$AE$63,MATCH(BQ$3,$S$3:$AE$3,0),FALSE))*$BL235/VLOOKUP(VLOOKUP($BJ235,坦克个性化设定!$B$18:$E$48,4,FALSE)&amp;$BK235,坦克属性分配比例,MATCH("升星次数",坦克属性分配比例标头,0),FALSE)*VLOOKUP(VLOOKUP($BJ235,坦克个性化设定!$B$18:$E$48,4,FALSE)&amp;$BK235,坦克属性分配比例,MATCH("升星比例",坦克属性分配比例标头,0),FALSE),0)</f>
        <v>718</v>
      </c>
      <c r="BR235" s="2">
        <f ca="1">ROUND(VLOOKUP($BJ235&amp;"初始",$S$3:$AE$63,MATCH(BR$3,$S$3:$AE$3,0),FALSE)+(VLOOKUP($BJ235&amp;"最终",$S$3:$AE$63,MATCH(BR$3,$S$3:$AE$3,0),FALSE)-VLOOKUP($BJ235&amp;"初始",$S$3:$AE$63,MATCH(BR$3,$S$3:$AE$3,0),FALSE))*$BL235/VLOOKUP(VLOOKUP($BJ235,坦克个性化设定!$B$18:$E$48,4,FALSE)&amp;$BK235,坦克属性分配比例,MATCH("升星次数",坦克属性分配比例标头,0),FALSE),0)</f>
        <v>182</v>
      </c>
      <c r="BS235" s="2">
        <f>ROUND(VLOOKUP($BJ235,$AI$3:$AO$33,MATCH(BS$3,$AI$3:$AO$3,0),FALSE)+$BL235/VLOOKUP(VLOOKUP($BJ235,坦克个性化设定!$B$18:$E$48,4,FALSE)&amp;$BK235,坦克属性分配比例,MATCH("升星次数",坦克属性分配比例标头,0),FALSE)*VLOOKUP($BJ235,$AR$3:$AY$33,MATCH(BS$3,$AR$3:$AY$3,0),FALSE),1)</f>
        <v>35</v>
      </c>
      <c r="BT235" s="2">
        <f>ROUND(VLOOKUP($BJ235,$AI$3:$AO$33,MATCH(BT$3,$AI$3:$AO$3,0),FALSE)+$BL235/VLOOKUP(VLOOKUP($BJ235,坦克个性化设定!$B$18:$E$48,4,FALSE)&amp;$BK235,坦克属性分配比例,MATCH("升星次数",坦克属性分配比例标头,0),FALSE)*VLOOKUP($BJ235,$AR$3:$AY$33,MATCH(BT$3,$AR$3:$AY$3,0),FALSE),1)</f>
        <v>38.299999999999997</v>
      </c>
      <c r="BU235" s="2">
        <f>ROUND(VLOOKUP($BJ235,$AI$3:$AO$33,MATCH(BU$3,$AI$3:$AO$3,0),FALSE)+$BL235/VLOOKUP(VLOOKUP($BJ235,坦克个性化设定!$B$18:$E$48,4,FALSE)&amp;$BK235,坦克属性分配比例,MATCH("升星次数",坦克属性分配比例标头,0),FALSE)*VLOOKUP($BJ235,$AR$3:$AY$33,MATCH(BU$3,$AR$3:$AY$3,0),FALSE),1)</f>
        <v>6.3</v>
      </c>
      <c r="BV235" s="2">
        <f>IF(VLOOKUP(BJ235,坦克个性化设定!$B$18:$BC$48,MATCH("装弹类型",坦克个性化设定!$B$18:$BC$18,0),FALSE)="弹夹换弹",0,ROUND(VLOOKUP($BJ235,$AI$3:$AO$33,MATCH("换弹时间",$AI$3:$AO$3,0),FALSE)-$BL235/VLOOKUP(VLOOKUP($BJ235,坦克个性化设定!$B$18:$E$48,4,FALSE)&amp;$BK235,坦克属性分配比例,MATCH("升星次数",坦克属性分配比例标头,0),FALSE)*VLOOKUP($BJ235,$AR$3:$AY$33,MATCH("换弹时间",$AR$3:$AY$3,0),FALSE),2))</f>
        <v>5.53</v>
      </c>
      <c r="BW235" s="2">
        <f>IF(VLOOKUP(BJ235,坦克个性化设定!$B$18:$BC$48,MATCH("装弹类型",坦克个性化设定!$B$18:$BC$18,0),FALSE)="弹夹换弹",ROUND(VLOOKUP($BJ235,$AI$3:$AO$33,MATCH("换弹时间",$AI$3:$AO$3,0),FALSE)-$BL235/VLOOKUP(VLOOKUP($BJ235,坦克个性化设定!$B$18:$E$48,4,FALSE)&amp;$BK235,坦克属性分配比例,MATCH("升星次数",坦克属性分配比例标头,0),FALSE)*VLOOKUP($BJ235,$AR$3:$AY$33,MATCH("换弹时间",$AR$3:$AY$3,0),FALSE),1),0)</f>
        <v>0</v>
      </c>
      <c r="BX235" s="2">
        <f>ROUND(VLOOKUP($BJ235,$AI$3:$AO$33,MATCH(BX$3,$AI$3:$AO$3,0),FALSE)+$BL235/VLOOKUP(VLOOKUP($BJ235,坦克个性化设定!$B$18:$E$48,4,FALSE)&amp;$BK235,坦克属性分配比例,MATCH("升星次数",坦克属性分配比例标头,0),FALSE)*VLOOKUP($BJ235,$AR$3:$AY$33,MATCH(BX$3,$AR$3:$AY$3,0),FALSE),2)</f>
        <v>0</v>
      </c>
      <c r="BY235" s="2">
        <f>ROUND(VLOOKUP($BJ235,$AI$3:$AO$33,MATCH(BY$3,$AI$3:$AO$3,0),FALSE)-$BL235/VLOOKUP(VLOOKUP($BJ235,坦克个性化设定!$B$18:$E$48,4,FALSE)&amp;$BK235,坦克属性分配比例,MATCH("升星次数",坦克属性分配比例标头,0),FALSE)*VLOOKUP($BJ235,$AR$3:$AY$33,MATCH(BY$3,$AR$3:$AY$3,0),FALSE),2)</f>
        <v>2.72</v>
      </c>
    </row>
    <row r="236" spans="60:77" x14ac:dyDescent="0.3">
      <c r="BH236" s="2" t="str">
        <f t="shared" si="32"/>
        <v>黑豹6</v>
      </c>
      <c r="BI236" s="2">
        <f>IF(BL235&gt;=VLOOKUP(VLOOKUP(BJ235,坦克个性化设定!$B$18:$E$48,4,FALSE)&amp;BK235,坦克属性分配比例,MATCH("升星次数",坦克属性分配比例标头,0),FALSE),BI235+1,BI235)</f>
        <v>24</v>
      </c>
      <c r="BJ236" s="2" t="str">
        <f t="shared" si="33"/>
        <v>黑豹</v>
      </c>
      <c r="BK236" s="29" t="str">
        <f>VLOOKUP(BJ236,坦克个性化细分!$I$3:$J$33,2,FALSE)</f>
        <v>低</v>
      </c>
      <c r="BL236" s="2">
        <f t="shared" si="34"/>
        <v>6</v>
      </c>
      <c r="BM236" s="103">
        <f ca="1">ROUND(VLOOKUP($BJ236&amp;"初始",$S$3:$AE$63,MATCH(BM$3,$S$3:$AE$3,0),FALSE)+((VLOOKUP($BJ236&amp;"最终",$S$3:$AE$63,MATCH(BM$3,$S$3:$AE$3,0),FALSE)*坦克个性化细分!$C$9-VLOOKUP($BJ236&amp;"初始",$S$3:$AE$63,MATCH(BM$3,$S$3:$AE$3,0),FALSE))-(VLOOKUP($BJ236&amp;"最终",$S$3:$AE$63,MATCH(BM$3,$S$3:$AE$3,0),FALSE)-VLOOKUP($BJ236&amp;"初始",$S$3:$AE$63,MATCH(BM$3,$S$3:$AE$3,0),FALSE))*VLOOKUP(VLOOKUP($BJ236,坦克个性化设定!$B$18:$E$48,4,FALSE)&amp;$BK236,坦克属性分配比例,MATCH("部件比例",坦克属性分配比例标头,0),FALSE))*$BL236/VLOOKUP(VLOOKUP($BJ236,坦克个性化设定!$B$18:$E$48,4,FALSE)&amp;$BK236,坦克属性分配比例,MATCH("升星次数",坦克属性分配比例标头,0),FALSE),0)</f>
        <v>1916</v>
      </c>
      <c r="BN236" s="103">
        <f ca="1">ROUND(VLOOKUP($BJ236&amp;"初始",$S$3:$AE$63,MATCH(BN$3,$S$3:$AE$3,0),FALSE)+(VLOOKUP($BJ236&amp;"最终",$S$3:$AE$63,MATCH(BN$3,$S$3:$AE$3,0),FALSE)-VLOOKUP($BJ236&amp;"初始",$S$3:$AE$63,MATCH(BN$3,$S$3:$AE$3,0),FALSE))*$BL236/VLOOKUP(VLOOKUP($BJ236,坦克个性化设定!$B$18:$E$48,4,FALSE)&amp;$BK236,坦克属性分配比例,MATCH("升星次数",坦克属性分配比例标头,0),FALSE)*VLOOKUP(VLOOKUP($BJ236,坦克个性化设定!$B$18:$E$48,4,FALSE)&amp;$BK236,坦克属性分配比例,MATCH("升星比例",坦克属性分配比例标头,0),FALSE),0)</f>
        <v>619</v>
      </c>
      <c r="BO236" s="103">
        <f ca="1">ROUND(VLOOKUP($BJ236&amp;"初始",$S$3:$AE$63,MATCH(BO$3,$S$3:$AE$3,0),FALSE)+(VLOOKUP($BJ236&amp;"最终",$S$3:$AE$63,MATCH(BO$3,$S$3:$AE$3,0),FALSE)-VLOOKUP($BJ236&amp;"初始",$S$3:$AE$63,MATCH(BO$3,$S$3:$AE$3,0),FALSE))*$BL236/VLOOKUP(VLOOKUP($BJ236,坦克个性化设定!$B$18:$E$48,4,FALSE)&amp;$BK236,坦克属性分配比例,MATCH("升星次数",坦克属性分配比例标头,0),FALSE)*(VLOOKUP(VLOOKUP($BJ236,坦克个性化设定!$B$18:$E$48,4,FALSE)&amp;$BK236,坦克属性分配比例,MATCH("升星比例",坦克属性分配比例标头,0),FALSE)+VLOOKUP(VLOOKUP($BJ236,坦克个性化设定!$B$18:$E$48,4,FALSE)&amp;$BK236,坦克属性分配比例,MATCH("部件比例",坦克属性分配比例标头,0),FALSE)*$C$3),0)</f>
        <v>587</v>
      </c>
      <c r="BP236" s="103">
        <f ca="1">ROUND(VLOOKUP($BJ236&amp;"初始",$S$3:$AE$63,MATCH(BP$3,$S$3:$AE$3,0),FALSE)+(VLOOKUP($BJ236&amp;"最终",$S$3:$AE$63,MATCH(BP$3,$S$3:$AE$3,0),FALSE)-VLOOKUP($BJ236&amp;"初始",$S$3:$AE$63,MATCH(BP$3,$S$3:$AE$3,0),FALSE))*$BL236/VLOOKUP(VLOOKUP($BJ236,坦克个性化设定!$B$18:$E$48,4,FALSE)&amp;$BK236,坦克属性分配比例,MATCH("升星次数",坦克属性分配比例标头,0),FALSE)*(VLOOKUP(VLOOKUP($BJ236,坦克个性化设定!$B$18:$E$48,4,FALSE)&amp;$BK236,坦克属性分配比例,MATCH("升星比例",坦克属性分配比例标头,0),FALSE)+VLOOKUP(VLOOKUP($BJ236,坦克个性化设定!$B$18:$E$48,4,FALSE)&amp;$BK236,坦克属性分配比例,MATCH("部件比例",坦克属性分配比例标头,0),FALSE)*$C$3),0)</f>
        <v>469</v>
      </c>
      <c r="BQ236" s="103">
        <f ca="1">ROUND(VLOOKUP($BJ236&amp;"初始",$S$3:$AE$63,MATCH(BQ$3,$S$3:$AE$3,0),FALSE)+(VLOOKUP($BJ236&amp;"最终",$S$3:$AE$63,MATCH(BQ$3,$S$3:$AE$3,0),FALSE)-VLOOKUP($BJ236&amp;"初始",$S$3:$AE$63,MATCH(BQ$3,$S$3:$AE$3,0),FALSE))*$BL236/VLOOKUP(VLOOKUP($BJ236,坦克个性化设定!$B$18:$E$48,4,FALSE)&amp;$BK236,坦克属性分配比例,MATCH("升星次数",坦克属性分配比例标头,0),FALSE)*VLOOKUP(VLOOKUP($BJ236,坦克个性化设定!$B$18:$E$48,4,FALSE)&amp;$BK236,坦克属性分配比例,MATCH("升星比例",坦克属性分配比例标头,0),FALSE),0)</f>
        <v>738</v>
      </c>
      <c r="BR236" s="2">
        <f ca="1">ROUND(VLOOKUP($BJ236&amp;"初始",$S$3:$AE$63,MATCH(BR$3,$S$3:$AE$3,0),FALSE)+(VLOOKUP($BJ236&amp;"最终",$S$3:$AE$63,MATCH(BR$3,$S$3:$AE$3,0),FALSE)-VLOOKUP($BJ236&amp;"初始",$S$3:$AE$63,MATCH(BR$3,$S$3:$AE$3,0),FALSE))*$BL236/VLOOKUP(VLOOKUP($BJ236,坦克个性化设定!$B$18:$E$48,4,FALSE)&amp;$BK236,坦克属性分配比例,MATCH("升星次数",坦克属性分配比例标头,0),FALSE),0)</f>
        <v>190</v>
      </c>
      <c r="BS236" s="2">
        <f>ROUND(VLOOKUP($BJ236,$AI$3:$AO$33,MATCH(BS$3,$AI$3:$AO$3,0),FALSE)+$BL236/VLOOKUP(VLOOKUP($BJ236,坦克个性化设定!$B$18:$E$48,4,FALSE)&amp;$BK236,坦克属性分配比例,MATCH("升星次数",坦克属性分配比例标头,0),FALSE)*VLOOKUP($BJ236,$AR$3:$AY$33,MATCH(BS$3,$AR$3:$AY$3,0),FALSE),1)</f>
        <v>35.799999999999997</v>
      </c>
      <c r="BT236" s="2">
        <f>ROUND(VLOOKUP($BJ236,$AI$3:$AO$33,MATCH(BT$3,$AI$3:$AO$3,0),FALSE)+$BL236/VLOOKUP(VLOOKUP($BJ236,坦克个性化设定!$B$18:$E$48,4,FALSE)&amp;$BK236,坦克属性分配比例,MATCH("升星次数",坦克属性分配比例标头,0),FALSE)*VLOOKUP($BJ236,$AR$3:$AY$33,MATCH(BT$3,$AR$3:$AY$3,0),FALSE),1)</f>
        <v>39.200000000000003</v>
      </c>
      <c r="BU236" s="2">
        <f>ROUND(VLOOKUP($BJ236,$AI$3:$AO$33,MATCH(BU$3,$AI$3:$AO$3,0),FALSE)+$BL236/VLOOKUP(VLOOKUP($BJ236,坦克个性化设定!$B$18:$E$48,4,FALSE)&amp;$BK236,坦克属性分配比例,MATCH("升星次数",坦克属性分配比例标头,0),FALSE)*VLOOKUP($BJ236,$AR$3:$AY$33,MATCH(BU$3,$AR$3:$AY$3,0),FALSE),1)</f>
        <v>6.3</v>
      </c>
      <c r="BV236" s="2">
        <f>IF(VLOOKUP(BJ236,坦克个性化设定!$B$18:$BC$48,MATCH("装弹类型",坦克个性化设定!$B$18:$BC$18,0),FALSE)="弹夹换弹",0,ROUND(VLOOKUP($BJ236,$AI$3:$AO$33,MATCH("换弹时间",$AI$3:$AO$3,0),FALSE)-$BL236/VLOOKUP(VLOOKUP($BJ236,坦克个性化设定!$B$18:$E$48,4,FALSE)&amp;$BK236,坦克属性分配比例,MATCH("升星次数",坦克属性分配比例标头,0),FALSE)*VLOOKUP($BJ236,$AR$3:$AY$33,MATCH("换弹时间",$AR$3:$AY$3,0),FALSE),2))</f>
        <v>5.43</v>
      </c>
      <c r="BW236" s="2">
        <f>IF(VLOOKUP(BJ236,坦克个性化设定!$B$18:$BC$48,MATCH("装弹类型",坦克个性化设定!$B$18:$BC$18,0),FALSE)="弹夹换弹",ROUND(VLOOKUP($BJ236,$AI$3:$AO$33,MATCH("换弹时间",$AI$3:$AO$3,0),FALSE)-$BL236/VLOOKUP(VLOOKUP($BJ236,坦克个性化设定!$B$18:$E$48,4,FALSE)&amp;$BK236,坦克属性分配比例,MATCH("升星次数",坦克属性分配比例标头,0),FALSE)*VLOOKUP($BJ236,$AR$3:$AY$33,MATCH("换弹时间",$AR$3:$AY$3,0),FALSE),1),0)</f>
        <v>0</v>
      </c>
      <c r="BX236" s="2">
        <f>ROUND(VLOOKUP($BJ236,$AI$3:$AO$33,MATCH(BX$3,$AI$3:$AO$3,0),FALSE)+$BL236/VLOOKUP(VLOOKUP($BJ236,坦克个性化设定!$B$18:$E$48,4,FALSE)&amp;$BK236,坦克属性分配比例,MATCH("升星次数",坦克属性分配比例标头,0),FALSE)*VLOOKUP($BJ236,$AR$3:$AY$33,MATCH(BX$3,$AR$3:$AY$3,0),FALSE),2)</f>
        <v>0</v>
      </c>
      <c r="BY236" s="2">
        <f>ROUND(VLOOKUP($BJ236,$AI$3:$AO$33,MATCH(BY$3,$AI$3:$AO$3,0),FALSE)-$BL236/VLOOKUP(VLOOKUP($BJ236,坦克个性化设定!$B$18:$E$48,4,FALSE)&amp;$BK236,坦克属性分配比例,MATCH("升星次数",坦克属性分配比例标头,0),FALSE)*VLOOKUP($BJ236,$AR$3:$AY$33,MATCH(BY$3,$AR$3:$AY$3,0),FALSE),2)</f>
        <v>2.67</v>
      </c>
    </row>
    <row r="237" spans="60:77" x14ac:dyDescent="0.3">
      <c r="BH237" s="2" t="str">
        <f t="shared" si="32"/>
        <v>黑豹7</v>
      </c>
      <c r="BI237" s="2">
        <f>IF(BL236&gt;=VLOOKUP(VLOOKUP(BJ236,坦克个性化设定!$B$18:$E$48,4,FALSE)&amp;BK236,坦克属性分配比例,MATCH("升星次数",坦克属性分配比例标头,0),FALSE),BI236+1,BI236)</f>
        <v>24</v>
      </c>
      <c r="BJ237" s="2" t="str">
        <f t="shared" si="33"/>
        <v>黑豹</v>
      </c>
      <c r="BK237" s="29" t="str">
        <f>VLOOKUP(BJ237,坦克个性化细分!$I$3:$J$33,2,FALSE)</f>
        <v>低</v>
      </c>
      <c r="BL237" s="2">
        <f t="shared" si="34"/>
        <v>7</v>
      </c>
      <c r="BM237" s="103">
        <f ca="1">ROUND(VLOOKUP($BJ237&amp;"初始",$S$3:$AE$63,MATCH(BM$3,$S$3:$AE$3,0),FALSE)+((VLOOKUP($BJ237&amp;"最终",$S$3:$AE$63,MATCH(BM$3,$S$3:$AE$3,0),FALSE)*坦克个性化细分!$C$9-VLOOKUP($BJ237&amp;"初始",$S$3:$AE$63,MATCH(BM$3,$S$3:$AE$3,0),FALSE))-(VLOOKUP($BJ237&amp;"最终",$S$3:$AE$63,MATCH(BM$3,$S$3:$AE$3,0),FALSE)-VLOOKUP($BJ237&amp;"初始",$S$3:$AE$63,MATCH(BM$3,$S$3:$AE$3,0),FALSE))*VLOOKUP(VLOOKUP($BJ237,坦克个性化设定!$B$18:$E$48,4,FALSE)&amp;$BK237,坦克属性分配比例,MATCH("部件比例",坦克属性分配比例标头,0),FALSE))*$BL237/VLOOKUP(VLOOKUP($BJ237,坦克个性化设定!$B$18:$E$48,4,FALSE)&amp;$BK237,坦克属性分配比例,MATCH("升星次数",坦克属性分配比例标头,0),FALSE),0)</f>
        <v>1993</v>
      </c>
      <c r="BN237" s="103">
        <f ca="1">ROUND(VLOOKUP($BJ237&amp;"初始",$S$3:$AE$63,MATCH(BN$3,$S$3:$AE$3,0),FALSE)+(VLOOKUP($BJ237&amp;"最终",$S$3:$AE$63,MATCH(BN$3,$S$3:$AE$3,0),FALSE)-VLOOKUP($BJ237&amp;"初始",$S$3:$AE$63,MATCH(BN$3,$S$3:$AE$3,0),FALSE))*$BL237/VLOOKUP(VLOOKUP($BJ237,坦克个性化设定!$B$18:$E$48,4,FALSE)&amp;$BK237,坦克属性分配比例,MATCH("升星次数",坦克属性分配比例标头,0),FALSE)*VLOOKUP(VLOOKUP($BJ237,坦克个性化设定!$B$18:$E$48,4,FALSE)&amp;$BK237,坦克属性分配比例,MATCH("升星比例",坦克属性分配比例标头,0),FALSE),0)</f>
        <v>635</v>
      </c>
      <c r="BO237" s="103">
        <f ca="1">ROUND(VLOOKUP($BJ237&amp;"初始",$S$3:$AE$63,MATCH(BO$3,$S$3:$AE$3,0),FALSE)+(VLOOKUP($BJ237&amp;"最终",$S$3:$AE$63,MATCH(BO$3,$S$3:$AE$3,0),FALSE)-VLOOKUP($BJ237&amp;"初始",$S$3:$AE$63,MATCH(BO$3,$S$3:$AE$3,0),FALSE))*$BL237/VLOOKUP(VLOOKUP($BJ237,坦克个性化设定!$B$18:$E$48,4,FALSE)&amp;$BK237,坦克属性分配比例,MATCH("升星次数",坦克属性分配比例标头,0),FALSE)*(VLOOKUP(VLOOKUP($BJ237,坦克个性化设定!$B$18:$E$48,4,FALSE)&amp;$BK237,坦克属性分配比例,MATCH("升星比例",坦克属性分配比例标头,0),FALSE)+VLOOKUP(VLOOKUP($BJ237,坦克个性化设定!$B$18:$E$48,4,FALSE)&amp;$BK237,坦克属性分配比例,MATCH("部件比例",坦克属性分配比例标头,0),FALSE)*$C$3),0)</f>
        <v>607</v>
      </c>
      <c r="BP237" s="103">
        <f ca="1">ROUND(VLOOKUP($BJ237&amp;"初始",$S$3:$AE$63,MATCH(BP$3,$S$3:$AE$3,0),FALSE)+(VLOOKUP($BJ237&amp;"最终",$S$3:$AE$63,MATCH(BP$3,$S$3:$AE$3,0),FALSE)-VLOOKUP($BJ237&amp;"初始",$S$3:$AE$63,MATCH(BP$3,$S$3:$AE$3,0),FALSE))*$BL237/VLOOKUP(VLOOKUP($BJ237,坦克个性化设定!$B$18:$E$48,4,FALSE)&amp;$BK237,坦克属性分配比例,MATCH("升星次数",坦克属性分配比例标头,0),FALSE)*(VLOOKUP(VLOOKUP($BJ237,坦克个性化设定!$B$18:$E$48,4,FALSE)&amp;$BK237,坦克属性分配比例,MATCH("升星比例",坦克属性分配比例标头,0),FALSE)+VLOOKUP(VLOOKUP($BJ237,坦克个性化设定!$B$18:$E$48,4,FALSE)&amp;$BK237,坦克属性分配比例,MATCH("部件比例",坦克属性分配比例标头,0),FALSE)*$C$3),0)</f>
        <v>486</v>
      </c>
      <c r="BQ237" s="103">
        <f ca="1">ROUND(VLOOKUP($BJ237&amp;"初始",$S$3:$AE$63,MATCH(BQ$3,$S$3:$AE$3,0),FALSE)+(VLOOKUP($BJ237&amp;"最终",$S$3:$AE$63,MATCH(BQ$3,$S$3:$AE$3,0),FALSE)-VLOOKUP($BJ237&amp;"初始",$S$3:$AE$63,MATCH(BQ$3,$S$3:$AE$3,0),FALSE))*$BL237/VLOOKUP(VLOOKUP($BJ237,坦克个性化设定!$B$18:$E$48,4,FALSE)&amp;$BK237,坦克属性分配比例,MATCH("升星次数",坦克属性分配比例标头,0),FALSE)*VLOOKUP(VLOOKUP($BJ237,坦克个性化设定!$B$18:$E$48,4,FALSE)&amp;$BK237,坦克属性分配比例,MATCH("升星比例",坦克属性分配比例标头,0),FALSE),0)</f>
        <v>757</v>
      </c>
      <c r="BR237" s="2">
        <f ca="1">ROUND(VLOOKUP($BJ237&amp;"初始",$S$3:$AE$63,MATCH(BR$3,$S$3:$AE$3,0),FALSE)+(VLOOKUP($BJ237&amp;"最终",$S$3:$AE$63,MATCH(BR$3,$S$3:$AE$3,0),FALSE)-VLOOKUP($BJ237&amp;"初始",$S$3:$AE$63,MATCH(BR$3,$S$3:$AE$3,0),FALSE))*$BL237/VLOOKUP(VLOOKUP($BJ237,坦克个性化设定!$B$18:$E$48,4,FALSE)&amp;$BK237,坦克属性分配比例,MATCH("升星次数",坦克属性分配比例标头,0),FALSE),0)</f>
        <v>197</v>
      </c>
      <c r="BS237" s="2">
        <f>ROUND(VLOOKUP($BJ237,$AI$3:$AO$33,MATCH(BS$3,$AI$3:$AO$3,0),FALSE)+$BL237/VLOOKUP(VLOOKUP($BJ237,坦克个性化设定!$B$18:$E$48,4,FALSE)&amp;$BK237,坦克属性分配比例,MATCH("升星次数",坦克属性分配比例标头,0),FALSE)*VLOOKUP($BJ237,$AR$3:$AY$33,MATCH(BS$3,$AR$3:$AY$3,0),FALSE),1)</f>
        <v>36.700000000000003</v>
      </c>
      <c r="BT237" s="2">
        <f>ROUND(VLOOKUP($BJ237,$AI$3:$AO$33,MATCH(BT$3,$AI$3:$AO$3,0),FALSE)+$BL237/VLOOKUP(VLOOKUP($BJ237,坦克个性化设定!$B$18:$E$48,4,FALSE)&amp;$BK237,坦克属性分配比例,MATCH("升星次数",坦克属性分配比例标头,0),FALSE)*VLOOKUP($BJ237,$AR$3:$AY$33,MATCH(BT$3,$AR$3:$AY$3,0),FALSE),1)</f>
        <v>40.1</v>
      </c>
      <c r="BU237" s="2">
        <f>ROUND(VLOOKUP($BJ237,$AI$3:$AO$33,MATCH(BU$3,$AI$3:$AO$3,0),FALSE)+$BL237/VLOOKUP(VLOOKUP($BJ237,坦克个性化设定!$B$18:$E$48,4,FALSE)&amp;$BK237,坦克属性分配比例,MATCH("升星次数",坦克属性分配比例标头,0),FALSE)*VLOOKUP($BJ237,$AR$3:$AY$33,MATCH(BU$3,$AR$3:$AY$3,0),FALSE),1)</f>
        <v>6.3</v>
      </c>
      <c r="BV237" s="2">
        <f>IF(VLOOKUP(BJ237,坦克个性化设定!$B$18:$BC$48,MATCH("装弹类型",坦克个性化设定!$B$18:$BC$18,0),FALSE)="弹夹换弹",0,ROUND(VLOOKUP($BJ237,$AI$3:$AO$33,MATCH("换弹时间",$AI$3:$AO$3,0),FALSE)-$BL237/VLOOKUP(VLOOKUP($BJ237,坦克个性化设定!$B$18:$E$48,4,FALSE)&amp;$BK237,坦克属性分配比例,MATCH("升星次数",坦克属性分配比例标头,0),FALSE)*VLOOKUP($BJ237,$AR$3:$AY$33,MATCH("换弹时间",$AR$3:$AY$3,0),FALSE),2))</f>
        <v>5.34</v>
      </c>
      <c r="BW237" s="2">
        <f>IF(VLOOKUP(BJ237,坦克个性化设定!$B$18:$BC$48,MATCH("装弹类型",坦克个性化设定!$B$18:$BC$18,0),FALSE)="弹夹换弹",ROUND(VLOOKUP($BJ237,$AI$3:$AO$33,MATCH("换弹时间",$AI$3:$AO$3,0),FALSE)-$BL237/VLOOKUP(VLOOKUP($BJ237,坦克个性化设定!$B$18:$E$48,4,FALSE)&amp;$BK237,坦克属性分配比例,MATCH("升星次数",坦克属性分配比例标头,0),FALSE)*VLOOKUP($BJ237,$AR$3:$AY$33,MATCH("换弹时间",$AR$3:$AY$3,0),FALSE),1),0)</f>
        <v>0</v>
      </c>
      <c r="BX237" s="2">
        <f>ROUND(VLOOKUP($BJ237,$AI$3:$AO$33,MATCH(BX$3,$AI$3:$AO$3,0),FALSE)+$BL237/VLOOKUP(VLOOKUP($BJ237,坦克个性化设定!$B$18:$E$48,4,FALSE)&amp;$BK237,坦克属性分配比例,MATCH("升星次数",坦克属性分配比例标头,0),FALSE)*VLOOKUP($BJ237,$AR$3:$AY$33,MATCH(BX$3,$AR$3:$AY$3,0),FALSE),2)</f>
        <v>0</v>
      </c>
      <c r="BY237" s="2">
        <f>ROUND(VLOOKUP($BJ237,$AI$3:$AO$33,MATCH(BY$3,$AI$3:$AO$3,0),FALSE)-$BL237/VLOOKUP(VLOOKUP($BJ237,坦克个性化设定!$B$18:$E$48,4,FALSE)&amp;$BK237,坦克属性分配比例,MATCH("升星次数",坦克属性分配比例标头,0),FALSE)*VLOOKUP($BJ237,$AR$3:$AY$33,MATCH(BY$3,$AR$3:$AY$3,0),FALSE),2)</f>
        <v>2.61</v>
      </c>
    </row>
    <row r="238" spans="60:77" x14ac:dyDescent="0.3">
      <c r="BH238" s="2" t="str">
        <f t="shared" si="32"/>
        <v>黑豹8</v>
      </c>
      <c r="BI238" s="2">
        <f>IF(BL237&gt;=VLOOKUP(VLOOKUP(BJ237,坦克个性化设定!$B$18:$E$48,4,FALSE)&amp;BK237,坦克属性分配比例,MATCH("升星次数",坦克属性分配比例标头,0),FALSE),BI237+1,BI237)</f>
        <v>24</v>
      </c>
      <c r="BJ238" s="2" t="str">
        <f t="shared" si="33"/>
        <v>黑豹</v>
      </c>
      <c r="BK238" s="29" t="str">
        <f>VLOOKUP(BJ238,坦克个性化细分!$I$3:$J$33,2,FALSE)</f>
        <v>低</v>
      </c>
      <c r="BL238" s="2">
        <f t="shared" si="34"/>
        <v>8</v>
      </c>
      <c r="BM238" s="103">
        <f ca="1">ROUND(VLOOKUP($BJ238&amp;"初始",$S$3:$AE$63,MATCH(BM$3,$S$3:$AE$3,0),FALSE)+((VLOOKUP($BJ238&amp;"最终",$S$3:$AE$63,MATCH(BM$3,$S$3:$AE$3,0),FALSE)*坦克个性化细分!$C$9-VLOOKUP($BJ238&amp;"初始",$S$3:$AE$63,MATCH(BM$3,$S$3:$AE$3,0),FALSE))-(VLOOKUP($BJ238&amp;"最终",$S$3:$AE$63,MATCH(BM$3,$S$3:$AE$3,0),FALSE)-VLOOKUP($BJ238&amp;"初始",$S$3:$AE$63,MATCH(BM$3,$S$3:$AE$3,0),FALSE))*VLOOKUP(VLOOKUP($BJ238,坦克个性化设定!$B$18:$E$48,4,FALSE)&amp;$BK238,坦克属性分配比例,MATCH("部件比例",坦克属性分配比例标头,0),FALSE))*$BL238/VLOOKUP(VLOOKUP($BJ238,坦克个性化设定!$B$18:$E$48,4,FALSE)&amp;$BK238,坦克属性分配比例,MATCH("升星次数",坦克属性分配比例标头,0),FALSE),0)</f>
        <v>2070</v>
      </c>
      <c r="BN238" s="103">
        <f ca="1">ROUND(VLOOKUP($BJ238&amp;"初始",$S$3:$AE$63,MATCH(BN$3,$S$3:$AE$3,0),FALSE)+(VLOOKUP($BJ238&amp;"最终",$S$3:$AE$63,MATCH(BN$3,$S$3:$AE$3,0),FALSE)-VLOOKUP($BJ238&amp;"初始",$S$3:$AE$63,MATCH(BN$3,$S$3:$AE$3,0),FALSE))*$BL238/VLOOKUP(VLOOKUP($BJ238,坦克个性化设定!$B$18:$E$48,4,FALSE)&amp;$BK238,坦克属性分配比例,MATCH("升星次数",坦克属性分配比例标头,0),FALSE)*VLOOKUP(VLOOKUP($BJ238,坦克个性化设定!$B$18:$E$48,4,FALSE)&amp;$BK238,坦克属性分配比例,MATCH("升星比例",坦克属性分配比例标头,0),FALSE),0)</f>
        <v>651</v>
      </c>
      <c r="BO238" s="103">
        <f ca="1">ROUND(VLOOKUP($BJ238&amp;"初始",$S$3:$AE$63,MATCH(BO$3,$S$3:$AE$3,0),FALSE)+(VLOOKUP($BJ238&amp;"最终",$S$3:$AE$63,MATCH(BO$3,$S$3:$AE$3,0),FALSE)-VLOOKUP($BJ238&amp;"初始",$S$3:$AE$63,MATCH(BO$3,$S$3:$AE$3,0),FALSE))*$BL238/VLOOKUP(VLOOKUP($BJ238,坦克个性化设定!$B$18:$E$48,4,FALSE)&amp;$BK238,坦克属性分配比例,MATCH("升星次数",坦克属性分配比例标头,0),FALSE)*(VLOOKUP(VLOOKUP($BJ238,坦克个性化设定!$B$18:$E$48,4,FALSE)&amp;$BK238,坦克属性分配比例,MATCH("升星比例",坦克属性分配比例标头,0),FALSE)+VLOOKUP(VLOOKUP($BJ238,坦克个性化设定!$B$18:$E$48,4,FALSE)&amp;$BK238,坦克属性分配比例,MATCH("部件比例",坦克属性分配比例标头,0),FALSE)*$C$3),0)</f>
        <v>627</v>
      </c>
      <c r="BP238" s="103">
        <f ca="1">ROUND(VLOOKUP($BJ238&amp;"初始",$S$3:$AE$63,MATCH(BP$3,$S$3:$AE$3,0),FALSE)+(VLOOKUP($BJ238&amp;"最终",$S$3:$AE$63,MATCH(BP$3,$S$3:$AE$3,0),FALSE)-VLOOKUP($BJ238&amp;"初始",$S$3:$AE$63,MATCH(BP$3,$S$3:$AE$3,0),FALSE))*$BL238/VLOOKUP(VLOOKUP($BJ238,坦克个性化设定!$B$18:$E$48,4,FALSE)&amp;$BK238,坦克属性分配比例,MATCH("升星次数",坦克属性分配比例标头,0),FALSE)*(VLOOKUP(VLOOKUP($BJ238,坦克个性化设定!$B$18:$E$48,4,FALSE)&amp;$BK238,坦克属性分配比例,MATCH("升星比例",坦克属性分配比例标头,0),FALSE)+VLOOKUP(VLOOKUP($BJ238,坦克个性化设定!$B$18:$E$48,4,FALSE)&amp;$BK238,坦克属性分配比例,MATCH("部件比例",坦克属性分配比例标头,0),FALSE)*$C$3),0)</f>
        <v>502</v>
      </c>
      <c r="BQ238" s="103">
        <f ca="1">ROUND(VLOOKUP($BJ238&amp;"初始",$S$3:$AE$63,MATCH(BQ$3,$S$3:$AE$3,0),FALSE)+(VLOOKUP($BJ238&amp;"最终",$S$3:$AE$63,MATCH(BQ$3,$S$3:$AE$3,0),FALSE)-VLOOKUP($BJ238&amp;"初始",$S$3:$AE$63,MATCH(BQ$3,$S$3:$AE$3,0),FALSE))*$BL238/VLOOKUP(VLOOKUP($BJ238,坦克个性化设定!$B$18:$E$48,4,FALSE)&amp;$BK238,坦克属性分配比例,MATCH("升星次数",坦克属性分配比例标头,0),FALSE)*VLOOKUP(VLOOKUP($BJ238,坦克个性化设定!$B$18:$E$48,4,FALSE)&amp;$BK238,坦克属性分配比例,MATCH("升星比例",坦克属性分配比例标头,0),FALSE),0)</f>
        <v>776</v>
      </c>
      <c r="BR238" s="2">
        <f ca="1">ROUND(VLOOKUP($BJ238&amp;"初始",$S$3:$AE$63,MATCH(BR$3,$S$3:$AE$3,0),FALSE)+(VLOOKUP($BJ238&amp;"最终",$S$3:$AE$63,MATCH(BR$3,$S$3:$AE$3,0),FALSE)-VLOOKUP($BJ238&amp;"初始",$S$3:$AE$63,MATCH(BR$3,$S$3:$AE$3,0),FALSE))*$BL238/VLOOKUP(VLOOKUP($BJ238,坦克个性化设定!$B$18:$E$48,4,FALSE)&amp;$BK238,坦克属性分配比例,MATCH("升星次数",坦克属性分配比例标头,0),FALSE),0)</f>
        <v>205</v>
      </c>
      <c r="BS238" s="2">
        <f>ROUND(VLOOKUP($BJ238,$AI$3:$AO$33,MATCH(BS$3,$AI$3:$AO$3,0),FALSE)+$BL238/VLOOKUP(VLOOKUP($BJ238,坦克个性化设定!$B$18:$E$48,4,FALSE)&amp;$BK238,坦克属性分配比例,MATCH("升星次数",坦克属性分配比例标头,0),FALSE)*VLOOKUP($BJ238,$AR$3:$AY$33,MATCH(BS$3,$AR$3:$AY$3,0),FALSE),1)</f>
        <v>37.5</v>
      </c>
      <c r="BT238" s="2">
        <f>ROUND(VLOOKUP($BJ238,$AI$3:$AO$33,MATCH(BT$3,$AI$3:$AO$3,0),FALSE)+$BL238/VLOOKUP(VLOOKUP($BJ238,坦克个性化设定!$B$18:$E$48,4,FALSE)&amp;$BK238,坦克属性分配比例,MATCH("升星次数",坦克属性分配比例标头,0),FALSE)*VLOOKUP($BJ238,$AR$3:$AY$33,MATCH(BT$3,$AR$3:$AY$3,0),FALSE),1)</f>
        <v>41.1</v>
      </c>
      <c r="BU238" s="2">
        <f>ROUND(VLOOKUP($BJ238,$AI$3:$AO$33,MATCH(BU$3,$AI$3:$AO$3,0),FALSE)+$BL238/VLOOKUP(VLOOKUP($BJ238,坦克个性化设定!$B$18:$E$48,4,FALSE)&amp;$BK238,坦克属性分配比例,MATCH("升星次数",坦克属性分配比例标头,0),FALSE)*VLOOKUP($BJ238,$AR$3:$AY$33,MATCH(BU$3,$AR$3:$AY$3,0),FALSE),1)</f>
        <v>6.3</v>
      </c>
      <c r="BV238" s="2">
        <f>IF(VLOOKUP(BJ238,坦克个性化设定!$B$18:$BC$48,MATCH("装弹类型",坦克个性化设定!$B$18:$BC$18,0),FALSE)="弹夹换弹",0,ROUND(VLOOKUP($BJ238,$AI$3:$AO$33,MATCH("换弹时间",$AI$3:$AO$3,0),FALSE)-$BL238/VLOOKUP(VLOOKUP($BJ238,坦克个性化设定!$B$18:$E$48,4,FALSE)&amp;$BK238,坦克属性分配比例,MATCH("升星次数",坦克属性分配比例标头,0),FALSE)*VLOOKUP($BJ238,$AR$3:$AY$33,MATCH("换弹时间",$AR$3:$AY$3,0),FALSE),2))</f>
        <v>5.24</v>
      </c>
      <c r="BW238" s="2">
        <f>IF(VLOOKUP(BJ238,坦克个性化设定!$B$18:$BC$48,MATCH("装弹类型",坦克个性化设定!$B$18:$BC$18,0),FALSE)="弹夹换弹",ROUND(VLOOKUP($BJ238,$AI$3:$AO$33,MATCH("换弹时间",$AI$3:$AO$3,0),FALSE)-$BL238/VLOOKUP(VLOOKUP($BJ238,坦克个性化设定!$B$18:$E$48,4,FALSE)&amp;$BK238,坦克属性分配比例,MATCH("升星次数",坦克属性分配比例标头,0),FALSE)*VLOOKUP($BJ238,$AR$3:$AY$33,MATCH("换弹时间",$AR$3:$AY$3,0),FALSE),1),0)</f>
        <v>0</v>
      </c>
      <c r="BX238" s="2">
        <f>ROUND(VLOOKUP($BJ238,$AI$3:$AO$33,MATCH(BX$3,$AI$3:$AO$3,0),FALSE)+$BL238/VLOOKUP(VLOOKUP($BJ238,坦克个性化设定!$B$18:$E$48,4,FALSE)&amp;$BK238,坦克属性分配比例,MATCH("升星次数",坦克属性分配比例标头,0),FALSE)*VLOOKUP($BJ238,$AR$3:$AY$33,MATCH(BX$3,$AR$3:$AY$3,0),FALSE),2)</f>
        <v>0</v>
      </c>
      <c r="BY238" s="2">
        <f>ROUND(VLOOKUP($BJ238,$AI$3:$AO$33,MATCH(BY$3,$AI$3:$AO$3,0),FALSE)-$BL238/VLOOKUP(VLOOKUP($BJ238,坦克个性化设定!$B$18:$E$48,4,FALSE)&amp;$BK238,坦克属性分配比例,MATCH("升星次数",坦克属性分配比例标头,0),FALSE)*VLOOKUP($BJ238,$AR$3:$AY$33,MATCH(BY$3,$AR$3:$AY$3,0),FALSE),2)</f>
        <v>2.56</v>
      </c>
    </row>
    <row r="239" spans="60:77" x14ac:dyDescent="0.3">
      <c r="BH239" s="2" t="str">
        <f t="shared" si="32"/>
        <v>黑豹9</v>
      </c>
      <c r="BI239" s="2">
        <f>IF(BL238&gt;=VLOOKUP(VLOOKUP(BJ238,坦克个性化设定!$B$18:$E$48,4,FALSE)&amp;BK238,坦克属性分配比例,MATCH("升星次数",坦克属性分配比例标头,0),FALSE),BI238+1,BI238)</f>
        <v>24</v>
      </c>
      <c r="BJ239" s="2" t="str">
        <f t="shared" si="33"/>
        <v>黑豹</v>
      </c>
      <c r="BK239" s="29" t="str">
        <f>VLOOKUP(BJ239,坦克个性化细分!$I$3:$J$33,2,FALSE)</f>
        <v>低</v>
      </c>
      <c r="BL239" s="2">
        <f t="shared" si="34"/>
        <v>9</v>
      </c>
      <c r="BM239" s="103">
        <f ca="1">ROUND(VLOOKUP($BJ239&amp;"初始",$S$3:$AE$63,MATCH(BM$3,$S$3:$AE$3,0),FALSE)+((VLOOKUP($BJ239&amp;"最终",$S$3:$AE$63,MATCH(BM$3,$S$3:$AE$3,0),FALSE)*坦克个性化细分!$C$9-VLOOKUP($BJ239&amp;"初始",$S$3:$AE$63,MATCH(BM$3,$S$3:$AE$3,0),FALSE))-(VLOOKUP($BJ239&amp;"最终",$S$3:$AE$63,MATCH(BM$3,$S$3:$AE$3,0),FALSE)-VLOOKUP($BJ239&amp;"初始",$S$3:$AE$63,MATCH(BM$3,$S$3:$AE$3,0),FALSE))*VLOOKUP(VLOOKUP($BJ239,坦克个性化设定!$B$18:$E$48,4,FALSE)&amp;$BK239,坦克属性分配比例,MATCH("部件比例",坦克属性分配比例标头,0),FALSE))*$BL239/VLOOKUP(VLOOKUP($BJ239,坦克个性化设定!$B$18:$E$48,4,FALSE)&amp;$BK239,坦克属性分配比例,MATCH("升星次数",坦克属性分配比例标头,0),FALSE),0)</f>
        <v>2147</v>
      </c>
      <c r="BN239" s="103">
        <f ca="1">ROUND(VLOOKUP($BJ239&amp;"初始",$S$3:$AE$63,MATCH(BN$3,$S$3:$AE$3,0),FALSE)+(VLOOKUP($BJ239&amp;"最终",$S$3:$AE$63,MATCH(BN$3,$S$3:$AE$3,0),FALSE)-VLOOKUP($BJ239&amp;"初始",$S$3:$AE$63,MATCH(BN$3,$S$3:$AE$3,0),FALSE))*$BL239/VLOOKUP(VLOOKUP($BJ239,坦克个性化设定!$B$18:$E$48,4,FALSE)&amp;$BK239,坦克属性分配比例,MATCH("升星次数",坦克属性分配比例标头,0),FALSE)*VLOOKUP(VLOOKUP($BJ239,坦克个性化设定!$B$18:$E$48,4,FALSE)&amp;$BK239,坦克属性分配比例,MATCH("升星比例",坦克属性分配比例标头,0),FALSE),0)</f>
        <v>667</v>
      </c>
      <c r="BO239" s="103">
        <f ca="1">ROUND(VLOOKUP($BJ239&amp;"初始",$S$3:$AE$63,MATCH(BO$3,$S$3:$AE$3,0),FALSE)+(VLOOKUP($BJ239&amp;"最终",$S$3:$AE$63,MATCH(BO$3,$S$3:$AE$3,0),FALSE)-VLOOKUP($BJ239&amp;"初始",$S$3:$AE$63,MATCH(BO$3,$S$3:$AE$3,0),FALSE))*$BL239/VLOOKUP(VLOOKUP($BJ239,坦克个性化设定!$B$18:$E$48,4,FALSE)&amp;$BK239,坦克属性分配比例,MATCH("升星次数",坦克属性分配比例标头,0),FALSE)*(VLOOKUP(VLOOKUP($BJ239,坦克个性化设定!$B$18:$E$48,4,FALSE)&amp;$BK239,坦克属性分配比例,MATCH("升星比例",坦克属性分配比例标头,0),FALSE)+VLOOKUP(VLOOKUP($BJ239,坦克个性化设定!$B$18:$E$48,4,FALSE)&amp;$BK239,坦克属性分配比例,MATCH("部件比例",坦克属性分配比例标头,0),FALSE)*$C$3),0)</f>
        <v>647</v>
      </c>
      <c r="BP239" s="103">
        <f ca="1">ROUND(VLOOKUP($BJ239&amp;"初始",$S$3:$AE$63,MATCH(BP$3,$S$3:$AE$3,0),FALSE)+(VLOOKUP($BJ239&amp;"最终",$S$3:$AE$63,MATCH(BP$3,$S$3:$AE$3,0),FALSE)-VLOOKUP($BJ239&amp;"初始",$S$3:$AE$63,MATCH(BP$3,$S$3:$AE$3,0),FALSE))*$BL239/VLOOKUP(VLOOKUP($BJ239,坦克个性化设定!$B$18:$E$48,4,FALSE)&amp;$BK239,坦克属性分配比例,MATCH("升星次数",坦克属性分配比例标头,0),FALSE)*(VLOOKUP(VLOOKUP($BJ239,坦克个性化设定!$B$18:$E$48,4,FALSE)&amp;$BK239,坦克属性分配比例,MATCH("升星比例",坦克属性分配比例标头,0),FALSE)+VLOOKUP(VLOOKUP($BJ239,坦克个性化设定!$B$18:$E$48,4,FALSE)&amp;$BK239,坦克属性分配比例,MATCH("部件比例",坦克属性分配比例标头,0),FALSE)*$C$3),0)</f>
        <v>518</v>
      </c>
      <c r="BQ239" s="103">
        <f ca="1">ROUND(VLOOKUP($BJ239&amp;"初始",$S$3:$AE$63,MATCH(BQ$3,$S$3:$AE$3,0),FALSE)+(VLOOKUP($BJ239&amp;"最终",$S$3:$AE$63,MATCH(BQ$3,$S$3:$AE$3,0),FALSE)-VLOOKUP($BJ239&amp;"初始",$S$3:$AE$63,MATCH(BQ$3,$S$3:$AE$3,0),FALSE))*$BL239/VLOOKUP(VLOOKUP($BJ239,坦克个性化设定!$B$18:$E$48,4,FALSE)&amp;$BK239,坦克属性分配比例,MATCH("升星次数",坦克属性分配比例标头,0),FALSE)*VLOOKUP(VLOOKUP($BJ239,坦克个性化设定!$B$18:$E$48,4,FALSE)&amp;$BK239,坦克属性分配比例,MATCH("升星比例",坦克属性分配比例标头,0),FALSE),0)</f>
        <v>795</v>
      </c>
      <c r="BR239" s="2">
        <f ca="1">ROUND(VLOOKUP($BJ239&amp;"初始",$S$3:$AE$63,MATCH(BR$3,$S$3:$AE$3,0),FALSE)+(VLOOKUP($BJ239&amp;"最终",$S$3:$AE$63,MATCH(BR$3,$S$3:$AE$3,0),FALSE)-VLOOKUP($BJ239&amp;"初始",$S$3:$AE$63,MATCH(BR$3,$S$3:$AE$3,0),FALSE))*$BL239/VLOOKUP(VLOOKUP($BJ239,坦克个性化设定!$B$18:$E$48,4,FALSE)&amp;$BK239,坦克属性分配比例,MATCH("升星次数",坦克属性分配比例标头,0),FALSE),0)</f>
        <v>212</v>
      </c>
      <c r="BS239" s="2">
        <f>ROUND(VLOOKUP($BJ239,$AI$3:$AO$33,MATCH(BS$3,$AI$3:$AO$3,0),FALSE)+$BL239/VLOOKUP(VLOOKUP($BJ239,坦克个性化设定!$B$18:$E$48,4,FALSE)&amp;$BK239,坦克属性分配比例,MATCH("升星次数",坦克属性分配比例标头,0),FALSE)*VLOOKUP($BJ239,$AR$3:$AY$33,MATCH(BS$3,$AR$3:$AY$3,0),FALSE),1)</f>
        <v>38.4</v>
      </c>
      <c r="BT239" s="2">
        <f>ROUND(VLOOKUP($BJ239,$AI$3:$AO$33,MATCH(BT$3,$AI$3:$AO$3,0),FALSE)+$BL239/VLOOKUP(VLOOKUP($BJ239,坦克个性化设定!$B$18:$E$48,4,FALSE)&amp;$BK239,坦克属性分配比例,MATCH("升星次数",坦克属性分配比例标头,0),FALSE)*VLOOKUP($BJ239,$AR$3:$AY$33,MATCH(BT$3,$AR$3:$AY$3,0),FALSE),1)</f>
        <v>42</v>
      </c>
      <c r="BU239" s="2">
        <f>ROUND(VLOOKUP($BJ239,$AI$3:$AO$33,MATCH(BU$3,$AI$3:$AO$3,0),FALSE)+$BL239/VLOOKUP(VLOOKUP($BJ239,坦克个性化设定!$B$18:$E$48,4,FALSE)&amp;$BK239,坦克属性分配比例,MATCH("升星次数",坦克属性分配比例标头,0),FALSE)*VLOOKUP($BJ239,$AR$3:$AY$33,MATCH(BU$3,$AR$3:$AY$3,0),FALSE),1)</f>
        <v>6.3</v>
      </c>
      <c r="BV239" s="2">
        <f>IF(VLOOKUP(BJ239,坦克个性化设定!$B$18:$BC$48,MATCH("装弹类型",坦克个性化设定!$B$18:$BC$18,0),FALSE)="弹夹换弹",0,ROUND(VLOOKUP($BJ239,$AI$3:$AO$33,MATCH("换弹时间",$AI$3:$AO$3,0),FALSE)-$BL239/VLOOKUP(VLOOKUP($BJ239,坦克个性化设定!$B$18:$E$48,4,FALSE)&amp;$BK239,坦克属性分配比例,MATCH("升星次数",坦克属性分配比例标头,0),FALSE)*VLOOKUP($BJ239,$AR$3:$AY$33,MATCH("换弹时间",$AR$3:$AY$3,0),FALSE),2))</f>
        <v>5.15</v>
      </c>
      <c r="BW239" s="2">
        <f>IF(VLOOKUP(BJ239,坦克个性化设定!$B$18:$BC$48,MATCH("装弹类型",坦克个性化设定!$B$18:$BC$18,0),FALSE)="弹夹换弹",ROUND(VLOOKUP($BJ239,$AI$3:$AO$33,MATCH("换弹时间",$AI$3:$AO$3,0),FALSE)-$BL239/VLOOKUP(VLOOKUP($BJ239,坦克个性化设定!$B$18:$E$48,4,FALSE)&amp;$BK239,坦克属性分配比例,MATCH("升星次数",坦克属性分配比例标头,0),FALSE)*VLOOKUP($BJ239,$AR$3:$AY$33,MATCH("换弹时间",$AR$3:$AY$3,0),FALSE),1),0)</f>
        <v>0</v>
      </c>
      <c r="BX239" s="2">
        <f>ROUND(VLOOKUP($BJ239,$AI$3:$AO$33,MATCH(BX$3,$AI$3:$AO$3,0),FALSE)+$BL239/VLOOKUP(VLOOKUP($BJ239,坦克个性化设定!$B$18:$E$48,4,FALSE)&amp;$BK239,坦克属性分配比例,MATCH("升星次数",坦克属性分配比例标头,0),FALSE)*VLOOKUP($BJ239,$AR$3:$AY$33,MATCH(BX$3,$AR$3:$AY$3,0),FALSE),2)</f>
        <v>0</v>
      </c>
      <c r="BY239" s="2">
        <f>ROUND(VLOOKUP($BJ239,$AI$3:$AO$33,MATCH(BY$3,$AI$3:$AO$3,0),FALSE)-$BL239/VLOOKUP(VLOOKUP($BJ239,坦克个性化设定!$B$18:$E$48,4,FALSE)&amp;$BK239,坦克属性分配比例,MATCH("升星次数",坦克属性分配比例标头,0),FALSE)*VLOOKUP($BJ239,$AR$3:$AY$33,MATCH(BY$3,$AR$3:$AY$3,0),FALSE),2)</f>
        <v>2.5</v>
      </c>
    </row>
    <row r="240" spans="60:77" x14ac:dyDescent="0.3">
      <c r="BH240" s="2" t="str">
        <f t="shared" si="32"/>
        <v>虎式0</v>
      </c>
      <c r="BI240" s="2">
        <f>IF(BL239&gt;=VLOOKUP(VLOOKUP(BJ239,坦克个性化设定!$B$18:$E$48,4,FALSE)&amp;BK239,坦克属性分配比例,MATCH("升星次数",坦克属性分配比例标头,0),FALSE),BI239+1,BI239)</f>
        <v>25</v>
      </c>
      <c r="BJ240" s="2" t="str">
        <f t="shared" si="33"/>
        <v>虎式</v>
      </c>
      <c r="BK240" s="29" t="str">
        <f>VLOOKUP(BJ240,坦克个性化细分!$I$3:$J$33,2,FALSE)</f>
        <v>中</v>
      </c>
      <c r="BL240" s="2">
        <f t="shared" si="34"/>
        <v>0</v>
      </c>
      <c r="BM240" s="103">
        <f ca="1">ROUND(VLOOKUP($BJ240&amp;"初始",$S$3:$AE$63,MATCH(BM$3,$S$3:$AE$3,0),FALSE)+((VLOOKUP($BJ240&amp;"最终",$S$3:$AE$63,MATCH(BM$3,$S$3:$AE$3,0),FALSE)*坦克个性化细分!$C$9-VLOOKUP($BJ240&amp;"初始",$S$3:$AE$63,MATCH(BM$3,$S$3:$AE$3,0),FALSE))-(VLOOKUP($BJ240&amp;"最终",$S$3:$AE$63,MATCH(BM$3,$S$3:$AE$3,0),FALSE)-VLOOKUP($BJ240&amp;"初始",$S$3:$AE$63,MATCH(BM$3,$S$3:$AE$3,0),FALSE))*VLOOKUP(VLOOKUP($BJ240,坦克个性化设定!$B$18:$E$48,4,FALSE)&amp;$BK240,坦克属性分配比例,MATCH("部件比例",坦克属性分配比例标头,0),FALSE))*$BL240/VLOOKUP(VLOOKUP($BJ240,坦克个性化设定!$B$18:$E$48,4,FALSE)&amp;$BK240,坦克属性分配比例,MATCH("升星次数",坦克属性分配比例标头,0),FALSE),0)</f>
        <v>1455</v>
      </c>
      <c r="BN240" s="103">
        <f ca="1">ROUND(VLOOKUP($BJ240&amp;"初始",$S$3:$AE$63,MATCH(BN$3,$S$3:$AE$3,0),FALSE)+(VLOOKUP($BJ240&amp;"最终",$S$3:$AE$63,MATCH(BN$3,$S$3:$AE$3,0),FALSE)-VLOOKUP($BJ240&amp;"初始",$S$3:$AE$63,MATCH(BN$3,$S$3:$AE$3,0),FALSE))*$BL240/VLOOKUP(VLOOKUP($BJ240,坦克个性化设定!$B$18:$E$48,4,FALSE)&amp;$BK240,坦克属性分配比例,MATCH("升星次数",坦克属性分配比例标头,0),FALSE)*VLOOKUP(VLOOKUP($BJ240,坦克个性化设定!$B$18:$E$48,4,FALSE)&amp;$BK240,坦克属性分配比例,MATCH("升星比例",坦克属性分配比例标头,0),FALSE),0)</f>
        <v>565</v>
      </c>
      <c r="BO240" s="103">
        <f ca="1">ROUND(VLOOKUP($BJ240&amp;"初始",$S$3:$AE$63,MATCH(BO$3,$S$3:$AE$3,0),FALSE)+(VLOOKUP($BJ240&amp;"最终",$S$3:$AE$63,MATCH(BO$3,$S$3:$AE$3,0),FALSE)-VLOOKUP($BJ240&amp;"初始",$S$3:$AE$63,MATCH(BO$3,$S$3:$AE$3,0),FALSE))*$BL240/VLOOKUP(VLOOKUP($BJ240,坦克个性化设定!$B$18:$E$48,4,FALSE)&amp;$BK240,坦克属性分配比例,MATCH("升星次数",坦克属性分配比例标头,0),FALSE)*(VLOOKUP(VLOOKUP($BJ240,坦克个性化设定!$B$18:$E$48,4,FALSE)&amp;$BK240,坦克属性分配比例,MATCH("升星比例",坦克属性分配比例标头,0),FALSE)+VLOOKUP(VLOOKUP($BJ240,坦克个性化设定!$B$18:$E$48,4,FALSE)&amp;$BK240,坦克属性分配比例,MATCH("部件比例",坦克属性分配比例标头,0),FALSE)*$C$3),0)</f>
        <v>484</v>
      </c>
      <c r="BP240" s="103">
        <f ca="1">ROUND(VLOOKUP($BJ240&amp;"初始",$S$3:$AE$63,MATCH(BP$3,$S$3:$AE$3,0),FALSE)+(VLOOKUP($BJ240&amp;"最终",$S$3:$AE$63,MATCH(BP$3,$S$3:$AE$3,0),FALSE)-VLOOKUP($BJ240&amp;"初始",$S$3:$AE$63,MATCH(BP$3,$S$3:$AE$3,0),FALSE))*$BL240/VLOOKUP(VLOOKUP($BJ240,坦克个性化设定!$B$18:$E$48,4,FALSE)&amp;$BK240,坦克属性分配比例,MATCH("升星次数",坦克属性分配比例标头,0),FALSE)*(VLOOKUP(VLOOKUP($BJ240,坦克个性化设定!$B$18:$E$48,4,FALSE)&amp;$BK240,坦克属性分配比例,MATCH("升星比例",坦克属性分配比例标头,0),FALSE)+VLOOKUP(VLOOKUP($BJ240,坦克个性化设定!$B$18:$E$48,4,FALSE)&amp;$BK240,坦克属性分配比例,MATCH("部件比例",坦克属性分配比例标头,0),FALSE)*$C$3),0)</f>
        <v>387</v>
      </c>
      <c r="BQ240" s="103">
        <f ca="1">ROUND(VLOOKUP($BJ240&amp;"初始",$S$3:$AE$63,MATCH(BQ$3,$S$3:$AE$3,0),FALSE)+(VLOOKUP($BJ240&amp;"最终",$S$3:$AE$63,MATCH(BQ$3,$S$3:$AE$3,0),FALSE)-VLOOKUP($BJ240&amp;"初始",$S$3:$AE$63,MATCH(BQ$3,$S$3:$AE$3,0),FALSE))*$BL240/VLOOKUP(VLOOKUP($BJ240,坦克个性化设定!$B$18:$E$48,4,FALSE)&amp;$BK240,坦克属性分配比例,MATCH("升星次数",坦克属性分配比例标头,0),FALSE)*VLOOKUP(VLOOKUP($BJ240,坦克个性化设定!$B$18:$E$48,4,FALSE)&amp;$BK240,坦克属性分配比例,MATCH("升星比例",坦克属性分配比例标头,0),FALSE),0)</f>
        <v>647</v>
      </c>
      <c r="BR240" s="2">
        <f ca="1">ROUND(VLOOKUP($BJ240&amp;"初始",$S$3:$AE$63,MATCH(BR$3,$S$3:$AE$3,0),FALSE)+(VLOOKUP($BJ240&amp;"最终",$S$3:$AE$63,MATCH(BR$3,$S$3:$AE$3,0),FALSE)-VLOOKUP($BJ240&amp;"初始",$S$3:$AE$63,MATCH(BR$3,$S$3:$AE$3,0),FALSE))*$BL240/VLOOKUP(VLOOKUP($BJ240,坦克个性化设定!$B$18:$E$48,4,FALSE)&amp;$BK240,坦克属性分配比例,MATCH("升星次数",坦克属性分配比例标头,0),FALSE),0)</f>
        <v>151</v>
      </c>
      <c r="BS240" s="2">
        <f>ROUND(VLOOKUP($BJ240,$AI$3:$AO$33,MATCH(BS$3,$AI$3:$AO$3,0),FALSE)+$BL240/VLOOKUP(VLOOKUP($BJ240,坦克个性化设定!$B$18:$E$48,4,FALSE)&amp;$BK240,坦克属性分配比例,MATCH("升星次数",坦克属性分配比例标头,0),FALSE)*VLOOKUP($BJ240,$AR$3:$AY$33,MATCH(BS$3,$AR$3:$AY$3,0),FALSE),1)</f>
        <v>31.3</v>
      </c>
      <c r="BT240" s="2">
        <f>ROUND(VLOOKUP($BJ240,$AI$3:$AO$33,MATCH(BT$3,$AI$3:$AO$3,0),FALSE)+$BL240/VLOOKUP(VLOOKUP($BJ240,坦克个性化设定!$B$18:$E$48,4,FALSE)&amp;$BK240,坦克属性分配比例,MATCH("升星次数",坦克属性分配比例标头,0),FALSE)*VLOOKUP($BJ240,$AR$3:$AY$33,MATCH(BT$3,$AR$3:$AY$3,0),FALSE),1)</f>
        <v>35.700000000000003</v>
      </c>
      <c r="BU240" s="2">
        <f>ROUND(VLOOKUP($BJ240,$AI$3:$AO$33,MATCH(BU$3,$AI$3:$AO$3,0),FALSE)+$BL240/VLOOKUP(VLOOKUP($BJ240,坦克个性化设定!$B$18:$E$48,4,FALSE)&amp;$BK240,坦克属性分配比例,MATCH("升星次数",坦克属性分配比例标头,0),FALSE)*VLOOKUP($BJ240,$AR$3:$AY$33,MATCH(BU$3,$AR$3:$AY$3,0),FALSE),1)</f>
        <v>6.4</v>
      </c>
      <c r="BV240" s="2">
        <f>IF(VLOOKUP(BJ240,坦克个性化设定!$B$18:$BC$48,MATCH("装弹类型",坦克个性化设定!$B$18:$BC$18,0),FALSE)="弹夹换弹",0,ROUND(VLOOKUP($BJ240,$AI$3:$AO$33,MATCH("换弹时间",$AI$3:$AO$3,0),FALSE)-$BL240/VLOOKUP(VLOOKUP($BJ240,坦克个性化设定!$B$18:$E$48,4,FALSE)&amp;$BK240,坦克属性分配比例,MATCH("升星次数",坦克属性分配比例标头,0),FALSE)*VLOOKUP($BJ240,$AR$3:$AY$33,MATCH("换弹时间",$AR$3:$AY$3,0),FALSE),2))</f>
        <v>6</v>
      </c>
      <c r="BW240" s="2">
        <f>IF(VLOOKUP(BJ240,坦克个性化设定!$B$18:$BC$48,MATCH("装弹类型",坦克个性化设定!$B$18:$BC$18,0),FALSE)="弹夹换弹",ROUND(VLOOKUP($BJ240,$AI$3:$AO$33,MATCH("换弹时间",$AI$3:$AO$3,0),FALSE)-$BL240/VLOOKUP(VLOOKUP($BJ240,坦克个性化设定!$B$18:$E$48,4,FALSE)&amp;$BK240,坦克属性分配比例,MATCH("升星次数",坦克属性分配比例标头,0),FALSE)*VLOOKUP($BJ240,$AR$3:$AY$33,MATCH("换弹时间",$AR$3:$AY$3,0),FALSE),1),0)</f>
        <v>0</v>
      </c>
      <c r="BX240" s="2">
        <f>ROUND(VLOOKUP($BJ240,$AI$3:$AO$33,MATCH(BX$3,$AI$3:$AO$3,0),FALSE)+$BL240/VLOOKUP(VLOOKUP($BJ240,坦克个性化设定!$B$18:$E$48,4,FALSE)&amp;$BK240,坦克属性分配比例,MATCH("升星次数",坦克属性分配比例标头,0),FALSE)*VLOOKUP($BJ240,$AR$3:$AY$33,MATCH(BX$3,$AR$3:$AY$3,0),FALSE),2)</f>
        <v>0</v>
      </c>
      <c r="BY240" s="2">
        <f>ROUND(VLOOKUP($BJ240,$AI$3:$AO$33,MATCH(BY$3,$AI$3:$AO$3,0),FALSE)-$BL240/VLOOKUP(VLOOKUP($BJ240,坦克个性化设定!$B$18:$E$48,4,FALSE)&amp;$BK240,坦克属性分配比例,MATCH("升星次数",坦克属性分配比例标头,0),FALSE)*VLOOKUP($BJ240,$AR$3:$AY$33,MATCH(BY$3,$AR$3:$AY$3,0),FALSE),2)</f>
        <v>3</v>
      </c>
    </row>
    <row r="241" spans="60:77" x14ac:dyDescent="0.3">
      <c r="BH241" s="2" t="str">
        <f t="shared" si="32"/>
        <v>虎式1</v>
      </c>
      <c r="BI241" s="2">
        <f>IF(BL240&gt;=VLOOKUP(VLOOKUP(BJ240,坦克个性化设定!$B$18:$E$48,4,FALSE)&amp;BK240,坦克属性分配比例,MATCH("升星次数",坦克属性分配比例标头,0),FALSE),BI240+1,BI240)</f>
        <v>25</v>
      </c>
      <c r="BJ241" s="2" t="str">
        <f t="shared" si="33"/>
        <v>虎式</v>
      </c>
      <c r="BK241" s="29" t="str">
        <f>VLOOKUP(BJ241,坦克个性化细分!$I$3:$J$33,2,FALSE)</f>
        <v>中</v>
      </c>
      <c r="BL241" s="2">
        <f t="shared" si="34"/>
        <v>1</v>
      </c>
      <c r="BM241" s="103">
        <f ca="1">ROUND(VLOOKUP($BJ241&amp;"初始",$S$3:$AE$63,MATCH(BM$3,$S$3:$AE$3,0),FALSE)+((VLOOKUP($BJ241&amp;"最终",$S$3:$AE$63,MATCH(BM$3,$S$3:$AE$3,0),FALSE)*坦克个性化细分!$C$9-VLOOKUP($BJ241&amp;"初始",$S$3:$AE$63,MATCH(BM$3,$S$3:$AE$3,0),FALSE))-(VLOOKUP($BJ241&amp;"最终",$S$3:$AE$63,MATCH(BM$3,$S$3:$AE$3,0),FALSE)-VLOOKUP($BJ241&amp;"初始",$S$3:$AE$63,MATCH(BM$3,$S$3:$AE$3,0),FALSE))*VLOOKUP(VLOOKUP($BJ241,坦克个性化设定!$B$18:$E$48,4,FALSE)&amp;$BK241,坦克属性分配比例,MATCH("部件比例",坦克属性分配比例标头,0),FALSE))*$BL241/VLOOKUP(VLOOKUP($BJ241,坦克个性化设定!$B$18:$E$48,4,FALSE)&amp;$BK241,坦克属性分配比例,MATCH("升星次数",坦克属性分配比例标头,0),FALSE),0)</f>
        <v>1538</v>
      </c>
      <c r="BN241" s="103">
        <f ca="1">ROUND(VLOOKUP($BJ241&amp;"初始",$S$3:$AE$63,MATCH(BN$3,$S$3:$AE$3,0),FALSE)+(VLOOKUP($BJ241&amp;"最终",$S$3:$AE$63,MATCH(BN$3,$S$3:$AE$3,0),FALSE)-VLOOKUP($BJ241&amp;"初始",$S$3:$AE$63,MATCH(BN$3,$S$3:$AE$3,0),FALSE))*$BL241/VLOOKUP(VLOOKUP($BJ241,坦克个性化设定!$B$18:$E$48,4,FALSE)&amp;$BK241,坦克属性分配比例,MATCH("升星次数",坦克属性分配比例标头,0),FALSE)*VLOOKUP(VLOOKUP($BJ241,坦克个性化设定!$B$18:$E$48,4,FALSE)&amp;$BK241,坦克属性分配比例,MATCH("升星比例",坦克属性分配比例标头,0),FALSE),0)</f>
        <v>584</v>
      </c>
      <c r="BO241" s="103">
        <f ca="1">ROUND(VLOOKUP($BJ241&amp;"初始",$S$3:$AE$63,MATCH(BO$3,$S$3:$AE$3,0),FALSE)+(VLOOKUP($BJ241&amp;"最终",$S$3:$AE$63,MATCH(BO$3,$S$3:$AE$3,0),FALSE)-VLOOKUP($BJ241&amp;"初始",$S$3:$AE$63,MATCH(BO$3,$S$3:$AE$3,0),FALSE))*$BL241/VLOOKUP(VLOOKUP($BJ241,坦克个性化设定!$B$18:$E$48,4,FALSE)&amp;$BK241,坦克属性分配比例,MATCH("升星次数",坦克属性分配比例标头,0),FALSE)*(VLOOKUP(VLOOKUP($BJ241,坦克个性化设定!$B$18:$E$48,4,FALSE)&amp;$BK241,坦克属性分配比例,MATCH("升星比例",坦克属性分配比例标头,0),FALSE)+VLOOKUP(VLOOKUP($BJ241,坦克个性化设定!$B$18:$E$48,4,FALSE)&amp;$BK241,坦克属性分配比例,MATCH("部件比例",坦克属性分配比例标头,0),FALSE)*$C$3),0)</f>
        <v>506</v>
      </c>
      <c r="BP241" s="103">
        <f ca="1">ROUND(VLOOKUP($BJ241&amp;"初始",$S$3:$AE$63,MATCH(BP$3,$S$3:$AE$3,0),FALSE)+(VLOOKUP($BJ241&amp;"最终",$S$3:$AE$63,MATCH(BP$3,$S$3:$AE$3,0),FALSE)-VLOOKUP($BJ241&amp;"初始",$S$3:$AE$63,MATCH(BP$3,$S$3:$AE$3,0),FALSE))*$BL241/VLOOKUP(VLOOKUP($BJ241,坦克个性化设定!$B$18:$E$48,4,FALSE)&amp;$BK241,坦克属性分配比例,MATCH("升星次数",坦克属性分配比例标头,0),FALSE)*(VLOOKUP(VLOOKUP($BJ241,坦克个性化设定!$B$18:$E$48,4,FALSE)&amp;$BK241,坦克属性分配比例,MATCH("升星比例",坦克属性分配比例标头,0),FALSE)+VLOOKUP(VLOOKUP($BJ241,坦克个性化设定!$B$18:$E$48,4,FALSE)&amp;$BK241,坦克属性分配比例,MATCH("部件比例",坦克属性分配比例标头,0),FALSE)*$C$3),0)</f>
        <v>404</v>
      </c>
      <c r="BQ241" s="103">
        <f ca="1">ROUND(VLOOKUP($BJ241&amp;"初始",$S$3:$AE$63,MATCH(BQ$3,$S$3:$AE$3,0),FALSE)+(VLOOKUP($BJ241&amp;"最终",$S$3:$AE$63,MATCH(BQ$3,$S$3:$AE$3,0),FALSE)-VLOOKUP($BJ241&amp;"初始",$S$3:$AE$63,MATCH(BQ$3,$S$3:$AE$3,0),FALSE))*$BL241/VLOOKUP(VLOOKUP($BJ241,坦克个性化设定!$B$18:$E$48,4,FALSE)&amp;$BK241,坦克属性分配比例,MATCH("升星次数",坦克属性分配比例标头,0),FALSE)*VLOOKUP(VLOOKUP($BJ241,坦克个性化设定!$B$18:$E$48,4,FALSE)&amp;$BK241,坦克属性分配比例,MATCH("升星比例",坦克属性分配比例标头,0),FALSE),0)</f>
        <v>668</v>
      </c>
      <c r="BR241" s="2">
        <f ca="1">ROUND(VLOOKUP($BJ241&amp;"初始",$S$3:$AE$63,MATCH(BR$3,$S$3:$AE$3,0),FALSE)+(VLOOKUP($BJ241&amp;"最终",$S$3:$AE$63,MATCH(BR$3,$S$3:$AE$3,0),FALSE)-VLOOKUP($BJ241&amp;"初始",$S$3:$AE$63,MATCH(BR$3,$S$3:$AE$3,0),FALSE))*$BL241/VLOOKUP(VLOOKUP($BJ241,坦克个性化设定!$B$18:$E$48,4,FALSE)&amp;$BK241,坦克属性分配比例,MATCH("升星次数",坦克属性分配比例标头,0),FALSE),0)</f>
        <v>159</v>
      </c>
      <c r="BS241" s="2">
        <f>ROUND(VLOOKUP($BJ241,$AI$3:$AO$33,MATCH(BS$3,$AI$3:$AO$3,0),FALSE)+$BL241/VLOOKUP(VLOOKUP($BJ241,坦克个性化设定!$B$18:$E$48,4,FALSE)&amp;$BK241,坦克属性分配比例,MATCH("升星次数",坦克属性分配比例标头,0),FALSE)*VLOOKUP($BJ241,$AR$3:$AY$33,MATCH(BS$3,$AR$3:$AY$3,0),FALSE),1)</f>
        <v>32.200000000000003</v>
      </c>
      <c r="BT241" s="2">
        <f>ROUND(VLOOKUP($BJ241,$AI$3:$AO$33,MATCH(BT$3,$AI$3:$AO$3,0),FALSE)+$BL241/VLOOKUP(VLOOKUP($BJ241,坦克个性化设定!$B$18:$E$48,4,FALSE)&amp;$BK241,坦克属性分配比例,MATCH("升星次数",坦克属性分配比例标头,0),FALSE)*VLOOKUP($BJ241,$AR$3:$AY$33,MATCH(BT$3,$AR$3:$AY$3,0),FALSE),1)</f>
        <v>36.700000000000003</v>
      </c>
      <c r="BU241" s="2">
        <f>ROUND(VLOOKUP($BJ241,$AI$3:$AO$33,MATCH(BU$3,$AI$3:$AO$3,0),FALSE)+$BL241/VLOOKUP(VLOOKUP($BJ241,坦克个性化设定!$B$18:$E$48,4,FALSE)&amp;$BK241,坦克属性分配比例,MATCH("升星次数",坦克属性分配比例标头,0),FALSE)*VLOOKUP($BJ241,$AR$3:$AY$33,MATCH(BU$3,$AR$3:$AY$3,0),FALSE),1)</f>
        <v>6.4</v>
      </c>
      <c r="BV241" s="2">
        <f>IF(VLOOKUP(BJ241,坦克个性化设定!$B$18:$BC$48,MATCH("装弹类型",坦克个性化设定!$B$18:$BC$18,0),FALSE)="弹夹换弹",0,ROUND(VLOOKUP($BJ241,$AI$3:$AO$33,MATCH("换弹时间",$AI$3:$AO$3,0),FALSE)-$BL241/VLOOKUP(VLOOKUP($BJ241,坦克个性化设定!$B$18:$E$48,4,FALSE)&amp;$BK241,坦克属性分配比例,MATCH("升星次数",坦克属性分配比例标头,0),FALSE)*VLOOKUP($BJ241,$AR$3:$AY$33,MATCH("换弹时间",$AR$3:$AY$3,0),FALSE),2))</f>
        <v>5.91</v>
      </c>
      <c r="BW241" s="2">
        <f>IF(VLOOKUP(BJ241,坦克个性化设定!$B$18:$BC$48,MATCH("装弹类型",坦克个性化设定!$B$18:$BC$18,0),FALSE)="弹夹换弹",ROUND(VLOOKUP($BJ241,$AI$3:$AO$33,MATCH("换弹时间",$AI$3:$AO$3,0),FALSE)-$BL241/VLOOKUP(VLOOKUP($BJ241,坦克个性化设定!$B$18:$E$48,4,FALSE)&amp;$BK241,坦克属性分配比例,MATCH("升星次数",坦克属性分配比例标头,0),FALSE)*VLOOKUP($BJ241,$AR$3:$AY$33,MATCH("换弹时间",$AR$3:$AY$3,0),FALSE),1),0)</f>
        <v>0</v>
      </c>
      <c r="BX241" s="2">
        <f>ROUND(VLOOKUP($BJ241,$AI$3:$AO$33,MATCH(BX$3,$AI$3:$AO$3,0),FALSE)+$BL241/VLOOKUP(VLOOKUP($BJ241,坦克个性化设定!$B$18:$E$48,4,FALSE)&amp;$BK241,坦克属性分配比例,MATCH("升星次数",坦克属性分配比例标头,0),FALSE)*VLOOKUP($BJ241,$AR$3:$AY$33,MATCH(BX$3,$AR$3:$AY$3,0),FALSE),2)</f>
        <v>0</v>
      </c>
      <c r="BY241" s="2">
        <f>ROUND(VLOOKUP($BJ241,$AI$3:$AO$33,MATCH(BY$3,$AI$3:$AO$3,0),FALSE)-$BL241/VLOOKUP(VLOOKUP($BJ241,坦克个性化设定!$B$18:$E$48,4,FALSE)&amp;$BK241,坦克属性分配比例,MATCH("升星次数",坦克属性分配比例标头,0),FALSE)*VLOOKUP($BJ241,$AR$3:$AY$33,MATCH(BY$3,$AR$3:$AY$3,0),FALSE),2)</f>
        <v>2.94</v>
      </c>
    </row>
    <row r="242" spans="60:77" x14ac:dyDescent="0.3">
      <c r="BH242" s="2" t="str">
        <f t="shared" si="32"/>
        <v>虎式2</v>
      </c>
      <c r="BI242" s="2">
        <f>IF(BL241&gt;=VLOOKUP(VLOOKUP(BJ241,坦克个性化设定!$B$18:$E$48,4,FALSE)&amp;BK241,坦克属性分配比例,MATCH("升星次数",坦克属性分配比例标头,0),FALSE),BI241+1,BI241)</f>
        <v>25</v>
      </c>
      <c r="BJ242" s="2" t="str">
        <f t="shared" si="33"/>
        <v>虎式</v>
      </c>
      <c r="BK242" s="29" t="str">
        <f>VLOOKUP(BJ242,坦克个性化细分!$I$3:$J$33,2,FALSE)</f>
        <v>中</v>
      </c>
      <c r="BL242" s="2">
        <f t="shared" si="34"/>
        <v>2</v>
      </c>
      <c r="BM242" s="103">
        <f ca="1">ROUND(VLOOKUP($BJ242&amp;"初始",$S$3:$AE$63,MATCH(BM$3,$S$3:$AE$3,0),FALSE)+((VLOOKUP($BJ242&amp;"最终",$S$3:$AE$63,MATCH(BM$3,$S$3:$AE$3,0),FALSE)*坦克个性化细分!$C$9-VLOOKUP($BJ242&amp;"初始",$S$3:$AE$63,MATCH(BM$3,$S$3:$AE$3,0),FALSE))-(VLOOKUP($BJ242&amp;"最终",$S$3:$AE$63,MATCH(BM$3,$S$3:$AE$3,0),FALSE)-VLOOKUP($BJ242&amp;"初始",$S$3:$AE$63,MATCH(BM$3,$S$3:$AE$3,0),FALSE))*VLOOKUP(VLOOKUP($BJ242,坦克个性化设定!$B$18:$E$48,4,FALSE)&amp;$BK242,坦克属性分配比例,MATCH("部件比例",坦克属性分配比例标头,0),FALSE))*$BL242/VLOOKUP(VLOOKUP($BJ242,坦克个性化设定!$B$18:$E$48,4,FALSE)&amp;$BK242,坦克属性分配比例,MATCH("升星次数",坦克属性分配比例标头,0),FALSE),0)</f>
        <v>1620</v>
      </c>
      <c r="BN242" s="103">
        <f ca="1">ROUND(VLOOKUP($BJ242&amp;"初始",$S$3:$AE$63,MATCH(BN$3,$S$3:$AE$3,0),FALSE)+(VLOOKUP($BJ242&amp;"最终",$S$3:$AE$63,MATCH(BN$3,$S$3:$AE$3,0),FALSE)-VLOOKUP($BJ242&amp;"初始",$S$3:$AE$63,MATCH(BN$3,$S$3:$AE$3,0),FALSE))*$BL242/VLOOKUP(VLOOKUP($BJ242,坦克个性化设定!$B$18:$E$48,4,FALSE)&amp;$BK242,坦克属性分配比例,MATCH("升星次数",坦克属性分配比例标头,0),FALSE)*VLOOKUP(VLOOKUP($BJ242,坦克个性化设定!$B$18:$E$48,4,FALSE)&amp;$BK242,坦克属性分配比例,MATCH("升星比例",坦克属性分配比例标头,0),FALSE),0)</f>
        <v>602</v>
      </c>
      <c r="BO242" s="103">
        <f ca="1">ROUND(VLOOKUP($BJ242&amp;"初始",$S$3:$AE$63,MATCH(BO$3,$S$3:$AE$3,0),FALSE)+(VLOOKUP($BJ242&amp;"最终",$S$3:$AE$63,MATCH(BO$3,$S$3:$AE$3,0),FALSE)-VLOOKUP($BJ242&amp;"初始",$S$3:$AE$63,MATCH(BO$3,$S$3:$AE$3,0),FALSE))*$BL242/VLOOKUP(VLOOKUP($BJ242,坦克个性化设定!$B$18:$E$48,4,FALSE)&amp;$BK242,坦克属性分配比例,MATCH("升星次数",坦克属性分配比例标头,0),FALSE)*(VLOOKUP(VLOOKUP($BJ242,坦克个性化设定!$B$18:$E$48,4,FALSE)&amp;$BK242,坦克属性分配比例,MATCH("升星比例",坦克属性分配比例标头,0),FALSE)+VLOOKUP(VLOOKUP($BJ242,坦克个性化设定!$B$18:$E$48,4,FALSE)&amp;$BK242,坦克属性分配比例,MATCH("部件比例",坦克属性分配比例标头,0),FALSE)*$C$3),0)</f>
        <v>527</v>
      </c>
      <c r="BP242" s="103">
        <f ca="1">ROUND(VLOOKUP($BJ242&amp;"初始",$S$3:$AE$63,MATCH(BP$3,$S$3:$AE$3,0),FALSE)+(VLOOKUP($BJ242&amp;"最终",$S$3:$AE$63,MATCH(BP$3,$S$3:$AE$3,0),FALSE)-VLOOKUP($BJ242&amp;"初始",$S$3:$AE$63,MATCH(BP$3,$S$3:$AE$3,0),FALSE))*$BL242/VLOOKUP(VLOOKUP($BJ242,坦克个性化设定!$B$18:$E$48,4,FALSE)&amp;$BK242,坦克属性分配比例,MATCH("升星次数",坦克属性分配比例标头,0),FALSE)*(VLOOKUP(VLOOKUP($BJ242,坦克个性化设定!$B$18:$E$48,4,FALSE)&amp;$BK242,坦克属性分配比例,MATCH("升星比例",坦克属性分配比例标头,0),FALSE)+VLOOKUP(VLOOKUP($BJ242,坦克个性化设定!$B$18:$E$48,4,FALSE)&amp;$BK242,坦克属性分配比例,MATCH("部件比例",坦克属性分配比例标头,0),FALSE)*$C$3),0)</f>
        <v>422</v>
      </c>
      <c r="BQ242" s="103">
        <f ca="1">ROUND(VLOOKUP($BJ242&amp;"初始",$S$3:$AE$63,MATCH(BQ$3,$S$3:$AE$3,0),FALSE)+(VLOOKUP($BJ242&amp;"最终",$S$3:$AE$63,MATCH(BQ$3,$S$3:$AE$3,0),FALSE)-VLOOKUP($BJ242&amp;"初始",$S$3:$AE$63,MATCH(BQ$3,$S$3:$AE$3,0),FALSE))*$BL242/VLOOKUP(VLOOKUP($BJ242,坦克个性化设定!$B$18:$E$48,4,FALSE)&amp;$BK242,坦克属性分配比例,MATCH("升星次数",坦克属性分配比例标头,0),FALSE)*VLOOKUP(VLOOKUP($BJ242,坦克个性化设定!$B$18:$E$48,4,FALSE)&amp;$BK242,坦克属性分配比例,MATCH("升星比例",坦克属性分配比例标头,0),FALSE),0)</f>
        <v>688</v>
      </c>
      <c r="BR242" s="2">
        <f ca="1">ROUND(VLOOKUP($BJ242&amp;"初始",$S$3:$AE$63,MATCH(BR$3,$S$3:$AE$3,0),FALSE)+(VLOOKUP($BJ242&amp;"最终",$S$3:$AE$63,MATCH(BR$3,$S$3:$AE$3,0),FALSE)-VLOOKUP($BJ242&amp;"初始",$S$3:$AE$63,MATCH(BR$3,$S$3:$AE$3,0),FALSE))*$BL242/VLOOKUP(VLOOKUP($BJ242,坦克个性化设定!$B$18:$E$48,4,FALSE)&amp;$BK242,坦克属性分配比例,MATCH("升星次数",坦克属性分配比例标头,0),FALSE),0)</f>
        <v>167</v>
      </c>
      <c r="BS242" s="2">
        <f>ROUND(VLOOKUP($BJ242,$AI$3:$AO$33,MATCH(BS$3,$AI$3:$AO$3,0),FALSE)+$BL242/VLOOKUP(VLOOKUP($BJ242,坦克个性化设定!$B$18:$E$48,4,FALSE)&amp;$BK242,坦克属性分配比例,MATCH("升星次数",坦克属性分配比例标头,0),FALSE)*VLOOKUP($BJ242,$AR$3:$AY$33,MATCH(BS$3,$AR$3:$AY$3,0),FALSE),1)</f>
        <v>33</v>
      </c>
      <c r="BT242" s="2">
        <f>ROUND(VLOOKUP($BJ242,$AI$3:$AO$33,MATCH(BT$3,$AI$3:$AO$3,0),FALSE)+$BL242/VLOOKUP(VLOOKUP($BJ242,坦克个性化设定!$B$18:$E$48,4,FALSE)&amp;$BK242,坦克属性分配比例,MATCH("升星次数",坦克属性分配比例标头,0),FALSE)*VLOOKUP($BJ242,$AR$3:$AY$33,MATCH(BT$3,$AR$3:$AY$3,0),FALSE),1)</f>
        <v>37.700000000000003</v>
      </c>
      <c r="BU242" s="2">
        <f>ROUND(VLOOKUP($BJ242,$AI$3:$AO$33,MATCH(BU$3,$AI$3:$AO$3,0),FALSE)+$BL242/VLOOKUP(VLOOKUP($BJ242,坦克个性化设定!$B$18:$E$48,4,FALSE)&amp;$BK242,坦克属性分配比例,MATCH("升星次数",坦克属性分配比例标头,0),FALSE)*VLOOKUP($BJ242,$AR$3:$AY$33,MATCH(BU$3,$AR$3:$AY$3,0),FALSE),1)</f>
        <v>6.4</v>
      </c>
      <c r="BV242" s="2">
        <f>IF(VLOOKUP(BJ242,坦克个性化设定!$B$18:$BC$48,MATCH("装弹类型",坦克个性化设定!$B$18:$BC$18,0),FALSE)="弹夹换弹",0,ROUND(VLOOKUP($BJ242,$AI$3:$AO$33,MATCH("换弹时间",$AI$3:$AO$3,0),FALSE)-$BL242/VLOOKUP(VLOOKUP($BJ242,坦克个性化设定!$B$18:$E$48,4,FALSE)&amp;$BK242,坦克属性分配比例,MATCH("升星次数",坦克属性分配比例标头,0),FALSE)*VLOOKUP($BJ242,$AR$3:$AY$33,MATCH("换弹时间",$AR$3:$AY$3,0),FALSE),2))</f>
        <v>5.81</v>
      </c>
      <c r="BW242" s="2">
        <f>IF(VLOOKUP(BJ242,坦克个性化设定!$B$18:$BC$48,MATCH("装弹类型",坦克个性化设定!$B$18:$BC$18,0),FALSE)="弹夹换弹",ROUND(VLOOKUP($BJ242,$AI$3:$AO$33,MATCH("换弹时间",$AI$3:$AO$3,0),FALSE)-$BL242/VLOOKUP(VLOOKUP($BJ242,坦克个性化设定!$B$18:$E$48,4,FALSE)&amp;$BK242,坦克属性分配比例,MATCH("升星次数",坦克属性分配比例标头,0),FALSE)*VLOOKUP($BJ242,$AR$3:$AY$33,MATCH("换弹时间",$AR$3:$AY$3,0),FALSE),1),0)</f>
        <v>0</v>
      </c>
      <c r="BX242" s="2">
        <f>ROUND(VLOOKUP($BJ242,$AI$3:$AO$33,MATCH(BX$3,$AI$3:$AO$3,0),FALSE)+$BL242/VLOOKUP(VLOOKUP($BJ242,坦克个性化设定!$B$18:$E$48,4,FALSE)&amp;$BK242,坦克属性分配比例,MATCH("升星次数",坦克属性分配比例标头,0),FALSE)*VLOOKUP($BJ242,$AR$3:$AY$33,MATCH(BX$3,$AR$3:$AY$3,0),FALSE),2)</f>
        <v>0</v>
      </c>
      <c r="BY242" s="2">
        <f>ROUND(VLOOKUP($BJ242,$AI$3:$AO$33,MATCH(BY$3,$AI$3:$AO$3,0),FALSE)-$BL242/VLOOKUP(VLOOKUP($BJ242,坦克个性化设定!$B$18:$E$48,4,FALSE)&amp;$BK242,坦克属性分配比例,MATCH("升星次数",坦克属性分配比例标头,0),FALSE)*VLOOKUP($BJ242,$AR$3:$AY$33,MATCH(BY$3,$AR$3:$AY$3,0),FALSE),2)</f>
        <v>2.89</v>
      </c>
    </row>
    <row r="243" spans="60:77" x14ac:dyDescent="0.3">
      <c r="BH243" s="2" t="str">
        <f t="shared" si="32"/>
        <v>虎式3</v>
      </c>
      <c r="BI243" s="2">
        <f>IF(BL242&gt;=VLOOKUP(VLOOKUP(BJ242,坦克个性化设定!$B$18:$E$48,4,FALSE)&amp;BK242,坦克属性分配比例,MATCH("升星次数",坦克属性分配比例标头,0),FALSE),BI242+1,BI242)</f>
        <v>25</v>
      </c>
      <c r="BJ243" s="2" t="str">
        <f t="shared" si="33"/>
        <v>虎式</v>
      </c>
      <c r="BK243" s="29" t="str">
        <f>VLOOKUP(BJ243,坦克个性化细分!$I$3:$J$33,2,FALSE)</f>
        <v>中</v>
      </c>
      <c r="BL243" s="2">
        <f t="shared" si="34"/>
        <v>3</v>
      </c>
      <c r="BM243" s="103">
        <f ca="1">ROUND(VLOOKUP($BJ243&amp;"初始",$S$3:$AE$63,MATCH(BM$3,$S$3:$AE$3,0),FALSE)+((VLOOKUP($BJ243&amp;"最终",$S$3:$AE$63,MATCH(BM$3,$S$3:$AE$3,0),FALSE)*坦克个性化细分!$C$9-VLOOKUP($BJ243&amp;"初始",$S$3:$AE$63,MATCH(BM$3,$S$3:$AE$3,0),FALSE))-(VLOOKUP($BJ243&amp;"最终",$S$3:$AE$63,MATCH(BM$3,$S$3:$AE$3,0),FALSE)-VLOOKUP($BJ243&amp;"初始",$S$3:$AE$63,MATCH(BM$3,$S$3:$AE$3,0),FALSE))*VLOOKUP(VLOOKUP($BJ243,坦克个性化设定!$B$18:$E$48,4,FALSE)&amp;$BK243,坦克属性分配比例,MATCH("部件比例",坦克属性分配比例标头,0),FALSE))*$BL243/VLOOKUP(VLOOKUP($BJ243,坦克个性化设定!$B$18:$E$48,4,FALSE)&amp;$BK243,坦克属性分配比例,MATCH("升星次数",坦克属性分配比例标头,0),FALSE),0)</f>
        <v>1703</v>
      </c>
      <c r="BN243" s="103">
        <f ca="1">ROUND(VLOOKUP($BJ243&amp;"初始",$S$3:$AE$63,MATCH(BN$3,$S$3:$AE$3,0),FALSE)+(VLOOKUP($BJ243&amp;"最终",$S$3:$AE$63,MATCH(BN$3,$S$3:$AE$3,0),FALSE)-VLOOKUP($BJ243&amp;"初始",$S$3:$AE$63,MATCH(BN$3,$S$3:$AE$3,0),FALSE))*$BL243/VLOOKUP(VLOOKUP($BJ243,坦克个性化设定!$B$18:$E$48,4,FALSE)&amp;$BK243,坦克属性分配比例,MATCH("升星次数",坦克属性分配比例标头,0),FALSE)*VLOOKUP(VLOOKUP($BJ243,坦克个性化设定!$B$18:$E$48,4,FALSE)&amp;$BK243,坦克属性分配比例,MATCH("升星比例",坦克属性分配比例标头,0),FALSE),0)</f>
        <v>620</v>
      </c>
      <c r="BO243" s="103">
        <f ca="1">ROUND(VLOOKUP($BJ243&amp;"初始",$S$3:$AE$63,MATCH(BO$3,$S$3:$AE$3,0),FALSE)+(VLOOKUP($BJ243&amp;"最终",$S$3:$AE$63,MATCH(BO$3,$S$3:$AE$3,0),FALSE)-VLOOKUP($BJ243&amp;"初始",$S$3:$AE$63,MATCH(BO$3,$S$3:$AE$3,0),FALSE))*$BL243/VLOOKUP(VLOOKUP($BJ243,坦克个性化设定!$B$18:$E$48,4,FALSE)&amp;$BK243,坦克属性分配比例,MATCH("升星次数",坦克属性分配比例标头,0),FALSE)*(VLOOKUP(VLOOKUP($BJ243,坦克个性化设定!$B$18:$E$48,4,FALSE)&amp;$BK243,坦克属性分配比例,MATCH("升星比例",坦克属性分配比例标头,0),FALSE)+VLOOKUP(VLOOKUP($BJ243,坦克个性化设定!$B$18:$E$48,4,FALSE)&amp;$BK243,坦克属性分配比例,MATCH("部件比例",坦克属性分配比例标头,0),FALSE)*$C$3),0)</f>
        <v>549</v>
      </c>
      <c r="BP243" s="103">
        <f ca="1">ROUND(VLOOKUP($BJ243&amp;"初始",$S$3:$AE$63,MATCH(BP$3,$S$3:$AE$3,0),FALSE)+(VLOOKUP($BJ243&amp;"最终",$S$3:$AE$63,MATCH(BP$3,$S$3:$AE$3,0),FALSE)-VLOOKUP($BJ243&amp;"初始",$S$3:$AE$63,MATCH(BP$3,$S$3:$AE$3,0),FALSE))*$BL243/VLOOKUP(VLOOKUP($BJ243,坦克个性化设定!$B$18:$E$48,4,FALSE)&amp;$BK243,坦克属性分配比例,MATCH("升星次数",坦克属性分配比例标头,0),FALSE)*(VLOOKUP(VLOOKUP($BJ243,坦克个性化设定!$B$18:$E$48,4,FALSE)&amp;$BK243,坦克属性分配比例,MATCH("升星比例",坦克属性分配比例标头,0),FALSE)+VLOOKUP(VLOOKUP($BJ243,坦克个性化设定!$B$18:$E$48,4,FALSE)&amp;$BK243,坦克属性分配比例,MATCH("部件比例",坦克属性分配比例标头,0),FALSE)*$C$3),0)</f>
        <v>439</v>
      </c>
      <c r="BQ243" s="103">
        <f ca="1">ROUND(VLOOKUP($BJ243&amp;"初始",$S$3:$AE$63,MATCH(BQ$3,$S$3:$AE$3,0),FALSE)+(VLOOKUP($BJ243&amp;"最终",$S$3:$AE$63,MATCH(BQ$3,$S$3:$AE$3,0),FALSE)-VLOOKUP($BJ243&amp;"初始",$S$3:$AE$63,MATCH(BQ$3,$S$3:$AE$3,0),FALSE))*$BL243/VLOOKUP(VLOOKUP($BJ243,坦克个性化设定!$B$18:$E$48,4,FALSE)&amp;$BK243,坦克属性分配比例,MATCH("升星次数",坦克属性分配比例标头,0),FALSE)*VLOOKUP(VLOOKUP($BJ243,坦克个性化设定!$B$18:$E$48,4,FALSE)&amp;$BK243,坦克属性分配比例,MATCH("升星比例",坦克属性分配比例标头,0),FALSE),0)</f>
        <v>709</v>
      </c>
      <c r="BR243" s="2">
        <f ca="1">ROUND(VLOOKUP($BJ243&amp;"初始",$S$3:$AE$63,MATCH(BR$3,$S$3:$AE$3,0),FALSE)+(VLOOKUP($BJ243&amp;"最终",$S$3:$AE$63,MATCH(BR$3,$S$3:$AE$3,0),FALSE)-VLOOKUP($BJ243&amp;"初始",$S$3:$AE$63,MATCH(BR$3,$S$3:$AE$3,0),FALSE))*$BL243/VLOOKUP(VLOOKUP($BJ243,坦克个性化设定!$B$18:$E$48,4,FALSE)&amp;$BK243,坦克属性分配比例,MATCH("升星次数",坦克属性分配比例标头,0),FALSE),0)</f>
        <v>175</v>
      </c>
      <c r="BS243" s="2">
        <f>ROUND(VLOOKUP($BJ243,$AI$3:$AO$33,MATCH(BS$3,$AI$3:$AO$3,0),FALSE)+$BL243/VLOOKUP(VLOOKUP($BJ243,坦克个性化设定!$B$18:$E$48,4,FALSE)&amp;$BK243,坦克属性分配比例,MATCH("升星次数",坦克属性分配比例标头,0),FALSE)*VLOOKUP($BJ243,$AR$3:$AY$33,MATCH(BS$3,$AR$3:$AY$3,0),FALSE),1)</f>
        <v>33.9</v>
      </c>
      <c r="BT243" s="2">
        <f>ROUND(VLOOKUP($BJ243,$AI$3:$AO$33,MATCH(BT$3,$AI$3:$AO$3,0),FALSE)+$BL243/VLOOKUP(VLOOKUP($BJ243,坦克个性化设定!$B$18:$E$48,4,FALSE)&amp;$BK243,坦克属性分配比例,MATCH("升星次数",坦克属性分配比例标头,0),FALSE)*VLOOKUP($BJ243,$AR$3:$AY$33,MATCH(BT$3,$AR$3:$AY$3,0),FALSE),1)</f>
        <v>38.700000000000003</v>
      </c>
      <c r="BU243" s="2">
        <f>ROUND(VLOOKUP($BJ243,$AI$3:$AO$33,MATCH(BU$3,$AI$3:$AO$3,0),FALSE)+$BL243/VLOOKUP(VLOOKUP($BJ243,坦克个性化设定!$B$18:$E$48,4,FALSE)&amp;$BK243,坦克属性分配比例,MATCH("升星次数",坦克属性分配比例标头,0),FALSE)*VLOOKUP($BJ243,$AR$3:$AY$33,MATCH(BU$3,$AR$3:$AY$3,0),FALSE),1)</f>
        <v>6.4</v>
      </c>
      <c r="BV243" s="2">
        <f>IF(VLOOKUP(BJ243,坦克个性化设定!$B$18:$BC$48,MATCH("装弹类型",坦克个性化设定!$B$18:$BC$18,0),FALSE)="弹夹换弹",0,ROUND(VLOOKUP($BJ243,$AI$3:$AO$33,MATCH("换弹时间",$AI$3:$AO$3,0),FALSE)-$BL243/VLOOKUP(VLOOKUP($BJ243,坦克个性化设定!$B$18:$E$48,4,FALSE)&amp;$BK243,坦克属性分配比例,MATCH("升星次数",坦克属性分配比例标头,0),FALSE)*VLOOKUP($BJ243,$AR$3:$AY$33,MATCH("换弹时间",$AR$3:$AY$3,0),FALSE),2))</f>
        <v>5.72</v>
      </c>
      <c r="BW243" s="2">
        <f>IF(VLOOKUP(BJ243,坦克个性化设定!$B$18:$BC$48,MATCH("装弹类型",坦克个性化设定!$B$18:$BC$18,0),FALSE)="弹夹换弹",ROUND(VLOOKUP($BJ243,$AI$3:$AO$33,MATCH("换弹时间",$AI$3:$AO$3,0),FALSE)-$BL243/VLOOKUP(VLOOKUP($BJ243,坦克个性化设定!$B$18:$E$48,4,FALSE)&amp;$BK243,坦克属性分配比例,MATCH("升星次数",坦克属性分配比例标头,0),FALSE)*VLOOKUP($BJ243,$AR$3:$AY$33,MATCH("换弹时间",$AR$3:$AY$3,0),FALSE),1),0)</f>
        <v>0</v>
      </c>
      <c r="BX243" s="2">
        <f>ROUND(VLOOKUP($BJ243,$AI$3:$AO$33,MATCH(BX$3,$AI$3:$AO$3,0),FALSE)+$BL243/VLOOKUP(VLOOKUP($BJ243,坦克个性化设定!$B$18:$E$48,4,FALSE)&amp;$BK243,坦克属性分配比例,MATCH("升星次数",坦克属性分配比例标头,0),FALSE)*VLOOKUP($BJ243,$AR$3:$AY$33,MATCH(BX$3,$AR$3:$AY$3,0),FALSE),2)</f>
        <v>0</v>
      </c>
      <c r="BY243" s="2">
        <f>ROUND(VLOOKUP($BJ243,$AI$3:$AO$33,MATCH(BY$3,$AI$3:$AO$3,0),FALSE)-$BL243/VLOOKUP(VLOOKUP($BJ243,坦克个性化设定!$B$18:$E$48,4,FALSE)&amp;$BK243,坦克属性分配比例,MATCH("升星次数",坦克属性分配比例标头,0),FALSE)*VLOOKUP($BJ243,$AR$3:$AY$33,MATCH(BY$3,$AR$3:$AY$3,0),FALSE),2)</f>
        <v>2.83</v>
      </c>
    </row>
    <row r="244" spans="60:77" x14ac:dyDescent="0.3">
      <c r="BH244" s="2" t="str">
        <f t="shared" si="32"/>
        <v>虎式4</v>
      </c>
      <c r="BI244" s="2">
        <f>IF(BL243&gt;=VLOOKUP(VLOOKUP(BJ243,坦克个性化设定!$B$18:$E$48,4,FALSE)&amp;BK243,坦克属性分配比例,MATCH("升星次数",坦克属性分配比例标头,0),FALSE),BI243+1,BI243)</f>
        <v>25</v>
      </c>
      <c r="BJ244" s="2" t="str">
        <f t="shared" si="33"/>
        <v>虎式</v>
      </c>
      <c r="BK244" s="29" t="str">
        <f>VLOOKUP(BJ244,坦克个性化细分!$I$3:$J$33,2,FALSE)</f>
        <v>中</v>
      </c>
      <c r="BL244" s="2">
        <f t="shared" si="34"/>
        <v>4</v>
      </c>
      <c r="BM244" s="103">
        <f ca="1">ROUND(VLOOKUP($BJ244&amp;"初始",$S$3:$AE$63,MATCH(BM$3,$S$3:$AE$3,0),FALSE)+((VLOOKUP($BJ244&amp;"最终",$S$3:$AE$63,MATCH(BM$3,$S$3:$AE$3,0),FALSE)*坦克个性化细分!$C$9-VLOOKUP($BJ244&amp;"初始",$S$3:$AE$63,MATCH(BM$3,$S$3:$AE$3,0),FALSE))-(VLOOKUP($BJ244&amp;"最终",$S$3:$AE$63,MATCH(BM$3,$S$3:$AE$3,0),FALSE)-VLOOKUP($BJ244&amp;"初始",$S$3:$AE$63,MATCH(BM$3,$S$3:$AE$3,0),FALSE))*VLOOKUP(VLOOKUP($BJ244,坦克个性化设定!$B$18:$E$48,4,FALSE)&amp;$BK244,坦克属性分配比例,MATCH("部件比例",坦克属性分配比例标头,0),FALSE))*$BL244/VLOOKUP(VLOOKUP($BJ244,坦克个性化设定!$B$18:$E$48,4,FALSE)&amp;$BK244,坦克属性分配比例,MATCH("升星次数",坦克属性分配比例标头,0),FALSE),0)</f>
        <v>1785</v>
      </c>
      <c r="BN244" s="103">
        <f ca="1">ROUND(VLOOKUP($BJ244&amp;"初始",$S$3:$AE$63,MATCH(BN$3,$S$3:$AE$3,0),FALSE)+(VLOOKUP($BJ244&amp;"最终",$S$3:$AE$63,MATCH(BN$3,$S$3:$AE$3,0),FALSE)-VLOOKUP($BJ244&amp;"初始",$S$3:$AE$63,MATCH(BN$3,$S$3:$AE$3,0),FALSE))*$BL244/VLOOKUP(VLOOKUP($BJ244,坦克个性化设定!$B$18:$E$48,4,FALSE)&amp;$BK244,坦克属性分配比例,MATCH("升星次数",坦克属性分配比例标头,0),FALSE)*VLOOKUP(VLOOKUP($BJ244,坦克个性化设定!$B$18:$E$48,4,FALSE)&amp;$BK244,坦克属性分配比例,MATCH("升星比例",坦克属性分配比例标头,0),FALSE),0)</f>
        <v>638</v>
      </c>
      <c r="BO244" s="103">
        <f ca="1">ROUND(VLOOKUP($BJ244&amp;"初始",$S$3:$AE$63,MATCH(BO$3,$S$3:$AE$3,0),FALSE)+(VLOOKUP($BJ244&amp;"最终",$S$3:$AE$63,MATCH(BO$3,$S$3:$AE$3,0),FALSE)-VLOOKUP($BJ244&amp;"初始",$S$3:$AE$63,MATCH(BO$3,$S$3:$AE$3,0),FALSE))*$BL244/VLOOKUP(VLOOKUP($BJ244,坦克个性化设定!$B$18:$E$48,4,FALSE)&amp;$BK244,坦克属性分配比例,MATCH("升星次数",坦克属性分配比例标头,0),FALSE)*(VLOOKUP(VLOOKUP($BJ244,坦克个性化设定!$B$18:$E$48,4,FALSE)&amp;$BK244,坦克属性分配比例,MATCH("升星比例",坦克属性分配比例标头,0),FALSE)+VLOOKUP(VLOOKUP($BJ244,坦克个性化设定!$B$18:$E$48,4,FALSE)&amp;$BK244,坦克属性分配比例,MATCH("部件比例",坦克属性分配比例标头,0),FALSE)*$C$3),0)</f>
        <v>571</v>
      </c>
      <c r="BP244" s="103">
        <f ca="1">ROUND(VLOOKUP($BJ244&amp;"初始",$S$3:$AE$63,MATCH(BP$3,$S$3:$AE$3,0),FALSE)+(VLOOKUP($BJ244&amp;"最终",$S$3:$AE$63,MATCH(BP$3,$S$3:$AE$3,0),FALSE)-VLOOKUP($BJ244&amp;"初始",$S$3:$AE$63,MATCH(BP$3,$S$3:$AE$3,0),FALSE))*$BL244/VLOOKUP(VLOOKUP($BJ244,坦克个性化设定!$B$18:$E$48,4,FALSE)&amp;$BK244,坦克属性分配比例,MATCH("升星次数",坦克属性分配比例标头,0),FALSE)*(VLOOKUP(VLOOKUP($BJ244,坦克个性化设定!$B$18:$E$48,4,FALSE)&amp;$BK244,坦克属性分配比例,MATCH("升星比例",坦克属性分配比例标头,0),FALSE)+VLOOKUP(VLOOKUP($BJ244,坦克个性化设定!$B$18:$E$48,4,FALSE)&amp;$BK244,坦克属性分配比例,MATCH("部件比例",坦克属性分配比例标头,0),FALSE)*$C$3),0)</f>
        <v>456</v>
      </c>
      <c r="BQ244" s="103">
        <f ca="1">ROUND(VLOOKUP($BJ244&amp;"初始",$S$3:$AE$63,MATCH(BQ$3,$S$3:$AE$3,0),FALSE)+(VLOOKUP($BJ244&amp;"最终",$S$3:$AE$63,MATCH(BQ$3,$S$3:$AE$3,0),FALSE)-VLOOKUP($BJ244&amp;"初始",$S$3:$AE$63,MATCH(BQ$3,$S$3:$AE$3,0),FALSE))*$BL244/VLOOKUP(VLOOKUP($BJ244,坦克个性化设定!$B$18:$E$48,4,FALSE)&amp;$BK244,坦克属性分配比例,MATCH("升星次数",坦克属性分配比例标头,0),FALSE)*VLOOKUP(VLOOKUP($BJ244,坦克个性化设定!$B$18:$E$48,4,FALSE)&amp;$BK244,坦克属性分配比例,MATCH("升星比例",坦克属性分配比例标头,0),FALSE),0)</f>
        <v>730</v>
      </c>
      <c r="BR244" s="2">
        <f ca="1">ROUND(VLOOKUP($BJ244&amp;"初始",$S$3:$AE$63,MATCH(BR$3,$S$3:$AE$3,0),FALSE)+(VLOOKUP($BJ244&amp;"最终",$S$3:$AE$63,MATCH(BR$3,$S$3:$AE$3,0),FALSE)-VLOOKUP($BJ244&amp;"初始",$S$3:$AE$63,MATCH(BR$3,$S$3:$AE$3,0),FALSE))*$BL244/VLOOKUP(VLOOKUP($BJ244,坦克个性化设定!$B$18:$E$48,4,FALSE)&amp;$BK244,坦克属性分配比例,MATCH("升星次数",坦克属性分配比例标头,0),FALSE),0)</f>
        <v>183</v>
      </c>
      <c r="BS244" s="2">
        <f>ROUND(VLOOKUP($BJ244,$AI$3:$AO$33,MATCH(BS$3,$AI$3:$AO$3,0),FALSE)+$BL244/VLOOKUP(VLOOKUP($BJ244,坦克个性化设定!$B$18:$E$48,4,FALSE)&amp;$BK244,坦克属性分配比例,MATCH("升星次数",坦克属性分配比例标头,0),FALSE)*VLOOKUP($BJ244,$AR$3:$AY$33,MATCH(BS$3,$AR$3:$AY$3,0),FALSE),1)</f>
        <v>34.799999999999997</v>
      </c>
      <c r="BT244" s="2">
        <f>ROUND(VLOOKUP($BJ244,$AI$3:$AO$33,MATCH(BT$3,$AI$3:$AO$3,0),FALSE)+$BL244/VLOOKUP(VLOOKUP($BJ244,坦克个性化设定!$B$18:$E$48,4,FALSE)&amp;$BK244,坦克属性分配比例,MATCH("升星次数",坦克属性分配比例标头,0),FALSE)*VLOOKUP($BJ244,$AR$3:$AY$33,MATCH(BT$3,$AR$3:$AY$3,0),FALSE),1)</f>
        <v>39.700000000000003</v>
      </c>
      <c r="BU244" s="2">
        <f>ROUND(VLOOKUP($BJ244,$AI$3:$AO$33,MATCH(BU$3,$AI$3:$AO$3,0),FALSE)+$BL244/VLOOKUP(VLOOKUP($BJ244,坦克个性化设定!$B$18:$E$48,4,FALSE)&amp;$BK244,坦克属性分配比例,MATCH("升星次数",坦克属性分配比例标头,0),FALSE)*VLOOKUP($BJ244,$AR$3:$AY$33,MATCH(BU$3,$AR$3:$AY$3,0),FALSE),1)</f>
        <v>6.4</v>
      </c>
      <c r="BV244" s="2">
        <f>IF(VLOOKUP(BJ244,坦克个性化设定!$B$18:$BC$48,MATCH("装弹类型",坦克个性化设定!$B$18:$BC$18,0),FALSE)="弹夹换弹",0,ROUND(VLOOKUP($BJ244,$AI$3:$AO$33,MATCH("换弹时间",$AI$3:$AO$3,0),FALSE)-$BL244/VLOOKUP(VLOOKUP($BJ244,坦克个性化设定!$B$18:$E$48,4,FALSE)&amp;$BK244,坦克属性分配比例,MATCH("升星次数",坦克属性分配比例标头,0),FALSE)*VLOOKUP($BJ244,$AR$3:$AY$33,MATCH("换弹时间",$AR$3:$AY$3,0),FALSE),2))</f>
        <v>5.62</v>
      </c>
      <c r="BW244" s="2">
        <f>IF(VLOOKUP(BJ244,坦克个性化设定!$B$18:$BC$48,MATCH("装弹类型",坦克个性化设定!$B$18:$BC$18,0),FALSE)="弹夹换弹",ROUND(VLOOKUP($BJ244,$AI$3:$AO$33,MATCH("换弹时间",$AI$3:$AO$3,0),FALSE)-$BL244/VLOOKUP(VLOOKUP($BJ244,坦克个性化设定!$B$18:$E$48,4,FALSE)&amp;$BK244,坦克属性分配比例,MATCH("升星次数",坦克属性分配比例标头,0),FALSE)*VLOOKUP($BJ244,$AR$3:$AY$33,MATCH("换弹时间",$AR$3:$AY$3,0),FALSE),1),0)</f>
        <v>0</v>
      </c>
      <c r="BX244" s="2">
        <f>ROUND(VLOOKUP($BJ244,$AI$3:$AO$33,MATCH(BX$3,$AI$3:$AO$3,0),FALSE)+$BL244/VLOOKUP(VLOOKUP($BJ244,坦克个性化设定!$B$18:$E$48,4,FALSE)&amp;$BK244,坦克属性分配比例,MATCH("升星次数",坦克属性分配比例标头,0),FALSE)*VLOOKUP($BJ244,$AR$3:$AY$33,MATCH(BX$3,$AR$3:$AY$3,0),FALSE),2)</f>
        <v>0</v>
      </c>
      <c r="BY244" s="2">
        <f>ROUND(VLOOKUP($BJ244,$AI$3:$AO$33,MATCH(BY$3,$AI$3:$AO$3,0),FALSE)-$BL244/VLOOKUP(VLOOKUP($BJ244,坦克个性化设定!$B$18:$E$48,4,FALSE)&amp;$BK244,坦克属性分配比例,MATCH("升星次数",坦克属性分配比例标头,0),FALSE)*VLOOKUP($BJ244,$AR$3:$AY$33,MATCH(BY$3,$AR$3:$AY$3,0),FALSE),2)</f>
        <v>2.78</v>
      </c>
    </row>
    <row r="245" spans="60:77" x14ac:dyDescent="0.3">
      <c r="BH245" s="2" t="str">
        <f t="shared" si="32"/>
        <v>虎式5</v>
      </c>
      <c r="BI245" s="2">
        <f>IF(BL244&gt;=VLOOKUP(VLOOKUP(BJ244,坦克个性化设定!$B$18:$E$48,4,FALSE)&amp;BK244,坦克属性分配比例,MATCH("升星次数",坦克属性分配比例标头,0),FALSE),BI244+1,BI244)</f>
        <v>25</v>
      </c>
      <c r="BJ245" s="2" t="str">
        <f t="shared" si="33"/>
        <v>虎式</v>
      </c>
      <c r="BK245" s="29" t="str">
        <f>VLOOKUP(BJ245,坦克个性化细分!$I$3:$J$33,2,FALSE)</f>
        <v>中</v>
      </c>
      <c r="BL245" s="2">
        <f t="shared" si="34"/>
        <v>5</v>
      </c>
      <c r="BM245" s="103">
        <f ca="1">ROUND(VLOOKUP($BJ245&amp;"初始",$S$3:$AE$63,MATCH(BM$3,$S$3:$AE$3,0),FALSE)+((VLOOKUP($BJ245&amp;"最终",$S$3:$AE$63,MATCH(BM$3,$S$3:$AE$3,0),FALSE)*坦克个性化细分!$C$9-VLOOKUP($BJ245&amp;"初始",$S$3:$AE$63,MATCH(BM$3,$S$3:$AE$3,0),FALSE))-(VLOOKUP($BJ245&amp;"最终",$S$3:$AE$63,MATCH(BM$3,$S$3:$AE$3,0),FALSE)-VLOOKUP($BJ245&amp;"初始",$S$3:$AE$63,MATCH(BM$3,$S$3:$AE$3,0),FALSE))*VLOOKUP(VLOOKUP($BJ245,坦克个性化设定!$B$18:$E$48,4,FALSE)&amp;$BK245,坦克属性分配比例,MATCH("部件比例",坦克属性分配比例标头,0),FALSE))*$BL245/VLOOKUP(VLOOKUP($BJ245,坦克个性化设定!$B$18:$E$48,4,FALSE)&amp;$BK245,坦克属性分配比例,MATCH("升星次数",坦克属性分配比例标头,0),FALSE),0)</f>
        <v>1868</v>
      </c>
      <c r="BN245" s="103">
        <f ca="1">ROUND(VLOOKUP($BJ245&amp;"初始",$S$3:$AE$63,MATCH(BN$3,$S$3:$AE$3,0),FALSE)+(VLOOKUP($BJ245&amp;"最终",$S$3:$AE$63,MATCH(BN$3,$S$3:$AE$3,0),FALSE)-VLOOKUP($BJ245&amp;"初始",$S$3:$AE$63,MATCH(BN$3,$S$3:$AE$3,0),FALSE))*$BL245/VLOOKUP(VLOOKUP($BJ245,坦克个性化设定!$B$18:$E$48,4,FALSE)&amp;$BK245,坦克属性分配比例,MATCH("升星次数",坦克属性分配比例标头,0),FALSE)*VLOOKUP(VLOOKUP($BJ245,坦克个性化设定!$B$18:$E$48,4,FALSE)&amp;$BK245,坦克属性分配比例,MATCH("升星比例",坦克属性分配比例标头,0),FALSE),0)</f>
        <v>656</v>
      </c>
      <c r="BO245" s="103">
        <f ca="1">ROUND(VLOOKUP($BJ245&amp;"初始",$S$3:$AE$63,MATCH(BO$3,$S$3:$AE$3,0),FALSE)+(VLOOKUP($BJ245&amp;"最终",$S$3:$AE$63,MATCH(BO$3,$S$3:$AE$3,0),FALSE)-VLOOKUP($BJ245&amp;"初始",$S$3:$AE$63,MATCH(BO$3,$S$3:$AE$3,0),FALSE))*$BL245/VLOOKUP(VLOOKUP($BJ245,坦克个性化设定!$B$18:$E$48,4,FALSE)&amp;$BK245,坦克属性分配比例,MATCH("升星次数",坦克属性分配比例标头,0),FALSE)*(VLOOKUP(VLOOKUP($BJ245,坦克个性化设定!$B$18:$E$48,4,FALSE)&amp;$BK245,坦克属性分配比例,MATCH("升星比例",坦克属性分配比例标头,0),FALSE)+VLOOKUP(VLOOKUP($BJ245,坦克个性化设定!$B$18:$E$48,4,FALSE)&amp;$BK245,坦克属性分配比例,MATCH("部件比例",坦克属性分配比例标头,0),FALSE)*$C$3),0)</f>
        <v>593</v>
      </c>
      <c r="BP245" s="103">
        <f ca="1">ROUND(VLOOKUP($BJ245&amp;"初始",$S$3:$AE$63,MATCH(BP$3,$S$3:$AE$3,0),FALSE)+(VLOOKUP($BJ245&amp;"最终",$S$3:$AE$63,MATCH(BP$3,$S$3:$AE$3,0),FALSE)-VLOOKUP($BJ245&amp;"初始",$S$3:$AE$63,MATCH(BP$3,$S$3:$AE$3,0),FALSE))*$BL245/VLOOKUP(VLOOKUP($BJ245,坦克个性化设定!$B$18:$E$48,4,FALSE)&amp;$BK245,坦克属性分配比例,MATCH("升星次数",坦克属性分配比例标头,0),FALSE)*(VLOOKUP(VLOOKUP($BJ245,坦克个性化设定!$B$18:$E$48,4,FALSE)&amp;$BK245,坦克属性分配比例,MATCH("升星比例",坦克属性分配比例标头,0),FALSE)+VLOOKUP(VLOOKUP($BJ245,坦克个性化设定!$B$18:$E$48,4,FALSE)&amp;$BK245,坦克属性分配比例,MATCH("部件比例",坦克属性分配比例标头,0),FALSE)*$C$3),0)</f>
        <v>474</v>
      </c>
      <c r="BQ245" s="103">
        <f ca="1">ROUND(VLOOKUP($BJ245&amp;"初始",$S$3:$AE$63,MATCH(BQ$3,$S$3:$AE$3,0),FALSE)+(VLOOKUP($BJ245&amp;"最终",$S$3:$AE$63,MATCH(BQ$3,$S$3:$AE$3,0),FALSE)-VLOOKUP($BJ245&amp;"初始",$S$3:$AE$63,MATCH(BQ$3,$S$3:$AE$3,0),FALSE))*$BL245/VLOOKUP(VLOOKUP($BJ245,坦克个性化设定!$B$18:$E$48,4,FALSE)&amp;$BK245,坦克属性分配比例,MATCH("升星次数",坦克属性分配比例标头,0),FALSE)*VLOOKUP(VLOOKUP($BJ245,坦克个性化设定!$B$18:$E$48,4,FALSE)&amp;$BK245,坦克属性分配比例,MATCH("升星比例",坦克属性分配比例标头,0),FALSE),0)</f>
        <v>751</v>
      </c>
      <c r="BR245" s="2">
        <f ca="1">ROUND(VLOOKUP($BJ245&amp;"初始",$S$3:$AE$63,MATCH(BR$3,$S$3:$AE$3,0),FALSE)+(VLOOKUP($BJ245&amp;"最终",$S$3:$AE$63,MATCH(BR$3,$S$3:$AE$3,0),FALSE)-VLOOKUP($BJ245&amp;"初始",$S$3:$AE$63,MATCH(BR$3,$S$3:$AE$3,0),FALSE))*$BL245/VLOOKUP(VLOOKUP($BJ245,坦克个性化设定!$B$18:$E$48,4,FALSE)&amp;$BK245,坦克属性分配比例,MATCH("升星次数",坦克属性分配比例标头,0),FALSE),0)</f>
        <v>191</v>
      </c>
      <c r="BS245" s="2">
        <f>ROUND(VLOOKUP($BJ245,$AI$3:$AO$33,MATCH(BS$3,$AI$3:$AO$3,0),FALSE)+$BL245/VLOOKUP(VLOOKUP($BJ245,坦克个性化设定!$B$18:$E$48,4,FALSE)&amp;$BK245,坦克属性分配比例,MATCH("升星次数",坦克属性分配比例标头,0),FALSE)*VLOOKUP($BJ245,$AR$3:$AY$33,MATCH(BS$3,$AR$3:$AY$3,0),FALSE),1)</f>
        <v>35.6</v>
      </c>
      <c r="BT245" s="2">
        <f>ROUND(VLOOKUP($BJ245,$AI$3:$AO$33,MATCH(BT$3,$AI$3:$AO$3,0),FALSE)+$BL245/VLOOKUP(VLOOKUP($BJ245,坦克个性化设定!$B$18:$E$48,4,FALSE)&amp;$BK245,坦克属性分配比例,MATCH("升星次数",坦克属性分配比例标头,0),FALSE)*VLOOKUP($BJ245,$AR$3:$AY$33,MATCH(BT$3,$AR$3:$AY$3,0),FALSE),1)</f>
        <v>40.700000000000003</v>
      </c>
      <c r="BU245" s="2">
        <f>ROUND(VLOOKUP($BJ245,$AI$3:$AO$33,MATCH(BU$3,$AI$3:$AO$3,0),FALSE)+$BL245/VLOOKUP(VLOOKUP($BJ245,坦克个性化设定!$B$18:$E$48,4,FALSE)&amp;$BK245,坦克属性分配比例,MATCH("升星次数",坦克属性分配比例标头,0),FALSE)*VLOOKUP($BJ245,$AR$3:$AY$33,MATCH(BU$3,$AR$3:$AY$3,0),FALSE),1)</f>
        <v>6.4</v>
      </c>
      <c r="BV245" s="2">
        <f>IF(VLOOKUP(BJ245,坦克个性化设定!$B$18:$BC$48,MATCH("装弹类型",坦克个性化设定!$B$18:$BC$18,0),FALSE)="弹夹换弹",0,ROUND(VLOOKUP($BJ245,$AI$3:$AO$33,MATCH("换弹时间",$AI$3:$AO$3,0),FALSE)-$BL245/VLOOKUP(VLOOKUP($BJ245,坦克个性化设定!$B$18:$E$48,4,FALSE)&amp;$BK245,坦克属性分配比例,MATCH("升星次数",坦克属性分配比例标头,0),FALSE)*VLOOKUP($BJ245,$AR$3:$AY$33,MATCH("换弹时间",$AR$3:$AY$3,0),FALSE),2))</f>
        <v>5.53</v>
      </c>
      <c r="BW245" s="2">
        <f>IF(VLOOKUP(BJ245,坦克个性化设定!$B$18:$BC$48,MATCH("装弹类型",坦克个性化设定!$B$18:$BC$18,0),FALSE)="弹夹换弹",ROUND(VLOOKUP($BJ245,$AI$3:$AO$33,MATCH("换弹时间",$AI$3:$AO$3,0),FALSE)-$BL245/VLOOKUP(VLOOKUP($BJ245,坦克个性化设定!$B$18:$E$48,4,FALSE)&amp;$BK245,坦克属性分配比例,MATCH("升星次数",坦克属性分配比例标头,0),FALSE)*VLOOKUP($BJ245,$AR$3:$AY$33,MATCH("换弹时间",$AR$3:$AY$3,0),FALSE),1),0)</f>
        <v>0</v>
      </c>
      <c r="BX245" s="2">
        <f>ROUND(VLOOKUP($BJ245,$AI$3:$AO$33,MATCH(BX$3,$AI$3:$AO$3,0),FALSE)+$BL245/VLOOKUP(VLOOKUP($BJ245,坦克个性化设定!$B$18:$E$48,4,FALSE)&amp;$BK245,坦克属性分配比例,MATCH("升星次数",坦克属性分配比例标头,0),FALSE)*VLOOKUP($BJ245,$AR$3:$AY$33,MATCH(BX$3,$AR$3:$AY$3,0),FALSE),2)</f>
        <v>0</v>
      </c>
      <c r="BY245" s="2">
        <f>ROUND(VLOOKUP($BJ245,$AI$3:$AO$33,MATCH(BY$3,$AI$3:$AO$3,0),FALSE)-$BL245/VLOOKUP(VLOOKUP($BJ245,坦克个性化设定!$B$18:$E$48,4,FALSE)&amp;$BK245,坦克属性分配比例,MATCH("升星次数",坦克属性分配比例标头,0),FALSE)*VLOOKUP($BJ245,$AR$3:$AY$33,MATCH(BY$3,$AR$3:$AY$3,0),FALSE),2)</f>
        <v>2.72</v>
      </c>
    </row>
    <row r="246" spans="60:77" x14ac:dyDescent="0.3">
      <c r="BH246" s="2" t="str">
        <f t="shared" si="32"/>
        <v>虎式6</v>
      </c>
      <c r="BI246" s="2">
        <f>IF(BL245&gt;=VLOOKUP(VLOOKUP(BJ245,坦克个性化设定!$B$18:$E$48,4,FALSE)&amp;BK245,坦克属性分配比例,MATCH("升星次数",坦克属性分配比例标头,0),FALSE),BI245+1,BI245)</f>
        <v>25</v>
      </c>
      <c r="BJ246" s="2" t="str">
        <f t="shared" si="33"/>
        <v>虎式</v>
      </c>
      <c r="BK246" s="29" t="str">
        <f>VLOOKUP(BJ246,坦克个性化细分!$I$3:$J$33,2,FALSE)</f>
        <v>中</v>
      </c>
      <c r="BL246" s="2">
        <f t="shared" si="34"/>
        <v>6</v>
      </c>
      <c r="BM246" s="103">
        <f ca="1">ROUND(VLOOKUP($BJ246&amp;"初始",$S$3:$AE$63,MATCH(BM$3,$S$3:$AE$3,0),FALSE)+((VLOOKUP($BJ246&amp;"最终",$S$3:$AE$63,MATCH(BM$3,$S$3:$AE$3,0),FALSE)*坦克个性化细分!$C$9-VLOOKUP($BJ246&amp;"初始",$S$3:$AE$63,MATCH(BM$3,$S$3:$AE$3,0),FALSE))-(VLOOKUP($BJ246&amp;"最终",$S$3:$AE$63,MATCH(BM$3,$S$3:$AE$3,0),FALSE)-VLOOKUP($BJ246&amp;"初始",$S$3:$AE$63,MATCH(BM$3,$S$3:$AE$3,0),FALSE))*VLOOKUP(VLOOKUP($BJ246,坦克个性化设定!$B$18:$E$48,4,FALSE)&amp;$BK246,坦克属性分配比例,MATCH("部件比例",坦克属性分配比例标头,0),FALSE))*$BL246/VLOOKUP(VLOOKUP($BJ246,坦克个性化设定!$B$18:$E$48,4,FALSE)&amp;$BK246,坦克属性分配比例,MATCH("升星次数",坦克属性分配比例标头,0),FALSE),0)</f>
        <v>1950</v>
      </c>
      <c r="BN246" s="103">
        <f ca="1">ROUND(VLOOKUP($BJ246&amp;"初始",$S$3:$AE$63,MATCH(BN$3,$S$3:$AE$3,0),FALSE)+(VLOOKUP($BJ246&amp;"最终",$S$3:$AE$63,MATCH(BN$3,$S$3:$AE$3,0),FALSE)-VLOOKUP($BJ246&amp;"初始",$S$3:$AE$63,MATCH(BN$3,$S$3:$AE$3,0),FALSE))*$BL246/VLOOKUP(VLOOKUP($BJ246,坦克个性化设定!$B$18:$E$48,4,FALSE)&amp;$BK246,坦克属性分配比例,MATCH("升星次数",坦克属性分配比例标头,0),FALSE)*VLOOKUP(VLOOKUP($BJ246,坦克个性化设定!$B$18:$E$48,4,FALSE)&amp;$BK246,坦克属性分配比例,MATCH("升星比例",坦克属性分配比例标头,0),FALSE),0)</f>
        <v>674</v>
      </c>
      <c r="BO246" s="103">
        <f ca="1">ROUND(VLOOKUP($BJ246&amp;"初始",$S$3:$AE$63,MATCH(BO$3,$S$3:$AE$3,0),FALSE)+(VLOOKUP($BJ246&amp;"最终",$S$3:$AE$63,MATCH(BO$3,$S$3:$AE$3,0),FALSE)-VLOOKUP($BJ246&amp;"初始",$S$3:$AE$63,MATCH(BO$3,$S$3:$AE$3,0),FALSE))*$BL246/VLOOKUP(VLOOKUP($BJ246,坦克个性化设定!$B$18:$E$48,4,FALSE)&amp;$BK246,坦克属性分配比例,MATCH("升星次数",坦克属性分配比例标头,0),FALSE)*(VLOOKUP(VLOOKUP($BJ246,坦克个性化设定!$B$18:$E$48,4,FALSE)&amp;$BK246,坦克属性分配比例,MATCH("升星比例",坦克属性分配比例标头,0),FALSE)+VLOOKUP(VLOOKUP($BJ246,坦克个性化设定!$B$18:$E$48,4,FALSE)&amp;$BK246,坦克属性分配比例,MATCH("部件比例",坦克属性分配比例标头,0),FALSE)*$C$3),0)</f>
        <v>614</v>
      </c>
      <c r="BP246" s="103">
        <f ca="1">ROUND(VLOOKUP($BJ246&amp;"初始",$S$3:$AE$63,MATCH(BP$3,$S$3:$AE$3,0),FALSE)+(VLOOKUP($BJ246&amp;"最终",$S$3:$AE$63,MATCH(BP$3,$S$3:$AE$3,0),FALSE)-VLOOKUP($BJ246&amp;"初始",$S$3:$AE$63,MATCH(BP$3,$S$3:$AE$3,0),FALSE))*$BL246/VLOOKUP(VLOOKUP($BJ246,坦克个性化设定!$B$18:$E$48,4,FALSE)&amp;$BK246,坦克属性分配比例,MATCH("升星次数",坦克属性分配比例标头,0),FALSE)*(VLOOKUP(VLOOKUP($BJ246,坦克个性化设定!$B$18:$E$48,4,FALSE)&amp;$BK246,坦克属性分配比例,MATCH("升星比例",坦克属性分配比例标头,0),FALSE)+VLOOKUP(VLOOKUP($BJ246,坦克个性化设定!$B$18:$E$48,4,FALSE)&amp;$BK246,坦克属性分配比例,MATCH("部件比例",坦克属性分配比例标头,0),FALSE)*$C$3),0)</f>
        <v>491</v>
      </c>
      <c r="BQ246" s="103">
        <f ca="1">ROUND(VLOOKUP($BJ246&amp;"初始",$S$3:$AE$63,MATCH(BQ$3,$S$3:$AE$3,0),FALSE)+(VLOOKUP($BJ246&amp;"最终",$S$3:$AE$63,MATCH(BQ$3,$S$3:$AE$3,0),FALSE)-VLOOKUP($BJ246&amp;"初始",$S$3:$AE$63,MATCH(BQ$3,$S$3:$AE$3,0),FALSE))*$BL246/VLOOKUP(VLOOKUP($BJ246,坦克个性化设定!$B$18:$E$48,4,FALSE)&amp;$BK246,坦克属性分配比例,MATCH("升星次数",坦克属性分配比例标头,0),FALSE)*VLOOKUP(VLOOKUP($BJ246,坦克个性化设定!$B$18:$E$48,4,FALSE)&amp;$BK246,坦克属性分配比例,MATCH("升星比例",坦克属性分配比例标头,0),FALSE),0)</f>
        <v>771</v>
      </c>
      <c r="BR246" s="2">
        <f ca="1">ROUND(VLOOKUP($BJ246&amp;"初始",$S$3:$AE$63,MATCH(BR$3,$S$3:$AE$3,0),FALSE)+(VLOOKUP($BJ246&amp;"最终",$S$3:$AE$63,MATCH(BR$3,$S$3:$AE$3,0),FALSE)-VLOOKUP($BJ246&amp;"初始",$S$3:$AE$63,MATCH(BR$3,$S$3:$AE$3,0),FALSE))*$BL246/VLOOKUP(VLOOKUP($BJ246,坦克个性化设定!$B$18:$E$48,4,FALSE)&amp;$BK246,坦克属性分配比例,MATCH("升星次数",坦克属性分配比例标头,0),FALSE),0)</f>
        <v>199</v>
      </c>
      <c r="BS246" s="2">
        <f>ROUND(VLOOKUP($BJ246,$AI$3:$AO$33,MATCH(BS$3,$AI$3:$AO$3,0),FALSE)+$BL246/VLOOKUP(VLOOKUP($BJ246,坦克个性化设定!$B$18:$E$48,4,FALSE)&amp;$BK246,坦克属性分配比例,MATCH("升星次数",坦克属性分配比例标头,0),FALSE)*VLOOKUP($BJ246,$AR$3:$AY$33,MATCH(BS$3,$AR$3:$AY$3,0),FALSE),1)</f>
        <v>36.5</v>
      </c>
      <c r="BT246" s="2">
        <f>ROUND(VLOOKUP($BJ246,$AI$3:$AO$33,MATCH(BT$3,$AI$3:$AO$3,0),FALSE)+$BL246/VLOOKUP(VLOOKUP($BJ246,坦克个性化设定!$B$18:$E$48,4,FALSE)&amp;$BK246,坦克属性分配比例,MATCH("升星次数",坦克属性分配比例标头,0),FALSE)*VLOOKUP($BJ246,$AR$3:$AY$33,MATCH(BT$3,$AR$3:$AY$3,0),FALSE),1)</f>
        <v>41.7</v>
      </c>
      <c r="BU246" s="2">
        <f>ROUND(VLOOKUP($BJ246,$AI$3:$AO$33,MATCH(BU$3,$AI$3:$AO$3,0),FALSE)+$BL246/VLOOKUP(VLOOKUP($BJ246,坦克个性化设定!$B$18:$E$48,4,FALSE)&amp;$BK246,坦克属性分配比例,MATCH("升星次数",坦克属性分配比例标头,0),FALSE)*VLOOKUP($BJ246,$AR$3:$AY$33,MATCH(BU$3,$AR$3:$AY$3,0),FALSE),1)</f>
        <v>6.4</v>
      </c>
      <c r="BV246" s="2">
        <f>IF(VLOOKUP(BJ246,坦克个性化设定!$B$18:$BC$48,MATCH("装弹类型",坦克个性化设定!$B$18:$BC$18,0),FALSE)="弹夹换弹",0,ROUND(VLOOKUP($BJ246,$AI$3:$AO$33,MATCH("换弹时间",$AI$3:$AO$3,0),FALSE)-$BL246/VLOOKUP(VLOOKUP($BJ246,坦克个性化设定!$B$18:$E$48,4,FALSE)&amp;$BK246,坦克属性分配比例,MATCH("升星次数",坦克属性分配比例标头,0),FALSE)*VLOOKUP($BJ246,$AR$3:$AY$33,MATCH("换弹时间",$AR$3:$AY$3,0),FALSE),2))</f>
        <v>5.43</v>
      </c>
      <c r="BW246" s="2">
        <f>IF(VLOOKUP(BJ246,坦克个性化设定!$B$18:$BC$48,MATCH("装弹类型",坦克个性化设定!$B$18:$BC$18,0),FALSE)="弹夹换弹",ROUND(VLOOKUP($BJ246,$AI$3:$AO$33,MATCH("换弹时间",$AI$3:$AO$3,0),FALSE)-$BL246/VLOOKUP(VLOOKUP($BJ246,坦克个性化设定!$B$18:$E$48,4,FALSE)&amp;$BK246,坦克属性分配比例,MATCH("升星次数",坦克属性分配比例标头,0),FALSE)*VLOOKUP($BJ246,$AR$3:$AY$33,MATCH("换弹时间",$AR$3:$AY$3,0),FALSE),1),0)</f>
        <v>0</v>
      </c>
      <c r="BX246" s="2">
        <f>ROUND(VLOOKUP($BJ246,$AI$3:$AO$33,MATCH(BX$3,$AI$3:$AO$3,0),FALSE)+$BL246/VLOOKUP(VLOOKUP($BJ246,坦克个性化设定!$B$18:$E$48,4,FALSE)&amp;$BK246,坦克属性分配比例,MATCH("升星次数",坦克属性分配比例标头,0),FALSE)*VLOOKUP($BJ246,$AR$3:$AY$33,MATCH(BX$3,$AR$3:$AY$3,0),FALSE),2)</f>
        <v>0</v>
      </c>
      <c r="BY246" s="2">
        <f>ROUND(VLOOKUP($BJ246,$AI$3:$AO$33,MATCH(BY$3,$AI$3:$AO$3,0),FALSE)-$BL246/VLOOKUP(VLOOKUP($BJ246,坦克个性化设定!$B$18:$E$48,4,FALSE)&amp;$BK246,坦克属性分配比例,MATCH("升星次数",坦克属性分配比例标头,0),FALSE)*VLOOKUP($BJ246,$AR$3:$AY$33,MATCH(BY$3,$AR$3:$AY$3,0),FALSE),2)</f>
        <v>2.67</v>
      </c>
    </row>
    <row r="247" spans="60:77" x14ac:dyDescent="0.3">
      <c r="BH247" s="2" t="str">
        <f t="shared" si="32"/>
        <v>虎式7</v>
      </c>
      <c r="BI247" s="2">
        <f>IF(BL246&gt;=VLOOKUP(VLOOKUP(BJ246,坦克个性化设定!$B$18:$E$48,4,FALSE)&amp;BK246,坦克属性分配比例,MATCH("升星次数",坦克属性分配比例标头,0),FALSE),BI246+1,BI246)</f>
        <v>25</v>
      </c>
      <c r="BJ247" s="2" t="str">
        <f t="shared" si="33"/>
        <v>虎式</v>
      </c>
      <c r="BK247" s="29" t="str">
        <f>VLOOKUP(BJ247,坦克个性化细分!$I$3:$J$33,2,FALSE)</f>
        <v>中</v>
      </c>
      <c r="BL247" s="2">
        <f t="shared" si="34"/>
        <v>7</v>
      </c>
      <c r="BM247" s="103">
        <f ca="1">ROUND(VLOOKUP($BJ247&amp;"初始",$S$3:$AE$63,MATCH(BM$3,$S$3:$AE$3,0),FALSE)+((VLOOKUP($BJ247&amp;"最终",$S$3:$AE$63,MATCH(BM$3,$S$3:$AE$3,0),FALSE)*坦克个性化细分!$C$9-VLOOKUP($BJ247&amp;"初始",$S$3:$AE$63,MATCH(BM$3,$S$3:$AE$3,0),FALSE))-(VLOOKUP($BJ247&amp;"最终",$S$3:$AE$63,MATCH(BM$3,$S$3:$AE$3,0),FALSE)-VLOOKUP($BJ247&amp;"初始",$S$3:$AE$63,MATCH(BM$3,$S$3:$AE$3,0),FALSE))*VLOOKUP(VLOOKUP($BJ247,坦克个性化设定!$B$18:$E$48,4,FALSE)&amp;$BK247,坦克属性分配比例,MATCH("部件比例",坦克属性分配比例标头,0),FALSE))*$BL247/VLOOKUP(VLOOKUP($BJ247,坦克个性化设定!$B$18:$E$48,4,FALSE)&amp;$BK247,坦克属性分配比例,MATCH("升星次数",坦克属性分配比例标头,0),FALSE),0)</f>
        <v>2033</v>
      </c>
      <c r="BN247" s="103">
        <f ca="1">ROUND(VLOOKUP($BJ247&amp;"初始",$S$3:$AE$63,MATCH(BN$3,$S$3:$AE$3,0),FALSE)+(VLOOKUP($BJ247&amp;"最终",$S$3:$AE$63,MATCH(BN$3,$S$3:$AE$3,0),FALSE)-VLOOKUP($BJ247&amp;"初始",$S$3:$AE$63,MATCH(BN$3,$S$3:$AE$3,0),FALSE))*$BL247/VLOOKUP(VLOOKUP($BJ247,坦克个性化设定!$B$18:$E$48,4,FALSE)&amp;$BK247,坦克属性分配比例,MATCH("升星次数",坦克属性分配比例标头,0),FALSE)*VLOOKUP(VLOOKUP($BJ247,坦克个性化设定!$B$18:$E$48,4,FALSE)&amp;$BK247,坦克属性分配比例,MATCH("升星比例",坦克属性分配比例标头,0),FALSE),0)</f>
        <v>692</v>
      </c>
      <c r="BO247" s="103">
        <f ca="1">ROUND(VLOOKUP($BJ247&amp;"初始",$S$3:$AE$63,MATCH(BO$3,$S$3:$AE$3,0),FALSE)+(VLOOKUP($BJ247&amp;"最终",$S$3:$AE$63,MATCH(BO$3,$S$3:$AE$3,0),FALSE)-VLOOKUP($BJ247&amp;"初始",$S$3:$AE$63,MATCH(BO$3,$S$3:$AE$3,0),FALSE))*$BL247/VLOOKUP(VLOOKUP($BJ247,坦克个性化设定!$B$18:$E$48,4,FALSE)&amp;$BK247,坦克属性分配比例,MATCH("升星次数",坦克属性分配比例标头,0),FALSE)*(VLOOKUP(VLOOKUP($BJ247,坦克个性化设定!$B$18:$E$48,4,FALSE)&amp;$BK247,坦克属性分配比例,MATCH("升星比例",坦克属性分配比例标头,0),FALSE)+VLOOKUP(VLOOKUP($BJ247,坦克个性化设定!$B$18:$E$48,4,FALSE)&amp;$BK247,坦克属性分配比例,MATCH("部件比例",坦克属性分配比例标头,0),FALSE)*$C$3),0)</f>
        <v>636</v>
      </c>
      <c r="BP247" s="103">
        <f ca="1">ROUND(VLOOKUP($BJ247&amp;"初始",$S$3:$AE$63,MATCH(BP$3,$S$3:$AE$3,0),FALSE)+(VLOOKUP($BJ247&amp;"最终",$S$3:$AE$63,MATCH(BP$3,$S$3:$AE$3,0),FALSE)-VLOOKUP($BJ247&amp;"初始",$S$3:$AE$63,MATCH(BP$3,$S$3:$AE$3,0),FALSE))*$BL247/VLOOKUP(VLOOKUP($BJ247,坦克个性化设定!$B$18:$E$48,4,FALSE)&amp;$BK247,坦克属性分配比例,MATCH("升星次数",坦克属性分配比例标头,0),FALSE)*(VLOOKUP(VLOOKUP($BJ247,坦克个性化设定!$B$18:$E$48,4,FALSE)&amp;$BK247,坦克属性分配比例,MATCH("升星比例",坦克属性分配比例标头,0),FALSE)+VLOOKUP(VLOOKUP($BJ247,坦克个性化设定!$B$18:$E$48,4,FALSE)&amp;$BK247,坦克属性分配比例,MATCH("部件比例",坦克属性分配比例标头,0),FALSE)*$C$3),0)</f>
        <v>509</v>
      </c>
      <c r="BQ247" s="103">
        <f ca="1">ROUND(VLOOKUP($BJ247&amp;"初始",$S$3:$AE$63,MATCH(BQ$3,$S$3:$AE$3,0),FALSE)+(VLOOKUP($BJ247&amp;"最终",$S$3:$AE$63,MATCH(BQ$3,$S$3:$AE$3,0),FALSE)-VLOOKUP($BJ247&amp;"初始",$S$3:$AE$63,MATCH(BQ$3,$S$3:$AE$3,0),FALSE))*$BL247/VLOOKUP(VLOOKUP($BJ247,坦克个性化设定!$B$18:$E$48,4,FALSE)&amp;$BK247,坦克属性分配比例,MATCH("升星次数",坦克属性分配比例标头,0),FALSE)*VLOOKUP(VLOOKUP($BJ247,坦克个性化设定!$B$18:$E$48,4,FALSE)&amp;$BK247,坦克属性分配比例,MATCH("升星比例",坦克属性分配比例标头,0),FALSE),0)</f>
        <v>792</v>
      </c>
      <c r="BR247" s="2">
        <f ca="1">ROUND(VLOOKUP($BJ247&amp;"初始",$S$3:$AE$63,MATCH(BR$3,$S$3:$AE$3,0),FALSE)+(VLOOKUP($BJ247&amp;"最终",$S$3:$AE$63,MATCH(BR$3,$S$3:$AE$3,0),FALSE)-VLOOKUP($BJ247&amp;"初始",$S$3:$AE$63,MATCH(BR$3,$S$3:$AE$3,0),FALSE))*$BL247/VLOOKUP(VLOOKUP($BJ247,坦克个性化设定!$B$18:$E$48,4,FALSE)&amp;$BK247,坦克属性分配比例,MATCH("升星次数",坦克属性分配比例标头,0),FALSE),0)</f>
        <v>207</v>
      </c>
      <c r="BS247" s="2">
        <f>ROUND(VLOOKUP($BJ247,$AI$3:$AO$33,MATCH(BS$3,$AI$3:$AO$3,0),FALSE)+$BL247/VLOOKUP(VLOOKUP($BJ247,坦克个性化设定!$B$18:$E$48,4,FALSE)&amp;$BK247,坦克属性分配比例,MATCH("升星次数",坦克属性分配比例标头,0),FALSE)*VLOOKUP($BJ247,$AR$3:$AY$33,MATCH(BS$3,$AR$3:$AY$3,0),FALSE),1)</f>
        <v>37.4</v>
      </c>
      <c r="BT247" s="2">
        <f>ROUND(VLOOKUP($BJ247,$AI$3:$AO$33,MATCH(BT$3,$AI$3:$AO$3,0),FALSE)+$BL247/VLOOKUP(VLOOKUP($BJ247,坦克个性化设定!$B$18:$E$48,4,FALSE)&amp;$BK247,坦克属性分配比例,MATCH("升星次数",坦克属性分配比例标头,0),FALSE)*VLOOKUP($BJ247,$AR$3:$AY$33,MATCH(BT$3,$AR$3:$AY$3,0),FALSE),1)</f>
        <v>42.6</v>
      </c>
      <c r="BU247" s="2">
        <f>ROUND(VLOOKUP($BJ247,$AI$3:$AO$33,MATCH(BU$3,$AI$3:$AO$3,0),FALSE)+$BL247/VLOOKUP(VLOOKUP($BJ247,坦克个性化设定!$B$18:$E$48,4,FALSE)&amp;$BK247,坦克属性分配比例,MATCH("升星次数",坦克属性分配比例标头,0),FALSE)*VLOOKUP($BJ247,$AR$3:$AY$33,MATCH(BU$3,$AR$3:$AY$3,0),FALSE),1)</f>
        <v>6.4</v>
      </c>
      <c r="BV247" s="2">
        <f>IF(VLOOKUP(BJ247,坦克个性化设定!$B$18:$BC$48,MATCH("装弹类型",坦克个性化设定!$B$18:$BC$18,0),FALSE)="弹夹换弹",0,ROUND(VLOOKUP($BJ247,$AI$3:$AO$33,MATCH("换弹时间",$AI$3:$AO$3,0),FALSE)-$BL247/VLOOKUP(VLOOKUP($BJ247,坦克个性化设定!$B$18:$E$48,4,FALSE)&amp;$BK247,坦克属性分配比例,MATCH("升星次数",坦克属性分配比例标头,0),FALSE)*VLOOKUP($BJ247,$AR$3:$AY$33,MATCH("换弹时间",$AR$3:$AY$3,0),FALSE),2))</f>
        <v>5.34</v>
      </c>
      <c r="BW247" s="2">
        <f>IF(VLOOKUP(BJ247,坦克个性化设定!$B$18:$BC$48,MATCH("装弹类型",坦克个性化设定!$B$18:$BC$18,0),FALSE)="弹夹换弹",ROUND(VLOOKUP($BJ247,$AI$3:$AO$33,MATCH("换弹时间",$AI$3:$AO$3,0),FALSE)-$BL247/VLOOKUP(VLOOKUP($BJ247,坦克个性化设定!$B$18:$E$48,4,FALSE)&amp;$BK247,坦克属性分配比例,MATCH("升星次数",坦克属性分配比例标头,0),FALSE)*VLOOKUP($BJ247,$AR$3:$AY$33,MATCH("换弹时间",$AR$3:$AY$3,0),FALSE),1),0)</f>
        <v>0</v>
      </c>
      <c r="BX247" s="2">
        <f>ROUND(VLOOKUP($BJ247,$AI$3:$AO$33,MATCH(BX$3,$AI$3:$AO$3,0),FALSE)+$BL247/VLOOKUP(VLOOKUP($BJ247,坦克个性化设定!$B$18:$E$48,4,FALSE)&amp;$BK247,坦克属性分配比例,MATCH("升星次数",坦克属性分配比例标头,0),FALSE)*VLOOKUP($BJ247,$AR$3:$AY$33,MATCH(BX$3,$AR$3:$AY$3,0),FALSE),2)</f>
        <v>0</v>
      </c>
      <c r="BY247" s="2">
        <f>ROUND(VLOOKUP($BJ247,$AI$3:$AO$33,MATCH(BY$3,$AI$3:$AO$3,0),FALSE)-$BL247/VLOOKUP(VLOOKUP($BJ247,坦克个性化设定!$B$18:$E$48,4,FALSE)&amp;$BK247,坦克属性分配比例,MATCH("升星次数",坦克属性分配比例标头,0),FALSE)*VLOOKUP($BJ247,$AR$3:$AY$33,MATCH(BY$3,$AR$3:$AY$3,0),FALSE),2)</f>
        <v>2.61</v>
      </c>
    </row>
    <row r="248" spans="60:77" x14ac:dyDescent="0.3">
      <c r="BH248" s="2" t="str">
        <f t="shared" si="32"/>
        <v>虎式8</v>
      </c>
      <c r="BI248" s="2">
        <f>IF(BL247&gt;=VLOOKUP(VLOOKUP(BJ247,坦克个性化设定!$B$18:$E$48,4,FALSE)&amp;BK247,坦克属性分配比例,MATCH("升星次数",坦克属性分配比例标头,0),FALSE),BI247+1,BI247)</f>
        <v>25</v>
      </c>
      <c r="BJ248" s="2" t="str">
        <f t="shared" si="33"/>
        <v>虎式</v>
      </c>
      <c r="BK248" s="29" t="str">
        <f>VLOOKUP(BJ248,坦克个性化细分!$I$3:$J$33,2,FALSE)</f>
        <v>中</v>
      </c>
      <c r="BL248" s="2">
        <f t="shared" si="34"/>
        <v>8</v>
      </c>
      <c r="BM248" s="103">
        <f ca="1">ROUND(VLOOKUP($BJ248&amp;"初始",$S$3:$AE$63,MATCH(BM$3,$S$3:$AE$3,0),FALSE)+((VLOOKUP($BJ248&amp;"最终",$S$3:$AE$63,MATCH(BM$3,$S$3:$AE$3,0),FALSE)*坦克个性化细分!$C$9-VLOOKUP($BJ248&amp;"初始",$S$3:$AE$63,MATCH(BM$3,$S$3:$AE$3,0),FALSE))-(VLOOKUP($BJ248&amp;"最终",$S$3:$AE$63,MATCH(BM$3,$S$3:$AE$3,0),FALSE)-VLOOKUP($BJ248&amp;"初始",$S$3:$AE$63,MATCH(BM$3,$S$3:$AE$3,0),FALSE))*VLOOKUP(VLOOKUP($BJ248,坦克个性化设定!$B$18:$E$48,4,FALSE)&amp;$BK248,坦克属性分配比例,MATCH("部件比例",坦克属性分配比例标头,0),FALSE))*$BL248/VLOOKUP(VLOOKUP($BJ248,坦克个性化设定!$B$18:$E$48,4,FALSE)&amp;$BK248,坦克属性分配比例,MATCH("升星次数",坦克属性分配比例标头,0),FALSE),0)</f>
        <v>2115</v>
      </c>
      <c r="BN248" s="103">
        <f ca="1">ROUND(VLOOKUP($BJ248&amp;"初始",$S$3:$AE$63,MATCH(BN$3,$S$3:$AE$3,0),FALSE)+(VLOOKUP($BJ248&amp;"最终",$S$3:$AE$63,MATCH(BN$3,$S$3:$AE$3,0),FALSE)-VLOOKUP($BJ248&amp;"初始",$S$3:$AE$63,MATCH(BN$3,$S$3:$AE$3,0),FALSE))*$BL248/VLOOKUP(VLOOKUP($BJ248,坦克个性化设定!$B$18:$E$48,4,FALSE)&amp;$BK248,坦克属性分配比例,MATCH("升星次数",坦克属性分配比例标头,0),FALSE)*VLOOKUP(VLOOKUP($BJ248,坦克个性化设定!$B$18:$E$48,4,FALSE)&amp;$BK248,坦克属性分配比例,MATCH("升星比例",坦克属性分配比例标头,0),FALSE),0)</f>
        <v>710</v>
      </c>
      <c r="BO248" s="103">
        <f ca="1">ROUND(VLOOKUP($BJ248&amp;"初始",$S$3:$AE$63,MATCH(BO$3,$S$3:$AE$3,0),FALSE)+(VLOOKUP($BJ248&amp;"最终",$S$3:$AE$63,MATCH(BO$3,$S$3:$AE$3,0),FALSE)-VLOOKUP($BJ248&amp;"初始",$S$3:$AE$63,MATCH(BO$3,$S$3:$AE$3,0),FALSE))*$BL248/VLOOKUP(VLOOKUP($BJ248,坦克个性化设定!$B$18:$E$48,4,FALSE)&amp;$BK248,坦克属性分配比例,MATCH("升星次数",坦克属性分配比例标头,0),FALSE)*(VLOOKUP(VLOOKUP($BJ248,坦克个性化设定!$B$18:$E$48,4,FALSE)&amp;$BK248,坦克属性分配比例,MATCH("升星比例",坦克属性分配比例标头,0),FALSE)+VLOOKUP(VLOOKUP($BJ248,坦克个性化设定!$B$18:$E$48,4,FALSE)&amp;$BK248,坦克属性分配比例,MATCH("部件比例",坦克属性分配比例标头,0),FALSE)*$C$3),0)</f>
        <v>658</v>
      </c>
      <c r="BP248" s="103">
        <f ca="1">ROUND(VLOOKUP($BJ248&amp;"初始",$S$3:$AE$63,MATCH(BP$3,$S$3:$AE$3,0),FALSE)+(VLOOKUP($BJ248&amp;"最终",$S$3:$AE$63,MATCH(BP$3,$S$3:$AE$3,0),FALSE)-VLOOKUP($BJ248&amp;"初始",$S$3:$AE$63,MATCH(BP$3,$S$3:$AE$3,0),FALSE))*$BL248/VLOOKUP(VLOOKUP($BJ248,坦克个性化设定!$B$18:$E$48,4,FALSE)&amp;$BK248,坦克属性分配比例,MATCH("升星次数",坦克属性分配比例标头,0),FALSE)*(VLOOKUP(VLOOKUP($BJ248,坦克个性化设定!$B$18:$E$48,4,FALSE)&amp;$BK248,坦克属性分配比例,MATCH("升星比例",坦克属性分配比例标头,0),FALSE)+VLOOKUP(VLOOKUP($BJ248,坦克个性化设定!$B$18:$E$48,4,FALSE)&amp;$BK248,坦克属性分配比例,MATCH("部件比例",坦克属性分配比例标头,0),FALSE)*$C$3),0)</f>
        <v>526</v>
      </c>
      <c r="BQ248" s="103">
        <f ca="1">ROUND(VLOOKUP($BJ248&amp;"初始",$S$3:$AE$63,MATCH(BQ$3,$S$3:$AE$3,0),FALSE)+(VLOOKUP($BJ248&amp;"最终",$S$3:$AE$63,MATCH(BQ$3,$S$3:$AE$3,0),FALSE)-VLOOKUP($BJ248&amp;"初始",$S$3:$AE$63,MATCH(BQ$3,$S$3:$AE$3,0),FALSE))*$BL248/VLOOKUP(VLOOKUP($BJ248,坦克个性化设定!$B$18:$E$48,4,FALSE)&amp;$BK248,坦克属性分配比例,MATCH("升星次数",坦克属性分配比例标头,0),FALSE)*VLOOKUP(VLOOKUP($BJ248,坦克个性化设定!$B$18:$E$48,4,FALSE)&amp;$BK248,坦克属性分配比例,MATCH("升星比例",坦克属性分配比例标头,0),FALSE),0)</f>
        <v>813</v>
      </c>
      <c r="BR248" s="2">
        <f ca="1">ROUND(VLOOKUP($BJ248&amp;"初始",$S$3:$AE$63,MATCH(BR$3,$S$3:$AE$3,0),FALSE)+(VLOOKUP($BJ248&amp;"最终",$S$3:$AE$63,MATCH(BR$3,$S$3:$AE$3,0),FALSE)-VLOOKUP($BJ248&amp;"初始",$S$3:$AE$63,MATCH(BR$3,$S$3:$AE$3,0),FALSE))*$BL248/VLOOKUP(VLOOKUP($BJ248,坦克个性化设定!$B$18:$E$48,4,FALSE)&amp;$BK248,坦克属性分配比例,MATCH("升星次数",坦克属性分配比例标头,0),FALSE),0)</f>
        <v>215</v>
      </c>
      <c r="BS248" s="2">
        <f>ROUND(VLOOKUP($BJ248,$AI$3:$AO$33,MATCH(BS$3,$AI$3:$AO$3,0),FALSE)+$BL248/VLOOKUP(VLOOKUP($BJ248,坦克个性化设定!$B$18:$E$48,4,FALSE)&amp;$BK248,坦克属性分配比例,MATCH("升星次数",坦克属性分配比例标头,0),FALSE)*VLOOKUP($BJ248,$AR$3:$AY$33,MATCH(BS$3,$AR$3:$AY$3,0),FALSE),1)</f>
        <v>38.299999999999997</v>
      </c>
      <c r="BT248" s="2">
        <f>ROUND(VLOOKUP($BJ248,$AI$3:$AO$33,MATCH(BT$3,$AI$3:$AO$3,0),FALSE)+$BL248/VLOOKUP(VLOOKUP($BJ248,坦克个性化设定!$B$18:$E$48,4,FALSE)&amp;$BK248,坦克属性分配比例,MATCH("升星次数",坦克属性分配比例标头,0),FALSE)*VLOOKUP($BJ248,$AR$3:$AY$33,MATCH(BT$3,$AR$3:$AY$3,0),FALSE),1)</f>
        <v>43.6</v>
      </c>
      <c r="BU248" s="2">
        <f>ROUND(VLOOKUP($BJ248,$AI$3:$AO$33,MATCH(BU$3,$AI$3:$AO$3,0),FALSE)+$BL248/VLOOKUP(VLOOKUP($BJ248,坦克个性化设定!$B$18:$E$48,4,FALSE)&amp;$BK248,坦克属性分配比例,MATCH("升星次数",坦克属性分配比例标头,0),FALSE)*VLOOKUP($BJ248,$AR$3:$AY$33,MATCH(BU$3,$AR$3:$AY$3,0),FALSE),1)</f>
        <v>6.4</v>
      </c>
      <c r="BV248" s="2">
        <f>IF(VLOOKUP(BJ248,坦克个性化设定!$B$18:$BC$48,MATCH("装弹类型",坦克个性化设定!$B$18:$BC$18,0),FALSE)="弹夹换弹",0,ROUND(VLOOKUP($BJ248,$AI$3:$AO$33,MATCH("换弹时间",$AI$3:$AO$3,0),FALSE)-$BL248/VLOOKUP(VLOOKUP($BJ248,坦克个性化设定!$B$18:$E$48,4,FALSE)&amp;$BK248,坦克属性分配比例,MATCH("升星次数",坦克属性分配比例标头,0),FALSE)*VLOOKUP($BJ248,$AR$3:$AY$33,MATCH("换弹时间",$AR$3:$AY$3,0),FALSE),2))</f>
        <v>5.24</v>
      </c>
      <c r="BW248" s="2">
        <f>IF(VLOOKUP(BJ248,坦克个性化设定!$B$18:$BC$48,MATCH("装弹类型",坦克个性化设定!$B$18:$BC$18,0),FALSE)="弹夹换弹",ROUND(VLOOKUP($BJ248,$AI$3:$AO$33,MATCH("换弹时间",$AI$3:$AO$3,0),FALSE)-$BL248/VLOOKUP(VLOOKUP($BJ248,坦克个性化设定!$B$18:$E$48,4,FALSE)&amp;$BK248,坦克属性分配比例,MATCH("升星次数",坦克属性分配比例标头,0),FALSE)*VLOOKUP($BJ248,$AR$3:$AY$33,MATCH("换弹时间",$AR$3:$AY$3,0),FALSE),1),0)</f>
        <v>0</v>
      </c>
      <c r="BX248" s="2">
        <f>ROUND(VLOOKUP($BJ248,$AI$3:$AO$33,MATCH(BX$3,$AI$3:$AO$3,0),FALSE)+$BL248/VLOOKUP(VLOOKUP($BJ248,坦克个性化设定!$B$18:$E$48,4,FALSE)&amp;$BK248,坦克属性分配比例,MATCH("升星次数",坦克属性分配比例标头,0),FALSE)*VLOOKUP($BJ248,$AR$3:$AY$33,MATCH(BX$3,$AR$3:$AY$3,0),FALSE),2)</f>
        <v>0</v>
      </c>
      <c r="BY248" s="2">
        <f>ROUND(VLOOKUP($BJ248,$AI$3:$AO$33,MATCH(BY$3,$AI$3:$AO$3,0),FALSE)-$BL248/VLOOKUP(VLOOKUP($BJ248,坦克个性化设定!$B$18:$E$48,4,FALSE)&amp;$BK248,坦克属性分配比例,MATCH("升星次数",坦克属性分配比例标头,0),FALSE)*VLOOKUP($BJ248,$AR$3:$AY$33,MATCH(BY$3,$AR$3:$AY$3,0),FALSE),2)</f>
        <v>2.56</v>
      </c>
    </row>
    <row r="249" spans="60:77" x14ac:dyDescent="0.3">
      <c r="BH249" s="2" t="str">
        <f t="shared" si="32"/>
        <v>虎式9</v>
      </c>
      <c r="BI249" s="2">
        <f>IF(BL248&gt;=VLOOKUP(VLOOKUP(BJ248,坦克个性化设定!$B$18:$E$48,4,FALSE)&amp;BK248,坦克属性分配比例,MATCH("升星次数",坦克属性分配比例标头,0),FALSE),BI248+1,BI248)</f>
        <v>25</v>
      </c>
      <c r="BJ249" s="2" t="str">
        <f t="shared" si="33"/>
        <v>虎式</v>
      </c>
      <c r="BK249" s="29" t="str">
        <f>VLOOKUP(BJ249,坦克个性化细分!$I$3:$J$33,2,FALSE)</f>
        <v>中</v>
      </c>
      <c r="BL249" s="2">
        <f t="shared" si="34"/>
        <v>9</v>
      </c>
      <c r="BM249" s="103">
        <f ca="1">ROUND(VLOOKUP($BJ249&amp;"初始",$S$3:$AE$63,MATCH(BM$3,$S$3:$AE$3,0),FALSE)+((VLOOKUP($BJ249&amp;"最终",$S$3:$AE$63,MATCH(BM$3,$S$3:$AE$3,0),FALSE)*坦克个性化细分!$C$9-VLOOKUP($BJ249&amp;"初始",$S$3:$AE$63,MATCH(BM$3,$S$3:$AE$3,0),FALSE))-(VLOOKUP($BJ249&amp;"最终",$S$3:$AE$63,MATCH(BM$3,$S$3:$AE$3,0),FALSE)-VLOOKUP($BJ249&amp;"初始",$S$3:$AE$63,MATCH(BM$3,$S$3:$AE$3,0),FALSE))*VLOOKUP(VLOOKUP($BJ249,坦克个性化设定!$B$18:$E$48,4,FALSE)&amp;$BK249,坦克属性分配比例,MATCH("部件比例",坦克属性分配比例标头,0),FALSE))*$BL249/VLOOKUP(VLOOKUP($BJ249,坦克个性化设定!$B$18:$E$48,4,FALSE)&amp;$BK249,坦克属性分配比例,MATCH("升星次数",坦克属性分配比例标头,0),FALSE),0)</f>
        <v>2198</v>
      </c>
      <c r="BN249" s="103">
        <f ca="1">ROUND(VLOOKUP($BJ249&amp;"初始",$S$3:$AE$63,MATCH(BN$3,$S$3:$AE$3,0),FALSE)+(VLOOKUP($BJ249&amp;"最终",$S$3:$AE$63,MATCH(BN$3,$S$3:$AE$3,0),FALSE)-VLOOKUP($BJ249&amp;"初始",$S$3:$AE$63,MATCH(BN$3,$S$3:$AE$3,0),FALSE))*$BL249/VLOOKUP(VLOOKUP($BJ249,坦克个性化设定!$B$18:$E$48,4,FALSE)&amp;$BK249,坦克属性分配比例,MATCH("升星次数",坦克属性分配比例标头,0),FALSE)*VLOOKUP(VLOOKUP($BJ249,坦克个性化设定!$B$18:$E$48,4,FALSE)&amp;$BK249,坦克属性分配比例,MATCH("升星比例",坦克属性分配比例标头,0),FALSE),0)</f>
        <v>728</v>
      </c>
      <c r="BO249" s="103">
        <f ca="1">ROUND(VLOOKUP($BJ249&amp;"初始",$S$3:$AE$63,MATCH(BO$3,$S$3:$AE$3,0),FALSE)+(VLOOKUP($BJ249&amp;"最终",$S$3:$AE$63,MATCH(BO$3,$S$3:$AE$3,0),FALSE)-VLOOKUP($BJ249&amp;"初始",$S$3:$AE$63,MATCH(BO$3,$S$3:$AE$3,0),FALSE))*$BL249/VLOOKUP(VLOOKUP($BJ249,坦克个性化设定!$B$18:$E$48,4,FALSE)&amp;$BK249,坦克属性分配比例,MATCH("升星次数",坦克属性分配比例标头,0),FALSE)*(VLOOKUP(VLOOKUP($BJ249,坦克个性化设定!$B$18:$E$48,4,FALSE)&amp;$BK249,坦克属性分配比例,MATCH("升星比例",坦克属性分配比例标头,0),FALSE)+VLOOKUP(VLOOKUP($BJ249,坦克个性化设定!$B$18:$E$48,4,FALSE)&amp;$BK249,坦克属性分配比例,MATCH("部件比例",坦克属性分配比例标头,0),FALSE)*$C$3),0)</f>
        <v>680</v>
      </c>
      <c r="BP249" s="103">
        <f ca="1">ROUND(VLOOKUP($BJ249&amp;"初始",$S$3:$AE$63,MATCH(BP$3,$S$3:$AE$3,0),FALSE)+(VLOOKUP($BJ249&amp;"最终",$S$3:$AE$63,MATCH(BP$3,$S$3:$AE$3,0),FALSE)-VLOOKUP($BJ249&amp;"初始",$S$3:$AE$63,MATCH(BP$3,$S$3:$AE$3,0),FALSE))*$BL249/VLOOKUP(VLOOKUP($BJ249,坦克个性化设定!$B$18:$E$48,4,FALSE)&amp;$BK249,坦克属性分配比例,MATCH("升星次数",坦克属性分配比例标头,0),FALSE)*(VLOOKUP(VLOOKUP($BJ249,坦克个性化设定!$B$18:$E$48,4,FALSE)&amp;$BK249,坦克属性分配比例,MATCH("升星比例",坦克属性分配比例标头,0),FALSE)+VLOOKUP(VLOOKUP($BJ249,坦克个性化设定!$B$18:$E$48,4,FALSE)&amp;$BK249,坦克属性分配比例,MATCH("部件比例",坦克属性分配比例标头,0),FALSE)*$C$3),0)</f>
        <v>543</v>
      </c>
      <c r="BQ249" s="103">
        <f ca="1">ROUND(VLOOKUP($BJ249&amp;"初始",$S$3:$AE$63,MATCH(BQ$3,$S$3:$AE$3,0),FALSE)+(VLOOKUP($BJ249&amp;"最终",$S$3:$AE$63,MATCH(BQ$3,$S$3:$AE$3,0),FALSE)-VLOOKUP($BJ249&amp;"初始",$S$3:$AE$63,MATCH(BQ$3,$S$3:$AE$3,0),FALSE))*$BL249/VLOOKUP(VLOOKUP($BJ249,坦克个性化设定!$B$18:$E$48,4,FALSE)&amp;$BK249,坦克属性分配比例,MATCH("升星次数",坦克属性分配比例标头,0),FALSE)*VLOOKUP(VLOOKUP($BJ249,坦克个性化设定!$B$18:$E$48,4,FALSE)&amp;$BK249,坦克属性分配比例,MATCH("升星比例",坦克属性分配比例标头,0),FALSE),0)</f>
        <v>834</v>
      </c>
      <c r="BR249" s="2">
        <f ca="1">ROUND(VLOOKUP($BJ249&amp;"初始",$S$3:$AE$63,MATCH(BR$3,$S$3:$AE$3,0),FALSE)+(VLOOKUP($BJ249&amp;"最终",$S$3:$AE$63,MATCH(BR$3,$S$3:$AE$3,0),FALSE)-VLOOKUP($BJ249&amp;"初始",$S$3:$AE$63,MATCH(BR$3,$S$3:$AE$3,0),FALSE))*$BL249/VLOOKUP(VLOOKUP($BJ249,坦克个性化设定!$B$18:$E$48,4,FALSE)&amp;$BK249,坦克属性分配比例,MATCH("升星次数",坦克属性分配比例标头,0),FALSE),0)</f>
        <v>223</v>
      </c>
      <c r="BS249" s="2">
        <f>ROUND(VLOOKUP($BJ249,$AI$3:$AO$33,MATCH(BS$3,$AI$3:$AO$3,0),FALSE)+$BL249/VLOOKUP(VLOOKUP($BJ249,坦克个性化设定!$B$18:$E$48,4,FALSE)&amp;$BK249,坦克属性分配比例,MATCH("升星次数",坦克属性分配比例标头,0),FALSE)*VLOOKUP($BJ249,$AR$3:$AY$33,MATCH(BS$3,$AR$3:$AY$3,0),FALSE),1)</f>
        <v>39.1</v>
      </c>
      <c r="BT249" s="2">
        <f>ROUND(VLOOKUP($BJ249,$AI$3:$AO$33,MATCH(BT$3,$AI$3:$AO$3,0),FALSE)+$BL249/VLOOKUP(VLOOKUP($BJ249,坦克个性化设定!$B$18:$E$48,4,FALSE)&amp;$BK249,坦克属性分配比例,MATCH("升星次数",坦克属性分配比例标头,0),FALSE)*VLOOKUP($BJ249,$AR$3:$AY$33,MATCH(BT$3,$AR$3:$AY$3,0),FALSE),1)</f>
        <v>44.6</v>
      </c>
      <c r="BU249" s="2">
        <f>ROUND(VLOOKUP($BJ249,$AI$3:$AO$33,MATCH(BU$3,$AI$3:$AO$3,0),FALSE)+$BL249/VLOOKUP(VLOOKUP($BJ249,坦克个性化设定!$B$18:$E$48,4,FALSE)&amp;$BK249,坦克属性分配比例,MATCH("升星次数",坦克属性分配比例标头,0),FALSE)*VLOOKUP($BJ249,$AR$3:$AY$33,MATCH(BU$3,$AR$3:$AY$3,0),FALSE),1)</f>
        <v>6.4</v>
      </c>
      <c r="BV249" s="2">
        <f>IF(VLOOKUP(BJ249,坦克个性化设定!$B$18:$BC$48,MATCH("装弹类型",坦克个性化设定!$B$18:$BC$18,0),FALSE)="弹夹换弹",0,ROUND(VLOOKUP($BJ249,$AI$3:$AO$33,MATCH("换弹时间",$AI$3:$AO$3,0),FALSE)-$BL249/VLOOKUP(VLOOKUP($BJ249,坦克个性化设定!$B$18:$E$48,4,FALSE)&amp;$BK249,坦克属性分配比例,MATCH("升星次数",坦克属性分配比例标头,0),FALSE)*VLOOKUP($BJ249,$AR$3:$AY$33,MATCH("换弹时间",$AR$3:$AY$3,0),FALSE),2))</f>
        <v>5.15</v>
      </c>
      <c r="BW249" s="2">
        <f>IF(VLOOKUP(BJ249,坦克个性化设定!$B$18:$BC$48,MATCH("装弹类型",坦克个性化设定!$B$18:$BC$18,0),FALSE)="弹夹换弹",ROUND(VLOOKUP($BJ249,$AI$3:$AO$33,MATCH("换弹时间",$AI$3:$AO$3,0),FALSE)-$BL249/VLOOKUP(VLOOKUP($BJ249,坦克个性化设定!$B$18:$E$48,4,FALSE)&amp;$BK249,坦克属性分配比例,MATCH("升星次数",坦克属性分配比例标头,0),FALSE)*VLOOKUP($BJ249,$AR$3:$AY$33,MATCH("换弹时间",$AR$3:$AY$3,0),FALSE),1),0)</f>
        <v>0</v>
      </c>
      <c r="BX249" s="2">
        <f>ROUND(VLOOKUP($BJ249,$AI$3:$AO$33,MATCH(BX$3,$AI$3:$AO$3,0),FALSE)+$BL249/VLOOKUP(VLOOKUP($BJ249,坦克个性化设定!$B$18:$E$48,4,FALSE)&amp;$BK249,坦克属性分配比例,MATCH("升星次数",坦克属性分配比例标头,0),FALSE)*VLOOKUP($BJ249,$AR$3:$AY$33,MATCH(BX$3,$AR$3:$AY$3,0),FALSE),2)</f>
        <v>0</v>
      </c>
      <c r="BY249" s="2">
        <f>ROUND(VLOOKUP($BJ249,$AI$3:$AO$33,MATCH(BY$3,$AI$3:$AO$3,0),FALSE)-$BL249/VLOOKUP(VLOOKUP($BJ249,坦克个性化设定!$B$18:$E$48,4,FALSE)&amp;$BK249,坦克属性分配比例,MATCH("升星次数",坦克属性分配比例标头,0),FALSE)*VLOOKUP($BJ249,$AR$3:$AY$33,MATCH(BY$3,$AR$3:$AY$3,0),FALSE),2)</f>
        <v>2.5</v>
      </c>
    </row>
    <row r="250" spans="60:77" x14ac:dyDescent="0.3">
      <c r="BH250" s="2" t="str">
        <f t="shared" si="32"/>
        <v>KV-20</v>
      </c>
      <c r="BI250" s="2">
        <f>IF(BL249&gt;=VLOOKUP(VLOOKUP(BJ249,坦克个性化设定!$B$18:$E$48,4,FALSE)&amp;BK249,坦克属性分配比例,MATCH("升星次数",坦克属性分配比例标头,0),FALSE),BI249+1,BI249)</f>
        <v>26</v>
      </c>
      <c r="BJ250" s="2" t="str">
        <f t="shared" si="33"/>
        <v>KV-2</v>
      </c>
      <c r="BK250" s="29" t="str">
        <f>VLOOKUP(BJ250,坦克个性化细分!$I$3:$J$33,2,FALSE)</f>
        <v>高</v>
      </c>
      <c r="BL250" s="2">
        <f t="shared" si="34"/>
        <v>0</v>
      </c>
      <c r="BM250" s="103">
        <f ca="1">ROUND(VLOOKUP($BJ250&amp;"初始",$S$3:$AE$63,MATCH(BM$3,$S$3:$AE$3,0),FALSE)+((VLOOKUP($BJ250&amp;"最终",$S$3:$AE$63,MATCH(BM$3,$S$3:$AE$3,0),FALSE)*坦克个性化细分!$C$9-VLOOKUP($BJ250&amp;"初始",$S$3:$AE$63,MATCH(BM$3,$S$3:$AE$3,0),FALSE))-(VLOOKUP($BJ250&amp;"最终",$S$3:$AE$63,MATCH(BM$3,$S$3:$AE$3,0),FALSE)-VLOOKUP($BJ250&amp;"初始",$S$3:$AE$63,MATCH(BM$3,$S$3:$AE$3,0),FALSE))*VLOOKUP(VLOOKUP($BJ250,坦克个性化设定!$B$18:$E$48,4,FALSE)&amp;$BK250,坦克属性分配比例,MATCH("部件比例",坦克属性分配比例标头,0),FALSE))*$BL250/VLOOKUP(VLOOKUP($BJ250,坦克个性化设定!$B$18:$E$48,4,FALSE)&amp;$BK250,坦克属性分配比例,MATCH("升星次数",坦克属性分配比例标头,0),FALSE),0)</f>
        <v>1483</v>
      </c>
      <c r="BN250" s="103">
        <f ca="1">ROUND(VLOOKUP($BJ250&amp;"初始",$S$3:$AE$63,MATCH(BN$3,$S$3:$AE$3,0),FALSE)+(VLOOKUP($BJ250&amp;"最终",$S$3:$AE$63,MATCH(BN$3,$S$3:$AE$3,0),FALSE)-VLOOKUP($BJ250&amp;"初始",$S$3:$AE$63,MATCH(BN$3,$S$3:$AE$3,0),FALSE))*$BL250/VLOOKUP(VLOOKUP($BJ250,坦克个性化设定!$B$18:$E$48,4,FALSE)&amp;$BK250,坦克属性分配比例,MATCH("升星次数",坦克属性分配比例标头,0),FALSE)*VLOOKUP(VLOOKUP($BJ250,坦克个性化设定!$B$18:$E$48,4,FALSE)&amp;$BK250,坦克属性分配比例,MATCH("升星比例",坦克属性分配比例标头,0),FALSE),0)</f>
        <v>387</v>
      </c>
      <c r="BO250" s="103">
        <f ca="1">ROUND(VLOOKUP($BJ250&amp;"初始",$S$3:$AE$63,MATCH(BO$3,$S$3:$AE$3,0),FALSE)+(VLOOKUP($BJ250&amp;"最终",$S$3:$AE$63,MATCH(BO$3,$S$3:$AE$3,0),FALSE)-VLOOKUP($BJ250&amp;"初始",$S$3:$AE$63,MATCH(BO$3,$S$3:$AE$3,0),FALSE))*$BL250/VLOOKUP(VLOOKUP($BJ250,坦克个性化设定!$B$18:$E$48,4,FALSE)&amp;$BK250,坦克属性分配比例,MATCH("升星次数",坦克属性分配比例标头,0),FALSE)*(VLOOKUP(VLOOKUP($BJ250,坦克个性化设定!$B$18:$E$48,4,FALSE)&amp;$BK250,坦克属性分配比例,MATCH("升星比例",坦克属性分配比例标头,0),FALSE)+VLOOKUP(VLOOKUP($BJ250,坦克个性化设定!$B$18:$E$48,4,FALSE)&amp;$BK250,坦克属性分配比例,MATCH("部件比例",坦克属性分配比例标头,0),FALSE)*$C$3),0)</f>
        <v>440</v>
      </c>
      <c r="BP250" s="103">
        <f ca="1">ROUND(VLOOKUP($BJ250&amp;"初始",$S$3:$AE$63,MATCH(BP$3,$S$3:$AE$3,0),FALSE)+(VLOOKUP($BJ250&amp;"最终",$S$3:$AE$63,MATCH(BP$3,$S$3:$AE$3,0),FALSE)-VLOOKUP($BJ250&amp;"初始",$S$3:$AE$63,MATCH(BP$3,$S$3:$AE$3,0),FALSE))*$BL250/VLOOKUP(VLOOKUP($BJ250,坦克个性化设定!$B$18:$E$48,4,FALSE)&amp;$BK250,坦克属性分配比例,MATCH("升星次数",坦克属性分配比例标头,0),FALSE)*(VLOOKUP(VLOOKUP($BJ250,坦克个性化设定!$B$18:$E$48,4,FALSE)&amp;$BK250,坦克属性分配比例,MATCH("升星比例",坦克属性分配比例标头,0),FALSE)+VLOOKUP(VLOOKUP($BJ250,坦克个性化设定!$B$18:$E$48,4,FALSE)&amp;$BK250,坦克属性分配比例,MATCH("部件比例",坦克属性分配比例标头,0),FALSE)*$C$3),0)</f>
        <v>352</v>
      </c>
      <c r="BQ250" s="103">
        <f ca="1">ROUND(VLOOKUP($BJ250&amp;"初始",$S$3:$AE$63,MATCH(BQ$3,$S$3:$AE$3,0),FALSE)+(VLOOKUP($BJ250&amp;"最终",$S$3:$AE$63,MATCH(BQ$3,$S$3:$AE$3,0),FALSE)-VLOOKUP($BJ250&amp;"初始",$S$3:$AE$63,MATCH(BQ$3,$S$3:$AE$3,0),FALSE))*$BL250/VLOOKUP(VLOOKUP($BJ250,坦克个性化设定!$B$18:$E$48,4,FALSE)&amp;$BK250,坦克属性分配比例,MATCH("升星次数",坦克属性分配比例标头,0),FALSE)*VLOOKUP(VLOOKUP($BJ250,坦克个性化设定!$B$18:$E$48,4,FALSE)&amp;$BK250,坦克属性分配比例,MATCH("升星比例",坦克属性分配比例标头,0),FALSE),0)</f>
        <v>647</v>
      </c>
      <c r="BR250" s="2">
        <f ca="1">ROUND(VLOOKUP($BJ250&amp;"初始",$S$3:$AE$63,MATCH(BR$3,$S$3:$AE$3,0),FALSE)+(VLOOKUP($BJ250&amp;"最终",$S$3:$AE$63,MATCH(BR$3,$S$3:$AE$3,0),FALSE)-VLOOKUP($BJ250&amp;"初始",$S$3:$AE$63,MATCH(BR$3,$S$3:$AE$3,0),FALSE))*$BL250/VLOOKUP(VLOOKUP($BJ250,坦克个性化设定!$B$18:$E$48,4,FALSE)&amp;$BK250,坦克属性分配比例,MATCH("升星次数",坦克属性分配比例标头,0),FALSE),0)</f>
        <v>151</v>
      </c>
      <c r="BS250" s="2">
        <f>ROUND(VLOOKUP($BJ250,$AI$3:$AO$33,MATCH(BS$3,$AI$3:$AO$3,0),FALSE)+$BL250/VLOOKUP(VLOOKUP($BJ250,坦克个性化设定!$B$18:$E$48,4,FALSE)&amp;$BK250,坦克属性分配比例,MATCH("升星次数",坦克属性分配比例标头,0),FALSE)*VLOOKUP($BJ250,$AR$3:$AY$33,MATCH(BS$3,$AR$3:$AY$3,0),FALSE),1)</f>
        <v>40.299999999999997</v>
      </c>
      <c r="BT250" s="2">
        <f>ROUND(VLOOKUP($BJ250,$AI$3:$AO$33,MATCH(BT$3,$AI$3:$AO$3,0),FALSE)+$BL250/VLOOKUP(VLOOKUP($BJ250,坦克个性化设定!$B$18:$E$48,4,FALSE)&amp;$BK250,坦克属性分配比例,MATCH("升星次数",坦克属性分配比例标头,0),FALSE)*VLOOKUP($BJ250,$AR$3:$AY$33,MATCH(BT$3,$AR$3:$AY$3,0),FALSE),1)</f>
        <v>29.4</v>
      </c>
      <c r="BU250" s="2">
        <f>ROUND(VLOOKUP($BJ250,$AI$3:$AO$33,MATCH(BU$3,$AI$3:$AO$3,0),FALSE)+$BL250/VLOOKUP(VLOOKUP($BJ250,坦克个性化设定!$B$18:$E$48,4,FALSE)&amp;$BK250,坦克属性分配比例,MATCH("升星次数",坦克属性分配比例标头,0),FALSE)*VLOOKUP($BJ250,$AR$3:$AY$33,MATCH(BU$3,$AR$3:$AY$3,0),FALSE),1)</f>
        <v>7.4</v>
      </c>
      <c r="BV250" s="2">
        <f>IF(VLOOKUP(BJ250,坦克个性化设定!$B$18:$BC$48,MATCH("装弹类型",坦克个性化设定!$B$18:$BC$18,0),FALSE)="弹夹换弹",0,ROUND(VLOOKUP($BJ250,$AI$3:$AO$33,MATCH("换弹时间",$AI$3:$AO$3,0),FALSE)-$BL250/VLOOKUP(VLOOKUP($BJ250,坦克个性化设定!$B$18:$E$48,4,FALSE)&amp;$BK250,坦克属性分配比例,MATCH("升星次数",坦克属性分配比例标头,0),FALSE)*VLOOKUP($BJ250,$AR$3:$AY$33,MATCH("换弹时间",$AR$3:$AY$3,0),FALSE),2))</f>
        <v>4.05</v>
      </c>
      <c r="BW250" s="2">
        <f>IF(VLOOKUP(BJ250,坦克个性化设定!$B$18:$BC$48,MATCH("装弹类型",坦克个性化设定!$B$18:$BC$18,0),FALSE)="弹夹换弹",ROUND(VLOOKUP($BJ250,$AI$3:$AO$33,MATCH("换弹时间",$AI$3:$AO$3,0),FALSE)-$BL250/VLOOKUP(VLOOKUP($BJ250,坦克个性化设定!$B$18:$E$48,4,FALSE)&amp;$BK250,坦克属性分配比例,MATCH("升星次数",坦克属性分配比例标头,0),FALSE)*VLOOKUP($BJ250,$AR$3:$AY$33,MATCH("换弹时间",$AR$3:$AY$3,0),FALSE),1),0)</f>
        <v>0</v>
      </c>
      <c r="BX250" s="2">
        <f>ROUND(VLOOKUP($BJ250,$AI$3:$AO$33,MATCH(BX$3,$AI$3:$AO$3,0),FALSE)+$BL250/VLOOKUP(VLOOKUP($BJ250,坦克个性化设定!$B$18:$E$48,4,FALSE)&amp;$BK250,坦克属性分配比例,MATCH("升星次数",坦克属性分配比例标头,0),FALSE)*VLOOKUP($BJ250,$AR$3:$AY$33,MATCH(BX$3,$AR$3:$AY$3,0),FALSE),2)</f>
        <v>2</v>
      </c>
      <c r="BY250" s="2">
        <f>ROUND(VLOOKUP($BJ250,$AI$3:$AO$33,MATCH(BY$3,$AI$3:$AO$3,0),FALSE)-$BL250/VLOOKUP(VLOOKUP($BJ250,坦克个性化设定!$B$18:$E$48,4,FALSE)&amp;$BK250,坦克属性分配比例,MATCH("升星次数",坦克属性分配比例标头,0),FALSE)*VLOOKUP($BJ250,$AR$3:$AY$33,MATCH(BY$3,$AR$3:$AY$3,0),FALSE),2)</f>
        <v>2.25</v>
      </c>
    </row>
    <row r="251" spans="60:77" x14ac:dyDescent="0.3">
      <c r="BH251" s="2" t="str">
        <f t="shared" si="32"/>
        <v>KV-21</v>
      </c>
      <c r="BI251" s="2">
        <f>IF(BL250&gt;=VLOOKUP(VLOOKUP(BJ250,坦克个性化设定!$B$18:$E$48,4,FALSE)&amp;BK250,坦克属性分配比例,MATCH("升星次数",坦克属性分配比例标头,0),FALSE),BI250+1,BI250)</f>
        <v>26</v>
      </c>
      <c r="BJ251" s="2" t="str">
        <f t="shared" si="33"/>
        <v>KV-2</v>
      </c>
      <c r="BK251" s="29" t="str">
        <f>VLOOKUP(BJ251,坦克个性化细分!$I$3:$J$33,2,FALSE)</f>
        <v>高</v>
      </c>
      <c r="BL251" s="2">
        <f t="shared" si="34"/>
        <v>1</v>
      </c>
      <c r="BM251" s="103">
        <f ca="1">ROUND(VLOOKUP($BJ251&amp;"初始",$S$3:$AE$63,MATCH(BM$3,$S$3:$AE$3,0),FALSE)+((VLOOKUP($BJ251&amp;"最终",$S$3:$AE$63,MATCH(BM$3,$S$3:$AE$3,0),FALSE)*坦克个性化细分!$C$9-VLOOKUP($BJ251&amp;"初始",$S$3:$AE$63,MATCH(BM$3,$S$3:$AE$3,0),FALSE))-(VLOOKUP($BJ251&amp;"最终",$S$3:$AE$63,MATCH(BM$3,$S$3:$AE$3,0),FALSE)-VLOOKUP($BJ251&amp;"初始",$S$3:$AE$63,MATCH(BM$3,$S$3:$AE$3,0),FALSE))*VLOOKUP(VLOOKUP($BJ251,坦克个性化设定!$B$18:$E$48,4,FALSE)&amp;$BK251,坦克属性分配比例,MATCH("部件比例",坦克属性分配比例标头,0),FALSE))*$BL251/VLOOKUP(VLOOKUP($BJ251,坦克个性化设定!$B$18:$E$48,4,FALSE)&amp;$BK251,坦克属性分配比例,MATCH("升星次数",坦克属性分配比例标头,0),FALSE),0)</f>
        <v>1567</v>
      </c>
      <c r="BN251" s="103">
        <f ca="1">ROUND(VLOOKUP($BJ251&amp;"初始",$S$3:$AE$63,MATCH(BN$3,$S$3:$AE$3,0),FALSE)+(VLOOKUP($BJ251&amp;"最终",$S$3:$AE$63,MATCH(BN$3,$S$3:$AE$3,0),FALSE)-VLOOKUP($BJ251&amp;"初始",$S$3:$AE$63,MATCH(BN$3,$S$3:$AE$3,0),FALSE))*$BL251/VLOOKUP(VLOOKUP($BJ251,坦克个性化设定!$B$18:$E$48,4,FALSE)&amp;$BK251,坦克属性分配比例,MATCH("升星次数",坦克属性分配比例标头,0),FALSE)*VLOOKUP(VLOOKUP($BJ251,坦克个性化设定!$B$18:$E$48,4,FALSE)&amp;$BK251,坦克属性分配比例,MATCH("升星比例",坦克属性分配比例标头,0),FALSE),0)</f>
        <v>400</v>
      </c>
      <c r="BO251" s="103">
        <f ca="1">ROUND(VLOOKUP($BJ251&amp;"初始",$S$3:$AE$63,MATCH(BO$3,$S$3:$AE$3,0),FALSE)+(VLOOKUP($BJ251&amp;"最终",$S$3:$AE$63,MATCH(BO$3,$S$3:$AE$3,0),FALSE)-VLOOKUP($BJ251&amp;"初始",$S$3:$AE$63,MATCH(BO$3,$S$3:$AE$3,0),FALSE))*$BL251/VLOOKUP(VLOOKUP($BJ251,坦克个性化设定!$B$18:$E$48,4,FALSE)&amp;$BK251,坦克属性分配比例,MATCH("升星次数",坦克属性分配比例标头,0),FALSE)*(VLOOKUP(VLOOKUP($BJ251,坦克个性化设定!$B$18:$E$48,4,FALSE)&amp;$BK251,坦克属性分配比例,MATCH("升星比例",坦克属性分配比例标头,0),FALSE)+VLOOKUP(VLOOKUP($BJ251,坦克个性化设定!$B$18:$E$48,4,FALSE)&amp;$BK251,坦克属性分配比例,MATCH("部件比例",坦克属性分配比例标头,0),FALSE)*$C$3),0)</f>
        <v>461</v>
      </c>
      <c r="BP251" s="103">
        <f ca="1">ROUND(VLOOKUP($BJ251&amp;"初始",$S$3:$AE$63,MATCH(BP$3,$S$3:$AE$3,0),FALSE)+(VLOOKUP($BJ251&amp;"最终",$S$3:$AE$63,MATCH(BP$3,$S$3:$AE$3,0),FALSE)-VLOOKUP($BJ251&amp;"初始",$S$3:$AE$63,MATCH(BP$3,$S$3:$AE$3,0),FALSE))*$BL251/VLOOKUP(VLOOKUP($BJ251,坦克个性化设定!$B$18:$E$48,4,FALSE)&amp;$BK251,坦克属性分配比例,MATCH("升星次数",坦克属性分配比例标头,0),FALSE)*(VLOOKUP(VLOOKUP($BJ251,坦克个性化设定!$B$18:$E$48,4,FALSE)&amp;$BK251,坦克属性分配比例,MATCH("升星比例",坦克属性分配比例标头,0),FALSE)+VLOOKUP(VLOOKUP($BJ251,坦克个性化设定!$B$18:$E$48,4,FALSE)&amp;$BK251,坦克属性分配比例,MATCH("部件比例",坦克属性分配比例标头,0),FALSE)*$C$3),0)</f>
        <v>369</v>
      </c>
      <c r="BQ251" s="103">
        <f ca="1">ROUND(VLOOKUP($BJ251&amp;"初始",$S$3:$AE$63,MATCH(BQ$3,$S$3:$AE$3,0),FALSE)+(VLOOKUP($BJ251&amp;"最终",$S$3:$AE$63,MATCH(BQ$3,$S$3:$AE$3,0),FALSE)-VLOOKUP($BJ251&amp;"初始",$S$3:$AE$63,MATCH(BQ$3,$S$3:$AE$3,0),FALSE))*$BL251/VLOOKUP(VLOOKUP($BJ251,坦克个性化设定!$B$18:$E$48,4,FALSE)&amp;$BK251,坦克属性分配比例,MATCH("升星次数",坦克属性分配比例标头,0),FALSE)*VLOOKUP(VLOOKUP($BJ251,坦克个性化设定!$B$18:$E$48,4,FALSE)&amp;$BK251,坦克属性分配比例,MATCH("升星比例",坦克属性分配比例标头,0),FALSE),0)</f>
        <v>669</v>
      </c>
      <c r="BR251" s="2">
        <f ca="1">ROUND(VLOOKUP($BJ251&amp;"初始",$S$3:$AE$63,MATCH(BR$3,$S$3:$AE$3,0),FALSE)+(VLOOKUP($BJ251&amp;"最终",$S$3:$AE$63,MATCH(BR$3,$S$3:$AE$3,0),FALSE)-VLOOKUP($BJ251&amp;"初始",$S$3:$AE$63,MATCH(BR$3,$S$3:$AE$3,0),FALSE))*$BL251/VLOOKUP(VLOOKUP($BJ251,坦克个性化设定!$B$18:$E$48,4,FALSE)&amp;$BK251,坦克属性分配比例,MATCH("升星次数",坦克属性分配比例标头,0),FALSE),0)</f>
        <v>160</v>
      </c>
      <c r="BS251" s="2">
        <f>ROUND(VLOOKUP($BJ251,$AI$3:$AO$33,MATCH(BS$3,$AI$3:$AO$3,0),FALSE)+$BL251/VLOOKUP(VLOOKUP($BJ251,坦克个性化设定!$B$18:$E$48,4,FALSE)&amp;$BK251,坦克属性分配比例,MATCH("升星次数",坦克属性分配比例标头,0),FALSE)*VLOOKUP($BJ251,$AR$3:$AY$33,MATCH(BS$3,$AR$3:$AY$3,0),FALSE),1)</f>
        <v>41.4</v>
      </c>
      <c r="BT251" s="2">
        <f>ROUND(VLOOKUP($BJ251,$AI$3:$AO$33,MATCH(BT$3,$AI$3:$AO$3,0),FALSE)+$BL251/VLOOKUP(VLOOKUP($BJ251,坦克个性化设定!$B$18:$E$48,4,FALSE)&amp;$BK251,坦克属性分配比例,MATCH("升星次数",坦克属性分配比例标头,0),FALSE)*VLOOKUP($BJ251,$AR$3:$AY$33,MATCH(BT$3,$AR$3:$AY$3,0),FALSE),1)</f>
        <v>30.2</v>
      </c>
      <c r="BU251" s="2">
        <f>ROUND(VLOOKUP($BJ251,$AI$3:$AO$33,MATCH(BU$3,$AI$3:$AO$3,0),FALSE)+$BL251/VLOOKUP(VLOOKUP($BJ251,坦克个性化设定!$B$18:$E$48,4,FALSE)&amp;$BK251,坦克属性分配比例,MATCH("升星次数",坦克属性分配比例标头,0),FALSE)*VLOOKUP($BJ251,$AR$3:$AY$33,MATCH(BU$3,$AR$3:$AY$3,0),FALSE),1)</f>
        <v>7.4</v>
      </c>
      <c r="BV251" s="2">
        <f>IF(VLOOKUP(BJ251,坦克个性化设定!$B$18:$BC$48,MATCH("装弹类型",坦克个性化设定!$B$18:$BC$18,0),FALSE)="弹夹换弹",0,ROUND(VLOOKUP($BJ251,$AI$3:$AO$33,MATCH("换弹时间",$AI$3:$AO$3,0),FALSE)-$BL251/VLOOKUP(VLOOKUP($BJ251,坦克个性化设定!$B$18:$E$48,4,FALSE)&amp;$BK251,坦克属性分配比例,MATCH("升星次数",坦克属性分配比例标头,0),FALSE)*VLOOKUP($BJ251,$AR$3:$AY$33,MATCH("换弹时间",$AR$3:$AY$3,0),FALSE),2))</f>
        <v>3.98</v>
      </c>
      <c r="BW251" s="2">
        <f>IF(VLOOKUP(BJ251,坦克个性化设定!$B$18:$BC$48,MATCH("装弹类型",坦克个性化设定!$B$18:$BC$18,0),FALSE)="弹夹换弹",ROUND(VLOOKUP($BJ251,$AI$3:$AO$33,MATCH("换弹时间",$AI$3:$AO$3,0),FALSE)-$BL251/VLOOKUP(VLOOKUP($BJ251,坦克个性化设定!$B$18:$E$48,4,FALSE)&amp;$BK251,坦克属性分配比例,MATCH("升星次数",坦克属性分配比例标头,0),FALSE)*VLOOKUP($BJ251,$AR$3:$AY$33,MATCH("换弹时间",$AR$3:$AY$3,0),FALSE),1),0)</f>
        <v>0</v>
      </c>
      <c r="BX251" s="2">
        <f>ROUND(VLOOKUP($BJ251,$AI$3:$AO$33,MATCH(BX$3,$AI$3:$AO$3,0),FALSE)+$BL251/VLOOKUP(VLOOKUP($BJ251,坦克个性化设定!$B$18:$E$48,4,FALSE)&amp;$BK251,坦克属性分配比例,MATCH("升星次数",坦克属性分配比例标头,0),FALSE)*VLOOKUP($BJ251,$AR$3:$AY$33,MATCH(BX$3,$AR$3:$AY$3,0),FALSE),2)</f>
        <v>2</v>
      </c>
      <c r="BY251" s="2">
        <f>ROUND(VLOOKUP($BJ251,$AI$3:$AO$33,MATCH(BY$3,$AI$3:$AO$3,0),FALSE)-$BL251/VLOOKUP(VLOOKUP($BJ251,坦克个性化设定!$B$18:$E$48,4,FALSE)&amp;$BK251,坦克属性分配比例,MATCH("升星次数",坦克属性分配比例标头,0),FALSE)*VLOOKUP($BJ251,$AR$3:$AY$33,MATCH(BY$3,$AR$3:$AY$3,0),FALSE),2)</f>
        <v>2.21</v>
      </c>
    </row>
    <row r="252" spans="60:77" x14ac:dyDescent="0.3">
      <c r="BH252" s="2" t="str">
        <f t="shared" si="32"/>
        <v>KV-22</v>
      </c>
      <c r="BI252" s="2">
        <f>IF(BL251&gt;=VLOOKUP(VLOOKUP(BJ251,坦克个性化设定!$B$18:$E$48,4,FALSE)&amp;BK251,坦克属性分配比例,MATCH("升星次数",坦克属性分配比例标头,0),FALSE),BI251+1,BI251)</f>
        <v>26</v>
      </c>
      <c r="BJ252" s="2" t="str">
        <f t="shared" si="33"/>
        <v>KV-2</v>
      </c>
      <c r="BK252" s="29" t="str">
        <f>VLOOKUP(BJ252,坦克个性化细分!$I$3:$J$33,2,FALSE)</f>
        <v>高</v>
      </c>
      <c r="BL252" s="2">
        <f t="shared" si="34"/>
        <v>2</v>
      </c>
      <c r="BM252" s="103">
        <f ca="1">ROUND(VLOOKUP($BJ252&amp;"初始",$S$3:$AE$63,MATCH(BM$3,$S$3:$AE$3,0),FALSE)+((VLOOKUP($BJ252&amp;"最终",$S$3:$AE$63,MATCH(BM$3,$S$3:$AE$3,0),FALSE)*坦克个性化细分!$C$9-VLOOKUP($BJ252&amp;"初始",$S$3:$AE$63,MATCH(BM$3,$S$3:$AE$3,0),FALSE))-(VLOOKUP($BJ252&amp;"最终",$S$3:$AE$63,MATCH(BM$3,$S$3:$AE$3,0),FALSE)-VLOOKUP($BJ252&amp;"初始",$S$3:$AE$63,MATCH(BM$3,$S$3:$AE$3,0),FALSE))*VLOOKUP(VLOOKUP($BJ252,坦克个性化设定!$B$18:$E$48,4,FALSE)&amp;$BK252,坦克属性分配比例,MATCH("部件比例",坦克属性分配比例标头,0),FALSE))*$BL252/VLOOKUP(VLOOKUP($BJ252,坦克个性化设定!$B$18:$E$48,4,FALSE)&amp;$BK252,坦克属性分配比例,MATCH("升星次数",坦克属性分配比例标头,0),FALSE),0)</f>
        <v>1651</v>
      </c>
      <c r="BN252" s="103">
        <f ca="1">ROUND(VLOOKUP($BJ252&amp;"初始",$S$3:$AE$63,MATCH(BN$3,$S$3:$AE$3,0),FALSE)+(VLOOKUP($BJ252&amp;"最终",$S$3:$AE$63,MATCH(BN$3,$S$3:$AE$3,0),FALSE)-VLOOKUP($BJ252&amp;"初始",$S$3:$AE$63,MATCH(BN$3,$S$3:$AE$3,0),FALSE))*$BL252/VLOOKUP(VLOOKUP($BJ252,坦克个性化设定!$B$18:$E$48,4,FALSE)&amp;$BK252,坦克属性分配比例,MATCH("升星次数",坦克属性分配比例标头,0),FALSE)*VLOOKUP(VLOOKUP($BJ252,坦克个性化设定!$B$18:$E$48,4,FALSE)&amp;$BK252,坦克属性分配比例,MATCH("升星比例",坦克属性分配比例标头,0),FALSE),0)</f>
        <v>413</v>
      </c>
      <c r="BO252" s="103">
        <f ca="1">ROUND(VLOOKUP($BJ252&amp;"初始",$S$3:$AE$63,MATCH(BO$3,$S$3:$AE$3,0),FALSE)+(VLOOKUP($BJ252&amp;"最终",$S$3:$AE$63,MATCH(BO$3,$S$3:$AE$3,0),FALSE)-VLOOKUP($BJ252&amp;"初始",$S$3:$AE$63,MATCH(BO$3,$S$3:$AE$3,0),FALSE))*$BL252/VLOOKUP(VLOOKUP($BJ252,坦克个性化设定!$B$18:$E$48,4,FALSE)&amp;$BK252,坦克属性分配比例,MATCH("升星次数",坦克属性分配比例标头,0),FALSE)*(VLOOKUP(VLOOKUP($BJ252,坦克个性化设定!$B$18:$E$48,4,FALSE)&amp;$BK252,坦克属性分配比例,MATCH("升星比例",坦克属性分配比例标头,0),FALSE)+VLOOKUP(VLOOKUP($BJ252,坦克个性化设定!$B$18:$E$48,4,FALSE)&amp;$BK252,坦克属性分配比例,MATCH("部件比例",坦克属性分配比例标头,0),FALSE)*$C$3),0)</f>
        <v>482</v>
      </c>
      <c r="BP252" s="103">
        <f ca="1">ROUND(VLOOKUP($BJ252&amp;"初始",$S$3:$AE$63,MATCH(BP$3,$S$3:$AE$3,0),FALSE)+(VLOOKUP($BJ252&amp;"最终",$S$3:$AE$63,MATCH(BP$3,$S$3:$AE$3,0),FALSE)-VLOOKUP($BJ252&amp;"初始",$S$3:$AE$63,MATCH(BP$3,$S$3:$AE$3,0),FALSE))*$BL252/VLOOKUP(VLOOKUP($BJ252,坦克个性化设定!$B$18:$E$48,4,FALSE)&amp;$BK252,坦克属性分配比例,MATCH("升星次数",坦克属性分配比例标头,0),FALSE)*(VLOOKUP(VLOOKUP($BJ252,坦克个性化设定!$B$18:$E$48,4,FALSE)&amp;$BK252,坦克属性分配比例,MATCH("升星比例",坦克属性分配比例标头,0),FALSE)+VLOOKUP(VLOOKUP($BJ252,坦克个性化设定!$B$18:$E$48,4,FALSE)&amp;$BK252,坦克属性分配比例,MATCH("部件比例",坦克属性分配比例标头,0),FALSE)*$C$3),0)</f>
        <v>386</v>
      </c>
      <c r="BQ252" s="103">
        <f ca="1">ROUND(VLOOKUP($BJ252&amp;"初始",$S$3:$AE$63,MATCH(BQ$3,$S$3:$AE$3,0),FALSE)+(VLOOKUP($BJ252&amp;"最终",$S$3:$AE$63,MATCH(BQ$3,$S$3:$AE$3,0),FALSE)-VLOOKUP($BJ252&amp;"初始",$S$3:$AE$63,MATCH(BQ$3,$S$3:$AE$3,0),FALSE))*$BL252/VLOOKUP(VLOOKUP($BJ252,坦克个性化设定!$B$18:$E$48,4,FALSE)&amp;$BK252,坦克属性分配比例,MATCH("升星次数",坦克属性分配比例标头,0),FALSE)*VLOOKUP(VLOOKUP($BJ252,坦克个性化设定!$B$18:$E$48,4,FALSE)&amp;$BK252,坦克属性分配比例,MATCH("升星比例",坦克属性分配比例标头,0),FALSE),0)</f>
        <v>691</v>
      </c>
      <c r="BR252" s="2">
        <f ca="1">ROUND(VLOOKUP($BJ252&amp;"初始",$S$3:$AE$63,MATCH(BR$3,$S$3:$AE$3,0),FALSE)+(VLOOKUP($BJ252&amp;"最终",$S$3:$AE$63,MATCH(BR$3,$S$3:$AE$3,0),FALSE)-VLOOKUP($BJ252&amp;"初始",$S$3:$AE$63,MATCH(BR$3,$S$3:$AE$3,0),FALSE))*$BL252/VLOOKUP(VLOOKUP($BJ252,坦克个性化设定!$B$18:$E$48,4,FALSE)&amp;$BK252,坦克属性分配比例,MATCH("升星次数",坦克属性分配比例标头,0),FALSE),0)</f>
        <v>168</v>
      </c>
      <c r="BS252" s="2">
        <f>ROUND(VLOOKUP($BJ252,$AI$3:$AO$33,MATCH(BS$3,$AI$3:$AO$3,0),FALSE)+$BL252/VLOOKUP(VLOOKUP($BJ252,坦克个性化设定!$B$18:$E$48,4,FALSE)&amp;$BK252,坦克属性分配比例,MATCH("升星次数",坦克属性分配比例标头,0),FALSE)*VLOOKUP($BJ252,$AR$3:$AY$33,MATCH(BS$3,$AR$3:$AY$3,0),FALSE),1)</f>
        <v>42.5</v>
      </c>
      <c r="BT252" s="2">
        <f>ROUND(VLOOKUP($BJ252,$AI$3:$AO$33,MATCH(BT$3,$AI$3:$AO$3,0),FALSE)+$BL252/VLOOKUP(VLOOKUP($BJ252,坦克个性化设定!$B$18:$E$48,4,FALSE)&amp;$BK252,坦克属性分配比例,MATCH("升星次数",坦克属性分配比例标头,0),FALSE)*VLOOKUP($BJ252,$AR$3:$AY$33,MATCH(BT$3,$AR$3:$AY$3,0),FALSE),1)</f>
        <v>31</v>
      </c>
      <c r="BU252" s="2">
        <f>ROUND(VLOOKUP($BJ252,$AI$3:$AO$33,MATCH(BU$3,$AI$3:$AO$3,0),FALSE)+$BL252/VLOOKUP(VLOOKUP($BJ252,坦克个性化设定!$B$18:$E$48,4,FALSE)&amp;$BK252,坦克属性分配比例,MATCH("升星次数",坦克属性分配比例标头,0),FALSE)*VLOOKUP($BJ252,$AR$3:$AY$33,MATCH(BU$3,$AR$3:$AY$3,0),FALSE),1)</f>
        <v>7.4</v>
      </c>
      <c r="BV252" s="2">
        <f>IF(VLOOKUP(BJ252,坦克个性化设定!$B$18:$BC$48,MATCH("装弹类型",坦克个性化设定!$B$18:$BC$18,0),FALSE)="弹夹换弹",0,ROUND(VLOOKUP($BJ252,$AI$3:$AO$33,MATCH("换弹时间",$AI$3:$AO$3,0),FALSE)-$BL252/VLOOKUP(VLOOKUP($BJ252,坦克个性化设定!$B$18:$E$48,4,FALSE)&amp;$BK252,坦克属性分配比例,MATCH("升星次数",坦克属性分配比例标头,0),FALSE)*VLOOKUP($BJ252,$AR$3:$AY$33,MATCH("换弹时间",$AR$3:$AY$3,0),FALSE),2))</f>
        <v>3.92</v>
      </c>
      <c r="BW252" s="2">
        <f>IF(VLOOKUP(BJ252,坦克个性化设定!$B$18:$BC$48,MATCH("装弹类型",坦克个性化设定!$B$18:$BC$18,0),FALSE)="弹夹换弹",ROUND(VLOOKUP($BJ252,$AI$3:$AO$33,MATCH("换弹时间",$AI$3:$AO$3,0),FALSE)-$BL252/VLOOKUP(VLOOKUP($BJ252,坦克个性化设定!$B$18:$E$48,4,FALSE)&amp;$BK252,坦克属性分配比例,MATCH("升星次数",坦克属性分配比例标头,0),FALSE)*VLOOKUP($BJ252,$AR$3:$AY$33,MATCH("换弹时间",$AR$3:$AY$3,0),FALSE),1),0)</f>
        <v>0</v>
      </c>
      <c r="BX252" s="2">
        <f>ROUND(VLOOKUP($BJ252,$AI$3:$AO$33,MATCH(BX$3,$AI$3:$AO$3,0),FALSE)+$BL252/VLOOKUP(VLOOKUP($BJ252,坦克个性化设定!$B$18:$E$48,4,FALSE)&amp;$BK252,坦克属性分配比例,MATCH("升星次数",坦克属性分配比例标头,0),FALSE)*VLOOKUP($BJ252,$AR$3:$AY$33,MATCH(BX$3,$AR$3:$AY$3,0),FALSE),2)</f>
        <v>2</v>
      </c>
      <c r="BY252" s="2">
        <f>ROUND(VLOOKUP($BJ252,$AI$3:$AO$33,MATCH(BY$3,$AI$3:$AO$3,0),FALSE)-$BL252/VLOOKUP(VLOOKUP($BJ252,坦克个性化设定!$B$18:$E$48,4,FALSE)&amp;$BK252,坦克属性分配比例,MATCH("升星次数",坦克属性分配比例标头,0),FALSE)*VLOOKUP($BJ252,$AR$3:$AY$33,MATCH(BY$3,$AR$3:$AY$3,0),FALSE),2)</f>
        <v>2.17</v>
      </c>
    </row>
    <row r="253" spans="60:77" x14ac:dyDescent="0.3">
      <c r="BH253" s="2" t="str">
        <f t="shared" si="32"/>
        <v>KV-23</v>
      </c>
      <c r="BI253" s="2">
        <f>IF(BL252&gt;=VLOOKUP(VLOOKUP(BJ252,坦克个性化设定!$B$18:$E$48,4,FALSE)&amp;BK252,坦克属性分配比例,MATCH("升星次数",坦克属性分配比例标头,0),FALSE),BI252+1,BI252)</f>
        <v>26</v>
      </c>
      <c r="BJ253" s="2" t="str">
        <f t="shared" si="33"/>
        <v>KV-2</v>
      </c>
      <c r="BK253" s="29" t="str">
        <f>VLOOKUP(BJ253,坦克个性化细分!$I$3:$J$33,2,FALSE)</f>
        <v>高</v>
      </c>
      <c r="BL253" s="2">
        <f t="shared" si="34"/>
        <v>3</v>
      </c>
      <c r="BM253" s="103">
        <f ca="1">ROUND(VLOOKUP($BJ253&amp;"初始",$S$3:$AE$63,MATCH(BM$3,$S$3:$AE$3,0),FALSE)+((VLOOKUP($BJ253&amp;"最终",$S$3:$AE$63,MATCH(BM$3,$S$3:$AE$3,0),FALSE)*坦克个性化细分!$C$9-VLOOKUP($BJ253&amp;"初始",$S$3:$AE$63,MATCH(BM$3,$S$3:$AE$3,0),FALSE))-(VLOOKUP($BJ253&amp;"最终",$S$3:$AE$63,MATCH(BM$3,$S$3:$AE$3,0),FALSE)-VLOOKUP($BJ253&amp;"初始",$S$3:$AE$63,MATCH(BM$3,$S$3:$AE$3,0),FALSE))*VLOOKUP(VLOOKUP($BJ253,坦克个性化设定!$B$18:$E$48,4,FALSE)&amp;$BK253,坦克属性分配比例,MATCH("部件比例",坦克属性分配比例标头,0),FALSE))*$BL253/VLOOKUP(VLOOKUP($BJ253,坦克个性化设定!$B$18:$E$48,4,FALSE)&amp;$BK253,坦克属性分配比例,MATCH("升星次数",坦克属性分配比例标头,0),FALSE),0)</f>
        <v>1735</v>
      </c>
      <c r="BN253" s="103">
        <f ca="1">ROUND(VLOOKUP($BJ253&amp;"初始",$S$3:$AE$63,MATCH(BN$3,$S$3:$AE$3,0),FALSE)+(VLOOKUP($BJ253&amp;"最终",$S$3:$AE$63,MATCH(BN$3,$S$3:$AE$3,0),FALSE)-VLOOKUP($BJ253&amp;"初始",$S$3:$AE$63,MATCH(BN$3,$S$3:$AE$3,0),FALSE))*$BL253/VLOOKUP(VLOOKUP($BJ253,坦克个性化设定!$B$18:$E$48,4,FALSE)&amp;$BK253,坦克属性分配比例,MATCH("升星次数",坦克属性分配比例标头,0),FALSE)*VLOOKUP(VLOOKUP($BJ253,坦克个性化设定!$B$18:$E$48,4,FALSE)&amp;$BK253,坦克属性分配比例,MATCH("升星比例",坦克属性分配比例标头,0),FALSE),0)</f>
        <v>426</v>
      </c>
      <c r="BO253" s="103">
        <f ca="1">ROUND(VLOOKUP($BJ253&amp;"初始",$S$3:$AE$63,MATCH(BO$3,$S$3:$AE$3,0),FALSE)+(VLOOKUP($BJ253&amp;"最终",$S$3:$AE$63,MATCH(BO$3,$S$3:$AE$3,0),FALSE)-VLOOKUP($BJ253&amp;"初始",$S$3:$AE$63,MATCH(BO$3,$S$3:$AE$3,0),FALSE))*$BL253/VLOOKUP(VLOOKUP($BJ253,坦克个性化设定!$B$18:$E$48,4,FALSE)&amp;$BK253,坦克属性分配比例,MATCH("升星次数",坦克属性分配比例标头,0),FALSE)*(VLOOKUP(VLOOKUP($BJ253,坦克个性化设定!$B$18:$E$48,4,FALSE)&amp;$BK253,坦克属性分配比例,MATCH("升星比例",坦克属性分配比例标头,0),FALSE)+VLOOKUP(VLOOKUP($BJ253,坦克个性化设定!$B$18:$E$48,4,FALSE)&amp;$BK253,坦克属性分配比例,MATCH("部件比例",坦克属性分配比例标头,0),FALSE)*$C$3),0)</f>
        <v>503</v>
      </c>
      <c r="BP253" s="103">
        <f ca="1">ROUND(VLOOKUP($BJ253&amp;"初始",$S$3:$AE$63,MATCH(BP$3,$S$3:$AE$3,0),FALSE)+(VLOOKUP($BJ253&amp;"最终",$S$3:$AE$63,MATCH(BP$3,$S$3:$AE$3,0),FALSE)-VLOOKUP($BJ253&amp;"初始",$S$3:$AE$63,MATCH(BP$3,$S$3:$AE$3,0),FALSE))*$BL253/VLOOKUP(VLOOKUP($BJ253,坦克个性化设定!$B$18:$E$48,4,FALSE)&amp;$BK253,坦克属性分配比例,MATCH("升星次数",坦克属性分配比例标头,0),FALSE)*(VLOOKUP(VLOOKUP($BJ253,坦克个性化设定!$B$18:$E$48,4,FALSE)&amp;$BK253,坦克属性分配比例,MATCH("升星比例",坦克属性分配比例标头,0),FALSE)+VLOOKUP(VLOOKUP($BJ253,坦克个性化设定!$B$18:$E$48,4,FALSE)&amp;$BK253,坦克属性分配比例,MATCH("部件比例",坦克属性分配比例标头,0),FALSE)*$C$3),0)</f>
        <v>403</v>
      </c>
      <c r="BQ253" s="103">
        <f ca="1">ROUND(VLOOKUP($BJ253&amp;"初始",$S$3:$AE$63,MATCH(BQ$3,$S$3:$AE$3,0),FALSE)+(VLOOKUP($BJ253&amp;"最终",$S$3:$AE$63,MATCH(BQ$3,$S$3:$AE$3,0),FALSE)-VLOOKUP($BJ253&amp;"初始",$S$3:$AE$63,MATCH(BQ$3,$S$3:$AE$3,0),FALSE))*$BL253/VLOOKUP(VLOOKUP($BJ253,坦克个性化设定!$B$18:$E$48,4,FALSE)&amp;$BK253,坦克属性分配比例,MATCH("升星次数",坦克属性分配比例标头,0),FALSE)*VLOOKUP(VLOOKUP($BJ253,坦克个性化设定!$B$18:$E$48,4,FALSE)&amp;$BK253,坦克属性分配比例,MATCH("升星比例",坦克属性分配比例标头,0),FALSE),0)</f>
        <v>713</v>
      </c>
      <c r="BR253" s="2">
        <f ca="1">ROUND(VLOOKUP($BJ253&amp;"初始",$S$3:$AE$63,MATCH(BR$3,$S$3:$AE$3,0),FALSE)+(VLOOKUP($BJ253&amp;"最终",$S$3:$AE$63,MATCH(BR$3,$S$3:$AE$3,0),FALSE)-VLOOKUP($BJ253&amp;"初始",$S$3:$AE$63,MATCH(BR$3,$S$3:$AE$3,0),FALSE))*$BL253/VLOOKUP(VLOOKUP($BJ253,坦克个性化设定!$B$18:$E$48,4,FALSE)&amp;$BK253,坦克属性分配比例,MATCH("升星次数",坦克属性分配比例标头,0),FALSE),0)</f>
        <v>177</v>
      </c>
      <c r="BS253" s="2">
        <f>ROUND(VLOOKUP($BJ253,$AI$3:$AO$33,MATCH(BS$3,$AI$3:$AO$3,0),FALSE)+$BL253/VLOOKUP(VLOOKUP($BJ253,坦克个性化设定!$B$18:$E$48,4,FALSE)&amp;$BK253,坦克属性分配比例,MATCH("升星次数",坦克属性分配比例标头,0),FALSE)*VLOOKUP($BJ253,$AR$3:$AY$33,MATCH(BS$3,$AR$3:$AY$3,0),FALSE),1)</f>
        <v>43.7</v>
      </c>
      <c r="BT253" s="2">
        <f>ROUND(VLOOKUP($BJ253,$AI$3:$AO$33,MATCH(BT$3,$AI$3:$AO$3,0),FALSE)+$BL253/VLOOKUP(VLOOKUP($BJ253,坦克个性化设定!$B$18:$E$48,4,FALSE)&amp;$BK253,坦克属性分配比例,MATCH("升星次数",坦克属性分配比例标头,0),FALSE)*VLOOKUP($BJ253,$AR$3:$AY$33,MATCH(BT$3,$AR$3:$AY$3,0),FALSE),1)</f>
        <v>31.9</v>
      </c>
      <c r="BU253" s="2">
        <f>ROUND(VLOOKUP($BJ253,$AI$3:$AO$33,MATCH(BU$3,$AI$3:$AO$3,0),FALSE)+$BL253/VLOOKUP(VLOOKUP($BJ253,坦克个性化设定!$B$18:$E$48,4,FALSE)&amp;$BK253,坦克属性分配比例,MATCH("升星次数",坦克属性分配比例标头,0),FALSE)*VLOOKUP($BJ253,$AR$3:$AY$33,MATCH(BU$3,$AR$3:$AY$3,0),FALSE),1)</f>
        <v>7.4</v>
      </c>
      <c r="BV253" s="2">
        <f>IF(VLOOKUP(BJ253,坦克个性化设定!$B$18:$BC$48,MATCH("装弹类型",坦克个性化设定!$B$18:$BC$18,0),FALSE)="弹夹换弹",0,ROUND(VLOOKUP($BJ253,$AI$3:$AO$33,MATCH("换弹时间",$AI$3:$AO$3,0),FALSE)-$BL253/VLOOKUP(VLOOKUP($BJ253,坦克个性化设定!$B$18:$E$48,4,FALSE)&amp;$BK253,坦克属性分配比例,MATCH("升星次数",坦克属性分配比例标头,0),FALSE)*VLOOKUP($BJ253,$AR$3:$AY$33,MATCH("换弹时间",$AR$3:$AY$3,0),FALSE),2))</f>
        <v>3.85</v>
      </c>
      <c r="BW253" s="2">
        <f>IF(VLOOKUP(BJ253,坦克个性化设定!$B$18:$BC$48,MATCH("装弹类型",坦克个性化设定!$B$18:$BC$18,0),FALSE)="弹夹换弹",ROUND(VLOOKUP($BJ253,$AI$3:$AO$33,MATCH("换弹时间",$AI$3:$AO$3,0),FALSE)-$BL253/VLOOKUP(VLOOKUP($BJ253,坦克个性化设定!$B$18:$E$48,4,FALSE)&amp;$BK253,坦克属性分配比例,MATCH("升星次数",坦克属性分配比例标头,0),FALSE)*VLOOKUP($BJ253,$AR$3:$AY$33,MATCH("换弹时间",$AR$3:$AY$3,0),FALSE),1),0)</f>
        <v>0</v>
      </c>
      <c r="BX253" s="2">
        <f>ROUND(VLOOKUP($BJ253,$AI$3:$AO$33,MATCH(BX$3,$AI$3:$AO$3,0),FALSE)+$BL253/VLOOKUP(VLOOKUP($BJ253,坦克个性化设定!$B$18:$E$48,4,FALSE)&amp;$BK253,坦克属性分配比例,MATCH("升星次数",坦克属性分配比例标头,0),FALSE)*VLOOKUP($BJ253,$AR$3:$AY$33,MATCH(BX$3,$AR$3:$AY$3,0),FALSE),2)</f>
        <v>2</v>
      </c>
      <c r="BY253" s="2">
        <f>ROUND(VLOOKUP($BJ253,$AI$3:$AO$33,MATCH(BY$3,$AI$3:$AO$3,0),FALSE)-$BL253/VLOOKUP(VLOOKUP($BJ253,坦克个性化设定!$B$18:$E$48,4,FALSE)&amp;$BK253,坦克属性分配比例,MATCH("升星次数",坦克属性分配比例标头,0),FALSE)*VLOOKUP($BJ253,$AR$3:$AY$33,MATCH(BY$3,$AR$3:$AY$3,0),FALSE),2)</f>
        <v>2.13</v>
      </c>
    </row>
    <row r="254" spans="60:77" x14ac:dyDescent="0.3">
      <c r="BH254" s="2" t="str">
        <f t="shared" ref="BH254:BH309" si="35">BJ254&amp;BL254</f>
        <v>KV-24</v>
      </c>
      <c r="BI254" s="2">
        <f>IF(BL253&gt;=VLOOKUP(VLOOKUP(BJ253,坦克个性化设定!$B$18:$E$48,4,FALSE)&amp;BK253,坦克属性分配比例,MATCH("升星次数",坦克属性分配比例标头,0),FALSE),BI253+1,BI253)</f>
        <v>26</v>
      </c>
      <c r="BJ254" s="2" t="str">
        <f t="shared" ref="BJ254:BJ309" si="36">VLOOKUP(BI254,$B$5:$C$35,2,FALSE)</f>
        <v>KV-2</v>
      </c>
      <c r="BK254" s="29" t="str">
        <f>VLOOKUP(BJ254,坦克个性化细分!$I$3:$J$33,2,FALSE)</f>
        <v>高</v>
      </c>
      <c r="BL254" s="2">
        <f t="shared" ref="BL254:BL309" si="37">IF(BJ254&lt;&gt;BJ253,0,BL253+1)</f>
        <v>4</v>
      </c>
      <c r="BM254" s="103">
        <f ca="1">ROUND(VLOOKUP($BJ254&amp;"初始",$S$3:$AE$63,MATCH(BM$3,$S$3:$AE$3,0),FALSE)+((VLOOKUP($BJ254&amp;"最终",$S$3:$AE$63,MATCH(BM$3,$S$3:$AE$3,0),FALSE)*坦克个性化细分!$C$9-VLOOKUP($BJ254&amp;"初始",$S$3:$AE$63,MATCH(BM$3,$S$3:$AE$3,0),FALSE))-(VLOOKUP($BJ254&amp;"最终",$S$3:$AE$63,MATCH(BM$3,$S$3:$AE$3,0),FALSE)-VLOOKUP($BJ254&amp;"初始",$S$3:$AE$63,MATCH(BM$3,$S$3:$AE$3,0),FALSE))*VLOOKUP(VLOOKUP($BJ254,坦克个性化设定!$B$18:$E$48,4,FALSE)&amp;$BK254,坦克属性分配比例,MATCH("部件比例",坦克属性分配比例标头,0),FALSE))*$BL254/VLOOKUP(VLOOKUP($BJ254,坦克个性化设定!$B$18:$E$48,4,FALSE)&amp;$BK254,坦克属性分配比例,MATCH("升星次数",坦克属性分配比例标头,0),FALSE),0)</f>
        <v>1819</v>
      </c>
      <c r="BN254" s="103">
        <f ca="1">ROUND(VLOOKUP($BJ254&amp;"初始",$S$3:$AE$63,MATCH(BN$3,$S$3:$AE$3,0),FALSE)+(VLOOKUP($BJ254&amp;"最终",$S$3:$AE$63,MATCH(BN$3,$S$3:$AE$3,0),FALSE)-VLOOKUP($BJ254&amp;"初始",$S$3:$AE$63,MATCH(BN$3,$S$3:$AE$3,0),FALSE))*$BL254/VLOOKUP(VLOOKUP($BJ254,坦克个性化设定!$B$18:$E$48,4,FALSE)&amp;$BK254,坦克属性分配比例,MATCH("升星次数",坦克属性分配比例标头,0),FALSE)*VLOOKUP(VLOOKUP($BJ254,坦克个性化设定!$B$18:$E$48,4,FALSE)&amp;$BK254,坦克属性分配比例,MATCH("升星比例",坦克属性分配比例标头,0),FALSE),0)</f>
        <v>440</v>
      </c>
      <c r="BO254" s="103">
        <f ca="1">ROUND(VLOOKUP($BJ254&amp;"初始",$S$3:$AE$63,MATCH(BO$3,$S$3:$AE$3,0),FALSE)+(VLOOKUP($BJ254&amp;"最终",$S$3:$AE$63,MATCH(BO$3,$S$3:$AE$3,0),FALSE)-VLOOKUP($BJ254&amp;"初始",$S$3:$AE$63,MATCH(BO$3,$S$3:$AE$3,0),FALSE))*$BL254/VLOOKUP(VLOOKUP($BJ254,坦克个性化设定!$B$18:$E$48,4,FALSE)&amp;$BK254,坦克属性分配比例,MATCH("升星次数",坦克属性分配比例标头,0),FALSE)*(VLOOKUP(VLOOKUP($BJ254,坦克个性化设定!$B$18:$E$48,4,FALSE)&amp;$BK254,坦克属性分配比例,MATCH("升星比例",坦克属性分配比例标头,0),FALSE)+VLOOKUP(VLOOKUP($BJ254,坦克个性化设定!$B$18:$E$48,4,FALSE)&amp;$BK254,坦克属性分配比例,MATCH("部件比例",坦克属性分配比例标头,0),FALSE)*$C$3),0)</f>
        <v>524</v>
      </c>
      <c r="BP254" s="103">
        <f ca="1">ROUND(VLOOKUP($BJ254&amp;"初始",$S$3:$AE$63,MATCH(BP$3,$S$3:$AE$3,0),FALSE)+(VLOOKUP($BJ254&amp;"最终",$S$3:$AE$63,MATCH(BP$3,$S$3:$AE$3,0),FALSE)-VLOOKUP($BJ254&amp;"初始",$S$3:$AE$63,MATCH(BP$3,$S$3:$AE$3,0),FALSE))*$BL254/VLOOKUP(VLOOKUP($BJ254,坦克个性化设定!$B$18:$E$48,4,FALSE)&amp;$BK254,坦克属性分配比例,MATCH("升星次数",坦克属性分配比例标头,0),FALSE)*(VLOOKUP(VLOOKUP($BJ254,坦克个性化设定!$B$18:$E$48,4,FALSE)&amp;$BK254,坦克属性分配比例,MATCH("升星比例",坦克属性分配比例标头,0),FALSE)+VLOOKUP(VLOOKUP($BJ254,坦克个性化设定!$B$18:$E$48,4,FALSE)&amp;$BK254,坦克属性分配比例,MATCH("部件比例",坦克属性分配比例标头,0),FALSE)*$C$3),0)</f>
        <v>420</v>
      </c>
      <c r="BQ254" s="103">
        <f ca="1">ROUND(VLOOKUP($BJ254&amp;"初始",$S$3:$AE$63,MATCH(BQ$3,$S$3:$AE$3,0),FALSE)+(VLOOKUP($BJ254&amp;"最终",$S$3:$AE$63,MATCH(BQ$3,$S$3:$AE$3,0),FALSE)-VLOOKUP($BJ254&amp;"初始",$S$3:$AE$63,MATCH(BQ$3,$S$3:$AE$3,0),FALSE))*$BL254/VLOOKUP(VLOOKUP($BJ254,坦克个性化设定!$B$18:$E$48,4,FALSE)&amp;$BK254,坦克属性分配比例,MATCH("升星次数",坦克属性分配比例标头,0),FALSE)*VLOOKUP(VLOOKUP($BJ254,坦克个性化设定!$B$18:$E$48,4,FALSE)&amp;$BK254,坦克属性分配比例,MATCH("升星比例",坦克属性分配比例标头,0),FALSE),0)</f>
        <v>736</v>
      </c>
      <c r="BR254" s="2">
        <f ca="1">ROUND(VLOOKUP($BJ254&amp;"初始",$S$3:$AE$63,MATCH(BR$3,$S$3:$AE$3,0),FALSE)+(VLOOKUP($BJ254&amp;"最终",$S$3:$AE$63,MATCH(BR$3,$S$3:$AE$3,0),FALSE)-VLOOKUP($BJ254&amp;"初始",$S$3:$AE$63,MATCH(BR$3,$S$3:$AE$3,0),FALSE))*$BL254/VLOOKUP(VLOOKUP($BJ254,坦克个性化设定!$B$18:$E$48,4,FALSE)&amp;$BK254,坦克属性分配比例,MATCH("升星次数",坦克属性分配比例标头,0),FALSE),0)</f>
        <v>185</v>
      </c>
      <c r="BS254" s="2">
        <f>ROUND(VLOOKUP($BJ254,$AI$3:$AO$33,MATCH(BS$3,$AI$3:$AO$3,0),FALSE)+$BL254/VLOOKUP(VLOOKUP($BJ254,坦克个性化设定!$B$18:$E$48,4,FALSE)&amp;$BK254,坦克属性分配比例,MATCH("升星次数",坦克属性分配比例标头,0),FALSE)*VLOOKUP($BJ254,$AR$3:$AY$33,MATCH(BS$3,$AR$3:$AY$3,0),FALSE),1)</f>
        <v>44.8</v>
      </c>
      <c r="BT254" s="2">
        <f>ROUND(VLOOKUP($BJ254,$AI$3:$AO$33,MATCH(BT$3,$AI$3:$AO$3,0),FALSE)+$BL254/VLOOKUP(VLOOKUP($BJ254,坦克个性化设定!$B$18:$E$48,4,FALSE)&amp;$BK254,坦克属性分配比例,MATCH("升星次数",坦克属性分配比例标头,0),FALSE)*VLOOKUP($BJ254,$AR$3:$AY$33,MATCH(BT$3,$AR$3:$AY$3,0),FALSE),1)</f>
        <v>32.700000000000003</v>
      </c>
      <c r="BU254" s="2">
        <f>ROUND(VLOOKUP($BJ254,$AI$3:$AO$33,MATCH(BU$3,$AI$3:$AO$3,0),FALSE)+$BL254/VLOOKUP(VLOOKUP($BJ254,坦克个性化设定!$B$18:$E$48,4,FALSE)&amp;$BK254,坦克属性分配比例,MATCH("升星次数",坦克属性分配比例标头,0),FALSE)*VLOOKUP($BJ254,$AR$3:$AY$33,MATCH(BU$3,$AR$3:$AY$3,0),FALSE),1)</f>
        <v>7.4</v>
      </c>
      <c r="BV254" s="2">
        <f>IF(VLOOKUP(BJ254,坦克个性化设定!$B$18:$BC$48,MATCH("装弹类型",坦克个性化设定!$B$18:$BC$18,0),FALSE)="弹夹换弹",0,ROUND(VLOOKUP($BJ254,$AI$3:$AO$33,MATCH("换弹时间",$AI$3:$AO$3,0),FALSE)-$BL254/VLOOKUP(VLOOKUP($BJ254,坦克个性化设定!$B$18:$E$48,4,FALSE)&amp;$BK254,坦克属性分配比例,MATCH("升星次数",坦克属性分配比例标头,0),FALSE)*VLOOKUP($BJ254,$AR$3:$AY$33,MATCH("换弹时间",$AR$3:$AY$3,0),FALSE),2))</f>
        <v>3.79</v>
      </c>
      <c r="BW254" s="2">
        <f>IF(VLOOKUP(BJ254,坦克个性化设定!$B$18:$BC$48,MATCH("装弹类型",坦克个性化设定!$B$18:$BC$18,0),FALSE)="弹夹换弹",ROUND(VLOOKUP($BJ254,$AI$3:$AO$33,MATCH("换弹时间",$AI$3:$AO$3,0),FALSE)-$BL254/VLOOKUP(VLOOKUP($BJ254,坦克个性化设定!$B$18:$E$48,4,FALSE)&amp;$BK254,坦克属性分配比例,MATCH("升星次数",坦克属性分配比例标头,0),FALSE)*VLOOKUP($BJ254,$AR$3:$AY$33,MATCH("换弹时间",$AR$3:$AY$3,0),FALSE),1),0)</f>
        <v>0</v>
      </c>
      <c r="BX254" s="2">
        <f>ROUND(VLOOKUP($BJ254,$AI$3:$AO$33,MATCH(BX$3,$AI$3:$AO$3,0),FALSE)+$BL254/VLOOKUP(VLOOKUP($BJ254,坦克个性化设定!$B$18:$E$48,4,FALSE)&amp;$BK254,坦克属性分配比例,MATCH("升星次数",坦克属性分配比例标头,0),FALSE)*VLOOKUP($BJ254,$AR$3:$AY$33,MATCH(BX$3,$AR$3:$AY$3,0),FALSE),2)</f>
        <v>2</v>
      </c>
      <c r="BY254" s="2">
        <f>ROUND(VLOOKUP($BJ254,$AI$3:$AO$33,MATCH(BY$3,$AI$3:$AO$3,0),FALSE)-$BL254/VLOOKUP(VLOOKUP($BJ254,坦克个性化设定!$B$18:$E$48,4,FALSE)&amp;$BK254,坦克属性分配比例,MATCH("升星次数",坦克属性分配比例标头,0),FALSE)*VLOOKUP($BJ254,$AR$3:$AY$33,MATCH(BY$3,$AR$3:$AY$3,0),FALSE),2)</f>
        <v>2.08</v>
      </c>
    </row>
    <row r="255" spans="60:77" x14ac:dyDescent="0.3">
      <c r="BH255" s="2" t="str">
        <f t="shared" si="35"/>
        <v>KV-25</v>
      </c>
      <c r="BI255" s="2">
        <f>IF(BL254&gt;=VLOOKUP(VLOOKUP(BJ254,坦克个性化设定!$B$18:$E$48,4,FALSE)&amp;BK254,坦克属性分配比例,MATCH("升星次数",坦克属性分配比例标头,0),FALSE),BI254+1,BI254)</f>
        <v>26</v>
      </c>
      <c r="BJ255" s="2" t="str">
        <f t="shared" si="36"/>
        <v>KV-2</v>
      </c>
      <c r="BK255" s="29" t="str">
        <f>VLOOKUP(BJ255,坦克个性化细分!$I$3:$J$33,2,FALSE)</f>
        <v>高</v>
      </c>
      <c r="BL255" s="2">
        <f t="shared" si="37"/>
        <v>5</v>
      </c>
      <c r="BM255" s="103">
        <f ca="1">ROUND(VLOOKUP($BJ255&amp;"初始",$S$3:$AE$63,MATCH(BM$3,$S$3:$AE$3,0),FALSE)+((VLOOKUP($BJ255&amp;"最终",$S$3:$AE$63,MATCH(BM$3,$S$3:$AE$3,0),FALSE)*坦克个性化细分!$C$9-VLOOKUP($BJ255&amp;"初始",$S$3:$AE$63,MATCH(BM$3,$S$3:$AE$3,0),FALSE))-(VLOOKUP($BJ255&amp;"最终",$S$3:$AE$63,MATCH(BM$3,$S$3:$AE$3,0),FALSE)-VLOOKUP($BJ255&amp;"初始",$S$3:$AE$63,MATCH(BM$3,$S$3:$AE$3,0),FALSE))*VLOOKUP(VLOOKUP($BJ255,坦克个性化设定!$B$18:$E$48,4,FALSE)&amp;$BK255,坦克属性分配比例,MATCH("部件比例",坦克属性分配比例标头,0),FALSE))*$BL255/VLOOKUP(VLOOKUP($BJ255,坦克个性化设定!$B$18:$E$48,4,FALSE)&amp;$BK255,坦克属性分配比例,MATCH("升星次数",坦克属性分配比例标头,0),FALSE),0)</f>
        <v>1903</v>
      </c>
      <c r="BN255" s="103">
        <f ca="1">ROUND(VLOOKUP($BJ255&amp;"初始",$S$3:$AE$63,MATCH(BN$3,$S$3:$AE$3,0),FALSE)+(VLOOKUP($BJ255&amp;"最终",$S$3:$AE$63,MATCH(BN$3,$S$3:$AE$3,0),FALSE)-VLOOKUP($BJ255&amp;"初始",$S$3:$AE$63,MATCH(BN$3,$S$3:$AE$3,0),FALSE))*$BL255/VLOOKUP(VLOOKUP($BJ255,坦克个性化设定!$B$18:$E$48,4,FALSE)&amp;$BK255,坦克属性分配比例,MATCH("升星次数",坦克属性分配比例标头,0),FALSE)*VLOOKUP(VLOOKUP($BJ255,坦克个性化设定!$B$18:$E$48,4,FALSE)&amp;$BK255,坦克属性分配比例,MATCH("升星比例",坦克属性分配比例标头,0),FALSE),0)</f>
        <v>453</v>
      </c>
      <c r="BO255" s="103">
        <f ca="1">ROUND(VLOOKUP($BJ255&amp;"初始",$S$3:$AE$63,MATCH(BO$3,$S$3:$AE$3,0),FALSE)+(VLOOKUP($BJ255&amp;"最终",$S$3:$AE$63,MATCH(BO$3,$S$3:$AE$3,0),FALSE)-VLOOKUP($BJ255&amp;"初始",$S$3:$AE$63,MATCH(BO$3,$S$3:$AE$3,0),FALSE))*$BL255/VLOOKUP(VLOOKUP($BJ255,坦克个性化设定!$B$18:$E$48,4,FALSE)&amp;$BK255,坦克属性分配比例,MATCH("升星次数",坦克属性分配比例标头,0),FALSE)*(VLOOKUP(VLOOKUP($BJ255,坦克个性化设定!$B$18:$E$48,4,FALSE)&amp;$BK255,坦克属性分配比例,MATCH("升星比例",坦克属性分配比例标头,0),FALSE)+VLOOKUP(VLOOKUP($BJ255,坦克个性化设定!$B$18:$E$48,4,FALSE)&amp;$BK255,坦克属性分配比例,MATCH("部件比例",坦克属性分配比例标头,0),FALSE)*$C$3),0)</f>
        <v>545</v>
      </c>
      <c r="BP255" s="103">
        <f ca="1">ROUND(VLOOKUP($BJ255&amp;"初始",$S$3:$AE$63,MATCH(BP$3,$S$3:$AE$3,0),FALSE)+(VLOOKUP($BJ255&amp;"最终",$S$3:$AE$63,MATCH(BP$3,$S$3:$AE$3,0),FALSE)-VLOOKUP($BJ255&amp;"初始",$S$3:$AE$63,MATCH(BP$3,$S$3:$AE$3,0),FALSE))*$BL255/VLOOKUP(VLOOKUP($BJ255,坦克个性化设定!$B$18:$E$48,4,FALSE)&amp;$BK255,坦克属性分配比例,MATCH("升星次数",坦克属性分配比例标头,0),FALSE)*(VLOOKUP(VLOOKUP($BJ255,坦克个性化设定!$B$18:$E$48,4,FALSE)&amp;$BK255,坦克属性分配比例,MATCH("升星比例",坦克属性分配比例标头,0),FALSE)+VLOOKUP(VLOOKUP($BJ255,坦克个性化设定!$B$18:$E$48,4,FALSE)&amp;$BK255,坦克属性分配比例,MATCH("部件比例",坦克属性分配比例标头,0),FALSE)*$C$3),0)</f>
        <v>436</v>
      </c>
      <c r="BQ255" s="103">
        <f ca="1">ROUND(VLOOKUP($BJ255&amp;"初始",$S$3:$AE$63,MATCH(BQ$3,$S$3:$AE$3,0),FALSE)+(VLOOKUP($BJ255&amp;"最终",$S$3:$AE$63,MATCH(BQ$3,$S$3:$AE$3,0),FALSE)-VLOOKUP($BJ255&amp;"初始",$S$3:$AE$63,MATCH(BQ$3,$S$3:$AE$3,0),FALSE))*$BL255/VLOOKUP(VLOOKUP($BJ255,坦克个性化设定!$B$18:$E$48,4,FALSE)&amp;$BK255,坦克属性分配比例,MATCH("升星次数",坦克属性分配比例标头,0),FALSE)*VLOOKUP(VLOOKUP($BJ255,坦克个性化设定!$B$18:$E$48,4,FALSE)&amp;$BK255,坦克属性分配比例,MATCH("升星比例",坦克属性分配比例标头,0),FALSE),0)</f>
        <v>758</v>
      </c>
      <c r="BR255" s="2">
        <f ca="1">ROUND(VLOOKUP($BJ255&amp;"初始",$S$3:$AE$63,MATCH(BR$3,$S$3:$AE$3,0),FALSE)+(VLOOKUP($BJ255&amp;"最终",$S$3:$AE$63,MATCH(BR$3,$S$3:$AE$3,0),FALSE)-VLOOKUP($BJ255&amp;"初始",$S$3:$AE$63,MATCH(BR$3,$S$3:$AE$3,0),FALSE))*$BL255/VLOOKUP(VLOOKUP($BJ255,坦克个性化设定!$B$18:$E$48,4,FALSE)&amp;$BK255,坦克属性分配比例,MATCH("升星次数",坦克属性分配比例标头,0),FALSE),0)</f>
        <v>194</v>
      </c>
      <c r="BS255" s="2">
        <f>ROUND(VLOOKUP($BJ255,$AI$3:$AO$33,MATCH(BS$3,$AI$3:$AO$3,0),FALSE)+$BL255/VLOOKUP(VLOOKUP($BJ255,坦克个性化设定!$B$18:$E$48,4,FALSE)&amp;$BK255,坦克属性分配比例,MATCH("升星次数",坦克属性分配比例标头,0),FALSE)*VLOOKUP($BJ255,$AR$3:$AY$33,MATCH(BS$3,$AR$3:$AY$3,0),FALSE),1)</f>
        <v>45.9</v>
      </c>
      <c r="BT255" s="2">
        <f>ROUND(VLOOKUP($BJ255,$AI$3:$AO$33,MATCH(BT$3,$AI$3:$AO$3,0),FALSE)+$BL255/VLOOKUP(VLOOKUP($BJ255,坦克个性化设定!$B$18:$E$48,4,FALSE)&amp;$BK255,坦克属性分配比例,MATCH("升星次数",坦克属性分配比例标头,0),FALSE)*VLOOKUP($BJ255,$AR$3:$AY$33,MATCH(BT$3,$AR$3:$AY$3,0),FALSE),1)</f>
        <v>33.5</v>
      </c>
      <c r="BU255" s="2">
        <f>ROUND(VLOOKUP($BJ255,$AI$3:$AO$33,MATCH(BU$3,$AI$3:$AO$3,0),FALSE)+$BL255/VLOOKUP(VLOOKUP($BJ255,坦克个性化设定!$B$18:$E$48,4,FALSE)&amp;$BK255,坦克属性分配比例,MATCH("升星次数",坦克属性分配比例标头,0),FALSE)*VLOOKUP($BJ255,$AR$3:$AY$33,MATCH(BU$3,$AR$3:$AY$3,0),FALSE),1)</f>
        <v>7.4</v>
      </c>
      <c r="BV255" s="2">
        <f>IF(VLOOKUP(BJ255,坦克个性化设定!$B$18:$BC$48,MATCH("装弹类型",坦克个性化设定!$B$18:$BC$18,0),FALSE)="弹夹换弹",0,ROUND(VLOOKUP($BJ255,$AI$3:$AO$33,MATCH("换弹时间",$AI$3:$AO$3,0),FALSE)-$BL255/VLOOKUP(VLOOKUP($BJ255,坦克个性化设定!$B$18:$E$48,4,FALSE)&amp;$BK255,坦克属性分配比例,MATCH("升星次数",坦克属性分配比例标头,0),FALSE)*VLOOKUP($BJ255,$AR$3:$AY$33,MATCH("换弹时间",$AR$3:$AY$3,0),FALSE),2))</f>
        <v>3.72</v>
      </c>
      <c r="BW255" s="2">
        <f>IF(VLOOKUP(BJ255,坦克个性化设定!$B$18:$BC$48,MATCH("装弹类型",坦克个性化设定!$B$18:$BC$18,0),FALSE)="弹夹换弹",ROUND(VLOOKUP($BJ255,$AI$3:$AO$33,MATCH("换弹时间",$AI$3:$AO$3,0),FALSE)-$BL255/VLOOKUP(VLOOKUP($BJ255,坦克个性化设定!$B$18:$E$48,4,FALSE)&amp;$BK255,坦克属性分配比例,MATCH("升星次数",坦克属性分配比例标头,0),FALSE)*VLOOKUP($BJ255,$AR$3:$AY$33,MATCH("换弹时间",$AR$3:$AY$3,0),FALSE),1),0)</f>
        <v>0</v>
      </c>
      <c r="BX255" s="2">
        <f>ROUND(VLOOKUP($BJ255,$AI$3:$AO$33,MATCH(BX$3,$AI$3:$AO$3,0),FALSE)+$BL255/VLOOKUP(VLOOKUP($BJ255,坦克个性化设定!$B$18:$E$48,4,FALSE)&amp;$BK255,坦克属性分配比例,MATCH("升星次数",坦克属性分配比例标头,0),FALSE)*VLOOKUP($BJ255,$AR$3:$AY$33,MATCH(BX$3,$AR$3:$AY$3,0),FALSE),2)</f>
        <v>2</v>
      </c>
      <c r="BY255" s="2">
        <f>ROUND(VLOOKUP($BJ255,$AI$3:$AO$33,MATCH(BY$3,$AI$3:$AO$3,0),FALSE)-$BL255/VLOOKUP(VLOOKUP($BJ255,坦克个性化设定!$B$18:$E$48,4,FALSE)&amp;$BK255,坦克属性分配比例,MATCH("升星次数",坦克属性分配比例标头,0),FALSE)*VLOOKUP($BJ255,$AR$3:$AY$33,MATCH(BY$3,$AR$3:$AY$3,0),FALSE),2)</f>
        <v>2.04</v>
      </c>
    </row>
    <row r="256" spans="60:77" x14ac:dyDescent="0.3">
      <c r="BH256" s="2" t="str">
        <f t="shared" si="35"/>
        <v>KV-26</v>
      </c>
      <c r="BI256" s="2">
        <f>IF(BL255&gt;=VLOOKUP(VLOOKUP(BJ255,坦克个性化设定!$B$18:$E$48,4,FALSE)&amp;BK255,坦克属性分配比例,MATCH("升星次数",坦克属性分配比例标头,0),FALSE),BI255+1,BI255)</f>
        <v>26</v>
      </c>
      <c r="BJ256" s="2" t="str">
        <f t="shared" si="36"/>
        <v>KV-2</v>
      </c>
      <c r="BK256" s="29" t="str">
        <f>VLOOKUP(BJ256,坦克个性化细分!$I$3:$J$33,2,FALSE)</f>
        <v>高</v>
      </c>
      <c r="BL256" s="2">
        <f t="shared" si="37"/>
        <v>6</v>
      </c>
      <c r="BM256" s="103">
        <f ca="1">ROUND(VLOOKUP($BJ256&amp;"初始",$S$3:$AE$63,MATCH(BM$3,$S$3:$AE$3,0),FALSE)+((VLOOKUP($BJ256&amp;"最终",$S$3:$AE$63,MATCH(BM$3,$S$3:$AE$3,0),FALSE)*坦克个性化细分!$C$9-VLOOKUP($BJ256&amp;"初始",$S$3:$AE$63,MATCH(BM$3,$S$3:$AE$3,0),FALSE))-(VLOOKUP($BJ256&amp;"最终",$S$3:$AE$63,MATCH(BM$3,$S$3:$AE$3,0),FALSE)-VLOOKUP($BJ256&amp;"初始",$S$3:$AE$63,MATCH(BM$3,$S$3:$AE$3,0),FALSE))*VLOOKUP(VLOOKUP($BJ256,坦克个性化设定!$B$18:$E$48,4,FALSE)&amp;$BK256,坦克属性分配比例,MATCH("部件比例",坦克属性分配比例标头,0),FALSE))*$BL256/VLOOKUP(VLOOKUP($BJ256,坦克个性化设定!$B$18:$E$48,4,FALSE)&amp;$BK256,坦克属性分配比例,MATCH("升星次数",坦克属性分配比例标头,0),FALSE),0)</f>
        <v>1987</v>
      </c>
      <c r="BN256" s="103">
        <f ca="1">ROUND(VLOOKUP($BJ256&amp;"初始",$S$3:$AE$63,MATCH(BN$3,$S$3:$AE$3,0),FALSE)+(VLOOKUP($BJ256&amp;"最终",$S$3:$AE$63,MATCH(BN$3,$S$3:$AE$3,0),FALSE)-VLOOKUP($BJ256&amp;"初始",$S$3:$AE$63,MATCH(BN$3,$S$3:$AE$3,0),FALSE))*$BL256/VLOOKUP(VLOOKUP($BJ256,坦克个性化设定!$B$18:$E$48,4,FALSE)&amp;$BK256,坦克属性分配比例,MATCH("升星次数",坦克属性分配比例标头,0),FALSE)*VLOOKUP(VLOOKUP($BJ256,坦克个性化设定!$B$18:$E$48,4,FALSE)&amp;$BK256,坦克属性分配比例,MATCH("升星比例",坦克属性分配比例标头,0),FALSE),0)</f>
        <v>466</v>
      </c>
      <c r="BO256" s="103">
        <f ca="1">ROUND(VLOOKUP($BJ256&amp;"初始",$S$3:$AE$63,MATCH(BO$3,$S$3:$AE$3,0),FALSE)+(VLOOKUP($BJ256&amp;"最终",$S$3:$AE$63,MATCH(BO$3,$S$3:$AE$3,0),FALSE)-VLOOKUP($BJ256&amp;"初始",$S$3:$AE$63,MATCH(BO$3,$S$3:$AE$3,0),FALSE))*$BL256/VLOOKUP(VLOOKUP($BJ256,坦克个性化设定!$B$18:$E$48,4,FALSE)&amp;$BK256,坦克属性分配比例,MATCH("升星次数",坦克属性分配比例标头,0),FALSE)*(VLOOKUP(VLOOKUP($BJ256,坦克个性化设定!$B$18:$E$48,4,FALSE)&amp;$BK256,坦克属性分配比例,MATCH("升星比例",坦克属性分配比例标头,0),FALSE)+VLOOKUP(VLOOKUP($BJ256,坦克个性化设定!$B$18:$E$48,4,FALSE)&amp;$BK256,坦克属性分配比例,MATCH("部件比例",坦克属性分配比例标头,0),FALSE)*$C$3),0)</f>
        <v>567</v>
      </c>
      <c r="BP256" s="103">
        <f ca="1">ROUND(VLOOKUP($BJ256&amp;"初始",$S$3:$AE$63,MATCH(BP$3,$S$3:$AE$3,0),FALSE)+(VLOOKUP($BJ256&amp;"最终",$S$3:$AE$63,MATCH(BP$3,$S$3:$AE$3,0),FALSE)-VLOOKUP($BJ256&amp;"初始",$S$3:$AE$63,MATCH(BP$3,$S$3:$AE$3,0),FALSE))*$BL256/VLOOKUP(VLOOKUP($BJ256,坦克个性化设定!$B$18:$E$48,4,FALSE)&amp;$BK256,坦克属性分配比例,MATCH("升星次数",坦克属性分配比例标头,0),FALSE)*(VLOOKUP(VLOOKUP($BJ256,坦克个性化设定!$B$18:$E$48,4,FALSE)&amp;$BK256,坦克属性分配比例,MATCH("升星比例",坦克属性分配比例标头,0),FALSE)+VLOOKUP(VLOOKUP($BJ256,坦克个性化设定!$B$18:$E$48,4,FALSE)&amp;$BK256,坦克属性分配比例,MATCH("部件比例",坦克属性分配比例标头,0),FALSE)*$C$3),0)</f>
        <v>453</v>
      </c>
      <c r="BQ256" s="103">
        <f ca="1">ROUND(VLOOKUP($BJ256&amp;"初始",$S$3:$AE$63,MATCH(BQ$3,$S$3:$AE$3,0),FALSE)+(VLOOKUP($BJ256&amp;"最终",$S$3:$AE$63,MATCH(BQ$3,$S$3:$AE$3,0),FALSE)-VLOOKUP($BJ256&amp;"初始",$S$3:$AE$63,MATCH(BQ$3,$S$3:$AE$3,0),FALSE))*$BL256/VLOOKUP(VLOOKUP($BJ256,坦克个性化设定!$B$18:$E$48,4,FALSE)&amp;$BK256,坦克属性分配比例,MATCH("升星次数",坦克属性分配比例标头,0),FALSE)*VLOOKUP(VLOOKUP($BJ256,坦克个性化设定!$B$18:$E$48,4,FALSE)&amp;$BK256,坦克属性分配比例,MATCH("升星比例",坦克属性分配比例标头,0),FALSE),0)</f>
        <v>780</v>
      </c>
      <c r="BR256" s="2">
        <f ca="1">ROUND(VLOOKUP($BJ256&amp;"初始",$S$3:$AE$63,MATCH(BR$3,$S$3:$AE$3,0),FALSE)+(VLOOKUP($BJ256&amp;"最终",$S$3:$AE$63,MATCH(BR$3,$S$3:$AE$3,0),FALSE)-VLOOKUP($BJ256&amp;"初始",$S$3:$AE$63,MATCH(BR$3,$S$3:$AE$3,0),FALSE))*$BL256/VLOOKUP(VLOOKUP($BJ256,坦克个性化设定!$B$18:$E$48,4,FALSE)&amp;$BK256,坦克属性分配比例,MATCH("升星次数",坦克属性分配比例标头,0),FALSE),0)</f>
        <v>202</v>
      </c>
      <c r="BS256" s="2">
        <f>ROUND(VLOOKUP($BJ256,$AI$3:$AO$33,MATCH(BS$3,$AI$3:$AO$3,0),FALSE)+$BL256/VLOOKUP(VLOOKUP($BJ256,坦克个性化设定!$B$18:$E$48,4,FALSE)&amp;$BK256,坦克属性分配比例,MATCH("升星次数",坦克属性分配比例标头,0),FALSE)*VLOOKUP($BJ256,$AR$3:$AY$33,MATCH(BS$3,$AR$3:$AY$3,0),FALSE),1)</f>
        <v>47</v>
      </c>
      <c r="BT256" s="2">
        <f>ROUND(VLOOKUP($BJ256,$AI$3:$AO$33,MATCH(BT$3,$AI$3:$AO$3,0),FALSE)+$BL256/VLOOKUP(VLOOKUP($BJ256,坦克个性化设定!$B$18:$E$48,4,FALSE)&amp;$BK256,坦克属性分配比例,MATCH("升星次数",坦克属性分配比例标头,0),FALSE)*VLOOKUP($BJ256,$AR$3:$AY$33,MATCH(BT$3,$AR$3:$AY$3,0),FALSE),1)</f>
        <v>34.299999999999997</v>
      </c>
      <c r="BU256" s="2">
        <f>ROUND(VLOOKUP($BJ256,$AI$3:$AO$33,MATCH(BU$3,$AI$3:$AO$3,0),FALSE)+$BL256/VLOOKUP(VLOOKUP($BJ256,坦克个性化设定!$B$18:$E$48,4,FALSE)&amp;$BK256,坦克属性分配比例,MATCH("升星次数",坦克属性分配比例标头,0),FALSE)*VLOOKUP($BJ256,$AR$3:$AY$33,MATCH(BU$3,$AR$3:$AY$3,0),FALSE),1)</f>
        <v>7.4</v>
      </c>
      <c r="BV256" s="2">
        <f>IF(VLOOKUP(BJ256,坦克个性化设定!$B$18:$BC$48,MATCH("装弹类型",坦克个性化设定!$B$18:$BC$18,0),FALSE)="弹夹换弹",0,ROUND(VLOOKUP($BJ256,$AI$3:$AO$33,MATCH("换弹时间",$AI$3:$AO$3,0),FALSE)-$BL256/VLOOKUP(VLOOKUP($BJ256,坦克个性化设定!$B$18:$E$48,4,FALSE)&amp;$BK256,坦克属性分配比例,MATCH("升星次数",坦克属性分配比例标头,0),FALSE)*VLOOKUP($BJ256,$AR$3:$AY$33,MATCH("换弹时间",$AR$3:$AY$3,0),FALSE),2))</f>
        <v>3.66</v>
      </c>
      <c r="BW256" s="2">
        <f>IF(VLOOKUP(BJ256,坦克个性化设定!$B$18:$BC$48,MATCH("装弹类型",坦克个性化设定!$B$18:$BC$18,0),FALSE)="弹夹换弹",ROUND(VLOOKUP($BJ256,$AI$3:$AO$33,MATCH("换弹时间",$AI$3:$AO$3,0),FALSE)-$BL256/VLOOKUP(VLOOKUP($BJ256,坦克个性化设定!$B$18:$E$48,4,FALSE)&amp;$BK256,坦克属性分配比例,MATCH("升星次数",坦克属性分配比例标头,0),FALSE)*VLOOKUP($BJ256,$AR$3:$AY$33,MATCH("换弹时间",$AR$3:$AY$3,0),FALSE),1),0)</f>
        <v>0</v>
      </c>
      <c r="BX256" s="2">
        <f>ROUND(VLOOKUP($BJ256,$AI$3:$AO$33,MATCH(BX$3,$AI$3:$AO$3,0),FALSE)+$BL256/VLOOKUP(VLOOKUP($BJ256,坦克个性化设定!$B$18:$E$48,4,FALSE)&amp;$BK256,坦克属性分配比例,MATCH("升星次数",坦克属性分配比例标头,0),FALSE)*VLOOKUP($BJ256,$AR$3:$AY$33,MATCH(BX$3,$AR$3:$AY$3,0),FALSE),2)</f>
        <v>2</v>
      </c>
      <c r="BY256" s="2">
        <f>ROUND(VLOOKUP($BJ256,$AI$3:$AO$33,MATCH(BY$3,$AI$3:$AO$3,0),FALSE)-$BL256/VLOOKUP(VLOOKUP($BJ256,坦克个性化设定!$B$18:$E$48,4,FALSE)&amp;$BK256,坦克属性分配比例,MATCH("升星次数",坦克属性分配比例标头,0),FALSE)*VLOOKUP($BJ256,$AR$3:$AY$33,MATCH(BY$3,$AR$3:$AY$3,0),FALSE),2)</f>
        <v>2</v>
      </c>
    </row>
    <row r="257" spans="60:77" x14ac:dyDescent="0.3">
      <c r="BH257" s="2" t="str">
        <f t="shared" si="35"/>
        <v>KV-27</v>
      </c>
      <c r="BI257" s="2">
        <f>IF(BL256&gt;=VLOOKUP(VLOOKUP(BJ256,坦克个性化设定!$B$18:$E$48,4,FALSE)&amp;BK256,坦克属性分配比例,MATCH("升星次数",坦克属性分配比例标头,0),FALSE),BI256+1,BI256)</f>
        <v>26</v>
      </c>
      <c r="BJ257" s="2" t="str">
        <f t="shared" si="36"/>
        <v>KV-2</v>
      </c>
      <c r="BK257" s="29" t="str">
        <f>VLOOKUP(BJ257,坦克个性化细分!$I$3:$J$33,2,FALSE)</f>
        <v>高</v>
      </c>
      <c r="BL257" s="2">
        <f t="shared" si="37"/>
        <v>7</v>
      </c>
      <c r="BM257" s="103">
        <f ca="1">ROUND(VLOOKUP($BJ257&amp;"初始",$S$3:$AE$63,MATCH(BM$3,$S$3:$AE$3,0),FALSE)+((VLOOKUP($BJ257&amp;"最终",$S$3:$AE$63,MATCH(BM$3,$S$3:$AE$3,0),FALSE)*坦克个性化细分!$C$9-VLOOKUP($BJ257&amp;"初始",$S$3:$AE$63,MATCH(BM$3,$S$3:$AE$3,0),FALSE))-(VLOOKUP($BJ257&amp;"最终",$S$3:$AE$63,MATCH(BM$3,$S$3:$AE$3,0),FALSE)-VLOOKUP($BJ257&amp;"初始",$S$3:$AE$63,MATCH(BM$3,$S$3:$AE$3,0),FALSE))*VLOOKUP(VLOOKUP($BJ257,坦克个性化设定!$B$18:$E$48,4,FALSE)&amp;$BK257,坦克属性分配比例,MATCH("部件比例",坦克属性分配比例标头,0),FALSE))*$BL257/VLOOKUP(VLOOKUP($BJ257,坦克个性化设定!$B$18:$E$48,4,FALSE)&amp;$BK257,坦克属性分配比例,MATCH("升星次数",坦克属性分配比例标头,0),FALSE),0)</f>
        <v>2071</v>
      </c>
      <c r="BN257" s="103">
        <f ca="1">ROUND(VLOOKUP($BJ257&amp;"初始",$S$3:$AE$63,MATCH(BN$3,$S$3:$AE$3,0),FALSE)+(VLOOKUP($BJ257&amp;"最终",$S$3:$AE$63,MATCH(BN$3,$S$3:$AE$3,0),FALSE)-VLOOKUP($BJ257&amp;"初始",$S$3:$AE$63,MATCH(BN$3,$S$3:$AE$3,0),FALSE))*$BL257/VLOOKUP(VLOOKUP($BJ257,坦克个性化设定!$B$18:$E$48,4,FALSE)&amp;$BK257,坦克属性分配比例,MATCH("升星次数",坦克属性分配比例标头,0),FALSE)*VLOOKUP(VLOOKUP($BJ257,坦克个性化设定!$B$18:$E$48,4,FALSE)&amp;$BK257,坦克属性分配比例,MATCH("升星比例",坦克属性分配比例标头,0),FALSE),0)</f>
        <v>479</v>
      </c>
      <c r="BO257" s="103">
        <f ca="1">ROUND(VLOOKUP($BJ257&amp;"初始",$S$3:$AE$63,MATCH(BO$3,$S$3:$AE$3,0),FALSE)+(VLOOKUP($BJ257&amp;"最终",$S$3:$AE$63,MATCH(BO$3,$S$3:$AE$3,0),FALSE)-VLOOKUP($BJ257&amp;"初始",$S$3:$AE$63,MATCH(BO$3,$S$3:$AE$3,0),FALSE))*$BL257/VLOOKUP(VLOOKUP($BJ257,坦克个性化设定!$B$18:$E$48,4,FALSE)&amp;$BK257,坦克属性分配比例,MATCH("升星次数",坦克属性分配比例标头,0),FALSE)*(VLOOKUP(VLOOKUP($BJ257,坦克个性化设定!$B$18:$E$48,4,FALSE)&amp;$BK257,坦克属性分配比例,MATCH("升星比例",坦克属性分配比例标头,0),FALSE)+VLOOKUP(VLOOKUP($BJ257,坦克个性化设定!$B$18:$E$48,4,FALSE)&amp;$BK257,坦克属性分配比例,MATCH("部件比例",坦克属性分配比例标头,0),FALSE)*$C$3),0)</f>
        <v>588</v>
      </c>
      <c r="BP257" s="103">
        <f ca="1">ROUND(VLOOKUP($BJ257&amp;"初始",$S$3:$AE$63,MATCH(BP$3,$S$3:$AE$3,0),FALSE)+(VLOOKUP($BJ257&amp;"最终",$S$3:$AE$63,MATCH(BP$3,$S$3:$AE$3,0),FALSE)-VLOOKUP($BJ257&amp;"初始",$S$3:$AE$63,MATCH(BP$3,$S$3:$AE$3,0),FALSE))*$BL257/VLOOKUP(VLOOKUP($BJ257,坦克个性化设定!$B$18:$E$48,4,FALSE)&amp;$BK257,坦克属性分配比例,MATCH("升星次数",坦克属性分配比例标头,0),FALSE)*(VLOOKUP(VLOOKUP($BJ257,坦克个性化设定!$B$18:$E$48,4,FALSE)&amp;$BK257,坦克属性分配比例,MATCH("升星比例",坦克属性分配比例标头,0),FALSE)+VLOOKUP(VLOOKUP($BJ257,坦克个性化设定!$B$18:$E$48,4,FALSE)&amp;$BK257,坦克属性分配比例,MATCH("部件比例",坦克属性分配比例标头,0),FALSE)*$C$3),0)</f>
        <v>470</v>
      </c>
      <c r="BQ257" s="103">
        <f ca="1">ROUND(VLOOKUP($BJ257&amp;"初始",$S$3:$AE$63,MATCH(BQ$3,$S$3:$AE$3,0),FALSE)+(VLOOKUP($BJ257&amp;"最终",$S$3:$AE$63,MATCH(BQ$3,$S$3:$AE$3,0),FALSE)-VLOOKUP($BJ257&amp;"初始",$S$3:$AE$63,MATCH(BQ$3,$S$3:$AE$3,0),FALSE))*$BL257/VLOOKUP(VLOOKUP($BJ257,坦克个性化设定!$B$18:$E$48,4,FALSE)&amp;$BK257,坦克属性分配比例,MATCH("升星次数",坦克属性分配比例标头,0),FALSE)*VLOOKUP(VLOOKUP($BJ257,坦克个性化设定!$B$18:$E$48,4,FALSE)&amp;$BK257,坦克属性分配比例,MATCH("升星比例",坦克属性分配比例标头,0),FALSE),0)</f>
        <v>802</v>
      </c>
      <c r="BR257" s="2">
        <f ca="1">ROUND(VLOOKUP($BJ257&amp;"初始",$S$3:$AE$63,MATCH(BR$3,$S$3:$AE$3,0),FALSE)+(VLOOKUP($BJ257&amp;"最终",$S$3:$AE$63,MATCH(BR$3,$S$3:$AE$3,0),FALSE)-VLOOKUP($BJ257&amp;"初始",$S$3:$AE$63,MATCH(BR$3,$S$3:$AE$3,0),FALSE))*$BL257/VLOOKUP(VLOOKUP($BJ257,坦克个性化设定!$B$18:$E$48,4,FALSE)&amp;$BK257,坦克属性分配比例,MATCH("升星次数",坦克属性分配比例标头,0),FALSE),0)</f>
        <v>211</v>
      </c>
      <c r="BS257" s="2">
        <f>ROUND(VLOOKUP($BJ257,$AI$3:$AO$33,MATCH(BS$3,$AI$3:$AO$3,0),FALSE)+$BL257/VLOOKUP(VLOOKUP($BJ257,坦克个性化设定!$B$18:$E$48,4,FALSE)&amp;$BK257,坦克属性分配比例,MATCH("升星次数",坦克属性分配比例标头,0),FALSE)*VLOOKUP($BJ257,$AR$3:$AY$33,MATCH(BS$3,$AR$3:$AY$3,0),FALSE),1)</f>
        <v>48.1</v>
      </c>
      <c r="BT257" s="2">
        <f>ROUND(VLOOKUP($BJ257,$AI$3:$AO$33,MATCH(BT$3,$AI$3:$AO$3,0),FALSE)+$BL257/VLOOKUP(VLOOKUP($BJ257,坦克个性化设定!$B$18:$E$48,4,FALSE)&amp;$BK257,坦克属性分配比例,MATCH("升星次数",坦克属性分配比例标头,0),FALSE)*VLOOKUP($BJ257,$AR$3:$AY$33,MATCH(BT$3,$AR$3:$AY$3,0),FALSE),1)</f>
        <v>35.1</v>
      </c>
      <c r="BU257" s="2">
        <f>ROUND(VLOOKUP($BJ257,$AI$3:$AO$33,MATCH(BU$3,$AI$3:$AO$3,0),FALSE)+$BL257/VLOOKUP(VLOOKUP($BJ257,坦克个性化设定!$B$18:$E$48,4,FALSE)&amp;$BK257,坦克属性分配比例,MATCH("升星次数",坦克属性分配比例标头,0),FALSE)*VLOOKUP($BJ257,$AR$3:$AY$33,MATCH(BU$3,$AR$3:$AY$3,0),FALSE),1)</f>
        <v>7.4</v>
      </c>
      <c r="BV257" s="2">
        <f>IF(VLOOKUP(BJ257,坦克个性化设定!$B$18:$BC$48,MATCH("装弹类型",坦克个性化设定!$B$18:$BC$18,0),FALSE)="弹夹换弹",0,ROUND(VLOOKUP($BJ257,$AI$3:$AO$33,MATCH("换弹时间",$AI$3:$AO$3,0),FALSE)-$BL257/VLOOKUP(VLOOKUP($BJ257,坦克个性化设定!$B$18:$E$48,4,FALSE)&amp;$BK257,坦克属性分配比例,MATCH("升星次数",坦克属性分配比例标头,0),FALSE)*VLOOKUP($BJ257,$AR$3:$AY$33,MATCH("换弹时间",$AR$3:$AY$3,0),FALSE),2))</f>
        <v>3.59</v>
      </c>
      <c r="BW257" s="2">
        <f>IF(VLOOKUP(BJ257,坦克个性化设定!$B$18:$BC$48,MATCH("装弹类型",坦克个性化设定!$B$18:$BC$18,0),FALSE)="弹夹换弹",ROUND(VLOOKUP($BJ257,$AI$3:$AO$33,MATCH("换弹时间",$AI$3:$AO$3,0),FALSE)-$BL257/VLOOKUP(VLOOKUP($BJ257,坦克个性化设定!$B$18:$E$48,4,FALSE)&amp;$BK257,坦克属性分配比例,MATCH("升星次数",坦克属性分配比例标头,0),FALSE)*VLOOKUP($BJ257,$AR$3:$AY$33,MATCH("换弹时间",$AR$3:$AY$3,0),FALSE),1),0)</f>
        <v>0</v>
      </c>
      <c r="BX257" s="2">
        <f>ROUND(VLOOKUP($BJ257,$AI$3:$AO$33,MATCH(BX$3,$AI$3:$AO$3,0),FALSE)+$BL257/VLOOKUP(VLOOKUP($BJ257,坦克个性化设定!$B$18:$E$48,4,FALSE)&amp;$BK257,坦克属性分配比例,MATCH("升星次数",坦克属性分配比例标头,0),FALSE)*VLOOKUP($BJ257,$AR$3:$AY$33,MATCH(BX$3,$AR$3:$AY$3,0),FALSE),2)</f>
        <v>2</v>
      </c>
      <c r="BY257" s="2">
        <f>ROUND(VLOOKUP($BJ257,$AI$3:$AO$33,MATCH(BY$3,$AI$3:$AO$3,0),FALSE)-$BL257/VLOOKUP(VLOOKUP($BJ257,坦克个性化设定!$B$18:$E$48,4,FALSE)&amp;$BK257,坦克属性分配比例,MATCH("升星次数",坦克属性分配比例标头,0),FALSE)*VLOOKUP($BJ257,$AR$3:$AY$33,MATCH(BY$3,$AR$3:$AY$3,0),FALSE),2)</f>
        <v>1.96</v>
      </c>
    </row>
    <row r="258" spans="60:77" x14ac:dyDescent="0.3">
      <c r="BH258" s="2" t="str">
        <f t="shared" si="35"/>
        <v>KV-28</v>
      </c>
      <c r="BI258" s="2">
        <f>IF(BL257&gt;=VLOOKUP(VLOOKUP(BJ257,坦克个性化设定!$B$18:$E$48,4,FALSE)&amp;BK257,坦克属性分配比例,MATCH("升星次数",坦克属性分配比例标头,0),FALSE),BI257+1,BI257)</f>
        <v>26</v>
      </c>
      <c r="BJ258" s="2" t="str">
        <f t="shared" si="36"/>
        <v>KV-2</v>
      </c>
      <c r="BK258" s="29" t="str">
        <f>VLOOKUP(BJ258,坦克个性化细分!$I$3:$J$33,2,FALSE)</f>
        <v>高</v>
      </c>
      <c r="BL258" s="2">
        <f t="shared" si="37"/>
        <v>8</v>
      </c>
      <c r="BM258" s="103">
        <f ca="1">ROUND(VLOOKUP($BJ258&amp;"初始",$S$3:$AE$63,MATCH(BM$3,$S$3:$AE$3,0),FALSE)+((VLOOKUP($BJ258&amp;"最终",$S$3:$AE$63,MATCH(BM$3,$S$3:$AE$3,0),FALSE)*坦克个性化细分!$C$9-VLOOKUP($BJ258&amp;"初始",$S$3:$AE$63,MATCH(BM$3,$S$3:$AE$3,0),FALSE))-(VLOOKUP($BJ258&amp;"最终",$S$3:$AE$63,MATCH(BM$3,$S$3:$AE$3,0),FALSE)-VLOOKUP($BJ258&amp;"初始",$S$3:$AE$63,MATCH(BM$3,$S$3:$AE$3,0),FALSE))*VLOOKUP(VLOOKUP($BJ258,坦克个性化设定!$B$18:$E$48,4,FALSE)&amp;$BK258,坦克属性分配比例,MATCH("部件比例",坦克属性分配比例标头,0),FALSE))*$BL258/VLOOKUP(VLOOKUP($BJ258,坦克个性化设定!$B$18:$E$48,4,FALSE)&amp;$BK258,坦克属性分配比例,MATCH("升星次数",坦克属性分配比例标头,0),FALSE),0)</f>
        <v>2155</v>
      </c>
      <c r="BN258" s="103">
        <f ca="1">ROUND(VLOOKUP($BJ258&amp;"初始",$S$3:$AE$63,MATCH(BN$3,$S$3:$AE$3,0),FALSE)+(VLOOKUP($BJ258&amp;"最终",$S$3:$AE$63,MATCH(BN$3,$S$3:$AE$3,0),FALSE)-VLOOKUP($BJ258&amp;"初始",$S$3:$AE$63,MATCH(BN$3,$S$3:$AE$3,0),FALSE))*$BL258/VLOOKUP(VLOOKUP($BJ258,坦克个性化设定!$B$18:$E$48,4,FALSE)&amp;$BK258,坦克属性分配比例,MATCH("升星次数",坦克属性分配比例标头,0),FALSE)*VLOOKUP(VLOOKUP($BJ258,坦克个性化设定!$B$18:$E$48,4,FALSE)&amp;$BK258,坦克属性分配比例,MATCH("升星比例",坦克属性分配比例标头,0),FALSE),0)</f>
        <v>493</v>
      </c>
      <c r="BO258" s="103">
        <f ca="1">ROUND(VLOOKUP($BJ258&amp;"初始",$S$3:$AE$63,MATCH(BO$3,$S$3:$AE$3,0),FALSE)+(VLOOKUP($BJ258&amp;"最终",$S$3:$AE$63,MATCH(BO$3,$S$3:$AE$3,0),FALSE)-VLOOKUP($BJ258&amp;"初始",$S$3:$AE$63,MATCH(BO$3,$S$3:$AE$3,0),FALSE))*$BL258/VLOOKUP(VLOOKUP($BJ258,坦克个性化设定!$B$18:$E$48,4,FALSE)&amp;$BK258,坦克属性分配比例,MATCH("升星次数",坦克属性分配比例标头,0),FALSE)*(VLOOKUP(VLOOKUP($BJ258,坦克个性化设定!$B$18:$E$48,4,FALSE)&amp;$BK258,坦克属性分配比例,MATCH("升星比例",坦克属性分配比例标头,0),FALSE)+VLOOKUP(VLOOKUP($BJ258,坦克个性化设定!$B$18:$E$48,4,FALSE)&amp;$BK258,坦克属性分配比例,MATCH("部件比例",坦克属性分配比例标头,0),FALSE)*$C$3),0)</f>
        <v>609</v>
      </c>
      <c r="BP258" s="103">
        <f ca="1">ROUND(VLOOKUP($BJ258&amp;"初始",$S$3:$AE$63,MATCH(BP$3,$S$3:$AE$3,0),FALSE)+(VLOOKUP($BJ258&amp;"最终",$S$3:$AE$63,MATCH(BP$3,$S$3:$AE$3,0),FALSE)-VLOOKUP($BJ258&amp;"初始",$S$3:$AE$63,MATCH(BP$3,$S$3:$AE$3,0),FALSE))*$BL258/VLOOKUP(VLOOKUP($BJ258,坦克个性化设定!$B$18:$E$48,4,FALSE)&amp;$BK258,坦克属性分配比例,MATCH("升星次数",坦克属性分配比例标头,0),FALSE)*(VLOOKUP(VLOOKUP($BJ258,坦克个性化设定!$B$18:$E$48,4,FALSE)&amp;$BK258,坦克属性分配比例,MATCH("升星比例",坦克属性分配比例标头,0),FALSE)+VLOOKUP(VLOOKUP($BJ258,坦克个性化设定!$B$18:$E$48,4,FALSE)&amp;$BK258,坦克属性分配比例,MATCH("部件比例",坦克属性分配比例标头,0),FALSE)*$C$3),0)</f>
        <v>487</v>
      </c>
      <c r="BQ258" s="103">
        <f ca="1">ROUND(VLOOKUP($BJ258&amp;"初始",$S$3:$AE$63,MATCH(BQ$3,$S$3:$AE$3,0),FALSE)+(VLOOKUP($BJ258&amp;"最终",$S$3:$AE$63,MATCH(BQ$3,$S$3:$AE$3,0),FALSE)-VLOOKUP($BJ258&amp;"初始",$S$3:$AE$63,MATCH(BQ$3,$S$3:$AE$3,0),FALSE))*$BL258/VLOOKUP(VLOOKUP($BJ258,坦克个性化设定!$B$18:$E$48,4,FALSE)&amp;$BK258,坦克属性分配比例,MATCH("升星次数",坦克属性分配比例标头,0),FALSE)*VLOOKUP(VLOOKUP($BJ258,坦克个性化设定!$B$18:$E$48,4,FALSE)&amp;$BK258,坦克属性分配比例,MATCH("升星比例",坦克属性分配比例标头,0),FALSE),0)</f>
        <v>824</v>
      </c>
      <c r="BR258" s="2">
        <f ca="1">ROUND(VLOOKUP($BJ258&amp;"初始",$S$3:$AE$63,MATCH(BR$3,$S$3:$AE$3,0),FALSE)+(VLOOKUP($BJ258&amp;"最终",$S$3:$AE$63,MATCH(BR$3,$S$3:$AE$3,0),FALSE)-VLOOKUP($BJ258&amp;"初始",$S$3:$AE$63,MATCH(BR$3,$S$3:$AE$3,0),FALSE))*$BL258/VLOOKUP(VLOOKUP($BJ258,坦克个性化设定!$B$18:$E$48,4,FALSE)&amp;$BK258,坦克属性分配比例,MATCH("升星次数",坦克属性分配比例标头,0),FALSE),0)</f>
        <v>219</v>
      </c>
      <c r="BS258" s="2">
        <f>ROUND(VLOOKUP($BJ258,$AI$3:$AO$33,MATCH(BS$3,$AI$3:$AO$3,0),FALSE)+$BL258/VLOOKUP(VLOOKUP($BJ258,坦克个性化设定!$B$18:$E$48,4,FALSE)&amp;$BK258,坦克属性分配比例,MATCH("升星次数",坦克属性分配比例标头,0),FALSE)*VLOOKUP($BJ258,$AR$3:$AY$33,MATCH(BS$3,$AR$3:$AY$3,0),FALSE),1)</f>
        <v>49.3</v>
      </c>
      <c r="BT258" s="2">
        <f>ROUND(VLOOKUP($BJ258,$AI$3:$AO$33,MATCH(BT$3,$AI$3:$AO$3,0),FALSE)+$BL258/VLOOKUP(VLOOKUP($BJ258,坦克个性化设定!$B$18:$E$48,4,FALSE)&amp;$BK258,坦克属性分配比例,MATCH("升星次数",坦克属性分配比例标头,0),FALSE)*VLOOKUP($BJ258,$AR$3:$AY$33,MATCH(BT$3,$AR$3:$AY$3,0),FALSE),1)</f>
        <v>35.9</v>
      </c>
      <c r="BU258" s="2">
        <f>ROUND(VLOOKUP($BJ258,$AI$3:$AO$33,MATCH(BU$3,$AI$3:$AO$3,0),FALSE)+$BL258/VLOOKUP(VLOOKUP($BJ258,坦克个性化设定!$B$18:$E$48,4,FALSE)&amp;$BK258,坦克属性分配比例,MATCH("升星次数",坦克属性分配比例标头,0),FALSE)*VLOOKUP($BJ258,$AR$3:$AY$33,MATCH(BU$3,$AR$3:$AY$3,0),FALSE),1)</f>
        <v>7.4</v>
      </c>
      <c r="BV258" s="2">
        <f>IF(VLOOKUP(BJ258,坦克个性化设定!$B$18:$BC$48,MATCH("装弹类型",坦克个性化设定!$B$18:$BC$18,0),FALSE)="弹夹换弹",0,ROUND(VLOOKUP($BJ258,$AI$3:$AO$33,MATCH("换弹时间",$AI$3:$AO$3,0),FALSE)-$BL258/VLOOKUP(VLOOKUP($BJ258,坦克个性化设定!$B$18:$E$48,4,FALSE)&amp;$BK258,坦克属性分配比例,MATCH("升星次数",坦克属性分配比例标头,0),FALSE)*VLOOKUP($BJ258,$AR$3:$AY$33,MATCH("换弹时间",$AR$3:$AY$3,0),FALSE),2))</f>
        <v>3.53</v>
      </c>
      <c r="BW258" s="2">
        <f>IF(VLOOKUP(BJ258,坦克个性化设定!$B$18:$BC$48,MATCH("装弹类型",坦克个性化设定!$B$18:$BC$18,0),FALSE)="弹夹换弹",ROUND(VLOOKUP($BJ258,$AI$3:$AO$33,MATCH("换弹时间",$AI$3:$AO$3,0),FALSE)-$BL258/VLOOKUP(VLOOKUP($BJ258,坦克个性化设定!$B$18:$E$48,4,FALSE)&amp;$BK258,坦克属性分配比例,MATCH("升星次数",坦克属性分配比例标头,0),FALSE)*VLOOKUP($BJ258,$AR$3:$AY$33,MATCH("换弹时间",$AR$3:$AY$3,0),FALSE),1),0)</f>
        <v>0</v>
      </c>
      <c r="BX258" s="2">
        <f>ROUND(VLOOKUP($BJ258,$AI$3:$AO$33,MATCH(BX$3,$AI$3:$AO$3,0),FALSE)+$BL258/VLOOKUP(VLOOKUP($BJ258,坦克个性化设定!$B$18:$E$48,4,FALSE)&amp;$BK258,坦克属性分配比例,MATCH("升星次数",坦克属性分配比例标头,0),FALSE)*VLOOKUP($BJ258,$AR$3:$AY$33,MATCH(BX$3,$AR$3:$AY$3,0),FALSE),2)</f>
        <v>2</v>
      </c>
      <c r="BY258" s="2">
        <f>ROUND(VLOOKUP($BJ258,$AI$3:$AO$33,MATCH(BY$3,$AI$3:$AO$3,0),FALSE)-$BL258/VLOOKUP(VLOOKUP($BJ258,坦克个性化设定!$B$18:$E$48,4,FALSE)&amp;$BK258,坦克属性分配比例,MATCH("升星次数",坦克属性分配比例标头,0),FALSE)*VLOOKUP($BJ258,$AR$3:$AY$33,MATCH(BY$3,$AR$3:$AY$3,0),FALSE),2)</f>
        <v>1.92</v>
      </c>
    </row>
    <row r="259" spans="60:77" x14ac:dyDescent="0.3">
      <c r="BH259" s="2" t="str">
        <f t="shared" si="35"/>
        <v>KV-29</v>
      </c>
      <c r="BI259" s="2">
        <f>IF(BL258&gt;=VLOOKUP(VLOOKUP(BJ258,坦克个性化设定!$B$18:$E$48,4,FALSE)&amp;BK258,坦克属性分配比例,MATCH("升星次数",坦克属性分配比例标头,0),FALSE),BI258+1,BI258)</f>
        <v>26</v>
      </c>
      <c r="BJ259" s="2" t="str">
        <f t="shared" si="36"/>
        <v>KV-2</v>
      </c>
      <c r="BK259" s="29" t="str">
        <f>VLOOKUP(BJ259,坦克个性化细分!$I$3:$J$33,2,FALSE)</f>
        <v>高</v>
      </c>
      <c r="BL259" s="2">
        <f t="shared" si="37"/>
        <v>9</v>
      </c>
      <c r="BM259" s="103">
        <f ca="1">ROUND(VLOOKUP($BJ259&amp;"初始",$S$3:$AE$63,MATCH(BM$3,$S$3:$AE$3,0),FALSE)+((VLOOKUP($BJ259&amp;"最终",$S$3:$AE$63,MATCH(BM$3,$S$3:$AE$3,0),FALSE)*坦克个性化细分!$C$9-VLOOKUP($BJ259&amp;"初始",$S$3:$AE$63,MATCH(BM$3,$S$3:$AE$3,0),FALSE))-(VLOOKUP($BJ259&amp;"最终",$S$3:$AE$63,MATCH(BM$3,$S$3:$AE$3,0),FALSE)-VLOOKUP($BJ259&amp;"初始",$S$3:$AE$63,MATCH(BM$3,$S$3:$AE$3,0),FALSE))*VLOOKUP(VLOOKUP($BJ259,坦克个性化设定!$B$18:$E$48,4,FALSE)&amp;$BK259,坦克属性分配比例,MATCH("部件比例",坦克属性分配比例标头,0),FALSE))*$BL259/VLOOKUP(VLOOKUP($BJ259,坦克个性化设定!$B$18:$E$48,4,FALSE)&amp;$BK259,坦克属性分配比例,MATCH("升星次数",坦克属性分配比例标头,0),FALSE),0)</f>
        <v>2239</v>
      </c>
      <c r="BN259" s="103">
        <f ca="1">ROUND(VLOOKUP($BJ259&amp;"初始",$S$3:$AE$63,MATCH(BN$3,$S$3:$AE$3,0),FALSE)+(VLOOKUP($BJ259&amp;"最终",$S$3:$AE$63,MATCH(BN$3,$S$3:$AE$3,0),FALSE)-VLOOKUP($BJ259&amp;"初始",$S$3:$AE$63,MATCH(BN$3,$S$3:$AE$3,0),FALSE))*$BL259/VLOOKUP(VLOOKUP($BJ259,坦克个性化设定!$B$18:$E$48,4,FALSE)&amp;$BK259,坦克属性分配比例,MATCH("升星次数",坦克属性分配比例标头,0),FALSE)*VLOOKUP(VLOOKUP($BJ259,坦克个性化设定!$B$18:$E$48,4,FALSE)&amp;$BK259,坦克属性分配比例,MATCH("升星比例",坦克属性分配比例标头,0),FALSE),0)</f>
        <v>506</v>
      </c>
      <c r="BO259" s="103">
        <f ca="1">ROUND(VLOOKUP($BJ259&amp;"初始",$S$3:$AE$63,MATCH(BO$3,$S$3:$AE$3,0),FALSE)+(VLOOKUP($BJ259&amp;"最终",$S$3:$AE$63,MATCH(BO$3,$S$3:$AE$3,0),FALSE)-VLOOKUP($BJ259&amp;"初始",$S$3:$AE$63,MATCH(BO$3,$S$3:$AE$3,0),FALSE))*$BL259/VLOOKUP(VLOOKUP($BJ259,坦克个性化设定!$B$18:$E$48,4,FALSE)&amp;$BK259,坦克属性分配比例,MATCH("升星次数",坦克属性分配比例标头,0),FALSE)*(VLOOKUP(VLOOKUP($BJ259,坦克个性化设定!$B$18:$E$48,4,FALSE)&amp;$BK259,坦克属性分配比例,MATCH("升星比例",坦克属性分配比例标头,0),FALSE)+VLOOKUP(VLOOKUP($BJ259,坦克个性化设定!$B$18:$E$48,4,FALSE)&amp;$BK259,坦克属性分配比例,MATCH("部件比例",坦克属性分配比例标头,0),FALSE)*$C$3),0)</f>
        <v>630</v>
      </c>
      <c r="BP259" s="103">
        <f ca="1">ROUND(VLOOKUP($BJ259&amp;"初始",$S$3:$AE$63,MATCH(BP$3,$S$3:$AE$3,0),FALSE)+(VLOOKUP($BJ259&amp;"最终",$S$3:$AE$63,MATCH(BP$3,$S$3:$AE$3,0),FALSE)-VLOOKUP($BJ259&amp;"初始",$S$3:$AE$63,MATCH(BP$3,$S$3:$AE$3,0),FALSE))*$BL259/VLOOKUP(VLOOKUP($BJ259,坦克个性化设定!$B$18:$E$48,4,FALSE)&amp;$BK259,坦克属性分配比例,MATCH("升星次数",坦克属性分配比例标头,0),FALSE)*(VLOOKUP(VLOOKUP($BJ259,坦克个性化设定!$B$18:$E$48,4,FALSE)&amp;$BK259,坦克属性分配比例,MATCH("升星比例",坦克属性分配比例标头,0),FALSE)+VLOOKUP(VLOOKUP($BJ259,坦克个性化设定!$B$18:$E$48,4,FALSE)&amp;$BK259,坦克属性分配比例,MATCH("部件比例",坦克属性分配比例标头,0),FALSE)*$C$3),0)</f>
        <v>504</v>
      </c>
      <c r="BQ259" s="103">
        <f ca="1">ROUND(VLOOKUP($BJ259&amp;"初始",$S$3:$AE$63,MATCH(BQ$3,$S$3:$AE$3,0),FALSE)+(VLOOKUP($BJ259&amp;"最终",$S$3:$AE$63,MATCH(BQ$3,$S$3:$AE$3,0),FALSE)-VLOOKUP($BJ259&amp;"初始",$S$3:$AE$63,MATCH(BQ$3,$S$3:$AE$3,0),FALSE))*$BL259/VLOOKUP(VLOOKUP($BJ259,坦克个性化设定!$B$18:$E$48,4,FALSE)&amp;$BK259,坦克属性分配比例,MATCH("升星次数",坦克属性分配比例标头,0),FALSE)*VLOOKUP(VLOOKUP($BJ259,坦克个性化设定!$B$18:$E$48,4,FALSE)&amp;$BK259,坦克属性分配比例,MATCH("升星比例",坦克属性分配比例标头,0),FALSE),0)</f>
        <v>846</v>
      </c>
      <c r="BR259" s="2">
        <f ca="1">ROUND(VLOOKUP($BJ259&amp;"初始",$S$3:$AE$63,MATCH(BR$3,$S$3:$AE$3,0),FALSE)+(VLOOKUP($BJ259&amp;"最终",$S$3:$AE$63,MATCH(BR$3,$S$3:$AE$3,0),FALSE)-VLOOKUP($BJ259&amp;"初始",$S$3:$AE$63,MATCH(BR$3,$S$3:$AE$3,0),FALSE))*$BL259/VLOOKUP(VLOOKUP($BJ259,坦克个性化设定!$B$18:$E$48,4,FALSE)&amp;$BK259,坦克属性分配比例,MATCH("升星次数",坦克属性分配比例标头,0),FALSE),0)</f>
        <v>228</v>
      </c>
      <c r="BS259" s="2">
        <f>ROUND(VLOOKUP($BJ259,$AI$3:$AO$33,MATCH(BS$3,$AI$3:$AO$3,0),FALSE)+$BL259/VLOOKUP(VLOOKUP($BJ259,坦克个性化设定!$B$18:$E$48,4,FALSE)&amp;$BK259,坦克属性分配比例,MATCH("升星次数",坦克属性分配比例标头,0),FALSE)*VLOOKUP($BJ259,$AR$3:$AY$33,MATCH(BS$3,$AR$3:$AY$3,0),FALSE),1)</f>
        <v>50.4</v>
      </c>
      <c r="BT259" s="2">
        <f>ROUND(VLOOKUP($BJ259,$AI$3:$AO$33,MATCH(BT$3,$AI$3:$AO$3,0),FALSE)+$BL259/VLOOKUP(VLOOKUP($BJ259,坦克个性化设定!$B$18:$E$48,4,FALSE)&amp;$BK259,坦克属性分配比例,MATCH("升星次数",坦克属性分配比例标头,0),FALSE)*VLOOKUP($BJ259,$AR$3:$AY$33,MATCH(BT$3,$AR$3:$AY$3,0),FALSE),1)</f>
        <v>36.799999999999997</v>
      </c>
      <c r="BU259" s="2">
        <f>ROUND(VLOOKUP($BJ259,$AI$3:$AO$33,MATCH(BU$3,$AI$3:$AO$3,0),FALSE)+$BL259/VLOOKUP(VLOOKUP($BJ259,坦克个性化设定!$B$18:$E$48,4,FALSE)&amp;$BK259,坦克属性分配比例,MATCH("升星次数",坦克属性分配比例标头,0),FALSE)*VLOOKUP($BJ259,$AR$3:$AY$33,MATCH(BU$3,$AR$3:$AY$3,0),FALSE),1)</f>
        <v>7.4</v>
      </c>
      <c r="BV259" s="2">
        <f>IF(VLOOKUP(BJ259,坦克个性化设定!$B$18:$BC$48,MATCH("装弹类型",坦克个性化设定!$B$18:$BC$18,0),FALSE)="弹夹换弹",0,ROUND(VLOOKUP($BJ259,$AI$3:$AO$33,MATCH("换弹时间",$AI$3:$AO$3,0),FALSE)-$BL259/VLOOKUP(VLOOKUP($BJ259,坦克个性化设定!$B$18:$E$48,4,FALSE)&amp;$BK259,坦克属性分配比例,MATCH("升星次数",坦克属性分配比例标头,0),FALSE)*VLOOKUP($BJ259,$AR$3:$AY$33,MATCH("换弹时间",$AR$3:$AY$3,0),FALSE),2))</f>
        <v>3.46</v>
      </c>
      <c r="BW259" s="2">
        <f>IF(VLOOKUP(BJ259,坦克个性化设定!$B$18:$BC$48,MATCH("装弹类型",坦克个性化设定!$B$18:$BC$18,0),FALSE)="弹夹换弹",ROUND(VLOOKUP($BJ259,$AI$3:$AO$33,MATCH("换弹时间",$AI$3:$AO$3,0),FALSE)-$BL259/VLOOKUP(VLOOKUP($BJ259,坦克个性化设定!$B$18:$E$48,4,FALSE)&amp;$BK259,坦克属性分配比例,MATCH("升星次数",坦克属性分配比例标头,0),FALSE)*VLOOKUP($BJ259,$AR$3:$AY$33,MATCH("换弹时间",$AR$3:$AY$3,0),FALSE),1),0)</f>
        <v>0</v>
      </c>
      <c r="BX259" s="2">
        <f>ROUND(VLOOKUP($BJ259,$AI$3:$AO$33,MATCH(BX$3,$AI$3:$AO$3,0),FALSE)+$BL259/VLOOKUP(VLOOKUP($BJ259,坦克个性化设定!$B$18:$E$48,4,FALSE)&amp;$BK259,坦克属性分配比例,MATCH("升星次数",坦克属性分配比例标头,0),FALSE)*VLOOKUP($BJ259,$AR$3:$AY$33,MATCH(BX$3,$AR$3:$AY$3,0),FALSE),2)</f>
        <v>2</v>
      </c>
      <c r="BY259" s="2">
        <f>ROUND(VLOOKUP($BJ259,$AI$3:$AO$33,MATCH(BY$3,$AI$3:$AO$3,0),FALSE)-$BL259/VLOOKUP(VLOOKUP($BJ259,坦克个性化设定!$B$18:$E$48,4,FALSE)&amp;$BK259,坦克属性分配比例,MATCH("升星次数",坦克属性分配比例标头,0),FALSE)*VLOOKUP($BJ259,$AR$3:$AY$33,MATCH(BY$3,$AR$3:$AY$3,0),FALSE),2)</f>
        <v>1.88</v>
      </c>
    </row>
    <row r="260" spans="60:77" x14ac:dyDescent="0.3">
      <c r="BH260" s="2" t="str">
        <f t="shared" si="35"/>
        <v>征服者0</v>
      </c>
      <c r="BI260" s="2">
        <f>IF(BL259&gt;=VLOOKUP(VLOOKUP(BJ259,坦克个性化设定!$B$18:$E$48,4,FALSE)&amp;BK259,坦克属性分配比例,MATCH("升星次数",坦克属性分配比例标头,0),FALSE),BI259+1,BI259)</f>
        <v>27</v>
      </c>
      <c r="BJ260" s="2" t="str">
        <f t="shared" si="36"/>
        <v>征服者</v>
      </c>
      <c r="BK260" s="29" t="str">
        <f>VLOOKUP(BJ260,坦克个性化细分!$I$3:$J$33,2,FALSE)</f>
        <v>低</v>
      </c>
      <c r="BL260" s="2">
        <f t="shared" si="37"/>
        <v>0</v>
      </c>
      <c r="BM260" s="103">
        <f ca="1">ROUND(VLOOKUP($BJ260&amp;"初始",$S$3:$AE$63,MATCH(BM$3,$S$3:$AE$3,0),FALSE)+((VLOOKUP($BJ260&amp;"最终",$S$3:$AE$63,MATCH(BM$3,$S$3:$AE$3,0),FALSE)*坦克个性化细分!$C$9-VLOOKUP($BJ260&amp;"初始",$S$3:$AE$63,MATCH(BM$3,$S$3:$AE$3,0),FALSE))-(VLOOKUP($BJ260&amp;"最终",$S$3:$AE$63,MATCH(BM$3,$S$3:$AE$3,0),FALSE)-VLOOKUP($BJ260&amp;"初始",$S$3:$AE$63,MATCH(BM$3,$S$3:$AE$3,0),FALSE))*VLOOKUP(VLOOKUP($BJ260,坦克个性化设定!$B$18:$E$48,4,FALSE)&amp;$BK260,坦克属性分配比例,MATCH("部件比例",坦克属性分配比例标头,0),FALSE))*$BL260/VLOOKUP(VLOOKUP($BJ260,坦克个性化设定!$B$18:$E$48,4,FALSE)&amp;$BK260,坦克属性分配比例,MATCH("升星次数",坦克属性分配比例标头,0),FALSE),0)</f>
        <v>2022</v>
      </c>
      <c r="BN260" s="103">
        <f ca="1">ROUND(VLOOKUP($BJ260&amp;"初始",$S$3:$AE$63,MATCH(BN$3,$S$3:$AE$3,0),FALSE)+(VLOOKUP($BJ260&amp;"最终",$S$3:$AE$63,MATCH(BN$3,$S$3:$AE$3,0),FALSE)-VLOOKUP($BJ260&amp;"初始",$S$3:$AE$63,MATCH(BN$3,$S$3:$AE$3,0),FALSE))*$BL260/VLOOKUP(VLOOKUP($BJ260,坦克个性化设定!$B$18:$E$48,4,FALSE)&amp;$BK260,坦克属性分配比例,MATCH("升星次数",坦克属性分配比例标头,0),FALSE)*VLOOKUP(VLOOKUP($BJ260,坦克个性化设定!$B$18:$E$48,4,FALSE)&amp;$BK260,坦克属性分配比例,MATCH("升星比例",坦克属性分配比例标头,0),FALSE),0)</f>
        <v>632</v>
      </c>
      <c r="BO260" s="103">
        <f ca="1">ROUND(VLOOKUP($BJ260&amp;"初始",$S$3:$AE$63,MATCH(BO$3,$S$3:$AE$3,0),FALSE)+(VLOOKUP($BJ260&amp;"最终",$S$3:$AE$63,MATCH(BO$3,$S$3:$AE$3,0),FALSE)-VLOOKUP($BJ260&amp;"初始",$S$3:$AE$63,MATCH(BO$3,$S$3:$AE$3,0),FALSE))*$BL260/VLOOKUP(VLOOKUP($BJ260,坦克个性化设定!$B$18:$E$48,4,FALSE)&amp;$BK260,坦克属性分配比例,MATCH("升星次数",坦克属性分配比例标头,0),FALSE)*(VLOOKUP(VLOOKUP($BJ260,坦克个性化设定!$B$18:$E$48,4,FALSE)&amp;$BK260,坦克属性分配比例,MATCH("升星比例",坦克属性分配比例标头,0),FALSE)+VLOOKUP(VLOOKUP($BJ260,坦克个性化设定!$B$18:$E$48,4,FALSE)&amp;$BK260,坦克属性分配比例,MATCH("部件比例",坦克属性分配比例标头,0),FALSE)*$C$3),0)</f>
        <v>603</v>
      </c>
      <c r="BP260" s="103">
        <f ca="1">ROUND(VLOOKUP($BJ260&amp;"初始",$S$3:$AE$63,MATCH(BP$3,$S$3:$AE$3,0),FALSE)+(VLOOKUP($BJ260&amp;"最终",$S$3:$AE$63,MATCH(BP$3,$S$3:$AE$3,0),FALSE)-VLOOKUP($BJ260&amp;"初始",$S$3:$AE$63,MATCH(BP$3,$S$3:$AE$3,0),FALSE))*$BL260/VLOOKUP(VLOOKUP($BJ260,坦克个性化设定!$B$18:$E$48,4,FALSE)&amp;$BK260,坦克属性分配比例,MATCH("升星次数",坦克属性分配比例标头,0),FALSE)*(VLOOKUP(VLOOKUP($BJ260,坦克个性化设定!$B$18:$E$48,4,FALSE)&amp;$BK260,坦克属性分配比例,MATCH("升星比例",坦克属性分配比例标头,0),FALSE)+VLOOKUP(VLOOKUP($BJ260,坦克个性化设定!$B$18:$E$48,4,FALSE)&amp;$BK260,坦克属性分配比例,MATCH("部件比例",坦克属性分配比例标头,0),FALSE)*$C$3),0)</f>
        <v>483</v>
      </c>
      <c r="BQ260" s="103">
        <f ca="1">ROUND(VLOOKUP($BJ260&amp;"初始",$S$3:$AE$63,MATCH(BQ$3,$S$3:$AE$3,0),FALSE)+(VLOOKUP($BJ260&amp;"最终",$S$3:$AE$63,MATCH(BQ$3,$S$3:$AE$3,0),FALSE)-VLOOKUP($BJ260&amp;"初始",$S$3:$AE$63,MATCH(BQ$3,$S$3:$AE$3,0),FALSE))*$BL260/VLOOKUP(VLOOKUP($BJ260,坦克个性化设定!$B$18:$E$48,4,FALSE)&amp;$BK260,坦克属性分配比例,MATCH("升星次数",坦克属性分配比例标头,0),FALSE)*VLOOKUP(VLOOKUP($BJ260,坦克个性化设定!$B$18:$E$48,4,FALSE)&amp;$BK260,坦克属性分配比例,MATCH("升星比例",坦克属性分配比例标头,0),FALSE),0)</f>
        <v>806</v>
      </c>
      <c r="BR260" s="2">
        <f ca="1">ROUND(VLOOKUP($BJ260&amp;"初始",$S$3:$AE$63,MATCH(BR$3,$S$3:$AE$3,0),FALSE)+(VLOOKUP($BJ260&amp;"最终",$S$3:$AE$63,MATCH(BR$3,$S$3:$AE$3,0),FALSE)-VLOOKUP($BJ260&amp;"初始",$S$3:$AE$63,MATCH(BR$3,$S$3:$AE$3,0),FALSE))*$BL260/VLOOKUP(VLOOKUP($BJ260,坦克个性化设定!$B$18:$E$48,4,FALSE)&amp;$BK260,坦克属性分配比例,MATCH("升星次数",坦克属性分配比例标头,0),FALSE),0)</f>
        <v>188</v>
      </c>
      <c r="BS260" s="2">
        <f>ROUND(VLOOKUP($BJ260,$AI$3:$AO$33,MATCH(BS$3,$AI$3:$AO$3,0),FALSE)+$BL260/VLOOKUP(VLOOKUP($BJ260,坦克个性化设定!$B$18:$E$48,4,FALSE)&amp;$BK260,坦克属性分配比例,MATCH("升星次数",坦克属性分配比例标头,0),FALSE)*VLOOKUP($BJ260,$AR$3:$AY$33,MATCH(BS$3,$AR$3:$AY$3,0),FALSE),1)</f>
        <v>30.7</v>
      </c>
      <c r="BT260" s="2">
        <f>ROUND(VLOOKUP($BJ260,$AI$3:$AO$33,MATCH(BT$3,$AI$3:$AO$3,0),FALSE)+$BL260/VLOOKUP(VLOOKUP($BJ260,坦克个性化设定!$B$18:$E$48,4,FALSE)&amp;$BK260,坦克属性分配比例,MATCH("升星次数",坦克属性分配比例标头,0),FALSE)*VLOOKUP($BJ260,$AR$3:$AY$33,MATCH(BT$3,$AR$3:$AY$3,0),FALSE),1)</f>
        <v>35</v>
      </c>
      <c r="BU260" s="2">
        <f>ROUND(VLOOKUP($BJ260,$AI$3:$AO$33,MATCH(BU$3,$AI$3:$AO$3,0),FALSE)+$BL260/VLOOKUP(VLOOKUP($BJ260,坦克个性化设定!$B$18:$E$48,4,FALSE)&amp;$BK260,坦克属性分配比例,MATCH("升星次数",坦克属性分配比例标头,0),FALSE)*VLOOKUP($BJ260,$AR$3:$AY$33,MATCH(BU$3,$AR$3:$AY$3,0),FALSE),1)</f>
        <v>6.3</v>
      </c>
      <c r="BV260" s="2">
        <f>IF(VLOOKUP(BJ260,坦克个性化设定!$B$18:$BC$48,MATCH("装弹类型",坦克个性化设定!$B$18:$BC$18,0),FALSE)="弹夹换弹",0,ROUND(VLOOKUP($BJ260,$AI$3:$AO$33,MATCH("换弹时间",$AI$3:$AO$3,0),FALSE)-$BL260/VLOOKUP(VLOOKUP($BJ260,坦克个性化设定!$B$18:$E$48,4,FALSE)&amp;$BK260,坦克属性分配比例,MATCH("升星次数",坦克属性分配比例标头,0),FALSE)*VLOOKUP($BJ260,$AR$3:$AY$33,MATCH("换弹时间",$AR$3:$AY$3,0),FALSE),2))</f>
        <v>6</v>
      </c>
      <c r="BW260" s="2">
        <f>IF(VLOOKUP(BJ260,坦克个性化设定!$B$18:$BC$48,MATCH("装弹类型",坦克个性化设定!$B$18:$BC$18,0),FALSE)="弹夹换弹",ROUND(VLOOKUP($BJ260,$AI$3:$AO$33,MATCH("换弹时间",$AI$3:$AO$3,0),FALSE)-$BL260/VLOOKUP(VLOOKUP($BJ260,坦克个性化设定!$B$18:$E$48,4,FALSE)&amp;$BK260,坦克属性分配比例,MATCH("升星次数",坦克属性分配比例标头,0),FALSE)*VLOOKUP($BJ260,$AR$3:$AY$33,MATCH("换弹时间",$AR$3:$AY$3,0),FALSE),1),0)</f>
        <v>0</v>
      </c>
      <c r="BX260" s="2">
        <f>ROUND(VLOOKUP($BJ260,$AI$3:$AO$33,MATCH(BX$3,$AI$3:$AO$3,0),FALSE)+$BL260/VLOOKUP(VLOOKUP($BJ260,坦克个性化设定!$B$18:$E$48,4,FALSE)&amp;$BK260,坦克属性分配比例,MATCH("升星次数",坦克属性分配比例标头,0),FALSE)*VLOOKUP($BJ260,$AR$3:$AY$33,MATCH(BX$3,$AR$3:$AY$3,0),FALSE),2)</f>
        <v>0</v>
      </c>
      <c r="BY260" s="2">
        <f>ROUND(VLOOKUP($BJ260,$AI$3:$AO$33,MATCH(BY$3,$AI$3:$AO$3,0),FALSE)-$BL260/VLOOKUP(VLOOKUP($BJ260,坦克个性化设定!$B$18:$E$48,4,FALSE)&amp;$BK260,坦克属性分配比例,MATCH("升星次数",坦克属性分配比例标头,0),FALSE)*VLOOKUP($BJ260,$AR$3:$AY$33,MATCH(BY$3,$AR$3:$AY$3,0),FALSE),2)</f>
        <v>3</v>
      </c>
    </row>
    <row r="261" spans="60:77" x14ac:dyDescent="0.3">
      <c r="BH261" s="2" t="str">
        <f t="shared" si="35"/>
        <v>征服者1</v>
      </c>
      <c r="BI261" s="2">
        <f>IF(BL260&gt;=VLOOKUP(VLOOKUP(BJ260,坦克个性化设定!$B$18:$E$48,4,FALSE)&amp;BK260,坦克属性分配比例,MATCH("升星次数",坦克属性分配比例标头,0),FALSE),BI260+1,BI260)</f>
        <v>27</v>
      </c>
      <c r="BJ261" s="2" t="str">
        <f t="shared" si="36"/>
        <v>征服者</v>
      </c>
      <c r="BK261" s="29" t="str">
        <f>VLOOKUP(BJ261,坦克个性化细分!$I$3:$J$33,2,FALSE)</f>
        <v>低</v>
      </c>
      <c r="BL261" s="2">
        <f t="shared" si="37"/>
        <v>1</v>
      </c>
      <c r="BM261" s="103">
        <f ca="1">ROUND(VLOOKUP($BJ261&amp;"初始",$S$3:$AE$63,MATCH(BM$3,$S$3:$AE$3,0),FALSE)+((VLOOKUP($BJ261&amp;"最终",$S$3:$AE$63,MATCH(BM$3,$S$3:$AE$3,0),FALSE)*坦克个性化细分!$C$9-VLOOKUP($BJ261&amp;"初始",$S$3:$AE$63,MATCH(BM$3,$S$3:$AE$3,0),FALSE))-(VLOOKUP($BJ261&amp;"最终",$S$3:$AE$63,MATCH(BM$3,$S$3:$AE$3,0),FALSE)-VLOOKUP($BJ261&amp;"初始",$S$3:$AE$63,MATCH(BM$3,$S$3:$AE$3,0),FALSE))*VLOOKUP(VLOOKUP($BJ261,坦克个性化设定!$B$18:$E$48,4,FALSE)&amp;$BK261,坦克属性分配比例,MATCH("部件比例",坦克属性分配比例标头,0),FALSE))*$BL261/VLOOKUP(VLOOKUP($BJ261,坦克个性化设定!$B$18:$E$48,4,FALSE)&amp;$BK261,坦克属性分配比例,MATCH("升星次数",坦克属性分配比例标头,0),FALSE),0)</f>
        <v>2106</v>
      </c>
      <c r="BN261" s="103">
        <f ca="1">ROUND(VLOOKUP($BJ261&amp;"初始",$S$3:$AE$63,MATCH(BN$3,$S$3:$AE$3,0),FALSE)+(VLOOKUP($BJ261&amp;"最终",$S$3:$AE$63,MATCH(BN$3,$S$3:$AE$3,0),FALSE)-VLOOKUP($BJ261&amp;"初始",$S$3:$AE$63,MATCH(BN$3,$S$3:$AE$3,0),FALSE))*$BL261/VLOOKUP(VLOOKUP($BJ261,坦克个性化设定!$B$18:$E$48,4,FALSE)&amp;$BK261,坦克属性分配比例,MATCH("升星次数",坦克属性分配比例标头,0),FALSE)*VLOOKUP(VLOOKUP($BJ261,坦克个性化设定!$B$18:$E$48,4,FALSE)&amp;$BK261,坦克属性分配比例,MATCH("升星比例",坦克属性分配比例标头,0),FALSE),0)</f>
        <v>647</v>
      </c>
      <c r="BO261" s="103">
        <f ca="1">ROUND(VLOOKUP($BJ261&amp;"初始",$S$3:$AE$63,MATCH(BO$3,$S$3:$AE$3,0),FALSE)+(VLOOKUP($BJ261&amp;"最终",$S$3:$AE$63,MATCH(BO$3,$S$3:$AE$3,0),FALSE)-VLOOKUP($BJ261&amp;"初始",$S$3:$AE$63,MATCH(BO$3,$S$3:$AE$3,0),FALSE))*$BL261/VLOOKUP(VLOOKUP($BJ261,坦克个性化设定!$B$18:$E$48,4,FALSE)&amp;$BK261,坦克属性分配比例,MATCH("升星次数",坦克属性分配比例标头,0),FALSE)*(VLOOKUP(VLOOKUP($BJ261,坦克个性化设定!$B$18:$E$48,4,FALSE)&amp;$BK261,坦克属性分配比例,MATCH("升星比例",坦克属性分配比例标头,0),FALSE)+VLOOKUP(VLOOKUP($BJ261,坦克个性化设定!$B$18:$E$48,4,FALSE)&amp;$BK261,坦克属性分配比例,MATCH("部件比例",坦克属性分配比例标头,0),FALSE)*$C$3),0)</f>
        <v>624</v>
      </c>
      <c r="BP261" s="103">
        <f ca="1">ROUND(VLOOKUP($BJ261&amp;"初始",$S$3:$AE$63,MATCH(BP$3,$S$3:$AE$3,0),FALSE)+(VLOOKUP($BJ261&amp;"最终",$S$3:$AE$63,MATCH(BP$3,$S$3:$AE$3,0),FALSE)-VLOOKUP($BJ261&amp;"初始",$S$3:$AE$63,MATCH(BP$3,$S$3:$AE$3,0),FALSE))*$BL261/VLOOKUP(VLOOKUP($BJ261,坦克个性化设定!$B$18:$E$48,4,FALSE)&amp;$BK261,坦克属性分配比例,MATCH("升星次数",坦克属性分配比例标头,0),FALSE)*(VLOOKUP(VLOOKUP($BJ261,坦克个性化设定!$B$18:$E$48,4,FALSE)&amp;$BK261,坦克属性分配比例,MATCH("升星比例",坦克属性分配比例标头,0),FALSE)+VLOOKUP(VLOOKUP($BJ261,坦克个性化设定!$B$18:$E$48,4,FALSE)&amp;$BK261,坦克属性分配比例,MATCH("部件比例",坦克属性分配比例标头,0),FALSE)*$C$3),0)</f>
        <v>500</v>
      </c>
      <c r="BQ261" s="103">
        <f ca="1">ROUND(VLOOKUP($BJ261&amp;"初始",$S$3:$AE$63,MATCH(BQ$3,$S$3:$AE$3,0),FALSE)+(VLOOKUP($BJ261&amp;"最终",$S$3:$AE$63,MATCH(BQ$3,$S$3:$AE$3,0),FALSE)-VLOOKUP($BJ261&amp;"初始",$S$3:$AE$63,MATCH(BQ$3,$S$3:$AE$3,0),FALSE))*$BL261/VLOOKUP(VLOOKUP($BJ261,坦克个性化设定!$B$18:$E$48,4,FALSE)&amp;$BK261,坦克属性分配比例,MATCH("升星次数",坦克属性分配比例标头,0),FALSE)*VLOOKUP(VLOOKUP($BJ261,坦克个性化设定!$B$18:$E$48,4,FALSE)&amp;$BK261,坦克属性分配比例,MATCH("升星比例",坦克属性分配比例标头,0),FALSE),0)</f>
        <v>825</v>
      </c>
      <c r="BR261" s="2">
        <f ca="1">ROUND(VLOOKUP($BJ261&amp;"初始",$S$3:$AE$63,MATCH(BR$3,$S$3:$AE$3,0),FALSE)+(VLOOKUP($BJ261&amp;"最终",$S$3:$AE$63,MATCH(BR$3,$S$3:$AE$3,0),FALSE)-VLOOKUP($BJ261&amp;"初始",$S$3:$AE$63,MATCH(BR$3,$S$3:$AE$3,0),FALSE))*$BL261/VLOOKUP(VLOOKUP($BJ261,坦克个性化设定!$B$18:$E$48,4,FALSE)&amp;$BK261,坦克属性分配比例,MATCH("升星次数",坦克属性分配比例标头,0),FALSE),0)</f>
        <v>196</v>
      </c>
      <c r="BS261" s="2">
        <f>ROUND(VLOOKUP($BJ261,$AI$3:$AO$33,MATCH(BS$3,$AI$3:$AO$3,0),FALSE)+$BL261/VLOOKUP(VLOOKUP($BJ261,坦克个性化设定!$B$18:$E$48,4,FALSE)&amp;$BK261,坦克属性分配比例,MATCH("升星次数",坦克属性分配比例标头,0),FALSE)*VLOOKUP($BJ261,$AR$3:$AY$33,MATCH(BS$3,$AR$3:$AY$3,0),FALSE),1)</f>
        <v>31.4</v>
      </c>
      <c r="BT261" s="2">
        <f>ROUND(VLOOKUP($BJ261,$AI$3:$AO$33,MATCH(BT$3,$AI$3:$AO$3,0),FALSE)+$BL261/VLOOKUP(VLOOKUP($BJ261,坦克个性化设定!$B$18:$E$48,4,FALSE)&amp;$BK261,坦克属性分配比例,MATCH("升星次数",坦克属性分配比例标头,0),FALSE)*VLOOKUP($BJ261,$AR$3:$AY$33,MATCH(BT$3,$AR$3:$AY$3,0),FALSE),1)</f>
        <v>35.799999999999997</v>
      </c>
      <c r="BU261" s="2">
        <f>ROUND(VLOOKUP($BJ261,$AI$3:$AO$33,MATCH(BU$3,$AI$3:$AO$3,0),FALSE)+$BL261/VLOOKUP(VLOOKUP($BJ261,坦克个性化设定!$B$18:$E$48,4,FALSE)&amp;$BK261,坦克属性分配比例,MATCH("升星次数",坦克属性分配比例标头,0),FALSE)*VLOOKUP($BJ261,$AR$3:$AY$33,MATCH(BU$3,$AR$3:$AY$3,0),FALSE),1)</f>
        <v>6.3</v>
      </c>
      <c r="BV261" s="2">
        <f>IF(VLOOKUP(BJ261,坦克个性化设定!$B$18:$BC$48,MATCH("装弹类型",坦克个性化设定!$B$18:$BC$18,0),FALSE)="弹夹换弹",0,ROUND(VLOOKUP($BJ261,$AI$3:$AO$33,MATCH("换弹时间",$AI$3:$AO$3,0),FALSE)-$BL261/VLOOKUP(VLOOKUP($BJ261,坦克个性化设定!$B$18:$E$48,4,FALSE)&amp;$BK261,坦克属性分配比例,MATCH("升星次数",坦克属性分配比例标头,0),FALSE)*VLOOKUP($BJ261,$AR$3:$AY$33,MATCH("换弹时间",$AR$3:$AY$3,0),FALSE),2))</f>
        <v>5.92</v>
      </c>
      <c r="BW261" s="2">
        <f>IF(VLOOKUP(BJ261,坦克个性化设定!$B$18:$BC$48,MATCH("装弹类型",坦克个性化设定!$B$18:$BC$18,0),FALSE)="弹夹换弹",ROUND(VLOOKUP($BJ261,$AI$3:$AO$33,MATCH("换弹时间",$AI$3:$AO$3,0),FALSE)-$BL261/VLOOKUP(VLOOKUP($BJ261,坦克个性化设定!$B$18:$E$48,4,FALSE)&amp;$BK261,坦克属性分配比例,MATCH("升星次数",坦克属性分配比例标头,0),FALSE)*VLOOKUP($BJ261,$AR$3:$AY$33,MATCH("换弹时间",$AR$3:$AY$3,0),FALSE),1),0)</f>
        <v>0</v>
      </c>
      <c r="BX261" s="2">
        <f>ROUND(VLOOKUP($BJ261,$AI$3:$AO$33,MATCH(BX$3,$AI$3:$AO$3,0),FALSE)+$BL261/VLOOKUP(VLOOKUP($BJ261,坦克个性化设定!$B$18:$E$48,4,FALSE)&amp;$BK261,坦克属性分配比例,MATCH("升星次数",坦克属性分配比例标头,0),FALSE)*VLOOKUP($BJ261,$AR$3:$AY$33,MATCH(BX$3,$AR$3:$AY$3,0),FALSE),2)</f>
        <v>0</v>
      </c>
      <c r="BY261" s="2">
        <f>ROUND(VLOOKUP($BJ261,$AI$3:$AO$33,MATCH(BY$3,$AI$3:$AO$3,0),FALSE)-$BL261/VLOOKUP(VLOOKUP($BJ261,坦克个性化设定!$B$18:$E$48,4,FALSE)&amp;$BK261,坦克属性分配比例,MATCH("升星次数",坦克属性分配比例标头,0),FALSE)*VLOOKUP($BJ261,$AR$3:$AY$33,MATCH(BY$3,$AR$3:$AY$3,0),FALSE),2)</f>
        <v>2.95</v>
      </c>
    </row>
    <row r="262" spans="60:77" x14ac:dyDescent="0.3">
      <c r="BH262" s="2" t="str">
        <f t="shared" si="35"/>
        <v>征服者2</v>
      </c>
      <c r="BI262" s="2">
        <f>IF(BL261&gt;=VLOOKUP(VLOOKUP(BJ261,坦克个性化设定!$B$18:$E$48,4,FALSE)&amp;BK261,坦克属性分配比例,MATCH("升星次数",坦克属性分配比例标头,0),FALSE),BI261+1,BI261)</f>
        <v>27</v>
      </c>
      <c r="BJ262" s="2" t="str">
        <f t="shared" si="36"/>
        <v>征服者</v>
      </c>
      <c r="BK262" s="29" t="str">
        <f>VLOOKUP(BJ262,坦克个性化细分!$I$3:$J$33,2,FALSE)</f>
        <v>低</v>
      </c>
      <c r="BL262" s="2">
        <f t="shared" si="37"/>
        <v>2</v>
      </c>
      <c r="BM262" s="103">
        <f ca="1">ROUND(VLOOKUP($BJ262&amp;"初始",$S$3:$AE$63,MATCH(BM$3,$S$3:$AE$3,0),FALSE)+((VLOOKUP($BJ262&amp;"最终",$S$3:$AE$63,MATCH(BM$3,$S$3:$AE$3,0),FALSE)*坦克个性化细分!$C$9-VLOOKUP($BJ262&amp;"初始",$S$3:$AE$63,MATCH(BM$3,$S$3:$AE$3,0),FALSE))-(VLOOKUP($BJ262&amp;"最终",$S$3:$AE$63,MATCH(BM$3,$S$3:$AE$3,0),FALSE)-VLOOKUP($BJ262&amp;"初始",$S$3:$AE$63,MATCH(BM$3,$S$3:$AE$3,0),FALSE))*VLOOKUP(VLOOKUP($BJ262,坦克个性化设定!$B$18:$E$48,4,FALSE)&amp;$BK262,坦克属性分配比例,MATCH("部件比例",坦克属性分配比例标头,0),FALSE))*$BL262/VLOOKUP(VLOOKUP($BJ262,坦克个性化设定!$B$18:$E$48,4,FALSE)&amp;$BK262,坦克属性分配比例,MATCH("升星次数",坦克属性分配比例标头,0),FALSE),0)</f>
        <v>2190</v>
      </c>
      <c r="BN262" s="103">
        <f ca="1">ROUND(VLOOKUP($BJ262&amp;"初始",$S$3:$AE$63,MATCH(BN$3,$S$3:$AE$3,0),FALSE)+(VLOOKUP($BJ262&amp;"最终",$S$3:$AE$63,MATCH(BN$3,$S$3:$AE$3,0),FALSE)-VLOOKUP($BJ262&amp;"初始",$S$3:$AE$63,MATCH(BN$3,$S$3:$AE$3,0),FALSE))*$BL262/VLOOKUP(VLOOKUP($BJ262,坦克个性化设定!$B$18:$E$48,4,FALSE)&amp;$BK262,坦克属性分配比例,MATCH("升星次数",坦克属性分配比例标头,0),FALSE)*VLOOKUP(VLOOKUP($BJ262,坦克个性化设定!$B$18:$E$48,4,FALSE)&amp;$BK262,坦克属性分配比例,MATCH("升星比例",坦克属性分配比例标头,0),FALSE),0)</f>
        <v>662</v>
      </c>
      <c r="BO262" s="103">
        <f ca="1">ROUND(VLOOKUP($BJ262&amp;"初始",$S$3:$AE$63,MATCH(BO$3,$S$3:$AE$3,0),FALSE)+(VLOOKUP($BJ262&amp;"最终",$S$3:$AE$63,MATCH(BO$3,$S$3:$AE$3,0),FALSE)-VLOOKUP($BJ262&amp;"初始",$S$3:$AE$63,MATCH(BO$3,$S$3:$AE$3,0),FALSE))*$BL262/VLOOKUP(VLOOKUP($BJ262,坦克个性化设定!$B$18:$E$48,4,FALSE)&amp;$BK262,坦克属性分配比例,MATCH("升星次数",坦克属性分配比例标头,0),FALSE)*(VLOOKUP(VLOOKUP($BJ262,坦克个性化设定!$B$18:$E$48,4,FALSE)&amp;$BK262,坦克属性分配比例,MATCH("升星比例",坦克属性分配比例标头,0),FALSE)+VLOOKUP(VLOOKUP($BJ262,坦克个性化设定!$B$18:$E$48,4,FALSE)&amp;$BK262,坦克属性分配比例,MATCH("部件比例",坦克属性分配比例标头,0),FALSE)*$C$3),0)</f>
        <v>645</v>
      </c>
      <c r="BP262" s="103">
        <f ca="1">ROUND(VLOOKUP($BJ262&amp;"初始",$S$3:$AE$63,MATCH(BP$3,$S$3:$AE$3,0),FALSE)+(VLOOKUP($BJ262&amp;"最终",$S$3:$AE$63,MATCH(BP$3,$S$3:$AE$3,0),FALSE)-VLOOKUP($BJ262&amp;"初始",$S$3:$AE$63,MATCH(BP$3,$S$3:$AE$3,0),FALSE))*$BL262/VLOOKUP(VLOOKUP($BJ262,坦克个性化设定!$B$18:$E$48,4,FALSE)&amp;$BK262,坦克属性分配比例,MATCH("升星次数",坦克属性分配比例标头,0),FALSE)*(VLOOKUP(VLOOKUP($BJ262,坦克个性化设定!$B$18:$E$48,4,FALSE)&amp;$BK262,坦克属性分配比例,MATCH("升星比例",坦克属性分配比例标头,0),FALSE)+VLOOKUP(VLOOKUP($BJ262,坦克个性化设定!$B$18:$E$48,4,FALSE)&amp;$BK262,坦克属性分配比例,MATCH("部件比例",坦克属性分配比例标头,0),FALSE)*$C$3),0)</f>
        <v>517</v>
      </c>
      <c r="BQ262" s="103">
        <f ca="1">ROUND(VLOOKUP($BJ262&amp;"初始",$S$3:$AE$63,MATCH(BQ$3,$S$3:$AE$3,0),FALSE)+(VLOOKUP($BJ262&amp;"最终",$S$3:$AE$63,MATCH(BQ$3,$S$3:$AE$3,0),FALSE)-VLOOKUP($BJ262&amp;"初始",$S$3:$AE$63,MATCH(BQ$3,$S$3:$AE$3,0),FALSE))*$BL262/VLOOKUP(VLOOKUP($BJ262,坦克个性化设定!$B$18:$E$48,4,FALSE)&amp;$BK262,坦克属性分配比例,MATCH("升星次数",坦克属性分配比例标头,0),FALSE)*VLOOKUP(VLOOKUP($BJ262,坦克个性化设定!$B$18:$E$48,4,FALSE)&amp;$BK262,坦克属性分配比例,MATCH("升星比例",坦克属性分配比例标头,0),FALSE),0)</f>
        <v>844</v>
      </c>
      <c r="BR262" s="2">
        <f ca="1">ROUND(VLOOKUP($BJ262&amp;"初始",$S$3:$AE$63,MATCH(BR$3,$S$3:$AE$3,0),FALSE)+(VLOOKUP($BJ262&amp;"最终",$S$3:$AE$63,MATCH(BR$3,$S$3:$AE$3,0),FALSE)-VLOOKUP($BJ262&amp;"初始",$S$3:$AE$63,MATCH(BR$3,$S$3:$AE$3,0),FALSE))*$BL262/VLOOKUP(VLOOKUP($BJ262,坦克个性化设定!$B$18:$E$48,4,FALSE)&amp;$BK262,坦克属性分配比例,MATCH("升星次数",坦克属性分配比例标头,0),FALSE),0)</f>
        <v>204</v>
      </c>
      <c r="BS262" s="2">
        <f>ROUND(VLOOKUP($BJ262,$AI$3:$AO$33,MATCH(BS$3,$AI$3:$AO$3,0),FALSE)+$BL262/VLOOKUP(VLOOKUP($BJ262,坦克个性化设定!$B$18:$E$48,4,FALSE)&amp;$BK262,坦克属性分配比例,MATCH("升星次数",坦克属性分配比例标头,0),FALSE)*VLOOKUP($BJ262,$AR$3:$AY$33,MATCH(BS$3,$AR$3:$AY$3,0),FALSE),1)</f>
        <v>32.1</v>
      </c>
      <c r="BT262" s="2">
        <f>ROUND(VLOOKUP($BJ262,$AI$3:$AO$33,MATCH(BT$3,$AI$3:$AO$3,0),FALSE)+$BL262/VLOOKUP(VLOOKUP($BJ262,坦克个性化设定!$B$18:$E$48,4,FALSE)&amp;$BK262,坦克属性分配比例,MATCH("升星次数",坦克属性分配比例标头,0),FALSE)*VLOOKUP($BJ262,$AR$3:$AY$33,MATCH(BT$3,$AR$3:$AY$3,0),FALSE),1)</f>
        <v>36.6</v>
      </c>
      <c r="BU262" s="2">
        <f>ROUND(VLOOKUP($BJ262,$AI$3:$AO$33,MATCH(BU$3,$AI$3:$AO$3,0),FALSE)+$BL262/VLOOKUP(VLOOKUP($BJ262,坦克个性化设定!$B$18:$E$48,4,FALSE)&amp;$BK262,坦克属性分配比例,MATCH("升星次数",坦克属性分配比例标头,0),FALSE)*VLOOKUP($BJ262,$AR$3:$AY$33,MATCH(BU$3,$AR$3:$AY$3,0),FALSE),1)</f>
        <v>6.3</v>
      </c>
      <c r="BV262" s="2">
        <f>IF(VLOOKUP(BJ262,坦克个性化设定!$B$18:$BC$48,MATCH("装弹类型",坦克个性化设定!$B$18:$BC$18,0),FALSE)="弹夹换弹",0,ROUND(VLOOKUP($BJ262,$AI$3:$AO$33,MATCH("换弹时间",$AI$3:$AO$3,0),FALSE)-$BL262/VLOOKUP(VLOOKUP($BJ262,坦克个性化设定!$B$18:$E$48,4,FALSE)&amp;$BK262,坦克属性分配比例,MATCH("升星次数",坦克属性分配比例标头,0),FALSE)*VLOOKUP($BJ262,$AR$3:$AY$33,MATCH("换弹时间",$AR$3:$AY$3,0),FALSE),2))</f>
        <v>5.85</v>
      </c>
      <c r="BW262" s="2">
        <f>IF(VLOOKUP(BJ262,坦克个性化设定!$B$18:$BC$48,MATCH("装弹类型",坦克个性化设定!$B$18:$BC$18,0),FALSE)="弹夹换弹",ROUND(VLOOKUP($BJ262,$AI$3:$AO$33,MATCH("换弹时间",$AI$3:$AO$3,0),FALSE)-$BL262/VLOOKUP(VLOOKUP($BJ262,坦克个性化设定!$B$18:$E$48,4,FALSE)&amp;$BK262,坦克属性分配比例,MATCH("升星次数",坦克属性分配比例标头,0),FALSE)*VLOOKUP($BJ262,$AR$3:$AY$33,MATCH("换弹时间",$AR$3:$AY$3,0),FALSE),1),0)</f>
        <v>0</v>
      </c>
      <c r="BX262" s="2">
        <f>ROUND(VLOOKUP($BJ262,$AI$3:$AO$33,MATCH(BX$3,$AI$3:$AO$3,0),FALSE)+$BL262/VLOOKUP(VLOOKUP($BJ262,坦克个性化设定!$B$18:$E$48,4,FALSE)&amp;$BK262,坦克属性分配比例,MATCH("升星次数",坦克属性分配比例标头,0),FALSE)*VLOOKUP($BJ262,$AR$3:$AY$33,MATCH(BX$3,$AR$3:$AY$3,0),FALSE),2)</f>
        <v>0</v>
      </c>
      <c r="BY262" s="2">
        <f>ROUND(VLOOKUP($BJ262,$AI$3:$AO$33,MATCH(BY$3,$AI$3:$AO$3,0),FALSE)-$BL262/VLOOKUP(VLOOKUP($BJ262,坦克个性化设定!$B$18:$E$48,4,FALSE)&amp;$BK262,坦克属性分配比例,MATCH("升星次数",坦克属性分配比例标头,0),FALSE)*VLOOKUP($BJ262,$AR$3:$AY$33,MATCH(BY$3,$AR$3:$AY$3,0),FALSE),2)</f>
        <v>2.91</v>
      </c>
    </row>
    <row r="263" spans="60:77" x14ac:dyDescent="0.3">
      <c r="BH263" s="2" t="str">
        <f t="shared" si="35"/>
        <v>征服者3</v>
      </c>
      <c r="BI263" s="2">
        <f>IF(BL262&gt;=VLOOKUP(VLOOKUP(BJ262,坦克个性化设定!$B$18:$E$48,4,FALSE)&amp;BK262,坦克属性分配比例,MATCH("升星次数",坦克属性分配比例标头,0),FALSE),BI262+1,BI262)</f>
        <v>27</v>
      </c>
      <c r="BJ263" s="2" t="str">
        <f t="shared" si="36"/>
        <v>征服者</v>
      </c>
      <c r="BK263" s="29" t="str">
        <f>VLOOKUP(BJ263,坦克个性化细分!$I$3:$J$33,2,FALSE)</f>
        <v>低</v>
      </c>
      <c r="BL263" s="2">
        <f t="shared" si="37"/>
        <v>3</v>
      </c>
      <c r="BM263" s="103">
        <f ca="1">ROUND(VLOOKUP($BJ263&amp;"初始",$S$3:$AE$63,MATCH(BM$3,$S$3:$AE$3,0),FALSE)+((VLOOKUP($BJ263&amp;"最终",$S$3:$AE$63,MATCH(BM$3,$S$3:$AE$3,0),FALSE)*坦克个性化细分!$C$9-VLOOKUP($BJ263&amp;"初始",$S$3:$AE$63,MATCH(BM$3,$S$3:$AE$3,0),FALSE))-(VLOOKUP($BJ263&amp;"最终",$S$3:$AE$63,MATCH(BM$3,$S$3:$AE$3,0),FALSE)-VLOOKUP($BJ263&amp;"初始",$S$3:$AE$63,MATCH(BM$3,$S$3:$AE$3,0),FALSE))*VLOOKUP(VLOOKUP($BJ263,坦克个性化设定!$B$18:$E$48,4,FALSE)&amp;$BK263,坦克属性分配比例,MATCH("部件比例",坦克属性分配比例标头,0),FALSE))*$BL263/VLOOKUP(VLOOKUP($BJ263,坦克个性化设定!$B$18:$E$48,4,FALSE)&amp;$BK263,坦克属性分配比例,MATCH("升星次数",坦克属性分配比例标头,0),FALSE),0)</f>
        <v>2274</v>
      </c>
      <c r="BN263" s="103">
        <f ca="1">ROUND(VLOOKUP($BJ263&amp;"初始",$S$3:$AE$63,MATCH(BN$3,$S$3:$AE$3,0),FALSE)+(VLOOKUP($BJ263&amp;"最终",$S$3:$AE$63,MATCH(BN$3,$S$3:$AE$3,0),FALSE)-VLOOKUP($BJ263&amp;"初始",$S$3:$AE$63,MATCH(BN$3,$S$3:$AE$3,0),FALSE))*$BL263/VLOOKUP(VLOOKUP($BJ263,坦克个性化设定!$B$18:$E$48,4,FALSE)&amp;$BK263,坦克属性分配比例,MATCH("升星次数",坦克属性分配比例标头,0),FALSE)*VLOOKUP(VLOOKUP($BJ263,坦克个性化设定!$B$18:$E$48,4,FALSE)&amp;$BK263,坦克属性分配比例,MATCH("升星比例",坦克属性分配比例标头,0),FALSE),0)</f>
        <v>676</v>
      </c>
      <c r="BO263" s="103">
        <f ca="1">ROUND(VLOOKUP($BJ263&amp;"初始",$S$3:$AE$63,MATCH(BO$3,$S$3:$AE$3,0),FALSE)+(VLOOKUP($BJ263&amp;"最终",$S$3:$AE$63,MATCH(BO$3,$S$3:$AE$3,0),FALSE)-VLOOKUP($BJ263&amp;"初始",$S$3:$AE$63,MATCH(BO$3,$S$3:$AE$3,0),FALSE))*$BL263/VLOOKUP(VLOOKUP($BJ263,坦克个性化设定!$B$18:$E$48,4,FALSE)&amp;$BK263,坦克属性分配比例,MATCH("升星次数",坦克属性分配比例标头,0),FALSE)*(VLOOKUP(VLOOKUP($BJ263,坦克个性化设定!$B$18:$E$48,4,FALSE)&amp;$BK263,坦克属性分配比例,MATCH("升星比例",坦克属性分配比例标头,0),FALSE)+VLOOKUP(VLOOKUP($BJ263,坦克个性化设定!$B$18:$E$48,4,FALSE)&amp;$BK263,坦克属性分配比例,MATCH("部件比例",坦克属性分配比例标头,0),FALSE)*$C$3),0)</f>
        <v>666</v>
      </c>
      <c r="BP263" s="103">
        <f ca="1">ROUND(VLOOKUP($BJ263&amp;"初始",$S$3:$AE$63,MATCH(BP$3,$S$3:$AE$3,0),FALSE)+(VLOOKUP($BJ263&amp;"最终",$S$3:$AE$63,MATCH(BP$3,$S$3:$AE$3,0),FALSE)-VLOOKUP($BJ263&amp;"初始",$S$3:$AE$63,MATCH(BP$3,$S$3:$AE$3,0),FALSE))*$BL263/VLOOKUP(VLOOKUP($BJ263,坦克个性化设定!$B$18:$E$48,4,FALSE)&amp;$BK263,坦克属性分配比例,MATCH("升星次数",坦克属性分配比例标头,0),FALSE)*(VLOOKUP(VLOOKUP($BJ263,坦克个性化设定!$B$18:$E$48,4,FALSE)&amp;$BK263,坦克属性分配比例,MATCH("升星比例",坦克属性分配比例标头,0),FALSE)+VLOOKUP(VLOOKUP($BJ263,坦克个性化设定!$B$18:$E$48,4,FALSE)&amp;$BK263,坦克属性分配比例,MATCH("部件比例",坦克属性分配比例标头,0),FALSE)*$C$3),0)</f>
        <v>534</v>
      </c>
      <c r="BQ263" s="103">
        <f ca="1">ROUND(VLOOKUP($BJ263&amp;"初始",$S$3:$AE$63,MATCH(BQ$3,$S$3:$AE$3,0),FALSE)+(VLOOKUP($BJ263&amp;"最终",$S$3:$AE$63,MATCH(BQ$3,$S$3:$AE$3,0),FALSE)-VLOOKUP($BJ263&amp;"初始",$S$3:$AE$63,MATCH(BQ$3,$S$3:$AE$3,0),FALSE))*$BL263/VLOOKUP(VLOOKUP($BJ263,坦克个性化设定!$B$18:$E$48,4,FALSE)&amp;$BK263,坦克属性分配比例,MATCH("升星次数",坦克属性分配比例标头,0),FALSE)*VLOOKUP(VLOOKUP($BJ263,坦克个性化设定!$B$18:$E$48,4,FALSE)&amp;$BK263,坦克属性分配比例,MATCH("升星比例",坦克属性分配比例标头,0),FALSE),0)</f>
        <v>863</v>
      </c>
      <c r="BR263" s="2">
        <f ca="1">ROUND(VLOOKUP($BJ263&amp;"初始",$S$3:$AE$63,MATCH(BR$3,$S$3:$AE$3,0),FALSE)+(VLOOKUP($BJ263&amp;"最终",$S$3:$AE$63,MATCH(BR$3,$S$3:$AE$3,0),FALSE)-VLOOKUP($BJ263&amp;"初始",$S$3:$AE$63,MATCH(BR$3,$S$3:$AE$3,0),FALSE))*$BL263/VLOOKUP(VLOOKUP($BJ263,坦克个性化设定!$B$18:$E$48,4,FALSE)&amp;$BK263,坦克属性分配比例,MATCH("升星次数",坦克属性分配比例标头,0),FALSE),0)</f>
        <v>212</v>
      </c>
      <c r="BS263" s="2">
        <f>ROUND(VLOOKUP($BJ263,$AI$3:$AO$33,MATCH(BS$3,$AI$3:$AO$3,0),FALSE)+$BL263/VLOOKUP(VLOOKUP($BJ263,坦克个性化设定!$B$18:$E$48,4,FALSE)&amp;$BK263,坦克属性分配比例,MATCH("升星次数",坦克属性分配比例标头,0),FALSE)*VLOOKUP($BJ263,$AR$3:$AY$33,MATCH(BS$3,$AR$3:$AY$3,0),FALSE),1)</f>
        <v>32.799999999999997</v>
      </c>
      <c r="BT263" s="2">
        <f>ROUND(VLOOKUP($BJ263,$AI$3:$AO$33,MATCH(BT$3,$AI$3:$AO$3,0),FALSE)+$BL263/VLOOKUP(VLOOKUP($BJ263,坦克个性化设定!$B$18:$E$48,4,FALSE)&amp;$BK263,坦克属性分配比例,MATCH("升星次数",坦克属性分配比例标头,0),FALSE)*VLOOKUP($BJ263,$AR$3:$AY$33,MATCH(BT$3,$AR$3:$AY$3,0),FALSE),1)</f>
        <v>37.4</v>
      </c>
      <c r="BU263" s="2">
        <f>ROUND(VLOOKUP($BJ263,$AI$3:$AO$33,MATCH(BU$3,$AI$3:$AO$3,0),FALSE)+$BL263/VLOOKUP(VLOOKUP($BJ263,坦克个性化设定!$B$18:$E$48,4,FALSE)&amp;$BK263,坦克属性分配比例,MATCH("升星次数",坦克属性分配比例标头,0),FALSE)*VLOOKUP($BJ263,$AR$3:$AY$33,MATCH(BU$3,$AR$3:$AY$3,0),FALSE),1)</f>
        <v>6.3</v>
      </c>
      <c r="BV263" s="2">
        <f>IF(VLOOKUP(BJ263,坦克个性化设定!$B$18:$BC$48,MATCH("装弹类型",坦克个性化设定!$B$18:$BC$18,0),FALSE)="弹夹换弹",0,ROUND(VLOOKUP($BJ263,$AI$3:$AO$33,MATCH("换弹时间",$AI$3:$AO$3,0),FALSE)-$BL263/VLOOKUP(VLOOKUP($BJ263,坦克个性化设定!$B$18:$E$48,4,FALSE)&amp;$BK263,坦克属性分配比例,MATCH("升星次数",坦克属性分配比例标头,0),FALSE)*VLOOKUP($BJ263,$AR$3:$AY$33,MATCH("换弹时间",$AR$3:$AY$3,0),FALSE),2))</f>
        <v>5.77</v>
      </c>
      <c r="BW263" s="2">
        <f>IF(VLOOKUP(BJ263,坦克个性化设定!$B$18:$BC$48,MATCH("装弹类型",坦克个性化设定!$B$18:$BC$18,0),FALSE)="弹夹换弹",ROUND(VLOOKUP($BJ263,$AI$3:$AO$33,MATCH("换弹时间",$AI$3:$AO$3,0),FALSE)-$BL263/VLOOKUP(VLOOKUP($BJ263,坦克个性化设定!$B$18:$E$48,4,FALSE)&amp;$BK263,坦克属性分配比例,MATCH("升星次数",坦克属性分配比例标头,0),FALSE)*VLOOKUP($BJ263,$AR$3:$AY$33,MATCH("换弹时间",$AR$3:$AY$3,0),FALSE),1),0)</f>
        <v>0</v>
      </c>
      <c r="BX263" s="2">
        <f>ROUND(VLOOKUP($BJ263,$AI$3:$AO$33,MATCH(BX$3,$AI$3:$AO$3,0),FALSE)+$BL263/VLOOKUP(VLOOKUP($BJ263,坦克个性化设定!$B$18:$E$48,4,FALSE)&amp;$BK263,坦克属性分配比例,MATCH("升星次数",坦克属性分配比例标头,0),FALSE)*VLOOKUP($BJ263,$AR$3:$AY$33,MATCH(BX$3,$AR$3:$AY$3,0),FALSE),2)</f>
        <v>0</v>
      </c>
      <c r="BY263" s="2">
        <f>ROUND(VLOOKUP($BJ263,$AI$3:$AO$33,MATCH(BY$3,$AI$3:$AO$3,0),FALSE)-$BL263/VLOOKUP(VLOOKUP($BJ263,坦克个性化设定!$B$18:$E$48,4,FALSE)&amp;$BK263,坦克属性分配比例,MATCH("升星次数",坦克属性分配比例标头,0),FALSE)*VLOOKUP($BJ263,$AR$3:$AY$33,MATCH(BY$3,$AR$3:$AY$3,0),FALSE),2)</f>
        <v>2.86</v>
      </c>
    </row>
    <row r="264" spans="60:77" x14ac:dyDescent="0.3">
      <c r="BH264" s="2" t="str">
        <f t="shared" si="35"/>
        <v>征服者4</v>
      </c>
      <c r="BI264" s="2">
        <f>IF(BL263&gt;=VLOOKUP(VLOOKUP(BJ263,坦克个性化设定!$B$18:$E$48,4,FALSE)&amp;BK263,坦克属性分配比例,MATCH("升星次数",坦克属性分配比例标头,0),FALSE),BI263+1,BI263)</f>
        <v>27</v>
      </c>
      <c r="BJ264" s="2" t="str">
        <f t="shared" si="36"/>
        <v>征服者</v>
      </c>
      <c r="BK264" s="29" t="str">
        <f>VLOOKUP(BJ264,坦克个性化细分!$I$3:$J$33,2,FALSE)</f>
        <v>低</v>
      </c>
      <c r="BL264" s="2">
        <f t="shared" si="37"/>
        <v>4</v>
      </c>
      <c r="BM264" s="103">
        <f ca="1">ROUND(VLOOKUP($BJ264&amp;"初始",$S$3:$AE$63,MATCH(BM$3,$S$3:$AE$3,0),FALSE)+((VLOOKUP($BJ264&amp;"最终",$S$3:$AE$63,MATCH(BM$3,$S$3:$AE$3,0),FALSE)*坦克个性化细分!$C$9-VLOOKUP($BJ264&amp;"初始",$S$3:$AE$63,MATCH(BM$3,$S$3:$AE$3,0),FALSE))-(VLOOKUP($BJ264&amp;"最终",$S$3:$AE$63,MATCH(BM$3,$S$3:$AE$3,0),FALSE)-VLOOKUP($BJ264&amp;"初始",$S$3:$AE$63,MATCH(BM$3,$S$3:$AE$3,0),FALSE))*VLOOKUP(VLOOKUP($BJ264,坦克个性化设定!$B$18:$E$48,4,FALSE)&amp;$BK264,坦克属性分配比例,MATCH("部件比例",坦克属性分配比例标头,0),FALSE))*$BL264/VLOOKUP(VLOOKUP($BJ264,坦克个性化设定!$B$18:$E$48,4,FALSE)&amp;$BK264,坦克属性分配比例,MATCH("升星次数",坦克属性分配比例标头,0),FALSE),0)</f>
        <v>2357</v>
      </c>
      <c r="BN264" s="103">
        <f ca="1">ROUND(VLOOKUP($BJ264&amp;"初始",$S$3:$AE$63,MATCH(BN$3,$S$3:$AE$3,0),FALSE)+(VLOOKUP($BJ264&amp;"最终",$S$3:$AE$63,MATCH(BN$3,$S$3:$AE$3,0),FALSE)-VLOOKUP($BJ264&amp;"初始",$S$3:$AE$63,MATCH(BN$3,$S$3:$AE$3,0),FALSE))*$BL264/VLOOKUP(VLOOKUP($BJ264,坦克个性化设定!$B$18:$E$48,4,FALSE)&amp;$BK264,坦克属性分配比例,MATCH("升星次数",坦克属性分配比例标头,0),FALSE)*VLOOKUP(VLOOKUP($BJ264,坦克个性化设定!$B$18:$E$48,4,FALSE)&amp;$BK264,坦克属性分配比例,MATCH("升星比例",坦克属性分配比例标头,0),FALSE),0)</f>
        <v>691</v>
      </c>
      <c r="BO264" s="103">
        <f ca="1">ROUND(VLOOKUP($BJ264&amp;"初始",$S$3:$AE$63,MATCH(BO$3,$S$3:$AE$3,0),FALSE)+(VLOOKUP($BJ264&amp;"最终",$S$3:$AE$63,MATCH(BO$3,$S$3:$AE$3,0),FALSE)-VLOOKUP($BJ264&amp;"初始",$S$3:$AE$63,MATCH(BO$3,$S$3:$AE$3,0),FALSE))*$BL264/VLOOKUP(VLOOKUP($BJ264,坦克个性化设定!$B$18:$E$48,4,FALSE)&amp;$BK264,坦克属性分配比例,MATCH("升星次数",坦克属性分配比例标头,0),FALSE)*(VLOOKUP(VLOOKUP($BJ264,坦克个性化设定!$B$18:$E$48,4,FALSE)&amp;$BK264,坦克属性分配比例,MATCH("升星比例",坦克属性分配比例标头,0),FALSE)+VLOOKUP(VLOOKUP($BJ264,坦克个性化设定!$B$18:$E$48,4,FALSE)&amp;$BK264,坦克属性分配比例,MATCH("部件比例",坦克属性分配比例标头,0),FALSE)*$C$3),0)</f>
        <v>687</v>
      </c>
      <c r="BP264" s="103">
        <f ca="1">ROUND(VLOOKUP($BJ264&amp;"初始",$S$3:$AE$63,MATCH(BP$3,$S$3:$AE$3,0),FALSE)+(VLOOKUP($BJ264&amp;"最终",$S$3:$AE$63,MATCH(BP$3,$S$3:$AE$3,0),FALSE)-VLOOKUP($BJ264&amp;"初始",$S$3:$AE$63,MATCH(BP$3,$S$3:$AE$3,0),FALSE))*$BL264/VLOOKUP(VLOOKUP($BJ264,坦克个性化设定!$B$18:$E$48,4,FALSE)&amp;$BK264,坦克属性分配比例,MATCH("升星次数",坦克属性分配比例标头,0),FALSE)*(VLOOKUP(VLOOKUP($BJ264,坦克个性化设定!$B$18:$E$48,4,FALSE)&amp;$BK264,坦克属性分配比例,MATCH("升星比例",坦克属性分配比例标头,0),FALSE)+VLOOKUP(VLOOKUP($BJ264,坦克个性化设定!$B$18:$E$48,4,FALSE)&amp;$BK264,坦克属性分配比例,MATCH("部件比例",坦克属性分配比例标头,0),FALSE)*$C$3),0)</f>
        <v>550</v>
      </c>
      <c r="BQ264" s="103">
        <f ca="1">ROUND(VLOOKUP($BJ264&amp;"初始",$S$3:$AE$63,MATCH(BQ$3,$S$3:$AE$3,0),FALSE)+(VLOOKUP($BJ264&amp;"最终",$S$3:$AE$63,MATCH(BQ$3,$S$3:$AE$3,0),FALSE)-VLOOKUP($BJ264&amp;"初始",$S$3:$AE$63,MATCH(BQ$3,$S$3:$AE$3,0),FALSE))*$BL264/VLOOKUP(VLOOKUP($BJ264,坦克个性化设定!$B$18:$E$48,4,FALSE)&amp;$BK264,坦克属性分配比例,MATCH("升星次数",坦克属性分配比例标头,0),FALSE)*VLOOKUP(VLOOKUP($BJ264,坦克个性化设定!$B$18:$E$48,4,FALSE)&amp;$BK264,坦克属性分配比例,MATCH("升星比例",坦克属性分配比例标头,0),FALSE),0)</f>
        <v>882</v>
      </c>
      <c r="BR264" s="2">
        <f ca="1">ROUND(VLOOKUP($BJ264&amp;"初始",$S$3:$AE$63,MATCH(BR$3,$S$3:$AE$3,0),FALSE)+(VLOOKUP($BJ264&amp;"最终",$S$3:$AE$63,MATCH(BR$3,$S$3:$AE$3,0),FALSE)-VLOOKUP($BJ264&amp;"初始",$S$3:$AE$63,MATCH(BR$3,$S$3:$AE$3,0),FALSE))*$BL264/VLOOKUP(VLOOKUP($BJ264,坦克个性化设定!$B$18:$E$48,4,FALSE)&amp;$BK264,坦克属性分配比例,MATCH("升星次数",坦克属性分配比例标头,0),FALSE),0)</f>
        <v>220</v>
      </c>
      <c r="BS264" s="2">
        <f>ROUND(VLOOKUP($BJ264,$AI$3:$AO$33,MATCH(BS$3,$AI$3:$AO$3,0),FALSE)+$BL264/VLOOKUP(VLOOKUP($BJ264,坦克个性化设定!$B$18:$E$48,4,FALSE)&amp;$BK264,坦克属性分配比例,MATCH("升星次数",坦克属性分配比例标头,0),FALSE)*VLOOKUP($BJ264,$AR$3:$AY$33,MATCH(BS$3,$AR$3:$AY$3,0),FALSE),1)</f>
        <v>33.5</v>
      </c>
      <c r="BT264" s="2">
        <f>ROUND(VLOOKUP($BJ264,$AI$3:$AO$33,MATCH(BT$3,$AI$3:$AO$3,0),FALSE)+$BL264/VLOOKUP(VLOOKUP($BJ264,坦克个性化设定!$B$18:$E$48,4,FALSE)&amp;$BK264,坦克属性分配比例,MATCH("升星次数",坦克属性分配比例标头,0),FALSE)*VLOOKUP($BJ264,$AR$3:$AY$33,MATCH(BT$3,$AR$3:$AY$3,0),FALSE),1)</f>
        <v>38.200000000000003</v>
      </c>
      <c r="BU264" s="2">
        <f>ROUND(VLOOKUP($BJ264,$AI$3:$AO$33,MATCH(BU$3,$AI$3:$AO$3,0),FALSE)+$BL264/VLOOKUP(VLOOKUP($BJ264,坦克个性化设定!$B$18:$E$48,4,FALSE)&amp;$BK264,坦克属性分配比例,MATCH("升星次数",坦克属性分配比例标头,0),FALSE)*VLOOKUP($BJ264,$AR$3:$AY$33,MATCH(BU$3,$AR$3:$AY$3,0),FALSE),1)</f>
        <v>6.3</v>
      </c>
      <c r="BV264" s="2">
        <f>IF(VLOOKUP(BJ264,坦克个性化设定!$B$18:$BC$48,MATCH("装弹类型",坦克个性化设定!$B$18:$BC$18,0),FALSE)="弹夹换弹",0,ROUND(VLOOKUP($BJ264,$AI$3:$AO$33,MATCH("换弹时间",$AI$3:$AO$3,0),FALSE)-$BL264/VLOOKUP(VLOOKUP($BJ264,坦克个性化设定!$B$18:$E$48,4,FALSE)&amp;$BK264,坦克属性分配比例,MATCH("升星次数",坦克属性分配比例标头,0),FALSE)*VLOOKUP($BJ264,$AR$3:$AY$33,MATCH("换弹时间",$AR$3:$AY$3,0),FALSE),2))</f>
        <v>5.69</v>
      </c>
      <c r="BW264" s="2">
        <f>IF(VLOOKUP(BJ264,坦克个性化设定!$B$18:$BC$48,MATCH("装弹类型",坦克个性化设定!$B$18:$BC$18,0),FALSE)="弹夹换弹",ROUND(VLOOKUP($BJ264,$AI$3:$AO$33,MATCH("换弹时间",$AI$3:$AO$3,0),FALSE)-$BL264/VLOOKUP(VLOOKUP($BJ264,坦克个性化设定!$B$18:$E$48,4,FALSE)&amp;$BK264,坦克属性分配比例,MATCH("升星次数",坦克属性分配比例标头,0),FALSE)*VLOOKUP($BJ264,$AR$3:$AY$33,MATCH("换弹时间",$AR$3:$AY$3,0),FALSE),1),0)</f>
        <v>0</v>
      </c>
      <c r="BX264" s="2">
        <f>ROUND(VLOOKUP($BJ264,$AI$3:$AO$33,MATCH(BX$3,$AI$3:$AO$3,0),FALSE)+$BL264/VLOOKUP(VLOOKUP($BJ264,坦克个性化设定!$B$18:$E$48,4,FALSE)&amp;$BK264,坦克属性分配比例,MATCH("升星次数",坦克属性分配比例标头,0),FALSE)*VLOOKUP($BJ264,$AR$3:$AY$33,MATCH(BX$3,$AR$3:$AY$3,0),FALSE),2)</f>
        <v>0</v>
      </c>
      <c r="BY264" s="2">
        <f>ROUND(VLOOKUP($BJ264,$AI$3:$AO$33,MATCH(BY$3,$AI$3:$AO$3,0),FALSE)-$BL264/VLOOKUP(VLOOKUP($BJ264,坦克个性化设定!$B$18:$E$48,4,FALSE)&amp;$BK264,坦克属性分配比例,MATCH("升星次数",坦克属性分配比例标头,0),FALSE)*VLOOKUP($BJ264,$AR$3:$AY$33,MATCH(BY$3,$AR$3:$AY$3,0),FALSE),2)</f>
        <v>2.82</v>
      </c>
    </row>
    <row r="265" spans="60:77" x14ac:dyDescent="0.3">
      <c r="BH265" s="2" t="str">
        <f t="shared" si="35"/>
        <v>征服者5</v>
      </c>
      <c r="BI265" s="2">
        <f>IF(BL264&gt;=VLOOKUP(VLOOKUP(BJ264,坦克个性化设定!$B$18:$E$48,4,FALSE)&amp;BK264,坦克属性分配比例,MATCH("升星次数",坦克属性分配比例标头,0),FALSE),BI264+1,BI264)</f>
        <v>27</v>
      </c>
      <c r="BJ265" s="2" t="str">
        <f t="shared" si="36"/>
        <v>征服者</v>
      </c>
      <c r="BK265" s="29" t="str">
        <f>VLOOKUP(BJ265,坦克个性化细分!$I$3:$J$33,2,FALSE)</f>
        <v>低</v>
      </c>
      <c r="BL265" s="2">
        <f t="shared" si="37"/>
        <v>5</v>
      </c>
      <c r="BM265" s="103">
        <f ca="1">ROUND(VLOOKUP($BJ265&amp;"初始",$S$3:$AE$63,MATCH(BM$3,$S$3:$AE$3,0),FALSE)+((VLOOKUP($BJ265&amp;"最终",$S$3:$AE$63,MATCH(BM$3,$S$3:$AE$3,0),FALSE)*坦克个性化细分!$C$9-VLOOKUP($BJ265&amp;"初始",$S$3:$AE$63,MATCH(BM$3,$S$3:$AE$3,0),FALSE))-(VLOOKUP($BJ265&amp;"最终",$S$3:$AE$63,MATCH(BM$3,$S$3:$AE$3,0),FALSE)-VLOOKUP($BJ265&amp;"初始",$S$3:$AE$63,MATCH(BM$3,$S$3:$AE$3,0),FALSE))*VLOOKUP(VLOOKUP($BJ265,坦克个性化设定!$B$18:$E$48,4,FALSE)&amp;$BK265,坦克属性分配比例,MATCH("部件比例",坦克属性分配比例标头,0),FALSE))*$BL265/VLOOKUP(VLOOKUP($BJ265,坦克个性化设定!$B$18:$E$48,4,FALSE)&amp;$BK265,坦克属性分配比例,MATCH("升星次数",坦克属性分配比例标头,0),FALSE),0)</f>
        <v>2441</v>
      </c>
      <c r="BN265" s="103">
        <f ca="1">ROUND(VLOOKUP($BJ265&amp;"初始",$S$3:$AE$63,MATCH(BN$3,$S$3:$AE$3,0),FALSE)+(VLOOKUP($BJ265&amp;"最终",$S$3:$AE$63,MATCH(BN$3,$S$3:$AE$3,0),FALSE)-VLOOKUP($BJ265&amp;"初始",$S$3:$AE$63,MATCH(BN$3,$S$3:$AE$3,0),FALSE))*$BL265/VLOOKUP(VLOOKUP($BJ265,坦克个性化设定!$B$18:$E$48,4,FALSE)&amp;$BK265,坦克属性分配比例,MATCH("升星次数",坦克属性分配比例标头,0),FALSE)*VLOOKUP(VLOOKUP($BJ265,坦克个性化设定!$B$18:$E$48,4,FALSE)&amp;$BK265,坦克属性分配比例,MATCH("升星比例",坦克属性分配比例标头,0),FALSE),0)</f>
        <v>706</v>
      </c>
      <c r="BO265" s="103">
        <f ca="1">ROUND(VLOOKUP($BJ265&amp;"初始",$S$3:$AE$63,MATCH(BO$3,$S$3:$AE$3,0),FALSE)+(VLOOKUP($BJ265&amp;"最终",$S$3:$AE$63,MATCH(BO$3,$S$3:$AE$3,0),FALSE)-VLOOKUP($BJ265&amp;"初始",$S$3:$AE$63,MATCH(BO$3,$S$3:$AE$3,0),FALSE))*$BL265/VLOOKUP(VLOOKUP($BJ265,坦克个性化设定!$B$18:$E$48,4,FALSE)&amp;$BK265,坦克属性分配比例,MATCH("升星次数",坦克属性分配比例标头,0),FALSE)*(VLOOKUP(VLOOKUP($BJ265,坦克个性化设定!$B$18:$E$48,4,FALSE)&amp;$BK265,坦克属性分配比例,MATCH("升星比例",坦克属性分配比例标头,0),FALSE)+VLOOKUP(VLOOKUP($BJ265,坦克个性化设定!$B$18:$E$48,4,FALSE)&amp;$BK265,坦克属性分配比例,MATCH("部件比例",坦克属性分配比例标头,0),FALSE)*$C$3),0)</f>
        <v>708</v>
      </c>
      <c r="BP265" s="103">
        <f ca="1">ROUND(VLOOKUP($BJ265&amp;"初始",$S$3:$AE$63,MATCH(BP$3,$S$3:$AE$3,0),FALSE)+(VLOOKUP($BJ265&amp;"最终",$S$3:$AE$63,MATCH(BP$3,$S$3:$AE$3,0),FALSE)-VLOOKUP($BJ265&amp;"初始",$S$3:$AE$63,MATCH(BP$3,$S$3:$AE$3,0),FALSE))*$BL265/VLOOKUP(VLOOKUP($BJ265,坦克个性化设定!$B$18:$E$48,4,FALSE)&amp;$BK265,坦克属性分配比例,MATCH("升星次数",坦克属性分配比例标头,0),FALSE)*(VLOOKUP(VLOOKUP($BJ265,坦克个性化设定!$B$18:$E$48,4,FALSE)&amp;$BK265,坦克属性分配比例,MATCH("升星比例",坦克属性分配比例标头,0),FALSE)+VLOOKUP(VLOOKUP($BJ265,坦克个性化设定!$B$18:$E$48,4,FALSE)&amp;$BK265,坦克属性分配比例,MATCH("部件比例",坦克属性分配比例标头,0),FALSE)*$C$3),0)</f>
        <v>567</v>
      </c>
      <c r="BQ265" s="103">
        <f ca="1">ROUND(VLOOKUP($BJ265&amp;"初始",$S$3:$AE$63,MATCH(BQ$3,$S$3:$AE$3,0),FALSE)+(VLOOKUP($BJ265&amp;"最终",$S$3:$AE$63,MATCH(BQ$3,$S$3:$AE$3,0),FALSE)-VLOOKUP($BJ265&amp;"初始",$S$3:$AE$63,MATCH(BQ$3,$S$3:$AE$3,0),FALSE))*$BL265/VLOOKUP(VLOOKUP($BJ265,坦克个性化设定!$B$18:$E$48,4,FALSE)&amp;$BK265,坦克属性分配比例,MATCH("升星次数",坦克属性分配比例标头,0),FALSE)*VLOOKUP(VLOOKUP($BJ265,坦克个性化设定!$B$18:$E$48,4,FALSE)&amp;$BK265,坦克属性分配比例,MATCH("升星比例",坦克属性分配比例标头,0),FALSE),0)</f>
        <v>901</v>
      </c>
      <c r="BR265" s="2">
        <f ca="1">ROUND(VLOOKUP($BJ265&amp;"初始",$S$3:$AE$63,MATCH(BR$3,$S$3:$AE$3,0),FALSE)+(VLOOKUP($BJ265&amp;"最终",$S$3:$AE$63,MATCH(BR$3,$S$3:$AE$3,0),FALSE)-VLOOKUP($BJ265&amp;"初始",$S$3:$AE$63,MATCH(BR$3,$S$3:$AE$3,0),FALSE))*$BL265/VLOOKUP(VLOOKUP($BJ265,坦克个性化设定!$B$18:$E$48,4,FALSE)&amp;$BK265,坦克属性分配比例,MATCH("升星次数",坦克属性分配比例标头,0),FALSE),0)</f>
        <v>228</v>
      </c>
      <c r="BS265" s="2">
        <f>ROUND(VLOOKUP($BJ265,$AI$3:$AO$33,MATCH(BS$3,$AI$3:$AO$3,0),FALSE)+$BL265/VLOOKUP(VLOOKUP($BJ265,坦克个性化设定!$B$18:$E$48,4,FALSE)&amp;$BK265,坦克属性分配比例,MATCH("升星次数",坦克属性分配比例标头,0),FALSE)*VLOOKUP($BJ265,$AR$3:$AY$33,MATCH(BS$3,$AR$3:$AY$3,0),FALSE),1)</f>
        <v>34.200000000000003</v>
      </c>
      <c r="BT265" s="2">
        <f>ROUND(VLOOKUP($BJ265,$AI$3:$AO$33,MATCH(BT$3,$AI$3:$AO$3,0),FALSE)+$BL265/VLOOKUP(VLOOKUP($BJ265,坦克个性化设定!$B$18:$E$48,4,FALSE)&amp;$BK265,坦克属性分配比例,MATCH("升星次数",坦克属性分配比例标头,0),FALSE)*VLOOKUP($BJ265,$AR$3:$AY$33,MATCH(BT$3,$AR$3:$AY$3,0),FALSE),1)</f>
        <v>39</v>
      </c>
      <c r="BU265" s="2">
        <f>ROUND(VLOOKUP($BJ265,$AI$3:$AO$33,MATCH(BU$3,$AI$3:$AO$3,0),FALSE)+$BL265/VLOOKUP(VLOOKUP($BJ265,坦克个性化设定!$B$18:$E$48,4,FALSE)&amp;$BK265,坦克属性分配比例,MATCH("升星次数",坦克属性分配比例标头,0),FALSE)*VLOOKUP($BJ265,$AR$3:$AY$33,MATCH(BU$3,$AR$3:$AY$3,0),FALSE),1)</f>
        <v>6.3</v>
      </c>
      <c r="BV265" s="2">
        <f>IF(VLOOKUP(BJ265,坦克个性化设定!$B$18:$BC$48,MATCH("装弹类型",坦克个性化设定!$B$18:$BC$18,0),FALSE)="弹夹换弹",0,ROUND(VLOOKUP($BJ265,$AI$3:$AO$33,MATCH("换弹时间",$AI$3:$AO$3,0),FALSE)-$BL265/VLOOKUP(VLOOKUP($BJ265,坦克个性化设定!$B$18:$E$48,4,FALSE)&amp;$BK265,坦克属性分配比例,MATCH("升星次数",坦克属性分配比例标头,0),FALSE)*VLOOKUP($BJ265,$AR$3:$AY$33,MATCH("换弹时间",$AR$3:$AY$3,0),FALSE),2))</f>
        <v>5.61</v>
      </c>
      <c r="BW265" s="2">
        <f>IF(VLOOKUP(BJ265,坦克个性化设定!$B$18:$BC$48,MATCH("装弹类型",坦克个性化设定!$B$18:$BC$18,0),FALSE)="弹夹换弹",ROUND(VLOOKUP($BJ265,$AI$3:$AO$33,MATCH("换弹时间",$AI$3:$AO$3,0),FALSE)-$BL265/VLOOKUP(VLOOKUP($BJ265,坦克个性化设定!$B$18:$E$48,4,FALSE)&amp;$BK265,坦克属性分配比例,MATCH("升星次数",坦克属性分配比例标头,0),FALSE)*VLOOKUP($BJ265,$AR$3:$AY$33,MATCH("换弹时间",$AR$3:$AY$3,0),FALSE),1),0)</f>
        <v>0</v>
      </c>
      <c r="BX265" s="2">
        <f>ROUND(VLOOKUP($BJ265,$AI$3:$AO$33,MATCH(BX$3,$AI$3:$AO$3,0),FALSE)+$BL265/VLOOKUP(VLOOKUP($BJ265,坦克个性化设定!$B$18:$E$48,4,FALSE)&amp;$BK265,坦克属性分配比例,MATCH("升星次数",坦克属性分配比例标头,0),FALSE)*VLOOKUP($BJ265,$AR$3:$AY$33,MATCH(BX$3,$AR$3:$AY$3,0),FALSE),2)</f>
        <v>0</v>
      </c>
      <c r="BY265" s="2">
        <f>ROUND(VLOOKUP($BJ265,$AI$3:$AO$33,MATCH(BY$3,$AI$3:$AO$3,0),FALSE)-$BL265/VLOOKUP(VLOOKUP($BJ265,坦克个性化设定!$B$18:$E$48,4,FALSE)&amp;$BK265,坦克属性分配比例,MATCH("升星次数",坦克属性分配比例标头,0),FALSE)*VLOOKUP($BJ265,$AR$3:$AY$33,MATCH(BY$3,$AR$3:$AY$3,0),FALSE),2)</f>
        <v>2.77</v>
      </c>
    </row>
    <row r="266" spans="60:77" x14ac:dyDescent="0.3">
      <c r="BH266" s="2" t="str">
        <f t="shared" si="35"/>
        <v>征服者6</v>
      </c>
      <c r="BI266" s="2">
        <f>IF(BL265&gt;=VLOOKUP(VLOOKUP(BJ265,坦克个性化设定!$B$18:$E$48,4,FALSE)&amp;BK265,坦克属性分配比例,MATCH("升星次数",坦克属性分配比例标头,0),FALSE),BI265+1,BI265)</f>
        <v>27</v>
      </c>
      <c r="BJ266" s="2" t="str">
        <f t="shared" si="36"/>
        <v>征服者</v>
      </c>
      <c r="BK266" s="29" t="str">
        <f>VLOOKUP(BJ266,坦克个性化细分!$I$3:$J$33,2,FALSE)</f>
        <v>低</v>
      </c>
      <c r="BL266" s="2">
        <f t="shared" si="37"/>
        <v>6</v>
      </c>
      <c r="BM266" s="103">
        <f ca="1">ROUND(VLOOKUP($BJ266&amp;"初始",$S$3:$AE$63,MATCH(BM$3,$S$3:$AE$3,0),FALSE)+((VLOOKUP($BJ266&amp;"最终",$S$3:$AE$63,MATCH(BM$3,$S$3:$AE$3,0),FALSE)*坦克个性化细分!$C$9-VLOOKUP($BJ266&amp;"初始",$S$3:$AE$63,MATCH(BM$3,$S$3:$AE$3,0),FALSE))-(VLOOKUP($BJ266&amp;"最终",$S$3:$AE$63,MATCH(BM$3,$S$3:$AE$3,0),FALSE)-VLOOKUP($BJ266&amp;"初始",$S$3:$AE$63,MATCH(BM$3,$S$3:$AE$3,0),FALSE))*VLOOKUP(VLOOKUP($BJ266,坦克个性化设定!$B$18:$E$48,4,FALSE)&amp;$BK266,坦克属性分配比例,MATCH("部件比例",坦克属性分配比例标头,0),FALSE))*$BL266/VLOOKUP(VLOOKUP($BJ266,坦克个性化设定!$B$18:$E$48,4,FALSE)&amp;$BK266,坦克属性分配比例,MATCH("升星次数",坦克属性分配比例标头,0),FALSE),0)</f>
        <v>2525</v>
      </c>
      <c r="BN266" s="103">
        <f ca="1">ROUND(VLOOKUP($BJ266&amp;"初始",$S$3:$AE$63,MATCH(BN$3,$S$3:$AE$3,0),FALSE)+(VLOOKUP($BJ266&amp;"最终",$S$3:$AE$63,MATCH(BN$3,$S$3:$AE$3,0),FALSE)-VLOOKUP($BJ266&amp;"初始",$S$3:$AE$63,MATCH(BN$3,$S$3:$AE$3,0),FALSE))*$BL266/VLOOKUP(VLOOKUP($BJ266,坦克个性化设定!$B$18:$E$48,4,FALSE)&amp;$BK266,坦克属性分配比例,MATCH("升星次数",坦克属性分配比例标头,0),FALSE)*VLOOKUP(VLOOKUP($BJ266,坦克个性化设定!$B$18:$E$48,4,FALSE)&amp;$BK266,坦克属性分配比例,MATCH("升星比例",坦克属性分配比例标头,0),FALSE),0)</f>
        <v>721</v>
      </c>
      <c r="BO266" s="103">
        <f ca="1">ROUND(VLOOKUP($BJ266&amp;"初始",$S$3:$AE$63,MATCH(BO$3,$S$3:$AE$3,0),FALSE)+(VLOOKUP($BJ266&amp;"最终",$S$3:$AE$63,MATCH(BO$3,$S$3:$AE$3,0),FALSE)-VLOOKUP($BJ266&amp;"初始",$S$3:$AE$63,MATCH(BO$3,$S$3:$AE$3,0),FALSE))*$BL266/VLOOKUP(VLOOKUP($BJ266,坦克个性化设定!$B$18:$E$48,4,FALSE)&amp;$BK266,坦克属性分配比例,MATCH("升星次数",坦克属性分配比例标头,0),FALSE)*(VLOOKUP(VLOOKUP($BJ266,坦克个性化设定!$B$18:$E$48,4,FALSE)&amp;$BK266,坦克属性分配比例,MATCH("升星比例",坦克属性分配比例标头,0),FALSE)+VLOOKUP(VLOOKUP($BJ266,坦克个性化设定!$B$18:$E$48,4,FALSE)&amp;$BK266,坦克属性分配比例,MATCH("部件比例",坦克属性分配比例标头,0),FALSE)*$C$3),0)</f>
        <v>730</v>
      </c>
      <c r="BP266" s="103">
        <f ca="1">ROUND(VLOOKUP($BJ266&amp;"初始",$S$3:$AE$63,MATCH(BP$3,$S$3:$AE$3,0),FALSE)+(VLOOKUP($BJ266&amp;"最终",$S$3:$AE$63,MATCH(BP$3,$S$3:$AE$3,0),FALSE)-VLOOKUP($BJ266&amp;"初始",$S$3:$AE$63,MATCH(BP$3,$S$3:$AE$3,0),FALSE))*$BL266/VLOOKUP(VLOOKUP($BJ266,坦克个性化设定!$B$18:$E$48,4,FALSE)&amp;$BK266,坦克属性分配比例,MATCH("升星次数",坦克属性分配比例标头,0),FALSE)*(VLOOKUP(VLOOKUP($BJ266,坦克个性化设定!$B$18:$E$48,4,FALSE)&amp;$BK266,坦克属性分配比例,MATCH("升星比例",坦克属性分配比例标头,0),FALSE)+VLOOKUP(VLOOKUP($BJ266,坦克个性化设定!$B$18:$E$48,4,FALSE)&amp;$BK266,坦克属性分配比例,MATCH("部件比例",坦克属性分配比例标头,0),FALSE)*$C$3),0)</f>
        <v>584</v>
      </c>
      <c r="BQ266" s="103">
        <f ca="1">ROUND(VLOOKUP($BJ266&amp;"初始",$S$3:$AE$63,MATCH(BQ$3,$S$3:$AE$3,0),FALSE)+(VLOOKUP($BJ266&amp;"最终",$S$3:$AE$63,MATCH(BQ$3,$S$3:$AE$3,0),FALSE)-VLOOKUP($BJ266&amp;"初始",$S$3:$AE$63,MATCH(BQ$3,$S$3:$AE$3,0),FALSE))*$BL266/VLOOKUP(VLOOKUP($BJ266,坦克个性化设定!$B$18:$E$48,4,FALSE)&amp;$BK266,坦克属性分配比例,MATCH("升星次数",坦克属性分配比例标头,0),FALSE)*VLOOKUP(VLOOKUP($BJ266,坦克个性化设定!$B$18:$E$48,4,FALSE)&amp;$BK266,坦克属性分配比例,MATCH("升星比例",坦克属性分配比例标头,0),FALSE),0)</f>
        <v>919</v>
      </c>
      <c r="BR266" s="2">
        <f ca="1">ROUND(VLOOKUP($BJ266&amp;"初始",$S$3:$AE$63,MATCH(BR$3,$S$3:$AE$3,0),FALSE)+(VLOOKUP($BJ266&amp;"最终",$S$3:$AE$63,MATCH(BR$3,$S$3:$AE$3,0),FALSE)-VLOOKUP($BJ266&amp;"初始",$S$3:$AE$63,MATCH(BR$3,$S$3:$AE$3,0),FALSE))*$BL266/VLOOKUP(VLOOKUP($BJ266,坦克个性化设定!$B$18:$E$48,4,FALSE)&amp;$BK266,坦克属性分配比例,MATCH("升星次数",坦克属性分配比例标头,0),FALSE),0)</f>
        <v>236</v>
      </c>
      <c r="BS266" s="2">
        <f>ROUND(VLOOKUP($BJ266,$AI$3:$AO$33,MATCH(BS$3,$AI$3:$AO$3,0),FALSE)+$BL266/VLOOKUP(VLOOKUP($BJ266,坦克个性化设定!$B$18:$E$48,4,FALSE)&amp;$BK266,坦克属性分配比例,MATCH("升星次数",坦克属性分配比例标头,0),FALSE)*VLOOKUP($BJ266,$AR$3:$AY$33,MATCH(BS$3,$AR$3:$AY$3,0),FALSE),1)</f>
        <v>34.9</v>
      </c>
      <c r="BT266" s="2">
        <f>ROUND(VLOOKUP($BJ266,$AI$3:$AO$33,MATCH(BT$3,$AI$3:$AO$3,0),FALSE)+$BL266/VLOOKUP(VLOOKUP($BJ266,坦克个性化设定!$B$18:$E$48,4,FALSE)&amp;$BK266,坦克属性分配比例,MATCH("升星次数",坦克属性分配比例标头,0),FALSE)*VLOOKUP($BJ266,$AR$3:$AY$33,MATCH(BT$3,$AR$3:$AY$3,0),FALSE),1)</f>
        <v>39.799999999999997</v>
      </c>
      <c r="BU266" s="2">
        <f>ROUND(VLOOKUP($BJ266,$AI$3:$AO$33,MATCH(BU$3,$AI$3:$AO$3,0),FALSE)+$BL266/VLOOKUP(VLOOKUP($BJ266,坦克个性化设定!$B$18:$E$48,4,FALSE)&amp;$BK266,坦克属性分配比例,MATCH("升星次数",坦克属性分配比例标头,0),FALSE)*VLOOKUP($BJ266,$AR$3:$AY$33,MATCH(BU$3,$AR$3:$AY$3,0),FALSE),1)</f>
        <v>6.3</v>
      </c>
      <c r="BV266" s="2">
        <f>IF(VLOOKUP(BJ266,坦克个性化设定!$B$18:$BC$48,MATCH("装弹类型",坦克个性化设定!$B$18:$BC$18,0),FALSE)="弹夹换弹",0,ROUND(VLOOKUP($BJ266,$AI$3:$AO$33,MATCH("换弹时间",$AI$3:$AO$3,0),FALSE)-$BL266/VLOOKUP(VLOOKUP($BJ266,坦克个性化设定!$B$18:$E$48,4,FALSE)&amp;$BK266,坦克属性分配比例,MATCH("升星次数",坦克属性分配比例标头,0),FALSE)*VLOOKUP($BJ266,$AR$3:$AY$33,MATCH("换弹时间",$AR$3:$AY$3,0),FALSE),2))</f>
        <v>5.54</v>
      </c>
      <c r="BW266" s="2">
        <f>IF(VLOOKUP(BJ266,坦克个性化设定!$B$18:$BC$48,MATCH("装弹类型",坦克个性化设定!$B$18:$BC$18,0),FALSE)="弹夹换弹",ROUND(VLOOKUP($BJ266,$AI$3:$AO$33,MATCH("换弹时间",$AI$3:$AO$3,0),FALSE)-$BL266/VLOOKUP(VLOOKUP($BJ266,坦克个性化设定!$B$18:$E$48,4,FALSE)&amp;$BK266,坦克属性分配比例,MATCH("升星次数",坦克属性分配比例标头,0),FALSE)*VLOOKUP($BJ266,$AR$3:$AY$33,MATCH("换弹时间",$AR$3:$AY$3,0),FALSE),1),0)</f>
        <v>0</v>
      </c>
      <c r="BX266" s="2">
        <f>ROUND(VLOOKUP($BJ266,$AI$3:$AO$33,MATCH(BX$3,$AI$3:$AO$3,0),FALSE)+$BL266/VLOOKUP(VLOOKUP($BJ266,坦克个性化设定!$B$18:$E$48,4,FALSE)&amp;$BK266,坦克属性分配比例,MATCH("升星次数",坦克属性分配比例标头,0),FALSE)*VLOOKUP($BJ266,$AR$3:$AY$33,MATCH(BX$3,$AR$3:$AY$3,0),FALSE),2)</f>
        <v>0</v>
      </c>
      <c r="BY266" s="2">
        <f>ROUND(VLOOKUP($BJ266,$AI$3:$AO$33,MATCH(BY$3,$AI$3:$AO$3,0),FALSE)-$BL266/VLOOKUP(VLOOKUP($BJ266,坦克个性化设定!$B$18:$E$48,4,FALSE)&amp;$BK266,坦克属性分配比例,MATCH("升星次数",坦克属性分配比例标头,0),FALSE)*VLOOKUP($BJ266,$AR$3:$AY$33,MATCH(BY$3,$AR$3:$AY$3,0),FALSE),2)</f>
        <v>2.73</v>
      </c>
    </row>
    <row r="267" spans="60:77" x14ac:dyDescent="0.3">
      <c r="BH267" s="2" t="str">
        <f t="shared" si="35"/>
        <v>征服者7</v>
      </c>
      <c r="BI267" s="2">
        <f>IF(BL266&gt;=VLOOKUP(VLOOKUP(BJ266,坦克个性化设定!$B$18:$E$48,4,FALSE)&amp;BK266,坦克属性分配比例,MATCH("升星次数",坦克属性分配比例标头,0),FALSE),BI266+1,BI266)</f>
        <v>27</v>
      </c>
      <c r="BJ267" s="2" t="str">
        <f t="shared" si="36"/>
        <v>征服者</v>
      </c>
      <c r="BK267" s="29" t="str">
        <f>VLOOKUP(BJ267,坦克个性化细分!$I$3:$J$33,2,FALSE)</f>
        <v>低</v>
      </c>
      <c r="BL267" s="2">
        <f t="shared" si="37"/>
        <v>7</v>
      </c>
      <c r="BM267" s="103">
        <f ca="1">ROUND(VLOOKUP($BJ267&amp;"初始",$S$3:$AE$63,MATCH(BM$3,$S$3:$AE$3,0),FALSE)+((VLOOKUP($BJ267&amp;"最终",$S$3:$AE$63,MATCH(BM$3,$S$3:$AE$3,0),FALSE)*坦克个性化细分!$C$9-VLOOKUP($BJ267&amp;"初始",$S$3:$AE$63,MATCH(BM$3,$S$3:$AE$3,0),FALSE))-(VLOOKUP($BJ267&amp;"最终",$S$3:$AE$63,MATCH(BM$3,$S$3:$AE$3,0),FALSE)-VLOOKUP($BJ267&amp;"初始",$S$3:$AE$63,MATCH(BM$3,$S$3:$AE$3,0),FALSE))*VLOOKUP(VLOOKUP($BJ267,坦克个性化设定!$B$18:$E$48,4,FALSE)&amp;$BK267,坦克属性分配比例,MATCH("部件比例",坦克属性分配比例标头,0),FALSE))*$BL267/VLOOKUP(VLOOKUP($BJ267,坦克个性化设定!$B$18:$E$48,4,FALSE)&amp;$BK267,坦克属性分配比例,MATCH("升星次数",坦克属性分配比例标头,0),FALSE),0)</f>
        <v>2609</v>
      </c>
      <c r="BN267" s="103">
        <f ca="1">ROUND(VLOOKUP($BJ267&amp;"初始",$S$3:$AE$63,MATCH(BN$3,$S$3:$AE$3,0),FALSE)+(VLOOKUP($BJ267&amp;"最终",$S$3:$AE$63,MATCH(BN$3,$S$3:$AE$3,0),FALSE)-VLOOKUP($BJ267&amp;"初始",$S$3:$AE$63,MATCH(BN$3,$S$3:$AE$3,0),FALSE))*$BL267/VLOOKUP(VLOOKUP($BJ267,坦克个性化设定!$B$18:$E$48,4,FALSE)&amp;$BK267,坦克属性分配比例,MATCH("升星次数",坦克属性分配比例标头,0),FALSE)*VLOOKUP(VLOOKUP($BJ267,坦克个性化设定!$B$18:$E$48,4,FALSE)&amp;$BK267,坦克属性分配比例,MATCH("升星比例",坦克属性分配比例标头,0),FALSE),0)</f>
        <v>736</v>
      </c>
      <c r="BO267" s="103">
        <f ca="1">ROUND(VLOOKUP($BJ267&amp;"初始",$S$3:$AE$63,MATCH(BO$3,$S$3:$AE$3,0),FALSE)+(VLOOKUP($BJ267&amp;"最终",$S$3:$AE$63,MATCH(BO$3,$S$3:$AE$3,0),FALSE)-VLOOKUP($BJ267&amp;"初始",$S$3:$AE$63,MATCH(BO$3,$S$3:$AE$3,0),FALSE))*$BL267/VLOOKUP(VLOOKUP($BJ267,坦克个性化设定!$B$18:$E$48,4,FALSE)&amp;$BK267,坦克属性分配比例,MATCH("升星次数",坦克属性分配比例标头,0),FALSE)*(VLOOKUP(VLOOKUP($BJ267,坦克个性化设定!$B$18:$E$48,4,FALSE)&amp;$BK267,坦克属性分配比例,MATCH("升星比例",坦克属性分配比例标头,0),FALSE)+VLOOKUP(VLOOKUP($BJ267,坦克个性化设定!$B$18:$E$48,4,FALSE)&amp;$BK267,坦克属性分配比例,MATCH("部件比例",坦克属性分配比例标头,0),FALSE)*$C$3),0)</f>
        <v>751</v>
      </c>
      <c r="BP267" s="103">
        <f ca="1">ROUND(VLOOKUP($BJ267&amp;"初始",$S$3:$AE$63,MATCH(BP$3,$S$3:$AE$3,0),FALSE)+(VLOOKUP($BJ267&amp;"最终",$S$3:$AE$63,MATCH(BP$3,$S$3:$AE$3,0),FALSE)-VLOOKUP($BJ267&amp;"初始",$S$3:$AE$63,MATCH(BP$3,$S$3:$AE$3,0),FALSE))*$BL267/VLOOKUP(VLOOKUP($BJ267,坦克个性化设定!$B$18:$E$48,4,FALSE)&amp;$BK267,坦克属性分配比例,MATCH("升星次数",坦克属性分配比例标头,0),FALSE)*(VLOOKUP(VLOOKUP($BJ267,坦克个性化设定!$B$18:$E$48,4,FALSE)&amp;$BK267,坦克属性分配比例,MATCH("升星比例",坦克属性分配比例标头,0),FALSE)+VLOOKUP(VLOOKUP($BJ267,坦克个性化设定!$B$18:$E$48,4,FALSE)&amp;$BK267,坦克属性分配比例,MATCH("部件比例",坦克属性分配比例标头,0),FALSE)*$C$3),0)</f>
        <v>601</v>
      </c>
      <c r="BQ267" s="103">
        <f ca="1">ROUND(VLOOKUP($BJ267&amp;"初始",$S$3:$AE$63,MATCH(BQ$3,$S$3:$AE$3,0),FALSE)+(VLOOKUP($BJ267&amp;"最终",$S$3:$AE$63,MATCH(BQ$3,$S$3:$AE$3,0),FALSE)-VLOOKUP($BJ267&amp;"初始",$S$3:$AE$63,MATCH(BQ$3,$S$3:$AE$3,0),FALSE))*$BL267/VLOOKUP(VLOOKUP($BJ267,坦克个性化设定!$B$18:$E$48,4,FALSE)&amp;$BK267,坦克属性分配比例,MATCH("升星次数",坦克属性分配比例标头,0),FALSE)*VLOOKUP(VLOOKUP($BJ267,坦克个性化设定!$B$18:$E$48,4,FALSE)&amp;$BK267,坦克属性分配比例,MATCH("升星比例",坦克属性分配比例标头,0),FALSE),0)</f>
        <v>938</v>
      </c>
      <c r="BR267" s="2">
        <f ca="1">ROUND(VLOOKUP($BJ267&amp;"初始",$S$3:$AE$63,MATCH(BR$3,$S$3:$AE$3,0),FALSE)+(VLOOKUP($BJ267&amp;"最终",$S$3:$AE$63,MATCH(BR$3,$S$3:$AE$3,0),FALSE)-VLOOKUP($BJ267&amp;"初始",$S$3:$AE$63,MATCH(BR$3,$S$3:$AE$3,0),FALSE))*$BL267/VLOOKUP(VLOOKUP($BJ267,坦克个性化设定!$B$18:$E$48,4,FALSE)&amp;$BK267,坦克属性分配比例,MATCH("升星次数",坦克属性分配比例标头,0),FALSE),0)</f>
        <v>244</v>
      </c>
      <c r="BS267" s="2">
        <f>ROUND(VLOOKUP($BJ267,$AI$3:$AO$33,MATCH(BS$3,$AI$3:$AO$3,0),FALSE)+$BL267/VLOOKUP(VLOOKUP($BJ267,坦克个性化设定!$B$18:$E$48,4,FALSE)&amp;$BK267,坦克属性分配比例,MATCH("升星次数",坦克属性分配比例标头,0),FALSE)*VLOOKUP($BJ267,$AR$3:$AY$33,MATCH(BS$3,$AR$3:$AY$3,0),FALSE),1)</f>
        <v>35.6</v>
      </c>
      <c r="BT267" s="2">
        <f>ROUND(VLOOKUP($BJ267,$AI$3:$AO$33,MATCH(BT$3,$AI$3:$AO$3,0),FALSE)+$BL267/VLOOKUP(VLOOKUP($BJ267,坦克个性化设定!$B$18:$E$48,4,FALSE)&amp;$BK267,坦克属性分配比例,MATCH("升星次数",坦克属性分配比例标头,0),FALSE)*VLOOKUP($BJ267,$AR$3:$AY$33,MATCH(BT$3,$AR$3:$AY$3,0),FALSE),1)</f>
        <v>40.6</v>
      </c>
      <c r="BU267" s="2">
        <f>ROUND(VLOOKUP($BJ267,$AI$3:$AO$33,MATCH(BU$3,$AI$3:$AO$3,0),FALSE)+$BL267/VLOOKUP(VLOOKUP($BJ267,坦克个性化设定!$B$18:$E$48,4,FALSE)&amp;$BK267,坦克属性分配比例,MATCH("升星次数",坦克属性分配比例标头,0),FALSE)*VLOOKUP($BJ267,$AR$3:$AY$33,MATCH(BU$3,$AR$3:$AY$3,0),FALSE),1)</f>
        <v>6.3</v>
      </c>
      <c r="BV267" s="2">
        <f>IF(VLOOKUP(BJ267,坦克个性化设定!$B$18:$BC$48,MATCH("装弹类型",坦克个性化设定!$B$18:$BC$18,0),FALSE)="弹夹换弹",0,ROUND(VLOOKUP($BJ267,$AI$3:$AO$33,MATCH("换弹时间",$AI$3:$AO$3,0),FALSE)-$BL267/VLOOKUP(VLOOKUP($BJ267,坦克个性化设定!$B$18:$E$48,4,FALSE)&amp;$BK267,坦克属性分配比例,MATCH("升星次数",坦克属性分配比例标头,0),FALSE)*VLOOKUP($BJ267,$AR$3:$AY$33,MATCH("换弹时间",$AR$3:$AY$3,0),FALSE),2))</f>
        <v>5.46</v>
      </c>
      <c r="BW267" s="2">
        <f>IF(VLOOKUP(BJ267,坦克个性化设定!$B$18:$BC$48,MATCH("装弹类型",坦克个性化设定!$B$18:$BC$18,0),FALSE)="弹夹换弹",ROUND(VLOOKUP($BJ267,$AI$3:$AO$33,MATCH("换弹时间",$AI$3:$AO$3,0),FALSE)-$BL267/VLOOKUP(VLOOKUP($BJ267,坦克个性化设定!$B$18:$E$48,4,FALSE)&amp;$BK267,坦克属性分配比例,MATCH("升星次数",坦克属性分配比例标头,0),FALSE)*VLOOKUP($BJ267,$AR$3:$AY$33,MATCH("换弹时间",$AR$3:$AY$3,0),FALSE),1),0)</f>
        <v>0</v>
      </c>
      <c r="BX267" s="2">
        <f>ROUND(VLOOKUP($BJ267,$AI$3:$AO$33,MATCH(BX$3,$AI$3:$AO$3,0),FALSE)+$BL267/VLOOKUP(VLOOKUP($BJ267,坦克个性化设定!$B$18:$E$48,4,FALSE)&amp;$BK267,坦克属性分配比例,MATCH("升星次数",坦克属性分配比例标头,0),FALSE)*VLOOKUP($BJ267,$AR$3:$AY$33,MATCH(BX$3,$AR$3:$AY$3,0),FALSE),2)</f>
        <v>0</v>
      </c>
      <c r="BY267" s="2">
        <f>ROUND(VLOOKUP($BJ267,$AI$3:$AO$33,MATCH(BY$3,$AI$3:$AO$3,0),FALSE)-$BL267/VLOOKUP(VLOOKUP($BJ267,坦克个性化设定!$B$18:$E$48,4,FALSE)&amp;$BK267,坦克属性分配比例,MATCH("升星次数",坦克属性分配比例标头,0),FALSE)*VLOOKUP($BJ267,$AR$3:$AY$33,MATCH(BY$3,$AR$3:$AY$3,0),FALSE),2)</f>
        <v>2.68</v>
      </c>
    </row>
    <row r="268" spans="60:77" x14ac:dyDescent="0.3">
      <c r="BH268" s="2" t="str">
        <f t="shared" si="35"/>
        <v>征服者8</v>
      </c>
      <c r="BI268" s="2">
        <f>IF(BL267&gt;=VLOOKUP(VLOOKUP(BJ267,坦克个性化设定!$B$18:$E$48,4,FALSE)&amp;BK267,坦克属性分配比例,MATCH("升星次数",坦克属性分配比例标头,0),FALSE),BI267+1,BI267)</f>
        <v>27</v>
      </c>
      <c r="BJ268" s="2" t="str">
        <f t="shared" si="36"/>
        <v>征服者</v>
      </c>
      <c r="BK268" s="29" t="str">
        <f>VLOOKUP(BJ268,坦克个性化细分!$I$3:$J$33,2,FALSE)</f>
        <v>低</v>
      </c>
      <c r="BL268" s="2">
        <f t="shared" si="37"/>
        <v>8</v>
      </c>
      <c r="BM268" s="103">
        <f ca="1">ROUND(VLOOKUP($BJ268&amp;"初始",$S$3:$AE$63,MATCH(BM$3,$S$3:$AE$3,0),FALSE)+((VLOOKUP($BJ268&amp;"最终",$S$3:$AE$63,MATCH(BM$3,$S$3:$AE$3,0),FALSE)*坦克个性化细分!$C$9-VLOOKUP($BJ268&amp;"初始",$S$3:$AE$63,MATCH(BM$3,$S$3:$AE$3,0),FALSE))-(VLOOKUP($BJ268&amp;"最终",$S$3:$AE$63,MATCH(BM$3,$S$3:$AE$3,0),FALSE)-VLOOKUP($BJ268&amp;"初始",$S$3:$AE$63,MATCH(BM$3,$S$3:$AE$3,0),FALSE))*VLOOKUP(VLOOKUP($BJ268,坦克个性化设定!$B$18:$E$48,4,FALSE)&amp;$BK268,坦克属性分配比例,MATCH("部件比例",坦克属性分配比例标头,0),FALSE))*$BL268/VLOOKUP(VLOOKUP($BJ268,坦克个性化设定!$B$18:$E$48,4,FALSE)&amp;$BK268,坦克属性分配比例,MATCH("升星次数",坦克属性分配比例标头,0),FALSE),0)</f>
        <v>2693</v>
      </c>
      <c r="BN268" s="103">
        <f ca="1">ROUND(VLOOKUP($BJ268&amp;"初始",$S$3:$AE$63,MATCH(BN$3,$S$3:$AE$3,0),FALSE)+(VLOOKUP($BJ268&amp;"最终",$S$3:$AE$63,MATCH(BN$3,$S$3:$AE$3,0),FALSE)-VLOOKUP($BJ268&amp;"初始",$S$3:$AE$63,MATCH(BN$3,$S$3:$AE$3,0),FALSE))*$BL268/VLOOKUP(VLOOKUP($BJ268,坦克个性化设定!$B$18:$E$48,4,FALSE)&amp;$BK268,坦克属性分配比例,MATCH("升星次数",坦克属性分配比例标头,0),FALSE)*VLOOKUP(VLOOKUP($BJ268,坦克个性化设定!$B$18:$E$48,4,FALSE)&amp;$BK268,坦克属性分配比例,MATCH("升星比例",坦克属性分配比例标头,0),FALSE),0)</f>
        <v>750</v>
      </c>
      <c r="BO268" s="103">
        <f ca="1">ROUND(VLOOKUP($BJ268&amp;"初始",$S$3:$AE$63,MATCH(BO$3,$S$3:$AE$3,0),FALSE)+(VLOOKUP($BJ268&amp;"最终",$S$3:$AE$63,MATCH(BO$3,$S$3:$AE$3,0),FALSE)-VLOOKUP($BJ268&amp;"初始",$S$3:$AE$63,MATCH(BO$3,$S$3:$AE$3,0),FALSE))*$BL268/VLOOKUP(VLOOKUP($BJ268,坦克个性化设定!$B$18:$E$48,4,FALSE)&amp;$BK268,坦克属性分配比例,MATCH("升星次数",坦克属性分配比例标头,0),FALSE)*(VLOOKUP(VLOOKUP($BJ268,坦克个性化设定!$B$18:$E$48,4,FALSE)&amp;$BK268,坦克属性分配比例,MATCH("升星比例",坦克属性分配比例标头,0),FALSE)+VLOOKUP(VLOOKUP($BJ268,坦克个性化设定!$B$18:$E$48,4,FALSE)&amp;$BK268,坦克属性分配比例,MATCH("部件比例",坦克属性分配比例标头,0),FALSE)*$C$3),0)</f>
        <v>772</v>
      </c>
      <c r="BP268" s="103">
        <f ca="1">ROUND(VLOOKUP($BJ268&amp;"初始",$S$3:$AE$63,MATCH(BP$3,$S$3:$AE$3,0),FALSE)+(VLOOKUP($BJ268&amp;"最终",$S$3:$AE$63,MATCH(BP$3,$S$3:$AE$3,0),FALSE)-VLOOKUP($BJ268&amp;"初始",$S$3:$AE$63,MATCH(BP$3,$S$3:$AE$3,0),FALSE))*$BL268/VLOOKUP(VLOOKUP($BJ268,坦克个性化设定!$B$18:$E$48,4,FALSE)&amp;$BK268,坦克属性分配比例,MATCH("升星次数",坦克属性分配比例标头,0),FALSE)*(VLOOKUP(VLOOKUP($BJ268,坦克个性化设定!$B$18:$E$48,4,FALSE)&amp;$BK268,坦克属性分配比例,MATCH("升星比例",坦克属性分配比例标头,0),FALSE)+VLOOKUP(VLOOKUP($BJ268,坦克个性化设定!$B$18:$E$48,4,FALSE)&amp;$BK268,坦克属性分配比例,MATCH("部件比例",坦克属性分配比例标头,0),FALSE)*$C$3),0)</f>
        <v>618</v>
      </c>
      <c r="BQ268" s="103">
        <f ca="1">ROUND(VLOOKUP($BJ268&amp;"初始",$S$3:$AE$63,MATCH(BQ$3,$S$3:$AE$3,0),FALSE)+(VLOOKUP($BJ268&amp;"最终",$S$3:$AE$63,MATCH(BQ$3,$S$3:$AE$3,0),FALSE)-VLOOKUP($BJ268&amp;"初始",$S$3:$AE$63,MATCH(BQ$3,$S$3:$AE$3,0),FALSE))*$BL268/VLOOKUP(VLOOKUP($BJ268,坦克个性化设定!$B$18:$E$48,4,FALSE)&amp;$BK268,坦克属性分配比例,MATCH("升星次数",坦克属性分配比例标头,0),FALSE)*VLOOKUP(VLOOKUP($BJ268,坦克个性化设定!$B$18:$E$48,4,FALSE)&amp;$BK268,坦克属性分配比例,MATCH("升星比例",坦克属性分配比例标头,0),FALSE),0)</f>
        <v>957</v>
      </c>
      <c r="BR268" s="2">
        <f ca="1">ROUND(VLOOKUP($BJ268&amp;"初始",$S$3:$AE$63,MATCH(BR$3,$S$3:$AE$3,0),FALSE)+(VLOOKUP($BJ268&amp;"最终",$S$3:$AE$63,MATCH(BR$3,$S$3:$AE$3,0),FALSE)-VLOOKUP($BJ268&amp;"初始",$S$3:$AE$63,MATCH(BR$3,$S$3:$AE$3,0),FALSE))*$BL268/VLOOKUP(VLOOKUP($BJ268,坦克个性化设定!$B$18:$E$48,4,FALSE)&amp;$BK268,坦克属性分配比例,MATCH("升星次数",坦克属性分配比例标头,0),FALSE),0)</f>
        <v>252</v>
      </c>
      <c r="BS268" s="2">
        <f>ROUND(VLOOKUP($BJ268,$AI$3:$AO$33,MATCH(BS$3,$AI$3:$AO$3,0),FALSE)+$BL268/VLOOKUP(VLOOKUP($BJ268,坦克个性化设定!$B$18:$E$48,4,FALSE)&amp;$BK268,坦克属性分配比例,MATCH("升星次数",坦克属性分配比例标头,0),FALSE)*VLOOKUP($BJ268,$AR$3:$AY$33,MATCH(BS$3,$AR$3:$AY$3,0),FALSE),1)</f>
        <v>36.299999999999997</v>
      </c>
      <c r="BT268" s="2">
        <f>ROUND(VLOOKUP($BJ268,$AI$3:$AO$33,MATCH(BT$3,$AI$3:$AO$3,0),FALSE)+$BL268/VLOOKUP(VLOOKUP($BJ268,坦克个性化设定!$B$18:$E$48,4,FALSE)&amp;$BK268,坦克属性分配比例,MATCH("升星次数",坦克属性分配比例标头,0),FALSE)*VLOOKUP($BJ268,$AR$3:$AY$33,MATCH(BT$3,$AR$3:$AY$3,0),FALSE),1)</f>
        <v>41.4</v>
      </c>
      <c r="BU268" s="2">
        <f>ROUND(VLOOKUP($BJ268,$AI$3:$AO$33,MATCH(BU$3,$AI$3:$AO$3,0),FALSE)+$BL268/VLOOKUP(VLOOKUP($BJ268,坦克个性化设定!$B$18:$E$48,4,FALSE)&amp;$BK268,坦克属性分配比例,MATCH("升星次数",坦克属性分配比例标头,0),FALSE)*VLOOKUP($BJ268,$AR$3:$AY$33,MATCH(BU$3,$AR$3:$AY$3,0),FALSE),1)</f>
        <v>6.3</v>
      </c>
      <c r="BV268" s="2">
        <f>IF(VLOOKUP(BJ268,坦克个性化设定!$B$18:$BC$48,MATCH("装弹类型",坦克个性化设定!$B$18:$BC$18,0),FALSE)="弹夹换弹",0,ROUND(VLOOKUP($BJ268,$AI$3:$AO$33,MATCH("换弹时间",$AI$3:$AO$3,0),FALSE)-$BL268/VLOOKUP(VLOOKUP($BJ268,坦克个性化设定!$B$18:$E$48,4,FALSE)&amp;$BK268,坦克属性分配比例,MATCH("升星次数",坦克属性分配比例标头,0),FALSE)*VLOOKUP($BJ268,$AR$3:$AY$33,MATCH("换弹时间",$AR$3:$AY$3,0),FALSE),2))</f>
        <v>5.38</v>
      </c>
      <c r="BW268" s="2">
        <f>IF(VLOOKUP(BJ268,坦克个性化设定!$B$18:$BC$48,MATCH("装弹类型",坦克个性化设定!$B$18:$BC$18,0),FALSE)="弹夹换弹",ROUND(VLOOKUP($BJ268,$AI$3:$AO$33,MATCH("换弹时间",$AI$3:$AO$3,0),FALSE)-$BL268/VLOOKUP(VLOOKUP($BJ268,坦克个性化设定!$B$18:$E$48,4,FALSE)&amp;$BK268,坦克属性分配比例,MATCH("升星次数",坦克属性分配比例标头,0),FALSE)*VLOOKUP($BJ268,$AR$3:$AY$33,MATCH("换弹时间",$AR$3:$AY$3,0),FALSE),1),0)</f>
        <v>0</v>
      </c>
      <c r="BX268" s="2">
        <f>ROUND(VLOOKUP($BJ268,$AI$3:$AO$33,MATCH(BX$3,$AI$3:$AO$3,0),FALSE)+$BL268/VLOOKUP(VLOOKUP($BJ268,坦克个性化设定!$B$18:$E$48,4,FALSE)&amp;$BK268,坦克属性分配比例,MATCH("升星次数",坦克属性分配比例标头,0),FALSE)*VLOOKUP($BJ268,$AR$3:$AY$33,MATCH(BX$3,$AR$3:$AY$3,0),FALSE),2)</f>
        <v>0</v>
      </c>
      <c r="BY268" s="2">
        <f>ROUND(VLOOKUP($BJ268,$AI$3:$AO$33,MATCH(BY$3,$AI$3:$AO$3,0),FALSE)-$BL268/VLOOKUP(VLOOKUP($BJ268,坦克个性化设定!$B$18:$E$48,4,FALSE)&amp;$BK268,坦克属性分配比例,MATCH("升星次数",坦克属性分配比例标头,0),FALSE)*VLOOKUP($BJ268,$AR$3:$AY$33,MATCH(BY$3,$AR$3:$AY$3,0),FALSE),2)</f>
        <v>2.64</v>
      </c>
    </row>
    <row r="269" spans="60:77" x14ac:dyDescent="0.3">
      <c r="BH269" s="2" t="str">
        <f t="shared" si="35"/>
        <v>征服者9</v>
      </c>
      <c r="BI269" s="2">
        <f>IF(BL268&gt;=VLOOKUP(VLOOKUP(BJ268,坦克个性化设定!$B$18:$E$48,4,FALSE)&amp;BK268,坦克属性分配比例,MATCH("升星次数",坦克属性分配比例标头,0),FALSE),BI268+1,BI268)</f>
        <v>27</v>
      </c>
      <c r="BJ269" s="2" t="str">
        <f t="shared" si="36"/>
        <v>征服者</v>
      </c>
      <c r="BK269" s="29" t="str">
        <f>VLOOKUP(BJ269,坦克个性化细分!$I$3:$J$33,2,FALSE)</f>
        <v>低</v>
      </c>
      <c r="BL269" s="2">
        <f t="shared" si="37"/>
        <v>9</v>
      </c>
      <c r="BM269" s="103">
        <f ca="1">ROUND(VLOOKUP($BJ269&amp;"初始",$S$3:$AE$63,MATCH(BM$3,$S$3:$AE$3,0),FALSE)+((VLOOKUP($BJ269&amp;"最终",$S$3:$AE$63,MATCH(BM$3,$S$3:$AE$3,0),FALSE)*坦克个性化细分!$C$9-VLOOKUP($BJ269&amp;"初始",$S$3:$AE$63,MATCH(BM$3,$S$3:$AE$3,0),FALSE))-(VLOOKUP($BJ269&amp;"最终",$S$3:$AE$63,MATCH(BM$3,$S$3:$AE$3,0),FALSE)-VLOOKUP($BJ269&amp;"初始",$S$3:$AE$63,MATCH(BM$3,$S$3:$AE$3,0),FALSE))*VLOOKUP(VLOOKUP($BJ269,坦克个性化设定!$B$18:$E$48,4,FALSE)&amp;$BK269,坦克属性分配比例,MATCH("部件比例",坦克属性分配比例标头,0),FALSE))*$BL269/VLOOKUP(VLOOKUP($BJ269,坦克个性化设定!$B$18:$E$48,4,FALSE)&amp;$BK269,坦克属性分配比例,MATCH("升星次数",坦克属性分配比例标头,0),FALSE),0)</f>
        <v>2777</v>
      </c>
      <c r="BN269" s="103">
        <f ca="1">ROUND(VLOOKUP($BJ269&amp;"初始",$S$3:$AE$63,MATCH(BN$3,$S$3:$AE$3,0),FALSE)+(VLOOKUP($BJ269&amp;"最终",$S$3:$AE$63,MATCH(BN$3,$S$3:$AE$3,0),FALSE)-VLOOKUP($BJ269&amp;"初始",$S$3:$AE$63,MATCH(BN$3,$S$3:$AE$3,0),FALSE))*$BL269/VLOOKUP(VLOOKUP($BJ269,坦克个性化设定!$B$18:$E$48,4,FALSE)&amp;$BK269,坦克属性分配比例,MATCH("升星次数",坦克属性分配比例标头,0),FALSE)*VLOOKUP(VLOOKUP($BJ269,坦克个性化设定!$B$18:$E$48,4,FALSE)&amp;$BK269,坦克属性分配比例,MATCH("升星比例",坦克属性分配比例标头,0),FALSE),0)</f>
        <v>765</v>
      </c>
      <c r="BO269" s="103">
        <f ca="1">ROUND(VLOOKUP($BJ269&amp;"初始",$S$3:$AE$63,MATCH(BO$3,$S$3:$AE$3,0),FALSE)+(VLOOKUP($BJ269&amp;"最终",$S$3:$AE$63,MATCH(BO$3,$S$3:$AE$3,0),FALSE)-VLOOKUP($BJ269&amp;"初始",$S$3:$AE$63,MATCH(BO$3,$S$3:$AE$3,0),FALSE))*$BL269/VLOOKUP(VLOOKUP($BJ269,坦克个性化设定!$B$18:$E$48,4,FALSE)&amp;$BK269,坦克属性分配比例,MATCH("升星次数",坦克属性分配比例标头,0),FALSE)*(VLOOKUP(VLOOKUP($BJ269,坦克个性化设定!$B$18:$E$48,4,FALSE)&amp;$BK269,坦克属性分配比例,MATCH("升星比例",坦克属性分配比例标头,0),FALSE)+VLOOKUP(VLOOKUP($BJ269,坦克个性化设定!$B$18:$E$48,4,FALSE)&amp;$BK269,坦克属性分配比例,MATCH("部件比例",坦克属性分配比例标头,0),FALSE)*$C$3),0)</f>
        <v>793</v>
      </c>
      <c r="BP269" s="103">
        <f ca="1">ROUND(VLOOKUP($BJ269&amp;"初始",$S$3:$AE$63,MATCH(BP$3,$S$3:$AE$3,0),FALSE)+(VLOOKUP($BJ269&amp;"最终",$S$3:$AE$63,MATCH(BP$3,$S$3:$AE$3,0),FALSE)-VLOOKUP($BJ269&amp;"初始",$S$3:$AE$63,MATCH(BP$3,$S$3:$AE$3,0),FALSE))*$BL269/VLOOKUP(VLOOKUP($BJ269,坦克个性化设定!$B$18:$E$48,4,FALSE)&amp;$BK269,坦克属性分配比例,MATCH("升星次数",坦克属性分配比例标头,0),FALSE)*(VLOOKUP(VLOOKUP($BJ269,坦克个性化设定!$B$18:$E$48,4,FALSE)&amp;$BK269,坦克属性分配比例,MATCH("升星比例",坦克属性分配比例标头,0),FALSE)+VLOOKUP(VLOOKUP($BJ269,坦克个性化设定!$B$18:$E$48,4,FALSE)&amp;$BK269,坦克属性分配比例,MATCH("部件比例",坦克属性分配比例标头,0),FALSE)*$C$3),0)</f>
        <v>635</v>
      </c>
      <c r="BQ269" s="103">
        <f ca="1">ROUND(VLOOKUP($BJ269&amp;"初始",$S$3:$AE$63,MATCH(BQ$3,$S$3:$AE$3,0),FALSE)+(VLOOKUP($BJ269&amp;"最终",$S$3:$AE$63,MATCH(BQ$3,$S$3:$AE$3,0),FALSE)-VLOOKUP($BJ269&amp;"初始",$S$3:$AE$63,MATCH(BQ$3,$S$3:$AE$3,0),FALSE))*$BL269/VLOOKUP(VLOOKUP($BJ269,坦克个性化设定!$B$18:$E$48,4,FALSE)&amp;$BK269,坦克属性分配比例,MATCH("升星次数",坦克属性分配比例标头,0),FALSE)*VLOOKUP(VLOOKUP($BJ269,坦克个性化设定!$B$18:$E$48,4,FALSE)&amp;$BK269,坦克属性分配比例,MATCH("升星比例",坦克属性分配比例标头,0),FALSE),0)</f>
        <v>976</v>
      </c>
      <c r="BR269" s="2">
        <f ca="1">ROUND(VLOOKUP($BJ269&amp;"初始",$S$3:$AE$63,MATCH(BR$3,$S$3:$AE$3,0),FALSE)+(VLOOKUP($BJ269&amp;"最终",$S$3:$AE$63,MATCH(BR$3,$S$3:$AE$3,0),FALSE)-VLOOKUP($BJ269&amp;"初始",$S$3:$AE$63,MATCH(BR$3,$S$3:$AE$3,0),FALSE))*$BL269/VLOOKUP(VLOOKUP($BJ269,坦克个性化设定!$B$18:$E$48,4,FALSE)&amp;$BK269,坦克属性分配比例,MATCH("升星次数",坦克属性分配比例标头,0),FALSE),0)</f>
        <v>260</v>
      </c>
      <c r="BS269" s="2">
        <f>ROUND(VLOOKUP($BJ269,$AI$3:$AO$33,MATCH(BS$3,$AI$3:$AO$3,0),FALSE)+$BL269/VLOOKUP(VLOOKUP($BJ269,坦克个性化设定!$B$18:$E$48,4,FALSE)&amp;$BK269,坦克属性分配比例,MATCH("升星次数",坦克属性分配比例标头,0),FALSE)*VLOOKUP($BJ269,$AR$3:$AY$33,MATCH(BS$3,$AR$3:$AY$3,0),FALSE),1)</f>
        <v>37</v>
      </c>
      <c r="BT269" s="2">
        <f>ROUND(VLOOKUP($BJ269,$AI$3:$AO$33,MATCH(BT$3,$AI$3:$AO$3,0),FALSE)+$BL269/VLOOKUP(VLOOKUP($BJ269,坦克个性化设定!$B$18:$E$48,4,FALSE)&amp;$BK269,坦克属性分配比例,MATCH("升星次数",坦克属性分配比例标头,0),FALSE)*VLOOKUP($BJ269,$AR$3:$AY$33,MATCH(BT$3,$AR$3:$AY$3,0),FALSE),1)</f>
        <v>42.2</v>
      </c>
      <c r="BU269" s="2">
        <f>ROUND(VLOOKUP($BJ269,$AI$3:$AO$33,MATCH(BU$3,$AI$3:$AO$3,0),FALSE)+$BL269/VLOOKUP(VLOOKUP($BJ269,坦克个性化设定!$B$18:$E$48,4,FALSE)&amp;$BK269,坦克属性分配比例,MATCH("升星次数",坦克属性分配比例标头,0),FALSE)*VLOOKUP($BJ269,$AR$3:$AY$33,MATCH(BU$3,$AR$3:$AY$3,0),FALSE),1)</f>
        <v>6.3</v>
      </c>
      <c r="BV269" s="2">
        <f>IF(VLOOKUP(BJ269,坦克个性化设定!$B$18:$BC$48,MATCH("装弹类型",坦克个性化设定!$B$18:$BC$18,0),FALSE)="弹夹换弹",0,ROUND(VLOOKUP($BJ269,$AI$3:$AO$33,MATCH("换弹时间",$AI$3:$AO$3,0),FALSE)-$BL269/VLOOKUP(VLOOKUP($BJ269,坦克个性化设定!$B$18:$E$48,4,FALSE)&amp;$BK269,坦克属性分配比例,MATCH("升星次数",坦克属性分配比例标头,0),FALSE)*VLOOKUP($BJ269,$AR$3:$AY$33,MATCH("换弹时间",$AR$3:$AY$3,0),FALSE),2))</f>
        <v>5.3</v>
      </c>
      <c r="BW269" s="2">
        <f>IF(VLOOKUP(BJ269,坦克个性化设定!$B$18:$BC$48,MATCH("装弹类型",坦克个性化设定!$B$18:$BC$18,0),FALSE)="弹夹换弹",ROUND(VLOOKUP($BJ269,$AI$3:$AO$33,MATCH("换弹时间",$AI$3:$AO$3,0),FALSE)-$BL269/VLOOKUP(VLOOKUP($BJ269,坦克个性化设定!$B$18:$E$48,4,FALSE)&amp;$BK269,坦克属性分配比例,MATCH("升星次数",坦克属性分配比例标头,0),FALSE)*VLOOKUP($BJ269,$AR$3:$AY$33,MATCH("换弹时间",$AR$3:$AY$3,0),FALSE),1),0)</f>
        <v>0</v>
      </c>
      <c r="BX269" s="2">
        <f>ROUND(VLOOKUP($BJ269,$AI$3:$AO$33,MATCH(BX$3,$AI$3:$AO$3,0),FALSE)+$BL269/VLOOKUP(VLOOKUP($BJ269,坦克个性化设定!$B$18:$E$48,4,FALSE)&amp;$BK269,坦克属性分配比例,MATCH("升星次数",坦克属性分配比例标头,0),FALSE)*VLOOKUP($BJ269,$AR$3:$AY$33,MATCH(BX$3,$AR$3:$AY$3,0),FALSE),2)</f>
        <v>0</v>
      </c>
      <c r="BY269" s="2">
        <f>ROUND(VLOOKUP($BJ269,$AI$3:$AO$33,MATCH(BY$3,$AI$3:$AO$3,0),FALSE)-$BL269/VLOOKUP(VLOOKUP($BJ269,坦克个性化设定!$B$18:$E$48,4,FALSE)&amp;$BK269,坦克属性分配比例,MATCH("升星次数",坦克属性分配比例标头,0),FALSE)*VLOOKUP($BJ269,$AR$3:$AY$33,MATCH(BY$3,$AR$3:$AY$3,0),FALSE),2)</f>
        <v>2.59</v>
      </c>
    </row>
    <row r="270" spans="60:77" x14ac:dyDescent="0.3">
      <c r="BH270" s="2" t="str">
        <f t="shared" si="35"/>
        <v>征服者10</v>
      </c>
      <c r="BI270" s="2">
        <f>IF(BL269&gt;=VLOOKUP(VLOOKUP(BJ269,坦克个性化设定!$B$18:$E$48,4,FALSE)&amp;BK269,坦克属性分配比例,MATCH("升星次数",坦克属性分配比例标头,0),FALSE),BI269+1,BI269)</f>
        <v>27</v>
      </c>
      <c r="BJ270" s="2" t="str">
        <f t="shared" si="36"/>
        <v>征服者</v>
      </c>
      <c r="BK270" s="29" t="str">
        <f>VLOOKUP(BJ270,坦克个性化细分!$I$3:$J$33,2,FALSE)</f>
        <v>低</v>
      </c>
      <c r="BL270" s="2">
        <f t="shared" si="37"/>
        <v>10</v>
      </c>
      <c r="BM270" s="103">
        <f ca="1">ROUND(VLOOKUP($BJ270&amp;"初始",$S$3:$AE$63,MATCH(BM$3,$S$3:$AE$3,0),FALSE)+((VLOOKUP($BJ270&amp;"最终",$S$3:$AE$63,MATCH(BM$3,$S$3:$AE$3,0),FALSE)*坦克个性化细分!$C$9-VLOOKUP($BJ270&amp;"初始",$S$3:$AE$63,MATCH(BM$3,$S$3:$AE$3,0),FALSE))-(VLOOKUP($BJ270&amp;"最终",$S$3:$AE$63,MATCH(BM$3,$S$3:$AE$3,0),FALSE)-VLOOKUP($BJ270&amp;"初始",$S$3:$AE$63,MATCH(BM$3,$S$3:$AE$3,0),FALSE))*VLOOKUP(VLOOKUP($BJ270,坦克个性化设定!$B$18:$E$48,4,FALSE)&amp;$BK270,坦克属性分配比例,MATCH("部件比例",坦克属性分配比例标头,0),FALSE))*$BL270/VLOOKUP(VLOOKUP($BJ270,坦克个性化设定!$B$18:$E$48,4,FALSE)&amp;$BK270,坦克属性分配比例,MATCH("升星次数",坦克属性分配比例标头,0),FALSE),0)</f>
        <v>2861</v>
      </c>
      <c r="BN270" s="103">
        <f ca="1">ROUND(VLOOKUP($BJ270&amp;"初始",$S$3:$AE$63,MATCH(BN$3,$S$3:$AE$3,0),FALSE)+(VLOOKUP($BJ270&amp;"最终",$S$3:$AE$63,MATCH(BN$3,$S$3:$AE$3,0),FALSE)-VLOOKUP($BJ270&amp;"初始",$S$3:$AE$63,MATCH(BN$3,$S$3:$AE$3,0),FALSE))*$BL270/VLOOKUP(VLOOKUP($BJ270,坦克个性化设定!$B$18:$E$48,4,FALSE)&amp;$BK270,坦克属性分配比例,MATCH("升星次数",坦克属性分配比例标头,0),FALSE)*VLOOKUP(VLOOKUP($BJ270,坦克个性化设定!$B$18:$E$48,4,FALSE)&amp;$BK270,坦克属性分配比例,MATCH("升星比例",坦克属性分配比例标头,0),FALSE),0)</f>
        <v>780</v>
      </c>
      <c r="BO270" s="103">
        <f ca="1">ROUND(VLOOKUP($BJ270&amp;"初始",$S$3:$AE$63,MATCH(BO$3,$S$3:$AE$3,0),FALSE)+(VLOOKUP($BJ270&amp;"最终",$S$3:$AE$63,MATCH(BO$3,$S$3:$AE$3,0),FALSE)-VLOOKUP($BJ270&amp;"初始",$S$3:$AE$63,MATCH(BO$3,$S$3:$AE$3,0),FALSE))*$BL270/VLOOKUP(VLOOKUP($BJ270,坦克个性化设定!$B$18:$E$48,4,FALSE)&amp;$BK270,坦克属性分配比例,MATCH("升星次数",坦克属性分配比例标头,0),FALSE)*(VLOOKUP(VLOOKUP($BJ270,坦克个性化设定!$B$18:$E$48,4,FALSE)&amp;$BK270,坦克属性分配比例,MATCH("升星比例",坦克属性分配比例标头,0),FALSE)+VLOOKUP(VLOOKUP($BJ270,坦克个性化设定!$B$18:$E$48,4,FALSE)&amp;$BK270,坦克属性分配比例,MATCH("部件比例",坦克属性分配比例标头,0),FALSE)*$C$3),0)</f>
        <v>814</v>
      </c>
      <c r="BP270" s="103">
        <f ca="1">ROUND(VLOOKUP($BJ270&amp;"初始",$S$3:$AE$63,MATCH(BP$3,$S$3:$AE$3,0),FALSE)+(VLOOKUP($BJ270&amp;"最终",$S$3:$AE$63,MATCH(BP$3,$S$3:$AE$3,0),FALSE)-VLOOKUP($BJ270&amp;"初始",$S$3:$AE$63,MATCH(BP$3,$S$3:$AE$3,0),FALSE))*$BL270/VLOOKUP(VLOOKUP($BJ270,坦克个性化设定!$B$18:$E$48,4,FALSE)&amp;$BK270,坦克属性分配比例,MATCH("升星次数",坦克属性分配比例标头,0),FALSE)*(VLOOKUP(VLOOKUP($BJ270,坦克个性化设定!$B$18:$E$48,4,FALSE)&amp;$BK270,坦克属性分配比例,MATCH("升星比例",坦克属性分配比例标头,0),FALSE)+VLOOKUP(VLOOKUP($BJ270,坦克个性化设定!$B$18:$E$48,4,FALSE)&amp;$BK270,坦克属性分配比例,MATCH("部件比例",坦克属性分配比例标头,0),FALSE)*$C$3),0)</f>
        <v>651</v>
      </c>
      <c r="BQ270" s="103">
        <f ca="1">ROUND(VLOOKUP($BJ270&amp;"初始",$S$3:$AE$63,MATCH(BQ$3,$S$3:$AE$3,0),FALSE)+(VLOOKUP($BJ270&amp;"最终",$S$3:$AE$63,MATCH(BQ$3,$S$3:$AE$3,0),FALSE)-VLOOKUP($BJ270&amp;"初始",$S$3:$AE$63,MATCH(BQ$3,$S$3:$AE$3,0),FALSE))*$BL270/VLOOKUP(VLOOKUP($BJ270,坦克个性化设定!$B$18:$E$48,4,FALSE)&amp;$BK270,坦克属性分配比例,MATCH("升星次数",坦克属性分配比例标头,0),FALSE)*VLOOKUP(VLOOKUP($BJ270,坦克个性化设定!$B$18:$E$48,4,FALSE)&amp;$BK270,坦克属性分配比例,MATCH("升星比例",坦克属性分配比例标头,0),FALSE),0)</f>
        <v>995</v>
      </c>
      <c r="BR270" s="2">
        <f ca="1">ROUND(VLOOKUP($BJ270&amp;"初始",$S$3:$AE$63,MATCH(BR$3,$S$3:$AE$3,0),FALSE)+(VLOOKUP($BJ270&amp;"最终",$S$3:$AE$63,MATCH(BR$3,$S$3:$AE$3,0),FALSE)-VLOOKUP($BJ270&amp;"初始",$S$3:$AE$63,MATCH(BR$3,$S$3:$AE$3,0),FALSE))*$BL270/VLOOKUP(VLOOKUP($BJ270,坦克个性化设定!$B$18:$E$48,4,FALSE)&amp;$BK270,坦克属性分配比例,MATCH("升星次数",坦克属性分配比例标头,0),FALSE),0)</f>
        <v>268</v>
      </c>
      <c r="BS270" s="2">
        <f>ROUND(VLOOKUP($BJ270,$AI$3:$AO$33,MATCH(BS$3,$AI$3:$AO$3,0),FALSE)+$BL270/VLOOKUP(VLOOKUP($BJ270,坦克个性化设定!$B$18:$E$48,4,FALSE)&amp;$BK270,坦克属性分配比例,MATCH("升星次数",坦克属性分配比例标头,0),FALSE)*VLOOKUP($BJ270,$AR$3:$AY$33,MATCH(BS$3,$AR$3:$AY$3,0),FALSE),1)</f>
        <v>37.700000000000003</v>
      </c>
      <c r="BT270" s="2">
        <f>ROUND(VLOOKUP($BJ270,$AI$3:$AO$33,MATCH(BT$3,$AI$3:$AO$3,0),FALSE)+$BL270/VLOOKUP(VLOOKUP($BJ270,坦克个性化设定!$B$18:$E$48,4,FALSE)&amp;$BK270,坦克属性分配比例,MATCH("升星次数",坦克属性分配比例标头,0),FALSE)*VLOOKUP($BJ270,$AR$3:$AY$33,MATCH(BT$3,$AR$3:$AY$3,0),FALSE),1)</f>
        <v>43</v>
      </c>
      <c r="BU270" s="2">
        <f>ROUND(VLOOKUP($BJ270,$AI$3:$AO$33,MATCH(BU$3,$AI$3:$AO$3,0),FALSE)+$BL270/VLOOKUP(VLOOKUP($BJ270,坦克个性化设定!$B$18:$E$48,4,FALSE)&amp;$BK270,坦克属性分配比例,MATCH("升星次数",坦克属性分配比例标头,0),FALSE)*VLOOKUP($BJ270,$AR$3:$AY$33,MATCH(BU$3,$AR$3:$AY$3,0),FALSE),1)</f>
        <v>6.3</v>
      </c>
      <c r="BV270" s="2">
        <f>IF(VLOOKUP(BJ270,坦克个性化设定!$B$18:$BC$48,MATCH("装弹类型",坦克个性化设定!$B$18:$BC$18,0),FALSE)="弹夹换弹",0,ROUND(VLOOKUP($BJ270,$AI$3:$AO$33,MATCH("换弹时间",$AI$3:$AO$3,0),FALSE)-$BL270/VLOOKUP(VLOOKUP($BJ270,坦克个性化设定!$B$18:$E$48,4,FALSE)&amp;$BK270,坦克属性分配比例,MATCH("升星次数",坦克属性分配比例标头,0),FALSE)*VLOOKUP($BJ270,$AR$3:$AY$33,MATCH("换弹时间",$AR$3:$AY$3,0),FALSE),2))</f>
        <v>5.23</v>
      </c>
      <c r="BW270" s="2">
        <f>IF(VLOOKUP(BJ270,坦克个性化设定!$B$18:$BC$48,MATCH("装弹类型",坦克个性化设定!$B$18:$BC$18,0),FALSE)="弹夹换弹",ROUND(VLOOKUP($BJ270,$AI$3:$AO$33,MATCH("换弹时间",$AI$3:$AO$3,0),FALSE)-$BL270/VLOOKUP(VLOOKUP($BJ270,坦克个性化设定!$B$18:$E$48,4,FALSE)&amp;$BK270,坦克属性分配比例,MATCH("升星次数",坦克属性分配比例标头,0),FALSE)*VLOOKUP($BJ270,$AR$3:$AY$33,MATCH("换弹时间",$AR$3:$AY$3,0),FALSE),1),0)</f>
        <v>0</v>
      </c>
      <c r="BX270" s="2">
        <f>ROUND(VLOOKUP($BJ270,$AI$3:$AO$33,MATCH(BX$3,$AI$3:$AO$3,0),FALSE)+$BL270/VLOOKUP(VLOOKUP($BJ270,坦克个性化设定!$B$18:$E$48,4,FALSE)&amp;$BK270,坦克属性分配比例,MATCH("升星次数",坦克属性分配比例标头,0),FALSE)*VLOOKUP($BJ270,$AR$3:$AY$33,MATCH(BX$3,$AR$3:$AY$3,0),FALSE),2)</f>
        <v>0</v>
      </c>
      <c r="BY270" s="2">
        <f>ROUND(VLOOKUP($BJ270,$AI$3:$AO$33,MATCH(BY$3,$AI$3:$AO$3,0),FALSE)-$BL270/VLOOKUP(VLOOKUP($BJ270,坦克个性化设定!$B$18:$E$48,4,FALSE)&amp;$BK270,坦克属性分配比例,MATCH("升星次数",坦克属性分配比例标头,0),FALSE)*VLOOKUP($BJ270,$AR$3:$AY$33,MATCH(BY$3,$AR$3:$AY$3,0),FALSE),2)</f>
        <v>2.5499999999999998</v>
      </c>
    </row>
    <row r="271" spans="60:77" x14ac:dyDescent="0.3">
      <c r="BH271" s="2" t="str">
        <f t="shared" si="35"/>
        <v>征服者11</v>
      </c>
      <c r="BI271" s="2">
        <f>IF(BL270&gt;=VLOOKUP(VLOOKUP(BJ270,坦克个性化设定!$B$18:$E$48,4,FALSE)&amp;BK270,坦克属性分配比例,MATCH("升星次数",坦克属性分配比例标头,0),FALSE),BI270+1,BI270)</f>
        <v>27</v>
      </c>
      <c r="BJ271" s="2" t="str">
        <f t="shared" si="36"/>
        <v>征服者</v>
      </c>
      <c r="BK271" s="29" t="str">
        <f>VLOOKUP(BJ271,坦克个性化细分!$I$3:$J$33,2,FALSE)</f>
        <v>低</v>
      </c>
      <c r="BL271" s="2">
        <f t="shared" si="37"/>
        <v>11</v>
      </c>
      <c r="BM271" s="103">
        <f ca="1">ROUND(VLOOKUP($BJ271&amp;"初始",$S$3:$AE$63,MATCH(BM$3,$S$3:$AE$3,0),FALSE)+((VLOOKUP($BJ271&amp;"最终",$S$3:$AE$63,MATCH(BM$3,$S$3:$AE$3,0),FALSE)*坦克个性化细分!$C$9-VLOOKUP($BJ271&amp;"初始",$S$3:$AE$63,MATCH(BM$3,$S$3:$AE$3,0),FALSE))-(VLOOKUP($BJ271&amp;"最终",$S$3:$AE$63,MATCH(BM$3,$S$3:$AE$3,0),FALSE)-VLOOKUP($BJ271&amp;"初始",$S$3:$AE$63,MATCH(BM$3,$S$3:$AE$3,0),FALSE))*VLOOKUP(VLOOKUP($BJ271,坦克个性化设定!$B$18:$E$48,4,FALSE)&amp;$BK271,坦克属性分配比例,MATCH("部件比例",坦克属性分配比例标头,0),FALSE))*$BL271/VLOOKUP(VLOOKUP($BJ271,坦克个性化设定!$B$18:$E$48,4,FALSE)&amp;$BK271,坦克属性分配比例,MATCH("升星次数",坦克属性分配比例标头,0),FALSE),0)</f>
        <v>2945</v>
      </c>
      <c r="BN271" s="103">
        <f ca="1">ROUND(VLOOKUP($BJ271&amp;"初始",$S$3:$AE$63,MATCH(BN$3,$S$3:$AE$3,0),FALSE)+(VLOOKUP($BJ271&amp;"最终",$S$3:$AE$63,MATCH(BN$3,$S$3:$AE$3,0),FALSE)-VLOOKUP($BJ271&amp;"初始",$S$3:$AE$63,MATCH(BN$3,$S$3:$AE$3,0),FALSE))*$BL271/VLOOKUP(VLOOKUP($BJ271,坦克个性化设定!$B$18:$E$48,4,FALSE)&amp;$BK271,坦克属性分配比例,MATCH("升星次数",坦克属性分配比例标头,0),FALSE)*VLOOKUP(VLOOKUP($BJ271,坦克个性化设定!$B$18:$E$48,4,FALSE)&amp;$BK271,坦克属性分配比例,MATCH("升星比例",坦克属性分配比例标头,0),FALSE),0)</f>
        <v>795</v>
      </c>
      <c r="BO271" s="103">
        <f ca="1">ROUND(VLOOKUP($BJ271&amp;"初始",$S$3:$AE$63,MATCH(BO$3,$S$3:$AE$3,0),FALSE)+(VLOOKUP($BJ271&amp;"最终",$S$3:$AE$63,MATCH(BO$3,$S$3:$AE$3,0),FALSE)-VLOOKUP($BJ271&amp;"初始",$S$3:$AE$63,MATCH(BO$3,$S$3:$AE$3,0),FALSE))*$BL271/VLOOKUP(VLOOKUP($BJ271,坦克个性化设定!$B$18:$E$48,4,FALSE)&amp;$BK271,坦克属性分配比例,MATCH("升星次数",坦克属性分配比例标头,0),FALSE)*(VLOOKUP(VLOOKUP($BJ271,坦克个性化设定!$B$18:$E$48,4,FALSE)&amp;$BK271,坦克属性分配比例,MATCH("升星比例",坦克属性分配比例标头,0),FALSE)+VLOOKUP(VLOOKUP($BJ271,坦克个性化设定!$B$18:$E$48,4,FALSE)&amp;$BK271,坦克属性分配比例,MATCH("部件比例",坦克属性分配比例标头,0),FALSE)*$C$3),0)</f>
        <v>835</v>
      </c>
      <c r="BP271" s="103">
        <f ca="1">ROUND(VLOOKUP($BJ271&amp;"初始",$S$3:$AE$63,MATCH(BP$3,$S$3:$AE$3,0),FALSE)+(VLOOKUP($BJ271&amp;"最终",$S$3:$AE$63,MATCH(BP$3,$S$3:$AE$3,0),FALSE)-VLOOKUP($BJ271&amp;"初始",$S$3:$AE$63,MATCH(BP$3,$S$3:$AE$3,0),FALSE))*$BL271/VLOOKUP(VLOOKUP($BJ271,坦克个性化设定!$B$18:$E$48,4,FALSE)&amp;$BK271,坦克属性分配比例,MATCH("升星次数",坦克属性分配比例标头,0),FALSE)*(VLOOKUP(VLOOKUP($BJ271,坦克个性化设定!$B$18:$E$48,4,FALSE)&amp;$BK271,坦克属性分配比例,MATCH("升星比例",坦克属性分配比例标头,0),FALSE)+VLOOKUP(VLOOKUP($BJ271,坦克个性化设定!$B$18:$E$48,4,FALSE)&amp;$BK271,坦克属性分配比例,MATCH("部件比例",坦克属性分配比例标头,0),FALSE)*$C$3),0)</f>
        <v>668</v>
      </c>
      <c r="BQ271" s="103">
        <f ca="1">ROUND(VLOOKUP($BJ271&amp;"初始",$S$3:$AE$63,MATCH(BQ$3,$S$3:$AE$3,0),FALSE)+(VLOOKUP($BJ271&amp;"最终",$S$3:$AE$63,MATCH(BQ$3,$S$3:$AE$3,0),FALSE)-VLOOKUP($BJ271&amp;"初始",$S$3:$AE$63,MATCH(BQ$3,$S$3:$AE$3,0),FALSE))*$BL271/VLOOKUP(VLOOKUP($BJ271,坦克个性化设定!$B$18:$E$48,4,FALSE)&amp;$BK271,坦克属性分配比例,MATCH("升星次数",坦克属性分配比例标头,0),FALSE)*VLOOKUP(VLOOKUP($BJ271,坦克个性化设定!$B$18:$E$48,4,FALSE)&amp;$BK271,坦克属性分配比例,MATCH("升星比例",坦克属性分配比例标头,0),FALSE),0)</f>
        <v>1014</v>
      </c>
      <c r="BR271" s="2">
        <f ca="1">ROUND(VLOOKUP($BJ271&amp;"初始",$S$3:$AE$63,MATCH(BR$3,$S$3:$AE$3,0),FALSE)+(VLOOKUP($BJ271&amp;"最终",$S$3:$AE$63,MATCH(BR$3,$S$3:$AE$3,0),FALSE)-VLOOKUP($BJ271&amp;"初始",$S$3:$AE$63,MATCH(BR$3,$S$3:$AE$3,0),FALSE))*$BL271/VLOOKUP(VLOOKUP($BJ271,坦克个性化设定!$B$18:$E$48,4,FALSE)&amp;$BK271,坦克属性分配比例,MATCH("升星次数",坦克属性分配比例标头,0),FALSE),0)</f>
        <v>276</v>
      </c>
      <c r="BS271" s="2">
        <f>ROUND(VLOOKUP($BJ271,$AI$3:$AO$33,MATCH(BS$3,$AI$3:$AO$3,0),FALSE)+$BL271/VLOOKUP(VLOOKUP($BJ271,坦克个性化设定!$B$18:$E$48,4,FALSE)&amp;$BK271,坦克属性分配比例,MATCH("升星次数",坦克属性分配比例标头,0),FALSE)*VLOOKUP($BJ271,$AR$3:$AY$33,MATCH(BS$3,$AR$3:$AY$3,0),FALSE),1)</f>
        <v>38.4</v>
      </c>
      <c r="BT271" s="2">
        <f>ROUND(VLOOKUP($BJ271,$AI$3:$AO$33,MATCH(BT$3,$AI$3:$AO$3,0),FALSE)+$BL271/VLOOKUP(VLOOKUP($BJ271,坦克个性化设定!$B$18:$E$48,4,FALSE)&amp;$BK271,坦克属性分配比例,MATCH("升星次数",坦克属性分配比例标头,0),FALSE)*VLOOKUP($BJ271,$AR$3:$AY$33,MATCH(BT$3,$AR$3:$AY$3,0),FALSE),1)</f>
        <v>43.8</v>
      </c>
      <c r="BU271" s="2">
        <f>ROUND(VLOOKUP($BJ271,$AI$3:$AO$33,MATCH(BU$3,$AI$3:$AO$3,0),FALSE)+$BL271/VLOOKUP(VLOOKUP($BJ271,坦克个性化设定!$B$18:$E$48,4,FALSE)&amp;$BK271,坦克属性分配比例,MATCH("升星次数",坦克属性分配比例标头,0),FALSE)*VLOOKUP($BJ271,$AR$3:$AY$33,MATCH(BU$3,$AR$3:$AY$3,0),FALSE),1)</f>
        <v>6.3</v>
      </c>
      <c r="BV271" s="2">
        <f>IF(VLOOKUP(BJ271,坦克个性化设定!$B$18:$BC$48,MATCH("装弹类型",坦克个性化设定!$B$18:$BC$18,0),FALSE)="弹夹换弹",0,ROUND(VLOOKUP($BJ271,$AI$3:$AO$33,MATCH("换弹时间",$AI$3:$AO$3,0),FALSE)-$BL271/VLOOKUP(VLOOKUP($BJ271,坦克个性化设定!$B$18:$E$48,4,FALSE)&amp;$BK271,坦克属性分配比例,MATCH("升星次数",坦克属性分配比例标头,0),FALSE)*VLOOKUP($BJ271,$AR$3:$AY$33,MATCH("换弹时间",$AR$3:$AY$3,0),FALSE),2))</f>
        <v>5.15</v>
      </c>
      <c r="BW271" s="2">
        <f>IF(VLOOKUP(BJ271,坦克个性化设定!$B$18:$BC$48,MATCH("装弹类型",坦克个性化设定!$B$18:$BC$18,0),FALSE)="弹夹换弹",ROUND(VLOOKUP($BJ271,$AI$3:$AO$33,MATCH("换弹时间",$AI$3:$AO$3,0),FALSE)-$BL271/VLOOKUP(VLOOKUP($BJ271,坦克个性化设定!$B$18:$E$48,4,FALSE)&amp;$BK271,坦克属性分配比例,MATCH("升星次数",坦克属性分配比例标头,0),FALSE)*VLOOKUP($BJ271,$AR$3:$AY$33,MATCH("换弹时间",$AR$3:$AY$3,0),FALSE),1),0)</f>
        <v>0</v>
      </c>
      <c r="BX271" s="2">
        <f>ROUND(VLOOKUP($BJ271,$AI$3:$AO$33,MATCH(BX$3,$AI$3:$AO$3,0),FALSE)+$BL271/VLOOKUP(VLOOKUP($BJ271,坦克个性化设定!$B$18:$E$48,4,FALSE)&amp;$BK271,坦克属性分配比例,MATCH("升星次数",坦克属性分配比例标头,0),FALSE)*VLOOKUP($BJ271,$AR$3:$AY$33,MATCH(BX$3,$AR$3:$AY$3,0),FALSE),2)</f>
        <v>0</v>
      </c>
      <c r="BY271" s="2">
        <f>ROUND(VLOOKUP($BJ271,$AI$3:$AO$33,MATCH(BY$3,$AI$3:$AO$3,0),FALSE)-$BL271/VLOOKUP(VLOOKUP($BJ271,坦克个性化设定!$B$18:$E$48,4,FALSE)&amp;$BK271,坦克属性分配比例,MATCH("升星次数",坦克属性分配比例标头,0),FALSE)*VLOOKUP($BJ271,$AR$3:$AY$33,MATCH(BY$3,$AR$3:$AY$3,0),FALSE),2)</f>
        <v>2.5</v>
      </c>
    </row>
    <row r="272" spans="60:77" x14ac:dyDescent="0.3">
      <c r="BH272" s="2" t="str">
        <f t="shared" si="35"/>
        <v>IS-40</v>
      </c>
      <c r="BI272" s="2">
        <f>IF(BL271&gt;=VLOOKUP(VLOOKUP(BJ271,坦克个性化设定!$B$18:$E$48,4,FALSE)&amp;BK271,坦克属性分配比例,MATCH("升星次数",坦克属性分配比例标头,0),FALSE),BI271+1,BI271)</f>
        <v>28</v>
      </c>
      <c r="BJ272" s="2" t="str">
        <f t="shared" si="36"/>
        <v>IS-4</v>
      </c>
      <c r="BK272" s="29" t="str">
        <f>VLOOKUP(BJ272,坦克个性化细分!$I$3:$J$33,2,FALSE)</f>
        <v>中</v>
      </c>
      <c r="BL272" s="2">
        <f t="shared" si="37"/>
        <v>0</v>
      </c>
      <c r="BM272" s="103">
        <f ca="1">ROUND(VLOOKUP($BJ272&amp;"初始",$S$3:$AE$63,MATCH(BM$3,$S$3:$AE$3,0),FALSE)+((VLOOKUP($BJ272&amp;"最终",$S$3:$AE$63,MATCH(BM$3,$S$3:$AE$3,0),FALSE)*坦克个性化细分!$C$9-VLOOKUP($BJ272&amp;"初始",$S$3:$AE$63,MATCH(BM$3,$S$3:$AE$3,0),FALSE))-(VLOOKUP($BJ272&amp;"最终",$S$3:$AE$63,MATCH(BM$3,$S$3:$AE$3,0),FALSE)-VLOOKUP($BJ272&amp;"初始",$S$3:$AE$63,MATCH(BM$3,$S$3:$AE$3,0),FALSE))*VLOOKUP(VLOOKUP($BJ272,坦克个性化设定!$B$18:$E$48,4,FALSE)&amp;$BK272,坦克属性分配比例,MATCH("部件比例",坦克属性分配比例标头,0),FALSE))*$BL272/VLOOKUP(VLOOKUP($BJ272,坦克个性化设定!$B$18:$E$48,4,FALSE)&amp;$BK272,坦克属性分配比例,MATCH("升星次数",坦克属性分配比例标头,0),FALSE),0)</f>
        <v>1940</v>
      </c>
      <c r="BN272" s="103">
        <f ca="1">ROUND(VLOOKUP($BJ272&amp;"初始",$S$3:$AE$63,MATCH(BN$3,$S$3:$AE$3,0),FALSE)+(VLOOKUP($BJ272&amp;"最终",$S$3:$AE$63,MATCH(BN$3,$S$3:$AE$3,0),FALSE)-VLOOKUP($BJ272&amp;"初始",$S$3:$AE$63,MATCH(BN$3,$S$3:$AE$3,0),FALSE))*$BL272/VLOOKUP(VLOOKUP($BJ272,坦克个性化设定!$B$18:$E$48,4,FALSE)&amp;$BK272,坦克属性分配比例,MATCH("升星次数",坦克属性分配比例标头,0),FALSE)*VLOOKUP(VLOOKUP($BJ272,坦克个性化设定!$B$18:$E$48,4,FALSE)&amp;$BK272,坦克属性分配比例,MATCH("升星比例",坦克属性分配比例标头,0),FALSE),0)</f>
        <v>550</v>
      </c>
      <c r="BO272" s="103">
        <f ca="1">ROUND(VLOOKUP($BJ272&amp;"初始",$S$3:$AE$63,MATCH(BO$3,$S$3:$AE$3,0),FALSE)+(VLOOKUP($BJ272&amp;"最终",$S$3:$AE$63,MATCH(BO$3,$S$3:$AE$3,0),FALSE)-VLOOKUP($BJ272&amp;"初始",$S$3:$AE$63,MATCH(BO$3,$S$3:$AE$3,0),FALSE))*$BL272/VLOOKUP(VLOOKUP($BJ272,坦克个性化设定!$B$18:$E$48,4,FALSE)&amp;$BK272,坦克属性分配比例,MATCH("升星次数",坦克属性分配比例标头,0),FALSE)*(VLOOKUP(VLOOKUP($BJ272,坦克个性化设定!$B$18:$E$48,4,FALSE)&amp;$BK272,坦克属性分配比例,MATCH("升星比例",坦克属性分配比例标头,0),FALSE)+VLOOKUP(VLOOKUP($BJ272,坦克个性化设定!$B$18:$E$48,4,FALSE)&amp;$BK272,坦克属性分配比例,MATCH("部件比例",坦克属性分配比例标头,0),FALSE)*$C$3),0)</f>
        <v>571</v>
      </c>
      <c r="BP272" s="103">
        <f ca="1">ROUND(VLOOKUP($BJ272&amp;"初始",$S$3:$AE$63,MATCH(BP$3,$S$3:$AE$3,0),FALSE)+(VLOOKUP($BJ272&amp;"最终",$S$3:$AE$63,MATCH(BP$3,$S$3:$AE$3,0),FALSE)-VLOOKUP($BJ272&amp;"初始",$S$3:$AE$63,MATCH(BP$3,$S$3:$AE$3,0),FALSE))*$BL272/VLOOKUP(VLOOKUP($BJ272,坦克个性化设定!$B$18:$E$48,4,FALSE)&amp;$BK272,坦克属性分配比例,MATCH("升星次数",坦克属性分配比例标头,0),FALSE)*(VLOOKUP(VLOOKUP($BJ272,坦克个性化设定!$B$18:$E$48,4,FALSE)&amp;$BK272,坦克属性分配比例,MATCH("升星比例",坦克属性分配比例标头,0),FALSE)+VLOOKUP(VLOOKUP($BJ272,坦克个性化设定!$B$18:$E$48,4,FALSE)&amp;$BK272,坦克属性分配比例,MATCH("部件比例",坦克属性分配比例标头,0),FALSE)*$C$3),0)</f>
        <v>457</v>
      </c>
      <c r="BQ272" s="103">
        <f ca="1">ROUND(VLOOKUP($BJ272&amp;"初始",$S$3:$AE$63,MATCH(BQ$3,$S$3:$AE$3,0),FALSE)+(VLOOKUP($BJ272&amp;"最终",$S$3:$AE$63,MATCH(BQ$3,$S$3:$AE$3,0),FALSE)-VLOOKUP($BJ272&amp;"初始",$S$3:$AE$63,MATCH(BQ$3,$S$3:$AE$3,0),FALSE))*$BL272/VLOOKUP(VLOOKUP($BJ272,坦克个性化设定!$B$18:$E$48,4,FALSE)&amp;$BK272,坦克属性分配比例,MATCH("升星次数",坦克属性分配比例标头,0),FALSE)*VLOOKUP(VLOOKUP($BJ272,坦克个性化设定!$B$18:$E$48,4,FALSE)&amp;$BK272,坦克属性分配比例,MATCH("升星比例",坦克属性分配比例标头,0),FALSE),0)</f>
        <v>840</v>
      </c>
      <c r="BR272" s="2">
        <f ca="1">ROUND(VLOOKUP($BJ272&amp;"初始",$S$3:$AE$63,MATCH(BR$3,$S$3:$AE$3,0),FALSE)+(VLOOKUP($BJ272&amp;"最终",$S$3:$AE$63,MATCH(BR$3,$S$3:$AE$3,0),FALSE)-VLOOKUP($BJ272&amp;"初始",$S$3:$AE$63,MATCH(BR$3,$S$3:$AE$3,0),FALSE))*$BL272/VLOOKUP(VLOOKUP($BJ272,坦克个性化设定!$B$18:$E$48,4,FALSE)&amp;$BK272,坦克属性分配比例,MATCH("升星次数",坦克属性分配比例标头,0),FALSE),0)</f>
        <v>196</v>
      </c>
      <c r="BS272" s="2">
        <f>ROUND(VLOOKUP($BJ272,$AI$3:$AO$33,MATCH(BS$3,$AI$3:$AO$3,0),FALSE)+$BL272/VLOOKUP(VLOOKUP($BJ272,坦克个性化设定!$B$18:$E$48,4,FALSE)&amp;$BK272,坦克属性分配比例,MATCH("升星次数",坦克属性分配比例标头,0),FALSE)*VLOOKUP($BJ272,$AR$3:$AY$33,MATCH(BS$3,$AR$3:$AY$3,0),FALSE),1)</f>
        <v>31.3</v>
      </c>
      <c r="BT272" s="2">
        <f>ROUND(VLOOKUP($BJ272,$AI$3:$AO$33,MATCH(BT$3,$AI$3:$AO$3,0),FALSE)+$BL272/VLOOKUP(VLOOKUP($BJ272,坦克个性化设定!$B$18:$E$48,4,FALSE)&amp;$BK272,坦克属性分配比例,MATCH("升星次数",坦克属性分配比例标头,0),FALSE)*VLOOKUP($BJ272,$AR$3:$AY$33,MATCH(BT$3,$AR$3:$AY$3,0),FALSE),1)</f>
        <v>35.700000000000003</v>
      </c>
      <c r="BU272" s="2">
        <f>ROUND(VLOOKUP($BJ272,$AI$3:$AO$33,MATCH(BU$3,$AI$3:$AO$3,0),FALSE)+$BL272/VLOOKUP(VLOOKUP($BJ272,坦克个性化设定!$B$18:$E$48,4,FALSE)&amp;$BK272,坦克属性分配比例,MATCH("升星次数",坦克属性分配比例标头,0),FALSE)*VLOOKUP($BJ272,$AR$3:$AY$33,MATCH(BU$3,$AR$3:$AY$3,0),FALSE),1)</f>
        <v>6.4</v>
      </c>
      <c r="BV272" s="2">
        <f>IF(VLOOKUP(BJ272,坦克个性化设定!$B$18:$BC$48,MATCH("装弹类型",坦克个性化设定!$B$18:$BC$18,0),FALSE)="弹夹换弹",0,ROUND(VLOOKUP($BJ272,$AI$3:$AO$33,MATCH("换弹时间",$AI$3:$AO$3,0),FALSE)-$BL272/VLOOKUP(VLOOKUP($BJ272,坦克个性化设定!$B$18:$E$48,4,FALSE)&amp;$BK272,坦克属性分配比例,MATCH("升星次数",坦克属性分配比例标头,0),FALSE)*VLOOKUP($BJ272,$AR$3:$AY$33,MATCH("换弹时间",$AR$3:$AY$3,0),FALSE),2))</f>
        <v>4.5</v>
      </c>
      <c r="BW272" s="2">
        <f>IF(VLOOKUP(BJ272,坦克个性化设定!$B$18:$BC$48,MATCH("装弹类型",坦克个性化设定!$B$18:$BC$18,0),FALSE)="弹夹换弹",ROUND(VLOOKUP($BJ272,$AI$3:$AO$33,MATCH("换弹时间",$AI$3:$AO$3,0),FALSE)-$BL272/VLOOKUP(VLOOKUP($BJ272,坦克个性化设定!$B$18:$E$48,4,FALSE)&amp;$BK272,坦克属性分配比例,MATCH("升星次数",坦克属性分配比例标头,0),FALSE)*VLOOKUP($BJ272,$AR$3:$AY$33,MATCH("换弹时间",$AR$3:$AY$3,0),FALSE),1),0)</f>
        <v>0</v>
      </c>
      <c r="BX272" s="2">
        <f>ROUND(VLOOKUP($BJ272,$AI$3:$AO$33,MATCH(BX$3,$AI$3:$AO$3,0),FALSE)+$BL272/VLOOKUP(VLOOKUP($BJ272,坦克个性化设定!$B$18:$E$48,4,FALSE)&amp;$BK272,坦克属性分配比例,MATCH("升星次数",坦克属性分配比例标头,0),FALSE)*VLOOKUP($BJ272,$AR$3:$AY$33,MATCH(BX$3,$AR$3:$AY$3,0),FALSE),2)</f>
        <v>2</v>
      </c>
      <c r="BY272" s="2">
        <f>ROUND(VLOOKUP($BJ272,$AI$3:$AO$33,MATCH(BY$3,$AI$3:$AO$3,0),FALSE)-$BL272/VLOOKUP(VLOOKUP($BJ272,坦克个性化设定!$B$18:$E$48,4,FALSE)&amp;$BK272,坦克属性分配比例,MATCH("升星次数",坦克属性分配比例标头,0),FALSE)*VLOOKUP($BJ272,$AR$3:$AY$33,MATCH(BY$3,$AR$3:$AY$3,0),FALSE),2)</f>
        <v>2.25</v>
      </c>
    </row>
    <row r="273" spans="60:77" x14ac:dyDescent="0.3">
      <c r="BH273" s="2" t="str">
        <f t="shared" si="35"/>
        <v>IS-41</v>
      </c>
      <c r="BI273" s="2">
        <f>IF(BL272&gt;=VLOOKUP(VLOOKUP(BJ272,坦克个性化设定!$B$18:$E$48,4,FALSE)&amp;BK272,坦克属性分配比例,MATCH("升星次数",坦克属性分配比例标头,0),FALSE),BI272+1,BI272)</f>
        <v>28</v>
      </c>
      <c r="BJ273" s="2" t="str">
        <f t="shared" si="36"/>
        <v>IS-4</v>
      </c>
      <c r="BK273" s="29" t="str">
        <f>VLOOKUP(BJ273,坦克个性化细分!$I$3:$J$33,2,FALSE)</f>
        <v>中</v>
      </c>
      <c r="BL273" s="2">
        <f t="shared" si="37"/>
        <v>1</v>
      </c>
      <c r="BM273" s="103">
        <f ca="1">ROUND(VLOOKUP($BJ273&amp;"初始",$S$3:$AE$63,MATCH(BM$3,$S$3:$AE$3,0),FALSE)+((VLOOKUP($BJ273&amp;"最终",$S$3:$AE$63,MATCH(BM$3,$S$3:$AE$3,0),FALSE)*坦克个性化细分!$C$9-VLOOKUP($BJ273&amp;"初始",$S$3:$AE$63,MATCH(BM$3,$S$3:$AE$3,0),FALSE))-(VLOOKUP($BJ273&amp;"最终",$S$3:$AE$63,MATCH(BM$3,$S$3:$AE$3,0),FALSE)-VLOOKUP($BJ273&amp;"初始",$S$3:$AE$63,MATCH(BM$3,$S$3:$AE$3,0),FALSE))*VLOOKUP(VLOOKUP($BJ273,坦克个性化设定!$B$18:$E$48,4,FALSE)&amp;$BK273,坦克属性分配比例,MATCH("部件比例",坦克属性分配比例标头,0),FALSE))*$BL273/VLOOKUP(VLOOKUP($BJ273,坦克个性化设定!$B$18:$E$48,4,FALSE)&amp;$BK273,坦克属性分配比例,MATCH("升星次数",坦克属性分配比例标头,0),FALSE),0)</f>
        <v>2026</v>
      </c>
      <c r="BN273" s="103">
        <f ca="1">ROUND(VLOOKUP($BJ273&amp;"初始",$S$3:$AE$63,MATCH(BN$3,$S$3:$AE$3,0),FALSE)+(VLOOKUP($BJ273&amp;"最终",$S$3:$AE$63,MATCH(BN$3,$S$3:$AE$3,0),FALSE)-VLOOKUP($BJ273&amp;"初始",$S$3:$AE$63,MATCH(BN$3,$S$3:$AE$3,0),FALSE))*$BL273/VLOOKUP(VLOOKUP($BJ273,坦克个性化设定!$B$18:$E$48,4,FALSE)&amp;$BK273,坦克属性分配比例,MATCH("升星次数",坦克属性分配比例标头,0),FALSE)*VLOOKUP(VLOOKUP($BJ273,坦克个性化设定!$B$18:$E$48,4,FALSE)&amp;$BK273,坦克属性分配比例,MATCH("升星比例",坦克属性分配比例标头,0),FALSE),0)</f>
        <v>563</v>
      </c>
      <c r="BO273" s="103">
        <f ca="1">ROUND(VLOOKUP($BJ273&amp;"初始",$S$3:$AE$63,MATCH(BO$3,$S$3:$AE$3,0),FALSE)+(VLOOKUP($BJ273&amp;"最终",$S$3:$AE$63,MATCH(BO$3,$S$3:$AE$3,0),FALSE)-VLOOKUP($BJ273&amp;"初始",$S$3:$AE$63,MATCH(BO$3,$S$3:$AE$3,0),FALSE))*$BL273/VLOOKUP(VLOOKUP($BJ273,坦克个性化设定!$B$18:$E$48,4,FALSE)&amp;$BK273,坦克属性分配比例,MATCH("升星次数",坦克属性分配比例标头,0),FALSE)*(VLOOKUP(VLOOKUP($BJ273,坦克个性化设定!$B$18:$E$48,4,FALSE)&amp;$BK273,坦克属性分配比例,MATCH("升星比例",坦克属性分配比例标头,0),FALSE)+VLOOKUP(VLOOKUP($BJ273,坦克个性化设定!$B$18:$E$48,4,FALSE)&amp;$BK273,坦克属性分配比例,MATCH("部件比例",坦克属性分配比例标头,0),FALSE)*$C$3),0)</f>
        <v>592</v>
      </c>
      <c r="BP273" s="103">
        <f ca="1">ROUND(VLOOKUP($BJ273&amp;"初始",$S$3:$AE$63,MATCH(BP$3,$S$3:$AE$3,0),FALSE)+(VLOOKUP($BJ273&amp;"最终",$S$3:$AE$63,MATCH(BP$3,$S$3:$AE$3,0),FALSE)-VLOOKUP($BJ273&amp;"初始",$S$3:$AE$63,MATCH(BP$3,$S$3:$AE$3,0),FALSE))*$BL273/VLOOKUP(VLOOKUP($BJ273,坦克个性化设定!$B$18:$E$48,4,FALSE)&amp;$BK273,坦克属性分配比例,MATCH("升星次数",坦克属性分配比例标头,0),FALSE)*(VLOOKUP(VLOOKUP($BJ273,坦克个性化设定!$B$18:$E$48,4,FALSE)&amp;$BK273,坦克属性分配比例,MATCH("升星比例",坦克属性分配比例标头,0),FALSE)+VLOOKUP(VLOOKUP($BJ273,坦克个性化设定!$B$18:$E$48,4,FALSE)&amp;$BK273,坦克属性分配比例,MATCH("部件比例",坦克属性分配比例标头,0),FALSE)*$C$3),0)</f>
        <v>473</v>
      </c>
      <c r="BQ273" s="103">
        <f ca="1">ROUND(VLOOKUP($BJ273&amp;"初始",$S$3:$AE$63,MATCH(BQ$3,$S$3:$AE$3,0),FALSE)+(VLOOKUP($BJ273&amp;"最终",$S$3:$AE$63,MATCH(BQ$3,$S$3:$AE$3,0),FALSE)-VLOOKUP($BJ273&amp;"初始",$S$3:$AE$63,MATCH(BQ$3,$S$3:$AE$3,0),FALSE))*$BL273/VLOOKUP(VLOOKUP($BJ273,坦克个性化设定!$B$18:$E$48,4,FALSE)&amp;$BK273,坦克属性分配比例,MATCH("升星次数",坦克属性分配比例标头,0),FALSE)*VLOOKUP(VLOOKUP($BJ273,坦克个性化设定!$B$18:$E$48,4,FALSE)&amp;$BK273,坦克属性分配比例,MATCH("升星比例",坦克属性分配比例标头,0),FALSE),0)</f>
        <v>860</v>
      </c>
      <c r="BR273" s="2">
        <f ca="1">ROUND(VLOOKUP($BJ273&amp;"初始",$S$3:$AE$63,MATCH(BR$3,$S$3:$AE$3,0),FALSE)+(VLOOKUP($BJ273&amp;"最终",$S$3:$AE$63,MATCH(BR$3,$S$3:$AE$3,0),FALSE)-VLOOKUP($BJ273&amp;"初始",$S$3:$AE$63,MATCH(BR$3,$S$3:$AE$3,0),FALSE))*$BL273/VLOOKUP(VLOOKUP($BJ273,坦克个性化设定!$B$18:$E$48,4,FALSE)&amp;$BK273,坦克属性分配比例,MATCH("升星次数",坦克属性分配比例标头,0),FALSE),0)</f>
        <v>205</v>
      </c>
      <c r="BS273" s="2">
        <f>ROUND(VLOOKUP($BJ273,$AI$3:$AO$33,MATCH(BS$3,$AI$3:$AO$3,0),FALSE)+$BL273/VLOOKUP(VLOOKUP($BJ273,坦克个性化设定!$B$18:$E$48,4,FALSE)&amp;$BK273,坦克属性分配比例,MATCH("升星次数",坦克属性分配比例标头,0),FALSE)*VLOOKUP($BJ273,$AR$3:$AY$33,MATCH(BS$3,$AR$3:$AY$3,0),FALSE),1)</f>
        <v>32</v>
      </c>
      <c r="BT273" s="2">
        <f>ROUND(VLOOKUP($BJ273,$AI$3:$AO$33,MATCH(BT$3,$AI$3:$AO$3,0),FALSE)+$BL273/VLOOKUP(VLOOKUP($BJ273,坦克个性化设定!$B$18:$E$48,4,FALSE)&amp;$BK273,坦克属性分配比例,MATCH("升星次数",坦克属性分配比例标头,0),FALSE)*VLOOKUP($BJ273,$AR$3:$AY$33,MATCH(BT$3,$AR$3:$AY$3,0),FALSE),1)</f>
        <v>36.5</v>
      </c>
      <c r="BU273" s="2">
        <f>ROUND(VLOOKUP($BJ273,$AI$3:$AO$33,MATCH(BU$3,$AI$3:$AO$3,0),FALSE)+$BL273/VLOOKUP(VLOOKUP($BJ273,坦克个性化设定!$B$18:$E$48,4,FALSE)&amp;$BK273,坦克属性分配比例,MATCH("升星次数",坦克属性分配比例标头,0),FALSE)*VLOOKUP($BJ273,$AR$3:$AY$33,MATCH(BU$3,$AR$3:$AY$3,0),FALSE),1)</f>
        <v>6.4</v>
      </c>
      <c r="BV273" s="2">
        <f>IF(VLOOKUP(BJ273,坦克个性化设定!$B$18:$BC$48,MATCH("装弹类型",坦克个性化设定!$B$18:$BC$18,0),FALSE)="弹夹换弹",0,ROUND(VLOOKUP($BJ273,$AI$3:$AO$33,MATCH("换弹时间",$AI$3:$AO$3,0),FALSE)-$BL273/VLOOKUP(VLOOKUP($BJ273,坦克个性化设定!$B$18:$E$48,4,FALSE)&amp;$BK273,坦克属性分配比例,MATCH("升星次数",坦克属性分配比例标头,0),FALSE)*VLOOKUP($BJ273,$AR$3:$AY$33,MATCH("换弹时间",$AR$3:$AY$3,0),FALSE),2))</f>
        <v>4.4400000000000004</v>
      </c>
      <c r="BW273" s="2">
        <f>IF(VLOOKUP(BJ273,坦克个性化设定!$B$18:$BC$48,MATCH("装弹类型",坦克个性化设定!$B$18:$BC$18,0),FALSE)="弹夹换弹",ROUND(VLOOKUP($BJ273,$AI$3:$AO$33,MATCH("换弹时间",$AI$3:$AO$3,0),FALSE)-$BL273/VLOOKUP(VLOOKUP($BJ273,坦克个性化设定!$B$18:$E$48,4,FALSE)&amp;$BK273,坦克属性分配比例,MATCH("升星次数",坦克属性分配比例标头,0),FALSE)*VLOOKUP($BJ273,$AR$3:$AY$33,MATCH("换弹时间",$AR$3:$AY$3,0),FALSE),1),0)</f>
        <v>0</v>
      </c>
      <c r="BX273" s="2">
        <f>ROUND(VLOOKUP($BJ273,$AI$3:$AO$33,MATCH(BX$3,$AI$3:$AO$3,0),FALSE)+$BL273/VLOOKUP(VLOOKUP($BJ273,坦克个性化设定!$B$18:$E$48,4,FALSE)&amp;$BK273,坦克属性分配比例,MATCH("升星次数",坦克属性分配比例标头,0),FALSE)*VLOOKUP($BJ273,$AR$3:$AY$33,MATCH(BX$3,$AR$3:$AY$3,0),FALSE),2)</f>
        <v>2</v>
      </c>
      <c r="BY273" s="2">
        <f>ROUND(VLOOKUP($BJ273,$AI$3:$AO$33,MATCH(BY$3,$AI$3:$AO$3,0),FALSE)-$BL273/VLOOKUP(VLOOKUP($BJ273,坦克个性化设定!$B$18:$E$48,4,FALSE)&amp;$BK273,坦克属性分配比例,MATCH("升星次数",坦克属性分配比例标头,0),FALSE)*VLOOKUP($BJ273,$AR$3:$AY$33,MATCH(BY$3,$AR$3:$AY$3,0),FALSE),2)</f>
        <v>2.2200000000000002</v>
      </c>
    </row>
    <row r="274" spans="60:77" x14ac:dyDescent="0.3">
      <c r="BH274" s="2" t="str">
        <f t="shared" si="35"/>
        <v>IS-42</v>
      </c>
      <c r="BI274" s="2">
        <f>IF(BL273&gt;=VLOOKUP(VLOOKUP(BJ273,坦克个性化设定!$B$18:$E$48,4,FALSE)&amp;BK273,坦克属性分配比例,MATCH("升星次数",坦克属性分配比例标头,0),FALSE),BI273+1,BI273)</f>
        <v>28</v>
      </c>
      <c r="BJ274" s="2" t="str">
        <f t="shared" si="36"/>
        <v>IS-4</v>
      </c>
      <c r="BK274" s="29" t="str">
        <f>VLOOKUP(BJ274,坦克个性化细分!$I$3:$J$33,2,FALSE)</f>
        <v>中</v>
      </c>
      <c r="BL274" s="2">
        <f t="shared" si="37"/>
        <v>2</v>
      </c>
      <c r="BM274" s="103">
        <f ca="1">ROUND(VLOOKUP($BJ274&amp;"初始",$S$3:$AE$63,MATCH(BM$3,$S$3:$AE$3,0),FALSE)+((VLOOKUP($BJ274&amp;"最终",$S$3:$AE$63,MATCH(BM$3,$S$3:$AE$3,0),FALSE)*坦克个性化细分!$C$9-VLOOKUP($BJ274&amp;"初始",$S$3:$AE$63,MATCH(BM$3,$S$3:$AE$3,0),FALSE))-(VLOOKUP($BJ274&amp;"最终",$S$3:$AE$63,MATCH(BM$3,$S$3:$AE$3,0),FALSE)-VLOOKUP($BJ274&amp;"初始",$S$3:$AE$63,MATCH(BM$3,$S$3:$AE$3,0),FALSE))*VLOOKUP(VLOOKUP($BJ274,坦克个性化设定!$B$18:$E$48,4,FALSE)&amp;$BK274,坦克属性分配比例,MATCH("部件比例",坦克属性分配比例标头,0),FALSE))*$BL274/VLOOKUP(VLOOKUP($BJ274,坦克个性化设定!$B$18:$E$48,4,FALSE)&amp;$BK274,坦克属性分配比例,MATCH("升星次数",坦克属性分配比例标头,0),FALSE),0)</f>
        <v>2112</v>
      </c>
      <c r="BN274" s="103">
        <f ca="1">ROUND(VLOOKUP($BJ274&amp;"初始",$S$3:$AE$63,MATCH(BN$3,$S$3:$AE$3,0),FALSE)+(VLOOKUP($BJ274&amp;"最终",$S$3:$AE$63,MATCH(BN$3,$S$3:$AE$3,0),FALSE)-VLOOKUP($BJ274&amp;"初始",$S$3:$AE$63,MATCH(BN$3,$S$3:$AE$3,0),FALSE))*$BL274/VLOOKUP(VLOOKUP($BJ274,坦克个性化设定!$B$18:$E$48,4,FALSE)&amp;$BK274,坦克属性分配比例,MATCH("升星次数",坦克属性分配比例标头,0),FALSE)*VLOOKUP(VLOOKUP($BJ274,坦克个性化设定!$B$18:$E$48,4,FALSE)&amp;$BK274,坦克属性分配比例,MATCH("升星比例",坦克属性分配比例标头,0),FALSE),0)</f>
        <v>576</v>
      </c>
      <c r="BO274" s="103">
        <f ca="1">ROUND(VLOOKUP($BJ274&amp;"初始",$S$3:$AE$63,MATCH(BO$3,$S$3:$AE$3,0),FALSE)+(VLOOKUP($BJ274&amp;"最终",$S$3:$AE$63,MATCH(BO$3,$S$3:$AE$3,0),FALSE)-VLOOKUP($BJ274&amp;"初始",$S$3:$AE$63,MATCH(BO$3,$S$3:$AE$3,0),FALSE))*$BL274/VLOOKUP(VLOOKUP($BJ274,坦克个性化设定!$B$18:$E$48,4,FALSE)&amp;$BK274,坦克属性分配比例,MATCH("升星次数",坦克属性分配比例标头,0),FALSE)*(VLOOKUP(VLOOKUP($BJ274,坦克个性化设定!$B$18:$E$48,4,FALSE)&amp;$BK274,坦克属性分配比例,MATCH("升星比例",坦克属性分配比例标头,0),FALSE)+VLOOKUP(VLOOKUP($BJ274,坦克个性化设定!$B$18:$E$48,4,FALSE)&amp;$BK274,坦克属性分配比例,MATCH("部件比例",坦克属性分配比例标头,0),FALSE)*$C$3),0)</f>
        <v>612</v>
      </c>
      <c r="BP274" s="103">
        <f ca="1">ROUND(VLOOKUP($BJ274&amp;"初始",$S$3:$AE$63,MATCH(BP$3,$S$3:$AE$3,0),FALSE)+(VLOOKUP($BJ274&amp;"最终",$S$3:$AE$63,MATCH(BP$3,$S$3:$AE$3,0),FALSE)-VLOOKUP($BJ274&amp;"初始",$S$3:$AE$63,MATCH(BP$3,$S$3:$AE$3,0),FALSE))*$BL274/VLOOKUP(VLOOKUP($BJ274,坦克个性化设定!$B$18:$E$48,4,FALSE)&amp;$BK274,坦克属性分配比例,MATCH("升星次数",坦克属性分配比例标头,0),FALSE)*(VLOOKUP(VLOOKUP($BJ274,坦克个性化设定!$B$18:$E$48,4,FALSE)&amp;$BK274,坦克属性分配比例,MATCH("升星比例",坦克属性分配比例标头,0),FALSE)+VLOOKUP(VLOOKUP($BJ274,坦克个性化设定!$B$18:$E$48,4,FALSE)&amp;$BK274,坦克属性分配比例,MATCH("部件比例",坦克属性分配比例标头,0),FALSE)*$C$3),0)</f>
        <v>490</v>
      </c>
      <c r="BQ274" s="103">
        <f ca="1">ROUND(VLOOKUP($BJ274&amp;"初始",$S$3:$AE$63,MATCH(BQ$3,$S$3:$AE$3,0),FALSE)+(VLOOKUP($BJ274&amp;"最终",$S$3:$AE$63,MATCH(BQ$3,$S$3:$AE$3,0),FALSE)-VLOOKUP($BJ274&amp;"初始",$S$3:$AE$63,MATCH(BQ$3,$S$3:$AE$3,0),FALSE))*$BL274/VLOOKUP(VLOOKUP($BJ274,坦克个性化设定!$B$18:$E$48,4,FALSE)&amp;$BK274,坦克属性分配比例,MATCH("升星次数",坦克属性分配比例标头,0),FALSE)*VLOOKUP(VLOOKUP($BJ274,坦克个性化设定!$B$18:$E$48,4,FALSE)&amp;$BK274,坦克属性分配比例,MATCH("升星比例",坦克属性分配比例标头,0),FALSE),0)</f>
        <v>880</v>
      </c>
      <c r="BR274" s="2">
        <f ca="1">ROUND(VLOOKUP($BJ274&amp;"初始",$S$3:$AE$63,MATCH(BR$3,$S$3:$AE$3,0),FALSE)+(VLOOKUP($BJ274&amp;"最终",$S$3:$AE$63,MATCH(BR$3,$S$3:$AE$3,0),FALSE)-VLOOKUP($BJ274&amp;"初始",$S$3:$AE$63,MATCH(BR$3,$S$3:$AE$3,0),FALSE))*$BL274/VLOOKUP(VLOOKUP($BJ274,坦克个性化设定!$B$18:$E$48,4,FALSE)&amp;$BK274,坦克属性分配比例,MATCH("升星次数",坦克属性分配比例标头,0),FALSE),0)</f>
        <v>213</v>
      </c>
      <c r="BS274" s="2">
        <f>ROUND(VLOOKUP($BJ274,$AI$3:$AO$33,MATCH(BS$3,$AI$3:$AO$3,0),FALSE)+$BL274/VLOOKUP(VLOOKUP($BJ274,坦克个性化设定!$B$18:$E$48,4,FALSE)&amp;$BK274,坦克属性分配比例,MATCH("升星次数",坦克属性分配比例标头,0),FALSE)*VLOOKUP($BJ274,$AR$3:$AY$33,MATCH(BS$3,$AR$3:$AY$3,0),FALSE),1)</f>
        <v>32.700000000000003</v>
      </c>
      <c r="BT274" s="2">
        <f>ROUND(VLOOKUP($BJ274,$AI$3:$AO$33,MATCH(BT$3,$AI$3:$AO$3,0),FALSE)+$BL274/VLOOKUP(VLOOKUP($BJ274,坦克个性化设定!$B$18:$E$48,4,FALSE)&amp;$BK274,坦克属性分配比例,MATCH("升星次数",坦克属性分配比例标头,0),FALSE)*VLOOKUP($BJ274,$AR$3:$AY$33,MATCH(BT$3,$AR$3:$AY$3,0),FALSE),1)</f>
        <v>37.299999999999997</v>
      </c>
      <c r="BU274" s="2">
        <f>ROUND(VLOOKUP($BJ274,$AI$3:$AO$33,MATCH(BU$3,$AI$3:$AO$3,0),FALSE)+$BL274/VLOOKUP(VLOOKUP($BJ274,坦克个性化设定!$B$18:$E$48,4,FALSE)&amp;$BK274,坦克属性分配比例,MATCH("升星次数",坦克属性分配比例标头,0),FALSE)*VLOOKUP($BJ274,$AR$3:$AY$33,MATCH(BU$3,$AR$3:$AY$3,0),FALSE),1)</f>
        <v>6.4</v>
      </c>
      <c r="BV274" s="2">
        <f>IF(VLOOKUP(BJ274,坦克个性化设定!$B$18:$BC$48,MATCH("装弹类型",坦克个性化设定!$B$18:$BC$18,0),FALSE)="弹夹换弹",0,ROUND(VLOOKUP($BJ274,$AI$3:$AO$33,MATCH("换弹时间",$AI$3:$AO$3,0),FALSE)-$BL274/VLOOKUP(VLOOKUP($BJ274,坦克个性化设定!$B$18:$E$48,4,FALSE)&amp;$BK274,坦克属性分配比例,MATCH("升星次数",坦克属性分配比例标头,0),FALSE)*VLOOKUP($BJ274,$AR$3:$AY$33,MATCH("换弹时间",$AR$3:$AY$3,0),FALSE),2))</f>
        <v>4.38</v>
      </c>
      <c r="BW274" s="2">
        <f>IF(VLOOKUP(BJ274,坦克个性化设定!$B$18:$BC$48,MATCH("装弹类型",坦克个性化设定!$B$18:$BC$18,0),FALSE)="弹夹换弹",ROUND(VLOOKUP($BJ274,$AI$3:$AO$33,MATCH("换弹时间",$AI$3:$AO$3,0),FALSE)-$BL274/VLOOKUP(VLOOKUP($BJ274,坦克个性化设定!$B$18:$E$48,4,FALSE)&amp;$BK274,坦克属性分配比例,MATCH("升星次数",坦克属性分配比例标头,0),FALSE)*VLOOKUP($BJ274,$AR$3:$AY$33,MATCH("换弹时间",$AR$3:$AY$3,0),FALSE),1),0)</f>
        <v>0</v>
      </c>
      <c r="BX274" s="2">
        <f>ROUND(VLOOKUP($BJ274,$AI$3:$AO$33,MATCH(BX$3,$AI$3:$AO$3,0),FALSE)+$BL274/VLOOKUP(VLOOKUP($BJ274,坦克个性化设定!$B$18:$E$48,4,FALSE)&amp;$BK274,坦克属性分配比例,MATCH("升星次数",坦克属性分配比例标头,0),FALSE)*VLOOKUP($BJ274,$AR$3:$AY$33,MATCH(BX$3,$AR$3:$AY$3,0),FALSE),2)</f>
        <v>2</v>
      </c>
      <c r="BY274" s="2">
        <f>ROUND(VLOOKUP($BJ274,$AI$3:$AO$33,MATCH(BY$3,$AI$3:$AO$3,0),FALSE)-$BL274/VLOOKUP(VLOOKUP($BJ274,坦克个性化设定!$B$18:$E$48,4,FALSE)&amp;$BK274,坦克属性分配比例,MATCH("升星次数",坦克属性分配比例标头,0),FALSE)*VLOOKUP($BJ274,$AR$3:$AY$33,MATCH(BY$3,$AR$3:$AY$3,0),FALSE),2)</f>
        <v>2.1800000000000002</v>
      </c>
    </row>
    <row r="275" spans="60:77" x14ac:dyDescent="0.3">
      <c r="BH275" s="2" t="str">
        <f t="shared" si="35"/>
        <v>IS-43</v>
      </c>
      <c r="BI275" s="2">
        <f>IF(BL274&gt;=VLOOKUP(VLOOKUP(BJ274,坦克个性化设定!$B$18:$E$48,4,FALSE)&amp;BK274,坦克属性分配比例,MATCH("升星次数",坦克属性分配比例标头,0),FALSE),BI274+1,BI274)</f>
        <v>28</v>
      </c>
      <c r="BJ275" s="2" t="str">
        <f t="shared" si="36"/>
        <v>IS-4</v>
      </c>
      <c r="BK275" s="29" t="str">
        <f>VLOOKUP(BJ275,坦克个性化细分!$I$3:$J$33,2,FALSE)</f>
        <v>中</v>
      </c>
      <c r="BL275" s="2">
        <f t="shared" si="37"/>
        <v>3</v>
      </c>
      <c r="BM275" s="103">
        <f ca="1">ROUND(VLOOKUP($BJ275&amp;"初始",$S$3:$AE$63,MATCH(BM$3,$S$3:$AE$3,0),FALSE)+((VLOOKUP($BJ275&amp;"最终",$S$3:$AE$63,MATCH(BM$3,$S$3:$AE$3,0),FALSE)*坦克个性化细分!$C$9-VLOOKUP($BJ275&amp;"初始",$S$3:$AE$63,MATCH(BM$3,$S$3:$AE$3,0),FALSE))-(VLOOKUP($BJ275&amp;"最终",$S$3:$AE$63,MATCH(BM$3,$S$3:$AE$3,0),FALSE)-VLOOKUP($BJ275&amp;"初始",$S$3:$AE$63,MATCH(BM$3,$S$3:$AE$3,0),FALSE))*VLOOKUP(VLOOKUP($BJ275,坦克个性化设定!$B$18:$E$48,4,FALSE)&amp;$BK275,坦克属性分配比例,MATCH("部件比例",坦克属性分配比例标头,0),FALSE))*$BL275/VLOOKUP(VLOOKUP($BJ275,坦克个性化设定!$B$18:$E$48,4,FALSE)&amp;$BK275,坦克属性分配比例,MATCH("升星次数",坦克属性分配比例标头,0),FALSE),0)</f>
        <v>2197</v>
      </c>
      <c r="BN275" s="103">
        <f ca="1">ROUND(VLOOKUP($BJ275&amp;"初始",$S$3:$AE$63,MATCH(BN$3,$S$3:$AE$3,0),FALSE)+(VLOOKUP($BJ275&amp;"最终",$S$3:$AE$63,MATCH(BN$3,$S$3:$AE$3,0),FALSE)-VLOOKUP($BJ275&amp;"初始",$S$3:$AE$63,MATCH(BN$3,$S$3:$AE$3,0),FALSE))*$BL275/VLOOKUP(VLOOKUP($BJ275,坦克个性化设定!$B$18:$E$48,4,FALSE)&amp;$BK275,坦克属性分配比例,MATCH("升星次数",坦克属性分配比例标头,0),FALSE)*VLOOKUP(VLOOKUP($BJ275,坦克个性化设定!$B$18:$E$48,4,FALSE)&amp;$BK275,坦克属性分配比例,MATCH("升星比例",坦克属性分配比例标头,0),FALSE),0)</f>
        <v>590</v>
      </c>
      <c r="BO275" s="103">
        <f ca="1">ROUND(VLOOKUP($BJ275&amp;"初始",$S$3:$AE$63,MATCH(BO$3,$S$3:$AE$3,0),FALSE)+(VLOOKUP($BJ275&amp;"最终",$S$3:$AE$63,MATCH(BO$3,$S$3:$AE$3,0),FALSE)-VLOOKUP($BJ275&amp;"初始",$S$3:$AE$63,MATCH(BO$3,$S$3:$AE$3,0),FALSE))*$BL275/VLOOKUP(VLOOKUP($BJ275,坦克个性化设定!$B$18:$E$48,4,FALSE)&amp;$BK275,坦克属性分配比例,MATCH("升星次数",坦克属性分配比例标头,0),FALSE)*(VLOOKUP(VLOOKUP($BJ275,坦克个性化设定!$B$18:$E$48,4,FALSE)&amp;$BK275,坦克属性分配比例,MATCH("升星比例",坦克属性分配比例标头,0),FALSE)+VLOOKUP(VLOOKUP($BJ275,坦克个性化设定!$B$18:$E$48,4,FALSE)&amp;$BK275,坦克属性分配比例,MATCH("部件比例",坦克属性分配比例标头,0),FALSE)*$C$3),0)</f>
        <v>633</v>
      </c>
      <c r="BP275" s="103">
        <f ca="1">ROUND(VLOOKUP($BJ275&amp;"初始",$S$3:$AE$63,MATCH(BP$3,$S$3:$AE$3,0),FALSE)+(VLOOKUP($BJ275&amp;"最终",$S$3:$AE$63,MATCH(BP$3,$S$3:$AE$3,0),FALSE)-VLOOKUP($BJ275&amp;"初始",$S$3:$AE$63,MATCH(BP$3,$S$3:$AE$3,0),FALSE))*$BL275/VLOOKUP(VLOOKUP($BJ275,坦克个性化设定!$B$18:$E$48,4,FALSE)&amp;$BK275,坦克属性分配比例,MATCH("升星次数",坦克属性分配比例标头,0),FALSE)*(VLOOKUP(VLOOKUP($BJ275,坦克个性化设定!$B$18:$E$48,4,FALSE)&amp;$BK275,坦克属性分配比例,MATCH("升星比例",坦克属性分配比例标头,0),FALSE)+VLOOKUP(VLOOKUP($BJ275,坦克个性化设定!$B$18:$E$48,4,FALSE)&amp;$BK275,坦克属性分配比例,MATCH("部件比例",坦克属性分配比例标头,0),FALSE)*$C$3),0)</f>
        <v>506</v>
      </c>
      <c r="BQ275" s="103">
        <f ca="1">ROUND(VLOOKUP($BJ275&amp;"初始",$S$3:$AE$63,MATCH(BQ$3,$S$3:$AE$3,0),FALSE)+(VLOOKUP($BJ275&amp;"最终",$S$3:$AE$63,MATCH(BQ$3,$S$3:$AE$3,0),FALSE)-VLOOKUP($BJ275&amp;"初始",$S$3:$AE$63,MATCH(BQ$3,$S$3:$AE$3,0),FALSE))*$BL275/VLOOKUP(VLOOKUP($BJ275,坦克个性化设定!$B$18:$E$48,4,FALSE)&amp;$BK275,坦克属性分配比例,MATCH("升星次数",坦克属性分配比例标头,0),FALSE)*VLOOKUP(VLOOKUP($BJ275,坦克个性化设定!$B$18:$E$48,4,FALSE)&amp;$BK275,坦克属性分配比例,MATCH("升星比例",坦克属性分配比例标头,0),FALSE),0)</f>
        <v>900</v>
      </c>
      <c r="BR275" s="2">
        <f ca="1">ROUND(VLOOKUP($BJ275&amp;"初始",$S$3:$AE$63,MATCH(BR$3,$S$3:$AE$3,0),FALSE)+(VLOOKUP($BJ275&amp;"最终",$S$3:$AE$63,MATCH(BR$3,$S$3:$AE$3,0),FALSE)-VLOOKUP($BJ275&amp;"初始",$S$3:$AE$63,MATCH(BR$3,$S$3:$AE$3,0),FALSE))*$BL275/VLOOKUP(VLOOKUP($BJ275,坦克个性化设定!$B$18:$E$48,4,FALSE)&amp;$BK275,坦克属性分配比例,MATCH("升星次数",坦克属性分配比例标头,0),FALSE),0)</f>
        <v>222</v>
      </c>
      <c r="BS275" s="2">
        <f>ROUND(VLOOKUP($BJ275,$AI$3:$AO$33,MATCH(BS$3,$AI$3:$AO$3,0),FALSE)+$BL275/VLOOKUP(VLOOKUP($BJ275,坦克个性化设定!$B$18:$E$48,4,FALSE)&amp;$BK275,坦克属性分配比例,MATCH("升星次数",坦克属性分配比例标头,0),FALSE)*VLOOKUP($BJ275,$AR$3:$AY$33,MATCH(BS$3,$AR$3:$AY$3,0),FALSE),1)</f>
        <v>33.4</v>
      </c>
      <c r="BT275" s="2">
        <f>ROUND(VLOOKUP($BJ275,$AI$3:$AO$33,MATCH(BT$3,$AI$3:$AO$3,0),FALSE)+$BL275/VLOOKUP(VLOOKUP($BJ275,坦克个性化设定!$B$18:$E$48,4,FALSE)&amp;$BK275,坦克属性分配比例,MATCH("升星次数",坦克属性分配比例标头,0),FALSE)*VLOOKUP($BJ275,$AR$3:$AY$33,MATCH(BT$3,$AR$3:$AY$3,0),FALSE),1)</f>
        <v>38.1</v>
      </c>
      <c r="BU275" s="2">
        <f>ROUND(VLOOKUP($BJ275,$AI$3:$AO$33,MATCH(BU$3,$AI$3:$AO$3,0),FALSE)+$BL275/VLOOKUP(VLOOKUP($BJ275,坦克个性化设定!$B$18:$E$48,4,FALSE)&amp;$BK275,坦克属性分配比例,MATCH("升星次数",坦克属性分配比例标头,0),FALSE)*VLOOKUP($BJ275,$AR$3:$AY$33,MATCH(BU$3,$AR$3:$AY$3,0),FALSE),1)</f>
        <v>6.4</v>
      </c>
      <c r="BV275" s="2">
        <f>IF(VLOOKUP(BJ275,坦克个性化设定!$B$18:$BC$48,MATCH("装弹类型",坦克个性化设定!$B$18:$BC$18,0),FALSE)="弹夹换弹",0,ROUND(VLOOKUP($BJ275,$AI$3:$AO$33,MATCH("换弹时间",$AI$3:$AO$3,0),FALSE)-$BL275/VLOOKUP(VLOOKUP($BJ275,坦克个性化设定!$B$18:$E$48,4,FALSE)&amp;$BK275,坦克属性分配比例,MATCH("升星次数",坦克属性分配比例标头,0),FALSE)*VLOOKUP($BJ275,$AR$3:$AY$33,MATCH("换弹时间",$AR$3:$AY$3,0),FALSE),2))</f>
        <v>4.32</v>
      </c>
      <c r="BW275" s="2">
        <f>IF(VLOOKUP(BJ275,坦克个性化设定!$B$18:$BC$48,MATCH("装弹类型",坦克个性化设定!$B$18:$BC$18,0),FALSE)="弹夹换弹",ROUND(VLOOKUP($BJ275,$AI$3:$AO$33,MATCH("换弹时间",$AI$3:$AO$3,0),FALSE)-$BL275/VLOOKUP(VLOOKUP($BJ275,坦克个性化设定!$B$18:$E$48,4,FALSE)&amp;$BK275,坦克属性分配比例,MATCH("升星次数",坦克属性分配比例标头,0),FALSE)*VLOOKUP($BJ275,$AR$3:$AY$33,MATCH("换弹时间",$AR$3:$AY$3,0),FALSE),1),0)</f>
        <v>0</v>
      </c>
      <c r="BX275" s="2">
        <f>ROUND(VLOOKUP($BJ275,$AI$3:$AO$33,MATCH(BX$3,$AI$3:$AO$3,0),FALSE)+$BL275/VLOOKUP(VLOOKUP($BJ275,坦克个性化设定!$B$18:$E$48,4,FALSE)&amp;$BK275,坦克属性分配比例,MATCH("升星次数",坦克属性分配比例标头,0),FALSE)*VLOOKUP($BJ275,$AR$3:$AY$33,MATCH(BX$3,$AR$3:$AY$3,0),FALSE),2)</f>
        <v>2</v>
      </c>
      <c r="BY275" s="2">
        <f>ROUND(VLOOKUP($BJ275,$AI$3:$AO$33,MATCH(BY$3,$AI$3:$AO$3,0),FALSE)-$BL275/VLOOKUP(VLOOKUP($BJ275,坦克个性化设定!$B$18:$E$48,4,FALSE)&amp;$BK275,坦克属性分配比例,MATCH("升星次数",坦克属性分配比例标头,0),FALSE)*VLOOKUP($BJ275,$AR$3:$AY$33,MATCH(BY$3,$AR$3:$AY$3,0),FALSE),2)</f>
        <v>2.15</v>
      </c>
    </row>
    <row r="276" spans="60:77" x14ac:dyDescent="0.3">
      <c r="BH276" s="2" t="str">
        <f t="shared" si="35"/>
        <v>IS-44</v>
      </c>
      <c r="BI276" s="2">
        <f>IF(BL275&gt;=VLOOKUP(VLOOKUP(BJ275,坦克个性化设定!$B$18:$E$48,4,FALSE)&amp;BK275,坦克属性分配比例,MATCH("升星次数",坦克属性分配比例标头,0),FALSE),BI275+1,BI275)</f>
        <v>28</v>
      </c>
      <c r="BJ276" s="2" t="str">
        <f t="shared" si="36"/>
        <v>IS-4</v>
      </c>
      <c r="BK276" s="29" t="str">
        <f>VLOOKUP(BJ276,坦克个性化细分!$I$3:$J$33,2,FALSE)</f>
        <v>中</v>
      </c>
      <c r="BL276" s="2">
        <f t="shared" si="37"/>
        <v>4</v>
      </c>
      <c r="BM276" s="103">
        <f ca="1">ROUND(VLOOKUP($BJ276&amp;"初始",$S$3:$AE$63,MATCH(BM$3,$S$3:$AE$3,0),FALSE)+((VLOOKUP($BJ276&amp;"最终",$S$3:$AE$63,MATCH(BM$3,$S$3:$AE$3,0),FALSE)*坦克个性化细分!$C$9-VLOOKUP($BJ276&amp;"初始",$S$3:$AE$63,MATCH(BM$3,$S$3:$AE$3,0),FALSE))-(VLOOKUP($BJ276&amp;"最终",$S$3:$AE$63,MATCH(BM$3,$S$3:$AE$3,0),FALSE)-VLOOKUP($BJ276&amp;"初始",$S$3:$AE$63,MATCH(BM$3,$S$3:$AE$3,0),FALSE))*VLOOKUP(VLOOKUP($BJ276,坦克个性化设定!$B$18:$E$48,4,FALSE)&amp;$BK276,坦克属性分配比例,MATCH("部件比例",坦克属性分配比例标头,0),FALSE))*$BL276/VLOOKUP(VLOOKUP($BJ276,坦克个性化设定!$B$18:$E$48,4,FALSE)&amp;$BK276,坦克属性分配比例,MATCH("升星次数",坦克属性分配比例标头,0),FALSE),0)</f>
        <v>2283</v>
      </c>
      <c r="BN276" s="103">
        <f ca="1">ROUND(VLOOKUP($BJ276&amp;"初始",$S$3:$AE$63,MATCH(BN$3,$S$3:$AE$3,0),FALSE)+(VLOOKUP($BJ276&amp;"最终",$S$3:$AE$63,MATCH(BN$3,$S$3:$AE$3,0),FALSE)-VLOOKUP($BJ276&amp;"初始",$S$3:$AE$63,MATCH(BN$3,$S$3:$AE$3,0),FALSE))*$BL276/VLOOKUP(VLOOKUP($BJ276,坦克个性化设定!$B$18:$E$48,4,FALSE)&amp;$BK276,坦克属性分配比例,MATCH("升星次数",坦克属性分配比例标头,0),FALSE)*VLOOKUP(VLOOKUP($BJ276,坦克个性化设定!$B$18:$E$48,4,FALSE)&amp;$BK276,坦克属性分配比例,MATCH("升星比例",坦克属性分配比例标头,0),FALSE),0)</f>
        <v>603</v>
      </c>
      <c r="BO276" s="103">
        <f ca="1">ROUND(VLOOKUP($BJ276&amp;"初始",$S$3:$AE$63,MATCH(BO$3,$S$3:$AE$3,0),FALSE)+(VLOOKUP($BJ276&amp;"最终",$S$3:$AE$63,MATCH(BO$3,$S$3:$AE$3,0),FALSE)-VLOOKUP($BJ276&amp;"初始",$S$3:$AE$63,MATCH(BO$3,$S$3:$AE$3,0),FALSE))*$BL276/VLOOKUP(VLOOKUP($BJ276,坦克个性化设定!$B$18:$E$48,4,FALSE)&amp;$BK276,坦克属性分配比例,MATCH("升星次数",坦克属性分配比例标头,0),FALSE)*(VLOOKUP(VLOOKUP($BJ276,坦克个性化设定!$B$18:$E$48,4,FALSE)&amp;$BK276,坦克属性分配比例,MATCH("升星比例",坦克属性分配比例标头,0),FALSE)+VLOOKUP(VLOOKUP($BJ276,坦克个性化设定!$B$18:$E$48,4,FALSE)&amp;$BK276,坦克属性分配比例,MATCH("部件比例",坦克属性分配比例标头,0),FALSE)*$C$3),0)</f>
        <v>653</v>
      </c>
      <c r="BP276" s="103">
        <f ca="1">ROUND(VLOOKUP($BJ276&amp;"初始",$S$3:$AE$63,MATCH(BP$3,$S$3:$AE$3,0),FALSE)+(VLOOKUP($BJ276&amp;"最终",$S$3:$AE$63,MATCH(BP$3,$S$3:$AE$3,0),FALSE)-VLOOKUP($BJ276&amp;"初始",$S$3:$AE$63,MATCH(BP$3,$S$3:$AE$3,0),FALSE))*$BL276/VLOOKUP(VLOOKUP($BJ276,坦克个性化设定!$B$18:$E$48,4,FALSE)&amp;$BK276,坦克属性分配比例,MATCH("升星次数",坦克属性分配比例标头,0),FALSE)*(VLOOKUP(VLOOKUP($BJ276,坦克个性化设定!$B$18:$E$48,4,FALSE)&amp;$BK276,坦克属性分配比例,MATCH("升星比例",坦克属性分配比例标头,0),FALSE)+VLOOKUP(VLOOKUP($BJ276,坦克个性化设定!$B$18:$E$48,4,FALSE)&amp;$BK276,坦克属性分配比例,MATCH("部件比例",坦克属性分配比例标头,0),FALSE)*$C$3),0)</f>
        <v>523</v>
      </c>
      <c r="BQ276" s="103">
        <f ca="1">ROUND(VLOOKUP($BJ276&amp;"初始",$S$3:$AE$63,MATCH(BQ$3,$S$3:$AE$3,0),FALSE)+(VLOOKUP($BJ276&amp;"最终",$S$3:$AE$63,MATCH(BQ$3,$S$3:$AE$3,0),FALSE)-VLOOKUP($BJ276&amp;"初始",$S$3:$AE$63,MATCH(BQ$3,$S$3:$AE$3,0),FALSE))*$BL276/VLOOKUP(VLOOKUP($BJ276,坦克个性化设定!$B$18:$E$48,4,FALSE)&amp;$BK276,坦克属性分配比例,MATCH("升星次数",坦克属性分配比例标头,0),FALSE)*VLOOKUP(VLOOKUP($BJ276,坦克个性化设定!$B$18:$E$48,4,FALSE)&amp;$BK276,坦克属性分配比例,MATCH("升星比例",坦克属性分配比例标头,0),FALSE),0)</f>
        <v>921</v>
      </c>
      <c r="BR276" s="2">
        <f ca="1">ROUND(VLOOKUP($BJ276&amp;"初始",$S$3:$AE$63,MATCH(BR$3,$S$3:$AE$3,0),FALSE)+(VLOOKUP($BJ276&amp;"最终",$S$3:$AE$63,MATCH(BR$3,$S$3:$AE$3,0),FALSE)-VLOOKUP($BJ276&amp;"初始",$S$3:$AE$63,MATCH(BR$3,$S$3:$AE$3,0),FALSE))*$BL276/VLOOKUP(VLOOKUP($BJ276,坦克个性化设定!$B$18:$E$48,4,FALSE)&amp;$BK276,坦克属性分配比例,MATCH("升星次数",坦克属性分配比例标头,0),FALSE),0)</f>
        <v>230</v>
      </c>
      <c r="BS276" s="2">
        <f>ROUND(VLOOKUP($BJ276,$AI$3:$AO$33,MATCH(BS$3,$AI$3:$AO$3,0),FALSE)+$BL276/VLOOKUP(VLOOKUP($BJ276,坦克个性化设定!$B$18:$E$48,4,FALSE)&amp;$BK276,坦克属性分配比例,MATCH("升星次数",坦克属性分配比例标头,0),FALSE)*VLOOKUP($BJ276,$AR$3:$AY$33,MATCH(BS$3,$AR$3:$AY$3,0),FALSE),1)</f>
        <v>34.1</v>
      </c>
      <c r="BT276" s="2">
        <f>ROUND(VLOOKUP($BJ276,$AI$3:$AO$33,MATCH(BT$3,$AI$3:$AO$3,0),FALSE)+$BL276/VLOOKUP(VLOOKUP($BJ276,坦克个性化设定!$B$18:$E$48,4,FALSE)&amp;$BK276,坦克属性分配比例,MATCH("升星次数",坦克属性分配比例标头,0),FALSE)*VLOOKUP($BJ276,$AR$3:$AY$33,MATCH(BT$3,$AR$3:$AY$3,0),FALSE),1)</f>
        <v>38.9</v>
      </c>
      <c r="BU276" s="2">
        <f>ROUND(VLOOKUP($BJ276,$AI$3:$AO$33,MATCH(BU$3,$AI$3:$AO$3,0),FALSE)+$BL276/VLOOKUP(VLOOKUP($BJ276,坦克个性化设定!$B$18:$E$48,4,FALSE)&amp;$BK276,坦克属性分配比例,MATCH("升星次数",坦克属性分配比例标头,0),FALSE)*VLOOKUP($BJ276,$AR$3:$AY$33,MATCH(BU$3,$AR$3:$AY$3,0),FALSE),1)</f>
        <v>6.4</v>
      </c>
      <c r="BV276" s="2">
        <f>IF(VLOOKUP(BJ276,坦克个性化设定!$B$18:$BC$48,MATCH("装弹类型",坦克个性化设定!$B$18:$BC$18,0),FALSE)="弹夹换弹",0,ROUND(VLOOKUP($BJ276,$AI$3:$AO$33,MATCH("换弹时间",$AI$3:$AO$3,0),FALSE)-$BL276/VLOOKUP(VLOOKUP($BJ276,坦克个性化设定!$B$18:$E$48,4,FALSE)&amp;$BK276,坦克属性分配比例,MATCH("升星次数",坦克属性分配比例标头,0),FALSE)*VLOOKUP($BJ276,$AR$3:$AY$33,MATCH("换弹时间",$AR$3:$AY$3,0),FALSE),2))</f>
        <v>4.26</v>
      </c>
      <c r="BW276" s="2">
        <f>IF(VLOOKUP(BJ276,坦克个性化设定!$B$18:$BC$48,MATCH("装弹类型",坦克个性化设定!$B$18:$BC$18,0),FALSE)="弹夹换弹",ROUND(VLOOKUP($BJ276,$AI$3:$AO$33,MATCH("换弹时间",$AI$3:$AO$3,0),FALSE)-$BL276/VLOOKUP(VLOOKUP($BJ276,坦克个性化设定!$B$18:$E$48,4,FALSE)&amp;$BK276,坦克属性分配比例,MATCH("升星次数",坦克属性分配比例标头,0),FALSE)*VLOOKUP($BJ276,$AR$3:$AY$33,MATCH("换弹时间",$AR$3:$AY$3,0),FALSE),1),0)</f>
        <v>0</v>
      </c>
      <c r="BX276" s="2">
        <f>ROUND(VLOOKUP($BJ276,$AI$3:$AO$33,MATCH(BX$3,$AI$3:$AO$3,0),FALSE)+$BL276/VLOOKUP(VLOOKUP($BJ276,坦克个性化设定!$B$18:$E$48,4,FALSE)&amp;$BK276,坦克属性分配比例,MATCH("升星次数",坦克属性分配比例标头,0),FALSE)*VLOOKUP($BJ276,$AR$3:$AY$33,MATCH(BX$3,$AR$3:$AY$3,0),FALSE),2)</f>
        <v>2</v>
      </c>
      <c r="BY276" s="2">
        <f>ROUND(VLOOKUP($BJ276,$AI$3:$AO$33,MATCH(BY$3,$AI$3:$AO$3,0),FALSE)-$BL276/VLOOKUP(VLOOKUP($BJ276,坦克个性化设定!$B$18:$E$48,4,FALSE)&amp;$BK276,坦克属性分配比例,MATCH("升星次数",坦克属性分配比例标头,0),FALSE)*VLOOKUP($BJ276,$AR$3:$AY$33,MATCH(BY$3,$AR$3:$AY$3,0),FALSE),2)</f>
        <v>2.11</v>
      </c>
    </row>
    <row r="277" spans="60:77" x14ac:dyDescent="0.3">
      <c r="BH277" s="2" t="str">
        <f t="shared" si="35"/>
        <v>IS-45</v>
      </c>
      <c r="BI277" s="2">
        <f>IF(BL276&gt;=VLOOKUP(VLOOKUP(BJ276,坦克个性化设定!$B$18:$E$48,4,FALSE)&amp;BK276,坦克属性分配比例,MATCH("升星次数",坦克属性分配比例标头,0),FALSE),BI276+1,BI276)</f>
        <v>28</v>
      </c>
      <c r="BJ277" s="2" t="str">
        <f t="shared" si="36"/>
        <v>IS-4</v>
      </c>
      <c r="BK277" s="29" t="str">
        <f>VLOOKUP(BJ277,坦克个性化细分!$I$3:$J$33,2,FALSE)</f>
        <v>中</v>
      </c>
      <c r="BL277" s="2">
        <f t="shared" si="37"/>
        <v>5</v>
      </c>
      <c r="BM277" s="103">
        <f ca="1">ROUND(VLOOKUP($BJ277&amp;"初始",$S$3:$AE$63,MATCH(BM$3,$S$3:$AE$3,0),FALSE)+((VLOOKUP($BJ277&amp;"最终",$S$3:$AE$63,MATCH(BM$3,$S$3:$AE$3,0),FALSE)*坦克个性化细分!$C$9-VLOOKUP($BJ277&amp;"初始",$S$3:$AE$63,MATCH(BM$3,$S$3:$AE$3,0),FALSE))-(VLOOKUP($BJ277&amp;"最终",$S$3:$AE$63,MATCH(BM$3,$S$3:$AE$3,0),FALSE)-VLOOKUP($BJ277&amp;"初始",$S$3:$AE$63,MATCH(BM$3,$S$3:$AE$3,0),FALSE))*VLOOKUP(VLOOKUP($BJ277,坦克个性化设定!$B$18:$E$48,4,FALSE)&amp;$BK277,坦克属性分配比例,MATCH("部件比例",坦克属性分配比例标头,0),FALSE))*$BL277/VLOOKUP(VLOOKUP($BJ277,坦克个性化设定!$B$18:$E$48,4,FALSE)&amp;$BK277,坦克属性分配比例,MATCH("升星次数",坦克属性分配比例标头,0),FALSE),0)</f>
        <v>2369</v>
      </c>
      <c r="BN277" s="103">
        <f ca="1">ROUND(VLOOKUP($BJ277&amp;"初始",$S$3:$AE$63,MATCH(BN$3,$S$3:$AE$3,0),FALSE)+(VLOOKUP($BJ277&amp;"最终",$S$3:$AE$63,MATCH(BN$3,$S$3:$AE$3,0),FALSE)-VLOOKUP($BJ277&amp;"初始",$S$3:$AE$63,MATCH(BN$3,$S$3:$AE$3,0),FALSE))*$BL277/VLOOKUP(VLOOKUP($BJ277,坦克个性化设定!$B$18:$E$48,4,FALSE)&amp;$BK277,坦克属性分配比例,MATCH("升星次数",坦克属性分配比例标头,0),FALSE)*VLOOKUP(VLOOKUP($BJ277,坦克个性化设定!$B$18:$E$48,4,FALSE)&amp;$BK277,坦克属性分配比例,MATCH("升星比例",坦克属性分配比例标头,0),FALSE),0)</f>
        <v>616</v>
      </c>
      <c r="BO277" s="103">
        <f ca="1">ROUND(VLOOKUP($BJ277&amp;"初始",$S$3:$AE$63,MATCH(BO$3,$S$3:$AE$3,0),FALSE)+(VLOOKUP($BJ277&amp;"最终",$S$3:$AE$63,MATCH(BO$3,$S$3:$AE$3,0),FALSE)-VLOOKUP($BJ277&amp;"初始",$S$3:$AE$63,MATCH(BO$3,$S$3:$AE$3,0),FALSE))*$BL277/VLOOKUP(VLOOKUP($BJ277,坦克个性化设定!$B$18:$E$48,4,FALSE)&amp;$BK277,坦克属性分配比例,MATCH("升星次数",坦克属性分配比例标头,0),FALSE)*(VLOOKUP(VLOOKUP($BJ277,坦克个性化设定!$B$18:$E$48,4,FALSE)&amp;$BK277,坦克属性分配比例,MATCH("升星比例",坦克属性分配比例标头,0),FALSE)+VLOOKUP(VLOOKUP($BJ277,坦克个性化设定!$B$18:$E$48,4,FALSE)&amp;$BK277,坦克属性分配比例,MATCH("部件比例",坦克属性分配比例标头,0),FALSE)*$C$3),0)</f>
        <v>674</v>
      </c>
      <c r="BP277" s="103">
        <f ca="1">ROUND(VLOOKUP($BJ277&amp;"初始",$S$3:$AE$63,MATCH(BP$3,$S$3:$AE$3,0),FALSE)+(VLOOKUP($BJ277&amp;"最终",$S$3:$AE$63,MATCH(BP$3,$S$3:$AE$3,0),FALSE)-VLOOKUP($BJ277&amp;"初始",$S$3:$AE$63,MATCH(BP$3,$S$3:$AE$3,0),FALSE))*$BL277/VLOOKUP(VLOOKUP($BJ277,坦克个性化设定!$B$18:$E$48,4,FALSE)&amp;$BK277,坦克属性分配比例,MATCH("升星次数",坦克属性分配比例标头,0),FALSE)*(VLOOKUP(VLOOKUP($BJ277,坦克个性化设定!$B$18:$E$48,4,FALSE)&amp;$BK277,坦克属性分配比例,MATCH("升星比例",坦克属性分配比例标头,0),FALSE)+VLOOKUP(VLOOKUP($BJ277,坦克个性化设定!$B$18:$E$48,4,FALSE)&amp;$BK277,坦克属性分配比例,MATCH("部件比例",坦克属性分配比例标头,0),FALSE)*$C$3),0)</f>
        <v>539</v>
      </c>
      <c r="BQ277" s="103">
        <f ca="1">ROUND(VLOOKUP($BJ277&amp;"初始",$S$3:$AE$63,MATCH(BQ$3,$S$3:$AE$3,0),FALSE)+(VLOOKUP($BJ277&amp;"最终",$S$3:$AE$63,MATCH(BQ$3,$S$3:$AE$3,0),FALSE)-VLOOKUP($BJ277&amp;"初始",$S$3:$AE$63,MATCH(BQ$3,$S$3:$AE$3,0),FALSE))*$BL277/VLOOKUP(VLOOKUP($BJ277,坦克个性化设定!$B$18:$E$48,4,FALSE)&amp;$BK277,坦克属性分配比例,MATCH("升星次数",坦克属性分配比例标头,0),FALSE)*VLOOKUP(VLOOKUP($BJ277,坦克个性化设定!$B$18:$E$48,4,FALSE)&amp;$BK277,坦克属性分配比例,MATCH("升星比例",坦克属性分配比例标头,0),FALSE),0)</f>
        <v>941</v>
      </c>
      <c r="BR277" s="2">
        <f ca="1">ROUND(VLOOKUP($BJ277&amp;"初始",$S$3:$AE$63,MATCH(BR$3,$S$3:$AE$3,0),FALSE)+(VLOOKUP($BJ277&amp;"最终",$S$3:$AE$63,MATCH(BR$3,$S$3:$AE$3,0),FALSE)-VLOOKUP($BJ277&amp;"初始",$S$3:$AE$63,MATCH(BR$3,$S$3:$AE$3,0),FALSE))*$BL277/VLOOKUP(VLOOKUP($BJ277,坦克个性化设定!$B$18:$E$48,4,FALSE)&amp;$BK277,坦克属性分配比例,MATCH("升星次数",坦克属性分配比例标头,0),FALSE),0)</f>
        <v>239</v>
      </c>
      <c r="BS277" s="2">
        <f>ROUND(VLOOKUP($BJ277,$AI$3:$AO$33,MATCH(BS$3,$AI$3:$AO$3,0),FALSE)+$BL277/VLOOKUP(VLOOKUP($BJ277,坦克个性化设定!$B$18:$E$48,4,FALSE)&amp;$BK277,坦克属性分配比例,MATCH("升星次数",坦克属性分配比例标头,0),FALSE)*VLOOKUP($BJ277,$AR$3:$AY$33,MATCH(BS$3,$AR$3:$AY$3,0),FALSE),1)</f>
        <v>34.9</v>
      </c>
      <c r="BT277" s="2">
        <f>ROUND(VLOOKUP($BJ277,$AI$3:$AO$33,MATCH(BT$3,$AI$3:$AO$3,0),FALSE)+$BL277/VLOOKUP(VLOOKUP($BJ277,坦克个性化设定!$B$18:$E$48,4,FALSE)&amp;$BK277,坦克属性分配比例,MATCH("升星次数",坦克属性分配比例标头,0),FALSE)*VLOOKUP($BJ277,$AR$3:$AY$33,MATCH(BT$3,$AR$3:$AY$3,0),FALSE),1)</f>
        <v>39.799999999999997</v>
      </c>
      <c r="BU277" s="2">
        <f>ROUND(VLOOKUP($BJ277,$AI$3:$AO$33,MATCH(BU$3,$AI$3:$AO$3,0),FALSE)+$BL277/VLOOKUP(VLOOKUP($BJ277,坦克个性化设定!$B$18:$E$48,4,FALSE)&amp;$BK277,坦克属性分配比例,MATCH("升星次数",坦克属性分配比例标头,0),FALSE)*VLOOKUP($BJ277,$AR$3:$AY$33,MATCH(BU$3,$AR$3:$AY$3,0),FALSE),1)</f>
        <v>6.4</v>
      </c>
      <c r="BV277" s="2">
        <f>IF(VLOOKUP(BJ277,坦克个性化设定!$B$18:$BC$48,MATCH("装弹类型",坦克个性化设定!$B$18:$BC$18,0),FALSE)="弹夹换弹",0,ROUND(VLOOKUP($BJ277,$AI$3:$AO$33,MATCH("换弹时间",$AI$3:$AO$3,0),FALSE)-$BL277/VLOOKUP(VLOOKUP($BJ277,坦克个性化设定!$B$18:$E$48,4,FALSE)&amp;$BK277,坦克属性分配比例,MATCH("升星次数",坦克属性分配比例标头,0),FALSE)*VLOOKUP($BJ277,$AR$3:$AY$33,MATCH("换弹时间",$AR$3:$AY$3,0),FALSE),2))</f>
        <v>4.2</v>
      </c>
      <c r="BW277" s="2">
        <f>IF(VLOOKUP(BJ277,坦克个性化设定!$B$18:$BC$48,MATCH("装弹类型",坦克个性化设定!$B$18:$BC$18,0),FALSE)="弹夹换弹",ROUND(VLOOKUP($BJ277,$AI$3:$AO$33,MATCH("换弹时间",$AI$3:$AO$3,0),FALSE)-$BL277/VLOOKUP(VLOOKUP($BJ277,坦克个性化设定!$B$18:$E$48,4,FALSE)&amp;$BK277,坦克属性分配比例,MATCH("升星次数",坦克属性分配比例标头,0),FALSE)*VLOOKUP($BJ277,$AR$3:$AY$33,MATCH("换弹时间",$AR$3:$AY$3,0),FALSE),1),0)</f>
        <v>0</v>
      </c>
      <c r="BX277" s="2">
        <f>ROUND(VLOOKUP($BJ277,$AI$3:$AO$33,MATCH(BX$3,$AI$3:$AO$3,0),FALSE)+$BL277/VLOOKUP(VLOOKUP($BJ277,坦克个性化设定!$B$18:$E$48,4,FALSE)&amp;$BK277,坦克属性分配比例,MATCH("升星次数",坦克属性分配比例标头,0),FALSE)*VLOOKUP($BJ277,$AR$3:$AY$33,MATCH(BX$3,$AR$3:$AY$3,0),FALSE),2)</f>
        <v>2</v>
      </c>
      <c r="BY277" s="2">
        <f>ROUND(VLOOKUP($BJ277,$AI$3:$AO$33,MATCH(BY$3,$AI$3:$AO$3,0),FALSE)-$BL277/VLOOKUP(VLOOKUP($BJ277,坦克个性化设定!$B$18:$E$48,4,FALSE)&amp;$BK277,坦克属性分配比例,MATCH("升星次数",坦克属性分配比例标头,0),FALSE)*VLOOKUP($BJ277,$AR$3:$AY$33,MATCH(BY$3,$AR$3:$AY$3,0),FALSE),2)</f>
        <v>2.08</v>
      </c>
    </row>
    <row r="278" spans="60:77" x14ac:dyDescent="0.3">
      <c r="BH278" s="2" t="str">
        <f t="shared" si="35"/>
        <v>IS-46</v>
      </c>
      <c r="BI278" s="2">
        <f>IF(BL277&gt;=VLOOKUP(VLOOKUP(BJ277,坦克个性化设定!$B$18:$E$48,4,FALSE)&amp;BK277,坦克属性分配比例,MATCH("升星次数",坦克属性分配比例标头,0),FALSE),BI277+1,BI277)</f>
        <v>28</v>
      </c>
      <c r="BJ278" s="2" t="str">
        <f t="shared" si="36"/>
        <v>IS-4</v>
      </c>
      <c r="BK278" s="29" t="str">
        <f>VLOOKUP(BJ278,坦克个性化细分!$I$3:$J$33,2,FALSE)</f>
        <v>中</v>
      </c>
      <c r="BL278" s="2">
        <f t="shared" si="37"/>
        <v>6</v>
      </c>
      <c r="BM278" s="103">
        <f ca="1">ROUND(VLOOKUP($BJ278&amp;"初始",$S$3:$AE$63,MATCH(BM$3,$S$3:$AE$3,0),FALSE)+((VLOOKUP($BJ278&amp;"最终",$S$3:$AE$63,MATCH(BM$3,$S$3:$AE$3,0),FALSE)*坦克个性化细分!$C$9-VLOOKUP($BJ278&amp;"初始",$S$3:$AE$63,MATCH(BM$3,$S$3:$AE$3,0),FALSE))-(VLOOKUP($BJ278&amp;"最终",$S$3:$AE$63,MATCH(BM$3,$S$3:$AE$3,0),FALSE)-VLOOKUP($BJ278&amp;"初始",$S$3:$AE$63,MATCH(BM$3,$S$3:$AE$3,0),FALSE))*VLOOKUP(VLOOKUP($BJ278,坦克个性化设定!$B$18:$E$48,4,FALSE)&amp;$BK278,坦克属性分配比例,MATCH("部件比例",坦克属性分配比例标头,0),FALSE))*$BL278/VLOOKUP(VLOOKUP($BJ278,坦克个性化设定!$B$18:$E$48,4,FALSE)&amp;$BK278,坦克属性分配比例,MATCH("升星次数",坦克属性分配比例标头,0),FALSE),0)</f>
        <v>2455</v>
      </c>
      <c r="BN278" s="103">
        <f ca="1">ROUND(VLOOKUP($BJ278&amp;"初始",$S$3:$AE$63,MATCH(BN$3,$S$3:$AE$3,0),FALSE)+(VLOOKUP($BJ278&amp;"最终",$S$3:$AE$63,MATCH(BN$3,$S$3:$AE$3,0),FALSE)-VLOOKUP($BJ278&amp;"初始",$S$3:$AE$63,MATCH(BN$3,$S$3:$AE$3,0),FALSE))*$BL278/VLOOKUP(VLOOKUP($BJ278,坦克个性化设定!$B$18:$E$48,4,FALSE)&amp;$BK278,坦克属性分配比例,MATCH("升星次数",坦克属性分配比例标头,0),FALSE)*VLOOKUP(VLOOKUP($BJ278,坦克个性化设定!$B$18:$E$48,4,FALSE)&amp;$BK278,坦克属性分配比例,MATCH("升星比例",坦克属性分配比例标头,0),FALSE),0)</f>
        <v>629</v>
      </c>
      <c r="BO278" s="103">
        <f ca="1">ROUND(VLOOKUP($BJ278&amp;"初始",$S$3:$AE$63,MATCH(BO$3,$S$3:$AE$3,0),FALSE)+(VLOOKUP($BJ278&amp;"最终",$S$3:$AE$63,MATCH(BO$3,$S$3:$AE$3,0),FALSE)-VLOOKUP($BJ278&amp;"初始",$S$3:$AE$63,MATCH(BO$3,$S$3:$AE$3,0),FALSE))*$BL278/VLOOKUP(VLOOKUP($BJ278,坦克个性化设定!$B$18:$E$48,4,FALSE)&amp;$BK278,坦克属性分配比例,MATCH("升星次数",坦克属性分配比例标头,0),FALSE)*(VLOOKUP(VLOOKUP($BJ278,坦克个性化设定!$B$18:$E$48,4,FALSE)&amp;$BK278,坦克属性分配比例,MATCH("升星比例",坦克属性分配比例标头,0),FALSE)+VLOOKUP(VLOOKUP($BJ278,坦克个性化设定!$B$18:$E$48,4,FALSE)&amp;$BK278,坦克属性分配比例,MATCH("部件比例",坦克属性分配比例标头,0),FALSE)*$C$3),0)</f>
        <v>694</v>
      </c>
      <c r="BP278" s="103">
        <f ca="1">ROUND(VLOOKUP($BJ278&amp;"初始",$S$3:$AE$63,MATCH(BP$3,$S$3:$AE$3,0),FALSE)+(VLOOKUP($BJ278&amp;"最终",$S$3:$AE$63,MATCH(BP$3,$S$3:$AE$3,0),FALSE)-VLOOKUP($BJ278&amp;"初始",$S$3:$AE$63,MATCH(BP$3,$S$3:$AE$3,0),FALSE))*$BL278/VLOOKUP(VLOOKUP($BJ278,坦克个性化设定!$B$18:$E$48,4,FALSE)&amp;$BK278,坦克属性分配比例,MATCH("升星次数",坦克属性分配比例标头,0),FALSE)*(VLOOKUP(VLOOKUP($BJ278,坦克个性化设定!$B$18:$E$48,4,FALSE)&amp;$BK278,坦克属性分配比例,MATCH("升星比例",坦克属性分配比例标头,0),FALSE)+VLOOKUP(VLOOKUP($BJ278,坦克个性化设定!$B$18:$E$48,4,FALSE)&amp;$BK278,坦克属性分配比例,MATCH("部件比例",坦克属性分配比例标头,0),FALSE)*$C$3),0)</f>
        <v>555</v>
      </c>
      <c r="BQ278" s="103">
        <f ca="1">ROUND(VLOOKUP($BJ278&amp;"初始",$S$3:$AE$63,MATCH(BQ$3,$S$3:$AE$3,0),FALSE)+(VLOOKUP($BJ278&amp;"最终",$S$3:$AE$63,MATCH(BQ$3,$S$3:$AE$3,0),FALSE)-VLOOKUP($BJ278&amp;"初始",$S$3:$AE$63,MATCH(BQ$3,$S$3:$AE$3,0),FALSE))*$BL278/VLOOKUP(VLOOKUP($BJ278,坦克个性化设定!$B$18:$E$48,4,FALSE)&amp;$BK278,坦克属性分配比例,MATCH("升星次数",坦克属性分配比例标头,0),FALSE)*VLOOKUP(VLOOKUP($BJ278,坦克个性化设定!$B$18:$E$48,4,FALSE)&amp;$BK278,坦克属性分配比例,MATCH("升星比例",坦克属性分配比例标头,0),FALSE),0)</f>
        <v>961</v>
      </c>
      <c r="BR278" s="2">
        <f ca="1">ROUND(VLOOKUP($BJ278&amp;"初始",$S$3:$AE$63,MATCH(BR$3,$S$3:$AE$3,0),FALSE)+(VLOOKUP($BJ278&amp;"最终",$S$3:$AE$63,MATCH(BR$3,$S$3:$AE$3,0),FALSE)-VLOOKUP($BJ278&amp;"初始",$S$3:$AE$63,MATCH(BR$3,$S$3:$AE$3,0),FALSE))*$BL278/VLOOKUP(VLOOKUP($BJ278,坦克个性化设定!$B$18:$E$48,4,FALSE)&amp;$BK278,坦克属性分配比例,MATCH("升星次数",坦克属性分配比例标头,0),FALSE),0)</f>
        <v>247</v>
      </c>
      <c r="BS278" s="2">
        <f>ROUND(VLOOKUP($BJ278,$AI$3:$AO$33,MATCH(BS$3,$AI$3:$AO$3,0),FALSE)+$BL278/VLOOKUP(VLOOKUP($BJ278,坦克个性化设定!$B$18:$E$48,4,FALSE)&amp;$BK278,坦克属性分配比例,MATCH("升星次数",坦克属性分配比例标头,0),FALSE)*VLOOKUP($BJ278,$AR$3:$AY$33,MATCH(BS$3,$AR$3:$AY$3,0),FALSE),1)</f>
        <v>35.6</v>
      </c>
      <c r="BT278" s="2">
        <f>ROUND(VLOOKUP($BJ278,$AI$3:$AO$33,MATCH(BT$3,$AI$3:$AO$3,0),FALSE)+$BL278/VLOOKUP(VLOOKUP($BJ278,坦克个性化设定!$B$18:$E$48,4,FALSE)&amp;$BK278,坦克属性分配比例,MATCH("升星次数",坦克属性分配比例标头,0),FALSE)*VLOOKUP($BJ278,$AR$3:$AY$33,MATCH(BT$3,$AR$3:$AY$3,0),FALSE),1)</f>
        <v>40.6</v>
      </c>
      <c r="BU278" s="2">
        <f>ROUND(VLOOKUP($BJ278,$AI$3:$AO$33,MATCH(BU$3,$AI$3:$AO$3,0),FALSE)+$BL278/VLOOKUP(VLOOKUP($BJ278,坦克个性化设定!$B$18:$E$48,4,FALSE)&amp;$BK278,坦克属性分配比例,MATCH("升星次数",坦克属性分配比例标头,0),FALSE)*VLOOKUP($BJ278,$AR$3:$AY$33,MATCH(BU$3,$AR$3:$AY$3,0),FALSE),1)</f>
        <v>6.4</v>
      </c>
      <c r="BV278" s="2">
        <f>IF(VLOOKUP(BJ278,坦克个性化设定!$B$18:$BC$48,MATCH("装弹类型",坦克个性化设定!$B$18:$BC$18,0),FALSE)="弹夹换弹",0,ROUND(VLOOKUP($BJ278,$AI$3:$AO$33,MATCH("换弹时间",$AI$3:$AO$3,0),FALSE)-$BL278/VLOOKUP(VLOOKUP($BJ278,坦克个性化设定!$B$18:$E$48,4,FALSE)&amp;$BK278,坦克属性分配比例,MATCH("升星次数",坦克属性分配比例标头,0),FALSE)*VLOOKUP($BJ278,$AR$3:$AY$33,MATCH("换弹时间",$AR$3:$AY$3,0),FALSE),2))</f>
        <v>4.1399999999999997</v>
      </c>
      <c r="BW278" s="2">
        <f>IF(VLOOKUP(BJ278,坦克个性化设定!$B$18:$BC$48,MATCH("装弹类型",坦克个性化设定!$B$18:$BC$18,0),FALSE)="弹夹换弹",ROUND(VLOOKUP($BJ278,$AI$3:$AO$33,MATCH("换弹时间",$AI$3:$AO$3,0),FALSE)-$BL278/VLOOKUP(VLOOKUP($BJ278,坦克个性化设定!$B$18:$E$48,4,FALSE)&amp;$BK278,坦克属性分配比例,MATCH("升星次数",坦克属性分配比例标头,0),FALSE)*VLOOKUP($BJ278,$AR$3:$AY$33,MATCH("换弹时间",$AR$3:$AY$3,0),FALSE),1),0)</f>
        <v>0</v>
      </c>
      <c r="BX278" s="2">
        <f>ROUND(VLOOKUP($BJ278,$AI$3:$AO$33,MATCH(BX$3,$AI$3:$AO$3,0),FALSE)+$BL278/VLOOKUP(VLOOKUP($BJ278,坦克个性化设定!$B$18:$E$48,4,FALSE)&amp;$BK278,坦克属性分配比例,MATCH("升星次数",坦克属性分配比例标头,0),FALSE)*VLOOKUP($BJ278,$AR$3:$AY$33,MATCH(BX$3,$AR$3:$AY$3,0),FALSE),2)</f>
        <v>2</v>
      </c>
      <c r="BY278" s="2">
        <f>ROUND(VLOOKUP($BJ278,$AI$3:$AO$33,MATCH(BY$3,$AI$3:$AO$3,0),FALSE)-$BL278/VLOOKUP(VLOOKUP($BJ278,坦克个性化设定!$B$18:$E$48,4,FALSE)&amp;$BK278,坦克属性分配比例,MATCH("升星次数",坦克属性分配比例标头,0),FALSE)*VLOOKUP($BJ278,$AR$3:$AY$33,MATCH(BY$3,$AR$3:$AY$3,0),FALSE),2)</f>
        <v>2.0499999999999998</v>
      </c>
    </row>
    <row r="279" spans="60:77" x14ac:dyDescent="0.3">
      <c r="BH279" s="2" t="str">
        <f t="shared" si="35"/>
        <v>IS-47</v>
      </c>
      <c r="BI279" s="2">
        <f>IF(BL278&gt;=VLOOKUP(VLOOKUP(BJ278,坦克个性化设定!$B$18:$E$48,4,FALSE)&amp;BK278,坦克属性分配比例,MATCH("升星次数",坦克属性分配比例标头,0),FALSE),BI278+1,BI278)</f>
        <v>28</v>
      </c>
      <c r="BJ279" s="2" t="str">
        <f t="shared" si="36"/>
        <v>IS-4</v>
      </c>
      <c r="BK279" s="29" t="str">
        <f>VLOOKUP(BJ279,坦克个性化细分!$I$3:$J$33,2,FALSE)</f>
        <v>中</v>
      </c>
      <c r="BL279" s="2">
        <f t="shared" si="37"/>
        <v>7</v>
      </c>
      <c r="BM279" s="103">
        <f ca="1">ROUND(VLOOKUP($BJ279&amp;"初始",$S$3:$AE$63,MATCH(BM$3,$S$3:$AE$3,0),FALSE)+((VLOOKUP($BJ279&amp;"最终",$S$3:$AE$63,MATCH(BM$3,$S$3:$AE$3,0),FALSE)*坦克个性化细分!$C$9-VLOOKUP($BJ279&amp;"初始",$S$3:$AE$63,MATCH(BM$3,$S$3:$AE$3,0),FALSE))-(VLOOKUP($BJ279&amp;"最终",$S$3:$AE$63,MATCH(BM$3,$S$3:$AE$3,0),FALSE)-VLOOKUP($BJ279&amp;"初始",$S$3:$AE$63,MATCH(BM$3,$S$3:$AE$3,0),FALSE))*VLOOKUP(VLOOKUP($BJ279,坦克个性化设定!$B$18:$E$48,4,FALSE)&amp;$BK279,坦克属性分配比例,MATCH("部件比例",坦克属性分配比例标头,0),FALSE))*$BL279/VLOOKUP(VLOOKUP($BJ279,坦克个性化设定!$B$18:$E$48,4,FALSE)&amp;$BK279,坦克属性分配比例,MATCH("升星次数",坦克属性分配比例标头,0),FALSE),0)</f>
        <v>2540</v>
      </c>
      <c r="BN279" s="103">
        <f ca="1">ROUND(VLOOKUP($BJ279&amp;"初始",$S$3:$AE$63,MATCH(BN$3,$S$3:$AE$3,0),FALSE)+(VLOOKUP($BJ279&amp;"最终",$S$3:$AE$63,MATCH(BN$3,$S$3:$AE$3,0),FALSE)-VLOOKUP($BJ279&amp;"初始",$S$3:$AE$63,MATCH(BN$3,$S$3:$AE$3,0),FALSE))*$BL279/VLOOKUP(VLOOKUP($BJ279,坦克个性化设定!$B$18:$E$48,4,FALSE)&amp;$BK279,坦克属性分配比例,MATCH("升星次数",坦克属性分配比例标头,0),FALSE)*VLOOKUP(VLOOKUP($BJ279,坦克个性化设定!$B$18:$E$48,4,FALSE)&amp;$BK279,坦克属性分配比例,MATCH("升星比例",坦克属性分配比例标头,0),FALSE),0)</f>
        <v>642</v>
      </c>
      <c r="BO279" s="103">
        <f ca="1">ROUND(VLOOKUP($BJ279&amp;"初始",$S$3:$AE$63,MATCH(BO$3,$S$3:$AE$3,0),FALSE)+(VLOOKUP($BJ279&amp;"最终",$S$3:$AE$63,MATCH(BO$3,$S$3:$AE$3,0),FALSE)-VLOOKUP($BJ279&amp;"初始",$S$3:$AE$63,MATCH(BO$3,$S$3:$AE$3,0),FALSE))*$BL279/VLOOKUP(VLOOKUP($BJ279,坦克个性化设定!$B$18:$E$48,4,FALSE)&amp;$BK279,坦克属性分配比例,MATCH("升星次数",坦克属性分配比例标头,0),FALSE)*(VLOOKUP(VLOOKUP($BJ279,坦克个性化设定!$B$18:$E$48,4,FALSE)&amp;$BK279,坦克属性分配比例,MATCH("升星比例",坦克属性分配比例标头,0),FALSE)+VLOOKUP(VLOOKUP($BJ279,坦克个性化设定!$B$18:$E$48,4,FALSE)&amp;$BK279,坦克属性分配比例,MATCH("部件比例",坦克属性分配比例标头,0),FALSE)*$C$3),0)</f>
        <v>715</v>
      </c>
      <c r="BP279" s="103">
        <f ca="1">ROUND(VLOOKUP($BJ279&amp;"初始",$S$3:$AE$63,MATCH(BP$3,$S$3:$AE$3,0),FALSE)+(VLOOKUP($BJ279&amp;"最终",$S$3:$AE$63,MATCH(BP$3,$S$3:$AE$3,0),FALSE)-VLOOKUP($BJ279&amp;"初始",$S$3:$AE$63,MATCH(BP$3,$S$3:$AE$3,0),FALSE))*$BL279/VLOOKUP(VLOOKUP($BJ279,坦克个性化设定!$B$18:$E$48,4,FALSE)&amp;$BK279,坦克属性分配比例,MATCH("升星次数",坦克属性分配比例标头,0),FALSE)*(VLOOKUP(VLOOKUP($BJ279,坦克个性化设定!$B$18:$E$48,4,FALSE)&amp;$BK279,坦克属性分配比例,MATCH("升星比例",坦克属性分配比例标头,0),FALSE)+VLOOKUP(VLOOKUP($BJ279,坦克个性化设定!$B$18:$E$48,4,FALSE)&amp;$BK279,坦克属性分配比例,MATCH("部件比例",坦克属性分配比例标头,0),FALSE)*$C$3),0)</f>
        <v>572</v>
      </c>
      <c r="BQ279" s="103">
        <f ca="1">ROUND(VLOOKUP($BJ279&amp;"初始",$S$3:$AE$63,MATCH(BQ$3,$S$3:$AE$3,0),FALSE)+(VLOOKUP($BJ279&amp;"最终",$S$3:$AE$63,MATCH(BQ$3,$S$3:$AE$3,0),FALSE)-VLOOKUP($BJ279&amp;"初始",$S$3:$AE$63,MATCH(BQ$3,$S$3:$AE$3,0),FALSE))*$BL279/VLOOKUP(VLOOKUP($BJ279,坦克个性化设定!$B$18:$E$48,4,FALSE)&amp;$BK279,坦克属性分配比例,MATCH("升星次数",坦克属性分配比例标头,0),FALSE)*VLOOKUP(VLOOKUP($BJ279,坦克个性化设定!$B$18:$E$48,4,FALSE)&amp;$BK279,坦克属性分配比例,MATCH("升星比例",坦克属性分配比例标头,0),FALSE),0)</f>
        <v>981</v>
      </c>
      <c r="BR279" s="2">
        <f ca="1">ROUND(VLOOKUP($BJ279&amp;"初始",$S$3:$AE$63,MATCH(BR$3,$S$3:$AE$3,0),FALSE)+(VLOOKUP($BJ279&amp;"最终",$S$3:$AE$63,MATCH(BR$3,$S$3:$AE$3,0),FALSE)-VLOOKUP($BJ279&amp;"初始",$S$3:$AE$63,MATCH(BR$3,$S$3:$AE$3,0),FALSE))*$BL279/VLOOKUP(VLOOKUP($BJ279,坦克个性化设定!$B$18:$E$48,4,FALSE)&amp;$BK279,坦克属性分配比例,MATCH("升星次数",坦克属性分配比例标头,0),FALSE),0)</f>
        <v>256</v>
      </c>
      <c r="BS279" s="2">
        <f>ROUND(VLOOKUP($BJ279,$AI$3:$AO$33,MATCH(BS$3,$AI$3:$AO$3,0),FALSE)+$BL279/VLOOKUP(VLOOKUP($BJ279,坦克个性化设定!$B$18:$E$48,4,FALSE)&amp;$BK279,坦克属性分配比例,MATCH("升星次数",坦克属性分配比例标头,0),FALSE)*VLOOKUP($BJ279,$AR$3:$AY$33,MATCH(BS$3,$AR$3:$AY$3,0),FALSE),1)</f>
        <v>36.299999999999997</v>
      </c>
      <c r="BT279" s="2">
        <f>ROUND(VLOOKUP($BJ279,$AI$3:$AO$33,MATCH(BT$3,$AI$3:$AO$3,0),FALSE)+$BL279/VLOOKUP(VLOOKUP($BJ279,坦克个性化设定!$B$18:$E$48,4,FALSE)&amp;$BK279,坦克属性分配比例,MATCH("升星次数",坦克属性分配比例标头,0),FALSE)*VLOOKUP($BJ279,$AR$3:$AY$33,MATCH(BT$3,$AR$3:$AY$3,0),FALSE),1)</f>
        <v>41.4</v>
      </c>
      <c r="BU279" s="2">
        <f>ROUND(VLOOKUP($BJ279,$AI$3:$AO$33,MATCH(BU$3,$AI$3:$AO$3,0),FALSE)+$BL279/VLOOKUP(VLOOKUP($BJ279,坦克个性化设定!$B$18:$E$48,4,FALSE)&amp;$BK279,坦克属性分配比例,MATCH("升星次数",坦克属性分配比例标头,0),FALSE)*VLOOKUP($BJ279,$AR$3:$AY$33,MATCH(BU$3,$AR$3:$AY$3,0),FALSE),1)</f>
        <v>6.4</v>
      </c>
      <c r="BV279" s="2">
        <f>IF(VLOOKUP(BJ279,坦克个性化设定!$B$18:$BC$48,MATCH("装弹类型",坦克个性化设定!$B$18:$BC$18,0),FALSE)="弹夹换弹",0,ROUND(VLOOKUP($BJ279,$AI$3:$AO$33,MATCH("换弹时间",$AI$3:$AO$3,0),FALSE)-$BL279/VLOOKUP(VLOOKUP($BJ279,坦克个性化设定!$B$18:$E$48,4,FALSE)&amp;$BK279,坦克属性分配比例,MATCH("升星次数",坦克属性分配比例标头,0),FALSE)*VLOOKUP($BJ279,$AR$3:$AY$33,MATCH("换弹时间",$AR$3:$AY$3,0),FALSE),2))</f>
        <v>4.08</v>
      </c>
      <c r="BW279" s="2">
        <f>IF(VLOOKUP(BJ279,坦克个性化设定!$B$18:$BC$48,MATCH("装弹类型",坦克个性化设定!$B$18:$BC$18,0),FALSE)="弹夹换弹",ROUND(VLOOKUP($BJ279,$AI$3:$AO$33,MATCH("换弹时间",$AI$3:$AO$3,0),FALSE)-$BL279/VLOOKUP(VLOOKUP($BJ279,坦克个性化设定!$B$18:$E$48,4,FALSE)&amp;$BK279,坦克属性分配比例,MATCH("升星次数",坦克属性分配比例标头,0),FALSE)*VLOOKUP($BJ279,$AR$3:$AY$33,MATCH("换弹时间",$AR$3:$AY$3,0),FALSE),1),0)</f>
        <v>0</v>
      </c>
      <c r="BX279" s="2">
        <f>ROUND(VLOOKUP($BJ279,$AI$3:$AO$33,MATCH(BX$3,$AI$3:$AO$3,0),FALSE)+$BL279/VLOOKUP(VLOOKUP($BJ279,坦克个性化设定!$B$18:$E$48,4,FALSE)&amp;$BK279,坦克属性分配比例,MATCH("升星次数",坦克属性分配比例标头,0),FALSE)*VLOOKUP($BJ279,$AR$3:$AY$33,MATCH(BX$3,$AR$3:$AY$3,0),FALSE),2)</f>
        <v>2</v>
      </c>
      <c r="BY279" s="2">
        <f>ROUND(VLOOKUP($BJ279,$AI$3:$AO$33,MATCH(BY$3,$AI$3:$AO$3,0),FALSE)-$BL279/VLOOKUP(VLOOKUP($BJ279,坦克个性化设定!$B$18:$E$48,4,FALSE)&amp;$BK279,坦克属性分配比例,MATCH("升星次数",坦克属性分配比例标头,0),FALSE)*VLOOKUP($BJ279,$AR$3:$AY$33,MATCH(BY$3,$AR$3:$AY$3,0),FALSE),2)</f>
        <v>2.0099999999999998</v>
      </c>
    </row>
    <row r="280" spans="60:77" x14ac:dyDescent="0.3">
      <c r="BH280" s="2" t="str">
        <f t="shared" si="35"/>
        <v>IS-48</v>
      </c>
      <c r="BI280" s="2">
        <f>IF(BL279&gt;=VLOOKUP(VLOOKUP(BJ279,坦克个性化设定!$B$18:$E$48,4,FALSE)&amp;BK279,坦克属性分配比例,MATCH("升星次数",坦克属性分配比例标头,0),FALSE),BI279+1,BI279)</f>
        <v>28</v>
      </c>
      <c r="BJ280" s="2" t="str">
        <f t="shared" si="36"/>
        <v>IS-4</v>
      </c>
      <c r="BK280" s="29" t="str">
        <f>VLOOKUP(BJ280,坦克个性化细分!$I$3:$J$33,2,FALSE)</f>
        <v>中</v>
      </c>
      <c r="BL280" s="2">
        <f t="shared" si="37"/>
        <v>8</v>
      </c>
      <c r="BM280" s="103">
        <f ca="1">ROUND(VLOOKUP($BJ280&amp;"初始",$S$3:$AE$63,MATCH(BM$3,$S$3:$AE$3,0),FALSE)+((VLOOKUP($BJ280&amp;"最终",$S$3:$AE$63,MATCH(BM$3,$S$3:$AE$3,0),FALSE)*坦克个性化细分!$C$9-VLOOKUP($BJ280&amp;"初始",$S$3:$AE$63,MATCH(BM$3,$S$3:$AE$3,0),FALSE))-(VLOOKUP($BJ280&amp;"最终",$S$3:$AE$63,MATCH(BM$3,$S$3:$AE$3,0),FALSE)-VLOOKUP($BJ280&amp;"初始",$S$3:$AE$63,MATCH(BM$3,$S$3:$AE$3,0),FALSE))*VLOOKUP(VLOOKUP($BJ280,坦克个性化设定!$B$18:$E$48,4,FALSE)&amp;$BK280,坦克属性分配比例,MATCH("部件比例",坦克属性分配比例标头,0),FALSE))*$BL280/VLOOKUP(VLOOKUP($BJ280,坦克个性化设定!$B$18:$E$48,4,FALSE)&amp;$BK280,坦克属性分配比例,MATCH("升星次数",坦克属性分配比例标头,0),FALSE),0)</f>
        <v>2626</v>
      </c>
      <c r="BN280" s="103">
        <f ca="1">ROUND(VLOOKUP($BJ280&amp;"初始",$S$3:$AE$63,MATCH(BN$3,$S$3:$AE$3,0),FALSE)+(VLOOKUP($BJ280&amp;"最终",$S$3:$AE$63,MATCH(BN$3,$S$3:$AE$3,0),FALSE)-VLOOKUP($BJ280&amp;"初始",$S$3:$AE$63,MATCH(BN$3,$S$3:$AE$3,0),FALSE))*$BL280/VLOOKUP(VLOOKUP($BJ280,坦克个性化设定!$B$18:$E$48,4,FALSE)&amp;$BK280,坦克属性分配比例,MATCH("升星次数",坦克属性分配比例标头,0),FALSE)*VLOOKUP(VLOOKUP($BJ280,坦克个性化设定!$B$18:$E$48,4,FALSE)&amp;$BK280,坦克属性分配比例,MATCH("升星比例",坦克属性分配比例标头,0),FALSE),0)</f>
        <v>656</v>
      </c>
      <c r="BO280" s="103">
        <f ca="1">ROUND(VLOOKUP($BJ280&amp;"初始",$S$3:$AE$63,MATCH(BO$3,$S$3:$AE$3,0),FALSE)+(VLOOKUP($BJ280&amp;"最终",$S$3:$AE$63,MATCH(BO$3,$S$3:$AE$3,0),FALSE)-VLOOKUP($BJ280&amp;"初始",$S$3:$AE$63,MATCH(BO$3,$S$3:$AE$3,0),FALSE))*$BL280/VLOOKUP(VLOOKUP($BJ280,坦克个性化设定!$B$18:$E$48,4,FALSE)&amp;$BK280,坦克属性分配比例,MATCH("升星次数",坦克属性分配比例标头,0),FALSE)*(VLOOKUP(VLOOKUP($BJ280,坦克个性化设定!$B$18:$E$48,4,FALSE)&amp;$BK280,坦克属性分配比例,MATCH("升星比例",坦克属性分配比例标头,0),FALSE)+VLOOKUP(VLOOKUP($BJ280,坦克个性化设定!$B$18:$E$48,4,FALSE)&amp;$BK280,坦克属性分配比例,MATCH("部件比例",坦克属性分配比例标头,0),FALSE)*$C$3),0)</f>
        <v>735</v>
      </c>
      <c r="BP280" s="103">
        <f ca="1">ROUND(VLOOKUP($BJ280&amp;"初始",$S$3:$AE$63,MATCH(BP$3,$S$3:$AE$3,0),FALSE)+(VLOOKUP($BJ280&amp;"最终",$S$3:$AE$63,MATCH(BP$3,$S$3:$AE$3,0),FALSE)-VLOOKUP($BJ280&amp;"初始",$S$3:$AE$63,MATCH(BP$3,$S$3:$AE$3,0),FALSE))*$BL280/VLOOKUP(VLOOKUP($BJ280,坦克个性化设定!$B$18:$E$48,4,FALSE)&amp;$BK280,坦克属性分配比例,MATCH("升星次数",坦克属性分配比例标头,0),FALSE)*(VLOOKUP(VLOOKUP($BJ280,坦克个性化设定!$B$18:$E$48,4,FALSE)&amp;$BK280,坦克属性分配比例,MATCH("升星比例",坦克属性分配比例标头,0),FALSE)+VLOOKUP(VLOOKUP($BJ280,坦克个性化设定!$B$18:$E$48,4,FALSE)&amp;$BK280,坦克属性分配比例,MATCH("部件比例",坦克属性分配比例标头,0),FALSE)*$C$3),0)</f>
        <v>588</v>
      </c>
      <c r="BQ280" s="103">
        <f ca="1">ROUND(VLOOKUP($BJ280&amp;"初始",$S$3:$AE$63,MATCH(BQ$3,$S$3:$AE$3,0),FALSE)+(VLOOKUP($BJ280&amp;"最终",$S$3:$AE$63,MATCH(BQ$3,$S$3:$AE$3,0),FALSE)-VLOOKUP($BJ280&amp;"初始",$S$3:$AE$63,MATCH(BQ$3,$S$3:$AE$3,0),FALSE))*$BL280/VLOOKUP(VLOOKUP($BJ280,坦克个性化设定!$B$18:$E$48,4,FALSE)&amp;$BK280,坦克属性分配比例,MATCH("升星次数",坦克属性分配比例标头,0),FALSE)*VLOOKUP(VLOOKUP($BJ280,坦克个性化设定!$B$18:$E$48,4,FALSE)&amp;$BK280,坦克属性分配比例,MATCH("升星比例",坦克属性分配比例标头,0),FALSE),0)</f>
        <v>1001</v>
      </c>
      <c r="BR280" s="2">
        <f ca="1">ROUND(VLOOKUP($BJ280&amp;"初始",$S$3:$AE$63,MATCH(BR$3,$S$3:$AE$3,0),FALSE)+(VLOOKUP($BJ280&amp;"最终",$S$3:$AE$63,MATCH(BR$3,$S$3:$AE$3,0),FALSE)-VLOOKUP($BJ280&amp;"初始",$S$3:$AE$63,MATCH(BR$3,$S$3:$AE$3,0),FALSE))*$BL280/VLOOKUP(VLOOKUP($BJ280,坦克个性化设定!$B$18:$E$48,4,FALSE)&amp;$BK280,坦克属性分配比例,MATCH("升星次数",坦克属性分配比例标头,0),FALSE),0)</f>
        <v>264</v>
      </c>
      <c r="BS280" s="2">
        <f>ROUND(VLOOKUP($BJ280,$AI$3:$AO$33,MATCH(BS$3,$AI$3:$AO$3,0),FALSE)+$BL280/VLOOKUP(VLOOKUP($BJ280,坦克个性化设定!$B$18:$E$48,4,FALSE)&amp;$BK280,坦克属性分配比例,MATCH("升星次数",坦克属性分配比例标头,0),FALSE)*VLOOKUP($BJ280,$AR$3:$AY$33,MATCH(BS$3,$AR$3:$AY$3,0),FALSE),1)</f>
        <v>37</v>
      </c>
      <c r="BT280" s="2">
        <f>ROUND(VLOOKUP($BJ280,$AI$3:$AO$33,MATCH(BT$3,$AI$3:$AO$3,0),FALSE)+$BL280/VLOOKUP(VLOOKUP($BJ280,坦克个性化设定!$B$18:$E$48,4,FALSE)&amp;$BK280,坦克属性分配比例,MATCH("升星次数",坦克属性分配比例标头,0),FALSE)*VLOOKUP($BJ280,$AR$3:$AY$33,MATCH(BT$3,$AR$3:$AY$3,0),FALSE),1)</f>
        <v>42.2</v>
      </c>
      <c r="BU280" s="2">
        <f>ROUND(VLOOKUP($BJ280,$AI$3:$AO$33,MATCH(BU$3,$AI$3:$AO$3,0),FALSE)+$BL280/VLOOKUP(VLOOKUP($BJ280,坦克个性化设定!$B$18:$E$48,4,FALSE)&amp;$BK280,坦克属性分配比例,MATCH("升星次数",坦克属性分配比例标头,0),FALSE)*VLOOKUP($BJ280,$AR$3:$AY$33,MATCH(BU$3,$AR$3:$AY$3,0),FALSE),1)</f>
        <v>6.4</v>
      </c>
      <c r="BV280" s="2">
        <f>IF(VLOOKUP(BJ280,坦克个性化设定!$B$18:$BC$48,MATCH("装弹类型",坦克个性化设定!$B$18:$BC$18,0),FALSE)="弹夹换弹",0,ROUND(VLOOKUP($BJ280,$AI$3:$AO$33,MATCH("换弹时间",$AI$3:$AO$3,0),FALSE)-$BL280/VLOOKUP(VLOOKUP($BJ280,坦克个性化设定!$B$18:$E$48,4,FALSE)&amp;$BK280,坦克属性分配比例,MATCH("升星次数",坦克属性分配比例标头,0),FALSE)*VLOOKUP($BJ280,$AR$3:$AY$33,MATCH("换弹时间",$AR$3:$AY$3,0),FALSE),2))</f>
        <v>4.0199999999999996</v>
      </c>
      <c r="BW280" s="2">
        <f>IF(VLOOKUP(BJ280,坦克个性化设定!$B$18:$BC$48,MATCH("装弹类型",坦克个性化设定!$B$18:$BC$18,0),FALSE)="弹夹换弹",ROUND(VLOOKUP($BJ280,$AI$3:$AO$33,MATCH("换弹时间",$AI$3:$AO$3,0),FALSE)-$BL280/VLOOKUP(VLOOKUP($BJ280,坦克个性化设定!$B$18:$E$48,4,FALSE)&amp;$BK280,坦克属性分配比例,MATCH("升星次数",坦克属性分配比例标头,0),FALSE)*VLOOKUP($BJ280,$AR$3:$AY$33,MATCH("换弹时间",$AR$3:$AY$3,0),FALSE),1),0)</f>
        <v>0</v>
      </c>
      <c r="BX280" s="2">
        <f>ROUND(VLOOKUP($BJ280,$AI$3:$AO$33,MATCH(BX$3,$AI$3:$AO$3,0),FALSE)+$BL280/VLOOKUP(VLOOKUP($BJ280,坦克个性化设定!$B$18:$E$48,4,FALSE)&amp;$BK280,坦克属性分配比例,MATCH("升星次数",坦克属性分配比例标头,0),FALSE)*VLOOKUP($BJ280,$AR$3:$AY$33,MATCH(BX$3,$AR$3:$AY$3,0),FALSE),2)</f>
        <v>2</v>
      </c>
      <c r="BY280" s="2">
        <f>ROUND(VLOOKUP($BJ280,$AI$3:$AO$33,MATCH(BY$3,$AI$3:$AO$3,0),FALSE)-$BL280/VLOOKUP(VLOOKUP($BJ280,坦克个性化设定!$B$18:$E$48,4,FALSE)&amp;$BK280,坦克属性分配比例,MATCH("升星次数",坦克属性分配比例标头,0),FALSE)*VLOOKUP($BJ280,$AR$3:$AY$33,MATCH(BY$3,$AR$3:$AY$3,0),FALSE),2)</f>
        <v>1.98</v>
      </c>
    </row>
    <row r="281" spans="60:77" x14ac:dyDescent="0.3">
      <c r="BH281" s="2" t="str">
        <f t="shared" si="35"/>
        <v>IS-49</v>
      </c>
      <c r="BI281" s="2">
        <f>IF(BL280&gt;=VLOOKUP(VLOOKUP(BJ280,坦克个性化设定!$B$18:$E$48,4,FALSE)&amp;BK280,坦克属性分配比例,MATCH("升星次数",坦克属性分配比例标头,0),FALSE),BI280+1,BI280)</f>
        <v>28</v>
      </c>
      <c r="BJ281" s="2" t="str">
        <f t="shared" si="36"/>
        <v>IS-4</v>
      </c>
      <c r="BK281" s="29" t="str">
        <f>VLOOKUP(BJ281,坦克个性化细分!$I$3:$J$33,2,FALSE)</f>
        <v>中</v>
      </c>
      <c r="BL281" s="2">
        <f t="shared" si="37"/>
        <v>9</v>
      </c>
      <c r="BM281" s="103">
        <f ca="1">ROUND(VLOOKUP($BJ281&amp;"初始",$S$3:$AE$63,MATCH(BM$3,$S$3:$AE$3,0),FALSE)+((VLOOKUP($BJ281&amp;"最终",$S$3:$AE$63,MATCH(BM$3,$S$3:$AE$3,0),FALSE)*坦克个性化细分!$C$9-VLOOKUP($BJ281&amp;"初始",$S$3:$AE$63,MATCH(BM$3,$S$3:$AE$3,0),FALSE))-(VLOOKUP($BJ281&amp;"最终",$S$3:$AE$63,MATCH(BM$3,$S$3:$AE$3,0),FALSE)-VLOOKUP($BJ281&amp;"初始",$S$3:$AE$63,MATCH(BM$3,$S$3:$AE$3,0),FALSE))*VLOOKUP(VLOOKUP($BJ281,坦克个性化设定!$B$18:$E$48,4,FALSE)&amp;$BK281,坦克属性分配比例,MATCH("部件比例",坦克属性分配比例标头,0),FALSE))*$BL281/VLOOKUP(VLOOKUP($BJ281,坦克个性化设定!$B$18:$E$48,4,FALSE)&amp;$BK281,坦克属性分配比例,MATCH("升星次数",坦克属性分配比例标头,0),FALSE),0)</f>
        <v>2712</v>
      </c>
      <c r="BN281" s="103">
        <f ca="1">ROUND(VLOOKUP($BJ281&amp;"初始",$S$3:$AE$63,MATCH(BN$3,$S$3:$AE$3,0),FALSE)+(VLOOKUP($BJ281&amp;"最终",$S$3:$AE$63,MATCH(BN$3,$S$3:$AE$3,0),FALSE)-VLOOKUP($BJ281&amp;"初始",$S$3:$AE$63,MATCH(BN$3,$S$3:$AE$3,0),FALSE))*$BL281/VLOOKUP(VLOOKUP($BJ281,坦克个性化设定!$B$18:$E$48,4,FALSE)&amp;$BK281,坦克属性分配比例,MATCH("升星次数",坦克属性分配比例标头,0),FALSE)*VLOOKUP(VLOOKUP($BJ281,坦克个性化设定!$B$18:$E$48,4,FALSE)&amp;$BK281,坦克属性分配比例,MATCH("升星比例",坦克属性分配比例标头,0),FALSE),0)</f>
        <v>669</v>
      </c>
      <c r="BO281" s="103">
        <f ca="1">ROUND(VLOOKUP($BJ281&amp;"初始",$S$3:$AE$63,MATCH(BO$3,$S$3:$AE$3,0),FALSE)+(VLOOKUP($BJ281&amp;"最终",$S$3:$AE$63,MATCH(BO$3,$S$3:$AE$3,0),FALSE)-VLOOKUP($BJ281&amp;"初始",$S$3:$AE$63,MATCH(BO$3,$S$3:$AE$3,0),FALSE))*$BL281/VLOOKUP(VLOOKUP($BJ281,坦克个性化设定!$B$18:$E$48,4,FALSE)&amp;$BK281,坦克属性分配比例,MATCH("升星次数",坦克属性分配比例标头,0),FALSE)*(VLOOKUP(VLOOKUP($BJ281,坦克个性化设定!$B$18:$E$48,4,FALSE)&amp;$BK281,坦克属性分配比例,MATCH("升星比例",坦克属性分配比例标头,0),FALSE)+VLOOKUP(VLOOKUP($BJ281,坦克个性化设定!$B$18:$E$48,4,FALSE)&amp;$BK281,坦克属性分配比例,MATCH("部件比例",坦克属性分配比例标头,0),FALSE)*$C$3),0)</f>
        <v>756</v>
      </c>
      <c r="BP281" s="103">
        <f ca="1">ROUND(VLOOKUP($BJ281&amp;"初始",$S$3:$AE$63,MATCH(BP$3,$S$3:$AE$3,0),FALSE)+(VLOOKUP($BJ281&amp;"最终",$S$3:$AE$63,MATCH(BP$3,$S$3:$AE$3,0),FALSE)-VLOOKUP($BJ281&amp;"初始",$S$3:$AE$63,MATCH(BP$3,$S$3:$AE$3,0),FALSE))*$BL281/VLOOKUP(VLOOKUP($BJ281,坦克个性化设定!$B$18:$E$48,4,FALSE)&amp;$BK281,坦克属性分配比例,MATCH("升星次数",坦克属性分配比例标头,0),FALSE)*(VLOOKUP(VLOOKUP($BJ281,坦克个性化设定!$B$18:$E$48,4,FALSE)&amp;$BK281,坦克属性分配比例,MATCH("升星比例",坦克属性分配比例标头,0),FALSE)+VLOOKUP(VLOOKUP($BJ281,坦克个性化设定!$B$18:$E$48,4,FALSE)&amp;$BK281,坦克属性分配比例,MATCH("部件比例",坦克属性分配比例标头,0),FALSE)*$C$3),0)</f>
        <v>605</v>
      </c>
      <c r="BQ281" s="103">
        <f ca="1">ROUND(VLOOKUP($BJ281&amp;"初始",$S$3:$AE$63,MATCH(BQ$3,$S$3:$AE$3,0),FALSE)+(VLOOKUP($BJ281&amp;"最终",$S$3:$AE$63,MATCH(BQ$3,$S$3:$AE$3,0),FALSE)-VLOOKUP($BJ281&amp;"初始",$S$3:$AE$63,MATCH(BQ$3,$S$3:$AE$3,0),FALSE))*$BL281/VLOOKUP(VLOOKUP($BJ281,坦克个性化设定!$B$18:$E$48,4,FALSE)&amp;$BK281,坦克属性分配比例,MATCH("升星次数",坦克属性分配比例标头,0),FALSE)*VLOOKUP(VLOOKUP($BJ281,坦克个性化设定!$B$18:$E$48,4,FALSE)&amp;$BK281,坦克属性分配比例,MATCH("升星比例",坦克属性分配比例标头,0),FALSE),0)</f>
        <v>1021</v>
      </c>
      <c r="BR281" s="2">
        <f ca="1">ROUND(VLOOKUP($BJ281&amp;"初始",$S$3:$AE$63,MATCH(BR$3,$S$3:$AE$3,0),FALSE)+(VLOOKUP($BJ281&amp;"最终",$S$3:$AE$63,MATCH(BR$3,$S$3:$AE$3,0),FALSE)-VLOOKUP($BJ281&amp;"初始",$S$3:$AE$63,MATCH(BR$3,$S$3:$AE$3,0),FALSE))*$BL281/VLOOKUP(VLOOKUP($BJ281,坦克个性化设定!$B$18:$E$48,4,FALSE)&amp;$BK281,坦克属性分配比例,MATCH("升星次数",坦克属性分配比例标头,0),FALSE),0)</f>
        <v>273</v>
      </c>
      <c r="BS281" s="2">
        <f>ROUND(VLOOKUP($BJ281,$AI$3:$AO$33,MATCH(BS$3,$AI$3:$AO$3,0),FALSE)+$BL281/VLOOKUP(VLOOKUP($BJ281,坦克个性化设定!$B$18:$E$48,4,FALSE)&amp;$BK281,坦克属性分配比例,MATCH("升星次数",坦克属性分配比例标头,0),FALSE)*VLOOKUP($BJ281,$AR$3:$AY$33,MATCH(BS$3,$AR$3:$AY$3,0),FALSE),1)</f>
        <v>37.700000000000003</v>
      </c>
      <c r="BT281" s="2">
        <f>ROUND(VLOOKUP($BJ281,$AI$3:$AO$33,MATCH(BT$3,$AI$3:$AO$3,0),FALSE)+$BL281/VLOOKUP(VLOOKUP($BJ281,坦克个性化设定!$B$18:$E$48,4,FALSE)&amp;$BK281,坦克属性分配比例,MATCH("升星次数",坦克属性分配比例标头,0),FALSE)*VLOOKUP($BJ281,$AR$3:$AY$33,MATCH(BT$3,$AR$3:$AY$3,0),FALSE),1)</f>
        <v>43</v>
      </c>
      <c r="BU281" s="2">
        <f>ROUND(VLOOKUP($BJ281,$AI$3:$AO$33,MATCH(BU$3,$AI$3:$AO$3,0),FALSE)+$BL281/VLOOKUP(VLOOKUP($BJ281,坦克个性化设定!$B$18:$E$48,4,FALSE)&amp;$BK281,坦克属性分配比例,MATCH("升星次数",坦克属性分配比例标头,0),FALSE)*VLOOKUP($BJ281,$AR$3:$AY$33,MATCH(BU$3,$AR$3:$AY$3,0),FALSE),1)</f>
        <v>6.4</v>
      </c>
      <c r="BV281" s="2">
        <f>IF(VLOOKUP(BJ281,坦克个性化设定!$B$18:$BC$48,MATCH("装弹类型",坦克个性化设定!$B$18:$BC$18,0),FALSE)="弹夹换弹",0,ROUND(VLOOKUP($BJ281,$AI$3:$AO$33,MATCH("换弹时间",$AI$3:$AO$3,0),FALSE)-$BL281/VLOOKUP(VLOOKUP($BJ281,坦克个性化设定!$B$18:$E$48,4,FALSE)&amp;$BK281,坦克属性分配比例,MATCH("升星次数",坦克属性分配比例标头,0),FALSE)*VLOOKUP($BJ281,$AR$3:$AY$33,MATCH("换弹时间",$AR$3:$AY$3,0),FALSE),2))</f>
        <v>3.96</v>
      </c>
      <c r="BW281" s="2">
        <f>IF(VLOOKUP(BJ281,坦克个性化设定!$B$18:$BC$48,MATCH("装弹类型",坦克个性化设定!$B$18:$BC$18,0),FALSE)="弹夹换弹",ROUND(VLOOKUP($BJ281,$AI$3:$AO$33,MATCH("换弹时间",$AI$3:$AO$3,0),FALSE)-$BL281/VLOOKUP(VLOOKUP($BJ281,坦克个性化设定!$B$18:$E$48,4,FALSE)&amp;$BK281,坦克属性分配比例,MATCH("升星次数",坦克属性分配比例标头,0),FALSE)*VLOOKUP($BJ281,$AR$3:$AY$33,MATCH("换弹时间",$AR$3:$AY$3,0),FALSE),1),0)</f>
        <v>0</v>
      </c>
      <c r="BX281" s="2">
        <f>ROUND(VLOOKUP($BJ281,$AI$3:$AO$33,MATCH(BX$3,$AI$3:$AO$3,0),FALSE)+$BL281/VLOOKUP(VLOOKUP($BJ281,坦克个性化设定!$B$18:$E$48,4,FALSE)&amp;$BK281,坦克属性分配比例,MATCH("升星次数",坦克属性分配比例标头,0),FALSE)*VLOOKUP($BJ281,$AR$3:$AY$33,MATCH(BX$3,$AR$3:$AY$3,0),FALSE),2)</f>
        <v>2</v>
      </c>
      <c r="BY281" s="2">
        <f>ROUND(VLOOKUP($BJ281,$AI$3:$AO$33,MATCH(BY$3,$AI$3:$AO$3,0),FALSE)-$BL281/VLOOKUP(VLOOKUP($BJ281,坦克个性化设定!$B$18:$E$48,4,FALSE)&amp;$BK281,坦克属性分配比例,MATCH("升星次数",坦克属性分配比例标头,0),FALSE)*VLOOKUP($BJ281,$AR$3:$AY$33,MATCH(BY$3,$AR$3:$AY$3,0),FALSE),2)</f>
        <v>1.94</v>
      </c>
    </row>
    <row r="282" spans="60:77" x14ac:dyDescent="0.3">
      <c r="BH282" s="2" t="str">
        <f t="shared" si="35"/>
        <v>IS-410</v>
      </c>
      <c r="BI282" s="2">
        <f>IF(BL281&gt;=VLOOKUP(VLOOKUP(BJ281,坦克个性化设定!$B$18:$E$48,4,FALSE)&amp;BK281,坦克属性分配比例,MATCH("升星次数",坦克属性分配比例标头,0),FALSE),BI281+1,BI281)</f>
        <v>28</v>
      </c>
      <c r="BJ282" s="2" t="str">
        <f t="shared" si="36"/>
        <v>IS-4</v>
      </c>
      <c r="BK282" s="29" t="str">
        <f>VLOOKUP(BJ282,坦克个性化细分!$I$3:$J$33,2,FALSE)</f>
        <v>中</v>
      </c>
      <c r="BL282" s="2">
        <f t="shared" si="37"/>
        <v>10</v>
      </c>
      <c r="BM282" s="103">
        <f ca="1">ROUND(VLOOKUP($BJ282&amp;"初始",$S$3:$AE$63,MATCH(BM$3,$S$3:$AE$3,0),FALSE)+((VLOOKUP($BJ282&amp;"最终",$S$3:$AE$63,MATCH(BM$3,$S$3:$AE$3,0),FALSE)*坦克个性化细分!$C$9-VLOOKUP($BJ282&amp;"初始",$S$3:$AE$63,MATCH(BM$3,$S$3:$AE$3,0),FALSE))-(VLOOKUP($BJ282&amp;"最终",$S$3:$AE$63,MATCH(BM$3,$S$3:$AE$3,0),FALSE)-VLOOKUP($BJ282&amp;"初始",$S$3:$AE$63,MATCH(BM$3,$S$3:$AE$3,0),FALSE))*VLOOKUP(VLOOKUP($BJ282,坦克个性化设定!$B$18:$E$48,4,FALSE)&amp;$BK282,坦克属性分配比例,MATCH("部件比例",坦克属性分配比例标头,0),FALSE))*$BL282/VLOOKUP(VLOOKUP($BJ282,坦克个性化设定!$B$18:$E$48,4,FALSE)&amp;$BK282,坦克属性分配比例,MATCH("升星次数",坦克属性分配比例标头,0),FALSE),0)</f>
        <v>2798</v>
      </c>
      <c r="BN282" s="103">
        <f ca="1">ROUND(VLOOKUP($BJ282&amp;"初始",$S$3:$AE$63,MATCH(BN$3,$S$3:$AE$3,0),FALSE)+(VLOOKUP($BJ282&amp;"最终",$S$3:$AE$63,MATCH(BN$3,$S$3:$AE$3,0),FALSE)-VLOOKUP($BJ282&amp;"初始",$S$3:$AE$63,MATCH(BN$3,$S$3:$AE$3,0),FALSE))*$BL282/VLOOKUP(VLOOKUP($BJ282,坦克个性化设定!$B$18:$E$48,4,FALSE)&amp;$BK282,坦克属性分配比例,MATCH("升星次数",坦克属性分配比例标头,0),FALSE)*VLOOKUP(VLOOKUP($BJ282,坦克个性化设定!$B$18:$E$48,4,FALSE)&amp;$BK282,坦克属性分配比例,MATCH("升星比例",坦克属性分配比例标头,0),FALSE),0)</f>
        <v>682</v>
      </c>
      <c r="BO282" s="103">
        <f ca="1">ROUND(VLOOKUP($BJ282&amp;"初始",$S$3:$AE$63,MATCH(BO$3,$S$3:$AE$3,0),FALSE)+(VLOOKUP($BJ282&amp;"最终",$S$3:$AE$63,MATCH(BO$3,$S$3:$AE$3,0),FALSE)-VLOOKUP($BJ282&amp;"初始",$S$3:$AE$63,MATCH(BO$3,$S$3:$AE$3,0),FALSE))*$BL282/VLOOKUP(VLOOKUP($BJ282,坦克个性化设定!$B$18:$E$48,4,FALSE)&amp;$BK282,坦克属性分配比例,MATCH("升星次数",坦克属性分配比例标头,0),FALSE)*(VLOOKUP(VLOOKUP($BJ282,坦克个性化设定!$B$18:$E$48,4,FALSE)&amp;$BK282,坦克属性分配比例,MATCH("升星比例",坦克属性分配比例标头,0),FALSE)+VLOOKUP(VLOOKUP($BJ282,坦克个性化设定!$B$18:$E$48,4,FALSE)&amp;$BK282,坦克属性分配比例,MATCH("部件比例",坦克属性分配比例标头,0),FALSE)*$C$3),0)</f>
        <v>776</v>
      </c>
      <c r="BP282" s="103">
        <f ca="1">ROUND(VLOOKUP($BJ282&amp;"初始",$S$3:$AE$63,MATCH(BP$3,$S$3:$AE$3,0),FALSE)+(VLOOKUP($BJ282&amp;"最终",$S$3:$AE$63,MATCH(BP$3,$S$3:$AE$3,0),FALSE)-VLOOKUP($BJ282&amp;"初始",$S$3:$AE$63,MATCH(BP$3,$S$3:$AE$3,0),FALSE))*$BL282/VLOOKUP(VLOOKUP($BJ282,坦克个性化设定!$B$18:$E$48,4,FALSE)&amp;$BK282,坦克属性分配比例,MATCH("升星次数",坦克属性分配比例标头,0),FALSE)*(VLOOKUP(VLOOKUP($BJ282,坦克个性化设定!$B$18:$E$48,4,FALSE)&amp;$BK282,坦克属性分配比例,MATCH("升星比例",坦克属性分配比例标头,0),FALSE)+VLOOKUP(VLOOKUP($BJ282,坦克个性化设定!$B$18:$E$48,4,FALSE)&amp;$BK282,坦克属性分配比例,MATCH("部件比例",坦克属性分配比例标头,0),FALSE)*$C$3),0)</f>
        <v>621</v>
      </c>
      <c r="BQ282" s="103">
        <f ca="1">ROUND(VLOOKUP($BJ282&amp;"初始",$S$3:$AE$63,MATCH(BQ$3,$S$3:$AE$3,0),FALSE)+(VLOOKUP($BJ282&amp;"最终",$S$3:$AE$63,MATCH(BQ$3,$S$3:$AE$3,0),FALSE)-VLOOKUP($BJ282&amp;"初始",$S$3:$AE$63,MATCH(BQ$3,$S$3:$AE$3,0),FALSE))*$BL282/VLOOKUP(VLOOKUP($BJ282,坦克个性化设定!$B$18:$E$48,4,FALSE)&amp;$BK282,坦克属性分配比例,MATCH("升星次数",坦克属性分配比例标头,0),FALSE)*VLOOKUP(VLOOKUP($BJ282,坦克个性化设定!$B$18:$E$48,4,FALSE)&amp;$BK282,坦克属性分配比例,MATCH("升星比例",坦克属性分配比例标头,0),FALSE),0)</f>
        <v>1042</v>
      </c>
      <c r="BR282" s="2">
        <f ca="1">ROUND(VLOOKUP($BJ282&amp;"初始",$S$3:$AE$63,MATCH(BR$3,$S$3:$AE$3,0),FALSE)+(VLOOKUP($BJ282&amp;"最终",$S$3:$AE$63,MATCH(BR$3,$S$3:$AE$3,0),FALSE)-VLOOKUP($BJ282&amp;"初始",$S$3:$AE$63,MATCH(BR$3,$S$3:$AE$3,0),FALSE))*$BL282/VLOOKUP(VLOOKUP($BJ282,坦克个性化设定!$B$18:$E$48,4,FALSE)&amp;$BK282,坦克属性分配比例,MATCH("升星次数",坦克属性分配比例标头,0),FALSE),0)</f>
        <v>281</v>
      </c>
      <c r="BS282" s="2">
        <f>ROUND(VLOOKUP($BJ282,$AI$3:$AO$33,MATCH(BS$3,$AI$3:$AO$3,0),FALSE)+$BL282/VLOOKUP(VLOOKUP($BJ282,坦克个性化设定!$B$18:$E$48,4,FALSE)&amp;$BK282,坦克属性分配比例,MATCH("升星次数",坦克属性分配比例标头,0),FALSE)*VLOOKUP($BJ282,$AR$3:$AY$33,MATCH(BS$3,$AR$3:$AY$3,0),FALSE),1)</f>
        <v>38.4</v>
      </c>
      <c r="BT282" s="2">
        <f>ROUND(VLOOKUP($BJ282,$AI$3:$AO$33,MATCH(BT$3,$AI$3:$AO$3,0),FALSE)+$BL282/VLOOKUP(VLOOKUP($BJ282,坦克个性化设定!$B$18:$E$48,4,FALSE)&amp;$BK282,坦克属性分配比例,MATCH("升星次数",坦克属性分配比例标头,0),FALSE)*VLOOKUP($BJ282,$AR$3:$AY$33,MATCH(BT$3,$AR$3:$AY$3,0),FALSE),1)</f>
        <v>43.8</v>
      </c>
      <c r="BU282" s="2">
        <f>ROUND(VLOOKUP($BJ282,$AI$3:$AO$33,MATCH(BU$3,$AI$3:$AO$3,0),FALSE)+$BL282/VLOOKUP(VLOOKUP($BJ282,坦克个性化设定!$B$18:$E$48,4,FALSE)&amp;$BK282,坦克属性分配比例,MATCH("升星次数",坦克属性分配比例标头,0),FALSE)*VLOOKUP($BJ282,$AR$3:$AY$33,MATCH(BU$3,$AR$3:$AY$3,0),FALSE),1)</f>
        <v>6.4</v>
      </c>
      <c r="BV282" s="2">
        <f>IF(VLOOKUP(BJ282,坦克个性化设定!$B$18:$BC$48,MATCH("装弹类型",坦克个性化设定!$B$18:$BC$18,0),FALSE)="弹夹换弹",0,ROUND(VLOOKUP($BJ282,$AI$3:$AO$33,MATCH("换弹时间",$AI$3:$AO$3,0),FALSE)-$BL282/VLOOKUP(VLOOKUP($BJ282,坦克个性化设定!$B$18:$E$48,4,FALSE)&amp;$BK282,坦克属性分配比例,MATCH("升星次数",坦克属性分配比例标头,0),FALSE)*VLOOKUP($BJ282,$AR$3:$AY$33,MATCH("换弹时间",$AR$3:$AY$3,0),FALSE),2))</f>
        <v>3.9</v>
      </c>
      <c r="BW282" s="2">
        <f>IF(VLOOKUP(BJ282,坦克个性化设定!$B$18:$BC$48,MATCH("装弹类型",坦克个性化设定!$B$18:$BC$18,0),FALSE)="弹夹换弹",ROUND(VLOOKUP($BJ282,$AI$3:$AO$33,MATCH("换弹时间",$AI$3:$AO$3,0),FALSE)-$BL282/VLOOKUP(VLOOKUP($BJ282,坦克个性化设定!$B$18:$E$48,4,FALSE)&amp;$BK282,坦克属性分配比例,MATCH("升星次数",坦克属性分配比例标头,0),FALSE)*VLOOKUP($BJ282,$AR$3:$AY$33,MATCH("换弹时间",$AR$3:$AY$3,0),FALSE),1),0)</f>
        <v>0</v>
      </c>
      <c r="BX282" s="2">
        <f>ROUND(VLOOKUP($BJ282,$AI$3:$AO$33,MATCH(BX$3,$AI$3:$AO$3,0),FALSE)+$BL282/VLOOKUP(VLOOKUP($BJ282,坦克个性化设定!$B$18:$E$48,4,FALSE)&amp;$BK282,坦克属性分配比例,MATCH("升星次数",坦克属性分配比例标头,0),FALSE)*VLOOKUP($BJ282,$AR$3:$AY$33,MATCH(BX$3,$AR$3:$AY$3,0),FALSE),2)</f>
        <v>2</v>
      </c>
      <c r="BY282" s="2">
        <f>ROUND(VLOOKUP($BJ282,$AI$3:$AO$33,MATCH(BY$3,$AI$3:$AO$3,0),FALSE)-$BL282/VLOOKUP(VLOOKUP($BJ282,坦克个性化设定!$B$18:$E$48,4,FALSE)&amp;$BK282,坦克属性分配比例,MATCH("升星次数",坦克属性分配比例标头,0),FALSE)*VLOOKUP($BJ282,$AR$3:$AY$33,MATCH(BY$3,$AR$3:$AY$3,0),FALSE),2)</f>
        <v>1.91</v>
      </c>
    </row>
    <row r="283" spans="60:77" x14ac:dyDescent="0.3">
      <c r="BH283" s="2" t="str">
        <f t="shared" si="35"/>
        <v>IS-411</v>
      </c>
      <c r="BI283" s="2">
        <f>IF(BL282&gt;=VLOOKUP(VLOOKUP(BJ282,坦克个性化设定!$B$18:$E$48,4,FALSE)&amp;BK282,坦克属性分配比例,MATCH("升星次数",坦克属性分配比例标头,0),FALSE),BI282+1,BI282)</f>
        <v>28</v>
      </c>
      <c r="BJ283" s="2" t="str">
        <f t="shared" si="36"/>
        <v>IS-4</v>
      </c>
      <c r="BK283" s="29" t="str">
        <f>VLOOKUP(BJ283,坦克个性化细分!$I$3:$J$33,2,FALSE)</f>
        <v>中</v>
      </c>
      <c r="BL283" s="2">
        <f t="shared" si="37"/>
        <v>11</v>
      </c>
      <c r="BM283" s="103">
        <f ca="1">ROUND(VLOOKUP($BJ283&amp;"初始",$S$3:$AE$63,MATCH(BM$3,$S$3:$AE$3,0),FALSE)+((VLOOKUP($BJ283&amp;"最终",$S$3:$AE$63,MATCH(BM$3,$S$3:$AE$3,0),FALSE)*坦克个性化细分!$C$9-VLOOKUP($BJ283&amp;"初始",$S$3:$AE$63,MATCH(BM$3,$S$3:$AE$3,0),FALSE))-(VLOOKUP($BJ283&amp;"最终",$S$3:$AE$63,MATCH(BM$3,$S$3:$AE$3,0),FALSE)-VLOOKUP($BJ283&amp;"初始",$S$3:$AE$63,MATCH(BM$3,$S$3:$AE$3,0),FALSE))*VLOOKUP(VLOOKUP($BJ283,坦克个性化设定!$B$18:$E$48,4,FALSE)&amp;$BK283,坦克属性分配比例,MATCH("部件比例",坦克属性分配比例标头,0),FALSE))*$BL283/VLOOKUP(VLOOKUP($BJ283,坦克个性化设定!$B$18:$E$48,4,FALSE)&amp;$BK283,坦克属性分配比例,MATCH("升星次数",坦克属性分配比例标头,0),FALSE),0)</f>
        <v>2883</v>
      </c>
      <c r="BN283" s="103">
        <f ca="1">ROUND(VLOOKUP($BJ283&amp;"初始",$S$3:$AE$63,MATCH(BN$3,$S$3:$AE$3,0),FALSE)+(VLOOKUP($BJ283&amp;"最终",$S$3:$AE$63,MATCH(BN$3,$S$3:$AE$3,0),FALSE)-VLOOKUP($BJ283&amp;"初始",$S$3:$AE$63,MATCH(BN$3,$S$3:$AE$3,0),FALSE))*$BL283/VLOOKUP(VLOOKUP($BJ283,坦克个性化设定!$B$18:$E$48,4,FALSE)&amp;$BK283,坦克属性分配比例,MATCH("升星次数",坦克属性分配比例标头,0),FALSE)*VLOOKUP(VLOOKUP($BJ283,坦克个性化设定!$B$18:$E$48,4,FALSE)&amp;$BK283,坦克属性分配比例,MATCH("升星比例",坦克属性分配比例标头,0),FALSE),0)</f>
        <v>695</v>
      </c>
      <c r="BO283" s="103">
        <f ca="1">ROUND(VLOOKUP($BJ283&amp;"初始",$S$3:$AE$63,MATCH(BO$3,$S$3:$AE$3,0),FALSE)+(VLOOKUP($BJ283&amp;"最终",$S$3:$AE$63,MATCH(BO$3,$S$3:$AE$3,0),FALSE)-VLOOKUP($BJ283&amp;"初始",$S$3:$AE$63,MATCH(BO$3,$S$3:$AE$3,0),FALSE))*$BL283/VLOOKUP(VLOOKUP($BJ283,坦克个性化设定!$B$18:$E$48,4,FALSE)&amp;$BK283,坦克属性分配比例,MATCH("升星次数",坦克属性分配比例标头,0),FALSE)*(VLOOKUP(VLOOKUP($BJ283,坦克个性化设定!$B$18:$E$48,4,FALSE)&amp;$BK283,坦克属性分配比例,MATCH("升星比例",坦克属性分配比例标头,0),FALSE)+VLOOKUP(VLOOKUP($BJ283,坦克个性化设定!$B$18:$E$48,4,FALSE)&amp;$BK283,坦克属性分配比例,MATCH("部件比例",坦克属性分配比例标头,0),FALSE)*$C$3),0)</f>
        <v>797</v>
      </c>
      <c r="BP283" s="103">
        <f ca="1">ROUND(VLOOKUP($BJ283&amp;"初始",$S$3:$AE$63,MATCH(BP$3,$S$3:$AE$3,0),FALSE)+(VLOOKUP($BJ283&amp;"最终",$S$3:$AE$63,MATCH(BP$3,$S$3:$AE$3,0),FALSE)-VLOOKUP($BJ283&amp;"初始",$S$3:$AE$63,MATCH(BP$3,$S$3:$AE$3,0),FALSE))*$BL283/VLOOKUP(VLOOKUP($BJ283,坦克个性化设定!$B$18:$E$48,4,FALSE)&amp;$BK283,坦克属性分配比例,MATCH("升星次数",坦克属性分配比例标头,0),FALSE)*(VLOOKUP(VLOOKUP($BJ283,坦克个性化设定!$B$18:$E$48,4,FALSE)&amp;$BK283,坦克属性分配比例,MATCH("升星比例",坦克属性分配比例标头,0),FALSE)+VLOOKUP(VLOOKUP($BJ283,坦克个性化设定!$B$18:$E$48,4,FALSE)&amp;$BK283,坦克属性分配比例,MATCH("部件比例",坦克属性分配比例标头,0),FALSE)*$C$3),0)</f>
        <v>637</v>
      </c>
      <c r="BQ283" s="103">
        <f ca="1">ROUND(VLOOKUP($BJ283&amp;"初始",$S$3:$AE$63,MATCH(BQ$3,$S$3:$AE$3,0),FALSE)+(VLOOKUP($BJ283&amp;"最终",$S$3:$AE$63,MATCH(BQ$3,$S$3:$AE$3,0),FALSE)-VLOOKUP($BJ283&amp;"初始",$S$3:$AE$63,MATCH(BQ$3,$S$3:$AE$3,0),FALSE))*$BL283/VLOOKUP(VLOOKUP($BJ283,坦克个性化设定!$B$18:$E$48,4,FALSE)&amp;$BK283,坦克属性分配比例,MATCH("升星次数",坦克属性分配比例标头,0),FALSE)*VLOOKUP(VLOOKUP($BJ283,坦克个性化设定!$B$18:$E$48,4,FALSE)&amp;$BK283,坦克属性分配比例,MATCH("升星比例",坦克属性分配比例标头,0),FALSE),0)</f>
        <v>1062</v>
      </c>
      <c r="BR283" s="2">
        <f ca="1">ROUND(VLOOKUP($BJ283&amp;"初始",$S$3:$AE$63,MATCH(BR$3,$S$3:$AE$3,0),FALSE)+(VLOOKUP($BJ283&amp;"最终",$S$3:$AE$63,MATCH(BR$3,$S$3:$AE$3,0),FALSE)-VLOOKUP($BJ283&amp;"初始",$S$3:$AE$63,MATCH(BR$3,$S$3:$AE$3,0),FALSE))*$BL283/VLOOKUP(VLOOKUP($BJ283,坦克个性化设定!$B$18:$E$48,4,FALSE)&amp;$BK283,坦克属性分配比例,MATCH("升星次数",坦克属性分配比例标头,0),FALSE),0)</f>
        <v>290</v>
      </c>
      <c r="BS283" s="2">
        <f>ROUND(VLOOKUP($BJ283,$AI$3:$AO$33,MATCH(BS$3,$AI$3:$AO$3,0),FALSE)+$BL283/VLOOKUP(VLOOKUP($BJ283,坦克个性化设定!$B$18:$E$48,4,FALSE)&amp;$BK283,坦克属性分配比例,MATCH("升星次数",坦克属性分配比例标头,0),FALSE)*VLOOKUP($BJ283,$AR$3:$AY$33,MATCH(BS$3,$AR$3:$AY$3,0),FALSE),1)</f>
        <v>39.1</v>
      </c>
      <c r="BT283" s="2">
        <f>ROUND(VLOOKUP($BJ283,$AI$3:$AO$33,MATCH(BT$3,$AI$3:$AO$3,0),FALSE)+$BL283/VLOOKUP(VLOOKUP($BJ283,坦克个性化设定!$B$18:$E$48,4,FALSE)&amp;$BK283,坦克属性分配比例,MATCH("升星次数",坦克属性分配比例标头,0),FALSE)*VLOOKUP($BJ283,$AR$3:$AY$33,MATCH(BT$3,$AR$3:$AY$3,0),FALSE),1)</f>
        <v>44.6</v>
      </c>
      <c r="BU283" s="2">
        <f>ROUND(VLOOKUP($BJ283,$AI$3:$AO$33,MATCH(BU$3,$AI$3:$AO$3,0),FALSE)+$BL283/VLOOKUP(VLOOKUP($BJ283,坦克个性化设定!$B$18:$E$48,4,FALSE)&amp;$BK283,坦克属性分配比例,MATCH("升星次数",坦克属性分配比例标头,0),FALSE)*VLOOKUP($BJ283,$AR$3:$AY$33,MATCH(BU$3,$AR$3:$AY$3,0),FALSE),1)</f>
        <v>6.4</v>
      </c>
      <c r="BV283" s="2">
        <f>IF(VLOOKUP(BJ283,坦克个性化设定!$B$18:$BC$48,MATCH("装弹类型",坦克个性化设定!$B$18:$BC$18,0),FALSE)="弹夹换弹",0,ROUND(VLOOKUP($BJ283,$AI$3:$AO$33,MATCH("换弹时间",$AI$3:$AO$3,0),FALSE)-$BL283/VLOOKUP(VLOOKUP($BJ283,坦克个性化设定!$B$18:$E$48,4,FALSE)&amp;$BK283,坦克属性分配比例,MATCH("升星次数",坦克属性分配比例标头,0),FALSE)*VLOOKUP($BJ283,$AR$3:$AY$33,MATCH("换弹时间",$AR$3:$AY$3,0),FALSE),2))</f>
        <v>3.84</v>
      </c>
      <c r="BW283" s="2">
        <f>IF(VLOOKUP(BJ283,坦克个性化设定!$B$18:$BC$48,MATCH("装弹类型",坦克个性化设定!$B$18:$BC$18,0),FALSE)="弹夹换弹",ROUND(VLOOKUP($BJ283,$AI$3:$AO$33,MATCH("换弹时间",$AI$3:$AO$3,0),FALSE)-$BL283/VLOOKUP(VLOOKUP($BJ283,坦克个性化设定!$B$18:$E$48,4,FALSE)&amp;$BK283,坦克属性分配比例,MATCH("升星次数",坦克属性分配比例标头,0),FALSE)*VLOOKUP($BJ283,$AR$3:$AY$33,MATCH("换弹时间",$AR$3:$AY$3,0),FALSE),1),0)</f>
        <v>0</v>
      </c>
      <c r="BX283" s="2">
        <f>ROUND(VLOOKUP($BJ283,$AI$3:$AO$33,MATCH(BX$3,$AI$3:$AO$3,0),FALSE)+$BL283/VLOOKUP(VLOOKUP($BJ283,坦克个性化设定!$B$18:$E$48,4,FALSE)&amp;$BK283,坦克属性分配比例,MATCH("升星次数",坦克属性分配比例标头,0),FALSE)*VLOOKUP($BJ283,$AR$3:$AY$33,MATCH(BX$3,$AR$3:$AY$3,0),FALSE),2)</f>
        <v>2</v>
      </c>
      <c r="BY283" s="2">
        <f>ROUND(VLOOKUP($BJ283,$AI$3:$AO$33,MATCH(BY$3,$AI$3:$AO$3,0),FALSE)-$BL283/VLOOKUP(VLOOKUP($BJ283,坦克个性化设定!$B$18:$E$48,4,FALSE)&amp;$BK283,坦克属性分配比例,MATCH("升星次数",坦克属性分配比例标头,0),FALSE)*VLOOKUP($BJ283,$AR$3:$AY$33,MATCH(BY$3,$AR$3:$AY$3,0),FALSE),2)</f>
        <v>1.88</v>
      </c>
    </row>
    <row r="284" spans="60:77" x14ac:dyDescent="0.3">
      <c r="BH284" s="2" t="str">
        <f t="shared" si="35"/>
        <v>T-320</v>
      </c>
      <c r="BI284" s="2">
        <f>IF(BL283&gt;=VLOOKUP(VLOOKUP(BJ283,坦克个性化设定!$B$18:$E$48,4,FALSE)&amp;BK283,坦克属性分配比例,MATCH("升星次数",坦克属性分配比例标头,0),FALSE),BI283+1,BI283)</f>
        <v>29</v>
      </c>
      <c r="BJ284" s="2" t="str">
        <f t="shared" si="36"/>
        <v>T-32</v>
      </c>
      <c r="BK284" s="29" t="str">
        <f>VLOOKUP(BJ284,坦克个性化细分!$I$3:$J$33,2,FALSE)</f>
        <v>高</v>
      </c>
      <c r="BL284" s="2">
        <f t="shared" si="37"/>
        <v>0</v>
      </c>
      <c r="BM284" s="103">
        <f ca="1">ROUND(VLOOKUP($BJ284&amp;"初始",$S$3:$AE$63,MATCH(BM$3,$S$3:$AE$3,0),FALSE)+((VLOOKUP($BJ284&amp;"最终",$S$3:$AE$63,MATCH(BM$3,$S$3:$AE$3,0),FALSE)*坦克个性化细分!$C$9-VLOOKUP($BJ284&amp;"初始",$S$3:$AE$63,MATCH(BM$3,$S$3:$AE$3,0),FALSE))-(VLOOKUP($BJ284&amp;"最终",$S$3:$AE$63,MATCH(BM$3,$S$3:$AE$3,0),FALSE)-VLOOKUP($BJ284&amp;"初始",$S$3:$AE$63,MATCH(BM$3,$S$3:$AE$3,0),FALSE))*VLOOKUP(VLOOKUP($BJ284,坦克个性化设定!$B$18:$E$48,4,FALSE)&amp;$BK284,坦克属性分配比例,MATCH("部件比例",坦克属性分配比例标头,0),FALSE))*$BL284/VLOOKUP(VLOOKUP($BJ284,坦克个性化设定!$B$18:$E$48,4,FALSE)&amp;$BK284,坦克属性分配比例,MATCH("升星次数",坦克属性分配比例标头,0),FALSE),0)</f>
        <v>1838</v>
      </c>
      <c r="BN284" s="103">
        <f ca="1">ROUND(VLOOKUP($BJ284&amp;"初始",$S$3:$AE$63,MATCH(BN$3,$S$3:$AE$3,0),FALSE)+(VLOOKUP($BJ284&amp;"最终",$S$3:$AE$63,MATCH(BN$3,$S$3:$AE$3,0),FALSE)-VLOOKUP($BJ284&amp;"初始",$S$3:$AE$63,MATCH(BN$3,$S$3:$AE$3,0),FALSE))*$BL284/VLOOKUP(VLOOKUP($BJ284,坦克个性化设定!$B$18:$E$48,4,FALSE)&amp;$BK284,坦克属性分配比例,MATCH("升星次数",坦克属性分配比例标头,0),FALSE)*VLOOKUP(VLOOKUP($BJ284,坦克个性化设定!$B$18:$E$48,4,FALSE)&amp;$BK284,坦克属性分配比例,MATCH("升星比例",坦克属性分配比例标头,0),FALSE),0)</f>
        <v>755</v>
      </c>
      <c r="BO284" s="103">
        <f ca="1">ROUND(VLOOKUP($BJ284&amp;"初始",$S$3:$AE$63,MATCH(BO$3,$S$3:$AE$3,0),FALSE)+(VLOOKUP($BJ284&amp;"最终",$S$3:$AE$63,MATCH(BO$3,$S$3:$AE$3,0),FALSE)-VLOOKUP($BJ284&amp;"初始",$S$3:$AE$63,MATCH(BO$3,$S$3:$AE$3,0),FALSE))*$BL284/VLOOKUP(VLOOKUP($BJ284,坦克个性化设定!$B$18:$E$48,4,FALSE)&amp;$BK284,坦克属性分配比例,MATCH("升星次数",坦克属性分配比例标头,0),FALSE)*(VLOOKUP(VLOOKUP($BJ284,坦克个性化设定!$B$18:$E$48,4,FALSE)&amp;$BK284,坦克属性分配比例,MATCH("升星比例",坦克属性分配比例标头,0),FALSE)+VLOOKUP(VLOOKUP($BJ284,坦克个性化设定!$B$18:$E$48,4,FALSE)&amp;$BK284,坦克属性分配比例,MATCH("部件比例",坦克属性分配比例标头,0),FALSE)*$C$3),0)</f>
        <v>629</v>
      </c>
      <c r="BP284" s="103">
        <f ca="1">ROUND(VLOOKUP($BJ284&amp;"初始",$S$3:$AE$63,MATCH(BP$3,$S$3:$AE$3,0),FALSE)+(VLOOKUP($BJ284&amp;"最终",$S$3:$AE$63,MATCH(BP$3,$S$3:$AE$3,0),FALSE)-VLOOKUP($BJ284&amp;"初始",$S$3:$AE$63,MATCH(BP$3,$S$3:$AE$3,0),FALSE))*$BL284/VLOOKUP(VLOOKUP($BJ284,坦克个性化设定!$B$18:$E$48,4,FALSE)&amp;$BK284,坦克属性分配比例,MATCH("升星次数",坦克属性分配比例标头,0),FALSE)*(VLOOKUP(VLOOKUP($BJ284,坦克个性化设定!$B$18:$E$48,4,FALSE)&amp;$BK284,坦克属性分配比例,MATCH("升星比例",坦克属性分配比例标头,0),FALSE)+VLOOKUP(VLOOKUP($BJ284,坦克个性化设定!$B$18:$E$48,4,FALSE)&amp;$BK284,坦克属性分配比例,MATCH("部件比例",坦克属性分配比例标头,0),FALSE)*$C$3),0)</f>
        <v>503</v>
      </c>
      <c r="BQ284" s="103">
        <f ca="1">ROUND(VLOOKUP($BJ284&amp;"初始",$S$3:$AE$63,MATCH(BQ$3,$S$3:$AE$3,0),FALSE)+(VLOOKUP($BJ284&amp;"最终",$S$3:$AE$63,MATCH(BQ$3,$S$3:$AE$3,0),FALSE)-VLOOKUP($BJ284&amp;"初始",$S$3:$AE$63,MATCH(BQ$3,$S$3:$AE$3,0),FALSE))*$BL284/VLOOKUP(VLOOKUP($BJ284,坦克个性化设定!$B$18:$E$48,4,FALSE)&amp;$BK284,坦克属性分配比例,MATCH("升星次数",坦克属性分配比例标头,0),FALSE)*VLOOKUP(VLOOKUP($BJ284,坦克个性化设定!$B$18:$E$48,4,FALSE)&amp;$BK284,坦克属性分配比例,MATCH("升星比例",坦克属性分配比例标头,0),FALSE),0)</f>
        <v>840</v>
      </c>
      <c r="BR284" s="2">
        <f ca="1">ROUND(VLOOKUP($BJ284&amp;"初始",$S$3:$AE$63,MATCH(BR$3,$S$3:$AE$3,0),FALSE)+(VLOOKUP($BJ284&amp;"最终",$S$3:$AE$63,MATCH(BR$3,$S$3:$AE$3,0),FALSE)-VLOOKUP($BJ284&amp;"初始",$S$3:$AE$63,MATCH(BR$3,$S$3:$AE$3,0),FALSE))*$BL284/VLOOKUP(VLOOKUP($BJ284,坦克个性化设定!$B$18:$E$48,4,FALSE)&amp;$BK284,坦克属性分配比例,MATCH("升星次数",坦克属性分配比例标头,0),FALSE),0)</f>
        <v>196</v>
      </c>
      <c r="BS284" s="2">
        <f>ROUND(VLOOKUP($BJ284,$AI$3:$AO$33,MATCH(BS$3,$AI$3:$AO$3,0),FALSE)+$BL284/VLOOKUP(VLOOKUP($BJ284,坦克个性化设定!$B$18:$E$48,4,FALSE)&amp;$BK284,坦克属性分配比例,MATCH("升星次数",坦克属性分配比例标头,0),FALSE)*VLOOKUP($BJ284,$AR$3:$AY$33,MATCH(BS$3,$AR$3:$AY$3,0),FALSE),1)</f>
        <v>32.200000000000003</v>
      </c>
      <c r="BT284" s="2">
        <f>ROUND(VLOOKUP($BJ284,$AI$3:$AO$33,MATCH(BT$3,$AI$3:$AO$3,0),FALSE)+$BL284/VLOOKUP(VLOOKUP($BJ284,坦克个性化设定!$B$18:$E$48,4,FALSE)&amp;$BK284,坦克属性分配比例,MATCH("升星次数",坦克属性分配比例标头,0),FALSE)*VLOOKUP($BJ284,$AR$3:$AY$33,MATCH(BT$3,$AR$3:$AY$3,0),FALSE),1)</f>
        <v>36.799999999999997</v>
      </c>
      <c r="BU284" s="2">
        <f>ROUND(VLOOKUP($BJ284,$AI$3:$AO$33,MATCH(BU$3,$AI$3:$AO$3,0),FALSE)+$BL284/VLOOKUP(VLOOKUP($BJ284,坦克个性化设定!$B$18:$E$48,4,FALSE)&amp;$BK284,坦克属性分配比例,MATCH("升星次数",坦克属性分配比例标头,0),FALSE)*VLOOKUP($BJ284,$AR$3:$AY$33,MATCH(BU$3,$AR$3:$AY$3,0),FALSE),1)</f>
        <v>6.6</v>
      </c>
      <c r="BV284" s="2">
        <f>IF(VLOOKUP(BJ284,坦克个性化设定!$B$18:$BC$48,MATCH("装弹类型",坦克个性化设定!$B$18:$BC$18,0),FALSE)="弹夹换弹",0,ROUND(VLOOKUP($BJ284,$AI$3:$AO$33,MATCH("换弹时间",$AI$3:$AO$3,0),FALSE)-$BL284/VLOOKUP(VLOOKUP($BJ284,坦克个性化设定!$B$18:$E$48,4,FALSE)&amp;$BK284,坦克属性分配比例,MATCH("升星次数",坦克属性分配比例标头,0),FALSE)*VLOOKUP($BJ284,$AR$3:$AY$33,MATCH("换弹时间",$AR$3:$AY$3,0),FALSE),2))</f>
        <v>6</v>
      </c>
      <c r="BW284" s="2">
        <f>IF(VLOOKUP(BJ284,坦克个性化设定!$B$18:$BC$48,MATCH("装弹类型",坦克个性化设定!$B$18:$BC$18,0),FALSE)="弹夹换弹",ROUND(VLOOKUP($BJ284,$AI$3:$AO$33,MATCH("换弹时间",$AI$3:$AO$3,0),FALSE)-$BL284/VLOOKUP(VLOOKUP($BJ284,坦克个性化设定!$B$18:$E$48,4,FALSE)&amp;$BK284,坦克属性分配比例,MATCH("升星次数",坦克属性分配比例标头,0),FALSE)*VLOOKUP($BJ284,$AR$3:$AY$33,MATCH("换弹时间",$AR$3:$AY$3,0),FALSE),1),0)</f>
        <v>0</v>
      </c>
      <c r="BX284" s="2">
        <f>ROUND(VLOOKUP($BJ284,$AI$3:$AO$33,MATCH(BX$3,$AI$3:$AO$3,0),FALSE)+$BL284/VLOOKUP(VLOOKUP($BJ284,坦克个性化设定!$B$18:$E$48,4,FALSE)&amp;$BK284,坦克属性分配比例,MATCH("升星次数",坦克属性分配比例标头,0),FALSE)*VLOOKUP($BJ284,$AR$3:$AY$33,MATCH(BX$3,$AR$3:$AY$3,0),FALSE),2)</f>
        <v>0</v>
      </c>
      <c r="BY284" s="2">
        <f>ROUND(VLOOKUP($BJ284,$AI$3:$AO$33,MATCH(BY$3,$AI$3:$AO$3,0),FALSE)-$BL284/VLOOKUP(VLOOKUP($BJ284,坦克个性化设定!$B$18:$E$48,4,FALSE)&amp;$BK284,坦克属性分配比例,MATCH("升星次数",坦克属性分配比例标头,0),FALSE)*VLOOKUP($BJ284,$AR$3:$AY$33,MATCH(BY$3,$AR$3:$AY$3,0),FALSE),2)</f>
        <v>3</v>
      </c>
    </row>
    <row r="285" spans="60:77" x14ac:dyDescent="0.3">
      <c r="BH285" s="2" t="str">
        <f t="shared" si="35"/>
        <v>T-321</v>
      </c>
      <c r="BI285" s="2">
        <f>IF(BL284&gt;=VLOOKUP(VLOOKUP(BJ284,坦克个性化设定!$B$18:$E$48,4,FALSE)&amp;BK284,坦克属性分配比例,MATCH("升星次数",坦克属性分配比例标头,0),FALSE),BI284+1,BI284)</f>
        <v>29</v>
      </c>
      <c r="BJ285" s="2" t="str">
        <f t="shared" si="36"/>
        <v>T-32</v>
      </c>
      <c r="BK285" s="29" t="str">
        <f>VLOOKUP(BJ285,坦克个性化细分!$I$3:$J$33,2,FALSE)</f>
        <v>高</v>
      </c>
      <c r="BL285" s="2">
        <f t="shared" si="37"/>
        <v>1</v>
      </c>
      <c r="BM285" s="103">
        <f ca="1">ROUND(VLOOKUP($BJ285&amp;"初始",$S$3:$AE$63,MATCH(BM$3,$S$3:$AE$3,0),FALSE)+((VLOOKUP($BJ285&amp;"最终",$S$3:$AE$63,MATCH(BM$3,$S$3:$AE$3,0),FALSE)*坦克个性化细分!$C$9-VLOOKUP($BJ285&amp;"初始",$S$3:$AE$63,MATCH(BM$3,$S$3:$AE$3,0),FALSE))-(VLOOKUP($BJ285&amp;"最终",$S$3:$AE$63,MATCH(BM$3,$S$3:$AE$3,0),FALSE)-VLOOKUP($BJ285&amp;"初始",$S$3:$AE$63,MATCH(BM$3,$S$3:$AE$3,0),FALSE))*VLOOKUP(VLOOKUP($BJ285,坦克个性化设定!$B$18:$E$48,4,FALSE)&amp;$BK285,坦克属性分配比例,MATCH("部件比例",坦克属性分配比例标头,0),FALSE))*$BL285/VLOOKUP(VLOOKUP($BJ285,坦克个性化设定!$B$18:$E$48,4,FALSE)&amp;$BK285,坦克属性分配比例,MATCH("升星次数",坦克属性分配比例标头,0),FALSE),0)</f>
        <v>1919</v>
      </c>
      <c r="BN285" s="103">
        <f ca="1">ROUND(VLOOKUP($BJ285&amp;"初始",$S$3:$AE$63,MATCH(BN$3,$S$3:$AE$3,0),FALSE)+(VLOOKUP($BJ285&amp;"最终",$S$3:$AE$63,MATCH(BN$3,$S$3:$AE$3,0),FALSE)-VLOOKUP($BJ285&amp;"初始",$S$3:$AE$63,MATCH(BN$3,$S$3:$AE$3,0),FALSE))*$BL285/VLOOKUP(VLOOKUP($BJ285,坦克个性化设定!$B$18:$E$48,4,FALSE)&amp;$BK285,坦克属性分配比例,MATCH("升星次数",坦克属性分配比例标头,0),FALSE)*VLOOKUP(VLOOKUP($BJ285,坦克个性化设定!$B$18:$E$48,4,FALSE)&amp;$BK285,坦克属性分配比例,MATCH("升星比例",坦克属性分配比例标头,0),FALSE),0)</f>
        <v>774</v>
      </c>
      <c r="BO285" s="103">
        <f ca="1">ROUND(VLOOKUP($BJ285&amp;"初始",$S$3:$AE$63,MATCH(BO$3,$S$3:$AE$3,0),FALSE)+(VLOOKUP($BJ285&amp;"最终",$S$3:$AE$63,MATCH(BO$3,$S$3:$AE$3,0),FALSE)-VLOOKUP($BJ285&amp;"初始",$S$3:$AE$63,MATCH(BO$3,$S$3:$AE$3,0),FALSE))*$BL285/VLOOKUP(VLOOKUP($BJ285,坦克个性化设定!$B$18:$E$48,4,FALSE)&amp;$BK285,坦克属性分配比例,MATCH("升星次数",坦克属性分配比例标头,0),FALSE)*(VLOOKUP(VLOOKUP($BJ285,坦克个性化设定!$B$18:$E$48,4,FALSE)&amp;$BK285,坦克属性分配比例,MATCH("升星比例",坦克属性分配比例标头,0),FALSE)+VLOOKUP(VLOOKUP($BJ285,坦克个性化设定!$B$18:$E$48,4,FALSE)&amp;$BK285,坦克属性分配比例,MATCH("部件比例",坦克属性分配比例标头,0),FALSE)*$C$3),0)</f>
        <v>653</v>
      </c>
      <c r="BP285" s="103">
        <f ca="1">ROUND(VLOOKUP($BJ285&amp;"初始",$S$3:$AE$63,MATCH(BP$3,$S$3:$AE$3,0),FALSE)+(VLOOKUP($BJ285&amp;"最终",$S$3:$AE$63,MATCH(BP$3,$S$3:$AE$3,0),FALSE)-VLOOKUP($BJ285&amp;"初始",$S$3:$AE$63,MATCH(BP$3,$S$3:$AE$3,0),FALSE))*$BL285/VLOOKUP(VLOOKUP($BJ285,坦克个性化设定!$B$18:$E$48,4,FALSE)&amp;$BK285,坦克属性分配比例,MATCH("升星次数",坦克属性分配比例标头,0),FALSE)*(VLOOKUP(VLOOKUP($BJ285,坦克个性化设定!$B$18:$E$48,4,FALSE)&amp;$BK285,坦克属性分配比例,MATCH("升星比例",坦克属性分配比例标头,0),FALSE)+VLOOKUP(VLOOKUP($BJ285,坦克个性化设定!$B$18:$E$48,4,FALSE)&amp;$BK285,坦克属性分配比例,MATCH("部件比例",坦克属性分配比例标头,0),FALSE)*$C$3),0)</f>
        <v>522</v>
      </c>
      <c r="BQ285" s="103">
        <f ca="1">ROUND(VLOOKUP($BJ285&amp;"初始",$S$3:$AE$63,MATCH(BQ$3,$S$3:$AE$3,0),FALSE)+(VLOOKUP($BJ285&amp;"最终",$S$3:$AE$63,MATCH(BQ$3,$S$3:$AE$3,0),FALSE)-VLOOKUP($BJ285&amp;"初始",$S$3:$AE$63,MATCH(BQ$3,$S$3:$AE$3,0),FALSE))*$BL285/VLOOKUP(VLOOKUP($BJ285,坦克个性化设定!$B$18:$E$48,4,FALSE)&amp;$BK285,坦克属性分配比例,MATCH("升星次数",坦克属性分配比例标头,0),FALSE)*VLOOKUP(VLOOKUP($BJ285,坦克个性化设定!$B$18:$E$48,4,FALSE)&amp;$BK285,坦克属性分配比例,MATCH("升星比例",坦克属性分配比例标头,0),FALSE),0)</f>
        <v>861</v>
      </c>
      <c r="BR285" s="2">
        <f ca="1">ROUND(VLOOKUP($BJ285&amp;"初始",$S$3:$AE$63,MATCH(BR$3,$S$3:$AE$3,0),FALSE)+(VLOOKUP($BJ285&amp;"最终",$S$3:$AE$63,MATCH(BR$3,$S$3:$AE$3,0),FALSE)-VLOOKUP($BJ285&amp;"初始",$S$3:$AE$63,MATCH(BR$3,$S$3:$AE$3,0),FALSE))*$BL285/VLOOKUP(VLOOKUP($BJ285,坦克个性化设定!$B$18:$E$48,4,FALSE)&amp;$BK285,坦克属性分配比例,MATCH("升星次数",坦克属性分配比例标头,0),FALSE),0)</f>
        <v>205</v>
      </c>
      <c r="BS285" s="2">
        <f>ROUND(VLOOKUP($BJ285,$AI$3:$AO$33,MATCH(BS$3,$AI$3:$AO$3,0),FALSE)+$BL285/VLOOKUP(VLOOKUP($BJ285,坦克个性化设定!$B$18:$E$48,4,FALSE)&amp;$BK285,坦克属性分配比例,MATCH("升星次数",坦克属性分配比例标头,0),FALSE)*VLOOKUP($BJ285,$AR$3:$AY$33,MATCH(BS$3,$AR$3:$AY$3,0),FALSE),1)</f>
        <v>32.9</v>
      </c>
      <c r="BT285" s="2">
        <f>ROUND(VLOOKUP($BJ285,$AI$3:$AO$33,MATCH(BT$3,$AI$3:$AO$3,0),FALSE)+$BL285/VLOOKUP(VLOOKUP($BJ285,坦克个性化设定!$B$18:$E$48,4,FALSE)&amp;$BK285,坦克属性分配比例,MATCH("升星次数",坦克属性分配比例标头,0),FALSE)*VLOOKUP($BJ285,$AR$3:$AY$33,MATCH(BT$3,$AR$3:$AY$3,0),FALSE),1)</f>
        <v>37.6</v>
      </c>
      <c r="BU285" s="2">
        <f>ROUND(VLOOKUP($BJ285,$AI$3:$AO$33,MATCH(BU$3,$AI$3:$AO$3,0),FALSE)+$BL285/VLOOKUP(VLOOKUP($BJ285,坦克个性化设定!$B$18:$E$48,4,FALSE)&amp;$BK285,坦克属性分配比例,MATCH("升星次数",坦克属性分配比例标头,0),FALSE)*VLOOKUP($BJ285,$AR$3:$AY$33,MATCH(BU$3,$AR$3:$AY$3,0),FALSE),1)</f>
        <v>6.6</v>
      </c>
      <c r="BV285" s="2">
        <f>IF(VLOOKUP(BJ285,坦克个性化设定!$B$18:$BC$48,MATCH("装弹类型",坦克个性化设定!$B$18:$BC$18,0),FALSE)="弹夹换弹",0,ROUND(VLOOKUP($BJ285,$AI$3:$AO$33,MATCH("换弹时间",$AI$3:$AO$3,0),FALSE)-$BL285/VLOOKUP(VLOOKUP($BJ285,坦克个性化设定!$B$18:$E$48,4,FALSE)&amp;$BK285,坦克属性分配比例,MATCH("升星次数",坦克属性分配比例标头,0),FALSE)*VLOOKUP($BJ285,$AR$3:$AY$33,MATCH("换弹时间",$AR$3:$AY$3,0),FALSE),2))</f>
        <v>5.92</v>
      </c>
      <c r="BW285" s="2">
        <f>IF(VLOOKUP(BJ285,坦克个性化设定!$B$18:$BC$48,MATCH("装弹类型",坦克个性化设定!$B$18:$BC$18,0),FALSE)="弹夹换弹",ROUND(VLOOKUP($BJ285,$AI$3:$AO$33,MATCH("换弹时间",$AI$3:$AO$3,0),FALSE)-$BL285/VLOOKUP(VLOOKUP($BJ285,坦克个性化设定!$B$18:$E$48,4,FALSE)&amp;$BK285,坦克属性分配比例,MATCH("升星次数",坦克属性分配比例标头,0),FALSE)*VLOOKUP($BJ285,$AR$3:$AY$33,MATCH("换弹时间",$AR$3:$AY$3,0),FALSE),1),0)</f>
        <v>0</v>
      </c>
      <c r="BX285" s="2">
        <f>ROUND(VLOOKUP($BJ285,$AI$3:$AO$33,MATCH(BX$3,$AI$3:$AO$3,0),FALSE)+$BL285/VLOOKUP(VLOOKUP($BJ285,坦克个性化设定!$B$18:$E$48,4,FALSE)&amp;$BK285,坦克属性分配比例,MATCH("升星次数",坦克属性分配比例标头,0),FALSE)*VLOOKUP($BJ285,$AR$3:$AY$33,MATCH(BX$3,$AR$3:$AY$3,0),FALSE),2)</f>
        <v>0</v>
      </c>
      <c r="BY285" s="2">
        <f>ROUND(VLOOKUP($BJ285,$AI$3:$AO$33,MATCH(BY$3,$AI$3:$AO$3,0),FALSE)-$BL285/VLOOKUP(VLOOKUP($BJ285,坦克个性化设定!$B$18:$E$48,4,FALSE)&amp;$BK285,坦克属性分配比例,MATCH("升星次数",坦克属性分配比例标头,0),FALSE)*VLOOKUP($BJ285,$AR$3:$AY$33,MATCH(BY$3,$AR$3:$AY$3,0),FALSE),2)</f>
        <v>2.95</v>
      </c>
    </row>
    <row r="286" spans="60:77" x14ac:dyDescent="0.3">
      <c r="BH286" s="2" t="str">
        <f t="shared" si="35"/>
        <v>T-322</v>
      </c>
      <c r="BI286" s="2">
        <f>IF(BL285&gt;=VLOOKUP(VLOOKUP(BJ285,坦克个性化设定!$B$18:$E$48,4,FALSE)&amp;BK285,坦克属性分配比例,MATCH("升星次数",坦克属性分配比例标头,0),FALSE),BI285+1,BI285)</f>
        <v>29</v>
      </c>
      <c r="BJ286" s="2" t="str">
        <f t="shared" si="36"/>
        <v>T-32</v>
      </c>
      <c r="BK286" s="29" t="str">
        <f>VLOOKUP(BJ286,坦克个性化细分!$I$3:$J$33,2,FALSE)</f>
        <v>高</v>
      </c>
      <c r="BL286" s="2">
        <f t="shared" si="37"/>
        <v>2</v>
      </c>
      <c r="BM286" s="103">
        <f ca="1">ROUND(VLOOKUP($BJ286&amp;"初始",$S$3:$AE$63,MATCH(BM$3,$S$3:$AE$3,0),FALSE)+((VLOOKUP($BJ286&amp;"最终",$S$3:$AE$63,MATCH(BM$3,$S$3:$AE$3,0),FALSE)*坦克个性化细分!$C$9-VLOOKUP($BJ286&amp;"初始",$S$3:$AE$63,MATCH(BM$3,$S$3:$AE$3,0),FALSE))-(VLOOKUP($BJ286&amp;"最终",$S$3:$AE$63,MATCH(BM$3,$S$3:$AE$3,0),FALSE)-VLOOKUP($BJ286&amp;"初始",$S$3:$AE$63,MATCH(BM$3,$S$3:$AE$3,0),FALSE))*VLOOKUP(VLOOKUP($BJ286,坦克个性化设定!$B$18:$E$48,4,FALSE)&amp;$BK286,坦克属性分配比例,MATCH("部件比例",坦克属性分配比例标头,0),FALSE))*$BL286/VLOOKUP(VLOOKUP($BJ286,坦克个性化设定!$B$18:$E$48,4,FALSE)&amp;$BK286,坦克属性分配比例,MATCH("升星次数",坦克属性分配比例标头,0),FALSE),0)</f>
        <v>2000</v>
      </c>
      <c r="BN286" s="103">
        <f ca="1">ROUND(VLOOKUP($BJ286&amp;"初始",$S$3:$AE$63,MATCH(BN$3,$S$3:$AE$3,0),FALSE)+(VLOOKUP($BJ286&amp;"最终",$S$3:$AE$63,MATCH(BN$3,$S$3:$AE$3,0),FALSE)-VLOOKUP($BJ286&amp;"初始",$S$3:$AE$63,MATCH(BN$3,$S$3:$AE$3,0),FALSE))*$BL286/VLOOKUP(VLOOKUP($BJ286,坦克个性化设定!$B$18:$E$48,4,FALSE)&amp;$BK286,坦克属性分配比例,MATCH("升星次数",坦克属性分配比例标头,0),FALSE)*VLOOKUP(VLOOKUP($BJ286,坦克个性化设定!$B$18:$E$48,4,FALSE)&amp;$BK286,坦克属性分配比例,MATCH("升星比例",坦克属性分配比例标头,0),FALSE),0)</f>
        <v>793</v>
      </c>
      <c r="BO286" s="103">
        <f ca="1">ROUND(VLOOKUP($BJ286&amp;"初始",$S$3:$AE$63,MATCH(BO$3,$S$3:$AE$3,0),FALSE)+(VLOOKUP($BJ286&amp;"最终",$S$3:$AE$63,MATCH(BO$3,$S$3:$AE$3,0),FALSE)-VLOOKUP($BJ286&amp;"初始",$S$3:$AE$63,MATCH(BO$3,$S$3:$AE$3,0),FALSE))*$BL286/VLOOKUP(VLOOKUP($BJ286,坦克个性化设定!$B$18:$E$48,4,FALSE)&amp;$BK286,坦克属性分配比例,MATCH("升星次数",坦克属性分配比例标头,0),FALSE)*(VLOOKUP(VLOOKUP($BJ286,坦克个性化设定!$B$18:$E$48,4,FALSE)&amp;$BK286,坦克属性分配比例,MATCH("升星比例",坦克属性分配比例标头,0),FALSE)+VLOOKUP(VLOOKUP($BJ286,坦克个性化设定!$B$18:$E$48,4,FALSE)&amp;$BK286,坦克属性分配比例,MATCH("部件比例",坦克属性分配比例标头,0),FALSE)*$C$3),0)</f>
        <v>677</v>
      </c>
      <c r="BP286" s="103">
        <f ca="1">ROUND(VLOOKUP($BJ286&amp;"初始",$S$3:$AE$63,MATCH(BP$3,$S$3:$AE$3,0),FALSE)+(VLOOKUP($BJ286&amp;"最终",$S$3:$AE$63,MATCH(BP$3,$S$3:$AE$3,0),FALSE)-VLOOKUP($BJ286&amp;"初始",$S$3:$AE$63,MATCH(BP$3,$S$3:$AE$3,0),FALSE))*$BL286/VLOOKUP(VLOOKUP($BJ286,坦克个性化设定!$B$18:$E$48,4,FALSE)&amp;$BK286,坦克属性分配比例,MATCH("升星次数",坦克属性分配比例标头,0),FALSE)*(VLOOKUP(VLOOKUP($BJ286,坦克个性化设定!$B$18:$E$48,4,FALSE)&amp;$BK286,坦克属性分配比例,MATCH("升星比例",坦克属性分配比例标头,0),FALSE)+VLOOKUP(VLOOKUP($BJ286,坦克个性化设定!$B$18:$E$48,4,FALSE)&amp;$BK286,坦克属性分配比例,MATCH("部件比例",坦克属性分配比例标头,0),FALSE)*$C$3),0)</f>
        <v>541</v>
      </c>
      <c r="BQ286" s="103">
        <f ca="1">ROUND(VLOOKUP($BJ286&amp;"初始",$S$3:$AE$63,MATCH(BQ$3,$S$3:$AE$3,0),FALSE)+(VLOOKUP($BJ286&amp;"最终",$S$3:$AE$63,MATCH(BQ$3,$S$3:$AE$3,0),FALSE)-VLOOKUP($BJ286&amp;"初始",$S$3:$AE$63,MATCH(BQ$3,$S$3:$AE$3,0),FALSE))*$BL286/VLOOKUP(VLOOKUP($BJ286,坦克个性化设定!$B$18:$E$48,4,FALSE)&amp;$BK286,坦克属性分配比例,MATCH("升星次数",坦克属性分配比例标头,0),FALSE)*VLOOKUP(VLOOKUP($BJ286,坦克个性化设定!$B$18:$E$48,4,FALSE)&amp;$BK286,坦克属性分配比例,MATCH("升星比例",坦克属性分配比例标头,0),FALSE),0)</f>
        <v>883</v>
      </c>
      <c r="BR286" s="2">
        <f ca="1">ROUND(VLOOKUP($BJ286&amp;"初始",$S$3:$AE$63,MATCH(BR$3,$S$3:$AE$3,0),FALSE)+(VLOOKUP($BJ286&amp;"最终",$S$3:$AE$63,MATCH(BR$3,$S$3:$AE$3,0),FALSE)-VLOOKUP($BJ286&amp;"初始",$S$3:$AE$63,MATCH(BR$3,$S$3:$AE$3,0),FALSE))*$BL286/VLOOKUP(VLOOKUP($BJ286,坦克个性化设定!$B$18:$E$48,4,FALSE)&amp;$BK286,坦克属性分配比例,MATCH("升星次数",坦克属性分配比例标头,0),FALSE),0)</f>
        <v>214</v>
      </c>
      <c r="BS286" s="2">
        <f>ROUND(VLOOKUP($BJ286,$AI$3:$AO$33,MATCH(BS$3,$AI$3:$AO$3,0),FALSE)+$BL286/VLOOKUP(VLOOKUP($BJ286,坦克个性化设定!$B$18:$E$48,4,FALSE)&amp;$BK286,坦克属性分配比例,MATCH("升星次数",坦克属性分配比例标头,0),FALSE)*VLOOKUP($BJ286,$AR$3:$AY$33,MATCH(BS$3,$AR$3:$AY$3,0),FALSE),1)</f>
        <v>33.700000000000003</v>
      </c>
      <c r="BT286" s="2">
        <f>ROUND(VLOOKUP($BJ286,$AI$3:$AO$33,MATCH(BT$3,$AI$3:$AO$3,0),FALSE)+$BL286/VLOOKUP(VLOOKUP($BJ286,坦克个性化设定!$B$18:$E$48,4,FALSE)&amp;$BK286,坦克属性分配比例,MATCH("升星次数",坦克属性分配比例标头,0),FALSE)*VLOOKUP($BJ286,$AR$3:$AY$33,MATCH(BT$3,$AR$3:$AY$3,0),FALSE),1)</f>
        <v>38.5</v>
      </c>
      <c r="BU286" s="2">
        <f>ROUND(VLOOKUP($BJ286,$AI$3:$AO$33,MATCH(BU$3,$AI$3:$AO$3,0),FALSE)+$BL286/VLOOKUP(VLOOKUP($BJ286,坦克个性化设定!$B$18:$E$48,4,FALSE)&amp;$BK286,坦克属性分配比例,MATCH("升星次数",坦克属性分配比例标头,0),FALSE)*VLOOKUP($BJ286,$AR$3:$AY$33,MATCH(BU$3,$AR$3:$AY$3,0),FALSE),1)</f>
        <v>6.6</v>
      </c>
      <c r="BV286" s="2">
        <f>IF(VLOOKUP(BJ286,坦克个性化设定!$B$18:$BC$48,MATCH("装弹类型",坦克个性化设定!$B$18:$BC$18,0),FALSE)="弹夹换弹",0,ROUND(VLOOKUP($BJ286,$AI$3:$AO$33,MATCH("换弹时间",$AI$3:$AO$3,0),FALSE)-$BL286/VLOOKUP(VLOOKUP($BJ286,坦克个性化设定!$B$18:$E$48,4,FALSE)&amp;$BK286,坦克属性分配比例,MATCH("升星次数",坦克属性分配比例标头,0),FALSE)*VLOOKUP($BJ286,$AR$3:$AY$33,MATCH("换弹时间",$AR$3:$AY$3,0),FALSE),2))</f>
        <v>5.85</v>
      </c>
      <c r="BW286" s="2">
        <f>IF(VLOOKUP(BJ286,坦克个性化设定!$B$18:$BC$48,MATCH("装弹类型",坦克个性化设定!$B$18:$BC$18,0),FALSE)="弹夹换弹",ROUND(VLOOKUP($BJ286,$AI$3:$AO$33,MATCH("换弹时间",$AI$3:$AO$3,0),FALSE)-$BL286/VLOOKUP(VLOOKUP($BJ286,坦克个性化设定!$B$18:$E$48,4,FALSE)&amp;$BK286,坦克属性分配比例,MATCH("升星次数",坦克属性分配比例标头,0),FALSE)*VLOOKUP($BJ286,$AR$3:$AY$33,MATCH("换弹时间",$AR$3:$AY$3,0),FALSE),1),0)</f>
        <v>0</v>
      </c>
      <c r="BX286" s="2">
        <f>ROUND(VLOOKUP($BJ286,$AI$3:$AO$33,MATCH(BX$3,$AI$3:$AO$3,0),FALSE)+$BL286/VLOOKUP(VLOOKUP($BJ286,坦克个性化设定!$B$18:$E$48,4,FALSE)&amp;$BK286,坦克属性分配比例,MATCH("升星次数",坦克属性分配比例标头,0),FALSE)*VLOOKUP($BJ286,$AR$3:$AY$33,MATCH(BX$3,$AR$3:$AY$3,0),FALSE),2)</f>
        <v>0</v>
      </c>
      <c r="BY286" s="2">
        <f>ROUND(VLOOKUP($BJ286,$AI$3:$AO$33,MATCH(BY$3,$AI$3:$AO$3,0),FALSE)-$BL286/VLOOKUP(VLOOKUP($BJ286,坦克个性化设定!$B$18:$E$48,4,FALSE)&amp;$BK286,坦克属性分配比例,MATCH("升星次数",坦克属性分配比例标头,0),FALSE)*VLOOKUP($BJ286,$AR$3:$AY$33,MATCH(BY$3,$AR$3:$AY$3,0),FALSE),2)</f>
        <v>2.91</v>
      </c>
    </row>
    <row r="287" spans="60:77" x14ac:dyDescent="0.3">
      <c r="BH287" s="2" t="str">
        <f t="shared" si="35"/>
        <v>T-323</v>
      </c>
      <c r="BI287" s="2">
        <f>IF(BL286&gt;=VLOOKUP(VLOOKUP(BJ286,坦克个性化设定!$B$18:$E$48,4,FALSE)&amp;BK286,坦克属性分配比例,MATCH("升星次数",坦克属性分配比例标头,0),FALSE),BI286+1,BI286)</f>
        <v>29</v>
      </c>
      <c r="BJ287" s="2" t="str">
        <f t="shared" si="36"/>
        <v>T-32</v>
      </c>
      <c r="BK287" s="29" t="str">
        <f>VLOOKUP(BJ287,坦克个性化细分!$I$3:$J$33,2,FALSE)</f>
        <v>高</v>
      </c>
      <c r="BL287" s="2">
        <f t="shared" si="37"/>
        <v>3</v>
      </c>
      <c r="BM287" s="103">
        <f ca="1">ROUND(VLOOKUP($BJ287&amp;"初始",$S$3:$AE$63,MATCH(BM$3,$S$3:$AE$3,0),FALSE)+((VLOOKUP($BJ287&amp;"最终",$S$3:$AE$63,MATCH(BM$3,$S$3:$AE$3,0),FALSE)*坦克个性化细分!$C$9-VLOOKUP($BJ287&amp;"初始",$S$3:$AE$63,MATCH(BM$3,$S$3:$AE$3,0),FALSE))-(VLOOKUP($BJ287&amp;"最终",$S$3:$AE$63,MATCH(BM$3,$S$3:$AE$3,0),FALSE)-VLOOKUP($BJ287&amp;"初始",$S$3:$AE$63,MATCH(BM$3,$S$3:$AE$3,0),FALSE))*VLOOKUP(VLOOKUP($BJ287,坦克个性化设定!$B$18:$E$48,4,FALSE)&amp;$BK287,坦克属性分配比例,MATCH("部件比例",坦克属性分配比例标头,0),FALSE))*$BL287/VLOOKUP(VLOOKUP($BJ287,坦克个性化设定!$B$18:$E$48,4,FALSE)&amp;$BK287,坦克属性分配比例,MATCH("升星次数",坦克属性分配比例标头,0),FALSE),0)</f>
        <v>2081</v>
      </c>
      <c r="BN287" s="103">
        <f ca="1">ROUND(VLOOKUP($BJ287&amp;"初始",$S$3:$AE$63,MATCH(BN$3,$S$3:$AE$3,0),FALSE)+(VLOOKUP($BJ287&amp;"最终",$S$3:$AE$63,MATCH(BN$3,$S$3:$AE$3,0),FALSE)-VLOOKUP($BJ287&amp;"初始",$S$3:$AE$63,MATCH(BN$3,$S$3:$AE$3,0),FALSE))*$BL287/VLOOKUP(VLOOKUP($BJ287,坦克个性化设定!$B$18:$E$48,4,FALSE)&amp;$BK287,坦克属性分配比例,MATCH("升星次数",坦克属性分配比例标头,0),FALSE)*VLOOKUP(VLOOKUP($BJ287,坦克个性化设定!$B$18:$E$48,4,FALSE)&amp;$BK287,坦克属性分配比例,MATCH("升星比例",坦克属性分配比例标头,0),FALSE),0)</f>
        <v>813</v>
      </c>
      <c r="BO287" s="103">
        <f ca="1">ROUND(VLOOKUP($BJ287&amp;"初始",$S$3:$AE$63,MATCH(BO$3,$S$3:$AE$3,0),FALSE)+(VLOOKUP($BJ287&amp;"最终",$S$3:$AE$63,MATCH(BO$3,$S$3:$AE$3,0),FALSE)-VLOOKUP($BJ287&amp;"初始",$S$3:$AE$63,MATCH(BO$3,$S$3:$AE$3,0),FALSE))*$BL287/VLOOKUP(VLOOKUP($BJ287,坦克个性化设定!$B$18:$E$48,4,FALSE)&amp;$BK287,坦克属性分配比例,MATCH("升星次数",坦克属性分配比例标头,0),FALSE)*(VLOOKUP(VLOOKUP($BJ287,坦克个性化设定!$B$18:$E$48,4,FALSE)&amp;$BK287,坦克属性分配比例,MATCH("升星比例",坦克属性分配比例标头,0),FALSE)+VLOOKUP(VLOOKUP($BJ287,坦克个性化设定!$B$18:$E$48,4,FALSE)&amp;$BK287,坦克属性分配比例,MATCH("部件比例",坦克属性分配比例标头,0),FALSE)*$C$3),0)</f>
        <v>701</v>
      </c>
      <c r="BP287" s="103">
        <f ca="1">ROUND(VLOOKUP($BJ287&amp;"初始",$S$3:$AE$63,MATCH(BP$3,$S$3:$AE$3,0),FALSE)+(VLOOKUP($BJ287&amp;"最终",$S$3:$AE$63,MATCH(BP$3,$S$3:$AE$3,0),FALSE)-VLOOKUP($BJ287&amp;"初始",$S$3:$AE$63,MATCH(BP$3,$S$3:$AE$3,0),FALSE))*$BL287/VLOOKUP(VLOOKUP($BJ287,坦克个性化设定!$B$18:$E$48,4,FALSE)&amp;$BK287,坦克属性分配比例,MATCH("升星次数",坦克属性分配比例标头,0),FALSE)*(VLOOKUP(VLOOKUP($BJ287,坦克个性化设定!$B$18:$E$48,4,FALSE)&amp;$BK287,坦克属性分配比例,MATCH("升星比例",坦克属性分配比例标头,0),FALSE)+VLOOKUP(VLOOKUP($BJ287,坦克个性化设定!$B$18:$E$48,4,FALSE)&amp;$BK287,坦克属性分配比例,MATCH("部件比例",坦克属性分配比例标头,0),FALSE)*$C$3),0)</f>
        <v>560</v>
      </c>
      <c r="BQ287" s="103">
        <f ca="1">ROUND(VLOOKUP($BJ287&amp;"初始",$S$3:$AE$63,MATCH(BQ$3,$S$3:$AE$3,0),FALSE)+(VLOOKUP($BJ287&amp;"最终",$S$3:$AE$63,MATCH(BQ$3,$S$3:$AE$3,0),FALSE)-VLOOKUP($BJ287&amp;"初始",$S$3:$AE$63,MATCH(BQ$3,$S$3:$AE$3,0),FALSE))*$BL287/VLOOKUP(VLOOKUP($BJ287,坦克个性化设定!$B$18:$E$48,4,FALSE)&amp;$BK287,坦克属性分配比例,MATCH("升星次数",坦克属性分配比例标头,0),FALSE)*VLOOKUP(VLOOKUP($BJ287,坦克个性化设定!$B$18:$E$48,4,FALSE)&amp;$BK287,坦克属性分配比例,MATCH("升星比例",坦克属性分配比例标头,0),FALSE),0)</f>
        <v>904</v>
      </c>
      <c r="BR287" s="2">
        <f ca="1">ROUND(VLOOKUP($BJ287&amp;"初始",$S$3:$AE$63,MATCH(BR$3,$S$3:$AE$3,0),FALSE)+(VLOOKUP($BJ287&amp;"最终",$S$3:$AE$63,MATCH(BR$3,$S$3:$AE$3,0),FALSE)-VLOOKUP($BJ287&amp;"初始",$S$3:$AE$63,MATCH(BR$3,$S$3:$AE$3,0),FALSE))*$BL287/VLOOKUP(VLOOKUP($BJ287,坦克个性化设定!$B$18:$E$48,4,FALSE)&amp;$BK287,坦克属性分配比例,MATCH("升星次数",坦克属性分配比例标头,0),FALSE),0)</f>
        <v>223</v>
      </c>
      <c r="BS287" s="2">
        <f>ROUND(VLOOKUP($BJ287,$AI$3:$AO$33,MATCH(BS$3,$AI$3:$AO$3,0),FALSE)+$BL287/VLOOKUP(VLOOKUP($BJ287,坦克个性化设定!$B$18:$E$48,4,FALSE)&amp;$BK287,坦克属性分配比例,MATCH("升星次数",坦克属性分配比例标头,0),FALSE)*VLOOKUP($BJ287,$AR$3:$AY$33,MATCH(BS$3,$AR$3:$AY$3,0),FALSE),1)</f>
        <v>34.4</v>
      </c>
      <c r="BT287" s="2">
        <f>ROUND(VLOOKUP($BJ287,$AI$3:$AO$33,MATCH(BT$3,$AI$3:$AO$3,0),FALSE)+$BL287/VLOOKUP(VLOOKUP($BJ287,坦克个性化设定!$B$18:$E$48,4,FALSE)&amp;$BK287,坦克属性分配比例,MATCH("升星次数",坦克属性分配比例标头,0),FALSE)*VLOOKUP($BJ287,$AR$3:$AY$33,MATCH(BT$3,$AR$3:$AY$3,0),FALSE),1)</f>
        <v>39.299999999999997</v>
      </c>
      <c r="BU287" s="2">
        <f>ROUND(VLOOKUP($BJ287,$AI$3:$AO$33,MATCH(BU$3,$AI$3:$AO$3,0),FALSE)+$BL287/VLOOKUP(VLOOKUP($BJ287,坦克个性化设定!$B$18:$E$48,4,FALSE)&amp;$BK287,坦克属性分配比例,MATCH("升星次数",坦克属性分配比例标头,0),FALSE)*VLOOKUP($BJ287,$AR$3:$AY$33,MATCH(BU$3,$AR$3:$AY$3,0),FALSE),1)</f>
        <v>6.6</v>
      </c>
      <c r="BV287" s="2">
        <f>IF(VLOOKUP(BJ287,坦克个性化设定!$B$18:$BC$48,MATCH("装弹类型",坦克个性化设定!$B$18:$BC$18,0),FALSE)="弹夹换弹",0,ROUND(VLOOKUP($BJ287,$AI$3:$AO$33,MATCH("换弹时间",$AI$3:$AO$3,0),FALSE)-$BL287/VLOOKUP(VLOOKUP($BJ287,坦克个性化设定!$B$18:$E$48,4,FALSE)&amp;$BK287,坦克属性分配比例,MATCH("升星次数",坦克属性分配比例标头,0),FALSE)*VLOOKUP($BJ287,$AR$3:$AY$33,MATCH("换弹时间",$AR$3:$AY$3,0),FALSE),2))</f>
        <v>5.77</v>
      </c>
      <c r="BW287" s="2">
        <f>IF(VLOOKUP(BJ287,坦克个性化设定!$B$18:$BC$48,MATCH("装弹类型",坦克个性化设定!$B$18:$BC$18,0),FALSE)="弹夹换弹",ROUND(VLOOKUP($BJ287,$AI$3:$AO$33,MATCH("换弹时间",$AI$3:$AO$3,0),FALSE)-$BL287/VLOOKUP(VLOOKUP($BJ287,坦克个性化设定!$B$18:$E$48,4,FALSE)&amp;$BK287,坦克属性分配比例,MATCH("升星次数",坦克属性分配比例标头,0),FALSE)*VLOOKUP($BJ287,$AR$3:$AY$33,MATCH("换弹时间",$AR$3:$AY$3,0),FALSE),1),0)</f>
        <v>0</v>
      </c>
      <c r="BX287" s="2">
        <f>ROUND(VLOOKUP($BJ287,$AI$3:$AO$33,MATCH(BX$3,$AI$3:$AO$3,0),FALSE)+$BL287/VLOOKUP(VLOOKUP($BJ287,坦克个性化设定!$B$18:$E$48,4,FALSE)&amp;$BK287,坦克属性分配比例,MATCH("升星次数",坦克属性分配比例标头,0),FALSE)*VLOOKUP($BJ287,$AR$3:$AY$33,MATCH(BX$3,$AR$3:$AY$3,0),FALSE),2)</f>
        <v>0</v>
      </c>
      <c r="BY287" s="2">
        <f>ROUND(VLOOKUP($BJ287,$AI$3:$AO$33,MATCH(BY$3,$AI$3:$AO$3,0),FALSE)-$BL287/VLOOKUP(VLOOKUP($BJ287,坦克个性化设定!$B$18:$E$48,4,FALSE)&amp;$BK287,坦克属性分配比例,MATCH("升星次数",坦克属性分配比例标头,0),FALSE)*VLOOKUP($BJ287,$AR$3:$AY$33,MATCH(BY$3,$AR$3:$AY$3,0),FALSE),2)</f>
        <v>2.86</v>
      </c>
    </row>
    <row r="288" spans="60:77" x14ac:dyDescent="0.3">
      <c r="BH288" s="2" t="str">
        <f t="shared" si="35"/>
        <v>T-324</v>
      </c>
      <c r="BI288" s="2">
        <f>IF(BL287&gt;=VLOOKUP(VLOOKUP(BJ287,坦克个性化设定!$B$18:$E$48,4,FALSE)&amp;BK287,坦克属性分配比例,MATCH("升星次数",坦克属性分配比例标头,0),FALSE),BI287+1,BI287)</f>
        <v>29</v>
      </c>
      <c r="BJ288" s="2" t="str">
        <f t="shared" si="36"/>
        <v>T-32</v>
      </c>
      <c r="BK288" s="29" t="str">
        <f>VLOOKUP(BJ288,坦克个性化细分!$I$3:$J$33,2,FALSE)</f>
        <v>高</v>
      </c>
      <c r="BL288" s="2">
        <f t="shared" si="37"/>
        <v>4</v>
      </c>
      <c r="BM288" s="103">
        <f ca="1">ROUND(VLOOKUP($BJ288&amp;"初始",$S$3:$AE$63,MATCH(BM$3,$S$3:$AE$3,0),FALSE)+((VLOOKUP($BJ288&amp;"最终",$S$3:$AE$63,MATCH(BM$3,$S$3:$AE$3,0),FALSE)*坦克个性化细分!$C$9-VLOOKUP($BJ288&amp;"初始",$S$3:$AE$63,MATCH(BM$3,$S$3:$AE$3,0),FALSE))-(VLOOKUP($BJ288&amp;"最终",$S$3:$AE$63,MATCH(BM$3,$S$3:$AE$3,0),FALSE)-VLOOKUP($BJ288&amp;"初始",$S$3:$AE$63,MATCH(BM$3,$S$3:$AE$3,0),FALSE))*VLOOKUP(VLOOKUP($BJ288,坦克个性化设定!$B$18:$E$48,4,FALSE)&amp;$BK288,坦克属性分配比例,MATCH("部件比例",坦克属性分配比例标头,0),FALSE))*$BL288/VLOOKUP(VLOOKUP($BJ288,坦克个性化设定!$B$18:$E$48,4,FALSE)&amp;$BK288,坦克属性分配比例,MATCH("升星次数",坦克属性分配比例标头,0),FALSE),0)</f>
        <v>2163</v>
      </c>
      <c r="BN288" s="103">
        <f ca="1">ROUND(VLOOKUP($BJ288&amp;"初始",$S$3:$AE$63,MATCH(BN$3,$S$3:$AE$3,0),FALSE)+(VLOOKUP($BJ288&amp;"最终",$S$3:$AE$63,MATCH(BN$3,$S$3:$AE$3,0),FALSE)-VLOOKUP($BJ288&amp;"初始",$S$3:$AE$63,MATCH(BN$3,$S$3:$AE$3,0),FALSE))*$BL288/VLOOKUP(VLOOKUP($BJ288,坦克个性化设定!$B$18:$E$48,4,FALSE)&amp;$BK288,坦克属性分配比例,MATCH("升星次数",坦克属性分配比例标头,0),FALSE)*VLOOKUP(VLOOKUP($BJ288,坦克个性化设定!$B$18:$E$48,4,FALSE)&amp;$BK288,坦克属性分配比例,MATCH("升星比例",坦克属性分配比例标头,0),FALSE),0)</f>
        <v>832</v>
      </c>
      <c r="BO288" s="103">
        <f ca="1">ROUND(VLOOKUP($BJ288&amp;"初始",$S$3:$AE$63,MATCH(BO$3,$S$3:$AE$3,0),FALSE)+(VLOOKUP($BJ288&amp;"最终",$S$3:$AE$63,MATCH(BO$3,$S$3:$AE$3,0),FALSE)-VLOOKUP($BJ288&amp;"初始",$S$3:$AE$63,MATCH(BO$3,$S$3:$AE$3,0),FALSE))*$BL288/VLOOKUP(VLOOKUP($BJ288,坦克个性化设定!$B$18:$E$48,4,FALSE)&amp;$BK288,坦克属性分配比例,MATCH("升星次数",坦克属性分配比例标头,0),FALSE)*(VLOOKUP(VLOOKUP($BJ288,坦克个性化设定!$B$18:$E$48,4,FALSE)&amp;$BK288,坦克属性分配比例,MATCH("升星比例",坦克属性分配比例标头,0),FALSE)+VLOOKUP(VLOOKUP($BJ288,坦克个性化设定!$B$18:$E$48,4,FALSE)&amp;$BK288,坦克属性分配比例,MATCH("部件比例",坦克属性分配比例标头,0),FALSE)*$C$3),0)</f>
        <v>724</v>
      </c>
      <c r="BP288" s="103">
        <f ca="1">ROUND(VLOOKUP($BJ288&amp;"初始",$S$3:$AE$63,MATCH(BP$3,$S$3:$AE$3,0),FALSE)+(VLOOKUP($BJ288&amp;"最终",$S$3:$AE$63,MATCH(BP$3,$S$3:$AE$3,0),FALSE)-VLOOKUP($BJ288&amp;"初始",$S$3:$AE$63,MATCH(BP$3,$S$3:$AE$3,0),FALSE))*$BL288/VLOOKUP(VLOOKUP($BJ288,坦克个性化设定!$B$18:$E$48,4,FALSE)&amp;$BK288,坦克属性分配比例,MATCH("升星次数",坦克属性分配比例标头,0),FALSE)*(VLOOKUP(VLOOKUP($BJ288,坦克个性化设定!$B$18:$E$48,4,FALSE)&amp;$BK288,坦克属性分配比例,MATCH("升星比例",坦克属性分配比例标头,0),FALSE)+VLOOKUP(VLOOKUP($BJ288,坦克个性化设定!$B$18:$E$48,4,FALSE)&amp;$BK288,坦克属性分配比例,MATCH("部件比例",坦克属性分配比例标头,0),FALSE)*$C$3),0)</f>
        <v>579</v>
      </c>
      <c r="BQ288" s="103">
        <f ca="1">ROUND(VLOOKUP($BJ288&amp;"初始",$S$3:$AE$63,MATCH(BQ$3,$S$3:$AE$3,0),FALSE)+(VLOOKUP($BJ288&amp;"最终",$S$3:$AE$63,MATCH(BQ$3,$S$3:$AE$3,0),FALSE)-VLOOKUP($BJ288&amp;"初始",$S$3:$AE$63,MATCH(BQ$3,$S$3:$AE$3,0),FALSE))*$BL288/VLOOKUP(VLOOKUP($BJ288,坦克个性化设定!$B$18:$E$48,4,FALSE)&amp;$BK288,坦克属性分配比例,MATCH("升星次数",坦克属性分配比例标头,0),FALSE)*VLOOKUP(VLOOKUP($BJ288,坦克个性化设定!$B$18:$E$48,4,FALSE)&amp;$BK288,坦克属性分配比例,MATCH("升星比例",坦克属性分配比例标头,0),FALSE),0)</f>
        <v>926</v>
      </c>
      <c r="BR288" s="2">
        <f ca="1">ROUND(VLOOKUP($BJ288&amp;"初始",$S$3:$AE$63,MATCH(BR$3,$S$3:$AE$3,0),FALSE)+(VLOOKUP($BJ288&amp;"最终",$S$3:$AE$63,MATCH(BR$3,$S$3:$AE$3,0),FALSE)-VLOOKUP($BJ288&amp;"初始",$S$3:$AE$63,MATCH(BR$3,$S$3:$AE$3,0),FALSE))*$BL288/VLOOKUP(VLOOKUP($BJ288,坦克个性化设定!$B$18:$E$48,4,FALSE)&amp;$BK288,坦克属性分配比例,MATCH("升星次数",坦克属性分配比例标头,0),FALSE),0)</f>
        <v>232</v>
      </c>
      <c r="BS288" s="2">
        <f>ROUND(VLOOKUP($BJ288,$AI$3:$AO$33,MATCH(BS$3,$AI$3:$AO$3,0),FALSE)+$BL288/VLOOKUP(VLOOKUP($BJ288,坦克个性化设定!$B$18:$E$48,4,FALSE)&amp;$BK288,坦克属性分配比例,MATCH("升星次数",坦克属性分配比例标头,0),FALSE)*VLOOKUP($BJ288,$AR$3:$AY$33,MATCH(BS$3,$AR$3:$AY$3,0),FALSE),1)</f>
        <v>35.1</v>
      </c>
      <c r="BT288" s="2">
        <f>ROUND(VLOOKUP($BJ288,$AI$3:$AO$33,MATCH(BT$3,$AI$3:$AO$3,0),FALSE)+$BL288/VLOOKUP(VLOOKUP($BJ288,坦克个性化设定!$B$18:$E$48,4,FALSE)&amp;$BK288,坦克属性分配比例,MATCH("升星次数",坦克属性分配比例标头,0),FALSE)*VLOOKUP($BJ288,$AR$3:$AY$33,MATCH(BT$3,$AR$3:$AY$3,0),FALSE),1)</f>
        <v>40.1</v>
      </c>
      <c r="BU288" s="2">
        <f>ROUND(VLOOKUP($BJ288,$AI$3:$AO$33,MATCH(BU$3,$AI$3:$AO$3,0),FALSE)+$BL288/VLOOKUP(VLOOKUP($BJ288,坦克个性化设定!$B$18:$E$48,4,FALSE)&amp;$BK288,坦克属性分配比例,MATCH("升星次数",坦克属性分配比例标头,0),FALSE)*VLOOKUP($BJ288,$AR$3:$AY$33,MATCH(BU$3,$AR$3:$AY$3,0),FALSE),1)</f>
        <v>6.6</v>
      </c>
      <c r="BV288" s="2">
        <f>IF(VLOOKUP(BJ288,坦克个性化设定!$B$18:$BC$48,MATCH("装弹类型",坦克个性化设定!$B$18:$BC$18,0),FALSE)="弹夹换弹",0,ROUND(VLOOKUP($BJ288,$AI$3:$AO$33,MATCH("换弹时间",$AI$3:$AO$3,0),FALSE)-$BL288/VLOOKUP(VLOOKUP($BJ288,坦克个性化设定!$B$18:$E$48,4,FALSE)&amp;$BK288,坦克属性分配比例,MATCH("升星次数",坦克属性分配比例标头,0),FALSE)*VLOOKUP($BJ288,$AR$3:$AY$33,MATCH("换弹时间",$AR$3:$AY$3,0),FALSE),2))</f>
        <v>5.69</v>
      </c>
      <c r="BW288" s="2">
        <f>IF(VLOOKUP(BJ288,坦克个性化设定!$B$18:$BC$48,MATCH("装弹类型",坦克个性化设定!$B$18:$BC$18,0),FALSE)="弹夹换弹",ROUND(VLOOKUP($BJ288,$AI$3:$AO$33,MATCH("换弹时间",$AI$3:$AO$3,0),FALSE)-$BL288/VLOOKUP(VLOOKUP($BJ288,坦克个性化设定!$B$18:$E$48,4,FALSE)&amp;$BK288,坦克属性分配比例,MATCH("升星次数",坦克属性分配比例标头,0),FALSE)*VLOOKUP($BJ288,$AR$3:$AY$33,MATCH("换弹时间",$AR$3:$AY$3,0),FALSE),1),0)</f>
        <v>0</v>
      </c>
      <c r="BX288" s="2">
        <f>ROUND(VLOOKUP($BJ288,$AI$3:$AO$33,MATCH(BX$3,$AI$3:$AO$3,0),FALSE)+$BL288/VLOOKUP(VLOOKUP($BJ288,坦克个性化设定!$B$18:$E$48,4,FALSE)&amp;$BK288,坦克属性分配比例,MATCH("升星次数",坦克属性分配比例标头,0),FALSE)*VLOOKUP($BJ288,$AR$3:$AY$33,MATCH(BX$3,$AR$3:$AY$3,0),FALSE),2)</f>
        <v>0</v>
      </c>
      <c r="BY288" s="2">
        <f>ROUND(VLOOKUP($BJ288,$AI$3:$AO$33,MATCH(BY$3,$AI$3:$AO$3,0),FALSE)-$BL288/VLOOKUP(VLOOKUP($BJ288,坦克个性化设定!$B$18:$E$48,4,FALSE)&amp;$BK288,坦克属性分配比例,MATCH("升星次数",坦克属性分配比例标头,0),FALSE)*VLOOKUP($BJ288,$AR$3:$AY$33,MATCH(BY$3,$AR$3:$AY$3,0),FALSE),2)</f>
        <v>2.82</v>
      </c>
    </row>
    <row r="289" spans="60:77" x14ac:dyDescent="0.3">
      <c r="BH289" s="2" t="str">
        <f t="shared" si="35"/>
        <v>T-325</v>
      </c>
      <c r="BI289" s="2">
        <f>IF(BL288&gt;=VLOOKUP(VLOOKUP(BJ288,坦克个性化设定!$B$18:$E$48,4,FALSE)&amp;BK288,坦克属性分配比例,MATCH("升星次数",坦克属性分配比例标头,0),FALSE),BI288+1,BI288)</f>
        <v>29</v>
      </c>
      <c r="BJ289" s="2" t="str">
        <f t="shared" si="36"/>
        <v>T-32</v>
      </c>
      <c r="BK289" s="29" t="str">
        <f>VLOOKUP(BJ289,坦克个性化细分!$I$3:$J$33,2,FALSE)</f>
        <v>高</v>
      </c>
      <c r="BL289" s="2">
        <f t="shared" si="37"/>
        <v>5</v>
      </c>
      <c r="BM289" s="103">
        <f ca="1">ROUND(VLOOKUP($BJ289&amp;"初始",$S$3:$AE$63,MATCH(BM$3,$S$3:$AE$3,0),FALSE)+((VLOOKUP($BJ289&amp;"最终",$S$3:$AE$63,MATCH(BM$3,$S$3:$AE$3,0),FALSE)*坦克个性化细分!$C$9-VLOOKUP($BJ289&amp;"初始",$S$3:$AE$63,MATCH(BM$3,$S$3:$AE$3,0),FALSE))-(VLOOKUP($BJ289&amp;"最终",$S$3:$AE$63,MATCH(BM$3,$S$3:$AE$3,0),FALSE)-VLOOKUP($BJ289&amp;"初始",$S$3:$AE$63,MATCH(BM$3,$S$3:$AE$3,0),FALSE))*VLOOKUP(VLOOKUP($BJ289,坦克个性化设定!$B$18:$E$48,4,FALSE)&amp;$BK289,坦克属性分配比例,MATCH("部件比例",坦克属性分配比例标头,0),FALSE))*$BL289/VLOOKUP(VLOOKUP($BJ289,坦克个性化设定!$B$18:$E$48,4,FALSE)&amp;$BK289,坦克属性分配比例,MATCH("升星次数",坦克属性分配比例标头,0),FALSE),0)</f>
        <v>2244</v>
      </c>
      <c r="BN289" s="103">
        <f ca="1">ROUND(VLOOKUP($BJ289&amp;"初始",$S$3:$AE$63,MATCH(BN$3,$S$3:$AE$3,0),FALSE)+(VLOOKUP($BJ289&amp;"最终",$S$3:$AE$63,MATCH(BN$3,$S$3:$AE$3,0),FALSE)-VLOOKUP($BJ289&amp;"初始",$S$3:$AE$63,MATCH(BN$3,$S$3:$AE$3,0),FALSE))*$BL289/VLOOKUP(VLOOKUP($BJ289,坦克个性化设定!$B$18:$E$48,4,FALSE)&amp;$BK289,坦克属性分配比例,MATCH("升星次数",坦克属性分配比例标头,0),FALSE)*VLOOKUP(VLOOKUP($BJ289,坦克个性化设定!$B$18:$E$48,4,FALSE)&amp;$BK289,坦克属性分配比例,MATCH("升星比例",坦克属性分配比例标头,0),FALSE),0)</f>
        <v>851</v>
      </c>
      <c r="BO289" s="103">
        <f ca="1">ROUND(VLOOKUP($BJ289&amp;"初始",$S$3:$AE$63,MATCH(BO$3,$S$3:$AE$3,0),FALSE)+(VLOOKUP($BJ289&amp;"最终",$S$3:$AE$63,MATCH(BO$3,$S$3:$AE$3,0),FALSE)-VLOOKUP($BJ289&amp;"初始",$S$3:$AE$63,MATCH(BO$3,$S$3:$AE$3,0),FALSE))*$BL289/VLOOKUP(VLOOKUP($BJ289,坦克个性化设定!$B$18:$E$48,4,FALSE)&amp;$BK289,坦克属性分配比例,MATCH("升星次数",坦克属性分配比例标头,0),FALSE)*(VLOOKUP(VLOOKUP($BJ289,坦克个性化设定!$B$18:$E$48,4,FALSE)&amp;$BK289,坦克属性分配比例,MATCH("升星比例",坦克属性分配比例标头,0),FALSE)+VLOOKUP(VLOOKUP($BJ289,坦克个性化设定!$B$18:$E$48,4,FALSE)&amp;$BK289,坦克属性分配比例,MATCH("部件比例",坦克属性分配比例标头,0),FALSE)*$C$3),0)</f>
        <v>748</v>
      </c>
      <c r="BP289" s="103">
        <f ca="1">ROUND(VLOOKUP($BJ289&amp;"初始",$S$3:$AE$63,MATCH(BP$3,$S$3:$AE$3,0),FALSE)+(VLOOKUP($BJ289&amp;"最终",$S$3:$AE$63,MATCH(BP$3,$S$3:$AE$3,0),FALSE)-VLOOKUP($BJ289&amp;"初始",$S$3:$AE$63,MATCH(BP$3,$S$3:$AE$3,0),FALSE))*$BL289/VLOOKUP(VLOOKUP($BJ289,坦克个性化设定!$B$18:$E$48,4,FALSE)&amp;$BK289,坦克属性分配比例,MATCH("升星次数",坦克属性分配比例标头,0),FALSE)*(VLOOKUP(VLOOKUP($BJ289,坦克个性化设定!$B$18:$E$48,4,FALSE)&amp;$BK289,坦克属性分配比例,MATCH("升星比例",坦克属性分配比例标头,0),FALSE)+VLOOKUP(VLOOKUP($BJ289,坦克个性化设定!$B$18:$E$48,4,FALSE)&amp;$BK289,坦克属性分配比例,MATCH("部件比例",坦克属性分配比例标头,0),FALSE)*$C$3),0)</f>
        <v>598</v>
      </c>
      <c r="BQ289" s="103">
        <f ca="1">ROUND(VLOOKUP($BJ289&amp;"初始",$S$3:$AE$63,MATCH(BQ$3,$S$3:$AE$3,0),FALSE)+(VLOOKUP($BJ289&amp;"最终",$S$3:$AE$63,MATCH(BQ$3,$S$3:$AE$3,0),FALSE)-VLOOKUP($BJ289&amp;"初始",$S$3:$AE$63,MATCH(BQ$3,$S$3:$AE$3,0),FALSE))*$BL289/VLOOKUP(VLOOKUP($BJ289,坦克个性化设定!$B$18:$E$48,4,FALSE)&amp;$BK289,坦克属性分配比例,MATCH("升星次数",坦克属性分配比例标头,0),FALSE)*VLOOKUP(VLOOKUP($BJ289,坦克个性化设定!$B$18:$E$48,4,FALSE)&amp;$BK289,坦克属性分配比例,MATCH("升星比例",坦克属性分配比例标头,0),FALSE),0)</f>
        <v>947</v>
      </c>
      <c r="BR289" s="2">
        <f ca="1">ROUND(VLOOKUP($BJ289&amp;"初始",$S$3:$AE$63,MATCH(BR$3,$S$3:$AE$3,0),FALSE)+(VLOOKUP($BJ289&amp;"最终",$S$3:$AE$63,MATCH(BR$3,$S$3:$AE$3,0),FALSE)-VLOOKUP($BJ289&amp;"初始",$S$3:$AE$63,MATCH(BR$3,$S$3:$AE$3,0),FALSE))*$BL289/VLOOKUP(VLOOKUP($BJ289,坦克个性化设定!$B$18:$E$48,4,FALSE)&amp;$BK289,坦克属性分配比例,MATCH("升星次数",坦克属性分配比例标头,0),FALSE),0)</f>
        <v>241</v>
      </c>
      <c r="BS289" s="2">
        <f>ROUND(VLOOKUP($BJ289,$AI$3:$AO$33,MATCH(BS$3,$AI$3:$AO$3,0),FALSE)+$BL289/VLOOKUP(VLOOKUP($BJ289,坦克个性化设定!$B$18:$E$48,4,FALSE)&amp;$BK289,坦克属性分配比例,MATCH("升星次数",坦克属性分配比例标头,0),FALSE)*VLOOKUP($BJ289,$AR$3:$AY$33,MATCH(BS$3,$AR$3:$AY$3,0),FALSE),1)</f>
        <v>35.9</v>
      </c>
      <c r="BT289" s="2">
        <f>ROUND(VLOOKUP($BJ289,$AI$3:$AO$33,MATCH(BT$3,$AI$3:$AO$3,0),FALSE)+$BL289/VLOOKUP(VLOOKUP($BJ289,坦克个性化设定!$B$18:$E$48,4,FALSE)&amp;$BK289,坦克属性分配比例,MATCH("升星次数",坦克属性分配比例标头,0),FALSE)*VLOOKUP($BJ289,$AR$3:$AY$33,MATCH(BT$3,$AR$3:$AY$3,0),FALSE),1)</f>
        <v>41</v>
      </c>
      <c r="BU289" s="2">
        <f>ROUND(VLOOKUP($BJ289,$AI$3:$AO$33,MATCH(BU$3,$AI$3:$AO$3,0),FALSE)+$BL289/VLOOKUP(VLOOKUP($BJ289,坦克个性化设定!$B$18:$E$48,4,FALSE)&amp;$BK289,坦克属性分配比例,MATCH("升星次数",坦克属性分配比例标头,0),FALSE)*VLOOKUP($BJ289,$AR$3:$AY$33,MATCH(BU$3,$AR$3:$AY$3,0),FALSE),1)</f>
        <v>6.6</v>
      </c>
      <c r="BV289" s="2">
        <f>IF(VLOOKUP(BJ289,坦克个性化设定!$B$18:$BC$48,MATCH("装弹类型",坦克个性化设定!$B$18:$BC$18,0),FALSE)="弹夹换弹",0,ROUND(VLOOKUP($BJ289,$AI$3:$AO$33,MATCH("换弹时间",$AI$3:$AO$3,0),FALSE)-$BL289/VLOOKUP(VLOOKUP($BJ289,坦克个性化设定!$B$18:$E$48,4,FALSE)&amp;$BK289,坦克属性分配比例,MATCH("升星次数",坦克属性分配比例标头,0),FALSE)*VLOOKUP($BJ289,$AR$3:$AY$33,MATCH("换弹时间",$AR$3:$AY$3,0),FALSE),2))</f>
        <v>5.61</v>
      </c>
      <c r="BW289" s="2">
        <f>IF(VLOOKUP(BJ289,坦克个性化设定!$B$18:$BC$48,MATCH("装弹类型",坦克个性化设定!$B$18:$BC$18,0),FALSE)="弹夹换弹",ROUND(VLOOKUP($BJ289,$AI$3:$AO$33,MATCH("换弹时间",$AI$3:$AO$3,0),FALSE)-$BL289/VLOOKUP(VLOOKUP($BJ289,坦克个性化设定!$B$18:$E$48,4,FALSE)&amp;$BK289,坦克属性分配比例,MATCH("升星次数",坦克属性分配比例标头,0),FALSE)*VLOOKUP($BJ289,$AR$3:$AY$33,MATCH("换弹时间",$AR$3:$AY$3,0),FALSE),1),0)</f>
        <v>0</v>
      </c>
      <c r="BX289" s="2">
        <f>ROUND(VLOOKUP($BJ289,$AI$3:$AO$33,MATCH(BX$3,$AI$3:$AO$3,0),FALSE)+$BL289/VLOOKUP(VLOOKUP($BJ289,坦克个性化设定!$B$18:$E$48,4,FALSE)&amp;$BK289,坦克属性分配比例,MATCH("升星次数",坦克属性分配比例标头,0),FALSE)*VLOOKUP($BJ289,$AR$3:$AY$33,MATCH(BX$3,$AR$3:$AY$3,0),FALSE),2)</f>
        <v>0</v>
      </c>
      <c r="BY289" s="2">
        <f>ROUND(VLOOKUP($BJ289,$AI$3:$AO$33,MATCH(BY$3,$AI$3:$AO$3,0),FALSE)-$BL289/VLOOKUP(VLOOKUP($BJ289,坦克个性化设定!$B$18:$E$48,4,FALSE)&amp;$BK289,坦克属性分配比例,MATCH("升星次数",坦克属性分配比例标头,0),FALSE)*VLOOKUP($BJ289,$AR$3:$AY$33,MATCH(BY$3,$AR$3:$AY$3,0),FALSE),2)</f>
        <v>2.77</v>
      </c>
    </row>
    <row r="290" spans="60:77" x14ac:dyDescent="0.3">
      <c r="BH290" s="2" t="str">
        <f t="shared" si="35"/>
        <v>T-326</v>
      </c>
      <c r="BI290" s="2">
        <f>IF(BL289&gt;=VLOOKUP(VLOOKUP(BJ289,坦克个性化设定!$B$18:$E$48,4,FALSE)&amp;BK289,坦克属性分配比例,MATCH("升星次数",坦克属性分配比例标头,0),FALSE),BI289+1,BI289)</f>
        <v>29</v>
      </c>
      <c r="BJ290" s="2" t="str">
        <f t="shared" si="36"/>
        <v>T-32</v>
      </c>
      <c r="BK290" s="29" t="str">
        <f>VLOOKUP(BJ290,坦克个性化细分!$I$3:$J$33,2,FALSE)</f>
        <v>高</v>
      </c>
      <c r="BL290" s="2">
        <f t="shared" si="37"/>
        <v>6</v>
      </c>
      <c r="BM290" s="103">
        <f ca="1">ROUND(VLOOKUP($BJ290&amp;"初始",$S$3:$AE$63,MATCH(BM$3,$S$3:$AE$3,0),FALSE)+((VLOOKUP($BJ290&amp;"最终",$S$3:$AE$63,MATCH(BM$3,$S$3:$AE$3,0),FALSE)*坦克个性化细分!$C$9-VLOOKUP($BJ290&amp;"初始",$S$3:$AE$63,MATCH(BM$3,$S$3:$AE$3,0),FALSE))-(VLOOKUP($BJ290&amp;"最终",$S$3:$AE$63,MATCH(BM$3,$S$3:$AE$3,0),FALSE)-VLOOKUP($BJ290&amp;"初始",$S$3:$AE$63,MATCH(BM$3,$S$3:$AE$3,0),FALSE))*VLOOKUP(VLOOKUP($BJ290,坦克个性化设定!$B$18:$E$48,4,FALSE)&amp;$BK290,坦克属性分配比例,MATCH("部件比例",坦克属性分配比例标头,0),FALSE))*$BL290/VLOOKUP(VLOOKUP($BJ290,坦克个性化设定!$B$18:$E$48,4,FALSE)&amp;$BK290,坦克属性分配比例,MATCH("升星次数",坦克属性分配比例标头,0),FALSE),0)</f>
        <v>2325</v>
      </c>
      <c r="BN290" s="103">
        <f ca="1">ROUND(VLOOKUP($BJ290&amp;"初始",$S$3:$AE$63,MATCH(BN$3,$S$3:$AE$3,0),FALSE)+(VLOOKUP($BJ290&amp;"最终",$S$3:$AE$63,MATCH(BN$3,$S$3:$AE$3,0),FALSE)-VLOOKUP($BJ290&amp;"初始",$S$3:$AE$63,MATCH(BN$3,$S$3:$AE$3,0),FALSE))*$BL290/VLOOKUP(VLOOKUP($BJ290,坦克个性化设定!$B$18:$E$48,4,FALSE)&amp;$BK290,坦克属性分配比例,MATCH("升星次数",坦克属性分配比例标头,0),FALSE)*VLOOKUP(VLOOKUP($BJ290,坦克个性化设定!$B$18:$E$48,4,FALSE)&amp;$BK290,坦克属性分配比例,MATCH("升星比例",坦克属性分配比例标头,0),FALSE),0)</f>
        <v>870</v>
      </c>
      <c r="BO290" s="103">
        <f ca="1">ROUND(VLOOKUP($BJ290&amp;"初始",$S$3:$AE$63,MATCH(BO$3,$S$3:$AE$3,0),FALSE)+(VLOOKUP($BJ290&amp;"最终",$S$3:$AE$63,MATCH(BO$3,$S$3:$AE$3,0),FALSE)-VLOOKUP($BJ290&amp;"初始",$S$3:$AE$63,MATCH(BO$3,$S$3:$AE$3,0),FALSE))*$BL290/VLOOKUP(VLOOKUP($BJ290,坦克个性化设定!$B$18:$E$48,4,FALSE)&amp;$BK290,坦克属性分配比例,MATCH("升星次数",坦克属性分配比例标头,0),FALSE)*(VLOOKUP(VLOOKUP($BJ290,坦克个性化设定!$B$18:$E$48,4,FALSE)&amp;$BK290,坦克属性分配比例,MATCH("升星比例",坦克属性分配比例标头,0),FALSE)+VLOOKUP(VLOOKUP($BJ290,坦克个性化设定!$B$18:$E$48,4,FALSE)&amp;$BK290,坦克属性分配比例,MATCH("部件比例",坦克属性分配比例标头,0),FALSE)*$C$3),0)</f>
        <v>772</v>
      </c>
      <c r="BP290" s="103">
        <f ca="1">ROUND(VLOOKUP($BJ290&amp;"初始",$S$3:$AE$63,MATCH(BP$3,$S$3:$AE$3,0),FALSE)+(VLOOKUP($BJ290&amp;"最终",$S$3:$AE$63,MATCH(BP$3,$S$3:$AE$3,0),FALSE)-VLOOKUP($BJ290&amp;"初始",$S$3:$AE$63,MATCH(BP$3,$S$3:$AE$3,0),FALSE))*$BL290/VLOOKUP(VLOOKUP($BJ290,坦克个性化设定!$B$18:$E$48,4,FALSE)&amp;$BK290,坦克属性分配比例,MATCH("升星次数",坦克属性分配比例标头,0),FALSE)*(VLOOKUP(VLOOKUP($BJ290,坦克个性化设定!$B$18:$E$48,4,FALSE)&amp;$BK290,坦克属性分配比例,MATCH("升星比例",坦克属性分配比例标头,0),FALSE)+VLOOKUP(VLOOKUP($BJ290,坦克个性化设定!$B$18:$E$48,4,FALSE)&amp;$BK290,坦克属性分配比例,MATCH("部件比例",坦克属性分配比例标头,0),FALSE)*$C$3),0)</f>
        <v>618</v>
      </c>
      <c r="BQ290" s="103">
        <f ca="1">ROUND(VLOOKUP($BJ290&amp;"初始",$S$3:$AE$63,MATCH(BQ$3,$S$3:$AE$3,0),FALSE)+(VLOOKUP($BJ290&amp;"最终",$S$3:$AE$63,MATCH(BQ$3,$S$3:$AE$3,0),FALSE)-VLOOKUP($BJ290&amp;"初始",$S$3:$AE$63,MATCH(BQ$3,$S$3:$AE$3,0),FALSE))*$BL290/VLOOKUP(VLOOKUP($BJ290,坦克个性化设定!$B$18:$E$48,4,FALSE)&amp;$BK290,坦克属性分配比例,MATCH("升星次数",坦克属性分配比例标头,0),FALSE)*VLOOKUP(VLOOKUP($BJ290,坦克个性化设定!$B$18:$E$48,4,FALSE)&amp;$BK290,坦克属性分配比例,MATCH("升星比例",坦克属性分配比例标头,0),FALSE),0)</f>
        <v>968</v>
      </c>
      <c r="BR290" s="2">
        <f ca="1">ROUND(VLOOKUP($BJ290&amp;"初始",$S$3:$AE$63,MATCH(BR$3,$S$3:$AE$3,0),FALSE)+(VLOOKUP($BJ290&amp;"最终",$S$3:$AE$63,MATCH(BR$3,$S$3:$AE$3,0),FALSE)-VLOOKUP($BJ290&amp;"初始",$S$3:$AE$63,MATCH(BR$3,$S$3:$AE$3,0),FALSE))*$BL290/VLOOKUP(VLOOKUP($BJ290,坦克个性化设定!$B$18:$E$48,4,FALSE)&amp;$BK290,坦克属性分配比例,MATCH("升星次数",坦克属性分配比例标头,0),FALSE),0)</f>
        <v>251</v>
      </c>
      <c r="BS290" s="2">
        <f>ROUND(VLOOKUP($BJ290,$AI$3:$AO$33,MATCH(BS$3,$AI$3:$AO$3,0),FALSE)+$BL290/VLOOKUP(VLOOKUP($BJ290,坦克个性化设定!$B$18:$E$48,4,FALSE)&amp;$BK290,坦克属性分配比例,MATCH("升星次数",坦克属性分配比例标头,0),FALSE)*VLOOKUP($BJ290,$AR$3:$AY$33,MATCH(BS$3,$AR$3:$AY$3,0),FALSE),1)</f>
        <v>36.6</v>
      </c>
      <c r="BT290" s="2">
        <f>ROUND(VLOOKUP($BJ290,$AI$3:$AO$33,MATCH(BT$3,$AI$3:$AO$3,0),FALSE)+$BL290/VLOOKUP(VLOOKUP($BJ290,坦克个性化设定!$B$18:$E$48,4,FALSE)&amp;$BK290,坦克属性分配比例,MATCH("升星次数",坦克属性分配比例标头,0),FALSE)*VLOOKUP($BJ290,$AR$3:$AY$33,MATCH(BT$3,$AR$3:$AY$3,0),FALSE),1)</f>
        <v>41.8</v>
      </c>
      <c r="BU290" s="2">
        <f>ROUND(VLOOKUP($BJ290,$AI$3:$AO$33,MATCH(BU$3,$AI$3:$AO$3,0),FALSE)+$BL290/VLOOKUP(VLOOKUP($BJ290,坦克个性化设定!$B$18:$E$48,4,FALSE)&amp;$BK290,坦克属性分配比例,MATCH("升星次数",坦克属性分配比例标头,0),FALSE)*VLOOKUP($BJ290,$AR$3:$AY$33,MATCH(BU$3,$AR$3:$AY$3,0),FALSE),1)</f>
        <v>6.6</v>
      </c>
      <c r="BV290" s="2">
        <f>IF(VLOOKUP(BJ290,坦克个性化设定!$B$18:$BC$48,MATCH("装弹类型",坦克个性化设定!$B$18:$BC$18,0),FALSE)="弹夹换弹",0,ROUND(VLOOKUP($BJ290,$AI$3:$AO$33,MATCH("换弹时间",$AI$3:$AO$3,0),FALSE)-$BL290/VLOOKUP(VLOOKUP($BJ290,坦克个性化设定!$B$18:$E$48,4,FALSE)&amp;$BK290,坦克属性分配比例,MATCH("升星次数",坦克属性分配比例标头,0),FALSE)*VLOOKUP($BJ290,$AR$3:$AY$33,MATCH("换弹时间",$AR$3:$AY$3,0),FALSE),2))</f>
        <v>5.54</v>
      </c>
      <c r="BW290" s="2">
        <f>IF(VLOOKUP(BJ290,坦克个性化设定!$B$18:$BC$48,MATCH("装弹类型",坦克个性化设定!$B$18:$BC$18,0),FALSE)="弹夹换弹",ROUND(VLOOKUP($BJ290,$AI$3:$AO$33,MATCH("换弹时间",$AI$3:$AO$3,0),FALSE)-$BL290/VLOOKUP(VLOOKUP($BJ290,坦克个性化设定!$B$18:$E$48,4,FALSE)&amp;$BK290,坦克属性分配比例,MATCH("升星次数",坦克属性分配比例标头,0),FALSE)*VLOOKUP($BJ290,$AR$3:$AY$33,MATCH("换弹时间",$AR$3:$AY$3,0),FALSE),1),0)</f>
        <v>0</v>
      </c>
      <c r="BX290" s="2">
        <f>ROUND(VLOOKUP($BJ290,$AI$3:$AO$33,MATCH(BX$3,$AI$3:$AO$3,0),FALSE)+$BL290/VLOOKUP(VLOOKUP($BJ290,坦克个性化设定!$B$18:$E$48,4,FALSE)&amp;$BK290,坦克属性分配比例,MATCH("升星次数",坦克属性分配比例标头,0),FALSE)*VLOOKUP($BJ290,$AR$3:$AY$33,MATCH(BX$3,$AR$3:$AY$3,0),FALSE),2)</f>
        <v>0</v>
      </c>
      <c r="BY290" s="2">
        <f>ROUND(VLOOKUP($BJ290,$AI$3:$AO$33,MATCH(BY$3,$AI$3:$AO$3,0),FALSE)-$BL290/VLOOKUP(VLOOKUP($BJ290,坦克个性化设定!$B$18:$E$48,4,FALSE)&amp;$BK290,坦克属性分配比例,MATCH("升星次数",坦克属性分配比例标头,0),FALSE)*VLOOKUP($BJ290,$AR$3:$AY$33,MATCH(BY$3,$AR$3:$AY$3,0),FALSE),2)</f>
        <v>2.73</v>
      </c>
    </row>
    <row r="291" spans="60:77" x14ac:dyDescent="0.3">
      <c r="BH291" s="2" t="str">
        <f t="shared" si="35"/>
        <v>T-327</v>
      </c>
      <c r="BI291" s="2">
        <f>IF(BL290&gt;=VLOOKUP(VLOOKUP(BJ290,坦克个性化设定!$B$18:$E$48,4,FALSE)&amp;BK290,坦克属性分配比例,MATCH("升星次数",坦克属性分配比例标头,0),FALSE),BI290+1,BI290)</f>
        <v>29</v>
      </c>
      <c r="BJ291" s="2" t="str">
        <f t="shared" si="36"/>
        <v>T-32</v>
      </c>
      <c r="BK291" s="29" t="str">
        <f>VLOOKUP(BJ291,坦克个性化细分!$I$3:$J$33,2,FALSE)</f>
        <v>高</v>
      </c>
      <c r="BL291" s="2">
        <f t="shared" si="37"/>
        <v>7</v>
      </c>
      <c r="BM291" s="103">
        <f ca="1">ROUND(VLOOKUP($BJ291&amp;"初始",$S$3:$AE$63,MATCH(BM$3,$S$3:$AE$3,0),FALSE)+((VLOOKUP($BJ291&amp;"最终",$S$3:$AE$63,MATCH(BM$3,$S$3:$AE$3,0),FALSE)*坦克个性化细分!$C$9-VLOOKUP($BJ291&amp;"初始",$S$3:$AE$63,MATCH(BM$3,$S$3:$AE$3,0),FALSE))-(VLOOKUP($BJ291&amp;"最终",$S$3:$AE$63,MATCH(BM$3,$S$3:$AE$3,0),FALSE)-VLOOKUP($BJ291&amp;"初始",$S$3:$AE$63,MATCH(BM$3,$S$3:$AE$3,0),FALSE))*VLOOKUP(VLOOKUP($BJ291,坦克个性化设定!$B$18:$E$48,4,FALSE)&amp;$BK291,坦克属性分配比例,MATCH("部件比例",坦克属性分配比例标头,0),FALSE))*$BL291/VLOOKUP(VLOOKUP($BJ291,坦克个性化设定!$B$18:$E$48,4,FALSE)&amp;$BK291,坦克属性分配比例,MATCH("升星次数",坦克属性分配比例标头,0),FALSE),0)</f>
        <v>2406</v>
      </c>
      <c r="BN291" s="103">
        <f ca="1">ROUND(VLOOKUP($BJ291&amp;"初始",$S$3:$AE$63,MATCH(BN$3,$S$3:$AE$3,0),FALSE)+(VLOOKUP($BJ291&amp;"最终",$S$3:$AE$63,MATCH(BN$3,$S$3:$AE$3,0),FALSE)-VLOOKUP($BJ291&amp;"初始",$S$3:$AE$63,MATCH(BN$3,$S$3:$AE$3,0),FALSE))*$BL291/VLOOKUP(VLOOKUP($BJ291,坦克个性化设定!$B$18:$E$48,4,FALSE)&amp;$BK291,坦克属性分配比例,MATCH("升星次数",坦克属性分配比例标头,0),FALSE)*VLOOKUP(VLOOKUP($BJ291,坦克个性化设定!$B$18:$E$48,4,FALSE)&amp;$BK291,坦克属性分配比例,MATCH("升星比例",坦克属性分配比例标头,0),FALSE),0)</f>
        <v>890</v>
      </c>
      <c r="BO291" s="103">
        <f ca="1">ROUND(VLOOKUP($BJ291&amp;"初始",$S$3:$AE$63,MATCH(BO$3,$S$3:$AE$3,0),FALSE)+(VLOOKUP($BJ291&amp;"最终",$S$3:$AE$63,MATCH(BO$3,$S$3:$AE$3,0),FALSE)-VLOOKUP($BJ291&amp;"初始",$S$3:$AE$63,MATCH(BO$3,$S$3:$AE$3,0),FALSE))*$BL291/VLOOKUP(VLOOKUP($BJ291,坦克个性化设定!$B$18:$E$48,4,FALSE)&amp;$BK291,坦克属性分配比例,MATCH("升星次数",坦克属性分配比例标头,0),FALSE)*(VLOOKUP(VLOOKUP($BJ291,坦克个性化设定!$B$18:$E$48,4,FALSE)&amp;$BK291,坦克属性分配比例,MATCH("升星比例",坦克属性分配比例标头,0),FALSE)+VLOOKUP(VLOOKUP($BJ291,坦克个性化设定!$B$18:$E$48,4,FALSE)&amp;$BK291,坦克属性分配比例,MATCH("部件比例",坦克属性分配比例标头,0),FALSE)*$C$3),0)</f>
        <v>796</v>
      </c>
      <c r="BP291" s="103">
        <f ca="1">ROUND(VLOOKUP($BJ291&amp;"初始",$S$3:$AE$63,MATCH(BP$3,$S$3:$AE$3,0),FALSE)+(VLOOKUP($BJ291&amp;"最终",$S$3:$AE$63,MATCH(BP$3,$S$3:$AE$3,0),FALSE)-VLOOKUP($BJ291&amp;"初始",$S$3:$AE$63,MATCH(BP$3,$S$3:$AE$3,0),FALSE))*$BL291/VLOOKUP(VLOOKUP($BJ291,坦克个性化设定!$B$18:$E$48,4,FALSE)&amp;$BK291,坦克属性分配比例,MATCH("升星次数",坦克属性分配比例标头,0),FALSE)*(VLOOKUP(VLOOKUP($BJ291,坦克个性化设定!$B$18:$E$48,4,FALSE)&amp;$BK291,坦克属性分配比例,MATCH("升星比例",坦克属性分配比例标头,0),FALSE)+VLOOKUP(VLOOKUP($BJ291,坦克个性化设定!$B$18:$E$48,4,FALSE)&amp;$BK291,坦克属性分配比例,MATCH("部件比例",坦克属性分配比例标头,0),FALSE)*$C$3),0)</f>
        <v>637</v>
      </c>
      <c r="BQ291" s="103">
        <f ca="1">ROUND(VLOOKUP($BJ291&amp;"初始",$S$3:$AE$63,MATCH(BQ$3,$S$3:$AE$3,0),FALSE)+(VLOOKUP($BJ291&amp;"最终",$S$3:$AE$63,MATCH(BQ$3,$S$3:$AE$3,0),FALSE)-VLOOKUP($BJ291&amp;"初始",$S$3:$AE$63,MATCH(BQ$3,$S$3:$AE$3,0),FALSE))*$BL291/VLOOKUP(VLOOKUP($BJ291,坦克个性化设定!$B$18:$E$48,4,FALSE)&amp;$BK291,坦克属性分配比例,MATCH("升星次数",坦克属性分配比例标头,0),FALSE)*VLOOKUP(VLOOKUP($BJ291,坦克个性化设定!$B$18:$E$48,4,FALSE)&amp;$BK291,坦克属性分配比例,MATCH("升星比例",坦克属性分配比例标头,0),FALSE),0)</f>
        <v>990</v>
      </c>
      <c r="BR291" s="2">
        <f ca="1">ROUND(VLOOKUP($BJ291&amp;"初始",$S$3:$AE$63,MATCH(BR$3,$S$3:$AE$3,0),FALSE)+(VLOOKUP($BJ291&amp;"最终",$S$3:$AE$63,MATCH(BR$3,$S$3:$AE$3,0),FALSE)-VLOOKUP($BJ291&amp;"初始",$S$3:$AE$63,MATCH(BR$3,$S$3:$AE$3,0),FALSE))*$BL291/VLOOKUP(VLOOKUP($BJ291,坦克个性化设定!$B$18:$E$48,4,FALSE)&amp;$BK291,坦克属性分配比例,MATCH("升星次数",坦克属性分配比例标头,0),FALSE),0)</f>
        <v>260</v>
      </c>
      <c r="BS291" s="2">
        <f>ROUND(VLOOKUP($BJ291,$AI$3:$AO$33,MATCH(BS$3,$AI$3:$AO$3,0),FALSE)+$BL291/VLOOKUP(VLOOKUP($BJ291,坦克个性化设定!$B$18:$E$48,4,FALSE)&amp;$BK291,坦克属性分配比例,MATCH("升星次数",坦克属性分配比例标头,0),FALSE)*VLOOKUP($BJ291,$AR$3:$AY$33,MATCH(BS$3,$AR$3:$AY$3,0),FALSE),1)</f>
        <v>37.299999999999997</v>
      </c>
      <c r="BT291" s="2">
        <f>ROUND(VLOOKUP($BJ291,$AI$3:$AO$33,MATCH(BT$3,$AI$3:$AO$3,0),FALSE)+$BL291/VLOOKUP(VLOOKUP($BJ291,坦克个性化设定!$B$18:$E$48,4,FALSE)&amp;$BK291,坦克属性分配比例,MATCH("升星次数",坦克属性分配比例标头,0),FALSE)*VLOOKUP($BJ291,$AR$3:$AY$33,MATCH(BT$3,$AR$3:$AY$3,0),FALSE),1)</f>
        <v>42.7</v>
      </c>
      <c r="BU291" s="2">
        <f>ROUND(VLOOKUP($BJ291,$AI$3:$AO$33,MATCH(BU$3,$AI$3:$AO$3,0),FALSE)+$BL291/VLOOKUP(VLOOKUP($BJ291,坦克个性化设定!$B$18:$E$48,4,FALSE)&amp;$BK291,坦克属性分配比例,MATCH("升星次数",坦克属性分配比例标头,0),FALSE)*VLOOKUP($BJ291,$AR$3:$AY$33,MATCH(BU$3,$AR$3:$AY$3,0),FALSE),1)</f>
        <v>6.6</v>
      </c>
      <c r="BV291" s="2">
        <f>IF(VLOOKUP(BJ291,坦克个性化设定!$B$18:$BC$48,MATCH("装弹类型",坦克个性化设定!$B$18:$BC$18,0),FALSE)="弹夹换弹",0,ROUND(VLOOKUP($BJ291,$AI$3:$AO$33,MATCH("换弹时间",$AI$3:$AO$3,0),FALSE)-$BL291/VLOOKUP(VLOOKUP($BJ291,坦克个性化设定!$B$18:$E$48,4,FALSE)&amp;$BK291,坦克属性分配比例,MATCH("升星次数",坦克属性分配比例标头,0),FALSE)*VLOOKUP($BJ291,$AR$3:$AY$33,MATCH("换弹时间",$AR$3:$AY$3,0),FALSE),2))</f>
        <v>5.46</v>
      </c>
      <c r="BW291" s="2">
        <f>IF(VLOOKUP(BJ291,坦克个性化设定!$B$18:$BC$48,MATCH("装弹类型",坦克个性化设定!$B$18:$BC$18,0),FALSE)="弹夹换弹",ROUND(VLOOKUP($BJ291,$AI$3:$AO$33,MATCH("换弹时间",$AI$3:$AO$3,0),FALSE)-$BL291/VLOOKUP(VLOOKUP($BJ291,坦克个性化设定!$B$18:$E$48,4,FALSE)&amp;$BK291,坦克属性分配比例,MATCH("升星次数",坦克属性分配比例标头,0),FALSE)*VLOOKUP($BJ291,$AR$3:$AY$33,MATCH("换弹时间",$AR$3:$AY$3,0),FALSE),1),0)</f>
        <v>0</v>
      </c>
      <c r="BX291" s="2">
        <f>ROUND(VLOOKUP($BJ291,$AI$3:$AO$33,MATCH(BX$3,$AI$3:$AO$3,0),FALSE)+$BL291/VLOOKUP(VLOOKUP($BJ291,坦克个性化设定!$B$18:$E$48,4,FALSE)&amp;$BK291,坦克属性分配比例,MATCH("升星次数",坦克属性分配比例标头,0),FALSE)*VLOOKUP($BJ291,$AR$3:$AY$33,MATCH(BX$3,$AR$3:$AY$3,0),FALSE),2)</f>
        <v>0</v>
      </c>
      <c r="BY291" s="2">
        <f>ROUND(VLOOKUP($BJ291,$AI$3:$AO$33,MATCH(BY$3,$AI$3:$AO$3,0),FALSE)-$BL291/VLOOKUP(VLOOKUP($BJ291,坦克个性化设定!$B$18:$E$48,4,FALSE)&amp;$BK291,坦克属性分配比例,MATCH("升星次数",坦克属性分配比例标头,0),FALSE)*VLOOKUP($BJ291,$AR$3:$AY$33,MATCH(BY$3,$AR$3:$AY$3,0),FALSE),2)</f>
        <v>2.68</v>
      </c>
    </row>
    <row r="292" spans="60:77" x14ac:dyDescent="0.3">
      <c r="BH292" s="2" t="str">
        <f t="shared" si="35"/>
        <v>T-328</v>
      </c>
      <c r="BI292" s="2">
        <f>IF(BL291&gt;=VLOOKUP(VLOOKUP(BJ291,坦克个性化设定!$B$18:$E$48,4,FALSE)&amp;BK291,坦克属性分配比例,MATCH("升星次数",坦克属性分配比例标头,0),FALSE),BI291+1,BI291)</f>
        <v>29</v>
      </c>
      <c r="BJ292" s="2" t="str">
        <f t="shared" si="36"/>
        <v>T-32</v>
      </c>
      <c r="BK292" s="29" t="str">
        <f>VLOOKUP(BJ292,坦克个性化细分!$I$3:$J$33,2,FALSE)</f>
        <v>高</v>
      </c>
      <c r="BL292" s="2">
        <f t="shared" si="37"/>
        <v>8</v>
      </c>
      <c r="BM292" s="103">
        <f ca="1">ROUND(VLOOKUP($BJ292&amp;"初始",$S$3:$AE$63,MATCH(BM$3,$S$3:$AE$3,0),FALSE)+((VLOOKUP($BJ292&amp;"最终",$S$3:$AE$63,MATCH(BM$3,$S$3:$AE$3,0),FALSE)*坦克个性化细分!$C$9-VLOOKUP($BJ292&amp;"初始",$S$3:$AE$63,MATCH(BM$3,$S$3:$AE$3,0),FALSE))-(VLOOKUP($BJ292&amp;"最终",$S$3:$AE$63,MATCH(BM$3,$S$3:$AE$3,0),FALSE)-VLOOKUP($BJ292&amp;"初始",$S$3:$AE$63,MATCH(BM$3,$S$3:$AE$3,0),FALSE))*VLOOKUP(VLOOKUP($BJ292,坦克个性化设定!$B$18:$E$48,4,FALSE)&amp;$BK292,坦克属性分配比例,MATCH("部件比例",坦克属性分配比例标头,0),FALSE))*$BL292/VLOOKUP(VLOOKUP($BJ292,坦克个性化设定!$B$18:$E$48,4,FALSE)&amp;$BK292,坦克属性分配比例,MATCH("升星次数",坦克属性分配比例标头,0),FALSE),0)</f>
        <v>2488</v>
      </c>
      <c r="BN292" s="103">
        <f ca="1">ROUND(VLOOKUP($BJ292&amp;"初始",$S$3:$AE$63,MATCH(BN$3,$S$3:$AE$3,0),FALSE)+(VLOOKUP($BJ292&amp;"最终",$S$3:$AE$63,MATCH(BN$3,$S$3:$AE$3,0),FALSE)-VLOOKUP($BJ292&amp;"初始",$S$3:$AE$63,MATCH(BN$3,$S$3:$AE$3,0),FALSE))*$BL292/VLOOKUP(VLOOKUP($BJ292,坦克个性化设定!$B$18:$E$48,4,FALSE)&amp;$BK292,坦克属性分配比例,MATCH("升星次数",坦克属性分配比例标头,0),FALSE)*VLOOKUP(VLOOKUP($BJ292,坦克个性化设定!$B$18:$E$48,4,FALSE)&amp;$BK292,坦克属性分配比例,MATCH("升星比例",坦克属性分配比例标头,0),FALSE),0)</f>
        <v>909</v>
      </c>
      <c r="BO292" s="103">
        <f ca="1">ROUND(VLOOKUP($BJ292&amp;"初始",$S$3:$AE$63,MATCH(BO$3,$S$3:$AE$3,0),FALSE)+(VLOOKUP($BJ292&amp;"最终",$S$3:$AE$63,MATCH(BO$3,$S$3:$AE$3,0),FALSE)-VLOOKUP($BJ292&amp;"初始",$S$3:$AE$63,MATCH(BO$3,$S$3:$AE$3,0),FALSE))*$BL292/VLOOKUP(VLOOKUP($BJ292,坦克个性化设定!$B$18:$E$48,4,FALSE)&amp;$BK292,坦克属性分配比例,MATCH("升星次数",坦克属性分配比例标头,0),FALSE)*(VLOOKUP(VLOOKUP($BJ292,坦克个性化设定!$B$18:$E$48,4,FALSE)&amp;$BK292,坦克属性分配比例,MATCH("升星比例",坦克属性分配比例标头,0),FALSE)+VLOOKUP(VLOOKUP($BJ292,坦克个性化设定!$B$18:$E$48,4,FALSE)&amp;$BK292,坦克属性分配比例,MATCH("部件比例",坦克属性分配比例标头,0),FALSE)*$C$3),0)</f>
        <v>820</v>
      </c>
      <c r="BP292" s="103">
        <f ca="1">ROUND(VLOOKUP($BJ292&amp;"初始",$S$3:$AE$63,MATCH(BP$3,$S$3:$AE$3,0),FALSE)+(VLOOKUP($BJ292&amp;"最终",$S$3:$AE$63,MATCH(BP$3,$S$3:$AE$3,0),FALSE)-VLOOKUP($BJ292&amp;"初始",$S$3:$AE$63,MATCH(BP$3,$S$3:$AE$3,0),FALSE))*$BL292/VLOOKUP(VLOOKUP($BJ292,坦克个性化设定!$B$18:$E$48,4,FALSE)&amp;$BK292,坦克属性分配比例,MATCH("升星次数",坦克属性分配比例标头,0),FALSE)*(VLOOKUP(VLOOKUP($BJ292,坦克个性化设定!$B$18:$E$48,4,FALSE)&amp;$BK292,坦克属性分配比例,MATCH("升星比例",坦克属性分配比例标头,0),FALSE)+VLOOKUP(VLOOKUP($BJ292,坦克个性化设定!$B$18:$E$48,4,FALSE)&amp;$BK292,坦克属性分配比例,MATCH("部件比例",坦克属性分配比例标头,0),FALSE)*$C$3),0)</f>
        <v>656</v>
      </c>
      <c r="BQ292" s="103">
        <f ca="1">ROUND(VLOOKUP($BJ292&amp;"初始",$S$3:$AE$63,MATCH(BQ$3,$S$3:$AE$3,0),FALSE)+(VLOOKUP($BJ292&amp;"最终",$S$3:$AE$63,MATCH(BQ$3,$S$3:$AE$3,0),FALSE)-VLOOKUP($BJ292&amp;"初始",$S$3:$AE$63,MATCH(BQ$3,$S$3:$AE$3,0),FALSE))*$BL292/VLOOKUP(VLOOKUP($BJ292,坦克个性化设定!$B$18:$E$48,4,FALSE)&amp;$BK292,坦克属性分配比例,MATCH("升星次数",坦克属性分配比例标头,0),FALSE)*VLOOKUP(VLOOKUP($BJ292,坦克个性化设定!$B$18:$E$48,4,FALSE)&amp;$BK292,坦克属性分配比例,MATCH("升星比例",坦克属性分配比例标头,0),FALSE),0)</f>
        <v>1011</v>
      </c>
      <c r="BR292" s="2">
        <f ca="1">ROUND(VLOOKUP($BJ292&amp;"初始",$S$3:$AE$63,MATCH(BR$3,$S$3:$AE$3,0),FALSE)+(VLOOKUP($BJ292&amp;"最终",$S$3:$AE$63,MATCH(BR$3,$S$3:$AE$3,0),FALSE)-VLOOKUP($BJ292&amp;"初始",$S$3:$AE$63,MATCH(BR$3,$S$3:$AE$3,0),FALSE))*$BL292/VLOOKUP(VLOOKUP($BJ292,坦克个性化设定!$B$18:$E$48,4,FALSE)&amp;$BK292,坦克属性分配比例,MATCH("升星次数",坦克属性分配比例标头,0),FALSE),0)</f>
        <v>269</v>
      </c>
      <c r="BS292" s="2">
        <f>ROUND(VLOOKUP($BJ292,$AI$3:$AO$33,MATCH(BS$3,$AI$3:$AO$3,0),FALSE)+$BL292/VLOOKUP(VLOOKUP($BJ292,坦克个性化设定!$B$18:$E$48,4,FALSE)&amp;$BK292,坦克属性分配比例,MATCH("升星次数",坦克属性分配比例标头,0),FALSE)*VLOOKUP($BJ292,$AR$3:$AY$33,MATCH(BS$3,$AR$3:$AY$3,0),FALSE),1)</f>
        <v>38.1</v>
      </c>
      <c r="BT292" s="2">
        <f>ROUND(VLOOKUP($BJ292,$AI$3:$AO$33,MATCH(BT$3,$AI$3:$AO$3,0),FALSE)+$BL292/VLOOKUP(VLOOKUP($BJ292,坦克个性化设定!$B$18:$E$48,4,FALSE)&amp;$BK292,坦克属性分配比例,MATCH("升星次数",坦克属性分配比例标头,0),FALSE)*VLOOKUP($BJ292,$AR$3:$AY$33,MATCH(BT$3,$AR$3:$AY$3,0),FALSE),1)</f>
        <v>43.5</v>
      </c>
      <c r="BU292" s="2">
        <f>ROUND(VLOOKUP($BJ292,$AI$3:$AO$33,MATCH(BU$3,$AI$3:$AO$3,0),FALSE)+$BL292/VLOOKUP(VLOOKUP($BJ292,坦克个性化设定!$B$18:$E$48,4,FALSE)&amp;$BK292,坦克属性分配比例,MATCH("升星次数",坦克属性分配比例标头,0),FALSE)*VLOOKUP($BJ292,$AR$3:$AY$33,MATCH(BU$3,$AR$3:$AY$3,0),FALSE),1)</f>
        <v>6.6</v>
      </c>
      <c r="BV292" s="2">
        <f>IF(VLOOKUP(BJ292,坦克个性化设定!$B$18:$BC$48,MATCH("装弹类型",坦克个性化设定!$B$18:$BC$18,0),FALSE)="弹夹换弹",0,ROUND(VLOOKUP($BJ292,$AI$3:$AO$33,MATCH("换弹时间",$AI$3:$AO$3,0),FALSE)-$BL292/VLOOKUP(VLOOKUP($BJ292,坦克个性化设定!$B$18:$E$48,4,FALSE)&amp;$BK292,坦克属性分配比例,MATCH("升星次数",坦克属性分配比例标头,0),FALSE)*VLOOKUP($BJ292,$AR$3:$AY$33,MATCH("换弹时间",$AR$3:$AY$3,0),FALSE),2))</f>
        <v>5.38</v>
      </c>
      <c r="BW292" s="2">
        <f>IF(VLOOKUP(BJ292,坦克个性化设定!$B$18:$BC$48,MATCH("装弹类型",坦克个性化设定!$B$18:$BC$18,0),FALSE)="弹夹换弹",ROUND(VLOOKUP($BJ292,$AI$3:$AO$33,MATCH("换弹时间",$AI$3:$AO$3,0),FALSE)-$BL292/VLOOKUP(VLOOKUP($BJ292,坦克个性化设定!$B$18:$E$48,4,FALSE)&amp;$BK292,坦克属性分配比例,MATCH("升星次数",坦克属性分配比例标头,0),FALSE)*VLOOKUP($BJ292,$AR$3:$AY$33,MATCH("换弹时间",$AR$3:$AY$3,0),FALSE),1),0)</f>
        <v>0</v>
      </c>
      <c r="BX292" s="2">
        <f>ROUND(VLOOKUP($BJ292,$AI$3:$AO$33,MATCH(BX$3,$AI$3:$AO$3,0),FALSE)+$BL292/VLOOKUP(VLOOKUP($BJ292,坦克个性化设定!$B$18:$E$48,4,FALSE)&amp;$BK292,坦克属性分配比例,MATCH("升星次数",坦克属性分配比例标头,0),FALSE)*VLOOKUP($BJ292,$AR$3:$AY$33,MATCH(BX$3,$AR$3:$AY$3,0),FALSE),2)</f>
        <v>0</v>
      </c>
      <c r="BY292" s="2">
        <f>ROUND(VLOOKUP($BJ292,$AI$3:$AO$33,MATCH(BY$3,$AI$3:$AO$3,0),FALSE)-$BL292/VLOOKUP(VLOOKUP($BJ292,坦克个性化设定!$B$18:$E$48,4,FALSE)&amp;$BK292,坦克属性分配比例,MATCH("升星次数",坦克属性分配比例标头,0),FALSE)*VLOOKUP($BJ292,$AR$3:$AY$33,MATCH(BY$3,$AR$3:$AY$3,0),FALSE),2)</f>
        <v>2.64</v>
      </c>
    </row>
    <row r="293" spans="60:77" x14ac:dyDescent="0.3">
      <c r="BH293" s="2" t="str">
        <f t="shared" si="35"/>
        <v>T-329</v>
      </c>
      <c r="BI293" s="2">
        <f>IF(BL292&gt;=VLOOKUP(VLOOKUP(BJ292,坦克个性化设定!$B$18:$E$48,4,FALSE)&amp;BK292,坦克属性分配比例,MATCH("升星次数",坦克属性分配比例标头,0),FALSE),BI292+1,BI292)</f>
        <v>29</v>
      </c>
      <c r="BJ293" s="2" t="str">
        <f t="shared" si="36"/>
        <v>T-32</v>
      </c>
      <c r="BK293" s="29" t="str">
        <f>VLOOKUP(BJ293,坦克个性化细分!$I$3:$J$33,2,FALSE)</f>
        <v>高</v>
      </c>
      <c r="BL293" s="2">
        <f t="shared" si="37"/>
        <v>9</v>
      </c>
      <c r="BM293" s="103">
        <f ca="1">ROUND(VLOOKUP($BJ293&amp;"初始",$S$3:$AE$63,MATCH(BM$3,$S$3:$AE$3,0),FALSE)+((VLOOKUP($BJ293&amp;"最终",$S$3:$AE$63,MATCH(BM$3,$S$3:$AE$3,0),FALSE)*坦克个性化细分!$C$9-VLOOKUP($BJ293&amp;"初始",$S$3:$AE$63,MATCH(BM$3,$S$3:$AE$3,0),FALSE))-(VLOOKUP($BJ293&amp;"最终",$S$3:$AE$63,MATCH(BM$3,$S$3:$AE$3,0),FALSE)-VLOOKUP($BJ293&amp;"初始",$S$3:$AE$63,MATCH(BM$3,$S$3:$AE$3,0),FALSE))*VLOOKUP(VLOOKUP($BJ293,坦克个性化设定!$B$18:$E$48,4,FALSE)&amp;$BK293,坦克属性分配比例,MATCH("部件比例",坦克属性分配比例标头,0),FALSE))*$BL293/VLOOKUP(VLOOKUP($BJ293,坦克个性化设定!$B$18:$E$48,4,FALSE)&amp;$BK293,坦克属性分配比例,MATCH("升星次数",坦克属性分配比例标头,0),FALSE),0)</f>
        <v>2569</v>
      </c>
      <c r="BN293" s="103">
        <f ca="1">ROUND(VLOOKUP($BJ293&amp;"初始",$S$3:$AE$63,MATCH(BN$3,$S$3:$AE$3,0),FALSE)+(VLOOKUP($BJ293&amp;"最终",$S$3:$AE$63,MATCH(BN$3,$S$3:$AE$3,0),FALSE)-VLOOKUP($BJ293&amp;"初始",$S$3:$AE$63,MATCH(BN$3,$S$3:$AE$3,0),FALSE))*$BL293/VLOOKUP(VLOOKUP($BJ293,坦克个性化设定!$B$18:$E$48,4,FALSE)&amp;$BK293,坦克属性分配比例,MATCH("升星次数",坦克属性分配比例标头,0),FALSE)*VLOOKUP(VLOOKUP($BJ293,坦克个性化设定!$B$18:$E$48,4,FALSE)&amp;$BK293,坦克属性分配比例,MATCH("升星比例",坦克属性分配比例标头,0),FALSE),0)</f>
        <v>928</v>
      </c>
      <c r="BO293" s="103">
        <f ca="1">ROUND(VLOOKUP($BJ293&amp;"初始",$S$3:$AE$63,MATCH(BO$3,$S$3:$AE$3,0),FALSE)+(VLOOKUP($BJ293&amp;"最终",$S$3:$AE$63,MATCH(BO$3,$S$3:$AE$3,0),FALSE)-VLOOKUP($BJ293&amp;"初始",$S$3:$AE$63,MATCH(BO$3,$S$3:$AE$3,0),FALSE))*$BL293/VLOOKUP(VLOOKUP($BJ293,坦克个性化设定!$B$18:$E$48,4,FALSE)&amp;$BK293,坦克属性分配比例,MATCH("升星次数",坦克属性分配比例标头,0),FALSE)*(VLOOKUP(VLOOKUP($BJ293,坦克个性化设定!$B$18:$E$48,4,FALSE)&amp;$BK293,坦克属性分配比例,MATCH("升星比例",坦克属性分配比例标头,0),FALSE)+VLOOKUP(VLOOKUP($BJ293,坦克个性化设定!$B$18:$E$48,4,FALSE)&amp;$BK293,坦克属性分配比例,MATCH("部件比例",坦克属性分配比例标头,0),FALSE)*$C$3),0)</f>
        <v>844</v>
      </c>
      <c r="BP293" s="103">
        <f ca="1">ROUND(VLOOKUP($BJ293&amp;"初始",$S$3:$AE$63,MATCH(BP$3,$S$3:$AE$3,0),FALSE)+(VLOOKUP($BJ293&amp;"最终",$S$3:$AE$63,MATCH(BP$3,$S$3:$AE$3,0),FALSE)-VLOOKUP($BJ293&amp;"初始",$S$3:$AE$63,MATCH(BP$3,$S$3:$AE$3,0),FALSE))*$BL293/VLOOKUP(VLOOKUP($BJ293,坦克个性化设定!$B$18:$E$48,4,FALSE)&amp;$BK293,坦克属性分配比例,MATCH("升星次数",坦克属性分配比例标头,0),FALSE)*(VLOOKUP(VLOOKUP($BJ293,坦克个性化设定!$B$18:$E$48,4,FALSE)&amp;$BK293,坦克属性分配比例,MATCH("升星比例",坦克属性分配比例标头,0),FALSE)+VLOOKUP(VLOOKUP($BJ293,坦克个性化设定!$B$18:$E$48,4,FALSE)&amp;$BK293,坦克属性分配比例,MATCH("部件比例",坦克属性分配比例标头,0),FALSE)*$C$3),0)</f>
        <v>675</v>
      </c>
      <c r="BQ293" s="103">
        <f ca="1">ROUND(VLOOKUP($BJ293&amp;"初始",$S$3:$AE$63,MATCH(BQ$3,$S$3:$AE$3,0),FALSE)+(VLOOKUP($BJ293&amp;"最终",$S$3:$AE$63,MATCH(BQ$3,$S$3:$AE$3,0),FALSE)-VLOOKUP($BJ293&amp;"初始",$S$3:$AE$63,MATCH(BQ$3,$S$3:$AE$3,0),FALSE))*$BL293/VLOOKUP(VLOOKUP($BJ293,坦克个性化设定!$B$18:$E$48,4,FALSE)&amp;$BK293,坦克属性分配比例,MATCH("升星次数",坦克属性分配比例标头,0),FALSE)*VLOOKUP(VLOOKUP($BJ293,坦克个性化设定!$B$18:$E$48,4,FALSE)&amp;$BK293,坦克属性分配比例,MATCH("升星比例",坦克属性分配比例标头,0),FALSE),0)</f>
        <v>1033</v>
      </c>
      <c r="BR293" s="2">
        <f ca="1">ROUND(VLOOKUP($BJ293&amp;"初始",$S$3:$AE$63,MATCH(BR$3,$S$3:$AE$3,0),FALSE)+(VLOOKUP($BJ293&amp;"最终",$S$3:$AE$63,MATCH(BR$3,$S$3:$AE$3,0),FALSE)-VLOOKUP($BJ293&amp;"初始",$S$3:$AE$63,MATCH(BR$3,$S$3:$AE$3,0),FALSE))*$BL293/VLOOKUP(VLOOKUP($BJ293,坦克个性化设定!$B$18:$E$48,4,FALSE)&amp;$BK293,坦克属性分配比例,MATCH("升星次数",坦克属性分配比例标头,0),FALSE),0)</f>
        <v>278</v>
      </c>
      <c r="BS293" s="2">
        <f>ROUND(VLOOKUP($BJ293,$AI$3:$AO$33,MATCH(BS$3,$AI$3:$AO$3,0),FALSE)+$BL293/VLOOKUP(VLOOKUP($BJ293,坦克个性化设定!$B$18:$E$48,4,FALSE)&amp;$BK293,坦克属性分配比例,MATCH("升星次数",坦克属性分配比例标头,0),FALSE)*VLOOKUP($BJ293,$AR$3:$AY$33,MATCH(BS$3,$AR$3:$AY$3,0),FALSE),1)</f>
        <v>38.799999999999997</v>
      </c>
      <c r="BT293" s="2">
        <f>ROUND(VLOOKUP($BJ293,$AI$3:$AO$33,MATCH(BT$3,$AI$3:$AO$3,0),FALSE)+$BL293/VLOOKUP(VLOOKUP($BJ293,坦克个性化设定!$B$18:$E$48,4,FALSE)&amp;$BK293,坦克属性分配比例,MATCH("升星次数",坦克属性分配比例标头,0),FALSE)*VLOOKUP($BJ293,$AR$3:$AY$33,MATCH(BT$3,$AR$3:$AY$3,0),FALSE),1)</f>
        <v>44.3</v>
      </c>
      <c r="BU293" s="2">
        <f>ROUND(VLOOKUP($BJ293,$AI$3:$AO$33,MATCH(BU$3,$AI$3:$AO$3,0),FALSE)+$BL293/VLOOKUP(VLOOKUP($BJ293,坦克个性化设定!$B$18:$E$48,4,FALSE)&amp;$BK293,坦克属性分配比例,MATCH("升星次数",坦克属性分配比例标头,0),FALSE)*VLOOKUP($BJ293,$AR$3:$AY$33,MATCH(BU$3,$AR$3:$AY$3,0),FALSE),1)</f>
        <v>6.6</v>
      </c>
      <c r="BV293" s="2">
        <f>IF(VLOOKUP(BJ293,坦克个性化设定!$B$18:$BC$48,MATCH("装弹类型",坦克个性化设定!$B$18:$BC$18,0),FALSE)="弹夹换弹",0,ROUND(VLOOKUP($BJ293,$AI$3:$AO$33,MATCH("换弹时间",$AI$3:$AO$3,0),FALSE)-$BL293/VLOOKUP(VLOOKUP($BJ293,坦克个性化设定!$B$18:$E$48,4,FALSE)&amp;$BK293,坦克属性分配比例,MATCH("升星次数",坦克属性分配比例标头,0),FALSE)*VLOOKUP($BJ293,$AR$3:$AY$33,MATCH("换弹时间",$AR$3:$AY$3,0),FALSE),2))</f>
        <v>5.3</v>
      </c>
      <c r="BW293" s="2">
        <f>IF(VLOOKUP(BJ293,坦克个性化设定!$B$18:$BC$48,MATCH("装弹类型",坦克个性化设定!$B$18:$BC$18,0),FALSE)="弹夹换弹",ROUND(VLOOKUP($BJ293,$AI$3:$AO$33,MATCH("换弹时间",$AI$3:$AO$3,0),FALSE)-$BL293/VLOOKUP(VLOOKUP($BJ293,坦克个性化设定!$B$18:$E$48,4,FALSE)&amp;$BK293,坦克属性分配比例,MATCH("升星次数",坦克属性分配比例标头,0),FALSE)*VLOOKUP($BJ293,$AR$3:$AY$33,MATCH("换弹时间",$AR$3:$AY$3,0),FALSE),1),0)</f>
        <v>0</v>
      </c>
      <c r="BX293" s="2">
        <f>ROUND(VLOOKUP($BJ293,$AI$3:$AO$33,MATCH(BX$3,$AI$3:$AO$3,0),FALSE)+$BL293/VLOOKUP(VLOOKUP($BJ293,坦克个性化设定!$B$18:$E$48,4,FALSE)&amp;$BK293,坦克属性分配比例,MATCH("升星次数",坦克属性分配比例标头,0),FALSE)*VLOOKUP($BJ293,$AR$3:$AY$33,MATCH(BX$3,$AR$3:$AY$3,0),FALSE),2)</f>
        <v>0</v>
      </c>
      <c r="BY293" s="2">
        <f>ROUND(VLOOKUP($BJ293,$AI$3:$AO$33,MATCH(BY$3,$AI$3:$AO$3,0),FALSE)-$BL293/VLOOKUP(VLOOKUP($BJ293,坦克个性化设定!$B$18:$E$48,4,FALSE)&amp;$BK293,坦克属性分配比例,MATCH("升星次数",坦克属性分配比例标头,0),FALSE)*VLOOKUP($BJ293,$AR$3:$AY$33,MATCH(BY$3,$AR$3:$AY$3,0),FALSE),2)</f>
        <v>2.59</v>
      </c>
    </row>
    <row r="294" spans="60:77" x14ac:dyDescent="0.3">
      <c r="BH294" s="2" t="str">
        <f t="shared" si="35"/>
        <v>T-3210</v>
      </c>
      <c r="BI294" s="2">
        <f>IF(BL293&gt;=VLOOKUP(VLOOKUP(BJ293,坦克个性化设定!$B$18:$E$48,4,FALSE)&amp;BK293,坦克属性分配比例,MATCH("升星次数",坦克属性分配比例标头,0),FALSE),BI293+1,BI293)</f>
        <v>29</v>
      </c>
      <c r="BJ294" s="2" t="str">
        <f t="shared" si="36"/>
        <v>T-32</v>
      </c>
      <c r="BK294" s="29" t="str">
        <f>VLOOKUP(BJ294,坦克个性化细分!$I$3:$J$33,2,FALSE)</f>
        <v>高</v>
      </c>
      <c r="BL294" s="2">
        <f t="shared" si="37"/>
        <v>10</v>
      </c>
      <c r="BM294" s="103">
        <f ca="1">ROUND(VLOOKUP($BJ294&amp;"初始",$S$3:$AE$63,MATCH(BM$3,$S$3:$AE$3,0),FALSE)+((VLOOKUP($BJ294&amp;"最终",$S$3:$AE$63,MATCH(BM$3,$S$3:$AE$3,0),FALSE)*坦克个性化细分!$C$9-VLOOKUP($BJ294&amp;"初始",$S$3:$AE$63,MATCH(BM$3,$S$3:$AE$3,0),FALSE))-(VLOOKUP($BJ294&amp;"最终",$S$3:$AE$63,MATCH(BM$3,$S$3:$AE$3,0),FALSE)-VLOOKUP($BJ294&amp;"初始",$S$3:$AE$63,MATCH(BM$3,$S$3:$AE$3,0),FALSE))*VLOOKUP(VLOOKUP($BJ294,坦克个性化设定!$B$18:$E$48,4,FALSE)&amp;$BK294,坦克属性分配比例,MATCH("部件比例",坦克属性分配比例标头,0),FALSE))*$BL294/VLOOKUP(VLOOKUP($BJ294,坦克个性化设定!$B$18:$E$48,4,FALSE)&amp;$BK294,坦克属性分配比例,MATCH("升星次数",坦克属性分配比例标头,0),FALSE),0)</f>
        <v>2650</v>
      </c>
      <c r="BN294" s="103">
        <f ca="1">ROUND(VLOOKUP($BJ294&amp;"初始",$S$3:$AE$63,MATCH(BN$3,$S$3:$AE$3,0),FALSE)+(VLOOKUP($BJ294&amp;"最终",$S$3:$AE$63,MATCH(BN$3,$S$3:$AE$3,0),FALSE)-VLOOKUP($BJ294&amp;"初始",$S$3:$AE$63,MATCH(BN$3,$S$3:$AE$3,0),FALSE))*$BL294/VLOOKUP(VLOOKUP($BJ294,坦克个性化设定!$B$18:$E$48,4,FALSE)&amp;$BK294,坦克属性分配比例,MATCH("升星次数",坦克属性分配比例标头,0),FALSE)*VLOOKUP(VLOOKUP($BJ294,坦克个性化设定!$B$18:$E$48,4,FALSE)&amp;$BK294,坦克属性分配比例,MATCH("升星比例",坦克属性分配比例标头,0),FALSE),0)</f>
        <v>947</v>
      </c>
      <c r="BO294" s="103">
        <f ca="1">ROUND(VLOOKUP($BJ294&amp;"初始",$S$3:$AE$63,MATCH(BO$3,$S$3:$AE$3,0),FALSE)+(VLOOKUP($BJ294&amp;"最终",$S$3:$AE$63,MATCH(BO$3,$S$3:$AE$3,0),FALSE)-VLOOKUP($BJ294&amp;"初始",$S$3:$AE$63,MATCH(BO$3,$S$3:$AE$3,0),FALSE))*$BL294/VLOOKUP(VLOOKUP($BJ294,坦克个性化设定!$B$18:$E$48,4,FALSE)&amp;$BK294,坦克属性分配比例,MATCH("升星次数",坦克属性分配比例标头,0),FALSE)*(VLOOKUP(VLOOKUP($BJ294,坦克个性化设定!$B$18:$E$48,4,FALSE)&amp;$BK294,坦克属性分配比例,MATCH("升星比例",坦克属性分配比例标头,0),FALSE)+VLOOKUP(VLOOKUP($BJ294,坦克个性化设定!$B$18:$E$48,4,FALSE)&amp;$BK294,坦克属性分配比例,MATCH("部件比例",坦克属性分配比例标头,0),FALSE)*$C$3),0)</f>
        <v>868</v>
      </c>
      <c r="BP294" s="103">
        <f ca="1">ROUND(VLOOKUP($BJ294&amp;"初始",$S$3:$AE$63,MATCH(BP$3,$S$3:$AE$3,0),FALSE)+(VLOOKUP($BJ294&amp;"最终",$S$3:$AE$63,MATCH(BP$3,$S$3:$AE$3,0),FALSE)-VLOOKUP($BJ294&amp;"初始",$S$3:$AE$63,MATCH(BP$3,$S$3:$AE$3,0),FALSE))*$BL294/VLOOKUP(VLOOKUP($BJ294,坦克个性化设定!$B$18:$E$48,4,FALSE)&amp;$BK294,坦克属性分配比例,MATCH("升星次数",坦克属性分配比例标头,0),FALSE)*(VLOOKUP(VLOOKUP($BJ294,坦克个性化设定!$B$18:$E$48,4,FALSE)&amp;$BK294,坦克属性分配比例,MATCH("升星比例",坦克属性分配比例标头,0),FALSE)+VLOOKUP(VLOOKUP($BJ294,坦克个性化设定!$B$18:$E$48,4,FALSE)&amp;$BK294,坦克属性分配比例,MATCH("部件比例",坦克属性分配比例标头,0),FALSE)*$C$3),0)</f>
        <v>694</v>
      </c>
      <c r="BQ294" s="103">
        <f ca="1">ROUND(VLOOKUP($BJ294&amp;"初始",$S$3:$AE$63,MATCH(BQ$3,$S$3:$AE$3,0),FALSE)+(VLOOKUP($BJ294&amp;"最终",$S$3:$AE$63,MATCH(BQ$3,$S$3:$AE$3,0),FALSE)-VLOOKUP($BJ294&amp;"初始",$S$3:$AE$63,MATCH(BQ$3,$S$3:$AE$3,0),FALSE))*$BL294/VLOOKUP(VLOOKUP($BJ294,坦克个性化设定!$B$18:$E$48,4,FALSE)&amp;$BK294,坦克属性分配比例,MATCH("升星次数",坦克属性分配比例标头,0),FALSE)*VLOOKUP(VLOOKUP($BJ294,坦克个性化设定!$B$18:$E$48,4,FALSE)&amp;$BK294,坦克属性分配比例,MATCH("升星比例",坦克属性分配比例标头,0),FALSE),0)</f>
        <v>1054</v>
      </c>
      <c r="BR294" s="2">
        <f ca="1">ROUND(VLOOKUP($BJ294&amp;"初始",$S$3:$AE$63,MATCH(BR$3,$S$3:$AE$3,0),FALSE)+(VLOOKUP($BJ294&amp;"最终",$S$3:$AE$63,MATCH(BR$3,$S$3:$AE$3,0),FALSE)-VLOOKUP($BJ294&amp;"初始",$S$3:$AE$63,MATCH(BR$3,$S$3:$AE$3,0),FALSE))*$BL294/VLOOKUP(VLOOKUP($BJ294,坦克个性化设定!$B$18:$E$48,4,FALSE)&amp;$BK294,坦克属性分配比例,MATCH("升星次数",坦克属性分配比例标头,0),FALSE),0)</f>
        <v>287</v>
      </c>
      <c r="BS294" s="2">
        <f>ROUND(VLOOKUP($BJ294,$AI$3:$AO$33,MATCH(BS$3,$AI$3:$AO$3,0),FALSE)+$BL294/VLOOKUP(VLOOKUP($BJ294,坦克个性化设定!$B$18:$E$48,4,FALSE)&amp;$BK294,坦克属性分配比例,MATCH("升星次数",坦克属性分配比例标头,0),FALSE)*VLOOKUP($BJ294,$AR$3:$AY$33,MATCH(BS$3,$AR$3:$AY$3,0),FALSE),1)</f>
        <v>39.5</v>
      </c>
      <c r="BT294" s="2">
        <f>ROUND(VLOOKUP($BJ294,$AI$3:$AO$33,MATCH(BT$3,$AI$3:$AO$3,0),FALSE)+$BL294/VLOOKUP(VLOOKUP($BJ294,坦克个性化设定!$B$18:$E$48,4,FALSE)&amp;$BK294,坦克属性分配比例,MATCH("升星次数",坦克属性分配比例标头,0),FALSE)*VLOOKUP($BJ294,$AR$3:$AY$33,MATCH(BT$3,$AR$3:$AY$3,0),FALSE),1)</f>
        <v>45.2</v>
      </c>
      <c r="BU294" s="2">
        <f>ROUND(VLOOKUP($BJ294,$AI$3:$AO$33,MATCH(BU$3,$AI$3:$AO$3,0),FALSE)+$BL294/VLOOKUP(VLOOKUP($BJ294,坦克个性化设定!$B$18:$E$48,4,FALSE)&amp;$BK294,坦克属性分配比例,MATCH("升星次数",坦克属性分配比例标头,0),FALSE)*VLOOKUP($BJ294,$AR$3:$AY$33,MATCH(BU$3,$AR$3:$AY$3,0),FALSE),1)</f>
        <v>6.6</v>
      </c>
      <c r="BV294" s="2">
        <f>IF(VLOOKUP(BJ294,坦克个性化设定!$B$18:$BC$48,MATCH("装弹类型",坦克个性化设定!$B$18:$BC$18,0),FALSE)="弹夹换弹",0,ROUND(VLOOKUP($BJ294,$AI$3:$AO$33,MATCH("换弹时间",$AI$3:$AO$3,0),FALSE)-$BL294/VLOOKUP(VLOOKUP($BJ294,坦克个性化设定!$B$18:$E$48,4,FALSE)&amp;$BK294,坦克属性分配比例,MATCH("升星次数",坦克属性分配比例标头,0),FALSE)*VLOOKUP($BJ294,$AR$3:$AY$33,MATCH("换弹时间",$AR$3:$AY$3,0),FALSE),2))</f>
        <v>5.23</v>
      </c>
      <c r="BW294" s="2">
        <f>IF(VLOOKUP(BJ294,坦克个性化设定!$B$18:$BC$48,MATCH("装弹类型",坦克个性化设定!$B$18:$BC$18,0),FALSE)="弹夹换弹",ROUND(VLOOKUP($BJ294,$AI$3:$AO$33,MATCH("换弹时间",$AI$3:$AO$3,0),FALSE)-$BL294/VLOOKUP(VLOOKUP($BJ294,坦克个性化设定!$B$18:$E$48,4,FALSE)&amp;$BK294,坦克属性分配比例,MATCH("升星次数",坦克属性分配比例标头,0),FALSE)*VLOOKUP($BJ294,$AR$3:$AY$33,MATCH("换弹时间",$AR$3:$AY$3,0),FALSE),1),0)</f>
        <v>0</v>
      </c>
      <c r="BX294" s="2">
        <f>ROUND(VLOOKUP($BJ294,$AI$3:$AO$33,MATCH(BX$3,$AI$3:$AO$3,0),FALSE)+$BL294/VLOOKUP(VLOOKUP($BJ294,坦克个性化设定!$B$18:$E$48,4,FALSE)&amp;$BK294,坦克属性分配比例,MATCH("升星次数",坦克属性分配比例标头,0),FALSE)*VLOOKUP($BJ294,$AR$3:$AY$33,MATCH(BX$3,$AR$3:$AY$3,0),FALSE),2)</f>
        <v>0</v>
      </c>
      <c r="BY294" s="2">
        <f>ROUND(VLOOKUP($BJ294,$AI$3:$AO$33,MATCH(BY$3,$AI$3:$AO$3,0),FALSE)-$BL294/VLOOKUP(VLOOKUP($BJ294,坦克个性化设定!$B$18:$E$48,4,FALSE)&amp;$BK294,坦克属性分配比例,MATCH("升星次数",坦克属性分配比例标头,0),FALSE)*VLOOKUP($BJ294,$AR$3:$AY$33,MATCH(BY$3,$AR$3:$AY$3,0),FALSE),2)</f>
        <v>2.5499999999999998</v>
      </c>
    </row>
    <row r="295" spans="60:77" x14ac:dyDescent="0.3">
      <c r="BH295" s="2" t="str">
        <f t="shared" si="35"/>
        <v>T-3211</v>
      </c>
      <c r="BI295" s="2">
        <f>IF(BL294&gt;=VLOOKUP(VLOOKUP(BJ294,坦克个性化设定!$B$18:$E$48,4,FALSE)&amp;BK294,坦克属性分配比例,MATCH("升星次数",坦克属性分配比例标头,0),FALSE),BI294+1,BI294)</f>
        <v>29</v>
      </c>
      <c r="BJ295" s="2" t="str">
        <f t="shared" si="36"/>
        <v>T-32</v>
      </c>
      <c r="BK295" s="29" t="str">
        <f>VLOOKUP(BJ295,坦克个性化细分!$I$3:$J$33,2,FALSE)</f>
        <v>高</v>
      </c>
      <c r="BL295" s="2">
        <f t="shared" si="37"/>
        <v>11</v>
      </c>
      <c r="BM295" s="103">
        <f ca="1">ROUND(VLOOKUP($BJ295&amp;"初始",$S$3:$AE$63,MATCH(BM$3,$S$3:$AE$3,0),FALSE)+((VLOOKUP($BJ295&amp;"最终",$S$3:$AE$63,MATCH(BM$3,$S$3:$AE$3,0),FALSE)*坦克个性化细分!$C$9-VLOOKUP($BJ295&amp;"初始",$S$3:$AE$63,MATCH(BM$3,$S$3:$AE$3,0),FALSE))-(VLOOKUP($BJ295&amp;"最终",$S$3:$AE$63,MATCH(BM$3,$S$3:$AE$3,0),FALSE)-VLOOKUP($BJ295&amp;"初始",$S$3:$AE$63,MATCH(BM$3,$S$3:$AE$3,0),FALSE))*VLOOKUP(VLOOKUP($BJ295,坦克个性化设定!$B$18:$E$48,4,FALSE)&amp;$BK295,坦克属性分配比例,MATCH("部件比例",坦克属性分配比例标头,0),FALSE))*$BL295/VLOOKUP(VLOOKUP($BJ295,坦克个性化设定!$B$18:$E$48,4,FALSE)&amp;$BK295,坦克属性分配比例,MATCH("升星次数",坦克属性分配比例标头,0),FALSE),0)</f>
        <v>2731</v>
      </c>
      <c r="BN295" s="103">
        <f ca="1">ROUND(VLOOKUP($BJ295&amp;"初始",$S$3:$AE$63,MATCH(BN$3,$S$3:$AE$3,0),FALSE)+(VLOOKUP($BJ295&amp;"最终",$S$3:$AE$63,MATCH(BN$3,$S$3:$AE$3,0),FALSE)-VLOOKUP($BJ295&amp;"初始",$S$3:$AE$63,MATCH(BN$3,$S$3:$AE$3,0),FALSE))*$BL295/VLOOKUP(VLOOKUP($BJ295,坦克个性化设定!$B$18:$E$48,4,FALSE)&amp;$BK295,坦克属性分配比例,MATCH("升星次数",坦克属性分配比例标头,0),FALSE)*VLOOKUP(VLOOKUP($BJ295,坦克个性化设定!$B$18:$E$48,4,FALSE)&amp;$BK295,坦克属性分配比例,MATCH("升星比例",坦克属性分配比例标头,0),FALSE),0)</f>
        <v>966</v>
      </c>
      <c r="BO295" s="103">
        <f ca="1">ROUND(VLOOKUP($BJ295&amp;"初始",$S$3:$AE$63,MATCH(BO$3,$S$3:$AE$3,0),FALSE)+(VLOOKUP($BJ295&amp;"最终",$S$3:$AE$63,MATCH(BO$3,$S$3:$AE$3,0),FALSE)-VLOOKUP($BJ295&amp;"初始",$S$3:$AE$63,MATCH(BO$3,$S$3:$AE$3,0),FALSE))*$BL295/VLOOKUP(VLOOKUP($BJ295,坦克个性化设定!$B$18:$E$48,4,FALSE)&amp;$BK295,坦克属性分配比例,MATCH("升星次数",坦克属性分配比例标头,0),FALSE)*(VLOOKUP(VLOOKUP($BJ295,坦克个性化设定!$B$18:$E$48,4,FALSE)&amp;$BK295,坦克属性分配比例,MATCH("升星比例",坦克属性分配比例标头,0),FALSE)+VLOOKUP(VLOOKUP($BJ295,坦克个性化设定!$B$18:$E$48,4,FALSE)&amp;$BK295,坦克属性分配比例,MATCH("部件比例",坦克属性分配比例标头,0),FALSE)*$C$3),0)</f>
        <v>891</v>
      </c>
      <c r="BP295" s="103">
        <f ca="1">ROUND(VLOOKUP($BJ295&amp;"初始",$S$3:$AE$63,MATCH(BP$3,$S$3:$AE$3,0),FALSE)+(VLOOKUP($BJ295&amp;"最终",$S$3:$AE$63,MATCH(BP$3,$S$3:$AE$3,0),FALSE)-VLOOKUP($BJ295&amp;"初始",$S$3:$AE$63,MATCH(BP$3,$S$3:$AE$3,0),FALSE))*$BL295/VLOOKUP(VLOOKUP($BJ295,坦克个性化设定!$B$18:$E$48,4,FALSE)&amp;$BK295,坦克属性分配比例,MATCH("升星次数",坦克属性分配比例标头,0),FALSE)*(VLOOKUP(VLOOKUP($BJ295,坦克个性化设定!$B$18:$E$48,4,FALSE)&amp;$BK295,坦克属性分配比例,MATCH("升星比例",坦克属性分配比例标头,0),FALSE)+VLOOKUP(VLOOKUP($BJ295,坦克个性化设定!$B$18:$E$48,4,FALSE)&amp;$BK295,坦克属性分配比例,MATCH("部件比例",坦克属性分配比例标头,0),FALSE)*$C$3),0)</f>
        <v>713</v>
      </c>
      <c r="BQ295" s="103">
        <f ca="1">ROUND(VLOOKUP($BJ295&amp;"初始",$S$3:$AE$63,MATCH(BQ$3,$S$3:$AE$3,0),FALSE)+(VLOOKUP($BJ295&amp;"最终",$S$3:$AE$63,MATCH(BQ$3,$S$3:$AE$3,0),FALSE)-VLOOKUP($BJ295&amp;"初始",$S$3:$AE$63,MATCH(BQ$3,$S$3:$AE$3,0),FALSE))*$BL295/VLOOKUP(VLOOKUP($BJ295,坦克个性化设定!$B$18:$E$48,4,FALSE)&amp;$BK295,坦克属性分配比例,MATCH("升星次数",坦克属性分配比例标头,0),FALSE)*VLOOKUP(VLOOKUP($BJ295,坦克个性化设定!$B$18:$E$48,4,FALSE)&amp;$BK295,坦克属性分配比例,MATCH("升星比例",坦克属性分配比例标头,0),FALSE),0)</f>
        <v>1075</v>
      </c>
      <c r="BR295" s="2">
        <f ca="1">ROUND(VLOOKUP($BJ295&amp;"初始",$S$3:$AE$63,MATCH(BR$3,$S$3:$AE$3,0),FALSE)+(VLOOKUP($BJ295&amp;"最终",$S$3:$AE$63,MATCH(BR$3,$S$3:$AE$3,0),FALSE)-VLOOKUP($BJ295&amp;"初始",$S$3:$AE$63,MATCH(BR$3,$S$3:$AE$3,0),FALSE))*$BL295/VLOOKUP(VLOOKUP($BJ295,坦克个性化设定!$B$18:$E$48,4,FALSE)&amp;$BK295,坦克属性分配比例,MATCH("升星次数",坦克属性分配比例标头,0),FALSE),0)</f>
        <v>296</v>
      </c>
      <c r="BS295" s="2">
        <f>ROUND(VLOOKUP($BJ295,$AI$3:$AO$33,MATCH(BS$3,$AI$3:$AO$3,0),FALSE)+$BL295/VLOOKUP(VLOOKUP($BJ295,坦克个性化设定!$B$18:$E$48,4,FALSE)&amp;$BK295,坦克属性分配比例,MATCH("升星次数",坦克属性分配比例标头,0),FALSE)*VLOOKUP($BJ295,$AR$3:$AY$33,MATCH(BS$3,$AR$3:$AY$3,0),FALSE),1)</f>
        <v>40.299999999999997</v>
      </c>
      <c r="BT295" s="2">
        <f>ROUND(VLOOKUP($BJ295,$AI$3:$AO$33,MATCH(BT$3,$AI$3:$AO$3,0),FALSE)+$BL295/VLOOKUP(VLOOKUP($BJ295,坦克个性化设定!$B$18:$E$48,4,FALSE)&amp;$BK295,坦克属性分配比例,MATCH("升星次数",坦克属性分配比例标头,0),FALSE)*VLOOKUP($BJ295,$AR$3:$AY$33,MATCH(BT$3,$AR$3:$AY$3,0),FALSE),1)</f>
        <v>46</v>
      </c>
      <c r="BU295" s="2">
        <f>ROUND(VLOOKUP($BJ295,$AI$3:$AO$33,MATCH(BU$3,$AI$3:$AO$3,0),FALSE)+$BL295/VLOOKUP(VLOOKUP($BJ295,坦克个性化设定!$B$18:$E$48,4,FALSE)&amp;$BK295,坦克属性分配比例,MATCH("升星次数",坦克属性分配比例标头,0),FALSE)*VLOOKUP($BJ295,$AR$3:$AY$33,MATCH(BU$3,$AR$3:$AY$3,0),FALSE),1)</f>
        <v>6.6</v>
      </c>
      <c r="BV295" s="2">
        <f>IF(VLOOKUP(BJ295,坦克个性化设定!$B$18:$BC$48,MATCH("装弹类型",坦克个性化设定!$B$18:$BC$18,0),FALSE)="弹夹换弹",0,ROUND(VLOOKUP($BJ295,$AI$3:$AO$33,MATCH("换弹时间",$AI$3:$AO$3,0),FALSE)-$BL295/VLOOKUP(VLOOKUP($BJ295,坦克个性化设定!$B$18:$E$48,4,FALSE)&amp;$BK295,坦克属性分配比例,MATCH("升星次数",坦克属性分配比例标头,0),FALSE)*VLOOKUP($BJ295,$AR$3:$AY$33,MATCH("换弹时间",$AR$3:$AY$3,0),FALSE),2))</f>
        <v>5.15</v>
      </c>
      <c r="BW295" s="2">
        <f>IF(VLOOKUP(BJ295,坦克个性化设定!$B$18:$BC$48,MATCH("装弹类型",坦克个性化设定!$B$18:$BC$18,0),FALSE)="弹夹换弹",ROUND(VLOOKUP($BJ295,$AI$3:$AO$33,MATCH("换弹时间",$AI$3:$AO$3,0),FALSE)-$BL295/VLOOKUP(VLOOKUP($BJ295,坦克个性化设定!$B$18:$E$48,4,FALSE)&amp;$BK295,坦克属性分配比例,MATCH("升星次数",坦克属性分配比例标头,0),FALSE)*VLOOKUP($BJ295,$AR$3:$AY$33,MATCH("换弹时间",$AR$3:$AY$3,0),FALSE),1),0)</f>
        <v>0</v>
      </c>
      <c r="BX295" s="2">
        <f>ROUND(VLOOKUP($BJ295,$AI$3:$AO$33,MATCH(BX$3,$AI$3:$AO$3,0),FALSE)+$BL295/VLOOKUP(VLOOKUP($BJ295,坦克个性化设定!$B$18:$E$48,4,FALSE)&amp;$BK295,坦克属性分配比例,MATCH("升星次数",坦克属性分配比例标头,0),FALSE)*VLOOKUP($BJ295,$AR$3:$AY$33,MATCH(BX$3,$AR$3:$AY$3,0),FALSE),2)</f>
        <v>0</v>
      </c>
      <c r="BY295" s="2">
        <f>ROUND(VLOOKUP($BJ295,$AI$3:$AO$33,MATCH(BY$3,$AI$3:$AO$3,0),FALSE)-$BL295/VLOOKUP(VLOOKUP($BJ295,坦克个性化设定!$B$18:$E$48,4,FALSE)&amp;$BK295,坦克属性分配比例,MATCH("升星次数",坦克属性分配比例标头,0),FALSE)*VLOOKUP($BJ295,$AR$3:$AY$33,MATCH(BY$3,$AR$3:$AY$3,0),FALSE),2)</f>
        <v>2.5</v>
      </c>
    </row>
    <row r="296" spans="60:77" x14ac:dyDescent="0.3">
      <c r="BH296" s="2" t="str">
        <f t="shared" si="35"/>
        <v>M1A20</v>
      </c>
      <c r="BI296" s="2">
        <f>IF(BL295&gt;=VLOOKUP(VLOOKUP(BJ295,坦克个性化设定!$B$18:$E$48,4,FALSE)&amp;BK295,坦克属性分配比例,MATCH("升星次数",坦克属性分配比例标头,0),FALSE),BI295+1,BI295)</f>
        <v>30</v>
      </c>
      <c r="BJ296" s="2" t="str">
        <f t="shared" si="36"/>
        <v>M1A2</v>
      </c>
      <c r="BK296" s="29" t="str">
        <f>VLOOKUP(BJ296,坦克个性化细分!$I$3:$J$33,2,FALSE)</f>
        <v>低</v>
      </c>
      <c r="BL296" s="2">
        <f t="shared" si="37"/>
        <v>0</v>
      </c>
      <c r="BM296" s="103">
        <f ca="1">ROUND(VLOOKUP($BJ296&amp;"初始",$S$3:$AE$63,MATCH(BM$3,$S$3:$AE$3,0),FALSE)+((VLOOKUP($BJ296&amp;"最终",$S$3:$AE$63,MATCH(BM$3,$S$3:$AE$3,0),FALSE)*坦克个性化细分!$C$9-VLOOKUP($BJ296&amp;"初始",$S$3:$AE$63,MATCH(BM$3,$S$3:$AE$3,0),FALSE))-(VLOOKUP($BJ296&amp;"最终",$S$3:$AE$63,MATCH(BM$3,$S$3:$AE$3,0),FALSE)-VLOOKUP($BJ296&amp;"初始",$S$3:$AE$63,MATCH(BM$3,$S$3:$AE$3,0),FALSE))*VLOOKUP(VLOOKUP($BJ296,坦克个性化设定!$B$18:$E$48,4,FALSE)&amp;$BK296,坦克属性分配比例,MATCH("部件比例",坦克属性分配比例标头,0),FALSE))*$BL296/VLOOKUP(VLOOKUP($BJ296,坦克个性化设定!$B$18:$E$48,4,FALSE)&amp;$BK296,坦克属性分配比例,MATCH("升星次数",坦克属性分配比例标头,0),FALSE),0)</f>
        <v>2618</v>
      </c>
      <c r="BN296" s="103">
        <f ca="1">ROUND(VLOOKUP($BJ296&amp;"初始",$S$3:$AE$63,MATCH(BN$3,$S$3:$AE$3,0),FALSE)+(VLOOKUP($BJ296&amp;"最终",$S$3:$AE$63,MATCH(BN$3,$S$3:$AE$3,0),FALSE)-VLOOKUP($BJ296&amp;"初始",$S$3:$AE$63,MATCH(BN$3,$S$3:$AE$3,0),FALSE))*$BL296/VLOOKUP(VLOOKUP($BJ296,坦克个性化设定!$B$18:$E$48,4,FALSE)&amp;$BK296,坦克属性分配比例,MATCH("升星次数",坦克属性分配比例标头,0),FALSE)*VLOOKUP(VLOOKUP($BJ296,坦克个性化设定!$B$18:$E$48,4,FALSE)&amp;$BK296,坦克属性分配比例,MATCH("升星比例",坦克属性分配比例标头,0),FALSE),0)</f>
        <v>841</v>
      </c>
      <c r="BO296" s="103">
        <f ca="1">ROUND(VLOOKUP($BJ296&amp;"初始",$S$3:$AE$63,MATCH(BO$3,$S$3:$AE$3,0),FALSE)+(VLOOKUP($BJ296&amp;"最终",$S$3:$AE$63,MATCH(BO$3,$S$3:$AE$3,0),FALSE)-VLOOKUP($BJ296&amp;"初始",$S$3:$AE$63,MATCH(BO$3,$S$3:$AE$3,0),FALSE))*$BL296/VLOOKUP(VLOOKUP($BJ296,坦克个性化设定!$B$18:$E$48,4,FALSE)&amp;$BK296,坦克属性分配比例,MATCH("升星次数",坦克属性分配比例标头,0),FALSE)*(VLOOKUP(VLOOKUP($BJ296,坦克个性化设定!$B$18:$E$48,4,FALSE)&amp;$BK296,坦克属性分配比例,MATCH("升星比例",坦克属性分配比例标头,0),FALSE)+VLOOKUP(VLOOKUP($BJ296,坦克个性化设定!$B$18:$E$48,4,FALSE)&amp;$BK296,坦克属性分配比例,MATCH("部件比例",坦克属性分配比例标头,0),FALSE)*$C$3),0)</f>
        <v>792</v>
      </c>
      <c r="BP296" s="103">
        <f ca="1">ROUND(VLOOKUP($BJ296&amp;"初始",$S$3:$AE$63,MATCH(BP$3,$S$3:$AE$3,0),FALSE)+(VLOOKUP($BJ296&amp;"最终",$S$3:$AE$63,MATCH(BP$3,$S$3:$AE$3,0),FALSE)-VLOOKUP($BJ296&amp;"初始",$S$3:$AE$63,MATCH(BP$3,$S$3:$AE$3,0),FALSE))*$BL296/VLOOKUP(VLOOKUP($BJ296,坦克个性化设定!$B$18:$E$48,4,FALSE)&amp;$BK296,坦克属性分配比例,MATCH("升星次数",坦克属性分配比例标头,0),FALSE)*(VLOOKUP(VLOOKUP($BJ296,坦克个性化设定!$B$18:$E$48,4,FALSE)&amp;$BK296,坦克属性分配比例,MATCH("升星比例",坦克属性分配比例标头,0),FALSE)+VLOOKUP(VLOOKUP($BJ296,坦克个性化设定!$B$18:$E$48,4,FALSE)&amp;$BK296,坦克属性分配比例,MATCH("部件比例",坦克属性分配比例标头,0),FALSE)*$C$3),0)</f>
        <v>634</v>
      </c>
      <c r="BQ296" s="103">
        <f ca="1">ROUND(VLOOKUP($BJ296&amp;"初始",$S$3:$AE$63,MATCH(BQ$3,$S$3:$AE$3,0),FALSE)+(VLOOKUP($BJ296&amp;"最终",$S$3:$AE$63,MATCH(BQ$3,$S$3:$AE$3,0),FALSE)-VLOOKUP($BJ296&amp;"初始",$S$3:$AE$63,MATCH(BQ$3,$S$3:$AE$3,0),FALSE))*$BL296/VLOOKUP(VLOOKUP($BJ296,坦克个性化设定!$B$18:$E$48,4,FALSE)&amp;$BK296,坦克属性分配比例,MATCH("升星次数",坦克属性分配比例标头,0),FALSE)*VLOOKUP(VLOOKUP($BJ296,坦克个性化设定!$B$18:$E$48,4,FALSE)&amp;$BK296,坦克属性分配比例,MATCH("升星比例",坦克属性分配比例标头,0),FALSE),0)</f>
        <v>1058</v>
      </c>
      <c r="BR296" s="2">
        <f ca="1">ROUND(VLOOKUP($BJ296&amp;"初始",$S$3:$AE$63,MATCH(BR$3,$S$3:$AE$3,0),FALSE)+(VLOOKUP($BJ296&amp;"最终",$S$3:$AE$63,MATCH(BR$3,$S$3:$AE$3,0),FALSE)-VLOOKUP($BJ296&amp;"初始",$S$3:$AE$63,MATCH(BR$3,$S$3:$AE$3,0),FALSE))*$BL296/VLOOKUP(VLOOKUP($BJ296,坦克个性化设定!$B$18:$E$48,4,FALSE)&amp;$BK296,坦克属性分配比例,MATCH("升星次数",坦克属性分配比例标头,0),FALSE),0)</f>
        <v>247</v>
      </c>
      <c r="BS296" s="2">
        <f>ROUND(VLOOKUP($BJ296,$AI$3:$AO$33,MATCH(BS$3,$AI$3:$AO$3,0),FALSE)+$BL296/VLOOKUP(VLOOKUP($BJ296,坦克个性化设定!$B$18:$E$48,4,FALSE)&amp;$BK296,坦克属性分配比例,MATCH("升星次数",坦克属性分配比例标头,0),FALSE)*VLOOKUP($BJ296,$AR$3:$AY$33,MATCH(BS$3,$AR$3:$AY$3,0),FALSE),1)</f>
        <v>30.7</v>
      </c>
      <c r="BT296" s="2">
        <f>ROUND(VLOOKUP($BJ296,$AI$3:$AO$33,MATCH(BT$3,$AI$3:$AO$3,0),FALSE)+$BL296/VLOOKUP(VLOOKUP($BJ296,坦克个性化设定!$B$18:$E$48,4,FALSE)&amp;$BK296,坦克属性分配比例,MATCH("升星次数",坦克属性分配比例标头,0),FALSE)*VLOOKUP($BJ296,$AR$3:$AY$33,MATCH(BT$3,$AR$3:$AY$3,0),FALSE),1)</f>
        <v>35</v>
      </c>
      <c r="BU296" s="2">
        <f>ROUND(VLOOKUP($BJ296,$AI$3:$AO$33,MATCH(BU$3,$AI$3:$AO$3,0),FALSE)+$BL296/VLOOKUP(VLOOKUP($BJ296,坦克个性化设定!$B$18:$E$48,4,FALSE)&amp;$BK296,坦克属性分配比例,MATCH("升星次数",坦克属性分配比例标头,0),FALSE)*VLOOKUP($BJ296,$AR$3:$AY$33,MATCH(BU$3,$AR$3:$AY$3,0),FALSE),1)</f>
        <v>6.3</v>
      </c>
      <c r="BV296" s="2">
        <f>IF(VLOOKUP(BJ296,坦克个性化设定!$B$18:$BC$48,MATCH("装弹类型",坦克个性化设定!$B$18:$BC$18,0),FALSE)="弹夹换弹",0,ROUND(VLOOKUP($BJ296,$AI$3:$AO$33,MATCH("换弹时间",$AI$3:$AO$3,0),FALSE)-$BL296/VLOOKUP(VLOOKUP($BJ296,坦克个性化设定!$B$18:$E$48,4,FALSE)&amp;$BK296,坦克属性分配比例,MATCH("升星次数",坦克属性分配比例标头,0),FALSE)*VLOOKUP($BJ296,$AR$3:$AY$33,MATCH("换弹时间",$AR$3:$AY$3,0),FALSE),2))</f>
        <v>6</v>
      </c>
      <c r="BW296" s="2">
        <f>IF(VLOOKUP(BJ296,坦克个性化设定!$B$18:$BC$48,MATCH("装弹类型",坦克个性化设定!$B$18:$BC$18,0),FALSE)="弹夹换弹",ROUND(VLOOKUP($BJ296,$AI$3:$AO$33,MATCH("换弹时间",$AI$3:$AO$3,0),FALSE)-$BL296/VLOOKUP(VLOOKUP($BJ296,坦克个性化设定!$B$18:$E$48,4,FALSE)&amp;$BK296,坦克属性分配比例,MATCH("升星次数",坦克属性分配比例标头,0),FALSE)*VLOOKUP($BJ296,$AR$3:$AY$33,MATCH("换弹时间",$AR$3:$AY$3,0),FALSE),1),0)</f>
        <v>0</v>
      </c>
      <c r="BX296" s="2">
        <f>ROUND(VLOOKUP($BJ296,$AI$3:$AO$33,MATCH(BX$3,$AI$3:$AO$3,0),FALSE)+$BL296/VLOOKUP(VLOOKUP($BJ296,坦克个性化设定!$B$18:$E$48,4,FALSE)&amp;$BK296,坦克属性分配比例,MATCH("升星次数",坦克属性分配比例标头,0),FALSE)*VLOOKUP($BJ296,$AR$3:$AY$33,MATCH(BX$3,$AR$3:$AY$3,0),FALSE),2)</f>
        <v>0</v>
      </c>
      <c r="BY296" s="2">
        <f>ROUND(VLOOKUP($BJ296,$AI$3:$AO$33,MATCH(BY$3,$AI$3:$AO$3,0),FALSE)-$BL296/VLOOKUP(VLOOKUP($BJ296,坦克个性化设定!$B$18:$E$48,4,FALSE)&amp;$BK296,坦克属性分配比例,MATCH("升星次数",坦克属性分配比例标头,0),FALSE)*VLOOKUP($BJ296,$AR$3:$AY$33,MATCH(BY$3,$AR$3:$AY$3,0),FALSE),2)</f>
        <v>3</v>
      </c>
    </row>
    <row r="297" spans="60:77" x14ac:dyDescent="0.3">
      <c r="BH297" s="2" t="str">
        <f t="shared" si="35"/>
        <v>M1A21</v>
      </c>
      <c r="BI297" s="2">
        <f>IF(BL296&gt;=VLOOKUP(VLOOKUP(BJ296,坦克个性化设定!$B$18:$E$48,4,FALSE)&amp;BK296,坦克属性分配比例,MATCH("升星次数",坦克属性分配比例标头,0),FALSE),BI296+1,BI296)</f>
        <v>30</v>
      </c>
      <c r="BJ297" s="2" t="str">
        <f t="shared" si="36"/>
        <v>M1A2</v>
      </c>
      <c r="BK297" s="29" t="str">
        <f>VLOOKUP(BJ297,坦克个性化细分!$I$3:$J$33,2,FALSE)</f>
        <v>低</v>
      </c>
      <c r="BL297" s="2">
        <f t="shared" si="37"/>
        <v>1</v>
      </c>
      <c r="BM297" s="103">
        <f ca="1">ROUND(VLOOKUP($BJ297&amp;"初始",$S$3:$AE$63,MATCH(BM$3,$S$3:$AE$3,0),FALSE)+((VLOOKUP($BJ297&amp;"最终",$S$3:$AE$63,MATCH(BM$3,$S$3:$AE$3,0),FALSE)*坦克个性化细分!$C$9-VLOOKUP($BJ297&amp;"初始",$S$3:$AE$63,MATCH(BM$3,$S$3:$AE$3,0),FALSE))-(VLOOKUP($BJ297&amp;"最终",$S$3:$AE$63,MATCH(BM$3,$S$3:$AE$3,0),FALSE)-VLOOKUP($BJ297&amp;"初始",$S$3:$AE$63,MATCH(BM$3,$S$3:$AE$3,0),FALSE))*VLOOKUP(VLOOKUP($BJ297,坦克个性化设定!$B$18:$E$48,4,FALSE)&amp;$BK297,坦克属性分配比例,MATCH("部件比例",坦克属性分配比例标头,0),FALSE))*$BL297/VLOOKUP(VLOOKUP($BJ297,坦克个性化设定!$B$18:$E$48,4,FALSE)&amp;$BK297,坦克属性分配比例,MATCH("升星次数",坦克属性分配比例标头,0),FALSE),0)</f>
        <v>2704</v>
      </c>
      <c r="BN297" s="103">
        <f ca="1">ROUND(VLOOKUP($BJ297&amp;"初始",$S$3:$AE$63,MATCH(BN$3,$S$3:$AE$3,0),FALSE)+(VLOOKUP($BJ297&amp;"最终",$S$3:$AE$63,MATCH(BN$3,$S$3:$AE$3,0),FALSE)-VLOOKUP($BJ297&amp;"初始",$S$3:$AE$63,MATCH(BN$3,$S$3:$AE$3,0),FALSE))*$BL297/VLOOKUP(VLOOKUP($BJ297,坦克个性化设定!$B$18:$E$48,4,FALSE)&amp;$BK297,坦克属性分配比例,MATCH("升星次数",坦克属性分配比例标头,0),FALSE)*VLOOKUP(VLOOKUP($BJ297,坦克个性化设定!$B$18:$E$48,4,FALSE)&amp;$BK297,坦克属性分配比例,MATCH("升星比例",坦克属性分配比例标头,0),FALSE),0)</f>
        <v>855</v>
      </c>
      <c r="BO297" s="103">
        <f ca="1">ROUND(VLOOKUP($BJ297&amp;"初始",$S$3:$AE$63,MATCH(BO$3,$S$3:$AE$3,0),FALSE)+(VLOOKUP($BJ297&amp;"最终",$S$3:$AE$63,MATCH(BO$3,$S$3:$AE$3,0),FALSE)-VLOOKUP($BJ297&amp;"初始",$S$3:$AE$63,MATCH(BO$3,$S$3:$AE$3,0),FALSE))*$BL297/VLOOKUP(VLOOKUP($BJ297,坦克个性化设定!$B$18:$E$48,4,FALSE)&amp;$BK297,坦克属性分配比例,MATCH("升星次数",坦克属性分配比例标头,0),FALSE)*(VLOOKUP(VLOOKUP($BJ297,坦克个性化设定!$B$18:$E$48,4,FALSE)&amp;$BK297,坦克属性分配比例,MATCH("升星比例",坦克属性分配比例标头,0),FALSE)+VLOOKUP(VLOOKUP($BJ297,坦克个性化设定!$B$18:$E$48,4,FALSE)&amp;$BK297,坦克属性分配比例,MATCH("部件比例",坦克属性分配比例标头,0),FALSE)*$C$3),0)</f>
        <v>814</v>
      </c>
      <c r="BP297" s="103">
        <f ca="1">ROUND(VLOOKUP($BJ297&amp;"初始",$S$3:$AE$63,MATCH(BP$3,$S$3:$AE$3,0),FALSE)+(VLOOKUP($BJ297&amp;"最终",$S$3:$AE$63,MATCH(BP$3,$S$3:$AE$3,0),FALSE)-VLOOKUP($BJ297&amp;"初始",$S$3:$AE$63,MATCH(BP$3,$S$3:$AE$3,0),FALSE))*$BL297/VLOOKUP(VLOOKUP($BJ297,坦克个性化设定!$B$18:$E$48,4,FALSE)&amp;$BK297,坦克属性分配比例,MATCH("升星次数",坦克属性分配比例标头,0),FALSE)*(VLOOKUP(VLOOKUP($BJ297,坦克个性化设定!$B$18:$E$48,4,FALSE)&amp;$BK297,坦克属性分配比例,MATCH("升星比例",坦克属性分配比例标头,0),FALSE)+VLOOKUP(VLOOKUP($BJ297,坦克个性化设定!$B$18:$E$48,4,FALSE)&amp;$BK297,坦克属性分配比例,MATCH("部件比例",坦克属性分配比例标头,0),FALSE)*$C$3),0)</f>
        <v>651</v>
      </c>
      <c r="BQ297" s="103">
        <f ca="1">ROUND(VLOOKUP($BJ297&amp;"初始",$S$3:$AE$63,MATCH(BQ$3,$S$3:$AE$3,0),FALSE)+(VLOOKUP($BJ297&amp;"最终",$S$3:$AE$63,MATCH(BQ$3,$S$3:$AE$3,0),FALSE)-VLOOKUP($BJ297&amp;"初始",$S$3:$AE$63,MATCH(BQ$3,$S$3:$AE$3,0),FALSE))*$BL297/VLOOKUP(VLOOKUP($BJ297,坦克个性化设定!$B$18:$E$48,4,FALSE)&amp;$BK297,坦克属性分配比例,MATCH("升星次数",坦克属性分配比例标头,0),FALSE)*VLOOKUP(VLOOKUP($BJ297,坦克个性化设定!$B$18:$E$48,4,FALSE)&amp;$BK297,坦克属性分配比例,MATCH("升星比例",坦克属性分配比例标头,0),FALSE),0)</f>
        <v>1076</v>
      </c>
      <c r="BR297" s="2">
        <f ca="1">ROUND(VLOOKUP($BJ297&amp;"初始",$S$3:$AE$63,MATCH(BR$3,$S$3:$AE$3,0),FALSE)+(VLOOKUP($BJ297&amp;"最终",$S$3:$AE$63,MATCH(BR$3,$S$3:$AE$3,0),FALSE)-VLOOKUP($BJ297&amp;"初始",$S$3:$AE$63,MATCH(BR$3,$S$3:$AE$3,0),FALSE))*$BL297/VLOOKUP(VLOOKUP($BJ297,坦克个性化设定!$B$18:$E$48,4,FALSE)&amp;$BK297,坦克属性分配比例,MATCH("升星次数",坦克属性分配比例标头,0),FALSE),0)</f>
        <v>255</v>
      </c>
      <c r="BS297" s="2">
        <f>ROUND(VLOOKUP($BJ297,$AI$3:$AO$33,MATCH(BS$3,$AI$3:$AO$3,0),FALSE)+$BL297/VLOOKUP(VLOOKUP($BJ297,坦克个性化设定!$B$18:$E$48,4,FALSE)&amp;$BK297,坦克属性分配比例,MATCH("升星次数",坦克属性分配比例标头,0),FALSE)*VLOOKUP($BJ297,$AR$3:$AY$33,MATCH(BS$3,$AR$3:$AY$3,0),FALSE),1)</f>
        <v>31.3</v>
      </c>
      <c r="BT297" s="2">
        <f>ROUND(VLOOKUP($BJ297,$AI$3:$AO$33,MATCH(BT$3,$AI$3:$AO$3,0),FALSE)+$BL297/VLOOKUP(VLOOKUP($BJ297,坦克个性化设定!$B$18:$E$48,4,FALSE)&amp;$BK297,坦克属性分配比例,MATCH("升星次数",坦克属性分配比例标头,0),FALSE)*VLOOKUP($BJ297,$AR$3:$AY$33,MATCH(BT$3,$AR$3:$AY$3,0),FALSE),1)</f>
        <v>35.700000000000003</v>
      </c>
      <c r="BU297" s="2">
        <f>ROUND(VLOOKUP($BJ297,$AI$3:$AO$33,MATCH(BU$3,$AI$3:$AO$3,0),FALSE)+$BL297/VLOOKUP(VLOOKUP($BJ297,坦克个性化设定!$B$18:$E$48,4,FALSE)&amp;$BK297,坦克属性分配比例,MATCH("升星次数",坦克属性分配比例标头,0),FALSE)*VLOOKUP($BJ297,$AR$3:$AY$33,MATCH(BU$3,$AR$3:$AY$3,0),FALSE),1)</f>
        <v>6.3</v>
      </c>
      <c r="BV297" s="2">
        <f>IF(VLOOKUP(BJ297,坦克个性化设定!$B$18:$BC$48,MATCH("装弹类型",坦克个性化设定!$B$18:$BC$18,0),FALSE)="弹夹换弹",0,ROUND(VLOOKUP($BJ297,$AI$3:$AO$33,MATCH("换弹时间",$AI$3:$AO$3,0),FALSE)-$BL297/VLOOKUP(VLOOKUP($BJ297,坦克个性化设定!$B$18:$E$48,4,FALSE)&amp;$BK297,坦克属性分配比例,MATCH("升星次数",坦克属性分配比例标头,0),FALSE)*VLOOKUP($BJ297,$AR$3:$AY$33,MATCH("换弹时间",$AR$3:$AY$3,0),FALSE),2))</f>
        <v>5.93</v>
      </c>
      <c r="BW297" s="2">
        <f>IF(VLOOKUP(BJ297,坦克个性化设定!$B$18:$BC$48,MATCH("装弹类型",坦克个性化设定!$B$18:$BC$18,0),FALSE)="弹夹换弹",ROUND(VLOOKUP($BJ297,$AI$3:$AO$33,MATCH("换弹时间",$AI$3:$AO$3,0),FALSE)-$BL297/VLOOKUP(VLOOKUP($BJ297,坦克个性化设定!$B$18:$E$48,4,FALSE)&amp;$BK297,坦克属性分配比例,MATCH("升星次数",坦克属性分配比例标头,0),FALSE)*VLOOKUP($BJ297,$AR$3:$AY$33,MATCH("换弹时间",$AR$3:$AY$3,0),FALSE),1),0)</f>
        <v>0</v>
      </c>
      <c r="BX297" s="2">
        <f>ROUND(VLOOKUP($BJ297,$AI$3:$AO$33,MATCH(BX$3,$AI$3:$AO$3,0),FALSE)+$BL297/VLOOKUP(VLOOKUP($BJ297,坦克个性化设定!$B$18:$E$48,4,FALSE)&amp;$BK297,坦克属性分配比例,MATCH("升星次数",坦克属性分配比例标头,0),FALSE)*VLOOKUP($BJ297,$AR$3:$AY$33,MATCH(BX$3,$AR$3:$AY$3,0),FALSE),2)</f>
        <v>0</v>
      </c>
      <c r="BY297" s="2">
        <f>ROUND(VLOOKUP($BJ297,$AI$3:$AO$33,MATCH(BY$3,$AI$3:$AO$3,0),FALSE)-$BL297/VLOOKUP(VLOOKUP($BJ297,坦克个性化设定!$B$18:$E$48,4,FALSE)&amp;$BK297,坦克属性分配比例,MATCH("升星次数",坦克属性分配比例标头,0),FALSE)*VLOOKUP($BJ297,$AR$3:$AY$33,MATCH(BY$3,$AR$3:$AY$3,0),FALSE),2)</f>
        <v>2.96</v>
      </c>
    </row>
    <row r="298" spans="60:77" x14ac:dyDescent="0.3">
      <c r="BH298" s="2" t="str">
        <f t="shared" si="35"/>
        <v>M1A22</v>
      </c>
      <c r="BI298" s="2">
        <f>IF(BL297&gt;=VLOOKUP(VLOOKUP(BJ297,坦克个性化设定!$B$18:$E$48,4,FALSE)&amp;BK297,坦克属性分配比例,MATCH("升星次数",坦克属性分配比例标头,0),FALSE),BI297+1,BI297)</f>
        <v>30</v>
      </c>
      <c r="BJ298" s="2" t="str">
        <f t="shared" si="36"/>
        <v>M1A2</v>
      </c>
      <c r="BK298" s="29" t="str">
        <f>VLOOKUP(BJ298,坦克个性化细分!$I$3:$J$33,2,FALSE)</f>
        <v>低</v>
      </c>
      <c r="BL298" s="2">
        <f t="shared" si="37"/>
        <v>2</v>
      </c>
      <c r="BM298" s="103">
        <f ca="1">ROUND(VLOOKUP($BJ298&amp;"初始",$S$3:$AE$63,MATCH(BM$3,$S$3:$AE$3,0),FALSE)+((VLOOKUP($BJ298&amp;"最终",$S$3:$AE$63,MATCH(BM$3,$S$3:$AE$3,0),FALSE)*坦克个性化细分!$C$9-VLOOKUP($BJ298&amp;"初始",$S$3:$AE$63,MATCH(BM$3,$S$3:$AE$3,0),FALSE))-(VLOOKUP($BJ298&amp;"最终",$S$3:$AE$63,MATCH(BM$3,$S$3:$AE$3,0),FALSE)-VLOOKUP($BJ298&amp;"初始",$S$3:$AE$63,MATCH(BM$3,$S$3:$AE$3,0),FALSE))*VLOOKUP(VLOOKUP($BJ298,坦克个性化设定!$B$18:$E$48,4,FALSE)&amp;$BK298,坦克属性分配比例,MATCH("部件比例",坦克属性分配比例标头,0),FALSE))*$BL298/VLOOKUP(VLOOKUP($BJ298,坦克个性化设定!$B$18:$E$48,4,FALSE)&amp;$BK298,坦克属性分配比例,MATCH("升星次数",坦克属性分配比例标头,0),FALSE),0)</f>
        <v>2789</v>
      </c>
      <c r="BN298" s="103">
        <f ca="1">ROUND(VLOOKUP($BJ298&amp;"初始",$S$3:$AE$63,MATCH(BN$3,$S$3:$AE$3,0),FALSE)+(VLOOKUP($BJ298&amp;"最终",$S$3:$AE$63,MATCH(BN$3,$S$3:$AE$3,0),FALSE)-VLOOKUP($BJ298&amp;"初始",$S$3:$AE$63,MATCH(BN$3,$S$3:$AE$3,0),FALSE))*$BL298/VLOOKUP(VLOOKUP($BJ298,坦克个性化设定!$B$18:$E$48,4,FALSE)&amp;$BK298,坦克属性分配比例,MATCH("升星次数",坦克属性分配比例标头,0),FALSE)*VLOOKUP(VLOOKUP($BJ298,坦克个性化设定!$B$18:$E$48,4,FALSE)&amp;$BK298,坦克属性分配比例,MATCH("升星比例",坦克属性分配比例标头,0),FALSE),0)</f>
        <v>870</v>
      </c>
      <c r="BO298" s="103">
        <f ca="1">ROUND(VLOOKUP($BJ298&amp;"初始",$S$3:$AE$63,MATCH(BO$3,$S$3:$AE$3,0),FALSE)+(VLOOKUP($BJ298&amp;"最终",$S$3:$AE$63,MATCH(BO$3,$S$3:$AE$3,0),FALSE)-VLOOKUP($BJ298&amp;"初始",$S$3:$AE$63,MATCH(BO$3,$S$3:$AE$3,0),FALSE))*$BL298/VLOOKUP(VLOOKUP($BJ298,坦克个性化设定!$B$18:$E$48,4,FALSE)&amp;$BK298,坦克属性分配比例,MATCH("升星次数",坦克属性分配比例标头,0),FALSE)*(VLOOKUP(VLOOKUP($BJ298,坦克个性化设定!$B$18:$E$48,4,FALSE)&amp;$BK298,坦克属性分配比例,MATCH("升星比例",坦克属性分配比例标头,0),FALSE)+VLOOKUP(VLOOKUP($BJ298,坦克个性化设定!$B$18:$E$48,4,FALSE)&amp;$BK298,坦克属性分配比例,MATCH("部件比例",坦克属性分配比例标头,0),FALSE)*$C$3),0)</f>
        <v>836</v>
      </c>
      <c r="BP298" s="103">
        <f ca="1">ROUND(VLOOKUP($BJ298&amp;"初始",$S$3:$AE$63,MATCH(BP$3,$S$3:$AE$3,0),FALSE)+(VLOOKUP($BJ298&amp;"最终",$S$3:$AE$63,MATCH(BP$3,$S$3:$AE$3,0),FALSE)-VLOOKUP($BJ298&amp;"初始",$S$3:$AE$63,MATCH(BP$3,$S$3:$AE$3,0),FALSE))*$BL298/VLOOKUP(VLOOKUP($BJ298,坦克个性化设定!$B$18:$E$48,4,FALSE)&amp;$BK298,坦克属性分配比例,MATCH("升星次数",坦克属性分配比例标头,0),FALSE)*(VLOOKUP(VLOOKUP($BJ298,坦克个性化设定!$B$18:$E$48,4,FALSE)&amp;$BK298,坦克属性分配比例,MATCH("升星比例",坦克属性分配比例标头,0),FALSE)+VLOOKUP(VLOOKUP($BJ298,坦克个性化设定!$B$18:$E$48,4,FALSE)&amp;$BK298,坦克属性分配比例,MATCH("部件比例",坦克属性分配比例标头,0),FALSE)*$C$3),0)</f>
        <v>669</v>
      </c>
      <c r="BQ298" s="103">
        <f ca="1">ROUND(VLOOKUP($BJ298&amp;"初始",$S$3:$AE$63,MATCH(BQ$3,$S$3:$AE$3,0),FALSE)+(VLOOKUP($BJ298&amp;"最终",$S$3:$AE$63,MATCH(BQ$3,$S$3:$AE$3,0),FALSE)-VLOOKUP($BJ298&amp;"初始",$S$3:$AE$63,MATCH(BQ$3,$S$3:$AE$3,0),FALSE))*$BL298/VLOOKUP(VLOOKUP($BJ298,坦克个性化设定!$B$18:$E$48,4,FALSE)&amp;$BK298,坦克属性分配比例,MATCH("升星次数",坦克属性分配比例标头,0),FALSE)*VLOOKUP(VLOOKUP($BJ298,坦克个性化设定!$B$18:$E$48,4,FALSE)&amp;$BK298,坦克属性分配比例,MATCH("升星比例",坦克属性分配比例标头,0),FALSE),0)</f>
        <v>1095</v>
      </c>
      <c r="BR298" s="2">
        <f ca="1">ROUND(VLOOKUP($BJ298&amp;"初始",$S$3:$AE$63,MATCH(BR$3,$S$3:$AE$3,0),FALSE)+(VLOOKUP($BJ298&amp;"最终",$S$3:$AE$63,MATCH(BR$3,$S$3:$AE$3,0),FALSE)-VLOOKUP($BJ298&amp;"初始",$S$3:$AE$63,MATCH(BR$3,$S$3:$AE$3,0),FALSE))*$BL298/VLOOKUP(VLOOKUP($BJ298,坦克个性化设定!$B$18:$E$48,4,FALSE)&amp;$BK298,坦克属性分配比例,MATCH("升星次数",坦克属性分配比例标头,0),FALSE),0)</f>
        <v>264</v>
      </c>
      <c r="BS298" s="2">
        <f>ROUND(VLOOKUP($BJ298,$AI$3:$AO$33,MATCH(BS$3,$AI$3:$AO$3,0),FALSE)+$BL298/VLOOKUP(VLOOKUP($BJ298,坦克个性化设定!$B$18:$E$48,4,FALSE)&amp;$BK298,坦克属性分配比例,MATCH("升星次数",坦克属性分配比例标头,0),FALSE)*VLOOKUP($BJ298,$AR$3:$AY$33,MATCH(BS$3,$AR$3:$AY$3,0),FALSE),1)</f>
        <v>31.9</v>
      </c>
      <c r="BT298" s="2">
        <f>ROUND(VLOOKUP($BJ298,$AI$3:$AO$33,MATCH(BT$3,$AI$3:$AO$3,0),FALSE)+$BL298/VLOOKUP(VLOOKUP($BJ298,坦克个性化设定!$B$18:$E$48,4,FALSE)&amp;$BK298,坦克属性分配比例,MATCH("升星次数",坦克属性分配比例标头,0),FALSE)*VLOOKUP($BJ298,$AR$3:$AY$33,MATCH(BT$3,$AR$3:$AY$3,0),FALSE),1)</f>
        <v>36.299999999999997</v>
      </c>
      <c r="BU298" s="2">
        <f>ROUND(VLOOKUP($BJ298,$AI$3:$AO$33,MATCH(BU$3,$AI$3:$AO$3,0),FALSE)+$BL298/VLOOKUP(VLOOKUP($BJ298,坦克个性化设定!$B$18:$E$48,4,FALSE)&amp;$BK298,坦克属性分配比例,MATCH("升星次数",坦克属性分配比例标头,0),FALSE)*VLOOKUP($BJ298,$AR$3:$AY$33,MATCH(BU$3,$AR$3:$AY$3,0),FALSE),1)</f>
        <v>6.3</v>
      </c>
      <c r="BV298" s="2">
        <f>IF(VLOOKUP(BJ298,坦克个性化设定!$B$18:$BC$48,MATCH("装弹类型",坦克个性化设定!$B$18:$BC$18,0),FALSE)="弹夹换弹",0,ROUND(VLOOKUP($BJ298,$AI$3:$AO$33,MATCH("换弹时间",$AI$3:$AO$3,0),FALSE)-$BL298/VLOOKUP(VLOOKUP($BJ298,坦克个性化设定!$B$18:$E$48,4,FALSE)&amp;$BK298,坦克属性分配比例,MATCH("升星次数",坦克属性分配比例标头,0),FALSE)*VLOOKUP($BJ298,$AR$3:$AY$33,MATCH("换弹时间",$AR$3:$AY$3,0),FALSE),2))</f>
        <v>5.87</v>
      </c>
      <c r="BW298" s="2">
        <f>IF(VLOOKUP(BJ298,坦克个性化设定!$B$18:$BC$48,MATCH("装弹类型",坦克个性化设定!$B$18:$BC$18,0),FALSE)="弹夹换弹",ROUND(VLOOKUP($BJ298,$AI$3:$AO$33,MATCH("换弹时间",$AI$3:$AO$3,0),FALSE)-$BL298/VLOOKUP(VLOOKUP($BJ298,坦克个性化设定!$B$18:$E$48,4,FALSE)&amp;$BK298,坦克属性分配比例,MATCH("升星次数",坦克属性分配比例标头,0),FALSE)*VLOOKUP($BJ298,$AR$3:$AY$33,MATCH("换弹时间",$AR$3:$AY$3,0),FALSE),1),0)</f>
        <v>0</v>
      </c>
      <c r="BX298" s="2">
        <f>ROUND(VLOOKUP($BJ298,$AI$3:$AO$33,MATCH(BX$3,$AI$3:$AO$3,0),FALSE)+$BL298/VLOOKUP(VLOOKUP($BJ298,坦克个性化设定!$B$18:$E$48,4,FALSE)&amp;$BK298,坦克属性分配比例,MATCH("升星次数",坦克属性分配比例标头,0),FALSE)*VLOOKUP($BJ298,$AR$3:$AY$33,MATCH(BX$3,$AR$3:$AY$3,0),FALSE),2)</f>
        <v>0</v>
      </c>
      <c r="BY298" s="2">
        <f>ROUND(VLOOKUP($BJ298,$AI$3:$AO$33,MATCH(BY$3,$AI$3:$AO$3,0),FALSE)-$BL298/VLOOKUP(VLOOKUP($BJ298,坦克个性化设定!$B$18:$E$48,4,FALSE)&amp;$BK298,坦克属性分配比例,MATCH("升星次数",坦克属性分配比例标头,0),FALSE)*VLOOKUP($BJ298,$AR$3:$AY$33,MATCH(BY$3,$AR$3:$AY$3,0),FALSE),2)</f>
        <v>2.92</v>
      </c>
    </row>
    <row r="299" spans="60:77" x14ac:dyDescent="0.3">
      <c r="BH299" s="2" t="str">
        <f t="shared" si="35"/>
        <v>M1A23</v>
      </c>
      <c r="BI299" s="2">
        <f>IF(BL298&gt;=VLOOKUP(VLOOKUP(BJ298,坦克个性化设定!$B$18:$E$48,4,FALSE)&amp;BK298,坦克属性分配比例,MATCH("升星次数",坦克属性分配比例标头,0),FALSE),BI298+1,BI298)</f>
        <v>30</v>
      </c>
      <c r="BJ299" s="2" t="str">
        <f t="shared" si="36"/>
        <v>M1A2</v>
      </c>
      <c r="BK299" s="29" t="str">
        <f>VLOOKUP(BJ299,坦克个性化细分!$I$3:$J$33,2,FALSE)</f>
        <v>低</v>
      </c>
      <c r="BL299" s="2">
        <f t="shared" si="37"/>
        <v>3</v>
      </c>
      <c r="BM299" s="103">
        <f ca="1">ROUND(VLOOKUP($BJ299&amp;"初始",$S$3:$AE$63,MATCH(BM$3,$S$3:$AE$3,0),FALSE)+((VLOOKUP($BJ299&amp;"最终",$S$3:$AE$63,MATCH(BM$3,$S$3:$AE$3,0),FALSE)*坦克个性化细分!$C$9-VLOOKUP($BJ299&amp;"初始",$S$3:$AE$63,MATCH(BM$3,$S$3:$AE$3,0),FALSE))-(VLOOKUP($BJ299&amp;"最终",$S$3:$AE$63,MATCH(BM$3,$S$3:$AE$3,0),FALSE)-VLOOKUP($BJ299&amp;"初始",$S$3:$AE$63,MATCH(BM$3,$S$3:$AE$3,0),FALSE))*VLOOKUP(VLOOKUP($BJ299,坦克个性化设定!$B$18:$E$48,4,FALSE)&amp;$BK299,坦克属性分配比例,MATCH("部件比例",坦克属性分配比例标头,0),FALSE))*$BL299/VLOOKUP(VLOOKUP($BJ299,坦克个性化设定!$B$18:$E$48,4,FALSE)&amp;$BK299,坦克属性分配比例,MATCH("升星次数",坦克属性分配比例标头,0),FALSE),0)</f>
        <v>2874</v>
      </c>
      <c r="BN299" s="103">
        <f ca="1">ROUND(VLOOKUP($BJ299&amp;"初始",$S$3:$AE$63,MATCH(BN$3,$S$3:$AE$3,0),FALSE)+(VLOOKUP($BJ299&amp;"最终",$S$3:$AE$63,MATCH(BN$3,$S$3:$AE$3,0),FALSE)-VLOOKUP($BJ299&amp;"初始",$S$3:$AE$63,MATCH(BN$3,$S$3:$AE$3,0),FALSE))*$BL299/VLOOKUP(VLOOKUP($BJ299,坦克个性化设定!$B$18:$E$48,4,FALSE)&amp;$BK299,坦克属性分配比例,MATCH("升星次数",坦克属性分配比例标头,0),FALSE)*VLOOKUP(VLOOKUP($BJ299,坦克个性化设定!$B$18:$E$48,4,FALSE)&amp;$BK299,坦克属性分配比例,MATCH("升星比例",坦克属性分配比例标头,0),FALSE),0)</f>
        <v>884</v>
      </c>
      <c r="BO299" s="103">
        <f ca="1">ROUND(VLOOKUP($BJ299&amp;"初始",$S$3:$AE$63,MATCH(BO$3,$S$3:$AE$3,0),FALSE)+(VLOOKUP($BJ299&amp;"最终",$S$3:$AE$63,MATCH(BO$3,$S$3:$AE$3,0),FALSE)-VLOOKUP($BJ299&amp;"初始",$S$3:$AE$63,MATCH(BO$3,$S$3:$AE$3,0),FALSE))*$BL299/VLOOKUP(VLOOKUP($BJ299,坦克个性化设定!$B$18:$E$48,4,FALSE)&amp;$BK299,坦克属性分配比例,MATCH("升星次数",坦克属性分配比例标头,0),FALSE)*(VLOOKUP(VLOOKUP($BJ299,坦克个性化设定!$B$18:$E$48,4,FALSE)&amp;$BK299,坦克属性分配比例,MATCH("升星比例",坦克属性分配比例标头,0),FALSE)+VLOOKUP(VLOOKUP($BJ299,坦克个性化设定!$B$18:$E$48,4,FALSE)&amp;$BK299,坦克属性分配比例,MATCH("部件比例",坦克属性分配比例标头,0),FALSE)*$C$3),0)</f>
        <v>858</v>
      </c>
      <c r="BP299" s="103">
        <f ca="1">ROUND(VLOOKUP($BJ299&amp;"初始",$S$3:$AE$63,MATCH(BP$3,$S$3:$AE$3,0),FALSE)+(VLOOKUP($BJ299&amp;"最终",$S$3:$AE$63,MATCH(BP$3,$S$3:$AE$3,0),FALSE)-VLOOKUP($BJ299&amp;"初始",$S$3:$AE$63,MATCH(BP$3,$S$3:$AE$3,0),FALSE))*$BL299/VLOOKUP(VLOOKUP($BJ299,坦克个性化设定!$B$18:$E$48,4,FALSE)&amp;$BK299,坦克属性分配比例,MATCH("升星次数",坦克属性分配比例标头,0),FALSE)*(VLOOKUP(VLOOKUP($BJ299,坦克个性化设定!$B$18:$E$48,4,FALSE)&amp;$BK299,坦克属性分配比例,MATCH("升星比例",坦克属性分配比例标头,0),FALSE)+VLOOKUP(VLOOKUP($BJ299,坦克个性化设定!$B$18:$E$48,4,FALSE)&amp;$BK299,坦克属性分配比例,MATCH("部件比例",坦克属性分配比例标头,0),FALSE)*$C$3),0)</f>
        <v>686</v>
      </c>
      <c r="BQ299" s="103">
        <f ca="1">ROUND(VLOOKUP($BJ299&amp;"初始",$S$3:$AE$63,MATCH(BQ$3,$S$3:$AE$3,0),FALSE)+(VLOOKUP($BJ299&amp;"最终",$S$3:$AE$63,MATCH(BQ$3,$S$3:$AE$3,0),FALSE)-VLOOKUP($BJ299&amp;"初始",$S$3:$AE$63,MATCH(BQ$3,$S$3:$AE$3,0),FALSE))*$BL299/VLOOKUP(VLOOKUP($BJ299,坦克个性化设定!$B$18:$E$48,4,FALSE)&amp;$BK299,坦克属性分配比例,MATCH("升星次数",坦克属性分配比例标头,0),FALSE)*VLOOKUP(VLOOKUP($BJ299,坦克个性化设定!$B$18:$E$48,4,FALSE)&amp;$BK299,坦克属性分配比例,MATCH("升星比例",坦克属性分配比例标头,0),FALSE),0)</f>
        <v>1113</v>
      </c>
      <c r="BR299" s="2">
        <f ca="1">ROUND(VLOOKUP($BJ299&amp;"初始",$S$3:$AE$63,MATCH(BR$3,$S$3:$AE$3,0),FALSE)+(VLOOKUP($BJ299&amp;"最终",$S$3:$AE$63,MATCH(BR$3,$S$3:$AE$3,0),FALSE)-VLOOKUP($BJ299&amp;"初始",$S$3:$AE$63,MATCH(BR$3,$S$3:$AE$3,0),FALSE))*$BL299/VLOOKUP(VLOOKUP($BJ299,坦克个性化设定!$B$18:$E$48,4,FALSE)&amp;$BK299,坦克属性分配比例,MATCH("升星次数",坦克属性分配比例标头,0),FALSE),0)</f>
        <v>272</v>
      </c>
      <c r="BS299" s="2">
        <f>ROUND(VLOOKUP($BJ299,$AI$3:$AO$33,MATCH(BS$3,$AI$3:$AO$3,0),FALSE)+$BL299/VLOOKUP(VLOOKUP($BJ299,坦克个性化设定!$B$18:$E$48,4,FALSE)&amp;$BK299,坦克属性分配比例,MATCH("升星次数",坦克属性分配比例标头,0),FALSE)*VLOOKUP($BJ299,$AR$3:$AY$33,MATCH(BS$3,$AR$3:$AY$3,0),FALSE),1)</f>
        <v>32.5</v>
      </c>
      <c r="BT299" s="2">
        <f>ROUND(VLOOKUP($BJ299,$AI$3:$AO$33,MATCH(BT$3,$AI$3:$AO$3,0),FALSE)+$BL299/VLOOKUP(VLOOKUP($BJ299,坦克个性化设定!$B$18:$E$48,4,FALSE)&amp;$BK299,坦克属性分配比例,MATCH("升星次数",坦克属性分配比例标头,0),FALSE)*VLOOKUP($BJ299,$AR$3:$AY$33,MATCH(BT$3,$AR$3:$AY$3,0),FALSE),1)</f>
        <v>37</v>
      </c>
      <c r="BU299" s="2">
        <f>ROUND(VLOOKUP($BJ299,$AI$3:$AO$33,MATCH(BU$3,$AI$3:$AO$3,0),FALSE)+$BL299/VLOOKUP(VLOOKUP($BJ299,坦克个性化设定!$B$18:$E$48,4,FALSE)&amp;$BK299,坦克属性分配比例,MATCH("升星次数",坦克属性分配比例标头,0),FALSE)*VLOOKUP($BJ299,$AR$3:$AY$33,MATCH(BU$3,$AR$3:$AY$3,0),FALSE),1)</f>
        <v>6.3</v>
      </c>
      <c r="BV299" s="2">
        <f>IF(VLOOKUP(BJ299,坦克个性化设定!$B$18:$BC$48,MATCH("装弹类型",坦克个性化设定!$B$18:$BC$18,0),FALSE)="弹夹换弹",0,ROUND(VLOOKUP($BJ299,$AI$3:$AO$33,MATCH("换弹时间",$AI$3:$AO$3,0),FALSE)-$BL299/VLOOKUP(VLOOKUP($BJ299,坦克个性化设定!$B$18:$E$48,4,FALSE)&amp;$BK299,坦克属性分配比例,MATCH("升星次数",坦克属性分配比例标头,0),FALSE)*VLOOKUP($BJ299,$AR$3:$AY$33,MATCH("换弹时间",$AR$3:$AY$3,0),FALSE),2))</f>
        <v>5.8</v>
      </c>
      <c r="BW299" s="2">
        <f>IF(VLOOKUP(BJ299,坦克个性化设定!$B$18:$BC$48,MATCH("装弹类型",坦克个性化设定!$B$18:$BC$18,0),FALSE)="弹夹换弹",ROUND(VLOOKUP($BJ299,$AI$3:$AO$33,MATCH("换弹时间",$AI$3:$AO$3,0),FALSE)-$BL299/VLOOKUP(VLOOKUP($BJ299,坦克个性化设定!$B$18:$E$48,4,FALSE)&amp;$BK299,坦克属性分配比例,MATCH("升星次数",坦克属性分配比例标头,0),FALSE)*VLOOKUP($BJ299,$AR$3:$AY$33,MATCH("换弹时间",$AR$3:$AY$3,0),FALSE),1),0)</f>
        <v>0</v>
      </c>
      <c r="BX299" s="2">
        <f>ROUND(VLOOKUP($BJ299,$AI$3:$AO$33,MATCH(BX$3,$AI$3:$AO$3,0),FALSE)+$BL299/VLOOKUP(VLOOKUP($BJ299,坦克个性化设定!$B$18:$E$48,4,FALSE)&amp;$BK299,坦克属性分配比例,MATCH("升星次数",坦克属性分配比例标头,0),FALSE)*VLOOKUP($BJ299,$AR$3:$AY$33,MATCH(BX$3,$AR$3:$AY$3,0),FALSE),2)</f>
        <v>0</v>
      </c>
      <c r="BY299" s="2">
        <f>ROUND(VLOOKUP($BJ299,$AI$3:$AO$33,MATCH(BY$3,$AI$3:$AO$3,0),FALSE)-$BL299/VLOOKUP(VLOOKUP($BJ299,坦克个性化设定!$B$18:$E$48,4,FALSE)&amp;$BK299,坦克属性分配比例,MATCH("升星次数",坦克属性分配比例标头,0),FALSE)*VLOOKUP($BJ299,$AR$3:$AY$33,MATCH(BY$3,$AR$3:$AY$3,0),FALSE),2)</f>
        <v>2.88</v>
      </c>
    </row>
    <row r="300" spans="60:77" x14ac:dyDescent="0.3">
      <c r="BH300" s="2" t="str">
        <f t="shared" si="35"/>
        <v>M1A24</v>
      </c>
      <c r="BI300" s="2">
        <f>IF(BL299&gt;=VLOOKUP(VLOOKUP(BJ299,坦克个性化设定!$B$18:$E$48,4,FALSE)&amp;BK299,坦克属性分配比例,MATCH("升星次数",坦克属性分配比例标头,0),FALSE),BI299+1,BI299)</f>
        <v>30</v>
      </c>
      <c r="BJ300" s="2" t="str">
        <f t="shared" si="36"/>
        <v>M1A2</v>
      </c>
      <c r="BK300" s="29" t="str">
        <f>VLOOKUP(BJ300,坦克个性化细分!$I$3:$J$33,2,FALSE)</f>
        <v>低</v>
      </c>
      <c r="BL300" s="2">
        <f t="shared" si="37"/>
        <v>4</v>
      </c>
      <c r="BM300" s="103">
        <f ca="1">ROUND(VLOOKUP($BJ300&amp;"初始",$S$3:$AE$63,MATCH(BM$3,$S$3:$AE$3,0),FALSE)+((VLOOKUP($BJ300&amp;"最终",$S$3:$AE$63,MATCH(BM$3,$S$3:$AE$3,0),FALSE)*坦克个性化细分!$C$9-VLOOKUP($BJ300&amp;"初始",$S$3:$AE$63,MATCH(BM$3,$S$3:$AE$3,0),FALSE))-(VLOOKUP($BJ300&amp;"最终",$S$3:$AE$63,MATCH(BM$3,$S$3:$AE$3,0),FALSE)-VLOOKUP($BJ300&amp;"初始",$S$3:$AE$63,MATCH(BM$3,$S$3:$AE$3,0),FALSE))*VLOOKUP(VLOOKUP($BJ300,坦克个性化设定!$B$18:$E$48,4,FALSE)&amp;$BK300,坦克属性分配比例,MATCH("部件比例",坦克属性分配比例标头,0),FALSE))*$BL300/VLOOKUP(VLOOKUP($BJ300,坦克个性化设定!$B$18:$E$48,4,FALSE)&amp;$BK300,坦克属性分配比例,MATCH("升星次数",坦克属性分配比例标头,0),FALSE),0)</f>
        <v>2960</v>
      </c>
      <c r="BN300" s="103">
        <f ca="1">ROUND(VLOOKUP($BJ300&amp;"初始",$S$3:$AE$63,MATCH(BN$3,$S$3:$AE$3,0),FALSE)+(VLOOKUP($BJ300&amp;"最终",$S$3:$AE$63,MATCH(BN$3,$S$3:$AE$3,0),FALSE)-VLOOKUP($BJ300&amp;"初始",$S$3:$AE$63,MATCH(BN$3,$S$3:$AE$3,0),FALSE))*$BL300/VLOOKUP(VLOOKUP($BJ300,坦克个性化设定!$B$18:$E$48,4,FALSE)&amp;$BK300,坦克属性分配比例,MATCH("升星次数",坦克属性分配比例标头,0),FALSE)*VLOOKUP(VLOOKUP($BJ300,坦克个性化设定!$B$18:$E$48,4,FALSE)&amp;$BK300,坦克属性分配比例,MATCH("升星比例",坦克属性分配比例标头,0),FALSE),0)</f>
        <v>899</v>
      </c>
      <c r="BO300" s="103">
        <f ca="1">ROUND(VLOOKUP($BJ300&amp;"初始",$S$3:$AE$63,MATCH(BO$3,$S$3:$AE$3,0),FALSE)+(VLOOKUP($BJ300&amp;"最终",$S$3:$AE$63,MATCH(BO$3,$S$3:$AE$3,0),FALSE)-VLOOKUP($BJ300&amp;"初始",$S$3:$AE$63,MATCH(BO$3,$S$3:$AE$3,0),FALSE))*$BL300/VLOOKUP(VLOOKUP($BJ300,坦克个性化设定!$B$18:$E$48,4,FALSE)&amp;$BK300,坦克属性分配比例,MATCH("升星次数",坦克属性分配比例标头,0),FALSE)*(VLOOKUP(VLOOKUP($BJ300,坦克个性化设定!$B$18:$E$48,4,FALSE)&amp;$BK300,坦克属性分配比例,MATCH("升星比例",坦克属性分配比例标头,0),FALSE)+VLOOKUP(VLOOKUP($BJ300,坦克个性化设定!$B$18:$E$48,4,FALSE)&amp;$BK300,坦克属性分配比例,MATCH("部件比例",坦克属性分配比例标头,0),FALSE)*$C$3),0)</f>
        <v>879</v>
      </c>
      <c r="BP300" s="103">
        <f ca="1">ROUND(VLOOKUP($BJ300&amp;"初始",$S$3:$AE$63,MATCH(BP$3,$S$3:$AE$3,0),FALSE)+(VLOOKUP($BJ300&amp;"最终",$S$3:$AE$63,MATCH(BP$3,$S$3:$AE$3,0),FALSE)-VLOOKUP($BJ300&amp;"初始",$S$3:$AE$63,MATCH(BP$3,$S$3:$AE$3,0),FALSE))*$BL300/VLOOKUP(VLOOKUP($BJ300,坦克个性化设定!$B$18:$E$48,4,FALSE)&amp;$BK300,坦克属性分配比例,MATCH("升星次数",坦克属性分配比例标头,0),FALSE)*(VLOOKUP(VLOOKUP($BJ300,坦克个性化设定!$B$18:$E$48,4,FALSE)&amp;$BK300,坦克属性分配比例,MATCH("升星比例",坦克属性分配比例标头,0),FALSE)+VLOOKUP(VLOOKUP($BJ300,坦克个性化设定!$B$18:$E$48,4,FALSE)&amp;$BK300,坦克属性分配比例,MATCH("部件比例",坦克属性分配比例标头,0),FALSE)*$C$3),0)</f>
        <v>704</v>
      </c>
      <c r="BQ300" s="103">
        <f ca="1">ROUND(VLOOKUP($BJ300&amp;"初始",$S$3:$AE$63,MATCH(BQ$3,$S$3:$AE$3,0),FALSE)+(VLOOKUP($BJ300&amp;"最终",$S$3:$AE$63,MATCH(BQ$3,$S$3:$AE$3,0),FALSE)-VLOOKUP($BJ300&amp;"初始",$S$3:$AE$63,MATCH(BQ$3,$S$3:$AE$3,0),FALSE))*$BL300/VLOOKUP(VLOOKUP($BJ300,坦克个性化设定!$B$18:$E$48,4,FALSE)&amp;$BK300,坦克属性分配比例,MATCH("升星次数",坦克属性分配比例标头,0),FALSE)*VLOOKUP(VLOOKUP($BJ300,坦克个性化设定!$B$18:$E$48,4,FALSE)&amp;$BK300,坦克属性分配比例,MATCH("升星比例",坦克属性分配比例标头,0),FALSE),0)</f>
        <v>1131</v>
      </c>
      <c r="BR300" s="2">
        <f ca="1">ROUND(VLOOKUP($BJ300&amp;"初始",$S$3:$AE$63,MATCH(BR$3,$S$3:$AE$3,0),FALSE)+(VLOOKUP($BJ300&amp;"最终",$S$3:$AE$63,MATCH(BR$3,$S$3:$AE$3,0),FALSE)-VLOOKUP($BJ300&amp;"初始",$S$3:$AE$63,MATCH(BR$3,$S$3:$AE$3,0),FALSE))*$BL300/VLOOKUP(VLOOKUP($BJ300,坦克个性化设定!$B$18:$E$48,4,FALSE)&amp;$BK300,坦克属性分配比例,MATCH("升星次数",坦克属性分配比例标头,0),FALSE),0)</f>
        <v>281</v>
      </c>
      <c r="BS300" s="2">
        <f>ROUND(VLOOKUP($BJ300,$AI$3:$AO$33,MATCH(BS$3,$AI$3:$AO$3,0),FALSE)+$BL300/VLOOKUP(VLOOKUP($BJ300,坦克个性化设定!$B$18:$E$48,4,FALSE)&amp;$BK300,坦克属性分配比例,MATCH("升星次数",坦克属性分配比例标头,0),FALSE)*VLOOKUP($BJ300,$AR$3:$AY$33,MATCH(BS$3,$AR$3:$AY$3,0),FALSE),1)</f>
        <v>33.1</v>
      </c>
      <c r="BT300" s="2">
        <f>ROUND(VLOOKUP($BJ300,$AI$3:$AO$33,MATCH(BT$3,$AI$3:$AO$3,0),FALSE)+$BL300/VLOOKUP(VLOOKUP($BJ300,坦克个性化设定!$B$18:$E$48,4,FALSE)&amp;$BK300,坦克属性分配比例,MATCH("升星次数",坦克属性分配比例标头,0),FALSE)*VLOOKUP($BJ300,$AR$3:$AY$33,MATCH(BT$3,$AR$3:$AY$3,0),FALSE),1)</f>
        <v>37.700000000000003</v>
      </c>
      <c r="BU300" s="2">
        <f>ROUND(VLOOKUP($BJ300,$AI$3:$AO$33,MATCH(BU$3,$AI$3:$AO$3,0),FALSE)+$BL300/VLOOKUP(VLOOKUP($BJ300,坦克个性化设定!$B$18:$E$48,4,FALSE)&amp;$BK300,坦克属性分配比例,MATCH("升星次数",坦克属性分配比例标头,0),FALSE)*VLOOKUP($BJ300,$AR$3:$AY$33,MATCH(BU$3,$AR$3:$AY$3,0),FALSE),1)</f>
        <v>6.3</v>
      </c>
      <c r="BV300" s="2">
        <f>IF(VLOOKUP(BJ300,坦克个性化设定!$B$18:$BC$48,MATCH("装弹类型",坦克个性化设定!$B$18:$BC$18,0),FALSE)="弹夹换弹",0,ROUND(VLOOKUP($BJ300,$AI$3:$AO$33,MATCH("换弹时间",$AI$3:$AO$3,0),FALSE)-$BL300/VLOOKUP(VLOOKUP($BJ300,坦克个性化设定!$B$18:$E$48,4,FALSE)&amp;$BK300,坦克属性分配比例,MATCH("升星次数",坦克属性分配比例标头,0),FALSE)*VLOOKUP($BJ300,$AR$3:$AY$33,MATCH("换弹时间",$AR$3:$AY$3,0),FALSE),2))</f>
        <v>5.74</v>
      </c>
      <c r="BW300" s="2">
        <f>IF(VLOOKUP(BJ300,坦克个性化设定!$B$18:$BC$48,MATCH("装弹类型",坦克个性化设定!$B$18:$BC$18,0),FALSE)="弹夹换弹",ROUND(VLOOKUP($BJ300,$AI$3:$AO$33,MATCH("换弹时间",$AI$3:$AO$3,0),FALSE)-$BL300/VLOOKUP(VLOOKUP($BJ300,坦克个性化设定!$B$18:$E$48,4,FALSE)&amp;$BK300,坦克属性分配比例,MATCH("升星次数",坦克属性分配比例标头,0),FALSE)*VLOOKUP($BJ300,$AR$3:$AY$33,MATCH("换弹时间",$AR$3:$AY$3,0),FALSE),1),0)</f>
        <v>0</v>
      </c>
      <c r="BX300" s="2">
        <f>ROUND(VLOOKUP($BJ300,$AI$3:$AO$33,MATCH(BX$3,$AI$3:$AO$3,0),FALSE)+$BL300/VLOOKUP(VLOOKUP($BJ300,坦克个性化设定!$B$18:$E$48,4,FALSE)&amp;$BK300,坦克属性分配比例,MATCH("升星次数",坦克属性分配比例标头,0),FALSE)*VLOOKUP($BJ300,$AR$3:$AY$33,MATCH(BX$3,$AR$3:$AY$3,0),FALSE),2)</f>
        <v>0</v>
      </c>
      <c r="BY300" s="2">
        <f>ROUND(VLOOKUP($BJ300,$AI$3:$AO$33,MATCH(BY$3,$AI$3:$AO$3,0),FALSE)-$BL300/VLOOKUP(VLOOKUP($BJ300,坦克个性化设定!$B$18:$E$48,4,FALSE)&amp;$BK300,坦克属性分配比例,MATCH("升星次数",坦克属性分配比例标头,0),FALSE)*VLOOKUP($BJ300,$AR$3:$AY$33,MATCH(BY$3,$AR$3:$AY$3,0),FALSE),2)</f>
        <v>2.85</v>
      </c>
    </row>
    <row r="301" spans="60:77" x14ac:dyDescent="0.3">
      <c r="BH301" s="2" t="str">
        <f t="shared" si="35"/>
        <v>M1A25</v>
      </c>
      <c r="BI301" s="2">
        <f>IF(BL300&gt;=VLOOKUP(VLOOKUP(BJ300,坦克个性化设定!$B$18:$E$48,4,FALSE)&amp;BK300,坦克属性分配比例,MATCH("升星次数",坦克属性分配比例标头,0),FALSE),BI300+1,BI300)</f>
        <v>30</v>
      </c>
      <c r="BJ301" s="2" t="str">
        <f t="shared" si="36"/>
        <v>M1A2</v>
      </c>
      <c r="BK301" s="29" t="str">
        <f>VLOOKUP(BJ301,坦克个性化细分!$I$3:$J$33,2,FALSE)</f>
        <v>低</v>
      </c>
      <c r="BL301" s="2">
        <f t="shared" si="37"/>
        <v>5</v>
      </c>
      <c r="BM301" s="103">
        <f ca="1">ROUND(VLOOKUP($BJ301&amp;"初始",$S$3:$AE$63,MATCH(BM$3,$S$3:$AE$3,0),FALSE)+((VLOOKUP($BJ301&amp;"最终",$S$3:$AE$63,MATCH(BM$3,$S$3:$AE$3,0),FALSE)*坦克个性化细分!$C$9-VLOOKUP($BJ301&amp;"初始",$S$3:$AE$63,MATCH(BM$3,$S$3:$AE$3,0),FALSE))-(VLOOKUP($BJ301&amp;"最终",$S$3:$AE$63,MATCH(BM$3,$S$3:$AE$3,0),FALSE)-VLOOKUP($BJ301&amp;"初始",$S$3:$AE$63,MATCH(BM$3,$S$3:$AE$3,0),FALSE))*VLOOKUP(VLOOKUP($BJ301,坦克个性化设定!$B$18:$E$48,4,FALSE)&amp;$BK301,坦克属性分配比例,MATCH("部件比例",坦克属性分配比例标头,0),FALSE))*$BL301/VLOOKUP(VLOOKUP($BJ301,坦克个性化设定!$B$18:$E$48,4,FALSE)&amp;$BK301,坦克属性分配比例,MATCH("升星次数",坦克属性分配比例标头,0),FALSE),0)</f>
        <v>3045</v>
      </c>
      <c r="BN301" s="103">
        <f ca="1">ROUND(VLOOKUP($BJ301&amp;"初始",$S$3:$AE$63,MATCH(BN$3,$S$3:$AE$3,0),FALSE)+(VLOOKUP($BJ301&amp;"最终",$S$3:$AE$63,MATCH(BN$3,$S$3:$AE$3,0),FALSE)-VLOOKUP($BJ301&amp;"初始",$S$3:$AE$63,MATCH(BN$3,$S$3:$AE$3,0),FALSE))*$BL301/VLOOKUP(VLOOKUP($BJ301,坦克个性化设定!$B$18:$E$48,4,FALSE)&amp;$BK301,坦克属性分配比例,MATCH("升星次数",坦克属性分配比例标头,0),FALSE)*VLOOKUP(VLOOKUP($BJ301,坦克个性化设定!$B$18:$E$48,4,FALSE)&amp;$BK301,坦克属性分配比例,MATCH("升星比例",坦克属性分配比例标头,0),FALSE),0)</f>
        <v>913</v>
      </c>
      <c r="BO301" s="103">
        <f ca="1">ROUND(VLOOKUP($BJ301&amp;"初始",$S$3:$AE$63,MATCH(BO$3,$S$3:$AE$3,0),FALSE)+(VLOOKUP($BJ301&amp;"最终",$S$3:$AE$63,MATCH(BO$3,$S$3:$AE$3,0),FALSE)-VLOOKUP($BJ301&amp;"初始",$S$3:$AE$63,MATCH(BO$3,$S$3:$AE$3,0),FALSE))*$BL301/VLOOKUP(VLOOKUP($BJ301,坦克个性化设定!$B$18:$E$48,4,FALSE)&amp;$BK301,坦克属性分配比例,MATCH("升星次数",坦克属性分配比例标头,0),FALSE)*(VLOOKUP(VLOOKUP($BJ301,坦克个性化设定!$B$18:$E$48,4,FALSE)&amp;$BK301,坦克属性分配比例,MATCH("升星比例",坦克属性分配比例标头,0),FALSE)+VLOOKUP(VLOOKUP($BJ301,坦克个性化设定!$B$18:$E$48,4,FALSE)&amp;$BK301,坦克属性分配比例,MATCH("部件比例",坦克属性分配比例标头,0),FALSE)*$C$3),0)</f>
        <v>901</v>
      </c>
      <c r="BP301" s="103">
        <f ca="1">ROUND(VLOOKUP($BJ301&amp;"初始",$S$3:$AE$63,MATCH(BP$3,$S$3:$AE$3,0),FALSE)+(VLOOKUP($BJ301&amp;"最终",$S$3:$AE$63,MATCH(BP$3,$S$3:$AE$3,0),FALSE)-VLOOKUP($BJ301&amp;"初始",$S$3:$AE$63,MATCH(BP$3,$S$3:$AE$3,0),FALSE))*$BL301/VLOOKUP(VLOOKUP($BJ301,坦克个性化设定!$B$18:$E$48,4,FALSE)&amp;$BK301,坦克属性分配比例,MATCH("升星次数",坦克属性分配比例标头,0),FALSE)*(VLOOKUP(VLOOKUP($BJ301,坦克个性化设定!$B$18:$E$48,4,FALSE)&amp;$BK301,坦克属性分配比例,MATCH("升星比例",坦克属性分配比例标头,0),FALSE)+VLOOKUP(VLOOKUP($BJ301,坦克个性化设定!$B$18:$E$48,4,FALSE)&amp;$BK301,坦克属性分配比例,MATCH("部件比例",坦克属性分配比例标头,0),FALSE)*$C$3),0)</f>
        <v>721</v>
      </c>
      <c r="BQ301" s="103">
        <f ca="1">ROUND(VLOOKUP($BJ301&amp;"初始",$S$3:$AE$63,MATCH(BQ$3,$S$3:$AE$3,0),FALSE)+(VLOOKUP($BJ301&amp;"最终",$S$3:$AE$63,MATCH(BQ$3,$S$3:$AE$3,0),FALSE)-VLOOKUP($BJ301&amp;"初始",$S$3:$AE$63,MATCH(BQ$3,$S$3:$AE$3,0),FALSE))*$BL301/VLOOKUP(VLOOKUP($BJ301,坦克个性化设定!$B$18:$E$48,4,FALSE)&amp;$BK301,坦克属性分配比例,MATCH("升星次数",坦克属性分配比例标头,0),FALSE)*VLOOKUP(VLOOKUP($BJ301,坦克个性化设定!$B$18:$E$48,4,FALSE)&amp;$BK301,坦克属性分配比例,MATCH("升星比例",坦克属性分配比例标头,0),FALSE),0)</f>
        <v>1149</v>
      </c>
      <c r="BR301" s="2">
        <f ca="1">ROUND(VLOOKUP($BJ301&amp;"初始",$S$3:$AE$63,MATCH(BR$3,$S$3:$AE$3,0),FALSE)+(VLOOKUP($BJ301&amp;"最终",$S$3:$AE$63,MATCH(BR$3,$S$3:$AE$3,0),FALSE)-VLOOKUP($BJ301&amp;"初始",$S$3:$AE$63,MATCH(BR$3,$S$3:$AE$3,0),FALSE))*$BL301/VLOOKUP(VLOOKUP($BJ301,坦克个性化设定!$B$18:$E$48,4,FALSE)&amp;$BK301,坦克属性分配比例,MATCH("升星次数",坦克属性分配比例标头,0),FALSE),0)</f>
        <v>289</v>
      </c>
      <c r="BS301" s="2">
        <f>ROUND(VLOOKUP($BJ301,$AI$3:$AO$33,MATCH(BS$3,$AI$3:$AO$3,0),FALSE)+$BL301/VLOOKUP(VLOOKUP($BJ301,坦克个性化设定!$B$18:$E$48,4,FALSE)&amp;$BK301,坦克属性分配比例,MATCH("升星次数",坦克属性分配比例标头,0),FALSE)*VLOOKUP($BJ301,$AR$3:$AY$33,MATCH(BS$3,$AR$3:$AY$3,0),FALSE),1)</f>
        <v>33.700000000000003</v>
      </c>
      <c r="BT301" s="2">
        <f>ROUND(VLOOKUP($BJ301,$AI$3:$AO$33,MATCH(BT$3,$AI$3:$AO$3,0),FALSE)+$BL301/VLOOKUP(VLOOKUP($BJ301,坦克个性化设定!$B$18:$E$48,4,FALSE)&amp;$BK301,坦克属性分配比例,MATCH("升星次数",坦克属性分配比例标头,0),FALSE)*VLOOKUP($BJ301,$AR$3:$AY$33,MATCH(BT$3,$AR$3:$AY$3,0),FALSE),1)</f>
        <v>38.4</v>
      </c>
      <c r="BU301" s="2">
        <f>ROUND(VLOOKUP($BJ301,$AI$3:$AO$33,MATCH(BU$3,$AI$3:$AO$3,0),FALSE)+$BL301/VLOOKUP(VLOOKUP($BJ301,坦克个性化设定!$B$18:$E$48,4,FALSE)&amp;$BK301,坦克属性分配比例,MATCH("升星次数",坦克属性分配比例标头,0),FALSE)*VLOOKUP($BJ301,$AR$3:$AY$33,MATCH(BU$3,$AR$3:$AY$3,0),FALSE),1)</f>
        <v>6.3</v>
      </c>
      <c r="BV301" s="2">
        <f>IF(VLOOKUP(BJ301,坦克个性化设定!$B$18:$BC$48,MATCH("装弹类型",坦克个性化设定!$B$18:$BC$18,0),FALSE)="弹夹换弹",0,ROUND(VLOOKUP($BJ301,$AI$3:$AO$33,MATCH("换弹时间",$AI$3:$AO$3,0),FALSE)-$BL301/VLOOKUP(VLOOKUP($BJ301,坦克个性化设定!$B$18:$E$48,4,FALSE)&amp;$BK301,坦克属性分配比例,MATCH("升星次数",坦克属性分配比例标头,0),FALSE)*VLOOKUP($BJ301,$AR$3:$AY$33,MATCH("换弹时间",$AR$3:$AY$3,0),FALSE),2))</f>
        <v>5.67</v>
      </c>
      <c r="BW301" s="2">
        <f>IF(VLOOKUP(BJ301,坦克个性化设定!$B$18:$BC$48,MATCH("装弹类型",坦克个性化设定!$B$18:$BC$18,0),FALSE)="弹夹换弹",ROUND(VLOOKUP($BJ301,$AI$3:$AO$33,MATCH("换弹时间",$AI$3:$AO$3,0),FALSE)-$BL301/VLOOKUP(VLOOKUP($BJ301,坦克个性化设定!$B$18:$E$48,4,FALSE)&amp;$BK301,坦克属性分配比例,MATCH("升星次数",坦克属性分配比例标头,0),FALSE)*VLOOKUP($BJ301,$AR$3:$AY$33,MATCH("换弹时间",$AR$3:$AY$3,0),FALSE),1),0)</f>
        <v>0</v>
      </c>
      <c r="BX301" s="2">
        <f>ROUND(VLOOKUP($BJ301,$AI$3:$AO$33,MATCH(BX$3,$AI$3:$AO$3,0),FALSE)+$BL301/VLOOKUP(VLOOKUP($BJ301,坦克个性化设定!$B$18:$E$48,4,FALSE)&amp;$BK301,坦克属性分配比例,MATCH("升星次数",坦克属性分配比例标头,0),FALSE)*VLOOKUP($BJ301,$AR$3:$AY$33,MATCH(BX$3,$AR$3:$AY$3,0),FALSE),2)</f>
        <v>0</v>
      </c>
      <c r="BY301" s="2">
        <f>ROUND(VLOOKUP($BJ301,$AI$3:$AO$33,MATCH(BY$3,$AI$3:$AO$3,0),FALSE)-$BL301/VLOOKUP(VLOOKUP($BJ301,坦克个性化设定!$B$18:$E$48,4,FALSE)&amp;$BK301,坦克属性分配比例,MATCH("升星次数",坦克属性分配比例标头,0),FALSE)*VLOOKUP($BJ301,$AR$3:$AY$33,MATCH(BY$3,$AR$3:$AY$3,0),FALSE),2)</f>
        <v>2.81</v>
      </c>
    </row>
    <row r="302" spans="60:77" x14ac:dyDescent="0.3">
      <c r="BH302" s="2" t="str">
        <f t="shared" si="35"/>
        <v>M1A26</v>
      </c>
      <c r="BI302" s="2">
        <f>IF(BL301&gt;=VLOOKUP(VLOOKUP(BJ301,坦克个性化设定!$B$18:$E$48,4,FALSE)&amp;BK301,坦克属性分配比例,MATCH("升星次数",坦克属性分配比例标头,0),FALSE),BI301+1,BI301)</f>
        <v>30</v>
      </c>
      <c r="BJ302" s="2" t="str">
        <f t="shared" si="36"/>
        <v>M1A2</v>
      </c>
      <c r="BK302" s="29" t="str">
        <f>VLOOKUP(BJ302,坦克个性化细分!$I$3:$J$33,2,FALSE)</f>
        <v>低</v>
      </c>
      <c r="BL302" s="2">
        <f t="shared" si="37"/>
        <v>6</v>
      </c>
      <c r="BM302" s="103">
        <f ca="1">ROUND(VLOOKUP($BJ302&amp;"初始",$S$3:$AE$63,MATCH(BM$3,$S$3:$AE$3,0),FALSE)+((VLOOKUP($BJ302&amp;"最终",$S$3:$AE$63,MATCH(BM$3,$S$3:$AE$3,0),FALSE)*坦克个性化细分!$C$9-VLOOKUP($BJ302&amp;"初始",$S$3:$AE$63,MATCH(BM$3,$S$3:$AE$3,0),FALSE))-(VLOOKUP($BJ302&amp;"最终",$S$3:$AE$63,MATCH(BM$3,$S$3:$AE$3,0),FALSE)-VLOOKUP($BJ302&amp;"初始",$S$3:$AE$63,MATCH(BM$3,$S$3:$AE$3,0),FALSE))*VLOOKUP(VLOOKUP($BJ302,坦克个性化设定!$B$18:$E$48,4,FALSE)&amp;$BK302,坦克属性分配比例,MATCH("部件比例",坦克属性分配比例标头,0),FALSE))*$BL302/VLOOKUP(VLOOKUP($BJ302,坦克个性化设定!$B$18:$E$48,4,FALSE)&amp;$BK302,坦克属性分配比例,MATCH("升星次数",坦克属性分配比例标头,0),FALSE),0)</f>
        <v>3130</v>
      </c>
      <c r="BN302" s="103">
        <f ca="1">ROUND(VLOOKUP($BJ302&amp;"初始",$S$3:$AE$63,MATCH(BN$3,$S$3:$AE$3,0),FALSE)+(VLOOKUP($BJ302&amp;"最终",$S$3:$AE$63,MATCH(BN$3,$S$3:$AE$3,0),FALSE)-VLOOKUP($BJ302&amp;"初始",$S$3:$AE$63,MATCH(BN$3,$S$3:$AE$3,0),FALSE))*$BL302/VLOOKUP(VLOOKUP($BJ302,坦克个性化设定!$B$18:$E$48,4,FALSE)&amp;$BK302,坦克属性分配比例,MATCH("升星次数",坦克属性分配比例标头,0),FALSE)*VLOOKUP(VLOOKUP($BJ302,坦克个性化设定!$B$18:$E$48,4,FALSE)&amp;$BK302,坦克属性分配比例,MATCH("升星比例",坦克属性分配比例标头,0),FALSE),0)</f>
        <v>928</v>
      </c>
      <c r="BO302" s="103">
        <f ca="1">ROUND(VLOOKUP($BJ302&amp;"初始",$S$3:$AE$63,MATCH(BO$3,$S$3:$AE$3,0),FALSE)+(VLOOKUP($BJ302&amp;"最终",$S$3:$AE$63,MATCH(BO$3,$S$3:$AE$3,0),FALSE)-VLOOKUP($BJ302&amp;"初始",$S$3:$AE$63,MATCH(BO$3,$S$3:$AE$3,0),FALSE))*$BL302/VLOOKUP(VLOOKUP($BJ302,坦克个性化设定!$B$18:$E$48,4,FALSE)&amp;$BK302,坦克属性分配比例,MATCH("升星次数",坦克属性分配比例标头,0),FALSE)*(VLOOKUP(VLOOKUP($BJ302,坦克个性化设定!$B$18:$E$48,4,FALSE)&amp;$BK302,坦克属性分配比例,MATCH("升星比例",坦克属性分配比例标头,0),FALSE)+VLOOKUP(VLOOKUP($BJ302,坦克个性化设定!$B$18:$E$48,4,FALSE)&amp;$BK302,坦克属性分配比例,MATCH("部件比例",坦克属性分配比例标头,0),FALSE)*$C$3),0)</f>
        <v>923</v>
      </c>
      <c r="BP302" s="103">
        <f ca="1">ROUND(VLOOKUP($BJ302&amp;"初始",$S$3:$AE$63,MATCH(BP$3,$S$3:$AE$3,0),FALSE)+(VLOOKUP($BJ302&amp;"最终",$S$3:$AE$63,MATCH(BP$3,$S$3:$AE$3,0),FALSE)-VLOOKUP($BJ302&amp;"初始",$S$3:$AE$63,MATCH(BP$3,$S$3:$AE$3,0),FALSE))*$BL302/VLOOKUP(VLOOKUP($BJ302,坦克个性化设定!$B$18:$E$48,4,FALSE)&amp;$BK302,坦克属性分配比例,MATCH("升星次数",坦克属性分配比例标头,0),FALSE)*(VLOOKUP(VLOOKUP($BJ302,坦克个性化设定!$B$18:$E$48,4,FALSE)&amp;$BK302,坦克属性分配比例,MATCH("升星比例",坦克属性分配比例标头,0),FALSE)+VLOOKUP(VLOOKUP($BJ302,坦克个性化设定!$B$18:$E$48,4,FALSE)&amp;$BK302,坦克属性分配比例,MATCH("部件比例",坦克属性分配比例标头,0),FALSE)*$C$3),0)</f>
        <v>739</v>
      </c>
      <c r="BQ302" s="103">
        <f ca="1">ROUND(VLOOKUP($BJ302&amp;"初始",$S$3:$AE$63,MATCH(BQ$3,$S$3:$AE$3,0),FALSE)+(VLOOKUP($BJ302&amp;"最终",$S$3:$AE$63,MATCH(BQ$3,$S$3:$AE$3,0),FALSE)-VLOOKUP($BJ302&amp;"初始",$S$3:$AE$63,MATCH(BQ$3,$S$3:$AE$3,0),FALSE))*$BL302/VLOOKUP(VLOOKUP($BJ302,坦克个性化设定!$B$18:$E$48,4,FALSE)&amp;$BK302,坦克属性分配比例,MATCH("升星次数",坦克属性分配比例标头,0),FALSE)*VLOOKUP(VLOOKUP($BJ302,坦克个性化设定!$B$18:$E$48,4,FALSE)&amp;$BK302,坦克属性分配比例,MATCH("升星比例",坦克属性分配比例标头,0),FALSE),0)</f>
        <v>1168</v>
      </c>
      <c r="BR302" s="2">
        <f ca="1">ROUND(VLOOKUP($BJ302&amp;"初始",$S$3:$AE$63,MATCH(BR$3,$S$3:$AE$3,0),FALSE)+(VLOOKUP($BJ302&amp;"最终",$S$3:$AE$63,MATCH(BR$3,$S$3:$AE$3,0),FALSE)-VLOOKUP($BJ302&amp;"初始",$S$3:$AE$63,MATCH(BR$3,$S$3:$AE$3,0),FALSE))*$BL302/VLOOKUP(VLOOKUP($BJ302,坦克个性化设定!$B$18:$E$48,4,FALSE)&amp;$BK302,坦克属性分配比例,MATCH("升星次数",坦克属性分配比例标头,0),FALSE),0)</f>
        <v>298</v>
      </c>
      <c r="BS302" s="2">
        <f>ROUND(VLOOKUP($BJ302,$AI$3:$AO$33,MATCH(BS$3,$AI$3:$AO$3,0),FALSE)+$BL302/VLOOKUP(VLOOKUP($BJ302,坦克个性化设定!$B$18:$E$48,4,FALSE)&amp;$BK302,坦克属性分配比例,MATCH("升星次数",坦克属性分配比例标头,0),FALSE)*VLOOKUP($BJ302,$AR$3:$AY$33,MATCH(BS$3,$AR$3:$AY$3,0),FALSE),1)</f>
        <v>34.200000000000003</v>
      </c>
      <c r="BT302" s="2">
        <f>ROUND(VLOOKUP($BJ302,$AI$3:$AO$33,MATCH(BT$3,$AI$3:$AO$3,0),FALSE)+$BL302/VLOOKUP(VLOOKUP($BJ302,坦克个性化设定!$B$18:$E$48,4,FALSE)&amp;$BK302,坦克属性分配比例,MATCH("升星次数",坦克属性分配比例标头,0),FALSE)*VLOOKUP($BJ302,$AR$3:$AY$33,MATCH(BT$3,$AR$3:$AY$3,0),FALSE),1)</f>
        <v>39</v>
      </c>
      <c r="BU302" s="2">
        <f>ROUND(VLOOKUP($BJ302,$AI$3:$AO$33,MATCH(BU$3,$AI$3:$AO$3,0),FALSE)+$BL302/VLOOKUP(VLOOKUP($BJ302,坦克个性化设定!$B$18:$E$48,4,FALSE)&amp;$BK302,坦克属性分配比例,MATCH("升星次数",坦克属性分配比例标头,0),FALSE)*VLOOKUP($BJ302,$AR$3:$AY$33,MATCH(BU$3,$AR$3:$AY$3,0),FALSE),1)</f>
        <v>6.3</v>
      </c>
      <c r="BV302" s="2">
        <f>IF(VLOOKUP(BJ302,坦克个性化设定!$B$18:$BC$48,MATCH("装弹类型",坦克个性化设定!$B$18:$BC$18,0),FALSE)="弹夹换弹",0,ROUND(VLOOKUP($BJ302,$AI$3:$AO$33,MATCH("换弹时间",$AI$3:$AO$3,0),FALSE)-$BL302/VLOOKUP(VLOOKUP($BJ302,坦克个性化设定!$B$18:$E$48,4,FALSE)&amp;$BK302,坦克属性分配比例,MATCH("升星次数",坦克属性分配比例标头,0),FALSE)*VLOOKUP($BJ302,$AR$3:$AY$33,MATCH("换弹时间",$AR$3:$AY$3,0),FALSE),2))</f>
        <v>5.61</v>
      </c>
      <c r="BW302" s="2">
        <f>IF(VLOOKUP(BJ302,坦克个性化设定!$B$18:$BC$48,MATCH("装弹类型",坦克个性化设定!$B$18:$BC$18,0),FALSE)="弹夹换弹",ROUND(VLOOKUP($BJ302,$AI$3:$AO$33,MATCH("换弹时间",$AI$3:$AO$3,0),FALSE)-$BL302/VLOOKUP(VLOOKUP($BJ302,坦克个性化设定!$B$18:$E$48,4,FALSE)&amp;$BK302,坦克属性分配比例,MATCH("升星次数",坦克属性分配比例标头,0),FALSE)*VLOOKUP($BJ302,$AR$3:$AY$33,MATCH("换弹时间",$AR$3:$AY$3,0),FALSE),1),0)</f>
        <v>0</v>
      </c>
      <c r="BX302" s="2">
        <f>ROUND(VLOOKUP($BJ302,$AI$3:$AO$33,MATCH(BX$3,$AI$3:$AO$3,0),FALSE)+$BL302/VLOOKUP(VLOOKUP($BJ302,坦克个性化设定!$B$18:$E$48,4,FALSE)&amp;$BK302,坦克属性分配比例,MATCH("升星次数",坦克属性分配比例标头,0),FALSE)*VLOOKUP($BJ302,$AR$3:$AY$33,MATCH(BX$3,$AR$3:$AY$3,0),FALSE),2)</f>
        <v>0</v>
      </c>
      <c r="BY302" s="2">
        <f>ROUND(VLOOKUP($BJ302,$AI$3:$AO$33,MATCH(BY$3,$AI$3:$AO$3,0),FALSE)-$BL302/VLOOKUP(VLOOKUP($BJ302,坦克个性化设定!$B$18:$E$48,4,FALSE)&amp;$BK302,坦克属性分配比例,MATCH("升星次数",坦克属性分配比例标头,0),FALSE)*VLOOKUP($BJ302,$AR$3:$AY$33,MATCH(BY$3,$AR$3:$AY$3,0),FALSE),2)</f>
        <v>2.77</v>
      </c>
    </row>
    <row r="303" spans="60:77" x14ac:dyDescent="0.3">
      <c r="BH303" s="2" t="str">
        <f t="shared" si="35"/>
        <v>M1A27</v>
      </c>
      <c r="BI303" s="2">
        <f>IF(BL302&gt;=VLOOKUP(VLOOKUP(BJ302,坦克个性化设定!$B$18:$E$48,4,FALSE)&amp;BK302,坦克属性分配比例,MATCH("升星次数",坦克属性分配比例标头,0),FALSE),BI302+1,BI302)</f>
        <v>30</v>
      </c>
      <c r="BJ303" s="2" t="str">
        <f t="shared" si="36"/>
        <v>M1A2</v>
      </c>
      <c r="BK303" s="29" t="str">
        <f>VLOOKUP(BJ303,坦克个性化细分!$I$3:$J$33,2,FALSE)</f>
        <v>低</v>
      </c>
      <c r="BL303" s="2">
        <f t="shared" si="37"/>
        <v>7</v>
      </c>
      <c r="BM303" s="103">
        <f ca="1">ROUND(VLOOKUP($BJ303&amp;"初始",$S$3:$AE$63,MATCH(BM$3,$S$3:$AE$3,0),FALSE)+((VLOOKUP($BJ303&amp;"最终",$S$3:$AE$63,MATCH(BM$3,$S$3:$AE$3,0),FALSE)*坦克个性化细分!$C$9-VLOOKUP($BJ303&amp;"初始",$S$3:$AE$63,MATCH(BM$3,$S$3:$AE$3,0),FALSE))-(VLOOKUP($BJ303&amp;"最终",$S$3:$AE$63,MATCH(BM$3,$S$3:$AE$3,0),FALSE)-VLOOKUP($BJ303&amp;"初始",$S$3:$AE$63,MATCH(BM$3,$S$3:$AE$3,0),FALSE))*VLOOKUP(VLOOKUP($BJ303,坦克个性化设定!$B$18:$E$48,4,FALSE)&amp;$BK303,坦克属性分配比例,MATCH("部件比例",坦克属性分配比例标头,0),FALSE))*$BL303/VLOOKUP(VLOOKUP($BJ303,坦克个性化设定!$B$18:$E$48,4,FALSE)&amp;$BK303,坦克属性分配比例,MATCH("升星次数",坦克属性分配比例标头,0),FALSE),0)</f>
        <v>3216</v>
      </c>
      <c r="BN303" s="103">
        <f ca="1">ROUND(VLOOKUP($BJ303&amp;"初始",$S$3:$AE$63,MATCH(BN$3,$S$3:$AE$3,0),FALSE)+(VLOOKUP($BJ303&amp;"最终",$S$3:$AE$63,MATCH(BN$3,$S$3:$AE$3,0),FALSE)-VLOOKUP($BJ303&amp;"初始",$S$3:$AE$63,MATCH(BN$3,$S$3:$AE$3,0),FALSE))*$BL303/VLOOKUP(VLOOKUP($BJ303,坦克个性化设定!$B$18:$E$48,4,FALSE)&amp;$BK303,坦克属性分配比例,MATCH("升星次数",坦克属性分配比例标头,0),FALSE)*VLOOKUP(VLOOKUP($BJ303,坦克个性化设定!$B$18:$E$48,4,FALSE)&amp;$BK303,坦克属性分配比例,MATCH("升星比例",坦克属性分配比例标头,0),FALSE),0)</f>
        <v>942</v>
      </c>
      <c r="BO303" s="103">
        <f ca="1">ROUND(VLOOKUP($BJ303&amp;"初始",$S$3:$AE$63,MATCH(BO$3,$S$3:$AE$3,0),FALSE)+(VLOOKUP($BJ303&amp;"最终",$S$3:$AE$63,MATCH(BO$3,$S$3:$AE$3,0),FALSE)-VLOOKUP($BJ303&amp;"初始",$S$3:$AE$63,MATCH(BO$3,$S$3:$AE$3,0),FALSE))*$BL303/VLOOKUP(VLOOKUP($BJ303,坦克个性化设定!$B$18:$E$48,4,FALSE)&amp;$BK303,坦克属性分配比例,MATCH("升星次数",坦克属性分配比例标头,0),FALSE)*(VLOOKUP(VLOOKUP($BJ303,坦克个性化设定!$B$18:$E$48,4,FALSE)&amp;$BK303,坦克属性分配比例,MATCH("升星比例",坦克属性分配比例标头,0),FALSE)+VLOOKUP(VLOOKUP($BJ303,坦克个性化设定!$B$18:$E$48,4,FALSE)&amp;$BK303,坦克属性分配比例,MATCH("部件比例",坦克属性分配比例标头,0),FALSE)*$C$3),0)</f>
        <v>945</v>
      </c>
      <c r="BP303" s="103">
        <f ca="1">ROUND(VLOOKUP($BJ303&amp;"初始",$S$3:$AE$63,MATCH(BP$3,$S$3:$AE$3,0),FALSE)+(VLOOKUP($BJ303&amp;"最终",$S$3:$AE$63,MATCH(BP$3,$S$3:$AE$3,0),FALSE)-VLOOKUP($BJ303&amp;"初始",$S$3:$AE$63,MATCH(BP$3,$S$3:$AE$3,0),FALSE))*$BL303/VLOOKUP(VLOOKUP($BJ303,坦克个性化设定!$B$18:$E$48,4,FALSE)&amp;$BK303,坦克属性分配比例,MATCH("升星次数",坦克属性分配比例标头,0),FALSE)*(VLOOKUP(VLOOKUP($BJ303,坦克个性化设定!$B$18:$E$48,4,FALSE)&amp;$BK303,坦克属性分配比例,MATCH("升星比例",坦克属性分配比例标头,0),FALSE)+VLOOKUP(VLOOKUP($BJ303,坦克个性化设定!$B$18:$E$48,4,FALSE)&amp;$BK303,坦克属性分配比例,MATCH("部件比例",坦克属性分配比例标头,0),FALSE)*$C$3),0)</f>
        <v>756</v>
      </c>
      <c r="BQ303" s="103">
        <f ca="1">ROUND(VLOOKUP($BJ303&amp;"初始",$S$3:$AE$63,MATCH(BQ$3,$S$3:$AE$3,0),FALSE)+(VLOOKUP($BJ303&amp;"最终",$S$3:$AE$63,MATCH(BQ$3,$S$3:$AE$3,0),FALSE)-VLOOKUP($BJ303&amp;"初始",$S$3:$AE$63,MATCH(BQ$3,$S$3:$AE$3,0),FALSE))*$BL303/VLOOKUP(VLOOKUP($BJ303,坦克个性化设定!$B$18:$E$48,4,FALSE)&amp;$BK303,坦克属性分配比例,MATCH("升星次数",坦克属性分配比例标头,0),FALSE)*VLOOKUP(VLOOKUP($BJ303,坦克个性化设定!$B$18:$E$48,4,FALSE)&amp;$BK303,坦克属性分配比例,MATCH("升星比例",坦克属性分配比例标头,0),FALSE),0)</f>
        <v>1186</v>
      </c>
      <c r="BR303" s="2">
        <f ca="1">ROUND(VLOOKUP($BJ303&amp;"初始",$S$3:$AE$63,MATCH(BR$3,$S$3:$AE$3,0),FALSE)+(VLOOKUP($BJ303&amp;"最终",$S$3:$AE$63,MATCH(BR$3,$S$3:$AE$3,0),FALSE)-VLOOKUP($BJ303&amp;"初始",$S$3:$AE$63,MATCH(BR$3,$S$3:$AE$3,0),FALSE))*$BL303/VLOOKUP(VLOOKUP($BJ303,坦克个性化设定!$B$18:$E$48,4,FALSE)&amp;$BK303,坦克属性分配比例,MATCH("升星次数",坦克属性分配比例标头,0),FALSE),0)</f>
        <v>306</v>
      </c>
      <c r="BS303" s="2">
        <f>ROUND(VLOOKUP($BJ303,$AI$3:$AO$33,MATCH(BS$3,$AI$3:$AO$3,0),FALSE)+$BL303/VLOOKUP(VLOOKUP($BJ303,坦克个性化设定!$B$18:$E$48,4,FALSE)&amp;$BK303,坦克属性分配比例,MATCH("升星次数",坦克属性分配比例标头,0),FALSE)*VLOOKUP($BJ303,$AR$3:$AY$33,MATCH(BS$3,$AR$3:$AY$3,0),FALSE),1)</f>
        <v>34.799999999999997</v>
      </c>
      <c r="BT303" s="2">
        <f>ROUND(VLOOKUP($BJ303,$AI$3:$AO$33,MATCH(BT$3,$AI$3:$AO$3,0),FALSE)+$BL303/VLOOKUP(VLOOKUP($BJ303,坦克个性化设定!$B$18:$E$48,4,FALSE)&amp;$BK303,坦克属性分配比例,MATCH("升星次数",坦克属性分配比例标头,0),FALSE)*VLOOKUP($BJ303,$AR$3:$AY$33,MATCH(BT$3,$AR$3:$AY$3,0),FALSE),1)</f>
        <v>39.700000000000003</v>
      </c>
      <c r="BU303" s="2">
        <f>ROUND(VLOOKUP($BJ303,$AI$3:$AO$33,MATCH(BU$3,$AI$3:$AO$3,0),FALSE)+$BL303/VLOOKUP(VLOOKUP($BJ303,坦克个性化设定!$B$18:$E$48,4,FALSE)&amp;$BK303,坦克属性分配比例,MATCH("升星次数",坦克属性分配比例标头,0),FALSE)*VLOOKUP($BJ303,$AR$3:$AY$33,MATCH(BU$3,$AR$3:$AY$3,0),FALSE),1)</f>
        <v>6.3</v>
      </c>
      <c r="BV303" s="2">
        <f>IF(VLOOKUP(BJ303,坦克个性化设定!$B$18:$BC$48,MATCH("装弹类型",坦克个性化设定!$B$18:$BC$18,0),FALSE)="弹夹换弹",0,ROUND(VLOOKUP($BJ303,$AI$3:$AO$33,MATCH("换弹时间",$AI$3:$AO$3,0),FALSE)-$BL303/VLOOKUP(VLOOKUP($BJ303,坦克个性化设定!$B$18:$E$48,4,FALSE)&amp;$BK303,坦克属性分配比例,MATCH("升星次数",坦克属性分配比例标头,0),FALSE)*VLOOKUP($BJ303,$AR$3:$AY$33,MATCH("换弹时间",$AR$3:$AY$3,0),FALSE),2))</f>
        <v>5.54</v>
      </c>
      <c r="BW303" s="2">
        <f>IF(VLOOKUP(BJ303,坦克个性化设定!$B$18:$BC$48,MATCH("装弹类型",坦克个性化设定!$B$18:$BC$18,0),FALSE)="弹夹换弹",ROUND(VLOOKUP($BJ303,$AI$3:$AO$33,MATCH("换弹时间",$AI$3:$AO$3,0),FALSE)-$BL303/VLOOKUP(VLOOKUP($BJ303,坦克个性化设定!$B$18:$E$48,4,FALSE)&amp;$BK303,坦克属性分配比例,MATCH("升星次数",坦克属性分配比例标头,0),FALSE)*VLOOKUP($BJ303,$AR$3:$AY$33,MATCH("换弹时间",$AR$3:$AY$3,0),FALSE),1),0)</f>
        <v>0</v>
      </c>
      <c r="BX303" s="2">
        <f>ROUND(VLOOKUP($BJ303,$AI$3:$AO$33,MATCH(BX$3,$AI$3:$AO$3,0),FALSE)+$BL303/VLOOKUP(VLOOKUP($BJ303,坦克个性化设定!$B$18:$E$48,4,FALSE)&amp;$BK303,坦克属性分配比例,MATCH("升星次数",坦克属性分配比例标头,0),FALSE)*VLOOKUP($BJ303,$AR$3:$AY$33,MATCH(BX$3,$AR$3:$AY$3,0),FALSE),2)</f>
        <v>0</v>
      </c>
      <c r="BY303" s="2">
        <f>ROUND(VLOOKUP($BJ303,$AI$3:$AO$33,MATCH(BY$3,$AI$3:$AO$3,0),FALSE)-$BL303/VLOOKUP(VLOOKUP($BJ303,坦克个性化设定!$B$18:$E$48,4,FALSE)&amp;$BK303,坦克属性分配比例,MATCH("升星次数",坦克属性分配比例标头,0),FALSE)*VLOOKUP($BJ303,$AR$3:$AY$33,MATCH(BY$3,$AR$3:$AY$3,0),FALSE),2)</f>
        <v>2.73</v>
      </c>
    </row>
    <row r="304" spans="60:77" x14ac:dyDescent="0.3">
      <c r="BH304" s="2" t="str">
        <f t="shared" si="35"/>
        <v>M1A28</v>
      </c>
      <c r="BI304" s="2">
        <f>IF(BL303&gt;=VLOOKUP(VLOOKUP(BJ303,坦克个性化设定!$B$18:$E$48,4,FALSE)&amp;BK303,坦克属性分配比例,MATCH("升星次数",坦克属性分配比例标头,0),FALSE),BI303+1,BI303)</f>
        <v>30</v>
      </c>
      <c r="BJ304" s="2" t="str">
        <f t="shared" si="36"/>
        <v>M1A2</v>
      </c>
      <c r="BK304" s="29" t="str">
        <f>VLOOKUP(BJ304,坦克个性化细分!$I$3:$J$33,2,FALSE)</f>
        <v>低</v>
      </c>
      <c r="BL304" s="2">
        <f t="shared" si="37"/>
        <v>8</v>
      </c>
      <c r="BM304" s="103">
        <f ca="1">ROUND(VLOOKUP($BJ304&amp;"初始",$S$3:$AE$63,MATCH(BM$3,$S$3:$AE$3,0),FALSE)+((VLOOKUP($BJ304&amp;"最终",$S$3:$AE$63,MATCH(BM$3,$S$3:$AE$3,0),FALSE)*坦克个性化细分!$C$9-VLOOKUP($BJ304&amp;"初始",$S$3:$AE$63,MATCH(BM$3,$S$3:$AE$3,0),FALSE))-(VLOOKUP($BJ304&amp;"最终",$S$3:$AE$63,MATCH(BM$3,$S$3:$AE$3,0),FALSE)-VLOOKUP($BJ304&amp;"初始",$S$3:$AE$63,MATCH(BM$3,$S$3:$AE$3,0),FALSE))*VLOOKUP(VLOOKUP($BJ304,坦克个性化设定!$B$18:$E$48,4,FALSE)&amp;$BK304,坦克属性分配比例,MATCH("部件比例",坦克属性分配比例标头,0),FALSE))*$BL304/VLOOKUP(VLOOKUP($BJ304,坦克个性化设定!$B$18:$E$48,4,FALSE)&amp;$BK304,坦克属性分配比例,MATCH("升星次数",坦克属性分配比例标头,0),FALSE),0)</f>
        <v>3301</v>
      </c>
      <c r="BN304" s="103">
        <f ca="1">ROUND(VLOOKUP($BJ304&amp;"初始",$S$3:$AE$63,MATCH(BN$3,$S$3:$AE$3,0),FALSE)+(VLOOKUP($BJ304&amp;"最终",$S$3:$AE$63,MATCH(BN$3,$S$3:$AE$3,0),FALSE)-VLOOKUP($BJ304&amp;"初始",$S$3:$AE$63,MATCH(BN$3,$S$3:$AE$3,0),FALSE))*$BL304/VLOOKUP(VLOOKUP($BJ304,坦克个性化设定!$B$18:$E$48,4,FALSE)&amp;$BK304,坦克属性分配比例,MATCH("升星次数",坦克属性分配比例标头,0),FALSE)*VLOOKUP(VLOOKUP($BJ304,坦克个性化设定!$B$18:$E$48,4,FALSE)&amp;$BK304,坦克属性分配比例,MATCH("升星比例",坦克属性分配比例标头,0),FALSE),0)</f>
        <v>957</v>
      </c>
      <c r="BO304" s="103">
        <f ca="1">ROUND(VLOOKUP($BJ304&amp;"初始",$S$3:$AE$63,MATCH(BO$3,$S$3:$AE$3,0),FALSE)+(VLOOKUP($BJ304&amp;"最终",$S$3:$AE$63,MATCH(BO$3,$S$3:$AE$3,0),FALSE)-VLOOKUP($BJ304&amp;"初始",$S$3:$AE$63,MATCH(BO$3,$S$3:$AE$3,0),FALSE))*$BL304/VLOOKUP(VLOOKUP($BJ304,坦克个性化设定!$B$18:$E$48,4,FALSE)&amp;$BK304,坦克属性分配比例,MATCH("升星次数",坦克属性分配比例标头,0),FALSE)*(VLOOKUP(VLOOKUP($BJ304,坦克个性化设定!$B$18:$E$48,4,FALSE)&amp;$BK304,坦克属性分配比例,MATCH("升星比例",坦克属性分配比例标头,0),FALSE)+VLOOKUP(VLOOKUP($BJ304,坦克个性化设定!$B$18:$E$48,4,FALSE)&amp;$BK304,坦克属性分配比例,MATCH("部件比例",坦克属性分配比例标头,0),FALSE)*$C$3),0)</f>
        <v>967</v>
      </c>
      <c r="BP304" s="103">
        <f ca="1">ROUND(VLOOKUP($BJ304&amp;"初始",$S$3:$AE$63,MATCH(BP$3,$S$3:$AE$3,0),FALSE)+(VLOOKUP($BJ304&amp;"最终",$S$3:$AE$63,MATCH(BP$3,$S$3:$AE$3,0),FALSE)-VLOOKUP($BJ304&amp;"初始",$S$3:$AE$63,MATCH(BP$3,$S$3:$AE$3,0),FALSE))*$BL304/VLOOKUP(VLOOKUP($BJ304,坦克个性化设定!$B$18:$E$48,4,FALSE)&amp;$BK304,坦克属性分配比例,MATCH("升星次数",坦克属性分配比例标头,0),FALSE)*(VLOOKUP(VLOOKUP($BJ304,坦克个性化设定!$B$18:$E$48,4,FALSE)&amp;$BK304,坦克属性分配比例,MATCH("升星比例",坦克属性分配比例标头,0),FALSE)+VLOOKUP(VLOOKUP($BJ304,坦克个性化设定!$B$18:$E$48,4,FALSE)&amp;$BK304,坦克属性分配比例,MATCH("部件比例",坦克属性分配比例标头,0),FALSE)*$C$3),0)</f>
        <v>774</v>
      </c>
      <c r="BQ304" s="103">
        <f ca="1">ROUND(VLOOKUP($BJ304&amp;"初始",$S$3:$AE$63,MATCH(BQ$3,$S$3:$AE$3,0),FALSE)+(VLOOKUP($BJ304&amp;"最终",$S$3:$AE$63,MATCH(BQ$3,$S$3:$AE$3,0),FALSE)-VLOOKUP($BJ304&amp;"初始",$S$3:$AE$63,MATCH(BQ$3,$S$3:$AE$3,0),FALSE))*$BL304/VLOOKUP(VLOOKUP($BJ304,坦克个性化设定!$B$18:$E$48,4,FALSE)&amp;$BK304,坦克属性分配比例,MATCH("升星次数",坦克属性分配比例标头,0),FALSE)*VLOOKUP(VLOOKUP($BJ304,坦克个性化设定!$B$18:$E$48,4,FALSE)&amp;$BK304,坦克属性分配比例,MATCH("升星比例",坦克属性分配比例标头,0),FALSE),0)</f>
        <v>1204</v>
      </c>
      <c r="BR304" s="2">
        <f ca="1">ROUND(VLOOKUP($BJ304&amp;"初始",$S$3:$AE$63,MATCH(BR$3,$S$3:$AE$3,0),FALSE)+(VLOOKUP($BJ304&amp;"最终",$S$3:$AE$63,MATCH(BR$3,$S$3:$AE$3,0),FALSE)-VLOOKUP($BJ304&amp;"初始",$S$3:$AE$63,MATCH(BR$3,$S$3:$AE$3,0),FALSE))*$BL304/VLOOKUP(VLOOKUP($BJ304,坦克个性化设定!$B$18:$E$48,4,FALSE)&amp;$BK304,坦克属性分配比例,MATCH("升星次数",坦克属性分配比例标头,0),FALSE),0)</f>
        <v>315</v>
      </c>
      <c r="BS304" s="2">
        <f>ROUND(VLOOKUP($BJ304,$AI$3:$AO$33,MATCH(BS$3,$AI$3:$AO$3,0),FALSE)+$BL304/VLOOKUP(VLOOKUP($BJ304,坦克个性化设定!$B$18:$E$48,4,FALSE)&amp;$BK304,坦克属性分配比例,MATCH("升星次数",坦克属性分配比例标头,0),FALSE)*VLOOKUP($BJ304,$AR$3:$AY$33,MATCH(BS$3,$AR$3:$AY$3,0),FALSE),1)</f>
        <v>35.4</v>
      </c>
      <c r="BT304" s="2">
        <f>ROUND(VLOOKUP($BJ304,$AI$3:$AO$33,MATCH(BT$3,$AI$3:$AO$3,0),FALSE)+$BL304/VLOOKUP(VLOOKUP($BJ304,坦克个性化设定!$B$18:$E$48,4,FALSE)&amp;$BK304,坦克属性分配比例,MATCH("升星次数",坦克属性分配比例标头,0),FALSE)*VLOOKUP($BJ304,$AR$3:$AY$33,MATCH(BT$3,$AR$3:$AY$3,0),FALSE),1)</f>
        <v>40.4</v>
      </c>
      <c r="BU304" s="2">
        <f>ROUND(VLOOKUP($BJ304,$AI$3:$AO$33,MATCH(BU$3,$AI$3:$AO$3,0),FALSE)+$BL304/VLOOKUP(VLOOKUP($BJ304,坦克个性化设定!$B$18:$E$48,4,FALSE)&amp;$BK304,坦克属性分配比例,MATCH("升星次数",坦克属性分配比例标头,0),FALSE)*VLOOKUP($BJ304,$AR$3:$AY$33,MATCH(BU$3,$AR$3:$AY$3,0),FALSE),1)</f>
        <v>6.3</v>
      </c>
      <c r="BV304" s="2">
        <f>IF(VLOOKUP(BJ304,坦克个性化设定!$B$18:$BC$48,MATCH("装弹类型",坦克个性化设定!$B$18:$BC$18,0),FALSE)="弹夹换弹",0,ROUND(VLOOKUP($BJ304,$AI$3:$AO$33,MATCH("换弹时间",$AI$3:$AO$3,0),FALSE)-$BL304/VLOOKUP(VLOOKUP($BJ304,坦克个性化设定!$B$18:$E$48,4,FALSE)&amp;$BK304,坦克属性分配比例,MATCH("升星次数",坦克属性分配比例标头,0),FALSE)*VLOOKUP($BJ304,$AR$3:$AY$33,MATCH("换弹时间",$AR$3:$AY$3,0),FALSE),2))</f>
        <v>5.48</v>
      </c>
      <c r="BW304" s="2">
        <f>IF(VLOOKUP(BJ304,坦克个性化设定!$B$18:$BC$48,MATCH("装弹类型",坦克个性化设定!$B$18:$BC$18,0),FALSE)="弹夹换弹",ROUND(VLOOKUP($BJ304,$AI$3:$AO$33,MATCH("换弹时间",$AI$3:$AO$3,0),FALSE)-$BL304/VLOOKUP(VLOOKUP($BJ304,坦克个性化设定!$B$18:$E$48,4,FALSE)&amp;$BK304,坦克属性分配比例,MATCH("升星次数",坦克属性分配比例标头,0),FALSE)*VLOOKUP($BJ304,$AR$3:$AY$33,MATCH("换弹时间",$AR$3:$AY$3,0),FALSE),1),0)</f>
        <v>0</v>
      </c>
      <c r="BX304" s="2">
        <f>ROUND(VLOOKUP($BJ304,$AI$3:$AO$33,MATCH(BX$3,$AI$3:$AO$3,0),FALSE)+$BL304/VLOOKUP(VLOOKUP($BJ304,坦克个性化设定!$B$18:$E$48,4,FALSE)&amp;$BK304,坦克属性分配比例,MATCH("升星次数",坦克属性分配比例标头,0),FALSE)*VLOOKUP($BJ304,$AR$3:$AY$33,MATCH(BX$3,$AR$3:$AY$3,0),FALSE),2)</f>
        <v>0</v>
      </c>
      <c r="BY304" s="2">
        <f>ROUND(VLOOKUP($BJ304,$AI$3:$AO$33,MATCH(BY$3,$AI$3:$AO$3,0),FALSE)-$BL304/VLOOKUP(VLOOKUP($BJ304,坦克个性化设定!$B$18:$E$48,4,FALSE)&amp;$BK304,坦克属性分配比例,MATCH("升星次数",坦克属性分配比例标头,0),FALSE)*VLOOKUP($BJ304,$AR$3:$AY$33,MATCH(BY$3,$AR$3:$AY$3,0),FALSE),2)</f>
        <v>2.69</v>
      </c>
    </row>
    <row r="305" spans="60:77" x14ac:dyDescent="0.3">
      <c r="BH305" s="2" t="str">
        <f t="shared" si="35"/>
        <v>M1A29</v>
      </c>
      <c r="BI305" s="2">
        <f>IF(BL304&gt;=VLOOKUP(VLOOKUP(BJ304,坦克个性化设定!$B$18:$E$48,4,FALSE)&amp;BK304,坦克属性分配比例,MATCH("升星次数",坦克属性分配比例标头,0),FALSE),BI304+1,BI304)</f>
        <v>30</v>
      </c>
      <c r="BJ305" s="2" t="str">
        <f t="shared" si="36"/>
        <v>M1A2</v>
      </c>
      <c r="BK305" s="29" t="str">
        <f>VLOOKUP(BJ305,坦克个性化细分!$I$3:$J$33,2,FALSE)</f>
        <v>低</v>
      </c>
      <c r="BL305" s="2">
        <f t="shared" si="37"/>
        <v>9</v>
      </c>
      <c r="BM305" s="103">
        <f ca="1">ROUND(VLOOKUP($BJ305&amp;"初始",$S$3:$AE$63,MATCH(BM$3,$S$3:$AE$3,0),FALSE)+((VLOOKUP($BJ305&amp;"最终",$S$3:$AE$63,MATCH(BM$3,$S$3:$AE$3,0),FALSE)*坦克个性化细分!$C$9-VLOOKUP($BJ305&amp;"初始",$S$3:$AE$63,MATCH(BM$3,$S$3:$AE$3,0),FALSE))-(VLOOKUP($BJ305&amp;"最终",$S$3:$AE$63,MATCH(BM$3,$S$3:$AE$3,0),FALSE)-VLOOKUP($BJ305&amp;"初始",$S$3:$AE$63,MATCH(BM$3,$S$3:$AE$3,0),FALSE))*VLOOKUP(VLOOKUP($BJ305,坦克个性化设定!$B$18:$E$48,4,FALSE)&amp;$BK305,坦克属性分配比例,MATCH("部件比例",坦克属性分配比例标头,0),FALSE))*$BL305/VLOOKUP(VLOOKUP($BJ305,坦克个性化设定!$B$18:$E$48,4,FALSE)&amp;$BK305,坦克属性分配比例,MATCH("升星次数",坦克属性分配比例标头,0),FALSE),0)</f>
        <v>3386</v>
      </c>
      <c r="BN305" s="103">
        <f ca="1">ROUND(VLOOKUP($BJ305&amp;"初始",$S$3:$AE$63,MATCH(BN$3,$S$3:$AE$3,0),FALSE)+(VLOOKUP($BJ305&amp;"最终",$S$3:$AE$63,MATCH(BN$3,$S$3:$AE$3,0),FALSE)-VLOOKUP($BJ305&amp;"初始",$S$3:$AE$63,MATCH(BN$3,$S$3:$AE$3,0),FALSE))*$BL305/VLOOKUP(VLOOKUP($BJ305,坦克个性化设定!$B$18:$E$48,4,FALSE)&amp;$BK305,坦克属性分配比例,MATCH("升星次数",坦克属性分配比例标头,0),FALSE)*VLOOKUP(VLOOKUP($BJ305,坦克个性化设定!$B$18:$E$48,4,FALSE)&amp;$BK305,坦克属性分配比例,MATCH("升星比例",坦克属性分配比例标头,0),FALSE),0)</f>
        <v>971</v>
      </c>
      <c r="BO305" s="103">
        <f ca="1">ROUND(VLOOKUP($BJ305&amp;"初始",$S$3:$AE$63,MATCH(BO$3,$S$3:$AE$3,0),FALSE)+(VLOOKUP($BJ305&amp;"最终",$S$3:$AE$63,MATCH(BO$3,$S$3:$AE$3,0),FALSE)-VLOOKUP($BJ305&amp;"初始",$S$3:$AE$63,MATCH(BO$3,$S$3:$AE$3,0),FALSE))*$BL305/VLOOKUP(VLOOKUP($BJ305,坦克个性化设定!$B$18:$E$48,4,FALSE)&amp;$BK305,坦克属性分配比例,MATCH("升星次数",坦克属性分配比例标头,0),FALSE)*(VLOOKUP(VLOOKUP($BJ305,坦克个性化设定!$B$18:$E$48,4,FALSE)&amp;$BK305,坦克属性分配比例,MATCH("升星比例",坦克属性分配比例标头,0),FALSE)+VLOOKUP(VLOOKUP($BJ305,坦克个性化设定!$B$18:$E$48,4,FALSE)&amp;$BK305,坦克属性分配比例,MATCH("部件比例",坦克属性分配比例标头,0),FALSE)*$C$3),0)</f>
        <v>989</v>
      </c>
      <c r="BP305" s="103">
        <f ca="1">ROUND(VLOOKUP($BJ305&amp;"初始",$S$3:$AE$63,MATCH(BP$3,$S$3:$AE$3,0),FALSE)+(VLOOKUP($BJ305&amp;"最终",$S$3:$AE$63,MATCH(BP$3,$S$3:$AE$3,0),FALSE)-VLOOKUP($BJ305&amp;"初始",$S$3:$AE$63,MATCH(BP$3,$S$3:$AE$3,0),FALSE))*$BL305/VLOOKUP(VLOOKUP($BJ305,坦克个性化设定!$B$18:$E$48,4,FALSE)&amp;$BK305,坦克属性分配比例,MATCH("升星次数",坦克属性分配比例标头,0),FALSE)*(VLOOKUP(VLOOKUP($BJ305,坦克个性化设定!$B$18:$E$48,4,FALSE)&amp;$BK305,坦克属性分配比例,MATCH("升星比例",坦克属性分配比例标头,0),FALSE)+VLOOKUP(VLOOKUP($BJ305,坦克个性化设定!$B$18:$E$48,4,FALSE)&amp;$BK305,坦克属性分配比例,MATCH("部件比例",坦克属性分配比例标头,0),FALSE)*$C$3),0)</f>
        <v>791</v>
      </c>
      <c r="BQ305" s="103">
        <f ca="1">ROUND(VLOOKUP($BJ305&amp;"初始",$S$3:$AE$63,MATCH(BQ$3,$S$3:$AE$3,0),FALSE)+(VLOOKUP($BJ305&amp;"最终",$S$3:$AE$63,MATCH(BQ$3,$S$3:$AE$3,0),FALSE)-VLOOKUP($BJ305&amp;"初始",$S$3:$AE$63,MATCH(BQ$3,$S$3:$AE$3,0),FALSE))*$BL305/VLOOKUP(VLOOKUP($BJ305,坦克个性化设定!$B$18:$E$48,4,FALSE)&amp;$BK305,坦克属性分配比例,MATCH("升星次数",坦克属性分配比例标头,0),FALSE)*VLOOKUP(VLOOKUP($BJ305,坦克个性化设定!$B$18:$E$48,4,FALSE)&amp;$BK305,坦克属性分配比例,MATCH("升星比例",坦克属性分配比例标头,0),FALSE),0)</f>
        <v>1222</v>
      </c>
      <c r="BR305" s="2">
        <f ca="1">ROUND(VLOOKUP($BJ305&amp;"初始",$S$3:$AE$63,MATCH(BR$3,$S$3:$AE$3,0),FALSE)+(VLOOKUP($BJ305&amp;"最终",$S$3:$AE$63,MATCH(BR$3,$S$3:$AE$3,0),FALSE)-VLOOKUP($BJ305&amp;"初始",$S$3:$AE$63,MATCH(BR$3,$S$3:$AE$3,0),FALSE))*$BL305/VLOOKUP(VLOOKUP($BJ305,坦克个性化设定!$B$18:$E$48,4,FALSE)&amp;$BK305,坦克属性分配比例,MATCH("升星次数",坦克属性分配比例标头,0),FALSE),0)</f>
        <v>323</v>
      </c>
      <c r="BS305" s="2">
        <f>ROUND(VLOOKUP($BJ305,$AI$3:$AO$33,MATCH(BS$3,$AI$3:$AO$3,0),FALSE)+$BL305/VLOOKUP(VLOOKUP($BJ305,坦克个性化设定!$B$18:$E$48,4,FALSE)&amp;$BK305,坦克属性分配比例,MATCH("升星次数",坦克属性分配比例标头,0),FALSE)*VLOOKUP($BJ305,$AR$3:$AY$33,MATCH(BS$3,$AR$3:$AY$3,0),FALSE),1)</f>
        <v>36</v>
      </c>
      <c r="BT305" s="2">
        <f>ROUND(VLOOKUP($BJ305,$AI$3:$AO$33,MATCH(BT$3,$AI$3:$AO$3,0),FALSE)+$BL305/VLOOKUP(VLOOKUP($BJ305,坦克个性化设定!$B$18:$E$48,4,FALSE)&amp;$BK305,坦克属性分配比例,MATCH("升星次数",坦克属性分配比例标头,0),FALSE)*VLOOKUP($BJ305,$AR$3:$AY$33,MATCH(BT$3,$AR$3:$AY$3,0),FALSE),1)</f>
        <v>41.1</v>
      </c>
      <c r="BU305" s="2">
        <f>ROUND(VLOOKUP($BJ305,$AI$3:$AO$33,MATCH(BU$3,$AI$3:$AO$3,0),FALSE)+$BL305/VLOOKUP(VLOOKUP($BJ305,坦克个性化设定!$B$18:$E$48,4,FALSE)&amp;$BK305,坦克属性分配比例,MATCH("升星次数",坦克属性分配比例标头,0),FALSE)*VLOOKUP($BJ305,$AR$3:$AY$33,MATCH(BU$3,$AR$3:$AY$3,0),FALSE),1)</f>
        <v>6.3</v>
      </c>
      <c r="BV305" s="2">
        <f>IF(VLOOKUP(BJ305,坦克个性化设定!$B$18:$BC$48,MATCH("装弹类型",坦克个性化设定!$B$18:$BC$18,0),FALSE)="弹夹换弹",0,ROUND(VLOOKUP($BJ305,$AI$3:$AO$33,MATCH("换弹时间",$AI$3:$AO$3,0),FALSE)-$BL305/VLOOKUP(VLOOKUP($BJ305,坦克个性化设定!$B$18:$E$48,4,FALSE)&amp;$BK305,坦克属性分配比例,MATCH("升星次数",坦克属性分配比例标头,0),FALSE)*VLOOKUP($BJ305,$AR$3:$AY$33,MATCH("换弹时间",$AR$3:$AY$3,0),FALSE),2))</f>
        <v>5.41</v>
      </c>
      <c r="BW305" s="2">
        <f>IF(VLOOKUP(BJ305,坦克个性化设定!$B$18:$BC$48,MATCH("装弹类型",坦克个性化设定!$B$18:$BC$18,0),FALSE)="弹夹换弹",ROUND(VLOOKUP($BJ305,$AI$3:$AO$33,MATCH("换弹时间",$AI$3:$AO$3,0),FALSE)-$BL305/VLOOKUP(VLOOKUP($BJ305,坦克个性化设定!$B$18:$E$48,4,FALSE)&amp;$BK305,坦克属性分配比例,MATCH("升星次数",坦克属性分配比例标头,0),FALSE)*VLOOKUP($BJ305,$AR$3:$AY$33,MATCH("换弹时间",$AR$3:$AY$3,0),FALSE),1),0)</f>
        <v>0</v>
      </c>
      <c r="BX305" s="2">
        <f>ROUND(VLOOKUP($BJ305,$AI$3:$AO$33,MATCH(BX$3,$AI$3:$AO$3,0),FALSE)+$BL305/VLOOKUP(VLOOKUP($BJ305,坦克个性化设定!$B$18:$E$48,4,FALSE)&amp;$BK305,坦克属性分配比例,MATCH("升星次数",坦克属性分配比例标头,0),FALSE)*VLOOKUP($BJ305,$AR$3:$AY$33,MATCH(BX$3,$AR$3:$AY$3,0),FALSE),2)</f>
        <v>0</v>
      </c>
      <c r="BY305" s="2">
        <f>ROUND(VLOOKUP($BJ305,$AI$3:$AO$33,MATCH(BY$3,$AI$3:$AO$3,0),FALSE)-$BL305/VLOOKUP(VLOOKUP($BJ305,坦克个性化设定!$B$18:$E$48,4,FALSE)&amp;$BK305,坦克属性分配比例,MATCH("升星次数",坦克属性分配比例标头,0),FALSE)*VLOOKUP($BJ305,$AR$3:$AY$33,MATCH(BY$3,$AR$3:$AY$3,0),FALSE),2)</f>
        <v>2.65</v>
      </c>
    </row>
    <row r="306" spans="60:77" x14ac:dyDescent="0.3">
      <c r="BH306" s="2" t="str">
        <f t="shared" si="35"/>
        <v>M1A210</v>
      </c>
      <c r="BI306" s="2">
        <f>IF(BL305&gt;=VLOOKUP(VLOOKUP(BJ305,坦克个性化设定!$B$18:$E$48,4,FALSE)&amp;BK305,坦克属性分配比例,MATCH("升星次数",坦克属性分配比例标头,0),FALSE),BI305+1,BI305)</f>
        <v>30</v>
      </c>
      <c r="BJ306" s="2" t="str">
        <f t="shared" si="36"/>
        <v>M1A2</v>
      </c>
      <c r="BK306" s="29" t="str">
        <f>VLOOKUP(BJ306,坦克个性化细分!$I$3:$J$33,2,FALSE)</f>
        <v>低</v>
      </c>
      <c r="BL306" s="2">
        <f t="shared" si="37"/>
        <v>10</v>
      </c>
      <c r="BM306" s="103">
        <f ca="1">ROUND(VLOOKUP($BJ306&amp;"初始",$S$3:$AE$63,MATCH(BM$3,$S$3:$AE$3,0),FALSE)+((VLOOKUP($BJ306&amp;"最终",$S$3:$AE$63,MATCH(BM$3,$S$3:$AE$3,0),FALSE)*坦克个性化细分!$C$9-VLOOKUP($BJ306&amp;"初始",$S$3:$AE$63,MATCH(BM$3,$S$3:$AE$3,0),FALSE))-(VLOOKUP($BJ306&amp;"最终",$S$3:$AE$63,MATCH(BM$3,$S$3:$AE$3,0),FALSE)-VLOOKUP($BJ306&amp;"初始",$S$3:$AE$63,MATCH(BM$3,$S$3:$AE$3,0),FALSE))*VLOOKUP(VLOOKUP($BJ306,坦克个性化设定!$B$18:$E$48,4,FALSE)&amp;$BK306,坦克属性分配比例,MATCH("部件比例",坦克属性分配比例标头,0),FALSE))*$BL306/VLOOKUP(VLOOKUP($BJ306,坦克个性化设定!$B$18:$E$48,4,FALSE)&amp;$BK306,坦克属性分配比例,MATCH("升星次数",坦克属性分配比例标头,0),FALSE),0)</f>
        <v>3472</v>
      </c>
      <c r="BN306" s="103">
        <f ca="1">ROUND(VLOOKUP($BJ306&amp;"初始",$S$3:$AE$63,MATCH(BN$3,$S$3:$AE$3,0),FALSE)+(VLOOKUP($BJ306&amp;"最终",$S$3:$AE$63,MATCH(BN$3,$S$3:$AE$3,0),FALSE)-VLOOKUP($BJ306&amp;"初始",$S$3:$AE$63,MATCH(BN$3,$S$3:$AE$3,0),FALSE))*$BL306/VLOOKUP(VLOOKUP($BJ306,坦克个性化设定!$B$18:$E$48,4,FALSE)&amp;$BK306,坦克属性分配比例,MATCH("升星次数",坦克属性分配比例标头,0),FALSE)*VLOOKUP(VLOOKUP($BJ306,坦克个性化设定!$B$18:$E$48,4,FALSE)&amp;$BK306,坦克属性分配比例,MATCH("升星比例",坦克属性分配比例标头,0),FALSE),0)</f>
        <v>986</v>
      </c>
      <c r="BO306" s="103">
        <f ca="1">ROUND(VLOOKUP($BJ306&amp;"初始",$S$3:$AE$63,MATCH(BO$3,$S$3:$AE$3,0),FALSE)+(VLOOKUP($BJ306&amp;"最终",$S$3:$AE$63,MATCH(BO$3,$S$3:$AE$3,0),FALSE)-VLOOKUP($BJ306&amp;"初始",$S$3:$AE$63,MATCH(BO$3,$S$3:$AE$3,0),FALSE))*$BL306/VLOOKUP(VLOOKUP($BJ306,坦克个性化设定!$B$18:$E$48,4,FALSE)&amp;$BK306,坦克属性分配比例,MATCH("升星次数",坦克属性分配比例标头,0),FALSE)*(VLOOKUP(VLOOKUP($BJ306,坦克个性化设定!$B$18:$E$48,4,FALSE)&amp;$BK306,坦克属性分配比例,MATCH("升星比例",坦克属性分配比例标头,0),FALSE)+VLOOKUP(VLOOKUP($BJ306,坦克个性化设定!$B$18:$E$48,4,FALSE)&amp;$BK306,坦克属性分配比例,MATCH("部件比例",坦克属性分配比例标头,0),FALSE)*$C$3),0)</f>
        <v>1010</v>
      </c>
      <c r="BP306" s="103">
        <f ca="1">ROUND(VLOOKUP($BJ306&amp;"初始",$S$3:$AE$63,MATCH(BP$3,$S$3:$AE$3,0),FALSE)+(VLOOKUP($BJ306&amp;"最终",$S$3:$AE$63,MATCH(BP$3,$S$3:$AE$3,0),FALSE)-VLOOKUP($BJ306&amp;"初始",$S$3:$AE$63,MATCH(BP$3,$S$3:$AE$3,0),FALSE))*$BL306/VLOOKUP(VLOOKUP($BJ306,坦克个性化设定!$B$18:$E$48,4,FALSE)&amp;$BK306,坦克属性分配比例,MATCH("升星次数",坦克属性分配比例标头,0),FALSE)*(VLOOKUP(VLOOKUP($BJ306,坦克个性化设定!$B$18:$E$48,4,FALSE)&amp;$BK306,坦克属性分配比例,MATCH("升星比例",坦克属性分配比例标头,0),FALSE)+VLOOKUP(VLOOKUP($BJ306,坦克个性化设定!$B$18:$E$48,4,FALSE)&amp;$BK306,坦克属性分配比例,MATCH("部件比例",坦克属性分配比例标头,0),FALSE)*$C$3),0)</f>
        <v>809</v>
      </c>
      <c r="BQ306" s="103">
        <f ca="1">ROUND(VLOOKUP($BJ306&amp;"初始",$S$3:$AE$63,MATCH(BQ$3,$S$3:$AE$3,0),FALSE)+(VLOOKUP($BJ306&amp;"最终",$S$3:$AE$63,MATCH(BQ$3,$S$3:$AE$3,0),FALSE)-VLOOKUP($BJ306&amp;"初始",$S$3:$AE$63,MATCH(BQ$3,$S$3:$AE$3,0),FALSE))*$BL306/VLOOKUP(VLOOKUP($BJ306,坦克个性化设定!$B$18:$E$48,4,FALSE)&amp;$BK306,坦克属性分配比例,MATCH("升星次数",坦克属性分配比例标头,0),FALSE)*VLOOKUP(VLOOKUP($BJ306,坦克个性化设定!$B$18:$E$48,4,FALSE)&amp;$BK306,坦克属性分配比例,MATCH("升星比例",坦克属性分配比例标头,0),FALSE),0)</f>
        <v>1241</v>
      </c>
      <c r="BR306" s="2">
        <f ca="1">ROUND(VLOOKUP($BJ306&amp;"初始",$S$3:$AE$63,MATCH(BR$3,$S$3:$AE$3,0),FALSE)+(VLOOKUP($BJ306&amp;"最终",$S$3:$AE$63,MATCH(BR$3,$S$3:$AE$3,0),FALSE)-VLOOKUP($BJ306&amp;"初始",$S$3:$AE$63,MATCH(BR$3,$S$3:$AE$3,0),FALSE))*$BL306/VLOOKUP(VLOOKUP($BJ306,坦克个性化设定!$B$18:$E$48,4,FALSE)&amp;$BK306,坦克属性分配比例,MATCH("升星次数",坦克属性分配比例标头,0),FALSE),0)</f>
        <v>332</v>
      </c>
      <c r="BS306" s="2">
        <f>ROUND(VLOOKUP($BJ306,$AI$3:$AO$33,MATCH(BS$3,$AI$3:$AO$3,0),FALSE)+$BL306/VLOOKUP(VLOOKUP($BJ306,坦克个性化设定!$B$18:$E$48,4,FALSE)&amp;$BK306,坦克属性分配比例,MATCH("升星次数",坦克属性分配比例标头,0),FALSE)*VLOOKUP($BJ306,$AR$3:$AY$33,MATCH(BS$3,$AR$3:$AY$3,0),FALSE),1)</f>
        <v>36.6</v>
      </c>
      <c r="BT306" s="2">
        <f>ROUND(VLOOKUP($BJ306,$AI$3:$AO$33,MATCH(BT$3,$AI$3:$AO$3,0),FALSE)+$BL306/VLOOKUP(VLOOKUP($BJ306,坦克个性化设定!$B$18:$E$48,4,FALSE)&amp;$BK306,坦克属性分配比例,MATCH("升星次数",坦克属性分配比例标头,0),FALSE)*VLOOKUP($BJ306,$AR$3:$AY$33,MATCH(BT$3,$AR$3:$AY$3,0),FALSE),1)</f>
        <v>41.7</v>
      </c>
      <c r="BU306" s="2">
        <f>ROUND(VLOOKUP($BJ306,$AI$3:$AO$33,MATCH(BU$3,$AI$3:$AO$3,0),FALSE)+$BL306/VLOOKUP(VLOOKUP($BJ306,坦克个性化设定!$B$18:$E$48,4,FALSE)&amp;$BK306,坦克属性分配比例,MATCH("升星次数",坦克属性分配比例标头,0),FALSE)*VLOOKUP($BJ306,$AR$3:$AY$33,MATCH(BU$3,$AR$3:$AY$3,0),FALSE),1)</f>
        <v>6.3</v>
      </c>
      <c r="BV306" s="2">
        <f>IF(VLOOKUP(BJ306,坦克个性化设定!$B$18:$BC$48,MATCH("装弹类型",坦克个性化设定!$B$18:$BC$18,0),FALSE)="弹夹换弹",0,ROUND(VLOOKUP($BJ306,$AI$3:$AO$33,MATCH("换弹时间",$AI$3:$AO$3,0),FALSE)-$BL306/VLOOKUP(VLOOKUP($BJ306,坦克个性化设定!$B$18:$E$48,4,FALSE)&amp;$BK306,坦克属性分配比例,MATCH("升星次数",坦克属性分配比例标头,0),FALSE)*VLOOKUP($BJ306,$AR$3:$AY$33,MATCH("换弹时间",$AR$3:$AY$3,0),FALSE),2))</f>
        <v>5.35</v>
      </c>
      <c r="BW306" s="2">
        <f>IF(VLOOKUP(BJ306,坦克个性化设定!$B$18:$BC$48,MATCH("装弹类型",坦克个性化设定!$B$18:$BC$18,0),FALSE)="弹夹换弹",ROUND(VLOOKUP($BJ306,$AI$3:$AO$33,MATCH("换弹时间",$AI$3:$AO$3,0),FALSE)-$BL306/VLOOKUP(VLOOKUP($BJ306,坦克个性化设定!$B$18:$E$48,4,FALSE)&amp;$BK306,坦克属性分配比例,MATCH("升星次数",坦克属性分配比例标头,0),FALSE)*VLOOKUP($BJ306,$AR$3:$AY$33,MATCH("换弹时间",$AR$3:$AY$3,0),FALSE),1),0)</f>
        <v>0</v>
      </c>
      <c r="BX306" s="2">
        <f>ROUND(VLOOKUP($BJ306,$AI$3:$AO$33,MATCH(BX$3,$AI$3:$AO$3,0),FALSE)+$BL306/VLOOKUP(VLOOKUP($BJ306,坦克个性化设定!$B$18:$E$48,4,FALSE)&amp;$BK306,坦克属性分配比例,MATCH("升星次数",坦克属性分配比例标头,0),FALSE)*VLOOKUP($BJ306,$AR$3:$AY$33,MATCH(BX$3,$AR$3:$AY$3,0),FALSE),2)</f>
        <v>0</v>
      </c>
      <c r="BY306" s="2">
        <f>ROUND(VLOOKUP($BJ306,$AI$3:$AO$33,MATCH(BY$3,$AI$3:$AO$3,0),FALSE)-$BL306/VLOOKUP(VLOOKUP($BJ306,坦克个性化设定!$B$18:$E$48,4,FALSE)&amp;$BK306,坦克属性分配比例,MATCH("升星次数",坦克属性分配比例标头,0),FALSE)*VLOOKUP($BJ306,$AR$3:$AY$33,MATCH(BY$3,$AR$3:$AY$3,0),FALSE),2)</f>
        <v>2.62</v>
      </c>
    </row>
    <row r="307" spans="60:77" x14ac:dyDescent="0.3">
      <c r="BH307" s="2" t="str">
        <f t="shared" si="35"/>
        <v>M1A211</v>
      </c>
      <c r="BI307" s="2">
        <f>IF(BL306&gt;=VLOOKUP(VLOOKUP(BJ306,坦克个性化设定!$B$18:$E$48,4,FALSE)&amp;BK306,坦克属性分配比例,MATCH("升星次数",坦克属性分配比例标头,0),FALSE),BI306+1,BI306)</f>
        <v>30</v>
      </c>
      <c r="BJ307" s="2" t="str">
        <f t="shared" si="36"/>
        <v>M1A2</v>
      </c>
      <c r="BK307" s="29" t="str">
        <f>VLOOKUP(BJ307,坦克个性化细分!$I$3:$J$33,2,FALSE)</f>
        <v>低</v>
      </c>
      <c r="BL307" s="2">
        <f t="shared" si="37"/>
        <v>11</v>
      </c>
      <c r="BM307" s="103">
        <f ca="1">ROUND(VLOOKUP($BJ307&amp;"初始",$S$3:$AE$63,MATCH(BM$3,$S$3:$AE$3,0),FALSE)+((VLOOKUP($BJ307&amp;"最终",$S$3:$AE$63,MATCH(BM$3,$S$3:$AE$3,0),FALSE)*坦克个性化细分!$C$9-VLOOKUP($BJ307&amp;"初始",$S$3:$AE$63,MATCH(BM$3,$S$3:$AE$3,0),FALSE))-(VLOOKUP($BJ307&amp;"最终",$S$3:$AE$63,MATCH(BM$3,$S$3:$AE$3,0),FALSE)-VLOOKUP($BJ307&amp;"初始",$S$3:$AE$63,MATCH(BM$3,$S$3:$AE$3,0),FALSE))*VLOOKUP(VLOOKUP($BJ307,坦克个性化设定!$B$18:$E$48,4,FALSE)&amp;$BK307,坦克属性分配比例,MATCH("部件比例",坦克属性分配比例标头,0),FALSE))*$BL307/VLOOKUP(VLOOKUP($BJ307,坦克个性化设定!$B$18:$E$48,4,FALSE)&amp;$BK307,坦克属性分配比例,MATCH("升星次数",坦克属性分配比例标头,0),FALSE),0)</f>
        <v>3557</v>
      </c>
      <c r="BN307" s="103">
        <f ca="1">ROUND(VLOOKUP($BJ307&amp;"初始",$S$3:$AE$63,MATCH(BN$3,$S$3:$AE$3,0),FALSE)+(VLOOKUP($BJ307&amp;"最终",$S$3:$AE$63,MATCH(BN$3,$S$3:$AE$3,0),FALSE)-VLOOKUP($BJ307&amp;"初始",$S$3:$AE$63,MATCH(BN$3,$S$3:$AE$3,0),FALSE))*$BL307/VLOOKUP(VLOOKUP($BJ307,坦克个性化设定!$B$18:$E$48,4,FALSE)&amp;$BK307,坦克属性分配比例,MATCH("升星次数",坦克属性分配比例标头,0),FALSE)*VLOOKUP(VLOOKUP($BJ307,坦克个性化设定!$B$18:$E$48,4,FALSE)&amp;$BK307,坦克属性分配比例,MATCH("升星比例",坦克属性分配比例标头,0),FALSE),0)</f>
        <v>1000</v>
      </c>
      <c r="BO307" s="103">
        <f ca="1">ROUND(VLOOKUP($BJ307&amp;"初始",$S$3:$AE$63,MATCH(BO$3,$S$3:$AE$3,0),FALSE)+(VLOOKUP($BJ307&amp;"最终",$S$3:$AE$63,MATCH(BO$3,$S$3:$AE$3,0),FALSE)-VLOOKUP($BJ307&amp;"初始",$S$3:$AE$63,MATCH(BO$3,$S$3:$AE$3,0),FALSE))*$BL307/VLOOKUP(VLOOKUP($BJ307,坦克个性化设定!$B$18:$E$48,4,FALSE)&amp;$BK307,坦克属性分配比例,MATCH("升星次数",坦克属性分配比例标头,0),FALSE)*(VLOOKUP(VLOOKUP($BJ307,坦克个性化设定!$B$18:$E$48,4,FALSE)&amp;$BK307,坦克属性分配比例,MATCH("升星比例",坦克属性分配比例标头,0),FALSE)+VLOOKUP(VLOOKUP($BJ307,坦克个性化设定!$B$18:$E$48,4,FALSE)&amp;$BK307,坦克属性分配比例,MATCH("部件比例",坦克属性分配比例标头,0),FALSE)*$C$3),0)</f>
        <v>1032</v>
      </c>
      <c r="BP307" s="103">
        <f ca="1">ROUND(VLOOKUP($BJ307&amp;"初始",$S$3:$AE$63,MATCH(BP$3,$S$3:$AE$3,0),FALSE)+(VLOOKUP($BJ307&amp;"最终",$S$3:$AE$63,MATCH(BP$3,$S$3:$AE$3,0),FALSE)-VLOOKUP($BJ307&amp;"初始",$S$3:$AE$63,MATCH(BP$3,$S$3:$AE$3,0),FALSE))*$BL307/VLOOKUP(VLOOKUP($BJ307,坦克个性化设定!$B$18:$E$48,4,FALSE)&amp;$BK307,坦克属性分配比例,MATCH("升星次数",坦克属性分配比例标头,0),FALSE)*(VLOOKUP(VLOOKUP($BJ307,坦克个性化设定!$B$18:$E$48,4,FALSE)&amp;$BK307,坦克属性分配比例,MATCH("升星比例",坦克属性分配比例标头,0),FALSE)+VLOOKUP(VLOOKUP($BJ307,坦克个性化设定!$B$18:$E$48,4,FALSE)&amp;$BK307,坦克属性分配比例,MATCH("部件比例",坦克属性分配比例标头,0),FALSE)*$C$3),0)</f>
        <v>826</v>
      </c>
      <c r="BQ307" s="103">
        <f ca="1">ROUND(VLOOKUP($BJ307&amp;"初始",$S$3:$AE$63,MATCH(BQ$3,$S$3:$AE$3,0),FALSE)+(VLOOKUP($BJ307&amp;"最终",$S$3:$AE$63,MATCH(BQ$3,$S$3:$AE$3,0),FALSE)-VLOOKUP($BJ307&amp;"初始",$S$3:$AE$63,MATCH(BQ$3,$S$3:$AE$3,0),FALSE))*$BL307/VLOOKUP(VLOOKUP($BJ307,坦克个性化设定!$B$18:$E$48,4,FALSE)&amp;$BK307,坦克属性分配比例,MATCH("升星次数",坦克属性分配比例标头,0),FALSE)*VLOOKUP(VLOOKUP($BJ307,坦克个性化设定!$B$18:$E$48,4,FALSE)&amp;$BK307,坦克属性分配比例,MATCH("升星比例",坦克属性分配比例标头,0),FALSE),0)</f>
        <v>1259</v>
      </c>
      <c r="BR307" s="2">
        <f ca="1">ROUND(VLOOKUP($BJ307&amp;"初始",$S$3:$AE$63,MATCH(BR$3,$S$3:$AE$3,0),FALSE)+(VLOOKUP($BJ307&amp;"最终",$S$3:$AE$63,MATCH(BR$3,$S$3:$AE$3,0),FALSE)-VLOOKUP($BJ307&amp;"初始",$S$3:$AE$63,MATCH(BR$3,$S$3:$AE$3,0),FALSE))*$BL307/VLOOKUP(VLOOKUP($BJ307,坦克个性化设定!$B$18:$E$48,4,FALSE)&amp;$BK307,坦克属性分配比例,MATCH("升星次数",坦克属性分配比例标头,0),FALSE),0)</f>
        <v>340</v>
      </c>
      <c r="BS307" s="2">
        <f>ROUND(VLOOKUP($BJ307,$AI$3:$AO$33,MATCH(BS$3,$AI$3:$AO$3,0),FALSE)+$BL307/VLOOKUP(VLOOKUP($BJ307,坦克个性化设定!$B$18:$E$48,4,FALSE)&amp;$BK307,坦克属性分配比例,MATCH("升星次数",坦克属性分配比例标头,0),FALSE)*VLOOKUP($BJ307,$AR$3:$AY$33,MATCH(BS$3,$AR$3:$AY$3,0),FALSE),1)</f>
        <v>37.200000000000003</v>
      </c>
      <c r="BT307" s="2">
        <f>ROUND(VLOOKUP($BJ307,$AI$3:$AO$33,MATCH(BT$3,$AI$3:$AO$3,0),FALSE)+$BL307/VLOOKUP(VLOOKUP($BJ307,坦克个性化设定!$B$18:$E$48,4,FALSE)&amp;$BK307,坦克属性分配比例,MATCH("升星次数",坦克属性分配比例标头,0),FALSE)*VLOOKUP($BJ307,$AR$3:$AY$33,MATCH(BT$3,$AR$3:$AY$3,0),FALSE),1)</f>
        <v>42.4</v>
      </c>
      <c r="BU307" s="2">
        <f>ROUND(VLOOKUP($BJ307,$AI$3:$AO$33,MATCH(BU$3,$AI$3:$AO$3,0),FALSE)+$BL307/VLOOKUP(VLOOKUP($BJ307,坦克个性化设定!$B$18:$E$48,4,FALSE)&amp;$BK307,坦克属性分配比例,MATCH("升星次数",坦克属性分配比例标头,0),FALSE)*VLOOKUP($BJ307,$AR$3:$AY$33,MATCH(BU$3,$AR$3:$AY$3,0),FALSE),1)</f>
        <v>6.3</v>
      </c>
      <c r="BV307" s="2">
        <f>IF(VLOOKUP(BJ307,坦克个性化设定!$B$18:$BC$48,MATCH("装弹类型",坦克个性化设定!$B$18:$BC$18,0),FALSE)="弹夹换弹",0,ROUND(VLOOKUP($BJ307,$AI$3:$AO$33,MATCH("换弹时间",$AI$3:$AO$3,0),FALSE)-$BL307/VLOOKUP(VLOOKUP($BJ307,坦克个性化设定!$B$18:$E$48,4,FALSE)&amp;$BK307,坦克属性分配比例,MATCH("升星次数",坦克属性分配比例标头,0),FALSE)*VLOOKUP($BJ307,$AR$3:$AY$33,MATCH("换弹时间",$AR$3:$AY$3,0),FALSE),2))</f>
        <v>5.28</v>
      </c>
      <c r="BW307" s="2">
        <f>IF(VLOOKUP(BJ307,坦克个性化设定!$B$18:$BC$48,MATCH("装弹类型",坦克个性化设定!$B$18:$BC$18,0),FALSE)="弹夹换弹",ROUND(VLOOKUP($BJ307,$AI$3:$AO$33,MATCH("换弹时间",$AI$3:$AO$3,0),FALSE)-$BL307/VLOOKUP(VLOOKUP($BJ307,坦克个性化设定!$B$18:$E$48,4,FALSE)&amp;$BK307,坦克属性分配比例,MATCH("升星次数",坦克属性分配比例标头,0),FALSE)*VLOOKUP($BJ307,$AR$3:$AY$33,MATCH("换弹时间",$AR$3:$AY$3,0),FALSE),1),0)</f>
        <v>0</v>
      </c>
      <c r="BX307" s="2">
        <f>ROUND(VLOOKUP($BJ307,$AI$3:$AO$33,MATCH(BX$3,$AI$3:$AO$3,0),FALSE)+$BL307/VLOOKUP(VLOOKUP($BJ307,坦克个性化设定!$B$18:$E$48,4,FALSE)&amp;$BK307,坦克属性分配比例,MATCH("升星次数",坦克属性分配比例标头,0),FALSE)*VLOOKUP($BJ307,$AR$3:$AY$33,MATCH(BX$3,$AR$3:$AY$3,0),FALSE),2)</f>
        <v>0</v>
      </c>
      <c r="BY307" s="2">
        <f>ROUND(VLOOKUP($BJ307,$AI$3:$AO$33,MATCH(BY$3,$AI$3:$AO$3,0),FALSE)-$BL307/VLOOKUP(VLOOKUP($BJ307,坦克个性化设定!$B$18:$E$48,4,FALSE)&amp;$BK307,坦克属性分配比例,MATCH("升星次数",坦克属性分配比例标头,0),FALSE)*VLOOKUP($BJ307,$AR$3:$AY$33,MATCH(BY$3,$AR$3:$AY$3,0),FALSE),2)</f>
        <v>2.58</v>
      </c>
    </row>
    <row r="308" spans="60:77" x14ac:dyDescent="0.3">
      <c r="BH308" s="2" t="str">
        <f t="shared" si="35"/>
        <v>M1A212</v>
      </c>
      <c r="BI308" s="2">
        <f>IF(BL307&gt;=VLOOKUP(VLOOKUP(BJ307,坦克个性化设定!$B$18:$E$48,4,FALSE)&amp;BK307,坦克属性分配比例,MATCH("升星次数",坦克属性分配比例标头,0),FALSE),BI307+1,BI307)</f>
        <v>30</v>
      </c>
      <c r="BJ308" s="2" t="str">
        <f t="shared" si="36"/>
        <v>M1A2</v>
      </c>
      <c r="BK308" s="29" t="str">
        <f>VLOOKUP(BJ308,坦克个性化细分!$I$3:$J$33,2,FALSE)</f>
        <v>低</v>
      </c>
      <c r="BL308" s="2">
        <f t="shared" si="37"/>
        <v>12</v>
      </c>
      <c r="BM308" s="103">
        <f ca="1">ROUND(VLOOKUP($BJ308&amp;"初始",$S$3:$AE$63,MATCH(BM$3,$S$3:$AE$3,0),FALSE)+((VLOOKUP($BJ308&amp;"最终",$S$3:$AE$63,MATCH(BM$3,$S$3:$AE$3,0),FALSE)*坦克个性化细分!$C$9-VLOOKUP($BJ308&amp;"初始",$S$3:$AE$63,MATCH(BM$3,$S$3:$AE$3,0),FALSE))-(VLOOKUP($BJ308&amp;"最终",$S$3:$AE$63,MATCH(BM$3,$S$3:$AE$3,0),FALSE)-VLOOKUP($BJ308&amp;"初始",$S$3:$AE$63,MATCH(BM$3,$S$3:$AE$3,0),FALSE))*VLOOKUP(VLOOKUP($BJ308,坦克个性化设定!$B$18:$E$48,4,FALSE)&amp;$BK308,坦克属性分配比例,MATCH("部件比例",坦克属性分配比例标头,0),FALSE))*$BL308/VLOOKUP(VLOOKUP($BJ308,坦克个性化设定!$B$18:$E$48,4,FALSE)&amp;$BK308,坦克属性分配比例,MATCH("升星次数",坦克属性分配比例标头,0),FALSE),0)</f>
        <v>3642</v>
      </c>
      <c r="BN308" s="103">
        <f ca="1">ROUND(VLOOKUP($BJ308&amp;"初始",$S$3:$AE$63,MATCH(BN$3,$S$3:$AE$3,0),FALSE)+(VLOOKUP($BJ308&amp;"最终",$S$3:$AE$63,MATCH(BN$3,$S$3:$AE$3,0),FALSE)-VLOOKUP($BJ308&amp;"初始",$S$3:$AE$63,MATCH(BN$3,$S$3:$AE$3,0),FALSE))*$BL308/VLOOKUP(VLOOKUP($BJ308,坦克个性化设定!$B$18:$E$48,4,FALSE)&amp;$BK308,坦克属性分配比例,MATCH("升星次数",坦克属性分配比例标头,0),FALSE)*VLOOKUP(VLOOKUP($BJ308,坦克个性化设定!$B$18:$E$48,4,FALSE)&amp;$BK308,坦克属性分配比例,MATCH("升星比例",坦克属性分配比例标头,0),FALSE),0)</f>
        <v>1015</v>
      </c>
      <c r="BO308" s="103">
        <f ca="1">ROUND(VLOOKUP($BJ308&amp;"初始",$S$3:$AE$63,MATCH(BO$3,$S$3:$AE$3,0),FALSE)+(VLOOKUP($BJ308&amp;"最终",$S$3:$AE$63,MATCH(BO$3,$S$3:$AE$3,0),FALSE)-VLOOKUP($BJ308&amp;"初始",$S$3:$AE$63,MATCH(BO$3,$S$3:$AE$3,0),FALSE))*$BL308/VLOOKUP(VLOOKUP($BJ308,坦克个性化设定!$B$18:$E$48,4,FALSE)&amp;$BK308,坦克属性分配比例,MATCH("升星次数",坦克属性分配比例标头,0),FALSE)*(VLOOKUP(VLOOKUP($BJ308,坦克个性化设定!$B$18:$E$48,4,FALSE)&amp;$BK308,坦克属性分配比例,MATCH("升星比例",坦克属性分配比例标头,0),FALSE)+VLOOKUP(VLOOKUP($BJ308,坦克个性化设定!$B$18:$E$48,4,FALSE)&amp;$BK308,坦克属性分配比例,MATCH("部件比例",坦克属性分配比例标头,0),FALSE)*$C$3),0)</f>
        <v>1054</v>
      </c>
      <c r="BP308" s="103">
        <f ca="1">ROUND(VLOOKUP($BJ308&amp;"初始",$S$3:$AE$63,MATCH(BP$3,$S$3:$AE$3,0),FALSE)+(VLOOKUP($BJ308&amp;"最终",$S$3:$AE$63,MATCH(BP$3,$S$3:$AE$3,0),FALSE)-VLOOKUP($BJ308&amp;"初始",$S$3:$AE$63,MATCH(BP$3,$S$3:$AE$3,0),FALSE))*$BL308/VLOOKUP(VLOOKUP($BJ308,坦克个性化设定!$B$18:$E$48,4,FALSE)&amp;$BK308,坦克属性分配比例,MATCH("升星次数",坦克属性分配比例标头,0),FALSE)*(VLOOKUP(VLOOKUP($BJ308,坦克个性化设定!$B$18:$E$48,4,FALSE)&amp;$BK308,坦克属性分配比例,MATCH("升星比例",坦克属性分配比例标头,0),FALSE)+VLOOKUP(VLOOKUP($BJ308,坦克个性化设定!$B$18:$E$48,4,FALSE)&amp;$BK308,坦克属性分配比例,MATCH("部件比例",坦克属性分配比例标头,0),FALSE)*$C$3),0)</f>
        <v>844</v>
      </c>
      <c r="BQ308" s="103">
        <f ca="1">ROUND(VLOOKUP($BJ308&amp;"初始",$S$3:$AE$63,MATCH(BQ$3,$S$3:$AE$3,0),FALSE)+(VLOOKUP($BJ308&amp;"最终",$S$3:$AE$63,MATCH(BQ$3,$S$3:$AE$3,0),FALSE)-VLOOKUP($BJ308&amp;"初始",$S$3:$AE$63,MATCH(BQ$3,$S$3:$AE$3,0),FALSE))*$BL308/VLOOKUP(VLOOKUP($BJ308,坦克个性化设定!$B$18:$E$48,4,FALSE)&amp;$BK308,坦克属性分配比例,MATCH("升星次数",坦克属性分配比例标头,0),FALSE)*VLOOKUP(VLOOKUP($BJ308,坦克个性化设定!$B$18:$E$48,4,FALSE)&amp;$BK308,坦克属性分配比例,MATCH("升星比例",坦克属性分配比例标头,0),FALSE),0)</f>
        <v>1277</v>
      </c>
      <c r="BR308" s="2">
        <f ca="1">ROUND(VLOOKUP($BJ308&amp;"初始",$S$3:$AE$63,MATCH(BR$3,$S$3:$AE$3,0),FALSE)+(VLOOKUP($BJ308&amp;"最终",$S$3:$AE$63,MATCH(BR$3,$S$3:$AE$3,0),FALSE)-VLOOKUP($BJ308&amp;"初始",$S$3:$AE$63,MATCH(BR$3,$S$3:$AE$3,0),FALSE))*$BL308/VLOOKUP(VLOOKUP($BJ308,坦克个性化设定!$B$18:$E$48,4,FALSE)&amp;$BK308,坦克属性分配比例,MATCH("升星次数",坦克属性分配比例标头,0),FALSE),0)</f>
        <v>349</v>
      </c>
      <c r="BS308" s="2">
        <f>ROUND(VLOOKUP($BJ308,$AI$3:$AO$33,MATCH(BS$3,$AI$3:$AO$3,0),FALSE)+$BL308/VLOOKUP(VLOOKUP($BJ308,坦克个性化设定!$B$18:$E$48,4,FALSE)&amp;$BK308,坦克属性分配比例,MATCH("升星次数",坦克属性分配比例标头,0),FALSE)*VLOOKUP($BJ308,$AR$3:$AY$33,MATCH(BS$3,$AR$3:$AY$3,0),FALSE),1)</f>
        <v>37.799999999999997</v>
      </c>
      <c r="BT308" s="2">
        <f>ROUND(VLOOKUP($BJ308,$AI$3:$AO$33,MATCH(BT$3,$AI$3:$AO$3,0),FALSE)+$BL308/VLOOKUP(VLOOKUP($BJ308,坦克个性化设定!$B$18:$E$48,4,FALSE)&amp;$BK308,坦克属性分配比例,MATCH("升星次数",坦克属性分配比例标头,0),FALSE)*VLOOKUP($BJ308,$AR$3:$AY$33,MATCH(BT$3,$AR$3:$AY$3,0),FALSE),1)</f>
        <v>43.1</v>
      </c>
      <c r="BU308" s="2">
        <f>ROUND(VLOOKUP($BJ308,$AI$3:$AO$33,MATCH(BU$3,$AI$3:$AO$3,0),FALSE)+$BL308/VLOOKUP(VLOOKUP($BJ308,坦克个性化设定!$B$18:$E$48,4,FALSE)&amp;$BK308,坦克属性分配比例,MATCH("升星次数",坦克属性分配比例标头,0),FALSE)*VLOOKUP($BJ308,$AR$3:$AY$33,MATCH(BU$3,$AR$3:$AY$3,0),FALSE),1)</f>
        <v>6.3</v>
      </c>
      <c r="BV308" s="2">
        <f>IF(VLOOKUP(BJ308,坦克个性化设定!$B$18:$BC$48,MATCH("装弹类型",坦克个性化设定!$B$18:$BC$18,0),FALSE)="弹夹换弹",0,ROUND(VLOOKUP($BJ308,$AI$3:$AO$33,MATCH("换弹时间",$AI$3:$AO$3,0),FALSE)-$BL308/VLOOKUP(VLOOKUP($BJ308,坦克个性化设定!$B$18:$E$48,4,FALSE)&amp;$BK308,坦克属性分配比例,MATCH("升星次数",坦克属性分配比例标头,0),FALSE)*VLOOKUP($BJ308,$AR$3:$AY$33,MATCH("换弹时间",$AR$3:$AY$3,0),FALSE),2))</f>
        <v>5.22</v>
      </c>
      <c r="BW308" s="2">
        <f>IF(VLOOKUP(BJ308,坦克个性化设定!$B$18:$BC$48,MATCH("装弹类型",坦克个性化设定!$B$18:$BC$18,0),FALSE)="弹夹换弹",ROUND(VLOOKUP($BJ308,$AI$3:$AO$33,MATCH("换弹时间",$AI$3:$AO$3,0),FALSE)-$BL308/VLOOKUP(VLOOKUP($BJ308,坦克个性化设定!$B$18:$E$48,4,FALSE)&amp;$BK308,坦克属性分配比例,MATCH("升星次数",坦克属性分配比例标头,0),FALSE)*VLOOKUP($BJ308,$AR$3:$AY$33,MATCH("换弹时间",$AR$3:$AY$3,0),FALSE),1),0)</f>
        <v>0</v>
      </c>
      <c r="BX308" s="2">
        <f>ROUND(VLOOKUP($BJ308,$AI$3:$AO$33,MATCH(BX$3,$AI$3:$AO$3,0),FALSE)+$BL308/VLOOKUP(VLOOKUP($BJ308,坦克个性化设定!$B$18:$E$48,4,FALSE)&amp;$BK308,坦克属性分配比例,MATCH("升星次数",坦克属性分配比例标头,0),FALSE)*VLOOKUP($BJ308,$AR$3:$AY$33,MATCH(BX$3,$AR$3:$AY$3,0),FALSE),2)</f>
        <v>0</v>
      </c>
      <c r="BY308" s="2">
        <f>ROUND(VLOOKUP($BJ308,$AI$3:$AO$33,MATCH(BY$3,$AI$3:$AO$3,0),FALSE)-$BL308/VLOOKUP(VLOOKUP($BJ308,坦克个性化设定!$B$18:$E$48,4,FALSE)&amp;$BK308,坦克属性分配比例,MATCH("升星次数",坦克属性分配比例标头,0),FALSE)*VLOOKUP($BJ308,$AR$3:$AY$33,MATCH(BY$3,$AR$3:$AY$3,0),FALSE),2)</f>
        <v>2.54</v>
      </c>
    </row>
    <row r="309" spans="60:77" x14ac:dyDescent="0.3">
      <c r="BH309" s="2" t="str">
        <f t="shared" si="35"/>
        <v>M1A213</v>
      </c>
      <c r="BI309" s="2">
        <f>IF(BL308&gt;=VLOOKUP(VLOOKUP(BJ308,坦克个性化设定!$B$18:$E$48,4,FALSE)&amp;BK308,坦克属性分配比例,MATCH("升星次数",坦克属性分配比例标头,0),FALSE),BI308+1,BI308)</f>
        <v>30</v>
      </c>
      <c r="BJ309" s="2" t="str">
        <f t="shared" si="36"/>
        <v>M1A2</v>
      </c>
      <c r="BK309" s="29" t="str">
        <f>VLOOKUP(BJ309,坦克个性化细分!$I$3:$J$33,2,FALSE)</f>
        <v>低</v>
      </c>
      <c r="BL309" s="2">
        <f t="shared" si="37"/>
        <v>13</v>
      </c>
      <c r="BM309" s="103">
        <f ca="1">ROUND(VLOOKUP($BJ309&amp;"初始",$S$3:$AE$63,MATCH(BM$3,$S$3:$AE$3,0),FALSE)+((VLOOKUP($BJ309&amp;"最终",$S$3:$AE$63,MATCH(BM$3,$S$3:$AE$3,0),FALSE)*坦克个性化细分!$C$9-VLOOKUP($BJ309&amp;"初始",$S$3:$AE$63,MATCH(BM$3,$S$3:$AE$3,0),FALSE))-(VLOOKUP($BJ309&amp;"最终",$S$3:$AE$63,MATCH(BM$3,$S$3:$AE$3,0),FALSE)-VLOOKUP($BJ309&amp;"初始",$S$3:$AE$63,MATCH(BM$3,$S$3:$AE$3,0),FALSE))*VLOOKUP(VLOOKUP($BJ309,坦克个性化设定!$B$18:$E$48,4,FALSE)&amp;$BK309,坦克属性分配比例,MATCH("部件比例",坦克属性分配比例标头,0),FALSE))*$BL309/VLOOKUP(VLOOKUP($BJ309,坦克个性化设定!$B$18:$E$48,4,FALSE)&amp;$BK309,坦克属性分配比例,MATCH("升星次数",坦克属性分配比例标头,0),FALSE),0)</f>
        <v>3728</v>
      </c>
      <c r="BN309" s="103">
        <f ca="1">ROUND(VLOOKUP($BJ309&amp;"初始",$S$3:$AE$63,MATCH(BN$3,$S$3:$AE$3,0),FALSE)+(VLOOKUP($BJ309&amp;"最终",$S$3:$AE$63,MATCH(BN$3,$S$3:$AE$3,0),FALSE)-VLOOKUP($BJ309&amp;"初始",$S$3:$AE$63,MATCH(BN$3,$S$3:$AE$3,0),FALSE))*$BL309/VLOOKUP(VLOOKUP($BJ309,坦克个性化设定!$B$18:$E$48,4,FALSE)&amp;$BK309,坦克属性分配比例,MATCH("升星次数",坦克属性分配比例标头,0),FALSE)*VLOOKUP(VLOOKUP($BJ309,坦克个性化设定!$B$18:$E$48,4,FALSE)&amp;$BK309,坦克属性分配比例,MATCH("升星比例",坦克属性分配比例标头,0),FALSE),0)</f>
        <v>1029</v>
      </c>
      <c r="BO309" s="103">
        <f ca="1">ROUND(VLOOKUP($BJ309&amp;"初始",$S$3:$AE$63,MATCH(BO$3,$S$3:$AE$3,0),FALSE)+(VLOOKUP($BJ309&amp;"最终",$S$3:$AE$63,MATCH(BO$3,$S$3:$AE$3,0),FALSE)-VLOOKUP($BJ309&amp;"初始",$S$3:$AE$63,MATCH(BO$3,$S$3:$AE$3,0),FALSE))*$BL309/VLOOKUP(VLOOKUP($BJ309,坦克个性化设定!$B$18:$E$48,4,FALSE)&amp;$BK309,坦克属性分配比例,MATCH("升星次数",坦克属性分配比例标头,0),FALSE)*(VLOOKUP(VLOOKUP($BJ309,坦克个性化设定!$B$18:$E$48,4,FALSE)&amp;$BK309,坦克属性分配比例,MATCH("升星比例",坦克属性分配比例标头,0),FALSE)+VLOOKUP(VLOOKUP($BJ309,坦克个性化设定!$B$18:$E$48,4,FALSE)&amp;$BK309,坦克属性分配比例,MATCH("部件比例",坦克属性分配比例标头,0),FALSE)*$C$3),0)</f>
        <v>1076</v>
      </c>
      <c r="BP309" s="103">
        <f ca="1">ROUND(VLOOKUP($BJ309&amp;"初始",$S$3:$AE$63,MATCH(BP$3,$S$3:$AE$3,0),FALSE)+(VLOOKUP($BJ309&amp;"最终",$S$3:$AE$63,MATCH(BP$3,$S$3:$AE$3,0),FALSE)-VLOOKUP($BJ309&amp;"初始",$S$3:$AE$63,MATCH(BP$3,$S$3:$AE$3,0),FALSE))*$BL309/VLOOKUP(VLOOKUP($BJ309,坦克个性化设定!$B$18:$E$48,4,FALSE)&amp;$BK309,坦克属性分配比例,MATCH("升星次数",坦克属性分配比例标头,0),FALSE)*(VLOOKUP(VLOOKUP($BJ309,坦克个性化设定!$B$18:$E$48,4,FALSE)&amp;$BK309,坦克属性分配比例,MATCH("升星比例",坦克属性分配比例标头,0),FALSE)+VLOOKUP(VLOOKUP($BJ309,坦克个性化设定!$B$18:$E$48,4,FALSE)&amp;$BK309,坦克属性分配比例,MATCH("部件比例",坦克属性分配比例标头,0),FALSE)*$C$3),0)</f>
        <v>861</v>
      </c>
      <c r="BQ309" s="103">
        <f ca="1">ROUND(VLOOKUP($BJ309&amp;"初始",$S$3:$AE$63,MATCH(BQ$3,$S$3:$AE$3,0),FALSE)+(VLOOKUP($BJ309&amp;"最终",$S$3:$AE$63,MATCH(BQ$3,$S$3:$AE$3,0),FALSE)-VLOOKUP($BJ309&amp;"初始",$S$3:$AE$63,MATCH(BQ$3,$S$3:$AE$3,0),FALSE))*$BL309/VLOOKUP(VLOOKUP($BJ309,坦克个性化设定!$B$18:$E$48,4,FALSE)&amp;$BK309,坦克属性分配比例,MATCH("升星次数",坦克属性分配比例标头,0),FALSE)*VLOOKUP(VLOOKUP($BJ309,坦克个性化设定!$B$18:$E$48,4,FALSE)&amp;$BK309,坦克属性分配比例,MATCH("升星比例",坦克属性分配比例标头,0),FALSE),0)</f>
        <v>1296</v>
      </c>
      <c r="BR309" s="2">
        <f ca="1">ROUND(VLOOKUP($BJ309&amp;"初始",$S$3:$AE$63,MATCH(BR$3,$S$3:$AE$3,0),FALSE)+(VLOOKUP($BJ309&amp;"最终",$S$3:$AE$63,MATCH(BR$3,$S$3:$AE$3,0),FALSE)-VLOOKUP($BJ309&amp;"初始",$S$3:$AE$63,MATCH(BR$3,$S$3:$AE$3,0),FALSE))*$BL309/VLOOKUP(VLOOKUP($BJ309,坦克个性化设定!$B$18:$E$48,4,FALSE)&amp;$BK309,坦克属性分配比例,MATCH("升星次数",坦克属性分配比例标头,0),FALSE),0)</f>
        <v>357</v>
      </c>
      <c r="BS309" s="2">
        <f>ROUND(VLOOKUP($BJ309,$AI$3:$AO$33,MATCH(BS$3,$AI$3:$AO$3,0),FALSE)+$BL309/VLOOKUP(VLOOKUP($BJ309,坦克个性化设定!$B$18:$E$48,4,FALSE)&amp;$BK309,坦克属性分配比例,MATCH("升星次数",坦克属性分配比例标头,0),FALSE)*VLOOKUP($BJ309,$AR$3:$AY$33,MATCH(BS$3,$AR$3:$AY$3,0),FALSE),1)</f>
        <v>38.4</v>
      </c>
      <c r="BT309" s="2">
        <f>ROUND(VLOOKUP($BJ309,$AI$3:$AO$33,MATCH(BT$3,$AI$3:$AO$3,0),FALSE)+$BL309/VLOOKUP(VLOOKUP($BJ309,坦克个性化设定!$B$18:$E$48,4,FALSE)&amp;$BK309,坦克属性分配比例,MATCH("升星次数",坦克属性分配比例标头,0),FALSE)*VLOOKUP($BJ309,$AR$3:$AY$33,MATCH(BT$3,$AR$3:$AY$3,0),FALSE),1)</f>
        <v>43.8</v>
      </c>
      <c r="BU309" s="2">
        <f>ROUND(VLOOKUP($BJ309,$AI$3:$AO$33,MATCH(BU$3,$AI$3:$AO$3,0),FALSE)+$BL309/VLOOKUP(VLOOKUP($BJ309,坦克个性化设定!$B$18:$E$48,4,FALSE)&amp;$BK309,坦克属性分配比例,MATCH("升星次数",坦克属性分配比例标头,0),FALSE)*VLOOKUP($BJ309,$AR$3:$AY$33,MATCH(BU$3,$AR$3:$AY$3,0),FALSE),1)</f>
        <v>6.3</v>
      </c>
      <c r="BV309" s="2">
        <f>IF(VLOOKUP(BJ309,坦克个性化设定!$B$18:$BC$48,MATCH("装弹类型",坦克个性化设定!$B$18:$BC$18,0),FALSE)="弹夹换弹",0,ROUND(VLOOKUP($BJ309,$AI$3:$AO$33,MATCH("换弹时间",$AI$3:$AO$3,0),FALSE)-$BL309/VLOOKUP(VLOOKUP($BJ309,坦克个性化设定!$B$18:$E$48,4,FALSE)&amp;$BK309,坦克属性分配比例,MATCH("升星次数",坦克属性分配比例标头,0),FALSE)*VLOOKUP($BJ309,$AR$3:$AY$33,MATCH("换弹时间",$AR$3:$AY$3,0),FALSE),2))</f>
        <v>5.15</v>
      </c>
      <c r="BW309" s="2">
        <f>IF(VLOOKUP(BJ309,坦克个性化设定!$B$18:$BC$48,MATCH("装弹类型",坦克个性化设定!$B$18:$BC$18,0),FALSE)="弹夹换弹",ROUND(VLOOKUP($BJ309,$AI$3:$AO$33,MATCH("换弹时间",$AI$3:$AO$3,0),FALSE)-$BL309/VLOOKUP(VLOOKUP($BJ309,坦克个性化设定!$B$18:$E$48,4,FALSE)&amp;$BK309,坦克属性分配比例,MATCH("升星次数",坦克属性分配比例标头,0),FALSE)*VLOOKUP($BJ309,$AR$3:$AY$33,MATCH("换弹时间",$AR$3:$AY$3,0),FALSE),1),0)</f>
        <v>0</v>
      </c>
      <c r="BX309" s="2">
        <f>ROUND(VLOOKUP($BJ309,$AI$3:$AO$33,MATCH(BX$3,$AI$3:$AO$3,0),FALSE)+$BL309/VLOOKUP(VLOOKUP($BJ309,坦克个性化设定!$B$18:$E$48,4,FALSE)&amp;$BK309,坦克属性分配比例,MATCH("升星次数",坦克属性分配比例标头,0),FALSE)*VLOOKUP($BJ309,$AR$3:$AY$33,MATCH(BX$3,$AR$3:$AY$3,0),FALSE),2)</f>
        <v>0</v>
      </c>
      <c r="BY309" s="2">
        <f>ROUND(VLOOKUP($BJ309,$AI$3:$AO$33,MATCH(BY$3,$AI$3:$AO$3,0),FALSE)-$BL309/VLOOKUP(VLOOKUP($BJ309,坦克个性化设定!$B$18:$E$48,4,FALSE)&amp;$BK309,坦克属性分配比例,MATCH("升星次数",坦克属性分配比例标头,0),FALSE)*VLOOKUP($BJ309,$AR$3:$AY$33,MATCH(BY$3,$AR$3:$AY$3,0),FALSE),2)</f>
        <v>2.5</v>
      </c>
    </row>
  </sheetData>
  <mergeCells count="7">
    <mergeCell ref="BH2:BY2"/>
    <mergeCell ref="CA2:CI2"/>
    <mergeCell ref="H2:P2"/>
    <mergeCell ref="S2:AE2"/>
    <mergeCell ref="AH2:AO2"/>
    <mergeCell ref="AQ2:AY2"/>
    <mergeCell ref="BA2:BF2"/>
  </mergeCells>
  <phoneticPr fontId="34" type="noConversion"/>
  <pageMargins left="0.7" right="0.7" top="0.75" bottom="0.75" header="0.3" footer="0.3"/>
  <pageSetup paperSize="9" orientation="portrait"/>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DH65"/>
  <sheetViews>
    <sheetView topLeftCell="A28" workbookViewId="0">
      <selection activeCell="J22" sqref="J22"/>
    </sheetView>
  </sheetViews>
  <sheetFormatPr defaultColWidth="9" defaultRowHeight="14.25" x14ac:dyDescent="0.3"/>
  <cols>
    <col min="1" max="17" width="9" style="1"/>
    <col min="18" max="31" width="9" style="1" customWidth="1"/>
    <col min="32" max="36" width="9" style="1"/>
    <col min="37" max="37" width="10.5" style="1" customWidth="1"/>
    <col min="38" max="39" width="9" style="1"/>
    <col min="40" max="40" width="10.125" style="1" customWidth="1"/>
    <col min="41" max="41" width="10.5" style="1" customWidth="1"/>
    <col min="42" max="16384" width="9" style="1"/>
  </cols>
  <sheetData>
    <row r="1" spans="2:112" x14ac:dyDescent="0.3">
      <c r="I1" s="25"/>
      <c r="J1" s="25"/>
      <c r="K1" s="25"/>
      <c r="L1" s="25"/>
      <c r="M1" s="25"/>
      <c r="N1" s="25"/>
      <c r="O1" s="25"/>
    </row>
    <row r="2" spans="2:112" ht="15.75" customHeight="1" x14ac:dyDescent="0.3">
      <c r="B2" s="262" t="s">
        <v>910</v>
      </c>
      <c r="C2" s="262"/>
      <c r="D2" s="262"/>
      <c r="E2" s="262"/>
      <c r="F2" s="262"/>
      <c r="G2" s="262"/>
      <c r="H2" s="262"/>
      <c r="I2" s="262"/>
      <c r="J2" s="262" t="s">
        <v>911</v>
      </c>
      <c r="K2" s="262"/>
      <c r="L2" s="262"/>
      <c r="M2" s="262"/>
      <c r="N2" s="262"/>
      <c r="O2" s="262"/>
      <c r="P2" s="262"/>
      <c r="Q2" s="262"/>
      <c r="R2" s="262"/>
      <c r="S2" s="262"/>
      <c r="T2" s="262"/>
      <c r="U2" s="262"/>
      <c r="V2" s="262"/>
      <c r="W2" s="262"/>
      <c r="X2" s="262"/>
      <c r="Y2" s="262"/>
      <c r="Z2" s="262"/>
      <c r="AA2" s="262"/>
      <c r="AB2" s="262"/>
      <c r="AC2" s="262"/>
      <c r="AD2" s="262"/>
      <c r="AE2" s="262"/>
      <c r="AF2" s="262"/>
      <c r="AG2" s="25"/>
      <c r="AH2" s="262" t="s">
        <v>912</v>
      </c>
      <c r="AI2" s="262"/>
      <c r="AJ2" s="262"/>
      <c r="AK2" s="262"/>
      <c r="AM2" s="262" t="s">
        <v>913</v>
      </c>
      <c r="AN2" s="262"/>
      <c r="AO2" s="262"/>
      <c r="AP2" s="25"/>
      <c r="AQ2" s="263" t="s">
        <v>914</v>
      </c>
      <c r="AR2" s="264"/>
      <c r="AS2" s="264"/>
      <c r="AT2" s="264"/>
      <c r="AU2" s="264"/>
      <c r="AV2" s="264"/>
      <c r="AW2" s="264"/>
      <c r="AX2" s="265"/>
      <c r="AZ2" s="263" t="s">
        <v>915</v>
      </c>
      <c r="BA2" s="264"/>
      <c r="BB2" s="264"/>
      <c r="BC2" s="264"/>
      <c r="BD2" s="264"/>
      <c r="BE2" s="265"/>
      <c r="BI2" s="262" t="s">
        <v>916</v>
      </c>
      <c r="BJ2" s="262"/>
      <c r="BK2" s="262"/>
      <c r="BM2" s="262" t="s">
        <v>917</v>
      </c>
      <c r="BN2" s="262"/>
      <c r="BO2" s="262"/>
      <c r="BP2" s="262"/>
      <c r="BQ2" s="262"/>
      <c r="BR2" s="262"/>
      <c r="BS2" s="262"/>
      <c r="BT2" s="262"/>
      <c r="BU2" s="262"/>
      <c r="BV2" s="262"/>
      <c r="BZ2" s="262" t="s">
        <v>918</v>
      </c>
      <c r="CA2" s="262"/>
      <c r="CB2" s="262"/>
      <c r="CC2" s="262"/>
      <c r="CD2" s="262"/>
      <c r="CQ2" s="262" t="s">
        <v>919</v>
      </c>
      <c r="CR2" s="262"/>
      <c r="CS2" s="262"/>
      <c r="CT2" s="262"/>
      <c r="CU2" s="262"/>
      <c r="CV2" s="262"/>
      <c r="CW2" s="262"/>
      <c r="CX2" s="262"/>
      <c r="CY2" s="262"/>
      <c r="DE2" s="262" t="s">
        <v>920</v>
      </c>
      <c r="DF2" s="262"/>
      <c r="DG2" s="262"/>
      <c r="DH2" s="262"/>
    </row>
    <row r="3" spans="2:112" x14ac:dyDescent="0.3">
      <c r="B3" s="2" t="s">
        <v>608</v>
      </c>
      <c r="C3" s="2" t="s">
        <v>72</v>
      </c>
      <c r="D3" s="2" t="s">
        <v>921</v>
      </c>
      <c r="E3" s="2" t="s">
        <v>922</v>
      </c>
      <c r="F3" s="2" t="s">
        <v>923</v>
      </c>
      <c r="G3" s="2" t="s">
        <v>924</v>
      </c>
      <c r="H3" s="2" t="s">
        <v>925</v>
      </c>
      <c r="I3" s="2" t="s">
        <v>248</v>
      </c>
      <c r="J3" s="2" t="s">
        <v>237</v>
      </c>
      <c r="K3" s="2" t="s">
        <v>926</v>
      </c>
      <c r="L3" s="2" t="s">
        <v>927</v>
      </c>
      <c r="M3" s="2" t="s">
        <v>928</v>
      </c>
      <c r="N3" s="2" t="s">
        <v>929</v>
      </c>
      <c r="O3" s="2" t="s">
        <v>930</v>
      </c>
      <c r="P3" s="2" t="s">
        <v>931</v>
      </c>
      <c r="Q3" s="2" t="s">
        <v>932</v>
      </c>
      <c r="R3" s="2" t="s">
        <v>933</v>
      </c>
      <c r="S3" s="2" t="s">
        <v>934</v>
      </c>
      <c r="T3" s="2" t="s">
        <v>935</v>
      </c>
      <c r="U3" s="2" t="s">
        <v>936</v>
      </c>
      <c r="V3" s="2" t="s">
        <v>937</v>
      </c>
      <c r="W3" s="2" t="s">
        <v>938</v>
      </c>
      <c r="X3" s="2" t="s">
        <v>939</v>
      </c>
      <c r="Y3" s="2" t="s">
        <v>940</v>
      </c>
      <c r="Z3" s="2" t="s">
        <v>941</v>
      </c>
      <c r="AA3" s="2" t="s">
        <v>942</v>
      </c>
      <c r="AB3" s="2" t="s">
        <v>943</v>
      </c>
      <c r="AC3" s="2" t="s">
        <v>944</v>
      </c>
      <c r="AD3" s="2" t="s">
        <v>945</v>
      </c>
      <c r="AE3" s="2" t="s">
        <v>946</v>
      </c>
      <c r="AF3" s="2" t="s">
        <v>947</v>
      </c>
      <c r="AG3" s="25"/>
      <c r="AH3" s="2" t="s">
        <v>72</v>
      </c>
      <c r="AI3" s="2" t="s">
        <v>921</v>
      </c>
      <c r="AJ3" s="2" t="s">
        <v>922</v>
      </c>
      <c r="AK3" s="2" t="s">
        <v>948</v>
      </c>
      <c r="AM3" s="2" t="s">
        <v>72</v>
      </c>
      <c r="AN3" s="2" t="s">
        <v>949</v>
      </c>
      <c r="AO3" s="2" t="s">
        <v>950</v>
      </c>
      <c r="AP3" s="25"/>
      <c r="AQ3" s="2" t="s">
        <v>72</v>
      </c>
      <c r="AR3" s="2" t="s">
        <v>951</v>
      </c>
      <c r="AS3" s="2" t="s">
        <v>854</v>
      </c>
      <c r="AT3" s="2" t="s">
        <v>952</v>
      </c>
      <c r="AU3" s="2" t="s">
        <v>95</v>
      </c>
      <c r="AV3" s="2" t="s">
        <v>856</v>
      </c>
      <c r="AW3" s="2" t="s">
        <v>178</v>
      </c>
      <c r="AX3" s="2" t="s">
        <v>860</v>
      </c>
      <c r="AZ3" s="2" t="s">
        <v>72</v>
      </c>
      <c r="BA3" s="2" t="s">
        <v>860</v>
      </c>
      <c r="BB3" s="2" t="s">
        <v>178</v>
      </c>
      <c r="BC3" s="2" t="s">
        <v>856</v>
      </c>
      <c r="BD3" s="2" t="s">
        <v>953</v>
      </c>
      <c r="BE3" s="2" t="s">
        <v>954</v>
      </c>
      <c r="BI3" s="2" t="s">
        <v>72</v>
      </c>
      <c r="BJ3" s="2" t="s">
        <v>955</v>
      </c>
      <c r="BK3" s="2" t="s">
        <v>956</v>
      </c>
      <c r="BM3" s="2" t="s">
        <v>72</v>
      </c>
      <c r="BN3" s="2" t="s">
        <v>957</v>
      </c>
      <c r="BO3" s="2" t="s">
        <v>958</v>
      </c>
      <c r="BP3" s="2" t="s">
        <v>959</v>
      </c>
      <c r="BQ3" s="2" t="s">
        <v>960</v>
      </c>
      <c r="BR3" s="2" t="s">
        <v>961</v>
      </c>
      <c r="BS3" s="2" t="s">
        <v>962</v>
      </c>
      <c r="BT3" s="2" t="s">
        <v>963</v>
      </c>
      <c r="BU3" s="2" t="s">
        <v>964</v>
      </c>
      <c r="BV3" s="2" t="s">
        <v>965</v>
      </c>
      <c r="BZ3" s="2" t="s">
        <v>72</v>
      </c>
      <c r="CA3" s="2" t="s">
        <v>966</v>
      </c>
      <c r="CB3" s="2" t="s">
        <v>967</v>
      </c>
      <c r="CC3" s="2" t="s">
        <v>968</v>
      </c>
      <c r="CD3" s="2" t="s">
        <v>969</v>
      </c>
      <c r="CQ3" s="2" t="s">
        <v>72</v>
      </c>
      <c r="CR3" s="2" t="s">
        <v>970</v>
      </c>
      <c r="CS3" s="2" t="s">
        <v>860</v>
      </c>
      <c r="CT3" s="2" t="s">
        <v>971</v>
      </c>
      <c r="CU3" s="2" t="s">
        <v>972</v>
      </c>
      <c r="CV3" s="2" t="s">
        <v>860</v>
      </c>
      <c r="CW3" s="2" t="s">
        <v>973</v>
      </c>
      <c r="CX3" s="2" t="s">
        <v>974</v>
      </c>
      <c r="CY3" s="2" t="s">
        <v>975</v>
      </c>
      <c r="DE3" s="2" t="s">
        <v>72</v>
      </c>
      <c r="DF3" s="2" t="s">
        <v>976</v>
      </c>
      <c r="DG3" s="2" t="s">
        <v>977</v>
      </c>
      <c r="DH3" s="2" t="s">
        <v>978</v>
      </c>
    </row>
    <row r="4" spans="2:112" x14ac:dyDescent="0.3">
      <c r="B4" s="2" t="s">
        <v>518</v>
      </c>
      <c r="C4" s="33" t="s">
        <v>132</v>
      </c>
      <c r="D4" s="154">
        <v>4.74</v>
      </c>
      <c r="E4" s="154">
        <v>2.11</v>
      </c>
      <c r="F4" s="2">
        <f>ROUND(SQRT(D4^2+E4^2),2)</f>
        <v>5.19</v>
      </c>
      <c r="G4" s="32">
        <v>1.1000000000000001</v>
      </c>
      <c r="H4" s="32">
        <v>1.1000000000000001</v>
      </c>
      <c r="I4" s="2">
        <f>ROUND(SQRT(G4^2+H4^2),2)</f>
        <v>1.56</v>
      </c>
      <c r="J4" s="155">
        <f>VLOOKUP(C4,基础属性系数!$B$97:$E$100,4,FALSE)*SQRT(VLOOKUP(C4,基础属性系数!$B$97:$E$100,2,FALSE)/F4)</f>
        <v>2.2935229182660426</v>
      </c>
      <c r="K4" s="156">
        <v>0</v>
      </c>
      <c r="L4" s="156">
        <v>2.1</v>
      </c>
      <c r="M4" s="156">
        <v>1.7</v>
      </c>
      <c r="N4" s="156">
        <v>1.4</v>
      </c>
      <c r="O4" s="156">
        <v>1.2</v>
      </c>
      <c r="P4" s="156">
        <v>1</v>
      </c>
      <c r="Q4" s="156">
        <v>0.85</v>
      </c>
      <c r="R4" s="34">
        <f>基础属性系数!$E$61*2/F4</f>
        <v>0</v>
      </c>
      <c r="S4" s="34">
        <f>(H4/基础属性系数!$C$94-H4/基础属性系数!$C$94/I4*基础属性系数!$E$61*2)/F4</f>
        <v>0.13246628131021193</v>
      </c>
      <c r="T4" s="34">
        <f>(G4/基础属性系数!$C$94-G4/基础属性系数!$C$94/I4*基础属性系数!$E$61*2)/F4*2</f>
        <v>0.26493256262042386</v>
      </c>
      <c r="U4" s="34">
        <f>(H4/基础属性系数!$C$94-H4/基础属性系数!$C$94/I4*基础属性系数!$E$61*2)/F4</f>
        <v>0.13246628131021193</v>
      </c>
      <c r="V4" s="34">
        <f>(E4/基础属性系数!$C$94-I4*E4/基础属性系数!$C$94/F4)/F4</f>
        <v>0.17771921324913403</v>
      </c>
      <c r="W4" s="34">
        <f>(D4/基础属性系数!$C$94-I4*D4/基础属性系数!$C$94/F4)/F4*2</f>
        <v>0.798473052891844</v>
      </c>
      <c r="X4" s="34">
        <f>(E4/基础属性系数!$C$94-I4*E4/基础属性系数!$C$94/F4)/F4</f>
        <v>0.17771921324913403</v>
      </c>
      <c r="Y4" s="34">
        <f t="shared" ref="Y4:Y33" si="0">R4*K4</f>
        <v>0</v>
      </c>
      <c r="Z4" s="34">
        <f t="shared" ref="Z4:Z33" si="1">S4*L4</f>
        <v>0.27817919075144509</v>
      </c>
      <c r="AA4" s="34">
        <f>T4*M4</f>
        <v>0.45038535645472055</v>
      </c>
      <c r="AB4" s="34">
        <f t="shared" ref="AB4:AB33" si="2">U4*N4</f>
        <v>0.18545279383429669</v>
      </c>
      <c r="AC4" s="34">
        <f t="shared" ref="AC4:AC33" si="3">V4*O4</f>
        <v>0.21326305589896083</v>
      </c>
      <c r="AD4" s="34">
        <f t="shared" ref="AD4:AD33" si="4">W4*P4</f>
        <v>0.798473052891844</v>
      </c>
      <c r="AE4" s="34">
        <f t="shared" ref="AE4:AE33" si="5">X4*Q4</f>
        <v>0.15106133126176394</v>
      </c>
      <c r="AF4" s="34">
        <f>SUM(Y4:AE4)</f>
        <v>2.0768147810930313</v>
      </c>
      <c r="AH4" s="2" t="s">
        <v>132</v>
      </c>
      <c r="AI4" s="2">
        <f>ROUND(AVERAGE(D4:D13),2)</f>
        <v>5.54</v>
      </c>
      <c r="AJ4" s="2">
        <f>ROUND(AVERAGE(E4:E13),2)</f>
        <v>2.69</v>
      </c>
      <c r="AK4" s="2">
        <f>ROUND(AVERAGE(F4:F13),2)</f>
        <v>6.17</v>
      </c>
      <c r="AM4" s="2" t="s">
        <v>79</v>
      </c>
      <c r="AN4" s="21">
        <v>0.2</v>
      </c>
      <c r="AO4" s="21">
        <v>0.4</v>
      </c>
      <c r="AP4" s="24"/>
      <c r="AQ4" s="2" t="s">
        <v>79</v>
      </c>
      <c r="AR4" s="32">
        <v>1.8</v>
      </c>
      <c r="AS4" s="32">
        <v>2</v>
      </c>
      <c r="AT4" s="2">
        <f>标准坦克设计!D14/AS4</f>
        <v>3</v>
      </c>
      <c r="AU4" s="2">
        <f t="shared" ref="AU4:AU10" si="6">AVERAGE(AN4:AO4)</f>
        <v>0.30000000000000004</v>
      </c>
      <c r="AV4" s="2">
        <f t="shared" ref="AV4:AV10" si="7">(AU4*(AS4-1)*AW4+AR4)/AS4</f>
        <v>1.08</v>
      </c>
      <c r="AW4" s="21">
        <v>1.2</v>
      </c>
      <c r="AX4" s="2">
        <f t="shared" ref="AX4:AX10" si="8">AR4/AW4</f>
        <v>1.5</v>
      </c>
      <c r="AZ4" s="2" t="s">
        <v>79</v>
      </c>
      <c r="BA4" s="21">
        <v>0.5</v>
      </c>
      <c r="BB4" s="34">
        <f t="shared" ref="BB4:BB10" si="9">$AW$4</f>
        <v>1.2</v>
      </c>
      <c r="BC4" s="34">
        <f>BA4*BB4</f>
        <v>0.6</v>
      </c>
      <c r="BD4" s="34">
        <f t="shared" ref="BD4:BD10" si="10">BC4*$BJ$5</f>
        <v>0.44999999999999996</v>
      </c>
      <c r="BE4" s="34">
        <f t="shared" ref="BE4:BE10" si="11">BC4*$BJ$6</f>
        <v>0.3</v>
      </c>
      <c r="BI4" s="2" t="s">
        <v>132</v>
      </c>
      <c r="BJ4" s="158">
        <v>1</v>
      </c>
      <c r="BK4" s="34">
        <f>MIN($BG$14:$BG$20)</f>
        <v>2.1563141881038952</v>
      </c>
      <c r="BM4" s="2" t="s">
        <v>79</v>
      </c>
      <c r="BN4" s="2">
        <f>VLOOKUP(LEFT(BM4,2),$AH$15:$AK$18,4,FALSE)</f>
        <v>0.78</v>
      </c>
      <c r="BO4" s="2">
        <f t="shared" ref="BO4:BO10" si="12">BN4+AV4</f>
        <v>1.86</v>
      </c>
      <c r="BP4" s="34">
        <f>BO4/BN4</f>
        <v>2.3846153846153846</v>
      </c>
      <c r="BQ4" s="21">
        <v>2.1</v>
      </c>
      <c r="BR4" s="2">
        <f>(BQ4-1)*BN4</f>
        <v>0.8580000000000001</v>
      </c>
      <c r="BS4" s="157">
        <f>AI24</f>
        <v>0.26478591686179787</v>
      </c>
      <c r="BT4" s="155">
        <f>TAN(RADIANS(BR4+BN4))*$AI$10*2/$AK$4</f>
        <v>0.55616760139447796</v>
      </c>
      <c r="BU4" s="34">
        <f t="shared" ref="BU4:BU10" si="13">BR4/AW4</f>
        <v>0.71500000000000008</v>
      </c>
      <c r="BV4" s="2">
        <f>BR4/基础属性系数!$C$18*3</f>
        <v>0.17160000000000003</v>
      </c>
      <c r="BZ4" s="2" t="s">
        <v>132</v>
      </c>
      <c r="CA4" s="21">
        <v>12</v>
      </c>
      <c r="CB4" s="2">
        <f>基础属性系数!$C$19/2</f>
        <v>200</v>
      </c>
      <c r="CC4" s="34">
        <f>CB4/CA4</f>
        <v>16.666666666666668</v>
      </c>
      <c r="CD4" s="34">
        <f>CC4</f>
        <v>16.666666666666668</v>
      </c>
      <c r="CQ4" s="2" t="s">
        <v>132</v>
      </c>
      <c r="CR4" s="2">
        <f>AI10</f>
        <v>60</v>
      </c>
      <c r="CS4" s="21">
        <v>0.2</v>
      </c>
      <c r="CT4" s="34">
        <f>(AK4/2/(CR4*2*PI()))*360/CS4</f>
        <v>14.729789983154914</v>
      </c>
      <c r="CU4" s="2">
        <f>CR4/2</f>
        <v>30</v>
      </c>
      <c r="CV4" s="21">
        <v>0.1</v>
      </c>
      <c r="CW4" s="34">
        <f>(AK4/2/(CU4*2*PI()))*360/CV4</f>
        <v>58.919159932619657</v>
      </c>
      <c r="CX4" s="21">
        <v>0.75</v>
      </c>
      <c r="CY4" s="34">
        <f>(CW4-CT4)/CX4</f>
        <v>58.919159932619657</v>
      </c>
      <c r="DE4" s="2" t="s">
        <v>132</v>
      </c>
      <c r="DF4" s="21">
        <v>50</v>
      </c>
      <c r="DG4" s="2">
        <f>DF4-5</f>
        <v>45</v>
      </c>
      <c r="DH4" s="2">
        <f>DF4+5</f>
        <v>55</v>
      </c>
    </row>
    <row r="5" spans="2:112" x14ac:dyDescent="0.3">
      <c r="B5" s="2" t="s">
        <v>524</v>
      </c>
      <c r="C5" s="33" t="s">
        <v>132</v>
      </c>
      <c r="D5" s="154">
        <v>4.8099999999999996</v>
      </c>
      <c r="E5" s="154">
        <v>2.2599999999999998</v>
      </c>
      <c r="F5" s="2">
        <f t="shared" ref="F5:F33" si="14">ROUND(SQRT(D5^2+E5^2),2)</f>
        <v>5.31</v>
      </c>
      <c r="G5" s="32">
        <v>1.6</v>
      </c>
      <c r="H5" s="32">
        <v>1.4</v>
      </c>
      <c r="I5" s="2">
        <f t="shared" ref="I5:I33" si="15">ROUND(SQRT(G5^2+H5^2),2)</f>
        <v>2.13</v>
      </c>
      <c r="J5" s="155">
        <f>VLOOKUP(C5,基础属性系数!$B$97:$E$100,4,FALSE)*SQRT(VLOOKUP(C5,基础属性系数!$B$97:$E$100,2,FALSE)/F5)</f>
        <v>2.2674593115825714</v>
      </c>
      <c r="K5" s="156">
        <v>0</v>
      </c>
      <c r="L5" s="156">
        <v>2</v>
      </c>
      <c r="M5" s="156">
        <v>1.65</v>
      </c>
      <c r="N5" s="156">
        <v>1.3</v>
      </c>
      <c r="O5" s="156">
        <v>1.1000000000000001</v>
      </c>
      <c r="P5" s="156">
        <v>0.95</v>
      </c>
      <c r="Q5" s="156">
        <v>0.85</v>
      </c>
      <c r="R5" s="34">
        <f>基础属性系数!$E$61*2/F5</f>
        <v>0</v>
      </c>
      <c r="S5" s="34">
        <f>(H5/基础属性系数!$C$94-H5/基础属性系数!$C$94/I5*基础属性系数!$E$61*2)/F5</f>
        <v>0.1647834274952919</v>
      </c>
      <c r="T5" s="34">
        <f>(G5/基础属性系数!$C$94-G5/基础属性系数!$C$94/I5*基础属性系数!$E$61*2)/F5*2</f>
        <v>0.37664783427495296</v>
      </c>
      <c r="U5" s="34">
        <f>(H5/基础属性系数!$C$94-H5/基础属性系数!$C$94/I5*基础属性系数!$E$61*2)/F5</f>
        <v>0.1647834274952919</v>
      </c>
      <c r="V5" s="34">
        <f>(E5/基础属性系数!$C$94-I5*E5/基础属性系数!$C$94/F5)/F5</f>
        <v>0.15930394629044442</v>
      </c>
      <c r="W5" s="34">
        <f>(D5/基础属性系数!$C$94-I5*D5/基础属性系数!$C$94/F5)/F5*2</f>
        <v>0.67809909881153774</v>
      </c>
      <c r="X5" s="34">
        <f>(E5/基础属性系数!$C$94-I5*E5/基础属性系数!$C$94/F5)/F5</f>
        <v>0.15930394629044442</v>
      </c>
      <c r="Y5" s="34">
        <f t="shared" si="0"/>
        <v>0</v>
      </c>
      <c r="Z5" s="34">
        <f t="shared" si="1"/>
        <v>0.3295668549905838</v>
      </c>
      <c r="AA5" s="34">
        <f t="shared" ref="AA5:AA33" si="16">T5*M5</f>
        <v>0.62146892655367236</v>
      </c>
      <c r="AB5" s="34">
        <f t="shared" si="2"/>
        <v>0.21421845574387949</v>
      </c>
      <c r="AC5" s="34">
        <f t="shared" si="3"/>
        <v>0.17523434091948889</v>
      </c>
      <c r="AD5" s="34">
        <f t="shared" si="4"/>
        <v>0.64419414387096086</v>
      </c>
      <c r="AE5" s="34">
        <f t="shared" si="5"/>
        <v>0.13540835434687776</v>
      </c>
      <c r="AF5" s="34">
        <f t="shared" ref="AF5:AF33" si="17">SUM(Y5:AE5)</f>
        <v>2.1200910764254632</v>
      </c>
      <c r="AH5" s="2" t="s">
        <v>134</v>
      </c>
      <c r="AI5" s="2">
        <f>ROUND(AVERAGE(D14:D23),2)</f>
        <v>6.57</v>
      </c>
      <c r="AJ5" s="2">
        <f>ROUND(AVERAGE(E14:E23),2)</f>
        <v>3.13</v>
      </c>
      <c r="AK5" s="2">
        <f>ROUND(AVERAGE(F14:F23),2)</f>
        <v>7.28</v>
      </c>
      <c r="AM5" s="2" t="s">
        <v>81</v>
      </c>
      <c r="AN5" s="21">
        <v>0.4</v>
      </c>
      <c r="AO5" s="21">
        <v>0.8</v>
      </c>
      <c r="AP5" s="24"/>
      <c r="AQ5" s="2" t="s">
        <v>81</v>
      </c>
      <c r="AR5" s="32">
        <v>1.8</v>
      </c>
      <c r="AS5" s="32">
        <v>3</v>
      </c>
      <c r="AT5" s="2">
        <f>标准坦克设计!D15/AS5</f>
        <v>3</v>
      </c>
      <c r="AU5" s="2">
        <f t="shared" si="6"/>
        <v>0.60000000000000009</v>
      </c>
      <c r="AV5" s="2">
        <f t="shared" si="7"/>
        <v>1.08</v>
      </c>
      <c r="AW5" s="21">
        <v>1.2</v>
      </c>
      <c r="AX5" s="2">
        <f t="shared" si="8"/>
        <v>1.5</v>
      </c>
      <c r="AZ5" s="2" t="s">
        <v>81</v>
      </c>
      <c r="BA5" s="21">
        <v>0.4</v>
      </c>
      <c r="BB5" s="34">
        <f t="shared" si="9"/>
        <v>1.2</v>
      </c>
      <c r="BC5" s="34">
        <f t="shared" ref="BC5:BC10" si="18">BA5*BB5</f>
        <v>0.48</v>
      </c>
      <c r="BD5" s="34">
        <f t="shared" si="10"/>
        <v>0.36</v>
      </c>
      <c r="BE5" s="34">
        <f t="shared" si="11"/>
        <v>0.24</v>
      </c>
      <c r="BI5" s="2" t="s">
        <v>134</v>
      </c>
      <c r="BJ5" s="158">
        <v>0.75</v>
      </c>
      <c r="BK5" s="34">
        <f>MIN($BG$24:$BG$30)</f>
        <v>1.6422918151337649</v>
      </c>
      <c r="BM5" s="2" t="s">
        <v>81</v>
      </c>
      <c r="BN5" s="2">
        <f t="shared" ref="BN5:BN10" si="19">VLOOKUP(LEFT(BM5,2),$AH$15:$AK$18,4,FALSE)</f>
        <v>0.78</v>
      </c>
      <c r="BO5" s="2">
        <f t="shared" si="12"/>
        <v>1.86</v>
      </c>
      <c r="BP5" s="34">
        <f t="shared" ref="BP5:BP10" si="20">BO5/BN5</f>
        <v>2.3846153846153846</v>
      </c>
      <c r="BQ5" s="21">
        <v>1.75</v>
      </c>
      <c r="BR5" s="2">
        <f t="shared" ref="BR5:BR10" si="21">(BQ5-1)*BN5</f>
        <v>0.58499999999999996</v>
      </c>
      <c r="BS5" s="157">
        <f>AI24</f>
        <v>0.26478591686179787</v>
      </c>
      <c r="BT5" s="155">
        <f>TAN(RADIANS(BR5+BN5))*$AI$10*2/$AK$4</f>
        <v>0.46343440908322664</v>
      </c>
      <c r="BU5" s="34">
        <f t="shared" si="13"/>
        <v>0.48749999999999999</v>
      </c>
      <c r="BV5" s="2">
        <f>BR5/基础属性系数!$C$18*3</f>
        <v>0.11699999999999999</v>
      </c>
      <c r="BZ5" s="2" t="s">
        <v>134</v>
      </c>
      <c r="CA5" s="21">
        <v>14</v>
      </c>
      <c r="CB5" s="2">
        <f>基础属性系数!$C$19/2</f>
        <v>200</v>
      </c>
      <c r="CC5" s="34">
        <f>CB5/CA5</f>
        <v>14.285714285714286</v>
      </c>
      <c r="CD5" s="34">
        <f>CC5</f>
        <v>14.285714285714286</v>
      </c>
      <c r="CQ5" s="2" t="s">
        <v>134</v>
      </c>
      <c r="CR5" s="2">
        <f>AI11</f>
        <v>75</v>
      </c>
      <c r="CS5" s="21">
        <v>0.2</v>
      </c>
      <c r="CT5" s="34">
        <f>(AK5/2/(CR5*2*PI()))*360/CS5</f>
        <v>13.903775828507978</v>
      </c>
      <c r="CU5" s="2">
        <f>CR5/2</f>
        <v>37.5</v>
      </c>
      <c r="CV5" s="21">
        <v>0.1</v>
      </c>
      <c r="CW5" s="34">
        <f>(AK5/2/(CU5*2*PI()))*360/CV5</f>
        <v>55.615103314031913</v>
      </c>
      <c r="CX5" s="21">
        <v>0.75</v>
      </c>
      <c r="CY5" s="34">
        <f>(CW5-CT5)/CX5</f>
        <v>55.61510331403192</v>
      </c>
      <c r="DE5" s="2" t="s">
        <v>134</v>
      </c>
      <c r="DF5" s="21">
        <v>45</v>
      </c>
      <c r="DG5" s="2">
        <f>DF5-5</f>
        <v>40</v>
      </c>
      <c r="DH5" s="2">
        <f>DF5+5</f>
        <v>50</v>
      </c>
    </row>
    <row r="6" spans="2:112" x14ac:dyDescent="0.3">
      <c r="B6" s="2" t="s">
        <v>616</v>
      </c>
      <c r="C6" s="33" t="s">
        <v>132</v>
      </c>
      <c r="D6" s="154">
        <v>6.71</v>
      </c>
      <c r="E6" s="154">
        <v>2.59</v>
      </c>
      <c r="F6" s="2">
        <f t="shared" si="14"/>
        <v>7.19</v>
      </c>
      <c r="G6" s="32">
        <v>2</v>
      </c>
      <c r="H6" s="32">
        <v>1.5</v>
      </c>
      <c r="I6" s="2">
        <f t="shared" si="15"/>
        <v>2.5</v>
      </c>
      <c r="J6" s="155">
        <f>VLOOKUP(C6,基础属性系数!$B$97:$E$100,4,FALSE)*SQRT(VLOOKUP(C6,基础属性系数!$B$97:$E$100,2,FALSE)/F6)</f>
        <v>1.9485982938498976</v>
      </c>
      <c r="K6" s="156">
        <v>0</v>
      </c>
      <c r="L6" s="156">
        <v>2.1</v>
      </c>
      <c r="M6" s="156">
        <v>1.65</v>
      </c>
      <c r="N6" s="156">
        <v>1.35</v>
      </c>
      <c r="O6" s="156">
        <v>1.1499999999999999</v>
      </c>
      <c r="P6" s="156">
        <v>1</v>
      </c>
      <c r="Q6" s="156">
        <v>0.85</v>
      </c>
      <c r="R6" s="34">
        <f>基础属性系数!$E$61*2/F6</f>
        <v>0</v>
      </c>
      <c r="S6" s="34">
        <f>(H6/基础属性系数!$C$94-H6/基础属性系数!$C$94/I6*基础属性系数!$E$61*2)/F6</f>
        <v>0.13038942976356049</v>
      </c>
      <c r="T6" s="34">
        <f>(G6/基础属性系数!$C$94-G6/基础属性系数!$C$94/I6*基础属性系数!$E$61*2)/F6*2</f>
        <v>0.34770514603616132</v>
      </c>
      <c r="U6" s="34">
        <f>(H6/基础属性系数!$C$94-H6/基础属性系数!$C$94/I6*基础属性系数!$E$61*2)/F6</f>
        <v>0.13038942976356049</v>
      </c>
      <c r="V6" s="34">
        <f>(E6/基础属性系数!$C$94-I6*E6/基础属性系数!$C$94/F6)/F6</f>
        <v>0.14685706465284618</v>
      </c>
      <c r="W6" s="34">
        <f>(D6/基础属性系数!$C$94-I6*D6/基础属性系数!$C$94/F6)/F6*2</f>
        <v>0.76093506086532636</v>
      </c>
      <c r="X6" s="34">
        <f>(E6/基础属性系数!$C$94-I6*E6/基础属性系数!$C$94/F6)/F6</f>
        <v>0.14685706465284618</v>
      </c>
      <c r="Y6" s="34">
        <f t="shared" si="0"/>
        <v>0</v>
      </c>
      <c r="Z6" s="34">
        <f t="shared" si="1"/>
        <v>0.27381780250347704</v>
      </c>
      <c r="AA6" s="34">
        <f t="shared" si="16"/>
        <v>0.57371349095966617</v>
      </c>
      <c r="AB6" s="34">
        <f t="shared" si="2"/>
        <v>0.17602573018080667</v>
      </c>
      <c r="AC6" s="34">
        <f t="shared" si="3"/>
        <v>0.16888562435077309</v>
      </c>
      <c r="AD6" s="34">
        <f t="shared" si="4"/>
        <v>0.76093506086532636</v>
      </c>
      <c r="AE6" s="34">
        <f t="shared" si="5"/>
        <v>0.12482850495491925</v>
      </c>
      <c r="AF6" s="34">
        <f t="shared" si="17"/>
        <v>2.0782062138149682</v>
      </c>
      <c r="AH6" s="2" t="s">
        <v>136</v>
      </c>
      <c r="AI6" s="2">
        <f>ROUND(AVERAGE(D24:D33),2)</f>
        <v>6.78</v>
      </c>
      <c r="AJ6" s="2">
        <f>ROUND(AVERAGE(E24:E33),2)</f>
        <v>3.27</v>
      </c>
      <c r="AK6" s="2">
        <f>ROUND(AVERAGE(F24:F33),2)</f>
        <v>7.53</v>
      </c>
      <c r="AM6" s="2" t="s">
        <v>83</v>
      </c>
      <c r="AN6" s="21">
        <v>0</v>
      </c>
      <c r="AO6" s="21">
        <v>0</v>
      </c>
      <c r="AP6" s="24"/>
      <c r="AQ6" s="2" t="s">
        <v>83</v>
      </c>
      <c r="AR6" s="32">
        <v>1.8</v>
      </c>
      <c r="AS6" s="32">
        <v>1</v>
      </c>
      <c r="AT6" s="2">
        <f>标准坦克设计!D16/AS6</f>
        <v>1</v>
      </c>
      <c r="AU6" s="2">
        <f t="shared" si="6"/>
        <v>0</v>
      </c>
      <c r="AV6" s="2">
        <f t="shared" si="7"/>
        <v>1.8</v>
      </c>
      <c r="AW6" s="21">
        <v>1</v>
      </c>
      <c r="AX6" s="2">
        <f t="shared" si="8"/>
        <v>1.8</v>
      </c>
      <c r="AZ6" s="2" t="s">
        <v>83</v>
      </c>
      <c r="BA6" s="21">
        <v>1.5</v>
      </c>
      <c r="BB6" s="34">
        <f t="shared" si="9"/>
        <v>1.2</v>
      </c>
      <c r="BC6" s="34">
        <f t="shared" si="18"/>
        <v>1.7999999999999998</v>
      </c>
      <c r="BD6" s="34">
        <f t="shared" si="10"/>
        <v>1.3499999999999999</v>
      </c>
      <c r="BE6" s="34">
        <f t="shared" si="11"/>
        <v>0.89999999999999991</v>
      </c>
      <c r="BI6" s="2" t="s">
        <v>136</v>
      </c>
      <c r="BJ6" s="158">
        <v>0.5</v>
      </c>
      <c r="BK6" s="34">
        <f>MIN($BG$34:$BG$40)</f>
        <v>1.3421103201592517</v>
      </c>
      <c r="BM6" s="2" t="s">
        <v>83</v>
      </c>
      <c r="BN6" s="2">
        <f t="shared" si="19"/>
        <v>0.78</v>
      </c>
      <c r="BO6" s="2">
        <f t="shared" si="12"/>
        <v>2.58</v>
      </c>
      <c r="BP6" s="34">
        <f t="shared" si="20"/>
        <v>3.3076923076923075</v>
      </c>
      <c r="BQ6" s="21">
        <v>3</v>
      </c>
      <c r="BR6" s="2">
        <f t="shared" si="21"/>
        <v>1.56</v>
      </c>
      <c r="BS6" s="157">
        <f>AI25</f>
        <v>0.30127565677255386</v>
      </c>
      <c r="BT6" s="155">
        <f>TAN(RADIANS(BR6+BN6))*$AI$10*2/$AK$4</f>
        <v>0.79475059811837956</v>
      </c>
      <c r="BU6" s="34">
        <f t="shared" si="13"/>
        <v>1.56</v>
      </c>
      <c r="BV6" s="2">
        <f>BR6/基础属性系数!$C$18*3</f>
        <v>0.31200000000000006</v>
      </c>
      <c r="BZ6" s="2" t="s">
        <v>136</v>
      </c>
      <c r="CA6" s="21">
        <v>16</v>
      </c>
      <c r="CB6" s="2">
        <f>基础属性系数!$C$19/2</f>
        <v>200</v>
      </c>
      <c r="CC6" s="34">
        <f>CB6/CA6</f>
        <v>12.5</v>
      </c>
      <c r="CD6" s="34">
        <f>CC6</f>
        <v>12.5</v>
      </c>
      <c r="CQ6" s="2" t="s">
        <v>136</v>
      </c>
      <c r="CR6" s="2">
        <f>AI12</f>
        <v>90</v>
      </c>
      <c r="CS6" s="21">
        <v>0.2</v>
      </c>
      <c r="CT6" s="34">
        <f>(AK6/2/(CR6*2*PI()))*360/CS6</f>
        <v>11.98436721481972</v>
      </c>
      <c r="CU6" s="2">
        <f>CR6/2</f>
        <v>45</v>
      </c>
      <c r="CV6" s="21">
        <v>0.1</v>
      </c>
      <c r="CW6" s="34">
        <f>(AK6/2/(CU6*2*PI()))*360/CV6</f>
        <v>47.93746885927888</v>
      </c>
      <c r="CX6" s="21">
        <v>0.75</v>
      </c>
      <c r="CY6" s="34">
        <f>(CW6-CT6)/CX6</f>
        <v>47.93746885927888</v>
      </c>
      <c r="DE6" s="2" t="s">
        <v>136</v>
      </c>
      <c r="DF6" s="21">
        <v>33</v>
      </c>
      <c r="DG6" s="2">
        <f>DF6-5</f>
        <v>28</v>
      </c>
      <c r="DH6" s="2">
        <f>DF6+5</f>
        <v>38</v>
      </c>
    </row>
    <row r="7" spans="2:112" x14ac:dyDescent="0.3">
      <c r="B7" s="2" t="s">
        <v>530</v>
      </c>
      <c r="C7" s="33" t="s">
        <v>132</v>
      </c>
      <c r="D7" s="154">
        <v>4.83</v>
      </c>
      <c r="E7" s="154">
        <v>2.11</v>
      </c>
      <c r="F7" s="2">
        <f t="shared" si="14"/>
        <v>5.27</v>
      </c>
      <c r="G7" s="32">
        <v>1.4</v>
      </c>
      <c r="H7" s="32">
        <v>1.3</v>
      </c>
      <c r="I7" s="2">
        <f t="shared" si="15"/>
        <v>1.91</v>
      </c>
      <c r="J7" s="155">
        <f>VLOOKUP(C7,基础属性系数!$B$97:$E$100,4,FALSE)*SQRT(VLOOKUP(C7,基础属性系数!$B$97:$E$100,2,FALSE)/F7)</f>
        <v>2.2760482033615745</v>
      </c>
      <c r="K7" s="156">
        <v>0</v>
      </c>
      <c r="L7" s="156">
        <v>2.1</v>
      </c>
      <c r="M7" s="156">
        <v>1.6</v>
      </c>
      <c r="N7" s="156">
        <v>1.4</v>
      </c>
      <c r="O7" s="156">
        <v>1.1000000000000001</v>
      </c>
      <c r="P7" s="156">
        <v>0.95</v>
      </c>
      <c r="Q7" s="156">
        <v>0.85</v>
      </c>
      <c r="R7" s="34">
        <f>基础属性系数!$E$61*2/F7</f>
        <v>0</v>
      </c>
      <c r="S7" s="34">
        <f>(H7/基础属性系数!$C$94-H7/基础属性系数!$C$94/I7*基础属性系数!$E$61*2)/F7</f>
        <v>0.15417457305502846</v>
      </c>
      <c r="T7" s="34">
        <f>(G7/基础属性系数!$C$94-G7/基础属性系数!$C$94/I7*基础属性系数!$E$61*2)/F7*2</f>
        <v>0.33206831119544589</v>
      </c>
      <c r="U7" s="34">
        <f>(H7/基础属性系数!$C$94-H7/基础属性系数!$C$94/I7*基础属性系数!$E$61*2)/F7</f>
        <v>0.15417457305502846</v>
      </c>
      <c r="V7" s="34">
        <f>(E7/基础属性系数!$C$94-I7*E7/基础属性系数!$C$94/F7)/F7</f>
        <v>0.15954401592919717</v>
      </c>
      <c r="W7" s="34">
        <f>(D7/基础属性系数!$C$94-I7*D7/基础属性系数!$C$94/F7)/F7*2</f>
        <v>0.73042426250049508</v>
      </c>
      <c r="X7" s="34">
        <f>(E7/基础属性系数!$C$94-I7*E7/基础属性系数!$C$94/F7)/F7</f>
        <v>0.15954401592919717</v>
      </c>
      <c r="Y7" s="34">
        <f t="shared" si="0"/>
        <v>0</v>
      </c>
      <c r="Z7" s="34">
        <f t="shared" si="1"/>
        <v>0.32376660341555979</v>
      </c>
      <c r="AA7" s="34">
        <f t="shared" si="16"/>
        <v>0.53130929791271342</v>
      </c>
      <c r="AB7" s="34">
        <f t="shared" si="2"/>
        <v>0.21584440227703983</v>
      </c>
      <c r="AC7" s="34">
        <f t="shared" si="3"/>
        <v>0.1754984175221169</v>
      </c>
      <c r="AD7" s="34">
        <f t="shared" si="4"/>
        <v>0.69390304937547032</v>
      </c>
      <c r="AE7" s="34">
        <f t="shared" si="5"/>
        <v>0.13561241353981759</v>
      </c>
      <c r="AF7" s="34">
        <f t="shared" si="17"/>
        <v>2.0759341840427177</v>
      </c>
      <c r="AM7" s="2" t="s">
        <v>86</v>
      </c>
      <c r="AN7" s="21">
        <v>0.2</v>
      </c>
      <c r="AO7" s="21">
        <v>0.4</v>
      </c>
      <c r="AQ7" s="2" t="s">
        <v>86</v>
      </c>
      <c r="AR7" s="32">
        <v>2.4</v>
      </c>
      <c r="AS7" s="32">
        <v>2</v>
      </c>
      <c r="AT7" s="2">
        <f>标准坦克设计!D18/AS7</f>
        <v>3</v>
      </c>
      <c r="AU7" s="2">
        <f t="shared" si="6"/>
        <v>0.30000000000000004</v>
      </c>
      <c r="AV7" s="2">
        <f t="shared" si="7"/>
        <v>1.35</v>
      </c>
      <c r="AW7" s="21">
        <v>1</v>
      </c>
      <c r="AX7" s="2">
        <f t="shared" si="8"/>
        <v>2.4</v>
      </c>
      <c r="AZ7" s="2" t="s">
        <v>86</v>
      </c>
      <c r="BA7" s="21">
        <v>2</v>
      </c>
      <c r="BB7" s="34">
        <f t="shared" si="9"/>
        <v>1.2</v>
      </c>
      <c r="BC7" s="34">
        <f t="shared" si="18"/>
        <v>2.4</v>
      </c>
      <c r="BD7" s="34">
        <f t="shared" si="10"/>
        <v>1.7999999999999998</v>
      </c>
      <c r="BE7" s="34">
        <f t="shared" si="11"/>
        <v>1.2</v>
      </c>
      <c r="BM7" s="2" t="s">
        <v>86</v>
      </c>
      <c r="BN7" s="2">
        <f t="shared" si="19"/>
        <v>0.71</v>
      </c>
      <c r="BO7" s="2">
        <f t="shared" si="12"/>
        <v>2.06</v>
      </c>
      <c r="BP7" s="34">
        <f t="shared" si="20"/>
        <v>2.9014084507042255</v>
      </c>
      <c r="BQ7" s="21">
        <v>5</v>
      </c>
      <c r="BR7" s="2">
        <f t="shared" si="21"/>
        <v>2.84</v>
      </c>
      <c r="BS7" s="157">
        <f>AJ25</f>
        <v>0.25533939591849686</v>
      </c>
      <c r="BT7" s="155">
        <f>TAN(RADIANS(BR7+BN7))*$AI$11*2/$AK$5</f>
        <v>1.2782677803938258</v>
      </c>
      <c r="BU7" s="34">
        <f t="shared" si="13"/>
        <v>2.84</v>
      </c>
      <c r="BV7" s="2">
        <f>BR7/基础属性系数!$C$18*3</f>
        <v>0.56799999999999995</v>
      </c>
      <c r="CQ7" s="25"/>
      <c r="CR7" s="25"/>
      <c r="CS7" s="24"/>
      <c r="CT7" s="133"/>
      <c r="CU7" s="25"/>
      <c r="CV7" s="24"/>
      <c r="CW7" s="133"/>
      <c r="CX7" s="25"/>
      <c r="CY7" s="133"/>
    </row>
    <row r="8" spans="2:112" x14ac:dyDescent="0.3">
      <c r="B8" s="2" t="s">
        <v>620</v>
      </c>
      <c r="C8" s="33" t="s">
        <v>132</v>
      </c>
      <c r="D8" s="154">
        <v>5.91</v>
      </c>
      <c r="E8" s="154">
        <v>2.67</v>
      </c>
      <c r="F8" s="2">
        <f t="shared" si="14"/>
        <v>6.49</v>
      </c>
      <c r="G8" s="32">
        <v>2.1</v>
      </c>
      <c r="H8" s="32">
        <v>1.8</v>
      </c>
      <c r="I8" s="2">
        <f t="shared" si="15"/>
        <v>2.77</v>
      </c>
      <c r="J8" s="155">
        <f>VLOOKUP(C8,基础属性系数!$B$97:$E$100,4,FALSE)*SQRT(VLOOKUP(C8,基础属性系数!$B$97:$E$100,2,FALSE)/F8)</f>
        <v>2.0509941174318942</v>
      </c>
      <c r="K8" s="156">
        <v>0</v>
      </c>
      <c r="L8" s="156">
        <v>2</v>
      </c>
      <c r="M8" s="156">
        <v>1.55</v>
      </c>
      <c r="N8" s="156">
        <v>1.25</v>
      </c>
      <c r="O8" s="156">
        <v>1.1000000000000001</v>
      </c>
      <c r="P8" s="156">
        <v>0.95</v>
      </c>
      <c r="Q8" s="156">
        <v>0.8</v>
      </c>
      <c r="R8" s="34">
        <f>基础属性系数!$E$61*2/F8</f>
        <v>0</v>
      </c>
      <c r="S8" s="34">
        <f>(H8/基础属性系数!$C$94-H8/基础属性系数!$C$94/I8*基础属性系数!$E$61*2)/F8</f>
        <v>0.17334360554699538</v>
      </c>
      <c r="T8" s="34">
        <f>(G8/基础属性系数!$C$94-G8/基础属性系数!$C$94/I8*基础属性系数!$E$61*2)/F8*2</f>
        <v>0.40446841294298919</v>
      </c>
      <c r="U8" s="34">
        <f>(H8/基础属性系数!$C$94-H8/基础属性系数!$C$94/I8*基础属性系数!$E$61*2)/F8</f>
        <v>0.17334360554699538</v>
      </c>
      <c r="V8" s="34">
        <f>(E8/基础属性系数!$C$94-I8*E8/基础属性系数!$C$94/F8)/F8</f>
        <v>0.14738212872239145</v>
      </c>
      <c r="W8" s="34">
        <f>(D8/基础属性系数!$C$94-I8*D8/基础属性系数!$C$94/F8)/F8*2</f>
        <v>0.65245571591710372</v>
      </c>
      <c r="X8" s="34">
        <f>(E8/基础属性系数!$C$94-I8*E8/基础属性系数!$C$94/F8)/F8</f>
        <v>0.14738212872239145</v>
      </c>
      <c r="Y8" s="34">
        <f t="shared" si="0"/>
        <v>0</v>
      </c>
      <c r="Z8" s="34">
        <f t="shared" si="1"/>
        <v>0.34668721109399075</v>
      </c>
      <c r="AA8" s="34">
        <f t="shared" si="16"/>
        <v>0.62692604006163322</v>
      </c>
      <c r="AB8" s="34">
        <f t="shared" si="2"/>
        <v>0.21667950693374421</v>
      </c>
      <c r="AC8" s="34">
        <f t="shared" si="3"/>
        <v>0.16212034159463062</v>
      </c>
      <c r="AD8" s="34">
        <f t="shared" si="4"/>
        <v>0.61983293012124852</v>
      </c>
      <c r="AE8" s="34">
        <f t="shared" si="5"/>
        <v>0.11790570297791317</v>
      </c>
      <c r="AF8" s="34">
        <f t="shared" si="17"/>
        <v>2.0901517327831605</v>
      </c>
      <c r="AH8" s="262" t="s">
        <v>979</v>
      </c>
      <c r="AI8" s="262"/>
      <c r="AJ8" s="262"/>
      <c r="AK8" s="262"/>
      <c r="AM8" s="2" t="s">
        <v>85</v>
      </c>
      <c r="AN8" s="21">
        <v>0.4</v>
      </c>
      <c r="AO8" s="21">
        <v>1.2</v>
      </c>
      <c r="AQ8" s="2" t="s">
        <v>85</v>
      </c>
      <c r="AR8" s="32">
        <v>2.4</v>
      </c>
      <c r="AS8" s="32">
        <v>2</v>
      </c>
      <c r="AT8" s="2">
        <f>标准坦克设计!D17/AS8</f>
        <v>3</v>
      </c>
      <c r="AU8" s="2">
        <f t="shared" si="6"/>
        <v>0.8</v>
      </c>
      <c r="AV8" s="2">
        <f t="shared" si="7"/>
        <v>1.68</v>
      </c>
      <c r="AW8" s="21">
        <v>1.2</v>
      </c>
      <c r="AX8" s="2">
        <f t="shared" si="8"/>
        <v>2</v>
      </c>
      <c r="AZ8" s="2" t="s">
        <v>85</v>
      </c>
      <c r="BA8" s="21">
        <v>1</v>
      </c>
      <c r="BB8" s="34">
        <f t="shared" si="9"/>
        <v>1.2</v>
      </c>
      <c r="BC8" s="34">
        <f t="shared" si="18"/>
        <v>1.2</v>
      </c>
      <c r="BD8" s="34">
        <f t="shared" si="10"/>
        <v>0.89999999999999991</v>
      </c>
      <c r="BE8" s="34">
        <f t="shared" si="11"/>
        <v>0.6</v>
      </c>
      <c r="BM8" s="2" t="s">
        <v>85</v>
      </c>
      <c r="BN8" s="2">
        <f t="shared" si="19"/>
        <v>0.71</v>
      </c>
      <c r="BO8" s="2">
        <f t="shared" si="12"/>
        <v>2.3899999999999997</v>
      </c>
      <c r="BP8" s="34">
        <f t="shared" si="20"/>
        <v>3.3661971830985911</v>
      </c>
      <c r="BQ8" s="21">
        <v>3</v>
      </c>
      <c r="BR8" s="2">
        <f t="shared" si="21"/>
        <v>1.42</v>
      </c>
      <c r="BS8" s="157">
        <f>AJ25</f>
        <v>0.25533939591849686</v>
      </c>
      <c r="BT8" s="155">
        <f>TAN(RADIANS(BR8+BN8))*$AI$11*2/$AK$5</f>
        <v>0.76633203899024205</v>
      </c>
      <c r="BU8" s="34">
        <f t="shared" si="13"/>
        <v>1.1833333333333333</v>
      </c>
      <c r="BV8" s="2">
        <f>BR8/基础属性系数!$C$18*3</f>
        <v>0.28399999999999997</v>
      </c>
      <c r="BZ8" s="262" t="s">
        <v>980</v>
      </c>
      <c r="CA8" s="262"/>
      <c r="CB8" s="262"/>
      <c r="CC8" s="262"/>
      <c r="CD8" s="262"/>
      <c r="CE8" s="262"/>
      <c r="CF8" s="262"/>
      <c r="CG8" s="25"/>
      <c r="CH8" s="25"/>
      <c r="CI8" s="25"/>
      <c r="CJ8" s="25"/>
      <c r="CK8" s="25"/>
      <c r="CL8" s="25"/>
      <c r="CM8" s="25"/>
      <c r="CN8" s="25"/>
      <c r="CO8" s="25"/>
      <c r="CQ8" s="262" t="s">
        <v>981</v>
      </c>
      <c r="CR8" s="262"/>
      <c r="CS8" s="262"/>
      <c r="CT8" s="262"/>
      <c r="CU8" s="262"/>
      <c r="CV8" s="278" t="s">
        <v>982</v>
      </c>
      <c r="CW8" s="278"/>
      <c r="CX8" s="278"/>
      <c r="CY8" s="278"/>
      <c r="DE8" s="263" t="s">
        <v>983</v>
      </c>
      <c r="DF8" s="264"/>
      <c r="DG8" s="264"/>
      <c r="DH8" s="265"/>
    </row>
    <row r="9" spans="2:112" x14ac:dyDescent="0.3">
      <c r="B9" s="2" t="s">
        <v>622</v>
      </c>
      <c r="C9" s="33" t="s">
        <v>132</v>
      </c>
      <c r="D9" s="154">
        <v>4.9400000000000004</v>
      </c>
      <c r="E9" s="154">
        <v>2.54</v>
      </c>
      <c r="F9" s="2">
        <f t="shared" si="14"/>
        <v>5.55</v>
      </c>
      <c r="G9" s="32">
        <v>2.1</v>
      </c>
      <c r="H9" s="32">
        <v>1.8</v>
      </c>
      <c r="I9" s="2">
        <f t="shared" si="15"/>
        <v>2.77</v>
      </c>
      <c r="J9" s="155">
        <f>VLOOKUP(C9,基础属性系数!$B$97:$E$100,4,FALSE)*SQRT(VLOOKUP(C9,基础属性系数!$B$97:$E$100,2,FALSE)/F9)</f>
        <v>2.2178913727619562</v>
      </c>
      <c r="K9" s="156">
        <v>0</v>
      </c>
      <c r="L9" s="156">
        <v>1.9</v>
      </c>
      <c r="M9" s="156">
        <v>1.55</v>
      </c>
      <c r="N9" s="156">
        <v>1.25</v>
      </c>
      <c r="O9" s="156">
        <v>1.1000000000000001</v>
      </c>
      <c r="P9" s="156">
        <v>0.9</v>
      </c>
      <c r="Q9" s="156">
        <v>0.75</v>
      </c>
      <c r="R9" s="34">
        <f>基础属性系数!$E$61*2/F9</f>
        <v>0</v>
      </c>
      <c r="S9" s="34">
        <f>(H9/基础属性系数!$C$94-H9/基础属性系数!$C$94/I9*基础属性系数!$E$61*2)/F9</f>
        <v>0.20270270270270271</v>
      </c>
      <c r="T9" s="34">
        <f>(G9/基础属性系数!$C$94-G9/基础属性系数!$C$94/I9*基础属性系数!$E$61*2)/F9*2</f>
        <v>0.47297297297297297</v>
      </c>
      <c r="U9" s="34">
        <f>(H9/基础属性系数!$C$94-H9/基础属性系数!$C$94/I9*基础属性系数!$E$61*2)/F9</f>
        <v>0.20270270270270271</v>
      </c>
      <c r="V9" s="34">
        <f>(E9/基础属性系数!$C$94-I9*E9/基础属性系数!$C$94/F9)/F9</f>
        <v>0.14327570814057303</v>
      </c>
      <c r="W9" s="34">
        <f>(D9/基础属性系数!$C$94-I9*D9/基础属性系数!$C$94/F9)/F9*2</f>
        <v>0.5573086600113627</v>
      </c>
      <c r="X9" s="34">
        <f>(E9/基础属性系数!$C$94-I9*E9/基础属性系数!$C$94/F9)/F9</f>
        <v>0.14327570814057303</v>
      </c>
      <c r="Y9" s="34">
        <f t="shared" si="0"/>
        <v>0</v>
      </c>
      <c r="Z9" s="34">
        <f t="shared" si="1"/>
        <v>0.38513513513513514</v>
      </c>
      <c r="AA9" s="34">
        <f t="shared" si="16"/>
        <v>0.73310810810810811</v>
      </c>
      <c r="AB9" s="34">
        <f t="shared" si="2"/>
        <v>0.2533783783783784</v>
      </c>
      <c r="AC9" s="34">
        <f t="shared" si="3"/>
        <v>0.15760327895463033</v>
      </c>
      <c r="AD9" s="34">
        <f t="shared" si="4"/>
        <v>0.5015777940102264</v>
      </c>
      <c r="AE9" s="34">
        <f t="shared" si="5"/>
        <v>0.10745678110542978</v>
      </c>
      <c r="AF9" s="34">
        <f t="shared" si="17"/>
        <v>2.1382594756919082</v>
      </c>
      <c r="AH9" s="2" t="s">
        <v>72</v>
      </c>
      <c r="AI9" s="2" t="s">
        <v>171</v>
      </c>
      <c r="AJ9" s="2" t="s">
        <v>172</v>
      </c>
      <c r="AK9" s="2" t="s">
        <v>173</v>
      </c>
      <c r="AM9" s="2" t="s">
        <v>88</v>
      </c>
      <c r="AN9" s="21">
        <v>0</v>
      </c>
      <c r="AO9" s="21">
        <v>0</v>
      </c>
      <c r="AQ9" s="2" t="s">
        <v>88</v>
      </c>
      <c r="AR9" s="32">
        <v>3</v>
      </c>
      <c r="AS9" s="32">
        <v>1</v>
      </c>
      <c r="AT9" s="2">
        <f>标准坦克设计!D20/AS9</f>
        <v>1</v>
      </c>
      <c r="AU9" s="2">
        <f t="shared" si="6"/>
        <v>0</v>
      </c>
      <c r="AV9" s="2">
        <f t="shared" si="7"/>
        <v>3</v>
      </c>
      <c r="AW9" s="21">
        <v>1</v>
      </c>
      <c r="AX9" s="2">
        <f t="shared" si="8"/>
        <v>3</v>
      </c>
      <c r="AZ9" s="2" t="s">
        <v>88</v>
      </c>
      <c r="BA9" s="21">
        <v>2.5</v>
      </c>
      <c r="BB9" s="34">
        <f t="shared" si="9"/>
        <v>1.2</v>
      </c>
      <c r="BC9" s="34">
        <f t="shared" si="18"/>
        <v>3</v>
      </c>
      <c r="BD9" s="34">
        <f t="shared" si="10"/>
        <v>2.25</v>
      </c>
      <c r="BE9" s="34">
        <f t="shared" si="11"/>
        <v>1.5</v>
      </c>
      <c r="BM9" s="2" t="s">
        <v>88</v>
      </c>
      <c r="BN9" s="2">
        <f t="shared" si="19"/>
        <v>0.62</v>
      </c>
      <c r="BO9" s="2">
        <f t="shared" si="12"/>
        <v>3.62</v>
      </c>
      <c r="BP9" s="34">
        <f t="shared" si="20"/>
        <v>5.838709677419355</v>
      </c>
      <c r="BQ9" s="21">
        <v>6</v>
      </c>
      <c r="BR9" s="2">
        <f t="shared" si="21"/>
        <v>3.1</v>
      </c>
      <c r="BS9" s="157">
        <f>AK26</f>
        <v>0.25868040825173549</v>
      </c>
      <c r="BT9" s="155">
        <f>TAN(RADIANS(BR9+BN9))*$AI$12*2/$AK$6</f>
        <v>1.554206359015047</v>
      </c>
      <c r="BU9" s="34">
        <f t="shared" si="13"/>
        <v>3.1</v>
      </c>
      <c r="BV9" s="2">
        <f>BR9/基础属性系数!$C$18*3</f>
        <v>0.62</v>
      </c>
      <c r="BZ9" s="2" t="s">
        <v>72</v>
      </c>
      <c r="CA9" s="2" t="s">
        <v>984</v>
      </c>
      <c r="CB9" s="2" t="s">
        <v>985</v>
      </c>
      <c r="CC9" s="2" t="s">
        <v>974</v>
      </c>
      <c r="CD9" s="2" t="s">
        <v>975</v>
      </c>
      <c r="CE9" s="2" t="s">
        <v>986</v>
      </c>
      <c r="CF9" s="2" t="s">
        <v>987</v>
      </c>
      <c r="CG9" s="25"/>
      <c r="CH9" s="25"/>
      <c r="CI9" s="25"/>
      <c r="CJ9" s="25"/>
      <c r="CK9" s="25"/>
      <c r="CL9" s="25"/>
      <c r="CM9" s="25"/>
      <c r="CN9" s="25"/>
      <c r="CO9" s="25"/>
      <c r="CQ9" s="2" t="s">
        <v>72</v>
      </c>
      <c r="CR9" s="2" t="s">
        <v>988</v>
      </c>
      <c r="CS9" s="2" t="s">
        <v>989</v>
      </c>
      <c r="CT9" s="34" t="s">
        <v>990</v>
      </c>
      <c r="CU9" s="2" t="s">
        <v>991</v>
      </c>
      <c r="CV9" s="2" t="s">
        <v>992</v>
      </c>
      <c r="CW9" s="2" t="s">
        <v>989</v>
      </c>
      <c r="CX9" s="34" t="s">
        <v>990</v>
      </c>
      <c r="CY9" s="2" t="s">
        <v>991</v>
      </c>
      <c r="DE9" s="2" t="s">
        <v>72</v>
      </c>
      <c r="DF9" s="2" t="s">
        <v>985</v>
      </c>
      <c r="DG9" s="2" t="s">
        <v>975</v>
      </c>
      <c r="DH9" s="2" t="s">
        <v>993</v>
      </c>
    </row>
    <row r="10" spans="2:112" x14ac:dyDescent="0.3">
      <c r="B10" s="2" t="s">
        <v>624</v>
      </c>
      <c r="C10" s="33" t="s">
        <v>132</v>
      </c>
      <c r="D10" s="154">
        <v>4.8</v>
      </c>
      <c r="E10" s="154">
        <v>2.94</v>
      </c>
      <c r="F10" s="2">
        <f t="shared" si="14"/>
        <v>5.63</v>
      </c>
      <c r="G10" s="32">
        <v>2.1</v>
      </c>
      <c r="H10" s="32">
        <v>1.6</v>
      </c>
      <c r="I10" s="2">
        <f t="shared" si="15"/>
        <v>2.64</v>
      </c>
      <c r="J10" s="155">
        <f>VLOOKUP(C10,基础属性系数!$B$97:$E$100,4,FALSE)*SQRT(VLOOKUP(C10,基础属性系数!$B$97:$E$100,2,FALSE)/F10)</f>
        <v>2.2020773288189548</v>
      </c>
      <c r="K10" s="156">
        <v>0</v>
      </c>
      <c r="L10" s="156">
        <v>1.85</v>
      </c>
      <c r="M10" s="156">
        <v>1.45</v>
      </c>
      <c r="N10" s="156">
        <v>1.1499999999999999</v>
      </c>
      <c r="O10" s="156">
        <v>1.05</v>
      </c>
      <c r="P10" s="156">
        <v>0.9</v>
      </c>
      <c r="Q10" s="156">
        <v>0.75</v>
      </c>
      <c r="R10" s="34">
        <v>0.15</v>
      </c>
      <c r="S10" s="34">
        <f>(H10/基础属性系数!$C$94-H10/基础属性系数!$C$94/I10*基础属性系数!$E$61*2)/F10</f>
        <v>0.17761989342806395</v>
      </c>
      <c r="T10" s="34">
        <f>(G10/基础属性系数!$C$94-G10/基础属性系数!$C$94/I10*基础属性系数!$E$61*2)/F10*2</f>
        <v>0.46625222024866786</v>
      </c>
      <c r="U10" s="34">
        <f>(H10/基础属性系数!$C$94-H10/基础属性系数!$C$94/I10*基础属性系数!$E$61*2)/F10</f>
        <v>0.17761989342806395</v>
      </c>
      <c r="V10" s="34">
        <v>0.2</v>
      </c>
      <c r="W10" s="34">
        <v>0.55000000000000004</v>
      </c>
      <c r="X10" s="34">
        <v>0.2</v>
      </c>
      <c r="Y10" s="34">
        <f t="shared" si="0"/>
        <v>0</v>
      </c>
      <c r="Z10" s="34">
        <f t="shared" si="1"/>
        <v>0.32859680284191833</v>
      </c>
      <c r="AA10" s="34">
        <f t="shared" si="16"/>
        <v>0.67606571936056836</v>
      </c>
      <c r="AB10" s="34">
        <f t="shared" si="2"/>
        <v>0.20426287744227353</v>
      </c>
      <c r="AC10" s="34">
        <f t="shared" si="3"/>
        <v>0.21000000000000002</v>
      </c>
      <c r="AD10" s="34">
        <f t="shared" si="4"/>
        <v>0.49500000000000005</v>
      </c>
      <c r="AE10" s="34">
        <f t="shared" si="5"/>
        <v>0.15000000000000002</v>
      </c>
      <c r="AF10" s="34">
        <f t="shared" si="17"/>
        <v>2.0639253996447602</v>
      </c>
      <c r="AH10" s="2" t="s">
        <v>132</v>
      </c>
      <c r="AI10" s="2">
        <f>基础属性系数!C24</f>
        <v>60</v>
      </c>
      <c r="AJ10" s="2">
        <f>基础属性系数!D24</f>
        <v>40</v>
      </c>
      <c r="AK10" s="2">
        <f>基础属性系数!E24</f>
        <v>100</v>
      </c>
      <c r="AM10" s="2" t="s">
        <v>87</v>
      </c>
      <c r="AN10" s="21">
        <v>1.6</v>
      </c>
      <c r="AO10" s="21">
        <v>2</v>
      </c>
      <c r="AQ10" s="2" t="s">
        <v>87</v>
      </c>
      <c r="AR10" s="32">
        <v>3</v>
      </c>
      <c r="AS10" s="32">
        <v>2</v>
      </c>
      <c r="AT10" s="2">
        <f>标准坦克设计!D19/AS10</f>
        <v>1</v>
      </c>
      <c r="AU10" s="2">
        <f t="shared" si="6"/>
        <v>1.8</v>
      </c>
      <c r="AV10" s="2">
        <f t="shared" si="7"/>
        <v>2.58</v>
      </c>
      <c r="AW10" s="21">
        <v>1.2</v>
      </c>
      <c r="AX10" s="2">
        <f t="shared" si="8"/>
        <v>2.5</v>
      </c>
      <c r="AZ10" s="2" t="s">
        <v>87</v>
      </c>
      <c r="BA10" s="21">
        <v>1.5</v>
      </c>
      <c r="BB10" s="34">
        <f t="shared" si="9"/>
        <v>1.2</v>
      </c>
      <c r="BC10" s="34">
        <f t="shared" si="18"/>
        <v>1.7999999999999998</v>
      </c>
      <c r="BD10" s="34">
        <f t="shared" si="10"/>
        <v>1.3499999999999999</v>
      </c>
      <c r="BE10" s="34">
        <f t="shared" si="11"/>
        <v>0.89999999999999991</v>
      </c>
      <c r="BM10" s="2" t="s">
        <v>87</v>
      </c>
      <c r="BN10" s="2">
        <f t="shared" si="19"/>
        <v>0.62</v>
      </c>
      <c r="BO10" s="2">
        <f t="shared" si="12"/>
        <v>3.2</v>
      </c>
      <c r="BP10" s="34">
        <f t="shared" si="20"/>
        <v>5.1612903225806459</v>
      </c>
      <c r="BQ10" s="21">
        <v>4</v>
      </c>
      <c r="BR10" s="2">
        <f t="shared" si="21"/>
        <v>1.8599999999999999</v>
      </c>
      <c r="BS10" s="157">
        <f>AK26</f>
        <v>0.25868040825173549</v>
      </c>
      <c r="BT10" s="155">
        <f>TAN(RADIANS(BR10+BN10))*$AI$12*2/$AK$6</f>
        <v>1.0353278953958711</v>
      </c>
      <c r="BU10" s="34">
        <f t="shared" si="13"/>
        <v>1.55</v>
      </c>
      <c r="BV10" s="2">
        <f>BR10/基础属性系数!$C$18*3</f>
        <v>0.37199999999999994</v>
      </c>
      <c r="BZ10" s="2" t="s">
        <v>132</v>
      </c>
      <c r="CA10" s="21">
        <v>10.5</v>
      </c>
      <c r="CB10" s="21">
        <v>10.5</v>
      </c>
      <c r="CC10" s="21">
        <v>1.5</v>
      </c>
      <c r="CD10" s="34">
        <f>AVERAGE(CA10:CB10)/CC10</f>
        <v>7</v>
      </c>
      <c r="CE10" s="34">
        <f>(CB4-CA10/CD10*CA10/2)/CA10+CA10/CD10</f>
        <v>19.797619047619047</v>
      </c>
      <c r="CF10" s="34">
        <f>(CB4-CB10/CD10*CB10/2)/CB10+CB10/CD10</f>
        <v>19.797619047619047</v>
      </c>
      <c r="CG10" s="133"/>
      <c r="CH10" s="133"/>
      <c r="CI10" s="133"/>
      <c r="CJ10" s="133"/>
      <c r="CK10" s="133"/>
      <c r="CL10" s="133"/>
      <c r="CM10" s="133"/>
      <c r="CN10" s="130"/>
      <c r="CO10" s="133"/>
      <c r="CQ10" s="2" t="s">
        <v>132</v>
      </c>
      <c r="CR10" s="34">
        <f>CT4</f>
        <v>14.729789983154914</v>
      </c>
      <c r="CS10" s="160">
        <f>$CC$4/(2*PI()*$CR10/360)</f>
        <v>64.829821717990285</v>
      </c>
      <c r="CT10" s="34">
        <f>$CC$5/(2*PI()*$CR10/360)</f>
        <v>55.568418615420242</v>
      </c>
      <c r="CU10" s="34">
        <f>$CC$6/(2*PI()*$CR10/360)</f>
        <v>48.622366288492707</v>
      </c>
      <c r="CV10" s="34">
        <f>CW4</f>
        <v>58.919159932619657</v>
      </c>
      <c r="CW10" s="160">
        <f>$CC$4/(2*PI()*$CV10/360)</f>
        <v>16.207455429497571</v>
      </c>
      <c r="CX10" s="34">
        <f>$CC$5/(2*PI()*$CV10/360)</f>
        <v>13.892104653855061</v>
      </c>
      <c r="CY10" s="34">
        <f>$CC$6/(2*PI()*$CV10/360)</f>
        <v>12.155591572123177</v>
      </c>
      <c r="DE10" s="2" t="s">
        <v>132</v>
      </c>
      <c r="DF10" s="21">
        <v>1</v>
      </c>
      <c r="DG10" s="21">
        <v>1</v>
      </c>
      <c r="DH10" s="21">
        <v>1</v>
      </c>
    </row>
    <row r="11" spans="2:112" x14ac:dyDescent="0.3">
      <c r="B11" s="2" t="s">
        <v>627</v>
      </c>
      <c r="C11" s="33" t="s">
        <v>132</v>
      </c>
      <c r="D11" s="154">
        <v>5.61</v>
      </c>
      <c r="E11" s="154">
        <v>3.21</v>
      </c>
      <c r="F11" s="2">
        <f t="shared" si="14"/>
        <v>6.46</v>
      </c>
      <c r="G11" s="32">
        <v>3.2</v>
      </c>
      <c r="H11" s="32">
        <v>1.7</v>
      </c>
      <c r="I11" s="2">
        <f t="shared" si="15"/>
        <v>3.62</v>
      </c>
      <c r="J11" s="155">
        <f>VLOOKUP(C11,基础属性系数!$B$97:$E$100,4,FALSE)*SQRT(VLOOKUP(C11,基础属性系数!$B$97:$E$100,2,FALSE)/F11)</f>
        <v>2.0557509714072411</v>
      </c>
      <c r="K11" s="156">
        <v>0</v>
      </c>
      <c r="L11" s="156">
        <v>1.85</v>
      </c>
      <c r="M11" s="156">
        <v>1.35</v>
      </c>
      <c r="N11" s="156">
        <v>1.2</v>
      </c>
      <c r="O11" s="156">
        <v>1.1499999999999999</v>
      </c>
      <c r="P11" s="156">
        <v>0.95</v>
      </c>
      <c r="Q11" s="156">
        <v>0.9</v>
      </c>
      <c r="R11" s="34">
        <f>基础属性系数!$E$61*2/F11</f>
        <v>0</v>
      </c>
      <c r="S11" s="34">
        <f>(H11/基础属性系数!$C$94-H11/基础属性系数!$C$94/I11*基础属性系数!$E$61*2)/F11</f>
        <v>0.16447368421052633</v>
      </c>
      <c r="T11" s="34">
        <f>(G11/基础属性系数!$C$94-G11/基础属性系数!$C$94/I11*基础属性系数!$E$61*2)/F11*2</f>
        <v>0.61919504643962853</v>
      </c>
      <c r="U11" s="34">
        <f>(H11/基础属性系数!$C$94-H11/基础属性系数!$C$94/I11*基础属性系数!$E$61*2)/F11</f>
        <v>0.16447368421052633</v>
      </c>
      <c r="V11" s="34">
        <f>(E11/基础属性系数!$C$94-I11*E11/基础属性系数!$C$94/F11)/F11</f>
        <v>0.13653322661963591</v>
      </c>
      <c r="W11" s="34">
        <f>(D11/基础属性系数!$C$94-I11*D11/基础属性系数!$C$94/F11)/F11*2</f>
        <v>0.47722828743685836</v>
      </c>
      <c r="X11" s="34">
        <f>(E11/基础属性系数!$C$94-I11*E11/基础属性系数!$C$94/F11)/F11</f>
        <v>0.13653322661963591</v>
      </c>
      <c r="Y11" s="34">
        <f t="shared" si="0"/>
        <v>0</v>
      </c>
      <c r="Z11" s="34">
        <f t="shared" si="1"/>
        <v>0.30427631578947373</v>
      </c>
      <c r="AA11" s="34">
        <f t="shared" si="16"/>
        <v>0.83591331269349856</v>
      </c>
      <c r="AB11" s="34">
        <f t="shared" si="2"/>
        <v>0.19736842105263158</v>
      </c>
      <c r="AC11" s="34">
        <f t="shared" si="3"/>
        <v>0.15701321061258128</v>
      </c>
      <c r="AD11" s="34">
        <f t="shared" si="4"/>
        <v>0.45336687306501544</v>
      </c>
      <c r="AE11" s="34">
        <f t="shared" si="5"/>
        <v>0.12287990395767232</v>
      </c>
      <c r="AF11" s="34">
        <f t="shared" si="17"/>
        <v>2.0708180371708731</v>
      </c>
      <c r="AH11" s="2" t="s">
        <v>134</v>
      </c>
      <c r="AI11" s="2">
        <f>基础属性系数!C25</f>
        <v>75</v>
      </c>
      <c r="AJ11" s="2">
        <f>基础属性系数!D25</f>
        <v>55</v>
      </c>
      <c r="AK11" s="2">
        <f>基础属性系数!E25</f>
        <v>105</v>
      </c>
      <c r="BZ11" s="2" t="s">
        <v>134</v>
      </c>
      <c r="CA11" s="21">
        <v>8</v>
      </c>
      <c r="CB11" s="21">
        <v>8</v>
      </c>
      <c r="CC11" s="21">
        <v>1.6</v>
      </c>
      <c r="CD11" s="34">
        <f>AVERAGE(CA11:CB11)/CC11</f>
        <v>5</v>
      </c>
      <c r="CE11" s="34">
        <f>(CB5-CA11/CD11*CA11/2)/CA11+CA11/CD11</f>
        <v>25.8</v>
      </c>
      <c r="CF11" s="34">
        <f>(CB5-CB11/CD11*CB11/2)/CB11+CB11/CD11</f>
        <v>25.8</v>
      </c>
      <c r="CG11" s="133"/>
      <c r="CH11" s="133"/>
      <c r="CI11" s="133"/>
      <c r="CJ11" s="133"/>
      <c r="CK11" s="133"/>
      <c r="CL11" s="133"/>
      <c r="CM11" s="133"/>
      <c r="CN11" s="130"/>
      <c r="CO11" s="133"/>
      <c r="CQ11" s="2" t="s">
        <v>134</v>
      </c>
      <c r="CR11" s="34">
        <f>CT5</f>
        <v>13.903775828507978</v>
      </c>
      <c r="CS11" s="160">
        <f>$CC$4/(2*PI()*$CR11/360)</f>
        <v>68.681318681318672</v>
      </c>
      <c r="CT11" s="34">
        <f>$CC$5/(2*PI()*$CR11/360)</f>
        <v>58.869701726844582</v>
      </c>
      <c r="CU11" s="34">
        <f>$CC$6/(2*PI()*$CR11/360)</f>
        <v>51.510989010989007</v>
      </c>
      <c r="CV11" s="34">
        <f>CW5</f>
        <v>55.615103314031913</v>
      </c>
      <c r="CW11" s="160">
        <f>$CC$4/(2*PI()*$CV11/360)</f>
        <v>17.170329670329668</v>
      </c>
      <c r="CX11" s="34">
        <f>$CC$5/(2*PI()*$CV11/360)</f>
        <v>14.717425431711145</v>
      </c>
      <c r="CY11" s="34">
        <f>$CC$6/(2*PI()*$CV11/360)</f>
        <v>12.877747252747252</v>
      </c>
      <c r="DE11" s="2" t="s">
        <v>134</v>
      </c>
      <c r="DF11" s="21">
        <v>0.9</v>
      </c>
      <c r="DG11" s="21">
        <v>0.9</v>
      </c>
      <c r="DH11" s="21">
        <v>0.9</v>
      </c>
    </row>
    <row r="12" spans="2:112" x14ac:dyDescent="0.3">
      <c r="B12" s="2" t="s">
        <v>629</v>
      </c>
      <c r="C12" s="33" t="s">
        <v>132</v>
      </c>
      <c r="D12" s="154">
        <v>6.99</v>
      </c>
      <c r="E12" s="154">
        <v>3.24</v>
      </c>
      <c r="F12" s="2">
        <f t="shared" si="14"/>
        <v>7.7</v>
      </c>
      <c r="G12" s="32">
        <v>1.8</v>
      </c>
      <c r="H12" s="32">
        <v>1.8</v>
      </c>
      <c r="I12" s="2">
        <f t="shared" si="15"/>
        <v>2.5499999999999998</v>
      </c>
      <c r="J12" s="155">
        <f>VLOOKUP(C12,基础属性系数!$B$97:$E$100,4,FALSE)*SQRT(VLOOKUP(C12,基础属性系数!$B$97:$E$100,2,FALSE)/F12)</f>
        <v>1.8829613277064927</v>
      </c>
      <c r="K12" s="156">
        <v>0</v>
      </c>
      <c r="L12" s="156">
        <v>2.15</v>
      </c>
      <c r="M12" s="156">
        <v>1.65</v>
      </c>
      <c r="N12" s="156">
        <v>1.25</v>
      </c>
      <c r="O12" s="156">
        <v>1.1499999999999999</v>
      </c>
      <c r="P12" s="156">
        <v>1</v>
      </c>
      <c r="Q12" s="156">
        <v>0.95</v>
      </c>
      <c r="R12" s="34">
        <f>基础属性系数!$E$61*2/F12</f>
        <v>0</v>
      </c>
      <c r="S12" s="34">
        <f>(H12/基础属性系数!$C$94-H12/基础属性系数!$C$94/I12*基础属性系数!$E$61*2)/F12</f>
        <v>0.1461038961038961</v>
      </c>
      <c r="T12" s="34">
        <f>(G12/基础属性系数!$C$94-G12/基础属性系数!$C$94/I12*基础属性系数!$E$61*2)/F12*2</f>
        <v>0.29220779220779219</v>
      </c>
      <c r="U12" s="34">
        <f>(H12/基础属性系数!$C$94-H12/基础属性系数!$C$94/I12*基础属性系数!$E$61*2)/F12</f>
        <v>0.1461038961038961</v>
      </c>
      <c r="V12" s="34">
        <f>(E12/基础属性系数!$C$94-I12*E12/基础属性系数!$C$94/F12)/F12</f>
        <v>0.17589391128352166</v>
      </c>
      <c r="W12" s="34">
        <f>(D12/基础属性系数!$C$94-I12*D12/基础属性系数!$C$94/F12)/F12*2</f>
        <v>0.75894965424186189</v>
      </c>
      <c r="X12" s="34">
        <f>(E12/基础属性系数!$C$94-I12*E12/基础属性系数!$C$94/F12)/F12</f>
        <v>0.17589391128352166</v>
      </c>
      <c r="Y12" s="34">
        <f t="shared" si="0"/>
        <v>0</v>
      </c>
      <c r="Z12" s="34">
        <f t="shared" si="1"/>
        <v>0.31412337662337658</v>
      </c>
      <c r="AA12" s="34">
        <f t="shared" si="16"/>
        <v>0.4821428571428571</v>
      </c>
      <c r="AB12" s="34">
        <f t="shared" si="2"/>
        <v>0.18262987012987011</v>
      </c>
      <c r="AC12" s="34">
        <f t="shared" si="3"/>
        <v>0.20227799797604989</v>
      </c>
      <c r="AD12" s="34">
        <f t="shared" si="4"/>
        <v>0.75894965424186189</v>
      </c>
      <c r="AE12" s="34">
        <f t="shared" si="5"/>
        <v>0.16709921571934558</v>
      </c>
      <c r="AF12" s="34">
        <f t="shared" si="17"/>
        <v>2.107222971833361</v>
      </c>
      <c r="AH12" s="2" t="s">
        <v>136</v>
      </c>
      <c r="AI12" s="2">
        <f>基础属性系数!C26</f>
        <v>90</v>
      </c>
      <c r="AJ12" s="2">
        <f>基础属性系数!D26</f>
        <v>70</v>
      </c>
      <c r="AK12" s="2">
        <f>基础属性系数!E26</f>
        <v>110</v>
      </c>
      <c r="AZ12" s="262" t="s">
        <v>994</v>
      </c>
      <c r="BA12" s="262"/>
      <c r="BB12" s="262"/>
      <c r="BC12" s="262"/>
      <c r="BD12" s="262"/>
      <c r="BE12" s="262"/>
      <c r="BF12" s="262"/>
      <c r="BG12" s="262"/>
      <c r="BM12" s="262" t="s">
        <v>995</v>
      </c>
      <c r="BN12" s="262"/>
      <c r="BO12" s="262"/>
      <c r="BP12" s="262"/>
      <c r="BQ12" s="262"/>
      <c r="BR12" s="262"/>
      <c r="BS12" s="262"/>
      <c r="BT12" s="262"/>
      <c r="BU12" s="262"/>
      <c r="BV12" s="262"/>
      <c r="BZ12" s="2" t="s">
        <v>136</v>
      </c>
      <c r="CA12" s="21">
        <v>7</v>
      </c>
      <c r="CB12" s="21">
        <v>7</v>
      </c>
      <c r="CC12" s="21">
        <v>1.8</v>
      </c>
      <c r="CD12" s="34">
        <f>AVERAGE(CA12:CB12)/CC12</f>
        <v>3.8888888888888888</v>
      </c>
      <c r="CE12" s="34">
        <f>(CB6-CA12/CD12*CA12/2)/CA12+CA12/CD12</f>
        <v>29.471428571428572</v>
      </c>
      <c r="CF12" s="34">
        <f>(CB6-CB12/CD12*CB12/2)/CB12+CB12/CD12</f>
        <v>29.471428571428572</v>
      </c>
      <c r="CG12" s="133"/>
      <c r="CH12" s="133"/>
      <c r="CI12" s="133"/>
      <c r="CJ12" s="133"/>
      <c r="CK12" s="133"/>
      <c r="CL12" s="133"/>
      <c r="CM12" s="133"/>
      <c r="CN12" s="130"/>
      <c r="CO12" s="133"/>
      <c r="CQ12" s="2" t="s">
        <v>136</v>
      </c>
      <c r="CR12" s="34">
        <f>CT6</f>
        <v>11.98436721481972</v>
      </c>
      <c r="CS12" s="160">
        <f>$CC$4/(2*PI()*$CR12/360)</f>
        <v>79.681274900398407</v>
      </c>
      <c r="CT12" s="34">
        <f>$CC$5/(2*PI()*$CR12/360)</f>
        <v>68.29823562891292</v>
      </c>
      <c r="CU12" s="34">
        <f>$CC$6/(2*PI()*$CR12/360)</f>
        <v>59.760956175298794</v>
      </c>
      <c r="CV12" s="34">
        <f>CW6</f>
        <v>47.93746885927888</v>
      </c>
      <c r="CW12" s="160">
        <f>$CC$4/(2*PI()*$CV12/360)</f>
        <v>19.920318725099602</v>
      </c>
      <c r="CX12" s="34">
        <f>$CC$5/(2*PI()*$CV12/360)</f>
        <v>17.07455890722823</v>
      </c>
      <c r="CY12" s="34">
        <f>$CC$6/(2*PI()*$CV12/360)</f>
        <v>14.940239043824699</v>
      </c>
      <c r="DE12" s="2" t="s">
        <v>136</v>
      </c>
      <c r="DF12" s="21">
        <v>0.8</v>
      </c>
      <c r="DG12" s="21">
        <v>0.8</v>
      </c>
      <c r="DH12" s="21">
        <v>0.8</v>
      </c>
    </row>
    <row r="13" spans="2:112" x14ac:dyDescent="0.3">
      <c r="B13" s="2" t="s">
        <v>631</v>
      </c>
      <c r="C13" s="33" t="s">
        <v>132</v>
      </c>
      <c r="D13" s="154">
        <v>6.05</v>
      </c>
      <c r="E13" s="154">
        <v>3.23</v>
      </c>
      <c r="F13" s="2">
        <f t="shared" si="14"/>
        <v>6.86</v>
      </c>
      <c r="G13" s="32">
        <v>2.1</v>
      </c>
      <c r="H13" s="32">
        <v>2.1</v>
      </c>
      <c r="I13" s="2">
        <f t="shared" si="15"/>
        <v>2.97</v>
      </c>
      <c r="J13" s="155">
        <f>VLOOKUP(C13,基础属性系数!$B$97:$E$100,4,FALSE)*SQRT(VLOOKUP(C13,基础属性系数!$B$97:$E$100,2,FALSE)/F13)</f>
        <v>1.9949164213995045</v>
      </c>
      <c r="K13" s="156">
        <v>0</v>
      </c>
      <c r="L13" s="156">
        <v>1.9</v>
      </c>
      <c r="M13" s="156">
        <v>1.45</v>
      </c>
      <c r="N13" s="156">
        <v>1.2</v>
      </c>
      <c r="O13" s="156">
        <v>1.1499999999999999</v>
      </c>
      <c r="P13" s="156">
        <v>1</v>
      </c>
      <c r="Q13" s="156">
        <v>0.85</v>
      </c>
      <c r="R13" s="34">
        <f>基础属性系数!$E$61*2/F13</f>
        <v>0</v>
      </c>
      <c r="S13" s="34">
        <f>(H13/基础属性系数!$C$94-H13/基础属性系数!$C$94/I13*基础属性系数!$E$61*2)/F13</f>
        <v>0.19132653061224489</v>
      </c>
      <c r="T13" s="34">
        <f>(G13/基础属性系数!$C$94-G13/基础属性系数!$C$94/I13*基础属性系数!$E$61*2)/F13*2</f>
        <v>0.38265306122448978</v>
      </c>
      <c r="U13" s="34">
        <f>(H13/基础属性系数!$C$94-H13/基础属性系数!$C$94/I13*基础属性系数!$E$61*2)/F13</f>
        <v>0.19132653061224489</v>
      </c>
      <c r="V13" s="34">
        <f>(E13/基础属性系数!$C$94-I13*E13/基础属性系数!$C$94/F13)/F13</f>
        <v>0.16687216848421998</v>
      </c>
      <c r="W13" s="34">
        <f>(D13/基础属性系数!$C$94-I13*D13/基础属性系数!$C$94/F13)/F13*2</f>
        <v>0.62512484169011195</v>
      </c>
      <c r="X13" s="34">
        <f>(E13/基础属性系数!$C$94-I13*E13/基础属性系数!$C$94/F13)/F13</f>
        <v>0.16687216848421998</v>
      </c>
      <c r="Y13" s="34">
        <f t="shared" si="0"/>
        <v>0</v>
      </c>
      <c r="Z13" s="34">
        <f t="shared" si="1"/>
        <v>0.36352040816326525</v>
      </c>
      <c r="AA13" s="34">
        <f t="shared" si="16"/>
        <v>0.55484693877551017</v>
      </c>
      <c r="AB13" s="34">
        <f t="shared" si="2"/>
        <v>0.22959183673469385</v>
      </c>
      <c r="AC13" s="34">
        <f t="shared" si="3"/>
        <v>0.19190299375685296</v>
      </c>
      <c r="AD13" s="34">
        <f t="shared" si="4"/>
        <v>0.62512484169011195</v>
      </c>
      <c r="AE13" s="34">
        <f t="shared" si="5"/>
        <v>0.14184134321158698</v>
      </c>
      <c r="AF13" s="34">
        <f t="shared" si="17"/>
        <v>2.1068283623320214</v>
      </c>
      <c r="AZ13" s="2" t="s">
        <v>72</v>
      </c>
      <c r="BA13" s="2" t="s">
        <v>996</v>
      </c>
      <c r="BB13" s="2" t="s">
        <v>964</v>
      </c>
      <c r="BC13" s="2" t="s">
        <v>962</v>
      </c>
      <c r="BD13" s="2" t="s">
        <v>997</v>
      </c>
      <c r="BE13" s="2" t="s">
        <v>998</v>
      </c>
      <c r="BF13" s="2" t="s">
        <v>999</v>
      </c>
      <c r="BG13" s="2" t="s">
        <v>1000</v>
      </c>
      <c r="BM13" s="2" t="s">
        <v>72</v>
      </c>
      <c r="BN13" s="2" t="s">
        <v>957</v>
      </c>
      <c r="BO13" s="2" t="s">
        <v>958</v>
      </c>
      <c r="BP13" s="2" t="s">
        <v>959</v>
      </c>
      <c r="BQ13" s="2" t="s">
        <v>960</v>
      </c>
      <c r="BR13" s="2" t="s">
        <v>961</v>
      </c>
      <c r="BS13" s="2" t="s">
        <v>962</v>
      </c>
      <c r="BT13" s="2" t="s">
        <v>963</v>
      </c>
      <c r="BU13" s="2" t="s">
        <v>964</v>
      </c>
      <c r="BV13" s="2" t="s">
        <v>965</v>
      </c>
    </row>
    <row r="14" spans="2:112" x14ac:dyDescent="0.3">
      <c r="B14" s="2" t="s">
        <v>520</v>
      </c>
      <c r="C14" s="33" t="s">
        <v>134</v>
      </c>
      <c r="D14" s="154">
        <v>4.37</v>
      </c>
      <c r="E14" s="154">
        <v>2.2799999999999998</v>
      </c>
      <c r="F14" s="2">
        <f t="shared" si="14"/>
        <v>4.93</v>
      </c>
      <c r="G14" s="32">
        <v>1.3</v>
      </c>
      <c r="H14" s="32">
        <v>1.3</v>
      </c>
      <c r="I14" s="2">
        <f t="shared" si="15"/>
        <v>1.84</v>
      </c>
      <c r="J14" s="155">
        <f>VLOOKUP(C14,基础属性系数!$B$97:$E$100,4,FALSE)*SQRT(VLOOKUP(C14,基础属性系数!$B$97:$E$100,2,FALSE)/F14)</f>
        <v>2.6345716106527823</v>
      </c>
      <c r="K14" s="156">
        <v>0</v>
      </c>
      <c r="L14" s="156">
        <v>2</v>
      </c>
      <c r="M14" s="156">
        <v>1.9</v>
      </c>
      <c r="N14" s="156">
        <v>1.6</v>
      </c>
      <c r="O14" s="156">
        <v>1.2</v>
      </c>
      <c r="P14" s="156">
        <v>0.85</v>
      </c>
      <c r="Q14" s="156">
        <v>0.6</v>
      </c>
      <c r="R14" s="34">
        <f>基础属性系数!$E$61*2/F14</f>
        <v>0</v>
      </c>
      <c r="S14" s="34">
        <f>(H14/基础属性系数!$C$94-H14/基础属性系数!$C$94/I14*基础属性系数!$E$61*2)/F14</f>
        <v>0.16480730223123732</v>
      </c>
      <c r="T14" s="34">
        <f>(G14/基础属性系数!$C$94-G14/基础属性系数!$C$94/I14*基础属性系数!$E$61*2)/F14*2</f>
        <v>0.32961460446247465</v>
      </c>
      <c r="U14" s="34">
        <f>(H14/基础属性系数!$C$94-H14/基础属性系数!$C$94/I14*基础属性系数!$E$61*2)/F14</f>
        <v>0.16480730223123732</v>
      </c>
      <c r="V14" s="34">
        <f>(E14/基础属性系数!$C$94-I14*E14/基础属性系数!$C$94/F14)/F14</f>
        <v>0.18116717205172617</v>
      </c>
      <c r="W14" s="34">
        <f>(D14/基础属性系数!$C$94-I14*D14/基础属性系数!$C$94/F14)/F14*2</f>
        <v>0.69447415953161695</v>
      </c>
      <c r="X14" s="34">
        <f>(E14/基础属性系数!$C$94-I14*E14/基础属性系数!$C$94/F14)/F14</f>
        <v>0.18116717205172617</v>
      </c>
      <c r="Y14" s="34">
        <f t="shared" si="0"/>
        <v>0</v>
      </c>
      <c r="Z14" s="34">
        <f t="shared" si="1"/>
        <v>0.32961460446247465</v>
      </c>
      <c r="AA14" s="34">
        <f t="shared" si="16"/>
        <v>0.62626774847870181</v>
      </c>
      <c r="AB14" s="34">
        <f t="shared" si="2"/>
        <v>0.26369168356997974</v>
      </c>
      <c r="AC14" s="34">
        <f t="shared" si="3"/>
        <v>0.21740060646207141</v>
      </c>
      <c r="AD14" s="34">
        <f t="shared" si="4"/>
        <v>0.59030303560187436</v>
      </c>
      <c r="AE14" s="34">
        <f t="shared" si="5"/>
        <v>0.1087003032310357</v>
      </c>
      <c r="AF14" s="34">
        <f t="shared" si="17"/>
        <v>2.1359779818061373</v>
      </c>
      <c r="AH14" s="262" t="s">
        <v>1001</v>
      </c>
      <c r="AI14" s="262"/>
      <c r="AJ14" s="262"/>
      <c r="AK14" s="262"/>
      <c r="AZ14" s="2" t="s">
        <v>79</v>
      </c>
      <c r="BA14" s="34">
        <f t="shared" ref="BA14:BA20" si="22">BC4</f>
        <v>0.6</v>
      </c>
      <c r="BB14" s="34">
        <f t="shared" ref="BB14:BB20" si="23">BA14/$AW$4</f>
        <v>0.5</v>
      </c>
      <c r="BC14" s="157">
        <f>$AI$24</f>
        <v>0.26478591686179787</v>
      </c>
      <c r="BD14" s="155">
        <f>TAN(RADIANS(BA14+$AK$16))*$AI$10*2/$AK$4</f>
        <v>0.46852905427890901</v>
      </c>
      <c r="BE14" s="155">
        <f>TAN(RADIANS(BA14*2+$AK$16))*$AI$10*2/$AK$4</f>
        <v>0.67237501877581207</v>
      </c>
      <c r="BF14" s="155">
        <f>TAN(RADIANS(BA14*3+$AK$16))*$AI$10*2/$AK$4</f>
        <v>0.87636863868024206</v>
      </c>
      <c r="BG14" s="34">
        <f>(1-BC14)/(BF14-BC14)*BA14*3</f>
        <v>2.1638697471928041</v>
      </c>
      <c r="BM14" s="2" t="s">
        <v>79</v>
      </c>
      <c r="BN14" s="2">
        <f>VLOOKUP(LEFT(BM14,2),$AH$15:$AK$18,4,FALSE)</f>
        <v>0.78</v>
      </c>
      <c r="BO14" s="2">
        <f t="shared" ref="BO14:BO20" si="24">BN14+AV4</f>
        <v>1.86</v>
      </c>
      <c r="BP14" s="34">
        <f>BO14/BN14</f>
        <v>2.3846153846153846</v>
      </c>
      <c r="BQ14" s="21">
        <v>2.1</v>
      </c>
      <c r="BR14" s="2">
        <f>(BQ14-1)*BN14</f>
        <v>0.8580000000000001</v>
      </c>
      <c r="BS14" s="157">
        <f>AI24</f>
        <v>0.26478591686179787</v>
      </c>
      <c r="BT14" s="155">
        <f>TAN(RADIANS(BR14+BN14))*$AI$10*2/$AK$4</f>
        <v>0.55616760139447796</v>
      </c>
      <c r="BU14" s="34">
        <f t="shared" ref="BU14:BU20" si="25">BR14/AW4</f>
        <v>0.71500000000000008</v>
      </c>
      <c r="BV14" s="2">
        <f>BR14/基础属性系数!$C$18*3</f>
        <v>0.17160000000000003</v>
      </c>
      <c r="BZ14" s="262" t="s">
        <v>1002</v>
      </c>
      <c r="CA14" s="262"/>
      <c r="CB14" s="262"/>
      <c r="CC14" s="262"/>
      <c r="CD14" s="262"/>
      <c r="CE14" s="262"/>
      <c r="CF14" s="262"/>
      <c r="CG14" s="25"/>
      <c r="CH14" s="25"/>
      <c r="CI14" s="25"/>
      <c r="CJ14" s="25"/>
      <c r="CK14" s="25"/>
      <c r="CL14" s="25"/>
      <c r="CM14" s="25"/>
      <c r="CN14" s="25"/>
      <c r="CO14" s="25"/>
      <c r="CQ14" s="262" t="s">
        <v>1003</v>
      </c>
      <c r="CR14" s="262"/>
      <c r="CS14" s="262"/>
      <c r="CT14" s="262"/>
      <c r="CU14" s="262"/>
      <c r="CV14" s="262"/>
      <c r="CW14" s="262"/>
      <c r="CX14" s="262"/>
      <c r="CY14" s="262"/>
      <c r="CZ14" s="262"/>
      <c r="DA14" s="262"/>
      <c r="DB14" s="262"/>
      <c r="DC14" s="262"/>
    </row>
    <row r="15" spans="2:112" x14ac:dyDescent="0.3">
      <c r="B15" s="2" t="s">
        <v>526</v>
      </c>
      <c r="C15" s="33" t="s">
        <v>134</v>
      </c>
      <c r="D15" s="154">
        <v>5.58</v>
      </c>
      <c r="E15" s="154">
        <v>2.84</v>
      </c>
      <c r="F15" s="2">
        <f t="shared" si="14"/>
        <v>6.26</v>
      </c>
      <c r="G15" s="32">
        <v>1.8</v>
      </c>
      <c r="H15" s="32">
        <v>1.5</v>
      </c>
      <c r="I15" s="2">
        <f t="shared" si="15"/>
        <v>2.34</v>
      </c>
      <c r="J15" s="155">
        <f>VLOOKUP(C15,基础属性系数!$B$97:$E$100,4,FALSE)*SQRT(VLOOKUP(C15,基础属性系数!$B$97:$E$100,2,FALSE)/F15)</f>
        <v>2.3380096573519364</v>
      </c>
      <c r="K15" s="156">
        <v>0</v>
      </c>
      <c r="L15" s="156">
        <v>2.15</v>
      </c>
      <c r="M15" s="156">
        <v>1.9</v>
      </c>
      <c r="N15" s="156">
        <v>1.55</v>
      </c>
      <c r="O15" s="156">
        <v>1.2</v>
      </c>
      <c r="P15" s="156">
        <v>0.8</v>
      </c>
      <c r="Q15" s="156">
        <v>0.55000000000000004</v>
      </c>
      <c r="R15" s="34">
        <f>基础属性系数!$E$61*2/F15</f>
        <v>0</v>
      </c>
      <c r="S15" s="34">
        <f>(H15/基础属性系数!$C$94-H15/基础属性系数!$C$94/I15*基础属性系数!$E$61*2)/F15</f>
        <v>0.14976038338658149</v>
      </c>
      <c r="T15" s="34">
        <f>(G15/基础属性系数!$C$94-G15/基础属性系数!$C$94/I15*基础属性系数!$E$61*2)/F15*2</f>
        <v>0.35942492012779553</v>
      </c>
      <c r="U15" s="34">
        <f>(H15/基础属性系数!$C$94-H15/基础属性系数!$C$94/I15*基础属性系数!$E$61*2)/F15</f>
        <v>0.14976038338658149</v>
      </c>
      <c r="V15" s="34">
        <f>(E15/基础属性系数!$C$94-I15*E15/基础属性系数!$C$94/F15)/F15</f>
        <v>0.17755616572589289</v>
      </c>
      <c r="W15" s="34">
        <f>(D15/基础属性系数!$C$94-I15*D15/基础属性系数!$C$94/F15)/F15*2</f>
        <v>0.6977207075707621</v>
      </c>
      <c r="X15" s="34">
        <f>(E15/基础属性系数!$C$94-I15*E15/基础属性系数!$C$94/F15)/F15</f>
        <v>0.17755616572589289</v>
      </c>
      <c r="Y15" s="34">
        <f t="shared" si="0"/>
        <v>0</v>
      </c>
      <c r="Z15" s="34">
        <f t="shared" si="1"/>
        <v>0.32198482428115016</v>
      </c>
      <c r="AA15" s="34">
        <f t="shared" si="16"/>
        <v>0.68290734824281152</v>
      </c>
      <c r="AB15" s="34">
        <f t="shared" si="2"/>
        <v>0.23212859424920132</v>
      </c>
      <c r="AC15" s="34">
        <f t="shared" si="3"/>
        <v>0.21306739887107146</v>
      </c>
      <c r="AD15" s="34">
        <f t="shared" si="4"/>
        <v>0.5581765660566097</v>
      </c>
      <c r="AE15" s="34">
        <f t="shared" si="5"/>
        <v>9.76558911492411E-2</v>
      </c>
      <c r="AF15" s="34">
        <f t="shared" si="17"/>
        <v>2.1059206228500851</v>
      </c>
      <c r="AH15" s="2" t="s">
        <v>72</v>
      </c>
      <c r="AI15" s="2" t="s">
        <v>1004</v>
      </c>
      <c r="AJ15" s="2" t="s">
        <v>1005</v>
      </c>
      <c r="AK15" s="2" t="s">
        <v>1006</v>
      </c>
      <c r="AZ15" s="2" t="s">
        <v>81</v>
      </c>
      <c r="BA15" s="34">
        <f t="shared" si="22"/>
        <v>0.48</v>
      </c>
      <c r="BB15" s="34">
        <f t="shared" si="23"/>
        <v>0.4</v>
      </c>
      <c r="BC15" s="157">
        <f>$AI$24</f>
        <v>0.26478591686179787</v>
      </c>
      <c r="BD15" s="155">
        <f>TAN(RADIANS(BA15+$AK$16))*$AI$10*2/$AK$4</f>
        <v>0.42777363329658946</v>
      </c>
      <c r="BE15" s="155">
        <f>TAN(RADIANS(BA15*2+$AK$16))*$AI$10*2/$AK$4</f>
        <v>0.59082142719647335</v>
      </c>
      <c r="BF15" s="155">
        <f>TAN(RADIANS(BA15*3+$AK$16))*$AI$10*2/$AK$4</f>
        <v>0.75395223376693188</v>
      </c>
      <c r="BG15" s="34">
        <f t="shared" ref="BG15:BG20" si="26">(1-BC15)/(BF15-BC15)*BA15*3</f>
        <v>2.1643114890192461</v>
      </c>
      <c r="BM15" s="2" t="s">
        <v>81</v>
      </c>
      <c r="BN15" s="2">
        <f t="shared" ref="BN15:BN20" si="27">VLOOKUP(LEFT(BM15,2),$AH$15:$AK$18,4,FALSE)</f>
        <v>0.78</v>
      </c>
      <c r="BO15" s="2">
        <f t="shared" si="24"/>
        <v>1.86</v>
      </c>
      <c r="BP15" s="34">
        <f t="shared" ref="BP15:BP20" si="28">BO15/BN15</f>
        <v>2.3846153846153846</v>
      </c>
      <c r="BQ15" s="21">
        <v>1.75</v>
      </c>
      <c r="BR15" s="2">
        <f t="shared" ref="BR15:BR20" si="29">(BQ15-1)*BN15</f>
        <v>0.58499999999999996</v>
      </c>
      <c r="BS15" s="157">
        <f>AI24</f>
        <v>0.26478591686179787</v>
      </c>
      <c r="BT15" s="155">
        <f>TAN(RADIANS(BR15+BN15))*$AI$10*2/$AK$4</f>
        <v>0.46343440908322664</v>
      </c>
      <c r="BU15" s="34">
        <f t="shared" si="25"/>
        <v>0.48749999999999999</v>
      </c>
      <c r="BV15" s="2">
        <f>BR15/基础属性系数!$C$18*3</f>
        <v>0.11699999999999999</v>
      </c>
      <c r="BZ15" s="2" t="s">
        <v>72</v>
      </c>
      <c r="CA15" s="2" t="s">
        <v>1007</v>
      </c>
      <c r="CB15" s="2" t="s">
        <v>1007</v>
      </c>
      <c r="CC15" s="2" t="s">
        <v>1008</v>
      </c>
      <c r="CD15" s="2" t="s">
        <v>1009</v>
      </c>
      <c r="CE15" s="2" t="s">
        <v>974</v>
      </c>
      <c r="CF15" s="2" t="s">
        <v>1010</v>
      </c>
      <c r="CG15" s="25"/>
      <c r="CH15" s="25"/>
      <c r="CI15" s="25"/>
      <c r="CJ15" s="25"/>
      <c r="CK15" s="25"/>
      <c r="CL15" s="25"/>
      <c r="CM15" s="25"/>
      <c r="CN15" s="25"/>
      <c r="CO15" s="25"/>
      <c r="CQ15" s="2" t="s">
        <v>72</v>
      </c>
      <c r="CR15" s="2" t="s">
        <v>970</v>
      </c>
      <c r="CS15" s="2" t="s">
        <v>1011</v>
      </c>
      <c r="CT15" s="2" t="s">
        <v>1012</v>
      </c>
      <c r="CU15" s="2" t="s">
        <v>972</v>
      </c>
      <c r="CV15" s="2" t="s">
        <v>1013</v>
      </c>
      <c r="CW15" s="2" t="s">
        <v>1014</v>
      </c>
      <c r="CX15" s="2" t="s">
        <v>1015</v>
      </c>
      <c r="CY15" s="2" t="s">
        <v>1016</v>
      </c>
      <c r="CZ15" s="2" t="s">
        <v>1017</v>
      </c>
      <c r="DA15" s="2" t="s">
        <v>1018</v>
      </c>
      <c r="DB15" s="2" t="s">
        <v>1016</v>
      </c>
      <c r="DC15" s="2" t="s">
        <v>1017</v>
      </c>
    </row>
    <row r="16" spans="2:112" x14ac:dyDescent="0.3">
      <c r="B16" s="2" t="s">
        <v>636</v>
      </c>
      <c r="C16" s="33" t="s">
        <v>134</v>
      </c>
      <c r="D16" s="154">
        <v>5.97</v>
      </c>
      <c r="E16" s="154">
        <v>2.96</v>
      </c>
      <c r="F16" s="2">
        <f t="shared" si="14"/>
        <v>6.66</v>
      </c>
      <c r="G16" s="32">
        <v>2.4</v>
      </c>
      <c r="H16" s="32">
        <v>1.6</v>
      </c>
      <c r="I16" s="2">
        <f t="shared" si="15"/>
        <v>2.88</v>
      </c>
      <c r="J16" s="155">
        <f>VLOOKUP(C16,基础属性系数!$B$97:$E$100,4,FALSE)*SQRT(VLOOKUP(C16,基础属性系数!$B$97:$E$100,2,FALSE)/F16)</f>
        <v>2.2667120467195514</v>
      </c>
      <c r="K16" s="156">
        <v>0</v>
      </c>
      <c r="L16" s="156">
        <v>2.2000000000000002</v>
      </c>
      <c r="M16" s="156">
        <v>1.85</v>
      </c>
      <c r="N16" s="156">
        <v>1.4</v>
      </c>
      <c r="O16" s="156">
        <v>1.1499999999999999</v>
      </c>
      <c r="P16" s="156">
        <v>0.8</v>
      </c>
      <c r="Q16" s="156">
        <v>0.55000000000000004</v>
      </c>
      <c r="R16" s="34">
        <f>基础属性系数!$E$61*2/F16</f>
        <v>0</v>
      </c>
      <c r="S16" s="34">
        <f>(H16/基础属性系数!$C$94-H16/基础属性系数!$C$94/I16*基础属性系数!$E$61*2)/F16</f>
        <v>0.15015015015015015</v>
      </c>
      <c r="T16" s="34">
        <f>(G16/基础属性系数!$C$94-G16/基础属性系数!$C$94/I16*基础属性系数!$E$61*2)/F16*2</f>
        <v>0.4504504504504504</v>
      </c>
      <c r="U16" s="34">
        <f>(H16/基础属性系数!$C$94-H16/基础属性系数!$C$94/I16*基础属性系数!$E$61*2)/F16</f>
        <v>0.15015015015015015</v>
      </c>
      <c r="V16" s="34">
        <f>(E16/基础属性系数!$C$94-I16*E16/基础属性系数!$C$94/F16)/F16</f>
        <v>0.15765765765765763</v>
      </c>
      <c r="W16" s="34">
        <f>(D16/基础属性系数!$C$94-I16*D16/基础属性系数!$C$94/F16)/F16*2</f>
        <v>0.63595690284879469</v>
      </c>
      <c r="X16" s="34">
        <f>(E16/基础属性系数!$C$94-I16*E16/基础属性系数!$C$94/F16)/F16</f>
        <v>0.15765765765765763</v>
      </c>
      <c r="Y16" s="34">
        <f t="shared" si="0"/>
        <v>0</v>
      </c>
      <c r="Z16" s="34">
        <f t="shared" si="1"/>
        <v>0.33033033033033038</v>
      </c>
      <c r="AA16" s="34">
        <f t="shared" si="16"/>
        <v>0.83333333333333326</v>
      </c>
      <c r="AB16" s="34">
        <f t="shared" si="2"/>
        <v>0.21021021021021019</v>
      </c>
      <c r="AC16" s="34">
        <f t="shared" si="3"/>
        <v>0.18130630630630626</v>
      </c>
      <c r="AD16" s="34">
        <f t="shared" si="4"/>
        <v>0.50876552227903582</v>
      </c>
      <c r="AE16" s="34">
        <f t="shared" si="5"/>
        <v>8.67117117117117E-2</v>
      </c>
      <c r="AF16" s="34">
        <f t="shared" si="17"/>
        <v>2.1506574141709276</v>
      </c>
      <c r="AH16" s="2" t="s">
        <v>132</v>
      </c>
      <c r="AI16" s="21">
        <v>0.26500000000000001</v>
      </c>
      <c r="AJ16" s="2">
        <f>AI16/2</f>
        <v>0.13250000000000001</v>
      </c>
      <c r="AK16" s="2">
        <f>ROUND(DEGREES(ATAN(AJ16*AK4/AI10)),2)</f>
        <v>0.78</v>
      </c>
      <c r="AZ16" s="2" t="s">
        <v>83</v>
      </c>
      <c r="BA16" s="34">
        <f t="shared" si="22"/>
        <v>1.7999999999999998</v>
      </c>
      <c r="BB16" s="34">
        <f t="shared" si="23"/>
        <v>1.5</v>
      </c>
      <c r="BC16" s="157">
        <f>$AI$24</f>
        <v>0.26478591686179787</v>
      </c>
      <c r="BD16" s="155">
        <f>TAN(RADIANS(BA16+$AK$16))*$AI$10*2/$AK$4</f>
        <v>0.87636863868024206</v>
      </c>
      <c r="BE16" s="155">
        <f>TAN(RADIANS(BA16*2+$AK$16))*$AI$10*2/$AK$4</f>
        <v>1.4896858998499365</v>
      </c>
      <c r="BF16" s="155">
        <f>TAN(RADIANS(BA16*3+$AK$16))*$AI$10*2/$AK$4</f>
        <v>2.1059628987919474</v>
      </c>
      <c r="BG16" s="34">
        <f t="shared" si="26"/>
        <v>2.1563141881038952</v>
      </c>
      <c r="BM16" s="2" t="s">
        <v>83</v>
      </c>
      <c r="BN16" s="2">
        <f t="shared" si="27"/>
        <v>0.78</v>
      </c>
      <c r="BO16" s="2">
        <f t="shared" si="24"/>
        <v>2.58</v>
      </c>
      <c r="BP16" s="34">
        <f t="shared" si="28"/>
        <v>3.3076923076923075</v>
      </c>
      <c r="BQ16" s="21">
        <v>3</v>
      </c>
      <c r="BR16" s="2">
        <f t="shared" si="29"/>
        <v>1.56</v>
      </c>
      <c r="BS16" s="157">
        <f>AI25</f>
        <v>0.30127565677255386</v>
      </c>
      <c r="BT16" s="155">
        <f>TAN(RADIANS(BR16+BN16))*$AI$10*2/$AK$4</f>
        <v>0.79475059811837956</v>
      </c>
      <c r="BU16" s="34">
        <f t="shared" si="25"/>
        <v>1.56</v>
      </c>
      <c r="BV16" s="2">
        <f>BR16/基础属性系数!$C$18*3</f>
        <v>0.31200000000000006</v>
      </c>
      <c r="BZ16" s="2" t="s">
        <v>132</v>
      </c>
      <c r="CA16" s="21">
        <v>1</v>
      </c>
      <c r="CB16" s="21">
        <v>1</v>
      </c>
      <c r="CC16" s="2">
        <f t="shared" ref="CC16:CD18" si="30">CA10*CA16</f>
        <v>10.5</v>
      </c>
      <c r="CD16" s="2">
        <f t="shared" si="30"/>
        <v>10.5</v>
      </c>
      <c r="CE16" s="21">
        <v>1</v>
      </c>
      <c r="CF16" s="34">
        <f>AVERAGE(CC16:CD16)/CE16</f>
        <v>10.5</v>
      </c>
      <c r="CG16" s="133"/>
      <c r="CH16" s="133"/>
      <c r="CI16" s="133"/>
      <c r="CJ16" s="133"/>
      <c r="CK16" s="133"/>
      <c r="CL16" s="133"/>
      <c r="CM16" s="133"/>
      <c r="CN16" s="133"/>
      <c r="CO16" s="133"/>
      <c r="CQ16" s="2" t="s">
        <v>132</v>
      </c>
      <c r="CR16" s="2">
        <f>CR4</f>
        <v>60</v>
      </c>
      <c r="CS16" s="34">
        <f>SQRT((AK4/2/(CR16*2*PI()))*360*2*CY4+CT4^2)</f>
        <v>23.751072684500215</v>
      </c>
      <c r="CT16" s="155">
        <f>(CS16-CT4)/CY4</f>
        <v>0.15311288741492751</v>
      </c>
      <c r="CU16" s="2">
        <f>CU4</f>
        <v>30</v>
      </c>
      <c r="CV16" s="34">
        <f>SQRT((AK4/2/(CU16*2*PI()))*360*2*CY4+CT4^2)</f>
        <v>30.187086550062656</v>
      </c>
      <c r="CW16" s="155">
        <f>(CV16-CT4)/CY4</f>
        <v>0.26234753829797997</v>
      </c>
      <c r="CX16" s="2">
        <v>45</v>
      </c>
      <c r="CY16" s="34">
        <f>SQRT(((AK4/2/(CU16*2*PI()))*360+CX16)*2*CY4+CT4^2)</f>
        <v>78.828830946023444</v>
      </c>
      <c r="CZ16" s="155">
        <f>(CY16-CT4)/CY4</f>
        <v>1.0879150523560184</v>
      </c>
      <c r="DA16" s="2">
        <v>90</v>
      </c>
      <c r="DB16" s="34">
        <f>SQRT(((AK4/2/(CU16*2*PI()))*360+DA16)*2*CY4+CT4^2)</f>
        <v>107.31593070114293</v>
      </c>
      <c r="DC16" s="155">
        <f>(DB16-CT4)/CY4</f>
        <v>1.5714097217928793</v>
      </c>
    </row>
    <row r="17" spans="2:107" x14ac:dyDescent="0.3">
      <c r="B17" s="2" t="s">
        <v>534</v>
      </c>
      <c r="C17" s="33" t="s">
        <v>134</v>
      </c>
      <c r="D17" s="154">
        <v>6.05</v>
      </c>
      <c r="E17" s="154">
        <v>2.57</v>
      </c>
      <c r="F17" s="2">
        <f t="shared" si="14"/>
        <v>6.57</v>
      </c>
      <c r="G17" s="32">
        <v>1.8</v>
      </c>
      <c r="H17" s="32">
        <v>1.6</v>
      </c>
      <c r="I17" s="2">
        <f t="shared" si="15"/>
        <v>2.41</v>
      </c>
      <c r="J17" s="155">
        <f>VLOOKUP(C17,基础属性系数!$B$97:$E$100,4,FALSE)*SQRT(VLOOKUP(C17,基础属性系数!$B$97:$E$100,2,FALSE)/F17)</f>
        <v>2.2821846635181733</v>
      </c>
      <c r="K17" s="156">
        <v>0</v>
      </c>
      <c r="L17" s="156">
        <v>2.25</v>
      </c>
      <c r="M17" s="156">
        <v>2</v>
      </c>
      <c r="N17" s="156">
        <v>1.5</v>
      </c>
      <c r="O17" s="156">
        <v>1.2</v>
      </c>
      <c r="P17" s="156">
        <v>0.85</v>
      </c>
      <c r="Q17" s="156">
        <v>0.6</v>
      </c>
      <c r="R17" s="34">
        <f>基础属性系数!$E$61*2/F17</f>
        <v>0</v>
      </c>
      <c r="S17" s="34">
        <f>(H17/基础属性系数!$C$94-H17/基础属性系数!$C$94/I17*基础属性系数!$E$61*2)/F17</f>
        <v>0.15220700152207001</v>
      </c>
      <c r="T17" s="34">
        <f>(G17/基础属性系数!$C$94-G17/基础属性系数!$C$94/I17*基础属性系数!$E$61*2)/F17*2</f>
        <v>0.34246575342465752</v>
      </c>
      <c r="U17" s="34">
        <f>(H17/基础属性系数!$C$94-H17/基础属性系数!$C$94/I17*基础属性系数!$E$61*2)/F17</f>
        <v>0.15220700152207001</v>
      </c>
      <c r="V17" s="34">
        <f>(E17/基础属性系数!$C$94-I17*E17/基础属性系数!$C$94/F17)/F17</f>
        <v>0.15480170230905199</v>
      </c>
      <c r="W17" s="34">
        <f>(D17/基础属性系数!$C$94-I17*D17/基础属性系数!$C$94/F17)/F17*2</f>
        <v>0.72883291748619805</v>
      </c>
      <c r="X17" s="34">
        <f>(E17/基础属性系数!$C$94-I17*E17/基础属性系数!$C$94/F17)/F17</f>
        <v>0.15480170230905199</v>
      </c>
      <c r="Y17" s="34">
        <f t="shared" si="0"/>
        <v>0</v>
      </c>
      <c r="Z17" s="34">
        <f t="shared" si="1"/>
        <v>0.34246575342465752</v>
      </c>
      <c r="AA17" s="34">
        <f t="shared" si="16"/>
        <v>0.68493150684931503</v>
      </c>
      <c r="AB17" s="34">
        <f t="shared" si="2"/>
        <v>0.22831050228310501</v>
      </c>
      <c r="AC17" s="34">
        <f t="shared" si="3"/>
        <v>0.18576204277086239</v>
      </c>
      <c r="AD17" s="34">
        <f t="shared" si="4"/>
        <v>0.61950797986326833</v>
      </c>
      <c r="AE17" s="34">
        <f t="shared" si="5"/>
        <v>9.2881021385431195E-2</v>
      </c>
      <c r="AF17" s="34">
        <f t="shared" si="17"/>
        <v>2.1538588065766398</v>
      </c>
      <c r="AH17" s="2" t="s">
        <v>134</v>
      </c>
      <c r="AI17" s="21">
        <v>0.255</v>
      </c>
      <c r="AJ17" s="2">
        <f>AI17/2</f>
        <v>0.1275</v>
      </c>
      <c r="AK17" s="2">
        <f>ROUND(DEGREES(ATAN(AJ17*AK5/AI11)),2)</f>
        <v>0.71</v>
      </c>
      <c r="AZ17" s="2" t="s">
        <v>86</v>
      </c>
      <c r="BA17" s="34">
        <f t="shared" si="22"/>
        <v>2.4</v>
      </c>
      <c r="BB17" s="34">
        <f t="shared" si="23"/>
        <v>2</v>
      </c>
      <c r="BC17" s="157">
        <f>$AJ$24</f>
        <v>0.22441333887874901</v>
      </c>
      <c r="BD17" s="155">
        <f>TAN(RADIANS(BA17+$AK$16))*$AI$10*2/$AK$5</f>
        <v>0.9157999396958767</v>
      </c>
      <c r="BE17" s="155">
        <f>TAN(RADIANS(BA17*2+$AK$16))*$AI$10*2/$AK$5</f>
        <v>1.6104139709423739</v>
      </c>
      <c r="BF17" s="155">
        <f>TAN(RADIANS(BA17*3+$AK$16))*$AI$10*2/$AK$5</f>
        <v>2.3107399721914761</v>
      </c>
      <c r="BG17" s="34">
        <f t="shared" si="26"/>
        <v>2.6765818309121716</v>
      </c>
      <c r="BM17" s="2" t="s">
        <v>86</v>
      </c>
      <c r="BN17" s="2">
        <f t="shared" si="27"/>
        <v>0.71</v>
      </c>
      <c r="BO17" s="2">
        <f t="shared" si="24"/>
        <v>2.06</v>
      </c>
      <c r="BP17" s="34">
        <f t="shared" si="28"/>
        <v>2.9014084507042255</v>
      </c>
      <c r="BQ17" s="21">
        <v>2.5</v>
      </c>
      <c r="BR17" s="2">
        <f t="shared" si="29"/>
        <v>1.0649999999999999</v>
      </c>
      <c r="BS17" s="157">
        <f>AJ25</f>
        <v>0.25533939591849686</v>
      </c>
      <c r="BT17" s="155">
        <f>TAN(RADIANS(BR17+BN17))*$AI$11*2/$AK$5</f>
        <v>0.63852009818691136</v>
      </c>
      <c r="BU17" s="34">
        <f t="shared" si="25"/>
        <v>1.0649999999999999</v>
      </c>
      <c r="BV17" s="2">
        <f>BR17/基础属性系数!$C$18*3</f>
        <v>0.21299999999999997</v>
      </c>
      <c r="BZ17" s="2" t="s">
        <v>134</v>
      </c>
      <c r="CA17" s="21">
        <v>1</v>
      </c>
      <c r="CB17" s="21">
        <v>1</v>
      </c>
      <c r="CC17" s="2">
        <f t="shared" si="30"/>
        <v>8</v>
      </c>
      <c r="CD17" s="2">
        <f t="shared" si="30"/>
        <v>8</v>
      </c>
      <c r="CE17" s="21">
        <v>2</v>
      </c>
      <c r="CF17" s="34">
        <f>AVERAGE(CC17:CD17)/CE17</f>
        <v>4</v>
      </c>
      <c r="CG17" s="133"/>
      <c r="CH17" s="133"/>
      <c r="CI17" s="133"/>
      <c r="CJ17" s="133"/>
      <c r="CK17" s="133"/>
      <c r="CL17" s="133"/>
      <c r="CM17" s="133"/>
      <c r="CN17" s="133"/>
      <c r="CO17" s="133"/>
      <c r="CQ17" s="2" t="s">
        <v>134</v>
      </c>
      <c r="CR17" s="2">
        <f>CR5</f>
        <v>75</v>
      </c>
      <c r="CS17" s="34">
        <f>SQRT((AK5/2/(CR17*2*PI()))*360*2*CY5+CT5^2)</f>
        <v>22.419164880798906</v>
      </c>
      <c r="CT17" s="155">
        <f>(CS17-CT5)/CY5</f>
        <v>0.15311288741492746</v>
      </c>
      <c r="CU17" s="2">
        <f>CU5</f>
        <v>37.5</v>
      </c>
      <c r="CV17" s="34">
        <f>SQRT((AK5/2/(CU17*2*PI()))*360*2*CY5+CT5^2)</f>
        <v>28.494261275132075</v>
      </c>
      <c r="CW17" s="155">
        <f>(CV17-CT5)/CY5</f>
        <v>0.26234753829797985</v>
      </c>
      <c r="CX17" s="2">
        <v>45</v>
      </c>
      <c r="CY17" s="34">
        <f>SQRT(((AK5/2/(CU17*2*PI()))*360+CX17)*2*CY5+CT5^2)</f>
        <v>76.271110021281089</v>
      </c>
      <c r="CZ17" s="155">
        <f>(CY17-CT5)/CY5</f>
        <v>1.1214100213140767</v>
      </c>
      <c r="DA17" s="2">
        <v>90</v>
      </c>
      <c r="DB17" s="34">
        <f>SQRT(((AK5/2/(CU17*2*PI()))*360+DA17)*2*CY5+CT5^2)</f>
        <v>104.03192549473088</v>
      </c>
      <c r="DC17" s="155">
        <f>(DB17-CT5)/CY5</f>
        <v>1.6205696707477519</v>
      </c>
    </row>
    <row r="18" spans="2:107" x14ac:dyDescent="0.3">
      <c r="B18" s="2" t="s">
        <v>639</v>
      </c>
      <c r="C18" s="33" t="s">
        <v>134</v>
      </c>
      <c r="D18" s="154">
        <v>6.33</v>
      </c>
      <c r="E18" s="154">
        <v>2.85</v>
      </c>
      <c r="F18" s="2">
        <f t="shared" si="14"/>
        <v>6.94</v>
      </c>
      <c r="G18" s="32">
        <v>1.9</v>
      </c>
      <c r="H18" s="32">
        <v>1.9</v>
      </c>
      <c r="I18" s="2">
        <f t="shared" si="15"/>
        <v>2.69</v>
      </c>
      <c r="J18" s="155">
        <f>VLOOKUP(C18,基础属性系数!$B$97:$E$100,4,FALSE)*SQRT(VLOOKUP(C18,基础属性系数!$B$97:$E$100,2,FALSE)/F18)</f>
        <v>2.2205151065389575</v>
      </c>
      <c r="K18" s="156">
        <v>0</v>
      </c>
      <c r="L18" s="156">
        <v>2.2999999999999998</v>
      </c>
      <c r="M18" s="156">
        <v>1.9</v>
      </c>
      <c r="N18" s="156">
        <v>1.45</v>
      </c>
      <c r="O18" s="156">
        <v>1.2</v>
      </c>
      <c r="P18" s="156">
        <v>0.8</v>
      </c>
      <c r="Q18" s="156">
        <v>0.6</v>
      </c>
      <c r="R18" s="34">
        <f>基础属性系数!$E$61*2/F18</f>
        <v>0</v>
      </c>
      <c r="S18" s="34">
        <f>(H18/基础属性系数!$C$94-H18/基础属性系数!$C$94/I18*基础属性系数!$E$61*2)/F18</f>
        <v>0.17110951008645528</v>
      </c>
      <c r="T18" s="34">
        <f>(G18/基础属性系数!$C$94-G18/基础属性系数!$C$94/I18*基础属性系数!$E$61*2)/F18*2</f>
        <v>0.34221902017291056</v>
      </c>
      <c r="U18" s="34">
        <f>(H18/基础属性系数!$C$94-H18/基础属性系数!$C$94/I18*基础属性系数!$E$61*2)/F18</f>
        <v>0.17110951008645528</v>
      </c>
      <c r="V18" s="34">
        <f>(E18/基础属性系数!$C$94-I18*E18/基础属性系数!$C$94/F18)/F18</f>
        <v>0.15717912489930158</v>
      </c>
      <c r="W18" s="34">
        <f>(D18/基础属性系数!$C$94-I18*D18/基础属性系数!$C$94/F18)/F18*2</f>
        <v>0.69820621797373938</v>
      </c>
      <c r="X18" s="34">
        <f>(E18/基础属性系数!$C$94-I18*E18/基础属性系数!$C$94/F18)/F18</f>
        <v>0.15717912489930158</v>
      </c>
      <c r="Y18" s="34">
        <f t="shared" si="0"/>
        <v>0</v>
      </c>
      <c r="Z18" s="34">
        <f t="shared" si="1"/>
        <v>0.3935518731988471</v>
      </c>
      <c r="AA18" s="34">
        <f t="shared" si="16"/>
        <v>0.65021613832852998</v>
      </c>
      <c r="AB18" s="34">
        <f t="shared" si="2"/>
        <v>0.24810878962536015</v>
      </c>
      <c r="AC18" s="34">
        <f t="shared" si="3"/>
        <v>0.18861494987916189</v>
      </c>
      <c r="AD18" s="34">
        <f t="shared" si="4"/>
        <v>0.55856497437899155</v>
      </c>
      <c r="AE18" s="34">
        <f t="shared" si="5"/>
        <v>9.4307474939580943E-2</v>
      </c>
      <c r="AF18" s="34">
        <f t="shared" si="17"/>
        <v>2.133364200350472</v>
      </c>
      <c r="AH18" s="2" t="s">
        <v>136</v>
      </c>
      <c r="AI18" s="21">
        <v>0.26</v>
      </c>
      <c r="AJ18" s="2">
        <f>AI18/2</f>
        <v>0.13</v>
      </c>
      <c r="AK18" s="2">
        <f>ROUND(DEGREES(ATAN(AJ18*AK6/AI12)),2)</f>
        <v>0.62</v>
      </c>
      <c r="AZ18" s="2" t="s">
        <v>85</v>
      </c>
      <c r="BA18" s="34">
        <f t="shared" si="22"/>
        <v>1.2</v>
      </c>
      <c r="BB18" s="34">
        <f t="shared" si="23"/>
        <v>1</v>
      </c>
      <c r="BC18" s="157">
        <f>$AJ$24</f>
        <v>0.22441333887874901</v>
      </c>
      <c r="BD18" s="155">
        <f>TAN(RADIANS(BA18+$AK$16))*$AI$10*2/$AK$5</f>
        <v>0.56985630025367584</v>
      </c>
      <c r="BE18" s="155">
        <f>TAN(RADIANS(BA18*2+$AK$16))*$AI$10*2/$AK$5</f>
        <v>0.9157999396958767</v>
      </c>
      <c r="BF18" s="155">
        <f>TAN(RADIANS(BA18*3+$AK$16))*$AI$10*2/$AK$5</f>
        <v>1.2625497255596301</v>
      </c>
      <c r="BG18" s="34">
        <f t="shared" si="26"/>
        <v>2.6895425455256561</v>
      </c>
      <c r="BM18" s="2" t="s">
        <v>85</v>
      </c>
      <c r="BN18" s="2">
        <f t="shared" si="27"/>
        <v>0.71</v>
      </c>
      <c r="BO18" s="2">
        <f t="shared" si="24"/>
        <v>2.3899999999999997</v>
      </c>
      <c r="BP18" s="34">
        <f t="shared" si="28"/>
        <v>3.3661971830985911</v>
      </c>
      <c r="BQ18" s="21">
        <v>1.5</v>
      </c>
      <c r="BR18" s="2">
        <f t="shared" si="29"/>
        <v>0.35499999999999998</v>
      </c>
      <c r="BS18" s="157">
        <f>AJ25</f>
        <v>0.25533939591849686</v>
      </c>
      <c r="BT18" s="155">
        <f>TAN(RADIANS(BR18+BN18))*$AI$11*2/$AK$5</f>
        <v>0.38303360333798825</v>
      </c>
      <c r="BU18" s="34">
        <f t="shared" si="25"/>
        <v>0.29583333333333334</v>
      </c>
      <c r="BV18" s="2">
        <f>BR18/基础属性系数!$C$18*3</f>
        <v>7.0999999999999994E-2</v>
      </c>
      <c r="BZ18" s="2" t="s">
        <v>136</v>
      </c>
      <c r="CA18" s="21">
        <v>1</v>
      </c>
      <c r="CB18" s="21">
        <v>1</v>
      </c>
      <c r="CC18" s="2">
        <f t="shared" si="30"/>
        <v>7</v>
      </c>
      <c r="CD18" s="2">
        <f t="shared" si="30"/>
        <v>7</v>
      </c>
      <c r="CE18" s="21">
        <v>3.5</v>
      </c>
      <c r="CF18" s="34">
        <f>AVERAGE(CC18:CD18)/CE18</f>
        <v>2</v>
      </c>
      <c r="CG18" s="133"/>
      <c r="CH18" s="133"/>
      <c r="CI18" s="133"/>
      <c r="CJ18" s="133"/>
      <c r="CK18" s="133"/>
      <c r="CL18" s="133"/>
      <c r="CM18" s="133"/>
      <c r="CN18" s="133"/>
      <c r="CO18" s="133"/>
      <c r="CQ18" s="2" t="s">
        <v>136</v>
      </c>
      <c r="CR18" s="2">
        <f>CR6</f>
        <v>90</v>
      </c>
      <c r="CS18" s="34">
        <f>SQRT((AK6/2/(CR18*2*PI()))*360*2*CY6+CT6^2)</f>
        <v>19.324211487227078</v>
      </c>
      <c r="CT18" s="155">
        <f>(CS18-CT6)/CY6</f>
        <v>0.15311288741492746</v>
      </c>
      <c r="CU18" s="2">
        <f>CU6</f>
        <v>45</v>
      </c>
      <c r="CV18" s="34">
        <f>SQRT((AK6/2/(CU18*2*PI()))*360*2*CY6+CT6^2)</f>
        <v>24.560644162287605</v>
      </c>
      <c r="CW18" s="155">
        <f>(CV18-CT6)/CY6</f>
        <v>0.26234753829797991</v>
      </c>
      <c r="CX18" s="2">
        <v>45</v>
      </c>
      <c r="CY18" s="34">
        <f>SQRT(((AK6/2/(CU18*2*PI()))*360+CX18)*2*CY6+CT6^2)</f>
        <v>70.125583341613719</v>
      </c>
      <c r="CZ18" s="155">
        <f>(CY18-CT6)/CY6</f>
        <v>1.2128553615850759</v>
      </c>
      <c r="DA18" s="2">
        <v>90</v>
      </c>
      <c r="DB18" s="34">
        <f>SQRT(((AK6/2/(CU18*2*PI()))*360+DA18)*2*CY6+CT6^2)</f>
        <v>96.083139188604321</v>
      </c>
      <c r="DC18" s="155">
        <f>(DB18-CT6)/CY6</f>
        <v>1.7543431886372172</v>
      </c>
    </row>
    <row r="19" spans="2:107" x14ac:dyDescent="0.3">
      <c r="B19" s="2" t="s">
        <v>641</v>
      </c>
      <c r="C19" s="33" t="s">
        <v>134</v>
      </c>
      <c r="D19" s="154">
        <v>6.68</v>
      </c>
      <c r="E19" s="154">
        <v>3.1</v>
      </c>
      <c r="F19" s="2">
        <f t="shared" si="14"/>
        <v>7.36</v>
      </c>
      <c r="G19" s="32">
        <v>2.4</v>
      </c>
      <c r="H19" s="32">
        <v>1.9</v>
      </c>
      <c r="I19" s="2">
        <f t="shared" si="15"/>
        <v>3.06</v>
      </c>
      <c r="J19" s="155">
        <f>VLOOKUP(C19,基础属性系数!$B$97:$E$100,4,FALSE)*SQRT(VLOOKUP(C19,基础属性系数!$B$97:$E$100,2,FALSE)/F19)</f>
        <v>2.1562273983778266</v>
      </c>
      <c r="K19" s="156">
        <v>0</v>
      </c>
      <c r="L19" s="156">
        <v>2.2999999999999998</v>
      </c>
      <c r="M19" s="156">
        <v>1.9</v>
      </c>
      <c r="N19" s="156">
        <v>1.4</v>
      </c>
      <c r="O19" s="156">
        <v>1.2</v>
      </c>
      <c r="P19" s="156">
        <v>0.8</v>
      </c>
      <c r="Q19" s="156">
        <v>0.6</v>
      </c>
      <c r="R19" s="34">
        <f>基础属性系数!$E$61*2/F19</f>
        <v>0</v>
      </c>
      <c r="S19" s="34">
        <f>(H19/基础属性系数!$C$94-H19/基础属性系数!$C$94/I19*基础属性系数!$E$61*2)/F19</f>
        <v>0.16134510869565213</v>
      </c>
      <c r="T19" s="34">
        <f>(G19/基础属性系数!$C$94-G19/基础属性系数!$C$94/I19*基础属性系数!$E$61*2)/F19*2</f>
        <v>0.40760869565217384</v>
      </c>
      <c r="U19" s="34">
        <f>(H19/基础属性系数!$C$94-H19/基础属性系数!$C$94/I19*基础属性系数!$E$61*2)/F19</f>
        <v>0.16134510869565213</v>
      </c>
      <c r="V19" s="34">
        <f>(E19/基础属性系数!$C$94-I19*E19/基础属性系数!$C$94/F19)/F19</f>
        <v>0.15379936348062381</v>
      </c>
      <c r="W19" s="34">
        <f>(D19/基础属性系数!$C$94-I19*D19/基础属性系数!$C$94/F19)/F19*2</f>
        <v>0.66282564390359167</v>
      </c>
      <c r="X19" s="34">
        <f>(E19/基础属性系数!$C$94-I19*E19/基础属性系数!$C$94/F19)/F19</f>
        <v>0.15379936348062381</v>
      </c>
      <c r="Y19" s="34">
        <f t="shared" si="0"/>
        <v>0</v>
      </c>
      <c r="Z19" s="34">
        <f t="shared" si="1"/>
        <v>0.37109374999999989</v>
      </c>
      <c r="AA19" s="34">
        <f t="shared" si="16"/>
        <v>0.77445652173913027</v>
      </c>
      <c r="AB19" s="34">
        <f t="shared" si="2"/>
        <v>0.22588315217391297</v>
      </c>
      <c r="AC19" s="34">
        <f t="shared" si="3"/>
        <v>0.18455923617674858</v>
      </c>
      <c r="AD19" s="34">
        <f t="shared" si="4"/>
        <v>0.53026051512287331</v>
      </c>
      <c r="AE19" s="34">
        <f t="shared" si="5"/>
        <v>9.2279618088374288E-2</v>
      </c>
      <c r="AF19" s="34">
        <f t="shared" si="17"/>
        <v>2.1785327933010392</v>
      </c>
      <c r="AH19" s="25"/>
      <c r="AI19" s="24"/>
      <c r="AJ19" s="25"/>
      <c r="AK19" s="25"/>
      <c r="AZ19" s="2" t="s">
        <v>88</v>
      </c>
      <c r="BA19" s="34">
        <f t="shared" si="22"/>
        <v>3</v>
      </c>
      <c r="BB19" s="34">
        <f t="shared" si="23"/>
        <v>2.5</v>
      </c>
      <c r="BC19" s="157">
        <f>$AK$24</f>
        <v>0.21696269681770156</v>
      </c>
      <c r="BD19" s="155">
        <f>TAN(RADIANS(BA19+$AK$16))*$AI$10*2/$AK$6</f>
        <v>1.0528976739065161</v>
      </c>
      <c r="BE19" s="155">
        <f>TAN(RADIANS(BA19*2+$AK$16))*$AI$10*2/$AK$6</f>
        <v>1.8946416930579777</v>
      </c>
      <c r="BF19" s="155">
        <f>TAN(RADIANS(BA19*3+$AK$16))*$AI$10*2/$AK$6</f>
        <v>2.7469407801887882</v>
      </c>
      <c r="BG19" s="34">
        <f t="shared" si="26"/>
        <v>2.7855323233671712</v>
      </c>
      <c r="BM19" s="2" t="s">
        <v>88</v>
      </c>
      <c r="BN19" s="2">
        <f t="shared" si="27"/>
        <v>0.62</v>
      </c>
      <c r="BO19" s="2">
        <f t="shared" si="24"/>
        <v>3.62</v>
      </c>
      <c r="BP19" s="34">
        <f t="shared" si="28"/>
        <v>5.838709677419355</v>
      </c>
      <c r="BQ19" s="21">
        <v>3</v>
      </c>
      <c r="BR19" s="2">
        <f t="shared" si="29"/>
        <v>1.24</v>
      </c>
      <c r="BS19" s="157">
        <f>AK26</f>
        <v>0.25868040825173549</v>
      </c>
      <c r="BT19" s="155">
        <f>TAN(RADIANS(BR19+BN19))*$AI$12*2/$AK$6</f>
        <v>0.77628365016700762</v>
      </c>
      <c r="BU19" s="34">
        <f t="shared" si="25"/>
        <v>1.24</v>
      </c>
      <c r="BV19" s="2">
        <f>BR19/基础属性系数!$C$18*3</f>
        <v>0.248</v>
      </c>
    </row>
    <row r="20" spans="2:107" ht="15.75" customHeight="1" x14ac:dyDescent="0.3">
      <c r="B20" s="2" t="s">
        <v>643</v>
      </c>
      <c r="C20" s="33" t="s">
        <v>134</v>
      </c>
      <c r="D20" s="154">
        <v>7.42</v>
      </c>
      <c r="E20" s="154">
        <v>3.89</v>
      </c>
      <c r="F20" s="2">
        <f t="shared" si="14"/>
        <v>8.3800000000000008</v>
      </c>
      <c r="G20" s="32">
        <v>3.4</v>
      </c>
      <c r="H20" s="32">
        <v>2.2000000000000002</v>
      </c>
      <c r="I20" s="2">
        <f t="shared" si="15"/>
        <v>4.05</v>
      </c>
      <c r="J20" s="155">
        <f>VLOOKUP(C20,基础属性系数!$B$97:$E$100,4,FALSE)*SQRT(VLOOKUP(C20,基础属性系数!$B$97:$E$100,2,FALSE)/F20)</f>
        <v>2.0207447446876632</v>
      </c>
      <c r="K20" s="156">
        <v>0</v>
      </c>
      <c r="L20" s="156">
        <v>2.1</v>
      </c>
      <c r="M20" s="156">
        <v>1.75</v>
      </c>
      <c r="N20" s="156">
        <v>1.35</v>
      </c>
      <c r="O20" s="156">
        <v>1.1000000000000001</v>
      </c>
      <c r="P20" s="156">
        <v>0.8</v>
      </c>
      <c r="Q20" s="156">
        <v>0.55000000000000004</v>
      </c>
      <c r="R20" s="34">
        <f>基础属性系数!$E$61*2/F20</f>
        <v>0</v>
      </c>
      <c r="S20" s="34">
        <f>(H20/基础属性系数!$C$94-H20/基础属性系数!$C$94/I20*基础属性系数!$E$61*2)/F20</f>
        <v>0.16408114558472553</v>
      </c>
      <c r="T20" s="34">
        <f>(G20/基础属性系数!$C$94-G20/基础属性系数!$C$94/I20*基础属性系数!$E$61*2)/F20*2</f>
        <v>0.50715990453460613</v>
      </c>
      <c r="U20" s="34">
        <f>(H20/基础属性系数!$C$94-H20/基础属性系数!$C$94/I20*基础属性系数!$E$61*2)/F20</f>
        <v>0.16408114558472553</v>
      </c>
      <c r="V20" s="34">
        <f>(E20/基础属性系数!$C$94-I20*E20/基础属性系数!$C$94/F20)/F20</f>
        <v>0.14990961118927323</v>
      </c>
      <c r="W20" s="34">
        <f>(D20/基础属性系数!$C$94-I20*D20/基础属性系数!$C$94/F20)/F20*2</f>
        <v>0.57189167867578772</v>
      </c>
      <c r="X20" s="34">
        <f>(E20/基础属性系数!$C$94-I20*E20/基础属性系数!$C$94/F20)/F20</f>
        <v>0.14990961118927323</v>
      </c>
      <c r="Y20" s="34">
        <f t="shared" si="0"/>
        <v>0</v>
      </c>
      <c r="Z20" s="34">
        <f t="shared" si="1"/>
        <v>0.34457040572792363</v>
      </c>
      <c r="AA20" s="34">
        <f t="shared" si="16"/>
        <v>0.88752983293556076</v>
      </c>
      <c r="AB20" s="34">
        <f t="shared" si="2"/>
        <v>0.22150954653937949</v>
      </c>
      <c r="AC20" s="34">
        <f t="shared" si="3"/>
        <v>0.16490057230820057</v>
      </c>
      <c r="AD20" s="34">
        <f t="shared" si="4"/>
        <v>0.45751334294063017</v>
      </c>
      <c r="AE20" s="34">
        <f t="shared" si="5"/>
        <v>8.2450286154100286E-2</v>
      </c>
      <c r="AF20" s="34">
        <f t="shared" si="17"/>
        <v>2.1584739866057951</v>
      </c>
      <c r="AH20" s="2" t="s">
        <v>1006</v>
      </c>
      <c r="AI20" s="21">
        <v>0.64</v>
      </c>
      <c r="AJ20" s="2" t="s">
        <v>1019</v>
      </c>
      <c r="AK20" s="32">
        <v>5</v>
      </c>
      <c r="AZ20" s="2" t="s">
        <v>87</v>
      </c>
      <c r="BA20" s="34">
        <f t="shared" si="22"/>
        <v>1.7999999999999998</v>
      </c>
      <c r="BB20" s="34">
        <f t="shared" si="23"/>
        <v>1.5</v>
      </c>
      <c r="BC20" s="157">
        <f>$AK$24</f>
        <v>0.21696269681770156</v>
      </c>
      <c r="BD20" s="155">
        <f>TAN(RADIANS(BA20+$AK$16))*$AI$10*2/$AK$6</f>
        <v>0.71808691907796718</v>
      </c>
      <c r="BE20" s="155">
        <f>TAN(RADIANS(BA20*2+$AK$16))*$AI$10*2/$AK$6</f>
        <v>1.2206324039939054</v>
      </c>
      <c r="BF20" s="155">
        <f>TAN(RADIANS(BA20*3+$AK$16))*$AI$10*2/$AK$6</f>
        <v>1.7256030658096035</v>
      </c>
      <c r="BG20" s="34">
        <f t="shared" si="26"/>
        <v>2.8027895342677978</v>
      </c>
      <c r="BM20" s="2" t="s">
        <v>87</v>
      </c>
      <c r="BN20" s="2">
        <f t="shared" si="27"/>
        <v>0.62</v>
      </c>
      <c r="BO20" s="2">
        <f t="shared" si="24"/>
        <v>3.2</v>
      </c>
      <c r="BP20" s="34">
        <f t="shared" si="28"/>
        <v>5.1612903225806459</v>
      </c>
      <c r="BQ20" s="21">
        <v>2</v>
      </c>
      <c r="BR20" s="2">
        <f t="shared" si="29"/>
        <v>0.62</v>
      </c>
      <c r="BS20" s="157">
        <f>AK26</f>
        <v>0.25868040825173549</v>
      </c>
      <c r="BT20" s="155">
        <f>TAN(RADIANS(BR20+BN20))*$AI$12*2/$AK$6</f>
        <v>0.51742140866025677</v>
      </c>
      <c r="BU20" s="34">
        <f t="shared" si="25"/>
        <v>0.51666666666666672</v>
      </c>
      <c r="BV20" s="2">
        <f>BR20/基础属性系数!$C$18*3</f>
        <v>0.124</v>
      </c>
      <c r="BZ20" s="263" t="s">
        <v>1020</v>
      </c>
      <c r="CA20" s="264"/>
      <c r="CB20" s="264"/>
      <c r="CC20" s="264"/>
      <c r="CD20" s="264"/>
      <c r="CE20" s="264"/>
      <c r="CF20" s="265"/>
      <c r="CG20" s="25"/>
      <c r="CH20" s="263" t="s">
        <v>1021</v>
      </c>
      <c r="CI20" s="264"/>
      <c r="CJ20" s="264"/>
      <c r="CK20" s="264"/>
      <c r="CL20" s="264"/>
      <c r="CM20" s="264"/>
      <c r="CN20" s="265"/>
      <c r="CO20" s="25"/>
      <c r="CQ20" s="262" t="s">
        <v>1022</v>
      </c>
      <c r="CR20" s="262"/>
      <c r="CS20" s="262"/>
      <c r="CT20" s="262"/>
      <c r="CU20" s="262"/>
      <c r="CV20" s="262"/>
      <c r="CW20" s="262"/>
      <c r="CX20" s="262"/>
      <c r="CY20" s="262"/>
      <c r="CZ20" s="262"/>
      <c r="DA20" s="262"/>
    </row>
    <row r="21" spans="2:107" x14ac:dyDescent="0.3">
      <c r="B21" s="2" t="s">
        <v>645</v>
      </c>
      <c r="C21" s="33" t="s">
        <v>134</v>
      </c>
      <c r="D21" s="154">
        <v>6.34</v>
      </c>
      <c r="E21" s="154">
        <v>3.42</v>
      </c>
      <c r="F21" s="2">
        <f t="shared" si="14"/>
        <v>7.2</v>
      </c>
      <c r="G21" s="32">
        <v>2.2999999999999998</v>
      </c>
      <c r="H21" s="32">
        <v>2</v>
      </c>
      <c r="I21" s="2">
        <f t="shared" si="15"/>
        <v>3.05</v>
      </c>
      <c r="J21" s="155">
        <f>VLOOKUP(C21,基础属性系数!$B$97:$E$100,4,FALSE)*SQRT(VLOOKUP(C21,基础属性系数!$B$97:$E$100,2,FALSE)/F21)</f>
        <v>2.1800538387933845</v>
      </c>
      <c r="K21" s="156">
        <v>0</v>
      </c>
      <c r="L21" s="156">
        <v>2.25</v>
      </c>
      <c r="M21" s="156">
        <v>1.85</v>
      </c>
      <c r="N21" s="156">
        <v>1.4</v>
      </c>
      <c r="O21" s="156">
        <v>1.1499999999999999</v>
      </c>
      <c r="P21" s="156">
        <v>0.8</v>
      </c>
      <c r="Q21" s="156">
        <v>0.55000000000000004</v>
      </c>
      <c r="R21" s="34">
        <f>基础属性系数!$E$61*2/F21</f>
        <v>0</v>
      </c>
      <c r="S21" s="34">
        <f>(H21/基础属性系数!$C$94-H21/基础属性系数!$C$94/I21*基础属性系数!$E$61*2)/F21</f>
        <v>0.1736111111111111</v>
      </c>
      <c r="T21" s="34">
        <f>(G21/基础属性系数!$C$94-G21/基础属性系数!$C$94/I21*基础属性系数!$E$61*2)/F21*2</f>
        <v>0.39930555555555547</v>
      </c>
      <c r="U21" s="34">
        <f>(H21/基础属性系数!$C$94-H21/基础属性系数!$C$94/I21*基础属性系数!$E$61*2)/F21</f>
        <v>0.1736111111111111</v>
      </c>
      <c r="V21" s="34">
        <f>(E21/基础属性系数!$C$94-I21*E21/基础属性系数!$C$94/F21)/F21</f>
        <v>0.17111545138888887</v>
      </c>
      <c r="W21" s="34">
        <f>(D21/基础属性系数!$C$94-I21*D21/基础属性系数!$C$94/F21)/F21*2</f>
        <v>0.63442804783950613</v>
      </c>
      <c r="X21" s="34">
        <f>(E21/基础属性系数!$C$94-I21*E21/基础属性系数!$C$94/F21)/F21</f>
        <v>0.17111545138888887</v>
      </c>
      <c r="Y21" s="34">
        <f t="shared" si="0"/>
        <v>0</v>
      </c>
      <c r="Z21" s="34">
        <f t="shared" si="1"/>
        <v>0.390625</v>
      </c>
      <c r="AA21" s="34">
        <f t="shared" si="16"/>
        <v>0.73871527777777768</v>
      </c>
      <c r="AB21" s="34">
        <f t="shared" si="2"/>
        <v>0.24305555555555552</v>
      </c>
      <c r="AC21" s="34">
        <f t="shared" si="3"/>
        <v>0.19678276909722217</v>
      </c>
      <c r="AD21" s="34">
        <f t="shared" si="4"/>
        <v>0.50754243827160495</v>
      </c>
      <c r="AE21" s="34">
        <f t="shared" si="5"/>
        <v>9.4113498263888887E-2</v>
      </c>
      <c r="AF21" s="34">
        <f t="shared" si="17"/>
        <v>2.1708345389660493</v>
      </c>
      <c r="BZ21" s="2" t="s">
        <v>72</v>
      </c>
      <c r="CA21" s="2" t="s">
        <v>1023</v>
      </c>
      <c r="CB21" s="2" t="s">
        <v>1024</v>
      </c>
      <c r="CC21" s="2" t="s">
        <v>1025</v>
      </c>
      <c r="CD21" s="2" t="s">
        <v>1008</v>
      </c>
      <c r="CE21" s="2" t="s">
        <v>1009</v>
      </c>
      <c r="CF21" s="2" t="s">
        <v>1025</v>
      </c>
      <c r="CG21" s="25"/>
      <c r="CH21" s="2" t="s">
        <v>72</v>
      </c>
      <c r="CI21" s="2" t="s">
        <v>1024</v>
      </c>
      <c r="CJ21" s="2" t="s">
        <v>1026</v>
      </c>
      <c r="CK21" s="2" t="s">
        <v>1025</v>
      </c>
      <c r="CL21" s="2" t="s">
        <v>1009</v>
      </c>
      <c r="CM21" s="2" t="s">
        <v>1026</v>
      </c>
      <c r="CN21" s="2" t="s">
        <v>1025</v>
      </c>
      <c r="CO21" s="25"/>
      <c r="CQ21" s="2" t="s">
        <v>72</v>
      </c>
      <c r="CR21" s="2" t="s">
        <v>972</v>
      </c>
      <c r="CS21" s="2" t="s">
        <v>1027</v>
      </c>
      <c r="CT21" s="2" t="s">
        <v>1028</v>
      </c>
      <c r="CU21" s="2" t="s">
        <v>1029</v>
      </c>
      <c r="CV21" s="2" t="s">
        <v>1030</v>
      </c>
      <c r="CW21" s="2" t="s">
        <v>1031</v>
      </c>
      <c r="CX21" s="2" t="s">
        <v>1032</v>
      </c>
      <c r="CY21" s="2" t="s">
        <v>1033</v>
      </c>
      <c r="CZ21" s="2" t="s">
        <v>1034</v>
      </c>
      <c r="DA21" s="2" t="s">
        <v>1035</v>
      </c>
    </row>
    <row r="22" spans="2:107" x14ac:dyDescent="0.3">
      <c r="B22" s="2" t="s">
        <v>647</v>
      </c>
      <c r="C22" s="33" t="s">
        <v>134</v>
      </c>
      <c r="D22" s="154">
        <v>8.4700000000000006</v>
      </c>
      <c r="E22" s="154">
        <v>3.68</v>
      </c>
      <c r="F22" s="2">
        <f t="shared" si="14"/>
        <v>9.23</v>
      </c>
      <c r="G22" s="32">
        <v>2.7</v>
      </c>
      <c r="H22" s="32">
        <v>3</v>
      </c>
      <c r="I22" s="2">
        <f t="shared" si="15"/>
        <v>4.04</v>
      </c>
      <c r="J22" s="155">
        <f>VLOOKUP(C22,基础属性系数!$B$97:$E$100,4,FALSE)*SQRT(VLOOKUP(C22,基础属性系数!$B$97:$E$100,2,FALSE)/F22)</f>
        <v>1.9254516468177401</v>
      </c>
      <c r="K22" s="156">
        <v>0</v>
      </c>
      <c r="L22" s="156">
        <v>2.4</v>
      </c>
      <c r="M22" s="156">
        <v>1.8</v>
      </c>
      <c r="N22" s="156">
        <v>1.35</v>
      </c>
      <c r="O22" s="156">
        <v>1.1499999999999999</v>
      </c>
      <c r="P22" s="156">
        <v>0.8</v>
      </c>
      <c r="Q22" s="156">
        <v>0.55000000000000004</v>
      </c>
      <c r="R22" s="34">
        <f>基础属性系数!$E$61*2/F22</f>
        <v>0</v>
      </c>
      <c r="S22" s="34">
        <f>(H22/基础属性系数!$C$94-H22/基础属性系数!$C$94/I22*基础属性系数!$E$61*2)/F22</f>
        <v>0.20314192849404117</v>
      </c>
      <c r="T22" s="34">
        <f>(G22/基础属性系数!$C$94-G22/基础属性系数!$C$94/I22*基础属性系数!$E$61*2)/F22*2</f>
        <v>0.36565547128927411</v>
      </c>
      <c r="U22" s="34">
        <f>(H22/基础属性系数!$C$94-H22/基础属性系数!$C$94/I22*基础属性系数!$E$61*2)/F22</f>
        <v>0.20314192849404117</v>
      </c>
      <c r="V22" s="34">
        <f>(E22/基础属性系数!$C$94-I22*E22/基础属性系数!$C$94/F22)/F22</f>
        <v>0.14011731024533733</v>
      </c>
      <c r="W22" s="34">
        <f>(D22/基础属性系数!$C$94-I22*D22/基础属性系数!$C$94/F22)/F22*2</f>
        <v>0.64499653140109103</v>
      </c>
      <c r="X22" s="34">
        <f>(E22/基础属性系数!$C$94-I22*E22/基础属性系数!$C$94/F22)/F22</f>
        <v>0.14011731024533733</v>
      </c>
      <c r="Y22" s="34">
        <f t="shared" si="0"/>
        <v>0</v>
      </c>
      <c r="Z22" s="34">
        <f t="shared" si="1"/>
        <v>0.48754062838569878</v>
      </c>
      <c r="AA22" s="34">
        <f t="shared" si="16"/>
        <v>0.65817984832069343</v>
      </c>
      <c r="AB22" s="34">
        <f t="shared" si="2"/>
        <v>0.27424160346695559</v>
      </c>
      <c r="AC22" s="34">
        <f t="shared" si="3"/>
        <v>0.1611349067821379</v>
      </c>
      <c r="AD22" s="34">
        <f t="shared" si="4"/>
        <v>0.51599722512087287</v>
      </c>
      <c r="AE22" s="34">
        <f t="shared" si="5"/>
        <v>7.7064520634935532E-2</v>
      </c>
      <c r="AF22" s="34">
        <f t="shared" si="17"/>
        <v>2.1741587327112941</v>
      </c>
      <c r="AH22" s="262" t="s">
        <v>1036</v>
      </c>
      <c r="AI22" s="262"/>
      <c r="AJ22" s="262"/>
      <c r="AK22" s="262"/>
      <c r="AZ22" s="262" t="s">
        <v>1037</v>
      </c>
      <c r="BA22" s="262"/>
      <c r="BB22" s="262"/>
      <c r="BC22" s="262"/>
      <c r="BD22" s="262"/>
      <c r="BE22" s="262"/>
      <c r="BF22" s="262"/>
      <c r="BG22" s="262"/>
      <c r="BM22" s="262" t="s">
        <v>1038</v>
      </c>
      <c r="BN22" s="262"/>
      <c r="BO22" s="262"/>
      <c r="BP22" s="262"/>
      <c r="BQ22" s="262"/>
      <c r="BR22" s="262"/>
      <c r="BS22" s="262"/>
      <c r="BT22" s="262"/>
      <c r="BU22" s="262"/>
      <c r="BV22" s="262"/>
      <c r="BW22" s="262"/>
      <c r="BX22" s="262"/>
      <c r="BZ22" s="2" t="s">
        <v>132</v>
      </c>
      <c r="CA22" s="2">
        <f t="shared" ref="CA22:CB24" si="31">CA10</f>
        <v>10.5</v>
      </c>
      <c r="CB22" s="2">
        <f t="shared" si="31"/>
        <v>10.5</v>
      </c>
      <c r="CC22" s="34">
        <f>CD10</f>
        <v>7</v>
      </c>
      <c r="CD22" s="2">
        <f t="shared" ref="CD22:CE24" si="32">CC16</f>
        <v>10.5</v>
      </c>
      <c r="CE22" s="2">
        <f t="shared" si="32"/>
        <v>10.5</v>
      </c>
      <c r="CF22" s="34">
        <f>CF16</f>
        <v>10.5</v>
      </c>
      <c r="CG22" s="133"/>
      <c r="CH22" s="2" t="s">
        <v>132</v>
      </c>
      <c r="CI22" s="2">
        <f>CB10</f>
        <v>10.5</v>
      </c>
      <c r="CJ22" s="21">
        <v>0.5</v>
      </c>
      <c r="CK22" s="34">
        <f>CI22/CJ22</f>
        <v>21</v>
      </c>
      <c r="CL22" s="2">
        <f>CD16</f>
        <v>10.5</v>
      </c>
      <c r="CM22" s="21">
        <v>0.3</v>
      </c>
      <c r="CN22" s="34">
        <f>CL22/CM22</f>
        <v>35</v>
      </c>
      <c r="CO22" s="133"/>
      <c r="CQ22" s="2" t="s">
        <v>132</v>
      </c>
      <c r="CR22" s="21">
        <v>30</v>
      </c>
      <c r="CS22" s="34">
        <f>MIN(IF(($CC$4+SQRT($CC$4^2+4*PI()*$CR22/360*($CT4^2/360*PI()*$CR22+$CY4*$AK$4/2-$CC$4*$CT4)))/2/PI()/$CR22*360&gt;$CT4,($CC$4+SQRT($CC$4^2+4*PI()*$CR22/360*($CT4^2/360*PI()*$CR22+$CY4*$AK$4/2-$CC$4*$CT4)))/2/PI()/$CR22*360,$CW4),IF(($CC$4-SQRT($CC$4^2+4*PI()*$CR22/360*($CT4^2/360*PI()*$CR22+$CY4*$AK$4/2-$CC$4*$CT4)))/2/PI()/$CR22*360&gt;$CT4,($CC$4-SQRT($CC$4^2+4*PI()*$CR22/360*($CT4^2/360*PI()*$CR22+$CY4*$AK$4/2-$CC$4*$CT4)))/2/PI()/$CR22*360,$CW4))</f>
        <v>58.919159932619657</v>
      </c>
      <c r="CT22" s="34">
        <f>MIN(IF(($CC$5+SQRT($CC$5^2+4*PI()*$CR22/360*($CT4^2/360*PI()*$CR22+$CY4*$AK$5/2-$CC$5*$CT4)))/2/PI()/$CR22*360&gt;$CT4,($CC$5+SQRT($CC$5^2+4*PI()*$CR22/360*($CT4^2/360*PI()*$CR22+$CY4*$AK$5/2-$CC$5*$CT4)))/2/PI()/$CR22*360,$CW4),IF(($CC$5-SQRT($CC$5^2+4*PI()*$CR22/360*($CT4^2/360*PI()*$CR22+$CY4*$AK$5/2-$CC$5*$CT4)))/2/PI()/$CR22*360&gt;$CT4,($CC$5-SQRT($CC$5^2+4*PI()*$CR22/360*($CT4^2/360*PI()*$CR22+$CY4*$AK$5/2-$CC$5*$CT4)))/2/PI()/$CR22*360,$CW4))</f>
        <v>58.537497294400232</v>
      </c>
      <c r="CU22" s="34">
        <f>MIN(IF(($CC$6+SQRT($CC$6^2+4*PI()*$CR22/360*($CT4^2/360*PI()*$CR22+$CY4*$AK$6/2-$CC$6*$CT4)))/2/PI()/$CR22*360&gt;$CT4,($CC$6+SQRT($CC$6^2+4*PI()*$CR22/360*($CT4^2/360*PI()*$CR22+$CY4*$AK$6/2-$CC$6*$CT4)))/2/PI()/$CR22*360,$CW4),IF(($CC$6-SQRT($CC$6^2+4*PI()*$CR22/360*($CT4^2/360*PI()*$CR22+$CY4*$AK$6/2-$CC$6*$CT4)))/2/PI()/$CR22*360&gt;$CT4,($CC$6-SQRT($CC$6^2+4*PI()*$CR22/360*($CT4^2/360*PI()*$CR22+$CY4*$AK$6/2-$CC$6*$CT4)))/2/PI()/$CR22*360,$CW4))</f>
        <v>54.384441429109678</v>
      </c>
      <c r="CV22" s="34">
        <f t="shared" ref="CV22:CX24" si="33">IF(45/AVERAGE($CT4,$CW4)+$CS28&gt;$CX4,$CW4,1)</f>
        <v>58.919159932619657</v>
      </c>
      <c r="CW22" s="34">
        <f t="shared" si="33"/>
        <v>58.919159932619657</v>
      </c>
      <c r="CX22" s="34">
        <f t="shared" si="33"/>
        <v>58.919159932619657</v>
      </c>
      <c r="CY22" s="34">
        <f t="shared" ref="CY22:DA24" si="34">IF(90/AVERAGE($CT4,$CW4)+$CS28&gt;$CX4,$CW4,1)</f>
        <v>58.919159932619657</v>
      </c>
      <c r="CZ22" s="34">
        <f t="shared" si="34"/>
        <v>58.919159932619657</v>
      </c>
      <c r="DA22" s="34">
        <f t="shared" si="34"/>
        <v>58.919159932619657</v>
      </c>
    </row>
    <row r="23" spans="2:107" x14ac:dyDescent="0.3">
      <c r="B23" s="2" t="s">
        <v>649</v>
      </c>
      <c r="C23" s="33" t="s">
        <v>134</v>
      </c>
      <c r="D23" s="154">
        <v>8.49</v>
      </c>
      <c r="E23" s="154">
        <v>3.73</v>
      </c>
      <c r="F23" s="2">
        <f t="shared" si="14"/>
        <v>9.27</v>
      </c>
      <c r="G23" s="32">
        <v>4.3</v>
      </c>
      <c r="H23" s="32">
        <v>3</v>
      </c>
      <c r="I23" s="2">
        <f t="shared" si="15"/>
        <v>5.24</v>
      </c>
      <c r="J23" s="155">
        <f>VLOOKUP(C23,基础属性系数!$B$97:$E$100,4,FALSE)*SQRT(VLOOKUP(C23,基础属性系数!$B$97:$E$100,2,FALSE)/F23)</f>
        <v>1.9212929990969236</v>
      </c>
      <c r="K23" s="156">
        <v>0</v>
      </c>
      <c r="L23" s="156">
        <v>2.2000000000000002</v>
      </c>
      <c r="M23" s="156">
        <v>1.7</v>
      </c>
      <c r="N23" s="156">
        <v>1.3</v>
      </c>
      <c r="O23" s="156">
        <v>1.1000000000000001</v>
      </c>
      <c r="P23" s="156">
        <v>0.75</v>
      </c>
      <c r="Q23" s="156">
        <v>0.5</v>
      </c>
      <c r="R23" s="34">
        <f>基础属性系数!$E$61*2/F23</f>
        <v>0</v>
      </c>
      <c r="S23" s="34">
        <f>(H23/基础属性系数!$C$94-H23/基础属性系数!$C$94/I23*基础属性系数!$E$61*2)/F23</f>
        <v>0.2022653721682848</v>
      </c>
      <c r="T23" s="34">
        <f>(G23/基础属性系数!$C$94-G23/基础属性系数!$C$94/I23*基础属性系数!$E$61*2)/F23*2</f>
        <v>0.57982740021574963</v>
      </c>
      <c r="U23" s="34">
        <f>(H23/基础属性系数!$C$94-H23/基础属性系数!$C$94/I23*基础属性系数!$E$61*2)/F23</f>
        <v>0.2022653721682848</v>
      </c>
      <c r="V23" s="34">
        <f>(E23/基础属性系数!$C$94-I23*E23/基础属性系数!$C$94/F23)/F23</f>
        <v>0.1093287611613247</v>
      </c>
      <c r="W23" s="34">
        <f>(D23/基础属性系数!$C$94-I23*D23/基础属性系数!$C$94/F23)/F23*2</f>
        <v>0.49769500389257193</v>
      </c>
      <c r="X23" s="34">
        <f>(E23/基础属性系数!$C$94-I23*E23/基础属性系数!$C$94/F23)/F23</f>
        <v>0.1093287611613247</v>
      </c>
      <c r="Y23" s="34">
        <f t="shared" si="0"/>
        <v>0</v>
      </c>
      <c r="Z23" s="34">
        <f t="shared" si="1"/>
        <v>0.44498381877022658</v>
      </c>
      <c r="AA23" s="34">
        <f t="shared" si="16"/>
        <v>0.98570658036677439</v>
      </c>
      <c r="AB23" s="34">
        <f t="shared" si="2"/>
        <v>0.26294498381877024</v>
      </c>
      <c r="AC23" s="34">
        <f t="shared" si="3"/>
        <v>0.12026163727745717</v>
      </c>
      <c r="AD23" s="34">
        <f t="shared" si="4"/>
        <v>0.37327125291942898</v>
      </c>
      <c r="AE23" s="34">
        <f t="shared" si="5"/>
        <v>5.466438058066235E-2</v>
      </c>
      <c r="AF23" s="34">
        <f t="shared" si="17"/>
        <v>2.24183265373332</v>
      </c>
      <c r="AH23" s="2" t="s">
        <v>72</v>
      </c>
      <c r="AI23" s="2" t="s">
        <v>1039</v>
      </c>
      <c r="AJ23" s="2" t="s">
        <v>1040</v>
      </c>
      <c r="AK23" s="2" t="s">
        <v>1041</v>
      </c>
      <c r="AZ23" s="2" t="s">
        <v>72</v>
      </c>
      <c r="BA23" s="2" t="s">
        <v>996</v>
      </c>
      <c r="BB23" s="2" t="s">
        <v>964</v>
      </c>
      <c r="BC23" s="2" t="s">
        <v>962</v>
      </c>
      <c r="BD23" s="2" t="s">
        <v>997</v>
      </c>
      <c r="BE23" s="2" t="s">
        <v>998</v>
      </c>
      <c r="BF23" s="2" t="s">
        <v>999</v>
      </c>
      <c r="BG23" s="2" t="s">
        <v>1000</v>
      </c>
      <c r="BM23" s="2" t="s">
        <v>72</v>
      </c>
      <c r="BN23" s="2" t="s">
        <v>957</v>
      </c>
      <c r="BO23" s="2" t="s">
        <v>1042</v>
      </c>
      <c r="BP23" s="2" t="s">
        <v>1043</v>
      </c>
      <c r="BQ23" s="2" t="s">
        <v>1044</v>
      </c>
      <c r="BR23" s="2" t="s">
        <v>1045</v>
      </c>
      <c r="BS23" s="2" t="s">
        <v>1043</v>
      </c>
      <c r="BT23" s="2" t="s">
        <v>1044</v>
      </c>
      <c r="BU23" s="2" t="s">
        <v>1045</v>
      </c>
      <c r="BV23" s="2" t="s">
        <v>1043</v>
      </c>
      <c r="BW23" s="2" t="s">
        <v>1044</v>
      </c>
      <c r="BX23" s="2" t="s">
        <v>1045</v>
      </c>
      <c r="BZ23" s="2" t="s">
        <v>134</v>
      </c>
      <c r="CA23" s="2">
        <f t="shared" si="31"/>
        <v>8</v>
      </c>
      <c r="CB23" s="2">
        <f t="shared" si="31"/>
        <v>8</v>
      </c>
      <c r="CC23" s="34">
        <f>CD11</f>
        <v>5</v>
      </c>
      <c r="CD23" s="2">
        <f t="shared" si="32"/>
        <v>8</v>
      </c>
      <c r="CE23" s="2">
        <f t="shared" si="32"/>
        <v>8</v>
      </c>
      <c r="CF23" s="34">
        <f>CF17</f>
        <v>4</v>
      </c>
      <c r="CG23" s="133"/>
      <c r="CH23" s="2" t="s">
        <v>134</v>
      </c>
      <c r="CI23" s="2">
        <f>CB11</f>
        <v>8</v>
      </c>
      <c r="CJ23" s="21">
        <v>0.6</v>
      </c>
      <c r="CK23" s="34">
        <f>CI23/CJ23</f>
        <v>13.333333333333334</v>
      </c>
      <c r="CL23" s="2">
        <f>CD17</f>
        <v>8</v>
      </c>
      <c r="CM23" s="21">
        <v>0.35</v>
      </c>
      <c r="CN23" s="34">
        <f>CL23/CM23</f>
        <v>22.857142857142858</v>
      </c>
      <c r="CO23" s="133"/>
      <c r="CQ23" s="2" t="s">
        <v>134</v>
      </c>
      <c r="CR23" s="21">
        <v>35</v>
      </c>
      <c r="CS23" s="34">
        <f>MIN(IF(($CC$4+SQRT($CC$4^2+4*PI()*$CR23/360*($CT5^2/360*PI()*$CR23+$CY5*$AK$4/2-$CC$4*$CT5)))/2/PI()/$CR23*360&gt;$CT5,($CC$4+SQRT($CC$4^2+4*PI()*$CR23/360*($CT5^2/360*PI()*$CR23+$CY5*$AK$4/2-$CC$4*$CT5)))/2/PI()/$CR23*360,$CW5),IF(($CC$4-SQRT($CC$4^2+4*PI()*$CR23/360*($CT5^2/360*PI()*$CR23+$CY5*$AK$4/2-$CC$4*$CT5)))/2/PI()/$CR23*360&gt;$CT5,($CC$4-SQRT($CC$4^2+4*PI()*$CR23/360*($CT5^2/360*PI()*$CR23+$CY5*$AK$4/2-$CC$4*$CT5)))/2/PI()/$CR23*360,$CW5))</f>
        <v>54.500589112436487</v>
      </c>
      <c r="CT23" s="34">
        <f>MIN(IF(($CC$5+SQRT($CC$5^2+4*PI()*$CR23/360*($CT5^2/360*PI()*$CR23+$CY5*$AK$5/2-$CC$5*$CT5)))/2/PI()/$CR23*360&gt;$CT5,($CC$5+SQRT($CC$5^2+4*PI()*$CR23/360*($CT5^2/360*PI()*$CR23+$CY5*$AK$5/2-$CC$5*$CT5)))/2/PI()/$CR23*360,$CW5),IF(($CC$5-SQRT($CC$5^2+4*PI()*$CR23/360*($CT5^2/360*PI()*$CR23+$CY5*$AK$5/2-$CC$5*$CT5)))/2/PI()/$CR23*360&gt;$CT5,($CC$5-SQRT($CC$5^2+4*PI()*$CR23/360*($CT5^2/360*PI()*$CR23+$CY5*$AK$5/2-$CC$5*$CT5)))/2/PI()/$CR23*360,$CW5))</f>
        <v>50.821546222243924</v>
      </c>
      <c r="CU23" s="34">
        <f>MIN(IF(($CC$6+SQRT($CC$6^2+4*PI()*$CR23/360*($CT5^2/360*PI()*$CR23+$CY5*$AK$6/2-$CC$6*$CT5)))/2/PI()/$CR23*360&gt;$CT5,($CC$6+SQRT($CC$6^2+4*PI()*$CR23/360*($CT5^2/360*PI()*$CR23+$CY5*$AK$6/2-$CC$6*$CT5)))/2/PI()/$CR23*360,$CW5),IF(($CC$6-SQRT($CC$6^2+4*PI()*$CR23/360*($CT5^2/360*PI()*$CR23+$CY5*$AK$6/2-$CC$6*$CT5)))/2/PI()/$CR23*360&gt;$CT5,($CC$6-SQRT($CC$6^2+4*PI()*$CR23/360*($CT5^2/360*PI()*$CR23+$CY5*$AK$6/2-$CC$6*$CT5)))/2/PI()/$CR23*360,$CW5))</f>
        <v>47.454916704563956</v>
      </c>
      <c r="CV23" s="34">
        <f t="shared" si="33"/>
        <v>55.615103314031913</v>
      </c>
      <c r="CW23" s="34">
        <f t="shared" si="33"/>
        <v>55.615103314031913</v>
      </c>
      <c r="CX23" s="34">
        <f t="shared" si="33"/>
        <v>55.615103314031913</v>
      </c>
      <c r="CY23" s="34">
        <f t="shared" si="34"/>
        <v>55.615103314031913</v>
      </c>
      <c r="CZ23" s="34">
        <f t="shared" si="34"/>
        <v>55.615103314031913</v>
      </c>
      <c r="DA23" s="34">
        <f t="shared" si="34"/>
        <v>55.615103314031913</v>
      </c>
    </row>
    <row r="24" spans="2:107" x14ac:dyDescent="0.3">
      <c r="B24" s="2" t="s">
        <v>651</v>
      </c>
      <c r="C24" s="33" t="s">
        <v>136</v>
      </c>
      <c r="D24" s="154">
        <v>6.6</v>
      </c>
      <c r="E24" s="154">
        <v>3.26</v>
      </c>
      <c r="F24" s="2">
        <f t="shared" si="14"/>
        <v>7.36</v>
      </c>
      <c r="G24" s="32">
        <v>2.4</v>
      </c>
      <c r="H24" s="32">
        <v>1.8</v>
      </c>
      <c r="I24" s="2">
        <f t="shared" si="15"/>
        <v>3</v>
      </c>
      <c r="J24" s="155">
        <f>VLOOKUP(C24,基础属性系数!$B$97:$E$100,4,FALSE)*SQRT(VLOOKUP(C24,基础属性系数!$B$97:$E$100,2,FALSE)/F24)</f>
        <v>2.2872247133846213</v>
      </c>
      <c r="K24" s="156">
        <v>0</v>
      </c>
      <c r="L24" s="156">
        <v>2.5499999999999998</v>
      </c>
      <c r="M24" s="156">
        <v>2.0499999999999998</v>
      </c>
      <c r="N24" s="156">
        <v>1.5</v>
      </c>
      <c r="O24" s="156">
        <v>1.45</v>
      </c>
      <c r="P24" s="156">
        <v>1.35</v>
      </c>
      <c r="Q24" s="156">
        <v>0.4</v>
      </c>
      <c r="R24" s="34">
        <f>基础属性系数!$E$61*2/F24</f>
        <v>0</v>
      </c>
      <c r="S24" s="34">
        <f>(H24/基础属性系数!$C$94-H24/基础属性系数!$C$94/I24*基础属性系数!$E$61*2)/F24</f>
        <v>0.15285326086956522</v>
      </c>
      <c r="T24" s="34">
        <f>(G24/基础属性系数!$C$94-G24/基础属性系数!$C$94/I24*基础属性系数!$E$61*2)/F24*2</f>
        <v>0.40760869565217384</v>
      </c>
      <c r="U24" s="34">
        <f>(H24/基础属性系数!$C$94-H24/基础属性系数!$C$94/I24*基础属性系数!$E$61*2)/F24</f>
        <v>0.15285326086956522</v>
      </c>
      <c r="V24" s="34">
        <f>(E24/基础属性系数!$C$94-I24*E24/基础属性系数!$C$94/F24)/F24</f>
        <v>0.16399419600661622</v>
      </c>
      <c r="W24" s="34">
        <f>(D24/基础属性系数!$C$94-I24*D24/基础属性系数!$C$94/F24)/F24*2</f>
        <v>0.66402557892249514</v>
      </c>
      <c r="X24" s="34">
        <f>(E24/基础属性系数!$C$94-I24*E24/基础属性系数!$C$94/F24)/F24</f>
        <v>0.16399419600661622</v>
      </c>
      <c r="Y24" s="34">
        <f t="shared" si="0"/>
        <v>0</v>
      </c>
      <c r="Z24" s="34">
        <f t="shared" si="1"/>
        <v>0.3897758152173913</v>
      </c>
      <c r="AA24" s="34">
        <f t="shared" si="16"/>
        <v>0.83559782608695632</v>
      </c>
      <c r="AB24" s="34">
        <f t="shared" si="2"/>
        <v>0.22927989130434784</v>
      </c>
      <c r="AC24" s="34">
        <f t="shared" si="3"/>
        <v>0.23779158420959351</v>
      </c>
      <c r="AD24" s="34">
        <f t="shared" si="4"/>
        <v>0.89643453154536845</v>
      </c>
      <c r="AE24" s="34">
        <f t="shared" si="5"/>
        <v>6.5597678402646492E-2</v>
      </c>
      <c r="AF24" s="34">
        <f t="shared" si="17"/>
        <v>2.6544773267663038</v>
      </c>
      <c r="AH24" s="2" t="s">
        <v>132</v>
      </c>
      <c r="AI24" s="157">
        <f>TAN(RADIANS(AK16))*AI10*2/$AK$4</f>
        <v>0.26478591686179787</v>
      </c>
      <c r="AJ24" s="157">
        <f>TAN(RADIANS(AK16))*AI10*2/$AK$5</f>
        <v>0.22441333887874901</v>
      </c>
      <c r="AK24" s="157">
        <f>TAN(RADIANS(AK16))*AI10*2/$AK$6</f>
        <v>0.21696269681770156</v>
      </c>
      <c r="AZ24" s="2" t="s">
        <v>79</v>
      </c>
      <c r="BA24" s="34">
        <f>BD4</f>
        <v>0.44999999999999996</v>
      </c>
      <c r="BB24" s="34">
        <f t="shared" ref="BB24:BB30" si="35">BA24/$AW$8</f>
        <v>0.375</v>
      </c>
      <c r="BC24" s="157">
        <f>$AI$25</f>
        <v>0.30127565677255386</v>
      </c>
      <c r="BD24" s="155">
        <f>TAN(RADIANS(BA24+$AK$17))*$AI$11*2/$AK$4</f>
        <v>0.49226708228459082</v>
      </c>
      <c r="BE24" s="155">
        <f>TAN(RADIANS(BA24*2+$AK$17))*$AI$11*2/$AK$4</f>
        <v>0.68331926621379646</v>
      </c>
      <c r="BF24" s="155">
        <f>TAN(RADIANS(BA24*3+$AK$17))*$AI$11*2/$AK$4</f>
        <v>0.87445582135131517</v>
      </c>
      <c r="BG24" s="34">
        <f t="shared" ref="BG24:BG30" si="36">(1-BC24)/(BF24-BC24)*BA24*3</f>
        <v>1.6456917417061723</v>
      </c>
      <c r="BM24" s="2" t="s">
        <v>79</v>
      </c>
      <c r="BN24" s="2">
        <f>VLOOKUP(LEFT(BM24,2),$AH$15:$AK$18,4,FALSE)</f>
        <v>0.78</v>
      </c>
      <c r="BO24" s="2">
        <f t="shared" ref="BO24:BO30" si="37">BN24+BR4+BR14</f>
        <v>2.4960000000000004</v>
      </c>
      <c r="BP24" s="151">
        <f t="shared" ref="BP24:BP30" si="38">TAN(RADIANS(BO24))*$AI$10*2/$AK$4</f>
        <v>0.84779896664277588</v>
      </c>
      <c r="BQ24" s="151">
        <f>TAN(RADIANS(BO24))*$AI$10*2/$AK$5</f>
        <v>0.71853291541015474</v>
      </c>
      <c r="BR24" s="151">
        <f>TAN(RADIANS(BO24))*$AI$10*2/$AK$6</f>
        <v>0.69467724092774596</v>
      </c>
      <c r="BS24" s="34">
        <f>TAN(RADIANS(BO24))*$AI$11*2/$AK$4</f>
        <v>1.05974870830347</v>
      </c>
      <c r="BT24" s="34">
        <f>TAN(RADIANS(BO24))*$AI$11*2/$AK$5</f>
        <v>0.89816614426269359</v>
      </c>
      <c r="BU24" s="34">
        <f>TAN(RADIANS(BO24))*$AI$11*2/$AK$6</f>
        <v>0.86834655115968251</v>
      </c>
      <c r="BV24" s="34">
        <f>TAN(RADIANS(BO24))*$AI$12*2/$AK$4</f>
        <v>1.2716984499641639</v>
      </c>
      <c r="BW24" s="34">
        <f>TAN(RADIANS(BO24))*$AI$12*2/$AK$5</f>
        <v>1.0777993731152322</v>
      </c>
      <c r="BX24" s="34">
        <f t="shared" ref="BX24:BX30" si="39">TAN(RADIANS(BO24))*$AI$12*2/$AK$6</f>
        <v>1.0420158613916191</v>
      </c>
      <c r="BZ24" s="2" t="s">
        <v>136</v>
      </c>
      <c r="CA24" s="2">
        <f t="shared" si="31"/>
        <v>7</v>
      </c>
      <c r="CB24" s="2">
        <f t="shared" si="31"/>
        <v>7</v>
      </c>
      <c r="CC24" s="34">
        <f>CD12</f>
        <v>3.8888888888888888</v>
      </c>
      <c r="CD24" s="2">
        <f t="shared" si="32"/>
        <v>7</v>
      </c>
      <c r="CE24" s="2">
        <f t="shared" si="32"/>
        <v>7</v>
      </c>
      <c r="CF24" s="34">
        <f>CF18</f>
        <v>2</v>
      </c>
      <c r="CG24" s="133"/>
      <c r="CH24" s="2" t="s">
        <v>136</v>
      </c>
      <c r="CI24" s="2">
        <f>CB12</f>
        <v>7</v>
      </c>
      <c r="CJ24" s="21">
        <v>0.65</v>
      </c>
      <c r="CK24" s="34">
        <f>CI24/CJ24</f>
        <v>10.769230769230768</v>
      </c>
      <c r="CL24" s="2">
        <f>CD18</f>
        <v>7</v>
      </c>
      <c r="CM24" s="21">
        <v>0.4</v>
      </c>
      <c r="CN24" s="34">
        <f>CL24/CM24</f>
        <v>17.5</v>
      </c>
      <c r="CO24" s="133"/>
      <c r="CQ24" s="2" t="s">
        <v>136</v>
      </c>
      <c r="CR24" s="21">
        <v>40</v>
      </c>
      <c r="CS24" s="34">
        <f>MIN(IF(($CC$4+SQRT($CC$4^2+4*PI()*$CR24/360*($CT6^2/360*PI()*$CR24+$CY6*$AK$4/2-$CC$4*$CT6)))/2/PI()/$CR24*360&gt;$CT6,($CC$4+SQRT($CC$4^2+4*PI()*$CR24/360*($CT6^2/360*PI()*$CR24+$CY6*$AK$4/2-$CC$4*$CT6)))/2/PI()/$CR24*360,$CW6),IF(($CC$4-SQRT($CC$4^2+4*PI()*$CR24/360*($CT6^2/360*PI()*$CR24+$CY6*$AK$4/2-$CC$4*$CT6)))/2/PI()/$CR24*360&gt;$CT6,($CC$4-SQRT($CC$4^2+4*PI()*$CR24/360*($CT6^2/360*PI()*$CR24+$CY6*$AK$4/2-$CC$4*$CT6)))/2/PI()/$CR24*360,$CW6))</f>
        <v>47.643193926513746</v>
      </c>
      <c r="CT24" s="34">
        <f>MIN(IF(($CC$5+SQRT($CC$5^2+4*PI()*$CR24/360*($CT6^2/360*PI()*$CR24+$CY6*$AK$5/2-$CC$5*$CT6)))/2/PI()/$CR24*360&gt;$CT6,($CC$5+SQRT($CC$5^2+4*PI()*$CR24/360*($CT6^2/360*PI()*$CR24+$CY6*$AK$5/2-$CC$5*$CT6)))/2/PI()/$CR24*360,$CW6),IF(($CC$5-SQRT($CC$5^2+4*PI()*$CR24/360*($CT6^2/360*PI()*$CR24+$CY6*$AK$5/2-$CC$5*$CT6)))/2/PI()/$CR24*360&gt;$CT6,($CC$5-SQRT($CC$5^2+4*PI()*$CR24/360*($CT6^2/360*PI()*$CR24+$CY6*$AK$5/2-$CC$5*$CT6)))/2/PI()/$CR24*360,$CW6))</f>
        <v>44.374435006539542</v>
      </c>
      <c r="CU24" s="34">
        <f>MIN(IF(($CC$6+SQRT($CC$6^2+4*PI()*$CR24/360*($CT6^2/360*PI()*$CR24+$CY6*$AK$6/2-$CC$6*$CT6)))/2/PI()/$CR24*360&gt;$CT6,($CC$6+SQRT($CC$6^2+4*PI()*$CR24/360*($CT6^2/360*PI()*$CR24+$CY6*$AK$6/2-$CC$6*$CT6)))/2/PI()/$CR24*360,$CW6),IF(($CC$6-SQRT($CC$6^2+4*PI()*$CR24/360*($CT6^2/360*PI()*$CR24+$CY6*$AK$6/2-$CC$6*$CT6)))/2/PI()/$CR24*360&gt;$CT6,($CC$6-SQRT($CC$6^2+4*PI()*$CR24/360*($CT6^2/360*PI()*$CR24+$CY6*$AK$6/2-$CC$6*$CT6)))/2/PI()/$CR24*360,$CW6))</f>
        <v>41.40180926996203</v>
      </c>
      <c r="CV24" s="34">
        <f t="shared" si="33"/>
        <v>47.93746885927888</v>
      </c>
      <c r="CW24" s="34">
        <f t="shared" si="33"/>
        <v>47.93746885927888</v>
      </c>
      <c r="CX24" s="34">
        <f t="shared" si="33"/>
        <v>47.93746885927888</v>
      </c>
      <c r="CY24" s="34">
        <f t="shared" si="34"/>
        <v>47.93746885927888</v>
      </c>
      <c r="CZ24" s="34">
        <f t="shared" si="34"/>
        <v>47.93746885927888</v>
      </c>
      <c r="DA24" s="34">
        <f t="shared" si="34"/>
        <v>47.93746885927888</v>
      </c>
    </row>
    <row r="25" spans="2:107" x14ac:dyDescent="0.3">
      <c r="B25" s="2" t="s">
        <v>653</v>
      </c>
      <c r="C25" s="33" t="s">
        <v>136</v>
      </c>
      <c r="D25" s="154">
        <v>6.44</v>
      </c>
      <c r="E25" s="154">
        <v>2.5099999999999998</v>
      </c>
      <c r="F25" s="2">
        <f t="shared" si="14"/>
        <v>6.91</v>
      </c>
      <c r="G25" s="32">
        <v>1.2</v>
      </c>
      <c r="H25" s="32">
        <v>1.2</v>
      </c>
      <c r="I25" s="2">
        <f t="shared" si="15"/>
        <v>1.7</v>
      </c>
      <c r="J25" s="155">
        <f>VLOOKUP(C25,基础属性系数!$B$97:$E$100,4,FALSE)*SQRT(VLOOKUP(C25,基础属性系数!$B$97:$E$100,2,FALSE)/F25)</f>
        <v>2.3605256198882358</v>
      </c>
      <c r="K25" s="156">
        <v>0</v>
      </c>
      <c r="L25" s="156">
        <v>2.5499999999999998</v>
      </c>
      <c r="M25" s="156">
        <v>2.35</v>
      </c>
      <c r="N25" s="156">
        <v>2.1</v>
      </c>
      <c r="O25" s="156">
        <v>2</v>
      </c>
      <c r="P25" s="156">
        <v>1.53</v>
      </c>
      <c r="Q25" s="156">
        <v>0.5</v>
      </c>
      <c r="R25" s="34">
        <f>基础属性系数!$E$61*2/F25</f>
        <v>0</v>
      </c>
      <c r="S25" s="34">
        <f>(H25/基础属性系数!$C$94-H25/基础属性系数!$C$94/I25*基础属性系数!$E$61*2)/F25</f>
        <v>0.10853835021707668</v>
      </c>
      <c r="T25" s="34">
        <f>(G25/基础属性系数!$C$94-G25/基础属性系数!$C$94/I25*基础属性系数!$E$61*2)/F25*2</f>
        <v>0.21707670043415336</v>
      </c>
      <c r="U25" s="34">
        <f>(H25/基础属性系数!$C$94-H25/基础属性系数!$C$94/I25*基础属性系数!$E$61*2)/F25</f>
        <v>0.10853835021707668</v>
      </c>
      <c r="V25" s="34">
        <f>(E25/基础属性系数!$C$94-I25*E25/基础属性系数!$C$94/F25)/F25</f>
        <v>0.17117304144039239</v>
      </c>
      <c r="W25" s="34">
        <f>(D25/基础属性系数!$C$94-I25*D25/基础属性系数!$C$94/F25)/F25*2</f>
        <v>0.87837002938336817</v>
      </c>
      <c r="X25" s="34">
        <f>(E25/基础属性系数!$C$94-I25*E25/基础属性系数!$C$94/F25)/F25</f>
        <v>0.17117304144039239</v>
      </c>
      <c r="Y25" s="34">
        <f t="shared" si="0"/>
        <v>0</v>
      </c>
      <c r="Z25" s="34">
        <f t="shared" si="1"/>
        <v>0.27677279305354552</v>
      </c>
      <c r="AA25" s="34">
        <f t="shared" si="16"/>
        <v>0.51013024602026047</v>
      </c>
      <c r="AB25" s="34">
        <f t="shared" si="2"/>
        <v>0.22793053545586103</v>
      </c>
      <c r="AC25" s="34">
        <f t="shared" si="3"/>
        <v>0.34234608288078477</v>
      </c>
      <c r="AD25" s="34">
        <f t="shared" si="4"/>
        <v>1.3439061449565533</v>
      </c>
      <c r="AE25" s="34">
        <f t="shared" si="5"/>
        <v>8.5586520720196194E-2</v>
      </c>
      <c r="AF25" s="34">
        <f t="shared" si="17"/>
        <v>2.7866723230872008</v>
      </c>
      <c r="AH25" s="2" t="s">
        <v>134</v>
      </c>
      <c r="AI25" s="157">
        <f>TAN(RADIANS(AK17))*AI11*2/$AK$4</f>
        <v>0.30127565677255386</v>
      </c>
      <c r="AJ25" s="157">
        <f>TAN(RADIANS(AK17))*AI11*2/$AK$5</f>
        <v>0.25533939591849686</v>
      </c>
      <c r="AK25" s="157">
        <f>TAN(RADIANS(AK17))*AI11*2/$AK$6</f>
        <v>0.24686199233554543</v>
      </c>
      <c r="AZ25" s="2" t="s">
        <v>81</v>
      </c>
      <c r="BA25" s="34">
        <f t="shared" ref="BA25:BA30" si="40">BD5</f>
        <v>0.36</v>
      </c>
      <c r="BB25" s="34">
        <f t="shared" si="35"/>
        <v>0.3</v>
      </c>
      <c r="BC25" s="157">
        <f>$AI$25</f>
        <v>0.30127565677255386</v>
      </c>
      <c r="BD25" s="155">
        <f>TAN(RADIANS(BA25+$AK$17))*$AI$11*2/$AK$4</f>
        <v>0.45406469151611661</v>
      </c>
      <c r="BE25" s="155">
        <f>TAN(RADIANS(BA25*2+$AK$17))*$AI$11*2/$AK$4</f>
        <v>0.60688959122147423</v>
      </c>
      <c r="BF25" s="155">
        <f>TAN(RADIANS(BA25*3+$AK$17))*$AI$11*2/$AK$4</f>
        <v>0.75976244013257865</v>
      </c>
      <c r="BG25" s="34">
        <f t="shared" si="36"/>
        <v>1.6458975876150346</v>
      </c>
      <c r="BM25" s="2" t="s">
        <v>81</v>
      </c>
      <c r="BN25" s="2">
        <f t="shared" ref="BN25:BN30" si="41">VLOOKUP(LEFT(BM25,2),$AH$15:$AK$18,4,FALSE)</f>
        <v>0.78</v>
      </c>
      <c r="BO25" s="2">
        <f t="shared" si="37"/>
        <v>1.95</v>
      </c>
      <c r="BP25" s="151">
        <f t="shared" si="38"/>
        <v>0.66217958683072597</v>
      </c>
      <c r="BQ25" s="151">
        <f t="shared" ref="BQ25:BQ30" si="42">TAN(RADIANS(BO25))*$AI$10*2/$AK$5</f>
        <v>0.56121539158593114</v>
      </c>
      <c r="BR25" s="151">
        <f t="shared" ref="BR25:BR30" si="43">TAN(RADIANS(BO25))*$AI$10*2/$AK$6</f>
        <v>0.54258274246289229</v>
      </c>
      <c r="BS25" s="34">
        <f t="shared" ref="BS25:BS30" si="44">TAN(RADIANS(BO25))*$AI$11*2/$AK$4</f>
        <v>0.82772448353840744</v>
      </c>
      <c r="BT25" s="34">
        <f t="shared" ref="BT25:BT30" si="45">TAN(RADIANS(BO25))*$AI$11*2/$AK$5</f>
        <v>0.70151923948241401</v>
      </c>
      <c r="BU25" s="34">
        <f t="shared" ref="BU25:BU30" si="46">TAN(RADIANS(BO25))*$AI$11*2/$AK$6</f>
        <v>0.67822842807861539</v>
      </c>
      <c r="BV25" s="34">
        <f t="shared" ref="BV25:BV30" si="47">TAN(RADIANS(BO25))*$AI$12*2/$AK$4</f>
        <v>0.99326938024608902</v>
      </c>
      <c r="BW25" s="34">
        <f t="shared" ref="BW25:BW30" si="48">TAN(RADIANS(BO25))*$AI$12*2/$AK$5</f>
        <v>0.84182308737889677</v>
      </c>
      <c r="BX25" s="34">
        <f t="shared" si="39"/>
        <v>0.81387411369433849</v>
      </c>
    </row>
    <row r="26" spans="2:107" x14ac:dyDescent="0.3">
      <c r="B26" s="2" t="s">
        <v>655</v>
      </c>
      <c r="C26" s="33" t="s">
        <v>136</v>
      </c>
      <c r="D26" s="154">
        <v>7.18</v>
      </c>
      <c r="E26" s="154">
        <v>3.28</v>
      </c>
      <c r="F26" s="2">
        <f t="shared" si="14"/>
        <v>7.89</v>
      </c>
      <c r="G26" s="32">
        <v>2.5</v>
      </c>
      <c r="H26" s="32">
        <v>1.5</v>
      </c>
      <c r="I26" s="2">
        <f t="shared" si="15"/>
        <v>2.92</v>
      </c>
      <c r="J26" s="155">
        <f>VLOOKUP(C26,基础属性系数!$B$97:$E$100,4,FALSE)*SQRT(VLOOKUP(C26,基础属性系数!$B$97:$E$100,2,FALSE)/F26)</f>
        <v>2.2090687927630084</v>
      </c>
      <c r="K26" s="156">
        <v>0</v>
      </c>
      <c r="L26" s="156">
        <v>2.5</v>
      </c>
      <c r="M26" s="156">
        <v>2.15</v>
      </c>
      <c r="N26" s="156">
        <v>1.65</v>
      </c>
      <c r="O26" s="156">
        <v>1.6</v>
      </c>
      <c r="P26" s="156">
        <v>1.35</v>
      </c>
      <c r="Q26" s="156">
        <v>0.45</v>
      </c>
      <c r="R26" s="34">
        <f>基础属性系数!$E$61*2/F26</f>
        <v>0</v>
      </c>
      <c r="S26" s="34">
        <f>(H26/基础属性系数!$C$94-H26/基础属性系数!$C$94/I26*基础属性系数!$E$61*2)/F26</f>
        <v>0.1188212927756654</v>
      </c>
      <c r="T26" s="34">
        <f>(G26/基础属性系数!$C$94-G26/基础属性系数!$C$94/I26*基础属性系数!$E$61*2)/F26*2</f>
        <v>0.39607097591888468</v>
      </c>
      <c r="U26" s="34">
        <f>(H26/基础属性系数!$C$94-H26/基础属性系数!$C$94/I26*基础属性系数!$E$61*2)/F26</f>
        <v>0.1188212927756654</v>
      </c>
      <c r="V26" s="34">
        <f>(E26/基础属性系数!$C$94-I26*E26/基础属性系数!$C$94/F26)/F26</f>
        <v>0.16366516149655996</v>
      </c>
      <c r="W26" s="34">
        <f>(D26/基础属性系数!$C$94-I26*D26/基础属性系数!$C$94/F26)/F26*2</f>
        <v>0.71653406069835401</v>
      </c>
      <c r="X26" s="34">
        <f>(E26/基础属性系数!$C$94-I26*E26/基础属性系数!$C$94/F26)/F26</f>
        <v>0.16366516149655996</v>
      </c>
      <c r="Y26" s="34">
        <f t="shared" si="0"/>
        <v>0</v>
      </c>
      <c r="Z26" s="34">
        <f t="shared" si="1"/>
        <v>0.2970532319391635</v>
      </c>
      <c r="AA26" s="34">
        <f t="shared" si="16"/>
        <v>0.85155259822560203</v>
      </c>
      <c r="AB26" s="34">
        <f t="shared" si="2"/>
        <v>0.1960551330798479</v>
      </c>
      <c r="AC26" s="34">
        <f t="shared" si="3"/>
        <v>0.26186425839449595</v>
      </c>
      <c r="AD26" s="34">
        <f t="shared" si="4"/>
        <v>0.96732098194277794</v>
      </c>
      <c r="AE26" s="34">
        <f t="shared" si="5"/>
        <v>7.3649322673451992E-2</v>
      </c>
      <c r="AF26" s="34">
        <f t="shared" si="17"/>
        <v>2.647495526255339</v>
      </c>
      <c r="AH26" s="2" t="s">
        <v>136</v>
      </c>
      <c r="AI26" s="157">
        <f>TAN(RADIANS(AK18))*AI12*2/$AK$4</f>
        <v>0.31569910439798515</v>
      </c>
      <c r="AJ26" s="157">
        <f>TAN(RADIANS(AK18))*AI12*2/$AK$5</f>
        <v>0.26756366402961101</v>
      </c>
      <c r="AK26" s="157">
        <f>TAN(RADIANS(AK18))*AI12*2/$AK$6</f>
        <v>0.25868040825173549</v>
      </c>
      <c r="AZ26" s="2" t="s">
        <v>83</v>
      </c>
      <c r="BA26" s="34">
        <f t="shared" si="40"/>
        <v>1.3499999999999999</v>
      </c>
      <c r="BB26" s="34">
        <f t="shared" si="35"/>
        <v>1.125</v>
      </c>
      <c r="BC26" s="157">
        <f>$AI$25</f>
        <v>0.30127565677255386</v>
      </c>
      <c r="BD26" s="155">
        <f>TAN(RADIANS(BA26+$AK$17))*$AI$11*2/$AK$4</f>
        <v>0.87445582135131517</v>
      </c>
      <c r="BE26" s="155">
        <f>TAN(RADIANS(BA26*2+$AK$17))*$AI$11*2/$AK$4</f>
        <v>1.4486085377103002</v>
      </c>
      <c r="BF26" s="155">
        <f>TAN(RADIANS(BA26*3+$AK$17))*$AI$11*2/$AK$4</f>
        <v>2.0243759998383606</v>
      </c>
      <c r="BG26" s="34">
        <f t="shared" si="36"/>
        <v>1.6422918151337649</v>
      </c>
      <c r="BM26" s="2" t="s">
        <v>83</v>
      </c>
      <c r="BN26" s="2">
        <f t="shared" si="41"/>
        <v>0.78</v>
      </c>
      <c r="BO26" s="2">
        <f t="shared" si="37"/>
        <v>3.9</v>
      </c>
      <c r="BP26" s="151">
        <f t="shared" si="38"/>
        <v>1.3258961561682263</v>
      </c>
      <c r="BQ26" s="151">
        <f t="shared" si="42"/>
        <v>1.1237334180711478</v>
      </c>
      <c r="BR26" s="151">
        <f t="shared" si="43"/>
        <v>1.0864248716544431</v>
      </c>
      <c r="BS26" s="34">
        <f t="shared" si="44"/>
        <v>1.6573701952102828</v>
      </c>
      <c r="BT26" s="34">
        <f t="shared" si="45"/>
        <v>1.4046667725889348</v>
      </c>
      <c r="BU26" s="34">
        <f t="shared" si="46"/>
        <v>1.3580310895680539</v>
      </c>
      <c r="BV26" s="34">
        <f t="shared" si="47"/>
        <v>1.9888442342523396</v>
      </c>
      <c r="BW26" s="34">
        <f t="shared" si="48"/>
        <v>1.6856001271067218</v>
      </c>
      <c r="BX26" s="34">
        <f t="shared" si="39"/>
        <v>1.6296373074816646</v>
      </c>
      <c r="BZ26" s="263" t="s">
        <v>1046</v>
      </c>
      <c r="CA26" s="264"/>
      <c r="CB26" s="264"/>
      <c r="CC26" s="264"/>
      <c r="CD26" s="264"/>
      <c r="CE26" s="264"/>
      <c r="CF26" s="265"/>
      <c r="CG26" s="25"/>
      <c r="CH26" s="25"/>
      <c r="CI26" s="25"/>
      <c r="CJ26" s="25"/>
      <c r="CK26" s="25"/>
      <c r="CL26" s="25"/>
      <c r="CM26" s="25"/>
      <c r="CN26" s="25"/>
      <c r="CO26" s="25"/>
      <c r="CQ26" s="262" t="s">
        <v>1047</v>
      </c>
      <c r="CR26" s="262"/>
      <c r="CS26" s="262"/>
      <c r="CT26" s="262"/>
      <c r="CU26" s="262"/>
      <c r="CV26" s="262"/>
      <c r="CW26" s="262"/>
      <c r="CX26" s="262"/>
      <c r="CY26" s="262"/>
      <c r="CZ26" s="262"/>
      <c r="DA26" s="262"/>
    </row>
    <row r="27" spans="2:107" x14ac:dyDescent="0.3">
      <c r="B27" s="2" t="s">
        <v>538</v>
      </c>
      <c r="C27" s="33" t="s">
        <v>136</v>
      </c>
      <c r="D27" s="154">
        <v>6.86</v>
      </c>
      <c r="E27" s="154">
        <v>3.3</v>
      </c>
      <c r="F27" s="2">
        <f t="shared" si="14"/>
        <v>7.61</v>
      </c>
      <c r="G27" s="32">
        <v>2.5</v>
      </c>
      <c r="H27" s="32">
        <v>1.7</v>
      </c>
      <c r="I27" s="2">
        <f t="shared" si="15"/>
        <v>3.02</v>
      </c>
      <c r="J27" s="155">
        <f>VLOOKUP(C27,基础属性系数!$B$97:$E$100,4,FALSE)*SQRT(VLOOKUP(C27,基础属性系数!$B$97:$E$100,2,FALSE)/F27)</f>
        <v>2.2493415917039421</v>
      </c>
      <c r="K27" s="156">
        <v>0</v>
      </c>
      <c r="L27" s="156">
        <v>2.65</v>
      </c>
      <c r="M27" s="156">
        <v>2.1</v>
      </c>
      <c r="N27" s="156">
        <v>1.55</v>
      </c>
      <c r="O27" s="156">
        <v>1.5</v>
      </c>
      <c r="P27" s="156">
        <v>1.26</v>
      </c>
      <c r="Q27" s="156">
        <v>0.45</v>
      </c>
      <c r="R27" s="34">
        <f>基础属性系数!$E$61*2/F27</f>
        <v>0</v>
      </c>
      <c r="S27" s="34">
        <f>(H27/基础属性系数!$C$94-H27/基础属性系数!$C$94/I27*基础属性系数!$E$61*2)/F27</f>
        <v>0.13961892247043364</v>
      </c>
      <c r="T27" s="34">
        <f>(G27/基础属性系数!$C$94-G27/基础属性系数!$C$94/I27*基础属性系数!$E$61*2)/F27*2</f>
        <v>0.41064388961892245</v>
      </c>
      <c r="U27" s="34">
        <f>(H27/基础属性系数!$C$94-H27/基础属性系数!$C$94/I27*基础属性系数!$E$61*2)/F27</f>
        <v>0.13961892247043364</v>
      </c>
      <c r="V27" s="34">
        <f>(E27/基础属性系数!$C$94-I27*E27/基础属性系数!$C$94/F27)/F27</f>
        <v>0.16346972394370082</v>
      </c>
      <c r="W27" s="34">
        <f>(D27/基础属性系数!$C$94-I27*D27/基础属性系数!$C$94/F27)/F27*2</f>
        <v>0.67963776136593201</v>
      </c>
      <c r="X27" s="34">
        <f>(E27/基础属性系数!$C$94-I27*E27/基础属性系数!$C$94/F27)/F27</f>
        <v>0.16346972394370082</v>
      </c>
      <c r="Y27" s="34">
        <f t="shared" si="0"/>
        <v>0</v>
      </c>
      <c r="Z27" s="34">
        <f t="shared" si="1"/>
        <v>0.36999014454664914</v>
      </c>
      <c r="AA27" s="34">
        <f t="shared" si="16"/>
        <v>0.86235216819973715</v>
      </c>
      <c r="AB27" s="34">
        <f t="shared" si="2"/>
        <v>0.21640932982917216</v>
      </c>
      <c r="AC27" s="34">
        <f t="shared" si="3"/>
        <v>0.24520458591555122</v>
      </c>
      <c r="AD27" s="34">
        <f t="shared" si="4"/>
        <v>0.8563435793210743</v>
      </c>
      <c r="AE27" s="34">
        <f t="shared" si="5"/>
        <v>7.3561375774665372E-2</v>
      </c>
      <c r="AF27" s="34">
        <f t="shared" si="17"/>
        <v>2.6238611835868491</v>
      </c>
      <c r="AH27" s="2" t="s">
        <v>1048</v>
      </c>
      <c r="AI27" s="157">
        <f>TAN(RADIANS(AK18/1.8))*AI12*2/$AK$4</f>
        <v>0.17538365839894915</v>
      </c>
      <c r="AJ27" s="157">
        <f>TAN(RADIANS(AK18/1.8))*AI12*2/$AK$5</f>
        <v>0.14864246872548298</v>
      </c>
      <c r="AK27" s="157">
        <f>TAN(RADIANS(AK18/1.8))*AI12*2/$AK$6</f>
        <v>0.14370745980365421</v>
      </c>
      <c r="AZ27" s="2" t="s">
        <v>86</v>
      </c>
      <c r="BA27" s="34">
        <f t="shared" si="40"/>
        <v>1.7999999999999998</v>
      </c>
      <c r="BB27" s="34">
        <f t="shared" si="35"/>
        <v>1.5</v>
      </c>
      <c r="BC27" s="157">
        <f>$AJ$25</f>
        <v>0.25533939591849686</v>
      </c>
      <c r="BD27" s="155">
        <f>TAN(RADIANS(BA27+$AK$17))*$AI$11*2/$AK$5</f>
        <v>0.90321036833005419</v>
      </c>
      <c r="BE27" s="155">
        <f>TAN(RADIANS(BA27*2+$AK$17))*$AI$11*2/$AK$5</f>
        <v>1.5528688118457292</v>
      </c>
      <c r="BF27" s="155">
        <f>TAN(RADIANS(BA27*3+$AK$17))*$AI$11*2/$AK$5</f>
        <v>2.205611952897196</v>
      </c>
      <c r="BG27" s="34">
        <f t="shared" si="36"/>
        <v>2.0618488670473742</v>
      </c>
      <c r="BM27" s="2" t="s">
        <v>86</v>
      </c>
      <c r="BN27" s="2">
        <f t="shared" si="41"/>
        <v>0.71</v>
      </c>
      <c r="BO27" s="2">
        <f t="shared" si="37"/>
        <v>4.6150000000000002</v>
      </c>
      <c r="BP27" s="34">
        <f t="shared" si="38"/>
        <v>1.5699498732887514</v>
      </c>
      <c r="BQ27" s="34">
        <f t="shared" si="42"/>
        <v>1.3305756481032411</v>
      </c>
      <c r="BR27" s="34">
        <f t="shared" si="43"/>
        <v>1.2863998297731203</v>
      </c>
      <c r="BS27" s="151">
        <f t="shared" si="44"/>
        <v>1.9624373416109393</v>
      </c>
      <c r="BT27" s="151">
        <f t="shared" si="45"/>
        <v>1.6632195601290514</v>
      </c>
      <c r="BU27" s="151">
        <f t="shared" si="46"/>
        <v>1.6079997872164002</v>
      </c>
      <c r="BV27" s="34">
        <f t="shared" si="47"/>
        <v>2.3549248099331272</v>
      </c>
      <c r="BW27" s="34">
        <f t="shared" si="48"/>
        <v>1.9958634721548616</v>
      </c>
      <c r="BX27" s="34">
        <f t="shared" si="39"/>
        <v>1.9295997446596804</v>
      </c>
      <c r="BZ27" s="2" t="s">
        <v>72</v>
      </c>
      <c r="CA27" s="2" t="s">
        <v>970</v>
      </c>
      <c r="CB27" s="2" t="s">
        <v>984</v>
      </c>
      <c r="CC27" s="2" t="s">
        <v>1049</v>
      </c>
      <c r="CD27" s="2" t="s">
        <v>1050</v>
      </c>
      <c r="CE27" s="2" t="s">
        <v>1051</v>
      </c>
      <c r="CF27" s="2" t="s">
        <v>1052</v>
      </c>
      <c r="CG27" s="25"/>
      <c r="CH27" s="25"/>
      <c r="CI27" s="25"/>
      <c r="CJ27" s="25"/>
      <c r="CK27" s="25"/>
      <c r="CL27" s="25"/>
      <c r="CM27" s="25"/>
      <c r="CN27" s="25"/>
      <c r="CO27" s="25"/>
      <c r="CQ27" s="2" t="s">
        <v>72</v>
      </c>
      <c r="CR27" s="2" t="s">
        <v>972</v>
      </c>
      <c r="CS27" s="2" t="s">
        <v>1027</v>
      </c>
      <c r="CT27" s="2" t="s">
        <v>1028</v>
      </c>
      <c r="CU27" s="2" t="s">
        <v>1029</v>
      </c>
      <c r="CV27" s="2" t="s">
        <v>1030</v>
      </c>
      <c r="CW27" s="2" t="s">
        <v>1031</v>
      </c>
      <c r="CX27" s="2" t="s">
        <v>1032</v>
      </c>
      <c r="CY27" s="2" t="s">
        <v>1033</v>
      </c>
      <c r="CZ27" s="2" t="s">
        <v>1034</v>
      </c>
      <c r="DA27" s="2" t="s">
        <v>1035</v>
      </c>
    </row>
    <row r="28" spans="2:107" x14ac:dyDescent="0.3">
      <c r="B28" s="2" t="s">
        <v>658</v>
      </c>
      <c r="C28" s="33" t="s">
        <v>136</v>
      </c>
      <c r="D28" s="154">
        <v>6.1</v>
      </c>
      <c r="E28" s="154">
        <v>3.48</v>
      </c>
      <c r="F28" s="2">
        <f t="shared" si="14"/>
        <v>7.02</v>
      </c>
      <c r="G28" s="32">
        <v>2.5</v>
      </c>
      <c r="H28" s="32">
        <v>2</v>
      </c>
      <c r="I28" s="2">
        <f t="shared" si="15"/>
        <v>3.2</v>
      </c>
      <c r="J28" s="155">
        <f>VLOOKUP(C28,基础属性系数!$B$97:$E$100,4,FALSE)*SQRT(VLOOKUP(C28,基础属性系数!$B$97:$E$100,2,FALSE)/F28)</f>
        <v>2.3419584514759988</v>
      </c>
      <c r="K28" s="156">
        <v>0</v>
      </c>
      <c r="L28" s="156">
        <v>2.4</v>
      </c>
      <c r="M28" s="156">
        <v>1.95</v>
      </c>
      <c r="N28" s="156">
        <v>1.45</v>
      </c>
      <c r="O28" s="156">
        <v>1.4</v>
      </c>
      <c r="P28" s="156">
        <v>1.26</v>
      </c>
      <c r="Q28" s="156">
        <v>0.35</v>
      </c>
      <c r="R28" s="34">
        <f>基础属性系数!$E$61*2/F28</f>
        <v>0</v>
      </c>
      <c r="S28" s="34">
        <f>(H28/基础属性系数!$C$94-H28/基础属性系数!$C$94/I28*基础属性系数!$E$61*2)/F28</f>
        <v>0.17806267806267809</v>
      </c>
      <c r="T28" s="34">
        <f>(G28/基础属性系数!$C$94-G28/基础属性系数!$C$94/I28*基础属性系数!$E$61*2)/F28*2</f>
        <v>0.4451566951566952</v>
      </c>
      <c r="U28" s="34">
        <f>(H28/基础属性系数!$C$94-H28/基础属性系数!$C$94/I28*基础属性系数!$E$61*2)/F28</f>
        <v>0.17806267806267809</v>
      </c>
      <c r="V28" s="34">
        <f>(E28/基础属性系数!$C$94-I28*E28/基础属性系数!$C$94/F28)/F28</f>
        <v>0.16859643996396131</v>
      </c>
      <c r="W28" s="34">
        <f>(D28/基础属性系数!$C$94-I28*D28/基础属性系数!$C$94/F28)/F28*2</f>
        <v>0.59105648493112872</v>
      </c>
      <c r="X28" s="34">
        <f>(E28/基础属性系数!$C$94-I28*E28/基础属性系数!$C$94/F28)/F28</f>
        <v>0.16859643996396131</v>
      </c>
      <c r="Y28" s="34">
        <f t="shared" si="0"/>
        <v>0</v>
      </c>
      <c r="Z28" s="34">
        <f t="shared" si="1"/>
        <v>0.42735042735042739</v>
      </c>
      <c r="AA28" s="34">
        <f t="shared" si="16"/>
        <v>0.86805555555555558</v>
      </c>
      <c r="AB28" s="34">
        <f t="shared" si="2"/>
        <v>0.25819088319088324</v>
      </c>
      <c r="AC28" s="34">
        <f t="shared" si="3"/>
        <v>0.23603501594954582</v>
      </c>
      <c r="AD28" s="34">
        <f t="shared" si="4"/>
        <v>0.74473117101322217</v>
      </c>
      <c r="AE28" s="34">
        <f t="shared" si="5"/>
        <v>5.9008753987386454E-2</v>
      </c>
      <c r="AF28" s="34">
        <f t="shared" si="17"/>
        <v>2.5933718070470206</v>
      </c>
      <c r="AZ28" s="2" t="s">
        <v>85</v>
      </c>
      <c r="BA28" s="34">
        <f t="shared" si="40"/>
        <v>0.89999999999999991</v>
      </c>
      <c r="BB28" s="34">
        <f t="shared" si="35"/>
        <v>0.75</v>
      </c>
      <c r="BC28" s="157">
        <f>$AJ$25</f>
        <v>0.25533939591849686</v>
      </c>
      <c r="BD28" s="155">
        <f>TAN(RADIANS(BA28+$AK$17))*$AI$11*2/$AK$5</f>
        <v>0.57913185062350603</v>
      </c>
      <c r="BE28" s="155">
        <f>TAN(RADIANS(BA28*2+$AK$17))*$AI$11*2/$AK$5</f>
        <v>0.90321036833005419</v>
      </c>
      <c r="BF28" s="155">
        <f>TAN(RADIANS(BA28*3+$AK$17))*$AI$11*2/$AK$5</f>
        <v>1.2277355326473285</v>
      </c>
      <c r="BG28" s="34">
        <f t="shared" si="36"/>
        <v>2.0676590075560348</v>
      </c>
      <c r="BM28" s="2" t="s">
        <v>85</v>
      </c>
      <c r="BN28" s="2">
        <f t="shared" si="41"/>
        <v>0.71</v>
      </c>
      <c r="BO28" s="2">
        <f t="shared" si="37"/>
        <v>2.4849999999999999</v>
      </c>
      <c r="BP28" s="34">
        <f t="shared" si="38"/>
        <v>0.84405797310472674</v>
      </c>
      <c r="BQ28" s="34">
        <f t="shared" si="42"/>
        <v>0.71536232061211047</v>
      </c>
      <c r="BR28" s="34">
        <f t="shared" si="43"/>
        <v>0.69161191156124358</v>
      </c>
      <c r="BS28" s="151">
        <f t="shared" si="44"/>
        <v>1.0550724663809086</v>
      </c>
      <c r="BT28" s="151">
        <f t="shared" si="45"/>
        <v>0.89420290076513809</v>
      </c>
      <c r="BU28" s="151">
        <f t="shared" si="46"/>
        <v>0.86451488945155452</v>
      </c>
      <c r="BV28" s="34">
        <f t="shared" si="47"/>
        <v>1.2660869596570903</v>
      </c>
      <c r="BW28" s="34">
        <f t="shared" si="48"/>
        <v>1.0730434809181657</v>
      </c>
      <c r="BX28" s="34">
        <f t="shared" si="39"/>
        <v>1.0374178673418655</v>
      </c>
      <c r="BZ28" s="2" t="s">
        <v>132</v>
      </c>
      <c r="CA28" s="2">
        <f>AI10</f>
        <v>60</v>
      </c>
      <c r="CB28" s="2">
        <f>CA10</f>
        <v>10.5</v>
      </c>
      <c r="CC28" s="2">
        <f>$CB28*1.05</f>
        <v>11.025</v>
      </c>
      <c r="CD28" s="2">
        <f>$CB28*1.1</f>
        <v>11.55</v>
      </c>
      <c r="CE28" s="2">
        <f>$CB28*1.15</f>
        <v>12.074999999999999</v>
      </c>
      <c r="CF28" s="2">
        <f>$CB28*1.2</f>
        <v>12.6</v>
      </c>
      <c r="CG28" s="25"/>
      <c r="CH28" s="25"/>
      <c r="CI28" s="25"/>
      <c r="CJ28" s="25"/>
      <c r="CK28" s="25"/>
      <c r="CL28" s="25"/>
      <c r="CM28" s="25"/>
      <c r="CN28" s="25"/>
      <c r="CO28" s="25"/>
      <c r="CQ28" s="2" t="s">
        <v>132</v>
      </c>
      <c r="CR28" s="21">
        <f>CR22</f>
        <v>30</v>
      </c>
      <c r="CS28" s="34">
        <f t="shared" ref="CS28:CU30" si="49">(CS22-$CT4)/$CY4</f>
        <v>0.75</v>
      </c>
      <c r="CT28" s="34">
        <f t="shared" si="49"/>
        <v>0.743522266124366</v>
      </c>
      <c r="CU28" s="34">
        <f t="shared" si="49"/>
        <v>0.6730349090398452</v>
      </c>
      <c r="CV28" s="34">
        <f>(180*$CY4*$AK$4+180*$CY4*PI()*$CR28+($CW4-$CT4)^2*PI()*$CR28)/(2*$CY4*$CW4*PI()*$CR28-360*$CY4*$CC$4)</f>
        <v>4.1517357676037765</v>
      </c>
      <c r="CW28" s="34">
        <f>(180*$CY4*$AK$5+180*$CY4*PI()*$CR28+($CW4-$CT4)^2*PI()*$CR28)/(2*$CY4*$CW4*PI()*$CR28-360*$CY4*$CC$5)</f>
        <v>3.5884706004909721</v>
      </c>
      <c r="CX28" s="34">
        <f>(180*$CY4*$AK$6+180*$CY4*PI()*$CR28+($CW4-$CT4)^2*PI()*$CR28)/(2*$CY4*$CW4*PI()*$CR28-360*$CY4*$CC$6)</f>
        <v>3.246073695032528</v>
      </c>
      <c r="CY28" s="34">
        <f>(180*$CY4*$AK$4+360*$CY4*PI()*$CR28+($CW4-$CT4)^2*PI()*$CR28)/(2*$CY4*$CW4*PI()*$CR28-360*$CY4*$CC$4)</f>
        <v>7.4742191850312905</v>
      </c>
      <c r="CZ28" s="34">
        <f>(180*$CY4*$AK$5+360*$CY4*PI()*$CR28+($CW4-$CT4)^2*PI()*$CR28)/(2*$CY4*$CW4*PI()*$CR28-360*$CY4*$CC$5)</f>
        <v>6.433379859886645</v>
      </c>
      <c r="DA28" s="34">
        <f>(180*$CY4*$AK$6+360*$CY4*PI()*$CR28+($CW4-$CT4)^2*PI()*$CR28)/(2*$CY4*$CW4*PI()*$CR28-360*$CY4*$CC$6)</f>
        <v>5.8141330848879447</v>
      </c>
    </row>
    <row r="29" spans="2:107" x14ac:dyDescent="0.3">
      <c r="B29" s="2" t="s">
        <v>660</v>
      </c>
      <c r="C29" s="33" t="s">
        <v>136</v>
      </c>
      <c r="D29" s="154">
        <v>6.54</v>
      </c>
      <c r="E29" s="154">
        <v>3.23</v>
      </c>
      <c r="F29" s="2">
        <f t="shared" si="14"/>
        <v>7.29</v>
      </c>
      <c r="G29" s="32">
        <v>2.5</v>
      </c>
      <c r="H29" s="32">
        <v>1.9</v>
      </c>
      <c r="I29" s="2">
        <f t="shared" si="15"/>
        <v>3.14</v>
      </c>
      <c r="J29" s="155">
        <f>VLOOKUP(C29,基础属性系数!$B$97:$E$100,4,FALSE)*SQRT(VLOOKUP(C29,基础属性系数!$B$97:$E$100,2,FALSE)/F29)</f>
        <v>2.2981796669234984</v>
      </c>
      <c r="K29" s="156">
        <v>0</v>
      </c>
      <c r="L29" s="156">
        <v>2.5</v>
      </c>
      <c r="M29" s="156">
        <v>2</v>
      </c>
      <c r="N29" s="156">
        <v>1.5</v>
      </c>
      <c r="O29" s="156">
        <v>1.5</v>
      </c>
      <c r="P29" s="156">
        <v>1.26</v>
      </c>
      <c r="Q29" s="156">
        <v>0.4</v>
      </c>
      <c r="R29" s="34">
        <f>基础属性系数!$E$61*2/F29</f>
        <v>0</v>
      </c>
      <c r="S29" s="34">
        <f>(H29/基础属性系数!$C$94-H29/基础属性系数!$C$94/I29*基础属性系数!$E$61*2)/F29</f>
        <v>0.16289437585733879</v>
      </c>
      <c r="T29" s="34">
        <f>(G29/基础属性系数!$C$94-G29/基础属性系数!$C$94/I29*基础属性系数!$E$61*2)/F29*2</f>
        <v>0.42866941015089161</v>
      </c>
      <c r="U29" s="34">
        <f>(H29/基础属性系数!$C$94-H29/基础属性系数!$C$94/I29*基础属性系数!$E$61*2)/F29</f>
        <v>0.16289437585733879</v>
      </c>
      <c r="V29" s="34">
        <f>(E29/基础属性系数!$C$94-I29*E29/基础属性系数!$C$94/F29)/F29</f>
        <v>0.15764332258896094</v>
      </c>
      <c r="W29" s="34">
        <f>(D29/基础属性系数!$C$94-I29*D29/基础属性系数!$C$94/F29)/F29*2</f>
        <v>0.63838224751195316</v>
      </c>
      <c r="X29" s="34">
        <f>(E29/基础属性系数!$C$94-I29*E29/基础属性系数!$C$94/F29)/F29</f>
        <v>0.15764332258896094</v>
      </c>
      <c r="Y29" s="34">
        <f t="shared" si="0"/>
        <v>0</v>
      </c>
      <c r="Z29" s="34">
        <f t="shared" si="1"/>
        <v>0.40723593964334698</v>
      </c>
      <c r="AA29" s="34">
        <f t="shared" si="16"/>
        <v>0.85733882030178321</v>
      </c>
      <c r="AB29" s="34">
        <f t="shared" si="2"/>
        <v>0.24434156378600819</v>
      </c>
      <c r="AC29" s="34">
        <f t="shared" si="3"/>
        <v>0.23646498388344139</v>
      </c>
      <c r="AD29" s="34">
        <f t="shared" si="4"/>
        <v>0.80436163186506093</v>
      </c>
      <c r="AE29" s="34">
        <f t="shared" si="5"/>
        <v>6.3057329035584378E-2</v>
      </c>
      <c r="AF29" s="34">
        <f t="shared" si="17"/>
        <v>2.6128002685152252</v>
      </c>
      <c r="AZ29" s="2" t="s">
        <v>88</v>
      </c>
      <c r="BA29" s="34">
        <f t="shared" si="40"/>
        <v>2.25</v>
      </c>
      <c r="BB29" s="34">
        <f t="shared" si="35"/>
        <v>1.875</v>
      </c>
      <c r="BC29" s="157">
        <f>$AK$25</f>
        <v>0.24686199233554543</v>
      </c>
      <c r="BD29" s="155">
        <f>TAN(RADIANS(BA29+$AK$17))*$AI$11*2/$AK$6</f>
        <v>1.0300349722977755</v>
      </c>
      <c r="BE29" s="155">
        <f>TAN(RADIANS(BA29*2+$AK$17))*$AI$11*2/$AK$6</f>
        <v>1.8163966239201179</v>
      </c>
      <c r="BF29" s="155">
        <f>TAN(RADIANS(BA29*3+$AK$17))*$AI$11*2/$AK$6</f>
        <v>2.6084129633306445</v>
      </c>
      <c r="BG29" s="34">
        <f t="shared" si="36"/>
        <v>2.1526876252825193</v>
      </c>
      <c r="BM29" s="2" t="s">
        <v>88</v>
      </c>
      <c r="BN29" s="2">
        <f t="shared" si="41"/>
        <v>0.62</v>
      </c>
      <c r="BO29" s="2">
        <f t="shared" si="37"/>
        <v>4.96</v>
      </c>
      <c r="BP29" s="34">
        <f t="shared" si="38"/>
        <v>1.6878813158433759</v>
      </c>
      <c r="BQ29" s="34">
        <f t="shared" si="42"/>
        <v>1.4305257855430809</v>
      </c>
      <c r="BR29" s="34">
        <f t="shared" si="43"/>
        <v>1.3830315695555948</v>
      </c>
      <c r="BS29" s="34">
        <f t="shared" si="44"/>
        <v>2.1098516448042197</v>
      </c>
      <c r="BT29" s="34">
        <f t="shared" si="45"/>
        <v>1.7881572319288512</v>
      </c>
      <c r="BU29" s="34">
        <f t="shared" si="46"/>
        <v>1.7287894619444935</v>
      </c>
      <c r="BV29" s="151">
        <f t="shared" si="47"/>
        <v>2.531821973765064</v>
      </c>
      <c r="BW29" s="151">
        <f t="shared" si="48"/>
        <v>2.1457886783146214</v>
      </c>
      <c r="BX29" s="151">
        <f t="shared" si="39"/>
        <v>2.0745473543333923</v>
      </c>
      <c r="BZ29" s="2" t="s">
        <v>134</v>
      </c>
      <c r="CA29" s="2">
        <f>AI11</f>
        <v>75</v>
      </c>
      <c r="CB29" s="2">
        <f>CA11</f>
        <v>8</v>
      </c>
      <c r="CC29" s="2">
        <f>$CB29*1.05</f>
        <v>8.4</v>
      </c>
      <c r="CD29" s="2">
        <f>$CB29*1.1</f>
        <v>8.8000000000000007</v>
      </c>
      <c r="CE29" s="2">
        <f>$CB29*1.15</f>
        <v>9.1999999999999993</v>
      </c>
      <c r="CF29" s="2">
        <f>$CB29*1.2</f>
        <v>9.6</v>
      </c>
      <c r="CG29" s="25"/>
      <c r="CH29" s="25"/>
      <c r="CI29" s="25"/>
      <c r="CJ29" s="25"/>
      <c r="CK29" s="25"/>
      <c r="CL29" s="25"/>
      <c r="CM29" s="25"/>
      <c r="CN29" s="25"/>
      <c r="CO29" s="25"/>
      <c r="CQ29" s="2" t="s">
        <v>134</v>
      </c>
      <c r="CR29" s="21">
        <f>CR23</f>
        <v>35</v>
      </c>
      <c r="CS29" s="34">
        <f t="shared" si="49"/>
        <v>0.72996022419841067</v>
      </c>
      <c r="CT29" s="34">
        <f t="shared" si="49"/>
        <v>0.66380835769159574</v>
      </c>
      <c r="CU29" s="34">
        <f t="shared" si="49"/>
        <v>0.60327391080456538</v>
      </c>
      <c r="CV29" s="34">
        <f>(180*$CY5*$AK$4+180*$CY5*PI()*$CR29+($CW5-$CT5)^2*PI()*$CR29)/(2*$CY5*$CW5*PI()*$CR29-360*$CY5*$CC$4)</f>
        <v>3.9070418781483847</v>
      </c>
      <c r="CW29" s="34">
        <f>(180*$CY5*$AK$5+180*$CY5*PI()*$CR29+($CW5-$CT5)^2*PI()*$CR29)/(2*$CY5*$CW5*PI()*$CR29-360*$CY5*$CC$5)</f>
        <v>3.4627280867701451</v>
      </c>
      <c r="CX29" s="34">
        <f>(180*$CY5*$AK$6+180*$CY5*PI()*$CR29+($CW5-$CT5)^2*PI()*$CR29)/(2*$CY5*$CW5*PI()*$CR29-360*$CY5*$CC$6)</f>
        <v>3.1805901011093467</v>
      </c>
      <c r="CY29" s="34">
        <f>(180*$CY5*$AK$4+360*$CY5*PI()*$CR29+($CW5-$CT5)^2*PI()*$CR29)/(2*$CY5*$CW5*PI()*$CR29-360*$CY5*$CC$4)</f>
        <v>7.0837293649254285</v>
      </c>
      <c r="CZ29" s="34">
        <f>(180*$CY5*$AK$5+360*$CY5*PI()*$CR29+($CW5-$CT5)^2*PI()*$CR29)/(2*$CY5*$CW5*PI()*$CR29-360*$CY5*$CC$5)</f>
        <v>6.2552380040356459</v>
      </c>
      <c r="DA29" s="34">
        <f>(180*$CY5*$AK$6+360*$CY5*PI()*$CR29+($CW5-$CT5)^2*PI()*$CR29)/(2*$CY5*$CW5*PI()*$CR29-360*$CY5*$CC$6)</f>
        <v>5.7408759488812207</v>
      </c>
    </row>
    <row r="30" spans="2:107" x14ac:dyDescent="0.3">
      <c r="B30" s="2" t="s">
        <v>662</v>
      </c>
      <c r="C30" s="33" t="s">
        <v>136</v>
      </c>
      <c r="D30" s="154">
        <v>7.74</v>
      </c>
      <c r="E30" s="154">
        <v>4.0199999999999996</v>
      </c>
      <c r="F30" s="2">
        <f t="shared" si="14"/>
        <v>8.7200000000000006</v>
      </c>
      <c r="G30" s="32">
        <v>3.4</v>
      </c>
      <c r="H30" s="32">
        <v>2.2999999999999998</v>
      </c>
      <c r="I30" s="2">
        <f t="shared" si="15"/>
        <v>4.0999999999999996</v>
      </c>
      <c r="J30" s="155">
        <f>VLOOKUP(C30,基础属性系数!$B$97:$E$100,4,FALSE)*SQRT(VLOOKUP(C30,基础属性系数!$B$97:$E$100,2,FALSE)/F30)</f>
        <v>2.1013069629685615</v>
      </c>
      <c r="K30" s="156">
        <v>0</v>
      </c>
      <c r="L30" s="156">
        <v>2.4500000000000002</v>
      </c>
      <c r="M30" s="156">
        <v>2</v>
      </c>
      <c r="N30" s="156">
        <v>1.4</v>
      </c>
      <c r="O30" s="156">
        <v>1.4</v>
      </c>
      <c r="P30" s="156">
        <v>1.26</v>
      </c>
      <c r="Q30" s="156">
        <v>0.4</v>
      </c>
      <c r="R30" s="34">
        <f>基础属性系数!$E$61*2/F30</f>
        <v>0</v>
      </c>
      <c r="S30" s="34">
        <f>(H30/基础属性系数!$C$94-H30/基础属性系数!$C$94/I30*基础属性系数!$E$61*2)/F30</f>
        <v>0.16485091743119262</v>
      </c>
      <c r="T30" s="34">
        <f>(G30/基础属性系数!$C$94-G30/基础属性系数!$C$94/I30*基础属性系数!$E$61*2)/F30*2</f>
        <v>0.48738532110091737</v>
      </c>
      <c r="U30" s="34">
        <f>(H30/基础属性系数!$C$94-H30/基础属性系数!$C$94/I30*基础属性系数!$E$61*2)/F30</f>
        <v>0.16485091743119262</v>
      </c>
      <c r="V30" s="34">
        <f>(E30/基础属性系数!$C$94-I30*E30/基础属性系数!$C$94/F30)/F30</f>
        <v>0.15265642096624865</v>
      </c>
      <c r="W30" s="34">
        <f>(D30/基础属性系数!$C$94-I30*D30/基础属性系数!$C$94/F30)/F30*2</f>
        <v>0.58784114342227078</v>
      </c>
      <c r="X30" s="34">
        <f>(E30/基础属性系数!$C$94-I30*E30/基础属性系数!$C$94/F30)/F30</f>
        <v>0.15265642096624865</v>
      </c>
      <c r="Y30" s="34">
        <f t="shared" si="0"/>
        <v>0</v>
      </c>
      <c r="Z30" s="34">
        <f t="shared" si="1"/>
        <v>0.40388474770642196</v>
      </c>
      <c r="AA30" s="34">
        <f t="shared" si="16"/>
        <v>0.97477064220183474</v>
      </c>
      <c r="AB30" s="34">
        <f t="shared" si="2"/>
        <v>0.23079128440366967</v>
      </c>
      <c r="AC30" s="34">
        <f t="shared" si="3"/>
        <v>0.21371898935274811</v>
      </c>
      <c r="AD30" s="34">
        <f t="shared" si="4"/>
        <v>0.74067984071206117</v>
      </c>
      <c r="AE30" s="34">
        <f t="shared" si="5"/>
        <v>6.1062568386499462E-2</v>
      </c>
      <c r="AF30" s="34">
        <f t="shared" si="17"/>
        <v>2.624908072763235</v>
      </c>
      <c r="AZ30" s="2" t="s">
        <v>87</v>
      </c>
      <c r="BA30" s="34">
        <f t="shared" si="40"/>
        <v>1.3499999999999999</v>
      </c>
      <c r="BB30" s="34">
        <f t="shared" si="35"/>
        <v>1.125</v>
      </c>
      <c r="BC30" s="157">
        <f>$AK$25</f>
        <v>0.24686199233554543</v>
      </c>
      <c r="BD30" s="155">
        <f>TAN(RADIANS(BA30+$AK$17))*$AI$11*2/$AK$6</f>
        <v>0.71651957738879335</v>
      </c>
      <c r="BE30" s="155">
        <f>TAN(RADIANS(BA30*2+$AK$17))*$AI$11*2/$AK$6</f>
        <v>1.1869740607798873</v>
      </c>
      <c r="BF30" s="155">
        <f>TAN(RADIANS(BA30*3+$AK$17))*$AI$11*2/$AK$6</f>
        <v>1.6587516492699446</v>
      </c>
      <c r="BG30" s="34">
        <f t="shared" si="36"/>
        <v>2.1603734513247188</v>
      </c>
      <c r="BM30" s="2" t="s">
        <v>87</v>
      </c>
      <c r="BN30" s="2">
        <f t="shared" si="41"/>
        <v>0.62</v>
      </c>
      <c r="BO30" s="2">
        <f t="shared" si="37"/>
        <v>3.1</v>
      </c>
      <c r="BP30" s="34">
        <f t="shared" si="38"/>
        <v>1.05331729180607</v>
      </c>
      <c r="BQ30" s="34">
        <f t="shared" si="42"/>
        <v>0.8927153420938807</v>
      </c>
      <c r="BR30" s="34">
        <f t="shared" si="43"/>
        <v>0.86307671851838674</v>
      </c>
      <c r="BS30" s="34">
        <f t="shared" si="44"/>
        <v>1.3166466147575875</v>
      </c>
      <c r="BT30" s="34">
        <f t="shared" si="45"/>
        <v>1.115894177617351</v>
      </c>
      <c r="BU30" s="34">
        <f t="shared" si="46"/>
        <v>1.0788458981479834</v>
      </c>
      <c r="BV30" s="151">
        <f t="shared" si="47"/>
        <v>1.5799759377091049</v>
      </c>
      <c r="BW30" s="151">
        <f t="shared" si="48"/>
        <v>1.3390730131408211</v>
      </c>
      <c r="BX30" s="151">
        <f t="shared" si="39"/>
        <v>1.29461507777758</v>
      </c>
      <c r="BZ30" s="2" t="s">
        <v>136</v>
      </c>
      <c r="CA30" s="2">
        <f>AI12</f>
        <v>90</v>
      </c>
      <c r="CB30" s="2">
        <f>CA12</f>
        <v>7</v>
      </c>
      <c r="CC30" s="2">
        <f>$CB30*1.05</f>
        <v>7.3500000000000005</v>
      </c>
      <c r="CD30" s="2">
        <f>$CB30*1.1</f>
        <v>7.7000000000000011</v>
      </c>
      <c r="CE30" s="2">
        <f>$CB30*1.15</f>
        <v>8.0499999999999989</v>
      </c>
      <c r="CF30" s="2">
        <f>$CB30*1.2</f>
        <v>8.4</v>
      </c>
      <c r="CG30" s="25"/>
      <c r="CH30" s="25"/>
      <c r="CI30" s="25"/>
      <c r="CJ30" s="25"/>
      <c r="CK30" s="25"/>
      <c r="CL30" s="25"/>
      <c r="CM30" s="25"/>
      <c r="CN30" s="25"/>
      <c r="CO30" s="25"/>
      <c r="CQ30" s="2" t="s">
        <v>136</v>
      </c>
      <c r="CR30" s="21">
        <f>CR24</f>
        <v>40</v>
      </c>
      <c r="CS30" s="34">
        <f t="shared" si="49"/>
        <v>0.74386127512011568</v>
      </c>
      <c r="CT30" s="34">
        <f t="shared" si="49"/>
        <v>0.67567330029045392</v>
      </c>
      <c r="CU30" s="34">
        <f t="shared" si="49"/>
        <v>0.61366281439467796</v>
      </c>
      <c r="CV30" s="34">
        <f>(180*$CY6*$AK$4+180*$CY6*PI()*$CR30+($CW6-$CT6)^2*PI()*$CR30)/(2*$CY6*$CW6*PI()*$CR30-360*$CY6*$CC$4)</f>
        <v>4.4838900637973724</v>
      </c>
      <c r="CW30" s="34">
        <f>(180*$CY6*$AK$5+180*$CY6*PI()*$CR30+($CW6-$CT6)^2*PI()*$CR30)/(2*$CY6*$CW6*PI()*$CR30-360*$CY6*$CC$5)</f>
        <v>3.9562348920251056</v>
      </c>
      <c r="CX30" s="34">
        <f>(180*$CY6*$AK$6+180*$CY6*PI()*$CR30+($CW6-$CT6)^2*PI()*$CR30)/(2*$CY6*$CW6*PI()*$CR30-360*$CY6*$CC$6)</f>
        <v>3.6252473643145873</v>
      </c>
      <c r="CY30" s="34">
        <f>(180*$CY6*$AK$4+360*$CY6*PI()*$CR30+($CW6-$CT6)^2*PI()*$CR30)/(2*$CY6*$CW6*PI()*$CR30-360*$CY6*$CC$4)</f>
        <v>8.2238813180709336</v>
      </c>
      <c r="CZ30" s="34">
        <f>(180*$CY6*$AK$5+360*$CY6*PI()*$CR30+($CW6-$CT6)^2*PI()*$CR30)/(2*$CY6*$CW6*PI()*$CR30-360*$CY6*$CC$5)</f>
        <v>7.2319769836529932</v>
      </c>
      <c r="DA30" s="34">
        <f>(180*$CY6*$AK$6+360*$CY6*PI()*$CR30+($CW6-$CT6)^2*PI()*$CR30)/(2*$CY6*$CW6*PI()*$CR30-360*$CY6*$CC$6)</f>
        <v>6.6219971133668531</v>
      </c>
    </row>
    <row r="31" spans="2:107" x14ac:dyDescent="0.3">
      <c r="B31" s="2" t="s">
        <v>664</v>
      </c>
      <c r="C31" s="33" t="s">
        <v>136</v>
      </c>
      <c r="D31" s="154">
        <v>6.6</v>
      </c>
      <c r="E31" s="154">
        <v>3.35</v>
      </c>
      <c r="F31" s="2">
        <f t="shared" si="14"/>
        <v>7.4</v>
      </c>
      <c r="G31" s="32">
        <v>2.8</v>
      </c>
      <c r="H31" s="32">
        <v>2.1</v>
      </c>
      <c r="I31" s="2">
        <f t="shared" si="15"/>
        <v>3.5</v>
      </c>
      <c r="J31" s="155">
        <f>VLOOKUP(C31,基础属性系数!$B$97:$E$100,4,FALSE)*SQRT(VLOOKUP(C31,基础属性系数!$B$97:$E$100,2,FALSE)/F31)</f>
        <v>2.2810346486831246</v>
      </c>
      <c r="K31" s="156">
        <v>0</v>
      </c>
      <c r="L31" s="156">
        <v>2.4</v>
      </c>
      <c r="M31" s="156">
        <v>1.95</v>
      </c>
      <c r="N31" s="156">
        <v>1.45</v>
      </c>
      <c r="O31" s="156">
        <v>1.4</v>
      </c>
      <c r="P31" s="156">
        <v>1.17</v>
      </c>
      <c r="Q31" s="156">
        <v>0.4</v>
      </c>
      <c r="R31" s="34">
        <f>基础属性系数!$E$61*2/F31</f>
        <v>0</v>
      </c>
      <c r="S31" s="34">
        <f>(H31/基础属性系数!$C$94-H31/基础属性系数!$C$94/I31*基础属性系数!$E$61*2)/F31</f>
        <v>0.17736486486486486</v>
      </c>
      <c r="T31" s="34">
        <f>(G31/基础属性系数!$C$94-G31/基础属性系数!$C$94/I31*基础属性系数!$E$61*2)/F31*2</f>
        <v>0.47297297297297292</v>
      </c>
      <c r="U31" s="34">
        <f>(H31/基础属性系数!$C$94-H31/基础属性系数!$C$94/I31*基础属性系数!$E$61*2)/F31</f>
        <v>0.17736486486486486</v>
      </c>
      <c r="V31" s="34">
        <f>(E31/基础属性系数!$C$94-I31*E31/基础属性系数!$C$94/F31)/F31</f>
        <v>0.14911659970781596</v>
      </c>
      <c r="W31" s="34">
        <f>(D31/基础属性系数!$C$94-I31*D31/基础属性系数!$C$94/F31)/F31*2</f>
        <v>0.58756391526661778</v>
      </c>
      <c r="X31" s="34">
        <f>(E31/基础属性系数!$C$94-I31*E31/基础属性系数!$C$94/F31)/F31</f>
        <v>0.14911659970781596</v>
      </c>
      <c r="Y31" s="34">
        <f t="shared" si="0"/>
        <v>0</v>
      </c>
      <c r="Z31" s="34">
        <f t="shared" si="1"/>
        <v>0.42567567567567566</v>
      </c>
      <c r="AA31" s="34">
        <f t="shared" si="16"/>
        <v>0.92229729729729715</v>
      </c>
      <c r="AB31" s="34">
        <f t="shared" si="2"/>
        <v>0.25717905405405406</v>
      </c>
      <c r="AC31" s="34">
        <f t="shared" si="3"/>
        <v>0.20876323959094234</v>
      </c>
      <c r="AD31" s="34">
        <f t="shared" si="4"/>
        <v>0.68744978086194275</v>
      </c>
      <c r="AE31" s="34">
        <f t="shared" si="5"/>
        <v>5.9646639883126386E-2</v>
      </c>
      <c r="AF31" s="34">
        <f t="shared" si="17"/>
        <v>2.5610116873630382</v>
      </c>
    </row>
    <row r="32" spans="2:107" x14ac:dyDescent="0.3">
      <c r="B32" s="2" t="s">
        <v>666</v>
      </c>
      <c r="C32" s="33" t="s">
        <v>136</v>
      </c>
      <c r="D32" s="154">
        <v>6</v>
      </c>
      <c r="E32" s="154">
        <v>2.85</v>
      </c>
      <c r="F32" s="2">
        <f t="shared" si="14"/>
        <v>6.64</v>
      </c>
      <c r="G32" s="32">
        <v>3.6</v>
      </c>
      <c r="H32" s="32">
        <v>2.5</v>
      </c>
      <c r="I32" s="2">
        <f t="shared" si="15"/>
        <v>4.38</v>
      </c>
      <c r="J32" s="155">
        <f>VLOOKUP(C32,基础属性系数!$B$97:$E$100,4,FALSE)*SQRT(VLOOKUP(C32,基础属性系数!$B$97:$E$100,2,FALSE)/F32)</f>
        <v>2.408040031477876</v>
      </c>
      <c r="K32" s="156">
        <v>0</v>
      </c>
      <c r="L32" s="156">
        <v>2.5499999999999998</v>
      </c>
      <c r="M32" s="156">
        <v>2.0499999999999998</v>
      </c>
      <c r="N32" s="156">
        <v>1.5</v>
      </c>
      <c r="O32" s="156">
        <v>1.5</v>
      </c>
      <c r="P32" s="156">
        <v>1.35</v>
      </c>
      <c r="Q32" s="156">
        <v>0.4</v>
      </c>
      <c r="R32" s="34">
        <f>基础属性系数!$E$61*2/F32</f>
        <v>0</v>
      </c>
      <c r="S32" s="34">
        <f>(H32/基础属性系数!$C$94-H32/基础属性系数!$C$94/I32*基础属性系数!$E$61*2)/F32</f>
        <v>0.23531626506024098</v>
      </c>
      <c r="T32" s="34">
        <f>(G32/基础属性系数!$C$94-G32/基础属性系数!$C$94/I32*基础属性系数!$E$61*2)/F32*2</f>
        <v>0.67771084337349397</v>
      </c>
      <c r="U32" s="34">
        <f>(H32/基础属性系数!$C$94-H32/基础属性系数!$C$94/I32*基础属性系数!$E$61*2)/F32</f>
        <v>0.23531626506024098</v>
      </c>
      <c r="V32" s="34">
        <f>(E32/基础属性系数!$C$94-I32*E32/基础属性系数!$C$94/F32)/F32</f>
        <v>9.1305545979097097E-2</v>
      </c>
      <c r="W32" s="34">
        <f>(D32/基础属性系数!$C$94-I32*D32/基础属性系数!$C$94/F32)/F32*2</f>
        <v>0.38444440412251418</v>
      </c>
      <c r="X32" s="34">
        <f>(E32/基础属性系数!$C$94-I32*E32/基础属性系数!$C$94/F32)/F32</f>
        <v>9.1305545979097097E-2</v>
      </c>
      <c r="Y32" s="34">
        <f t="shared" si="0"/>
        <v>0</v>
      </c>
      <c r="Z32" s="34">
        <f t="shared" si="1"/>
        <v>0.60005647590361444</v>
      </c>
      <c r="AA32" s="34">
        <f t="shared" si="16"/>
        <v>1.3893072289156625</v>
      </c>
      <c r="AB32" s="34">
        <f t="shared" si="2"/>
        <v>0.35297439759036148</v>
      </c>
      <c r="AC32" s="34">
        <f t="shared" si="3"/>
        <v>0.13695831896864563</v>
      </c>
      <c r="AD32" s="34">
        <f t="shared" si="4"/>
        <v>0.51899994556539419</v>
      </c>
      <c r="AE32" s="34">
        <f t="shared" si="5"/>
        <v>3.6522218391638842E-2</v>
      </c>
      <c r="AF32" s="34">
        <f t="shared" si="17"/>
        <v>3.0348185853353167</v>
      </c>
      <c r="AZ32" s="262" t="s">
        <v>1053</v>
      </c>
      <c r="BA32" s="262"/>
      <c r="BB32" s="262"/>
      <c r="BC32" s="262"/>
      <c r="BD32" s="262"/>
      <c r="BE32" s="262"/>
      <c r="BF32" s="262"/>
      <c r="BG32" s="262"/>
      <c r="BZ32" s="262" t="s">
        <v>1054</v>
      </c>
      <c r="CA32" s="262"/>
      <c r="CB32" s="262"/>
      <c r="CC32" s="262"/>
      <c r="CD32" s="262"/>
      <c r="CE32" s="262"/>
      <c r="CF32" s="262"/>
      <c r="CG32" s="262"/>
      <c r="CH32" s="262"/>
      <c r="CI32" s="262"/>
      <c r="CJ32" s="262"/>
      <c r="CK32" s="262"/>
      <c r="CL32" s="262"/>
      <c r="CM32" s="262"/>
      <c r="CN32" s="262"/>
      <c r="CO32" s="262"/>
    </row>
    <row r="33" spans="2:93" x14ac:dyDescent="0.3">
      <c r="B33" s="2" t="s">
        <v>668</v>
      </c>
      <c r="C33" s="33" t="s">
        <v>136</v>
      </c>
      <c r="D33" s="154">
        <v>7.75</v>
      </c>
      <c r="E33" s="154">
        <v>3.46</v>
      </c>
      <c r="F33" s="2">
        <f t="shared" si="14"/>
        <v>8.49</v>
      </c>
      <c r="G33" s="32">
        <v>5</v>
      </c>
      <c r="H33" s="32">
        <v>2.8</v>
      </c>
      <c r="I33" s="2">
        <f t="shared" si="15"/>
        <v>5.73</v>
      </c>
      <c r="J33" s="155">
        <f>VLOOKUP(C33,基础属性系数!$B$97:$E$100,4,FALSE)*SQRT(VLOOKUP(C33,基础属性系数!$B$97:$E$100,2,FALSE)/F33)</f>
        <v>2.1295796935092164</v>
      </c>
      <c r="K33" s="156">
        <v>0</v>
      </c>
      <c r="L33" s="156">
        <v>2.4</v>
      </c>
      <c r="M33" s="156">
        <v>1.65</v>
      </c>
      <c r="N33" s="156">
        <v>1.25</v>
      </c>
      <c r="O33" s="156">
        <v>1.4</v>
      </c>
      <c r="P33" s="156">
        <v>1.17</v>
      </c>
      <c r="Q33" s="156">
        <v>0.4</v>
      </c>
      <c r="R33" s="34">
        <f>基础属性系数!$E$61*2/F33</f>
        <v>0</v>
      </c>
      <c r="S33" s="34">
        <f>(H33/基础属性系数!$C$94-H33/基础属性系数!$C$94/I33*基础属性系数!$E$61*2)/F33</f>
        <v>0.20612485276796227</v>
      </c>
      <c r="T33" s="34">
        <f>(G33/基础属性系数!$C$94-G33/基础属性系数!$C$94/I33*基础属性系数!$E$61*2)/F33*2</f>
        <v>0.73616018845700826</v>
      </c>
      <c r="U33" s="34">
        <f>(H33/基础属性系数!$C$94-H33/基础属性系数!$C$94/I33*基础属性系数!$E$61*2)/F33</f>
        <v>0.20612485276796227</v>
      </c>
      <c r="V33" s="34">
        <f>(E33/基础属性系数!$C$94-I33*E33/基础属性系数!$C$94/F33)/F33</f>
        <v>8.2803714201284365E-2</v>
      </c>
      <c r="W33" s="34">
        <f>(D33/基础属性系数!$C$94-I33*D33/基础属性系数!$C$94/F33)/F33*2</f>
        <v>0.37094149425430867</v>
      </c>
      <c r="X33" s="34">
        <f>(E33/基础属性系数!$C$94-I33*E33/基础属性系数!$C$94/F33)/F33</f>
        <v>8.2803714201284365E-2</v>
      </c>
      <c r="Y33" s="34">
        <f t="shared" si="0"/>
        <v>0</v>
      </c>
      <c r="Z33" s="34">
        <f t="shared" si="1"/>
        <v>0.49469964664310945</v>
      </c>
      <c r="AA33" s="34">
        <f t="shared" si="16"/>
        <v>1.2146643109540636</v>
      </c>
      <c r="AB33" s="34">
        <f t="shared" si="2"/>
        <v>0.25765606595995283</v>
      </c>
      <c r="AC33" s="34">
        <f t="shared" si="3"/>
        <v>0.1159251998817981</v>
      </c>
      <c r="AD33" s="34">
        <f t="shared" si="4"/>
        <v>0.43400154827754112</v>
      </c>
      <c r="AE33" s="34">
        <f t="shared" si="5"/>
        <v>3.3121485680513749E-2</v>
      </c>
      <c r="AF33" s="34">
        <f t="shared" si="17"/>
        <v>2.5500682573969784</v>
      </c>
      <c r="AZ33" s="2" t="s">
        <v>72</v>
      </c>
      <c r="BA33" s="2" t="s">
        <v>996</v>
      </c>
      <c r="BB33" s="2" t="s">
        <v>964</v>
      </c>
      <c r="BC33" s="2" t="s">
        <v>962</v>
      </c>
      <c r="BD33" s="2" t="s">
        <v>997</v>
      </c>
      <c r="BE33" s="2" t="s">
        <v>998</v>
      </c>
      <c r="BF33" s="2" t="s">
        <v>999</v>
      </c>
      <c r="BG33" s="2" t="s">
        <v>1000</v>
      </c>
      <c r="BZ33" s="2" t="s">
        <v>72</v>
      </c>
      <c r="CA33" s="2" t="s">
        <v>1055</v>
      </c>
      <c r="CB33" s="2" t="s">
        <v>1056</v>
      </c>
      <c r="CC33" s="2" t="s">
        <v>1057</v>
      </c>
      <c r="CD33" s="2" t="s">
        <v>1058</v>
      </c>
      <c r="CE33" s="2" t="s">
        <v>1059</v>
      </c>
      <c r="CF33" s="2" t="s">
        <v>1060</v>
      </c>
      <c r="CG33" s="2" t="s">
        <v>1061</v>
      </c>
      <c r="CH33" s="2" t="s">
        <v>1062</v>
      </c>
      <c r="CI33" s="2" t="s">
        <v>1063</v>
      </c>
      <c r="CJ33" s="2" t="s">
        <v>1064</v>
      </c>
      <c r="CK33" s="2" t="s">
        <v>1065</v>
      </c>
      <c r="CL33" s="2" t="s">
        <v>1066</v>
      </c>
      <c r="CM33" s="2" t="s">
        <v>1067</v>
      </c>
      <c r="CN33" s="2" t="s">
        <v>1068</v>
      </c>
      <c r="CO33" s="2" t="s">
        <v>1069</v>
      </c>
    </row>
    <row r="34" spans="2:93" x14ac:dyDescent="0.3">
      <c r="M34" s="131"/>
      <c r="AZ34" s="2" t="s">
        <v>79</v>
      </c>
      <c r="BA34" s="34">
        <f t="shared" ref="BA34:BA40" si="50">BE4</f>
        <v>0.3</v>
      </c>
      <c r="BB34" s="34">
        <f t="shared" ref="BB34:BB40" si="51">BA34/$AW$10</f>
        <v>0.25</v>
      </c>
      <c r="BC34" s="157">
        <f>$AI$26</f>
        <v>0.31569910439798515</v>
      </c>
      <c r="BD34" s="155">
        <f>TAN(RADIANS(BA34+$AK$18))*$AI$12*2/$AK$4</f>
        <v>0.46847871380914036</v>
      </c>
      <c r="BE34" s="155">
        <f>TAN(RADIANS(BA34*2+$AK$18))*$AI$12*2/$AK$4</f>
        <v>0.62128401753398443</v>
      </c>
      <c r="BF34" s="155">
        <f>TAN(RADIANS(BA34*3+$AK$18))*$AI$12*2/$AK$4</f>
        <v>0.77412340304016103</v>
      </c>
      <c r="BG34" s="34">
        <f>(1-BC34)/(BF34-BC34)*BA34*3</f>
        <v>1.3434514877723198</v>
      </c>
      <c r="BZ34" s="2" t="s">
        <v>132</v>
      </c>
      <c r="CA34" s="159">
        <f>(MIN(IF(($CB$28+SQRT($CB$28^2+4*PI()*$CA28/360*($CT4^2/360*PI()*$CA28+$CY4*$AK$4/2-$CB$28*$CT4)))/2/PI()/$CA28*360&gt;$CT4,($CB$28+SQRT($CB$28^2+4*PI()*$CA28/360*($CT4^2/360*PI()*$CA28+$CY4*$AK$4/2-$CB$28*$CT4)))/2/PI()/$CA28*360,$CW4),IF(($CB$28-SQRT($CB$28^2+4*PI()*$CA28/360*($CT4^2/360*PI()*$CA28+$CY4*$AK$4/2-$CB$28*$CT4)))/2/PI()/$CA28*360&gt;$CT4,($CB$28-SQRT($CB$28^2+4*PI()*$CA28/360*($CT4^2/360*PI()*$CA28+$CY4*$AK$4/2-$CB$28*$CT4)))/2/PI()/$CA28*360,$CW4))-CT4)/CY4</f>
        <v>0.24632473172659483</v>
      </c>
      <c r="CB34" s="159">
        <f>(MIN(IF(($CB$29+SQRT($CB$29^2+4*PI()*$CA28/360*($CT4^2/360*PI()*$CA28+$CY4*$AK$5/2-$CB$29*$CT4)))/2/PI()/$CA28*360&gt;$CT4,($CB$29+SQRT($CB$29^2+4*PI()*$CA28/360*($CT4^2/360*PI()*$CA28+$CY4*$AK$5/2-$CB$29*$CT4)))/2/PI()/$CA28*360,$CW4),IF(($CB$29-SQRT($CB$29^2+4*PI()*$CA28/360*($CT4^2/360*PI()*$CA28+$CY4*$AK$5/2-$CB$29*$CT4)))/2/PI()/$CA28*360&gt;$CT4,($CB$29-SQRT($CB$29^2+4*PI()*$CA28/360*($CT4^2/360*PI()*$CA28+$CY4*$AK$5/2-$CB$29*$CT4)))/2/PI()/$CA28*360,$CW4))-CT4)/CY4</f>
        <v>0.2436267806128109</v>
      </c>
      <c r="CC34" s="159">
        <f>(MIN(IF(($CB$30+SQRT($CB$30^2+4*PI()*$CA28/360*($CT4^2/360*PI()*$CA28+$CY4*$AK$6/2-$CB$30*$CT4)))/2/PI()/$CA28*360&gt;$CT4,($CB$30+SQRT($CB$30^2+4*PI()*$CA28/360*($CT4^2/360*PI()*$CA28+$CY4*$AK$6/2-$CB$30*$CT4)))/2/PI()/$CA28*360,$CW4),IF(($CB$30-SQRT($CB$30^2+4*PI()*$CA28/360*($CT4^2/360*PI()*$CA28+$CY4*$AK$6/2-$CB$30*$CT4)))/2/PI()/$CA28*360&gt;$CT4,($CB$30-SQRT($CB$30^2+4*PI()*$CA28/360*($CT4^2/360*PI()*$CA28+$CY4*$AK$6/2-$CB$30*$CT4)))/2/PI()/$CA28*360,$CW4))-CT4)/CY4</f>
        <v>0.23853543789153658</v>
      </c>
      <c r="CD34" s="34">
        <f>(MIN(IF(($CC$28+SQRT($CC$28^2+4*PI()*$CA28/360*($CT4^2/360*PI()*$CA28+$CY4*$AK$4/2-$CC$28*$CT4)))/2/PI()/$CA28*360&gt;$CT4,($CC$28+SQRT($CC$28^2+4*PI()*$CA28/360*($CT4^2/360*PI()*$CA28+$CY4*$AK$4/2-$CC$28*$CT4)))/2/PI()/$CA28*360,$CW4),IF(($CC$28-SQRT($CC$28^2+4*PI()*$CA28/360*($CT4^2/360*PI()*$CA28+$CY4*$AK$4/2-$CC$28*$CT4)))/2/PI()/$CA28*360&gt;$CT4,($CC$28-SQRT($CC$28^2+4*PI()*$CA28/360*($CT4^2/360*PI()*$CA28+$CY4*$AK$4/2-$CC$28*$CT4)))/2/PI()/$CA28*360,$CW4))-CT4)/CY4</f>
        <v>0.25285615822506757</v>
      </c>
      <c r="CE34" s="34">
        <f>(MIN(IF(($CC$29+SQRT($CC$29^2+4*PI()*$CA28/360*($CT4^2/360*PI()*$CA28+$CY4*$AK$5/2-$CC$29*$CT4)))/2/PI()/$CA28*360&gt;$CT4,($CC$29+SQRT($CC$29^2+4*PI()*$CA28/360*($CT4^2/360*PI()*$CA28+$CY4*$AK$5/2-$CC$29*$CT4)))/2/PI()/$CA28*360,$CW4),IF(($CC$29-SQRT($CC$29^2+4*PI()*$CA28/360*($CT4^2/360*PI()*$CA28+$CY4*$AK$5/2-$CC$29*$CT4)))/2/PI()/$CA28*360&gt;$CT4,($CC$29-SQRT($CC$29^2+4*PI()*$CA28/360*($CT4^2/360*PI()*$CA28+$CY4*$AK$5/2-$CC$29*$CT4)))/2/PI()/$CA28*360,$CW4))-CT4)/CY4</f>
        <v>0.24801798706560596</v>
      </c>
      <c r="CF34" s="34">
        <f>(MIN(IF(($CC$30+SQRT($CC$30^2+4*PI()*$CA28/360*($CT4^2/360*PI()*$CA28+$CY4*$AK$6/2-$CC$30*$CT4)))/2/PI()/$CA28*360&gt;$CT4,($CC$30+SQRT($CC$30^2+4*PI()*$CA28/360*($CT4^2/360*PI()*$CA28+$CY4*$AK$6/2-$CC$30*$CT4)))/2/PI()/$CA28*360,$CW4),IF(($CC$30-SQRT($CC$30^2+4*PI()*$CA28/360*($CT4^2/360*PI()*$CA28+$CY4*$AK$6/2-$CC$30*$CT4)))/2/PI()/$CA28*360&gt;$CT4,($CC$30-SQRT($CC$30^2+4*PI()*$CA28/360*($CT4^2/360*PI()*$CA28+$CY4*$AK$6/2-$CC$30*$CT4)))/2/PI()/$CA28*360,$CW4))-CT4)/CY4</f>
        <v>0.24218036704479817</v>
      </c>
      <c r="CG34" s="34">
        <f>(MIN(IF(($CD$28+SQRT($CD$28^2+4*PI()*$CA28/360*($CT4^2/360*PI()*$CA28+$CY4*$AK$4/2-$CD$28*$CT4)))/2/PI()/$CA28*360&gt;$CT4,($CD$28+SQRT($CD$28^2+4*PI()*$CA28/360*($CT4^2/360*PI()*$CA28+$CY4*$AK$4/2-$CD$28*$CT4)))/2/PI()/$CA28*360,$CW4),IF(($CD$28-SQRT($CD$28^2+4*PI()*$CA28/360*($CT4^2/360*PI()*$CA28+$CY4*$AK$4/2-$CD$28*$CT4)))/2/PI()/$CA28*360&gt;$CT4,($CD$28-SQRT($CD$28^2+4*PI()*$CA28/360*($CT4^2/360*PI()*$CA28+$CY4*$AK$4/2-$CD$28*$CT4)))/2/PI()/$CA28*360,$CW4))-CT4)/CY4</f>
        <v>0.25960009370449139</v>
      </c>
      <c r="CH34" s="34">
        <f>(MIN(IF(($CD$29+SQRT($CD$29^2+4*PI()*$CA28/360*($CT4^2/360*PI()*$CA28+$CY4*$AK$5/2-$CD$29*$CT4)))/2/PI()/$CA28*360&gt;$CT4,($CD$29+SQRT($CD$29^2+4*PI()*$CA28/360*($CT4^2/360*PI()*$CA28+$CY4*$AK$5/2-$CD$29*$CT4)))/2/PI()/$CA28*360,$CW4),IF(($CD$29-SQRT($CD$29^2+4*PI()*$CA28/360*($CT4^2/360*PI()*$CA28+$CY4*$AK$5/2-$CD$29*$CT4)))/2/PI()/$CA28*360&gt;$CT4,($CD$29-SQRT($CD$29^2+4*PI()*$CA28/360*($CT4^2/360*PI()*$CA28+$CY4*$AK$5/2-$CD$29*$CT4)))/2/PI()/$CA28*360,$CW4))-CT4)/CY4</f>
        <v>0.25251383436034247</v>
      </c>
      <c r="CI34" s="34">
        <f>(MIN(IF(($CD$30+SQRT($CD$30^2+4*PI()*$CA28/360*($CT4^2/360*PI()*$CA28+$CY4*$AK$6/2-$CD$30*$CT4)))/2/PI()/$CA28*360&gt;$CT4,($CD$30+SQRT($CD$30^2+4*PI()*$CA28/360*($CT4^2/360*PI()*$CA28+$CY4*$AK$6/2-$CD$30*$CT4)))/2/PI()/$CA28*360,$CW4),IF(($CD$30-SQRT($CD$30^2+4*PI()*$CA28/360*($CT4^2/360*PI()*$CA28+$CY4*$AK$6/2-$CD$30*$CT4)))/2/PI()/$CA28*360&gt;$CT4,($CD$30-SQRT($CD$30^2+4*PI()*$CA28/360*($CT4^2/360*PI()*$CA28+$CY4*$AK$6/2-$CD$30*$CT4)))/2/PI()/$CA28*360,$CW4))-CT4)/CY4</f>
        <v>0.2459009351201018</v>
      </c>
      <c r="CJ34" s="34">
        <f>(MIN(IF(($CE$28+SQRT($CE$28^2+4*PI()*$CA28/360*($CT4^2/360*PI()*$CA28+$CY4*$AK$4/2-$CE$28*$CT4)))/2/PI()/$CA28*360&gt;$CT4,($CE$28+SQRT($CE$28^2+4*PI()*$CA28/360*($CT4^2/360*PI()*$CA28+$CY4*$AK$4/2-$CE$28*$CT4)))/2/PI()/$CA28*360,$CW4),IF(($CE$28-SQRT($CE$28^2+4*PI()*$CA28/360*($CT4^2/360*PI()*$CA28+$CY4*$AK$4/2-$CE$28*$CT4)))/2/PI()/$CA28*360&gt;$CT4,($CE$28-SQRT($CE$28^2+4*PI()*$CA28/360*($CT4^2/360*PI()*$CA28+$CY4*$AK$4/2-$CE$28*$CT4)))/2/PI()/$CA28*360,$CW4))-CT4)/CY4</f>
        <v>0.26656004513063231</v>
      </c>
      <c r="CK34" s="34">
        <f>(MIN(IF(($CE$29+SQRT($CE$29^2+4*PI()*$CA28/360*($CT4^2/360*PI()*$CA28+$CY4*$AK$5/2-$CE$29*$CT4)))/2/PI()/$CA28*360&gt;$CT4,($CE$29+SQRT($CE$29^2+4*PI()*$CA28/360*($CT4^2/360*PI()*$CA28+$CY4*$AK$5/2-$CE$29*$CT4)))/2/PI()/$CA28*360,$CW4),IF(($CE$29-SQRT($CE$29^2+4*PI()*$CA28/360*($CT4^2/360*PI()*$CA28+$CY4*$AK$5/2-$CE$29*$CT4)))/2/PI()/$CA28*360&gt;$CT4,($CE$29-SQRT($CE$29^2+4*PI()*$CA28/360*($CT4^2/360*PI()*$CA28+$CY4*$AK$5/2-$CE$29*$CT4)))/2/PI()/$CA28*360,$CW4))-CT4)/CY4</f>
        <v>0.25711606494085548</v>
      </c>
      <c r="CL34" s="34">
        <f>(MIN(IF(($CE$30+SQRT($CE$30^2+4*PI()*$CA28/360*($CT4^2/360*PI()*$CA28+$CY4*$AK$6/2-$CE$30*$CT4)))/2/PI()/$CA28*360&gt;$CT4,($CE$30+SQRT($CE$30^2+4*PI()*$CA28/360*($CT4^2/360*PI()*$CA28+$CY4*$AK$6/2-$CE$30*$CT4)))/2/PI()/$CA28*360,$CW4),IF(($CE$30-SQRT($CE$30^2+4*PI()*$CA28/360*($CT4^2/360*PI()*$CA28+$CY4*$AK$6/2-$CE$30*$CT4)))/2/PI()/$CA28*360&gt;$CT4,($CE$30-SQRT($CE$30^2+4*PI()*$CA28/360*($CT4^2/360*PI()*$CA28+$CY4*$AK$6/2-$CE$30*$CT4)))/2/PI()/$CA28*360,$CW4))-CT4)/CY4</f>
        <v>0.24969834178603653</v>
      </c>
      <c r="CM34" s="34">
        <f>(MIN(IF(($CF$28+SQRT($CF$28^2+4*PI()*$CA28/360*($CT4^2/360*PI()*$CA28+$CY4*$AK$4/2-$CF$28*$CT4)))/2/PI()/$CA28*360&gt;$CT4,($CF$28+SQRT($CF$28^2+4*PI()*$CA28/360*($CT4^2/360*PI()*$CA28+$CY4*$AK$4/2-$CF$28*$CT4)))/2/PI()/$CA28*360,$CW4),IF(($CF$28-SQRT($CF$28^2+4*PI()*$CA28/360*($CT4^2/360*PI()*$CA28+$CY4*$AK$4/2-$CF$28*$CT4)))/2/PI()/$CA28*360&gt;$CT4,($CF$28-SQRT($CF$28^2+4*PI()*$CA28/360*($CT4^2/360*PI()*$CA28+$CY4*$AK$4/2-$CF$28*$CT4)))/2/PI()/$CA28*360,$CW4))-CT4)/CY4</f>
        <v>0.27373915406102983</v>
      </c>
      <c r="CN34" s="34">
        <f>(MIN(IF(($CF$29+SQRT($CF$29^2+4*PI()*$CA28/360*($CT4^2/360*PI()*$CA28+$CY4*$AK$5/2-$CF$29*$CT4)))/2/PI()/$CA28*360&gt;$CT4,($CF$29+SQRT($CF$29^2+4*PI()*$CA28/360*($CT4^2/360*PI()*$CA28+$CY4*$AK$5/2-$CF$29*$CT4)))/2/PI()/$CA28*360,$CW4),IF(($CF$29-SQRT($CF$29^2+4*PI()*$CA28/360*($CT4^2/360*PI()*$CA28+$CY4*$AK$5/2-$CF$29*$CT4)))/2/PI()/$CA28*360&gt;$CT4,($CF$29-SQRT($CF$29^2+4*PI()*$CA28/360*($CT4^2/360*PI()*$CA28+$CY4*$AK$5/2-$CF$29*$CT4)))/2/PI()/$CA28*360,$CW4))-CT4)/CY4</f>
        <v>0.26182636377176854</v>
      </c>
      <c r="CO34" s="34">
        <f>(MIN(IF(($CF$30+SQRT($CF$30^2+4*PI()*$CA28/360*($CT4^2/360*PI()*$CA28+$CY4*$AK$6/2-$CF$30*$CT4)))/2/PI()/$CA28*360&gt;$CT4,($CF$30+SQRT($CF$30^2+4*PI()*$CA28/360*($CT4^2/360*PI()*$CA28+$CY4*$AK$6/2-$CF$30*$CT4)))/2/PI()/$CA28*360,$CW4),IF(($CF$30-SQRT($CF$30^2+4*PI()*$CA28/360*($CT4^2/360*PI()*$CA28+$CY4*$AK$6/2-$CF$30*$CT4)))/2/PI()/$CA28*360&gt;$CT4,($CF$30-SQRT($CF$30^2+4*PI()*$CA28/360*($CT4^2/360*PI()*$CA28+$CY4*$AK$6/2-$CF$30*$CT4)))/2/PI()/$CA28*360,$CW4))-CT4)/CY4</f>
        <v>0.2535737634929715</v>
      </c>
    </row>
    <row r="35" spans="2:93" x14ac:dyDescent="0.3">
      <c r="AZ35" s="2" t="s">
        <v>81</v>
      </c>
      <c r="BA35" s="34">
        <f t="shared" si="50"/>
        <v>0.24</v>
      </c>
      <c r="BB35" s="34">
        <f t="shared" si="51"/>
        <v>0.2</v>
      </c>
      <c r="BC35" s="157">
        <f>$AI$26</f>
        <v>0.31569910439798515</v>
      </c>
      <c r="BD35" s="155">
        <f>TAN(RADIANS(BA35+$AK$18))*$AI$12*2/$AK$4</f>
        <v>0.43792100466988698</v>
      </c>
      <c r="BE35" s="155">
        <f>TAN(RADIANS(BA35*2+$AK$18))*$AI$12*2/$AK$4</f>
        <v>0.56015827607621238</v>
      </c>
      <c r="BF35" s="155">
        <f>TAN(RADIANS(BA35*3+$AK$18))*$AI$12*2/$AK$4</f>
        <v>0.68241521199299315</v>
      </c>
      <c r="BG35" s="34">
        <f t="shared" ref="BG35:BG40" si="52">(1-BC35)/(BF35-BC35)*BA35*3</f>
        <v>1.3435369612331631</v>
      </c>
      <c r="BZ35" s="2" t="s">
        <v>134</v>
      </c>
      <c r="CA35" s="159">
        <f>(MIN(IF(($CB$28+SQRT($CB$28^2+4*PI()*$CA29/360*($CT5^2/360*PI()*$CA29+$CY5*$AK$4/2-$CB$28*$CT5)))/2/PI()/$CA29*360&gt;$CT5,($CB$28+SQRT($CB$28^2+4*PI()*$CA29/360*($CT5^2/360*PI()*$CA29+$CY5*$AK$4/2-$CB$28*$CT5)))/2/PI()/$CA29*360,$CW5),IF(($CB$28-SQRT($CB$28^2+4*PI()*$CA29/360*($CT5^2/360*PI()*$CA29+$CY5*$AK$4/2-$CB$28*$CT5)))/2/PI()/$CA29*360&gt;$CT5,($CB$28-SQRT($CB$28^2+4*PI()*$CA29/360*($CT5^2/360*PI()*$CA29+$CY5*$AK$4/2-$CB$28*$CT5)))/2/PI()/$CA29*360,$CW5))-CT5)/CY5</f>
        <v>0.20397239935216901</v>
      </c>
      <c r="CB35" s="159">
        <f>(MIN(IF(($CB$29+SQRT($CB$29^2+4*PI()*$CA29/360*($CT5^2/360*PI()*$CA29+$CY5*$AK$5/2-$CB$29*$CT5)))/2/PI()/$CA29*360&gt;$CT5,($CB$29+SQRT($CB$29^2+4*PI()*$CA29/360*($CT5^2/360*PI()*$CA29+$CY5*$AK$5/2-$CB$29*$CT5)))/2/PI()/$CA29*360,$CW5),IF(($CB$29-SQRT($CB$29^2+4*PI()*$CA29/360*($CT5^2/360*PI()*$CA29+$CY5*$AK$5/2-$CB$29*$CT5)))/2/PI()/$CA29*360&gt;$CT5,($CB$29-SQRT($CB$29^2+4*PI()*$CA29/360*($CT5^2/360*PI()*$CA29+$CY5*$AK$5/2-$CB$29*$CT5)))/2/PI()/$CA29*360,$CW5))-CT5)/CY5</f>
        <v>0.20576693956594341</v>
      </c>
      <c r="CC35" s="159">
        <f>(MIN(IF(($CB$30+SQRT($CB$30^2+4*PI()*$CA29/360*($CT5^2/360*PI()*$CA29+$CY5*$AK$6/2-$CB$30*$CT5)))/2/PI()/$CA29*360&gt;$CT5,($CB$30+SQRT($CB$30^2+4*PI()*$CA29/360*($CT5^2/360*PI()*$CA29+$CY5*$AK$6/2-$CB$30*$CT5)))/2/PI()/$CA29*360,$CW5),IF(($CB$30-SQRT($CB$30^2+4*PI()*$CA29/360*($CT5^2/360*PI()*$CA29+$CY5*$AK$6/2-$CB$30*$CT5)))/2/PI()/$CA29*360&gt;$CT5,($CB$30-SQRT($CB$30^2+4*PI()*$CA29/360*($CT5^2/360*PI()*$CA29+$CY5*$AK$6/2-$CB$30*$CT5)))/2/PI()/$CA29*360,$CW5))-CT5)/CY5</f>
        <v>0.2026685092286212</v>
      </c>
      <c r="CD35" s="34">
        <f>(MIN(IF(($CC$28+SQRT($CC$28^2+4*PI()*$CA29/360*($CT5^2/360*PI()*$CA29+$CY5*$AK$4/2-$CC$28*$CT5)))/2/PI()/$CA29*360&gt;$CT5,($CC$28+SQRT($CC$28^2+4*PI()*$CA29/360*($CT5^2/360*PI()*$CA29+$CY5*$AK$4/2-$CC$28*$CT5)))/2/PI()/$CA29*360,$CW5),IF(($CC$28-SQRT($CC$28^2+4*PI()*$CA29/360*($CT5^2/360*PI()*$CA29+$CY5*$AK$4/2-$CC$28*$CT5)))/2/PI()/$CA29*360&gt;$CT5,($CC$28-SQRT($CC$28^2+4*PI()*$CA29/360*($CT5^2/360*PI()*$CA29+$CY5*$AK$4/2-$CC$28*$CT5)))/2/PI()/$CA29*360,$CW5))-CT5)/CY5</f>
        <v>0.2087961200417969</v>
      </c>
      <c r="CE35" s="34">
        <f>(MIN(IF(($CC$29+SQRT($CC$29^2+4*PI()*$CA29/360*($CT5^2/360*PI()*$CA29+$CY5*$AK$5/2-$CC$29*$CT5)))/2/PI()/$CA29*360&gt;$CT5,($CC$29+SQRT($CC$29^2+4*PI()*$CA29/360*($CT5^2/360*PI()*$CA29+$CY5*$AK$5/2-$CC$29*$CT5)))/2/PI()/$CA29*360,$CW5),IF(($CC$29-SQRT($CC$29^2+4*PI()*$CA29/360*($CT5^2/360*PI()*$CA29+$CY5*$AK$5/2-$CC$29*$CT5)))/2/PI()/$CA29*360&gt;$CT5,($CC$29-SQRT($CC$29^2+4*PI()*$CA29/360*($CT5^2/360*PI()*$CA29+$CY5*$AK$5/2-$CC$29*$CT5)))/2/PI()/$CA29*360,$CW5))-CT5)/CY5</f>
        <v>0.20907241233869384</v>
      </c>
      <c r="CF35" s="34">
        <f>(MIN(IF(($CC$30+SQRT($CC$30^2+4*PI()*$CA29/360*($CT5^2/360*PI()*$CA29+$CY5*$AK$6/2-$CC$30*$CT5)))/2/PI()/$CA29*360&gt;$CT5,($CC$30+SQRT($CC$30^2+4*PI()*$CA29/360*($CT5^2/360*PI()*$CA29+$CY5*$AK$6/2-$CC$30*$CT5)))/2/PI()/$CA29*360,$CW5),IF(($CC$30-SQRT($CC$30^2+4*PI()*$CA29/360*($CT5^2/360*PI()*$CA29+$CY5*$AK$6/2-$CC$30*$CT5)))/2/PI()/$CA29*360&gt;$CT5,($CC$30-SQRT($CC$30^2+4*PI()*$CA29/360*($CT5^2/360*PI()*$CA29+$CY5*$AK$6/2-$CC$30*$CT5)))/2/PI()/$CA29*360,$CW5))-CT5)/CY5</f>
        <v>0.2054280798329596</v>
      </c>
      <c r="CG35" s="34">
        <f>(MIN(IF(($CD$28+SQRT($CD$28^2+4*PI()*$CA29/360*($CT5^2/360*PI()*$CA29+$CY5*$AK$4/2-$CD$28*$CT5)))/2/PI()/$CA29*360&gt;$CT5,($CD$28+SQRT($CD$28^2+4*PI()*$CA29/360*($CT5^2/360*PI()*$CA29+$CY5*$AK$4/2-$CD$28*$CT5)))/2/PI()/$CA29*360,$CW5),IF(($CD$28-SQRT($CD$28^2+4*PI()*$CA29/360*($CT5^2/360*PI()*$CA29+$CY5*$AK$4/2-$CD$28*$CT5)))/2/PI()/$CA29*360&gt;$CT5,($CD$28-SQRT($CD$28^2+4*PI()*$CA29/360*($CT5^2/360*PI()*$CA29+$CY5*$AK$4/2-$CD$28*$CT5)))/2/PI()/$CA29*360,$CW5))-CT5)/CY5</f>
        <v>0.21377163828539725</v>
      </c>
      <c r="CH35" s="34">
        <f>(MIN(IF(($CD$29+SQRT($CD$29^2+4*PI()*$CA29/360*($CT5^2/360*PI()*$CA29+$CY5*$AK$5/2-$CD$29*$CT5)))/2/PI()/$CA29*360&gt;$CT5,($CD$29+SQRT($CD$29^2+4*PI()*$CA29/360*($CT5^2/360*PI()*$CA29+$CY5*$AK$5/2-$CD$29*$CT5)))/2/PI()/$CA29*360,$CW5),IF(($CD$29-SQRT($CD$29^2+4*PI()*$CA29/360*($CT5^2/360*PI()*$CA29+$CY5*$AK$5/2-$CD$29*$CT5)))/2/PI()/$CA29*360&gt;$CT5,($CD$29-SQRT($CD$29^2+4*PI()*$CA29/360*($CT5^2/360*PI()*$CA29+$CY5*$AK$5/2-$CD$29*$CT5)))/2/PI()/$CA29*360,$CW5))-CT5)/CY5</f>
        <v>0.21245224837153442</v>
      </c>
      <c r="CI35" s="34">
        <f>(MIN(IF(($CD$30+SQRT($CD$30^2+4*PI()*$CA29/360*($CT5^2/360*PI()*$CA29+$CY5*$AK$6/2-$CD$30*$CT5)))/2/PI()/$CA29*360&gt;$CT5,($CD$30+SQRT($CD$30^2+4*PI()*$CA29/360*($CT5^2/360*PI()*$CA29+$CY5*$AK$6/2-$CD$30*$CT5)))/2/PI()/$CA29*360,$CW5),IF(($CD$30-SQRT($CD$30^2+4*PI()*$CA29/360*($CT5^2/360*PI()*$CA29+$CY5*$AK$6/2-$CD$30*$CT5)))/2/PI()/$CA29*360&gt;$CT5,($CD$30-SQRT($CD$30^2+4*PI()*$CA29/360*($CT5^2/360*PI()*$CA29+$CY5*$AK$6/2-$CD$30*$CT5)))/2/PI()/$CA29*360,$CW5))-CT5)/CY5</f>
        <v>0.20824132998697789</v>
      </c>
      <c r="CJ35" s="34">
        <f>(MIN(IF(($CE$28+SQRT($CE$28^2+4*PI()*$CA29/360*($CT5^2/360*PI()*$CA29+$CY5*$AK$4/2-$CE$28*$CT5)))/2/PI()/$CA29*360&gt;$CT5,($CE$28+SQRT($CE$28^2+4*PI()*$CA29/360*($CT5^2/360*PI()*$CA29+$CY5*$AK$4/2-$CE$28*$CT5)))/2/PI()/$CA29*360,$CW5),IF(($CE$28-SQRT($CE$28^2+4*PI()*$CA29/360*($CT5^2/360*PI()*$CA29+$CY5*$AK$4/2-$CE$28*$CT5)))/2/PI()/$CA29*360&gt;$CT5,($CE$28-SQRT($CE$28^2+4*PI()*$CA29/360*($CT5^2/360*PI()*$CA29+$CY5*$AK$4/2-$CE$28*$CT5)))/2/PI()/$CA29*360,$CW5))-CT5)/CY5</f>
        <v>0.2189023143098765</v>
      </c>
      <c r="CK35" s="34">
        <f>(MIN(IF(($CE$29+SQRT($CE$29^2+4*PI()*$CA29/360*($CT5^2/360*PI()*$CA29+$CY5*$AK$5/2-$CE$29*$CT5)))/2/PI()/$CA29*360&gt;$CT5,($CE$29+SQRT($CE$29^2+4*PI()*$CA29/360*($CT5^2/360*PI()*$CA29+$CY5*$AK$5/2-$CE$29*$CT5)))/2/PI()/$CA29*360,$CW5),IF(($CE$29-SQRT($CE$29^2+4*PI()*$CA29/360*($CT5^2/360*PI()*$CA29+$CY5*$AK$5/2-$CE$29*$CT5)))/2/PI()/$CA29*360&gt;$CT5,($CE$29-SQRT($CE$29^2+4*PI()*$CA29/360*($CT5^2/360*PI()*$CA29+$CY5*$AK$5/2-$CE$29*$CT5)))/2/PI()/$CA29*360,$CW5))-CT5)/CY5</f>
        <v>0.21590783710357286</v>
      </c>
      <c r="CL35" s="34">
        <f>(MIN(IF(($CE$30+SQRT($CE$30^2+4*PI()*$CA29/360*($CT5^2/360*PI()*$CA29+$CY5*$AK$6/2-$CE$30*$CT5)))/2/PI()/$CA29*360&gt;$CT5,($CE$30+SQRT($CE$30^2+4*PI()*$CA29/360*($CT5^2/360*PI()*$CA29+$CY5*$AK$6/2-$CE$30*$CT5)))/2/PI()/$CA29*360,$CW5),IF(($CE$30-SQRT($CE$30^2+4*PI()*$CA29/360*($CT5^2/360*PI()*$CA29+$CY5*$AK$6/2-$CE$30*$CT5)))/2/PI()/$CA29*360&gt;$CT5,($CE$30-SQRT($CE$30^2+4*PI()*$CA29/360*($CT5^2/360*PI()*$CA29+$CY5*$AK$6/2-$CE$30*$CT5)))/2/PI()/$CA29*360,$CW5))-CT5)/CY5</f>
        <v>0.21110917596210932</v>
      </c>
      <c r="CM35" s="34">
        <f>(MIN(IF(($CF$28+SQRT($CF$28^2+4*PI()*$CA29/360*($CT5^2/360*PI()*$CA29+$CY5*$AK$4/2-$CF$28*$CT5)))/2/PI()/$CA29*360&gt;$CT5,($CF$28+SQRT($CF$28^2+4*PI()*$CA29/360*($CT5^2/360*PI()*$CA29+$CY5*$AK$4/2-$CF$28*$CT5)))/2/PI()/$CA29*360,$CW5),IF(($CF$28-SQRT($CF$28^2+4*PI()*$CA29/360*($CT5^2/360*PI()*$CA29+$CY5*$AK$4/2-$CF$28*$CT5)))/2/PI()/$CA29*360&gt;$CT5,($CF$28-SQRT($CF$28^2+4*PI()*$CA29/360*($CT5^2/360*PI()*$CA29+$CY5*$AK$4/2-$CF$28*$CT5)))/2/PI()/$CA29*360,$CW5))-CT5)/CY5</f>
        <v>0.22419136480308932</v>
      </c>
      <c r="CN35" s="34">
        <f>(MIN(IF(($CF$29+SQRT($CF$29^2+4*PI()*$CA29/360*($CT5^2/360*PI()*$CA29+$CY5*$AK$5/2-$CF$29*$CT5)))/2/PI()/$CA29*360&gt;$CT5,($CF$29+SQRT($CF$29^2+4*PI()*$CA29/360*($CT5^2/360*PI()*$CA29+$CY5*$AK$5/2-$CF$29*$CT5)))/2/PI()/$CA29*360,$CW5),IF(($CF$29-SQRT($CF$29^2+4*PI()*$CA29/360*($CT5^2/360*PI()*$CA29+$CY5*$AK$5/2-$CF$29*$CT5)))/2/PI()/$CA29*360&gt;$CT5,($CF$29-SQRT($CF$29^2+4*PI()*$CA29/360*($CT5^2/360*PI()*$CA29+$CY5*$AK$5/2-$CF$29*$CT5)))/2/PI()/$CA29*360,$CW5))-CT5)/CY5</f>
        <v>0.21944055116260722</v>
      </c>
      <c r="CO35" s="34">
        <f>(MIN(IF(($CF$30+SQRT($CF$30^2+4*PI()*$CA29/360*($CT5^2/360*PI()*$CA29+$CY5*$AK$6/2-$CF$30*$CT5)))/2/PI()/$CA29*360&gt;$CT5,($CF$30+SQRT($CF$30^2+4*PI()*$CA29/360*($CT5^2/360*PI()*$CA29+$CY5*$AK$6/2-$CF$30*$CT5)))/2/PI()/$CA29*360,$CW5),IF(($CF$30-SQRT($CF$30^2+4*PI()*$CA29/360*($CT5^2/360*PI()*$CA29+$CY5*$AK$6/2-$CF$30*$CT5)))/2/PI()/$CA29*360&gt;$CT5,($CF$30-SQRT($CF$30^2+4*PI()*$CA29/360*($CT5^2/360*PI()*$CA29+$CY5*$AK$6/2-$CF$30*$CT5)))/2/PI()/$CA29*360,$CW5))-CT5)/CY5</f>
        <v>0.21403252905858799</v>
      </c>
    </row>
    <row r="36" spans="2:93" x14ac:dyDescent="0.3">
      <c r="B36" s="1" t="s">
        <v>1070</v>
      </c>
      <c r="AZ36" s="2" t="s">
        <v>83</v>
      </c>
      <c r="BA36" s="34">
        <f t="shared" si="50"/>
        <v>0.89999999999999991</v>
      </c>
      <c r="BB36" s="34">
        <f t="shared" si="51"/>
        <v>0.75</v>
      </c>
      <c r="BC36" s="157">
        <f>$AI$26</f>
        <v>0.31569910439798515</v>
      </c>
      <c r="BD36" s="155">
        <f>TAN(RADIANS(BA36+$AK$18))*$AI$12*2/$AK$4</f>
        <v>0.77412340304016103</v>
      </c>
      <c r="BE36" s="155">
        <f>TAN(RADIANS(BA36*2+$AK$18))*$AI$12*2/$AK$4</f>
        <v>1.232930048211488</v>
      </c>
      <c r="BF36" s="155">
        <f>TAN(RADIANS(BA36*3+$AK$18))*$AI$12*2/$AK$4</f>
        <v>1.6923463072197371</v>
      </c>
      <c r="BG36" s="34">
        <f t="shared" si="52"/>
        <v>1.3421103201592517</v>
      </c>
      <c r="BZ36" s="2" t="s">
        <v>136</v>
      </c>
      <c r="CA36" s="159">
        <f>(MIN(IF(($CB$28+SQRT($CB$28^2+4*PI()*$CA30/360*($CT6^2/360*PI()*$CA30+$CY6*$AK$4/2-$CB$28*$CT6)))/2/PI()/$CA30*360&gt;$CT6,($CB$28+SQRT($CB$28^2+4*PI()*$CA30/360*($CT6^2/360*PI()*$CA30+$CY6*$AK$4/2-$CB$28*$CT6)))/2/PI()/$CA30*360,$CW6),IF(($CB$28-SQRT($CB$28^2+4*PI()*$CA30/360*($CT6^2/360*PI()*$CA30+$CY6*$AK$4/2-$CB$28*$CT6)))/2/PI()/$CA30*360&gt;$CT6,($CB$28-SQRT($CB$28^2+4*PI()*$CA30/360*($CT6^2/360*PI()*$CA30+$CY6*$AK$4/2-$CB$28*$CT6)))/2/PI()/$CA30*360,$CW6))-CT6)/CY6</f>
        <v>0.19630039259677501</v>
      </c>
      <c r="CB36" s="159">
        <f>(MIN(IF(($CB$29+SQRT($CB$29^2+4*PI()*$CA30/360*($CT6^2/360*PI()*$CA30+$CY6*$AK$5/2-$CB$29*$CT6)))/2/PI()/$CA30*360&gt;$CT6,($CB$29+SQRT($CB$29^2+4*PI()*$CA30/360*($CT6^2/360*PI()*$CA30+$CY6*$AK$5/2-$CB$29*$CT6)))/2/PI()/$CA30*360,$CW6),IF(($CB$29-SQRT($CB$29^2+4*PI()*$CA30/360*($CT6^2/360*PI()*$CA30+$CY6*$AK$5/2-$CB$29*$CT6)))/2/PI()/$CA30*360&gt;$CT6,($CB$29-SQRT($CB$29^2+4*PI()*$CA30/360*($CT6^2/360*PI()*$CA30+$CY6*$AK$5/2-$CB$29*$CT6)))/2/PI()/$CA30*360,$CW6))-CT6)/CY6</f>
        <v>0.19880030176798644</v>
      </c>
      <c r="CC36" s="159">
        <f>(MIN(IF(($CB$30+SQRT($CB$30^2+4*PI()*$CA30/360*($CT6^2/360*PI()*$CA30+$CY6*$AK$6/2-$CB$30*$CT6)))/2/PI()/$CA30*360&gt;$CT6,($CB$30+SQRT($CB$30^2+4*PI()*$CA30/360*($CT6^2/360*PI()*$CA30+$CY6*$AK$6/2-$CB$30*$CT6)))/2/PI()/$CA30*360,$CW6),IF(($CB$30-SQRT($CB$30^2+4*PI()*$CA30/360*($CT6^2/360*PI()*$CA30+$CY6*$AK$6/2-$CB$30*$CT6)))/2/PI()/$CA30*360&gt;$CT6,($CB$30-SQRT($CB$30^2+4*PI()*$CA30/360*($CT6^2/360*PI()*$CA30+$CY6*$AK$6/2-$CB$30*$CT6)))/2/PI()/$CA30*360,$CW6))-CT6)/CY6</f>
        <v>0.19603526783868969</v>
      </c>
      <c r="CD36" s="34">
        <f>(MIN(IF(($CC$28+SQRT($CC$28^2+4*PI()*$CA30/360*($CT6^2/360*PI()*$CA30+$CY6*$AK$4/2-$CC$28*$CT6)))/2/PI()/$CA30*360&gt;$CT6,($CC$28+SQRT($CC$28^2+4*PI()*$CA30/360*($CT6^2/360*PI()*$CA30+$CY6*$AK$4/2-$CC$28*$CT6)))/2/PI()/$CA30*360,$CW6),IF(($CC$28-SQRT($CC$28^2+4*PI()*$CA30/360*($CT6^2/360*PI()*$CA30+$CY6*$AK$4/2-$CC$28*$CT6)))/2/PI()/$CA30*360&gt;$CT6,($CC$28-SQRT($CC$28^2+4*PI()*$CA30/360*($CT6^2/360*PI()*$CA30+$CY6*$AK$4/2-$CC$28*$CT6)))/2/PI()/$CA30*360,$CW6))-CT6)/CY6</f>
        <v>0.20083001146973528</v>
      </c>
      <c r="CE36" s="34">
        <f>(MIN(IF(($CC$29+SQRT($CC$29^2+4*PI()*$CA30/360*($CT6^2/360*PI()*$CA30+$CY6*$AK$5/2-$CC$29*$CT6)))/2/PI()/$CA30*360&gt;$CT6,($CC$29+SQRT($CC$29^2+4*PI()*$CA30/360*($CT6^2/360*PI()*$CA30+$CY6*$AK$5/2-$CC$29*$CT6)))/2/PI()/$CA30*360,$CW6),IF(($CC$29-SQRT($CC$29^2+4*PI()*$CA30/360*($CT6^2/360*PI()*$CA30+$CY6*$AK$5/2-$CC$29*$CT6)))/2/PI()/$CA30*360&gt;$CT6,($CC$29-SQRT($CC$29^2+4*PI()*$CA30/360*($CT6^2/360*PI()*$CA30+$CY6*$AK$5/2-$CC$29*$CT6)))/2/PI()/$CA30*360,$CW6))-CT6)/CY6</f>
        <v>0.20191726904413876</v>
      </c>
      <c r="CF36" s="34">
        <f>(MIN(IF(($CC$30+SQRT($CC$30^2+4*PI()*$CA30/360*($CT6^2/360*PI()*$CA30+$CY6*$AK$6/2-$CC$30*$CT6)))/2/PI()/$CA30*360&gt;$CT6,($CC$30+SQRT($CC$30^2+4*PI()*$CA30/360*($CT6^2/360*PI()*$CA30+$CY6*$AK$6/2-$CC$30*$CT6)))/2/PI()/$CA30*360,$CW6),IF(($CC$30-SQRT($CC$30^2+4*PI()*$CA30/360*($CT6^2/360*PI()*$CA30+$CY6*$AK$6/2-$CC$30*$CT6)))/2/PI()/$CA30*360&gt;$CT6,($CC$30-SQRT($CC$30^2+4*PI()*$CA30/360*($CT6^2/360*PI()*$CA30+$CY6*$AK$6/2-$CC$30*$CT6)))/2/PI()/$CA30*360,$CW6))-CT6)/CY6</f>
        <v>0.19864067956039327</v>
      </c>
      <c r="CG36" s="34">
        <f>(MIN(IF(($CD$28+SQRT($CD$28^2+4*PI()*$CA30/360*($CT6^2/360*PI()*$CA30+$CY6*$AK$4/2-$CD$28*$CT6)))/2/PI()/$CA30*360&gt;$CT6,($CD$28+SQRT($CD$28^2+4*PI()*$CA30/360*($CT6^2/360*PI()*$CA30+$CY6*$AK$4/2-$CD$28*$CT6)))/2/PI()/$CA30*360,$CW6),IF(($CD$28-SQRT($CD$28^2+4*PI()*$CA30/360*($CT6^2/360*PI()*$CA30+$CY6*$AK$4/2-$CD$28*$CT6)))/2/PI()/$CA30*360&gt;$CT6,($CD$28-SQRT($CD$28^2+4*PI()*$CA30/360*($CT6^2/360*PI()*$CA30+$CY6*$AK$4/2-$CD$28*$CT6)))/2/PI()/$CA30*360,$CW6))-CT6)/CY6</f>
        <v>0.20550081706238982</v>
      </c>
      <c r="CH36" s="34">
        <f>(MIN(IF(($CD$29+SQRT($CD$29^2+4*PI()*$CA30/360*($CT6^2/360*PI()*$CA30+$CY6*$AK$5/2-$CD$29*$CT6)))/2/PI()/$CA30*360&gt;$CT6,($CD$29+SQRT($CD$29^2+4*PI()*$CA30/360*($CT6^2/360*PI()*$CA30+$CY6*$AK$5/2-$CD$29*$CT6)))/2/PI()/$CA30*360,$CW6),IF(($CD$29-SQRT($CD$29^2+4*PI()*$CA30/360*($CT6^2/360*PI()*$CA30+$CY6*$AK$5/2-$CD$29*$CT6)))/2/PI()/$CA30*360&gt;$CT6,($CD$29-SQRT($CD$29^2+4*PI()*$CA30/360*($CT6^2/360*PI()*$CA30+$CY6*$AK$5/2-$CD$29*$CT6)))/2/PI()/$CA30*360,$CW6))-CT6)/CY6</f>
        <v>0.20510342467139214</v>
      </c>
      <c r="CI36" s="34">
        <f>(MIN(IF(($CD$30+SQRT($CD$30^2+4*PI()*$CA30/360*($CT6^2/360*PI()*$CA30+$CY6*$AK$6/2-$CD$30*$CT6)))/2/PI()/$CA30*360&gt;$CT6,($CD$30+SQRT($CD$30^2+4*PI()*$CA30/360*($CT6^2/360*PI()*$CA30+$CY6*$AK$6/2-$CD$30*$CT6)))/2/PI()/$CA30*360,$CW6),IF(($CD$30-SQRT($CD$30^2+4*PI()*$CA30/360*($CT6^2/360*PI()*$CA30+$CY6*$AK$6/2-$CD$30*$CT6)))/2/PI()/$CA30*360&gt;$CT6,($CD$30-SQRT($CD$30^2+4*PI()*$CA30/360*($CT6^2/360*PI()*$CA30+$CY6*$AK$6/2-$CD$30*$CT6)))/2/PI()/$CA30*360,$CW6))-CT6)/CY6</f>
        <v>0.20129603814150709</v>
      </c>
      <c r="CJ36" s="34">
        <f>(MIN(IF(($CE$28+SQRT($CE$28^2+4*PI()*$CA30/360*($CT6^2/360*PI()*$CA30+$CY6*$AK$4/2-$CE$28*$CT6)))/2/PI()/$CA30*360&gt;$CT6,($CE$28+SQRT($CE$28^2+4*PI()*$CA30/360*($CT6^2/360*PI()*$CA30+$CY6*$AK$4/2-$CE$28*$CT6)))/2/PI()/$CA30*360,$CW6),IF(($CE$28-SQRT($CE$28^2+4*PI()*$CA30/360*($CT6^2/360*PI()*$CA30+$CY6*$AK$4/2-$CE$28*$CT6)))/2/PI()/$CA30*360&gt;$CT6,($CE$28-SQRT($CE$28^2+4*PI()*$CA30/360*($CT6^2/360*PI()*$CA30+$CY6*$AK$4/2-$CE$28*$CT6)))/2/PI()/$CA30*360,$CW6))-CT6)/CY6</f>
        <v>0.21031605899117076</v>
      </c>
      <c r="CK36" s="34">
        <f>(MIN(IF(($CE$29+SQRT($CE$29^2+4*PI()*$CA30/360*($CT6^2/360*PI()*$CA30+$CY6*$AK$5/2-$CE$29*$CT6)))/2/PI()/$CA30*360&gt;$CT6,($CE$29+SQRT($CE$29^2+4*PI()*$CA30/360*($CT6^2/360*PI()*$CA30+$CY6*$AK$5/2-$CE$29*$CT6)))/2/PI()/$CA30*360,$CW6),IF(($CE$29-SQRT($CE$29^2+4*PI()*$CA30/360*($CT6^2/360*PI()*$CA30+$CY6*$AK$5/2-$CE$29*$CT6)))/2/PI()/$CA30*360&gt;$CT6,($CE$29-SQRT($CE$29^2+4*PI()*$CA30/360*($CT6^2/360*PI()*$CA30+$CY6*$AK$5/2-$CE$29*$CT6)))/2/PI()/$CA30*360,$CW6))-CT6)/CY6</f>
        <v>0.20836008124036037</v>
      </c>
      <c r="CL36" s="34">
        <f>(MIN(IF(($CE$30+SQRT($CE$30^2+4*PI()*$CA30/360*($CT6^2/360*PI()*$CA30+$CY6*$AK$6/2-$CE$30*$CT6)))/2/PI()/$CA30*360&gt;$CT6,($CE$30+SQRT($CE$30^2+4*PI()*$CA30/360*($CT6^2/360*PI()*$CA30+$CY6*$AK$6/2-$CE$30*$CT6)))/2/PI()/$CA30*360,$CW6),IF(($CE$30-SQRT($CE$30^2+4*PI()*$CA30/360*($CT6^2/360*PI()*$CA30+$CY6*$AK$6/2-$CE$30*$CT6)))/2/PI()/$CA30*360&gt;$CT6,($CE$30-SQRT($CE$30^2+4*PI()*$CA30/360*($CT6^2/360*PI()*$CA30+$CY6*$AK$6/2-$CE$30*$CT6)))/2/PI()/$CA30*360,$CW6))-CT6)/CY6</f>
        <v>0.2040022038328885</v>
      </c>
      <c r="CM36" s="34">
        <f>(MIN(IF(($CF$28+SQRT($CF$28^2+4*PI()*$CA30/360*($CT6^2/360*PI()*$CA30+$CY6*$AK$4/2-$CF$28*$CT6)))/2/PI()/$CA30*360&gt;$CT6,($CF$28+SQRT($CF$28^2+4*PI()*$CA30/360*($CT6^2/360*PI()*$CA30+$CY6*$AK$4/2-$CF$28*$CT6)))/2/PI()/$CA30*360,$CW6),IF(($CF$28-SQRT($CF$28^2+4*PI()*$CA30/360*($CT6^2/360*PI()*$CA30+$CY6*$AK$4/2-$CF$28*$CT6)))/2/PI()/$CA30*360&gt;$CT6,($CF$28-SQRT($CF$28^2+4*PI()*$CA30/360*($CT6^2/360*PI()*$CA30+$CY6*$AK$4/2-$CF$28*$CT6)))/2/PI()/$CA30*360,$CW6))-CT6)/CY6</f>
        <v>0.21527887402941087</v>
      </c>
      <c r="CN36" s="34">
        <f>(MIN(IF(($CF$29+SQRT($CF$29^2+4*PI()*$CA30/360*($CT6^2/360*PI()*$CA30+$CY6*$AK$5/2-$CF$29*$CT6)))/2/PI()/$CA30*360&gt;$CT6,($CF$29+SQRT($CF$29^2+4*PI()*$CA30/360*($CT6^2/360*PI()*$CA30+$CY6*$AK$5/2-$CF$29*$CT6)))/2/PI()/$CA30*360,$CW6),IF(($CF$29-SQRT($CF$29^2+4*PI()*$CA30/360*($CT6^2/360*PI()*$CA30+$CY6*$AK$5/2-$CF$29*$CT6)))/2/PI()/$CA30*360&gt;$CT6,($CF$29-SQRT($CF$29^2+4*PI()*$CA30/360*($CT6^2/360*PI()*$CA30+$CY6*$AK$5/2-$CF$29*$CT6)))/2/PI()/$CA30*360,$CW6))-CT6)/CY6</f>
        <v>0.21168853956407832</v>
      </c>
      <c r="CO36" s="34">
        <f>(MIN(IF(($CF$30+SQRT($CF$30^2+4*PI()*$CA30/360*($CT6^2/360*PI()*$CA30+$CY6*$AK$6/2-$CF$30*$CT6)))/2/PI()/$CA30*360&gt;$CT6,($CF$30+SQRT($CF$30^2+4*PI()*$CA30/360*($CT6^2/360*PI()*$CA30+$CY6*$AK$6/2-$CF$30*$CT6)))/2/PI()/$CA30*360,$CW6),IF(($CF$30-SQRT($CF$30^2+4*PI()*$CA30/360*($CT6^2/360*PI()*$CA30+$CY6*$AK$6/2-$CF$30*$CT6)))/2/PI()/$CA30*360&gt;$CT6,($CF$30-SQRT($CF$30^2+4*PI()*$CA30/360*($CT6^2/360*PI()*$CA30+$CY6*$AK$6/2-$CF$30*$CT6)))/2/PI()/$CA30*360,$CW6))-CT6)/CY6</f>
        <v>0.20676003406012936</v>
      </c>
    </row>
    <row r="37" spans="2:93" x14ac:dyDescent="0.3">
      <c r="B37" s="2" t="s">
        <v>132</v>
      </c>
      <c r="C37" s="143">
        <f>MIN($Q$4:$Q$33)</f>
        <v>0.35</v>
      </c>
      <c r="D37" s="143">
        <f>MAX($L$4:$L$33)</f>
        <v>2.65</v>
      </c>
      <c r="E37" s="2">
        <f>标准坦克设计!C4</f>
        <v>1.05</v>
      </c>
      <c r="F37" s="2">
        <f>标准坦克设计!E4*E37</f>
        <v>0.73499999999999999</v>
      </c>
      <c r="G37" s="33">
        <f>标准坦克设计!E34</f>
        <v>1</v>
      </c>
      <c r="H37" s="2">
        <f>E37/$G$37*D37</f>
        <v>2.7825000000000002</v>
      </c>
      <c r="I37" s="2">
        <f>F37/$G$39*C37</f>
        <v>0.18375</v>
      </c>
      <c r="J37" s="2">
        <f>F37/$G$37*D37</f>
        <v>1.9477499999999999</v>
      </c>
      <c r="K37" s="2">
        <f t="shared" ref="K37:L39" si="53">ROUND(I37/5,2)*5</f>
        <v>0.2</v>
      </c>
      <c r="L37" s="2">
        <f t="shared" si="53"/>
        <v>1.9500000000000002</v>
      </c>
      <c r="AZ37" s="2" t="s">
        <v>86</v>
      </c>
      <c r="BA37" s="34">
        <f t="shared" si="50"/>
        <v>1.2</v>
      </c>
      <c r="BB37" s="34">
        <f t="shared" si="51"/>
        <v>1</v>
      </c>
      <c r="BC37" s="157">
        <f>$AJ$26</f>
        <v>0.26756366402961101</v>
      </c>
      <c r="BD37" s="155">
        <f>TAN(RADIANS(BA37+$AK$18))*$AI$12*2/$AK$5</f>
        <v>0.78566242949887044</v>
      </c>
      <c r="BE37" s="155">
        <f>TAN(RADIANS(BA37*2+$AK$18))*$AI$12*2/$AK$5</f>
        <v>1.304451353242462</v>
      </c>
      <c r="BF37" s="155">
        <f>TAN(RADIANS(BA37*3+$AK$18))*$AI$12*2/$AK$5</f>
        <v>1.8243881921320115</v>
      </c>
      <c r="BG37" s="34">
        <f t="shared" si="52"/>
        <v>1.6936852945831582</v>
      </c>
      <c r="CL37" s="130"/>
    </row>
    <row r="38" spans="2:93" x14ac:dyDescent="0.3">
      <c r="B38" s="2" t="s">
        <v>134</v>
      </c>
      <c r="C38" s="143">
        <f>MIN($Q$4:$Q$33)</f>
        <v>0.35</v>
      </c>
      <c r="D38" s="143">
        <f>MAX($L$4:$L$33)</f>
        <v>2.65</v>
      </c>
      <c r="E38" s="2">
        <f>标准坦克设计!C5</f>
        <v>1.1499999999999999</v>
      </c>
      <c r="F38" s="2">
        <f>标准坦克设计!E7*E38</f>
        <v>0.86249999999999993</v>
      </c>
      <c r="G38" s="33">
        <f>标准坦克设计!E35</f>
        <v>1.2</v>
      </c>
      <c r="H38" s="2">
        <f>E38/$G$37*D38</f>
        <v>3.0474999999999999</v>
      </c>
      <c r="I38" s="2">
        <f>F38/$G$39*C38</f>
        <v>0.21562500000000001</v>
      </c>
      <c r="J38" s="2">
        <f>F38/$G$37*D38</f>
        <v>2.2856249999999996</v>
      </c>
      <c r="K38" s="2">
        <f t="shared" si="53"/>
        <v>0.2</v>
      </c>
      <c r="L38" s="2">
        <f t="shared" si="53"/>
        <v>2.3000000000000003</v>
      </c>
      <c r="AZ38" s="2" t="s">
        <v>85</v>
      </c>
      <c r="BA38" s="34">
        <f t="shared" si="50"/>
        <v>0.6</v>
      </c>
      <c r="BB38" s="34">
        <f t="shared" si="51"/>
        <v>0.5</v>
      </c>
      <c r="BC38" s="157">
        <f>$AJ$26</f>
        <v>0.26756366402961101</v>
      </c>
      <c r="BD38" s="155">
        <f>TAN(RADIANS(BA38+$AK$18))*$AI$12*2/$AK$5</f>
        <v>0.52655527310229167</v>
      </c>
      <c r="BE38" s="155">
        <f>TAN(RADIANS(BA38*2+$AK$18))*$AI$12*2/$AK$5</f>
        <v>0.78566242949887044</v>
      </c>
      <c r="BF38" s="155">
        <f>TAN(RADIANS(BA38*3+$AK$18))*$AI$12*2/$AK$5</f>
        <v>1.0449420875638573</v>
      </c>
      <c r="BG38" s="34">
        <f t="shared" si="52"/>
        <v>1.6959377374443174</v>
      </c>
      <c r="BZ38" s="2"/>
      <c r="CA38" s="262" t="s">
        <v>1071</v>
      </c>
      <c r="CB38" s="262"/>
      <c r="CC38" s="262"/>
      <c r="CD38" s="262"/>
      <c r="CE38" s="262" t="s">
        <v>1072</v>
      </c>
      <c r="CF38" s="262"/>
      <c r="CG38" s="262"/>
      <c r="CH38" s="262"/>
      <c r="CI38" s="262" t="s">
        <v>1073</v>
      </c>
      <c r="CJ38" s="262"/>
      <c r="CK38" s="262"/>
      <c r="CL38" s="262"/>
    </row>
    <row r="39" spans="2:93" x14ac:dyDescent="0.3">
      <c r="B39" s="2" t="s">
        <v>136</v>
      </c>
      <c r="C39" s="143">
        <f>MIN($Q$4:$Q$33)</f>
        <v>0.35</v>
      </c>
      <c r="D39" s="143">
        <f>MAX($L$4:$L$33)</f>
        <v>2.65</v>
      </c>
      <c r="E39" s="2">
        <f>标准坦克设计!C6</f>
        <v>1.25</v>
      </c>
      <c r="F39" s="2">
        <f>标准坦克设计!E9*E39</f>
        <v>1</v>
      </c>
      <c r="G39" s="33">
        <f>标准坦克设计!E36</f>
        <v>1.4</v>
      </c>
      <c r="H39" s="2">
        <f>E39/$G$37*D39</f>
        <v>3.3125</v>
      </c>
      <c r="I39" s="2">
        <f>F39/$G$39*C39</f>
        <v>0.25</v>
      </c>
      <c r="J39" s="2">
        <f>F39/$G$37*D39</f>
        <v>2.65</v>
      </c>
      <c r="K39" s="2">
        <f t="shared" si="53"/>
        <v>0.25</v>
      </c>
      <c r="L39" s="2">
        <f t="shared" si="53"/>
        <v>2.6500000000000004</v>
      </c>
      <c r="AZ39" s="2" t="s">
        <v>88</v>
      </c>
      <c r="BA39" s="34">
        <f t="shared" si="50"/>
        <v>1.5</v>
      </c>
      <c r="BB39" s="34">
        <f t="shared" si="51"/>
        <v>1.25</v>
      </c>
      <c r="BC39" s="157">
        <f>$AK$26</f>
        <v>0.25868040825173549</v>
      </c>
      <c r="BD39" s="155">
        <f>TAN(RADIANS(BA39+$AK$18))*$AI$12*2/$AK$6</f>
        <v>0.8848894438966417</v>
      </c>
      <c r="BE39" s="155">
        <f>TAN(RADIANS(BA39*2+$AK$18))*$AI$12*2/$AK$6</f>
        <v>1.5123136854150359</v>
      </c>
      <c r="BF39" s="155">
        <f>TAN(RADIANS(BA39*3+$AK$18))*$AI$12*2/$AK$6</f>
        <v>2.1418202282757677</v>
      </c>
      <c r="BG39" s="34">
        <f t="shared" si="52"/>
        <v>1.7714766197364025</v>
      </c>
      <c r="BZ39" s="2" t="s">
        <v>72</v>
      </c>
      <c r="CA39" s="2" t="s">
        <v>1074</v>
      </c>
      <c r="CB39" s="2" t="s">
        <v>1075</v>
      </c>
      <c r="CC39" s="2" t="s">
        <v>1076</v>
      </c>
      <c r="CD39" s="2" t="s">
        <v>1077</v>
      </c>
      <c r="CE39" s="2" t="s">
        <v>1074</v>
      </c>
      <c r="CF39" s="2" t="s">
        <v>1075</v>
      </c>
      <c r="CG39" s="2" t="s">
        <v>1076</v>
      </c>
      <c r="CH39" s="2" t="s">
        <v>1077</v>
      </c>
      <c r="CI39" s="2" t="s">
        <v>1074</v>
      </c>
      <c r="CJ39" s="2" t="s">
        <v>1075</v>
      </c>
      <c r="CK39" s="2" t="s">
        <v>1076</v>
      </c>
      <c r="CL39" s="2" t="s">
        <v>1077</v>
      </c>
    </row>
    <row r="40" spans="2:93" x14ac:dyDescent="0.3">
      <c r="F40" s="125"/>
      <c r="G40" s="125"/>
      <c r="AZ40" s="2" t="s">
        <v>87</v>
      </c>
      <c r="BA40" s="34">
        <f t="shared" si="50"/>
        <v>0.89999999999999991</v>
      </c>
      <c r="BB40" s="34">
        <f t="shared" si="51"/>
        <v>0.75</v>
      </c>
      <c r="BC40" s="157">
        <f>$AK$26</f>
        <v>0.25868040825173549</v>
      </c>
      <c r="BD40" s="155">
        <f>TAN(RADIANS(BA40+$AK$18))*$AI$12*2/$AK$6</f>
        <v>0.63430828642201764</v>
      </c>
      <c r="BE40" s="155">
        <f>TAN(RADIANS(BA40*2+$AK$18))*$AI$12*2/$AK$6</f>
        <v>1.0102494551746188</v>
      </c>
      <c r="BF40" s="155">
        <f>TAN(RADIANS(BA40*3+$AK$18))*$AI$12*2/$AK$6</f>
        <v>1.3866901348666372</v>
      </c>
      <c r="BG40" s="34">
        <f t="shared" si="52"/>
        <v>1.7744198923948109</v>
      </c>
      <c r="BZ40" s="2" t="s">
        <v>132</v>
      </c>
      <c r="CA40" s="34">
        <f t="shared" ref="CA40:CD42" si="54">VLOOKUP($BZ$40,$BZ$33:$CO$36,MATCH(LEFT(CA$39,2)&amp;$BZ40&amp;(RIGHT(CA$39,1)*1+1),$BZ$33:$CO$33,0),FALSE)/VLOOKUP($BZ$40,$BZ$33:$CO$36,MATCH(LEFT(CA$39,2)&amp;$BZ40&amp;1,$BZ$33:$CO$33,0),FALSE)</f>
        <v>1.0265155124809888</v>
      </c>
      <c r="CB40" s="34">
        <f t="shared" si="54"/>
        <v>1.0538937437781577</v>
      </c>
      <c r="CC40" s="34">
        <f t="shared" si="54"/>
        <v>1.0821489310561694</v>
      </c>
      <c r="CD40" s="34">
        <f t="shared" si="54"/>
        <v>1.1112938280386044</v>
      </c>
      <c r="CE40" s="34">
        <f t="shared" ref="CE40:CH42" si="55">VLOOKUP($BZ$41,$BZ$33:$CO$36,MATCH(LEFT(CA$39,2)&amp;$BZ40&amp;(RIGHT(CA$39,1)*1+1),$BZ$33:$CO$33,0),FALSE)/VLOOKUP($BZ$41,$BZ$33:$CO$36,MATCH(LEFT(CA$39,2)&amp;$BZ40&amp;1,$BZ$33:$CO$33,0),FALSE)</f>
        <v>1.0236488892857483</v>
      </c>
      <c r="CF40" s="34">
        <f t="shared" si="55"/>
        <v>1.0480419849173286</v>
      </c>
      <c r="CG40" s="34">
        <f t="shared" si="55"/>
        <v>1.0731957608241407</v>
      </c>
      <c r="CH40" s="34">
        <f t="shared" si="55"/>
        <v>1.0991259872175705</v>
      </c>
      <c r="CI40" s="34">
        <f t="shared" ref="CI40:CL42" si="56">VLOOKUP($BZ$42,$BZ$33:$CO$36,MATCH(LEFT(CA$39,2)&amp;$BZ40&amp;(RIGHT(CA$39,1)*1+1),$BZ$33:$CO$33,0),FALSE)/VLOOKUP($BZ$42,$BZ$33:$CO$36,MATCH(LEFT(CA$39,2)&amp;$BZ40&amp;1,$BZ$33:$CO$33,0),FALSE)</f>
        <v>1.0230749353734847</v>
      </c>
      <c r="CJ40" s="34">
        <f t="shared" si="56"/>
        <v>1.0468691088382773</v>
      </c>
      <c r="CK40" s="34">
        <f t="shared" si="56"/>
        <v>1.0713990746986719</v>
      </c>
      <c r="CL40" s="34">
        <f t="shared" si="56"/>
        <v>1.0966808124098864</v>
      </c>
    </row>
    <row r="41" spans="2:93" x14ac:dyDescent="0.3">
      <c r="F41" s="125"/>
      <c r="G41" s="125"/>
      <c r="BZ41" s="2" t="s">
        <v>134</v>
      </c>
      <c r="CA41" s="34">
        <f t="shared" si="54"/>
        <v>1.0180243175308952</v>
      </c>
      <c r="CB41" s="34">
        <f t="shared" si="54"/>
        <v>1.0364781479489955</v>
      </c>
      <c r="CC41" s="34">
        <f t="shared" si="54"/>
        <v>1.0553686433573275</v>
      </c>
      <c r="CD41" s="34">
        <f t="shared" si="54"/>
        <v>1.0747027199275014</v>
      </c>
      <c r="CE41" s="34">
        <f t="shared" si="55"/>
        <v>1.0160641587017001</v>
      </c>
      <c r="CF41" s="34">
        <f t="shared" si="55"/>
        <v>1.0324897129718378</v>
      </c>
      <c r="CG41" s="34">
        <f t="shared" si="55"/>
        <v>1.0492834152999566</v>
      </c>
      <c r="CH41" s="34">
        <f t="shared" si="55"/>
        <v>1.0664519364748666</v>
      </c>
      <c r="CI41" s="34">
        <f t="shared" si="56"/>
        <v>1.0156788860400727</v>
      </c>
      <c r="CJ41" s="34">
        <f t="shared" si="56"/>
        <v>1.0317058014869709</v>
      </c>
      <c r="CK41" s="34">
        <f t="shared" si="56"/>
        <v>1.0480873488991524</v>
      </c>
      <c r="CL41" s="34">
        <f t="shared" si="56"/>
        <v>1.0648300715918095</v>
      </c>
    </row>
    <row r="42" spans="2:93" x14ac:dyDescent="0.3">
      <c r="F42" s="125"/>
      <c r="G42" s="125"/>
      <c r="BZ42" s="2" t="s">
        <v>136</v>
      </c>
      <c r="CA42" s="34">
        <f t="shared" si="54"/>
        <v>1.0152804513471032</v>
      </c>
      <c r="CB42" s="34">
        <f t="shared" si="54"/>
        <v>1.030877999905047</v>
      </c>
      <c r="CC42" s="34">
        <f t="shared" si="54"/>
        <v>1.0467976749835208</v>
      </c>
      <c r="CD42" s="34">
        <f t="shared" si="54"/>
        <v>1.0630444085556501</v>
      </c>
      <c r="CE42" s="34">
        <f t="shared" si="55"/>
        <v>1.0136161785313447</v>
      </c>
      <c r="CF42" s="34">
        <f t="shared" si="55"/>
        <v>1.0274972208537354</v>
      </c>
      <c r="CG42" s="34">
        <f t="shared" si="55"/>
        <v>1.0416476480022192</v>
      </c>
      <c r="CH42" s="34">
        <f t="shared" si="55"/>
        <v>1.0560719564831236</v>
      </c>
      <c r="CI42" s="34">
        <f t="shared" si="56"/>
        <v>1.0132905254775253</v>
      </c>
      <c r="CJ42" s="34">
        <f t="shared" si="56"/>
        <v>1.026835836024905</v>
      </c>
      <c r="CK42" s="34">
        <f t="shared" si="56"/>
        <v>1.0406403198875138</v>
      </c>
      <c r="CL42" s="34">
        <f t="shared" si="56"/>
        <v>1.0547083508987001</v>
      </c>
    </row>
    <row r="43" spans="2:93" x14ac:dyDescent="0.3">
      <c r="F43" s="125"/>
      <c r="G43" s="125"/>
    </row>
    <row r="44" spans="2:93" x14ac:dyDescent="0.3">
      <c r="F44" s="125"/>
      <c r="G44" s="125"/>
      <c r="BZ44" s="2"/>
      <c r="CA44" s="262" t="s">
        <v>1078</v>
      </c>
      <c r="CB44" s="262"/>
      <c r="CC44" s="262"/>
      <c r="CD44" s="262"/>
      <c r="CE44" s="262" t="s">
        <v>1079</v>
      </c>
      <c r="CF44" s="262"/>
      <c r="CG44" s="262"/>
      <c r="CH44" s="262"/>
      <c r="CI44" s="262" t="s">
        <v>1080</v>
      </c>
      <c r="CJ44" s="262"/>
      <c r="CK44" s="262"/>
      <c r="CL44" s="262"/>
      <c r="CM44" s="2"/>
    </row>
    <row r="45" spans="2:93" x14ac:dyDescent="0.3">
      <c r="F45" s="125"/>
      <c r="G45" s="125"/>
      <c r="BZ45" s="2" t="s">
        <v>72</v>
      </c>
      <c r="CA45" s="2" t="s">
        <v>1081</v>
      </c>
      <c r="CB45" s="2" t="s">
        <v>1081</v>
      </c>
      <c r="CC45" s="2" t="s">
        <v>1081</v>
      </c>
      <c r="CD45" s="2" t="s">
        <v>1081</v>
      </c>
      <c r="CE45" s="2" t="s">
        <v>1081</v>
      </c>
      <c r="CF45" s="2" t="s">
        <v>1081</v>
      </c>
      <c r="CG45" s="2" t="s">
        <v>1081</v>
      </c>
      <c r="CH45" s="2" t="s">
        <v>1081</v>
      </c>
      <c r="CI45" s="2" t="s">
        <v>1081</v>
      </c>
      <c r="CJ45" s="2" t="s">
        <v>1081</v>
      </c>
      <c r="CK45" s="2" t="s">
        <v>1081</v>
      </c>
      <c r="CL45" s="2" t="s">
        <v>1081</v>
      </c>
      <c r="CM45" s="2" t="s">
        <v>1082</v>
      </c>
    </row>
    <row r="46" spans="2:93" x14ac:dyDescent="0.3">
      <c r="F46" s="125"/>
      <c r="G46" s="125"/>
      <c r="BZ46" s="2" t="s">
        <v>132</v>
      </c>
      <c r="CA46" s="34">
        <f>(CA40-1)/0.05</f>
        <v>0.53031024961977646</v>
      </c>
      <c r="CB46" s="34">
        <f>(CB40-1)/0.1</f>
        <v>0.53893743778157699</v>
      </c>
      <c r="CC46" s="34">
        <f>(CC40-1)/0.15</f>
        <v>0.54765954037446263</v>
      </c>
      <c r="CD46" s="34">
        <f>(CD40-1)/0.2</f>
        <v>0.55646914019302218</v>
      </c>
      <c r="CE46" s="34">
        <f>(CE40-1)/0.05</f>
        <v>0.47297778571496529</v>
      </c>
      <c r="CF46" s="34">
        <f>(CF40-1)/0.1</f>
        <v>0.48041984917328584</v>
      </c>
      <c r="CG46" s="34">
        <f>(CG40-1)/0.15</f>
        <v>0.4879717388276047</v>
      </c>
      <c r="CH46" s="34">
        <f>(CH40-1)/0.2</f>
        <v>0.49562993608785244</v>
      </c>
      <c r="CI46" s="34">
        <f>(CI40-1)/0.05</f>
        <v>0.46149870746969412</v>
      </c>
      <c r="CJ46" s="34">
        <f>(CJ40-1)/0.1</f>
        <v>0.46869108838277329</v>
      </c>
      <c r="CK46" s="34">
        <f>(CK40-1)/0.15</f>
        <v>0.47599383132447937</v>
      </c>
      <c r="CL46" s="34">
        <f>(CL40-1)/0.2</f>
        <v>0.48340406204943176</v>
      </c>
      <c r="CM46" s="34">
        <f>AVERAGE(CA46:CL46)</f>
        <v>0.4999969472499104</v>
      </c>
    </row>
    <row r="47" spans="2:93" x14ac:dyDescent="0.3">
      <c r="F47" s="125"/>
      <c r="G47" s="125"/>
      <c r="BZ47" s="2" t="s">
        <v>134</v>
      </c>
      <c r="CA47" s="34">
        <f>(CA41-1)/0.05</f>
        <v>0.36048635061790346</v>
      </c>
      <c r="CB47" s="34">
        <f>(CB41-1)/0.1</f>
        <v>0.3647814794899551</v>
      </c>
      <c r="CC47" s="34">
        <f>(CC41-1)/0.15</f>
        <v>0.36912428904884997</v>
      </c>
      <c r="CD47" s="34">
        <f>(CD41-1)/0.2</f>
        <v>0.37351359963750719</v>
      </c>
      <c r="CE47" s="34">
        <f>(CE41-1)/0.05</f>
        <v>0.32128317403400164</v>
      </c>
      <c r="CF47" s="34">
        <f>(CF41-1)/0.1</f>
        <v>0.32489712971837781</v>
      </c>
      <c r="CG47" s="34">
        <f>(CG41-1)/0.15</f>
        <v>0.32855610199971075</v>
      </c>
      <c r="CH47" s="34">
        <f>(CH41-1)/0.2</f>
        <v>0.3322596823743329</v>
      </c>
      <c r="CI47" s="34">
        <f>(CI41-1)/0.05</f>
        <v>0.31357772080145452</v>
      </c>
      <c r="CJ47" s="34">
        <f>(CJ41-1)/0.1</f>
        <v>0.31705801486970886</v>
      </c>
      <c r="CK47" s="34">
        <f>(CK41-1)/0.15</f>
        <v>0.32058232599434966</v>
      </c>
      <c r="CL47" s="34">
        <f>(CL41-1)/0.2</f>
        <v>0.32415035795904767</v>
      </c>
      <c r="CM47" s="34">
        <f>AVERAGE(CA47:CL47)</f>
        <v>0.33752251887876666</v>
      </c>
    </row>
    <row r="48" spans="2:93" x14ac:dyDescent="0.3">
      <c r="F48" s="125"/>
      <c r="G48" s="125"/>
      <c r="BZ48" s="2" t="s">
        <v>136</v>
      </c>
      <c r="CA48" s="34">
        <f>(CA42-1)/0.05</f>
        <v>0.30560902694206415</v>
      </c>
      <c r="CB48" s="34">
        <f>(CB42-1)/0.1</f>
        <v>0.30877999905047027</v>
      </c>
      <c r="CC48" s="34">
        <f>(CC42-1)/0.15</f>
        <v>0.31198449989013888</v>
      </c>
      <c r="CD48" s="34">
        <f>(CD42-1)/0.2</f>
        <v>0.31522204277825039</v>
      </c>
      <c r="CE48" s="34">
        <f>(CE42-1)/0.05</f>
        <v>0.27232357062689339</v>
      </c>
      <c r="CF48" s="34">
        <f>(CF42-1)/0.1</f>
        <v>0.27497220853735405</v>
      </c>
      <c r="CG48" s="34">
        <f>(CG42-1)/0.15</f>
        <v>0.27765098668146138</v>
      </c>
      <c r="CH48" s="34">
        <f>(CH42-1)/0.2</f>
        <v>0.28035978241561788</v>
      </c>
      <c r="CI48" s="34">
        <f>(CI42-1)/0.05</f>
        <v>0.26581050955050589</v>
      </c>
      <c r="CJ48" s="34">
        <f>(CJ42-1)/0.1</f>
        <v>0.26835836024905024</v>
      </c>
      <c r="CK48" s="34">
        <f>(CK42-1)/0.15</f>
        <v>0.27093546591675882</v>
      </c>
      <c r="CL48" s="34">
        <f>(CL42-1)/0.2</f>
        <v>0.27354175449350038</v>
      </c>
      <c r="CM48" s="34">
        <f>AVERAGE(CA48:CL48)</f>
        <v>0.28546235059433878</v>
      </c>
    </row>
    <row r="49" spans="6:90" x14ac:dyDescent="0.3">
      <c r="F49" s="125"/>
      <c r="G49" s="125"/>
    </row>
    <row r="50" spans="6:90" x14ac:dyDescent="0.3">
      <c r="F50" s="125"/>
      <c r="G50" s="125"/>
      <c r="CA50" s="130"/>
      <c r="CB50" s="130"/>
      <c r="CC50" s="130"/>
      <c r="CD50" s="130"/>
      <c r="CE50" s="130"/>
      <c r="CF50" s="130"/>
      <c r="CG50" s="130"/>
      <c r="CH50" s="130"/>
      <c r="CI50" s="130"/>
      <c r="CJ50" s="130"/>
      <c r="CK50" s="130"/>
      <c r="CL50" s="130"/>
    </row>
    <row r="51" spans="6:90" x14ac:dyDescent="0.3">
      <c r="F51" s="125"/>
      <c r="G51" s="125"/>
      <c r="CA51" s="130"/>
      <c r="CB51" s="130"/>
      <c r="CC51" s="130"/>
      <c r="CD51" s="130"/>
      <c r="CE51" s="130"/>
      <c r="CF51" s="130"/>
      <c r="CG51" s="130"/>
      <c r="CH51" s="130"/>
      <c r="CI51" s="130"/>
      <c r="CJ51" s="130"/>
      <c r="CK51" s="130"/>
      <c r="CL51" s="130"/>
    </row>
    <row r="52" spans="6:90" x14ac:dyDescent="0.3">
      <c r="F52" s="125"/>
      <c r="G52" s="125"/>
      <c r="CA52" s="130"/>
      <c r="CB52" s="130"/>
      <c r="CC52" s="130"/>
      <c r="CD52" s="130"/>
      <c r="CE52" s="130"/>
      <c r="CF52" s="130"/>
      <c r="CG52" s="130"/>
      <c r="CH52" s="130"/>
      <c r="CI52" s="130"/>
      <c r="CJ52" s="130"/>
      <c r="CK52" s="130"/>
      <c r="CL52" s="130"/>
    </row>
    <row r="53" spans="6:90" x14ac:dyDescent="0.3">
      <c r="F53" s="125"/>
      <c r="G53" s="125"/>
    </row>
    <row r="54" spans="6:90" x14ac:dyDescent="0.3">
      <c r="F54" s="125"/>
      <c r="G54" s="125"/>
    </row>
    <row r="55" spans="6:90" x14ac:dyDescent="0.3">
      <c r="F55" s="125"/>
      <c r="G55" s="125"/>
    </row>
    <row r="56" spans="6:90" x14ac:dyDescent="0.3">
      <c r="F56" s="125"/>
      <c r="G56" s="125"/>
    </row>
    <row r="57" spans="6:90" x14ac:dyDescent="0.3">
      <c r="F57" s="125"/>
      <c r="G57" s="125"/>
    </row>
    <row r="58" spans="6:90" x14ac:dyDescent="0.3">
      <c r="F58" s="125"/>
      <c r="G58" s="125"/>
    </row>
    <row r="59" spans="6:90" x14ac:dyDescent="0.3">
      <c r="F59" s="125"/>
      <c r="G59" s="125"/>
    </row>
    <row r="60" spans="6:90" x14ac:dyDescent="0.3">
      <c r="F60" s="125"/>
      <c r="G60" s="125"/>
    </row>
    <row r="61" spans="6:90" x14ac:dyDescent="0.3">
      <c r="F61" s="125"/>
      <c r="G61" s="125"/>
    </row>
    <row r="62" spans="6:90" x14ac:dyDescent="0.3">
      <c r="F62" s="125"/>
      <c r="G62" s="125"/>
    </row>
    <row r="63" spans="6:90" x14ac:dyDescent="0.3">
      <c r="F63" s="125"/>
      <c r="G63" s="125"/>
    </row>
    <row r="64" spans="6:90" x14ac:dyDescent="0.3">
      <c r="F64" s="125"/>
      <c r="G64" s="125"/>
    </row>
    <row r="65" spans="6:7" x14ac:dyDescent="0.3">
      <c r="F65" s="125"/>
      <c r="G65" s="125"/>
    </row>
  </sheetData>
  <mergeCells count="37">
    <mergeCell ref="B2:I2"/>
    <mergeCell ref="J2:AF2"/>
    <mergeCell ref="AH2:AK2"/>
    <mergeCell ref="AM2:AO2"/>
    <mergeCell ref="AQ2:AX2"/>
    <mergeCell ref="DE2:DH2"/>
    <mergeCell ref="AH8:AK8"/>
    <mergeCell ref="BZ8:CF8"/>
    <mergeCell ref="CQ8:CU8"/>
    <mergeCell ref="CV8:CY8"/>
    <mergeCell ref="DE8:DH8"/>
    <mergeCell ref="AZ2:BE2"/>
    <mergeCell ref="BI2:BK2"/>
    <mergeCell ref="BM2:BV2"/>
    <mergeCell ref="BZ2:CD2"/>
    <mergeCell ref="CQ2:CY2"/>
    <mergeCell ref="AZ12:BG12"/>
    <mergeCell ref="BM12:BV12"/>
    <mergeCell ref="AH14:AK14"/>
    <mergeCell ref="BZ14:CF14"/>
    <mergeCell ref="CQ14:DC14"/>
    <mergeCell ref="BZ20:CF20"/>
    <mergeCell ref="CH20:CN20"/>
    <mergeCell ref="CQ20:DA20"/>
    <mergeCell ref="AH22:AK22"/>
    <mergeCell ref="AZ22:BG22"/>
    <mergeCell ref="BM22:BX22"/>
    <mergeCell ref="AZ32:BG32"/>
    <mergeCell ref="BZ32:CO32"/>
    <mergeCell ref="CA38:CD38"/>
    <mergeCell ref="CE38:CH38"/>
    <mergeCell ref="CI38:CL38"/>
    <mergeCell ref="CA44:CD44"/>
    <mergeCell ref="CE44:CH44"/>
    <mergeCell ref="CI44:CL44"/>
    <mergeCell ref="BZ26:CF26"/>
    <mergeCell ref="CQ26:DA26"/>
  </mergeCells>
  <phoneticPr fontId="34" type="noConversion"/>
  <pageMargins left="0.7" right="0.7" top="0.75" bottom="0.75" header="0.3" footer="0.3"/>
  <pageSetup paperSize="9" orientation="portrait"/>
  <ignoredErrors>
    <ignoredError sqref="AI4:AJ6" formulaRange="1"/>
  </ignoredErrors>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4"/>
  <sheetViews>
    <sheetView workbookViewId="0">
      <selection activeCell="J18" sqref="J18"/>
    </sheetView>
  </sheetViews>
  <sheetFormatPr defaultColWidth="9" defaultRowHeight="14.25" x14ac:dyDescent="0.3"/>
  <cols>
    <col min="1" max="3" width="9" style="1"/>
    <col min="4" max="4" width="9.5" style="1" customWidth="1"/>
    <col min="5" max="11" width="9" style="1"/>
    <col min="12" max="12" width="11.25" style="1" customWidth="1"/>
    <col min="13" max="16384" width="9" style="1"/>
  </cols>
  <sheetData>
    <row r="1" spans="1:18" x14ac:dyDescent="0.3">
      <c r="A1" s="1" t="s">
        <v>1083</v>
      </c>
      <c r="B1" s="1" t="s">
        <v>1084</v>
      </c>
      <c r="C1" s="1" t="s">
        <v>1085</v>
      </c>
      <c r="D1" s="1" t="s">
        <v>1086</v>
      </c>
      <c r="E1" s="1" t="s">
        <v>1087</v>
      </c>
      <c r="F1" s="1" t="s">
        <v>1088</v>
      </c>
      <c r="G1" s="1" t="s">
        <v>1089</v>
      </c>
      <c r="H1" s="1" t="s">
        <v>1090</v>
      </c>
      <c r="K1" s="1" t="s">
        <v>1091</v>
      </c>
      <c r="L1" s="1" t="s">
        <v>1092</v>
      </c>
      <c r="O1" s="1" t="s">
        <v>774</v>
      </c>
      <c r="P1" s="1" t="s">
        <v>1093</v>
      </c>
    </row>
    <row r="2" spans="1:18" x14ac:dyDescent="0.3">
      <c r="A2" s="125" t="s">
        <v>1094</v>
      </c>
      <c r="B2" s="1">
        <v>1111</v>
      </c>
      <c r="C2" s="1">
        <v>1</v>
      </c>
      <c r="D2" s="1">
        <v>10</v>
      </c>
      <c r="E2" s="1">
        <v>0</v>
      </c>
      <c r="F2" s="1">
        <v>1</v>
      </c>
      <c r="G2" s="1">
        <v>115</v>
      </c>
      <c r="H2" s="1">
        <f>VLOOKUP(B2,坦克标准养成属性!$D$5:$F$36,3,FALSE)</f>
        <v>1</v>
      </c>
      <c r="J2" s="1">
        <v>1</v>
      </c>
      <c r="K2" s="1">
        <f>SUMIFS($D$2:$D$94,$A$2:$A$94,J2)</f>
        <v>1230</v>
      </c>
      <c r="L2" s="1">
        <f>SUMIFS($D$2:$D$94,$A$2:$A$94,J2,$H$2:$H$94,1)</f>
        <v>480</v>
      </c>
      <c r="N2" s="1" t="s">
        <v>81</v>
      </c>
      <c r="O2" s="1">
        <f>AVERAGE(坦克等级成长!AN4:AN16)</f>
        <v>1258.4615384615386</v>
      </c>
      <c r="P2" s="1">
        <f>AVERAGE(坦克等级成长!AO4:AO16)</f>
        <v>68</v>
      </c>
      <c r="Q2" s="1">
        <f>ROUNDUP(O2/100,0)</f>
        <v>13</v>
      </c>
      <c r="R2" s="1">
        <f>ROUNDUP(P2/100,0)</f>
        <v>1</v>
      </c>
    </row>
    <row r="3" spans="1:18" x14ac:dyDescent="0.3">
      <c r="A3" s="125" t="s">
        <v>1094</v>
      </c>
      <c r="B3" s="1">
        <v>1111</v>
      </c>
      <c r="C3" s="1">
        <v>2</v>
      </c>
      <c r="D3" s="1">
        <v>20</v>
      </c>
      <c r="E3" s="1">
        <v>0</v>
      </c>
      <c r="F3" s="1">
        <v>2</v>
      </c>
      <c r="G3" s="1">
        <v>115</v>
      </c>
      <c r="H3" s="1">
        <f>VLOOKUP(B3,坦克标准养成属性!$D$5:$F$36,3,FALSE)</f>
        <v>1</v>
      </c>
      <c r="J3" s="1">
        <v>2</v>
      </c>
      <c r="K3" s="1">
        <f t="shared" ref="K3:K4" si="0">SUMIFS($D$2:$D$94,$A$2:$A$94,J3)</f>
        <v>1230</v>
      </c>
      <c r="L3" s="1">
        <f t="shared" ref="L3:L4" si="1">SUMIFS($D$2:$D$94,$A$2:$A$94,J3,$H$2:$H$94,1)</f>
        <v>480</v>
      </c>
      <c r="N3" s="1" t="s">
        <v>86</v>
      </c>
      <c r="O3" s="1">
        <f>AVERAGE(坦克等级成长!BL4:BL16)</f>
        <v>1358.4615384615386</v>
      </c>
      <c r="P3" s="1">
        <f>AVERAGE(坦克等级成长!BM4:BM16)</f>
        <v>142.69230769230768</v>
      </c>
      <c r="Q3" s="1">
        <f t="shared" ref="Q3:R4" si="2">ROUNDUP(O3/100,0)</f>
        <v>14</v>
      </c>
      <c r="R3" s="1">
        <f t="shared" si="2"/>
        <v>2</v>
      </c>
    </row>
    <row r="4" spans="1:18" x14ac:dyDescent="0.3">
      <c r="A4" s="125" t="s">
        <v>1094</v>
      </c>
      <c r="B4" s="1">
        <v>1111</v>
      </c>
      <c r="C4" s="1">
        <v>3</v>
      </c>
      <c r="D4" s="1">
        <v>30</v>
      </c>
      <c r="E4" s="1">
        <v>1</v>
      </c>
      <c r="F4" s="1">
        <v>3</v>
      </c>
      <c r="G4" s="1">
        <v>115</v>
      </c>
      <c r="H4" s="1">
        <f>VLOOKUP(B4,坦克标准养成属性!$D$5:$F$36,3,FALSE)</f>
        <v>1</v>
      </c>
      <c r="J4" s="1">
        <v>3</v>
      </c>
      <c r="K4" s="1">
        <f t="shared" si="0"/>
        <v>1350</v>
      </c>
      <c r="L4" s="1">
        <f t="shared" si="1"/>
        <v>600</v>
      </c>
      <c r="N4" s="1" t="s">
        <v>88</v>
      </c>
      <c r="O4" s="1">
        <f>AVERAGE(坦克等级成长!BT4:BT16)</f>
        <v>1539.3846153846155</v>
      </c>
      <c r="P4" s="1">
        <f>AVERAGE(坦克等级成长!BU4:BU16)</f>
        <v>429.61538461538464</v>
      </c>
      <c r="Q4" s="1">
        <f t="shared" si="2"/>
        <v>16</v>
      </c>
      <c r="R4" s="1">
        <f t="shared" si="2"/>
        <v>5</v>
      </c>
    </row>
    <row r="5" spans="1:18" x14ac:dyDescent="0.3">
      <c r="A5" s="125" t="s">
        <v>1094</v>
      </c>
      <c r="B5" s="1">
        <v>1211</v>
      </c>
      <c r="C5" s="1">
        <v>2</v>
      </c>
      <c r="D5" s="1">
        <v>20</v>
      </c>
      <c r="E5" s="1">
        <v>0</v>
      </c>
      <c r="F5" s="1">
        <v>1</v>
      </c>
      <c r="G5" s="1">
        <v>115</v>
      </c>
      <c r="H5" s="1">
        <f>VLOOKUP(B5,坦克标准养成属性!$D$5:$F$36,3,FALSE)</f>
        <v>1</v>
      </c>
    </row>
    <row r="6" spans="1:18" x14ac:dyDescent="0.3">
      <c r="A6" s="125" t="s">
        <v>1094</v>
      </c>
      <c r="B6" s="1">
        <v>1211</v>
      </c>
      <c r="C6" s="1">
        <v>3</v>
      </c>
      <c r="D6" s="1">
        <v>30</v>
      </c>
      <c r="E6" s="1">
        <v>0</v>
      </c>
      <c r="F6" s="1">
        <v>2</v>
      </c>
      <c r="G6" s="1">
        <v>115</v>
      </c>
      <c r="H6" s="1">
        <f>VLOOKUP(B6,坦克标准养成属性!$D$5:$F$36,3,FALSE)</f>
        <v>1</v>
      </c>
    </row>
    <row r="7" spans="1:18" x14ac:dyDescent="0.3">
      <c r="A7" s="125" t="s">
        <v>1094</v>
      </c>
      <c r="B7" s="1">
        <v>1211</v>
      </c>
      <c r="C7" s="1">
        <v>4</v>
      </c>
      <c r="D7" s="1">
        <v>40</v>
      </c>
      <c r="E7" s="1">
        <v>1</v>
      </c>
      <c r="F7" s="1">
        <v>3</v>
      </c>
      <c r="G7" s="1">
        <v>115</v>
      </c>
      <c r="H7" s="1">
        <f>VLOOKUP(B7,坦克标准养成属性!$D$5:$F$36,3,FALSE)</f>
        <v>1</v>
      </c>
      <c r="J7" s="1">
        <v>1</v>
      </c>
      <c r="K7" s="1" t="s">
        <v>81</v>
      </c>
      <c r="L7" s="1">
        <f>IF(J7=1,0,L6+VLOOKUP(K7,$N$2:$R$4,4,FALSE))</f>
        <v>0</v>
      </c>
      <c r="M7" s="1">
        <f>IF(J7=1,0,M6+VLOOKUP(K7,$N$2:$R$4,5,FALSE))</f>
        <v>0</v>
      </c>
      <c r="N7" s="1" t="str">
        <f>"["&amp;M7&amp;","&amp;L7&amp;"]"</f>
        <v>[0,0]</v>
      </c>
    </row>
    <row r="8" spans="1:18" x14ac:dyDescent="0.3">
      <c r="A8" s="125" t="s">
        <v>1094</v>
      </c>
      <c r="B8" s="1">
        <v>1221</v>
      </c>
      <c r="C8" s="1">
        <v>2</v>
      </c>
      <c r="D8" s="1">
        <v>20</v>
      </c>
      <c r="E8" s="1">
        <v>0</v>
      </c>
      <c r="F8" s="1">
        <v>1</v>
      </c>
      <c r="G8" s="1">
        <v>115</v>
      </c>
      <c r="H8" s="1">
        <f>VLOOKUP(B8,坦克标准养成属性!$D$5:$F$36,3,FALSE)</f>
        <v>1</v>
      </c>
      <c r="J8" s="1">
        <v>2</v>
      </c>
      <c r="K8" s="1" t="s">
        <v>81</v>
      </c>
      <c r="L8" s="1">
        <f t="shared" ref="L8:L36" si="3">IF(J8=1,0,L7+VLOOKUP(K8,$N$2:$R$4,4,FALSE))</f>
        <v>13</v>
      </c>
      <c r="M8" s="1">
        <f t="shared" ref="M8:M36" si="4">IF(J8=1,0,M7+VLOOKUP(K8,$N$2:$R$4,5,FALSE))</f>
        <v>1</v>
      </c>
      <c r="N8" s="1" t="str">
        <f t="shared" ref="N8:N36" si="5">"["&amp;M8&amp;","&amp;L8&amp;"]"</f>
        <v>[1,13]</v>
      </c>
    </row>
    <row r="9" spans="1:18" x14ac:dyDescent="0.3">
      <c r="A9" s="125" t="s">
        <v>1094</v>
      </c>
      <c r="B9" s="1">
        <v>1221</v>
      </c>
      <c r="C9" s="1">
        <v>3</v>
      </c>
      <c r="D9" s="1">
        <v>30</v>
      </c>
      <c r="E9" s="1">
        <v>0</v>
      </c>
      <c r="F9" s="1">
        <v>2</v>
      </c>
      <c r="G9" s="1">
        <v>115</v>
      </c>
      <c r="H9" s="1">
        <f>VLOOKUP(B9,坦克标准养成属性!$D$5:$F$36,3,FALSE)</f>
        <v>1</v>
      </c>
      <c r="J9" s="1">
        <v>3</v>
      </c>
      <c r="K9" s="1" t="s">
        <v>81</v>
      </c>
      <c r="L9" s="1">
        <f t="shared" si="3"/>
        <v>26</v>
      </c>
      <c r="M9" s="1">
        <f t="shared" si="4"/>
        <v>2</v>
      </c>
      <c r="N9" s="1" t="str">
        <f t="shared" si="5"/>
        <v>[2,26]</v>
      </c>
    </row>
    <row r="10" spans="1:18" x14ac:dyDescent="0.3">
      <c r="A10" s="125" t="s">
        <v>1094</v>
      </c>
      <c r="B10" s="1">
        <v>1221</v>
      </c>
      <c r="C10" s="1">
        <v>4</v>
      </c>
      <c r="D10" s="1">
        <v>40</v>
      </c>
      <c r="E10" s="1">
        <v>1</v>
      </c>
      <c r="F10" s="1">
        <v>3</v>
      </c>
      <c r="G10" s="1">
        <v>115</v>
      </c>
      <c r="H10" s="1">
        <f>VLOOKUP(B10,坦克标准养成属性!$D$5:$F$36,3,FALSE)</f>
        <v>1</v>
      </c>
      <c r="J10" s="1">
        <v>4</v>
      </c>
      <c r="K10" s="1" t="s">
        <v>81</v>
      </c>
      <c r="L10" s="1">
        <f t="shared" si="3"/>
        <v>39</v>
      </c>
      <c r="M10" s="1">
        <f t="shared" si="4"/>
        <v>3</v>
      </c>
      <c r="N10" s="1" t="str">
        <f t="shared" si="5"/>
        <v>[3,39]</v>
      </c>
    </row>
    <row r="11" spans="1:18" x14ac:dyDescent="0.3">
      <c r="A11" s="125" t="s">
        <v>1094</v>
      </c>
      <c r="B11" s="1">
        <v>1311</v>
      </c>
      <c r="C11" s="1">
        <v>3</v>
      </c>
      <c r="D11" s="1">
        <v>30</v>
      </c>
      <c r="E11" s="1">
        <v>0</v>
      </c>
      <c r="F11" s="1">
        <v>1</v>
      </c>
      <c r="G11" s="1">
        <v>115</v>
      </c>
      <c r="H11" s="1">
        <f>VLOOKUP(B11,坦克标准养成属性!$D$5:$F$36,3,FALSE)</f>
        <v>1</v>
      </c>
      <c r="J11" s="1">
        <v>5</v>
      </c>
      <c r="K11" s="1" t="s">
        <v>81</v>
      </c>
      <c r="L11" s="1">
        <f t="shared" si="3"/>
        <v>52</v>
      </c>
      <c r="M11" s="1">
        <f t="shared" si="4"/>
        <v>4</v>
      </c>
      <c r="N11" s="1" t="str">
        <f t="shared" si="5"/>
        <v>[4,52]</v>
      </c>
    </row>
    <row r="12" spans="1:18" x14ac:dyDescent="0.3">
      <c r="A12" s="125" t="s">
        <v>1094</v>
      </c>
      <c r="B12" s="1">
        <v>1311</v>
      </c>
      <c r="C12" s="1">
        <v>4</v>
      </c>
      <c r="D12" s="1">
        <v>40</v>
      </c>
      <c r="E12" s="1">
        <v>0</v>
      </c>
      <c r="F12" s="1">
        <v>2</v>
      </c>
      <c r="G12" s="1">
        <v>115</v>
      </c>
      <c r="H12" s="1">
        <f>VLOOKUP(B12,坦克标准养成属性!$D$5:$F$36,3,FALSE)</f>
        <v>1</v>
      </c>
      <c r="J12" s="1">
        <v>6</v>
      </c>
      <c r="K12" s="1" t="s">
        <v>81</v>
      </c>
      <c r="L12" s="1">
        <f t="shared" si="3"/>
        <v>65</v>
      </c>
      <c r="M12" s="1">
        <f t="shared" si="4"/>
        <v>5</v>
      </c>
      <c r="N12" s="1" t="str">
        <f t="shared" si="5"/>
        <v>[5,65]</v>
      </c>
    </row>
    <row r="13" spans="1:18" x14ac:dyDescent="0.3">
      <c r="A13" s="125" t="s">
        <v>1094</v>
      </c>
      <c r="B13" s="1">
        <v>1311</v>
      </c>
      <c r="C13" s="1">
        <v>5</v>
      </c>
      <c r="D13" s="1">
        <v>50</v>
      </c>
      <c r="E13" s="1">
        <v>1</v>
      </c>
      <c r="F13" s="1">
        <v>3</v>
      </c>
      <c r="G13" s="1">
        <v>115</v>
      </c>
      <c r="H13" s="1">
        <f>VLOOKUP(B13,坦克标准养成属性!$D$5:$F$36,3,FALSE)</f>
        <v>1</v>
      </c>
      <c r="J13" s="1">
        <v>7</v>
      </c>
      <c r="K13" s="1" t="s">
        <v>81</v>
      </c>
      <c r="L13" s="1">
        <f t="shared" si="3"/>
        <v>78</v>
      </c>
      <c r="M13" s="1">
        <f t="shared" si="4"/>
        <v>6</v>
      </c>
      <c r="N13" s="1" t="str">
        <f t="shared" si="5"/>
        <v>[6,78]</v>
      </c>
    </row>
    <row r="14" spans="1:18" x14ac:dyDescent="0.3">
      <c r="A14" s="125" t="s">
        <v>1094</v>
      </c>
      <c r="B14" s="1">
        <v>1321</v>
      </c>
      <c r="C14" s="1">
        <v>3</v>
      </c>
      <c r="D14" s="1">
        <v>30</v>
      </c>
      <c r="E14" s="1">
        <v>0</v>
      </c>
      <c r="F14" s="1">
        <v>1</v>
      </c>
      <c r="G14" s="1">
        <v>115</v>
      </c>
      <c r="H14" s="1">
        <f>VLOOKUP(B14,坦克标准养成属性!$D$5:$F$36,3,FALSE)</f>
        <v>1</v>
      </c>
      <c r="J14" s="1">
        <v>8</v>
      </c>
      <c r="K14" s="1" t="s">
        <v>81</v>
      </c>
      <c r="L14" s="1">
        <f t="shared" si="3"/>
        <v>91</v>
      </c>
      <c r="M14" s="1">
        <f t="shared" si="4"/>
        <v>7</v>
      </c>
      <c r="N14" s="1" t="str">
        <f t="shared" si="5"/>
        <v>[7,91]</v>
      </c>
    </row>
    <row r="15" spans="1:18" x14ac:dyDescent="0.3">
      <c r="A15" s="125" t="s">
        <v>1094</v>
      </c>
      <c r="B15" s="1">
        <v>1321</v>
      </c>
      <c r="C15" s="1">
        <v>4</v>
      </c>
      <c r="D15" s="1">
        <v>40</v>
      </c>
      <c r="E15" s="1">
        <v>0</v>
      </c>
      <c r="F15" s="1">
        <v>2</v>
      </c>
      <c r="G15" s="1">
        <v>115</v>
      </c>
      <c r="H15" s="1">
        <f>VLOOKUP(B15,坦克标准养成属性!$D$5:$F$36,3,FALSE)</f>
        <v>1</v>
      </c>
      <c r="J15" s="1">
        <v>9</v>
      </c>
      <c r="K15" s="1" t="s">
        <v>81</v>
      </c>
      <c r="L15" s="1">
        <f t="shared" si="3"/>
        <v>104</v>
      </c>
      <c r="M15" s="1">
        <f t="shared" si="4"/>
        <v>8</v>
      </c>
      <c r="N15" s="1" t="str">
        <f t="shared" si="5"/>
        <v>[8,104]</v>
      </c>
    </row>
    <row r="16" spans="1:18" x14ac:dyDescent="0.3">
      <c r="A16" s="125" t="s">
        <v>1094</v>
      </c>
      <c r="B16" s="1">
        <v>1321</v>
      </c>
      <c r="C16" s="1">
        <v>5</v>
      </c>
      <c r="D16" s="1">
        <v>50</v>
      </c>
      <c r="E16" s="1">
        <v>1</v>
      </c>
      <c r="F16" s="1">
        <v>3</v>
      </c>
      <c r="G16" s="1">
        <v>115</v>
      </c>
      <c r="H16" s="1">
        <f>VLOOKUP(B16,坦克标准养成属性!$D$5:$F$36,3,FALSE)</f>
        <v>1</v>
      </c>
      <c r="J16" s="1">
        <v>10</v>
      </c>
      <c r="K16" s="1" t="s">
        <v>81</v>
      </c>
      <c r="L16" s="1">
        <f t="shared" si="3"/>
        <v>117</v>
      </c>
      <c r="M16" s="1">
        <f t="shared" si="4"/>
        <v>9</v>
      </c>
      <c r="N16" s="1" t="str">
        <f t="shared" si="5"/>
        <v>[9,117]</v>
      </c>
    </row>
    <row r="17" spans="1:14" x14ac:dyDescent="0.3">
      <c r="A17" s="125" t="s">
        <v>1094</v>
      </c>
      <c r="B17" s="1">
        <v>1331</v>
      </c>
      <c r="C17" s="1">
        <v>3</v>
      </c>
      <c r="D17" s="1">
        <v>30</v>
      </c>
      <c r="E17" s="1">
        <v>0</v>
      </c>
      <c r="F17" s="1">
        <v>1</v>
      </c>
      <c r="G17" s="1">
        <v>115</v>
      </c>
      <c r="H17" s="1">
        <f>VLOOKUP(B17,坦克标准养成属性!$D$5:$F$36,3,FALSE)</f>
        <v>0</v>
      </c>
      <c r="J17" s="1">
        <v>1</v>
      </c>
      <c r="K17" s="1" t="s">
        <v>86</v>
      </c>
      <c r="L17" s="1">
        <f t="shared" si="3"/>
        <v>0</v>
      </c>
      <c r="M17" s="1">
        <f t="shared" si="4"/>
        <v>0</v>
      </c>
      <c r="N17" s="1" t="str">
        <f t="shared" si="5"/>
        <v>[0,0]</v>
      </c>
    </row>
    <row r="18" spans="1:14" x14ac:dyDescent="0.3">
      <c r="A18" s="125" t="s">
        <v>1094</v>
      </c>
      <c r="B18" s="1">
        <v>1331</v>
      </c>
      <c r="C18" s="1">
        <v>4</v>
      </c>
      <c r="D18" s="1">
        <v>40</v>
      </c>
      <c r="E18" s="1">
        <v>0</v>
      </c>
      <c r="F18" s="1">
        <v>2</v>
      </c>
      <c r="G18" s="1">
        <v>115</v>
      </c>
      <c r="H18" s="1">
        <f>VLOOKUP(B18,坦克标准养成属性!$D$5:$F$36,3,FALSE)</f>
        <v>0</v>
      </c>
      <c r="J18" s="1">
        <v>2</v>
      </c>
      <c r="K18" s="1" t="s">
        <v>86</v>
      </c>
      <c r="L18" s="1">
        <f t="shared" si="3"/>
        <v>14</v>
      </c>
      <c r="M18" s="1">
        <f t="shared" si="4"/>
        <v>2</v>
      </c>
      <c r="N18" s="1" t="str">
        <f t="shared" si="5"/>
        <v>[2,14]</v>
      </c>
    </row>
    <row r="19" spans="1:14" x14ac:dyDescent="0.3">
      <c r="A19" s="125" t="s">
        <v>1094</v>
      </c>
      <c r="B19" s="1">
        <v>1331</v>
      </c>
      <c r="C19" s="1">
        <v>5</v>
      </c>
      <c r="D19" s="1">
        <v>50</v>
      </c>
      <c r="E19" s="1">
        <v>1</v>
      </c>
      <c r="F19" s="1">
        <v>3</v>
      </c>
      <c r="G19" s="1">
        <v>115</v>
      </c>
      <c r="H19" s="1">
        <f>VLOOKUP(B19,坦克标准养成属性!$D$5:$F$36,3,FALSE)</f>
        <v>0</v>
      </c>
      <c r="J19" s="1">
        <v>3</v>
      </c>
      <c r="K19" s="1" t="s">
        <v>86</v>
      </c>
      <c r="L19" s="1">
        <f t="shared" si="3"/>
        <v>28</v>
      </c>
      <c r="M19" s="1">
        <f t="shared" si="4"/>
        <v>4</v>
      </c>
      <c r="N19" s="1" t="str">
        <f t="shared" si="5"/>
        <v>[4,28]</v>
      </c>
    </row>
    <row r="20" spans="1:14" x14ac:dyDescent="0.3">
      <c r="A20" s="125" t="s">
        <v>1094</v>
      </c>
      <c r="B20" s="1">
        <v>1411</v>
      </c>
      <c r="C20" s="1">
        <v>4</v>
      </c>
      <c r="D20" s="1">
        <v>40</v>
      </c>
      <c r="E20" s="1">
        <v>0</v>
      </c>
      <c r="F20" s="1">
        <v>1</v>
      </c>
      <c r="G20" s="1">
        <v>115</v>
      </c>
      <c r="H20" s="1">
        <f>VLOOKUP(B20,坦克标准养成属性!$D$5:$F$36,3,FALSE)</f>
        <v>0</v>
      </c>
      <c r="J20" s="1">
        <v>4</v>
      </c>
      <c r="K20" s="1" t="s">
        <v>86</v>
      </c>
      <c r="L20" s="1">
        <f t="shared" si="3"/>
        <v>42</v>
      </c>
      <c r="M20" s="1">
        <f t="shared" si="4"/>
        <v>6</v>
      </c>
      <c r="N20" s="1" t="str">
        <f t="shared" si="5"/>
        <v>[6,42]</v>
      </c>
    </row>
    <row r="21" spans="1:14" x14ac:dyDescent="0.3">
      <c r="A21" s="125" t="s">
        <v>1094</v>
      </c>
      <c r="B21" s="1">
        <v>1411</v>
      </c>
      <c r="C21" s="1">
        <v>5</v>
      </c>
      <c r="D21" s="1">
        <v>50</v>
      </c>
      <c r="E21" s="1">
        <v>0</v>
      </c>
      <c r="F21" s="1">
        <v>2</v>
      </c>
      <c r="G21" s="1">
        <v>115</v>
      </c>
      <c r="H21" s="1">
        <f>VLOOKUP(B21,坦克标准养成属性!$D$5:$F$36,3,FALSE)</f>
        <v>0</v>
      </c>
      <c r="J21" s="1">
        <v>5</v>
      </c>
      <c r="K21" s="1" t="s">
        <v>86</v>
      </c>
      <c r="L21" s="1">
        <f t="shared" si="3"/>
        <v>56</v>
      </c>
      <c r="M21" s="1">
        <f t="shared" si="4"/>
        <v>8</v>
      </c>
      <c r="N21" s="1" t="str">
        <f t="shared" si="5"/>
        <v>[8,56]</v>
      </c>
    </row>
    <row r="22" spans="1:14" x14ac:dyDescent="0.3">
      <c r="A22" s="125" t="s">
        <v>1094</v>
      </c>
      <c r="B22" s="1">
        <v>1411</v>
      </c>
      <c r="C22" s="1">
        <v>6</v>
      </c>
      <c r="D22" s="1">
        <v>60</v>
      </c>
      <c r="E22" s="1">
        <v>1</v>
      </c>
      <c r="F22" s="1">
        <v>3</v>
      </c>
      <c r="G22" s="1">
        <v>115</v>
      </c>
      <c r="H22" s="1">
        <f>VLOOKUP(B22,坦克标准养成属性!$D$5:$F$36,3,FALSE)</f>
        <v>0</v>
      </c>
      <c r="J22" s="1">
        <v>6</v>
      </c>
      <c r="K22" s="1" t="s">
        <v>86</v>
      </c>
      <c r="L22" s="1">
        <f t="shared" si="3"/>
        <v>70</v>
      </c>
      <c r="M22" s="1">
        <f t="shared" si="4"/>
        <v>10</v>
      </c>
      <c r="N22" s="1" t="str">
        <f t="shared" si="5"/>
        <v>[10,70]</v>
      </c>
    </row>
    <row r="23" spans="1:14" x14ac:dyDescent="0.3">
      <c r="A23" s="125" t="s">
        <v>1094</v>
      </c>
      <c r="B23" s="1">
        <v>1421</v>
      </c>
      <c r="C23" s="1">
        <v>4</v>
      </c>
      <c r="D23" s="1">
        <v>40</v>
      </c>
      <c r="E23" s="1">
        <v>0</v>
      </c>
      <c r="F23" s="1">
        <v>1</v>
      </c>
      <c r="G23" s="1">
        <v>115</v>
      </c>
      <c r="H23" s="1">
        <f>VLOOKUP(B23,坦克标准养成属性!$D$5:$F$36,3,FALSE)</f>
        <v>0</v>
      </c>
      <c r="J23" s="1">
        <v>7</v>
      </c>
      <c r="K23" s="1" t="s">
        <v>86</v>
      </c>
      <c r="L23" s="1">
        <f t="shared" si="3"/>
        <v>84</v>
      </c>
      <c r="M23" s="1">
        <f t="shared" si="4"/>
        <v>12</v>
      </c>
      <c r="N23" s="1" t="str">
        <f t="shared" si="5"/>
        <v>[12,84]</v>
      </c>
    </row>
    <row r="24" spans="1:14" x14ac:dyDescent="0.3">
      <c r="A24" s="125" t="s">
        <v>1094</v>
      </c>
      <c r="B24" s="1">
        <v>1421</v>
      </c>
      <c r="C24" s="1">
        <v>5</v>
      </c>
      <c r="D24" s="1">
        <v>50</v>
      </c>
      <c r="E24" s="1">
        <v>0</v>
      </c>
      <c r="F24" s="1">
        <v>2</v>
      </c>
      <c r="G24" s="1">
        <v>115</v>
      </c>
      <c r="H24" s="1">
        <f>VLOOKUP(B24,坦克标准养成属性!$D$5:$F$36,3,FALSE)</f>
        <v>0</v>
      </c>
      <c r="J24" s="1">
        <v>8</v>
      </c>
      <c r="K24" s="1" t="s">
        <v>86</v>
      </c>
      <c r="L24" s="1">
        <f t="shared" si="3"/>
        <v>98</v>
      </c>
      <c r="M24" s="1">
        <f t="shared" si="4"/>
        <v>14</v>
      </c>
      <c r="N24" s="1" t="str">
        <f t="shared" si="5"/>
        <v>[14,98]</v>
      </c>
    </row>
    <row r="25" spans="1:14" x14ac:dyDescent="0.3">
      <c r="A25" s="125" t="s">
        <v>1094</v>
      </c>
      <c r="B25" s="1">
        <v>1421</v>
      </c>
      <c r="C25" s="1">
        <v>6</v>
      </c>
      <c r="D25" s="1">
        <v>60</v>
      </c>
      <c r="E25" s="1">
        <v>1</v>
      </c>
      <c r="F25" s="1">
        <v>3</v>
      </c>
      <c r="G25" s="1">
        <v>115</v>
      </c>
      <c r="H25" s="1">
        <f>VLOOKUP(B25,坦克标准养成属性!$D$5:$F$36,3,FALSE)</f>
        <v>0</v>
      </c>
      <c r="J25" s="1">
        <v>9</v>
      </c>
      <c r="K25" s="1" t="s">
        <v>86</v>
      </c>
      <c r="L25" s="1">
        <f t="shared" si="3"/>
        <v>112</v>
      </c>
      <c r="M25" s="1">
        <f t="shared" si="4"/>
        <v>16</v>
      </c>
      <c r="N25" s="1" t="str">
        <f t="shared" si="5"/>
        <v>[16,112]</v>
      </c>
    </row>
    <row r="26" spans="1:14" x14ac:dyDescent="0.3">
      <c r="A26" s="125" t="s">
        <v>1094</v>
      </c>
      <c r="B26" s="1">
        <v>1431</v>
      </c>
      <c r="C26" s="1">
        <v>4</v>
      </c>
      <c r="D26" s="1">
        <v>40</v>
      </c>
      <c r="E26" s="1">
        <v>0</v>
      </c>
      <c r="F26" s="1">
        <v>1</v>
      </c>
      <c r="G26" s="1">
        <v>115</v>
      </c>
      <c r="H26" s="1">
        <f>VLOOKUP(B26,坦克标准养成属性!$D$5:$F$36,3,FALSE)</f>
        <v>0</v>
      </c>
      <c r="J26" s="1">
        <v>10</v>
      </c>
      <c r="K26" s="1" t="s">
        <v>86</v>
      </c>
      <c r="L26" s="1">
        <f t="shared" si="3"/>
        <v>126</v>
      </c>
      <c r="M26" s="1">
        <f t="shared" si="4"/>
        <v>18</v>
      </c>
      <c r="N26" s="1" t="str">
        <f t="shared" si="5"/>
        <v>[18,126]</v>
      </c>
    </row>
    <row r="27" spans="1:14" x14ac:dyDescent="0.3">
      <c r="A27" s="125" t="s">
        <v>1094</v>
      </c>
      <c r="B27" s="1">
        <v>1431</v>
      </c>
      <c r="C27" s="1">
        <v>5</v>
      </c>
      <c r="D27" s="1">
        <v>50</v>
      </c>
      <c r="E27" s="1">
        <v>0</v>
      </c>
      <c r="F27" s="1">
        <v>2</v>
      </c>
      <c r="G27" s="1">
        <v>115</v>
      </c>
      <c r="H27" s="1">
        <f>VLOOKUP(B27,坦克标准养成属性!$D$5:$F$36,3,FALSE)</f>
        <v>0</v>
      </c>
      <c r="J27" s="1">
        <v>1</v>
      </c>
      <c r="K27" s="1" t="s">
        <v>88</v>
      </c>
      <c r="L27" s="1">
        <f t="shared" si="3"/>
        <v>0</v>
      </c>
      <c r="M27" s="1">
        <f t="shared" si="4"/>
        <v>0</v>
      </c>
      <c r="N27" s="1" t="str">
        <f t="shared" si="5"/>
        <v>[0,0]</v>
      </c>
    </row>
    <row r="28" spans="1:14" x14ac:dyDescent="0.3">
      <c r="A28" s="125" t="s">
        <v>1094</v>
      </c>
      <c r="B28" s="1">
        <v>1431</v>
      </c>
      <c r="C28" s="1">
        <v>6</v>
      </c>
      <c r="D28" s="1">
        <v>60</v>
      </c>
      <c r="E28" s="1">
        <v>1</v>
      </c>
      <c r="F28" s="1">
        <v>3</v>
      </c>
      <c r="G28" s="1">
        <v>115</v>
      </c>
      <c r="H28" s="1">
        <f>VLOOKUP(B28,坦克标准养成属性!$D$5:$F$36,3,FALSE)</f>
        <v>0</v>
      </c>
      <c r="J28" s="1">
        <v>2</v>
      </c>
      <c r="K28" s="1" t="s">
        <v>88</v>
      </c>
      <c r="L28" s="1">
        <f t="shared" si="3"/>
        <v>16</v>
      </c>
      <c r="M28" s="1">
        <f t="shared" si="4"/>
        <v>5</v>
      </c>
      <c r="N28" s="1" t="str">
        <f t="shared" si="5"/>
        <v>[5,16]</v>
      </c>
    </row>
    <row r="29" spans="1:14" x14ac:dyDescent="0.3">
      <c r="A29" s="125" t="s">
        <v>1094</v>
      </c>
      <c r="B29" s="1">
        <v>1511</v>
      </c>
      <c r="C29" s="1">
        <v>5</v>
      </c>
      <c r="D29" s="1">
        <v>50</v>
      </c>
      <c r="E29" s="1">
        <v>0</v>
      </c>
      <c r="F29" s="1">
        <v>1</v>
      </c>
      <c r="G29" s="1">
        <v>115</v>
      </c>
      <c r="H29" s="1">
        <f>VLOOKUP(B29,坦克标准养成属性!$D$5:$F$36,3,FALSE)</f>
        <v>0</v>
      </c>
      <c r="J29" s="1">
        <v>3</v>
      </c>
      <c r="K29" s="1" t="s">
        <v>88</v>
      </c>
      <c r="L29" s="1">
        <f t="shared" si="3"/>
        <v>32</v>
      </c>
      <c r="M29" s="1">
        <f t="shared" si="4"/>
        <v>10</v>
      </c>
      <c r="N29" s="1" t="str">
        <f t="shared" si="5"/>
        <v>[10,32]</v>
      </c>
    </row>
    <row r="30" spans="1:14" x14ac:dyDescent="0.3">
      <c r="A30" s="125" t="s">
        <v>1094</v>
      </c>
      <c r="B30" s="1">
        <v>1511</v>
      </c>
      <c r="C30" s="1">
        <v>6</v>
      </c>
      <c r="D30" s="1">
        <v>60</v>
      </c>
      <c r="E30" s="1">
        <v>0</v>
      </c>
      <c r="F30" s="1">
        <v>2</v>
      </c>
      <c r="G30" s="1">
        <v>115</v>
      </c>
      <c r="H30" s="1">
        <f>VLOOKUP(B30,坦克标准养成属性!$D$5:$F$36,3,FALSE)</f>
        <v>0</v>
      </c>
      <c r="J30" s="1">
        <v>4</v>
      </c>
      <c r="K30" s="1" t="s">
        <v>88</v>
      </c>
      <c r="L30" s="1">
        <f t="shared" si="3"/>
        <v>48</v>
      </c>
      <c r="M30" s="1">
        <f t="shared" si="4"/>
        <v>15</v>
      </c>
      <c r="N30" s="1" t="str">
        <f t="shared" si="5"/>
        <v>[15,48]</v>
      </c>
    </row>
    <row r="31" spans="1:14" x14ac:dyDescent="0.3">
      <c r="A31" s="125" t="s">
        <v>1094</v>
      </c>
      <c r="B31" s="1">
        <v>1511</v>
      </c>
      <c r="C31" s="1">
        <v>7</v>
      </c>
      <c r="D31" s="1">
        <v>70</v>
      </c>
      <c r="E31" s="1">
        <v>1</v>
      </c>
      <c r="F31" s="1">
        <v>3</v>
      </c>
      <c r="G31" s="1">
        <v>115</v>
      </c>
      <c r="H31" s="1">
        <f>VLOOKUP(B31,坦克标准养成属性!$D$5:$F$36,3,FALSE)</f>
        <v>0</v>
      </c>
      <c r="J31" s="1">
        <v>5</v>
      </c>
      <c r="K31" s="1" t="s">
        <v>88</v>
      </c>
      <c r="L31" s="1">
        <f t="shared" si="3"/>
        <v>64</v>
      </c>
      <c r="M31" s="1">
        <f t="shared" si="4"/>
        <v>20</v>
      </c>
      <c r="N31" s="1" t="str">
        <f t="shared" si="5"/>
        <v>[20,64]</v>
      </c>
    </row>
    <row r="32" spans="1:14" x14ac:dyDescent="0.3">
      <c r="A32" s="125" t="s">
        <v>1095</v>
      </c>
      <c r="B32" s="1">
        <v>2111</v>
      </c>
      <c r="C32" s="1">
        <v>1</v>
      </c>
      <c r="D32" s="1">
        <v>10</v>
      </c>
      <c r="E32" s="1">
        <v>0</v>
      </c>
      <c r="F32" s="1">
        <v>1</v>
      </c>
      <c r="G32" s="1">
        <v>116</v>
      </c>
      <c r="H32" s="1">
        <f>VLOOKUP(B32,坦克标准养成属性!$D$5:$F$36,3,FALSE)</f>
        <v>1</v>
      </c>
      <c r="J32" s="1">
        <v>6</v>
      </c>
      <c r="K32" s="1" t="s">
        <v>88</v>
      </c>
      <c r="L32" s="1">
        <f t="shared" si="3"/>
        <v>80</v>
      </c>
      <c r="M32" s="1">
        <f t="shared" si="4"/>
        <v>25</v>
      </c>
      <c r="N32" s="1" t="str">
        <f t="shared" si="5"/>
        <v>[25,80]</v>
      </c>
    </row>
    <row r="33" spans="1:14" x14ac:dyDescent="0.3">
      <c r="A33" s="125" t="s">
        <v>1095</v>
      </c>
      <c r="B33" s="1">
        <v>2111</v>
      </c>
      <c r="C33" s="1">
        <v>2</v>
      </c>
      <c r="D33" s="1">
        <v>20</v>
      </c>
      <c r="E33" s="1">
        <v>0</v>
      </c>
      <c r="F33" s="1">
        <v>2</v>
      </c>
      <c r="G33" s="1">
        <v>116</v>
      </c>
      <c r="H33" s="1">
        <f>VLOOKUP(B33,坦克标准养成属性!$D$5:$F$36,3,FALSE)</f>
        <v>1</v>
      </c>
      <c r="J33" s="1">
        <v>7</v>
      </c>
      <c r="K33" s="1" t="s">
        <v>88</v>
      </c>
      <c r="L33" s="1">
        <f t="shared" si="3"/>
        <v>96</v>
      </c>
      <c r="M33" s="1">
        <f t="shared" si="4"/>
        <v>30</v>
      </c>
      <c r="N33" s="1" t="str">
        <f t="shared" si="5"/>
        <v>[30,96]</v>
      </c>
    </row>
    <row r="34" spans="1:14" x14ac:dyDescent="0.3">
      <c r="A34" s="125" t="s">
        <v>1095</v>
      </c>
      <c r="B34" s="1">
        <v>2111</v>
      </c>
      <c r="C34" s="1">
        <v>3</v>
      </c>
      <c r="D34" s="1">
        <v>30</v>
      </c>
      <c r="E34" s="1">
        <v>1</v>
      </c>
      <c r="F34" s="1">
        <v>3</v>
      </c>
      <c r="G34" s="1">
        <v>116</v>
      </c>
      <c r="H34" s="1">
        <f>VLOOKUP(B34,坦克标准养成属性!$D$5:$F$36,3,FALSE)</f>
        <v>1</v>
      </c>
      <c r="J34" s="1">
        <v>8</v>
      </c>
      <c r="K34" s="1" t="s">
        <v>88</v>
      </c>
      <c r="L34" s="1">
        <f t="shared" si="3"/>
        <v>112</v>
      </c>
      <c r="M34" s="1">
        <f t="shared" si="4"/>
        <v>35</v>
      </c>
      <c r="N34" s="1" t="str">
        <f t="shared" si="5"/>
        <v>[35,112]</v>
      </c>
    </row>
    <row r="35" spans="1:14" x14ac:dyDescent="0.3">
      <c r="A35" s="125" t="s">
        <v>1095</v>
      </c>
      <c r="B35" s="1">
        <v>2211</v>
      </c>
      <c r="C35" s="1">
        <v>2</v>
      </c>
      <c r="D35" s="1">
        <v>20</v>
      </c>
      <c r="E35" s="1">
        <v>0</v>
      </c>
      <c r="F35" s="1">
        <v>1</v>
      </c>
      <c r="G35" s="1">
        <v>116</v>
      </c>
      <c r="H35" s="1">
        <f>VLOOKUP(B35,坦克标准养成属性!$D$5:$F$36,3,FALSE)</f>
        <v>1</v>
      </c>
      <c r="J35" s="1">
        <v>9</v>
      </c>
      <c r="K35" s="1" t="s">
        <v>88</v>
      </c>
      <c r="L35" s="1">
        <f t="shared" si="3"/>
        <v>128</v>
      </c>
      <c r="M35" s="1">
        <f t="shared" si="4"/>
        <v>40</v>
      </c>
      <c r="N35" s="1" t="str">
        <f t="shared" si="5"/>
        <v>[40,128]</v>
      </c>
    </row>
    <row r="36" spans="1:14" x14ac:dyDescent="0.3">
      <c r="A36" s="125" t="s">
        <v>1095</v>
      </c>
      <c r="B36" s="1">
        <v>2211</v>
      </c>
      <c r="C36" s="1">
        <v>3</v>
      </c>
      <c r="D36" s="1">
        <v>30</v>
      </c>
      <c r="E36" s="1">
        <v>0</v>
      </c>
      <c r="F36" s="1">
        <v>2</v>
      </c>
      <c r="G36" s="1">
        <v>116</v>
      </c>
      <c r="H36" s="1">
        <f>VLOOKUP(B36,坦克标准养成属性!$D$5:$F$36,3,FALSE)</f>
        <v>1</v>
      </c>
      <c r="J36" s="1">
        <v>10</v>
      </c>
      <c r="K36" s="1" t="s">
        <v>88</v>
      </c>
      <c r="L36" s="1">
        <f t="shared" si="3"/>
        <v>144</v>
      </c>
      <c r="M36" s="1">
        <f t="shared" si="4"/>
        <v>45</v>
      </c>
      <c r="N36" s="1" t="str">
        <f t="shared" si="5"/>
        <v>[45,144]</v>
      </c>
    </row>
    <row r="37" spans="1:14" x14ac:dyDescent="0.3">
      <c r="A37" s="125" t="s">
        <v>1095</v>
      </c>
      <c r="B37" s="1">
        <v>2211</v>
      </c>
      <c r="C37" s="1">
        <v>4</v>
      </c>
      <c r="D37" s="1">
        <v>40</v>
      </c>
      <c r="E37" s="1">
        <v>1</v>
      </c>
      <c r="F37" s="1">
        <v>3</v>
      </c>
      <c r="G37" s="1">
        <v>116</v>
      </c>
      <c r="H37" s="1">
        <f>VLOOKUP(B37,坦克标准养成属性!$D$5:$F$36,3,FALSE)</f>
        <v>1</v>
      </c>
    </row>
    <row r="38" spans="1:14" x14ac:dyDescent="0.3">
      <c r="A38" s="125" t="s">
        <v>1095</v>
      </c>
      <c r="B38" s="1">
        <v>2221</v>
      </c>
      <c r="C38" s="1">
        <v>2</v>
      </c>
      <c r="D38" s="1">
        <v>20</v>
      </c>
      <c r="E38" s="1">
        <v>0</v>
      </c>
      <c r="F38" s="1">
        <v>1</v>
      </c>
      <c r="G38" s="1">
        <v>116</v>
      </c>
      <c r="H38" s="1">
        <f>VLOOKUP(B38,坦克标准养成属性!$D$5:$F$36,3,FALSE)</f>
        <v>1</v>
      </c>
    </row>
    <row r="39" spans="1:14" x14ac:dyDescent="0.3">
      <c r="A39" s="125" t="s">
        <v>1095</v>
      </c>
      <c r="B39" s="1">
        <v>2221</v>
      </c>
      <c r="C39" s="1">
        <v>3</v>
      </c>
      <c r="D39" s="1">
        <v>30</v>
      </c>
      <c r="E39" s="1">
        <v>0</v>
      </c>
      <c r="F39" s="1">
        <v>2</v>
      </c>
      <c r="G39" s="1">
        <v>116</v>
      </c>
      <c r="H39" s="1">
        <f>VLOOKUP(B39,坦克标准养成属性!$D$5:$F$36,3,FALSE)</f>
        <v>1</v>
      </c>
    </row>
    <row r="40" spans="1:14" x14ac:dyDescent="0.3">
      <c r="A40" s="125" t="s">
        <v>1095</v>
      </c>
      <c r="B40" s="1">
        <v>2221</v>
      </c>
      <c r="C40" s="1">
        <v>4</v>
      </c>
      <c r="D40" s="1">
        <v>40</v>
      </c>
      <c r="E40" s="1">
        <v>1</v>
      </c>
      <c r="F40" s="1">
        <v>3</v>
      </c>
      <c r="G40" s="1">
        <v>116</v>
      </c>
      <c r="H40" s="1">
        <f>VLOOKUP(B40,坦克标准养成属性!$D$5:$F$36,3,FALSE)</f>
        <v>1</v>
      </c>
    </row>
    <row r="41" spans="1:14" x14ac:dyDescent="0.3">
      <c r="A41" s="125" t="s">
        <v>1095</v>
      </c>
      <c r="B41" s="1">
        <v>2311</v>
      </c>
      <c r="C41" s="1">
        <v>3</v>
      </c>
      <c r="D41" s="1">
        <v>30</v>
      </c>
      <c r="E41" s="1">
        <v>0</v>
      </c>
      <c r="F41" s="1">
        <v>1</v>
      </c>
      <c r="G41" s="1">
        <v>116</v>
      </c>
      <c r="H41" s="1">
        <f>VLOOKUP(B41,坦克标准养成属性!$D$5:$F$36,3,FALSE)</f>
        <v>1</v>
      </c>
    </row>
    <row r="42" spans="1:14" x14ac:dyDescent="0.3">
      <c r="A42" s="125" t="s">
        <v>1095</v>
      </c>
      <c r="B42" s="1">
        <v>2311</v>
      </c>
      <c r="C42" s="1">
        <v>4</v>
      </c>
      <c r="D42" s="1">
        <v>40</v>
      </c>
      <c r="E42" s="1">
        <v>0</v>
      </c>
      <c r="F42" s="1">
        <v>2</v>
      </c>
      <c r="G42" s="1">
        <v>116</v>
      </c>
      <c r="H42" s="1">
        <f>VLOOKUP(B42,坦克标准养成属性!$D$5:$F$36,3,FALSE)</f>
        <v>1</v>
      </c>
    </row>
    <row r="43" spans="1:14" x14ac:dyDescent="0.3">
      <c r="A43" s="125" t="s">
        <v>1095</v>
      </c>
      <c r="B43" s="1">
        <v>2311</v>
      </c>
      <c r="C43" s="1">
        <v>5</v>
      </c>
      <c r="D43" s="1">
        <v>50</v>
      </c>
      <c r="E43" s="1">
        <v>1</v>
      </c>
      <c r="F43" s="1">
        <v>3</v>
      </c>
      <c r="G43" s="1">
        <v>116</v>
      </c>
      <c r="H43" s="1">
        <f>VLOOKUP(B43,坦克标准养成属性!$D$5:$F$36,3,FALSE)</f>
        <v>1</v>
      </c>
    </row>
    <row r="44" spans="1:14" x14ac:dyDescent="0.3">
      <c r="A44" s="125" t="s">
        <v>1095</v>
      </c>
      <c r="B44" s="1">
        <v>2321</v>
      </c>
      <c r="C44" s="1">
        <v>3</v>
      </c>
      <c r="D44" s="1">
        <v>30</v>
      </c>
      <c r="E44" s="1">
        <v>0</v>
      </c>
      <c r="F44" s="1">
        <v>1</v>
      </c>
      <c r="G44" s="1">
        <v>116</v>
      </c>
      <c r="H44" s="1">
        <f>VLOOKUP(B44,坦克标准养成属性!$D$5:$F$36,3,FALSE)</f>
        <v>1</v>
      </c>
    </row>
    <row r="45" spans="1:14" x14ac:dyDescent="0.3">
      <c r="A45" s="125" t="s">
        <v>1095</v>
      </c>
      <c r="B45" s="1">
        <v>2321</v>
      </c>
      <c r="C45" s="1">
        <v>4</v>
      </c>
      <c r="D45" s="1">
        <v>40</v>
      </c>
      <c r="E45" s="1">
        <v>0</v>
      </c>
      <c r="F45" s="1">
        <v>2</v>
      </c>
      <c r="G45" s="1">
        <v>116</v>
      </c>
      <c r="H45" s="1">
        <f>VLOOKUP(B45,坦克标准养成属性!$D$5:$F$36,3,FALSE)</f>
        <v>1</v>
      </c>
    </row>
    <row r="46" spans="1:14" x14ac:dyDescent="0.3">
      <c r="A46" s="125" t="s">
        <v>1095</v>
      </c>
      <c r="B46" s="1">
        <v>2321</v>
      </c>
      <c r="C46" s="1">
        <v>5</v>
      </c>
      <c r="D46" s="1">
        <v>50</v>
      </c>
      <c r="E46" s="1">
        <v>1</v>
      </c>
      <c r="F46" s="1">
        <v>3</v>
      </c>
      <c r="G46" s="1">
        <v>116</v>
      </c>
      <c r="H46" s="1">
        <f>VLOOKUP(B46,坦克标准养成属性!$D$5:$F$36,3,FALSE)</f>
        <v>1</v>
      </c>
    </row>
    <row r="47" spans="1:14" x14ac:dyDescent="0.3">
      <c r="A47" s="125" t="s">
        <v>1095</v>
      </c>
      <c r="B47" s="1">
        <v>2331</v>
      </c>
      <c r="C47" s="1">
        <v>3</v>
      </c>
      <c r="D47" s="1">
        <v>30</v>
      </c>
      <c r="E47" s="1">
        <v>0</v>
      </c>
      <c r="F47" s="1">
        <v>1</v>
      </c>
      <c r="G47" s="1">
        <v>116</v>
      </c>
      <c r="H47" s="1">
        <f>VLOOKUP(B47,坦克标准养成属性!$D$5:$F$36,3,FALSE)</f>
        <v>0</v>
      </c>
    </row>
    <row r="48" spans="1:14" x14ac:dyDescent="0.3">
      <c r="A48" s="125" t="s">
        <v>1095</v>
      </c>
      <c r="B48" s="1">
        <v>2331</v>
      </c>
      <c r="C48" s="1">
        <v>4</v>
      </c>
      <c r="D48" s="1">
        <v>40</v>
      </c>
      <c r="E48" s="1">
        <v>0</v>
      </c>
      <c r="F48" s="1">
        <v>2</v>
      </c>
      <c r="G48" s="1">
        <v>116</v>
      </c>
      <c r="H48" s="1">
        <f>VLOOKUP(B48,坦克标准养成属性!$D$5:$F$36,3,FALSE)</f>
        <v>0</v>
      </c>
    </row>
    <row r="49" spans="1:8" x14ac:dyDescent="0.3">
      <c r="A49" s="125" t="s">
        <v>1095</v>
      </c>
      <c r="B49" s="1">
        <v>2331</v>
      </c>
      <c r="C49" s="1">
        <v>5</v>
      </c>
      <c r="D49" s="1">
        <v>50</v>
      </c>
      <c r="E49" s="1">
        <v>1</v>
      </c>
      <c r="F49" s="1">
        <v>3</v>
      </c>
      <c r="G49" s="1">
        <v>116</v>
      </c>
      <c r="H49" s="1">
        <f>VLOOKUP(B49,坦克标准养成属性!$D$5:$F$36,3,FALSE)</f>
        <v>0</v>
      </c>
    </row>
    <row r="50" spans="1:8" x14ac:dyDescent="0.3">
      <c r="A50" s="125" t="s">
        <v>1095</v>
      </c>
      <c r="B50" s="1">
        <v>2411</v>
      </c>
      <c r="C50" s="1">
        <v>4</v>
      </c>
      <c r="D50" s="1">
        <v>40</v>
      </c>
      <c r="E50" s="1">
        <v>0</v>
      </c>
      <c r="F50" s="1">
        <v>1</v>
      </c>
      <c r="G50" s="1">
        <v>116</v>
      </c>
      <c r="H50" s="1">
        <f>VLOOKUP(B50,坦克标准养成属性!$D$5:$F$36,3,FALSE)</f>
        <v>0</v>
      </c>
    </row>
    <row r="51" spans="1:8" x14ac:dyDescent="0.3">
      <c r="A51" s="125" t="s">
        <v>1095</v>
      </c>
      <c r="B51" s="1">
        <v>2411</v>
      </c>
      <c r="C51" s="1">
        <v>5</v>
      </c>
      <c r="D51" s="1">
        <v>50</v>
      </c>
      <c r="E51" s="1">
        <v>0</v>
      </c>
      <c r="F51" s="1">
        <v>2</v>
      </c>
      <c r="G51" s="1">
        <v>116</v>
      </c>
      <c r="H51" s="1">
        <f>VLOOKUP(B51,坦克标准养成属性!$D$5:$F$36,3,FALSE)</f>
        <v>0</v>
      </c>
    </row>
    <row r="52" spans="1:8" x14ac:dyDescent="0.3">
      <c r="A52" s="125" t="s">
        <v>1095</v>
      </c>
      <c r="B52" s="1">
        <v>2411</v>
      </c>
      <c r="C52" s="1">
        <v>6</v>
      </c>
      <c r="D52" s="1">
        <v>60</v>
      </c>
      <c r="E52" s="1">
        <v>1</v>
      </c>
      <c r="F52" s="1">
        <v>3</v>
      </c>
      <c r="G52" s="1">
        <v>116</v>
      </c>
      <c r="H52" s="1">
        <f>VLOOKUP(B52,坦克标准养成属性!$D$5:$F$36,3,FALSE)</f>
        <v>0</v>
      </c>
    </row>
    <row r="53" spans="1:8" x14ac:dyDescent="0.3">
      <c r="A53" s="125" t="s">
        <v>1095</v>
      </c>
      <c r="B53" s="1">
        <v>2421</v>
      </c>
      <c r="C53" s="1">
        <v>4</v>
      </c>
      <c r="D53" s="1">
        <v>40</v>
      </c>
      <c r="E53" s="1">
        <v>0</v>
      </c>
      <c r="F53" s="1">
        <v>1</v>
      </c>
      <c r="G53" s="1">
        <v>116</v>
      </c>
      <c r="H53" s="1">
        <f>VLOOKUP(B53,坦克标准养成属性!$D$5:$F$36,3,FALSE)</f>
        <v>0</v>
      </c>
    </row>
    <row r="54" spans="1:8" x14ac:dyDescent="0.3">
      <c r="A54" s="125" t="s">
        <v>1095</v>
      </c>
      <c r="B54" s="1">
        <v>2421</v>
      </c>
      <c r="C54" s="1">
        <v>5</v>
      </c>
      <c r="D54" s="1">
        <v>50</v>
      </c>
      <c r="E54" s="1">
        <v>0</v>
      </c>
      <c r="F54" s="1">
        <v>2</v>
      </c>
      <c r="G54" s="1">
        <v>116</v>
      </c>
      <c r="H54" s="1">
        <f>VLOOKUP(B54,坦克标准养成属性!$D$5:$F$36,3,FALSE)</f>
        <v>0</v>
      </c>
    </row>
    <row r="55" spans="1:8" x14ac:dyDescent="0.3">
      <c r="A55" s="125" t="s">
        <v>1095</v>
      </c>
      <c r="B55" s="1">
        <v>2421</v>
      </c>
      <c r="C55" s="1">
        <v>6</v>
      </c>
      <c r="D55" s="1">
        <v>60</v>
      </c>
      <c r="E55" s="1">
        <v>1</v>
      </c>
      <c r="F55" s="1">
        <v>3</v>
      </c>
      <c r="G55" s="1">
        <v>116</v>
      </c>
      <c r="H55" s="1">
        <f>VLOOKUP(B55,坦克标准养成属性!$D$5:$F$36,3,FALSE)</f>
        <v>0</v>
      </c>
    </row>
    <row r="56" spans="1:8" x14ac:dyDescent="0.3">
      <c r="A56" s="125" t="s">
        <v>1095</v>
      </c>
      <c r="B56" s="1">
        <v>2431</v>
      </c>
      <c r="C56" s="1">
        <v>4</v>
      </c>
      <c r="D56" s="1">
        <v>40</v>
      </c>
      <c r="E56" s="1">
        <v>0</v>
      </c>
      <c r="F56" s="1">
        <v>1</v>
      </c>
      <c r="G56" s="1">
        <v>116</v>
      </c>
      <c r="H56" s="1">
        <f>VLOOKUP(B56,坦克标准养成属性!$D$5:$F$36,3,FALSE)</f>
        <v>0</v>
      </c>
    </row>
    <row r="57" spans="1:8" x14ac:dyDescent="0.3">
      <c r="A57" s="125" t="s">
        <v>1095</v>
      </c>
      <c r="B57" s="1">
        <v>2431</v>
      </c>
      <c r="C57" s="1">
        <v>5</v>
      </c>
      <c r="D57" s="1">
        <v>50</v>
      </c>
      <c r="E57" s="1">
        <v>0</v>
      </c>
      <c r="F57" s="1">
        <v>2</v>
      </c>
      <c r="G57" s="1">
        <v>116</v>
      </c>
      <c r="H57" s="1">
        <f>VLOOKUP(B57,坦克标准养成属性!$D$5:$F$36,3,FALSE)</f>
        <v>0</v>
      </c>
    </row>
    <row r="58" spans="1:8" x14ac:dyDescent="0.3">
      <c r="A58" s="125" t="s">
        <v>1095</v>
      </c>
      <c r="B58" s="1">
        <v>2431</v>
      </c>
      <c r="C58" s="1">
        <v>6</v>
      </c>
      <c r="D58" s="1">
        <v>60</v>
      </c>
      <c r="E58" s="1">
        <v>1</v>
      </c>
      <c r="F58" s="1">
        <v>3</v>
      </c>
      <c r="G58" s="1">
        <v>116</v>
      </c>
      <c r="H58" s="1">
        <f>VLOOKUP(B58,坦克标准养成属性!$D$5:$F$36,3,FALSE)</f>
        <v>0</v>
      </c>
    </row>
    <row r="59" spans="1:8" x14ac:dyDescent="0.3">
      <c r="A59" s="125" t="s">
        <v>1095</v>
      </c>
      <c r="B59" s="1">
        <v>2511</v>
      </c>
      <c r="C59" s="1">
        <v>5</v>
      </c>
      <c r="D59" s="1">
        <v>50</v>
      </c>
      <c r="E59" s="1">
        <v>0</v>
      </c>
      <c r="F59" s="1">
        <v>1</v>
      </c>
      <c r="G59" s="1">
        <v>116</v>
      </c>
      <c r="H59" s="1">
        <f>VLOOKUP(B59,坦克标准养成属性!$D$5:$F$36,3,FALSE)</f>
        <v>0</v>
      </c>
    </row>
    <row r="60" spans="1:8" x14ac:dyDescent="0.3">
      <c r="A60" s="125" t="s">
        <v>1095</v>
      </c>
      <c r="B60" s="1">
        <v>2511</v>
      </c>
      <c r="C60" s="1">
        <v>6</v>
      </c>
      <c r="D60" s="1">
        <v>60</v>
      </c>
      <c r="E60" s="1">
        <v>0</v>
      </c>
      <c r="F60" s="1">
        <v>2</v>
      </c>
      <c r="G60" s="1">
        <v>116</v>
      </c>
      <c r="H60" s="1">
        <f>VLOOKUP(B60,坦克标准养成属性!$D$5:$F$36,3,FALSE)</f>
        <v>0</v>
      </c>
    </row>
    <row r="61" spans="1:8" x14ac:dyDescent="0.3">
      <c r="A61" s="125" t="s">
        <v>1095</v>
      </c>
      <c r="B61" s="1">
        <v>2511</v>
      </c>
      <c r="C61" s="1">
        <v>7</v>
      </c>
      <c r="D61" s="1">
        <v>70</v>
      </c>
      <c r="E61" s="1">
        <v>1</v>
      </c>
      <c r="F61" s="1">
        <v>3</v>
      </c>
      <c r="G61" s="1">
        <v>116</v>
      </c>
      <c r="H61" s="1">
        <f>VLOOKUP(B61,坦克标准养成属性!$D$5:$F$36,3,FALSE)</f>
        <v>0</v>
      </c>
    </row>
    <row r="62" spans="1:8" x14ac:dyDescent="0.3">
      <c r="A62" s="125" t="s">
        <v>1096</v>
      </c>
      <c r="B62" s="1">
        <v>3111</v>
      </c>
      <c r="C62" s="1">
        <v>1</v>
      </c>
      <c r="D62" s="1">
        <v>10</v>
      </c>
      <c r="E62" s="1">
        <v>0</v>
      </c>
      <c r="F62" s="1">
        <v>1</v>
      </c>
      <c r="G62" s="1">
        <v>117</v>
      </c>
      <c r="H62" s="1">
        <f>VLOOKUP(B62,坦克标准养成属性!$D$5:$F$36,3,FALSE)</f>
        <v>1</v>
      </c>
    </row>
    <row r="63" spans="1:8" x14ac:dyDescent="0.3">
      <c r="A63" s="125" t="s">
        <v>1096</v>
      </c>
      <c r="B63" s="1">
        <v>3111</v>
      </c>
      <c r="C63" s="1">
        <v>2</v>
      </c>
      <c r="D63" s="1">
        <v>20</v>
      </c>
      <c r="E63" s="1">
        <v>0</v>
      </c>
      <c r="F63" s="1">
        <v>2</v>
      </c>
      <c r="G63" s="1">
        <v>117</v>
      </c>
      <c r="H63" s="1">
        <f>VLOOKUP(B63,坦克标准养成属性!$D$5:$F$36,3,FALSE)</f>
        <v>1</v>
      </c>
    </row>
    <row r="64" spans="1:8" x14ac:dyDescent="0.3">
      <c r="A64" s="125" t="s">
        <v>1096</v>
      </c>
      <c r="B64" s="1">
        <v>3111</v>
      </c>
      <c r="C64" s="1">
        <v>3</v>
      </c>
      <c r="D64" s="1">
        <v>30</v>
      </c>
      <c r="E64" s="1">
        <v>1</v>
      </c>
      <c r="F64" s="1">
        <v>3</v>
      </c>
      <c r="G64" s="1">
        <v>117</v>
      </c>
      <c r="H64" s="1">
        <f>VLOOKUP(B64,坦克标准养成属性!$D$5:$F$36,3,FALSE)</f>
        <v>1</v>
      </c>
    </row>
    <row r="65" spans="1:8" x14ac:dyDescent="0.3">
      <c r="A65" s="125" t="s">
        <v>1096</v>
      </c>
      <c r="B65" s="1">
        <v>3211</v>
      </c>
      <c r="C65" s="1">
        <v>2</v>
      </c>
      <c r="D65" s="1">
        <v>20</v>
      </c>
      <c r="E65" s="1">
        <v>0</v>
      </c>
      <c r="F65" s="1">
        <v>1</v>
      </c>
      <c r="G65" s="1">
        <v>117</v>
      </c>
      <c r="H65" s="1">
        <f>VLOOKUP(B65,坦克标准养成属性!$D$5:$F$36,3,FALSE)</f>
        <v>1</v>
      </c>
    </row>
    <row r="66" spans="1:8" x14ac:dyDescent="0.3">
      <c r="A66" s="125" t="s">
        <v>1096</v>
      </c>
      <c r="B66" s="1">
        <v>3211</v>
      </c>
      <c r="C66" s="1">
        <v>3</v>
      </c>
      <c r="D66" s="1">
        <v>30</v>
      </c>
      <c r="E66" s="1">
        <v>0</v>
      </c>
      <c r="F66" s="1">
        <v>2</v>
      </c>
      <c r="G66" s="1">
        <v>117</v>
      </c>
      <c r="H66" s="1">
        <f>VLOOKUP(B66,坦克标准养成属性!$D$5:$F$36,3,FALSE)</f>
        <v>1</v>
      </c>
    </row>
    <row r="67" spans="1:8" x14ac:dyDescent="0.3">
      <c r="A67" s="125" t="s">
        <v>1096</v>
      </c>
      <c r="B67" s="1">
        <v>3211</v>
      </c>
      <c r="C67" s="1">
        <v>4</v>
      </c>
      <c r="D67" s="1">
        <v>40</v>
      </c>
      <c r="E67" s="1">
        <v>1</v>
      </c>
      <c r="F67" s="1">
        <v>3</v>
      </c>
      <c r="G67" s="1">
        <v>117</v>
      </c>
      <c r="H67" s="1">
        <f>VLOOKUP(B67,坦克标准养成属性!$D$5:$F$36,3,FALSE)</f>
        <v>1</v>
      </c>
    </row>
    <row r="68" spans="1:8" x14ac:dyDescent="0.3">
      <c r="A68" s="125" t="s">
        <v>1096</v>
      </c>
      <c r="B68" s="1">
        <v>3221</v>
      </c>
      <c r="C68" s="1">
        <v>2</v>
      </c>
      <c r="D68" s="1">
        <v>20</v>
      </c>
      <c r="E68" s="1">
        <v>0</v>
      </c>
      <c r="F68" s="1">
        <v>1</v>
      </c>
      <c r="G68" s="1">
        <v>117</v>
      </c>
      <c r="H68" s="1">
        <f>VLOOKUP(B68,坦克标准养成属性!$D$5:$F$36,3,FALSE)</f>
        <v>1</v>
      </c>
    </row>
    <row r="69" spans="1:8" x14ac:dyDescent="0.3">
      <c r="A69" s="125" t="s">
        <v>1096</v>
      </c>
      <c r="B69" s="1">
        <v>3221</v>
      </c>
      <c r="C69" s="1">
        <v>3</v>
      </c>
      <c r="D69" s="1">
        <v>30</v>
      </c>
      <c r="E69" s="1">
        <v>0</v>
      </c>
      <c r="F69" s="1">
        <v>2</v>
      </c>
      <c r="G69" s="1">
        <v>117</v>
      </c>
      <c r="H69" s="1">
        <f>VLOOKUP(B69,坦克标准养成属性!$D$5:$F$36,3,FALSE)</f>
        <v>1</v>
      </c>
    </row>
    <row r="70" spans="1:8" x14ac:dyDescent="0.3">
      <c r="A70" s="125" t="s">
        <v>1096</v>
      </c>
      <c r="B70" s="1">
        <v>3221</v>
      </c>
      <c r="C70" s="1">
        <v>4</v>
      </c>
      <c r="D70" s="1">
        <v>40</v>
      </c>
      <c r="E70" s="1">
        <v>1</v>
      </c>
      <c r="F70" s="1">
        <v>3</v>
      </c>
      <c r="G70" s="1">
        <v>117</v>
      </c>
      <c r="H70" s="1">
        <f>VLOOKUP(B70,坦克标准养成属性!$D$5:$F$36,3,FALSE)</f>
        <v>1</v>
      </c>
    </row>
    <row r="71" spans="1:8" x14ac:dyDescent="0.3">
      <c r="A71" s="125" t="s">
        <v>1096</v>
      </c>
      <c r="B71" s="1">
        <v>3311</v>
      </c>
      <c r="C71" s="1">
        <v>3</v>
      </c>
      <c r="D71" s="1">
        <v>30</v>
      </c>
      <c r="E71" s="1">
        <v>0</v>
      </c>
      <c r="F71" s="1">
        <v>1</v>
      </c>
      <c r="G71" s="1">
        <v>117</v>
      </c>
      <c r="H71" s="1">
        <f>VLOOKUP(B71,坦克标准养成属性!$D$5:$F$36,3,FALSE)</f>
        <v>1</v>
      </c>
    </row>
    <row r="72" spans="1:8" x14ac:dyDescent="0.3">
      <c r="A72" s="125" t="s">
        <v>1096</v>
      </c>
      <c r="B72" s="1">
        <v>3311</v>
      </c>
      <c r="C72" s="1">
        <v>4</v>
      </c>
      <c r="D72" s="1">
        <v>40</v>
      </c>
      <c r="E72" s="1">
        <v>0</v>
      </c>
      <c r="F72" s="1">
        <v>2</v>
      </c>
      <c r="G72" s="1">
        <v>117</v>
      </c>
      <c r="H72" s="1">
        <f>VLOOKUP(B72,坦克标准养成属性!$D$5:$F$36,3,FALSE)</f>
        <v>1</v>
      </c>
    </row>
    <row r="73" spans="1:8" x14ac:dyDescent="0.3">
      <c r="A73" s="125" t="s">
        <v>1096</v>
      </c>
      <c r="B73" s="1">
        <v>3311</v>
      </c>
      <c r="C73" s="1">
        <v>5</v>
      </c>
      <c r="D73" s="1">
        <v>50</v>
      </c>
      <c r="E73" s="1">
        <v>1</v>
      </c>
      <c r="F73" s="1">
        <v>3</v>
      </c>
      <c r="G73" s="1">
        <v>117</v>
      </c>
      <c r="H73" s="1">
        <f>VLOOKUP(B73,坦克标准养成属性!$D$5:$F$36,3,FALSE)</f>
        <v>1</v>
      </c>
    </row>
    <row r="74" spans="1:8" x14ac:dyDescent="0.3">
      <c r="A74" s="125" t="s">
        <v>1096</v>
      </c>
      <c r="B74" s="1">
        <v>3321</v>
      </c>
      <c r="C74" s="1">
        <v>3</v>
      </c>
      <c r="D74" s="1">
        <v>30</v>
      </c>
      <c r="E74" s="1">
        <v>0</v>
      </c>
      <c r="F74" s="1">
        <v>1</v>
      </c>
      <c r="G74" s="1">
        <v>117</v>
      </c>
      <c r="H74" s="1">
        <f>VLOOKUP(B74,坦克标准养成属性!$D$5:$F$36,3,FALSE)</f>
        <v>1</v>
      </c>
    </row>
    <row r="75" spans="1:8" x14ac:dyDescent="0.3">
      <c r="A75" s="125" t="s">
        <v>1096</v>
      </c>
      <c r="B75" s="1">
        <v>3321</v>
      </c>
      <c r="C75" s="1">
        <v>4</v>
      </c>
      <c r="D75" s="1">
        <v>40</v>
      </c>
      <c r="E75" s="1">
        <v>0</v>
      </c>
      <c r="F75" s="1">
        <v>2</v>
      </c>
      <c r="G75" s="1">
        <v>117</v>
      </c>
      <c r="H75" s="1">
        <f>VLOOKUP(B75,坦克标准养成属性!$D$5:$F$36,3,FALSE)</f>
        <v>1</v>
      </c>
    </row>
    <row r="76" spans="1:8" x14ac:dyDescent="0.3">
      <c r="A76" s="125" t="s">
        <v>1096</v>
      </c>
      <c r="B76" s="1">
        <v>3321</v>
      </c>
      <c r="C76" s="1">
        <v>5</v>
      </c>
      <c r="D76" s="1">
        <v>50</v>
      </c>
      <c r="E76" s="1">
        <v>1</v>
      </c>
      <c r="F76" s="1">
        <v>3</v>
      </c>
      <c r="G76" s="1">
        <v>117</v>
      </c>
      <c r="H76" s="1">
        <f>VLOOKUP(B76,坦克标准养成属性!$D$5:$F$36,3,FALSE)</f>
        <v>1</v>
      </c>
    </row>
    <row r="77" spans="1:8" x14ac:dyDescent="0.3">
      <c r="A77" s="125" t="s">
        <v>1096</v>
      </c>
      <c r="B77" s="1">
        <v>3331</v>
      </c>
      <c r="C77" s="1">
        <v>3</v>
      </c>
      <c r="D77" s="1">
        <v>30</v>
      </c>
      <c r="E77" s="1">
        <v>0</v>
      </c>
      <c r="F77" s="1">
        <v>1</v>
      </c>
      <c r="G77" s="1">
        <v>117</v>
      </c>
      <c r="H77" s="1">
        <f>VLOOKUP(B77,坦克标准养成属性!$D$5:$F$36,3,FALSE)</f>
        <v>0</v>
      </c>
    </row>
    <row r="78" spans="1:8" x14ac:dyDescent="0.3">
      <c r="A78" s="125" t="s">
        <v>1096</v>
      </c>
      <c r="B78" s="1">
        <v>3331</v>
      </c>
      <c r="C78" s="1">
        <v>4</v>
      </c>
      <c r="D78" s="1">
        <v>40</v>
      </c>
      <c r="E78" s="1">
        <v>0</v>
      </c>
      <c r="F78" s="1">
        <v>2</v>
      </c>
      <c r="G78" s="1">
        <v>117</v>
      </c>
      <c r="H78" s="1">
        <f>VLOOKUP(B78,坦克标准养成属性!$D$5:$F$36,3,FALSE)</f>
        <v>0</v>
      </c>
    </row>
    <row r="79" spans="1:8" x14ac:dyDescent="0.3">
      <c r="A79" s="125" t="s">
        <v>1096</v>
      </c>
      <c r="B79" s="1">
        <v>3331</v>
      </c>
      <c r="C79" s="1">
        <v>5</v>
      </c>
      <c r="D79" s="1">
        <v>50</v>
      </c>
      <c r="E79" s="1">
        <v>1</v>
      </c>
      <c r="F79" s="1">
        <v>3</v>
      </c>
      <c r="G79" s="1">
        <v>117</v>
      </c>
      <c r="H79" s="1">
        <f>VLOOKUP(B79,坦克标准养成属性!$D$5:$F$36,3,FALSE)</f>
        <v>0</v>
      </c>
    </row>
    <row r="80" spans="1:8" x14ac:dyDescent="0.3">
      <c r="A80" s="125" t="s">
        <v>1096</v>
      </c>
      <c r="B80" s="1">
        <v>3411</v>
      </c>
      <c r="C80" s="1">
        <v>4</v>
      </c>
      <c r="D80" s="1">
        <v>40</v>
      </c>
      <c r="E80" s="1">
        <v>0</v>
      </c>
      <c r="F80" s="1">
        <v>1</v>
      </c>
      <c r="G80" s="1">
        <v>117</v>
      </c>
      <c r="H80" s="1">
        <f>VLOOKUP(B80,坦克标准养成属性!$D$5:$F$36,3,FALSE)</f>
        <v>0</v>
      </c>
    </row>
    <row r="81" spans="1:8" x14ac:dyDescent="0.3">
      <c r="A81" s="125" t="s">
        <v>1096</v>
      </c>
      <c r="B81" s="1">
        <v>3411</v>
      </c>
      <c r="C81" s="1">
        <v>5</v>
      </c>
      <c r="D81" s="1">
        <v>50</v>
      </c>
      <c r="E81" s="1">
        <v>0</v>
      </c>
      <c r="F81" s="1">
        <v>2</v>
      </c>
      <c r="G81" s="1">
        <v>117</v>
      </c>
      <c r="H81" s="1">
        <f>VLOOKUP(B81,坦克标准养成属性!$D$5:$F$36,3,FALSE)</f>
        <v>0</v>
      </c>
    </row>
    <row r="82" spans="1:8" x14ac:dyDescent="0.3">
      <c r="A82" s="125" t="s">
        <v>1096</v>
      </c>
      <c r="B82" s="1">
        <v>3411</v>
      </c>
      <c r="C82" s="1">
        <v>6</v>
      </c>
      <c r="D82" s="1">
        <v>60</v>
      </c>
      <c r="E82" s="1">
        <v>1</v>
      </c>
      <c r="F82" s="1">
        <v>3</v>
      </c>
      <c r="G82" s="1">
        <v>117</v>
      </c>
      <c r="H82" s="1">
        <f>VLOOKUP(B82,坦克标准养成属性!$D$5:$F$36,3,FALSE)</f>
        <v>0</v>
      </c>
    </row>
    <row r="83" spans="1:8" x14ac:dyDescent="0.3">
      <c r="A83" s="125" t="s">
        <v>1096</v>
      </c>
      <c r="B83" s="1">
        <v>3421</v>
      </c>
      <c r="C83" s="1">
        <v>4</v>
      </c>
      <c r="D83" s="1">
        <v>40</v>
      </c>
      <c r="E83" s="1">
        <v>0</v>
      </c>
      <c r="F83" s="1">
        <v>1</v>
      </c>
      <c r="G83" s="1">
        <v>117</v>
      </c>
      <c r="H83" s="1">
        <f>VLOOKUP(B83,坦克标准养成属性!$D$5:$F$36,3,FALSE)</f>
        <v>0</v>
      </c>
    </row>
    <row r="84" spans="1:8" x14ac:dyDescent="0.3">
      <c r="A84" s="125" t="s">
        <v>1096</v>
      </c>
      <c r="B84" s="1">
        <v>3421</v>
      </c>
      <c r="C84" s="1">
        <v>5</v>
      </c>
      <c r="D84" s="1">
        <v>50</v>
      </c>
      <c r="E84" s="1">
        <v>0</v>
      </c>
      <c r="F84" s="1">
        <v>2</v>
      </c>
      <c r="G84" s="1">
        <v>117</v>
      </c>
      <c r="H84" s="1">
        <f>VLOOKUP(B84,坦克标准养成属性!$D$5:$F$36,3,FALSE)</f>
        <v>0</v>
      </c>
    </row>
    <row r="85" spans="1:8" x14ac:dyDescent="0.3">
      <c r="A85" s="125" t="s">
        <v>1096</v>
      </c>
      <c r="B85" s="1">
        <v>3421</v>
      </c>
      <c r="C85" s="1">
        <v>6</v>
      </c>
      <c r="D85" s="1">
        <v>60</v>
      </c>
      <c r="E85" s="1">
        <v>1</v>
      </c>
      <c r="F85" s="1">
        <v>3</v>
      </c>
      <c r="G85" s="1">
        <v>117</v>
      </c>
      <c r="H85" s="1">
        <f>VLOOKUP(B85,坦克标准养成属性!$D$5:$F$36,3,FALSE)</f>
        <v>0</v>
      </c>
    </row>
    <row r="86" spans="1:8" x14ac:dyDescent="0.3">
      <c r="A86" s="125" t="s">
        <v>1096</v>
      </c>
      <c r="B86" s="1">
        <v>3431</v>
      </c>
      <c r="C86" s="1">
        <v>4</v>
      </c>
      <c r="D86" s="1">
        <v>40</v>
      </c>
      <c r="E86" s="1">
        <v>0</v>
      </c>
      <c r="F86" s="1">
        <v>1</v>
      </c>
      <c r="G86" s="1">
        <v>117</v>
      </c>
      <c r="H86" s="1">
        <f>VLOOKUP(B86,坦克标准养成属性!$D$5:$F$36,3,FALSE)</f>
        <v>0</v>
      </c>
    </row>
    <row r="87" spans="1:8" x14ac:dyDescent="0.3">
      <c r="A87" s="125" t="s">
        <v>1096</v>
      </c>
      <c r="B87" s="1">
        <v>3431</v>
      </c>
      <c r="C87" s="1">
        <v>5</v>
      </c>
      <c r="D87" s="1">
        <v>50</v>
      </c>
      <c r="E87" s="1">
        <v>0</v>
      </c>
      <c r="F87" s="1">
        <v>2</v>
      </c>
      <c r="G87" s="1">
        <v>117</v>
      </c>
      <c r="H87" s="1">
        <f>VLOOKUP(B87,坦克标准养成属性!$D$5:$F$36,3,FALSE)</f>
        <v>0</v>
      </c>
    </row>
    <row r="88" spans="1:8" x14ac:dyDescent="0.3">
      <c r="A88" s="125" t="s">
        <v>1096</v>
      </c>
      <c r="B88" s="1">
        <v>3431</v>
      </c>
      <c r="C88" s="1">
        <v>6</v>
      </c>
      <c r="D88" s="1">
        <v>60</v>
      </c>
      <c r="E88" s="1">
        <v>1</v>
      </c>
      <c r="F88" s="1">
        <v>3</v>
      </c>
      <c r="G88" s="1">
        <v>117</v>
      </c>
      <c r="H88" s="1">
        <f>VLOOKUP(B88,坦克标准养成属性!$D$5:$F$36,3,FALSE)</f>
        <v>0</v>
      </c>
    </row>
    <row r="89" spans="1:8" x14ac:dyDescent="0.3">
      <c r="A89" s="125" t="s">
        <v>1096</v>
      </c>
      <c r="B89" s="1">
        <v>3511</v>
      </c>
      <c r="C89" s="1">
        <v>5</v>
      </c>
      <c r="D89" s="1">
        <v>50</v>
      </c>
      <c r="E89" s="1">
        <v>0</v>
      </c>
      <c r="F89" s="1">
        <v>1</v>
      </c>
      <c r="G89" s="1">
        <v>117</v>
      </c>
      <c r="H89" s="1">
        <f>VLOOKUP(B89,坦克标准养成属性!$D$5:$F$36,3,FALSE)</f>
        <v>0</v>
      </c>
    </row>
    <row r="90" spans="1:8" x14ac:dyDescent="0.3">
      <c r="A90" s="125" t="s">
        <v>1096</v>
      </c>
      <c r="B90" s="1">
        <v>3511</v>
      </c>
      <c r="C90" s="1">
        <v>6</v>
      </c>
      <c r="D90" s="1">
        <v>60</v>
      </c>
      <c r="E90" s="1">
        <v>0</v>
      </c>
      <c r="F90" s="1">
        <v>2</v>
      </c>
      <c r="G90" s="1">
        <v>117</v>
      </c>
      <c r="H90" s="1">
        <f>VLOOKUP(B90,坦克标准养成属性!$D$5:$F$36,3,FALSE)</f>
        <v>0</v>
      </c>
    </row>
    <row r="91" spans="1:8" x14ac:dyDescent="0.3">
      <c r="A91" s="125" t="s">
        <v>1096</v>
      </c>
      <c r="B91" s="1">
        <v>3511</v>
      </c>
      <c r="C91" s="1">
        <v>7</v>
      </c>
      <c r="D91" s="1">
        <v>70</v>
      </c>
      <c r="E91" s="1">
        <v>1</v>
      </c>
      <c r="F91" s="1">
        <v>3</v>
      </c>
      <c r="G91" s="1">
        <v>117</v>
      </c>
      <c r="H91" s="1">
        <f>VLOOKUP(B91,坦克标准养成属性!$D$5:$F$36,3,FALSE)</f>
        <v>0</v>
      </c>
    </row>
    <row r="92" spans="1:8" x14ac:dyDescent="0.3">
      <c r="A92" s="125" t="s">
        <v>1096</v>
      </c>
      <c r="B92" s="1">
        <v>3341</v>
      </c>
      <c r="C92" s="1">
        <v>3</v>
      </c>
      <c r="D92" s="1">
        <v>30</v>
      </c>
      <c r="E92" s="1">
        <v>0</v>
      </c>
      <c r="F92" s="1">
        <v>1</v>
      </c>
      <c r="G92" s="1">
        <v>117</v>
      </c>
      <c r="H92" s="1">
        <f>VLOOKUP(B92,坦克标准养成属性!$D$5:$F$36,3,FALSE)</f>
        <v>1</v>
      </c>
    </row>
    <row r="93" spans="1:8" x14ac:dyDescent="0.3">
      <c r="A93" s="125" t="s">
        <v>1096</v>
      </c>
      <c r="B93" s="1">
        <v>3341</v>
      </c>
      <c r="C93" s="1">
        <v>4</v>
      </c>
      <c r="D93" s="1">
        <v>40</v>
      </c>
      <c r="E93" s="1">
        <v>0</v>
      </c>
      <c r="F93" s="1">
        <v>2</v>
      </c>
      <c r="G93" s="1">
        <v>117</v>
      </c>
      <c r="H93" s="1">
        <f>VLOOKUP(B93,坦克标准养成属性!$D$5:$F$36,3,FALSE)</f>
        <v>1</v>
      </c>
    </row>
    <row r="94" spans="1:8" x14ac:dyDescent="0.3">
      <c r="A94" s="125" t="s">
        <v>1096</v>
      </c>
      <c r="B94" s="1">
        <v>3341</v>
      </c>
      <c r="C94" s="1">
        <v>5</v>
      </c>
      <c r="D94" s="1">
        <v>50</v>
      </c>
      <c r="E94" s="1">
        <v>1</v>
      </c>
      <c r="F94" s="1">
        <v>3</v>
      </c>
      <c r="G94" s="1">
        <v>117</v>
      </c>
      <c r="H94" s="1">
        <f>VLOOKUP(B94,坦克标准养成属性!$D$5:$F$36,3,FALSE)</f>
        <v>1</v>
      </c>
    </row>
  </sheetData>
  <phoneticPr fontId="34" type="noConversion"/>
  <pageMargins left="0.7" right="0.7" top="0.75" bottom="0.75" header="0.3" footer="0.3"/>
  <ignoredErrors>
    <ignoredError sqref="A2:A94" numberStoredAsText="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BC158"/>
  <sheetViews>
    <sheetView topLeftCell="A43" workbookViewId="0">
      <pane xSplit="4" topLeftCell="E1" activePane="topRight" state="frozen"/>
      <selection pane="topRight" activeCell="A63" sqref="A63:XFD63"/>
    </sheetView>
  </sheetViews>
  <sheetFormatPr defaultColWidth="9" defaultRowHeight="14.25" x14ac:dyDescent="0.3"/>
  <cols>
    <col min="1" max="1" width="2.5" style="1" customWidth="1"/>
    <col min="2" max="2" width="9" style="1"/>
    <col min="3" max="3" width="7.75" style="1" customWidth="1"/>
    <col min="4" max="16384" width="9" style="1"/>
  </cols>
  <sheetData>
    <row r="2" spans="2:24" x14ac:dyDescent="0.3">
      <c r="B2" s="262" t="s">
        <v>1097</v>
      </c>
      <c r="C2" s="262"/>
      <c r="D2" s="262"/>
      <c r="E2" s="262"/>
      <c r="F2" s="262"/>
      <c r="G2" s="262"/>
      <c r="H2" s="262"/>
      <c r="I2" s="262"/>
      <c r="J2" s="262"/>
      <c r="L2" s="262" t="s">
        <v>1098</v>
      </c>
      <c r="M2" s="262"/>
    </row>
    <row r="3" spans="2:24" x14ac:dyDescent="0.3">
      <c r="B3" s="2" t="s">
        <v>1099</v>
      </c>
      <c r="C3" s="2" t="s">
        <v>1100</v>
      </c>
      <c r="D3" s="2" t="s">
        <v>79</v>
      </c>
      <c r="E3" s="2" t="s">
        <v>81</v>
      </c>
      <c r="F3" s="2" t="s">
        <v>83</v>
      </c>
      <c r="G3" s="2" t="s">
        <v>85</v>
      </c>
      <c r="H3" s="2" t="s">
        <v>86</v>
      </c>
      <c r="I3" s="2" t="s">
        <v>87</v>
      </c>
      <c r="J3" s="2" t="s">
        <v>88</v>
      </c>
      <c r="L3" s="2" t="s">
        <v>1101</v>
      </c>
      <c r="M3" s="2" t="s">
        <v>1102</v>
      </c>
    </row>
    <row r="4" spans="2:24" x14ac:dyDescent="0.3">
      <c r="B4" s="2" t="s">
        <v>774</v>
      </c>
      <c r="C4" s="2" t="s">
        <v>1103</v>
      </c>
      <c r="D4" s="34">
        <v>1</v>
      </c>
      <c r="E4" s="34">
        <v>1</v>
      </c>
      <c r="F4" s="34">
        <v>1</v>
      </c>
      <c r="G4" s="34">
        <v>1</v>
      </c>
      <c r="H4" s="34">
        <v>1</v>
      </c>
      <c r="I4" s="34">
        <v>1</v>
      </c>
      <c r="J4" s="34">
        <v>1</v>
      </c>
      <c r="L4" s="2" t="s">
        <v>1104</v>
      </c>
      <c r="M4" s="21">
        <v>0.8</v>
      </c>
    </row>
    <row r="5" spans="2:24" x14ac:dyDescent="0.3">
      <c r="B5" s="2" t="s">
        <v>775</v>
      </c>
      <c r="C5" s="2" t="s">
        <v>1105</v>
      </c>
      <c r="D5" s="34">
        <f>1/VLOOKUP(D$3,标准坦克设计!$B$39:$H$46,5,FALSE)</f>
        <v>0.86648937408349813</v>
      </c>
      <c r="E5" s="34">
        <f>1/VLOOKUP(E$3,标准坦克设计!$B$39:$H$46,5,FALSE)</f>
        <v>0.81795323807246489</v>
      </c>
      <c r="F5" s="34">
        <f>1/VLOOKUP(F$3,标准坦克设计!$B$39:$H$46,5,FALSE)</f>
        <v>0.77499038540104626</v>
      </c>
      <c r="G5" s="34">
        <f>1/VLOOKUP(G$3,标准坦克设计!$B$39:$H$46,5,FALSE)</f>
        <v>0.86457504628480419</v>
      </c>
      <c r="H5" s="34">
        <f>1/VLOOKUP(H$3,标准坦克设计!$B$39:$H$46,5,FALSE)</f>
        <v>0.80055128670624265</v>
      </c>
      <c r="I5" s="34">
        <f>1/VLOOKUP(I$3,标准坦克设计!$B$39:$H$46,5,FALSE)</f>
        <v>0.85631735938917464</v>
      </c>
      <c r="J5" s="34">
        <f>1/VLOOKUP(J$3,标准坦克设计!$B$39:$H$46,5,FALSE)</f>
        <v>0.81188823807533339</v>
      </c>
      <c r="L5" s="2" t="s">
        <v>1106</v>
      </c>
      <c r="M5" s="21">
        <f>1-M4</f>
        <v>0.19999999999999996</v>
      </c>
    </row>
    <row r="6" spans="2:24" x14ac:dyDescent="0.3">
      <c r="B6" s="2" t="s">
        <v>776</v>
      </c>
      <c r="C6" s="2" t="s">
        <v>1105</v>
      </c>
      <c r="D6" s="34">
        <f>VLOOKUP(D$3,标准坦克设计!$B$3:$C$10,2,FALSE)*1%</f>
        <v>1.0500000000000001E-2</v>
      </c>
      <c r="E6" s="34">
        <f>VLOOKUP(E$3,标准坦克设计!$B$3:$C$10,2,FALSE)*1%</f>
        <v>1.15E-2</v>
      </c>
      <c r="F6" s="34">
        <f>VLOOKUP(F$3,标准坦克设计!$B$3:$C$10,2,FALSE)*1%</f>
        <v>1.2500000000000001E-2</v>
      </c>
      <c r="G6" s="34">
        <f>VLOOKUP(G$3,标准坦克设计!$B$3:$C$10,2,FALSE)*1%</f>
        <v>0.01</v>
      </c>
      <c r="H6" s="34">
        <f>VLOOKUP(H$3,标准坦克设计!$B$3:$C$10,2,FALSE)*1%</f>
        <v>1.15E-2</v>
      </c>
      <c r="I6" s="34">
        <f>VLOOKUP(I$3,标准坦克设计!$B$3:$C$10,2,FALSE)*1%</f>
        <v>0.01</v>
      </c>
      <c r="J6" s="34">
        <f>VLOOKUP(J$3,标准坦克设计!$B$3:$C$10,2,FALSE)*1%</f>
        <v>1.1000000000000001E-2</v>
      </c>
    </row>
    <row r="7" spans="2:24" x14ac:dyDescent="0.3">
      <c r="B7" s="2" t="s">
        <v>77</v>
      </c>
      <c r="C7" s="2" t="s">
        <v>1105</v>
      </c>
      <c r="D7" s="34">
        <f>D6</f>
        <v>1.0500000000000001E-2</v>
      </c>
      <c r="E7" s="34">
        <f t="shared" ref="E7:J7" si="0">E6</f>
        <v>1.15E-2</v>
      </c>
      <c r="F7" s="34">
        <f t="shared" si="0"/>
        <v>1.2500000000000001E-2</v>
      </c>
      <c r="G7" s="34">
        <f t="shared" si="0"/>
        <v>0.01</v>
      </c>
      <c r="H7" s="34">
        <f t="shared" si="0"/>
        <v>1.15E-2</v>
      </c>
      <c r="I7" s="34">
        <f t="shared" si="0"/>
        <v>0.01</v>
      </c>
      <c r="J7" s="34">
        <f t="shared" si="0"/>
        <v>1.1000000000000001E-2</v>
      </c>
    </row>
    <row r="8" spans="2:24" x14ac:dyDescent="0.3">
      <c r="B8" s="2" t="s">
        <v>130</v>
      </c>
      <c r="C8" s="2" t="s">
        <v>1103</v>
      </c>
      <c r="D8" s="34">
        <f>D6</f>
        <v>1.0500000000000001E-2</v>
      </c>
      <c r="E8" s="34">
        <f t="shared" ref="E8:J8" si="1">E6</f>
        <v>1.15E-2</v>
      </c>
      <c r="F8" s="34">
        <f t="shared" si="1"/>
        <v>1.2500000000000001E-2</v>
      </c>
      <c r="G8" s="34">
        <f t="shared" si="1"/>
        <v>0.01</v>
      </c>
      <c r="H8" s="34">
        <f t="shared" si="1"/>
        <v>1.15E-2</v>
      </c>
      <c r="I8" s="34">
        <f t="shared" si="1"/>
        <v>0.01</v>
      </c>
      <c r="J8" s="34">
        <f t="shared" si="1"/>
        <v>1.1000000000000001E-2</v>
      </c>
    </row>
    <row r="9" spans="2:24" x14ac:dyDescent="0.3">
      <c r="B9" s="2" t="s">
        <v>777</v>
      </c>
      <c r="C9" s="2" t="s">
        <v>1105</v>
      </c>
      <c r="D9" s="41">
        <v>0.2</v>
      </c>
      <c r="E9" s="34">
        <f t="shared" ref="E9:J9" si="2">D9</f>
        <v>0.2</v>
      </c>
      <c r="F9" s="34">
        <f t="shared" si="2"/>
        <v>0.2</v>
      </c>
      <c r="G9" s="34">
        <f t="shared" si="2"/>
        <v>0.2</v>
      </c>
      <c r="H9" s="34">
        <f t="shared" si="2"/>
        <v>0.2</v>
      </c>
      <c r="I9" s="34">
        <f t="shared" si="2"/>
        <v>0.2</v>
      </c>
      <c r="J9" s="34">
        <f t="shared" si="2"/>
        <v>0.2</v>
      </c>
    </row>
    <row r="10" spans="2:24" x14ac:dyDescent="0.3">
      <c r="B10" s="2" t="s">
        <v>1107</v>
      </c>
      <c r="C10" s="2" t="s">
        <v>1105</v>
      </c>
      <c r="D10" s="34">
        <f>VLOOKUP(D$3,坦克等级成长!$B$80:$X$87,23,FALSE)</f>
        <v>-0.41666666666666657</v>
      </c>
      <c r="E10" s="34">
        <f>VLOOKUP(E$3,坦克等级成长!$B$80:$X$87,23,FALSE)</f>
        <v>0.18827947176856838</v>
      </c>
      <c r="F10" s="34">
        <f>VLOOKUP(F$3,坦克等级成长!$B$80:$X$87,23,FALSE)</f>
        <v>0.33333333333333331</v>
      </c>
      <c r="G10" s="34">
        <f>VLOOKUP(G$3,坦克等级成长!$B$80:$X$87,23,FALSE)</f>
        <v>0.18736383442265794</v>
      </c>
      <c r="H10" s="34">
        <f>VLOOKUP(H$3,坦克等级成长!$B$80:$X$87,23,FALSE)</f>
        <v>-0.77777777777777779</v>
      </c>
      <c r="I10" s="34">
        <f>VLOOKUP(I$3,坦克等级成长!$B$80:$X$87,23,FALSE)</f>
        <v>5.2910052910052907E-2</v>
      </c>
      <c r="J10" s="34">
        <f>VLOOKUP(J$3,坦克等级成长!$B$80:$X$87,23,FALSE)</f>
        <v>0.16666666666666666</v>
      </c>
    </row>
    <row r="11" spans="2:24" x14ac:dyDescent="0.3">
      <c r="B11" s="2" t="s">
        <v>860</v>
      </c>
      <c r="C11" s="2" t="s">
        <v>1105</v>
      </c>
      <c r="D11" s="34">
        <f>VLOOKUP(D$3,坦克等级成长!$B$90:$Y$97,24,FALSE)</f>
        <v>0.89108910891089099</v>
      </c>
      <c r="E11" s="34">
        <f>VLOOKUP(E$3,坦克等级成长!$B$90:$Y$97,24,FALSE)</f>
        <v>0.74380165289256228</v>
      </c>
      <c r="F11" s="34">
        <f>VLOOKUP(F$3,坦克等级成长!$B$90:$Y$97,24,FALSE)</f>
        <v>0</v>
      </c>
      <c r="G11" s="34">
        <f>VLOOKUP(G$3,坦克等级成长!$B$90:$Y$97,24,FALSE)</f>
        <v>0.84337349397590355</v>
      </c>
      <c r="H11" s="34">
        <f>VLOOKUP(H$3,坦克等级成长!$B$90:$Y$97,24,FALSE)</f>
        <v>0.8</v>
      </c>
      <c r="I11" s="34">
        <f>VLOOKUP(I$3,坦克等级成长!$B$90:$Y$97,24,FALSE)</f>
        <v>0.60820367751060833</v>
      </c>
      <c r="J11" s="34">
        <f>VLOOKUP(J$3,坦克等级成长!$B$90:$Y$97,24,FALSE)</f>
        <v>0</v>
      </c>
    </row>
    <row r="12" spans="2:24" x14ac:dyDescent="0.3">
      <c r="B12" s="2" t="s">
        <v>985</v>
      </c>
      <c r="C12" s="2" t="s">
        <v>1103</v>
      </c>
      <c r="D12" s="34">
        <f>VLOOKUP(LEFT(D3,2),坦克类型系数!$BZ$45:$CM$48,14,FALSE)</f>
        <v>0.4999969472499104</v>
      </c>
      <c r="E12" s="34">
        <f>VLOOKUP(LEFT(E3,2),坦克类型系数!$BZ$45:$CM$48,14,FALSE)</f>
        <v>0.4999969472499104</v>
      </c>
      <c r="F12" s="34">
        <f>VLOOKUP(LEFT(F3,2),坦克类型系数!$BZ$45:$CM$48,14,FALSE)</f>
        <v>0.4999969472499104</v>
      </c>
      <c r="G12" s="34">
        <f>VLOOKUP(LEFT(G3,2),坦克类型系数!$BZ$45:$CM$48,14,FALSE)</f>
        <v>0.33752251887876666</v>
      </c>
      <c r="H12" s="34">
        <f>VLOOKUP(LEFT(H3,2),坦克类型系数!$BZ$45:$CM$48,14,FALSE)</f>
        <v>0.33752251887876666</v>
      </c>
      <c r="I12" s="34">
        <f>VLOOKUP(LEFT(I3,2),坦克类型系数!$BZ$45:$CM$48,14,FALSE)</f>
        <v>0.28546235059433878</v>
      </c>
      <c r="J12" s="34">
        <f>VLOOKUP(LEFT(J3,2),坦克类型系数!$BZ$45:$CM$48,14,FALSE)</f>
        <v>0.28546235059433878</v>
      </c>
    </row>
    <row r="13" spans="2:24" x14ac:dyDescent="0.3">
      <c r="B13" s="2" t="s">
        <v>1108</v>
      </c>
      <c r="C13" s="2" t="s">
        <v>1103</v>
      </c>
      <c r="D13" s="34">
        <v>1</v>
      </c>
      <c r="E13" s="34">
        <v>1</v>
      </c>
      <c r="F13" s="34">
        <v>1</v>
      </c>
      <c r="G13" s="34">
        <v>1</v>
      </c>
      <c r="H13" s="34">
        <v>1</v>
      </c>
      <c r="I13" s="34">
        <v>1</v>
      </c>
      <c r="J13" s="34">
        <v>1</v>
      </c>
    </row>
    <row r="14" spans="2:24" x14ac:dyDescent="0.3">
      <c r="B14" s="2" t="s">
        <v>1109</v>
      </c>
      <c r="C14" s="2" t="s">
        <v>1105</v>
      </c>
      <c r="D14" s="34">
        <v>0.5</v>
      </c>
      <c r="E14" s="34">
        <v>0.5</v>
      </c>
      <c r="F14" s="34">
        <v>0.5</v>
      </c>
      <c r="G14" s="34">
        <v>0.5</v>
      </c>
      <c r="H14" s="34">
        <v>0.5</v>
      </c>
      <c r="I14" s="34">
        <v>0.5</v>
      </c>
      <c r="J14" s="34">
        <v>0.5</v>
      </c>
    </row>
    <row r="15" spans="2:24" x14ac:dyDescent="0.3">
      <c r="B15" s="2" t="s">
        <v>95</v>
      </c>
      <c r="C15" s="2" t="s">
        <v>1103</v>
      </c>
      <c r="D15" s="34">
        <f>VLOOKUP(D$3,坦克等级成长!$B$70:$X$77,23,FALSE)</f>
        <v>0.39583333333333337</v>
      </c>
      <c r="E15" s="34">
        <f>VLOOKUP(E$3,坦克等级成长!$B$70:$X$77,23,FALSE)</f>
        <v>-4.65401680354951E-2</v>
      </c>
      <c r="F15" s="34">
        <f>VLOOKUP(F$3,坦克等级成长!$B$70:$X$77,23,FALSE)</f>
        <v>0</v>
      </c>
      <c r="G15" s="34">
        <f>VLOOKUP(G$3,坦克等级成长!$B$70:$X$77,23,FALSE)</f>
        <v>-2.4836601307189517E-2</v>
      </c>
      <c r="H15" s="34">
        <f>VLOOKUP(H$3,坦克等级成长!$B$70:$X$77,23,FALSE)</f>
        <v>0.25555555555555554</v>
      </c>
      <c r="I15" s="34">
        <f>VLOOKUP(I$3,坦克等级成长!$B$70:$X$77,23,FALSE)</f>
        <v>4.2328042328042374E-2</v>
      </c>
      <c r="J15" s="34">
        <f>VLOOKUP(J$3,坦克等级成长!$B$70:$X$77,23,FALSE)</f>
        <v>0</v>
      </c>
      <c r="X15" s="130"/>
    </row>
    <row r="16" spans="2:24" x14ac:dyDescent="0.3">
      <c r="X16" s="130"/>
    </row>
    <row r="17" spans="2:55" x14ac:dyDescent="0.3">
      <c r="B17" s="263" t="s">
        <v>1110</v>
      </c>
      <c r="C17" s="264"/>
      <c r="D17" s="264"/>
      <c r="E17" s="264"/>
      <c r="F17" s="264"/>
      <c r="G17" s="264"/>
      <c r="H17" s="264"/>
      <c r="I17" s="264"/>
      <c r="J17" s="264"/>
      <c r="K17" s="264"/>
      <c r="L17" s="264"/>
      <c r="M17" s="264"/>
      <c r="N17" s="264"/>
      <c r="O17" s="264"/>
      <c r="P17" s="264"/>
      <c r="Q17" s="264"/>
      <c r="R17" s="264"/>
      <c r="S17" s="264"/>
      <c r="T17" s="264"/>
      <c r="U17" s="264"/>
      <c r="V17" s="264"/>
      <c r="W17" s="264"/>
      <c r="X17" s="264"/>
      <c r="Y17" s="264"/>
      <c r="Z17" s="264"/>
      <c r="AA17" s="264"/>
      <c r="AB17" s="264"/>
      <c r="AC17" s="264"/>
      <c r="AD17" s="264"/>
      <c r="AE17" s="264"/>
      <c r="AF17" s="264"/>
      <c r="AG17" s="264"/>
      <c r="AH17" s="264"/>
      <c r="AI17" s="264"/>
      <c r="AJ17" s="264"/>
      <c r="AK17" s="264"/>
      <c r="AL17" s="264"/>
      <c r="AM17" s="264"/>
      <c r="AN17" s="264"/>
      <c r="AO17" s="264"/>
      <c r="AP17" s="264"/>
      <c r="AQ17" s="264"/>
      <c r="AR17" s="264"/>
      <c r="AS17" s="264"/>
      <c r="AT17" s="264"/>
      <c r="AU17" s="264"/>
      <c r="AV17" s="264"/>
      <c r="AW17" s="264"/>
      <c r="AX17" s="264"/>
      <c r="AY17" s="264"/>
      <c r="AZ17" s="264"/>
      <c r="BA17" s="264"/>
      <c r="BB17" s="264"/>
      <c r="BC17" s="265"/>
    </row>
    <row r="18" spans="2:55" x14ac:dyDescent="0.3">
      <c r="B18" s="2" t="s">
        <v>608</v>
      </c>
      <c r="C18" s="2" t="s">
        <v>1111</v>
      </c>
      <c r="D18" s="2" t="s">
        <v>1112</v>
      </c>
      <c r="E18" s="2" t="s">
        <v>790</v>
      </c>
      <c r="F18" s="2" t="s">
        <v>1113</v>
      </c>
      <c r="G18" s="2" t="s">
        <v>921</v>
      </c>
      <c r="H18" s="2" t="s">
        <v>922</v>
      </c>
      <c r="I18" s="2" t="s">
        <v>1114</v>
      </c>
      <c r="J18" s="2" t="s">
        <v>1115</v>
      </c>
      <c r="K18" s="150" t="s">
        <v>1116</v>
      </c>
      <c r="L18" s="2" t="s">
        <v>188</v>
      </c>
      <c r="M18" s="2" t="s">
        <v>1117</v>
      </c>
      <c r="N18" s="2" t="s">
        <v>1118</v>
      </c>
      <c r="O18" s="2" t="s">
        <v>1119</v>
      </c>
      <c r="P18" s="2" t="s">
        <v>1120</v>
      </c>
      <c r="Q18" s="2" t="s">
        <v>1121</v>
      </c>
      <c r="R18" s="150" t="s">
        <v>1122</v>
      </c>
      <c r="S18" s="2" t="s">
        <v>178</v>
      </c>
      <c r="T18" s="2" t="s">
        <v>1123</v>
      </c>
      <c r="U18" s="116" t="s">
        <v>95</v>
      </c>
      <c r="V18" s="150" t="s">
        <v>1124</v>
      </c>
      <c r="W18" s="2" t="s">
        <v>1125</v>
      </c>
      <c r="X18" s="2" t="s">
        <v>1126</v>
      </c>
      <c r="Y18" s="2" t="s">
        <v>1127</v>
      </c>
      <c r="Z18" s="2" t="s">
        <v>1128</v>
      </c>
      <c r="AA18" s="2" t="s">
        <v>1129</v>
      </c>
      <c r="AB18" s="2" t="s">
        <v>903</v>
      </c>
      <c r="AC18" s="2" t="s">
        <v>1130</v>
      </c>
      <c r="AD18" s="2" t="s">
        <v>1131</v>
      </c>
      <c r="AE18" s="2" t="s">
        <v>1132</v>
      </c>
      <c r="AF18" s="2" t="s">
        <v>904</v>
      </c>
      <c r="AG18" s="2" t="s">
        <v>1133</v>
      </c>
      <c r="AH18" s="150" t="s">
        <v>1134</v>
      </c>
      <c r="AI18" s="2" t="s">
        <v>905</v>
      </c>
      <c r="AJ18" s="2" t="s">
        <v>1135</v>
      </c>
      <c r="AK18" s="2" t="s">
        <v>1136</v>
      </c>
      <c r="AL18" s="2" t="s">
        <v>1137</v>
      </c>
      <c r="AM18" s="2" t="s">
        <v>1138</v>
      </c>
      <c r="AN18" s="2" t="s">
        <v>1139</v>
      </c>
      <c r="AO18" s="2" t="s">
        <v>1140</v>
      </c>
      <c r="AP18" s="2" t="s">
        <v>1141</v>
      </c>
      <c r="AQ18" s="2" t="s">
        <v>1142</v>
      </c>
      <c r="AR18" s="2" t="s">
        <v>1143</v>
      </c>
      <c r="AS18" s="2" t="s">
        <v>1144</v>
      </c>
      <c r="AT18" s="2" t="s">
        <v>1145</v>
      </c>
      <c r="AU18" s="2" t="s">
        <v>1146</v>
      </c>
      <c r="AV18" s="2" t="s">
        <v>1147</v>
      </c>
      <c r="AW18" s="2" t="s">
        <v>926</v>
      </c>
      <c r="AX18" s="2" t="s">
        <v>927</v>
      </c>
      <c r="AY18" s="2" t="s">
        <v>928</v>
      </c>
      <c r="AZ18" s="2" t="s">
        <v>929</v>
      </c>
      <c r="BA18" s="2" t="s">
        <v>930</v>
      </c>
      <c r="BB18" s="2" t="s">
        <v>931</v>
      </c>
      <c r="BC18" s="2" t="s">
        <v>932</v>
      </c>
    </row>
    <row r="19" spans="2:55" x14ac:dyDescent="0.3">
      <c r="B19" s="2" t="s">
        <v>518</v>
      </c>
      <c r="C19" s="2" t="s">
        <v>1148</v>
      </c>
      <c r="D19" s="29" t="str">
        <f>坦克类型系数!C4</f>
        <v>轻坦</v>
      </c>
      <c r="E19" s="21" t="s">
        <v>613</v>
      </c>
      <c r="F19" s="21" t="s">
        <v>81</v>
      </c>
      <c r="G19" s="29">
        <f>坦克类型系数!D4</f>
        <v>4.74</v>
      </c>
      <c r="H19" s="29">
        <f>坦克类型系数!E4</f>
        <v>2.11</v>
      </c>
      <c r="I19" s="29">
        <f>坦克类型系数!F4</f>
        <v>5.19</v>
      </c>
      <c r="J19" s="21">
        <v>1.05</v>
      </c>
      <c r="K19" s="151">
        <f>SQRT(I19/VLOOKUP(D19,坦克类型系数!$AH$3:$AK$6,4,FALSE))*J19</f>
        <v>0.96300911097039665</v>
      </c>
      <c r="L19" s="21" t="s">
        <v>1149</v>
      </c>
      <c r="M19" s="29">
        <f>VLOOKUP(D19,坦克类型系数!$AH$15:$AK$18,4,FALSE)</f>
        <v>0.78</v>
      </c>
      <c r="N19" s="21">
        <v>1.1000000000000001</v>
      </c>
      <c r="O19" s="2">
        <f>ROUND(M19*N19,2)</f>
        <v>0.86</v>
      </c>
      <c r="P19" s="34">
        <f>1+(O19-M19)/M19</f>
        <v>1.1025641025641024</v>
      </c>
      <c r="Q19" s="34">
        <f t="shared" ref="Q19:Q48" si="3">1+(M19-O19)/M52*VLOOKUP($B$11,$B$3:$J$15,MATCH($F19,$B$3:$J$3,0),FALSE)</f>
        <v>0.88099173553719012</v>
      </c>
      <c r="R19" s="151">
        <f>P19*Q19</f>
        <v>0.97134986225895303</v>
      </c>
      <c r="S19" s="2">
        <f>VLOOKUP(F19,坦克类型系数!$AQ$3:$AX$10,MATCH("瞄准速度",坦克类型系数!$AQ$3:$AX$3,0),FALSE)</f>
        <v>1.2</v>
      </c>
      <c r="T19" s="21">
        <v>0.5</v>
      </c>
      <c r="U19" s="2">
        <f>(VLOOKUP(F19,坦克类型系数!$AM$3:$AO$10,MATCH("射击间隔max",坦克类型系数!$AM$3:$AO$3,0),FALSE)-VLOOKUP(F19,坦克类型系数!$AM$3:$AO$10,MATCH("射击间隔min",坦克类型系数!$AM$3:$AO$3,0),FALSE))*T19+VLOOKUP(F19,坦克类型系数!$AM$3:$AO$10,MATCH("射击间隔min",坦克类型系数!$AM$3:$AO$3,0),FALSE)</f>
        <v>0.60000000000000009</v>
      </c>
      <c r="V19" s="151">
        <f>(U19-VLOOKUP(F19,标准坦克设计!$B$13:$K$20,MATCH("射击间隔",标准坦克设计!$B$13:$K$13,0),FALSE))/0.1*VLOOKUP($B$15,$B$3:$J$15,MATCH(F19,$B$3:$J$3,0),FALSE)+1</f>
        <v>0.9069196639290098</v>
      </c>
      <c r="W19" s="2">
        <f>VLOOKUP(D19,坦克类型系数!$BI$3:$BK$6,2,FALSE)</f>
        <v>1</v>
      </c>
      <c r="X19" s="34">
        <f>VLOOKUP(D19,坦克类型系数!$BI$3:$BK$6,3,FALSE)</f>
        <v>2.1563141881038952</v>
      </c>
      <c r="Y19" s="21">
        <v>0</v>
      </c>
      <c r="Z19" s="21">
        <v>1</v>
      </c>
      <c r="AA19" s="34">
        <f>VLOOKUP(D19,坦克类型系数!$CQ$9:$CY$12,2,FALSE)*$M$4*Z19</f>
        <v>11.783831986523932</v>
      </c>
      <c r="AB19" s="34">
        <f>VLOOKUP(D19,坦克类型系数!$CQ$9:$CY$12,6,FALSE)*$M$4*Z19</f>
        <v>47.135327946095728</v>
      </c>
      <c r="AC19" s="34">
        <f>VLOOKUP(D19,坦克类型系数!$CQ$3:$CY$6,9,FALSE)</f>
        <v>58.919159932619657</v>
      </c>
      <c r="AD19" s="2">
        <f>VLOOKUP(F19,坦克类型系数!$BM$3:$BV$10,6,FALSE)</f>
        <v>0.58499999999999996</v>
      </c>
      <c r="AE19" s="41">
        <f t="shared" ref="AE19:AE48" si="4">1/Z19</f>
        <v>1</v>
      </c>
      <c r="AF19" s="34">
        <f>VLOOKUP(D19,坦克类型系数!$DE$3:$DH$6,3,FALSE)*AE19</f>
        <v>45</v>
      </c>
      <c r="AG19" s="21">
        <v>1</v>
      </c>
      <c r="AH19" s="151">
        <f t="shared" ref="AH19:AH48" si="5">(1-AG19)*VLOOKUP($B$12,$B$3:$J$15,MATCH(F19,$B$3:$J$3,0),FALSE)*VLOOKUP($B$11,$B$3:$J$15,MATCH(F19,$B$3:$J$3,0),FALSE)+1</f>
        <v>1</v>
      </c>
      <c r="AI19" s="2">
        <f>VLOOKUP(D19,坦克类型系数!$BZ$21:$CF$24,2,FALSE)*AG19</f>
        <v>10.5</v>
      </c>
      <c r="AJ19" s="34">
        <f>VLOOKUP(D19,坦克类型系数!$BZ$21:$CF$24,5,FALSE)*AG19</f>
        <v>10.5</v>
      </c>
      <c r="AK19" s="34">
        <f>VLOOKUP(D19,坦克类型系数!$BZ$21:$CF$24,4,FALSE)</f>
        <v>7</v>
      </c>
      <c r="AL19" s="34">
        <f>VLOOKUP(D19,坦克类型系数!$BZ$21:$CF$24,7,FALSE)</f>
        <v>10.5</v>
      </c>
      <c r="AM19" s="34">
        <f>VLOOKUP(D19,坦克类型系数!$CH$21:$CN$24,4,FALSE)</f>
        <v>21</v>
      </c>
      <c r="AN19" s="34">
        <f>VLOOKUP(D19,坦克类型系数!$CH$21:$CN$24,7,FALSE)</f>
        <v>35</v>
      </c>
      <c r="AO19" s="2">
        <f>VLOOKUP(F19,坦克类型系数!$BM$13:$BV$20,6,FALSE)</f>
        <v>0.58499999999999996</v>
      </c>
      <c r="AP19" s="143">
        <f>基础属性系数!$C$56</f>
        <v>0.2</v>
      </c>
      <c r="AQ19" s="143">
        <f>基础属性系数!$C$55</f>
        <v>0.3</v>
      </c>
      <c r="AR19" s="2">
        <f>VLOOKUP(D19,坦克类型系数!$DE$9:$DH$12,2,FALSE)</f>
        <v>1</v>
      </c>
      <c r="AS19" s="2">
        <f>VLOOKUP(D19,坦克类型系数!$DE$9:$DH$12,3,FALSE)</f>
        <v>1</v>
      </c>
      <c r="AT19" s="2">
        <f>VLOOKUP(D19,坦克类型系数!$DE$9:$DH$12,4,FALSE)</f>
        <v>1</v>
      </c>
      <c r="AU19" s="2">
        <f>VLOOKUP(D19,坦克类型系数!$AH$9:$AK$12,3,FALSE)</f>
        <v>40</v>
      </c>
      <c r="AV19" s="2">
        <f>VLOOKUP(D19,坦克类型系数!$AH$9:$AK$12,4,FALSE)</f>
        <v>100</v>
      </c>
      <c r="AW19" s="143">
        <f>VLOOKUP($B19,坦克类型系数!$B$3:$AF$33,MATCH(AW$18,坦克类型系数!$B$3:$AF$3,0),FALSE)</f>
        <v>0</v>
      </c>
      <c r="AX19" s="143">
        <f>VLOOKUP($B19,坦克类型系数!$B$3:$AF$33,MATCH(AX$18,坦克类型系数!$B$3:$AF$3,0),FALSE)</f>
        <v>2.1</v>
      </c>
      <c r="AY19" s="143">
        <f>VLOOKUP($B19,坦克类型系数!$B$3:$AF$33,MATCH(AY$18,坦克类型系数!$B$3:$AF$3,0),FALSE)</f>
        <v>1.7</v>
      </c>
      <c r="AZ19" s="143">
        <f>VLOOKUP($B19,坦克类型系数!$B$3:$AF$33,MATCH(AZ$18,坦克类型系数!$B$3:$AF$3,0),FALSE)</f>
        <v>1.4</v>
      </c>
      <c r="BA19" s="143">
        <f>VLOOKUP($B19,坦克类型系数!$B$3:$AF$33,MATCH(BA$18,坦克类型系数!$B$3:$AF$3,0),FALSE)</f>
        <v>1.2</v>
      </c>
      <c r="BB19" s="143">
        <f>VLOOKUP($B19,坦克类型系数!$B$3:$AF$33,MATCH(BB$18,坦克类型系数!$B$3:$AF$3,0),FALSE)</f>
        <v>1</v>
      </c>
      <c r="BC19" s="143">
        <f>VLOOKUP($B19,坦克类型系数!$B$3:$AF$33,MATCH(BC$18,坦克类型系数!$B$3:$AF$3,0),FALSE)</f>
        <v>0.85</v>
      </c>
    </row>
    <row r="20" spans="2:55" x14ac:dyDescent="0.3">
      <c r="B20" s="2" t="s">
        <v>524</v>
      </c>
      <c r="C20" s="2" t="s">
        <v>1150</v>
      </c>
      <c r="D20" s="29" t="str">
        <f>坦克类型系数!C5</f>
        <v>轻坦</v>
      </c>
      <c r="E20" s="21" t="s">
        <v>615</v>
      </c>
      <c r="F20" s="21" t="s">
        <v>81</v>
      </c>
      <c r="G20" s="29">
        <f>坦克类型系数!D5</f>
        <v>4.8099999999999996</v>
      </c>
      <c r="H20" s="29">
        <f>坦克类型系数!E5</f>
        <v>2.2599999999999998</v>
      </c>
      <c r="I20" s="29">
        <f>坦克类型系数!F5</f>
        <v>5.31</v>
      </c>
      <c r="J20" s="21">
        <v>1</v>
      </c>
      <c r="K20" s="151">
        <f>SQRT(I20/VLOOKUP(D20,坦克类型系数!$AH$3:$AK$6,4,FALSE))*J20</f>
        <v>0.92769385214429489</v>
      </c>
      <c r="L20" s="21" t="s">
        <v>1149</v>
      </c>
      <c r="M20" s="29">
        <f>VLOOKUP(D20,坦克类型系数!$AH$15:$AK$18,4,FALSE)</f>
        <v>0.78</v>
      </c>
      <c r="N20" s="21">
        <v>0.9</v>
      </c>
      <c r="O20" s="2">
        <f t="shared" ref="O20:O48" si="6">ROUND(M20*N20,2)</f>
        <v>0.7</v>
      </c>
      <c r="P20" s="34">
        <f>1+(O20-M20)/M20</f>
        <v>0.89743589743589736</v>
      </c>
      <c r="Q20" s="34">
        <f t="shared" si="3"/>
        <v>1.1266045366625639</v>
      </c>
      <c r="R20" s="151">
        <f t="shared" ref="R20:R48" si="7">P20*Q20</f>
        <v>1.0110553534151214</v>
      </c>
      <c r="S20" s="2">
        <f>VLOOKUP(F20,坦克类型系数!$AQ$3:$AX$10,MATCH("瞄准速度",坦克类型系数!$AQ$3:$AX$3,0),FALSE)</f>
        <v>1.2</v>
      </c>
      <c r="T20" s="21">
        <v>0.5</v>
      </c>
      <c r="U20" s="2">
        <f>(VLOOKUP(F20,坦克类型系数!$AM$3:$AO$10,MATCH("射击间隔max",坦克类型系数!$AM$3:$AO$3,0),FALSE)-VLOOKUP(F20,坦克类型系数!$AM$3:$AO$10,MATCH("射击间隔min",坦克类型系数!$AM$3:$AO$3,0),FALSE))*T20+VLOOKUP(F20,坦克类型系数!$AM$3:$AO$10,MATCH("射击间隔min",坦克类型系数!$AM$3:$AO$3,0),FALSE)</f>
        <v>0.60000000000000009</v>
      </c>
      <c r="V20" s="151">
        <f>(U20-VLOOKUP(F20,标准坦克设计!$B$13:$K$20,MATCH("射击间隔",标准坦克设计!$B$13:$K$13,0),FALSE))/0.1*VLOOKUP($B$15,$B$3:$J$15,MATCH(F20,$B$3:$J$3,0),FALSE)+1</f>
        <v>0.9069196639290098</v>
      </c>
      <c r="W20" s="2">
        <f>VLOOKUP(D20,坦克类型系数!$BI$3:$BK$6,2,FALSE)</f>
        <v>1</v>
      </c>
      <c r="X20" s="34">
        <f>VLOOKUP(D20,坦克类型系数!$BI$3:$BK$6,3,FALSE)</f>
        <v>2.1563141881038952</v>
      </c>
      <c r="Y20" s="21">
        <v>0</v>
      </c>
      <c r="Z20" s="21">
        <v>1</v>
      </c>
      <c r="AA20" s="34">
        <f>VLOOKUP(D20,坦克类型系数!$CQ$9:$CY$12,2,FALSE)*$M$4*Z20</f>
        <v>11.783831986523932</v>
      </c>
      <c r="AB20" s="34">
        <f>VLOOKUP(D20,坦克类型系数!$CQ$9:$CY$12,6,FALSE)*$M$4*Z20</f>
        <v>47.135327946095728</v>
      </c>
      <c r="AC20" s="34">
        <f>VLOOKUP(D20,坦克类型系数!$CQ$3:$CY$6,9,FALSE)</f>
        <v>58.919159932619657</v>
      </c>
      <c r="AD20" s="2">
        <f>VLOOKUP(F20,坦克类型系数!$BM$3:$BV$10,6,FALSE)</f>
        <v>0.58499999999999996</v>
      </c>
      <c r="AE20" s="41">
        <f t="shared" si="4"/>
        <v>1</v>
      </c>
      <c r="AF20" s="34">
        <f>VLOOKUP(D20,坦克类型系数!$DE$3:$DH$6,3,FALSE)*AE20</f>
        <v>45</v>
      </c>
      <c r="AG20" s="21">
        <v>1</v>
      </c>
      <c r="AH20" s="151">
        <f t="shared" si="5"/>
        <v>1</v>
      </c>
      <c r="AI20" s="2">
        <f>VLOOKUP(D20,坦克类型系数!$BZ$21:$CF$24,2,FALSE)*AG20</f>
        <v>10.5</v>
      </c>
      <c r="AJ20" s="34">
        <f>VLOOKUP(D20,坦克类型系数!$BZ$21:$CF$24,5,FALSE)*AG20</f>
        <v>10.5</v>
      </c>
      <c r="AK20" s="34">
        <f>VLOOKUP(D20,坦克类型系数!$BZ$21:$CF$24,4,FALSE)</f>
        <v>7</v>
      </c>
      <c r="AL20" s="34">
        <f>VLOOKUP(D20,坦克类型系数!$BZ$21:$CF$24,7,FALSE)</f>
        <v>10.5</v>
      </c>
      <c r="AM20" s="34">
        <f>VLOOKUP(D20,坦克类型系数!$CH$21:$CN$24,4,FALSE)</f>
        <v>21</v>
      </c>
      <c r="AN20" s="34">
        <f>VLOOKUP(D20,坦克类型系数!$CH$21:$CN$24,7,FALSE)</f>
        <v>35</v>
      </c>
      <c r="AO20" s="2">
        <f>VLOOKUP(F20,坦克类型系数!$BM$13:$BV$20,6,FALSE)</f>
        <v>0.58499999999999996</v>
      </c>
      <c r="AP20" s="143">
        <f>基础属性系数!$C$56</f>
        <v>0.2</v>
      </c>
      <c r="AQ20" s="143">
        <f>基础属性系数!$C$55</f>
        <v>0.3</v>
      </c>
      <c r="AR20" s="2">
        <f>VLOOKUP(D20,坦克类型系数!$DE$9:$DH$12,2,FALSE)</f>
        <v>1</v>
      </c>
      <c r="AS20" s="2">
        <f>VLOOKUP(D20,坦克类型系数!$DE$9:$DH$12,3,FALSE)</f>
        <v>1</v>
      </c>
      <c r="AT20" s="2">
        <f>VLOOKUP(D20,坦克类型系数!$DE$9:$DH$12,4,FALSE)</f>
        <v>1</v>
      </c>
      <c r="AU20" s="2">
        <f>VLOOKUP(D20,坦克类型系数!$AH$9:$AK$12,3,FALSE)</f>
        <v>40</v>
      </c>
      <c r="AV20" s="2">
        <f>VLOOKUP(D20,坦克类型系数!$AH$9:$AK$12,4,FALSE)</f>
        <v>100</v>
      </c>
      <c r="AW20" s="143">
        <f>VLOOKUP($B20,坦克类型系数!$B$3:$AF$33,MATCH(AW$18,坦克类型系数!$B$3:$AF$3,0),FALSE)</f>
        <v>0</v>
      </c>
      <c r="AX20" s="143">
        <f>VLOOKUP($B20,坦克类型系数!$B$3:$AF$33,MATCH(AX$18,坦克类型系数!$B$3:$AF$3,0),FALSE)</f>
        <v>2</v>
      </c>
      <c r="AY20" s="143">
        <f>VLOOKUP($B20,坦克类型系数!$B$3:$AF$33,MATCH(AY$18,坦克类型系数!$B$3:$AF$3,0),FALSE)</f>
        <v>1.65</v>
      </c>
      <c r="AZ20" s="143">
        <f>VLOOKUP($B20,坦克类型系数!$B$3:$AF$33,MATCH(AZ$18,坦克类型系数!$B$3:$AF$3,0),FALSE)</f>
        <v>1.3</v>
      </c>
      <c r="BA20" s="143">
        <f>VLOOKUP($B20,坦克类型系数!$B$3:$AF$33,MATCH(BA$18,坦克类型系数!$B$3:$AF$3,0),FALSE)</f>
        <v>1.1000000000000001</v>
      </c>
      <c r="BB20" s="143">
        <f>VLOOKUP($B20,坦克类型系数!$B$3:$AF$33,MATCH(BB$18,坦克类型系数!$B$3:$AF$3,0),FALSE)</f>
        <v>0.95</v>
      </c>
      <c r="BC20" s="143">
        <f>VLOOKUP($B20,坦克类型系数!$B$3:$AF$33,MATCH(BC$18,坦克类型系数!$B$3:$AF$3,0),FALSE)</f>
        <v>0.85</v>
      </c>
    </row>
    <row r="21" spans="2:55" x14ac:dyDescent="0.3">
      <c r="B21" s="2" t="s">
        <v>616</v>
      </c>
      <c r="C21" s="2" t="s">
        <v>1151</v>
      </c>
      <c r="D21" s="29" t="str">
        <f>坦克类型系数!C6</f>
        <v>轻坦</v>
      </c>
      <c r="E21" s="21" t="s">
        <v>615</v>
      </c>
      <c r="F21" s="21" t="s">
        <v>81</v>
      </c>
      <c r="G21" s="29">
        <f>坦克类型系数!D6</f>
        <v>6.71</v>
      </c>
      <c r="H21" s="29">
        <f>坦克类型系数!E6</f>
        <v>2.59</v>
      </c>
      <c r="I21" s="29">
        <f>坦克类型系数!F6</f>
        <v>7.19</v>
      </c>
      <c r="J21" s="21">
        <v>1</v>
      </c>
      <c r="K21" s="151">
        <f>SQRT(I21/VLOOKUP(D21,坦克类型系数!$AH$3:$AK$6,4,FALSE))*J21</f>
        <v>1.0794980525137019</v>
      </c>
      <c r="L21" s="21" t="s">
        <v>1149</v>
      </c>
      <c r="M21" s="29">
        <f>VLOOKUP(D21,坦克类型系数!$AH$15:$AK$18,4,FALSE)</f>
        <v>0.78</v>
      </c>
      <c r="N21" s="21">
        <v>1.05</v>
      </c>
      <c r="O21" s="2">
        <f t="shared" si="6"/>
        <v>0.82</v>
      </c>
      <c r="P21" s="34">
        <f t="shared" ref="P21:P48" si="8">1+(O21-M21)/M21</f>
        <v>1.0512820512820511</v>
      </c>
      <c r="Q21" s="34">
        <f t="shared" si="3"/>
        <v>0.95688106360043124</v>
      </c>
      <c r="R21" s="151">
        <f t="shared" si="7"/>
        <v>1.0059518873748121</v>
      </c>
      <c r="S21" s="2">
        <f>VLOOKUP(F21,坦克类型系数!$AQ$3:$AX$10,MATCH("瞄准速度",坦克类型系数!$AQ$3:$AX$3,0),FALSE)</f>
        <v>1.2</v>
      </c>
      <c r="T21" s="21">
        <v>1</v>
      </c>
      <c r="U21" s="2">
        <f>(VLOOKUP(F21,坦克类型系数!$AM$3:$AO$10,MATCH("射击间隔max",坦克类型系数!$AM$3:$AO$3,0),FALSE)-VLOOKUP(F21,坦克类型系数!$AM$3:$AO$10,MATCH("射击间隔min",坦克类型系数!$AM$3:$AO$3,0),FALSE))*T21+VLOOKUP(F21,坦克类型系数!$AM$3:$AO$10,MATCH("射击间隔min",坦克类型系数!$AM$3:$AO$3,0),FALSE)</f>
        <v>0.8</v>
      </c>
      <c r="V21" s="151">
        <f>(U21-VLOOKUP(F21,标准坦克设计!$B$13:$K$20,MATCH("射击间隔",标准坦克设计!$B$13:$K$13,0),FALSE))/0.1*VLOOKUP($B$15,$B$3:$J$15,MATCH(F21,$B$3:$J$3,0),FALSE)+1</f>
        <v>0.8138393278580196</v>
      </c>
      <c r="W21" s="2">
        <f>VLOOKUP(D21,坦克类型系数!$BI$3:$BK$6,2,FALSE)</f>
        <v>1</v>
      </c>
      <c r="X21" s="34">
        <f>VLOOKUP(D21,坦克类型系数!$BI$3:$BK$6,3,FALSE)</f>
        <v>2.1563141881038952</v>
      </c>
      <c r="Y21" s="21">
        <v>1</v>
      </c>
      <c r="Z21" s="21">
        <v>0.9</v>
      </c>
      <c r="AA21" s="34">
        <f>VLOOKUP(D21,坦克类型系数!$CQ$9:$CY$12,2,FALSE)*$M$4*Z21</f>
        <v>10.60544878787154</v>
      </c>
      <c r="AB21" s="34">
        <f>VLOOKUP(D21,坦克类型系数!$CQ$9:$CY$12,6,FALSE)*$M$4*Z21</f>
        <v>42.421795151486158</v>
      </c>
      <c r="AC21" s="34">
        <f>VLOOKUP(D21,坦克类型系数!$CQ$3:$CY$6,9,FALSE)</f>
        <v>58.919159932619657</v>
      </c>
      <c r="AD21" s="2">
        <f>VLOOKUP(F21,坦克类型系数!$BM$3:$BV$10,6,FALSE)</f>
        <v>0.58499999999999996</v>
      </c>
      <c r="AE21" s="41">
        <f t="shared" si="4"/>
        <v>1.1111111111111112</v>
      </c>
      <c r="AF21" s="34">
        <f>VLOOKUP(D21,坦克类型系数!$DE$3:$DH$6,3,FALSE)*AE21</f>
        <v>50</v>
      </c>
      <c r="AG21" s="21">
        <v>0.95</v>
      </c>
      <c r="AH21" s="151">
        <f t="shared" si="5"/>
        <v>1.0185949277902859</v>
      </c>
      <c r="AI21" s="2">
        <f>VLOOKUP(D21,坦克类型系数!$BZ$21:$CF$24,2,FALSE)*AG21</f>
        <v>9.9749999999999996</v>
      </c>
      <c r="AJ21" s="34">
        <f>VLOOKUP(D21,坦克类型系数!$BZ$21:$CF$24,5,FALSE)*AG21</f>
        <v>9.9749999999999996</v>
      </c>
      <c r="AK21" s="34">
        <f>VLOOKUP(D21,坦克类型系数!$BZ$21:$CF$24,4,FALSE)</f>
        <v>7</v>
      </c>
      <c r="AL21" s="34">
        <f>VLOOKUP(D21,坦克类型系数!$BZ$21:$CF$24,7,FALSE)</f>
        <v>10.5</v>
      </c>
      <c r="AM21" s="34">
        <f>VLOOKUP(D21,坦克类型系数!$CH$21:$CN$24,4,FALSE)</f>
        <v>21</v>
      </c>
      <c r="AN21" s="34">
        <f>VLOOKUP(D21,坦克类型系数!$CH$21:$CN$24,7,FALSE)</f>
        <v>35</v>
      </c>
      <c r="AO21" s="2">
        <f>VLOOKUP(F21,坦克类型系数!$BM$13:$BV$20,6,FALSE)</f>
        <v>0.58499999999999996</v>
      </c>
      <c r="AP21" s="143">
        <f>基础属性系数!$C$56</f>
        <v>0.2</v>
      </c>
      <c r="AQ21" s="143">
        <f>基础属性系数!$C$55</f>
        <v>0.3</v>
      </c>
      <c r="AR21" s="2">
        <f>VLOOKUP(D21,坦克类型系数!$DE$9:$DH$12,2,FALSE)</f>
        <v>1</v>
      </c>
      <c r="AS21" s="2">
        <f>VLOOKUP(D21,坦克类型系数!$DE$9:$DH$12,3,FALSE)</f>
        <v>1</v>
      </c>
      <c r="AT21" s="2">
        <f>VLOOKUP(D21,坦克类型系数!$DE$9:$DH$12,4,FALSE)</f>
        <v>1</v>
      </c>
      <c r="AU21" s="2">
        <f>VLOOKUP(D21,坦克类型系数!$AH$9:$AK$12,3,FALSE)</f>
        <v>40</v>
      </c>
      <c r="AV21" s="2">
        <f>VLOOKUP(D21,坦克类型系数!$AH$9:$AK$12,4,FALSE)</f>
        <v>100</v>
      </c>
      <c r="AW21" s="143">
        <f>VLOOKUP($B21,坦克类型系数!$B$3:$AF$33,MATCH(AW$18,坦克类型系数!$B$3:$AF$3,0),FALSE)</f>
        <v>0</v>
      </c>
      <c r="AX21" s="143">
        <f>VLOOKUP($B21,坦克类型系数!$B$3:$AF$33,MATCH(AX$18,坦克类型系数!$B$3:$AF$3,0),FALSE)</f>
        <v>2.1</v>
      </c>
      <c r="AY21" s="143">
        <f>VLOOKUP($B21,坦克类型系数!$B$3:$AF$33,MATCH(AY$18,坦克类型系数!$B$3:$AF$3,0),FALSE)</f>
        <v>1.65</v>
      </c>
      <c r="AZ21" s="143">
        <f>VLOOKUP($B21,坦克类型系数!$B$3:$AF$33,MATCH(AZ$18,坦克类型系数!$B$3:$AF$3,0),FALSE)</f>
        <v>1.35</v>
      </c>
      <c r="BA21" s="143">
        <f>VLOOKUP($B21,坦克类型系数!$B$3:$AF$33,MATCH(BA$18,坦克类型系数!$B$3:$AF$3,0),FALSE)</f>
        <v>1.1499999999999999</v>
      </c>
      <c r="BB21" s="143">
        <f>VLOOKUP($B21,坦克类型系数!$B$3:$AF$33,MATCH(BB$18,坦克类型系数!$B$3:$AF$3,0),FALSE)</f>
        <v>1</v>
      </c>
      <c r="BC21" s="143">
        <f>VLOOKUP($B21,坦克类型系数!$B$3:$AF$33,MATCH(BC$18,坦克类型系数!$B$3:$AF$3,0),FALSE)</f>
        <v>0.85</v>
      </c>
    </row>
    <row r="22" spans="2:55" x14ac:dyDescent="0.3">
      <c r="B22" s="2" t="s">
        <v>530</v>
      </c>
      <c r="C22" s="2" t="s">
        <v>1152</v>
      </c>
      <c r="D22" s="29" t="str">
        <f>坦克类型系数!C7</f>
        <v>轻坦</v>
      </c>
      <c r="E22" s="21" t="s">
        <v>619</v>
      </c>
      <c r="F22" s="21" t="s">
        <v>81</v>
      </c>
      <c r="G22" s="29">
        <f>坦克类型系数!D7</f>
        <v>4.83</v>
      </c>
      <c r="H22" s="29">
        <f>坦克类型系数!E7</f>
        <v>2.11</v>
      </c>
      <c r="I22" s="29">
        <f>坦克类型系数!F7</f>
        <v>5.27</v>
      </c>
      <c r="J22" s="21">
        <v>1.1000000000000001</v>
      </c>
      <c r="K22" s="151">
        <f>SQRT(I22/VLOOKUP(D22,坦克类型系数!$AH$3:$AK$6,4,FALSE))*J22</f>
        <v>1.0166124189546237</v>
      </c>
      <c r="L22" s="21" t="s">
        <v>1149</v>
      </c>
      <c r="M22" s="29">
        <f>VLOOKUP(D22,坦克类型系数!$AH$15:$AK$18,4,FALSE)</f>
        <v>0.78</v>
      </c>
      <c r="N22" s="21">
        <v>1</v>
      </c>
      <c r="O22" s="2">
        <f t="shared" si="6"/>
        <v>0.78</v>
      </c>
      <c r="P22" s="34">
        <f t="shared" si="8"/>
        <v>1</v>
      </c>
      <c r="Q22" s="34">
        <f t="shared" si="3"/>
        <v>1</v>
      </c>
      <c r="R22" s="151">
        <f t="shared" si="7"/>
        <v>1</v>
      </c>
      <c r="S22" s="2">
        <f>VLOOKUP(F22,坦克类型系数!$AQ$3:$AX$10,MATCH("瞄准速度",坦克类型系数!$AQ$3:$AX$3,0),FALSE)</f>
        <v>1.2</v>
      </c>
      <c r="T22" s="21">
        <v>1</v>
      </c>
      <c r="U22" s="2">
        <f>(VLOOKUP(F22,坦克类型系数!$AM$3:$AO$10,MATCH("射击间隔max",坦克类型系数!$AM$3:$AO$3,0),FALSE)-VLOOKUP(F22,坦克类型系数!$AM$3:$AO$10,MATCH("射击间隔min",坦克类型系数!$AM$3:$AO$3,0),FALSE))*T22+VLOOKUP(F22,坦克类型系数!$AM$3:$AO$10,MATCH("射击间隔min",坦克类型系数!$AM$3:$AO$3,0),FALSE)</f>
        <v>0.8</v>
      </c>
      <c r="V22" s="151">
        <f>(U22-VLOOKUP(F22,标准坦克设计!$B$13:$K$20,MATCH("射击间隔",标准坦克设计!$B$13:$K$13,0),FALSE))/0.1*VLOOKUP($B$15,$B$3:$J$15,MATCH(F22,$B$3:$J$3,0),FALSE)+1</f>
        <v>0.8138393278580196</v>
      </c>
      <c r="W22" s="2">
        <f>VLOOKUP(D22,坦克类型系数!$BI$3:$BK$6,2,FALSE)</f>
        <v>1</v>
      </c>
      <c r="X22" s="34">
        <f>VLOOKUP(D22,坦克类型系数!$BI$3:$BK$6,3,FALSE)</f>
        <v>2.1563141881038952</v>
      </c>
      <c r="Y22" s="21">
        <v>2</v>
      </c>
      <c r="Z22" s="21">
        <v>0.9</v>
      </c>
      <c r="AA22" s="34">
        <f>VLOOKUP(D22,坦克类型系数!$CQ$9:$CY$12,2,FALSE)*$M$4*Z22</f>
        <v>10.60544878787154</v>
      </c>
      <c r="AB22" s="34">
        <f>VLOOKUP(D22,坦克类型系数!$CQ$9:$CY$12,6,FALSE)*$M$4*Z22</f>
        <v>42.421795151486158</v>
      </c>
      <c r="AC22" s="34">
        <f>VLOOKUP(D22,坦克类型系数!$CQ$3:$CY$6,9,FALSE)</f>
        <v>58.919159932619657</v>
      </c>
      <c r="AD22" s="2">
        <f>VLOOKUP(F22,坦克类型系数!$BM$3:$BV$10,6,FALSE)</f>
        <v>0.58499999999999996</v>
      </c>
      <c r="AE22" s="41">
        <f t="shared" si="4"/>
        <v>1.1111111111111112</v>
      </c>
      <c r="AF22" s="34">
        <f>VLOOKUP(D22,坦克类型系数!$DE$3:$DH$6,3,FALSE)*AE22</f>
        <v>50</v>
      </c>
      <c r="AG22" s="21">
        <v>0.95</v>
      </c>
      <c r="AH22" s="151">
        <f t="shared" si="5"/>
        <v>1.0185949277902859</v>
      </c>
      <c r="AI22" s="2">
        <f>VLOOKUP(D22,坦克类型系数!$BZ$21:$CF$24,2,FALSE)*AG22</f>
        <v>9.9749999999999996</v>
      </c>
      <c r="AJ22" s="34">
        <f>VLOOKUP(D22,坦克类型系数!$BZ$21:$CF$24,5,FALSE)*AG22</f>
        <v>9.9749999999999996</v>
      </c>
      <c r="AK22" s="34">
        <f>VLOOKUP(D22,坦克类型系数!$BZ$21:$CF$24,4,FALSE)</f>
        <v>7</v>
      </c>
      <c r="AL22" s="34">
        <f>VLOOKUP(D22,坦克类型系数!$BZ$21:$CF$24,7,FALSE)</f>
        <v>10.5</v>
      </c>
      <c r="AM22" s="34">
        <f>VLOOKUP(D22,坦克类型系数!$CH$21:$CN$24,4,FALSE)</f>
        <v>21</v>
      </c>
      <c r="AN22" s="34">
        <f>VLOOKUP(D22,坦克类型系数!$CH$21:$CN$24,7,FALSE)</f>
        <v>35</v>
      </c>
      <c r="AO22" s="2">
        <f>VLOOKUP(F22,坦克类型系数!$BM$13:$BV$20,6,FALSE)</f>
        <v>0.58499999999999996</v>
      </c>
      <c r="AP22" s="143">
        <f>基础属性系数!$C$56</f>
        <v>0.2</v>
      </c>
      <c r="AQ22" s="143">
        <f>基础属性系数!$C$55</f>
        <v>0.3</v>
      </c>
      <c r="AR22" s="2">
        <f>VLOOKUP(D22,坦克类型系数!$DE$9:$DH$12,2,FALSE)</f>
        <v>1</v>
      </c>
      <c r="AS22" s="2">
        <f>VLOOKUP(D22,坦克类型系数!$DE$9:$DH$12,3,FALSE)</f>
        <v>1</v>
      </c>
      <c r="AT22" s="2">
        <f>VLOOKUP(D22,坦克类型系数!$DE$9:$DH$12,4,FALSE)</f>
        <v>1</v>
      </c>
      <c r="AU22" s="2">
        <f>VLOOKUP(D22,坦克类型系数!$AH$9:$AK$12,3,FALSE)</f>
        <v>40</v>
      </c>
      <c r="AV22" s="2">
        <f>VLOOKUP(D22,坦克类型系数!$AH$9:$AK$12,4,FALSE)</f>
        <v>100</v>
      </c>
      <c r="AW22" s="143">
        <f>VLOOKUP($B22,坦克类型系数!$B$3:$AF$33,MATCH(AW$18,坦克类型系数!$B$3:$AF$3,0),FALSE)</f>
        <v>0</v>
      </c>
      <c r="AX22" s="143">
        <f>VLOOKUP($B22,坦克类型系数!$B$3:$AF$33,MATCH(AX$18,坦克类型系数!$B$3:$AF$3,0),FALSE)</f>
        <v>2.1</v>
      </c>
      <c r="AY22" s="143">
        <f>VLOOKUP($B22,坦克类型系数!$B$3:$AF$33,MATCH(AY$18,坦克类型系数!$B$3:$AF$3,0),FALSE)</f>
        <v>1.6</v>
      </c>
      <c r="AZ22" s="143">
        <f>VLOOKUP($B22,坦克类型系数!$B$3:$AF$33,MATCH(AZ$18,坦克类型系数!$B$3:$AF$3,0),FALSE)</f>
        <v>1.4</v>
      </c>
      <c r="BA22" s="143">
        <f>VLOOKUP($B22,坦克类型系数!$B$3:$AF$33,MATCH(BA$18,坦克类型系数!$B$3:$AF$3,0),FALSE)</f>
        <v>1.1000000000000001</v>
      </c>
      <c r="BB22" s="143">
        <f>VLOOKUP($B22,坦克类型系数!$B$3:$AF$33,MATCH(BB$18,坦克类型系数!$B$3:$AF$3,0),FALSE)</f>
        <v>0.95</v>
      </c>
      <c r="BC22" s="143">
        <f>VLOOKUP($B22,坦克类型系数!$B$3:$AF$33,MATCH(BC$18,坦克类型系数!$B$3:$AF$3,0),FALSE)</f>
        <v>0.85</v>
      </c>
    </row>
    <row r="23" spans="2:55" x14ac:dyDescent="0.3">
      <c r="B23" s="2" t="s">
        <v>620</v>
      </c>
      <c r="C23" s="2" t="s">
        <v>1153</v>
      </c>
      <c r="D23" s="29" t="str">
        <f>坦克类型系数!C8</f>
        <v>轻坦</v>
      </c>
      <c r="E23" s="21" t="s">
        <v>619</v>
      </c>
      <c r="F23" s="21" t="s">
        <v>81</v>
      </c>
      <c r="G23" s="29">
        <f>坦克类型系数!D8</f>
        <v>5.91</v>
      </c>
      <c r="H23" s="29">
        <f>坦克类型系数!E8</f>
        <v>2.67</v>
      </c>
      <c r="I23" s="29">
        <f>坦克类型系数!F8</f>
        <v>6.49</v>
      </c>
      <c r="J23" s="21">
        <v>1</v>
      </c>
      <c r="K23" s="151">
        <f>SQRT(I23/VLOOKUP(D23,坦克类型系数!$AH$3:$AK$6,4,FALSE))*J23</f>
        <v>1.0256041426273552</v>
      </c>
      <c r="L23" s="21" t="s">
        <v>1149</v>
      </c>
      <c r="M23" s="29">
        <f>VLOOKUP(D23,坦克类型系数!$AH$15:$AK$18,4,FALSE)</f>
        <v>0.78</v>
      </c>
      <c r="N23" s="21">
        <v>1.05</v>
      </c>
      <c r="O23" s="2">
        <f t="shared" si="6"/>
        <v>0.82</v>
      </c>
      <c r="P23" s="34">
        <f t="shared" si="8"/>
        <v>1.0512820512820511</v>
      </c>
      <c r="Q23" s="34">
        <f t="shared" si="3"/>
        <v>0.94049586776859517</v>
      </c>
      <c r="R23" s="151">
        <f t="shared" si="7"/>
        <v>0.98872642509006137</v>
      </c>
      <c r="S23" s="2">
        <f>VLOOKUP(F23,坦克类型系数!$AQ$3:$AX$10,MATCH("瞄准速度",坦克类型系数!$AQ$3:$AX$3,0),FALSE)</f>
        <v>1.2</v>
      </c>
      <c r="T23" s="21">
        <v>0.5</v>
      </c>
      <c r="U23" s="2">
        <f>(VLOOKUP(F23,坦克类型系数!$AM$3:$AO$10,MATCH("射击间隔max",坦克类型系数!$AM$3:$AO$3,0),FALSE)-VLOOKUP(F23,坦克类型系数!$AM$3:$AO$10,MATCH("射击间隔min",坦克类型系数!$AM$3:$AO$3,0),FALSE))*T23+VLOOKUP(F23,坦克类型系数!$AM$3:$AO$10,MATCH("射击间隔min",坦克类型系数!$AM$3:$AO$3,0),FALSE)</f>
        <v>0.60000000000000009</v>
      </c>
      <c r="V23" s="151">
        <f>(U23-VLOOKUP(F23,标准坦克设计!$B$13:$K$20,MATCH("射击间隔",标准坦克设计!$B$13:$K$13,0),FALSE))/0.1*VLOOKUP($B$15,$B$3:$J$15,MATCH(F23,$B$3:$J$3,0),FALSE)+1</f>
        <v>0.9069196639290098</v>
      </c>
      <c r="W23" s="2">
        <f>VLOOKUP(D23,坦克类型系数!$BI$3:$BK$6,2,FALSE)</f>
        <v>1</v>
      </c>
      <c r="X23" s="34">
        <f>VLOOKUP(D23,坦克类型系数!$BI$3:$BK$6,3,FALSE)</f>
        <v>2.1563141881038952</v>
      </c>
      <c r="Y23" s="21">
        <v>1</v>
      </c>
      <c r="Z23" s="21">
        <v>1</v>
      </c>
      <c r="AA23" s="34">
        <f>VLOOKUP(D23,坦克类型系数!$CQ$9:$CY$12,2,FALSE)*$M$4*Z23</f>
        <v>11.783831986523932</v>
      </c>
      <c r="AB23" s="34">
        <f>VLOOKUP(D23,坦克类型系数!$CQ$9:$CY$12,6,FALSE)*$M$4*Z23</f>
        <v>47.135327946095728</v>
      </c>
      <c r="AC23" s="34">
        <f>VLOOKUP(D23,坦克类型系数!$CQ$3:$CY$6,9,FALSE)</f>
        <v>58.919159932619657</v>
      </c>
      <c r="AD23" s="2">
        <f>VLOOKUP(F23,坦克类型系数!$BM$3:$BV$10,6,FALSE)</f>
        <v>0.58499999999999996</v>
      </c>
      <c r="AE23" s="41">
        <f t="shared" si="4"/>
        <v>1</v>
      </c>
      <c r="AF23" s="34">
        <f>VLOOKUP(D23,坦克类型系数!$DE$3:$DH$6,3,FALSE)*AE23</f>
        <v>45</v>
      </c>
      <c r="AG23" s="21">
        <v>1</v>
      </c>
      <c r="AH23" s="151">
        <f t="shared" si="5"/>
        <v>1</v>
      </c>
      <c r="AI23" s="2">
        <f>VLOOKUP(D23,坦克类型系数!$BZ$21:$CF$24,2,FALSE)*AG23</f>
        <v>10.5</v>
      </c>
      <c r="AJ23" s="34">
        <f>VLOOKUP(D23,坦克类型系数!$BZ$21:$CF$24,5,FALSE)*AG23</f>
        <v>10.5</v>
      </c>
      <c r="AK23" s="34">
        <f>VLOOKUP(D23,坦克类型系数!$BZ$21:$CF$24,4,FALSE)</f>
        <v>7</v>
      </c>
      <c r="AL23" s="34">
        <f>VLOOKUP(D23,坦克类型系数!$BZ$21:$CF$24,7,FALSE)</f>
        <v>10.5</v>
      </c>
      <c r="AM23" s="34">
        <f>VLOOKUP(D23,坦克类型系数!$CH$21:$CN$24,4,FALSE)</f>
        <v>21</v>
      </c>
      <c r="AN23" s="34">
        <f>VLOOKUP(D23,坦克类型系数!$CH$21:$CN$24,7,FALSE)</f>
        <v>35</v>
      </c>
      <c r="AO23" s="2">
        <f>VLOOKUP(F23,坦克类型系数!$BM$13:$BV$20,6,FALSE)</f>
        <v>0.58499999999999996</v>
      </c>
      <c r="AP23" s="143">
        <f>基础属性系数!$C$56</f>
        <v>0.2</v>
      </c>
      <c r="AQ23" s="143">
        <f>基础属性系数!$C$55</f>
        <v>0.3</v>
      </c>
      <c r="AR23" s="2">
        <f>VLOOKUP(D23,坦克类型系数!$DE$9:$DH$12,2,FALSE)</f>
        <v>1</v>
      </c>
      <c r="AS23" s="2">
        <f>VLOOKUP(D23,坦克类型系数!$DE$9:$DH$12,3,FALSE)</f>
        <v>1</v>
      </c>
      <c r="AT23" s="2">
        <f>VLOOKUP(D23,坦克类型系数!$DE$9:$DH$12,4,FALSE)</f>
        <v>1</v>
      </c>
      <c r="AU23" s="2">
        <f>VLOOKUP(D23,坦克类型系数!$AH$9:$AK$12,3,FALSE)</f>
        <v>40</v>
      </c>
      <c r="AV23" s="2">
        <f>VLOOKUP(D23,坦克类型系数!$AH$9:$AK$12,4,FALSE)</f>
        <v>100</v>
      </c>
      <c r="AW23" s="143">
        <f>VLOOKUP($B23,坦克类型系数!$B$3:$AF$33,MATCH(AW$18,坦克类型系数!$B$3:$AF$3,0),FALSE)</f>
        <v>0</v>
      </c>
      <c r="AX23" s="143">
        <f>VLOOKUP($B23,坦克类型系数!$B$3:$AF$33,MATCH(AX$18,坦克类型系数!$B$3:$AF$3,0),FALSE)</f>
        <v>2</v>
      </c>
      <c r="AY23" s="143">
        <f>VLOOKUP($B23,坦克类型系数!$B$3:$AF$33,MATCH(AY$18,坦克类型系数!$B$3:$AF$3,0),FALSE)</f>
        <v>1.55</v>
      </c>
      <c r="AZ23" s="143">
        <f>VLOOKUP($B23,坦克类型系数!$B$3:$AF$33,MATCH(AZ$18,坦克类型系数!$B$3:$AF$3,0),FALSE)</f>
        <v>1.25</v>
      </c>
      <c r="BA23" s="143">
        <f>VLOOKUP($B23,坦克类型系数!$B$3:$AF$33,MATCH(BA$18,坦克类型系数!$B$3:$AF$3,0),FALSE)</f>
        <v>1.1000000000000001</v>
      </c>
      <c r="BB23" s="143">
        <f>VLOOKUP($B23,坦克类型系数!$B$3:$AF$33,MATCH(BB$18,坦克类型系数!$B$3:$AF$3,0),FALSE)</f>
        <v>0.95</v>
      </c>
      <c r="BC23" s="143">
        <f>VLOOKUP($B23,坦克类型系数!$B$3:$AF$33,MATCH(BC$18,坦克类型系数!$B$3:$AF$3,0),FALSE)</f>
        <v>0.8</v>
      </c>
    </row>
    <row r="24" spans="2:55" x14ac:dyDescent="0.3">
      <c r="B24" s="2" t="s">
        <v>622</v>
      </c>
      <c r="C24" s="2" t="s">
        <v>1154</v>
      </c>
      <c r="D24" s="29" t="str">
        <f>坦克类型系数!C9</f>
        <v>轻坦</v>
      </c>
      <c r="E24" s="21" t="s">
        <v>619</v>
      </c>
      <c r="F24" s="21" t="s">
        <v>81</v>
      </c>
      <c r="G24" s="29">
        <f>坦克类型系数!D9</f>
        <v>4.9400000000000004</v>
      </c>
      <c r="H24" s="29">
        <f>坦克类型系数!E9</f>
        <v>2.54</v>
      </c>
      <c r="I24" s="29">
        <f>坦克类型系数!F9</f>
        <v>5.55</v>
      </c>
      <c r="J24" s="21">
        <v>1</v>
      </c>
      <c r="K24" s="151">
        <f>SQRT(I24/VLOOKUP(D24,坦克类型系数!$AH$3:$AK$6,4,FALSE))*J24</f>
        <v>0.94842700105865552</v>
      </c>
      <c r="L24" s="21" t="s">
        <v>1149</v>
      </c>
      <c r="M24" s="29">
        <f>VLOOKUP(D24,坦克类型系数!$AH$15:$AK$18,4,FALSE)</f>
        <v>0.78</v>
      </c>
      <c r="N24" s="21">
        <v>0.9</v>
      </c>
      <c r="O24" s="2">
        <f t="shared" si="6"/>
        <v>0.7</v>
      </c>
      <c r="P24" s="34">
        <f t="shared" si="8"/>
        <v>0.89743589743589736</v>
      </c>
      <c r="Q24" s="34">
        <f t="shared" si="3"/>
        <v>1.0959744068248469</v>
      </c>
      <c r="R24" s="151">
        <f t="shared" si="7"/>
        <v>0.98356677535563175</v>
      </c>
      <c r="S24" s="2">
        <f>VLOOKUP(F24,坦克类型系数!$AQ$3:$AX$10,MATCH("瞄准速度",坦克类型系数!$AQ$3:$AX$3,0),FALSE)</f>
        <v>1.2</v>
      </c>
      <c r="T24" s="21">
        <v>1</v>
      </c>
      <c r="U24" s="2">
        <f>(VLOOKUP(F24,坦克类型系数!$AM$3:$AO$10,MATCH("射击间隔max",坦克类型系数!$AM$3:$AO$3,0),FALSE)-VLOOKUP(F24,坦克类型系数!$AM$3:$AO$10,MATCH("射击间隔min",坦克类型系数!$AM$3:$AO$3,0),FALSE))*T24+VLOOKUP(F24,坦克类型系数!$AM$3:$AO$10,MATCH("射击间隔min",坦克类型系数!$AM$3:$AO$3,0),FALSE)</f>
        <v>0.8</v>
      </c>
      <c r="V24" s="151">
        <f>(U24-VLOOKUP(F24,标准坦克设计!$B$13:$K$20,MATCH("射击间隔",标准坦克设计!$B$13:$K$13,0),FALSE))/0.1*VLOOKUP($B$15,$B$3:$J$15,MATCH(F24,$B$3:$J$3,0),FALSE)+1</f>
        <v>0.8138393278580196</v>
      </c>
      <c r="W24" s="2">
        <f>VLOOKUP(D24,坦克类型系数!$BI$3:$BK$6,2,FALSE)</f>
        <v>1</v>
      </c>
      <c r="X24" s="34">
        <f>VLOOKUP(D24,坦克类型系数!$BI$3:$BK$6,3,FALSE)</f>
        <v>2.1563141881038952</v>
      </c>
      <c r="Y24" s="21">
        <v>3</v>
      </c>
      <c r="Z24" s="21">
        <v>0.8</v>
      </c>
      <c r="AA24" s="34">
        <f>VLOOKUP(D24,坦克类型系数!$CQ$9:$CY$12,2,FALSE)*$M$4*Z24</f>
        <v>9.4270655892191453</v>
      </c>
      <c r="AB24" s="34">
        <f>VLOOKUP(D24,坦克类型系数!$CQ$9:$CY$12,6,FALSE)*$M$4*Z24</f>
        <v>37.708262356876581</v>
      </c>
      <c r="AC24" s="34">
        <f>VLOOKUP(D24,坦克类型系数!$CQ$3:$CY$6,9,FALSE)</f>
        <v>58.919159932619657</v>
      </c>
      <c r="AD24" s="2">
        <f>VLOOKUP(F24,坦克类型系数!$BM$3:$BV$10,6,FALSE)</f>
        <v>0.58499999999999996</v>
      </c>
      <c r="AE24" s="41">
        <f t="shared" si="4"/>
        <v>1.25</v>
      </c>
      <c r="AF24" s="34">
        <f>VLOOKUP(D24,坦克类型系数!$DE$3:$DH$6,3,FALSE)*AE24</f>
        <v>56.25</v>
      </c>
      <c r="AG24" s="21">
        <v>0.9</v>
      </c>
      <c r="AH24" s="151">
        <f t="shared" si="5"/>
        <v>1.0371898555805719</v>
      </c>
      <c r="AI24" s="2">
        <f>VLOOKUP(D24,坦克类型系数!$BZ$21:$CF$24,2,FALSE)*AG24</f>
        <v>9.4500000000000011</v>
      </c>
      <c r="AJ24" s="34">
        <f>VLOOKUP(D24,坦克类型系数!$BZ$21:$CF$24,5,FALSE)*AG24</f>
        <v>9.4500000000000011</v>
      </c>
      <c r="AK24" s="34">
        <f>VLOOKUP(D24,坦克类型系数!$BZ$21:$CF$24,4,FALSE)</f>
        <v>7</v>
      </c>
      <c r="AL24" s="34">
        <f>VLOOKUP(D24,坦克类型系数!$BZ$21:$CF$24,7,FALSE)</f>
        <v>10.5</v>
      </c>
      <c r="AM24" s="34">
        <f>VLOOKUP(D24,坦克类型系数!$CH$21:$CN$24,4,FALSE)</f>
        <v>21</v>
      </c>
      <c r="AN24" s="34">
        <f>VLOOKUP(D24,坦克类型系数!$CH$21:$CN$24,7,FALSE)</f>
        <v>35</v>
      </c>
      <c r="AO24" s="2">
        <f>VLOOKUP(F24,坦克类型系数!$BM$13:$BV$20,6,FALSE)</f>
        <v>0.58499999999999996</v>
      </c>
      <c r="AP24" s="143">
        <f>基础属性系数!$C$56</f>
        <v>0.2</v>
      </c>
      <c r="AQ24" s="143">
        <f>基础属性系数!$C$55</f>
        <v>0.3</v>
      </c>
      <c r="AR24" s="2">
        <f>VLOOKUP(D24,坦克类型系数!$DE$9:$DH$12,2,FALSE)</f>
        <v>1</v>
      </c>
      <c r="AS24" s="2">
        <f>VLOOKUP(D24,坦克类型系数!$DE$9:$DH$12,3,FALSE)</f>
        <v>1</v>
      </c>
      <c r="AT24" s="2">
        <f>VLOOKUP(D24,坦克类型系数!$DE$9:$DH$12,4,FALSE)</f>
        <v>1</v>
      </c>
      <c r="AU24" s="2">
        <f>VLOOKUP(D24,坦克类型系数!$AH$9:$AK$12,3,FALSE)</f>
        <v>40</v>
      </c>
      <c r="AV24" s="2">
        <f>VLOOKUP(D24,坦克类型系数!$AH$9:$AK$12,4,FALSE)</f>
        <v>100</v>
      </c>
      <c r="AW24" s="143">
        <f>VLOOKUP($B24,坦克类型系数!$B$3:$AF$33,MATCH(AW$18,坦克类型系数!$B$3:$AF$3,0),FALSE)</f>
        <v>0</v>
      </c>
      <c r="AX24" s="143">
        <f>VLOOKUP($B24,坦克类型系数!$B$3:$AF$33,MATCH(AX$18,坦克类型系数!$B$3:$AF$3,0),FALSE)</f>
        <v>1.9</v>
      </c>
      <c r="AY24" s="143">
        <f>VLOOKUP($B24,坦克类型系数!$B$3:$AF$33,MATCH(AY$18,坦克类型系数!$B$3:$AF$3,0),FALSE)</f>
        <v>1.55</v>
      </c>
      <c r="AZ24" s="143">
        <f>VLOOKUP($B24,坦克类型系数!$B$3:$AF$33,MATCH(AZ$18,坦克类型系数!$B$3:$AF$3,0),FALSE)</f>
        <v>1.25</v>
      </c>
      <c r="BA24" s="143">
        <f>VLOOKUP($B24,坦克类型系数!$B$3:$AF$33,MATCH(BA$18,坦克类型系数!$B$3:$AF$3,0),FALSE)</f>
        <v>1.1000000000000001</v>
      </c>
      <c r="BB24" s="143">
        <f>VLOOKUP($B24,坦克类型系数!$B$3:$AF$33,MATCH(BB$18,坦克类型系数!$B$3:$AF$3,0),FALSE)</f>
        <v>0.9</v>
      </c>
      <c r="BC24" s="143">
        <f>VLOOKUP($B24,坦克类型系数!$B$3:$AF$33,MATCH(BC$18,坦克类型系数!$B$3:$AF$3,0),FALSE)</f>
        <v>0.75</v>
      </c>
    </row>
    <row r="25" spans="2:55" x14ac:dyDescent="0.3">
      <c r="B25" s="2" t="s">
        <v>624</v>
      </c>
      <c r="C25" s="2" t="s">
        <v>1155</v>
      </c>
      <c r="D25" s="29" t="str">
        <f>坦克类型系数!C10</f>
        <v>轻坦</v>
      </c>
      <c r="E25" s="21" t="s">
        <v>626</v>
      </c>
      <c r="F25" s="21" t="s">
        <v>81</v>
      </c>
      <c r="G25" s="29">
        <f>坦克类型系数!D10</f>
        <v>4.8</v>
      </c>
      <c r="H25" s="29">
        <f>坦克类型系数!E10</f>
        <v>2.94</v>
      </c>
      <c r="I25" s="29">
        <f>坦克类型系数!F10</f>
        <v>5.63</v>
      </c>
      <c r="J25" s="21">
        <v>1</v>
      </c>
      <c r="K25" s="151">
        <f>SQRT(I25/VLOOKUP(D25,坦克类型系数!$AH$3:$AK$6,4,FALSE))*J25</f>
        <v>0.95523805445591059</v>
      </c>
      <c r="L25" s="21" t="s">
        <v>1149</v>
      </c>
      <c r="M25" s="29">
        <f>VLOOKUP(D25,坦克类型系数!$AH$15:$AK$18,4,FALSE)</f>
        <v>0.78</v>
      </c>
      <c r="N25" s="21">
        <v>1.05</v>
      </c>
      <c r="O25" s="2">
        <f t="shared" si="6"/>
        <v>0.82</v>
      </c>
      <c r="P25" s="34">
        <f t="shared" si="8"/>
        <v>1.0512820512820511</v>
      </c>
      <c r="Q25" s="34">
        <f t="shared" si="3"/>
        <v>0.94490358126721774</v>
      </c>
      <c r="R25" s="151">
        <f t="shared" si="7"/>
        <v>0.99336017517835695</v>
      </c>
      <c r="S25" s="2">
        <f>VLOOKUP(F25,坦克类型系数!$AQ$3:$AX$10,MATCH("瞄准速度",坦克类型系数!$AQ$3:$AX$3,0),FALSE)</f>
        <v>1.2</v>
      </c>
      <c r="T25" s="21">
        <v>0.5</v>
      </c>
      <c r="U25" s="2">
        <f>(VLOOKUP(F25,坦克类型系数!$AM$3:$AO$10,MATCH("射击间隔max",坦克类型系数!$AM$3:$AO$3,0),FALSE)-VLOOKUP(F25,坦克类型系数!$AM$3:$AO$10,MATCH("射击间隔min",坦克类型系数!$AM$3:$AO$3,0),FALSE))*T25+VLOOKUP(F25,坦克类型系数!$AM$3:$AO$10,MATCH("射击间隔min",坦克类型系数!$AM$3:$AO$3,0),FALSE)</f>
        <v>0.60000000000000009</v>
      </c>
      <c r="V25" s="151">
        <f>(U25-VLOOKUP(F25,标准坦克设计!$B$13:$K$20,MATCH("射击间隔",标准坦克设计!$B$13:$K$13,0),FALSE))/0.1*VLOOKUP($B$15,$B$3:$J$15,MATCH(F25,$B$3:$J$3,0),FALSE)+1</f>
        <v>0.9069196639290098</v>
      </c>
      <c r="W25" s="2">
        <f>VLOOKUP(D25,坦克类型系数!$BI$3:$BK$6,2,FALSE)</f>
        <v>1</v>
      </c>
      <c r="X25" s="34">
        <f>VLOOKUP(D25,坦克类型系数!$BI$3:$BK$6,3,FALSE)</f>
        <v>2.1563141881038952</v>
      </c>
      <c r="Y25" s="21">
        <v>2</v>
      </c>
      <c r="Z25" s="21">
        <v>0.9</v>
      </c>
      <c r="AA25" s="34">
        <f>VLOOKUP(D25,坦克类型系数!$CQ$9:$CY$12,2,FALSE)*$M$4*Z25</f>
        <v>10.60544878787154</v>
      </c>
      <c r="AB25" s="34">
        <f>VLOOKUP(D25,坦克类型系数!$CQ$9:$CY$12,6,FALSE)*$M$4*Z25</f>
        <v>42.421795151486158</v>
      </c>
      <c r="AC25" s="34">
        <f>VLOOKUP(D25,坦克类型系数!$CQ$3:$CY$6,9,FALSE)</f>
        <v>58.919159932619657</v>
      </c>
      <c r="AD25" s="2">
        <f>VLOOKUP(F25,坦克类型系数!$BM$3:$BV$10,6,FALSE)</f>
        <v>0.58499999999999996</v>
      </c>
      <c r="AE25" s="41">
        <f t="shared" si="4"/>
        <v>1.1111111111111112</v>
      </c>
      <c r="AF25" s="34">
        <f>VLOOKUP(D25,坦克类型系数!$DE$3:$DH$6,3,FALSE)*AE25</f>
        <v>50</v>
      </c>
      <c r="AG25" s="21">
        <v>0.95</v>
      </c>
      <c r="AH25" s="151">
        <f t="shared" si="5"/>
        <v>1.0185949277902859</v>
      </c>
      <c r="AI25" s="2">
        <f>VLOOKUP(D25,坦克类型系数!$BZ$21:$CF$24,2,FALSE)*AG25</f>
        <v>9.9749999999999996</v>
      </c>
      <c r="AJ25" s="34">
        <f>VLOOKUP(D25,坦克类型系数!$BZ$21:$CF$24,5,FALSE)*AG25</f>
        <v>9.9749999999999996</v>
      </c>
      <c r="AK25" s="34">
        <f>VLOOKUP(D25,坦克类型系数!$BZ$21:$CF$24,4,FALSE)</f>
        <v>7</v>
      </c>
      <c r="AL25" s="34">
        <f>VLOOKUP(D25,坦克类型系数!$BZ$21:$CF$24,7,FALSE)</f>
        <v>10.5</v>
      </c>
      <c r="AM25" s="34">
        <f>VLOOKUP(D25,坦克类型系数!$CH$21:$CN$24,4,FALSE)</f>
        <v>21</v>
      </c>
      <c r="AN25" s="34">
        <f>VLOOKUP(D25,坦克类型系数!$CH$21:$CN$24,7,FALSE)</f>
        <v>35</v>
      </c>
      <c r="AO25" s="2">
        <f>VLOOKUP(F25,坦克类型系数!$BM$13:$BV$20,6,FALSE)</f>
        <v>0.58499999999999996</v>
      </c>
      <c r="AP25" s="143">
        <f>基础属性系数!$C$56</f>
        <v>0.2</v>
      </c>
      <c r="AQ25" s="143">
        <f>基础属性系数!$C$55</f>
        <v>0.3</v>
      </c>
      <c r="AR25" s="2">
        <f>VLOOKUP(D25,坦克类型系数!$DE$9:$DH$12,2,FALSE)</f>
        <v>1</v>
      </c>
      <c r="AS25" s="2">
        <f>VLOOKUP(D25,坦克类型系数!$DE$9:$DH$12,3,FALSE)</f>
        <v>1</v>
      </c>
      <c r="AT25" s="2">
        <f>VLOOKUP(D25,坦克类型系数!$DE$9:$DH$12,4,FALSE)</f>
        <v>1</v>
      </c>
      <c r="AU25" s="2">
        <f>VLOOKUP(D25,坦克类型系数!$AH$9:$AK$12,3,FALSE)</f>
        <v>40</v>
      </c>
      <c r="AV25" s="2">
        <f>VLOOKUP(D25,坦克类型系数!$AH$9:$AK$12,4,FALSE)</f>
        <v>100</v>
      </c>
      <c r="AW25" s="143">
        <f>VLOOKUP($B25,坦克类型系数!$B$3:$AF$33,MATCH(AW$18,坦克类型系数!$B$3:$AF$3,0),FALSE)</f>
        <v>0</v>
      </c>
      <c r="AX25" s="143">
        <f>VLOOKUP($B25,坦克类型系数!$B$3:$AF$33,MATCH(AX$18,坦克类型系数!$B$3:$AF$3,0),FALSE)</f>
        <v>1.85</v>
      </c>
      <c r="AY25" s="143">
        <f>VLOOKUP($B25,坦克类型系数!$B$3:$AF$33,MATCH(AY$18,坦克类型系数!$B$3:$AF$3,0),FALSE)</f>
        <v>1.45</v>
      </c>
      <c r="AZ25" s="143">
        <f>VLOOKUP($B25,坦克类型系数!$B$3:$AF$33,MATCH(AZ$18,坦克类型系数!$B$3:$AF$3,0),FALSE)</f>
        <v>1.1499999999999999</v>
      </c>
      <c r="BA25" s="143">
        <f>VLOOKUP($B25,坦克类型系数!$B$3:$AF$33,MATCH(BA$18,坦克类型系数!$B$3:$AF$3,0),FALSE)</f>
        <v>1.05</v>
      </c>
      <c r="BB25" s="143">
        <f>VLOOKUP($B25,坦克类型系数!$B$3:$AF$33,MATCH(BB$18,坦克类型系数!$B$3:$AF$3,0),FALSE)</f>
        <v>0.9</v>
      </c>
      <c r="BC25" s="143">
        <f>VLOOKUP($B25,坦克类型系数!$B$3:$AF$33,MATCH(BC$18,坦克类型系数!$B$3:$AF$3,0),FALSE)</f>
        <v>0.75</v>
      </c>
    </row>
    <row r="26" spans="2:55" x14ac:dyDescent="0.3">
      <c r="B26" s="2" t="s">
        <v>627</v>
      </c>
      <c r="C26" s="2" t="s">
        <v>1156</v>
      </c>
      <c r="D26" s="29" t="str">
        <f>坦克类型系数!C11</f>
        <v>轻坦</v>
      </c>
      <c r="E26" s="21" t="s">
        <v>626</v>
      </c>
      <c r="F26" s="21" t="s">
        <v>81</v>
      </c>
      <c r="G26" s="29">
        <f>坦克类型系数!D11</f>
        <v>5.61</v>
      </c>
      <c r="H26" s="29">
        <f>坦克类型系数!E11</f>
        <v>3.21</v>
      </c>
      <c r="I26" s="29">
        <f>坦克类型系数!F11</f>
        <v>6.46</v>
      </c>
      <c r="J26" s="21">
        <v>1</v>
      </c>
      <c r="K26" s="151">
        <f>SQRT(I26/VLOOKUP(D26,坦克类型系数!$AH$3:$AK$6,4,FALSE))*J26</f>
        <v>1.0232309713576613</v>
      </c>
      <c r="L26" s="21" t="s">
        <v>1149</v>
      </c>
      <c r="M26" s="29">
        <f>VLOOKUP(D26,坦克类型系数!$AH$15:$AK$18,4,FALSE)</f>
        <v>0.78</v>
      </c>
      <c r="N26" s="21">
        <v>0.95</v>
      </c>
      <c r="O26" s="2">
        <f t="shared" si="6"/>
        <v>0.74</v>
      </c>
      <c r="P26" s="34">
        <f t="shared" si="8"/>
        <v>0.94871794871794868</v>
      </c>
      <c r="Q26" s="34">
        <f t="shared" si="3"/>
        <v>1.0504272307045806</v>
      </c>
      <c r="R26" s="151">
        <f t="shared" si="7"/>
        <v>0.99655916759152507</v>
      </c>
      <c r="S26" s="2">
        <f>VLOOKUP(F26,坦克类型系数!$AQ$3:$AX$10,MATCH("瞄准速度",坦克类型系数!$AQ$3:$AX$3,0),FALSE)</f>
        <v>1.2</v>
      </c>
      <c r="T26" s="21">
        <v>1</v>
      </c>
      <c r="U26" s="2">
        <f>(VLOOKUP(F26,坦克类型系数!$AM$3:$AO$10,MATCH("射击间隔max",坦克类型系数!$AM$3:$AO$3,0),FALSE)-VLOOKUP(F26,坦克类型系数!$AM$3:$AO$10,MATCH("射击间隔min",坦克类型系数!$AM$3:$AO$3,0),FALSE))*T26+VLOOKUP(F26,坦克类型系数!$AM$3:$AO$10,MATCH("射击间隔min",坦克类型系数!$AM$3:$AO$3,0),FALSE)</f>
        <v>0.8</v>
      </c>
      <c r="V26" s="151">
        <f>(U26-VLOOKUP(F26,标准坦克设计!$B$13:$K$20,MATCH("射击间隔",标准坦克设计!$B$13:$K$13,0),FALSE))/0.1*VLOOKUP($B$15,$B$3:$J$15,MATCH(F26,$B$3:$J$3,0),FALSE)+1</f>
        <v>0.8138393278580196</v>
      </c>
      <c r="W26" s="2">
        <f>VLOOKUP(D26,坦克类型系数!$BI$3:$BK$6,2,FALSE)</f>
        <v>1</v>
      </c>
      <c r="X26" s="34">
        <f>VLOOKUP(D26,坦克类型系数!$BI$3:$BK$6,3,FALSE)</f>
        <v>2.1563141881038952</v>
      </c>
      <c r="Y26" s="21">
        <v>3</v>
      </c>
      <c r="Z26" s="21">
        <v>0.8</v>
      </c>
      <c r="AA26" s="34">
        <f>VLOOKUP(D26,坦克类型系数!$CQ$9:$CY$12,2,FALSE)*$M$4*Z26</f>
        <v>9.4270655892191453</v>
      </c>
      <c r="AB26" s="34">
        <f>VLOOKUP(D26,坦克类型系数!$CQ$9:$CY$12,6,FALSE)*$M$4*Z26</f>
        <v>37.708262356876581</v>
      </c>
      <c r="AC26" s="34">
        <f>VLOOKUP(D26,坦克类型系数!$CQ$3:$CY$6,9,FALSE)</f>
        <v>58.919159932619657</v>
      </c>
      <c r="AD26" s="2">
        <f>VLOOKUP(F26,坦克类型系数!$BM$3:$BV$10,6,FALSE)</f>
        <v>0.58499999999999996</v>
      </c>
      <c r="AE26" s="41">
        <f t="shared" si="4"/>
        <v>1.25</v>
      </c>
      <c r="AF26" s="34">
        <f>VLOOKUP(D26,坦克类型系数!$DE$3:$DH$6,3,FALSE)*AE26</f>
        <v>56.25</v>
      </c>
      <c r="AG26" s="21">
        <v>0.9</v>
      </c>
      <c r="AH26" s="151">
        <f t="shared" si="5"/>
        <v>1.0371898555805719</v>
      </c>
      <c r="AI26" s="2">
        <f>VLOOKUP(D26,坦克类型系数!$BZ$21:$CF$24,2,FALSE)*AG26</f>
        <v>9.4500000000000011</v>
      </c>
      <c r="AJ26" s="34">
        <f>VLOOKUP(D26,坦克类型系数!$BZ$21:$CF$24,5,FALSE)*AG26</f>
        <v>9.4500000000000011</v>
      </c>
      <c r="AK26" s="34">
        <f>VLOOKUP(D26,坦克类型系数!$BZ$21:$CF$24,4,FALSE)</f>
        <v>7</v>
      </c>
      <c r="AL26" s="34">
        <f>VLOOKUP(D26,坦克类型系数!$BZ$21:$CF$24,7,FALSE)</f>
        <v>10.5</v>
      </c>
      <c r="AM26" s="34">
        <f>VLOOKUP(D26,坦克类型系数!$CH$21:$CN$24,4,FALSE)</f>
        <v>21</v>
      </c>
      <c r="AN26" s="34">
        <f>VLOOKUP(D26,坦克类型系数!$CH$21:$CN$24,7,FALSE)</f>
        <v>35</v>
      </c>
      <c r="AO26" s="2">
        <f>VLOOKUP(F26,坦克类型系数!$BM$13:$BV$20,6,FALSE)</f>
        <v>0.58499999999999996</v>
      </c>
      <c r="AP26" s="143">
        <f>基础属性系数!$C$56</f>
        <v>0.2</v>
      </c>
      <c r="AQ26" s="143">
        <f>基础属性系数!$C$55</f>
        <v>0.3</v>
      </c>
      <c r="AR26" s="2">
        <f>VLOOKUP(D26,坦克类型系数!$DE$9:$DH$12,2,FALSE)</f>
        <v>1</v>
      </c>
      <c r="AS26" s="2">
        <f>VLOOKUP(D26,坦克类型系数!$DE$9:$DH$12,3,FALSE)</f>
        <v>1</v>
      </c>
      <c r="AT26" s="2">
        <f>VLOOKUP(D26,坦克类型系数!$DE$9:$DH$12,4,FALSE)</f>
        <v>1</v>
      </c>
      <c r="AU26" s="2">
        <f>VLOOKUP(D26,坦克类型系数!$AH$9:$AK$12,3,FALSE)</f>
        <v>40</v>
      </c>
      <c r="AV26" s="2">
        <f>VLOOKUP(D26,坦克类型系数!$AH$9:$AK$12,4,FALSE)</f>
        <v>100</v>
      </c>
      <c r="AW26" s="143">
        <f>VLOOKUP($B26,坦克类型系数!$B$3:$AF$33,MATCH(AW$18,坦克类型系数!$B$3:$AF$3,0),FALSE)</f>
        <v>0</v>
      </c>
      <c r="AX26" s="143">
        <f>VLOOKUP($B26,坦克类型系数!$B$3:$AF$33,MATCH(AX$18,坦克类型系数!$B$3:$AF$3,0),FALSE)</f>
        <v>1.85</v>
      </c>
      <c r="AY26" s="143">
        <f>VLOOKUP($B26,坦克类型系数!$B$3:$AF$33,MATCH(AY$18,坦克类型系数!$B$3:$AF$3,0),FALSE)</f>
        <v>1.35</v>
      </c>
      <c r="AZ26" s="143">
        <f>VLOOKUP($B26,坦克类型系数!$B$3:$AF$33,MATCH(AZ$18,坦克类型系数!$B$3:$AF$3,0),FALSE)</f>
        <v>1.2</v>
      </c>
      <c r="BA26" s="143">
        <f>VLOOKUP($B26,坦克类型系数!$B$3:$AF$33,MATCH(BA$18,坦克类型系数!$B$3:$AF$3,0),FALSE)</f>
        <v>1.1499999999999999</v>
      </c>
      <c r="BB26" s="143">
        <f>VLOOKUP($B26,坦克类型系数!$B$3:$AF$33,MATCH(BB$18,坦克类型系数!$B$3:$AF$3,0),FALSE)</f>
        <v>0.95</v>
      </c>
      <c r="BC26" s="143">
        <f>VLOOKUP($B26,坦克类型系数!$B$3:$AF$33,MATCH(BC$18,坦克类型系数!$B$3:$AF$3,0),FALSE)</f>
        <v>0.9</v>
      </c>
    </row>
    <row r="27" spans="2:55" x14ac:dyDescent="0.3">
      <c r="B27" s="2" t="s">
        <v>629</v>
      </c>
      <c r="C27" s="2" t="s">
        <v>1157</v>
      </c>
      <c r="D27" s="29" t="str">
        <f>坦克类型系数!C12</f>
        <v>轻坦</v>
      </c>
      <c r="E27" s="21" t="s">
        <v>626</v>
      </c>
      <c r="F27" s="21" t="s">
        <v>81</v>
      </c>
      <c r="G27" s="29">
        <f>坦克类型系数!D12</f>
        <v>6.99</v>
      </c>
      <c r="H27" s="29">
        <f>坦克类型系数!E12</f>
        <v>3.24</v>
      </c>
      <c r="I27" s="29">
        <f>坦克类型系数!F12</f>
        <v>7.7</v>
      </c>
      <c r="J27" s="21">
        <v>1</v>
      </c>
      <c r="K27" s="151">
        <f>SQRT(I27/VLOOKUP(D27,坦克类型系数!$AH$3:$AK$6,4,FALSE))*J27</f>
        <v>1.1171275970413197</v>
      </c>
      <c r="L27" s="21" t="s">
        <v>1149</v>
      </c>
      <c r="M27" s="29">
        <f>VLOOKUP(D27,坦克类型系数!$AH$15:$AK$18,4,FALSE)</f>
        <v>0.78</v>
      </c>
      <c r="N27" s="21">
        <v>1</v>
      </c>
      <c r="O27" s="2">
        <f t="shared" si="6"/>
        <v>0.78</v>
      </c>
      <c r="P27" s="34">
        <f t="shared" si="8"/>
        <v>1</v>
      </c>
      <c r="Q27" s="34">
        <f t="shared" si="3"/>
        <v>1</v>
      </c>
      <c r="R27" s="151">
        <f t="shared" si="7"/>
        <v>1</v>
      </c>
      <c r="S27" s="2">
        <f>VLOOKUP(F27,坦克类型系数!$AQ$3:$AX$10,MATCH("瞄准速度",坦克类型系数!$AQ$3:$AX$3,0),FALSE)</f>
        <v>1.2</v>
      </c>
      <c r="T27" s="21">
        <v>1</v>
      </c>
      <c r="U27" s="2">
        <f>(VLOOKUP(F27,坦克类型系数!$AM$3:$AO$10,MATCH("射击间隔max",坦克类型系数!$AM$3:$AO$3,0),FALSE)-VLOOKUP(F27,坦克类型系数!$AM$3:$AO$10,MATCH("射击间隔min",坦克类型系数!$AM$3:$AO$3,0),FALSE))*T27+VLOOKUP(F27,坦克类型系数!$AM$3:$AO$10,MATCH("射击间隔min",坦克类型系数!$AM$3:$AO$3,0),FALSE)</f>
        <v>0.8</v>
      </c>
      <c r="V27" s="151">
        <f>(U27-VLOOKUP(F27,标准坦克设计!$B$13:$K$20,MATCH("射击间隔",标准坦克设计!$B$13:$K$13,0),FALSE))/0.1*VLOOKUP($B$15,$B$3:$J$15,MATCH(F27,$B$3:$J$3,0),FALSE)+1</f>
        <v>0.8138393278580196</v>
      </c>
      <c r="W27" s="2">
        <f>VLOOKUP(D27,坦克类型系数!$BI$3:$BK$6,2,FALSE)</f>
        <v>1</v>
      </c>
      <c r="X27" s="34">
        <f>VLOOKUP(D27,坦克类型系数!$BI$3:$BK$6,3,FALSE)</f>
        <v>2.1563141881038952</v>
      </c>
      <c r="Y27" s="21">
        <v>2</v>
      </c>
      <c r="Z27" s="21">
        <v>0.9</v>
      </c>
      <c r="AA27" s="34">
        <f>VLOOKUP(D27,坦克类型系数!$CQ$9:$CY$12,2,FALSE)*$M$4*Z27</f>
        <v>10.60544878787154</v>
      </c>
      <c r="AB27" s="34">
        <f>VLOOKUP(D27,坦克类型系数!$CQ$9:$CY$12,6,FALSE)*$M$4*Z27</f>
        <v>42.421795151486158</v>
      </c>
      <c r="AC27" s="34">
        <f>VLOOKUP(D27,坦克类型系数!$CQ$3:$CY$6,9,FALSE)</f>
        <v>58.919159932619657</v>
      </c>
      <c r="AD27" s="2">
        <f>VLOOKUP(F27,坦克类型系数!$BM$3:$BV$10,6,FALSE)</f>
        <v>0.58499999999999996</v>
      </c>
      <c r="AE27" s="41">
        <f t="shared" si="4"/>
        <v>1.1111111111111112</v>
      </c>
      <c r="AF27" s="34">
        <f>VLOOKUP(D27,坦克类型系数!$DE$3:$DH$6,3,FALSE)*AE27</f>
        <v>50</v>
      </c>
      <c r="AG27" s="21">
        <v>0.95</v>
      </c>
      <c r="AH27" s="151">
        <f t="shared" si="5"/>
        <v>1.0185949277902859</v>
      </c>
      <c r="AI27" s="2">
        <f>VLOOKUP(D27,坦克类型系数!$BZ$21:$CF$24,2,FALSE)*AG27</f>
        <v>9.9749999999999996</v>
      </c>
      <c r="AJ27" s="34">
        <f>VLOOKUP(D27,坦克类型系数!$BZ$21:$CF$24,5,FALSE)*AG27</f>
        <v>9.9749999999999996</v>
      </c>
      <c r="AK27" s="34">
        <f>VLOOKUP(D27,坦克类型系数!$BZ$21:$CF$24,4,FALSE)</f>
        <v>7</v>
      </c>
      <c r="AL27" s="34">
        <f>VLOOKUP(D27,坦克类型系数!$BZ$21:$CF$24,7,FALSE)</f>
        <v>10.5</v>
      </c>
      <c r="AM27" s="34">
        <f>VLOOKUP(D27,坦克类型系数!$CH$21:$CN$24,4,FALSE)</f>
        <v>21</v>
      </c>
      <c r="AN27" s="34">
        <f>VLOOKUP(D27,坦克类型系数!$CH$21:$CN$24,7,FALSE)</f>
        <v>35</v>
      </c>
      <c r="AO27" s="2">
        <f>VLOOKUP(F27,坦克类型系数!$BM$13:$BV$20,6,FALSE)</f>
        <v>0.58499999999999996</v>
      </c>
      <c r="AP27" s="143">
        <f>基础属性系数!$C$56</f>
        <v>0.2</v>
      </c>
      <c r="AQ27" s="143">
        <f>基础属性系数!$C$55</f>
        <v>0.3</v>
      </c>
      <c r="AR27" s="2">
        <f>VLOOKUP(D27,坦克类型系数!$DE$9:$DH$12,2,FALSE)</f>
        <v>1</v>
      </c>
      <c r="AS27" s="2">
        <f>VLOOKUP(D27,坦克类型系数!$DE$9:$DH$12,3,FALSE)</f>
        <v>1</v>
      </c>
      <c r="AT27" s="2">
        <f>VLOOKUP(D27,坦克类型系数!$DE$9:$DH$12,4,FALSE)</f>
        <v>1</v>
      </c>
      <c r="AU27" s="2">
        <f>VLOOKUP(D27,坦克类型系数!$AH$9:$AK$12,3,FALSE)</f>
        <v>40</v>
      </c>
      <c r="AV27" s="2">
        <f>VLOOKUP(D27,坦克类型系数!$AH$9:$AK$12,4,FALSE)</f>
        <v>100</v>
      </c>
      <c r="AW27" s="143">
        <f>VLOOKUP($B27,坦克类型系数!$B$3:$AF$33,MATCH(AW$18,坦克类型系数!$B$3:$AF$3,0),FALSE)</f>
        <v>0</v>
      </c>
      <c r="AX27" s="143">
        <f>VLOOKUP($B27,坦克类型系数!$B$3:$AF$33,MATCH(AX$18,坦克类型系数!$B$3:$AF$3,0),FALSE)</f>
        <v>2.15</v>
      </c>
      <c r="AY27" s="143">
        <f>VLOOKUP($B27,坦克类型系数!$B$3:$AF$33,MATCH(AY$18,坦克类型系数!$B$3:$AF$3,0),FALSE)</f>
        <v>1.65</v>
      </c>
      <c r="AZ27" s="143">
        <f>VLOOKUP($B27,坦克类型系数!$B$3:$AF$33,MATCH(AZ$18,坦克类型系数!$B$3:$AF$3,0),FALSE)</f>
        <v>1.25</v>
      </c>
      <c r="BA27" s="143">
        <f>VLOOKUP($B27,坦克类型系数!$B$3:$AF$33,MATCH(BA$18,坦克类型系数!$B$3:$AF$3,0),FALSE)</f>
        <v>1.1499999999999999</v>
      </c>
      <c r="BB27" s="143">
        <f>VLOOKUP($B27,坦克类型系数!$B$3:$AF$33,MATCH(BB$18,坦克类型系数!$B$3:$AF$3,0),FALSE)</f>
        <v>1</v>
      </c>
      <c r="BC27" s="143">
        <f>VLOOKUP($B27,坦克类型系数!$B$3:$AF$33,MATCH(BC$18,坦克类型系数!$B$3:$AF$3,0),FALSE)</f>
        <v>0.95</v>
      </c>
    </row>
    <row r="28" spans="2:55" x14ac:dyDescent="0.3">
      <c r="B28" s="2" t="s">
        <v>631</v>
      </c>
      <c r="C28" s="2">
        <v>59</v>
      </c>
      <c r="D28" s="29" t="str">
        <f>坦克类型系数!C13</f>
        <v>轻坦</v>
      </c>
      <c r="E28" s="21" t="s">
        <v>633</v>
      </c>
      <c r="F28" s="21" t="s">
        <v>81</v>
      </c>
      <c r="G28" s="29">
        <f>坦克类型系数!D13</f>
        <v>6.05</v>
      </c>
      <c r="H28" s="29">
        <f>坦克类型系数!E13</f>
        <v>3.23</v>
      </c>
      <c r="I28" s="29">
        <f>坦克类型系数!F13</f>
        <v>6.86</v>
      </c>
      <c r="J28" s="21">
        <v>1</v>
      </c>
      <c r="K28" s="151">
        <f>SQRT(I28/VLOOKUP(D28,坦克类型系数!$AH$3:$AK$6,4,FALSE))*J28</f>
        <v>1.0544341811908098</v>
      </c>
      <c r="L28" s="21" t="s">
        <v>1149</v>
      </c>
      <c r="M28" s="29">
        <f>VLOOKUP(D28,坦克类型系数!$AH$15:$AK$18,4,FALSE)</f>
        <v>0.78</v>
      </c>
      <c r="N28" s="21">
        <v>0.9</v>
      </c>
      <c r="O28" s="2">
        <f t="shared" si="6"/>
        <v>0.7</v>
      </c>
      <c r="P28" s="34">
        <f t="shared" si="8"/>
        <v>0.89743589743589736</v>
      </c>
      <c r="Q28" s="34">
        <f t="shared" si="3"/>
        <v>1.0959744068248469</v>
      </c>
      <c r="R28" s="151">
        <f t="shared" si="7"/>
        <v>0.98356677535563175</v>
      </c>
      <c r="S28" s="2">
        <f>VLOOKUP(F28,坦克类型系数!$AQ$3:$AX$10,MATCH("瞄准速度",坦克类型系数!$AQ$3:$AX$3,0),FALSE)</f>
        <v>1.2</v>
      </c>
      <c r="T28" s="21">
        <v>1</v>
      </c>
      <c r="U28" s="2">
        <f>(VLOOKUP(F28,坦克类型系数!$AM$3:$AO$10,MATCH("射击间隔max",坦克类型系数!$AM$3:$AO$3,0),FALSE)-VLOOKUP(F28,坦克类型系数!$AM$3:$AO$10,MATCH("射击间隔min",坦克类型系数!$AM$3:$AO$3,0),FALSE))*T28+VLOOKUP(F28,坦克类型系数!$AM$3:$AO$10,MATCH("射击间隔min",坦克类型系数!$AM$3:$AO$3,0),FALSE)</f>
        <v>0.8</v>
      </c>
      <c r="V28" s="151">
        <f>(U28-VLOOKUP(F28,标准坦克设计!$B$13:$K$20,MATCH("射击间隔",标准坦克设计!$B$13:$K$13,0),FALSE))/0.1*VLOOKUP($B$15,$B$3:$J$15,MATCH(F28,$B$3:$J$3,0),FALSE)+1</f>
        <v>0.8138393278580196</v>
      </c>
      <c r="W28" s="2">
        <f>VLOOKUP(D28,坦克类型系数!$BI$3:$BK$6,2,FALSE)</f>
        <v>1</v>
      </c>
      <c r="X28" s="34">
        <f>VLOOKUP(D28,坦克类型系数!$BI$3:$BK$6,3,FALSE)</f>
        <v>2.1563141881038952</v>
      </c>
      <c r="Y28" s="21">
        <v>3</v>
      </c>
      <c r="Z28" s="21">
        <v>0.8</v>
      </c>
      <c r="AA28" s="34">
        <f>VLOOKUP(D28,坦克类型系数!$CQ$9:$CY$12,2,FALSE)*$M$4*Z28</f>
        <v>9.4270655892191453</v>
      </c>
      <c r="AB28" s="34">
        <f>VLOOKUP(D28,坦克类型系数!$CQ$9:$CY$12,6,FALSE)*$M$4*Z28</f>
        <v>37.708262356876581</v>
      </c>
      <c r="AC28" s="34">
        <f>VLOOKUP(D28,坦克类型系数!$CQ$3:$CY$6,9,FALSE)</f>
        <v>58.919159932619657</v>
      </c>
      <c r="AD28" s="2">
        <f>VLOOKUP(F28,坦克类型系数!$BM$3:$BV$10,6,FALSE)</f>
        <v>0.58499999999999996</v>
      </c>
      <c r="AE28" s="41">
        <f t="shared" si="4"/>
        <v>1.25</v>
      </c>
      <c r="AF28" s="34">
        <f>VLOOKUP(D28,坦克类型系数!$DE$3:$DH$6,3,FALSE)*AE28</f>
        <v>56.25</v>
      </c>
      <c r="AG28" s="21">
        <v>0.9</v>
      </c>
      <c r="AH28" s="151">
        <f t="shared" si="5"/>
        <v>1.0371898555805719</v>
      </c>
      <c r="AI28" s="2">
        <f>VLOOKUP(D28,坦克类型系数!$BZ$21:$CF$24,2,FALSE)*AG28</f>
        <v>9.4500000000000011</v>
      </c>
      <c r="AJ28" s="34">
        <f>VLOOKUP(D28,坦克类型系数!$BZ$21:$CF$24,5,FALSE)*AG28</f>
        <v>9.4500000000000011</v>
      </c>
      <c r="AK28" s="34">
        <f>VLOOKUP(D28,坦克类型系数!$BZ$21:$CF$24,4,FALSE)</f>
        <v>7</v>
      </c>
      <c r="AL28" s="34">
        <f>VLOOKUP(D28,坦克类型系数!$BZ$21:$CF$24,7,FALSE)</f>
        <v>10.5</v>
      </c>
      <c r="AM28" s="34">
        <f>VLOOKUP(D28,坦克类型系数!$CH$21:$CN$24,4,FALSE)</f>
        <v>21</v>
      </c>
      <c r="AN28" s="34">
        <f>VLOOKUP(D28,坦克类型系数!$CH$21:$CN$24,7,FALSE)</f>
        <v>35</v>
      </c>
      <c r="AO28" s="2">
        <f>VLOOKUP(F28,坦克类型系数!$BM$13:$BV$20,6,FALSE)</f>
        <v>0.58499999999999996</v>
      </c>
      <c r="AP28" s="143">
        <f>基础属性系数!$C$56</f>
        <v>0.2</v>
      </c>
      <c r="AQ28" s="143">
        <f>基础属性系数!$C$55</f>
        <v>0.3</v>
      </c>
      <c r="AR28" s="2">
        <f>VLOOKUP(D28,坦克类型系数!$DE$9:$DH$12,2,FALSE)</f>
        <v>1</v>
      </c>
      <c r="AS28" s="2">
        <f>VLOOKUP(D28,坦克类型系数!$DE$9:$DH$12,3,FALSE)</f>
        <v>1</v>
      </c>
      <c r="AT28" s="2">
        <f>VLOOKUP(D28,坦克类型系数!$DE$9:$DH$12,4,FALSE)</f>
        <v>1</v>
      </c>
      <c r="AU28" s="2">
        <f>VLOOKUP(D28,坦克类型系数!$AH$9:$AK$12,3,FALSE)</f>
        <v>40</v>
      </c>
      <c r="AV28" s="2">
        <f>VLOOKUP(D28,坦克类型系数!$AH$9:$AK$12,4,FALSE)</f>
        <v>100</v>
      </c>
      <c r="AW28" s="143">
        <f>VLOOKUP($B28,坦克类型系数!$B$3:$AF$33,MATCH(AW$18,坦克类型系数!$B$3:$AF$3,0),FALSE)</f>
        <v>0</v>
      </c>
      <c r="AX28" s="143">
        <f>VLOOKUP($B28,坦克类型系数!$B$3:$AF$33,MATCH(AX$18,坦克类型系数!$B$3:$AF$3,0),FALSE)</f>
        <v>1.9</v>
      </c>
      <c r="AY28" s="143">
        <f>VLOOKUP($B28,坦克类型系数!$B$3:$AF$33,MATCH(AY$18,坦克类型系数!$B$3:$AF$3,0),FALSE)</f>
        <v>1.45</v>
      </c>
      <c r="AZ28" s="143">
        <f>VLOOKUP($B28,坦克类型系数!$B$3:$AF$33,MATCH(AZ$18,坦克类型系数!$B$3:$AF$3,0),FALSE)</f>
        <v>1.2</v>
      </c>
      <c r="BA28" s="143">
        <f>VLOOKUP($B28,坦克类型系数!$B$3:$AF$33,MATCH(BA$18,坦克类型系数!$B$3:$AF$3,0),FALSE)</f>
        <v>1.1499999999999999</v>
      </c>
      <c r="BB28" s="143">
        <f>VLOOKUP($B28,坦克类型系数!$B$3:$AF$33,MATCH(BB$18,坦克类型系数!$B$3:$AF$3,0),FALSE)</f>
        <v>1</v>
      </c>
      <c r="BC28" s="143">
        <f>VLOOKUP($B28,坦克类型系数!$B$3:$AF$33,MATCH(BC$18,坦克类型系数!$B$3:$AF$3,0),FALSE)</f>
        <v>0.85</v>
      </c>
    </row>
    <row r="29" spans="2:55" x14ac:dyDescent="0.3">
      <c r="B29" s="2" t="s">
        <v>520</v>
      </c>
      <c r="C29" s="2" t="s">
        <v>1158</v>
      </c>
      <c r="D29" s="29" t="str">
        <f>坦克类型系数!C14</f>
        <v>中坦</v>
      </c>
      <c r="E29" s="21" t="s">
        <v>613</v>
      </c>
      <c r="F29" s="21" t="s">
        <v>86</v>
      </c>
      <c r="G29" s="29">
        <f>坦克类型系数!D14</f>
        <v>4.37</v>
      </c>
      <c r="H29" s="29">
        <f>坦克类型系数!E14</f>
        <v>2.2799999999999998</v>
      </c>
      <c r="I29" s="29">
        <f>坦克类型系数!F14</f>
        <v>4.93</v>
      </c>
      <c r="J29" s="21">
        <v>1.05</v>
      </c>
      <c r="K29" s="151">
        <f>SQRT(I29/VLOOKUP(D29,坦克类型系数!$AH$3:$AK$6,4,FALSE))*J29</f>
        <v>0.86406630354566938</v>
      </c>
      <c r="L29" s="21" t="s">
        <v>1149</v>
      </c>
      <c r="M29" s="29">
        <f>VLOOKUP(D29,坦克类型系数!$AH$15:$AK$18,4,FALSE)</f>
        <v>0.71</v>
      </c>
      <c r="N29" s="21">
        <v>1.1000000000000001</v>
      </c>
      <c r="O29" s="2">
        <f t="shared" si="6"/>
        <v>0.78</v>
      </c>
      <c r="P29" s="34">
        <f t="shared" si="8"/>
        <v>1.0985915492957747</v>
      </c>
      <c r="Q29" s="34">
        <f t="shared" si="3"/>
        <v>0.94399999999999995</v>
      </c>
      <c r="R29" s="151">
        <f t="shared" si="7"/>
        <v>1.0370704225352112</v>
      </c>
      <c r="S29" s="2">
        <f>VLOOKUP(F29,坦克类型系数!$AQ$3:$AX$10,MATCH("瞄准速度",坦克类型系数!$AQ$3:$AX$3,0),FALSE)</f>
        <v>1</v>
      </c>
      <c r="T29" s="21">
        <v>0.5</v>
      </c>
      <c r="U29" s="2">
        <f>(VLOOKUP(F29,坦克类型系数!$AM$3:$AO$10,MATCH("射击间隔max",坦克类型系数!$AM$3:$AO$3,0),FALSE)-VLOOKUP(F29,坦克类型系数!$AM$3:$AO$10,MATCH("射击间隔min",坦克类型系数!$AM$3:$AO$3,0),FALSE))*T29+VLOOKUP(F29,坦克类型系数!$AM$3:$AO$10,MATCH("射击间隔min",坦克类型系数!$AM$3:$AO$3,0),FALSE)</f>
        <v>0.30000000000000004</v>
      </c>
      <c r="V29" s="151">
        <f>(U29-VLOOKUP(F29,标准坦克设计!$B$13:$K$20,MATCH("射击间隔",标准坦克设计!$B$13:$K$13,0),FALSE))/0.1*VLOOKUP($B$15,$B$3:$J$15,MATCH(F29,$B$3:$J$3,0),FALSE)+1</f>
        <v>-0.78888888888888853</v>
      </c>
      <c r="W29" s="2">
        <f>VLOOKUP(D29,坦克类型系数!$BI$3:$BK$6,2,FALSE)</f>
        <v>0.75</v>
      </c>
      <c r="X29" s="34">
        <f>VLOOKUP(D29,坦克类型系数!$BI$3:$BK$6,3,FALSE)</f>
        <v>1.6422918151337649</v>
      </c>
      <c r="Y29" s="21">
        <v>1</v>
      </c>
      <c r="Z29" s="21">
        <v>1</v>
      </c>
      <c r="AA29" s="34">
        <f>VLOOKUP(D29,坦克类型系数!$CQ$9:$CY$12,2,FALSE)*$M$4*Z29</f>
        <v>11.123020662806383</v>
      </c>
      <c r="AB29" s="34">
        <f>VLOOKUP(D29,坦克类型系数!$CQ$9:$CY$12,6,FALSE)*$M$4*Z29</f>
        <v>44.49208265122553</v>
      </c>
      <c r="AC29" s="34">
        <f>VLOOKUP(D29,坦克类型系数!$CQ$3:$CY$6,9,FALSE)</f>
        <v>55.61510331403192</v>
      </c>
      <c r="AD29" s="2">
        <f>VLOOKUP(F29,坦克类型系数!$BM$3:$BV$10,6,FALSE)</f>
        <v>2.84</v>
      </c>
      <c r="AE29" s="41">
        <f t="shared" si="4"/>
        <v>1</v>
      </c>
      <c r="AF29" s="34">
        <f>VLOOKUP(D29,坦克类型系数!$DE$3:$DH$6,3,FALSE)*AE29</f>
        <v>40</v>
      </c>
      <c r="AG29" s="21">
        <v>1</v>
      </c>
      <c r="AH29" s="151">
        <f t="shared" si="5"/>
        <v>1</v>
      </c>
      <c r="AI29" s="2">
        <f>VLOOKUP(D29,坦克类型系数!$BZ$21:$CF$24,2,FALSE)*AG29</f>
        <v>8</v>
      </c>
      <c r="AJ29" s="34">
        <f>VLOOKUP(D29,坦克类型系数!$BZ$21:$CF$24,5,FALSE)*AG29</f>
        <v>8</v>
      </c>
      <c r="AK29" s="34">
        <f>VLOOKUP(D29,坦克类型系数!$BZ$21:$CF$24,4,FALSE)</f>
        <v>5</v>
      </c>
      <c r="AL29" s="34">
        <f>VLOOKUP(D29,坦克类型系数!$BZ$21:$CF$24,7,FALSE)</f>
        <v>4</v>
      </c>
      <c r="AM29" s="34">
        <f>VLOOKUP(D29,坦克类型系数!$CH$21:$CN$24,4,FALSE)</f>
        <v>13.333333333333334</v>
      </c>
      <c r="AN29" s="34">
        <f>VLOOKUP(D29,坦克类型系数!$CH$21:$CN$24,7,FALSE)</f>
        <v>22.857142857142858</v>
      </c>
      <c r="AO29" s="2">
        <f>VLOOKUP(F29,坦克类型系数!$BM$13:$BV$20,6,FALSE)</f>
        <v>1.0649999999999999</v>
      </c>
      <c r="AP29" s="143">
        <f>基础属性系数!$C$56</f>
        <v>0.2</v>
      </c>
      <c r="AQ29" s="143">
        <f>基础属性系数!$C$55</f>
        <v>0.3</v>
      </c>
      <c r="AR29" s="2">
        <f>VLOOKUP(D29,坦克类型系数!$DE$9:$DH$12,2,FALSE)</f>
        <v>0.9</v>
      </c>
      <c r="AS29" s="2">
        <f>VLOOKUP(D29,坦克类型系数!$DE$9:$DH$12,3,FALSE)</f>
        <v>0.9</v>
      </c>
      <c r="AT29" s="2">
        <f>VLOOKUP(D29,坦克类型系数!$DE$9:$DH$12,4,FALSE)</f>
        <v>0.9</v>
      </c>
      <c r="AU29" s="2">
        <f>VLOOKUP(D29,坦克类型系数!$AH$9:$AK$12,3,FALSE)</f>
        <v>55</v>
      </c>
      <c r="AV29" s="2">
        <f>VLOOKUP(D29,坦克类型系数!$AH$9:$AK$12,4,FALSE)</f>
        <v>105</v>
      </c>
      <c r="AW29" s="143">
        <f>VLOOKUP($B29,坦克类型系数!$B$3:$AF$33,MATCH(AW$18,坦克类型系数!$B$3:$AF$3,0),FALSE)</f>
        <v>0</v>
      </c>
      <c r="AX29" s="143">
        <f>VLOOKUP($B29,坦克类型系数!$B$3:$AF$33,MATCH(AX$18,坦克类型系数!$B$3:$AF$3,0),FALSE)</f>
        <v>2</v>
      </c>
      <c r="AY29" s="143">
        <f>VLOOKUP($B29,坦克类型系数!$B$3:$AF$33,MATCH(AY$18,坦克类型系数!$B$3:$AF$3,0),FALSE)</f>
        <v>1.9</v>
      </c>
      <c r="AZ29" s="143">
        <f>VLOOKUP($B29,坦克类型系数!$B$3:$AF$33,MATCH(AZ$18,坦克类型系数!$B$3:$AF$3,0),FALSE)</f>
        <v>1.6</v>
      </c>
      <c r="BA29" s="143">
        <f>VLOOKUP($B29,坦克类型系数!$B$3:$AF$33,MATCH(BA$18,坦克类型系数!$B$3:$AF$3,0),FALSE)</f>
        <v>1.2</v>
      </c>
      <c r="BB29" s="143">
        <f>VLOOKUP($B29,坦克类型系数!$B$3:$AF$33,MATCH(BB$18,坦克类型系数!$B$3:$AF$3,0),FALSE)</f>
        <v>0.85</v>
      </c>
      <c r="BC29" s="143">
        <f>VLOOKUP($B29,坦克类型系数!$B$3:$AF$33,MATCH(BC$18,坦克类型系数!$B$3:$AF$3,0),FALSE)</f>
        <v>0.6</v>
      </c>
    </row>
    <row r="30" spans="2:55" x14ac:dyDescent="0.3">
      <c r="B30" s="2" t="s">
        <v>526</v>
      </c>
      <c r="C30" s="2" t="s">
        <v>1159</v>
      </c>
      <c r="D30" s="29" t="str">
        <f>坦克类型系数!C15</f>
        <v>中坦</v>
      </c>
      <c r="E30" s="21" t="s">
        <v>615</v>
      </c>
      <c r="F30" s="21" t="s">
        <v>86</v>
      </c>
      <c r="G30" s="29">
        <f>坦克类型系数!D15</f>
        <v>5.58</v>
      </c>
      <c r="H30" s="29">
        <f>坦克类型系数!E15</f>
        <v>2.84</v>
      </c>
      <c r="I30" s="29">
        <f>坦克类型系数!F15</f>
        <v>6.26</v>
      </c>
      <c r="J30" s="21">
        <v>1</v>
      </c>
      <c r="K30" s="151">
        <f>SQRT(I30/VLOOKUP(D30,坦克类型系数!$AH$3:$AK$6,4,FALSE))*J30</f>
        <v>0.92730259888027378</v>
      </c>
      <c r="L30" s="21" t="s">
        <v>1149</v>
      </c>
      <c r="M30" s="29">
        <f>VLOOKUP(D30,坦克类型系数!$AH$15:$AK$18,4,FALSE)</f>
        <v>0.71</v>
      </c>
      <c r="N30" s="21">
        <v>1.05</v>
      </c>
      <c r="O30" s="2">
        <f t="shared" si="6"/>
        <v>0.75</v>
      </c>
      <c r="P30" s="34">
        <f t="shared" si="8"/>
        <v>1.0563380281690142</v>
      </c>
      <c r="Q30" s="34">
        <f t="shared" si="3"/>
        <v>0.96831683168316829</v>
      </c>
      <c r="R30" s="151">
        <f t="shared" si="7"/>
        <v>1.0228698926230653</v>
      </c>
      <c r="S30" s="2">
        <f>VLOOKUP(F30,坦克类型系数!$AQ$3:$AX$10,MATCH("瞄准速度",坦克类型系数!$AQ$3:$AX$3,0),FALSE)</f>
        <v>1</v>
      </c>
      <c r="T30" s="21">
        <v>0.6</v>
      </c>
      <c r="U30" s="2">
        <f>(VLOOKUP(F30,坦克类型系数!$AM$3:$AO$10,MATCH("射击间隔max",坦克类型系数!$AM$3:$AO$3,0),FALSE)-VLOOKUP(F30,坦克类型系数!$AM$3:$AO$10,MATCH("射击间隔min",坦克类型系数!$AM$3:$AO$3,0),FALSE))*T30+VLOOKUP(F30,坦克类型系数!$AM$3:$AO$10,MATCH("射击间隔min",坦克类型系数!$AM$3:$AO$3,0),FALSE)</f>
        <v>0.32</v>
      </c>
      <c r="V30" s="151">
        <f>(U30-VLOOKUP(F30,标准坦克设计!$B$13:$K$20,MATCH("射击间隔",标准坦克设计!$B$13:$K$13,0),FALSE))/0.1*VLOOKUP($B$15,$B$3:$J$15,MATCH(F30,$B$3:$J$3,0),FALSE)+1</f>
        <v>-0.73777777777777742</v>
      </c>
      <c r="W30" s="2">
        <f>VLOOKUP(D30,坦克类型系数!$BI$3:$BK$6,2,FALSE)</f>
        <v>0.75</v>
      </c>
      <c r="X30" s="34">
        <f>VLOOKUP(D30,坦克类型系数!$BI$3:$BK$6,3,FALSE)</f>
        <v>1.6422918151337649</v>
      </c>
      <c r="Y30" s="21">
        <v>2</v>
      </c>
      <c r="Z30" s="21">
        <v>1</v>
      </c>
      <c r="AA30" s="34">
        <f>VLOOKUP(D30,坦克类型系数!$CQ$9:$CY$12,2,FALSE)*$M$4*Z30</f>
        <v>11.123020662806383</v>
      </c>
      <c r="AB30" s="34">
        <f>VLOOKUP(D30,坦克类型系数!$CQ$9:$CY$12,6,FALSE)*$M$4*Z30</f>
        <v>44.49208265122553</v>
      </c>
      <c r="AC30" s="34">
        <f>VLOOKUP(D30,坦克类型系数!$CQ$3:$CY$6,9,FALSE)</f>
        <v>55.61510331403192</v>
      </c>
      <c r="AD30" s="2">
        <f>VLOOKUP(F30,坦克类型系数!$BM$3:$BV$10,6,FALSE)</f>
        <v>2.84</v>
      </c>
      <c r="AE30" s="41">
        <f t="shared" si="4"/>
        <v>1</v>
      </c>
      <c r="AF30" s="34">
        <f>VLOOKUP(D30,坦克类型系数!$DE$3:$DH$6,3,FALSE)*AE30</f>
        <v>40</v>
      </c>
      <c r="AG30" s="21">
        <v>1</v>
      </c>
      <c r="AH30" s="151">
        <f t="shared" si="5"/>
        <v>1</v>
      </c>
      <c r="AI30" s="2">
        <f>VLOOKUP(D30,坦克类型系数!$BZ$21:$CF$24,2,FALSE)*AG30</f>
        <v>8</v>
      </c>
      <c r="AJ30" s="34">
        <f>VLOOKUP(D30,坦克类型系数!$BZ$21:$CF$24,5,FALSE)*AG30</f>
        <v>8</v>
      </c>
      <c r="AK30" s="34">
        <f>VLOOKUP(D30,坦克类型系数!$BZ$21:$CF$24,4,FALSE)</f>
        <v>5</v>
      </c>
      <c r="AL30" s="34">
        <f>VLOOKUP(D30,坦克类型系数!$BZ$21:$CF$24,7,FALSE)</f>
        <v>4</v>
      </c>
      <c r="AM30" s="34">
        <f>VLOOKUP(D30,坦克类型系数!$CH$21:$CN$24,4,FALSE)</f>
        <v>13.333333333333334</v>
      </c>
      <c r="AN30" s="34">
        <f>VLOOKUP(D30,坦克类型系数!$CH$21:$CN$24,7,FALSE)</f>
        <v>22.857142857142858</v>
      </c>
      <c r="AO30" s="2">
        <f>VLOOKUP(F30,坦克类型系数!$BM$13:$BV$20,6,FALSE)</f>
        <v>1.0649999999999999</v>
      </c>
      <c r="AP30" s="143">
        <f>基础属性系数!$C$56</f>
        <v>0.2</v>
      </c>
      <c r="AQ30" s="143">
        <f>基础属性系数!$C$55</f>
        <v>0.3</v>
      </c>
      <c r="AR30" s="2">
        <f>VLOOKUP(D30,坦克类型系数!$DE$9:$DH$12,2,FALSE)</f>
        <v>0.9</v>
      </c>
      <c r="AS30" s="2">
        <f>VLOOKUP(D30,坦克类型系数!$DE$9:$DH$12,3,FALSE)</f>
        <v>0.9</v>
      </c>
      <c r="AT30" s="2">
        <f>VLOOKUP(D30,坦克类型系数!$DE$9:$DH$12,4,FALSE)</f>
        <v>0.9</v>
      </c>
      <c r="AU30" s="2">
        <f>VLOOKUP(D30,坦克类型系数!$AH$9:$AK$12,3,FALSE)</f>
        <v>55</v>
      </c>
      <c r="AV30" s="2">
        <f>VLOOKUP(D30,坦克类型系数!$AH$9:$AK$12,4,FALSE)</f>
        <v>105</v>
      </c>
      <c r="AW30" s="143">
        <f>VLOOKUP($B30,坦克类型系数!$B$3:$AF$33,MATCH(AW$18,坦克类型系数!$B$3:$AF$3,0),FALSE)</f>
        <v>0</v>
      </c>
      <c r="AX30" s="143">
        <f>VLOOKUP($B30,坦克类型系数!$B$3:$AF$33,MATCH(AX$18,坦克类型系数!$B$3:$AF$3,0),FALSE)</f>
        <v>2.15</v>
      </c>
      <c r="AY30" s="143">
        <f>VLOOKUP($B30,坦克类型系数!$B$3:$AF$33,MATCH(AY$18,坦克类型系数!$B$3:$AF$3,0),FALSE)</f>
        <v>1.9</v>
      </c>
      <c r="AZ30" s="143">
        <f>VLOOKUP($B30,坦克类型系数!$B$3:$AF$33,MATCH(AZ$18,坦克类型系数!$B$3:$AF$3,0),FALSE)</f>
        <v>1.55</v>
      </c>
      <c r="BA30" s="143">
        <f>VLOOKUP($B30,坦克类型系数!$B$3:$AF$33,MATCH(BA$18,坦克类型系数!$B$3:$AF$3,0),FALSE)</f>
        <v>1.2</v>
      </c>
      <c r="BB30" s="143">
        <f>VLOOKUP($B30,坦克类型系数!$B$3:$AF$33,MATCH(BB$18,坦克类型系数!$B$3:$AF$3,0),FALSE)</f>
        <v>0.8</v>
      </c>
      <c r="BC30" s="143">
        <f>VLOOKUP($B30,坦克类型系数!$B$3:$AF$33,MATCH(BC$18,坦克类型系数!$B$3:$AF$3,0),FALSE)</f>
        <v>0.55000000000000004</v>
      </c>
    </row>
    <row r="31" spans="2:55" x14ac:dyDescent="0.3">
      <c r="B31" s="2" t="s">
        <v>636</v>
      </c>
      <c r="C31" s="2" t="s">
        <v>1160</v>
      </c>
      <c r="D31" s="29" t="str">
        <f>坦克类型系数!C16</f>
        <v>中坦</v>
      </c>
      <c r="E31" s="21" t="s">
        <v>615</v>
      </c>
      <c r="F31" s="21" t="s">
        <v>86</v>
      </c>
      <c r="G31" s="29">
        <f>坦克类型系数!D16</f>
        <v>5.97</v>
      </c>
      <c r="H31" s="29">
        <f>坦克类型系数!E16</f>
        <v>2.96</v>
      </c>
      <c r="I31" s="29">
        <f>坦克类型系数!F16</f>
        <v>6.66</v>
      </c>
      <c r="J31" s="21">
        <v>1</v>
      </c>
      <c r="K31" s="151">
        <f>SQRT(I31/VLOOKUP(D31,坦克类型系数!$AH$3:$AK$6,4,FALSE))*J31</f>
        <v>0.95647015888378073</v>
      </c>
      <c r="L31" s="21" t="s">
        <v>1161</v>
      </c>
      <c r="M31" s="29">
        <f>VLOOKUP(D31,坦克类型系数!$AH$15:$AK$18,4,FALSE)</f>
        <v>0.71</v>
      </c>
      <c r="N31" s="21">
        <v>0.9</v>
      </c>
      <c r="O31" s="2">
        <f t="shared" si="6"/>
        <v>0.64</v>
      </c>
      <c r="P31" s="34">
        <f t="shared" si="8"/>
        <v>0.90140845070422537</v>
      </c>
      <c r="Q31" s="34">
        <f t="shared" si="3"/>
        <v>1.04</v>
      </c>
      <c r="R31" s="151">
        <f t="shared" si="7"/>
        <v>0.93746478873239447</v>
      </c>
      <c r="S31" s="2">
        <f>VLOOKUP(F31,坦克类型系数!$AQ$3:$AX$10,MATCH("瞄准速度",坦克类型系数!$AQ$3:$AX$3,0),FALSE)</f>
        <v>1</v>
      </c>
      <c r="T31" s="21">
        <v>1</v>
      </c>
      <c r="U31" s="2">
        <f>(VLOOKUP(F31,坦克类型系数!$AM$3:$AO$10,MATCH("射击间隔max",坦克类型系数!$AM$3:$AO$3,0),FALSE)-VLOOKUP(F31,坦克类型系数!$AM$3:$AO$10,MATCH("射击间隔min",坦克类型系数!$AM$3:$AO$3,0),FALSE))*T31+VLOOKUP(F31,坦克类型系数!$AM$3:$AO$10,MATCH("射击间隔min",坦克类型系数!$AM$3:$AO$3,0),FALSE)</f>
        <v>0.4</v>
      </c>
      <c r="V31" s="151">
        <f>(U31-VLOOKUP(F31,标准坦克设计!$B$13:$K$20,MATCH("射击间隔",标准坦克设计!$B$13:$K$13,0),FALSE))/0.1*VLOOKUP($B$15,$B$3:$J$15,MATCH(F31,$B$3:$J$3,0),FALSE)+1</f>
        <v>-0.53333333333333299</v>
      </c>
      <c r="W31" s="2">
        <f>VLOOKUP(D31,坦克类型系数!$BI$3:$BK$6,2,FALSE)</f>
        <v>0.75</v>
      </c>
      <c r="X31" s="34">
        <f>VLOOKUP(D31,坦克类型系数!$BI$3:$BK$6,3,FALSE)</f>
        <v>1.6422918151337649</v>
      </c>
      <c r="Y31" s="21">
        <v>4</v>
      </c>
      <c r="Z31" s="21">
        <v>0.8</v>
      </c>
      <c r="AA31" s="34">
        <f>VLOOKUP(D31,坦克类型系数!$CQ$9:$CY$12,2,FALSE)*$M$4*Z31</f>
        <v>8.8984165302451057</v>
      </c>
      <c r="AB31" s="34">
        <f>VLOOKUP(D31,坦克类型系数!$CQ$9:$CY$12,6,FALSE)*$M$4*Z31</f>
        <v>35.593666120980423</v>
      </c>
      <c r="AC31" s="34">
        <f>VLOOKUP(D31,坦克类型系数!$CQ$3:$CY$6,9,FALSE)</f>
        <v>55.61510331403192</v>
      </c>
      <c r="AD31" s="2">
        <f>VLOOKUP(F31,坦克类型系数!$BM$3:$BV$10,6,FALSE)</f>
        <v>2.84</v>
      </c>
      <c r="AE31" s="41">
        <f t="shared" si="4"/>
        <v>1.25</v>
      </c>
      <c r="AF31" s="34">
        <f>VLOOKUP(D31,坦克类型系数!$DE$3:$DH$6,3,FALSE)*AE31</f>
        <v>50</v>
      </c>
      <c r="AG31" s="21">
        <v>0.9</v>
      </c>
      <c r="AH31" s="151">
        <f t="shared" si="5"/>
        <v>1.0270018015103013</v>
      </c>
      <c r="AI31" s="2">
        <f>VLOOKUP(D31,坦克类型系数!$BZ$21:$CF$24,2,FALSE)*AG31</f>
        <v>7.2</v>
      </c>
      <c r="AJ31" s="34">
        <f>VLOOKUP(D31,坦克类型系数!$BZ$21:$CF$24,5,FALSE)*AG31</f>
        <v>7.2</v>
      </c>
      <c r="AK31" s="34">
        <f>VLOOKUP(D31,坦克类型系数!$BZ$21:$CF$24,4,FALSE)</f>
        <v>5</v>
      </c>
      <c r="AL31" s="34">
        <f>VLOOKUP(D31,坦克类型系数!$BZ$21:$CF$24,7,FALSE)</f>
        <v>4</v>
      </c>
      <c r="AM31" s="34">
        <f>VLOOKUP(D31,坦克类型系数!$CH$21:$CN$24,4,FALSE)</f>
        <v>13.333333333333334</v>
      </c>
      <c r="AN31" s="34">
        <f>VLOOKUP(D31,坦克类型系数!$CH$21:$CN$24,7,FALSE)</f>
        <v>22.857142857142858</v>
      </c>
      <c r="AO31" s="2">
        <f>VLOOKUP(F31,坦克类型系数!$BM$13:$BV$20,6,FALSE)</f>
        <v>1.0649999999999999</v>
      </c>
      <c r="AP31" s="143">
        <f>基础属性系数!$C$56</f>
        <v>0.2</v>
      </c>
      <c r="AQ31" s="143">
        <f>基础属性系数!$C$55</f>
        <v>0.3</v>
      </c>
      <c r="AR31" s="2">
        <f>VLOOKUP(D31,坦克类型系数!$DE$9:$DH$12,2,FALSE)</f>
        <v>0.9</v>
      </c>
      <c r="AS31" s="2">
        <f>VLOOKUP(D31,坦克类型系数!$DE$9:$DH$12,3,FALSE)</f>
        <v>0.9</v>
      </c>
      <c r="AT31" s="2">
        <f>VLOOKUP(D31,坦克类型系数!$DE$9:$DH$12,4,FALSE)</f>
        <v>0.9</v>
      </c>
      <c r="AU31" s="2">
        <f>VLOOKUP(D31,坦克类型系数!$AH$9:$AK$12,3,FALSE)</f>
        <v>55</v>
      </c>
      <c r="AV31" s="2">
        <f>VLOOKUP(D31,坦克类型系数!$AH$9:$AK$12,4,FALSE)</f>
        <v>105</v>
      </c>
      <c r="AW31" s="143">
        <f>VLOOKUP($B31,坦克类型系数!$B$3:$AF$33,MATCH(AW$18,坦克类型系数!$B$3:$AF$3,0),FALSE)</f>
        <v>0</v>
      </c>
      <c r="AX31" s="143">
        <f>VLOOKUP($B31,坦克类型系数!$B$3:$AF$33,MATCH(AX$18,坦克类型系数!$B$3:$AF$3,0),FALSE)</f>
        <v>2.2000000000000002</v>
      </c>
      <c r="AY31" s="143">
        <f>VLOOKUP($B31,坦克类型系数!$B$3:$AF$33,MATCH(AY$18,坦克类型系数!$B$3:$AF$3,0),FALSE)</f>
        <v>1.85</v>
      </c>
      <c r="AZ31" s="143">
        <f>VLOOKUP($B31,坦克类型系数!$B$3:$AF$33,MATCH(AZ$18,坦克类型系数!$B$3:$AF$3,0),FALSE)</f>
        <v>1.4</v>
      </c>
      <c r="BA31" s="143">
        <f>VLOOKUP($B31,坦克类型系数!$B$3:$AF$33,MATCH(BA$18,坦克类型系数!$B$3:$AF$3,0),FALSE)</f>
        <v>1.1499999999999999</v>
      </c>
      <c r="BB31" s="143">
        <f>VLOOKUP($B31,坦克类型系数!$B$3:$AF$33,MATCH(BB$18,坦克类型系数!$B$3:$AF$3,0),FALSE)</f>
        <v>0.8</v>
      </c>
      <c r="BC31" s="143">
        <f>VLOOKUP($B31,坦克类型系数!$B$3:$AF$33,MATCH(BC$18,坦克类型系数!$B$3:$AF$3,0),FALSE)</f>
        <v>0.55000000000000004</v>
      </c>
    </row>
    <row r="32" spans="2:55" x14ac:dyDescent="0.3">
      <c r="B32" s="2" t="s">
        <v>534</v>
      </c>
      <c r="C32" s="2" t="s">
        <v>1162</v>
      </c>
      <c r="D32" s="29" t="str">
        <f>坦克类型系数!C17</f>
        <v>中坦</v>
      </c>
      <c r="E32" s="21" t="s">
        <v>619</v>
      </c>
      <c r="F32" s="21" t="s">
        <v>86</v>
      </c>
      <c r="G32" s="29">
        <f>坦克类型系数!D17</f>
        <v>6.05</v>
      </c>
      <c r="H32" s="29">
        <f>坦克类型系数!E17</f>
        <v>2.57</v>
      </c>
      <c r="I32" s="29">
        <f>坦克类型系数!F17</f>
        <v>6.57</v>
      </c>
      <c r="J32" s="21">
        <v>1</v>
      </c>
      <c r="K32" s="151">
        <f>SQRT(I32/VLOOKUP(D32,坦克类型系数!$AH$3:$AK$6,4,FALSE))*J32</f>
        <v>0.94998554066497642</v>
      </c>
      <c r="L32" s="21" t="s">
        <v>1149</v>
      </c>
      <c r="M32" s="29">
        <f>VLOOKUP(D32,坦克类型系数!$AH$15:$AK$18,4,FALSE)</f>
        <v>0.71</v>
      </c>
      <c r="N32" s="21">
        <v>1.05</v>
      </c>
      <c r="O32" s="2">
        <f t="shared" si="6"/>
        <v>0.75</v>
      </c>
      <c r="P32" s="34">
        <f t="shared" si="8"/>
        <v>1.0563380281690142</v>
      </c>
      <c r="Q32" s="34">
        <f t="shared" si="3"/>
        <v>0.96767676767676769</v>
      </c>
      <c r="R32" s="151">
        <f t="shared" si="7"/>
        <v>1.0221937686726421</v>
      </c>
      <c r="S32" s="2">
        <f>VLOOKUP(F32,坦克类型系数!$AQ$3:$AX$10,MATCH("瞄准速度",坦克类型系数!$AQ$3:$AX$3,0),FALSE)</f>
        <v>1</v>
      </c>
      <c r="T32" s="21">
        <v>0.4</v>
      </c>
      <c r="U32" s="2">
        <f>(VLOOKUP(F32,坦克类型系数!$AM$3:$AO$10,MATCH("射击间隔max",坦克类型系数!$AM$3:$AO$3,0),FALSE)-VLOOKUP(F32,坦克类型系数!$AM$3:$AO$10,MATCH("射击间隔min",坦克类型系数!$AM$3:$AO$3,0),FALSE))*T32+VLOOKUP(F32,坦克类型系数!$AM$3:$AO$10,MATCH("射击间隔min",坦克类型系数!$AM$3:$AO$3,0),FALSE)</f>
        <v>0.28000000000000003</v>
      </c>
      <c r="V32" s="151">
        <f>(U32-VLOOKUP(F32,标准坦克设计!$B$13:$K$20,MATCH("射击间隔",标准坦克设计!$B$13:$K$13,0),FALSE))/0.1*VLOOKUP($B$15,$B$3:$J$15,MATCH(F32,$B$3:$J$3,0),FALSE)+1</f>
        <v>-0.83999999999999964</v>
      </c>
      <c r="W32" s="2">
        <f>VLOOKUP(D32,坦克类型系数!$BI$3:$BK$6,2,FALSE)</f>
        <v>0.75</v>
      </c>
      <c r="X32" s="34">
        <f>VLOOKUP(D32,坦克类型系数!$BI$3:$BK$6,3,FALSE)</f>
        <v>1.6422918151337649</v>
      </c>
      <c r="Y32" s="21">
        <v>1</v>
      </c>
      <c r="Z32" s="21">
        <v>1</v>
      </c>
      <c r="AA32" s="34">
        <f>VLOOKUP(D32,坦克类型系数!$CQ$9:$CY$12,2,FALSE)*$M$4*Z32</f>
        <v>11.123020662806383</v>
      </c>
      <c r="AB32" s="34">
        <f>VLOOKUP(D32,坦克类型系数!$CQ$9:$CY$12,6,FALSE)*$M$4*Z32</f>
        <v>44.49208265122553</v>
      </c>
      <c r="AC32" s="34">
        <f>VLOOKUP(D32,坦克类型系数!$CQ$3:$CY$6,9,FALSE)</f>
        <v>55.61510331403192</v>
      </c>
      <c r="AD32" s="2">
        <f>VLOOKUP(F32,坦克类型系数!$BM$3:$BV$10,6,FALSE)</f>
        <v>2.84</v>
      </c>
      <c r="AE32" s="41">
        <f t="shared" si="4"/>
        <v>1</v>
      </c>
      <c r="AF32" s="34">
        <f>VLOOKUP(D32,坦克类型系数!$DE$3:$DH$6,3,FALSE)*AE32</f>
        <v>40</v>
      </c>
      <c r="AG32" s="21">
        <v>1</v>
      </c>
      <c r="AH32" s="151">
        <f t="shared" si="5"/>
        <v>1</v>
      </c>
      <c r="AI32" s="2">
        <f>VLOOKUP(D32,坦克类型系数!$BZ$21:$CF$24,2,FALSE)*AG32</f>
        <v>8</v>
      </c>
      <c r="AJ32" s="34">
        <f>VLOOKUP(D32,坦克类型系数!$BZ$21:$CF$24,5,FALSE)*AG32</f>
        <v>8</v>
      </c>
      <c r="AK32" s="34">
        <f>VLOOKUP(D32,坦克类型系数!$BZ$21:$CF$24,4,FALSE)</f>
        <v>5</v>
      </c>
      <c r="AL32" s="34">
        <f>VLOOKUP(D32,坦克类型系数!$BZ$21:$CF$24,7,FALSE)</f>
        <v>4</v>
      </c>
      <c r="AM32" s="34">
        <f>VLOOKUP(D32,坦克类型系数!$CH$21:$CN$24,4,FALSE)</f>
        <v>13.333333333333334</v>
      </c>
      <c r="AN32" s="34">
        <f>VLOOKUP(D32,坦克类型系数!$CH$21:$CN$24,7,FALSE)</f>
        <v>22.857142857142858</v>
      </c>
      <c r="AO32" s="2">
        <f>VLOOKUP(F32,坦克类型系数!$BM$13:$BV$20,6,FALSE)</f>
        <v>1.0649999999999999</v>
      </c>
      <c r="AP32" s="143">
        <f>基础属性系数!$C$56</f>
        <v>0.2</v>
      </c>
      <c r="AQ32" s="143">
        <f>基础属性系数!$C$55</f>
        <v>0.3</v>
      </c>
      <c r="AR32" s="2">
        <f>VLOOKUP(D32,坦克类型系数!$DE$9:$DH$12,2,FALSE)</f>
        <v>0.9</v>
      </c>
      <c r="AS32" s="2">
        <f>VLOOKUP(D32,坦克类型系数!$DE$9:$DH$12,3,FALSE)</f>
        <v>0.9</v>
      </c>
      <c r="AT32" s="2">
        <f>VLOOKUP(D32,坦克类型系数!$DE$9:$DH$12,4,FALSE)</f>
        <v>0.9</v>
      </c>
      <c r="AU32" s="2">
        <f>VLOOKUP(D32,坦克类型系数!$AH$9:$AK$12,3,FALSE)</f>
        <v>55</v>
      </c>
      <c r="AV32" s="2">
        <f>VLOOKUP(D32,坦克类型系数!$AH$9:$AK$12,4,FALSE)</f>
        <v>105</v>
      </c>
      <c r="AW32" s="143">
        <f>VLOOKUP($B32,坦克类型系数!$B$3:$AF$33,MATCH(AW$18,坦克类型系数!$B$3:$AF$3,0),FALSE)</f>
        <v>0</v>
      </c>
      <c r="AX32" s="143">
        <f>VLOOKUP($B32,坦克类型系数!$B$3:$AF$33,MATCH(AX$18,坦克类型系数!$B$3:$AF$3,0),FALSE)</f>
        <v>2.25</v>
      </c>
      <c r="AY32" s="143">
        <f>VLOOKUP($B32,坦克类型系数!$B$3:$AF$33,MATCH(AY$18,坦克类型系数!$B$3:$AF$3,0),FALSE)</f>
        <v>2</v>
      </c>
      <c r="AZ32" s="143">
        <f>VLOOKUP($B32,坦克类型系数!$B$3:$AF$33,MATCH(AZ$18,坦克类型系数!$B$3:$AF$3,0),FALSE)</f>
        <v>1.5</v>
      </c>
      <c r="BA32" s="143">
        <f>VLOOKUP($B32,坦克类型系数!$B$3:$AF$33,MATCH(BA$18,坦克类型系数!$B$3:$AF$3,0),FALSE)</f>
        <v>1.2</v>
      </c>
      <c r="BB32" s="143">
        <f>VLOOKUP($B32,坦克类型系数!$B$3:$AF$33,MATCH(BB$18,坦克类型系数!$B$3:$AF$3,0),FALSE)</f>
        <v>0.85</v>
      </c>
      <c r="BC32" s="143">
        <f>VLOOKUP($B32,坦克类型系数!$B$3:$AF$33,MATCH(BC$18,坦克类型系数!$B$3:$AF$3,0),FALSE)</f>
        <v>0.6</v>
      </c>
    </row>
    <row r="33" spans="2:55" x14ac:dyDescent="0.3">
      <c r="B33" s="2" t="s">
        <v>639</v>
      </c>
      <c r="C33" s="2" t="s">
        <v>1163</v>
      </c>
      <c r="D33" s="29" t="str">
        <f>坦克类型系数!C18</f>
        <v>中坦</v>
      </c>
      <c r="E33" s="21" t="s">
        <v>619</v>
      </c>
      <c r="F33" s="21" t="s">
        <v>86</v>
      </c>
      <c r="G33" s="29">
        <f>坦克类型系数!D18</f>
        <v>6.33</v>
      </c>
      <c r="H33" s="29">
        <f>坦克类型系数!E18</f>
        <v>2.85</v>
      </c>
      <c r="I33" s="29">
        <f>坦克类型系数!F18</f>
        <v>6.94</v>
      </c>
      <c r="J33" s="21">
        <v>1</v>
      </c>
      <c r="K33" s="151">
        <f>SQRT(I33/VLOOKUP(D33,坦克类型系数!$AH$3:$AK$6,4,FALSE))*J33</f>
        <v>0.97636914294579347</v>
      </c>
      <c r="L33" s="21" t="s">
        <v>1161</v>
      </c>
      <c r="M33" s="29">
        <f>VLOOKUP(D33,坦克类型系数!$AH$15:$AK$18,4,FALSE)</f>
        <v>0.71</v>
      </c>
      <c r="N33" s="21">
        <v>1</v>
      </c>
      <c r="O33" s="2">
        <f t="shared" si="6"/>
        <v>0.71</v>
      </c>
      <c r="P33" s="34">
        <f t="shared" si="8"/>
        <v>1</v>
      </c>
      <c r="Q33" s="34">
        <f t="shared" si="3"/>
        <v>1</v>
      </c>
      <c r="R33" s="151">
        <f t="shared" si="7"/>
        <v>1</v>
      </c>
      <c r="S33" s="2">
        <f>VLOOKUP(F33,坦克类型系数!$AQ$3:$AX$10,MATCH("瞄准速度",坦克类型系数!$AQ$3:$AX$3,0),FALSE)</f>
        <v>1</v>
      </c>
      <c r="T33" s="21">
        <v>1</v>
      </c>
      <c r="U33" s="2">
        <f>(VLOOKUP(F33,坦克类型系数!$AM$3:$AO$10,MATCH("射击间隔max",坦克类型系数!$AM$3:$AO$3,0),FALSE)-VLOOKUP(F33,坦克类型系数!$AM$3:$AO$10,MATCH("射击间隔min",坦克类型系数!$AM$3:$AO$3,0),FALSE))*T33+VLOOKUP(F33,坦克类型系数!$AM$3:$AO$10,MATCH("射击间隔min",坦克类型系数!$AM$3:$AO$3,0),FALSE)</f>
        <v>0.4</v>
      </c>
      <c r="V33" s="151">
        <f>(U33-VLOOKUP(F33,标准坦克设计!$B$13:$K$20,MATCH("射击间隔",标准坦克设计!$B$13:$K$13,0),FALSE))/0.1*VLOOKUP($B$15,$B$3:$J$15,MATCH(F33,$B$3:$J$3,0),FALSE)+1</f>
        <v>-0.53333333333333299</v>
      </c>
      <c r="W33" s="2">
        <f>VLOOKUP(D33,坦克类型系数!$BI$3:$BK$6,2,FALSE)</f>
        <v>0.75</v>
      </c>
      <c r="X33" s="34">
        <f>VLOOKUP(D33,坦克类型系数!$BI$3:$BK$6,3,FALSE)</f>
        <v>1.6422918151337649</v>
      </c>
      <c r="Y33" s="21">
        <v>4</v>
      </c>
      <c r="Z33" s="21">
        <v>0.8</v>
      </c>
      <c r="AA33" s="34">
        <f>VLOOKUP(D33,坦克类型系数!$CQ$9:$CY$12,2,FALSE)*$M$4*Z33</f>
        <v>8.8984165302451057</v>
      </c>
      <c r="AB33" s="34">
        <f>VLOOKUP(D33,坦克类型系数!$CQ$9:$CY$12,6,FALSE)*$M$4*Z33</f>
        <v>35.593666120980423</v>
      </c>
      <c r="AC33" s="34">
        <f>VLOOKUP(D33,坦克类型系数!$CQ$3:$CY$6,9,FALSE)</f>
        <v>55.61510331403192</v>
      </c>
      <c r="AD33" s="2">
        <f>VLOOKUP(F33,坦克类型系数!$BM$3:$BV$10,6,FALSE)</f>
        <v>2.84</v>
      </c>
      <c r="AE33" s="41">
        <f t="shared" si="4"/>
        <v>1.25</v>
      </c>
      <c r="AF33" s="34">
        <f>VLOOKUP(D33,坦克类型系数!$DE$3:$DH$6,3,FALSE)*AE33</f>
        <v>50</v>
      </c>
      <c r="AG33" s="21">
        <v>0.9</v>
      </c>
      <c r="AH33" s="151">
        <f t="shared" si="5"/>
        <v>1.0270018015103013</v>
      </c>
      <c r="AI33" s="2">
        <f>VLOOKUP(D33,坦克类型系数!$BZ$21:$CF$24,2,FALSE)*AG33</f>
        <v>7.2</v>
      </c>
      <c r="AJ33" s="34">
        <f>VLOOKUP(D33,坦克类型系数!$BZ$21:$CF$24,5,FALSE)*AG33</f>
        <v>7.2</v>
      </c>
      <c r="AK33" s="34">
        <f>VLOOKUP(D33,坦克类型系数!$BZ$21:$CF$24,4,FALSE)</f>
        <v>5</v>
      </c>
      <c r="AL33" s="34">
        <f>VLOOKUP(D33,坦克类型系数!$BZ$21:$CF$24,7,FALSE)</f>
        <v>4</v>
      </c>
      <c r="AM33" s="34">
        <f>VLOOKUP(D33,坦克类型系数!$CH$21:$CN$24,4,FALSE)</f>
        <v>13.333333333333334</v>
      </c>
      <c r="AN33" s="34">
        <f>VLOOKUP(D33,坦克类型系数!$CH$21:$CN$24,7,FALSE)</f>
        <v>22.857142857142858</v>
      </c>
      <c r="AO33" s="2">
        <f>VLOOKUP(F33,坦克类型系数!$BM$13:$BV$20,6,FALSE)</f>
        <v>1.0649999999999999</v>
      </c>
      <c r="AP33" s="143">
        <f>基础属性系数!$C$56</f>
        <v>0.2</v>
      </c>
      <c r="AQ33" s="143">
        <f>基础属性系数!$C$55</f>
        <v>0.3</v>
      </c>
      <c r="AR33" s="2">
        <f>VLOOKUP(D33,坦克类型系数!$DE$9:$DH$12,2,FALSE)</f>
        <v>0.9</v>
      </c>
      <c r="AS33" s="2">
        <f>VLOOKUP(D33,坦克类型系数!$DE$9:$DH$12,3,FALSE)</f>
        <v>0.9</v>
      </c>
      <c r="AT33" s="2">
        <f>VLOOKUP(D33,坦克类型系数!$DE$9:$DH$12,4,FALSE)</f>
        <v>0.9</v>
      </c>
      <c r="AU33" s="2">
        <f>VLOOKUP(D33,坦克类型系数!$AH$9:$AK$12,3,FALSE)</f>
        <v>55</v>
      </c>
      <c r="AV33" s="2">
        <f>VLOOKUP(D33,坦克类型系数!$AH$9:$AK$12,4,FALSE)</f>
        <v>105</v>
      </c>
      <c r="AW33" s="143">
        <f>VLOOKUP($B33,坦克类型系数!$B$3:$AF$33,MATCH(AW$18,坦克类型系数!$B$3:$AF$3,0),FALSE)</f>
        <v>0</v>
      </c>
      <c r="AX33" s="143">
        <f>VLOOKUP($B33,坦克类型系数!$B$3:$AF$33,MATCH(AX$18,坦克类型系数!$B$3:$AF$3,0),FALSE)</f>
        <v>2.2999999999999998</v>
      </c>
      <c r="AY33" s="143">
        <f>VLOOKUP($B33,坦克类型系数!$B$3:$AF$33,MATCH(AY$18,坦克类型系数!$B$3:$AF$3,0),FALSE)</f>
        <v>1.9</v>
      </c>
      <c r="AZ33" s="143">
        <f>VLOOKUP($B33,坦克类型系数!$B$3:$AF$33,MATCH(AZ$18,坦克类型系数!$B$3:$AF$3,0),FALSE)</f>
        <v>1.45</v>
      </c>
      <c r="BA33" s="143">
        <f>VLOOKUP($B33,坦克类型系数!$B$3:$AF$33,MATCH(BA$18,坦克类型系数!$B$3:$AF$3,0),FALSE)</f>
        <v>1.2</v>
      </c>
      <c r="BB33" s="143">
        <f>VLOOKUP($B33,坦克类型系数!$B$3:$AF$33,MATCH(BB$18,坦克类型系数!$B$3:$AF$3,0),FALSE)</f>
        <v>0.8</v>
      </c>
      <c r="BC33" s="143">
        <f>VLOOKUP($B33,坦克类型系数!$B$3:$AF$33,MATCH(BC$18,坦克类型系数!$B$3:$AF$3,0),FALSE)</f>
        <v>0.6</v>
      </c>
    </row>
    <row r="34" spans="2:55" x14ac:dyDescent="0.3">
      <c r="B34" s="2" t="s">
        <v>641</v>
      </c>
      <c r="C34" s="2" t="s">
        <v>1164</v>
      </c>
      <c r="D34" s="29" t="str">
        <f>坦克类型系数!C19</f>
        <v>中坦</v>
      </c>
      <c r="E34" s="21" t="s">
        <v>619</v>
      </c>
      <c r="F34" s="21" t="s">
        <v>86</v>
      </c>
      <c r="G34" s="29">
        <f>坦克类型系数!D19</f>
        <v>6.68</v>
      </c>
      <c r="H34" s="29">
        <f>坦克类型系数!E19</f>
        <v>3.1</v>
      </c>
      <c r="I34" s="29">
        <f>坦克类型系数!F19</f>
        <v>7.36</v>
      </c>
      <c r="J34" s="21">
        <v>1</v>
      </c>
      <c r="K34" s="151">
        <f>SQRT(I34/VLOOKUP(D34,坦克类型系数!$AH$3:$AK$6,4,FALSE))*J34</f>
        <v>1.0054794930723405</v>
      </c>
      <c r="L34" s="21" t="s">
        <v>1161</v>
      </c>
      <c r="M34" s="29">
        <f>VLOOKUP(D34,坦克类型系数!$AH$15:$AK$18,4,FALSE)</f>
        <v>0.71</v>
      </c>
      <c r="N34" s="21">
        <v>0.95</v>
      </c>
      <c r="O34" s="2">
        <f t="shared" si="6"/>
        <v>0.67</v>
      </c>
      <c r="P34" s="34">
        <f t="shared" si="8"/>
        <v>0.94366197183098599</v>
      </c>
      <c r="Q34" s="34">
        <f t="shared" si="3"/>
        <v>1.0278260869565217</v>
      </c>
      <c r="R34" s="151">
        <f t="shared" si="7"/>
        <v>0.96992039191671775</v>
      </c>
      <c r="S34" s="2">
        <f>VLOOKUP(F34,坦克类型系数!$AQ$3:$AX$10,MATCH("瞄准速度",坦克类型系数!$AQ$3:$AX$3,0),FALSE)</f>
        <v>1</v>
      </c>
      <c r="T34" s="21">
        <v>1</v>
      </c>
      <c r="U34" s="2">
        <f>(VLOOKUP(F34,坦克类型系数!$AM$3:$AO$10,MATCH("射击间隔max",坦克类型系数!$AM$3:$AO$3,0),FALSE)-VLOOKUP(F34,坦克类型系数!$AM$3:$AO$10,MATCH("射击间隔min",坦克类型系数!$AM$3:$AO$3,0),FALSE))*T34+VLOOKUP(F34,坦克类型系数!$AM$3:$AO$10,MATCH("射击间隔min",坦克类型系数!$AM$3:$AO$3,0),FALSE)</f>
        <v>0.4</v>
      </c>
      <c r="V34" s="151">
        <f>(U34-VLOOKUP(F34,标准坦克设计!$B$13:$K$20,MATCH("射击间隔",标准坦克设计!$B$13:$K$13,0),FALSE))/0.1*VLOOKUP($B$15,$B$3:$J$15,MATCH(F34,$B$3:$J$3,0),FALSE)+1</f>
        <v>-0.53333333333333299</v>
      </c>
      <c r="W34" s="2">
        <f>VLOOKUP(D34,坦克类型系数!$BI$3:$BK$6,2,FALSE)</f>
        <v>0.75</v>
      </c>
      <c r="X34" s="34">
        <f>VLOOKUP(D34,坦克类型系数!$BI$3:$BK$6,3,FALSE)</f>
        <v>1.6422918151337649</v>
      </c>
      <c r="Y34" s="21">
        <v>4</v>
      </c>
      <c r="Z34" s="21">
        <v>0.8</v>
      </c>
      <c r="AA34" s="34">
        <f>VLOOKUP(D34,坦克类型系数!$CQ$9:$CY$12,2,FALSE)*$M$4*Z34</f>
        <v>8.8984165302451057</v>
      </c>
      <c r="AB34" s="34">
        <f>VLOOKUP(D34,坦克类型系数!$CQ$9:$CY$12,6,FALSE)*$M$4*Z34</f>
        <v>35.593666120980423</v>
      </c>
      <c r="AC34" s="34">
        <f>VLOOKUP(D34,坦克类型系数!$CQ$3:$CY$6,9,FALSE)</f>
        <v>55.61510331403192</v>
      </c>
      <c r="AD34" s="2">
        <f>VLOOKUP(F34,坦克类型系数!$BM$3:$BV$10,6,FALSE)</f>
        <v>2.84</v>
      </c>
      <c r="AE34" s="41">
        <f t="shared" si="4"/>
        <v>1.25</v>
      </c>
      <c r="AF34" s="34">
        <f>VLOOKUP(D34,坦克类型系数!$DE$3:$DH$6,3,FALSE)*AE34</f>
        <v>50</v>
      </c>
      <c r="AG34" s="21">
        <v>0.9</v>
      </c>
      <c r="AH34" s="151">
        <f t="shared" si="5"/>
        <v>1.0270018015103013</v>
      </c>
      <c r="AI34" s="2">
        <f>VLOOKUP(D34,坦克类型系数!$BZ$21:$CF$24,2,FALSE)*AG34</f>
        <v>7.2</v>
      </c>
      <c r="AJ34" s="34">
        <f>VLOOKUP(D34,坦克类型系数!$BZ$21:$CF$24,5,FALSE)*AG34</f>
        <v>7.2</v>
      </c>
      <c r="AK34" s="34">
        <f>VLOOKUP(D34,坦克类型系数!$BZ$21:$CF$24,4,FALSE)</f>
        <v>5</v>
      </c>
      <c r="AL34" s="34">
        <f>VLOOKUP(D34,坦克类型系数!$BZ$21:$CF$24,7,FALSE)</f>
        <v>4</v>
      </c>
      <c r="AM34" s="34">
        <f>VLOOKUP(D34,坦克类型系数!$CH$21:$CN$24,4,FALSE)</f>
        <v>13.333333333333334</v>
      </c>
      <c r="AN34" s="34">
        <f>VLOOKUP(D34,坦克类型系数!$CH$21:$CN$24,7,FALSE)</f>
        <v>22.857142857142858</v>
      </c>
      <c r="AO34" s="2">
        <f>VLOOKUP(F34,坦克类型系数!$BM$13:$BV$20,6,FALSE)</f>
        <v>1.0649999999999999</v>
      </c>
      <c r="AP34" s="143">
        <f>基础属性系数!$C$56</f>
        <v>0.2</v>
      </c>
      <c r="AQ34" s="143">
        <f>基础属性系数!$C$55</f>
        <v>0.3</v>
      </c>
      <c r="AR34" s="2">
        <f>VLOOKUP(D34,坦克类型系数!$DE$9:$DH$12,2,FALSE)</f>
        <v>0.9</v>
      </c>
      <c r="AS34" s="2">
        <f>VLOOKUP(D34,坦克类型系数!$DE$9:$DH$12,3,FALSE)</f>
        <v>0.9</v>
      </c>
      <c r="AT34" s="2">
        <f>VLOOKUP(D34,坦克类型系数!$DE$9:$DH$12,4,FALSE)</f>
        <v>0.9</v>
      </c>
      <c r="AU34" s="2">
        <f>VLOOKUP(D34,坦克类型系数!$AH$9:$AK$12,3,FALSE)</f>
        <v>55</v>
      </c>
      <c r="AV34" s="2">
        <f>VLOOKUP(D34,坦克类型系数!$AH$9:$AK$12,4,FALSE)</f>
        <v>105</v>
      </c>
      <c r="AW34" s="143">
        <f>VLOOKUP($B34,坦克类型系数!$B$3:$AF$33,MATCH(AW$18,坦克类型系数!$B$3:$AF$3,0),FALSE)</f>
        <v>0</v>
      </c>
      <c r="AX34" s="143">
        <f>VLOOKUP($B34,坦克类型系数!$B$3:$AF$33,MATCH(AX$18,坦克类型系数!$B$3:$AF$3,0),FALSE)</f>
        <v>2.2999999999999998</v>
      </c>
      <c r="AY34" s="143">
        <f>VLOOKUP($B34,坦克类型系数!$B$3:$AF$33,MATCH(AY$18,坦克类型系数!$B$3:$AF$3,0),FALSE)</f>
        <v>1.9</v>
      </c>
      <c r="AZ34" s="143">
        <f>VLOOKUP($B34,坦克类型系数!$B$3:$AF$33,MATCH(AZ$18,坦克类型系数!$B$3:$AF$3,0),FALSE)</f>
        <v>1.4</v>
      </c>
      <c r="BA34" s="143">
        <f>VLOOKUP($B34,坦克类型系数!$B$3:$AF$33,MATCH(BA$18,坦克类型系数!$B$3:$AF$3,0),FALSE)</f>
        <v>1.2</v>
      </c>
      <c r="BB34" s="143">
        <f>VLOOKUP($B34,坦克类型系数!$B$3:$AF$33,MATCH(BB$18,坦克类型系数!$B$3:$AF$3,0),FALSE)</f>
        <v>0.8</v>
      </c>
      <c r="BC34" s="143">
        <f>VLOOKUP($B34,坦克类型系数!$B$3:$AF$33,MATCH(BC$18,坦克类型系数!$B$3:$AF$3,0),FALSE)</f>
        <v>0.6</v>
      </c>
    </row>
    <row r="35" spans="2:55" x14ac:dyDescent="0.3">
      <c r="B35" s="2" t="s">
        <v>643</v>
      </c>
      <c r="C35" s="2" t="s">
        <v>1165</v>
      </c>
      <c r="D35" s="29" t="str">
        <f>坦克类型系数!C20</f>
        <v>中坦</v>
      </c>
      <c r="E35" s="21" t="s">
        <v>626</v>
      </c>
      <c r="F35" s="21" t="s">
        <v>86</v>
      </c>
      <c r="G35" s="29">
        <f>坦克类型系数!D20</f>
        <v>7.42</v>
      </c>
      <c r="H35" s="29">
        <f>坦克类型系数!E20</f>
        <v>3.89</v>
      </c>
      <c r="I35" s="29">
        <f>坦克类型系数!F20</f>
        <v>8.3800000000000008</v>
      </c>
      <c r="J35" s="21">
        <v>1</v>
      </c>
      <c r="K35" s="151">
        <f>SQRT(I35/VLOOKUP(D35,坦克类型系数!$AH$3:$AK$6,4,FALSE))*J35</f>
        <v>1.0728927724143271</v>
      </c>
      <c r="L35" s="21" t="s">
        <v>1149</v>
      </c>
      <c r="M35" s="29">
        <f>VLOOKUP(D35,坦克类型系数!$AH$15:$AK$18,4,FALSE)</f>
        <v>0.71</v>
      </c>
      <c r="N35" s="21">
        <v>1</v>
      </c>
      <c r="O35" s="2">
        <f t="shared" si="6"/>
        <v>0.71</v>
      </c>
      <c r="P35" s="34">
        <f t="shared" si="8"/>
        <v>1</v>
      </c>
      <c r="Q35" s="34">
        <f t="shared" si="3"/>
        <v>1</v>
      </c>
      <c r="R35" s="151">
        <f t="shared" si="7"/>
        <v>1</v>
      </c>
      <c r="S35" s="2">
        <f>VLOOKUP(F35,坦克类型系数!$AQ$3:$AX$10,MATCH("瞄准速度",坦克类型系数!$AQ$3:$AX$3,0),FALSE)</f>
        <v>1</v>
      </c>
      <c r="T35" s="21">
        <v>0.6</v>
      </c>
      <c r="U35" s="2">
        <f>(VLOOKUP(F35,坦克类型系数!$AM$3:$AO$10,MATCH("射击间隔max",坦克类型系数!$AM$3:$AO$3,0),FALSE)-VLOOKUP(F35,坦克类型系数!$AM$3:$AO$10,MATCH("射击间隔min",坦克类型系数!$AM$3:$AO$3,0),FALSE))*T35+VLOOKUP(F35,坦克类型系数!$AM$3:$AO$10,MATCH("射击间隔min",坦克类型系数!$AM$3:$AO$3,0),FALSE)</f>
        <v>0.32</v>
      </c>
      <c r="V35" s="151">
        <f>(U35-VLOOKUP(F35,标准坦克设计!$B$13:$K$20,MATCH("射击间隔",标准坦克设计!$B$13:$K$13,0),FALSE))/0.1*VLOOKUP($B$15,$B$3:$J$15,MATCH(F35,$B$3:$J$3,0),FALSE)+1</f>
        <v>-0.73777777777777742</v>
      </c>
      <c r="W35" s="2">
        <f>VLOOKUP(D35,坦克类型系数!$BI$3:$BK$6,2,FALSE)</f>
        <v>0.75</v>
      </c>
      <c r="X35" s="34">
        <f>VLOOKUP(D35,坦克类型系数!$BI$3:$BK$6,3,FALSE)</f>
        <v>1.6422918151337649</v>
      </c>
      <c r="Y35" s="21">
        <v>2</v>
      </c>
      <c r="Z35" s="21">
        <v>1</v>
      </c>
      <c r="AA35" s="34">
        <f>VLOOKUP(D35,坦克类型系数!$CQ$9:$CY$12,2,FALSE)*$M$4*Z35</f>
        <v>11.123020662806383</v>
      </c>
      <c r="AB35" s="34">
        <f>VLOOKUP(D35,坦克类型系数!$CQ$9:$CY$12,6,FALSE)*$M$4*Z35</f>
        <v>44.49208265122553</v>
      </c>
      <c r="AC35" s="34">
        <f>VLOOKUP(D35,坦克类型系数!$CQ$3:$CY$6,9,FALSE)</f>
        <v>55.61510331403192</v>
      </c>
      <c r="AD35" s="2">
        <f>VLOOKUP(F35,坦克类型系数!$BM$3:$BV$10,6,FALSE)</f>
        <v>2.84</v>
      </c>
      <c r="AE35" s="41">
        <f t="shared" si="4"/>
        <v>1</v>
      </c>
      <c r="AF35" s="34">
        <f>VLOOKUP(D35,坦克类型系数!$DE$3:$DH$6,3,FALSE)*AE35</f>
        <v>40</v>
      </c>
      <c r="AG35" s="21">
        <v>1</v>
      </c>
      <c r="AH35" s="151">
        <f t="shared" si="5"/>
        <v>1</v>
      </c>
      <c r="AI35" s="2">
        <f>VLOOKUP(D35,坦克类型系数!$BZ$21:$CF$24,2,FALSE)*AG35</f>
        <v>8</v>
      </c>
      <c r="AJ35" s="34">
        <f>VLOOKUP(D35,坦克类型系数!$BZ$21:$CF$24,5,FALSE)*AG35</f>
        <v>8</v>
      </c>
      <c r="AK35" s="34">
        <f>VLOOKUP(D35,坦克类型系数!$BZ$21:$CF$24,4,FALSE)</f>
        <v>5</v>
      </c>
      <c r="AL35" s="34">
        <f>VLOOKUP(D35,坦克类型系数!$BZ$21:$CF$24,7,FALSE)</f>
        <v>4</v>
      </c>
      <c r="AM35" s="34">
        <f>VLOOKUP(D35,坦克类型系数!$CH$21:$CN$24,4,FALSE)</f>
        <v>13.333333333333334</v>
      </c>
      <c r="AN35" s="34">
        <f>VLOOKUP(D35,坦克类型系数!$CH$21:$CN$24,7,FALSE)</f>
        <v>22.857142857142858</v>
      </c>
      <c r="AO35" s="2">
        <f>VLOOKUP(F35,坦克类型系数!$BM$13:$BV$20,6,FALSE)</f>
        <v>1.0649999999999999</v>
      </c>
      <c r="AP35" s="143">
        <f>基础属性系数!$C$56</f>
        <v>0.2</v>
      </c>
      <c r="AQ35" s="143">
        <f>基础属性系数!$C$55</f>
        <v>0.3</v>
      </c>
      <c r="AR35" s="2">
        <f>VLOOKUP(D35,坦克类型系数!$DE$9:$DH$12,2,FALSE)</f>
        <v>0.9</v>
      </c>
      <c r="AS35" s="2">
        <f>VLOOKUP(D35,坦克类型系数!$DE$9:$DH$12,3,FALSE)</f>
        <v>0.9</v>
      </c>
      <c r="AT35" s="2">
        <f>VLOOKUP(D35,坦克类型系数!$DE$9:$DH$12,4,FALSE)</f>
        <v>0.9</v>
      </c>
      <c r="AU35" s="2">
        <f>VLOOKUP(D35,坦克类型系数!$AH$9:$AK$12,3,FALSE)</f>
        <v>55</v>
      </c>
      <c r="AV35" s="2">
        <f>VLOOKUP(D35,坦克类型系数!$AH$9:$AK$12,4,FALSE)</f>
        <v>105</v>
      </c>
      <c r="AW35" s="143">
        <f>VLOOKUP($B35,坦克类型系数!$B$3:$AF$33,MATCH(AW$18,坦克类型系数!$B$3:$AF$3,0),FALSE)</f>
        <v>0</v>
      </c>
      <c r="AX35" s="143">
        <f>VLOOKUP($B35,坦克类型系数!$B$3:$AF$33,MATCH(AX$18,坦克类型系数!$B$3:$AF$3,0),FALSE)</f>
        <v>2.1</v>
      </c>
      <c r="AY35" s="143">
        <f>VLOOKUP($B35,坦克类型系数!$B$3:$AF$33,MATCH(AY$18,坦克类型系数!$B$3:$AF$3,0),FALSE)</f>
        <v>1.75</v>
      </c>
      <c r="AZ35" s="143">
        <f>VLOOKUP($B35,坦克类型系数!$B$3:$AF$33,MATCH(AZ$18,坦克类型系数!$B$3:$AF$3,0),FALSE)</f>
        <v>1.35</v>
      </c>
      <c r="BA35" s="143">
        <f>VLOOKUP($B35,坦克类型系数!$B$3:$AF$33,MATCH(BA$18,坦克类型系数!$B$3:$AF$3,0),FALSE)</f>
        <v>1.1000000000000001</v>
      </c>
      <c r="BB35" s="143">
        <f>VLOOKUP($B35,坦克类型系数!$B$3:$AF$33,MATCH(BB$18,坦克类型系数!$B$3:$AF$3,0),FALSE)</f>
        <v>0.8</v>
      </c>
      <c r="BC35" s="143">
        <f>VLOOKUP($B35,坦克类型系数!$B$3:$AF$33,MATCH(BC$18,坦克类型系数!$B$3:$AF$3,0),FALSE)</f>
        <v>0.55000000000000004</v>
      </c>
    </row>
    <row r="36" spans="2:55" x14ac:dyDescent="0.3">
      <c r="B36" s="2" t="s">
        <v>645</v>
      </c>
      <c r="C36" s="2" t="s">
        <v>1166</v>
      </c>
      <c r="D36" s="29" t="str">
        <f>坦克类型系数!C21</f>
        <v>中坦</v>
      </c>
      <c r="E36" s="21" t="s">
        <v>626</v>
      </c>
      <c r="F36" s="21" t="s">
        <v>86</v>
      </c>
      <c r="G36" s="29">
        <f>坦克类型系数!D21</f>
        <v>6.34</v>
      </c>
      <c r="H36" s="29">
        <f>坦克类型系数!E21</f>
        <v>3.42</v>
      </c>
      <c r="I36" s="29">
        <f>坦克类型系数!F21</f>
        <v>7.2</v>
      </c>
      <c r="J36" s="21">
        <v>1</v>
      </c>
      <c r="K36" s="151">
        <f>SQRT(I36/VLOOKUP(D36,坦克类型系数!$AH$3:$AK$6,4,FALSE))*J36</f>
        <v>0.99449031619769379</v>
      </c>
      <c r="L36" s="21" t="s">
        <v>1161</v>
      </c>
      <c r="M36" s="29">
        <f>VLOOKUP(D36,坦克类型系数!$AH$15:$AK$18,4,FALSE)</f>
        <v>0.71</v>
      </c>
      <c r="N36" s="21">
        <v>0.9</v>
      </c>
      <c r="O36" s="2">
        <f t="shared" si="6"/>
        <v>0.64</v>
      </c>
      <c r="P36" s="34">
        <f t="shared" si="8"/>
        <v>0.90140845070422537</v>
      </c>
      <c r="Q36" s="34">
        <f t="shared" si="3"/>
        <v>1.056</v>
      </c>
      <c r="R36" s="151">
        <f t="shared" si="7"/>
        <v>0.95188732394366204</v>
      </c>
      <c r="S36" s="2">
        <f>VLOOKUP(F36,坦克类型系数!$AQ$3:$AX$10,MATCH("瞄准速度",坦克类型系数!$AQ$3:$AX$3,0),FALSE)</f>
        <v>1</v>
      </c>
      <c r="T36" s="21">
        <v>1</v>
      </c>
      <c r="U36" s="2">
        <f>(VLOOKUP(F36,坦克类型系数!$AM$3:$AO$10,MATCH("射击间隔max",坦克类型系数!$AM$3:$AO$3,0),FALSE)-VLOOKUP(F36,坦克类型系数!$AM$3:$AO$10,MATCH("射击间隔min",坦克类型系数!$AM$3:$AO$3,0),FALSE))*T36+VLOOKUP(F36,坦克类型系数!$AM$3:$AO$10,MATCH("射击间隔min",坦克类型系数!$AM$3:$AO$3,0),FALSE)</f>
        <v>0.4</v>
      </c>
      <c r="V36" s="151">
        <f>(U36-VLOOKUP(F36,标准坦克设计!$B$13:$K$20,MATCH("射击间隔",标准坦克设计!$B$13:$K$13,0),FALSE))/0.1*VLOOKUP($B$15,$B$3:$J$15,MATCH(F36,$B$3:$J$3,0),FALSE)+1</f>
        <v>-0.53333333333333299</v>
      </c>
      <c r="W36" s="2">
        <f>VLOOKUP(D36,坦克类型系数!$BI$3:$BK$6,2,FALSE)</f>
        <v>0.75</v>
      </c>
      <c r="X36" s="34">
        <f>VLOOKUP(D36,坦克类型系数!$BI$3:$BK$6,3,FALSE)</f>
        <v>1.6422918151337649</v>
      </c>
      <c r="Y36" s="21">
        <v>4</v>
      </c>
      <c r="Z36" s="21">
        <v>0.8</v>
      </c>
      <c r="AA36" s="34">
        <f>VLOOKUP(D36,坦克类型系数!$CQ$9:$CY$12,2,FALSE)*$M$4*Z36</f>
        <v>8.8984165302451057</v>
      </c>
      <c r="AB36" s="34">
        <f>VLOOKUP(D36,坦克类型系数!$CQ$9:$CY$12,6,FALSE)*$M$4*Z36</f>
        <v>35.593666120980423</v>
      </c>
      <c r="AC36" s="34">
        <f>VLOOKUP(D36,坦克类型系数!$CQ$3:$CY$6,9,FALSE)</f>
        <v>55.61510331403192</v>
      </c>
      <c r="AD36" s="2">
        <f>VLOOKUP(F36,坦克类型系数!$BM$3:$BV$10,6,FALSE)</f>
        <v>2.84</v>
      </c>
      <c r="AE36" s="41">
        <f t="shared" si="4"/>
        <v>1.25</v>
      </c>
      <c r="AF36" s="34">
        <f>VLOOKUP(D36,坦克类型系数!$DE$3:$DH$6,3,FALSE)*AE36</f>
        <v>50</v>
      </c>
      <c r="AG36" s="21">
        <v>0.9</v>
      </c>
      <c r="AH36" s="151">
        <f t="shared" si="5"/>
        <v>1.0270018015103013</v>
      </c>
      <c r="AI36" s="2">
        <f>VLOOKUP(D36,坦克类型系数!$BZ$21:$CF$24,2,FALSE)*AG36</f>
        <v>7.2</v>
      </c>
      <c r="AJ36" s="34">
        <f>VLOOKUP(D36,坦克类型系数!$BZ$21:$CF$24,5,FALSE)*AG36</f>
        <v>7.2</v>
      </c>
      <c r="AK36" s="34">
        <f>VLOOKUP(D36,坦克类型系数!$BZ$21:$CF$24,4,FALSE)</f>
        <v>5</v>
      </c>
      <c r="AL36" s="34">
        <f>VLOOKUP(D36,坦克类型系数!$BZ$21:$CF$24,7,FALSE)</f>
        <v>4</v>
      </c>
      <c r="AM36" s="34">
        <f>VLOOKUP(D36,坦克类型系数!$CH$21:$CN$24,4,FALSE)</f>
        <v>13.333333333333334</v>
      </c>
      <c r="AN36" s="34">
        <f>VLOOKUP(D36,坦克类型系数!$CH$21:$CN$24,7,FALSE)</f>
        <v>22.857142857142858</v>
      </c>
      <c r="AO36" s="2">
        <f>VLOOKUP(F36,坦克类型系数!$BM$13:$BV$20,6,FALSE)</f>
        <v>1.0649999999999999</v>
      </c>
      <c r="AP36" s="143">
        <f>基础属性系数!$C$56</f>
        <v>0.2</v>
      </c>
      <c r="AQ36" s="143">
        <f>基础属性系数!$C$55</f>
        <v>0.3</v>
      </c>
      <c r="AR36" s="2">
        <f>VLOOKUP(D36,坦克类型系数!$DE$9:$DH$12,2,FALSE)</f>
        <v>0.9</v>
      </c>
      <c r="AS36" s="2">
        <f>VLOOKUP(D36,坦克类型系数!$DE$9:$DH$12,3,FALSE)</f>
        <v>0.9</v>
      </c>
      <c r="AT36" s="2">
        <f>VLOOKUP(D36,坦克类型系数!$DE$9:$DH$12,4,FALSE)</f>
        <v>0.9</v>
      </c>
      <c r="AU36" s="2">
        <f>VLOOKUP(D36,坦克类型系数!$AH$9:$AK$12,3,FALSE)</f>
        <v>55</v>
      </c>
      <c r="AV36" s="2">
        <f>VLOOKUP(D36,坦克类型系数!$AH$9:$AK$12,4,FALSE)</f>
        <v>105</v>
      </c>
      <c r="AW36" s="143">
        <f>VLOOKUP($B36,坦克类型系数!$B$3:$AF$33,MATCH(AW$18,坦克类型系数!$B$3:$AF$3,0),FALSE)</f>
        <v>0</v>
      </c>
      <c r="AX36" s="143">
        <f>VLOOKUP($B36,坦克类型系数!$B$3:$AF$33,MATCH(AX$18,坦克类型系数!$B$3:$AF$3,0),FALSE)</f>
        <v>2.25</v>
      </c>
      <c r="AY36" s="143">
        <f>VLOOKUP($B36,坦克类型系数!$B$3:$AF$33,MATCH(AY$18,坦克类型系数!$B$3:$AF$3,0),FALSE)</f>
        <v>1.85</v>
      </c>
      <c r="AZ36" s="143">
        <f>VLOOKUP($B36,坦克类型系数!$B$3:$AF$33,MATCH(AZ$18,坦克类型系数!$B$3:$AF$3,0),FALSE)</f>
        <v>1.4</v>
      </c>
      <c r="BA36" s="143">
        <f>VLOOKUP($B36,坦克类型系数!$B$3:$AF$33,MATCH(BA$18,坦克类型系数!$B$3:$AF$3,0),FALSE)</f>
        <v>1.1499999999999999</v>
      </c>
      <c r="BB36" s="143">
        <f>VLOOKUP($B36,坦克类型系数!$B$3:$AF$33,MATCH(BB$18,坦克类型系数!$B$3:$AF$3,0),FALSE)</f>
        <v>0.8</v>
      </c>
      <c r="BC36" s="143">
        <f>VLOOKUP($B36,坦克类型系数!$B$3:$AF$33,MATCH(BC$18,坦克类型系数!$B$3:$AF$3,0),FALSE)</f>
        <v>0.55000000000000004</v>
      </c>
    </row>
    <row r="37" spans="2:55" x14ac:dyDescent="0.3">
      <c r="B37" s="2" t="s">
        <v>647</v>
      </c>
      <c r="C37" s="2" t="s">
        <v>1167</v>
      </c>
      <c r="D37" s="29" t="str">
        <f>坦克类型系数!C22</f>
        <v>中坦</v>
      </c>
      <c r="E37" s="21" t="s">
        <v>626</v>
      </c>
      <c r="F37" s="21" t="s">
        <v>86</v>
      </c>
      <c r="G37" s="29">
        <f>坦克类型系数!D22</f>
        <v>8.4700000000000006</v>
      </c>
      <c r="H37" s="29">
        <f>坦克类型系数!E22</f>
        <v>3.68</v>
      </c>
      <c r="I37" s="29">
        <f>坦克类型系数!F22</f>
        <v>9.23</v>
      </c>
      <c r="J37" s="21">
        <v>1</v>
      </c>
      <c r="K37" s="151">
        <f>SQRT(I37/VLOOKUP(D37,坦克类型系数!$AH$3:$AK$6,4,FALSE))*J37</f>
        <v>1.1259916264596033</v>
      </c>
      <c r="L37" s="21" t="s">
        <v>1161</v>
      </c>
      <c r="M37" s="29">
        <f>VLOOKUP(D37,坦克类型系数!$AH$15:$AK$18,4,FALSE)</f>
        <v>0.71</v>
      </c>
      <c r="N37" s="21">
        <v>1</v>
      </c>
      <c r="O37" s="2">
        <f t="shared" si="6"/>
        <v>0.71</v>
      </c>
      <c r="P37" s="34">
        <f t="shared" si="8"/>
        <v>1</v>
      </c>
      <c r="Q37" s="34">
        <f t="shared" si="3"/>
        <v>1</v>
      </c>
      <c r="R37" s="151">
        <f t="shared" si="7"/>
        <v>1</v>
      </c>
      <c r="S37" s="2">
        <f>VLOOKUP(F37,坦克类型系数!$AQ$3:$AX$10,MATCH("瞄准速度",坦克类型系数!$AQ$3:$AX$3,0),FALSE)</f>
        <v>1</v>
      </c>
      <c r="T37" s="21">
        <v>0.3</v>
      </c>
      <c r="U37" s="2">
        <f>(VLOOKUP(F37,坦克类型系数!$AM$3:$AO$10,MATCH("射击间隔max",坦克类型系数!$AM$3:$AO$3,0),FALSE)-VLOOKUP(F37,坦克类型系数!$AM$3:$AO$10,MATCH("射击间隔min",坦克类型系数!$AM$3:$AO$3,0),FALSE))*T37+VLOOKUP(F37,坦克类型系数!$AM$3:$AO$10,MATCH("射击间隔min",坦克类型系数!$AM$3:$AO$3,0),FALSE)</f>
        <v>0.26</v>
      </c>
      <c r="V37" s="151">
        <f>(U37-VLOOKUP(F37,标准坦克设计!$B$13:$K$20,MATCH("射击间隔",标准坦克设计!$B$13:$K$13,0),FALSE))/0.1*VLOOKUP($B$15,$B$3:$J$15,MATCH(F37,$B$3:$J$3,0),FALSE)+1</f>
        <v>-0.89111111111111074</v>
      </c>
      <c r="W37" s="2">
        <f>VLOOKUP(D37,坦克类型系数!$BI$3:$BK$6,2,FALSE)</f>
        <v>0.75</v>
      </c>
      <c r="X37" s="34">
        <f>VLOOKUP(D37,坦克类型系数!$BI$3:$BK$6,3,FALSE)</f>
        <v>1.6422918151337649</v>
      </c>
      <c r="Y37" s="21">
        <v>4</v>
      </c>
      <c r="Z37" s="21">
        <v>1</v>
      </c>
      <c r="AA37" s="34">
        <f>VLOOKUP(D37,坦克类型系数!$CQ$9:$CY$12,2,FALSE)*$M$4*Z37</f>
        <v>11.123020662806383</v>
      </c>
      <c r="AB37" s="34">
        <f>VLOOKUP(D37,坦克类型系数!$CQ$9:$CY$12,6,FALSE)*$M$4*Z37</f>
        <v>44.49208265122553</v>
      </c>
      <c r="AC37" s="34">
        <f>VLOOKUP(D37,坦克类型系数!$CQ$3:$CY$6,9,FALSE)</f>
        <v>55.61510331403192</v>
      </c>
      <c r="AD37" s="2">
        <f>VLOOKUP(F37,坦克类型系数!$BM$3:$BV$10,6,FALSE)</f>
        <v>2.84</v>
      </c>
      <c r="AE37" s="41">
        <f t="shared" si="4"/>
        <v>1</v>
      </c>
      <c r="AF37" s="34">
        <f>VLOOKUP(D37,坦克类型系数!$DE$3:$DH$6,3,FALSE)*AE37</f>
        <v>40</v>
      </c>
      <c r="AG37" s="21">
        <v>1</v>
      </c>
      <c r="AH37" s="151">
        <f t="shared" si="5"/>
        <v>1</v>
      </c>
      <c r="AI37" s="2">
        <f>VLOOKUP(D37,坦克类型系数!$BZ$21:$CF$24,2,FALSE)*AG37</f>
        <v>8</v>
      </c>
      <c r="AJ37" s="34">
        <f>VLOOKUP(D37,坦克类型系数!$BZ$21:$CF$24,5,FALSE)*AG37</f>
        <v>8</v>
      </c>
      <c r="AK37" s="34">
        <f>VLOOKUP(D37,坦克类型系数!$BZ$21:$CF$24,4,FALSE)</f>
        <v>5</v>
      </c>
      <c r="AL37" s="34">
        <f>VLOOKUP(D37,坦克类型系数!$BZ$21:$CF$24,7,FALSE)</f>
        <v>4</v>
      </c>
      <c r="AM37" s="34">
        <f>VLOOKUP(D37,坦克类型系数!$CH$21:$CN$24,4,FALSE)</f>
        <v>13.333333333333334</v>
      </c>
      <c r="AN37" s="34">
        <f>VLOOKUP(D37,坦克类型系数!$CH$21:$CN$24,7,FALSE)</f>
        <v>22.857142857142858</v>
      </c>
      <c r="AO37" s="2">
        <f>VLOOKUP(F37,坦克类型系数!$BM$13:$BV$20,6,FALSE)</f>
        <v>1.0649999999999999</v>
      </c>
      <c r="AP37" s="143">
        <f>基础属性系数!$C$56</f>
        <v>0.2</v>
      </c>
      <c r="AQ37" s="143">
        <f>基础属性系数!$C$55</f>
        <v>0.3</v>
      </c>
      <c r="AR37" s="2">
        <f>VLOOKUP(D37,坦克类型系数!$DE$9:$DH$12,2,FALSE)</f>
        <v>0.9</v>
      </c>
      <c r="AS37" s="2">
        <f>VLOOKUP(D37,坦克类型系数!$DE$9:$DH$12,3,FALSE)</f>
        <v>0.9</v>
      </c>
      <c r="AT37" s="2">
        <f>VLOOKUP(D37,坦克类型系数!$DE$9:$DH$12,4,FALSE)</f>
        <v>0.9</v>
      </c>
      <c r="AU37" s="2">
        <f>VLOOKUP(D37,坦克类型系数!$AH$9:$AK$12,3,FALSE)</f>
        <v>55</v>
      </c>
      <c r="AV37" s="2">
        <f>VLOOKUP(D37,坦克类型系数!$AH$9:$AK$12,4,FALSE)</f>
        <v>105</v>
      </c>
      <c r="AW37" s="143">
        <f>VLOOKUP($B37,坦克类型系数!$B$3:$AF$33,MATCH(AW$18,坦克类型系数!$B$3:$AF$3,0),FALSE)</f>
        <v>0</v>
      </c>
      <c r="AX37" s="143">
        <f>VLOOKUP($B37,坦克类型系数!$B$3:$AF$33,MATCH(AX$18,坦克类型系数!$B$3:$AF$3,0),FALSE)</f>
        <v>2.4</v>
      </c>
      <c r="AY37" s="143">
        <f>VLOOKUP($B37,坦克类型系数!$B$3:$AF$33,MATCH(AY$18,坦克类型系数!$B$3:$AF$3,0),FALSE)</f>
        <v>1.8</v>
      </c>
      <c r="AZ37" s="143">
        <f>VLOOKUP($B37,坦克类型系数!$B$3:$AF$33,MATCH(AZ$18,坦克类型系数!$B$3:$AF$3,0),FALSE)</f>
        <v>1.35</v>
      </c>
      <c r="BA37" s="143">
        <f>VLOOKUP($B37,坦克类型系数!$B$3:$AF$33,MATCH(BA$18,坦克类型系数!$B$3:$AF$3,0),FALSE)</f>
        <v>1.1499999999999999</v>
      </c>
      <c r="BB37" s="143">
        <f>VLOOKUP($B37,坦克类型系数!$B$3:$AF$33,MATCH(BB$18,坦克类型系数!$B$3:$AF$3,0),FALSE)</f>
        <v>0.8</v>
      </c>
      <c r="BC37" s="143">
        <f>VLOOKUP($B37,坦克类型系数!$B$3:$AF$33,MATCH(BC$18,坦克类型系数!$B$3:$AF$3,0),FALSE)</f>
        <v>0.55000000000000004</v>
      </c>
    </row>
    <row r="38" spans="2:55" x14ac:dyDescent="0.3">
      <c r="B38" s="2" t="s">
        <v>649</v>
      </c>
      <c r="C38" s="2" t="s">
        <v>1168</v>
      </c>
      <c r="D38" s="29" t="str">
        <f>坦克类型系数!C23</f>
        <v>中坦</v>
      </c>
      <c r="E38" s="21" t="s">
        <v>633</v>
      </c>
      <c r="F38" s="21" t="s">
        <v>86</v>
      </c>
      <c r="G38" s="29">
        <f>坦克类型系数!D23</f>
        <v>8.49</v>
      </c>
      <c r="H38" s="29">
        <f>坦克类型系数!E23</f>
        <v>3.73</v>
      </c>
      <c r="I38" s="29">
        <f>坦克类型系数!F23</f>
        <v>9.27</v>
      </c>
      <c r="J38" s="21">
        <v>1</v>
      </c>
      <c r="K38" s="151">
        <f>SQRT(I38/VLOOKUP(D38,坦克类型系数!$AH$3:$AK$6,4,FALSE))*J38</f>
        <v>1.1284288406238332</v>
      </c>
      <c r="L38" s="21" t="s">
        <v>1161</v>
      </c>
      <c r="M38" s="29">
        <f>VLOOKUP(D38,坦克类型系数!$AH$15:$AK$18,4,FALSE)</f>
        <v>0.71</v>
      </c>
      <c r="N38" s="21">
        <v>1</v>
      </c>
      <c r="O38" s="2">
        <f t="shared" si="6"/>
        <v>0.71</v>
      </c>
      <c r="P38" s="34">
        <f t="shared" si="8"/>
        <v>1</v>
      </c>
      <c r="Q38" s="34">
        <f t="shared" si="3"/>
        <v>1</v>
      </c>
      <c r="R38" s="151">
        <f t="shared" si="7"/>
        <v>1</v>
      </c>
      <c r="S38" s="2">
        <f>VLOOKUP(F38,坦克类型系数!$AQ$3:$AX$10,MATCH("瞄准速度",坦克类型系数!$AQ$3:$AX$3,0),FALSE)</f>
        <v>1</v>
      </c>
      <c r="T38" s="21">
        <v>1</v>
      </c>
      <c r="U38" s="2">
        <f>(VLOOKUP(F38,坦克类型系数!$AM$3:$AO$10,MATCH("射击间隔max",坦克类型系数!$AM$3:$AO$3,0),FALSE)-VLOOKUP(F38,坦克类型系数!$AM$3:$AO$10,MATCH("射击间隔min",坦克类型系数!$AM$3:$AO$3,0),FALSE))*T38+VLOOKUP(F38,坦克类型系数!$AM$3:$AO$10,MATCH("射击间隔min",坦克类型系数!$AM$3:$AO$3,0),FALSE)</f>
        <v>0.4</v>
      </c>
      <c r="V38" s="151">
        <f>(U38-VLOOKUP(F38,标准坦克设计!$B$13:$K$20,MATCH("射击间隔",标准坦克设计!$B$13:$K$13,0),FALSE))/0.1*VLOOKUP($B$15,$B$3:$J$15,MATCH(F38,$B$3:$J$3,0),FALSE)+1</f>
        <v>-0.53333333333333299</v>
      </c>
      <c r="W38" s="2">
        <f>VLOOKUP(D38,坦克类型系数!$BI$3:$BK$6,2,FALSE)</f>
        <v>0.75</v>
      </c>
      <c r="X38" s="34">
        <f>VLOOKUP(D38,坦克类型系数!$BI$3:$BK$6,3,FALSE)</f>
        <v>1.6422918151337649</v>
      </c>
      <c r="Y38" s="21">
        <v>4</v>
      </c>
      <c r="Z38" s="21">
        <v>0.8</v>
      </c>
      <c r="AA38" s="34">
        <f>VLOOKUP(D38,坦克类型系数!$CQ$9:$CY$12,2,FALSE)*$M$4*Z38</f>
        <v>8.8984165302451057</v>
      </c>
      <c r="AB38" s="34">
        <f>VLOOKUP(D38,坦克类型系数!$CQ$9:$CY$12,6,FALSE)*$M$4*Z38</f>
        <v>35.593666120980423</v>
      </c>
      <c r="AC38" s="34">
        <f>VLOOKUP(D38,坦克类型系数!$CQ$3:$CY$6,9,FALSE)</f>
        <v>55.61510331403192</v>
      </c>
      <c r="AD38" s="2">
        <f>VLOOKUP(F38,坦克类型系数!$BM$3:$BV$10,6,FALSE)</f>
        <v>2.84</v>
      </c>
      <c r="AE38" s="41">
        <f t="shared" si="4"/>
        <v>1.25</v>
      </c>
      <c r="AF38" s="34">
        <f>VLOOKUP(D38,坦克类型系数!$DE$3:$DH$6,3,FALSE)*AE38</f>
        <v>50</v>
      </c>
      <c r="AG38" s="21">
        <v>0.9</v>
      </c>
      <c r="AH38" s="151">
        <f t="shared" si="5"/>
        <v>1.0270018015103013</v>
      </c>
      <c r="AI38" s="2">
        <f>VLOOKUP(D38,坦克类型系数!$BZ$21:$CF$24,2,FALSE)*AG38</f>
        <v>7.2</v>
      </c>
      <c r="AJ38" s="34">
        <f>VLOOKUP(D38,坦克类型系数!$BZ$21:$CF$24,5,FALSE)*AG38</f>
        <v>7.2</v>
      </c>
      <c r="AK38" s="34">
        <f>VLOOKUP(D38,坦克类型系数!$BZ$21:$CF$24,4,FALSE)</f>
        <v>5</v>
      </c>
      <c r="AL38" s="34">
        <f>VLOOKUP(D38,坦克类型系数!$BZ$21:$CF$24,7,FALSE)</f>
        <v>4</v>
      </c>
      <c r="AM38" s="34">
        <f>VLOOKUP(D38,坦克类型系数!$CH$21:$CN$24,4,FALSE)</f>
        <v>13.333333333333334</v>
      </c>
      <c r="AN38" s="34">
        <f>VLOOKUP(D38,坦克类型系数!$CH$21:$CN$24,7,FALSE)</f>
        <v>22.857142857142858</v>
      </c>
      <c r="AO38" s="2">
        <f>VLOOKUP(F38,坦克类型系数!$BM$13:$BV$20,6,FALSE)</f>
        <v>1.0649999999999999</v>
      </c>
      <c r="AP38" s="143">
        <f>基础属性系数!$C$56</f>
        <v>0.2</v>
      </c>
      <c r="AQ38" s="143">
        <f>基础属性系数!$C$55</f>
        <v>0.3</v>
      </c>
      <c r="AR38" s="2">
        <f>VLOOKUP(D38,坦克类型系数!$DE$9:$DH$12,2,FALSE)</f>
        <v>0.9</v>
      </c>
      <c r="AS38" s="2">
        <f>VLOOKUP(D38,坦克类型系数!$DE$9:$DH$12,3,FALSE)</f>
        <v>0.9</v>
      </c>
      <c r="AT38" s="2">
        <f>VLOOKUP(D38,坦克类型系数!$DE$9:$DH$12,4,FALSE)</f>
        <v>0.9</v>
      </c>
      <c r="AU38" s="2">
        <f>VLOOKUP(D38,坦克类型系数!$AH$9:$AK$12,3,FALSE)</f>
        <v>55</v>
      </c>
      <c r="AV38" s="2">
        <f>VLOOKUP(D38,坦克类型系数!$AH$9:$AK$12,4,FALSE)</f>
        <v>105</v>
      </c>
      <c r="AW38" s="143">
        <f>VLOOKUP($B38,坦克类型系数!$B$3:$AF$33,MATCH(AW$18,坦克类型系数!$B$3:$AF$3,0),FALSE)</f>
        <v>0</v>
      </c>
      <c r="AX38" s="143">
        <f>VLOOKUP($B38,坦克类型系数!$B$3:$AF$33,MATCH(AX$18,坦克类型系数!$B$3:$AF$3,0),FALSE)</f>
        <v>2.2000000000000002</v>
      </c>
      <c r="AY38" s="143">
        <f>VLOOKUP($B38,坦克类型系数!$B$3:$AF$33,MATCH(AY$18,坦克类型系数!$B$3:$AF$3,0),FALSE)</f>
        <v>1.7</v>
      </c>
      <c r="AZ38" s="143">
        <f>VLOOKUP($B38,坦克类型系数!$B$3:$AF$33,MATCH(AZ$18,坦克类型系数!$B$3:$AF$3,0),FALSE)</f>
        <v>1.3</v>
      </c>
      <c r="BA38" s="143">
        <f>VLOOKUP($B38,坦克类型系数!$B$3:$AF$33,MATCH(BA$18,坦克类型系数!$B$3:$AF$3,0),FALSE)</f>
        <v>1.1000000000000001</v>
      </c>
      <c r="BB38" s="143">
        <f>VLOOKUP($B38,坦克类型系数!$B$3:$AF$33,MATCH(BB$18,坦克类型系数!$B$3:$AF$3,0),FALSE)</f>
        <v>0.75</v>
      </c>
      <c r="BC38" s="143">
        <f>VLOOKUP($B38,坦克类型系数!$B$3:$AF$33,MATCH(BC$18,坦克类型系数!$B$3:$AF$3,0),FALSE)</f>
        <v>0.5</v>
      </c>
    </row>
    <row r="39" spans="2:55" x14ac:dyDescent="0.3">
      <c r="B39" s="2" t="s">
        <v>651</v>
      </c>
      <c r="C39" s="2" t="s">
        <v>1169</v>
      </c>
      <c r="D39" s="29" t="str">
        <f>坦克类型系数!C24</f>
        <v>重坦</v>
      </c>
      <c r="E39" s="21" t="s">
        <v>613</v>
      </c>
      <c r="F39" s="21" t="s">
        <v>87</v>
      </c>
      <c r="G39" s="29">
        <f>坦克类型系数!D24</f>
        <v>6.6</v>
      </c>
      <c r="H39" s="29">
        <f>坦克类型系数!E24</f>
        <v>3.26</v>
      </c>
      <c r="I39" s="29">
        <f>坦克类型系数!F24</f>
        <v>7.36</v>
      </c>
      <c r="J39" s="21">
        <v>1</v>
      </c>
      <c r="K39" s="151">
        <f>SQRT(I39/VLOOKUP(D39,坦克类型系数!$AH$3:$AK$6,4,FALSE))*J39</f>
        <v>0.98864737838029004</v>
      </c>
      <c r="L39" s="21" t="s">
        <v>1161</v>
      </c>
      <c r="M39" s="29">
        <f>VLOOKUP(D39,坦克类型系数!$AH$15:$AK$18,4,FALSE)</f>
        <v>0.62</v>
      </c>
      <c r="N39" s="21">
        <v>1.2</v>
      </c>
      <c r="O39" s="2">
        <f t="shared" si="6"/>
        <v>0.74</v>
      </c>
      <c r="P39" s="34">
        <f t="shared" si="8"/>
        <v>1.1935483870967742</v>
      </c>
      <c r="Q39" s="34">
        <f t="shared" si="3"/>
        <v>0.9756718528995757</v>
      </c>
      <c r="R39" s="151">
        <f t="shared" si="7"/>
        <v>1.1645115663640098</v>
      </c>
      <c r="S39" s="2">
        <f>VLOOKUP(F39,坦克类型系数!$AQ$3:$AX$10,MATCH("瞄准速度",坦克类型系数!$AQ$3:$AX$3,0),FALSE)</f>
        <v>1.2</v>
      </c>
      <c r="T39" s="21">
        <v>3</v>
      </c>
      <c r="U39" s="2">
        <f>(VLOOKUP(F39,坦克类型系数!$AM$3:$AO$10,MATCH("射击间隔max",坦克类型系数!$AM$3:$AO$3,0),FALSE)-VLOOKUP(F39,坦克类型系数!$AM$3:$AO$10,MATCH("射击间隔min",坦克类型系数!$AM$3:$AO$3,0),FALSE))*T39+VLOOKUP(F39,坦克类型系数!$AM$3:$AO$10,MATCH("射击间隔min",坦克类型系数!$AM$3:$AO$3,0),FALSE)</f>
        <v>2.8</v>
      </c>
      <c r="V39" s="151">
        <f>(U39-VLOOKUP(F39,标准坦克设计!$B$13:$K$20,MATCH("射击间隔",标准坦克设计!$B$13:$K$13,0),FALSE))/0.1*VLOOKUP($B$15,$B$3:$J$15,MATCH(F39,$B$3:$J$3,0),FALSE)+1</f>
        <v>1.4232804232804237</v>
      </c>
      <c r="W39" s="2">
        <f>VLOOKUP(D39,坦克类型系数!$BI$3:$BK$6,2,FALSE)</f>
        <v>0.5</v>
      </c>
      <c r="X39" s="34">
        <f>VLOOKUP(D39,坦克类型系数!$BI$3:$BK$6,3,FALSE)</f>
        <v>1.3421103201592517</v>
      </c>
      <c r="Y39" s="21">
        <v>2</v>
      </c>
      <c r="Z39" s="21">
        <v>1</v>
      </c>
      <c r="AA39" s="34">
        <f>VLOOKUP(D39,坦克类型系数!$CQ$9:$CY$12,2,FALSE)*$M$4*Z39</f>
        <v>9.587493771855776</v>
      </c>
      <c r="AB39" s="34">
        <f>VLOOKUP(D39,坦克类型系数!$CQ$9:$CY$12,6,FALSE)*$M$4*Z39</f>
        <v>38.349975087423104</v>
      </c>
      <c r="AC39" s="34">
        <f>VLOOKUP(D39,坦克类型系数!$CQ$3:$CY$6,9,FALSE)</f>
        <v>47.93746885927888</v>
      </c>
      <c r="AD39" s="2">
        <f>VLOOKUP(F39,坦克类型系数!$BM$3:$BV$10,6,FALSE)</f>
        <v>1.8599999999999999</v>
      </c>
      <c r="AE39" s="41">
        <f t="shared" si="4"/>
        <v>1</v>
      </c>
      <c r="AF39" s="34">
        <f>VLOOKUP(D39,坦克类型系数!$DE$3:$DH$6,3,FALSE)*AE39</f>
        <v>28</v>
      </c>
      <c r="AG39" s="21">
        <v>1</v>
      </c>
      <c r="AH39" s="151">
        <f t="shared" si="5"/>
        <v>1</v>
      </c>
      <c r="AI39" s="2">
        <f>VLOOKUP(D39,坦克类型系数!$BZ$21:$CF$24,2,FALSE)*AG39</f>
        <v>7</v>
      </c>
      <c r="AJ39" s="34">
        <f>VLOOKUP(D39,坦克类型系数!$BZ$21:$CF$24,5,FALSE)*AG39</f>
        <v>7</v>
      </c>
      <c r="AK39" s="34">
        <f>VLOOKUP(D39,坦克类型系数!$BZ$21:$CF$24,4,FALSE)</f>
        <v>3.8888888888888888</v>
      </c>
      <c r="AL39" s="34">
        <f>VLOOKUP(D39,坦克类型系数!$BZ$21:$CF$24,7,FALSE)</f>
        <v>2</v>
      </c>
      <c r="AM39" s="34">
        <f>VLOOKUP(D39,坦克类型系数!$CH$21:$CN$24,4,FALSE)</f>
        <v>10.769230769230768</v>
      </c>
      <c r="AN39" s="34">
        <f>VLOOKUP(D39,坦克类型系数!$CH$21:$CN$24,7,FALSE)</f>
        <v>17.5</v>
      </c>
      <c r="AO39" s="2">
        <f>VLOOKUP(F39,坦克类型系数!$BM$13:$BV$20,6,FALSE)</f>
        <v>0.62</v>
      </c>
      <c r="AP39" s="143">
        <f>基础属性系数!$C$56</f>
        <v>0.2</v>
      </c>
      <c r="AQ39" s="143">
        <f>基础属性系数!$C$55</f>
        <v>0.3</v>
      </c>
      <c r="AR39" s="2">
        <f>VLOOKUP(D39,坦克类型系数!$DE$9:$DH$12,2,FALSE)</f>
        <v>0.8</v>
      </c>
      <c r="AS39" s="2">
        <f>VLOOKUP(D39,坦克类型系数!$DE$9:$DH$12,3,FALSE)</f>
        <v>0.8</v>
      </c>
      <c r="AT39" s="2">
        <f>VLOOKUP(D39,坦克类型系数!$DE$9:$DH$12,4,FALSE)</f>
        <v>0.8</v>
      </c>
      <c r="AU39" s="2">
        <f>VLOOKUP(D39,坦克类型系数!$AH$9:$AK$12,3,FALSE)</f>
        <v>70</v>
      </c>
      <c r="AV39" s="2">
        <f>VLOOKUP(D39,坦克类型系数!$AH$9:$AK$12,4,FALSE)</f>
        <v>110</v>
      </c>
      <c r="AW39" s="143">
        <f>VLOOKUP($B39,坦克类型系数!$B$3:$AF$33,MATCH(AW$18,坦克类型系数!$B$3:$AF$3,0),FALSE)</f>
        <v>0</v>
      </c>
      <c r="AX39" s="143">
        <f>VLOOKUP($B39,坦克类型系数!$B$3:$AF$33,MATCH(AX$18,坦克类型系数!$B$3:$AF$3,0),FALSE)</f>
        <v>2.5499999999999998</v>
      </c>
      <c r="AY39" s="143">
        <f>VLOOKUP($B39,坦克类型系数!$B$3:$AF$33,MATCH(AY$18,坦克类型系数!$B$3:$AF$3,0),FALSE)</f>
        <v>2.0499999999999998</v>
      </c>
      <c r="AZ39" s="143">
        <f>VLOOKUP($B39,坦克类型系数!$B$3:$AF$33,MATCH(AZ$18,坦克类型系数!$B$3:$AF$3,0),FALSE)</f>
        <v>1.5</v>
      </c>
      <c r="BA39" s="143">
        <f>VLOOKUP($B39,坦克类型系数!$B$3:$AF$33,MATCH(BA$18,坦克类型系数!$B$3:$AF$3,0),FALSE)</f>
        <v>1.45</v>
      </c>
      <c r="BB39" s="143">
        <f>VLOOKUP($B39,坦克类型系数!$B$3:$AF$33,MATCH(BB$18,坦克类型系数!$B$3:$AF$3,0),FALSE)</f>
        <v>1.35</v>
      </c>
      <c r="BC39" s="143">
        <f>VLOOKUP($B39,坦克类型系数!$B$3:$AF$33,MATCH(BC$18,坦克类型系数!$B$3:$AF$3,0),FALSE)</f>
        <v>0.4</v>
      </c>
    </row>
    <row r="40" spans="2:55" x14ac:dyDescent="0.3">
      <c r="B40" s="2" t="s">
        <v>653</v>
      </c>
      <c r="C40" s="2" t="s">
        <v>1170</v>
      </c>
      <c r="D40" s="29" t="str">
        <f>坦克类型系数!C25</f>
        <v>重坦</v>
      </c>
      <c r="E40" s="21" t="s">
        <v>615</v>
      </c>
      <c r="F40" s="21" t="s">
        <v>87</v>
      </c>
      <c r="G40" s="29">
        <f>坦克类型系数!D25</f>
        <v>6.44</v>
      </c>
      <c r="H40" s="29">
        <f>坦克类型系数!E25</f>
        <v>2.5099999999999998</v>
      </c>
      <c r="I40" s="29">
        <f>坦克类型系数!F25</f>
        <v>6.91</v>
      </c>
      <c r="J40" s="21">
        <v>1</v>
      </c>
      <c r="K40" s="151">
        <f>SQRT(I40/VLOOKUP(D40,坦克类型系数!$AH$3:$AK$6,4,FALSE))*J40</f>
        <v>0.95794711889692619</v>
      </c>
      <c r="L40" s="21" t="s">
        <v>1161</v>
      </c>
      <c r="M40" s="29">
        <f>VLOOKUP(D40,坦克类型系数!$AH$15:$AK$18,4,FALSE)</f>
        <v>0.62</v>
      </c>
      <c r="N40" s="21">
        <v>1.1499999999999999</v>
      </c>
      <c r="O40" s="2">
        <f t="shared" si="6"/>
        <v>0.71</v>
      </c>
      <c r="P40" s="34">
        <f t="shared" si="8"/>
        <v>1.1451612903225805</v>
      </c>
      <c r="Q40" s="34">
        <f t="shared" si="3"/>
        <v>0.97810466760961812</v>
      </c>
      <c r="R40" s="151">
        <f t="shared" si="7"/>
        <v>1.120087603230369</v>
      </c>
      <c r="S40" s="2">
        <f>VLOOKUP(F40,坦克类型系数!$AQ$3:$AX$10,MATCH("瞄准速度",坦克类型系数!$AQ$3:$AX$3,0),FALSE)</f>
        <v>1.2</v>
      </c>
      <c r="T40" s="21">
        <v>0.7</v>
      </c>
      <c r="U40" s="2">
        <f>(VLOOKUP(F40,坦克类型系数!$AM$3:$AO$10,MATCH("射击间隔max",坦克类型系数!$AM$3:$AO$3,0),FALSE)-VLOOKUP(F40,坦克类型系数!$AM$3:$AO$10,MATCH("射击间隔min",坦克类型系数!$AM$3:$AO$3,0),FALSE))*T40+VLOOKUP(F40,坦克类型系数!$AM$3:$AO$10,MATCH("射击间隔min",坦克类型系数!$AM$3:$AO$3,0),FALSE)</f>
        <v>1.88</v>
      </c>
      <c r="V40" s="151">
        <f>(U40-VLOOKUP(F40,标准坦克设计!$B$13:$K$20,MATCH("射击间隔",标准坦克设计!$B$13:$K$13,0),FALSE))/0.1*VLOOKUP($B$15,$B$3:$J$15,MATCH(F40,$B$3:$J$3,0),FALSE)+1</f>
        <v>1.0338624338624338</v>
      </c>
      <c r="W40" s="2">
        <f>VLOOKUP(D40,坦克类型系数!$BI$3:$BK$6,2,FALSE)</f>
        <v>0.5</v>
      </c>
      <c r="X40" s="34">
        <f>VLOOKUP(D40,坦克类型系数!$BI$3:$BK$6,3,FALSE)</f>
        <v>1.3421103201592517</v>
      </c>
      <c r="Y40" s="21">
        <v>2</v>
      </c>
      <c r="Z40" s="21">
        <v>1</v>
      </c>
      <c r="AA40" s="34">
        <f>VLOOKUP(D40,坦克类型系数!$CQ$9:$CY$12,2,FALSE)*$M$4*Z40</f>
        <v>9.587493771855776</v>
      </c>
      <c r="AB40" s="34">
        <f>VLOOKUP(D40,坦克类型系数!$CQ$9:$CY$12,6,FALSE)*$M$4*Z40</f>
        <v>38.349975087423104</v>
      </c>
      <c r="AC40" s="34">
        <f>VLOOKUP(D40,坦克类型系数!$CQ$3:$CY$6,9,FALSE)</f>
        <v>47.93746885927888</v>
      </c>
      <c r="AD40" s="2">
        <f>VLOOKUP(F40,坦克类型系数!$BM$3:$BV$10,6,FALSE)</f>
        <v>1.8599999999999999</v>
      </c>
      <c r="AE40" s="41">
        <f t="shared" si="4"/>
        <v>1</v>
      </c>
      <c r="AF40" s="34">
        <f>VLOOKUP(D40,坦克类型系数!$DE$3:$DH$6,3,FALSE)*AE40</f>
        <v>28</v>
      </c>
      <c r="AG40" s="21">
        <v>1</v>
      </c>
      <c r="AH40" s="151">
        <f t="shared" si="5"/>
        <v>1</v>
      </c>
      <c r="AI40" s="2">
        <f>VLOOKUP(D40,坦克类型系数!$BZ$21:$CF$24,2,FALSE)*AG40</f>
        <v>7</v>
      </c>
      <c r="AJ40" s="34">
        <f>VLOOKUP(D40,坦克类型系数!$BZ$21:$CF$24,5,FALSE)*AG40</f>
        <v>7</v>
      </c>
      <c r="AK40" s="34">
        <f>VLOOKUP(D40,坦克类型系数!$BZ$21:$CF$24,4,FALSE)</f>
        <v>3.8888888888888888</v>
      </c>
      <c r="AL40" s="34">
        <f>VLOOKUP(D40,坦克类型系数!$BZ$21:$CF$24,7,FALSE)</f>
        <v>2</v>
      </c>
      <c r="AM40" s="34">
        <f>VLOOKUP(D40,坦克类型系数!$CH$21:$CN$24,4,FALSE)</f>
        <v>10.769230769230768</v>
      </c>
      <c r="AN40" s="34">
        <f>VLOOKUP(D40,坦克类型系数!$CH$21:$CN$24,7,FALSE)</f>
        <v>17.5</v>
      </c>
      <c r="AO40" s="2">
        <f>VLOOKUP(F40,坦克类型系数!$BM$13:$BV$20,6,FALSE)</f>
        <v>0.62</v>
      </c>
      <c r="AP40" s="143">
        <f>基础属性系数!$C$56</f>
        <v>0.2</v>
      </c>
      <c r="AQ40" s="143">
        <f>基础属性系数!$C$55</f>
        <v>0.3</v>
      </c>
      <c r="AR40" s="2">
        <f>VLOOKUP(D40,坦克类型系数!$DE$9:$DH$12,2,FALSE)</f>
        <v>0.8</v>
      </c>
      <c r="AS40" s="2">
        <f>VLOOKUP(D40,坦克类型系数!$DE$9:$DH$12,3,FALSE)</f>
        <v>0.8</v>
      </c>
      <c r="AT40" s="2">
        <f>VLOOKUP(D40,坦克类型系数!$DE$9:$DH$12,4,FALSE)</f>
        <v>0.8</v>
      </c>
      <c r="AU40" s="2">
        <f>VLOOKUP(D40,坦克类型系数!$AH$9:$AK$12,3,FALSE)</f>
        <v>70</v>
      </c>
      <c r="AV40" s="2">
        <f>VLOOKUP(D40,坦克类型系数!$AH$9:$AK$12,4,FALSE)</f>
        <v>110</v>
      </c>
      <c r="AW40" s="143">
        <f>VLOOKUP($B40,坦克类型系数!$B$3:$AF$33,MATCH(AW$18,坦克类型系数!$B$3:$AF$3,0),FALSE)</f>
        <v>0</v>
      </c>
      <c r="AX40" s="143">
        <f>VLOOKUP($B40,坦克类型系数!$B$3:$AF$33,MATCH(AX$18,坦克类型系数!$B$3:$AF$3,0),FALSE)</f>
        <v>2.5499999999999998</v>
      </c>
      <c r="AY40" s="143">
        <f>VLOOKUP($B40,坦克类型系数!$B$3:$AF$33,MATCH(AY$18,坦克类型系数!$B$3:$AF$3,0),FALSE)</f>
        <v>2.35</v>
      </c>
      <c r="AZ40" s="143">
        <f>VLOOKUP($B40,坦克类型系数!$B$3:$AF$33,MATCH(AZ$18,坦克类型系数!$B$3:$AF$3,0),FALSE)</f>
        <v>2.1</v>
      </c>
      <c r="BA40" s="143">
        <f>VLOOKUP($B40,坦克类型系数!$B$3:$AF$33,MATCH(BA$18,坦克类型系数!$B$3:$AF$3,0),FALSE)</f>
        <v>2</v>
      </c>
      <c r="BB40" s="143">
        <f>VLOOKUP($B40,坦克类型系数!$B$3:$AF$33,MATCH(BB$18,坦克类型系数!$B$3:$AF$3,0),FALSE)</f>
        <v>1.53</v>
      </c>
      <c r="BC40" s="143">
        <f>VLOOKUP($B40,坦克类型系数!$B$3:$AF$33,MATCH(BC$18,坦克类型系数!$B$3:$AF$3,0),FALSE)</f>
        <v>0.5</v>
      </c>
    </row>
    <row r="41" spans="2:55" x14ac:dyDescent="0.3">
      <c r="B41" s="2" t="s">
        <v>655</v>
      </c>
      <c r="C41" s="2" t="s">
        <v>1171</v>
      </c>
      <c r="D41" s="29" t="str">
        <f>坦克类型系数!C26</f>
        <v>重坦</v>
      </c>
      <c r="E41" s="21" t="s">
        <v>615</v>
      </c>
      <c r="F41" s="21" t="s">
        <v>88</v>
      </c>
      <c r="G41" s="29">
        <f>坦克类型系数!D26</f>
        <v>7.18</v>
      </c>
      <c r="H41" s="29">
        <f>坦克类型系数!E26</f>
        <v>3.28</v>
      </c>
      <c r="I41" s="29">
        <f>坦克类型系数!F26</f>
        <v>7.89</v>
      </c>
      <c r="J41" s="21">
        <v>0.95</v>
      </c>
      <c r="K41" s="151">
        <f>SQRT(I41/VLOOKUP(D41,坦克类型系数!$AH$3:$AK$6,4,FALSE))*J41</f>
        <v>0.97244403970540416</v>
      </c>
      <c r="L41" s="21" t="s">
        <v>1161</v>
      </c>
      <c r="M41" s="29">
        <f>VLOOKUP(D41,坦克类型系数!$AH$15:$AK$18,4,FALSE)</f>
        <v>0.62</v>
      </c>
      <c r="N41" s="21">
        <v>1.1000000000000001</v>
      </c>
      <c r="O41" s="2">
        <f t="shared" si="6"/>
        <v>0.68</v>
      </c>
      <c r="P41" s="34">
        <f t="shared" si="8"/>
        <v>1.0967741935483872</v>
      </c>
      <c r="Q41" s="34">
        <f t="shared" si="3"/>
        <v>1</v>
      </c>
      <c r="R41" s="151">
        <f t="shared" si="7"/>
        <v>1.0967741935483872</v>
      </c>
      <c r="S41" s="2">
        <f>VLOOKUP(F41,坦克类型系数!$AQ$3:$AX$10,MATCH("瞄准速度",坦克类型系数!$AQ$3:$AX$3,0),FALSE)</f>
        <v>1</v>
      </c>
      <c r="T41" s="21">
        <v>1</v>
      </c>
      <c r="U41" s="2">
        <f>(VLOOKUP(F41,坦克类型系数!$AM$3:$AO$10,MATCH("射击间隔max",坦克类型系数!$AM$3:$AO$3,0),FALSE)-VLOOKUP(F41,坦克类型系数!$AM$3:$AO$10,MATCH("射击间隔min",坦克类型系数!$AM$3:$AO$3,0),FALSE))*T41+VLOOKUP(F41,坦克类型系数!$AM$3:$AO$10,MATCH("射击间隔min",坦克类型系数!$AM$3:$AO$3,0),FALSE)</f>
        <v>0</v>
      </c>
      <c r="V41" s="151">
        <f>(U41-VLOOKUP(F41,标准坦克设计!$B$13:$K$20,MATCH("射击间隔",标准坦克设计!$B$13:$K$13,0),FALSE))/0.1*VLOOKUP($B$15,$B$3:$J$15,MATCH(F41,$B$3:$J$3,0),FALSE)+1</f>
        <v>1</v>
      </c>
      <c r="W41" s="2">
        <f>VLOOKUP(D41,坦克类型系数!$BI$3:$BK$6,2,FALSE)</f>
        <v>0.5</v>
      </c>
      <c r="X41" s="34">
        <f>VLOOKUP(D41,坦克类型系数!$BI$3:$BK$6,3,FALSE)</f>
        <v>1.3421103201592517</v>
      </c>
      <c r="Y41" s="21">
        <v>5</v>
      </c>
      <c r="Z41" s="21">
        <v>0.8</v>
      </c>
      <c r="AA41" s="34">
        <f>VLOOKUP(D41,坦克类型系数!$CQ$9:$CY$12,2,FALSE)*$M$4*Z41</f>
        <v>7.669995017484621</v>
      </c>
      <c r="AB41" s="34">
        <f>VLOOKUP(D41,坦克类型系数!$CQ$9:$CY$12,6,FALSE)*$M$4*Z41</f>
        <v>30.679980069938484</v>
      </c>
      <c r="AC41" s="34">
        <f>VLOOKUP(D41,坦克类型系数!$CQ$3:$CY$6,9,FALSE)</f>
        <v>47.93746885927888</v>
      </c>
      <c r="AD41" s="2">
        <f>VLOOKUP(F41,坦克类型系数!$BM$3:$BV$10,6,FALSE)</f>
        <v>3.1</v>
      </c>
      <c r="AE41" s="41">
        <v>1.1000000000000001</v>
      </c>
      <c r="AF41" s="34">
        <f>VLOOKUP(D41,坦克类型系数!$DE$3:$DH$6,3,FALSE)*AE41</f>
        <v>30.800000000000004</v>
      </c>
      <c r="AG41" s="21">
        <v>0.9</v>
      </c>
      <c r="AH41" s="151">
        <f t="shared" si="5"/>
        <v>1</v>
      </c>
      <c r="AI41" s="2">
        <f>VLOOKUP(D41,坦克类型系数!$BZ$21:$CF$24,2,FALSE)*AG41</f>
        <v>6.3</v>
      </c>
      <c r="AJ41" s="34">
        <f>VLOOKUP(D41,坦克类型系数!$BZ$21:$CF$24,5,FALSE)*AG41</f>
        <v>6.3</v>
      </c>
      <c r="AK41" s="34">
        <f>VLOOKUP(D41,坦克类型系数!$BZ$21:$CF$24,4,FALSE)</f>
        <v>3.8888888888888888</v>
      </c>
      <c r="AL41" s="34">
        <f>VLOOKUP(D41,坦克类型系数!$BZ$21:$CF$24,7,FALSE)</f>
        <v>2</v>
      </c>
      <c r="AM41" s="34">
        <f>VLOOKUP(D41,坦克类型系数!$CH$21:$CN$24,4,FALSE)</f>
        <v>10.769230769230768</v>
      </c>
      <c r="AN41" s="34">
        <f>VLOOKUP(D41,坦克类型系数!$CH$21:$CN$24,7,FALSE)</f>
        <v>17.5</v>
      </c>
      <c r="AO41" s="2">
        <f>VLOOKUP(F41,坦克类型系数!$BM$13:$BV$20,6,FALSE)</f>
        <v>1.24</v>
      </c>
      <c r="AP41" s="143">
        <f>基础属性系数!$C$56</f>
        <v>0.2</v>
      </c>
      <c r="AQ41" s="143">
        <f>基础属性系数!$C$55</f>
        <v>0.3</v>
      </c>
      <c r="AR41" s="2">
        <f>VLOOKUP(D41,坦克类型系数!$DE$9:$DH$12,2,FALSE)</f>
        <v>0.8</v>
      </c>
      <c r="AS41" s="2">
        <f>VLOOKUP(D41,坦克类型系数!$DE$9:$DH$12,3,FALSE)</f>
        <v>0.8</v>
      </c>
      <c r="AT41" s="2">
        <f>VLOOKUP(D41,坦克类型系数!$DE$9:$DH$12,4,FALSE)</f>
        <v>0.8</v>
      </c>
      <c r="AU41" s="2">
        <f>VLOOKUP(D41,坦克类型系数!$AH$9:$AK$12,3,FALSE)</f>
        <v>70</v>
      </c>
      <c r="AV41" s="2">
        <f>VLOOKUP(D41,坦克类型系数!$AH$9:$AK$12,4,FALSE)</f>
        <v>110</v>
      </c>
      <c r="AW41" s="143">
        <f>VLOOKUP($B41,坦克类型系数!$B$3:$AF$33,MATCH(AW$18,坦克类型系数!$B$3:$AF$3,0),FALSE)</f>
        <v>0</v>
      </c>
      <c r="AX41" s="143">
        <f>VLOOKUP($B41,坦克类型系数!$B$3:$AF$33,MATCH(AX$18,坦克类型系数!$B$3:$AF$3,0),FALSE)</f>
        <v>2.5</v>
      </c>
      <c r="AY41" s="143">
        <f>VLOOKUP($B41,坦克类型系数!$B$3:$AF$33,MATCH(AY$18,坦克类型系数!$B$3:$AF$3,0),FALSE)</f>
        <v>2.15</v>
      </c>
      <c r="AZ41" s="143">
        <f>VLOOKUP($B41,坦克类型系数!$B$3:$AF$33,MATCH(AZ$18,坦克类型系数!$B$3:$AF$3,0),FALSE)</f>
        <v>1.65</v>
      </c>
      <c r="BA41" s="143">
        <f>VLOOKUP($B41,坦克类型系数!$B$3:$AF$33,MATCH(BA$18,坦克类型系数!$B$3:$AF$3,0),FALSE)</f>
        <v>1.6</v>
      </c>
      <c r="BB41" s="143">
        <f>VLOOKUP($B41,坦克类型系数!$B$3:$AF$33,MATCH(BB$18,坦克类型系数!$B$3:$AF$3,0),FALSE)</f>
        <v>1.35</v>
      </c>
      <c r="BC41" s="143">
        <f>VLOOKUP($B41,坦克类型系数!$B$3:$AF$33,MATCH(BC$18,坦克类型系数!$B$3:$AF$3,0),FALSE)</f>
        <v>0.45</v>
      </c>
    </row>
    <row r="42" spans="2:55" x14ac:dyDescent="0.3">
      <c r="B42" s="2" t="s">
        <v>538</v>
      </c>
      <c r="C42" s="2" t="s">
        <v>1172</v>
      </c>
      <c r="D42" s="29" t="str">
        <f>坦克类型系数!C27</f>
        <v>重坦</v>
      </c>
      <c r="E42" s="21" t="s">
        <v>619</v>
      </c>
      <c r="F42" s="21" t="s">
        <v>88</v>
      </c>
      <c r="G42" s="29">
        <f>坦克类型系数!D27</f>
        <v>6.86</v>
      </c>
      <c r="H42" s="29">
        <f>坦克类型系数!E27</f>
        <v>3.3</v>
      </c>
      <c r="I42" s="29">
        <f>坦克类型系数!F27</f>
        <v>7.61</v>
      </c>
      <c r="J42" s="21">
        <v>1</v>
      </c>
      <c r="K42" s="151">
        <f>SQRT(I42/VLOOKUP(D42,坦克类型系数!$AH$3:$AK$6,4,FALSE))*J42</f>
        <v>1.0052980503247382</v>
      </c>
      <c r="L42" s="21" t="s">
        <v>1161</v>
      </c>
      <c r="M42" s="29">
        <f>VLOOKUP(D42,坦克类型系数!$AH$15:$AK$18,4,FALSE)</f>
        <v>0.62</v>
      </c>
      <c r="N42" s="21">
        <v>1</v>
      </c>
      <c r="O42" s="2">
        <f t="shared" si="6"/>
        <v>0.62</v>
      </c>
      <c r="P42" s="34">
        <f t="shared" si="8"/>
        <v>1</v>
      </c>
      <c r="Q42" s="34">
        <f t="shared" si="3"/>
        <v>1</v>
      </c>
      <c r="R42" s="151">
        <f t="shared" si="7"/>
        <v>1</v>
      </c>
      <c r="S42" s="2">
        <f>VLOOKUP(F42,坦克类型系数!$AQ$3:$AX$10,MATCH("瞄准速度",坦克类型系数!$AQ$3:$AX$3,0),FALSE)</f>
        <v>1</v>
      </c>
      <c r="T42" s="21">
        <v>1</v>
      </c>
      <c r="U42" s="2">
        <f>(VLOOKUP(F42,坦克类型系数!$AM$3:$AO$10,MATCH("射击间隔max",坦克类型系数!$AM$3:$AO$3,0),FALSE)-VLOOKUP(F42,坦克类型系数!$AM$3:$AO$10,MATCH("射击间隔min",坦克类型系数!$AM$3:$AO$3,0),FALSE))*T42+VLOOKUP(F42,坦克类型系数!$AM$3:$AO$10,MATCH("射击间隔min",坦克类型系数!$AM$3:$AO$3,0),FALSE)</f>
        <v>0</v>
      </c>
      <c r="V42" s="151">
        <f>(U42-VLOOKUP(F42,标准坦克设计!$B$13:$K$20,MATCH("射击间隔",标准坦克设计!$B$13:$K$13,0),FALSE))/0.1*VLOOKUP($B$15,$B$3:$J$15,MATCH(F42,$B$3:$J$3,0),FALSE)+1</f>
        <v>1</v>
      </c>
      <c r="W42" s="2">
        <f>VLOOKUP(D42,坦克类型系数!$BI$3:$BK$6,2,FALSE)</f>
        <v>0.5</v>
      </c>
      <c r="X42" s="34">
        <f>VLOOKUP(D42,坦克类型系数!$BI$3:$BK$6,3,FALSE)</f>
        <v>1.3421103201592517</v>
      </c>
      <c r="Y42" s="21">
        <v>5</v>
      </c>
      <c r="Z42" s="21">
        <v>0.8</v>
      </c>
      <c r="AA42" s="34">
        <f>VLOOKUP(D42,坦克类型系数!$CQ$9:$CY$12,2,FALSE)*$M$4*Z42</f>
        <v>7.669995017484621</v>
      </c>
      <c r="AB42" s="34">
        <f>VLOOKUP(D42,坦克类型系数!$CQ$9:$CY$12,6,FALSE)*$M$4*Z42</f>
        <v>30.679980069938484</v>
      </c>
      <c r="AC42" s="34">
        <f>VLOOKUP(D42,坦克类型系数!$CQ$3:$CY$6,9,FALSE)</f>
        <v>47.93746885927888</v>
      </c>
      <c r="AD42" s="2">
        <f>VLOOKUP(F42,坦克类型系数!$BM$3:$BV$10,6,FALSE)</f>
        <v>3.1</v>
      </c>
      <c r="AE42" s="41">
        <v>1.2</v>
      </c>
      <c r="AF42" s="34">
        <f>VLOOKUP(D42,坦克类型系数!$DE$3:$DH$6,3,FALSE)*AE42</f>
        <v>33.6</v>
      </c>
      <c r="AG42" s="21">
        <v>0.9</v>
      </c>
      <c r="AH42" s="151">
        <f t="shared" si="5"/>
        <v>1</v>
      </c>
      <c r="AI42" s="2">
        <f>VLOOKUP(D42,坦克类型系数!$BZ$21:$CF$24,2,FALSE)*AG42</f>
        <v>6.3</v>
      </c>
      <c r="AJ42" s="34">
        <f>VLOOKUP(D42,坦克类型系数!$BZ$21:$CF$24,5,FALSE)*AG42</f>
        <v>6.3</v>
      </c>
      <c r="AK42" s="34">
        <f>VLOOKUP(D42,坦克类型系数!$BZ$21:$CF$24,4,FALSE)</f>
        <v>3.8888888888888888</v>
      </c>
      <c r="AL42" s="34">
        <f>VLOOKUP(D42,坦克类型系数!$BZ$21:$CF$24,7,FALSE)</f>
        <v>2</v>
      </c>
      <c r="AM42" s="34">
        <f>VLOOKUP(D42,坦克类型系数!$CH$21:$CN$24,4,FALSE)</f>
        <v>10.769230769230768</v>
      </c>
      <c r="AN42" s="34">
        <f>VLOOKUP(D42,坦克类型系数!$CH$21:$CN$24,7,FALSE)</f>
        <v>17.5</v>
      </c>
      <c r="AO42" s="2">
        <f>VLOOKUP(F42,坦克类型系数!$BM$13:$BV$20,6,FALSE)</f>
        <v>1.24</v>
      </c>
      <c r="AP42" s="143">
        <f>基础属性系数!$C$56</f>
        <v>0.2</v>
      </c>
      <c r="AQ42" s="143">
        <f>基础属性系数!$C$55</f>
        <v>0.3</v>
      </c>
      <c r="AR42" s="2">
        <f>VLOOKUP(D42,坦克类型系数!$DE$9:$DH$12,2,FALSE)</f>
        <v>0.8</v>
      </c>
      <c r="AS42" s="2">
        <f>VLOOKUP(D42,坦克类型系数!$DE$9:$DH$12,3,FALSE)</f>
        <v>0.8</v>
      </c>
      <c r="AT42" s="2">
        <f>VLOOKUP(D42,坦克类型系数!$DE$9:$DH$12,4,FALSE)</f>
        <v>0.8</v>
      </c>
      <c r="AU42" s="2">
        <f>VLOOKUP(D42,坦克类型系数!$AH$9:$AK$12,3,FALSE)</f>
        <v>70</v>
      </c>
      <c r="AV42" s="2">
        <f>VLOOKUP(D42,坦克类型系数!$AH$9:$AK$12,4,FALSE)</f>
        <v>110</v>
      </c>
      <c r="AW42" s="143">
        <f>VLOOKUP($B42,坦克类型系数!$B$3:$AF$33,MATCH(AW$18,坦克类型系数!$B$3:$AF$3,0),FALSE)</f>
        <v>0</v>
      </c>
      <c r="AX42" s="143">
        <f>VLOOKUP($B42,坦克类型系数!$B$3:$AF$33,MATCH(AX$18,坦克类型系数!$B$3:$AF$3,0),FALSE)</f>
        <v>2.65</v>
      </c>
      <c r="AY42" s="143">
        <f>VLOOKUP($B42,坦克类型系数!$B$3:$AF$33,MATCH(AY$18,坦克类型系数!$B$3:$AF$3,0),FALSE)</f>
        <v>2.1</v>
      </c>
      <c r="AZ42" s="143">
        <f>VLOOKUP($B42,坦克类型系数!$B$3:$AF$33,MATCH(AZ$18,坦克类型系数!$B$3:$AF$3,0),FALSE)</f>
        <v>1.55</v>
      </c>
      <c r="BA42" s="143">
        <f>VLOOKUP($B42,坦克类型系数!$B$3:$AF$33,MATCH(BA$18,坦克类型系数!$B$3:$AF$3,0),FALSE)</f>
        <v>1.5</v>
      </c>
      <c r="BB42" s="143">
        <f>VLOOKUP($B42,坦克类型系数!$B$3:$AF$33,MATCH(BB$18,坦克类型系数!$B$3:$AF$3,0),FALSE)</f>
        <v>1.26</v>
      </c>
      <c r="BC42" s="143">
        <f>VLOOKUP($B42,坦克类型系数!$B$3:$AF$33,MATCH(BC$18,坦克类型系数!$B$3:$AF$3,0),FALSE)</f>
        <v>0.45</v>
      </c>
    </row>
    <row r="43" spans="2:55" x14ac:dyDescent="0.3">
      <c r="B43" s="2" t="s">
        <v>658</v>
      </c>
      <c r="C43" s="2" t="s">
        <v>1173</v>
      </c>
      <c r="D43" s="29" t="str">
        <f>坦克类型系数!C28</f>
        <v>重坦</v>
      </c>
      <c r="E43" s="21" t="s">
        <v>619</v>
      </c>
      <c r="F43" s="21" t="s">
        <v>88</v>
      </c>
      <c r="G43" s="29">
        <f>坦克类型系数!D28</f>
        <v>6.1</v>
      </c>
      <c r="H43" s="29">
        <f>坦克类型系数!E28</f>
        <v>3.48</v>
      </c>
      <c r="I43" s="29">
        <f>坦克类型系数!F28</f>
        <v>7.02</v>
      </c>
      <c r="J43" s="21">
        <v>1</v>
      </c>
      <c r="K43" s="151">
        <f>SQRT(I43/VLOOKUP(D43,坦克类型系数!$AH$3:$AK$6,4,FALSE))*J43</f>
        <v>0.96554177347987447</v>
      </c>
      <c r="L43" s="21" t="s">
        <v>1161</v>
      </c>
      <c r="M43" s="29">
        <f>VLOOKUP(D43,坦克类型系数!$AH$15:$AK$18,4,FALSE)</f>
        <v>0.62</v>
      </c>
      <c r="N43" s="21">
        <v>1.1000000000000001</v>
      </c>
      <c r="O43" s="2">
        <f t="shared" si="6"/>
        <v>0.68</v>
      </c>
      <c r="P43" s="34">
        <f t="shared" si="8"/>
        <v>1.0967741935483872</v>
      </c>
      <c r="Q43" s="34">
        <f t="shared" si="3"/>
        <v>1</v>
      </c>
      <c r="R43" s="151">
        <f t="shared" si="7"/>
        <v>1.0967741935483872</v>
      </c>
      <c r="S43" s="2">
        <f>VLOOKUP(F43,坦克类型系数!$AQ$3:$AX$10,MATCH("瞄准速度",坦克类型系数!$AQ$3:$AX$3,0),FALSE)</f>
        <v>1</v>
      </c>
      <c r="T43" s="21">
        <v>1</v>
      </c>
      <c r="U43" s="2">
        <f>(VLOOKUP(F43,坦克类型系数!$AM$3:$AO$10,MATCH("射击间隔max",坦克类型系数!$AM$3:$AO$3,0),FALSE)-VLOOKUP(F43,坦克类型系数!$AM$3:$AO$10,MATCH("射击间隔min",坦克类型系数!$AM$3:$AO$3,0),FALSE))*T43+VLOOKUP(F43,坦克类型系数!$AM$3:$AO$10,MATCH("射击间隔min",坦克类型系数!$AM$3:$AO$3,0),FALSE)</f>
        <v>0</v>
      </c>
      <c r="V43" s="151">
        <f>(U43-VLOOKUP(F43,标准坦克设计!$B$13:$K$20,MATCH("射击间隔",标准坦克设计!$B$13:$K$13,0),FALSE))/0.1*VLOOKUP($B$15,$B$3:$J$15,MATCH(F43,$B$3:$J$3,0),FALSE)+1</f>
        <v>1</v>
      </c>
      <c r="W43" s="2">
        <f>VLOOKUP(D43,坦克类型系数!$BI$3:$BK$6,2,FALSE)</f>
        <v>0.5</v>
      </c>
      <c r="X43" s="34">
        <f>VLOOKUP(D43,坦克类型系数!$BI$3:$BK$6,3,FALSE)</f>
        <v>1.3421103201592517</v>
      </c>
      <c r="Y43" s="21">
        <v>5</v>
      </c>
      <c r="Z43" s="21">
        <v>0.8</v>
      </c>
      <c r="AA43" s="34">
        <f>VLOOKUP(D43,坦克类型系数!$CQ$9:$CY$12,2,FALSE)*$M$4*Z43</f>
        <v>7.669995017484621</v>
      </c>
      <c r="AB43" s="34">
        <f>VLOOKUP(D43,坦克类型系数!$CQ$9:$CY$12,6,FALSE)*$M$4*Z43</f>
        <v>30.679980069938484</v>
      </c>
      <c r="AC43" s="34">
        <f>VLOOKUP(D43,坦克类型系数!$CQ$3:$CY$6,9,FALSE)</f>
        <v>47.93746885927888</v>
      </c>
      <c r="AD43" s="2">
        <f>VLOOKUP(F43,坦克类型系数!$BM$3:$BV$10,6,FALSE)</f>
        <v>3.1</v>
      </c>
      <c r="AE43" s="41">
        <f t="shared" si="4"/>
        <v>1.25</v>
      </c>
      <c r="AF43" s="34">
        <f>VLOOKUP(D43,坦克类型系数!$DE$3:$DH$6,3,FALSE)*AE43</f>
        <v>35</v>
      </c>
      <c r="AG43" s="21">
        <v>0.9</v>
      </c>
      <c r="AH43" s="151">
        <f t="shared" si="5"/>
        <v>1</v>
      </c>
      <c r="AI43" s="2">
        <f>VLOOKUP(D43,坦克类型系数!$BZ$21:$CF$24,2,FALSE)*AG43</f>
        <v>6.3</v>
      </c>
      <c r="AJ43" s="34">
        <f>VLOOKUP(D43,坦克类型系数!$BZ$21:$CF$24,5,FALSE)*AG43</f>
        <v>6.3</v>
      </c>
      <c r="AK43" s="34">
        <f>VLOOKUP(D43,坦克类型系数!$BZ$21:$CF$24,4,FALSE)</f>
        <v>3.8888888888888888</v>
      </c>
      <c r="AL43" s="34">
        <f>VLOOKUP(D43,坦克类型系数!$BZ$21:$CF$24,7,FALSE)</f>
        <v>2</v>
      </c>
      <c r="AM43" s="34">
        <f>VLOOKUP(D43,坦克类型系数!$CH$21:$CN$24,4,FALSE)</f>
        <v>10.769230769230768</v>
      </c>
      <c r="AN43" s="34">
        <f>VLOOKUP(D43,坦克类型系数!$CH$21:$CN$24,7,FALSE)</f>
        <v>17.5</v>
      </c>
      <c r="AO43" s="2">
        <f>VLOOKUP(F43,坦克类型系数!$BM$13:$BV$20,6,FALSE)</f>
        <v>1.24</v>
      </c>
      <c r="AP43" s="143">
        <f>基础属性系数!$C$56</f>
        <v>0.2</v>
      </c>
      <c r="AQ43" s="143">
        <f>基础属性系数!$C$55</f>
        <v>0.3</v>
      </c>
      <c r="AR43" s="2">
        <f>VLOOKUP(D43,坦克类型系数!$DE$9:$DH$12,2,FALSE)</f>
        <v>0.8</v>
      </c>
      <c r="AS43" s="2">
        <f>VLOOKUP(D43,坦克类型系数!$DE$9:$DH$12,3,FALSE)</f>
        <v>0.8</v>
      </c>
      <c r="AT43" s="2">
        <f>VLOOKUP(D43,坦克类型系数!$DE$9:$DH$12,4,FALSE)</f>
        <v>0.8</v>
      </c>
      <c r="AU43" s="2">
        <f>VLOOKUP(D43,坦克类型系数!$AH$9:$AK$12,3,FALSE)</f>
        <v>70</v>
      </c>
      <c r="AV43" s="2">
        <f>VLOOKUP(D43,坦克类型系数!$AH$9:$AK$12,4,FALSE)</f>
        <v>110</v>
      </c>
      <c r="AW43" s="143">
        <f>VLOOKUP($B43,坦克类型系数!$B$3:$AF$33,MATCH(AW$18,坦克类型系数!$B$3:$AF$3,0),FALSE)</f>
        <v>0</v>
      </c>
      <c r="AX43" s="143">
        <f>VLOOKUP($B43,坦克类型系数!$B$3:$AF$33,MATCH(AX$18,坦克类型系数!$B$3:$AF$3,0),FALSE)</f>
        <v>2.4</v>
      </c>
      <c r="AY43" s="143">
        <f>VLOOKUP($B43,坦克类型系数!$B$3:$AF$33,MATCH(AY$18,坦克类型系数!$B$3:$AF$3,0),FALSE)</f>
        <v>1.95</v>
      </c>
      <c r="AZ43" s="143">
        <f>VLOOKUP($B43,坦克类型系数!$B$3:$AF$33,MATCH(AZ$18,坦克类型系数!$B$3:$AF$3,0),FALSE)</f>
        <v>1.45</v>
      </c>
      <c r="BA43" s="143">
        <f>VLOOKUP($B43,坦克类型系数!$B$3:$AF$33,MATCH(BA$18,坦克类型系数!$B$3:$AF$3,0),FALSE)</f>
        <v>1.4</v>
      </c>
      <c r="BB43" s="143">
        <f>VLOOKUP($B43,坦克类型系数!$B$3:$AF$33,MATCH(BB$18,坦克类型系数!$B$3:$AF$3,0),FALSE)</f>
        <v>1.26</v>
      </c>
      <c r="BC43" s="143">
        <f>VLOOKUP($B43,坦克类型系数!$B$3:$AF$33,MATCH(BC$18,坦克类型系数!$B$3:$AF$3,0),FALSE)</f>
        <v>0.35</v>
      </c>
    </row>
    <row r="44" spans="2:55" x14ac:dyDescent="0.3">
      <c r="B44" s="2" t="s">
        <v>660</v>
      </c>
      <c r="C44" s="2" t="s">
        <v>1174</v>
      </c>
      <c r="D44" s="29" t="str">
        <f>坦克类型系数!C29</f>
        <v>重坦</v>
      </c>
      <c r="E44" s="21" t="s">
        <v>619</v>
      </c>
      <c r="F44" s="21" t="s">
        <v>87</v>
      </c>
      <c r="G44" s="29">
        <f>坦克类型系数!D29</f>
        <v>6.54</v>
      </c>
      <c r="H44" s="29">
        <f>坦克类型系数!E29</f>
        <v>3.23</v>
      </c>
      <c r="I44" s="29">
        <f>坦克类型系数!F29</f>
        <v>7.29</v>
      </c>
      <c r="J44" s="21">
        <v>1</v>
      </c>
      <c r="K44" s="151">
        <f>SQRT(I44/VLOOKUP(D44,坦克类型系数!$AH$3:$AK$6,4,FALSE))*J44</f>
        <v>0.9839346980566549</v>
      </c>
      <c r="L44" s="21" t="s">
        <v>1161</v>
      </c>
      <c r="M44" s="29">
        <f>VLOOKUP(D44,坦克类型系数!$AH$15:$AK$18,4,FALSE)</f>
        <v>0.62</v>
      </c>
      <c r="N44" s="21">
        <v>1.3</v>
      </c>
      <c r="O44" s="2">
        <f t="shared" si="6"/>
        <v>0.81</v>
      </c>
      <c r="P44" s="34">
        <f t="shared" si="8"/>
        <v>1.306451612903226</v>
      </c>
      <c r="Q44" s="34">
        <f t="shared" si="3"/>
        <v>0.95720048195295715</v>
      </c>
      <c r="R44" s="151">
        <f t="shared" si="7"/>
        <v>1.2505361135191861</v>
      </c>
      <c r="S44" s="2">
        <f>VLOOKUP(F44,坦克类型系数!$AQ$3:$AX$10,MATCH("瞄准速度",坦克类型系数!$AQ$3:$AX$3,0),FALSE)</f>
        <v>1.2</v>
      </c>
      <c r="T44" s="21">
        <v>1</v>
      </c>
      <c r="U44" s="2">
        <f>(VLOOKUP(F44,坦克类型系数!$AM$3:$AO$10,MATCH("射击间隔max",坦克类型系数!$AM$3:$AO$3,0),FALSE)-VLOOKUP(F44,坦克类型系数!$AM$3:$AO$10,MATCH("射击间隔min",坦克类型系数!$AM$3:$AO$3,0),FALSE))*T44+VLOOKUP(F44,坦克类型系数!$AM$3:$AO$10,MATCH("射击间隔min",坦克类型系数!$AM$3:$AO$3,0),FALSE)</f>
        <v>2</v>
      </c>
      <c r="V44" s="151">
        <f>(U44-VLOOKUP(F44,标准坦克设计!$B$13:$K$20,MATCH("射击间隔",标准坦克设计!$B$13:$K$13,0),FALSE))/0.1*VLOOKUP($B$15,$B$3:$J$15,MATCH(F44,$B$3:$J$3,0),FALSE)+1</f>
        <v>1.0846560846560847</v>
      </c>
      <c r="W44" s="2">
        <f>VLOOKUP(D44,坦克类型系数!$BI$3:$BK$6,2,FALSE)</f>
        <v>0.5</v>
      </c>
      <c r="X44" s="34">
        <f>VLOOKUP(D44,坦克类型系数!$BI$3:$BK$6,3,FALSE)</f>
        <v>1.3421103201592517</v>
      </c>
      <c r="Y44" s="21">
        <v>3</v>
      </c>
      <c r="Z44" s="21">
        <v>1</v>
      </c>
      <c r="AA44" s="34">
        <f>VLOOKUP(D44,坦克类型系数!$CQ$9:$CY$12,2,FALSE)*$M$4*Z44</f>
        <v>9.587493771855776</v>
      </c>
      <c r="AB44" s="34">
        <f>VLOOKUP(D44,坦克类型系数!$CQ$9:$CY$12,6,FALSE)*$M$4*Z44</f>
        <v>38.349975087423104</v>
      </c>
      <c r="AC44" s="34">
        <f>VLOOKUP(D44,坦克类型系数!$CQ$3:$CY$6,9,FALSE)</f>
        <v>47.93746885927888</v>
      </c>
      <c r="AD44" s="2">
        <f>VLOOKUP(F44,坦克类型系数!$BM$3:$BV$10,6,FALSE)</f>
        <v>1.8599999999999999</v>
      </c>
      <c r="AE44" s="41">
        <f t="shared" si="4"/>
        <v>1</v>
      </c>
      <c r="AF44" s="34">
        <f>VLOOKUP(D44,坦克类型系数!$DE$3:$DH$6,3,FALSE)*AE44</f>
        <v>28</v>
      </c>
      <c r="AG44" s="21">
        <v>1</v>
      </c>
      <c r="AH44" s="151">
        <f t="shared" si="5"/>
        <v>1</v>
      </c>
      <c r="AI44" s="2">
        <f>VLOOKUP(D44,坦克类型系数!$BZ$21:$CF$24,2,FALSE)*AG44</f>
        <v>7</v>
      </c>
      <c r="AJ44" s="34">
        <f>VLOOKUP(D44,坦克类型系数!$BZ$21:$CF$24,5,FALSE)*AG44</f>
        <v>7</v>
      </c>
      <c r="AK44" s="34">
        <f>VLOOKUP(D44,坦克类型系数!$BZ$21:$CF$24,4,FALSE)</f>
        <v>3.8888888888888888</v>
      </c>
      <c r="AL44" s="34">
        <f>VLOOKUP(D44,坦克类型系数!$BZ$21:$CF$24,7,FALSE)</f>
        <v>2</v>
      </c>
      <c r="AM44" s="34">
        <f>VLOOKUP(D44,坦克类型系数!$CH$21:$CN$24,4,FALSE)</f>
        <v>10.769230769230768</v>
      </c>
      <c r="AN44" s="34">
        <f>VLOOKUP(D44,坦克类型系数!$CH$21:$CN$24,7,FALSE)</f>
        <v>17.5</v>
      </c>
      <c r="AO44" s="2">
        <f>VLOOKUP(F44,坦克类型系数!$BM$13:$BV$20,6,FALSE)</f>
        <v>0.62</v>
      </c>
      <c r="AP44" s="143">
        <f>基础属性系数!$C$56</f>
        <v>0.2</v>
      </c>
      <c r="AQ44" s="143">
        <f>基础属性系数!$C$55</f>
        <v>0.3</v>
      </c>
      <c r="AR44" s="2">
        <f>VLOOKUP(D44,坦克类型系数!$DE$9:$DH$12,2,FALSE)</f>
        <v>0.8</v>
      </c>
      <c r="AS44" s="2">
        <f>VLOOKUP(D44,坦克类型系数!$DE$9:$DH$12,3,FALSE)</f>
        <v>0.8</v>
      </c>
      <c r="AT44" s="2">
        <f>VLOOKUP(D44,坦克类型系数!$DE$9:$DH$12,4,FALSE)</f>
        <v>0.8</v>
      </c>
      <c r="AU44" s="2">
        <f>VLOOKUP(D44,坦克类型系数!$AH$9:$AK$12,3,FALSE)</f>
        <v>70</v>
      </c>
      <c r="AV44" s="2">
        <f>VLOOKUP(D44,坦克类型系数!$AH$9:$AK$12,4,FALSE)</f>
        <v>110</v>
      </c>
      <c r="AW44" s="143">
        <f>VLOOKUP($B44,坦克类型系数!$B$3:$AF$33,MATCH(AW$18,坦克类型系数!$B$3:$AF$3,0),FALSE)</f>
        <v>0</v>
      </c>
      <c r="AX44" s="143">
        <f>VLOOKUP($B44,坦克类型系数!$B$3:$AF$33,MATCH(AX$18,坦克类型系数!$B$3:$AF$3,0),FALSE)</f>
        <v>2.5</v>
      </c>
      <c r="AY44" s="143">
        <f>VLOOKUP($B44,坦克类型系数!$B$3:$AF$33,MATCH(AY$18,坦克类型系数!$B$3:$AF$3,0),FALSE)</f>
        <v>2</v>
      </c>
      <c r="AZ44" s="143">
        <f>VLOOKUP($B44,坦克类型系数!$B$3:$AF$33,MATCH(AZ$18,坦克类型系数!$B$3:$AF$3,0),FALSE)</f>
        <v>1.5</v>
      </c>
      <c r="BA44" s="143">
        <f>VLOOKUP($B44,坦克类型系数!$B$3:$AF$33,MATCH(BA$18,坦克类型系数!$B$3:$AF$3,0),FALSE)</f>
        <v>1.5</v>
      </c>
      <c r="BB44" s="143">
        <f>VLOOKUP($B44,坦克类型系数!$B$3:$AF$33,MATCH(BB$18,坦克类型系数!$B$3:$AF$3,0),FALSE)</f>
        <v>1.26</v>
      </c>
      <c r="BC44" s="143">
        <f>VLOOKUP($B44,坦克类型系数!$B$3:$AF$33,MATCH(BC$18,坦克类型系数!$B$3:$AF$3,0),FALSE)</f>
        <v>0.4</v>
      </c>
    </row>
    <row r="45" spans="2:55" x14ac:dyDescent="0.3">
      <c r="B45" s="2" t="s">
        <v>662</v>
      </c>
      <c r="C45" s="2" t="s">
        <v>1175</v>
      </c>
      <c r="D45" s="29" t="str">
        <f>坦克类型系数!C30</f>
        <v>重坦</v>
      </c>
      <c r="E45" s="21" t="s">
        <v>626</v>
      </c>
      <c r="F45" s="21" t="s">
        <v>88</v>
      </c>
      <c r="G45" s="29">
        <f>坦克类型系数!D30</f>
        <v>7.74</v>
      </c>
      <c r="H45" s="29">
        <f>坦克类型系数!E30</f>
        <v>4.0199999999999996</v>
      </c>
      <c r="I45" s="29">
        <f>坦克类型系数!F30</f>
        <v>8.7200000000000006</v>
      </c>
      <c r="J45" s="21">
        <v>1</v>
      </c>
      <c r="K45" s="151">
        <f>SQRT(I45/VLOOKUP(D45,坦克类型系数!$AH$3:$AK$6,4,FALSE))*J45</f>
        <v>1.0761201273800509</v>
      </c>
      <c r="L45" s="21" t="s">
        <v>1161</v>
      </c>
      <c r="M45" s="29">
        <f>VLOOKUP(D45,坦克类型系数!$AH$15:$AK$18,4,FALSE)</f>
        <v>0.62</v>
      </c>
      <c r="N45" s="21">
        <v>1.05</v>
      </c>
      <c r="O45" s="2">
        <f t="shared" si="6"/>
        <v>0.65</v>
      </c>
      <c r="P45" s="34">
        <f t="shared" si="8"/>
        <v>1.0483870967741935</v>
      </c>
      <c r="Q45" s="34">
        <f t="shared" si="3"/>
        <v>1</v>
      </c>
      <c r="R45" s="151">
        <f t="shared" si="7"/>
        <v>1.0483870967741935</v>
      </c>
      <c r="S45" s="2">
        <f>VLOOKUP(F45,坦克类型系数!$AQ$3:$AX$10,MATCH("瞄准速度",坦克类型系数!$AQ$3:$AX$3,0),FALSE)</f>
        <v>1</v>
      </c>
      <c r="T45" s="21">
        <v>1</v>
      </c>
      <c r="U45" s="2">
        <f>(VLOOKUP(F45,坦克类型系数!$AM$3:$AO$10,MATCH("射击间隔max",坦克类型系数!$AM$3:$AO$3,0),FALSE)-VLOOKUP(F45,坦克类型系数!$AM$3:$AO$10,MATCH("射击间隔min",坦克类型系数!$AM$3:$AO$3,0),FALSE))*T45+VLOOKUP(F45,坦克类型系数!$AM$3:$AO$10,MATCH("射击间隔min",坦克类型系数!$AM$3:$AO$3,0),FALSE)</f>
        <v>0</v>
      </c>
      <c r="V45" s="151">
        <f>(U45-VLOOKUP(F45,标准坦克设计!$B$13:$K$20,MATCH("射击间隔",标准坦克设计!$B$13:$K$13,0),FALSE))/0.1*VLOOKUP($B$15,$B$3:$J$15,MATCH(F45,$B$3:$J$3,0),FALSE)+1</f>
        <v>1</v>
      </c>
      <c r="W45" s="2">
        <f>VLOOKUP(D45,坦克类型系数!$BI$3:$BK$6,2,FALSE)</f>
        <v>0.5</v>
      </c>
      <c r="X45" s="34">
        <f>VLOOKUP(D45,坦克类型系数!$BI$3:$BK$6,3,FALSE)</f>
        <v>1.3421103201592517</v>
      </c>
      <c r="Y45" s="21">
        <v>5</v>
      </c>
      <c r="Z45" s="21">
        <v>0.8</v>
      </c>
      <c r="AA45" s="34">
        <f>VLOOKUP(D45,坦克类型系数!$CQ$9:$CY$12,2,FALSE)*$M$4*Z45</f>
        <v>7.669995017484621</v>
      </c>
      <c r="AB45" s="34">
        <f>VLOOKUP(D45,坦克类型系数!$CQ$9:$CY$12,6,FALSE)*$M$4*Z45</f>
        <v>30.679980069938484</v>
      </c>
      <c r="AC45" s="34">
        <f>VLOOKUP(D45,坦克类型系数!$CQ$3:$CY$6,9,FALSE)</f>
        <v>47.93746885927888</v>
      </c>
      <c r="AD45" s="2">
        <f>VLOOKUP(F45,坦克类型系数!$BM$3:$BV$10,6,FALSE)</f>
        <v>3.1</v>
      </c>
      <c r="AE45" s="41">
        <f t="shared" si="4"/>
        <v>1.25</v>
      </c>
      <c r="AF45" s="34">
        <f>VLOOKUP(D45,坦克类型系数!$DE$3:$DH$6,3,FALSE)*AE45</f>
        <v>35</v>
      </c>
      <c r="AG45" s="21">
        <v>0.9</v>
      </c>
      <c r="AH45" s="151">
        <f t="shared" si="5"/>
        <v>1</v>
      </c>
      <c r="AI45" s="2">
        <f>VLOOKUP(D45,坦克类型系数!$BZ$21:$CF$24,2,FALSE)*AG45</f>
        <v>6.3</v>
      </c>
      <c r="AJ45" s="34">
        <f>VLOOKUP(D45,坦克类型系数!$BZ$21:$CF$24,5,FALSE)*AG45</f>
        <v>6.3</v>
      </c>
      <c r="AK45" s="34">
        <f>VLOOKUP(D45,坦克类型系数!$BZ$21:$CF$24,4,FALSE)</f>
        <v>3.8888888888888888</v>
      </c>
      <c r="AL45" s="34">
        <f>VLOOKUP(D45,坦克类型系数!$BZ$21:$CF$24,7,FALSE)</f>
        <v>2</v>
      </c>
      <c r="AM45" s="34">
        <f>VLOOKUP(D45,坦克类型系数!$CH$21:$CN$24,4,FALSE)</f>
        <v>10.769230769230768</v>
      </c>
      <c r="AN45" s="34">
        <f>VLOOKUP(D45,坦克类型系数!$CH$21:$CN$24,7,FALSE)</f>
        <v>17.5</v>
      </c>
      <c r="AO45" s="2">
        <f>VLOOKUP(F45,坦克类型系数!$BM$13:$BV$20,6,FALSE)</f>
        <v>1.24</v>
      </c>
      <c r="AP45" s="143">
        <f>基础属性系数!$C$56</f>
        <v>0.2</v>
      </c>
      <c r="AQ45" s="143">
        <f>基础属性系数!$C$55</f>
        <v>0.3</v>
      </c>
      <c r="AR45" s="2">
        <f>VLOOKUP(D45,坦克类型系数!$DE$9:$DH$12,2,FALSE)</f>
        <v>0.8</v>
      </c>
      <c r="AS45" s="2">
        <f>VLOOKUP(D45,坦克类型系数!$DE$9:$DH$12,3,FALSE)</f>
        <v>0.8</v>
      </c>
      <c r="AT45" s="2">
        <f>VLOOKUP(D45,坦克类型系数!$DE$9:$DH$12,4,FALSE)</f>
        <v>0.8</v>
      </c>
      <c r="AU45" s="2">
        <f>VLOOKUP(D45,坦克类型系数!$AH$9:$AK$12,3,FALSE)</f>
        <v>70</v>
      </c>
      <c r="AV45" s="2">
        <f>VLOOKUP(D45,坦克类型系数!$AH$9:$AK$12,4,FALSE)</f>
        <v>110</v>
      </c>
      <c r="AW45" s="143">
        <f>VLOOKUP($B45,坦克类型系数!$B$3:$AF$33,MATCH(AW$18,坦克类型系数!$B$3:$AF$3,0),FALSE)</f>
        <v>0</v>
      </c>
      <c r="AX45" s="143">
        <f>VLOOKUP($B45,坦克类型系数!$B$3:$AF$33,MATCH(AX$18,坦克类型系数!$B$3:$AF$3,0),FALSE)</f>
        <v>2.4500000000000002</v>
      </c>
      <c r="AY45" s="143">
        <f>VLOOKUP($B45,坦克类型系数!$B$3:$AF$33,MATCH(AY$18,坦克类型系数!$B$3:$AF$3,0),FALSE)</f>
        <v>2</v>
      </c>
      <c r="AZ45" s="143">
        <f>VLOOKUP($B45,坦克类型系数!$B$3:$AF$33,MATCH(AZ$18,坦克类型系数!$B$3:$AF$3,0),FALSE)</f>
        <v>1.4</v>
      </c>
      <c r="BA45" s="143">
        <f>VLOOKUP($B45,坦克类型系数!$B$3:$AF$33,MATCH(BA$18,坦克类型系数!$B$3:$AF$3,0),FALSE)</f>
        <v>1.4</v>
      </c>
      <c r="BB45" s="143">
        <f>VLOOKUP($B45,坦克类型系数!$B$3:$AF$33,MATCH(BB$18,坦克类型系数!$B$3:$AF$3,0),FALSE)</f>
        <v>1.26</v>
      </c>
      <c r="BC45" s="143">
        <f>VLOOKUP($B45,坦克类型系数!$B$3:$AF$33,MATCH(BC$18,坦克类型系数!$B$3:$AF$3,0),FALSE)</f>
        <v>0.4</v>
      </c>
    </row>
    <row r="46" spans="2:55" x14ac:dyDescent="0.3">
      <c r="B46" s="2" t="s">
        <v>664</v>
      </c>
      <c r="C46" s="2" t="s">
        <v>1176</v>
      </c>
      <c r="D46" s="29" t="str">
        <f>坦克类型系数!C31</f>
        <v>重坦</v>
      </c>
      <c r="E46" s="21" t="s">
        <v>626</v>
      </c>
      <c r="F46" s="21" t="s">
        <v>87</v>
      </c>
      <c r="G46" s="29">
        <f>坦克类型系数!D31</f>
        <v>6.6</v>
      </c>
      <c r="H46" s="29">
        <f>坦克类型系数!E31</f>
        <v>3.35</v>
      </c>
      <c r="I46" s="29">
        <f>坦克类型系数!F31</f>
        <v>7.4</v>
      </c>
      <c r="J46" s="21">
        <v>1</v>
      </c>
      <c r="K46" s="151">
        <f>SQRT(I46/VLOOKUP(D46,坦克类型系数!$AH$3:$AK$6,4,FALSE))*J46</f>
        <v>0.99133027986215594</v>
      </c>
      <c r="L46" s="21" t="s">
        <v>1161</v>
      </c>
      <c r="M46" s="29">
        <f>VLOOKUP(D46,坦克类型系数!$AH$15:$AK$18,4,FALSE)</f>
        <v>0.62</v>
      </c>
      <c r="N46" s="21">
        <v>1.05</v>
      </c>
      <c r="O46" s="2">
        <f t="shared" si="6"/>
        <v>0.65</v>
      </c>
      <c r="P46" s="34">
        <f t="shared" si="8"/>
        <v>1.0483870967741935</v>
      </c>
      <c r="Q46" s="34">
        <f t="shared" si="3"/>
        <v>0.99324218136099318</v>
      </c>
      <c r="R46" s="151">
        <f t="shared" si="7"/>
        <v>1.0413022869107187</v>
      </c>
      <c r="S46" s="2">
        <f>VLOOKUP(F46,坦克类型系数!$AQ$3:$AX$10,MATCH("瞄准速度",坦克类型系数!$AQ$3:$AX$3,0),FALSE)</f>
        <v>1.2</v>
      </c>
      <c r="T46" s="21">
        <v>1</v>
      </c>
      <c r="U46" s="2">
        <f>(VLOOKUP(F46,坦克类型系数!$AM$3:$AO$10,MATCH("射击间隔max",坦克类型系数!$AM$3:$AO$3,0),FALSE)-VLOOKUP(F46,坦克类型系数!$AM$3:$AO$10,MATCH("射击间隔min",坦克类型系数!$AM$3:$AO$3,0),FALSE))*T46+VLOOKUP(F46,坦克类型系数!$AM$3:$AO$10,MATCH("射击间隔min",坦克类型系数!$AM$3:$AO$3,0),FALSE)</f>
        <v>2</v>
      </c>
      <c r="V46" s="151">
        <f>(U46-VLOOKUP(F46,标准坦克设计!$B$13:$K$20,MATCH("射击间隔",标准坦克设计!$B$13:$K$13,0),FALSE))/0.1*VLOOKUP($B$15,$B$3:$J$15,MATCH(F46,$B$3:$J$3,0),FALSE)+1</f>
        <v>1.0846560846560847</v>
      </c>
      <c r="W46" s="2">
        <f>VLOOKUP(D46,坦克类型系数!$BI$3:$BK$6,2,FALSE)</f>
        <v>0.5</v>
      </c>
      <c r="X46" s="34">
        <f>VLOOKUP(D46,坦克类型系数!$BI$3:$BK$6,3,FALSE)</f>
        <v>1.3421103201592517</v>
      </c>
      <c r="Y46" s="21">
        <v>3</v>
      </c>
      <c r="Z46" s="21">
        <v>0.8</v>
      </c>
      <c r="AA46" s="34">
        <f>VLOOKUP(D46,坦克类型系数!$CQ$9:$CY$12,2,FALSE)*$M$4*Z46</f>
        <v>7.669995017484621</v>
      </c>
      <c r="AB46" s="34">
        <f>VLOOKUP(D46,坦克类型系数!$CQ$9:$CY$12,6,FALSE)*$M$4*Z46</f>
        <v>30.679980069938484</v>
      </c>
      <c r="AC46" s="34">
        <f>VLOOKUP(D46,坦克类型系数!$CQ$3:$CY$6,9,FALSE)</f>
        <v>47.93746885927888</v>
      </c>
      <c r="AD46" s="2">
        <f>VLOOKUP(F46,坦克类型系数!$BM$3:$BV$10,6,FALSE)</f>
        <v>1.8599999999999999</v>
      </c>
      <c r="AE46" s="41">
        <f t="shared" si="4"/>
        <v>1.25</v>
      </c>
      <c r="AF46" s="34">
        <f>VLOOKUP(D46,坦克类型系数!$DE$3:$DH$6,3,FALSE)*AE46</f>
        <v>35</v>
      </c>
      <c r="AG46" s="21">
        <v>0.9</v>
      </c>
      <c r="AH46" s="151">
        <f t="shared" si="5"/>
        <v>1.0173619251422299</v>
      </c>
      <c r="AI46" s="2">
        <f>VLOOKUP(D46,坦克类型系数!$BZ$21:$CF$24,2,FALSE)*AG46</f>
        <v>6.3</v>
      </c>
      <c r="AJ46" s="34">
        <f>VLOOKUP(D46,坦克类型系数!$BZ$21:$CF$24,5,FALSE)*AG46</f>
        <v>6.3</v>
      </c>
      <c r="AK46" s="34">
        <f>VLOOKUP(D46,坦克类型系数!$BZ$21:$CF$24,4,FALSE)</f>
        <v>3.8888888888888888</v>
      </c>
      <c r="AL46" s="34">
        <f>VLOOKUP(D46,坦克类型系数!$BZ$21:$CF$24,7,FALSE)</f>
        <v>2</v>
      </c>
      <c r="AM46" s="34">
        <f>VLOOKUP(D46,坦克类型系数!$CH$21:$CN$24,4,FALSE)</f>
        <v>10.769230769230768</v>
      </c>
      <c r="AN46" s="34">
        <f>VLOOKUP(D46,坦克类型系数!$CH$21:$CN$24,7,FALSE)</f>
        <v>17.5</v>
      </c>
      <c r="AO46" s="2">
        <f>VLOOKUP(F46,坦克类型系数!$BM$13:$BV$20,6,FALSE)</f>
        <v>0.62</v>
      </c>
      <c r="AP46" s="143">
        <f>基础属性系数!$C$56</f>
        <v>0.2</v>
      </c>
      <c r="AQ46" s="143">
        <f>基础属性系数!$C$55</f>
        <v>0.3</v>
      </c>
      <c r="AR46" s="2">
        <f>VLOOKUP(D46,坦克类型系数!$DE$9:$DH$12,2,FALSE)</f>
        <v>0.8</v>
      </c>
      <c r="AS46" s="2">
        <f>VLOOKUP(D46,坦克类型系数!$DE$9:$DH$12,3,FALSE)</f>
        <v>0.8</v>
      </c>
      <c r="AT46" s="2">
        <f>VLOOKUP(D46,坦克类型系数!$DE$9:$DH$12,4,FALSE)</f>
        <v>0.8</v>
      </c>
      <c r="AU46" s="2">
        <f>VLOOKUP(D46,坦克类型系数!$AH$9:$AK$12,3,FALSE)</f>
        <v>70</v>
      </c>
      <c r="AV46" s="2">
        <f>VLOOKUP(D46,坦克类型系数!$AH$9:$AK$12,4,FALSE)</f>
        <v>110</v>
      </c>
      <c r="AW46" s="143">
        <f>VLOOKUP($B46,坦克类型系数!$B$3:$AF$33,MATCH(AW$18,坦克类型系数!$B$3:$AF$3,0),FALSE)</f>
        <v>0</v>
      </c>
      <c r="AX46" s="143">
        <f>VLOOKUP($B46,坦克类型系数!$B$3:$AF$33,MATCH(AX$18,坦克类型系数!$B$3:$AF$3,0),FALSE)</f>
        <v>2.4</v>
      </c>
      <c r="AY46" s="143">
        <f>VLOOKUP($B46,坦克类型系数!$B$3:$AF$33,MATCH(AY$18,坦克类型系数!$B$3:$AF$3,0),FALSE)</f>
        <v>1.95</v>
      </c>
      <c r="AZ46" s="143">
        <f>VLOOKUP($B46,坦克类型系数!$B$3:$AF$33,MATCH(AZ$18,坦克类型系数!$B$3:$AF$3,0),FALSE)</f>
        <v>1.45</v>
      </c>
      <c r="BA46" s="143">
        <f>VLOOKUP($B46,坦克类型系数!$B$3:$AF$33,MATCH(BA$18,坦克类型系数!$B$3:$AF$3,0),FALSE)</f>
        <v>1.4</v>
      </c>
      <c r="BB46" s="143">
        <f>VLOOKUP($B46,坦克类型系数!$B$3:$AF$33,MATCH(BB$18,坦克类型系数!$B$3:$AF$3,0),FALSE)</f>
        <v>1.17</v>
      </c>
      <c r="BC46" s="143">
        <f>VLOOKUP($B46,坦克类型系数!$B$3:$AF$33,MATCH(BC$18,坦克类型系数!$B$3:$AF$3,0),FALSE)</f>
        <v>0.4</v>
      </c>
    </row>
    <row r="47" spans="2:55" x14ac:dyDescent="0.3">
      <c r="B47" s="2" t="s">
        <v>666</v>
      </c>
      <c r="C47" s="2" t="s">
        <v>1177</v>
      </c>
      <c r="D47" s="29" t="str">
        <f>坦克类型系数!C32</f>
        <v>重坦</v>
      </c>
      <c r="E47" s="21" t="s">
        <v>626</v>
      </c>
      <c r="F47" s="21" t="s">
        <v>88</v>
      </c>
      <c r="G47" s="29">
        <f>坦克类型系数!D32</f>
        <v>6</v>
      </c>
      <c r="H47" s="29">
        <f>坦克类型系数!E32</f>
        <v>2.85</v>
      </c>
      <c r="I47" s="29">
        <f>坦克类型系数!F32</f>
        <v>6.64</v>
      </c>
      <c r="J47" s="21">
        <v>1</v>
      </c>
      <c r="K47" s="151">
        <f>SQRT(I47/VLOOKUP(D47,坦克类型系数!$AH$3:$AK$6,4,FALSE))*J47</f>
        <v>0.93904531780832723</v>
      </c>
      <c r="L47" s="21" t="s">
        <v>1161</v>
      </c>
      <c r="M47" s="29">
        <f>VLOOKUP(D47,坦克类型系数!$AH$15:$AK$18,4,FALSE)</f>
        <v>0.62</v>
      </c>
      <c r="N47" s="21">
        <v>1</v>
      </c>
      <c r="O47" s="2">
        <f t="shared" si="6"/>
        <v>0.62</v>
      </c>
      <c r="P47" s="34">
        <f t="shared" si="8"/>
        <v>1</v>
      </c>
      <c r="Q47" s="34">
        <f t="shared" si="3"/>
        <v>1</v>
      </c>
      <c r="R47" s="151">
        <f t="shared" si="7"/>
        <v>1</v>
      </c>
      <c r="S47" s="2">
        <f>VLOOKUP(F47,坦克类型系数!$AQ$3:$AX$10,MATCH("瞄准速度",坦克类型系数!$AQ$3:$AX$3,0),FALSE)</f>
        <v>1</v>
      </c>
      <c r="T47" s="21">
        <v>1</v>
      </c>
      <c r="U47" s="2">
        <f>(VLOOKUP(F47,坦克类型系数!$AM$3:$AO$10,MATCH("射击间隔max",坦克类型系数!$AM$3:$AO$3,0),FALSE)-VLOOKUP(F47,坦克类型系数!$AM$3:$AO$10,MATCH("射击间隔min",坦克类型系数!$AM$3:$AO$3,0),FALSE))*T47+VLOOKUP(F47,坦克类型系数!$AM$3:$AO$10,MATCH("射击间隔min",坦克类型系数!$AM$3:$AO$3,0),FALSE)</f>
        <v>0</v>
      </c>
      <c r="V47" s="151">
        <f>(U47-VLOOKUP(F47,标准坦克设计!$B$13:$K$20,MATCH("射击间隔",标准坦克设计!$B$13:$K$13,0),FALSE))/0.1*VLOOKUP($B$15,$B$3:$J$15,MATCH(F47,$B$3:$J$3,0),FALSE)+1</f>
        <v>1</v>
      </c>
      <c r="W47" s="2">
        <f>VLOOKUP(D47,坦克类型系数!$BI$3:$BK$6,2,FALSE)</f>
        <v>0.5</v>
      </c>
      <c r="X47" s="34">
        <f>VLOOKUP(D47,坦克类型系数!$BI$3:$BK$6,3,FALSE)</f>
        <v>1.3421103201592517</v>
      </c>
      <c r="Y47" s="21">
        <v>5</v>
      </c>
      <c r="Z47" s="21">
        <v>0.8</v>
      </c>
      <c r="AA47" s="34">
        <f>VLOOKUP(D47,坦克类型系数!$CQ$9:$CY$12,2,FALSE)*$M$4*Z47</f>
        <v>7.669995017484621</v>
      </c>
      <c r="AB47" s="34">
        <f>VLOOKUP(D47,坦克类型系数!$CQ$9:$CY$12,6,FALSE)*$M$4*Z47</f>
        <v>30.679980069938484</v>
      </c>
      <c r="AC47" s="34">
        <f>VLOOKUP(D47,坦克类型系数!$CQ$3:$CY$6,9,FALSE)</f>
        <v>47.93746885927888</v>
      </c>
      <c r="AD47" s="2">
        <f>VLOOKUP(F47,坦克类型系数!$BM$3:$BV$10,6,FALSE)</f>
        <v>3.1</v>
      </c>
      <c r="AE47" s="41">
        <f t="shared" si="4"/>
        <v>1.25</v>
      </c>
      <c r="AF47" s="34">
        <f>VLOOKUP(D47,坦克类型系数!$DE$3:$DH$6,3,FALSE)*AE47</f>
        <v>35</v>
      </c>
      <c r="AG47" s="21">
        <v>0.9</v>
      </c>
      <c r="AH47" s="151">
        <f t="shared" si="5"/>
        <v>1</v>
      </c>
      <c r="AI47" s="2">
        <f>VLOOKUP(D47,坦克类型系数!$BZ$21:$CF$24,2,FALSE)*AG47</f>
        <v>6.3</v>
      </c>
      <c r="AJ47" s="34">
        <f>VLOOKUP(D47,坦克类型系数!$BZ$21:$CF$24,5,FALSE)*AG47</f>
        <v>6.3</v>
      </c>
      <c r="AK47" s="34">
        <f>VLOOKUP(D47,坦克类型系数!$BZ$21:$CF$24,4,FALSE)</f>
        <v>3.8888888888888888</v>
      </c>
      <c r="AL47" s="34">
        <f>VLOOKUP(D47,坦克类型系数!$BZ$21:$CF$24,7,FALSE)</f>
        <v>2</v>
      </c>
      <c r="AM47" s="34">
        <f>VLOOKUP(D47,坦克类型系数!$CH$21:$CN$24,4,FALSE)</f>
        <v>10.769230769230768</v>
      </c>
      <c r="AN47" s="34">
        <f>VLOOKUP(D47,坦克类型系数!$CH$21:$CN$24,7,FALSE)</f>
        <v>17.5</v>
      </c>
      <c r="AO47" s="2">
        <f>VLOOKUP(F47,坦克类型系数!$BM$13:$BV$20,6,FALSE)</f>
        <v>1.24</v>
      </c>
      <c r="AP47" s="143">
        <f>基础属性系数!$C$56</f>
        <v>0.2</v>
      </c>
      <c r="AQ47" s="143">
        <f>基础属性系数!$C$55</f>
        <v>0.3</v>
      </c>
      <c r="AR47" s="2">
        <f>VLOOKUP(D47,坦克类型系数!$DE$9:$DH$12,2,FALSE)</f>
        <v>0.8</v>
      </c>
      <c r="AS47" s="2">
        <f>VLOOKUP(D47,坦克类型系数!$DE$9:$DH$12,3,FALSE)</f>
        <v>0.8</v>
      </c>
      <c r="AT47" s="2">
        <f>VLOOKUP(D47,坦克类型系数!$DE$9:$DH$12,4,FALSE)</f>
        <v>0.8</v>
      </c>
      <c r="AU47" s="2">
        <f>VLOOKUP(D47,坦克类型系数!$AH$9:$AK$12,3,FALSE)</f>
        <v>70</v>
      </c>
      <c r="AV47" s="2">
        <f>VLOOKUP(D47,坦克类型系数!$AH$9:$AK$12,4,FALSE)</f>
        <v>110</v>
      </c>
      <c r="AW47" s="143">
        <f>VLOOKUP($B47,坦克类型系数!$B$3:$AF$33,MATCH(AW$18,坦克类型系数!$B$3:$AF$3,0),FALSE)</f>
        <v>0</v>
      </c>
      <c r="AX47" s="143">
        <f>VLOOKUP($B47,坦克类型系数!$B$3:$AF$33,MATCH(AX$18,坦克类型系数!$B$3:$AF$3,0),FALSE)</f>
        <v>2.5499999999999998</v>
      </c>
      <c r="AY47" s="143">
        <f>VLOOKUP($B47,坦克类型系数!$B$3:$AF$33,MATCH(AY$18,坦克类型系数!$B$3:$AF$3,0),FALSE)</f>
        <v>2.0499999999999998</v>
      </c>
      <c r="AZ47" s="143">
        <f>VLOOKUP($B47,坦克类型系数!$B$3:$AF$33,MATCH(AZ$18,坦克类型系数!$B$3:$AF$3,0),FALSE)</f>
        <v>1.5</v>
      </c>
      <c r="BA47" s="143">
        <f>VLOOKUP($B47,坦克类型系数!$B$3:$AF$33,MATCH(BA$18,坦克类型系数!$B$3:$AF$3,0),FALSE)</f>
        <v>1.5</v>
      </c>
      <c r="BB47" s="143">
        <f>VLOOKUP($B47,坦克类型系数!$B$3:$AF$33,MATCH(BB$18,坦克类型系数!$B$3:$AF$3,0),FALSE)</f>
        <v>1.35</v>
      </c>
      <c r="BC47" s="143">
        <f>VLOOKUP($B47,坦克类型系数!$B$3:$AF$33,MATCH(BC$18,坦克类型系数!$B$3:$AF$3,0),FALSE)</f>
        <v>0.4</v>
      </c>
    </row>
    <row r="48" spans="2:55" x14ac:dyDescent="0.3">
      <c r="B48" s="2" t="s">
        <v>668</v>
      </c>
      <c r="C48" s="2" t="s">
        <v>1178</v>
      </c>
      <c r="D48" s="29" t="str">
        <f>坦克类型系数!C33</f>
        <v>重坦</v>
      </c>
      <c r="E48" s="21" t="s">
        <v>633</v>
      </c>
      <c r="F48" s="21" t="s">
        <v>88</v>
      </c>
      <c r="G48" s="29">
        <f>坦克类型系数!D33</f>
        <v>7.75</v>
      </c>
      <c r="H48" s="29">
        <f>坦克类型系数!E33</f>
        <v>3.46</v>
      </c>
      <c r="I48" s="29">
        <f>坦克类型系数!F33</f>
        <v>8.49</v>
      </c>
      <c r="J48" s="21">
        <v>1</v>
      </c>
      <c r="K48" s="151">
        <f>SQRT(I48/VLOOKUP(D48,坦克类型系数!$AH$3:$AK$6,4,FALSE))*J48</f>
        <v>1.0618333390135373</v>
      </c>
      <c r="L48" s="21" t="s">
        <v>1161</v>
      </c>
      <c r="M48" s="29">
        <f>VLOOKUP(D48,坦克类型系数!$AH$15:$AK$18,4,FALSE)</f>
        <v>0.62</v>
      </c>
      <c r="N48" s="21">
        <v>1.1499999999999999</v>
      </c>
      <c r="O48" s="2">
        <f t="shared" si="6"/>
        <v>0.71</v>
      </c>
      <c r="P48" s="34">
        <f t="shared" si="8"/>
        <v>1.1451612903225805</v>
      </c>
      <c r="Q48" s="34">
        <f t="shared" si="3"/>
        <v>1</v>
      </c>
      <c r="R48" s="151">
        <f t="shared" si="7"/>
        <v>1.1451612903225805</v>
      </c>
      <c r="S48" s="2">
        <f>VLOOKUP(F48,坦克类型系数!$AQ$3:$AX$10,MATCH("瞄准速度",坦克类型系数!$AQ$3:$AX$3,0),FALSE)</f>
        <v>1</v>
      </c>
      <c r="T48" s="21">
        <v>1</v>
      </c>
      <c r="U48" s="2">
        <f>(VLOOKUP(F48,坦克类型系数!$AM$3:$AO$10,MATCH("射击间隔max",坦克类型系数!$AM$3:$AO$3,0),FALSE)-VLOOKUP(F48,坦克类型系数!$AM$3:$AO$10,MATCH("射击间隔min",坦克类型系数!$AM$3:$AO$3,0),FALSE))*T48+VLOOKUP(F48,坦克类型系数!$AM$3:$AO$10,MATCH("射击间隔min",坦克类型系数!$AM$3:$AO$3,0),FALSE)</f>
        <v>0</v>
      </c>
      <c r="V48" s="151">
        <f>(U48-VLOOKUP(F48,标准坦克设计!$B$13:$K$20,MATCH("射击间隔",标准坦克设计!$B$13:$K$13,0),FALSE))/0.1*VLOOKUP($B$15,$B$3:$J$15,MATCH(F48,$B$3:$J$3,0),FALSE)+1</f>
        <v>1</v>
      </c>
      <c r="W48" s="2">
        <f>VLOOKUP(D48,坦克类型系数!$BI$3:$BK$6,2,FALSE)</f>
        <v>0.5</v>
      </c>
      <c r="X48" s="34">
        <f>VLOOKUP(D48,坦克类型系数!$BI$3:$BK$6,3,FALSE)</f>
        <v>1.3421103201592517</v>
      </c>
      <c r="Y48" s="21">
        <v>5</v>
      </c>
      <c r="Z48" s="21">
        <v>0.8</v>
      </c>
      <c r="AA48" s="34">
        <f>VLOOKUP(D48,坦克类型系数!$CQ$9:$CY$12,2,FALSE)*$M$4*Z48</f>
        <v>7.669995017484621</v>
      </c>
      <c r="AB48" s="34">
        <f>VLOOKUP(D48,坦克类型系数!$CQ$9:$CY$12,6,FALSE)*$M$4*Z48</f>
        <v>30.679980069938484</v>
      </c>
      <c r="AC48" s="34">
        <f>VLOOKUP(D48,坦克类型系数!$CQ$3:$CY$6,9,FALSE)</f>
        <v>47.93746885927888</v>
      </c>
      <c r="AD48" s="2">
        <f>VLOOKUP(F48,坦克类型系数!$BM$3:$BV$10,6,FALSE)</f>
        <v>3.1</v>
      </c>
      <c r="AE48" s="41">
        <f t="shared" si="4"/>
        <v>1.25</v>
      </c>
      <c r="AF48" s="34">
        <f>VLOOKUP(D48,坦克类型系数!$DE$3:$DH$6,3,FALSE)*AE48</f>
        <v>35</v>
      </c>
      <c r="AG48" s="21">
        <v>0.9</v>
      </c>
      <c r="AH48" s="151">
        <f t="shared" si="5"/>
        <v>1</v>
      </c>
      <c r="AI48" s="2">
        <f>VLOOKUP(D48,坦克类型系数!$BZ$21:$CF$24,2,FALSE)*AG48</f>
        <v>6.3</v>
      </c>
      <c r="AJ48" s="34">
        <f>VLOOKUP(D48,坦克类型系数!$BZ$21:$CF$24,5,FALSE)*AG48</f>
        <v>6.3</v>
      </c>
      <c r="AK48" s="34">
        <f>VLOOKUP(D48,坦克类型系数!$BZ$21:$CF$24,4,FALSE)</f>
        <v>3.8888888888888888</v>
      </c>
      <c r="AL48" s="34">
        <f>VLOOKUP(D48,坦克类型系数!$BZ$21:$CF$24,7,FALSE)</f>
        <v>2</v>
      </c>
      <c r="AM48" s="34">
        <f>VLOOKUP(D48,坦克类型系数!$CH$21:$CN$24,4,FALSE)</f>
        <v>10.769230769230768</v>
      </c>
      <c r="AN48" s="34">
        <f>VLOOKUP(D48,坦克类型系数!$CH$21:$CN$24,7,FALSE)</f>
        <v>17.5</v>
      </c>
      <c r="AO48" s="2">
        <f>VLOOKUP(F48,坦克类型系数!$BM$13:$BV$20,6,FALSE)</f>
        <v>1.24</v>
      </c>
      <c r="AP48" s="143">
        <f>基础属性系数!$C$56</f>
        <v>0.2</v>
      </c>
      <c r="AQ48" s="143">
        <f>基础属性系数!$C$55</f>
        <v>0.3</v>
      </c>
      <c r="AR48" s="2">
        <f>VLOOKUP(D48,坦克类型系数!$DE$9:$DH$12,2,FALSE)</f>
        <v>0.8</v>
      </c>
      <c r="AS48" s="2">
        <f>VLOOKUP(D48,坦克类型系数!$DE$9:$DH$12,3,FALSE)</f>
        <v>0.8</v>
      </c>
      <c r="AT48" s="2">
        <f>VLOOKUP(D48,坦克类型系数!$DE$9:$DH$12,4,FALSE)</f>
        <v>0.8</v>
      </c>
      <c r="AU48" s="2">
        <f>VLOOKUP(D48,坦克类型系数!$AH$9:$AK$12,3,FALSE)</f>
        <v>70</v>
      </c>
      <c r="AV48" s="2">
        <f>VLOOKUP(D48,坦克类型系数!$AH$9:$AK$12,4,FALSE)</f>
        <v>110</v>
      </c>
      <c r="AW48" s="143">
        <f>VLOOKUP($B48,坦克类型系数!$B$3:$AF$33,MATCH(AW$18,坦克类型系数!$B$3:$AF$3,0),FALSE)</f>
        <v>0</v>
      </c>
      <c r="AX48" s="143">
        <f>VLOOKUP($B48,坦克类型系数!$B$3:$AF$33,MATCH(AX$18,坦克类型系数!$B$3:$AF$3,0),FALSE)</f>
        <v>2.4</v>
      </c>
      <c r="AY48" s="143">
        <f>VLOOKUP($B48,坦克类型系数!$B$3:$AF$33,MATCH(AY$18,坦克类型系数!$B$3:$AF$3,0),FALSE)</f>
        <v>1.65</v>
      </c>
      <c r="AZ48" s="143">
        <f>VLOOKUP($B48,坦克类型系数!$B$3:$AF$33,MATCH(AZ$18,坦克类型系数!$B$3:$AF$3,0),FALSE)</f>
        <v>1.25</v>
      </c>
      <c r="BA48" s="143">
        <f>VLOOKUP($B48,坦克类型系数!$B$3:$AF$33,MATCH(BA$18,坦克类型系数!$B$3:$AF$3,0),FALSE)</f>
        <v>1.4</v>
      </c>
      <c r="BB48" s="143">
        <f>VLOOKUP($B48,坦克类型系数!$B$3:$AF$33,MATCH(BB$18,坦克类型系数!$B$3:$AF$3,0),FALSE)</f>
        <v>1.17</v>
      </c>
      <c r="BC48" s="143">
        <f>VLOOKUP($B48,坦克类型系数!$B$3:$AF$33,MATCH(BC$18,坦克类型系数!$B$3:$AF$3,0),FALSE)</f>
        <v>0.4</v>
      </c>
    </row>
    <row r="49" spans="2:23" x14ac:dyDescent="0.3">
      <c r="M49" s="152"/>
    </row>
    <row r="50" spans="2:23" x14ac:dyDescent="0.3">
      <c r="B50" s="263" t="s">
        <v>1179</v>
      </c>
      <c r="C50" s="264"/>
      <c r="D50" s="264"/>
      <c r="E50" s="264"/>
      <c r="F50" s="264"/>
      <c r="G50" s="264"/>
      <c r="H50" s="264"/>
      <c r="I50" s="264"/>
      <c r="J50" s="264"/>
      <c r="K50" s="264"/>
      <c r="L50" s="264"/>
      <c r="M50" s="264"/>
      <c r="N50" s="264"/>
      <c r="O50" s="264"/>
      <c r="P50" s="264"/>
      <c r="Q50" s="264"/>
      <c r="R50" s="264"/>
      <c r="S50" s="264"/>
      <c r="T50" s="265"/>
      <c r="U50" s="262" t="s">
        <v>1180</v>
      </c>
      <c r="V50" s="262"/>
      <c r="W50" s="262"/>
    </row>
    <row r="51" spans="2:23" x14ac:dyDescent="0.3">
      <c r="B51" s="2" t="s">
        <v>608</v>
      </c>
      <c r="C51" s="2" t="s">
        <v>790</v>
      </c>
      <c r="D51" s="2" t="s">
        <v>1113</v>
      </c>
      <c r="E51" s="2" t="s">
        <v>1181</v>
      </c>
      <c r="F51" s="2" t="s">
        <v>1182</v>
      </c>
      <c r="G51" s="2" t="s">
        <v>91</v>
      </c>
      <c r="H51" s="2" t="s">
        <v>92</v>
      </c>
      <c r="I51" s="2" t="s">
        <v>1183</v>
      </c>
      <c r="J51" s="116" t="s">
        <v>93</v>
      </c>
      <c r="K51" s="2" t="s">
        <v>94</v>
      </c>
      <c r="L51" s="2" t="s">
        <v>95</v>
      </c>
      <c r="M51" s="2" t="s">
        <v>1184</v>
      </c>
      <c r="N51" s="2" t="s">
        <v>1185</v>
      </c>
      <c r="O51" s="2" t="s">
        <v>178</v>
      </c>
      <c r="P51" s="2" t="s">
        <v>1186</v>
      </c>
      <c r="Q51" s="2" t="s">
        <v>1187</v>
      </c>
      <c r="R51" s="2" t="s">
        <v>1188</v>
      </c>
      <c r="S51" s="2" t="s">
        <v>1189</v>
      </c>
      <c r="T51" s="2" t="s">
        <v>1121</v>
      </c>
      <c r="U51" s="2" t="s">
        <v>1190</v>
      </c>
      <c r="V51" s="2" t="s">
        <v>1191</v>
      </c>
      <c r="W51" s="2" t="s">
        <v>1192</v>
      </c>
    </row>
    <row r="52" spans="2:23" x14ac:dyDescent="0.3">
      <c r="B52" s="2" t="str">
        <f t="shared" ref="B52:B81" si="9">B19</f>
        <v>雷诺FT</v>
      </c>
      <c r="C52" s="2" t="str">
        <f t="shared" ref="C52:C81" si="10">E19</f>
        <v>T1</v>
      </c>
      <c r="D52" s="2" t="str">
        <f t="shared" ref="D52:D81" si="11">F19</f>
        <v>轻坦弹夹</v>
      </c>
      <c r="E52" s="2">
        <f>VLOOKUP(D52,标准坦克设计!$B$13:$K$20,MATCH("弹夹容量",标准坦克设计!$B$13:$K$13,0),FALSE)</f>
        <v>9</v>
      </c>
      <c r="F52" s="41">
        <f>1+1/3</f>
        <v>1.3333333333333333</v>
      </c>
      <c r="G52" s="2">
        <f t="shared" ref="G52:G57" si="12">E52*F52</f>
        <v>12</v>
      </c>
      <c r="H52" s="2">
        <f>VLOOKUP(D52,标准坦克设计!$B$13:$K$20,MATCH(H$51,标准坦克设计!$B$13:$K$13,0),FALSE)</f>
        <v>0.7</v>
      </c>
      <c r="I52" s="21">
        <v>0.6</v>
      </c>
      <c r="J52" s="2">
        <f>IF(RIGHT(D52,2)="弹夹",0,H52*I52)</f>
        <v>0</v>
      </c>
      <c r="K52" s="2">
        <f>IF(J52&gt;0,0,H52*I52*G52)</f>
        <v>5.04</v>
      </c>
      <c r="L52" s="2">
        <f t="shared" ref="L52:L81" si="13">VLOOKUP(B52,$B$18:$BC$48,MATCH(L$51,$B$18:$BC$18,0),FALSE)</f>
        <v>0.60000000000000009</v>
      </c>
      <c r="M52" s="2">
        <f>IF(D52="轻坦弹夹",ROUND(((G52/VLOOKUP(D52,坦克类型系数!$AQ$3:$AX$10,MATCH("标准轮次数",坦克类型系数!$AQ$3:$AX$3,0),FALSE)-1)*L52*O52+VLOOKUP(D52,坦克类型系数!$AQ$3:$AX$10,MATCH("累积偏移角",坦克类型系数!$AQ$3:$AX$3,0),FALSE))/(G52/VLOOKUP(D52,坦克类型系数!$AQ$3:$AX$10,MATCH("标准轮次数",坦克类型系数!$AQ$3:$AX$3,0),FALSE))/2,2),ROUND(((G52/VLOOKUP(D52,坦克类型系数!$AQ$3:$AX$10,MATCH("标准轮次数",坦克类型系数!$AQ$3:$AX$3,0),FALSE)-1)*L52*O52+VLOOKUP(D52,坦克类型系数!$AQ$3:$AX$10,MATCH("累积偏移角",坦克类型系数!$AQ$3:$AX$3,0),FALSE))/(G52/VLOOKUP(D52,坦克类型系数!$AQ$3:$AX$10,MATCH("标准轮次数",坦克类型系数!$AQ$3:$AX$3,0),FALSE)),2))</f>
        <v>0.5</v>
      </c>
      <c r="N52" s="2">
        <f>VLOOKUP(D52,坦克类型系数!$AZ$3:$BE$10,4,FALSE)/F52</f>
        <v>0.36</v>
      </c>
      <c r="O52" s="2">
        <f t="shared" ref="O52:O81" si="14">VLOOKUP(B52,$B$18:$BC$48,MATCH(O$51,$B$18:$BC$18,0),FALSE)</f>
        <v>1.2</v>
      </c>
      <c r="P52" s="34">
        <f>IF(LEN(D52)=5,(60-(G52-1)*L52)/J52+G52,IF(RIGHT(D52,2)="弹夹",((60-(G52-1)*L52)/(K52+(G52-1)*L52)+1)*G52,60/J52+G52))</f>
        <v>67.051546391752566</v>
      </c>
      <c r="Q52" s="34">
        <f>VLOOKUP(D52,标准坦克设计!$B$13:$K$20,MATCH("60S射数",标准坦克设计!$B$13:$K$13,0),FALSE)/P52</f>
        <v>1.2533976924276289</v>
      </c>
      <c r="R52" s="34">
        <f>IF(LEN(D52)=5,(30-(G52-1)*L52)/J52+G52,IF(RIGHT(D52,2)="弹夹",((30-(G52-1)*L52)/(K52+(G52-1)*L52)+1)*G52,30/J52+G52))</f>
        <v>36.123711340206185</v>
      </c>
      <c r="S52" s="34">
        <f>VLOOKUP(D52,标准坦克设计!$B$13:$K$20,MATCH("半分连射数",标准坦克设计!$B$13:$K$13,0),FALSE)</f>
        <v>34.389473684210529</v>
      </c>
      <c r="T52" s="34">
        <f>S52/R52</f>
        <v>0.95199170872386452</v>
      </c>
      <c r="U52" s="143">
        <v>0.25</v>
      </c>
      <c r="V52" s="2">
        <f>ROUNDDOWN(SQRT(G52),0)</f>
        <v>3</v>
      </c>
      <c r="W52" s="2">
        <f>ROUND((IF(LEN(D52)=5,(60-(G52-1)*L52)/(P52*(1-U52)-G52)-J52,IF(RIGHT(D52,2)="弹夹",(60-(P52*(1-U52)/G52-1)*K52)/(P52*(1-U52)/G52)/((G52-1))-L52,60/(P52*(1-U52)-G52)-J52)))*V52,2)</f>
        <v>1.06</v>
      </c>
    </row>
    <row r="53" spans="2:23" x14ac:dyDescent="0.3">
      <c r="B53" s="2" t="str">
        <f t="shared" si="9"/>
        <v>二号</v>
      </c>
      <c r="C53" s="2" t="str">
        <f t="shared" si="10"/>
        <v>T2</v>
      </c>
      <c r="D53" s="2" t="str">
        <f t="shared" si="11"/>
        <v>轻坦弹夹</v>
      </c>
      <c r="E53" s="2">
        <f>VLOOKUP(D53,标准坦克设计!$B$13:$K$20,MATCH("弹夹容量",标准坦克设计!$B$13:$K$13,0),FALSE)</f>
        <v>9</v>
      </c>
      <c r="F53" s="41">
        <f>1+2/3</f>
        <v>1.6666666666666665</v>
      </c>
      <c r="G53" s="2">
        <f t="shared" si="12"/>
        <v>14.999999999999998</v>
      </c>
      <c r="H53" s="2">
        <f>VLOOKUP(D53,标准坦克设计!$B$13:$K$20,MATCH(H$51,标准坦克设计!$B$13:$K$13,0),FALSE)</f>
        <v>0.7</v>
      </c>
      <c r="I53" s="21">
        <v>0.8</v>
      </c>
      <c r="J53" s="2">
        <f t="shared" ref="J53:J81" si="15">IF(RIGHT(D53,2)="弹夹",0,H53*I53)</f>
        <v>0</v>
      </c>
      <c r="K53" s="2">
        <f t="shared" ref="K53:K81" si="16">IF(J53&gt;0,0,H53*I53*G53)</f>
        <v>8.3999999999999986</v>
      </c>
      <c r="L53" s="2">
        <f t="shared" si="13"/>
        <v>0.60000000000000009</v>
      </c>
      <c r="M53" s="2">
        <f>IF(D53="轻坦弹夹",ROUND(((G53/VLOOKUP(D53,坦克类型系数!$AQ$3:$AX$10,MATCH("标准轮次数",坦克类型系数!$AQ$3:$AX$3,0),FALSE)-1)*L53*O53+VLOOKUP(D53,坦克类型系数!$AQ$3:$AX$10,MATCH("累积偏移角",坦克类型系数!$AQ$3:$AX$3,0),FALSE))/(G53/VLOOKUP(D53,坦克类型系数!$AQ$3:$AX$10,MATCH("标准轮次数",坦克类型系数!$AQ$3:$AX$3,0),FALSE))/2,2),ROUND(((G53/VLOOKUP(D53,坦克类型系数!$AQ$3:$AX$10,MATCH("标准轮次数",坦克类型系数!$AQ$3:$AX$3,0),FALSE)-1)*L53*O53+VLOOKUP(D53,坦克类型系数!$AQ$3:$AX$10,MATCH("累积偏移角",坦克类型系数!$AQ$3:$AX$3,0),FALSE))/(G53/VLOOKUP(D53,坦克类型系数!$AQ$3:$AX$10,MATCH("标准轮次数",坦克类型系数!$AQ$3:$AX$3,0),FALSE)),2))</f>
        <v>0.47</v>
      </c>
      <c r="N53" s="2">
        <f>VLOOKUP(D53,坦克类型系数!$AZ$3:$BE$10,4,FALSE)/F53</f>
        <v>0.28800000000000003</v>
      </c>
      <c r="O53" s="2">
        <f t="shared" si="14"/>
        <v>1.2</v>
      </c>
      <c r="P53" s="34">
        <f t="shared" ref="P53:P81" si="17">IF(LEN(D53)=5,(60-(G53-1)*L53)/J53+G53,IF(RIGHT(D53,2)="弹夹",((60-(G53-1)*L53)/(K53+(G53-1)*L53)+1)*G53,60/J53+G53))</f>
        <v>61.071428571428577</v>
      </c>
      <c r="Q53" s="34">
        <f>VLOOKUP(D53,标准坦克设计!$B$13:$K$20,MATCH("60S射数",标准坦克设计!$B$13:$K$13,0),FALSE)/P53</f>
        <v>1.376130467012602</v>
      </c>
      <c r="R53" s="34">
        <f t="shared" ref="R53:R81" si="18">IF(LEN(D53)=5,(30-(G53-1)*L53)/J53+G53,IF(RIGHT(D53,2)="弹夹",((30-(G53-1)*L53)/(K53+(G53-1)*L53)+1)*G53,30/J53+G53))</f>
        <v>34.285714285714285</v>
      </c>
      <c r="S53" s="34">
        <f>VLOOKUP(D53,标准坦克设计!$B$13:$K$20,MATCH("半分连射数",标准坦克设计!$B$13:$K$13,0),FALSE)</f>
        <v>34.389473684210529</v>
      </c>
      <c r="T53" s="34">
        <f t="shared" ref="T53:T81" si="19">S53/R53</f>
        <v>1.0030263157894739</v>
      </c>
      <c r="U53" s="143">
        <v>0.25</v>
      </c>
      <c r="V53" s="2">
        <f t="shared" ref="V53:V81" si="20">ROUNDDOWN(SQRT(G53),0)</f>
        <v>3</v>
      </c>
      <c r="W53" s="2">
        <f t="shared" ref="W53:W81" si="21">ROUND((IF(LEN(D53)=5,(60-(G53-1)*L53)/(P53*(1-U53)-G53)-J53,IF(RIGHT(D53,2)="弹夹",(60-(P53*(1-U53)/G53-1)*K53)/(P53*(1-U53)/G53)/((G53-1))-L53,60/(P53*(1-U53)-G53)-J53)))*V53,2)</f>
        <v>1.2</v>
      </c>
    </row>
    <row r="54" spans="2:23" x14ac:dyDescent="0.3">
      <c r="B54" s="2" t="str">
        <f t="shared" si="9"/>
        <v>Puma</v>
      </c>
      <c r="C54" s="2" t="str">
        <f t="shared" si="10"/>
        <v>T2</v>
      </c>
      <c r="D54" s="2" t="str">
        <f t="shared" si="11"/>
        <v>轻坦弹夹</v>
      </c>
      <c r="E54" s="2">
        <f>VLOOKUP(D54,标准坦克设计!$B$13:$K$20,MATCH("弹夹容量",标准坦克设计!$B$13:$K$13,0),FALSE)</f>
        <v>9</v>
      </c>
      <c r="F54" s="41">
        <f>2/3</f>
        <v>0.66666666666666663</v>
      </c>
      <c r="G54" s="2">
        <f t="shared" si="12"/>
        <v>6</v>
      </c>
      <c r="H54" s="2">
        <f>VLOOKUP(D54,标准坦克设计!$B$13:$K$20,MATCH(H$51,标准坦克设计!$B$13:$K$13,0),FALSE)</f>
        <v>0.7</v>
      </c>
      <c r="I54" s="21">
        <v>0.75</v>
      </c>
      <c r="J54" s="2">
        <f t="shared" si="15"/>
        <v>0</v>
      </c>
      <c r="K54" s="2">
        <f t="shared" si="16"/>
        <v>3.1499999999999995</v>
      </c>
      <c r="L54" s="2">
        <f t="shared" si="13"/>
        <v>0.8</v>
      </c>
      <c r="M54" s="2">
        <f>IF(D54="轻坦弹夹",ROUND(((G54/VLOOKUP(D54,坦克类型系数!$AQ$3:$AX$10,MATCH("标准轮次数",坦克类型系数!$AQ$3:$AX$3,0),FALSE)-1)*L54*O54+VLOOKUP(D54,坦克类型系数!$AQ$3:$AX$10,MATCH("累积偏移角",坦克类型系数!$AQ$3:$AX$3,0),FALSE))/(G54/VLOOKUP(D54,坦克类型系数!$AQ$3:$AX$10,MATCH("标准轮次数",坦克类型系数!$AQ$3:$AX$3,0),FALSE))/2,2),ROUND(((G54/VLOOKUP(D54,坦克类型系数!$AQ$3:$AX$10,MATCH("标准轮次数",坦克类型系数!$AQ$3:$AX$3,0),FALSE)-1)*L54*O54+VLOOKUP(D54,坦克类型系数!$AQ$3:$AX$10,MATCH("累积偏移角",坦克类型系数!$AQ$3:$AX$3,0),FALSE))/(G54/VLOOKUP(D54,坦克类型系数!$AQ$3:$AX$10,MATCH("标准轮次数",坦克类型系数!$AQ$3:$AX$3,0),FALSE)),2))</f>
        <v>0.69</v>
      </c>
      <c r="N54" s="2">
        <f>VLOOKUP(D54,坦克类型系数!$AZ$3:$BE$10,4,FALSE)/F54</f>
        <v>0.72</v>
      </c>
      <c r="O54" s="2">
        <f t="shared" si="14"/>
        <v>1.2</v>
      </c>
      <c r="P54" s="34">
        <f t="shared" si="17"/>
        <v>52.993006993007</v>
      </c>
      <c r="Q54" s="34">
        <f>VLOOKUP(D54,标准坦克设计!$B$13:$K$20,MATCH("60S射数",标准坦克设计!$B$13:$K$13,0),FALSE)/P54</f>
        <v>1.5859121474691378</v>
      </c>
      <c r="R54" s="34">
        <f t="shared" si="18"/>
        <v>27.81818181818182</v>
      </c>
      <c r="S54" s="34">
        <f>VLOOKUP(D54,标准坦克设计!$B$13:$K$20,MATCH("半分连射数",标准坦克设计!$B$13:$K$13,0),FALSE)</f>
        <v>34.389473684210529</v>
      </c>
      <c r="T54" s="34">
        <f t="shared" si="19"/>
        <v>1.2362229102167184</v>
      </c>
      <c r="U54" s="143">
        <v>0.25</v>
      </c>
      <c r="V54" s="2">
        <v>1</v>
      </c>
      <c r="W54" s="2">
        <f t="shared" si="21"/>
        <v>0.48</v>
      </c>
    </row>
    <row r="55" spans="2:23" x14ac:dyDescent="0.3">
      <c r="B55" s="2" t="str">
        <f t="shared" si="9"/>
        <v>35(t)</v>
      </c>
      <c r="C55" s="2" t="str">
        <f t="shared" si="10"/>
        <v>T3</v>
      </c>
      <c r="D55" s="2" t="str">
        <f t="shared" si="11"/>
        <v>轻坦弹夹</v>
      </c>
      <c r="E55" s="2">
        <f>VLOOKUP(D55,标准坦克设计!$B$13:$K$20,MATCH("弹夹容量",标准坦克设计!$B$13:$K$13,0),FALSE)</f>
        <v>9</v>
      </c>
      <c r="F55" s="41">
        <v>1</v>
      </c>
      <c r="G55" s="2">
        <f t="shared" si="12"/>
        <v>9</v>
      </c>
      <c r="H55" s="2">
        <f>VLOOKUP(D55,标准坦克设计!$B$13:$K$20,MATCH(H$51,标准坦克设计!$B$13:$K$13,0),FALSE)</f>
        <v>0.7</v>
      </c>
      <c r="I55" s="21">
        <v>1</v>
      </c>
      <c r="J55" s="2">
        <f t="shared" si="15"/>
        <v>0</v>
      </c>
      <c r="K55" s="2">
        <f t="shared" si="16"/>
        <v>6.3</v>
      </c>
      <c r="L55" s="2">
        <f t="shared" si="13"/>
        <v>0.8</v>
      </c>
      <c r="M55" s="2">
        <f>IF(D55="轻坦弹夹",ROUND(((G55/VLOOKUP(D55,坦克类型系数!$AQ$3:$AX$10,MATCH("标准轮次数",坦克类型系数!$AQ$3:$AX$3,0),FALSE)-1)*L55*O55+VLOOKUP(D55,坦克类型系数!$AQ$3:$AX$10,MATCH("累积偏移角",坦克类型系数!$AQ$3:$AX$3,0),FALSE))/(G55/VLOOKUP(D55,坦克类型系数!$AQ$3:$AX$10,MATCH("标准轮次数",坦克类型系数!$AQ$3:$AX$3,0),FALSE))/2,2),ROUND(((G55/VLOOKUP(D55,坦克类型系数!$AQ$3:$AX$10,MATCH("标准轮次数",坦克类型系数!$AQ$3:$AX$3,0),FALSE)-1)*L55*O55+VLOOKUP(D55,坦克类型系数!$AQ$3:$AX$10,MATCH("累积偏移角",坦克类型系数!$AQ$3:$AX$3,0),FALSE))/(G55/VLOOKUP(D55,坦克类型系数!$AQ$3:$AX$10,MATCH("标准轮次数",坦克类型系数!$AQ$3:$AX$3,0),FALSE)),2))</f>
        <v>0.62</v>
      </c>
      <c r="N55" s="2">
        <f>VLOOKUP(D55,坦克类型系数!$AZ$3:$BE$10,4,FALSE)/F55</f>
        <v>0.48</v>
      </c>
      <c r="O55" s="2">
        <f t="shared" si="14"/>
        <v>1.2</v>
      </c>
      <c r="P55" s="34">
        <f t="shared" si="17"/>
        <v>46.984251968503941</v>
      </c>
      <c r="Q55" s="34">
        <f>VLOOKUP(D55,标准坦克设计!$B$13:$K$20,MATCH("60S射数",标准坦克设计!$B$13:$K$13,0),FALSE)/P55</f>
        <v>1.7887323943661972</v>
      </c>
      <c r="R55" s="34">
        <f t="shared" si="18"/>
        <v>25.7244094488189</v>
      </c>
      <c r="S55" s="34">
        <f>VLOOKUP(D55,标准坦克设计!$B$13:$K$20,MATCH("半分连射数",标准坦克设计!$B$13:$K$13,0),FALSE)</f>
        <v>34.389473684210529</v>
      </c>
      <c r="T55" s="34">
        <f t="shared" si="19"/>
        <v>1.3368421052631578</v>
      </c>
      <c r="U55" s="143">
        <v>0.25</v>
      </c>
      <c r="V55" s="2">
        <v>1</v>
      </c>
      <c r="W55" s="2">
        <f t="shared" si="21"/>
        <v>0.53</v>
      </c>
    </row>
    <row r="56" spans="2:23" x14ac:dyDescent="0.3">
      <c r="B56" s="2" t="str">
        <f t="shared" si="9"/>
        <v>十字军</v>
      </c>
      <c r="C56" s="2" t="str">
        <f t="shared" si="10"/>
        <v>T3</v>
      </c>
      <c r="D56" s="2" t="str">
        <f t="shared" si="11"/>
        <v>轻坦弹夹</v>
      </c>
      <c r="E56" s="2">
        <f>VLOOKUP(D56,标准坦克设计!$B$13:$K$20,MATCH("弹夹容量",标准坦克设计!$B$13:$K$13,0),FALSE)</f>
        <v>9</v>
      </c>
      <c r="F56" s="41">
        <f>1+1/3</f>
        <v>1.3333333333333333</v>
      </c>
      <c r="G56" s="2">
        <f t="shared" si="12"/>
        <v>12</v>
      </c>
      <c r="H56" s="2">
        <f>VLOOKUP(D56,标准坦克设计!$B$13:$K$20,MATCH(H$51,标准坦克设计!$B$13:$K$13,0),FALSE)</f>
        <v>0.7</v>
      </c>
      <c r="I56" s="21">
        <v>1</v>
      </c>
      <c r="J56" s="2">
        <f t="shared" si="15"/>
        <v>0</v>
      </c>
      <c r="K56" s="2">
        <f t="shared" si="16"/>
        <v>8.3999999999999986</v>
      </c>
      <c r="L56" s="2">
        <f t="shared" si="13"/>
        <v>0.60000000000000009</v>
      </c>
      <c r="M56" s="2">
        <f>IF(D56="轻坦弹夹",ROUND(((G56/VLOOKUP(D56,坦克类型系数!$AQ$3:$AX$10,MATCH("标准轮次数",坦克类型系数!$AQ$3:$AX$3,0),FALSE)-1)*L56*O56+VLOOKUP(D56,坦克类型系数!$AQ$3:$AX$10,MATCH("累积偏移角",坦克类型系数!$AQ$3:$AX$3,0),FALSE))/(G56/VLOOKUP(D56,坦克类型系数!$AQ$3:$AX$10,MATCH("标准轮次数",坦克类型系数!$AQ$3:$AX$3,0),FALSE))/2,2),ROUND(((G56/VLOOKUP(D56,坦克类型系数!$AQ$3:$AX$10,MATCH("标准轮次数",坦克类型系数!$AQ$3:$AX$3,0),FALSE)-1)*L56*O56+VLOOKUP(D56,坦克类型系数!$AQ$3:$AX$10,MATCH("累积偏移角",坦克类型系数!$AQ$3:$AX$3,0),FALSE))/(G56/VLOOKUP(D56,坦克类型系数!$AQ$3:$AX$10,MATCH("标准轮次数",坦克类型系数!$AQ$3:$AX$3,0),FALSE)),2))</f>
        <v>0.5</v>
      </c>
      <c r="N56" s="2">
        <f>VLOOKUP(D56,坦克类型系数!$AZ$3:$BE$10,4,FALSE)/F56</f>
        <v>0.36</v>
      </c>
      <c r="O56" s="2">
        <f t="shared" si="14"/>
        <v>1.2</v>
      </c>
      <c r="P56" s="34">
        <f t="shared" si="17"/>
        <v>54.720000000000006</v>
      </c>
      <c r="Q56" s="34">
        <f>VLOOKUP(D56,标准坦克设计!$B$13:$K$20,MATCH("60S射数",标准坦克设计!$B$13:$K$13,0),FALSE)/P56</f>
        <v>1.5358598962194216</v>
      </c>
      <c r="R56" s="34">
        <f t="shared" si="18"/>
        <v>30.719999999999995</v>
      </c>
      <c r="S56" s="34">
        <f>VLOOKUP(D56,标准坦克设计!$B$13:$K$20,MATCH("半分连射数",标准坦克设计!$B$13:$K$13,0),FALSE)</f>
        <v>34.389473684210529</v>
      </c>
      <c r="T56" s="34">
        <f t="shared" si="19"/>
        <v>1.1194490131578949</v>
      </c>
      <c r="U56" s="143">
        <v>0.25</v>
      </c>
      <c r="V56" s="2">
        <f t="shared" si="20"/>
        <v>3</v>
      </c>
      <c r="W56" s="2">
        <f t="shared" si="21"/>
        <v>1.36</v>
      </c>
    </row>
    <row r="57" spans="2:23" x14ac:dyDescent="0.3">
      <c r="B57" s="2" t="str">
        <f t="shared" si="9"/>
        <v>AMX-13</v>
      </c>
      <c r="C57" s="2" t="str">
        <f t="shared" si="10"/>
        <v>T3</v>
      </c>
      <c r="D57" s="2" t="str">
        <f t="shared" si="11"/>
        <v>轻坦弹夹</v>
      </c>
      <c r="E57" s="2">
        <f>VLOOKUP(D57,标准坦克设计!$B$13:$K$20,MATCH("弹夹容量",标准坦克设计!$B$13:$K$13,0),FALSE)</f>
        <v>9</v>
      </c>
      <c r="F57" s="41">
        <v>1</v>
      </c>
      <c r="G57" s="2">
        <f t="shared" si="12"/>
        <v>9</v>
      </c>
      <c r="H57" s="2">
        <f>VLOOKUP(D57,标准坦克设计!$B$13:$K$20,MATCH(H$51,标准坦克设计!$B$13:$K$13,0),FALSE)</f>
        <v>0.7</v>
      </c>
      <c r="I57" s="21">
        <v>1</v>
      </c>
      <c r="J57" s="2">
        <f t="shared" si="15"/>
        <v>0</v>
      </c>
      <c r="K57" s="2">
        <f t="shared" si="16"/>
        <v>6.3</v>
      </c>
      <c r="L57" s="2">
        <f t="shared" si="13"/>
        <v>0.8</v>
      </c>
      <c r="M57" s="2">
        <f>IF(D57="轻坦弹夹",ROUND(((G57/VLOOKUP(D57,坦克类型系数!$AQ$3:$AX$10,MATCH("标准轮次数",坦克类型系数!$AQ$3:$AX$3,0),FALSE)-1)*L57*O57+VLOOKUP(D57,坦克类型系数!$AQ$3:$AX$10,MATCH("累积偏移角",坦克类型系数!$AQ$3:$AX$3,0),FALSE))/(G57/VLOOKUP(D57,坦克类型系数!$AQ$3:$AX$10,MATCH("标准轮次数",坦克类型系数!$AQ$3:$AX$3,0),FALSE))/2,2),ROUND(((G57/VLOOKUP(D57,坦克类型系数!$AQ$3:$AX$10,MATCH("标准轮次数",坦克类型系数!$AQ$3:$AX$3,0),FALSE)-1)*L57*O57+VLOOKUP(D57,坦克类型系数!$AQ$3:$AX$10,MATCH("累积偏移角",坦克类型系数!$AQ$3:$AX$3,0),FALSE))/(G57/VLOOKUP(D57,坦克类型系数!$AQ$3:$AX$10,MATCH("标准轮次数",坦克类型系数!$AQ$3:$AX$3,0),FALSE)),2))</f>
        <v>0.62</v>
      </c>
      <c r="N57" s="2">
        <f>VLOOKUP(D57,坦克类型系数!$AZ$3:$BE$10,4,FALSE)/F57</f>
        <v>0.48</v>
      </c>
      <c r="O57" s="2">
        <f t="shared" si="14"/>
        <v>1.2</v>
      </c>
      <c r="P57" s="34">
        <f t="shared" si="17"/>
        <v>46.984251968503941</v>
      </c>
      <c r="Q57" s="34">
        <f>VLOOKUP(D57,标准坦克设计!$B$13:$K$20,MATCH("60S射数",标准坦克设计!$B$13:$K$13,0),FALSE)/P57</f>
        <v>1.7887323943661972</v>
      </c>
      <c r="R57" s="34">
        <f t="shared" si="18"/>
        <v>25.7244094488189</v>
      </c>
      <c r="S57" s="34">
        <f>VLOOKUP(D57,标准坦克设计!$B$13:$K$20,MATCH("半分连射数",标准坦克设计!$B$13:$K$13,0),FALSE)</f>
        <v>34.389473684210529</v>
      </c>
      <c r="T57" s="34">
        <f t="shared" si="19"/>
        <v>1.3368421052631578</v>
      </c>
      <c r="U57" s="143">
        <v>0.25</v>
      </c>
      <c r="V57" s="2">
        <f t="shared" si="20"/>
        <v>3</v>
      </c>
      <c r="W57" s="2">
        <f t="shared" si="21"/>
        <v>1.59</v>
      </c>
    </row>
    <row r="58" spans="2:23" x14ac:dyDescent="0.3">
      <c r="B58" s="2" t="str">
        <f t="shared" si="9"/>
        <v>霞飞</v>
      </c>
      <c r="C58" s="2" t="str">
        <f t="shared" si="10"/>
        <v>T4</v>
      </c>
      <c r="D58" s="2" t="str">
        <f t="shared" si="11"/>
        <v>轻坦弹夹</v>
      </c>
      <c r="E58" s="2">
        <f>VLOOKUP(D58,标准坦克设计!$B$13:$K$20,MATCH("弹夹容量",标准坦克设计!$B$13:$K$13,0),FALSE)</f>
        <v>9</v>
      </c>
      <c r="F58" s="41">
        <v>1</v>
      </c>
      <c r="G58" s="2">
        <f t="shared" ref="G58:G81" si="22">E58*F58</f>
        <v>9</v>
      </c>
      <c r="H58" s="2">
        <f>VLOOKUP(D58,标准坦克设计!$B$13:$K$20,MATCH(H$51,标准坦克设计!$B$13:$K$13,0),FALSE)</f>
        <v>0.7</v>
      </c>
      <c r="I58" s="21">
        <v>1</v>
      </c>
      <c r="J58" s="2">
        <f t="shared" si="15"/>
        <v>0</v>
      </c>
      <c r="K58" s="2">
        <f t="shared" si="16"/>
        <v>6.3</v>
      </c>
      <c r="L58" s="2">
        <f t="shared" si="13"/>
        <v>0.60000000000000009</v>
      </c>
      <c r="M58" s="2">
        <f>IF(D58="轻坦弹夹",ROUND(((G58/VLOOKUP(D58,坦克类型系数!$AQ$3:$AX$10,MATCH("标准轮次数",坦克类型系数!$AQ$3:$AX$3,0),FALSE)-1)*L58*O58+VLOOKUP(D58,坦克类型系数!$AQ$3:$AX$10,MATCH("累积偏移角",坦克类型系数!$AQ$3:$AX$3,0),FALSE))/(G58/VLOOKUP(D58,坦克类型系数!$AQ$3:$AX$10,MATCH("标准轮次数",坦克类型系数!$AQ$3:$AX$3,0),FALSE))/2,2),ROUND(((G58/VLOOKUP(D58,坦克类型系数!$AQ$3:$AX$10,MATCH("标准轮次数",坦克类型系数!$AQ$3:$AX$3,0),FALSE)-1)*L58*O58+VLOOKUP(D58,坦克类型系数!$AQ$3:$AX$10,MATCH("累积偏移角",坦克类型系数!$AQ$3:$AX$3,0),FALSE))/(G58/VLOOKUP(D58,坦克类型系数!$AQ$3:$AX$10,MATCH("标准轮次数",坦克类型系数!$AQ$3:$AX$3,0),FALSE)),2))</f>
        <v>0.54</v>
      </c>
      <c r="N58" s="2">
        <f>VLOOKUP(D58,坦克类型系数!$AZ$3:$BE$10,4,FALSE)/F58</f>
        <v>0.48</v>
      </c>
      <c r="O58" s="2">
        <f t="shared" si="14"/>
        <v>1.2</v>
      </c>
      <c r="P58" s="34">
        <f t="shared" si="17"/>
        <v>53.756756756756758</v>
      </c>
      <c r="Q58" s="34">
        <f>VLOOKUP(D58,标准坦克设计!$B$13:$K$20,MATCH("60S射数",标准坦克设计!$B$13:$K$13,0),FALSE)/P58</f>
        <v>1.563380281690141</v>
      </c>
      <c r="R58" s="34">
        <f t="shared" si="18"/>
        <v>29.432432432432428</v>
      </c>
      <c r="S58" s="34">
        <f>VLOOKUP(D58,标准坦克设计!$B$13:$K$20,MATCH("半分连射数",标准坦克设计!$B$13:$K$13,0),FALSE)</f>
        <v>34.389473684210529</v>
      </c>
      <c r="T58" s="34">
        <f t="shared" si="19"/>
        <v>1.1684210526315792</v>
      </c>
      <c r="U58" s="143">
        <v>0.25</v>
      </c>
      <c r="V58" s="2">
        <v>1</v>
      </c>
      <c r="W58" s="2">
        <f t="shared" si="21"/>
        <v>0.46</v>
      </c>
    </row>
    <row r="59" spans="2:23" x14ac:dyDescent="0.3">
      <c r="B59" s="2" t="str">
        <f t="shared" si="9"/>
        <v>M-41</v>
      </c>
      <c r="C59" s="2" t="str">
        <f t="shared" si="10"/>
        <v>T4</v>
      </c>
      <c r="D59" s="2" t="str">
        <f t="shared" si="11"/>
        <v>轻坦弹夹</v>
      </c>
      <c r="E59" s="2">
        <f>VLOOKUP(D59,标准坦克设计!$B$13:$K$20,MATCH("弹夹容量",标准坦克设计!$B$13:$K$13,0),FALSE)</f>
        <v>9</v>
      </c>
      <c r="F59" s="41">
        <f>1+1/3</f>
        <v>1.3333333333333333</v>
      </c>
      <c r="G59" s="2">
        <f t="shared" si="22"/>
        <v>12</v>
      </c>
      <c r="H59" s="2">
        <f>VLOOKUP(D59,标准坦克设计!$B$13:$K$20,MATCH(H$51,标准坦克设计!$B$13:$K$13,0),FALSE)</f>
        <v>0.7</v>
      </c>
      <c r="I59" s="21">
        <v>1</v>
      </c>
      <c r="J59" s="2">
        <f t="shared" si="15"/>
        <v>0</v>
      </c>
      <c r="K59" s="2">
        <f t="shared" si="16"/>
        <v>8.3999999999999986</v>
      </c>
      <c r="L59" s="2">
        <f t="shared" si="13"/>
        <v>0.8</v>
      </c>
      <c r="M59" s="2">
        <f>IF(D59="轻坦弹夹",ROUND(((G59/VLOOKUP(D59,坦克类型系数!$AQ$3:$AX$10,MATCH("标准轮次数",坦克类型系数!$AQ$3:$AX$3,0),FALSE)-1)*L59*O59+VLOOKUP(D59,坦克类型系数!$AQ$3:$AX$10,MATCH("累积偏移角",坦克类型系数!$AQ$3:$AX$3,0),FALSE))/(G59/VLOOKUP(D59,坦克类型系数!$AQ$3:$AX$10,MATCH("标准轮次数",坦克类型系数!$AQ$3:$AX$3,0),FALSE))/2,2),ROUND(((G59/VLOOKUP(D59,坦克类型系数!$AQ$3:$AX$10,MATCH("标准轮次数",坦克类型系数!$AQ$3:$AX$3,0),FALSE)-1)*L59*O59+VLOOKUP(D59,坦克类型系数!$AQ$3:$AX$10,MATCH("累积偏移角",坦克类型系数!$AQ$3:$AX$3,0),FALSE))/(G59/VLOOKUP(D59,坦克类型系数!$AQ$3:$AX$10,MATCH("标准轮次数",坦克类型系数!$AQ$3:$AX$3,0),FALSE)),2))</f>
        <v>0.59</v>
      </c>
      <c r="N59" s="2">
        <f>VLOOKUP(D59,坦克类型系数!$AZ$3:$BE$10,4,FALSE)/F59</f>
        <v>0.36</v>
      </c>
      <c r="O59" s="2">
        <f t="shared" si="14"/>
        <v>1.2</v>
      </c>
      <c r="P59" s="34">
        <f t="shared" si="17"/>
        <v>47.720930232558146</v>
      </c>
      <c r="Q59" s="34">
        <f>VLOOKUP(D59,标准坦克设计!$B$13:$K$20,MATCH("60S射数",标准坦克设计!$B$13:$K$13,0),FALSE)/P59</f>
        <v>1.7611193476649369</v>
      </c>
      <c r="R59" s="34">
        <f t="shared" si="18"/>
        <v>26.790697674418603</v>
      </c>
      <c r="S59" s="34">
        <f>VLOOKUP(D59,标准坦克设计!$B$13:$K$20,MATCH("半分连射数",标准坦克设计!$B$13:$K$13,0),FALSE)</f>
        <v>34.389473684210529</v>
      </c>
      <c r="T59" s="34">
        <f t="shared" si="19"/>
        <v>1.2836348684210528</v>
      </c>
      <c r="U59" s="143">
        <v>0.25</v>
      </c>
      <c r="V59" s="2">
        <f t="shared" si="20"/>
        <v>3</v>
      </c>
      <c r="W59" s="2">
        <f t="shared" si="21"/>
        <v>1.56</v>
      </c>
    </row>
    <row r="60" spans="2:23" x14ac:dyDescent="0.3">
      <c r="B60" s="2" t="str">
        <f t="shared" si="9"/>
        <v>BMP-3</v>
      </c>
      <c r="C60" s="2" t="str">
        <f t="shared" si="10"/>
        <v>T4</v>
      </c>
      <c r="D60" s="2" t="str">
        <f t="shared" si="11"/>
        <v>轻坦弹夹</v>
      </c>
      <c r="E60" s="2">
        <f>VLOOKUP(D60,标准坦克设计!$B$13:$K$20,MATCH("弹夹容量",标准坦克设计!$B$13:$K$13,0),FALSE)</f>
        <v>9</v>
      </c>
      <c r="F60" s="41">
        <f>2/3</f>
        <v>0.66666666666666663</v>
      </c>
      <c r="G60" s="2">
        <f t="shared" si="22"/>
        <v>6</v>
      </c>
      <c r="H60" s="2">
        <f>VLOOKUP(D60,标准坦克设计!$B$13:$K$20,MATCH(H$51,标准坦克设计!$B$13:$K$13,0),FALSE)</f>
        <v>0.7</v>
      </c>
      <c r="I60" s="21">
        <v>1</v>
      </c>
      <c r="J60" s="2">
        <f t="shared" si="15"/>
        <v>0</v>
      </c>
      <c r="K60" s="2">
        <f t="shared" si="16"/>
        <v>4.1999999999999993</v>
      </c>
      <c r="L60" s="2">
        <f t="shared" si="13"/>
        <v>0.8</v>
      </c>
      <c r="M60" s="2">
        <f>IF(D60="轻坦弹夹",ROUND(((G60/VLOOKUP(D60,坦克类型系数!$AQ$3:$AX$10,MATCH("标准轮次数",坦克类型系数!$AQ$3:$AX$3,0),FALSE)-1)*L60*O60+VLOOKUP(D60,坦克类型系数!$AQ$3:$AX$10,MATCH("累积偏移角",坦克类型系数!$AQ$3:$AX$3,0),FALSE))/(G60/VLOOKUP(D60,坦克类型系数!$AQ$3:$AX$10,MATCH("标准轮次数",坦克类型系数!$AQ$3:$AX$3,0),FALSE))/2,2),ROUND(((G60/VLOOKUP(D60,坦克类型系数!$AQ$3:$AX$10,MATCH("标准轮次数",坦克类型系数!$AQ$3:$AX$3,0),FALSE)-1)*L60*O60+VLOOKUP(D60,坦克类型系数!$AQ$3:$AX$10,MATCH("累积偏移角",坦克类型系数!$AQ$3:$AX$3,0),FALSE))/(G60/VLOOKUP(D60,坦克类型系数!$AQ$3:$AX$10,MATCH("标准轮次数",坦克类型系数!$AQ$3:$AX$3,0),FALSE)),2))</f>
        <v>0.69</v>
      </c>
      <c r="N60" s="2">
        <f>VLOOKUP(D60,坦克类型系数!$AZ$3:$BE$10,4,FALSE)/F60</f>
        <v>0.72</v>
      </c>
      <c r="O60" s="2">
        <f t="shared" si="14"/>
        <v>1.2</v>
      </c>
      <c r="P60" s="34">
        <f t="shared" si="17"/>
        <v>46.975609756097569</v>
      </c>
      <c r="Q60" s="34">
        <f>VLOOKUP(D60,标准坦克设计!$B$13:$K$20,MATCH("60S射数",标准坦克设计!$B$13:$K$13,0),FALSE)/P60</f>
        <v>1.7890614716335393</v>
      </c>
      <c r="R60" s="34">
        <f t="shared" si="18"/>
        <v>25.024390243902438</v>
      </c>
      <c r="S60" s="34">
        <f>VLOOKUP(D60,标准坦克设计!$B$13:$K$20,MATCH("半分连射数",标准坦克设计!$B$13:$K$13,0),FALSE)</f>
        <v>34.389473684210529</v>
      </c>
      <c r="T60" s="34">
        <f t="shared" si="19"/>
        <v>1.3742382271468145</v>
      </c>
      <c r="U60" s="143">
        <v>0.25</v>
      </c>
      <c r="V60" s="2">
        <v>1</v>
      </c>
      <c r="W60" s="2">
        <f t="shared" si="21"/>
        <v>0.55000000000000004</v>
      </c>
    </row>
    <row r="61" spans="2:23" x14ac:dyDescent="0.3">
      <c r="B61" s="2" t="str">
        <f t="shared" si="9"/>
        <v>59式</v>
      </c>
      <c r="C61" s="2" t="str">
        <f t="shared" si="10"/>
        <v>T5</v>
      </c>
      <c r="D61" s="2" t="str">
        <f t="shared" si="11"/>
        <v>轻坦弹夹</v>
      </c>
      <c r="E61" s="2">
        <f>VLOOKUP(D61,标准坦克设计!$B$13:$K$20,MATCH("弹夹容量",标准坦克设计!$B$13:$K$13,0),FALSE)</f>
        <v>9</v>
      </c>
      <c r="F61" s="41">
        <v>1</v>
      </c>
      <c r="G61" s="2">
        <f t="shared" si="22"/>
        <v>9</v>
      </c>
      <c r="H61" s="2">
        <f>VLOOKUP(D61,标准坦克设计!$B$13:$K$20,MATCH(H$51,标准坦克设计!$B$13:$K$13,0),FALSE)</f>
        <v>0.7</v>
      </c>
      <c r="I61" s="21">
        <v>1</v>
      </c>
      <c r="J61" s="2">
        <f t="shared" si="15"/>
        <v>0</v>
      </c>
      <c r="K61" s="2">
        <f t="shared" si="16"/>
        <v>6.3</v>
      </c>
      <c r="L61" s="2">
        <f t="shared" si="13"/>
        <v>0.8</v>
      </c>
      <c r="M61" s="2">
        <f>IF(D61="轻坦弹夹",ROUND(((G61/VLOOKUP(D61,坦克类型系数!$AQ$3:$AX$10,MATCH("标准轮次数",坦克类型系数!$AQ$3:$AX$3,0),FALSE)-1)*L61*O61+VLOOKUP(D61,坦克类型系数!$AQ$3:$AX$10,MATCH("累积偏移角",坦克类型系数!$AQ$3:$AX$3,0),FALSE))/(G61/VLOOKUP(D61,坦克类型系数!$AQ$3:$AX$10,MATCH("标准轮次数",坦克类型系数!$AQ$3:$AX$3,0),FALSE))/2,2),ROUND(((G61/VLOOKUP(D61,坦克类型系数!$AQ$3:$AX$10,MATCH("标准轮次数",坦克类型系数!$AQ$3:$AX$3,0),FALSE)-1)*L61*O61+VLOOKUP(D61,坦克类型系数!$AQ$3:$AX$10,MATCH("累积偏移角",坦克类型系数!$AQ$3:$AX$3,0),FALSE))/(G61/VLOOKUP(D61,坦克类型系数!$AQ$3:$AX$10,MATCH("标准轮次数",坦克类型系数!$AQ$3:$AX$3,0),FALSE)),2))</f>
        <v>0.62</v>
      </c>
      <c r="N61" s="2">
        <f>VLOOKUP(D61,坦克类型系数!$AZ$3:$BE$10,4,FALSE)/F61</f>
        <v>0.48</v>
      </c>
      <c r="O61" s="2">
        <f t="shared" si="14"/>
        <v>1.2</v>
      </c>
      <c r="P61" s="34">
        <f t="shared" si="17"/>
        <v>46.984251968503941</v>
      </c>
      <c r="Q61" s="34">
        <f>VLOOKUP(D61,标准坦克设计!$B$13:$K$20,MATCH("60S射数",标准坦克设计!$B$13:$K$13,0),FALSE)/P61</f>
        <v>1.7887323943661972</v>
      </c>
      <c r="R61" s="34">
        <f t="shared" si="18"/>
        <v>25.7244094488189</v>
      </c>
      <c r="S61" s="34">
        <f>VLOOKUP(D61,标准坦克设计!$B$13:$K$20,MATCH("半分连射数",标准坦克设计!$B$13:$K$13,0),FALSE)</f>
        <v>34.389473684210529</v>
      </c>
      <c r="T61" s="34">
        <f t="shared" si="19"/>
        <v>1.3368421052631578</v>
      </c>
      <c r="U61" s="143">
        <v>0.25</v>
      </c>
      <c r="V61" s="2">
        <f t="shared" si="20"/>
        <v>3</v>
      </c>
      <c r="W61" s="2">
        <f t="shared" si="21"/>
        <v>1.59</v>
      </c>
    </row>
    <row r="62" spans="2:23" x14ac:dyDescent="0.3">
      <c r="B62" s="2" t="str">
        <f t="shared" si="9"/>
        <v>Stuart</v>
      </c>
      <c r="C62" s="2" t="str">
        <f t="shared" si="10"/>
        <v>T1</v>
      </c>
      <c r="D62" s="2" t="str">
        <f t="shared" si="11"/>
        <v>中坦自动</v>
      </c>
      <c r="E62" s="2">
        <f>VLOOKUP(D62,标准坦克设计!$B$13:$K$20,MATCH("弹夹容量",标准坦克设计!$B$13:$K$13,0),FALSE)</f>
        <v>6</v>
      </c>
      <c r="F62" s="41">
        <v>1.5</v>
      </c>
      <c r="G62" s="2">
        <f t="shared" si="22"/>
        <v>9</v>
      </c>
      <c r="H62" s="2">
        <f>VLOOKUP(D62,标准坦克设计!$B$13:$K$20,MATCH(H$51,标准坦克设计!$B$13:$K$13,0),FALSE)</f>
        <v>2</v>
      </c>
      <c r="I62" s="21">
        <v>1.6</v>
      </c>
      <c r="J62" s="2">
        <f t="shared" si="15"/>
        <v>3.2</v>
      </c>
      <c r="K62" s="2">
        <f t="shared" si="16"/>
        <v>0</v>
      </c>
      <c r="L62" s="2">
        <f t="shared" si="13"/>
        <v>0.30000000000000004</v>
      </c>
      <c r="M62" s="2">
        <f>IF(D62="轻坦弹夹",ROUND(((G62/VLOOKUP(D62,坦克类型系数!$AQ$3:$AX$10,MATCH("标准轮次数",坦克类型系数!$AQ$3:$AX$3,0),FALSE)-1)*L62*O62+VLOOKUP(D62,坦克类型系数!$AQ$3:$AX$10,MATCH("累积偏移角",坦克类型系数!$AQ$3:$AX$3,0),FALSE))/(G62/VLOOKUP(D62,坦克类型系数!$AQ$3:$AX$10,MATCH("标准轮次数",坦克类型系数!$AQ$3:$AX$3,0),FALSE))/2,2),ROUND(((G62/VLOOKUP(D62,坦克类型系数!$AQ$3:$AX$10,MATCH("标准轮次数",坦克类型系数!$AQ$3:$AX$3,0),FALSE)-1)*L62*O62+VLOOKUP(D62,坦克类型系数!$AQ$3:$AX$10,MATCH("累积偏移角",坦克类型系数!$AQ$3:$AX$3,0),FALSE))/(G62/VLOOKUP(D62,坦克类型系数!$AQ$3:$AX$10,MATCH("标准轮次数",坦克类型系数!$AQ$3:$AX$3,0),FALSE)),2))</f>
        <v>1</v>
      </c>
      <c r="N62" s="2">
        <f>VLOOKUP(D62,坦克类型系数!$AZ$3:$BE$10,4,FALSE)/F62</f>
        <v>1.5999999999999999</v>
      </c>
      <c r="O62" s="2">
        <f t="shared" si="14"/>
        <v>1</v>
      </c>
      <c r="P62" s="34">
        <f t="shared" si="17"/>
        <v>27.75</v>
      </c>
      <c r="Q62" s="34">
        <f>VLOOKUP(D62,标准坦克设计!$B$13:$K$20,MATCH("60S射数",标准坦克设计!$B$13:$K$13,0),FALSE)/P62</f>
        <v>1.2972972972972974</v>
      </c>
      <c r="R62" s="34">
        <f t="shared" si="18"/>
        <v>18.375</v>
      </c>
      <c r="S62" s="34">
        <f>VLOOKUP(D62,标准坦克设计!$B$13:$K$20,MATCH("半分连射数",标准坦克设计!$B$13:$K$13,0),FALSE)</f>
        <v>21</v>
      </c>
      <c r="T62" s="34">
        <f t="shared" si="19"/>
        <v>1.1428571428571428</v>
      </c>
      <c r="U62" s="143">
        <v>0.25</v>
      </c>
      <c r="V62" s="2">
        <f t="shared" si="20"/>
        <v>3</v>
      </c>
      <c r="W62" s="2">
        <f t="shared" si="21"/>
        <v>5.64</v>
      </c>
    </row>
    <row r="63" spans="2:23" x14ac:dyDescent="0.3">
      <c r="B63" s="2" t="str">
        <f t="shared" si="9"/>
        <v>T-34</v>
      </c>
      <c r="C63" s="2" t="str">
        <f t="shared" si="10"/>
        <v>T2</v>
      </c>
      <c r="D63" s="2" t="str">
        <f t="shared" si="11"/>
        <v>中坦自动</v>
      </c>
      <c r="E63" s="2">
        <f>VLOOKUP(D63,标准坦克设计!$B$13:$K$20,MATCH("弹夹容量",标准坦克设计!$B$13:$K$13,0),FALSE)</f>
        <v>6</v>
      </c>
      <c r="F63" s="41">
        <v>1.5</v>
      </c>
      <c r="G63" s="2">
        <f t="shared" si="22"/>
        <v>9</v>
      </c>
      <c r="H63" s="2">
        <f>VLOOKUP(D63,标准坦克设计!$B$13:$K$20,MATCH(H$51,标准坦克设计!$B$13:$K$13,0),FALSE)</f>
        <v>2</v>
      </c>
      <c r="I63" s="21">
        <v>1.6</v>
      </c>
      <c r="J63" s="2">
        <f t="shared" si="15"/>
        <v>3.2</v>
      </c>
      <c r="K63" s="2">
        <f t="shared" si="16"/>
        <v>0</v>
      </c>
      <c r="L63" s="2">
        <f t="shared" si="13"/>
        <v>0.32</v>
      </c>
      <c r="M63" s="2">
        <f>IF(D63="轻坦弹夹",ROUND(((G63/VLOOKUP(D63,坦克类型系数!$AQ$3:$AX$10,MATCH("标准轮次数",坦克类型系数!$AQ$3:$AX$3,0),FALSE)-1)*L63*O63+VLOOKUP(D63,坦克类型系数!$AQ$3:$AX$10,MATCH("累积偏移角",坦克类型系数!$AQ$3:$AX$3,0),FALSE))/(G63/VLOOKUP(D63,坦克类型系数!$AQ$3:$AX$10,MATCH("标准轮次数",坦克类型系数!$AQ$3:$AX$3,0),FALSE))/2,2),ROUND(((G63/VLOOKUP(D63,坦克类型系数!$AQ$3:$AX$10,MATCH("标准轮次数",坦克类型系数!$AQ$3:$AX$3,0),FALSE)-1)*L63*O63+VLOOKUP(D63,坦克类型系数!$AQ$3:$AX$10,MATCH("累积偏移角",坦克类型系数!$AQ$3:$AX$3,0),FALSE))/(G63/VLOOKUP(D63,坦克类型系数!$AQ$3:$AX$10,MATCH("标准轮次数",坦克类型系数!$AQ$3:$AX$3,0),FALSE)),2))</f>
        <v>1.01</v>
      </c>
      <c r="N63" s="2">
        <f>VLOOKUP(D63,坦克类型系数!$AZ$3:$BE$10,4,FALSE)/F63</f>
        <v>1.5999999999999999</v>
      </c>
      <c r="O63" s="2">
        <f t="shared" si="14"/>
        <v>1</v>
      </c>
      <c r="P63" s="34">
        <f t="shared" si="17"/>
        <v>27.75</v>
      </c>
      <c r="Q63" s="34">
        <f>VLOOKUP(D63,标准坦克设计!$B$13:$K$20,MATCH("60S射数",标准坦克设计!$B$13:$K$13,0),FALSE)/P63</f>
        <v>1.2972972972972974</v>
      </c>
      <c r="R63" s="34">
        <f t="shared" si="18"/>
        <v>18.375</v>
      </c>
      <c r="S63" s="34">
        <f>VLOOKUP(D63,标准坦克设计!$B$13:$K$20,MATCH("半分连射数",标准坦克设计!$B$13:$K$13,0),FALSE)</f>
        <v>21</v>
      </c>
      <c r="T63" s="34">
        <f t="shared" si="19"/>
        <v>1.1428571428571428</v>
      </c>
      <c r="U63" s="143">
        <v>0.25</v>
      </c>
      <c r="V63" s="2">
        <f t="shared" si="20"/>
        <v>3</v>
      </c>
      <c r="W63" s="2">
        <f t="shared" si="21"/>
        <v>5.64</v>
      </c>
    </row>
    <row r="64" spans="2:23" x14ac:dyDescent="0.3">
      <c r="B64" s="2" t="str">
        <f t="shared" si="9"/>
        <v>四号</v>
      </c>
      <c r="C64" s="2" t="str">
        <f t="shared" si="10"/>
        <v>T2</v>
      </c>
      <c r="D64" s="2" t="str">
        <f t="shared" si="11"/>
        <v>中坦自动</v>
      </c>
      <c r="E64" s="2">
        <f>VLOOKUP(D64,标准坦克设计!$B$13:$K$20,MATCH("弹夹容量",标准坦克设计!$B$13:$K$13,0),FALSE)</f>
        <v>6</v>
      </c>
      <c r="F64" s="41">
        <v>1</v>
      </c>
      <c r="G64" s="2">
        <f t="shared" si="22"/>
        <v>6</v>
      </c>
      <c r="H64" s="2">
        <f>VLOOKUP(D64,标准坦克设计!$B$13:$K$20,MATCH(H$51,标准坦克设计!$B$13:$K$13,0),FALSE)</f>
        <v>2</v>
      </c>
      <c r="I64" s="21">
        <v>1.2</v>
      </c>
      <c r="J64" s="2">
        <f t="shared" si="15"/>
        <v>2.4</v>
      </c>
      <c r="K64" s="2">
        <f t="shared" si="16"/>
        <v>0</v>
      </c>
      <c r="L64" s="2">
        <f t="shared" si="13"/>
        <v>0.4</v>
      </c>
      <c r="M64" s="2">
        <f>IF(D64="轻坦弹夹",ROUND(((G64/VLOOKUP(D64,坦克类型系数!$AQ$3:$AX$10,MATCH("标准轮次数",坦克类型系数!$AQ$3:$AX$3,0),FALSE)-1)*L64*O64+VLOOKUP(D64,坦克类型系数!$AQ$3:$AX$10,MATCH("累积偏移角",坦克类型系数!$AQ$3:$AX$3,0),FALSE))/(G64/VLOOKUP(D64,坦克类型系数!$AQ$3:$AX$10,MATCH("标准轮次数",坦克类型系数!$AQ$3:$AX$3,0),FALSE))/2,2),ROUND(((G64/VLOOKUP(D64,坦克类型系数!$AQ$3:$AX$10,MATCH("标准轮次数",坦克类型系数!$AQ$3:$AX$3,0),FALSE)-1)*L64*O64+VLOOKUP(D64,坦克类型系数!$AQ$3:$AX$10,MATCH("累积偏移角",坦克类型系数!$AQ$3:$AX$3,0),FALSE))/(G64/VLOOKUP(D64,坦克类型系数!$AQ$3:$AX$10,MATCH("标准轮次数",坦克类型系数!$AQ$3:$AX$3,0),FALSE)),2))</f>
        <v>1.4</v>
      </c>
      <c r="N64" s="2">
        <f>VLOOKUP(D64,坦克类型系数!$AZ$3:$BE$10,4,FALSE)/F64</f>
        <v>2.4</v>
      </c>
      <c r="O64" s="2">
        <f t="shared" si="14"/>
        <v>1</v>
      </c>
      <c r="P64" s="34">
        <f t="shared" si="17"/>
        <v>31</v>
      </c>
      <c r="Q64" s="34">
        <f>VLOOKUP(D64,标准坦克设计!$B$13:$K$20,MATCH("60S射数",标准坦克设计!$B$13:$K$13,0),FALSE)/P64</f>
        <v>1.1612903225806452</v>
      </c>
      <c r="R64" s="34">
        <f t="shared" si="18"/>
        <v>18.5</v>
      </c>
      <c r="S64" s="34">
        <f>VLOOKUP(D64,标准坦克设计!$B$13:$K$20,MATCH("半分连射数",标准坦克设计!$B$13:$K$13,0),FALSE)</f>
        <v>21</v>
      </c>
      <c r="T64" s="34">
        <f t="shared" si="19"/>
        <v>1.1351351351351351</v>
      </c>
      <c r="U64" s="143">
        <v>0.25</v>
      </c>
      <c r="V64" s="2">
        <f t="shared" si="20"/>
        <v>2</v>
      </c>
      <c r="W64" s="2">
        <f t="shared" si="21"/>
        <v>2.16</v>
      </c>
    </row>
    <row r="65" spans="2:23" x14ac:dyDescent="0.3">
      <c r="B65" s="2" t="str">
        <f t="shared" si="9"/>
        <v>玛蒂尔达</v>
      </c>
      <c r="C65" s="2" t="str">
        <f t="shared" si="10"/>
        <v>T3</v>
      </c>
      <c r="D65" s="2" t="str">
        <f t="shared" si="11"/>
        <v>中坦自动</v>
      </c>
      <c r="E65" s="2">
        <f>VLOOKUP(D65,标准坦克设计!$B$13:$K$20,MATCH("弹夹容量",标准坦克设计!$B$13:$K$13,0),FALSE)</f>
        <v>6</v>
      </c>
      <c r="F65" s="41">
        <v>1.5</v>
      </c>
      <c r="G65" s="2">
        <f t="shared" si="22"/>
        <v>9</v>
      </c>
      <c r="H65" s="2">
        <f>VLOOKUP(D65,标准坦克设计!$B$13:$K$20,MATCH(H$51,标准坦克设计!$B$13:$K$13,0),FALSE)</f>
        <v>2</v>
      </c>
      <c r="I65" s="21">
        <v>1.6</v>
      </c>
      <c r="J65" s="2">
        <f t="shared" si="15"/>
        <v>3.2</v>
      </c>
      <c r="K65" s="2">
        <f t="shared" si="16"/>
        <v>0</v>
      </c>
      <c r="L65" s="2">
        <f t="shared" si="13"/>
        <v>0.28000000000000003</v>
      </c>
      <c r="M65" s="2">
        <f>IF(D65="轻坦弹夹",ROUND(((G65/VLOOKUP(D65,坦克类型系数!$AQ$3:$AX$10,MATCH("标准轮次数",坦克类型系数!$AQ$3:$AX$3,0),FALSE)-1)*L65*O65+VLOOKUP(D65,坦克类型系数!$AQ$3:$AX$10,MATCH("累积偏移角",坦克类型系数!$AQ$3:$AX$3,0),FALSE))/(G65/VLOOKUP(D65,坦克类型系数!$AQ$3:$AX$10,MATCH("标准轮次数",坦克类型系数!$AQ$3:$AX$3,0),FALSE))/2,2),ROUND(((G65/VLOOKUP(D65,坦克类型系数!$AQ$3:$AX$10,MATCH("标准轮次数",坦克类型系数!$AQ$3:$AX$3,0),FALSE)-1)*L65*O65+VLOOKUP(D65,坦克类型系数!$AQ$3:$AX$10,MATCH("累积偏移角",坦克类型系数!$AQ$3:$AX$3,0),FALSE))/(G65/VLOOKUP(D65,坦克类型系数!$AQ$3:$AX$10,MATCH("标准轮次数",坦克类型系数!$AQ$3:$AX$3,0),FALSE)),2))</f>
        <v>0.99</v>
      </c>
      <c r="N65" s="2">
        <f>VLOOKUP(D65,坦克类型系数!$AZ$3:$BE$10,4,FALSE)/F65</f>
        <v>1.5999999999999999</v>
      </c>
      <c r="O65" s="2">
        <f t="shared" si="14"/>
        <v>1</v>
      </c>
      <c r="P65" s="34">
        <f t="shared" si="17"/>
        <v>27.75</v>
      </c>
      <c r="Q65" s="34">
        <f>VLOOKUP(D65,标准坦克设计!$B$13:$K$20,MATCH("60S射数",标准坦克设计!$B$13:$K$13,0),FALSE)/P65</f>
        <v>1.2972972972972974</v>
      </c>
      <c r="R65" s="34">
        <f t="shared" si="18"/>
        <v>18.375</v>
      </c>
      <c r="S65" s="34">
        <f>VLOOKUP(D65,标准坦克设计!$B$13:$K$20,MATCH("半分连射数",标准坦克设计!$B$13:$K$13,0),FALSE)</f>
        <v>21</v>
      </c>
      <c r="T65" s="34">
        <f t="shared" si="19"/>
        <v>1.1428571428571428</v>
      </c>
      <c r="U65" s="143">
        <v>0.25</v>
      </c>
      <c r="V65" s="2">
        <f t="shared" si="20"/>
        <v>3</v>
      </c>
      <c r="W65" s="2">
        <f t="shared" si="21"/>
        <v>5.64</v>
      </c>
    </row>
    <row r="66" spans="2:23" x14ac:dyDescent="0.3">
      <c r="B66" s="2" t="str">
        <f t="shared" si="9"/>
        <v>谢尔曼</v>
      </c>
      <c r="C66" s="2" t="str">
        <f t="shared" si="10"/>
        <v>T3</v>
      </c>
      <c r="D66" s="2" t="str">
        <f t="shared" si="11"/>
        <v>中坦自动</v>
      </c>
      <c r="E66" s="2">
        <f>VLOOKUP(D66,标准坦克设计!$B$13:$K$20,MATCH("弹夹容量",标准坦克设计!$B$13:$K$13,0),FALSE)</f>
        <v>6</v>
      </c>
      <c r="F66" s="41">
        <v>1</v>
      </c>
      <c r="G66" s="2">
        <f t="shared" si="22"/>
        <v>6</v>
      </c>
      <c r="H66" s="2">
        <f>VLOOKUP(D66,标准坦克设计!$B$13:$K$20,MATCH(H$51,标准坦克设计!$B$13:$K$13,0),FALSE)</f>
        <v>2</v>
      </c>
      <c r="I66" s="21">
        <v>1.2</v>
      </c>
      <c r="J66" s="2">
        <f t="shared" si="15"/>
        <v>2.4</v>
      </c>
      <c r="K66" s="2">
        <f t="shared" si="16"/>
        <v>0</v>
      </c>
      <c r="L66" s="2">
        <f t="shared" si="13"/>
        <v>0.4</v>
      </c>
      <c r="M66" s="2">
        <f>IF(D66="轻坦弹夹",ROUND(((G66/VLOOKUP(D66,坦克类型系数!$AQ$3:$AX$10,MATCH("标准轮次数",坦克类型系数!$AQ$3:$AX$3,0),FALSE)-1)*L66*O66+VLOOKUP(D66,坦克类型系数!$AQ$3:$AX$10,MATCH("累积偏移角",坦克类型系数!$AQ$3:$AX$3,0),FALSE))/(G66/VLOOKUP(D66,坦克类型系数!$AQ$3:$AX$10,MATCH("标准轮次数",坦克类型系数!$AQ$3:$AX$3,0),FALSE))/2,2),ROUND(((G66/VLOOKUP(D66,坦克类型系数!$AQ$3:$AX$10,MATCH("标准轮次数",坦克类型系数!$AQ$3:$AX$3,0),FALSE)-1)*L66*O66+VLOOKUP(D66,坦克类型系数!$AQ$3:$AX$10,MATCH("累积偏移角",坦克类型系数!$AQ$3:$AX$3,0),FALSE))/(G66/VLOOKUP(D66,坦克类型系数!$AQ$3:$AX$10,MATCH("标准轮次数",坦克类型系数!$AQ$3:$AX$3,0),FALSE)),2))</f>
        <v>1.4</v>
      </c>
      <c r="N66" s="2">
        <f>VLOOKUP(D66,坦克类型系数!$AZ$3:$BE$10,4,FALSE)/F66</f>
        <v>2.4</v>
      </c>
      <c r="O66" s="2">
        <f t="shared" si="14"/>
        <v>1</v>
      </c>
      <c r="P66" s="34">
        <f t="shared" si="17"/>
        <v>31</v>
      </c>
      <c r="Q66" s="34">
        <f>VLOOKUP(D66,标准坦克设计!$B$13:$K$20,MATCH("60S射数",标准坦克设计!$B$13:$K$13,0),FALSE)/P66</f>
        <v>1.1612903225806452</v>
      </c>
      <c r="R66" s="34">
        <f t="shared" si="18"/>
        <v>18.5</v>
      </c>
      <c r="S66" s="34">
        <f>VLOOKUP(D66,标准坦克设计!$B$13:$K$20,MATCH("半分连射数",标准坦克设计!$B$13:$K$13,0),FALSE)</f>
        <v>21</v>
      </c>
      <c r="T66" s="34">
        <f t="shared" si="19"/>
        <v>1.1351351351351351</v>
      </c>
      <c r="U66" s="143">
        <v>0.25</v>
      </c>
      <c r="V66" s="2">
        <f t="shared" si="20"/>
        <v>2</v>
      </c>
      <c r="W66" s="2">
        <f t="shared" si="21"/>
        <v>2.16</v>
      </c>
    </row>
    <row r="67" spans="2:23" x14ac:dyDescent="0.3">
      <c r="B67" s="2" t="str">
        <f t="shared" si="9"/>
        <v>彗星</v>
      </c>
      <c r="C67" s="2" t="str">
        <f t="shared" si="10"/>
        <v>T3</v>
      </c>
      <c r="D67" s="2" t="str">
        <f t="shared" si="11"/>
        <v>中坦自动</v>
      </c>
      <c r="E67" s="2">
        <f>VLOOKUP(D67,标准坦克设计!$B$13:$K$20,MATCH("弹夹容量",标准坦克设计!$B$13:$K$13,0),FALSE)</f>
        <v>6</v>
      </c>
      <c r="F67" s="41">
        <f>4/3</f>
        <v>1.3333333333333333</v>
      </c>
      <c r="G67" s="2">
        <f t="shared" si="22"/>
        <v>8</v>
      </c>
      <c r="H67" s="2">
        <f>VLOOKUP(D67,标准坦克设计!$B$13:$K$20,MATCH(H$51,标准坦克设计!$B$13:$K$13,0),FALSE)</f>
        <v>2</v>
      </c>
      <c r="I67" s="21">
        <v>1.5</v>
      </c>
      <c r="J67" s="2">
        <f t="shared" si="15"/>
        <v>3</v>
      </c>
      <c r="K67" s="2">
        <f t="shared" si="16"/>
        <v>0</v>
      </c>
      <c r="L67" s="2">
        <f t="shared" si="13"/>
        <v>0.4</v>
      </c>
      <c r="M67" s="2">
        <f>IF(D67="轻坦弹夹",ROUND(((G67/VLOOKUP(D67,坦克类型系数!$AQ$3:$AX$10,MATCH("标准轮次数",坦克类型系数!$AQ$3:$AX$3,0),FALSE)-1)*L67*O67+VLOOKUP(D67,坦克类型系数!$AQ$3:$AX$10,MATCH("累积偏移角",坦克类型系数!$AQ$3:$AX$3,0),FALSE))/(G67/VLOOKUP(D67,坦克类型系数!$AQ$3:$AX$10,MATCH("标准轮次数",坦克类型系数!$AQ$3:$AX$3,0),FALSE))/2,2),ROUND(((G67/VLOOKUP(D67,坦克类型系数!$AQ$3:$AX$10,MATCH("标准轮次数",坦克类型系数!$AQ$3:$AX$3,0),FALSE)-1)*L67*O67+VLOOKUP(D67,坦克类型系数!$AQ$3:$AX$10,MATCH("累积偏移角",坦克类型系数!$AQ$3:$AX$3,0),FALSE))/(G67/VLOOKUP(D67,坦克类型系数!$AQ$3:$AX$10,MATCH("标准轮次数",坦克类型系数!$AQ$3:$AX$3,0),FALSE)),2))</f>
        <v>1.1499999999999999</v>
      </c>
      <c r="N67" s="2">
        <f>VLOOKUP(D67,坦克类型系数!$AZ$3:$BE$10,4,FALSE)/F67</f>
        <v>1.8</v>
      </c>
      <c r="O67" s="2">
        <f t="shared" si="14"/>
        <v>1</v>
      </c>
      <c r="P67" s="34">
        <f t="shared" si="17"/>
        <v>28</v>
      </c>
      <c r="Q67" s="34">
        <f>VLOOKUP(D67,标准坦克设计!$B$13:$K$20,MATCH("60S射数",标准坦克设计!$B$13:$K$13,0),FALSE)/P67</f>
        <v>1.2857142857142858</v>
      </c>
      <c r="R67" s="34">
        <f t="shared" si="18"/>
        <v>18</v>
      </c>
      <c r="S67" s="34">
        <f>VLOOKUP(D67,标准坦克设计!$B$13:$K$20,MATCH("半分连射数",标准坦克设计!$B$13:$K$13,0),FALSE)</f>
        <v>21</v>
      </c>
      <c r="T67" s="34">
        <f t="shared" si="19"/>
        <v>1.1666666666666667</v>
      </c>
      <c r="U67" s="143">
        <v>0.25</v>
      </c>
      <c r="V67" s="2">
        <f t="shared" si="20"/>
        <v>2</v>
      </c>
      <c r="W67" s="2">
        <f t="shared" si="21"/>
        <v>3.23</v>
      </c>
    </row>
    <row r="68" spans="2:23" x14ac:dyDescent="0.3">
      <c r="B68" s="2" t="str">
        <f t="shared" si="9"/>
        <v>M-48</v>
      </c>
      <c r="C68" s="2" t="str">
        <f t="shared" si="10"/>
        <v>T4</v>
      </c>
      <c r="D68" s="2" t="str">
        <f t="shared" si="11"/>
        <v>中坦自动</v>
      </c>
      <c r="E68" s="2">
        <f>VLOOKUP(D68,标准坦克设计!$B$13:$K$20,MATCH("弹夹容量",标准坦克设计!$B$13:$K$13,0),FALSE)</f>
        <v>6</v>
      </c>
      <c r="F68" s="41">
        <v>1</v>
      </c>
      <c r="G68" s="2">
        <f t="shared" si="22"/>
        <v>6</v>
      </c>
      <c r="H68" s="2">
        <f>VLOOKUP(D68,标准坦克设计!$B$13:$K$20,MATCH(H$51,标准坦克设计!$B$13:$K$13,0),FALSE)</f>
        <v>2</v>
      </c>
      <c r="I68" s="21">
        <v>1.2</v>
      </c>
      <c r="J68" s="2">
        <f t="shared" si="15"/>
        <v>2.4</v>
      </c>
      <c r="K68" s="2">
        <f t="shared" si="16"/>
        <v>0</v>
      </c>
      <c r="L68" s="2">
        <f t="shared" si="13"/>
        <v>0.32</v>
      </c>
      <c r="M68" s="2">
        <f>IF(D68="轻坦弹夹",ROUND(((G68/VLOOKUP(D68,坦克类型系数!$AQ$3:$AX$10,MATCH("标准轮次数",坦克类型系数!$AQ$3:$AX$3,0),FALSE)-1)*L68*O68+VLOOKUP(D68,坦克类型系数!$AQ$3:$AX$10,MATCH("累积偏移角",坦克类型系数!$AQ$3:$AX$3,0),FALSE))/(G68/VLOOKUP(D68,坦克类型系数!$AQ$3:$AX$10,MATCH("标准轮次数",坦克类型系数!$AQ$3:$AX$3,0),FALSE))/2,2),ROUND(((G68/VLOOKUP(D68,坦克类型系数!$AQ$3:$AX$10,MATCH("标准轮次数",坦克类型系数!$AQ$3:$AX$3,0),FALSE)-1)*L68*O68+VLOOKUP(D68,坦克类型系数!$AQ$3:$AX$10,MATCH("累积偏移角",坦克类型系数!$AQ$3:$AX$3,0),FALSE))/(G68/VLOOKUP(D68,坦克类型系数!$AQ$3:$AX$10,MATCH("标准轮次数",坦克类型系数!$AQ$3:$AX$3,0),FALSE)),2))</f>
        <v>1.36</v>
      </c>
      <c r="N68" s="2">
        <f>VLOOKUP(D68,坦克类型系数!$AZ$3:$BE$10,4,FALSE)/F68</f>
        <v>2.4</v>
      </c>
      <c r="O68" s="2">
        <f t="shared" si="14"/>
        <v>1</v>
      </c>
      <c r="P68" s="34">
        <f t="shared" si="17"/>
        <v>31</v>
      </c>
      <c r="Q68" s="34">
        <f>VLOOKUP(D68,标准坦克设计!$B$13:$K$20,MATCH("60S射数",标准坦克设计!$B$13:$K$13,0),FALSE)/P68</f>
        <v>1.1612903225806452</v>
      </c>
      <c r="R68" s="34">
        <f t="shared" si="18"/>
        <v>18.5</v>
      </c>
      <c r="S68" s="34">
        <f>VLOOKUP(D68,标准坦克设计!$B$13:$K$20,MATCH("半分连射数",标准坦克设计!$B$13:$K$13,0),FALSE)</f>
        <v>21</v>
      </c>
      <c r="T68" s="34">
        <f t="shared" si="19"/>
        <v>1.1351351351351351</v>
      </c>
      <c r="U68" s="143">
        <v>0.25</v>
      </c>
      <c r="V68" s="2">
        <f t="shared" si="20"/>
        <v>2</v>
      </c>
      <c r="W68" s="2">
        <f t="shared" si="21"/>
        <v>2.16</v>
      </c>
    </row>
    <row r="69" spans="2:23" x14ac:dyDescent="0.3">
      <c r="B69" s="2" t="str">
        <f t="shared" si="9"/>
        <v>潘兴</v>
      </c>
      <c r="C69" s="2" t="str">
        <f t="shared" si="10"/>
        <v>T4</v>
      </c>
      <c r="D69" s="2" t="str">
        <f t="shared" si="11"/>
        <v>中坦自动</v>
      </c>
      <c r="E69" s="2">
        <f>VLOOKUP(D69,标准坦克设计!$B$13:$K$20,MATCH("弹夹容量",标准坦克设计!$B$13:$K$13,0),FALSE)</f>
        <v>6</v>
      </c>
      <c r="F69" s="41">
        <f>5/3</f>
        <v>1.6666666666666667</v>
      </c>
      <c r="G69" s="2">
        <f t="shared" si="22"/>
        <v>10</v>
      </c>
      <c r="H69" s="2">
        <f>VLOOKUP(D69,标准坦克设计!$B$13:$K$20,MATCH(H$51,标准坦克设计!$B$13:$K$13,0),FALSE)</f>
        <v>2</v>
      </c>
      <c r="I69" s="21">
        <v>1.8</v>
      </c>
      <c r="J69" s="2">
        <f t="shared" si="15"/>
        <v>3.6</v>
      </c>
      <c r="K69" s="2">
        <f t="shared" si="16"/>
        <v>0</v>
      </c>
      <c r="L69" s="2">
        <f t="shared" si="13"/>
        <v>0.4</v>
      </c>
      <c r="M69" s="2">
        <f>IF(D69="轻坦弹夹",ROUND(((G69/VLOOKUP(D69,坦克类型系数!$AQ$3:$AX$10,MATCH("标准轮次数",坦克类型系数!$AQ$3:$AX$3,0),FALSE)-1)*L69*O69+VLOOKUP(D69,坦克类型系数!$AQ$3:$AX$10,MATCH("累积偏移角",坦克类型系数!$AQ$3:$AX$3,0),FALSE))/(G69/VLOOKUP(D69,坦克类型系数!$AQ$3:$AX$10,MATCH("标准轮次数",坦克类型系数!$AQ$3:$AX$3,0),FALSE))/2,2),ROUND(((G69/VLOOKUP(D69,坦克类型系数!$AQ$3:$AX$10,MATCH("标准轮次数",坦克类型系数!$AQ$3:$AX$3,0),FALSE)-1)*L69*O69+VLOOKUP(D69,坦克类型系数!$AQ$3:$AX$10,MATCH("累积偏移角",坦克类型系数!$AQ$3:$AX$3,0),FALSE))/(G69/VLOOKUP(D69,坦克类型系数!$AQ$3:$AX$10,MATCH("标准轮次数",坦克类型系数!$AQ$3:$AX$3,0),FALSE)),2))</f>
        <v>1</v>
      </c>
      <c r="N69" s="2">
        <f>VLOOKUP(D69,坦克类型系数!$AZ$3:$BE$10,4,FALSE)/F69</f>
        <v>1.44</v>
      </c>
      <c r="O69" s="2">
        <f t="shared" si="14"/>
        <v>1</v>
      </c>
      <c r="P69" s="34">
        <f t="shared" si="17"/>
        <v>26.666666666666668</v>
      </c>
      <c r="Q69" s="34">
        <f>VLOOKUP(D69,标准坦克设计!$B$13:$K$20,MATCH("60S射数",标准坦克设计!$B$13:$K$13,0),FALSE)/P69</f>
        <v>1.3499999999999999</v>
      </c>
      <c r="R69" s="34">
        <f t="shared" si="18"/>
        <v>18.333333333333336</v>
      </c>
      <c r="S69" s="34">
        <f>VLOOKUP(D69,标准坦克设计!$B$13:$K$20,MATCH("半分连射数",标准坦克设计!$B$13:$K$13,0),FALSE)</f>
        <v>21</v>
      </c>
      <c r="T69" s="34">
        <f t="shared" si="19"/>
        <v>1.1454545454545453</v>
      </c>
      <c r="U69" s="143">
        <v>0.25</v>
      </c>
      <c r="V69" s="2">
        <f t="shared" si="20"/>
        <v>3</v>
      </c>
      <c r="W69" s="2">
        <f t="shared" si="21"/>
        <v>7.2</v>
      </c>
    </row>
    <row r="70" spans="2:23" x14ac:dyDescent="0.3">
      <c r="B70" s="2" t="str">
        <f t="shared" si="9"/>
        <v>百夫长</v>
      </c>
      <c r="C70" s="2" t="str">
        <f t="shared" si="10"/>
        <v>T4</v>
      </c>
      <c r="D70" s="2" t="str">
        <f t="shared" si="11"/>
        <v>中坦自动</v>
      </c>
      <c r="E70" s="2">
        <f>VLOOKUP(D70,标准坦克设计!$B$13:$K$20,MATCH("弹夹容量",标准坦克设计!$B$13:$K$13,0),FALSE)</f>
        <v>6</v>
      </c>
      <c r="F70" s="41">
        <f>2/3</f>
        <v>0.66666666666666663</v>
      </c>
      <c r="G70" s="2">
        <f t="shared" si="22"/>
        <v>4</v>
      </c>
      <c r="H70" s="2">
        <f>VLOOKUP(D70,标准坦克设计!$B$13:$K$20,MATCH(H$51,标准坦克设计!$B$13:$K$13,0),FALSE)</f>
        <v>2</v>
      </c>
      <c r="I70" s="21">
        <v>1.2</v>
      </c>
      <c r="J70" s="2">
        <f t="shared" si="15"/>
        <v>2.4</v>
      </c>
      <c r="K70" s="2">
        <f t="shared" si="16"/>
        <v>0</v>
      </c>
      <c r="L70" s="2">
        <f t="shared" si="13"/>
        <v>0.26</v>
      </c>
      <c r="M70" s="2">
        <f>IF(D70="轻坦弹夹",ROUND(((G70/VLOOKUP(D70,坦克类型系数!$AQ$3:$AX$10,MATCH("标准轮次数",坦克类型系数!$AQ$3:$AX$3,0),FALSE)-1)*L70*O70+VLOOKUP(D70,坦克类型系数!$AQ$3:$AX$10,MATCH("累积偏移角",坦克类型系数!$AQ$3:$AX$3,0),FALSE))/(G70/VLOOKUP(D70,坦克类型系数!$AQ$3:$AX$10,MATCH("标准轮次数",坦克类型系数!$AQ$3:$AX$3,0),FALSE))/2,2),ROUND(((G70/VLOOKUP(D70,坦克类型系数!$AQ$3:$AX$10,MATCH("标准轮次数",坦克类型系数!$AQ$3:$AX$3,0),FALSE)-1)*L70*O70+VLOOKUP(D70,坦克类型系数!$AQ$3:$AX$10,MATCH("累积偏移角",坦克类型系数!$AQ$3:$AX$3,0),FALSE))/(G70/VLOOKUP(D70,坦克类型系数!$AQ$3:$AX$10,MATCH("标准轮次数",坦克类型系数!$AQ$3:$AX$3,0),FALSE)),2))</f>
        <v>1.87</v>
      </c>
      <c r="N70" s="2">
        <f>VLOOKUP(D70,坦克类型系数!$AZ$3:$BE$10,4,FALSE)/F70</f>
        <v>3.6</v>
      </c>
      <c r="O70" s="2">
        <f t="shared" si="14"/>
        <v>1</v>
      </c>
      <c r="P70" s="34">
        <f t="shared" si="17"/>
        <v>29</v>
      </c>
      <c r="Q70" s="34">
        <f>VLOOKUP(D70,标准坦克设计!$B$13:$K$20,MATCH("60S射数",标准坦克设计!$B$13:$K$13,0),FALSE)/P70</f>
        <v>1.2413793103448276</v>
      </c>
      <c r="R70" s="34">
        <f t="shared" si="18"/>
        <v>16.5</v>
      </c>
      <c r="S70" s="34">
        <f>VLOOKUP(D70,标准坦克设计!$B$13:$K$20,MATCH("半分连射数",标准坦克设计!$B$13:$K$13,0),FALSE)</f>
        <v>21</v>
      </c>
      <c r="T70" s="34">
        <f t="shared" si="19"/>
        <v>1.2727272727272727</v>
      </c>
      <c r="U70" s="143">
        <v>0.25</v>
      </c>
      <c r="V70" s="2">
        <f t="shared" si="20"/>
        <v>2</v>
      </c>
      <c r="W70" s="2">
        <f t="shared" si="21"/>
        <v>1.96</v>
      </c>
    </row>
    <row r="71" spans="2:23" x14ac:dyDescent="0.3">
      <c r="B71" s="2" t="str">
        <f t="shared" si="9"/>
        <v>挑战者</v>
      </c>
      <c r="C71" s="2" t="str">
        <f t="shared" si="10"/>
        <v>T5</v>
      </c>
      <c r="D71" s="2" t="str">
        <f t="shared" si="11"/>
        <v>中坦自动</v>
      </c>
      <c r="E71" s="2">
        <f>VLOOKUP(D71,标准坦克设计!$B$13:$K$20,MATCH("弹夹容量",标准坦克设计!$B$13:$K$13,0),FALSE)</f>
        <v>6</v>
      </c>
      <c r="F71" s="41">
        <v>1</v>
      </c>
      <c r="G71" s="2">
        <f t="shared" si="22"/>
        <v>6</v>
      </c>
      <c r="H71" s="2">
        <f>VLOOKUP(D71,标准坦克设计!$B$13:$K$20,MATCH(H$51,标准坦克设计!$B$13:$K$13,0),FALSE)</f>
        <v>2</v>
      </c>
      <c r="I71" s="21">
        <v>1.2</v>
      </c>
      <c r="J71" s="2">
        <f t="shared" si="15"/>
        <v>2.4</v>
      </c>
      <c r="K71" s="2">
        <f t="shared" si="16"/>
        <v>0</v>
      </c>
      <c r="L71" s="2">
        <f t="shared" si="13"/>
        <v>0.4</v>
      </c>
      <c r="M71" s="2">
        <f>IF(D71="轻坦弹夹",ROUND(((G71/VLOOKUP(D71,坦克类型系数!$AQ$3:$AX$10,MATCH("标准轮次数",坦克类型系数!$AQ$3:$AX$3,0),FALSE)-1)*L71*O71+VLOOKUP(D71,坦克类型系数!$AQ$3:$AX$10,MATCH("累积偏移角",坦克类型系数!$AQ$3:$AX$3,0),FALSE))/(G71/VLOOKUP(D71,坦克类型系数!$AQ$3:$AX$10,MATCH("标准轮次数",坦克类型系数!$AQ$3:$AX$3,0),FALSE))/2,2),ROUND(((G71/VLOOKUP(D71,坦克类型系数!$AQ$3:$AX$10,MATCH("标准轮次数",坦克类型系数!$AQ$3:$AX$3,0),FALSE)-1)*L71*O71+VLOOKUP(D71,坦克类型系数!$AQ$3:$AX$10,MATCH("累积偏移角",坦克类型系数!$AQ$3:$AX$3,0),FALSE))/(G71/VLOOKUP(D71,坦克类型系数!$AQ$3:$AX$10,MATCH("标准轮次数",坦克类型系数!$AQ$3:$AX$3,0),FALSE)),2))</f>
        <v>1.4</v>
      </c>
      <c r="N71" s="2">
        <f>VLOOKUP(D71,坦克类型系数!$AZ$3:$BE$10,4,FALSE)/F71</f>
        <v>2.4</v>
      </c>
      <c r="O71" s="2">
        <f t="shared" si="14"/>
        <v>1</v>
      </c>
      <c r="P71" s="34">
        <f t="shared" si="17"/>
        <v>31</v>
      </c>
      <c r="Q71" s="34">
        <f>VLOOKUP(D71,标准坦克设计!$B$13:$K$20,MATCH("60S射数",标准坦克设计!$B$13:$K$13,0),FALSE)/P71</f>
        <v>1.1612903225806452</v>
      </c>
      <c r="R71" s="34">
        <f t="shared" si="18"/>
        <v>18.5</v>
      </c>
      <c r="S71" s="34">
        <f>VLOOKUP(D71,标准坦克设计!$B$13:$K$20,MATCH("半分连射数",标准坦克设计!$B$13:$K$13,0),FALSE)</f>
        <v>21</v>
      </c>
      <c r="T71" s="34">
        <f t="shared" si="19"/>
        <v>1.1351351351351351</v>
      </c>
      <c r="U71" s="143">
        <v>0.25</v>
      </c>
      <c r="V71" s="2">
        <f t="shared" si="20"/>
        <v>2</v>
      </c>
      <c r="W71" s="2">
        <f t="shared" si="21"/>
        <v>2.16</v>
      </c>
    </row>
    <row r="72" spans="2:23" x14ac:dyDescent="0.3">
      <c r="B72" s="2" t="str">
        <f t="shared" si="9"/>
        <v>B-1</v>
      </c>
      <c r="C72" s="2" t="str">
        <f t="shared" si="10"/>
        <v>T1</v>
      </c>
      <c r="D72" s="2" t="str">
        <f t="shared" si="11"/>
        <v>重坦自动</v>
      </c>
      <c r="E72" s="2">
        <f>VLOOKUP(D72,标准坦克设计!$B$13:$K$20,MATCH("弹夹容量",标准坦克设计!$B$13:$K$13,0),FALSE)</f>
        <v>2</v>
      </c>
      <c r="F72" s="41">
        <v>0.5</v>
      </c>
      <c r="G72" s="2">
        <f t="shared" si="22"/>
        <v>1</v>
      </c>
      <c r="H72" s="2">
        <f>VLOOKUP(D72,标准坦克设计!$B$13:$K$20,MATCH(H$51,标准坦克设计!$B$13:$K$13,0),FALSE)</f>
        <v>4.5</v>
      </c>
      <c r="I72" s="21">
        <v>1.2</v>
      </c>
      <c r="J72" s="2">
        <f t="shared" si="15"/>
        <v>5.3999999999999995</v>
      </c>
      <c r="K72" s="2">
        <f t="shared" si="16"/>
        <v>0</v>
      </c>
      <c r="L72" s="2">
        <f t="shared" si="13"/>
        <v>2.8</v>
      </c>
      <c r="M72" s="2">
        <f>IF(D72="轻坦弹夹",ROUND(((G72/VLOOKUP(D72,坦克类型系数!$AQ$3:$AX$10,MATCH("标准轮次数",坦克类型系数!$AQ$3:$AX$3,0),FALSE)-1)*L72*O72+VLOOKUP(D72,坦克类型系数!$AQ$3:$AX$10,MATCH("累积偏移角",坦克类型系数!$AQ$3:$AX$3,0),FALSE))/(G72/VLOOKUP(D72,坦克类型系数!$AQ$3:$AX$10,MATCH("标准轮次数",坦克类型系数!$AQ$3:$AX$3,0),FALSE))/2,2),ROUND(((G72/VLOOKUP(D72,坦克类型系数!$AQ$3:$AX$10,MATCH("标准轮次数",坦克类型系数!$AQ$3:$AX$3,0),FALSE)-1)*L72*O72+VLOOKUP(D72,坦克类型系数!$AQ$3:$AX$10,MATCH("累积偏移角",坦克类型系数!$AQ$3:$AX$3,0),FALSE))/(G72/VLOOKUP(D72,坦克类型系数!$AQ$3:$AX$10,MATCH("标准轮次数",坦克类型系数!$AQ$3:$AX$3,0),FALSE)),2))</f>
        <v>3</v>
      </c>
      <c r="N72" s="2">
        <f>VLOOKUP(D72,坦克类型系数!$AZ$3:$BE$10,4,FALSE)/F72</f>
        <v>3.5999999999999996</v>
      </c>
      <c r="O72" s="2">
        <f t="shared" si="14"/>
        <v>1.2</v>
      </c>
      <c r="P72" s="34">
        <f t="shared" si="17"/>
        <v>12.111111111111112</v>
      </c>
      <c r="Q72" s="34">
        <f>VLOOKUP(D72,标准坦克设计!$B$13:$K$20,MATCH("60S射数",标准坦克设计!$B$13:$K$13,0),FALSE)/P72</f>
        <v>1.2660550458715596</v>
      </c>
      <c r="R72" s="34">
        <f t="shared" si="18"/>
        <v>6.5555555555555562</v>
      </c>
      <c r="S72" s="34">
        <f>VLOOKUP(D72,标准坦克设计!$B$13:$K$20,MATCH("半分连射数",标准坦克设计!$B$13:$K$13,0),FALSE)</f>
        <v>8.6666666666666679</v>
      </c>
      <c r="T72" s="34">
        <f t="shared" si="19"/>
        <v>1.3220338983050848</v>
      </c>
      <c r="U72" s="143">
        <v>0.25</v>
      </c>
      <c r="V72" s="2">
        <f t="shared" si="20"/>
        <v>1</v>
      </c>
      <c r="W72" s="2">
        <f t="shared" si="21"/>
        <v>2.02</v>
      </c>
    </row>
    <row r="73" spans="2:23" x14ac:dyDescent="0.3">
      <c r="B73" s="2" t="str">
        <f t="shared" si="9"/>
        <v>KV-1</v>
      </c>
      <c r="C73" s="2" t="str">
        <f t="shared" si="10"/>
        <v>T2</v>
      </c>
      <c r="D73" s="2" t="str">
        <f t="shared" si="11"/>
        <v>重坦自动</v>
      </c>
      <c r="E73" s="2">
        <f>VLOOKUP(D73,标准坦克设计!$B$13:$K$20,MATCH("弹夹容量",标准坦克设计!$B$13:$K$13,0),FALSE)</f>
        <v>2</v>
      </c>
      <c r="F73" s="41">
        <v>1.5</v>
      </c>
      <c r="G73" s="2">
        <f t="shared" si="22"/>
        <v>3</v>
      </c>
      <c r="H73" s="2">
        <f>VLOOKUP(D73,标准坦克设计!$B$13:$K$20,MATCH(H$51,标准坦克设计!$B$13:$K$13,0),FALSE)</f>
        <v>4.5</v>
      </c>
      <c r="I73" s="21">
        <v>0.8</v>
      </c>
      <c r="J73" s="2">
        <f t="shared" si="15"/>
        <v>3.6</v>
      </c>
      <c r="K73" s="2">
        <f t="shared" si="16"/>
        <v>0</v>
      </c>
      <c r="L73" s="2">
        <f t="shared" si="13"/>
        <v>1.88</v>
      </c>
      <c r="M73" s="2">
        <f>IF(D73="轻坦弹夹",ROUND(((G73/VLOOKUP(D73,坦克类型系数!$AQ$3:$AX$10,MATCH("标准轮次数",坦克类型系数!$AQ$3:$AX$3,0),FALSE)-1)*L73*O73+VLOOKUP(D73,坦克类型系数!$AQ$3:$AX$10,MATCH("累积偏移角",坦克类型系数!$AQ$3:$AX$3,0),FALSE))/(G73/VLOOKUP(D73,坦克类型系数!$AQ$3:$AX$10,MATCH("标准轮次数",坦克类型系数!$AQ$3:$AX$3,0),FALSE))/2,2),ROUND(((G73/VLOOKUP(D73,坦克类型系数!$AQ$3:$AX$10,MATCH("标准轮次数",坦克类型系数!$AQ$3:$AX$3,0),FALSE)-1)*L73*O73+VLOOKUP(D73,坦克类型系数!$AQ$3:$AX$10,MATCH("累积偏移角",坦克类型系数!$AQ$3:$AX$3,0),FALSE))/(G73/VLOOKUP(D73,坦克类型系数!$AQ$3:$AX$10,MATCH("标准轮次数",坦克类型系数!$AQ$3:$AX$3,0),FALSE)),2))</f>
        <v>2.5</v>
      </c>
      <c r="N73" s="2">
        <f>VLOOKUP(D73,坦克类型系数!$AZ$3:$BE$10,4,FALSE)/F73</f>
        <v>1.2</v>
      </c>
      <c r="O73" s="2">
        <f t="shared" si="14"/>
        <v>1.2</v>
      </c>
      <c r="P73" s="34">
        <f t="shared" si="17"/>
        <v>19.666666666666668</v>
      </c>
      <c r="Q73" s="34">
        <f>VLOOKUP(D73,标准坦克设计!$B$13:$K$20,MATCH("60S射数",标准坦克设计!$B$13:$K$13,0),FALSE)/P73</f>
        <v>0.77966101694915257</v>
      </c>
      <c r="R73" s="34">
        <f t="shared" si="18"/>
        <v>11.333333333333334</v>
      </c>
      <c r="S73" s="34">
        <f>VLOOKUP(D73,标准坦克设计!$B$13:$K$20,MATCH("半分连射数",标准坦克设计!$B$13:$K$13,0),FALSE)</f>
        <v>8.6666666666666679</v>
      </c>
      <c r="T73" s="34">
        <f t="shared" si="19"/>
        <v>0.76470588235294124</v>
      </c>
      <c r="U73" s="143">
        <v>0.25</v>
      </c>
      <c r="V73" s="2">
        <f t="shared" si="20"/>
        <v>1</v>
      </c>
      <c r="W73" s="2">
        <f t="shared" si="21"/>
        <v>1.51</v>
      </c>
    </row>
    <row r="74" spans="2:23" x14ac:dyDescent="0.3">
      <c r="B74" s="2" t="str">
        <f t="shared" si="9"/>
        <v>丘吉尔</v>
      </c>
      <c r="C74" s="2" t="str">
        <f t="shared" si="10"/>
        <v>T2</v>
      </c>
      <c r="D74" s="2" t="str">
        <f t="shared" si="11"/>
        <v>重坦单发</v>
      </c>
      <c r="E74" s="2">
        <f>VLOOKUP(D74,标准坦克设计!$B$13:$K$20,MATCH("弹夹容量",标准坦克设计!$B$13:$K$13,0),FALSE)</f>
        <v>1</v>
      </c>
      <c r="F74" s="41">
        <v>1</v>
      </c>
      <c r="G74" s="2">
        <f t="shared" si="22"/>
        <v>1</v>
      </c>
      <c r="H74" s="2">
        <f>VLOOKUP(D74,标准坦克设计!$B$13:$K$20,MATCH(H$51,标准坦克设计!$B$13:$K$13,0),FALSE)</f>
        <v>6</v>
      </c>
      <c r="I74" s="21">
        <v>1</v>
      </c>
      <c r="J74" s="2">
        <f t="shared" si="15"/>
        <v>6</v>
      </c>
      <c r="K74" s="2">
        <f t="shared" si="16"/>
        <v>0</v>
      </c>
      <c r="L74" s="2">
        <f t="shared" si="13"/>
        <v>0</v>
      </c>
      <c r="M74" s="2">
        <f>IF(D74="轻坦弹夹",ROUND(((G74/VLOOKUP(D74,坦克类型系数!$AQ$3:$AX$10,MATCH("标准轮次数",坦克类型系数!$AQ$3:$AX$3,0),FALSE)-1)*L74*O74+VLOOKUP(D74,坦克类型系数!$AQ$3:$AX$10,MATCH("累积偏移角",坦克类型系数!$AQ$3:$AX$3,0),FALSE))/(G74/VLOOKUP(D74,坦克类型系数!$AQ$3:$AX$10,MATCH("标准轮次数",坦克类型系数!$AQ$3:$AX$3,0),FALSE))/2,2),ROUND(((G74/VLOOKUP(D74,坦克类型系数!$AQ$3:$AX$10,MATCH("标准轮次数",坦克类型系数!$AQ$3:$AX$3,0),FALSE)-1)*L74*O74+VLOOKUP(D74,坦克类型系数!$AQ$3:$AX$10,MATCH("累积偏移角",坦克类型系数!$AQ$3:$AX$3,0),FALSE))/(G74/VLOOKUP(D74,坦克类型系数!$AQ$3:$AX$10,MATCH("标准轮次数",坦克类型系数!$AQ$3:$AX$3,0),FALSE)),2))</f>
        <v>3</v>
      </c>
      <c r="N74" s="2">
        <f>VLOOKUP(D74,坦克类型系数!$AZ$3:$BE$10,4,FALSE)/F74</f>
        <v>3</v>
      </c>
      <c r="O74" s="2">
        <f t="shared" si="14"/>
        <v>1</v>
      </c>
      <c r="P74" s="34">
        <f t="shared" si="17"/>
        <v>11</v>
      </c>
      <c r="Q74" s="34">
        <f>VLOOKUP(D74,标准坦克设计!$B$13:$K$20,MATCH("60S射数",标准坦克设计!$B$13:$K$13,0),FALSE)/P74</f>
        <v>1</v>
      </c>
      <c r="R74" s="34">
        <f t="shared" si="18"/>
        <v>6</v>
      </c>
      <c r="S74" s="34">
        <f>VLOOKUP(D74,标准坦克设计!$B$13:$K$20,MATCH("半分连射数",标准坦克设计!$B$13:$K$13,0),FALSE)</f>
        <v>6</v>
      </c>
      <c r="T74" s="34">
        <f t="shared" si="19"/>
        <v>1</v>
      </c>
      <c r="U74" s="143">
        <v>0.25</v>
      </c>
      <c r="V74" s="2">
        <f t="shared" si="20"/>
        <v>1</v>
      </c>
      <c r="W74" s="2">
        <f t="shared" si="21"/>
        <v>2.2799999999999998</v>
      </c>
    </row>
    <row r="75" spans="2:23" x14ac:dyDescent="0.3">
      <c r="B75" s="2" t="str">
        <f t="shared" si="9"/>
        <v>黑豹</v>
      </c>
      <c r="C75" s="2" t="str">
        <f t="shared" si="10"/>
        <v>T3</v>
      </c>
      <c r="D75" s="2" t="str">
        <f t="shared" si="11"/>
        <v>重坦单发</v>
      </c>
      <c r="E75" s="2">
        <f>VLOOKUP(D75,标准坦克设计!$B$13:$K$20,MATCH("弹夹容量",标准坦克设计!$B$13:$K$13,0),FALSE)</f>
        <v>1</v>
      </c>
      <c r="F75" s="41">
        <v>1</v>
      </c>
      <c r="G75" s="2">
        <f t="shared" si="22"/>
        <v>1</v>
      </c>
      <c r="H75" s="2">
        <f>VLOOKUP(D75,标准坦克设计!$B$13:$K$20,MATCH(H$51,标准坦克设计!$B$13:$K$13,0),FALSE)</f>
        <v>6</v>
      </c>
      <c r="I75" s="21">
        <v>1</v>
      </c>
      <c r="J75" s="2">
        <f t="shared" si="15"/>
        <v>6</v>
      </c>
      <c r="K75" s="2">
        <f t="shared" si="16"/>
        <v>0</v>
      </c>
      <c r="L75" s="2">
        <f t="shared" si="13"/>
        <v>0</v>
      </c>
      <c r="M75" s="2">
        <f>IF(D75="轻坦弹夹",ROUND(((G75/VLOOKUP(D75,坦克类型系数!$AQ$3:$AX$10,MATCH("标准轮次数",坦克类型系数!$AQ$3:$AX$3,0),FALSE)-1)*L75*O75+VLOOKUP(D75,坦克类型系数!$AQ$3:$AX$10,MATCH("累积偏移角",坦克类型系数!$AQ$3:$AX$3,0),FALSE))/(G75/VLOOKUP(D75,坦克类型系数!$AQ$3:$AX$10,MATCH("标准轮次数",坦克类型系数!$AQ$3:$AX$3,0),FALSE))/2,2),ROUND(((G75/VLOOKUP(D75,坦克类型系数!$AQ$3:$AX$10,MATCH("标准轮次数",坦克类型系数!$AQ$3:$AX$3,0),FALSE)-1)*L75*O75+VLOOKUP(D75,坦克类型系数!$AQ$3:$AX$10,MATCH("累积偏移角",坦克类型系数!$AQ$3:$AX$3,0),FALSE))/(G75/VLOOKUP(D75,坦克类型系数!$AQ$3:$AX$10,MATCH("标准轮次数",坦克类型系数!$AQ$3:$AX$3,0),FALSE)),2))</f>
        <v>3</v>
      </c>
      <c r="N75" s="2">
        <f>VLOOKUP(D75,坦克类型系数!$AZ$3:$BE$10,4,FALSE)/F75</f>
        <v>3</v>
      </c>
      <c r="O75" s="2">
        <f t="shared" si="14"/>
        <v>1</v>
      </c>
      <c r="P75" s="34">
        <f t="shared" si="17"/>
        <v>11</v>
      </c>
      <c r="Q75" s="34">
        <f>VLOOKUP(D75,标准坦克设计!$B$13:$K$20,MATCH("60S射数",标准坦克设计!$B$13:$K$13,0),FALSE)/P75</f>
        <v>1</v>
      </c>
      <c r="R75" s="34">
        <f t="shared" si="18"/>
        <v>6</v>
      </c>
      <c r="S75" s="34">
        <f>VLOOKUP(D75,标准坦克设计!$B$13:$K$20,MATCH("半分连射数",标准坦克设计!$B$13:$K$13,0),FALSE)</f>
        <v>6</v>
      </c>
      <c r="T75" s="34">
        <f t="shared" si="19"/>
        <v>1</v>
      </c>
      <c r="U75" s="143">
        <v>0.25</v>
      </c>
      <c r="V75" s="2">
        <f t="shared" si="20"/>
        <v>1</v>
      </c>
      <c r="W75" s="2">
        <f t="shared" si="21"/>
        <v>2.2799999999999998</v>
      </c>
    </row>
    <row r="76" spans="2:23" x14ac:dyDescent="0.3">
      <c r="B76" s="2" t="str">
        <f t="shared" si="9"/>
        <v>虎式</v>
      </c>
      <c r="C76" s="2" t="str">
        <f t="shared" si="10"/>
        <v>T3</v>
      </c>
      <c r="D76" s="2" t="str">
        <f t="shared" si="11"/>
        <v>重坦单发</v>
      </c>
      <c r="E76" s="2">
        <f>VLOOKUP(D76,标准坦克设计!$B$13:$K$20,MATCH("弹夹容量",标准坦克设计!$B$13:$K$13,0),FALSE)</f>
        <v>1</v>
      </c>
      <c r="F76" s="41">
        <v>1</v>
      </c>
      <c r="G76" s="2">
        <f t="shared" si="22"/>
        <v>1</v>
      </c>
      <c r="H76" s="2">
        <f>VLOOKUP(D76,标准坦克设计!$B$13:$K$20,MATCH(H$51,标准坦克设计!$B$13:$K$13,0),FALSE)</f>
        <v>6</v>
      </c>
      <c r="I76" s="21">
        <v>1</v>
      </c>
      <c r="J76" s="2">
        <f t="shared" si="15"/>
        <v>6</v>
      </c>
      <c r="K76" s="2">
        <f t="shared" si="16"/>
        <v>0</v>
      </c>
      <c r="L76" s="2">
        <f t="shared" si="13"/>
        <v>0</v>
      </c>
      <c r="M76" s="2">
        <f>IF(D76="轻坦弹夹",ROUND(((G76/VLOOKUP(D76,坦克类型系数!$AQ$3:$AX$10,MATCH("标准轮次数",坦克类型系数!$AQ$3:$AX$3,0),FALSE)-1)*L76*O76+VLOOKUP(D76,坦克类型系数!$AQ$3:$AX$10,MATCH("累积偏移角",坦克类型系数!$AQ$3:$AX$3,0),FALSE))/(G76/VLOOKUP(D76,坦克类型系数!$AQ$3:$AX$10,MATCH("标准轮次数",坦克类型系数!$AQ$3:$AX$3,0),FALSE))/2,2),ROUND(((G76/VLOOKUP(D76,坦克类型系数!$AQ$3:$AX$10,MATCH("标准轮次数",坦克类型系数!$AQ$3:$AX$3,0),FALSE)-1)*L76*O76+VLOOKUP(D76,坦克类型系数!$AQ$3:$AX$10,MATCH("累积偏移角",坦克类型系数!$AQ$3:$AX$3,0),FALSE))/(G76/VLOOKUP(D76,坦克类型系数!$AQ$3:$AX$10,MATCH("标准轮次数",坦克类型系数!$AQ$3:$AX$3,0),FALSE)),2))</f>
        <v>3</v>
      </c>
      <c r="N76" s="2">
        <f>VLOOKUP(D76,坦克类型系数!$AZ$3:$BE$10,4,FALSE)/F76</f>
        <v>3</v>
      </c>
      <c r="O76" s="2">
        <f t="shared" si="14"/>
        <v>1</v>
      </c>
      <c r="P76" s="34">
        <f t="shared" si="17"/>
        <v>11</v>
      </c>
      <c r="Q76" s="34">
        <f>VLOOKUP(D76,标准坦克设计!$B$13:$K$20,MATCH("60S射数",标准坦克设计!$B$13:$K$13,0),FALSE)/P76</f>
        <v>1</v>
      </c>
      <c r="R76" s="34">
        <f t="shared" si="18"/>
        <v>6</v>
      </c>
      <c r="S76" s="34">
        <f>VLOOKUP(D76,标准坦克设计!$B$13:$K$20,MATCH("半分连射数",标准坦克设计!$B$13:$K$13,0),FALSE)</f>
        <v>6</v>
      </c>
      <c r="T76" s="34">
        <f t="shared" si="19"/>
        <v>1</v>
      </c>
      <c r="U76" s="143">
        <v>0.25</v>
      </c>
      <c r="V76" s="2">
        <f t="shared" si="20"/>
        <v>1</v>
      </c>
      <c r="W76" s="2">
        <f t="shared" si="21"/>
        <v>2.2799999999999998</v>
      </c>
    </row>
    <row r="77" spans="2:23" x14ac:dyDescent="0.3">
      <c r="B77" s="2" t="str">
        <f t="shared" si="9"/>
        <v>KV-2</v>
      </c>
      <c r="C77" s="2" t="str">
        <f t="shared" si="10"/>
        <v>T3</v>
      </c>
      <c r="D77" s="2" t="str">
        <f t="shared" si="11"/>
        <v>重坦自动</v>
      </c>
      <c r="E77" s="2">
        <f>VLOOKUP(D77,标准坦克设计!$B$13:$K$20,MATCH("弹夹容量",标准坦克设计!$B$13:$K$13,0),FALSE)</f>
        <v>2</v>
      </c>
      <c r="F77" s="41">
        <v>1</v>
      </c>
      <c r="G77" s="2">
        <f t="shared" si="22"/>
        <v>2</v>
      </c>
      <c r="H77" s="2">
        <f>VLOOKUP(D77,标准坦克设计!$B$13:$K$20,MATCH(H$51,标准坦克设计!$B$13:$K$13,0),FALSE)</f>
        <v>4.5</v>
      </c>
      <c r="I77" s="21">
        <v>0.9</v>
      </c>
      <c r="J77" s="2">
        <f t="shared" si="15"/>
        <v>4.05</v>
      </c>
      <c r="K77" s="2">
        <f t="shared" si="16"/>
        <v>0</v>
      </c>
      <c r="L77" s="2">
        <f t="shared" si="13"/>
        <v>2</v>
      </c>
      <c r="M77" s="2">
        <f>IF(D77="轻坦弹夹",ROUND(((G77/VLOOKUP(D77,坦克类型系数!$AQ$3:$AX$10,MATCH("标准轮次数",坦克类型系数!$AQ$3:$AX$3,0),FALSE)-1)*L77*O77+VLOOKUP(D77,坦克类型系数!$AQ$3:$AX$10,MATCH("累积偏移角",坦克类型系数!$AQ$3:$AX$3,0),FALSE))/(G77/VLOOKUP(D77,坦克类型系数!$AQ$3:$AX$10,MATCH("标准轮次数",坦克类型系数!$AQ$3:$AX$3,0),FALSE))/2,2),ROUND(((G77/VLOOKUP(D77,坦克类型系数!$AQ$3:$AX$10,MATCH("标准轮次数",坦克类型系数!$AQ$3:$AX$3,0),FALSE)-1)*L77*O77+VLOOKUP(D77,坦克类型系数!$AQ$3:$AX$10,MATCH("累积偏移角",坦克类型系数!$AQ$3:$AX$3,0),FALSE))/(G77/VLOOKUP(D77,坦克类型系数!$AQ$3:$AX$10,MATCH("标准轮次数",坦克类型系数!$AQ$3:$AX$3,0),FALSE)),2))</f>
        <v>2.7</v>
      </c>
      <c r="N77" s="2">
        <f>VLOOKUP(D77,坦克类型系数!$AZ$3:$BE$10,4,FALSE)/F77</f>
        <v>1.7999999999999998</v>
      </c>
      <c r="O77" s="2">
        <f t="shared" si="14"/>
        <v>1.2</v>
      </c>
      <c r="P77" s="34">
        <f t="shared" si="17"/>
        <v>16.814814814814817</v>
      </c>
      <c r="Q77" s="34">
        <f>VLOOKUP(D77,标准坦克设计!$B$13:$K$20,MATCH("60S射数",标准坦克设计!$B$13:$K$13,0),FALSE)/P77</f>
        <v>0.91189427312775329</v>
      </c>
      <c r="R77" s="34">
        <f t="shared" si="18"/>
        <v>9.4074074074074083</v>
      </c>
      <c r="S77" s="34">
        <f>VLOOKUP(D77,标准坦克设计!$B$13:$K$20,MATCH("半分连射数",标准坦克设计!$B$13:$K$13,0),FALSE)</f>
        <v>8.6666666666666679</v>
      </c>
      <c r="T77" s="34">
        <f t="shared" si="19"/>
        <v>0.92125984251968507</v>
      </c>
      <c r="U77" s="143">
        <v>0.25</v>
      </c>
      <c r="V77" s="2">
        <f t="shared" si="20"/>
        <v>1</v>
      </c>
      <c r="W77" s="2">
        <f t="shared" si="21"/>
        <v>1.6</v>
      </c>
    </row>
    <row r="78" spans="2:23" x14ac:dyDescent="0.3">
      <c r="B78" s="2" t="str">
        <f t="shared" si="9"/>
        <v>征服者</v>
      </c>
      <c r="C78" s="2" t="str">
        <f t="shared" si="10"/>
        <v>T4</v>
      </c>
      <c r="D78" s="2" t="str">
        <f t="shared" si="11"/>
        <v>重坦单发</v>
      </c>
      <c r="E78" s="2">
        <f>VLOOKUP(D78,标准坦克设计!$B$13:$K$20,MATCH("弹夹容量",标准坦克设计!$B$13:$K$13,0),FALSE)</f>
        <v>1</v>
      </c>
      <c r="F78" s="41">
        <v>1</v>
      </c>
      <c r="G78" s="2">
        <f t="shared" si="22"/>
        <v>1</v>
      </c>
      <c r="H78" s="2">
        <f>VLOOKUP(D78,标准坦克设计!$B$13:$K$20,MATCH(H$51,标准坦克设计!$B$13:$K$13,0),FALSE)</f>
        <v>6</v>
      </c>
      <c r="I78" s="21">
        <v>1</v>
      </c>
      <c r="J78" s="2">
        <f t="shared" si="15"/>
        <v>6</v>
      </c>
      <c r="K78" s="2">
        <f t="shared" si="16"/>
        <v>0</v>
      </c>
      <c r="L78" s="2">
        <f t="shared" si="13"/>
        <v>0</v>
      </c>
      <c r="M78" s="2">
        <f>IF(D78="轻坦弹夹",ROUND(((G78/VLOOKUP(D78,坦克类型系数!$AQ$3:$AX$10,MATCH("标准轮次数",坦克类型系数!$AQ$3:$AX$3,0),FALSE)-1)*L78*O78+VLOOKUP(D78,坦克类型系数!$AQ$3:$AX$10,MATCH("累积偏移角",坦克类型系数!$AQ$3:$AX$3,0),FALSE))/(G78/VLOOKUP(D78,坦克类型系数!$AQ$3:$AX$10,MATCH("标准轮次数",坦克类型系数!$AQ$3:$AX$3,0),FALSE))/2,2),ROUND(((G78/VLOOKUP(D78,坦克类型系数!$AQ$3:$AX$10,MATCH("标准轮次数",坦克类型系数!$AQ$3:$AX$3,0),FALSE)-1)*L78*O78+VLOOKUP(D78,坦克类型系数!$AQ$3:$AX$10,MATCH("累积偏移角",坦克类型系数!$AQ$3:$AX$3,0),FALSE))/(G78/VLOOKUP(D78,坦克类型系数!$AQ$3:$AX$10,MATCH("标准轮次数",坦克类型系数!$AQ$3:$AX$3,0),FALSE)),2))</f>
        <v>3</v>
      </c>
      <c r="N78" s="2">
        <f>VLOOKUP(D78,坦克类型系数!$AZ$3:$BE$10,4,FALSE)/F78</f>
        <v>3</v>
      </c>
      <c r="O78" s="2">
        <f t="shared" si="14"/>
        <v>1</v>
      </c>
      <c r="P78" s="34">
        <f t="shared" si="17"/>
        <v>11</v>
      </c>
      <c r="Q78" s="34">
        <f>VLOOKUP(D78,标准坦克设计!$B$13:$K$20,MATCH("60S射数",标准坦克设计!$B$13:$K$13,0),FALSE)/P78</f>
        <v>1</v>
      </c>
      <c r="R78" s="34">
        <f t="shared" si="18"/>
        <v>6</v>
      </c>
      <c r="S78" s="34">
        <f>VLOOKUP(D78,标准坦克设计!$B$13:$K$20,MATCH("半分连射数",标准坦克设计!$B$13:$K$13,0),FALSE)</f>
        <v>6</v>
      </c>
      <c r="T78" s="34">
        <f t="shared" si="19"/>
        <v>1</v>
      </c>
      <c r="U78" s="143">
        <v>0.25</v>
      </c>
      <c r="V78" s="2">
        <f t="shared" si="20"/>
        <v>1</v>
      </c>
      <c r="W78" s="2">
        <f t="shared" si="21"/>
        <v>2.2799999999999998</v>
      </c>
    </row>
    <row r="79" spans="2:23" x14ac:dyDescent="0.3">
      <c r="B79" s="2" t="str">
        <f t="shared" si="9"/>
        <v>IS-4</v>
      </c>
      <c r="C79" s="2" t="str">
        <f t="shared" si="10"/>
        <v>T4</v>
      </c>
      <c r="D79" s="2" t="str">
        <f t="shared" si="11"/>
        <v>重坦自动</v>
      </c>
      <c r="E79" s="2">
        <f>VLOOKUP(D79,标准坦克设计!$B$13:$K$20,MATCH("弹夹容量",标准坦克设计!$B$13:$K$13,0),FALSE)</f>
        <v>2</v>
      </c>
      <c r="F79" s="41">
        <v>1</v>
      </c>
      <c r="G79" s="2">
        <f t="shared" si="22"/>
        <v>2</v>
      </c>
      <c r="H79" s="2">
        <f>VLOOKUP(D79,标准坦克设计!$B$13:$K$20,MATCH(H$51,标准坦克设计!$B$13:$K$13,0),FALSE)</f>
        <v>4.5</v>
      </c>
      <c r="I79" s="21">
        <v>1</v>
      </c>
      <c r="J79" s="2">
        <f t="shared" si="15"/>
        <v>4.5</v>
      </c>
      <c r="K79" s="2">
        <f t="shared" si="16"/>
        <v>0</v>
      </c>
      <c r="L79" s="2">
        <f t="shared" si="13"/>
        <v>2</v>
      </c>
      <c r="M79" s="2">
        <f>IF(D79="轻坦弹夹",ROUND(((G79/VLOOKUP(D79,坦克类型系数!$AQ$3:$AX$10,MATCH("标准轮次数",坦克类型系数!$AQ$3:$AX$3,0),FALSE)-1)*L79*O79+VLOOKUP(D79,坦克类型系数!$AQ$3:$AX$10,MATCH("累积偏移角",坦克类型系数!$AQ$3:$AX$3,0),FALSE))/(G79/VLOOKUP(D79,坦克类型系数!$AQ$3:$AX$10,MATCH("标准轮次数",坦克类型系数!$AQ$3:$AX$3,0),FALSE))/2,2),ROUND(((G79/VLOOKUP(D79,坦克类型系数!$AQ$3:$AX$10,MATCH("标准轮次数",坦克类型系数!$AQ$3:$AX$3,0),FALSE)-1)*L79*O79+VLOOKUP(D79,坦克类型系数!$AQ$3:$AX$10,MATCH("累积偏移角",坦克类型系数!$AQ$3:$AX$3,0),FALSE))/(G79/VLOOKUP(D79,坦克类型系数!$AQ$3:$AX$10,MATCH("标准轮次数",坦克类型系数!$AQ$3:$AX$3,0),FALSE)),2))</f>
        <v>2.7</v>
      </c>
      <c r="N79" s="2">
        <f>VLOOKUP(D79,坦克类型系数!$AZ$3:$BE$10,4,FALSE)/F79</f>
        <v>1.7999999999999998</v>
      </c>
      <c r="O79" s="2">
        <f t="shared" si="14"/>
        <v>1.2</v>
      </c>
      <c r="P79" s="34">
        <f t="shared" si="17"/>
        <v>15.333333333333334</v>
      </c>
      <c r="Q79" s="34">
        <f>VLOOKUP(D79,标准坦克设计!$B$13:$K$20,MATCH("60S射数",标准坦克设计!$B$13:$K$13,0),FALSE)/P79</f>
        <v>1</v>
      </c>
      <c r="R79" s="34">
        <f t="shared" si="18"/>
        <v>8.6666666666666679</v>
      </c>
      <c r="S79" s="34">
        <f>VLOOKUP(D79,标准坦克设计!$B$13:$K$20,MATCH("半分连射数",标准坦克设计!$B$13:$K$13,0),FALSE)</f>
        <v>8.6666666666666679</v>
      </c>
      <c r="T79" s="34">
        <f t="shared" si="19"/>
        <v>1</v>
      </c>
      <c r="U79" s="143">
        <v>0.25</v>
      </c>
      <c r="V79" s="2">
        <f t="shared" si="20"/>
        <v>1</v>
      </c>
      <c r="W79" s="2">
        <f t="shared" si="21"/>
        <v>1.82</v>
      </c>
    </row>
    <row r="80" spans="2:23" x14ac:dyDescent="0.3">
      <c r="B80" s="2" t="str">
        <f t="shared" si="9"/>
        <v>T-32</v>
      </c>
      <c r="C80" s="2" t="str">
        <f t="shared" si="10"/>
        <v>T4</v>
      </c>
      <c r="D80" s="2" t="str">
        <f t="shared" si="11"/>
        <v>重坦单发</v>
      </c>
      <c r="E80" s="2">
        <f>VLOOKUP(D80,标准坦克设计!$B$13:$K$20,MATCH("弹夹容量",标准坦克设计!$B$13:$K$13,0),FALSE)</f>
        <v>1</v>
      </c>
      <c r="F80" s="41">
        <v>1</v>
      </c>
      <c r="G80" s="2">
        <f t="shared" si="22"/>
        <v>1</v>
      </c>
      <c r="H80" s="2">
        <f>VLOOKUP(D80,标准坦克设计!$B$13:$K$20,MATCH(H$51,标准坦克设计!$B$13:$K$13,0),FALSE)</f>
        <v>6</v>
      </c>
      <c r="I80" s="21">
        <v>1</v>
      </c>
      <c r="J80" s="2">
        <f t="shared" si="15"/>
        <v>6</v>
      </c>
      <c r="K80" s="2">
        <f t="shared" si="16"/>
        <v>0</v>
      </c>
      <c r="L80" s="2">
        <f t="shared" si="13"/>
        <v>0</v>
      </c>
      <c r="M80" s="2">
        <f>IF(D80="轻坦弹夹",ROUND(((G80/VLOOKUP(D80,坦克类型系数!$AQ$3:$AX$10,MATCH("标准轮次数",坦克类型系数!$AQ$3:$AX$3,0),FALSE)-1)*L80*O80+VLOOKUP(D80,坦克类型系数!$AQ$3:$AX$10,MATCH("累积偏移角",坦克类型系数!$AQ$3:$AX$3,0),FALSE))/(G80/VLOOKUP(D80,坦克类型系数!$AQ$3:$AX$10,MATCH("标准轮次数",坦克类型系数!$AQ$3:$AX$3,0),FALSE))/2,2),ROUND(((G80/VLOOKUP(D80,坦克类型系数!$AQ$3:$AX$10,MATCH("标准轮次数",坦克类型系数!$AQ$3:$AX$3,0),FALSE)-1)*L80*O80+VLOOKUP(D80,坦克类型系数!$AQ$3:$AX$10,MATCH("累积偏移角",坦克类型系数!$AQ$3:$AX$3,0),FALSE))/(G80/VLOOKUP(D80,坦克类型系数!$AQ$3:$AX$10,MATCH("标准轮次数",坦克类型系数!$AQ$3:$AX$3,0),FALSE)),2))</f>
        <v>3</v>
      </c>
      <c r="N80" s="2">
        <f>VLOOKUP(D80,坦克类型系数!$AZ$3:$BE$10,4,FALSE)/F80</f>
        <v>3</v>
      </c>
      <c r="O80" s="2">
        <f t="shared" si="14"/>
        <v>1</v>
      </c>
      <c r="P80" s="34">
        <f t="shared" si="17"/>
        <v>11</v>
      </c>
      <c r="Q80" s="34">
        <f>VLOOKUP(D80,标准坦克设计!$B$13:$K$20,MATCH("60S射数",标准坦克设计!$B$13:$K$13,0),FALSE)/P80</f>
        <v>1</v>
      </c>
      <c r="R80" s="34">
        <f t="shared" si="18"/>
        <v>6</v>
      </c>
      <c r="S80" s="34">
        <f>VLOOKUP(D80,标准坦克设计!$B$13:$K$20,MATCH("半分连射数",标准坦克设计!$B$13:$K$13,0),FALSE)</f>
        <v>6</v>
      </c>
      <c r="T80" s="34">
        <f t="shared" si="19"/>
        <v>1</v>
      </c>
      <c r="U80" s="143">
        <v>0.25</v>
      </c>
      <c r="V80" s="2">
        <f t="shared" si="20"/>
        <v>1</v>
      </c>
      <c r="W80" s="2">
        <f t="shared" si="21"/>
        <v>2.2799999999999998</v>
      </c>
    </row>
    <row r="81" spans="2:23" x14ac:dyDescent="0.3">
      <c r="B81" s="2" t="str">
        <f t="shared" si="9"/>
        <v>M1A2</v>
      </c>
      <c r="C81" s="2" t="str">
        <f t="shared" si="10"/>
        <v>T5</v>
      </c>
      <c r="D81" s="2" t="str">
        <f t="shared" si="11"/>
        <v>重坦单发</v>
      </c>
      <c r="E81" s="2">
        <f>VLOOKUP(D81,标准坦克设计!$B$13:$K$20,MATCH("弹夹容量",标准坦克设计!$B$13:$K$13,0),FALSE)</f>
        <v>1</v>
      </c>
      <c r="F81" s="41">
        <v>1</v>
      </c>
      <c r="G81" s="2">
        <f t="shared" si="22"/>
        <v>1</v>
      </c>
      <c r="H81" s="2">
        <f>VLOOKUP(D81,标准坦克设计!$B$13:$K$20,MATCH(H$51,标准坦克设计!$B$13:$K$13,0),FALSE)</f>
        <v>6</v>
      </c>
      <c r="I81" s="21">
        <v>1</v>
      </c>
      <c r="J81" s="2">
        <f t="shared" si="15"/>
        <v>6</v>
      </c>
      <c r="K81" s="2">
        <f t="shared" si="16"/>
        <v>0</v>
      </c>
      <c r="L81" s="2">
        <f t="shared" si="13"/>
        <v>0</v>
      </c>
      <c r="M81" s="2">
        <f>IF(D81="轻坦弹夹",ROUND(((G81/VLOOKUP(D81,坦克类型系数!$AQ$3:$AX$10,MATCH("标准轮次数",坦克类型系数!$AQ$3:$AX$3,0),FALSE)-1)*L81*O81+VLOOKUP(D81,坦克类型系数!$AQ$3:$AX$10,MATCH("累积偏移角",坦克类型系数!$AQ$3:$AX$3,0),FALSE))/(G81/VLOOKUP(D81,坦克类型系数!$AQ$3:$AX$10,MATCH("标准轮次数",坦克类型系数!$AQ$3:$AX$3,0),FALSE))/2,2),ROUND(((G81/VLOOKUP(D81,坦克类型系数!$AQ$3:$AX$10,MATCH("标准轮次数",坦克类型系数!$AQ$3:$AX$3,0),FALSE)-1)*L81*O81+VLOOKUP(D81,坦克类型系数!$AQ$3:$AX$10,MATCH("累积偏移角",坦克类型系数!$AQ$3:$AX$3,0),FALSE))/(G81/VLOOKUP(D81,坦克类型系数!$AQ$3:$AX$10,MATCH("标准轮次数",坦克类型系数!$AQ$3:$AX$3,0),FALSE)),2))</f>
        <v>3</v>
      </c>
      <c r="N81" s="2">
        <f>VLOOKUP(D81,坦克类型系数!$AZ$3:$BE$10,4,FALSE)/F81</f>
        <v>3</v>
      </c>
      <c r="O81" s="2">
        <f t="shared" si="14"/>
        <v>1</v>
      </c>
      <c r="P81" s="34">
        <f t="shared" si="17"/>
        <v>11</v>
      </c>
      <c r="Q81" s="34">
        <f>VLOOKUP(D81,标准坦克设计!$B$13:$K$20,MATCH("60S射数",标准坦克设计!$B$13:$K$13,0),FALSE)/P81</f>
        <v>1</v>
      </c>
      <c r="R81" s="34">
        <f t="shared" si="18"/>
        <v>6</v>
      </c>
      <c r="S81" s="34">
        <f>VLOOKUP(D81,标准坦克设计!$B$13:$K$20,MATCH("半分连射数",标准坦克设计!$B$13:$K$13,0),FALSE)</f>
        <v>6</v>
      </c>
      <c r="T81" s="34">
        <f t="shared" si="19"/>
        <v>1</v>
      </c>
      <c r="U81" s="143">
        <v>0.25</v>
      </c>
      <c r="V81" s="2">
        <f t="shared" si="20"/>
        <v>1</v>
      </c>
      <c r="W81" s="2">
        <f t="shared" si="21"/>
        <v>2.2799999999999998</v>
      </c>
    </row>
    <row r="83" spans="2:23" x14ac:dyDescent="0.3">
      <c r="B83" s="267" t="s">
        <v>1193</v>
      </c>
      <c r="C83" s="268"/>
      <c r="D83" s="268"/>
      <c r="E83" s="268"/>
      <c r="G83" s="153" t="s">
        <v>1194</v>
      </c>
      <c r="H83" s="153"/>
      <c r="I83" s="153"/>
      <c r="J83" s="153"/>
      <c r="K83" s="153"/>
      <c r="L83" s="153"/>
      <c r="M83" s="153"/>
      <c r="N83" s="153"/>
      <c r="O83" s="153" t="s">
        <v>1195</v>
      </c>
      <c r="P83" s="153"/>
      <c r="Q83" s="153"/>
      <c r="R83" s="153"/>
      <c r="S83" s="153"/>
      <c r="T83" s="153"/>
    </row>
    <row r="84" spans="2:23" x14ac:dyDescent="0.3">
      <c r="B84" s="2" t="s">
        <v>608</v>
      </c>
      <c r="C84" s="2" t="s">
        <v>1116</v>
      </c>
      <c r="D84" s="2" t="s">
        <v>142</v>
      </c>
      <c r="E84" s="2" t="s">
        <v>1196</v>
      </c>
      <c r="G84" s="2" t="s">
        <v>608</v>
      </c>
      <c r="H84" s="2" t="s">
        <v>1129</v>
      </c>
      <c r="I84" s="2" t="s">
        <v>903</v>
      </c>
      <c r="J84" s="2" t="s">
        <v>904</v>
      </c>
      <c r="K84" s="2" t="s">
        <v>905</v>
      </c>
      <c r="L84" s="2" t="s">
        <v>1135</v>
      </c>
      <c r="M84" s="2" t="s">
        <v>1136</v>
      </c>
      <c r="N84" s="2" t="s">
        <v>1137</v>
      </c>
      <c r="O84" s="2" t="s">
        <v>91</v>
      </c>
      <c r="P84" s="2" t="s">
        <v>93</v>
      </c>
      <c r="Q84" s="2" t="s">
        <v>94</v>
      </c>
      <c r="R84" s="2" t="s">
        <v>178</v>
      </c>
      <c r="S84" s="2" t="s">
        <v>1184</v>
      </c>
      <c r="T84" s="2" t="s">
        <v>860</v>
      </c>
    </row>
    <row r="85" spans="2:23" x14ac:dyDescent="0.3">
      <c r="B85" s="2" t="str">
        <f>B19</f>
        <v>雷诺FT</v>
      </c>
      <c r="C85" s="34">
        <f t="shared" ref="C85:C114" si="23">K19</f>
        <v>0.96300911097039665</v>
      </c>
      <c r="D85" s="34">
        <f t="shared" ref="D85:D114" si="24">AH19*T52*1/C85*E85</f>
        <v>0.98855939978030927</v>
      </c>
      <c r="E85" s="21">
        <v>1</v>
      </c>
      <c r="G85" s="2" t="str">
        <f t="shared" ref="G85:G114" si="25">B85</f>
        <v>雷诺FT</v>
      </c>
      <c r="H85" s="34">
        <f t="shared" ref="H85:N94" si="26">VLOOKUP($G85,$B$18:$BC$48,MATCH(H$84,$B$18:$BC$18,0),FALSE)</f>
        <v>11.783831986523932</v>
      </c>
      <c r="I85" s="34">
        <f t="shared" si="26"/>
        <v>47.135327946095728</v>
      </c>
      <c r="J85" s="34">
        <f t="shared" si="26"/>
        <v>45</v>
      </c>
      <c r="K85" s="34">
        <f t="shared" si="26"/>
        <v>10.5</v>
      </c>
      <c r="L85" s="34">
        <f t="shared" si="26"/>
        <v>10.5</v>
      </c>
      <c r="M85" s="34">
        <f t="shared" si="26"/>
        <v>7</v>
      </c>
      <c r="N85" s="34">
        <f t="shared" si="26"/>
        <v>10.5</v>
      </c>
      <c r="O85" s="2">
        <f t="shared" ref="O85:S94" si="27">VLOOKUP($G85,$B$51:$T$81,MATCH(O$84,$B$51:$T$51,0),FALSE)</f>
        <v>12</v>
      </c>
      <c r="P85" s="2">
        <f t="shared" si="27"/>
        <v>0</v>
      </c>
      <c r="Q85" s="2">
        <f t="shared" si="27"/>
        <v>5.04</v>
      </c>
      <c r="R85" s="2">
        <f t="shared" si="27"/>
        <v>1.2</v>
      </c>
      <c r="S85" s="2">
        <f t="shared" si="27"/>
        <v>0.5</v>
      </c>
      <c r="T85" s="34">
        <f>S85/R85</f>
        <v>0.41666666666666669</v>
      </c>
    </row>
    <row r="86" spans="2:23" x14ac:dyDescent="0.3">
      <c r="B86" s="2" t="str">
        <f t="shared" ref="B86:B114" si="28">B20</f>
        <v>二号</v>
      </c>
      <c r="C86" s="34">
        <f t="shared" si="23"/>
        <v>0.92769385214429489</v>
      </c>
      <c r="D86" s="34">
        <f t="shared" si="24"/>
        <v>1.4055652169219077</v>
      </c>
      <c r="E86" s="21">
        <v>1.3</v>
      </c>
      <c r="G86" s="2" t="str">
        <f t="shared" si="25"/>
        <v>二号</v>
      </c>
      <c r="H86" s="34">
        <f t="shared" si="26"/>
        <v>11.783831986523932</v>
      </c>
      <c r="I86" s="34">
        <f t="shared" si="26"/>
        <v>47.135327946095728</v>
      </c>
      <c r="J86" s="34">
        <f t="shared" si="26"/>
        <v>45</v>
      </c>
      <c r="K86" s="34">
        <f t="shared" si="26"/>
        <v>10.5</v>
      </c>
      <c r="L86" s="34">
        <f t="shared" si="26"/>
        <v>10.5</v>
      </c>
      <c r="M86" s="34">
        <f t="shared" si="26"/>
        <v>7</v>
      </c>
      <c r="N86" s="34">
        <f t="shared" si="26"/>
        <v>10.5</v>
      </c>
      <c r="O86" s="2">
        <f t="shared" si="27"/>
        <v>14.999999999999998</v>
      </c>
      <c r="P86" s="2">
        <f t="shared" si="27"/>
        <v>0</v>
      </c>
      <c r="Q86" s="2">
        <f t="shared" si="27"/>
        <v>8.3999999999999986</v>
      </c>
      <c r="R86" s="2">
        <f t="shared" si="27"/>
        <v>1.2</v>
      </c>
      <c r="S86" s="2">
        <f t="shared" si="27"/>
        <v>0.47</v>
      </c>
      <c r="T86" s="34">
        <f t="shared" ref="T86:T114" si="29">S86/R86</f>
        <v>0.39166666666666666</v>
      </c>
    </row>
    <row r="87" spans="2:23" x14ac:dyDescent="0.3">
      <c r="B87" s="2" t="str">
        <f t="shared" si="28"/>
        <v>Puma</v>
      </c>
      <c r="C87" s="34">
        <f t="shared" si="23"/>
        <v>1.0794980525137019</v>
      </c>
      <c r="D87" s="34">
        <f t="shared" si="24"/>
        <v>1.5164209865340041</v>
      </c>
      <c r="E87" s="21">
        <v>1.3</v>
      </c>
      <c r="G87" s="2" t="str">
        <f t="shared" si="25"/>
        <v>Puma</v>
      </c>
      <c r="H87" s="34">
        <f t="shared" si="26"/>
        <v>10.60544878787154</v>
      </c>
      <c r="I87" s="34">
        <f t="shared" si="26"/>
        <v>42.421795151486158</v>
      </c>
      <c r="J87" s="34">
        <f t="shared" si="26"/>
        <v>50</v>
      </c>
      <c r="K87" s="34">
        <f t="shared" si="26"/>
        <v>9.9749999999999996</v>
      </c>
      <c r="L87" s="34">
        <f t="shared" si="26"/>
        <v>9.9749999999999996</v>
      </c>
      <c r="M87" s="34">
        <f t="shared" si="26"/>
        <v>7</v>
      </c>
      <c r="N87" s="34">
        <f t="shared" si="26"/>
        <v>10.5</v>
      </c>
      <c r="O87" s="2">
        <f t="shared" si="27"/>
        <v>6</v>
      </c>
      <c r="P87" s="2">
        <f t="shared" si="27"/>
        <v>0</v>
      </c>
      <c r="Q87" s="2">
        <f t="shared" si="27"/>
        <v>3.1499999999999995</v>
      </c>
      <c r="R87" s="2">
        <f t="shared" si="27"/>
        <v>1.2</v>
      </c>
      <c r="S87" s="2">
        <f t="shared" si="27"/>
        <v>0.69</v>
      </c>
      <c r="T87" s="34">
        <f t="shared" si="29"/>
        <v>0.57499999999999996</v>
      </c>
    </row>
    <row r="88" spans="2:23" x14ac:dyDescent="0.3">
      <c r="B88" s="2" t="str">
        <f t="shared" si="28"/>
        <v>35(t)</v>
      </c>
      <c r="C88" s="34">
        <f t="shared" si="23"/>
        <v>1.0166124189546237</v>
      </c>
      <c r="D88" s="34">
        <f t="shared" si="24"/>
        <v>1.6073389177099784</v>
      </c>
      <c r="E88" s="21">
        <v>1.2</v>
      </c>
      <c r="G88" s="2" t="str">
        <f t="shared" si="25"/>
        <v>35(t)</v>
      </c>
      <c r="H88" s="34">
        <f t="shared" si="26"/>
        <v>10.60544878787154</v>
      </c>
      <c r="I88" s="34">
        <f t="shared" si="26"/>
        <v>42.421795151486158</v>
      </c>
      <c r="J88" s="34">
        <f t="shared" si="26"/>
        <v>50</v>
      </c>
      <c r="K88" s="34">
        <f t="shared" si="26"/>
        <v>9.9749999999999996</v>
      </c>
      <c r="L88" s="34">
        <f t="shared" si="26"/>
        <v>9.9749999999999996</v>
      </c>
      <c r="M88" s="34">
        <f t="shared" si="26"/>
        <v>7</v>
      </c>
      <c r="N88" s="34">
        <f t="shared" si="26"/>
        <v>10.5</v>
      </c>
      <c r="O88" s="2">
        <f t="shared" si="27"/>
        <v>9</v>
      </c>
      <c r="P88" s="2">
        <f t="shared" si="27"/>
        <v>0</v>
      </c>
      <c r="Q88" s="2">
        <f t="shared" si="27"/>
        <v>6.3</v>
      </c>
      <c r="R88" s="2">
        <f t="shared" si="27"/>
        <v>1.2</v>
      </c>
      <c r="S88" s="2">
        <f t="shared" si="27"/>
        <v>0.62</v>
      </c>
      <c r="T88" s="34">
        <f t="shared" si="29"/>
        <v>0.51666666666666672</v>
      </c>
    </row>
    <row r="89" spans="2:23" x14ac:dyDescent="0.3">
      <c r="B89" s="2" t="str">
        <f t="shared" si="28"/>
        <v>十字军</v>
      </c>
      <c r="C89" s="34">
        <f t="shared" si="23"/>
        <v>1.0256041426273552</v>
      </c>
      <c r="D89" s="34">
        <f t="shared" si="24"/>
        <v>1.0915020392664672</v>
      </c>
      <c r="E89" s="21">
        <v>1</v>
      </c>
      <c r="G89" s="2" t="str">
        <f t="shared" si="25"/>
        <v>十字军</v>
      </c>
      <c r="H89" s="34">
        <f t="shared" si="26"/>
        <v>11.783831986523932</v>
      </c>
      <c r="I89" s="34">
        <f t="shared" si="26"/>
        <v>47.135327946095728</v>
      </c>
      <c r="J89" s="34">
        <f t="shared" si="26"/>
        <v>45</v>
      </c>
      <c r="K89" s="34">
        <f t="shared" si="26"/>
        <v>10.5</v>
      </c>
      <c r="L89" s="34">
        <f t="shared" si="26"/>
        <v>10.5</v>
      </c>
      <c r="M89" s="34">
        <f t="shared" si="26"/>
        <v>7</v>
      </c>
      <c r="N89" s="34">
        <f t="shared" si="26"/>
        <v>10.5</v>
      </c>
      <c r="O89" s="2">
        <f t="shared" si="27"/>
        <v>12</v>
      </c>
      <c r="P89" s="2">
        <f t="shared" si="27"/>
        <v>0</v>
      </c>
      <c r="Q89" s="2">
        <f t="shared" si="27"/>
        <v>8.3999999999999986</v>
      </c>
      <c r="R89" s="2">
        <f t="shared" si="27"/>
        <v>1.2</v>
      </c>
      <c r="S89" s="2">
        <f t="shared" si="27"/>
        <v>0.5</v>
      </c>
      <c r="T89" s="34">
        <f t="shared" si="29"/>
        <v>0.41666666666666669</v>
      </c>
    </row>
    <row r="90" spans="2:23" x14ac:dyDescent="0.3">
      <c r="B90" s="2" t="str">
        <f t="shared" si="28"/>
        <v>AMX-13</v>
      </c>
      <c r="C90" s="34">
        <f t="shared" si="23"/>
        <v>0.94842700105865552</v>
      </c>
      <c r="D90" s="34">
        <f t="shared" si="24"/>
        <v>1.4619565538984172</v>
      </c>
      <c r="E90" s="21">
        <v>1</v>
      </c>
      <c r="G90" s="2" t="str">
        <f t="shared" si="25"/>
        <v>AMX-13</v>
      </c>
      <c r="H90" s="34">
        <f t="shared" si="26"/>
        <v>9.4270655892191453</v>
      </c>
      <c r="I90" s="34">
        <f t="shared" si="26"/>
        <v>37.708262356876581</v>
      </c>
      <c r="J90" s="34">
        <f t="shared" si="26"/>
        <v>56.25</v>
      </c>
      <c r="K90" s="34">
        <f t="shared" si="26"/>
        <v>9.4500000000000011</v>
      </c>
      <c r="L90" s="34">
        <f t="shared" si="26"/>
        <v>9.4500000000000011</v>
      </c>
      <c r="M90" s="34">
        <f t="shared" si="26"/>
        <v>7</v>
      </c>
      <c r="N90" s="34">
        <f t="shared" si="26"/>
        <v>10.5</v>
      </c>
      <c r="O90" s="2">
        <f t="shared" si="27"/>
        <v>9</v>
      </c>
      <c r="P90" s="2">
        <f t="shared" si="27"/>
        <v>0</v>
      </c>
      <c r="Q90" s="2">
        <f t="shared" si="27"/>
        <v>6.3</v>
      </c>
      <c r="R90" s="2">
        <f t="shared" si="27"/>
        <v>1.2</v>
      </c>
      <c r="S90" s="2">
        <f t="shared" si="27"/>
        <v>0.62</v>
      </c>
      <c r="T90" s="34">
        <f t="shared" si="29"/>
        <v>0.51666666666666672</v>
      </c>
    </row>
    <row r="91" spans="2:23" x14ac:dyDescent="0.3">
      <c r="B91" s="2" t="str">
        <f t="shared" si="28"/>
        <v>霞飞</v>
      </c>
      <c r="C91" s="34">
        <f t="shared" si="23"/>
        <v>0.95523805445591059</v>
      </c>
      <c r="D91" s="34">
        <f t="shared" si="24"/>
        <v>1.2459174466325085</v>
      </c>
      <c r="E91" s="21">
        <v>1</v>
      </c>
      <c r="G91" s="2" t="str">
        <f t="shared" si="25"/>
        <v>霞飞</v>
      </c>
      <c r="H91" s="34">
        <f t="shared" si="26"/>
        <v>10.60544878787154</v>
      </c>
      <c r="I91" s="34">
        <f t="shared" si="26"/>
        <v>42.421795151486158</v>
      </c>
      <c r="J91" s="34">
        <f t="shared" si="26"/>
        <v>50</v>
      </c>
      <c r="K91" s="34">
        <f t="shared" si="26"/>
        <v>9.9749999999999996</v>
      </c>
      <c r="L91" s="34">
        <f t="shared" si="26"/>
        <v>9.9749999999999996</v>
      </c>
      <c r="M91" s="34">
        <f t="shared" si="26"/>
        <v>7</v>
      </c>
      <c r="N91" s="34">
        <f t="shared" si="26"/>
        <v>10.5</v>
      </c>
      <c r="O91" s="2">
        <f t="shared" si="27"/>
        <v>9</v>
      </c>
      <c r="P91" s="2">
        <f t="shared" si="27"/>
        <v>0</v>
      </c>
      <c r="Q91" s="2">
        <f t="shared" si="27"/>
        <v>6.3</v>
      </c>
      <c r="R91" s="2">
        <f t="shared" si="27"/>
        <v>1.2</v>
      </c>
      <c r="S91" s="2">
        <f t="shared" si="27"/>
        <v>0.54</v>
      </c>
      <c r="T91" s="34">
        <f t="shared" si="29"/>
        <v>0.45000000000000007</v>
      </c>
    </row>
    <row r="92" spans="2:23" x14ac:dyDescent="0.3">
      <c r="B92" s="2" t="str">
        <f t="shared" si="28"/>
        <v>M-41</v>
      </c>
      <c r="C92" s="34">
        <f t="shared" si="23"/>
        <v>1.0232309713576613</v>
      </c>
      <c r="D92" s="34">
        <f t="shared" si="24"/>
        <v>1.3011461742887849</v>
      </c>
      <c r="E92" s="21">
        <v>1</v>
      </c>
      <c r="G92" s="2" t="str">
        <f t="shared" si="25"/>
        <v>M-41</v>
      </c>
      <c r="H92" s="34">
        <f t="shared" si="26"/>
        <v>9.4270655892191453</v>
      </c>
      <c r="I92" s="34">
        <f t="shared" si="26"/>
        <v>37.708262356876581</v>
      </c>
      <c r="J92" s="34">
        <f t="shared" si="26"/>
        <v>56.25</v>
      </c>
      <c r="K92" s="34">
        <f t="shared" si="26"/>
        <v>9.4500000000000011</v>
      </c>
      <c r="L92" s="34">
        <f t="shared" si="26"/>
        <v>9.4500000000000011</v>
      </c>
      <c r="M92" s="34">
        <f t="shared" si="26"/>
        <v>7</v>
      </c>
      <c r="N92" s="34">
        <f t="shared" si="26"/>
        <v>10.5</v>
      </c>
      <c r="O92" s="2">
        <f t="shared" si="27"/>
        <v>12</v>
      </c>
      <c r="P92" s="2">
        <f t="shared" si="27"/>
        <v>0</v>
      </c>
      <c r="Q92" s="2">
        <f t="shared" si="27"/>
        <v>8.3999999999999986</v>
      </c>
      <c r="R92" s="2">
        <f t="shared" si="27"/>
        <v>1.2</v>
      </c>
      <c r="S92" s="2">
        <f t="shared" si="27"/>
        <v>0.59</v>
      </c>
      <c r="T92" s="34">
        <f t="shared" si="29"/>
        <v>0.49166666666666664</v>
      </c>
    </row>
    <row r="93" spans="2:23" x14ac:dyDescent="0.3">
      <c r="B93" s="2" t="str">
        <f t="shared" si="28"/>
        <v>BMP-3</v>
      </c>
      <c r="C93" s="34">
        <f t="shared" si="23"/>
        <v>1.1171275970413197</v>
      </c>
      <c r="D93" s="34">
        <f t="shared" si="24"/>
        <v>1.2530279365173407</v>
      </c>
      <c r="E93" s="21">
        <v>1</v>
      </c>
      <c r="G93" s="2" t="str">
        <f t="shared" si="25"/>
        <v>BMP-3</v>
      </c>
      <c r="H93" s="34">
        <f t="shared" si="26"/>
        <v>10.60544878787154</v>
      </c>
      <c r="I93" s="34">
        <f t="shared" si="26"/>
        <v>42.421795151486158</v>
      </c>
      <c r="J93" s="34">
        <f t="shared" si="26"/>
        <v>50</v>
      </c>
      <c r="K93" s="34">
        <f t="shared" si="26"/>
        <v>9.9749999999999996</v>
      </c>
      <c r="L93" s="34">
        <f t="shared" si="26"/>
        <v>9.9749999999999996</v>
      </c>
      <c r="M93" s="34">
        <f t="shared" si="26"/>
        <v>7</v>
      </c>
      <c r="N93" s="34">
        <f t="shared" si="26"/>
        <v>10.5</v>
      </c>
      <c r="O93" s="2">
        <f t="shared" si="27"/>
        <v>6</v>
      </c>
      <c r="P93" s="2">
        <f t="shared" si="27"/>
        <v>0</v>
      </c>
      <c r="Q93" s="2">
        <f t="shared" si="27"/>
        <v>4.1999999999999993</v>
      </c>
      <c r="R93" s="2">
        <f t="shared" si="27"/>
        <v>1.2</v>
      </c>
      <c r="S93" s="2">
        <f t="shared" si="27"/>
        <v>0.69</v>
      </c>
      <c r="T93" s="34">
        <f t="shared" si="29"/>
        <v>0.57499999999999996</v>
      </c>
    </row>
    <row r="94" spans="2:23" x14ac:dyDescent="0.3">
      <c r="B94" s="2" t="str">
        <f t="shared" si="28"/>
        <v>59式</v>
      </c>
      <c r="C94" s="34">
        <f t="shared" si="23"/>
        <v>1.0544341811908098</v>
      </c>
      <c r="D94" s="34">
        <f t="shared" si="24"/>
        <v>1.3149792512663352</v>
      </c>
      <c r="E94" s="21">
        <v>1</v>
      </c>
      <c r="G94" s="2" t="str">
        <f t="shared" si="25"/>
        <v>59式</v>
      </c>
      <c r="H94" s="34">
        <f t="shared" si="26"/>
        <v>9.4270655892191453</v>
      </c>
      <c r="I94" s="34">
        <f t="shared" si="26"/>
        <v>37.708262356876581</v>
      </c>
      <c r="J94" s="34">
        <f t="shared" si="26"/>
        <v>56.25</v>
      </c>
      <c r="K94" s="34">
        <f t="shared" si="26"/>
        <v>9.4500000000000011</v>
      </c>
      <c r="L94" s="34">
        <f t="shared" si="26"/>
        <v>9.4500000000000011</v>
      </c>
      <c r="M94" s="34">
        <f t="shared" si="26"/>
        <v>7</v>
      </c>
      <c r="N94" s="34">
        <f t="shared" si="26"/>
        <v>10.5</v>
      </c>
      <c r="O94" s="2">
        <f t="shared" si="27"/>
        <v>9</v>
      </c>
      <c r="P94" s="2">
        <f t="shared" si="27"/>
        <v>0</v>
      </c>
      <c r="Q94" s="2">
        <f t="shared" si="27"/>
        <v>6.3</v>
      </c>
      <c r="R94" s="2">
        <f t="shared" si="27"/>
        <v>1.2</v>
      </c>
      <c r="S94" s="2">
        <f t="shared" si="27"/>
        <v>0.62</v>
      </c>
      <c r="T94" s="34">
        <f t="shared" si="29"/>
        <v>0.51666666666666672</v>
      </c>
    </row>
    <row r="95" spans="2:23" x14ac:dyDescent="0.3">
      <c r="B95" s="2" t="str">
        <f t="shared" si="28"/>
        <v>Stuart</v>
      </c>
      <c r="C95" s="34">
        <f t="shared" si="23"/>
        <v>0.86406630354566938</v>
      </c>
      <c r="D95" s="34">
        <f t="shared" si="24"/>
        <v>1.3226498223197269</v>
      </c>
      <c r="E95" s="21">
        <v>1</v>
      </c>
      <c r="G95" s="2" t="str">
        <f t="shared" si="25"/>
        <v>Stuart</v>
      </c>
      <c r="H95" s="34">
        <f t="shared" ref="H95:N104" si="30">VLOOKUP($G95,$B$18:$BC$48,MATCH(H$84,$B$18:$BC$18,0),FALSE)</f>
        <v>11.123020662806383</v>
      </c>
      <c r="I95" s="34">
        <f t="shared" si="30"/>
        <v>44.49208265122553</v>
      </c>
      <c r="J95" s="34">
        <f t="shared" si="30"/>
        <v>40</v>
      </c>
      <c r="K95" s="34">
        <f t="shared" si="30"/>
        <v>8</v>
      </c>
      <c r="L95" s="34">
        <f t="shared" si="30"/>
        <v>8</v>
      </c>
      <c r="M95" s="34">
        <f t="shared" si="30"/>
        <v>5</v>
      </c>
      <c r="N95" s="34">
        <f t="shared" si="30"/>
        <v>4</v>
      </c>
      <c r="O95" s="2">
        <f t="shared" ref="O95:S104" si="31">VLOOKUP($G95,$B$51:$T$81,MATCH(O$84,$B$51:$T$51,0),FALSE)</f>
        <v>9</v>
      </c>
      <c r="P95" s="2">
        <f t="shared" si="31"/>
        <v>3.2</v>
      </c>
      <c r="Q95" s="2">
        <f t="shared" si="31"/>
        <v>0</v>
      </c>
      <c r="R95" s="2">
        <f t="shared" si="31"/>
        <v>1</v>
      </c>
      <c r="S95" s="2">
        <f t="shared" si="31"/>
        <v>1</v>
      </c>
      <c r="T95" s="34">
        <f t="shared" si="29"/>
        <v>1</v>
      </c>
    </row>
    <row r="96" spans="2:23" x14ac:dyDescent="0.3">
      <c r="B96" s="2" t="str">
        <f t="shared" si="28"/>
        <v>T-34</v>
      </c>
      <c r="C96" s="34">
        <f t="shared" si="23"/>
        <v>0.92730259888027378</v>
      </c>
      <c r="D96" s="34">
        <f t="shared" si="24"/>
        <v>1.2324532943584467</v>
      </c>
      <c r="E96" s="21">
        <v>1</v>
      </c>
      <c r="G96" s="2" t="str">
        <f t="shared" si="25"/>
        <v>T-34</v>
      </c>
      <c r="H96" s="34">
        <f t="shared" si="30"/>
        <v>11.123020662806383</v>
      </c>
      <c r="I96" s="34">
        <f t="shared" si="30"/>
        <v>44.49208265122553</v>
      </c>
      <c r="J96" s="34">
        <f t="shared" si="30"/>
        <v>40</v>
      </c>
      <c r="K96" s="34">
        <f t="shared" si="30"/>
        <v>8</v>
      </c>
      <c r="L96" s="34">
        <f t="shared" si="30"/>
        <v>8</v>
      </c>
      <c r="M96" s="34">
        <f t="shared" si="30"/>
        <v>5</v>
      </c>
      <c r="N96" s="34">
        <f t="shared" si="30"/>
        <v>4</v>
      </c>
      <c r="O96" s="2">
        <f t="shared" si="31"/>
        <v>9</v>
      </c>
      <c r="P96" s="2">
        <f t="shared" si="31"/>
        <v>3.2</v>
      </c>
      <c r="Q96" s="2">
        <f t="shared" si="31"/>
        <v>0</v>
      </c>
      <c r="R96" s="2">
        <f t="shared" si="31"/>
        <v>1</v>
      </c>
      <c r="S96" s="2">
        <f t="shared" si="31"/>
        <v>1.01</v>
      </c>
      <c r="T96" s="34">
        <f t="shared" si="29"/>
        <v>1.01</v>
      </c>
    </row>
    <row r="97" spans="2:20" x14ac:dyDescent="0.3">
      <c r="B97" s="2" t="str">
        <f t="shared" si="28"/>
        <v>四号</v>
      </c>
      <c r="C97" s="34">
        <f t="shared" si="23"/>
        <v>0.95647015888378073</v>
      </c>
      <c r="D97" s="34">
        <f t="shared" si="24"/>
        <v>1.2188418194896093</v>
      </c>
      <c r="E97" s="21">
        <v>1</v>
      </c>
      <c r="G97" s="2" t="str">
        <f t="shared" si="25"/>
        <v>四号</v>
      </c>
      <c r="H97" s="34">
        <f t="shared" si="30"/>
        <v>8.8984165302451057</v>
      </c>
      <c r="I97" s="34">
        <f t="shared" si="30"/>
        <v>35.593666120980423</v>
      </c>
      <c r="J97" s="34">
        <f t="shared" si="30"/>
        <v>50</v>
      </c>
      <c r="K97" s="34">
        <f t="shared" si="30"/>
        <v>7.2</v>
      </c>
      <c r="L97" s="34">
        <f t="shared" si="30"/>
        <v>7.2</v>
      </c>
      <c r="M97" s="34">
        <f t="shared" si="30"/>
        <v>5</v>
      </c>
      <c r="N97" s="34">
        <f t="shared" si="30"/>
        <v>4</v>
      </c>
      <c r="O97" s="2">
        <f t="shared" si="31"/>
        <v>6</v>
      </c>
      <c r="P97" s="2">
        <f t="shared" si="31"/>
        <v>2.4</v>
      </c>
      <c r="Q97" s="2">
        <f t="shared" si="31"/>
        <v>0</v>
      </c>
      <c r="R97" s="2">
        <f t="shared" si="31"/>
        <v>1</v>
      </c>
      <c r="S97" s="2">
        <f t="shared" si="31"/>
        <v>1.4</v>
      </c>
      <c r="T97" s="34">
        <f t="shared" si="29"/>
        <v>1.4</v>
      </c>
    </row>
    <row r="98" spans="2:20" x14ac:dyDescent="0.3">
      <c r="B98" s="2" t="str">
        <f t="shared" si="28"/>
        <v>玛蒂尔达</v>
      </c>
      <c r="C98" s="34">
        <f t="shared" si="23"/>
        <v>0.94998554066497642</v>
      </c>
      <c r="D98" s="34">
        <f t="shared" si="24"/>
        <v>1.2030258292743687</v>
      </c>
      <c r="E98" s="21">
        <v>1</v>
      </c>
      <c r="G98" s="2" t="str">
        <f t="shared" si="25"/>
        <v>玛蒂尔达</v>
      </c>
      <c r="H98" s="34">
        <f t="shared" si="30"/>
        <v>11.123020662806383</v>
      </c>
      <c r="I98" s="34">
        <f t="shared" si="30"/>
        <v>44.49208265122553</v>
      </c>
      <c r="J98" s="34">
        <f t="shared" si="30"/>
        <v>40</v>
      </c>
      <c r="K98" s="34">
        <f t="shared" si="30"/>
        <v>8</v>
      </c>
      <c r="L98" s="34">
        <f t="shared" si="30"/>
        <v>8</v>
      </c>
      <c r="M98" s="34">
        <f t="shared" si="30"/>
        <v>5</v>
      </c>
      <c r="N98" s="34">
        <f t="shared" si="30"/>
        <v>4</v>
      </c>
      <c r="O98" s="2">
        <f t="shared" si="31"/>
        <v>9</v>
      </c>
      <c r="P98" s="2">
        <f t="shared" si="31"/>
        <v>3.2</v>
      </c>
      <c r="Q98" s="2">
        <f t="shared" si="31"/>
        <v>0</v>
      </c>
      <c r="R98" s="2">
        <f t="shared" si="31"/>
        <v>1</v>
      </c>
      <c r="S98" s="2">
        <f t="shared" si="31"/>
        <v>0.99</v>
      </c>
      <c r="T98" s="34">
        <f t="shared" si="29"/>
        <v>0.99</v>
      </c>
    </row>
    <row r="99" spans="2:20" x14ac:dyDescent="0.3">
      <c r="B99" s="2" t="str">
        <f t="shared" si="28"/>
        <v>谢尔曼</v>
      </c>
      <c r="C99" s="34">
        <f t="shared" si="23"/>
        <v>0.97636914294579347</v>
      </c>
      <c r="D99" s="34">
        <f t="shared" si="24"/>
        <v>1.1940010980110889</v>
      </c>
      <c r="E99" s="21">
        <v>1</v>
      </c>
      <c r="G99" s="2" t="str">
        <f t="shared" si="25"/>
        <v>谢尔曼</v>
      </c>
      <c r="H99" s="34">
        <f t="shared" si="30"/>
        <v>8.8984165302451057</v>
      </c>
      <c r="I99" s="34">
        <f t="shared" si="30"/>
        <v>35.593666120980423</v>
      </c>
      <c r="J99" s="34">
        <f t="shared" si="30"/>
        <v>50</v>
      </c>
      <c r="K99" s="34">
        <f t="shared" si="30"/>
        <v>7.2</v>
      </c>
      <c r="L99" s="34">
        <f t="shared" si="30"/>
        <v>7.2</v>
      </c>
      <c r="M99" s="34">
        <f t="shared" si="30"/>
        <v>5</v>
      </c>
      <c r="N99" s="34">
        <f t="shared" si="30"/>
        <v>4</v>
      </c>
      <c r="O99" s="2">
        <f t="shared" si="31"/>
        <v>6</v>
      </c>
      <c r="P99" s="2">
        <f t="shared" si="31"/>
        <v>2.4</v>
      </c>
      <c r="Q99" s="2">
        <f t="shared" si="31"/>
        <v>0</v>
      </c>
      <c r="R99" s="2">
        <f t="shared" si="31"/>
        <v>1</v>
      </c>
      <c r="S99" s="2">
        <f t="shared" si="31"/>
        <v>1.4</v>
      </c>
      <c r="T99" s="34">
        <f t="shared" si="29"/>
        <v>1.4</v>
      </c>
    </row>
    <row r="100" spans="2:20" x14ac:dyDescent="0.3">
      <c r="B100" s="2" t="str">
        <f t="shared" si="28"/>
        <v>彗星</v>
      </c>
      <c r="C100" s="34">
        <f t="shared" si="23"/>
        <v>1.0054794930723405</v>
      </c>
      <c r="D100" s="34">
        <f t="shared" si="24"/>
        <v>1.1916391897437546</v>
      </c>
      <c r="E100" s="21">
        <v>1</v>
      </c>
      <c r="G100" s="2" t="str">
        <f t="shared" si="25"/>
        <v>彗星</v>
      </c>
      <c r="H100" s="34">
        <f t="shared" si="30"/>
        <v>8.8984165302451057</v>
      </c>
      <c r="I100" s="34">
        <f t="shared" si="30"/>
        <v>35.593666120980423</v>
      </c>
      <c r="J100" s="34">
        <f t="shared" si="30"/>
        <v>50</v>
      </c>
      <c r="K100" s="34">
        <f t="shared" si="30"/>
        <v>7.2</v>
      </c>
      <c r="L100" s="34">
        <f t="shared" si="30"/>
        <v>7.2</v>
      </c>
      <c r="M100" s="34">
        <f t="shared" si="30"/>
        <v>5</v>
      </c>
      <c r="N100" s="34">
        <f t="shared" si="30"/>
        <v>4</v>
      </c>
      <c r="O100" s="2">
        <f t="shared" si="31"/>
        <v>8</v>
      </c>
      <c r="P100" s="2">
        <f t="shared" si="31"/>
        <v>3</v>
      </c>
      <c r="Q100" s="2">
        <f t="shared" si="31"/>
        <v>0</v>
      </c>
      <c r="R100" s="2">
        <f t="shared" si="31"/>
        <v>1</v>
      </c>
      <c r="S100" s="2">
        <f t="shared" si="31"/>
        <v>1.1499999999999999</v>
      </c>
      <c r="T100" s="34">
        <f t="shared" si="29"/>
        <v>1.1499999999999999</v>
      </c>
    </row>
    <row r="101" spans="2:20" x14ac:dyDescent="0.3">
      <c r="B101" s="2" t="str">
        <f t="shared" si="28"/>
        <v>M-48</v>
      </c>
      <c r="C101" s="34">
        <f t="shared" si="23"/>
        <v>1.0728927724143271</v>
      </c>
      <c r="D101" s="34">
        <f t="shared" si="24"/>
        <v>1.0580135912191337</v>
      </c>
      <c r="E101" s="21">
        <v>1</v>
      </c>
      <c r="G101" s="2" t="str">
        <f t="shared" si="25"/>
        <v>M-48</v>
      </c>
      <c r="H101" s="34">
        <f t="shared" si="30"/>
        <v>11.123020662806383</v>
      </c>
      <c r="I101" s="34">
        <f t="shared" si="30"/>
        <v>44.49208265122553</v>
      </c>
      <c r="J101" s="34">
        <f t="shared" si="30"/>
        <v>40</v>
      </c>
      <c r="K101" s="34">
        <f t="shared" si="30"/>
        <v>8</v>
      </c>
      <c r="L101" s="34">
        <f t="shared" si="30"/>
        <v>8</v>
      </c>
      <c r="M101" s="34">
        <f t="shared" si="30"/>
        <v>5</v>
      </c>
      <c r="N101" s="34">
        <f t="shared" si="30"/>
        <v>4</v>
      </c>
      <c r="O101" s="2">
        <f t="shared" si="31"/>
        <v>6</v>
      </c>
      <c r="P101" s="2">
        <f t="shared" si="31"/>
        <v>2.4</v>
      </c>
      <c r="Q101" s="2">
        <f t="shared" si="31"/>
        <v>0</v>
      </c>
      <c r="R101" s="2">
        <f t="shared" si="31"/>
        <v>1</v>
      </c>
      <c r="S101" s="2">
        <f t="shared" si="31"/>
        <v>1.36</v>
      </c>
      <c r="T101" s="34">
        <f t="shared" si="29"/>
        <v>1.36</v>
      </c>
    </row>
    <row r="102" spans="2:20" x14ac:dyDescent="0.3">
      <c r="B102" s="2" t="str">
        <f t="shared" si="28"/>
        <v>潘兴</v>
      </c>
      <c r="C102" s="34">
        <f t="shared" si="23"/>
        <v>0.99449031619769379</v>
      </c>
      <c r="D102" s="34">
        <f t="shared" si="24"/>
        <v>1.1829012938283141</v>
      </c>
      <c r="E102" s="21">
        <v>1</v>
      </c>
      <c r="G102" s="2" t="str">
        <f t="shared" si="25"/>
        <v>潘兴</v>
      </c>
      <c r="H102" s="34">
        <f t="shared" si="30"/>
        <v>8.8984165302451057</v>
      </c>
      <c r="I102" s="34">
        <f t="shared" si="30"/>
        <v>35.593666120980423</v>
      </c>
      <c r="J102" s="34">
        <f t="shared" si="30"/>
        <v>50</v>
      </c>
      <c r="K102" s="34">
        <f t="shared" si="30"/>
        <v>7.2</v>
      </c>
      <c r="L102" s="34">
        <f t="shared" si="30"/>
        <v>7.2</v>
      </c>
      <c r="M102" s="34">
        <f t="shared" si="30"/>
        <v>5</v>
      </c>
      <c r="N102" s="34">
        <f t="shared" si="30"/>
        <v>4</v>
      </c>
      <c r="O102" s="2">
        <f t="shared" si="31"/>
        <v>10</v>
      </c>
      <c r="P102" s="2">
        <f t="shared" si="31"/>
        <v>3.6</v>
      </c>
      <c r="Q102" s="2">
        <f t="shared" si="31"/>
        <v>0</v>
      </c>
      <c r="R102" s="2">
        <f t="shared" si="31"/>
        <v>1</v>
      </c>
      <c r="S102" s="2">
        <f t="shared" si="31"/>
        <v>1</v>
      </c>
      <c r="T102" s="34">
        <f t="shared" si="29"/>
        <v>1</v>
      </c>
    </row>
    <row r="103" spans="2:20" x14ac:dyDescent="0.3">
      <c r="B103" s="2" t="str">
        <f t="shared" si="28"/>
        <v>百夫长</v>
      </c>
      <c r="C103" s="34">
        <f t="shared" si="23"/>
        <v>1.1259916264596033</v>
      </c>
      <c r="D103" s="34">
        <f t="shared" si="24"/>
        <v>1.1303168183666186</v>
      </c>
      <c r="E103" s="21">
        <v>1</v>
      </c>
      <c r="G103" s="2" t="str">
        <f t="shared" si="25"/>
        <v>百夫长</v>
      </c>
      <c r="H103" s="34">
        <f t="shared" si="30"/>
        <v>11.123020662806383</v>
      </c>
      <c r="I103" s="34">
        <f t="shared" si="30"/>
        <v>44.49208265122553</v>
      </c>
      <c r="J103" s="34">
        <f t="shared" si="30"/>
        <v>40</v>
      </c>
      <c r="K103" s="34">
        <f t="shared" si="30"/>
        <v>8</v>
      </c>
      <c r="L103" s="34">
        <f t="shared" si="30"/>
        <v>8</v>
      </c>
      <c r="M103" s="34">
        <f t="shared" si="30"/>
        <v>5</v>
      </c>
      <c r="N103" s="34">
        <f t="shared" si="30"/>
        <v>4</v>
      </c>
      <c r="O103" s="2">
        <f t="shared" si="31"/>
        <v>4</v>
      </c>
      <c r="P103" s="2">
        <f t="shared" si="31"/>
        <v>2.4</v>
      </c>
      <c r="Q103" s="2">
        <f t="shared" si="31"/>
        <v>0</v>
      </c>
      <c r="R103" s="2">
        <f t="shared" si="31"/>
        <v>1</v>
      </c>
      <c r="S103" s="2">
        <f t="shared" si="31"/>
        <v>1.87</v>
      </c>
      <c r="T103" s="34">
        <f t="shared" si="29"/>
        <v>1.87</v>
      </c>
    </row>
    <row r="104" spans="2:20" x14ac:dyDescent="0.3">
      <c r="B104" s="2" t="str">
        <f t="shared" si="28"/>
        <v>挑战者</v>
      </c>
      <c r="C104" s="34">
        <f t="shared" si="23"/>
        <v>1.1284288406238332</v>
      </c>
      <c r="D104" s="34">
        <f t="shared" si="24"/>
        <v>1.0331053113610049</v>
      </c>
      <c r="E104" s="21">
        <v>1</v>
      </c>
      <c r="G104" s="2" t="str">
        <f t="shared" si="25"/>
        <v>挑战者</v>
      </c>
      <c r="H104" s="34">
        <f t="shared" si="30"/>
        <v>8.8984165302451057</v>
      </c>
      <c r="I104" s="34">
        <f t="shared" si="30"/>
        <v>35.593666120980423</v>
      </c>
      <c r="J104" s="34">
        <f t="shared" si="30"/>
        <v>50</v>
      </c>
      <c r="K104" s="34">
        <f t="shared" si="30"/>
        <v>7.2</v>
      </c>
      <c r="L104" s="34">
        <f t="shared" si="30"/>
        <v>7.2</v>
      </c>
      <c r="M104" s="34">
        <f t="shared" si="30"/>
        <v>5</v>
      </c>
      <c r="N104" s="34">
        <f t="shared" si="30"/>
        <v>4</v>
      </c>
      <c r="O104" s="2">
        <f t="shared" si="31"/>
        <v>6</v>
      </c>
      <c r="P104" s="2">
        <f t="shared" si="31"/>
        <v>2.4</v>
      </c>
      <c r="Q104" s="2">
        <f t="shared" si="31"/>
        <v>0</v>
      </c>
      <c r="R104" s="2">
        <f t="shared" si="31"/>
        <v>1</v>
      </c>
      <c r="S104" s="2">
        <f t="shared" si="31"/>
        <v>1.4</v>
      </c>
      <c r="T104" s="34">
        <f t="shared" si="29"/>
        <v>1.4</v>
      </c>
    </row>
    <row r="105" spans="2:20" x14ac:dyDescent="0.3">
      <c r="B105" s="2" t="str">
        <f t="shared" si="28"/>
        <v>B-1</v>
      </c>
      <c r="C105" s="34">
        <f t="shared" si="23"/>
        <v>0.98864737838029004</v>
      </c>
      <c r="D105" s="34">
        <f t="shared" si="24"/>
        <v>1.3372147918613662</v>
      </c>
      <c r="E105" s="21">
        <v>1</v>
      </c>
      <c r="G105" s="2" t="str">
        <f t="shared" si="25"/>
        <v>B-1</v>
      </c>
      <c r="H105" s="34">
        <f t="shared" ref="H105:N114" si="32">VLOOKUP($G105,$B$18:$BC$48,MATCH(H$84,$B$18:$BC$18,0),FALSE)</f>
        <v>9.587493771855776</v>
      </c>
      <c r="I105" s="34">
        <f t="shared" si="32"/>
        <v>38.349975087423104</v>
      </c>
      <c r="J105" s="34">
        <f t="shared" si="32"/>
        <v>28</v>
      </c>
      <c r="K105" s="34">
        <f t="shared" si="32"/>
        <v>7</v>
      </c>
      <c r="L105" s="34">
        <f t="shared" si="32"/>
        <v>7</v>
      </c>
      <c r="M105" s="34">
        <f t="shared" si="32"/>
        <v>3.8888888888888888</v>
      </c>
      <c r="N105" s="34">
        <f t="shared" si="32"/>
        <v>2</v>
      </c>
      <c r="O105" s="2">
        <f t="shared" ref="O105:S114" si="33">VLOOKUP($G105,$B$51:$T$81,MATCH(O$84,$B$51:$T$51,0),FALSE)</f>
        <v>1</v>
      </c>
      <c r="P105" s="2">
        <f t="shared" si="33"/>
        <v>5.3999999999999995</v>
      </c>
      <c r="Q105" s="2">
        <f t="shared" si="33"/>
        <v>0</v>
      </c>
      <c r="R105" s="2">
        <f t="shared" si="33"/>
        <v>1.2</v>
      </c>
      <c r="S105" s="2">
        <f t="shared" si="33"/>
        <v>3</v>
      </c>
      <c r="T105" s="34">
        <f t="shared" si="29"/>
        <v>2.5</v>
      </c>
    </row>
    <row r="106" spans="2:20" x14ac:dyDescent="0.3">
      <c r="B106" s="2" t="str">
        <f t="shared" si="28"/>
        <v>KV-1</v>
      </c>
      <c r="C106" s="34">
        <f t="shared" si="23"/>
        <v>0.95794711889692619</v>
      </c>
      <c r="D106" s="34">
        <f t="shared" si="24"/>
        <v>0.79827567437490521</v>
      </c>
      <c r="E106" s="21">
        <v>1</v>
      </c>
      <c r="G106" s="2" t="str">
        <f t="shared" si="25"/>
        <v>KV-1</v>
      </c>
      <c r="H106" s="34">
        <f t="shared" si="32"/>
        <v>9.587493771855776</v>
      </c>
      <c r="I106" s="34">
        <f t="shared" si="32"/>
        <v>38.349975087423104</v>
      </c>
      <c r="J106" s="34">
        <f t="shared" si="32"/>
        <v>28</v>
      </c>
      <c r="K106" s="34">
        <f t="shared" si="32"/>
        <v>7</v>
      </c>
      <c r="L106" s="34">
        <f t="shared" si="32"/>
        <v>7</v>
      </c>
      <c r="M106" s="34">
        <f t="shared" si="32"/>
        <v>3.8888888888888888</v>
      </c>
      <c r="N106" s="34">
        <f t="shared" si="32"/>
        <v>2</v>
      </c>
      <c r="O106" s="2">
        <f t="shared" si="33"/>
        <v>3</v>
      </c>
      <c r="P106" s="2">
        <f t="shared" si="33"/>
        <v>3.6</v>
      </c>
      <c r="Q106" s="2">
        <f t="shared" si="33"/>
        <v>0</v>
      </c>
      <c r="R106" s="2">
        <f t="shared" si="33"/>
        <v>1.2</v>
      </c>
      <c r="S106" s="2">
        <f t="shared" si="33"/>
        <v>2.5</v>
      </c>
      <c r="T106" s="34">
        <f t="shared" si="29"/>
        <v>2.0833333333333335</v>
      </c>
    </row>
    <row r="107" spans="2:20" x14ac:dyDescent="0.3">
      <c r="B107" s="2" t="str">
        <f t="shared" si="28"/>
        <v>丘吉尔</v>
      </c>
      <c r="C107" s="34">
        <f t="shared" si="23"/>
        <v>0.97244403970540416</v>
      </c>
      <c r="D107" s="34">
        <f t="shared" si="24"/>
        <v>1.0283368082578239</v>
      </c>
      <c r="E107" s="21">
        <v>1</v>
      </c>
      <c r="G107" s="2" t="str">
        <f t="shared" si="25"/>
        <v>丘吉尔</v>
      </c>
      <c r="H107" s="34">
        <f t="shared" si="32"/>
        <v>7.669995017484621</v>
      </c>
      <c r="I107" s="34">
        <f t="shared" si="32"/>
        <v>30.679980069938484</v>
      </c>
      <c r="J107" s="34">
        <f t="shared" si="32"/>
        <v>30.800000000000004</v>
      </c>
      <c r="K107" s="34">
        <f t="shared" si="32"/>
        <v>6.3</v>
      </c>
      <c r="L107" s="34">
        <f t="shared" si="32"/>
        <v>6.3</v>
      </c>
      <c r="M107" s="34">
        <f t="shared" si="32"/>
        <v>3.8888888888888888</v>
      </c>
      <c r="N107" s="34">
        <f t="shared" si="32"/>
        <v>2</v>
      </c>
      <c r="O107" s="2">
        <f t="shared" si="33"/>
        <v>1</v>
      </c>
      <c r="P107" s="2">
        <f t="shared" si="33"/>
        <v>6</v>
      </c>
      <c r="Q107" s="2">
        <f t="shared" si="33"/>
        <v>0</v>
      </c>
      <c r="R107" s="2">
        <f t="shared" si="33"/>
        <v>1</v>
      </c>
      <c r="S107" s="2">
        <f t="shared" si="33"/>
        <v>3</v>
      </c>
      <c r="T107" s="34">
        <f t="shared" si="29"/>
        <v>3</v>
      </c>
    </row>
    <row r="108" spans="2:20" x14ac:dyDescent="0.3">
      <c r="B108" s="2" t="str">
        <f t="shared" si="28"/>
        <v>黑豹</v>
      </c>
      <c r="C108" s="34">
        <f t="shared" si="23"/>
        <v>1.0052980503247382</v>
      </c>
      <c r="D108" s="34">
        <f t="shared" si="24"/>
        <v>0.99472987108347943</v>
      </c>
      <c r="E108" s="21">
        <v>1</v>
      </c>
      <c r="G108" s="2" t="str">
        <f t="shared" si="25"/>
        <v>黑豹</v>
      </c>
      <c r="H108" s="34">
        <f t="shared" si="32"/>
        <v>7.669995017484621</v>
      </c>
      <c r="I108" s="34">
        <f t="shared" si="32"/>
        <v>30.679980069938484</v>
      </c>
      <c r="J108" s="34">
        <f t="shared" si="32"/>
        <v>33.6</v>
      </c>
      <c r="K108" s="34">
        <f t="shared" si="32"/>
        <v>6.3</v>
      </c>
      <c r="L108" s="34">
        <f t="shared" si="32"/>
        <v>6.3</v>
      </c>
      <c r="M108" s="34">
        <f t="shared" si="32"/>
        <v>3.8888888888888888</v>
      </c>
      <c r="N108" s="34">
        <f t="shared" si="32"/>
        <v>2</v>
      </c>
      <c r="O108" s="2">
        <f t="shared" si="33"/>
        <v>1</v>
      </c>
      <c r="P108" s="2">
        <f t="shared" si="33"/>
        <v>6</v>
      </c>
      <c r="Q108" s="2">
        <f t="shared" si="33"/>
        <v>0</v>
      </c>
      <c r="R108" s="2">
        <f t="shared" si="33"/>
        <v>1</v>
      </c>
      <c r="S108" s="2">
        <f t="shared" si="33"/>
        <v>3</v>
      </c>
      <c r="T108" s="34">
        <f t="shared" si="29"/>
        <v>3</v>
      </c>
    </row>
    <row r="109" spans="2:20" x14ac:dyDescent="0.3">
      <c r="B109" s="2" t="str">
        <f t="shared" si="28"/>
        <v>虎式</v>
      </c>
      <c r="C109" s="34">
        <f t="shared" si="23"/>
        <v>0.96554177347987447</v>
      </c>
      <c r="D109" s="34">
        <f t="shared" si="24"/>
        <v>1.0356879706984981</v>
      </c>
      <c r="E109" s="21">
        <v>1</v>
      </c>
      <c r="G109" s="2" t="str">
        <f t="shared" si="25"/>
        <v>虎式</v>
      </c>
      <c r="H109" s="34">
        <f t="shared" si="32"/>
        <v>7.669995017484621</v>
      </c>
      <c r="I109" s="34">
        <f t="shared" si="32"/>
        <v>30.679980069938484</v>
      </c>
      <c r="J109" s="34">
        <f t="shared" si="32"/>
        <v>35</v>
      </c>
      <c r="K109" s="34">
        <f t="shared" si="32"/>
        <v>6.3</v>
      </c>
      <c r="L109" s="34">
        <f t="shared" si="32"/>
        <v>6.3</v>
      </c>
      <c r="M109" s="34">
        <f t="shared" si="32"/>
        <v>3.8888888888888888</v>
      </c>
      <c r="N109" s="34">
        <f t="shared" si="32"/>
        <v>2</v>
      </c>
      <c r="O109" s="2">
        <f t="shared" si="33"/>
        <v>1</v>
      </c>
      <c r="P109" s="2">
        <f t="shared" si="33"/>
        <v>6</v>
      </c>
      <c r="Q109" s="2">
        <f t="shared" si="33"/>
        <v>0</v>
      </c>
      <c r="R109" s="2">
        <f t="shared" si="33"/>
        <v>1</v>
      </c>
      <c r="S109" s="2">
        <f t="shared" si="33"/>
        <v>3</v>
      </c>
      <c r="T109" s="34">
        <f t="shared" si="29"/>
        <v>3</v>
      </c>
    </row>
    <row r="110" spans="2:20" x14ac:dyDescent="0.3">
      <c r="B110" s="2" t="str">
        <f t="shared" si="28"/>
        <v>KV-2</v>
      </c>
      <c r="C110" s="34">
        <f t="shared" si="23"/>
        <v>0.9839346980566549</v>
      </c>
      <c r="D110" s="34">
        <f t="shared" si="24"/>
        <v>0.93630181386960187</v>
      </c>
      <c r="E110" s="21">
        <v>1</v>
      </c>
      <c r="G110" s="2" t="str">
        <f t="shared" si="25"/>
        <v>KV-2</v>
      </c>
      <c r="H110" s="34">
        <f t="shared" si="32"/>
        <v>9.587493771855776</v>
      </c>
      <c r="I110" s="34">
        <f t="shared" si="32"/>
        <v>38.349975087423104</v>
      </c>
      <c r="J110" s="34">
        <f t="shared" si="32"/>
        <v>28</v>
      </c>
      <c r="K110" s="34">
        <f t="shared" si="32"/>
        <v>7</v>
      </c>
      <c r="L110" s="34">
        <f t="shared" si="32"/>
        <v>7</v>
      </c>
      <c r="M110" s="34">
        <f t="shared" si="32"/>
        <v>3.8888888888888888</v>
      </c>
      <c r="N110" s="34">
        <f t="shared" si="32"/>
        <v>2</v>
      </c>
      <c r="O110" s="2">
        <f t="shared" si="33"/>
        <v>2</v>
      </c>
      <c r="P110" s="2">
        <f t="shared" si="33"/>
        <v>4.05</v>
      </c>
      <c r="Q110" s="2">
        <f t="shared" si="33"/>
        <v>0</v>
      </c>
      <c r="R110" s="2">
        <f t="shared" si="33"/>
        <v>1.2</v>
      </c>
      <c r="S110" s="2">
        <f t="shared" si="33"/>
        <v>2.7</v>
      </c>
      <c r="T110" s="34">
        <f t="shared" si="29"/>
        <v>2.2500000000000004</v>
      </c>
    </row>
    <row r="111" spans="2:20" x14ac:dyDescent="0.3">
      <c r="B111" s="2" t="str">
        <f t="shared" si="28"/>
        <v>征服者</v>
      </c>
      <c r="C111" s="34">
        <f t="shared" si="23"/>
        <v>1.0761201273800509</v>
      </c>
      <c r="D111" s="34">
        <f t="shared" si="24"/>
        <v>0.92926428430869057</v>
      </c>
      <c r="E111" s="21">
        <v>1</v>
      </c>
      <c r="G111" s="2" t="str">
        <f t="shared" si="25"/>
        <v>征服者</v>
      </c>
      <c r="H111" s="34">
        <f t="shared" si="32"/>
        <v>7.669995017484621</v>
      </c>
      <c r="I111" s="34">
        <f t="shared" si="32"/>
        <v>30.679980069938484</v>
      </c>
      <c r="J111" s="34">
        <f t="shared" si="32"/>
        <v>35</v>
      </c>
      <c r="K111" s="34">
        <f t="shared" si="32"/>
        <v>6.3</v>
      </c>
      <c r="L111" s="34">
        <f t="shared" si="32"/>
        <v>6.3</v>
      </c>
      <c r="M111" s="34">
        <f t="shared" si="32"/>
        <v>3.8888888888888888</v>
      </c>
      <c r="N111" s="34">
        <f t="shared" si="32"/>
        <v>2</v>
      </c>
      <c r="O111" s="2">
        <f t="shared" si="33"/>
        <v>1</v>
      </c>
      <c r="P111" s="2">
        <f t="shared" si="33"/>
        <v>6</v>
      </c>
      <c r="Q111" s="2">
        <f t="shared" si="33"/>
        <v>0</v>
      </c>
      <c r="R111" s="2">
        <f t="shared" si="33"/>
        <v>1</v>
      </c>
      <c r="S111" s="2">
        <f t="shared" si="33"/>
        <v>3</v>
      </c>
      <c r="T111" s="34">
        <f t="shared" si="29"/>
        <v>3</v>
      </c>
    </row>
    <row r="112" spans="2:20" x14ac:dyDescent="0.3">
      <c r="B112" s="2" t="str">
        <f t="shared" si="28"/>
        <v>IS-4</v>
      </c>
      <c r="C112" s="34">
        <f t="shared" si="23"/>
        <v>0.99133027986215594</v>
      </c>
      <c r="D112" s="34">
        <f t="shared" si="24"/>
        <v>1.026259306115106</v>
      </c>
      <c r="E112" s="21">
        <v>1</v>
      </c>
      <c r="G112" s="2" t="str">
        <f t="shared" si="25"/>
        <v>IS-4</v>
      </c>
      <c r="H112" s="34">
        <f t="shared" si="32"/>
        <v>7.669995017484621</v>
      </c>
      <c r="I112" s="34">
        <f t="shared" si="32"/>
        <v>30.679980069938484</v>
      </c>
      <c r="J112" s="34">
        <f t="shared" si="32"/>
        <v>35</v>
      </c>
      <c r="K112" s="34">
        <f t="shared" si="32"/>
        <v>6.3</v>
      </c>
      <c r="L112" s="34">
        <f t="shared" si="32"/>
        <v>6.3</v>
      </c>
      <c r="M112" s="34">
        <f t="shared" si="32"/>
        <v>3.8888888888888888</v>
      </c>
      <c r="N112" s="34">
        <f t="shared" si="32"/>
        <v>2</v>
      </c>
      <c r="O112" s="2">
        <f t="shared" si="33"/>
        <v>2</v>
      </c>
      <c r="P112" s="2">
        <f t="shared" si="33"/>
        <v>4.5</v>
      </c>
      <c r="Q112" s="2">
        <f t="shared" si="33"/>
        <v>0</v>
      </c>
      <c r="R112" s="2">
        <f t="shared" si="33"/>
        <v>1.2</v>
      </c>
      <c r="S112" s="2">
        <f t="shared" si="33"/>
        <v>2.7</v>
      </c>
      <c r="T112" s="34">
        <f t="shared" si="29"/>
        <v>2.2500000000000004</v>
      </c>
    </row>
    <row r="113" spans="2:20" x14ac:dyDescent="0.3">
      <c r="B113" s="2" t="str">
        <f t="shared" si="28"/>
        <v>T-32</v>
      </c>
      <c r="C113" s="34">
        <f t="shared" si="23"/>
        <v>0.93904531780832723</v>
      </c>
      <c r="D113" s="34">
        <f t="shared" si="24"/>
        <v>1.0649113317916723</v>
      </c>
      <c r="E113" s="21">
        <v>1</v>
      </c>
      <c r="G113" s="2" t="str">
        <f t="shared" si="25"/>
        <v>T-32</v>
      </c>
      <c r="H113" s="34">
        <f t="shared" si="32"/>
        <v>7.669995017484621</v>
      </c>
      <c r="I113" s="34">
        <f t="shared" si="32"/>
        <v>30.679980069938484</v>
      </c>
      <c r="J113" s="34">
        <f t="shared" si="32"/>
        <v>35</v>
      </c>
      <c r="K113" s="34">
        <f t="shared" si="32"/>
        <v>6.3</v>
      </c>
      <c r="L113" s="34">
        <f t="shared" si="32"/>
        <v>6.3</v>
      </c>
      <c r="M113" s="34">
        <f t="shared" si="32"/>
        <v>3.8888888888888888</v>
      </c>
      <c r="N113" s="34">
        <f t="shared" si="32"/>
        <v>2</v>
      </c>
      <c r="O113" s="2">
        <f t="shared" si="33"/>
        <v>1</v>
      </c>
      <c r="P113" s="2">
        <f t="shared" si="33"/>
        <v>6</v>
      </c>
      <c r="Q113" s="2">
        <f t="shared" si="33"/>
        <v>0</v>
      </c>
      <c r="R113" s="2">
        <f t="shared" si="33"/>
        <v>1</v>
      </c>
      <c r="S113" s="2">
        <f t="shared" si="33"/>
        <v>3</v>
      </c>
      <c r="T113" s="34">
        <f t="shared" si="29"/>
        <v>3</v>
      </c>
    </row>
    <row r="114" spans="2:20" x14ac:dyDescent="0.3">
      <c r="B114" s="2" t="str">
        <f t="shared" si="28"/>
        <v>M1A2</v>
      </c>
      <c r="C114" s="34">
        <f t="shared" si="23"/>
        <v>1.0618333390135373</v>
      </c>
      <c r="D114" s="34">
        <f t="shared" si="24"/>
        <v>0.94176737841836689</v>
      </c>
      <c r="E114" s="21">
        <v>1</v>
      </c>
      <c r="G114" s="2" t="str">
        <f t="shared" si="25"/>
        <v>M1A2</v>
      </c>
      <c r="H114" s="34">
        <f t="shared" si="32"/>
        <v>7.669995017484621</v>
      </c>
      <c r="I114" s="34">
        <f t="shared" si="32"/>
        <v>30.679980069938484</v>
      </c>
      <c r="J114" s="34">
        <f t="shared" si="32"/>
        <v>35</v>
      </c>
      <c r="K114" s="34">
        <f t="shared" si="32"/>
        <v>6.3</v>
      </c>
      <c r="L114" s="34">
        <f t="shared" si="32"/>
        <v>6.3</v>
      </c>
      <c r="M114" s="34">
        <f t="shared" si="32"/>
        <v>3.8888888888888888</v>
      </c>
      <c r="N114" s="34">
        <f t="shared" si="32"/>
        <v>2</v>
      </c>
      <c r="O114" s="2">
        <f t="shared" si="33"/>
        <v>1</v>
      </c>
      <c r="P114" s="2">
        <f t="shared" si="33"/>
        <v>6</v>
      </c>
      <c r="Q114" s="2">
        <f t="shared" si="33"/>
        <v>0</v>
      </c>
      <c r="R114" s="2">
        <f t="shared" si="33"/>
        <v>1</v>
      </c>
      <c r="S114" s="2">
        <f t="shared" si="33"/>
        <v>3</v>
      </c>
      <c r="T114" s="34">
        <f t="shared" si="29"/>
        <v>3</v>
      </c>
    </row>
    <row r="116" spans="2:20" x14ac:dyDescent="0.3">
      <c r="C116" s="130"/>
      <c r="D116" s="130"/>
    </row>
    <row r="117" spans="2:20" x14ac:dyDescent="0.3">
      <c r="C117" s="130"/>
      <c r="D117" s="130"/>
    </row>
    <row r="158" spans="4:4" x14ac:dyDescent="0.3">
      <c r="D158" s="1">
        <v>1.2</v>
      </c>
    </row>
  </sheetData>
  <mergeCells count="6">
    <mergeCell ref="B83:E83"/>
    <mergeCell ref="B2:J2"/>
    <mergeCell ref="L2:M2"/>
    <mergeCell ref="B17:BC17"/>
    <mergeCell ref="B50:T50"/>
    <mergeCell ref="U50:W50"/>
  </mergeCells>
  <phoneticPr fontId="34" type="noConversion"/>
  <pageMargins left="0.7" right="0.7"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P36"/>
  <sheetViews>
    <sheetView workbookViewId="0">
      <selection activeCell="Q43" sqref="Q43"/>
    </sheetView>
  </sheetViews>
  <sheetFormatPr defaultColWidth="9" defaultRowHeight="14.25" x14ac:dyDescent="0.3"/>
  <cols>
    <col min="1" max="16384" width="9" style="1"/>
  </cols>
  <sheetData>
    <row r="1" spans="2:42" x14ac:dyDescent="0.3">
      <c r="B1" s="27"/>
      <c r="AP1" s="130"/>
    </row>
    <row r="2" spans="2:42" x14ac:dyDescent="0.3">
      <c r="B2" s="262" t="s">
        <v>1197</v>
      </c>
      <c r="C2" s="262"/>
      <c r="D2" s="25"/>
      <c r="E2" s="262" t="s">
        <v>1198</v>
      </c>
      <c r="F2" s="262"/>
      <c r="G2" s="262"/>
      <c r="I2" s="262" t="s">
        <v>1199</v>
      </c>
      <c r="J2" s="262"/>
      <c r="K2" s="262"/>
      <c r="L2" s="262"/>
      <c r="M2" s="262"/>
      <c r="N2" s="262"/>
      <c r="O2" s="262"/>
      <c r="P2" s="262"/>
      <c r="R2" s="262" t="s">
        <v>1200</v>
      </c>
      <c r="S2" s="262"/>
      <c r="T2" s="262"/>
      <c r="U2" s="262"/>
      <c r="V2" s="262"/>
      <c r="W2" s="262"/>
      <c r="X2" s="262"/>
      <c r="Y2" s="262"/>
      <c r="AA2" s="262" t="s">
        <v>1201</v>
      </c>
      <c r="AB2" s="262"/>
      <c r="AC2" s="262"/>
      <c r="AD2" s="262"/>
      <c r="AE2" s="262"/>
      <c r="AF2" s="262"/>
      <c r="AG2" s="262"/>
      <c r="AH2" s="262"/>
      <c r="AI2" s="262"/>
      <c r="AJ2" s="262"/>
      <c r="AK2" s="262"/>
      <c r="AL2" s="262"/>
      <c r="AM2" s="262"/>
      <c r="AN2" s="262"/>
      <c r="AO2" s="262"/>
      <c r="AP2" s="262"/>
    </row>
    <row r="3" spans="2:42" x14ac:dyDescent="0.3">
      <c r="B3" s="2" t="s">
        <v>611</v>
      </c>
      <c r="C3" s="2" t="s">
        <v>1202</v>
      </c>
      <c r="D3" s="25"/>
      <c r="E3" s="2" t="s">
        <v>608</v>
      </c>
      <c r="F3" s="2" t="s">
        <v>93</v>
      </c>
      <c r="G3" s="2" t="s">
        <v>94</v>
      </c>
      <c r="I3" s="2" t="s">
        <v>608</v>
      </c>
      <c r="J3" s="2" t="s">
        <v>611</v>
      </c>
      <c r="K3" s="2" t="s">
        <v>903</v>
      </c>
      <c r="L3" s="2" t="s">
        <v>1203</v>
      </c>
      <c r="M3" s="2" t="s">
        <v>904</v>
      </c>
      <c r="N3" s="2" t="s">
        <v>1204</v>
      </c>
      <c r="O3" s="2" t="s">
        <v>905</v>
      </c>
      <c r="P3" s="2" t="s">
        <v>1205</v>
      </c>
      <c r="R3" s="2" t="s">
        <v>608</v>
      </c>
      <c r="S3" s="2" t="s">
        <v>91</v>
      </c>
      <c r="T3" s="2" t="s">
        <v>93</v>
      </c>
      <c r="U3" s="2" t="s">
        <v>94</v>
      </c>
      <c r="V3" s="2" t="s">
        <v>95</v>
      </c>
      <c r="W3" s="2" t="s">
        <v>1184</v>
      </c>
      <c r="X3" s="2" t="s">
        <v>178</v>
      </c>
      <c r="Y3" s="2" t="s">
        <v>1186</v>
      </c>
      <c r="AA3" s="2" t="s">
        <v>608</v>
      </c>
      <c r="AB3" s="2" t="s">
        <v>91</v>
      </c>
      <c r="AC3" s="2" t="s">
        <v>95</v>
      </c>
      <c r="AD3" s="2" t="s">
        <v>1184</v>
      </c>
      <c r="AE3" s="2" t="s">
        <v>1206</v>
      </c>
      <c r="AF3" s="2" t="s">
        <v>178</v>
      </c>
      <c r="AG3" s="2" t="s">
        <v>860</v>
      </c>
      <c r="AH3" s="2" t="s">
        <v>379</v>
      </c>
      <c r="AI3" s="2" t="s">
        <v>1207</v>
      </c>
      <c r="AJ3" s="2" t="s">
        <v>1208</v>
      </c>
      <c r="AK3" s="2" t="s">
        <v>1209</v>
      </c>
      <c r="AL3" s="2" t="s">
        <v>1186</v>
      </c>
      <c r="AM3" s="2" t="s">
        <v>1210</v>
      </c>
      <c r="AN3" s="2" t="s">
        <v>906</v>
      </c>
      <c r="AO3" s="2" t="s">
        <v>1211</v>
      </c>
      <c r="AP3" s="2" t="s">
        <v>1212</v>
      </c>
    </row>
    <row r="4" spans="2:42" x14ac:dyDescent="0.3">
      <c r="B4" s="2" t="s">
        <v>182</v>
      </c>
      <c r="C4" s="21">
        <v>1</v>
      </c>
      <c r="D4" s="24"/>
      <c r="E4" s="2" t="s">
        <v>518</v>
      </c>
      <c r="F4" s="2">
        <f>VLOOKUP($E4,坦克个性化设定!$B$51:$T$81,MATCH(F$3,坦克个性化设定!$B$51:$T$51,0),FALSE)</f>
        <v>0</v>
      </c>
      <c r="G4" s="2">
        <f>VLOOKUP($E4,坦克个性化设定!$B$51:$T$81,MATCH(G$3,坦克个性化设定!$B$51:$T$51,0),FALSE)</f>
        <v>5.04</v>
      </c>
      <c r="I4" s="2" t="s">
        <v>518</v>
      </c>
      <c r="J4" s="21" t="s">
        <v>182</v>
      </c>
      <c r="K4" s="2">
        <f>ROUND(VLOOKUP(I4,坦克个性化设定!$G$84:$T$114,MATCH(K$3,坦克个性化设定!$G$84:$T$84,0),FALSE)*VLOOKUP(J4,$B$3:$C$6,2,FALSE),1)</f>
        <v>47.1</v>
      </c>
      <c r="L4" s="2">
        <f>K4/坦克个性化设定!$M$4*坦克个性化设定!$M$5/VLOOKUP(J4,$B$3:$C$6,2,FALSE)</f>
        <v>11.774999999999997</v>
      </c>
      <c r="M4" s="2">
        <f>ROUND(VLOOKUP(I4,坦克个性化设定!$G$84:$T$114,MATCH(M$3,坦克个性化设定!$G$84:$T$84,0),FALSE)*VLOOKUP(J4,$B$3:$C$6,2,FALSE),1)</f>
        <v>45</v>
      </c>
      <c r="N4" s="2">
        <f>M4/坦克个性化设定!$M$4*坦克个性化设定!$M$5</f>
        <v>11.249999999999998</v>
      </c>
      <c r="O4" s="2">
        <f>ROUND(VLOOKUP(I4,坦克个性化设定!$G$84:$T$114,MATCH(O$3,坦克个性化设定!$G$84:$T$84,0),FALSE)*VLOOKUP(J4,$B$3:$C$6,2,FALSE),1)</f>
        <v>10.5</v>
      </c>
      <c r="P4" s="2">
        <f>ROUND(O4*($C$12-1),2)</f>
        <v>0</v>
      </c>
      <c r="R4" s="2" t="str">
        <f>I4</f>
        <v>雷诺FT</v>
      </c>
      <c r="S4" s="2">
        <f>VLOOKUP($R4,坦克个性化设定!$B$51:$T$81,MATCH(S$3,坦克个性化设定!$B$51:$T$51,0),FALSE)</f>
        <v>12</v>
      </c>
      <c r="T4" s="2">
        <f>VLOOKUP($R4,坦克个性化设定!$B$51:$T$81,MATCH(T$3,坦克个性化设定!$B$51:$T$51,0),FALSE)</f>
        <v>0</v>
      </c>
      <c r="U4" s="2">
        <f>VLOOKUP($R4,坦克个性化设定!$B$51:$T$81,MATCH(U$3,坦克个性化设定!$B$51:$T$51,0),FALSE)</f>
        <v>5.04</v>
      </c>
      <c r="V4" s="2">
        <f>VLOOKUP($R4,坦克个性化设定!$B$51:$T$81,MATCH(V$3,坦克个性化设定!$B$51:$T$51,0),FALSE)</f>
        <v>0.60000000000000009</v>
      </c>
      <c r="W4" s="2">
        <f>VLOOKUP($R4,坦克个性化设定!$B$51:$T$81,MATCH(W$3,坦克个性化设定!$B$51:$T$51,0),FALSE)</f>
        <v>0.5</v>
      </c>
      <c r="X4" s="2">
        <f>VLOOKUP($R4,坦克个性化设定!$B$51:$T$81,MATCH(X$3,坦克个性化设定!$B$51:$T$51,0),FALSE)</f>
        <v>1.2</v>
      </c>
      <c r="Y4" s="34">
        <f>VLOOKUP($R4,坦克个性化设定!$B$51:$T$81,MATCH(Y$3,坦克个性化设定!$B$51:$T$51,0),FALSE)</f>
        <v>67.051546391752566</v>
      </c>
      <c r="AA4" s="2" t="str">
        <f t="shared" ref="AA4:AA33" si="0">I4</f>
        <v>雷诺FT</v>
      </c>
      <c r="AB4" s="2">
        <f t="shared" ref="AB4:AB33" si="1">S4</f>
        <v>12</v>
      </c>
      <c r="AC4" s="2">
        <f t="shared" ref="AC4:AC33" si="2">V4</f>
        <v>0.60000000000000009</v>
      </c>
      <c r="AD4" s="2">
        <f t="shared" ref="AD4:AD33" si="3">W4</f>
        <v>0.5</v>
      </c>
      <c r="AE4" s="2">
        <f t="shared" ref="AE4:AE33" si="4">X4</f>
        <v>1.2</v>
      </c>
      <c r="AF4" s="34">
        <f>AE4*AH4</f>
        <v>1.44</v>
      </c>
      <c r="AG4" s="34">
        <f>AD4/AF4</f>
        <v>0.34722222222222221</v>
      </c>
      <c r="AH4" s="41">
        <v>1.2</v>
      </c>
      <c r="AI4" s="34">
        <f>AD4/AE4-AG4</f>
        <v>6.9444444444444475E-2</v>
      </c>
      <c r="AJ4" s="2">
        <f>IF(VLOOKUP(AA4,坦克个性化设定!$B$51:$T$81,9,FALSE)=0,VLOOKUP(AA4,坦克个性化设定!$B$51:$T$81,10,FALSE),VLOOKUP(AA4,坦克个性化设定!$B$51:$T$81,9,FALSE))</f>
        <v>5.04</v>
      </c>
      <c r="AK4" s="2" t="str">
        <f>IF(LEN(VLOOKUP(AA4,坦克个性化设定!$B$18:$F$48,5,FALSE))=5,"单发",RIGHT(VLOOKUP(AA4,坦克个性化设定!$B$18:$F$48,5,FALSE),2))</f>
        <v>弹夹</v>
      </c>
      <c r="AL4" s="34">
        <f t="shared" ref="AL4:AL33" si="5">Y4*$C$9</f>
        <v>77.109278350515439</v>
      </c>
      <c r="AM4" s="149">
        <v>0.25</v>
      </c>
      <c r="AN4" s="34">
        <f>IF(AK4="弹夹",(60-(AB4-1)*AM4)/(AL4/AB4-1)-(AB4-1)*AM4,IF(AK4="单发",(60-(AB4-1)*AM4)/(AL4-AB4),60/(AL4-AB4)))</f>
        <v>7.8014915447463462</v>
      </c>
      <c r="AO4" s="34">
        <f t="shared" ref="AO4:AO33" si="6">(AJ4-AN4)/AJ4</f>
        <v>-0.54791498903697344</v>
      </c>
      <c r="AP4" s="34">
        <f>AJ4-AN4</f>
        <v>-2.7614915447463462</v>
      </c>
    </row>
    <row r="5" spans="2:42" x14ac:dyDescent="0.3">
      <c r="B5" s="2" t="s">
        <v>184</v>
      </c>
      <c r="C5" s="21">
        <v>1.02</v>
      </c>
      <c r="D5" s="24"/>
      <c r="E5" s="2" t="s">
        <v>524</v>
      </c>
      <c r="F5" s="2">
        <f>VLOOKUP($E5,坦克个性化设定!$B$51:$T$81,MATCH(F$3,坦克个性化设定!$B$51:$T$51,0),FALSE)</f>
        <v>0</v>
      </c>
      <c r="G5" s="2">
        <f>VLOOKUP($E5,坦克个性化设定!$B$51:$T$81,MATCH(G$3,坦克个性化设定!$B$51:$T$51,0),FALSE)</f>
        <v>8.3999999999999986</v>
      </c>
      <c r="I5" s="2" t="s">
        <v>524</v>
      </c>
      <c r="J5" s="21" t="s">
        <v>182</v>
      </c>
      <c r="K5" s="2">
        <f>ROUND(VLOOKUP(I5,坦克个性化设定!$G$84:$T$114,MATCH(K$3,坦克个性化设定!$G$84:$T$84,0),FALSE)*VLOOKUP(J5,$B$3:$C$6,2,FALSE),1)</f>
        <v>47.1</v>
      </c>
      <c r="L5" s="2">
        <f>K5/坦克个性化设定!$M$4*坦克个性化设定!$M$5</f>
        <v>11.774999999999997</v>
      </c>
      <c r="M5" s="2">
        <f>ROUND(VLOOKUP(I5,坦克个性化设定!$G$84:$T$114,MATCH(M$3,坦克个性化设定!$G$84:$T$84,0),FALSE)*VLOOKUP(J5,$B$3:$C$6,2,FALSE),1)</f>
        <v>45</v>
      </c>
      <c r="N5" s="2">
        <f>M5/坦克个性化设定!$M$4*坦克个性化设定!$M$5</f>
        <v>11.249999999999998</v>
      </c>
      <c r="O5" s="2">
        <f>ROUND(VLOOKUP(I5,坦克个性化设定!$G$84:$T$114,MATCH(O$3,坦克个性化设定!$G$84:$T$84,0),FALSE)*VLOOKUP(J5,$B$3:$C$6,2,FALSE),1)</f>
        <v>10.5</v>
      </c>
      <c r="P5" s="2">
        <f t="shared" ref="P5:P33" si="7">ROUND(O5*($C$12-1),2)</f>
        <v>0</v>
      </c>
      <c r="R5" s="2" t="str">
        <f t="shared" ref="R5:R33" si="8">I5</f>
        <v>二号</v>
      </c>
      <c r="S5" s="2">
        <f>VLOOKUP($R5,坦克个性化设定!$B$51:$T$81,MATCH(S$3,坦克个性化设定!$B$51:$T$51,0),FALSE)</f>
        <v>14.999999999999998</v>
      </c>
      <c r="T5" s="2">
        <f>VLOOKUP($R5,坦克个性化设定!$B$51:$T$81,MATCH(T$3,坦克个性化设定!$B$51:$T$51,0),FALSE)</f>
        <v>0</v>
      </c>
      <c r="U5" s="2">
        <f>VLOOKUP($R5,坦克个性化设定!$B$51:$T$81,MATCH(U$3,坦克个性化设定!$B$51:$T$51,0),FALSE)</f>
        <v>8.3999999999999986</v>
      </c>
      <c r="V5" s="2">
        <f>VLOOKUP($R5,坦克个性化设定!$B$51:$T$81,MATCH(V$3,坦克个性化设定!$B$51:$T$51,0),FALSE)</f>
        <v>0.60000000000000009</v>
      </c>
      <c r="W5" s="2">
        <f>VLOOKUP($R5,坦克个性化设定!$B$51:$T$81,MATCH(W$3,坦克个性化设定!$B$51:$T$51,0),FALSE)</f>
        <v>0.47</v>
      </c>
      <c r="X5" s="2">
        <f>VLOOKUP($R5,坦克个性化设定!$B$51:$T$81,MATCH(X$3,坦克个性化设定!$B$51:$T$51,0),FALSE)</f>
        <v>1.2</v>
      </c>
      <c r="Y5" s="34">
        <f>VLOOKUP($R5,坦克个性化设定!$B$51:$T$81,MATCH(Y$3,坦克个性化设定!$B$51:$T$51,0),FALSE)</f>
        <v>61.071428571428577</v>
      </c>
      <c r="AA5" s="2" t="str">
        <f t="shared" si="0"/>
        <v>二号</v>
      </c>
      <c r="AB5" s="2">
        <f t="shared" si="1"/>
        <v>14.999999999999998</v>
      </c>
      <c r="AC5" s="2">
        <f t="shared" si="2"/>
        <v>0.60000000000000009</v>
      </c>
      <c r="AD5" s="2">
        <f t="shared" si="3"/>
        <v>0.47</v>
      </c>
      <c r="AE5" s="2">
        <f t="shared" si="4"/>
        <v>1.2</v>
      </c>
      <c r="AF5" s="34">
        <f t="shared" ref="AF5:AF33" si="9">AE5*AH5</f>
        <v>1.44</v>
      </c>
      <c r="AG5" s="34">
        <f t="shared" ref="AG5:AG33" si="10">AD5/AF5</f>
        <v>0.3263888888888889</v>
      </c>
      <c r="AH5" s="41">
        <v>1.2</v>
      </c>
      <c r="AI5" s="34">
        <f t="shared" ref="AI5:AI33" si="11">AD5/AE5-AG5</f>
        <v>6.5277777777777768E-2</v>
      </c>
      <c r="AJ5" s="2">
        <f>IF(VLOOKUP(AA5,坦克个性化设定!$B$51:$T$81,9,FALSE)=0,VLOOKUP(AA5,坦克个性化设定!$B$51:$T$81,10,FALSE),VLOOKUP(AA5,坦克个性化设定!$B$51:$T$81,9,FALSE))</f>
        <v>8.3999999999999986</v>
      </c>
      <c r="AK5" s="2" t="str">
        <f>IF(LEN(VLOOKUP(AA5,坦克个性化设定!$B$18:$F$48,5,FALSE))=5,"单发",RIGHT(VLOOKUP(AA5,坦克个性化设定!$B$18:$F$48,5,FALSE),2))</f>
        <v>弹夹</v>
      </c>
      <c r="AL5" s="34">
        <f t="shared" si="5"/>
        <v>70.232142857142861</v>
      </c>
      <c r="AM5" s="34">
        <f t="shared" ref="AM5:AM33" si="12">AC5</f>
        <v>0.60000000000000009</v>
      </c>
      <c r="AN5" s="34">
        <f t="shared" ref="AN5:AN33" si="13">IF(AK5="弹夹",(60-(AB5-1)*AM5)/(AL5/AB5-1)-(AB5-1)*AM5,IF(AK5="单发",(60-(AB5-1)*AM5)/(AL5-AB5),60/(AL5-AB5)))</f>
        <v>5.6135790494665354</v>
      </c>
      <c r="AO5" s="34">
        <f t="shared" si="6"/>
        <v>0.33171677982541231</v>
      </c>
      <c r="AP5" s="34">
        <f t="shared" ref="AP5:AP33" si="14">AJ5-AN5</f>
        <v>2.7864209505334632</v>
      </c>
    </row>
    <row r="6" spans="2:42" x14ac:dyDescent="0.3">
      <c r="B6" s="2" t="s">
        <v>183</v>
      </c>
      <c r="C6" s="21">
        <v>1.05</v>
      </c>
      <c r="D6" s="24"/>
      <c r="E6" s="2" t="s">
        <v>616</v>
      </c>
      <c r="F6" s="2">
        <f>VLOOKUP($E6,坦克个性化设定!$B$51:$T$81,MATCH(F$3,坦克个性化设定!$B$51:$T$51,0),FALSE)</f>
        <v>0</v>
      </c>
      <c r="G6" s="2">
        <f>VLOOKUP($E6,坦克个性化设定!$B$51:$T$81,MATCH(G$3,坦克个性化设定!$B$51:$T$51,0),FALSE)</f>
        <v>3.1499999999999995</v>
      </c>
      <c r="I6" s="2" t="s">
        <v>616</v>
      </c>
      <c r="J6" s="21" t="s">
        <v>184</v>
      </c>
      <c r="K6" s="2">
        <f>ROUND(VLOOKUP(I6,坦克个性化设定!$G$84:$T$114,MATCH(K$3,坦克个性化设定!$G$84:$T$84,0),FALSE)*VLOOKUP(J6,$B$3:$C$6,2,FALSE),1)</f>
        <v>43.3</v>
      </c>
      <c r="L6" s="2">
        <f>K6/坦克个性化设定!$M$4*坦克个性化设定!$M$5</f>
        <v>10.824999999999996</v>
      </c>
      <c r="M6" s="2">
        <f>ROUND(VLOOKUP(I6,坦克个性化设定!$G$84:$T$114,MATCH(M$3,坦克个性化设定!$G$84:$T$84,0),FALSE)*VLOOKUP(J6,$B$3:$C$6,2,FALSE),1)</f>
        <v>51</v>
      </c>
      <c r="N6" s="2">
        <f>M6/坦克个性化设定!$M$4*坦克个性化设定!$M$5</f>
        <v>12.749999999999996</v>
      </c>
      <c r="O6" s="2">
        <f>ROUND(VLOOKUP(I6,坦克个性化设定!$G$84:$T$114,MATCH(O$3,坦克个性化设定!$G$84:$T$84,0),FALSE)*VLOOKUP(J6,$B$3:$C$6,2,FALSE),1)</f>
        <v>10.199999999999999</v>
      </c>
      <c r="P6" s="2">
        <f t="shared" si="7"/>
        <v>0</v>
      </c>
      <c r="R6" s="2" t="str">
        <f t="shared" si="8"/>
        <v>Puma</v>
      </c>
      <c r="S6" s="2">
        <f>VLOOKUP($R6,坦克个性化设定!$B$51:$T$81,MATCH(S$3,坦克个性化设定!$B$51:$T$51,0),FALSE)</f>
        <v>6</v>
      </c>
      <c r="T6" s="2">
        <f>VLOOKUP($R6,坦克个性化设定!$B$51:$T$81,MATCH(T$3,坦克个性化设定!$B$51:$T$51,0),FALSE)</f>
        <v>0</v>
      </c>
      <c r="U6" s="2">
        <f>VLOOKUP($R6,坦克个性化设定!$B$51:$T$81,MATCH(U$3,坦克个性化设定!$B$51:$T$51,0),FALSE)</f>
        <v>3.1499999999999995</v>
      </c>
      <c r="V6" s="2">
        <f>VLOOKUP($R6,坦克个性化设定!$B$51:$T$81,MATCH(V$3,坦克个性化设定!$B$51:$T$51,0),FALSE)</f>
        <v>0.8</v>
      </c>
      <c r="W6" s="2">
        <f>VLOOKUP($R6,坦克个性化设定!$B$51:$T$81,MATCH(W$3,坦克个性化设定!$B$51:$T$51,0),FALSE)</f>
        <v>0.69</v>
      </c>
      <c r="X6" s="2">
        <f>VLOOKUP($R6,坦克个性化设定!$B$51:$T$81,MATCH(X$3,坦克个性化设定!$B$51:$T$51,0),FALSE)</f>
        <v>1.2</v>
      </c>
      <c r="Y6" s="34">
        <f>VLOOKUP($R6,坦克个性化设定!$B$51:$T$81,MATCH(Y$3,坦克个性化设定!$B$51:$T$51,0),FALSE)</f>
        <v>52.993006993007</v>
      </c>
      <c r="AA6" s="2" t="str">
        <f t="shared" si="0"/>
        <v>Puma</v>
      </c>
      <c r="AB6" s="2">
        <f t="shared" si="1"/>
        <v>6</v>
      </c>
      <c r="AC6" s="2">
        <f t="shared" si="2"/>
        <v>0.8</v>
      </c>
      <c r="AD6" s="2">
        <f t="shared" si="3"/>
        <v>0.69</v>
      </c>
      <c r="AE6" s="2">
        <f t="shared" si="4"/>
        <v>1.2</v>
      </c>
      <c r="AF6" s="34">
        <f t="shared" si="9"/>
        <v>1.44</v>
      </c>
      <c r="AG6" s="34">
        <f t="shared" si="10"/>
        <v>0.47916666666666663</v>
      </c>
      <c r="AH6" s="41">
        <v>1.2</v>
      </c>
      <c r="AI6" s="34">
        <f t="shared" si="11"/>
        <v>9.5833333333333326E-2</v>
      </c>
      <c r="AJ6" s="2">
        <f>IF(VLOOKUP(AA6,坦克个性化设定!$B$51:$T$81,9,FALSE)=0,VLOOKUP(AA6,坦克个性化设定!$B$51:$T$81,10,FALSE),VLOOKUP(AA6,坦克个性化设定!$B$51:$T$81,9,FALSE))</f>
        <v>3.1499999999999995</v>
      </c>
      <c r="AK6" s="2" t="str">
        <f>IF(LEN(VLOOKUP(AA6,坦克个性化设定!$B$18:$F$48,5,FALSE))=5,"单发",RIGHT(VLOOKUP(AA6,坦克个性化设定!$B$18:$F$48,5,FALSE),2))</f>
        <v>弹夹</v>
      </c>
      <c r="AL6" s="34">
        <f t="shared" si="5"/>
        <v>60.941958041958046</v>
      </c>
      <c r="AM6" s="34">
        <f t="shared" si="12"/>
        <v>0.8</v>
      </c>
      <c r="AN6" s="34">
        <f t="shared" si="13"/>
        <v>2.1155446943373173</v>
      </c>
      <c r="AO6" s="34">
        <f t="shared" si="6"/>
        <v>0.32839850973418488</v>
      </c>
      <c r="AP6" s="34">
        <f t="shared" si="14"/>
        <v>1.0344553056626822</v>
      </c>
    </row>
    <row r="7" spans="2:42" x14ac:dyDescent="0.3">
      <c r="E7" s="2" t="s">
        <v>530</v>
      </c>
      <c r="F7" s="2">
        <f>VLOOKUP($E7,坦克个性化设定!$B$51:$T$81,MATCH(F$3,坦克个性化设定!$B$51:$T$51,0),FALSE)</f>
        <v>0</v>
      </c>
      <c r="G7" s="2">
        <f>VLOOKUP($E7,坦克个性化设定!$B$51:$T$81,MATCH(G$3,坦克个性化设定!$B$51:$T$51,0),FALSE)</f>
        <v>6.3</v>
      </c>
      <c r="I7" s="2" t="s">
        <v>530</v>
      </c>
      <c r="J7" s="21" t="s">
        <v>182</v>
      </c>
      <c r="K7" s="2">
        <f>ROUND(VLOOKUP(I7,坦克个性化设定!$G$84:$T$114,MATCH(K$3,坦克个性化设定!$G$84:$T$84,0),FALSE)*VLOOKUP(J7,$B$3:$C$6,2,FALSE),1)</f>
        <v>42.4</v>
      </c>
      <c r="L7" s="2">
        <f>K7/坦克个性化设定!$M$4*坦克个性化设定!$M$5</f>
        <v>10.599999999999996</v>
      </c>
      <c r="M7" s="2">
        <f>ROUND(VLOOKUP(I7,坦克个性化设定!$G$84:$T$114,MATCH(M$3,坦克个性化设定!$G$84:$T$84,0),FALSE)*VLOOKUP(J7,$B$3:$C$6,2,FALSE),1)</f>
        <v>50</v>
      </c>
      <c r="N7" s="2">
        <f>M7/坦克个性化设定!$M$4*坦克个性化设定!$M$5</f>
        <v>12.499999999999996</v>
      </c>
      <c r="O7" s="2">
        <f>ROUND(VLOOKUP(I7,坦克个性化设定!$G$84:$T$114,MATCH(O$3,坦克个性化设定!$G$84:$T$84,0),FALSE)*VLOOKUP(J7,$B$3:$C$6,2,FALSE),1)</f>
        <v>10</v>
      </c>
      <c r="P7" s="2">
        <f t="shared" si="7"/>
        <v>0</v>
      </c>
      <c r="R7" s="2" t="str">
        <f t="shared" si="8"/>
        <v>35(t)</v>
      </c>
      <c r="S7" s="2">
        <f>VLOOKUP($R7,坦克个性化设定!$B$51:$T$81,MATCH(S$3,坦克个性化设定!$B$51:$T$51,0),FALSE)</f>
        <v>9</v>
      </c>
      <c r="T7" s="2">
        <f>VLOOKUP($R7,坦克个性化设定!$B$51:$T$81,MATCH(T$3,坦克个性化设定!$B$51:$T$51,0),FALSE)</f>
        <v>0</v>
      </c>
      <c r="U7" s="2">
        <f>VLOOKUP($R7,坦克个性化设定!$B$51:$T$81,MATCH(U$3,坦克个性化设定!$B$51:$T$51,0),FALSE)</f>
        <v>6.3</v>
      </c>
      <c r="V7" s="2">
        <f>VLOOKUP($R7,坦克个性化设定!$B$51:$T$81,MATCH(V$3,坦克个性化设定!$B$51:$T$51,0),FALSE)</f>
        <v>0.8</v>
      </c>
      <c r="W7" s="2">
        <f>VLOOKUP($R7,坦克个性化设定!$B$51:$T$81,MATCH(W$3,坦克个性化设定!$B$51:$T$51,0),FALSE)</f>
        <v>0.62</v>
      </c>
      <c r="X7" s="2">
        <f>VLOOKUP($R7,坦克个性化设定!$B$51:$T$81,MATCH(X$3,坦克个性化设定!$B$51:$T$51,0),FALSE)</f>
        <v>1.2</v>
      </c>
      <c r="Y7" s="34">
        <f>VLOOKUP($R7,坦克个性化设定!$B$51:$T$81,MATCH(Y$3,坦克个性化设定!$B$51:$T$51,0),FALSE)</f>
        <v>46.984251968503941</v>
      </c>
      <c r="AA7" s="2" t="str">
        <f t="shared" si="0"/>
        <v>35(t)</v>
      </c>
      <c r="AB7" s="2">
        <f t="shared" si="1"/>
        <v>9</v>
      </c>
      <c r="AC7" s="2">
        <f t="shared" si="2"/>
        <v>0.8</v>
      </c>
      <c r="AD7" s="2">
        <f t="shared" si="3"/>
        <v>0.62</v>
      </c>
      <c r="AE7" s="2">
        <f t="shared" si="4"/>
        <v>1.2</v>
      </c>
      <c r="AF7" s="34">
        <f t="shared" si="9"/>
        <v>1.44</v>
      </c>
      <c r="AG7" s="34">
        <f t="shared" si="10"/>
        <v>0.43055555555555558</v>
      </c>
      <c r="AH7" s="41">
        <v>1.2</v>
      </c>
      <c r="AI7" s="34">
        <f t="shared" si="11"/>
        <v>8.6111111111111138E-2</v>
      </c>
      <c r="AJ7" s="2">
        <f>IF(VLOOKUP(AA7,坦克个性化设定!$B$51:$T$81,9,FALSE)=0,VLOOKUP(AA7,坦克个性化设定!$B$51:$T$81,10,FALSE),VLOOKUP(AA7,坦克个性化设定!$B$51:$T$81,9,FALSE))</f>
        <v>6.3</v>
      </c>
      <c r="AK7" s="2" t="str">
        <f>IF(LEN(VLOOKUP(AA7,坦克个性化设定!$B$18:$F$48,5,FALSE))=5,"单发",RIGHT(VLOOKUP(AA7,坦克个性化设定!$B$18:$F$48,5,FALSE),2))</f>
        <v>弹夹</v>
      </c>
      <c r="AL7" s="34">
        <f t="shared" si="5"/>
        <v>54.031889763779525</v>
      </c>
      <c r="AM7" s="34">
        <f t="shared" si="12"/>
        <v>0.8</v>
      </c>
      <c r="AN7" s="34">
        <f t="shared" si="13"/>
        <v>4.3124085293886232</v>
      </c>
      <c r="AO7" s="34">
        <f t="shared" si="6"/>
        <v>0.31549070962085346</v>
      </c>
      <c r="AP7" s="34">
        <f t="shared" si="14"/>
        <v>1.9875914706113766</v>
      </c>
    </row>
    <row r="8" spans="2:42" x14ac:dyDescent="0.3">
      <c r="B8" s="262" t="s">
        <v>1213</v>
      </c>
      <c r="C8" s="262"/>
      <c r="D8" s="25"/>
      <c r="E8" s="2" t="s">
        <v>620</v>
      </c>
      <c r="F8" s="2">
        <f>VLOOKUP($E8,坦克个性化设定!$B$51:$T$81,MATCH(F$3,坦克个性化设定!$B$51:$T$51,0),FALSE)</f>
        <v>0</v>
      </c>
      <c r="G8" s="2">
        <f>VLOOKUP($E8,坦克个性化设定!$B$51:$T$81,MATCH(G$3,坦克个性化设定!$B$51:$T$51,0),FALSE)</f>
        <v>8.3999999999999986</v>
      </c>
      <c r="I8" s="2" t="s">
        <v>620</v>
      </c>
      <c r="J8" s="21" t="s">
        <v>184</v>
      </c>
      <c r="K8" s="2">
        <f>ROUND(VLOOKUP(I8,坦克个性化设定!$G$84:$T$114,MATCH(K$3,坦克个性化设定!$G$84:$T$84,0),FALSE)*VLOOKUP(J8,$B$3:$C$6,2,FALSE),1)</f>
        <v>48.1</v>
      </c>
      <c r="L8" s="2">
        <f>K8/坦克个性化设定!$M$4*坦克个性化设定!$M$5</f>
        <v>12.024999999999997</v>
      </c>
      <c r="M8" s="2">
        <f>ROUND(VLOOKUP(I8,坦克个性化设定!$G$84:$T$114,MATCH(M$3,坦克个性化设定!$G$84:$T$84,0),FALSE)*VLOOKUP(J8,$B$3:$C$6,2,FALSE),1)</f>
        <v>45.9</v>
      </c>
      <c r="N8" s="2">
        <f>M8/坦克个性化设定!$M$4*坦克个性化设定!$M$5</f>
        <v>11.474999999999996</v>
      </c>
      <c r="O8" s="2">
        <f>ROUND(VLOOKUP(I8,坦克个性化设定!$G$84:$T$114,MATCH(O$3,坦克个性化设定!$G$84:$T$84,0),FALSE)*VLOOKUP(J8,$B$3:$C$6,2,FALSE),1)</f>
        <v>10.7</v>
      </c>
      <c r="P8" s="2">
        <f t="shared" si="7"/>
        <v>0</v>
      </c>
      <c r="R8" s="2" t="str">
        <f t="shared" si="8"/>
        <v>十字军</v>
      </c>
      <c r="S8" s="2">
        <f>VLOOKUP($R8,坦克个性化设定!$B$51:$T$81,MATCH(S$3,坦克个性化设定!$B$51:$T$51,0),FALSE)</f>
        <v>12</v>
      </c>
      <c r="T8" s="2">
        <f>VLOOKUP($R8,坦克个性化设定!$B$51:$T$81,MATCH(T$3,坦克个性化设定!$B$51:$T$51,0),FALSE)</f>
        <v>0</v>
      </c>
      <c r="U8" s="2">
        <f>VLOOKUP($R8,坦克个性化设定!$B$51:$T$81,MATCH(U$3,坦克个性化设定!$B$51:$T$51,0),FALSE)</f>
        <v>8.3999999999999986</v>
      </c>
      <c r="V8" s="2">
        <f>VLOOKUP($R8,坦克个性化设定!$B$51:$T$81,MATCH(V$3,坦克个性化设定!$B$51:$T$51,0),FALSE)</f>
        <v>0.60000000000000009</v>
      </c>
      <c r="W8" s="2">
        <f>VLOOKUP($R8,坦克个性化设定!$B$51:$T$81,MATCH(W$3,坦克个性化设定!$B$51:$T$51,0),FALSE)</f>
        <v>0.5</v>
      </c>
      <c r="X8" s="2">
        <f>VLOOKUP($R8,坦克个性化设定!$B$51:$T$81,MATCH(X$3,坦克个性化设定!$B$51:$T$51,0),FALSE)</f>
        <v>1.2</v>
      </c>
      <c r="Y8" s="34">
        <f>VLOOKUP($R8,坦克个性化设定!$B$51:$T$81,MATCH(Y$3,坦克个性化设定!$B$51:$T$51,0),FALSE)</f>
        <v>54.720000000000006</v>
      </c>
      <c r="AA8" s="2" t="str">
        <f t="shared" si="0"/>
        <v>十字军</v>
      </c>
      <c r="AB8" s="2">
        <f t="shared" si="1"/>
        <v>12</v>
      </c>
      <c r="AC8" s="2">
        <f t="shared" si="2"/>
        <v>0.60000000000000009</v>
      </c>
      <c r="AD8" s="2">
        <f t="shared" si="3"/>
        <v>0.5</v>
      </c>
      <c r="AE8" s="2">
        <f t="shared" si="4"/>
        <v>1.2</v>
      </c>
      <c r="AF8" s="34">
        <f t="shared" si="9"/>
        <v>1.44</v>
      </c>
      <c r="AG8" s="34">
        <f t="shared" si="10"/>
        <v>0.34722222222222221</v>
      </c>
      <c r="AH8" s="41">
        <v>1.2</v>
      </c>
      <c r="AI8" s="34">
        <f t="shared" si="11"/>
        <v>6.9444444444444475E-2</v>
      </c>
      <c r="AJ8" s="2">
        <f>IF(VLOOKUP(AA8,坦克个性化设定!$B$51:$T$81,9,FALSE)=0,VLOOKUP(AA8,坦克个性化设定!$B$51:$T$81,10,FALSE),VLOOKUP(AA8,坦克个性化设定!$B$51:$T$81,9,FALSE))</f>
        <v>8.3999999999999986</v>
      </c>
      <c r="AK8" s="2" t="str">
        <f>IF(LEN(VLOOKUP(AA8,坦克个性化设定!$B$18:$F$48,5,FALSE))=5,"单发",RIGHT(VLOOKUP(AA8,坦克个性化设定!$B$18:$F$48,5,FALSE),2))</f>
        <v>弹夹</v>
      </c>
      <c r="AL8" s="34">
        <f t="shared" si="5"/>
        <v>62.928000000000004</v>
      </c>
      <c r="AM8" s="34">
        <f t="shared" si="12"/>
        <v>0.60000000000000009</v>
      </c>
      <c r="AN8" s="34">
        <f t="shared" si="13"/>
        <v>5.9824693685202597</v>
      </c>
      <c r="AO8" s="34">
        <f t="shared" si="6"/>
        <v>0.28780126565234992</v>
      </c>
      <c r="AP8" s="34">
        <f t="shared" si="14"/>
        <v>2.4175306314797389</v>
      </c>
    </row>
    <row r="9" spans="2:42" x14ac:dyDescent="0.3">
      <c r="B9" s="2" t="s">
        <v>1214</v>
      </c>
      <c r="C9" s="21">
        <v>1.1499999999999999</v>
      </c>
      <c r="D9" s="25"/>
      <c r="E9" s="2" t="s">
        <v>622</v>
      </c>
      <c r="F9" s="2">
        <f>VLOOKUP($E9,坦克个性化设定!$B$51:$T$81,MATCH(F$3,坦克个性化设定!$B$51:$T$51,0),FALSE)</f>
        <v>0</v>
      </c>
      <c r="G9" s="2">
        <f>VLOOKUP($E9,坦克个性化设定!$B$51:$T$81,MATCH(G$3,坦克个性化设定!$B$51:$T$51,0),FALSE)</f>
        <v>6.3</v>
      </c>
      <c r="I9" s="2" t="s">
        <v>622</v>
      </c>
      <c r="J9" s="21" t="s">
        <v>183</v>
      </c>
      <c r="K9" s="2">
        <f>ROUND(VLOOKUP(I9,坦克个性化设定!$G$84:$T$114,MATCH(K$3,坦克个性化设定!$G$84:$T$84,0),FALSE)*VLOOKUP(J9,$B$3:$C$6,2,FALSE),1)</f>
        <v>39.6</v>
      </c>
      <c r="L9" s="2">
        <f>K9/坦克个性化设定!$M$4*坦克个性化设定!$M$5</f>
        <v>9.8999999999999986</v>
      </c>
      <c r="M9" s="2">
        <f>ROUND(VLOOKUP(I9,坦克个性化设定!$G$84:$T$114,MATCH(M$3,坦克个性化设定!$G$84:$T$84,0),FALSE)*VLOOKUP(J9,$B$3:$C$6,2,FALSE),1)</f>
        <v>59.1</v>
      </c>
      <c r="N9" s="2">
        <f>M9/坦克个性化设定!$M$4*坦克个性化设定!$M$5</f>
        <v>14.774999999999997</v>
      </c>
      <c r="O9" s="2">
        <f>ROUND(VLOOKUP(I9,坦克个性化设定!$G$84:$T$114,MATCH(O$3,坦克个性化设定!$G$84:$T$84,0),FALSE)*VLOOKUP(J9,$B$3:$C$6,2,FALSE),1)</f>
        <v>9.9</v>
      </c>
      <c r="P9" s="2">
        <f t="shared" si="7"/>
        <v>0</v>
      </c>
      <c r="R9" s="2" t="str">
        <f t="shared" si="8"/>
        <v>AMX-13</v>
      </c>
      <c r="S9" s="2">
        <f>VLOOKUP($R9,坦克个性化设定!$B$51:$T$81,MATCH(S$3,坦克个性化设定!$B$51:$T$51,0),FALSE)</f>
        <v>9</v>
      </c>
      <c r="T9" s="2">
        <f>VLOOKUP($R9,坦克个性化设定!$B$51:$T$81,MATCH(T$3,坦克个性化设定!$B$51:$T$51,0),FALSE)</f>
        <v>0</v>
      </c>
      <c r="U9" s="2">
        <f>VLOOKUP($R9,坦克个性化设定!$B$51:$T$81,MATCH(U$3,坦克个性化设定!$B$51:$T$51,0),FALSE)</f>
        <v>6.3</v>
      </c>
      <c r="V9" s="2">
        <f>VLOOKUP($R9,坦克个性化设定!$B$51:$T$81,MATCH(V$3,坦克个性化设定!$B$51:$T$51,0),FALSE)</f>
        <v>0.8</v>
      </c>
      <c r="W9" s="2">
        <f>VLOOKUP($R9,坦克个性化设定!$B$51:$T$81,MATCH(W$3,坦克个性化设定!$B$51:$T$51,0),FALSE)</f>
        <v>0.62</v>
      </c>
      <c r="X9" s="2">
        <f>VLOOKUP($R9,坦克个性化设定!$B$51:$T$81,MATCH(X$3,坦克个性化设定!$B$51:$T$51,0),FALSE)</f>
        <v>1.2</v>
      </c>
      <c r="Y9" s="34">
        <f>VLOOKUP($R9,坦克个性化设定!$B$51:$T$81,MATCH(Y$3,坦克个性化设定!$B$51:$T$51,0),FALSE)</f>
        <v>46.984251968503941</v>
      </c>
      <c r="AA9" s="2" t="str">
        <f t="shared" si="0"/>
        <v>AMX-13</v>
      </c>
      <c r="AB9" s="2">
        <f t="shared" si="1"/>
        <v>9</v>
      </c>
      <c r="AC9" s="2">
        <f t="shared" si="2"/>
        <v>0.8</v>
      </c>
      <c r="AD9" s="2">
        <f t="shared" si="3"/>
        <v>0.62</v>
      </c>
      <c r="AE9" s="2">
        <f t="shared" si="4"/>
        <v>1.2</v>
      </c>
      <c r="AF9" s="34">
        <f t="shared" si="9"/>
        <v>1.44</v>
      </c>
      <c r="AG9" s="34">
        <f t="shared" si="10"/>
        <v>0.43055555555555558</v>
      </c>
      <c r="AH9" s="41">
        <v>1.2</v>
      </c>
      <c r="AI9" s="34">
        <f t="shared" si="11"/>
        <v>8.6111111111111138E-2</v>
      </c>
      <c r="AJ9" s="2">
        <f>IF(VLOOKUP(AA9,坦克个性化设定!$B$51:$T$81,9,FALSE)=0,VLOOKUP(AA9,坦克个性化设定!$B$51:$T$81,10,FALSE),VLOOKUP(AA9,坦克个性化设定!$B$51:$T$81,9,FALSE))</f>
        <v>6.3</v>
      </c>
      <c r="AK9" s="2" t="str">
        <f>IF(LEN(VLOOKUP(AA9,坦克个性化设定!$B$18:$F$48,5,FALSE))=5,"单发",RIGHT(VLOOKUP(AA9,坦克个性化设定!$B$18:$F$48,5,FALSE),2))</f>
        <v>弹夹</v>
      </c>
      <c r="AL9" s="34">
        <f t="shared" si="5"/>
        <v>54.031889763779525</v>
      </c>
      <c r="AM9" s="34">
        <f t="shared" si="12"/>
        <v>0.8</v>
      </c>
      <c r="AN9" s="34">
        <f t="shared" si="13"/>
        <v>4.3124085293886232</v>
      </c>
      <c r="AO9" s="34">
        <f t="shared" si="6"/>
        <v>0.31549070962085346</v>
      </c>
      <c r="AP9" s="34">
        <f t="shared" si="14"/>
        <v>1.9875914706113766</v>
      </c>
    </row>
    <row r="10" spans="2:42" x14ac:dyDescent="0.3">
      <c r="D10" s="24"/>
      <c r="E10" s="2" t="s">
        <v>624</v>
      </c>
      <c r="F10" s="2">
        <f>VLOOKUP($E10,坦克个性化设定!$B$51:$T$81,MATCH(F$3,坦克个性化设定!$B$51:$T$51,0),FALSE)</f>
        <v>0</v>
      </c>
      <c r="G10" s="2">
        <f>VLOOKUP($E10,坦克个性化设定!$B$51:$T$81,MATCH(G$3,坦克个性化设定!$B$51:$T$51,0),FALSE)</f>
        <v>6.3</v>
      </c>
      <c r="I10" s="2" t="s">
        <v>624</v>
      </c>
      <c r="J10" s="21" t="s">
        <v>182</v>
      </c>
      <c r="K10" s="2">
        <f>ROUND(VLOOKUP(I10,坦克个性化设定!$G$84:$T$114,MATCH(K$3,坦克个性化设定!$G$84:$T$84,0),FALSE)*VLOOKUP(J10,$B$3:$C$6,2,FALSE),1)</f>
        <v>42.4</v>
      </c>
      <c r="L10" s="2">
        <f>K10/坦克个性化设定!$M$4*坦克个性化设定!$M$5</f>
        <v>10.599999999999996</v>
      </c>
      <c r="M10" s="2">
        <f>ROUND(VLOOKUP(I10,坦克个性化设定!$G$84:$T$114,MATCH(M$3,坦克个性化设定!$G$84:$T$84,0),FALSE)*VLOOKUP(J10,$B$3:$C$6,2,FALSE),1)</f>
        <v>50</v>
      </c>
      <c r="N10" s="2">
        <f>M10/坦克个性化设定!$M$4*坦克个性化设定!$M$5</f>
        <v>12.499999999999996</v>
      </c>
      <c r="O10" s="2">
        <f>ROUND(VLOOKUP(I10,坦克个性化设定!$G$84:$T$114,MATCH(O$3,坦克个性化设定!$G$84:$T$84,0),FALSE)*VLOOKUP(J10,$B$3:$C$6,2,FALSE),1)</f>
        <v>10</v>
      </c>
      <c r="P10" s="2">
        <f t="shared" si="7"/>
        <v>0</v>
      </c>
      <c r="R10" s="2" t="str">
        <f t="shared" si="8"/>
        <v>霞飞</v>
      </c>
      <c r="S10" s="2">
        <f>VLOOKUP($R10,坦克个性化设定!$B$51:$T$81,MATCH(S$3,坦克个性化设定!$B$51:$T$51,0),FALSE)</f>
        <v>9</v>
      </c>
      <c r="T10" s="2">
        <f>VLOOKUP($R10,坦克个性化设定!$B$51:$T$81,MATCH(T$3,坦克个性化设定!$B$51:$T$51,0),FALSE)</f>
        <v>0</v>
      </c>
      <c r="U10" s="2">
        <f>VLOOKUP($R10,坦克个性化设定!$B$51:$T$81,MATCH(U$3,坦克个性化设定!$B$51:$T$51,0),FALSE)</f>
        <v>6.3</v>
      </c>
      <c r="V10" s="2">
        <f>VLOOKUP($R10,坦克个性化设定!$B$51:$T$81,MATCH(V$3,坦克个性化设定!$B$51:$T$51,0),FALSE)</f>
        <v>0.60000000000000009</v>
      </c>
      <c r="W10" s="2">
        <f>VLOOKUP($R10,坦克个性化设定!$B$51:$T$81,MATCH(W$3,坦克个性化设定!$B$51:$T$51,0),FALSE)</f>
        <v>0.54</v>
      </c>
      <c r="X10" s="2">
        <f>VLOOKUP($R10,坦克个性化设定!$B$51:$T$81,MATCH(X$3,坦克个性化设定!$B$51:$T$51,0),FALSE)</f>
        <v>1.2</v>
      </c>
      <c r="Y10" s="34">
        <f>VLOOKUP($R10,坦克个性化设定!$B$51:$T$81,MATCH(Y$3,坦克个性化设定!$B$51:$T$51,0),FALSE)</f>
        <v>53.756756756756758</v>
      </c>
      <c r="AA10" s="2" t="str">
        <f t="shared" si="0"/>
        <v>霞飞</v>
      </c>
      <c r="AB10" s="2">
        <f t="shared" si="1"/>
        <v>9</v>
      </c>
      <c r="AC10" s="2">
        <f t="shared" si="2"/>
        <v>0.60000000000000009</v>
      </c>
      <c r="AD10" s="2">
        <f t="shared" si="3"/>
        <v>0.54</v>
      </c>
      <c r="AE10" s="2">
        <f t="shared" si="4"/>
        <v>1.2</v>
      </c>
      <c r="AF10" s="34">
        <f t="shared" si="9"/>
        <v>1.44</v>
      </c>
      <c r="AG10" s="34">
        <f t="shared" si="10"/>
        <v>0.37500000000000006</v>
      </c>
      <c r="AH10" s="41">
        <v>1.2</v>
      </c>
      <c r="AI10" s="34">
        <f t="shared" si="11"/>
        <v>7.5000000000000011E-2</v>
      </c>
      <c r="AJ10" s="2">
        <f>IF(VLOOKUP(AA10,坦克个性化设定!$B$51:$T$81,9,FALSE)=0,VLOOKUP(AA10,坦克个性化设定!$B$51:$T$81,10,FALSE),VLOOKUP(AA10,坦克个性化设定!$B$51:$T$81,9,FALSE))</f>
        <v>6.3</v>
      </c>
      <c r="AK10" s="2" t="str">
        <f>IF(LEN(VLOOKUP(AA10,坦克个性化设定!$B$18:$F$48,5,FALSE))=5,"单发",RIGHT(VLOOKUP(AA10,坦克个性化设定!$B$18:$F$48,5,FALSE),2))</f>
        <v>弹夹</v>
      </c>
      <c r="AL10" s="34">
        <f t="shared" si="5"/>
        <v>61.820270270270264</v>
      </c>
      <c r="AM10" s="34">
        <f t="shared" si="12"/>
        <v>0.60000000000000009</v>
      </c>
      <c r="AN10" s="34">
        <f t="shared" si="13"/>
        <v>4.6054800828920097</v>
      </c>
      <c r="AO10" s="34">
        <f t="shared" si="6"/>
        <v>0.26897141541396669</v>
      </c>
      <c r="AP10" s="34">
        <f t="shared" si="14"/>
        <v>1.6945199171079901</v>
      </c>
    </row>
    <row r="11" spans="2:42" x14ac:dyDescent="0.3">
      <c r="B11" s="263" t="s">
        <v>1215</v>
      </c>
      <c r="C11" s="265"/>
      <c r="D11" s="24"/>
      <c r="E11" s="2" t="s">
        <v>627</v>
      </c>
      <c r="F11" s="2">
        <f>VLOOKUP($E11,坦克个性化设定!$B$51:$T$81,MATCH(F$3,坦克个性化设定!$B$51:$T$51,0),FALSE)</f>
        <v>0</v>
      </c>
      <c r="G11" s="2">
        <f>VLOOKUP($E11,坦克个性化设定!$B$51:$T$81,MATCH(G$3,坦克个性化设定!$B$51:$T$51,0),FALSE)</f>
        <v>8.3999999999999986</v>
      </c>
      <c r="I11" s="2" t="s">
        <v>627</v>
      </c>
      <c r="J11" s="21" t="s">
        <v>184</v>
      </c>
      <c r="K11" s="2">
        <f>ROUND(VLOOKUP(I11,坦克个性化设定!$G$84:$T$114,MATCH(K$3,坦克个性化设定!$G$84:$T$84,0),FALSE)*VLOOKUP(J11,$B$3:$C$6,2,FALSE),1)</f>
        <v>38.5</v>
      </c>
      <c r="L11" s="2">
        <f>K11/坦克个性化设定!$M$4*坦克个性化设定!$M$5</f>
        <v>9.6249999999999982</v>
      </c>
      <c r="M11" s="2">
        <f>ROUND(VLOOKUP(I11,坦克个性化设定!$G$84:$T$114,MATCH(M$3,坦克个性化设定!$G$84:$T$84,0),FALSE)*VLOOKUP(J11,$B$3:$C$6,2,FALSE),1)</f>
        <v>57.4</v>
      </c>
      <c r="N11" s="2">
        <f>M11/坦克个性化设定!$M$4*坦克个性化设定!$M$5</f>
        <v>14.349999999999996</v>
      </c>
      <c r="O11" s="2">
        <f>ROUND(VLOOKUP(I11,坦克个性化设定!$G$84:$T$114,MATCH(O$3,坦克个性化设定!$G$84:$T$84,0),FALSE)*VLOOKUP(J11,$B$3:$C$6,2,FALSE),1)</f>
        <v>9.6</v>
      </c>
      <c r="P11" s="2">
        <f t="shared" si="7"/>
        <v>0</v>
      </c>
      <c r="R11" s="2" t="str">
        <f t="shared" si="8"/>
        <v>M-41</v>
      </c>
      <c r="S11" s="2">
        <f>VLOOKUP($R11,坦克个性化设定!$B$51:$T$81,MATCH(S$3,坦克个性化设定!$B$51:$T$51,0),FALSE)</f>
        <v>12</v>
      </c>
      <c r="T11" s="2">
        <f>VLOOKUP($R11,坦克个性化设定!$B$51:$T$81,MATCH(T$3,坦克个性化设定!$B$51:$T$51,0),FALSE)</f>
        <v>0</v>
      </c>
      <c r="U11" s="2">
        <f>VLOOKUP($R11,坦克个性化设定!$B$51:$T$81,MATCH(U$3,坦克个性化设定!$B$51:$T$51,0),FALSE)</f>
        <v>8.3999999999999986</v>
      </c>
      <c r="V11" s="2">
        <f>VLOOKUP($R11,坦克个性化设定!$B$51:$T$81,MATCH(V$3,坦克个性化设定!$B$51:$T$51,0),FALSE)</f>
        <v>0.8</v>
      </c>
      <c r="W11" s="2">
        <f>VLOOKUP($R11,坦克个性化设定!$B$51:$T$81,MATCH(W$3,坦克个性化设定!$B$51:$T$51,0),FALSE)</f>
        <v>0.59</v>
      </c>
      <c r="X11" s="2">
        <f>VLOOKUP($R11,坦克个性化设定!$B$51:$T$81,MATCH(X$3,坦克个性化设定!$B$51:$T$51,0),FALSE)</f>
        <v>1.2</v>
      </c>
      <c r="Y11" s="34">
        <f>VLOOKUP($R11,坦克个性化设定!$B$51:$T$81,MATCH(Y$3,坦克个性化设定!$B$51:$T$51,0),FALSE)</f>
        <v>47.720930232558146</v>
      </c>
      <c r="AA11" s="2" t="str">
        <f t="shared" si="0"/>
        <v>M-41</v>
      </c>
      <c r="AB11" s="2">
        <f t="shared" si="1"/>
        <v>12</v>
      </c>
      <c r="AC11" s="2">
        <f t="shared" si="2"/>
        <v>0.8</v>
      </c>
      <c r="AD11" s="2">
        <f t="shared" si="3"/>
        <v>0.59</v>
      </c>
      <c r="AE11" s="2">
        <f t="shared" si="4"/>
        <v>1.2</v>
      </c>
      <c r="AF11" s="34">
        <f t="shared" si="9"/>
        <v>1.44</v>
      </c>
      <c r="AG11" s="34">
        <f t="shared" si="10"/>
        <v>0.40972222222222221</v>
      </c>
      <c r="AH11" s="41">
        <v>1.2</v>
      </c>
      <c r="AI11" s="34">
        <f t="shared" si="11"/>
        <v>8.1944444444444431E-2</v>
      </c>
      <c r="AJ11" s="2">
        <f>IF(VLOOKUP(AA11,坦克个性化设定!$B$51:$T$81,9,FALSE)=0,VLOOKUP(AA11,坦克个性化设定!$B$51:$T$81,10,FALSE),VLOOKUP(AA11,坦克个性化设定!$B$51:$T$81,9,FALSE))</f>
        <v>8.3999999999999986</v>
      </c>
      <c r="AK11" s="2" t="str">
        <f>IF(LEN(VLOOKUP(AA11,坦克个性化设定!$B$18:$F$48,5,FALSE))=5,"单发",RIGHT(VLOOKUP(AA11,坦克个性化设定!$B$18:$F$48,5,FALSE),2))</f>
        <v>弹夹</v>
      </c>
      <c r="AL11" s="34">
        <f t="shared" si="5"/>
        <v>54.879069767441862</v>
      </c>
      <c r="AM11" s="34">
        <f t="shared" si="12"/>
        <v>0.8</v>
      </c>
      <c r="AN11" s="34">
        <f t="shared" si="13"/>
        <v>5.5286690530426306</v>
      </c>
      <c r="AO11" s="34">
        <f t="shared" si="6"/>
        <v>0.34182511273302008</v>
      </c>
      <c r="AP11" s="34">
        <f t="shared" si="14"/>
        <v>2.871330946957368</v>
      </c>
    </row>
    <row r="12" spans="2:42" x14ac:dyDescent="0.3">
      <c r="B12" s="2" t="s">
        <v>1214</v>
      </c>
      <c r="C12" s="34">
        <f>AVERAGE(坦克类型系数!CB10/坦克类型系数!CA10,坦克类型系数!CB11/坦克类型系数!CA11,坦克类型系数!CB12/坦克类型系数!CA12)</f>
        <v>1</v>
      </c>
      <c r="D12" s="24"/>
      <c r="E12" s="2" t="s">
        <v>629</v>
      </c>
      <c r="F12" s="2">
        <f>VLOOKUP($E12,坦克个性化设定!$B$51:$T$81,MATCH(F$3,坦克个性化设定!$B$51:$T$51,0),FALSE)</f>
        <v>0</v>
      </c>
      <c r="G12" s="2">
        <f>VLOOKUP($E12,坦克个性化设定!$B$51:$T$81,MATCH(G$3,坦克个性化设定!$B$51:$T$51,0),FALSE)</f>
        <v>4.1999999999999993</v>
      </c>
      <c r="I12" s="2" t="s">
        <v>629</v>
      </c>
      <c r="J12" s="21" t="s">
        <v>183</v>
      </c>
      <c r="K12" s="2">
        <f>ROUND(VLOOKUP(I12,坦克个性化设定!$G$84:$T$114,MATCH(K$3,坦克个性化设定!$G$84:$T$84,0),FALSE)*VLOOKUP(J12,$B$3:$C$6,2,FALSE),1)</f>
        <v>44.5</v>
      </c>
      <c r="L12" s="2">
        <f>K12/坦克个性化设定!$M$4*坦克个性化设定!$M$5</f>
        <v>11.124999999999998</v>
      </c>
      <c r="M12" s="2">
        <f>ROUND(VLOOKUP(I12,坦克个性化设定!$G$84:$T$114,MATCH(M$3,坦克个性化设定!$G$84:$T$84,0),FALSE)*VLOOKUP(J12,$B$3:$C$6,2,FALSE),1)</f>
        <v>52.5</v>
      </c>
      <c r="N12" s="2">
        <f>M12/坦克个性化设定!$M$4*坦克个性化设定!$M$5</f>
        <v>13.124999999999996</v>
      </c>
      <c r="O12" s="2">
        <f>ROUND(VLOOKUP(I12,坦克个性化设定!$G$84:$T$114,MATCH(O$3,坦克个性化设定!$G$84:$T$84,0),FALSE)*VLOOKUP(J12,$B$3:$C$6,2,FALSE),1)</f>
        <v>10.5</v>
      </c>
      <c r="P12" s="2">
        <f t="shared" si="7"/>
        <v>0</v>
      </c>
      <c r="R12" s="2" t="str">
        <f t="shared" si="8"/>
        <v>BMP-3</v>
      </c>
      <c r="S12" s="2">
        <f>VLOOKUP($R12,坦克个性化设定!$B$51:$T$81,MATCH(S$3,坦克个性化设定!$B$51:$T$51,0),FALSE)</f>
        <v>6</v>
      </c>
      <c r="T12" s="2">
        <f>VLOOKUP($R12,坦克个性化设定!$B$51:$T$81,MATCH(T$3,坦克个性化设定!$B$51:$T$51,0),FALSE)</f>
        <v>0</v>
      </c>
      <c r="U12" s="2">
        <f>VLOOKUP($R12,坦克个性化设定!$B$51:$T$81,MATCH(U$3,坦克个性化设定!$B$51:$T$51,0),FALSE)</f>
        <v>4.1999999999999993</v>
      </c>
      <c r="V12" s="2">
        <f>VLOOKUP($R12,坦克个性化设定!$B$51:$T$81,MATCH(V$3,坦克个性化设定!$B$51:$T$51,0),FALSE)</f>
        <v>0.8</v>
      </c>
      <c r="W12" s="2">
        <f>VLOOKUP($R12,坦克个性化设定!$B$51:$T$81,MATCH(W$3,坦克个性化设定!$B$51:$T$51,0),FALSE)</f>
        <v>0.69</v>
      </c>
      <c r="X12" s="2">
        <f>VLOOKUP($R12,坦克个性化设定!$B$51:$T$81,MATCH(X$3,坦克个性化设定!$B$51:$T$51,0),FALSE)</f>
        <v>1.2</v>
      </c>
      <c r="Y12" s="34">
        <f>VLOOKUP($R12,坦克个性化设定!$B$51:$T$81,MATCH(Y$3,坦克个性化设定!$B$51:$T$51,0),FALSE)</f>
        <v>46.975609756097569</v>
      </c>
      <c r="AA12" s="2" t="str">
        <f t="shared" si="0"/>
        <v>BMP-3</v>
      </c>
      <c r="AB12" s="2">
        <f t="shared" si="1"/>
        <v>6</v>
      </c>
      <c r="AC12" s="2">
        <f t="shared" si="2"/>
        <v>0.8</v>
      </c>
      <c r="AD12" s="2">
        <f t="shared" si="3"/>
        <v>0.69</v>
      </c>
      <c r="AE12" s="2">
        <f t="shared" si="4"/>
        <v>1.2</v>
      </c>
      <c r="AF12" s="34">
        <f t="shared" si="9"/>
        <v>1.44</v>
      </c>
      <c r="AG12" s="34">
        <f t="shared" si="10"/>
        <v>0.47916666666666663</v>
      </c>
      <c r="AH12" s="41">
        <v>1.2</v>
      </c>
      <c r="AI12" s="34">
        <f t="shared" si="11"/>
        <v>9.5833333333333326E-2</v>
      </c>
      <c r="AJ12" s="2">
        <f>IF(VLOOKUP(AA12,坦克个性化设定!$B$51:$T$81,9,FALSE)=0,VLOOKUP(AA12,坦克个性化设定!$B$51:$T$81,10,FALSE),VLOOKUP(AA12,坦克个性化设定!$B$51:$T$81,9,FALSE))</f>
        <v>4.1999999999999993</v>
      </c>
      <c r="AK12" s="2" t="str">
        <f>IF(LEN(VLOOKUP(AA12,坦克个性化设定!$B$18:$F$48,5,FALSE))=5,"单发",RIGHT(VLOOKUP(AA12,坦克个性化设定!$B$18:$F$48,5,FALSE),2))</f>
        <v>弹夹</v>
      </c>
      <c r="AL12" s="34">
        <f t="shared" si="5"/>
        <v>54.021951219512204</v>
      </c>
      <c r="AM12" s="34">
        <f t="shared" si="12"/>
        <v>0.8</v>
      </c>
      <c r="AN12" s="34">
        <f t="shared" si="13"/>
        <v>2.9968002437909478</v>
      </c>
      <c r="AO12" s="34">
        <f t="shared" si="6"/>
        <v>0.28647613243072662</v>
      </c>
      <c r="AP12" s="34">
        <f t="shared" si="14"/>
        <v>1.2031997562090515</v>
      </c>
    </row>
    <row r="13" spans="2:42" x14ac:dyDescent="0.3">
      <c r="E13" s="2" t="s">
        <v>631</v>
      </c>
      <c r="F13" s="2">
        <f>VLOOKUP($E13,坦克个性化设定!$B$51:$T$81,MATCH(F$3,坦克个性化设定!$B$51:$T$51,0),FALSE)</f>
        <v>0</v>
      </c>
      <c r="G13" s="2">
        <f>VLOOKUP($E13,坦克个性化设定!$B$51:$T$81,MATCH(G$3,坦克个性化设定!$B$51:$T$51,0),FALSE)</f>
        <v>6.3</v>
      </c>
      <c r="I13" s="2" t="s">
        <v>631</v>
      </c>
      <c r="J13" s="21" t="s">
        <v>182</v>
      </c>
      <c r="K13" s="2">
        <f>ROUND(VLOOKUP(I13,坦克个性化设定!$G$84:$T$114,MATCH(K$3,坦克个性化设定!$G$84:$T$84,0),FALSE)*VLOOKUP(J13,$B$3:$C$6,2,FALSE),1)</f>
        <v>37.700000000000003</v>
      </c>
      <c r="L13" s="2">
        <f>K13/坦克个性化设定!$M$4*坦克个性化设定!$M$5</f>
        <v>9.4249999999999972</v>
      </c>
      <c r="M13" s="2">
        <f>ROUND(VLOOKUP(I13,坦克个性化设定!$G$84:$T$114,MATCH(M$3,坦克个性化设定!$G$84:$T$84,0),FALSE)*VLOOKUP(J13,$B$3:$C$6,2,FALSE),1)</f>
        <v>56.3</v>
      </c>
      <c r="N13" s="2">
        <f>M13/坦克个性化设定!$M$4*坦克个性化设定!$M$5</f>
        <v>14.074999999999994</v>
      </c>
      <c r="O13" s="2">
        <f>ROUND(VLOOKUP(I13,坦克个性化设定!$G$84:$T$114,MATCH(O$3,坦克个性化设定!$G$84:$T$84,0),FALSE)*VLOOKUP(J13,$B$3:$C$6,2,FALSE),1)</f>
        <v>9.5</v>
      </c>
      <c r="P13" s="2">
        <f t="shared" si="7"/>
        <v>0</v>
      </c>
      <c r="R13" s="2" t="str">
        <f t="shared" si="8"/>
        <v>59式</v>
      </c>
      <c r="S13" s="2">
        <f>VLOOKUP($R13,坦克个性化设定!$B$51:$T$81,MATCH(S$3,坦克个性化设定!$B$51:$T$51,0),FALSE)</f>
        <v>9</v>
      </c>
      <c r="T13" s="2">
        <f>VLOOKUP($R13,坦克个性化设定!$B$51:$T$81,MATCH(T$3,坦克个性化设定!$B$51:$T$51,0),FALSE)</f>
        <v>0</v>
      </c>
      <c r="U13" s="2">
        <f>VLOOKUP($R13,坦克个性化设定!$B$51:$T$81,MATCH(U$3,坦克个性化设定!$B$51:$T$51,0),FALSE)</f>
        <v>6.3</v>
      </c>
      <c r="V13" s="2">
        <f>VLOOKUP($R13,坦克个性化设定!$B$51:$T$81,MATCH(V$3,坦克个性化设定!$B$51:$T$51,0),FALSE)</f>
        <v>0.8</v>
      </c>
      <c r="W13" s="2">
        <f>VLOOKUP($R13,坦克个性化设定!$B$51:$T$81,MATCH(W$3,坦克个性化设定!$B$51:$T$51,0),FALSE)</f>
        <v>0.62</v>
      </c>
      <c r="X13" s="2">
        <f>VLOOKUP($R13,坦克个性化设定!$B$51:$T$81,MATCH(X$3,坦克个性化设定!$B$51:$T$51,0),FALSE)</f>
        <v>1.2</v>
      </c>
      <c r="Y13" s="34">
        <f>VLOOKUP($R13,坦克个性化设定!$B$51:$T$81,MATCH(Y$3,坦克个性化设定!$B$51:$T$51,0),FALSE)</f>
        <v>46.984251968503941</v>
      </c>
      <c r="AA13" s="2" t="str">
        <f t="shared" si="0"/>
        <v>59式</v>
      </c>
      <c r="AB13" s="2">
        <f t="shared" si="1"/>
        <v>9</v>
      </c>
      <c r="AC13" s="2">
        <f t="shared" si="2"/>
        <v>0.8</v>
      </c>
      <c r="AD13" s="2">
        <f t="shared" si="3"/>
        <v>0.62</v>
      </c>
      <c r="AE13" s="2">
        <f t="shared" si="4"/>
        <v>1.2</v>
      </c>
      <c r="AF13" s="34">
        <f t="shared" si="9"/>
        <v>1.44</v>
      </c>
      <c r="AG13" s="34">
        <f t="shared" si="10"/>
        <v>0.43055555555555558</v>
      </c>
      <c r="AH13" s="41">
        <v>1.2</v>
      </c>
      <c r="AI13" s="34">
        <f t="shared" si="11"/>
        <v>8.6111111111111138E-2</v>
      </c>
      <c r="AJ13" s="2">
        <f>IF(VLOOKUP(AA13,坦克个性化设定!$B$51:$T$81,9,FALSE)=0,VLOOKUP(AA13,坦克个性化设定!$B$51:$T$81,10,FALSE),VLOOKUP(AA13,坦克个性化设定!$B$51:$T$81,9,FALSE))</f>
        <v>6.3</v>
      </c>
      <c r="AK13" s="2" t="str">
        <f>IF(LEN(VLOOKUP(AA13,坦克个性化设定!$B$18:$F$48,5,FALSE))=5,"单发",RIGHT(VLOOKUP(AA13,坦克个性化设定!$B$18:$F$48,5,FALSE),2))</f>
        <v>弹夹</v>
      </c>
      <c r="AL13" s="34">
        <f t="shared" si="5"/>
        <v>54.031889763779525</v>
      </c>
      <c r="AM13" s="34">
        <f t="shared" si="12"/>
        <v>0.8</v>
      </c>
      <c r="AN13" s="34">
        <f t="shared" si="13"/>
        <v>4.3124085293886232</v>
      </c>
      <c r="AO13" s="34">
        <f t="shared" si="6"/>
        <v>0.31549070962085346</v>
      </c>
      <c r="AP13" s="34">
        <f t="shared" si="14"/>
        <v>1.9875914706113766</v>
      </c>
    </row>
    <row r="14" spans="2:42" x14ac:dyDescent="0.3">
      <c r="E14" s="2" t="s">
        <v>520</v>
      </c>
      <c r="F14" s="2">
        <f>VLOOKUP($E14,坦克个性化设定!$B$51:$T$81,MATCH(F$3,坦克个性化设定!$B$51:$T$51,0),FALSE)</f>
        <v>3.2</v>
      </c>
      <c r="G14" s="2">
        <f>VLOOKUP($E14,坦克个性化设定!$B$51:$T$81,MATCH(G$3,坦克个性化设定!$B$51:$T$51,0),FALSE)</f>
        <v>0</v>
      </c>
      <c r="I14" s="2" t="s">
        <v>520</v>
      </c>
      <c r="J14" s="21" t="s">
        <v>182</v>
      </c>
      <c r="K14" s="2">
        <f>ROUND(VLOOKUP(I14,坦克个性化设定!$G$84:$T$114,MATCH(K$3,坦克个性化设定!$G$84:$T$84,0),FALSE)*VLOOKUP(J14,$B$3:$C$6,2,FALSE),1)</f>
        <v>44.5</v>
      </c>
      <c r="L14" s="2">
        <f>K14/坦克个性化设定!$M$4*坦克个性化设定!$M$5</f>
        <v>11.124999999999998</v>
      </c>
      <c r="M14" s="2">
        <f>ROUND(VLOOKUP(I14,坦克个性化设定!$G$84:$T$114,MATCH(M$3,坦克个性化设定!$G$84:$T$84,0),FALSE)*VLOOKUP(J14,$B$3:$C$6,2,FALSE),1)</f>
        <v>40</v>
      </c>
      <c r="N14" s="2">
        <f>M14/坦克个性化设定!$M$4*坦克个性化设定!$M$5</f>
        <v>9.9999999999999982</v>
      </c>
      <c r="O14" s="2">
        <f>ROUND(VLOOKUP(I14,坦克个性化设定!$G$84:$T$114,MATCH(O$3,坦克个性化设定!$G$84:$T$84,0),FALSE)*VLOOKUP(J14,$B$3:$C$6,2,FALSE),1)</f>
        <v>8</v>
      </c>
      <c r="P14" s="2">
        <f t="shared" si="7"/>
        <v>0</v>
      </c>
      <c r="R14" s="2" t="str">
        <f t="shared" si="8"/>
        <v>Stuart</v>
      </c>
      <c r="S14" s="2">
        <f>VLOOKUP($R14,坦克个性化设定!$B$51:$T$81,MATCH(S$3,坦克个性化设定!$B$51:$T$51,0),FALSE)</f>
        <v>9</v>
      </c>
      <c r="T14" s="2">
        <f>VLOOKUP($R14,坦克个性化设定!$B$51:$T$81,MATCH(T$3,坦克个性化设定!$B$51:$T$51,0),FALSE)</f>
        <v>3.2</v>
      </c>
      <c r="U14" s="2">
        <f>VLOOKUP($R14,坦克个性化设定!$B$51:$T$81,MATCH(U$3,坦克个性化设定!$B$51:$T$51,0),FALSE)</f>
        <v>0</v>
      </c>
      <c r="V14" s="2">
        <f>VLOOKUP($R14,坦克个性化设定!$B$51:$T$81,MATCH(V$3,坦克个性化设定!$B$51:$T$51,0),FALSE)</f>
        <v>0.30000000000000004</v>
      </c>
      <c r="W14" s="2">
        <f>VLOOKUP($R14,坦克个性化设定!$B$51:$T$81,MATCH(W$3,坦克个性化设定!$B$51:$T$51,0),FALSE)</f>
        <v>1</v>
      </c>
      <c r="X14" s="2">
        <f>VLOOKUP($R14,坦克个性化设定!$B$51:$T$81,MATCH(X$3,坦克个性化设定!$B$51:$T$51,0),FALSE)</f>
        <v>1</v>
      </c>
      <c r="Y14" s="34">
        <f>VLOOKUP($R14,坦克个性化设定!$B$51:$T$81,MATCH(Y$3,坦克个性化设定!$B$51:$T$51,0),FALSE)</f>
        <v>27.75</v>
      </c>
      <c r="AA14" s="2" t="str">
        <f t="shared" si="0"/>
        <v>Stuart</v>
      </c>
      <c r="AB14" s="2">
        <f t="shared" si="1"/>
        <v>9</v>
      </c>
      <c r="AC14" s="2">
        <f t="shared" si="2"/>
        <v>0.30000000000000004</v>
      </c>
      <c r="AD14" s="2">
        <f t="shared" si="3"/>
        <v>1</v>
      </c>
      <c r="AE14" s="2">
        <f t="shared" si="4"/>
        <v>1</v>
      </c>
      <c r="AF14" s="34">
        <f t="shared" si="9"/>
        <v>1.2</v>
      </c>
      <c r="AG14" s="34">
        <f t="shared" si="10"/>
        <v>0.83333333333333337</v>
      </c>
      <c r="AH14" s="41">
        <v>1.2</v>
      </c>
      <c r="AI14" s="34">
        <f t="shared" si="11"/>
        <v>0.16666666666666663</v>
      </c>
      <c r="AJ14" s="2">
        <f>IF(VLOOKUP(AA14,坦克个性化设定!$B$51:$T$81,9,FALSE)=0,VLOOKUP(AA14,坦克个性化设定!$B$51:$T$81,10,FALSE),VLOOKUP(AA14,坦克个性化设定!$B$51:$T$81,9,FALSE))</f>
        <v>3.2</v>
      </c>
      <c r="AK14" s="2" t="str">
        <f>IF(LEN(VLOOKUP(AA14,坦克个性化设定!$B$18:$F$48,5,FALSE))=5,"单发",RIGHT(VLOOKUP(AA14,坦克个性化设定!$B$18:$F$48,5,FALSE),2))</f>
        <v>自动</v>
      </c>
      <c r="AL14" s="34">
        <f t="shared" si="5"/>
        <v>31.912499999999998</v>
      </c>
      <c r="AM14" s="34">
        <f t="shared" si="12"/>
        <v>0.30000000000000004</v>
      </c>
      <c r="AN14" s="34">
        <f t="shared" si="13"/>
        <v>2.6186579378068742</v>
      </c>
      <c r="AO14" s="34">
        <f t="shared" si="6"/>
        <v>0.18166939443535188</v>
      </c>
      <c r="AP14" s="34">
        <f t="shared" si="14"/>
        <v>0.58134206219312601</v>
      </c>
    </row>
    <row r="15" spans="2:42" x14ac:dyDescent="0.3">
      <c r="E15" s="2" t="s">
        <v>526</v>
      </c>
      <c r="F15" s="2">
        <f>VLOOKUP($E15,坦克个性化设定!$B$51:$T$81,MATCH(F$3,坦克个性化设定!$B$51:$T$51,0),FALSE)</f>
        <v>3.2</v>
      </c>
      <c r="G15" s="2">
        <f>VLOOKUP($E15,坦克个性化设定!$B$51:$T$81,MATCH(G$3,坦克个性化设定!$B$51:$T$51,0),FALSE)</f>
        <v>0</v>
      </c>
      <c r="I15" s="2" t="s">
        <v>526</v>
      </c>
      <c r="J15" s="21" t="s">
        <v>182</v>
      </c>
      <c r="K15" s="2">
        <f>ROUND(VLOOKUP(I15,坦克个性化设定!$G$84:$T$114,MATCH(K$3,坦克个性化设定!$G$84:$T$84,0),FALSE)*VLOOKUP(J15,$B$3:$C$6,2,FALSE),1)</f>
        <v>44.5</v>
      </c>
      <c r="L15" s="2">
        <f>K15/坦克个性化设定!$M$4*坦克个性化设定!$M$5</f>
        <v>11.124999999999998</v>
      </c>
      <c r="M15" s="2">
        <f>ROUND(VLOOKUP(I15,坦克个性化设定!$G$84:$T$114,MATCH(M$3,坦克个性化设定!$G$84:$T$84,0),FALSE)*VLOOKUP(J15,$B$3:$C$6,2,FALSE),1)</f>
        <v>40</v>
      </c>
      <c r="N15" s="2">
        <f>M15/坦克个性化设定!$M$4*坦克个性化设定!$M$5</f>
        <v>9.9999999999999982</v>
      </c>
      <c r="O15" s="2">
        <f>ROUND(VLOOKUP(I15,坦克个性化设定!$G$84:$T$114,MATCH(O$3,坦克个性化设定!$G$84:$T$84,0),FALSE)*VLOOKUP(J15,$B$3:$C$6,2,FALSE),1)</f>
        <v>8</v>
      </c>
      <c r="P15" s="2">
        <f t="shared" si="7"/>
        <v>0</v>
      </c>
      <c r="R15" s="2" t="str">
        <f t="shared" si="8"/>
        <v>T-34</v>
      </c>
      <c r="S15" s="2">
        <f>VLOOKUP($R15,坦克个性化设定!$B$51:$T$81,MATCH(S$3,坦克个性化设定!$B$51:$T$51,0),FALSE)</f>
        <v>9</v>
      </c>
      <c r="T15" s="2">
        <f>VLOOKUP($R15,坦克个性化设定!$B$51:$T$81,MATCH(T$3,坦克个性化设定!$B$51:$T$51,0),FALSE)</f>
        <v>3.2</v>
      </c>
      <c r="U15" s="2">
        <f>VLOOKUP($R15,坦克个性化设定!$B$51:$T$81,MATCH(U$3,坦克个性化设定!$B$51:$T$51,0),FALSE)</f>
        <v>0</v>
      </c>
      <c r="V15" s="2">
        <f>VLOOKUP($R15,坦克个性化设定!$B$51:$T$81,MATCH(V$3,坦克个性化设定!$B$51:$T$51,0),FALSE)</f>
        <v>0.32</v>
      </c>
      <c r="W15" s="2">
        <f>VLOOKUP($R15,坦克个性化设定!$B$51:$T$81,MATCH(W$3,坦克个性化设定!$B$51:$T$51,0),FALSE)</f>
        <v>1.01</v>
      </c>
      <c r="X15" s="2">
        <f>VLOOKUP($R15,坦克个性化设定!$B$51:$T$81,MATCH(X$3,坦克个性化设定!$B$51:$T$51,0),FALSE)</f>
        <v>1</v>
      </c>
      <c r="Y15" s="34">
        <f>VLOOKUP($R15,坦克个性化设定!$B$51:$T$81,MATCH(Y$3,坦克个性化设定!$B$51:$T$51,0),FALSE)</f>
        <v>27.75</v>
      </c>
      <c r="AA15" s="2" t="str">
        <f t="shared" si="0"/>
        <v>T-34</v>
      </c>
      <c r="AB15" s="2">
        <f t="shared" si="1"/>
        <v>9</v>
      </c>
      <c r="AC15" s="2">
        <f t="shared" si="2"/>
        <v>0.32</v>
      </c>
      <c r="AD15" s="2">
        <f t="shared" si="3"/>
        <v>1.01</v>
      </c>
      <c r="AE15" s="2">
        <f t="shared" si="4"/>
        <v>1</v>
      </c>
      <c r="AF15" s="34">
        <f t="shared" si="9"/>
        <v>1.2</v>
      </c>
      <c r="AG15" s="34">
        <f t="shared" si="10"/>
        <v>0.84166666666666667</v>
      </c>
      <c r="AH15" s="41">
        <v>1.2</v>
      </c>
      <c r="AI15" s="34">
        <f t="shared" si="11"/>
        <v>0.16833333333333333</v>
      </c>
      <c r="AJ15" s="2">
        <f>IF(VLOOKUP(AA15,坦克个性化设定!$B$51:$T$81,9,FALSE)=0,VLOOKUP(AA15,坦克个性化设定!$B$51:$T$81,10,FALSE),VLOOKUP(AA15,坦克个性化设定!$B$51:$T$81,9,FALSE))</f>
        <v>3.2</v>
      </c>
      <c r="AK15" s="2" t="str">
        <f>IF(LEN(VLOOKUP(AA15,坦克个性化设定!$B$18:$F$48,5,FALSE))=5,"单发",RIGHT(VLOOKUP(AA15,坦克个性化设定!$B$18:$F$48,5,FALSE),2))</f>
        <v>自动</v>
      </c>
      <c r="AL15" s="34">
        <f t="shared" si="5"/>
        <v>31.912499999999998</v>
      </c>
      <c r="AM15" s="149">
        <v>1</v>
      </c>
      <c r="AN15" s="34">
        <f t="shared" si="13"/>
        <v>2.6186579378068742</v>
      </c>
      <c r="AO15" s="34">
        <f t="shared" si="6"/>
        <v>0.18166939443535188</v>
      </c>
      <c r="AP15" s="34">
        <f t="shared" si="14"/>
        <v>0.58134206219312601</v>
      </c>
    </row>
    <row r="16" spans="2:42" x14ac:dyDescent="0.3">
      <c r="E16" s="2" t="s">
        <v>636</v>
      </c>
      <c r="F16" s="2">
        <f>VLOOKUP($E16,坦克个性化设定!$B$51:$T$81,MATCH(F$3,坦克个性化设定!$B$51:$T$51,0),FALSE)</f>
        <v>2.4</v>
      </c>
      <c r="G16" s="2">
        <f>VLOOKUP($E16,坦克个性化设定!$B$51:$T$81,MATCH(G$3,坦克个性化设定!$B$51:$T$51,0),FALSE)</f>
        <v>0</v>
      </c>
      <c r="I16" s="2" t="s">
        <v>636</v>
      </c>
      <c r="J16" s="21" t="s">
        <v>184</v>
      </c>
      <c r="K16" s="2">
        <f>ROUND(VLOOKUP(I16,坦克个性化设定!$G$84:$T$114,MATCH(K$3,坦克个性化设定!$G$84:$T$84,0),FALSE)*VLOOKUP(J16,$B$3:$C$6,2,FALSE),1)</f>
        <v>36.299999999999997</v>
      </c>
      <c r="L16" s="2">
        <f>K16/坦克个性化设定!$M$4*坦克个性化设定!$M$5</f>
        <v>9.0749999999999957</v>
      </c>
      <c r="M16" s="2">
        <f>ROUND(VLOOKUP(I16,坦克个性化设定!$G$84:$T$114,MATCH(M$3,坦克个性化设定!$G$84:$T$84,0),FALSE)*VLOOKUP(J16,$B$3:$C$6,2,FALSE),1)</f>
        <v>51</v>
      </c>
      <c r="N16" s="2">
        <f>M16/坦克个性化设定!$M$4*坦克个性化设定!$M$5</f>
        <v>12.749999999999996</v>
      </c>
      <c r="O16" s="2">
        <f>ROUND(VLOOKUP(I16,坦克个性化设定!$G$84:$T$114,MATCH(O$3,坦克个性化设定!$G$84:$T$84,0),FALSE)*VLOOKUP(J16,$B$3:$C$6,2,FALSE),1)</f>
        <v>7.3</v>
      </c>
      <c r="P16" s="2">
        <f t="shared" si="7"/>
        <v>0</v>
      </c>
      <c r="R16" s="2" t="str">
        <f t="shared" si="8"/>
        <v>四号</v>
      </c>
      <c r="S16" s="2">
        <f>VLOOKUP($R16,坦克个性化设定!$B$51:$T$81,MATCH(S$3,坦克个性化设定!$B$51:$T$51,0),FALSE)</f>
        <v>6</v>
      </c>
      <c r="T16" s="2">
        <f>VLOOKUP($R16,坦克个性化设定!$B$51:$T$81,MATCH(T$3,坦克个性化设定!$B$51:$T$51,0),FALSE)</f>
        <v>2.4</v>
      </c>
      <c r="U16" s="2">
        <f>VLOOKUP($R16,坦克个性化设定!$B$51:$T$81,MATCH(U$3,坦克个性化设定!$B$51:$T$51,0),FALSE)</f>
        <v>0</v>
      </c>
      <c r="V16" s="2">
        <f>VLOOKUP($R16,坦克个性化设定!$B$51:$T$81,MATCH(V$3,坦克个性化设定!$B$51:$T$51,0),FALSE)</f>
        <v>0.4</v>
      </c>
      <c r="W16" s="2">
        <f>VLOOKUP($R16,坦克个性化设定!$B$51:$T$81,MATCH(W$3,坦克个性化设定!$B$51:$T$51,0),FALSE)</f>
        <v>1.4</v>
      </c>
      <c r="X16" s="2">
        <f>VLOOKUP($R16,坦克个性化设定!$B$51:$T$81,MATCH(X$3,坦克个性化设定!$B$51:$T$51,0),FALSE)</f>
        <v>1</v>
      </c>
      <c r="Y16" s="34">
        <f>VLOOKUP($R16,坦克个性化设定!$B$51:$T$81,MATCH(Y$3,坦克个性化设定!$B$51:$T$51,0),FALSE)</f>
        <v>31</v>
      </c>
      <c r="AA16" s="2" t="str">
        <f t="shared" si="0"/>
        <v>四号</v>
      </c>
      <c r="AB16" s="2">
        <f t="shared" si="1"/>
        <v>6</v>
      </c>
      <c r="AC16" s="2">
        <f t="shared" si="2"/>
        <v>0.4</v>
      </c>
      <c r="AD16" s="2">
        <f t="shared" si="3"/>
        <v>1.4</v>
      </c>
      <c r="AE16" s="2">
        <f t="shared" si="4"/>
        <v>1</v>
      </c>
      <c r="AF16" s="34">
        <f t="shared" si="9"/>
        <v>1.2</v>
      </c>
      <c r="AG16" s="34">
        <f t="shared" si="10"/>
        <v>1.1666666666666667</v>
      </c>
      <c r="AH16" s="41">
        <v>1.2</v>
      </c>
      <c r="AI16" s="34">
        <f t="shared" si="11"/>
        <v>0.23333333333333317</v>
      </c>
      <c r="AJ16" s="2">
        <f>IF(VLOOKUP(AA16,坦克个性化设定!$B$51:$T$81,9,FALSE)=0,VLOOKUP(AA16,坦克个性化设定!$B$51:$T$81,10,FALSE),VLOOKUP(AA16,坦克个性化设定!$B$51:$T$81,9,FALSE))</f>
        <v>2.4</v>
      </c>
      <c r="AK16" s="2" t="str">
        <f>IF(LEN(VLOOKUP(AA16,坦克个性化设定!$B$18:$F$48,5,FALSE))=5,"单发",RIGHT(VLOOKUP(AA16,坦克个性化设定!$B$18:$F$48,5,FALSE),2))</f>
        <v>自动</v>
      </c>
      <c r="AL16" s="34">
        <f t="shared" si="5"/>
        <v>35.65</v>
      </c>
      <c r="AM16" s="34">
        <f t="shared" si="12"/>
        <v>0.4</v>
      </c>
      <c r="AN16" s="34">
        <f t="shared" si="13"/>
        <v>2.0236087689713322</v>
      </c>
      <c r="AO16" s="34">
        <f t="shared" si="6"/>
        <v>0.15682967959527822</v>
      </c>
      <c r="AP16" s="34">
        <f t="shared" si="14"/>
        <v>0.37639123102866767</v>
      </c>
    </row>
    <row r="17" spans="5:42" x14ac:dyDescent="0.3">
      <c r="E17" s="2" t="s">
        <v>534</v>
      </c>
      <c r="F17" s="2">
        <f>VLOOKUP($E17,坦克个性化设定!$B$51:$T$81,MATCH(F$3,坦克个性化设定!$B$51:$T$51,0),FALSE)</f>
        <v>3.2</v>
      </c>
      <c r="G17" s="2">
        <f>VLOOKUP($E17,坦克个性化设定!$B$51:$T$81,MATCH(G$3,坦克个性化设定!$B$51:$T$51,0),FALSE)</f>
        <v>0</v>
      </c>
      <c r="I17" s="2" t="s">
        <v>534</v>
      </c>
      <c r="J17" s="21" t="s">
        <v>182</v>
      </c>
      <c r="K17" s="2">
        <f>ROUND(VLOOKUP(I17,坦克个性化设定!$G$84:$T$114,MATCH(K$3,坦克个性化设定!$G$84:$T$84,0),FALSE)*VLOOKUP(J17,$B$3:$C$6,2,FALSE),1)</f>
        <v>44.5</v>
      </c>
      <c r="L17" s="2">
        <f>K17/坦克个性化设定!$M$4*坦克个性化设定!$M$5</f>
        <v>11.124999999999998</v>
      </c>
      <c r="M17" s="2">
        <f>ROUND(VLOOKUP(I17,坦克个性化设定!$G$84:$T$114,MATCH(M$3,坦克个性化设定!$G$84:$T$84,0),FALSE)*VLOOKUP(J17,$B$3:$C$6,2,FALSE),1)</f>
        <v>40</v>
      </c>
      <c r="N17" s="2">
        <f>M17/坦克个性化设定!$M$4*坦克个性化设定!$M$5</f>
        <v>9.9999999999999982</v>
      </c>
      <c r="O17" s="2">
        <f>ROUND(VLOOKUP(I17,坦克个性化设定!$G$84:$T$114,MATCH(O$3,坦克个性化设定!$G$84:$T$84,0),FALSE)*VLOOKUP(J17,$B$3:$C$6,2,FALSE),1)</f>
        <v>8</v>
      </c>
      <c r="P17" s="2">
        <f t="shared" si="7"/>
        <v>0</v>
      </c>
      <c r="R17" s="2" t="str">
        <f t="shared" si="8"/>
        <v>玛蒂尔达</v>
      </c>
      <c r="S17" s="2">
        <f>VLOOKUP($R17,坦克个性化设定!$B$51:$T$81,MATCH(S$3,坦克个性化设定!$B$51:$T$51,0),FALSE)</f>
        <v>9</v>
      </c>
      <c r="T17" s="2">
        <f>VLOOKUP($R17,坦克个性化设定!$B$51:$T$81,MATCH(T$3,坦克个性化设定!$B$51:$T$51,0),FALSE)</f>
        <v>3.2</v>
      </c>
      <c r="U17" s="2">
        <f>VLOOKUP($R17,坦克个性化设定!$B$51:$T$81,MATCH(U$3,坦克个性化设定!$B$51:$T$51,0),FALSE)</f>
        <v>0</v>
      </c>
      <c r="V17" s="2">
        <f>VLOOKUP($R17,坦克个性化设定!$B$51:$T$81,MATCH(V$3,坦克个性化设定!$B$51:$T$51,0),FALSE)</f>
        <v>0.28000000000000003</v>
      </c>
      <c r="W17" s="2">
        <f>VLOOKUP($R17,坦克个性化设定!$B$51:$T$81,MATCH(W$3,坦克个性化设定!$B$51:$T$51,0),FALSE)</f>
        <v>0.99</v>
      </c>
      <c r="X17" s="2">
        <f>VLOOKUP($R17,坦克个性化设定!$B$51:$T$81,MATCH(X$3,坦克个性化设定!$B$51:$T$51,0),FALSE)</f>
        <v>1</v>
      </c>
      <c r="Y17" s="34">
        <f>VLOOKUP($R17,坦克个性化设定!$B$51:$T$81,MATCH(Y$3,坦克个性化设定!$B$51:$T$51,0),FALSE)</f>
        <v>27.75</v>
      </c>
      <c r="AA17" s="2" t="str">
        <f t="shared" si="0"/>
        <v>玛蒂尔达</v>
      </c>
      <c r="AB17" s="2">
        <f t="shared" si="1"/>
        <v>9</v>
      </c>
      <c r="AC17" s="2">
        <f t="shared" si="2"/>
        <v>0.28000000000000003</v>
      </c>
      <c r="AD17" s="2">
        <f t="shared" si="3"/>
        <v>0.99</v>
      </c>
      <c r="AE17" s="2">
        <f t="shared" si="4"/>
        <v>1</v>
      </c>
      <c r="AF17" s="34">
        <f t="shared" si="9"/>
        <v>1.2</v>
      </c>
      <c r="AG17" s="34">
        <f t="shared" si="10"/>
        <v>0.82500000000000007</v>
      </c>
      <c r="AH17" s="41">
        <v>1.2</v>
      </c>
      <c r="AI17" s="34">
        <f t="shared" si="11"/>
        <v>0.16499999999999992</v>
      </c>
      <c r="AJ17" s="2">
        <f>IF(VLOOKUP(AA17,坦克个性化设定!$B$51:$T$81,9,FALSE)=0,VLOOKUP(AA17,坦克个性化设定!$B$51:$T$81,10,FALSE),VLOOKUP(AA17,坦克个性化设定!$B$51:$T$81,9,FALSE))</f>
        <v>3.2</v>
      </c>
      <c r="AK17" s="2" t="str">
        <f>IF(LEN(VLOOKUP(AA17,坦克个性化设定!$B$18:$F$48,5,FALSE))=5,"单发",RIGHT(VLOOKUP(AA17,坦克个性化设定!$B$18:$F$48,5,FALSE),2))</f>
        <v>自动</v>
      </c>
      <c r="AL17" s="34">
        <f t="shared" si="5"/>
        <v>31.912499999999998</v>
      </c>
      <c r="AM17" s="149">
        <v>0.6</v>
      </c>
      <c r="AN17" s="34">
        <f t="shared" si="13"/>
        <v>2.6186579378068742</v>
      </c>
      <c r="AO17" s="34">
        <f t="shared" si="6"/>
        <v>0.18166939443535188</v>
      </c>
      <c r="AP17" s="34">
        <f t="shared" si="14"/>
        <v>0.58134206219312601</v>
      </c>
    </row>
    <row r="18" spans="5:42" x14ac:dyDescent="0.3">
      <c r="E18" s="2" t="s">
        <v>639</v>
      </c>
      <c r="F18" s="2">
        <f>VLOOKUP($E18,坦克个性化设定!$B$51:$T$81,MATCH(F$3,坦克个性化设定!$B$51:$T$51,0),FALSE)</f>
        <v>2.4</v>
      </c>
      <c r="G18" s="2">
        <f>VLOOKUP($E18,坦克个性化设定!$B$51:$T$81,MATCH(G$3,坦克个性化设定!$B$51:$T$51,0),FALSE)</f>
        <v>0</v>
      </c>
      <c r="I18" s="2" t="s">
        <v>639</v>
      </c>
      <c r="J18" s="21" t="s">
        <v>184</v>
      </c>
      <c r="K18" s="2">
        <f>ROUND(VLOOKUP(I18,坦克个性化设定!$G$84:$T$114,MATCH(K$3,坦克个性化设定!$G$84:$T$84,0),FALSE)*VLOOKUP(J18,$B$3:$C$6,2,FALSE),1)</f>
        <v>36.299999999999997</v>
      </c>
      <c r="L18" s="2">
        <f>K18/坦克个性化设定!$M$4*坦克个性化设定!$M$5</f>
        <v>9.0749999999999957</v>
      </c>
      <c r="M18" s="2">
        <f>ROUND(VLOOKUP(I18,坦克个性化设定!$G$84:$T$114,MATCH(M$3,坦克个性化设定!$G$84:$T$84,0),FALSE)*VLOOKUP(J18,$B$3:$C$6,2,FALSE),1)</f>
        <v>51</v>
      </c>
      <c r="N18" s="2">
        <f>M18/坦克个性化设定!$M$4*坦克个性化设定!$M$5</f>
        <v>12.749999999999996</v>
      </c>
      <c r="O18" s="2">
        <f>ROUND(VLOOKUP(I18,坦克个性化设定!$G$84:$T$114,MATCH(O$3,坦克个性化设定!$G$84:$T$84,0),FALSE)*VLOOKUP(J18,$B$3:$C$6,2,FALSE),1)</f>
        <v>7.3</v>
      </c>
      <c r="P18" s="2">
        <f t="shared" si="7"/>
        <v>0</v>
      </c>
      <c r="R18" s="2" t="str">
        <f t="shared" si="8"/>
        <v>谢尔曼</v>
      </c>
      <c r="S18" s="2">
        <f>VLOOKUP($R18,坦克个性化设定!$B$51:$T$81,MATCH(S$3,坦克个性化设定!$B$51:$T$51,0),FALSE)</f>
        <v>6</v>
      </c>
      <c r="T18" s="2">
        <f>VLOOKUP($R18,坦克个性化设定!$B$51:$T$81,MATCH(T$3,坦克个性化设定!$B$51:$T$51,0),FALSE)</f>
        <v>2.4</v>
      </c>
      <c r="U18" s="2">
        <f>VLOOKUP($R18,坦克个性化设定!$B$51:$T$81,MATCH(U$3,坦克个性化设定!$B$51:$T$51,0),FALSE)</f>
        <v>0</v>
      </c>
      <c r="V18" s="2">
        <f>VLOOKUP($R18,坦克个性化设定!$B$51:$T$81,MATCH(V$3,坦克个性化设定!$B$51:$T$51,0),FALSE)</f>
        <v>0.4</v>
      </c>
      <c r="W18" s="2">
        <f>VLOOKUP($R18,坦克个性化设定!$B$51:$T$81,MATCH(W$3,坦克个性化设定!$B$51:$T$51,0),FALSE)</f>
        <v>1.4</v>
      </c>
      <c r="X18" s="2">
        <f>VLOOKUP($R18,坦克个性化设定!$B$51:$T$81,MATCH(X$3,坦克个性化设定!$B$51:$T$51,0),FALSE)</f>
        <v>1</v>
      </c>
      <c r="Y18" s="34">
        <f>VLOOKUP($R18,坦克个性化设定!$B$51:$T$81,MATCH(Y$3,坦克个性化设定!$B$51:$T$51,0),FALSE)</f>
        <v>31</v>
      </c>
      <c r="AA18" s="2" t="str">
        <f t="shared" si="0"/>
        <v>谢尔曼</v>
      </c>
      <c r="AB18" s="2">
        <f t="shared" si="1"/>
        <v>6</v>
      </c>
      <c r="AC18" s="2">
        <f t="shared" si="2"/>
        <v>0.4</v>
      </c>
      <c r="AD18" s="2">
        <f t="shared" si="3"/>
        <v>1.4</v>
      </c>
      <c r="AE18" s="2">
        <f t="shared" si="4"/>
        <v>1</v>
      </c>
      <c r="AF18" s="34">
        <f t="shared" si="9"/>
        <v>1.2</v>
      </c>
      <c r="AG18" s="34">
        <f t="shared" si="10"/>
        <v>1.1666666666666667</v>
      </c>
      <c r="AH18" s="41">
        <v>1.2</v>
      </c>
      <c r="AI18" s="34">
        <f t="shared" si="11"/>
        <v>0.23333333333333317</v>
      </c>
      <c r="AJ18" s="2">
        <f>IF(VLOOKUP(AA18,坦克个性化设定!$B$51:$T$81,9,FALSE)=0,VLOOKUP(AA18,坦克个性化设定!$B$51:$T$81,10,FALSE),VLOOKUP(AA18,坦克个性化设定!$B$51:$T$81,9,FALSE))</f>
        <v>2.4</v>
      </c>
      <c r="AK18" s="2" t="str">
        <f>IF(LEN(VLOOKUP(AA18,坦克个性化设定!$B$18:$F$48,5,FALSE))=5,"单发",RIGHT(VLOOKUP(AA18,坦克个性化设定!$B$18:$F$48,5,FALSE),2))</f>
        <v>自动</v>
      </c>
      <c r="AL18" s="34">
        <f t="shared" si="5"/>
        <v>35.65</v>
      </c>
      <c r="AM18" s="34">
        <f t="shared" si="12"/>
        <v>0.4</v>
      </c>
      <c r="AN18" s="34">
        <f t="shared" si="13"/>
        <v>2.0236087689713322</v>
      </c>
      <c r="AO18" s="34">
        <f t="shared" si="6"/>
        <v>0.15682967959527822</v>
      </c>
      <c r="AP18" s="34">
        <f t="shared" si="14"/>
        <v>0.37639123102866767</v>
      </c>
    </row>
    <row r="19" spans="5:42" x14ac:dyDescent="0.3">
      <c r="E19" s="2" t="s">
        <v>641</v>
      </c>
      <c r="F19" s="2">
        <f>VLOOKUP($E19,坦克个性化设定!$B$51:$T$81,MATCH(F$3,坦克个性化设定!$B$51:$T$51,0),FALSE)</f>
        <v>3</v>
      </c>
      <c r="G19" s="2">
        <f>VLOOKUP($E19,坦克个性化设定!$B$51:$T$81,MATCH(G$3,坦克个性化设定!$B$51:$T$51,0),FALSE)</f>
        <v>0</v>
      </c>
      <c r="I19" s="2" t="s">
        <v>641</v>
      </c>
      <c r="J19" s="21" t="s">
        <v>183</v>
      </c>
      <c r="K19" s="2">
        <f>ROUND(VLOOKUP(I19,坦克个性化设定!$G$84:$T$114,MATCH(K$3,坦克个性化设定!$G$84:$T$84,0),FALSE)*VLOOKUP(J19,$B$3:$C$6,2,FALSE),1)</f>
        <v>37.4</v>
      </c>
      <c r="L19" s="2">
        <f>K19/坦克个性化设定!$M$4*坦克个性化设定!$M$5</f>
        <v>9.3499999999999961</v>
      </c>
      <c r="M19" s="2">
        <f>ROUND(VLOOKUP(I19,坦克个性化设定!$G$84:$T$114,MATCH(M$3,坦克个性化设定!$G$84:$T$84,0),FALSE)*VLOOKUP(J19,$B$3:$C$6,2,FALSE),1)</f>
        <v>52.5</v>
      </c>
      <c r="N19" s="2">
        <f>M19/坦克个性化设定!$M$4*坦克个性化设定!$M$5</f>
        <v>13.124999999999996</v>
      </c>
      <c r="O19" s="2">
        <f>ROUND(VLOOKUP(I19,坦克个性化设定!$G$84:$T$114,MATCH(O$3,坦克个性化设定!$G$84:$T$84,0),FALSE)*VLOOKUP(J19,$B$3:$C$6,2,FALSE),1)</f>
        <v>7.6</v>
      </c>
      <c r="P19" s="2">
        <f t="shared" si="7"/>
        <v>0</v>
      </c>
      <c r="R19" s="2" t="str">
        <f t="shared" si="8"/>
        <v>彗星</v>
      </c>
      <c r="S19" s="2">
        <f>VLOOKUP($R19,坦克个性化设定!$B$51:$T$81,MATCH(S$3,坦克个性化设定!$B$51:$T$51,0),FALSE)</f>
        <v>8</v>
      </c>
      <c r="T19" s="2">
        <f>VLOOKUP($R19,坦克个性化设定!$B$51:$T$81,MATCH(T$3,坦克个性化设定!$B$51:$T$51,0),FALSE)</f>
        <v>3</v>
      </c>
      <c r="U19" s="2">
        <f>VLOOKUP($R19,坦克个性化设定!$B$51:$T$81,MATCH(U$3,坦克个性化设定!$B$51:$T$51,0),FALSE)</f>
        <v>0</v>
      </c>
      <c r="V19" s="2">
        <f>VLOOKUP($R19,坦克个性化设定!$B$51:$T$81,MATCH(V$3,坦克个性化设定!$B$51:$T$51,0),FALSE)</f>
        <v>0.4</v>
      </c>
      <c r="W19" s="2">
        <f>VLOOKUP($R19,坦克个性化设定!$B$51:$T$81,MATCH(W$3,坦克个性化设定!$B$51:$T$51,0),FALSE)</f>
        <v>1.1499999999999999</v>
      </c>
      <c r="X19" s="2">
        <f>VLOOKUP($R19,坦克个性化设定!$B$51:$T$81,MATCH(X$3,坦克个性化设定!$B$51:$T$51,0),FALSE)</f>
        <v>1</v>
      </c>
      <c r="Y19" s="34">
        <f>VLOOKUP($R19,坦克个性化设定!$B$51:$T$81,MATCH(Y$3,坦克个性化设定!$B$51:$T$51,0),FALSE)</f>
        <v>28</v>
      </c>
      <c r="AA19" s="2" t="str">
        <f t="shared" si="0"/>
        <v>彗星</v>
      </c>
      <c r="AB19" s="2">
        <f t="shared" si="1"/>
        <v>8</v>
      </c>
      <c r="AC19" s="2">
        <f t="shared" si="2"/>
        <v>0.4</v>
      </c>
      <c r="AD19" s="2">
        <f t="shared" si="3"/>
        <v>1.1499999999999999</v>
      </c>
      <c r="AE19" s="2">
        <f t="shared" si="4"/>
        <v>1</v>
      </c>
      <c r="AF19" s="34">
        <f t="shared" si="9"/>
        <v>1.2</v>
      </c>
      <c r="AG19" s="34">
        <f t="shared" si="10"/>
        <v>0.95833333333333326</v>
      </c>
      <c r="AH19" s="41">
        <v>1.2</v>
      </c>
      <c r="AI19" s="34">
        <f t="shared" si="11"/>
        <v>0.19166666666666665</v>
      </c>
      <c r="AJ19" s="2">
        <f>IF(VLOOKUP(AA19,坦克个性化设定!$B$51:$T$81,9,FALSE)=0,VLOOKUP(AA19,坦克个性化设定!$B$51:$T$81,10,FALSE),VLOOKUP(AA19,坦克个性化设定!$B$51:$T$81,9,FALSE))</f>
        <v>3</v>
      </c>
      <c r="AK19" s="2" t="str">
        <f>IF(LEN(VLOOKUP(AA19,坦克个性化设定!$B$18:$F$48,5,FALSE))=5,"单发",RIGHT(VLOOKUP(AA19,坦克个性化设定!$B$18:$F$48,5,FALSE),2))</f>
        <v>自动</v>
      </c>
      <c r="AL19" s="34">
        <f t="shared" si="5"/>
        <v>32.199999999999996</v>
      </c>
      <c r="AM19" s="34">
        <f t="shared" si="12"/>
        <v>0.4</v>
      </c>
      <c r="AN19" s="34">
        <f t="shared" si="13"/>
        <v>2.4793388429752072</v>
      </c>
      <c r="AO19" s="34">
        <f t="shared" si="6"/>
        <v>0.17355371900826425</v>
      </c>
      <c r="AP19" s="34">
        <f t="shared" si="14"/>
        <v>0.52066115702479276</v>
      </c>
    </row>
    <row r="20" spans="5:42" x14ac:dyDescent="0.3">
      <c r="E20" s="2" t="s">
        <v>643</v>
      </c>
      <c r="F20" s="2">
        <f>VLOOKUP($E20,坦克个性化设定!$B$51:$T$81,MATCH(F$3,坦克个性化设定!$B$51:$T$51,0),FALSE)</f>
        <v>2.4</v>
      </c>
      <c r="G20" s="2">
        <f>VLOOKUP($E20,坦克个性化设定!$B$51:$T$81,MATCH(G$3,坦克个性化设定!$B$51:$T$51,0),FALSE)</f>
        <v>0</v>
      </c>
      <c r="I20" s="2" t="s">
        <v>643</v>
      </c>
      <c r="J20" s="21" t="s">
        <v>182</v>
      </c>
      <c r="K20" s="2">
        <f>ROUND(VLOOKUP(I20,坦克个性化设定!$G$84:$T$114,MATCH(K$3,坦克个性化设定!$G$84:$T$84,0),FALSE)*VLOOKUP(J20,$B$3:$C$6,2,FALSE),1)</f>
        <v>44.5</v>
      </c>
      <c r="L20" s="2">
        <f>K20/坦克个性化设定!$M$4*坦克个性化设定!$M$5</f>
        <v>11.124999999999998</v>
      </c>
      <c r="M20" s="2">
        <f>ROUND(VLOOKUP(I20,坦克个性化设定!$G$84:$T$114,MATCH(M$3,坦克个性化设定!$G$84:$T$84,0),FALSE)*VLOOKUP(J20,$B$3:$C$6,2,FALSE),1)</f>
        <v>40</v>
      </c>
      <c r="N20" s="2">
        <f>M20/坦克个性化设定!$M$4*坦克个性化设定!$M$5</f>
        <v>9.9999999999999982</v>
      </c>
      <c r="O20" s="2">
        <f>ROUND(VLOOKUP(I20,坦克个性化设定!$G$84:$T$114,MATCH(O$3,坦克个性化设定!$G$84:$T$84,0),FALSE)*VLOOKUP(J20,$B$3:$C$6,2,FALSE),1)</f>
        <v>8</v>
      </c>
      <c r="P20" s="2">
        <f t="shared" si="7"/>
        <v>0</v>
      </c>
      <c r="R20" s="2" t="str">
        <f t="shared" si="8"/>
        <v>M-48</v>
      </c>
      <c r="S20" s="2">
        <f>VLOOKUP($R20,坦克个性化设定!$B$51:$T$81,MATCH(S$3,坦克个性化设定!$B$51:$T$51,0),FALSE)</f>
        <v>6</v>
      </c>
      <c r="T20" s="2">
        <f>VLOOKUP($R20,坦克个性化设定!$B$51:$T$81,MATCH(T$3,坦克个性化设定!$B$51:$T$51,0),FALSE)</f>
        <v>2.4</v>
      </c>
      <c r="U20" s="2">
        <f>VLOOKUP($R20,坦克个性化设定!$B$51:$T$81,MATCH(U$3,坦克个性化设定!$B$51:$T$51,0),FALSE)</f>
        <v>0</v>
      </c>
      <c r="V20" s="2">
        <f>VLOOKUP($R20,坦克个性化设定!$B$51:$T$81,MATCH(V$3,坦克个性化设定!$B$51:$T$51,0),FALSE)</f>
        <v>0.32</v>
      </c>
      <c r="W20" s="2">
        <f>VLOOKUP($R20,坦克个性化设定!$B$51:$T$81,MATCH(W$3,坦克个性化设定!$B$51:$T$51,0),FALSE)</f>
        <v>1.36</v>
      </c>
      <c r="X20" s="2">
        <f>VLOOKUP($R20,坦克个性化设定!$B$51:$T$81,MATCH(X$3,坦克个性化设定!$B$51:$T$51,0),FALSE)</f>
        <v>1</v>
      </c>
      <c r="Y20" s="34">
        <f>VLOOKUP($R20,坦克个性化设定!$B$51:$T$81,MATCH(Y$3,坦克个性化设定!$B$51:$T$51,0),FALSE)</f>
        <v>31</v>
      </c>
      <c r="AA20" s="2" t="str">
        <f t="shared" si="0"/>
        <v>M-48</v>
      </c>
      <c r="AB20" s="2">
        <f t="shared" si="1"/>
        <v>6</v>
      </c>
      <c r="AC20" s="2">
        <f t="shared" si="2"/>
        <v>0.32</v>
      </c>
      <c r="AD20" s="2">
        <f t="shared" si="3"/>
        <v>1.36</v>
      </c>
      <c r="AE20" s="2">
        <f t="shared" si="4"/>
        <v>1</v>
      </c>
      <c r="AF20" s="34">
        <f t="shared" si="9"/>
        <v>1.2</v>
      </c>
      <c r="AG20" s="34">
        <f t="shared" si="10"/>
        <v>1.1333333333333335</v>
      </c>
      <c r="AH20" s="41">
        <v>1.2</v>
      </c>
      <c r="AI20" s="34">
        <f t="shared" si="11"/>
        <v>0.22666666666666657</v>
      </c>
      <c r="AJ20" s="2">
        <f>IF(VLOOKUP(AA20,坦克个性化设定!$B$51:$T$81,9,FALSE)=0,VLOOKUP(AA20,坦克个性化设定!$B$51:$T$81,10,FALSE),VLOOKUP(AA20,坦克个性化设定!$B$51:$T$81,9,FALSE))</f>
        <v>2.4</v>
      </c>
      <c r="AK20" s="2" t="str">
        <f>IF(LEN(VLOOKUP(AA20,坦克个性化设定!$B$18:$F$48,5,FALSE))=5,"单发",RIGHT(VLOOKUP(AA20,坦克个性化设定!$B$18:$F$48,5,FALSE),2))</f>
        <v>自动</v>
      </c>
      <c r="AL20" s="34">
        <f t="shared" si="5"/>
        <v>35.65</v>
      </c>
      <c r="AM20" s="149">
        <v>0.75</v>
      </c>
      <c r="AN20" s="34">
        <f t="shared" si="13"/>
        <v>2.0236087689713322</v>
      </c>
      <c r="AO20" s="34">
        <f t="shared" si="6"/>
        <v>0.15682967959527822</v>
      </c>
      <c r="AP20" s="34">
        <f t="shared" si="14"/>
        <v>0.37639123102866767</v>
      </c>
    </row>
    <row r="21" spans="5:42" x14ac:dyDescent="0.3">
      <c r="E21" s="2" t="s">
        <v>645</v>
      </c>
      <c r="F21" s="2">
        <f>VLOOKUP($E21,坦克个性化设定!$B$51:$T$81,MATCH(F$3,坦克个性化设定!$B$51:$T$51,0),FALSE)</f>
        <v>3.6</v>
      </c>
      <c r="G21" s="2">
        <f>VLOOKUP($E21,坦克个性化设定!$B$51:$T$81,MATCH(G$3,坦克个性化设定!$B$51:$T$51,0),FALSE)</f>
        <v>0</v>
      </c>
      <c r="I21" s="2" t="s">
        <v>645</v>
      </c>
      <c r="J21" s="21" t="s">
        <v>184</v>
      </c>
      <c r="K21" s="2">
        <f>ROUND(VLOOKUP(I21,坦克个性化设定!$G$84:$T$114,MATCH(K$3,坦克个性化设定!$G$84:$T$84,0),FALSE)*VLOOKUP(J21,$B$3:$C$6,2,FALSE),1)</f>
        <v>36.299999999999997</v>
      </c>
      <c r="L21" s="2">
        <f>K21/坦克个性化设定!$M$4*坦克个性化设定!$M$5</f>
        <v>9.0749999999999957</v>
      </c>
      <c r="M21" s="2">
        <f>ROUND(VLOOKUP(I21,坦克个性化设定!$G$84:$T$114,MATCH(M$3,坦克个性化设定!$G$84:$T$84,0),FALSE)*VLOOKUP(J21,$B$3:$C$6,2,FALSE),1)</f>
        <v>51</v>
      </c>
      <c r="N21" s="2">
        <f>M21/坦克个性化设定!$M$4*坦克个性化设定!$M$5</f>
        <v>12.749999999999996</v>
      </c>
      <c r="O21" s="2">
        <f>ROUND(VLOOKUP(I21,坦克个性化设定!$G$84:$T$114,MATCH(O$3,坦克个性化设定!$G$84:$T$84,0),FALSE)*VLOOKUP(J21,$B$3:$C$6,2,FALSE),1)</f>
        <v>7.3</v>
      </c>
      <c r="P21" s="2">
        <f t="shared" si="7"/>
        <v>0</v>
      </c>
      <c r="R21" s="2" t="str">
        <f t="shared" si="8"/>
        <v>潘兴</v>
      </c>
      <c r="S21" s="2">
        <f>VLOOKUP($R21,坦克个性化设定!$B$51:$T$81,MATCH(S$3,坦克个性化设定!$B$51:$T$51,0),FALSE)</f>
        <v>10</v>
      </c>
      <c r="T21" s="2">
        <f>VLOOKUP($R21,坦克个性化设定!$B$51:$T$81,MATCH(T$3,坦克个性化设定!$B$51:$T$51,0),FALSE)</f>
        <v>3.6</v>
      </c>
      <c r="U21" s="2">
        <f>VLOOKUP($R21,坦克个性化设定!$B$51:$T$81,MATCH(U$3,坦克个性化设定!$B$51:$T$51,0),FALSE)</f>
        <v>0</v>
      </c>
      <c r="V21" s="2">
        <f>VLOOKUP($R21,坦克个性化设定!$B$51:$T$81,MATCH(V$3,坦克个性化设定!$B$51:$T$51,0),FALSE)</f>
        <v>0.4</v>
      </c>
      <c r="W21" s="2">
        <f>VLOOKUP($R21,坦克个性化设定!$B$51:$T$81,MATCH(W$3,坦克个性化设定!$B$51:$T$51,0),FALSE)</f>
        <v>1</v>
      </c>
      <c r="X21" s="2">
        <f>VLOOKUP($R21,坦克个性化设定!$B$51:$T$81,MATCH(X$3,坦克个性化设定!$B$51:$T$51,0),FALSE)</f>
        <v>1</v>
      </c>
      <c r="Y21" s="34">
        <f>VLOOKUP($R21,坦克个性化设定!$B$51:$T$81,MATCH(Y$3,坦克个性化设定!$B$51:$T$51,0),FALSE)</f>
        <v>26.666666666666668</v>
      </c>
      <c r="AA21" s="2" t="str">
        <f t="shared" si="0"/>
        <v>潘兴</v>
      </c>
      <c r="AB21" s="2">
        <f t="shared" si="1"/>
        <v>10</v>
      </c>
      <c r="AC21" s="2">
        <f t="shared" si="2"/>
        <v>0.4</v>
      </c>
      <c r="AD21" s="2">
        <f t="shared" si="3"/>
        <v>1</v>
      </c>
      <c r="AE21" s="2">
        <f t="shared" si="4"/>
        <v>1</v>
      </c>
      <c r="AF21" s="34">
        <f t="shared" si="9"/>
        <v>1.2</v>
      </c>
      <c r="AG21" s="34">
        <f t="shared" si="10"/>
        <v>0.83333333333333337</v>
      </c>
      <c r="AH21" s="41">
        <v>1.2</v>
      </c>
      <c r="AI21" s="34">
        <f t="shared" si="11"/>
        <v>0.16666666666666663</v>
      </c>
      <c r="AJ21" s="2">
        <f>IF(VLOOKUP(AA21,坦克个性化设定!$B$51:$T$81,9,FALSE)=0,VLOOKUP(AA21,坦克个性化设定!$B$51:$T$81,10,FALSE),VLOOKUP(AA21,坦克个性化设定!$B$51:$T$81,9,FALSE))</f>
        <v>3.6</v>
      </c>
      <c r="AK21" s="2" t="str">
        <f>IF(LEN(VLOOKUP(AA21,坦克个性化设定!$B$18:$F$48,5,FALSE))=5,"单发",RIGHT(VLOOKUP(AA21,坦克个性化设定!$B$18:$F$48,5,FALSE),2))</f>
        <v>自动</v>
      </c>
      <c r="AL21" s="34">
        <f t="shared" si="5"/>
        <v>30.666666666666664</v>
      </c>
      <c r="AM21" s="34">
        <f t="shared" si="12"/>
        <v>0.4</v>
      </c>
      <c r="AN21" s="34">
        <f t="shared" si="13"/>
        <v>2.9032258064516134</v>
      </c>
      <c r="AO21" s="34">
        <f t="shared" si="6"/>
        <v>0.19354838709677408</v>
      </c>
      <c r="AP21" s="34">
        <f t="shared" si="14"/>
        <v>0.69677419354838666</v>
      </c>
    </row>
    <row r="22" spans="5:42" x14ac:dyDescent="0.3">
      <c r="E22" s="2" t="s">
        <v>647</v>
      </c>
      <c r="F22" s="2">
        <f>VLOOKUP($E22,坦克个性化设定!$B$51:$T$81,MATCH(F$3,坦克个性化设定!$B$51:$T$51,0),FALSE)</f>
        <v>2.4</v>
      </c>
      <c r="G22" s="2">
        <f>VLOOKUP($E22,坦克个性化设定!$B$51:$T$81,MATCH(G$3,坦克个性化设定!$B$51:$T$51,0),FALSE)</f>
        <v>0</v>
      </c>
      <c r="I22" s="2" t="s">
        <v>647</v>
      </c>
      <c r="J22" s="21" t="s">
        <v>183</v>
      </c>
      <c r="K22" s="2">
        <f>ROUND(VLOOKUP(I22,坦克个性化设定!$G$84:$T$114,MATCH(K$3,坦克个性化设定!$G$84:$T$84,0),FALSE)*VLOOKUP(J22,$B$3:$C$6,2,FALSE),1)</f>
        <v>46.7</v>
      </c>
      <c r="L22" s="2">
        <f>K22/坦克个性化设定!$M$4*坦克个性化设定!$M$5</f>
        <v>11.674999999999997</v>
      </c>
      <c r="M22" s="2">
        <f>ROUND(VLOOKUP(I22,坦克个性化设定!$G$84:$T$114,MATCH(M$3,坦克个性化设定!$G$84:$T$84,0),FALSE)*VLOOKUP(J22,$B$3:$C$6,2,FALSE),1)</f>
        <v>42</v>
      </c>
      <c r="N22" s="2">
        <f>M22/坦克个性化设定!$M$4*坦克个性化设定!$M$5</f>
        <v>10.499999999999998</v>
      </c>
      <c r="O22" s="2">
        <f>ROUND(VLOOKUP(I22,坦克个性化设定!$G$84:$T$114,MATCH(O$3,坦克个性化设定!$G$84:$T$84,0),FALSE)*VLOOKUP(J22,$B$3:$C$6,2,FALSE),1)</f>
        <v>8.4</v>
      </c>
      <c r="P22" s="2">
        <f t="shared" si="7"/>
        <v>0</v>
      </c>
      <c r="R22" s="2" t="str">
        <f t="shared" si="8"/>
        <v>百夫长</v>
      </c>
      <c r="S22" s="2">
        <f>VLOOKUP($R22,坦克个性化设定!$B$51:$T$81,MATCH(S$3,坦克个性化设定!$B$51:$T$51,0),FALSE)</f>
        <v>4</v>
      </c>
      <c r="T22" s="2">
        <f>VLOOKUP($R22,坦克个性化设定!$B$51:$T$81,MATCH(T$3,坦克个性化设定!$B$51:$T$51,0),FALSE)</f>
        <v>2.4</v>
      </c>
      <c r="U22" s="2">
        <f>VLOOKUP($R22,坦克个性化设定!$B$51:$T$81,MATCH(U$3,坦克个性化设定!$B$51:$T$51,0),FALSE)</f>
        <v>0</v>
      </c>
      <c r="V22" s="2">
        <f>VLOOKUP($R22,坦克个性化设定!$B$51:$T$81,MATCH(V$3,坦克个性化设定!$B$51:$T$51,0),FALSE)</f>
        <v>0.26</v>
      </c>
      <c r="W22" s="2">
        <f>VLOOKUP($R22,坦克个性化设定!$B$51:$T$81,MATCH(W$3,坦克个性化设定!$B$51:$T$51,0),FALSE)</f>
        <v>1.87</v>
      </c>
      <c r="X22" s="2">
        <f>VLOOKUP($R22,坦克个性化设定!$B$51:$T$81,MATCH(X$3,坦克个性化设定!$B$51:$T$51,0),FALSE)</f>
        <v>1</v>
      </c>
      <c r="Y22" s="34">
        <f>VLOOKUP($R22,坦克个性化设定!$B$51:$T$81,MATCH(Y$3,坦克个性化设定!$B$51:$T$51,0),FALSE)</f>
        <v>29</v>
      </c>
      <c r="AA22" s="2" t="str">
        <f t="shared" si="0"/>
        <v>百夫长</v>
      </c>
      <c r="AB22" s="2">
        <f t="shared" si="1"/>
        <v>4</v>
      </c>
      <c r="AC22" s="2">
        <f t="shared" si="2"/>
        <v>0.26</v>
      </c>
      <c r="AD22" s="2">
        <f t="shared" si="3"/>
        <v>1.87</v>
      </c>
      <c r="AE22" s="2">
        <f t="shared" si="4"/>
        <v>1</v>
      </c>
      <c r="AF22" s="34">
        <f t="shared" si="9"/>
        <v>1.2</v>
      </c>
      <c r="AG22" s="34">
        <f t="shared" si="10"/>
        <v>1.5583333333333336</v>
      </c>
      <c r="AH22" s="41">
        <v>1.2</v>
      </c>
      <c r="AI22" s="34">
        <f t="shared" si="11"/>
        <v>0.31166666666666654</v>
      </c>
      <c r="AJ22" s="2">
        <f>IF(VLOOKUP(AA22,坦克个性化设定!$B$51:$T$81,9,FALSE)=0,VLOOKUP(AA22,坦克个性化设定!$B$51:$T$81,10,FALSE),VLOOKUP(AA22,坦克个性化设定!$B$51:$T$81,9,FALSE))</f>
        <v>2.4</v>
      </c>
      <c r="AK22" s="2" t="str">
        <f>IF(LEN(VLOOKUP(AA22,坦克个性化设定!$B$18:$F$48,5,FALSE))=5,"单发",RIGHT(VLOOKUP(AA22,坦克个性化设定!$B$18:$F$48,5,FALSE),2))</f>
        <v>自动</v>
      </c>
      <c r="AL22" s="34">
        <f t="shared" si="5"/>
        <v>33.349999999999994</v>
      </c>
      <c r="AM22" s="34">
        <f t="shared" si="12"/>
        <v>0.26</v>
      </c>
      <c r="AN22" s="34">
        <f t="shared" si="13"/>
        <v>2.0442930153321979</v>
      </c>
      <c r="AO22" s="34">
        <f t="shared" si="6"/>
        <v>0.14821124361158419</v>
      </c>
      <c r="AP22" s="34">
        <f t="shared" si="14"/>
        <v>0.35570698466780204</v>
      </c>
    </row>
    <row r="23" spans="5:42" x14ac:dyDescent="0.3">
      <c r="E23" s="2" t="s">
        <v>649</v>
      </c>
      <c r="F23" s="2">
        <f>VLOOKUP($E23,坦克个性化设定!$B$51:$T$81,MATCH(F$3,坦克个性化设定!$B$51:$T$51,0),FALSE)</f>
        <v>2.4</v>
      </c>
      <c r="G23" s="2">
        <f>VLOOKUP($E23,坦克个性化设定!$B$51:$T$81,MATCH(G$3,坦克个性化设定!$B$51:$T$51,0),FALSE)</f>
        <v>0</v>
      </c>
      <c r="I23" s="2" t="s">
        <v>649</v>
      </c>
      <c r="J23" s="21" t="s">
        <v>182</v>
      </c>
      <c r="K23" s="2">
        <f>ROUND(VLOOKUP(I23,坦克个性化设定!$G$84:$T$114,MATCH(K$3,坦克个性化设定!$G$84:$T$84,0),FALSE)*VLOOKUP(J23,$B$3:$C$6,2,FALSE),1)</f>
        <v>35.6</v>
      </c>
      <c r="L23" s="2">
        <f>K23/坦克个性化设定!$M$4*坦克个性化设定!$M$5</f>
        <v>8.8999999999999986</v>
      </c>
      <c r="M23" s="2">
        <f>ROUND(VLOOKUP(I23,坦克个性化设定!$G$84:$T$114,MATCH(M$3,坦克个性化设定!$G$84:$T$84,0),FALSE)*VLOOKUP(J23,$B$3:$C$6,2,FALSE),1)</f>
        <v>50</v>
      </c>
      <c r="N23" s="2">
        <f>M23/坦克个性化设定!$M$4*坦克个性化设定!$M$5</f>
        <v>12.499999999999996</v>
      </c>
      <c r="O23" s="2">
        <f>ROUND(VLOOKUP(I23,坦克个性化设定!$G$84:$T$114,MATCH(O$3,坦克个性化设定!$G$84:$T$84,0),FALSE)*VLOOKUP(J23,$B$3:$C$6,2,FALSE),1)</f>
        <v>7.2</v>
      </c>
      <c r="P23" s="2">
        <f t="shared" si="7"/>
        <v>0</v>
      </c>
      <c r="R23" s="2" t="str">
        <f t="shared" si="8"/>
        <v>挑战者</v>
      </c>
      <c r="S23" s="2">
        <f>VLOOKUP($R23,坦克个性化设定!$B$51:$T$81,MATCH(S$3,坦克个性化设定!$B$51:$T$51,0),FALSE)</f>
        <v>6</v>
      </c>
      <c r="T23" s="2">
        <f>VLOOKUP($R23,坦克个性化设定!$B$51:$T$81,MATCH(T$3,坦克个性化设定!$B$51:$T$51,0),FALSE)</f>
        <v>2.4</v>
      </c>
      <c r="U23" s="2">
        <f>VLOOKUP($R23,坦克个性化设定!$B$51:$T$81,MATCH(U$3,坦克个性化设定!$B$51:$T$51,0),FALSE)</f>
        <v>0</v>
      </c>
      <c r="V23" s="2">
        <f>VLOOKUP($R23,坦克个性化设定!$B$51:$T$81,MATCH(V$3,坦克个性化设定!$B$51:$T$51,0),FALSE)</f>
        <v>0.4</v>
      </c>
      <c r="W23" s="2">
        <f>VLOOKUP($R23,坦克个性化设定!$B$51:$T$81,MATCH(W$3,坦克个性化设定!$B$51:$T$51,0),FALSE)</f>
        <v>1.4</v>
      </c>
      <c r="X23" s="2">
        <f>VLOOKUP($R23,坦克个性化设定!$B$51:$T$81,MATCH(X$3,坦克个性化设定!$B$51:$T$51,0),FALSE)</f>
        <v>1</v>
      </c>
      <c r="Y23" s="34">
        <f>VLOOKUP($R23,坦克个性化设定!$B$51:$T$81,MATCH(Y$3,坦克个性化设定!$B$51:$T$51,0),FALSE)</f>
        <v>31</v>
      </c>
      <c r="AA23" s="2" t="str">
        <f t="shared" si="0"/>
        <v>挑战者</v>
      </c>
      <c r="AB23" s="2">
        <f t="shared" si="1"/>
        <v>6</v>
      </c>
      <c r="AC23" s="2">
        <f t="shared" si="2"/>
        <v>0.4</v>
      </c>
      <c r="AD23" s="2">
        <f t="shared" si="3"/>
        <v>1.4</v>
      </c>
      <c r="AE23" s="2">
        <f t="shared" si="4"/>
        <v>1</v>
      </c>
      <c r="AF23" s="34">
        <f t="shared" si="9"/>
        <v>1.2</v>
      </c>
      <c r="AG23" s="34">
        <f t="shared" si="10"/>
        <v>1.1666666666666667</v>
      </c>
      <c r="AH23" s="41">
        <v>1.2</v>
      </c>
      <c r="AI23" s="34">
        <f t="shared" si="11"/>
        <v>0.23333333333333317</v>
      </c>
      <c r="AJ23" s="2">
        <f>IF(VLOOKUP(AA23,坦克个性化设定!$B$51:$T$81,9,FALSE)=0,VLOOKUP(AA23,坦克个性化设定!$B$51:$T$81,10,FALSE),VLOOKUP(AA23,坦克个性化设定!$B$51:$T$81,9,FALSE))</f>
        <v>2.4</v>
      </c>
      <c r="AK23" s="2" t="str">
        <f>IF(LEN(VLOOKUP(AA23,坦克个性化设定!$B$18:$F$48,5,FALSE))=5,"单发",RIGHT(VLOOKUP(AA23,坦克个性化设定!$B$18:$F$48,5,FALSE),2))</f>
        <v>自动</v>
      </c>
      <c r="AL23" s="34">
        <f t="shared" si="5"/>
        <v>35.65</v>
      </c>
      <c r="AM23" s="34">
        <f t="shared" si="12"/>
        <v>0.4</v>
      </c>
      <c r="AN23" s="34">
        <f t="shared" si="13"/>
        <v>2.0236087689713322</v>
      </c>
      <c r="AO23" s="34">
        <f t="shared" si="6"/>
        <v>0.15682967959527822</v>
      </c>
      <c r="AP23" s="34">
        <f t="shared" si="14"/>
        <v>0.37639123102866767</v>
      </c>
    </row>
    <row r="24" spans="5:42" x14ac:dyDescent="0.3">
      <c r="E24" s="2" t="s">
        <v>651</v>
      </c>
      <c r="F24" s="2">
        <f>VLOOKUP($E24,坦克个性化设定!$B$51:$T$81,MATCH(F$3,坦克个性化设定!$B$51:$T$51,0),FALSE)</f>
        <v>5.3999999999999995</v>
      </c>
      <c r="G24" s="2">
        <f>VLOOKUP($E24,坦克个性化设定!$B$51:$T$81,MATCH(G$3,坦克个性化设定!$B$51:$T$51,0),FALSE)</f>
        <v>0</v>
      </c>
      <c r="I24" s="2" t="s">
        <v>651</v>
      </c>
      <c r="J24" s="21" t="s">
        <v>182</v>
      </c>
      <c r="K24" s="2">
        <f>ROUND(VLOOKUP(I24,坦克个性化设定!$G$84:$T$114,MATCH(K$3,坦克个性化设定!$G$84:$T$84,0),FALSE)*VLOOKUP(J24,$B$3:$C$6,2,FALSE),1)</f>
        <v>38.299999999999997</v>
      </c>
      <c r="L24" s="2">
        <f>K24/坦克个性化设定!$M$4*坦克个性化设定!$M$5</f>
        <v>9.5749999999999957</v>
      </c>
      <c r="M24" s="2">
        <f>ROUND(VLOOKUP(I24,坦克个性化设定!$G$84:$T$114,MATCH(M$3,坦克个性化设定!$G$84:$T$84,0),FALSE)*VLOOKUP(J24,$B$3:$C$6,2,FALSE),1)</f>
        <v>28</v>
      </c>
      <c r="N24" s="2">
        <f>M24/坦克个性化设定!$M$4*坦克个性化设定!$M$5</f>
        <v>6.9999999999999982</v>
      </c>
      <c r="O24" s="2">
        <f>ROUND(VLOOKUP(I24,坦克个性化设定!$G$84:$T$114,MATCH(O$3,坦克个性化设定!$G$84:$T$84,0),FALSE)*VLOOKUP(J24,$B$3:$C$6,2,FALSE),1)</f>
        <v>7</v>
      </c>
      <c r="P24" s="2">
        <f t="shared" si="7"/>
        <v>0</v>
      </c>
      <c r="R24" s="2" t="str">
        <f t="shared" si="8"/>
        <v>B-1</v>
      </c>
      <c r="S24" s="2">
        <f>VLOOKUP($R24,坦克个性化设定!$B$51:$T$81,MATCH(S$3,坦克个性化设定!$B$51:$T$51,0),FALSE)</f>
        <v>1</v>
      </c>
      <c r="T24" s="2">
        <f>VLOOKUP($R24,坦克个性化设定!$B$51:$T$81,MATCH(T$3,坦克个性化设定!$B$51:$T$51,0),FALSE)</f>
        <v>5.3999999999999995</v>
      </c>
      <c r="U24" s="2">
        <f>VLOOKUP($R24,坦克个性化设定!$B$51:$T$81,MATCH(U$3,坦克个性化设定!$B$51:$T$51,0),FALSE)</f>
        <v>0</v>
      </c>
      <c r="V24" s="2">
        <f>VLOOKUP($R24,坦克个性化设定!$B$51:$T$81,MATCH(V$3,坦克个性化设定!$B$51:$T$51,0),FALSE)</f>
        <v>2.8</v>
      </c>
      <c r="W24" s="2">
        <f>VLOOKUP($R24,坦克个性化设定!$B$51:$T$81,MATCH(W$3,坦克个性化设定!$B$51:$T$51,0),FALSE)</f>
        <v>3</v>
      </c>
      <c r="X24" s="2">
        <f>VLOOKUP($R24,坦克个性化设定!$B$51:$T$81,MATCH(X$3,坦克个性化设定!$B$51:$T$51,0),FALSE)</f>
        <v>1.2</v>
      </c>
      <c r="Y24" s="34">
        <f>VLOOKUP($R24,坦克个性化设定!$B$51:$T$81,MATCH(Y$3,坦克个性化设定!$B$51:$T$51,0),FALSE)</f>
        <v>12.111111111111112</v>
      </c>
      <c r="AA24" s="2" t="str">
        <f t="shared" si="0"/>
        <v>B-1</v>
      </c>
      <c r="AB24" s="2">
        <f t="shared" si="1"/>
        <v>1</v>
      </c>
      <c r="AC24" s="2">
        <f t="shared" si="2"/>
        <v>2.8</v>
      </c>
      <c r="AD24" s="2">
        <f t="shared" si="3"/>
        <v>3</v>
      </c>
      <c r="AE24" s="2">
        <f t="shared" si="4"/>
        <v>1.2</v>
      </c>
      <c r="AF24" s="34">
        <f t="shared" si="9"/>
        <v>1.44</v>
      </c>
      <c r="AG24" s="34">
        <f t="shared" si="10"/>
        <v>2.0833333333333335</v>
      </c>
      <c r="AH24" s="41">
        <v>1.2</v>
      </c>
      <c r="AI24" s="34">
        <f t="shared" si="11"/>
        <v>0.41666666666666652</v>
      </c>
      <c r="AJ24" s="2">
        <f>IF(VLOOKUP(AA24,坦克个性化设定!$B$51:$T$81,9,FALSE)=0,VLOOKUP(AA24,坦克个性化设定!$B$51:$T$81,10,FALSE),VLOOKUP(AA24,坦克个性化设定!$B$51:$T$81,9,FALSE))</f>
        <v>5.3999999999999995</v>
      </c>
      <c r="AK24" s="2" t="str">
        <f>IF(LEN(VLOOKUP(AA24,坦克个性化设定!$B$18:$F$48,5,FALSE))=5,"单发",RIGHT(VLOOKUP(AA24,坦克个性化设定!$B$18:$F$48,5,FALSE),2))</f>
        <v>自动</v>
      </c>
      <c r="AL24" s="34">
        <f t="shared" si="5"/>
        <v>13.927777777777779</v>
      </c>
      <c r="AM24" s="34">
        <f t="shared" si="12"/>
        <v>2.8</v>
      </c>
      <c r="AN24" s="34">
        <f t="shared" si="13"/>
        <v>4.6411688869789423</v>
      </c>
      <c r="AO24" s="34">
        <f t="shared" si="6"/>
        <v>0.14052428018908469</v>
      </c>
      <c r="AP24" s="34">
        <f t="shared" si="14"/>
        <v>0.75883111302105721</v>
      </c>
    </row>
    <row r="25" spans="5:42" x14ac:dyDescent="0.3">
      <c r="E25" s="2" t="s">
        <v>653</v>
      </c>
      <c r="F25" s="2">
        <f>VLOOKUP($E25,坦克个性化设定!$B$51:$T$81,MATCH(F$3,坦克个性化设定!$B$51:$T$51,0),FALSE)</f>
        <v>3.6</v>
      </c>
      <c r="G25" s="2">
        <f>VLOOKUP($E25,坦克个性化设定!$B$51:$T$81,MATCH(G$3,坦克个性化设定!$B$51:$T$51,0),FALSE)</f>
        <v>0</v>
      </c>
      <c r="I25" s="2" t="s">
        <v>653</v>
      </c>
      <c r="J25" s="21" t="s">
        <v>182</v>
      </c>
      <c r="K25" s="2">
        <f>ROUND(VLOOKUP(I25,坦克个性化设定!$G$84:$T$114,MATCH(K$3,坦克个性化设定!$G$84:$T$84,0),FALSE)*VLOOKUP(J25,$B$3:$C$6,2,FALSE),1)</f>
        <v>38.299999999999997</v>
      </c>
      <c r="L25" s="2">
        <f>K25/坦克个性化设定!$M$4*坦克个性化设定!$M$5</f>
        <v>9.5749999999999957</v>
      </c>
      <c r="M25" s="2">
        <f>ROUND(VLOOKUP(I25,坦克个性化设定!$G$84:$T$114,MATCH(M$3,坦克个性化设定!$G$84:$T$84,0),FALSE)*VLOOKUP(J25,$B$3:$C$6,2,FALSE),1)</f>
        <v>28</v>
      </c>
      <c r="N25" s="2">
        <f>M25/坦克个性化设定!$M$4*坦克个性化设定!$M$5</f>
        <v>6.9999999999999982</v>
      </c>
      <c r="O25" s="2">
        <f>ROUND(VLOOKUP(I25,坦克个性化设定!$G$84:$T$114,MATCH(O$3,坦克个性化设定!$G$84:$T$84,0),FALSE)*VLOOKUP(J25,$B$3:$C$6,2,FALSE),1)</f>
        <v>7</v>
      </c>
      <c r="P25" s="2">
        <f t="shared" si="7"/>
        <v>0</v>
      </c>
      <c r="R25" s="2" t="str">
        <f t="shared" si="8"/>
        <v>KV-1</v>
      </c>
      <c r="S25" s="2">
        <f>VLOOKUP($R25,坦克个性化设定!$B$51:$T$81,MATCH(S$3,坦克个性化设定!$B$51:$T$51,0),FALSE)</f>
        <v>3</v>
      </c>
      <c r="T25" s="2">
        <f>VLOOKUP($R25,坦克个性化设定!$B$51:$T$81,MATCH(T$3,坦克个性化设定!$B$51:$T$51,0),FALSE)</f>
        <v>3.6</v>
      </c>
      <c r="U25" s="2">
        <f>VLOOKUP($R25,坦克个性化设定!$B$51:$T$81,MATCH(U$3,坦克个性化设定!$B$51:$T$51,0),FALSE)</f>
        <v>0</v>
      </c>
      <c r="V25" s="2">
        <f>VLOOKUP($R25,坦克个性化设定!$B$51:$T$81,MATCH(V$3,坦克个性化设定!$B$51:$T$51,0),FALSE)</f>
        <v>1.88</v>
      </c>
      <c r="W25" s="2">
        <f>VLOOKUP($R25,坦克个性化设定!$B$51:$T$81,MATCH(W$3,坦克个性化设定!$B$51:$T$51,0),FALSE)</f>
        <v>2.5</v>
      </c>
      <c r="X25" s="2">
        <f>VLOOKUP($R25,坦克个性化设定!$B$51:$T$81,MATCH(X$3,坦克个性化设定!$B$51:$T$51,0),FALSE)</f>
        <v>1.2</v>
      </c>
      <c r="Y25" s="34">
        <f>VLOOKUP($R25,坦克个性化设定!$B$51:$T$81,MATCH(Y$3,坦克个性化设定!$B$51:$T$51,0),FALSE)</f>
        <v>19.666666666666668</v>
      </c>
      <c r="AA25" s="2" t="str">
        <f t="shared" si="0"/>
        <v>KV-1</v>
      </c>
      <c r="AB25" s="2">
        <f t="shared" si="1"/>
        <v>3</v>
      </c>
      <c r="AC25" s="2">
        <f t="shared" si="2"/>
        <v>1.88</v>
      </c>
      <c r="AD25" s="2">
        <f t="shared" si="3"/>
        <v>2.5</v>
      </c>
      <c r="AE25" s="2">
        <f t="shared" si="4"/>
        <v>1.2</v>
      </c>
      <c r="AF25" s="34">
        <f t="shared" si="9"/>
        <v>1.44</v>
      </c>
      <c r="AG25" s="34">
        <f t="shared" si="10"/>
        <v>1.7361111111111112</v>
      </c>
      <c r="AH25" s="41">
        <v>1.2</v>
      </c>
      <c r="AI25" s="34">
        <f t="shared" si="11"/>
        <v>0.34722222222222232</v>
      </c>
      <c r="AJ25" s="2">
        <f>IF(VLOOKUP(AA25,坦克个性化设定!$B$51:$T$81,9,FALSE)=0,VLOOKUP(AA25,坦克个性化设定!$B$51:$T$81,10,FALSE),VLOOKUP(AA25,坦克个性化设定!$B$51:$T$81,9,FALSE))</f>
        <v>3.6</v>
      </c>
      <c r="AK25" s="2" t="str">
        <f>IF(LEN(VLOOKUP(AA25,坦克个性化设定!$B$18:$F$48,5,FALSE))=5,"单发",RIGHT(VLOOKUP(AA25,坦克个性化设定!$B$18:$F$48,5,FALSE),2))</f>
        <v>自动</v>
      </c>
      <c r="AL25" s="34">
        <f t="shared" si="5"/>
        <v>22.616666666666667</v>
      </c>
      <c r="AM25" s="34">
        <f t="shared" si="12"/>
        <v>1.88</v>
      </c>
      <c r="AN25" s="34">
        <f t="shared" si="13"/>
        <v>3.058623619371283</v>
      </c>
      <c r="AO25" s="34">
        <f t="shared" si="6"/>
        <v>0.1503823279524214</v>
      </c>
      <c r="AP25" s="34">
        <f t="shared" si="14"/>
        <v>0.54137638062871707</v>
      </c>
    </row>
    <row r="26" spans="5:42" x14ac:dyDescent="0.3">
      <c r="E26" s="2" t="s">
        <v>655</v>
      </c>
      <c r="F26" s="2">
        <f>VLOOKUP($E26,坦克个性化设定!$B$51:$T$81,MATCH(F$3,坦克个性化设定!$B$51:$T$51,0),FALSE)</f>
        <v>6</v>
      </c>
      <c r="G26" s="2">
        <f>VLOOKUP($E26,坦克个性化设定!$B$51:$T$81,MATCH(G$3,坦克个性化设定!$B$51:$T$51,0),FALSE)</f>
        <v>0</v>
      </c>
      <c r="I26" s="2" t="s">
        <v>655</v>
      </c>
      <c r="J26" s="21" t="s">
        <v>184</v>
      </c>
      <c r="K26" s="2">
        <f>ROUND(VLOOKUP(I26,坦克个性化设定!$G$84:$T$114,MATCH(K$3,坦克个性化设定!$G$84:$T$84,0),FALSE)*VLOOKUP(J26,$B$3:$C$6,2,FALSE),1)</f>
        <v>31.3</v>
      </c>
      <c r="L26" s="2">
        <f>K26/坦克个性化设定!$M$4*坦克个性化设定!$M$5</f>
        <v>7.8249999999999984</v>
      </c>
      <c r="M26" s="2">
        <f>ROUND(VLOOKUP(I26,坦克个性化设定!$G$84:$T$114,MATCH(M$3,坦克个性化设定!$G$84:$T$84,0),FALSE)*VLOOKUP(J26,$B$3:$C$6,2,FALSE),1)</f>
        <v>31.4</v>
      </c>
      <c r="N26" s="2">
        <f>M26/坦克个性化设定!$M$4*坦克个性化设定!$M$5</f>
        <v>7.849999999999997</v>
      </c>
      <c r="O26" s="2">
        <f>ROUND(VLOOKUP(I26,坦克个性化设定!$G$84:$T$114,MATCH(O$3,坦克个性化设定!$G$84:$T$84,0),FALSE)*VLOOKUP(J26,$B$3:$C$6,2,FALSE),1)</f>
        <v>6.4</v>
      </c>
      <c r="P26" s="2">
        <f t="shared" si="7"/>
        <v>0</v>
      </c>
      <c r="R26" s="2" t="str">
        <f t="shared" si="8"/>
        <v>丘吉尔</v>
      </c>
      <c r="S26" s="2">
        <f>VLOOKUP($R26,坦克个性化设定!$B$51:$T$81,MATCH(S$3,坦克个性化设定!$B$51:$T$51,0),FALSE)</f>
        <v>1</v>
      </c>
      <c r="T26" s="2">
        <f>VLOOKUP($R26,坦克个性化设定!$B$51:$T$81,MATCH(T$3,坦克个性化设定!$B$51:$T$51,0),FALSE)</f>
        <v>6</v>
      </c>
      <c r="U26" s="2">
        <f>VLOOKUP($R26,坦克个性化设定!$B$51:$T$81,MATCH(U$3,坦克个性化设定!$B$51:$T$51,0),FALSE)</f>
        <v>0</v>
      </c>
      <c r="V26" s="2">
        <f>VLOOKUP($R26,坦克个性化设定!$B$51:$T$81,MATCH(V$3,坦克个性化设定!$B$51:$T$51,0),FALSE)</f>
        <v>0</v>
      </c>
      <c r="W26" s="2">
        <f>VLOOKUP($R26,坦克个性化设定!$B$51:$T$81,MATCH(W$3,坦克个性化设定!$B$51:$T$51,0),FALSE)</f>
        <v>3</v>
      </c>
      <c r="X26" s="2">
        <f>VLOOKUP($R26,坦克个性化设定!$B$51:$T$81,MATCH(X$3,坦克个性化设定!$B$51:$T$51,0),FALSE)</f>
        <v>1</v>
      </c>
      <c r="Y26" s="34">
        <f>VLOOKUP($R26,坦克个性化设定!$B$51:$T$81,MATCH(Y$3,坦克个性化设定!$B$51:$T$51,0),FALSE)</f>
        <v>11</v>
      </c>
      <c r="AA26" s="2" t="str">
        <f t="shared" si="0"/>
        <v>丘吉尔</v>
      </c>
      <c r="AB26" s="2">
        <f t="shared" si="1"/>
        <v>1</v>
      </c>
      <c r="AC26" s="2">
        <f t="shared" si="2"/>
        <v>0</v>
      </c>
      <c r="AD26" s="2">
        <f t="shared" si="3"/>
        <v>3</v>
      </c>
      <c r="AE26" s="2">
        <f t="shared" si="4"/>
        <v>1</v>
      </c>
      <c r="AF26" s="34">
        <f t="shared" si="9"/>
        <v>1.2</v>
      </c>
      <c r="AG26" s="34">
        <f t="shared" si="10"/>
        <v>2.5</v>
      </c>
      <c r="AH26" s="41">
        <v>1.2</v>
      </c>
      <c r="AI26" s="34">
        <f t="shared" si="11"/>
        <v>0.5</v>
      </c>
      <c r="AJ26" s="2">
        <f>IF(VLOOKUP(AA26,坦克个性化设定!$B$51:$T$81,9,FALSE)=0,VLOOKUP(AA26,坦克个性化设定!$B$51:$T$81,10,FALSE),VLOOKUP(AA26,坦克个性化设定!$B$51:$T$81,9,FALSE))</f>
        <v>6</v>
      </c>
      <c r="AK26" s="2" t="str">
        <f>IF(LEN(VLOOKUP(AA26,坦克个性化设定!$B$18:$F$48,5,FALSE))=5,"单发",RIGHT(VLOOKUP(AA26,坦克个性化设定!$B$18:$F$48,5,FALSE),2))</f>
        <v>单发</v>
      </c>
      <c r="AL26" s="34">
        <f t="shared" si="5"/>
        <v>12.649999999999999</v>
      </c>
      <c r="AM26" s="34">
        <f t="shared" si="12"/>
        <v>0</v>
      </c>
      <c r="AN26" s="34">
        <f t="shared" si="13"/>
        <v>5.1502145922746791</v>
      </c>
      <c r="AO26" s="34">
        <f t="shared" si="6"/>
        <v>0.14163090128755348</v>
      </c>
      <c r="AP26" s="34">
        <f t="shared" si="14"/>
        <v>0.84978540772532085</v>
      </c>
    </row>
    <row r="27" spans="5:42" x14ac:dyDescent="0.3">
      <c r="E27" s="2" t="s">
        <v>538</v>
      </c>
      <c r="F27" s="2">
        <f>VLOOKUP($E27,坦克个性化设定!$B$51:$T$81,MATCH(F$3,坦克个性化设定!$B$51:$T$51,0),FALSE)</f>
        <v>6</v>
      </c>
      <c r="G27" s="2">
        <f>VLOOKUP($E27,坦克个性化设定!$B$51:$T$81,MATCH(G$3,坦克个性化设定!$B$51:$T$51,0),FALSE)</f>
        <v>0</v>
      </c>
      <c r="I27" s="2" t="s">
        <v>538</v>
      </c>
      <c r="J27" s="21" t="s">
        <v>182</v>
      </c>
      <c r="K27" s="2">
        <f>ROUND(VLOOKUP(I27,坦克个性化设定!$G$84:$T$114,MATCH(K$3,坦克个性化设定!$G$84:$T$84,0),FALSE)*VLOOKUP(J27,$B$3:$C$6,2,FALSE),1)</f>
        <v>30.7</v>
      </c>
      <c r="L27" s="2">
        <f>K27/坦克个性化设定!$M$4*坦克个性化设定!$M$5</f>
        <v>7.674999999999998</v>
      </c>
      <c r="M27" s="2">
        <f>ROUND(VLOOKUP(I27,坦克个性化设定!$G$84:$T$114,MATCH(M$3,坦克个性化设定!$G$84:$T$84,0),FALSE)*VLOOKUP(J27,$B$3:$C$6,2,FALSE),1)</f>
        <v>33.6</v>
      </c>
      <c r="N27" s="2">
        <f>M27/坦克个性化设定!$M$4*坦克个性化设定!$M$5</f>
        <v>8.3999999999999986</v>
      </c>
      <c r="O27" s="2">
        <f>ROUND(VLOOKUP(I27,坦克个性化设定!$G$84:$T$114,MATCH(O$3,坦克个性化设定!$G$84:$T$84,0),FALSE)*VLOOKUP(J27,$B$3:$C$6,2,FALSE),1)</f>
        <v>6.3</v>
      </c>
      <c r="P27" s="2">
        <f t="shared" si="7"/>
        <v>0</v>
      </c>
      <c r="R27" s="2" t="str">
        <f t="shared" si="8"/>
        <v>黑豹</v>
      </c>
      <c r="S27" s="2">
        <f>VLOOKUP($R27,坦克个性化设定!$B$51:$T$81,MATCH(S$3,坦克个性化设定!$B$51:$T$51,0),FALSE)</f>
        <v>1</v>
      </c>
      <c r="T27" s="2">
        <f>VLOOKUP($R27,坦克个性化设定!$B$51:$T$81,MATCH(T$3,坦克个性化设定!$B$51:$T$51,0),FALSE)</f>
        <v>6</v>
      </c>
      <c r="U27" s="2">
        <f>VLOOKUP($R27,坦克个性化设定!$B$51:$T$81,MATCH(U$3,坦克个性化设定!$B$51:$T$51,0),FALSE)</f>
        <v>0</v>
      </c>
      <c r="V27" s="2">
        <f>VLOOKUP($R27,坦克个性化设定!$B$51:$T$81,MATCH(V$3,坦克个性化设定!$B$51:$T$51,0),FALSE)</f>
        <v>0</v>
      </c>
      <c r="W27" s="2">
        <f>VLOOKUP($R27,坦克个性化设定!$B$51:$T$81,MATCH(W$3,坦克个性化设定!$B$51:$T$51,0),FALSE)</f>
        <v>3</v>
      </c>
      <c r="X27" s="2">
        <f>VLOOKUP($R27,坦克个性化设定!$B$51:$T$81,MATCH(X$3,坦克个性化设定!$B$51:$T$51,0),FALSE)</f>
        <v>1</v>
      </c>
      <c r="Y27" s="34">
        <f>VLOOKUP($R27,坦克个性化设定!$B$51:$T$81,MATCH(Y$3,坦克个性化设定!$B$51:$T$51,0),FALSE)</f>
        <v>11</v>
      </c>
      <c r="AA27" s="2" t="str">
        <f t="shared" si="0"/>
        <v>黑豹</v>
      </c>
      <c r="AB27" s="2">
        <f t="shared" si="1"/>
        <v>1</v>
      </c>
      <c r="AC27" s="2">
        <f t="shared" si="2"/>
        <v>0</v>
      </c>
      <c r="AD27" s="2">
        <f t="shared" si="3"/>
        <v>3</v>
      </c>
      <c r="AE27" s="2">
        <f t="shared" si="4"/>
        <v>1</v>
      </c>
      <c r="AF27" s="34">
        <f t="shared" si="9"/>
        <v>1.2</v>
      </c>
      <c r="AG27" s="34">
        <f t="shared" si="10"/>
        <v>2.5</v>
      </c>
      <c r="AH27" s="41">
        <v>1.2</v>
      </c>
      <c r="AI27" s="34">
        <f t="shared" si="11"/>
        <v>0.5</v>
      </c>
      <c r="AJ27" s="2">
        <f>IF(VLOOKUP(AA27,坦克个性化设定!$B$51:$T$81,9,FALSE)=0,VLOOKUP(AA27,坦克个性化设定!$B$51:$T$81,10,FALSE),VLOOKUP(AA27,坦克个性化设定!$B$51:$T$81,9,FALSE))</f>
        <v>6</v>
      </c>
      <c r="AK27" s="2" t="str">
        <f>IF(LEN(VLOOKUP(AA27,坦克个性化设定!$B$18:$F$48,5,FALSE))=5,"单发",RIGHT(VLOOKUP(AA27,坦克个性化设定!$B$18:$F$48,5,FALSE),2))</f>
        <v>单发</v>
      </c>
      <c r="AL27" s="34">
        <f t="shared" si="5"/>
        <v>12.649999999999999</v>
      </c>
      <c r="AM27" s="34">
        <f t="shared" si="12"/>
        <v>0</v>
      </c>
      <c r="AN27" s="34">
        <f t="shared" si="13"/>
        <v>5.1502145922746791</v>
      </c>
      <c r="AO27" s="34">
        <f t="shared" si="6"/>
        <v>0.14163090128755348</v>
      </c>
      <c r="AP27" s="34">
        <f t="shared" si="14"/>
        <v>0.84978540772532085</v>
      </c>
    </row>
    <row r="28" spans="5:42" x14ac:dyDescent="0.3">
      <c r="E28" s="2" t="s">
        <v>658</v>
      </c>
      <c r="F28" s="2">
        <f>VLOOKUP($E28,坦克个性化设定!$B$51:$T$81,MATCH(F$3,坦克个性化设定!$B$51:$T$51,0),FALSE)</f>
        <v>6</v>
      </c>
      <c r="G28" s="2">
        <f>VLOOKUP($E28,坦克个性化设定!$B$51:$T$81,MATCH(G$3,坦克个性化设定!$B$51:$T$51,0),FALSE)</f>
        <v>0</v>
      </c>
      <c r="I28" s="2" t="s">
        <v>658</v>
      </c>
      <c r="J28" s="21" t="s">
        <v>184</v>
      </c>
      <c r="K28" s="2">
        <f>ROUND(VLOOKUP(I28,坦克个性化设定!$G$84:$T$114,MATCH(K$3,坦克个性化设定!$G$84:$T$84,0),FALSE)*VLOOKUP(J28,$B$3:$C$6,2,FALSE),1)</f>
        <v>31.3</v>
      </c>
      <c r="L28" s="2">
        <f>K28/坦克个性化设定!$M$4*坦克个性化设定!$M$5</f>
        <v>7.8249999999999984</v>
      </c>
      <c r="M28" s="2">
        <f>ROUND(VLOOKUP(I28,坦克个性化设定!$G$84:$T$114,MATCH(M$3,坦克个性化设定!$G$84:$T$84,0),FALSE)*VLOOKUP(J28,$B$3:$C$6,2,FALSE),1)</f>
        <v>35.700000000000003</v>
      </c>
      <c r="N28" s="2">
        <f>M28/坦克个性化设定!$M$4*坦克个性化设定!$M$5</f>
        <v>8.9249999999999972</v>
      </c>
      <c r="O28" s="2">
        <f>ROUND(VLOOKUP(I28,坦克个性化设定!$G$84:$T$114,MATCH(O$3,坦克个性化设定!$G$84:$T$84,0),FALSE)*VLOOKUP(J28,$B$3:$C$6,2,FALSE),1)</f>
        <v>6.4</v>
      </c>
      <c r="P28" s="2">
        <f t="shared" si="7"/>
        <v>0</v>
      </c>
      <c r="R28" s="2" t="str">
        <f t="shared" si="8"/>
        <v>虎式</v>
      </c>
      <c r="S28" s="2">
        <f>VLOOKUP($R28,坦克个性化设定!$B$51:$T$81,MATCH(S$3,坦克个性化设定!$B$51:$T$51,0),FALSE)</f>
        <v>1</v>
      </c>
      <c r="T28" s="2">
        <f>VLOOKUP($R28,坦克个性化设定!$B$51:$T$81,MATCH(T$3,坦克个性化设定!$B$51:$T$51,0),FALSE)</f>
        <v>6</v>
      </c>
      <c r="U28" s="2">
        <f>VLOOKUP($R28,坦克个性化设定!$B$51:$T$81,MATCH(U$3,坦克个性化设定!$B$51:$T$51,0),FALSE)</f>
        <v>0</v>
      </c>
      <c r="V28" s="2">
        <f>VLOOKUP($R28,坦克个性化设定!$B$51:$T$81,MATCH(V$3,坦克个性化设定!$B$51:$T$51,0),FALSE)</f>
        <v>0</v>
      </c>
      <c r="W28" s="2">
        <f>VLOOKUP($R28,坦克个性化设定!$B$51:$T$81,MATCH(W$3,坦克个性化设定!$B$51:$T$51,0),FALSE)</f>
        <v>3</v>
      </c>
      <c r="X28" s="2">
        <f>VLOOKUP($R28,坦克个性化设定!$B$51:$T$81,MATCH(X$3,坦克个性化设定!$B$51:$T$51,0),FALSE)</f>
        <v>1</v>
      </c>
      <c r="Y28" s="34">
        <f>VLOOKUP($R28,坦克个性化设定!$B$51:$T$81,MATCH(Y$3,坦克个性化设定!$B$51:$T$51,0),FALSE)</f>
        <v>11</v>
      </c>
      <c r="AA28" s="2" t="str">
        <f t="shared" si="0"/>
        <v>虎式</v>
      </c>
      <c r="AB28" s="2">
        <f t="shared" si="1"/>
        <v>1</v>
      </c>
      <c r="AC28" s="2">
        <f t="shared" si="2"/>
        <v>0</v>
      </c>
      <c r="AD28" s="2">
        <f t="shared" si="3"/>
        <v>3</v>
      </c>
      <c r="AE28" s="2">
        <f t="shared" si="4"/>
        <v>1</v>
      </c>
      <c r="AF28" s="34">
        <f t="shared" si="9"/>
        <v>1.2</v>
      </c>
      <c r="AG28" s="34">
        <f t="shared" si="10"/>
        <v>2.5</v>
      </c>
      <c r="AH28" s="41">
        <v>1.2</v>
      </c>
      <c r="AI28" s="34">
        <f t="shared" si="11"/>
        <v>0.5</v>
      </c>
      <c r="AJ28" s="2">
        <f>IF(VLOOKUP(AA28,坦克个性化设定!$B$51:$T$81,9,FALSE)=0,VLOOKUP(AA28,坦克个性化设定!$B$51:$T$81,10,FALSE),VLOOKUP(AA28,坦克个性化设定!$B$51:$T$81,9,FALSE))</f>
        <v>6</v>
      </c>
      <c r="AK28" s="2" t="str">
        <f>IF(LEN(VLOOKUP(AA28,坦克个性化设定!$B$18:$F$48,5,FALSE))=5,"单发",RIGHT(VLOOKUP(AA28,坦克个性化设定!$B$18:$F$48,5,FALSE),2))</f>
        <v>单发</v>
      </c>
      <c r="AL28" s="34">
        <f t="shared" si="5"/>
        <v>12.649999999999999</v>
      </c>
      <c r="AM28" s="34">
        <f t="shared" si="12"/>
        <v>0</v>
      </c>
      <c r="AN28" s="34">
        <f t="shared" si="13"/>
        <v>5.1502145922746791</v>
      </c>
      <c r="AO28" s="34">
        <f t="shared" si="6"/>
        <v>0.14163090128755348</v>
      </c>
      <c r="AP28" s="34">
        <f t="shared" si="14"/>
        <v>0.84978540772532085</v>
      </c>
    </row>
    <row r="29" spans="5:42" x14ac:dyDescent="0.3">
      <c r="E29" s="2" t="s">
        <v>660</v>
      </c>
      <c r="F29" s="2">
        <f>VLOOKUP($E29,坦克个性化设定!$B$51:$T$81,MATCH(F$3,坦克个性化设定!$B$51:$T$51,0),FALSE)</f>
        <v>4.05</v>
      </c>
      <c r="G29" s="2">
        <f>VLOOKUP($E29,坦克个性化设定!$B$51:$T$81,MATCH(G$3,坦克个性化设定!$B$51:$T$51,0),FALSE)</f>
        <v>0</v>
      </c>
      <c r="I29" s="2" t="s">
        <v>660</v>
      </c>
      <c r="J29" s="21" t="s">
        <v>183</v>
      </c>
      <c r="K29" s="2">
        <f>ROUND(VLOOKUP(I29,坦克个性化设定!$G$84:$T$114,MATCH(K$3,坦克个性化设定!$G$84:$T$84,0),FALSE)*VLOOKUP(J29,$B$3:$C$6,2,FALSE),1)</f>
        <v>40.299999999999997</v>
      </c>
      <c r="L29" s="2">
        <f>K29/坦克个性化设定!$M$4*坦克个性化设定!$M$5</f>
        <v>10.074999999999996</v>
      </c>
      <c r="M29" s="2">
        <f>ROUND(VLOOKUP(I29,坦克个性化设定!$G$84:$T$114,MATCH(M$3,坦克个性化设定!$G$84:$T$84,0),FALSE)*VLOOKUP(J29,$B$3:$C$6,2,FALSE),1)</f>
        <v>29.4</v>
      </c>
      <c r="N29" s="2">
        <f>M29/坦克个性化设定!$M$4*坦克个性化设定!$M$5</f>
        <v>7.349999999999997</v>
      </c>
      <c r="O29" s="2">
        <f>ROUND(VLOOKUP(I29,坦克个性化设定!$G$84:$T$114,MATCH(O$3,坦克个性化设定!$G$84:$T$84,0),FALSE)*VLOOKUP(J29,$B$3:$C$6,2,FALSE),1)</f>
        <v>7.4</v>
      </c>
      <c r="P29" s="2">
        <f t="shared" si="7"/>
        <v>0</v>
      </c>
      <c r="R29" s="2" t="str">
        <f t="shared" si="8"/>
        <v>KV-2</v>
      </c>
      <c r="S29" s="2">
        <f>VLOOKUP($R29,坦克个性化设定!$B$51:$T$81,MATCH(S$3,坦克个性化设定!$B$51:$T$51,0),FALSE)</f>
        <v>2</v>
      </c>
      <c r="T29" s="2">
        <f>VLOOKUP($R29,坦克个性化设定!$B$51:$T$81,MATCH(T$3,坦克个性化设定!$B$51:$T$51,0),FALSE)</f>
        <v>4.05</v>
      </c>
      <c r="U29" s="2">
        <f>VLOOKUP($R29,坦克个性化设定!$B$51:$T$81,MATCH(U$3,坦克个性化设定!$B$51:$T$51,0),FALSE)</f>
        <v>0</v>
      </c>
      <c r="V29" s="2">
        <f>VLOOKUP($R29,坦克个性化设定!$B$51:$T$81,MATCH(V$3,坦克个性化设定!$B$51:$T$51,0),FALSE)</f>
        <v>2</v>
      </c>
      <c r="W29" s="2">
        <f>VLOOKUP($R29,坦克个性化设定!$B$51:$T$81,MATCH(W$3,坦克个性化设定!$B$51:$T$51,0),FALSE)</f>
        <v>2.7</v>
      </c>
      <c r="X29" s="2">
        <f>VLOOKUP($R29,坦克个性化设定!$B$51:$T$81,MATCH(X$3,坦克个性化设定!$B$51:$T$51,0),FALSE)</f>
        <v>1.2</v>
      </c>
      <c r="Y29" s="34">
        <f>VLOOKUP($R29,坦克个性化设定!$B$51:$T$81,MATCH(Y$3,坦克个性化设定!$B$51:$T$51,0),FALSE)</f>
        <v>16.814814814814817</v>
      </c>
      <c r="AA29" s="2" t="str">
        <f t="shared" si="0"/>
        <v>KV-2</v>
      </c>
      <c r="AB29" s="2">
        <f t="shared" si="1"/>
        <v>2</v>
      </c>
      <c r="AC29" s="2">
        <f t="shared" si="2"/>
        <v>2</v>
      </c>
      <c r="AD29" s="2">
        <f t="shared" si="3"/>
        <v>2.7</v>
      </c>
      <c r="AE29" s="2">
        <f t="shared" si="4"/>
        <v>1.2</v>
      </c>
      <c r="AF29" s="34">
        <f t="shared" si="9"/>
        <v>1.44</v>
      </c>
      <c r="AG29" s="34">
        <f t="shared" si="10"/>
        <v>1.8750000000000002</v>
      </c>
      <c r="AH29" s="41">
        <v>1.2</v>
      </c>
      <c r="AI29" s="34">
        <f t="shared" si="11"/>
        <v>0.37500000000000022</v>
      </c>
      <c r="AJ29" s="2">
        <f>IF(VLOOKUP(AA29,坦克个性化设定!$B$51:$T$81,9,FALSE)=0,VLOOKUP(AA29,坦克个性化设定!$B$51:$T$81,10,FALSE),VLOOKUP(AA29,坦克个性化设定!$B$51:$T$81,9,FALSE))</f>
        <v>4.05</v>
      </c>
      <c r="AK29" s="2" t="str">
        <f>IF(LEN(VLOOKUP(AA29,坦克个性化设定!$B$18:$F$48,5,FALSE))=5,"单发",RIGHT(VLOOKUP(AA29,坦克个性化设定!$B$18:$F$48,5,FALSE),2))</f>
        <v>自动</v>
      </c>
      <c r="AL29" s="34">
        <f t="shared" si="5"/>
        <v>19.337037037037039</v>
      </c>
      <c r="AM29" s="34">
        <f t="shared" si="12"/>
        <v>2</v>
      </c>
      <c r="AN29" s="34">
        <f t="shared" si="13"/>
        <v>3.4607989745780814</v>
      </c>
      <c r="AO29" s="34">
        <f t="shared" si="6"/>
        <v>0.14548173467207864</v>
      </c>
      <c r="AP29" s="34">
        <f t="shared" si="14"/>
        <v>0.58920102542191843</v>
      </c>
    </row>
    <row r="30" spans="5:42" x14ac:dyDescent="0.3">
      <c r="E30" s="2" t="s">
        <v>662</v>
      </c>
      <c r="F30" s="2">
        <f>VLOOKUP($E30,坦克个性化设定!$B$51:$T$81,MATCH(F$3,坦克个性化设定!$B$51:$T$51,0),FALSE)</f>
        <v>6</v>
      </c>
      <c r="G30" s="2">
        <f>VLOOKUP($E30,坦克个性化设定!$B$51:$T$81,MATCH(G$3,坦克个性化设定!$B$51:$T$51,0),FALSE)</f>
        <v>0</v>
      </c>
      <c r="I30" s="2" t="s">
        <v>662</v>
      </c>
      <c r="J30" s="21" t="s">
        <v>182</v>
      </c>
      <c r="K30" s="2">
        <f>ROUND(VLOOKUP(I30,坦克个性化设定!$G$84:$T$114,MATCH(K$3,坦克个性化设定!$G$84:$T$84,0),FALSE)*VLOOKUP(J30,$B$3:$C$6,2,FALSE),1)</f>
        <v>30.7</v>
      </c>
      <c r="L30" s="2">
        <f>K30/坦克个性化设定!$M$4*坦克个性化设定!$M$5</f>
        <v>7.674999999999998</v>
      </c>
      <c r="M30" s="2">
        <f>ROUND(VLOOKUP(I30,坦克个性化设定!$G$84:$T$114,MATCH(M$3,坦克个性化设定!$G$84:$T$84,0),FALSE)*VLOOKUP(J30,$B$3:$C$6,2,FALSE),1)</f>
        <v>35</v>
      </c>
      <c r="N30" s="2">
        <f>M30/坦克个性化设定!$M$4*坦克个性化设定!$M$5</f>
        <v>8.7499999999999982</v>
      </c>
      <c r="O30" s="2">
        <f>ROUND(VLOOKUP(I30,坦克个性化设定!$G$84:$T$114,MATCH(O$3,坦克个性化设定!$G$84:$T$84,0),FALSE)*VLOOKUP(J30,$B$3:$C$6,2,FALSE),1)</f>
        <v>6.3</v>
      </c>
      <c r="P30" s="2">
        <f t="shared" si="7"/>
        <v>0</v>
      </c>
      <c r="R30" s="2" t="str">
        <f t="shared" si="8"/>
        <v>征服者</v>
      </c>
      <c r="S30" s="2">
        <f>VLOOKUP($R30,坦克个性化设定!$B$51:$T$81,MATCH(S$3,坦克个性化设定!$B$51:$T$51,0),FALSE)</f>
        <v>1</v>
      </c>
      <c r="T30" s="2">
        <f>VLOOKUP($R30,坦克个性化设定!$B$51:$T$81,MATCH(T$3,坦克个性化设定!$B$51:$T$51,0),FALSE)</f>
        <v>6</v>
      </c>
      <c r="U30" s="2">
        <f>VLOOKUP($R30,坦克个性化设定!$B$51:$T$81,MATCH(U$3,坦克个性化设定!$B$51:$T$51,0),FALSE)</f>
        <v>0</v>
      </c>
      <c r="V30" s="2">
        <f>VLOOKUP($R30,坦克个性化设定!$B$51:$T$81,MATCH(V$3,坦克个性化设定!$B$51:$T$51,0),FALSE)</f>
        <v>0</v>
      </c>
      <c r="W30" s="2">
        <f>VLOOKUP($R30,坦克个性化设定!$B$51:$T$81,MATCH(W$3,坦克个性化设定!$B$51:$T$51,0),FALSE)</f>
        <v>3</v>
      </c>
      <c r="X30" s="2">
        <f>VLOOKUP($R30,坦克个性化设定!$B$51:$T$81,MATCH(X$3,坦克个性化设定!$B$51:$T$51,0),FALSE)</f>
        <v>1</v>
      </c>
      <c r="Y30" s="34">
        <f>VLOOKUP($R30,坦克个性化设定!$B$51:$T$81,MATCH(Y$3,坦克个性化设定!$B$51:$T$51,0),FALSE)</f>
        <v>11</v>
      </c>
      <c r="AA30" s="2" t="str">
        <f t="shared" si="0"/>
        <v>征服者</v>
      </c>
      <c r="AB30" s="2">
        <f t="shared" si="1"/>
        <v>1</v>
      </c>
      <c r="AC30" s="2">
        <f t="shared" si="2"/>
        <v>0</v>
      </c>
      <c r="AD30" s="2">
        <f t="shared" si="3"/>
        <v>3</v>
      </c>
      <c r="AE30" s="2">
        <f t="shared" si="4"/>
        <v>1</v>
      </c>
      <c r="AF30" s="34">
        <f t="shared" si="9"/>
        <v>1.2</v>
      </c>
      <c r="AG30" s="34">
        <f t="shared" si="10"/>
        <v>2.5</v>
      </c>
      <c r="AH30" s="41">
        <v>1.2</v>
      </c>
      <c r="AI30" s="34">
        <f t="shared" si="11"/>
        <v>0.5</v>
      </c>
      <c r="AJ30" s="2">
        <f>IF(VLOOKUP(AA30,坦克个性化设定!$B$51:$T$81,9,FALSE)=0,VLOOKUP(AA30,坦克个性化设定!$B$51:$T$81,10,FALSE),VLOOKUP(AA30,坦克个性化设定!$B$51:$T$81,9,FALSE))</f>
        <v>6</v>
      </c>
      <c r="AK30" s="2" t="str">
        <f>IF(LEN(VLOOKUP(AA30,坦克个性化设定!$B$18:$F$48,5,FALSE))=5,"单发",RIGHT(VLOOKUP(AA30,坦克个性化设定!$B$18:$F$48,5,FALSE),2))</f>
        <v>单发</v>
      </c>
      <c r="AL30" s="34">
        <f t="shared" si="5"/>
        <v>12.649999999999999</v>
      </c>
      <c r="AM30" s="34">
        <f t="shared" si="12"/>
        <v>0</v>
      </c>
      <c r="AN30" s="34">
        <f t="shared" si="13"/>
        <v>5.1502145922746791</v>
      </c>
      <c r="AO30" s="34">
        <f t="shared" si="6"/>
        <v>0.14163090128755348</v>
      </c>
      <c r="AP30" s="34">
        <f t="shared" si="14"/>
        <v>0.84978540772532085</v>
      </c>
    </row>
    <row r="31" spans="5:42" x14ac:dyDescent="0.3">
      <c r="E31" s="2" t="s">
        <v>664</v>
      </c>
      <c r="F31" s="2">
        <f>VLOOKUP($E31,坦克个性化设定!$B$51:$T$81,MATCH(F$3,坦克个性化设定!$B$51:$T$51,0),FALSE)</f>
        <v>4.5</v>
      </c>
      <c r="G31" s="2">
        <f>VLOOKUP($E31,坦克个性化设定!$B$51:$T$81,MATCH(G$3,坦克个性化设定!$B$51:$T$51,0),FALSE)</f>
        <v>0</v>
      </c>
      <c r="I31" s="2" t="s">
        <v>664</v>
      </c>
      <c r="J31" s="21" t="s">
        <v>184</v>
      </c>
      <c r="K31" s="2">
        <f>ROUND(VLOOKUP(I31,坦克个性化设定!$G$84:$T$114,MATCH(K$3,坦克个性化设定!$G$84:$T$84,0),FALSE)*VLOOKUP(J31,$B$3:$C$6,2,FALSE),1)</f>
        <v>31.3</v>
      </c>
      <c r="L31" s="2">
        <f>K31/坦克个性化设定!$M$4*坦克个性化设定!$M$5</f>
        <v>7.8249999999999984</v>
      </c>
      <c r="M31" s="2">
        <f>ROUND(VLOOKUP(I31,坦克个性化设定!$G$84:$T$114,MATCH(M$3,坦克个性化设定!$G$84:$T$84,0),FALSE)*VLOOKUP(J31,$B$3:$C$6,2,FALSE),1)</f>
        <v>35.700000000000003</v>
      </c>
      <c r="N31" s="2">
        <f>M31/坦克个性化设定!$M$4*坦克个性化设定!$M$5</f>
        <v>8.9249999999999972</v>
      </c>
      <c r="O31" s="2">
        <f>ROUND(VLOOKUP(I31,坦克个性化设定!$G$84:$T$114,MATCH(O$3,坦克个性化设定!$G$84:$T$84,0),FALSE)*VLOOKUP(J31,$B$3:$C$6,2,FALSE),1)</f>
        <v>6.4</v>
      </c>
      <c r="P31" s="2">
        <f t="shared" si="7"/>
        <v>0</v>
      </c>
      <c r="R31" s="2" t="str">
        <f t="shared" si="8"/>
        <v>IS-4</v>
      </c>
      <c r="S31" s="2">
        <f>VLOOKUP($R31,坦克个性化设定!$B$51:$T$81,MATCH(S$3,坦克个性化设定!$B$51:$T$51,0),FALSE)</f>
        <v>2</v>
      </c>
      <c r="T31" s="2">
        <f>VLOOKUP($R31,坦克个性化设定!$B$51:$T$81,MATCH(T$3,坦克个性化设定!$B$51:$T$51,0),FALSE)</f>
        <v>4.5</v>
      </c>
      <c r="U31" s="2">
        <f>VLOOKUP($R31,坦克个性化设定!$B$51:$T$81,MATCH(U$3,坦克个性化设定!$B$51:$T$51,0),FALSE)</f>
        <v>0</v>
      </c>
      <c r="V31" s="2">
        <f>VLOOKUP($R31,坦克个性化设定!$B$51:$T$81,MATCH(V$3,坦克个性化设定!$B$51:$T$51,0),FALSE)</f>
        <v>2</v>
      </c>
      <c r="W31" s="2">
        <f>VLOOKUP($R31,坦克个性化设定!$B$51:$T$81,MATCH(W$3,坦克个性化设定!$B$51:$T$51,0),FALSE)</f>
        <v>2.7</v>
      </c>
      <c r="X31" s="2">
        <f>VLOOKUP($R31,坦克个性化设定!$B$51:$T$81,MATCH(X$3,坦克个性化设定!$B$51:$T$51,0),FALSE)</f>
        <v>1.2</v>
      </c>
      <c r="Y31" s="34">
        <f>VLOOKUP($R31,坦克个性化设定!$B$51:$T$81,MATCH(Y$3,坦克个性化设定!$B$51:$T$51,0),FALSE)</f>
        <v>15.333333333333334</v>
      </c>
      <c r="AA31" s="2" t="str">
        <f t="shared" si="0"/>
        <v>IS-4</v>
      </c>
      <c r="AB31" s="2">
        <f t="shared" si="1"/>
        <v>2</v>
      </c>
      <c r="AC31" s="2">
        <f t="shared" si="2"/>
        <v>2</v>
      </c>
      <c r="AD31" s="2">
        <f t="shared" si="3"/>
        <v>2.7</v>
      </c>
      <c r="AE31" s="2">
        <f t="shared" si="4"/>
        <v>1.2</v>
      </c>
      <c r="AF31" s="34">
        <f t="shared" si="9"/>
        <v>1.44</v>
      </c>
      <c r="AG31" s="34">
        <f t="shared" si="10"/>
        <v>1.8750000000000002</v>
      </c>
      <c r="AH31" s="41">
        <v>1.2</v>
      </c>
      <c r="AI31" s="34">
        <f t="shared" si="11"/>
        <v>0.37500000000000022</v>
      </c>
      <c r="AJ31" s="2">
        <f>IF(VLOOKUP(AA31,坦克个性化设定!$B$51:$T$81,9,FALSE)=0,VLOOKUP(AA31,坦克个性化设定!$B$51:$T$81,10,FALSE),VLOOKUP(AA31,坦克个性化设定!$B$51:$T$81,9,FALSE))</f>
        <v>4.5</v>
      </c>
      <c r="AK31" s="2" t="str">
        <f>IF(LEN(VLOOKUP(AA31,坦克个性化设定!$B$18:$F$48,5,FALSE))=5,"单发",RIGHT(VLOOKUP(AA31,坦克个性化设定!$B$18:$F$48,5,FALSE),2))</f>
        <v>自动</v>
      </c>
      <c r="AL31" s="34">
        <f t="shared" si="5"/>
        <v>17.633333333333333</v>
      </c>
      <c r="AM31" s="34">
        <f t="shared" si="12"/>
        <v>2</v>
      </c>
      <c r="AN31" s="34">
        <f t="shared" si="13"/>
        <v>3.8379530916844349</v>
      </c>
      <c r="AO31" s="34">
        <f t="shared" si="6"/>
        <v>0.14712153518123669</v>
      </c>
      <c r="AP31" s="34">
        <f t="shared" si="14"/>
        <v>0.66204690831556512</v>
      </c>
    </row>
    <row r="32" spans="5:42" x14ac:dyDescent="0.3">
      <c r="E32" s="2" t="s">
        <v>666</v>
      </c>
      <c r="F32" s="2">
        <f>VLOOKUP($E32,坦克个性化设定!$B$51:$T$81,MATCH(F$3,坦克个性化设定!$B$51:$T$51,0),FALSE)</f>
        <v>6</v>
      </c>
      <c r="G32" s="2">
        <f>VLOOKUP($E32,坦克个性化设定!$B$51:$T$81,MATCH(G$3,坦克个性化设定!$B$51:$T$51,0),FALSE)</f>
        <v>0</v>
      </c>
      <c r="I32" s="2" t="s">
        <v>666</v>
      </c>
      <c r="J32" s="21" t="s">
        <v>183</v>
      </c>
      <c r="K32" s="2">
        <f>ROUND(VLOOKUP(I32,坦克个性化设定!$G$84:$T$114,MATCH(K$3,坦克个性化设定!$G$84:$T$84,0),FALSE)*VLOOKUP(J32,$B$3:$C$6,2,FALSE),1)</f>
        <v>32.200000000000003</v>
      </c>
      <c r="L32" s="2">
        <f>K32/坦克个性化设定!$M$4*坦克个性化设定!$M$5</f>
        <v>8.0499999999999989</v>
      </c>
      <c r="M32" s="2">
        <f>ROUND(VLOOKUP(I32,坦克个性化设定!$G$84:$T$114,MATCH(M$3,坦克个性化设定!$G$84:$T$84,0),FALSE)*VLOOKUP(J32,$B$3:$C$6,2,FALSE),1)</f>
        <v>36.799999999999997</v>
      </c>
      <c r="N32" s="2">
        <f>M32/坦克个性化设定!$M$4*坦克个性化设定!$M$5</f>
        <v>9.1999999999999957</v>
      </c>
      <c r="O32" s="2">
        <f>ROUND(VLOOKUP(I32,坦克个性化设定!$G$84:$T$114,MATCH(O$3,坦克个性化设定!$G$84:$T$84,0),FALSE)*VLOOKUP(J32,$B$3:$C$6,2,FALSE),1)</f>
        <v>6.6</v>
      </c>
      <c r="P32" s="2">
        <f t="shared" si="7"/>
        <v>0</v>
      </c>
      <c r="R32" s="2" t="str">
        <f t="shared" si="8"/>
        <v>T-32</v>
      </c>
      <c r="S32" s="2">
        <f>VLOOKUP($R32,坦克个性化设定!$B$51:$T$81,MATCH(S$3,坦克个性化设定!$B$51:$T$51,0),FALSE)</f>
        <v>1</v>
      </c>
      <c r="T32" s="2">
        <f>VLOOKUP($R32,坦克个性化设定!$B$51:$T$81,MATCH(T$3,坦克个性化设定!$B$51:$T$51,0),FALSE)</f>
        <v>6</v>
      </c>
      <c r="U32" s="2">
        <f>VLOOKUP($R32,坦克个性化设定!$B$51:$T$81,MATCH(U$3,坦克个性化设定!$B$51:$T$51,0),FALSE)</f>
        <v>0</v>
      </c>
      <c r="V32" s="2">
        <f>VLOOKUP($R32,坦克个性化设定!$B$51:$T$81,MATCH(V$3,坦克个性化设定!$B$51:$T$51,0),FALSE)</f>
        <v>0</v>
      </c>
      <c r="W32" s="2">
        <f>VLOOKUP($R32,坦克个性化设定!$B$51:$T$81,MATCH(W$3,坦克个性化设定!$B$51:$T$51,0),FALSE)</f>
        <v>3</v>
      </c>
      <c r="X32" s="2">
        <f>VLOOKUP($R32,坦克个性化设定!$B$51:$T$81,MATCH(X$3,坦克个性化设定!$B$51:$T$51,0),FALSE)</f>
        <v>1</v>
      </c>
      <c r="Y32" s="34">
        <f>VLOOKUP($R32,坦克个性化设定!$B$51:$T$81,MATCH(Y$3,坦克个性化设定!$B$51:$T$51,0),FALSE)</f>
        <v>11</v>
      </c>
      <c r="AA32" s="2" t="str">
        <f t="shared" si="0"/>
        <v>T-32</v>
      </c>
      <c r="AB32" s="2">
        <f t="shared" si="1"/>
        <v>1</v>
      </c>
      <c r="AC32" s="2">
        <f t="shared" si="2"/>
        <v>0</v>
      </c>
      <c r="AD32" s="2">
        <f t="shared" si="3"/>
        <v>3</v>
      </c>
      <c r="AE32" s="2">
        <f t="shared" si="4"/>
        <v>1</v>
      </c>
      <c r="AF32" s="34">
        <f t="shared" si="9"/>
        <v>1.2</v>
      </c>
      <c r="AG32" s="34">
        <f t="shared" si="10"/>
        <v>2.5</v>
      </c>
      <c r="AH32" s="41">
        <v>1.2</v>
      </c>
      <c r="AI32" s="34">
        <f t="shared" si="11"/>
        <v>0.5</v>
      </c>
      <c r="AJ32" s="2">
        <f>IF(VLOOKUP(AA32,坦克个性化设定!$B$51:$T$81,9,FALSE)=0,VLOOKUP(AA32,坦克个性化设定!$B$51:$T$81,10,FALSE),VLOOKUP(AA32,坦克个性化设定!$B$51:$T$81,9,FALSE))</f>
        <v>6</v>
      </c>
      <c r="AK32" s="2" t="str">
        <f>IF(LEN(VLOOKUP(AA32,坦克个性化设定!$B$18:$F$48,5,FALSE))=5,"单发",RIGHT(VLOOKUP(AA32,坦克个性化设定!$B$18:$F$48,5,FALSE),2))</f>
        <v>单发</v>
      </c>
      <c r="AL32" s="34">
        <f t="shared" si="5"/>
        <v>12.649999999999999</v>
      </c>
      <c r="AM32" s="34">
        <f t="shared" si="12"/>
        <v>0</v>
      </c>
      <c r="AN32" s="34">
        <f t="shared" si="13"/>
        <v>5.1502145922746791</v>
      </c>
      <c r="AO32" s="34">
        <f t="shared" si="6"/>
        <v>0.14163090128755348</v>
      </c>
      <c r="AP32" s="34">
        <f t="shared" si="14"/>
        <v>0.84978540772532085</v>
      </c>
    </row>
    <row r="33" spans="5:42" x14ac:dyDescent="0.3">
      <c r="E33" s="2" t="s">
        <v>668</v>
      </c>
      <c r="F33" s="2">
        <f>VLOOKUP($E33,坦克个性化设定!$B$51:$T$81,MATCH(F$3,坦克个性化设定!$B$51:$T$51,0),FALSE)</f>
        <v>6</v>
      </c>
      <c r="G33" s="2">
        <f>VLOOKUP($E33,坦克个性化设定!$B$51:$T$81,MATCH(G$3,坦克个性化设定!$B$51:$T$51,0),FALSE)</f>
        <v>0</v>
      </c>
      <c r="I33" s="2" t="s">
        <v>668</v>
      </c>
      <c r="J33" s="21" t="s">
        <v>182</v>
      </c>
      <c r="K33" s="2">
        <f>ROUND(VLOOKUP(I33,坦克个性化设定!$G$84:$T$114,MATCH(K$3,坦克个性化设定!$G$84:$T$84,0),FALSE)*VLOOKUP(J33,$B$3:$C$6,2,FALSE),1)</f>
        <v>30.7</v>
      </c>
      <c r="L33" s="2">
        <f>K33/坦克个性化设定!$M$4*坦克个性化设定!$M$5</f>
        <v>7.674999999999998</v>
      </c>
      <c r="M33" s="2">
        <f>ROUND(VLOOKUP(I33,坦克个性化设定!$G$84:$T$114,MATCH(M$3,坦克个性化设定!$G$84:$T$84,0),FALSE)*VLOOKUP(J33,$B$3:$C$6,2,FALSE),1)</f>
        <v>35</v>
      </c>
      <c r="N33" s="2">
        <f>M33/坦克个性化设定!$M$4*坦克个性化设定!$M$5</f>
        <v>8.7499999999999982</v>
      </c>
      <c r="O33" s="2">
        <f>ROUND(VLOOKUP(I33,坦克个性化设定!$G$84:$T$114,MATCH(O$3,坦克个性化设定!$G$84:$T$84,0),FALSE)*VLOOKUP(J33,$B$3:$C$6,2,FALSE),1)</f>
        <v>6.3</v>
      </c>
      <c r="P33" s="2">
        <f t="shared" si="7"/>
        <v>0</v>
      </c>
      <c r="R33" s="2" t="str">
        <f t="shared" si="8"/>
        <v>M1A2</v>
      </c>
      <c r="S33" s="2">
        <f>VLOOKUP($R33,坦克个性化设定!$B$51:$T$81,MATCH(S$3,坦克个性化设定!$B$51:$T$51,0),FALSE)</f>
        <v>1</v>
      </c>
      <c r="T33" s="2">
        <f>VLOOKUP($R33,坦克个性化设定!$B$51:$T$81,MATCH(T$3,坦克个性化设定!$B$51:$T$51,0),FALSE)</f>
        <v>6</v>
      </c>
      <c r="U33" s="2">
        <f>VLOOKUP($R33,坦克个性化设定!$B$51:$T$81,MATCH(U$3,坦克个性化设定!$B$51:$T$51,0),FALSE)</f>
        <v>0</v>
      </c>
      <c r="V33" s="2">
        <f>VLOOKUP($R33,坦克个性化设定!$B$51:$T$81,MATCH(V$3,坦克个性化设定!$B$51:$T$51,0),FALSE)</f>
        <v>0</v>
      </c>
      <c r="W33" s="2">
        <f>VLOOKUP($R33,坦克个性化设定!$B$51:$T$81,MATCH(W$3,坦克个性化设定!$B$51:$T$51,0),FALSE)</f>
        <v>3</v>
      </c>
      <c r="X33" s="2">
        <f>VLOOKUP($R33,坦克个性化设定!$B$51:$T$81,MATCH(X$3,坦克个性化设定!$B$51:$T$51,0),FALSE)</f>
        <v>1</v>
      </c>
      <c r="Y33" s="34">
        <f>VLOOKUP($R33,坦克个性化设定!$B$51:$T$81,MATCH(Y$3,坦克个性化设定!$B$51:$T$51,0),FALSE)</f>
        <v>11</v>
      </c>
      <c r="AA33" s="2" t="str">
        <f t="shared" si="0"/>
        <v>M1A2</v>
      </c>
      <c r="AB33" s="2">
        <f t="shared" si="1"/>
        <v>1</v>
      </c>
      <c r="AC33" s="2">
        <f t="shared" si="2"/>
        <v>0</v>
      </c>
      <c r="AD33" s="2">
        <f t="shared" si="3"/>
        <v>3</v>
      </c>
      <c r="AE33" s="2">
        <f t="shared" si="4"/>
        <v>1</v>
      </c>
      <c r="AF33" s="34">
        <f t="shared" si="9"/>
        <v>1.2</v>
      </c>
      <c r="AG33" s="34">
        <f t="shared" si="10"/>
        <v>2.5</v>
      </c>
      <c r="AH33" s="41">
        <v>1.2</v>
      </c>
      <c r="AI33" s="34">
        <f t="shared" si="11"/>
        <v>0.5</v>
      </c>
      <c r="AJ33" s="2">
        <f>IF(VLOOKUP(AA33,坦克个性化设定!$B$51:$T$81,9,FALSE)=0,VLOOKUP(AA33,坦克个性化设定!$B$51:$T$81,10,FALSE),VLOOKUP(AA33,坦克个性化设定!$B$51:$T$81,9,FALSE))</f>
        <v>6</v>
      </c>
      <c r="AK33" s="2" t="str">
        <f>IF(LEN(VLOOKUP(AA33,坦克个性化设定!$B$18:$F$48,5,FALSE))=5,"单发",RIGHT(VLOOKUP(AA33,坦克个性化设定!$B$18:$F$48,5,FALSE),2))</f>
        <v>单发</v>
      </c>
      <c r="AL33" s="34">
        <f t="shared" si="5"/>
        <v>12.649999999999999</v>
      </c>
      <c r="AM33" s="34">
        <f t="shared" si="12"/>
        <v>0</v>
      </c>
      <c r="AN33" s="34">
        <f t="shared" si="13"/>
        <v>5.1502145922746791</v>
      </c>
      <c r="AO33" s="34">
        <f t="shared" si="6"/>
        <v>0.14163090128755348</v>
      </c>
      <c r="AP33" s="34">
        <f t="shared" si="14"/>
        <v>0.84978540772532085</v>
      </c>
    </row>
    <row r="36" spans="5:42" x14ac:dyDescent="0.3">
      <c r="AL36" s="130"/>
      <c r="AM36" s="130"/>
    </row>
  </sheetData>
  <mergeCells count="7">
    <mergeCell ref="R2:Y2"/>
    <mergeCell ref="AA2:AP2"/>
    <mergeCell ref="B8:C8"/>
    <mergeCell ref="B11:C11"/>
    <mergeCell ref="B2:C2"/>
    <mergeCell ref="E2:G2"/>
    <mergeCell ref="I2:P2"/>
  </mergeCells>
  <phoneticPr fontId="34" type="noConversion"/>
  <pageMargins left="0.7" right="0.7" top="0.75" bottom="0.75" header="0.3" footer="0.3"/>
  <ignoredErrors>
    <ignoredError sqref="O4:O33 M4:M33" formula="1"/>
  </ignoredErrors>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A33"/>
  <sheetViews>
    <sheetView workbookViewId="0">
      <pane xSplit="8" ySplit="3" topLeftCell="I4" activePane="bottomRight" state="frozen"/>
      <selection pane="topRight"/>
      <selection pane="bottomLeft"/>
      <selection pane="bottomRight" activeCell="J17" sqref="J17"/>
    </sheetView>
  </sheetViews>
  <sheetFormatPr defaultColWidth="9" defaultRowHeight="14.25" x14ac:dyDescent="0.3"/>
  <cols>
    <col min="1" max="16384" width="9" style="1"/>
  </cols>
  <sheetData>
    <row r="2" spans="2:79" ht="15.75" customHeight="1" x14ac:dyDescent="0.3">
      <c r="B2" s="262" t="s">
        <v>1216</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5"/>
      <c r="BK2" s="25"/>
      <c r="BL2" s="25"/>
      <c r="BN2" s="262" t="s">
        <v>1217</v>
      </c>
      <c r="BO2" s="262"/>
      <c r="BP2" s="262"/>
      <c r="BQ2" s="262"/>
      <c r="BR2" s="262"/>
      <c r="BS2" s="262"/>
      <c r="BT2" s="262"/>
      <c r="BU2" s="262"/>
      <c r="BV2" s="262"/>
      <c r="BW2" s="262"/>
      <c r="BX2" s="262"/>
      <c r="BY2" s="262"/>
      <c r="BZ2" s="262"/>
      <c r="CA2" s="262"/>
    </row>
    <row r="3" spans="2:79" x14ac:dyDescent="0.3">
      <c r="B3" s="2" t="s">
        <v>608</v>
      </c>
      <c r="C3" s="2" t="s">
        <v>790</v>
      </c>
      <c r="D3" s="2" t="s">
        <v>611</v>
      </c>
      <c r="E3" s="2" t="s">
        <v>602</v>
      </c>
      <c r="F3" s="2" t="s">
        <v>1112</v>
      </c>
      <c r="G3" s="2" t="s">
        <v>1113</v>
      </c>
      <c r="H3" s="2" t="s">
        <v>90</v>
      </c>
      <c r="I3" s="2" t="s">
        <v>921</v>
      </c>
      <c r="J3" s="2" t="s">
        <v>922</v>
      </c>
      <c r="K3" s="2" t="s">
        <v>1142</v>
      </c>
      <c r="L3" s="2" t="s">
        <v>1126</v>
      </c>
      <c r="M3" s="2" t="s">
        <v>1138</v>
      </c>
      <c r="N3" s="2" t="s">
        <v>1139</v>
      </c>
      <c r="O3" s="2" t="s">
        <v>1143</v>
      </c>
      <c r="P3" s="2" t="s">
        <v>1144</v>
      </c>
      <c r="Q3" s="2" t="s">
        <v>1145</v>
      </c>
      <c r="R3" s="2" t="s">
        <v>95</v>
      </c>
      <c r="S3" s="84" t="s">
        <v>1185</v>
      </c>
      <c r="T3" s="84" t="s">
        <v>1184</v>
      </c>
      <c r="U3" s="84" t="s">
        <v>1119</v>
      </c>
      <c r="V3" s="84" t="s">
        <v>178</v>
      </c>
      <c r="W3" s="2" t="s">
        <v>1127</v>
      </c>
      <c r="X3" s="84" t="s">
        <v>1125</v>
      </c>
      <c r="Y3" s="2" t="s">
        <v>1129</v>
      </c>
      <c r="Z3" s="2" t="s">
        <v>1130</v>
      </c>
      <c r="AA3" s="84" t="s">
        <v>1131</v>
      </c>
      <c r="AB3" s="2" t="s">
        <v>1135</v>
      </c>
      <c r="AC3" s="2" t="s">
        <v>1136</v>
      </c>
      <c r="AD3" s="2" t="s">
        <v>1137</v>
      </c>
      <c r="AE3" s="84" t="s">
        <v>1140</v>
      </c>
      <c r="AF3" s="2" t="s">
        <v>1141</v>
      </c>
      <c r="AG3" s="2" t="s">
        <v>1146</v>
      </c>
      <c r="AH3" s="2" t="s">
        <v>1147</v>
      </c>
      <c r="AI3" s="2" t="s">
        <v>903</v>
      </c>
      <c r="AJ3" s="2" t="s">
        <v>904</v>
      </c>
      <c r="AK3" s="2" t="s">
        <v>905</v>
      </c>
      <c r="AL3" s="2" t="s">
        <v>91</v>
      </c>
      <c r="AM3" s="2" t="s">
        <v>93</v>
      </c>
      <c r="AN3" s="2" t="s">
        <v>94</v>
      </c>
      <c r="AO3" s="84" t="s">
        <v>860</v>
      </c>
      <c r="AP3" s="2" t="s">
        <v>774</v>
      </c>
      <c r="AQ3" s="2" t="s">
        <v>775</v>
      </c>
      <c r="AR3" s="2" t="s">
        <v>776</v>
      </c>
      <c r="AS3" s="2" t="s">
        <v>77</v>
      </c>
      <c r="AT3" s="2" t="s">
        <v>130</v>
      </c>
      <c r="AU3" s="2" t="s">
        <v>777</v>
      </c>
      <c r="AV3" s="2" t="s">
        <v>1218</v>
      </c>
      <c r="AW3" s="2" t="s">
        <v>1219</v>
      </c>
      <c r="AX3" s="2" t="s">
        <v>1220</v>
      </c>
      <c r="AY3" s="2" t="s">
        <v>1221</v>
      </c>
      <c r="AZ3" s="2" t="s">
        <v>1222</v>
      </c>
      <c r="BA3" s="2" t="s">
        <v>1223</v>
      </c>
      <c r="BB3" s="2" t="s">
        <v>1224</v>
      </c>
      <c r="BC3" s="2" t="s">
        <v>926</v>
      </c>
      <c r="BD3" s="2" t="s">
        <v>927</v>
      </c>
      <c r="BE3" s="2" t="s">
        <v>928</v>
      </c>
      <c r="BF3" s="2" t="s">
        <v>929</v>
      </c>
      <c r="BG3" s="2" t="s">
        <v>930</v>
      </c>
      <c r="BH3" s="2" t="s">
        <v>931</v>
      </c>
      <c r="BI3" s="2" t="s">
        <v>932</v>
      </c>
      <c r="BJ3" s="25"/>
      <c r="BK3" s="2" t="s">
        <v>1221</v>
      </c>
      <c r="BL3" s="2" t="s">
        <v>1225</v>
      </c>
      <c r="BM3" s="1" t="s">
        <v>1226</v>
      </c>
      <c r="BN3" s="2" t="s">
        <v>282</v>
      </c>
      <c r="BO3" s="2" t="s">
        <v>790</v>
      </c>
      <c r="BP3" s="2" t="s">
        <v>790</v>
      </c>
      <c r="BQ3" s="2" t="s">
        <v>602</v>
      </c>
      <c r="BR3" s="2" t="s">
        <v>1227</v>
      </c>
      <c r="BS3" s="2" t="s">
        <v>774</v>
      </c>
      <c r="BT3" s="2" t="s">
        <v>775</v>
      </c>
      <c r="BU3" s="2" t="s">
        <v>776</v>
      </c>
      <c r="BV3" s="2" t="s">
        <v>77</v>
      </c>
      <c r="BW3" s="2" t="s">
        <v>130</v>
      </c>
      <c r="BX3" s="2" t="s">
        <v>777</v>
      </c>
      <c r="BY3" s="2" t="s">
        <v>1218</v>
      </c>
      <c r="BZ3" s="42" t="s">
        <v>1219</v>
      </c>
      <c r="CA3" s="42" t="s">
        <v>1220</v>
      </c>
    </row>
    <row r="4" spans="2:79" x14ac:dyDescent="0.3">
      <c r="B4" s="2" t="str">
        <f>坦克个性化设定!B19</f>
        <v>雷诺FT</v>
      </c>
      <c r="C4" s="2" t="str">
        <f>VLOOKUP(B4,坦克个性化设定!$B$18:$E$48,4,FALSE)</f>
        <v>T1</v>
      </c>
      <c r="D4" s="2" t="str">
        <f>坦克个性化细分!J4</f>
        <v>低</v>
      </c>
      <c r="E4" s="2" t="str">
        <f>C4&amp;D4&amp;"0"</f>
        <v>T1低0</v>
      </c>
      <c r="F4" s="2" t="str">
        <f>VLOOKUP($B4,坦克个性化设定!$B$18:$BC$48,MATCH(F$3,坦克个性化设定!$B$18:$BC$18,0),FALSE)</f>
        <v>轻坦</v>
      </c>
      <c r="G4" s="2" t="str">
        <f>VLOOKUP($B4,坦克个性化设定!$B$18:$BC$48,MATCH(G$3,坦克个性化设定!$B$18:$BC$18,0),FALSE)</f>
        <v>轻坦弹夹</v>
      </c>
      <c r="H4" s="2" t="str">
        <f>IF(LEN(G4)=5,RIGHT(G4,3)&amp;"装弹",RIGHT(G4,2)&amp;"装弹")</f>
        <v>弹夹装弹</v>
      </c>
      <c r="I4" s="2">
        <f>VLOOKUP($B4,坦克个性化设定!$B$18:$BC$48,MATCH(I$3,坦克个性化设定!$B$18:$BC$18,0),FALSE)</f>
        <v>4.74</v>
      </c>
      <c r="J4" s="2">
        <f>VLOOKUP($B4,坦克个性化设定!$B$18:$BC$48,MATCH(J$3,坦克个性化设定!$B$18:$BC$18,0),FALSE)</f>
        <v>2.11</v>
      </c>
      <c r="K4" s="2">
        <f>VLOOKUP($B4,坦克个性化设定!$B$18:$BC$48,MATCH(K$3,坦克个性化设定!$B$18:$BC$18,0),FALSE)</f>
        <v>0.3</v>
      </c>
      <c r="L4" s="34">
        <f>VLOOKUP($B4,坦克个性化设定!$B$18:$BC$48,MATCH(L$3,坦克个性化设定!$B$18:$BC$18,0),FALSE)</f>
        <v>2.1563141881038952</v>
      </c>
      <c r="M4" s="34">
        <f>VLOOKUP($B4,坦克个性化设定!$B$18:$BC$48,MATCH(M$3,坦克个性化设定!$B$18:$BC$18,0),FALSE)</f>
        <v>21</v>
      </c>
      <c r="N4" s="34">
        <f>VLOOKUP($B4,坦克个性化设定!$B$18:$BC$48,MATCH(N$3,坦克个性化设定!$B$18:$BC$18,0),FALSE)</f>
        <v>35</v>
      </c>
      <c r="O4" s="2">
        <f>VLOOKUP($B4,坦克个性化设定!$B$18:$BC$48,MATCH(O$3,坦克个性化设定!$B$18:$BC$18,0),FALSE)</f>
        <v>1</v>
      </c>
      <c r="P4" s="2">
        <f>VLOOKUP($B4,坦克个性化设定!$B$18:$BC$48,MATCH(P$3,坦克个性化设定!$B$18:$BC$18,0),FALSE)</f>
        <v>1</v>
      </c>
      <c r="Q4" s="2">
        <f>VLOOKUP($B4,坦克个性化设定!$B$18:$BC$48,MATCH(Q$3,坦克个性化设定!$B$18:$BC$18,0),FALSE)</f>
        <v>1</v>
      </c>
      <c r="R4" s="2">
        <f>VLOOKUP($B4,坦克个性化设定!$B$18:$BC$48,MATCH(R$3,坦克个性化设定!$B$18:$BC$18,0),FALSE)</f>
        <v>0.60000000000000009</v>
      </c>
      <c r="S4" s="34">
        <f>VLOOKUP($B4,坦克个性化设定!$B$51:$T$81,MATCH(S$3,坦克个性化设定!$B$51:$T$51,0),FALSE)</f>
        <v>0.36</v>
      </c>
      <c r="T4" s="34">
        <f>VLOOKUP($B4,坦克个性化设定!$B$51:$T$81,MATCH(T$3,坦克个性化设定!$B$51:$T$51,0),FALSE)</f>
        <v>0.5</v>
      </c>
      <c r="U4" s="34">
        <f>VLOOKUP($B4,坦克个性化设定!$B$18:$BC$48,MATCH(U$3,坦克个性化设定!$B$18:$BC$18,0),FALSE)</f>
        <v>0.86</v>
      </c>
      <c r="V4" s="2">
        <f>VLOOKUP($B4,坦克个性化设定!$B$18:$BC$48,MATCH(V$3,坦克个性化设定!$B$18:$BC$18,0),FALSE)</f>
        <v>1.2</v>
      </c>
      <c r="W4" s="2">
        <f>VLOOKUP($B4,坦克个性化设定!$B$18:$BC$48,MATCH(W$3,坦克个性化设定!$B$18:$BC$18,0),FALSE)</f>
        <v>0</v>
      </c>
      <c r="X4" s="2">
        <f>VLOOKUP($B4,坦克个性化设定!$B$18:$BC$48,MATCH(X$3,坦克个性化设定!$B$18:$BC$18,0),FALSE)</f>
        <v>1</v>
      </c>
      <c r="Y4" s="34">
        <f>VLOOKUP($B4,坦克个性化设定!$B$18:$BC$48,MATCH(Y$3,坦克个性化设定!$B$18:$BC$18,0),FALSE)</f>
        <v>11.783831986523932</v>
      </c>
      <c r="Z4" s="34">
        <f>VLOOKUP($B4,坦克个性化设定!$B$18:$BC$48,MATCH(Z$3,坦克个性化设定!$B$18:$BC$18,0),FALSE)</f>
        <v>58.919159932619657</v>
      </c>
      <c r="AA4" s="34">
        <f>VLOOKUP($B4,坦克个性化设定!$B$18:$BC$48,MATCH(AA$3,坦克个性化设定!$B$18:$BC$18,0),FALSE)</f>
        <v>0.58499999999999996</v>
      </c>
      <c r="AB4" s="34">
        <f>VLOOKUP($B4,坦克个性化设定!$B$18:$BC$48,MATCH(AB$3,坦克个性化设定!$B$18:$BC$18,0),FALSE)</f>
        <v>10.5</v>
      </c>
      <c r="AC4" s="34">
        <f>VLOOKUP($B4,坦克个性化设定!$B$18:$BC$48,MATCH(AC$3,坦克个性化设定!$B$18:$BC$18,0),FALSE)</f>
        <v>7</v>
      </c>
      <c r="AD4" s="34">
        <f>VLOOKUP($B4,坦克个性化设定!$B$18:$BC$48,MATCH(AD$3,坦克个性化设定!$B$18:$BC$18,0),FALSE)</f>
        <v>10.5</v>
      </c>
      <c r="AE4" s="34">
        <f>VLOOKUP($B4,坦克个性化设定!$B$18:$BC$48,MATCH(AE$3,坦克个性化设定!$B$18:$BC$18,0),FALSE)</f>
        <v>0.58499999999999996</v>
      </c>
      <c r="AF4" s="2">
        <f>VLOOKUP($B4,坦克个性化设定!$B$18:$BC$48,MATCH(AF$3,坦克个性化设定!$B$18:$BC$18,0),FALSE)</f>
        <v>0.2</v>
      </c>
      <c r="AG4" s="2">
        <f>VLOOKUP($B4,坦克个性化设定!$B$18:$BC$48,MATCH(AG$3,坦克个性化设定!$B$18:$BC$18,0),FALSE)</f>
        <v>40</v>
      </c>
      <c r="AH4" s="2">
        <f>VLOOKUP($B4,坦克个性化设定!$B$18:$BC$48,MATCH(AH$3,坦克个性化设定!$B$18:$BC$18,0),FALSE)</f>
        <v>100</v>
      </c>
      <c r="AI4" s="2">
        <f>VLOOKUP(B4,坦克个性化细分!$I$3:$P$33,3,FALSE)</f>
        <v>47.1</v>
      </c>
      <c r="AJ4" s="2">
        <f>VLOOKUP(B4,坦克个性化细分!$I$3:$P$33,5,FALSE)</f>
        <v>45</v>
      </c>
      <c r="AK4" s="2">
        <f>VLOOKUP(B4,坦克个性化细分!$I$3:$P$33,7,FALSE)</f>
        <v>10.5</v>
      </c>
      <c r="AL4" s="2">
        <f>VLOOKUP($B4,坦克个性化设定!$G$84:$T$114,MATCH(AL$3,坦克个性化设定!$G$84:$T$84,0),FALSE)</f>
        <v>12</v>
      </c>
      <c r="AM4" s="2">
        <f>VLOOKUP($B4,坦克个性化细分!$E$3:$G$33,2,FALSE)</f>
        <v>0</v>
      </c>
      <c r="AN4" s="2">
        <f>VLOOKUP($B4,坦克个性化细分!$E$3:$G$33,3,FALSE)</f>
        <v>5.04</v>
      </c>
      <c r="AO4" s="34">
        <f t="shared" ref="AO4:AO33" si="0">T4/V4</f>
        <v>0.41666666666666669</v>
      </c>
      <c r="AP4" s="33">
        <f t="shared" ref="AP4:AP33" ca="1" si="1">ROUND(BS4,0)</f>
        <v>578</v>
      </c>
      <c r="AQ4" s="33">
        <f t="shared" ref="AQ4:AQ33" ca="1" si="2">ROUND(BT4,0)</f>
        <v>42</v>
      </c>
      <c r="AR4" s="33">
        <f t="shared" ref="AR4:AR33" ca="1" si="3">ROUND(BU4,0)</f>
        <v>329</v>
      </c>
      <c r="AS4" s="33">
        <f t="shared" ref="AS4:AS33" ca="1" si="4">ROUND(BV4,0)</f>
        <v>230</v>
      </c>
      <c r="AT4" s="33">
        <f t="shared" ref="AT4:AT33" ca="1" si="5">ROUND(BW4,0)</f>
        <v>300</v>
      </c>
      <c r="AU4" s="33">
        <f t="shared" ref="AU4:AU33" ca="1" si="6">ROUND(BX4,0)</f>
        <v>80</v>
      </c>
      <c r="AV4" s="33">
        <f>ROUND(BY4,0)</f>
        <v>0</v>
      </c>
      <c r="AW4" s="33">
        <f>ROUND(BZ4,0)</f>
        <v>0</v>
      </c>
      <c r="AX4" s="33">
        <f>ROUND(CA4,0)</f>
        <v>0</v>
      </c>
      <c r="AY4" s="2">
        <f t="shared" ref="AY4:AY33" si="7">VLOOKUP(RIGHT(G4,LEN(G4)-2),$BK$3:$BL$7,2,FALSE)</f>
        <v>4</v>
      </c>
      <c r="AZ4" s="2">
        <f>基础属性系数!$E$61</f>
        <v>0</v>
      </c>
      <c r="BA4" s="2">
        <v>50</v>
      </c>
      <c r="BB4" s="2">
        <v>10</v>
      </c>
      <c r="BC4" s="2">
        <f>VLOOKUP($B4,坦克类型系数!$B$3:$R$33,MATCH(BC$3,坦克类型系数!$B$3:$R$3,0),FALSE)</f>
        <v>0</v>
      </c>
      <c r="BD4" s="2">
        <f>VLOOKUP($B4,坦克类型系数!$B$3:$R$33,MATCH(BD$3,坦克类型系数!$B$3:$R$3,0),FALSE)</f>
        <v>2.1</v>
      </c>
      <c r="BE4" s="2">
        <f>VLOOKUP($B4,坦克类型系数!$B$3:$R$33,MATCH(BE$3,坦克类型系数!$B$3:$R$3,0),FALSE)</f>
        <v>1.7</v>
      </c>
      <c r="BF4" s="2">
        <f>VLOOKUP($B4,坦克类型系数!$B$3:$R$33,MATCH(BF$3,坦克类型系数!$B$3:$R$3,0),FALSE)</f>
        <v>1.4</v>
      </c>
      <c r="BG4" s="2">
        <f>VLOOKUP($B4,坦克类型系数!$B$3:$R$33,MATCH(BG$3,坦克类型系数!$B$3:$R$3,0),FALSE)</f>
        <v>1.2</v>
      </c>
      <c r="BH4" s="2">
        <f>VLOOKUP($B4,坦克类型系数!$B$3:$R$33,MATCH(BH$3,坦克类型系数!$B$3:$R$3,0),FALSE)</f>
        <v>1</v>
      </c>
      <c r="BI4" s="2">
        <f>VLOOKUP($B4,坦克类型系数!$B$3:$R$33,MATCH(BI$3,坦克类型系数!$B$3:$R$3,0),FALSE)</f>
        <v>0.85</v>
      </c>
      <c r="BJ4" s="25"/>
      <c r="BK4" s="2" t="s">
        <v>1228</v>
      </c>
      <c r="BL4" s="2">
        <v>4</v>
      </c>
      <c r="BM4" s="1" t="s">
        <v>1226</v>
      </c>
      <c r="BN4" s="2" t="str">
        <f t="shared" ref="BN4:BN33" si="8">B4</f>
        <v>雷诺FT</v>
      </c>
      <c r="BO4" s="2" t="str">
        <f>VLOOKUP(BN4,坦克个性化设定!$B$18:$E$48,MATCH(BO$3,坦克个性化设定!$B$18:$E$18,0),FALSE)</f>
        <v>T1</v>
      </c>
      <c r="BP4" s="2" t="str">
        <f t="shared" ref="BP4:BP33" si="9">D4</f>
        <v>低</v>
      </c>
      <c r="BQ4" s="2" t="s">
        <v>792</v>
      </c>
      <c r="BR4" s="2"/>
      <c r="BS4" s="42">
        <f ca="1">VLOOKUP($BN4&amp;$BQ4,坦克标准养成属性!$S$3:$AE$63,MATCH(BS$3,坦克标准养成属性!$S$3:$AE$3,0),FALSE)</f>
        <v>577.80546658223795</v>
      </c>
      <c r="BT4" s="42">
        <f ca="1">VLOOKUP($BN4&amp;$BQ4,坦克标准养成属性!$S$3:$AE$63,MATCH(BT$3,坦克标准养成属性!$S$3:$AE$3,0),FALSE)</f>
        <v>41.519494790772988</v>
      </c>
      <c r="BU4" s="42">
        <f ca="1">VLOOKUP($BN4&amp;$BQ4,坦克标准养成属性!$S$3:$AE$63,MATCH(BU$3,坦克标准养成属性!$S$3:$AE$3,0),FALSE)</f>
        <v>329</v>
      </c>
      <c r="BV4" s="42">
        <f ca="1">VLOOKUP($BN4&amp;$BQ4,坦克标准养成属性!$S$3:$AE$63,MATCH(BV$3,坦克标准养成属性!$S$3:$AE$3,0),FALSE)</f>
        <v>230</v>
      </c>
      <c r="BW4" s="42">
        <f ca="1">VLOOKUP($BN4&amp;$BQ4,坦克标准养成属性!$S$3:$AE$63,MATCH(BW$3,坦克标准养成属性!$S$3:$AE$3,0),FALSE)</f>
        <v>300</v>
      </c>
      <c r="BX4" s="42">
        <f ca="1">VLOOKUP($BN4&amp;$BQ4,坦克标准养成属性!$S$3:$AE$63,MATCH(BX$3,坦克标准养成属性!$S$3:$AE$3,0),FALSE)</f>
        <v>80</v>
      </c>
      <c r="BY4" s="2">
        <f>IFERROR((VLOOKUP(LEFT(BR4,1)*1,坦克部件!$N$3:$W$9,MATCH("升星属性",坦克部件!$N$3:$W$3,0),FALSE)+VLOOKUP(RIGHT(BR4,1)*1,坦克部件!$Y$3:$AC$38,MATCH("累计属性",坦克部件!$Y$3:$AC$3,0),FALSE))*2,0)</f>
        <v>0</v>
      </c>
      <c r="BZ4" s="42">
        <f>BY4</f>
        <v>0</v>
      </c>
      <c r="CA4" s="42">
        <f>BY4</f>
        <v>0</v>
      </c>
    </row>
    <row r="5" spans="2:79" x14ac:dyDescent="0.3">
      <c r="B5" s="2" t="str">
        <f>坦克个性化设定!B20</f>
        <v>二号</v>
      </c>
      <c r="C5" s="2" t="str">
        <f>VLOOKUP(B5,坦克个性化设定!$B$18:$E$48,4,FALSE)</f>
        <v>T2</v>
      </c>
      <c r="D5" s="2" t="str">
        <f>坦克个性化细分!J5</f>
        <v>低</v>
      </c>
      <c r="E5" s="2" t="str">
        <f t="shared" ref="E5:E25" si="10">C5&amp;D5&amp;"0"</f>
        <v>T2低0</v>
      </c>
      <c r="F5" s="2" t="str">
        <f>VLOOKUP($B5,坦克个性化设定!$B$18:$BC$48,MATCH(F$3,坦克个性化设定!$B$18:$BC$18,0),FALSE)</f>
        <v>轻坦</v>
      </c>
      <c r="G5" s="2" t="str">
        <f>VLOOKUP($B5,坦克个性化设定!$B$18:$BC$48,MATCH(G$3,坦克个性化设定!$B$18:$BC$18,0),FALSE)</f>
        <v>轻坦弹夹</v>
      </c>
      <c r="H5" s="2" t="str">
        <f t="shared" ref="H5:H33" si="11">IF(LEN(G5)=5,RIGHT(G5,3)&amp;"装弹",RIGHT(G5,2)&amp;"装弹")</f>
        <v>弹夹装弹</v>
      </c>
      <c r="I5" s="2">
        <f>VLOOKUP($B5,坦克个性化设定!$B$18:$BC$48,MATCH(I$3,坦克个性化设定!$B$18:$BC$18,0),FALSE)</f>
        <v>4.8099999999999996</v>
      </c>
      <c r="J5" s="2">
        <f>VLOOKUP($B5,坦克个性化设定!$B$18:$BC$48,MATCH(J$3,坦克个性化设定!$B$18:$BC$18,0),FALSE)</f>
        <v>2.2599999999999998</v>
      </c>
      <c r="K5" s="2">
        <f>VLOOKUP($B5,坦克个性化设定!$B$18:$BC$48,MATCH(K$3,坦克个性化设定!$B$18:$BC$18,0),FALSE)</f>
        <v>0.3</v>
      </c>
      <c r="L5" s="34">
        <f>VLOOKUP($B5,坦克个性化设定!$B$18:$BC$48,MATCH(L$3,坦克个性化设定!$B$18:$BC$18,0),FALSE)</f>
        <v>2.1563141881038952</v>
      </c>
      <c r="M5" s="34">
        <f>VLOOKUP($B5,坦克个性化设定!$B$18:$BC$48,MATCH(M$3,坦克个性化设定!$B$18:$BC$18,0),FALSE)</f>
        <v>21</v>
      </c>
      <c r="N5" s="34">
        <f>VLOOKUP($B5,坦克个性化设定!$B$18:$BC$48,MATCH(N$3,坦克个性化设定!$B$18:$BC$18,0),FALSE)</f>
        <v>35</v>
      </c>
      <c r="O5" s="2">
        <f>VLOOKUP($B5,坦克个性化设定!$B$18:$BC$48,MATCH(O$3,坦克个性化设定!$B$18:$BC$18,0),FALSE)</f>
        <v>1</v>
      </c>
      <c r="P5" s="2">
        <f>VLOOKUP($B5,坦克个性化设定!$B$18:$BC$48,MATCH(P$3,坦克个性化设定!$B$18:$BC$18,0),FALSE)</f>
        <v>1</v>
      </c>
      <c r="Q5" s="2">
        <f>VLOOKUP($B5,坦克个性化设定!$B$18:$BC$48,MATCH(Q$3,坦克个性化设定!$B$18:$BC$18,0),FALSE)</f>
        <v>1</v>
      </c>
      <c r="R5" s="2">
        <f>VLOOKUP($B5,坦克个性化设定!$B$18:$BC$48,MATCH(R$3,坦克个性化设定!$B$18:$BC$18,0),FALSE)</f>
        <v>0.60000000000000009</v>
      </c>
      <c r="S5" s="34">
        <f>VLOOKUP($B5,坦克个性化设定!$B$51:$T$81,MATCH(S$3,坦克个性化设定!$B$51:$T$51,0),FALSE)</f>
        <v>0.28800000000000003</v>
      </c>
      <c r="T5" s="34">
        <f>VLOOKUP($B5,坦克个性化设定!$B$51:$T$81,MATCH(T$3,坦克个性化设定!$B$51:$T$51,0),FALSE)</f>
        <v>0.47</v>
      </c>
      <c r="U5" s="34">
        <f>VLOOKUP($B5,坦克个性化设定!$B$18:$BC$48,MATCH(U$3,坦克个性化设定!$B$18:$BC$18,0),FALSE)</f>
        <v>0.7</v>
      </c>
      <c r="V5" s="2">
        <f>VLOOKUP($B5,坦克个性化设定!$B$18:$BC$48,MATCH(V$3,坦克个性化设定!$B$18:$BC$18,0),FALSE)</f>
        <v>1.2</v>
      </c>
      <c r="W5" s="2">
        <f>VLOOKUP($B5,坦克个性化设定!$B$18:$BC$48,MATCH(W$3,坦克个性化设定!$B$18:$BC$18,0),FALSE)</f>
        <v>0</v>
      </c>
      <c r="X5" s="2">
        <f>VLOOKUP($B5,坦克个性化设定!$B$18:$BC$48,MATCH(X$3,坦克个性化设定!$B$18:$BC$18,0),FALSE)</f>
        <v>1</v>
      </c>
      <c r="Y5" s="34">
        <f>VLOOKUP($B5,坦克个性化设定!$B$18:$BC$48,MATCH(Y$3,坦克个性化设定!$B$18:$BC$18,0),FALSE)</f>
        <v>11.783831986523932</v>
      </c>
      <c r="Z5" s="34">
        <f>VLOOKUP($B5,坦克个性化设定!$B$18:$BC$48,MATCH(Z$3,坦克个性化设定!$B$18:$BC$18,0),FALSE)</f>
        <v>58.919159932619657</v>
      </c>
      <c r="AA5" s="34">
        <f>VLOOKUP($B5,坦克个性化设定!$B$18:$BC$48,MATCH(AA$3,坦克个性化设定!$B$18:$BC$18,0),FALSE)</f>
        <v>0.58499999999999996</v>
      </c>
      <c r="AB5" s="34">
        <f>VLOOKUP($B5,坦克个性化设定!$B$18:$BC$48,MATCH(AB$3,坦克个性化设定!$B$18:$BC$18,0),FALSE)</f>
        <v>10.5</v>
      </c>
      <c r="AC5" s="34">
        <f>VLOOKUP($B5,坦克个性化设定!$B$18:$BC$48,MATCH(AC$3,坦克个性化设定!$B$18:$BC$18,0),FALSE)</f>
        <v>7</v>
      </c>
      <c r="AD5" s="34">
        <f>VLOOKUP($B5,坦克个性化设定!$B$18:$BC$48,MATCH(AD$3,坦克个性化设定!$B$18:$BC$18,0),FALSE)</f>
        <v>10.5</v>
      </c>
      <c r="AE5" s="34">
        <f>VLOOKUP($B5,坦克个性化设定!$B$18:$BC$48,MATCH(AE$3,坦克个性化设定!$B$18:$BC$18,0),FALSE)</f>
        <v>0.58499999999999996</v>
      </c>
      <c r="AF5" s="2">
        <f>VLOOKUP($B5,坦克个性化设定!$B$18:$BC$48,MATCH(AF$3,坦克个性化设定!$B$18:$BC$18,0),FALSE)</f>
        <v>0.2</v>
      </c>
      <c r="AG5" s="2">
        <f>VLOOKUP($B5,坦克个性化设定!$B$18:$BC$48,MATCH(AG$3,坦克个性化设定!$B$18:$BC$18,0),FALSE)</f>
        <v>40</v>
      </c>
      <c r="AH5" s="2">
        <f>VLOOKUP($B5,坦克个性化设定!$B$18:$BC$48,MATCH(AH$3,坦克个性化设定!$B$18:$BC$18,0),FALSE)</f>
        <v>100</v>
      </c>
      <c r="AI5" s="2">
        <f>VLOOKUP(B5,坦克个性化细分!$I$3:$P$33,3,FALSE)</f>
        <v>47.1</v>
      </c>
      <c r="AJ5" s="2">
        <f>VLOOKUP(B5,坦克个性化细分!$I$3:$P$33,5,FALSE)</f>
        <v>45</v>
      </c>
      <c r="AK5" s="2">
        <f>VLOOKUP(B5,坦克个性化细分!$I$3:$P$33,7,FALSE)</f>
        <v>10.5</v>
      </c>
      <c r="AL5" s="2">
        <f>VLOOKUP($B5,坦克个性化设定!$G$84:$T$114,MATCH(AL$3,坦克个性化设定!$G$84:$T$84,0),FALSE)</f>
        <v>14.999999999999998</v>
      </c>
      <c r="AM5" s="2">
        <f>VLOOKUP($B5,坦克个性化细分!$E$3:$G$33,2,FALSE)</f>
        <v>0</v>
      </c>
      <c r="AN5" s="2">
        <f>VLOOKUP($B5,坦克个性化细分!$E$3:$G$33,3,FALSE)</f>
        <v>8.3999999999999986</v>
      </c>
      <c r="AO5" s="34">
        <f t="shared" si="0"/>
        <v>0.39166666666666666</v>
      </c>
      <c r="AP5" s="33">
        <f t="shared" ca="1" si="1"/>
        <v>876</v>
      </c>
      <c r="AQ5" s="33">
        <f t="shared" ca="1" si="2"/>
        <v>72</v>
      </c>
      <c r="AR5" s="33">
        <f t="shared" ca="1" si="3"/>
        <v>394</v>
      </c>
      <c r="AS5" s="33">
        <f t="shared" ca="1" si="4"/>
        <v>276</v>
      </c>
      <c r="AT5" s="33">
        <f t="shared" ca="1" si="5"/>
        <v>360</v>
      </c>
      <c r="AU5" s="33">
        <f t="shared" ca="1" si="6"/>
        <v>96</v>
      </c>
      <c r="AV5" s="33">
        <f t="shared" ref="AV5:AV33" si="12">ROUND(BY5,0)</f>
        <v>0</v>
      </c>
      <c r="AW5" s="33">
        <f t="shared" ref="AW5:AW33" si="13">ROUND(BZ5,0)</f>
        <v>0</v>
      </c>
      <c r="AX5" s="33">
        <f t="shared" ref="AX5:AX33" si="14">ROUND(CA5,0)</f>
        <v>0</v>
      </c>
      <c r="AY5" s="2">
        <f t="shared" si="7"/>
        <v>4</v>
      </c>
      <c r="AZ5" s="2">
        <f>基础属性系数!$E$61</f>
        <v>0</v>
      </c>
      <c r="BA5" s="2">
        <v>50</v>
      </c>
      <c r="BB5" s="2">
        <v>10</v>
      </c>
      <c r="BC5" s="2">
        <f>VLOOKUP($B5,坦克类型系数!$B$3:$R$33,MATCH(BC$3,坦克类型系数!$B$3:$R$3,0),FALSE)</f>
        <v>0</v>
      </c>
      <c r="BD5" s="2">
        <f>VLOOKUP($B5,坦克类型系数!$B$3:$R$33,MATCH(BD$3,坦克类型系数!$B$3:$R$3,0),FALSE)</f>
        <v>2</v>
      </c>
      <c r="BE5" s="2">
        <f>VLOOKUP($B5,坦克类型系数!$B$3:$R$33,MATCH(BE$3,坦克类型系数!$B$3:$R$3,0),FALSE)</f>
        <v>1.65</v>
      </c>
      <c r="BF5" s="2">
        <f>VLOOKUP($B5,坦克类型系数!$B$3:$R$33,MATCH(BF$3,坦克类型系数!$B$3:$R$3,0),FALSE)</f>
        <v>1.3</v>
      </c>
      <c r="BG5" s="2">
        <f>VLOOKUP($B5,坦克类型系数!$B$3:$R$33,MATCH(BG$3,坦克类型系数!$B$3:$R$3,0),FALSE)</f>
        <v>1.1000000000000001</v>
      </c>
      <c r="BH5" s="2">
        <f>VLOOKUP($B5,坦克类型系数!$B$3:$R$33,MATCH(BH$3,坦克类型系数!$B$3:$R$3,0),FALSE)</f>
        <v>0.95</v>
      </c>
      <c r="BI5" s="2">
        <f>VLOOKUP($B5,坦克类型系数!$B$3:$R$33,MATCH(BI$3,坦克类型系数!$B$3:$R$3,0),FALSE)</f>
        <v>0.85</v>
      </c>
      <c r="BJ5" s="25"/>
      <c r="BK5" s="2" t="s">
        <v>1229</v>
      </c>
      <c r="BL5" s="2">
        <v>2</v>
      </c>
      <c r="BM5" s="1" t="s">
        <v>1230</v>
      </c>
      <c r="BN5" s="2" t="str">
        <f t="shared" si="8"/>
        <v>二号</v>
      </c>
      <c r="BO5" s="2" t="str">
        <f>VLOOKUP(BN5,坦克个性化设定!$B$18:$E$48,MATCH(BO$3,坦克个性化设定!$B$18:$E$18,0),FALSE)</f>
        <v>T2</v>
      </c>
      <c r="BP5" s="2" t="str">
        <f t="shared" si="9"/>
        <v>低</v>
      </c>
      <c r="BQ5" s="2" t="s">
        <v>792</v>
      </c>
      <c r="BR5" s="2"/>
      <c r="BS5" s="42">
        <f ca="1">VLOOKUP($BN5&amp;$BQ5,坦克标准养成属性!$S$3:$AE$63,MATCH(BS$3,坦克标准养成属性!$S$3:$AE$3,0),FALSE)</f>
        <v>875.74299642421443</v>
      </c>
      <c r="BT5" s="42">
        <f ca="1">VLOOKUP($BN5&amp;$BQ5,坦克标准养成属性!$S$3:$AE$63,MATCH(BT$3,坦克标准养成属性!$S$3:$AE$3,0),FALSE)</f>
        <v>71.683826063017293</v>
      </c>
      <c r="BU5" s="42">
        <f ca="1">VLOOKUP($BN5&amp;$BQ5,坦克标准养成属性!$S$3:$AE$63,MATCH(BU$3,坦克标准养成属性!$S$3:$AE$3,0),FALSE)</f>
        <v>394</v>
      </c>
      <c r="BV5" s="42">
        <f ca="1">VLOOKUP($BN5&amp;$BQ5,坦克标准养成属性!$S$3:$AE$63,MATCH(BV$3,坦克标准养成属性!$S$3:$AE$3,0),FALSE)</f>
        <v>276</v>
      </c>
      <c r="BW5" s="42">
        <f ca="1">VLOOKUP($BN5&amp;$BQ5,坦克标准养成属性!$S$3:$AE$63,MATCH(BW$3,坦克标准养成属性!$S$3:$AE$3,0),FALSE)</f>
        <v>360</v>
      </c>
      <c r="BX5" s="42">
        <f ca="1">VLOOKUP($BN5&amp;$BQ5,坦克标准养成属性!$S$3:$AE$63,MATCH(BX$3,坦克标准养成属性!$S$3:$AE$3,0),FALSE)</f>
        <v>96</v>
      </c>
      <c r="BY5" s="2">
        <f>IFERROR((VLOOKUP(LEFT(BR5,1)*1,坦克部件!$N$3:$W$9,MATCH("升星属性",坦克部件!$N$3:$W$3,0),FALSE)+VLOOKUP(RIGHT(BR5,1)*1,坦克部件!$Y$3:$AC$38,MATCH("累计属性",坦克部件!$Y$3:$AC$3,0),FALSE))*2,0)</f>
        <v>0</v>
      </c>
      <c r="BZ5" s="42">
        <f t="shared" ref="BZ5:BZ33" si="15">BY5</f>
        <v>0</v>
      </c>
      <c r="CA5" s="42">
        <f t="shared" ref="CA5:CA33" si="16">BY5</f>
        <v>0</v>
      </c>
    </row>
    <row r="6" spans="2:79" x14ac:dyDescent="0.3">
      <c r="B6" s="2" t="str">
        <f>坦克个性化设定!B21</f>
        <v>Puma</v>
      </c>
      <c r="C6" s="2" t="str">
        <f>VLOOKUP(B6,坦克个性化设定!$B$18:$E$48,4,FALSE)</f>
        <v>T2</v>
      </c>
      <c r="D6" s="2" t="str">
        <f>坦克个性化细分!J6</f>
        <v>中</v>
      </c>
      <c r="E6" s="2" t="str">
        <f t="shared" si="10"/>
        <v>T2中0</v>
      </c>
      <c r="F6" s="2" t="str">
        <f>VLOOKUP($B6,坦克个性化设定!$B$18:$BC$48,MATCH(F$3,坦克个性化设定!$B$18:$BC$18,0),FALSE)</f>
        <v>轻坦</v>
      </c>
      <c r="G6" s="2" t="str">
        <f>VLOOKUP($B6,坦克个性化设定!$B$18:$BC$48,MATCH(G$3,坦克个性化设定!$B$18:$BC$18,0),FALSE)</f>
        <v>轻坦弹夹</v>
      </c>
      <c r="H6" s="2" t="str">
        <f t="shared" si="11"/>
        <v>弹夹装弹</v>
      </c>
      <c r="I6" s="2">
        <f>VLOOKUP($B6,坦克个性化设定!$B$18:$BC$48,MATCH(I$3,坦克个性化设定!$B$18:$BC$18,0),FALSE)</f>
        <v>6.71</v>
      </c>
      <c r="J6" s="2">
        <f>VLOOKUP($B6,坦克个性化设定!$B$18:$BC$48,MATCH(J$3,坦克个性化设定!$B$18:$BC$18,0),FALSE)</f>
        <v>2.59</v>
      </c>
      <c r="K6" s="2">
        <f>VLOOKUP($B6,坦克个性化设定!$B$18:$BC$48,MATCH(K$3,坦克个性化设定!$B$18:$BC$18,0),FALSE)</f>
        <v>0.3</v>
      </c>
      <c r="L6" s="34">
        <f>VLOOKUP($B6,坦克个性化设定!$B$18:$BC$48,MATCH(L$3,坦克个性化设定!$B$18:$BC$18,0),FALSE)</f>
        <v>2.1563141881038952</v>
      </c>
      <c r="M6" s="34">
        <f>VLOOKUP($B6,坦克个性化设定!$B$18:$BC$48,MATCH(M$3,坦克个性化设定!$B$18:$BC$18,0),FALSE)</f>
        <v>21</v>
      </c>
      <c r="N6" s="34">
        <f>VLOOKUP($B6,坦克个性化设定!$B$18:$BC$48,MATCH(N$3,坦克个性化设定!$B$18:$BC$18,0),FALSE)</f>
        <v>35</v>
      </c>
      <c r="O6" s="2">
        <f>VLOOKUP($B6,坦克个性化设定!$B$18:$BC$48,MATCH(O$3,坦克个性化设定!$B$18:$BC$18,0),FALSE)</f>
        <v>1</v>
      </c>
      <c r="P6" s="2">
        <f>VLOOKUP($B6,坦克个性化设定!$B$18:$BC$48,MATCH(P$3,坦克个性化设定!$B$18:$BC$18,0),FALSE)</f>
        <v>1</v>
      </c>
      <c r="Q6" s="2">
        <f>VLOOKUP($B6,坦克个性化设定!$B$18:$BC$48,MATCH(Q$3,坦克个性化设定!$B$18:$BC$18,0),FALSE)</f>
        <v>1</v>
      </c>
      <c r="R6" s="2">
        <f>VLOOKUP($B6,坦克个性化设定!$B$18:$BC$48,MATCH(R$3,坦克个性化设定!$B$18:$BC$18,0),FALSE)</f>
        <v>0.8</v>
      </c>
      <c r="S6" s="34">
        <f>VLOOKUP($B6,坦克个性化设定!$B$51:$T$81,MATCH(S$3,坦克个性化设定!$B$51:$T$51,0),FALSE)</f>
        <v>0.72</v>
      </c>
      <c r="T6" s="34">
        <f>VLOOKUP($B6,坦克个性化设定!$B$51:$T$81,MATCH(T$3,坦克个性化设定!$B$51:$T$51,0),FALSE)</f>
        <v>0.69</v>
      </c>
      <c r="U6" s="34">
        <f>VLOOKUP($B6,坦克个性化设定!$B$18:$BC$48,MATCH(U$3,坦克个性化设定!$B$18:$BC$18,0),FALSE)</f>
        <v>0.82</v>
      </c>
      <c r="V6" s="2">
        <f>VLOOKUP($B6,坦克个性化设定!$B$18:$BC$48,MATCH(V$3,坦克个性化设定!$B$18:$BC$18,0),FALSE)</f>
        <v>1.2</v>
      </c>
      <c r="W6" s="2">
        <f>VLOOKUP($B6,坦克个性化设定!$B$18:$BC$48,MATCH(W$3,坦克个性化设定!$B$18:$BC$18,0),FALSE)</f>
        <v>1</v>
      </c>
      <c r="X6" s="2">
        <f>VLOOKUP($B6,坦克个性化设定!$B$18:$BC$48,MATCH(X$3,坦克个性化设定!$B$18:$BC$18,0),FALSE)</f>
        <v>1</v>
      </c>
      <c r="Y6" s="34">
        <f>VLOOKUP($B6,坦克个性化设定!$B$18:$BC$48,MATCH(Y$3,坦克个性化设定!$B$18:$BC$18,0),FALSE)</f>
        <v>10.60544878787154</v>
      </c>
      <c r="Z6" s="34">
        <f>VLOOKUP($B6,坦克个性化设定!$B$18:$BC$48,MATCH(Z$3,坦克个性化设定!$B$18:$BC$18,0),FALSE)</f>
        <v>58.919159932619657</v>
      </c>
      <c r="AA6" s="34">
        <f>VLOOKUP($B6,坦克个性化设定!$B$18:$BC$48,MATCH(AA$3,坦克个性化设定!$B$18:$BC$18,0),FALSE)</f>
        <v>0.58499999999999996</v>
      </c>
      <c r="AB6" s="34">
        <f>VLOOKUP($B6,坦克个性化设定!$B$18:$BC$48,MATCH(AB$3,坦克个性化设定!$B$18:$BC$18,0),FALSE)</f>
        <v>9.9749999999999996</v>
      </c>
      <c r="AC6" s="34">
        <f>VLOOKUP($B6,坦克个性化设定!$B$18:$BC$48,MATCH(AC$3,坦克个性化设定!$B$18:$BC$18,0),FALSE)</f>
        <v>7</v>
      </c>
      <c r="AD6" s="34">
        <f>VLOOKUP($B6,坦克个性化设定!$B$18:$BC$48,MATCH(AD$3,坦克个性化设定!$B$18:$BC$18,0),FALSE)</f>
        <v>10.5</v>
      </c>
      <c r="AE6" s="34">
        <f>VLOOKUP($B6,坦克个性化设定!$B$18:$BC$48,MATCH(AE$3,坦克个性化设定!$B$18:$BC$18,0),FALSE)</f>
        <v>0.58499999999999996</v>
      </c>
      <c r="AF6" s="2">
        <f>VLOOKUP($B6,坦克个性化设定!$B$18:$BC$48,MATCH(AF$3,坦克个性化设定!$B$18:$BC$18,0),FALSE)</f>
        <v>0.2</v>
      </c>
      <c r="AG6" s="2">
        <f>VLOOKUP($B6,坦克个性化设定!$B$18:$BC$48,MATCH(AG$3,坦克个性化设定!$B$18:$BC$18,0),FALSE)</f>
        <v>40</v>
      </c>
      <c r="AH6" s="2">
        <f>VLOOKUP($B6,坦克个性化设定!$B$18:$BC$48,MATCH(AH$3,坦克个性化设定!$B$18:$BC$18,0),FALSE)</f>
        <v>100</v>
      </c>
      <c r="AI6" s="2">
        <f>VLOOKUP(B6,坦克个性化细分!$I$3:$P$33,3,FALSE)</f>
        <v>43.3</v>
      </c>
      <c r="AJ6" s="2">
        <f>VLOOKUP(B6,坦克个性化细分!$I$3:$P$33,5,FALSE)</f>
        <v>51</v>
      </c>
      <c r="AK6" s="2">
        <f>VLOOKUP(B6,坦克个性化细分!$I$3:$P$33,7,FALSE)</f>
        <v>10.199999999999999</v>
      </c>
      <c r="AL6" s="2">
        <f>VLOOKUP($B6,坦克个性化设定!$G$84:$T$114,MATCH(AL$3,坦克个性化设定!$G$84:$T$84,0),FALSE)</f>
        <v>6</v>
      </c>
      <c r="AM6" s="2">
        <f>VLOOKUP($B6,坦克个性化细分!$E$3:$G$33,2,FALSE)</f>
        <v>0</v>
      </c>
      <c r="AN6" s="2">
        <f>VLOOKUP($B6,坦克个性化细分!$E$3:$G$33,3,FALSE)</f>
        <v>3.1499999999999995</v>
      </c>
      <c r="AO6" s="34">
        <f t="shared" si="0"/>
        <v>0.57499999999999996</v>
      </c>
      <c r="AP6" s="33">
        <f t="shared" ca="1" si="1"/>
        <v>1054</v>
      </c>
      <c r="AQ6" s="33">
        <f t="shared" ca="1" si="2"/>
        <v>79</v>
      </c>
      <c r="AR6" s="33">
        <f t="shared" ca="1" si="3"/>
        <v>401</v>
      </c>
      <c r="AS6" s="33">
        <f t="shared" ca="1" si="4"/>
        <v>281</v>
      </c>
      <c r="AT6" s="33">
        <f t="shared" ca="1" si="5"/>
        <v>366</v>
      </c>
      <c r="AU6" s="33">
        <f t="shared" ca="1" si="6"/>
        <v>98</v>
      </c>
      <c r="AV6" s="33">
        <f t="shared" si="12"/>
        <v>0</v>
      </c>
      <c r="AW6" s="33">
        <f t="shared" si="13"/>
        <v>0</v>
      </c>
      <c r="AX6" s="33">
        <f t="shared" si="14"/>
        <v>0</v>
      </c>
      <c r="AY6" s="2">
        <f t="shared" si="7"/>
        <v>4</v>
      </c>
      <c r="AZ6" s="2">
        <f>基础属性系数!$E$61</f>
        <v>0</v>
      </c>
      <c r="BA6" s="2">
        <v>50</v>
      </c>
      <c r="BB6" s="2">
        <v>10</v>
      </c>
      <c r="BC6" s="2">
        <f>VLOOKUP($B6,坦克类型系数!$B$3:$R$33,MATCH(BC$3,坦克类型系数!$B$3:$R$3,0),FALSE)</f>
        <v>0</v>
      </c>
      <c r="BD6" s="2">
        <f>VLOOKUP($B6,坦克类型系数!$B$3:$R$33,MATCH(BD$3,坦克类型系数!$B$3:$R$3,0),FALSE)</f>
        <v>2.1</v>
      </c>
      <c r="BE6" s="2">
        <f>VLOOKUP($B6,坦克类型系数!$B$3:$R$33,MATCH(BE$3,坦克类型系数!$B$3:$R$3,0),FALSE)</f>
        <v>1.65</v>
      </c>
      <c r="BF6" s="2">
        <f>VLOOKUP($B6,坦克类型系数!$B$3:$R$33,MATCH(BF$3,坦克类型系数!$B$3:$R$3,0),FALSE)</f>
        <v>1.35</v>
      </c>
      <c r="BG6" s="2">
        <f>VLOOKUP($B6,坦克类型系数!$B$3:$R$33,MATCH(BG$3,坦克类型系数!$B$3:$R$3,0),FALSE)</f>
        <v>1.1499999999999999</v>
      </c>
      <c r="BH6" s="2">
        <f>VLOOKUP($B6,坦克类型系数!$B$3:$R$33,MATCH(BH$3,坦克类型系数!$B$3:$R$3,0),FALSE)</f>
        <v>1</v>
      </c>
      <c r="BI6" s="2">
        <f>VLOOKUP($B6,坦克类型系数!$B$3:$R$33,MATCH(BI$3,坦克类型系数!$B$3:$R$3,0),FALSE)</f>
        <v>0.85</v>
      </c>
      <c r="BJ6" s="25"/>
      <c r="BK6" s="2" t="s">
        <v>193</v>
      </c>
      <c r="BL6" s="2">
        <v>1</v>
      </c>
      <c r="BM6" s="1" t="s">
        <v>1230</v>
      </c>
      <c r="BN6" s="2" t="str">
        <f t="shared" si="8"/>
        <v>Puma</v>
      </c>
      <c r="BO6" s="2" t="str">
        <f>VLOOKUP(BN6,坦克个性化设定!$B$18:$E$48,MATCH(BO$3,坦克个性化设定!$B$18:$E$18,0),FALSE)</f>
        <v>T2</v>
      </c>
      <c r="BP6" s="2" t="str">
        <f t="shared" si="9"/>
        <v>中</v>
      </c>
      <c r="BQ6" s="2" t="s">
        <v>792</v>
      </c>
      <c r="BR6" s="2"/>
      <c r="BS6" s="42">
        <f ca="1">VLOOKUP($BN6&amp;$BQ6,坦克标准养成属性!$S$3:$AE$63,MATCH(BS$3,坦克标准养成属性!$S$3:$AE$3,0),FALSE)</f>
        <v>1053.590099253373</v>
      </c>
      <c r="BT6" s="42">
        <f ca="1">VLOOKUP($BN6&amp;$BQ6,坦克标准养成属性!$S$3:$AE$63,MATCH(BT$3,坦克标准养成属性!$S$3:$AE$3,0),FALSE)</f>
        <v>78.853891299768222</v>
      </c>
      <c r="BU6" s="42">
        <f ca="1">VLOOKUP($BN6&amp;$BQ6,坦克标准养成属性!$S$3:$AE$63,MATCH(BU$3,坦克标准养成属性!$S$3:$AE$3,0),FALSE)</f>
        <v>401</v>
      </c>
      <c r="BV6" s="42">
        <f ca="1">VLOOKUP($BN6&amp;$BQ6,坦克标准养成属性!$S$3:$AE$63,MATCH(BV$3,坦克标准养成属性!$S$3:$AE$3,0),FALSE)</f>
        <v>281</v>
      </c>
      <c r="BW6" s="42">
        <f ca="1">VLOOKUP($BN6&amp;$BQ6,坦克标准养成属性!$S$3:$AE$63,MATCH(BW$3,坦克标准养成属性!$S$3:$AE$3,0),FALSE)</f>
        <v>366</v>
      </c>
      <c r="BX6" s="42">
        <f ca="1">VLOOKUP($BN6&amp;$BQ6,坦克标准养成属性!$S$3:$AE$63,MATCH(BX$3,坦克标准养成属性!$S$3:$AE$3,0),FALSE)</f>
        <v>98</v>
      </c>
      <c r="BY6" s="2">
        <f>IFERROR((VLOOKUP(LEFT(BR6,1)*1,坦克部件!$N$3:$W$9,MATCH("升星属性",坦克部件!$N$3:$W$3,0),FALSE)+VLOOKUP(RIGHT(BR6,1)*1,坦克部件!$Y$3:$AC$38,MATCH("累计属性",坦克部件!$Y$3:$AC$3,0),FALSE))*2,0)</f>
        <v>0</v>
      </c>
      <c r="BZ6" s="42">
        <f t="shared" si="15"/>
        <v>0</v>
      </c>
      <c r="CA6" s="42">
        <f t="shared" si="16"/>
        <v>0</v>
      </c>
    </row>
    <row r="7" spans="2:79" x14ac:dyDescent="0.3">
      <c r="B7" s="2" t="str">
        <f>坦克个性化设定!B22</f>
        <v>35(t)</v>
      </c>
      <c r="C7" s="2" t="str">
        <f>VLOOKUP(B7,坦克个性化设定!$B$18:$E$48,4,FALSE)</f>
        <v>T3</v>
      </c>
      <c r="D7" s="2" t="str">
        <f>坦克个性化细分!J7</f>
        <v>低</v>
      </c>
      <c r="E7" s="2" t="str">
        <f t="shared" si="10"/>
        <v>T3低0</v>
      </c>
      <c r="F7" s="2" t="str">
        <f>VLOOKUP($B7,坦克个性化设定!$B$18:$BC$48,MATCH(F$3,坦克个性化设定!$B$18:$BC$18,0),FALSE)</f>
        <v>轻坦</v>
      </c>
      <c r="G7" s="2" t="str">
        <f>VLOOKUP($B7,坦克个性化设定!$B$18:$BC$48,MATCH(G$3,坦克个性化设定!$B$18:$BC$18,0),FALSE)</f>
        <v>轻坦弹夹</v>
      </c>
      <c r="H7" s="2" t="str">
        <f t="shared" si="11"/>
        <v>弹夹装弹</v>
      </c>
      <c r="I7" s="2">
        <f>VLOOKUP($B7,坦克个性化设定!$B$18:$BC$48,MATCH(I$3,坦克个性化设定!$B$18:$BC$18,0),FALSE)</f>
        <v>4.83</v>
      </c>
      <c r="J7" s="2">
        <f>VLOOKUP($B7,坦克个性化设定!$B$18:$BC$48,MATCH(J$3,坦克个性化设定!$B$18:$BC$18,0),FALSE)</f>
        <v>2.11</v>
      </c>
      <c r="K7" s="2">
        <f>VLOOKUP($B7,坦克个性化设定!$B$18:$BC$48,MATCH(K$3,坦克个性化设定!$B$18:$BC$18,0),FALSE)</f>
        <v>0.3</v>
      </c>
      <c r="L7" s="34">
        <f>VLOOKUP($B7,坦克个性化设定!$B$18:$BC$48,MATCH(L$3,坦克个性化设定!$B$18:$BC$18,0),FALSE)</f>
        <v>2.1563141881038952</v>
      </c>
      <c r="M7" s="34">
        <f>VLOOKUP($B7,坦克个性化设定!$B$18:$BC$48,MATCH(M$3,坦克个性化设定!$B$18:$BC$18,0),FALSE)</f>
        <v>21</v>
      </c>
      <c r="N7" s="34">
        <f>VLOOKUP($B7,坦克个性化设定!$B$18:$BC$48,MATCH(N$3,坦克个性化设定!$B$18:$BC$18,0),FALSE)</f>
        <v>35</v>
      </c>
      <c r="O7" s="2">
        <f>VLOOKUP($B7,坦克个性化设定!$B$18:$BC$48,MATCH(O$3,坦克个性化设定!$B$18:$BC$18,0),FALSE)</f>
        <v>1</v>
      </c>
      <c r="P7" s="2">
        <f>VLOOKUP($B7,坦克个性化设定!$B$18:$BC$48,MATCH(P$3,坦克个性化设定!$B$18:$BC$18,0),FALSE)</f>
        <v>1</v>
      </c>
      <c r="Q7" s="2">
        <f>VLOOKUP($B7,坦克个性化设定!$B$18:$BC$48,MATCH(Q$3,坦克个性化设定!$B$18:$BC$18,0),FALSE)</f>
        <v>1</v>
      </c>
      <c r="R7" s="2">
        <f>VLOOKUP($B7,坦克个性化设定!$B$18:$BC$48,MATCH(R$3,坦克个性化设定!$B$18:$BC$18,0),FALSE)</f>
        <v>0.8</v>
      </c>
      <c r="S7" s="34">
        <f>VLOOKUP($B7,坦克个性化设定!$B$51:$T$81,MATCH(S$3,坦克个性化设定!$B$51:$T$51,0),FALSE)</f>
        <v>0.48</v>
      </c>
      <c r="T7" s="34">
        <f>VLOOKUP($B7,坦克个性化设定!$B$51:$T$81,MATCH(T$3,坦克个性化设定!$B$51:$T$51,0),FALSE)</f>
        <v>0.62</v>
      </c>
      <c r="U7" s="34">
        <f>VLOOKUP($B7,坦克个性化设定!$B$18:$BC$48,MATCH(U$3,坦克个性化设定!$B$18:$BC$18,0),FALSE)</f>
        <v>0.78</v>
      </c>
      <c r="V7" s="2">
        <f>VLOOKUP($B7,坦克个性化设定!$B$18:$BC$48,MATCH(V$3,坦克个性化设定!$B$18:$BC$18,0),FALSE)</f>
        <v>1.2</v>
      </c>
      <c r="W7" s="2">
        <f>VLOOKUP($B7,坦克个性化设定!$B$18:$BC$48,MATCH(W$3,坦克个性化设定!$B$18:$BC$18,0),FALSE)</f>
        <v>2</v>
      </c>
      <c r="X7" s="2">
        <f>VLOOKUP($B7,坦克个性化设定!$B$18:$BC$48,MATCH(X$3,坦克个性化设定!$B$18:$BC$18,0),FALSE)</f>
        <v>1</v>
      </c>
      <c r="Y7" s="34">
        <f>VLOOKUP($B7,坦克个性化设定!$B$18:$BC$48,MATCH(Y$3,坦克个性化设定!$B$18:$BC$18,0),FALSE)</f>
        <v>10.60544878787154</v>
      </c>
      <c r="Z7" s="34">
        <f>VLOOKUP($B7,坦克个性化设定!$B$18:$BC$48,MATCH(Z$3,坦克个性化设定!$B$18:$BC$18,0),FALSE)</f>
        <v>58.919159932619657</v>
      </c>
      <c r="AA7" s="34">
        <f>VLOOKUP($B7,坦克个性化设定!$B$18:$BC$48,MATCH(AA$3,坦克个性化设定!$B$18:$BC$18,0),FALSE)</f>
        <v>0.58499999999999996</v>
      </c>
      <c r="AB7" s="34">
        <f>VLOOKUP($B7,坦克个性化设定!$B$18:$BC$48,MATCH(AB$3,坦克个性化设定!$B$18:$BC$18,0),FALSE)</f>
        <v>9.9749999999999996</v>
      </c>
      <c r="AC7" s="34">
        <f>VLOOKUP($B7,坦克个性化设定!$B$18:$BC$48,MATCH(AC$3,坦克个性化设定!$B$18:$BC$18,0),FALSE)</f>
        <v>7</v>
      </c>
      <c r="AD7" s="34">
        <f>VLOOKUP($B7,坦克个性化设定!$B$18:$BC$48,MATCH(AD$3,坦克个性化设定!$B$18:$BC$18,0),FALSE)</f>
        <v>10.5</v>
      </c>
      <c r="AE7" s="34">
        <f>VLOOKUP($B7,坦克个性化设定!$B$18:$BC$48,MATCH(AE$3,坦克个性化设定!$B$18:$BC$18,0),FALSE)</f>
        <v>0.58499999999999996</v>
      </c>
      <c r="AF7" s="2">
        <f>VLOOKUP($B7,坦克个性化设定!$B$18:$BC$48,MATCH(AF$3,坦克个性化设定!$B$18:$BC$18,0),FALSE)</f>
        <v>0.2</v>
      </c>
      <c r="AG7" s="2">
        <f>VLOOKUP($B7,坦克个性化设定!$B$18:$BC$48,MATCH(AG$3,坦克个性化设定!$B$18:$BC$18,0),FALSE)</f>
        <v>40</v>
      </c>
      <c r="AH7" s="2">
        <f>VLOOKUP($B7,坦克个性化设定!$B$18:$BC$48,MATCH(AH$3,坦克个性化设定!$B$18:$BC$18,0),FALSE)</f>
        <v>100</v>
      </c>
      <c r="AI7" s="2">
        <f>VLOOKUP(B7,坦克个性化细分!$I$3:$P$33,3,FALSE)</f>
        <v>42.4</v>
      </c>
      <c r="AJ7" s="2">
        <f>VLOOKUP(B7,坦克个性化细分!$I$3:$P$33,5,FALSE)</f>
        <v>50</v>
      </c>
      <c r="AK7" s="2">
        <f>VLOOKUP(B7,坦克个性化细分!$I$3:$P$33,7,FALSE)</f>
        <v>10</v>
      </c>
      <c r="AL7" s="2">
        <f>VLOOKUP($B7,坦克个性化设定!$G$84:$T$114,MATCH(AL$3,坦克个性化设定!$G$84:$T$84,0),FALSE)</f>
        <v>9</v>
      </c>
      <c r="AM7" s="2">
        <f>VLOOKUP($B7,坦克个性化细分!$E$3:$G$33,2,FALSE)</f>
        <v>0</v>
      </c>
      <c r="AN7" s="2">
        <f>VLOOKUP($B7,坦克个性化细分!$E$3:$G$33,3,FALSE)</f>
        <v>6.3</v>
      </c>
      <c r="AO7" s="34">
        <f t="shared" si="0"/>
        <v>0.51666666666666672</v>
      </c>
      <c r="AP7" s="33">
        <f t="shared" ca="1" si="1"/>
        <v>1204</v>
      </c>
      <c r="AQ7" s="33">
        <f t="shared" ca="1" si="2"/>
        <v>101</v>
      </c>
      <c r="AR7" s="33">
        <f t="shared" ca="1" si="3"/>
        <v>486</v>
      </c>
      <c r="AS7" s="33">
        <f t="shared" ca="1" si="4"/>
        <v>340</v>
      </c>
      <c r="AT7" s="33">
        <f t="shared" ca="1" si="5"/>
        <v>444</v>
      </c>
      <c r="AU7" s="33">
        <f t="shared" ca="1" si="6"/>
        <v>118</v>
      </c>
      <c r="AV7" s="33">
        <f t="shared" si="12"/>
        <v>0</v>
      </c>
      <c r="AW7" s="33">
        <f t="shared" si="13"/>
        <v>0</v>
      </c>
      <c r="AX7" s="33">
        <f t="shared" si="14"/>
        <v>0</v>
      </c>
      <c r="AY7" s="2">
        <f t="shared" si="7"/>
        <v>4</v>
      </c>
      <c r="AZ7" s="2">
        <f>基础属性系数!$E$61</f>
        <v>0</v>
      </c>
      <c r="BA7" s="2">
        <v>50</v>
      </c>
      <c r="BB7" s="2">
        <v>10</v>
      </c>
      <c r="BC7" s="2">
        <f>VLOOKUP($B7,坦克类型系数!$B$3:$R$33,MATCH(BC$3,坦克类型系数!$B$3:$R$3,0),FALSE)</f>
        <v>0</v>
      </c>
      <c r="BD7" s="2">
        <f>VLOOKUP($B7,坦克类型系数!$B$3:$R$33,MATCH(BD$3,坦克类型系数!$B$3:$R$3,0),FALSE)</f>
        <v>2.1</v>
      </c>
      <c r="BE7" s="2">
        <f>VLOOKUP($B7,坦克类型系数!$B$3:$R$33,MATCH(BE$3,坦克类型系数!$B$3:$R$3,0),FALSE)</f>
        <v>1.6</v>
      </c>
      <c r="BF7" s="2">
        <f>VLOOKUP($B7,坦克类型系数!$B$3:$R$33,MATCH(BF$3,坦克类型系数!$B$3:$R$3,0),FALSE)</f>
        <v>1.4</v>
      </c>
      <c r="BG7" s="2">
        <f>VLOOKUP($B7,坦克类型系数!$B$3:$R$33,MATCH(BG$3,坦克类型系数!$B$3:$R$3,0),FALSE)</f>
        <v>1.1000000000000001</v>
      </c>
      <c r="BH7" s="2">
        <f>VLOOKUP($B7,坦克类型系数!$B$3:$R$33,MATCH(BH$3,坦克类型系数!$B$3:$R$3,0),FALSE)</f>
        <v>0.95</v>
      </c>
      <c r="BI7" s="2">
        <f>VLOOKUP($B7,坦克类型系数!$B$3:$R$33,MATCH(BI$3,坦克类型系数!$B$3:$R$3,0),FALSE)</f>
        <v>0.85</v>
      </c>
      <c r="BJ7" s="25"/>
      <c r="BK7" s="2" t="s">
        <v>1231</v>
      </c>
      <c r="BL7" s="2">
        <v>6</v>
      </c>
      <c r="BM7" s="1" t="s">
        <v>1230</v>
      </c>
      <c r="BN7" s="2" t="str">
        <f t="shared" si="8"/>
        <v>35(t)</v>
      </c>
      <c r="BO7" s="2" t="str">
        <f>VLOOKUP(BN7,坦克个性化设定!$B$18:$E$48,MATCH(BO$3,坦克个性化设定!$B$18:$E$18,0),FALSE)</f>
        <v>T3</v>
      </c>
      <c r="BP7" s="2" t="str">
        <f t="shared" si="9"/>
        <v>低</v>
      </c>
      <c r="BQ7" s="2" t="s">
        <v>792</v>
      </c>
      <c r="BR7" s="2"/>
      <c r="BS7" s="42">
        <f ca="1">VLOOKUP($BN7&amp;$BQ7,坦克标准养成属性!$S$3:$AE$63,MATCH(BS$3,坦克标准养成属性!$S$3:$AE$3,0),FALSE)</f>
        <v>1203.6691040422745</v>
      </c>
      <c r="BT7" s="42">
        <f ca="1">VLOOKUP($BN7&amp;$BQ7,坦克标准养成属性!$S$3:$AE$63,MATCH(BT$3,坦克标准养成属性!$S$3:$AE$3,0),FALSE)</f>
        <v>101.26235181572864</v>
      </c>
      <c r="BU7" s="42">
        <f ca="1">VLOOKUP($BN7&amp;$BQ7,坦克标准养成属性!$S$3:$AE$63,MATCH(BU$3,坦克标准养成属性!$S$3:$AE$3,0),FALSE)</f>
        <v>486</v>
      </c>
      <c r="BV7" s="42">
        <f ca="1">VLOOKUP($BN7&amp;$BQ7,坦克标准养成属性!$S$3:$AE$63,MATCH(BV$3,坦克标准养成属性!$S$3:$AE$3,0),FALSE)</f>
        <v>340</v>
      </c>
      <c r="BW7" s="42">
        <f ca="1">VLOOKUP($BN7&amp;$BQ7,坦克标准养成属性!$S$3:$AE$63,MATCH(BW$3,坦克标准养成属性!$S$3:$AE$3,0),FALSE)</f>
        <v>444</v>
      </c>
      <c r="BX7" s="42">
        <f ca="1">VLOOKUP($BN7&amp;$BQ7,坦克标准养成属性!$S$3:$AE$63,MATCH(BX$3,坦克标准养成属性!$S$3:$AE$3,0),FALSE)</f>
        <v>118</v>
      </c>
      <c r="BY7" s="2">
        <f>IFERROR((VLOOKUP(LEFT(BR7,1)*1,坦克部件!$N$3:$W$9,MATCH("升星属性",坦克部件!$N$3:$W$3,0),FALSE)+VLOOKUP(RIGHT(BR7,1)*1,坦克部件!$Y$3:$AC$38,MATCH("累计属性",坦克部件!$Y$3:$AC$3,0),FALSE))*2,0)</f>
        <v>0</v>
      </c>
      <c r="BZ7" s="42">
        <f t="shared" si="15"/>
        <v>0</v>
      </c>
      <c r="CA7" s="42">
        <f t="shared" si="16"/>
        <v>0</v>
      </c>
    </row>
    <row r="8" spans="2:79" x14ac:dyDescent="0.3">
      <c r="B8" s="2" t="str">
        <f>坦克个性化设定!B23</f>
        <v>十字军</v>
      </c>
      <c r="C8" s="2" t="str">
        <f>VLOOKUP(B8,坦克个性化设定!$B$18:$E$48,4,FALSE)</f>
        <v>T3</v>
      </c>
      <c r="D8" s="2" t="str">
        <f>坦克个性化细分!J8</f>
        <v>中</v>
      </c>
      <c r="E8" s="2" t="str">
        <f t="shared" si="10"/>
        <v>T3中0</v>
      </c>
      <c r="F8" s="2" t="str">
        <f>VLOOKUP($B8,坦克个性化设定!$B$18:$BC$48,MATCH(F$3,坦克个性化设定!$B$18:$BC$18,0),FALSE)</f>
        <v>轻坦</v>
      </c>
      <c r="G8" s="2" t="str">
        <f>VLOOKUP($B8,坦克个性化设定!$B$18:$BC$48,MATCH(G$3,坦克个性化设定!$B$18:$BC$18,0),FALSE)</f>
        <v>轻坦弹夹</v>
      </c>
      <c r="H8" s="2" t="str">
        <f t="shared" si="11"/>
        <v>弹夹装弹</v>
      </c>
      <c r="I8" s="2">
        <f>VLOOKUP($B8,坦克个性化设定!$B$18:$BC$48,MATCH(I$3,坦克个性化设定!$B$18:$BC$18,0),FALSE)</f>
        <v>5.91</v>
      </c>
      <c r="J8" s="2">
        <f>VLOOKUP($B8,坦克个性化设定!$B$18:$BC$48,MATCH(J$3,坦克个性化设定!$B$18:$BC$18,0),FALSE)</f>
        <v>2.67</v>
      </c>
      <c r="K8" s="2">
        <f>VLOOKUP($B8,坦克个性化设定!$B$18:$BC$48,MATCH(K$3,坦克个性化设定!$B$18:$BC$18,0),FALSE)</f>
        <v>0.3</v>
      </c>
      <c r="L8" s="34">
        <f>VLOOKUP($B8,坦克个性化设定!$B$18:$BC$48,MATCH(L$3,坦克个性化设定!$B$18:$BC$18,0),FALSE)</f>
        <v>2.1563141881038952</v>
      </c>
      <c r="M8" s="34">
        <f>VLOOKUP($B8,坦克个性化设定!$B$18:$BC$48,MATCH(M$3,坦克个性化设定!$B$18:$BC$18,0),FALSE)</f>
        <v>21</v>
      </c>
      <c r="N8" s="34">
        <f>VLOOKUP($B8,坦克个性化设定!$B$18:$BC$48,MATCH(N$3,坦克个性化设定!$B$18:$BC$18,0),FALSE)</f>
        <v>35</v>
      </c>
      <c r="O8" s="2">
        <f>VLOOKUP($B8,坦克个性化设定!$B$18:$BC$48,MATCH(O$3,坦克个性化设定!$B$18:$BC$18,0),FALSE)</f>
        <v>1</v>
      </c>
      <c r="P8" s="2">
        <f>VLOOKUP($B8,坦克个性化设定!$B$18:$BC$48,MATCH(P$3,坦克个性化设定!$B$18:$BC$18,0),FALSE)</f>
        <v>1</v>
      </c>
      <c r="Q8" s="2">
        <f>VLOOKUP($B8,坦克个性化设定!$B$18:$BC$48,MATCH(Q$3,坦克个性化设定!$B$18:$BC$18,0),FALSE)</f>
        <v>1</v>
      </c>
      <c r="R8" s="2">
        <f>VLOOKUP($B8,坦克个性化设定!$B$18:$BC$48,MATCH(R$3,坦克个性化设定!$B$18:$BC$18,0),FALSE)</f>
        <v>0.60000000000000009</v>
      </c>
      <c r="S8" s="34">
        <f>VLOOKUP($B8,坦克个性化设定!$B$51:$T$81,MATCH(S$3,坦克个性化设定!$B$51:$T$51,0),FALSE)</f>
        <v>0.36</v>
      </c>
      <c r="T8" s="34">
        <f>VLOOKUP($B8,坦克个性化设定!$B$51:$T$81,MATCH(T$3,坦克个性化设定!$B$51:$T$51,0),FALSE)</f>
        <v>0.5</v>
      </c>
      <c r="U8" s="34">
        <f>VLOOKUP($B8,坦克个性化设定!$B$18:$BC$48,MATCH(U$3,坦克个性化设定!$B$18:$BC$18,0),FALSE)</f>
        <v>0.82</v>
      </c>
      <c r="V8" s="2">
        <f>VLOOKUP($B8,坦克个性化设定!$B$18:$BC$48,MATCH(V$3,坦克个性化设定!$B$18:$BC$18,0),FALSE)</f>
        <v>1.2</v>
      </c>
      <c r="W8" s="2">
        <f>VLOOKUP($B8,坦克个性化设定!$B$18:$BC$48,MATCH(W$3,坦克个性化设定!$B$18:$BC$18,0),FALSE)</f>
        <v>1</v>
      </c>
      <c r="X8" s="2">
        <f>VLOOKUP($B8,坦克个性化设定!$B$18:$BC$48,MATCH(X$3,坦克个性化设定!$B$18:$BC$18,0),FALSE)</f>
        <v>1</v>
      </c>
      <c r="Y8" s="34">
        <f>VLOOKUP($B8,坦克个性化设定!$B$18:$BC$48,MATCH(Y$3,坦克个性化设定!$B$18:$BC$18,0),FALSE)</f>
        <v>11.783831986523932</v>
      </c>
      <c r="Z8" s="34">
        <f>VLOOKUP($B8,坦克个性化设定!$B$18:$BC$48,MATCH(Z$3,坦克个性化设定!$B$18:$BC$18,0),FALSE)</f>
        <v>58.919159932619657</v>
      </c>
      <c r="AA8" s="34">
        <f>VLOOKUP($B8,坦克个性化设定!$B$18:$BC$48,MATCH(AA$3,坦克个性化设定!$B$18:$BC$18,0),FALSE)</f>
        <v>0.58499999999999996</v>
      </c>
      <c r="AB8" s="34">
        <f>VLOOKUP($B8,坦克个性化设定!$B$18:$BC$48,MATCH(AB$3,坦克个性化设定!$B$18:$BC$18,0),FALSE)</f>
        <v>10.5</v>
      </c>
      <c r="AC8" s="34">
        <f>VLOOKUP($B8,坦克个性化设定!$B$18:$BC$48,MATCH(AC$3,坦克个性化设定!$B$18:$BC$18,0),FALSE)</f>
        <v>7</v>
      </c>
      <c r="AD8" s="34">
        <f>VLOOKUP($B8,坦克个性化设定!$B$18:$BC$48,MATCH(AD$3,坦克个性化设定!$B$18:$BC$18,0),FALSE)</f>
        <v>10.5</v>
      </c>
      <c r="AE8" s="34">
        <f>VLOOKUP($B8,坦克个性化设定!$B$18:$BC$48,MATCH(AE$3,坦克个性化设定!$B$18:$BC$18,0),FALSE)</f>
        <v>0.58499999999999996</v>
      </c>
      <c r="AF8" s="2">
        <f>VLOOKUP($B8,坦克个性化设定!$B$18:$BC$48,MATCH(AF$3,坦克个性化设定!$B$18:$BC$18,0),FALSE)</f>
        <v>0.2</v>
      </c>
      <c r="AG8" s="2">
        <f>VLOOKUP($B8,坦克个性化设定!$B$18:$BC$48,MATCH(AG$3,坦克个性化设定!$B$18:$BC$18,0),FALSE)</f>
        <v>40</v>
      </c>
      <c r="AH8" s="2">
        <f>VLOOKUP($B8,坦克个性化设定!$B$18:$BC$48,MATCH(AH$3,坦克个性化设定!$B$18:$BC$18,0),FALSE)</f>
        <v>100</v>
      </c>
      <c r="AI8" s="2">
        <f>VLOOKUP(B8,坦克个性化细分!$I$3:$P$33,3,FALSE)</f>
        <v>48.1</v>
      </c>
      <c r="AJ8" s="2">
        <f>VLOOKUP(B8,坦克个性化细分!$I$3:$P$33,5,FALSE)</f>
        <v>45.9</v>
      </c>
      <c r="AK8" s="2">
        <f>VLOOKUP(B8,坦克个性化细分!$I$3:$P$33,7,FALSE)</f>
        <v>10.7</v>
      </c>
      <c r="AL8" s="2">
        <f>VLOOKUP($B8,坦克个性化设定!$G$84:$T$114,MATCH(AL$3,坦克个性化设定!$G$84:$T$84,0),FALSE)</f>
        <v>12</v>
      </c>
      <c r="AM8" s="2">
        <f>VLOOKUP($B8,坦克个性化细分!$E$3:$G$33,2,FALSE)</f>
        <v>0</v>
      </c>
      <c r="AN8" s="2">
        <f>VLOOKUP($B8,坦克个性化细分!$E$3:$G$33,3,FALSE)</f>
        <v>8.3999999999999986</v>
      </c>
      <c r="AO8" s="34">
        <f t="shared" si="0"/>
        <v>0.41666666666666669</v>
      </c>
      <c r="AP8" s="33">
        <f t="shared" ca="1" si="1"/>
        <v>1264</v>
      </c>
      <c r="AQ8" s="33">
        <f t="shared" ca="1" si="2"/>
        <v>71</v>
      </c>
      <c r="AR8" s="33">
        <f t="shared" ca="1" si="3"/>
        <v>506</v>
      </c>
      <c r="AS8" s="33">
        <f t="shared" ca="1" si="4"/>
        <v>354</v>
      </c>
      <c r="AT8" s="33">
        <f t="shared" ca="1" si="5"/>
        <v>462</v>
      </c>
      <c r="AU8" s="33">
        <f t="shared" ca="1" si="6"/>
        <v>123</v>
      </c>
      <c r="AV8" s="33">
        <f t="shared" si="12"/>
        <v>0</v>
      </c>
      <c r="AW8" s="33">
        <f t="shared" si="13"/>
        <v>0</v>
      </c>
      <c r="AX8" s="33">
        <f t="shared" si="14"/>
        <v>0</v>
      </c>
      <c r="AY8" s="2">
        <f t="shared" si="7"/>
        <v>4</v>
      </c>
      <c r="AZ8" s="2">
        <f>基础属性系数!$E$61</f>
        <v>0</v>
      </c>
      <c r="BA8" s="2">
        <v>50</v>
      </c>
      <c r="BB8" s="2">
        <v>10</v>
      </c>
      <c r="BC8" s="2">
        <f>VLOOKUP($B8,坦克类型系数!$B$3:$R$33,MATCH(BC$3,坦克类型系数!$B$3:$R$3,0),FALSE)</f>
        <v>0</v>
      </c>
      <c r="BD8" s="2">
        <f>VLOOKUP($B8,坦克类型系数!$B$3:$R$33,MATCH(BD$3,坦克类型系数!$B$3:$R$3,0),FALSE)</f>
        <v>2</v>
      </c>
      <c r="BE8" s="2">
        <f>VLOOKUP($B8,坦克类型系数!$B$3:$R$33,MATCH(BE$3,坦克类型系数!$B$3:$R$3,0),FALSE)</f>
        <v>1.55</v>
      </c>
      <c r="BF8" s="2">
        <f>VLOOKUP($B8,坦克类型系数!$B$3:$R$33,MATCH(BF$3,坦克类型系数!$B$3:$R$3,0),FALSE)</f>
        <v>1.25</v>
      </c>
      <c r="BG8" s="2">
        <f>VLOOKUP($B8,坦克类型系数!$B$3:$R$33,MATCH(BG$3,坦克类型系数!$B$3:$R$3,0),FALSE)</f>
        <v>1.1000000000000001</v>
      </c>
      <c r="BH8" s="2">
        <f>VLOOKUP($B8,坦克类型系数!$B$3:$R$33,MATCH(BH$3,坦克类型系数!$B$3:$R$3,0),FALSE)</f>
        <v>0.95</v>
      </c>
      <c r="BI8" s="2">
        <f>VLOOKUP($B8,坦克类型系数!$B$3:$R$33,MATCH(BI$3,坦克类型系数!$B$3:$R$3,0),FALSE)</f>
        <v>0.8</v>
      </c>
      <c r="BJ8" s="25"/>
      <c r="BK8" s="25"/>
      <c r="BL8" s="25"/>
      <c r="BM8" s="1" t="s">
        <v>1230</v>
      </c>
      <c r="BN8" s="2" t="str">
        <f t="shared" si="8"/>
        <v>十字军</v>
      </c>
      <c r="BO8" s="2" t="str">
        <f>VLOOKUP(BN8,坦克个性化设定!$B$18:$E$48,MATCH(BO$3,坦克个性化设定!$B$18:$E$18,0),FALSE)</f>
        <v>T3</v>
      </c>
      <c r="BP8" s="2" t="str">
        <f t="shared" si="9"/>
        <v>中</v>
      </c>
      <c r="BQ8" s="2" t="s">
        <v>792</v>
      </c>
      <c r="BR8" s="2"/>
      <c r="BS8" s="42">
        <f ca="1">VLOOKUP($BN8&amp;$BQ8,坦克标准养成属性!$S$3:$AE$63,MATCH(BS$3,坦克标准养成属性!$S$3:$AE$3,0),FALSE)</f>
        <v>1263.5443037169016</v>
      </c>
      <c r="BT8" s="42">
        <f ca="1">VLOOKUP($BN8&amp;$BQ8,坦克标准养成属性!$S$3:$AE$63,MATCH(BT$3,坦克标准养成属性!$S$3:$AE$3,0),FALSE)</f>
        <v>70.947632552320371</v>
      </c>
      <c r="BU8" s="42">
        <f ca="1">VLOOKUP($BN8&amp;$BQ8,坦克标准养成属性!$S$3:$AE$63,MATCH(BU$3,坦克标准养成属性!$S$3:$AE$3,0),FALSE)</f>
        <v>506</v>
      </c>
      <c r="BV8" s="42">
        <f ca="1">VLOOKUP($BN8&amp;$BQ8,坦克标准养成属性!$S$3:$AE$63,MATCH(BV$3,坦克标准养成属性!$S$3:$AE$3,0),FALSE)</f>
        <v>354</v>
      </c>
      <c r="BW8" s="42">
        <f ca="1">VLOOKUP($BN8&amp;$BQ8,坦克标准养成属性!$S$3:$AE$63,MATCH(BW$3,坦克标准养成属性!$S$3:$AE$3,0),FALSE)</f>
        <v>462</v>
      </c>
      <c r="BX8" s="42">
        <f ca="1">VLOOKUP($BN8&amp;$BQ8,坦克标准养成属性!$S$3:$AE$63,MATCH(BX$3,坦克标准养成属性!$S$3:$AE$3,0),FALSE)</f>
        <v>123</v>
      </c>
      <c r="BY8" s="2">
        <f>IFERROR((VLOOKUP(LEFT(BR8,1)*1,坦克部件!$N$3:$W$9,MATCH("升星属性",坦克部件!$N$3:$W$3,0),FALSE)+VLOOKUP(RIGHT(BR8,1)*1,坦克部件!$Y$3:$AC$38,MATCH("累计属性",坦克部件!$Y$3:$AC$3,0),FALSE))*2,0)</f>
        <v>0</v>
      </c>
      <c r="BZ8" s="42">
        <f t="shared" si="15"/>
        <v>0</v>
      </c>
      <c r="CA8" s="42">
        <f t="shared" si="16"/>
        <v>0</v>
      </c>
    </row>
    <row r="9" spans="2:79" x14ac:dyDescent="0.3">
      <c r="B9" s="2" t="str">
        <f>坦克个性化设定!B24</f>
        <v>AMX-13</v>
      </c>
      <c r="C9" s="2" t="str">
        <f>VLOOKUP(B9,坦克个性化设定!$B$18:$E$48,4,FALSE)</f>
        <v>T3</v>
      </c>
      <c r="D9" s="2" t="str">
        <f>坦克个性化细分!J9</f>
        <v>高</v>
      </c>
      <c r="E9" s="2" t="str">
        <f t="shared" si="10"/>
        <v>T3高0</v>
      </c>
      <c r="F9" s="2" t="str">
        <f>VLOOKUP($B9,坦克个性化设定!$B$18:$BC$48,MATCH(F$3,坦克个性化设定!$B$18:$BC$18,0),FALSE)</f>
        <v>轻坦</v>
      </c>
      <c r="G9" s="2" t="str">
        <f>VLOOKUP($B9,坦克个性化设定!$B$18:$BC$48,MATCH(G$3,坦克个性化设定!$B$18:$BC$18,0),FALSE)</f>
        <v>轻坦弹夹</v>
      </c>
      <c r="H9" s="2" t="str">
        <f t="shared" si="11"/>
        <v>弹夹装弹</v>
      </c>
      <c r="I9" s="2">
        <f>VLOOKUP($B9,坦克个性化设定!$B$18:$BC$48,MATCH(I$3,坦克个性化设定!$B$18:$BC$18,0),FALSE)</f>
        <v>4.9400000000000004</v>
      </c>
      <c r="J9" s="2">
        <f>VLOOKUP($B9,坦克个性化设定!$B$18:$BC$48,MATCH(J$3,坦克个性化设定!$B$18:$BC$18,0),FALSE)</f>
        <v>2.54</v>
      </c>
      <c r="K9" s="2">
        <f>VLOOKUP($B9,坦克个性化设定!$B$18:$BC$48,MATCH(K$3,坦克个性化设定!$B$18:$BC$18,0),FALSE)</f>
        <v>0.3</v>
      </c>
      <c r="L9" s="34">
        <f>VLOOKUP($B9,坦克个性化设定!$B$18:$BC$48,MATCH(L$3,坦克个性化设定!$B$18:$BC$18,0),FALSE)</f>
        <v>2.1563141881038952</v>
      </c>
      <c r="M9" s="34">
        <f>VLOOKUP($B9,坦克个性化设定!$B$18:$BC$48,MATCH(M$3,坦克个性化设定!$B$18:$BC$18,0),FALSE)</f>
        <v>21</v>
      </c>
      <c r="N9" s="34">
        <f>VLOOKUP($B9,坦克个性化设定!$B$18:$BC$48,MATCH(N$3,坦克个性化设定!$B$18:$BC$18,0),FALSE)</f>
        <v>35</v>
      </c>
      <c r="O9" s="2">
        <f>VLOOKUP($B9,坦克个性化设定!$B$18:$BC$48,MATCH(O$3,坦克个性化设定!$B$18:$BC$18,0),FALSE)</f>
        <v>1</v>
      </c>
      <c r="P9" s="2">
        <f>VLOOKUP($B9,坦克个性化设定!$B$18:$BC$48,MATCH(P$3,坦克个性化设定!$B$18:$BC$18,0),FALSE)</f>
        <v>1</v>
      </c>
      <c r="Q9" s="2">
        <f>VLOOKUP($B9,坦克个性化设定!$B$18:$BC$48,MATCH(Q$3,坦克个性化设定!$B$18:$BC$18,0),FALSE)</f>
        <v>1</v>
      </c>
      <c r="R9" s="2">
        <f>VLOOKUP($B9,坦克个性化设定!$B$18:$BC$48,MATCH(R$3,坦克个性化设定!$B$18:$BC$18,0),FALSE)</f>
        <v>0.8</v>
      </c>
      <c r="S9" s="34">
        <f>VLOOKUP($B9,坦克个性化设定!$B$51:$T$81,MATCH(S$3,坦克个性化设定!$B$51:$T$51,0),FALSE)</f>
        <v>0.48</v>
      </c>
      <c r="T9" s="34">
        <f>VLOOKUP($B9,坦克个性化设定!$B$51:$T$81,MATCH(T$3,坦克个性化设定!$B$51:$T$51,0),FALSE)</f>
        <v>0.62</v>
      </c>
      <c r="U9" s="34">
        <f>VLOOKUP($B9,坦克个性化设定!$B$18:$BC$48,MATCH(U$3,坦克个性化设定!$B$18:$BC$18,0),FALSE)</f>
        <v>0.7</v>
      </c>
      <c r="V9" s="2">
        <f>VLOOKUP($B9,坦克个性化设定!$B$18:$BC$48,MATCH(V$3,坦克个性化设定!$B$18:$BC$18,0),FALSE)</f>
        <v>1.2</v>
      </c>
      <c r="W9" s="2">
        <f>VLOOKUP($B9,坦克个性化设定!$B$18:$BC$48,MATCH(W$3,坦克个性化设定!$B$18:$BC$18,0),FALSE)</f>
        <v>3</v>
      </c>
      <c r="X9" s="2">
        <f>VLOOKUP($B9,坦克个性化设定!$B$18:$BC$48,MATCH(X$3,坦克个性化设定!$B$18:$BC$18,0),FALSE)</f>
        <v>1</v>
      </c>
      <c r="Y9" s="34">
        <f>VLOOKUP($B9,坦克个性化设定!$B$18:$BC$48,MATCH(Y$3,坦克个性化设定!$B$18:$BC$18,0),FALSE)</f>
        <v>9.4270655892191453</v>
      </c>
      <c r="Z9" s="34">
        <f>VLOOKUP($B9,坦克个性化设定!$B$18:$BC$48,MATCH(Z$3,坦克个性化设定!$B$18:$BC$18,0),FALSE)</f>
        <v>58.919159932619657</v>
      </c>
      <c r="AA9" s="34">
        <f>VLOOKUP($B9,坦克个性化设定!$B$18:$BC$48,MATCH(AA$3,坦克个性化设定!$B$18:$BC$18,0),FALSE)</f>
        <v>0.58499999999999996</v>
      </c>
      <c r="AB9" s="34">
        <f>VLOOKUP($B9,坦克个性化设定!$B$18:$BC$48,MATCH(AB$3,坦克个性化设定!$B$18:$BC$18,0),FALSE)</f>
        <v>9.4500000000000011</v>
      </c>
      <c r="AC9" s="34">
        <f>VLOOKUP($B9,坦克个性化设定!$B$18:$BC$48,MATCH(AC$3,坦克个性化设定!$B$18:$BC$18,0),FALSE)</f>
        <v>7</v>
      </c>
      <c r="AD9" s="34">
        <f>VLOOKUP($B9,坦克个性化设定!$B$18:$BC$48,MATCH(AD$3,坦克个性化设定!$B$18:$BC$18,0),FALSE)</f>
        <v>10.5</v>
      </c>
      <c r="AE9" s="34">
        <f>VLOOKUP($B9,坦克个性化设定!$B$18:$BC$48,MATCH(AE$3,坦克个性化设定!$B$18:$BC$18,0),FALSE)</f>
        <v>0.58499999999999996</v>
      </c>
      <c r="AF9" s="2">
        <f>VLOOKUP($B9,坦克个性化设定!$B$18:$BC$48,MATCH(AF$3,坦克个性化设定!$B$18:$BC$18,0),FALSE)</f>
        <v>0.2</v>
      </c>
      <c r="AG9" s="2">
        <f>VLOOKUP($B9,坦克个性化设定!$B$18:$BC$48,MATCH(AG$3,坦克个性化设定!$B$18:$BC$18,0),FALSE)</f>
        <v>40</v>
      </c>
      <c r="AH9" s="2">
        <f>VLOOKUP($B9,坦克个性化设定!$B$18:$BC$48,MATCH(AH$3,坦克个性化设定!$B$18:$BC$18,0),FALSE)</f>
        <v>100</v>
      </c>
      <c r="AI9" s="2">
        <f>VLOOKUP(B9,坦克个性化细分!$I$3:$P$33,3,FALSE)</f>
        <v>39.6</v>
      </c>
      <c r="AJ9" s="2">
        <f>VLOOKUP(B9,坦克个性化细分!$I$3:$P$33,5,FALSE)</f>
        <v>59.1</v>
      </c>
      <c r="AK9" s="2">
        <f>VLOOKUP(B9,坦克个性化细分!$I$3:$P$33,7,FALSE)</f>
        <v>9.9</v>
      </c>
      <c r="AL9" s="2">
        <f>VLOOKUP($B9,坦克个性化设定!$G$84:$T$114,MATCH(AL$3,坦克个性化设定!$G$84:$T$84,0),FALSE)</f>
        <v>9</v>
      </c>
      <c r="AM9" s="2">
        <f>VLOOKUP($B9,坦克个性化细分!$E$3:$G$33,2,FALSE)</f>
        <v>0</v>
      </c>
      <c r="AN9" s="2">
        <f>VLOOKUP($B9,坦克个性化细分!$E$3:$G$33,3,FALSE)</f>
        <v>6.3</v>
      </c>
      <c r="AO9" s="34">
        <f t="shared" si="0"/>
        <v>0.51666666666666672</v>
      </c>
      <c r="AP9" s="33">
        <f t="shared" ca="1" si="1"/>
        <v>1168</v>
      </c>
      <c r="AQ9" s="33">
        <f t="shared" ca="1" si="2"/>
        <v>95</v>
      </c>
      <c r="AR9" s="33">
        <f t="shared" ca="1" si="3"/>
        <v>506</v>
      </c>
      <c r="AS9" s="33">
        <f t="shared" ca="1" si="4"/>
        <v>354</v>
      </c>
      <c r="AT9" s="33">
        <f t="shared" ca="1" si="5"/>
        <v>462</v>
      </c>
      <c r="AU9" s="33">
        <f t="shared" ca="1" si="6"/>
        <v>123</v>
      </c>
      <c r="AV9" s="33">
        <f t="shared" si="12"/>
        <v>0</v>
      </c>
      <c r="AW9" s="33">
        <f t="shared" si="13"/>
        <v>0</v>
      </c>
      <c r="AX9" s="33">
        <f t="shared" si="14"/>
        <v>0</v>
      </c>
      <c r="AY9" s="2">
        <f t="shared" si="7"/>
        <v>4</v>
      </c>
      <c r="AZ9" s="2">
        <f>基础属性系数!$E$61</f>
        <v>0</v>
      </c>
      <c r="BA9" s="2">
        <v>50</v>
      </c>
      <c r="BB9" s="2">
        <v>10</v>
      </c>
      <c r="BC9" s="2">
        <f>VLOOKUP($B9,坦克类型系数!$B$3:$R$33,MATCH(BC$3,坦克类型系数!$B$3:$R$3,0),FALSE)</f>
        <v>0</v>
      </c>
      <c r="BD9" s="2">
        <f>VLOOKUP($B9,坦克类型系数!$B$3:$R$33,MATCH(BD$3,坦克类型系数!$B$3:$R$3,0),FALSE)</f>
        <v>1.9</v>
      </c>
      <c r="BE9" s="2">
        <f>VLOOKUP($B9,坦克类型系数!$B$3:$R$33,MATCH(BE$3,坦克类型系数!$B$3:$R$3,0),FALSE)</f>
        <v>1.55</v>
      </c>
      <c r="BF9" s="2">
        <f>VLOOKUP($B9,坦克类型系数!$B$3:$R$33,MATCH(BF$3,坦克类型系数!$B$3:$R$3,0),FALSE)</f>
        <v>1.25</v>
      </c>
      <c r="BG9" s="2">
        <f>VLOOKUP($B9,坦克类型系数!$B$3:$R$33,MATCH(BG$3,坦克类型系数!$B$3:$R$3,0),FALSE)</f>
        <v>1.1000000000000001</v>
      </c>
      <c r="BH9" s="2">
        <f>VLOOKUP($B9,坦克类型系数!$B$3:$R$33,MATCH(BH$3,坦克类型系数!$B$3:$R$3,0),FALSE)</f>
        <v>0.9</v>
      </c>
      <c r="BI9" s="2">
        <f>VLOOKUP($B9,坦克类型系数!$B$3:$R$33,MATCH(BI$3,坦克类型系数!$B$3:$R$3,0),FALSE)</f>
        <v>0.75</v>
      </c>
      <c r="BJ9" s="25"/>
      <c r="BK9" s="25"/>
      <c r="BL9" s="25"/>
      <c r="BM9" s="1" t="s">
        <v>1232</v>
      </c>
      <c r="BN9" s="2" t="str">
        <f t="shared" si="8"/>
        <v>AMX-13</v>
      </c>
      <c r="BO9" s="2" t="str">
        <f>VLOOKUP(BN9,坦克个性化设定!$B$18:$E$48,MATCH(BO$3,坦克个性化设定!$B$18:$E$18,0),FALSE)</f>
        <v>T3</v>
      </c>
      <c r="BP9" s="2" t="str">
        <f t="shared" si="9"/>
        <v>高</v>
      </c>
      <c r="BQ9" s="2" t="s">
        <v>792</v>
      </c>
      <c r="BR9" s="2"/>
      <c r="BS9" s="42">
        <f ca="1">VLOOKUP($BN9&amp;$BQ9,坦克标准养成属性!$S$3:$AE$63,MATCH(BS$3,坦克标准养成属性!$S$3:$AE$3,0),FALSE)</f>
        <v>1168.4620653042637</v>
      </c>
      <c r="BT9" s="42">
        <f ca="1">VLOOKUP($BN9&amp;$BQ9,坦克标准养成属性!$S$3:$AE$63,MATCH(BT$3,坦克标准养成属性!$S$3:$AE$3,0),FALSE)</f>
        <v>95.027176003397116</v>
      </c>
      <c r="BU9" s="42">
        <f ca="1">VLOOKUP($BN9&amp;$BQ9,坦克标准养成属性!$S$3:$AE$63,MATCH(BU$3,坦克标准养成属性!$S$3:$AE$3,0),FALSE)</f>
        <v>506</v>
      </c>
      <c r="BV9" s="42">
        <f ca="1">VLOOKUP($BN9&amp;$BQ9,坦克标准养成属性!$S$3:$AE$63,MATCH(BV$3,坦克标准养成属性!$S$3:$AE$3,0),FALSE)</f>
        <v>354</v>
      </c>
      <c r="BW9" s="42">
        <f ca="1">VLOOKUP($BN9&amp;$BQ9,坦克标准养成属性!$S$3:$AE$63,MATCH(BW$3,坦克标准养成属性!$S$3:$AE$3,0),FALSE)</f>
        <v>462</v>
      </c>
      <c r="BX9" s="42">
        <f ca="1">VLOOKUP($BN9&amp;$BQ9,坦克标准养成属性!$S$3:$AE$63,MATCH(BX$3,坦克标准养成属性!$S$3:$AE$3,0),FALSE)</f>
        <v>123</v>
      </c>
      <c r="BY9" s="2">
        <f>IFERROR((VLOOKUP(LEFT(BR9,1)*1,坦克部件!$N$3:$W$9,MATCH("升星属性",坦克部件!$N$3:$W$3,0),FALSE)+VLOOKUP(RIGHT(BR9,1)*1,坦克部件!$Y$3:$AC$38,MATCH("累计属性",坦克部件!$Y$3:$AC$3,0),FALSE))*2,0)</f>
        <v>0</v>
      </c>
      <c r="BZ9" s="42">
        <f t="shared" si="15"/>
        <v>0</v>
      </c>
      <c r="CA9" s="42">
        <f t="shared" si="16"/>
        <v>0</v>
      </c>
    </row>
    <row r="10" spans="2:79" x14ac:dyDescent="0.3">
      <c r="B10" s="2" t="str">
        <f>坦克个性化设定!B25</f>
        <v>霞飞</v>
      </c>
      <c r="C10" s="2" t="str">
        <f>VLOOKUP(B10,坦克个性化设定!$B$18:$E$48,4,FALSE)</f>
        <v>T4</v>
      </c>
      <c r="D10" s="2" t="str">
        <f>坦克个性化细分!J10</f>
        <v>低</v>
      </c>
      <c r="E10" s="2" t="str">
        <f t="shared" si="10"/>
        <v>T4低0</v>
      </c>
      <c r="F10" s="2" t="str">
        <f>VLOOKUP($B10,坦克个性化设定!$B$18:$BC$48,MATCH(F$3,坦克个性化设定!$B$18:$BC$18,0),FALSE)</f>
        <v>轻坦</v>
      </c>
      <c r="G10" s="2" t="str">
        <f>VLOOKUP($B10,坦克个性化设定!$B$18:$BC$48,MATCH(G$3,坦克个性化设定!$B$18:$BC$18,0),FALSE)</f>
        <v>轻坦弹夹</v>
      </c>
      <c r="H10" s="2" t="str">
        <f t="shared" si="11"/>
        <v>弹夹装弹</v>
      </c>
      <c r="I10" s="2">
        <f>VLOOKUP($B10,坦克个性化设定!$B$18:$BC$48,MATCH(I$3,坦克个性化设定!$B$18:$BC$18,0),FALSE)</f>
        <v>4.8</v>
      </c>
      <c r="J10" s="2">
        <f>VLOOKUP($B10,坦克个性化设定!$B$18:$BC$48,MATCH(J$3,坦克个性化设定!$B$18:$BC$18,0),FALSE)</f>
        <v>2.94</v>
      </c>
      <c r="K10" s="2">
        <f>VLOOKUP($B10,坦克个性化设定!$B$18:$BC$48,MATCH(K$3,坦克个性化设定!$B$18:$BC$18,0),FALSE)</f>
        <v>0.3</v>
      </c>
      <c r="L10" s="34">
        <f>VLOOKUP($B10,坦克个性化设定!$B$18:$BC$48,MATCH(L$3,坦克个性化设定!$B$18:$BC$18,0),FALSE)</f>
        <v>2.1563141881038952</v>
      </c>
      <c r="M10" s="34">
        <f>VLOOKUP($B10,坦克个性化设定!$B$18:$BC$48,MATCH(M$3,坦克个性化设定!$B$18:$BC$18,0),FALSE)</f>
        <v>21</v>
      </c>
      <c r="N10" s="34">
        <f>VLOOKUP($B10,坦克个性化设定!$B$18:$BC$48,MATCH(N$3,坦克个性化设定!$B$18:$BC$18,0),FALSE)</f>
        <v>35</v>
      </c>
      <c r="O10" s="2">
        <f>VLOOKUP($B10,坦克个性化设定!$B$18:$BC$48,MATCH(O$3,坦克个性化设定!$B$18:$BC$18,0),FALSE)</f>
        <v>1</v>
      </c>
      <c r="P10" s="2">
        <f>VLOOKUP($B10,坦克个性化设定!$B$18:$BC$48,MATCH(P$3,坦克个性化设定!$B$18:$BC$18,0),FALSE)</f>
        <v>1</v>
      </c>
      <c r="Q10" s="2">
        <f>VLOOKUP($B10,坦克个性化设定!$B$18:$BC$48,MATCH(Q$3,坦克个性化设定!$B$18:$BC$18,0),FALSE)</f>
        <v>1</v>
      </c>
      <c r="R10" s="2">
        <f>VLOOKUP($B10,坦克个性化设定!$B$18:$BC$48,MATCH(R$3,坦克个性化设定!$B$18:$BC$18,0),FALSE)</f>
        <v>0.60000000000000009</v>
      </c>
      <c r="S10" s="34">
        <f>VLOOKUP($B10,坦克个性化设定!$B$51:$T$81,MATCH(S$3,坦克个性化设定!$B$51:$T$51,0),FALSE)</f>
        <v>0.48</v>
      </c>
      <c r="T10" s="34">
        <f>VLOOKUP($B10,坦克个性化设定!$B$51:$T$81,MATCH(T$3,坦克个性化设定!$B$51:$T$51,0),FALSE)</f>
        <v>0.54</v>
      </c>
      <c r="U10" s="34">
        <f>VLOOKUP($B10,坦克个性化设定!$B$18:$BC$48,MATCH(U$3,坦克个性化设定!$B$18:$BC$18,0),FALSE)</f>
        <v>0.82</v>
      </c>
      <c r="V10" s="2">
        <f>VLOOKUP($B10,坦克个性化设定!$B$18:$BC$48,MATCH(V$3,坦克个性化设定!$B$18:$BC$18,0),FALSE)</f>
        <v>1.2</v>
      </c>
      <c r="W10" s="2">
        <f>VLOOKUP($B10,坦克个性化设定!$B$18:$BC$48,MATCH(W$3,坦克个性化设定!$B$18:$BC$18,0),FALSE)</f>
        <v>2</v>
      </c>
      <c r="X10" s="2">
        <f>VLOOKUP($B10,坦克个性化设定!$B$18:$BC$48,MATCH(X$3,坦克个性化设定!$B$18:$BC$18,0),FALSE)</f>
        <v>1</v>
      </c>
      <c r="Y10" s="34">
        <f>VLOOKUP($B10,坦克个性化设定!$B$18:$BC$48,MATCH(Y$3,坦克个性化设定!$B$18:$BC$18,0),FALSE)</f>
        <v>10.60544878787154</v>
      </c>
      <c r="Z10" s="34">
        <f>VLOOKUP($B10,坦克个性化设定!$B$18:$BC$48,MATCH(Z$3,坦克个性化设定!$B$18:$BC$18,0),FALSE)</f>
        <v>58.919159932619657</v>
      </c>
      <c r="AA10" s="34">
        <f>VLOOKUP($B10,坦克个性化设定!$B$18:$BC$48,MATCH(AA$3,坦克个性化设定!$B$18:$BC$18,0),FALSE)</f>
        <v>0.58499999999999996</v>
      </c>
      <c r="AB10" s="34">
        <f>VLOOKUP($B10,坦克个性化设定!$B$18:$BC$48,MATCH(AB$3,坦克个性化设定!$B$18:$BC$18,0),FALSE)</f>
        <v>9.9749999999999996</v>
      </c>
      <c r="AC10" s="34">
        <f>VLOOKUP($B10,坦克个性化设定!$B$18:$BC$48,MATCH(AC$3,坦克个性化设定!$B$18:$BC$18,0),FALSE)</f>
        <v>7</v>
      </c>
      <c r="AD10" s="34">
        <f>VLOOKUP($B10,坦克个性化设定!$B$18:$BC$48,MATCH(AD$3,坦克个性化设定!$B$18:$BC$18,0),FALSE)</f>
        <v>10.5</v>
      </c>
      <c r="AE10" s="34">
        <f>VLOOKUP($B10,坦克个性化设定!$B$18:$BC$48,MATCH(AE$3,坦克个性化设定!$B$18:$BC$18,0),FALSE)</f>
        <v>0.58499999999999996</v>
      </c>
      <c r="AF10" s="2">
        <f>VLOOKUP($B10,坦克个性化设定!$B$18:$BC$48,MATCH(AF$3,坦克个性化设定!$B$18:$BC$18,0),FALSE)</f>
        <v>0.2</v>
      </c>
      <c r="AG10" s="2">
        <f>VLOOKUP($B10,坦克个性化设定!$B$18:$BC$48,MATCH(AG$3,坦克个性化设定!$B$18:$BC$18,0),FALSE)</f>
        <v>40</v>
      </c>
      <c r="AH10" s="2">
        <f>VLOOKUP($B10,坦克个性化设定!$B$18:$BC$48,MATCH(AH$3,坦克个性化设定!$B$18:$BC$18,0),FALSE)</f>
        <v>100</v>
      </c>
      <c r="AI10" s="2">
        <f>VLOOKUP(B10,坦克个性化细分!$I$3:$P$33,3,FALSE)</f>
        <v>42.4</v>
      </c>
      <c r="AJ10" s="2">
        <f>VLOOKUP(B10,坦克个性化细分!$I$3:$P$33,5,FALSE)</f>
        <v>50</v>
      </c>
      <c r="AK10" s="2">
        <f>VLOOKUP(B10,坦克个性化细分!$I$3:$P$33,7,FALSE)</f>
        <v>10</v>
      </c>
      <c r="AL10" s="2">
        <f>VLOOKUP($B10,坦克个性化设定!$G$84:$T$114,MATCH(AL$3,坦克个性化设定!$G$84:$T$84,0),FALSE)</f>
        <v>9</v>
      </c>
      <c r="AM10" s="2">
        <f>VLOOKUP($B10,坦克个性化细分!$E$3:$G$33,2,FALSE)</f>
        <v>0</v>
      </c>
      <c r="AN10" s="2">
        <f>VLOOKUP($B10,坦克个性化细分!$E$3:$G$33,3,FALSE)</f>
        <v>6.3</v>
      </c>
      <c r="AO10" s="34">
        <f t="shared" si="0"/>
        <v>0.45000000000000007</v>
      </c>
      <c r="AP10" s="33">
        <f t="shared" ca="1" si="1"/>
        <v>1467</v>
      </c>
      <c r="AQ10" s="33">
        <f t="shared" ca="1" si="2"/>
        <v>102</v>
      </c>
      <c r="AR10" s="33">
        <f t="shared" ca="1" si="3"/>
        <v>631</v>
      </c>
      <c r="AS10" s="33">
        <f t="shared" ca="1" si="4"/>
        <v>442</v>
      </c>
      <c r="AT10" s="33">
        <f t="shared" ca="1" si="5"/>
        <v>576</v>
      </c>
      <c r="AU10" s="33">
        <f t="shared" ca="1" si="6"/>
        <v>154</v>
      </c>
      <c r="AV10" s="33">
        <f t="shared" si="12"/>
        <v>0</v>
      </c>
      <c r="AW10" s="33">
        <f t="shared" si="13"/>
        <v>0</v>
      </c>
      <c r="AX10" s="33">
        <f t="shared" si="14"/>
        <v>0</v>
      </c>
      <c r="AY10" s="2">
        <f t="shared" si="7"/>
        <v>4</v>
      </c>
      <c r="AZ10" s="2">
        <f>基础属性系数!$E$61</f>
        <v>0</v>
      </c>
      <c r="BA10" s="2">
        <v>50</v>
      </c>
      <c r="BB10" s="2">
        <v>10</v>
      </c>
      <c r="BC10" s="2">
        <f>VLOOKUP($B10,坦克类型系数!$B$3:$R$33,MATCH(BC$3,坦克类型系数!$B$3:$R$3,0),FALSE)</f>
        <v>0</v>
      </c>
      <c r="BD10" s="2">
        <f>VLOOKUP($B10,坦克类型系数!$B$3:$R$33,MATCH(BD$3,坦克类型系数!$B$3:$R$3,0),FALSE)</f>
        <v>1.85</v>
      </c>
      <c r="BE10" s="2">
        <f>VLOOKUP($B10,坦克类型系数!$B$3:$R$33,MATCH(BE$3,坦克类型系数!$B$3:$R$3,0),FALSE)</f>
        <v>1.45</v>
      </c>
      <c r="BF10" s="2">
        <f>VLOOKUP($B10,坦克类型系数!$B$3:$R$33,MATCH(BF$3,坦克类型系数!$B$3:$R$3,0),FALSE)</f>
        <v>1.1499999999999999</v>
      </c>
      <c r="BG10" s="2">
        <f>VLOOKUP($B10,坦克类型系数!$B$3:$R$33,MATCH(BG$3,坦克类型系数!$B$3:$R$3,0),FALSE)</f>
        <v>1.05</v>
      </c>
      <c r="BH10" s="2">
        <f>VLOOKUP($B10,坦克类型系数!$B$3:$R$33,MATCH(BH$3,坦克类型系数!$B$3:$R$3,0),FALSE)</f>
        <v>0.9</v>
      </c>
      <c r="BI10" s="2">
        <f>VLOOKUP($B10,坦克类型系数!$B$3:$R$33,MATCH(BI$3,坦克类型系数!$B$3:$R$3,0),FALSE)</f>
        <v>0.75</v>
      </c>
      <c r="BJ10" s="25"/>
      <c r="BK10" s="25"/>
      <c r="BL10" s="25"/>
      <c r="BM10" s="1" t="s">
        <v>1232</v>
      </c>
      <c r="BN10" s="2" t="str">
        <f t="shared" si="8"/>
        <v>霞飞</v>
      </c>
      <c r="BO10" s="2" t="str">
        <f>VLOOKUP(BN10,坦克个性化设定!$B$18:$E$48,MATCH(BO$3,坦克个性化设定!$B$18:$E$18,0),FALSE)</f>
        <v>T4</v>
      </c>
      <c r="BP10" s="2" t="str">
        <f t="shared" si="9"/>
        <v>低</v>
      </c>
      <c r="BQ10" s="2" t="s">
        <v>792</v>
      </c>
      <c r="BR10" s="2"/>
      <c r="BS10" s="42">
        <f ca="1">VLOOKUP($BN10&amp;$BQ10,坦克标准养成属性!$S$3:$AE$63,MATCH(BS$3,坦克标准养成属性!$S$3:$AE$3,0),FALSE)</f>
        <v>1467.2456516442787</v>
      </c>
      <c r="BT10" s="42">
        <f ca="1">VLOOKUP($BN10&amp;$BQ10,坦克标准养成属性!$S$3:$AE$63,MATCH(BT$3,坦克标准养成属性!$S$3:$AE$3,0),FALSE)</f>
        <v>102.1652306238657</v>
      </c>
      <c r="BU10" s="42">
        <f ca="1">VLOOKUP($BN10&amp;$BQ10,坦克标准养成属性!$S$3:$AE$63,MATCH(BU$3,坦克标准养成属性!$S$3:$AE$3,0),FALSE)</f>
        <v>631</v>
      </c>
      <c r="BV10" s="42">
        <f ca="1">VLOOKUP($BN10&amp;$BQ10,坦克标准养成属性!$S$3:$AE$63,MATCH(BV$3,坦克标准养成属性!$S$3:$AE$3,0),FALSE)</f>
        <v>442</v>
      </c>
      <c r="BW10" s="42">
        <f ca="1">VLOOKUP($BN10&amp;$BQ10,坦克标准养成属性!$S$3:$AE$63,MATCH(BW$3,坦克标准养成属性!$S$3:$AE$3,0),FALSE)</f>
        <v>576</v>
      </c>
      <c r="BX10" s="42">
        <f ca="1">VLOOKUP($BN10&amp;$BQ10,坦克标准养成属性!$S$3:$AE$63,MATCH(BX$3,坦克标准养成属性!$S$3:$AE$3,0),FALSE)</f>
        <v>154</v>
      </c>
      <c r="BY10" s="2">
        <f>IFERROR((VLOOKUP(LEFT(BR10,1)*1,坦克部件!$N$3:$W$9,MATCH("升星属性",坦克部件!$N$3:$W$3,0),FALSE)+VLOOKUP(RIGHT(BR10,1)*1,坦克部件!$Y$3:$AC$38,MATCH("累计属性",坦克部件!$Y$3:$AC$3,0),FALSE))*2,0)</f>
        <v>0</v>
      </c>
      <c r="BZ10" s="42">
        <f t="shared" si="15"/>
        <v>0</v>
      </c>
      <c r="CA10" s="42">
        <f t="shared" si="16"/>
        <v>0</v>
      </c>
    </row>
    <row r="11" spans="2:79" x14ac:dyDescent="0.3">
      <c r="B11" s="2" t="str">
        <f>坦克个性化设定!B26</f>
        <v>M-41</v>
      </c>
      <c r="C11" s="2" t="str">
        <f>VLOOKUP(B11,坦克个性化设定!$B$18:$E$48,4,FALSE)</f>
        <v>T4</v>
      </c>
      <c r="D11" s="2" t="str">
        <f>坦克个性化细分!J11</f>
        <v>中</v>
      </c>
      <c r="E11" s="2" t="str">
        <f t="shared" si="10"/>
        <v>T4中0</v>
      </c>
      <c r="F11" s="2" t="str">
        <f>VLOOKUP($B11,坦克个性化设定!$B$18:$BC$48,MATCH(F$3,坦克个性化设定!$B$18:$BC$18,0),FALSE)</f>
        <v>轻坦</v>
      </c>
      <c r="G11" s="2" t="str">
        <f>VLOOKUP($B11,坦克个性化设定!$B$18:$BC$48,MATCH(G$3,坦克个性化设定!$B$18:$BC$18,0),FALSE)</f>
        <v>轻坦弹夹</v>
      </c>
      <c r="H11" s="2" t="str">
        <f t="shared" si="11"/>
        <v>弹夹装弹</v>
      </c>
      <c r="I11" s="2">
        <f>VLOOKUP($B11,坦克个性化设定!$B$18:$BC$48,MATCH(I$3,坦克个性化设定!$B$18:$BC$18,0),FALSE)</f>
        <v>5.61</v>
      </c>
      <c r="J11" s="2">
        <f>VLOOKUP($B11,坦克个性化设定!$B$18:$BC$48,MATCH(J$3,坦克个性化设定!$B$18:$BC$18,0),FALSE)</f>
        <v>3.21</v>
      </c>
      <c r="K11" s="2">
        <f>VLOOKUP($B11,坦克个性化设定!$B$18:$BC$48,MATCH(K$3,坦克个性化设定!$B$18:$BC$18,0),FALSE)</f>
        <v>0.3</v>
      </c>
      <c r="L11" s="34">
        <f>VLOOKUP($B11,坦克个性化设定!$B$18:$BC$48,MATCH(L$3,坦克个性化设定!$B$18:$BC$18,0),FALSE)</f>
        <v>2.1563141881038952</v>
      </c>
      <c r="M11" s="34">
        <f>VLOOKUP($B11,坦克个性化设定!$B$18:$BC$48,MATCH(M$3,坦克个性化设定!$B$18:$BC$18,0),FALSE)</f>
        <v>21</v>
      </c>
      <c r="N11" s="34">
        <f>VLOOKUP($B11,坦克个性化设定!$B$18:$BC$48,MATCH(N$3,坦克个性化设定!$B$18:$BC$18,0),FALSE)</f>
        <v>35</v>
      </c>
      <c r="O11" s="2">
        <f>VLOOKUP($B11,坦克个性化设定!$B$18:$BC$48,MATCH(O$3,坦克个性化设定!$B$18:$BC$18,0),FALSE)</f>
        <v>1</v>
      </c>
      <c r="P11" s="2">
        <f>VLOOKUP($B11,坦克个性化设定!$B$18:$BC$48,MATCH(P$3,坦克个性化设定!$B$18:$BC$18,0),FALSE)</f>
        <v>1</v>
      </c>
      <c r="Q11" s="2">
        <f>VLOOKUP($B11,坦克个性化设定!$B$18:$BC$48,MATCH(Q$3,坦克个性化设定!$B$18:$BC$18,0),FALSE)</f>
        <v>1</v>
      </c>
      <c r="R11" s="2">
        <f>VLOOKUP($B11,坦克个性化设定!$B$18:$BC$48,MATCH(R$3,坦克个性化设定!$B$18:$BC$18,0),FALSE)</f>
        <v>0.8</v>
      </c>
      <c r="S11" s="34">
        <f>VLOOKUP($B11,坦克个性化设定!$B$51:$T$81,MATCH(S$3,坦克个性化设定!$B$51:$T$51,0),FALSE)</f>
        <v>0.36</v>
      </c>
      <c r="T11" s="34">
        <f>VLOOKUP($B11,坦克个性化设定!$B$51:$T$81,MATCH(T$3,坦克个性化设定!$B$51:$T$51,0),FALSE)</f>
        <v>0.59</v>
      </c>
      <c r="U11" s="34">
        <f>VLOOKUP($B11,坦克个性化设定!$B$18:$BC$48,MATCH(U$3,坦克个性化设定!$B$18:$BC$18,0),FALSE)</f>
        <v>0.74</v>
      </c>
      <c r="V11" s="2">
        <f>VLOOKUP($B11,坦克个性化设定!$B$18:$BC$48,MATCH(V$3,坦克个性化设定!$B$18:$BC$18,0),FALSE)</f>
        <v>1.2</v>
      </c>
      <c r="W11" s="2">
        <f>VLOOKUP($B11,坦克个性化设定!$B$18:$BC$48,MATCH(W$3,坦克个性化设定!$B$18:$BC$18,0),FALSE)</f>
        <v>3</v>
      </c>
      <c r="X11" s="2">
        <f>VLOOKUP($B11,坦克个性化设定!$B$18:$BC$48,MATCH(X$3,坦克个性化设定!$B$18:$BC$18,0),FALSE)</f>
        <v>1</v>
      </c>
      <c r="Y11" s="34">
        <f>VLOOKUP($B11,坦克个性化设定!$B$18:$BC$48,MATCH(Y$3,坦克个性化设定!$B$18:$BC$18,0),FALSE)</f>
        <v>9.4270655892191453</v>
      </c>
      <c r="Z11" s="34">
        <f>VLOOKUP($B11,坦克个性化设定!$B$18:$BC$48,MATCH(Z$3,坦克个性化设定!$B$18:$BC$18,0),FALSE)</f>
        <v>58.919159932619657</v>
      </c>
      <c r="AA11" s="34">
        <f>VLOOKUP($B11,坦克个性化设定!$B$18:$BC$48,MATCH(AA$3,坦克个性化设定!$B$18:$BC$18,0),FALSE)</f>
        <v>0.58499999999999996</v>
      </c>
      <c r="AB11" s="34">
        <f>VLOOKUP($B11,坦克个性化设定!$B$18:$BC$48,MATCH(AB$3,坦克个性化设定!$B$18:$BC$18,0),FALSE)</f>
        <v>9.4500000000000011</v>
      </c>
      <c r="AC11" s="34">
        <f>VLOOKUP($B11,坦克个性化设定!$B$18:$BC$48,MATCH(AC$3,坦克个性化设定!$B$18:$BC$18,0),FALSE)</f>
        <v>7</v>
      </c>
      <c r="AD11" s="34">
        <f>VLOOKUP($B11,坦克个性化设定!$B$18:$BC$48,MATCH(AD$3,坦克个性化设定!$B$18:$BC$18,0),FALSE)</f>
        <v>10.5</v>
      </c>
      <c r="AE11" s="34">
        <f>VLOOKUP($B11,坦克个性化设定!$B$18:$BC$48,MATCH(AE$3,坦克个性化设定!$B$18:$BC$18,0),FALSE)</f>
        <v>0.58499999999999996</v>
      </c>
      <c r="AF11" s="2">
        <f>VLOOKUP($B11,坦克个性化设定!$B$18:$BC$48,MATCH(AF$3,坦克个性化设定!$B$18:$BC$18,0),FALSE)</f>
        <v>0.2</v>
      </c>
      <c r="AG11" s="2">
        <f>VLOOKUP($B11,坦克个性化设定!$B$18:$BC$48,MATCH(AG$3,坦克个性化设定!$B$18:$BC$18,0),FALSE)</f>
        <v>40</v>
      </c>
      <c r="AH11" s="2">
        <f>VLOOKUP($B11,坦克个性化设定!$B$18:$BC$48,MATCH(AH$3,坦克个性化设定!$B$18:$BC$18,0),FALSE)</f>
        <v>100</v>
      </c>
      <c r="AI11" s="2">
        <f>VLOOKUP(B11,坦克个性化细分!$I$3:$P$33,3,FALSE)</f>
        <v>38.5</v>
      </c>
      <c r="AJ11" s="2">
        <f>VLOOKUP(B11,坦克个性化细分!$I$3:$P$33,5,FALSE)</f>
        <v>57.4</v>
      </c>
      <c r="AK11" s="2">
        <f>VLOOKUP(B11,坦克个性化细分!$I$3:$P$33,7,FALSE)</f>
        <v>9.6</v>
      </c>
      <c r="AL11" s="2">
        <f>VLOOKUP($B11,坦克个性化设定!$G$84:$T$114,MATCH(AL$3,坦克个性化设定!$G$84:$T$84,0),FALSE)</f>
        <v>12</v>
      </c>
      <c r="AM11" s="2">
        <f>VLOOKUP($B11,坦克个性化细分!$E$3:$G$33,2,FALSE)</f>
        <v>0</v>
      </c>
      <c r="AN11" s="2">
        <f>VLOOKUP($B11,坦克个性化细分!$E$3:$G$33,3,FALSE)</f>
        <v>8.3999999999999986</v>
      </c>
      <c r="AO11" s="34">
        <f t="shared" si="0"/>
        <v>0.49166666666666664</v>
      </c>
      <c r="AP11" s="33">
        <f t="shared" ca="1" si="1"/>
        <v>1637</v>
      </c>
      <c r="AQ11" s="33">
        <f t="shared" ca="1" si="2"/>
        <v>111</v>
      </c>
      <c r="AR11" s="33">
        <f t="shared" ca="1" si="3"/>
        <v>657</v>
      </c>
      <c r="AS11" s="33">
        <f t="shared" ca="1" si="4"/>
        <v>460</v>
      </c>
      <c r="AT11" s="33">
        <f t="shared" ca="1" si="5"/>
        <v>600</v>
      </c>
      <c r="AU11" s="33">
        <f t="shared" ca="1" si="6"/>
        <v>160</v>
      </c>
      <c r="AV11" s="33">
        <f t="shared" si="12"/>
        <v>0</v>
      </c>
      <c r="AW11" s="33">
        <f t="shared" si="13"/>
        <v>0</v>
      </c>
      <c r="AX11" s="33">
        <f t="shared" si="14"/>
        <v>0</v>
      </c>
      <c r="AY11" s="2">
        <f t="shared" si="7"/>
        <v>4</v>
      </c>
      <c r="AZ11" s="2">
        <f>基础属性系数!$E$61</f>
        <v>0</v>
      </c>
      <c r="BA11" s="2">
        <v>50</v>
      </c>
      <c r="BB11" s="2">
        <v>10</v>
      </c>
      <c r="BC11" s="2">
        <f>VLOOKUP($B11,坦克类型系数!$B$3:$R$33,MATCH(BC$3,坦克类型系数!$B$3:$R$3,0),FALSE)</f>
        <v>0</v>
      </c>
      <c r="BD11" s="2">
        <f>VLOOKUP($B11,坦克类型系数!$B$3:$R$33,MATCH(BD$3,坦克类型系数!$B$3:$R$3,0),FALSE)</f>
        <v>1.85</v>
      </c>
      <c r="BE11" s="2">
        <f>VLOOKUP($B11,坦克类型系数!$B$3:$R$33,MATCH(BE$3,坦克类型系数!$B$3:$R$3,0),FALSE)</f>
        <v>1.35</v>
      </c>
      <c r="BF11" s="2">
        <f>VLOOKUP($B11,坦克类型系数!$B$3:$R$33,MATCH(BF$3,坦克类型系数!$B$3:$R$3,0),FALSE)</f>
        <v>1.2</v>
      </c>
      <c r="BG11" s="2">
        <f>VLOOKUP($B11,坦克类型系数!$B$3:$R$33,MATCH(BG$3,坦克类型系数!$B$3:$R$3,0),FALSE)</f>
        <v>1.1499999999999999</v>
      </c>
      <c r="BH11" s="2">
        <f>VLOOKUP($B11,坦克类型系数!$B$3:$R$33,MATCH(BH$3,坦克类型系数!$B$3:$R$3,0),FALSE)</f>
        <v>0.95</v>
      </c>
      <c r="BI11" s="2">
        <f>VLOOKUP($B11,坦克类型系数!$B$3:$R$33,MATCH(BI$3,坦克类型系数!$B$3:$R$3,0),FALSE)</f>
        <v>0.9</v>
      </c>
      <c r="BJ11" s="25"/>
      <c r="BK11" s="25"/>
      <c r="BL11" s="25"/>
      <c r="BM11" s="1" t="s">
        <v>1232</v>
      </c>
      <c r="BN11" s="2" t="str">
        <f t="shared" si="8"/>
        <v>M-41</v>
      </c>
      <c r="BO11" s="2" t="str">
        <f>VLOOKUP(BN11,坦克个性化设定!$B$18:$E$48,MATCH(BO$3,坦克个性化设定!$B$18:$E$18,0),FALSE)</f>
        <v>T4</v>
      </c>
      <c r="BP11" s="2" t="str">
        <f t="shared" si="9"/>
        <v>中</v>
      </c>
      <c r="BQ11" s="2" t="s">
        <v>792</v>
      </c>
      <c r="BR11" s="2"/>
      <c r="BS11" s="42">
        <f ca="1">VLOOKUP($BN11&amp;$BQ11,坦克标准养成属性!$S$3:$AE$63,MATCH(BS$3,坦克标准养成属性!$S$3:$AE$3,0),FALSE)</f>
        <v>1637.1695541722581</v>
      </c>
      <c r="BT11" s="42">
        <f ca="1">VLOOKUP($BN11&amp;$BQ11,坦克标准养成属性!$S$3:$AE$63,MATCH(BT$3,坦克标准养成属性!$S$3:$AE$3,0),FALSE)</f>
        <v>110.59742481454671</v>
      </c>
      <c r="BU11" s="42">
        <f ca="1">VLOOKUP($BN11&amp;$BQ11,坦克标准养成属性!$S$3:$AE$63,MATCH(BU$3,坦克标准养成属性!$S$3:$AE$3,0),FALSE)</f>
        <v>657</v>
      </c>
      <c r="BV11" s="42">
        <f ca="1">VLOOKUP($BN11&amp;$BQ11,坦克标准养成属性!$S$3:$AE$63,MATCH(BV$3,坦克标准养成属性!$S$3:$AE$3,0),FALSE)</f>
        <v>460</v>
      </c>
      <c r="BW11" s="42">
        <f ca="1">VLOOKUP($BN11&amp;$BQ11,坦克标准养成属性!$S$3:$AE$63,MATCH(BW$3,坦克标准养成属性!$S$3:$AE$3,0),FALSE)</f>
        <v>600</v>
      </c>
      <c r="BX11" s="42">
        <f ca="1">VLOOKUP($BN11&amp;$BQ11,坦克标准养成属性!$S$3:$AE$63,MATCH(BX$3,坦克标准养成属性!$S$3:$AE$3,0),FALSE)</f>
        <v>160</v>
      </c>
      <c r="BY11" s="2">
        <f>IFERROR((VLOOKUP(LEFT(BR11,1)*1,坦克部件!$N$3:$W$9,MATCH("升星属性",坦克部件!$N$3:$W$3,0),FALSE)+VLOOKUP(RIGHT(BR11,1)*1,坦克部件!$Y$3:$AC$38,MATCH("累计属性",坦克部件!$Y$3:$AC$3,0),FALSE))*2,0)</f>
        <v>0</v>
      </c>
      <c r="BZ11" s="42">
        <f t="shared" si="15"/>
        <v>0</v>
      </c>
      <c r="CA11" s="42">
        <f t="shared" si="16"/>
        <v>0</v>
      </c>
    </row>
    <row r="12" spans="2:79" x14ac:dyDescent="0.3">
      <c r="B12" s="2" t="str">
        <f>坦克个性化设定!B27</f>
        <v>BMP-3</v>
      </c>
      <c r="C12" s="2" t="str">
        <f>VLOOKUP(B12,坦克个性化设定!$B$18:$E$48,4,FALSE)</f>
        <v>T4</v>
      </c>
      <c r="D12" s="2" t="str">
        <f>坦克个性化细分!J12</f>
        <v>高</v>
      </c>
      <c r="E12" s="2" t="str">
        <f t="shared" si="10"/>
        <v>T4高0</v>
      </c>
      <c r="F12" s="2" t="str">
        <f>VLOOKUP($B12,坦克个性化设定!$B$18:$BC$48,MATCH(F$3,坦克个性化设定!$B$18:$BC$18,0),FALSE)</f>
        <v>轻坦</v>
      </c>
      <c r="G12" s="2" t="str">
        <f>VLOOKUP($B12,坦克个性化设定!$B$18:$BC$48,MATCH(G$3,坦克个性化设定!$B$18:$BC$18,0),FALSE)</f>
        <v>轻坦弹夹</v>
      </c>
      <c r="H12" s="2" t="str">
        <f t="shared" si="11"/>
        <v>弹夹装弹</v>
      </c>
      <c r="I12" s="2">
        <f>VLOOKUP($B12,坦克个性化设定!$B$18:$BC$48,MATCH(I$3,坦克个性化设定!$B$18:$BC$18,0),FALSE)</f>
        <v>6.99</v>
      </c>
      <c r="J12" s="2">
        <f>VLOOKUP($B12,坦克个性化设定!$B$18:$BC$48,MATCH(J$3,坦克个性化设定!$B$18:$BC$18,0),FALSE)</f>
        <v>3.24</v>
      </c>
      <c r="K12" s="2">
        <f>VLOOKUP($B12,坦克个性化设定!$B$18:$BC$48,MATCH(K$3,坦克个性化设定!$B$18:$BC$18,0),FALSE)</f>
        <v>0.3</v>
      </c>
      <c r="L12" s="34">
        <f>VLOOKUP($B12,坦克个性化设定!$B$18:$BC$48,MATCH(L$3,坦克个性化设定!$B$18:$BC$18,0),FALSE)</f>
        <v>2.1563141881038952</v>
      </c>
      <c r="M12" s="34">
        <f>VLOOKUP($B12,坦克个性化设定!$B$18:$BC$48,MATCH(M$3,坦克个性化设定!$B$18:$BC$18,0),FALSE)</f>
        <v>21</v>
      </c>
      <c r="N12" s="34">
        <f>VLOOKUP($B12,坦克个性化设定!$B$18:$BC$48,MATCH(N$3,坦克个性化设定!$B$18:$BC$18,0),FALSE)</f>
        <v>35</v>
      </c>
      <c r="O12" s="2">
        <f>VLOOKUP($B12,坦克个性化设定!$B$18:$BC$48,MATCH(O$3,坦克个性化设定!$B$18:$BC$18,0),FALSE)</f>
        <v>1</v>
      </c>
      <c r="P12" s="2">
        <f>VLOOKUP($B12,坦克个性化设定!$B$18:$BC$48,MATCH(P$3,坦克个性化设定!$B$18:$BC$18,0),FALSE)</f>
        <v>1</v>
      </c>
      <c r="Q12" s="2">
        <f>VLOOKUP($B12,坦克个性化设定!$B$18:$BC$48,MATCH(Q$3,坦克个性化设定!$B$18:$BC$18,0),FALSE)</f>
        <v>1</v>
      </c>
      <c r="R12" s="2">
        <f>VLOOKUP($B12,坦克个性化设定!$B$18:$BC$48,MATCH(R$3,坦克个性化设定!$B$18:$BC$18,0),FALSE)</f>
        <v>0.8</v>
      </c>
      <c r="S12" s="34">
        <f>VLOOKUP($B12,坦克个性化设定!$B$51:$T$81,MATCH(S$3,坦克个性化设定!$B$51:$T$51,0),FALSE)</f>
        <v>0.72</v>
      </c>
      <c r="T12" s="34">
        <f>VLOOKUP($B12,坦克个性化设定!$B$51:$T$81,MATCH(T$3,坦克个性化设定!$B$51:$T$51,0),FALSE)</f>
        <v>0.69</v>
      </c>
      <c r="U12" s="34">
        <f>VLOOKUP($B12,坦克个性化设定!$B$18:$BC$48,MATCH(U$3,坦克个性化设定!$B$18:$BC$18,0),FALSE)</f>
        <v>0.78</v>
      </c>
      <c r="V12" s="2">
        <f>VLOOKUP($B12,坦克个性化设定!$B$18:$BC$48,MATCH(V$3,坦克个性化设定!$B$18:$BC$18,0),FALSE)</f>
        <v>1.2</v>
      </c>
      <c r="W12" s="2">
        <f>VLOOKUP($B12,坦克个性化设定!$B$18:$BC$48,MATCH(W$3,坦克个性化设定!$B$18:$BC$18,0),FALSE)</f>
        <v>2</v>
      </c>
      <c r="X12" s="2">
        <f>VLOOKUP($B12,坦克个性化设定!$B$18:$BC$48,MATCH(X$3,坦克个性化设定!$B$18:$BC$18,0),FALSE)</f>
        <v>1</v>
      </c>
      <c r="Y12" s="34">
        <f>VLOOKUP($B12,坦克个性化设定!$B$18:$BC$48,MATCH(Y$3,坦克个性化设定!$B$18:$BC$18,0),FALSE)</f>
        <v>10.60544878787154</v>
      </c>
      <c r="Z12" s="34">
        <f>VLOOKUP($B12,坦克个性化设定!$B$18:$BC$48,MATCH(Z$3,坦克个性化设定!$B$18:$BC$18,0),FALSE)</f>
        <v>58.919159932619657</v>
      </c>
      <c r="AA12" s="34">
        <f>VLOOKUP($B12,坦克个性化设定!$B$18:$BC$48,MATCH(AA$3,坦克个性化设定!$B$18:$BC$18,0),FALSE)</f>
        <v>0.58499999999999996</v>
      </c>
      <c r="AB12" s="34">
        <f>VLOOKUP($B12,坦克个性化设定!$B$18:$BC$48,MATCH(AB$3,坦克个性化设定!$B$18:$BC$18,0),FALSE)</f>
        <v>9.9749999999999996</v>
      </c>
      <c r="AC12" s="34">
        <f>VLOOKUP($B12,坦克个性化设定!$B$18:$BC$48,MATCH(AC$3,坦克个性化设定!$B$18:$BC$18,0),FALSE)</f>
        <v>7</v>
      </c>
      <c r="AD12" s="34">
        <f>VLOOKUP($B12,坦克个性化设定!$B$18:$BC$48,MATCH(AD$3,坦克个性化设定!$B$18:$BC$18,0),FALSE)</f>
        <v>10.5</v>
      </c>
      <c r="AE12" s="34">
        <f>VLOOKUP($B12,坦克个性化设定!$B$18:$BC$48,MATCH(AE$3,坦克个性化设定!$B$18:$BC$18,0),FALSE)</f>
        <v>0.58499999999999996</v>
      </c>
      <c r="AF12" s="2">
        <f>VLOOKUP($B12,坦克个性化设定!$B$18:$BC$48,MATCH(AF$3,坦克个性化设定!$B$18:$BC$18,0),FALSE)</f>
        <v>0.2</v>
      </c>
      <c r="AG12" s="2">
        <f>VLOOKUP($B12,坦克个性化设定!$B$18:$BC$48,MATCH(AG$3,坦克个性化设定!$B$18:$BC$18,0),FALSE)</f>
        <v>40</v>
      </c>
      <c r="AH12" s="2">
        <f>VLOOKUP($B12,坦克个性化设定!$B$18:$BC$48,MATCH(AH$3,坦克个性化设定!$B$18:$BC$18,0),FALSE)</f>
        <v>100</v>
      </c>
      <c r="AI12" s="2">
        <f>VLOOKUP(B12,坦克个性化细分!$I$3:$P$33,3,FALSE)</f>
        <v>44.5</v>
      </c>
      <c r="AJ12" s="2">
        <f>VLOOKUP(B12,坦克个性化细分!$I$3:$P$33,5,FALSE)</f>
        <v>52.5</v>
      </c>
      <c r="AK12" s="2">
        <f>VLOOKUP(B12,坦克个性化细分!$I$3:$P$33,7,FALSE)</f>
        <v>10.5</v>
      </c>
      <c r="AL12" s="2">
        <f>VLOOKUP($B12,坦克个性化设定!$G$84:$T$114,MATCH(AL$3,坦克个性化设定!$G$84:$T$84,0),FALSE)</f>
        <v>6</v>
      </c>
      <c r="AM12" s="2">
        <f>VLOOKUP($B12,坦克个性化细分!$E$3:$G$33,2,FALSE)</f>
        <v>0</v>
      </c>
      <c r="AN12" s="2">
        <f>VLOOKUP($B12,坦克个性化细分!$E$3:$G$33,3,FALSE)</f>
        <v>4.1999999999999993</v>
      </c>
      <c r="AO12" s="34">
        <f t="shared" si="0"/>
        <v>0.57499999999999996</v>
      </c>
      <c r="AP12" s="33">
        <f t="shared" ca="1" si="1"/>
        <v>1787</v>
      </c>
      <c r="AQ12" s="33">
        <f t="shared" ca="1" si="2"/>
        <v>107</v>
      </c>
      <c r="AR12" s="33">
        <f t="shared" ca="1" si="3"/>
        <v>657</v>
      </c>
      <c r="AS12" s="33">
        <f t="shared" ca="1" si="4"/>
        <v>460</v>
      </c>
      <c r="AT12" s="33">
        <f t="shared" ca="1" si="5"/>
        <v>600</v>
      </c>
      <c r="AU12" s="33">
        <f t="shared" ca="1" si="6"/>
        <v>160</v>
      </c>
      <c r="AV12" s="33">
        <f t="shared" si="12"/>
        <v>0</v>
      </c>
      <c r="AW12" s="33">
        <f t="shared" si="13"/>
        <v>0</v>
      </c>
      <c r="AX12" s="33">
        <f t="shared" si="14"/>
        <v>0</v>
      </c>
      <c r="AY12" s="2">
        <f t="shared" si="7"/>
        <v>4</v>
      </c>
      <c r="AZ12" s="2">
        <f>基础属性系数!$E$61</f>
        <v>0</v>
      </c>
      <c r="BA12" s="2">
        <v>50</v>
      </c>
      <c r="BB12" s="2">
        <v>10</v>
      </c>
      <c r="BC12" s="2">
        <f>VLOOKUP($B12,坦克类型系数!$B$3:$R$33,MATCH(BC$3,坦克类型系数!$B$3:$R$3,0),FALSE)</f>
        <v>0</v>
      </c>
      <c r="BD12" s="2">
        <f>VLOOKUP($B12,坦克类型系数!$B$3:$R$33,MATCH(BD$3,坦克类型系数!$B$3:$R$3,0),FALSE)</f>
        <v>2.15</v>
      </c>
      <c r="BE12" s="2">
        <f>VLOOKUP($B12,坦克类型系数!$B$3:$R$33,MATCH(BE$3,坦克类型系数!$B$3:$R$3,0),FALSE)</f>
        <v>1.65</v>
      </c>
      <c r="BF12" s="2">
        <f>VLOOKUP($B12,坦克类型系数!$B$3:$R$33,MATCH(BF$3,坦克类型系数!$B$3:$R$3,0),FALSE)</f>
        <v>1.25</v>
      </c>
      <c r="BG12" s="2">
        <f>VLOOKUP($B12,坦克类型系数!$B$3:$R$33,MATCH(BG$3,坦克类型系数!$B$3:$R$3,0),FALSE)</f>
        <v>1.1499999999999999</v>
      </c>
      <c r="BH12" s="2">
        <f>VLOOKUP($B12,坦克类型系数!$B$3:$R$33,MATCH(BH$3,坦克类型系数!$B$3:$R$3,0),FALSE)</f>
        <v>1</v>
      </c>
      <c r="BI12" s="2">
        <f>VLOOKUP($B12,坦克类型系数!$B$3:$R$33,MATCH(BI$3,坦克类型系数!$B$3:$R$3,0),FALSE)</f>
        <v>0.95</v>
      </c>
      <c r="BJ12" s="25"/>
      <c r="BK12" s="25"/>
      <c r="BL12" s="25"/>
      <c r="BM12" s="1" t="s">
        <v>1232</v>
      </c>
      <c r="BN12" s="2" t="str">
        <f t="shared" si="8"/>
        <v>BMP-3</v>
      </c>
      <c r="BO12" s="2" t="str">
        <f>VLOOKUP(BN12,坦克个性化设定!$B$18:$E$48,MATCH(BO$3,坦克个性化设定!$B$18:$E$18,0),FALSE)</f>
        <v>T4</v>
      </c>
      <c r="BP12" s="2" t="str">
        <f t="shared" si="9"/>
        <v>高</v>
      </c>
      <c r="BQ12" s="2" t="s">
        <v>792</v>
      </c>
      <c r="BR12" s="2"/>
      <c r="BS12" s="42">
        <f ca="1">VLOOKUP($BN12&amp;$BQ12,坦克标准养成属性!$S$3:$AE$63,MATCH(BS$3,坦克标准养成属性!$S$3:$AE$3,0),FALSE)</f>
        <v>1787.4041552661115</v>
      </c>
      <c r="BT12" s="42">
        <f ca="1">VLOOKUP($BN12&amp;$BQ12,坦克标准养成属性!$S$3:$AE$63,MATCH(BT$3,坦克标准养成属性!$S$3:$AE$3,0),FALSE)</f>
        <v>106.50737460397396</v>
      </c>
      <c r="BU12" s="42">
        <f ca="1">VLOOKUP($BN12&amp;$BQ12,坦克标准养成属性!$S$3:$AE$63,MATCH(BU$3,坦克标准养成属性!$S$3:$AE$3,0),FALSE)</f>
        <v>657</v>
      </c>
      <c r="BV12" s="42">
        <f ca="1">VLOOKUP($BN12&amp;$BQ12,坦克标准养成属性!$S$3:$AE$63,MATCH(BV$3,坦克标准养成属性!$S$3:$AE$3,0),FALSE)</f>
        <v>460</v>
      </c>
      <c r="BW12" s="42">
        <f ca="1">VLOOKUP($BN12&amp;$BQ12,坦克标准养成属性!$S$3:$AE$63,MATCH(BW$3,坦克标准养成属性!$S$3:$AE$3,0),FALSE)</f>
        <v>600</v>
      </c>
      <c r="BX12" s="42">
        <f ca="1">VLOOKUP($BN12&amp;$BQ12,坦克标准养成属性!$S$3:$AE$63,MATCH(BX$3,坦克标准养成属性!$S$3:$AE$3,0),FALSE)</f>
        <v>160</v>
      </c>
      <c r="BY12" s="2">
        <f>IFERROR((VLOOKUP(LEFT(BR12,1)*1,坦克部件!$N$3:$W$9,MATCH("升星属性",坦克部件!$N$3:$W$3,0),FALSE)+VLOOKUP(RIGHT(BR12,1)*1,坦克部件!$Y$3:$AC$38,MATCH("累计属性",坦克部件!$Y$3:$AC$3,0),FALSE))*2,0)</f>
        <v>0</v>
      </c>
      <c r="BZ12" s="42">
        <f t="shared" si="15"/>
        <v>0</v>
      </c>
      <c r="CA12" s="42">
        <f t="shared" si="16"/>
        <v>0</v>
      </c>
    </row>
    <row r="13" spans="2:79" x14ac:dyDescent="0.3">
      <c r="B13" s="2" t="str">
        <f>坦克个性化设定!B28</f>
        <v>59式</v>
      </c>
      <c r="C13" s="2" t="str">
        <f>VLOOKUP(B13,坦克个性化设定!$B$18:$E$48,4,FALSE)</f>
        <v>T5</v>
      </c>
      <c r="D13" s="2" t="str">
        <f>坦克个性化细分!J13</f>
        <v>低</v>
      </c>
      <c r="E13" s="2" t="str">
        <f t="shared" si="10"/>
        <v>T5低0</v>
      </c>
      <c r="F13" s="2" t="str">
        <f>VLOOKUP($B13,坦克个性化设定!$B$18:$BC$48,MATCH(F$3,坦克个性化设定!$B$18:$BC$18,0),FALSE)</f>
        <v>轻坦</v>
      </c>
      <c r="G13" s="2" t="str">
        <f>VLOOKUP($B13,坦克个性化设定!$B$18:$BC$48,MATCH(G$3,坦克个性化设定!$B$18:$BC$18,0),FALSE)</f>
        <v>轻坦弹夹</v>
      </c>
      <c r="H13" s="2" t="str">
        <f t="shared" si="11"/>
        <v>弹夹装弹</v>
      </c>
      <c r="I13" s="2">
        <f>VLOOKUP($B13,坦克个性化设定!$B$18:$BC$48,MATCH(I$3,坦克个性化设定!$B$18:$BC$18,0),FALSE)</f>
        <v>6.05</v>
      </c>
      <c r="J13" s="2">
        <f>VLOOKUP($B13,坦克个性化设定!$B$18:$BC$48,MATCH(J$3,坦克个性化设定!$B$18:$BC$18,0),FALSE)</f>
        <v>3.23</v>
      </c>
      <c r="K13" s="2">
        <f>VLOOKUP($B13,坦克个性化设定!$B$18:$BC$48,MATCH(K$3,坦克个性化设定!$B$18:$BC$18,0),FALSE)</f>
        <v>0.3</v>
      </c>
      <c r="L13" s="34">
        <f>VLOOKUP($B13,坦克个性化设定!$B$18:$BC$48,MATCH(L$3,坦克个性化设定!$B$18:$BC$18,0),FALSE)</f>
        <v>2.1563141881038952</v>
      </c>
      <c r="M13" s="34">
        <f>VLOOKUP($B13,坦克个性化设定!$B$18:$BC$48,MATCH(M$3,坦克个性化设定!$B$18:$BC$18,0),FALSE)</f>
        <v>21</v>
      </c>
      <c r="N13" s="34">
        <f>VLOOKUP($B13,坦克个性化设定!$B$18:$BC$48,MATCH(N$3,坦克个性化设定!$B$18:$BC$18,0),FALSE)</f>
        <v>35</v>
      </c>
      <c r="O13" s="2">
        <f>VLOOKUP($B13,坦克个性化设定!$B$18:$BC$48,MATCH(O$3,坦克个性化设定!$B$18:$BC$18,0),FALSE)</f>
        <v>1</v>
      </c>
      <c r="P13" s="2">
        <f>VLOOKUP($B13,坦克个性化设定!$B$18:$BC$48,MATCH(P$3,坦克个性化设定!$B$18:$BC$18,0),FALSE)</f>
        <v>1</v>
      </c>
      <c r="Q13" s="2">
        <f>VLOOKUP($B13,坦克个性化设定!$B$18:$BC$48,MATCH(Q$3,坦克个性化设定!$B$18:$BC$18,0),FALSE)</f>
        <v>1</v>
      </c>
      <c r="R13" s="2">
        <f>VLOOKUP($B13,坦克个性化设定!$B$18:$BC$48,MATCH(R$3,坦克个性化设定!$B$18:$BC$18,0),FALSE)</f>
        <v>0.8</v>
      </c>
      <c r="S13" s="34">
        <f>VLOOKUP($B13,坦克个性化设定!$B$51:$T$81,MATCH(S$3,坦克个性化设定!$B$51:$T$51,0),FALSE)</f>
        <v>0.48</v>
      </c>
      <c r="T13" s="34">
        <f>VLOOKUP($B13,坦克个性化设定!$B$51:$T$81,MATCH(T$3,坦克个性化设定!$B$51:$T$51,0),FALSE)</f>
        <v>0.62</v>
      </c>
      <c r="U13" s="34">
        <f>VLOOKUP($B13,坦克个性化设定!$B$18:$BC$48,MATCH(U$3,坦克个性化设定!$B$18:$BC$18,0),FALSE)</f>
        <v>0.7</v>
      </c>
      <c r="V13" s="2">
        <f>VLOOKUP($B13,坦克个性化设定!$B$18:$BC$48,MATCH(V$3,坦克个性化设定!$B$18:$BC$18,0),FALSE)</f>
        <v>1.2</v>
      </c>
      <c r="W13" s="2">
        <f>VLOOKUP($B13,坦克个性化设定!$B$18:$BC$48,MATCH(W$3,坦克个性化设定!$B$18:$BC$18,0),FALSE)</f>
        <v>3</v>
      </c>
      <c r="X13" s="2">
        <f>VLOOKUP($B13,坦克个性化设定!$B$18:$BC$48,MATCH(X$3,坦克个性化设定!$B$18:$BC$18,0),FALSE)</f>
        <v>1</v>
      </c>
      <c r="Y13" s="34">
        <f>VLOOKUP($B13,坦克个性化设定!$B$18:$BC$48,MATCH(Y$3,坦克个性化设定!$B$18:$BC$18,0),FALSE)</f>
        <v>9.4270655892191453</v>
      </c>
      <c r="Z13" s="34">
        <f>VLOOKUP($B13,坦克个性化设定!$B$18:$BC$48,MATCH(Z$3,坦克个性化设定!$B$18:$BC$18,0),FALSE)</f>
        <v>58.919159932619657</v>
      </c>
      <c r="AA13" s="34">
        <f>VLOOKUP($B13,坦克个性化设定!$B$18:$BC$48,MATCH(AA$3,坦克个性化设定!$B$18:$BC$18,0),FALSE)</f>
        <v>0.58499999999999996</v>
      </c>
      <c r="AB13" s="34">
        <f>VLOOKUP($B13,坦克个性化设定!$B$18:$BC$48,MATCH(AB$3,坦克个性化设定!$B$18:$BC$18,0),FALSE)</f>
        <v>9.4500000000000011</v>
      </c>
      <c r="AC13" s="34">
        <f>VLOOKUP($B13,坦克个性化设定!$B$18:$BC$48,MATCH(AC$3,坦克个性化设定!$B$18:$BC$18,0),FALSE)</f>
        <v>7</v>
      </c>
      <c r="AD13" s="34">
        <f>VLOOKUP($B13,坦克个性化设定!$B$18:$BC$48,MATCH(AD$3,坦克个性化设定!$B$18:$BC$18,0),FALSE)</f>
        <v>10.5</v>
      </c>
      <c r="AE13" s="34">
        <f>VLOOKUP($B13,坦克个性化设定!$B$18:$BC$48,MATCH(AE$3,坦克个性化设定!$B$18:$BC$18,0),FALSE)</f>
        <v>0.58499999999999996</v>
      </c>
      <c r="AF13" s="2">
        <f>VLOOKUP($B13,坦克个性化设定!$B$18:$BC$48,MATCH(AF$3,坦克个性化设定!$B$18:$BC$18,0),FALSE)</f>
        <v>0.2</v>
      </c>
      <c r="AG13" s="2">
        <f>VLOOKUP($B13,坦克个性化设定!$B$18:$BC$48,MATCH(AG$3,坦克个性化设定!$B$18:$BC$18,0),FALSE)</f>
        <v>40</v>
      </c>
      <c r="AH13" s="2">
        <f>VLOOKUP($B13,坦克个性化设定!$B$18:$BC$48,MATCH(AH$3,坦克个性化设定!$B$18:$BC$18,0),FALSE)</f>
        <v>100</v>
      </c>
      <c r="AI13" s="2">
        <f>VLOOKUP(B13,坦克个性化细分!$I$3:$P$33,3,FALSE)</f>
        <v>37.700000000000003</v>
      </c>
      <c r="AJ13" s="2">
        <f>VLOOKUP(B13,坦克个性化细分!$I$3:$P$33,5,FALSE)</f>
        <v>56.3</v>
      </c>
      <c r="AK13" s="2">
        <f>VLOOKUP(B13,坦克个性化细分!$I$3:$P$33,7,FALSE)</f>
        <v>9.5</v>
      </c>
      <c r="AL13" s="2">
        <f>VLOOKUP($B13,坦克个性化设定!$G$84:$T$114,MATCH(AL$3,坦克个性化设定!$G$84:$T$84,0),FALSE)</f>
        <v>9</v>
      </c>
      <c r="AM13" s="2">
        <f>VLOOKUP($B13,坦克个性化细分!$E$3:$G$33,2,FALSE)</f>
        <v>0</v>
      </c>
      <c r="AN13" s="2">
        <f>VLOOKUP($B13,坦克个性化细分!$E$3:$G$33,3,FALSE)</f>
        <v>6.3</v>
      </c>
      <c r="AO13" s="34">
        <f t="shared" si="0"/>
        <v>0.51666666666666672</v>
      </c>
      <c r="AP13" s="33">
        <f t="shared" ca="1" si="1"/>
        <v>2126</v>
      </c>
      <c r="AQ13" s="33">
        <f t="shared" ca="1" si="2"/>
        <v>141</v>
      </c>
      <c r="AR13" s="33">
        <f t="shared" ca="1" si="3"/>
        <v>828</v>
      </c>
      <c r="AS13" s="33">
        <f t="shared" ca="1" si="4"/>
        <v>580</v>
      </c>
      <c r="AT13" s="33">
        <f t="shared" ca="1" si="5"/>
        <v>756</v>
      </c>
      <c r="AU13" s="33">
        <f t="shared" ca="1" si="6"/>
        <v>202</v>
      </c>
      <c r="AV13" s="33">
        <f t="shared" si="12"/>
        <v>0</v>
      </c>
      <c r="AW13" s="33">
        <f t="shared" si="13"/>
        <v>0</v>
      </c>
      <c r="AX13" s="33">
        <f t="shared" si="14"/>
        <v>0</v>
      </c>
      <c r="AY13" s="2">
        <f t="shared" si="7"/>
        <v>4</v>
      </c>
      <c r="AZ13" s="2">
        <f>基础属性系数!$E$61</f>
        <v>0</v>
      </c>
      <c r="BA13" s="2">
        <v>50</v>
      </c>
      <c r="BB13" s="2">
        <v>10</v>
      </c>
      <c r="BC13" s="2">
        <f>VLOOKUP($B13,坦克类型系数!$B$3:$R$33,MATCH(BC$3,坦克类型系数!$B$3:$R$3,0),FALSE)</f>
        <v>0</v>
      </c>
      <c r="BD13" s="2">
        <f>VLOOKUP($B13,坦克类型系数!$B$3:$R$33,MATCH(BD$3,坦克类型系数!$B$3:$R$3,0),FALSE)</f>
        <v>1.9</v>
      </c>
      <c r="BE13" s="2">
        <f>VLOOKUP($B13,坦克类型系数!$B$3:$R$33,MATCH(BE$3,坦克类型系数!$B$3:$R$3,0),FALSE)</f>
        <v>1.45</v>
      </c>
      <c r="BF13" s="2">
        <f>VLOOKUP($B13,坦克类型系数!$B$3:$R$33,MATCH(BF$3,坦克类型系数!$B$3:$R$3,0),FALSE)</f>
        <v>1.2</v>
      </c>
      <c r="BG13" s="2">
        <f>VLOOKUP($B13,坦克类型系数!$B$3:$R$33,MATCH(BG$3,坦克类型系数!$B$3:$R$3,0),FALSE)</f>
        <v>1.1499999999999999</v>
      </c>
      <c r="BH13" s="2">
        <f>VLOOKUP($B13,坦克类型系数!$B$3:$R$33,MATCH(BH$3,坦克类型系数!$B$3:$R$3,0),FALSE)</f>
        <v>1</v>
      </c>
      <c r="BI13" s="2">
        <f>VLOOKUP($B13,坦克类型系数!$B$3:$R$33,MATCH(BI$3,坦克类型系数!$B$3:$R$3,0),FALSE)</f>
        <v>0.85</v>
      </c>
      <c r="BJ13" s="25"/>
      <c r="BK13" s="25"/>
      <c r="BL13" s="25"/>
      <c r="BM13" s="1" t="s">
        <v>1226</v>
      </c>
      <c r="BN13" s="2" t="str">
        <f t="shared" si="8"/>
        <v>59式</v>
      </c>
      <c r="BO13" s="2" t="str">
        <f>VLOOKUP(BN13,坦克个性化设定!$B$18:$E$48,MATCH(BO$3,坦克个性化设定!$B$18:$E$18,0),FALSE)</f>
        <v>T5</v>
      </c>
      <c r="BP13" s="2" t="str">
        <f t="shared" si="9"/>
        <v>低</v>
      </c>
      <c r="BQ13" s="2" t="s">
        <v>792</v>
      </c>
      <c r="BR13" s="2"/>
      <c r="BS13" s="42">
        <f ca="1">VLOOKUP($BN13&amp;$BQ13,坦克标准养成属性!$S$3:$AE$63,MATCH(BS$3,坦克标准养成属性!$S$3:$AE$3,0),FALSE)</f>
        <v>2125.7393092806724</v>
      </c>
      <c r="BT13" s="42">
        <f ca="1">VLOOKUP($BN13&amp;$BQ13,坦克标准养成属性!$S$3:$AE$63,MATCH(BT$3,坦克标准养成属性!$S$3:$AE$3,0),FALSE)</f>
        <v>140.70277988549788</v>
      </c>
      <c r="BU13" s="42">
        <f ca="1">VLOOKUP($BN13&amp;$BQ13,坦克标准养成属性!$S$3:$AE$63,MATCH(BU$3,坦克标准养成属性!$S$3:$AE$3,0),FALSE)</f>
        <v>828</v>
      </c>
      <c r="BV13" s="42">
        <f ca="1">VLOOKUP($BN13&amp;$BQ13,坦克标准养成属性!$S$3:$AE$63,MATCH(BV$3,坦克标准养成属性!$S$3:$AE$3,0),FALSE)</f>
        <v>580</v>
      </c>
      <c r="BW13" s="42">
        <f ca="1">VLOOKUP($BN13&amp;$BQ13,坦克标准养成属性!$S$3:$AE$63,MATCH(BW$3,坦克标准养成属性!$S$3:$AE$3,0),FALSE)</f>
        <v>756</v>
      </c>
      <c r="BX13" s="42">
        <f ca="1">VLOOKUP($BN13&amp;$BQ13,坦克标准养成属性!$S$3:$AE$63,MATCH(BX$3,坦克标准养成属性!$S$3:$AE$3,0),FALSE)</f>
        <v>202</v>
      </c>
      <c r="BY13" s="2">
        <f>IFERROR((VLOOKUP(LEFT(BR13,1)*1,坦克部件!$N$3:$W$9,MATCH("升星属性",坦克部件!$N$3:$W$3,0),FALSE)+VLOOKUP(RIGHT(BR13,1)*1,坦克部件!$Y$3:$AC$38,MATCH("累计属性",坦克部件!$Y$3:$AC$3,0),FALSE))*2,0)</f>
        <v>0</v>
      </c>
      <c r="BZ13" s="42">
        <f t="shared" si="15"/>
        <v>0</v>
      </c>
      <c r="CA13" s="42">
        <f t="shared" si="16"/>
        <v>0</v>
      </c>
    </row>
    <row r="14" spans="2:79" x14ac:dyDescent="0.3">
      <c r="B14" s="2" t="str">
        <f>坦克个性化设定!B29</f>
        <v>Stuart</v>
      </c>
      <c r="C14" s="2" t="str">
        <f>VLOOKUP(B14,坦克个性化设定!$B$18:$E$48,4,FALSE)</f>
        <v>T1</v>
      </c>
      <c r="D14" s="2" t="str">
        <f>坦克个性化细分!J14</f>
        <v>低</v>
      </c>
      <c r="E14" s="2" t="str">
        <f t="shared" si="10"/>
        <v>T1低0</v>
      </c>
      <c r="F14" s="2" t="str">
        <f>VLOOKUP($B14,坦克个性化设定!$B$18:$BC$48,MATCH(F$3,坦克个性化设定!$B$18:$BC$18,0),FALSE)</f>
        <v>中坦</v>
      </c>
      <c r="G14" s="2" t="str">
        <f>VLOOKUP($B14,坦克个性化设定!$B$18:$BC$48,MATCH(G$3,坦克个性化设定!$B$18:$BC$18,0),FALSE)</f>
        <v>中坦自动</v>
      </c>
      <c r="H14" s="2" t="str">
        <f t="shared" si="11"/>
        <v>自动装弹</v>
      </c>
      <c r="I14" s="2">
        <f>VLOOKUP($B14,坦克个性化设定!$B$18:$BC$48,MATCH(I$3,坦克个性化设定!$B$18:$BC$18,0),FALSE)</f>
        <v>4.37</v>
      </c>
      <c r="J14" s="2">
        <f>VLOOKUP($B14,坦克个性化设定!$B$18:$BC$48,MATCH(J$3,坦克个性化设定!$B$18:$BC$18,0),FALSE)</f>
        <v>2.2799999999999998</v>
      </c>
      <c r="K14" s="2">
        <f>VLOOKUP($B14,坦克个性化设定!$B$18:$BC$48,MATCH(K$3,坦克个性化设定!$B$18:$BC$18,0),FALSE)</f>
        <v>0.3</v>
      </c>
      <c r="L14" s="34">
        <f>VLOOKUP($B14,坦克个性化设定!$B$18:$BC$48,MATCH(L$3,坦克个性化设定!$B$18:$BC$18,0),FALSE)</f>
        <v>1.6422918151337649</v>
      </c>
      <c r="M14" s="34">
        <f>VLOOKUP($B14,坦克个性化设定!$B$18:$BC$48,MATCH(M$3,坦克个性化设定!$B$18:$BC$18,0),FALSE)</f>
        <v>13.333333333333334</v>
      </c>
      <c r="N14" s="34">
        <f>VLOOKUP($B14,坦克个性化设定!$B$18:$BC$48,MATCH(N$3,坦克个性化设定!$B$18:$BC$18,0),FALSE)</f>
        <v>22.857142857142858</v>
      </c>
      <c r="O14" s="2">
        <f>VLOOKUP($B14,坦克个性化设定!$B$18:$BC$48,MATCH(O$3,坦克个性化设定!$B$18:$BC$18,0),FALSE)</f>
        <v>0.9</v>
      </c>
      <c r="P14" s="2">
        <f>VLOOKUP($B14,坦克个性化设定!$B$18:$BC$48,MATCH(P$3,坦克个性化设定!$B$18:$BC$18,0),FALSE)</f>
        <v>0.9</v>
      </c>
      <c r="Q14" s="2">
        <f>VLOOKUP($B14,坦克个性化设定!$B$18:$BC$48,MATCH(Q$3,坦克个性化设定!$B$18:$BC$18,0),FALSE)</f>
        <v>0.9</v>
      </c>
      <c r="R14" s="2">
        <f>VLOOKUP($B14,坦克个性化设定!$B$18:$BC$48,MATCH(R$3,坦克个性化设定!$B$18:$BC$18,0),FALSE)</f>
        <v>0.30000000000000004</v>
      </c>
      <c r="S14" s="34">
        <f>VLOOKUP($B14,坦克个性化设定!$B$51:$T$81,MATCH(S$3,坦克个性化设定!$B$51:$T$51,0),FALSE)</f>
        <v>1.5999999999999999</v>
      </c>
      <c r="T14" s="34">
        <f>VLOOKUP($B14,坦克个性化设定!$B$51:$T$81,MATCH(T$3,坦克个性化设定!$B$51:$T$51,0),FALSE)</f>
        <v>1</v>
      </c>
      <c r="U14" s="34">
        <f>VLOOKUP($B14,坦克个性化设定!$B$18:$BC$48,MATCH(U$3,坦克个性化设定!$B$18:$BC$18,0),FALSE)</f>
        <v>0.78</v>
      </c>
      <c r="V14" s="2">
        <f>VLOOKUP($B14,坦克个性化设定!$B$18:$BC$48,MATCH(V$3,坦克个性化设定!$B$18:$BC$18,0),FALSE)</f>
        <v>1</v>
      </c>
      <c r="W14" s="2">
        <f>VLOOKUP($B14,坦克个性化设定!$B$18:$BC$48,MATCH(W$3,坦克个性化设定!$B$18:$BC$18,0),FALSE)</f>
        <v>1</v>
      </c>
      <c r="X14" s="2">
        <f>VLOOKUP($B14,坦克个性化设定!$B$18:$BC$48,MATCH(X$3,坦克个性化设定!$B$18:$BC$18,0),FALSE)</f>
        <v>0.75</v>
      </c>
      <c r="Y14" s="34">
        <f>VLOOKUP($B14,坦克个性化设定!$B$18:$BC$48,MATCH(Y$3,坦克个性化设定!$B$18:$BC$18,0),FALSE)</f>
        <v>11.123020662806383</v>
      </c>
      <c r="Z14" s="34">
        <f>VLOOKUP($B14,坦克个性化设定!$B$18:$BC$48,MATCH(Z$3,坦克个性化设定!$B$18:$BC$18,0),FALSE)</f>
        <v>55.61510331403192</v>
      </c>
      <c r="AA14" s="34">
        <f>VLOOKUP($B14,坦克个性化设定!$B$18:$BC$48,MATCH(AA$3,坦克个性化设定!$B$18:$BC$18,0),FALSE)</f>
        <v>2.84</v>
      </c>
      <c r="AB14" s="34">
        <f>VLOOKUP($B14,坦克个性化设定!$B$18:$BC$48,MATCH(AB$3,坦克个性化设定!$B$18:$BC$18,0),FALSE)</f>
        <v>8</v>
      </c>
      <c r="AC14" s="34">
        <f>VLOOKUP($B14,坦克个性化设定!$B$18:$BC$48,MATCH(AC$3,坦克个性化设定!$B$18:$BC$18,0),FALSE)</f>
        <v>5</v>
      </c>
      <c r="AD14" s="34">
        <f>VLOOKUP($B14,坦克个性化设定!$B$18:$BC$48,MATCH(AD$3,坦克个性化设定!$B$18:$BC$18,0),FALSE)</f>
        <v>4</v>
      </c>
      <c r="AE14" s="34">
        <f>VLOOKUP($B14,坦克个性化设定!$B$18:$BC$48,MATCH(AE$3,坦克个性化设定!$B$18:$BC$18,0),FALSE)</f>
        <v>1.0649999999999999</v>
      </c>
      <c r="AF14" s="2">
        <f>VLOOKUP($B14,坦克个性化设定!$B$18:$BC$48,MATCH(AF$3,坦克个性化设定!$B$18:$BC$18,0),FALSE)</f>
        <v>0.2</v>
      </c>
      <c r="AG14" s="2">
        <f>VLOOKUP($B14,坦克个性化设定!$B$18:$BC$48,MATCH(AG$3,坦克个性化设定!$B$18:$BC$18,0),FALSE)</f>
        <v>55</v>
      </c>
      <c r="AH14" s="2">
        <f>VLOOKUP($B14,坦克个性化设定!$B$18:$BC$48,MATCH(AH$3,坦克个性化设定!$B$18:$BC$18,0),FALSE)</f>
        <v>105</v>
      </c>
      <c r="AI14" s="2">
        <f>VLOOKUP(B14,坦克个性化细分!$I$3:$P$33,3,FALSE)</f>
        <v>44.5</v>
      </c>
      <c r="AJ14" s="2">
        <f>VLOOKUP(B14,坦克个性化细分!$I$3:$P$33,5,FALSE)</f>
        <v>40</v>
      </c>
      <c r="AK14" s="2">
        <f>VLOOKUP(B14,坦克个性化细分!$I$3:$P$33,7,FALSE)</f>
        <v>8</v>
      </c>
      <c r="AL14" s="2">
        <f>VLOOKUP($B14,坦克个性化设定!$G$84:$T$114,MATCH(AL$3,坦克个性化设定!$G$84:$T$84,0),FALSE)</f>
        <v>9</v>
      </c>
      <c r="AM14" s="2">
        <f>VLOOKUP($B14,坦克个性化细分!$E$3:$G$33,2,FALSE)</f>
        <v>3.2</v>
      </c>
      <c r="AN14" s="2">
        <f>VLOOKUP($B14,坦克个性化细分!$E$3:$G$33,3,FALSE)</f>
        <v>0</v>
      </c>
      <c r="AO14" s="34">
        <f t="shared" si="0"/>
        <v>1</v>
      </c>
      <c r="AP14" s="33">
        <f t="shared" ca="1" si="1"/>
        <v>560</v>
      </c>
      <c r="AQ14" s="33">
        <f t="shared" ca="1" si="2"/>
        <v>118</v>
      </c>
      <c r="AR14" s="33">
        <f t="shared" ca="1" si="3"/>
        <v>329</v>
      </c>
      <c r="AS14" s="33">
        <f t="shared" ca="1" si="4"/>
        <v>246</v>
      </c>
      <c r="AT14" s="33">
        <f t="shared" ca="1" si="5"/>
        <v>360</v>
      </c>
      <c r="AU14" s="33">
        <f t="shared" ca="1" si="6"/>
        <v>86</v>
      </c>
      <c r="AV14" s="33">
        <f t="shared" si="12"/>
        <v>0</v>
      </c>
      <c r="AW14" s="33">
        <f t="shared" si="13"/>
        <v>0</v>
      </c>
      <c r="AX14" s="33">
        <f t="shared" si="14"/>
        <v>0</v>
      </c>
      <c r="AY14" s="2">
        <f t="shared" si="7"/>
        <v>6</v>
      </c>
      <c r="AZ14" s="2">
        <f>基础属性系数!$E$61</f>
        <v>0</v>
      </c>
      <c r="BA14" s="2">
        <v>50</v>
      </c>
      <c r="BB14" s="2">
        <v>10</v>
      </c>
      <c r="BC14" s="2">
        <f>VLOOKUP($B14,坦克类型系数!$B$3:$R$33,MATCH(BC$3,坦克类型系数!$B$3:$R$3,0),FALSE)</f>
        <v>0</v>
      </c>
      <c r="BD14" s="2">
        <f>VLOOKUP($B14,坦克类型系数!$B$3:$R$33,MATCH(BD$3,坦克类型系数!$B$3:$R$3,0),FALSE)</f>
        <v>2</v>
      </c>
      <c r="BE14" s="2">
        <f>VLOOKUP($B14,坦克类型系数!$B$3:$R$33,MATCH(BE$3,坦克类型系数!$B$3:$R$3,0),FALSE)</f>
        <v>1.9</v>
      </c>
      <c r="BF14" s="2">
        <f>VLOOKUP($B14,坦克类型系数!$B$3:$R$33,MATCH(BF$3,坦克类型系数!$B$3:$R$3,0),FALSE)</f>
        <v>1.6</v>
      </c>
      <c r="BG14" s="2">
        <f>VLOOKUP($B14,坦克类型系数!$B$3:$R$33,MATCH(BG$3,坦克类型系数!$B$3:$R$3,0),FALSE)</f>
        <v>1.2</v>
      </c>
      <c r="BH14" s="2">
        <f>VLOOKUP($B14,坦克类型系数!$B$3:$R$33,MATCH(BH$3,坦克类型系数!$B$3:$R$3,0),FALSE)</f>
        <v>0.85</v>
      </c>
      <c r="BI14" s="2">
        <f>VLOOKUP($B14,坦克类型系数!$B$3:$R$33,MATCH(BI$3,坦克类型系数!$B$3:$R$3,0),FALSE)</f>
        <v>0.6</v>
      </c>
      <c r="BJ14" s="25"/>
      <c r="BK14" s="25"/>
      <c r="BL14" s="25"/>
      <c r="BM14" s="1" t="s">
        <v>1226</v>
      </c>
      <c r="BN14" s="2" t="str">
        <f t="shared" si="8"/>
        <v>Stuart</v>
      </c>
      <c r="BO14" s="2" t="str">
        <f>VLOOKUP(BN14,坦克个性化设定!$B$18:$E$48,MATCH(BO$3,坦克个性化设定!$B$18:$E$18,0),FALSE)</f>
        <v>T1</v>
      </c>
      <c r="BP14" s="2" t="str">
        <f t="shared" si="9"/>
        <v>低</v>
      </c>
      <c r="BQ14" s="2" t="s">
        <v>792</v>
      </c>
      <c r="BR14" s="2"/>
      <c r="BS14" s="42">
        <f ca="1">VLOOKUP($BN14&amp;$BQ14,坦克标准养成属性!$S$3:$AE$63,MATCH(BS$3,坦克标准养成属性!$S$3:$AE$3,0),FALSE)</f>
        <v>559.91496469759375</v>
      </c>
      <c r="BT14" s="42">
        <f ca="1">VLOOKUP($BN14&amp;$BQ14,坦克标准养成属性!$S$3:$AE$63,MATCH(BT$3,坦克标准养成属性!$S$3:$AE$3,0),FALSE)</f>
        <v>117.71583418645569</v>
      </c>
      <c r="BU14" s="42">
        <f ca="1">VLOOKUP($BN14&amp;$BQ14,坦克标准养成属性!$S$3:$AE$63,MATCH(BU$3,坦克标准养成属性!$S$3:$AE$3,0),FALSE)</f>
        <v>329</v>
      </c>
      <c r="BV14" s="42">
        <f ca="1">VLOOKUP($BN14&amp;$BQ14,坦克标准养成属性!$S$3:$AE$63,MATCH(BV$3,坦克标准养成属性!$S$3:$AE$3,0),FALSE)</f>
        <v>246</v>
      </c>
      <c r="BW14" s="42">
        <f ca="1">VLOOKUP($BN14&amp;$BQ14,坦克标准养成属性!$S$3:$AE$63,MATCH(BW$3,坦克标准养成属性!$S$3:$AE$3,0),FALSE)</f>
        <v>360</v>
      </c>
      <c r="BX14" s="42">
        <f ca="1">VLOOKUP($BN14&amp;$BQ14,坦克标准养成属性!$S$3:$AE$63,MATCH(BX$3,坦克标准养成属性!$S$3:$AE$3,0),FALSE)</f>
        <v>86</v>
      </c>
      <c r="BY14" s="2">
        <f>IFERROR((VLOOKUP(LEFT(BR14,1)*1,坦克部件!$N$3:$W$9,MATCH("升星属性",坦克部件!$N$3:$W$3,0),FALSE)+VLOOKUP(RIGHT(BR14,1)*1,坦克部件!$Y$3:$AC$38,MATCH("累计属性",坦克部件!$Y$3:$AC$3,0),FALSE))*2,0)</f>
        <v>0</v>
      </c>
      <c r="BZ14" s="42">
        <f t="shared" si="15"/>
        <v>0</v>
      </c>
      <c r="CA14" s="42">
        <f t="shared" si="16"/>
        <v>0</v>
      </c>
    </row>
    <row r="15" spans="2:79" x14ac:dyDescent="0.3">
      <c r="B15" s="2" t="str">
        <f>坦克个性化设定!B30</f>
        <v>T-34</v>
      </c>
      <c r="C15" s="2" t="str">
        <f>VLOOKUP(B15,坦克个性化设定!$B$18:$E$48,4,FALSE)</f>
        <v>T2</v>
      </c>
      <c r="D15" s="2" t="str">
        <f>坦克个性化细分!J15</f>
        <v>低</v>
      </c>
      <c r="E15" s="2" t="str">
        <f t="shared" si="10"/>
        <v>T2低0</v>
      </c>
      <c r="F15" s="2" t="str">
        <f>VLOOKUP($B15,坦克个性化设定!$B$18:$BC$48,MATCH(F$3,坦克个性化设定!$B$18:$BC$18,0),FALSE)</f>
        <v>中坦</v>
      </c>
      <c r="G15" s="2" t="str">
        <f>VLOOKUP($B15,坦克个性化设定!$B$18:$BC$48,MATCH(G$3,坦克个性化设定!$B$18:$BC$18,0),FALSE)</f>
        <v>中坦自动</v>
      </c>
      <c r="H15" s="2" t="str">
        <f t="shared" si="11"/>
        <v>自动装弹</v>
      </c>
      <c r="I15" s="2">
        <f>VLOOKUP($B15,坦克个性化设定!$B$18:$BC$48,MATCH(I$3,坦克个性化设定!$B$18:$BC$18,0),FALSE)</f>
        <v>5.58</v>
      </c>
      <c r="J15" s="2">
        <f>VLOOKUP($B15,坦克个性化设定!$B$18:$BC$48,MATCH(J$3,坦克个性化设定!$B$18:$BC$18,0),FALSE)</f>
        <v>2.84</v>
      </c>
      <c r="K15" s="2">
        <f>VLOOKUP($B15,坦克个性化设定!$B$18:$BC$48,MATCH(K$3,坦克个性化设定!$B$18:$BC$18,0),FALSE)</f>
        <v>0.3</v>
      </c>
      <c r="L15" s="34">
        <f>VLOOKUP($B15,坦克个性化设定!$B$18:$BC$48,MATCH(L$3,坦克个性化设定!$B$18:$BC$18,0),FALSE)</f>
        <v>1.6422918151337649</v>
      </c>
      <c r="M15" s="34">
        <f>VLOOKUP($B15,坦克个性化设定!$B$18:$BC$48,MATCH(M$3,坦克个性化设定!$B$18:$BC$18,0),FALSE)</f>
        <v>13.333333333333334</v>
      </c>
      <c r="N15" s="34">
        <f>VLOOKUP($B15,坦克个性化设定!$B$18:$BC$48,MATCH(N$3,坦克个性化设定!$B$18:$BC$18,0),FALSE)</f>
        <v>22.857142857142858</v>
      </c>
      <c r="O15" s="2">
        <f>VLOOKUP($B15,坦克个性化设定!$B$18:$BC$48,MATCH(O$3,坦克个性化设定!$B$18:$BC$18,0),FALSE)</f>
        <v>0.9</v>
      </c>
      <c r="P15" s="2">
        <f>VLOOKUP($B15,坦克个性化设定!$B$18:$BC$48,MATCH(P$3,坦克个性化设定!$B$18:$BC$18,0),FALSE)</f>
        <v>0.9</v>
      </c>
      <c r="Q15" s="2">
        <f>VLOOKUP($B15,坦克个性化设定!$B$18:$BC$48,MATCH(Q$3,坦克个性化设定!$B$18:$BC$18,0),FALSE)</f>
        <v>0.9</v>
      </c>
      <c r="R15" s="2">
        <f>VLOOKUP($B15,坦克个性化设定!$B$18:$BC$48,MATCH(R$3,坦克个性化设定!$B$18:$BC$18,0),FALSE)</f>
        <v>0.32</v>
      </c>
      <c r="S15" s="34">
        <f>VLOOKUP($B15,坦克个性化设定!$B$51:$T$81,MATCH(S$3,坦克个性化设定!$B$51:$T$51,0),FALSE)</f>
        <v>1.5999999999999999</v>
      </c>
      <c r="T15" s="34">
        <f>VLOOKUP($B15,坦克个性化设定!$B$51:$T$81,MATCH(T$3,坦克个性化设定!$B$51:$T$51,0),FALSE)</f>
        <v>1.01</v>
      </c>
      <c r="U15" s="34">
        <f>VLOOKUP($B15,坦克个性化设定!$B$18:$BC$48,MATCH(U$3,坦克个性化设定!$B$18:$BC$18,0),FALSE)</f>
        <v>0.75</v>
      </c>
      <c r="V15" s="2">
        <f>VLOOKUP($B15,坦克个性化设定!$B$18:$BC$48,MATCH(V$3,坦克个性化设定!$B$18:$BC$18,0),FALSE)</f>
        <v>1</v>
      </c>
      <c r="W15" s="2">
        <f>VLOOKUP($B15,坦克个性化设定!$B$18:$BC$48,MATCH(W$3,坦克个性化设定!$B$18:$BC$18,0),FALSE)</f>
        <v>2</v>
      </c>
      <c r="X15" s="2">
        <f>VLOOKUP($B15,坦克个性化设定!$B$18:$BC$48,MATCH(X$3,坦克个性化设定!$B$18:$BC$18,0),FALSE)</f>
        <v>0.75</v>
      </c>
      <c r="Y15" s="34">
        <f>VLOOKUP($B15,坦克个性化设定!$B$18:$BC$48,MATCH(Y$3,坦克个性化设定!$B$18:$BC$18,0),FALSE)</f>
        <v>11.123020662806383</v>
      </c>
      <c r="Z15" s="34">
        <f>VLOOKUP($B15,坦克个性化设定!$B$18:$BC$48,MATCH(Z$3,坦克个性化设定!$B$18:$BC$18,0),FALSE)</f>
        <v>55.61510331403192</v>
      </c>
      <c r="AA15" s="34">
        <f>VLOOKUP($B15,坦克个性化设定!$B$18:$BC$48,MATCH(AA$3,坦克个性化设定!$B$18:$BC$18,0),FALSE)</f>
        <v>2.84</v>
      </c>
      <c r="AB15" s="34">
        <f>VLOOKUP($B15,坦克个性化设定!$B$18:$BC$48,MATCH(AB$3,坦克个性化设定!$B$18:$BC$18,0),FALSE)</f>
        <v>8</v>
      </c>
      <c r="AC15" s="34">
        <f>VLOOKUP($B15,坦克个性化设定!$B$18:$BC$48,MATCH(AC$3,坦克个性化设定!$B$18:$BC$18,0),FALSE)</f>
        <v>5</v>
      </c>
      <c r="AD15" s="34">
        <f>VLOOKUP($B15,坦克个性化设定!$B$18:$BC$48,MATCH(AD$3,坦克个性化设定!$B$18:$BC$18,0),FALSE)</f>
        <v>4</v>
      </c>
      <c r="AE15" s="34">
        <f>VLOOKUP($B15,坦克个性化设定!$B$18:$BC$48,MATCH(AE$3,坦克个性化设定!$B$18:$BC$18,0),FALSE)</f>
        <v>1.0649999999999999</v>
      </c>
      <c r="AF15" s="2">
        <f>VLOOKUP($B15,坦克个性化设定!$B$18:$BC$48,MATCH(AF$3,坦克个性化设定!$B$18:$BC$18,0),FALSE)</f>
        <v>0.2</v>
      </c>
      <c r="AG15" s="2">
        <f>VLOOKUP($B15,坦克个性化设定!$B$18:$BC$48,MATCH(AG$3,坦克个性化设定!$B$18:$BC$18,0),FALSE)</f>
        <v>55</v>
      </c>
      <c r="AH15" s="2">
        <f>VLOOKUP($B15,坦克个性化设定!$B$18:$BC$48,MATCH(AH$3,坦克个性化设定!$B$18:$BC$18,0),FALSE)</f>
        <v>105</v>
      </c>
      <c r="AI15" s="2">
        <f>VLOOKUP(B15,坦克个性化细分!$I$3:$P$33,3,FALSE)</f>
        <v>44.5</v>
      </c>
      <c r="AJ15" s="2">
        <f>VLOOKUP(B15,坦克个性化细分!$I$3:$P$33,5,FALSE)</f>
        <v>40</v>
      </c>
      <c r="AK15" s="2">
        <f>VLOOKUP(B15,坦克个性化细分!$I$3:$P$33,7,FALSE)</f>
        <v>8</v>
      </c>
      <c r="AL15" s="2">
        <f>VLOOKUP($B15,坦克个性化设定!$G$84:$T$114,MATCH(AL$3,坦克个性化设定!$G$84:$T$84,0),FALSE)</f>
        <v>9</v>
      </c>
      <c r="AM15" s="2">
        <f>VLOOKUP($B15,坦克个性化细分!$E$3:$G$33,2,FALSE)</f>
        <v>3.2</v>
      </c>
      <c r="AN15" s="2">
        <f>VLOOKUP($B15,坦克个性化细分!$E$3:$G$33,3,FALSE)</f>
        <v>0</v>
      </c>
      <c r="AO15" s="34">
        <f t="shared" si="0"/>
        <v>1.01</v>
      </c>
      <c r="AP15" s="33">
        <f t="shared" ca="1" si="1"/>
        <v>945</v>
      </c>
      <c r="AQ15" s="33">
        <f t="shared" ca="1" si="2"/>
        <v>132</v>
      </c>
      <c r="AR15" s="33">
        <f t="shared" ca="1" si="3"/>
        <v>394</v>
      </c>
      <c r="AS15" s="33">
        <f t="shared" ca="1" si="4"/>
        <v>296</v>
      </c>
      <c r="AT15" s="33">
        <f t="shared" ca="1" si="5"/>
        <v>432</v>
      </c>
      <c r="AU15" s="33">
        <f t="shared" ca="1" si="6"/>
        <v>104</v>
      </c>
      <c r="AV15" s="33">
        <f t="shared" si="12"/>
        <v>0</v>
      </c>
      <c r="AW15" s="33">
        <f t="shared" si="13"/>
        <v>0</v>
      </c>
      <c r="AX15" s="33">
        <f t="shared" si="14"/>
        <v>0</v>
      </c>
      <c r="AY15" s="2">
        <f t="shared" si="7"/>
        <v>6</v>
      </c>
      <c r="AZ15" s="2">
        <f>基础属性系数!$E$61</f>
        <v>0</v>
      </c>
      <c r="BA15" s="2">
        <v>50</v>
      </c>
      <c r="BB15" s="2">
        <v>10</v>
      </c>
      <c r="BC15" s="2">
        <f>VLOOKUP($B15,坦克类型系数!$B$3:$R$33,MATCH(BC$3,坦克类型系数!$B$3:$R$3,0),FALSE)</f>
        <v>0</v>
      </c>
      <c r="BD15" s="2">
        <f>VLOOKUP($B15,坦克类型系数!$B$3:$R$33,MATCH(BD$3,坦克类型系数!$B$3:$R$3,0),FALSE)</f>
        <v>2.15</v>
      </c>
      <c r="BE15" s="2">
        <f>VLOOKUP($B15,坦克类型系数!$B$3:$R$33,MATCH(BE$3,坦克类型系数!$B$3:$R$3,0),FALSE)</f>
        <v>1.9</v>
      </c>
      <c r="BF15" s="2">
        <f>VLOOKUP($B15,坦克类型系数!$B$3:$R$33,MATCH(BF$3,坦克类型系数!$B$3:$R$3,0),FALSE)</f>
        <v>1.55</v>
      </c>
      <c r="BG15" s="2">
        <f>VLOOKUP($B15,坦克类型系数!$B$3:$R$33,MATCH(BG$3,坦克类型系数!$B$3:$R$3,0),FALSE)</f>
        <v>1.2</v>
      </c>
      <c r="BH15" s="2">
        <f>VLOOKUP($B15,坦克类型系数!$B$3:$R$33,MATCH(BH$3,坦克类型系数!$B$3:$R$3,0),FALSE)</f>
        <v>0.8</v>
      </c>
      <c r="BI15" s="2">
        <f>VLOOKUP($B15,坦克类型系数!$B$3:$R$33,MATCH(BI$3,坦克类型系数!$B$3:$R$3,0),FALSE)</f>
        <v>0.55000000000000004</v>
      </c>
      <c r="BJ15" s="25"/>
      <c r="BK15" s="25"/>
      <c r="BL15" s="25"/>
      <c r="BM15" s="1" t="s">
        <v>1230</v>
      </c>
      <c r="BN15" s="2" t="str">
        <f t="shared" si="8"/>
        <v>T-34</v>
      </c>
      <c r="BO15" s="2" t="str">
        <f>VLOOKUP(BN15,坦克个性化设定!$B$18:$E$48,MATCH(BO$3,坦克个性化设定!$B$18:$E$18,0),FALSE)</f>
        <v>T2</v>
      </c>
      <c r="BP15" s="2" t="str">
        <f t="shared" si="9"/>
        <v>低</v>
      </c>
      <c r="BQ15" s="2" t="s">
        <v>792</v>
      </c>
      <c r="BR15" s="2"/>
      <c r="BS15" s="42">
        <f ca="1">VLOOKUP($BN15&amp;$BQ15,坦克标准养成属性!$S$3:$AE$63,MATCH(BS$3,坦克标准养成属性!$S$3:$AE$3,0),FALSE)</f>
        <v>944.92134825899893</v>
      </c>
      <c r="BT15" s="42">
        <f ca="1">VLOOKUP($BN15&amp;$BQ15,坦克标准养成属性!$S$3:$AE$63,MATCH(BT$3,坦克标准养成属性!$S$3:$AE$3,0),FALSE)</f>
        <v>131.8725024963538</v>
      </c>
      <c r="BU15" s="42">
        <f ca="1">VLOOKUP($BN15&amp;$BQ15,坦克标准养成属性!$S$3:$AE$63,MATCH(BU$3,坦克标准养成属性!$S$3:$AE$3,0),FALSE)</f>
        <v>394</v>
      </c>
      <c r="BV15" s="42">
        <f ca="1">VLOOKUP($BN15&amp;$BQ15,坦克标准养成属性!$S$3:$AE$63,MATCH(BV$3,坦克标准养成属性!$S$3:$AE$3,0),FALSE)</f>
        <v>296</v>
      </c>
      <c r="BW15" s="42">
        <f ca="1">VLOOKUP($BN15&amp;$BQ15,坦克标准养成属性!$S$3:$AE$63,MATCH(BW$3,坦克标准养成属性!$S$3:$AE$3,0),FALSE)</f>
        <v>432</v>
      </c>
      <c r="BX15" s="42">
        <f ca="1">VLOOKUP($BN15&amp;$BQ15,坦克标准养成属性!$S$3:$AE$63,MATCH(BX$3,坦克标准养成属性!$S$3:$AE$3,0),FALSE)</f>
        <v>104</v>
      </c>
      <c r="BY15" s="2">
        <f>IFERROR((VLOOKUP(LEFT(BR15,1)*1,坦克部件!$N$3:$W$9,MATCH("升星属性",坦克部件!$N$3:$W$3,0),FALSE)+VLOOKUP(RIGHT(BR15,1)*1,坦克部件!$Y$3:$AC$38,MATCH("累计属性",坦克部件!$Y$3:$AC$3,0),FALSE))*2,0)</f>
        <v>0</v>
      </c>
      <c r="BZ15" s="42">
        <f t="shared" si="15"/>
        <v>0</v>
      </c>
      <c r="CA15" s="42">
        <f t="shared" si="16"/>
        <v>0</v>
      </c>
    </row>
    <row r="16" spans="2:79" x14ac:dyDescent="0.3">
      <c r="B16" s="2" t="str">
        <f>坦克个性化设定!B31</f>
        <v>四号</v>
      </c>
      <c r="C16" s="2" t="str">
        <f>VLOOKUP(B16,坦克个性化设定!$B$18:$E$48,4,FALSE)</f>
        <v>T2</v>
      </c>
      <c r="D16" s="2" t="str">
        <f>坦克个性化细分!J16</f>
        <v>中</v>
      </c>
      <c r="E16" s="2" t="str">
        <f t="shared" si="10"/>
        <v>T2中0</v>
      </c>
      <c r="F16" s="2" t="str">
        <f>VLOOKUP($B16,坦克个性化设定!$B$18:$BC$48,MATCH(F$3,坦克个性化设定!$B$18:$BC$18,0),FALSE)</f>
        <v>中坦</v>
      </c>
      <c r="G16" s="2" t="str">
        <f>VLOOKUP($B16,坦克个性化设定!$B$18:$BC$48,MATCH(G$3,坦克个性化设定!$B$18:$BC$18,0),FALSE)</f>
        <v>中坦自动</v>
      </c>
      <c r="H16" s="2" t="str">
        <f t="shared" si="11"/>
        <v>自动装弹</v>
      </c>
      <c r="I16" s="2">
        <f>VLOOKUP($B16,坦克个性化设定!$B$18:$BC$48,MATCH(I$3,坦克个性化设定!$B$18:$BC$18,0),FALSE)</f>
        <v>5.97</v>
      </c>
      <c r="J16" s="2">
        <f>VLOOKUP($B16,坦克个性化设定!$B$18:$BC$48,MATCH(J$3,坦克个性化设定!$B$18:$BC$18,0),FALSE)</f>
        <v>2.96</v>
      </c>
      <c r="K16" s="2">
        <f>VLOOKUP($B16,坦克个性化设定!$B$18:$BC$48,MATCH(K$3,坦克个性化设定!$B$18:$BC$18,0),FALSE)</f>
        <v>0.3</v>
      </c>
      <c r="L16" s="34">
        <f>VLOOKUP($B16,坦克个性化设定!$B$18:$BC$48,MATCH(L$3,坦克个性化设定!$B$18:$BC$18,0),FALSE)</f>
        <v>1.6422918151337649</v>
      </c>
      <c r="M16" s="34">
        <f>VLOOKUP($B16,坦克个性化设定!$B$18:$BC$48,MATCH(M$3,坦克个性化设定!$B$18:$BC$18,0),FALSE)</f>
        <v>13.333333333333334</v>
      </c>
      <c r="N16" s="34">
        <f>VLOOKUP($B16,坦克个性化设定!$B$18:$BC$48,MATCH(N$3,坦克个性化设定!$B$18:$BC$18,0),FALSE)</f>
        <v>22.857142857142858</v>
      </c>
      <c r="O16" s="2">
        <f>VLOOKUP($B16,坦克个性化设定!$B$18:$BC$48,MATCH(O$3,坦克个性化设定!$B$18:$BC$18,0),FALSE)</f>
        <v>0.9</v>
      </c>
      <c r="P16" s="2">
        <f>VLOOKUP($B16,坦克个性化设定!$B$18:$BC$48,MATCH(P$3,坦克个性化设定!$B$18:$BC$18,0),FALSE)</f>
        <v>0.9</v>
      </c>
      <c r="Q16" s="2">
        <f>VLOOKUP($B16,坦克个性化设定!$B$18:$BC$48,MATCH(Q$3,坦克个性化设定!$B$18:$BC$18,0),FALSE)</f>
        <v>0.9</v>
      </c>
      <c r="R16" s="2">
        <f>VLOOKUP($B16,坦克个性化设定!$B$18:$BC$48,MATCH(R$3,坦克个性化设定!$B$18:$BC$18,0),FALSE)</f>
        <v>0.4</v>
      </c>
      <c r="S16" s="34">
        <f>VLOOKUP($B16,坦克个性化设定!$B$51:$T$81,MATCH(S$3,坦克个性化设定!$B$51:$T$51,0),FALSE)</f>
        <v>2.4</v>
      </c>
      <c r="T16" s="34">
        <f>VLOOKUP($B16,坦克个性化设定!$B$51:$T$81,MATCH(T$3,坦克个性化设定!$B$51:$T$51,0),FALSE)</f>
        <v>1.4</v>
      </c>
      <c r="U16" s="34">
        <f>VLOOKUP($B16,坦克个性化设定!$B$18:$BC$48,MATCH(U$3,坦克个性化设定!$B$18:$BC$18,0),FALSE)</f>
        <v>0.64</v>
      </c>
      <c r="V16" s="2">
        <f>VLOOKUP($B16,坦克个性化设定!$B$18:$BC$48,MATCH(V$3,坦克个性化设定!$B$18:$BC$18,0),FALSE)</f>
        <v>1</v>
      </c>
      <c r="W16" s="2">
        <f>VLOOKUP($B16,坦克个性化设定!$B$18:$BC$48,MATCH(W$3,坦克个性化设定!$B$18:$BC$18,0),FALSE)</f>
        <v>4</v>
      </c>
      <c r="X16" s="2">
        <f>VLOOKUP($B16,坦克个性化设定!$B$18:$BC$48,MATCH(X$3,坦克个性化设定!$B$18:$BC$18,0),FALSE)</f>
        <v>0.75</v>
      </c>
      <c r="Y16" s="34">
        <f>VLOOKUP($B16,坦克个性化设定!$B$18:$BC$48,MATCH(Y$3,坦克个性化设定!$B$18:$BC$18,0),FALSE)</f>
        <v>8.8984165302451057</v>
      </c>
      <c r="Z16" s="34">
        <f>VLOOKUP($B16,坦克个性化设定!$B$18:$BC$48,MATCH(Z$3,坦克个性化设定!$B$18:$BC$18,0),FALSE)</f>
        <v>55.61510331403192</v>
      </c>
      <c r="AA16" s="34">
        <f>VLOOKUP($B16,坦克个性化设定!$B$18:$BC$48,MATCH(AA$3,坦克个性化设定!$B$18:$BC$18,0),FALSE)</f>
        <v>2.84</v>
      </c>
      <c r="AB16" s="34">
        <f>VLOOKUP($B16,坦克个性化设定!$B$18:$BC$48,MATCH(AB$3,坦克个性化设定!$B$18:$BC$18,0),FALSE)</f>
        <v>7.2</v>
      </c>
      <c r="AC16" s="34">
        <f>VLOOKUP($B16,坦克个性化设定!$B$18:$BC$48,MATCH(AC$3,坦克个性化设定!$B$18:$BC$18,0),FALSE)</f>
        <v>5</v>
      </c>
      <c r="AD16" s="34">
        <f>VLOOKUP($B16,坦克个性化设定!$B$18:$BC$48,MATCH(AD$3,坦克个性化设定!$B$18:$BC$18,0),FALSE)</f>
        <v>4</v>
      </c>
      <c r="AE16" s="34">
        <f>VLOOKUP($B16,坦克个性化设定!$B$18:$BC$48,MATCH(AE$3,坦克个性化设定!$B$18:$BC$18,0),FALSE)</f>
        <v>1.0649999999999999</v>
      </c>
      <c r="AF16" s="2">
        <f>VLOOKUP($B16,坦克个性化设定!$B$18:$BC$48,MATCH(AF$3,坦克个性化设定!$B$18:$BC$18,0),FALSE)</f>
        <v>0.2</v>
      </c>
      <c r="AG16" s="2">
        <f>VLOOKUP($B16,坦克个性化设定!$B$18:$BC$48,MATCH(AG$3,坦克个性化设定!$B$18:$BC$18,0),FALSE)</f>
        <v>55</v>
      </c>
      <c r="AH16" s="2">
        <f>VLOOKUP($B16,坦克个性化设定!$B$18:$BC$48,MATCH(AH$3,坦克个性化设定!$B$18:$BC$18,0),FALSE)</f>
        <v>105</v>
      </c>
      <c r="AI16" s="2">
        <f>VLOOKUP(B16,坦克个性化细分!$I$3:$P$33,3,FALSE)</f>
        <v>36.299999999999997</v>
      </c>
      <c r="AJ16" s="2">
        <f>VLOOKUP(B16,坦克个性化细分!$I$3:$P$33,5,FALSE)</f>
        <v>51</v>
      </c>
      <c r="AK16" s="2">
        <f>VLOOKUP(B16,坦克个性化细分!$I$3:$P$33,7,FALSE)</f>
        <v>7.3</v>
      </c>
      <c r="AL16" s="2">
        <f>VLOOKUP($B16,坦克个性化设定!$G$84:$T$114,MATCH(AL$3,坦克个性化设定!$G$84:$T$84,0),FALSE)</f>
        <v>6</v>
      </c>
      <c r="AM16" s="2">
        <f>VLOOKUP($B16,坦克个性化细分!$E$3:$G$33,2,FALSE)</f>
        <v>2.4</v>
      </c>
      <c r="AN16" s="2">
        <f>VLOOKUP($B16,坦克个性化细分!$E$3:$G$33,3,FALSE)</f>
        <v>0</v>
      </c>
      <c r="AO16" s="34">
        <f t="shared" si="0"/>
        <v>1.4</v>
      </c>
      <c r="AP16" s="33">
        <f t="shared" ca="1" si="1"/>
        <v>1007</v>
      </c>
      <c r="AQ16" s="33">
        <f t="shared" ca="1" si="2"/>
        <v>133</v>
      </c>
      <c r="AR16" s="33">
        <f t="shared" ca="1" si="3"/>
        <v>401</v>
      </c>
      <c r="AS16" s="33">
        <f t="shared" ca="1" si="4"/>
        <v>301</v>
      </c>
      <c r="AT16" s="33">
        <f t="shared" ca="1" si="5"/>
        <v>439</v>
      </c>
      <c r="AU16" s="33">
        <f t="shared" ca="1" si="6"/>
        <v>105</v>
      </c>
      <c r="AV16" s="33">
        <f t="shared" si="12"/>
        <v>0</v>
      </c>
      <c r="AW16" s="33">
        <f t="shared" si="13"/>
        <v>0</v>
      </c>
      <c r="AX16" s="33">
        <f t="shared" si="14"/>
        <v>0</v>
      </c>
      <c r="AY16" s="2">
        <f t="shared" si="7"/>
        <v>6</v>
      </c>
      <c r="AZ16" s="2">
        <f>基础属性系数!$E$61</f>
        <v>0</v>
      </c>
      <c r="BA16" s="2">
        <v>50</v>
      </c>
      <c r="BB16" s="2">
        <v>10</v>
      </c>
      <c r="BC16" s="2">
        <f>VLOOKUP($B16,坦克类型系数!$B$3:$R$33,MATCH(BC$3,坦克类型系数!$B$3:$R$3,0),FALSE)</f>
        <v>0</v>
      </c>
      <c r="BD16" s="2">
        <f>VLOOKUP($B16,坦克类型系数!$B$3:$R$33,MATCH(BD$3,坦克类型系数!$B$3:$R$3,0),FALSE)</f>
        <v>2.2000000000000002</v>
      </c>
      <c r="BE16" s="2">
        <f>VLOOKUP($B16,坦克类型系数!$B$3:$R$33,MATCH(BE$3,坦克类型系数!$B$3:$R$3,0),FALSE)</f>
        <v>1.85</v>
      </c>
      <c r="BF16" s="2">
        <f>VLOOKUP($B16,坦克类型系数!$B$3:$R$33,MATCH(BF$3,坦克类型系数!$B$3:$R$3,0),FALSE)</f>
        <v>1.4</v>
      </c>
      <c r="BG16" s="2">
        <f>VLOOKUP($B16,坦克类型系数!$B$3:$R$33,MATCH(BG$3,坦克类型系数!$B$3:$R$3,0),FALSE)</f>
        <v>1.1499999999999999</v>
      </c>
      <c r="BH16" s="2">
        <f>VLOOKUP($B16,坦克类型系数!$B$3:$R$33,MATCH(BH$3,坦克类型系数!$B$3:$R$3,0),FALSE)</f>
        <v>0.8</v>
      </c>
      <c r="BI16" s="2">
        <f>VLOOKUP($B16,坦克类型系数!$B$3:$R$33,MATCH(BI$3,坦克类型系数!$B$3:$R$3,0),FALSE)</f>
        <v>0.55000000000000004</v>
      </c>
      <c r="BJ16" s="25"/>
      <c r="BK16" s="25"/>
      <c r="BL16" s="25"/>
      <c r="BM16" s="1" t="s">
        <v>1230</v>
      </c>
      <c r="BN16" s="2" t="str">
        <f t="shared" si="8"/>
        <v>四号</v>
      </c>
      <c r="BO16" s="2" t="str">
        <f>VLOOKUP(BN16,坦克个性化设定!$B$18:$E$48,MATCH(BO$3,坦克个性化设定!$B$18:$E$18,0),FALSE)</f>
        <v>T2</v>
      </c>
      <c r="BP16" s="2" t="str">
        <f t="shared" si="9"/>
        <v>中</v>
      </c>
      <c r="BQ16" s="2" t="s">
        <v>792</v>
      </c>
      <c r="BR16" s="2"/>
      <c r="BS16" s="42">
        <f ca="1">VLOOKUP($BN16&amp;$BQ16,坦克标准养成属性!$S$3:$AE$63,MATCH(BS$3,坦克标准养成属性!$S$3:$AE$3,0),FALSE)</f>
        <v>1007.1630773046211</v>
      </c>
      <c r="BT16" s="42">
        <f ca="1">VLOOKUP($BN16&amp;$BQ16,坦克标准养成属性!$S$3:$AE$63,MATCH(BT$3,坦克标准养成属性!$S$3:$AE$3,0),FALSE)</f>
        <v>132.85375832436742</v>
      </c>
      <c r="BU16" s="42">
        <f ca="1">VLOOKUP($BN16&amp;$BQ16,坦克标准养成属性!$S$3:$AE$63,MATCH(BU$3,坦克标准养成属性!$S$3:$AE$3,0),FALSE)</f>
        <v>401</v>
      </c>
      <c r="BV16" s="42">
        <f ca="1">VLOOKUP($BN16&amp;$BQ16,坦克标准养成属性!$S$3:$AE$63,MATCH(BV$3,坦克标准养成属性!$S$3:$AE$3,0),FALSE)</f>
        <v>301</v>
      </c>
      <c r="BW16" s="42">
        <f ca="1">VLOOKUP($BN16&amp;$BQ16,坦克标准养成属性!$S$3:$AE$63,MATCH(BW$3,坦克标准养成属性!$S$3:$AE$3,0),FALSE)</f>
        <v>439</v>
      </c>
      <c r="BX16" s="42">
        <f ca="1">VLOOKUP($BN16&amp;$BQ16,坦克标准养成属性!$S$3:$AE$63,MATCH(BX$3,坦克标准养成属性!$S$3:$AE$3,0),FALSE)</f>
        <v>105</v>
      </c>
      <c r="BY16" s="2">
        <f>IFERROR((VLOOKUP(LEFT(BR16,1)*1,坦克部件!$N$3:$W$9,MATCH("升星属性",坦克部件!$N$3:$W$3,0),FALSE)+VLOOKUP(RIGHT(BR16,1)*1,坦克部件!$Y$3:$AC$38,MATCH("累计属性",坦克部件!$Y$3:$AC$3,0),FALSE))*2,0)</f>
        <v>0</v>
      </c>
      <c r="BZ16" s="42">
        <f t="shared" si="15"/>
        <v>0</v>
      </c>
      <c r="CA16" s="42">
        <f t="shared" si="16"/>
        <v>0</v>
      </c>
    </row>
    <row r="17" spans="2:79" x14ac:dyDescent="0.3">
      <c r="B17" s="2" t="str">
        <f>坦克个性化设定!B32</f>
        <v>玛蒂尔达</v>
      </c>
      <c r="C17" s="2" t="str">
        <f>VLOOKUP(B17,坦克个性化设定!$B$18:$E$48,4,FALSE)</f>
        <v>T3</v>
      </c>
      <c r="D17" s="2" t="str">
        <f>坦克个性化细分!J17</f>
        <v>低</v>
      </c>
      <c r="E17" s="2" t="str">
        <f t="shared" si="10"/>
        <v>T3低0</v>
      </c>
      <c r="F17" s="2" t="str">
        <f>VLOOKUP($B17,坦克个性化设定!$B$18:$BC$48,MATCH(F$3,坦克个性化设定!$B$18:$BC$18,0),FALSE)</f>
        <v>中坦</v>
      </c>
      <c r="G17" s="2" t="str">
        <f>VLOOKUP($B17,坦克个性化设定!$B$18:$BC$48,MATCH(G$3,坦克个性化设定!$B$18:$BC$18,0),FALSE)</f>
        <v>中坦自动</v>
      </c>
      <c r="H17" s="2" t="str">
        <f t="shared" si="11"/>
        <v>自动装弹</v>
      </c>
      <c r="I17" s="2">
        <f>VLOOKUP($B17,坦克个性化设定!$B$18:$BC$48,MATCH(I$3,坦克个性化设定!$B$18:$BC$18,0),FALSE)</f>
        <v>6.05</v>
      </c>
      <c r="J17" s="2">
        <f>VLOOKUP($B17,坦克个性化设定!$B$18:$BC$48,MATCH(J$3,坦克个性化设定!$B$18:$BC$18,0),FALSE)</f>
        <v>2.57</v>
      </c>
      <c r="K17" s="2">
        <f>VLOOKUP($B17,坦克个性化设定!$B$18:$BC$48,MATCH(K$3,坦克个性化设定!$B$18:$BC$18,0),FALSE)</f>
        <v>0.3</v>
      </c>
      <c r="L17" s="34">
        <f>VLOOKUP($B17,坦克个性化设定!$B$18:$BC$48,MATCH(L$3,坦克个性化设定!$B$18:$BC$18,0),FALSE)</f>
        <v>1.6422918151337649</v>
      </c>
      <c r="M17" s="34">
        <f>VLOOKUP($B17,坦克个性化设定!$B$18:$BC$48,MATCH(M$3,坦克个性化设定!$B$18:$BC$18,0),FALSE)</f>
        <v>13.333333333333334</v>
      </c>
      <c r="N17" s="34">
        <f>VLOOKUP($B17,坦克个性化设定!$B$18:$BC$48,MATCH(N$3,坦克个性化设定!$B$18:$BC$18,0),FALSE)</f>
        <v>22.857142857142858</v>
      </c>
      <c r="O17" s="2">
        <f>VLOOKUP($B17,坦克个性化设定!$B$18:$BC$48,MATCH(O$3,坦克个性化设定!$B$18:$BC$18,0),FALSE)</f>
        <v>0.9</v>
      </c>
      <c r="P17" s="2">
        <f>VLOOKUP($B17,坦克个性化设定!$B$18:$BC$48,MATCH(P$3,坦克个性化设定!$B$18:$BC$18,0),FALSE)</f>
        <v>0.9</v>
      </c>
      <c r="Q17" s="2">
        <f>VLOOKUP($B17,坦克个性化设定!$B$18:$BC$48,MATCH(Q$3,坦克个性化设定!$B$18:$BC$18,0),FALSE)</f>
        <v>0.9</v>
      </c>
      <c r="R17" s="2">
        <f>VLOOKUP($B17,坦克个性化设定!$B$18:$BC$48,MATCH(R$3,坦克个性化设定!$B$18:$BC$18,0),FALSE)</f>
        <v>0.28000000000000003</v>
      </c>
      <c r="S17" s="34">
        <f>VLOOKUP($B17,坦克个性化设定!$B$51:$T$81,MATCH(S$3,坦克个性化设定!$B$51:$T$51,0),FALSE)</f>
        <v>1.5999999999999999</v>
      </c>
      <c r="T17" s="34">
        <f>VLOOKUP($B17,坦克个性化设定!$B$51:$T$81,MATCH(T$3,坦克个性化设定!$B$51:$T$51,0),FALSE)</f>
        <v>0.99</v>
      </c>
      <c r="U17" s="34">
        <f>VLOOKUP($B17,坦克个性化设定!$B$18:$BC$48,MATCH(U$3,坦克个性化设定!$B$18:$BC$18,0),FALSE)</f>
        <v>0.75</v>
      </c>
      <c r="V17" s="2">
        <f>VLOOKUP($B17,坦克个性化设定!$B$18:$BC$48,MATCH(V$3,坦克个性化设定!$B$18:$BC$18,0),FALSE)</f>
        <v>1</v>
      </c>
      <c r="W17" s="2">
        <f>VLOOKUP($B17,坦克个性化设定!$B$18:$BC$48,MATCH(W$3,坦克个性化设定!$B$18:$BC$18,0),FALSE)</f>
        <v>1</v>
      </c>
      <c r="X17" s="2">
        <f>VLOOKUP($B17,坦克个性化设定!$B$18:$BC$48,MATCH(X$3,坦克个性化设定!$B$18:$BC$18,0),FALSE)</f>
        <v>0.75</v>
      </c>
      <c r="Y17" s="34">
        <f>VLOOKUP($B17,坦克个性化设定!$B$18:$BC$48,MATCH(Y$3,坦克个性化设定!$B$18:$BC$18,0),FALSE)</f>
        <v>11.123020662806383</v>
      </c>
      <c r="Z17" s="34">
        <f>VLOOKUP($B17,坦克个性化设定!$B$18:$BC$48,MATCH(Z$3,坦克个性化设定!$B$18:$BC$18,0),FALSE)</f>
        <v>55.61510331403192</v>
      </c>
      <c r="AA17" s="34">
        <f>VLOOKUP($B17,坦克个性化设定!$B$18:$BC$48,MATCH(AA$3,坦克个性化设定!$B$18:$BC$18,0),FALSE)</f>
        <v>2.84</v>
      </c>
      <c r="AB17" s="34">
        <f>VLOOKUP($B17,坦克个性化设定!$B$18:$BC$48,MATCH(AB$3,坦克个性化设定!$B$18:$BC$18,0),FALSE)</f>
        <v>8</v>
      </c>
      <c r="AC17" s="34">
        <f>VLOOKUP($B17,坦克个性化设定!$B$18:$BC$48,MATCH(AC$3,坦克个性化设定!$B$18:$BC$18,0),FALSE)</f>
        <v>5</v>
      </c>
      <c r="AD17" s="34">
        <f>VLOOKUP($B17,坦克个性化设定!$B$18:$BC$48,MATCH(AD$3,坦克个性化设定!$B$18:$BC$18,0),FALSE)</f>
        <v>4</v>
      </c>
      <c r="AE17" s="34">
        <f>VLOOKUP($B17,坦克个性化设定!$B$18:$BC$48,MATCH(AE$3,坦克个性化设定!$B$18:$BC$18,0),FALSE)</f>
        <v>1.0649999999999999</v>
      </c>
      <c r="AF17" s="2">
        <f>VLOOKUP($B17,坦克个性化设定!$B$18:$BC$48,MATCH(AF$3,坦克个性化设定!$B$18:$BC$18,0),FALSE)</f>
        <v>0.2</v>
      </c>
      <c r="AG17" s="2">
        <f>VLOOKUP($B17,坦克个性化设定!$B$18:$BC$48,MATCH(AG$3,坦克个性化设定!$B$18:$BC$18,0),FALSE)</f>
        <v>55</v>
      </c>
      <c r="AH17" s="2">
        <f>VLOOKUP($B17,坦克个性化设定!$B$18:$BC$48,MATCH(AH$3,坦克个性化设定!$B$18:$BC$18,0),FALSE)</f>
        <v>105</v>
      </c>
      <c r="AI17" s="2">
        <f>VLOOKUP(B17,坦克个性化细分!$I$3:$P$33,3,FALSE)</f>
        <v>44.5</v>
      </c>
      <c r="AJ17" s="2">
        <f>VLOOKUP(B17,坦克个性化细分!$I$3:$P$33,5,FALSE)</f>
        <v>40</v>
      </c>
      <c r="AK17" s="2">
        <f>VLOOKUP(B17,坦克个性化细分!$I$3:$P$33,7,FALSE)</f>
        <v>8</v>
      </c>
      <c r="AL17" s="2">
        <f>VLOOKUP($B17,坦克个性化设定!$G$84:$T$114,MATCH(AL$3,坦克个性化设定!$G$84:$T$84,0),FALSE)</f>
        <v>9</v>
      </c>
      <c r="AM17" s="2">
        <f>VLOOKUP($B17,坦克个性化细分!$E$3:$G$33,2,FALSE)</f>
        <v>3.2</v>
      </c>
      <c r="AN17" s="2">
        <f>VLOOKUP($B17,坦克个性化细分!$E$3:$G$33,3,FALSE)</f>
        <v>0</v>
      </c>
      <c r="AO17" s="34">
        <f t="shared" si="0"/>
        <v>0.99</v>
      </c>
      <c r="AP17" s="33">
        <f t="shared" ca="1" si="1"/>
        <v>1214</v>
      </c>
      <c r="AQ17" s="33">
        <f t="shared" ca="1" si="2"/>
        <v>159</v>
      </c>
      <c r="AR17" s="33">
        <f t="shared" ca="1" si="3"/>
        <v>486</v>
      </c>
      <c r="AS17" s="33">
        <f t="shared" ca="1" si="4"/>
        <v>365</v>
      </c>
      <c r="AT17" s="33">
        <f t="shared" ca="1" si="5"/>
        <v>533</v>
      </c>
      <c r="AU17" s="33">
        <f t="shared" ca="1" si="6"/>
        <v>128</v>
      </c>
      <c r="AV17" s="33">
        <f t="shared" si="12"/>
        <v>0</v>
      </c>
      <c r="AW17" s="33">
        <f t="shared" si="13"/>
        <v>0</v>
      </c>
      <c r="AX17" s="33">
        <f t="shared" si="14"/>
        <v>0</v>
      </c>
      <c r="AY17" s="2">
        <f t="shared" si="7"/>
        <v>6</v>
      </c>
      <c r="AZ17" s="2">
        <f>基础属性系数!$E$61</f>
        <v>0</v>
      </c>
      <c r="BA17" s="2">
        <v>50</v>
      </c>
      <c r="BB17" s="2">
        <v>10</v>
      </c>
      <c r="BC17" s="2">
        <f>VLOOKUP($B17,坦克类型系数!$B$3:$R$33,MATCH(BC$3,坦克类型系数!$B$3:$R$3,0),FALSE)</f>
        <v>0</v>
      </c>
      <c r="BD17" s="2">
        <f>VLOOKUP($B17,坦克类型系数!$B$3:$R$33,MATCH(BD$3,坦克类型系数!$B$3:$R$3,0),FALSE)</f>
        <v>2.25</v>
      </c>
      <c r="BE17" s="2">
        <f>VLOOKUP($B17,坦克类型系数!$B$3:$R$33,MATCH(BE$3,坦克类型系数!$B$3:$R$3,0),FALSE)</f>
        <v>2</v>
      </c>
      <c r="BF17" s="2">
        <f>VLOOKUP($B17,坦克类型系数!$B$3:$R$33,MATCH(BF$3,坦克类型系数!$B$3:$R$3,0),FALSE)</f>
        <v>1.5</v>
      </c>
      <c r="BG17" s="2">
        <f>VLOOKUP($B17,坦克类型系数!$B$3:$R$33,MATCH(BG$3,坦克类型系数!$B$3:$R$3,0),FALSE)</f>
        <v>1.2</v>
      </c>
      <c r="BH17" s="2">
        <f>VLOOKUP($B17,坦克类型系数!$B$3:$R$33,MATCH(BH$3,坦克类型系数!$B$3:$R$3,0),FALSE)</f>
        <v>0.85</v>
      </c>
      <c r="BI17" s="2">
        <f>VLOOKUP($B17,坦克类型系数!$B$3:$R$33,MATCH(BI$3,坦克类型系数!$B$3:$R$3,0),FALSE)</f>
        <v>0.6</v>
      </c>
      <c r="BJ17" s="25"/>
      <c r="BK17" s="25"/>
      <c r="BL17" s="25"/>
      <c r="BM17" s="1" t="s">
        <v>1230</v>
      </c>
      <c r="BN17" s="2" t="str">
        <f t="shared" si="8"/>
        <v>玛蒂尔达</v>
      </c>
      <c r="BO17" s="2" t="str">
        <f>VLOOKUP(BN17,坦克个性化设定!$B$18:$E$48,MATCH(BO$3,坦克个性化设定!$B$18:$E$18,0),FALSE)</f>
        <v>T3</v>
      </c>
      <c r="BP17" s="2" t="str">
        <f t="shared" si="9"/>
        <v>低</v>
      </c>
      <c r="BQ17" s="2" t="s">
        <v>792</v>
      </c>
      <c r="BR17" s="2"/>
      <c r="BS17" s="42">
        <f ca="1">VLOOKUP($BN17&amp;$BQ17,坦克标准养成属性!$S$3:$AE$63,MATCH(BS$3,坦克标准养成属性!$S$3:$AE$3,0),FALSE)</f>
        <v>1214.0815209698399</v>
      </c>
      <c r="BT17" s="42">
        <f ca="1">VLOOKUP($BN17&amp;$BQ17,坦克标准养成属性!$S$3:$AE$63,MATCH(BT$3,坦克标准养成属性!$S$3:$AE$3,0),FALSE)</f>
        <v>158.79940946421667</v>
      </c>
      <c r="BU17" s="42">
        <f ca="1">VLOOKUP($BN17&amp;$BQ17,坦克标准养成属性!$S$3:$AE$63,MATCH(BU$3,坦克标准养成属性!$S$3:$AE$3,0),FALSE)</f>
        <v>486</v>
      </c>
      <c r="BV17" s="42">
        <f ca="1">VLOOKUP($BN17&amp;$BQ17,坦克标准养成属性!$S$3:$AE$63,MATCH(BV$3,坦克标准养成属性!$S$3:$AE$3,0),FALSE)</f>
        <v>365</v>
      </c>
      <c r="BW17" s="42">
        <f ca="1">VLOOKUP($BN17&amp;$BQ17,坦克标准养成属性!$S$3:$AE$63,MATCH(BW$3,坦克标准养成属性!$S$3:$AE$3,0),FALSE)</f>
        <v>533</v>
      </c>
      <c r="BX17" s="42">
        <f ca="1">VLOOKUP($BN17&amp;$BQ17,坦克标准养成属性!$S$3:$AE$63,MATCH(BX$3,坦克标准养成属性!$S$3:$AE$3,0),FALSE)</f>
        <v>128</v>
      </c>
      <c r="BY17" s="2">
        <f>IFERROR((VLOOKUP(LEFT(BR17,1)*1,坦克部件!$N$3:$W$9,MATCH("升星属性",坦克部件!$N$3:$W$3,0),FALSE)+VLOOKUP(RIGHT(BR17,1)*1,坦克部件!$Y$3:$AC$38,MATCH("累计属性",坦克部件!$Y$3:$AC$3,0),FALSE))*2,0)</f>
        <v>0</v>
      </c>
      <c r="BZ17" s="42">
        <f t="shared" si="15"/>
        <v>0</v>
      </c>
      <c r="CA17" s="42">
        <f t="shared" si="16"/>
        <v>0</v>
      </c>
    </row>
    <row r="18" spans="2:79" x14ac:dyDescent="0.3">
      <c r="B18" s="2" t="str">
        <f>坦克个性化设定!B33</f>
        <v>谢尔曼</v>
      </c>
      <c r="C18" s="2" t="str">
        <f>VLOOKUP(B18,坦克个性化设定!$B$18:$E$48,4,FALSE)</f>
        <v>T3</v>
      </c>
      <c r="D18" s="2" t="str">
        <f>坦克个性化细分!J18</f>
        <v>中</v>
      </c>
      <c r="E18" s="2" t="str">
        <f t="shared" si="10"/>
        <v>T3中0</v>
      </c>
      <c r="F18" s="2" t="str">
        <f>VLOOKUP($B18,坦克个性化设定!$B$18:$BC$48,MATCH(F$3,坦克个性化设定!$B$18:$BC$18,0),FALSE)</f>
        <v>中坦</v>
      </c>
      <c r="G18" s="2" t="str">
        <f>VLOOKUP($B18,坦克个性化设定!$B$18:$BC$48,MATCH(G$3,坦克个性化设定!$B$18:$BC$18,0),FALSE)</f>
        <v>中坦自动</v>
      </c>
      <c r="H18" s="2" t="str">
        <f t="shared" si="11"/>
        <v>自动装弹</v>
      </c>
      <c r="I18" s="2">
        <f>VLOOKUP($B18,坦克个性化设定!$B$18:$BC$48,MATCH(I$3,坦克个性化设定!$B$18:$BC$18,0),FALSE)</f>
        <v>6.33</v>
      </c>
      <c r="J18" s="2">
        <f>VLOOKUP($B18,坦克个性化设定!$B$18:$BC$48,MATCH(J$3,坦克个性化设定!$B$18:$BC$18,0),FALSE)</f>
        <v>2.85</v>
      </c>
      <c r="K18" s="2">
        <f>VLOOKUP($B18,坦克个性化设定!$B$18:$BC$48,MATCH(K$3,坦克个性化设定!$B$18:$BC$18,0),FALSE)</f>
        <v>0.3</v>
      </c>
      <c r="L18" s="34">
        <f>VLOOKUP($B18,坦克个性化设定!$B$18:$BC$48,MATCH(L$3,坦克个性化设定!$B$18:$BC$18,0),FALSE)</f>
        <v>1.6422918151337649</v>
      </c>
      <c r="M18" s="34">
        <f>VLOOKUP($B18,坦克个性化设定!$B$18:$BC$48,MATCH(M$3,坦克个性化设定!$B$18:$BC$18,0),FALSE)</f>
        <v>13.333333333333334</v>
      </c>
      <c r="N18" s="34">
        <f>VLOOKUP($B18,坦克个性化设定!$B$18:$BC$48,MATCH(N$3,坦克个性化设定!$B$18:$BC$18,0),FALSE)</f>
        <v>22.857142857142858</v>
      </c>
      <c r="O18" s="2">
        <f>VLOOKUP($B18,坦克个性化设定!$B$18:$BC$48,MATCH(O$3,坦克个性化设定!$B$18:$BC$18,0),FALSE)</f>
        <v>0.9</v>
      </c>
      <c r="P18" s="2">
        <f>VLOOKUP($B18,坦克个性化设定!$B$18:$BC$48,MATCH(P$3,坦克个性化设定!$B$18:$BC$18,0),FALSE)</f>
        <v>0.9</v>
      </c>
      <c r="Q18" s="2">
        <f>VLOOKUP($B18,坦克个性化设定!$B$18:$BC$48,MATCH(Q$3,坦克个性化设定!$B$18:$BC$18,0),FALSE)</f>
        <v>0.9</v>
      </c>
      <c r="R18" s="2">
        <f>VLOOKUP($B18,坦克个性化设定!$B$18:$BC$48,MATCH(R$3,坦克个性化设定!$B$18:$BC$18,0),FALSE)</f>
        <v>0.4</v>
      </c>
      <c r="S18" s="34">
        <f>VLOOKUP($B18,坦克个性化设定!$B$51:$T$81,MATCH(S$3,坦克个性化设定!$B$51:$T$51,0),FALSE)</f>
        <v>2.4</v>
      </c>
      <c r="T18" s="34">
        <f>VLOOKUP($B18,坦克个性化设定!$B$51:$T$81,MATCH(T$3,坦克个性化设定!$B$51:$T$51,0),FALSE)</f>
        <v>1.4</v>
      </c>
      <c r="U18" s="34">
        <f>VLOOKUP($B18,坦克个性化设定!$B$18:$BC$48,MATCH(U$3,坦克个性化设定!$B$18:$BC$18,0),FALSE)</f>
        <v>0.71</v>
      </c>
      <c r="V18" s="2">
        <f>VLOOKUP($B18,坦克个性化设定!$B$18:$BC$48,MATCH(V$3,坦克个性化设定!$B$18:$BC$18,0),FALSE)</f>
        <v>1</v>
      </c>
      <c r="W18" s="2">
        <f>VLOOKUP($B18,坦克个性化设定!$B$18:$BC$48,MATCH(W$3,坦克个性化设定!$B$18:$BC$18,0),FALSE)</f>
        <v>4</v>
      </c>
      <c r="X18" s="2">
        <f>VLOOKUP($B18,坦克个性化设定!$B$18:$BC$48,MATCH(X$3,坦克个性化设定!$B$18:$BC$18,0),FALSE)</f>
        <v>0.75</v>
      </c>
      <c r="Y18" s="34">
        <f>VLOOKUP($B18,坦克个性化设定!$B$18:$BC$48,MATCH(Y$3,坦克个性化设定!$B$18:$BC$18,0),FALSE)</f>
        <v>8.8984165302451057</v>
      </c>
      <c r="Z18" s="34">
        <f>VLOOKUP($B18,坦克个性化设定!$B$18:$BC$48,MATCH(Z$3,坦克个性化设定!$B$18:$BC$18,0),FALSE)</f>
        <v>55.61510331403192</v>
      </c>
      <c r="AA18" s="34">
        <f>VLOOKUP($B18,坦克个性化设定!$B$18:$BC$48,MATCH(AA$3,坦克个性化设定!$B$18:$BC$18,0),FALSE)</f>
        <v>2.84</v>
      </c>
      <c r="AB18" s="34">
        <f>VLOOKUP($B18,坦克个性化设定!$B$18:$BC$48,MATCH(AB$3,坦克个性化设定!$B$18:$BC$18,0),FALSE)</f>
        <v>7.2</v>
      </c>
      <c r="AC18" s="34">
        <f>VLOOKUP($B18,坦克个性化设定!$B$18:$BC$48,MATCH(AC$3,坦克个性化设定!$B$18:$BC$18,0),FALSE)</f>
        <v>5</v>
      </c>
      <c r="AD18" s="34">
        <f>VLOOKUP($B18,坦克个性化设定!$B$18:$BC$48,MATCH(AD$3,坦克个性化设定!$B$18:$BC$18,0),FALSE)</f>
        <v>4</v>
      </c>
      <c r="AE18" s="34">
        <f>VLOOKUP($B18,坦克个性化设定!$B$18:$BC$48,MATCH(AE$3,坦克个性化设定!$B$18:$BC$18,0),FALSE)</f>
        <v>1.0649999999999999</v>
      </c>
      <c r="AF18" s="2">
        <f>VLOOKUP($B18,坦克个性化设定!$B$18:$BC$48,MATCH(AF$3,坦克个性化设定!$B$18:$BC$18,0),FALSE)</f>
        <v>0.2</v>
      </c>
      <c r="AG18" s="2">
        <f>VLOOKUP($B18,坦克个性化设定!$B$18:$BC$48,MATCH(AG$3,坦克个性化设定!$B$18:$BC$18,0),FALSE)</f>
        <v>55</v>
      </c>
      <c r="AH18" s="2">
        <f>VLOOKUP($B18,坦克个性化设定!$B$18:$BC$48,MATCH(AH$3,坦克个性化设定!$B$18:$BC$18,0),FALSE)</f>
        <v>105</v>
      </c>
      <c r="AI18" s="2">
        <f>VLOOKUP(B18,坦克个性化细分!$I$3:$P$33,3,FALSE)</f>
        <v>36.299999999999997</v>
      </c>
      <c r="AJ18" s="2">
        <f>VLOOKUP(B18,坦克个性化细分!$I$3:$P$33,5,FALSE)</f>
        <v>51</v>
      </c>
      <c r="AK18" s="2">
        <f>VLOOKUP(B18,坦克个性化细分!$I$3:$P$33,7,FALSE)</f>
        <v>7.3</v>
      </c>
      <c r="AL18" s="2">
        <f>VLOOKUP($B18,坦克个性化设定!$G$84:$T$114,MATCH(AL$3,坦克个性化设定!$G$84:$T$84,0),FALSE)</f>
        <v>6</v>
      </c>
      <c r="AM18" s="2">
        <f>VLOOKUP($B18,坦克个性化细分!$E$3:$G$33,2,FALSE)</f>
        <v>2.4</v>
      </c>
      <c r="AN18" s="2">
        <f>VLOOKUP($B18,坦克个性化细分!$E$3:$G$33,3,FALSE)</f>
        <v>0</v>
      </c>
      <c r="AO18" s="34">
        <f t="shared" si="0"/>
        <v>1.4</v>
      </c>
      <c r="AP18" s="33">
        <f t="shared" ca="1" si="1"/>
        <v>1299</v>
      </c>
      <c r="AQ18" s="33">
        <f t="shared" ca="1" si="2"/>
        <v>164</v>
      </c>
      <c r="AR18" s="33">
        <f t="shared" ca="1" si="3"/>
        <v>506</v>
      </c>
      <c r="AS18" s="33">
        <f t="shared" ca="1" si="4"/>
        <v>380</v>
      </c>
      <c r="AT18" s="33">
        <f t="shared" ca="1" si="5"/>
        <v>554</v>
      </c>
      <c r="AU18" s="33">
        <f t="shared" ca="1" si="6"/>
        <v>133</v>
      </c>
      <c r="AV18" s="33">
        <f t="shared" si="12"/>
        <v>0</v>
      </c>
      <c r="AW18" s="33">
        <f t="shared" si="13"/>
        <v>0</v>
      </c>
      <c r="AX18" s="33">
        <f t="shared" si="14"/>
        <v>0</v>
      </c>
      <c r="AY18" s="2">
        <f t="shared" si="7"/>
        <v>6</v>
      </c>
      <c r="AZ18" s="2">
        <f>基础属性系数!$E$61</f>
        <v>0</v>
      </c>
      <c r="BA18" s="2">
        <v>50</v>
      </c>
      <c r="BB18" s="2">
        <v>10</v>
      </c>
      <c r="BC18" s="2">
        <f>VLOOKUP($B18,坦克类型系数!$B$3:$R$33,MATCH(BC$3,坦克类型系数!$B$3:$R$3,0),FALSE)</f>
        <v>0</v>
      </c>
      <c r="BD18" s="2">
        <f>VLOOKUP($B18,坦克类型系数!$B$3:$R$33,MATCH(BD$3,坦克类型系数!$B$3:$R$3,0),FALSE)</f>
        <v>2.2999999999999998</v>
      </c>
      <c r="BE18" s="2">
        <f>VLOOKUP($B18,坦克类型系数!$B$3:$R$33,MATCH(BE$3,坦克类型系数!$B$3:$R$3,0),FALSE)</f>
        <v>1.9</v>
      </c>
      <c r="BF18" s="2">
        <f>VLOOKUP($B18,坦克类型系数!$B$3:$R$33,MATCH(BF$3,坦克类型系数!$B$3:$R$3,0),FALSE)</f>
        <v>1.45</v>
      </c>
      <c r="BG18" s="2">
        <f>VLOOKUP($B18,坦克类型系数!$B$3:$R$33,MATCH(BG$3,坦克类型系数!$B$3:$R$3,0),FALSE)</f>
        <v>1.2</v>
      </c>
      <c r="BH18" s="2">
        <f>VLOOKUP($B18,坦克类型系数!$B$3:$R$33,MATCH(BH$3,坦克类型系数!$B$3:$R$3,0),FALSE)</f>
        <v>0.8</v>
      </c>
      <c r="BI18" s="2">
        <f>VLOOKUP($B18,坦克类型系数!$B$3:$R$33,MATCH(BI$3,坦克类型系数!$B$3:$R$3,0),FALSE)</f>
        <v>0.6</v>
      </c>
      <c r="BJ18" s="25"/>
      <c r="BK18" s="25"/>
      <c r="BL18" s="25"/>
      <c r="BM18" s="1" t="s">
        <v>1230</v>
      </c>
      <c r="BN18" s="2" t="str">
        <f t="shared" si="8"/>
        <v>谢尔曼</v>
      </c>
      <c r="BO18" s="2" t="str">
        <f>VLOOKUP(BN18,坦克个性化设定!$B$18:$E$48,MATCH(BO$3,坦克个性化设定!$B$18:$E$18,0),FALSE)</f>
        <v>T3</v>
      </c>
      <c r="BP18" s="2" t="str">
        <f t="shared" si="9"/>
        <v>中</v>
      </c>
      <c r="BQ18" s="2" t="s">
        <v>792</v>
      </c>
      <c r="BR18" s="2"/>
      <c r="BS18" s="42">
        <f ca="1">VLOOKUP($BN18&amp;$BQ18,坦克标准养成属性!$S$3:$AE$63,MATCH(BS$3,坦克标准养成属性!$S$3:$AE$3,0),FALSE)</f>
        <v>1298.5709601179053</v>
      </c>
      <c r="BT18" s="42">
        <f ca="1">VLOOKUP($BN18&amp;$BQ18,坦克标准养成属性!$S$3:$AE$63,MATCH(BT$3,坦克标准养成属性!$S$3:$AE$3,0),FALSE)</f>
        <v>163.57815042751918</v>
      </c>
      <c r="BU18" s="42">
        <f ca="1">VLOOKUP($BN18&amp;$BQ18,坦克标准养成属性!$S$3:$AE$63,MATCH(BU$3,坦克标准养成属性!$S$3:$AE$3,0),FALSE)</f>
        <v>506</v>
      </c>
      <c r="BV18" s="42">
        <f ca="1">VLOOKUP($BN18&amp;$BQ18,坦克标准养成属性!$S$3:$AE$63,MATCH(BV$3,坦克标准养成属性!$S$3:$AE$3,0),FALSE)</f>
        <v>380</v>
      </c>
      <c r="BW18" s="42">
        <f ca="1">VLOOKUP($BN18&amp;$BQ18,坦克标准养成属性!$S$3:$AE$63,MATCH(BW$3,坦克标准养成属性!$S$3:$AE$3,0),FALSE)</f>
        <v>554</v>
      </c>
      <c r="BX18" s="42">
        <f ca="1">VLOOKUP($BN18&amp;$BQ18,坦克标准养成属性!$S$3:$AE$63,MATCH(BX$3,坦克标准养成属性!$S$3:$AE$3,0),FALSE)</f>
        <v>133</v>
      </c>
      <c r="BY18" s="2">
        <f>IFERROR((VLOOKUP(LEFT(BR18,1)*1,坦克部件!$N$3:$W$9,MATCH("升星属性",坦克部件!$N$3:$W$3,0),FALSE)+VLOOKUP(RIGHT(BR18,1)*1,坦克部件!$Y$3:$AC$38,MATCH("累计属性",坦克部件!$Y$3:$AC$3,0),FALSE))*2,0)</f>
        <v>0</v>
      </c>
      <c r="BZ18" s="42">
        <f t="shared" si="15"/>
        <v>0</v>
      </c>
      <c r="CA18" s="42">
        <f t="shared" si="16"/>
        <v>0</v>
      </c>
    </row>
    <row r="19" spans="2:79" x14ac:dyDescent="0.3">
      <c r="B19" s="2" t="str">
        <f>坦克个性化设定!B34</f>
        <v>彗星</v>
      </c>
      <c r="C19" s="2" t="str">
        <f>VLOOKUP(B19,坦克个性化设定!$B$18:$E$48,4,FALSE)</f>
        <v>T3</v>
      </c>
      <c r="D19" s="2" t="str">
        <f>坦克个性化细分!J19</f>
        <v>高</v>
      </c>
      <c r="E19" s="2" t="str">
        <f t="shared" si="10"/>
        <v>T3高0</v>
      </c>
      <c r="F19" s="2" t="str">
        <f>VLOOKUP($B19,坦克个性化设定!$B$18:$BC$48,MATCH(F$3,坦克个性化设定!$B$18:$BC$18,0),FALSE)</f>
        <v>中坦</v>
      </c>
      <c r="G19" s="2" t="str">
        <f>VLOOKUP($B19,坦克个性化设定!$B$18:$BC$48,MATCH(G$3,坦克个性化设定!$B$18:$BC$18,0),FALSE)</f>
        <v>中坦自动</v>
      </c>
      <c r="H19" s="2" t="str">
        <f t="shared" si="11"/>
        <v>自动装弹</v>
      </c>
      <c r="I19" s="2">
        <f>VLOOKUP($B19,坦克个性化设定!$B$18:$BC$48,MATCH(I$3,坦克个性化设定!$B$18:$BC$18,0),FALSE)</f>
        <v>6.68</v>
      </c>
      <c r="J19" s="2">
        <f>VLOOKUP($B19,坦克个性化设定!$B$18:$BC$48,MATCH(J$3,坦克个性化设定!$B$18:$BC$18,0),FALSE)</f>
        <v>3.1</v>
      </c>
      <c r="K19" s="2">
        <f>VLOOKUP($B19,坦克个性化设定!$B$18:$BC$48,MATCH(K$3,坦克个性化设定!$B$18:$BC$18,0),FALSE)</f>
        <v>0.3</v>
      </c>
      <c r="L19" s="34">
        <f>VLOOKUP($B19,坦克个性化设定!$B$18:$BC$48,MATCH(L$3,坦克个性化设定!$B$18:$BC$18,0),FALSE)</f>
        <v>1.6422918151337649</v>
      </c>
      <c r="M19" s="34">
        <f>VLOOKUP($B19,坦克个性化设定!$B$18:$BC$48,MATCH(M$3,坦克个性化设定!$B$18:$BC$18,0),FALSE)</f>
        <v>13.333333333333334</v>
      </c>
      <c r="N19" s="34">
        <f>VLOOKUP($B19,坦克个性化设定!$B$18:$BC$48,MATCH(N$3,坦克个性化设定!$B$18:$BC$18,0),FALSE)</f>
        <v>22.857142857142858</v>
      </c>
      <c r="O19" s="2">
        <f>VLOOKUP($B19,坦克个性化设定!$B$18:$BC$48,MATCH(O$3,坦克个性化设定!$B$18:$BC$18,0),FALSE)</f>
        <v>0.9</v>
      </c>
      <c r="P19" s="2">
        <f>VLOOKUP($B19,坦克个性化设定!$B$18:$BC$48,MATCH(P$3,坦克个性化设定!$B$18:$BC$18,0),FALSE)</f>
        <v>0.9</v>
      </c>
      <c r="Q19" s="2">
        <f>VLOOKUP($B19,坦克个性化设定!$B$18:$BC$48,MATCH(Q$3,坦克个性化设定!$B$18:$BC$18,0),FALSE)</f>
        <v>0.9</v>
      </c>
      <c r="R19" s="2">
        <f>VLOOKUP($B19,坦克个性化设定!$B$18:$BC$48,MATCH(R$3,坦克个性化设定!$B$18:$BC$18,0),FALSE)</f>
        <v>0.4</v>
      </c>
      <c r="S19" s="34">
        <f>VLOOKUP($B19,坦克个性化设定!$B$51:$T$81,MATCH(S$3,坦克个性化设定!$B$51:$T$51,0),FALSE)</f>
        <v>1.8</v>
      </c>
      <c r="T19" s="34">
        <f>VLOOKUP($B19,坦克个性化设定!$B$51:$T$81,MATCH(T$3,坦克个性化设定!$B$51:$T$51,0),FALSE)</f>
        <v>1.1499999999999999</v>
      </c>
      <c r="U19" s="34">
        <f>VLOOKUP($B19,坦克个性化设定!$B$18:$BC$48,MATCH(U$3,坦克个性化设定!$B$18:$BC$18,0),FALSE)</f>
        <v>0.67</v>
      </c>
      <c r="V19" s="2">
        <f>VLOOKUP($B19,坦克个性化设定!$B$18:$BC$48,MATCH(V$3,坦克个性化设定!$B$18:$BC$18,0),FALSE)</f>
        <v>1</v>
      </c>
      <c r="W19" s="2">
        <f>VLOOKUP($B19,坦克个性化设定!$B$18:$BC$48,MATCH(W$3,坦克个性化设定!$B$18:$BC$18,0),FALSE)</f>
        <v>4</v>
      </c>
      <c r="X19" s="2">
        <f>VLOOKUP($B19,坦克个性化设定!$B$18:$BC$48,MATCH(X$3,坦克个性化设定!$B$18:$BC$18,0),FALSE)</f>
        <v>0.75</v>
      </c>
      <c r="Y19" s="34">
        <f>VLOOKUP($B19,坦克个性化设定!$B$18:$BC$48,MATCH(Y$3,坦克个性化设定!$B$18:$BC$18,0),FALSE)</f>
        <v>8.8984165302451057</v>
      </c>
      <c r="Z19" s="34">
        <f>VLOOKUP($B19,坦克个性化设定!$B$18:$BC$48,MATCH(Z$3,坦克个性化设定!$B$18:$BC$18,0),FALSE)</f>
        <v>55.61510331403192</v>
      </c>
      <c r="AA19" s="34">
        <f>VLOOKUP($B19,坦克个性化设定!$B$18:$BC$48,MATCH(AA$3,坦克个性化设定!$B$18:$BC$18,0),FALSE)</f>
        <v>2.84</v>
      </c>
      <c r="AB19" s="34">
        <f>VLOOKUP($B19,坦克个性化设定!$B$18:$BC$48,MATCH(AB$3,坦克个性化设定!$B$18:$BC$18,0),FALSE)</f>
        <v>7.2</v>
      </c>
      <c r="AC19" s="34">
        <f>VLOOKUP($B19,坦克个性化设定!$B$18:$BC$48,MATCH(AC$3,坦克个性化设定!$B$18:$BC$18,0),FALSE)</f>
        <v>5</v>
      </c>
      <c r="AD19" s="34">
        <f>VLOOKUP($B19,坦克个性化设定!$B$18:$BC$48,MATCH(AD$3,坦克个性化设定!$B$18:$BC$18,0),FALSE)</f>
        <v>4</v>
      </c>
      <c r="AE19" s="34">
        <f>VLOOKUP($B19,坦克个性化设定!$B$18:$BC$48,MATCH(AE$3,坦克个性化设定!$B$18:$BC$18,0),FALSE)</f>
        <v>1.0649999999999999</v>
      </c>
      <c r="AF19" s="2">
        <f>VLOOKUP($B19,坦克个性化设定!$B$18:$BC$48,MATCH(AF$3,坦克个性化设定!$B$18:$BC$18,0),FALSE)</f>
        <v>0.2</v>
      </c>
      <c r="AG19" s="2">
        <f>VLOOKUP($B19,坦克个性化设定!$B$18:$BC$48,MATCH(AG$3,坦克个性化设定!$B$18:$BC$18,0),FALSE)</f>
        <v>55</v>
      </c>
      <c r="AH19" s="2">
        <f>VLOOKUP($B19,坦克个性化设定!$B$18:$BC$48,MATCH(AH$3,坦克个性化设定!$B$18:$BC$18,0),FALSE)</f>
        <v>105</v>
      </c>
      <c r="AI19" s="2">
        <f>VLOOKUP(B19,坦克个性化细分!$I$3:$P$33,3,FALSE)</f>
        <v>37.4</v>
      </c>
      <c r="AJ19" s="2">
        <f>VLOOKUP(B19,坦克个性化细分!$I$3:$P$33,5,FALSE)</f>
        <v>52.5</v>
      </c>
      <c r="AK19" s="2">
        <f>VLOOKUP(B19,坦克个性化细分!$I$3:$P$33,7,FALSE)</f>
        <v>7.6</v>
      </c>
      <c r="AL19" s="2">
        <f>VLOOKUP($B19,坦克个性化设定!$G$84:$T$114,MATCH(AL$3,坦克个性化设定!$G$84:$T$84,0),FALSE)</f>
        <v>8</v>
      </c>
      <c r="AM19" s="2">
        <f>VLOOKUP($B19,坦克个性化细分!$E$3:$G$33,2,FALSE)</f>
        <v>3</v>
      </c>
      <c r="AN19" s="2">
        <f>VLOOKUP($B19,坦克个性化细分!$E$3:$G$33,3,FALSE)</f>
        <v>0</v>
      </c>
      <c r="AO19" s="34">
        <f t="shared" si="0"/>
        <v>1.1499999999999999</v>
      </c>
      <c r="AP19" s="33">
        <f t="shared" ca="1" si="1"/>
        <v>1337</v>
      </c>
      <c r="AQ19" s="33">
        <f t="shared" ca="1" si="2"/>
        <v>163</v>
      </c>
      <c r="AR19" s="33">
        <f t="shared" ca="1" si="3"/>
        <v>506</v>
      </c>
      <c r="AS19" s="33">
        <f t="shared" ca="1" si="4"/>
        <v>380</v>
      </c>
      <c r="AT19" s="33">
        <f t="shared" ca="1" si="5"/>
        <v>554</v>
      </c>
      <c r="AU19" s="33">
        <f t="shared" ca="1" si="6"/>
        <v>133</v>
      </c>
      <c r="AV19" s="33">
        <f t="shared" si="12"/>
        <v>0</v>
      </c>
      <c r="AW19" s="33">
        <f t="shared" si="13"/>
        <v>0</v>
      </c>
      <c r="AX19" s="33">
        <f t="shared" si="14"/>
        <v>0</v>
      </c>
      <c r="AY19" s="2">
        <f t="shared" si="7"/>
        <v>6</v>
      </c>
      <c r="AZ19" s="2">
        <f>基础属性系数!$E$61</f>
        <v>0</v>
      </c>
      <c r="BA19" s="2">
        <v>50</v>
      </c>
      <c r="BB19" s="2">
        <v>10</v>
      </c>
      <c r="BC19" s="2">
        <f>VLOOKUP($B19,坦克类型系数!$B$3:$R$33,MATCH(BC$3,坦克类型系数!$B$3:$R$3,0),FALSE)</f>
        <v>0</v>
      </c>
      <c r="BD19" s="2">
        <f>VLOOKUP($B19,坦克类型系数!$B$3:$R$33,MATCH(BD$3,坦克类型系数!$B$3:$R$3,0),FALSE)</f>
        <v>2.2999999999999998</v>
      </c>
      <c r="BE19" s="2">
        <f>VLOOKUP($B19,坦克类型系数!$B$3:$R$33,MATCH(BE$3,坦克类型系数!$B$3:$R$3,0),FALSE)</f>
        <v>1.9</v>
      </c>
      <c r="BF19" s="2">
        <f>VLOOKUP($B19,坦克类型系数!$B$3:$R$33,MATCH(BF$3,坦克类型系数!$B$3:$R$3,0),FALSE)</f>
        <v>1.4</v>
      </c>
      <c r="BG19" s="2">
        <f>VLOOKUP($B19,坦克类型系数!$B$3:$R$33,MATCH(BG$3,坦克类型系数!$B$3:$R$3,0),FALSE)</f>
        <v>1.2</v>
      </c>
      <c r="BH19" s="2">
        <f>VLOOKUP($B19,坦克类型系数!$B$3:$R$33,MATCH(BH$3,坦克类型系数!$B$3:$R$3,0),FALSE)</f>
        <v>0.8</v>
      </c>
      <c r="BI19" s="2">
        <f>VLOOKUP($B19,坦克类型系数!$B$3:$R$33,MATCH(BI$3,坦克类型系数!$B$3:$R$3,0),FALSE)</f>
        <v>0.6</v>
      </c>
      <c r="BJ19" s="25"/>
      <c r="BK19" s="25"/>
      <c r="BL19" s="25"/>
      <c r="BM19" s="1" t="s">
        <v>1232</v>
      </c>
      <c r="BN19" s="2" t="str">
        <f t="shared" si="8"/>
        <v>彗星</v>
      </c>
      <c r="BO19" s="2" t="str">
        <f>VLOOKUP(BN19,坦克个性化设定!$B$18:$E$48,MATCH(BO$3,坦克个性化设定!$B$18:$E$18,0),FALSE)</f>
        <v>T3</v>
      </c>
      <c r="BP19" s="2" t="str">
        <f t="shared" si="9"/>
        <v>高</v>
      </c>
      <c r="BQ19" s="2" t="s">
        <v>792</v>
      </c>
      <c r="BR19" s="2"/>
      <c r="BS19" s="42">
        <f ca="1">VLOOKUP($BN19&amp;$BQ19,坦克标准养成属性!$S$3:$AE$63,MATCH(BS$3,坦克标准养成属性!$S$3:$AE$3,0),FALSE)</f>
        <v>1337.2877257862128</v>
      </c>
      <c r="BT19" s="42">
        <f ca="1">VLOOKUP($BN19&amp;$BQ19,坦克标准养成属性!$S$3:$AE$63,MATCH(BT$3,坦克标准养成属性!$S$3:$AE$3,0),FALSE)</f>
        <v>163.25456899489438</v>
      </c>
      <c r="BU19" s="42">
        <f ca="1">VLOOKUP($BN19&amp;$BQ19,坦克标准养成属性!$S$3:$AE$63,MATCH(BU$3,坦克标准养成属性!$S$3:$AE$3,0),FALSE)</f>
        <v>506</v>
      </c>
      <c r="BV19" s="42">
        <f ca="1">VLOOKUP($BN19&amp;$BQ19,坦克标准养成属性!$S$3:$AE$63,MATCH(BV$3,坦克标准养成属性!$S$3:$AE$3,0),FALSE)</f>
        <v>380</v>
      </c>
      <c r="BW19" s="42">
        <f ca="1">VLOOKUP($BN19&amp;$BQ19,坦克标准养成属性!$S$3:$AE$63,MATCH(BW$3,坦克标准养成属性!$S$3:$AE$3,0),FALSE)</f>
        <v>554</v>
      </c>
      <c r="BX19" s="42">
        <f ca="1">VLOOKUP($BN19&amp;$BQ19,坦克标准养成属性!$S$3:$AE$63,MATCH(BX$3,坦克标准养成属性!$S$3:$AE$3,0),FALSE)</f>
        <v>133</v>
      </c>
      <c r="BY19" s="2">
        <f>IFERROR((VLOOKUP(LEFT(BR19,1)*1,坦克部件!$N$3:$W$9,MATCH("升星属性",坦克部件!$N$3:$W$3,0),FALSE)+VLOOKUP(RIGHT(BR19,1)*1,坦克部件!$Y$3:$AC$38,MATCH("累计属性",坦克部件!$Y$3:$AC$3,0),FALSE))*2,0)</f>
        <v>0</v>
      </c>
      <c r="BZ19" s="42">
        <f t="shared" si="15"/>
        <v>0</v>
      </c>
      <c r="CA19" s="42">
        <f t="shared" si="16"/>
        <v>0</v>
      </c>
    </row>
    <row r="20" spans="2:79" x14ac:dyDescent="0.3">
      <c r="B20" s="2" t="str">
        <f>坦克个性化设定!B35</f>
        <v>M-48</v>
      </c>
      <c r="C20" s="2" t="str">
        <f>VLOOKUP(B20,坦克个性化设定!$B$18:$E$48,4,FALSE)</f>
        <v>T4</v>
      </c>
      <c r="D20" s="2" t="str">
        <f>坦克个性化细分!J20</f>
        <v>低</v>
      </c>
      <c r="E20" s="2" t="str">
        <f t="shared" si="10"/>
        <v>T4低0</v>
      </c>
      <c r="F20" s="2" t="str">
        <f>VLOOKUP($B20,坦克个性化设定!$B$18:$BC$48,MATCH(F$3,坦克个性化设定!$B$18:$BC$18,0),FALSE)</f>
        <v>中坦</v>
      </c>
      <c r="G20" s="2" t="str">
        <f>VLOOKUP($B20,坦克个性化设定!$B$18:$BC$48,MATCH(G$3,坦克个性化设定!$B$18:$BC$18,0),FALSE)</f>
        <v>中坦自动</v>
      </c>
      <c r="H20" s="2" t="str">
        <f t="shared" si="11"/>
        <v>自动装弹</v>
      </c>
      <c r="I20" s="2">
        <f>VLOOKUP($B20,坦克个性化设定!$B$18:$BC$48,MATCH(I$3,坦克个性化设定!$B$18:$BC$18,0),FALSE)</f>
        <v>7.42</v>
      </c>
      <c r="J20" s="2">
        <f>VLOOKUP($B20,坦克个性化设定!$B$18:$BC$48,MATCH(J$3,坦克个性化设定!$B$18:$BC$18,0),FALSE)</f>
        <v>3.89</v>
      </c>
      <c r="K20" s="2">
        <f>VLOOKUP($B20,坦克个性化设定!$B$18:$BC$48,MATCH(K$3,坦克个性化设定!$B$18:$BC$18,0),FALSE)</f>
        <v>0.3</v>
      </c>
      <c r="L20" s="34">
        <f>VLOOKUP($B20,坦克个性化设定!$B$18:$BC$48,MATCH(L$3,坦克个性化设定!$B$18:$BC$18,0),FALSE)</f>
        <v>1.6422918151337649</v>
      </c>
      <c r="M20" s="34">
        <f>VLOOKUP($B20,坦克个性化设定!$B$18:$BC$48,MATCH(M$3,坦克个性化设定!$B$18:$BC$18,0),FALSE)</f>
        <v>13.333333333333334</v>
      </c>
      <c r="N20" s="34">
        <f>VLOOKUP($B20,坦克个性化设定!$B$18:$BC$48,MATCH(N$3,坦克个性化设定!$B$18:$BC$18,0),FALSE)</f>
        <v>22.857142857142858</v>
      </c>
      <c r="O20" s="2">
        <f>VLOOKUP($B20,坦克个性化设定!$B$18:$BC$48,MATCH(O$3,坦克个性化设定!$B$18:$BC$18,0),FALSE)</f>
        <v>0.9</v>
      </c>
      <c r="P20" s="2">
        <f>VLOOKUP($B20,坦克个性化设定!$B$18:$BC$48,MATCH(P$3,坦克个性化设定!$B$18:$BC$18,0),FALSE)</f>
        <v>0.9</v>
      </c>
      <c r="Q20" s="2">
        <f>VLOOKUP($B20,坦克个性化设定!$B$18:$BC$48,MATCH(Q$3,坦克个性化设定!$B$18:$BC$18,0),FALSE)</f>
        <v>0.9</v>
      </c>
      <c r="R20" s="2">
        <f>VLOOKUP($B20,坦克个性化设定!$B$18:$BC$48,MATCH(R$3,坦克个性化设定!$B$18:$BC$18,0),FALSE)</f>
        <v>0.32</v>
      </c>
      <c r="S20" s="34">
        <f>VLOOKUP($B20,坦克个性化设定!$B$51:$T$81,MATCH(S$3,坦克个性化设定!$B$51:$T$51,0),FALSE)</f>
        <v>2.4</v>
      </c>
      <c r="T20" s="34">
        <f>VLOOKUP($B20,坦克个性化设定!$B$51:$T$81,MATCH(T$3,坦克个性化设定!$B$51:$T$51,0),FALSE)</f>
        <v>1.36</v>
      </c>
      <c r="U20" s="34">
        <f>VLOOKUP($B20,坦克个性化设定!$B$18:$BC$48,MATCH(U$3,坦克个性化设定!$B$18:$BC$18,0),FALSE)</f>
        <v>0.71</v>
      </c>
      <c r="V20" s="2">
        <f>VLOOKUP($B20,坦克个性化设定!$B$18:$BC$48,MATCH(V$3,坦克个性化设定!$B$18:$BC$18,0),FALSE)</f>
        <v>1</v>
      </c>
      <c r="W20" s="2">
        <f>VLOOKUP($B20,坦克个性化设定!$B$18:$BC$48,MATCH(W$3,坦克个性化设定!$B$18:$BC$18,0),FALSE)</f>
        <v>2</v>
      </c>
      <c r="X20" s="2">
        <f>VLOOKUP($B20,坦克个性化设定!$B$18:$BC$48,MATCH(X$3,坦克个性化设定!$B$18:$BC$18,0),FALSE)</f>
        <v>0.75</v>
      </c>
      <c r="Y20" s="34">
        <f>VLOOKUP($B20,坦克个性化设定!$B$18:$BC$48,MATCH(Y$3,坦克个性化设定!$B$18:$BC$18,0),FALSE)</f>
        <v>11.123020662806383</v>
      </c>
      <c r="Z20" s="34">
        <f>VLOOKUP($B20,坦克个性化设定!$B$18:$BC$48,MATCH(Z$3,坦克个性化设定!$B$18:$BC$18,0),FALSE)</f>
        <v>55.61510331403192</v>
      </c>
      <c r="AA20" s="34">
        <f>VLOOKUP($B20,坦克个性化设定!$B$18:$BC$48,MATCH(AA$3,坦克个性化设定!$B$18:$BC$18,0),FALSE)</f>
        <v>2.84</v>
      </c>
      <c r="AB20" s="34">
        <f>VLOOKUP($B20,坦克个性化设定!$B$18:$BC$48,MATCH(AB$3,坦克个性化设定!$B$18:$BC$18,0),FALSE)</f>
        <v>8</v>
      </c>
      <c r="AC20" s="34">
        <f>VLOOKUP($B20,坦克个性化设定!$B$18:$BC$48,MATCH(AC$3,坦克个性化设定!$B$18:$BC$18,0),FALSE)</f>
        <v>5</v>
      </c>
      <c r="AD20" s="34">
        <f>VLOOKUP($B20,坦克个性化设定!$B$18:$BC$48,MATCH(AD$3,坦克个性化设定!$B$18:$BC$18,0),FALSE)</f>
        <v>4</v>
      </c>
      <c r="AE20" s="34">
        <f>VLOOKUP($B20,坦克个性化设定!$B$18:$BC$48,MATCH(AE$3,坦克个性化设定!$B$18:$BC$18,0),FALSE)</f>
        <v>1.0649999999999999</v>
      </c>
      <c r="AF20" s="2">
        <f>VLOOKUP($B20,坦克个性化设定!$B$18:$BC$48,MATCH(AF$3,坦克个性化设定!$B$18:$BC$18,0),FALSE)</f>
        <v>0.2</v>
      </c>
      <c r="AG20" s="2">
        <f>VLOOKUP($B20,坦克个性化设定!$B$18:$BC$48,MATCH(AG$3,坦克个性化设定!$B$18:$BC$18,0),FALSE)</f>
        <v>55</v>
      </c>
      <c r="AH20" s="2">
        <f>VLOOKUP($B20,坦克个性化设定!$B$18:$BC$48,MATCH(AH$3,坦克个性化设定!$B$18:$BC$18,0),FALSE)</f>
        <v>105</v>
      </c>
      <c r="AI20" s="2">
        <f>VLOOKUP(B20,坦克个性化细分!$I$3:$P$33,3,FALSE)</f>
        <v>44.5</v>
      </c>
      <c r="AJ20" s="2">
        <f>VLOOKUP(B20,坦克个性化细分!$I$3:$P$33,5,FALSE)</f>
        <v>40</v>
      </c>
      <c r="AK20" s="2">
        <f>VLOOKUP(B20,坦克个性化细分!$I$3:$P$33,7,FALSE)</f>
        <v>8</v>
      </c>
      <c r="AL20" s="2">
        <f>VLOOKUP($B20,坦克个性化设定!$G$84:$T$114,MATCH(AL$3,坦克个性化设定!$G$84:$T$84,0),FALSE)</f>
        <v>6</v>
      </c>
      <c r="AM20" s="2">
        <f>VLOOKUP($B20,坦克个性化细分!$E$3:$G$33,2,FALSE)</f>
        <v>2.4</v>
      </c>
      <c r="AN20" s="2">
        <f>VLOOKUP($B20,坦克个性化细分!$E$3:$G$33,3,FALSE)</f>
        <v>0</v>
      </c>
      <c r="AO20" s="34">
        <f t="shared" si="0"/>
        <v>1.36</v>
      </c>
      <c r="AP20" s="33">
        <f t="shared" ca="1" si="1"/>
        <v>1779</v>
      </c>
      <c r="AQ20" s="33">
        <f t="shared" ca="1" si="2"/>
        <v>181</v>
      </c>
      <c r="AR20" s="33">
        <f t="shared" ca="1" si="3"/>
        <v>631</v>
      </c>
      <c r="AS20" s="33">
        <f t="shared" ca="1" si="4"/>
        <v>473</v>
      </c>
      <c r="AT20" s="33">
        <f t="shared" ca="1" si="5"/>
        <v>691</v>
      </c>
      <c r="AU20" s="33">
        <f t="shared" ca="1" si="6"/>
        <v>166</v>
      </c>
      <c r="AV20" s="33">
        <f t="shared" si="12"/>
        <v>0</v>
      </c>
      <c r="AW20" s="33">
        <f t="shared" si="13"/>
        <v>0</v>
      </c>
      <c r="AX20" s="33">
        <f t="shared" si="14"/>
        <v>0</v>
      </c>
      <c r="AY20" s="2">
        <f t="shared" si="7"/>
        <v>6</v>
      </c>
      <c r="AZ20" s="2">
        <f>基础属性系数!$E$61</f>
        <v>0</v>
      </c>
      <c r="BA20" s="2">
        <v>50</v>
      </c>
      <c r="BB20" s="2">
        <v>10</v>
      </c>
      <c r="BC20" s="2">
        <f>VLOOKUP($B20,坦克类型系数!$B$3:$R$33,MATCH(BC$3,坦克类型系数!$B$3:$R$3,0),FALSE)</f>
        <v>0</v>
      </c>
      <c r="BD20" s="2">
        <f>VLOOKUP($B20,坦克类型系数!$B$3:$R$33,MATCH(BD$3,坦克类型系数!$B$3:$R$3,0),FALSE)</f>
        <v>2.1</v>
      </c>
      <c r="BE20" s="2">
        <f>VLOOKUP($B20,坦克类型系数!$B$3:$R$33,MATCH(BE$3,坦克类型系数!$B$3:$R$3,0),FALSE)</f>
        <v>1.75</v>
      </c>
      <c r="BF20" s="2">
        <f>VLOOKUP($B20,坦克类型系数!$B$3:$R$33,MATCH(BF$3,坦克类型系数!$B$3:$R$3,0),FALSE)</f>
        <v>1.35</v>
      </c>
      <c r="BG20" s="2">
        <f>VLOOKUP($B20,坦克类型系数!$B$3:$R$33,MATCH(BG$3,坦克类型系数!$B$3:$R$3,0),FALSE)</f>
        <v>1.1000000000000001</v>
      </c>
      <c r="BH20" s="2">
        <f>VLOOKUP($B20,坦克类型系数!$B$3:$R$33,MATCH(BH$3,坦克类型系数!$B$3:$R$3,0),FALSE)</f>
        <v>0.8</v>
      </c>
      <c r="BI20" s="2">
        <f>VLOOKUP($B20,坦克类型系数!$B$3:$R$33,MATCH(BI$3,坦克类型系数!$B$3:$R$3,0),FALSE)</f>
        <v>0.55000000000000004</v>
      </c>
      <c r="BJ20" s="25"/>
      <c r="BK20" s="25"/>
      <c r="BL20" s="25"/>
      <c r="BM20" s="1" t="s">
        <v>1232</v>
      </c>
      <c r="BN20" s="2" t="str">
        <f t="shared" si="8"/>
        <v>M-48</v>
      </c>
      <c r="BO20" s="2" t="str">
        <f>VLOOKUP(BN20,坦克个性化设定!$B$18:$E$48,MATCH(BO$3,坦克个性化设定!$B$18:$E$18,0),FALSE)</f>
        <v>T4</v>
      </c>
      <c r="BP20" s="2" t="str">
        <f t="shared" si="9"/>
        <v>低</v>
      </c>
      <c r="BQ20" s="2" t="s">
        <v>792</v>
      </c>
      <c r="BR20" s="2"/>
      <c r="BS20" s="42">
        <f ca="1">VLOOKUP($BN20&amp;$BQ20,坦克标准养成属性!$S$3:$AE$63,MATCH(BS$3,坦克标准养成属性!$S$3:$AE$3,0),FALSE)</f>
        <v>1778.8562166629545</v>
      </c>
      <c r="BT20" s="42">
        <f ca="1">VLOOKUP($BN20&amp;$BQ20,坦克标准养成属性!$S$3:$AE$63,MATCH(BT$3,坦克标准养成属性!$S$3:$AE$3,0),FALSE)</f>
        <v>180.92032409847187</v>
      </c>
      <c r="BU20" s="42">
        <f ca="1">VLOOKUP($BN20&amp;$BQ20,坦克标准养成属性!$S$3:$AE$63,MATCH(BU$3,坦克标准养成属性!$S$3:$AE$3,0),FALSE)</f>
        <v>631</v>
      </c>
      <c r="BV20" s="42">
        <f ca="1">VLOOKUP($BN20&amp;$BQ20,坦克标准养成属性!$S$3:$AE$63,MATCH(BV$3,坦克标准养成属性!$S$3:$AE$3,0),FALSE)</f>
        <v>473</v>
      </c>
      <c r="BW20" s="42">
        <f ca="1">VLOOKUP($BN20&amp;$BQ20,坦克标准养成属性!$S$3:$AE$63,MATCH(BW$3,坦克标准养成属性!$S$3:$AE$3,0),FALSE)</f>
        <v>691</v>
      </c>
      <c r="BX20" s="42">
        <f ca="1">VLOOKUP($BN20&amp;$BQ20,坦克标准养成属性!$S$3:$AE$63,MATCH(BX$3,坦克标准养成属性!$S$3:$AE$3,0),FALSE)</f>
        <v>166</v>
      </c>
      <c r="BY20" s="2">
        <f>IFERROR((VLOOKUP(LEFT(BR20,1)*1,坦克部件!$N$3:$W$9,MATCH("升星属性",坦克部件!$N$3:$W$3,0),FALSE)+VLOOKUP(RIGHT(BR20,1)*1,坦克部件!$Y$3:$AC$38,MATCH("累计属性",坦克部件!$Y$3:$AC$3,0),FALSE))*2,0)</f>
        <v>0</v>
      </c>
      <c r="BZ20" s="42">
        <f t="shared" si="15"/>
        <v>0</v>
      </c>
      <c r="CA20" s="42">
        <f t="shared" si="16"/>
        <v>0</v>
      </c>
    </row>
    <row r="21" spans="2:79" x14ac:dyDescent="0.3">
      <c r="B21" s="2" t="str">
        <f>坦克个性化设定!B36</f>
        <v>潘兴</v>
      </c>
      <c r="C21" s="2" t="str">
        <f>VLOOKUP(B21,坦克个性化设定!$B$18:$E$48,4,FALSE)</f>
        <v>T4</v>
      </c>
      <c r="D21" s="2" t="str">
        <f>坦克个性化细分!J21</f>
        <v>中</v>
      </c>
      <c r="E21" s="2" t="str">
        <f t="shared" si="10"/>
        <v>T4中0</v>
      </c>
      <c r="F21" s="2" t="str">
        <f>VLOOKUP($B21,坦克个性化设定!$B$18:$BC$48,MATCH(F$3,坦克个性化设定!$B$18:$BC$18,0),FALSE)</f>
        <v>中坦</v>
      </c>
      <c r="G21" s="2" t="str">
        <f>VLOOKUP($B21,坦克个性化设定!$B$18:$BC$48,MATCH(G$3,坦克个性化设定!$B$18:$BC$18,0),FALSE)</f>
        <v>中坦自动</v>
      </c>
      <c r="H21" s="2" t="str">
        <f t="shared" si="11"/>
        <v>自动装弹</v>
      </c>
      <c r="I21" s="2">
        <f>VLOOKUP($B21,坦克个性化设定!$B$18:$BC$48,MATCH(I$3,坦克个性化设定!$B$18:$BC$18,0),FALSE)</f>
        <v>6.34</v>
      </c>
      <c r="J21" s="2">
        <f>VLOOKUP($B21,坦克个性化设定!$B$18:$BC$48,MATCH(J$3,坦克个性化设定!$B$18:$BC$18,0),FALSE)</f>
        <v>3.42</v>
      </c>
      <c r="K21" s="2">
        <f>VLOOKUP($B21,坦克个性化设定!$B$18:$BC$48,MATCH(K$3,坦克个性化设定!$B$18:$BC$18,0),FALSE)</f>
        <v>0.3</v>
      </c>
      <c r="L21" s="34">
        <f>VLOOKUP($B21,坦克个性化设定!$B$18:$BC$48,MATCH(L$3,坦克个性化设定!$B$18:$BC$18,0),FALSE)</f>
        <v>1.6422918151337649</v>
      </c>
      <c r="M21" s="34">
        <f>VLOOKUP($B21,坦克个性化设定!$B$18:$BC$48,MATCH(M$3,坦克个性化设定!$B$18:$BC$18,0),FALSE)</f>
        <v>13.333333333333334</v>
      </c>
      <c r="N21" s="34">
        <f>VLOOKUP($B21,坦克个性化设定!$B$18:$BC$48,MATCH(N$3,坦克个性化设定!$B$18:$BC$18,0),FALSE)</f>
        <v>22.857142857142858</v>
      </c>
      <c r="O21" s="2">
        <f>VLOOKUP($B21,坦克个性化设定!$B$18:$BC$48,MATCH(O$3,坦克个性化设定!$B$18:$BC$18,0),FALSE)</f>
        <v>0.9</v>
      </c>
      <c r="P21" s="2">
        <f>VLOOKUP($B21,坦克个性化设定!$B$18:$BC$48,MATCH(P$3,坦克个性化设定!$B$18:$BC$18,0),FALSE)</f>
        <v>0.9</v>
      </c>
      <c r="Q21" s="2">
        <f>VLOOKUP($B21,坦克个性化设定!$B$18:$BC$48,MATCH(Q$3,坦克个性化设定!$B$18:$BC$18,0),FALSE)</f>
        <v>0.9</v>
      </c>
      <c r="R21" s="2">
        <f>VLOOKUP($B21,坦克个性化设定!$B$18:$BC$48,MATCH(R$3,坦克个性化设定!$B$18:$BC$18,0),FALSE)</f>
        <v>0.4</v>
      </c>
      <c r="S21" s="34">
        <f>VLOOKUP($B21,坦克个性化设定!$B$51:$T$81,MATCH(S$3,坦克个性化设定!$B$51:$T$51,0),FALSE)</f>
        <v>1.44</v>
      </c>
      <c r="T21" s="34">
        <f>VLOOKUP($B21,坦克个性化设定!$B$51:$T$81,MATCH(T$3,坦克个性化设定!$B$51:$T$51,0),FALSE)</f>
        <v>1</v>
      </c>
      <c r="U21" s="34">
        <f>VLOOKUP($B21,坦克个性化设定!$B$18:$BC$48,MATCH(U$3,坦克个性化设定!$B$18:$BC$18,0),FALSE)</f>
        <v>0.64</v>
      </c>
      <c r="V21" s="2">
        <f>VLOOKUP($B21,坦克个性化设定!$B$18:$BC$48,MATCH(V$3,坦克个性化设定!$B$18:$BC$18,0),FALSE)</f>
        <v>1</v>
      </c>
      <c r="W21" s="2">
        <f>VLOOKUP($B21,坦克个性化设定!$B$18:$BC$48,MATCH(W$3,坦克个性化设定!$B$18:$BC$18,0),FALSE)</f>
        <v>4</v>
      </c>
      <c r="X21" s="2">
        <f>VLOOKUP($B21,坦克个性化设定!$B$18:$BC$48,MATCH(X$3,坦克个性化设定!$B$18:$BC$18,0),FALSE)</f>
        <v>0.75</v>
      </c>
      <c r="Y21" s="34">
        <f>VLOOKUP($B21,坦克个性化设定!$B$18:$BC$48,MATCH(Y$3,坦克个性化设定!$B$18:$BC$18,0),FALSE)</f>
        <v>8.8984165302451057</v>
      </c>
      <c r="Z21" s="34">
        <f>VLOOKUP($B21,坦克个性化设定!$B$18:$BC$48,MATCH(Z$3,坦克个性化设定!$B$18:$BC$18,0),FALSE)</f>
        <v>55.61510331403192</v>
      </c>
      <c r="AA21" s="34">
        <f>VLOOKUP($B21,坦克个性化设定!$B$18:$BC$48,MATCH(AA$3,坦克个性化设定!$B$18:$BC$18,0),FALSE)</f>
        <v>2.84</v>
      </c>
      <c r="AB21" s="34">
        <f>VLOOKUP($B21,坦克个性化设定!$B$18:$BC$48,MATCH(AB$3,坦克个性化设定!$B$18:$BC$18,0),FALSE)</f>
        <v>7.2</v>
      </c>
      <c r="AC21" s="34">
        <f>VLOOKUP($B21,坦克个性化设定!$B$18:$BC$48,MATCH(AC$3,坦克个性化设定!$B$18:$BC$18,0),FALSE)</f>
        <v>5</v>
      </c>
      <c r="AD21" s="34">
        <f>VLOOKUP($B21,坦克个性化设定!$B$18:$BC$48,MATCH(AD$3,坦克个性化设定!$B$18:$BC$18,0),FALSE)</f>
        <v>4</v>
      </c>
      <c r="AE21" s="34">
        <f>VLOOKUP($B21,坦克个性化设定!$B$18:$BC$48,MATCH(AE$3,坦克个性化设定!$B$18:$BC$18,0),FALSE)</f>
        <v>1.0649999999999999</v>
      </c>
      <c r="AF21" s="2">
        <f>VLOOKUP($B21,坦克个性化设定!$B$18:$BC$48,MATCH(AF$3,坦克个性化设定!$B$18:$BC$18,0),FALSE)</f>
        <v>0.2</v>
      </c>
      <c r="AG21" s="2">
        <f>VLOOKUP($B21,坦克个性化设定!$B$18:$BC$48,MATCH(AG$3,坦克个性化设定!$B$18:$BC$18,0),FALSE)</f>
        <v>55</v>
      </c>
      <c r="AH21" s="2">
        <f>VLOOKUP($B21,坦克个性化设定!$B$18:$BC$48,MATCH(AH$3,坦克个性化设定!$B$18:$BC$18,0),FALSE)</f>
        <v>105</v>
      </c>
      <c r="AI21" s="2">
        <f>VLOOKUP(B21,坦克个性化细分!$I$3:$P$33,3,FALSE)</f>
        <v>36.299999999999997</v>
      </c>
      <c r="AJ21" s="2">
        <f>VLOOKUP(B21,坦克个性化细分!$I$3:$P$33,5,FALSE)</f>
        <v>51</v>
      </c>
      <c r="AK21" s="2">
        <f>VLOOKUP(B21,坦克个性化细分!$I$3:$P$33,7,FALSE)</f>
        <v>7.3</v>
      </c>
      <c r="AL21" s="2">
        <f>VLOOKUP($B21,坦克个性化设定!$G$84:$T$114,MATCH(AL$3,坦克个性化设定!$G$84:$T$84,0),FALSE)</f>
        <v>10</v>
      </c>
      <c r="AM21" s="2">
        <f>VLOOKUP($B21,坦克个性化细分!$E$3:$G$33,2,FALSE)</f>
        <v>3.6</v>
      </c>
      <c r="AN21" s="2">
        <f>VLOOKUP($B21,坦克个性化细分!$E$3:$G$33,3,FALSE)</f>
        <v>0</v>
      </c>
      <c r="AO21" s="34">
        <f t="shared" si="0"/>
        <v>1</v>
      </c>
      <c r="AP21" s="33">
        <f t="shared" ca="1" si="1"/>
        <v>1717</v>
      </c>
      <c r="AQ21" s="33">
        <f t="shared" ca="1" si="2"/>
        <v>211</v>
      </c>
      <c r="AR21" s="33">
        <f t="shared" ca="1" si="3"/>
        <v>657</v>
      </c>
      <c r="AS21" s="33">
        <f t="shared" ca="1" si="4"/>
        <v>493</v>
      </c>
      <c r="AT21" s="33">
        <f t="shared" ca="1" si="5"/>
        <v>720</v>
      </c>
      <c r="AU21" s="33">
        <f t="shared" ca="1" si="6"/>
        <v>173</v>
      </c>
      <c r="AV21" s="33">
        <f t="shared" si="12"/>
        <v>0</v>
      </c>
      <c r="AW21" s="33">
        <f t="shared" si="13"/>
        <v>0</v>
      </c>
      <c r="AX21" s="33">
        <f t="shared" si="14"/>
        <v>0</v>
      </c>
      <c r="AY21" s="2">
        <f t="shared" si="7"/>
        <v>6</v>
      </c>
      <c r="AZ21" s="2">
        <f>基础属性系数!$E$61</f>
        <v>0</v>
      </c>
      <c r="BA21" s="2">
        <v>50</v>
      </c>
      <c r="BB21" s="2">
        <v>10</v>
      </c>
      <c r="BC21" s="2">
        <f>VLOOKUP($B21,坦克类型系数!$B$3:$R$33,MATCH(BC$3,坦克类型系数!$B$3:$R$3,0),FALSE)</f>
        <v>0</v>
      </c>
      <c r="BD21" s="2">
        <f>VLOOKUP($B21,坦克类型系数!$B$3:$R$33,MATCH(BD$3,坦克类型系数!$B$3:$R$3,0),FALSE)</f>
        <v>2.25</v>
      </c>
      <c r="BE21" s="2">
        <f>VLOOKUP($B21,坦克类型系数!$B$3:$R$33,MATCH(BE$3,坦克类型系数!$B$3:$R$3,0),FALSE)</f>
        <v>1.85</v>
      </c>
      <c r="BF21" s="2">
        <f>VLOOKUP($B21,坦克类型系数!$B$3:$R$33,MATCH(BF$3,坦克类型系数!$B$3:$R$3,0),FALSE)</f>
        <v>1.4</v>
      </c>
      <c r="BG21" s="2">
        <f>VLOOKUP($B21,坦克类型系数!$B$3:$R$33,MATCH(BG$3,坦克类型系数!$B$3:$R$3,0),FALSE)</f>
        <v>1.1499999999999999</v>
      </c>
      <c r="BH21" s="2">
        <f>VLOOKUP($B21,坦克类型系数!$B$3:$R$33,MATCH(BH$3,坦克类型系数!$B$3:$R$3,0),FALSE)</f>
        <v>0.8</v>
      </c>
      <c r="BI21" s="2">
        <f>VLOOKUP($B21,坦克类型系数!$B$3:$R$33,MATCH(BI$3,坦克类型系数!$B$3:$R$3,0),FALSE)</f>
        <v>0.55000000000000004</v>
      </c>
      <c r="BJ21" s="25"/>
      <c r="BK21" s="25"/>
      <c r="BL21" s="25"/>
      <c r="BM21" s="1" t="s">
        <v>1232</v>
      </c>
      <c r="BN21" s="2" t="str">
        <f t="shared" si="8"/>
        <v>潘兴</v>
      </c>
      <c r="BO21" s="2" t="str">
        <f>VLOOKUP(BN21,坦克个性化设定!$B$18:$E$48,MATCH(BO$3,坦克个性化设定!$B$18:$E$18,0),FALSE)</f>
        <v>T4</v>
      </c>
      <c r="BP21" s="2" t="str">
        <f t="shared" si="9"/>
        <v>中</v>
      </c>
      <c r="BQ21" s="2" t="s">
        <v>792</v>
      </c>
      <c r="BR21" s="2"/>
      <c r="BS21" s="42">
        <f ca="1">VLOOKUP($BN21&amp;$BQ21,坦克标准养成属性!$S$3:$AE$63,MATCH(BS$3,坦克标准养成属性!$S$3:$AE$3,0),FALSE)</f>
        <v>1717.4847760734172</v>
      </c>
      <c r="BT21" s="42">
        <f ca="1">VLOOKUP($BN21&amp;$BQ21,坦克标准养成属性!$S$3:$AE$63,MATCH(BT$3,坦克标准养成属性!$S$3:$AE$3,0),FALSE)</f>
        <v>210.55643030143992</v>
      </c>
      <c r="BU21" s="42">
        <f ca="1">VLOOKUP($BN21&amp;$BQ21,坦克标准养成属性!$S$3:$AE$63,MATCH(BU$3,坦克标准养成属性!$S$3:$AE$3,0),FALSE)</f>
        <v>657</v>
      </c>
      <c r="BV21" s="42">
        <f ca="1">VLOOKUP($BN21&amp;$BQ21,坦克标准养成属性!$S$3:$AE$63,MATCH(BV$3,坦克标准养成属性!$S$3:$AE$3,0),FALSE)</f>
        <v>493</v>
      </c>
      <c r="BW21" s="42">
        <f ca="1">VLOOKUP($BN21&amp;$BQ21,坦克标准养成属性!$S$3:$AE$63,MATCH(BW$3,坦克标准养成属性!$S$3:$AE$3,0),FALSE)</f>
        <v>720</v>
      </c>
      <c r="BX21" s="42">
        <f ca="1">VLOOKUP($BN21&amp;$BQ21,坦克标准养成属性!$S$3:$AE$63,MATCH(BX$3,坦克标准养成属性!$S$3:$AE$3,0),FALSE)</f>
        <v>173</v>
      </c>
      <c r="BY21" s="2">
        <f>IFERROR((VLOOKUP(LEFT(BR21,1)*1,坦克部件!$N$3:$W$9,MATCH("升星属性",坦克部件!$N$3:$W$3,0),FALSE)+VLOOKUP(RIGHT(BR21,1)*1,坦克部件!$Y$3:$AC$38,MATCH("累计属性",坦克部件!$Y$3:$AC$3,0),FALSE))*2,0)</f>
        <v>0</v>
      </c>
      <c r="BZ21" s="42">
        <f t="shared" si="15"/>
        <v>0</v>
      </c>
      <c r="CA21" s="42">
        <f t="shared" si="16"/>
        <v>0</v>
      </c>
    </row>
    <row r="22" spans="2:79" x14ac:dyDescent="0.3">
      <c r="B22" s="2" t="str">
        <f>坦克个性化设定!B37</f>
        <v>百夫长</v>
      </c>
      <c r="C22" s="2" t="str">
        <f>VLOOKUP(B22,坦克个性化设定!$B$18:$E$48,4,FALSE)</f>
        <v>T4</v>
      </c>
      <c r="D22" s="2" t="str">
        <f>坦克个性化细分!J22</f>
        <v>高</v>
      </c>
      <c r="E22" s="2" t="str">
        <f t="shared" si="10"/>
        <v>T4高0</v>
      </c>
      <c r="F22" s="2" t="str">
        <f>VLOOKUP($B22,坦克个性化设定!$B$18:$BC$48,MATCH(F$3,坦克个性化设定!$B$18:$BC$18,0),FALSE)</f>
        <v>中坦</v>
      </c>
      <c r="G22" s="2" t="str">
        <f>VLOOKUP($B22,坦克个性化设定!$B$18:$BC$48,MATCH(G$3,坦克个性化设定!$B$18:$BC$18,0),FALSE)</f>
        <v>中坦自动</v>
      </c>
      <c r="H22" s="2" t="str">
        <f t="shared" si="11"/>
        <v>自动装弹</v>
      </c>
      <c r="I22" s="2">
        <f>VLOOKUP($B22,坦克个性化设定!$B$18:$BC$48,MATCH(I$3,坦克个性化设定!$B$18:$BC$18,0),FALSE)</f>
        <v>8.4700000000000006</v>
      </c>
      <c r="J22" s="2">
        <f>VLOOKUP($B22,坦克个性化设定!$B$18:$BC$48,MATCH(J$3,坦克个性化设定!$B$18:$BC$18,0),FALSE)</f>
        <v>3.68</v>
      </c>
      <c r="K22" s="2">
        <f>VLOOKUP($B22,坦克个性化设定!$B$18:$BC$48,MATCH(K$3,坦克个性化设定!$B$18:$BC$18,0),FALSE)</f>
        <v>0.3</v>
      </c>
      <c r="L22" s="34">
        <f>VLOOKUP($B22,坦克个性化设定!$B$18:$BC$48,MATCH(L$3,坦克个性化设定!$B$18:$BC$18,0),FALSE)</f>
        <v>1.6422918151337649</v>
      </c>
      <c r="M22" s="34">
        <f>VLOOKUP($B22,坦克个性化设定!$B$18:$BC$48,MATCH(M$3,坦克个性化设定!$B$18:$BC$18,0),FALSE)</f>
        <v>13.333333333333334</v>
      </c>
      <c r="N22" s="34">
        <f>VLOOKUP($B22,坦克个性化设定!$B$18:$BC$48,MATCH(N$3,坦克个性化设定!$B$18:$BC$18,0),FALSE)</f>
        <v>22.857142857142858</v>
      </c>
      <c r="O22" s="2">
        <f>VLOOKUP($B22,坦克个性化设定!$B$18:$BC$48,MATCH(O$3,坦克个性化设定!$B$18:$BC$18,0),FALSE)</f>
        <v>0.9</v>
      </c>
      <c r="P22" s="2">
        <f>VLOOKUP($B22,坦克个性化设定!$B$18:$BC$48,MATCH(P$3,坦克个性化设定!$B$18:$BC$18,0),FALSE)</f>
        <v>0.9</v>
      </c>
      <c r="Q22" s="2">
        <f>VLOOKUP($B22,坦克个性化设定!$B$18:$BC$48,MATCH(Q$3,坦克个性化设定!$B$18:$BC$18,0),FALSE)</f>
        <v>0.9</v>
      </c>
      <c r="R22" s="2">
        <f>VLOOKUP($B22,坦克个性化设定!$B$18:$BC$48,MATCH(R$3,坦克个性化设定!$B$18:$BC$18,0),FALSE)</f>
        <v>0.26</v>
      </c>
      <c r="S22" s="34">
        <f>VLOOKUP($B22,坦克个性化设定!$B$51:$T$81,MATCH(S$3,坦克个性化设定!$B$51:$T$51,0),FALSE)</f>
        <v>3.6</v>
      </c>
      <c r="T22" s="34">
        <f>VLOOKUP($B22,坦克个性化设定!$B$51:$T$81,MATCH(T$3,坦克个性化设定!$B$51:$T$51,0),FALSE)</f>
        <v>1.87</v>
      </c>
      <c r="U22" s="34">
        <f>VLOOKUP($B22,坦克个性化设定!$B$18:$BC$48,MATCH(U$3,坦克个性化设定!$B$18:$BC$18,0),FALSE)</f>
        <v>0.71</v>
      </c>
      <c r="V22" s="2">
        <f>VLOOKUP($B22,坦克个性化设定!$B$18:$BC$48,MATCH(V$3,坦克个性化设定!$B$18:$BC$18,0),FALSE)</f>
        <v>1</v>
      </c>
      <c r="W22" s="2">
        <f>VLOOKUP($B22,坦克个性化设定!$B$18:$BC$48,MATCH(W$3,坦克个性化设定!$B$18:$BC$18,0),FALSE)</f>
        <v>4</v>
      </c>
      <c r="X22" s="2">
        <f>VLOOKUP($B22,坦克个性化设定!$B$18:$BC$48,MATCH(X$3,坦克个性化设定!$B$18:$BC$18,0),FALSE)</f>
        <v>0.75</v>
      </c>
      <c r="Y22" s="34">
        <f>VLOOKUP($B22,坦克个性化设定!$B$18:$BC$48,MATCH(Y$3,坦克个性化设定!$B$18:$BC$18,0),FALSE)</f>
        <v>11.123020662806383</v>
      </c>
      <c r="Z22" s="34">
        <f>VLOOKUP($B22,坦克个性化设定!$B$18:$BC$48,MATCH(Z$3,坦克个性化设定!$B$18:$BC$18,0),FALSE)</f>
        <v>55.61510331403192</v>
      </c>
      <c r="AA22" s="34">
        <f>VLOOKUP($B22,坦克个性化设定!$B$18:$BC$48,MATCH(AA$3,坦克个性化设定!$B$18:$BC$18,0),FALSE)</f>
        <v>2.84</v>
      </c>
      <c r="AB22" s="34">
        <f>VLOOKUP($B22,坦克个性化设定!$B$18:$BC$48,MATCH(AB$3,坦克个性化设定!$B$18:$BC$18,0),FALSE)</f>
        <v>8</v>
      </c>
      <c r="AC22" s="34">
        <f>VLOOKUP($B22,坦克个性化设定!$B$18:$BC$48,MATCH(AC$3,坦克个性化设定!$B$18:$BC$18,0),FALSE)</f>
        <v>5</v>
      </c>
      <c r="AD22" s="34">
        <f>VLOOKUP($B22,坦克个性化设定!$B$18:$BC$48,MATCH(AD$3,坦克个性化设定!$B$18:$BC$18,0),FALSE)</f>
        <v>4</v>
      </c>
      <c r="AE22" s="34">
        <f>VLOOKUP($B22,坦克个性化设定!$B$18:$BC$48,MATCH(AE$3,坦克个性化设定!$B$18:$BC$18,0),FALSE)</f>
        <v>1.0649999999999999</v>
      </c>
      <c r="AF22" s="2">
        <f>VLOOKUP($B22,坦克个性化设定!$B$18:$BC$48,MATCH(AF$3,坦克个性化设定!$B$18:$BC$18,0),FALSE)</f>
        <v>0.2</v>
      </c>
      <c r="AG22" s="2">
        <f>VLOOKUP($B22,坦克个性化设定!$B$18:$BC$48,MATCH(AG$3,坦克个性化设定!$B$18:$BC$18,0),FALSE)</f>
        <v>55</v>
      </c>
      <c r="AH22" s="2">
        <f>VLOOKUP($B22,坦克个性化设定!$B$18:$BC$48,MATCH(AH$3,坦克个性化设定!$B$18:$BC$18,0),FALSE)</f>
        <v>105</v>
      </c>
      <c r="AI22" s="2">
        <f>VLOOKUP(B22,坦克个性化细分!$I$3:$P$33,3,FALSE)</f>
        <v>46.7</v>
      </c>
      <c r="AJ22" s="2">
        <f>VLOOKUP(B22,坦克个性化细分!$I$3:$P$33,5,FALSE)</f>
        <v>42</v>
      </c>
      <c r="AK22" s="2">
        <f>VLOOKUP(B22,坦克个性化细分!$I$3:$P$33,7,FALSE)</f>
        <v>8.4</v>
      </c>
      <c r="AL22" s="2">
        <f>VLOOKUP($B22,坦克个性化设定!$G$84:$T$114,MATCH(AL$3,坦克个性化设定!$G$84:$T$84,0),FALSE)</f>
        <v>4</v>
      </c>
      <c r="AM22" s="2">
        <f>VLOOKUP($B22,坦克个性化细分!$E$3:$G$33,2,FALSE)</f>
        <v>2.4</v>
      </c>
      <c r="AN22" s="2">
        <f>VLOOKUP($B22,坦克个性化细分!$E$3:$G$33,3,FALSE)</f>
        <v>0</v>
      </c>
      <c r="AO22" s="34">
        <f t="shared" si="0"/>
        <v>1.87</v>
      </c>
      <c r="AP22" s="33">
        <f t="shared" ca="1" si="1"/>
        <v>1945</v>
      </c>
      <c r="AQ22" s="33">
        <f t="shared" ca="1" si="2"/>
        <v>201</v>
      </c>
      <c r="AR22" s="33">
        <f t="shared" ca="1" si="3"/>
        <v>657</v>
      </c>
      <c r="AS22" s="33">
        <f t="shared" ca="1" si="4"/>
        <v>493</v>
      </c>
      <c r="AT22" s="33">
        <f t="shared" ca="1" si="5"/>
        <v>720</v>
      </c>
      <c r="AU22" s="33">
        <f t="shared" ca="1" si="6"/>
        <v>173</v>
      </c>
      <c r="AV22" s="33">
        <f t="shared" si="12"/>
        <v>0</v>
      </c>
      <c r="AW22" s="33">
        <f t="shared" si="13"/>
        <v>0</v>
      </c>
      <c r="AX22" s="33">
        <f t="shared" si="14"/>
        <v>0</v>
      </c>
      <c r="AY22" s="2">
        <f t="shared" si="7"/>
        <v>6</v>
      </c>
      <c r="AZ22" s="2">
        <f>基础属性系数!$E$61</f>
        <v>0</v>
      </c>
      <c r="BA22" s="2">
        <v>50</v>
      </c>
      <c r="BB22" s="2">
        <v>10</v>
      </c>
      <c r="BC22" s="2">
        <f>VLOOKUP($B22,坦克类型系数!$B$3:$R$33,MATCH(BC$3,坦克类型系数!$B$3:$R$3,0),FALSE)</f>
        <v>0</v>
      </c>
      <c r="BD22" s="2">
        <f>VLOOKUP($B22,坦克类型系数!$B$3:$R$33,MATCH(BD$3,坦克类型系数!$B$3:$R$3,0),FALSE)</f>
        <v>2.4</v>
      </c>
      <c r="BE22" s="2">
        <f>VLOOKUP($B22,坦克类型系数!$B$3:$R$33,MATCH(BE$3,坦克类型系数!$B$3:$R$3,0),FALSE)</f>
        <v>1.8</v>
      </c>
      <c r="BF22" s="2">
        <f>VLOOKUP($B22,坦克类型系数!$B$3:$R$33,MATCH(BF$3,坦克类型系数!$B$3:$R$3,0),FALSE)</f>
        <v>1.35</v>
      </c>
      <c r="BG22" s="2">
        <f>VLOOKUP($B22,坦克类型系数!$B$3:$R$33,MATCH(BG$3,坦克类型系数!$B$3:$R$3,0),FALSE)</f>
        <v>1.1499999999999999</v>
      </c>
      <c r="BH22" s="2">
        <f>VLOOKUP($B22,坦克类型系数!$B$3:$R$33,MATCH(BH$3,坦克类型系数!$B$3:$R$3,0),FALSE)</f>
        <v>0.8</v>
      </c>
      <c r="BI22" s="2">
        <f>VLOOKUP($B22,坦克类型系数!$B$3:$R$33,MATCH(BI$3,坦克类型系数!$B$3:$R$3,0),FALSE)</f>
        <v>0.55000000000000004</v>
      </c>
      <c r="BJ22" s="25"/>
      <c r="BK22" s="25"/>
      <c r="BL22" s="25"/>
      <c r="BM22" s="1" t="s">
        <v>1232</v>
      </c>
      <c r="BN22" s="2" t="str">
        <f t="shared" si="8"/>
        <v>百夫长</v>
      </c>
      <c r="BO22" s="2" t="str">
        <f>VLOOKUP(BN22,坦克个性化设定!$B$18:$E$48,MATCH(BO$3,坦克个性化设定!$B$18:$E$18,0),FALSE)</f>
        <v>T4</v>
      </c>
      <c r="BP22" s="2" t="str">
        <f t="shared" si="9"/>
        <v>高</v>
      </c>
      <c r="BQ22" s="2" t="s">
        <v>792</v>
      </c>
      <c r="BR22" s="2"/>
      <c r="BS22" s="42">
        <f ca="1">VLOOKUP($BN22&amp;$BQ22,坦克标准养成属性!$S$3:$AE$63,MATCH(BS$3,坦克标准养成属性!$S$3:$AE$3,0),FALSE)</f>
        <v>1944.587538895735</v>
      </c>
      <c r="BT22" s="42">
        <f ca="1">VLOOKUP($BN22&amp;$BQ22,坦克标准养成属性!$S$3:$AE$63,MATCH(BT$3,坦克标准养成属性!$S$3:$AE$3,0),FALSE)</f>
        <v>201.1963936692581</v>
      </c>
      <c r="BU22" s="42">
        <f ca="1">VLOOKUP($BN22&amp;$BQ22,坦克标准养成属性!$S$3:$AE$63,MATCH(BU$3,坦克标准养成属性!$S$3:$AE$3,0),FALSE)</f>
        <v>657</v>
      </c>
      <c r="BV22" s="42">
        <f ca="1">VLOOKUP($BN22&amp;$BQ22,坦克标准养成属性!$S$3:$AE$63,MATCH(BV$3,坦克标准养成属性!$S$3:$AE$3,0),FALSE)</f>
        <v>493</v>
      </c>
      <c r="BW22" s="42">
        <f ca="1">VLOOKUP($BN22&amp;$BQ22,坦克标准养成属性!$S$3:$AE$63,MATCH(BW$3,坦克标准养成属性!$S$3:$AE$3,0),FALSE)</f>
        <v>720</v>
      </c>
      <c r="BX22" s="42">
        <f ca="1">VLOOKUP($BN22&amp;$BQ22,坦克标准养成属性!$S$3:$AE$63,MATCH(BX$3,坦克标准养成属性!$S$3:$AE$3,0),FALSE)</f>
        <v>173</v>
      </c>
      <c r="BY22" s="2">
        <f>IFERROR((VLOOKUP(LEFT(BR22,1)*1,坦克部件!$N$3:$W$9,MATCH("升星属性",坦克部件!$N$3:$W$3,0),FALSE)+VLOOKUP(RIGHT(BR22,1)*1,坦克部件!$Y$3:$AC$38,MATCH("累计属性",坦克部件!$Y$3:$AC$3,0),FALSE))*2,0)</f>
        <v>0</v>
      </c>
      <c r="BZ22" s="42">
        <f t="shared" si="15"/>
        <v>0</v>
      </c>
      <c r="CA22" s="42">
        <f t="shared" si="16"/>
        <v>0</v>
      </c>
    </row>
    <row r="23" spans="2:79" x14ac:dyDescent="0.3">
      <c r="B23" s="2" t="str">
        <f>坦克个性化设定!B38</f>
        <v>挑战者</v>
      </c>
      <c r="C23" s="2" t="str">
        <f>VLOOKUP(B23,坦克个性化设定!$B$18:$E$48,4,FALSE)</f>
        <v>T5</v>
      </c>
      <c r="D23" s="2" t="str">
        <f>坦克个性化细分!J23</f>
        <v>低</v>
      </c>
      <c r="E23" s="2" t="str">
        <f t="shared" si="10"/>
        <v>T5低0</v>
      </c>
      <c r="F23" s="2" t="str">
        <f>VLOOKUP($B23,坦克个性化设定!$B$18:$BC$48,MATCH(F$3,坦克个性化设定!$B$18:$BC$18,0),FALSE)</f>
        <v>中坦</v>
      </c>
      <c r="G23" s="2" t="str">
        <f>VLOOKUP($B23,坦克个性化设定!$B$18:$BC$48,MATCH(G$3,坦克个性化设定!$B$18:$BC$18,0),FALSE)</f>
        <v>中坦自动</v>
      </c>
      <c r="H23" s="2" t="str">
        <f t="shared" si="11"/>
        <v>自动装弹</v>
      </c>
      <c r="I23" s="2">
        <f>VLOOKUP($B23,坦克个性化设定!$B$18:$BC$48,MATCH(I$3,坦克个性化设定!$B$18:$BC$18,0),FALSE)</f>
        <v>8.49</v>
      </c>
      <c r="J23" s="2">
        <f>VLOOKUP($B23,坦克个性化设定!$B$18:$BC$48,MATCH(J$3,坦克个性化设定!$B$18:$BC$18,0),FALSE)</f>
        <v>3.73</v>
      </c>
      <c r="K23" s="2">
        <f>VLOOKUP($B23,坦克个性化设定!$B$18:$BC$48,MATCH(K$3,坦克个性化设定!$B$18:$BC$18,0),FALSE)</f>
        <v>0.3</v>
      </c>
      <c r="L23" s="34">
        <f>VLOOKUP($B23,坦克个性化设定!$B$18:$BC$48,MATCH(L$3,坦克个性化设定!$B$18:$BC$18,0),FALSE)</f>
        <v>1.6422918151337649</v>
      </c>
      <c r="M23" s="34">
        <f>VLOOKUP($B23,坦克个性化设定!$B$18:$BC$48,MATCH(M$3,坦克个性化设定!$B$18:$BC$18,0),FALSE)</f>
        <v>13.333333333333334</v>
      </c>
      <c r="N23" s="34">
        <f>VLOOKUP($B23,坦克个性化设定!$B$18:$BC$48,MATCH(N$3,坦克个性化设定!$B$18:$BC$18,0),FALSE)</f>
        <v>22.857142857142858</v>
      </c>
      <c r="O23" s="2">
        <f>VLOOKUP($B23,坦克个性化设定!$B$18:$BC$48,MATCH(O$3,坦克个性化设定!$B$18:$BC$18,0),FALSE)</f>
        <v>0.9</v>
      </c>
      <c r="P23" s="2">
        <f>VLOOKUP($B23,坦克个性化设定!$B$18:$BC$48,MATCH(P$3,坦克个性化设定!$B$18:$BC$18,0),FALSE)</f>
        <v>0.9</v>
      </c>
      <c r="Q23" s="2">
        <f>VLOOKUP($B23,坦克个性化设定!$B$18:$BC$48,MATCH(Q$3,坦克个性化设定!$B$18:$BC$18,0),FALSE)</f>
        <v>0.9</v>
      </c>
      <c r="R23" s="2">
        <f>VLOOKUP($B23,坦克个性化设定!$B$18:$BC$48,MATCH(R$3,坦克个性化设定!$B$18:$BC$18,0),FALSE)</f>
        <v>0.4</v>
      </c>
      <c r="S23" s="34">
        <f>VLOOKUP($B23,坦克个性化设定!$B$51:$T$81,MATCH(S$3,坦克个性化设定!$B$51:$T$51,0),FALSE)</f>
        <v>2.4</v>
      </c>
      <c r="T23" s="34">
        <f>VLOOKUP($B23,坦克个性化设定!$B$51:$T$81,MATCH(T$3,坦克个性化设定!$B$51:$T$51,0),FALSE)</f>
        <v>1.4</v>
      </c>
      <c r="U23" s="34">
        <f>VLOOKUP($B23,坦克个性化设定!$B$18:$BC$48,MATCH(U$3,坦克个性化设定!$B$18:$BC$18,0),FALSE)</f>
        <v>0.71</v>
      </c>
      <c r="V23" s="2">
        <f>VLOOKUP($B23,坦克个性化设定!$B$18:$BC$48,MATCH(V$3,坦克个性化设定!$B$18:$BC$18,0),FALSE)</f>
        <v>1</v>
      </c>
      <c r="W23" s="2">
        <f>VLOOKUP($B23,坦克个性化设定!$B$18:$BC$48,MATCH(W$3,坦克个性化设定!$B$18:$BC$18,0),FALSE)</f>
        <v>4</v>
      </c>
      <c r="X23" s="2">
        <f>VLOOKUP($B23,坦克个性化设定!$B$18:$BC$48,MATCH(X$3,坦克个性化设定!$B$18:$BC$18,0),FALSE)</f>
        <v>0.75</v>
      </c>
      <c r="Y23" s="34">
        <f>VLOOKUP($B23,坦克个性化设定!$B$18:$BC$48,MATCH(Y$3,坦克个性化设定!$B$18:$BC$18,0),FALSE)</f>
        <v>8.8984165302451057</v>
      </c>
      <c r="Z23" s="34">
        <f>VLOOKUP($B23,坦克个性化设定!$B$18:$BC$48,MATCH(Z$3,坦克个性化设定!$B$18:$BC$18,0),FALSE)</f>
        <v>55.61510331403192</v>
      </c>
      <c r="AA23" s="34">
        <f>VLOOKUP($B23,坦克个性化设定!$B$18:$BC$48,MATCH(AA$3,坦克个性化设定!$B$18:$BC$18,0),FALSE)</f>
        <v>2.84</v>
      </c>
      <c r="AB23" s="34">
        <f>VLOOKUP($B23,坦克个性化设定!$B$18:$BC$48,MATCH(AB$3,坦克个性化设定!$B$18:$BC$18,0),FALSE)</f>
        <v>7.2</v>
      </c>
      <c r="AC23" s="34">
        <f>VLOOKUP($B23,坦克个性化设定!$B$18:$BC$48,MATCH(AC$3,坦克个性化设定!$B$18:$BC$18,0),FALSE)</f>
        <v>5</v>
      </c>
      <c r="AD23" s="34">
        <f>VLOOKUP($B23,坦克个性化设定!$B$18:$BC$48,MATCH(AD$3,坦克个性化设定!$B$18:$BC$18,0),FALSE)</f>
        <v>4</v>
      </c>
      <c r="AE23" s="34">
        <f>VLOOKUP($B23,坦克个性化设定!$B$18:$BC$48,MATCH(AE$3,坦克个性化设定!$B$18:$BC$18,0),FALSE)</f>
        <v>1.0649999999999999</v>
      </c>
      <c r="AF23" s="2">
        <f>VLOOKUP($B23,坦克个性化设定!$B$18:$BC$48,MATCH(AF$3,坦克个性化设定!$B$18:$BC$18,0),FALSE)</f>
        <v>0.2</v>
      </c>
      <c r="AG23" s="2">
        <f>VLOOKUP($B23,坦克个性化设定!$B$18:$BC$48,MATCH(AG$3,坦克个性化设定!$B$18:$BC$18,0),FALSE)</f>
        <v>55</v>
      </c>
      <c r="AH23" s="2">
        <f>VLOOKUP($B23,坦克个性化设定!$B$18:$BC$48,MATCH(AH$3,坦克个性化设定!$B$18:$BC$18,0),FALSE)</f>
        <v>105</v>
      </c>
      <c r="AI23" s="2">
        <f>VLOOKUP(B23,坦克个性化细分!$I$3:$P$33,3,FALSE)</f>
        <v>35.6</v>
      </c>
      <c r="AJ23" s="2">
        <f>VLOOKUP(B23,坦克个性化细分!$I$3:$P$33,5,FALSE)</f>
        <v>50</v>
      </c>
      <c r="AK23" s="2">
        <f>VLOOKUP(B23,坦克个性化细分!$I$3:$P$33,7,FALSE)</f>
        <v>7.2</v>
      </c>
      <c r="AL23" s="2">
        <f>VLOOKUP($B23,坦克个性化设定!$G$84:$T$114,MATCH(AL$3,坦克个性化设定!$G$84:$T$84,0),FALSE)</f>
        <v>6</v>
      </c>
      <c r="AM23" s="2">
        <f>VLOOKUP($B23,坦克个性化细分!$E$3:$G$33,2,FALSE)</f>
        <v>2.4</v>
      </c>
      <c r="AN23" s="2">
        <f>VLOOKUP($B23,坦克个性化细分!$E$3:$G$33,3,FALSE)</f>
        <v>0</v>
      </c>
      <c r="AO23" s="34">
        <f t="shared" si="0"/>
        <v>1.4</v>
      </c>
      <c r="AP23" s="33">
        <f t="shared" ca="1" si="1"/>
        <v>2455</v>
      </c>
      <c r="AQ23" s="33">
        <f t="shared" ca="1" si="2"/>
        <v>231</v>
      </c>
      <c r="AR23" s="33">
        <f t="shared" ca="1" si="3"/>
        <v>828</v>
      </c>
      <c r="AS23" s="33">
        <f t="shared" ca="1" si="4"/>
        <v>621</v>
      </c>
      <c r="AT23" s="33">
        <f t="shared" ca="1" si="5"/>
        <v>907</v>
      </c>
      <c r="AU23" s="33">
        <f t="shared" ca="1" si="6"/>
        <v>218</v>
      </c>
      <c r="AV23" s="33">
        <f t="shared" si="12"/>
        <v>0</v>
      </c>
      <c r="AW23" s="33">
        <f t="shared" si="13"/>
        <v>0</v>
      </c>
      <c r="AX23" s="33">
        <f t="shared" si="14"/>
        <v>0</v>
      </c>
      <c r="AY23" s="2">
        <f t="shared" si="7"/>
        <v>6</v>
      </c>
      <c r="AZ23" s="2">
        <f>基础属性系数!$E$61</f>
        <v>0</v>
      </c>
      <c r="BA23" s="2">
        <v>50</v>
      </c>
      <c r="BB23" s="2">
        <v>10</v>
      </c>
      <c r="BC23" s="2">
        <f>VLOOKUP($B23,坦克类型系数!$B$3:$R$33,MATCH(BC$3,坦克类型系数!$B$3:$R$3,0),FALSE)</f>
        <v>0</v>
      </c>
      <c r="BD23" s="2">
        <f>VLOOKUP($B23,坦克类型系数!$B$3:$R$33,MATCH(BD$3,坦克类型系数!$B$3:$R$3,0),FALSE)</f>
        <v>2.2000000000000002</v>
      </c>
      <c r="BE23" s="2">
        <f>VLOOKUP($B23,坦克类型系数!$B$3:$R$33,MATCH(BE$3,坦克类型系数!$B$3:$R$3,0),FALSE)</f>
        <v>1.7</v>
      </c>
      <c r="BF23" s="2">
        <f>VLOOKUP($B23,坦克类型系数!$B$3:$R$33,MATCH(BF$3,坦克类型系数!$B$3:$R$3,0),FALSE)</f>
        <v>1.3</v>
      </c>
      <c r="BG23" s="2">
        <f>VLOOKUP($B23,坦克类型系数!$B$3:$R$33,MATCH(BG$3,坦克类型系数!$B$3:$R$3,0),FALSE)</f>
        <v>1.1000000000000001</v>
      </c>
      <c r="BH23" s="2">
        <f>VLOOKUP($B23,坦克类型系数!$B$3:$R$33,MATCH(BH$3,坦克类型系数!$B$3:$R$3,0),FALSE)</f>
        <v>0.75</v>
      </c>
      <c r="BI23" s="2">
        <f>VLOOKUP($B23,坦克类型系数!$B$3:$R$33,MATCH(BI$3,坦克类型系数!$B$3:$R$3,0),FALSE)</f>
        <v>0.5</v>
      </c>
      <c r="BJ23" s="25"/>
      <c r="BK23" s="25"/>
      <c r="BL23" s="25"/>
      <c r="BM23" s="1" t="s">
        <v>1226</v>
      </c>
      <c r="BN23" s="2" t="str">
        <f t="shared" si="8"/>
        <v>挑战者</v>
      </c>
      <c r="BO23" s="2" t="str">
        <f>VLOOKUP(BN23,坦克个性化设定!$B$18:$E$48,MATCH(BO$3,坦克个性化设定!$B$18:$E$18,0),FALSE)</f>
        <v>T5</v>
      </c>
      <c r="BP23" s="2" t="str">
        <f t="shared" si="9"/>
        <v>低</v>
      </c>
      <c r="BQ23" s="2" t="s">
        <v>792</v>
      </c>
      <c r="BR23" s="2"/>
      <c r="BS23" s="42">
        <f ca="1">VLOOKUP($BN23&amp;$BQ23,坦克标准养成属性!$S$3:$AE$63,MATCH(BS$3,坦克标准养成属性!$S$3:$AE$3,0),FALSE)</f>
        <v>2455.461157197461</v>
      </c>
      <c r="BT23" s="42">
        <f ca="1">VLOOKUP($BN23&amp;$BQ23,坦克标准养成属性!$S$3:$AE$63,MATCH(BT$3,坦克标准养成属性!$S$3:$AE$3,0),FALSE)</f>
        <v>231.41558974486509</v>
      </c>
      <c r="BU23" s="42">
        <f ca="1">VLOOKUP($BN23&amp;$BQ23,坦克标准养成属性!$S$3:$AE$63,MATCH(BU$3,坦克标准养成属性!$S$3:$AE$3,0),FALSE)</f>
        <v>828</v>
      </c>
      <c r="BV23" s="42">
        <f ca="1">VLOOKUP($BN23&amp;$BQ23,坦克标准养成属性!$S$3:$AE$63,MATCH(BV$3,坦克标准养成属性!$S$3:$AE$3,0),FALSE)</f>
        <v>621</v>
      </c>
      <c r="BW23" s="42">
        <f ca="1">VLOOKUP($BN23&amp;$BQ23,坦克标准养成属性!$S$3:$AE$63,MATCH(BW$3,坦克标准养成属性!$S$3:$AE$3,0),FALSE)</f>
        <v>907</v>
      </c>
      <c r="BX23" s="42">
        <f ca="1">VLOOKUP($BN23&amp;$BQ23,坦克标准养成属性!$S$3:$AE$63,MATCH(BX$3,坦克标准养成属性!$S$3:$AE$3,0),FALSE)</f>
        <v>218</v>
      </c>
      <c r="BY23" s="2">
        <f>IFERROR((VLOOKUP(LEFT(BR23,1)*1,坦克部件!$N$3:$W$9,MATCH("升星属性",坦克部件!$N$3:$W$3,0),FALSE)+VLOOKUP(RIGHT(BR23,1)*1,坦克部件!$Y$3:$AC$38,MATCH("累计属性",坦克部件!$Y$3:$AC$3,0),FALSE))*2,0)</f>
        <v>0</v>
      </c>
      <c r="BZ23" s="42">
        <f t="shared" si="15"/>
        <v>0</v>
      </c>
      <c r="CA23" s="42">
        <f t="shared" si="16"/>
        <v>0</v>
      </c>
    </row>
    <row r="24" spans="2:79" x14ac:dyDescent="0.3">
      <c r="B24" s="2" t="str">
        <f>坦克个性化设定!B39</f>
        <v>B-1</v>
      </c>
      <c r="C24" s="2" t="str">
        <f>VLOOKUP(B24,坦克个性化设定!$B$18:$E$48,4,FALSE)</f>
        <v>T1</v>
      </c>
      <c r="D24" s="2" t="str">
        <f>坦克个性化细分!J24</f>
        <v>低</v>
      </c>
      <c r="E24" s="2" t="str">
        <f t="shared" si="10"/>
        <v>T1低0</v>
      </c>
      <c r="F24" s="2" t="str">
        <f>VLOOKUP($B24,坦克个性化设定!$B$18:$BC$48,MATCH(F$3,坦克个性化设定!$B$18:$BC$18,0),FALSE)</f>
        <v>重坦</v>
      </c>
      <c r="G24" s="2" t="str">
        <f>VLOOKUP($B24,坦克个性化设定!$B$18:$BC$48,MATCH(G$3,坦克个性化设定!$B$18:$BC$18,0),FALSE)</f>
        <v>重坦自动</v>
      </c>
      <c r="H24" s="2" t="str">
        <f t="shared" si="11"/>
        <v>自动装弹</v>
      </c>
      <c r="I24" s="2">
        <f>VLOOKUP($B24,坦克个性化设定!$B$18:$BC$48,MATCH(I$3,坦克个性化设定!$B$18:$BC$18,0),FALSE)</f>
        <v>6.6</v>
      </c>
      <c r="J24" s="2">
        <f>VLOOKUP($B24,坦克个性化设定!$B$18:$BC$48,MATCH(J$3,坦克个性化设定!$B$18:$BC$18,0),FALSE)</f>
        <v>3.26</v>
      </c>
      <c r="K24" s="2">
        <f>VLOOKUP($B24,坦克个性化设定!$B$18:$BC$48,MATCH(K$3,坦克个性化设定!$B$18:$BC$18,0),FALSE)</f>
        <v>0.3</v>
      </c>
      <c r="L24" s="34">
        <f>VLOOKUP($B24,坦克个性化设定!$B$18:$BC$48,MATCH(L$3,坦克个性化设定!$B$18:$BC$18,0),FALSE)</f>
        <v>1.3421103201592517</v>
      </c>
      <c r="M24" s="34">
        <f>VLOOKUP($B24,坦克个性化设定!$B$18:$BC$48,MATCH(M$3,坦克个性化设定!$B$18:$BC$18,0),FALSE)</f>
        <v>10.769230769230768</v>
      </c>
      <c r="N24" s="34">
        <f>VLOOKUP($B24,坦克个性化设定!$B$18:$BC$48,MATCH(N$3,坦克个性化设定!$B$18:$BC$18,0),FALSE)</f>
        <v>17.5</v>
      </c>
      <c r="O24" s="2">
        <f>VLOOKUP($B24,坦克个性化设定!$B$18:$BC$48,MATCH(O$3,坦克个性化设定!$B$18:$BC$18,0),FALSE)</f>
        <v>0.8</v>
      </c>
      <c r="P24" s="2">
        <f>VLOOKUP($B24,坦克个性化设定!$B$18:$BC$48,MATCH(P$3,坦克个性化设定!$B$18:$BC$18,0),FALSE)</f>
        <v>0.8</v>
      </c>
      <c r="Q24" s="2">
        <f>VLOOKUP($B24,坦克个性化设定!$B$18:$BC$48,MATCH(Q$3,坦克个性化设定!$B$18:$BC$18,0),FALSE)</f>
        <v>0.8</v>
      </c>
      <c r="R24" s="2">
        <f>VLOOKUP($B24,坦克个性化设定!$B$18:$BC$48,MATCH(R$3,坦克个性化设定!$B$18:$BC$18,0),FALSE)</f>
        <v>2.8</v>
      </c>
      <c r="S24" s="34">
        <f>VLOOKUP($B24,坦克个性化设定!$B$51:$T$81,MATCH(S$3,坦克个性化设定!$B$51:$T$51,0),FALSE)</f>
        <v>3.5999999999999996</v>
      </c>
      <c r="T24" s="34">
        <f>VLOOKUP($B24,坦克个性化设定!$B$51:$T$81,MATCH(T$3,坦克个性化设定!$B$51:$T$51,0),FALSE)</f>
        <v>3</v>
      </c>
      <c r="U24" s="34">
        <f>VLOOKUP($B24,坦克个性化设定!$B$18:$BC$48,MATCH(U$3,坦克个性化设定!$B$18:$BC$18,0),FALSE)</f>
        <v>0.74</v>
      </c>
      <c r="V24" s="2">
        <f>VLOOKUP($B24,坦克个性化设定!$B$18:$BC$48,MATCH(V$3,坦克个性化设定!$B$18:$BC$18,0),FALSE)</f>
        <v>1.2</v>
      </c>
      <c r="W24" s="2">
        <f>VLOOKUP($B24,坦克个性化设定!$B$18:$BC$48,MATCH(W$3,坦克个性化设定!$B$18:$BC$18,0),FALSE)</f>
        <v>2</v>
      </c>
      <c r="X24" s="2">
        <f>VLOOKUP($B24,坦克个性化设定!$B$18:$BC$48,MATCH(X$3,坦克个性化设定!$B$18:$BC$18,0),FALSE)</f>
        <v>0.5</v>
      </c>
      <c r="Y24" s="34">
        <f>VLOOKUP($B24,坦克个性化设定!$B$18:$BC$48,MATCH(Y$3,坦克个性化设定!$B$18:$BC$18,0),FALSE)</f>
        <v>9.587493771855776</v>
      </c>
      <c r="Z24" s="34">
        <f>VLOOKUP($B24,坦克个性化设定!$B$18:$BC$48,MATCH(Z$3,坦克个性化设定!$B$18:$BC$18,0),FALSE)</f>
        <v>47.93746885927888</v>
      </c>
      <c r="AA24" s="34">
        <f>VLOOKUP($B24,坦克个性化设定!$B$18:$BC$48,MATCH(AA$3,坦克个性化设定!$B$18:$BC$18,0),FALSE)</f>
        <v>1.8599999999999999</v>
      </c>
      <c r="AB24" s="34">
        <f>VLOOKUP($B24,坦克个性化设定!$B$18:$BC$48,MATCH(AB$3,坦克个性化设定!$B$18:$BC$18,0),FALSE)</f>
        <v>7</v>
      </c>
      <c r="AC24" s="34">
        <f>VLOOKUP($B24,坦克个性化设定!$B$18:$BC$48,MATCH(AC$3,坦克个性化设定!$B$18:$BC$18,0),FALSE)</f>
        <v>3.8888888888888888</v>
      </c>
      <c r="AD24" s="34">
        <f>VLOOKUP($B24,坦克个性化设定!$B$18:$BC$48,MATCH(AD$3,坦克个性化设定!$B$18:$BC$18,0),FALSE)</f>
        <v>2</v>
      </c>
      <c r="AE24" s="34">
        <f>VLOOKUP($B24,坦克个性化设定!$B$18:$BC$48,MATCH(AE$3,坦克个性化设定!$B$18:$BC$18,0),FALSE)</f>
        <v>0.62</v>
      </c>
      <c r="AF24" s="2">
        <f>VLOOKUP($B24,坦克个性化设定!$B$18:$BC$48,MATCH(AF$3,坦克个性化设定!$B$18:$BC$18,0),FALSE)</f>
        <v>0.2</v>
      </c>
      <c r="AG24" s="2">
        <f>VLOOKUP($B24,坦克个性化设定!$B$18:$BC$48,MATCH(AG$3,坦克个性化设定!$B$18:$BC$18,0),FALSE)</f>
        <v>70</v>
      </c>
      <c r="AH24" s="2">
        <f>VLOOKUP($B24,坦克个性化设定!$B$18:$BC$48,MATCH(AH$3,坦克个性化设定!$B$18:$BC$18,0),FALSE)</f>
        <v>110</v>
      </c>
      <c r="AI24" s="2">
        <f>VLOOKUP(B24,坦克个性化细分!$I$3:$P$33,3,FALSE)</f>
        <v>38.299999999999997</v>
      </c>
      <c r="AJ24" s="2">
        <f>VLOOKUP(B24,坦克个性化细分!$I$3:$P$33,5,FALSE)</f>
        <v>28</v>
      </c>
      <c r="AK24" s="2">
        <f>VLOOKUP(B24,坦克个性化细分!$I$3:$P$33,7,FALSE)</f>
        <v>7</v>
      </c>
      <c r="AL24" s="2">
        <f>VLOOKUP($B24,坦克个性化设定!$G$84:$T$114,MATCH(AL$3,坦克个性化设定!$G$84:$T$84,0),FALSE)</f>
        <v>1</v>
      </c>
      <c r="AM24" s="2">
        <f>VLOOKUP($B24,坦克个性化细分!$E$3:$G$33,2,FALSE)</f>
        <v>5.3999999999999995</v>
      </c>
      <c r="AN24" s="2">
        <f>VLOOKUP($B24,坦克个性化细分!$E$3:$G$33,3,FALSE)</f>
        <v>0</v>
      </c>
      <c r="AO24" s="34">
        <f t="shared" si="0"/>
        <v>2.5</v>
      </c>
      <c r="AP24" s="33">
        <f t="shared" ca="1" si="1"/>
        <v>726</v>
      </c>
      <c r="AQ24" s="33">
        <f t="shared" ca="1" si="2"/>
        <v>358</v>
      </c>
      <c r="AR24" s="33">
        <f t="shared" ca="1" si="3"/>
        <v>286</v>
      </c>
      <c r="AS24" s="33">
        <f t="shared" ca="1" si="4"/>
        <v>229</v>
      </c>
      <c r="AT24" s="33">
        <f t="shared" ca="1" si="5"/>
        <v>420</v>
      </c>
      <c r="AU24" s="33">
        <f t="shared" ca="1" si="6"/>
        <v>98</v>
      </c>
      <c r="AV24" s="33">
        <f t="shared" si="12"/>
        <v>0</v>
      </c>
      <c r="AW24" s="33">
        <f t="shared" si="13"/>
        <v>0</v>
      </c>
      <c r="AX24" s="33">
        <f t="shared" si="14"/>
        <v>0</v>
      </c>
      <c r="AY24" s="2">
        <f t="shared" si="7"/>
        <v>6</v>
      </c>
      <c r="AZ24" s="2">
        <f>基础属性系数!$E$61</f>
        <v>0</v>
      </c>
      <c r="BA24" s="2">
        <v>50</v>
      </c>
      <c r="BB24" s="2">
        <v>10</v>
      </c>
      <c r="BC24" s="2">
        <f>VLOOKUP($B24,坦克类型系数!$B$3:$R$33,MATCH(BC$3,坦克类型系数!$B$3:$R$3,0),FALSE)</f>
        <v>0</v>
      </c>
      <c r="BD24" s="2">
        <f>VLOOKUP($B24,坦克类型系数!$B$3:$R$33,MATCH(BD$3,坦克类型系数!$B$3:$R$3,0),FALSE)</f>
        <v>2.5499999999999998</v>
      </c>
      <c r="BE24" s="2">
        <f>VLOOKUP($B24,坦克类型系数!$B$3:$R$33,MATCH(BE$3,坦克类型系数!$B$3:$R$3,0),FALSE)</f>
        <v>2.0499999999999998</v>
      </c>
      <c r="BF24" s="2">
        <f>VLOOKUP($B24,坦克类型系数!$B$3:$R$33,MATCH(BF$3,坦克类型系数!$B$3:$R$3,0),FALSE)</f>
        <v>1.5</v>
      </c>
      <c r="BG24" s="2">
        <f>VLOOKUP($B24,坦克类型系数!$B$3:$R$33,MATCH(BG$3,坦克类型系数!$B$3:$R$3,0),FALSE)</f>
        <v>1.45</v>
      </c>
      <c r="BH24" s="2">
        <f>VLOOKUP($B24,坦克类型系数!$B$3:$R$33,MATCH(BH$3,坦克类型系数!$B$3:$R$3,0),FALSE)</f>
        <v>1.35</v>
      </c>
      <c r="BI24" s="2">
        <f>VLOOKUP($B24,坦克类型系数!$B$3:$R$33,MATCH(BI$3,坦克类型系数!$B$3:$R$3,0),FALSE)</f>
        <v>0.4</v>
      </c>
      <c r="BJ24" s="25"/>
      <c r="BK24" s="25"/>
      <c r="BL24" s="25"/>
      <c r="BM24" s="1" t="s">
        <v>1226</v>
      </c>
      <c r="BN24" s="2" t="str">
        <f t="shared" si="8"/>
        <v>B-1</v>
      </c>
      <c r="BO24" s="2" t="str">
        <f>VLOOKUP(BN24,坦克个性化设定!$B$18:$E$48,MATCH(BO$3,坦克个性化设定!$B$18:$E$18,0),FALSE)</f>
        <v>T1</v>
      </c>
      <c r="BP24" s="2" t="str">
        <f t="shared" si="9"/>
        <v>低</v>
      </c>
      <c r="BQ24" s="2" t="s">
        <v>792</v>
      </c>
      <c r="BR24" s="2"/>
      <c r="BS24" s="42">
        <f ca="1">VLOOKUP($BN24&amp;$BQ24,坦克标准养成属性!$S$3:$AE$63,MATCH(BS$3,坦克标准养成属性!$S$3:$AE$3,0),FALSE)</f>
        <v>725.66717573113294</v>
      </c>
      <c r="BT24" s="42">
        <f ca="1">VLOOKUP($BN24&amp;$BQ24,坦克标准养成属性!$S$3:$AE$63,MATCH(BT$3,坦克标准养成属性!$S$3:$AE$3,0),FALSE)</f>
        <v>358.37356421884613</v>
      </c>
      <c r="BU24" s="42">
        <f ca="1">VLOOKUP($BN24&amp;$BQ24,坦克标准养成属性!$S$3:$AE$63,MATCH(BU$3,坦克标准养成属性!$S$3:$AE$3,0),FALSE)</f>
        <v>286</v>
      </c>
      <c r="BV24" s="42">
        <f ca="1">VLOOKUP($BN24&amp;$BQ24,坦克标准养成属性!$S$3:$AE$63,MATCH(BV$3,坦克标准养成属性!$S$3:$AE$3,0),FALSE)</f>
        <v>229</v>
      </c>
      <c r="BW24" s="42">
        <f ca="1">VLOOKUP($BN24&amp;$BQ24,坦克标准养成属性!$S$3:$AE$63,MATCH(BW$3,坦克标准养成属性!$S$3:$AE$3,0),FALSE)</f>
        <v>420</v>
      </c>
      <c r="BX24" s="42">
        <f ca="1">VLOOKUP($BN24&amp;$BQ24,坦克标准养成属性!$S$3:$AE$63,MATCH(BX$3,坦克标准养成属性!$S$3:$AE$3,0),FALSE)</f>
        <v>98</v>
      </c>
      <c r="BY24" s="2">
        <f>IFERROR((VLOOKUP(LEFT(BR24,1)*1,坦克部件!$N$3:$W$9,MATCH("升星属性",坦克部件!$N$3:$W$3,0),FALSE)+VLOOKUP(RIGHT(BR24,1)*1,坦克部件!$Y$3:$AC$38,MATCH("累计属性",坦克部件!$Y$3:$AC$3,0),FALSE))*2,0)</f>
        <v>0</v>
      </c>
      <c r="BZ24" s="42">
        <f t="shared" si="15"/>
        <v>0</v>
      </c>
      <c r="CA24" s="42">
        <f t="shared" si="16"/>
        <v>0</v>
      </c>
    </row>
    <row r="25" spans="2:79" x14ac:dyDescent="0.3">
      <c r="B25" s="2" t="str">
        <f>坦克个性化设定!B40</f>
        <v>KV-1</v>
      </c>
      <c r="C25" s="2" t="str">
        <f>VLOOKUP(B25,坦克个性化设定!$B$18:$E$48,4,FALSE)</f>
        <v>T2</v>
      </c>
      <c r="D25" s="2" t="str">
        <f>坦克个性化细分!J25</f>
        <v>低</v>
      </c>
      <c r="E25" s="2" t="str">
        <f t="shared" si="10"/>
        <v>T2低0</v>
      </c>
      <c r="F25" s="2" t="str">
        <f>VLOOKUP($B25,坦克个性化设定!$B$18:$BC$48,MATCH(F$3,坦克个性化设定!$B$18:$BC$18,0),FALSE)</f>
        <v>重坦</v>
      </c>
      <c r="G25" s="2" t="str">
        <f>VLOOKUP($B25,坦克个性化设定!$B$18:$BC$48,MATCH(G$3,坦克个性化设定!$B$18:$BC$18,0),FALSE)</f>
        <v>重坦自动</v>
      </c>
      <c r="H25" s="2" t="str">
        <f t="shared" si="11"/>
        <v>自动装弹</v>
      </c>
      <c r="I25" s="2">
        <f>VLOOKUP($B25,坦克个性化设定!$B$18:$BC$48,MATCH(I$3,坦克个性化设定!$B$18:$BC$18,0),FALSE)</f>
        <v>6.44</v>
      </c>
      <c r="J25" s="2">
        <f>VLOOKUP($B25,坦克个性化设定!$B$18:$BC$48,MATCH(J$3,坦克个性化设定!$B$18:$BC$18,0),FALSE)</f>
        <v>2.5099999999999998</v>
      </c>
      <c r="K25" s="2">
        <f>VLOOKUP($B25,坦克个性化设定!$B$18:$BC$48,MATCH(K$3,坦克个性化设定!$B$18:$BC$18,0),FALSE)</f>
        <v>0.3</v>
      </c>
      <c r="L25" s="34">
        <f>VLOOKUP($B25,坦克个性化设定!$B$18:$BC$48,MATCH(L$3,坦克个性化设定!$B$18:$BC$18,0),FALSE)</f>
        <v>1.3421103201592517</v>
      </c>
      <c r="M25" s="34">
        <f>VLOOKUP($B25,坦克个性化设定!$B$18:$BC$48,MATCH(M$3,坦克个性化设定!$B$18:$BC$18,0),FALSE)</f>
        <v>10.769230769230768</v>
      </c>
      <c r="N25" s="34">
        <f>VLOOKUP($B25,坦克个性化设定!$B$18:$BC$48,MATCH(N$3,坦克个性化设定!$B$18:$BC$18,0),FALSE)</f>
        <v>17.5</v>
      </c>
      <c r="O25" s="2">
        <f>VLOOKUP($B25,坦克个性化设定!$B$18:$BC$48,MATCH(O$3,坦克个性化设定!$B$18:$BC$18,0),FALSE)</f>
        <v>0.8</v>
      </c>
      <c r="P25" s="2">
        <f>VLOOKUP($B25,坦克个性化设定!$B$18:$BC$48,MATCH(P$3,坦克个性化设定!$B$18:$BC$18,0),FALSE)</f>
        <v>0.8</v>
      </c>
      <c r="Q25" s="2">
        <f>VLOOKUP($B25,坦克个性化设定!$B$18:$BC$48,MATCH(Q$3,坦克个性化设定!$B$18:$BC$18,0),FALSE)</f>
        <v>0.8</v>
      </c>
      <c r="R25" s="2">
        <f>VLOOKUP($B25,坦克个性化设定!$B$18:$BC$48,MATCH(R$3,坦克个性化设定!$B$18:$BC$18,0),FALSE)</f>
        <v>1.88</v>
      </c>
      <c r="S25" s="34">
        <f>VLOOKUP($B25,坦克个性化设定!$B$51:$T$81,MATCH(S$3,坦克个性化设定!$B$51:$T$51,0),FALSE)</f>
        <v>1.2</v>
      </c>
      <c r="T25" s="34">
        <f>VLOOKUP($B25,坦克个性化设定!$B$51:$T$81,MATCH(T$3,坦克个性化设定!$B$51:$T$51,0),FALSE)</f>
        <v>2.5</v>
      </c>
      <c r="U25" s="34">
        <f>VLOOKUP($B25,坦克个性化设定!$B$18:$BC$48,MATCH(U$3,坦克个性化设定!$B$18:$BC$18,0),FALSE)</f>
        <v>0.71</v>
      </c>
      <c r="V25" s="2">
        <f>VLOOKUP($B25,坦克个性化设定!$B$18:$BC$48,MATCH(V$3,坦克个性化设定!$B$18:$BC$18,0),FALSE)</f>
        <v>1.2</v>
      </c>
      <c r="W25" s="2">
        <f>VLOOKUP($B25,坦克个性化设定!$B$18:$BC$48,MATCH(W$3,坦克个性化设定!$B$18:$BC$18,0),FALSE)</f>
        <v>2</v>
      </c>
      <c r="X25" s="2">
        <f>VLOOKUP($B25,坦克个性化设定!$B$18:$BC$48,MATCH(X$3,坦克个性化设定!$B$18:$BC$18,0),FALSE)</f>
        <v>0.5</v>
      </c>
      <c r="Y25" s="34">
        <f>VLOOKUP($B25,坦克个性化设定!$B$18:$BC$48,MATCH(Y$3,坦克个性化设定!$B$18:$BC$18,0),FALSE)</f>
        <v>9.587493771855776</v>
      </c>
      <c r="Z25" s="34">
        <f>VLOOKUP($B25,坦克个性化设定!$B$18:$BC$48,MATCH(Z$3,坦克个性化设定!$B$18:$BC$18,0),FALSE)</f>
        <v>47.93746885927888</v>
      </c>
      <c r="AA25" s="34">
        <f>VLOOKUP($B25,坦克个性化设定!$B$18:$BC$48,MATCH(AA$3,坦克个性化设定!$B$18:$BC$18,0),FALSE)</f>
        <v>1.8599999999999999</v>
      </c>
      <c r="AB25" s="34">
        <f>VLOOKUP($B25,坦克个性化设定!$B$18:$BC$48,MATCH(AB$3,坦克个性化设定!$B$18:$BC$18,0),FALSE)</f>
        <v>7</v>
      </c>
      <c r="AC25" s="34">
        <f>VLOOKUP($B25,坦克个性化设定!$B$18:$BC$48,MATCH(AC$3,坦克个性化设定!$B$18:$BC$18,0),FALSE)</f>
        <v>3.8888888888888888</v>
      </c>
      <c r="AD25" s="34">
        <f>VLOOKUP($B25,坦克个性化设定!$B$18:$BC$48,MATCH(AD$3,坦克个性化设定!$B$18:$BC$18,0),FALSE)</f>
        <v>2</v>
      </c>
      <c r="AE25" s="34">
        <f>VLOOKUP($B25,坦克个性化设定!$B$18:$BC$48,MATCH(AE$3,坦克个性化设定!$B$18:$BC$18,0),FALSE)</f>
        <v>0.62</v>
      </c>
      <c r="AF25" s="2">
        <f>VLOOKUP($B25,坦克个性化设定!$B$18:$BC$48,MATCH(AF$3,坦克个性化设定!$B$18:$BC$18,0),FALSE)</f>
        <v>0.2</v>
      </c>
      <c r="AG25" s="2">
        <f>VLOOKUP($B25,坦克个性化设定!$B$18:$BC$48,MATCH(AG$3,坦克个性化设定!$B$18:$BC$18,0),FALSE)</f>
        <v>70</v>
      </c>
      <c r="AH25" s="2">
        <f>VLOOKUP($B25,坦克个性化设定!$B$18:$BC$48,MATCH(AH$3,坦克个性化设定!$B$18:$BC$18,0),FALSE)</f>
        <v>110</v>
      </c>
      <c r="AI25" s="2">
        <f>VLOOKUP(B25,坦克个性化细分!$I$3:$P$33,3,FALSE)</f>
        <v>38.299999999999997</v>
      </c>
      <c r="AJ25" s="2">
        <f>VLOOKUP(B25,坦克个性化细分!$I$3:$P$33,5,FALSE)</f>
        <v>28</v>
      </c>
      <c r="AK25" s="2">
        <f>VLOOKUP(B25,坦克个性化细分!$I$3:$P$33,7,FALSE)</f>
        <v>7</v>
      </c>
      <c r="AL25" s="2">
        <f>VLOOKUP($B25,坦克个性化设定!$G$84:$T$114,MATCH(AL$3,坦克个性化设定!$G$84:$T$84,0),FALSE)</f>
        <v>3</v>
      </c>
      <c r="AM25" s="2">
        <f>VLOOKUP($B25,坦克个性化细分!$E$3:$G$33,2,FALSE)</f>
        <v>3.6</v>
      </c>
      <c r="AN25" s="2">
        <f>VLOOKUP($B25,坦克个性化细分!$E$3:$G$33,3,FALSE)</f>
        <v>0</v>
      </c>
      <c r="AO25" s="34">
        <f t="shared" si="0"/>
        <v>2.0833333333333335</v>
      </c>
      <c r="AP25" s="33">
        <f t="shared" ca="1" si="1"/>
        <v>1106</v>
      </c>
      <c r="AQ25" s="33">
        <f t="shared" ca="1" si="2"/>
        <v>257</v>
      </c>
      <c r="AR25" s="33">
        <f t="shared" ca="1" si="3"/>
        <v>343</v>
      </c>
      <c r="AS25" s="33">
        <f t="shared" ca="1" si="4"/>
        <v>274</v>
      </c>
      <c r="AT25" s="33">
        <f t="shared" ca="1" si="5"/>
        <v>504</v>
      </c>
      <c r="AU25" s="33">
        <f t="shared" ca="1" si="6"/>
        <v>117</v>
      </c>
      <c r="AV25" s="33">
        <f t="shared" si="12"/>
        <v>0</v>
      </c>
      <c r="AW25" s="33">
        <f t="shared" si="13"/>
        <v>0</v>
      </c>
      <c r="AX25" s="33">
        <f t="shared" si="14"/>
        <v>0</v>
      </c>
      <c r="AY25" s="2">
        <f t="shared" si="7"/>
        <v>6</v>
      </c>
      <c r="AZ25" s="2">
        <f>基础属性系数!$E$61</f>
        <v>0</v>
      </c>
      <c r="BA25" s="2">
        <v>50</v>
      </c>
      <c r="BB25" s="2">
        <v>10</v>
      </c>
      <c r="BC25" s="2">
        <f>VLOOKUP($B25,坦克类型系数!$B$3:$R$33,MATCH(BC$3,坦克类型系数!$B$3:$R$3,0),FALSE)</f>
        <v>0</v>
      </c>
      <c r="BD25" s="2">
        <f>VLOOKUP($B25,坦克类型系数!$B$3:$R$33,MATCH(BD$3,坦克类型系数!$B$3:$R$3,0),FALSE)</f>
        <v>2.5499999999999998</v>
      </c>
      <c r="BE25" s="2">
        <f>VLOOKUP($B25,坦克类型系数!$B$3:$R$33,MATCH(BE$3,坦克类型系数!$B$3:$R$3,0),FALSE)</f>
        <v>2.35</v>
      </c>
      <c r="BF25" s="2">
        <f>VLOOKUP($B25,坦克类型系数!$B$3:$R$33,MATCH(BF$3,坦克类型系数!$B$3:$R$3,0),FALSE)</f>
        <v>2.1</v>
      </c>
      <c r="BG25" s="2">
        <f>VLOOKUP($B25,坦克类型系数!$B$3:$R$33,MATCH(BG$3,坦克类型系数!$B$3:$R$3,0),FALSE)</f>
        <v>2</v>
      </c>
      <c r="BH25" s="2">
        <f>VLOOKUP($B25,坦克类型系数!$B$3:$R$33,MATCH(BH$3,坦克类型系数!$B$3:$R$3,0),FALSE)</f>
        <v>1.53</v>
      </c>
      <c r="BI25" s="2">
        <f>VLOOKUP($B25,坦克类型系数!$B$3:$R$33,MATCH(BI$3,坦克类型系数!$B$3:$R$3,0),FALSE)</f>
        <v>0.5</v>
      </c>
      <c r="BJ25" s="25"/>
      <c r="BK25" s="25"/>
      <c r="BL25" s="25"/>
      <c r="BM25" s="1" t="s">
        <v>1230</v>
      </c>
      <c r="BN25" s="2" t="str">
        <f t="shared" si="8"/>
        <v>KV-1</v>
      </c>
      <c r="BO25" s="2" t="str">
        <f>VLOOKUP(BN25,坦克个性化设定!$B$18:$E$48,MATCH(BO$3,坦克个性化设定!$B$18:$E$18,0),FALSE)</f>
        <v>T2</v>
      </c>
      <c r="BP25" s="2" t="str">
        <f t="shared" si="9"/>
        <v>低</v>
      </c>
      <c r="BQ25" s="2" t="s">
        <v>792</v>
      </c>
      <c r="BR25" s="2"/>
      <c r="BS25" s="42">
        <f ca="1">VLOOKUP($BN25&amp;$BQ25,坦克标准养成属性!$S$3:$AE$63,MATCH(BS$3,坦克标准养成属性!$S$3:$AE$3,0),FALSE)</f>
        <v>1106.4289223259498</v>
      </c>
      <c r="BT25" s="42">
        <f ca="1">VLOOKUP($BN25&amp;$BQ25,坦克标准养成属性!$S$3:$AE$63,MATCH(BT$3,坦克标准养成属性!$S$3:$AE$3,0),FALSE)</f>
        <v>257.04476714871947</v>
      </c>
      <c r="BU25" s="42">
        <f ca="1">VLOOKUP($BN25&amp;$BQ25,坦克标准养成属性!$S$3:$AE$63,MATCH(BU$3,坦克标准养成属性!$S$3:$AE$3,0),FALSE)</f>
        <v>343</v>
      </c>
      <c r="BV25" s="42">
        <f ca="1">VLOOKUP($BN25&amp;$BQ25,坦克标准养成属性!$S$3:$AE$63,MATCH(BV$3,坦克标准养成属性!$S$3:$AE$3,0),FALSE)</f>
        <v>274</v>
      </c>
      <c r="BW25" s="42">
        <f ca="1">VLOOKUP($BN25&amp;$BQ25,坦克标准养成属性!$S$3:$AE$63,MATCH(BW$3,坦克标准养成属性!$S$3:$AE$3,0),FALSE)</f>
        <v>504</v>
      </c>
      <c r="BX25" s="42">
        <f ca="1">VLOOKUP($BN25&amp;$BQ25,坦克标准养成属性!$S$3:$AE$63,MATCH(BX$3,坦克标准养成属性!$S$3:$AE$3,0),FALSE)</f>
        <v>117</v>
      </c>
      <c r="BY25" s="2">
        <f>IFERROR((VLOOKUP(LEFT(BR25,1)*1,坦克部件!$N$3:$W$9,MATCH("升星属性",坦克部件!$N$3:$W$3,0),FALSE)+VLOOKUP(RIGHT(BR25,1)*1,坦克部件!$Y$3:$AC$38,MATCH("累计属性",坦克部件!$Y$3:$AC$3,0),FALSE))*2,0)</f>
        <v>0</v>
      </c>
      <c r="BZ25" s="42">
        <f t="shared" si="15"/>
        <v>0</v>
      </c>
      <c r="CA25" s="42">
        <f t="shared" si="16"/>
        <v>0</v>
      </c>
    </row>
    <row r="26" spans="2:79" x14ac:dyDescent="0.3">
      <c r="B26" s="2" t="str">
        <f>坦克个性化设定!B41</f>
        <v>丘吉尔</v>
      </c>
      <c r="C26" s="2" t="str">
        <f>VLOOKUP(B26,坦克个性化设定!$B$18:$E$48,4,FALSE)</f>
        <v>T2</v>
      </c>
      <c r="D26" s="2" t="str">
        <f>坦克个性化细分!J26</f>
        <v>中</v>
      </c>
      <c r="E26" s="2" t="str">
        <f t="shared" ref="E26:E33" si="17">C26&amp;D26&amp;"0"</f>
        <v>T2中0</v>
      </c>
      <c r="F26" s="2" t="str">
        <f>VLOOKUP($B26,坦克个性化设定!$B$18:$BC$48,MATCH(F$3,坦克个性化设定!$B$18:$BC$18,0),FALSE)</f>
        <v>重坦</v>
      </c>
      <c r="G26" s="2" t="str">
        <f>VLOOKUP($B26,坦克个性化设定!$B$18:$BC$48,MATCH(G$3,坦克个性化设定!$B$18:$BC$18,0),FALSE)</f>
        <v>重坦单发</v>
      </c>
      <c r="H26" s="2" t="str">
        <f t="shared" si="11"/>
        <v>单发装弹</v>
      </c>
      <c r="I26" s="2">
        <f>VLOOKUP($B26,坦克个性化设定!$B$18:$BC$48,MATCH(I$3,坦克个性化设定!$B$18:$BC$18,0),FALSE)</f>
        <v>7.18</v>
      </c>
      <c r="J26" s="2">
        <f>VLOOKUP($B26,坦克个性化设定!$B$18:$BC$48,MATCH(J$3,坦克个性化设定!$B$18:$BC$18,0),FALSE)</f>
        <v>3.28</v>
      </c>
      <c r="K26" s="2">
        <f>VLOOKUP($B26,坦克个性化设定!$B$18:$BC$48,MATCH(K$3,坦克个性化设定!$B$18:$BC$18,0),FALSE)</f>
        <v>0.3</v>
      </c>
      <c r="L26" s="34">
        <f>VLOOKUP($B26,坦克个性化设定!$B$18:$BC$48,MATCH(L$3,坦克个性化设定!$B$18:$BC$18,0),FALSE)</f>
        <v>1.3421103201592517</v>
      </c>
      <c r="M26" s="34">
        <f>VLOOKUP($B26,坦克个性化设定!$B$18:$BC$48,MATCH(M$3,坦克个性化设定!$B$18:$BC$18,0),FALSE)</f>
        <v>10.769230769230768</v>
      </c>
      <c r="N26" s="34">
        <f>VLOOKUP($B26,坦克个性化设定!$B$18:$BC$48,MATCH(N$3,坦克个性化设定!$B$18:$BC$18,0),FALSE)</f>
        <v>17.5</v>
      </c>
      <c r="O26" s="2">
        <f>VLOOKUP($B26,坦克个性化设定!$B$18:$BC$48,MATCH(O$3,坦克个性化设定!$B$18:$BC$18,0),FALSE)</f>
        <v>0.8</v>
      </c>
      <c r="P26" s="2">
        <f>VLOOKUP($B26,坦克个性化设定!$B$18:$BC$48,MATCH(P$3,坦克个性化设定!$B$18:$BC$18,0),FALSE)</f>
        <v>0.8</v>
      </c>
      <c r="Q26" s="2">
        <f>VLOOKUP($B26,坦克个性化设定!$B$18:$BC$48,MATCH(Q$3,坦克个性化设定!$B$18:$BC$18,0),FALSE)</f>
        <v>0.8</v>
      </c>
      <c r="R26" s="2">
        <f>VLOOKUP($B26,坦克个性化设定!$B$18:$BC$48,MATCH(R$3,坦克个性化设定!$B$18:$BC$18,0),FALSE)</f>
        <v>0</v>
      </c>
      <c r="S26" s="34">
        <f>VLOOKUP($B26,坦克个性化设定!$B$51:$T$81,MATCH(S$3,坦克个性化设定!$B$51:$T$51,0),FALSE)</f>
        <v>3</v>
      </c>
      <c r="T26" s="34">
        <f>VLOOKUP($B26,坦克个性化设定!$B$51:$T$81,MATCH(T$3,坦克个性化设定!$B$51:$T$51,0),FALSE)</f>
        <v>3</v>
      </c>
      <c r="U26" s="34">
        <f>VLOOKUP($B26,坦克个性化设定!$B$18:$BC$48,MATCH(U$3,坦克个性化设定!$B$18:$BC$18,0),FALSE)</f>
        <v>0.68</v>
      </c>
      <c r="V26" s="2">
        <f>VLOOKUP($B26,坦克个性化设定!$B$18:$BC$48,MATCH(V$3,坦克个性化设定!$B$18:$BC$18,0),FALSE)</f>
        <v>1</v>
      </c>
      <c r="W26" s="2">
        <f>VLOOKUP($B26,坦克个性化设定!$B$18:$BC$48,MATCH(W$3,坦克个性化设定!$B$18:$BC$18,0),FALSE)</f>
        <v>5</v>
      </c>
      <c r="X26" s="2">
        <f>VLOOKUP($B26,坦克个性化设定!$B$18:$BC$48,MATCH(X$3,坦克个性化设定!$B$18:$BC$18,0),FALSE)</f>
        <v>0.5</v>
      </c>
      <c r="Y26" s="34">
        <f>VLOOKUP($B26,坦克个性化设定!$B$18:$BC$48,MATCH(Y$3,坦克个性化设定!$B$18:$BC$18,0),FALSE)</f>
        <v>7.669995017484621</v>
      </c>
      <c r="Z26" s="34">
        <f>VLOOKUP($B26,坦克个性化设定!$B$18:$BC$48,MATCH(Z$3,坦克个性化设定!$B$18:$BC$18,0),FALSE)</f>
        <v>47.93746885927888</v>
      </c>
      <c r="AA26" s="34">
        <f>VLOOKUP($B26,坦克个性化设定!$B$18:$BC$48,MATCH(AA$3,坦克个性化设定!$B$18:$BC$18,0),FALSE)</f>
        <v>3.1</v>
      </c>
      <c r="AB26" s="34">
        <f>VLOOKUP($B26,坦克个性化设定!$B$18:$BC$48,MATCH(AB$3,坦克个性化设定!$B$18:$BC$18,0),FALSE)</f>
        <v>6.3</v>
      </c>
      <c r="AC26" s="34">
        <f>VLOOKUP($B26,坦克个性化设定!$B$18:$BC$48,MATCH(AC$3,坦克个性化设定!$B$18:$BC$18,0),FALSE)</f>
        <v>3.8888888888888888</v>
      </c>
      <c r="AD26" s="34">
        <f>VLOOKUP($B26,坦克个性化设定!$B$18:$BC$48,MATCH(AD$3,坦克个性化设定!$B$18:$BC$18,0),FALSE)</f>
        <v>2</v>
      </c>
      <c r="AE26" s="34">
        <f>VLOOKUP($B26,坦克个性化设定!$B$18:$BC$48,MATCH(AE$3,坦克个性化设定!$B$18:$BC$18,0),FALSE)</f>
        <v>1.24</v>
      </c>
      <c r="AF26" s="2">
        <f>VLOOKUP($B26,坦克个性化设定!$B$18:$BC$48,MATCH(AF$3,坦克个性化设定!$B$18:$BC$18,0),FALSE)</f>
        <v>0.2</v>
      </c>
      <c r="AG26" s="2">
        <f>VLOOKUP($B26,坦克个性化设定!$B$18:$BC$48,MATCH(AG$3,坦克个性化设定!$B$18:$BC$18,0),FALSE)</f>
        <v>70</v>
      </c>
      <c r="AH26" s="2">
        <f>VLOOKUP($B26,坦克个性化设定!$B$18:$BC$48,MATCH(AH$3,坦克个性化设定!$B$18:$BC$18,0),FALSE)</f>
        <v>110</v>
      </c>
      <c r="AI26" s="2">
        <f>VLOOKUP(B26,坦克个性化细分!$I$3:$P$33,3,FALSE)</f>
        <v>31.3</v>
      </c>
      <c r="AJ26" s="2">
        <f>VLOOKUP(B26,坦克个性化细分!$I$3:$P$33,5,FALSE)</f>
        <v>31.4</v>
      </c>
      <c r="AK26" s="2">
        <f>VLOOKUP(B26,坦克个性化细分!$I$3:$P$33,7,FALSE)</f>
        <v>6.4</v>
      </c>
      <c r="AL26" s="2">
        <f>VLOOKUP($B26,坦克个性化设定!$G$84:$T$114,MATCH(AL$3,坦克个性化设定!$G$84:$T$84,0),FALSE)</f>
        <v>1</v>
      </c>
      <c r="AM26" s="2">
        <f>VLOOKUP($B26,坦克个性化细分!$E$3:$G$33,2,FALSE)</f>
        <v>6</v>
      </c>
      <c r="AN26" s="2">
        <f>VLOOKUP($B26,坦克个性化细分!$E$3:$G$33,3,FALSE)</f>
        <v>0</v>
      </c>
      <c r="AO26" s="34">
        <f t="shared" si="0"/>
        <v>3</v>
      </c>
      <c r="AP26" s="33">
        <f t="shared" ca="1" si="1"/>
        <v>1161</v>
      </c>
      <c r="AQ26" s="33">
        <f t="shared" ca="1" si="2"/>
        <v>444</v>
      </c>
      <c r="AR26" s="33">
        <f t="shared" ca="1" si="3"/>
        <v>383</v>
      </c>
      <c r="AS26" s="33">
        <f t="shared" ca="1" si="4"/>
        <v>307</v>
      </c>
      <c r="AT26" s="33">
        <f t="shared" ca="1" si="5"/>
        <v>512</v>
      </c>
      <c r="AU26" s="33">
        <f t="shared" ca="1" si="6"/>
        <v>119</v>
      </c>
      <c r="AV26" s="33">
        <f t="shared" si="12"/>
        <v>0</v>
      </c>
      <c r="AW26" s="33">
        <f t="shared" si="13"/>
        <v>0</v>
      </c>
      <c r="AX26" s="33">
        <f t="shared" si="14"/>
        <v>0</v>
      </c>
      <c r="AY26" s="2">
        <f t="shared" si="7"/>
        <v>1</v>
      </c>
      <c r="AZ26" s="2">
        <f>基础属性系数!$E$61</f>
        <v>0</v>
      </c>
      <c r="BA26" s="2">
        <v>50</v>
      </c>
      <c r="BB26" s="2">
        <v>10</v>
      </c>
      <c r="BC26" s="2">
        <f>VLOOKUP($B26,坦克类型系数!$B$3:$R$33,MATCH(BC$3,坦克类型系数!$B$3:$R$3,0),FALSE)</f>
        <v>0</v>
      </c>
      <c r="BD26" s="2">
        <f>VLOOKUP($B26,坦克类型系数!$B$3:$R$33,MATCH(BD$3,坦克类型系数!$B$3:$R$3,0),FALSE)</f>
        <v>2.5</v>
      </c>
      <c r="BE26" s="2">
        <f>VLOOKUP($B26,坦克类型系数!$B$3:$R$33,MATCH(BE$3,坦克类型系数!$B$3:$R$3,0),FALSE)</f>
        <v>2.15</v>
      </c>
      <c r="BF26" s="2">
        <f>VLOOKUP($B26,坦克类型系数!$B$3:$R$33,MATCH(BF$3,坦克类型系数!$B$3:$R$3,0),FALSE)</f>
        <v>1.65</v>
      </c>
      <c r="BG26" s="2">
        <f>VLOOKUP($B26,坦克类型系数!$B$3:$R$33,MATCH(BG$3,坦克类型系数!$B$3:$R$3,0),FALSE)</f>
        <v>1.6</v>
      </c>
      <c r="BH26" s="2">
        <f>VLOOKUP($B26,坦克类型系数!$B$3:$R$33,MATCH(BH$3,坦克类型系数!$B$3:$R$3,0),FALSE)</f>
        <v>1.35</v>
      </c>
      <c r="BI26" s="2">
        <f>VLOOKUP($B26,坦克类型系数!$B$3:$R$33,MATCH(BI$3,坦克类型系数!$B$3:$R$3,0),FALSE)</f>
        <v>0.45</v>
      </c>
      <c r="BJ26" s="25"/>
      <c r="BK26" s="25"/>
      <c r="BL26" s="25"/>
      <c r="BM26" s="1" t="s">
        <v>1230</v>
      </c>
      <c r="BN26" s="2" t="str">
        <f t="shared" si="8"/>
        <v>丘吉尔</v>
      </c>
      <c r="BO26" s="2" t="str">
        <f>VLOOKUP(BN26,坦克个性化设定!$B$18:$E$48,MATCH(BO$3,坦克个性化设定!$B$18:$E$18,0),FALSE)</f>
        <v>T2</v>
      </c>
      <c r="BP26" s="2" t="str">
        <f t="shared" si="9"/>
        <v>中</v>
      </c>
      <c r="BQ26" s="2" t="s">
        <v>792</v>
      </c>
      <c r="BR26" s="2"/>
      <c r="BS26" s="42">
        <f ca="1">VLOOKUP($BN26&amp;$BQ26,坦克标准养成属性!$S$3:$AE$63,MATCH(BS$3,坦克标准养成属性!$S$3:$AE$3,0),FALSE)</f>
        <v>1161.0981834082527</v>
      </c>
      <c r="BT26" s="42">
        <f ca="1">VLOOKUP($BN26&amp;$BQ26,坦克标准养成属性!$S$3:$AE$63,MATCH(BT$3,坦克标准养成属性!$S$3:$AE$3,0),FALSE)</f>
        <v>444.24150116737991</v>
      </c>
      <c r="BU26" s="42">
        <f ca="1">VLOOKUP($BN26&amp;$BQ26,坦克标准养成属性!$S$3:$AE$63,MATCH(BU$3,坦克标准养成属性!$S$3:$AE$3,0),FALSE)</f>
        <v>383</v>
      </c>
      <c r="BV26" s="42">
        <f ca="1">VLOOKUP($BN26&amp;$BQ26,坦克标准养成属性!$S$3:$AE$63,MATCH(BV$3,坦克标准养成属性!$S$3:$AE$3,0),FALSE)</f>
        <v>307</v>
      </c>
      <c r="BW26" s="42">
        <f ca="1">VLOOKUP($BN26&amp;$BQ26,坦克标准养成属性!$S$3:$AE$63,MATCH(BW$3,坦克标准养成属性!$S$3:$AE$3,0),FALSE)</f>
        <v>512</v>
      </c>
      <c r="BX26" s="42">
        <f ca="1">VLOOKUP($BN26&amp;$BQ26,坦克标准养成属性!$S$3:$AE$63,MATCH(BX$3,坦克标准养成属性!$S$3:$AE$3,0),FALSE)</f>
        <v>119</v>
      </c>
      <c r="BY26" s="2">
        <f>IFERROR((VLOOKUP(LEFT(BR26,1)*1,坦克部件!$N$3:$W$9,MATCH("升星属性",坦克部件!$N$3:$W$3,0),FALSE)+VLOOKUP(RIGHT(BR26,1)*1,坦克部件!$Y$3:$AC$38,MATCH("累计属性",坦克部件!$Y$3:$AC$3,0),FALSE))*2,0)</f>
        <v>0</v>
      </c>
      <c r="BZ26" s="42">
        <f t="shared" si="15"/>
        <v>0</v>
      </c>
      <c r="CA26" s="42">
        <f t="shared" si="16"/>
        <v>0</v>
      </c>
    </row>
    <row r="27" spans="2:79" x14ac:dyDescent="0.3">
      <c r="B27" s="2" t="str">
        <f>坦克个性化设定!B42</f>
        <v>黑豹</v>
      </c>
      <c r="C27" s="2" t="str">
        <f>VLOOKUP(B27,坦克个性化设定!$B$18:$E$48,4,FALSE)</f>
        <v>T3</v>
      </c>
      <c r="D27" s="2" t="str">
        <f>坦克个性化细分!J27</f>
        <v>低</v>
      </c>
      <c r="E27" s="2" t="str">
        <f t="shared" si="17"/>
        <v>T3低0</v>
      </c>
      <c r="F27" s="2" t="str">
        <f>VLOOKUP($B27,坦克个性化设定!$B$18:$BC$48,MATCH(F$3,坦克个性化设定!$B$18:$BC$18,0),FALSE)</f>
        <v>重坦</v>
      </c>
      <c r="G27" s="2" t="str">
        <f>VLOOKUP($B27,坦克个性化设定!$B$18:$BC$48,MATCH(G$3,坦克个性化设定!$B$18:$BC$18,0),FALSE)</f>
        <v>重坦单发</v>
      </c>
      <c r="H27" s="2" t="str">
        <f t="shared" si="11"/>
        <v>单发装弹</v>
      </c>
      <c r="I27" s="2">
        <f>VLOOKUP($B27,坦克个性化设定!$B$18:$BC$48,MATCH(I$3,坦克个性化设定!$B$18:$BC$18,0),FALSE)</f>
        <v>6.86</v>
      </c>
      <c r="J27" s="2">
        <f>VLOOKUP($B27,坦克个性化设定!$B$18:$BC$48,MATCH(J$3,坦克个性化设定!$B$18:$BC$18,0),FALSE)</f>
        <v>3.3</v>
      </c>
      <c r="K27" s="2">
        <f>VLOOKUP($B27,坦克个性化设定!$B$18:$BC$48,MATCH(K$3,坦克个性化设定!$B$18:$BC$18,0),FALSE)</f>
        <v>0.3</v>
      </c>
      <c r="L27" s="34">
        <f>VLOOKUP($B27,坦克个性化设定!$B$18:$BC$48,MATCH(L$3,坦克个性化设定!$B$18:$BC$18,0),FALSE)</f>
        <v>1.3421103201592517</v>
      </c>
      <c r="M27" s="34">
        <f>VLOOKUP($B27,坦克个性化设定!$B$18:$BC$48,MATCH(M$3,坦克个性化设定!$B$18:$BC$18,0),FALSE)</f>
        <v>10.769230769230768</v>
      </c>
      <c r="N27" s="34">
        <f>VLOOKUP($B27,坦克个性化设定!$B$18:$BC$48,MATCH(N$3,坦克个性化设定!$B$18:$BC$18,0),FALSE)</f>
        <v>17.5</v>
      </c>
      <c r="O27" s="2">
        <f>VLOOKUP($B27,坦克个性化设定!$B$18:$BC$48,MATCH(O$3,坦克个性化设定!$B$18:$BC$18,0),FALSE)</f>
        <v>0.8</v>
      </c>
      <c r="P27" s="2">
        <f>VLOOKUP($B27,坦克个性化设定!$B$18:$BC$48,MATCH(P$3,坦克个性化设定!$B$18:$BC$18,0),FALSE)</f>
        <v>0.8</v>
      </c>
      <c r="Q27" s="2">
        <f>VLOOKUP($B27,坦克个性化设定!$B$18:$BC$48,MATCH(Q$3,坦克个性化设定!$B$18:$BC$18,0),FALSE)</f>
        <v>0.8</v>
      </c>
      <c r="R27" s="2">
        <f>VLOOKUP($B27,坦克个性化设定!$B$18:$BC$48,MATCH(R$3,坦克个性化设定!$B$18:$BC$18,0),FALSE)</f>
        <v>0</v>
      </c>
      <c r="S27" s="34">
        <f>VLOOKUP($B27,坦克个性化设定!$B$51:$T$81,MATCH(S$3,坦克个性化设定!$B$51:$T$51,0),FALSE)</f>
        <v>3</v>
      </c>
      <c r="T27" s="34">
        <f>VLOOKUP($B27,坦克个性化设定!$B$51:$T$81,MATCH(T$3,坦克个性化设定!$B$51:$T$51,0),FALSE)</f>
        <v>3</v>
      </c>
      <c r="U27" s="34">
        <f>VLOOKUP($B27,坦克个性化设定!$B$18:$BC$48,MATCH(U$3,坦克个性化设定!$B$18:$BC$18,0),FALSE)</f>
        <v>0.62</v>
      </c>
      <c r="V27" s="2">
        <f>VLOOKUP($B27,坦克个性化设定!$B$18:$BC$48,MATCH(V$3,坦克个性化设定!$B$18:$BC$18,0),FALSE)</f>
        <v>1</v>
      </c>
      <c r="W27" s="2">
        <f>VLOOKUP($B27,坦克个性化设定!$B$18:$BC$48,MATCH(W$3,坦克个性化设定!$B$18:$BC$18,0),FALSE)</f>
        <v>5</v>
      </c>
      <c r="X27" s="2">
        <f>VLOOKUP($B27,坦克个性化设定!$B$18:$BC$48,MATCH(X$3,坦克个性化设定!$B$18:$BC$18,0),FALSE)</f>
        <v>0.5</v>
      </c>
      <c r="Y27" s="34">
        <f>VLOOKUP($B27,坦克个性化设定!$B$18:$BC$48,MATCH(Y$3,坦克个性化设定!$B$18:$BC$18,0),FALSE)</f>
        <v>7.669995017484621</v>
      </c>
      <c r="Z27" s="34">
        <f>VLOOKUP($B27,坦克个性化设定!$B$18:$BC$48,MATCH(Z$3,坦克个性化设定!$B$18:$BC$18,0),FALSE)</f>
        <v>47.93746885927888</v>
      </c>
      <c r="AA27" s="34">
        <f>VLOOKUP($B27,坦克个性化设定!$B$18:$BC$48,MATCH(AA$3,坦克个性化设定!$B$18:$BC$18,0),FALSE)</f>
        <v>3.1</v>
      </c>
      <c r="AB27" s="34">
        <f>VLOOKUP($B27,坦克个性化设定!$B$18:$BC$48,MATCH(AB$3,坦克个性化设定!$B$18:$BC$18,0),FALSE)</f>
        <v>6.3</v>
      </c>
      <c r="AC27" s="34">
        <f>VLOOKUP($B27,坦克个性化设定!$B$18:$BC$48,MATCH(AC$3,坦克个性化设定!$B$18:$BC$18,0),FALSE)</f>
        <v>3.8888888888888888</v>
      </c>
      <c r="AD27" s="34">
        <f>VLOOKUP($B27,坦克个性化设定!$B$18:$BC$48,MATCH(AD$3,坦克个性化设定!$B$18:$BC$18,0),FALSE)</f>
        <v>2</v>
      </c>
      <c r="AE27" s="34">
        <f>VLOOKUP($B27,坦克个性化设定!$B$18:$BC$48,MATCH(AE$3,坦克个性化设定!$B$18:$BC$18,0),FALSE)</f>
        <v>1.24</v>
      </c>
      <c r="AF27" s="2">
        <f>VLOOKUP($B27,坦克个性化设定!$B$18:$BC$48,MATCH(AF$3,坦克个性化设定!$B$18:$BC$18,0),FALSE)</f>
        <v>0.2</v>
      </c>
      <c r="AG27" s="2">
        <f>VLOOKUP($B27,坦克个性化设定!$B$18:$BC$48,MATCH(AG$3,坦克个性化设定!$B$18:$BC$18,0),FALSE)</f>
        <v>70</v>
      </c>
      <c r="AH27" s="2">
        <f>VLOOKUP($B27,坦克个性化设定!$B$18:$BC$48,MATCH(AH$3,坦克个性化设定!$B$18:$BC$18,0),FALSE)</f>
        <v>110</v>
      </c>
      <c r="AI27" s="2">
        <f>VLOOKUP(B27,坦克个性化细分!$I$3:$P$33,3,FALSE)</f>
        <v>30.7</v>
      </c>
      <c r="AJ27" s="2">
        <f>VLOOKUP(B27,坦克个性化细分!$I$3:$P$33,5,FALSE)</f>
        <v>33.6</v>
      </c>
      <c r="AK27" s="2">
        <f>VLOOKUP(B27,坦克个性化细分!$I$3:$P$33,7,FALSE)</f>
        <v>6.3</v>
      </c>
      <c r="AL27" s="2">
        <f>VLOOKUP($B27,坦克个性化设定!$G$84:$T$114,MATCH(AL$3,坦克个性化设定!$G$84:$T$84,0),FALSE)</f>
        <v>1</v>
      </c>
      <c r="AM27" s="2">
        <f>VLOOKUP($B27,坦克个性化细分!$E$3:$G$33,2,FALSE)</f>
        <v>6</v>
      </c>
      <c r="AN27" s="2">
        <f>VLOOKUP($B27,坦克个性化细分!$E$3:$G$33,3,FALSE)</f>
        <v>0</v>
      </c>
      <c r="AO27" s="34">
        <f t="shared" si="0"/>
        <v>3</v>
      </c>
      <c r="AP27" s="33">
        <f t="shared" ca="1" si="1"/>
        <v>1456</v>
      </c>
      <c r="AQ27" s="33">
        <f t="shared" ca="1" si="2"/>
        <v>521</v>
      </c>
      <c r="AR27" s="33">
        <f t="shared" ca="1" si="3"/>
        <v>465</v>
      </c>
      <c r="AS27" s="33">
        <f t="shared" ca="1" si="4"/>
        <v>372</v>
      </c>
      <c r="AT27" s="33">
        <f t="shared" ca="1" si="5"/>
        <v>622</v>
      </c>
      <c r="AU27" s="33">
        <f t="shared" ca="1" si="6"/>
        <v>145</v>
      </c>
      <c r="AV27" s="33">
        <f t="shared" si="12"/>
        <v>0</v>
      </c>
      <c r="AW27" s="33">
        <f t="shared" si="13"/>
        <v>0</v>
      </c>
      <c r="AX27" s="33">
        <f t="shared" si="14"/>
        <v>0</v>
      </c>
      <c r="AY27" s="2">
        <f t="shared" si="7"/>
        <v>1</v>
      </c>
      <c r="AZ27" s="2">
        <f>基础属性系数!$E$61</f>
        <v>0</v>
      </c>
      <c r="BA27" s="2">
        <v>50</v>
      </c>
      <c r="BB27" s="2">
        <v>10</v>
      </c>
      <c r="BC27" s="2">
        <f>VLOOKUP($B27,坦克类型系数!$B$3:$R$33,MATCH(BC$3,坦克类型系数!$B$3:$R$3,0),FALSE)</f>
        <v>0</v>
      </c>
      <c r="BD27" s="2">
        <f>VLOOKUP($B27,坦克类型系数!$B$3:$R$33,MATCH(BD$3,坦克类型系数!$B$3:$R$3,0),FALSE)</f>
        <v>2.65</v>
      </c>
      <c r="BE27" s="2">
        <f>VLOOKUP($B27,坦克类型系数!$B$3:$R$33,MATCH(BE$3,坦克类型系数!$B$3:$R$3,0),FALSE)</f>
        <v>2.1</v>
      </c>
      <c r="BF27" s="2">
        <f>VLOOKUP($B27,坦克类型系数!$B$3:$R$33,MATCH(BF$3,坦克类型系数!$B$3:$R$3,0),FALSE)</f>
        <v>1.55</v>
      </c>
      <c r="BG27" s="2">
        <f>VLOOKUP($B27,坦克类型系数!$B$3:$R$33,MATCH(BG$3,坦克类型系数!$B$3:$R$3,0),FALSE)</f>
        <v>1.5</v>
      </c>
      <c r="BH27" s="2">
        <f>VLOOKUP($B27,坦克类型系数!$B$3:$R$33,MATCH(BH$3,坦克类型系数!$B$3:$R$3,0),FALSE)</f>
        <v>1.26</v>
      </c>
      <c r="BI27" s="2">
        <f>VLOOKUP($B27,坦克类型系数!$B$3:$R$33,MATCH(BI$3,坦克类型系数!$B$3:$R$3,0),FALSE)</f>
        <v>0.45</v>
      </c>
      <c r="BJ27" s="25"/>
      <c r="BK27" s="25"/>
      <c r="BL27" s="25"/>
      <c r="BM27" s="1" t="s">
        <v>1230</v>
      </c>
      <c r="BN27" s="2" t="str">
        <f t="shared" si="8"/>
        <v>黑豹</v>
      </c>
      <c r="BO27" s="2" t="str">
        <f>VLOOKUP(BN27,坦克个性化设定!$B$18:$E$48,MATCH(BO$3,坦克个性化设定!$B$18:$E$18,0),FALSE)</f>
        <v>T3</v>
      </c>
      <c r="BP27" s="2" t="str">
        <f t="shared" si="9"/>
        <v>低</v>
      </c>
      <c r="BQ27" s="2" t="s">
        <v>792</v>
      </c>
      <c r="BR27" s="2"/>
      <c r="BS27" s="42">
        <f ca="1">VLOOKUP($BN27&amp;$BQ27,坦克标准养成属性!$S$3:$AE$63,MATCH(BS$3,坦克标准养成属性!$S$3:$AE$3,0),FALSE)</f>
        <v>1455.6715768702209</v>
      </c>
      <c r="BT27" s="42">
        <f ca="1">VLOOKUP($BN27&amp;$BQ27,坦克标准养成属性!$S$3:$AE$63,MATCH(BT$3,坦克标准养成属性!$S$3:$AE$3,0),FALSE)</f>
        <v>521.23845244774327</v>
      </c>
      <c r="BU27" s="42">
        <f ca="1">VLOOKUP($BN27&amp;$BQ27,坦克标准养成属性!$S$3:$AE$63,MATCH(BU$3,坦克标准养成属性!$S$3:$AE$3,0),FALSE)</f>
        <v>465</v>
      </c>
      <c r="BV27" s="42">
        <f ca="1">VLOOKUP($BN27&amp;$BQ27,坦克标准养成属性!$S$3:$AE$63,MATCH(BV$3,坦克标准养成属性!$S$3:$AE$3,0),FALSE)</f>
        <v>372</v>
      </c>
      <c r="BW27" s="42">
        <f ca="1">VLOOKUP($BN27&amp;$BQ27,坦克标准养成属性!$S$3:$AE$63,MATCH(BW$3,坦克标准养成属性!$S$3:$AE$3,0),FALSE)</f>
        <v>622</v>
      </c>
      <c r="BX27" s="42">
        <f ca="1">VLOOKUP($BN27&amp;$BQ27,坦克标准养成属性!$S$3:$AE$63,MATCH(BX$3,坦克标准养成属性!$S$3:$AE$3,0),FALSE)</f>
        <v>145</v>
      </c>
      <c r="BY27" s="2">
        <f>IFERROR((VLOOKUP(LEFT(BR27,1)*1,坦克部件!$N$3:$W$9,MATCH("升星属性",坦克部件!$N$3:$W$3,0),FALSE)+VLOOKUP(RIGHT(BR27,1)*1,坦克部件!$Y$3:$AC$38,MATCH("累计属性",坦克部件!$Y$3:$AC$3,0),FALSE))*2,0)</f>
        <v>0</v>
      </c>
      <c r="BZ27" s="42">
        <f t="shared" si="15"/>
        <v>0</v>
      </c>
      <c r="CA27" s="42">
        <f t="shared" si="16"/>
        <v>0</v>
      </c>
    </row>
    <row r="28" spans="2:79" x14ac:dyDescent="0.3">
      <c r="B28" s="2" t="str">
        <f>坦克个性化设定!B43</f>
        <v>虎式</v>
      </c>
      <c r="C28" s="2" t="str">
        <f>VLOOKUP(B28,坦克个性化设定!$B$18:$E$48,4,FALSE)</f>
        <v>T3</v>
      </c>
      <c r="D28" s="2" t="str">
        <f>坦克个性化细分!J28</f>
        <v>中</v>
      </c>
      <c r="E28" s="2" t="str">
        <f t="shared" si="17"/>
        <v>T3中0</v>
      </c>
      <c r="F28" s="2" t="str">
        <f>VLOOKUP($B28,坦克个性化设定!$B$18:$BC$48,MATCH(F$3,坦克个性化设定!$B$18:$BC$18,0),FALSE)</f>
        <v>重坦</v>
      </c>
      <c r="G28" s="2" t="str">
        <f>VLOOKUP($B28,坦克个性化设定!$B$18:$BC$48,MATCH(G$3,坦克个性化设定!$B$18:$BC$18,0),FALSE)</f>
        <v>重坦单发</v>
      </c>
      <c r="H28" s="2" t="str">
        <f t="shared" si="11"/>
        <v>单发装弹</v>
      </c>
      <c r="I28" s="2">
        <f>VLOOKUP($B28,坦克个性化设定!$B$18:$BC$48,MATCH(I$3,坦克个性化设定!$B$18:$BC$18,0),FALSE)</f>
        <v>6.1</v>
      </c>
      <c r="J28" s="2">
        <f>VLOOKUP($B28,坦克个性化设定!$B$18:$BC$48,MATCH(J$3,坦克个性化设定!$B$18:$BC$18,0),FALSE)</f>
        <v>3.48</v>
      </c>
      <c r="K28" s="2">
        <f>VLOOKUP($B28,坦克个性化设定!$B$18:$BC$48,MATCH(K$3,坦克个性化设定!$B$18:$BC$18,0),FALSE)</f>
        <v>0.3</v>
      </c>
      <c r="L28" s="34">
        <f>VLOOKUP($B28,坦克个性化设定!$B$18:$BC$48,MATCH(L$3,坦克个性化设定!$B$18:$BC$18,0),FALSE)</f>
        <v>1.3421103201592517</v>
      </c>
      <c r="M28" s="34">
        <f>VLOOKUP($B28,坦克个性化设定!$B$18:$BC$48,MATCH(M$3,坦克个性化设定!$B$18:$BC$18,0),FALSE)</f>
        <v>10.769230769230768</v>
      </c>
      <c r="N28" s="34">
        <f>VLOOKUP($B28,坦克个性化设定!$B$18:$BC$48,MATCH(N$3,坦克个性化设定!$B$18:$BC$18,0),FALSE)</f>
        <v>17.5</v>
      </c>
      <c r="O28" s="2">
        <f>VLOOKUP($B28,坦克个性化设定!$B$18:$BC$48,MATCH(O$3,坦克个性化设定!$B$18:$BC$18,0),FALSE)</f>
        <v>0.8</v>
      </c>
      <c r="P28" s="2">
        <f>VLOOKUP($B28,坦克个性化设定!$B$18:$BC$48,MATCH(P$3,坦克个性化设定!$B$18:$BC$18,0),FALSE)</f>
        <v>0.8</v>
      </c>
      <c r="Q28" s="2">
        <f>VLOOKUP($B28,坦克个性化设定!$B$18:$BC$48,MATCH(Q$3,坦克个性化设定!$B$18:$BC$18,0),FALSE)</f>
        <v>0.8</v>
      </c>
      <c r="R28" s="2">
        <f>VLOOKUP($B28,坦克个性化设定!$B$18:$BC$48,MATCH(R$3,坦克个性化设定!$B$18:$BC$18,0),FALSE)</f>
        <v>0</v>
      </c>
      <c r="S28" s="34">
        <f>VLOOKUP($B28,坦克个性化设定!$B$51:$T$81,MATCH(S$3,坦克个性化设定!$B$51:$T$51,0),FALSE)</f>
        <v>3</v>
      </c>
      <c r="T28" s="34">
        <f>VLOOKUP($B28,坦克个性化设定!$B$51:$T$81,MATCH(T$3,坦克个性化设定!$B$51:$T$51,0),FALSE)</f>
        <v>3</v>
      </c>
      <c r="U28" s="34">
        <f>VLOOKUP($B28,坦克个性化设定!$B$18:$BC$48,MATCH(U$3,坦克个性化设定!$B$18:$BC$18,0),FALSE)</f>
        <v>0.68</v>
      </c>
      <c r="V28" s="2">
        <f>VLOOKUP($B28,坦克个性化设定!$B$18:$BC$48,MATCH(V$3,坦克个性化设定!$B$18:$BC$18,0),FALSE)</f>
        <v>1</v>
      </c>
      <c r="W28" s="2">
        <f>VLOOKUP($B28,坦克个性化设定!$B$18:$BC$48,MATCH(W$3,坦克个性化设定!$B$18:$BC$18,0),FALSE)</f>
        <v>5</v>
      </c>
      <c r="X28" s="2">
        <f>VLOOKUP($B28,坦克个性化设定!$B$18:$BC$48,MATCH(X$3,坦克个性化设定!$B$18:$BC$18,0),FALSE)</f>
        <v>0.5</v>
      </c>
      <c r="Y28" s="34">
        <f>VLOOKUP($B28,坦克个性化设定!$B$18:$BC$48,MATCH(Y$3,坦克个性化设定!$B$18:$BC$18,0),FALSE)</f>
        <v>7.669995017484621</v>
      </c>
      <c r="Z28" s="34">
        <f>VLOOKUP($B28,坦克个性化设定!$B$18:$BC$48,MATCH(Z$3,坦克个性化设定!$B$18:$BC$18,0),FALSE)</f>
        <v>47.93746885927888</v>
      </c>
      <c r="AA28" s="34">
        <f>VLOOKUP($B28,坦克个性化设定!$B$18:$BC$48,MATCH(AA$3,坦克个性化设定!$B$18:$BC$18,0),FALSE)</f>
        <v>3.1</v>
      </c>
      <c r="AB28" s="34">
        <f>VLOOKUP($B28,坦克个性化设定!$B$18:$BC$48,MATCH(AB$3,坦克个性化设定!$B$18:$BC$18,0),FALSE)</f>
        <v>6.3</v>
      </c>
      <c r="AC28" s="34">
        <f>VLOOKUP($B28,坦克个性化设定!$B$18:$BC$48,MATCH(AC$3,坦克个性化设定!$B$18:$BC$18,0),FALSE)</f>
        <v>3.8888888888888888</v>
      </c>
      <c r="AD28" s="34">
        <f>VLOOKUP($B28,坦克个性化设定!$B$18:$BC$48,MATCH(AD$3,坦克个性化设定!$B$18:$BC$18,0),FALSE)</f>
        <v>2</v>
      </c>
      <c r="AE28" s="34">
        <f>VLOOKUP($B28,坦克个性化设定!$B$18:$BC$48,MATCH(AE$3,坦克个性化设定!$B$18:$BC$18,0),FALSE)</f>
        <v>1.24</v>
      </c>
      <c r="AF28" s="2">
        <f>VLOOKUP($B28,坦克个性化设定!$B$18:$BC$48,MATCH(AF$3,坦克个性化设定!$B$18:$BC$18,0),FALSE)</f>
        <v>0.2</v>
      </c>
      <c r="AG28" s="2">
        <f>VLOOKUP($B28,坦克个性化设定!$B$18:$BC$48,MATCH(AG$3,坦克个性化设定!$B$18:$BC$18,0),FALSE)</f>
        <v>70</v>
      </c>
      <c r="AH28" s="2">
        <f>VLOOKUP($B28,坦克个性化设定!$B$18:$BC$48,MATCH(AH$3,坦克个性化设定!$B$18:$BC$18,0),FALSE)</f>
        <v>110</v>
      </c>
      <c r="AI28" s="2">
        <f>VLOOKUP(B28,坦克个性化细分!$I$3:$P$33,3,FALSE)</f>
        <v>31.3</v>
      </c>
      <c r="AJ28" s="2">
        <f>VLOOKUP(B28,坦克个性化细分!$I$3:$P$33,5,FALSE)</f>
        <v>35.700000000000003</v>
      </c>
      <c r="AK28" s="2">
        <f>VLOOKUP(B28,坦克个性化细分!$I$3:$P$33,7,FALSE)</f>
        <v>6.4</v>
      </c>
      <c r="AL28" s="2">
        <f>VLOOKUP($B28,坦克个性化设定!$G$84:$T$114,MATCH(AL$3,坦克个性化设定!$G$84:$T$84,0),FALSE)</f>
        <v>1</v>
      </c>
      <c r="AM28" s="2">
        <f>VLOOKUP($B28,坦克个性化细分!$E$3:$G$33,2,FALSE)</f>
        <v>6</v>
      </c>
      <c r="AN28" s="2">
        <f>VLOOKUP($B28,坦克个性化细分!$E$3:$G$33,3,FALSE)</f>
        <v>0</v>
      </c>
      <c r="AO28" s="34">
        <f t="shared" si="0"/>
        <v>3</v>
      </c>
      <c r="AP28" s="33">
        <f t="shared" ca="1" si="1"/>
        <v>1455</v>
      </c>
      <c r="AQ28" s="33">
        <f t="shared" ca="1" si="2"/>
        <v>565</v>
      </c>
      <c r="AR28" s="33">
        <f t="shared" ca="1" si="3"/>
        <v>484</v>
      </c>
      <c r="AS28" s="33">
        <f t="shared" ca="1" si="4"/>
        <v>387</v>
      </c>
      <c r="AT28" s="33">
        <f t="shared" ca="1" si="5"/>
        <v>647</v>
      </c>
      <c r="AU28" s="33">
        <f t="shared" ca="1" si="6"/>
        <v>151</v>
      </c>
      <c r="AV28" s="33">
        <f t="shared" si="12"/>
        <v>0</v>
      </c>
      <c r="AW28" s="33">
        <f t="shared" si="13"/>
        <v>0</v>
      </c>
      <c r="AX28" s="33">
        <f t="shared" si="14"/>
        <v>0</v>
      </c>
      <c r="AY28" s="2">
        <f t="shared" si="7"/>
        <v>1</v>
      </c>
      <c r="AZ28" s="2">
        <f>基础属性系数!$E$61</f>
        <v>0</v>
      </c>
      <c r="BA28" s="2">
        <v>50</v>
      </c>
      <c r="BB28" s="2">
        <v>10</v>
      </c>
      <c r="BC28" s="2">
        <f>VLOOKUP($B28,坦克类型系数!$B$3:$R$33,MATCH(BC$3,坦克类型系数!$B$3:$R$3,0),FALSE)</f>
        <v>0</v>
      </c>
      <c r="BD28" s="2">
        <f>VLOOKUP($B28,坦克类型系数!$B$3:$R$33,MATCH(BD$3,坦克类型系数!$B$3:$R$3,0),FALSE)</f>
        <v>2.4</v>
      </c>
      <c r="BE28" s="2">
        <f>VLOOKUP($B28,坦克类型系数!$B$3:$R$33,MATCH(BE$3,坦克类型系数!$B$3:$R$3,0),FALSE)</f>
        <v>1.95</v>
      </c>
      <c r="BF28" s="2">
        <f>VLOOKUP($B28,坦克类型系数!$B$3:$R$33,MATCH(BF$3,坦克类型系数!$B$3:$R$3,0),FALSE)</f>
        <v>1.45</v>
      </c>
      <c r="BG28" s="2">
        <f>VLOOKUP($B28,坦克类型系数!$B$3:$R$33,MATCH(BG$3,坦克类型系数!$B$3:$R$3,0),FALSE)</f>
        <v>1.4</v>
      </c>
      <c r="BH28" s="2">
        <f>VLOOKUP($B28,坦克类型系数!$B$3:$R$33,MATCH(BH$3,坦克类型系数!$B$3:$R$3,0),FALSE)</f>
        <v>1.26</v>
      </c>
      <c r="BI28" s="2">
        <f>VLOOKUP($B28,坦克类型系数!$B$3:$R$33,MATCH(BI$3,坦克类型系数!$B$3:$R$3,0),FALSE)</f>
        <v>0.35</v>
      </c>
      <c r="BJ28" s="25"/>
      <c r="BK28" s="25"/>
      <c r="BL28" s="25"/>
      <c r="BM28" s="1" t="s">
        <v>1230</v>
      </c>
      <c r="BN28" s="2" t="str">
        <f t="shared" si="8"/>
        <v>虎式</v>
      </c>
      <c r="BO28" s="2" t="str">
        <f>VLOOKUP(BN28,坦克个性化设定!$B$18:$E$48,MATCH(BO$3,坦克个性化设定!$B$18:$E$18,0),FALSE)</f>
        <v>T3</v>
      </c>
      <c r="BP28" s="2" t="str">
        <f t="shared" si="9"/>
        <v>中</v>
      </c>
      <c r="BQ28" s="2" t="s">
        <v>792</v>
      </c>
      <c r="BR28" s="2"/>
      <c r="BS28" s="42">
        <f ca="1">VLOOKUP($BN28&amp;$BQ28,坦克标准养成属性!$S$3:$AE$63,MATCH(BS$3,坦克标准养成属性!$S$3:$AE$3,0),FALSE)</f>
        <v>1455.0714526341708</v>
      </c>
      <c r="BT28" s="42">
        <f ca="1">VLOOKUP($BN28&amp;$BQ28,坦克标准养成属性!$S$3:$AE$63,MATCH(BT$3,坦克标准养成属性!$S$3:$AE$3,0),FALSE)</f>
        <v>565.48563200137994</v>
      </c>
      <c r="BU28" s="42">
        <f ca="1">VLOOKUP($BN28&amp;$BQ28,坦克标准养成属性!$S$3:$AE$63,MATCH(BU$3,坦克标准养成属性!$S$3:$AE$3,0),FALSE)</f>
        <v>484</v>
      </c>
      <c r="BV28" s="42">
        <f ca="1">VLOOKUP($BN28&amp;$BQ28,坦克标准养成属性!$S$3:$AE$63,MATCH(BV$3,坦克标准养成属性!$S$3:$AE$3,0),FALSE)</f>
        <v>387</v>
      </c>
      <c r="BW28" s="42">
        <f ca="1">VLOOKUP($BN28&amp;$BQ28,坦克标准养成属性!$S$3:$AE$63,MATCH(BW$3,坦克标准养成属性!$S$3:$AE$3,0),FALSE)</f>
        <v>647</v>
      </c>
      <c r="BX28" s="42">
        <f ca="1">VLOOKUP($BN28&amp;$BQ28,坦克标准养成属性!$S$3:$AE$63,MATCH(BX$3,坦克标准养成属性!$S$3:$AE$3,0),FALSE)</f>
        <v>151</v>
      </c>
      <c r="BY28" s="2">
        <f>IFERROR((VLOOKUP(LEFT(BR28,1)*1,坦克部件!$N$3:$W$9,MATCH("升星属性",坦克部件!$N$3:$W$3,0),FALSE)+VLOOKUP(RIGHT(BR28,1)*1,坦克部件!$Y$3:$AC$38,MATCH("累计属性",坦克部件!$Y$3:$AC$3,0),FALSE))*2,0)</f>
        <v>0</v>
      </c>
      <c r="BZ28" s="42">
        <f t="shared" si="15"/>
        <v>0</v>
      </c>
      <c r="CA28" s="42">
        <f t="shared" si="16"/>
        <v>0</v>
      </c>
    </row>
    <row r="29" spans="2:79" x14ac:dyDescent="0.3">
      <c r="B29" s="2" t="str">
        <f>坦克个性化设定!B44</f>
        <v>KV-2</v>
      </c>
      <c r="C29" s="2" t="str">
        <f>VLOOKUP(B29,坦克个性化设定!$B$18:$E$48,4,FALSE)</f>
        <v>T3</v>
      </c>
      <c r="D29" s="2" t="str">
        <f>坦克个性化细分!J29</f>
        <v>高</v>
      </c>
      <c r="E29" s="2" t="str">
        <f t="shared" si="17"/>
        <v>T3高0</v>
      </c>
      <c r="F29" s="2" t="str">
        <f>VLOOKUP($B29,坦克个性化设定!$B$18:$BC$48,MATCH(F$3,坦克个性化设定!$B$18:$BC$18,0),FALSE)</f>
        <v>重坦</v>
      </c>
      <c r="G29" s="2" t="str">
        <f>VLOOKUP($B29,坦克个性化设定!$B$18:$BC$48,MATCH(G$3,坦克个性化设定!$B$18:$BC$18,0),FALSE)</f>
        <v>重坦自动</v>
      </c>
      <c r="H29" s="2" t="str">
        <f t="shared" si="11"/>
        <v>自动装弹</v>
      </c>
      <c r="I29" s="2">
        <f>VLOOKUP($B29,坦克个性化设定!$B$18:$BC$48,MATCH(I$3,坦克个性化设定!$B$18:$BC$18,0),FALSE)</f>
        <v>6.54</v>
      </c>
      <c r="J29" s="2">
        <f>VLOOKUP($B29,坦克个性化设定!$B$18:$BC$48,MATCH(J$3,坦克个性化设定!$B$18:$BC$18,0),FALSE)</f>
        <v>3.23</v>
      </c>
      <c r="K29" s="2">
        <f>VLOOKUP($B29,坦克个性化设定!$B$18:$BC$48,MATCH(K$3,坦克个性化设定!$B$18:$BC$18,0),FALSE)</f>
        <v>0.3</v>
      </c>
      <c r="L29" s="34">
        <f>VLOOKUP($B29,坦克个性化设定!$B$18:$BC$48,MATCH(L$3,坦克个性化设定!$B$18:$BC$18,0),FALSE)</f>
        <v>1.3421103201592517</v>
      </c>
      <c r="M29" s="34">
        <f>VLOOKUP($B29,坦克个性化设定!$B$18:$BC$48,MATCH(M$3,坦克个性化设定!$B$18:$BC$18,0),FALSE)</f>
        <v>10.769230769230768</v>
      </c>
      <c r="N29" s="34">
        <f>VLOOKUP($B29,坦克个性化设定!$B$18:$BC$48,MATCH(N$3,坦克个性化设定!$B$18:$BC$18,0),FALSE)</f>
        <v>17.5</v>
      </c>
      <c r="O29" s="2">
        <f>VLOOKUP($B29,坦克个性化设定!$B$18:$BC$48,MATCH(O$3,坦克个性化设定!$B$18:$BC$18,0),FALSE)</f>
        <v>0.8</v>
      </c>
      <c r="P29" s="2">
        <f>VLOOKUP($B29,坦克个性化设定!$B$18:$BC$48,MATCH(P$3,坦克个性化设定!$B$18:$BC$18,0),FALSE)</f>
        <v>0.8</v>
      </c>
      <c r="Q29" s="2">
        <f>VLOOKUP($B29,坦克个性化设定!$B$18:$BC$48,MATCH(Q$3,坦克个性化设定!$B$18:$BC$18,0),FALSE)</f>
        <v>0.8</v>
      </c>
      <c r="R29" s="2">
        <f>VLOOKUP($B29,坦克个性化设定!$B$18:$BC$48,MATCH(R$3,坦克个性化设定!$B$18:$BC$18,0),FALSE)</f>
        <v>2</v>
      </c>
      <c r="S29" s="34">
        <f>VLOOKUP($B29,坦克个性化设定!$B$51:$T$81,MATCH(S$3,坦克个性化设定!$B$51:$T$51,0),FALSE)</f>
        <v>1.7999999999999998</v>
      </c>
      <c r="T29" s="34">
        <f>VLOOKUP($B29,坦克个性化设定!$B$51:$T$81,MATCH(T$3,坦克个性化设定!$B$51:$T$51,0),FALSE)</f>
        <v>2.7</v>
      </c>
      <c r="U29" s="34">
        <f>VLOOKUP($B29,坦克个性化设定!$B$18:$BC$48,MATCH(U$3,坦克个性化设定!$B$18:$BC$18,0),FALSE)</f>
        <v>0.81</v>
      </c>
      <c r="V29" s="2">
        <f>VLOOKUP($B29,坦克个性化设定!$B$18:$BC$48,MATCH(V$3,坦克个性化设定!$B$18:$BC$18,0),FALSE)</f>
        <v>1.2</v>
      </c>
      <c r="W29" s="2">
        <f>VLOOKUP($B29,坦克个性化设定!$B$18:$BC$48,MATCH(W$3,坦克个性化设定!$B$18:$BC$18,0),FALSE)</f>
        <v>3</v>
      </c>
      <c r="X29" s="2">
        <f>VLOOKUP($B29,坦克个性化设定!$B$18:$BC$48,MATCH(X$3,坦克个性化设定!$B$18:$BC$18,0),FALSE)</f>
        <v>0.5</v>
      </c>
      <c r="Y29" s="34">
        <f>VLOOKUP($B29,坦克个性化设定!$B$18:$BC$48,MATCH(Y$3,坦克个性化设定!$B$18:$BC$18,0),FALSE)</f>
        <v>9.587493771855776</v>
      </c>
      <c r="Z29" s="34">
        <f>VLOOKUP($B29,坦克个性化设定!$B$18:$BC$48,MATCH(Z$3,坦克个性化设定!$B$18:$BC$18,0),FALSE)</f>
        <v>47.93746885927888</v>
      </c>
      <c r="AA29" s="34">
        <f>VLOOKUP($B29,坦克个性化设定!$B$18:$BC$48,MATCH(AA$3,坦克个性化设定!$B$18:$BC$18,0),FALSE)</f>
        <v>1.8599999999999999</v>
      </c>
      <c r="AB29" s="34">
        <f>VLOOKUP($B29,坦克个性化设定!$B$18:$BC$48,MATCH(AB$3,坦克个性化设定!$B$18:$BC$18,0),FALSE)</f>
        <v>7</v>
      </c>
      <c r="AC29" s="34">
        <f>VLOOKUP($B29,坦克个性化设定!$B$18:$BC$48,MATCH(AC$3,坦克个性化设定!$B$18:$BC$18,0),FALSE)</f>
        <v>3.8888888888888888</v>
      </c>
      <c r="AD29" s="34">
        <f>VLOOKUP($B29,坦克个性化设定!$B$18:$BC$48,MATCH(AD$3,坦克个性化设定!$B$18:$BC$18,0),FALSE)</f>
        <v>2</v>
      </c>
      <c r="AE29" s="34">
        <f>VLOOKUP($B29,坦克个性化设定!$B$18:$BC$48,MATCH(AE$3,坦克个性化设定!$B$18:$BC$18,0),FALSE)</f>
        <v>0.62</v>
      </c>
      <c r="AF29" s="2">
        <f>VLOOKUP($B29,坦克个性化设定!$B$18:$BC$48,MATCH(AF$3,坦克个性化设定!$B$18:$BC$18,0),FALSE)</f>
        <v>0.2</v>
      </c>
      <c r="AG29" s="2">
        <f>VLOOKUP($B29,坦克个性化设定!$B$18:$BC$48,MATCH(AG$3,坦克个性化设定!$B$18:$BC$18,0),FALSE)</f>
        <v>70</v>
      </c>
      <c r="AH29" s="2">
        <f>VLOOKUP($B29,坦克个性化设定!$B$18:$BC$48,MATCH(AH$3,坦克个性化设定!$B$18:$BC$18,0),FALSE)</f>
        <v>110</v>
      </c>
      <c r="AI29" s="2">
        <f>VLOOKUP(B29,坦克个性化细分!$I$3:$P$33,3,FALSE)</f>
        <v>40.299999999999997</v>
      </c>
      <c r="AJ29" s="2">
        <f>VLOOKUP(B29,坦克个性化细分!$I$3:$P$33,5,FALSE)</f>
        <v>29.4</v>
      </c>
      <c r="AK29" s="2">
        <f>VLOOKUP(B29,坦克个性化细分!$I$3:$P$33,7,FALSE)</f>
        <v>7.4</v>
      </c>
      <c r="AL29" s="2">
        <f>VLOOKUP($B29,坦克个性化设定!$G$84:$T$114,MATCH(AL$3,坦克个性化设定!$G$84:$T$84,0),FALSE)</f>
        <v>2</v>
      </c>
      <c r="AM29" s="2">
        <f>VLOOKUP($B29,坦克个性化细分!$E$3:$G$33,2,FALSE)</f>
        <v>4.05</v>
      </c>
      <c r="AN29" s="2">
        <f>VLOOKUP($B29,坦克个性化细分!$E$3:$G$33,3,FALSE)</f>
        <v>0</v>
      </c>
      <c r="AO29" s="34">
        <f t="shared" si="0"/>
        <v>2.2500000000000004</v>
      </c>
      <c r="AP29" s="33">
        <f t="shared" ca="1" si="1"/>
        <v>1483</v>
      </c>
      <c r="AQ29" s="33">
        <f t="shared" ca="1" si="2"/>
        <v>387</v>
      </c>
      <c r="AR29" s="33">
        <f t="shared" ca="1" si="3"/>
        <v>440</v>
      </c>
      <c r="AS29" s="33">
        <f t="shared" ca="1" si="4"/>
        <v>352</v>
      </c>
      <c r="AT29" s="33">
        <f t="shared" ca="1" si="5"/>
        <v>647</v>
      </c>
      <c r="AU29" s="33">
        <f t="shared" ca="1" si="6"/>
        <v>151</v>
      </c>
      <c r="AV29" s="33">
        <f t="shared" si="12"/>
        <v>0</v>
      </c>
      <c r="AW29" s="33">
        <f t="shared" si="13"/>
        <v>0</v>
      </c>
      <c r="AX29" s="33">
        <f t="shared" si="14"/>
        <v>0</v>
      </c>
      <c r="AY29" s="2">
        <f t="shared" si="7"/>
        <v>6</v>
      </c>
      <c r="AZ29" s="2">
        <f>基础属性系数!$E$61</f>
        <v>0</v>
      </c>
      <c r="BA29" s="2">
        <v>50</v>
      </c>
      <c r="BB29" s="2">
        <v>10</v>
      </c>
      <c r="BC29" s="2">
        <f>VLOOKUP($B29,坦克类型系数!$B$3:$R$33,MATCH(BC$3,坦克类型系数!$B$3:$R$3,0),FALSE)</f>
        <v>0</v>
      </c>
      <c r="BD29" s="2">
        <f>VLOOKUP($B29,坦克类型系数!$B$3:$R$33,MATCH(BD$3,坦克类型系数!$B$3:$R$3,0),FALSE)</f>
        <v>2.5</v>
      </c>
      <c r="BE29" s="2">
        <f>VLOOKUP($B29,坦克类型系数!$B$3:$R$33,MATCH(BE$3,坦克类型系数!$B$3:$R$3,0),FALSE)</f>
        <v>2</v>
      </c>
      <c r="BF29" s="2">
        <f>VLOOKUP($B29,坦克类型系数!$B$3:$R$33,MATCH(BF$3,坦克类型系数!$B$3:$R$3,0),FALSE)</f>
        <v>1.5</v>
      </c>
      <c r="BG29" s="2">
        <f>VLOOKUP($B29,坦克类型系数!$B$3:$R$33,MATCH(BG$3,坦克类型系数!$B$3:$R$3,0),FALSE)</f>
        <v>1.5</v>
      </c>
      <c r="BH29" s="2">
        <f>VLOOKUP($B29,坦克类型系数!$B$3:$R$33,MATCH(BH$3,坦克类型系数!$B$3:$R$3,0),FALSE)</f>
        <v>1.26</v>
      </c>
      <c r="BI29" s="2">
        <f>VLOOKUP($B29,坦克类型系数!$B$3:$R$33,MATCH(BI$3,坦克类型系数!$B$3:$R$3,0),FALSE)</f>
        <v>0.4</v>
      </c>
      <c r="BJ29" s="25"/>
      <c r="BK29" s="25"/>
      <c r="BL29" s="25"/>
      <c r="BM29" s="1" t="s">
        <v>1232</v>
      </c>
      <c r="BN29" s="2" t="str">
        <f t="shared" si="8"/>
        <v>KV-2</v>
      </c>
      <c r="BO29" s="2" t="str">
        <f>VLOOKUP(BN29,坦克个性化设定!$B$18:$E$48,MATCH(BO$3,坦克个性化设定!$B$18:$E$18,0),FALSE)</f>
        <v>T3</v>
      </c>
      <c r="BP29" s="2" t="str">
        <f t="shared" si="9"/>
        <v>高</v>
      </c>
      <c r="BQ29" s="2" t="s">
        <v>792</v>
      </c>
      <c r="BR29" s="2"/>
      <c r="BS29" s="42">
        <f ca="1">VLOOKUP($BN29&amp;$BQ29,坦克标准养成属性!$S$3:$AE$63,MATCH(BS$3,坦克标准养成属性!$S$3:$AE$3,0),FALSE)</f>
        <v>1482.789589971379</v>
      </c>
      <c r="BT29" s="42">
        <f ca="1">VLOOKUP($BN29&amp;$BQ29,坦克标准养成属性!$S$3:$AE$63,MATCH(BT$3,坦克标准养成属性!$S$3:$AE$3,0),FALSE)</f>
        <v>386.69264912814555</v>
      </c>
      <c r="BU29" s="42">
        <f ca="1">VLOOKUP($BN29&amp;$BQ29,坦克标准养成属性!$S$3:$AE$63,MATCH(BU$3,坦克标准养成属性!$S$3:$AE$3,0),FALSE)</f>
        <v>440</v>
      </c>
      <c r="BV29" s="42">
        <f ca="1">VLOOKUP($BN29&amp;$BQ29,坦克标准养成属性!$S$3:$AE$63,MATCH(BV$3,坦克标准养成属性!$S$3:$AE$3,0),FALSE)</f>
        <v>352</v>
      </c>
      <c r="BW29" s="42">
        <f ca="1">VLOOKUP($BN29&amp;$BQ29,坦克标准养成属性!$S$3:$AE$63,MATCH(BW$3,坦克标准养成属性!$S$3:$AE$3,0),FALSE)</f>
        <v>647</v>
      </c>
      <c r="BX29" s="42">
        <f ca="1">VLOOKUP($BN29&amp;$BQ29,坦克标准养成属性!$S$3:$AE$63,MATCH(BX$3,坦克标准养成属性!$S$3:$AE$3,0),FALSE)</f>
        <v>151</v>
      </c>
      <c r="BY29" s="2">
        <f>IFERROR((VLOOKUP(LEFT(BR29,1)*1,坦克部件!$N$3:$W$9,MATCH("升星属性",坦克部件!$N$3:$W$3,0),FALSE)+VLOOKUP(RIGHT(BR29,1)*1,坦克部件!$Y$3:$AC$38,MATCH("累计属性",坦克部件!$Y$3:$AC$3,0),FALSE))*2,0)</f>
        <v>0</v>
      </c>
      <c r="BZ29" s="42">
        <f t="shared" si="15"/>
        <v>0</v>
      </c>
      <c r="CA29" s="42">
        <f t="shared" si="16"/>
        <v>0</v>
      </c>
    </row>
    <row r="30" spans="2:79" x14ac:dyDescent="0.3">
      <c r="B30" s="2" t="str">
        <f>坦克个性化设定!B45</f>
        <v>征服者</v>
      </c>
      <c r="C30" s="2" t="str">
        <f>VLOOKUP(B30,坦克个性化设定!$B$18:$E$48,4,FALSE)</f>
        <v>T4</v>
      </c>
      <c r="D30" s="2" t="str">
        <f>坦克个性化细分!J30</f>
        <v>低</v>
      </c>
      <c r="E30" s="2" t="str">
        <f t="shared" si="17"/>
        <v>T4低0</v>
      </c>
      <c r="F30" s="2" t="str">
        <f>VLOOKUP($B30,坦克个性化设定!$B$18:$BC$48,MATCH(F$3,坦克个性化设定!$B$18:$BC$18,0),FALSE)</f>
        <v>重坦</v>
      </c>
      <c r="G30" s="2" t="str">
        <f>VLOOKUP($B30,坦克个性化设定!$B$18:$BC$48,MATCH(G$3,坦克个性化设定!$B$18:$BC$18,0),FALSE)</f>
        <v>重坦单发</v>
      </c>
      <c r="H30" s="2" t="str">
        <f t="shared" si="11"/>
        <v>单发装弹</v>
      </c>
      <c r="I30" s="2">
        <f>VLOOKUP($B30,坦克个性化设定!$B$18:$BC$48,MATCH(I$3,坦克个性化设定!$B$18:$BC$18,0),FALSE)</f>
        <v>7.74</v>
      </c>
      <c r="J30" s="2">
        <f>VLOOKUP($B30,坦克个性化设定!$B$18:$BC$48,MATCH(J$3,坦克个性化设定!$B$18:$BC$18,0),FALSE)</f>
        <v>4.0199999999999996</v>
      </c>
      <c r="K30" s="2">
        <f>VLOOKUP($B30,坦克个性化设定!$B$18:$BC$48,MATCH(K$3,坦克个性化设定!$B$18:$BC$18,0),FALSE)</f>
        <v>0.3</v>
      </c>
      <c r="L30" s="34">
        <f>VLOOKUP($B30,坦克个性化设定!$B$18:$BC$48,MATCH(L$3,坦克个性化设定!$B$18:$BC$18,0),FALSE)</f>
        <v>1.3421103201592517</v>
      </c>
      <c r="M30" s="34">
        <f>VLOOKUP($B30,坦克个性化设定!$B$18:$BC$48,MATCH(M$3,坦克个性化设定!$B$18:$BC$18,0),FALSE)</f>
        <v>10.769230769230768</v>
      </c>
      <c r="N30" s="34">
        <f>VLOOKUP($B30,坦克个性化设定!$B$18:$BC$48,MATCH(N$3,坦克个性化设定!$B$18:$BC$18,0),FALSE)</f>
        <v>17.5</v>
      </c>
      <c r="O30" s="2">
        <f>VLOOKUP($B30,坦克个性化设定!$B$18:$BC$48,MATCH(O$3,坦克个性化设定!$B$18:$BC$18,0),FALSE)</f>
        <v>0.8</v>
      </c>
      <c r="P30" s="2">
        <f>VLOOKUP($B30,坦克个性化设定!$B$18:$BC$48,MATCH(P$3,坦克个性化设定!$B$18:$BC$18,0),FALSE)</f>
        <v>0.8</v>
      </c>
      <c r="Q30" s="2">
        <f>VLOOKUP($B30,坦克个性化设定!$B$18:$BC$48,MATCH(Q$3,坦克个性化设定!$B$18:$BC$18,0),FALSE)</f>
        <v>0.8</v>
      </c>
      <c r="R30" s="2">
        <f>VLOOKUP($B30,坦克个性化设定!$B$18:$BC$48,MATCH(R$3,坦克个性化设定!$B$18:$BC$18,0),FALSE)</f>
        <v>0</v>
      </c>
      <c r="S30" s="34">
        <f>VLOOKUP($B30,坦克个性化设定!$B$51:$T$81,MATCH(S$3,坦克个性化设定!$B$51:$T$51,0),FALSE)</f>
        <v>3</v>
      </c>
      <c r="T30" s="34">
        <f>VLOOKUP($B30,坦克个性化设定!$B$51:$T$81,MATCH(T$3,坦克个性化设定!$B$51:$T$51,0),FALSE)</f>
        <v>3</v>
      </c>
      <c r="U30" s="34">
        <f>VLOOKUP($B30,坦克个性化设定!$B$18:$BC$48,MATCH(U$3,坦克个性化设定!$B$18:$BC$18,0),FALSE)</f>
        <v>0.65</v>
      </c>
      <c r="V30" s="2">
        <f>VLOOKUP($B30,坦克个性化设定!$B$18:$BC$48,MATCH(V$3,坦克个性化设定!$B$18:$BC$18,0),FALSE)</f>
        <v>1</v>
      </c>
      <c r="W30" s="2">
        <f>VLOOKUP($B30,坦克个性化设定!$B$18:$BC$48,MATCH(W$3,坦克个性化设定!$B$18:$BC$18,0),FALSE)</f>
        <v>5</v>
      </c>
      <c r="X30" s="2">
        <f>VLOOKUP($B30,坦克个性化设定!$B$18:$BC$48,MATCH(X$3,坦克个性化设定!$B$18:$BC$18,0),FALSE)</f>
        <v>0.5</v>
      </c>
      <c r="Y30" s="34">
        <f>VLOOKUP($B30,坦克个性化设定!$B$18:$BC$48,MATCH(Y$3,坦克个性化设定!$B$18:$BC$18,0),FALSE)</f>
        <v>7.669995017484621</v>
      </c>
      <c r="Z30" s="34">
        <f>VLOOKUP($B30,坦克个性化设定!$B$18:$BC$48,MATCH(Z$3,坦克个性化设定!$B$18:$BC$18,0),FALSE)</f>
        <v>47.93746885927888</v>
      </c>
      <c r="AA30" s="34">
        <f>VLOOKUP($B30,坦克个性化设定!$B$18:$BC$48,MATCH(AA$3,坦克个性化设定!$B$18:$BC$18,0),FALSE)</f>
        <v>3.1</v>
      </c>
      <c r="AB30" s="34">
        <f>VLOOKUP($B30,坦克个性化设定!$B$18:$BC$48,MATCH(AB$3,坦克个性化设定!$B$18:$BC$18,0),FALSE)</f>
        <v>6.3</v>
      </c>
      <c r="AC30" s="34">
        <f>VLOOKUP($B30,坦克个性化设定!$B$18:$BC$48,MATCH(AC$3,坦克个性化设定!$B$18:$BC$18,0),FALSE)</f>
        <v>3.8888888888888888</v>
      </c>
      <c r="AD30" s="34">
        <f>VLOOKUP($B30,坦克个性化设定!$B$18:$BC$48,MATCH(AD$3,坦克个性化设定!$B$18:$BC$18,0),FALSE)</f>
        <v>2</v>
      </c>
      <c r="AE30" s="34">
        <f>VLOOKUP($B30,坦克个性化设定!$B$18:$BC$48,MATCH(AE$3,坦克个性化设定!$B$18:$BC$18,0),FALSE)</f>
        <v>1.24</v>
      </c>
      <c r="AF30" s="2">
        <f>VLOOKUP($B30,坦克个性化设定!$B$18:$BC$48,MATCH(AF$3,坦克个性化设定!$B$18:$BC$18,0),FALSE)</f>
        <v>0.2</v>
      </c>
      <c r="AG30" s="2">
        <f>VLOOKUP($B30,坦克个性化设定!$B$18:$BC$48,MATCH(AG$3,坦克个性化设定!$B$18:$BC$18,0),FALSE)</f>
        <v>70</v>
      </c>
      <c r="AH30" s="2">
        <f>VLOOKUP($B30,坦克个性化设定!$B$18:$BC$48,MATCH(AH$3,坦克个性化设定!$B$18:$BC$18,0),FALSE)</f>
        <v>110</v>
      </c>
      <c r="AI30" s="2">
        <f>VLOOKUP(B30,坦克个性化细分!$I$3:$P$33,3,FALSE)</f>
        <v>30.7</v>
      </c>
      <c r="AJ30" s="2">
        <f>VLOOKUP(B30,坦克个性化细分!$I$3:$P$33,5,FALSE)</f>
        <v>35</v>
      </c>
      <c r="AK30" s="2">
        <f>VLOOKUP(B30,坦克个性化细分!$I$3:$P$33,7,FALSE)</f>
        <v>6.3</v>
      </c>
      <c r="AL30" s="2">
        <f>VLOOKUP($B30,坦克个性化设定!$G$84:$T$114,MATCH(AL$3,坦克个性化设定!$G$84:$T$84,0),FALSE)</f>
        <v>1</v>
      </c>
      <c r="AM30" s="2">
        <f>VLOOKUP($B30,坦克个性化细分!$E$3:$G$33,2,FALSE)</f>
        <v>6</v>
      </c>
      <c r="AN30" s="2">
        <f>VLOOKUP($B30,坦克个性化细分!$E$3:$G$33,3,FALSE)</f>
        <v>0</v>
      </c>
      <c r="AO30" s="34">
        <f t="shared" si="0"/>
        <v>3</v>
      </c>
      <c r="AP30" s="33">
        <f t="shared" ca="1" si="1"/>
        <v>2022</v>
      </c>
      <c r="AQ30" s="33">
        <f t="shared" ca="1" si="2"/>
        <v>632</v>
      </c>
      <c r="AR30" s="33">
        <f t="shared" ca="1" si="3"/>
        <v>603</v>
      </c>
      <c r="AS30" s="33">
        <f t="shared" ca="1" si="4"/>
        <v>483</v>
      </c>
      <c r="AT30" s="33">
        <f t="shared" ca="1" si="5"/>
        <v>806</v>
      </c>
      <c r="AU30" s="33">
        <f t="shared" ca="1" si="6"/>
        <v>188</v>
      </c>
      <c r="AV30" s="33">
        <f t="shared" si="12"/>
        <v>0</v>
      </c>
      <c r="AW30" s="33">
        <f t="shared" si="13"/>
        <v>0</v>
      </c>
      <c r="AX30" s="33">
        <f t="shared" si="14"/>
        <v>0</v>
      </c>
      <c r="AY30" s="2">
        <f t="shared" si="7"/>
        <v>1</v>
      </c>
      <c r="AZ30" s="2">
        <f>基础属性系数!$E$61</f>
        <v>0</v>
      </c>
      <c r="BA30" s="2">
        <v>50</v>
      </c>
      <c r="BB30" s="2">
        <v>10</v>
      </c>
      <c r="BC30" s="2">
        <f>VLOOKUP($B30,坦克类型系数!$B$3:$R$33,MATCH(BC$3,坦克类型系数!$B$3:$R$3,0),FALSE)</f>
        <v>0</v>
      </c>
      <c r="BD30" s="2">
        <f>VLOOKUP($B30,坦克类型系数!$B$3:$R$33,MATCH(BD$3,坦克类型系数!$B$3:$R$3,0),FALSE)</f>
        <v>2.4500000000000002</v>
      </c>
      <c r="BE30" s="2">
        <f>VLOOKUP($B30,坦克类型系数!$B$3:$R$33,MATCH(BE$3,坦克类型系数!$B$3:$R$3,0),FALSE)</f>
        <v>2</v>
      </c>
      <c r="BF30" s="2">
        <f>VLOOKUP($B30,坦克类型系数!$B$3:$R$33,MATCH(BF$3,坦克类型系数!$B$3:$R$3,0),FALSE)</f>
        <v>1.4</v>
      </c>
      <c r="BG30" s="2">
        <f>VLOOKUP($B30,坦克类型系数!$B$3:$R$33,MATCH(BG$3,坦克类型系数!$B$3:$R$3,0),FALSE)</f>
        <v>1.4</v>
      </c>
      <c r="BH30" s="2">
        <f>VLOOKUP($B30,坦克类型系数!$B$3:$R$33,MATCH(BH$3,坦克类型系数!$B$3:$R$3,0),FALSE)</f>
        <v>1.26</v>
      </c>
      <c r="BI30" s="2">
        <f>VLOOKUP($B30,坦克类型系数!$B$3:$R$33,MATCH(BI$3,坦克类型系数!$B$3:$R$3,0),FALSE)</f>
        <v>0.4</v>
      </c>
      <c r="BJ30" s="25"/>
      <c r="BK30" s="25"/>
      <c r="BL30" s="25"/>
      <c r="BM30" s="1" t="s">
        <v>1232</v>
      </c>
      <c r="BN30" s="2" t="str">
        <f t="shared" si="8"/>
        <v>征服者</v>
      </c>
      <c r="BO30" s="2" t="str">
        <f>VLOOKUP(BN30,坦克个性化设定!$B$18:$E$48,MATCH(BO$3,坦克个性化设定!$B$18:$E$18,0),FALSE)</f>
        <v>T4</v>
      </c>
      <c r="BP30" s="2" t="str">
        <f t="shared" si="9"/>
        <v>低</v>
      </c>
      <c r="BQ30" s="2" t="s">
        <v>792</v>
      </c>
      <c r="BR30" s="2"/>
      <c r="BS30" s="42">
        <f ca="1">VLOOKUP($BN30&amp;$BQ30,坦克标准养成属性!$S$3:$AE$63,MATCH(BS$3,坦克标准养成属性!$S$3:$AE$3,0),FALSE)</f>
        <v>2022.0297193471156</v>
      </c>
      <c r="BT30" s="42">
        <f ca="1">VLOOKUP($BN30&amp;$BQ30,坦克标准养成属性!$S$3:$AE$63,MATCH(BT$3,坦克标准养成属性!$S$3:$AE$3,0),FALSE)</f>
        <v>631.89971332990956</v>
      </c>
      <c r="BU30" s="42">
        <f ca="1">VLOOKUP($BN30&amp;$BQ30,坦克标准养成属性!$S$3:$AE$63,MATCH(BU$3,坦克标准养成属性!$S$3:$AE$3,0),FALSE)</f>
        <v>603</v>
      </c>
      <c r="BV30" s="42">
        <f ca="1">VLOOKUP($BN30&amp;$BQ30,坦克标准养成属性!$S$3:$AE$63,MATCH(BV$3,坦克标准养成属性!$S$3:$AE$3,0),FALSE)</f>
        <v>483</v>
      </c>
      <c r="BW30" s="42">
        <f ca="1">VLOOKUP($BN30&amp;$BQ30,坦克标准养成属性!$S$3:$AE$63,MATCH(BW$3,坦克标准养成属性!$S$3:$AE$3,0),FALSE)</f>
        <v>806</v>
      </c>
      <c r="BX30" s="42">
        <f ca="1">VLOOKUP($BN30&amp;$BQ30,坦克标准养成属性!$S$3:$AE$63,MATCH(BX$3,坦克标准养成属性!$S$3:$AE$3,0),FALSE)</f>
        <v>188</v>
      </c>
      <c r="BY30" s="2">
        <f>IFERROR((VLOOKUP(LEFT(BR30,1)*1,坦克部件!$N$3:$W$9,MATCH("升星属性",坦克部件!$N$3:$W$3,0),FALSE)+VLOOKUP(RIGHT(BR30,1)*1,坦克部件!$Y$3:$AC$38,MATCH("累计属性",坦克部件!$Y$3:$AC$3,0),FALSE))*2,0)</f>
        <v>0</v>
      </c>
      <c r="BZ30" s="42">
        <f t="shared" si="15"/>
        <v>0</v>
      </c>
      <c r="CA30" s="42">
        <f t="shared" si="16"/>
        <v>0</v>
      </c>
    </row>
    <row r="31" spans="2:79" x14ac:dyDescent="0.3">
      <c r="B31" s="2" t="str">
        <f>坦克个性化设定!B46</f>
        <v>IS-4</v>
      </c>
      <c r="C31" s="2" t="str">
        <f>VLOOKUP(B31,坦克个性化设定!$B$18:$E$48,4,FALSE)</f>
        <v>T4</v>
      </c>
      <c r="D31" s="2" t="str">
        <f>坦克个性化细分!J31</f>
        <v>中</v>
      </c>
      <c r="E31" s="2" t="str">
        <f t="shared" si="17"/>
        <v>T4中0</v>
      </c>
      <c r="F31" s="2" t="str">
        <f>VLOOKUP($B31,坦克个性化设定!$B$18:$BC$48,MATCH(F$3,坦克个性化设定!$B$18:$BC$18,0),FALSE)</f>
        <v>重坦</v>
      </c>
      <c r="G31" s="2" t="str">
        <f>VLOOKUP($B31,坦克个性化设定!$B$18:$BC$48,MATCH(G$3,坦克个性化设定!$B$18:$BC$18,0),FALSE)</f>
        <v>重坦自动</v>
      </c>
      <c r="H31" s="2" t="str">
        <f t="shared" si="11"/>
        <v>自动装弹</v>
      </c>
      <c r="I31" s="2">
        <f>VLOOKUP($B31,坦克个性化设定!$B$18:$BC$48,MATCH(I$3,坦克个性化设定!$B$18:$BC$18,0),FALSE)</f>
        <v>6.6</v>
      </c>
      <c r="J31" s="2">
        <f>VLOOKUP($B31,坦克个性化设定!$B$18:$BC$48,MATCH(J$3,坦克个性化设定!$B$18:$BC$18,0),FALSE)</f>
        <v>3.35</v>
      </c>
      <c r="K31" s="2">
        <f>VLOOKUP($B31,坦克个性化设定!$B$18:$BC$48,MATCH(K$3,坦克个性化设定!$B$18:$BC$18,0),FALSE)</f>
        <v>0.3</v>
      </c>
      <c r="L31" s="34">
        <f>VLOOKUP($B31,坦克个性化设定!$B$18:$BC$48,MATCH(L$3,坦克个性化设定!$B$18:$BC$18,0),FALSE)</f>
        <v>1.3421103201592517</v>
      </c>
      <c r="M31" s="34">
        <f>VLOOKUP($B31,坦克个性化设定!$B$18:$BC$48,MATCH(M$3,坦克个性化设定!$B$18:$BC$18,0),FALSE)</f>
        <v>10.769230769230768</v>
      </c>
      <c r="N31" s="34">
        <f>VLOOKUP($B31,坦克个性化设定!$B$18:$BC$48,MATCH(N$3,坦克个性化设定!$B$18:$BC$18,0),FALSE)</f>
        <v>17.5</v>
      </c>
      <c r="O31" s="2">
        <f>VLOOKUP($B31,坦克个性化设定!$B$18:$BC$48,MATCH(O$3,坦克个性化设定!$B$18:$BC$18,0),FALSE)</f>
        <v>0.8</v>
      </c>
      <c r="P31" s="2">
        <f>VLOOKUP($B31,坦克个性化设定!$B$18:$BC$48,MATCH(P$3,坦克个性化设定!$B$18:$BC$18,0),FALSE)</f>
        <v>0.8</v>
      </c>
      <c r="Q31" s="2">
        <f>VLOOKUP($B31,坦克个性化设定!$B$18:$BC$48,MATCH(Q$3,坦克个性化设定!$B$18:$BC$18,0),FALSE)</f>
        <v>0.8</v>
      </c>
      <c r="R31" s="2">
        <f>VLOOKUP($B31,坦克个性化设定!$B$18:$BC$48,MATCH(R$3,坦克个性化设定!$B$18:$BC$18,0),FALSE)</f>
        <v>2</v>
      </c>
      <c r="S31" s="34">
        <f>VLOOKUP($B31,坦克个性化设定!$B$51:$T$81,MATCH(S$3,坦克个性化设定!$B$51:$T$51,0),FALSE)</f>
        <v>1.7999999999999998</v>
      </c>
      <c r="T31" s="34">
        <f>VLOOKUP($B31,坦克个性化设定!$B$51:$T$81,MATCH(T$3,坦克个性化设定!$B$51:$T$51,0),FALSE)</f>
        <v>2.7</v>
      </c>
      <c r="U31" s="34">
        <f>VLOOKUP($B31,坦克个性化设定!$B$18:$BC$48,MATCH(U$3,坦克个性化设定!$B$18:$BC$18,0),FALSE)</f>
        <v>0.65</v>
      </c>
      <c r="V31" s="2">
        <f>VLOOKUP($B31,坦克个性化设定!$B$18:$BC$48,MATCH(V$3,坦克个性化设定!$B$18:$BC$18,0),FALSE)</f>
        <v>1.2</v>
      </c>
      <c r="W31" s="2">
        <f>VLOOKUP($B31,坦克个性化设定!$B$18:$BC$48,MATCH(W$3,坦克个性化设定!$B$18:$BC$18,0),FALSE)</f>
        <v>3</v>
      </c>
      <c r="X31" s="2">
        <f>VLOOKUP($B31,坦克个性化设定!$B$18:$BC$48,MATCH(X$3,坦克个性化设定!$B$18:$BC$18,0),FALSE)</f>
        <v>0.5</v>
      </c>
      <c r="Y31" s="34">
        <f>VLOOKUP($B31,坦克个性化设定!$B$18:$BC$48,MATCH(Y$3,坦克个性化设定!$B$18:$BC$18,0),FALSE)</f>
        <v>7.669995017484621</v>
      </c>
      <c r="Z31" s="34">
        <f>VLOOKUP($B31,坦克个性化设定!$B$18:$BC$48,MATCH(Z$3,坦克个性化设定!$B$18:$BC$18,0),FALSE)</f>
        <v>47.93746885927888</v>
      </c>
      <c r="AA31" s="34">
        <f>VLOOKUP($B31,坦克个性化设定!$B$18:$BC$48,MATCH(AA$3,坦克个性化设定!$B$18:$BC$18,0),FALSE)</f>
        <v>1.8599999999999999</v>
      </c>
      <c r="AB31" s="34">
        <f>VLOOKUP($B31,坦克个性化设定!$B$18:$BC$48,MATCH(AB$3,坦克个性化设定!$B$18:$BC$18,0),FALSE)</f>
        <v>6.3</v>
      </c>
      <c r="AC31" s="34">
        <f>VLOOKUP($B31,坦克个性化设定!$B$18:$BC$48,MATCH(AC$3,坦克个性化设定!$B$18:$BC$18,0),FALSE)</f>
        <v>3.8888888888888888</v>
      </c>
      <c r="AD31" s="34">
        <f>VLOOKUP($B31,坦克个性化设定!$B$18:$BC$48,MATCH(AD$3,坦克个性化设定!$B$18:$BC$18,0),FALSE)</f>
        <v>2</v>
      </c>
      <c r="AE31" s="34">
        <f>VLOOKUP($B31,坦克个性化设定!$B$18:$BC$48,MATCH(AE$3,坦克个性化设定!$B$18:$BC$18,0),FALSE)</f>
        <v>0.62</v>
      </c>
      <c r="AF31" s="2">
        <f>VLOOKUP($B31,坦克个性化设定!$B$18:$BC$48,MATCH(AF$3,坦克个性化设定!$B$18:$BC$18,0),FALSE)</f>
        <v>0.2</v>
      </c>
      <c r="AG31" s="2">
        <f>VLOOKUP($B31,坦克个性化设定!$B$18:$BC$48,MATCH(AG$3,坦克个性化设定!$B$18:$BC$18,0),FALSE)</f>
        <v>70</v>
      </c>
      <c r="AH31" s="2">
        <f>VLOOKUP($B31,坦克个性化设定!$B$18:$BC$48,MATCH(AH$3,坦克个性化设定!$B$18:$BC$18,0),FALSE)</f>
        <v>110</v>
      </c>
      <c r="AI31" s="2">
        <f>VLOOKUP(B31,坦克个性化细分!$I$3:$P$33,3,FALSE)</f>
        <v>31.3</v>
      </c>
      <c r="AJ31" s="2">
        <f>VLOOKUP(B31,坦克个性化细分!$I$3:$P$33,5,FALSE)</f>
        <v>35.700000000000003</v>
      </c>
      <c r="AK31" s="2">
        <f>VLOOKUP(B31,坦克个性化细分!$I$3:$P$33,7,FALSE)</f>
        <v>6.4</v>
      </c>
      <c r="AL31" s="2">
        <f>VLOOKUP($B31,坦克个性化设定!$G$84:$T$114,MATCH(AL$3,坦克个性化设定!$G$84:$T$84,0),FALSE)</f>
        <v>2</v>
      </c>
      <c r="AM31" s="2">
        <f>VLOOKUP($B31,坦克个性化细分!$E$3:$G$33,2,FALSE)</f>
        <v>4.5</v>
      </c>
      <c r="AN31" s="2">
        <f>VLOOKUP($B31,坦克个性化细分!$E$3:$G$33,3,FALSE)</f>
        <v>0</v>
      </c>
      <c r="AO31" s="34">
        <f t="shared" si="0"/>
        <v>2.2500000000000004</v>
      </c>
      <c r="AP31" s="33">
        <f t="shared" ca="1" si="1"/>
        <v>1940</v>
      </c>
      <c r="AQ31" s="33">
        <f t="shared" ca="1" si="2"/>
        <v>550</v>
      </c>
      <c r="AR31" s="33">
        <f t="shared" ca="1" si="3"/>
        <v>571</v>
      </c>
      <c r="AS31" s="33">
        <f t="shared" ca="1" si="4"/>
        <v>457</v>
      </c>
      <c r="AT31" s="33">
        <f t="shared" ca="1" si="5"/>
        <v>840</v>
      </c>
      <c r="AU31" s="33">
        <f t="shared" ca="1" si="6"/>
        <v>196</v>
      </c>
      <c r="AV31" s="33">
        <f t="shared" si="12"/>
        <v>0</v>
      </c>
      <c r="AW31" s="33">
        <f t="shared" si="13"/>
        <v>0</v>
      </c>
      <c r="AX31" s="33">
        <f t="shared" si="14"/>
        <v>0</v>
      </c>
      <c r="AY31" s="2">
        <f t="shared" si="7"/>
        <v>6</v>
      </c>
      <c r="AZ31" s="2">
        <f>基础属性系数!$E$61</f>
        <v>0</v>
      </c>
      <c r="BA31" s="2">
        <v>50</v>
      </c>
      <c r="BB31" s="2">
        <v>10</v>
      </c>
      <c r="BC31" s="2">
        <f>VLOOKUP($B31,坦克类型系数!$B$3:$R$33,MATCH(BC$3,坦克类型系数!$B$3:$R$3,0),FALSE)</f>
        <v>0</v>
      </c>
      <c r="BD31" s="2">
        <f>VLOOKUP($B31,坦克类型系数!$B$3:$R$33,MATCH(BD$3,坦克类型系数!$B$3:$R$3,0),FALSE)</f>
        <v>2.4</v>
      </c>
      <c r="BE31" s="2">
        <f>VLOOKUP($B31,坦克类型系数!$B$3:$R$33,MATCH(BE$3,坦克类型系数!$B$3:$R$3,0),FALSE)</f>
        <v>1.95</v>
      </c>
      <c r="BF31" s="2">
        <f>VLOOKUP($B31,坦克类型系数!$B$3:$R$33,MATCH(BF$3,坦克类型系数!$B$3:$R$3,0),FALSE)</f>
        <v>1.45</v>
      </c>
      <c r="BG31" s="2">
        <f>VLOOKUP($B31,坦克类型系数!$B$3:$R$33,MATCH(BG$3,坦克类型系数!$B$3:$R$3,0),FALSE)</f>
        <v>1.4</v>
      </c>
      <c r="BH31" s="2">
        <f>VLOOKUP($B31,坦克类型系数!$B$3:$R$33,MATCH(BH$3,坦克类型系数!$B$3:$R$3,0),FALSE)</f>
        <v>1.17</v>
      </c>
      <c r="BI31" s="2">
        <f>VLOOKUP($B31,坦克类型系数!$B$3:$R$33,MATCH(BI$3,坦克类型系数!$B$3:$R$3,0),FALSE)</f>
        <v>0.4</v>
      </c>
      <c r="BJ31" s="25"/>
      <c r="BK31" s="25"/>
      <c r="BL31" s="25"/>
      <c r="BM31" s="1" t="s">
        <v>1232</v>
      </c>
      <c r="BN31" s="2" t="str">
        <f t="shared" si="8"/>
        <v>IS-4</v>
      </c>
      <c r="BO31" s="2" t="str">
        <f>VLOOKUP(BN31,坦克个性化设定!$B$18:$E$48,MATCH(BO$3,坦克个性化设定!$B$18:$E$18,0),FALSE)</f>
        <v>T4</v>
      </c>
      <c r="BP31" s="2" t="str">
        <f t="shared" si="9"/>
        <v>中</v>
      </c>
      <c r="BQ31" s="2" t="s">
        <v>792</v>
      </c>
      <c r="BR31" s="2"/>
      <c r="BS31" s="42">
        <f ca="1">VLOOKUP($BN31&amp;$BQ31,坦克标准养成属性!$S$3:$AE$63,MATCH(BS$3,坦克标准养成属性!$S$3:$AE$3,0),FALSE)</f>
        <v>1940.0333576902392</v>
      </c>
      <c r="BT31" s="42">
        <f ca="1">VLOOKUP($BN31&amp;$BQ31,坦克标准养成属性!$S$3:$AE$63,MATCH(BT$3,坦克标准养成属性!$S$3:$AE$3,0),FALSE)</f>
        <v>550.07498807769684</v>
      </c>
      <c r="BU31" s="42">
        <f ca="1">VLOOKUP($BN31&amp;$BQ31,坦克标准养成属性!$S$3:$AE$63,MATCH(BU$3,坦克标准养成属性!$S$3:$AE$3,0),FALSE)</f>
        <v>571</v>
      </c>
      <c r="BV31" s="42">
        <f ca="1">VLOOKUP($BN31&amp;$BQ31,坦克标准养成属性!$S$3:$AE$63,MATCH(BV$3,坦克标准养成属性!$S$3:$AE$3,0),FALSE)</f>
        <v>457</v>
      </c>
      <c r="BW31" s="42">
        <f ca="1">VLOOKUP($BN31&amp;$BQ31,坦克标准养成属性!$S$3:$AE$63,MATCH(BW$3,坦克标准养成属性!$S$3:$AE$3,0),FALSE)</f>
        <v>840</v>
      </c>
      <c r="BX31" s="42">
        <f ca="1">VLOOKUP($BN31&amp;$BQ31,坦克标准养成属性!$S$3:$AE$63,MATCH(BX$3,坦克标准养成属性!$S$3:$AE$3,0),FALSE)</f>
        <v>196</v>
      </c>
      <c r="BY31" s="2">
        <f>IFERROR((VLOOKUP(LEFT(BR31,1)*1,坦克部件!$N$3:$W$9,MATCH("升星属性",坦克部件!$N$3:$W$3,0),FALSE)+VLOOKUP(RIGHT(BR31,1)*1,坦克部件!$Y$3:$AC$38,MATCH("累计属性",坦克部件!$Y$3:$AC$3,0),FALSE))*2,0)</f>
        <v>0</v>
      </c>
      <c r="BZ31" s="42">
        <f t="shared" si="15"/>
        <v>0</v>
      </c>
      <c r="CA31" s="42">
        <f t="shared" si="16"/>
        <v>0</v>
      </c>
    </row>
    <row r="32" spans="2:79" x14ac:dyDescent="0.3">
      <c r="B32" s="2" t="str">
        <f>坦克个性化设定!B47</f>
        <v>T-32</v>
      </c>
      <c r="C32" s="2" t="str">
        <f>VLOOKUP(B32,坦克个性化设定!$B$18:$E$48,4,FALSE)</f>
        <v>T4</v>
      </c>
      <c r="D32" s="2" t="str">
        <f>坦克个性化细分!J32</f>
        <v>高</v>
      </c>
      <c r="E32" s="2" t="str">
        <f t="shared" si="17"/>
        <v>T4高0</v>
      </c>
      <c r="F32" s="2" t="str">
        <f>VLOOKUP($B32,坦克个性化设定!$B$18:$BC$48,MATCH(F$3,坦克个性化设定!$B$18:$BC$18,0),FALSE)</f>
        <v>重坦</v>
      </c>
      <c r="G32" s="2" t="str">
        <f>VLOOKUP($B32,坦克个性化设定!$B$18:$BC$48,MATCH(G$3,坦克个性化设定!$B$18:$BC$18,0),FALSE)</f>
        <v>重坦单发</v>
      </c>
      <c r="H32" s="2" t="str">
        <f t="shared" si="11"/>
        <v>单发装弹</v>
      </c>
      <c r="I32" s="2">
        <f>VLOOKUP($B32,坦克个性化设定!$B$18:$BC$48,MATCH(I$3,坦克个性化设定!$B$18:$BC$18,0),FALSE)</f>
        <v>6</v>
      </c>
      <c r="J32" s="2">
        <f>VLOOKUP($B32,坦克个性化设定!$B$18:$BC$48,MATCH(J$3,坦克个性化设定!$B$18:$BC$18,0),FALSE)</f>
        <v>2.85</v>
      </c>
      <c r="K32" s="2">
        <f>VLOOKUP($B32,坦克个性化设定!$B$18:$BC$48,MATCH(K$3,坦克个性化设定!$B$18:$BC$18,0),FALSE)</f>
        <v>0.3</v>
      </c>
      <c r="L32" s="34">
        <f>VLOOKUP($B32,坦克个性化设定!$B$18:$BC$48,MATCH(L$3,坦克个性化设定!$B$18:$BC$18,0),FALSE)</f>
        <v>1.3421103201592517</v>
      </c>
      <c r="M32" s="34">
        <f>VLOOKUP($B32,坦克个性化设定!$B$18:$BC$48,MATCH(M$3,坦克个性化设定!$B$18:$BC$18,0),FALSE)</f>
        <v>10.769230769230768</v>
      </c>
      <c r="N32" s="34">
        <f>VLOOKUP($B32,坦克个性化设定!$B$18:$BC$48,MATCH(N$3,坦克个性化设定!$B$18:$BC$18,0),FALSE)</f>
        <v>17.5</v>
      </c>
      <c r="O32" s="2">
        <f>VLOOKUP($B32,坦克个性化设定!$B$18:$BC$48,MATCH(O$3,坦克个性化设定!$B$18:$BC$18,0),FALSE)</f>
        <v>0.8</v>
      </c>
      <c r="P32" s="2">
        <f>VLOOKUP($B32,坦克个性化设定!$B$18:$BC$48,MATCH(P$3,坦克个性化设定!$B$18:$BC$18,0),FALSE)</f>
        <v>0.8</v>
      </c>
      <c r="Q32" s="2">
        <f>VLOOKUP($B32,坦克个性化设定!$B$18:$BC$48,MATCH(Q$3,坦克个性化设定!$B$18:$BC$18,0),FALSE)</f>
        <v>0.8</v>
      </c>
      <c r="R32" s="2">
        <f>VLOOKUP($B32,坦克个性化设定!$B$18:$BC$48,MATCH(R$3,坦克个性化设定!$B$18:$BC$18,0),FALSE)</f>
        <v>0</v>
      </c>
      <c r="S32" s="34">
        <f>VLOOKUP($B32,坦克个性化设定!$B$51:$T$81,MATCH(S$3,坦克个性化设定!$B$51:$T$51,0),FALSE)</f>
        <v>3</v>
      </c>
      <c r="T32" s="34">
        <f>VLOOKUP($B32,坦克个性化设定!$B$51:$T$81,MATCH(T$3,坦克个性化设定!$B$51:$T$51,0),FALSE)</f>
        <v>3</v>
      </c>
      <c r="U32" s="34">
        <f>VLOOKUP($B32,坦克个性化设定!$B$18:$BC$48,MATCH(U$3,坦克个性化设定!$B$18:$BC$18,0),FALSE)</f>
        <v>0.62</v>
      </c>
      <c r="V32" s="2">
        <f>VLOOKUP($B32,坦克个性化设定!$B$18:$BC$48,MATCH(V$3,坦克个性化设定!$B$18:$BC$18,0),FALSE)</f>
        <v>1</v>
      </c>
      <c r="W32" s="2">
        <f>VLOOKUP($B32,坦克个性化设定!$B$18:$BC$48,MATCH(W$3,坦克个性化设定!$B$18:$BC$18,0),FALSE)</f>
        <v>5</v>
      </c>
      <c r="X32" s="2">
        <f>VLOOKUP($B32,坦克个性化设定!$B$18:$BC$48,MATCH(X$3,坦克个性化设定!$B$18:$BC$18,0),FALSE)</f>
        <v>0.5</v>
      </c>
      <c r="Y32" s="34">
        <f>VLOOKUP($B32,坦克个性化设定!$B$18:$BC$48,MATCH(Y$3,坦克个性化设定!$B$18:$BC$18,0),FALSE)</f>
        <v>7.669995017484621</v>
      </c>
      <c r="Z32" s="34">
        <f>VLOOKUP($B32,坦克个性化设定!$B$18:$BC$48,MATCH(Z$3,坦克个性化设定!$B$18:$BC$18,0),FALSE)</f>
        <v>47.93746885927888</v>
      </c>
      <c r="AA32" s="34">
        <f>VLOOKUP($B32,坦克个性化设定!$B$18:$BC$48,MATCH(AA$3,坦克个性化设定!$B$18:$BC$18,0),FALSE)</f>
        <v>3.1</v>
      </c>
      <c r="AB32" s="34">
        <f>VLOOKUP($B32,坦克个性化设定!$B$18:$BC$48,MATCH(AB$3,坦克个性化设定!$B$18:$BC$18,0),FALSE)</f>
        <v>6.3</v>
      </c>
      <c r="AC32" s="34">
        <f>VLOOKUP($B32,坦克个性化设定!$B$18:$BC$48,MATCH(AC$3,坦克个性化设定!$B$18:$BC$18,0),FALSE)</f>
        <v>3.8888888888888888</v>
      </c>
      <c r="AD32" s="34">
        <f>VLOOKUP($B32,坦克个性化设定!$B$18:$BC$48,MATCH(AD$3,坦克个性化设定!$B$18:$BC$18,0),FALSE)</f>
        <v>2</v>
      </c>
      <c r="AE32" s="34">
        <f>VLOOKUP($B32,坦克个性化设定!$B$18:$BC$48,MATCH(AE$3,坦克个性化设定!$B$18:$BC$18,0),FALSE)</f>
        <v>1.24</v>
      </c>
      <c r="AF32" s="2">
        <f>VLOOKUP($B32,坦克个性化设定!$B$18:$BC$48,MATCH(AF$3,坦克个性化设定!$B$18:$BC$18,0),FALSE)</f>
        <v>0.2</v>
      </c>
      <c r="AG32" s="2">
        <f>VLOOKUP($B32,坦克个性化设定!$B$18:$BC$48,MATCH(AG$3,坦克个性化设定!$B$18:$BC$18,0),FALSE)</f>
        <v>70</v>
      </c>
      <c r="AH32" s="2">
        <f>VLOOKUP($B32,坦克个性化设定!$B$18:$BC$48,MATCH(AH$3,坦克个性化设定!$B$18:$BC$18,0),FALSE)</f>
        <v>110</v>
      </c>
      <c r="AI32" s="2">
        <f>VLOOKUP(B32,坦克个性化细分!$I$3:$P$33,3,FALSE)</f>
        <v>32.200000000000003</v>
      </c>
      <c r="AJ32" s="2">
        <f>VLOOKUP(B32,坦克个性化细分!$I$3:$P$33,5,FALSE)</f>
        <v>36.799999999999997</v>
      </c>
      <c r="AK32" s="2">
        <f>VLOOKUP(B32,坦克个性化细分!$I$3:$P$33,7,FALSE)</f>
        <v>6.6</v>
      </c>
      <c r="AL32" s="2">
        <f>VLOOKUP($B32,坦克个性化设定!$G$84:$T$114,MATCH(AL$3,坦克个性化设定!$G$84:$T$84,0),FALSE)</f>
        <v>1</v>
      </c>
      <c r="AM32" s="2">
        <f>VLOOKUP($B32,坦克个性化细分!$E$3:$G$33,2,FALSE)</f>
        <v>6</v>
      </c>
      <c r="AN32" s="2">
        <f>VLOOKUP($B32,坦克个性化细分!$E$3:$G$33,3,FALSE)</f>
        <v>0</v>
      </c>
      <c r="AO32" s="34">
        <f t="shared" si="0"/>
        <v>3</v>
      </c>
      <c r="AP32" s="33">
        <f t="shared" ca="1" si="1"/>
        <v>1838</v>
      </c>
      <c r="AQ32" s="33">
        <f t="shared" ca="1" si="2"/>
        <v>755</v>
      </c>
      <c r="AR32" s="33">
        <f t="shared" ca="1" si="3"/>
        <v>629</v>
      </c>
      <c r="AS32" s="33">
        <f t="shared" ca="1" si="4"/>
        <v>503</v>
      </c>
      <c r="AT32" s="33">
        <f t="shared" ca="1" si="5"/>
        <v>840</v>
      </c>
      <c r="AU32" s="33">
        <f t="shared" ca="1" si="6"/>
        <v>196</v>
      </c>
      <c r="AV32" s="33">
        <f t="shared" si="12"/>
        <v>0</v>
      </c>
      <c r="AW32" s="33">
        <f t="shared" si="13"/>
        <v>0</v>
      </c>
      <c r="AX32" s="33">
        <f t="shared" si="14"/>
        <v>0</v>
      </c>
      <c r="AY32" s="2">
        <f t="shared" si="7"/>
        <v>1</v>
      </c>
      <c r="AZ32" s="2">
        <f>基础属性系数!$E$61</f>
        <v>0</v>
      </c>
      <c r="BA32" s="2">
        <v>50</v>
      </c>
      <c r="BB32" s="2">
        <v>10</v>
      </c>
      <c r="BC32" s="2">
        <f>VLOOKUP($B32,坦克类型系数!$B$3:$R$33,MATCH(BC$3,坦克类型系数!$B$3:$R$3,0),FALSE)</f>
        <v>0</v>
      </c>
      <c r="BD32" s="2">
        <f>VLOOKUP($B32,坦克类型系数!$B$3:$R$33,MATCH(BD$3,坦克类型系数!$B$3:$R$3,0),FALSE)</f>
        <v>2.5499999999999998</v>
      </c>
      <c r="BE32" s="2">
        <f>VLOOKUP($B32,坦克类型系数!$B$3:$R$33,MATCH(BE$3,坦克类型系数!$B$3:$R$3,0),FALSE)</f>
        <v>2.0499999999999998</v>
      </c>
      <c r="BF32" s="2">
        <f>VLOOKUP($B32,坦克类型系数!$B$3:$R$33,MATCH(BF$3,坦克类型系数!$B$3:$R$3,0),FALSE)</f>
        <v>1.5</v>
      </c>
      <c r="BG32" s="2">
        <f>VLOOKUP($B32,坦克类型系数!$B$3:$R$33,MATCH(BG$3,坦克类型系数!$B$3:$R$3,0),FALSE)</f>
        <v>1.5</v>
      </c>
      <c r="BH32" s="2">
        <f>VLOOKUP($B32,坦克类型系数!$B$3:$R$33,MATCH(BH$3,坦克类型系数!$B$3:$R$3,0),FALSE)</f>
        <v>1.35</v>
      </c>
      <c r="BI32" s="2">
        <f>VLOOKUP($B32,坦克类型系数!$B$3:$R$33,MATCH(BI$3,坦克类型系数!$B$3:$R$3,0),FALSE)</f>
        <v>0.4</v>
      </c>
      <c r="BJ32" s="25"/>
      <c r="BK32" s="25"/>
      <c r="BL32" s="25"/>
      <c r="BM32" s="1" t="s">
        <v>1232</v>
      </c>
      <c r="BN32" s="2" t="str">
        <f t="shared" si="8"/>
        <v>T-32</v>
      </c>
      <c r="BO32" s="2" t="str">
        <f>VLOOKUP(BN32,坦克个性化设定!$B$18:$E$48,MATCH(BO$3,坦克个性化设定!$B$18:$E$18,0),FALSE)</f>
        <v>T4</v>
      </c>
      <c r="BP32" s="2" t="str">
        <f t="shared" si="9"/>
        <v>高</v>
      </c>
      <c r="BQ32" s="2" t="s">
        <v>792</v>
      </c>
      <c r="BR32" s="2"/>
      <c r="BS32" s="42">
        <f ca="1">VLOOKUP($BN32&amp;$BQ32,坦克标准养成属性!$S$3:$AE$63,MATCH(BS$3,坦克标准养成属性!$S$3:$AE$3,0),FALSE)</f>
        <v>1837.7116869508964</v>
      </c>
      <c r="BT32" s="42">
        <f ca="1">VLOOKUP($BN32&amp;$BQ32,坦克标准养成属性!$S$3:$AE$63,MATCH(BT$3,坦克标准养成属性!$S$3:$AE$3,0),FALSE)</f>
        <v>755.02213424029571</v>
      </c>
      <c r="BU32" s="42">
        <f ca="1">VLOOKUP($BN32&amp;$BQ32,坦克标准养成属性!$S$3:$AE$63,MATCH(BU$3,坦克标准养成属性!$S$3:$AE$3,0),FALSE)</f>
        <v>629</v>
      </c>
      <c r="BV32" s="42">
        <f ca="1">VLOOKUP($BN32&amp;$BQ32,坦克标准养成属性!$S$3:$AE$63,MATCH(BV$3,坦克标准养成属性!$S$3:$AE$3,0),FALSE)</f>
        <v>503</v>
      </c>
      <c r="BW32" s="42">
        <f ca="1">VLOOKUP($BN32&amp;$BQ32,坦克标准养成属性!$S$3:$AE$63,MATCH(BW$3,坦克标准养成属性!$S$3:$AE$3,0),FALSE)</f>
        <v>840</v>
      </c>
      <c r="BX32" s="42">
        <f ca="1">VLOOKUP($BN32&amp;$BQ32,坦克标准养成属性!$S$3:$AE$63,MATCH(BX$3,坦克标准养成属性!$S$3:$AE$3,0),FALSE)</f>
        <v>196</v>
      </c>
      <c r="BY32" s="2">
        <f>IFERROR((VLOOKUP(LEFT(BR32,1)*1,坦克部件!$N$3:$W$9,MATCH("升星属性",坦克部件!$N$3:$W$3,0),FALSE)+VLOOKUP(RIGHT(BR32,1)*1,坦克部件!$Y$3:$AC$38,MATCH("累计属性",坦克部件!$Y$3:$AC$3,0),FALSE))*2,0)</f>
        <v>0</v>
      </c>
      <c r="BZ32" s="42">
        <f t="shared" si="15"/>
        <v>0</v>
      </c>
      <c r="CA32" s="42">
        <f t="shared" si="16"/>
        <v>0</v>
      </c>
    </row>
    <row r="33" spans="2:79" x14ac:dyDescent="0.3">
      <c r="B33" s="2" t="str">
        <f>坦克个性化设定!B48</f>
        <v>M1A2</v>
      </c>
      <c r="C33" s="2" t="str">
        <f>VLOOKUP(B33,坦克个性化设定!$B$18:$E$48,4,FALSE)</f>
        <v>T5</v>
      </c>
      <c r="D33" s="2" t="str">
        <f>坦克个性化细分!J33</f>
        <v>低</v>
      </c>
      <c r="E33" s="2" t="str">
        <f t="shared" si="17"/>
        <v>T5低0</v>
      </c>
      <c r="F33" s="2" t="str">
        <f>VLOOKUP($B33,坦克个性化设定!$B$18:$BC$48,MATCH(F$3,坦克个性化设定!$B$18:$BC$18,0),FALSE)</f>
        <v>重坦</v>
      </c>
      <c r="G33" s="2" t="str">
        <f>VLOOKUP($B33,坦克个性化设定!$B$18:$BC$48,MATCH(G$3,坦克个性化设定!$B$18:$BC$18,0),FALSE)</f>
        <v>重坦单发</v>
      </c>
      <c r="H33" s="2" t="str">
        <f t="shared" si="11"/>
        <v>单发装弹</v>
      </c>
      <c r="I33" s="2">
        <f>VLOOKUP($B33,坦克个性化设定!$B$18:$BC$48,MATCH(I$3,坦克个性化设定!$B$18:$BC$18,0),FALSE)</f>
        <v>7.75</v>
      </c>
      <c r="J33" s="2">
        <f>VLOOKUP($B33,坦克个性化设定!$B$18:$BC$48,MATCH(J$3,坦克个性化设定!$B$18:$BC$18,0),FALSE)</f>
        <v>3.46</v>
      </c>
      <c r="K33" s="2">
        <f>VLOOKUP($B33,坦克个性化设定!$B$18:$BC$48,MATCH(K$3,坦克个性化设定!$B$18:$BC$18,0),FALSE)</f>
        <v>0.3</v>
      </c>
      <c r="L33" s="34">
        <f>VLOOKUP($B33,坦克个性化设定!$B$18:$BC$48,MATCH(L$3,坦克个性化设定!$B$18:$BC$18,0),FALSE)</f>
        <v>1.3421103201592517</v>
      </c>
      <c r="M33" s="34">
        <f>VLOOKUP($B33,坦克个性化设定!$B$18:$BC$48,MATCH(M$3,坦克个性化设定!$B$18:$BC$18,0),FALSE)</f>
        <v>10.769230769230768</v>
      </c>
      <c r="N33" s="34">
        <f>VLOOKUP($B33,坦克个性化设定!$B$18:$BC$48,MATCH(N$3,坦克个性化设定!$B$18:$BC$18,0),FALSE)</f>
        <v>17.5</v>
      </c>
      <c r="O33" s="2">
        <f>VLOOKUP($B33,坦克个性化设定!$B$18:$BC$48,MATCH(O$3,坦克个性化设定!$B$18:$BC$18,0),FALSE)</f>
        <v>0.8</v>
      </c>
      <c r="P33" s="2">
        <f>VLOOKUP($B33,坦克个性化设定!$B$18:$BC$48,MATCH(P$3,坦克个性化设定!$B$18:$BC$18,0),FALSE)</f>
        <v>0.8</v>
      </c>
      <c r="Q33" s="2">
        <f>VLOOKUP($B33,坦克个性化设定!$B$18:$BC$48,MATCH(Q$3,坦克个性化设定!$B$18:$BC$18,0),FALSE)</f>
        <v>0.8</v>
      </c>
      <c r="R33" s="2">
        <f>VLOOKUP($B33,坦克个性化设定!$B$18:$BC$48,MATCH(R$3,坦克个性化设定!$B$18:$BC$18,0),FALSE)</f>
        <v>0</v>
      </c>
      <c r="S33" s="34">
        <f>VLOOKUP($B33,坦克个性化设定!$B$51:$T$81,MATCH(S$3,坦克个性化设定!$B$51:$T$51,0),FALSE)</f>
        <v>3</v>
      </c>
      <c r="T33" s="34">
        <f>VLOOKUP($B33,坦克个性化设定!$B$51:$T$81,MATCH(T$3,坦克个性化设定!$B$51:$T$51,0),FALSE)</f>
        <v>3</v>
      </c>
      <c r="U33" s="34">
        <f>VLOOKUP($B33,坦克个性化设定!$B$18:$BC$48,MATCH(U$3,坦克个性化设定!$B$18:$BC$18,0),FALSE)</f>
        <v>0.71</v>
      </c>
      <c r="V33" s="2">
        <f>VLOOKUP($B33,坦克个性化设定!$B$18:$BC$48,MATCH(V$3,坦克个性化设定!$B$18:$BC$18,0),FALSE)</f>
        <v>1</v>
      </c>
      <c r="W33" s="2">
        <f>VLOOKUP($B33,坦克个性化设定!$B$18:$BC$48,MATCH(W$3,坦克个性化设定!$B$18:$BC$18,0),FALSE)</f>
        <v>5</v>
      </c>
      <c r="X33" s="2">
        <f>VLOOKUP($B33,坦克个性化设定!$B$18:$BC$48,MATCH(X$3,坦克个性化设定!$B$18:$BC$18,0),FALSE)</f>
        <v>0.5</v>
      </c>
      <c r="Y33" s="34">
        <f>VLOOKUP($B33,坦克个性化设定!$B$18:$BC$48,MATCH(Y$3,坦克个性化设定!$B$18:$BC$18,0),FALSE)</f>
        <v>7.669995017484621</v>
      </c>
      <c r="Z33" s="34">
        <f>VLOOKUP($B33,坦克个性化设定!$B$18:$BC$48,MATCH(Z$3,坦克个性化设定!$B$18:$BC$18,0),FALSE)</f>
        <v>47.93746885927888</v>
      </c>
      <c r="AA33" s="34">
        <f>VLOOKUP($B33,坦克个性化设定!$B$18:$BC$48,MATCH(AA$3,坦克个性化设定!$B$18:$BC$18,0),FALSE)</f>
        <v>3.1</v>
      </c>
      <c r="AB33" s="34">
        <f>VLOOKUP($B33,坦克个性化设定!$B$18:$BC$48,MATCH(AB$3,坦克个性化设定!$B$18:$BC$18,0),FALSE)</f>
        <v>6.3</v>
      </c>
      <c r="AC33" s="34">
        <f>VLOOKUP($B33,坦克个性化设定!$B$18:$BC$48,MATCH(AC$3,坦克个性化设定!$B$18:$BC$18,0),FALSE)</f>
        <v>3.8888888888888888</v>
      </c>
      <c r="AD33" s="34">
        <f>VLOOKUP($B33,坦克个性化设定!$B$18:$BC$48,MATCH(AD$3,坦克个性化设定!$B$18:$BC$18,0),FALSE)</f>
        <v>2</v>
      </c>
      <c r="AE33" s="34">
        <f>VLOOKUP($B33,坦克个性化设定!$B$18:$BC$48,MATCH(AE$3,坦克个性化设定!$B$18:$BC$18,0),FALSE)</f>
        <v>1.24</v>
      </c>
      <c r="AF33" s="2">
        <f>VLOOKUP($B33,坦克个性化设定!$B$18:$BC$48,MATCH(AF$3,坦克个性化设定!$B$18:$BC$18,0),FALSE)</f>
        <v>0.2</v>
      </c>
      <c r="AG33" s="2">
        <f>VLOOKUP($B33,坦克个性化设定!$B$18:$BC$48,MATCH(AG$3,坦克个性化设定!$B$18:$BC$18,0),FALSE)</f>
        <v>70</v>
      </c>
      <c r="AH33" s="2">
        <f>VLOOKUP($B33,坦克个性化设定!$B$18:$BC$48,MATCH(AH$3,坦克个性化设定!$B$18:$BC$18,0),FALSE)</f>
        <v>110</v>
      </c>
      <c r="AI33" s="2">
        <f>VLOOKUP(B33,坦克个性化细分!$I$3:$P$33,3,FALSE)</f>
        <v>30.7</v>
      </c>
      <c r="AJ33" s="2">
        <f>VLOOKUP(B33,坦克个性化细分!$I$3:$P$33,5,FALSE)</f>
        <v>35</v>
      </c>
      <c r="AK33" s="2">
        <f>VLOOKUP(B33,坦克个性化细分!$I$3:$P$33,7,FALSE)</f>
        <v>6.3</v>
      </c>
      <c r="AL33" s="2">
        <f>VLOOKUP($B33,坦克个性化设定!$G$84:$T$114,MATCH(AL$3,坦克个性化设定!$G$84:$T$84,0),FALSE)</f>
        <v>1</v>
      </c>
      <c r="AM33" s="2">
        <f>VLOOKUP($B33,坦克个性化细分!$E$3:$G$33,2,FALSE)</f>
        <v>6</v>
      </c>
      <c r="AN33" s="2">
        <f>VLOOKUP($B33,坦克个性化细分!$E$3:$G$33,3,FALSE)</f>
        <v>0</v>
      </c>
      <c r="AO33" s="34">
        <f t="shared" si="0"/>
        <v>3</v>
      </c>
      <c r="AP33" s="33">
        <f t="shared" ca="1" si="1"/>
        <v>2618</v>
      </c>
      <c r="AQ33" s="33">
        <f t="shared" ca="1" si="2"/>
        <v>841</v>
      </c>
      <c r="AR33" s="33">
        <f t="shared" ca="1" si="3"/>
        <v>792</v>
      </c>
      <c r="AS33" s="33">
        <f t="shared" ca="1" si="4"/>
        <v>634</v>
      </c>
      <c r="AT33" s="33">
        <f t="shared" ca="1" si="5"/>
        <v>1058</v>
      </c>
      <c r="AU33" s="33">
        <f t="shared" ca="1" si="6"/>
        <v>247</v>
      </c>
      <c r="AV33" s="33">
        <f t="shared" si="12"/>
        <v>0</v>
      </c>
      <c r="AW33" s="33">
        <f t="shared" si="13"/>
        <v>0</v>
      </c>
      <c r="AX33" s="33">
        <f t="shared" si="14"/>
        <v>0</v>
      </c>
      <c r="AY33" s="2">
        <f t="shared" si="7"/>
        <v>1</v>
      </c>
      <c r="AZ33" s="2">
        <f>基础属性系数!$E$61</f>
        <v>0</v>
      </c>
      <c r="BA33" s="2">
        <v>50</v>
      </c>
      <c r="BB33" s="2">
        <v>10</v>
      </c>
      <c r="BC33" s="2">
        <f>VLOOKUP($B33,坦克类型系数!$B$3:$R$33,MATCH(BC$3,坦克类型系数!$B$3:$R$3,0),FALSE)</f>
        <v>0</v>
      </c>
      <c r="BD33" s="2">
        <f>VLOOKUP($B33,坦克类型系数!$B$3:$R$33,MATCH(BD$3,坦克类型系数!$B$3:$R$3,0),FALSE)</f>
        <v>2.4</v>
      </c>
      <c r="BE33" s="2">
        <f>VLOOKUP($B33,坦克类型系数!$B$3:$R$33,MATCH(BE$3,坦克类型系数!$B$3:$R$3,0),FALSE)</f>
        <v>1.65</v>
      </c>
      <c r="BF33" s="2">
        <f>VLOOKUP($B33,坦克类型系数!$B$3:$R$33,MATCH(BF$3,坦克类型系数!$B$3:$R$3,0),FALSE)</f>
        <v>1.25</v>
      </c>
      <c r="BG33" s="2">
        <f>VLOOKUP($B33,坦克类型系数!$B$3:$R$33,MATCH(BG$3,坦克类型系数!$B$3:$R$3,0),FALSE)</f>
        <v>1.4</v>
      </c>
      <c r="BH33" s="2">
        <f>VLOOKUP($B33,坦克类型系数!$B$3:$R$33,MATCH(BH$3,坦克类型系数!$B$3:$R$3,0),FALSE)</f>
        <v>1.17</v>
      </c>
      <c r="BI33" s="2">
        <f>VLOOKUP($B33,坦克类型系数!$B$3:$R$33,MATCH(BI$3,坦克类型系数!$B$3:$R$3,0),FALSE)</f>
        <v>0.4</v>
      </c>
      <c r="BJ33" s="25"/>
      <c r="BN33" s="2" t="str">
        <f t="shared" si="8"/>
        <v>M1A2</v>
      </c>
      <c r="BO33" s="2" t="str">
        <f>VLOOKUP(BN33,坦克个性化设定!$B$18:$E$48,MATCH(BO$3,坦克个性化设定!$B$18:$E$18,0),FALSE)</f>
        <v>T5</v>
      </c>
      <c r="BP33" s="2" t="str">
        <f t="shared" si="9"/>
        <v>低</v>
      </c>
      <c r="BQ33" s="2" t="s">
        <v>792</v>
      </c>
      <c r="BR33" s="2"/>
      <c r="BS33" s="42">
        <f ca="1">VLOOKUP($BN33&amp;$BQ33,坦克标准养成属性!$S$3:$AE$63,MATCH(BS$3,坦克标准养成属性!$S$3:$AE$3,0),FALSE)</f>
        <v>2618.4810140073828</v>
      </c>
      <c r="BT33" s="42">
        <f ca="1">VLOOKUP($BN33&amp;$BQ33,坦克标准养成属性!$S$3:$AE$63,MATCH(BT$3,坦克标准养成属性!$S$3:$AE$3,0),FALSE)</f>
        <v>840.99826892760166</v>
      </c>
      <c r="BU33" s="42">
        <f ca="1">VLOOKUP($BN33&amp;$BQ33,坦克标准养成属性!$S$3:$AE$63,MATCH(BU$3,坦克标准养成属性!$S$3:$AE$3,0),FALSE)</f>
        <v>792</v>
      </c>
      <c r="BV33" s="42">
        <f ca="1">VLOOKUP($BN33&amp;$BQ33,坦克标准养成属性!$S$3:$AE$63,MATCH(BV$3,坦克标准养成属性!$S$3:$AE$3,0),FALSE)</f>
        <v>634</v>
      </c>
      <c r="BW33" s="42">
        <f ca="1">VLOOKUP($BN33&amp;$BQ33,坦克标准养成属性!$S$3:$AE$63,MATCH(BW$3,坦克标准养成属性!$S$3:$AE$3,0),FALSE)</f>
        <v>1058</v>
      </c>
      <c r="BX33" s="42">
        <f ca="1">VLOOKUP($BN33&amp;$BQ33,坦克标准养成属性!$S$3:$AE$63,MATCH(BX$3,坦克标准养成属性!$S$3:$AE$3,0),FALSE)</f>
        <v>247</v>
      </c>
      <c r="BY33" s="2">
        <f>IFERROR((VLOOKUP(LEFT(BR33,1)*1,坦克部件!$N$3:$W$9,MATCH("升星属性",坦克部件!$N$3:$W$3,0),FALSE)+VLOOKUP(RIGHT(BR33,1)*1,坦克部件!$Y$3:$AC$38,MATCH("累计属性",坦克部件!$Y$3:$AC$3,0),FALSE))*2,0)</f>
        <v>0</v>
      </c>
      <c r="BZ33" s="42">
        <f t="shared" si="15"/>
        <v>0</v>
      </c>
      <c r="CA33" s="42">
        <f t="shared" si="16"/>
        <v>0</v>
      </c>
    </row>
  </sheetData>
  <mergeCells count="2">
    <mergeCell ref="B2:BI2"/>
    <mergeCell ref="BN2:CA2"/>
  </mergeCells>
  <phoneticPr fontId="34" type="noConversion"/>
  <pageMargins left="0.7" right="0.7" top="0.75" bottom="0.75" header="0.3" footer="0.3"/>
  <pageSetup paperSize="9" orientation="portrait"/>
  <ignoredErrors>
    <ignoredError sqref="H4:H33"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G168"/>
  <sheetViews>
    <sheetView workbookViewId="0">
      <selection activeCell="C6" sqref="C6:C9"/>
    </sheetView>
  </sheetViews>
  <sheetFormatPr defaultColWidth="9" defaultRowHeight="14.25" x14ac:dyDescent="0.3"/>
  <cols>
    <col min="1" max="16384" width="9" style="1"/>
  </cols>
  <sheetData>
    <row r="2" spans="2:17" ht="15.75" customHeight="1" x14ac:dyDescent="0.3">
      <c r="B2" s="262" t="s">
        <v>1233</v>
      </c>
      <c r="C2" s="262"/>
      <c r="D2" s="262"/>
      <c r="E2" s="262"/>
      <c r="F2" s="262"/>
      <c r="G2" s="262"/>
      <c r="H2" s="262"/>
      <c r="J2" s="263" t="s">
        <v>1234</v>
      </c>
      <c r="K2" s="264"/>
      <c r="L2" s="264"/>
      <c r="M2" s="264"/>
      <c r="N2" s="265"/>
    </row>
    <row r="3" spans="2:17" x14ac:dyDescent="0.3">
      <c r="B3" s="2" t="s">
        <v>1235</v>
      </c>
      <c r="C3" s="2" t="s">
        <v>602</v>
      </c>
      <c r="D3" s="2" t="s">
        <v>603</v>
      </c>
      <c r="E3" s="2" t="s">
        <v>1236</v>
      </c>
      <c r="F3" s="2" t="s">
        <v>900</v>
      </c>
      <c r="G3" s="2" t="s">
        <v>354</v>
      </c>
      <c r="H3" s="2" t="s">
        <v>1237</v>
      </c>
      <c r="J3" s="2" t="s">
        <v>1235</v>
      </c>
      <c r="K3" s="2" t="s">
        <v>1238</v>
      </c>
      <c r="L3" s="2" t="s">
        <v>602</v>
      </c>
      <c r="M3" s="2" t="s">
        <v>603</v>
      </c>
      <c r="N3" s="2" t="s">
        <v>167</v>
      </c>
      <c r="P3" s="2" t="s">
        <v>1238</v>
      </c>
      <c r="Q3" s="2" t="s">
        <v>167</v>
      </c>
    </row>
    <row r="4" spans="2:17" x14ac:dyDescent="0.3">
      <c r="B4" s="2">
        <v>1</v>
      </c>
      <c r="C4" s="2" t="str">
        <f>坦克等级成长!B13&amp;坦克等级成长!C13</f>
        <v>T1低</v>
      </c>
      <c r="D4" s="2">
        <f>坦克标准养成属性!I4</f>
        <v>5</v>
      </c>
      <c r="E4" s="2">
        <f>坦克标准养成属性!O4</f>
        <v>0.7</v>
      </c>
      <c r="F4" s="2">
        <f>坦克标准养成属性!P4</f>
        <v>0.3</v>
      </c>
      <c r="G4" s="34">
        <f>坦克等级成长!J13</f>
        <v>1</v>
      </c>
      <c r="H4" s="34">
        <f>坦克等级成长!K13</f>
        <v>1.3</v>
      </c>
      <c r="I4" s="130"/>
      <c r="J4" s="2">
        <v>1</v>
      </c>
      <c r="K4" s="2" t="str">
        <f>L4&amp;M4</f>
        <v>T1低0</v>
      </c>
      <c r="L4" s="2" t="str">
        <f t="shared" ref="L4:L35" si="0">VLOOKUP(J4,$B$3:$H$15,2,FALSE)</f>
        <v>T1低</v>
      </c>
      <c r="M4" s="2">
        <f>IF(J4&lt;&gt;J3,0,M3+1)</f>
        <v>0</v>
      </c>
      <c r="N4" s="34">
        <f t="shared" ref="N4:N35" si="1">VLOOKUP(J4,$B$3:$H$15,6,FALSE)+M4/VLOOKUP(J4,$B$3:$H$15,3,FALSE)*(VLOOKUP(J4,$B$3:$H$15,7,FALSE)-VLOOKUP(J4,$B$3:$H$15,6,FALSE))</f>
        <v>1</v>
      </c>
      <c r="P4" s="2" t="s">
        <v>1239</v>
      </c>
      <c r="Q4" s="34">
        <v>1</v>
      </c>
    </row>
    <row r="5" spans="2:17" x14ac:dyDescent="0.3">
      <c r="B5" s="2">
        <v>2</v>
      </c>
      <c r="C5" s="2" t="str">
        <f>坦克等级成长!B14&amp;坦克等级成长!C14</f>
        <v>T2低</v>
      </c>
      <c r="D5" s="2">
        <f>坦克标准养成属性!I5</f>
        <v>7</v>
      </c>
      <c r="E5" s="2">
        <f>坦克标准养成属性!O5</f>
        <v>0.65</v>
      </c>
      <c r="F5" s="2">
        <f>坦克标准养成属性!P5</f>
        <v>0.35</v>
      </c>
      <c r="G5" s="34">
        <f>坦克等级成长!J14</f>
        <v>1.2</v>
      </c>
      <c r="H5" s="34">
        <f>坦克等级成长!K14</f>
        <v>1.7</v>
      </c>
      <c r="I5" s="130"/>
      <c r="J5" s="2">
        <f t="shared" ref="J5:J36" si="2">IF(M4=VLOOKUP(J4,$B$3:$H$15,3,FALSE),J4+1,J4)</f>
        <v>1</v>
      </c>
      <c r="K5" s="2" t="str">
        <f t="shared" ref="K5:K68" si="3">L5&amp;M5</f>
        <v>T1低1</v>
      </c>
      <c r="L5" s="2" t="str">
        <f t="shared" si="0"/>
        <v>T1低</v>
      </c>
      <c r="M5" s="2">
        <f t="shared" ref="M5:M27" si="4">IF(J5&lt;&gt;J4,0,M4+1)</f>
        <v>1</v>
      </c>
      <c r="N5" s="34">
        <f t="shared" si="1"/>
        <v>1.06</v>
      </c>
      <c r="P5" s="2" t="s">
        <v>780</v>
      </c>
      <c r="Q5" s="34">
        <v>1.2</v>
      </c>
    </row>
    <row r="6" spans="2:17" x14ac:dyDescent="0.3">
      <c r="B6" s="2">
        <v>3</v>
      </c>
      <c r="C6" s="2" t="str">
        <f>坦克等级成长!B15&amp;坦克等级成长!C15</f>
        <v>T2中</v>
      </c>
      <c r="D6" s="2">
        <f>坦克标准养成属性!I6</f>
        <v>7</v>
      </c>
      <c r="E6" s="2">
        <f>坦克标准养成属性!O6</f>
        <v>0.65</v>
      </c>
      <c r="F6" s="2">
        <f>坦克标准养成属性!P6</f>
        <v>0.35</v>
      </c>
      <c r="G6" s="34">
        <f>坦克等级成长!J15</f>
        <v>1.22</v>
      </c>
      <c r="H6" s="34">
        <f>坦克等级成长!K15</f>
        <v>1.7599999999999998</v>
      </c>
      <c r="I6" s="130"/>
      <c r="J6" s="2">
        <f t="shared" si="2"/>
        <v>1</v>
      </c>
      <c r="K6" s="2" t="str">
        <f t="shared" si="3"/>
        <v>T1低2</v>
      </c>
      <c r="L6" s="2" t="str">
        <f t="shared" si="0"/>
        <v>T1低</v>
      </c>
      <c r="M6" s="2">
        <f t="shared" si="4"/>
        <v>2</v>
      </c>
      <c r="N6" s="34">
        <f t="shared" si="1"/>
        <v>1.1200000000000001</v>
      </c>
      <c r="P6" s="2" t="s">
        <v>1240</v>
      </c>
      <c r="Q6" s="34">
        <v>1.4</v>
      </c>
    </row>
    <row r="7" spans="2:17" x14ac:dyDescent="0.3">
      <c r="B7" s="2">
        <v>4</v>
      </c>
      <c r="C7" s="2" t="str">
        <f>坦克等级成长!B16&amp;坦克等级成长!C16</f>
        <v>T3低</v>
      </c>
      <c r="D7" s="2">
        <f>坦克标准养成属性!I7</f>
        <v>9</v>
      </c>
      <c r="E7" s="2">
        <f>坦克标准养成属性!O7</f>
        <v>0.6</v>
      </c>
      <c r="F7" s="2">
        <f>坦克标准养成属性!P7</f>
        <v>0.4</v>
      </c>
      <c r="G7" s="34">
        <f>坦克等级成长!J16</f>
        <v>1.48</v>
      </c>
      <c r="H7" s="34">
        <f>坦克等级成长!K16</f>
        <v>2.17</v>
      </c>
      <c r="I7" s="130"/>
      <c r="J7" s="2">
        <f t="shared" si="2"/>
        <v>1</v>
      </c>
      <c r="K7" s="2" t="str">
        <f t="shared" si="3"/>
        <v>T1低3</v>
      </c>
      <c r="L7" s="2" t="str">
        <f t="shared" si="0"/>
        <v>T1低</v>
      </c>
      <c r="M7" s="2">
        <f t="shared" si="4"/>
        <v>3</v>
      </c>
      <c r="N7" s="34">
        <f t="shared" si="1"/>
        <v>1.18</v>
      </c>
      <c r="P7" s="2" t="s">
        <v>1241</v>
      </c>
      <c r="Q7" s="34">
        <v>1.4</v>
      </c>
    </row>
    <row r="8" spans="2:17" x14ac:dyDescent="0.3">
      <c r="B8" s="2">
        <v>5</v>
      </c>
      <c r="C8" s="2" t="str">
        <f>坦克等级成长!B17&amp;坦克等级成长!C17</f>
        <v>T3中</v>
      </c>
      <c r="D8" s="2">
        <f>坦克标准养成属性!I8</f>
        <v>9</v>
      </c>
      <c r="E8" s="2">
        <f>坦克标准养成属性!O8</f>
        <v>0.6</v>
      </c>
      <c r="F8" s="2">
        <f>坦克标准养成属性!P8</f>
        <v>0.4</v>
      </c>
      <c r="G8" s="34">
        <f>坦克等级成长!J17</f>
        <v>1.54</v>
      </c>
      <c r="H8" s="34">
        <f>坦克等级成长!K17</f>
        <v>2.2800000000000002</v>
      </c>
      <c r="I8" s="130"/>
      <c r="J8" s="2">
        <f t="shared" si="2"/>
        <v>1</v>
      </c>
      <c r="K8" s="2" t="str">
        <f t="shared" si="3"/>
        <v>T1低4</v>
      </c>
      <c r="L8" s="2" t="str">
        <f t="shared" si="0"/>
        <v>T1低</v>
      </c>
      <c r="M8" s="2">
        <f t="shared" si="4"/>
        <v>4</v>
      </c>
      <c r="N8" s="34">
        <f t="shared" si="1"/>
        <v>1.24</v>
      </c>
      <c r="P8" s="2" t="s">
        <v>1242</v>
      </c>
      <c r="Q8" s="34">
        <v>1.48</v>
      </c>
    </row>
    <row r="9" spans="2:17" x14ac:dyDescent="0.3">
      <c r="B9" s="2">
        <v>6</v>
      </c>
      <c r="C9" s="2" t="str">
        <f>坦克等级成长!B18&amp;坦克等级成长!C18</f>
        <v>T3高</v>
      </c>
      <c r="D9" s="2">
        <f>坦克标准养成属性!I9</f>
        <v>9</v>
      </c>
      <c r="E9" s="2">
        <f>坦克标准养成属性!O9</f>
        <v>0.6</v>
      </c>
      <c r="F9" s="2">
        <f>坦克标准养成属性!P9</f>
        <v>0.4</v>
      </c>
      <c r="G9" s="34">
        <f>坦克等级成长!J18</f>
        <v>1.54</v>
      </c>
      <c r="H9" s="34">
        <f>坦克等级成长!K18</f>
        <v>2.33</v>
      </c>
      <c r="I9" s="130"/>
      <c r="J9" s="2">
        <f t="shared" si="2"/>
        <v>1</v>
      </c>
      <c r="K9" s="2" t="str">
        <f t="shared" si="3"/>
        <v>T1低5</v>
      </c>
      <c r="L9" s="2" t="str">
        <f t="shared" si="0"/>
        <v>T1低</v>
      </c>
      <c r="M9" s="2">
        <f t="shared" si="4"/>
        <v>5</v>
      </c>
      <c r="N9" s="34">
        <f t="shared" si="1"/>
        <v>1.3</v>
      </c>
      <c r="P9" s="2" t="s">
        <v>783</v>
      </c>
      <c r="Q9" s="34">
        <v>1.6</v>
      </c>
    </row>
    <row r="10" spans="2:17" x14ac:dyDescent="0.3">
      <c r="B10" s="2">
        <v>7</v>
      </c>
      <c r="C10" s="2" t="str">
        <f>坦克等级成长!B19&amp;坦克等级成长!C19</f>
        <v>T4低</v>
      </c>
      <c r="D10" s="2">
        <f>坦克标准养成属性!I10</f>
        <v>11</v>
      </c>
      <c r="E10" s="2">
        <f>坦克标准养成属性!O10</f>
        <v>0.55000000000000004</v>
      </c>
      <c r="F10" s="2">
        <f>坦克标准养成属性!P10</f>
        <v>0.45</v>
      </c>
      <c r="G10" s="34">
        <f>坦克等级成长!J19</f>
        <v>1.92</v>
      </c>
      <c r="H10" s="34">
        <f>坦克等级成长!K19</f>
        <v>2.82</v>
      </c>
      <c r="I10" s="130"/>
      <c r="J10" s="2">
        <f t="shared" si="2"/>
        <v>2</v>
      </c>
      <c r="K10" s="2" t="str">
        <f t="shared" si="3"/>
        <v>T2低0</v>
      </c>
      <c r="L10" s="2" t="str">
        <f t="shared" si="0"/>
        <v>T2低</v>
      </c>
      <c r="M10" s="2">
        <f t="shared" si="4"/>
        <v>0</v>
      </c>
      <c r="N10" s="34">
        <f t="shared" si="1"/>
        <v>1.2</v>
      </c>
      <c r="P10" s="2" t="s">
        <v>1243</v>
      </c>
      <c r="Q10" s="34">
        <v>1.6</v>
      </c>
    </row>
    <row r="11" spans="2:17" x14ac:dyDescent="0.3">
      <c r="B11" s="2">
        <v>8</v>
      </c>
      <c r="C11" s="2" t="str">
        <f>坦克等级成长!B20&amp;坦克等级成长!C20</f>
        <v>T4中</v>
      </c>
      <c r="D11" s="2">
        <f>坦克标准养成属性!I11</f>
        <v>11</v>
      </c>
      <c r="E11" s="2">
        <f>坦克标准养成属性!O11</f>
        <v>0.55000000000000004</v>
      </c>
      <c r="F11" s="2">
        <f>坦克标准养成属性!P11</f>
        <v>0.45</v>
      </c>
      <c r="G11" s="34">
        <f>坦克等级成长!J20</f>
        <v>2</v>
      </c>
      <c r="H11" s="34">
        <f>坦克等级成长!K20</f>
        <v>2.96</v>
      </c>
      <c r="I11" s="130"/>
      <c r="J11" s="2">
        <f t="shared" si="2"/>
        <v>2</v>
      </c>
      <c r="K11" s="2" t="str">
        <f t="shared" si="3"/>
        <v>T2低1</v>
      </c>
      <c r="L11" s="2" t="str">
        <f t="shared" si="0"/>
        <v>T2低</v>
      </c>
      <c r="M11" s="2">
        <f t="shared" si="4"/>
        <v>1</v>
      </c>
      <c r="N11" s="34">
        <f t="shared" si="1"/>
        <v>1.2714285714285714</v>
      </c>
      <c r="P11" s="2" t="s">
        <v>1244</v>
      </c>
      <c r="Q11" s="34">
        <v>1.6945454545454499</v>
      </c>
    </row>
    <row r="12" spans="2:17" x14ac:dyDescent="0.3">
      <c r="B12" s="2">
        <v>9</v>
      </c>
      <c r="C12" s="2" t="str">
        <f>坦克等级成长!B21&amp;坦克等级成长!C21</f>
        <v>T4高</v>
      </c>
      <c r="D12" s="2">
        <f>坦克标准养成属性!I12</f>
        <v>11</v>
      </c>
      <c r="E12" s="2">
        <f>坦克标准养成属性!O12</f>
        <v>0.55000000000000004</v>
      </c>
      <c r="F12" s="2">
        <f>坦克标准养成属性!P12</f>
        <v>0.45</v>
      </c>
      <c r="G12" s="34">
        <f>坦克等级成长!J21</f>
        <v>2</v>
      </c>
      <c r="H12" s="34">
        <f>坦克等级成长!K21</f>
        <v>3.0199999999999996</v>
      </c>
      <c r="I12" s="130"/>
      <c r="J12" s="2">
        <f t="shared" si="2"/>
        <v>2</v>
      </c>
      <c r="K12" s="2" t="str">
        <f t="shared" si="3"/>
        <v>T2低2</v>
      </c>
      <c r="L12" s="2" t="str">
        <f t="shared" si="0"/>
        <v>T2低</v>
      </c>
      <c r="M12" s="2">
        <f t="shared" si="4"/>
        <v>2</v>
      </c>
      <c r="N12" s="34">
        <f t="shared" si="1"/>
        <v>1.3428571428571427</v>
      </c>
      <c r="P12" s="2" t="s">
        <v>1245</v>
      </c>
      <c r="Q12" s="34">
        <v>1.8</v>
      </c>
    </row>
    <row r="13" spans="2:17" x14ac:dyDescent="0.3">
      <c r="B13" s="2">
        <v>10</v>
      </c>
      <c r="C13" s="2" t="str">
        <f>坦克等级成长!B22&amp;坦克等级成长!C22</f>
        <v>T5低</v>
      </c>
      <c r="D13" s="2">
        <f>坦克标准养成属性!I13</f>
        <v>13</v>
      </c>
      <c r="E13" s="2">
        <f>坦克标准养成属性!O13</f>
        <v>0.5</v>
      </c>
      <c r="F13" s="2">
        <f>坦克标准养成属性!P13</f>
        <v>0.5</v>
      </c>
      <c r="G13" s="34">
        <f>坦克等级成长!J22</f>
        <v>2.52</v>
      </c>
      <c r="H13" s="34">
        <f>坦克等级成长!K22</f>
        <v>3.65</v>
      </c>
      <c r="I13" s="130"/>
      <c r="J13" s="2">
        <f t="shared" si="2"/>
        <v>2</v>
      </c>
      <c r="K13" s="2" t="str">
        <f t="shared" si="3"/>
        <v>T2低3</v>
      </c>
      <c r="L13" s="2" t="str">
        <f t="shared" si="0"/>
        <v>T2低</v>
      </c>
      <c r="M13" s="2">
        <f t="shared" si="4"/>
        <v>3</v>
      </c>
      <c r="N13" s="34">
        <f t="shared" si="1"/>
        <v>1.4142857142857141</v>
      </c>
      <c r="P13" s="2" t="s">
        <v>781</v>
      </c>
      <c r="Q13" s="34">
        <v>1.8</v>
      </c>
    </row>
    <row r="14" spans="2:17" x14ac:dyDescent="0.3">
      <c r="B14" s="2">
        <v>11</v>
      </c>
      <c r="C14" s="2" t="str">
        <f>坦克等级成长!B23&amp;坦克等级成长!C23</f>
        <v>T5中</v>
      </c>
      <c r="D14" s="2">
        <f>坦克标准养成属性!I14</f>
        <v>13</v>
      </c>
      <c r="E14" s="2">
        <f>坦克标准养成属性!O14</f>
        <v>0.5</v>
      </c>
      <c r="F14" s="2">
        <f>坦克标准养成属性!P14</f>
        <v>0.5</v>
      </c>
      <c r="G14" s="34">
        <f>坦克等级成长!J23</f>
        <v>2.62</v>
      </c>
      <c r="H14" s="34">
        <f>坦克等级成长!K23</f>
        <v>3.82</v>
      </c>
      <c r="I14" s="130"/>
      <c r="J14" s="2">
        <f t="shared" si="2"/>
        <v>2</v>
      </c>
      <c r="K14" s="2" t="str">
        <f t="shared" si="3"/>
        <v>T2低4</v>
      </c>
      <c r="L14" s="2" t="str">
        <f t="shared" si="0"/>
        <v>T2低</v>
      </c>
      <c r="M14" s="2">
        <f t="shared" si="4"/>
        <v>4</v>
      </c>
      <c r="N14" s="34">
        <f t="shared" si="1"/>
        <v>1.4857142857142858</v>
      </c>
      <c r="P14" s="2" t="s">
        <v>782</v>
      </c>
      <c r="Q14" s="34">
        <v>1.9090909090909101</v>
      </c>
    </row>
    <row r="15" spans="2:17" x14ac:dyDescent="0.3">
      <c r="B15" s="2">
        <v>12</v>
      </c>
      <c r="C15" s="2" t="str">
        <f>坦克等级成长!B24&amp;坦克等级成长!C24</f>
        <v>T5高</v>
      </c>
      <c r="D15" s="2">
        <f>坦克标准养成属性!I15</f>
        <v>13</v>
      </c>
      <c r="E15" s="2">
        <f>坦克标准养成属性!O15</f>
        <v>0.5</v>
      </c>
      <c r="F15" s="2">
        <f>坦克标准养成属性!P15</f>
        <v>0.5</v>
      </c>
      <c r="G15" s="34">
        <f>坦克等级成长!J24</f>
        <v>2.62</v>
      </c>
      <c r="H15" s="34">
        <f>坦克等级成长!K24</f>
        <v>3.89</v>
      </c>
      <c r="I15" s="130"/>
      <c r="J15" s="2">
        <f t="shared" si="2"/>
        <v>2</v>
      </c>
      <c r="K15" s="2" t="str">
        <f t="shared" si="3"/>
        <v>T2低5</v>
      </c>
      <c r="L15" s="2" t="str">
        <f t="shared" si="0"/>
        <v>T2低</v>
      </c>
      <c r="M15" s="2">
        <f t="shared" si="4"/>
        <v>5</v>
      </c>
      <c r="N15" s="34">
        <f t="shared" si="1"/>
        <v>1.5571428571428572</v>
      </c>
      <c r="P15" s="2" t="s">
        <v>1246</v>
      </c>
      <c r="Q15" s="34">
        <v>2</v>
      </c>
    </row>
    <row r="16" spans="2:17" x14ac:dyDescent="0.3">
      <c r="J16" s="2">
        <f t="shared" si="2"/>
        <v>2</v>
      </c>
      <c r="K16" s="2" t="str">
        <f t="shared" si="3"/>
        <v>T2低6</v>
      </c>
      <c r="L16" s="2" t="str">
        <f t="shared" si="0"/>
        <v>T2低</v>
      </c>
      <c r="M16" s="2">
        <f t="shared" si="4"/>
        <v>6</v>
      </c>
      <c r="N16" s="34">
        <f t="shared" si="1"/>
        <v>1.6285714285714286</v>
      </c>
      <c r="P16" s="2" t="s">
        <v>1247</v>
      </c>
      <c r="Q16" s="34">
        <v>2</v>
      </c>
    </row>
    <row r="17" spans="10:33" x14ac:dyDescent="0.3">
      <c r="J17" s="2">
        <f t="shared" si="2"/>
        <v>2</v>
      </c>
      <c r="K17" s="2" t="str">
        <f t="shared" si="3"/>
        <v>T2低7</v>
      </c>
      <c r="L17" s="2" t="str">
        <f t="shared" si="0"/>
        <v>T2低</v>
      </c>
      <c r="M17" s="2">
        <f t="shared" si="4"/>
        <v>7</v>
      </c>
      <c r="N17" s="34">
        <f t="shared" si="1"/>
        <v>1.7</v>
      </c>
      <c r="P17" s="2" t="s">
        <v>1248</v>
      </c>
      <c r="Q17" s="34">
        <v>2.12</v>
      </c>
    </row>
    <row r="18" spans="10:33" x14ac:dyDescent="0.3">
      <c r="J18" s="2">
        <f t="shared" si="2"/>
        <v>3</v>
      </c>
      <c r="K18" s="2" t="str">
        <f t="shared" si="3"/>
        <v>T2中0</v>
      </c>
      <c r="L18" s="2" t="str">
        <f t="shared" si="0"/>
        <v>T2中</v>
      </c>
      <c r="M18" s="2">
        <f t="shared" si="4"/>
        <v>0</v>
      </c>
      <c r="N18" s="34">
        <f t="shared" si="1"/>
        <v>1.22</v>
      </c>
      <c r="P18" s="2" t="s">
        <v>1249</v>
      </c>
      <c r="Q18" s="34">
        <v>2.12363636363636</v>
      </c>
    </row>
    <row r="19" spans="10:33" x14ac:dyDescent="0.3">
      <c r="J19" s="2">
        <f t="shared" si="2"/>
        <v>3</v>
      </c>
      <c r="K19" s="2" t="str">
        <f t="shared" si="3"/>
        <v>T2中1</v>
      </c>
      <c r="L19" s="2" t="str">
        <f t="shared" si="0"/>
        <v>T2中</v>
      </c>
      <c r="M19" s="2">
        <f t="shared" si="4"/>
        <v>1</v>
      </c>
      <c r="N19" s="34">
        <f t="shared" si="1"/>
        <v>1.2971428571428572</v>
      </c>
      <c r="P19" s="2" t="s">
        <v>789</v>
      </c>
      <c r="Q19" s="34">
        <v>2.2000000000000002</v>
      </c>
    </row>
    <row r="20" spans="10:33" x14ac:dyDescent="0.3">
      <c r="J20" s="2">
        <f t="shared" si="2"/>
        <v>3</v>
      </c>
      <c r="K20" s="2" t="str">
        <f t="shared" si="3"/>
        <v>T2中2</v>
      </c>
      <c r="L20" s="2" t="str">
        <f t="shared" si="0"/>
        <v>T2中</v>
      </c>
      <c r="M20" s="2">
        <f t="shared" si="4"/>
        <v>2</v>
      </c>
      <c r="N20" s="34">
        <f t="shared" si="1"/>
        <v>1.3742857142857141</v>
      </c>
      <c r="P20" s="2" t="s">
        <v>1250</v>
      </c>
      <c r="Q20" s="34">
        <v>2.2000000000000002</v>
      </c>
    </row>
    <row r="21" spans="10:33" x14ac:dyDescent="0.3">
      <c r="J21" s="2">
        <f t="shared" si="2"/>
        <v>3</v>
      </c>
      <c r="K21" s="2" t="str">
        <f t="shared" si="3"/>
        <v>T2中3</v>
      </c>
      <c r="L21" s="2" t="str">
        <f t="shared" si="0"/>
        <v>T2中</v>
      </c>
      <c r="M21" s="2">
        <f t="shared" si="4"/>
        <v>3</v>
      </c>
      <c r="N21" s="34">
        <f t="shared" si="1"/>
        <v>1.4514285714285713</v>
      </c>
      <c r="P21" s="2" t="s">
        <v>1251</v>
      </c>
      <c r="Q21" s="34">
        <v>2.2400000000000002</v>
      </c>
      <c r="AG21" s="132"/>
    </row>
    <row r="22" spans="10:33" x14ac:dyDescent="0.3">
      <c r="J22" s="2">
        <f t="shared" si="2"/>
        <v>3</v>
      </c>
      <c r="K22" s="2" t="str">
        <f t="shared" si="3"/>
        <v>T2中4</v>
      </c>
      <c r="L22" s="2" t="str">
        <f t="shared" si="0"/>
        <v>T2中</v>
      </c>
      <c r="M22" s="2">
        <f t="shared" si="4"/>
        <v>4</v>
      </c>
      <c r="N22" s="34">
        <f t="shared" si="1"/>
        <v>1.5285714285714285</v>
      </c>
      <c r="P22" s="2" t="s">
        <v>1252</v>
      </c>
      <c r="Q22" s="34">
        <v>2.3342857142857101</v>
      </c>
      <c r="AG22" s="132"/>
    </row>
    <row r="23" spans="10:33" x14ac:dyDescent="0.3">
      <c r="J23" s="2">
        <f t="shared" si="2"/>
        <v>3</v>
      </c>
      <c r="K23" s="2" t="str">
        <f t="shared" si="3"/>
        <v>T2中5</v>
      </c>
      <c r="L23" s="2" t="str">
        <f t="shared" si="0"/>
        <v>T2中</v>
      </c>
      <c r="M23" s="2">
        <f t="shared" si="4"/>
        <v>5</v>
      </c>
      <c r="N23" s="34">
        <f t="shared" si="1"/>
        <v>1.6057142857142854</v>
      </c>
      <c r="P23" s="2" t="s">
        <v>806</v>
      </c>
      <c r="Q23" s="34">
        <v>2.3381818181818201</v>
      </c>
    </row>
    <row r="24" spans="10:33" x14ac:dyDescent="0.3">
      <c r="J24" s="2">
        <f t="shared" si="2"/>
        <v>3</v>
      </c>
      <c r="K24" s="2" t="str">
        <f t="shared" si="3"/>
        <v>T2中6</v>
      </c>
      <c r="L24" s="2" t="str">
        <f t="shared" si="0"/>
        <v>T2中</v>
      </c>
      <c r="M24" s="2">
        <f t="shared" si="4"/>
        <v>6</v>
      </c>
      <c r="N24" s="34">
        <f t="shared" si="1"/>
        <v>1.6828571428571426</v>
      </c>
      <c r="P24" s="2" t="s">
        <v>1253</v>
      </c>
      <c r="Q24" s="34">
        <v>2.4</v>
      </c>
    </row>
    <row r="25" spans="10:33" x14ac:dyDescent="0.3">
      <c r="J25" s="2">
        <f t="shared" si="2"/>
        <v>3</v>
      </c>
      <c r="K25" s="2" t="str">
        <f t="shared" si="3"/>
        <v>T2中7</v>
      </c>
      <c r="L25" s="2" t="str">
        <f t="shared" si="0"/>
        <v>T2中</v>
      </c>
      <c r="M25" s="2">
        <f t="shared" si="4"/>
        <v>7</v>
      </c>
      <c r="N25" s="34">
        <f t="shared" si="1"/>
        <v>1.7599999999999998</v>
      </c>
      <c r="P25" s="2" t="s">
        <v>1254</v>
      </c>
      <c r="Q25" s="34">
        <v>2.4</v>
      </c>
    </row>
    <row r="26" spans="10:33" x14ac:dyDescent="0.3">
      <c r="J26" s="2">
        <f t="shared" si="2"/>
        <v>4</v>
      </c>
      <c r="K26" s="2" t="str">
        <f t="shared" si="3"/>
        <v>T3低0</v>
      </c>
      <c r="L26" s="2" t="str">
        <f t="shared" si="0"/>
        <v>T3低</v>
      </c>
      <c r="M26" s="2">
        <f t="shared" si="4"/>
        <v>0</v>
      </c>
      <c r="N26" s="34">
        <f t="shared" si="1"/>
        <v>1.48</v>
      </c>
      <c r="P26" s="2" t="s">
        <v>1255</v>
      </c>
      <c r="Q26" s="34">
        <v>2.4685714285714302</v>
      </c>
    </row>
    <row r="27" spans="10:33" x14ac:dyDescent="0.3">
      <c r="J27" s="2">
        <f t="shared" si="2"/>
        <v>4</v>
      </c>
      <c r="K27" s="2" t="str">
        <f t="shared" si="3"/>
        <v>T3低1</v>
      </c>
      <c r="L27" s="2" t="str">
        <f t="shared" si="0"/>
        <v>T3低</v>
      </c>
      <c r="M27" s="2">
        <f t="shared" si="4"/>
        <v>1</v>
      </c>
      <c r="N27" s="34">
        <f t="shared" si="1"/>
        <v>1.5566666666666666</v>
      </c>
      <c r="P27" s="2" t="s">
        <v>1256</v>
      </c>
      <c r="Q27" s="34">
        <v>2.5485714285714298</v>
      </c>
    </row>
    <row r="28" spans="10:33" x14ac:dyDescent="0.3">
      <c r="J28" s="2">
        <f t="shared" si="2"/>
        <v>4</v>
      </c>
      <c r="K28" s="2" t="str">
        <f t="shared" si="3"/>
        <v>T3低2</v>
      </c>
      <c r="L28" s="2" t="str">
        <f t="shared" si="0"/>
        <v>T3低</v>
      </c>
      <c r="M28" s="2">
        <f t="shared" ref="M28:M59" si="5">IF(J28&lt;&gt;J27,0,M27+1)</f>
        <v>2</v>
      </c>
      <c r="N28" s="34">
        <f t="shared" si="1"/>
        <v>1.6333333333333333</v>
      </c>
      <c r="P28" s="2" t="s">
        <v>1257</v>
      </c>
      <c r="Q28" s="34">
        <v>2.5527272727272701</v>
      </c>
    </row>
    <row r="29" spans="10:33" x14ac:dyDescent="0.3">
      <c r="J29" s="2">
        <f t="shared" si="2"/>
        <v>4</v>
      </c>
      <c r="K29" s="2" t="str">
        <f t="shared" si="3"/>
        <v>T3低3</v>
      </c>
      <c r="L29" s="2" t="str">
        <f t="shared" si="0"/>
        <v>T3低</v>
      </c>
      <c r="M29" s="2">
        <f t="shared" si="5"/>
        <v>3</v>
      </c>
      <c r="N29" s="34">
        <f t="shared" si="1"/>
        <v>1.71</v>
      </c>
      <c r="P29" s="2" t="s">
        <v>784</v>
      </c>
      <c r="Q29" s="34">
        <v>2.6</v>
      </c>
    </row>
    <row r="30" spans="10:33" x14ac:dyDescent="0.3">
      <c r="J30" s="2">
        <f t="shared" si="2"/>
        <v>4</v>
      </c>
      <c r="K30" s="2" t="str">
        <f t="shared" si="3"/>
        <v>T3低4</v>
      </c>
      <c r="L30" s="2" t="str">
        <f t="shared" si="0"/>
        <v>T3低</v>
      </c>
      <c r="M30" s="2">
        <f t="shared" si="5"/>
        <v>4</v>
      </c>
      <c r="N30" s="34">
        <f t="shared" si="1"/>
        <v>1.7866666666666666</v>
      </c>
      <c r="P30" s="2" t="s">
        <v>1258</v>
      </c>
      <c r="Q30" s="34">
        <v>2.6</v>
      </c>
    </row>
    <row r="31" spans="10:33" x14ac:dyDescent="0.3">
      <c r="J31" s="2">
        <f t="shared" si="2"/>
        <v>4</v>
      </c>
      <c r="K31" s="2" t="str">
        <f t="shared" si="3"/>
        <v>T3低5</v>
      </c>
      <c r="L31" s="2" t="str">
        <f t="shared" si="0"/>
        <v>T3低</v>
      </c>
      <c r="M31" s="2">
        <f t="shared" si="5"/>
        <v>5</v>
      </c>
      <c r="N31" s="34">
        <f t="shared" si="1"/>
        <v>1.8633333333333333</v>
      </c>
      <c r="P31" s="2" t="s">
        <v>1259</v>
      </c>
      <c r="Q31" s="34">
        <v>2.6971428571428602</v>
      </c>
    </row>
    <row r="32" spans="10:33" x14ac:dyDescent="0.3">
      <c r="J32" s="2">
        <f t="shared" si="2"/>
        <v>4</v>
      </c>
      <c r="K32" s="2" t="str">
        <f t="shared" si="3"/>
        <v>T3低6</v>
      </c>
      <c r="L32" s="2" t="str">
        <f t="shared" si="0"/>
        <v>T3低</v>
      </c>
      <c r="M32" s="2">
        <f t="shared" si="5"/>
        <v>6</v>
      </c>
      <c r="N32" s="34">
        <f t="shared" si="1"/>
        <v>1.94</v>
      </c>
      <c r="P32" s="2" t="s">
        <v>785</v>
      </c>
      <c r="Q32" s="34">
        <v>2.7628571428571398</v>
      </c>
    </row>
    <row r="33" spans="10:17" x14ac:dyDescent="0.3">
      <c r="J33" s="2">
        <f t="shared" si="2"/>
        <v>4</v>
      </c>
      <c r="K33" s="2" t="str">
        <f t="shared" si="3"/>
        <v>T3低7</v>
      </c>
      <c r="L33" s="2" t="str">
        <f t="shared" si="0"/>
        <v>T3低</v>
      </c>
      <c r="M33" s="2">
        <f t="shared" si="5"/>
        <v>7</v>
      </c>
      <c r="N33" s="34">
        <f t="shared" si="1"/>
        <v>2.0166666666666666</v>
      </c>
      <c r="P33" s="2" t="s">
        <v>1260</v>
      </c>
      <c r="Q33" s="34">
        <v>2.7672727272727302</v>
      </c>
    </row>
    <row r="34" spans="10:17" x14ac:dyDescent="0.3">
      <c r="J34" s="2">
        <f t="shared" si="2"/>
        <v>4</v>
      </c>
      <c r="K34" s="2" t="str">
        <f t="shared" si="3"/>
        <v>T3低8</v>
      </c>
      <c r="L34" s="2" t="str">
        <f t="shared" si="0"/>
        <v>T3低</v>
      </c>
      <c r="M34" s="2">
        <f t="shared" si="5"/>
        <v>8</v>
      </c>
      <c r="N34" s="34">
        <f t="shared" si="1"/>
        <v>2.0933333333333333</v>
      </c>
      <c r="P34" s="2" t="s">
        <v>1261</v>
      </c>
      <c r="Q34" s="34">
        <v>2.8</v>
      </c>
    </row>
    <row r="35" spans="10:17" x14ac:dyDescent="0.3">
      <c r="J35" s="2">
        <f t="shared" si="2"/>
        <v>4</v>
      </c>
      <c r="K35" s="2" t="str">
        <f t="shared" si="3"/>
        <v>T3低9</v>
      </c>
      <c r="L35" s="2" t="str">
        <f t="shared" si="0"/>
        <v>T3低</v>
      </c>
      <c r="M35" s="2">
        <f t="shared" si="5"/>
        <v>9</v>
      </c>
      <c r="N35" s="34">
        <f t="shared" si="1"/>
        <v>2.17</v>
      </c>
      <c r="P35" s="2" t="s">
        <v>1262</v>
      </c>
      <c r="Q35" s="34">
        <v>2.8</v>
      </c>
    </row>
    <row r="36" spans="10:17" x14ac:dyDescent="0.3">
      <c r="J36" s="2">
        <f t="shared" si="2"/>
        <v>5</v>
      </c>
      <c r="K36" s="2" t="str">
        <f t="shared" si="3"/>
        <v>T3中0</v>
      </c>
      <c r="L36" s="2" t="str">
        <f t="shared" ref="L36:L67" si="6">VLOOKUP(J36,$B$3:$H$15,2,FALSE)</f>
        <v>T3中</v>
      </c>
      <c r="M36" s="2">
        <f t="shared" si="5"/>
        <v>0</v>
      </c>
      <c r="N36" s="34">
        <f t="shared" ref="N36:N67" si="7">VLOOKUP(J36,$B$3:$H$15,6,FALSE)+M36/VLOOKUP(J36,$B$3:$H$15,3,FALSE)*(VLOOKUP(J36,$B$3:$H$15,7,FALSE)-VLOOKUP(J36,$B$3:$H$15,6,FALSE))</f>
        <v>1.54</v>
      </c>
      <c r="P36" s="2" t="s">
        <v>786</v>
      </c>
      <c r="Q36" s="34">
        <v>2.9257142857142902</v>
      </c>
    </row>
    <row r="37" spans="10:17" x14ac:dyDescent="0.3">
      <c r="J37" s="2">
        <f t="shared" ref="J37:J68" si="8">IF(M36=VLOOKUP(J36,$B$3:$H$15,3,FALSE),J36+1,J36)</f>
        <v>5</v>
      </c>
      <c r="K37" s="2" t="str">
        <f t="shared" si="3"/>
        <v>T3中1</v>
      </c>
      <c r="L37" s="2" t="str">
        <f t="shared" si="6"/>
        <v>T3中</v>
      </c>
      <c r="M37" s="2">
        <f t="shared" si="5"/>
        <v>1</v>
      </c>
      <c r="N37" s="34">
        <f t="shared" si="7"/>
        <v>1.6222222222222222</v>
      </c>
      <c r="P37" s="2" t="s">
        <v>1263</v>
      </c>
      <c r="Q37" s="34">
        <v>2.96</v>
      </c>
    </row>
    <row r="38" spans="10:17" x14ac:dyDescent="0.3">
      <c r="J38" s="2">
        <f t="shared" si="8"/>
        <v>5</v>
      </c>
      <c r="K38" s="2" t="str">
        <f t="shared" si="3"/>
        <v>T3中2</v>
      </c>
      <c r="L38" s="2" t="str">
        <f t="shared" si="6"/>
        <v>T3中</v>
      </c>
      <c r="M38" s="2">
        <f t="shared" si="5"/>
        <v>2</v>
      </c>
      <c r="N38" s="34">
        <f t="shared" si="7"/>
        <v>1.7044444444444444</v>
      </c>
      <c r="P38" s="2" t="s">
        <v>1264</v>
      </c>
      <c r="Q38" s="34">
        <v>2.97714285714286</v>
      </c>
    </row>
    <row r="39" spans="10:17" x14ac:dyDescent="0.3">
      <c r="J39" s="2">
        <f t="shared" si="8"/>
        <v>5</v>
      </c>
      <c r="K39" s="2" t="str">
        <f t="shared" si="3"/>
        <v>T3中3</v>
      </c>
      <c r="L39" s="2" t="str">
        <f t="shared" si="6"/>
        <v>T3中</v>
      </c>
      <c r="M39" s="2">
        <f t="shared" si="5"/>
        <v>3</v>
      </c>
      <c r="N39" s="34">
        <f t="shared" si="7"/>
        <v>1.7866666666666668</v>
      </c>
      <c r="P39" s="2" t="s">
        <v>1265</v>
      </c>
      <c r="Q39" s="34">
        <v>2.9818181818181801</v>
      </c>
    </row>
    <row r="40" spans="10:17" x14ac:dyDescent="0.3">
      <c r="J40" s="2">
        <f t="shared" si="8"/>
        <v>5</v>
      </c>
      <c r="K40" s="2" t="str">
        <f t="shared" si="3"/>
        <v>T3中4</v>
      </c>
      <c r="L40" s="2" t="str">
        <f t="shared" si="6"/>
        <v>T3中</v>
      </c>
      <c r="M40" s="2">
        <f t="shared" si="5"/>
        <v>4</v>
      </c>
      <c r="N40" s="34">
        <f t="shared" si="7"/>
        <v>1.868888888888889</v>
      </c>
      <c r="P40" s="2" t="s">
        <v>804</v>
      </c>
      <c r="Q40" s="34">
        <v>3</v>
      </c>
    </row>
    <row r="41" spans="10:17" x14ac:dyDescent="0.3">
      <c r="J41" s="2">
        <f t="shared" si="8"/>
        <v>5</v>
      </c>
      <c r="K41" s="2" t="str">
        <f t="shared" si="3"/>
        <v>T3中5</v>
      </c>
      <c r="L41" s="2" t="str">
        <f t="shared" si="6"/>
        <v>T3中</v>
      </c>
      <c r="M41" s="2">
        <f t="shared" si="5"/>
        <v>5</v>
      </c>
      <c r="N41" s="34">
        <f t="shared" si="7"/>
        <v>1.9511111111111112</v>
      </c>
      <c r="P41" s="2" t="s">
        <v>1266</v>
      </c>
      <c r="Q41" s="34">
        <v>3</v>
      </c>
    </row>
    <row r="42" spans="10:17" x14ac:dyDescent="0.3">
      <c r="J42" s="2">
        <f t="shared" si="8"/>
        <v>5</v>
      </c>
      <c r="K42" s="2" t="str">
        <f t="shared" si="3"/>
        <v>T3中6</v>
      </c>
      <c r="L42" s="2" t="str">
        <f t="shared" si="6"/>
        <v>T3中</v>
      </c>
      <c r="M42" s="2">
        <f t="shared" si="5"/>
        <v>6</v>
      </c>
      <c r="N42" s="34">
        <f t="shared" si="7"/>
        <v>2.0333333333333337</v>
      </c>
      <c r="P42" s="2" t="s">
        <v>1267</v>
      </c>
      <c r="Q42" s="2">
        <v>3.12</v>
      </c>
    </row>
    <row r="43" spans="10:17" x14ac:dyDescent="0.3">
      <c r="J43" s="2">
        <f t="shared" si="8"/>
        <v>5</v>
      </c>
      <c r="K43" s="2" t="str">
        <f t="shared" si="3"/>
        <v>T3中7</v>
      </c>
      <c r="L43" s="2" t="str">
        <f t="shared" si="6"/>
        <v>T3中</v>
      </c>
      <c r="M43" s="2">
        <f t="shared" si="5"/>
        <v>7</v>
      </c>
      <c r="N43" s="34">
        <f t="shared" si="7"/>
        <v>2.1155555555555559</v>
      </c>
      <c r="P43" s="2" t="s">
        <v>1268</v>
      </c>
      <c r="Q43" s="34">
        <v>3.1542857142857099</v>
      </c>
    </row>
    <row r="44" spans="10:17" x14ac:dyDescent="0.3">
      <c r="J44" s="2">
        <f t="shared" si="8"/>
        <v>5</v>
      </c>
      <c r="K44" s="2" t="str">
        <f t="shared" si="3"/>
        <v>T3中8</v>
      </c>
      <c r="L44" s="2" t="str">
        <f t="shared" si="6"/>
        <v>T3中</v>
      </c>
      <c r="M44" s="2">
        <f t="shared" si="5"/>
        <v>8</v>
      </c>
      <c r="N44" s="34">
        <f t="shared" si="7"/>
        <v>2.1977777777777781</v>
      </c>
      <c r="P44" s="2" t="s">
        <v>1269</v>
      </c>
      <c r="Q44" s="34">
        <v>3.1741176470588202</v>
      </c>
    </row>
    <row r="45" spans="10:17" x14ac:dyDescent="0.3">
      <c r="J45" s="2">
        <f t="shared" si="8"/>
        <v>5</v>
      </c>
      <c r="K45" s="2" t="str">
        <f t="shared" si="3"/>
        <v>T3中9</v>
      </c>
      <c r="L45" s="2" t="str">
        <f t="shared" si="6"/>
        <v>T3中</v>
      </c>
      <c r="M45" s="2">
        <f t="shared" si="5"/>
        <v>9</v>
      </c>
      <c r="N45" s="34">
        <f t="shared" si="7"/>
        <v>2.2800000000000002</v>
      </c>
      <c r="P45" s="2" t="s">
        <v>812</v>
      </c>
      <c r="Q45" s="34">
        <v>3.1914285714285699</v>
      </c>
    </row>
    <row r="46" spans="10:17" x14ac:dyDescent="0.3">
      <c r="J46" s="2">
        <f t="shared" si="8"/>
        <v>6</v>
      </c>
      <c r="K46" s="2" t="str">
        <f t="shared" si="3"/>
        <v>T3高0</v>
      </c>
      <c r="L46" s="2" t="str">
        <f t="shared" si="6"/>
        <v>T3高</v>
      </c>
      <c r="M46" s="2">
        <f t="shared" si="5"/>
        <v>0</v>
      </c>
      <c r="N46" s="34">
        <f t="shared" si="7"/>
        <v>1.54</v>
      </c>
      <c r="P46" s="2" t="s">
        <v>1270</v>
      </c>
      <c r="Q46" s="34">
        <v>3.1963636363636398</v>
      </c>
    </row>
    <row r="47" spans="10:17" x14ac:dyDescent="0.3">
      <c r="J47" s="2">
        <f t="shared" si="8"/>
        <v>6</v>
      </c>
      <c r="K47" s="2" t="str">
        <f t="shared" si="3"/>
        <v>T3高1</v>
      </c>
      <c r="L47" s="2" t="str">
        <f t="shared" si="6"/>
        <v>T3高</v>
      </c>
      <c r="M47" s="2">
        <f t="shared" si="5"/>
        <v>1</v>
      </c>
      <c r="N47" s="34">
        <f t="shared" si="7"/>
        <v>1.6277777777777778</v>
      </c>
      <c r="P47" s="2" t="s">
        <v>1271</v>
      </c>
      <c r="Q47" s="34">
        <v>3.2</v>
      </c>
    </row>
    <row r="48" spans="10:17" x14ac:dyDescent="0.3">
      <c r="J48" s="2">
        <f t="shared" si="8"/>
        <v>6</v>
      </c>
      <c r="K48" s="2" t="str">
        <f t="shared" si="3"/>
        <v>T3高2</v>
      </c>
      <c r="L48" s="2" t="str">
        <f t="shared" si="6"/>
        <v>T3高</v>
      </c>
      <c r="M48" s="2">
        <f t="shared" si="5"/>
        <v>2</v>
      </c>
      <c r="N48" s="34">
        <f t="shared" si="7"/>
        <v>1.7155555555555555</v>
      </c>
      <c r="P48" s="2" t="s">
        <v>1272</v>
      </c>
      <c r="Q48" s="34">
        <v>3.2</v>
      </c>
    </row>
    <row r="49" spans="10:17" x14ac:dyDescent="0.3">
      <c r="J49" s="2">
        <f t="shared" si="8"/>
        <v>6</v>
      </c>
      <c r="K49" s="2" t="str">
        <f t="shared" si="3"/>
        <v>T3高3</v>
      </c>
      <c r="L49" s="2" t="str">
        <f t="shared" si="6"/>
        <v>T3高</v>
      </c>
      <c r="M49" s="2">
        <f t="shared" si="5"/>
        <v>3</v>
      </c>
      <c r="N49" s="34">
        <f t="shared" si="7"/>
        <v>1.8033333333333332</v>
      </c>
      <c r="P49" s="2" t="s">
        <v>1273</v>
      </c>
      <c r="Q49" s="2">
        <v>3.3482352941176501</v>
      </c>
    </row>
    <row r="50" spans="10:17" x14ac:dyDescent="0.3">
      <c r="J50" s="2">
        <f t="shared" si="8"/>
        <v>6</v>
      </c>
      <c r="K50" s="2" t="str">
        <f t="shared" si="3"/>
        <v>T3高4</v>
      </c>
      <c r="L50" s="2" t="str">
        <f t="shared" si="6"/>
        <v>T3高</v>
      </c>
      <c r="M50" s="2">
        <f t="shared" si="5"/>
        <v>4</v>
      </c>
      <c r="N50" s="34">
        <f t="shared" si="7"/>
        <v>1.8911111111111112</v>
      </c>
      <c r="P50" s="2" t="s">
        <v>814</v>
      </c>
      <c r="Q50" s="34">
        <v>3.3828571428571399</v>
      </c>
    </row>
    <row r="51" spans="10:17" x14ac:dyDescent="0.3">
      <c r="J51" s="2">
        <f t="shared" si="8"/>
        <v>6</v>
      </c>
      <c r="K51" s="2" t="str">
        <f t="shared" si="3"/>
        <v>T3高5</v>
      </c>
      <c r="L51" s="2" t="str">
        <f t="shared" si="6"/>
        <v>T3高</v>
      </c>
      <c r="M51" s="2">
        <f t="shared" si="5"/>
        <v>5</v>
      </c>
      <c r="N51" s="34">
        <f t="shared" si="7"/>
        <v>1.9788888888888889</v>
      </c>
      <c r="P51" s="2" t="s">
        <v>1274</v>
      </c>
      <c r="Q51" s="34">
        <v>3.3882352941176501</v>
      </c>
    </row>
    <row r="52" spans="10:17" x14ac:dyDescent="0.3">
      <c r="J52" s="2">
        <f t="shared" si="8"/>
        <v>6</v>
      </c>
      <c r="K52" s="2" t="str">
        <f t="shared" si="3"/>
        <v>T3高6</v>
      </c>
      <c r="L52" s="2" t="str">
        <f t="shared" si="6"/>
        <v>T3高</v>
      </c>
      <c r="M52" s="2">
        <f t="shared" si="5"/>
        <v>6</v>
      </c>
      <c r="N52" s="34">
        <f t="shared" si="7"/>
        <v>2.0666666666666664</v>
      </c>
      <c r="P52" s="2" t="s">
        <v>1275</v>
      </c>
      <c r="Q52" s="34">
        <v>3.4</v>
      </c>
    </row>
    <row r="53" spans="10:17" x14ac:dyDescent="0.3">
      <c r="J53" s="2">
        <f t="shared" si="8"/>
        <v>6</v>
      </c>
      <c r="K53" s="2" t="str">
        <f t="shared" si="3"/>
        <v>T3高7</v>
      </c>
      <c r="L53" s="2" t="str">
        <f t="shared" si="6"/>
        <v>T3高</v>
      </c>
      <c r="M53" s="2">
        <f t="shared" si="5"/>
        <v>7</v>
      </c>
      <c r="N53" s="34">
        <f t="shared" si="7"/>
        <v>2.1544444444444446</v>
      </c>
      <c r="P53" s="2" t="s">
        <v>1276</v>
      </c>
      <c r="Q53" s="34">
        <v>3.4</v>
      </c>
    </row>
    <row r="54" spans="10:17" x14ac:dyDescent="0.3">
      <c r="J54" s="2">
        <f t="shared" si="8"/>
        <v>6</v>
      </c>
      <c r="K54" s="2" t="str">
        <f t="shared" si="3"/>
        <v>T3高8</v>
      </c>
      <c r="L54" s="2" t="str">
        <f t="shared" si="6"/>
        <v>T3高</v>
      </c>
      <c r="M54" s="2">
        <f t="shared" si="5"/>
        <v>8</v>
      </c>
      <c r="N54" s="34">
        <f t="shared" si="7"/>
        <v>2.2422222222222223</v>
      </c>
      <c r="P54" s="2" t="s">
        <v>1277</v>
      </c>
      <c r="Q54" s="34">
        <v>3.4057142857142799</v>
      </c>
    </row>
    <row r="55" spans="10:17" x14ac:dyDescent="0.3">
      <c r="J55" s="2">
        <f t="shared" si="8"/>
        <v>6</v>
      </c>
      <c r="K55" s="2" t="str">
        <f t="shared" si="3"/>
        <v>T3高9</v>
      </c>
      <c r="L55" s="2" t="str">
        <f t="shared" si="6"/>
        <v>T3高</v>
      </c>
      <c r="M55" s="2">
        <f t="shared" si="5"/>
        <v>9</v>
      </c>
      <c r="N55" s="34">
        <f t="shared" si="7"/>
        <v>2.33</v>
      </c>
      <c r="P55" s="2" t="s">
        <v>1278</v>
      </c>
      <c r="Q55" s="34">
        <v>3.4109090909090898</v>
      </c>
    </row>
    <row r="56" spans="10:17" x14ac:dyDescent="0.3">
      <c r="J56" s="2">
        <f t="shared" si="8"/>
        <v>7</v>
      </c>
      <c r="K56" s="2" t="str">
        <f t="shared" si="3"/>
        <v>T4低0</v>
      </c>
      <c r="L56" s="2" t="str">
        <f t="shared" si="6"/>
        <v>T4低</v>
      </c>
      <c r="M56" s="2">
        <f t="shared" si="5"/>
        <v>0</v>
      </c>
      <c r="N56" s="34">
        <f t="shared" si="7"/>
        <v>1.92</v>
      </c>
      <c r="P56" s="2" t="s">
        <v>1279</v>
      </c>
      <c r="Q56" s="2">
        <v>3.5764705882352898</v>
      </c>
    </row>
    <row r="57" spans="10:17" x14ac:dyDescent="0.3">
      <c r="J57" s="2">
        <f t="shared" si="8"/>
        <v>7</v>
      </c>
      <c r="K57" s="2" t="str">
        <f t="shared" si="3"/>
        <v>T4低1</v>
      </c>
      <c r="L57" s="2" t="str">
        <f t="shared" si="6"/>
        <v>T4低</v>
      </c>
      <c r="M57" s="2">
        <f t="shared" si="5"/>
        <v>1</v>
      </c>
      <c r="N57" s="34">
        <f t="shared" si="7"/>
        <v>2.0018181818181819</v>
      </c>
      <c r="P57" s="2" t="s">
        <v>1280</v>
      </c>
      <c r="Q57" s="34">
        <v>3.6</v>
      </c>
    </row>
    <row r="58" spans="10:17" x14ac:dyDescent="0.3">
      <c r="J58" s="2">
        <f t="shared" si="8"/>
        <v>7</v>
      </c>
      <c r="K58" s="2" t="str">
        <f t="shared" si="3"/>
        <v>T4低2</v>
      </c>
      <c r="L58" s="2" t="str">
        <f t="shared" si="6"/>
        <v>T4低</v>
      </c>
      <c r="M58" s="2">
        <f t="shared" si="5"/>
        <v>2</v>
      </c>
      <c r="N58" s="34">
        <f t="shared" si="7"/>
        <v>2.0836363636363635</v>
      </c>
      <c r="P58" s="2" t="s">
        <v>799</v>
      </c>
      <c r="Q58" s="34">
        <v>3.6</v>
      </c>
    </row>
    <row r="59" spans="10:17" x14ac:dyDescent="0.3">
      <c r="J59" s="2">
        <f t="shared" si="8"/>
        <v>7</v>
      </c>
      <c r="K59" s="2" t="str">
        <f t="shared" si="3"/>
        <v>T4低3</v>
      </c>
      <c r="L59" s="2" t="str">
        <f t="shared" si="6"/>
        <v>T4低</v>
      </c>
      <c r="M59" s="2">
        <f t="shared" si="5"/>
        <v>3</v>
      </c>
      <c r="N59" s="34">
        <f t="shared" si="7"/>
        <v>2.1654545454545455</v>
      </c>
      <c r="P59" s="2" t="s">
        <v>1281</v>
      </c>
      <c r="Q59" s="34">
        <v>3.6023529411764699</v>
      </c>
    </row>
    <row r="60" spans="10:17" x14ac:dyDescent="0.3">
      <c r="J60" s="2">
        <f t="shared" si="8"/>
        <v>7</v>
      </c>
      <c r="K60" s="2" t="str">
        <f t="shared" si="3"/>
        <v>T4低4</v>
      </c>
      <c r="L60" s="2" t="str">
        <f t="shared" si="6"/>
        <v>T4低</v>
      </c>
      <c r="M60" s="2">
        <f t="shared" ref="M60:M81" si="9">IF(J60&lt;&gt;J59,0,M59+1)</f>
        <v>4</v>
      </c>
      <c r="N60" s="34">
        <f t="shared" si="7"/>
        <v>2.2472727272727271</v>
      </c>
      <c r="P60" s="2" t="s">
        <v>1282</v>
      </c>
      <c r="Q60" s="34">
        <v>3.6114285714285699</v>
      </c>
    </row>
    <row r="61" spans="10:17" x14ac:dyDescent="0.3">
      <c r="J61" s="2">
        <f t="shared" si="8"/>
        <v>7</v>
      </c>
      <c r="K61" s="2" t="str">
        <f t="shared" si="3"/>
        <v>T4低5</v>
      </c>
      <c r="L61" s="2" t="str">
        <f t="shared" si="6"/>
        <v>T4低</v>
      </c>
      <c r="M61" s="2">
        <f t="shared" si="9"/>
        <v>5</v>
      </c>
      <c r="N61" s="34">
        <f t="shared" si="7"/>
        <v>2.3290909090909091</v>
      </c>
      <c r="P61" s="2" t="s">
        <v>1283</v>
      </c>
      <c r="Q61" s="34">
        <v>3.62</v>
      </c>
    </row>
    <row r="62" spans="10:17" x14ac:dyDescent="0.3">
      <c r="J62" s="2">
        <f t="shared" si="8"/>
        <v>7</v>
      </c>
      <c r="K62" s="2" t="str">
        <f t="shared" si="3"/>
        <v>T4低6</v>
      </c>
      <c r="L62" s="2" t="str">
        <f t="shared" si="6"/>
        <v>T4低</v>
      </c>
      <c r="M62" s="2">
        <f t="shared" si="9"/>
        <v>6</v>
      </c>
      <c r="N62" s="34">
        <f t="shared" si="7"/>
        <v>2.4109090909090907</v>
      </c>
      <c r="P62" s="2" t="s">
        <v>1284</v>
      </c>
      <c r="Q62" s="34">
        <v>3.6254545454545402</v>
      </c>
    </row>
    <row r="63" spans="10:17" x14ac:dyDescent="0.3">
      <c r="J63" s="2">
        <f t="shared" si="8"/>
        <v>7</v>
      </c>
      <c r="K63" s="2" t="str">
        <f t="shared" si="3"/>
        <v>T4低7</v>
      </c>
      <c r="L63" s="2" t="str">
        <f t="shared" si="6"/>
        <v>T4低</v>
      </c>
      <c r="M63" s="2">
        <f t="shared" si="9"/>
        <v>7</v>
      </c>
      <c r="N63" s="34">
        <f t="shared" si="7"/>
        <v>2.4927272727272727</v>
      </c>
      <c r="P63" s="2" t="s">
        <v>1285</v>
      </c>
      <c r="Q63" s="34">
        <v>3.8</v>
      </c>
    </row>
    <row r="64" spans="10:17" x14ac:dyDescent="0.3">
      <c r="J64" s="2">
        <f t="shared" si="8"/>
        <v>7</v>
      </c>
      <c r="K64" s="2" t="str">
        <f t="shared" si="3"/>
        <v>T4低8</v>
      </c>
      <c r="L64" s="2" t="str">
        <f t="shared" si="6"/>
        <v>T4低</v>
      </c>
      <c r="M64" s="2">
        <f t="shared" si="9"/>
        <v>8</v>
      </c>
      <c r="N64" s="34">
        <f t="shared" si="7"/>
        <v>2.5745454545454542</v>
      </c>
      <c r="P64" s="2" t="s">
        <v>1286</v>
      </c>
      <c r="Q64" s="2">
        <v>3.8</v>
      </c>
    </row>
    <row r="65" spans="10:17" x14ac:dyDescent="0.3">
      <c r="J65" s="2">
        <f t="shared" si="8"/>
        <v>7</v>
      </c>
      <c r="K65" s="2" t="str">
        <f t="shared" si="3"/>
        <v>T4低9</v>
      </c>
      <c r="L65" s="2" t="str">
        <f t="shared" si="6"/>
        <v>T4低</v>
      </c>
      <c r="M65" s="2">
        <f t="shared" si="9"/>
        <v>9</v>
      </c>
      <c r="N65" s="34">
        <f t="shared" si="7"/>
        <v>2.6563636363636363</v>
      </c>
      <c r="P65" s="2" t="s">
        <v>1287</v>
      </c>
      <c r="Q65" s="2">
        <v>3.8047058823529398</v>
      </c>
    </row>
    <row r="66" spans="10:17" x14ac:dyDescent="0.3">
      <c r="J66" s="2">
        <f t="shared" si="8"/>
        <v>7</v>
      </c>
      <c r="K66" s="2" t="str">
        <f t="shared" si="3"/>
        <v>T4低10</v>
      </c>
      <c r="L66" s="2" t="str">
        <f t="shared" si="6"/>
        <v>T4低</v>
      </c>
      <c r="M66" s="2">
        <f t="shared" si="9"/>
        <v>10</v>
      </c>
      <c r="N66" s="34">
        <f t="shared" si="7"/>
        <v>2.7381818181818183</v>
      </c>
      <c r="P66" s="2" t="s">
        <v>801</v>
      </c>
      <c r="Q66" s="2">
        <v>3.8164705882352901</v>
      </c>
    </row>
    <row r="67" spans="10:17" x14ac:dyDescent="0.3">
      <c r="J67" s="2">
        <f t="shared" si="8"/>
        <v>7</v>
      </c>
      <c r="K67" s="2" t="str">
        <f t="shared" si="3"/>
        <v>T4低11</v>
      </c>
      <c r="L67" s="2" t="str">
        <f t="shared" si="6"/>
        <v>T4低</v>
      </c>
      <c r="M67" s="2">
        <f t="shared" si="9"/>
        <v>11</v>
      </c>
      <c r="N67" s="34">
        <f t="shared" si="7"/>
        <v>2.82</v>
      </c>
      <c r="P67" s="2" t="s">
        <v>1288</v>
      </c>
      <c r="Q67" s="34">
        <v>3.8342857142857101</v>
      </c>
    </row>
    <row r="68" spans="10:17" x14ac:dyDescent="0.3">
      <c r="J68" s="2">
        <f t="shared" si="8"/>
        <v>8</v>
      </c>
      <c r="K68" s="2" t="str">
        <f t="shared" si="3"/>
        <v>T4中0</v>
      </c>
      <c r="L68" s="2" t="str">
        <f t="shared" ref="L68:L81" si="10">VLOOKUP(J68,$B$3:$H$15,2,FALSE)</f>
        <v>T4中</v>
      </c>
      <c r="M68" s="2">
        <f t="shared" si="9"/>
        <v>0</v>
      </c>
      <c r="N68" s="34">
        <f t="shared" ref="N68:N81" si="11">VLOOKUP(J68,$B$3:$H$15,6,FALSE)+M68/VLOOKUP(J68,$B$3:$H$15,3,FALSE)*(VLOOKUP(J68,$B$3:$H$15,7,FALSE)-VLOOKUP(J68,$B$3:$H$15,6,FALSE))</f>
        <v>2</v>
      </c>
      <c r="P68" s="2" t="s">
        <v>1289</v>
      </c>
      <c r="Q68" s="34">
        <v>3.84</v>
      </c>
    </row>
    <row r="69" spans="10:17" x14ac:dyDescent="0.3">
      <c r="J69" s="2">
        <f t="shared" ref="J69:J81" si="12">IF(M68=VLOOKUP(J68,$B$3:$H$15,3,FALSE),J68+1,J68)</f>
        <v>8</v>
      </c>
      <c r="K69" s="2" t="str">
        <f t="shared" ref="K69:K81" si="13">L69&amp;M69</f>
        <v>T4中1</v>
      </c>
      <c r="L69" s="2" t="str">
        <f t="shared" si="10"/>
        <v>T4中</v>
      </c>
      <c r="M69" s="2">
        <f t="shared" si="9"/>
        <v>1</v>
      </c>
      <c r="N69" s="34">
        <f t="shared" si="11"/>
        <v>2.0872727272727274</v>
      </c>
      <c r="P69" s="2" t="s">
        <v>1290</v>
      </c>
      <c r="Q69" s="34">
        <v>3.84</v>
      </c>
    </row>
    <row r="70" spans="10:17" x14ac:dyDescent="0.3">
      <c r="J70" s="2">
        <f t="shared" si="12"/>
        <v>8</v>
      </c>
      <c r="K70" s="2" t="str">
        <f t="shared" si="13"/>
        <v>T4中2</v>
      </c>
      <c r="L70" s="2" t="str">
        <f t="shared" si="10"/>
        <v>T4中</v>
      </c>
      <c r="M70" s="2">
        <f t="shared" si="9"/>
        <v>2</v>
      </c>
      <c r="N70" s="34">
        <f t="shared" si="11"/>
        <v>2.1745454545454543</v>
      </c>
      <c r="P70" s="2" t="s">
        <v>1291</v>
      </c>
      <c r="Q70" s="2">
        <v>4</v>
      </c>
    </row>
    <row r="71" spans="10:17" x14ac:dyDescent="0.3">
      <c r="J71" s="2">
        <f t="shared" si="12"/>
        <v>8</v>
      </c>
      <c r="K71" s="2" t="str">
        <f t="shared" si="13"/>
        <v>T4中3</v>
      </c>
      <c r="L71" s="2" t="str">
        <f t="shared" si="10"/>
        <v>T4中</v>
      </c>
      <c r="M71" s="2">
        <f t="shared" si="9"/>
        <v>3</v>
      </c>
      <c r="N71" s="34">
        <f t="shared" si="11"/>
        <v>2.2618181818181817</v>
      </c>
      <c r="P71" s="2" t="s">
        <v>811</v>
      </c>
      <c r="Q71" s="34">
        <v>4</v>
      </c>
    </row>
    <row r="72" spans="10:17" x14ac:dyDescent="0.3">
      <c r="J72" s="2">
        <f t="shared" si="12"/>
        <v>8</v>
      </c>
      <c r="K72" s="2" t="str">
        <f t="shared" si="13"/>
        <v>T4中4</v>
      </c>
      <c r="L72" s="2" t="str">
        <f t="shared" si="10"/>
        <v>T4中</v>
      </c>
      <c r="M72" s="2">
        <f t="shared" si="9"/>
        <v>4</v>
      </c>
      <c r="N72" s="34">
        <f t="shared" si="11"/>
        <v>2.3490909090909091</v>
      </c>
      <c r="P72" s="2" t="s">
        <v>1292</v>
      </c>
      <c r="Q72" s="2">
        <v>4</v>
      </c>
    </row>
    <row r="73" spans="10:17" x14ac:dyDescent="0.3">
      <c r="J73" s="2">
        <f t="shared" si="12"/>
        <v>8</v>
      </c>
      <c r="K73" s="2" t="str">
        <f t="shared" si="13"/>
        <v>T4中5</v>
      </c>
      <c r="L73" s="2" t="str">
        <f t="shared" si="10"/>
        <v>T4中</v>
      </c>
      <c r="M73" s="2">
        <f t="shared" si="9"/>
        <v>5</v>
      </c>
      <c r="N73" s="34">
        <f t="shared" si="11"/>
        <v>2.4363636363636365</v>
      </c>
      <c r="P73" s="2" t="s">
        <v>1293</v>
      </c>
      <c r="Q73" s="2">
        <v>4.03058823529412</v>
      </c>
    </row>
    <row r="74" spans="10:17" x14ac:dyDescent="0.3">
      <c r="J74" s="2">
        <f t="shared" si="12"/>
        <v>8</v>
      </c>
      <c r="K74" s="2" t="str">
        <f t="shared" si="13"/>
        <v>T4中6</v>
      </c>
      <c r="L74" s="2" t="str">
        <f t="shared" si="10"/>
        <v>T4中</v>
      </c>
      <c r="M74" s="2">
        <f t="shared" si="9"/>
        <v>6</v>
      </c>
      <c r="N74" s="34">
        <f t="shared" si="11"/>
        <v>2.5236363636363635</v>
      </c>
      <c r="P74" s="2" t="s">
        <v>803</v>
      </c>
      <c r="Q74" s="2">
        <v>4.0329411764705902</v>
      </c>
    </row>
    <row r="75" spans="10:17" x14ac:dyDescent="0.3">
      <c r="J75" s="2">
        <f t="shared" si="12"/>
        <v>8</v>
      </c>
      <c r="K75" s="2" t="str">
        <f t="shared" si="13"/>
        <v>T4中7</v>
      </c>
      <c r="L75" s="2" t="str">
        <f t="shared" si="10"/>
        <v>T4中</v>
      </c>
      <c r="M75" s="2">
        <f t="shared" si="9"/>
        <v>7</v>
      </c>
      <c r="N75" s="34">
        <f t="shared" si="11"/>
        <v>2.6109090909090908</v>
      </c>
      <c r="P75" s="2" t="s">
        <v>1294</v>
      </c>
      <c r="Q75" s="34">
        <v>4.0485714285714298</v>
      </c>
    </row>
    <row r="76" spans="10:17" x14ac:dyDescent="0.3">
      <c r="J76" s="2">
        <f t="shared" si="12"/>
        <v>8</v>
      </c>
      <c r="K76" s="2" t="str">
        <f t="shared" si="13"/>
        <v>T4中8</v>
      </c>
      <c r="L76" s="2" t="str">
        <f t="shared" si="10"/>
        <v>T4中</v>
      </c>
      <c r="M76" s="2">
        <f t="shared" si="9"/>
        <v>8</v>
      </c>
      <c r="N76" s="34">
        <f t="shared" si="11"/>
        <v>2.6981818181818182</v>
      </c>
      <c r="P76" s="2" t="s">
        <v>1295</v>
      </c>
      <c r="Q76" s="34">
        <v>4.0685714285714303</v>
      </c>
    </row>
    <row r="77" spans="10:17" x14ac:dyDescent="0.3">
      <c r="J77" s="2">
        <f t="shared" si="12"/>
        <v>8</v>
      </c>
      <c r="K77" s="2" t="str">
        <f t="shared" si="13"/>
        <v>T4中9</v>
      </c>
      <c r="L77" s="2" t="str">
        <f t="shared" si="10"/>
        <v>T4中</v>
      </c>
      <c r="M77" s="2">
        <f t="shared" si="9"/>
        <v>9</v>
      </c>
      <c r="N77" s="34">
        <f t="shared" si="11"/>
        <v>2.7854545454545456</v>
      </c>
      <c r="P77" s="2" t="s">
        <v>1296</v>
      </c>
      <c r="Q77" s="34">
        <v>4.2</v>
      </c>
    </row>
    <row r="78" spans="10:17" x14ac:dyDescent="0.3">
      <c r="J78" s="2">
        <f t="shared" si="12"/>
        <v>8</v>
      </c>
      <c r="K78" s="2" t="str">
        <f t="shared" si="13"/>
        <v>T4中10</v>
      </c>
      <c r="L78" s="2" t="str">
        <f t="shared" si="10"/>
        <v>T4中</v>
      </c>
      <c r="M78" s="2">
        <f t="shared" si="9"/>
        <v>10</v>
      </c>
      <c r="N78" s="34">
        <f t="shared" si="11"/>
        <v>2.8727272727272726</v>
      </c>
      <c r="P78" s="2" t="s">
        <v>1297</v>
      </c>
      <c r="Q78" s="2">
        <v>4.2</v>
      </c>
    </row>
    <row r="79" spans="10:17" x14ac:dyDescent="0.3">
      <c r="J79" s="2">
        <f t="shared" si="12"/>
        <v>8</v>
      </c>
      <c r="K79" s="2" t="str">
        <f t="shared" si="13"/>
        <v>T4中11</v>
      </c>
      <c r="L79" s="2" t="str">
        <f t="shared" si="10"/>
        <v>T4中</v>
      </c>
      <c r="M79" s="2">
        <f t="shared" si="9"/>
        <v>11</v>
      </c>
      <c r="N79" s="34">
        <f t="shared" si="11"/>
        <v>2.96</v>
      </c>
      <c r="P79" s="2" t="s">
        <v>1298</v>
      </c>
      <c r="Q79" s="2">
        <v>4.2</v>
      </c>
    </row>
    <row r="80" spans="10:17" x14ac:dyDescent="0.3">
      <c r="J80" s="2">
        <f t="shared" si="12"/>
        <v>9</v>
      </c>
      <c r="K80" s="2" t="str">
        <f t="shared" si="13"/>
        <v>T4高0</v>
      </c>
      <c r="L80" s="2" t="str">
        <f t="shared" si="10"/>
        <v>T4高</v>
      </c>
      <c r="M80" s="2">
        <f t="shared" si="9"/>
        <v>0</v>
      </c>
      <c r="N80" s="34">
        <f t="shared" si="11"/>
        <v>2</v>
      </c>
      <c r="P80" s="2" t="s">
        <v>1299</v>
      </c>
      <c r="Q80" s="2">
        <v>4.2140000000000004</v>
      </c>
    </row>
    <row r="81" spans="10:17" x14ac:dyDescent="0.3">
      <c r="J81" s="2">
        <f t="shared" si="12"/>
        <v>9</v>
      </c>
      <c r="K81" s="2" t="str">
        <f t="shared" si="13"/>
        <v>T4高1</v>
      </c>
      <c r="L81" s="2" t="str">
        <f t="shared" si="10"/>
        <v>T4高</v>
      </c>
      <c r="M81" s="2">
        <f t="shared" si="9"/>
        <v>1</v>
      </c>
      <c r="N81" s="34">
        <f t="shared" si="11"/>
        <v>2.0927272727272728</v>
      </c>
      <c r="P81" s="2" t="s">
        <v>816</v>
      </c>
      <c r="Q81" s="2">
        <v>4.2447058823529398</v>
      </c>
    </row>
    <row r="82" spans="10:17" x14ac:dyDescent="0.3">
      <c r="J82" s="2">
        <f t="shared" ref="J82:J128" si="14">IF(M81=VLOOKUP(J81,$B$3:$H$15,3,FALSE),J81+1,J81)</f>
        <v>9</v>
      </c>
      <c r="K82" s="2" t="str">
        <f t="shared" ref="K82:K128" si="15">L82&amp;M82</f>
        <v>T4高2</v>
      </c>
      <c r="L82" s="2" t="str">
        <f t="shared" ref="L82:L128" si="16">VLOOKUP(J82,$B$3:$H$15,2,FALSE)</f>
        <v>T4高</v>
      </c>
      <c r="M82" s="2">
        <f t="shared" ref="M82:M128" si="17">IF(J82&lt;&gt;J81,0,M81+1)</f>
        <v>2</v>
      </c>
      <c r="N82" s="34">
        <f t="shared" ref="N82:N128" si="18">VLOOKUP(J82,$B$3:$H$15,6,FALSE)+M82/VLOOKUP(J82,$B$3:$H$15,3,FALSE)*(VLOOKUP(J82,$B$3:$H$15,7,FALSE)-VLOOKUP(J82,$B$3:$H$15,6,FALSE))</f>
        <v>2.1854545454545455</v>
      </c>
      <c r="P82" s="2" t="s">
        <v>1300</v>
      </c>
      <c r="Q82" s="2">
        <v>4.2611764705882402</v>
      </c>
    </row>
    <row r="83" spans="10:17" x14ac:dyDescent="0.3">
      <c r="J83" s="2">
        <f t="shared" si="14"/>
        <v>9</v>
      </c>
      <c r="K83" s="2" t="str">
        <f t="shared" si="15"/>
        <v>T4高3</v>
      </c>
      <c r="L83" s="2" t="str">
        <f t="shared" si="16"/>
        <v>T4高</v>
      </c>
      <c r="M83" s="2">
        <f t="shared" si="17"/>
        <v>3</v>
      </c>
      <c r="N83" s="34">
        <f t="shared" si="18"/>
        <v>2.2781818181818179</v>
      </c>
      <c r="P83" s="2" t="s">
        <v>1301</v>
      </c>
      <c r="Q83" s="34">
        <v>4.2628571428571398</v>
      </c>
    </row>
    <row r="84" spans="10:17" x14ac:dyDescent="0.3">
      <c r="J84" s="2">
        <f t="shared" si="14"/>
        <v>9</v>
      </c>
      <c r="K84" s="2" t="str">
        <f t="shared" si="15"/>
        <v>T4高4</v>
      </c>
      <c r="L84" s="2" t="str">
        <f t="shared" si="16"/>
        <v>T4高</v>
      </c>
      <c r="M84" s="2">
        <f t="shared" si="17"/>
        <v>4</v>
      </c>
      <c r="N84" s="34">
        <f t="shared" si="18"/>
        <v>2.3709090909090906</v>
      </c>
      <c r="P84" s="2" t="s">
        <v>1302</v>
      </c>
      <c r="Q84" s="34">
        <v>4.2971428571428598</v>
      </c>
    </row>
    <row r="85" spans="10:17" x14ac:dyDescent="0.3">
      <c r="J85" s="2">
        <f t="shared" si="14"/>
        <v>9</v>
      </c>
      <c r="K85" s="2" t="str">
        <f t="shared" si="15"/>
        <v>T4高5</v>
      </c>
      <c r="L85" s="2" t="str">
        <f t="shared" si="16"/>
        <v>T4高</v>
      </c>
      <c r="M85" s="2">
        <f t="shared" si="17"/>
        <v>5</v>
      </c>
      <c r="N85" s="34">
        <f t="shared" si="18"/>
        <v>2.4636363636363634</v>
      </c>
      <c r="P85" s="2" t="s">
        <v>1303</v>
      </c>
      <c r="Q85" s="34">
        <v>4.4000000000000004</v>
      </c>
    </row>
    <row r="86" spans="10:17" x14ac:dyDescent="0.3">
      <c r="J86" s="2">
        <f t="shared" si="14"/>
        <v>9</v>
      </c>
      <c r="K86" s="2" t="str">
        <f t="shared" si="15"/>
        <v>T4高6</v>
      </c>
      <c r="L86" s="2" t="str">
        <f t="shared" si="16"/>
        <v>T4高</v>
      </c>
      <c r="M86" s="2">
        <f t="shared" si="17"/>
        <v>6</v>
      </c>
      <c r="N86" s="34">
        <f t="shared" si="18"/>
        <v>2.5563636363636362</v>
      </c>
      <c r="P86" s="2" t="s">
        <v>1304</v>
      </c>
      <c r="Q86" s="2">
        <v>4.4000000000000004</v>
      </c>
    </row>
    <row r="87" spans="10:17" x14ac:dyDescent="0.3">
      <c r="J87" s="2">
        <f t="shared" si="14"/>
        <v>9</v>
      </c>
      <c r="K87" s="2" t="str">
        <f t="shared" si="15"/>
        <v>T4高7</v>
      </c>
      <c r="L87" s="2" t="str">
        <f t="shared" si="16"/>
        <v>T4高</v>
      </c>
      <c r="M87" s="2">
        <f t="shared" si="17"/>
        <v>7</v>
      </c>
      <c r="N87" s="34">
        <f t="shared" si="18"/>
        <v>2.6490909090909089</v>
      </c>
      <c r="P87" s="2" t="s">
        <v>1305</v>
      </c>
      <c r="Q87" s="2">
        <v>4.4279999999999999</v>
      </c>
    </row>
    <row r="88" spans="10:17" x14ac:dyDescent="0.3">
      <c r="J88" s="2">
        <f t="shared" si="14"/>
        <v>9</v>
      </c>
      <c r="K88" s="2" t="str">
        <f t="shared" si="15"/>
        <v>T4高8</v>
      </c>
      <c r="L88" s="2" t="str">
        <f t="shared" si="16"/>
        <v>T4高</v>
      </c>
      <c r="M88" s="2">
        <f t="shared" si="17"/>
        <v>8</v>
      </c>
      <c r="N88" s="34">
        <f t="shared" si="18"/>
        <v>2.7418181818181813</v>
      </c>
      <c r="P88" s="2" t="s">
        <v>1306</v>
      </c>
      <c r="Q88" s="2">
        <v>4.4279999999999999</v>
      </c>
    </row>
    <row r="89" spans="10:17" x14ac:dyDescent="0.3">
      <c r="J89" s="2">
        <f t="shared" si="14"/>
        <v>9</v>
      </c>
      <c r="K89" s="2" t="str">
        <f t="shared" si="15"/>
        <v>T4高9</v>
      </c>
      <c r="L89" s="2" t="str">
        <f t="shared" si="16"/>
        <v>T4高</v>
      </c>
      <c r="M89" s="2">
        <f t="shared" si="17"/>
        <v>9</v>
      </c>
      <c r="N89" s="34">
        <f t="shared" si="18"/>
        <v>2.834545454545454</v>
      </c>
      <c r="P89" s="2" t="s">
        <v>1307</v>
      </c>
      <c r="Q89" s="2">
        <v>4.4588235294117604</v>
      </c>
    </row>
    <row r="90" spans="10:17" x14ac:dyDescent="0.3">
      <c r="J90" s="2">
        <f t="shared" si="14"/>
        <v>9</v>
      </c>
      <c r="K90" s="2" t="str">
        <f t="shared" si="15"/>
        <v>T4高10</v>
      </c>
      <c r="L90" s="2" t="str">
        <f t="shared" si="16"/>
        <v>T4高</v>
      </c>
      <c r="M90" s="2">
        <f t="shared" si="17"/>
        <v>10</v>
      </c>
      <c r="N90" s="34">
        <f t="shared" si="18"/>
        <v>2.9272727272727268</v>
      </c>
      <c r="P90" s="2" t="s">
        <v>1308</v>
      </c>
      <c r="Q90" s="34">
        <v>4.4771428571428604</v>
      </c>
    </row>
    <row r="91" spans="10:17" x14ac:dyDescent="0.3">
      <c r="J91" s="2">
        <f t="shared" si="14"/>
        <v>9</v>
      </c>
      <c r="K91" s="2" t="str">
        <f t="shared" si="15"/>
        <v>T4高11</v>
      </c>
      <c r="L91" s="2" t="str">
        <f t="shared" si="16"/>
        <v>T4高</v>
      </c>
      <c r="M91" s="2">
        <f t="shared" si="17"/>
        <v>11</v>
      </c>
      <c r="N91" s="34">
        <f t="shared" si="18"/>
        <v>3.0199999999999996</v>
      </c>
      <c r="P91" s="2" t="s">
        <v>817</v>
      </c>
      <c r="Q91" s="2">
        <v>4.4894117647058804</v>
      </c>
    </row>
    <row r="92" spans="10:17" x14ac:dyDescent="0.3">
      <c r="J92" s="2">
        <f t="shared" si="14"/>
        <v>10</v>
      </c>
      <c r="K92" s="2" t="str">
        <f t="shared" si="15"/>
        <v>T5低0</v>
      </c>
      <c r="L92" s="2" t="str">
        <f t="shared" si="16"/>
        <v>T5低</v>
      </c>
      <c r="M92" s="2">
        <f t="shared" si="17"/>
        <v>0</v>
      </c>
      <c r="N92" s="34">
        <f t="shared" si="18"/>
        <v>2.52</v>
      </c>
      <c r="P92" s="2" t="s">
        <v>1309</v>
      </c>
      <c r="Q92" s="34">
        <v>4.5257142857142796</v>
      </c>
    </row>
    <row r="93" spans="10:17" x14ac:dyDescent="0.3">
      <c r="J93" s="2">
        <f t="shared" si="14"/>
        <v>10</v>
      </c>
      <c r="K93" s="2" t="str">
        <f t="shared" si="15"/>
        <v>T5低1</v>
      </c>
      <c r="L93" s="2" t="str">
        <f t="shared" si="16"/>
        <v>T5低</v>
      </c>
      <c r="M93" s="2">
        <f t="shared" si="17"/>
        <v>1</v>
      </c>
      <c r="N93" s="34">
        <f t="shared" si="18"/>
        <v>2.6069230769230769</v>
      </c>
      <c r="P93" s="2" t="s">
        <v>1310</v>
      </c>
      <c r="Q93" s="34">
        <v>4.5999999999999996</v>
      </c>
    </row>
    <row r="94" spans="10:17" x14ac:dyDescent="0.3">
      <c r="J94" s="2">
        <f t="shared" si="14"/>
        <v>10</v>
      </c>
      <c r="K94" s="2" t="str">
        <f t="shared" si="15"/>
        <v>T5低2</v>
      </c>
      <c r="L94" s="2" t="str">
        <f t="shared" si="16"/>
        <v>T5低</v>
      </c>
      <c r="M94" s="2">
        <f t="shared" si="17"/>
        <v>2</v>
      </c>
      <c r="N94" s="34">
        <f t="shared" si="18"/>
        <v>2.6938461538461538</v>
      </c>
      <c r="P94" s="2" t="s">
        <v>1311</v>
      </c>
      <c r="Q94" s="2">
        <v>4.5999999999999996</v>
      </c>
    </row>
    <row r="95" spans="10:17" x14ac:dyDescent="0.3">
      <c r="J95" s="2">
        <f t="shared" si="14"/>
        <v>10</v>
      </c>
      <c r="K95" s="2" t="str">
        <f t="shared" si="15"/>
        <v>T5低3</v>
      </c>
      <c r="L95" s="2" t="str">
        <f t="shared" si="16"/>
        <v>T5低</v>
      </c>
      <c r="M95" s="2">
        <f t="shared" si="17"/>
        <v>3</v>
      </c>
      <c r="N95" s="34">
        <f t="shared" si="18"/>
        <v>2.7807692307692307</v>
      </c>
      <c r="P95" s="2" t="s">
        <v>1312</v>
      </c>
      <c r="Q95" s="2">
        <v>4.6420000000000003</v>
      </c>
    </row>
    <row r="96" spans="10:17" x14ac:dyDescent="0.3">
      <c r="J96" s="2">
        <f t="shared" si="14"/>
        <v>10</v>
      </c>
      <c r="K96" s="2" t="str">
        <f t="shared" si="15"/>
        <v>T5低4</v>
      </c>
      <c r="L96" s="2" t="str">
        <f t="shared" si="16"/>
        <v>T5低</v>
      </c>
      <c r="M96" s="2">
        <f t="shared" si="17"/>
        <v>4</v>
      </c>
      <c r="N96" s="34">
        <f t="shared" si="18"/>
        <v>2.8676923076923075</v>
      </c>
      <c r="P96" s="2" t="s">
        <v>1313</v>
      </c>
      <c r="Q96" s="2">
        <v>4.6559999999999997</v>
      </c>
    </row>
    <row r="97" spans="10:17" x14ac:dyDescent="0.3">
      <c r="J97" s="2">
        <f t="shared" si="14"/>
        <v>10</v>
      </c>
      <c r="K97" s="2" t="str">
        <f t="shared" si="15"/>
        <v>T5低5</v>
      </c>
      <c r="L97" s="2" t="str">
        <f t="shared" si="16"/>
        <v>T5低</v>
      </c>
      <c r="M97" s="2">
        <f t="shared" si="17"/>
        <v>5</v>
      </c>
      <c r="N97" s="34">
        <f t="shared" si="18"/>
        <v>2.9546153846153844</v>
      </c>
      <c r="P97" s="2" t="s">
        <v>1314</v>
      </c>
      <c r="Q97" s="2">
        <v>4.6729411764705899</v>
      </c>
    </row>
    <row r="98" spans="10:17" x14ac:dyDescent="0.3">
      <c r="J98" s="2">
        <f t="shared" si="14"/>
        <v>10</v>
      </c>
      <c r="K98" s="2" t="str">
        <f t="shared" si="15"/>
        <v>T5低6</v>
      </c>
      <c r="L98" s="2" t="str">
        <f t="shared" si="16"/>
        <v>T5低</v>
      </c>
      <c r="M98" s="2">
        <f t="shared" si="17"/>
        <v>6</v>
      </c>
      <c r="N98" s="34">
        <f t="shared" si="18"/>
        <v>3.0415384615384617</v>
      </c>
      <c r="P98" s="2" t="s">
        <v>1315</v>
      </c>
      <c r="Q98" s="34">
        <v>4.6914285714285704</v>
      </c>
    </row>
    <row r="99" spans="10:17" x14ac:dyDescent="0.3">
      <c r="J99" s="2">
        <f t="shared" si="14"/>
        <v>10</v>
      </c>
      <c r="K99" s="2" t="str">
        <f t="shared" si="15"/>
        <v>T5低7</v>
      </c>
      <c r="L99" s="2" t="str">
        <f t="shared" si="16"/>
        <v>T5低</v>
      </c>
      <c r="M99" s="2">
        <f t="shared" si="17"/>
        <v>7</v>
      </c>
      <c r="N99" s="34">
        <f t="shared" si="18"/>
        <v>3.1284615384615382</v>
      </c>
      <c r="P99" s="2" t="s">
        <v>1316</v>
      </c>
      <c r="Q99" s="2">
        <v>4.7176470588235304</v>
      </c>
    </row>
    <row r="100" spans="10:17" x14ac:dyDescent="0.3">
      <c r="J100" s="2">
        <f t="shared" si="14"/>
        <v>10</v>
      </c>
      <c r="K100" s="2" t="str">
        <f t="shared" si="15"/>
        <v>T5低8</v>
      </c>
      <c r="L100" s="2" t="str">
        <f t="shared" si="16"/>
        <v>T5低</v>
      </c>
      <c r="M100" s="2">
        <f t="shared" si="17"/>
        <v>8</v>
      </c>
      <c r="N100" s="34">
        <f t="shared" si="18"/>
        <v>3.2153846153846155</v>
      </c>
      <c r="P100" s="2" t="s">
        <v>1317</v>
      </c>
      <c r="Q100" s="34">
        <v>4.75428571428571</v>
      </c>
    </row>
    <row r="101" spans="10:17" x14ac:dyDescent="0.3">
      <c r="J101" s="2">
        <f t="shared" si="14"/>
        <v>10</v>
      </c>
      <c r="K101" s="2" t="str">
        <f t="shared" si="15"/>
        <v>T5低9</v>
      </c>
      <c r="L101" s="2" t="str">
        <f t="shared" si="16"/>
        <v>T5低</v>
      </c>
      <c r="M101" s="2">
        <f t="shared" si="17"/>
        <v>9</v>
      </c>
      <c r="N101" s="34">
        <f t="shared" si="18"/>
        <v>3.3023076923076924</v>
      </c>
      <c r="P101" s="2" t="s">
        <v>1318</v>
      </c>
      <c r="Q101" s="34">
        <v>4.8</v>
      </c>
    </row>
    <row r="102" spans="10:17" x14ac:dyDescent="0.3">
      <c r="J102" s="2">
        <f t="shared" si="14"/>
        <v>10</v>
      </c>
      <c r="K102" s="2" t="str">
        <f t="shared" si="15"/>
        <v>T5低10</v>
      </c>
      <c r="L102" s="2" t="str">
        <f t="shared" si="16"/>
        <v>T5低</v>
      </c>
      <c r="M102" s="2">
        <f t="shared" si="17"/>
        <v>10</v>
      </c>
      <c r="N102" s="34">
        <f t="shared" si="18"/>
        <v>3.3892307692307693</v>
      </c>
      <c r="P102" s="2" t="s">
        <v>807</v>
      </c>
      <c r="Q102" s="2">
        <v>4.8</v>
      </c>
    </row>
    <row r="103" spans="10:17" x14ac:dyDescent="0.3">
      <c r="J103" s="2">
        <f t="shared" si="14"/>
        <v>10</v>
      </c>
      <c r="K103" s="2" t="str">
        <f t="shared" si="15"/>
        <v>T5低11</v>
      </c>
      <c r="L103" s="2" t="str">
        <f t="shared" si="16"/>
        <v>T5低</v>
      </c>
      <c r="M103" s="2">
        <f t="shared" si="17"/>
        <v>11</v>
      </c>
      <c r="N103" s="34">
        <f t="shared" si="18"/>
        <v>3.4761538461538461</v>
      </c>
      <c r="P103" s="2" t="s">
        <v>1319</v>
      </c>
      <c r="Q103" s="2">
        <v>4.8559999999999999</v>
      </c>
    </row>
    <row r="104" spans="10:17" x14ac:dyDescent="0.3">
      <c r="J104" s="2">
        <f t="shared" si="14"/>
        <v>10</v>
      </c>
      <c r="K104" s="2" t="str">
        <f t="shared" si="15"/>
        <v>T5低12</v>
      </c>
      <c r="L104" s="2" t="str">
        <f t="shared" si="16"/>
        <v>T5低</v>
      </c>
      <c r="M104" s="2">
        <f t="shared" si="17"/>
        <v>12</v>
      </c>
      <c r="N104" s="34">
        <f t="shared" si="18"/>
        <v>3.563076923076923</v>
      </c>
      <c r="P104" s="2" t="s">
        <v>1320</v>
      </c>
      <c r="Q104" s="2">
        <v>4.8840000000000003</v>
      </c>
    </row>
    <row r="105" spans="10:17" x14ac:dyDescent="0.3">
      <c r="J105" s="2">
        <f t="shared" si="14"/>
        <v>10</v>
      </c>
      <c r="K105" s="2" t="str">
        <f t="shared" si="15"/>
        <v>T5低13</v>
      </c>
      <c r="L105" s="2" t="str">
        <f t="shared" si="16"/>
        <v>T5低</v>
      </c>
      <c r="M105" s="2">
        <f t="shared" si="17"/>
        <v>13</v>
      </c>
      <c r="N105" s="34">
        <f t="shared" si="18"/>
        <v>3.65</v>
      </c>
      <c r="P105" s="2" t="s">
        <v>1321</v>
      </c>
      <c r="Q105" s="2">
        <v>4.8870588235294097</v>
      </c>
    </row>
    <row r="106" spans="10:17" x14ac:dyDescent="0.3">
      <c r="J106" s="2">
        <f t="shared" si="14"/>
        <v>11</v>
      </c>
      <c r="K106" s="2" t="str">
        <f t="shared" si="15"/>
        <v>T5中0</v>
      </c>
      <c r="L106" s="2" t="str">
        <f t="shared" si="16"/>
        <v>T5中</v>
      </c>
      <c r="M106" s="2">
        <f t="shared" si="17"/>
        <v>0</v>
      </c>
      <c r="N106" s="34">
        <f t="shared" si="18"/>
        <v>2.62</v>
      </c>
      <c r="P106" s="2" t="s">
        <v>1322</v>
      </c>
      <c r="Q106" s="34">
        <v>4.9057142857142901</v>
      </c>
    </row>
    <row r="107" spans="10:17" x14ac:dyDescent="0.3">
      <c r="J107" s="2">
        <f t="shared" si="14"/>
        <v>11</v>
      </c>
      <c r="K107" s="2" t="str">
        <f t="shared" si="15"/>
        <v>T5中1</v>
      </c>
      <c r="L107" s="2" t="str">
        <f t="shared" si="16"/>
        <v>T5中</v>
      </c>
      <c r="M107" s="2">
        <f t="shared" si="17"/>
        <v>1</v>
      </c>
      <c r="N107" s="34">
        <f t="shared" si="18"/>
        <v>2.7123076923076925</v>
      </c>
      <c r="P107" s="2" t="s">
        <v>1323</v>
      </c>
      <c r="Q107" s="2">
        <v>4.9458823529411804</v>
      </c>
    </row>
    <row r="108" spans="10:17" x14ac:dyDescent="0.3">
      <c r="J108" s="2">
        <f t="shared" si="14"/>
        <v>11</v>
      </c>
      <c r="K108" s="2" t="str">
        <f t="shared" si="15"/>
        <v>T5中2</v>
      </c>
      <c r="L108" s="2" t="str">
        <f t="shared" si="16"/>
        <v>T5中</v>
      </c>
      <c r="M108" s="2">
        <f t="shared" si="17"/>
        <v>2</v>
      </c>
      <c r="N108" s="34">
        <f t="shared" si="18"/>
        <v>2.8046153846153845</v>
      </c>
      <c r="P108" s="2" t="s">
        <v>1324</v>
      </c>
      <c r="Q108" s="34">
        <v>4.9828571428571404</v>
      </c>
    </row>
    <row r="109" spans="10:17" x14ac:dyDescent="0.3">
      <c r="J109" s="2">
        <f t="shared" si="14"/>
        <v>11</v>
      </c>
      <c r="K109" s="2" t="str">
        <f t="shared" si="15"/>
        <v>T5中3</v>
      </c>
      <c r="L109" s="2" t="str">
        <f t="shared" si="16"/>
        <v>T5中</v>
      </c>
      <c r="M109" s="2">
        <f t="shared" si="17"/>
        <v>3</v>
      </c>
      <c r="N109" s="34">
        <f t="shared" si="18"/>
        <v>2.8969230769230769</v>
      </c>
      <c r="P109" s="2" t="s">
        <v>1325</v>
      </c>
      <c r="Q109" s="2">
        <v>5</v>
      </c>
    </row>
    <row r="110" spans="10:17" x14ac:dyDescent="0.3">
      <c r="J110" s="2">
        <f t="shared" si="14"/>
        <v>11</v>
      </c>
      <c r="K110" s="2" t="str">
        <f t="shared" si="15"/>
        <v>T5中4</v>
      </c>
      <c r="L110" s="2" t="str">
        <f t="shared" si="16"/>
        <v>T5中</v>
      </c>
      <c r="M110" s="2">
        <f t="shared" si="17"/>
        <v>4</v>
      </c>
      <c r="N110" s="34">
        <f t="shared" si="18"/>
        <v>2.9892307692307694</v>
      </c>
      <c r="P110" s="2" t="s">
        <v>808</v>
      </c>
      <c r="Q110" s="2">
        <v>5.07</v>
      </c>
    </row>
    <row r="111" spans="10:17" x14ac:dyDescent="0.3">
      <c r="J111" s="2">
        <f t="shared" si="14"/>
        <v>11</v>
      </c>
      <c r="K111" s="2" t="str">
        <f t="shared" si="15"/>
        <v>T5中5</v>
      </c>
      <c r="L111" s="2" t="str">
        <f t="shared" si="16"/>
        <v>T5中</v>
      </c>
      <c r="M111" s="2">
        <f t="shared" si="17"/>
        <v>5</v>
      </c>
      <c r="N111" s="34">
        <f t="shared" si="18"/>
        <v>3.0815384615384618</v>
      </c>
      <c r="P111" s="2" t="s">
        <v>1326</v>
      </c>
      <c r="Q111" s="2">
        <v>5.1011764705882401</v>
      </c>
    </row>
    <row r="112" spans="10:17" x14ac:dyDescent="0.3">
      <c r="J112" s="2">
        <f t="shared" si="14"/>
        <v>11</v>
      </c>
      <c r="K112" s="2" t="str">
        <f t="shared" si="15"/>
        <v>T5中6</v>
      </c>
      <c r="L112" s="2" t="str">
        <f t="shared" si="16"/>
        <v>T5中</v>
      </c>
      <c r="M112" s="2">
        <f t="shared" si="17"/>
        <v>6</v>
      </c>
      <c r="N112" s="34">
        <f t="shared" si="18"/>
        <v>3.1738461538461538</v>
      </c>
      <c r="P112" s="2" t="s">
        <v>1327</v>
      </c>
      <c r="Q112" s="2">
        <v>5.1120000000000001</v>
      </c>
    </row>
    <row r="113" spans="10:17" x14ac:dyDescent="0.3">
      <c r="J113" s="2">
        <f t="shared" si="14"/>
        <v>11</v>
      </c>
      <c r="K113" s="2" t="str">
        <f t="shared" si="15"/>
        <v>T5中7</v>
      </c>
      <c r="L113" s="2" t="str">
        <f t="shared" si="16"/>
        <v>T5中</v>
      </c>
      <c r="M113" s="2">
        <f t="shared" si="17"/>
        <v>7</v>
      </c>
      <c r="N113" s="34">
        <f t="shared" si="18"/>
        <v>3.2661538461538462</v>
      </c>
      <c r="P113" s="2" t="s">
        <v>1328</v>
      </c>
      <c r="Q113" s="34">
        <v>5.12</v>
      </c>
    </row>
    <row r="114" spans="10:17" x14ac:dyDescent="0.3">
      <c r="J114" s="2">
        <f t="shared" si="14"/>
        <v>11</v>
      </c>
      <c r="K114" s="2" t="str">
        <f t="shared" si="15"/>
        <v>T5中8</v>
      </c>
      <c r="L114" s="2" t="str">
        <f t="shared" si="16"/>
        <v>T5中</v>
      </c>
      <c r="M114" s="2">
        <f t="shared" si="17"/>
        <v>8</v>
      </c>
      <c r="N114" s="34">
        <f t="shared" si="18"/>
        <v>3.3584615384615386</v>
      </c>
      <c r="P114" s="2" t="s">
        <v>1329</v>
      </c>
      <c r="Q114" s="2">
        <v>5.1741176470588197</v>
      </c>
    </row>
    <row r="115" spans="10:17" x14ac:dyDescent="0.3">
      <c r="J115" s="2">
        <f t="shared" si="14"/>
        <v>11</v>
      </c>
      <c r="K115" s="2" t="str">
        <f t="shared" si="15"/>
        <v>T5中9</v>
      </c>
      <c r="L115" s="2" t="str">
        <f t="shared" si="16"/>
        <v>T5中</v>
      </c>
      <c r="M115" s="2">
        <f t="shared" si="17"/>
        <v>9</v>
      </c>
      <c r="N115" s="34">
        <f t="shared" si="18"/>
        <v>3.4507692307692306</v>
      </c>
      <c r="P115" s="2" t="s">
        <v>815</v>
      </c>
      <c r="Q115" s="2">
        <v>5.2</v>
      </c>
    </row>
    <row r="116" spans="10:17" x14ac:dyDescent="0.3">
      <c r="J116" s="2">
        <f t="shared" si="14"/>
        <v>11</v>
      </c>
      <c r="K116" s="2" t="str">
        <f t="shared" si="15"/>
        <v>T5中10</v>
      </c>
      <c r="L116" s="2" t="str">
        <f t="shared" si="16"/>
        <v>T5中</v>
      </c>
      <c r="M116" s="2">
        <f t="shared" si="17"/>
        <v>10</v>
      </c>
      <c r="N116" s="34">
        <f t="shared" si="18"/>
        <v>3.543076923076923</v>
      </c>
      <c r="P116" s="2" t="s">
        <v>1330</v>
      </c>
      <c r="Q116" s="34">
        <v>5.21142857142857</v>
      </c>
    </row>
    <row r="117" spans="10:17" x14ac:dyDescent="0.3">
      <c r="J117" s="2">
        <f t="shared" si="14"/>
        <v>11</v>
      </c>
      <c r="K117" s="2" t="str">
        <f t="shared" si="15"/>
        <v>T5中11</v>
      </c>
      <c r="L117" s="2" t="str">
        <f t="shared" si="16"/>
        <v>T5中</v>
      </c>
      <c r="M117" s="2">
        <f t="shared" si="17"/>
        <v>11</v>
      </c>
      <c r="N117" s="34">
        <f t="shared" si="18"/>
        <v>3.6353846153846154</v>
      </c>
      <c r="P117" s="2" t="s">
        <v>1331</v>
      </c>
      <c r="Q117" s="2">
        <v>5.2839999999999998</v>
      </c>
    </row>
    <row r="118" spans="10:17" x14ac:dyDescent="0.3">
      <c r="J118" s="2">
        <f t="shared" si="14"/>
        <v>11</v>
      </c>
      <c r="K118" s="2" t="str">
        <f t="shared" si="15"/>
        <v>T5中12</v>
      </c>
      <c r="L118" s="2" t="str">
        <f t="shared" si="16"/>
        <v>T5中</v>
      </c>
      <c r="M118" s="2">
        <f t="shared" si="17"/>
        <v>12</v>
      </c>
      <c r="N118" s="34">
        <f t="shared" si="18"/>
        <v>3.7276923076923074</v>
      </c>
      <c r="P118" s="2" t="s">
        <v>1332</v>
      </c>
      <c r="Q118" s="2">
        <v>5.3152941176470598</v>
      </c>
    </row>
    <row r="119" spans="10:17" x14ac:dyDescent="0.3">
      <c r="J119" s="2">
        <f t="shared" si="14"/>
        <v>11</v>
      </c>
      <c r="K119" s="2" t="str">
        <f t="shared" si="15"/>
        <v>T5中13</v>
      </c>
      <c r="L119" s="2" t="str">
        <f t="shared" si="16"/>
        <v>T5中</v>
      </c>
      <c r="M119" s="2">
        <f t="shared" si="17"/>
        <v>13</v>
      </c>
      <c r="N119" s="34">
        <f t="shared" si="18"/>
        <v>3.82</v>
      </c>
      <c r="P119" s="2" t="s">
        <v>810</v>
      </c>
      <c r="Q119" s="2">
        <v>5.34</v>
      </c>
    </row>
    <row r="120" spans="10:17" x14ac:dyDescent="0.3">
      <c r="J120" s="2">
        <f t="shared" si="14"/>
        <v>12</v>
      </c>
      <c r="K120" s="2" t="str">
        <f t="shared" si="15"/>
        <v>T5高0</v>
      </c>
      <c r="L120" s="2" t="str">
        <f t="shared" si="16"/>
        <v>T5高</v>
      </c>
      <c r="M120" s="2">
        <f t="shared" si="17"/>
        <v>0</v>
      </c>
      <c r="N120" s="34">
        <f t="shared" si="18"/>
        <v>2.62</v>
      </c>
      <c r="P120" s="2" t="s">
        <v>1333</v>
      </c>
      <c r="Q120" s="2">
        <v>5.4</v>
      </c>
    </row>
    <row r="121" spans="10:17" x14ac:dyDescent="0.3">
      <c r="J121" s="2">
        <f t="shared" si="14"/>
        <v>12</v>
      </c>
      <c r="K121" s="2" t="str">
        <f t="shared" si="15"/>
        <v>T5高1</v>
      </c>
      <c r="L121" s="2" t="str">
        <f t="shared" si="16"/>
        <v>T5高</v>
      </c>
      <c r="M121" s="2">
        <f t="shared" si="17"/>
        <v>1</v>
      </c>
      <c r="N121" s="34">
        <f t="shared" si="18"/>
        <v>2.7176923076923076</v>
      </c>
      <c r="P121" s="2" t="s">
        <v>1334</v>
      </c>
      <c r="Q121" s="2">
        <v>5.4023529411764697</v>
      </c>
    </row>
    <row r="122" spans="10:17" x14ac:dyDescent="0.3">
      <c r="J122" s="2">
        <f t="shared" si="14"/>
        <v>12</v>
      </c>
      <c r="K122" s="2" t="str">
        <f t="shared" si="15"/>
        <v>T5高2</v>
      </c>
      <c r="L122" s="2" t="str">
        <f t="shared" si="16"/>
        <v>T5高</v>
      </c>
      <c r="M122" s="2">
        <f t="shared" si="17"/>
        <v>2</v>
      </c>
      <c r="N122" s="34">
        <f t="shared" si="18"/>
        <v>2.8153846153846156</v>
      </c>
      <c r="P122" s="2" t="s">
        <v>1335</v>
      </c>
      <c r="Q122" s="34">
        <v>5.44</v>
      </c>
    </row>
    <row r="123" spans="10:17" x14ac:dyDescent="0.3">
      <c r="J123" s="2">
        <f t="shared" si="14"/>
        <v>12</v>
      </c>
      <c r="K123" s="2" t="str">
        <f t="shared" si="15"/>
        <v>T5高3</v>
      </c>
      <c r="L123" s="2" t="str">
        <f t="shared" si="16"/>
        <v>T5高</v>
      </c>
      <c r="M123" s="2">
        <f t="shared" si="17"/>
        <v>3</v>
      </c>
      <c r="N123" s="34">
        <f t="shared" si="18"/>
        <v>2.9130769230769231</v>
      </c>
      <c r="P123" s="2" t="s">
        <v>821</v>
      </c>
      <c r="Q123" s="2">
        <v>5.4980000000000002</v>
      </c>
    </row>
    <row r="124" spans="10:17" x14ac:dyDescent="0.3">
      <c r="J124" s="2">
        <f t="shared" si="14"/>
        <v>12</v>
      </c>
      <c r="K124" s="2" t="str">
        <f t="shared" si="15"/>
        <v>T5高4</v>
      </c>
      <c r="L124" s="2" t="str">
        <f t="shared" si="16"/>
        <v>T5高</v>
      </c>
      <c r="M124" s="2">
        <f t="shared" si="17"/>
        <v>4</v>
      </c>
      <c r="N124" s="34">
        <f t="shared" si="18"/>
        <v>3.0107692307692311</v>
      </c>
      <c r="P124" s="2" t="s">
        <v>1336</v>
      </c>
      <c r="Q124" s="2">
        <v>5.5294117647058796</v>
      </c>
    </row>
    <row r="125" spans="10:17" x14ac:dyDescent="0.3">
      <c r="J125" s="2">
        <f t="shared" si="14"/>
        <v>12</v>
      </c>
      <c r="K125" s="2" t="str">
        <f t="shared" si="15"/>
        <v>T5高5</v>
      </c>
      <c r="L125" s="2" t="str">
        <f t="shared" si="16"/>
        <v>T5高</v>
      </c>
      <c r="M125" s="2">
        <f t="shared" si="17"/>
        <v>5</v>
      </c>
      <c r="N125" s="34">
        <f t="shared" si="18"/>
        <v>3.1084615384615386</v>
      </c>
      <c r="P125" s="2" t="s">
        <v>1337</v>
      </c>
      <c r="Q125" s="2">
        <v>5.5679999999999996</v>
      </c>
    </row>
    <row r="126" spans="10:17" x14ac:dyDescent="0.3">
      <c r="J126" s="2">
        <f t="shared" si="14"/>
        <v>12</v>
      </c>
      <c r="K126" s="2" t="str">
        <f t="shared" si="15"/>
        <v>T5高6</v>
      </c>
      <c r="L126" s="2" t="str">
        <f t="shared" si="16"/>
        <v>T5高</v>
      </c>
      <c r="M126" s="2">
        <f t="shared" si="17"/>
        <v>6</v>
      </c>
      <c r="N126" s="34">
        <f t="shared" si="18"/>
        <v>3.2061538461538461</v>
      </c>
      <c r="P126" s="2" t="s">
        <v>1338</v>
      </c>
      <c r="Q126" s="2">
        <v>5.6</v>
      </c>
    </row>
    <row r="127" spans="10:17" x14ac:dyDescent="0.3">
      <c r="J127" s="2">
        <f t="shared" si="14"/>
        <v>12</v>
      </c>
      <c r="K127" s="2" t="str">
        <f t="shared" si="15"/>
        <v>T5高7</v>
      </c>
      <c r="L127" s="2" t="str">
        <f t="shared" si="16"/>
        <v>T5高</v>
      </c>
      <c r="M127" s="2">
        <f t="shared" si="17"/>
        <v>7</v>
      </c>
      <c r="N127" s="34">
        <f t="shared" si="18"/>
        <v>3.3038461538461537</v>
      </c>
      <c r="P127" s="2" t="s">
        <v>1339</v>
      </c>
      <c r="Q127" s="2">
        <v>5.6305882352941197</v>
      </c>
    </row>
    <row r="128" spans="10:17" x14ac:dyDescent="0.3">
      <c r="J128" s="2">
        <f t="shared" si="14"/>
        <v>12</v>
      </c>
      <c r="K128" s="2" t="str">
        <f t="shared" si="15"/>
        <v>T5高8</v>
      </c>
      <c r="L128" s="2" t="str">
        <f t="shared" si="16"/>
        <v>T5高</v>
      </c>
      <c r="M128" s="2">
        <f t="shared" si="17"/>
        <v>8</v>
      </c>
      <c r="N128" s="34">
        <f t="shared" si="18"/>
        <v>3.4015384615384616</v>
      </c>
      <c r="P128" s="2" t="s">
        <v>1340</v>
      </c>
      <c r="Q128" s="2">
        <v>5.7119999999999997</v>
      </c>
    </row>
    <row r="129" spans="10:17" x14ac:dyDescent="0.3">
      <c r="J129" s="2">
        <f t="shared" ref="J129:J152" si="19">IF(M128=VLOOKUP(J128,$B$3:$H$15,3,FALSE),J128+1,J128)</f>
        <v>12</v>
      </c>
      <c r="K129" s="2" t="str">
        <f t="shared" ref="K129:K152" si="20">L129&amp;M129</f>
        <v>T5高9</v>
      </c>
      <c r="L129" s="2" t="str">
        <f t="shared" ref="L129:L152" si="21">VLOOKUP(J129,$B$3:$H$15,2,FALSE)</f>
        <v>T5高</v>
      </c>
      <c r="M129" s="2">
        <f t="shared" ref="M129:M152" si="22">IF(J129&lt;&gt;J128,0,M128+1)</f>
        <v>9</v>
      </c>
      <c r="N129" s="34">
        <f t="shared" ref="N129:N152" si="23">VLOOKUP(J129,$B$3:$H$15,6,FALSE)+M129/VLOOKUP(J129,$B$3:$H$15,3,FALSE)*(VLOOKUP(J129,$B$3:$H$15,7,FALSE)-VLOOKUP(J129,$B$3:$H$15,6,FALSE))</f>
        <v>3.4992307692307696</v>
      </c>
      <c r="P129" s="2" t="s">
        <v>1341</v>
      </c>
      <c r="Q129" s="2">
        <v>5.74352941176471</v>
      </c>
    </row>
    <row r="130" spans="10:17" x14ac:dyDescent="0.3">
      <c r="J130" s="2">
        <f t="shared" si="19"/>
        <v>12</v>
      </c>
      <c r="K130" s="2" t="str">
        <f t="shared" si="20"/>
        <v>T5高10</v>
      </c>
      <c r="L130" s="2" t="str">
        <f t="shared" si="21"/>
        <v>T5高</v>
      </c>
      <c r="M130" s="2">
        <f t="shared" si="22"/>
        <v>10</v>
      </c>
      <c r="N130" s="34">
        <f t="shared" si="23"/>
        <v>3.5969230769230771</v>
      </c>
      <c r="P130" s="2" t="s">
        <v>1342</v>
      </c>
      <c r="Q130" s="2">
        <v>5.7960000000000003</v>
      </c>
    </row>
    <row r="131" spans="10:17" x14ac:dyDescent="0.3">
      <c r="J131" s="2">
        <f t="shared" si="19"/>
        <v>12</v>
      </c>
      <c r="K131" s="2" t="str">
        <f t="shared" si="20"/>
        <v>T5高11</v>
      </c>
      <c r="L131" s="2" t="str">
        <f t="shared" si="21"/>
        <v>T5高</v>
      </c>
      <c r="M131" s="2">
        <f t="shared" si="22"/>
        <v>11</v>
      </c>
      <c r="N131" s="34">
        <f t="shared" si="23"/>
        <v>3.6946153846153846</v>
      </c>
      <c r="P131" s="2" t="s">
        <v>1343</v>
      </c>
      <c r="Q131" s="2">
        <v>5.8</v>
      </c>
    </row>
    <row r="132" spans="10:17" x14ac:dyDescent="0.3">
      <c r="J132" s="2">
        <f t="shared" si="19"/>
        <v>12</v>
      </c>
      <c r="K132" s="2" t="str">
        <f t="shared" si="20"/>
        <v>T5高12</v>
      </c>
      <c r="L132" s="2" t="str">
        <f t="shared" si="21"/>
        <v>T5高</v>
      </c>
      <c r="M132" s="2">
        <f t="shared" si="22"/>
        <v>12</v>
      </c>
      <c r="N132" s="34">
        <f t="shared" si="23"/>
        <v>3.7923076923076926</v>
      </c>
      <c r="P132" s="2" t="s">
        <v>1344</v>
      </c>
      <c r="Q132" s="2">
        <v>5.8588235294117696</v>
      </c>
    </row>
    <row r="133" spans="10:17" x14ac:dyDescent="0.3">
      <c r="J133" s="2">
        <f t="shared" si="19"/>
        <v>12</v>
      </c>
      <c r="K133" s="2" t="str">
        <f t="shared" si="20"/>
        <v>T5高13</v>
      </c>
      <c r="L133" s="2" t="str">
        <f t="shared" si="21"/>
        <v>T5高</v>
      </c>
      <c r="M133" s="2">
        <f t="shared" si="22"/>
        <v>13</v>
      </c>
      <c r="N133" s="34">
        <f t="shared" si="23"/>
        <v>3.89</v>
      </c>
      <c r="P133" s="2" t="s">
        <v>1345</v>
      </c>
      <c r="Q133" s="2">
        <v>5.9260000000000002</v>
      </c>
    </row>
    <row r="134" spans="10:17" x14ac:dyDescent="0.3">
      <c r="J134" s="2">
        <f t="shared" si="19"/>
        <v>13</v>
      </c>
      <c r="K134" s="2" t="e">
        <f t="shared" si="20"/>
        <v>#N/A</v>
      </c>
      <c r="L134" s="2" t="e">
        <f t="shared" si="21"/>
        <v>#N/A</v>
      </c>
      <c r="M134" s="2">
        <f t="shared" si="22"/>
        <v>0</v>
      </c>
      <c r="N134" s="34" t="e">
        <f t="shared" si="23"/>
        <v>#N/A</v>
      </c>
      <c r="P134" s="2" t="s">
        <v>1346</v>
      </c>
      <c r="Q134" s="2">
        <v>5.9576470588235297</v>
      </c>
    </row>
    <row r="135" spans="10:17" x14ac:dyDescent="0.3">
      <c r="J135" s="2" t="e">
        <f t="shared" si="19"/>
        <v>#N/A</v>
      </c>
      <c r="K135" s="2" t="e">
        <f t="shared" si="20"/>
        <v>#N/A</v>
      </c>
      <c r="L135" s="2" t="e">
        <f t="shared" si="21"/>
        <v>#N/A</v>
      </c>
      <c r="M135" s="2" t="e">
        <f t="shared" si="22"/>
        <v>#N/A</v>
      </c>
      <c r="N135" s="34" t="e">
        <f t="shared" si="23"/>
        <v>#N/A</v>
      </c>
      <c r="P135" s="2" t="s">
        <v>1347</v>
      </c>
      <c r="Q135" s="2">
        <v>6</v>
      </c>
    </row>
    <row r="136" spans="10:17" x14ac:dyDescent="0.3">
      <c r="J136" s="2" t="e">
        <f t="shared" si="19"/>
        <v>#N/A</v>
      </c>
      <c r="K136" s="2" t="e">
        <f t="shared" si="20"/>
        <v>#N/A</v>
      </c>
      <c r="L136" s="2" t="e">
        <f t="shared" si="21"/>
        <v>#N/A</v>
      </c>
      <c r="M136" s="2" t="e">
        <f t="shared" si="22"/>
        <v>#N/A</v>
      </c>
      <c r="N136" s="34" t="e">
        <f t="shared" si="23"/>
        <v>#N/A</v>
      </c>
      <c r="P136" s="2" t="s">
        <v>1348</v>
      </c>
      <c r="Q136" s="2">
        <v>6.024</v>
      </c>
    </row>
    <row r="137" spans="10:17" x14ac:dyDescent="0.3">
      <c r="J137" s="2" t="e">
        <f t="shared" si="19"/>
        <v>#N/A</v>
      </c>
      <c r="K137" s="2" t="e">
        <f t="shared" si="20"/>
        <v>#N/A</v>
      </c>
      <c r="L137" s="2" t="e">
        <f t="shared" si="21"/>
        <v>#N/A</v>
      </c>
      <c r="M137" s="2" t="e">
        <f t="shared" si="22"/>
        <v>#N/A</v>
      </c>
      <c r="N137" s="34" t="e">
        <f t="shared" si="23"/>
        <v>#N/A</v>
      </c>
      <c r="P137" s="2" t="s">
        <v>1349</v>
      </c>
      <c r="Q137" s="2">
        <v>6.0870588235294099</v>
      </c>
    </row>
    <row r="138" spans="10:17" x14ac:dyDescent="0.3">
      <c r="J138" s="2" t="e">
        <f t="shared" si="19"/>
        <v>#N/A</v>
      </c>
      <c r="K138" s="2" t="e">
        <f t="shared" si="20"/>
        <v>#N/A</v>
      </c>
      <c r="L138" s="2" t="e">
        <f t="shared" si="21"/>
        <v>#N/A</v>
      </c>
      <c r="M138" s="2" t="e">
        <f t="shared" si="22"/>
        <v>#N/A</v>
      </c>
      <c r="N138" s="34" t="e">
        <f t="shared" si="23"/>
        <v>#N/A</v>
      </c>
      <c r="P138" s="2" t="s">
        <v>1350</v>
      </c>
      <c r="Q138" s="2">
        <v>6.14</v>
      </c>
    </row>
    <row r="139" spans="10:17" x14ac:dyDescent="0.3">
      <c r="J139" s="2" t="e">
        <f t="shared" si="19"/>
        <v>#N/A</v>
      </c>
      <c r="K139" s="2" t="e">
        <f t="shared" si="20"/>
        <v>#N/A</v>
      </c>
      <c r="L139" s="2" t="e">
        <f t="shared" si="21"/>
        <v>#N/A</v>
      </c>
      <c r="M139" s="2" t="e">
        <f t="shared" si="22"/>
        <v>#N/A</v>
      </c>
      <c r="N139" s="34" t="e">
        <f t="shared" si="23"/>
        <v>#N/A</v>
      </c>
      <c r="P139" s="2" t="s">
        <v>1351</v>
      </c>
      <c r="Q139" s="2">
        <v>6.1717647058823504</v>
      </c>
    </row>
    <row r="140" spans="10:17" x14ac:dyDescent="0.3">
      <c r="J140" s="2" t="e">
        <f t="shared" si="19"/>
        <v>#N/A</v>
      </c>
      <c r="K140" s="2" t="e">
        <f t="shared" si="20"/>
        <v>#N/A</v>
      </c>
      <c r="L140" s="2" t="e">
        <f t="shared" si="21"/>
        <v>#N/A</v>
      </c>
      <c r="M140" s="2" t="e">
        <f t="shared" si="22"/>
        <v>#N/A</v>
      </c>
      <c r="N140" s="34" t="e">
        <f t="shared" si="23"/>
        <v>#N/A</v>
      </c>
      <c r="P140" s="2" t="s">
        <v>1352</v>
      </c>
      <c r="Q140" s="2">
        <v>6.2</v>
      </c>
    </row>
    <row r="141" spans="10:17" x14ac:dyDescent="0.3">
      <c r="J141" s="2" t="e">
        <f t="shared" si="19"/>
        <v>#N/A</v>
      </c>
      <c r="K141" s="2" t="e">
        <f t="shared" si="20"/>
        <v>#N/A</v>
      </c>
      <c r="L141" s="2" t="e">
        <f t="shared" si="21"/>
        <v>#N/A</v>
      </c>
      <c r="M141" s="2" t="e">
        <f t="shared" si="22"/>
        <v>#N/A</v>
      </c>
      <c r="N141" s="34" t="e">
        <f t="shared" si="23"/>
        <v>#N/A</v>
      </c>
      <c r="P141" s="2" t="s">
        <v>1353</v>
      </c>
      <c r="Q141" s="2">
        <v>6.2519999999999998</v>
      </c>
    </row>
    <row r="142" spans="10:17" x14ac:dyDescent="0.3">
      <c r="J142" s="2" t="e">
        <f t="shared" si="19"/>
        <v>#N/A</v>
      </c>
      <c r="K142" s="2" t="e">
        <f t="shared" si="20"/>
        <v>#N/A</v>
      </c>
      <c r="L142" s="2" t="e">
        <f t="shared" si="21"/>
        <v>#N/A</v>
      </c>
      <c r="M142" s="2" t="e">
        <f t="shared" si="22"/>
        <v>#N/A</v>
      </c>
      <c r="N142" s="34" t="e">
        <f t="shared" si="23"/>
        <v>#N/A</v>
      </c>
      <c r="P142" s="2" t="s">
        <v>1354</v>
      </c>
      <c r="Q142" s="2">
        <v>6.3152941176470598</v>
      </c>
    </row>
    <row r="143" spans="10:17" x14ac:dyDescent="0.3">
      <c r="J143" s="2" t="e">
        <f t="shared" si="19"/>
        <v>#N/A</v>
      </c>
      <c r="K143" s="2" t="e">
        <f t="shared" si="20"/>
        <v>#N/A</v>
      </c>
      <c r="L143" s="2" t="e">
        <f t="shared" si="21"/>
        <v>#N/A</v>
      </c>
      <c r="M143" s="2" t="e">
        <f t="shared" si="22"/>
        <v>#N/A</v>
      </c>
      <c r="N143" s="34" t="e">
        <f t="shared" si="23"/>
        <v>#N/A</v>
      </c>
      <c r="P143" s="2" t="s">
        <v>1355</v>
      </c>
      <c r="Q143" s="2">
        <v>6.3540000000000001</v>
      </c>
    </row>
    <row r="144" spans="10:17" x14ac:dyDescent="0.3">
      <c r="J144" s="2" t="e">
        <f t="shared" si="19"/>
        <v>#N/A</v>
      </c>
      <c r="K144" s="2" t="e">
        <f t="shared" si="20"/>
        <v>#N/A</v>
      </c>
      <c r="L144" s="2" t="e">
        <f t="shared" si="21"/>
        <v>#N/A</v>
      </c>
      <c r="M144" s="2" t="e">
        <f t="shared" si="22"/>
        <v>#N/A</v>
      </c>
      <c r="N144" s="34" t="e">
        <f t="shared" si="23"/>
        <v>#N/A</v>
      </c>
      <c r="P144" s="2" t="s">
        <v>1356</v>
      </c>
      <c r="Q144" s="2">
        <v>6.3858823529411799</v>
      </c>
    </row>
    <row r="145" spans="10:17" x14ac:dyDescent="0.3">
      <c r="J145" s="2" t="e">
        <f t="shared" si="19"/>
        <v>#N/A</v>
      </c>
      <c r="K145" s="2" t="e">
        <f t="shared" si="20"/>
        <v>#N/A</v>
      </c>
      <c r="L145" s="2" t="e">
        <f t="shared" si="21"/>
        <v>#N/A</v>
      </c>
      <c r="M145" s="2" t="e">
        <f t="shared" si="22"/>
        <v>#N/A</v>
      </c>
      <c r="N145" s="34" t="e">
        <f t="shared" si="23"/>
        <v>#N/A</v>
      </c>
      <c r="P145" s="2" t="s">
        <v>1357</v>
      </c>
      <c r="Q145" s="2">
        <v>6.48</v>
      </c>
    </row>
    <row r="146" spans="10:17" x14ac:dyDescent="0.3">
      <c r="J146" s="2" t="e">
        <f t="shared" si="19"/>
        <v>#N/A</v>
      </c>
      <c r="K146" s="2" t="e">
        <f t="shared" si="20"/>
        <v>#N/A</v>
      </c>
      <c r="L146" s="2" t="e">
        <f t="shared" si="21"/>
        <v>#N/A</v>
      </c>
      <c r="M146" s="2" t="e">
        <f t="shared" si="22"/>
        <v>#N/A</v>
      </c>
      <c r="N146" s="34" t="e">
        <f t="shared" si="23"/>
        <v>#N/A</v>
      </c>
      <c r="P146" s="2" t="s">
        <v>1358</v>
      </c>
      <c r="Q146" s="2">
        <v>6.5435294117647098</v>
      </c>
    </row>
    <row r="147" spans="10:17" x14ac:dyDescent="0.3">
      <c r="J147" s="2" t="e">
        <f t="shared" si="19"/>
        <v>#N/A</v>
      </c>
      <c r="K147" s="2" t="e">
        <f t="shared" si="20"/>
        <v>#N/A</v>
      </c>
      <c r="L147" s="2" t="e">
        <f t="shared" si="21"/>
        <v>#N/A</v>
      </c>
      <c r="M147" s="2" t="e">
        <f t="shared" si="22"/>
        <v>#N/A</v>
      </c>
      <c r="N147" s="34" t="e">
        <f t="shared" si="23"/>
        <v>#N/A</v>
      </c>
      <c r="P147" s="2" t="s">
        <v>1359</v>
      </c>
      <c r="Q147" s="2">
        <v>6.5679999999999996</v>
      </c>
    </row>
    <row r="148" spans="10:17" x14ac:dyDescent="0.3">
      <c r="J148" s="2" t="e">
        <f t="shared" si="19"/>
        <v>#N/A</v>
      </c>
      <c r="K148" s="2" t="e">
        <f t="shared" si="20"/>
        <v>#N/A</v>
      </c>
      <c r="L148" s="2" t="e">
        <f t="shared" si="21"/>
        <v>#N/A</v>
      </c>
      <c r="M148" s="2" t="e">
        <f t="shared" si="22"/>
        <v>#N/A</v>
      </c>
      <c r="N148" s="34" t="e">
        <f t="shared" si="23"/>
        <v>#N/A</v>
      </c>
      <c r="P148" s="2" t="s">
        <v>1360</v>
      </c>
      <c r="Q148" s="2">
        <v>6.6</v>
      </c>
    </row>
    <row r="149" spans="10:17" x14ac:dyDescent="0.3">
      <c r="J149" s="2" t="e">
        <f t="shared" si="19"/>
        <v>#N/A</v>
      </c>
      <c r="K149" s="2" t="e">
        <f t="shared" si="20"/>
        <v>#N/A</v>
      </c>
      <c r="L149" s="2" t="e">
        <f t="shared" si="21"/>
        <v>#N/A</v>
      </c>
      <c r="M149" s="2" t="e">
        <f t="shared" si="22"/>
        <v>#N/A</v>
      </c>
      <c r="N149" s="34" t="e">
        <f t="shared" si="23"/>
        <v>#N/A</v>
      </c>
      <c r="P149" s="2" t="s">
        <v>1361</v>
      </c>
      <c r="Q149" s="2">
        <v>6.7080000000000002</v>
      </c>
    </row>
    <row r="150" spans="10:17" x14ac:dyDescent="0.3">
      <c r="J150" s="2" t="e">
        <f t="shared" si="19"/>
        <v>#N/A</v>
      </c>
      <c r="K150" s="2" t="e">
        <f t="shared" si="20"/>
        <v>#N/A</v>
      </c>
      <c r="L150" s="2" t="e">
        <f t="shared" si="21"/>
        <v>#N/A</v>
      </c>
      <c r="M150" s="2" t="e">
        <f t="shared" si="22"/>
        <v>#N/A</v>
      </c>
      <c r="N150" s="34" t="e">
        <f t="shared" si="23"/>
        <v>#N/A</v>
      </c>
      <c r="P150" s="2" t="s">
        <v>1362</v>
      </c>
      <c r="Q150" s="2">
        <v>6.77176470588235</v>
      </c>
    </row>
    <row r="151" spans="10:17" x14ac:dyDescent="0.3">
      <c r="J151" s="2" t="e">
        <f t="shared" si="19"/>
        <v>#N/A</v>
      </c>
      <c r="K151" s="2" t="e">
        <f t="shared" si="20"/>
        <v>#N/A</v>
      </c>
      <c r="L151" s="2" t="e">
        <f t="shared" si="21"/>
        <v>#N/A</v>
      </c>
      <c r="M151" s="2" t="e">
        <f t="shared" si="22"/>
        <v>#N/A</v>
      </c>
      <c r="N151" s="34" t="e">
        <f t="shared" si="23"/>
        <v>#N/A</v>
      </c>
      <c r="P151" s="2" t="s">
        <v>1363</v>
      </c>
      <c r="Q151" s="2">
        <v>6.782</v>
      </c>
    </row>
    <row r="152" spans="10:17" x14ac:dyDescent="0.3">
      <c r="J152" s="2" t="e">
        <f t="shared" si="19"/>
        <v>#N/A</v>
      </c>
      <c r="K152" s="2" t="e">
        <f t="shared" si="20"/>
        <v>#N/A</v>
      </c>
      <c r="L152" s="2" t="e">
        <f t="shared" si="21"/>
        <v>#N/A</v>
      </c>
      <c r="M152" s="2" t="e">
        <f t="shared" si="22"/>
        <v>#N/A</v>
      </c>
      <c r="N152" s="34" t="e">
        <f t="shared" si="23"/>
        <v>#N/A</v>
      </c>
      <c r="P152" s="2" t="s">
        <v>1364</v>
      </c>
      <c r="Q152" s="2">
        <v>6.9359999999999999</v>
      </c>
    </row>
    <row r="153" spans="10:17" x14ac:dyDescent="0.3">
      <c r="J153" s="2" t="e">
        <f t="shared" ref="J153:J168" si="24">IF(M152=VLOOKUP(J152,$B$3:$H$15,3,FALSE),J152+1,J152)</f>
        <v>#N/A</v>
      </c>
      <c r="K153" s="2" t="e">
        <f t="shared" ref="K153:K168" si="25">L153&amp;M153</f>
        <v>#N/A</v>
      </c>
      <c r="L153" s="2" t="e">
        <f t="shared" ref="L153:L168" si="26">VLOOKUP(J153,$B$3:$H$15,2,FALSE)</f>
        <v>#N/A</v>
      </c>
      <c r="M153" s="2" t="e">
        <f t="shared" ref="M153:M168" si="27">IF(J153&lt;&gt;J152,0,M152+1)</f>
        <v>#N/A</v>
      </c>
      <c r="N153" s="34" t="e">
        <f t="shared" ref="N153:N168" si="28">VLOOKUP(J153,$B$3:$H$15,6,FALSE)+M153/VLOOKUP(J153,$B$3:$H$15,3,FALSE)*(VLOOKUP(J153,$B$3:$H$15,7,FALSE)-VLOOKUP(J153,$B$3:$H$15,6,FALSE))</f>
        <v>#N/A</v>
      </c>
      <c r="P153" s="2" t="s">
        <v>1365</v>
      </c>
      <c r="Q153" s="2">
        <v>6.9960000000000004</v>
      </c>
    </row>
    <row r="154" spans="10:17" x14ac:dyDescent="0.3">
      <c r="J154" s="2" t="e">
        <f t="shared" si="24"/>
        <v>#N/A</v>
      </c>
      <c r="K154" s="2" t="e">
        <f t="shared" si="25"/>
        <v>#N/A</v>
      </c>
      <c r="L154" s="2" t="e">
        <f t="shared" si="26"/>
        <v>#N/A</v>
      </c>
      <c r="M154" s="2" t="e">
        <f t="shared" si="27"/>
        <v>#N/A</v>
      </c>
      <c r="N154" s="34" t="e">
        <f t="shared" si="28"/>
        <v>#N/A</v>
      </c>
      <c r="P154" s="2" t="s">
        <v>1366</v>
      </c>
      <c r="Q154" s="2">
        <v>7</v>
      </c>
    </row>
    <row r="155" spans="10:17" x14ac:dyDescent="0.3">
      <c r="J155" s="2" t="e">
        <f t="shared" si="24"/>
        <v>#N/A</v>
      </c>
      <c r="K155" s="2" t="e">
        <f t="shared" si="25"/>
        <v>#N/A</v>
      </c>
      <c r="L155" s="2" t="e">
        <f t="shared" si="26"/>
        <v>#N/A</v>
      </c>
      <c r="M155" s="2" t="e">
        <f t="shared" si="27"/>
        <v>#N/A</v>
      </c>
      <c r="N155" s="34" t="e">
        <f t="shared" si="28"/>
        <v>#N/A</v>
      </c>
      <c r="P155" s="2" t="s">
        <v>1367</v>
      </c>
      <c r="Q155" s="2">
        <v>7.1639999999999997</v>
      </c>
    </row>
    <row r="156" spans="10:17" x14ac:dyDescent="0.3">
      <c r="J156" s="2" t="e">
        <f t="shared" si="24"/>
        <v>#N/A</v>
      </c>
      <c r="K156" s="2" t="e">
        <f t="shared" si="25"/>
        <v>#N/A</v>
      </c>
      <c r="L156" s="2" t="e">
        <f t="shared" si="26"/>
        <v>#N/A</v>
      </c>
      <c r="M156" s="2" t="e">
        <f t="shared" si="27"/>
        <v>#N/A</v>
      </c>
      <c r="N156" s="34" t="e">
        <f t="shared" si="28"/>
        <v>#N/A</v>
      </c>
      <c r="P156" s="2" t="s">
        <v>1368</v>
      </c>
      <c r="Q156" s="2">
        <v>7.21</v>
      </c>
    </row>
    <row r="157" spans="10:17" x14ac:dyDescent="0.3">
      <c r="J157" s="2" t="e">
        <f t="shared" si="24"/>
        <v>#N/A</v>
      </c>
      <c r="K157" s="2" t="e">
        <f t="shared" si="25"/>
        <v>#N/A</v>
      </c>
      <c r="L157" s="2" t="e">
        <f t="shared" si="26"/>
        <v>#N/A</v>
      </c>
      <c r="M157" s="2" t="e">
        <f t="shared" si="27"/>
        <v>#N/A</v>
      </c>
      <c r="N157" s="34" t="e">
        <f t="shared" si="28"/>
        <v>#N/A</v>
      </c>
      <c r="P157" s="2" t="s">
        <v>1369</v>
      </c>
      <c r="Q157" s="2">
        <v>7.3920000000000003</v>
      </c>
    </row>
    <row r="158" spans="10:17" x14ac:dyDescent="0.3">
      <c r="J158" s="2" t="e">
        <f t="shared" si="24"/>
        <v>#N/A</v>
      </c>
      <c r="K158" s="2" t="e">
        <f t="shared" si="25"/>
        <v>#N/A</v>
      </c>
      <c r="L158" s="2" t="e">
        <f t="shared" si="26"/>
        <v>#N/A</v>
      </c>
      <c r="M158" s="2" t="e">
        <f t="shared" si="27"/>
        <v>#N/A</v>
      </c>
      <c r="N158" s="34" t="e">
        <f t="shared" si="28"/>
        <v>#N/A</v>
      </c>
      <c r="P158" s="2" t="s">
        <v>1370</v>
      </c>
      <c r="Q158" s="2">
        <v>7.4240000000000004</v>
      </c>
    </row>
    <row r="159" spans="10:17" x14ac:dyDescent="0.3">
      <c r="J159" s="2" t="e">
        <f t="shared" si="24"/>
        <v>#N/A</v>
      </c>
      <c r="K159" s="2" t="e">
        <f t="shared" si="25"/>
        <v>#N/A</v>
      </c>
      <c r="L159" s="2" t="e">
        <f t="shared" si="26"/>
        <v>#N/A</v>
      </c>
      <c r="M159" s="2" t="e">
        <f t="shared" si="27"/>
        <v>#N/A</v>
      </c>
      <c r="N159" s="34" t="e">
        <f t="shared" si="28"/>
        <v>#N/A</v>
      </c>
      <c r="P159" s="2" t="s">
        <v>1371</v>
      </c>
      <c r="Q159" s="2">
        <v>7.62</v>
      </c>
    </row>
    <row r="160" spans="10:17" x14ac:dyDescent="0.3">
      <c r="J160" s="2" t="e">
        <f t="shared" si="24"/>
        <v>#N/A</v>
      </c>
      <c r="K160" s="2" t="e">
        <f t="shared" si="25"/>
        <v>#N/A</v>
      </c>
      <c r="L160" s="2" t="e">
        <f t="shared" si="26"/>
        <v>#N/A</v>
      </c>
      <c r="M160" s="2" t="e">
        <f t="shared" si="27"/>
        <v>#N/A</v>
      </c>
      <c r="N160" s="34" t="e">
        <f t="shared" si="28"/>
        <v>#N/A</v>
      </c>
      <c r="P160" s="2" t="s">
        <v>1372</v>
      </c>
      <c r="Q160" s="2">
        <v>7.6379999999999999</v>
      </c>
    </row>
    <row r="161" spans="10:17" x14ac:dyDescent="0.3">
      <c r="J161" s="2" t="e">
        <f t="shared" si="24"/>
        <v>#N/A</v>
      </c>
      <c r="K161" s="2" t="e">
        <f t="shared" si="25"/>
        <v>#N/A</v>
      </c>
      <c r="L161" s="2" t="e">
        <f t="shared" si="26"/>
        <v>#N/A</v>
      </c>
      <c r="M161" s="2" t="e">
        <f t="shared" si="27"/>
        <v>#N/A</v>
      </c>
      <c r="N161" s="34" t="e">
        <f t="shared" si="28"/>
        <v>#N/A</v>
      </c>
      <c r="P161" s="2" t="s">
        <v>1373</v>
      </c>
      <c r="Q161" s="2">
        <v>7.8479999999999999</v>
      </c>
    </row>
    <row r="162" spans="10:17" x14ac:dyDescent="0.3">
      <c r="J162" s="2" t="e">
        <f t="shared" si="24"/>
        <v>#N/A</v>
      </c>
      <c r="K162" s="2" t="e">
        <f t="shared" si="25"/>
        <v>#N/A</v>
      </c>
      <c r="L162" s="2" t="e">
        <f t="shared" si="26"/>
        <v>#N/A</v>
      </c>
      <c r="M162" s="2" t="e">
        <f t="shared" si="27"/>
        <v>#N/A</v>
      </c>
      <c r="N162" s="34" t="e">
        <f t="shared" si="28"/>
        <v>#N/A</v>
      </c>
      <c r="P162" s="2" t="s">
        <v>1374</v>
      </c>
      <c r="Q162" s="2">
        <v>7.8520000000000003</v>
      </c>
    </row>
    <row r="163" spans="10:17" x14ac:dyDescent="0.3">
      <c r="J163" s="2" t="e">
        <f t="shared" si="24"/>
        <v>#N/A</v>
      </c>
      <c r="K163" s="2" t="e">
        <f t="shared" si="25"/>
        <v>#N/A</v>
      </c>
      <c r="L163" s="2" t="e">
        <f t="shared" si="26"/>
        <v>#N/A</v>
      </c>
      <c r="M163" s="2" t="e">
        <f t="shared" si="27"/>
        <v>#N/A</v>
      </c>
      <c r="N163" s="34" t="e">
        <f t="shared" si="28"/>
        <v>#N/A</v>
      </c>
      <c r="P163" s="2" t="s">
        <v>1375</v>
      </c>
      <c r="Q163" s="2">
        <v>8.0660000000000007</v>
      </c>
    </row>
    <row r="164" spans="10:17" x14ac:dyDescent="0.3">
      <c r="J164" s="2" t="e">
        <f t="shared" si="24"/>
        <v>#N/A</v>
      </c>
      <c r="K164" s="2" t="e">
        <f t="shared" si="25"/>
        <v>#N/A</v>
      </c>
      <c r="L164" s="2" t="e">
        <f t="shared" si="26"/>
        <v>#N/A</v>
      </c>
      <c r="M164" s="2" t="e">
        <f t="shared" si="27"/>
        <v>#N/A</v>
      </c>
      <c r="N164" s="34" t="e">
        <f t="shared" si="28"/>
        <v>#N/A</v>
      </c>
      <c r="P164" s="2" t="s">
        <v>1376</v>
      </c>
      <c r="Q164" s="2">
        <v>8.0760000000000005</v>
      </c>
    </row>
    <row r="165" spans="10:17" x14ac:dyDescent="0.3">
      <c r="J165" s="2" t="e">
        <f t="shared" si="24"/>
        <v>#N/A</v>
      </c>
      <c r="K165" s="2" t="e">
        <f t="shared" si="25"/>
        <v>#N/A</v>
      </c>
      <c r="L165" s="2" t="e">
        <f t="shared" si="26"/>
        <v>#N/A</v>
      </c>
      <c r="M165" s="2" t="e">
        <f t="shared" si="27"/>
        <v>#N/A</v>
      </c>
      <c r="N165" s="34" t="e">
        <f t="shared" si="28"/>
        <v>#N/A</v>
      </c>
      <c r="P165" s="2" t="s">
        <v>1377</v>
      </c>
      <c r="Q165" s="2">
        <v>8.2799999999999994</v>
      </c>
    </row>
    <row r="166" spans="10:17" x14ac:dyDescent="0.3">
      <c r="J166" s="2" t="e">
        <f t="shared" si="24"/>
        <v>#N/A</v>
      </c>
      <c r="K166" s="2" t="e">
        <f t="shared" si="25"/>
        <v>#N/A</v>
      </c>
      <c r="L166" s="2" t="e">
        <f t="shared" si="26"/>
        <v>#N/A</v>
      </c>
      <c r="M166" s="2" t="e">
        <f t="shared" si="27"/>
        <v>#N/A</v>
      </c>
      <c r="N166" s="34" t="e">
        <f t="shared" si="28"/>
        <v>#N/A</v>
      </c>
      <c r="P166" s="2" t="s">
        <v>1378</v>
      </c>
      <c r="Q166" s="2">
        <v>8.3040000000000003</v>
      </c>
    </row>
    <row r="167" spans="10:17" x14ac:dyDescent="0.3">
      <c r="J167" s="2" t="e">
        <f t="shared" si="24"/>
        <v>#N/A</v>
      </c>
      <c r="K167" s="2" t="e">
        <f t="shared" si="25"/>
        <v>#N/A</v>
      </c>
      <c r="L167" s="2" t="e">
        <f t="shared" si="26"/>
        <v>#N/A</v>
      </c>
      <c r="M167" s="2" t="e">
        <f t="shared" si="27"/>
        <v>#N/A</v>
      </c>
      <c r="N167" s="34" t="e">
        <f t="shared" si="28"/>
        <v>#N/A</v>
      </c>
      <c r="P167" s="2" t="s">
        <v>1379</v>
      </c>
      <c r="Q167" s="2">
        <v>8.532</v>
      </c>
    </row>
    <row r="168" spans="10:17" x14ac:dyDescent="0.3">
      <c r="J168" s="2" t="e">
        <f t="shared" si="24"/>
        <v>#N/A</v>
      </c>
      <c r="K168" s="2" t="e">
        <f t="shared" si="25"/>
        <v>#N/A</v>
      </c>
      <c r="L168" s="2" t="e">
        <f t="shared" si="26"/>
        <v>#N/A</v>
      </c>
      <c r="M168" s="2" t="e">
        <f t="shared" si="27"/>
        <v>#N/A</v>
      </c>
      <c r="N168" s="34" t="e">
        <f t="shared" si="28"/>
        <v>#N/A</v>
      </c>
      <c r="P168" s="2" t="s">
        <v>1380</v>
      </c>
      <c r="Q168" s="2">
        <v>8.76</v>
      </c>
    </row>
  </sheetData>
  <sortState ref="P2:Q172">
    <sortCondition ref="Q2:Q172"/>
  </sortState>
  <mergeCells count="2">
    <mergeCell ref="B2:H2"/>
    <mergeCell ref="J2:N2"/>
  </mergeCells>
  <phoneticPr fontId="34" type="noConversion"/>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S62"/>
  <sheetViews>
    <sheetView workbookViewId="0">
      <selection activeCell="L17" sqref="L17"/>
    </sheetView>
  </sheetViews>
  <sheetFormatPr defaultColWidth="9" defaultRowHeight="14.25" x14ac:dyDescent="0.3"/>
  <cols>
    <col min="1" max="1" width="9" style="1"/>
    <col min="2" max="2" width="10.5" style="1" customWidth="1"/>
    <col min="3" max="6" width="9" style="1" customWidth="1"/>
    <col min="7" max="8" width="10.5" style="1" customWidth="1"/>
    <col min="9" max="9" width="9" style="1" customWidth="1"/>
    <col min="10" max="11" width="9" style="1"/>
    <col min="12" max="12" width="11.375" style="1" customWidth="1"/>
    <col min="13" max="13" width="8.875" style="1" customWidth="1"/>
    <col min="14" max="16384" width="9" style="1"/>
  </cols>
  <sheetData>
    <row r="2" spans="2:45" ht="15.75" customHeight="1" x14ac:dyDescent="0.3">
      <c r="B2" s="2" t="s">
        <v>1381</v>
      </c>
      <c r="C2" s="25"/>
      <c r="D2" s="262" t="s">
        <v>1382</v>
      </c>
      <c r="E2" s="262"/>
      <c r="F2" s="262"/>
      <c r="G2" s="262"/>
      <c r="H2" s="262"/>
      <c r="I2" s="25"/>
      <c r="J2" s="262" t="s">
        <v>1383</v>
      </c>
      <c r="K2" s="262"/>
      <c r="L2" s="262"/>
      <c r="N2" s="262" t="s">
        <v>1384</v>
      </c>
      <c r="O2" s="262"/>
      <c r="P2" s="262"/>
      <c r="Q2" s="262"/>
      <c r="R2" s="262"/>
      <c r="S2" s="262"/>
      <c r="T2" s="262"/>
      <c r="U2" s="262"/>
      <c r="V2" s="262"/>
      <c r="W2" s="262"/>
      <c r="X2" s="25"/>
      <c r="Y2" s="262" t="s">
        <v>1385</v>
      </c>
      <c r="Z2" s="262"/>
      <c r="AA2" s="262"/>
      <c r="AB2" s="262"/>
      <c r="AC2" s="262"/>
      <c r="AD2" s="25"/>
      <c r="AE2" s="25"/>
      <c r="AF2" s="263" t="s">
        <v>1386</v>
      </c>
      <c r="AG2" s="264"/>
      <c r="AH2" s="264"/>
      <c r="AI2" s="264"/>
      <c r="AJ2" s="265"/>
      <c r="AK2" s="25"/>
    </row>
    <row r="3" spans="2:45" x14ac:dyDescent="0.3">
      <c r="B3" s="32">
        <v>2</v>
      </c>
      <c r="C3" s="144"/>
      <c r="D3" s="39" t="s">
        <v>676</v>
      </c>
      <c r="E3" s="145" t="s">
        <v>1387</v>
      </c>
      <c r="F3" s="145" t="s">
        <v>1388</v>
      </c>
      <c r="G3" s="145" t="s">
        <v>1389</v>
      </c>
      <c r="H3" s="29" t="s">
        <v>1390</v>
      </c>
      <c r="I3" s="144"/>
      <c r="J3" s="2" t="s">
        <v>1391</v>
      </c>
      <c r="K3" s="2" t="s">
        <v>1392</v>
      </c>
      <c r="L3" s="2" t="s">
        <v>1393</v>
      </c>
      <c r="N3" s="2" t="s">
        <v>1394</v>
      </c>
      <c r="O3" s="2" t="s">
        <v>1395</v>
      </c>
      <c r="P3" s="2" t="s">
        <v>603</v>
      </c>
      <c r="Q3" s="2" t="s">
        <v>1396</v>
      </c>
      <c r="R3" s="2" t="s">
        <v>1397</v>
      </c>
      <c r="S3" s="2" t="s">
        <v>1398</v>
      </c>
      <c r="T3" s="2" t="s">
        <v>1399</v>
      </c>
      <c r="U3" s="2" t="s">
        <v>1400</v>
      </c>
      <c r="V3" s="2" t="s">
        <v>1401</v>
      </c>
      <c r="W3" s="2" t="s">
        <v>1402</v>
      </c>
      <c r="Y3" s="2" t="s">
        <v>1403</v>
      </c>
      <c r="Z3" s="2" t="s">
        <v>1404</v>
      </c>
      <c r="AA3" s="2" t="s">
        <v>1396</v>
      </c>
      <c r="AB3" s="2" t="s">
        <v>1405</v>
      </c>
      <c r="AC3" s="2" t="s">
        <v>1406</v>
      </c>
      <c r="AD3" s="25"/>
      <c r="AE3" s="2" t="s">
        <v>901</v>
      </c>
      <c r="AF3" s="2" t="s">
        <v>676</v>
      </c>
      <c r="AG3" s="2" t="s">
        <v>1407</v>
      </c>
      <c r="AH3" s="2" t="s">
        <v>1388</v>
      </c>
      <c r="AI3" s="2" t="s">
        <v>1401</v>
      </c>
      <c r="AJ3" s="2" t="s">
        <v>1408</v>
      </c>
      <c r="AK3" s="25"/>
      <c r="AL3" s="2" t="s">
        <v>608</v>
      </c>
      <c r="AM3" s="2" t="s">
        <v>352</v>
      </c>
      <c r="AN3" s="2" t="s">
        <v>1409</v>
      </c>
      <c r="AO3" s="2" t="s">
        <v>791</v>
      </c>
      <c r="AP3" s="2" t="s">
        <v>1403</v>
      </c>
      <c r="AQ3" s="2" t="s">
        <v>1402</v>
      </c>
      <c r="AR3" s="2" t="s">
        <v>1392</v>
      </c>
      <c r="AS3" s="2" t="s">
        <v>1410</v>
      </c>
    </row>
    <row r="4" spans="2:45" x14ac:dyDescent="0.3">
      <c r="C4" s="1" t="e">
        <f>I4*#REF!</f>
        <v>#REF!</v>
      </c>
      <c r="D4" s="2" t="s">
        <v>613</v>
      </c>
      <c r="E4" s="2" t="e">
        <f>#REF!</f>
        <v>#REF!</v>
      </c>
      <c r="F4" s="2">
        <v>3</v>
      </c>
      <c r="G4" s="2">
        <v>50</v>
      </c>
      <c r="H4" s="2" t="s">
        <v>191</v>
      </c>
      <c r="J4" s="2">
        <v>1</v>
      </c>
      <c r="K4" s="32">
        <v>1000</v>
      </c>
      <c r="L4" s="2">
        <f>POWER(坦克等级成长!J13/坦克等级成长!J14,战斗力计算!$C$2)</f>
        <v>0.78181737487830738</v>
      </c>
      <c r="N4" s="2">
        <v>1</v>
      </c>
      <c r="O4" s="21">
        <v>5</v>
      </c>
      <c r="P4" s="2">
        <v>1</v>
      </c>
      <c r="Q4" s="147">
        <v>4.4999999999999998E-2</v>
      </c>
      <c r="R4" s="2">
        <f>Q4*P4+O4*$B$6</f>
        <v>7.0000000000000007E-2</v>
      </c>
      <c r="S4" s="146">
        <v>0.01</v>
      </c>
      <c r="T4" s="110">
        <f>$S$4</f>
        <v>0.01</v>
      </c>
      <c r="U4" s="21">
        <v>10</v>
      </c>
      <c r="V4" s="21">
        <v>30</v>
      </c>
      <c r="W4" s="2">
        <f>G4+V4*P4+VLOOKUP(O4,$Y$3:$AC$38,MATCH("累计属性",$Y$3:$AC$3,0),FALSE)</f>
        <v>130</v>
      </c>
      <c r="Y4" s="2">
        <v>1</v>
      </c>
      <c r="Z4" s="2">
        <v>1</v>
      </c>
      <c r="AA4" s="148">
        <f>VLOOKUP(Z4,$N$3:$W$10,MATCH("计算比例",$N$3:$W$3,0),FALSE)</f>
        <v>0.01</v>
      </c>
      <c r="AB4" s="2">
        <f>MROUND(VLOOKUP(Z4,$N$3:$U$10,8,FALSE),1)</f>
        <v>10</v>
      </c>
      <c r="AC4" s="2">
        <f>AB4</f>
        <v>10</v>
      </c>
      <c r="AD4" s="25"/>
      <c r="AE4" s="2" t="e">
        <f>AG4&amp;"星"</f>
        <v>#REF!</v>
      </c>
      <c r="AF4" s="2" t="s">
        <v>359</v>
      </c>
      <c r="AG4" s="2" t="e">
        <f>#REF!</f>
        <v>#REF!</v>
      </c>
      <c r="AH4" s="2" t="e">
        <f>VLOOKUP(AF4,#REF!,3,FALSE)</f>
        <v>#REF!</v>
      </c>
      <c r="AI4" s="2" t="e">
        <f>ROUND(IF(AG4&lt;&gt;AH4,VLOOKUP(AF4,$D$3:$G$6,4,FALSE),VLOOKUP(AG4,$N$3:$W$10,MATCH(AI$3,$N$3:$W$3,0),FALSE)),0)</f>
        <v>#REF!</v>
      </c>
      <c r="AJ4" s="2" t="e">
        <f t="shared" ref="AJ4:AJ9" si="0">IF(AF4=AF3,AI4+AJ3,AI4)</f>
        <v>#REF!</v>
      </c>
      <c r="AK4" s="25"/>
      <c r="AL4" s="2" t="str">
        <f>坦克个性化设定!B19</f>
        <v>雷诺FT</v>
      </c>
      <c r="AM4" s="2" t="str">
        <f>坦克个性化设定!E19</f>
        <v>T1</v>
      </c>
      <c r="AN4" s="2" t="str">
        <f>坦克个性化细分!J4</f>
        <v>低</v>
      </c>
      <c r="AO4" s="2">
        <f>VLOOKUP(AM4&amp;AN4,坦克等级成长!$P$12:$U$24,MATCH(AO$3,坦克等级成长!$P$12:$U$12,0),FALSE)</f>
        <v>3</v>
      </c>
      <c r="AP4" s="2">
        <f t="shared" ref="AP4:AP33" si="1">_xlfn.IFNA(VLOOKUP(AO4,$N$3:$O$10,2,FALSE),$O$10)</f>
        <v>15</v>
      </c>
      <c r="AQ4" s="2">
        <f t="shared" ref="AQ4:AQ33" si="2">VLOOKUP(AO4,$N$3:$W$10,MATCH(AQ$3,$N$3:$W$3,0),FALSE)</f>
        <v>405</v>
      </c>
      <c r="AR4" s="2">
        <f t="shared" ref="AR4:AR33" si="3">VLOOKUP(AO4,$J$3:$L$10,MATCH(AR$3,$J$3:$L$3,0),FALSE)</f>
        <v>1750</v>
      </c>
      <c r="AS4" s="2">
        <f>AQ4/AR4</f>
        <v>0.23142857142857143</v>
      </c>
    </row>
    <row r="5" spans="2:45" x14ac:dyDescent="0.3">
      <c r="B5" s="2" t="s">
        <v>1411</v>
      </c>
      <c r="C5" s="1" t="e">
        <f>I5*#REF!</f>
        <v>#REF!</v>
      </c>
      <c r="D5" s="2" t="s">
        <v>615</v>
      </c>
      <c r="E5" s="2">
        <v>2</v>
      </c>
      <c r="F5" s="2">
        <v>4</v>
      </c>
      <c r="G5" s="2">
        <f>MROUND(G4+V5,5)</f>
        <v>110</v>
      </c>
      <c r="H5" s="2" t="s">
        <v>1412</v>
      </c>
      <c r="J5" s="2">
        <v>2</v>
      </c>
      <c r="K5" s="2">
        <f t="shared" ref="K5:K10" si="4">MROUND(K4/L4,50)</f>
        <v>1300</v>
      </c>
      <c r="L5" s="2">
        <f>POWER(坦克等级成长!J14/坦克等级成长!J16,战斗力计算!$C$2)</f>
        <v>0.75342732397673173</v>
      </c>
      <c r="N5" s="2">
        <v>2</v>
      </c>
      <c r="O5" s="21">
        <v>10</v>
      </c>
      <c r="P5" s="2">
        <v>1</v>
      </c>
      <c r="Q5" s="147">
        <v>4.2000000000000003E-2</v>
      </c>
      <c r="R5" s="2">
        <f>Q4*P4+Q5*P5+O5*$B$6</f>
        <v>0.13700000000000001</v>
      </c>
      <c r="S5" s="146">
        <v>8.0000000000000002E-3</v>
      </c>
      <c r="T5" s="110">
        <f>(O5*$S$5-O4*$S$5*K4/K5)/(O5-O4)</f>
        <v>9.8461538461538465E-3</v>
      </c>
      <c r="U5" s="21">
        <v>15</v>
      </c>
      <c r="V5" s="21">
        <v>60</v>
      </c>
      <c r="W5" s="2">
        <f>V4*P4+V5*P5+VLOOKUP(O5,$Y$3:$AC$38,MATCH("累计属性",$Y$3:$AC$3,0),FALSE)</f>
        <v>215</v>
      </c>
      <c r="Y5" s="2">
        <v>2</v>
      </c>
      <c r="Z5" s="2">
        <f>IF(VLOOKUP(Z4,$N$3:$O$10,2,FALSE)&lt;Y5,Z4+1,Z4)</f>
        <v>1</v>
      </c>
      <c r="AA5" s="148">
        <f t="shared" ref="AA5:AA38" si="5">VLOOKUP(Z5,$N$3:$W$10,MATCH("计算比例",$N$3:$W$3,0),FALSE)</f>
        <v>0.01</v>
      </c>
      <c r="AB5" s="2">
        <f t="shared" ref="AB5:AB38" si="6">MROUND(VLOOKUP(Z5,$N$3:$U$10,8,FALSE),1)</f>
        <v>10</v>
      </c>
      <c r="AC5" s="2">
        <f>AB5+AC4</f>
        <v>20</v>
      </c>
      <c r="AD5" s="25"/>
      <c r="AE5" s="2" t="e">
        <f t="shared" ref="AE5:AE9" si="7">AG5&amp;"星"</f>
        <v>#REF!</v>
      </c>
      <c r="AF5" s="2" t="e">
        <f t="shared" ref="AF5:AF9" si="8">IF(AG4=AH4,"T"&amp;RIGHT(AF4,1)*1+1,AF4)</f>
        <v>#REF!</v>
      </c>
      <c r="AG5" s="2" t="e">
        <f>IF(AG4&lt;AH4,AG4+1,VLOOKUP(AF5,#REF!,2,FALSE))</f>
        <v>#REF!</v>
      </c>
      <c r="AH5" s="2" t="e">
        <f>VLOOKUP(AF5,#REF!,3,FALSE)</f>
        <v>#REF!</v>
      </c>
      <c r="AI5" s="2" t="e">
        <f>ROUND(IF(AG5&lt;&gt;AH5,VLOOKUP(AF5,$D$3:$G$6,4,FALSE),VLOOKUP(AG5-1,$N$3:$W$10,MATCH(AI$3,$N$3:$W$3,0),FALSE)),0)</f>
        <v>#REF!</v>
      </c>
      <c r="AJ5" s="2" t="e">
        <f t="shared" si="0"/>
        <v>#REF!</v>
      </c>
      <c r="AK5" s="25"/>
      <c r="AL5" s="2" t="str">
        <f>坦克个性化设定!B20</f>
        <v>二号</v>
      </c>
      <c r="AM5" s="2" t="str">
        <f>坦克个性化设定!E20</f>
        <v>T2</v>
      </c>
      <c r="AN5" s="2" t="str">
        <f>坦克个性化细分!J5</f>
        <v>低</v>
      </c>
      <c r="AO5" s="2">
        <f>VLOOKUP(AM5&amp;AN5,坦克等级成长!$P$12:$U$24,MATCH(AO$3,坦克等级成长!$P$12:$U$12,0),FALSE)</f>
        <v>4</v>
      </c>
      <c r="AP5" s="2">
        <f t="shared" si="1"/>
        <v>20</v>
      </c>
      <c r="AQ5" s="2">
        <f t="shared" si="2"/>
        <v>650</v>
      </c>
      <c r="AR5" s="2">
        <f t="shared" si="3"/>
        <v>2500</v>
      </c>
      <c r="AS5" s="2">
        <f t="shared" ref="AS5:AS33" si="9">AQ5/AR5</f>
        <v>0.26</v>
      </c>
    </row>
    <row r="6" spans="2:45" x14ac:dyDescent="0.3">
      <c r="B6" s="146">
        <v>5.0000000000000001E-3</v>
      </c>
      <c r="C6" s="1" t="e">
        <f>I6*#REF!</f>
        <v>#REF!</v>
      </c>
      <c r="D6" s="2" t="s">
        <v>619</v>
      </c>
      <c r="E6" s="2">
        <v>3</v>
      </c>
      <c r="F6" s="2">
        <v>5</v>
      </c>
      <c r="G6" s="2">
        <f>MROUND(G5+V6,5)</f>
        <v>200</v>
      </c>
      <c r="H6" s="2" t="s">
        <v>1413</v>
      </c>
      <c r="J6" s="2">
        <v>3</v>
      </c>
      <c r="K6" s="2">
        <f t="shared" si="4"/>
        <v>1750</v>
      </c>
      <c r="L6" s="2">
        <f>POWER(坦克等级成长!J16/坦克等级成长!J19,战斗力计算!$C$2)</f>
        <v>0.70371475488147239</v>
      </c>
      <c r="N6" s="2">
        <v>3</v>
      </c>
      <c r="O6" s="21">
        <v>15</v>
      </c>
      <c r="P6" s="2">
        <v>1</v>
      </c>
      <c r="Q6" s="147">
        <v>0.04</v>
      </c>
      <c r="R6" s="2">
        <f>Q4*P4+Q5*P5+Q6*P6+O6*$B$6</f>
        <v>0.20200000000000001</v>
      </c>
      <c r="S6" s="146">
        <v>7.0000000000000001E-3</v>
      </c>
      <c r="T6" s="110">
        <f>(O6*$S$6-O5*$S$6*K5/K6)/(O6-O5)</f>
        <v>1.0599999999999997E-2</v>
      </c>
      <c r="U6" s="21">
        <v>20</v>
      </c>
      <c r="V6" s="21">
        <v>90</v>
      </c>
      <c r="W6" s="2">
        <f>V4*P4+V5*P5+V6*P6+VLOOKUP(O6,$Y$3:$AC$38,MATCH("累计属性",$Y$3:$AC$3,0),FALSE)</f>
        <v>405</v>
      </c>
      <c r="Y6" s="2">
        <v>3</v>
      </c>
      <c r="Z6" s="2">
        <f t="shared" ref="Z6:Z38" si="10">IF(VLOOKUP(Z5,$N$3:$O$10,2,FALSE)&lt;Y6,Z5+1,Z5)</f>
        <v>1</v>
      </c>
      <c r="AA6" s="148">
        <f t="shared" si="5"/>
        <v>0.01</v>
      </c>
      <c r="AB6" s="2">
        <f t="shared" si="6"/>
        <v>10</v>
      </c>
      <c r="AC6" s="2">
        <f t="shared" ref="AC6:AC38" si="11">AB6+AC5</f>
        <v>30</v>
      </c>
      <c r="AD6" s="25"/>
      <c r="AE6" s="2" t="e">
        <f t="shared" si="7"/>
        <v>#REF!</v>
      </c>
      <c r="AF6" s="2" t="e">
        <f t="shared" si="8"/>
        <v>#REF!</v>
      </c>
      <c r="AG6" s="2" t="e">
        <f>IF(AG5&lt;AH5,AG5+1,VLOOKUP(AF6,#REF!,2,FALSE))</f>
        <v>#REF!</v>
      </c>
      <c r="AH6" s="2" t="e">
        <f>VLOOKUP(AF6,#REF!,3,FALSE)</f>
        <v>#REF!</v>
      </c>
      <c r="AI6" s="2" t="e">
        <f t="shared" ref="AI6:AI9" si="12">ROUND(IF(AG6&lt;&gt;AH6,VLOOKUP(AF6,$D$3:$G$6,4,FALSE),VLOOKUP(AG6-1,$N$3:$W$10,MATCH(AI$3,$N$3:$W$3,0),FALSE)),0)</f>
        <v>#REF!</v>
      </c>
      <c r="AJ6" s="2" t="e">
        <f t="shared" si="0"/>
        <v>#REF!</v>
      </c>
      <c r="AK6" s="25"/>
      <c r="AL6" s="2" t="str">
        <f>坦克个性化设定!B21</f>
        <v>Puma</v>
      </c>
      <c r="AM6" s="2" t="str">
        <f>坦克个性化设定!E21</f>
        <v>T2</v>
      </c>
      <c r="AN6" s="2" t="str">
        <f>坦克个性化细分!J6</f>
        <v>中</v>
      </c>
      <c r="AO6" s="2">
        <f>VLOOKUP(AM6&amp;AN6,坦克等级成长!$P$12:$U$24,MATCH(AO$3,坦克等级成长!$P$12:$U$12,0),FALSE)</f>
        <v>4</v>
      </c>
      <c r="AP6" s="2">
        <f t="shared" si="1"/>
        <v>20</v>
      </c>
      <c r="AQ6" s="2">
        <f t="shared" si="2"/>
        <v>650</v>
      </c>
      <c r="AR6" s="2">
        <f t="shared" si="3"/>
        <v>2500</v>
      </c>
      <c r="AS6" s="2">
        <f t="shared" si="9"/>
        <v>0.26</v>
      </c>
    </row>
    <row r="7" spans="2:45" x14ac:dyDescent="0.3">
      <c r="D7" s="122" t="s">
        <v>626</v>
      </c>
      <c r="E7" s="122">
        <v>3</v>
      </c>
      <c r="F7" s="122">
        <v>6</v>
      </c>
      <c r="G7" s="122">
        <f>MROUND(G6+V7,5)</f>
        <v>320</v>
      </c>
      <c r="H7" s="122"/>
      <c r="J7" s="2">
        <v>4</v>
      </c>
      <c r="K7" s="2">
        <f t="shared" si="4"/>
        <v>2500</v>
      </c>
      <c r="L7" s="2">
        <f>POWER(坦克等级成长!J19/坦克等级成长!J22,战斗力计算!$C$2)</f>
        <v>0.69273308279167156</v>
      </c>
      <c r="N7" s="2">
        <v>4</v>
      </c>
      <c r="O7" s="21">
        <v>20</v>
      </c>
      <c r="P7" s="2">
        <v>1</v>
      </c>
      <c r="Q7" s="147">
        <v>0.03</v>
      </c>
      <c r="R7" s="2">
        <f>Q4*P4+Q5*P5+Q6*P6+Q7*P7+O7*$B$6</f>
        <v>0.25700000000000001</v>
      </c>
      <c r="S7" s="146">
        <v>6.0000000000000001E-3</v>
      </c>
      <c r="T7" s="110">
        <f>(O7*$S$7-O6*$S$7*K6/K7)/(O7-O6)</f>
        <v>1.1399999999999999E-2</v>
      </c>
      <c r="U7" s="21">
        <v>25</v>
      </c>
      <c r="V7" s="21">
        <v>120</v>
      </c>
      <c r="W7" s="2">
        <f>V4*P4+V5*P5+V6*P6+V7*P7+VLOOKUP(O7,$Y$3:$AC$38,MATCH("累计属性",$Y$3:$AC$3,0),FALSE)</f>
        <v>650</v>
      </c>
      <c r="Y7" s="2">
        <v>4</v>
      </c>
      <c r="Z7" s="2">
        <f t="shared" si="10"/>
        <v>1</v>
      </c>
      <c r="AA7" s="148">
        <f t="shared" si="5"/>
        <v>0.01</v>
      </c>
      <c r="AB7" s="2">
        <f t="shared" si="6"/>
        <v>10</v>
      </c>
      <c r="AC7" s="2">
        <f t="shared" si="11"/>
        <v>40</v>
      </c>
      <c r="AD7" s="25"/>
      <c r="AE7" s="2" t="e">
        <f t="shared" si="7"/>
        <v>#REF!</v>
      </c>
      <c r="AF7" s="2" t="e">
        <f t="shared" si="8"/>
        <v>#REF!</v>
      </c>
      <c r="AG7" s="2" t="e">
        <f>IF(AG6&lt;AH6,AG6+1,VLOOKUP(AF7,#REF!,2,FALSE))</f>
        <v>#REF!</v>
      </c>
      <c r="AH7" s="2" t="e">
        <f>VLOOKUP(AF7,#REF!,3,FALSE)</f>
        <v>#REF!</v>
      </c>
      <c r="AI7" s="2" t="e">
        <f t="shared" si="12"/>
        <v>#REF!</v>
      </c>
      <c r="AJ7" s="2" t="e">
        <f t="shared" si="0"/>
        <v>#REF!</v>
      </c>
      <c r="AK7" s="25"/>
      <c r="AL7" s="2" t="str">
        <f>坦克个性化设定!B22</f>
        <v>35(t)</v>
      </c>
      <c r="AM7" s="2" t="str">
        <f>坦克个性化设定!E22</f>
        <v>T3</v>
      </c>
      <c r="AN7" s="2" t="str">
        <f>坦克个性化细分!J7</f>
        <v>低</v>
      </c>
      <c r="AO7" s="2">
        <f>VLOOKUP(AM7&amp;AN7,坦克等级成长!$P$12:$U$24,MATCH(AO$3,坦克等级成长!$P$12:$U$12,0),FALSE)</f>
        <v>5</v>
      </c>
      <c r="AP7" s="2">
        <f t="shared" si="1"/>
        <v>25</v>
      </c>
      <c r="AQ7" s="2">
        <f t="shared" si="2"/>
        <v>950</v>
      </c>
      <c r="AR7" s="2">
        <f t="shared" si="3"/>
        <v>3600</v>
      </c>
      <c r="AS7" s="2">
        <f t="shared" si="9"/>
        <v>0.2638888888888889</v>
      </c>
    </row>
    <row r="8" spans="2:45" x14ac:dyDescent="0.3">
      <c r="D8" s="122" t="s">
        <v>633</v>
      </c>
      <c r="E8" s="122">
        <v>3</v>
      </c>
      <c r="F8" s="122">
        <v>7</v>
      </c>
      <c r="G8" s="122">
        <f>MROUND(G7+V8,5)</f>
        <v>470</v>
      </c>
      <c r="H8" s="122"/>
      <c r="J8" s="2">
        <v>5</v>
      </c>
      <c r="K8" s="2">
        <f t="shared" si="4"/>
        <v>3600</v>
      </c>
      <c r="L8" s="2">
        <f>POWER(坦克等级成长!J22/(坦克等级成长!K22-坦克等级成长!I22*坦克等级成长!E22),战斗力计算!$C$2)</f>
        <v>0.83504690668108461</v>
      </c>
      <c r="N8" s="2">
        <v>5</v>
      </c>
      <c r="O8" s="21">
        <v>25</v>
      </c>
      <c r="P8" s="2">
        <v>1</v>
      </c>
      <c r="Q8" s="147">
        <v>2.7E-2</v>
      </c>
      <c r="R8" s="2">
        <f>Q4*P4+Q5*P5+Q6*P6+Q7*P7+Q8*P8+O8*$B$6</f>
        <v>0.309</v>
      </c>
      <c r="S8" s="146">
        <v>5.0000000000000001E-3</v>
      </c>
      <c r="T8" s="110">
        <f>(O8*$S$8-O7*$S$8*K7/K8)/(O8-O7)</f>
        <v>1.111111111111111E-2</v>
      </c>
      <c r="U8" s="21">
        <v>30</v>
      </c>
      <c r="V8" s="21">
        <v>150</v>
      </c>
      <c r="W8" s="2">
        <f>V4*P4+V5*P5+V6*P6+V7*P7+V8*P8+VLOOKUP(O8,$Y$3:$AC$38,MATCH("累计属性",$Y$3:$AC$3,0),FALSE)</f>
        <v>950</v>
      </c>
      <c r="Y8" s="2">
        <v>5</v>
      </c>
      <c r="Z8" s="2">
        <f t="shared" si="10"/>
        <v>1</v>
      </c>
      <c r="AA8" s="148">
        <f t="shared" si="5"/>
        <v>0.01</v>
      </c>
      <c r="AB8" s="2">
        <f t="shared" si="6"/>
        <v>10</v>
      </c>
      <c r="AC8" s="2">
        <f t="shared" si="11"/>
        <v>50</v>
      </c>
      <c r="AD8" s="25"/>
      <c r="AE8" s="2" t="e">
        <f t="shared" si="7"/>
        <v>#REF!</v>
      </c>
      <c r="AF8" s="2" t="e">
        <f t="shared" si="8"/>
        <v>#REF!</v>
      </c>
      <c r="AG8" s="2" t="e">
        <f>IF(AG7&lt;AH7,AG7+1,VLOOKUP(AF8,#REF!,2,FALSE))</f>
        <v>#REF!</v>
      </c>
      <c r="AH8" s="2" t="e">
        <f>VLOOKUP(AF8,#REF!,3,FALSE)</f>
        <v>#REF!</v>
      </c>
      <c r="AI8" s="2" t="e">
        <f t="shared" si="12"/>
        <v>#REF!</v>
      </c>
      <c r="AJ8" s="2" t="e">
        <f t="shared" si="0"/>
        <v>#REF!</v>
      </c>
      <c r="AK8" s="25"/>
      <c r="AL8" s="2" t="str">
        <f>坦克个性化设定!B23</f>
        <v>十字军</v>
      </c>
      <c r="AM8" s="2" t="str">
        <f>坦克个性化设定!E23</f>
        <v>T3</v>
      </c>
      <c r="AN8" s="2" t="str">
        <f>坦克个性化细分!J8</f>
        <v>中</v>
      </c>
      <c r="AO8" s="2">
        <f>VLOOKUP(AM8&amp;AN8,坦克等级成长!$P$12:$U$24,MATCH(AO$3,坦克等级成长!$P$12:$U$12,0),FALSE)</f>
        <v>5</v>
      </c>
      <c r="AP8" s="2">
        <f t="shared" si="1"/>
        <v>25</v>
      </c>
      <c r="AQ8" s="2">
        <f t="shared" si="2"/>
        <v>950</v>
      </c>
      <c r="AR8" s="2">
        <f t="shared" si="3"/>
        <v>3600</v>
      </c>
      <c r="AS8" s="2">
        <f t="shared" si="9"/>
        <v>0.2638888888888889</v>
      </c>
    </row>
    <row r="9" spans="2:45" x14ac:dyDescent="0.3">
      <c r="J9" s="2">
        <v>6</v>
      </c>
      <c r="K9" s="2">
        <f t="shared" si="4"/>
        <v>4300</v>
      </c>
      <c r="L9" s="2">
        <f>POWER(坦克等级成长!J23/(坦克等级成长!K23-坦克等级成长!I23*坦克等级成长!E23),战斗力计算!$C$2)</f>
        <v>0.84045562229137616</v>
      </c>
      <c r="N9" s="2">
        <v>6</v>
      </c>
      <c r="O9" s="21">
        <v>30</v>
      </c>
      <c r="P9" s="2">
        <v>1</v>
      </c>
      <c r="Q9" s="147">
        <v>2.1000000000000001E-2</v>
      </c>
      <c r="R9" s="2">
        <f>Q4*P4+Q5*P5+Q6*P6+Q7*P7+Q8*P8+Q9*P9+O9*$B$6</f>
        <v>0.35499999999999998</v>
      </c>
      <c r="S9" s="146">
        <v>4.4999999999999997E-3</v>
      </c>
      <c r="T9" s="110">
        <f>(O9*$S$9-O8*$S$9*K8/K9)/(O9-O8)</f>
        <v>8.1627906976744179E-3</v>
      </c>
      <c r="U9" s="21">
        <v>35</v>
      </c>
      <c r="V9" s="21">
        <v>180</v>
      </c>
      <c r="W9" s="2">
        <f>V4*P4+V5*P5+V6*P6+V7*P7+V8*P8+V9*P9+VLOOKUP(O9,$Y$3:$AC$38,MATCH("累计属性",$Y$3:$AC$3,0),FALSE)</f>
        <v>1305</v>
      </c>
      <c r="Y9" s="2">
        <v>6</v>
      </c>
      <c r="Z9" s="2">
        <f t="shared" si="10"/>
        <v>2</v>
      </c>
      <c r="AA9" s="148">
        <f t="shared" si="5"/>
        <v>9.8461538461538465E-3</v>
      </c>
      <c r="AB9" s="2">
        <f t="shared" si="6"/>
        <v>15</v>
      </c>
      <c r="AC9" s="2">
        <f t="shared" si="11"/>
        <v>65</v>
      </c>
      <c r="AD9" s="25"/>
      <c r="AE9" s="2" t="e">
        <f t="shared" si="7"/>
        <v>#REF!</v>
      </c>
      <c r="AF9" s="2" t="e">
        <f t="shared" si="8"/>
        <v>#REF!</v>
      </c>
      <c r="AG9" s="2" t="e">
        <f>IF(AG8&lt;AH8,AG8+1,VLOOKUP(AF9,#REF!,2,FALSE))</f>
        <v>#REF!</v>
      </c>
      <c r="AH9" s="2" t="e">
        <f>VLOOKUP(AF9,#REF!,3,FALSE)</f>
        <v>#REF!</v>
      </c>
      <c r="AI9" s="2" t="e">
        <f t="shared" si="12"/>
        <v>#REF!</v>
      </c>
      <c r="AJ9" s="2" t="e">
        <f t="shared" si="0"/>
        <v>#REF!</v>
      </c>
      <c r="AL9" s="2" t="str">
        <f>坦克个性化设定!B24</f>
        <v>AMX-13</v>
      </c>
      <c r="AM9" s="2" t="str">
        <f>坦克个性化设定!E24</f>
        <v>T3</v>
      </c>
      <c r="AN9" s="2" t="str">
        <f>坦克个性化细分!J9</f>
        <v>高</v>
      </c>
      <c r="AO9" s="2">
        <f>VLOOKUP(AM9&amp;AN9,坦克等级成长!$P$12:$U$24,MATCH(AO$3,坦克等级成长!$P$12:$U$12,0),FALSE)</f>
        <v>5</v>
      </c>
      <c r="AP9" s="2">
        <f t="shared" si="1"/>
        <v>25</v>
      </c>
      <c r="AQ9" s="2">
        <f t="shared" si="2"/>
        <v>950</v>
      </c>
      <c r="AR9" s="2">
        <f t="shared" si="3"/>
        <v>3600</v>
      </c>
      <c r="AS9" s="2">
        <f t="shared" si="9"/>
        <v>0.2638888888888889</v>
      </c>
    </row>
    <row r="10" spans="2:45" x14ac:dyDescent="0.3">
      <c r="J10" s="2">
        <v>7</v>
      </c>
      <c r="K10" s="2">
        <f t="shared" si="4"/>
        <v>5100</v>
      </c>
      <c r="L10" s="2">
        <f>POWER(坦克等级成长!J24/(坦克等级成长!K24-坦克等级成长!I24*坦克等级成长!E24),战斗力计算!$C$2)</f>
        <v>0.84045562229137616</v>
      </c>
      <c r="N10" s="2">
        <v>7</v>
      </c>
      <c r="O10" s="21">
        <v>35</v>
      </c>
      <c r="P10" s="2">
        <v>1</v>
      </c>
      <c r="Q10" s="147">
        <v>1.7000000000000001E-2</v>
      </c>
      <c r="R10" s="2">
        <f>Q5*P5+Q6*P6+Q7*P7+Q8*P8+Q9*P9+Q10*P10+O10*$B$6</f>
        <v>0.35199999999999998</v>
      </c>
      <c r="S10" s="146">
        <v>3.5999999999999999E-3</v>
      </c>
      <c r="T10" s="110">
        <f>(O10*$S$10-O9*$S$10*K9/K10)/(O10-O9)</f>
        <v>6.9882352941176475E-3</v>
      </c>
      <c r="U10" s="21">
        <v>40</v>
      </c>
      <c r="V10" s="21">
        <v>210</v>
      </c>
      <c r="W10" s="2">
        <f>V4*P4+V5*P5+V6*P6+V7*P7+V8*P8+V9*P9+V10*P10+VLOOKUP(O10,$Y$3:$AC$38,MATCH("累计属性",$Y$3:$AC$3,0),FALSE)</f>
        <v>1715</v>
      </c>
      <c r="Y10" s="2">
        <v>7</v>
      </c>
      <c r="Z10" s="2">
        <f t="shared" si="10"/>
        <v>2</v>
      </c>
      <c r="AA10" s="148">
        <f t="shared" si="5"/>
        <v>9.8461538461538465E-3</v>
      </c>
      <c r="AB10" s="2">
        <f t="shared" si="6"/>
        <v>15</v>
      </c>
      <c r="AC10" s="2">
        <f t="shared" si="11"/>
        <v>80</v>
      </c>
      <c r="AD10" s="25"/>
      <c r="AE10" s="2" t="e">
        <f t="shared" ref="AE10:AE13" si="13">AG10&amp;"星"</f>
        <v>#REF!</v>
      </c>
      <c r="AF10" s="2" t="e">
        <f t="shared" ref="AF10:AF13" si="14">IF(AG9=AH9,"T"&amp;RIGHT(AF9,1)*1+1,AF9)</f>
        <v>#REF!</v>
      </c>
      <c r="AG10" s="2" t="e">
        <f>IF(AG9&lt;AH9,AG9+1,VLOOKUP(AF10,#REF!,2,FALSE))</f>
        <v>#REF!</v>
      </c>
      <c r="AH10" s="2" t="e">
        <f>VLOOKUP(AF10,#REF!,3,FALSE)</f>
        <v>#REF!</v>
      </c>
      <c r="AI10" s="2" t="e">
        <f t="shared" ref="AI10:AI13" si="15">ROUND(IF(AG10&lt;&gt;AH10,VLOOKUP(AF10,$D$3:$G$6,4,FALSE),VLOOKUP(AG10-1,$N$3:$W$10,MATCH(AI$3,$N$3:$W$3,0),FALSE)),0)</f>
        <v>#REF!</v>
      </c>
      <c r="AJ10" s="2" t="e">
        <f t="shared" ref="AJ10:AJ13" si="16">IF(AF10=AF9,AI10+AJ9,AI10)</f>
        <v>#REF!</v>
      </c>
      <c r="AL10" s="2" t="str">
        <f>坦克个性化设定!B25</f>
        <v>霞飞</v>
      </c>
      <c r="AM10" s="2" t="str">
        <f>坦克个性化设定!E25</f>
        <v>T4</v>
      </c>
      <c r="AN10" s="2" t="str">
        <f>坦克个性化细分!J10</f>
        <v>低</v>
      </c>
      <c r="AO10" s="2">
        <f>VLOOKUP(AM10&amp;AN10,坦克等级成长!$P$12:$U$24,MATCH(AO$3,坦克等级成长!$P$12:$U$12,0),FALSE)</f>
        <v>6</v>
      </c>
      <c r="AP10" s="2">
        <f t="shared" si="1"/>
        <v>30</v>
      </c>
      <c r="AQ10" s="2">
        <f t="shared" si="2"/>
        <v>1305</v>
      </c>
      <c r="AR10" s="2">
        <f t="shared" si="3"/>
        <v>4300</v>
      </c>
      <c r="AS10" s="2">
        <f t="shared" si="9"/>
        <v>0.30348837209302326</v>
      </c>
    </row>
    <row r="11" spans="2:45" x14ac:dyDescent="0.3">
      <c r="Y11" s="2">
        <v>8</v>
      </c>
      <c r="Z11" s="2">
        <f t="shared" si="10"/>
        <v>2</v>
      </c>
      <c r="AA11" s="148">
        <f t="shared" si="5"/>
        <v>9.8461538461538465E-3</v>
      </c>
      <c r="AB11" s="2">
        <f t="shared" si="6"/>
        <v>15</v>
      </c>
      <c r="AC11" s="2">
        <f t="shared" si="11"/>
        <v>95</v>
      </c>
      <c r="AD11" s="25"/>
      <c r="AE11" s="2" t="e">
        <f t="shared" si="13"/>
        <v>#REF!</v>
      </c>
      <c r="AF11" s="2" t="e">
        <f t="shared" si="14"/>
        <v>#REF!</v>
      </c>
      <c r="AG11" s="2" t="e">
        <f>IF(AG10&lt;AH10,AG10+1,VLOOKUP(AF11,#REF!,2,FALSE))</f>
        <v>#REF!</v>
      </c>
      <c r="AH11" s="2" t="e">
        <f>VLOOKUP(AF11,#REF!,3,FALSE)</f>
        <v>#REF!</v>
      </c>
      <c r="AI11" s="2" t="e">
        <f t="shared" si="15"/>
        <v>#REF!</v>
      </c>
      <c r="AJ11" s="2" t="e">
        <f t="shared" si="16"/>
        <v>#REF!</v>
      </c>
      <c r="AL11" s="2" t="str">
        <f>坦克个性化设定!B26</f>
        <v>M-41</v>
      </c>
      <c r="AM11" s="2" t="str">
        <f>坦克个性化设定!E26</f>
        <v>T4</v>
      </c>
      <c r="AN11" s="2" t="str">
        <f>坦克个性化细分!J11</f>
        <v>中</v>
      </c>
      <c r="AO11" s="2">
        <f>VLOOKUP(AM11&amp;AN11,坦克等级成长!$P$12:$U$24,MATCH(AO$3,坦克等级成长!$P$12:$U$12,0),FALSE)</f>
        <v>6</v>
      </c>
      <c r="AP11" s="2">
        <f t="shared" si="1"/>
        <v>30</v>
      </c>
      <c r="AQ11" s="2">
        <f t="shared" si="2"/>
        <v>1305</v>
      </c>
      <c r="AR11" s="2">
        <f t="shared" si="3"/>
        <v>4300</v>
      </c>
      <c r="AS11" s="2">
        <f t="shared" si="9"/>
        <v>0.30348837209302326</v>
      </c>
    </row>
    <row r="12" spans="2:45" x14ac:dyDescent="0.3">
      <c r="Y12" s="2">
        <v>9</v>
      </c>
      <c r="Z12" s="2">
        <f t="shared" si="10"/>
        <v>2</v>
      </c>
      <c r="AA12" s="148">
        <f t="shared" si="5"/>
        <v>9.8461538461538465E-3</v>
      </c>
      <c r="AB12" s="2">
        <f t="shared" si="6"/>
        <v>15</v>
      </c>
      <c r="AC12" s="2">
        <f t="shared" si="11"/>
        <v>110</v>
      </c>
      <c r="AD12" s="25"/>
      <c r="AE12" s="2" t="e">
        <f t="shared" si="13"/>
        <v>#REF!</v>
      </c>
      <c r="AF12" s="2" t="e">
        <f t="shared" si="14"/>
        <v>#REF!</v>
      </c>
      <c r="AG12" s="2" t="e">
        <f>IF(AG11&lt;AH11,AG11+1,VLOOKUP(AF12,#REF!,2,FALSE))</f>
        <v>#REF!</v>
      </c>
      <c r="AH12" s="2" t="e">
        <f>VLOOKUP(AF12,#REF!,3,FALSE)</f>
        <v>#REF!</v>
      </c>
      <c r="AI12" s="2" t="e">
        <f t="shared" si="15"/>
        <v>#REF!</v>
      </c>
      <c r="AJ12" s="2" t="e">
        <f t="shared" si="16"/>
        <v>#REF!</v>
      </c>
      <c r="AL12" s="2" t="str">
        <f>坦克个性化设定!B27</f>
        <v>BMP-3</v>
      </c>
      <c r="AM12" s="2" t="str">
        <f>坦克个性化设定!E27</f>
        <v>T4</v>
      </c>
      <c r="AN12" s="2" t="str">
        <f>坦克个性化细分!J12</f>
        <v>高</v>
      </c>
      <c r="AO12" s="2">
        <f>VLOOKUP(AM12&amp;AN12,坦克等级成长!$P$12:$U$24,MATCH(AO$3,坦克等级成长!$P$12:$U$12,0),FALSE)</f>
        <v>6</v>
      </c>
      <c r="AP12" s="2">
        <f t="shared" si="1"/>
        <v>30</v>
      </c>
      <c r="AQ12" s="2">
        <f t="shared" si="2"/>
        <v>1305</v>
      </c>
      <c r="AR12" s="2">
        <f t="shared" si="3"/>
        <v>4300</v>
      </c>
      <c r="AS12" s="2">
        <f t="shared" si="9"/>
        <v>0.30348837209302326</v>
      </c>
    </row>
    <row r="13" spans="2:45" x14ac:dyDescent="0.3">
      <c r="Y13" s="2">
        <v>10</v>
      </c>
      <c r="Z13" s="2">
        <f t="shared" si="10"/>
        <v>2</v>
      </c>
      <c r="AA13" s="148">
        <f t="shared" si="5"/>
        <v>9.8461538461538465E-3</v>
      </c>
      <c r="AB13" s="2">
        <f t="shared" si="6"/>
        <v>15</v>
      </c>
      <c r="AC13" s="2">
        <f t="shared" si="11"/>
        <v>125</v>
      </c>
      <c r="AD13" s="25"/>
      <c r="AE13" s="2" t="e">
        <f t="shared" si="13"/>
        <v>#REF!</v>
      </c>
      <c r="AF13" s="2" t="e">
        <f t="shared" si="14"/>
        <v>#REF!</v>
      </c>
      <c r="AG13" s="2" t="e">
        <f>IF(AG12&lt;AH12,AG12+1,VLOOKUP(AF13,#REF!,2,FALSE))</f>
        <v>#REF!</v>
      </c>
      <c r="AH13" s="2" t="e">
        <f>VLOOKUP(AF13,#REF!,3,FALSE)</f>
        <v>#REF!</v>
      </c>
      <c r="AI13" s="2" t="e">
        <f t="shared" si="15"/>
        <v>#REF!</v>
      </c>
      <c r="AJ13" s="2" t="e">
        <f t="shared" si="16"/>
        <v>#REF!</v>
      </c>
      <c r="AL13" s="2" t="str">
        <f>坦克个性化设定!B28</f>
        <v>59式</v>
      </c>
      <c r="AM13" s="2" t="str">
        <f>坦克个性化设定!E28</f>
        <v>T5</v>
      </c>
      <c r="AN13" s="2" t="str">
        <f>坦克个性化细分!J13</f>
        <v>低</v>
      </c>
      <c r="AO13" s="2">
        <f>VLOOKUP(AM13&amp;AN13,坦克等级成长!$P$12:$U$24,MATCH(AO$3,坦克等级成长!$P$12:$U$12,0),FALSE)</f>
        <v>7</v>
      </c>
      <c r="AP13" s="2">
        <f t="shared" si="1"/>
        <v>35</v>
      </c>
      <c r="AQ13" s="2">
        <f t="shared" si="2"/>
        <v>1715</v>
      </c>
      <c r="AR13" s="2">
        <f t="shared" si="3"/>
        <v>5100</v>
      </c>
      <c r="AS13" s="2">
        <f t="shared" si="9"/>
        <v>0.3362745098039216</v>
      </c>
    </row>
    <row r="14" spans="2:45" x14ac:dyDescent="0.3">
      <c r="Y14" s="2">
        <v>11</v>
      </c>
      <c r="Z14" s="2">
        <f t="shared" si="10"/>
        <v>3</v>
      </c>
      <c r="AA14" s="148">
        <f t="shared" si="5"/>
        <v>1.0599999999999997E-2</v>
      </c>
      <c r="AB14" s="2">
        <f t="shared" si="6"/>
        <v>20</v>
      </c>
      <c r="AC14" s="2">
        <f t="shared" si="11"/>
        <v>145</v>
      </c>
      <c r="AD14" s="25"/>
      <c r="AL14" s="2" t="str">
        <f>坦克个性化设定!B29</f>
        <v>Stuart</v>
      </c>
      <c r="AM14" s="2" t="str">
        <f>坦克个性化设定!E29</f>
        <v>T1</v>
      </c>
      <c r="AN14" s="2" t="str">
        <f>坦克个性化细分!J14</f>
        <v>低</v>
      </c>
      <c r="AO14" s="2">
        <f>VLOOKUP(AM14&amp;AN14,坦克等级成长!$P$12:$U$24,MATCH(AO$3,坦克等级成长!$P$12:$U$12,0),FALSE)</f>
        <v>3</v>
      </c>
      <c r="AP14" s="2">
        <f t="shared" si="1"/>
        <v>15</v>
      </c>
      <c r="AQ14" s="2">
        <f t="shared" si="2"/>
        <v>405</v>
      </c>
      <c r="AR14" s="2">
        <f t="shared" si="3"/>
        <v>1750</v>
      </c>
      <c r="AS14" s="2">
        <f t="shared" si="9"/>
        <v>0.23142857142857143</v>
      </c>
    </row>
    <row r="15" spans="2:45" x14ac:dyDescent="0.3">
      <c r="Y15" s="2">
        <v>12</v>
      </c>
      <c r="Z15" s="2">
        <f t="shared" si="10"/>
        <v>3</v>
      </c>
      <c r="AA15" s="148">
        <f t="shared" si="5"/>
        <v>1.0599999999999997E-2</v>
      </c>
      <c r="AB15" s="2">
        <f t="shared" si="6"/>
        <v>20</v>
      </c>
      <c r="AC15" s="2">
        <f t="shared" si="11"/>
        <v>165</v>
      </c>
      <c r="AD15" s="25"/>
      <c r="AL15" s="2" t="str">
        <f>坦克个性化设定!B30</f>
        <v>T-34</v>
      </c>
      <c r="AM15" s="2" t="str">
        <f>坦克个性化设定!E30</f>
        <v>T2</v>
      </c>
      <c r="AN15" s="2" t="str">
        <f>坦克个性化细分!J15</f>
        <v>低</v>
      </c>
      <c r="AO15" s="2">
        <f>VLOOKUP(AM15&amp;AN15,坦克等级成长!$P$12:$U$24,MATCH(AO$3,坦克等级成长!$P$12:$U$12,0),FALSE)</f>
        <v>4</v>
      </c>
      <c r="AP15" s="2">
        <f t="shared" si="1"/>
        <v>20</v>
      </c>
      <c r="AQ15" s="2">
        <f t="shared" si="2"/>
        <v>650</v>
      </c>
      <c r="AR15" s="2">
        <f t="shared" si="3"/>
        <v>2500</v>
      </c>
      <c r="AS15" s="2">
        <f t="shared" si="9"/>
        <v>0.26</v>
      </c>
    </row>
    <row r="16" spans="2:45" x14ac:dyDescent="0.3">
      <c r="Y16" s="2">
        <v>13</v>
      </c>
      <c r="Z16" s="2">
        <f t="shared" si="10"/>
        <v>3</v>
      </c>
      <c r="AA16" s="148">
        <f t="shared" si="5"/>
        <v>1.0599999999999997E-2</v>
      </c>
      <c r="AB16" s="2">
        <f t="shared" si="6"/>
        <v>20</v>
      </c>
      <c r="AC16" s="2">
        <f t="shared" si="11"/>
        <v>185</v>
      </c>
      <c r="AD16" s="25"/>
      <c r="AL16" s="2" t="str">
        <f>坦克个性化设定!B31</f>
        <v>四号</v>
      </c>
      <c r="AM16" s="2" t="str">
        <f>坦克个性化设定!E31</f>
        <v>T2</v>
      </c>
      <c r="AN16" s="2" t="str">
        <f>坦克个性化细分!J16</f>
        <v>中</v>
      </c>
      <c r="AO16" s="2">
        <f>VLOOKUP(AM16&amp;AN16,坦克等级成长!$P$12:$U$24,MATCH(AO$3,坦克等级成长!$P$12:$U$12,0),FALSE)</f>
        <v>4</v>
      </c>
      <c r="AP16" s="2">
        <f t="shared" si="1"/>
        <v>20</v>
      </c>
      <c r="AQ16" s="2">
        <f t="shared" si="2"/>
        <v>650</v>
      </c>
      <c r="AR16" s="2">
        <f t="shared" si="3"/>
        <v>2500</v>
      </c>
      <c r="AS16" s="2">
        <f t="shared" si="9"/>
        <v>0.26</v>
      </c>
    </row>
    <row r="17" spans="3:45" x14ac:dyDescent="0.3">
      <c r="E17" s="36" t="s">
        <v>1414</v>
      </c>
      <c r="Y17" s="2">
        <v>14</v>
      </c>
      <c r="Z17" s="2">
        <f t="shared" si="10"/>
        <v>3</v>
      </c>
      <c r="AA17" s="148">
        <f t="shared" si="5"/>
        <v>1.0599999999999997E-2</v>
      </c>
      <c r="AB17" s="2">
        <f t="shared" si="6"/>
        <v>20</v>
      </c>
      <c r="AC17" s="2">
        <f t="shared" si="11"/>
        <v>205</v>
      </c>
      <c r="AD17" s="25"/>
      <c r="AL17" s="2" t="str">
        <f>坦克个性化设定!B32</f>
        <v>玛蒂尔达</v>
      </c>
      <c r="AM17" s="2" t="str">
        <f>坦克个性化设定!E32</f>
        <v>T3</v>
      </c>
      <c r="AN17" s="2" t="str">
        <f>坦克个性化细分!J17</f>
        <v>低</v>
      </c>
      <c r="AO17" s="2">
        <f>VLOOKUP(AM17&amp;AN17,坦克等级成长!$P$12:$U$24,MATCH(AO$3,坦克等级成长!$P$12:$U$12,0),FALSE)</f>
        <v>5</v>
      </c>
      <c r="AP17" s="2">
        <f t="shared" si="1"/>
        <v>25</v>
      </c>
      <c r="AQ17" s="2">
        <f t="shared" si="2"/>
        <v>950</v>
      </c>
      <c r="AR17" s="2">
        <f t="shared" si="3"/>
        <v>3600</v>
      </c>
      <c r="AS17" s="2">
        <f t="shared" si="9"/>
        <v>0.2638888888888889</v>
      </c>
    </row>
    <row r="18" spans="3:45" x14ac:dyDescent="0.3">
      <c r="E18" s="2" t="s">
        <v>903</v>
      </c>
      <c r="F18" s="2" t="s">
        <v>904</v>
      </c>
      <c r="G18" s="2" t="s">
        <v>905</v>
      </c>
      <c r="H18" s="2" t="s">
        <v>860</v>
      </c>
      <c r="I18" s="2" t="s">
        <v>906</v>
      </c>
      <c r="J18" s="2" t="s">
        <v>777</v>
      </c>
      <c r="Y18" s="2">
        <v>15</v>
      </c>
      <c r="Z18" s="2">
        <f t="shared" si="10"/>
        <v>3</v>
      </c>
      <c r="AA18" s="148">
        <f t="shared" si="5"/>
        <v>1.0599999999999997E-2</v>
      </c>
      <c r="AB18" s="2">
        <f t="shared" si="6"/>
        <v>20</v>
      </c>
      <c r="AC18" s="2">
        <f t="shared" si="11"/>
        <v>225</v>
      </c>
      <c r="AD18" s="25"/>
      <c r="AL18" s="2" t="str">
        <f>坦克个性化设定!B33</f>
        <v>谢尔曼</v>
      </c>
      <c r="AM18" s="2" t="str">
        <f>坦克个性化设定!E33</f>
        <v>T3</v>
      </c>
      <c r="AN18" s="2" t="str">
        <f>坦克个性化细分!J18</f>
        <v>中</v>
      </c>
      <c r="AO18" s="2">
        <f>VLOOKUP(AM18&amp;AN18,坦克等级成长!$P$12:$U$24,MATCH(AO$3,坦克等级成长!$P$12:$U$12,0),FALSE)</f>
        <v>5</v>
      </c>
      <c r="AP18" s="2">
        <f t="shared" si="1"/>
        <v>25</v>
      </c>
      <c r="AQ18" s="2">
        <f t="shared" si="2"/>
        <v>950</v>
      </c>
      <c r="AR18" s="2">
        <f t="shared" si="3"/>
        <v>3600</v>
      </c>
      <c r="AS18" s="2">
        <f t="shared" si="9"/>
        <v>0.2638888888888889</v>
      </c>
    </row>
    <row r="19" spans="3:45" x14ac:dyDescent="0.3">
      <c r="D19" s="2" t="s">
        <v>132</v>
      </c>
      <c r="E19" s="2">
        <v>0.25</v>
      </c>
      <c r="F19" s="2">
        <v>0.25</v>
      </c>
      <c r="G19" s="2">
        <v>0.33</v>
      </c>
      <c r="H19" s="2">
        <v>0.17</v>
      </c>
      <c r="I19" s="2">
        <v>0.14000000000000001</v>
      </c>
      <c r="J19" s="2">
        <v>0.15</v>
      </c>
      <c r="Y19" s="2">
        <v>16</v>
      </c>
      <c r="Z19" s="2">
        <f t="shared" si="10"/>
        <v>4</v>
      </c>
      <c r="AA19" s="148">
        <f t="shared" si="5"/>
        <v>1.1399999999999999E-2</v>
      </c>
      <c r="AB19" s="2">
        <f t="shared" si="6"/>
        <v>25</v>
      </c>
      <c r="AC19" s="2">
        <f t="shared" si="11"/>
        <v>250</v>
      </c>
      <c r="AD19" s="25"/>
      <c r="AL19" s="2" t="str">
        <f>坦克个性化设定!B34</f>
        <v>彗星</v>
      </c>
      <c r="AM19" s="2" t="str">
        <f>坦克个性化设定!E34</f>
        <v>T3</v>
      </c>
      <c r="AN19" s="2" t="str">
        <f>坦克个性化细分!J19</f>
        <v>高</v>
      </c>
      <c r="AO19" s="2">
        <f>VLOOKUP(AM19&amp;AN19,坦克等级成长!$P$12:$U$24,MATCH(AO$3,坦克等级成长!$P$12:$U$12,0),FALSE)</f>
        <v>5</v>
      </c>
      <c r="AP19" s="2">
        <f t="shared" si="1"/>
        <v>25</v>
      </c>
      <c r="AQ19" s="2">
        <f t="shared" si="2"/>
        <v>950</v>
      </c>
      <c r="AR19" s="2">
        <f t="shared" si="3"/>
        <v>3600</v>
      </c>
      <c r="AS19" s="2">
        <f t="shared" si="9"/>
        <v>0.2638888888888889</v>
      </c>
    </row>
    <row r="20" spans="3:45" x14ac:dyDescent="0.3">
      <c r="D20" s="2" t="s">
        <v>134</v>
      </c>
      <c r="E20" s="2">
        <v>0.25</v>
      </c>
      <c r="F20" s="2">
        <v>0.25</v>
      </c>
      <c r="G20" s="2">
        <v>0.33</v>
      </c>
      <c r="H20" s="2">
        <v>0.17</v>
      </c>
      <c r="I20" s="2">
        <v>0.14000000000000001</v>
      </c>
      <c r="J20" s="2">
        <v>0.1</v>
      </c>
      <c r="Y20" s="2">
        <v>17</v>
      </c>
      <c r="Z20" s="2">
        <f t="shared" si="10"/>
        <v>4</v>
      </c>
      <c r="AA20" s="148">
        <f t="shared" si="5"/>
        <v>1.1399999999999999E-2</v>
      </c>
      <c r="AB20" s="2">
        <f t="shared" si="6"/>
        <v>25</v>
      </c>
      <c r="AC20" s="2">
        <f t="shared" si="11"/>
        <v>275</v>
      </c>
      <c r="AD20" s="25"/>
      <c r="AL20" s="2" t="str">
        <f>坦克个性化设定!B35</f>
        <v>M-48</v>
      </c>
      <c r="AM20" s="2" t="str">
        <f>坦克个性化设定!E35</f>
        <v>T4</v>
      </c>
      <c r="AN20" s="2" t="str">
        <f>坦克个性化细分!J20</f>
        <v>低</v>
      </c>
      <c r="AO20" s="2">
        <f>VLOOKUP(AM20&amp;AN20,坦克等级成长!$P$12:$U$24,MATCH(AO$3,坦克等级成长!$P$12:$U$12,0),FALSE)</f>
        <v>6</v>
      </c>
      <c r="AP20" s="2">
        <f t="shared" si="1"/>
        <v>30</v>
      </c>
      <c r="AQ20" s="2">
        <f t="shared" si="2"/>
        <v>1305</v>
      </c>
      <c r="AR20" s="2">
        <f t="shared" si="3"/>
        <v>4300</v>
      </c>
      <c r="AS20" s="2">
        <f t="shared" si="9"/>
        <v>0.30348837209302326</v>
      </c>
    </row>
    <row r="21" spans="3:45" x14ac:dyDescent="0.3">
      <c r="D21" s="2" t="s">
        <v>136</v>
      </c>
      <c r="E21" s="2">
        <v>0.25</v>
      </c>
      <c r="F21" s="2">
        <v>0.25</v>
      </c>
      <c r="G21" s="2">
        <v>0.33</v>
      </c>
      <c r="H21" s="2">
        <v>0.17</v>
      </c>
      <c r="I21" s="2">
        <v>0.14000000000000001</v>
      </c>
      <c r="J21" s="2">
        <v>0.1</v>
      </c>
      <c r="Y21" s="2">
        <v>18</v>
      </c>
      <c r="Z21" s="2">
        <f t="shared" si="10"/>
        <v>4</v>
      </c>
      <c r="AA21" s="148">
        <f t="shared" si="5"/>
        <v>1.1399999999999999E-2</v>
      </c>
      <c r="AB21" s="2">
        <f t="shared" si="6"/>
        <v>25</v>
      </c>
      <c r="AC21" s="2">
        <f t="shared" si="11"/>
        <v>300</v>
      </c>
      <c r="AD21" s="25"/>
      <c r="AL21" s="2" t="str">
        <f>坦克个性化设定!B36</f>
        <v>潘兴</v>
      </c>
      <c r="AM21" s="2" t="str">
        <f>坦克个性化设定!E36</f>
        <v>T4</v>
      </c>
      <c r="AN21" s="2" t="str">
        <f>坦克个性化细分!J21</f>
        <v>中</v>
      </c>
      <c r="AO21" s="2">
        <f>VLOOKUP(AM21&amp;AN21,坦克等级成长!$P$12:$U$24,MATCH(AO$3,坦克等级成长!$P$12:$U$12,0),FALSE)</f>
        <v>6</v>
      </c>
      <c r="AP21" s="2">
        <f t="shared" si="1"/>
        <v>30</v>
      </c>
      <c r="AQ21" s="2">
        <f t="shared" si="2"/>
        <v>1305</v>
      </c>
      <c r="AR21" s="2">
        <f t="shared" si="3"/>
        <v>4300</v>
      </c>
      <c r="AS21" s="2">
        <f t="shared" si="9"/>
        <v>0.30348837209302326</v>
      </c>
    </row>
    <row r="22" spans="3:45" x14ac:dyDescent="0.3">
      <c r="Y22" s="2">
        <v>19</v>
      </c>
      <c r="Z22" s="2">
        <f t="shared" si="10"/>
        <v>4</v>
      </c>
      <c r="AA22" s="148">
        <f t="shared" si="5"/>
        <v>1.1399999999999999E-2</v>
      </c>
      <c r="AB22" s="2">
        <f t="shared" si="6"/>
        <v>25</v>
      </c>
      <c r="AC22" s="2">
        <f t="shared" si="11"/>
        <v>325</v>
      </c>
      <c r="AD22" s="25"/>
      <c r="AL22" s="2" t="str">
        <f>坦克个性化设定!B37</f>
        <v>百夫长</v>
      </c>
      <c r="AM22" s="2" t="str">
        <f>坦克个性化设定!E37</f>
        <v>T4</v>
      </c>
      <c r="AN22" s="2" t="str">
        <f>坦克个性化细分!J22</f>
        <v>高</v>
      </c>
      <c r="AO22" s="2">
        <f>VLOOKUP(AM22&amp;AN22,坦克等级成长!$P$12:$U$24,MATCH(AO$3,坦克等级成长!$P$12:$U$12,0),FALSE)</f>
        <v>6</v>
      </c>
      <c r="AP22" s="2">
        <f t="shared" si="1"/>
        <v>30</v>
      </c>
      <c r="AQ22" s="2">
        <f t="shared" si="2"/>
        <v>1305</v>
      </c>
      <c r="AR22" s="2">
        <f t="shared" si="3"/>
        <v>4300</v>
      </c>
      <c r="AS22" s="2">
        <f t="shared" si="9"/>
        <v>0.30348837209302326</v>
      </c>
    </row>
    <row r="23" spans="3:45" x14ac:dyDescent="0.3">
      <c r="Y23" s="2">
        <v>20</v>
      </c>
      <c r="Z23" s="2">
        <f t="shared" si="10"/>
        <v>4</v>
      </c>
      <c r="AA23" s="148">
        <f t="shared" si="5"/>
        <v>1.1399999999999999E-2</v>
      </c>
      <c r="AB23" s="2">
        <f t="shared" si="6"/>
        <v>25</v>
      </c>
      <c r="AC23" s="2">
        <f t="shared" si="11"/>
        <v>350</v>
      </c>
      <c r="AD23" s="25"/>
      <c r="AL23" s="2" t="str">
        <f>坦克个性化设定!B38</f>
        <v>挑战者</v>
      </c>
      <c r="AM23" s="2" t="str">
        <f>坦克个性化设定!E38</f>
        <v>T5</v>
      </c>
      <c r="AN23" s="2" t="str">
        <f>坦克个性化细分!J23</f>
        <v>低</v>
      </c>
      <c r="AO23" s="2">
        <f>VLOOKUP(AM23&amp;AN23,坦克等级成长!$P$12:$U$24,MATCH(AO$3,坦克等级成长!$P$12:$U$12,0),FALSE)</f>
        <v>7</v>
      </c>
      <c r="AP23" s="2">
        <f t="shared" si="1"/>
        <v>35</v>
      </c>
      <c r="AQ23" s="2">
        <f t="shared" si="2"/>
        <v>1715</v>
      </c>
      <c r="AR23" s="2">
        <f t="shared" si="3"/>
        <v>5100</v>
      </c>
      <c r="AS23" s="2">
        <f t="shared" si="9"/>
        <v>0.3362745098039216</v>
      </c>
    </row>
    <row r="24" spans="3:45" x14ac:dyDescent="0.3">
      <c r="D24" s="2" t="s">
        <v>741</v>
      </c>
      <c r="E24" s="2">
        <v>0</v>
      </c>
      <c r="F24" s="2" t="s">
        <v>904</v>
      </c>
      <c r="G24" s="2" t="s">
        <v>905</v>
      </c>
      <c r="H24" s="2" t="s">
        <v>860</v>
      </c>
      <c r="I24" s="2" t="s">
        <v>906</v>
      </c>
      <c r="J24" s="2" t="s">
        <v>777</v>
      </c>
      <c r="Y24" s="2">
        <v>21</v>
      </c>
      <c r="Z24" s="2">
        <f t="shared" si="10"/>
        <v>5</v>
      </c>
      <c r="AA24" s="148">
        <f t="shared" si="5"/>
        <v>1.111111111111111E-2</v>
      </c>
      <c r="AB24" s="2">
        <f t="shared" si="6"/>
        <v>30</v>
      </c>
      <c r="AC24" s="2">
        <f t="shared" si="11"/>
        <v>380</v>
      </c>
      <c r="AD24" s="25"/>
      <c r="AL24" s="2" t="str">
        <f>坦克个性化设定!B39</f>
        <v>B-1</v>
      </c>
      <c r="AM24" s="2" t="str">
        <f>坦克个性化设定!E39</f>
        <v>T1</v>
      </c>
      <c r="AN24" s="2" t="str">
        <f>坦克个性化细分!J24</f>
        <v>低</v>
      </c>
      <c r="AO24" s="2">
        <f>VLOOKUP(AM24&amp;AN24,坦克等级成长!$P$12:$U$24,MATCH(AO$3,坦克等级成长!$P$12:$U$12,0),FALSE)</f>
        <v>3</v>
      </c>
      <c r="AP24" s="2">
        <f t="shared" si="1"/>
        <v>15</v>
      </c>
      <c r="AQ24" s="2">
        <f t="shared" si="2"/>
        <v>405</v>
      </c>
      <c r="AR24" s="2">
        <f t="shared" si="3"/>
        <v>1750</v>
      </c>
      <c r="AS24" s="2">
        <f t="shared" si="9"/>
        <v>0.23142857142857143</v>
      </c>
    </row>
    <row r="25" spans="3:45" x14ac:dyDescent="0.3">
      <c r="C25" s="1">
        <f>D25-1</f>
        <v>0</v>
      </c>
      <c r="D25" s="2">
        <v>1</v>
      </c>
      <c r="E25" s="34">
        <f>(E$19/SUM($C$25:$C$31))*(SUM($C$25:$C25))</f>
        <v>0</v>
      </c>
      <c r="F25" s="34">
        <f>(F$19/SUM($C$25:$C$31))*(SUM($C$25:$C25))</f>
        <v>0</v>
      </c>
      <c r="G25" s="34">
        <f>(G$19/SUM($C$25:$C$31))*(SUM($C$25:$C25))</f>
        <v>0</v>
      </c>
      <c r="H25" s="34">
        <f>(H$19/SUM($C$25:$C$31))*(SUM($C$25:$C25))</f>
        <v>0</v>
      </c>
      <c r="I25" s="34">
        <f>(I$19/SUM($C$25:$C$31))*(SUM($C$25:$C25))</f>
        <v>0</v>
      </c>
      <c r="J25" s="34">
        <f>(J$19/SUM($C$25:$C$31))*(SUM($C$25:$C25))</f>
        <v>0</v>
      </c>
      <c r="Y25" s="2">
        <v>22</v>
      </c>
      <c r="Z25" s="2">
        <f t="shared" si="10"/>
        <v>5</v>
      </c>
      <c r="AA25" s="148">
        <f t="shared" si="5"/>
        <v>1.111111111111111E-2</v>
      </c>
      <c r="AB25" s="2">
        <f t="shared" si="6"/>
        <v>30</v>
      </c>
      <c r="AC25" s="2">
        <f t="shared" si="11"/>
        <v>410</v>
      </c>
      <c r="AD25" s="25"/>
      <c r="AL25" s="2" t="str">
        <f>坦克个性化设定!B40</f>
        <v>KV-1</v>
      </c>
      <c r="AM25" s="2" t="str">
        <f>坦克个性化设定!E40</f>
        <v>T2</v>
      </c>
      <c r="AN25" s="2" t="str">
        <f>坦克个性化细分!J25</f>
        <v>低</v>
      </c>
      <c r="AO25" s="2">
        <f>VLOOKUP(AM25&amp;AN25,坦克等级成长!$P$12:$U$24,MATCH(AO$3,坦克等级成长!$P$12:$U$12,0),FALSE)</f>
        <v>4</v>
      </c>
      <c r="AP25" s="2">
        <f t="shared" si="1"/>
        <v>20</v>
      </c>
      <c r="AQ25" s="2">
        <f t="shared" si="2"/>
        <v>650</v>
      </c>
      <c r="AR25" s="2">
        <f t="shared" si="3"/>
        <v>2500</v>
      </c>
      <c r="AS25" s="2">
        <f t="shared" si="9"/>
        <v>0.26</v>
      </c>
    </row>
    <row r="26" spans="3:45" x14ac:dyDescent="0.3">
      <c r="C26" s="1">
        <f t="shared" ref="C26:C31" si="17">D26-1</f>
        <v>1</v>
      </c>
      <c r="D26" s="2">
        <v>2</v>
      </c>
      <c r="E26" s="34">
        <f>(E$19/SUM($C$25:$C$31))*(SUM($C$25:$C26))</f>
        <v>1.1904761904761904E-2</v>
      </c>
      <c r="F26" s="34">
        <f>(F$19/SUM($C$25:$C$31))*(SUM($C$25:$C26))</f>
        <v>1.1904761904761904E-2</v>
      </c>
      <c r="G26" s="34">
        <f>(G$19/SUM($C$25:$C$31))*(SUM($C$25:$C26))</f>
        <v>1.5714285714285715E-2</v>
      </c>
      <c r="H26" s="34">
        <f>(H$19/SUM($C$25:$C$31))*(SUM($C$25:$C26))</f>
        <v>8.0952380952380963E-3</v>
      </c>
      <c r="I26" s="34">
        <f>(I$19/SUM($C$25:$C$31))*(SUM($C$25:$C26))</f>
        <v>6.6666666666666671E-3</v>
      </c>
      <c r="J26" s="34">
        <f>(J$19/SUM($C$25:$C$31))*(SUM($C$25:$C26))</f>
        <v>7.1428571428571426E-3</v>
      </c>
      <c r="Y26" s="2">
        <v>23</v>
      </c>
      <c r="Z26" s="2">
        <f t="shared" si="10"/>
        <v>5</v>
      </c>
      <c r="AA26" s="148">
        <f t="shared" si="5"/>
        <v>1.111111111111111E-2</v>
      </c>
      <c r="AB26" s="2">
        <f t="shared" si="6"/>
        <v>30</v>
      </c>
      <c r="AC26" s="2">
        <f t="shared" si="11"/>
        <v>440</v>
      </c>
      <c r="AD26" s="25"/>
      <c r="AL26" s="2" t="str">
        <f>坦克个性化设定!B41</f>
        <v>丘吉尔</v>
      </c>
      <c r="AM26" s="2" t="str">
        <f>坦克个性化设定!E41</f>
        <v>T2</v>
      </c>
      <c r="AN26" s="2" t="str">
        <f>坦克个性化细分!J26</f>
        <v>中</v>
      </c>
      <c r="AO26" s="2">
        <f>VLOOKUP(AM26&amp;AN26,坦克等级成长!$P$12:$U$24,MATCH(AO$3,坦克等级成长!$P$12:$U$12,0),FALSE)</f>
        <v>4</v>
      </c>
      <c r="AP26" s="2">
        <f t="shared" si="1"/>
        <v>20</v>
      </c>
      <c r="AQ26" s="2">
        <f t="shared" si="2"/>
        <v>650</v>
      </c>
      <c r="AR26" s="2">
        <f t="shared" si="3"/>
        <v>2500</v>
      </c>
      <c r="AS26" s="2">
        <f t="shared" si="9"/>
        <v>0.26</v>
      </c>
    </row>
    <row r="27" spans="3:45" x14ac:dyDescent="0.3">
      <c r="C27" s="1">
        <f t="shared" si="17"/>
        <v>2</v>
      </c>
      <c r="D27" s="2">
        <v>3</v>
      </c>
      <c r="E27" s="34">
        <f>(E$19/SUM($C$25:$C$31))*(SUM($C$25:$C27))</f>
        <v>3.5714285714285712E-2</v>
      </c>
      <c r="F27" s="34">
        <f>(F$19/SUM($C$25:$C$31))*(SUM($C$25:$C27))</f>
        <v>3.5714285714285712E-2</v>
      </c>
      <c r="G27" s="34">
        <f>(G$19/SUM($C$25:$C$31))*(SUM($C$25:$C27))</f>
        <v>4.7142857142857146E-2</v>
      </c>
      <c r="H27" s="34">
        <f>(H$19/SUM($C$25:$C$31))*(SUM($C$25:$C27))</f>
        <v>2.4285714285714289E-2</v>
      </c>
      <c r="I27" s="34">
        <f>(I$19/SUM($C$25:$C$31))*(SUM($C$25:$C27))</f>
        <v>0.02</v>
      </c>
      <c r="J27" s="34">
        <f>(J$19/SUM($C$25:$C$31))*(SUM($C$25:$C27))</f>
        <v>2.1428571428571429E-2</v>
      </c>
      <c r="Y27" s="2">
        <v>24</v>
      </c>
      <c r="Z27" s="2">
        <f t="shared" si="10"/>
        <v>5</v>
      </c>
      <c r="AA27" s="148">
        <f t="shared" si="5"/>
        <v>1.111111111111111E-2</v>
      </c>
      <c r="AB27" s="2">
        <f t="shared" si="6"/>
        <v>30</v>
      </c>
      <c r="AC27" s="2">
        <f t="shared" si="11"/>
        <v>470</v>
      </c>
      <c r="AD27" s="25"/>
      <c r="AL27" s="2" t="str">
        <f>坦克个性化设定!B42</f>
        <v>黑豹</v>
      </c>
      <c r="AM27" s="2" t="str">
        <f>坦克个性化设定!E42</f>
        <v>T3</v>
      </c>
      <c r="AN27" s="2" t="str">
        <f>坦克个性化细分!J27</f>
        <v>低</v>
      </c>
      <c r="AO27" s="2">
        <f>VLOOKUP(AM27&amp;AN27,坦克等级成长!$P$12:$U$24,MATCH(AO$3,坦克等级成长!$P$12:$U$12,0),FALSE)</f>
        <v>5</v>
      </c>
      <c r="AP27" s="2">
        <f t="shared" si="1"/>
        <v>25</v>
      </c>
      <c r="AQ27" s="2">
        <f t="shared" si="2"/>
        <v>950</v>
      </c>
      <c r="AR27" s="2">
        <f t="shared" si="3"/>
        <v>3600</v>
      </c>
      <c r="AS27" s="2">
        <f t="shared" si="9"/>
        <v>0.2638888888888889</v>
      </c>
    </row>
    <row r="28" spans="3:45" x14ac:dyDescent="0.3">
      <c r="C28" s="1">
        <f t="shared" si="17"/>
        <v>3</v>
      </c>
      <c r="D28" s="2">
        <v>4</v>
      </c>
      <c r="E28" s="34">
        <f>(E$19/SUM($C$25:$C$31))*(SUM($C$25:$C28))</f>
        <v>7.1428571428571425E-2</v>
      </c>
      <c r="F28" s="34">
        <f>(F$19/SUM($C$25:$C$31))*(SUM($C$25:$C28))</f>
        <v>7.1428571428571425E-2</v>
      </c>
      <c r="G28" s="34">
        <f>(G$19/SUM($C$25:$C$31))*(SUM($C$25:$C28))</f>
        <v>9.4285714285714292E-2</v>
      </c>
      <c r="H28" s="34">
        <f>(H$19/SUM($C$25:$C$31))*(SUM($C$25:$C28))</f>
        <v>4.8571428571428578E-2</v>
      </c>
      <c r="I28" s="34">
        <f>(I$19/SUM($C$25:$C$31))*(SUM($C$25:$C28))</f>
        <v>0.04</v>
      </c>
      <c r="J28" s="34">
        <f>(J$19/SUM($C$25:$C$31))*(SUM($C$25:$C28))</f>
        <v>4.2857142857142858E-2</v>
      </c>
      <c r="Y28" s="2">
        <v>25</v>
      </c>
      <c r="Z28" s="2">
        <f t="shared" si="10"/>
        <v>5</v>
      </c>
      <c r="AA28" s="148">
        <f t="shared" si="5"/>
        <v>1.111111111111111E-2</v>
      </c>
      <c r="AB28" s="2">
        <f t="shared" si="6"/>
        <v>30</v>
      </c>
      <c r="AC28" s="2">
        <f t="shared" si="11"/>
        <v>500</v>
      </c>
      <c r="AD28" s="25"/>
      <c r="AL28" s="2" t="str">
        <f>坦克个性化设定!B43</f>
        <v>虎式</v>
      </c>
      <c r="AM28" s="2" t="str">
        <f>坦克个性化设定!E43</f>
        <v>T3</v>
      </c>
      <c r="AN28" s="2" t="str">
        <f>坦克个性化细分!J28</f>
        <v>中</v>
      </c>
      <c r="AO28" s="2">
        <f>VLOOKUP(AM28&amp;AN28,坦克等级成长!$P$12:$U$24,MATCH(AO$3,坦克等级成长!$P$12:$U$12,0),FALSE)</f>
        <v>5</v>
      </c>
      <c r="AP28" s="2">
        <f t="shared" si="1"/>
        <v>25</v>
      </c>
      <c r="AQ28" s="2">
        <f t="shared" si="2"/>
        <v>950</v>
      </c>
      <c r="AR28" s="2">
        <f t="shared" si="3"/>
        <v>3600</v>
      </c>
      <c r="AS28" s="2">
        <f t="shared" si="9"/>
        <v>0.2638888888888889</v>
      </c>
    </row>
    <row r="29" spans="3:45" x14ac:dyDescent="0.3">
      <c r="C29" s="1">
        <f t="shared" si="17"/>
        <v>4</v>
      </c>
      <c r="D29" s="2">
        <v>5</v>
      </c>
      <c r="E29" s="34">
        <f>(E$19/SUM($C$25:$C$31))*(SUM($C$25:$C29))</f>
        <v>0.11904761904761904</v>
      </c>
      <c r="F29" s="34">
        <f>(F$19/SUM($C$25:$C$31))*(SUM($C$25:$C29))</f>
        <v>0.11904761904761904</v>
      </c>
      <c r="G29" s="34">
        <f>(G$19/SUM($C$25:$C$31))*(SUM($C$25:$C29))</f>
        <v>0.15714285714285714</v>
      </c>
      <c r="H29" s="34">
        <f>(H$19/SUM($C$25:$C$31))*(SUM($C$25:$C29))</f>
        <v>8.095238095238097E-2</v>
      </c>
      <c r="I29" s="34">
        <f>(I$19/SUM($C$25:$C$31))*(SUM($C$25:$C29))</f>
        <v>6.6666666666666666E-2</v>
      </c>
      <c r="J29" s="34">
        <f>(J$19/SUM($C$25:$C$31))*(SUM($C$25:$C29))</f>
        <v>7.1428571428571425E-2</v>
      </c>
      <c r="Y29" s="2">
        <v>26</v>
      </c>
      <c r="Z29" s="2">
        <f t="shared" si="10"/>
        <v>6</v>
      </c>
      <c r="AA29" s="148">
        <f t="shared" si="5"/>
        <v>8.1627906976744179E-3</v>
      </c>
      <c r="AB29" s="2">
        <f t="shared" si="6"/>
        <v>35</v>
      </c>
      <c r="AC29" s="2">
        <f t="shared" si="11"/>
        <v>535</v>
      </c>
      <c r="AD29" s="25"/>
      <c r="AL29" s="2" t="str">
        <f>坦克个性化设定!B44</f>
        <v>KV-2</v>
      </c>
      <c r="AM29" s="2" t="str">
        <f>坦克个性化设定!E44</f>
        <v>T3</v>
      </c>
      <c r="AN29" s="2" t="str">
        <f>坦克个性化细分!J29</f>
        <v>高</v>
      </c>
      <c r="AO29" s="2">
        <f>VLOOKUP(AM29&amp;AN29,坦克等级成长!$P$12:$U$24,MATCH(AO$3,坦克等级成长!$P$12:$U$12,0),FALSE)</f>
        <v>5</v>
      </c>
      <c r="AP29" s="2">
        <f t="shared" si="1"/>
        <v>25</v>
      </c>
      <c r="AQ29" s="2">
        <f t="shared" si="2"/>
        <v>950</v>
      </c>
      <c r="AR29" s="2">
        <f t="shared" si="3"/>
        <v>3600</v>
      </c>
      <c r="AS29" s="2">
        <f t="shared" si="9"/>
        <v>0.2638888888888889</v>
      </c>
    </row>
    <row r="30" spans="3:45" x14ac:dyDescent="0.3">
      <c r="C30" s="1">
        <f t="shared" si="17"/>
        <v>5</v>
      </c>
      <c r="D30" s="2">
        <v>6</v>
      </c>
      <c r="E30" s="34">
        <f>(E$19/SUM($C$25:$C$31))*(SUM($C$25:$C30))</f>
        <v>0.17857142857142855</v>
      </c>
      <c r="F30" s="34">
        <f>(F$19/SUM($C$25:$C$31))*(SUM($C$25:$C30))</f>
        <v>0.17857142857142855</v>
      </c>
      <c r="G30" s="34">
        <f>(G$19/SUM($C$25:$C$31))*(SUM($C$25:$C30))</f>
        <v>0.23571428571428574</v>
      </c>
      <c r="H30" s="34">
        <f>(H$19/SUM($C$25:$C$31))*(SUM($C$25:$C30))</f>
        <v>0.12142857142857144</v>
      </c>
      <c r="I30" s="34">
        <f>(I$19/SUM($C$25:$C$31))*(SUM($C$25:$C30))</f>
        <v>0.1</v>
      </c>
      <c r="J30" s="34">
        <f>(J$19/SUM($C$25:$C$31))*(SUM($C$25:$C30))</f>
        <v>0.10714285714285714</v>
      </c>
      <c r="Y30" s="2">
        <v>27</v>
      </c>
      <c r="Z30" s="2">
        <f t="shared" si="10"/>
        <v>6</v>
      </c>
      <c r="AA30" s="148">
        <f t="shared" si="5"/>
        <v>8.1627906976744179E-3</v>
      </c>
      <c r="AB30" s="2">
        <f t="shared" si="6"/>
        <v>35</v>
      </c>
      <c r="AC30" s="2">
        <f t="shared" si="11"/>
        <v>570</v>
      </c>
      <c r="AD30" s="25"/>
      <c r="AL30" s="2" t="str">
        <f>坦克个性化设定!B45</f>
        <v>征服者</v>
      </c>
      <c r="AM30" s="2" t="str">
        <f>坦克个性化设定!E45</f>
        <v>T4</v>
      </c>
      <c r="AN30" s="2" t="str">
        <f>坦克个性化细分!J30</f>
        <v>低</v>
      </c>
      <c r="AO30" s="2">
        <f>VLOOKUP(AM30&amp;AN30,坦克等级成长!$P$12:$U$24,MATCH(AO$3,坦克等级成长!$P$12:$U$12,0),FALSE)</f>
        <v>6</v>
      </c>
      <c r="AP30" s="2">
        <f t="shared" si="1"/>
        <v>30</v>
      </c>
      <c r="AQ30" s="2">
        <f t="shared" si="2"/>
        <v>1305</v>
      </c>
      <c r="AR30" s="2">
        <f t="shared" si="3"/>
        <v>4300</v>
      </c>
      <c r="AS30" s="2">
        <f t="shared" si="9"/>
        <v>0.30348837209302326</v>
      </c>
    </row>
    <row r="31" spans="3:45" x14ac:dyDescent="0.3">
      <c r="C31" s="1">
        <f t="shared" si="17"/>
        <v>6</v>
      </c>
      <c r="D31" s="2">
        <v>7</v>
      </c>
      <c r="E31" s="34">
        <f>(E$19/SUM($C$25:$C$31))*(SUM($C$25:$C31))</f>
        <v>0.25</v>
      </c>
      <c r="F31" s="34">
        <f>(F$19/SUM($C$25:$C$31))*(SUM($C$25:$C31))</f>
        <v>0.25</v>
      </c>
      <c r="G31" s="34">
        <f>(G$19/SUM($C$25:$C$31))*(SUM($C$25:$C31))</f>
        <v>0.33</v>
      </c>
      <c r="H31" s="34">
        <f>(H$19/SUM($C$25:$C$31))*(SUM($C$25:$C31))</f>
        <v>0.17</v>
      </c>
      <c r="I31" s="34">
        <f>(I$19/SUM($C$25:$C$31))*(SUM($C$25:$C31))</f>
        <v>0.14000000000000001</v>
      </c>
      <c r="J31" s="34">
        <f>(J$19/SUM($C$25:$C$31))*(SUM($C$25:$C31))</f>
        <v>0.15</v>
      </c>
      <c r="Y31" s="2">
        <v>28</v>
      </c>
      <c r="Z31" s="2">
        <f t="shared" si="10"/>
        <v>6</v>
      </c>
      <c r="AA31" s="148">
        <f t="shared" si="5"/>
        <v>8.1627906976744179E-3</v>
      </c>
      <c r="AB31" s="2">
        <f t="shared" si="6"/>
        <v>35</v>
      </c>
      <c r="AC31" s="2">
        <f t="shared" si="11"/>
        <v>605</v>
      </c>
      <c r="AD31" s="25"/>
      <c r="AL31" s="2" t="str">
        <f>坦克个性化设定!B46</f>
        <v>IS-4</v>
      </c>
      <c r="AM31" s="2" t="str">
        <f>坦克个性化设定!E46</f>
        <v>T4</v>
      </c>
      <c r="AN31" s="2" t="str">
        <f>坦克个性化细分!J31</f>
        <v>中</v>
      </c>
      <c r="AO31" s="2">
        <f>VLOOKUP(AM31&amp;AN31,坦克等级成长!$P$12:$U$24,MATCH(AO$3,坦克等级成长!$P$12:$U$12,0),FALSE)</f>
        <v>6</v>
      </c>
      <c r="AP31" s="2">
        <f t="shared" si="1"/>
        <v>30</v>
      </c>
      <c r="AQ31" s="2">
        <f t="shared" si="2"/>
        <v>1305</v>
      </c>
      <c r="AR31" s="2">
        <f t="shared" si="3"/>
        <v>4300</v>
      </c>
      <c r="AS31" s="2">
        <f t="shared" si="9"/>
        <v>0.30348837209302326</v>
      </c>
    </row>
    <row r="32" spans="3:45" x14ac:dyDescent="0.3">
      <c r="Y32" s="2">
        <v>29</v>
      </c>
      <c r="Z32" s="2">
        <f t="shared" si="10"/>
        <v>6</v>
      </c>
      <c r="AA32" s="148">
        <f t="shared" si="5"/>
        <v>8.1627906976744179E-3</v>
      </c>
      <c r="AB32" s="2">
        <f t="shared" si="6"/>
        <v>35</v>
      </c>
      <c r="AC32" s="2">
        <f t="shared" si="11"/>
        <v>640</v>
      </c>
      <c r="AD32" s="25"/>
      <c r="AL32" s="2" t="str">
        <f>坦克个性化设定!B47</f>
        <v>T-32</v>
      </c>
      <c r="AM32" s="2" t="str">
        <f>坦克个性化设定!E47</f>
        <v>T4</v>
      </c>
      <c r="AN32" s="2" t="str">
        <f>坦克个性化细分!J32</f>
        <v>高</v>
      </c>
      <c r="AO32" s="2">
        <f>VLOOKUP(AM32&amp;AN32,坦克等级成长!$P$12:$U$24,MATCH(AO$3,坦克等级成长!$P$12:$U$12,0),FALSE)</f>
        <v>6</v>
      </c>
      <c r="AP32" s="2">
        <f t="shared" si="1"/>
        <v>30</v>
      </c>
      <c r="AQ32" s="2">
        <f t="shared" si="2"/>
        <v>1305</v>
      </c>
      <c r="AR32" s="2">
        <f t="shared" si="3"/>
        <v>4300</v>
      </c>
      <c r="AS32" s="2">
        <f t="shared" si="9"/>
        <v>0.30348837209302326</v>
      </c>
    </row>
    <row r="33" spans="25:45" x14ac:dyDescent="0.3">
      <c r="Y33" s="2">
        <v>30</v>
      </c>
      <c r="Z33" s="2">
        <f t="shared" si="10"/>
        <v>6</v>
      </c>
      <c r="AA33" s="148">
        <f t="shared" si="5"/>
        <v>8.1627906976744179E-3</v>
      </c>
      <c r="AB33" s="2">
        <f t="shared" si="6"/>
        <v>35</v>
      </c>
      <c r="AC33" s="2">
        <f t="shared" si="11"/>
        <v>675</v>
      </c>
      <c r="AD33" s="25"/>
      <c r="AL33" s="2" t="str">
        <f>坦克个性化设定!B48</f>
        <v>M1A2</v>
      </c>
      <c r="AM33" s="2" t="str">
        <f>坦克个性化设定!E48</f>
        <v>T5</v>
      </c>
      <c r="AN33" s="2" t="str">
        <f>坦克个性化细分!J33</f>
        <v>低</v>
      </c>
      <c r="AO33" s="2">
        <f>VLOOKUP(AM33&amp;AN33,坦克等级成长!$P$12:$U$24,MATCH(AO$3,坦克等级成长!$P$12:$U$12,0),FALSE)</f>
        <v>7</v>
      </c>
      <c r="AP33" s="2">
        <f t="shared" si="1"/>
        <v>35</v>
      </c>
      <c r="AQ33" s="2">
        <f t="shared" si="2"/>
        <v>1715</v>
      </c>
      <c r="AR33" s="2">
        <f t="shared" si="3"/>
        <v>5100</v>
      </c>
      <c r="AS33" s="2">
        <f t="shared" si="9"/>
        <v>0.3362745098039216</v>
      </c>
    </row>
    <row r="34" spans="25:45" x14ac:dyDescent="0.3">
      <c r="Y34" s="2">
        <v>31</v>
      </c>
      <c r="Z34" s="2">
        <f t="shared" si="10"/>
        <v>7</v>
      </c>
      <c r="AA34" s="148">
        <f t="shared" si="5"/>
        <v>6.9882352941176475E-3</v>
      </c>
      <c r="AB34" s="2">
        <f t="shared" si="6"/>
        <v>40</v>
      </c>
      <c r="AC34" s="2">
        <f t="shared" si="11"/>
        <v>715</v>
      </c>
      <c r="AD34" s="25"/>
    </row>
    <row r="35" spans="25:45" x14ac:dyDescent="0.3">
      <c r="Y35" s="2">
        <v>32</v>
      </c>
      <c r="Z35" s="2">
        <f t="shared" si="10"/>
        <v>7</v>
      </c>
      <c r="AA35" s="148">
        <f t="shared" si="5"/>
        <v>6.9882352941176475E-3</v>
      </c>
      <c r="AB35" s="2">
        <f t="shared" si="6"/>
        <v>40</v>
      </c>
      <c r="AC35" s="2">
        <f t="shared" si="11"/>
        <v>755</v>
      </c>
      <c r="AD35" s="25"/>
    </row>
    <row r="36" spans="25:45" x14ac:dyDescent="0.3">
      <c r="Y36" s="2">
        <v>33</v>
      </c>
      <c r="Z36" s="2">
        <f t="shared" si="10"/>
        <v>7</v>
      </c>
      <c r="AA36" s="148">
        <f t="shared" si="5"/>
        <v>6.9882352941176475E-3</v>
      </c>
      <c r="AB36" s="2">
        <f t="shared" si="6"/>
        <v>40</v>
      </c>
      <c r="AC36" s="2">
        <f t="shared" si="11"/>
        <v>795</v>
      </c>
      <c r="AD36" s="25"/>
    </row>
    <row r="37" spans="25:45" x14ac:dyDescent="0.3">
      <c r="Y37" s="2">
        <v>34</v>
      </c>
      <c r="Z37" s="2">
        <f t="shared" si="10"/>
        <v>7</v>
      </c>
      <c r="AA37" s="148">
        <f t="shared" si="5"/>
        <v>6.9882352941176475E-3</v>
      </c>
      <c r="AB37" s="2">
        <f t="shared" si="6"/>
        <v>40</v>
      </c>
      <c r="AC37" s="2">
        <f t="shared" si="11"/>
        <v>835</v>
      </c>
      <c r="AD37" s="25"/>
    </row>
    <row r="38" spans="25:45" x14ac:dyDescent="0.3">
      <c r="Y38" s="2">
        <v>35</v>
      </c>
      <c r="Z38" s="2">
        <f t="shared" si="10"/>
        <v>7</v>
      </c>
      <c r="AA38" s="148">
        <f t="shared" si="5"/>
        <v>6.9882352941176475E-3</v>
      </c>
      <c r="AB38" s="2">
        <f t="shared" si="6"/>
        <v>40</v>
      </c>
      <c r="AC38" s="2">
        <f t="shared" si="11"/>
        <v>875</v>
      </c>
      <c r="AD38" s="25"/>
    </row>
    <row r="39" spans="25:45" x14ac:dyDescent="0.3">
      <c r="AD39" s="25"/>
    </row>
    <row r="40" spans="25:45" x14ac:dyDescent="0.3">
      <c r="AD40" s="25"/>
    </row>
    <row r="41" spans="25:45" x14ac:dyDescent="0.3">
      <c r="AD41" s="25"/>
    </row>
    <row r="42" spans="25:45" x14ac:dyDescent="0.3">
      <c r="AD42" s="25"/>
    </row>
    <row r="43" spans="25:45" x14ac:dyDescent="0.3">
      <c r="AD43" s="25"/>
    </row>
    <row r="44" spans="25:45" x14ac:dyDescent="0.3">
      <c r="AD44" s="25"/>
    </row>
    <row r="45" spans="25:45" x14ac:dyDescent="0.3">
      <c r="AD45" s="25"/>
    </row>
    <row r="46" spans="25:45" x14ac:dyDescent="0.3">
      <c r="AD46" s="25"/>
    </row>
    <row r="47" spans="25:45" x14ac:dyDescent="0.3">
      <c r="AD47" s="25"/>
    </row>
    <row r="48" spans="25:45" x14ac:dyDescent="0.3">
      <c r="AD48" s="25"/>
    </row>
    <row r="49" spans="30:30" x14ac:dyDescent="0.3">
      <c r="AD49" s="25"/>
    </row>
    <row r="50" spans="30:30" x14ac:dyDescent="0.3">
      <c r="AD50" s="25"/>
    </row>
    <row r="51" spans="30:30" x14ac:dyDescent="0.3">
      <c r="AD51" s="25"/>
    </row>
    <row r="52" spans="30:30" x14ac:dyDescent="0.3">
      <c r="AD52" s="25"/>
    </row>
    <row r="53" spans="30:30" x14ac:dyDescent="0.3">
      <c r="AD53" s="25"/>
    </row>
    <row r="54" spans="30:30" x14ac:dyDescent="0.3">
      <c r="AD54" s="25"/>
    </row>
    <row r="55" spans="30:30" x14ac:dyDescent="0.3">
      <c r="AD55" s="25"/>
    </row>
    <row r="56" spans="30:30" x14ac:dyDescent="0.3">
      <c r="AD56" s="25"/>
    </row>
    <row r="57" spans="30:30" x14ac:dyDescent="0.3">
      <c r="AD57" s="25"/>
    </row>
    <row r="58" spans="30:30" x14ac:dyDescent="0.3">
      <c r="AD58" s="25"/>
    </row>
    <row r="59" spans="30:30" x14ac:dyDescent="0.3">
      <c r="AD59" s="25"/>
    </row>
    <row r="60" spans="30:30" x14ac:dyDescent="0.3">
      <c r="AD60" s="25"/>
    </row>
    <row r="61" spans="30:30" x14ac:dyDescent="0.3">
      <c r="AD61" s="25"/>
    </row>
    <row r="62" spans="30:30" x14ac:dyDescent="0.3">
      <c r="AD62" s="25"/>
    </row>
  </sheetData>
  <mergeCells count="5">
    <mergeCell ref="D2:H2"/>
    <mergeCell ref="J2:L2"/>
    <mergeCell ref="N2:W2"/>
    <mergeCell ref="Y2:AC2"/>
    <mergeCell ref="AF2:AJ2"/>
  </mergeCells>
  <phoneticPr fontId="34" type="noConversion"/>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61"/>
  <sheetViews>
    <sheetView workbookViewId="0">
      <selection activeCell="K15" sqref="K15"/>
    </sheetView>
  </sheetViews>
  <sheetFormatPr defaultColWidth="9" defaultRowHeight="13.5" x14ac:dyDescent="0.15"/>
  <cols>
    <col min="13" max="13" width="9.625" customWidth="1"/>
    <col min="16" max="16" width="11.875" customWidth="1"/>
  </cols>
  <sheetData>
    <row r="1" spans="1:16" x14ac:dyDescent="0.15">
      <c r="A1" s="11" t="s">
        <v>676</v>
      </c>
      <c r="B1" s="11" t="s">
        <v>676</v>
      </c>
      <c r="C1" s="11" t="s">
        <v>1387</v>
      </c>
      <c r="D1" s="11" t="s">
        <v>1388</v>
      </c>
      <c r="E1" s="12" t="s">
        <v>1395</v>
      </c>
      <c r="G1" s="11" t="s">
        <v>676</v>
      </c>
      <c r="H1" s="11" t="s">
        <v>1403</v>
      </c>
      <c r="I1" s="11" t="s">
        <v>743</v>
      </c>
      <c r="J1" s="11" t="s">
        <v>1415</v>
      </c>
      <c r="K1" s="11" t="s">
        <v>1416</v>
      </c>
      <c r="M1" s="11" t="s">
        <v>676</v>
      </c>
      <c r="N1" s="12" t="s">
        <v>1394</v>
      </c>
      <c r="O1" s="12" t="s">
        <v>1415</v>
      </c>
      <c r="P1" s="12" t="s">
        <v>1417</v>
      </c>
    </row>
    <row r="2" spans="1:16" x14ac:dyDescent="0.15">
      <c r="A2" s="7" t="s">
        <v>613</v>
      </c>
      <c r="B2" s="7">
        <v>1</v>
      </c>
      <c r="C2" s="7">
        <v>1</v>
      </c>
      <c r="D2" s="7">
        <v>3</v>
      </c>
      <c r="E2" s="7">
        <f>D2*5</f>
        <v>15</v>
      </c>
      <c r="G2" s="7">
        <v>1</v>
      </c>
      <c r="H2" s="7">
        <v>1</v>
      </c>
      <c r="I2" s="7" t="str">
        <f>G2&amp;"_"&amp;H2</f>
        <v>1_1</v>
      </c>
      <c r="J2" s="7">
        <v>70</v>
      </c>
      <c r="K2" s="7">
        <v>180</v>
      </c>
      <c r="M2" s="7">
        <v>1</v>
      </c>
      <c r="N2" s="7">
        <v>1</v>
      </c>
      <c r="O2" s="7">
        <v>250</v>
      </c>
      <c r="P2" s="7">
        <v>2</v>
      </c>
    </row>
    <row r="3" spans="1:16" x14ac:dyDescent="0.15">
      <c r="A3" s="7" t="s">
        <v>615</v>
      </c>
      <c r="B3" s="7">
        <v>2</v>
      </c>
      <c r="C3" s="7">
        <v>2</v>
      </c>
      <c r="D3" s="7">
        <v>4</v>
      </c>
      <c r="E3" s="7">
        <f t="shared" ref="E3:E4" si="0">D3*5</f>
        <v>20</v>
      </c>
      <c r="G3" s="7">
        <v>1</v>
      </c>
      <c r="H3" s="7">
        <v>2</v>
      </c>
      <c r="I3" s="7" t="str">
        <f t="shared" ref="I3:I61" si="1">G3&amp;"_"&amp;H3</f>
        <v>1_2</v>
      </c>
      <c r="J3" s="7">
        <v>100</v>
      </c>
      <c r="K3" s="7">
        <v>900</v>
      </c>
      <c r="M3" s="7">
        <v>1</v>
      </c>
      <c r="N3" s="7">
        <v>2</v>
      </c>
      <c r="O3" s="7">
        <v>350</v>
      </c>
      <c r="P3" s="7">
        <v>2</v>
      </c>
    </row>
    <row r="4" spans="1:16" x14ac:dyDescent="0.15">
      <c r="A4" s="7" t="s">
        <v>619</v>
      </c>
      <c r="B4" s="7">
        <v>3</v>
      </c>
      <c r="C4" s="7">
        <v>3</v>
      </c>
      <c r="D4" s="7">
        <v>5</v>
      </c>
      <c r="E4" s="7">
        <f t="shared" si="0"/>
        <v>25</v>
      </c>
      <c r="G4" s="7">
        <v>1</v>
      </c>
      <c r="H4" s="7">
        <v>3</v>
      </c>
      <c r="I4" s="7" t="str">
        <f t="shared" si="1"/>
        <v>1_3</v>
      </c>
      <c r="J4" s="7">
        <v>140</v>
      </c>
      <c r="K4" s="7">
        <v>1800</v>
      </c>
      <c r="M4" s="7">
        <v>1</v>
      </c>
      <c r="N4" s="7">
        <v>3</v>
      </c>
      <c r="O4" s="7">
        <v>0</v>
      </c>
      <c r="P4" s="7">
        <v>0</v>
      </c>
    </row>
    <row r="5" spans="1:16" x14ac:dyDescent="0.15">
      <c r="G5" s="7">
        <v>1</v>
      </c>
      <c r="H5" s="7">
        <v>4</v>
      </c>
      <c r="I5" s="7" t="str">
        <f t="shared" si="1"/>
        <v>1_4</v>
      </c>
      <c r="J5" s="7">
        <v>170</v>
      </c>
      <c r="K5" s="7">
        <v>3480</v>
      </c>
      <c r="M5" s="7">
        <v>2</v>
      </c>
      <c r="N5" s="7">
        <v>2</v>
      </c>
      <c r="O5" s="7">
        <v>350</v>
      </c>
      <c r="P5" s="7">
        <v>2</v>
      </c>
    </row>
    <row r="6" spans="1:16" x14ac:dyDescent="0.15">
      <c r="G6" s="7">
        <v>1</v>
      </c>
      <c r="H6" s="7">
        <v>5</v>
      </c>
      <c r="I6" s="7" t="str">
        <f t="shared" si="1"/>
        <v>1_5</v>
      </c>
      <c r="J6" s="7">
        <v>210</v>
      </c>
      <c r="K6" s="7">
        <v>5220</v>
      </c>
      <c r="M6" s="7">
        <v>2</v>
      </c>
      <c r="N6" s="7">
        <v>3</v>
      </c>
      <c r="O6" s="7">
        <v>2100</v>
      </c>
      <c r="P6" s="7">
        <v>2</v>
      </c>
    </row>
    <row r="7" spans="1:16" x14ac:dyDescent="0.15">
      <c r="G7" s="7">
        <v>1</v>
      </c>
      <c r="H7" s="7">
        <v>6</v>
      </c>
      <c r="I7" s="7" t="str">
        <f t="shared" si="1"/>
        <v>1_6</v>
      </c>
      <c r="J7" s="7">
        <v>600</v>
      </c>
      <c r="K7" s="7">
        <v>7620</v>
      </c>
      <c r="M7" s="7">
        <v>2</v>
      </c>
      <c r="N7" s="7">
        <v>4</v>
      </c>
      <c r="O7" s="7">
        <v>0</v>
      </c>
      <c r="P7" s="7">
        <v>0</v>
      </c>
    </row>
    <row r="8" spans="1:16" x14ac:dyDescent="0.15">
      <c r="G8" s="7">
        <v>1</v>
      </c>
      <c r="H8" s="7">
        <v>7</v>
      </c>
      <c r="I8" s="7" t="str">
        <f t="shared" si="1"/>
        <v>1_7</v>
      </c>
      <c r="J8" s="7">
        <v>900</v>
      </c>
      <c r="K8" s="7">
        <v>11430</v>
      </c>
      <c r="M8" s="7">
        <v>3</v>
      </c>
      <c r="N8" s="7">
        <v>3</v>
      </c>
      <c r="O8" s="7">
        <v>2100</v>
      </c>
      <c r="P8" s="7">
        <v>2</v>
      </c>
    </row>
    <row r="9" spans="1:16" x14ac:dyDescent="0.15">
      <c r="G9" s="7">
        <v>1</v>
      </c>
      <c r="H9" s="7">
        <v>8</v>
      </c>
      <c r="I9" s="7" t="str">
        <f t="shared" si="1"/>
        <v>1_8</v>
      </c>
      <c r="J9" s="7">
        <v>1200</v>
      </c>
      <c r="K9" s="7">
        <v>15240</v>
      </c>
      <c r="M9" s="7">
        <v>3</v>
      </c>
      <c r="N9" s="7">
        <v>4</v>
      </c>
      <c r="O9" s="7">
        <v>7500</v>
      </c>
      <c r="P9" s="7">
        <v>2</v>
      </c>
    </row>
    <row r="10" spans="1:16" x14ac:dyDescent="0.15">
      <c r="G10" s="7">
        <v>1</v>
      </c>
      <c r="H10" s="7">
        <v>9</v>
      </c>
      <c r="I10" s="7" t="str">
        <f t="shared" si="1"/>
        <v>1_9</v>
      </c>
      <c r="J10" s="7">
        <v>1500</v>
      </c>
      <c r="K10" s="7">
        <v>19050</v>
      </c>
      <c r="M10" s="7">
        <v>3</v>
      </c>
      <c r="N10" s="7">
        <v>5</v>
      </c>
      <c r="O10" s="7">
        <v>0</v>
      </c>
      <c r="P10" s="7">
        <v>0</v>
      </c>
    </row>
    <row r="11" spans="1:16" x14ac:dyDescent="0.15">
      <c r="G11" s="7">
        <v>1</v>
      </c>
      <c r="H11" s="7">
        <v>10</v>
      </c>
      <c r="I11" s="7" t="str">
        <f t="shared" si="1"/>
        <v>1_10</v>
      </c>
      <c r="J11" s="7">
        <v>1750</v>
      </c>
      <c r="K11" s="7">
        <v>22860</v>
      </c>
    </row>
    <row r="12" spans="1:16" x14ac:dyDescent="0.15">
      <c r="G12" s="7">
        <v>1</v>
      </c>
      <c r="H12" s="7">
        <v>11</v>
      </c>
      <c r="I12" s="7" t="str">
        <f t="shared" si="1"/>
        <v>1_11</v>
      </c>
      <c r="J12" s="7">
        <v>3650</v>
      </c>
      <c r="K12" s="7">
        <v>31710</v>
      </c>
    </row>
    <row r="13" spans="1:16" x14ac:dyDescent="0.15">
      <c r="G13" s="7">
        <v>1</v>
      </c>
      <c r="H13" s="7">
        <v>12</v>
      </c>
      <c r="I13" s="7" t="str">
        <f t="shared" si="1"/>
        <v>1_12</v>
      </c>
      <c r="J13" s="7">
        <v>5500</v>
      </c>
      <c r="K13" s="7">
        <v>47580</v>
      </c>
    </row>
    <row r="14" spans="1:16" x14ac:dyDescent="0.15">
      <c r="G14" s="7">
        <v>1</v>
      </c>
      <c r="H14" s="7">
        <v>13</v>
      </c>
      <c r="I14" s="7" t="str">
        <f t="shared" si="1"/>
        <v>1_13</v>
      </c>
      <c r="J14" s="7">
        <v>7300</v>
      </c>
      <c r="K14" s="7">
        <v>63420</v>
      </c>
    </row>
    <row r="15" spans="1:16" x14ac:dyDescent="0.15">
      <c r="G15" s="7">
        <v>1</v>
      </c>
      <c r="H15" s="7">
        <v>14</v>
      </c>
      <c r="I15" s="7" t="str">
        <f t="shared" si="1"/>
        <v>1_14</v>
      </c>
      <c r="J15" s="7">
        <v>9100</v>
      </c>
      <c r="K15" s="7">
        <v>79290</v>
      </c>
    </row>
    <row r="16" spans="1:16" x14ac:dyDescent="0.15">
      <c r="G16" s="7">
        <v>1</v>
      </c>
      <c r="H16" s="7">
        <v>15</v>
      </c>
      <c r="I16" s="7" t="str">
        <f t="shared" si="1"/>
        <v>1_15</v>
      </c>
      <c r="J16" s="7">
        <v>11000</v>
      </c>
      <c r="K16" s="7">
        <v>95160</v>
      </c>
    </row>
    <row r="17" spans="7:11" x14ac:dyDescent="0.15">
      <c r="G17" s="7">
        <v>2</v>
      </c>
      <c r="H17" s="7">
        <v>1</v>
      </c>
      <c r="I17" s="7" t="str">
        <f t="shared" si="1"/>
        <v>2_1</v>
      </c>
      <c r="J17" s="7">
        <v>70</v>
      </c>
      <c r="K17" s="7">
        <v>180</v>
      </c>
    </row>
    <row r="18" spans="7:11" x14ac:dyDescent="0.15">
      <c r="G18" s="7">
        <v>2</v>
      </c>
      <c r="H18" s="7">
        <v>2</v>
      </c>
      <c r="I18" s="7" t="str">
        <f t="shared" si="1"/>
        <v>2_2</v>
      </c>
      <c r="J18" s="7">
        <v>100</v>
      </c>
      <c r="K18" s="7">
        <v>900</v>
      </c>
    </row>
    <row r="19" spans="7:11" x14ac:dyDescent="0.15">
      <c r="G19" s="7">
        <v>2</v>
      </c>
      <c r="H19" s="7">
        <v>3</v>
      </c>
      <c r="I19" s="7" t="str">
        <f t="shared" si="1"/>
        <v>2_3</v>
      </c>
      <c r="J19" s="7">
        <v>140</v>
      </c>
      <c r="K19" s="7">
        <v>1800</v>
      </c>
    </row>
    <row r="20" spans="7:11" x14ac:dyDescent="0.15">
      <c r="G20" s="7">
        <v>2</v>
      </c>
      <c r="H20" s="7">
        <v>4</v>
      </c>
      <c r="I20" s="7" t="str">
        <f t="shared" si="1"/>
        <v>2_4</v>
      </c>
      <c r="J20" s="7">
        <v>170</v>
      </c>
      <c r="K20" s="7">
        <v>3480</v>
      </c>
    </row>
    <row r="21" spans="7:11" x14ac:dyDescent="0.15">
      <c r="G21" s="7">
        <v>2</v>
      </c>
      <c r="H21" s="7">
        <v>5</v>
      </c>
      <c r="I21" s="7" t="str">
        <f t="shared" si="1"/>
        <v>2_5</v>
      </c>
      <c r="J21" s="7">
        <v>210</v>
      </c>
      <c r="K21" s="7">
        <v>5220</v>
      </c>
    </row>
    <row r="22" spans="7:11" x14ac:dyDescent="0.15">
      <c r="G22" s="7">
        <v>2</v>
      </c>
      <c r="H22" s="7">
        <v>6</v>
      </c>
      <c r="I22" s="7" t="str">
        <f t="shared" si="1"/>
        <v>2_6</v>
      </c>
      <c r="J22" s="7">
        <v>600</v>
      </c>
      <c r="K22" s="7">
        <v>7620</v>
      </c>
    </row>
    <row r="23" spans="7:11" x14ac:dyDescent="0.15">
      <c r="G23" s="7">
        <v>2</v>
      </c>
      <c r="H23" s="7">
        <v>7</v>
      </c>
      <c r="I23" s="7" t="str">
        <f t="shared" si="1"/>
        <v>2_7</v>
      </c>
      <c r="J23" s="7">
        <v>900</v>
      </c>
      <c r="K23" s="7">
        <v>11430</v>
      </c>
    </row>
    <row r="24" spans="7:11" x14ac:dyDescent="0.15">
      <c r="G24" s="7">
        <v>2</v>
      </c>
      <c r="H24" s="7">
        <v>8</v>
      </c>
      <c r="I24" s="7" t="str">
        <f t="shared" si="1"/>
        <v>2_8</v>
      </c>
      <c r="J24" s="7">
        <v>1200</v>
      </c>
      <c r="K24" s="7">
        <v>15240</v>
      </c>
    </row>
    <row r="25" spans="7:11" x14ac:dyDescent="0.15">
      <c r="G25" s="7">
        <v>2</v>
      </c>
      <c r="H25" s="7">
        <v>9</v>
      </c>
      <c r="I25" s="7" t="str">
        <f t="shared" si="1"/>
        <v>2_9</v>
      </c>
      <c r="J25" s="7">
        <v>1500</v>
      </c>
      <c r="K25" s="7">
        <v>19050</v>
      </c>
    </row>
    <row r="26" spans="7:11" x14ac:dyDescent="0.15">
      <c r="G26" s="7">
        <v>2</v>
      </c>
      <c r="H26" s="7">
        <v>10</v>
      </c>
      <c r="I26" s="7" t="str">
        <f t="shared" si="1"/>
        <v>2_10</v>
      </c>
      <c r="J26" s="7">
        <v>1750</v>
      </c>
      <c r="K26" s="7">
        <v>22860</v>
      </c>
    </row>
    <row r="27" spans="7:11" x14ac:dyDescent="0.15">
      <c r="G27" s="7">
        <v>2</v>
      </c>
      <c r="H27" s="7">
        <v>11</v>
      </c>
      <c r="I27" s="7" t="str">
        <f t="shared" si="1"/>
        <v>2_11</v>
      </c>
      <c r="J27" s="7">
        <v>3650</v>
      </c>
      <c r="K27" s="7">
        <v>31710</v>
      </c>
    </row>
    <row r="28" spans="7:11" x14ac:dyDescent="0.15">
      <c r="G28" s="7">
        <v>2</v>
      </c>
      <c r="H28" s="7">
        <v>12</v>
      </c>
      <c r="I28" s="7" t="str">
        <f t="shared" si="1"/>
        <v>2_12</v>
      </c>
      <c r="J28" s="7">
        <v>5500</v>
      </c>
      <c r="K28" s="7">
        <v>47580</v>
      </c>
    </row>
    <row r="29" spans="7:11" x14ac:dyDescent="0.15">
      <c r="G29" s="7">
        <v>2</v>
      </c>
      <c r="H29" s="7">
        <v>13</v>
      </c>
      <c r="I29" s="7" t="str">
        <f t="shared" si="1"/>
        <v>2_13</v>
      </c>
      <c r="J29" s="7">
        <v>7300</v>
      </c>
      <c r="K29" s="7">
        <v>63420</v>
      </c>
    </row>
    <row r="30" spans="7:11" x14ac:dyDescent="0.15">
      <c r="G30" s="7">
        <v>2</v>
      </c>
      <c r="H30" s="7">
        <v>14</v>
      </c>
      <c r="I30" s="7" t="str">
        <f t="shared" si="1"/>
        <v>2_14</v>
      </c>
      <c r="J30" s="7">
        <v>9100</v>
      </c>
      <c r="K30" s="7">
        <v>79290</v>
      </c>
    </row>
    <row r="31" spans="7:11" x14ac:dyDescent="0.15">
      <c r="G31" s="7">
        <v>2</v>
      </c>
      <c r="H31" s="7">
        <v>15</v>
      </c>
      <c r="I31" s="7" t="str">
        <f t="shared" si="1"/>
        <v>2_15</v>
      </c>
      <c r="J31" s="7">
        <v>11000</v>
      </c>
      <c r="K31" s="7">
        <v>95160</v>
      </c>
    </row>
    <row r="32" spans="7:11" x14ac:dyDescent="0.15">
      <c r="G32" s="7">
        <v>2</v>
      </c>
      <c r="H32" s="7">
        <v>16</v>
      </c>
      <c r="I32" s="7" t="str">
        <f t="shared" si="1"/>
        <v>2_16</v>
      </c>
      <c r="J32" s="7">
        <v>11500</v>
      </c>
      <c r="K32" s="7">
        <v>36390</v>
      </c>
    </row>
    <row r="33" spans="7:11" x14ac:dyDescent="0.15">
      <c r="G33" s="7">
        <v>2</v>
      </c>
      <c r="H33" s="7">
        <v>17</v>
      </c>
      <c r="I33" s="7" t="str">
        <f t="shared" si="1"/>
        <v>2_17</v>
      </c>
      <c r="J33" s="7">
        <v>12500</v>
      </c>
      <c r="K33" s="7">
        <v>54570</v>
      </c>
    </row>
    <row r="34" spans="7:11" x14ac:dyDescent="0.15">
      <c r="G34" s="7">
        <v>2</v>
      </c>
      <c r="H34" s="7">
        <v>18</v>
      </c>
      <c r="I34" s="7" t="str">
        <f t="shared" si="1"/>
        <v>2_18</v>
      </c>
      <c r="J34" s="7">
        <v>13500</v>
      </c>
      <c r="K34" s="7">
        <v>72750</v>
      </c>
    </row>
    <row r="35" spans="7:11" x14ac:dyDescent="0.15">
      <c r="G35" s="7">
        <v>2</v>
      </c>
      <c r="H35" s="7">
        <v>19</v>
      </c>
      <c r="I35" s="7" t="str">
        <f t="shared" si="1"/>
        <v>2_19</v>
      </c>
      <c r="J35" s="7">
        <v>16800</v>
      </c>
      <c r="K35" s="7">
        <v>90960</v>
      </c>
    </row>
    <row r="36" spans="7:11" x14ac:dyDescent="0.15">
      <c r="G36" s="7">
        <v>2</v>
      </c>
      <c r="H36" s="7">
        <v>20</v>
      </c>
      <c r="I36" s="7" t="str">
        <f t="shared" si="1"/>
        <v>2_20</v>
      </c>
      <c r="J36" s="7">
        <v>20200</v>
      </c>
      <c r="K36" s="7">
        <v>109140</v>
      </c>
    </row>
    <row r="37" spans="7:11" x14ac:dyDescent="0.15">
      <c r="G37" s="7">
        <v>3</v>
      </c>
      <c r="H37" s="7">
        <v>1</v>
      </c>
      <c r="I37" s="7" t="str">
        <f t="shared" si="1"/>
        <v>3_1</v>
      </c>
      <c r="J37" s="7">
        <v>70</v>
      </c>
      <c r="K37" s="7">
        <v>180</v>
      </c>
    </row>
    <row r="38" spans="7:11" x14ac:dyDescent="0.15">
      <c r="G38" s="7">
        <v>3</v>
      </c>
      <c r="H38" s="7">
        <v>2</v>
      </c>
      <c r="I38" s="7" t="str">
        <f t="shared" si="1"/>
        <v>3_2</v>
      </c>
      <c r="J38" s="7">
        <v>100</v>
      </c>
      <c r="K38" s="7">
        <v>900</v>
      </c>
    </row>
    <row r="39" spans="7:11" x14ac:dyDescent="0.15">
      <c r="G39" s="7">
        <v>3</v>
      </c>
      <c r="H39" s="7">
        <v>3</v>
      </c>
      <c r="I39" s="7" t="str">
        <f t="shared" si="1"/>
        <v>3_3</v>
      </c>
      <c r="J39" s="7">
        <v>140</v>
      </c>
      <c r="K39" s="7">
        <v>1800</v>
      </c>
    </row>
    <row r="40" spans="7:11" x14ac:dyDescent="0.15">
      <c r="G40" s="7">
        <v>3</v>
      </c>
      <c r="H40" s="7">
        <v>4</v>
      </c>
      <c r="I40" s="7" t="str">
        <f t="shared" si="1"/>
        <v>3_4</v>
      </c>
      <c r="J40" s="7">
        <v>170</v>
      </c>
      <c r="K40" s="7">
        <v>3480</v>
      </c>
    </row>
    <row r="41" spans="7:11" x14ac:dyDescent="0.15">
      <c r="G41" s="7">
        <v>3</v>
      </c>
      <c r="H41" s="7">
        <v>5</v>
      </c>
      <c r="I41" s="7" t="str">
        <f t="shared" si="1"/>
        <v>3_5</v>
      </c>
      <c r="J41" s="7">
        <v>210</v>
      </c>
      <c r="K41" s="7">
        <v>5220</v>
      </c>
    </row>
    <row r="42" spans="7:11" x14ac:dyDescent="0.15">
      <c r="G42" s="7">
        <v>3</v>
      </c>
      <c r="H42" s="7">
        <v>6</v>
      </c>
      <c r="I42" s="7" t="str">
        <f t="shared" si="1"/>
        <v>3_6</v>
      </c>
      <c r="J42" s="7">
        <v>600</v>
      </c>
      <c r="K42" s="7">
        <v>7620</v>
      </c>
    </row>
    <row r="43" spans="7:11" x14ac:dyDescent="0.15">
      <c r="G43" s="7">
        <v>3</v>
      </c>
      <c r="H43" s="7">
        <v>7</v>
      </c>
      <c r="I43" s="7" t="str">
        <f t="shared" si="1"/>
        <v>3_7</v>
      </c>
      <c r="J43" s="7">
        <v>900</v>
      </c>
      <c r="K43" s="7">
        <v>11430</v>
      </c>
    </row>
    <row r="44" spans="7:11" x14ac:dyDescent="0.15">
      <c r="G44" s="7">
        <v>3</v>
      </c>
      <c r="H44" s="7">
        <v>8</v>
      </c>
      <c r="I44" s="7" t="str">
        <f t="shared" si="1"/>
        <v>3_8</v>
      </c>
      <c r="J44" s="7">
        <v>1200</v>
      </c>
      <c r="K44" s="7">
        <v>15240</v>
      </c>
    </row>
    <row r="45" spans="7:11" x14ac:dyDescent="0.15">
      <c r="G45" s="7">
        <v>3</v>
      </c>
      <c r="H45" s="7">
        <v>9</v>
      </c>
      <c r="I45" s="7" t="str">
        <f t="shared" si="1"/>
        <v>3_9</v>
      </c>
      <c r="J45" s="7">
        <v>1500</v>
      </c>
      <c r="K45" s="7">
        <v>19050</v>
      </c>
    </row>
    <row r="46" spans="7:11" x14ac:dyDescent="0.15">
      <c r="G46" s="7">
        <v>3</v>
      </c>
      <c r="H46" s="7">
        <v>10</v>
      </c>
      <c r="I46" s="7" t="str">
        <f t="shared" si="1"/>
        <v>3_10</v>
      </c>
      <c r="J46" s="7">
        <v>1750</v>
      </c>
      <c r="K46" s="7">
        <v>22860</v>
      </c>
    </row>
    <row r="47" spans="7:11" x14ac:dyDescent="0.15">
      <c r="G47" s="7">
        <v>3</v>
      </c>
      <c r="H47" s="7">
        <v>11</v>
      </c>
      <c r="I47" s="7" t="str">
        <f t="shared" si="1"/>
        <v>3_11</v>
      </c>
      <c r="J47" s="7">
        <v>3650</v>
      </c>
      <c r="K47" s="7">
        <v>31710</v>
      </c>
    </row>
    <row r="48" spans="7:11" x14ac:dyDescent="0.15">
      <c r="G48" s="7">
        <v>3</v>
      </c>
      <c r="H48" s="7">
        <v>12</v>
      </c>
      <c r="I48" s="7" t="str">
        <f t="shared" si="1"/>
        <v>3_12</v>
      </c>
      <c r="J48" s="7">
        <v>5500</v>
      </c>
      <c r="K48" s="7">
        <v>47580</v>
      </c>
    </row>
    <row r="49" spans="7:11" x14ac:dyDescent="0.15">
      <c r="G49" s="7">
        <v>3</v>
      </c>
      <c r="H49" s="7">
        <v>13</v>
      </c>
      <c r="I49" s="7" t="str">
        <f t="shared" si="1"/>
        <v>3_13</v>
      </c>
      <c r="J49" s="7">
        <v>7300</v>
      </c>
      <c r="K49" s="7">
        <v>63420</v>
      </c>
    </row>
    <row r="50" spans="7:11" x14ac:dyDescent="0.15">
      <c r="G50" s="7">
        <v>3</v>
      </c>
      <c r="H50" s="7">
        <v>14</v>
      </c>
      <c r="I50" s="7" t="str">
        <f t="shared" si="1"/>
        <v>3_14</v>
      </c>
      <c r="J50" s="7">
        <v>9100</v>
      </c>
      <c r="K50" s="7">
        <v>79290</v>
      </c>
    </row>
    <row r="51" spans="7:11" x14ac:dyDescent="0.15">
      <c r="G51" s="7">
        <v>3</v>
      </c>
      <c r="H51" s="7">
        <v>15</v>
      </c>
      <c r="I51" s="7" t="str">
        <f t="shared" si="1"/>
        <v>3_15</v>
      </c>
      <c r="J51" s="7">
        <v>11000</v>
      </c>
      <c r="K51" s="7">
        <v>95160</v>
      </c>
    </row>
    <row r="52" spans="7:11" x14ac:dyDescent="0.15">
      <c r="G52" s="7">
        <v>3</v>
      </c>
      <c r="H52" s="7">
        <v>16</v>
      </c>
      <c r="I52" s="7" t="str">
        <f t="shared" si="1"/>
        <v>3_16</v>
      </c>
      <c r="J52" s="7">
        <v>11500</v>
      </c>
      <c r="K52" s="7">
        <v>36390</v>
      </c>
    </row>
    <row r="53" spans="7:11" x14ac:dyDescent="0.15">
      <c r="G53" s="7">
        <v>3</v>
      </c>
      <c r="H53" s="7">
        <v>17</v>
      </c>
      <c r="I53" s="7" t="str">
        <f t="shared" si="1"/>
        <v>3_17</v>
      </c>
      <c r="J53" s="7">
        <v>12500</v>
      </c>
      <c r="K53" s="7">
        <v>54570</v>
      </c>
    </row>
    <row r="54" spans="7:11" x14ac:dyDescent="0.15">
      <c r="G54" s="7">
        <v>3</v>
      </c>
      <c r="H54" s="7">
        <v>18</v>
      </c>
      <c r="I54" s="7" t="str">
        <f t="shared" si="1"/>
        <v>3_18</v>
      </c>
      <c r="J54" s="7">
        <v>13500</v>
      </c>
      <c r="K54" s="7">
        <v>72750</v>
      </c>
    </row>
    <row r="55" spans="7:11" x14ac:dyDescent="0.15">
      <c r="G55" s="7">
        <v>3</v>
      </c>
      <c r="H55" s="7">
        <v>19</v>
      </c>
      <c r="I55" s="7" t="str">
        <f t="shared" si="1"/>
        <v>3_19</v>
      </c>
      <c r="J55" s="7">
        <v>16800</v>
      </c>
      <c r="K55" s="7">
        <v>90960</v>
      </c>
    </row>
    <row r="56" spans="7:11" x14ac:dyDescent="0.15">
      <c r="G56" s="7">
        <v>3</v>
      </c>
      <c r="H56" s="7">
        <v>20</v>
      </c>
      <c r="I56" s="7" t="str">
        <f t="shared" si="1"/>
        <v>3_20</v>
      </c>
      <c r="J56" s="7">
        <v>20200</v>
      </c>
      <c r="K56" s="7">
        <v>109140</v>
      </c>
    </row>
    <row r="57" spans="7:11" x14ac:dyDescent="0.15">
      <c r="G57" s="7">
        <v>3</v>
      </c>
      <c r="H57" s="7">
        <v>21</v>
      </c>
      <c r="I57" s="7" t="str">
        <f t="shared" si="1"/>
        <v>3_21</v>
      </c>
      <c r="J57" s="7">
        <v>21900</v>
      </c>
      <c r="K57" s="7">
        <v>118490</v>
      </c>
    </row>
    <row r="58" spans="7:11" x14ac:dyDescent="0.15">
      <c r="G58" s="7">
        <v>3</v>
      </c>
      <c r="H58" s="7">
        <v>22</v>
      </c>
      <c r="I58" s="7" t="str">
        <f t="shared" si="1"/>
        <v>3_22</v>
      </c>
      <c r="J58" s="7">
        <v>23700</v>
      </c>
      <c r="K58" s="7">
        <v>127840</v>
      </c>
    </row>
    <row r="59" spans="7:11" x14ac:dyDescent="0.15">
      <c r="G59" s="7">
        <v>3</v>
      </c>
      <c r="H59" s="7">
        <v>23</v>
      </c>
      <c r="I59" s="7" t="str">
        <f t="shared" si="1"/>
        <v>3_23</v>
      </c>
      <c r="J59" s="7">
        <v>25400</v>
      </c>
      <c r="K59" s="7">
        <v>137190</v>
      </c>
    </row>
    <row r="60" spans="7:11" x14ac:dyDescent="0.15">
      <c r="G60" s="7">
        <v>3</v>
      </c>
      <c r="H60" s="7">
        <v>24</v>
      </c>
      <c r="I60" s="7" t="str">
        <f t="shared" si="1"/>
        <v>3_24</v>
      </c>
      <c r="J60" s="7">
        <v>27100</v>
      </c>
      <c r="K60" s="7">
        <v>146540</v>
      </c>
    </row>
    <row r="61" spans="7:11" x14ac:dyDescent="0.15">
      <c r="G61" s="7">
        <v>3</v>
      </c>
      <c r="H61" s="7">
        <v>25</v>
      </c>
      <c r="I61" s="7" t="str">
        <f t="shared" si="1"/>
        <v>3_25</v>
      </c>
      <c r="J61" s="7">
        <v>28800</v>
      </c>
      <c r="K61" s="7">
        <v>155890</v>
      </c>
    </row>
  </sheetData>
  <phoneticPr fontId="3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AB595"/>
  <sheetViews>
    <sheetView topLeftCell="D267" workbookViewId="0">
      <selection activeCell="N285" sqref="N285"/>
    </sheetView>
  </sheetViews>
  <sheetFormatPr defaultColWidth="9" defaultRowHeight="14.25" x14ac:dyDescent="0.3"/>
  <cols>
    <col min="1" max="1" width="12.125" style="1" customWidth="1"/>
    <col min="2" max="2" width="12.375" style="1" customWidth="1"/>
    <col min="3" max="3" width="11.375" style="1" customWidth="1"/>
    <col min="4" max="4" width="14.375" style="1" customWidth="1"/>
    <col min="5" max="5" width="13.875" style="1" customWidth="1"/>
    <col min="6" max="6" width="11.875" style="1" customWidth="1"/>
    <col min="7" max="7" width="11.75" style="1" customWidth="1"/>
    <col min="8" max="8" width="14.25" style="1" customWidth="1"/>
    <col min="9" max="9" width="12" style="1" customWidth="1"/>
    <col min="10" max="10" width="12.5" style="1" customWidth="1"/>
    <col min="11" max="11" width="9" style="1"/>
    <col min="12" max="12" width="16" style="1" customWidth="1"/>
    <col min="13" max="13" width="10.875" style="1" customWidth="1"/>
    <col min="14" max="14" width="13.25" style="1" customWidth="1"/>
    <col min="15" max="15" width="15.875" style="1" customWidth="1"/>
    <col min="16" max="16" width="15" style="1" customWidth="1"/>
    <col min="17" max="17" width="12.125" style="1" customWidth="1"/>
    <col min="18" max="18" width="9" style="1"/>
    <col min="19" max="19" width="16.5" style="1" customWidth="1"/>
    <col min="20" max="21" width="9" style="1"/>
    <col min="22" max="22" width="11.25" style="1" customWidth="1"/>
    <col min="23" max="23" width="13" style="1" customWidth="1"/>
    <col min="24" max="16384" width="9" style="1"/>
  </cols>
  <sheetData>
    <row r="3" spans="1:6" x14ac:dyDescent="0.3">
      <c r="A3" s="2" t="s">
        <v>1418</v>
      </c>
      <c r="B3" s="2" t="s">
        <v>1419</v>
      </c>
    </row>
    <row r="4" spans="1:6" x14ac:dyDescent="0.3">
      <c r="A4" s="2" t="s">
        <v>1420</v>
      </c>
      <c r="B4" s="2">
        <v>30</v>
      </c>
      <c r="C4" s="132">
        <v>0.3</v>
      </c>
    </row>
    <row r="5" spans="1:6" x14ac:dyDescent="0.3">
      <c r="A5" s="2" t="s">
        <v>1421</v>
      </c>
      <c r="B5" s="2">
        <v>15</v>
      </c>
    </row>
    <row r="6" spans="1:6" x14ac:dyDescent="0.3">
      <c r="A6" s="2" t="s">
        <v>1413</v>
      </c>
      <c r="B6" s="2" t="s">
        <v>191</v>
      </c>
    </row>
    <row r="8" spans="1:6" x14ac:dyDescent="0.3">
      <c r="A8" s="1" t="s">
        <v>1422</v>
      </c>
      <c r="B8" s="1" t="s">
        <v>1418</v>
      </c>
      <c r="C8" s="1" t="s">
        <v>1423</v>
      </c>
    </row>
    <row r="9" spans="1:6" x14ac:dyDescent="0.3">
      <c r="A9" s="1" t="s">
        <v>1424</v>
      </c>
      <c r="C9" s="1" t="s">
        <v>1425</v>
      </c>
      <c r="F9" s="1" t="s">
        <v>1426</v>
      </c>
    </row>
    <row r="10" spans="1:6" x14ac:dyDescent="0.3">
      <c r="A10" s="1" t="s">
        <v>1427</v>
      </c>
      <c r="C10" s="1" t="s">
        <v>1428</v>
      </c>
      <c r="F10" s="1" t="s">
        <v>1429</v>
      </c>
    </row>
    <row r="11" spans="1:6" x14ac:dyDescent="0.3">
      <c r="A11" s="1" t="s">
        <v>1430</v>
      </c>
      <c r="C11" s="1" t="s">
        <v>1431</v>
      </c>
      <c r="F11" s="1" t="s">
        <v>1432</v>
      </c>
    </row>
    <row r="12" spans="1:6" x14ac:dyDescent="0.3">
      <c r="A12" s="1" t="s">
        <v>1433</v>
      </c>
      <c r="C12" s="1" t="s">
        <v>1434</v>
      </c>
      <c r="F12" s="1" t="s">
        <v>1435</v>
      </c>
    </row>
    <row r="13" spans="1:6" x14ac:dyDescent="0.3">
      <c r="A13" s="1" t="s">
        <v>1436</v>
      </c>
      <c r="C13" s="1" t="s">
        <v>1437</v>
      </c>
      <c r="F13" s="1" t="s">
        <v>1438</v>
      </c>
    </row>
    <row r="14" spans="1:6" x14ac:dyDescent="0.3">
      <c r="A14" s="1" t="s">
        <v>1439</v>
      </c>
      <c r="C14" s="1" t="s">
        <v>1440</v>
      </c>
      <c r="F14" s="1" t="s">
        <v>1441</v>
      </c>
    </row>
    <row r="15" spans="1:6" x14ac:dyDescent="0.3">
      <c r="A15" s="1" t="s">
        <v>1442</v>
      </c>
      <c r="C15" s="1" t="s">
        <v>1443</v>
      </c>
      <c r="F15" s="1" t="s">
        <v>1444</v>
      </c>
    </row>
    <row r="16" spans="1:6" x14ac:dyDescent="0.3">
      <c r="A16" s="1" t="s">
        <v>1445</v>
      </c>
      <c r="C16" s="1" t="s">
        <v>1446</v>
      </c>
      <c r="F16" s="1" t="s">
        <v>1447</v>
      </c>
    </row>
    <row r="17" spans="1:15" x14ac:dyDescent="0.3">
      <c r="A17" s="1" t="s">
        <v>1448</v>
      </c>
      <c r="C17" s="1" t="s">
        <v>1449</v>
      </c>
      <c r="F17" s="1" t="s">
        <v>1450</v>
      </c>
    </row>
    <row r="19" spans="1:15" x14ac:dyDescent="0.3">
      <c r="O19" s="1" t="s">
        <v>1451</v>
      </c>
    </row>
    <row r="20" spans="1:15" x14ac:dyDescent="0.3">
      <c r="A20" s="1" t="s">
        <v>1452</v>
      </c>
      <c r="B20" s="1" t="s">
        <v>1453</v>
      </c>
      <c r="C20" s="1" t="s">
        <v>1454</v>
      </c>
      <c r="D20" s="1" t="s">
        <v>1455</v>
      </c>
      <c r="E20" s="1" t="s">
        <v>1456</v>
      </c>
      <c r="F20" s="1" t="s">
        <v>1457</v>
      </c>
      <c r="G20" s="1" t="s">
        <v>1458</v>
      </c>
      <c r="H20" s="1" t="s">
        <v>1459</v>
      </c>
      <c r="I20" s="1" t="s">
        <v>1460</v>
      </c>
      <c r="J20" s="132">
        <v>0.1</v>
      </c>
      <c r="K20" s="135">
        <f>J20+10%</f>
        <v>0.2</v>
      </c>
    </row>
    <row r="21" spans="1:15" x14ac:dyDescent="0.3">
      <c r="J21" s="132">
        <v>0.15</v>
      </c>
      <c r="K21" s="135">
        <f>J21+10%</f>
        <v>0.25</v>
      </c>
    </row>
    <row r="22" spans="1:15" x14ac:dyDescent="0.3">
      <c r="J22" s="132">
        <v>0.2</v>
      </c>
      <c r="K22" s="135">
        <f>J22+10%</f>
        <v>0.30000000000000004</v>
      </c>
      <c r="L22" s="1">
        <f>2/0.3</f>
        <v>6.666666666666667</v>
      </c>
      <c r="M22" s="1">
        <f>(L22+2)*5</f>
        <v>43.333333333333343</v>
      </c>
    </row>
    <row r="25" spans="1:15" x14ac:dyDescent="0.3">
      <c r="A25" s="1" t="s">
        <v>1461</v>
      </c>
      <c r="F25" s="1" t="s">
        <v>1462</v>
      </c>
    </row>
    <row r="26" spans="1:15" x14ac:dyDescent="0.3">
      <c r="A26" s="1" t="s">
        <v>1463</v>
      </c>
      <c r="F26" s="1" t="s">
        <v>1464</v>
      </c>
    </row>
    <row r="27" spans="1:15" x14ac:dyDescent="0.3">
      <c r="A27" s="1" t="s">
        <v>1465</v>
      </c>
      <c r="F27" s="1" t="s">
        <v>1466</v>
      </c>
    </row>
    <row r="28" spans="1:15" x14ac:dyDescent="0.3">
      <c r="A28" s="1" t="s">
        <v>1467</v>
      </c>
      <c r="F28" s="1" t="s">
        <v>1468</v>
      </c>
    </row>
    <row r="32" spans="1:15" x14ac:dyDescent="0.3">
      <c r="I32" s="1" t="s">
        <v>1469</v>
      </c>
      <c r="J32" s="1" t="s">
        <v>1470</v>
      </c>
      <c r="K32" s="1" t="s">
        <v>1471</v>
      </c>
      <c r="L32" s="1" t="s">
        <v>1202</v>
      </c>
      <c r="M32" s="1" t="s">
        <v>1472</v>
      </c>
      <c r="N32" s="1" t="s">
        <v>1473</v>
      </c>
      <c r="O32" s="1" t="s">
        <v>1474</v>
      </c>
    </row>
    <row r="33" spans="1:18" x14ac:dyDescent="0.3">
      <c r="A33" s="1" t="s">
        <v>1475</v>
      </c>
      <c r="D33" s="1" t="s">
        <v>1476</v>
      </c>
      <c r="G33" s="132">
        <v>0.05</v>
      </c>
      <c r="I33" s="132">
        <v>1</v>
      </c>
      <c r="J33" s="1" t="s">
        <v>1477</v>
      </c>
      <c r="M33" s="132">
        <v>0.05</v>
      </c>
      <c r="N33" s="1">
        <v>1</v>
      </c>
      <c r="O33" s="1">
        <v>0</v>
      </c>
    </row>
    <row r="34" spans="1:18" x14ac:dyDescent="0.3">
      <c r="A34" s="1" t="s">
        <v>1478</v>
      </c>
      <c r="D34" s="1" t="s">
        <v>1479</v>
      </c>
      <c r="G34" s="1" t="s">
        <v>1480</v>
      </c>
      <c r="I34" s="132">
        <v>0.3</v>
      </c>
      <c r="J34" s="1" t="s">
        <v>1481</v>
      </c>
      <c r="M34" s="132">
        <v>0.15</v>
      </c>
      <c r="N34" s="1">
        <v>8</v>
      </c>
      <c r="O34" s="1">
        <v>0</v>
      </c>
      <c r="P34" s="1" t="s">
        <v>1482</v>
      </c>
    </row>
    <row r="35" spans="1:18" x14ac:dyDescent="0.3">
      <c r="A35" s="1" t="s">
        <v>1483</v>
      </c>
      <c r="D35" s="1" t="s">
        <v>1484</v>
      </c>
      <c r="I35" s="132">
        <v>1</v>
      </c>
      <c r="J35" s="1" t="s">
        <v>1485</v>
      </c>
      <c r="M35" s="132">
        <v>0.2</v>
      </c>
      <c r="N35" s="1">
        <v>10</v>
      </c>
      <c r="O35" s="1">
        <v>60</v>
      </c>
      <c r="P35" s="1" t="s">
        <v>1486</v>
      </c>
    </row>
    <row r="36" spans="1:18" x14ac:dyDescent="0.3">
      <c r="A36" s="1" t="s">
        <v>1487</v>
      </c>
      <c r="D36" s="1" t="s">
        <v>1488</v>
      </c>
      <c r="I36" s="132">
        <v>1</v>
      </c>
      <c r="J36" s="1" t="s">
        <v>1489</v>
      </c>
      <c r="K36" s="1" t="s">
        <v>1490</v>
      </c>
      <c r="L36" s="132" t="s">
        <v>1491</v>
      </c>
    </row>
    <row r="37" spans="1:18" x14ac:dyDescent="0.3">
      <c r="A37" s="1" t="s">
        <v>1492</v>
      </c>
      <c r="D37" s="1" t="s">
        <v>1493</v>
      </c>
    </row>
    <row r="38" spans="1:18" x14ac:dyDescent="0.3">
      <c r="A38" s="1" t="s">
        <v>1494</v>
      </c>
      <c r="D38" s="1" t="s">
        <v>1495</v>
      </c>
    </row>
    <row r="39" spans="1:18" x14ac:dyDescent="0.3">
      <c r="A39" s="1" t="s">
        <v>1496</v>
      </c>
      <c r="D39" s="1" t="s">
        <v>1497</v>
      </c>
      <c r="R39" s="1" t="s">
        <v>1498</v>
      </c>
    </row>
    <row r="40" spans="1:18" x14ac:dyDescent="0.3">
      <c r="A40" s="1" t="s">
        <v>1499</v>
      </c>
      <c r="D40" s="1" t="s">
        <v>1500</v>
      </c>
      <c r="Q40" s="1" t="s">
        <v>1501</v>
      </c>
    </row>
    <row r="41" spans="1:18" x14ac:dyDescent="0.3">
      <c r="A41" s="1" t="s">
        <v>1502</v>
      </c>
      <c r="D41" s="1" t="s">
        <v>1503</v>
      </c>
      <c r="Q41" s="1" t="s">
        <v>1504</v>
      </c>
    </row>
    <row r="42" spans="1:18" x14ac:dyDescent="0.3">
      <c r="A42" s="1" t="s">
        <v>1505</v>
      </c>
      <c r="D42" s="1" t="s">
        <v>1506</v>
      </c>
      <c r="Q42" s="1" t="s">
        <v>1507</v>
      </c>
    </row>
    <row r="43" spans="1:18" x14ac:dyDescent="0.3">
      <c r="A43" s="1" t="s">
        <v>1508</v>
      </c>
      <c r="D43" s="1" t="s">
        <v>1509</v>
      </c>
      <c r="Q43" s="1" t="s">
        <v>1510</v>
      </c>
    </row>
    <row r="44" spans="1:18" x14ac:dyDescent="0.3">
      <c r="A44" s="1" t="s">
        <v>1511</v>
      </c>
      <c r="D44" s="1" t="s">
        <v>1512</v>
      </c>
      <c r="Q44" s="1" t="s">
        <v>1513</v>
      </c>
    </row>
    <row r="45" spans="1:18" x14ac:dyDescent="0.3">
      <c r="A45" s="1" t="s">
        <v>1514</v>
      </c>
      <c r="D45" s="1" t="s">
        <v>1515</v>
      </c>
    </row>
    <row r="46" spans="1:18" x14ac:dyDescent="0.3">
      <c r="A46" s="1" t="s">
        <v>1516</v>
      </c>
      <c r="D46" s="1" t="s">
        <v>1517</v>
      </c>
    </row>
    <row r="47" spans="1:18" x14ac:dyDescent="0.3">
      <c r="A47" s="1" t="s">
        <v>1518</v>
      </c>
      <c r="D47" s="1" t="s">
        <v>1519</v>
      </c>
      <c r="Q47" s="1" t="s">
        <v>1520</v>
      </c>
    </row>
    <row r="48" spans="1:18" x14ac:dyDescent="0.3">
      <c r="A48" s="1" t="s">
        <v>1521</v>
      </c>
      <c r="D48" s="1" t="s">
        <v>1522</v>
      </c>
      <c r="Q48" s="1" t="s">
        <v>1523</v>
      </c>
    </row>
    <row r="49" spans="1:28" x14ac:dyDescent="0.3">
      <c r="A49" s="1" t="s">
        <v>1524</v>
      </c>
      <c r="D49" s="1" t="s">
        <v>1525</v>
      </c>
      <c r="Q49" s="1" t="s">
        <v>191</v>
      </c>
      <c r="AB49" s="1" t="s">
        <v>1526</v>
      </c>
    </row>
    <row r="50" spans="1:28" x14ac:dyDescent="0.3">
      <c r="A50" s="1" t="s">
        <v>1527</v>
      </c>
      <c r="D50" s="1" t="s">
        <v>1528</v>
      </c>
      <c r="AB50" s="1" t="s">
        <v>1529</v>
      </c>
    </row>
    <row r="51" spans="1:28" x14ac:dyDescent="0.3">
      <c r="AB51" s="1" t="s">
        <v>1530</v>
      </c>
    </row>
    <row r="52" spans="1:28" x14ac:dyDescent="0.3">
      <c r="AB52" s="1" t="s">
        <v>1531</v>
      </c>
    </row>
    <row r="53" spans="1:28" x14ac:dyDescent="0.3">
      <c r="AB53" s="1" t="s">
        <v>1532</v>
      </c>
    </row>
    <row r="54" spans="1:28" x14ac:dyDescent="0.3">
      <c r="AB54" s="1" t="s">
        <v>1533</v>
      </c>
    </row>
    <row r="55" spans="1:28" x14ac:dyDescent="0.3">
      <c r="R55" s="1" t="s">
        <v>1534</v>
      </c>
      <c r="S55" s="1" t="s">
        <v>1535</v>
      </c>
      <c r="T55" s="1" t="s">
        <v>1536</v>
      </c>
      <c r="U55" s="1" t="s">
        <v>1537</v>
      </c>
      <c r="V55" s="1" t="s">
        <v>1538</v>
      </c>
      <c r="W55" s="1" t="s">
        <v>1539</v>
      </c>
    </row>
    <row r="56" spans="1:28" x14ac:dyDescent="0.3">
      <c r="A56" s="125">
        <v>38</v>
      </c>
      <c r="B56" s="1" t="s">
        <v>1475</v>
      </c>
      <c r="C56" s="36" t="s">
        <v>1540</v>
      </c>
      <c r="I56" s="1" t="s">
        <v>1541</v>
      </c>
      <c r="J56" s="1">
        <f>COUNTIF(I56:I70,I56)</f>
        <v>5</v>
      </c>
      <c r="M56" s="1">
        <v>52</v>
      </c>
      <c r="N56" s="1" t="s">
        <v>1424</v>
      </c>
      <c r="O56" s="36" t="s">
        <v>1426</v>
      </c>
    </row>
    <row r="57" spans="1:28" x14ac:dyDescent="0.3">
      <c r="A57" s="125">
        <v>39</v>
      </c>
      <c r="B57" s="1" t="s">
        <v>1478</v>
      </c>
      <c r="C57" s="36" t="s">
        <v>1542</v>
      </c>
      <c r="I57" s="1" t="s">
        <v>1543</v>
      </c>
      <c r="J57" s="1">
        <f>COUNTIF(I57:I71,I57)</f>
        <v>5</v>
      </c>
      <c r="M57" s="1">
        <v>2</v>
      </c>
      <c r="N57" s="1" t="s">
        <v>1427</v>
      </c>
      <c r="O57" s="36" t="s">
        <v>1544</v>
      </c>
    </row>
    <row r="58" spans="1:28" x14ac:dyDescent="0.3">
      <c r="A58" s="125">
        <v>40</v>
      </c>
      <c r="B58" s="1" t="s">
        <v>1483</v>
      </c>
      <c r="C58" s="36" t="s">
        <v>1545</v>
      </c>
      <c r="I58" s="1" t="s">
        <v>184</v>
      </c>
      <c r="J58" s="1">
        <f>COUNTIF(I58:I72,I58)</f>
        <v>4</v>
      </c>
      <c r="M58" s="1">
        <v>10</v>
      </c>
      <c r="N58" s="1" t="s">
        <v>1436</v>
      </c>
      <c r="O58" s="36" t="s">
        <v>1438</v>
      </c>
    </row>
    <row r="59" spans="1:28" x14ac:dyDescent="0.3">
      <c r="A59" s="125">
        <v>41</v>
      </c>
      <c r="B59" s="1" t="s">
        <v>1487</v>
      </c>
      <c r="C59" s="36" t="s">
        <v>1546</v>
      </c>
      <c r="I59" s="1" t="s">
        <v>1543</v>
      </c>
    </row>
    <row r="60" spans="1:28" x14ac:dyDescent="0.3">
      <c r="A60" s="125">
        <v>42</v>
      </c>
      <c r="B60" s="1" t="s">
        <v>1492</v>
      </c>
      <c r="C60" s="36" t="s">
        <v>1547</v>
      </c>
      <c r="I60" s="1" t="s">
        <v>1541</v>
      </c>
      <c r="M60" s="1">
        <v>6</v>
      </c>
      <c r="N60" s="1" t="s">
        <v>1430</v>
      </c>
      <c r="O60" s="36" t="s">
        <v>1432</v>
      </c>
      <c r="R60" s="132">
        <v>0.2</v>
      </c>
      <c r="S60" s="1">
        <v>5</v>
      </c>
      <c r="T60" s="1">
        <f>R60/S60</f>
        <v>0.04</v>
      </c>
      <c r="U60" s="1">
        <v>0.04</v>
      </c>
      <c r="V60" s="1">
        <f>T60-U60</f>
        <v>0</v>
      </c>
      <c r="W60" s="1">
        <f>ROUND(V60*AVERAGE(标准坦克设计!O28:Q28)/标准坦克设计!K18*45*标准坦克设计!U28,2)</f>
        <v>0</v>
      </c>
    </row>
    <row r="61" spans="1:28" x14ac:dyDescent="0.3">
      <c r="A61" s="125">
        <v>43</v>
      </c>
      <c r="B61" s="1" t="s">
        <v>1494</v>
      </c>
      <c r="C61" s="36" t="s">
        <v>1548</v>
      </c>
      <c r="I61" s="1" t="s">
        <v>1543</v>
      </c>
      <c r="M61" s="1">
        <v>7</v>
      </c>
      <c r="N61" s="1" t="s">
        <v>1433</v>
      </c>
      <c r="O61" s="36" t="s">
        <v>1435</v>
      </c>
      <c r="R61" s="132">
        <v>0.2</v>
      </c>
      <c r="S61" s="1">
        <v>5</v>
      </c>
      <c r="T61" s="1">
        <f>R61/S61</f>
        <v>0.04</v>
      </c>
      <c r="U61" s="1">
        <v>0.02</v>
      </c>
      <c r="V61" s="1">
        <f>T61-U61</f>
        <v>0.02</v>
      </c>
      <c r="W61" s="1">
        <f>ROUND(V61*AVERAGE(标准坦克设计!O26:Q26)/标准坦克设计!K16*45*标准坦克设计!U26,2)</f>
        <v>0.97</v>
      </c>
    </row>
    <row r="62" spans="1:28" x14ac:dyDescent="0.3">
      <c r="A62" s="125">
        <v>44</v>
      </c>
      <c r="B62" s="1" t="s">
        <v>1496</v>
      </c>
      <c r="C62" s="36" t="s">
        <v>1549</v>
      </c>
      <c r="I62" s="1" t="s">
        <v>1541</v>
      </c>
      <c r="M62" s="1">
        <v>51</v>
      </c>
      <c r="N62" s="1" t="s">
        <v>1439</v>
      </c>
      <c r="O62" s="36" t="s">
        <v>1441</v>
      </c>
    </row>
    <row r="63" spans="1:28" x14ac:dyDescent="0.3">
      <c r="A63" s="125">
        <v>45</v>
      </c>
      <c r="B63" s="1" t="s">
        <v>1499</v>
      </c>
      <c r="C63" s="36" t="s">
        <v>1550</v>
      </c>
      <c r="M63" s="1">
        <v>53</v>
      </c>
      <c r="N63" s="1" t="s">
        <v>1445</v>
      </c>
      <c r="O63" s="36" t="s">
        <v>1447</v>
      </c>
      <c r="R63" s="132">
        <v>0.25</v>
      </c>
      <c r="S63" s="1">
        <v>2</v>
      </c>
      <c r="U63" s="1">
        <f>R63/S63</f>
        <v>0.125</v>
      </c>
      <c r="X63" s="1" t="s">
        <v>1551</v>
      </c>
    </row>
    <row r="64" spans="1:28" x14ac:dyDescent="0.3">
      <c r="A64" s="125">
        <v>46</v>
      </c>
      <c r="B64" s="1" t="s">
        <v>1502</v>
      </c>
      <c r="C64" s="36" t="s">
        <v>1552</v>
      </c>
      <c r="I64" s="1" t="s">
        <v>1541</v>
      </c>
      <c r="J64" s="1" t="s">
        <v>184</v>
      </c>
      <c r="M64" s="1">
        <v>54</v>
      </c>
      <c r="N64" s="1" t="s">
        <v>1448</v>
      </c>
      <c r="O64" s="36" t="s">
        <v>1553</v>
      </c>
      <c r="R64" s="132">
        <v>0.4</v>
      </c>
      <c r="S64" s="1">
        <v>6</v>
      </c>
      <c r="U64" s="1">
        <f>R64/S64</f>
        <v>6.6666666666666666E-2</v>
      </c>
    </row>
    <row r="65" spans="1:21" x14ac:dyDescent="0.3">
      <c r="A65" s="125">
        <v>47</v>
      </c>
      <c r="B65" s="1" t="s">
        <v>1505</v>
      </c>
      <c r="C65" s="36" t="s">
        <v>1554</v>
      </c>
      <c r="I65" s="1" t="s">
        <v>184</v>
      </c>
      <c r="M65" s="1">
        <v>55</v>
      </c>
      <c r="N65" s="1" t="s">
        <v>1452</v>
      </c>
      <c r="O65" s="36" t="s">
        <v>1555</v>
      </c>
      <c r="R65" s="132">
        <v>0.15</v>
      </c>
      <c r="S65" s="1">
        <v>3</v>
      </c>
      <c r="U65" s="1">
        <f>R65/S65</f>
        <v>4.9999999999999996E-2</v>
      </c>
    </row>
    <row r="66" spans="1:21" x14ac:dyDescent="0.3">
      <c r="A66" s="125">
        <v>48</v>
      </c>
      <c r="B66" s="1" t="s">
        <v>1508</v>
      </c>
      <c r="C66" s="36" t="s">
        <v>1556</v>
      </c>
      <c r="I66" s="1" t="s">
        <v>1541</v>
      </c>
    </row>
    <row r="67" spans="1:21" x14ac:dyDescent="0.3">
      <c r="A67" s="125">
        <v>49</v>
      </c>
      <c r="B67" s="1" t="s">
        <v>1511</v>
      </c>
      <c r="C67" s="36" t="s">
        <v>1557</v>
      </c>
      <c r="I67" s="1" t="s">
        <v>1543</v>
      </c>
    </row>
    <row r="68" spans="1:21" x14ac:dyDescent="0.3">
      <c r="A68" s="1">
        <v>3</v>
      </c>
      <c r="B68" s="1" t="s">
        <v>1514</v>
      </c>
      <c r="C68" s="36" t="s">
        <v>1515</v>
      </c>
      <c r="I68" s="1" t="s">
        <v>184</v>
      </c>
    </row>
    <row r="69" spans="1:21" x14ac:dyDescent="0.3">
      <c r="A69" s="125">
        <v>21</v>
      </c>
      <c r="B69" s="1" t="s">
        <v>1516</v>
      </c>
      <c r="C69" s="36" t="s">
        <v>1558</v>
      </c>
      <c r="I69" s="1" t="s">
        <v>184</v>
      </c>
      <c r="N69" s="1" t="s">
        <v>1463</v>
      </c>
      <c r="O69" s="36" t="s">
        <v>1464</v>
      </c>
    </row>
    <row r="70" spans="1:21" x14ac:dyDescent="0.3">
      <c r="A70" s="125">
        <v>36</v>
      </c>
      <c r="B70" s="1" t="s">
        <v>1521</v>
      </c>
      <c r="C70" s="36" t="s">
        <v>1522</v>
      </c>
      <c r="I70" s="1" t="s">
        <v>1543</v>
      </c>
      <c r="N70" s="1" t="s">
        <v>1465</v>
      </c>
      <c r="O70" s="36" t="s">
        <v>1466</v>
      </c>
    </row>
    <row r="74" spans="1:21" x14ac:dyDescent="0.3">
      <c r="A74" s="1" t="s">
        <v>1475</v>
      </c>
      <c r="B74" s="1">
        <v>38</v>
      </c>
      <c r="D74" s="2" t="s">
        <v>1113</v>
      </c>
      <c r="E74" s="2" t="s">
        <v>1559</v>
      </c>
      <c r="F74" s="2" t="s">
        <v>1560</v>
      </c>
      <c r="G74" s="2" t="s">
        <v>1561</v>
      </c>
      <c r="H74" s="2" t="s">
        <v>1562</v>
      </c>
      <c r="I74" s="2" t="s">
        <v>1563</v>
      </c>
      <c r="J74" s="2" t="s">
        <v>1564</v>
      </c>
      <c r="K74" s="2" t="s">
        <v>1565</v>
      </c>
      <c r="L74" s="2" t="s">
        <v>1566</v>
      </c>
      <c r="M74" s="2" t="s">
        <v>1567</v>
      </c>
      <c r="N74" s="2" t="s">
        <v>1568</v>
      </c>
      <c r="O74" s="2"/>
    </row>
    <row r="75" spans="1:21" x14ac:dyDescent="0.3">
      <c r="A75" s="1" t="s">
        <v>1478</v>
      </c>
      <c r="B75" s="1">
        <v>39</v>
      </c>
      <c r="D75" s="2" t="s">
        <v>79</v>
      </c>
      <c r="E75" s="2" t="s">
        <v>1424</v>
      </c>
      <c r="F75" s="2" t="s">
        <v>1445</v>
      </c>
      <c r="G75" s="2" t="s">
        <v>1502</v>
      </c>
      <c r="H75" s="2" t="s">
        <v>1492</v>
      </c>
      <c r="I75" s="2" t="s">
        <v>1508</v>
      </c>
      <c r="J75" s="2">
        <f t="shared" ref="J75:N81" si="0">VLOOKUP(E75,$A$74:$B$97,2,FALSE)</f>
        <v>52</v>
      </c>
      <c r="K75" s="2">
        <f t="shared" si="0"/>
        <v>53</v>
      </c>
      <c r="L75" s="2">
        <f t="shared" si="0"/>
        <v>46</v>
      </c>
      <c r="M75" s="2">
        <f t="shared" si="0"/>
        <v>42</v>
      </c>
      <c r="N75" s="2">
        <f t="shared" si="0"/>
        <v>48</v>
      </c>
      <c r="O75" s="2" t="str">
        <f t="shared" ref="O75:O81" si="1">"["&amp;J75&amp;","&amp;K75&amp;","&amp;L75&amp;","&amp;M75&amp;","&amp;N75&amp;"]"</f>
        <v>[52,53,46,42,48]</v>
      </c>
    </row>
    <row r="76" spans="1:21" x14ac:dyDescent="0.3">
      <c r="A76" s="1" t="s">
        <v>1483</v>
      </c>
      <c r="B76" s="1">
        <v>40</v>
      </c>
      <c r="D76" s="2" t="s">
        <v>81</v>
      </c>
      <c r="E76" s="2" t="s">
        <v>1424</v>
      </c>
      <c r="F76" s="2" t="s">
        <v>1445</v>
      </c>
      <c r="G76" s="2" t="s">
        <v>1475</v>
      </c>
      <c r="H76" s="2" t="s">
        <v>1502</v>
      </c>
      <c r="I76" s="2" t="s">
        <v>1508</v>
      </c>
      <c r="J76" s="2">
        <f t="shared" si="0"/>
        <v>52</v>
      </c>
      <c r="K76" s="2">
        <f t="shared" si="0"/>
        <v>53</v>
      </c>
      <c r="L76" s="2">
        <f t="shared" si="0"/>
        <v>38</v>
      </c>
      <c r="M76" s="2">
        <f t="shared" si="0"/>
        <v>46</v>
      </c>
      <c r="N76" s="2">
        <f t="shared" si="0"/>
        <v>48</v>
      </c>
      <c r="O76" s="2" t="str">
        <f t="shared" si="1"/>
        <v>[52,53,38,46,48]</v>
      </c>
    </row>
    <row r="77" spans="1:21" x14ac:dyDescent="0.3">
      <c r="A77" s="1" t="s">
        <v>1487</v>
      </c>
      <c r="B77" s="1">
        <v>41</v>
      </c>
      <c r="D77" s="2" t="s">
        <v>83</v>
      </c>
      <c r="E77" s="2" t="s">
        <v>1424</v>
      </c>
      <c r="F77" s="2" t="s">
        <v>1433</v>
      </c>
      <c r="G77" s="2" t="s">
        <v>1475</v>
      </c>
      <c r="H77" s="2" t="s">
        <v>1492</v>
      </c>
      <c r="I77" s="2" t="s">
        <v>1496</v>
      </c>
      <c r="J77" s="2">
        <f t="shared" si="0"/>
        <v>52</v>
      </c>
      <c r="K77" s="2">
        <f t="shared" si="0"/>
        <v>7</v>
      </c>
      <c r="L77" s="2">
        <f t="shared" si="0"/>
        <v>38</v>
      </c>
      <c r="M77" s="2">
        <f t="shared" si="0"/>
        <v>42</v>
      </c>
      <c r="N77" s="2">
        <f t="shared" si="0"/>
        <v>44</v>
      </c>
      <c r="O77" s="2" t="str">
        <f t="shared" si="1"/>
        <v>[52,7,38,42,44]</v>
      </c>
    </row>
    <row r="78" spans="1:21" x14ac:dyDescent="0.3">
      <c r="A78" s="1" t="s">
        <v>1492</v>
      </c>
      <c r="B78" s="1">
        <v>42</v>
      </c>
      <c r="D78" s="2" t="s">
        <v>85</v>
      </c>
      <c r="E78" s="2" t="s">
        <v>1436</v>
      </c>
      <c r="F78" s="2" t="s">
        <v>1439</v>
      </c>
      <c r="G78" s="2" t="s">
        <v>1505</v>
      </c>
      <c r="H78" s="2" t="s">
        <v>1516</v>
      </c>
      <c r="I78" s="2" t="s">
        <v>1514</v>
      </c>
      <c r="J78" s="2">
        <f t="shared" si="0"/>
        <v>10</v>
      </c>
      <c r="K78" s="2">
        <f t="shared" si="0"/>
        <v>51</v>
      </c>
      <c r="L78" s="2">
        <f t="shared" si="0"/>
        <v>47</v>
      </c>
      <c r="M78" s="2">
        <f t="shared" si="0"/>
        <v>21</v>
      </c>
      <c r="N78" s="2">
        <f t="shared" si="0"/>
        <v>3</v>
      </c>
      <c r="O78" s="2" t="str">
        <f t="shared" si="1"/>
        <v>[10,51,47,21,3]</v>
      </c>
    </row>
    <row r="79" spans="1:21" x14ac:dyDescent="0.3">
      <c r="A79" s="1" t="s">
        <v>1494</v>
      </c>
      <c r="B79" s="1">
        <v>43</v>
      </c>
      <c r="D79" s="2" t="s">
        <v>875</v>
      </c>
      <c r="E79" s="2" t="s">
        <v>1436</v>
      </c>
      <c r="F79" s="2" t="s">
        <v>1430</v>
      </c>
      <c r="G79" s="2" t="s">
        <v>1483</v>
      </c>
      <c r="H79" s="2" t="s">
        <v>1502</v>
      </c>
      <c r="I79" s="2" t="s">
        <v>1514</v>
      </c>
      <c r="J79" s="2">
        <f t="shared" si="0"/>
        <v>10</v>
      </c>
      <c r="K79" s="2">
        <f t="shared" si="0"/>
        <v>6</v>
      </c>
      <c r="L79" s="2">
        <f t="shared" si="0"/>
        <v>40</v>
      </c>
      <c r="M79" s="2">
        <f t="shared" si="0"/>
        <v>46</v>
      </c>
      <c r="N79" s="2">
        <f t="shared" si="0"/>
        <v>3</v>
      </c>
      <c r="O79" s="2" t="str">
        <f t="shared" si="1"/>
        <v>[10,6,40,46,3]</v>
      </c>
    </row>
    <row r="80" spans="1:21" x14ac:dyDescent="0.3">
      <c r="A80" s="1" t="s">
        <v>1496</v>
      </c>
      <c r="B80" s="1">
        <v>44</v>
      </c>
      <c r="D80" s="2" t="s">
        <v>87</v>
      </c>
      <c r="E80" s="2" t="s">
        <v>1427</v>
      </c>
      <c r="F80" s="2" t="s">
        <v>1452</v>
      </c>
      <c r="G80" s="2" t="s">
        <v>1494</v>
      </c>
      <c r="H80" s="2" t="s">
        <v>1511</v>
      </c>
      <c r="I80" s="2" t="s">
        <v>1521</v>
      </c>
      <c r="J80" s="2">
        <f t="shared" si="0"/>
        <v>2</v>
      </c>
      <c r="K80" s="2">
        <f t="shared" si="0"/>
        <v>55</v>
      </c>
      <c r="L80" s="2">
        <f t="shared" si="0"/>
        <v>43</v>
      </c>
      <c r="M80" s="2">
        <f t="shared" si="0"/>
        <v>49</v>
      </c>
      <c r="N80" s="2">
        <f t="shared" si="0"/>
        <v>36</v>
      </c>
      <c r="O80" s="2" t="str">
        <f t="shared" si="1"/>
        <v>[2,55,43,49,36]</v>
      </c>
    </row>
    <row r="81" spans="1:15" x14ac:dyDescent="0.3">
      <c r="A81" s="1" t="s">
        <v>1499</v>
      </c>
      <c r="B81" s="1">
        <v>45</v>
      </c>
      <c r="D81" s="2" t="s">
        <v>88</v>
      </c>
      <c r="E81" s="2" t="s">
        <v>1427</v>
      </c>
      <c r="F81" s="2" t="s">
        <v>1448</v>
      </c>
      <c r="G81" s="2" t="s">
        <v>1478</v>
      </c>
      <c r="H81" s="2" t="s">
        <v>1487</v>
      </c>
      <c r="I81" s="2" t="s">
        <v>1511</v>
      </c>
      <c r="J81" s="2">
        <f t="shared" si="0"/>
        <v>2</v>
      </c>
      <c r="K81" s="2">
        <f t="shared" si="0"/>
        <v>54</v>
      </c>
      <c r="L81" s="2">
        <f t="shared" si="0"/>
        <v>39</v>
      </c>
      <c r="M81" s="2">
        <f t="shared" si="0"/>
        <v>41</v>
      </c>
      <c r="N81" s="2">
        <f t="shared" si="0"/>
        <v>49</v>
      </c>
      <c r="O81" s="2" t="str">
        <f t="shared" si="1"/>
        <v>[2,54,39,41,49]</v>
      </c>
    </row>
    <row r="82" spans="1:15" x14ac:dyDescent="0.3">
      <c r="A82" s="1" t="s">
        <v>1502</v>
      </c>
      <c r="B82" s="1">
        <v>46</v>
      </c>
    </row>
    <row r="83" spans="1:15" x14ac:dyDescent="0.3">
      <c r="A83" s="1" t="s">
        <v>1505</v>
      </c>
      <c r="B83" s="1">
        <v>47</v>
      </c>
    </row>
    <row r="84" spans="1:15" x14ac:dyDescent="0.3">
      <c r="A84" s="1" t="s">
        <v>1508</v>
      </c>
      <c r="B84" s="1">
        <v>48</v>
      </c>
    </row>
    <row r="85" spans="1:15" x14ac:dyDescent="0.3">
      <c r="A85" s="1" t="s">
        <v>1511</v>
      </c>
      <c r="B85" s="1">
        <v>49</v>
      </c>
    </row>
    <row r="86" spans="1:15" x14ac:dyDescent="0.3">
      <c r="A86" s="1" t="s">
        <v>1514</v>
      </c>
      <c r="B86" s="1">
        <v>3</v>
      </c>
    </row>
    <row r="87" spans="1:15" x14ac:dyDescent="0.3">
      <c r="A87" s="1" t="s">
        <v>1516</v>
      </c>
      <c r="B87" s="1">
        <v>21</v>
      </c>
    </row>
    <row r="88" spans="1:15" x14ac:dyDescent="0.3">
      <c r="A88" s="1" t="s">
        <v>1521</v>
      </c>
      <c r="B88" s="1">
        <v>36</v>
      </c>
    </row>
    <row r="89" spans="1:15" x14ac:dyDescent="0.3">
      <c r="A89" s="1" t="s">
        <v>1424</v>
      </c>
      <c r="B89" s="1">
        <v>52</v>
      </c>
    </row>
    <row r="90" spans="1:15" x14ac:dyDescent="0.3">
      <c r="A90" s="1" t="s">
        <v>1427</v>
      </c>
      <c r="B90" s="1">
        <v>2</v>
      </c>
    </row>
    <row r="91" spans="1:15" x14ac:dyDescent="0.3">
      <c r="A91" s="1" t="s">
        <v>1436</v>
      </c>
      <c r="B91" s="1">
        <v>10</v>
      </c>
    </row>
    <row r="92" spans="1:15" x14ac:dyDescent="0.3">
      <c r="A92" s="1" t="s">
        <v>1430</v>
      </c>
      <c r="B92" s="1">
        <v>6</v>
      </c>
    </row>
    <row r="93" spans="1:15" x14ac:dyDescent="0.3">
      <c r="A93" s="1" t="s">
        <v>1433</v>
      </c>
      <c r="B93" s="1">
        <v>7</v>
      </c>
    </row>
    <row r="94" spans="1:15" x14ac:dyDescent="0.3">
      <c r="A94" s="1" t="s">
        <v>1439</v>
      </c>
      <c r="B94" s="1">
        <v>51</v>
      </c>
    </row>
    <row r="95" spans="1:15" x14ac:dyDescent="0.3">
      <c r="A95" s="1" t="s">
        <v>1445</v>
      </c>
      <c r="B95" s="1">
        <v>53</v>
      </c>
    </row>
    <row r="96" spans="1:15" x14ac:dyDescent="0.3">
      <c r="A96" s="1" t="s">
        <v>1448</v>
      </c>
      <c r="B96" s="1">
        <v>54</v>
      </c>
    </row>
    <row r="97" spans="1:25" x14ac:dyDescent="0.3">
      <c r="A97" s="1" t="s">
        <v>1452</v>
      </c>
      <c r="B97" s="1">
        <v>55</v>
      </c>
    </row>
    <row r="101" spans="1:25" x14ac:dyDescent="0.3">
      <c r="A101" s="2" t="s">
        <v>608</v>
      </c>
      <c r="B101" s="2" t="s">
        <v>790</v>
      </c>
      <c r="C101" s="2" t="s">
        <v>611</v>
      </c>
      <c r="D101" s="2" t="s">
        <v>1113</v>
      </c>
      <c r="E101" s="2" t="s">
        <v>1559</v>
      </c>
      <c r="F101" s="2" t="s">
        <v>1560</v>
      </c>
      <c r="G101" s="2" t="s">
        <v>1561</v>
      </c>
      <c r="H101" s="2" t="s">
        <v>1562</v>
      </c>
      <c r="I101" s="2" t="s">
        <v>1563</v>
      </c>
      <c r="J101" s="2" t="s">
        <v>1564</v>
      </c>
      <c r="K101" s="2" t="s">
        <v>1565</v>
      </c>
      <c r="L101" s="2" t="s">
        <v>1566</v>
      </c>
      <c r="M101" s="2" t="s">
        <v>1567</v>
      </c>
      <c r="N101" s="2" t="s">
        <v>1568</v>
      </c>
    </row>
    <row r="102" spans="1:25" x14ac:dyDescent="0.3">
      <c r="A102" s="2" t="s">
        <v>518</v>
      </c>
      <c r="B102" s="29" t="str">
        <f>坦克个性化设定!E19</f>
        <v>T1</v>
      </c>
      <c r="C102" s="2" t="str">
        <f>坦克个性化细分!J4</f>
        <v>低</v>
      </c>
      <c r="D102" s="2" t="str">
        <f>VLOOKUP(A102,坦克个性化设定!$B$18:$F$48,5,FALSE)</f>
        <v>轻坦弹夹</v>
      </c>
      <c r="E102" s="2">
        <v>0</v>
      </c>
      <c r="F102" s="2">
        <v>1</v>
      </c>
      <c r="G102" s="2">
        <v>0</v>
      </c>
      <c r="H102" s="2">
        <v>0</v>
      </c>
      <c r="I102" s="2">
        <v>0</v>
      </c>
      <c r="J102" s="2">
        <f t="shared" ref="J102:J131" si="2">IF(E102&gt;0,VLOOKUP($D102,$D$74:$N$81,MATCH(J$101,$D$74:$N$74,0),FALSE),0)</f>
        <v>0</v>
      </c>
      <c r="K102" s="2">
        <f t="shared" ref="K102:K131" si="3">IF(F102&gt;0,VLOOKUP($D102,$D$74:$N$81,MATCH(K$101,$D$74:$N$74,0),FALSE),0)</f>
        <v>53</v>
      </c>
      <c r="L102" s="2">
        <f t="shared" ref="L102:L131" si="4">IF(G102&gt;0,VLOOKUP($D102,$D$74:$N$81,MATCH(L$101,$D$74:$N$74,0),FALSE),0)</f>
        <v>0</v>
      </c>
      <c r="M102" s="2">
        <f t="shared" ref="M102:M131" si="5">IF(H102&gt;0,VLOOKUP($D102,$D$74:$N$81,MATCH(M$101,$D$74:$N$74,0),FALSE),0)</f>
        <v>0</v>
      </c>
      <c r="N102" s="2">
        <f t="shared" ref="N102:N131" si="6">IF(I102&gt;0,VLOOKUP($D102,$D$74:$N$81,MATCH(N$101,$D$74:$N$74,0),FALSE),0)</f>
        <v>0</v>
      </c>
      <c r="O102" s="1" t="str">
        <f t="shared" ref="O102:O131" si="7">IF(J102&gt;0,J102&amp;",","")&amp;IF(K102&gt;0,K102&amp;",","")&amp;IF(L102&gt;0,L102&amp;",","")&amp;IF(M102&gt;0,M102&amp;",","")&amp;IF(N102&gt;0,N102&amp;",","")</f>
        <v>53,</v>
      </c>
      <c r="P102" s="1" t="str">
        <f>"["&amp;LEFT(O102,LEN(O102)-1)&amp;"]"</f>
        <v>[53]</v>
      </c>
      <c r="S102" s="1" t="str">
        <f t="shared" ref="S102:S131" si="8">VLOOKUP(D102,$D$74:$O$81,12,FALSE)</f>
        <v>[52,53,38,46,48]</v>
      </c>
      <c r="U102" s="1">
        <v>53</v>
      </c>
    </row>
    <row r="103" spans="1:25" x14ac:dyDescent="0.3">
      <c r="A103" s="2" t="s">
        <v>524</v>
      </c>
      <c r="B103" s="29" t="str">
        <f>坦克个性化设定!E20</f>
        <v>T2</v>
      </c>
      <c r="C103" s="2" t="str">
        <f>坦克个性化细分!J5</f>
        <v>低</v>
      </c>
      <c r="D103" s="2" t="str">
        <f>VLOOKUP(A103,坦克个性化设定!$B$18:$F$48,5,FALSE)</f>
        <v>轻坦弹夹</v>
      </c>
      <c r="E103" s="2">
        <v>0</v>
      </c>
      <c r="F103" s="2">
        <v>1</v>
      </c>
      <c r="G103" s="2">
        <v>1</v>
      </c>
      <c r="H103" s="2">
        <v>0</v>
      </c>
      <c r="I103" s="2">
        <v>0</v>
      </c>
      <c r="J103" s="2">
        <f t="shared" si="2"/>
        <v>0</v>
      </c>
      <c r="K103" s="2">
        <f t="shared" si="3"/>
        <v>53</v>
      </c>
      <c r="L103" s="2">
        <f t="shared" si="4"/>
        <v>38</v>
      </c>
      <c r="M103" s="2">
        <f t="shared" si="5"/>
        <v>0</v>
      </c>
      <c r="N103" s="2">
        <f t="shared" si="6"/>
        <v>0</v>
      </c>
      <c r="O103" s="1" t="str">
        <f t="shared" si="7"/>
        <v>53,38,</v>
      </c>
      <c r="P103" s="1" t="str">
        <f t="shared" ref="P103:P131" si="9">"["&amp;LEFT(O103,LEN(O103)-1)&amp;"]"</f>
        <v>[53,38]</v>
      </c>
      <c r="S103" s="1" t="str">
        <f t="shared" si="8"/>
        <v>[52,53,38,46,48]</v>
      </c>
      <c r="U103" s="1">
        <v>53</v>
      </c>
      <c r="V103" s="1">
        <v>38</v>
      </c>
    </row>
    <row r="104" spans="1:25" x14ac:dyDescent="0.3">
      <c r="A104" s="2" t="s">
        <v>616</v>
      </c>
      <c r="B104" s="29" t="str">
        <f>坦克个性化设定!E21</f>
        <v>T2</v>
      </c>
      <c r="C104" s="2" t="str">
        <f>坦克个性化细分!J6</f>
        <v>中</v>
      </c>
      <c r="D104" s="2" t="str">
        <f>VLOOKUP(A104,坦克个性化设定!$B$18:$F$48,5,FALSE)</f>
        <v>轻坦弹夹</v>
      </c>
      <c r="E104" s="2">
        <v>0</v>
      </c>
      <c r="F104" s="2">
        <v>1</v>
      </c>
      <c r="G104" s="2">
        <v>1</v>
      </c>
      <c r="H104" s="2">
        <v>0</v>
      </c>
      <c r="I104" s="2">
        <v>0</v>
      </c>
      <c r="J104" s="2">
        <f t="shared" si="2"/>
        <v>0</v>
      </c>
      <c r="K104" s="2">
        <f t="shared" si="3"/>
        <v>53</v>
      </c>
      <c r="L104" s="2">
        <f t="shared" si="4"/>
        <v>38</v>
      </c>
      <c r="M104" s="2">
        <f t="shared" si="5"/>
        <v>0</v>
      </c>
      <c r="N104" s="2">
        <f t="shared" si="6"/>
        <v>0</v>
      </c>
      <c r="O104" s="1" t="str">
        <f t="shared" si="7"/>
        <v>53,38,</v>
      </c>
      <c r="P104" s="1" t="str">
        <f t="shared" si="9"/>
        <v>[53,38]</v>
      </c>
      <c r="S104" s="1" t="str">
        <f t="shared" si="8"/>
        <v>[52,53,38,46,48]</v>
      </c>
      <c r="U104" s="1">
        <v>53</v>
      </c>
      <c r="V104" s="1">
        <v>46</v>
      </c>
    </row>
    <row r="105" spans="1:25" x14ac:dyDescent="0.3">
      <c r="A105" s="2" t="s">
        <v>530</v>
      </c>
      <c r="B105" s="29" t="str">
        <f>坦克个性化设定!E22</f>
        <v>T3</v>
      </c>
      <c r="C105" s="2" t="str">
        <f>坦克个性化细分!J7</f>
        <v>低</v>
      </c>
      <c r="D105" s="2" t="str">
        <f>VLOOKUP(A105,坦克个性化设定!$B$18:$F$48,5,FALSE)</f>
        <v>轻坦弹夹</v>
      </c>
      <c r="E105" s="2">
        <v>1</v>
      </c>
      <c r="F105" s="2">
        <v>1</v>
      </c>
      <c r="G105" s="2">
        <v>1</v>
      </c>
      <c r="H105" s="2">
        <v>0</v>
      </c>
      <c r="I105" s="2">
        <v>0</v>
      </c>
      <c r="J105" s="2">
        <f t="shared" si="2"/>
        <v>52</v>
      </c>
      <c r="K105" s="2">
        <f t="shared" si="3"/>
        <v>53</v>
      </c>
      <c r="L105" s="2">
        <f t="shared" si="4"/>
        <v>38</v>
      </c>
      <c r="M105" s="2">
        <f t="shared" si="5"/>
        <v>0</v>
      </c>
      <c r="N105" s="2">
        <f t="shared" si="6"/>
        <v>0</v>
      </c>
      <c r="O105" s="1" t="str">
        <f t="shared" si="7"/>
        <v>52,53,38,</v>
      </c>
      <c r="P105" s="1" t="str">
        <f t="shared" si="9"/>
        <v>[52,53,38]</v>
      </c>
      <c r="S105" s="1" t="str">
        <f t="shared" si="8"/>
        <v>[52,53,38,46,48]</v>
      </c>
      <c r="U105" s="1">
        <v>52</v>
      </c>
      <c r="V105" s="1">
        <v>53</v>
      </c>
      <c r="W105" s="1">
        <v>46</v>
      </c>
    </row>
    <row r="106" spans="1:25" x14ac:dyDescent="0.3">
      <c r="A106" s="2" t="s">
        <v>620</v>
      </c>
      <c r="B106" s="29" t="str">
        <f>坦克个性化设定!E23</f>
        <v>T3</v>
      </c>
      <c r="C106" s="2" t="str">
        <f>坦克个性化细分!J8</f>
        <v>中</v>
      </c>
      <c r="D106" s="2" t="str">
        <f>VLOOKUP(A106,坦克个性化设定!$B$18:$F$48,5,FALSE)</f>
        <v>轻坦弹夹</v>
      </c>
      <c r="E106" s="2">
        <v>1</v>
      </c>
      <c r="F106" s="2">
        <v>1</v>
      </c>
      <c r="G106" s="2">
        <v>1</v>
      </c>
      <c r="H106" s="2">
        <v>0</v>
      </c>
      <c r="I106" s="2">
        <v>0</v>
      </c>
      <c r="J106" s="2">
        <f t="shared" si="2"/>
        <v>52</v>
      </c>
      <c r="K106" s="2">
        <f t="shared" si="3"/>
        <v>53</v>
      </c>
      <c r="L106" s="2">
        <f t="shared" si="4"/>
        <v>38</v>
      </c>
      <c r="M106" s="2">
        <f t="shared" si="5"/>
        <v>0</v>
      </c>
      <c r="N106" s="2">
        <f t="shared" si="6"/>
        <v>0</v>
      </c>
      <c r="O106" s="1" t="str">
        <f t="shared" si="7"/>
        <v>52,53,38,</v>
      </c>
      <c r="P106" s="1" t="str">
        <f t="shared" si="9"/>
        <v>[52,53,38]</v>
      </c>
      <c r="S106" s="1" t="str">
        <f t="shared" si="8"/>
        <v>[52,53,38,46,48]</v>
      </c>
      <c r="U106" s="1">
        <v>52</v>
      </c>
      <c r="V106" s="1">
        <v>53</v>
      </c>
      <c r="W106" s="1">
        <v>38</v>
      </c>
    </row>
    <row r="107" spans="1:25" x14ac:dyDescent="0.3">
      <c r="A107" s="2" t="s">
        <v>622</v>
      </c>
      <c r="B107" s="29" t="str">
        <f>坦克个性化设定!E24</f>
        <v>T3</v>
      </c>
      <c r="C107" s="2" t="str">
        <f>坦克个性化细分!J9</f>
        <v>高</v>
      </c>
      <c r="D107" s="2" t="str">
        <f>VLOOKUP(A107,坦克个性化设定!$B$18:$F$48,5,FALSE)</f>
        <v>轻坦弹夹</v>
      </c>
      <c r="E107" s="2">
        <v>1</v>
      </c>
      <c r="F107" s="2">
        <v>1</v>
      </c>
      <c r="G107" s="2">
        <v>1</v>
      </c>
      <c r="H107" s="2">
        <v>0</v>
      </c>
      <c r="I107" s="2">
        <v>0</v>
      </c>
      <c r="J107" s="2">
        <f t="shared" si="2"/>
        <v>52</v>
      </c>
      <c r="K107" s="2">
        <f t="shared" si="3"/>
        <v>53</v>
      </c>
      <c r="L107" s="2">
        <f t="shared" si="4"/>
        <v>38</v>
      </c>
      <c r="M107" s="2">
        <f t="shared" si="5"/>
        <v>0</v>
      </c>
      <c r="N107" s="2">
        <f t="shared" si="6"/>
        <v>0</v>
      </c>
      <c r="O107" s="1" t="str">
        <f t="shared" si="7"/>
        <v>52,53,38,</v>
      </c>
      <c r="P107" s="1" t="str">
        <f t="shared" si="9"/>
        <v>[52,53,38]</v>
      </c>
      <c r="S107" s="1" t="str">
        <f t="shared" si="8"/>
        <v>[52,53,38,46,48]</v>
      </c>
      <c r="U107" s="1">
        <v>52</v>
      </c>
      <c r="V107" s="1">
        <v>7</v>
      </c>
      <c r="W107" s="1">
        <v>38</v>
      </c>
    </row>
    <row r="108" spans="1:25" x14ac:dyDescent="0.3">
      <c r="A108" s="2" t="s">
        <v>624</v>
      </c>
      <c r="B108" s="29" t="str">
        <f>坦克个性化设定!E25</f>
        <v>T4</v>
      </c>
      <c r="C108" s="2" t="str">
        <f>坦克个性化细分!J10</f>
        <v>低</v>
      </c>
      <c r="D108" s="2" t="str">
        <f>VLOOKUP(A108,坦克个性化设定!$B$18:$F$48,5,FALSE)</f>
        <v>轻坦弹夹</v>
      </c>
      <c r="E108" s="2">
        <v>1</v>
      </c>
      <c r="F108" s="2">
        <v>1</v>
      </c>
      <c r="G108" s="2">
        <v>1</v>
      </c>
      <c r="H108" s="2">
        <v>1</v>
      </c>
      <c r="I108" s="2">
        <v>0</v>
      </c>
      <c r="J108" s="2">
        <f t="shared" si="2"/>
        <v>52</v>
      </c>
      <c r="K108" s="2">
        <f t="shared" si="3"/>
        <v>53</v>
      </c>
      <c r="L108" s="2">
        <f t="shared" si="4"/>
        <v>38</v>
      </c>
      <c r="M108" s="2">
        <f t="shared" si="5"/>
        <v>46</v>
      </c>
      <c r="N108" s="2">
        <f t="shared" si="6"/>
        <v>0</v>
      </c>
      <c r="O108" s="1" t="str">
        <f t="shared" si="7"/>
        <v>52,53,38,46,</v>
      </c>
      <c r="P108" s="1" t="str">
        <f t="shared" si="9"/>
        <v>[52,53,38,46]</v>
      </c>
      <c r="S108" s="1" t="str">
        <f t="shared" si="8"/>
        <v>[52,53,38,46,48]</v>
      </c>
      <c r="U108" s="1">
        <v>52</v>
      </c>
      <c r="V108" s="1">
        <v>53</v>
      </c>
      <c r="W108" s="1">
        <v>46</v>
      </c>
      <c r="X108" s="1">
        <v>42</v>
      </c>
    </row>
    <row r="109" spans="1:25" x14ac:dyDescent="0.3">
      <c r="A109" s="2" t="s">
        <v>627</v>
      </c>
      <c r="B109" s="29" t="str">
        <f>坦克个性化设定!E26</f>
        <v>T4</v>
      </c>
      <c r="C109" s="2" t="str">
        <f>坦克个性化细分!J11</f>
        <v>中</v>
      </c>
      <c r="D109" s="2" t="str">
        <f>VLOOKUP(A109,坦克个性化设定!$B$18:$F$48,5,FALSE)</f>
        <v>轻坦弹夹</v>
      </c>
      <c r="E109" s="2">
        <v>1</v>
      </c>
      <c r="F109" s="2">
        <v>1</v>
      </c>
      <c r="G109" s="2">
        <v>1</v>
      </c>
      <c r="H109" s="2">
        <v>1</v>
      </c>
      <c r="I109" s="2">
        <v>0</v>
      </c>
      <c r="J109" s="2">
        <f t="shared" si="2"/>
        <v>52</v>
      </c>
      <c r="K109" s="2">
        <f t="shared" si="3"/>
        <v>53</v>
      </c>
      <c r="L109" s="2">
        <f t="shared" si="4"/>
        <v>38</v>
      </c>
      <c r="M109" s="2">
        <f t="shared" si="5"/>
        <v>46</v>
      </c>
      <c r="N109" s="2">
        <f t="shared" si="6"/>
        <v>0</v>
      </c>
      <c r="O109" s="1" t="str">
        <f t="shared" si="7"/>
        <v>52,53,38,46,</v>
      </c>
      <c r="P109" s="1" t="str">
        <f t="shared" si="9"/>
        <v>[52,53,38,46]</v>
      </c>
      <c r="S109" s="1" t="str">
        <f t="shared" si="8"/>
        <v>[52,53,38,46,48]</v>
      </c>
      <c r="U109" s="1">
        <v>52</v>
      </c>
      <c r="V109" s="1">
        <v>7</v>
      </c>
      <c r="W109" s="1">
        <v>38</v>
      </c>
      <c r="X109" s="1">
        <v>42</v>
      </c>
    </row>
    <row r="110" spans="1:25" x14ac:dyDescent="0.3">
      <c r="A110" s="2" t="s">
        <v>629</v>
      </c>
      <c r="B110" s="29" t="str">
        <f>坦克个性化设定!E27</f>
        <v>T4</v>
      </c>
      <c r="C110" s="2" t="str">
        <f>坦克个性化细分!J12</f>
        <v>高</v>
      </c>
      <c r="D110" s="2" t="str">
        <f>VLOOKUP(A110,坦克个性化设定!$B$18:$F$48,5,FALSE)</f>
        <v>轻坦弹夹</v>
      </c>
      <c r="E110" s="2">
        <v>1</v>
      </c>
      <c r="F110" s="2">
        <v>1</v>
      </c>
      <c r="G110" s="2">
        <v>1</v>
      </c>
      <c r="H110" s="2">
        <v>1</v>
      </c>
      <c r="I110" s="2">
        <v>0</v>
      </c>
      <c r="J110" s="2">
        <f t="shared" si="2"/>
        <v>52</v>
      </c>
      <c r="K110" s="2">
        <f t="shared" si="3"/>
        <v>53</v>
      </c>
      <c r="L110" s="2">
        <f t="shared" si="4"/>
        <v>38</v>
      </c>
      <c r="M110" s="2">
        <f t="shared" si="5"/>
        <v>46</v>
      </c>
      <c r="N110" s="2">
        <f t="shared" si="6"/>
        <v>0</v>
      </c>
      <c r="O110" s="1" t="str">
        <f t="shared" si="7"/>
        <v>52,53,38,46,</v>
      </c>
      <c r="P110" s="1" t="str">
        <f t="shared" si="9"/>
        <v>[52,53,38,46]</v>
      </c>
      <c r="S110" s="1" t="str">
        <f t="shared" si="8"/>
        <v>[52,53,38,46,48]</v>
      </c>
      <c r="U110" s="1">
        <v>52</v>
      </c>
      <c r="V110" s="1">
        <v>53</v>
      </c>
      <c r="W110" s="1">
        <v>46</v>
      </c>
      <c r="X110" s="1">
        <v>42</v>
      </c>
    </row>
    <row r="111" spans="1:25" x14ac:dyDescent="0.3">
      <c r="A111" s="2" t="s">
        <v>631</v>
      </c>
      <c r="B111" s="29" t="str">
        <f>坦克个性化设定!E28</f>
        <v>T5</v>
      </c>
      <c r="C111" s="2" t="str">
        <f>坦克个性化细分!J13</f>
        <v>低</v>
      </c>
      <c r="D111" s="2" t="str">
        <f>VLOOKUP(A111,坦克个性化设定!$B$18:$F$48,5,FALSE)</f>
        <v>轻坦弹夹</v>
      </c>
      <c r="E111" s="2">
        <v>1</v>
      </c>
      <c r="F111" s="2">
        <v>1</v>
      </c>
      <c r="G111" s="2">
        <v>1</v>
      </c>
      <c r="H111" s="2">
        <v>1</v>
      </c>
      <c r="I111" s="2">
        <v>1</v>
      </c>
      <c r="J111" s="2">
        <f t="shared" si="2"/>
        <v>52</v>
      </c>
      <c r="K111" s="2">
        <f t="shared" si="3"/>
        <v>53</v>
      </c>
      <c r="L111" s="2">
        <f t="shared" si="4"/>
        <v>38</v>
      </c>
      <c r="M111" s="2">
        <f t="shared" si="5"/>
        <v>46</v>
      </c>
      <c r="N111" s="2">
        <f t="shared" si="6"/>
        <v>48</v>
      </c>
      <c r="O111" s="1" t="str">
        <f t="shared" si="7"/>
        <v>52,53,38,46,48,</v>
      </c>
      <c r="P111" s="1" t="str">
        <f t="shared" si="9"/>
        <v>[52,53,38,46,48]</v>
      </c>
      <c r="S111" s="1" t="str">
        <f t="shared" si="8"/>
        <v>[52,53,38,46,48]</v>
      </c>
      <c r="U111" s="1">
        <v>52</v>
      </c>
      <c r="V111" s="1">
        <v>7</v>
      </c>
      <c r="W111" s="1">
        <v>38</v>
      </c>
      <c r="X111" s="1">
        <v>42</v>
      </c>
      <c r="Y111" s="1">
        <v>44</v>
      </c>
    </row>
    <row r="112" spans="1:25" x14ac:dyDescent="0.3">
      <c r="A112" s="2" t="s">
        <v>520</v>
      </c>
      <c r="B112" s="29" t="str">
        <f>坦克个性化设定!E29</f>
        <v>T1</v>
      </c>
      <c r="C112" s="2" t="str">
        <f>坦克个性化细分!J14</f>
        <v>低</v>
      </c>
      <c r="D112" s="2" t="str">
        <f>VLOOKUP(A112,坦克个性化设定!$B$18:$F$48,5,FALSE)</f>
        <v>中坦自动</v>
      </c>
      <c r="E112" s="2">
        <v>0</v>
      </c>
      <c r="F112" s="2">
        <v>1</v>
      </c>
      <c r="G112" s="2">
        <v>0</v>
      </c>
      <c r="H112" s="2">
        <v>0</v>
      </c>
      <c r="I112" s="2">
        <v>0</v>
      </c>
      <c r="J112" s="2">
        <f t="shared" si="2"/>
        <v>0</v>
      </c>
      <c r="K112" s="2" t="e">
        <f t="shared" si="3"/>
        <v>#N/A</v>
      </c>
      <c r="L112" s="2">
        <f t="shared" si="4"/>
        <v>0</v>
      </c>
      <c r="M112" s="2">
        <f t="shared" si="5"/>
        <v>0</v>
      </c>
      <c r="N112" s="2">
        <f t="shared" si="6"/>
        <v>0</v>
      </c>
      <c r="O112" s="1" t="e">
        <f t="shared" si="7"/>
        <v>#N/A</v>
      </c>
      <c r="P112" s="1" t="e">
        <f t="shared" si="9"/>
        <v>#N/A</v>
      </c>
      <c r="S112" s="1" t="e">
        <f t="shared" si="8"/>
        <v>#N/A</v>
      </c>
      <c r="U112" s="1">
        <v>51</v>
      </c>
    </row>
    <row r="113" spans="1:25" x14ac:dyDescent="0.3">
      <c r="A113" s="2" t="s">
        <v>526</v>
      </c>
      <c r="B113" s="29" t="str">
        <f>坦克个性化设定!E30</f>
        <v>T2</v>
      </c>
      <c r="C113" s="2" t="str">
        <f>坦克个性化细分!J15</f>
        <v>低</v>
      </c>
      <c r="D113" s="2" t="str">
        <f>VLOOKUP(A113,坦克个性化设定!$B$18:$F$48,5,FALSE)</f>
        <v>中坦自动</v>
      </c>
      <c r="E113" s="2">
        <v>0</v>
      </c>
      <c r="F113" s="2">
        <v>1</v>
      </c>
      <c r="G113" s="2">
        <v>1</v>
      </c>
      <c r="H113" s="2">
        <v>0</v>
      </c>
      <c r="I113" s="2">
        <v>0</v>
      </c>
      <c r="J113" s="2">
        <f t="shared" si="2"/>
        <v>0</v>
      </c>
      <c r="K113" s="2" t="e">
        <f t="shared" si="3"/>
        <v>#N/A</v>
      </c>
      <c r="L113" s="2" t="e">
        <f t="shared" si="4"/>
        <v>#N/A</v>
      </c>
      <c r="M113" s="2">
        <f t="shared" si="5"/>
        <v>0</v>
      </c>
      <c r="N113" s="2">
        <f t="shared" si="6"/>
        <v>0</v>
      </c>
      <c r="O113" s="1" t="e">
        <f t="shared" si="7"/>
        <v>#N/A</v>
      </c>
      <c r="P113" s="1" t="e">
        <f t="shared" si="9"/>
        <v>#N/A</v>
      </c>
      <c r="S113" s="1" t="e">
        <f t="shared" si="8"/>
        <v>#N/A</v>
      </c>
      <c r="U113" s="1">
        <v>51</v>
      </c>
      <c r="V113" s="1">
        <v>47</v>
      </c>
    </row>
    <row r="114" spans="1:25" x14ac:dyDescent="0.3">
      <c r="A114" s="2" t="s">
        <v>636</v>
      </c>
      <c r="B114" s="29" t="str">
        <f>坦克个性化设定!E31</f>
        <v>T2</v>
      </c>
      <c r="C114" s="2" t="str">
        <f>坦克个性化细分!J16</f>
        <v>中</v>
      </c>
      <c r="D114" s="2" t="str">
        <f>VLOOKUP(A114,坦克个性化设定!$B$18:$F$48,5,FALSE)</f>
        <v>中坦自动</v>
      </c>
      <c r="E114" s="2">
        <v>0</v>
      </c>
      <c r="F114" s="2">
        <v>1</v>
      </c>
      <c r="G114" s="2">
        <v>1</v>
      </c>
      <c r="H114" s="2">
        <v>0</v>
      </c>
      <c r="I114" s="2">
        <v>0</v>
      </c>
      <c r="J114" s="2">
        <f t="shared" si="2"/>
        <v>0</v>
      </c>
      <c r="K114" s="2" t="e">
        <f t="shared" si="3"/>
        <v>#N/A</v>
      </c>
      <c r="L114" s="2" t="e">
        <f t="shared" si="4"/>
        <v>#N/A</v>
      </c>
      <c r="M114" s="2">
        <f t="shared" si="5"/>
        <v>0</v>
      </c>
      <c r="N114" s="2">
        <f t="shared" si="6"/>
        <v>0</v>
      </c>
      <c r="O114" s="1" t="e">
        <f t="shared" si="7"/>
        <v>#N/A</v>
      </c>
      <c r="P114" s="1" t="e">
        <f t="shared" si="9"/>
        <v>#N/A</v>
      </c>
      <c r="S114" s="1" t="e">
        <f t="shared" si="8"/>
        <v>#N/A</v>
      </c>
      <c r="U114" s="1">
        <v>6</v>
      </c>
      <c r="V114" s="1">
        <v>40</v>
      </c>
    </row>
    <row r="115" spans="1:25" x14ac:dyDescent="0.3">
      <c r="A115" s="2" t="s">
        <v>534</v>
      </c>
      <c r="B115" s="29" t="str">
        <f>坦克个性化设定!E32</f>
        <v>T3</v>
      </c>
      <c r="C115" s="2" t="str">
        <f>坦克个性化细分!J17</f>
        <v>低</v>
      </c>
      <c r="D115" s="2" t="str">
        <f>VLOOKUP(A115,坦克个性化设定!$B$18:$F$48,5,FALSE)</f>
        <v>中坦自动</v>
      </c>
      <c r="E115" s="2">
        <v>1</v>
      </c>
      <c r="F115" s="2">
        <v>1</v>
      </c>
      <c r="G115" s="2">
        <v>1</v>
      </c>
      <c r="H115" s="2">
        <v>0</v>
      </c>
      <c r="I115" s="2">
        <v>0</v>
      </c>
      <c r="J115" s="2" t="e">
        <f t="shared" si="2"/>
        <v>#N/A</v>
      </c>
      <c r="K115" s="2" t="e">
        <f t="shared" si="3"/>
        <v>#N/A</v>
      </c>
      <c r="L115" s="2" t="e">
        <f t="shared" si="4"/>
        <v>#N/A</v>
      </c>
      <c r="M115" s="2">
        <f t="shared" si="5"/>
        <v>0</v>
      </c>
      <c r="N115" s="2">
        <f t="shared" si="6"/>
        <v>0</v>
      </c>
      <c r="O115" s="1" t="e">
        <f t="shared" si="7"/>
        <v>#N/A</v>
      </c>
      <c r="P115" s="1" t="e">
        <f t="shared" si="9"/>
        <v>#N/A</v>
      </c>
      <c r="S115" s="1" t="e">
        <f t="shared" si="8"/>
        <v>#N/A</v>
      </c>
      <c r="U115" s="1">
        <v>10</v>
      </c>
      <c r="V115" s="1">
        <v>51</v>
      </c>
      <c r="W115" s="1">
        <v>47</v>
      </c>
    </row>
    <row r="116" spans="1:25" x14ac:dyDescent="0.3">
      <c r="A116" s="2" t="s">
        <v>639</v>
      </c>
      <c r="B116" s="29" t="str">
        <f>坦克个性化设定!E33</f>
        <v>T3</v>
      </c>
      <c r="C116" s="2" t="str">
        <f>坦克个性化细分!J18</f>
        <v>中</v>
      </c>
      <c r="D116" s="2" t="str">
        <f>VLOOKUP(A116,坦克个性化设定!$B$18:$F$48,5,FALSE)</f>
        <v>中坦自动</v>
      </c>
      <c r="E116" s="2">
        <v>1</v>
      </c>
      <c r="F116" s="2">
        <v>1</v>
      </c>
      <c r="G116" s="2">
        <v>1</v>
      </c>
      <c r="H116" s="2">
        <v>0</v>
      </c>
      <c r="I116" s="2">
        <v>0</v>
      </c>
      <c r="J116" s="2" t="e">
        <f t="shared" si="2"/>
        <v>#N/A</v>
      </c>
      <c r="K116" s="2" t="e">
        <f t="shared" si="3"/>
        <v>#N/A</v>
      </c>
      <c r="L116" s="2" t="e">
        <f t="shared" si="4"/>
        <v>#N/A</v>
      </c>
      <c r="M116" s="2">
        <f t="shared" si="5"/>
        <v>0</v>
      </c>
      <c r="N116" s="2">
        <f t="shared" si="6"/>
        <v>0</v>
      </c>
      <c r="O116" s="1" t="e">
        <f t="shared" si="7"/>
        <v>#N/A</v>
      </c>
      <c r="P116" s="1" t="e">
        <f t="shared" si="9"/>
        <v>#N/A</v>
      </c>
      <c r="S116" s="1" t="e">
        <f t="shared" si="8"/>
        <v>#N/A</v>
      </c>
      <c r="U116" s="1">
        <v>10</v>
      </c>
      <c r="V116" s="1">
        <v>6</v>
      </c>
      <c r="W116" s="1">
        <v>40</v>
      </c>
    </row>
    <row r="117" spans="1:25" x14ac:dyDescent="0.3">
      <c r="A117" s="2" t="s">
        <v>641</v>
      </c>
      <c r="B117" s="29" t="str">
        <f>坦克个性化设定!E34</f>
        <v>T3</v>
      </c>
      <c r="C117" s="2" t="str">
        <f>坦克个性化细分!J19</f>
        <v>高</v>
      </c>
      <c r="D117" s="2" t="str">
        <f>VLOOKUP(A117,坦克个性化设定!$B$18:$F$48,5,FALSE)</f>
        <v>中坦自动</v>
      </c>
      <c r="E117" s="2">
        <v>1</v>
      </c>
      <c r="F117" s="2">
        <v>1</v>
      </c>
      <c r="G117" s="2">
        <v>1</v>
      </c>
      <c r="H117" s="2">
        <v>0</v>
      </c>
      <c r="I117" s="2">
        <v>0</v>
      </c>
      <c r="J117" s="2" t="e">
        <f t="shared" si="2"/>
        <v>#N/A</v>
      </c>
      <c r="K117" s="2" t="e">
        <f t="shared" si="3"/>
        <v>#N/A</v>
      </c>
      <c r="L117" s="2" t="e">
        <f t="shared" si="4"/>
        <v>#N/A</v>
      </c>
      <c r="M117" s="2">
        <f t="shared" si="5"/>
        <v>0</v>
      </c>
      <c r="N117" s="2">
        <f t="shared" si="6"/>
        <v>0</v>
      </c>
      <c r="O117" s="1" t="e">
        <f t="shared" si="7"/>
        <v>#N/A</v>
      </c>
      <c r="P117" s="1" t="e">
        <f t="shared" si="9"/>
        <v>#N/A</v>
      </c>
      <c r="S117" s="1" t="e">
        <f t="shared" si="8"/>
        <v>#N/A</v>
      </c>
      <c r="U117" s="1">
        <v>10</v>
      </c>
      <c r="V117" s="1">
        <v>6</v>
      </c>
      <c r="W117" s="1">
        <v>40</v>
      </c>
    </row>
    <row r="118" spans="1:25" x14ac:dyDescent="0.3">
      <c r="A118" s="2" t="s">
        <v>643</v>
      </c>
      <c r="B118" s="29" t="str">
        <f>坦克个性化设定!E35</f>
        <v>T4</v>
      </c>
      <c r="C118" s="2" t="str">
        <f>坦克个性化细分!J20</f>
        <v>低</v>
      </c>
      <c r="D118" s="2" t="str">
        <f>VLOOKUP(A118,坦克个性化设定!$B$18:$F$48,5,FALSE)</f>
        <v>中坦自动</v>
      </c>
      <c r="E118" s="2">
        <v>1</v>
      </c>
      <c r="F118" s="2">
        <v>1</v>
      </c>
      <c r="G118" s="2">
        <v>1</v>
      </c>
      <c r="H118" s="2">
        <v>1</v>
      </c>
      <c r="I118" s="2">
        <v>0</v>
      </c>
      <c r="J118" s="2" t="e">
        <f t="shared" si="2"/>
        <v>#N/A</v>
      </c>
      <c r="K118" s="2" t="e">
        <f t="shared" si="3"/>
        <v>#N/A</v>
      </c>
      <c r="L118" s="2" t="e">
        <f t="shared" si="4"/>
        <v>#N/A</v>
      </c>
      <c r="M118" s="2" t="e">
        <f t="shared" si="5"/>
        <v>#N/A</v>
      </c>
      <c r="N118" s="2">
        <f t="shared" si="6"/>
        <v>0</v>
      </c>
      <c r="O118" s="1" t="e">
        <f t="shared" si="7"/>
        <v>#N/A</v>
      </c>
      <c r="P118" s="1" t="e">
        <f t="shared" si="9"/>
        <v>#N/A</v>
      </c>
      <c r="S118" s="1" t="e">
        <f t="shared" si="8"/>
        <v>#N/A</v>
      </c>
      <c r="U118" s="1">
        <v>10</v>
      </c>
      <c r="V118" s="1">
        <v>51</v>
      </c>
      <c r="W118" s="1">
        <v>47</v>
      </c>
      <c r="X118" s="1">
        <v>21</v>
      </c>
    </row>
    <row r="119" spans="1:25" x14ac:dyDescent="0.3">
      <c r="A119" s="2" t="s">
        <v>645</v>
      </c>
      <c r="B119" s="29" t="str">
        <f>坦克个性化设定!E36</f>
        <v>T4</v>
      </c>
      <c r="C119" s="2" t="str">
        <f>坦克个性化细分!J21</f>
        <v>中</v>
      </c>
      <c r="D119" s="2" t="str">
        <f>VLOOKUP(A119,坦克个性化设定!$B$18:$F$48,5,FALSE)</f>
        <v>中坦自动</v>
      </c>
      <c r="E119" s="2">
        <v>1</v>
      </c>
      <c r="F119" s="2">
        <v>1</v>
      </c>
      <c r="G119" s="2">
        <v>1</v>
      </c>
      <c r="H119" s="2">
        <v>1</v>
      </c>
      <c r="I119" s="2">
        <v>0</v>
      </c>
      <c r="J119" s="2" t="e">
        <f t="shared" si="2"/>
        <v>#N/A</v>
      </c>
      <c r="K119" s="2" t="e">
        <f t="shared" si="3"/>
        <v>#N/A</v>
      </c>
      <c r="L119" s="2" t="e">
        <f t="shared" si="4"/>
        <v>#N/A</v>
      </c>
      <c r="M119" s="2" t="e">
        <f t="shared" si="5"/>
        <v>#N/A</v>
      </c>
      <c r="N119" s="2">
        <f t="shared" si="6"/>
        <v>0</v>
      </c>
      <c r="O119" s="1" t="e">
        <f t="shared" si="7"/>
        <v>#N/A</v>
      </c>
      <c r="P119" s="1" t="e">
        <f t="shared" si="9"/>
        <v>#N/A</v>
      </c>
      <c r="S119" s="1" t="e">
        <f t="shared" si="8"/>
        <v>#N/A</v>
      </c>
      <c r="U119" s="1">
        <v>10</v>
      </c>
      <c r="V119" s="1">
        <v>6</v>
      </c>
      <c r="W119" s="1">
        <v>40</v>
      </c>
      <c r="X119" s="1">
        <v>46</v>
      </c>
    </row>
    <row r="120" spans="1:25" x14ac:dyDescent="0.3">
      <c r="A120" s="2" t="s">
        <v>647</v>
      </c>
      <c r="B120" s="29" t="str">
        <f>坦克个性化设定!E37</f>
        <v>T4</v>
      </c>
      <c r="C120" s="2" t="str">
        <f>坦克个性化细分!J22</f>
        <v>高</v>
      </c>
      <c r="D120" s="2" t="str">
        <f>VLOOKUP(A120,坦克个性化设定!$B$18:$F$48,5,FALSE)</f>
        <v>中坦自动</v>
      </c>
      <c r="E120" s="2">
        <v>1</v>
      </c>
      <c r="F120" s="2">
        <v>1</v>
      </c>
      <c r="G120" s="2">
        <v>1</v>
      </c>
      <c r="H120" s="2">
        <v>1</v>
      </c>
      <c r="I120" s="2">
        <v>0</v>
      </c>
      <c r="J120" s="2" t="e">
        <f t="shared" si="2"/>
        <v>#N/A</v>
      </c>
      <c r="K120" s="2" t="e">
        <f t="shared" si="3"/>
        <v>#N/A</v>
      </c>
      <c r="L120" s="2" t="e">
        <f t="shared" si="4"/>
        <v>#N/A</v>
      </c>
      <c r="M120" s="2" t="e">
        <f t="shared" si="5"/>
        <v>#N/A</v>
      </c>
      <c r="N120" s="2">
        <f t="shared" si="6"/>
        <v>0</v>
      </c>
      <c r="O120" s="1" t="e">
        <f t="shared" si="7"/>
        <v>#N/A</v>
      </c>
      <c r="P120" s="1" t="e">
        <f t="shared" si="9"/>
        <v>#N/A</v>
      </c>
      <c r="S120" s="1" t="e">
        <f t="shared" si="8"/>
        <v>#N/A</v>
      </c>
      <c r="U120" s="1">
        <v>10</v>
      </c>
      <c r="V120" s="1">
        <v>6</v>
      </c>
      <c r="W120" s="1">
        <v>40</v>
      </c>
      <c r="X120" s="1">
        <v>46</v>
      </c>
    </row>
    <row r="121" spans="1:25" x14ac:dyDescent="0.3">
      <c r="A121" s="2" t="s">
        <v>649</v>
      </c>
      <c r="B121" s="29" t="str">
        <f>坦克个性化设定!E38</f>
        <v>T5</v>
      </c>
      <c r="C121" s="2" t="str">
        <f>坦克个性化细分!J23</f>
        <v>低</v>
      </c>
      <c r="D121" s="2" t="str">
        <f>VLOOKUP(A121,坦克个性化设定!$B$18:$F$48,5,FALSE)</f>
        <v>中坦自动</v>
      </c>
      <c r="E121" s="2">
        <v>1</v>
      </c>
      <c r="F121" s="2">
        <v>1</v>
      </c>
      <c r="G121" s="2">
        <v>1</v>
      </c>
      <c r="H121" s="2">
        <v>1</v>
      </c>
      <c r="I121" s="2">
        <v>1</v>
      </c>
      <c r="J121" s="2" t="e">
        <f t="shared" si="2"/>
        <v>#N/A</v>
      </c>
      <c r="K121" s="2" t="e">
        <f t="shared" si="3"/>
        <v>#N/A</v>
      </c>
      <c r="L121" s="2" t="e">
        <f t="shared" si="4"/>
        <v>#N/A</v>
      </c>
      <c r="M121" s="2" t="e">
        <f t="shared" si="5"/>
        <v>#N/A</v>
      </c>
      <c r="N121" s="2" t="e">
        <f t="shared" si="6"/>
        <v>#N/A</v>
      </c>
      <c r="O121" s="1" t="e">
        <f t="shared" si="7"/>
        <v>#N/A</v>
      </c>
      <c r="P121" s="1" t="e">
        <f t="shared" si="9"/>
        <v>#N/A</v>
      </c>
      <c r="S121" s="1" t="e">
        <f t="shared" si="8"/>
        <v>#N/A</v>
      </c>
      <c r="U121" s="1">
        <v>10</v>
      </c>
      <c r="V121" s="1">
        <v>6</v>
      </c>
      <c r="W121" s="1">
        <v>40</v>
      </c>
      <c r="X121" s="1">
        <v>46</v>
      </c>
      <c r="Y121" s="1">
        <v>3</v>
      </c>
    </row>
    <row r="122" spans="1:25" x14ac:dyDescent="0.3">
      <c r="A122" s="2" t="s">
        <v>651</v>
      </c>
      <c r="B122" s="29" t="str">
        <f>坦克个性化设定!E39</f>
        <v>T1</v>
      </c>
      <c r="C122" s="2" t="str">
        <f>坦克个性化细分!J24</f>
        <v>低</v>
      </c>
      <c r="D122" s="2" t="str">
        <f>VLOOKUP(A122,坦克个性化设定!$B$18:$F$48,5,FALSE)</f>
        <v>重坦自动</v>
      </c>
      <c r="E122" s="2">
        <v>0</v>
      </c>
      <c r="F122" s="2">
        <v>1</v>
      </c>
      <c r="G122" s="2">
        <v>0</v>
      </c>
      <c r="H122" s="2">
        <v>0</v>
      </c>
      <c r="I122" s="2">
        <v>0</v>
      </c>
      <c r="J122" s="2">
        <f t="shared" si="2"/>
        <v>0</v>
      </c>
      <c r="K122" s="2">
        <f t="shared" si="3"/>
        <v>55</v>
      </c>
      <c r="L122" s="2">
        <f t="shared" si="4"/>
        <v>0</v>
      </c>
      <c r="M122" s="2">
        <f t="shared" si="5"/>
        <v>0</v>
      </c>
      <c r="N122" s="2">
        <f t="shared" si="6"/>
        <v>0</v>
      </c>
      <c r="O122" s="1" t="str">
        <f t="shared" si="7"/>
        <v>55,</v>
      </c>
      <c r="P122" s="1" t="str">
        <f t="shared" si="9"/>
        <v>[55]</v>
      </c>
      <c r="S122" s="1" t="str">
        <f t="shared" si="8"/>
        <v>[2,55,43,49,36]</v>
      </c>
      <c r="U122" s="1">
        <v>55</v>
      </c>
    </row>
    <row r="123" spans="1:25" x14ac:dyDescent="0.3">
      <c r="A123" s="2" t="s">
        <v>653</v>
      </c>
      <c r="B123" s="29" t="str">
        <f>坦克个性化设定!E40</f>
        <v>T2</v>
      </c>
      <c r="C123" s="2" t="str">
        <f>坦克个性化细分!J25</f>
        <v>低</v>
      </c>
      <c r="D123" s="2" t="str">
        <f>VLOOKUP(A123,坦克个性化设定!$B$18:$F$48,5,FALSE)</f>
        <v>重坦自动</v>
      </c>
      <c r="E123" s="2">
        <v>0</v>
      </c>
      <c r="F123" s="2">
        <v>1</v>
      </c>
      <c r="G123" s="2">
        <v>1</v>
      </c>
      <c r="H123" s="2">
        <v>0</v>
      </c>
      <c r="I123" s="2">
        <v>0</v>
      </c>
      <c r="J123" s="2">
        <f t="shared" si="2"/>
        <v>0</v>
      </c>
      <c r="K123" s="2">
        <f t="shared" si="3"/>
        <v>55</v>
      </c>
      <c r="L123" s="2">
        <f t="shared" si="4"/>
        <v>43</v>
      </c>
      <c r="M123" s="2">
        <f t="shared" si="5"/>
        <v>0</v>
      </c>
      <c r="N123" s="2">
        <f t="shared" si="6"/>
        <v>0</v>
      </c>
      <c r="O123" s="1" t="str">
        <f t="shared" si="7"/>
        <v>55,43,</v>
      </c>
      <c r="P123" s="1" t="str">
        <f t="shared" si="9"/>
        <v>[55,43]</v>
      </c>
      <c r="S123" s="1" t="str">
        <f t="shared" si="8"/>
        <v>[2,55,43,49,36]</v>
      </c>
      <c r="U123" s="1">
        <v>55</v>
      </c>
      <c r="V123" s="1">
        <v>43</v>
      </c>
    </row>
    <row r="124" spans="1:25" x14ac:dyDescent="0.3">
      <c r="A124" s="2" t="s">
        <v>655</v>
      </c>
      <c r="B124" s="29" t="str">
        <f>坦克个性化设定!E41</f>
        <v>T2</v>
      </c>
      <c r="C124" s="2" t="str">
        <f>坦克个性化细分!J26</f>
        <v>中</v>
      </c>
      <c r="D124" s="2" t="str">
        <f>VLOOKUP(A124,坦克个性化设定!$B$18:$F$48,5,FALSE)</f>
        <v>重坦单发</v>
      </c>
      <c r="E124" s="2">
        <v>0</v>
      </c>
      <c r="F124" s="2">
        <v>1</v>
      </c>
      <c r="G124" s="2">
        <v>1</v>
      </c>
      <c r="H124" s="2">
        <v>0</v>
      </c>
      <c r="I124" s="2">
        <v>0</v>
      </c>
      <c r="J124" s="2">
        <f t="shared" si="2"/>
        <v>0</v>
      </c>
      <c r="K124" s="2">
        <f t="shared" si="3"/>
        <v>54</v>
      </c>
      <c r="L124" s="2">
        <f t="shared" si="4"/>
        <v>39</v>
      </c>
      <c r="M124" s="2">
        <f t="shared" si="5"/>
        <v>0</v>
      </c>
      <c r="N124" s="2">
        <f t="shared" si="6"/>
        <v>0</v>
      </c>
      <c r="O124" s="1" t="str">
        <f t="shared" si="7"/>
        <v>54,39,</v>
      </c>
      <c r="P124" s="1" t="str">
        <f t="shared" si="9"/>
        <v>[54,39]</v>
      </c>
      <c r="S124" s="1" t="str">
        <f t="shared" si="8"/>
        <v>[2,54,39,41,49]</v>
      </c>
      <c r="U124" s="1">
        <v>54</v>
      </c>
      <c r="V124" s="1">
        <v>39</v>
      </c>
    </row>
    <row r="125" spans="1:25" x14ac:dyDescent="0.3">
      <c r="A125" s="2" t="s">
        <v>538</v>
      </c>
      <c r="B125" s="29" t="str">
        <f>坦克个性化设定!E42</f>
        <v>T3</v>
      </c>
      <c r="C125" s="2" t="str">
        <f>坦克个性化细分!J27</f>
        <v>低</v>
      </c>
      <c r="D125" s="2" t="str">
        <f>VLOOKUP(A125,坦克个性化设定!$B$18:$F$48,5,FALSE)</f>
        <v>重坦单发</v>
      </c>
      <c r="E125" s="2">
        <v>1</v>
      </c>
      <c r="F125" s="2">
        <v>1</v>
      </c>
      <c r="G125" s="2">
        <v>1</v>
      </c>
      <c r="H125" s="2">
        <v>0</v>
      </c>
      <c r="I125" s="2">
        <v>0</v>
      </c>
      <c r="J125" s="2">
        <f t="shared" si="2"/>
        <v>2</v>
      </c>
      <c r="K125" s="2">
        <f t="shared" si="3"/>
        <v>54</v>
      </c>
      <c r="L125" s="2">
        <f t="shared" si="4"/>
        <v>39</v>
      </c>
      <c r="M125" s="2">
        <f t="shared" si="5"/>
        <v>0</v>
      </c>
      <c r="N125" s="2">
        <f t="shared" si="6"/>
        <v>0</v>
      </c>
      <c r="O125" s="1" t="str">
        <f t="shared" si="7"/>
        <v>2,54,39,</v>
      </c>
      <c r="P125" s="1" t="str">
        <f t="shared" si="9"/>
        <v>[2,54,39]</v>
      </c>
      <c r="S125" s="1" t="str">
        <f t="shared" si="8"/>
        <v>[2,54,39,41,49]</v>
      </c>
      <c r="U125" s="1">
        <v>2</v>
      </c>
      <c r="V125" s="1">
        <v>54</v>
      </c>
      <c r="W125" s="1">
        <v>39</v>
      </c>
    </row>
    <row r="126" spans="1:25" x14ac:dyDescent="0.3">
      <c r="A126" s="2" t="s">
        <v>658</v>
      </c>
      <c r="B126" s="29" t="str">
        <f>坦克个性化设定!E43</f>
        <v>T3</v>
      </c>
      <c r="C126" s="2" t="str">
        <f>坦克个性化细分!J28</f>
        <v>中</v>
      </c>
      <c r="D126" s="2" t="str">
        <f>VLOOKUP(A126,坦克个性化设定!$B$18:$F$48,5,FALSE)</f>
        <v>重坦单发</v>
      </c>
      <c r="E126" s="2">
        <v>1</v>
      </c>
      <c r="F126" s="2">
        <v>1</v>
      </c>
      <c r="G126" s="2">
        <v>1</v>
      </c>
      <c r="H126" s="2">
        <v>0</v>
      </c>
      <c r="I126" s="2">
        <v>0</v>
      </c>
      <c r="J126" s="2">
        <f t="shared" si="2"/>
        <v>2</v>
      </c>
      <c r="K126" s="2">
        <f t="shared" si="3"/>
        <v>54</v>
      </c>
      <c r="L126" s="2">
        <f t="shared" si="4"/>
        <v>39</v>
      </c>
      <c r="M126" s="2">
        <f t="shared" si="5"/>
        <v>0</v>
      </c>
      <c r="N126" s="2">
        <f t="shared" si="6"/>
        <v>0</v>
      </c>
      <c r="O126" s="1" t="str">
        <f t="shared" si="7"/>
        <v>2,54,39,</v>
      </c>
      <c r="P126" s="1" t="str">
        <f t="shared" si="9"/>
        <v>[2,54,39]</v>
      </c>
      <c r="S126" s="1" t="str">
        <f t="shared" si="8"/>
        <v>[2,54,39,41,49]</v>
      </c>
      <c r="U126" s="1">
        <v>2</v>
      </c>
      <c r="V126" s="1">
        <v>54</v>
      </c>
      <c r="W126" s="1">
        <v>39</v>
      </c>
    </row>
    <row r="127" spans="1:25" x14ac:dyDescent="0.3">
      <c r="A127" s="2" t="s">
        <v>660</v>
      </c>
      <c r="B127" s="29" t="str">
        <f>坦克个性化设定!E44</f>
        <v>T3</v>
      </c>
      <c r="C127" s="2" t="str">
        <f>坦克个性化细分!J29</f>
        <v>高</v>
      </c>
      <c r="D127" s="2" t="str">
        <f>VLOOKUP(A127,坦克个性化设定!$B$18:$F$48,5,FALSE)</f>
        <v>重坦自动</v>
      </c>
      <c r="E127" s="2">
        <v>1</v>
      </c>
      <c r="F127" s="2">
        <v>1</v>
      </c>
      <c r="G127" s="2">
        <v>1</v>
      </c>
      <c r="H127" s="2">
        <v>0</v>
      </c>
      <c r="I127" s="2">
        <v>0</v>
      </c>
      <c r="J127" s="2">
        <f t="shared" si="2"/>
        <v>2</v>
      </c>
      <c r="K127" s="2">
        <f t="shared" si="3"/>
        <v>55</v>
      </c>
      <c r="L127" s="2">
        <f t="shared" si="4"/>
        <v>43</v>
      </c>
      <c r="M127" s="2">
        <f t="shared" si="5"/>
        <v>0</v>
      </c>
      <c r="N127" s="2">
        <f t="shared" si="6"/>
        <v>0</v>
      </c>
      <c r="O127" s="1" t="str">
        <f t="shared" si="7"/>
        <v>2,55,43,</v>
      </c>
      <c r="P127" s="1" t="str">
        <f t="shared" si="9"/>
        <v>[2,55,43]</v>
      </c>
      <c r="S127" s="1" t="str">
        <f t="shared" si="8"/>
        <v>[2,55,43,49,36]</v>
      </c>
      <c r="U127" s="1">
        <v>2</v>
      </c>
      <c r="V127" s="1">
        <v>55</v>
      </c>
      <c r="W127" s="1">
        <v>43</v>
      </c>
    </row>
    <row r="128" spans="1:25" x14ac:dyDescent="0.3">
      <c r="A128" s="2" t="s">
        <v>662</v>
      </c>
      <c r="B128" s="29" t="str">
        <f>坦克个性化设定!E45</f>
        <v>T4</v>
      </c>
      <c r="C128" s="2" t="str">
        <f>坦克个性化细分!J30</f>
        <v>低</v>
      </c>
      <c r="D128" s="2" t="str">
        <f>VLOOKUP(A128,坦克个性化设定!$B$18:$F$48,5,FALSE)</f>
        <v>重坦单发</v>
      </c>
      <c r="E128" s="2">
        <v>1</v>
      </c>
      <c r="F128" s="2">
        <v>1</v>
      </c>
      <c r="G128" s="2">
        <v>1</v>
      </c>
      <c r="H128" s="2">
        <v>1</v>
      </c>
      <c r="I128" s="2">
        <v>0</v>
      </c>
      <c r="J128" s="2">
        <f t="shared" si="2"/>
        <v>2</v>
      </c>
      <c r="K128" s="2">
        <f t="shared" si="3"/>
        <v>54</v>
      </c>
      <c r="L128" s="2">
        <f t="shared" si="4"/>
        <v>39</v>
      </c>
      <c r="M128" s="2">
        <f t="shared" si="5"/>
        <v>41</v>
      </c>
      <c r="N128" s="2">
        <f t="shared" si="6"/>
        <v>0</v>
      </c>
      <c r="O128" s="1" t="str">
        <f t="shared" si="7"/>
        <v>2,54,39,41,</v>
      </c>
      <c r="P128" s="1" t="str">
        <f t="shared" si="9"/>
        <v>[2,54,39,41]</v>
      </c>
      <c r="S128" s="1" t="str">
        <f t="shared" si="8"/>
        <v>[2,54,39,41,49]</v>
      </c>
      <c r="U128" s="1">
        <v>2</v>
      </c>
      <c r="V128" s="1">
        <v>54</v>
      </c>
      <c r="W128" s="1">
        <v>39</v>
      </c>
      <c r="X128" s="1">
        <v>41</v>
      </c>
    </row>
    <row r="129" spans="1:25" x14ac:dyDescent="0.3">
      <c r="A129" s="2" t="s">
        <v>664</v>
      </c>
      <c r="B129" s="29" t="str">
        <f>坦克个性化设定!E46</f>
        <v>T4</v>
      </c>
      <c r="C129" s="2" t="str">
        <f>坦克个性化细分!J31</f>
        <v>中</v>
      </c>
      <c r="D129" s="2" t="str">
        <f>VLOOKUP(A129,坦克个性化设定!$B$18:$F$48,5,FALSE)</f>
        <v>重坦自动</v>
      </c>
      <c r="E129" s="2">
        <v>1</v>
      </c>
      <c r="F129" s="2">
        <v>1</v>
      </c>
      <c r="G129" s="2">
        <v>1</v>
      </c>
      <c r="H129" s="2">
        <v>1</v>
      </c>
      <c r="I129" s="2">
        <v>0</v>
      </c>
      <c r="J129" s="2">
        <f t="shared" si="2"/>
        <v>2</v>
      </c>
      <c r="K129" s="2">
        <f t="shared" si="3"/>
        <v>55</v>
      </c>
      <c r="L129" s="2">
        <f t="shared" si="4"/>
        <v>43</v>
      </c>
      <c r="M129" s="2">
        <f t="shared" si="5"/>
        <v>49</v>
      </c>
      <c r="N129" s="2">
        <f t="shared" si="6"/>
        <v>0</v>
      </c>
      <c r="O129" s="1" t="str">
        <f t="shared" si="7"/>
        <v>2,55,43,49,</v>
      </c>
      <c r="P129" s="1" t="str">
        <f t="shared" si="9"/>
        <v>[2,55,43,49]</v>
      </c>
      <c r="S129" s="1" t="str">
        <f t="shared" si="8"/>
        <v>[2,55,43,49,36]</v>
      </c>
      <c r="U129" s="1">
        <v>2</v>
      </c>
      <c r="V129" s="1">
        <v>55</v>
      </c>
      <c r="W129" s="1">
        <v>43</v>
      </c>
      <c r="X129" s="1">
        <v>49</v>
      </c>
    </row>
    <row r="130" spans="1:25" x14ac:dyDescent="0.3">
      <c r="A130" s="2" t="s">
        <v>666</v>
      </c>
      <c r="B130" s="29" t="str">
        <f>坦克个性化设定!E47</f>
        <v>T4</v>
      </c>
      <c r="C130" s="2" t="str">
        <f>坦克个性化细分!J32</f>
        <v>高</v>
      </c>
      <c r="D130" s="2" t="str">
        <f>VLOOKUP(A130,坦克个性化设定!$B$18:$F$48,5,FALSE)</f>
        <v>重坦单发</v>
      </c>
      <c r="E130" s="2">
        <v>1</v>
      </c>
      <c r="F130" s="2">
        <v>1</v>
      </c>
      <c r="G130" s="2">
        <v>1</v>
      </c>
      <c r="H130" s="2">
        <v>1</v>
      </c>
      <c r="I130" s="2">
        <v>0</v>
      </c>
      <c r="J130" s="2">
        <f t="shared" si="2"/>
        <v>2</v>
      </c>
      <c r="K130" s="2">
        <f t="shared" si="3"/>
        <v>54</v>
      </c>
      <c r="L130" s="2">
        <f t="shared" si="4"/>
        <v>39</v>
      </c>
      <c r="M130" s="2">
        <f t="shared" si="5"/>
        <v>41</v>
      </c>
      <c r="N130" s="2">
        <f t="shared" si="6"/>
        <v>0</v>
      </c>
      <c r="O130" s="1" t="str">
        <f t="shared" si="7"/>
        <v>2,54,39,41,</v>
      </c>
      <c r="P130" s="1" t="str">
        <f t="shared" si="9"/>
        <v>[2,54,39,41]</v>
      </c>
      <c r="S130" s="1" t="str">
        <f t="shared" si="8"/>
        <v>[2,54,39,41,49]</v>
      </c>
      <c r="U130" s="1">
        <v>2</v>
      </c>
      <c r="V130" s="1">
        <v>54</v>
      </c>
      <c r="W130" s="1">
        <v>39</v>
      </c>
      <c r="X130" s="1">
        <v>41</v>
      </c>
    </row>
    <row r="131" spans="1:25" x14ac:dyDescent="0.3">
      <c r="A131" s="2" t="s">
        <v>668</v>
      </c>
      <c r="B131" s="29" t="str">
        <f>坦克个性化设定!E48</f>
        <v>T5</v>
      </c>
      <c r="C131" s="2" t="str">
        <f>坦克个性化细分!J33</f>
        <v>低</v>
      </c>
      <c r="D131" s="2" t="str">
        <f>VLOOKUP(A131,坦克个性化设定!$B$18:$F$48,5,FALSE)</f>
        <v>重坦单发</v>
      </c>
      <c r="E131" s="2">
        <v>1</v>
      </c>
      <c r="F131" s="2">
        <v>1</v>
      </c>
      <c r="G131" s="2">
        <v>1</v>
      </c>
      <c r="H131" s="2">
        <v>1</v>
      </c>
      <c r="I131" s="2">
        <v>1</v>
      </c>
      <c r="J131" s="2">
        <f t="shared" si="2"/>
        <v>2</v>
      </c>
      <c r="K131" s="2">
        <f t="shared" si="3"/>
        <v>54</v>
      </c>
      <c r="L131" s="2">
        <f t="shared" si="4"/>
        <v>39</v>
      </c>
      <c r="M131" s="2">
        <f t="shared" si="5"/>
        <v>41</v>
      </c>
      <c r="N131" s="2">
        <f t="shared" si="6"/>
        <v>49</v>
      </c>
      <c r="O131" s="1" t="str">
        <f t="shared" si="7"/>
        <v>2,54,39,41,49,</v>
      </c>
      <c r="P131" s="1" t="str">
        <f t="shared" si="9"/>
        <v>[2,54,39,41,49]</v>
      </c>
      <c r="S131" s="1" t="str">
        <f t="shared" si="8"/>
        <v>[2,54,39,41,49]</v>
      </c>
      <c r="U131" s="1">
        <v>2</v>
      </c>
      <c r="V131" s="1">
        <v>54</v>
      </c>
      <c r="W131" s="1">
        <v>39</v>
      </c>
      <c r="X131" s="1">
        <v>41</v>
      </c>
      <c r="Y131" s="1">
        <v>49</v>
      </c>
    </row>
    <row r="135" spans="1:25" ht="15.75" x14ac:dyDescent="0.3">
      <c r="A135" s="35" t="s">
        <v>1569</v>
      </c>
    </row>
    <row r="137" spans="1:25" ht="15.75" x14ac:dyDescent="0.3">
      <c r="A137" s="136" t="s">
        <v>608</v>
      </c>
      <c r="B137" s="136" t="s">
        <v>790</v>
      </c>
      <c r="C137" s="136" t="s">
        <v>611</v>
      </c>
      <c r="D137" s="136" t="s">
        <v>1113</v>
      </c>
      <c r="E137" s="137" t="s">
        <v>1570</v>
      </c>
      <c r="F137" s="11" t="s">
        <v>1571</v>
      </c>
      <c r="G137" s="11" t="s">
        <v>1572</v>
      </c>
      <c r="H137" s="11" t="s">
        <v>1573</v>
      </c>
      <c r="I137" s="11" t="s">
        <v>1574</v>
      </c>
      <c r="J137" s="11" t="s">
        <v>1575</v>
      </c>
      <c r="K137" s="11" t="s">
        <v>701</v>
      </c>
      <c r="L137" s="11" t="s">
        <v>1576</v>
      </c>
      <c r="M137" s="136" t="s">
        <v>1576</v>
      </c>
      <c r="N137" s="136" t="s">
        <v>1577</v>
      </c>
      <c r="S137" s="48" t="s">
        <v>1578</v>
      </c>
      <c r="T137" s="48" t="s">
        <v>1579</v>
      </c>
      <c r="U137"/>
      <c r="V137" s="48" t="s">
        <v>1579</v>
      </c>
      <c r="W137" s="48" t="s">
        <v>1580</v>
      </c>
      <c r="X137" s="48" t="s">
        <v>1581</v>
      </c>
    </row>
    <row r="138" spans="1:25" ht="15.75" x14ac:dyDescent="0.3">
      <c r="A138" s="22" t="s">
        <v>518</v>
      </c>
      <c r="B138" s="138" t="s">
        <v>613</v>
      </c>
      <c r="C138" s="22" t="s">
        <v>182</v>
      </c>
      <c r="D138" s="22" t="s">
        <v>81</v>
      </c>
      <c r="E138" s="22" t="s">
        <v>612</v>
      </c>
      <c r="F138" s="22">
        <v>10</v>
      </c>
      <c r="G138" s="22" t="s">
        <v>1582</v>
      </c>
      <c r="H138" s="22" t="s">
        <v>1583</v>
      </c>
      <c r="I138" s="13">
        <v>990101</v>
      </c>
      <c r="J138" s="13">
        <f>IF(H138="","",F138*10000+100+1)</f>
        <v>100101</v>
      </c>
      <c r="K138" s="13">
        <f>VLOOKUP(A138,坦克标准养成属性!$C$6:$D$35,2,FALSE)</f>
        <v>1111</v>
      </c>
      <c r="L138" s="13" t="str">
        <f t="shared" ref="L138:L167" si="10">IF(J138="","["&amp;I138&amp;"]","["&amp;I138&amp;","&amp;J138&amp;"]")</f>
        <v>[990101,100101]</v>
      </c>
      <c r="M138" s="22" t="str">
        <f>IF(J138="","["&amp;N138&amp;"]","["&amp;1&amp;","&amp;N138&amp;"]")</f>
        <v>[1,4]</v>
      </c>
      <c r="N138" s="22">
        <v>4</v>
      </c>
      <c r="S138" s="1">
        <v>52</v>
      </c>
      <c r="T138" s="1" t="s">
        <v>1424</v>
      </c>
      <c r="U138"/>
      <c r="V138" t="s">
        <v>1445</v>
      </c>
      <c r="W138" t="s">
        <v>1583</v>
      </c>
      <c r="X138" s="141">
        <v>1001</v>
      </c>
    </row>
    <row r="139" spans="1:25" ht="15.75" x14ac:dyDescent="0.3">
      <c r="A139" s="22" t="s">
        <v>524</v>
      </c>
      <c r="B139" s="138" t="s">
        <v>615</v>
      </c>
      <c r="C139" s="22" t="s">
        <v>182</v>
      </c>
      <c r="D139" s="22" t="s">
        <v>81</v>
      </c>
      <c r="E139" s="22" t="s">
        <v>614</v>
      </c>
      <c r="F139" s="22">
        <v>11</v>
      </c>
      <c r="G139" s="22" t="s">
        <v>1582</v>
      </c>
      <c r="H139" s="22" t="s">
        <v>1583</v>
      </c>
      <c r="I139" s="13">
        <v>990101</v>
      </c>
      <c r="J139" s="13">
        <f t="shared" ref="J139:J167" si="11">IF(H139="","",F139*10000+100+1)</f>
        <v>110101</v>
      </c>
      <c r="K139" s="13">
        <f>VLOOKUP(A139,坦克标准养成属性!$C$6:$D$35,2,FALSE)</f>
        <v>1211</v>
      </c>
      <c r="L139" s="13" t="str">
        <f t="shared" si="10"/>
        <v>[990101,110101]</v>
      </c>
      <c r="M139" s="22" t="str">
        <f t="shared" ref="M139:M167" si="12">IF(J139="","["&amp;N139&amp;"]","["&amp;1&amp;","&amp;N139&amp;"]")</f>
        <v>[1,4]</v>
      </c>
      <c r="N139" s="22">
        <f>VLOOKUP(B139,C182:$G$210,5,FALSE)</f>
        <v>4</v>
      </c>
      <c r="S139" s="1">
        <v>2</v>
      </c>
      <c r="T139" s="1" t="s">
        <v>1427</v>
      </c>
      <c r="U139"/>
      <c r="V139" t="s">
        <v>1424</v>
      </c>
      <c r="W139" t="s">
        <v>1424</v>
      </c>
      <c r="X139" s="141">
        <v>1002</v>
      </c>
    </row>
    <row r="140" spans="1:25" ht="15.75" x14ac:dyDescent="0.3">
      <c r="A140" s="22" t="s">
        <v>616</v>
      </c>
      <c r="B140" s="138" t="s">
        <v>615</v>
      </c>
      <c r="C140" s="22" t="s">
        <v>184</v>
      </c>
      <c r="D140" s="22" t="s">
        <v>79</v>
      </c>
      <c r="E140" s="22" t="s">
        <v>617</v>
      </c>
      <c r="F140" s="22">
        <v>12</v>
      </c>
      <c r="G140" s="22" t="s">
        <v>1582</v>
      </c>
      <c r="H140" s="22" t="s">
        <v>1583</v>
      </c>
      <c r="I140" s="13">
        <v>990101</v>
      </c>
      <c r="J140" s="13">
        <f t="shared" si="11"/>
        <v>120101</v>
      </c>
      <c r="K140" s="13">
        <f>VLOOKUP(A140,坦克标准养成属性!$C$6:$D$35,2,FALSE)</f>
        <v>1221</v>
      </c>
      <c r="L140" s="13" t="str">
        <f t="shared" si="10"/>
        <v>[990101,120101]</v>
      </c>
      <c r="M140" s="22" t="str">
        <f t="shared" si="12"/>
        <v>[1,4]</v>
      </c>
      <c r="N140" s="22">
        <f>VLOOKUP(B140,C183:$G$210,5,FALSE)</f>
        <v>4</v>
      </c>
      <c r="S140" s="1">
        <v>10</v>
      </c>
      <c r="T140" s="1" t="s">
        <v>1436</v>
      </c>
      <c r="U140"/>
      <c r="V140" t="s">
        <v>1439</v>
      </c>
      <c r="W140" t="s">
        <v>1584</v>
      </c>
      <c r="X140" s="141">
        <v>1003</v>
      </c>
    </row>
    <row r="141" spans="1:25" ht="15.75" x14ac:dyDescent="0.3">
      <c r="A141" s="22" t="s">
        <v>530</v>
      </c>
      <c r="B141" s="138" t="s">
        <v>619</v>
      </c>
      <c r="C141" s="22" t="s">
        <v>182</v>
      </c>
      <c r="D141" s="22" t="s">
        <v>79</v>
      </c>
      <c r="E141" s="22" t="s">
        <v>618</v>
      </c>
      <c r="F141" s="22">
        <v>13</v>
      </c>
      <c r="G141" s="22" t="s">
        <v>1582</v>
      </c>
      <c r="H141" s="22" t="s">
        <v>1583</v>
      </c>
      <c r="I141" s="13">
        <v>990101</v>
      </c>
      <c r="J141" s="13">
        <f t="shared" si="11"/>
        <v>130101</v>
      </c>
      <c r="K141" s="13">
        <f>VLOOKUP(A141,坦克标准养成属性!$C$6:$D$35,2,FALSE)</f>
        <v>1311</v>
      </c>
      <c r="L141" s="13" t="str">
        <f t="shared" si="10"/>
        <v>[990101,130101]</v>
      </c>
      <c r="M141" s="22" t="str">
        <f t="shared" si="12"/>
        <v>[1,5]</v>
      </c>
      <c r="N141" s="22">
        <f>VLOOKUP(B141,C184:$G$210,5,FALSE)</f>
        <v>5</v>
      </c>
      <c r="S141" s="1">
        <v>6</v>
      </c>
      <c r="T141" s="1" t="s">
        <v>1430</v>
      </c>
      <c r="U141"/>
      <c r="V141" t="s">
        <v>1452</v>
      </c>
      <c r="W141" t="s">
        <v>1452</v>
      </c>
      <c r="X141" s="141">
        <v>1004</v>
      </c>
    </row>
    <row r="142" spans="1:25" ht="15.75" x14ac:dyDescent="0.3">
      <c r="A142" s="22" t="s">
        <v>620</v>
      </c>
      <c r="B142" s="138" t="s">
        <v>619</v>
      </c>
      <c r="C142" s="22" t="s">
        <v>184</v>
      </c>
      <c r="D142" s="22" t="s">
        <v>81</v>
      </c>
      <c r="E142" s="22" t="s">
        <v>621</v>
      </c>
      <c r="F142" s="22">
        <v>14</v>
      </c>
      <c r="G142" s="22" t="s">
        <v>1582</v>
      </c>
      <c r="H142" s="22" t="s">
        <v>1583</v>
      </c>
      <c r="I142" s="13">
        <v>990101</v>
      </c>
      <c r="J142" s="13">
        <f t="shared" si="11"/>
        <v>140101</v>
      </c>
      <c r="K142" s="13">
        <f>VLOOKUP(A142,坦克标准养成属性!$C$6:$D$35,2,FALSE)</f>
        <v>1321</v>
      </c>
      <c r="L142" s="13" t="str">
        <f t="shared" si="10"/>
        <v>[990101,140101]</v>
      </c>
      <c r="M142" s="22" t="str">
        <f t="shared" si="12"/>
        <v>[1,5]</v>
      </c>
      <c r="N142" s="22">
        <f>VLOOKUP(B142,C185:$G$210,5,FALSE)</f>
        <v>5</v>
      </c>
      <c r="S142" s="1">
        <v>7</v>
      </c>
      <c r="T142" s="1" t="s">
        <v>1433</v>
      </c>
      <c r="U142"/>
      <c r="V142" t="s">
        <v>1427</v>
      </c>
      <c r="W142" t="s">
        <v>1585</v>
      </c>
      <c r="X142" s="141">
        <v>1005</v>
      </c>
    </row>
    <row r="143" spans="1:25" ht="15.75" x14ac:dyDescent="0.3">
      <c r="A143" s="22" t="s">
        <v>622</v>
      </c>
      <c r="B143" s="138" t="s">
        <v>619</v>
      </c>
      <c r="C143" s="22" t="s">
        <v>183</v>
      </c>
      <c r="D143" s="22" t="s">
        <v>83</v>
      </c>
      <c r="E143" s="22" t="s">
        <v>623</v>
      </c>
      <c r="F143" s="22">
        <v>15</v>
      </c>
      <c r="G143" s="22" t="s">
        <v>1582</v>
      </c>
      <c r="H143" s="22" t="s">
        <v>1433</v>
      </c>
      <c r="I143" s="13">
        <v>990101</v>
      </c>
      <c r="J143" s="13">
        <f t="shared" si="11"/>
        <v>150101</v>
      </c>
      <c r="K143" s="13">
        <f>VLOOKUP(A143,坦克标准养成属性!$C$6:$D$35,2,FALSE)</f>
        <v>1331</v>
      </c>
      <c r="L143" s="13" t="str">
        <f t="shared" si="10"/>
        <v>[990101,150101]</v>
      </c>
      <c r="M143" s="22" t="str">
        <f t="shared" si="12"/>
        <v>[1,5]</v>
      </c>
      <c r="N143" s="22">
        <f>VLOOKUP(B143,C186:$G$210,5,FALSE)</f>
        <v>5</v>
      </c>
      <c r="S143" s="1">
        <v>51</v>
      </c>
      <c r="T143" s="1" t="s">
        <v>1439</v>
      </c>
      <c r="U143"/>
      <c r="V143" t="s">
        <v>1436</v>
      </c>
      <c r="W143" t="s">
        <v>1582</v>
      </c>
      <c r="X143" s="141">
        <v>1006</v>
      </c>
    </row>
    <row r="144" spans="1:25" ht="15.75" x14ac:dyDescent="0.3">
      <c r="A144" s="22" t="s">
        <v>624</v>
      </c>
      <c r="B144" s="138" t="s">
        <v>626</v>
      </c>
      <c r="C144" s="22" t="s">
        <v>182</v>
      </c>
      <c r="D144" s="22" t="s">
        <v>79</v>
      </c>
      <c r="E144" s="22" t="s">
        <v>625</v>
      </c>
      <c r="F144" s="22">
        <v>16</v>
      </c>
      <c r="G144" s="22" t="s">
        <v>1582</v>
      </c>
      <c r="H144" s="22" t="s">
        <v>1583</v>
      </c>
      <c r="I144" s="13">
        <v>990101</v>
      </c>
      <c r="J144" s="13">
        <f t="shared" si="11"/>
        <v>160101</v>
      </c>
      <c r="K144" s="13">
        <f>VLOOKUP(A144,坦克标准养成属性!$C$6:$D$35,2,FALSE)</f>
        <v>1411</v>
      </c>
      <c r="L144" s="13" t="str">
        <f t="shared" si="10"/>
        <v>[990101,160101]</v>
      </c>
      <c r="M144" s="22" t="str">
        <f t="shared" si="12"/>
        <v>[1,6]</v>
      </c>
      <c r="N144" s="22">
        <f>VLOOKUP(B144,C187:$G$210,5,FALSE)</f>
        <v>6</v>
      </c>
      <c r="S144" s="1">
        <v>53</v>
      </c>
      <c r="T144" s="1" t="s">
        <v>1445</v>
      </c>
      <c r="U144"/>
      <c r="V144" t="s">
        <v>1448</v>
      </c>
      <c r="W144" t="s">
        <v>1448</v>
      </c>
      <c r="X144" s="141">
        <v>1007</v>
      </c>
    </row>
    <row r="145" spans="1:24" ht="15.75" x14ac:dyDescent="0.3">
      <c r="A145" s="22" t="s">
        <v>627</v>
      </c>
      <c r="B145" s="138" t="s">
        <v>626</v>
      </c>
      <c r="C145" s="22" t="s">
        <v>184</v>
      </c>
      <c r="D145" s="22" t="s">
        <v>83</v>
      </c>
      <c r="E145" s="22" t="s">
        <v>628</v>
      </c>
      <c r="F145" s="22">
        <v>17</v>
      </c>
      <c r="G145" s="22" t="s">
        <v>1582</v>
      </c>
      <c r="H145" s="22" t="s">
        <v>1433</v>
      </c>
      <c r="I145" s="13">
        <v>990101</v>
      </c>
      <c r="J145" s="13">
        <f t="shared" si="11"/>
        <v>170101</v>
      </c>
      <c r="K145" s="13">
        <f>VLOOKUP(A145,坦克标准养成属性!$C$6:$D$35,2,FALSE)</f>
        <v>1421</v>
      </c>
      <c r="L145" s="13" t="str">
        <f t="shared" si="10"/>
        <v>[990101,170101]</v>
      </c>
      <c r="M145" s="22" t="str">
        <f t="shared" si="12"/>
        <v>[1,6]</v>
      </c>
      <c r="N145" s="22">
        <f>VLOOKUP(B145,C188:$G$210,5,FALSE)</f>
        <v>6</v>
      </c>
      <c r="S145" s="1">
        <v>54</v>
      </c>
      <c r="T145" s="1" t="s">
        <v>1448</v>
      </c>
      <c r="U145"/>
      <c r="V145" t="s">
        <v>1430</v>
      </c>
      <c r="W145" t="s">
        <v>1430</v>
      </c>
      <c r="X145" s="141">
        <v>1008</v>
      </c>
    </row>
    <row r="146" spans="1:24" ht="15.75" x14ac:dyDescent="0.3">
      <c r="A146" s="22" t="s">
        <v>629</v>
      </c>
      <c r="B146" s="138" t="s">
        <v>626</v>
      </c>
      <c r="C146" s="22" t="s">
        <v>183</v>
      </c>
      <c r="D146" s="22" t="s">
        <v>79</v>
      </c>
      <c r="E146" s="22" t="s">
        <v>630</v>
      </c>
      <c r="F146" s="22">
        <v>18</v>
      </c>
      <c r="G146" s="22" t="s">
        <v>1582</v>
      </c>
      <c r="H146" s="22" t="s">
        <v>1583</v>
      </c>
      <c r="I146" s="13">
        <v>990101</v>
      </c>
      <c r="J146" s="13">
        <f t="shared" si="11"/>
        <v>180101</v>
      </c>
      <c r="K146" s="13">
        <f>VLOOKUP(A146,坦克标准养成属性!$C$6:$D$35,2,FALSE)</f>
        <v>1431</v>
      </c>
      <c r="L146" s="13" t="str">
        <f t="shared" si="10"/>
        <v>[990101,180101]</v>
      </c>
      <c r="M146" s="22" t="str">
        <f t="shared" si="12"/>
        <v>[1,6]</v>
      </c>
      <c r="N146" s="22">
        <f>VLOOKUP(B146,C189:$G$210,5,FALSE)</f>
        <v>6</v>
      </c>
      <c r="S146" s="1">
        <v>55</v>
      </c>
      <c r="T146" s="1" t="s">
        <v>1452</v>
      </c>
      <c r="U146"/>
      <c r="V146" t="s">
        <v>1433</v>
      </c>
      <c r="W146" t="s">
        <v>1433</v>
      </c>
      <c r="X146" s="141">
        <v>1009</v>
      </c>
    </row>
    <row r="147" spans="1:24" ht="15.75" x14ac:dyDescent="0.3">
      <c r="A147" s="22" t="s">
        <v>631</v>
      </c>
      <c r="B147" s="138" t="s">
        <v>633</v>
      </c>
      <c r="C147" s="22" t="s">
        <v>182</v>
      </c>
      <c r="D147" s="22" t="s">
        <v>83</v>
      </c>
      <c r="E147" s="22" t="s">
        <v>632</v>
      </c>
      <c r="F147" s="22">
        <v>19</v>
      </c>
      <c r="G147" s="22" t="s">
        <v>1582</v>
      </c>
      <c r="H147" s="22" t="s">
        <v>1433</v>
      </c>
      <c r="I147" s="13">
        <v>990101</v>
      </c>
      <c r="J147" s="13">
        <f t="shared" si="11"/>
        <v>190101</v>
      </c>
      <c r="K147" s="13">
        <f>VLOOKUP(A147,坦克标准养成属性!$C$6:$D$35,2,FALSE)</f>
        <v>1511</v>
      </c>
      <c r="L147" s="13" t="str">
        <f t="shared" si="10"/>
        <v>[990101,190101]</v>
      </c>
      <c r="M147" s="22" t="str">
        <f t="shared" si="12"/>
        <v>[1,7]</v>
      </c>
      <c r="N147" s="22">
        <f>VLOOKUP(B147,C190:$G$210,5,FALSE)</f>
        <v>7</v>
      </c>
      <c r="R147"/>
      <c r="S147"/>
      <c r="T147"/>
      <c r="U147"/>
    </row>
    <row r="148" spans="1:24" ht="15.75" x14ac:dyDescent="0.3">
      <c r="A148" s="22" t="s">
        <v>520</v>
      </c>
      <c r="B148" s="138" t="s">
        <v>613</v>
      </c>
      <c r="C148" s="22" t="s">
        <v>182</v>
      </c>
      <c r="D148" s="22" t="s">
        <v>85</v>
      </c>
      <c r="E148" s="22" t="s">
        <v>634</v>
      </c>
      <c r="F148" s="22">
        <v>20</v>
      </c>
      <c r="G148" s="22" t="s">
        <v>1586</v>
      </c>
      <c r="H148" s="22" t="s">
        <v>1584</v>
      </c>
      <c r="I148" s="13">
        <v>990201</v>
      </c>
      <c r="J148" s="13">
        <f t="shared" si="11"/>
        <v>200101</v>
      </c>
      <c r="K148" s="13">
        <f>VLOOKUP(A148,坦克标准养成属性!$C$6:$D$35,2,FALSE)</f>
        <v>2111</v>
      </c>
      <c r="L148" s="13" t="str">
        <f t="shared" si="10"/>
        <v>[990201,200101]</v>
      </c>
      <c r="M148" s="22" t="str">
        <f t="shared" si="12"/>
        <v>[1,4]</v>
      </c>
      <c r="N148" s="22">
        <v>4</v>
      </c>
      <c r="R148"/>
      <c r="S148"/>
      <c r="T148"/>
      <c r="U148"/>
    </row>
    <row r="149" spans="1:24" ht="15.75" x14ac:dyDescent="0.3">
      <c r="A149" s="22" t="s">
        <v>526</v>
      </c>
      <c r="B149" s="138" t="s">
        <v>615</v>
      </c>
      <c r="C149" s="22" t="s">
        <v>182</v>
      </c>
      <c r="D149" s="22" t="s">
        <v>85</v>
      </c>
      <c r="E149" s="22" t="s">
        <v>635</v>
      </c>
      <c r="F149" s="22">
        <v>21</v>
      </c>
      <c r="G149" s="22" t="s">
        <v>1586</v>
      </c>
      <c r="H149" s="22" t="s">
        <v>1584</v>
      </c>
      <c r="I149" s="13">
        <v>990201</v>
      </c>
      <c r="J149" s="13">
        <f t="shared" si="11"/>
        <v>210101</v>
      </c>
      <c r="K149" s="13">
        <f>VLOOKUP(A149,坦克标准养成属性!$C$6:$D$35,2,FALSE)</f>
        <v>2211</v>
      </c>
      <c r="L149" s="13" t="str">
        <f t="shared" si="10"/>
        <v>[990201,210101]</v>
      </c>
      <c r="M149" s="22" t="str">
        <f t="shared" si="12"/>
        <v>[1,4]</v>
      </c>
      <c r="N149" s="22">
        <f>VLOOKUP(B149,C192:$G$210,5,FALSE)</f>
        <v>4</v>
      </c>
      <c r="R149"/>
      <c r="S149"/>
      <c r="T149"/>
      <c r="U149"/>
    </row>
    <row r="150" spans="1:24" ht="15.75" x14ac:dyDescent="0.3">
      <c r="A150" s="22" t="s">
        <v>636</v>
      </c>
      <c r="B150" s="138" t="s">
        <v>615</v>
      </c>
      <c r="C150" s="22" t="s">
        <v>184</v>
      </c>
      <c r="D150" s="22" t="s">
        <v>875</v>
      </c>
      <c r="E150" s="22" t="s">
        <v>637</v>
      </c>
      <c r="F150" s="22">
        <v>22</v>
      </c>
      <c r="G150" s="22" t="s">
        <v>1586</v>
      </c>
      <c r="H150" s="22" t="s">
        <v>1430</v>
      </c>
      <c r="I150" s="13">
        <v>990201</v>
      </c>
      <c r="J150" s="13">
        <f t="shared" si="11"/>
        <v>220101</v>
      </c>
      <c r="K150" s="13">
        <f>VLOOKUP(A150,坦克标准养成属性!$C$6:$D$35,2,FALSE)</f>
        <v>2221</v>
      </c>
      <c r="L150" s="13" t="str">
        <f t="shared" si="10"/>
        <v>[990201,220101]</v>
      </c>
      <c r="M150" s="22" t="str">
        <f t="shared" si="12"/>
        <v>[1,4]</v>
      </c>
      <c r="N150" s="22">
        <f>VLOOKUP(B150,C193:$G$210,5,FALSE)</f>
        <v>4</v>
      </c>
      <c r="R150"/>
      <c r="U150"/>
    </row>
    <row r="151" spans="1:24" ht="15.75" x14ac:dyDescent="0.3">
      <c r="A151" s="22" t="s">
        <v>534</v>
      </c>
      <c r="B151" s="138" t="s">
        <v>619</v>
      </c>
      <c r="C151" s="22" t="s">
        <v>182</v>
      </c>
      <c r="D151" s="22" t="s">
        <v>85</v>
      </c>
      <c r="E151" s="22" t="s">
        <v>638</v>
      </c>
      <c r="F151" s="22">
        <v>23</v>
      </c>
      <c r="G151" s="22" t="s">
        <v>1586</v>
      </c>
      <c r="H151" s="22" t="s">
        <v>1584</v>
      </c>
      <c r="I151" s="13">
        <v>990201</v>
      </c>
      <c r="J151" s="13">
        <f t="shared" si="11"/>
        <v>230101</v>
      </c>
      <c r="K151" s="13">
        <f>VLOOKUP(A151,坦克标准养成属性!$C$6:$D$35,2,FALSE)</f>
        <v>2311</v>
      </c>
      <c r="L151" s="13" t="str">
        <f t="shared" si="10"/>
        <v>[990201,230101]</v>
      </c>
      <c r="M151" s="22" t="str">
        <f t="shared" si="12"/>
        <v>[1,5]</v>
      </c>
      <c r="N151" s="22">
        <f>VLOOKUP(B151,C194:$G$210,5,FALSE)</f>
        <v>5</v>
      </c>
      <c r="R151"/>
      <c r="U151"/>
    </row>
    <row r="152" spans="1:24" ht="15.75" x14ac:dyDescent="0.3">
      <c r="A152" s="22" t="s">
        <v>639</v>
      </c>
      <c r="B152" s="138" t="s">
        <v>619</v>
      </c>
      <c r="C152" s="22" t="s">
        <v>184</v>
      </c>
      <c r="D152" s="22" t="s">
        <v>875</v>
      </c>
      <c r="E152" s="22" t="s">
        <v>640</v>
      </c>
      <c r="F152" s="22">
        <v>24</v>
      </c>
      <c r="G152" s="22" t="s">
        <v>1586</v>
      </c>
      <c r="H152" s="22" t="s">
        <v>1430</v>
      </c>
      <c r="I152" s="13">
        <v>990201</v>
      </c>
      <c r="J152" s="13">
        <f t="shared" si="11"/>
        <v>240101</v>
      </c>
      <c r="K152" s="13">
        <f>VLOOKUP(A152,坦克标准养成属性!$C$6:$D$35,2,FALSE)</f>
        <v>2321</v>
      </c>
      <c r="L152" s="13" t="str">
        <f t="shared" si="10"/>
        <v>[990201,240101]</v>
      </c>
      <c r="M152" s="22" t="str">
        <f t="shared" si="12"/>
        <v>[1,5]</v>
      </c>
      <c r="N152" s="22">
        <f>VLOOKUP(B152,C195:$G$210,5,FALSE)</f>
        <v>5</v>
      </c>
      <c r="R152"/>
      <c r="U152"/>
    </row>
    <row r="153" spans="1:24" ht="15.75" x14ac:dyDescent="0.3">
      <c r="A153" s="22" t="s">
        <v>641</v>
      </c>
      <c r="B153" s="138" t="s">
        <v>619</v>
      </c>
      <c r="C153" s="22" t="s">
        <v>183</v>
      </c>
      <c r="D153" s="22" t="s">
        <v>875</v>
      </c>
      <c r="E153" s="22" t="s">
        <v>642</v>
      </c>
      <c r="F153" s="22">
        <v>25</v>
      </c>
      <c r="G153" s="22" t="s">
        <v>1586</v>
      </c>
      <c r="H153" s="22" t="s">
        <v>1430</v>
      </c>
      <c r="I153" s="13">
        <v>990201</v>
      </c>
      <c r="J153" s="13">
        <f t="shared" si="11"/>
        <v>250101</v>
      </c>
      <c r="K153" s="13">
        <f>VLOOKUP(A153,坦克标准养成属性!$C$6:$D$35,2,FALSE)</f>
        <v>2331</v>
      </c>
      <c r="L153" s="13" t="str">
        <f t="shared" si="10"/>
        <v>[990201,250101]</v>
      </c>
      <c r="M153" s="22" t="str">
        <f t="shared" si="12"/>
        <v>[1,5]</v>
      </c>
      <c r="N153" s="22">
        <f>VLOOKUP(B153,C196:$G$210,5,FALSE)</f>
        <v>5</v>
      </c>
      <c r="R153"/>
      <c r="U153"/>
    </row>
    <row r="154" spans="1:24" ht="15.75" x14ac:dyDescent="0.3">
      <c r="A154" s="22" t="s">
        <v>643</v>
      </c>
      <c r="B154" s="138" t="s">
        <v>626</v>
      </c>
      <c r="C154" s="22" t="s">
        <v>182</v>
      </c>
      <c r="D154" s="22" t="s">
        <v>85</v>
      </c>
      <c r="E154" s="22" t="s">
        <v>644</v>
      </c>
      <c r="F154" s="22">
        <v>26</v>
      </c>
      <c r="G154" s="22" t="s">
        <v>1586</v>
      </c>
      <c r="H154" s="22" t="s">
        <v>1584</v>
      </c>
      <c r="I154" s="13">
        <v>990201</v>
      </c>
      <c r="J154" s="13">
        <f t="shared" si="11"/>
        <v>260101</v>
      </c>
      <c r="K154" s="13">
        <f>VLOOKUP(A154,坦克标准养成属性!$C$6:$D$35,2,FALSE)</f>
        <v>2411</v>
      </c>
      <c r="L154" s="13" t="str">
        <f t="shared" si="10"/>
        <v>[990201,260101]</v>
      </c>
      <c r="M154" s="22" t="str">
        <f t="shared" si="12"/>
        <v>[1,6]</v>
      </c>
      <c r="N154" s="22">
        <f>VLOOKUP(B154,C197:$G$210,5,FALSE)</f>
        <v>6</v>
      </c>
      <c r="R154"/>
      <c r="U154"/>
    </row>
    <row r="155" spans="1:24" ht="15.75" x14ac:dyDescent="0.3">
      <c r="A155" s="22" t="s">
        <v>645</v>
      </c>
      <c r="B155" s="138" t="s">
        <v>626</v>
      </c>
      <c r="C155" s="22" t="s">
        <v>184</v>
      </c>
      <c r="D155" s="22" t="s">
        <v>875</v>
      </c>
      <c r="E155" s="22" t="s">
        <v>646</v>
      </c>
      <c r="F155" s="22">
        <v>27</v>
      </c>
      <c r="G155" s="22" t="s">
        <v>1586</v>
      </c>
      <c r="H155" s="22" t="s">
        <v>1430</v>
      </c>
      <c r="I155" s="13">
        <v>990201</v>
      </c>
      <c r="J155" s="13">
        <f t="shared" si="11"/>
        <v>270101</v>
      </c>
      <c r="K155" s="13">
        <f>VLOOKUP(A155,坦克标准养成属性!$C$6:$D$35,2,FALSE)</f>
        <v>2421</v>
      </c>
      <c r="L155" s="13" t="str">
        <f t="shared" si="10"/>
        <v>[990201,270101]</v>
      </c>
      <c r="M155" s="22" t="str">
        <f t="shared" si="12"/>
        <v>[1,6]</v>
      </c>
      <c r="N155" s="22">
        <f>VLOOKUP(B155,C198:$G$210,5,FALSE)</f>
        <v>6</v>
      </c>
      <c r="R155"/>
      <c r="U155"/>
    </row>
    <row r="156" spans="1:24" ht="15.75" x14ac:dyDescent="0.3">
      <c r="A156" s="22" t="s">
        <v>647</v>
      </c>
      <c r="B156" s="138" t="s">
        <v>626</v>
      </c>
      <c r="C156" s="22" t="s">
        <v>183</v>
      </c>
      <c r="D156" s="22" t="s">
        <v>875</v>
      </c>
      <c r="E156" s="22" t="s">
        <v>648</v>
      </c>
      <c r="F156" s="22">
        <v>28</v>
      </c>
      <c r="G156" s="22" t="s">
        <v>1586</v>
      </c>
      <c r="H156" s="22" t="s">
        <v>1430</v>
      </c>
      <c r="I156" s="13">
        <v>990201</v>
      </c>
      <c r="J156" s="13">
        <f t="shared" si="11"/>
        <v>280101</v>
      </c>
      <c r="K156" s="13">
        <f>VLOOKUP(A156,坦克标准养成属性!$C$6:$D$35,2,FALSE)</f>
        <v>2431</v>
      </c>
      <c r="L156" s="13" t="str">
        <f t="shared" si="10"/>
        <v>[990201,280101]</v>
      </c>
      <c r="M156" s="22" t="str">
        <f t="shared" si="12"/>
        <v>[1,6]</v>
      </c>
      <c r="N156" s="22">
        <f>VLOOKUP(B156,C199:$G$210,5,FALSE)</f>
        <v>6</v>
      </c>
      <c r="R156"/>
      <c r="S156"/>
      <c r="T156"/>
      <c r="U156"/>
    </row>
    <row r="157" spans="1:24" ht="15.75" x14ac:dyDescent="0.3">
      <c r="A157" s="22" t="s">
        <v>649</v>
      </c>
      <c r="B157" s="138" t="s">
        <v>633</v>
      </c>
      <c r="C157" s="22" t="s">
        <v>182</v>
      </c>
      <c r="D157" s="22" t="s">
        <v>875</v>
      </c>
      <c r="E157" s="22" t="s">
        <v>650</v>
      </c>
      <c r="F157" s="22">
        <v>29</v>
      </c>
      <c r="G157" s="22" t="s">
        <v>1586</v>
      </c>
      <c r="H157" s="22" t="s">
        <v>1430</v>
      </c>
      <c r="I157" s="13">
        <v>990201</v>
      </c>
      <c r="J157" s="13">
        <f t="shared" si="11"/>
        <v>290101</v>
      </c>
      <c r="K157" s="13">
        <f>VLOOKUP(A157,坦克标准养成属性!$C$6:$D$35,2,FALSE)</f>
        <v>2511</v>
      </c>
      <c r="L157" s="13" t="str">
        <f t="shared" si="10"/>
        <v>[990201,290101]</v>
      </c>
      <c r="M157" s="22" t="str">
        <f t="shared" si="12"/>
        <v>[1,7]</v>
      </c>
      <c r="N157" s="22">
        <f>VLOOKUP(B157,C200:$G$210,5,FALSE)</f>
        <v>7</v>
      </c>
      <c r="R157"/>
      <c r="S157"/>
      <c r="T157"/>
      <c r="U157"/>
    </row>
    <row r="158" spans="1:24" ht="15.75" x14ac:dyDescent="0.3">
      <c r="A158" s="22" t="s">
        <v>651</v>
      </c>
      <c r="B158" s="138" t="s">
        <v>613</v>
      </c>
      <c r="C158" s="22" t="s">
        <v>182</v>
      </c>
      <c r="D158" s="22" t="s">
        <v>87</v>
      </c>
      <c r="E158" s="22" t="s">
        <v>652</v>
      </c>
      <c r="F158" s="22">
        <v>30</v>
      </c>
      <c r="G158" s="22" t="s">
        <v>1424</v>
      </c>
      <c r="H158" s="22" t="s">
        <v>1452</v>
      </c>
      <c r="I158" s="13">
        <v>990301</v>
      </c>
      <c r="J158" s="13">
        <f t="shared" si="11"/>
        <v>300101</v>
      </c>
      <c r="K158" s="13">
        <f>VLOOKUP(A158,坦克标准养成属性!$C$6:$D$35,2,FALSE)</f>
        <v>3111</v>
      </c>
      <c r="L158" s="13" t="str">
        <f t="shared" si="10"/>
        <v>[990301,300101]</v>
      </c>
      <c r="M158" s="22" t="str">
        <f t="shared" si="12"/>
        <v>[1,4]</v>
      </c>
      <c r="N158" s="22">
        <v>4</v>
      </c>
      <c r="R158"/>
      <c r="S158"/>
      <c r="T158"/>
      <c r="U158"/>
    </row>
    <row r="159" spans="1:24" ht="15.75" x14ac:dyDescent="0.3">
      <c r="A159" s="22" t="s">
        <v>653</v>
      </c>
      <c r="B159" s="138" t="s">
        <v>615</v>
      </c>
      <c r="C159" s="22" t="s">
        <v>182</v>
      </c>
      <c r="D159" s="22" t="s">
        <v>87</v>
      </c>
      <c r="E159" s="22" t="s">
        <v>654</v>
      </c>
      <c r="F159" s="22">
        <v>31</v>
      </c>
      <c r="G159" s="22" t="s">
        <v>1424</v>
      </c>
      <c r="H159" s="22" t="s">
        <v>1452</v>
      </c>
      <c r="I159" s="13">
        <v>990301</v>
      </c>
      <c r="J159" s="13">
        <f t="shared" si="11"/>
        <v>310101</v>
      </c>
      <c r="K159" s="13">
        <f>VLOOKUP(A159,坦克标准养成属性!$C$6:$D$35,2,FALSE)</f>
        <v>3211</v>
      </c>
      <c r="L159" s="13" t="str">
        <f t="shared" si="10"/>
        <v>[990301,310101]</v>
      </c>
      <c r="M159" s="22" t="str">
        <f t="shared" si="12"/>
        <v>[1,4]</v>
      </c>
      <c r="N159" s="22">
        <f>VLOOKUP(B159,C202:$G$210,5,FALSE)</f>
        <v>4</v>
      </c>
      <c r="R159"/>
      <c r="S159"/>
      <c r="T159"/>
      <c r="U159"/>
    </row>
    <row r="160" spans="1:24" ht="15.75" x14ac:dyDescent="0.3">
      <c r="A160" s="22" t="s">
        <v>655</v>
      </c>
      <c r="B160" s="138" t="s">
        <v>615</v>
      </c>
      <c r="C160" s="22" t="s">
        <v>184</v>
      </c>
      <c r="D160" s="22" t="s">
        <v>88</v>
      </c>
      <c r="E160" s="22" t="s">
        <v>656</v>
      </c>
      <c r="F160" s="22">
        <v>32</v>
      </c>
      <c r="G160" s="22" t="s">
        <v>1424</v>
      </c>
      <c r="H160" s="22" t="s">
        <v>1448</v>
      </c>
      <c r="I160" s="13">
        <v>990301</v>
      </c>
      <c r="J160" s="13">
        <f t="shared" si="11"/>
        <v>320101</v>
      </c>
      <c r="K160" s="13">
        <f>VLOOKUP(A160,坦克标准养成属性!$C$6:$D$35,2,FALSE)</f>
        <v>3221</v>
      </c>
      <c r="L160" s="13" t="str">
        <f t="shared" si="10"/>
        <v>[990301,320101]</v>
      </c>
      <c r="M160" s="22" t="str">
        <f t="shared" si="12"/>
        <v>[1,4]</v>
      </c>
      <c r="N160" s="22">
        <f>VLOOKUP(B160,C203:$G$210,5,FALSE)</f>
        <v>4</v>
      </c>
      <c r="R160"/>
      <c r="S160"/>
      <c r="T160"/>
      <c r="U160"/>
    </row>
    <row r="161" spans="1:21" ht="15.75" x14ac:dyDescent="0.3">
      <c r="A161" s="22" t="s">
        <v>538</v>
      </c>
      <c r="B161" s="138" t="s">
        <v>619</v>
      </c>
      <c r="C161" s="22" t="s">
        <v>182</v>
      </c>
      <c r="D161" s="22" t="s">
        <v>88</v>
      </c>
      <c r="E161" s="22" t="s">
        <v>657</v>
      </c>
      <c r="F161" s="22">
        <v>33</v>
      </c>
      <c r="G161" s="22" t="s">
        <v>1424</v>
      </c>
      <c r="H161" s="22" t="s">
        <v>1448</v>
      </c>
      <c r="I161" s="13">
        <v>990301</v>
      </c>
      <c r="J161" s="13">
        <f t="shared" si="11"/>
        <v>330101</v>
      </c>
      <c r="K161" s="13">
        <f>VLOOKUP(A161,坦克标准养成属性!$C$6:$D$35,2,FALSE)</f>
        <v>3311</v>
      </c>
      <c r="L161" s="13" t="str">
        <f t="shared" si="10"/>
        <v>[990301,330101]</v>
      </c>
      <c r="M161" s="22" t="str">
        <f t="shared" si="12"/>
        <v>[1,5]</v>
      </c>
      <c r="N161" s="22">
        <f>VLOOKUP(B161,C204:$G$210,5,FALSE)</f>
        <v>5</v>
      </c>
      <c r="R161"/>
      <c r="S161"/>
      <c r="T161"/>
      <c r="U161"/>
    </row>
    <row r="162" spans="1:21" ht="15.75" x14ac:dyDescent="0.3">
      <c r="A162" s="22" t="s">
        <v>658</v>
      </c>
      <c r="B162" s="138" t="s">
        <v>619</v>
      </c>
      <c r="C162" s="22" t="s">
        <v>184</v>
      </c>
      <c r="D162" s="22" t="s">
        <v>88</v>
      </c>
      <c r="E162" s="22" t="s">
        <v>659</v>
      </c>
      <c r="F162" s="22">
        <v>34</v>
      </c>
      <c r="G162" s="22" t="s">
        <v>1424</v>
      </c>
      <c r="H162" s="22" t="s">
        <v>1448</v>
      </c>
      <c r="I162" s="13">
        <v>990301</v>
      </c>
      <c r="J162" s="13">
        <f t="shared" si="11"/>
        <v>340101</v>
      </c>
      <c r="K162" s="13">
        <f>VLOOKUP(A162,坦克标准养成属性!$C$6:$D$35,2,FALSE)</f>
        <v>3321</v>
      </c>
      <c r="L162" s="13" t="str">
        <f t="shared" si="10"/>
        <v>[990301,340101]</v>
      </c>
      <c r="M162" s="22" t="str">
        <f t="shared" si="12"/>
        <v>[1,5]</v>
      </c>
      <c r="N162" s="22">
        <f>VLOOKUP(B162,C205:$G$210,5,FALSE)</f>
        <v>5</v>
      </c>
      <c r="R162"/>
      <c r="S162"/>
      <c r="T162"/>
      <c r="U162"/>
    </row>
    <row r="163" spans="1:21" ht="15.75" x14ac:dyDescent="0.3">
      <c r="A163" s="22" t="s">
        <v>660</v>
      </c>
      <c r="B163" s="138" t="s">
        <v>619</v>
      </c>
      <c r="C163" s="22" t="s">
        <v>183</v>
      </c>
      <c r="D163" s="22" t="s">
        <v>87</v>
      </c>
      <c r="E163" s="22" t="s">
        <v>661</v>
      </c>
      <c r="F163" s="22">
        <v>35</v>
      </c>
      <c r="G163" s="22" t="s">
        <v>1424</v>
      </c>
      <c r="H163" s="22" t="s">
        <v>1452</v>
      </c>
      <c r="I163" s="13">
        <v>990301</v>
      </c>
      <c r="J163" s="13">
        <f t="shared" si="11"/>
        <v>350101</v>
      </c>
      <c r="K163" s="13">
        <f>VLOOKUP(A163,坦克标准养成属性!$C$6:$D$35,2,FALSE)</f>
        <v>3331</v>
      </c>
      <c r="L163" s="13" t="str">
        <f t="shared" si="10"/>
        <v>[990301,350101]</v>
      </c>
      <c r="M163" s="22" t="str">
        <f t="shared" si="12"/>
        <v>[1,5]</v>
      </c>
      <c r="N163" s="22">
        <f>VLOOKUP(B163,C206:$G$210,5,FALSE)</f>
        <v>5</v>
      </c>
      <c r="R163"/>
      <c r="S163"/>
      <c r="T163"/>
      <c r="U163"/>
    </row>
    <row r="164" spans="1:21" ht="15.75" x14ac:dyDescent="0.3">
      <c r="A164" s="22" t="s">
        <v>662</v>
      </c>
      <c r="B164" s="138" t="s">
        <v>626</v>
      </c>
      <c r="C164" s="22" t="s">
        <v>182</v>
      </c>
      <c r="D164" s="22" t="s">
        <v>88</v>
      </c>
      <c r="E164" s="22" t="s">
        <v>663</v>
      </c>
      <c r="F164" s="22">
        <v>36</v>
      </c>
      <c r="G164" s="22" t="s">
        <v>1424</v>
      </c>
      <c r="H164" s="22" t="s">
        <v>1448</v>
      </c>
      <c r="I164" s="13">
        <v>990301</v>
      </c>
      <c r="J164" s="13">
        <f t="shared" si="11"/>
        <v>360101</v>
      </c>
      <c r="K164" s="13">
        <f>VLOOKUP(A164,坦克标准养成属性!$C$6:$D$35,2,FALSE)</f>
        <v>3411</v>
      </c>
      <c r="L164" s="13" t="str">
        <f t="shared" si="10"/>
        <v>[990301,360101]</v>
      </c>
      <c r="M164" s="22" t="str">
        <f t="shared" si="12"/>
        <v>[1,6]</v>
      </c>
      <c r="N164" s="22">
        <f>VLOOKUP(B164,C207:$G$210,5,FALSE)</f>
        <v>6</v>
      </c>
      <c r="R164"/>
      <c r="S164"/>
      <c r="T164"/>
      <c r="U164"/>
    </row>
    <row r="165" spans="1:21" ht="15.75" x14ac:dyDescent="0.3">
      <c r="A165" s="22" t="s">
        <v>664</v>
      </c>
      <c r="B165" s="138" t="s">
        <v>626</v>
      </c>
      <c r="C165" s="22" t="s">
        <v>184</v>
      </c>
      <c r="D165" s="22" t="s">
        <v>87</v>
      </c>
      <c r="E165" s="22" t="s">
        <v>665</v>
      </c>
      <c r="F165" s="22">
        <v>37</v>
      </c>
      <c r="G165" s="22" t="s">
        <v>1424</v>
      </c>
      <c r="H165" s="22" t="s">
        <v>1452</v>
      </c>
      <c r="I165" s="13">
        <v>990301</v>
      </c>
      <c r="J165" s="13">
        <f t="shared" si="11"/>
        <v>370101</v>
      </c>
      <c r="K165" s="13">
        <f>VLOOKUP(A165,坦克标准养成属性!$C$6:$D$35,2,FALSE)</f>
        <v>3421</v>
      </c>
      <c r="L165" s="13" t="str">
        <f t="shared" si="10"/>
        <v>[990301,370101]</v>
      </c>
      <c r="M165" s="22" t="str">
        <f t="shared" si="12"/>
        <v>[1,6]</v>
      </c>
      <c r="N165" s="22">
        <f>VLOOKUP(B165,C208:$G$210,5,FALSE)</f>
        <v>6</v>
      </c>
      <c r="R165"/>
      <c r="S165"/>
      <c r="T165"/>
      <c r="U165"/>
    </row>
    <row r="166" spans="1:21" ht="15.75" x14ac:dyDescent="0.3">
      <c r="A166" s="22" t="s">
        <v>666</v>
      </c>
      <c r="B166" s="138" t="s">
        <v>626</v>
      </c>
      <c r="C166" s="22" t="s">
        <v>183</v>
      </c>
      <c r="D166" s="22" t="s">
        <v>88</v>
      </c>
      <c r="E166" s="22" t="s">
        <v>667</v>
      </c>
      <c r="F166" s="22">
        <v>38</v>
      </c>
      <c r="G166" s="22" t="s">
        <v>1424</v>
      </c>
      <c r="H166" s="22" t="s">
        <v>1448</v>
      </c>
      <c r="I166" s="13">
        <v>990301</v>
      </c>
      <c r="J166" s="13">
        <f t="shared" si="11"/>
        <v>380101</v>
      </c>
      <c r="K166" s="13">
        <f>VLOOKUP(A166,坦克标准养成属性!$C$6:$D$35,2,FALSE)</f>
        <v>3431</v>
      </c>
      <c r="L166" s="13" t="str">
        <f t="shared" si="10"/>
        <v>[990301,380101]</v>
      </c>
      <c r="M166" s="22" t="str">
        <f t="shared" si="12"/>
        <v>[1,6]</v>
      </c>
      <c r="N166" s="22">
        <f>VLOOKUP(B166,C209:$G$210,5,FALSE)</f>
        <v>6</v>
      </c>
      <c r="R166"/>
      <c r="S166"/>
      <c r="T166"/>
      <c r="U166"/>
    </row>
    <row r="167" spans="1:21" ht="15.75" x14ac:dyDescent="0.3">
      <c r="A167" s="22" t="s">
        <v>668</v>
      </c>
      <c r="B167" s="138" t="s">
        <v>633</v>
      </c>
      <c r="C167" s="22" t="s">
        <v>182</v>
      </c>
      <c r="D167" s="22" t="s">
        <v>88</v>
      </c>
      <c r="E167" s="22" t="s">
        <v>669</v>
      </c>
      <c r="F167" s="22">
        <v>39</v>
      </c>
      <c r="G167" s="22" t="s">
        <v>1424</v>
      </c>
      <c r="H167" s="22" t="s">
        <v>1448</v>
      </c>
      <c r="I167" s="13">
        <v>990301</v>
      </c>
      <c r="J167" s="13">
        <f t="shared" si="11"/>
        <v>390101</v>
      </c>
      <c r="K167" s="13">
        <f>VLOOKUP(A167,坦克标准养成属性!$C$6:$D$35,2,FALSE)</f>
        <v>3511</v>
      </c>
      <c r="L167" s="13" t="str">
        <f t="shared" si="10"/>
        <v>[990301,390101]</v>
      </c>
      <c r="M167" s="22" t="str">
        <f t="shared" si="12"/>
        <v>[1,7]</v>
      </c>
      <c r="N167" s="22">
        <f>VLOOKUP(B167,C210:$G$210,5,FALSE)</f>
        <v>7</v>
      </c>
      <c r="R167"/>
      <c r="S167"/>
      <c r="T167"/>
      <c r="U167"/>
    </row>
    <row r="168" spans="1:21" ht="15.75" x14ac:dyDescent="0.3">
      <c r="A168" s="25"/>
      <c r="B168" s="30"/>
      <c r="C168" s="25"/>
      <c r="D168" s="25"/>
      <c r="J168"/>
      <c r="K168"/>
      <c r="L168"/>
      <c r="M168"/>
      <c r="N168"/>
      <c r="O168"/>
      <c r="P168"/>
      <c r="Q168"/>
      <c r="R168"/>
      <c r="S168"/>
      <c r="T168"/>
      <c r="U168"/>
    </row>
    <row r="169" spans="1:21" ht="15.75" x14ac:dyDescent="0.3">
      <c r="A169" s="25"/>
      <c r="B169" s="30"/>
      <c r="C169" s="25"/>
      <c r="D169" s="25"/>
      <c r="J169"/>
      <c r="K169"/>
      <c r="L169"/>
      <c r="M169"/>
      <c r="N169"/>
      <c r="O169"/>
      <c r="P169"/>
      <c r="Q169"/>
      <c r="R169"/>
      <c r="S169"/>
      <c r="T169"/>
      <c r="U169"/>
    </row>
    <row r="170" spans="1:21" ht="15.75" x14ac:dyDescent="0.3">
      <c r="A170" s="25"/>
      <c r="B170" s="30"/>
      <c r="C170" s="25"/>
      <c r="D170" s="25"/>
      <c r="J170"/>
      <c r="K170"/>
      <c r="L170"/>
      <c r="M170"/>
      <c r="N170"/>
      <c r="O170"/>
      <c r="P170"/>
      <c r="Q170"/>
      <c r="R170"/>
      <c r="S170"/>
      <c r="T170"/>
      <c r="U170"/>
    </row>
    <row r="171" spans="1:21" ht="15.75" x14ac:dyDescent="0.3">
      <c r="A171" s="11" t="s">
        <v>352</v>
      </c>
      <c r="B171" s="11" t="s">
        <v>603</v>
      </c>
      <c r="C171" s="11" t="s">
        <v>1387</v>
      </c>
      <c r="D171" s="11" t="s">
        <v>1587</v>
      </c>
      <c r="E171" s="11" t="s">
        <v>1588</v>
      </c>
      <c r="J171"/>
      <c r="K171"/>
      <c r="L171"/>
      <c r="M171"/>
      <c r="N171"/>
      <c r="O171"/>
      <c r="P171"/>
      <c r="Q171"/>
      <c r="R171"/>
      <c r="S171"/>
      <c r="T171"/>
      <c r="U171"/>
    </row>
    <row r="172" spans="1:21" ht="15.75" x14ac:dyDescent="0.3">
      <c r="A172" s="7" t="s">
        <v>613</v>
      </c>
      <c r="B172" s="7">
        <v>5</v>
      </c>
      <c r="C172" s="2">
        <v>1</v>
      </c>
      <c r="D172" s="2">
        <v>3</v>
      </c>
      <c r="E172" s="2">
        <v>3</v>
      </c>
      <c r="J172"/>
      <c r="K172"/>
      <c r="L172"/>
      <c r="M172"/>
      <c r="N172"/>
      <c r="O172"/>
      <c r="P172"/>
      <c r="Q172"/>
      <c r="R172"/>
      <c r="S172"/>
      <c r="T172"/>
      <c r="U172"/>
    </row>
    <row r="173" spans="1:21" ht="15.75" x14ac:dyDescent="0.3">
      <c r="A173" s="7" t="s">
        <v>615</v>
      </c>
      <c r="B173" s="7">
        <v>7</v>
      </c>
      <c r="C173" s="2">
        <v>2</v>
      </c>
      <c r="D173" s="2">
        <v>4</v>
      </c>
      <c r="E173" s="2">
        <v>4</v>
      </c>
      <c r="J173"/>
      <c r="K173"/>
      <c r="L173"/>
      <c r="M173"/>
      <c r="N173"/>
      <c r="O173"/>
      <c r="P173"/>
      <c r="Q173"/>
      <c r="R173"/>
      <c r="S173"/>
      <c r="T173"/>
      <c r="U173"/>
    </row>
    <row r="174" spans="1:21" ht="15.75" x14ac:dyDescent="0.3">
      <c r="A174" s="7" t="s">
        <v>619</v>
      </c>
      <c r="B174" s="7">
        <v>9</v>
      </c>
      <c r="C174" s="2">
        <v>3</v>
      </c>
      <c r="D174" s="2">
        <v>5</v>
      </c>
      <c r="E174" s="2">
        <v>5</v>
      </c>
      <c r="J174"/>
      <c r="K174"/>
      <c r="L174"/>
      <c r="M174"/>
      <c r="N174"/>
      <c r="O174"/>
      <c r="P174"/>
      <c r="Q174"/>
      <c r="R174"/>
      <c r="S174"/>
      <c r="T174"/>
      <c r="U174"/>
    </row>
    <row r="175" spans="1:21" ht="15.75" x14ac:dyDescent="0.3">
      <c r="A175" s="7" t="s">
        <v>626</v>
      </c>
      <c r="B175" s="7">
        <v>11</v>
      </c>
      <c r="C175" s="2">
        <v>4</v>
      </c>
      <c r="D175" s="2">
        <v>6</v>
      </c>
      <c r="E175" s="2">
        <v>6</v>
      </c>
      <c r="J175"/>
      <c r="K175"/>
      <c r="L175"/>
      <c r="M175"/>
      <c r="N175"/>
      <c r="O175"/>
      <c r="P175"/>
      <c r="Q175"/>
      <c r="R175"/>
      <c r="S175"/>
      <c r="T175"/>
      <c r="U175"/>
    </row>
    <row r="176" spans="1:21" ht="15.75" x14ac:dyDescent="0.3">
      <c r="A176" s="7" t="s">
        <v>633</v>
      </c>
      <c r="B176" s="7">
        <v>13</v>
      </c>
      <c r="C176" s="2">
        <v>5</v>
      </c>
      <c r="D176" s="2">
        <v>7</v>
      </c>
      <c r="E176" s="2">
        <v>7</v>
      </c>
      <c r="J176"/>
      <c r="K176"/>
      <c r="L176"/>
      <c r="M176"/>
      <c r="N176"/>
      <c r="O176"/>
      <c r="P176"/>
      <c r="Q176"/>
      <c r="R176"/>
      <c r="S176"/>
      <c r="T176"/>
      <c r="U176"/>
    </row>
    <row r="180" spans="1:23" x14ac:dyDescent="0.3">
      <c r="B180" s="2" t="s">
        <v>608</v>
      </c>
      <c r="C180" s="2" t="s">
        <v>790</v>
      </c>
      <c r="D180" s="2" t="s">
        <v>603</v>
      </c>
      <c r="E180" s="2" t="s">
        <v>1387</v>
      </c>
      <c r="F180" s="2" t="s">
        <v>1587</v>
      </c>
      <c r="G180" s="2" t="s">
        <v>1588</v>
      </c>
      <c r="I180" s="1" t="s">
        <v>1589</v>
      </c>
      <c r="J180" s="1" t="s">
        <v>1590</v>
      </c>
      <c r="L180" s="1" t="s">
        <v>372</v>
      </c>
    </row>
    <row r="181" spans="1:23" x14ac:dyDescent="0.3">
      <c r="A181" s="1" t="str">
        <f>IF(LEN(H181)=3,"["&amp;G181&amp;"]","["&amp;G181&amp;","&amp;G181&amp;"]")</f>
        <v>[3]</v>
      </c>
      <c r="B181" s="2" t="s">
        <v>518</v>
      </c>
      <c r="C181" s="29" t="s">
        <v>613</v>
      </c>
      <c r="D181" s="2">
        <f t="shared" ref="D181:D210" si="13">VLOOKUP(C181,$A$171:$B$176,2,FALSE)</f>
        <v>5</v>
      </c>
      <c r="E181" s="2">
        <f t="shared" ref="E181:E210" si="14">VLOOKUP(C181,$A$172:$D$176,3,FALSE)</f>
        <v>1</v>
      </c>
      <c r="F181" s="2">
        <f t="shared" ref="F181:F210" si="15">VLOOKUP(C181,$A$172:$D$176,4,FALSE)</f>
        <v>3</v>
      </c>
      <c r="G181" s="2">
        <f t="shared" ref="G181:G210" si="16">VLOOKUP(C181,$A$172:$E$176,5,FALSE)</f>
        <v>3</v>
      </c>
      <c r="H181" s="1" t="s">
        <v>1591</v>
      </c>
      <c r="I181" s="1">
        <v>1</v>
      </c>
      <c r="J181" s="1">
        <v>1</v>
      </c>
      <c r="L181" s="1" t="s">
        <v>1592</v>
      </c>
      <c r="M181" s="1" t="s">
        <v>1593</v>
      </c>
      <c r="N181" s="111" t="s">
        <v>1589</v>
      </c>
      <c r="O181" s="1" t="s">
        <v>1594</v>
      </c>
      <c r="P181" s="1" t="s">
        <v>1589</v>
      </c>
    </row>
    <row r="182" spans="1:23" x14ac:dyDescent="0.3">
      <c r="A182" s="1" t="str">
        <f t="shared" ref="A182:A210" si="17">IF(LEN(H182)=3,"["&amp;G182&amp;"]","["&amp;G182&amp;","&amp;G182&amp;"]")</f>
        <v>[4]</v>
      </c>
      <c r="B182" s="2" t="s">
        <v>524</v>
      </c>
      <c r="C182" s="29" t="s">
        <v>615</v>
      </c>
      <c r="D182" s="2">
        <f t="shared" si="13"/>
        <v>7</v>
      </c>
      <c r="E182" s="2">
        <f t="shared" si="14"/>
        <v>2</v>
      </c>
      <c r="F182" s="2">
        <f t="shared" si="15"/>
        <v>4</v>
      </c>
      <c r="G182" s="2">
        <f t="shared" si="16"/>
        <v>4</v>
      </c>
      <c r="H182" s="1" t="s">
        <v>1595</v>
      </c>
      <c r="I182" s="1">
        <v>2</v>
      </c>
      <c r="J182" s="1">
        <v>2</v>
      </c>
      <c r="L182" s="1">
        <v>0</v>
      </c>
      <c r="M182" s="1">
        <v>0</v>
      </c>
      <c r="N182" s="111">
        <v>1</v>
      </c>
      <c r="P182" s="1">
        <v>1</v>
      </c>
      <c r="Q182" s="1">
        <v>2</v>
      </c>
      <c r="R182" s="1">
        <v>1</v>
      </c>
      <c r="S182" s="1">
        <v>2</v>
      </c>
    </row>
    <row r="183" spans="1:23" x14ac:dyDescent="0.3">
      <c r="A183" s="1" t="str">
        <f t="shared" si="17"/>
        <v>[4]</v>
      </c>
      <c r="B183" s="2" t="s">
        <v>616</v>
      </c>
      <c r="C183" s="29" t="s">
        <v>615</v>
      </c>
      <c r="D183" s="2">
        <f t="shared" si="13"/>
        <v>7</v>
      </c>
      <c r="E183" s="2">
        <f t="shared" si="14"/>
        <v>2</v>
      </c>
      <c r="F183" s="2">
        <f t="shared" si="15"/>
        <v>4</v>
      </c>
      <c r="G183" s="2">
        <f t="shared" si="16"/>
        <v>4</v>
      </c>
      <c r="H183" s="1" t="s">
        <v>1595</v>
      </c>
      <c r="I183" s="1">
        <v>3</v>
      </c>
      <c r="J183" s="1">
        <v>3</v>
      </c>
      <c r="L183" s="1">
        <v>1</v>
      </c>
      <c r="M183" s="1">
        <v>1</v>
      </c>
      <c r="N183" s="111">
        <v>1</v>
      </c>
      <c r="R183" s="1">
        <v>2</v>
      </c>
      <c r="S183" s="1">
        <v>3</v>
      </c>
    </row>
    <row r="184" spans="1:23" x14ac:dyDescent="0.3">
      <c r="A184" s="1" t="str">
        <f t="shared" si="17"/>
        <v>[5,5]</v>
      </c>
      <c r="B184" s="2" t="s">
        <v>530</v>
      </c>
      <c r="C184" s="29" t="s">
        <v>619</v>
      </c>
      <c r="D184" s="2">
        <f t="shared" si="13"/>
        <v>9</v>
      </c>
      <c r="E184" s="2">
        <f t="shared" si="14"/>
        <v>3</v>
      </c>
      <c r="F184" s="2">
        <f t="shared" si="15"/>
        <v>5</v>
      </c>
      <c r="G184" s="2">
        <f t="shared" si="16"/>
        <v>5</v>
      </c>
      <c r="H184" s="1" t="s">
        <v>1596</v>
      </c>
      <c r="I184" s="1">
        <v>4</v>
      </c>
      <c r="J184" s="1">
        <v>4</v>
      </c>
      <c r="L184" s="1">
        <v>2</v>
      </c>
      <c r="M184" s="1">
        <v>1</v>
      </c>
      <c r="N184" s="111">
        <v>2</v>
      </c>
      <c r="O184" s="1">
        <v>2</v>
      </c>
      <c r="P184" s="1">
        <v>2</v>
      </c>
      <c r="Q184" s="1">
        <v>2</v>
      </c>
      <c r="R184" s="1">
        <v>3</v>
      </c>
      <c r="S184" s="1">
        <v>4</v>
      </c>
    </row>
    <row r="185" spans="1:23" x14ac:dyDescent="0.3">
      <c r="A185" s="1" t="str">
        <f t="shared" si="17"/>
        <v>[5,5]</v>
      </c>
      <c r="B185" s="2" t="s">
        <v>620</v>
      </c>
      <c r="C185" s="29" t="s">
        <v>619</v>
      </c>
      <c r="D185" s="2">
        <f t="shared" si="13"/>
        <v>9</v>
      </c>
      <c r="E185" s="2">
        <f t="shared" si="14"/>
        <v>3</v>
      </c>
      <c r="F185" s="2">
        <f t="shared" si="15"/>
        <v>5</v>
      </c>
      <c r="G185" s="2">
        <f t="shared" si="16"/>
        <v>5</v>
      </c>
      <c r="H185" s="1" t="s">
        <v>1596</v>
      </c>
      <c r="I185" s="1">
        <v>5</v>
      </c>
      <c r="J185" s="1">
        <v>5</v>
      </c>
      <c r="L185" s="1">
        <v>3</v>
      </c>
      <c r="M185" s="1">
        <v>1</v>
      </c>
      <c r="N185" s="111">
        <v>2</v>
      </c>
      <c r="R185" s="1">
        <v>4</v>
      </c>
      <c r="S185" s="1">
        <v>4</v>
      </c>
    </row>
    <row r="186" spans="1:23" x14ac:dyDescent="0.3">
      <c r="A186" s="1" t="str">
        <f t="shared" si="17"/>
        <v>[5,5]</v>
      </c>
      <c r="B186" s="2" t="s">
        <v>622</v>
      </c>
      <c r="C186" s="29" t="s">
        <v>619</v>
      </c>
      <c r="D186" s="2">
        <f t="shared" si="13"/>
        <v>9</v>
      </c>
      <c r="E186" s="2">
        <f t="shared" si="14"/>
        <v>3</v>
      </c>
      <c r="F186" s="2">
        <f t="shared" si="15"/>
        <v>5</v>
      </c>
      <c r="G186" s="2">
        <f t="shared" si="16"/>
        <v>5</v>
      </c>
      <c r="H186" s="1" t="s">
        <v>1596</v>
      </c>
      <c r="I186" s="1">
        <v>6</v>
      </c>
      <c r="L186" s="1">
        <v>4</v>
      </c>
      <c r="M186" s="1">
        <v>1</v>
      </c>
      <c r="N186" s="111">
        <v>2</v>
      </c>
      <c r="R186" s="140">
        <v>5</v>
      </c>
      <c r="S186" s="140">
        <v>4</v>
      </c>
      <c r="T186" s="140"/>
      <c r="U186" s="140"/>
      <c r="V186" s="140"/>
      <c r="W186" s="140"/>
    </row>
    <row r="187" spans="1:23" x14ac:dyDescent="0.3">
      <c r="A187" s="1" t="str">
        <f t="shared" si="17"/>
        <v>[6,6]</v>
      </c>
      <c r="B187" s="2" t="s">
        <v>624</v>
      </c>
      <c r="C187" s="29" t="s">
        <v>626</v>
      </c>
      <c r="D187" s="2">
        <f t="shared" si="13"/>
        <v>11</v>
      </c>
      <c r="E187" s="2">
        <f t="shared" si="14"/>
        <v>4</v>
      </c>
      <c r="F187" s="2">
        <f t="shared" si="15"/>
        <v>6</v>
      </c>
      <c r="G187" s="2">
        <f t="shared" si="16"/>
        <v>6</v>
      </c>
      <c r="H187" s="1" t="s">
        <v>1597</v>
      </c>
      <c r="K187" s="1" t="s">
        <v>613</v>
      </c>
      <c r="L187" s="139">
        <v>5</v>
      </c>
      <c r="M187" s="1">
        <v>1</v>
      </c>
      <c r="N187" s="111">
        <v>3</v>
      </c>
      <c r="O187" s="1">
        <v>3</v>
      </c>
      <c r="P187" s="1">
        <v>3</v>
      </c>
      <c r="Q187" s="1">
        <v>3</v>
      </c>
      <c r="R187" s="140">
        <v>6</v>
      </c>
      <c r="S187" s="140">
        <v>4</v>
      </c>
      <c r="T187" s="140"/>
      <c r="U187" s="140"/>
      <c r="V187" s="140"/>
      <c r="W187" s="140"/>
    </row>
    <row r="188" spans="1:23" x14ac:dyDescent="0.3">
      <c r="A188" s="1" t="str">
        <f t="shared" si="17"/>
        <v>[6,6]</v>
      </c>
      <c r="B188" s="2" t="s">
        <v>627</v>
      </c>
      <c r="C188" s="29" t="s">
        <v>626</v>
      </c>
      <c r="D188" s="2">
        <f t="shared" si="13"/>
        <v>11</v>
      </c>
      <c r="E188" s="2">
        <f t="shared" si="14"/>
        <v>4</v>
      </c>
      <c r="F188" s="2">
        <f t="shared" si="15"/>
        <v>6</v>
      </c>
      <c r="G188" s="2">
        <f t="shared" si="16"/>
        <v>6</v>
      </c>
      <c r="H188" s="1" t="s">
        <v>1597</v>
      </c>
      <c r="L188" s="1">
        <v>6</v>
      </c>
      <c r="M188" s="1">
        <v>2</v>
      </c>
      <c r="N188" s="111">
        <v>3</v>
      </c>
      <c r="R188" s="140">
        <v>7</v>
      </c>
      <c r="S188" s="140">
        <v>4</v>
      </c>
      <c r="T188" s="140"/>
      <c r="U188" s="140"/>
      <c r="V188" s="140"/>
      <c r="W188" s="140"/>
    </row>
    <row r="189" spans="1:23" x14ac:dyDescent="0.3">
      <c r="A189" s="1" t="str">
        <f t="shared" si="17"/>
        <v>[6,6]</v>
      </c>
      <c r="B189" s="2" t="s">
        <v>629</v>
      </c>
      <c r="C189" s="29" t="s">
        <v>626</v>
      </c>
      <c r="D189" s="2">
        <f t="shared" si="13"/>
        <v>11</v>
      </c>
      <c r="E189" s="2">
        <f t="shared" si="14"/>
        <v>4</v>
      </c>
      <c r="F189" s="2">
        <f t="shared" si="15"/>
        <v>6</v>
      </c>
      <c r="G189" s="2">
        <f t="shared" si="16"/>
        <v>6</v>
      </c>
      <c r="H189" s="1" t="s">
        <v>1597</v>
      </c>
      <c r="K189" s="1" t="s">
        <v>361</v>
      </c>
      <c r="L189" s="139">
        <v>7</v>
      </c>
      <c r="M189" s="1">
        <v>2</v>
      </c>
      <c r="N189" s="111">
        <v>4</v>
      </c>
      <c r="O189" s="1">
        <v>4</v>
      </c>
      <c r="P189" s="140">
        <v>4</v>
      </c>
      <c r="Q189" s="140">
        <v>4</v>
      </c>
      <c r="R189" s="140"/>
      <c r="S189" s="140"/>
      <c r="T189" s="140"/>
      <c r="U189" s="140"/>
      <c r="V189" s="140"/>
      <c r="W189" s="140"/>
    </row>
    <row r="190" spans="1:23" x14ac:dyDescent="0.3">
      <c r="A190" s="1" t="str">
        <f t="shared" si="17"/>
        <v>[7,7]</v>
      </c>
      <c r="B190" s="2" t="s">
        <v>631</v>
      </c>
      <c r="C190" s="29" t="s">
        <v>633</v>
      </c>
      <c r="D190" s="2">
        <f t="shared" si="13"/>
        <v>13</v>
      </c>
      <c r="E190" s="2">
        <f t="shared" si="14"/>
        <v>5</v>
      </c>
      <c r="F190" s="2">
        <f t="shared" si="15"/>
        <v>7</v>
      </c>
      <c r="G190" s="2">
        <f t="shared" si="16"/>
        <v>7</v>
      </c>
      <c r="H190" s="1" t="s">
        <v>1598</v>
      </c>
      <c r="L190" s="1">
        <v>8</v>
      </c>
      <c r="M190" s="1">
        <v>2</v>
      </c>
      <c r="N190" s="111">
        <v>4</v>
      </c>
      <c r="P190" s="140"/>
      <c r="Q190" s="140"/>
      <c r="R190" s="140"/>
      <c r="S190" s="140"/>
      <c r="T190" s="140"/>
      <c r="U190" s="140"/>
      <c r="V190" s="140"/>
      <c r="W190" s="140"/>
    </row>
    <row r="191" spans="1:23" x14ac:dyDescent="0.3">
      <c r="A191" s="1" t="str">
        <f t="shared" si="17"/>
        <v>[3]</v>
      </c>
      <c r="B191" s="2" t="s">
        <v>520</v>
      </c>
      <c r="C191" s="29" t="s">
        <v>613</v>
      </c>
      <c r="D191" s="2">
        <f t="shared" si="13"/>
        <v>5</v>
      </c>
      <c r="E191" s="2">
        <f t="shared" si="14"/>
        <v>1</v>
      </c>
      <c r="F191" s="2">
        <f t="shared" si="15"/>
        <v>3</v>
      </c>
      <c r="G191" s="2">
        <f t="shared" si="16"/>
        <v>3</v>
      </c>
      <c r="H191" s="1" t="s">
        <v>1591</v>
      </c>
      <c r="K191" s="1" t="s">
        <v>364</v>
      </c>
      <c r="L191" s="139">
        <v>9</v>
      </c>
      <c r="M191" s="1">
        <v>2</v>
      </c>
      <c r="N191" s="111">
        <v>5</v>
      </c>
      <c r="O191" s="1">
        <v>4</v>
      </c>
      <c r="P191" s="140">
        <v>5</v>
      </c>
      <c r="Q191" s="140">
        <v>5</v>
      </c>
      <c r="R191" s="140"/>
      <c r="S191" s="140"/>
      <c r="T191" s="140"/>
      <c r="U191" s="140"/>
      <c r="V191" s="140"/>
      <c r="W191" s="140"/>
    </row>
    <row r="192" spans="1:23" x14ac:dyDescent="0.3">
      <c r="A192" s="1" t="str">
        <f t="shared" si="17"/>
        <v>[4]</v>
      </c>
      <c r="B192" s="2" t="s">
        <v>526</v>
      </c>
      <c r="C192" s="29" t="s">
        <v>615</v>
      </c>
      <c r="D192" s="2">
        <f t="shared" si="13"/>
        <v>7</v>
      </c>
      <c r="E192" s="2">
        <f t="shared" si="14"/>
        <v>2</v>
      </c>
      <c r="F192" s="2">
        <f t="shared" si="15"/>
        <v>4</v>
      </c>
      <c r="G192" s="2">
        <f t="shared" si="16"/>
        <v>4</v>
      </c>
      <c r="H192" s="1" t="s">
        <v>1595</v>
      </c>
      <c r="L192" s="1">
        <v>10</v>
      </c>
      <c r="M192" s="1">
        <v>2</v>
      </c>
      <c r="N192" s="111">
        <v>5</v>
      </c>
      <c r="P192" s="140"/>
      <c r="Q192" s="140"/>
      <c r="R192" s="140"/>
      <c r="S192" s="140"/>
      <c r="T192" s="140"/>
      <c r="U192" s="140"/>
      <c r="V192" s="140"/>
      <c r="W192" s="140"/>
    </row>
    <row r="193" spans="1:24" x14ac:dyDescent="0.3">
      <c r="A193" s="1" t="str">
        <f t="shared" si="17"/>
        <v>[4]</v>
      </c>
      <c r="B193" s="2" t="s">
        <v>636</v>
      </c>
      <c r="C193" s="29" t="s">
        <v>615</v>
      </c>
      <c r="D193" s="2">
        <f t="shared" si="13"/>
        <v>7</v>
      </c>
      <c r="E193" s="2">
        <f t="shared" si="14"/>
        <v>2</v>
      </c>
      <c r="F193" s="2">
        <f t="shared" si="15"/>
        <v>4</v>
      </c>
      <c r="G193" s="2">
        <f t="shared" si="16"/>
        <v>4</v>
      </c>
      <c r="H193" s="1" t="s">
        <v>1595</v>
      </c>
      <c r="K193" s="1" t="s">
        <v>368</v>
      </c>
      <c r="L193" s="139">
        <v>11</v>
      </c>
      <c r="M193" s="1">
        <v>2</v>
      </c>
      <c r="N193" s="111">
        <v>6</v>
      </c>
      <c r="O193" s="1">
        <v>4</v>
      </c>
      <c r="P193" s="140">
        <v>6</v>
      </c>
      <c r="Q193" s="140">
        <v>6</v>
      </c>
      <c r="R193" s="140"/>
      <c r="S193" s="140"/>
      <c r="T193" s="140"/>
      <c r="U193" s="140"/>
      <c r="V193" s="140"/>
      <c r="W193" s="140"/>
    </row>
    <row r="194" spans="1:24" x14ac:dyDescent="0.3">
      <c r="A194" s="1" t="str">
        <f t="shared" si="17"/>
        <v>[5,5]</v>
      </c>
      <c r="B194" s="2" t="s">
        <v>534</v>
      </c>
      <c r="C194" s="29" t="s">
        <v>619</v>
      </c>
      <c r="D194" s="2">
        <f t="shared" si="13"/>
        <v>9</v>
      </c>
      <c r="E194" s="2">
        <f t="shared" si="14"/>
        <v>3</v>
      </c>
      <c r="F194" s="2">
        <f t="shared" si="15"/>
        <v>5</v>
      </c>
      <c r="G194" s="2">
        <f t="shared" si="16"/>
        <v>5</v>
      </c>
      <c r="H194" s="1" t="s">
        <v>1596</v>
      </c>
      <c r="L194" s="1">
        <v>12</v>
      </c>
      <c r="M194" s="1">
        <v>2</v>
      </c>
      <c r="N194" s="111">
        <v>6</v>
      </c>
      <c r="P194" s="140"/>
      <c r="Q194" s="140"/>
      <c r="R194" s="140"/>
      <c r="S194" s="140"/>
      <c r="T194" s="140"/>
      <c r="U194" s="140"/>
      <c r="V194" s="140"/>
      <c r="W194" s="140"/>
    </row>
    <row r="195" spans="1:24" x14ac:dyDescent="0.3">
      <c r="A195" s="1" t="str">
        <f t="shared" si="17"/>
        <v>[5,5]</v>
      </c>
      <c r="B195" s="2" t="s">
        <v>639</v>
      </c>
      <c r="C195" s="29" t="s">
        <v>619</v>
      </c>
      <c r="D195" s="2">
        <f t="shared" si="13"/>
        <v>9</v>
      </c>
      <c r="E195" s="2">
        <f t="shared" si="14"/>
        <v>3</v>
      </c>
      <c r="F195" s="2">
        <f t="shared" si="15"/>
        <v>5</v>
      </c>
      <c r="G195" s="2">
        <f t="shared" si="16"/>
        <v>5</v>
      </c>
      <c r="H195" s="1" t="s">
        <v>1596</v>
      </c>
      <c r="K195" s="1" t="s">
        <v>372</v>
      </c>
      <c r="L195" s="139">
        <v>13</v>
      </c>
      <c r="M195" s="1">
        <v>2</v>
      </c>
      <c r="N195" s="111">
        <v>7</v>
      </c>
      <c r="O195" s="1">
        <v>4</v>
      </c>
      <c r="P195" s="1">
        <v>7</v>
      </c>
      <c r="Q195" s="140">
        <v>7</v>
      </c>
      <c r="T195" s="140"/>
      <c r="X195" s="140"/>
    </row>
    <row r="196" spans="1:24" x14ac:dyDescent="0.3">
      <c r="A196" s="1" t="str">
        <f t="shared" si="17"/>
        <v>[5,5]</v>
      </c>
      <c r="B196" s="2" t="s">
        <v>641</v>
      </c>
      <c r="C196" s="29" t="s">
        <v>619</v>
      </c>
      <c r="D196" s="2">
        <f t="shared" si="13"/>
        <v>9</v>
      </c>
      <c r="E196" s="2">
        <f t="shared" si="14"/>
        <v>3</v>
      </c>
      <c r="F196" s="2">
        <f t="shared" si="15"/>
        <v>5</v>
      </c>
      <c r="G196" s="2">
        <f t="shared" si="16"/>
        <v>5</v>
      </c>
      <c r="H196" s="1" t="s">
        <v>1596</v>
      </c>
      <c r="M196" s="140">
        <f>SUM(M182:M195)</f>
        <v>21</v>
      </c>
      <c r="N196" s="111"/>
      <c r="O196" s="1">
        <f>SUM(O182:O195)</f>
        <v>21</v>
      </c>
    </row>
    <row r="197" spans="1:24" x14ac:dyDescent="0.3">
      <c r="A197" s="1" t="str">
        <f t="shared" si="17"/>
        <v>[6,6]</v>
      </c>
      <c r="B197" s="2" t="s">
        <v>643</v>
      </c>
      <c r="C197" s="29" t="s">
        <v>626</v>
      </c>
      <c r="D197" s="2">
        <f t="shared" si="13"/>
        <v>11</v>
      </c>
      <c r="E197" s="2">
        <f t="shared" si="14"/>
        <v>4</v>
      </c>
      <c r="F197" s="2">
        <f t="shared" si="15"/>
        <v>6</v>
      </c>
      <c r="G197" s="2">
        <f t="shared" si="16"/>
        <v>6</v>
      </c>
      <c r="H197" s="1" t="s">
        <v>1597</v>
      </c>
    </row>
    <row r="198" spans="1:24" x14ac:dyDescent="0.3">
      <c r="A198" s="1" t="str">
        <f t="shared" si="17"/>
        <v>[6,6]</v>
      </c>
      <c r="B198" s="2" t="s">
        <v>645</v>
      </c>
      <c r="C198" s="29" t="s">
        <v>626</v>
      </c>
      <c r="D198" s="2">
        <f t="shared" si="13"/>
        <v>11</v>
      </c>
      <c r="E198" s="2">
        <f t="shared" si="14"/>
        <v>4</v>
      </c>
      <c r="F198" s="2">
        <f t="shared" si="15"/>
        <v>6</v>
      </c>
      <c r="G198" s="2">
        <f t="shared" si="16"/>
        <v>6</v>
      </c>
      <c r="H198" s="1" t="s">
        <v>1597</v>
      </c>
      <c r="K198" s="1" t="s">
        <v>1599</v>
      </c>
      <c r="L198" s="2" t="s">
        <v>1589</v>
      </c>
      <c r="M198" s="2" t="s">
        <v>275</v>
      </c>
    </row>
    <row r="199" spans="1:24" x14ac:dyDescent="0.3">
      <c r="A199" s="1" t="str">
        <f t="shared" si="17"/>
        <v>[6,6]</v>
      </c>
      <c r="B199" s="2" t="s">
        <v>647</v>
      </c>
      <c r="C199" s="29" t="s">
        <v>626</v>
      </c>
      <c r="D199" s="2">
        <f t="shared" si="13"/>
        <v>11</v>
      </c>
      <c r="E199" s="2">
        <f t="shared" si="14"/>
        <v>4</v>
      </c>
      <c r="F199" s="2">
        <f t="shared" si="15"/>
        <v>6</v>
      </c>
      <c r="G199" s="2">
        <f t="shared" si="16"/>
        <v>6</v>
      </c>
      <c r="H199" s="1" t="s">
        <v>1597</v>
      </c>
      <c r="L199" s="2">
        <v>1</v>
      </c>
      <c r="M199" s="2">
        <v>1800</v>
      </c>
    </row>
    <row r="200" spans="1:24" x14ac:dyDescent="0.3">
      <c r="A200" s="1" t="str">
        <f t="shared" si="17"/>
        <v>[7,7]</v>
      </c>
      <c r="B200" s="2" t="s">
        <v>649</v>
      </c>
      <c r="C200" s="29" t="s">
        <v>633</v>
      </c>
      <c r="D200" s="2">
        <f t="shared" si="13"/>
        <v>13</v>
      </c>
      <c r="E200" s="2">
        <f t="shared" si="14"/>
        <v>5</v>
      </c>
      <c r="F200" s="2">
        <f t="shared" si="15"/>
        <v>7</v>
      </c>
      <c r="G200" s="2">
        <f t="shared" si="16"/>
        <v>7</v>
      </c>
      <c r="H200" s="1" t="s">
        <v>1598</v>
      </c>
      <c r="L200" s="2">
        <v>2</v>
      </c>
      <c r="M200" s="2">
        <v>2400</v>
      </c>
    </row>
    <row r="201" spans="1:24" x14ac:dyDescent="0.3">
      <c r="A201" s="1" t="str">
        <f t="shared" si="17"/>
        <v>[3]</v>
      </c>
      <c r="B201" s="2" t="s">
        <v>651</v>
      </c>
      <c r="C201" s="29" t="s">
        <v>613</v>
      </c>
      <c r="D201" s="2">
        <f t="shared" si="13"/>
        <v>5</v>
      </c>
      <c r="E201" s="2">
        <f t="shared" si="14"/>
        <v>1</v>
      </c>
      <c r="F201" s="2">
        <f t="shared" si="15"/>
        <v>3</v>
      </c>
      <c r="G201" s="2">
        <f t="shared" si="16"/>
        <v>3</v>
      </c>
      <c r="H201" s="1" t="s">
        <v>1591</v>
      </c>
      <c r="L201" s="2">
        <v>3</v>
      </c>
      <c r="M201" s="2">
        <v>9500</v>
      </c>
    </row>
    <row r="202" spans="1:24" x14ac:dyDescent="0.3">
      <c r="A202" s="1" t="str">
        <f t="shared" si="17"/>
        <v>[4]</v>
      </c>
      <c r="B202" s="2" t="s">
        <v>653</v>
      </c>
      <c r="C202" s="29" t="s">
        <v>615</v>
      </c>
      <c r="D202" s="2">
        <f t="shared" si="13"/>
        <v>7</v>
      </c>
      <c r="E202" s="2">
        <f t="shared" si="14"/>
        <v>2</v>
      </c>
      <c r="F202" s="2">
        <f t="shared" si="15"/>
        <v>4</v>
      </c>
      <c r="G202" s="2">
        <f t="shared" si="16"/>
        <v>4</v>
      </c>
      <c r="H202" s="1" t="s">
        <v>1595</v>
      </c>
      <c r="L202" s="2">
        <v>4</v>
      </c>
      <c r="M202" s="2">
        <v>38000</v>
      </c>
    </row>
    <row r="203" spans="1:24" x14ac:dyDescent="0.3">
      <c r="A203" s="1" t="str">
        <f t="shared" si="17"/>
        <v>[4]</v>
      </c>
      <c r="B203" s="2" t="s">
        <v>655</v>
      </c>
      <c r="C203" s="29" t="s">
        <v>615</v>
      </c>
      <c r="D203" s="2">
        <f t="shared" si="13"/>
        <v>7</v>
      </c>
      <c r="E203" s="2">
        <f t="shared" si="14"/>
        <v>2</v>
      </c>
      <c r="F203" s="2">
        <f t="shared" si="15"/>
        <v>4</v>
      </c>
      <c r="G203" s="2">
        <f t="shared" si="16"/>
        <v>4</v>
      </c>
      <c r="H203" s="1" t="s">
        <v>1595</v>
      </c>
      <c r="L203" s="2">
        <v>5</v>
      </c>
      <c r="M203" s="2">
        <v>16500</v>
      </c>
    </row>
    <row r="204" spans="1:24" x14ac:dyDescent="0.3">
      <c r="A204" s="1" t="str">
        <f t="shared" si="17"/>
        <v>[5,5]</v>
      </c>
      <c r="B204" s="2" t="s">
        <v>538</v>
      </c>
      <c r="C204" s="29" t="s">
        <v>619</v>
      </c>
      <c r="D204" s="2">
        <f t="shared" si="13"/>
        <v>9</v>
      </c>
      <c r="E204" s="2">
        <f t="shared" si="14"/>
        <v>3</v>
      </c>
      <c r="F204" s="2">
        <f t="shared" si="15"/>
        <v>5</v>
      </c>
      <c r="G204" s="2">
        <f t="shared" si="16"/>
        <v>5</v>
      </c>
      <c r="H204" s="1" t="s">
        <v>1596</v>
      </c>
      <c r="L204" s="2">
        <v>6</v>
      </c>
      <c r="M204" s="2">
        <v>60000</v>
      </c>
    </row>
    <row r="205" spans="1:24" x14ac:dyDescent="0.3">
      <c r="A205" s="1" t="str">
        <f t="shared" si="17"/>
        <v>[5,5]</v>
      </c>
      <c r="B205" s="2" t="s">
        <v>658</v>
      </c>
      <c r="C205" s="29" t="s">
        <v>619</v>
      </c>
      <c r="D205" s="2">
        <f t="shared" si="13"/>
        <v>9</v>
      </c>
      <c r="E205" s="2">
        <f t="shared" si="14"/>
        <v>3</v>
      </c>
      <c r="F205" s="2">
        <f t="shared" si="15"/>
        <v>5</v>
      </c>
      <c r="G205" s="2">
        <f t="shared" si="16"/>
        <v>5</v>
      </c>
      <c r="H205" s="1" t="s">
        <v>1596</v>
      </c>
      <c r="L205" s="2">
        <v>7</v>
      </c>
      <c r="M205" s="2">
        <v>85400</v>
      </c>
    </row>
    <row r="206" spans="1:24" x14ac:dyDescent="0.3">
      <c r="A206" s="1" t="str">
        <f t="shared" si="17"/>
        <v>[5,5]</v>
      </c>
      <c r="B206" s="2" t="s">
        <v>660</v>
      </c>
      <c r="C206" s="29" t="s">
        <v>619</v>
      </c>
      <c r="D206" s="2">
        <f t="shared" si="13"/>
        <v>9</v>
      </c>
      <c r="E206" s="2">
        <f t="shared" si="14"/>
        <v>3</v>
      </c>
      <c r="F206" s="2">
        <f t="shared" si="15"/>
        <v>5</v>
      </c>
      <c r="G206" s="2">
        <f t="shared" si="16"/>
        <v>5</v>
      </c>
      <c r="H206" s="1" t="s">
        <v>1596</v>
      </c>
    </row>
    <row r="207" spans="1:24" x14ac:dyDescent="0.3">
      <c r="A207" s="1" t="str">
        <f t="shared" si="17"/>
        <v>[6,6]</v>
      </c>
      <c r="B207" s="2" t="s">
        <v>662</v>
      </c>
      <c r="C207" s="29" t="s">
        <v>626</v>
      </c>
      <c r="D207" s="2">
        <f t="shared" si="13"/>
        <v>11</v>
      </c>
      <c r="E207" s="2">
        <f t="shared" si="14"/>
        <v>4</v>
      </c>
      <c r="F207" s="2">
        <f t="shared" si="15"/>
        <v>6</v>
      </c>
      <c r="G207" s="2">
        <f t="shared" si="16"/>
        <v>6</v>
      </c>
      <c r="H207" s="1" t="s">
        <v>1597</v>
      </c>
    </row>
    <row r="208" spans="1:24" x14ac:dyDescent="0.3">
      <c r="A208" s="1" t="str">
        <f t="shared" si="17"/>
        <v>[6,6]</v>
      </c>
      <c r="B208" s="2" t="s">
        <v>664</v>
      </c>
      <c r="C208" s="29" t="s">
        <v>626</v>
      </c>
      <c r="D208" s="2">
        <f t="shared" si="13"/>
        <v>11</v>
      </c>
      <c r="E208" s="2">
        <f t="shared" si="14"/>
        <v>4</v>
      </c>
      <c r="F208" s="2">
        <f t="shared" si="15"/>
        <v>6</v>
      </c>
      <c r="G208" s="2">
        <f t="shared" si="16"/>
        <v>6</v>
      </c>
      <c r="H208" s="1" t="s">
        <v>1597</v>
      </c>
    </row>
    <row r="209" spans="1:25" x14ac:dyDescent="0.3">
      <c r="A209" s="1" t="str">
        <f t="shared" si="17"/>
        <v>[6,6]</v>
      </c>
      <c r="B209" s="2" t="s">
        <v>666</v>
      </c>
      <c r="C209" s="29" t="s">
        <v>626</v>
      </c>
      <c r="D209" s="2">
        <f t="shared" si="13"/>
        <v>11</v>
      </c>
      <c r="E209" s="2">
        <f t="shared" si="14"/>
        <v>4</v>
      </c>
      <c r="F209" s="2">
        <f t="shared" si="15"/>
        <v>6</v>
      </c>
      <c r="G209" s="2">
        <f t="shared" si="16"/>
        <v>6</v>
      </c>
      <c r="H209" s="1" t="s">
        <v>1597</v>
      </c>
    </row>
    <row r="210" spans="1:25" x14ac:dyDescent="0.3">
      <c r="A210" s="1" t="str">
        <f t="shared" si="17"/>
        <v>[7,7]</v>
      </c>
      <c r="B210" s="2" t="s">
        <v>668</v>
      </c>
      <c r="C210" s="29" t="s">
        <v>633</v>
      </c>
      <c r="D210" s="2">
        <f t="shared" si="13"/>
        <v>13</v>
      </c>
      <c r="E210" s="2">
        <f t="shared" si="14"/>
        <v>5</v>
      </c>
      <c r="F210" s="2">
        <f t="shared" si="15"/>
        <v>7</v>
      </c>
      <c r="G210" s="2">
        <f t="shared" si="16"/>
        <v>7</v>
      </c>
      <c r="H210" s="1" t="s">
        <v>1598</v>
      </c>
    </row>
    <row r="213" spans="1:25" x14ac:dyDescent="0.3">
      <c r="A213" s="2" t="s">
        <v>876</v>
      </c>
      <c r="B213" s="2" t="s">
        <v>1600</v>
      </c>
      <c r="C213" s="2" t="s">
        <v>1601</v>
      </c>
      <c r="D213" s="2"/>
      <c r="E213" s="2"/>
      <c r="F213" s="2"/>
      <c r="G213" s="2"/>
      <c r="H213" s="44" t="s">
        <v>1602</v>
      </c>
      <c r="I213" s="2"/>
      <c r="J213" s="2"/>
      <c r="K213" s="2"/>
      <c r="L213" s="2"/>
      <c r="M213" s="2"/>
      <c r="N213" s="2"/>
      <c r="O213" s="2"/>
      <c r="P213" s="2"/>
      <c r="Q213" s="2"/>
      <c r="R213" s="2"/>
      <c r="S213" s="2"/>
      <c r="T213" s="2"/>
    </row>
    <row r="214" spans="1:25" x14ac:dyDescent="0.3">
      <c r="A214" s="2" t="s">
        <v>1603</v>
      </c>
      <c r="B214" s="2" t="s">
        <v>1604</v>
      </c>
      <c r="C214" s="2" t="s">
        <v>1603</v>
      </c>
      <c r="D214" s="2"/>
      <c r="E214" s="2"/>
      <c r="F214" s="2"/>
      <c r="G214" s="2"/>
      <c r="H214" s="2"/>
      <c r="I214" s="2"/>
      <c r="J214" s="2"/>
      <c r="K214" s="2"/>
      <c r="L214" s="2"/>
      <c r="M214" s="2"/>
      <c r="N214" s="2"/>
      <c r="O214" s="2"/>
      <c r="P214" s="2"/>
      <c r="Q214" s="2"/>
      <c r="R214" s="2"/>
      <c r="S214" s="2"/>
      <c r="T214" s="2"/>
    </row>
    <row r="215" spans="1:25" x14ac:dyDescent="0.3">
      <c r="A215" s="2" t="s">
        <v>1605</v>
      </c>
      <c r="B215" s="2" t="s">
        <v>1606</v>
      </c>
      <c r="C215" s="2" t="s">
        <v>1607</v>
      </c>
      <c r="D215" s="2" t="s">
        <v>1608</v>
      </c>
      <c r="E215" s="2"/>
      <c r="F215" s="2"/>
      <c r="G215" s="2"/>
      <c r="H215" s="2"/>
      <c r="I215" s="2" t="s">
        <v>132</v>
      </c>
      <c r="J215" s="2"/>
      <c r="K215" s="2" t="s">
        <v>134</v>
      </c>
      <c r="L215" s="2"/>
      <c r="M215" s="2" t="s">
        <v>136</v>
      </c>
      <c r="N215" s="2"/>
      <c r="O215" s="2"/>
      <c r="P215" s="2"/>
      <c r="Q215" s="2"/>
      <c r="R215" s="2"/>
      <c r="S215" s="2"/>
      <c r="T215" s="2"/>
      <c r="V215" s="36" t="s">
        <v>1502</v>
      </c>
      <c r="X215" s="1" t="s">
        <v>1502</v>
      </c>
      <c r="Y215" s="1">
        <v>3</v>
      </c>
    </row>
    <row r="216" spans="1:25" x14ac:dyDescent="0.3">
      <c r="A216" s="2">
        <v>501</v>
      </c>
      <c r="B216" s="2" t="s">
        <v>1505</v>
      </c>
      <c r="C216" s="2">
        <v>2</v>
      </c>
      <c r="D216" s="2" t="s">
        <v>1609</v>
      </c>
      <c r="E216" s="2">
        <v>5</v>
      </c>
      <c r="F216" s="2"/>
      <c r="G216" s="2">
        <v>1</v>
      </c>
      <c r="H216" s="2" t="s">
        <v>1610</v>
      </c>
      <c r="I216" s="2">
        <f t="shared" ref="I216:I221" si="18">IFERROR(VLOOKUP(J216,$S$216:$T$242,2,FALSE),0)</f>
        <v>2010</v>
      </c>
      <c r="J216" s="2" t="s">
        <v>1611</v>
      </c>
      <c r="K216" s="2">
        <f>IFERROR(VLOOKUP(L216,$S$216:$T$242,2,FALSE),0)</f>
        <v>2016</v>
      </c>
      <c r="L216" s="2" t="s">
        <v>1612</v>
      </c>
      <c r="M216" s="2">
        <f>IFERROR(VLOOKUP(N216,$S$216:$T$242,2,FALSE),0)</f>
        <v>2002</v>
      </c>
      <c r="N216" s="2" t="s">
        <v>1502</v>
      </c>
      <c r="O216" s="2"/>
      <c r="P216" s="2" t="s">
        <v>1613</v>
      </c>
      <c r="Q216" s="2" t="s">
        <v>1613</v>
      </c>
      <c r="R216" s="2"/>
      <c r="S216" s="2" t="s">
        <v>1583</v>
      </c>
      <c r="T216" s="2">
        <v>1001</v>
      </c>
      <c r="V216" s="36" t="s">
        <v>1502</v>
      </c>
      <c r="X216" s="1" t="s">
        <v>1614</v>
      </c>
      <c r="Y216" s="1">
        <v>1</v>
      </c>
    </row>
    <row r="217" spans="1:25" x14ac:dyDescent="0.3">
      <c r="A217" s="2">
        <v>601</v>
      </c>
      <c r="B217" s="2" t="s">
        <v>1502</v>
      </c>
      <c r="C217" s="2">
        <v>2</v>
      </c>
      <c r="D217" s="2" t="s">
        <v>1615</v>
      </c>
      <c r="E217" s="2">
        <v>6</v>
      </c>
      <c r="F217" s="2"/>
      <c r="G217" s="2">
        <v>2</v>
      </c>
      <c r="H217" s="2" t="s">
        <v>1616</v>
      </c>
      <c r="I217" s="2">
        <f t="shared" si="18"/>
        <v>2010</v>
      </c>
      <c r="J217" s="2" t="s">
        <v>1611</v>
      </c>
      <c r="K217" s="2">
        <f t="shared" ref="K217:K221" si="19">IFERROR(VLOOKUP(L217,$S$216:$T$242,2,FALSE),0)</f>
        <v>2015</v>
      </c>
      <c r="L217" s="2" t="s">
        <v>1617</v>
      </c>
      <c r="M217" s="2">
        <f t="shared" ref="M217" si="20">IFERROR(VLOOKUP(N217,$S$216:$T$242,2,FALSE),0)</f>
        <v>2013</v>
      </c>
      <c r="N217" s="2" t="s">
        <v>1618</v>
      </c>
      <c r="O217" s="2"/>
      <c r="P217" s="2" t="s">
        <v>1611</v>
      </c>
      <c r="Q217" s="2" t="s">
        <v>1611</v>
      </c>
      <c r="R217" s="2"/>
      <c r="S217" s="2" t="s">
        <v>1424</v>
      </c>
      <c r="T217" s="2">
        <v>1002</v>
      </c>
      <c r="V217" s="36" t="s">
        <v>1502</v>
      </c>
      <c r="X217" s="1" t="s">
        <v>1617</v>
      </c>
      <c r="Y217" s="1">
        <v>1</v>
      </c>
    </row>
    <row r="218" spans="1:25" x14ac:dyDescent="0.3">
      <c r="A218" s="2">
        <v>801</v>
      </c>
      <c r="B218" s="2" t="s">
        <v>1475</v>
      </c>
      <c r="C218" s="2">
        <v>2</v>
      </c>
      <c r="D218" s="2" t="s">
        <v>1619</v>
      </c>
      <c r="E218" s="2">
        <v>8</v>
      </c>
      <c r="F218" s="2"/>
      <c r="G218" s="2">
        <v>3</v>
      </c>
      <c r="H218" s="2" t="s">
        <v>1620</v>
      </c>
      <c r="I218" s="2">
        <f t="shared" si="18"/>
        <v>0</v>
      </c>
      <c r="J218" s="2"/>
      <c r="K218" s="2">
        <f t="shared" si="19"/>
        <v>0</v>
      </c>
      <c r="L218" s="2"/>
      <c r="M218" s="2">
        <f t="shared" ref="M218" si="21">IFERROR(VLOOKUP(N218,$S$216:$T$242,2,FALSE),0)</f>
        <v>0</v>
      </c>
      <c r="N218" s="2"/>
      <c r="O218" s="2"/>
      <c r="P218" s="2" t="s">
        <v>1514</v>
      </c>
      <c r="Q218" s="2" t="s">
        <v>1514</v>
      </c>
      <c r="R218" s="2"/>
      <c r="S218" s="2" t="s">
        <v>1584</v>
      </c>
      <c r="T218" s="2">
        <v>1003</v>
      </c>
      <c r="V218" s="36" t="s">
        <v>1614</v>
      </c>
      <c r="X218" s="1" t="s">
        <v>1612</v>
      </c>
      <c r="Y218" s="1">
        <v>1</v>
      </c>
    </row>
    <row r="219" spans="1:25" x14ac:dyDescent="0.3">
      <c r="A219" s="2">
        <v>901</v>
      </c>
      <c r="B219" s="116" t="s">
        <v>1478</v>
      </c>
      <c r="C219" s="2">
        <v>2</v>
      </c>
      <c r="D219" s="2" t="s">
        <v>1621</v>
      </c>
      <c r="E219" s="2">
        <v>9</v>
      </c>
      <c r="F219" s="2"/>
      <c r="G219" s="2">
        <v>4</v>
      </c>
      <c r="H219" s="2" t="s">
        <v>1622</v>
      </c>
      <c r="I219" s="2">
        <f t="shared" si="18"/>
        <v>2012</v>
      </c>
      <c r="J219" s="2" t="s">
        <v>1614</v>
      </c>
      <c r="K219" s="2">
        <f t="shared" si="19"/>
        <v>2012</v>
      </c>
      <c r="L219" s="2" t="s">
        <v>1614</v>
      </c>
      <c r="M219" s="2">
        <f t="shared" ref="M219" si="22">IFERROR(VLOOKUP(N219,$S$216:$T$242,2,FALSE),0)</f>
        <v>2012</v>
      </c>
      <c r="N219" s="2" t="s">
        <v>1614</v>
      </c>
      <c r="O219" s="2"/>
      <c r="P219" s="2" t="s">
        <v>1478</v>
      </c>
      <c r="Q219" s="2" t="s">
        <v>1478</v>
      </c>
      <c r="R219" s="2"/>
      <c r="S219" s="2" t="s">
        <v>1452</v>
      </c>
      <c r="T219" s="2">
        <v>1004</v>
      </c>
      <c r="V219" s="36" t="s">
        <v>1617</v>
      </c>
      <c r="X219" s="1" t="s">
        <v>1483</v>
      </c>
      <c r="Y219" s="1">
        <v>2</v>
      </c>
    </row>
    <row r="220" spans="1:25" x14ac:dyDescent="0.3">
      <c r="A220" s="2">
        <v>1001</v>
      </c>
      <c r="B220" s="2" t="s">
        <v>1487</v>
      </c>
      <c r="C220" s="2">
        <v>2</v>
      </c>
      <c r="D220" s="2" t="s">
        <v>1623</v>
      </c>
      <c r="E220" s="2">
        <v>10</v>
      </c>
      <c r="F220" s="2"/>
      <c r="G220" s="2">
        <v>5</v>
      </c>
      <c r="H220" s="2" t="s">
        <v>227</v>
      </c>
      <c r="I220" s="2">
        <f t="shared" si="18"/>
        <v>2004</v>
      </c>
      <c r="J220" s="2" t="s">
        <v>1478</v>
      </c>
      <c r="K220" s="2">
        <f t="shared" si="19"/>
        <v>2017</v>
      </c>
      <c r="L220" s="2" t="s">
        <v>1483</v>
      </c>
      <c r="M220" s="2">
        <f t="shared" ref="M220" si="23">IFERROR(VLOOKUP(N220,$S$216:$T$242,2,FALSE),0)</f>
        <v>2002</v>
      </c>
      <c r="N220" s="2" t="s">
        <v>1502</v>
      </c>
      <c r="O220" s="2"/>
      <c r="P220" s="2" t="s">
        <v>1511</v>
      </c>
      <c r="Q220" s="2" t="s">
        <v>1511</v>
      </c>
      <c r="R220" s="2"/>
      <c r="S220" s="2" t="s">
        <v>1585</v>
      </c>
      <c r="T220" s="2">
        <v>1005</v>
      </c>
      <c r="V220" s="36" t="s">
        <v>1612</v>
      </c>
      <c r="X220" s="1" t="s">
        <v>1618</v>
      </c>
      <c r="Y220" s="1">
        <v>1</v>
      </c>
    </row>
    <row r="221" spans="1:25" x14ac:dyDescent="0.3">
      <c r="A221" s="2">
        <v>1101</v>
      </c>
      <c r="B221" s="2" t="s">
        <v>1511</v>
      </c>
      <c r="C221" s="2">
        <v>2</v>
      </c>
      <c r="D221" s="2" t="s">
        <v>1624</v>
      </c>
      <c r="E221" s="2">
        <v>11</v>
      </c>
      <c r="F221" s="2"/>
      <c r="G221" s="2">
        <v>6</v>
      </c>
      <c r="H221" s="2" t="s">
        <v>1625</v>
      </c>
      <c r="I221" s="2">
        <f t="shared" si="18"/>
        <v>2004</v>
      </c>
      <c r="J221" s="2" t="s">
        <v>1478</v>
      </c>
      <c r="K221" s="2">
        <f t="shared" si="19"/>
        <v>2017</v>
      </c>
      <c r="L221" s="2" t="s">
        <v>1483</v>
      </c>
      <c r="M221" s="2">
        <f t="shared" ref="M221" si="24">IFERROR(VLOOKUP(N221,$S$216:$T$242,2,FALSE),0)</f>
        <v>2002</v>
      </c>
      <c r="N221" s="2" t="s">
        <v>1502</v>
      </c>
      <c r="O221" s="2"/>
      <c r="P221" s="2" t="s">
        <v>1505</v>
      </c>
      <c r="Q221" s="2" t="s">
        <v>1505</v>
      </c>
      <c r="R221" s="2"/>
      <c r="S221" s="2" t="s">
        <v>1582</v>
      </c>
      <c r="T221" s="2">
        <v>1006</v>
      </c>
      <c r="V221" s="36" t="s">
        <v>1483</v>
      </c>
      <c r="X221" s="1" t="s">
        <v>1611</v>
      </c>
      <c r="Y221" s="1">
        <v>2</v>
      </c>
    </row>
    <row r="222" spans="1:25" x14ac:dyDescent="0.3">
      <c r="A222" s="2">
        <v>1201</v>
      </c>
      <c r="B222" s="2" t="s">
        <v>1496</v>
      </c>
      <c r="C222" s="2">
        <v>2</v>
      </c>
      <c r="D222" s="2" t="s">
        <v>1626</v>
      </c>
      <c r="E222" s="2">
        <v>12</v>
      </c>
      <c r="F222" s="2"/>
      <c r="G222" s="2"/>
      <c r="H222" s="2"/>
      <c r="I222" s="2"/>
      <c r="J222" s="2"/>
      <c r="K222" s="2"/>
      <c r="L222" s="2"/>
      <c r="M222" s="2"/>
      <c r="N222" s="2"/>
      <c r="O222" s="2"/>
      <c r="P222" s="2" t="s">
        <v>1502</v>
      </c>
      <c r="Q222" s="2" t="s">
        <v>1502</v>
      </c>
      <c r="R222" s="2"/>
      <c r="S222" s="2" t="s">
        <v>1448</v>
      </c>
      <c r="T222" s="2">
        <v>1007</v>
      </c>
      <c r="V222" s="36" t="s">
        <v>1483</v>
      </c>
      <c r="X222" s="1" t="s">
        <v>1478</v>
      </c>
      <c r="Y222" s="1">
        <v>2</v>
      </c>
    </row>
    <row r="223" spans="1:25" ht="15.75" x14ac:dyDescent="0.3">
      <c r="A223" s="2">
        <v>1301</v>
      </c>
      <c r="B223" s="2" t="s">
        <v>1613</v>
      </c>
      <c r="C223" s="2">
        <v>2</v>
      </c>
      <c r="D223" s="2" t="s">
        <v>1627</v>
      </c>
      <c r="E223" s="2">
        <v>13</v>
      </c>
      <c r="F223" s="2"/>
      <c r="G223" s="2"/>
      <c r="H223" s="2"/>
      <c r="I223" s="2"/>
      <c r="J223" s="2"/>
      <c r="K223" s="2"/>
      <c r="L223" s="2"/>
      <c r="M223" s="2"/>
      <c r="N223" s="2"/>
      <c r="O223" s="2"/>
      <c r="P223" s="2" t="s">
        <v>1628</v>
      </c>
      <c r="Q223" s="2"/>
      <c r="R223" s="2"/>
      <c r="S223" s="2" t="s">
        <v>1430</v>
      </c>
      <c r="T223" s="2">
        <v>1008</v>
      </c>
      <c r="V223" s="36" t="s">
        <v>1618</v>
      </c>
      <c r="X223"/>
      <c r="Y223"/>
    </row>
    <row r="224" spans="1:25" ht="15.75" x14ac:dyDescent="0.3">
      <c r="A224" s="2">
        <v>1401</v>
      </c>
      <c r="B224" s="2" t="s">
        <v>1494</v>
      </c>
      <c r="C224" s="2">
        <v>2</v>
      </c>
      <c r="D224" s="2" t="s">
        <v>1629</v>
      </c>
      <c r="E224" s="2">
        <v>14</v>
      </c>
      <c r="F224" s="2"/>
      <c r="G224" s="2"/>
      <c r="H224" s="2"/>
      <c r="I224" s="2"/>
      <c r="J224" s="2"/>
      <c r="K224" s="2"/>
      <c r="L224" s="2"/>
      <c r="M224" s="2"/>
      <c r="N224" s="2"/>
      <c r="O224" s="2"/>
      <c r="P224" s="2" t="s">
        <v>1612</v>
      </c>
      <c r="Q224" s="2"/>
      <c r="R224" s="2"/>
      <c r="S224" s="2" t="s">
        <v>1433</v>
      </c>
      <c r="T224" s="2">
        <v>1009</v>
      </c>
      <c r="V224" s="36" t="s">
        <v>1611</v>
      </c>
      <c r="X224"/>
      <c r="Y224"/>
    </row>
    <row r="225" spans="1:25" ht="15.75" x14ac:dyDescent="0.3">
      <c r="A225" s="2">
        <v>1701</v>
      </c>
      <c r="B225" s="116" t="s">
        <v>1611</v>
      </c>
      <c r="C225" s="2">
        <v>2</v>
      </c>
      <c r="D225" s="2" t="s">
        <v>1630</v>
      </c>
      <c r="E225" s="2">
        <v>17</v>
      </c>
      <c r="F225" s="2"/>
      <c r="G225" s="2"/>
      <c r="H225" s="2"/>
      <c r="I225" s="2"/>
      <c r="J225" s="2"/>
      <c r="K225" s="2"/>
      <c r="L225" s="2"/>
      <c r="M225" s="2"/>
      <c r="N225" s="2"/>
      <c r="O225" s="2"/>
      <c r="P225" s="2" t="s">
        <v>1618</v>
      </c>
      <c r="Q225" s="2"/>
      <c r="R225" s="2"/>
      <c r="S225" s="2" t="s">
        <v>1505</v>
      </c>
      <c r="T225" s="2">
        <v>2001</v>
      </c>
      <c r="V225" s="36" t="s">
        <v>1611</v>
      </c>
      <c r="X225"/>
      <c r="Y225"/>
    </row>
    <row r="226" spans="1:25" ht="15.75" x14ac:dyDescent="0.3">
      <c r="A226" s="2">
        <v>1801</v>
      </c>
      <c r="B226" s="2" t="s">
        <v>1483</v>
      </c>
      <c r="C226" s="2">
        <v>2</v>
      </c>
      <c r="D226" s="2" t="s">
        <v>1631</v>
      </c>
      <c r="E226" s="2">
        <v>18</v>
      </c>
      <c r="F226" s="2"/>
      <c r="G226" s="2"/>
      <c r="H226" s="2"/>
      <c r="I226" s="2"/>
      <c r="J226" s="2"/>
      <c r="K226" s="2"/>
      <c r="L226" s="2"/>
      <c r="M226" s="2"/>
      <c r="N226" s="2"/>
      <c r="O226" s="2"/>
      <c r="P226" s="2" t="s">
        <v>1475</v>
      </c>
      <c r="Q226" s="2" t="s">
        <v>1475</v>
      </c>
      <c r="R226" s="2"/>
      <c r="S226" s="2" t="s">
        <v>1502</v>
      </c>
      <c r="T226" s="2">
        <v>2002</v>
      </c>
      <c r="V226" s="36" t="s">
        <v>1478</v>
      </c>
      <c r="X226"/>
      <c r="Y226"/>
    </row>
    <row r="227" spans="1:25" ht="15.75" x14ac:dyDescent="0.3">
      <c r="A227" s="2">
        <v>1901</v>
      </c>
      <c r="B227" s="2" t="s">
        <v>1514</v>
      </c>
      <c r="C227" s="2">
        <v>2</v>
      </c>
      <c r="D227" s="2" t="s">
        <v>1632</v>
      </c>
      <c r="E227" s="2">
        <v>19</v>
      </c>
      <c r="F227" s="2"/>
      <c r="G227" s="2"/>
      <c r="H227" s="2"/>
      <c r="I227" s="2"/>
      <c r="J227" s="2"/>
      <c r="K227" s="2"/>
      <c r="L227" s="2"/>
      <c r="M227" s="2"/>
      <c r="N227" s="2"/>
      <c r="O227" s="2"/>
      <c r="P227" s="2" t="s">
        <v>1617</v>
      </c>
      <c r="Q227" s="2"/>
      <c r="R227" s="2"/>
      <c r="S227" s="2" t="s">
        <v>1475</v>
      </c>
      <c r="T227" s="2">
        <v>2003</v>
      </c>
      <c r="V227" s="36" t="s">
        <v>1478</v>
      </c>
      <c r="X227"/>
      <c r="Y227"/>
    </row>
    <row r="228" spans="1:25" x14ac:dyDescent="0.3">
      <c r="A228" s="2">
        <v>2001</v>
      </c>
      <c r="B228" s="116" t="s">
        <v>1614</v>
      </c>
      <c r="C228" s="2">
        <v>2</v>
      </c>
      <c r="D228" s="2" t="s">
        <v>1633</v>
      </c>
      <c r="E228" s="2">
        <v>20</v>
      </c>
      <c r="F228" s="2"/>
      <c r="G228" s="2"/>
      <c r="H228" s="2"/>
      <c r="I228" s="2"/>
      <c r="J228" s="2"/>
      <c r="K228" s="2"/>
      <c r="L228" s="2"/>
      <c r="M228" s="2"/>
      <c r="N228" s="2"/>
      <c r="O228" s="2"/>
      <c r="P228" s="2" t="s">
        <v>1496</v>
      </c>
      <c r="Q228" s="2" t="s">
        <v>1496</v>
      </c>
      <c r="R228" s="2"/>
      <c r="S228" s="2" t="s">
        <v>1478</v>
      </c>
      <c r="T228" s="2">
        <v>2004</v>
      </c>
    </row>
    <row r="229" spans="1:25" x14ac:dyDescent="0.3">
      <c r="A229" s="2">
        <v>2201</v>
      </c>
      <c r="B229" s="2" t="s">
        <v>1618</v>
      </c>
      <c r="C229" s="2">
        <v>2</v>
      </c>
      <c r="D229" s="2" t="s">
        <v>1634</v>
      </c>
      <c r="E229" s="2">
        <v>22</v>
      </c>
      <c r="F229" s="2"/>
      <c r="G229" s="2"/>
      <c r="H229" s="2"/>
      <c r="I229" s="2"/>
      <c r="J229" s="2"/>
      <c r="K229" s="2"/>
      <c r="L229" s="2"/>
      <c r="M229" s="2"/>
      <c r="N229" s="2"/>
      <c r="O229" s="2"/>
      <c r="P229" s="2" t="s">
        <v>1487</v>
      </c>
      <c r="Q229" s="2" t="s">
        <v>1487</v>
      </c>
      <c r="R229" s="2"/>
      <c r="S229" s="2" t="s">
        <v>1487</v>
      </c>
      <c r="T229" s="2">
        <v>2005</v>
      </c>
    </row>
    <row r="230" spans="1:25" x14ac:dyDescent="0.3">
      <c r="A230" s="2">
        <v>2301</v>
      </c>
      <c r="B230" s="2" t="s">
        <v>1628</v>
      </c>
      <c r="C230" s="2">
        <v>2</v>
      </c>
      <c r="D230" s="2" t="s">
        <v>1635</v>
      </c>
      <c r="E230" s="2">
        <v>23</v>
      </c>
      <c r="F230" s="2"/>
      <c r="G230" s="2"/>
      <c r="H230" s="2"/>
      <c r="I230" s="2"/>
      <c r="J230" s="2"/>
      <c r="K230" s="2"/>
      <c r="L230" s="2"/>
      <c r="M230" s="2"/>
      <c r="N230" s="2"/>
      <c r="O230" s="2"/>
      <c r="P230" s="2" t="s">
        <v>1494</v>
      </c>
      <c r="Q230" s="2" t="s">
        <v>1494</v>
      </c>
      <c r="R230" s="2"/>
      <c r="S230" s="2" t="s">
        <v>1511</v>
      </c>
      <c r="T230" s="2">
        <v>2006</v>
      </c>
    </row>
    <row r="231" spans="1:25" x14ac:dyDescent="0.3">
      <c r="A231" s="2">
        <v>2401</v>
      </c>
      <c r="B231" s="2" t="s">
        <v>1617</v>
      </c>
      <c r="C231" s="2">
        <v>2</v>
      </c>
      <c r="D231" s="2" t="s">
        <v>1636</v>
      </c>
      <c r="E231" s="2">
        <v>24</v>
      </c>
      <c r="F231" s="2"/>
      <c r="G231" s="2"/>
      <c r="H231" s="2"/>
      <c r="I231" s="2"/>
      <c r="J231" s="2"/>
      <c r="K231" s="2"/>
      <c r="L231" s="2"/>
      <c r="M231" s="2"/>
      <c r="N231" s="2"/>
      <c r="O231" s="2"/>
      <c r="P231" s="2" t="s">
        <v>1483</v>
      </c>
      <c r="Q231" s="2" t="s">
        <v>1483</v>
      </c>
      <c r="R231" s="2"/>
      <c r="S231" s="2" t="s">
        <v>1496</v>
      </c>
      <c r="T231" s="2">
        <v>2007</v>
      </c>
    </row>
    <row r="232" spans="1:25" x14ac:dyDescent="0.3">
      <c r="A232" s="2">
        <v>2601</v>
      </c>
      <c r="B232" s="2" t="s">
        <v>1612</v>
      </c>
      <c r="C232" s="2">
        <v>2</v>
      </c>
      <c r="D232" s="2" t="s">
        <v>1637</v>
      </c>
      <c r="E232" s="2">
        <v>26</v>
      </c>
      <c r="F232" s="2"/>
      <c r="G232" s="2"/>
      <c r="H232" s="2"/>
      <c r="I232" s="2"/>
      <c r="J232" s="2"/>
      <c r="K232" s="2"/>
      <c r="L232" s="2"/>
      <c r="M232" s="2"/>
      <c r="N232" s="2"/>
      <c r="O232" s="2"/>
      <c r="P232" s="2" t="s">
        <v>1614</v>
      </c>
      <c r="Q232" s="2"/>
      <c r="R232" s="2"/>
      <c r="S232" s="2" t="s">
        <v>1613</v>
      </c>
      <c r="T232" s="2">
        <v>2008</v>
      </c>
    </row>
    <row r="233" spans="1:25" x14ac:dyDescent="0.3">
      <c r="A233" s="2">
        <v>101</v>
      </c>
      <c r="B233" s="2" t="s">
        <v>1583</v>
      </c>
      <c r="C233" s="2">
        <v>1</v>
      </c>
      <c r="D233" s="2" t="s">
        <v>1638</v>
      </c>
      <c r="E233" s="2">
        <v>1</v>
      </c>
      <c r="F233" s="2"/>
      <c r="G233" s="2"/>
      <c r="H233" s="2"/>
      <c r="I233" s="2"/>
      <c r="J233" s="2"/>
      <c r="K233" s="2"/>
      <c r="L233" s="2"/>
      <c r="M233" s="2"/>
      <c r="N233" s="2"/>
      <c r="O233" s="2"/>
      <c r="P233" s="2"/>
      <c r="Q233" s="2"/>
      <c r="R233" s="2"/>
      <c r="S233" s="2" t="s">
        <v>1494</v>
      </c>
      <c r="T233" s="2">
        <v>2009</v>
      </c>
    </row>
    <row r="234" spans="1:25" x14ac:dyDescent="0.3">
      <c r="A234" s="2">
        <v>201</v>
      </c>
      <c r="B234" s="2" t="s">
        <v>1424</v>
      </c>
      <c r="C234" s="2">
        <v>1</v>
      </c>
      <c r="D234" s="2" t="s">
        <v>1639</v>
      </c>
      <c r="E234" s="2">
        <v>2</v>
      </c>
      <c r="F234" s="2"/>
      <c r="G234" s="2"/>
      <c r="H234" s="2"/>
      <c r="I234" s="2"/>
      <c r="J234" s="2"/>
      <c r="K234" s="2"/>
      <c r="L234" s="2"/>
      <c r="M234" s="2"/>
      <c r="N234" s="2"/>
      <c r="O234" s="2"/>
      <c r="P234" s="2"/>
      <c r="Q234" s="2"/>
      <c r="R234" s="2"/>
      <c r="S234" s="2" t="s">
        <v>1611</v>
      </c>
      <c r="T234" s="2">
        <v>2010</v>
      </c>
    </row>
    <row r="235" spans="1:25" x14ac:dyDescent="0.3">
      <c r="A235" s="2">
        <v>301</v>
      </c>
      <c r="B235" s="2" t="s">
        <v>1584</v>
      </c>
      <c r="C235" s="2">
        <v>1</v>
      </c>
      <c r="D235" s="2" t="s">
        <v>1640</v>
      </c>
      <c r="E235" s="2">
        <v>3</v>
      </c>
      <c r="F235" s="2"/>
      <c r="G235" s="2"/>
      <c r="H235" s="2"/>
      <c r="I235" s="2"/>
      <c r="J235" s="2"/>
      <c r="K235" s="2"/>
      <c r="L235" s="2"/>
      <c r="M235" s="2"/>
      <c r="N235" s="2"/>
      <c r="O235" s="2"/>
      <c r="P235" s="2"/>
      <c r="Q235" s="2"/>
      <c r="R235" s="2"/>
      <c r="S235" s="2" t="s">
        <v>1514</v>
      </c>
      <c r="T235" s="2">
        <v>2011</v>
      </c>
    </row>
    <row r="236" spans="1:25" x14ac:dyDescent="0.3">
      <c r="A236" s="2">
        <v>401</v>
      </c>
      <c r="B236" s="2" t="s">
        <v>1452</v>
      </c>
      <c r="C236" s="2">
        <v>1</v>
      </c>
      <c r="D236" s="2" t="s">
        <v>1641</v>
      </c>
      <c r="E236" s="2">
        <v>4</v>
      </c>
      <c r="F236" s="2"/>
      <c r="G236" s="2"/>
      <c r="H236" s="2"/>
      <c r="I236" s="2"/>
      <c r="J236" s="2"/>
      <c r="K236" s="2"/>
      <c r="L236" s="2"/>
      <c r="M236" s="2"/>
      <c r="N236" s="2"/>
      <c r="O236" s="2"/>
      <c r="P236" s="2"/>
      <c r="Q236" s="2"/>
      <c r="R236" s="2"/>
      <c r="S236" s="2" t="s">
        <v>1614</v>
      </c>
      <c r="T236" s="2">
        <v>2012</v>
      </c>
    </row>
    <row r="237" spans="1:25" x14ac:dyDescent="0.3">
      <c r="A237" s="2">
        <v>701</v>
      </c>
      <c r="B237" s="2" t="s">
        <v>1585</v>
      </c>
      <c r="C237" s="2">
        <v>1</v>
      </c>
      <c r="D237" s="2" t="s">
        <v>1642</v>
      </c>
      <c r="E237" s="2">
        <v>7</v>
      </c>
      <c r="F237" s="2"/>
      <c r="G237" s="2"/>
      <c r="H237" s="2"/>
      <c r="I237" s="2"/>
      <c r="J237" s="2"/>
      <c r="K237" s="2"/>
      <c r="L237" s="2"/>
      <c r="M237" s="2"/>
      <c r="N237" s="2"/>
      <c r="O237" s="2"/>
      <c r="P237" s="2"/>
      <c r="Q237" s="2"/>
      <c r="R237" s="2"/>
      <c r="S237" s="2" t="s">
        <v>1618</v>
      </c>
      <c r="T237" s="2">
        <v>2013</v>
      </c>
    </row>
    <row r="238" spans="1:25" x14ac:dyDescent="0.3">
      <c r="A238" s="2">
        <v>1501</v>
      </c>
      <c r="B238" s="2" t="s">
        <v>1582</v>
      </c>
      <c r="C238" s="2">
        <v>1</v>
      </c>
      <c r="D238" s="2" t="s">
        <v>1643</v>
      </c>
      <c r="E238" s="2">
        <v>15</v>
      </c>
      <c r="F238" s="2"/>
      <c r="G238" s="2"/>
      <c r="H238" s="2"/>
      <c r="I238" s="2"/>
      <c r="J238" s="2"/>
      <c r="K238" s="2"/>
      <c r="L238" s="2"/>
      <c r="M238" s="2"/>
      <c r="N238" s="2"/>
      <c r="O238" s="2"/>
      <c r="P238" s="2"/>
      <c r="Q238" s="2"/>
      <c r="R238" s="2"/>
      <c r="S238" s="2" t="s">
        <v>1628</v>
      </c>
      <c r="T238" s="2">
        <v>2014</v>
      </c>
    </row>
    <row r="239" spans="1:25" x14ac:dyDescent="0.3">
      <c r="A239" s="2">
        <v>1601</v>
      </c>
      <c r="B239" s="2" t="s">
        <v>1448</v>
      </c>
      <c r="C239" s="2">
        <v>1</v>
      </c>
      <c r="D239" s="2" t="s">
        <v>1644</v>
      </c>
      <c r="E239" s="2">
        <v>16</v>
      </c>
      <c r="F239" s="2"/>
      <c r="G239" s="2"/>
      <c r="H239" s="2"/>
      <c r="I239" s="2"/>
      <c r="J239" s="2"/>
      <c r="K239" s="2"/>
      <c r="L239" s="2"/>
      <c r="M239" s="2"/>
      <c r="N239" s="2"/>
      <c r="O239" s="2"/>
      <c r="P239" s="2"/>
      <c r="Q239" s="2"/>
      <c r="R239" s="2"/>
      <c r="S239" s="2" t="s">
        <v>1617</v>
      </c>
      <c r="T239" s="2">
        <v>2015</v>
      </c>
    </row>
    <row r="240" spans="1:25" x14ac:dyDescent="0.3">
      <c r="A240" s="2">
        <v>2101</v>
      </c>
      <c r="B240" s="2" t="s">
        <v>1430</v>
      </c>
      <c r="C240" s="2">
        <v>1</v>
      </c>
      <c r="D240" s="2" t="s">
        <v>1645</v>
      </c>
      <c r="E240" s="2">
        <v>21</v>
      </c>
      <c r="F240" s="2"/>
      <c r="G240" s="2"/>
      <c r="H240" s="2"/>
      <c r="I240" s="2"/>
      <c r="J240" s="2"/>
      <c r="K240" s="2"/>
      <c r="L240" s="2"/>
      <c r="M240" s="2"/>
      <c r="N240" s="2"/>
      <c r="O240" s="2"/>
      <c r="P240" s="2"/>
      <c r="Q240" s="2"/>
      <c r="R240" s="2"/>
      <c r="S240" s="2" t="s">
        <v>1612</v>
      </c>
      <c r="T240" s="2">
        <v>2016</v>
      </c>
    </row>
    <row r="241" spans="1:20" x14ac:dyDescent="0.3">
      <c r="A241" s="2">
        <v>2501</v>
      </c>
      <c r="B241" s="2" t="s">
        <v>1433</v>
      </c>
      <c r="C241" s="2">
        <v>1</v>
      </c>
      <c r="D241" s="2" t="s">
        <v>1646</v>
      </c>
      <c r="E241" s="2">
        <v>25</v>
      </c>
      <c r="F241" s="2"/>
      <c r="G241" s="2"/>
      <c r="H241" s="2"/>
      <c r="I241" s="2"/>
      <c r="J241" s="2"/>
      <c r="K241" s="2"/>
      <c r="L241" s="2"/>
      <c r="M241" s="2"/>
      <c r="N241" s="2"/>
      <c r="O241" s="2"/>
      <c r="P241" s="2"/>
      <c r="Q241" s="2"/>
      <c r="R241" s="2"/>
      <c r="S241" s="2" t="s">
        <v>1483</v>
      </c>
      <c r="T241" s="2">
        <v>2017</v>
      </c>
    </row>
    <row r="242" spans="1:20" x14ac:dyDescent="0.3">
      <c r="A242" s="2">
        <v>2602</v>
      </c>
      <c r="B242" s="2" t="s">
        <v>1647</v>
      </c>
      <c r="C242" s="2">
        <v>1</v>
      </c>
      <c r="D242" s="2" t="s">
        <v>1648</v>
      </c>
      <c r="E242" s="2">
        <v>26</v>
      </c>
      <c r="F242" s="2"/>
      <c r="G242" s="2"/>
      <c r="H242" s="2"/>
      <c r="I242" s="2"/>
      <c r="J242" s="2"/>
      <c r="K242" s="2"/>
      <c r="L242" s="2"/>
      <c r="M242" s="2"/>
      <c r="N242" s="2"/>
      <c r="O242" s="2"/>
      <c r="P242" s="2"/>
      <c r="Q242" s="2"/>
      <c r="R242" s="2"/>
      <c r="S242" s="2" t="s">
        <v>1647</v>
      </c>
      <c r="T242" s="2">
        <v>3001</v>
      </c>
    </row>
    <row r="245" spans="1:20" x14ac:dyDescent="0.3">
      <c r="A245" s="1" t="s">
        <v>1649</v>
      </c>
      <c r="B245" s="1">
        <v>15</v>
      </c>
    </row>
    <row r="247" spans="1:20" ht="15.75" x14ac:dyDescent="0.3">
      <c r="A247" s="35" t="s">
        <v>1650</v>
      </c>
    </row>
    <row r="248" spans="1:20" x14ac:dyDescent="0.3">
      <c r="A248" s="109" t="s">
        <v>725</v>
      </c>
      <c r="B248" s="109" t="s">
        <v>1088</v>
      </c>
      <c r="C248" s="1" t="s">
        <v>1651</v>
      </c>
      <c r="D248" s="1" t="s">
        <v>743</v>
      </c>
      <c r="E248" s="1" t="s">
        <v>1652</v>
      </c>
      <c r="F248" s="1" t="s">
        <v>1653</v>
      </c>
      <c r="G248" s="1" t="s">
        <v>1654</v>
      </c>
      <c r="H248" s="1" t="s">
        <v>1655</v>
      </c>
      <c r="I248" s="1" t="s">
        <v>1656</v>
      </c>
      <c r="J248" s="1" t="s">
        <v>1657</v>
      </c>
      <c r="K248" s="1" t="s">
        <v>1423</v>
      </c>
      <c r="L248" s="1" t="s">
        <v>1658</v>
      </c>
      <c r="M248" s="1" t="s">
        <v>1659</v>
      </c>
      <c r="N248" s="1" t="s">
        <v>1660</v>
      </c>
    </row>
    <row r="249" spans="1:20" x14ac:dyDescent="0.3">
      <c r="A249" s="1" t="s">
        <v>1452</v>
      </c>
      <c r="B249" s="1">
        <v>1</v>
      </c>
      <c r="C249" s="1">
        <v>4</v>
      </c>
      <c r="D249" s="1" t="str">
        <f>A249&amp;B249</f>
        <v>电锯1</v>
      </c>
      <c r="E249" s="1">
        <v>1.2</v>
      </c>
      <c r="F249" s="1">
        <v>0</v>
      </c>
      <c r="G249" s="1">
        <v>1</v>
      </c>
      <c r="H249" s="1">
        <f>E249*100</f>
        <v>120</v>
      </c>
      <c r="K249" s="36" t="s">
        <v>1641</v>
      </c>
      <c r="L249" s="125">
        <v>15</v>
      </c>
      <c r="M249" s="1">
        <v>2</v>
      </c>
      <c r="N249" s="131">
        <f>IF(G249=1,(($B$245/L249+1)*M249*E249*100)/(100*$B$245),(($B$245/L249+1)*M249*F249*100)/(100*$B$245))</f>
        <v>0.32</v>
      </c>
      <c r="O249" s="1" t="str">
        <f>IF(AND(I249="",J249=""),"["&amp;H249&amp;"]",IF(J249="","["&amp;H249&amp;","&amp;I249&amp;"]","["&amp;H249&amp;","&amp;I249&amp;","&amp;J249&amp;"]"))</f>
        <v>[120]</v>
      </c>
      <c r="Q249" s="1" t="s">
        <v>1661</v>
      </c>
    </row>
    <row r="250" spans="1:20" x14ac:dyDescent="0.3">
      <c r="A250" s="1" t="s">
        <v>1452</v>
      </c>
      <c r="B250" s="1">
        <v>2</v>
      </c>
      <c r="C250" s="1">
        <v>4</v>
      </c>
      <c r="D250" s="1" t="str">
        <f t="shared" ref="D250:D290" si="25">A250&amp;B250</f>
        <v>电锯2</v>
      </c>
      <c r="E250" s="1">
        <v>1.5</v>
      </c>
      <c r="F250" s="1">
        <v>0</v>
      </c>
      <c r="G250" s="1">
        <v>1</v>
      </c>
      <c r="H250" s="1">
        <f t="shared" ref="H250:H255" si="26">E250*100</f>
        <v>150</v>
      </c>
      <c r="K250" s="36" t="s">
        <v>1641</v>
      </c>
      <c r="L250" s="125">
        <v>15</v>
      </c>
      <c r="M250" s="1">
        <v>2</v>
      </c>
      <c r="N250" s="131">
        <f t="shared" ref="N250:N290" si="27">IF(G250=1,(($B$245/L250+1)*M250*E250*100)/(100*$B$245),(($B$245/L250+1)*M250*F250*100)/(100*$B$245))</f>
        <v>0.4</v>
      </c>
      <c r="O250" s="1" t="str">
        <f t="shared" ref="O250:O290" si="28">IF(AND(I250="",J250=""),"["&amp;H250&amp;"]",IF(J250="","["&amp;H250&amp;","&amp;I250&amp;"]","["&amp;H250&amp;","&amp;I250&amp;","&amp;J250&amp;"]"))</f>
        <v>[150]</v>
      </c>
      <c r="Q250" s="1" t="s">
        <v>1661</v>
      </c>
    </row>
    <row r="251" spans="1:20" x14ac:dyDescent="0.3">
      <c r="A251" s="1" t="s">
        <v>1452</v>
      </c>
      <c r="B251" s="1">
        <v>3</v>
      </c>
      <c r="C251" s="1">
        <v>4</v>
      </c>
      <c r="D251" s="1" t="str">
        <f t="shared" si="25"/>
        <v>电锯3</v>
      </c>
      <c r="E251" s="1">
        <v>1.7</v>
      </c>
      <c r="F251" s="1">
        <v>0</v>
      </c>
      <c r="G251" s="1">
        <v>1</v>
      </c>
      <c r="H251" s="1">
        <f t="shared" si="26"/>
        <v>170</v>
      </c>
      <c r="K251" s="36" t="s">
        <v>1641</v>
      </c>
      <c r="L251" s="125">
        <v>15</v>
      </c>
      <c r="M251" s="1">
        <v>2</v>
      </c>
      <c r="N251" s="131">
        <f t="shared" si="27"/>
        <v>0.45333333333333331</v>
      </c>
      <c r="O251" s="1" t="str">
        <f t="shared" si="28"/>
        <v>[170]</v>
      </c>
      <c r="Q251" s="1" t="s">
        <v>1661</v>
      </c>
    </row>
    <row r="252" spans="1:20" x14ac:dyDescent="0.3">
      <c r="A252" s="1" t="s">
        <v>1452</v>
      </c>
      <c r="B252" s="1">
        <v>4</v>
      </c>
      <c r="C252" s="1">
        <v>4</v>
      </c>
      <c r="D252" s="1" t="str">
        <f t="shared" si="25"/>
        <v>电锯4</v>
      </c>
      <c r="E252" s="1">
        <v>1.8</v>
      </c>
      <c r="F252" s="1">
        <v>0</v>
      </c>
      <c r="G252" s="1">
        <v>1</v>
      </c>
      <c r="H252" s="1">
        <f t="shared" si="26"/>
        <v>180</v>
      </c>
      <c r="K252" s="36" t="s">
        <v>1641</v>
      </c>
      <c r="L252" s="125">
        <v>15</v>
      </c>
      <c r="M252" s="1">
        <v>2</v>
      </c>
      <c r="N252" s="131">
        <f t="shared" si="27"/>
        <v>0.48</v>
      </c>
      <c r="O252" s="1" t="str">
        <f t="shared" si="28"/>
        <v>[180]</v>
      </c>
      <c r="Q252" s="1" t="s">
        <v>1661</v>
      </c>
    </row>
    <row r="253" spans="1:20" x14ac:dyDescent="0.3">
      <c r="A253" s="1" t="s">
        <v>1452</v>
      </c>
      <c r="B253" s="1">
        <v>5</v>
      </c>
      <c r="C253" s="1">
        <v>4</v>
      </c>
      <c r="D253" s="1" t="str">
        <f t="shared" si="25"/>
        <v>电锯5</v>
      </c>
      <c r="E253" s="1">
        <v>1.9</v>
      </c>
      <c r="F253" s="1">
        <v>0</v>
      </c>
      <c r="G253" s="1">
        <v>1</v>
      </c>
      <c r="H253" s="1">
        <f t="shared" si="26"/>
        <v>190</v>
      </c>
      <c r="K253" s="36" t="s">
        <v>1641</v>
      </c>
      <c r="L253" s="125">
        <v>15</v>
      </c>
      <c r="M253" s="1">
        <v>2</v>
      </c>
      <c r="N253" s="131">
        <f t="shared" si="27"/>
        <v>0.50666666666666671</v>
      </c>
      <c r="O253" s="1" t="str">
        <f t="shared" si="28"/>
        <v>[190]</v>
      </c>
      <c r="Q253" s="1" t="s">
        <v>1661</v>
      </c>
    </row>
    <row r="254" spans="1:20" x14ac:dyDescent="0.3">
      <c r="A254" s="1" t="s">
        <v>1452</v>
      </c>
      <c r="B254" s="1">
        <v>6</v>
      </c>
      <c r="C254" s="1">
        <v>4</v>
      </c>
      <c r="D254" s="1" t="str">
        <f t="shared" si="25"/>
        <v>电锯6</v>
      </c>
      <c r="E254" s="1">
        <v>2</v>
      </c>
      <c r="F254" s="1">
        <v>0</v>
      </c>
      <c r="G254" s="1">
        <v>1</v>
      </c>
      <c r="H254" s="1">
        <f t="shared" si="26"/>
        <v>200</v>
      </c>
      <c r="K254" s="36" t="s">
        <v>1641</v>
      </c>
      <c r="L254" s="125">
        <v>15</v>
      </c>
      <c r="M254" s="1">
        <v>2</v>
      </c>
      <c r="N254" s="131">
        <f t="shared" si="27"/>
        <v>0.53333333333333333</v>
      </c>
      <c r="O254" s="1" t="str">
        <f t="shared" si="28"/>
        <v>[200]</v>
      </c>
      <c r="Q254" s="1" t="s">
        <v>1661</v>
      </c>
    </row>
    <row r="255" spans="1:20" x14ac:dyDescent="0.3">
      <c r="A255" s="1" t="s">
        <v>1452</v>
      </c>
      <c r="B255" s="1">
        <v>7</v>
      </c>
      <c r="C255" s="1">
        <v>4</v>
      </c>
      <c r="D255" s="1" t="str">
        <f t="shared" si="25"/>
        <v>电锯7</v>
      </c>
      <c r="E255" s="1">
        <v>2.1</v>
      </c>
      <c r="F255" s="1">
        <v>0</v>
      </c>
      <c r="G255" s="1">
        <v>1</v>
      </c>
      <c r="H255" s="1">
        <f t="shared" si="26"/>
        <v>210</v>
      </c>
      <c r="K255" s="36" t="s">
        <v>1641</v>
      </c>
      <c r="L255" s="125">
        <v>15</v>
      </c>
      <c r="M255" s="1">
        <v>2</v>
      </c>
      <c r="N255" s="131">
        <f t="shared" si="27"/>
        <v>0.56000000000000005</v>
      </c>
      <c r="O255" s="1" t="str">
        <f t="shared" si="28"/>
        <v>[210]</v>
      </c>
      <c r="Q255" s="1" t="s">
        <v>1661</v>
      </c>
    </row>
    <row r="256" spans="1:20" x14ac:dyDescent="0.3">
      <c r="A256" s="1" t="s">
        <v>1433</v>
      </c>
      <c r="B256" s="1">
        <v>1</v>
      </c>
      <c r="C256" s="1">
        <v>9</v>
      </c>
      <c r="D256" s="1" t="str">
        <f t="shared" si="25"/>
        <v>天火导弹1</v>
      </c>
      <c r="E256" s="1">
        <v>1.2</v>
      </c>
      <c r="F256" s="1">
        <v>1</v>
      </c>
      <c r="G256" s="1">
        <v>1</v>
      </c>
      <c r="H256" s="1">
        <v>3</v>
      </c>
      <c r="I256" s="1">
        <v>3</v>
      </c>
      <c r="J256" s="1">
        <f>E256*100</f>
        <v>120</v>
      </c>
      <c r="K256" s="36" t="s">
        <v>1662</v>
      </c>
      <c r="L256" s="140">
        <v>40</v>
      </c>
      <c r="M256" s="1">
        <v>3</v>
      </c>
      <c r="N256" s="131">
        <f t="shared" si="27"/>
        <v>0.33</v>
      </c>
      <c r="O256" s="1" t="str">
        <f t="shared" si="28"/>
        <v>[3,3,120]</v>
      </c>
      <c r="Q256" s="1" t="s">
        <v>1663</v>
      </c>
    </row>
    <row r="257" spans="1:17" x14ac:dyDescent="0.3">
      <c r="A257" s="1" t="s">
        <v>1433</v>
      </c>
      <c r="B257" s="1">
        <v>2</v>
      </c>
      <c r="C257" s="1">
        <v>9</v>
      </c>
      <c r="D257" s="1" t="str">
        <f t="shared" si="25"/>
        <v>天火导弹2</v>
      </c>
      <c r="E257" s="1">
        <v>1.5</v>
      </c>
      <c r="F257" s="1">
        <v>1</v>
      </c>
      <c r="G257" s="1">
        <v>1</v>
      </c>
      <c r="H257" s="1">
        <v>3</v>
      </c>
      <c r="I257" s="1">
        <v>3</v>
      </c>
      <c r="J257" s="1">
        <f t="shared" ref="J257:J262" si="29">E257*100</f>
        <v>150</v>
      </c>
      <c r="K257" s="36" t="s">
        <v>1662</v>
      </c>
      <c r="L257" s="140">
        <v>40</v>
      </c>
      <c r="M257" s="1">
        <v>3</v>
      </c>
      <c r="N257" s="131">
        <f t="shared" si="27"/>
        <v>0.41249999999999998</v>
      </c>
      <c r="O257" s="1" t="str">
        <f t="shared" si="28"/>
        <v>[3,3,150]</v>
      </c>
      <c r="Q257" s="1" t="s">
        <v>1663</v>
      </c>
    </row>
    <row r="258" spans="1:17" x14ac:dyDescent="0.3">
      <c r="A258" s="1" t="s">
        <v>1433</v>
      </c>
      <c r="B258" s="1">
        <v>3</v>
      </c>
      <c r="C258" s="1">
        <v>9</v>
      </c>
      <c r="D258" s="1" t="str">
        <f t="shared" si="25"/>
        <v>天火导弹3</v>
      </c>
      <c r="E258" s="1">
        <v>1.8</v>
      </c>
      <c r="F258" s="1">
        <v>1</v>
      </c>
      <c r="G258" s="1">
        <v>1</v>
      </c>
      <c r="H258" s="1">
        <v>3</v>
      </c>
      <c r="I258" s="1">
        <v>3</v>
      </c>
      <c r="J258" s="1">
        <f t="shared" si="29"/>
        <v>180</v>
      </c>
      <c r="K258" s="36" t="s">
        <v>1662</v>
      </c>
      <c r="L258" s="140">
        <v>40</v>
      </c>
      <c r="M258" s="1">
        <v>3</v>
      </c>
      <c r="N258" s="131">
        <f t="shared" si="27"/>
        <v>0.495</v>
      </c>
      <c r="O258" s="1" t="str">
        <f t="shared" si="28"/>
        <v>[3,3,180]</v>
      </c>
      <c r="Q258" s="1" t="s">
        <v>1663</v>
      </c>
    </row>
    <row r="259" spans="1:17" x14ac:dyDescent="0.3">
      <c r="A259" s="1" t="s">
        <v>1433</v>
      </c>
      <c r="B259" s="1">
        <v>4</v>
      </c>
      <c r="C259" s="1">
        <v>9</v>
      </c>
      <c r="D259" s="1" t="str">
        <f t="shared" si="25"/>
        <v>天火导弹4</v>
      </c>
      <c r="E259" s="1">
        <v>2.1</v>
      </c>
      <c r="F259" s="1">
        <v>1</v>
      </c>
      <c r="G259" s="1">
        <v>1</v>
      </c>
      <c r="H259" s="1">
        <v>3</v>
      </c>
      <c r="I259" s="1">
        <v>3</v>
      </c>
      <c r="J259" s="1">
        <f t="shared" si="29"/>
        <v>210</v>
      </c>
      <c r="K259" s="36" t="s">
        <v>1662</v>
      </c>
      <c r="L259" s="140">
        <v>40</v>
      </c>
      <c r="M259" s="1">
        <v>3</v>
      </c>
      <c r="N259" s="131">
        <f t="shared" si="27"/>
        <v>0.57750000000000001</v>
      </c>
      <c r="O259" s="1" t="str">
        <f t="shared" si="28"/>
        <v>[3,3,210]</v>
      </c>
      <c r="Q259" s="1" t="s">
        <v>1663</v>
      </c>
    </row>
    <row r="260" spans="1:17" x14ac:dyDescent="0.3">
      <c r="A260" s="1" t="s">
        <v>1433</v>
      </c>
      <c r="B260" s="1">
        <v>5</v>
      </c>
      <c r="C260" s="1">
        <v>9</v>
      </c>
      <c r="D260" s="1" t="str">
        <f t="shared" si="25"/>
        <v>天火导弹5</v>
      </c>
      <c r="E260" s="1">
        <v>2.2000000000000002</v>
      </c>
      <c r="F260" s="1">
        <v>1</v>
      </c>
      <c r="G260" s="1">
        <v>1</v>
      </c>
      <c r="H260" s="1">
        <v>3</v>
      </c>
      <c r="I260" s="1">
        <v>3</v>
      </c>
      <c r="J260" s="1">
        <f t="shared" si="29"/>
        <v>220.00000000000003</v>
      </c>
      <c r="K260" s="36" t="s">
        <v>1662</v>
      </c>
      <c r="L260" s="140">
        <v>40</v>
      </c>
      <c r="M260" s="1">
        <v>3</v>
      </c>
      <c r="N260" s="131">
        <f t="shared" si="27"/>
        <v>0.60500000000000009</v>
      </c>
      <c r="O260" s="1" t="str">
        <f t="shared" si="28"/>
        <v>[3,3,220]</v>
      </c>
      <c r="Q260" s="1" t="s">
        <v>1663</v>
      </c>
    </row>
    <row r="261" spans="1:17" x14ac:dyDescent="0.3">
      <c r="A261" s="1" t="s">
        <v>1433</v>
      </c>
      <c r="B261" s="1">
        <v>6</v>
      </c>
      <c r="C261" s="1">
        <v>9</v>
      </c>
      <c r="D261" s="1" t="str">
        <f t="shared" si="25"/>
        <v>天火导弹6</v>
      </c>
      <c r="E261" s="1">
        <v>2.2999999999999998</v>
      </c>
      <c r="F261" s="1">
        <v>1</v>
      </c>
      <c r="G261" s="1">
        <v>1</v>
      </c>
      <c r="H261" s="1">
        <v>3</v>
      </c>
      <c r="I261" s="1">
        <v>3</v>
      </c>
      <c r="J261" s="1">
        <f t="shared" si="29"/>
        <v>229.99999999999997</v>
      </c>
      <c r="K261" s="36" t="s">
        <v>1662</v>
      </c>
      <c r="L261" s="140">
        <v>40</v>
      </c>
      <c r="M261" s="1">
        <v>3</v>
      </c>
      <c r="N261" s="131">
        <f t="shared" si="27"/>
        <v>0.63249999999999995</v>
      </c>
      <c r="O261" s="1" t="str">
        <f t="shared" si="28"/>
        <v>[3,3,230]</v>
      </c>
      <c r="Q261" s="1" t="s">
        <v>1663</v>
      </c>
    </row>
    <row r="262" spans="1:17" x14ac:dyDescent="0.3">
      <c r="A262" s="1" t="s">
        <v>1433</v>
      </c>
      <c r="B262" s="1">
        <v>7</v>
      </c>
      <c r="C262" s="1">
        <v>9</v>
      </c>
      <c r="D262" s="1" t="str">
        <f t="shared" si="25"/>
        <v>天火导弹7</v>
      </c>
      <c r="E262" s="1">
        <v>2.4</v>
      </c>
      <c r="F262" s="1">
        <v>1</v>
      </c>
      <c r="G262" s="1">
        <v>1</v>
      </c>
      <c r="H262" s="1">
        <v>3</v>
      </c>
      <c r="I262" s="1">
        <v>3</v>
      </c>
      <c r="J262" s="1">
        <f t="shared" si="29"/>
        <v>240</v>
      </c>
      <c r="K262" s="36" t="s">
        <v>1662</v>
      </c>
      <c r="L262" s="140">
        <v>40</v>
      </c>
      <c r="M262" s="1">
        <v>3</v>
      </c>
      <c r="N262" s="131">
        <f t="shared" si="27"/>
        <v>0.66</v>
      </c>
      <c r="O262" s="1" t="str">
        <f t="shared" si="28"/>
        <v>[3,3,240]</v>
      </c>
      <c r="Q262" s="1" t="s">
        <v>1663</v>
      </c>
    </row>
    <row r="263" spans="1:17" x14ac:dyDescent="0.3">
      <c r="A263" s="1" t="s">
        <v>1448</v>
      </c>
      <c r="B263" s="1">
        <v>1</v>
      </c>
      <c r="C263" s="1">
        <v>7</v>
      </c>
      <c r="D263" s="1" t="str">
        <f t="shared" si="25"/>
        <v>微型导弹1</v>
      </c>
      <c r="E263" s="1">
        <v>0.4</v>
      </c>
      <c r="F263" s="1">
        <v>0</v>
      </c>
      <c r="G263" s="1">
        <v>1</v>
      </c>
      <c r="H263" s="1">
        <f>E263*100</f>
        <v>40</v>
      </c>
      <c r="K263" s="36" t="s">
        <v>1644</v>
      </c>
      <c r="L263" s="125">
        <v>15</v>
      </c>
      <c r="M263" s="1">
        <v>4</v>
      </c>
      <c r="N263" s="131">
        <f t="shared" si="27"/>
        <v>0.21333333333333335</v>
      </c>
      <c r="O263" s="1" t="str">
        <f t="shared" si="28"/>
        <v>[40]</v>
      </c>
      <c r="Q263" s="1" t="s">
        <v>1664</v>
      </c>
    </row>
    <row r="264" spans="1:17" x14ac:dyDescent="0.3">
      <c r="A264" s="1" t="s">
        <v>1448</v>
      </c>
      <c r="B264" s="1">
        <v>2</v>
      </c>
      <c r="C264" s="1">
        <v>7</v>
      </c>
      <c r="D264" s="1" t="str">
        <f t="shared" si="25"/>
        <v>微型导弹2</v>
      </c>
      <c r="E264" s="1">
        <v>0.7</v>
      </c>
      <c r="F264" s="1">
        <v>0</v>
      </c>
      <c r="G264" s="1">
        <v>1</v>
      </c>
      <c r="H264" s="1">
        <f t="shared" ref="H264:H270" si="30">E264*100</f>
        <v>70</v>
      </c>
      <c r="K264" s="36" t="s">
        <v>1644</v>
      </c>
      <c r="L264" s="125">
        <v>15</v>
      </c>
      <c r="M264" s="1">
        <v>4</v>
      </c>
      <c r="N264" s="131">
        <f t="shared" si="27"/>
        <v>0.37333333333333335</v>
      </c>
      <c r="O264" s="1" t="str">
        <f t="shared" si="28"/>
        <v>[70]</v>
      </c>
      <c r="Q264" s="1" t="s">
        <v>1664</v>
      </c>
    </row>
    <row r="265" spans="1:17" x14ac:dyDescent="0.3">
      <c r="A265" s="1" t="s">
        <v>1448</v>
      </c>
      <c r="B265" s="1">
        <v>3</v>
      </c>
      <c r="C265" s="1">
        <v>7</v>
      </c>
      <c r="D265" s="1" t="str">
        <f t="shared" si="25"/>
        <v>微型导弹3</v>
      </c>
      <c r="E265" s="1">
        <v>0.8</v>
      </c>
      <c r="F265" s="1">
        <v>0</v>
      </c>
      <c r="G265" s="1">
        <v>1</v>
      </c>
      <c r="H265" s="1">
        <f t="shared" si="30"/>
        <v>80</v>
      </c>
      <c r="K265" s="36" t="s">
        <v>1644</v>
      </c>
      <c r="L265" s="125">
        <v>15</v>
      </c>
      <c r="M265" s="1">
        <v>4</v>
      </c>
      <c r="N265" s="131">
        <f t="shared" si="27"/>
        <v>0.42666666666666669</v>
      </c>
      <c r="O265" s="1" t="str">
        <f t="shared" si="28"/>
        <v>[80]</v>
      </c>
      <c r="Q265" s="1" t="s">
        <v>1664</v>
      </c>
    </row>
    <row r="266" spans="1:17" x14ac:dyDescent="0.3">
      <c r="A266" s="1" t="s">
        <v>1448</v>
      </c>
      <c r="B266" s="1">
        <v>4</v>
      </c>
      <c r="C266" s="1">
        <v>7</v>
      </c>
      <c r="D266" s="1" t="str">
        <f t="shared" si="25"/>
        <v>微型导弹4</v>
      </c>
      <c r="E266" s="1">
        <v>0.9</v>
      </c>
      <c r="F266" s="1">
        <v>0</v>
      </c>
      <c r="G266" s="1">
        <v>1</v>
      </c>
      <c r="H266" s="1">
        <f t="shared" si="30"/>
        <v>90</v>
      </c>
      <c r="K266" s="36" t="s">
        <v>1644</v>
      </c>
      <c r="L266" s="125">
        <v>15</v>
      </c>
      <c r="M266" s="1">
        <v>4</v>
      </c>
      <c r="N266" s="131">
        <f t="shared" si="27"/>
        <v>0.48</v>
      </c>
      <c r="O266" s="1" t="str">
        <f t="shared" si="28"/>
        <v>[90]</v>
      </c>
      <c r="Q266" s="1" t="s">
        <v>1664</v>
      </c>
    </row>
    <row r="267" spans="1:17" x14ac:dyDescent="0.3">
      <c r="A267" s="1" t="s">
        <v>1448</v>
      </c>
      <c r="B267" s="1">
        <v>5</v>
      </c>
      <c r="C267" s="1">
        <v>7</v>
      </c>
      <c r="D267" s="1" t="str">
        <f t="shared" si="25"/>
        <v>微型导弹5</v>
      </c>
      <c r="E267" s="1">
        <v>1</v>
      </c>
      <c r="F267" s="1">
        <v>0</v>
      </c>
      <c r="G267" s="1">
        <v>1</v>
      </c>
      <c r="H267" s="1">
        <f t="shared" si="30"/>
        <v>100</v>
      </c>
      <c r="K267" s="36" t="s">
        <v>1644</v>
      </c>
      <c r="L267" s="125">
        <v>15</v>
      </c>
      <c r="M267" s="1">
        <v>4</v>
      </c>
      <c r="N267" s="131">
        <f t="shared" si="27"/>
        <v>0.53333333333333333</v>
      </c>
      <c r="O267" s="1" t="str">
        <f t="shared" si="28"/>
        <v>[100]</v>
      </c>
      <c r="Q267" s="1" t="s">
        <v>1664</v>
      </c>
    </row>
    <row r="268" spans="1:17" x14ac:dyDescent="0.3">
      <c r="A268" s="1" t="s">
        <v>1448</v>
      </c>
      <c r="B268" s="1">
        <v>6</v>
      </c>
      <c r="C268" s="1">
        <v>7</v>
      </c>
      <c r="D268" s="1" t="str">
        <f t="shared" si="25"/>
        <v>微型导弹6</v>
      </c>
      <c r="E268" s="1">
        <v>1.1000000000000001</v>
      </c>
      <c r="F268" s="1">
        <v>0</v>
      </c>
      <c r="G268" s="1">
        <v>1</v>
      </c>
      <c r="H268" s="1">
        <f t="shared" si="30"/>
        <v>110.00000000000001</v>
      </c>
      <c r="K268" s="36" t="s">
        <v>1644</v>
      </c>
      <c r="L268" s="125">
        <v>15</v>
      </c>
      <c r="M268" s="1">
        <v>4</v>
      </c>
      <c r="N268" s="131">
        <f t="shared" si="27"/>
        <v>0.58666666666666678</v>
      </c>
      <c r="O268" s="1" t="str">
        <f t="shared" si="28"/>
        <v>[110]</v>
      </c>
      <c r="Q268" s="1" t="s">
        <v>1664</v>
      </c>
    </row>
    <row r="269" spans="1:17" x14ac:dyDescent="0.3">
      <c r="A269" s="1" t="s">
        <v>1448</v>
      </c>
      <c r="B269" s="1">
        <v>7</v>
      </c>
      <c r="C269" s="1">
        <v>7</v>
      </c>
      <c r="D269" s="1" t="str">
        <f t="shared" si="25"/>
        <v>微型导弹7</v>
      </c>
      <c r="E269" s="1">
        <v>1.2</v>
      </c>
      <c r="F269" s="1">
        <v>0</v>
      </c>
      <c r="G269" s="1">
        <v>1</v>
      </c>
      <c r="H269" s="1">
        <f t="shared" si="30"/>
        <v>120</v>
      </c>
      <c r="K269" s="36" t="s">
        <v>1644</v>
      </c>
      <c r="L269" s="125">
        <v>15</v>
      </c>
      <c r="M269" s="1">
        <v>4</v>
      </c>
      <c r="N269" s="131">
        <f t="shared" si="27"/>
        <v>0.64</v>
      </c>
      <c r="O269" s="1" t="str">
        <f t="shared" si="28"/>
        <v>[120]</v>
      </c>
      <c r="Q269" s="1" t="s">
        <v>1664</v>
      </c>
    </row>
    <row r="270" spans="1:17" x14ac:dyDescent="0.3">
      <c r="A270" s="1" t="s">
        <v>1583</v>
      </c>
      <c r="B270" s="1">
        <v>1</v>
      </c>
      <c r="C270" s="1">
        <v>1</v>
      </c>
      <c r="D270" s="1" t="str">
        <f t="shared" si="25"/>
        <v>炸药桶1</v>
      </c>
      <c r="E270" s="1">
        <v>0.8</v>
      </c>
      <c r="F270" s="1">
        <v>0</v>
      </c>
      <c r="G270" s="1">
        <v>1</v>
      </c>
      <c r="H270" s="1">
        <f t="shared" si="30"/>
        <v>80</v>
      </c>
      <c r="K270" s="36" t="s">
        <v>1638</v>
      </c>
      <c r="L270" s="125">
        <v>5</v>
      </c>
      <c r="M270" s="1">
        <v>2</v>
      </c>
      <c r="N270" s="131">
        <f t="shared" si="27"/>
        <v>0.42666666666666669</v>
      </c>
      <c r="O270" s="1" t="str">
        <f t="shared" si="28"/>
        <v>[80]</v>
      </c>
      <c r="Q270" s="1" t="s">
        <v>1665</v>
      </c>
    </row>
    <row r="271" spans="1:17" x14ac:dyDescent="0.3">
      <c r="A271" s="1" t="s">
        <v>1583</v>
      </c>
      <c r="B271" s="1">
        <v>2</v>
      </c>
      <c r="C271" s="1">
        <v>1</v>
      </c>
      <c r="D271" s="1" t="str">
        <f t="shared" si="25"/>
        <v>炸药桶2</v>
      </c>
      <c r="E271" s="1">
        <v>1</v>
      </c>
      <c r="F271" s="1">
        <v>0</v>
      </c>
      <c r="G271" s="1">
        <v>1</v>
      </c>
      <c r="H271" s="1">
        <f t="shared" ref="H271:H277" si="31">E271*100</f>
        <v>100</v>
      </c>
      <c r="K271" s="36" t="s">
        <v>1638</v>
      </c>
      <c r="L271" s="125">
        <v>5</v>
      </c>
      <c r="M271" s="1">
        <v>2</v>
      </c>
      <c r="N271" s="131">
        <f t="shared" si="27"/>
        <v>0.53333333333333333</v>
      </c>
      <c r="O271" s="1" t="str">
        <f t="shared" si="28"/>
        <v>[100]</v>
      </c>
      <c r="Q271" s="1" t="s">
        <v>1665</v>
      </c>
    </row>
    <row r="272" spans="1:17" x14ac:dyDescent="0.3">
      <c r="A272" s="1" t="s">
        <v>1583</v>
      </c>
      <c r="B272" s="1">
        <v>3</v>
      </c>
      <c r="C272" s="1">
        <v>1</v>
      </c>
      <c r="D272" s="1" t="str">
        <f t="shared" si="25"/>
        <v>炸药桶3</v>
      </c>
      <c r="E272" s="1">
        <v>1.2</v>
      </c>
      <c r="F272" s="1">
        <v>0</v>
      </c>
      <c r="G272" s="1">
        <v>1</v>
      </c>
      <c r="H272" s="1">
        <f t="shared" si="31"/>
        <v>120</v>
      </c>
      <c r="K272" s="36" t="s">
        <v>1638</v>
      </c>
      <c r="L272" s="125">
        <v>5</v>
      </c>
      <c r="M272" s="1">
        <v>2</v>
      </c>
      <c r="N272" s="131">
        <f t="shared" si="27"/>
        <v>0.64</v>
      </c>
      <c r="O272" s="1" t="str">
        <f t="shared" si="28"/>
        <v>[120]</v>
      </c>
      <c r="Q272" s="1" t="s">
        <v>1665</v>
      </c>
    </row>
    <row r="273" spans="1:17" x14ac:dyDescent="0.3">
      <c r="A273" s="1" t="s">
        <v>1583</v>
      </c>
      <c r="B273" s="1">
        <v>4</v>
      </c>
      <c r="C273" s="1">
        <v>1</v>
      </c>
      <c r="D273" s="1" t="str">
        <f t="shared" si="25"/>
        <v>炸药桶4</v>
      </c>
      <c r="E273" s="1">
        <v>1.3</v>
      </c>
      <c r="F273" s="1">
        <v>0</v>
      </c>
      <c r="G273" s="1">
        <v>1</v>
      </c>
      <c r="H273" s="1">
        <f t="shared" si="31"/>
        <v>130</v>
      </c>
      <c r="K273" s="36" t="s">
        <v>1638</v>
      </c>
      <c r="L273" s="125">
        <v>5</v>
      </c>
      <c r="M273" s="1">
        <v>2</v>
      </c>
      <c r="N273" s="131">
        <f t="shared" si="27"/>
        <v>0.69333333333333336</v>
      </c>
      <c r="O273" s="1" t="str">
        <f t="shared" si="28"/>
        <v>[130]</v>
      </c>
      <c r="Q273" s="1" t="s">
        <v>1665</v>
      </c>
    </row>
    <row r="274" spans="1:17" x14ac:dyDescent="0.3">
      <c r="A274" s="1" t="s">
        <v>1583</v>
      </c>
      <c r="B274" s="1">
        <v>5</v>
      </c>
      <c r="C274" s="1">
        <v>1</v>
      </c>
      <c r="D274" s="1" t="str">
        <f t="shared" si="25"/>
        <v>炸药桶5</v>
      </c>
      <c r="E274" s="1">
        <v>1.4</v>
      </c>
      <c r="F274" s="1">
        <v>0</v>
      </c>
      <c r="G274" s="1">
        <v>1</v>
      </c>
      <c r="H274" s="1">
        <f t="shared" si="31"/>
        <v>140</v>
      </c>
      <c r="K274" s="36" t="s">
        <v>1638</v>
      </c>
      <c r="L274" s="125">
        <v>5</v>
      </c>
      <c r="M274" s="1">
        <v>2</v>
      </c>
      <c r="N274" s="131">
        <f t="shared" si="27"/>
        <v>0.7466666666666667</v>
      </c>
      <c r="O274" s="1" t="str">
        <f t="shared" si="28"/>
        <v>[140]</v>
      </c>
      <c r="Q274" s="1" t="s">
        <v>1665</v>
      </c>
    </row>
    <row r="275" spans="1:17" x14ac:dyDescent="0.3">
      <c r="A275" s="1" t="s">
        <v>1583</v>
      </c>
      <c r="B275" s="1">
        <v>6</v>
      </c>
      <c r="C275" s="1">
        <v>1</v>
      </c>
      <c r="D275" s="1" t="str">
        <f t="shared" si="25"/>
        <v>炸药桶6</v>
      </c>
      <c r="E275" s="1">
        <v>1.5</v>
      </c>
      <c r="F275" s="1">
        <v>0</v>
      </c>
      <c r="G275" s="1">
        <v>1</v>
      </c>
      <c r="H275" s="1">
        <f t="shared" si="31"/>
        <v>150</v>
      </c>
      <c r="K275" s="36" t="s">
        <v>1638</v>
      </c>
      <c r="L275" s="125">
        <v>5</v>
      </c>
      <c r="M275" s="1">
        <v>2</v>
      </c>
      <c r="N275" s="131">
        <f t="shared" si="27"/>
        <v>0.8</v>
      </c>
      <c r="O275" s="1" t="str">
        <f t="shared" si="28"/>
        <v>[150]</v>
      </c>
      <c r="Q275" s="1" t="s">
        <v>1665</v>
      </c>
    </row>
    <row r="276" spans="1:17" x14ac:dyDescent="0.3">
      <c r="A276" s="1" t="s">
        <v>1583</v>
      </c>
      <c r="B276" s="1">
        <v>7</v>
      </c>
      <c r="C276" s="1">
        <v>1</v>
      </c>
      <c r="D276" s="1" t="str">
        <f t="shared" si="25"/>
        <v>炸药桶7</v>
      </c>
      <c r="E276" s="1">
        <v>1.6</v>
      </c>
      <c r="F276" s="1">
        <v>0</v>
      </c>
      <c r="G276" s="1">
        <v>1</v>
      </c>
      <c r="H276" s="1">
        <f t="shared" si="31"/>
        <v>160</v>
      </c>
      <c r="K276" s="36" t="s">
        <v>1638</v>
      </c>
      <c r="L276" s="125">
        <v>5</v>
      </c>
      <c r="M276" s="1">
        <v>2</v>
      </c>
      <c r="N276" s="131">
        <f t="shared" si="27"/>
        <v>0.85333333333333339</v>
      </c>
      <c r="O276" s="1" t="str">
        <f t="shared" si="28"/>
        <v>[160]</v>
      </c>
      <c r="Q276" s="1" t="s">
        <v>1665</v>
      </c>
    </row>
    <row r="277" spans="1:17" x14ac:dyDescent="0.3">
      <c r="A277" s="1" t="s">
        <v>1584</v>
      </c>
      <c r="B277" s="1">
        <v>1</v>
      </c>
      <c r="C277" s="1">
        <v>3</v>
      </c>
      <c r="D277" s="1" t="str">
        <f t="shared" si="25"/>
        <v>战术链1</v>
      </c>
      <c r="E277" s="1">
        <v>0.03</v>
      </c>
      <c r="F277" s="1">
        <v>0.2</v>
      </c>
      <c r="G277" s="1">
        <v>2</v>
      </c>
      <c r="H277" s="1">
        <f t="shared" si="31"/>
        <v>3</v>
      </c>
      <c r="I277" s="1">
        <f>F277*100</f>
        <v>20</v>
      </c>
      <c r="J277" s="1">
        <v>7</v>
      </c>
      <c r="K277" s="36" t="s">
        <v>1640</v>
      </c>
      <c r="L277" s="125">
        <v>7</v>
      </c>
      <c r="M277" s="1">
        <v>7</v>
      </c>
      <c r="N277" s="131">
        <f t="shared" si="27"/>
        <v>0.29333333333333339</v>
      </c>
      <c r="O277" s="1" t="str">
        <f t="shared" si="28"/>
        <v>[3,20,7]</v>
      </c>
      <c r="Q277" s="1" t="s">
        <v>1666</v>
      </c>
    </row>
    <row r="278" spans="1:17" x14ac:dyDescent="0.3">
      <c r="A278" s="1" t="s">
        <v>1584</v>
      </c>
      <c r="B278" s="1">
        <v>2</v>
      </c>
      <c r="C278" s="1">
        <v>3</v>
      </c>
      <c r="D278" s="1" t="str">
        <f t="shared" si="25"/>
        <v>战术链2</v>
      </c>
      <c r="E278" s="1">
        <v>0.04</v>
      </c>
      <c r="F278" s="1">
        <v>0.4</v>
      </c>
      <c r="G278" s="1">
        <v>2</v>
      </c>
      <c r="H278" s="1">
        <f t="shared" ref="H278:I290" si="32">E278*100</f>
        <v>4</v>
      </c>
      <c r="I278" s="1">
        <f t="shared" si="32"/>
        <v>40</v>
      </c>
      <c r="J278" s="1">
        <v>7</v>
      </c>
      <c r="K278" s="36" t="s">
        <v>1640</v>
      </c>
      <c r="L278" s="125">
        <v>7</v>
      </c>
      <c r="M278" s="1">
        <v>7</v>
      </c>
      <c r="N278" s="131">
        <f t="shared" si="27"/>
        <v>0.58666666666666678</v>
      </c>
      <c r="O278" s="1" t="str">
        <f t="shared" si="28"/>
        <v>[4,40,7]</v>
      </c>
      <c r="Q278" s="1" t="s">
        <v>1666</v>
      </c>
    </row>
    <row r="279" spans="1:17" x14ac:dyDescent="0.3">
      <c r="A279" s="1" t="s">
        <v>1584</v>
      </c>
      <c r="B279" s="1">
        <v>3</v>
      </c>
      <c r="C279" s="1">
        <v>3</v>
      </c>
      <c r="D279" s="1" t="str">
        <f t="shared" si="25"/>
        <v>战术链3</v>
      </c>
      <c r="E279" s="1">
        <v>0.05</v>
      </c>
      <c r="F279" s="1">
        <v>0.6</v>
      </c>
      <c r="G279" s="1">
        <v>2</v>
      </c>
      <c r="H279" s="1">
        <f t="shared" si="32"/>
        <v>5</v>
      </c>
      <c r="I279" s="1">
        <f t="shared" si="32"/>
        <v>60</v>
      </c>
      <c r="J279" s="1">
        <v>7</v>
      </c>
      <c r="K279" s="36" t="s">
        <v>1640</v>
      </c>
      <c r="L279" s="125">
        <v>7</v>
      </c>
      <c r="M279" s="1">
        <v>7</v>
      </c>
      <c r="N279" s="131">
        <f t="shared" si="27"/>
        <v>0.88</v>
      </c>
      <c r="O279" s="1" t="str">
        <f t="shared" si="28"/>
        <v>[5,60,7]</v>
      </c>
      <c r="Q279" s="1" t="s">
        <v>1666</v>
      </c>
    </row>
    <row r="280" spans="1:17" x14ac:dyDescent="0.3">
      <c r="A280" s="1" t="s">
        <v>1584</v>
      </c>
      <c r="B280" s="1">
        <v>4</v>
      </c>
      <c r="C280" s="1">
        <v>3</v>
      </c>
      <c r="D280" s="1" t="str">
        <f t="shared" si="25"/>
        <v>战术链4</v>
      </c>
      <c r="E280" s="1">
        <v>0.06</v>
      </c>
      <c r="F280" s="1">
        <v>0.7</v>
      </c>
      <c r="G280" s="1">
        <v>2</v>
      </c>
      <c r="H280" s="1">
        <f t="shared" si="32"/>
        <v>6</v>
      </c>
      <c r="I280" s="1">
        <f t="shared" si="32"/>
        <v>70</v>
      </c>
      <c r="J280" s="1">
        <v>7</v>
      </c>
      <c r="K280" s="36" t="s">
        <v>1640</v>
      </c>
      <c r="L280" s="125">
        <v>7</v>
      </c>
      <c r="M280" s="1">
        <v>7</v>
      </c>
      <c r="N280" s="131">
        <f t="shared" si="27"/>
        <v>1.0266666666666666</v>
      </c>
      <c r="O280" s="1" t="str">
        <f t="shared" si="28"/>
        <v>[6,70,7]</v>
      </c>
      <c r="Q280" s="1" t="s">
        <v>1666</v>
      </c>
    </row>
    <row r="281" spans="1:17" x14ac:dyDescent="0.3">
      <c r="A281" s="1" t="s">
        <v>1584</v>
      </c>
      <c r="B281" s="1">
        <v>5</v>
      </c>
      <c r="C281" s="1">
        <v>3</v>
      </c>
      <c r="D281" s="1" t="str">
        <f t="shared" si="25"/>
        <v>战术链5</v>
      </c>
      <c r="E281" s="1">
        <v>7.0000000000000007E-2</v>
      </c>
      <c r="F281" s="1">
        <v>0.8</v>
      </c>
      <c r="G281" s="1">
        <v>2</v>
      </c>
      <c r="H281" s="1">
        <f t="shared" si="32"/>
        <v>7.0000000000000009</v>
      </c>
      <c r="I281" s="1">
        <f t="shared" si="32"/>
        <v>80</v>
      </c>
      <c r="J281" s="1">
        <v>7</v>
      </c>
      <c r="K281" s="36" t="s">
        <v>1640</v>
      </c>
      <c r="L281" s="125">
        <v>7</v>
      </c>
      <c r="M281" s="1">
        <v>7</v>
      </c>
      <c r="N281" s="131">
        <f t="shared" si="27"/>
        <v>1.1733333333333336</v>
      </c>
      <c r="O281" s="1" t="str">
        <f t="shared" si="28"/>
        <v>[7,80,7]</v>
      </c>
      <c r="Q281" s="1" t="s">
        <v>1666</v>
      </c>
    </row>
    <row r="282" spans="1:17" x14ac:dyDescent="0.3">
      <c r="A282" s="1" t="s">
        <v>1584</v>
      </c>
      <c r="B282" s="1">
        <v>6</v>
      </c>
      <c r="C282" s="1">
        <v>3</v>
      </c>
      <c r="D282" s="1" t="str">
        <f t="shared" si="25"/>
        <v>战术链6</v>
      </c>
      <c r="E282" s="1">
        <v>0.08</v>
      </c>
      <c r="F282" s="1">
        <v>0.9</v>
      </c>
      <c r="G282" s="1">
        <v>2</v>
      </c>
      <c r="H282" s="1">
        <f t="shared" si="32"/>
        <v>8</v>
      </c>
      <c r="I282" s="1">
        <f t="shared" si="32"/>
        <v>90</v>
      </c>
      <c r="J282" s="1">
        <v>7</v>
      </c>
      <c r="K282" s="36" t="s">
        <v>1640</v>
      </c>
      <c r="L282" s="125">
        <v>7</v>
      </c>
      <c r="M282" s="1">
        <v>7</v>
      </c>
      <c r="N282" s="131">
        <f t="shared" si="27"/>
        <v>1.32</v>
      </c>
      <c r="O282" s="1" t="str">
        <f t="shared" si="28"/>
        <v>[8,90,7]</v>
      </c>
      <c r="Q282" s="1" t="s">
        <v>1666</v>
      </c>
    </row>
    <row r="283" spans="1:17" x14ac:dyDescent="0.3">
      <c r="A283" s="1" t="s">
        <v>1584</v>
      </c>
      <c r="B283" s="1">
        <v>7</v>
      </c>
      <c r="C283" s="1">
        <v>3</v>
      </c>
      <c r="D283" s="1" t="str">
        <f t="shared" si="25"/>
        <v>战术链7</v>
      </c>
      <c r="E283" s="1">
        <v>0.09</v>
      </c>
      <c r="F283" s="1">
        <v>1</v>
      </c>
      <c r="G283" s="1">
        <v>2</v>
      </c>
      <c r="H283" s="1">
        <f t="shared" si="32"/>
        <v>9</v>
      </c>
      <c r="I283" s="1">
        <f t="shared" si="32"/>
        <v>100</v>
      </c>
      <c r="J283" s="1">
        <v>7</v>
      </c>
      <c r="K283" s="36" t="s">
        <v>1640</v>
      </c>
      <c r="L283" s="125">
        <v>7</v>
      </c>
      <c r="M283" s="1">
        <v>7</v>
      </c>
      <c r="N283" s="131">
        <f t="shared" si="27"/>
        <v>1.4666666666666666</v>
      </c>
      <c r="O283" s="1" t="str">
        <f t="shared" si="28"/>
        <v>[9,100,7]</v>
      </c>
      <c r="Q283" s="1" t="s">
        <v>1666</v>
      </c>
    </row>
    <row r="284" spans="1:17" x14ac:dyDescent="0.3">
      <c r="A284" s="1" t="s">
        <v>1430</v>
      </c>
      <c r="B284" s="1">
        <v>1</v>
      </c>
      <c r="C284" s="1">
        <v>8</v>
      </c>
      <c r="D284" s="1" t="str">
        <f t="shared" si="25"/>
        <v>追踪导弹1</v>
      </c>
      <c r="E284" s="1">
        <v>0.3</v>
      </c>
      <c r="F284" s="1">
        <v>0</v>
      </c>
      <c r="G284" s="1">
        <v>1</v>
      </c>
      <c r="H284" s="1">
        <f>E284*100</f>
        <v>30</v>
      </c>
      <c r="K284" s="36" t="s">
        <v>1645</v>
      </c>
      <c r="L284" s="125">
        <v>10</v>
      </c>
      <c r="M284" s="1">
        <v>5</v>
      </c>
      <c r="N284" s="131">
        <f t="shared" si="27"/>
        <v>0.25</v>
      </c>
      <c r="O284" s="1" t="str">
        <f t="shared" si="28"/>
        <v>[30]</v>
      </c>
      <c r="Q284" s="1" t="s">
        <v>1667</v>
      </c>
    </row>
    <row r="285" spans="1:17" x14ac:dyDescent="0.3">
      <c r="A285" s="1" t="s">
        <v>1430</v>
      </c>
      <c r="B285" s="1">
        <v>2</v>
      </c>
      <c r="C285" s="1">
        <v>8</v>
      </c>
      <c r="D285" s="1" t="str">
        <f t="shared" si="25"/>
        <v>追踪导弹2</v>
      </c>
      <c r="E285" s="1">
        <v>0.5</v>
      </c>
      <c r="F285" s="1">
        <v>0</v>
      </c>
      <c r="G285" s="1">
        <v>1</v>
      </c>
      <c r="H285" s="1">
        <f t="shared" si="32"/>
        <v>50</v>
      </c>
      <c r="K285" s="36" t="s">
        <v>1645</v>
      </c>
      <c r="L285" s="125">
        <v>10</v>
      </c>
      <c r="M285" s="1">
        <v>5</v>
      </c>
      <c r="N285" s="131">
        <f t="shared" si="27"/>
        <v>0.41666666666666669</v>
      </c>
      <c r="O285" s="1" t="str">
        <f t="shared" si="28"/>
        <v>[50]</v>
      </c>
      <c r="Q285" s="1" t="s">
        <v>1667</v>
      </c>
    </row>
    <row r="286" spans="1:17" x14ac:dyDescent="0.3">
      <c r="A286" s="1" t="s">
        <v>1430</v>
      </c>
      <c r="B286" s="1">
        <v>3</v>
      </c>
      <c r="C286" s="1">
        <v>8</v>
      </c>
      <c r="D286" s="1" t="str">
        <f t="shared" si="25"/>
        <v>追踪导弹3</v>
      </c>
      <c r="E286" s="1">
        <v>0.6</v>
      </c>
      <c r="F286" s="1">
        <v>0</v>
      </c>
      <c r="G286" s="1">
        <v>1</v>
      </c>
      <c r="H286" s="1">
        <f t="shared" si="32"/>
        <v>60</v>
      </c>
      <c r="K286" s="36" t="s">
        <v>1645</v>
      </c>
      <c r="L286" s="125">
        <v>10</v>
      </c>
      <c r="M286" s="1">
        <v>5</v>
      </c>
      <c r="N286" s="131">
        <f t="shared" si="27"/>
        <v>0.5</v>
      </c>
      <c r="O286" s="1" t="str">
        <f t="shared" si="28"/>
        <v>[60]</v>
      </c>
      <c r="Q286" s="1" t="s">
        <v>1667</v>
      </c>
    </row>
    <row r="287" spans="1:17" x14ac:dyDescent="0.3">
      <c r="A287" s="1" t="s">
        <v>1430</v>
      </c>
      <c r="B287" s="1">
        <v>4</v>
      </c>
      <c r="C287" s="1">
        <v>8</v>
      </c>
      <c r="D287" s="1" t="str">
        <f t="shared" si="25"/>
        <v>追踪导弹4</v>
      </c>
      <c r="E287" s="1">
        <v>0.7</v>
      </c>
      <c r="F287" s="1">
        <v>0</v>
      </c>
      <c r="G287" s="1">
        <v>1</v>
      </c>
      <c r="H287" s="1">
        <f t="shared" si="32"/>
        <v>70</v>
      </c>
      <c r="K287" s="36" t="s">
        <v>1645</v>
      </c>
      <c r="L287" s="125">
        <v>10</v>
      </c>
      <c r="M287" s="1">
        <v>5</v>
      </c>
      <c r="N287" s="131">
        <f t="shared" si="27"/>
        <v>0.58333333333333337</v>
      </c>
      <c r="O287" s="1" t="str">
        <f t="shared" si="28"/>
        <v>[70]</v>
      </c>
      <c r="Q287" s="1" t="s">
        <v>1667</v>
      </c>
    </row>
    <row r="288" spans="1:17" x14ac:dyDescent="0.3">
      <c r="A288" s="1" t="s">
        <v>1430</v>
      </c>
      <c r="B288" s="1">
        <v>5</v>
      </c>
      <c r="C288" s="1">
        <v>8</v>
      </c>
      <c r="D288" s="1" t="str">
        <f t="shared" si="25"/>
        <v>追踪导弹5</v>
      </c>
      <c r="E288" s="1">
        <v>0.8</v>
      </c>
      <c r="F288" s="1">
        <v>0</v>
      </c>
      <c r="G288" s="1">
        <v>1</v>
      </c>
      <c r="H288" s="1">
        <f t="shared" si="32"/>
        <v>80</v>
      </c>
      <c r="K288" s="36" t="s">
        <v>1645</v>
      </c>
      <c r="L288" s="125">
        <v>10</v>
      </c>
      <c r="M288" s="1">
        <v>5</v>
      </c>
      <c r="N288" s="131">
        <f t="shared" si="27"/>
        <v>0.66666666666666663</v>
      </c>
      <c r="O288" s="1" t="str">
        <f t="shared" si="28"/>
        <v>[80]</v>
      </c>
      <c r="Q288" s="1" t="s">
        <v>1667</v>
      </c>
    </row>
    <row r="289" spans="1:17" x14ac:dyDescent="0.3">
      <c r="A289" s="1" t="s">
        <v>1430</v>
      </c>
      <c r="B289" s="1">
        <v>6</v>
      </c>
      <c r="C289" s="1">
        <v>8</v>
      </c>
      <c r="D289" s="1" t="str">
        <f t="shared" si="25"/>
        <v>追踪导弹6</v>
      </c>
      <c r="E289" s="1">
        <v>1</v>
      </c>
      <c r="F289" s="1">
        <v>0</v>
      </c>
      <c r="G289" s="1">
        <v>1</v>
      </c>
      <c r="H289" s="1">
        <f t="shared" si="32"/>
        <v>100</v>
      </c>
      <c r="K289" s="36" t="s">
        <v>1645</v>
      </c>
      <c r="L289" s="125">
        <v>10</v>
      </c>
      <c r="M289" s="1">
        <v>5</v>
      </c>
      <c r="N289" s="131">
        <f t="shared" si="27"/>
        <v>0.83333333333333337</v>
      </c>
      <c r="O289" s="1" t="str">
        <f t="shared" si="28"/>
        <v>[100]</v>
      </c>
      <c r="Q289" s="1" t="s">
        <v>1667</v>
      </c>
    </row>
    <row r="290" spans="1:17" x14ac:dyDescent="0.3">
      <c r="A290" s="1" t="s">
        <v>1430</v>
      </c>
      <c r="B290" s="1">
        <v>7</v>
      </c>
      <c r="C290" s="1">
        <v>8</v>
      </c>
      <c r="D290" s="1" t="str">
        <f t="shared" si="25"/>
        <v>追踪导弹7</v>
      </c>
      <c r="E290" s="1">
        <v>1.1000000000000001</v>
      </c>
      <c r="F290" s="1">
        <v>0</v>
      </c>
      <c r="G290" s="1">
        <v>1</v>
      </c>
      <c r="H290" s="1">
        <f t="shared" si="32"/>
        <v>110.00000000000001</v>
      </c>
      <c r="K290" s="36" t="s">
        <v>1645</v>
      </c>
      <c r="L290" s="125">
        <v>10</v>
      </c>
      <c r="M290" s="1">
        <v>5</v>
      </c>
      <c r="N290" s="131">
        <f t="shared" si="27"/>
        <v>0.91666666666666685</v>
      </c>
      <c r="O290" s="1" t="str">
        <f t="shared" si="28"/>
        <v>[110]</v>
      </c>
      <c r="Q290" s="1" t="s">
        <v>1667</v>
      </c>
    </row>
    <row r="291" spans="1:17" x14ac:dyDescent="0.3">
      <c r="A291" s="1" t="s">
        <v>1668</v>
      </c>
      <c r="B291" s="1">
        <v>1</v>
      </c>
      <c r="C291" s="1">
        <v>32</v>
      </c>
      <c r="D291" s="1" t="str">
        <f t="shared" ref="D291:D297" si="33">A291&amp;B291</f>
        <v>镭射光波1</v>
      </c>
      <c r="E291" s="1">
        <v>0.5</v>
      </c>
      <c r="F291" s="1">
        <v>7</v>
      </c>
      <c r="G291" s="1">
        <v>1</v>
      </c>
      <c r="H291" s="1">
        <v>50</v>
      </c>
      <c r="I291" s="1">
        <v>7</v>
      </c>
      <c r="K291" s="36" t="s">
        <v>1669</v>
      </c>
      <c r="L291" s="125">
        <v>15</v>
      </c>
      <c r="M291" s="1">
        <v>7</v>
      </c>
      <c r="N291" s="131">
        <f t="shared" ref="N291:N297" si="34">IF(G291=1,(($B$245/L291+1)*M291*E291*100)/(100*$B$245),(($B$245/L291+1)*M291*F291*100)/(100*$B$245))</f>
        <v>0.46666666666666667</v>
      </c>
      <c r="O291" s="1" t="str">
        <f t="shared" ref="O291:O297" si="35">IF(AND(I291="",J291=""),"["&amp;H291&amp;"]",IF(J291="","["&amp;H291&amp;","&amp;I291&amp;"]","["&amp;H291&amp;","&amp;I291&amp;","&amp;J291&amp;"]"))</f>
        <v>[50,7]</v>
      </c>
      <c r="Q291" s="1" t="s">
        <v>1667</v>
      </c>
    </row>
    <row r="292" spans="1:17" x14ac:dyDescent="0.3">
      <c r="A292" s="1" t="s">
        <v>1668</v>
      </c>
      <c r="B292" s="1">
        <v>2</v>
      </c>
      <c r="C292" s="1">
        <v>32</v>
      </c>
      <c r="D292" s="1" t="str">
        <f t="shared" si="33"/>
        <v>镭射光波2</v>
      </c>
      <c r="E292" s="1">
        <v>0.7</v>
      </c>
      <c r="F292" s="1">
        <v>7</v>
      </c>
      <c r="G292" s="1">
        <v>1</v>
      </c>
      <c r="H292" s="1">
        <v>70</v>
      </c>
      <c r="I292" s="1">
        <v>7</v>
      </c>
      <c r="K292" s="36" t="s">
        <v>1669</v>
      </c>
      <c r="L292" s="125">
        <v>15</v>
      </c>
      <c r="M292" s="1">
        <v>7</v>
      </c>
      <c r="N292" s="131">
        <f t="shared" si="34"/>
        <v>0.65333333333333321</v>
      </c>
      <c r="O292" s="1" t="str">
        <f t="shared" si="35"/>
        <v>[70,7]</v>
      </c>
      <c r="Q292" s="1" t="s">
        <v>1667</v>
      </c>
    </row>
    <row r="293" spans="1:17" x14ac:dyDescent="0.3">
      <c r="A293" s="1" t="s">
        <v>1668</v>
      </c>
      <c r="B293" s="1">
        <v>3</v>
      </c>
      <c r="C293" s="1">
        <v>32</v>
      </c>
      <c r="D293" s="1" t="str">
        <f t="shared" si="33"/>
        <v>镭射光波3</v>
      </c>
      <c r="E293" s="1">
        <v>0.9</v>
      </c>
      <c r="F293" s="1">
        <v>7</v>
      </c>
      <c r="G293" s="1">
        <v>1</v>
      </c>
      <c r="H293" s="1">
        <v>90</v>
      </c>
      <c r="I293" s="1">
        <v>7</v>
      </c>
      <c r="K293" s="36" t="s">
        <v>1669</v>
      </c>
      <c r="L293" s="125">
        <v>15</v>
      </c>
      <c r="M293" s="1">
        <v>7</v>
      </c>
      <c r="N293" s="131">
        <f t="shared" si="34"/>
        <v>0.84</v>
      </c>
      <c r="O293" s="1" t="str">
        <f t="shared" si="35"/>
        <v>[90,7]</v>
      </c>
      <c r="Q293" s="1" t="s">
        <v>1667</v>
      </c>
    </row>
    <row r="294" spans="1:17" x14ac:dyDescent="0.3">
      <c r="A294" s="1" t="s">
        <v>1668</v>
      </c>
      <c r="B294" s="1">
        <v>4</v>
      </c>
      <c r="C294" s="1">
        <v>32</v>
      </c>
      <c r="D294" s="1" t="str">
        <f t="shared" si="33"/>
        <v>镭射光波4</v>
      </c>
      <c r="E294" s="1">
        <v>1.1000000000000001</v>
      </c>
      <c r="F294" s="1">
        <v>7</v>
      </c>
      <c r="G294" s="1">
        <v>1</v>
      </c>
      <c r="H294" s="1">
        <v>110</v>
      </c>
      <c r="I294" s="1">
        <v>7</v>
      </c>
      <c r="K294" s="36" t="s">
        <v>1669</v>
      </c>
      <c r="L294" s="125">
        <v>15</v>
      </c>
      <c r="M294" s="1">
        <v>7</v>
      </c>
      <c r="N294" s="131">
        <f t="shared" si="34"/>
        <v>1.0266666666666668</v>
      </c>
      <c r="O294" s="1" t="str">
        <f t="shared" si="35"/>
        <v>[110,7]</v>
      </c>
      <c r="Q294" s="1" t="s">
        <v>1667</v>
      </c>
    </row>
    <row r="295" spans="1:17" x14ac:dyDescent="0.3">
      <c r="A295" s="1" t="s">
        <v>1668</v>
      </c>
      <c r="B295" s="1">
        <v>5</v>
      </c>
      <c r="C295" s="1">
        <v>32</v>
      </c>
      <c r="D295" s="1" t="str">
        <f t="shared" si="33"/>
        <v>镭射光波5</v>
      </c>
      <c r="E295" s="1">
        <v>1.3</v>
      </c>
      <c r="F295" s="1">
        <v>7</v>
      </c>
      <c r="G295" s="1">
        <v>1</v>
      </c>
      <c r="H295" s="1">
        <v>130</v>
      </c>
      <c r="I295" s="1">
        <v>7</v>
      </c>
      <c r="K295" s="36" t="s">
        <v>1669</v>
      </c>
      <c r="L295" s="125">
        <v>15</v>
      </c>
      <c r="M295" s="1">
        <v>7</v>
      </c>
      <c r="N295" s="131">
        <f t="shared" si="34"/>
        <v>1.2133333333333334</v>
      </c>
      <c r="O295" s="1" t="str">
        <f t="shared" si="35"/>
        <v>[130,7]</v>
      </c>
      <c r="Q295" s="1" t="s">
        <v>1667</v>
      </c>
    </row>
    <row r="296" spans="1:17" x14ac:dyDescent="0.3">
      <c r="A296" s="1" t="s">
        <v>1668</v>
      </c>
      <c r="B296" s="1">
        <v>6</v>
      </c>
      <c r="C296" s="1">
        <v>32</v>
      </c>
      <c r="D296" s="1" t="str">
        <f t="shared" si="33"/>
        <v>镭射光波6</v>
      </c>
      <c r="E296" s="1">
        <v>1.5</v>
      </c>
      <c r="F296" s="1">
        <v>7</v>
      </c>
      <c r="G296" s="1">
        <v>1</v>
      </c>
      <c r="H296" s="1">
        <v>150</v>
      </c>
      <c r="I296" s="1">
        <v>7</v>
      </c>
      <c r="K296" s="36" t="s">
        <v>1669</v>
      </c>
      <c r="L296" s="125">
        <v>15</v>
      </c>
      <c r="M296" s="1">
        <v>7</v>
      </c>
      <c r="N296" s="131">
        <f t="shared" si="34"/>
        <v>1.4</v>
      </c>
      <c r="O296" s="1" t="str">
        <f t="shared" si="35"/>
        <v>[150,7]</v>
      </c>
      <c r="Q296" s="1" t="s">
        <v>1667</v>
      </c>
    </row>
    <row r="297" spans="1:17" x14ac:dyDescent="0.3">
      <c r="A297" s="1" t="s">
        <v>1668</v>
      </c>
      <c r="B297" s="1">
        <v>7</v>
      </c>
      <c r="C297" s="1">
        <v>32</v>
      </c>
      <c r="D297" s="1" t="str">
        <f t="shared" si="33"/>
        <v>镭射光波7</v>
      </c>
      <c r="E297" s="1">
        <v>1.7</v>
      </c>
      <c r="F297" s="1">
        <v>7</v>
      </c>
      <c r="G297" s="1">
        <v>1</v>
      </c>
      <c r="H297" s="1">
        <v>170</v>
      </c>
      <c r="I297" s="1">
        <v>7</v>
      </c>
      <c r="K297" s="36" t="s">
        <v>1669</v>
      </c>
      <c r="L297" s="125">
        <v>15</v>
      </c>
      <c r="M297" s="1">
        <v>7</v>
      </c>
      <c r="N297" s="131">
        <f t="shared" si="34"/>
        <v>1.5866666666666667</v>
      </c>
      <c r="O297" s="1" t="str">
        <f t="shared" si="35"/>
        <v>[170,7]</v>
      </c>
      <c r="Q297" s="1" t="s">
        <v>1667</v>
      </c>
    </row>
    <row r="298" spans="1:17" x14ac:dyDescent="0.3">
      <c r="K298" s="36"/>
      <c r="L298" s="125"/>
      <c r="N298" s="131"/>
    </row>
    <row r="299" spans="1:17" x14ac:dyDescent="0.3">
      <c r="K299" s="36"/>
      <c r="L299" s="125"/>
      <c r="N299" s="131"/>
    </row>
    <row r="300" spans="1:17" x14ac:dyDescent="0.3">
      <c r="K300" s="36"/>
      <c r="L300" s="125"/>
      <c r="N300" s="131"/>
    </row>
    <row r="301" spans="1:17" ht="15.75" x14ac:dyDescent="0.3">
      <c r="A301"/>
    </row>
    <row r="302" spans="1:17" ht="15.75" x14ac:dyDescent="0.3">
      <c r="A302" s="35" t="s">
        <v>1670</v>
      </c>
    </row>
    <row r="303" spans="1:17" s="35" customFormat="1" ht="15" x14ac:dyDescent="0.25">
      <c r="A303" s="142" t="s">
        <v>1422</v>
      </c>
      <c r="B303" s="142" t="s">
        <v>1671</v>
      </c>
      <c r="C303" s="142" t="s">
        <v>1672</v>
      </c>
      <c r="D303" s="142" t="s">
        <v>1673</v>
      </c>
      <c r="E303" s="142" t="s">
        <v>1674</v>
      </c>
      <c r="F303" s="142" t="s">
        <v>1675</v>
      </c>
      <c r="G303" s="142" t="s">
        <v>1422</v>
      </c>
      <c r="H303" s="142" t="s">
        <v>1423</v>
      </c>
    </row>
    <row r="304" spans="1:17" ht="15.75" x14ac:dyDescent="0.3">
      <c r="A304" s="7" t="s">
        <v>1582</v>
      </c>
      <c r="B304" s="2">
        <v>6</v>
      </c>
      <c r="C304" s="143">
        <v>1</v>
      </c>
      <c r="D304" s="2">
        <v>25</v>
      </c>
      <c r="E304" s="2">
        <v>2</v>
      </c>
      <c r="F304" s="110">
        <f>(B304/MAX($D$304:$D$306))*E304</f>
        <v>0.48</v>
      </c>
      <c r="G304" s="2" t="s">
        <v>1582</v>
      </c>
      <c r="H304" s="3" t="s">
        <v>1643</v>
      </c>
    </row>
    <row r="305" spans="1:8" ht="15.75" x14ac:dyDescent="0.3">
      <c r="A305" s="7" t="s">
        <v>1586</v>
      </c>
      <c r="B305" s="2">
        <v>10</v>
      </c>
      <c r="C305" s="143">
        <v>0.9</v>
      </c>
      <c r="D305" s="2">
        <v>15</v>
      </c>
      <c r="E305" s="2">
        <v>1.9</v>
      </c>
      <c r="F305" s="110">
        <f t="shared" ref="F305:F306" si="36">(B305/MAX($D$304:$D$306))*E305</f>
        <v>0.76</v>
      </c>
      <c r="G305" s="2" t="s">
        <v>1676</v>
      </c>
      <c r="H305" s="3" t="s">
        <v>1677</v>
      </c>
    </row>
    <row r="306" spans="1:8" ht="15.75" x14ac:dyDescent="0.3">
      <c r="A306" s="7" t="s">
        <v>1424</v>
      </c>
      <c r="B306" s="2">
        <v>6</v>
      </c>
      <c r="C306" s="143">
        <v>0.8</v>
      </c>
      <c r="D306" s="2">
        <v>15</v>
      </c>
      <c r="E306" s="2">
        <v>2</v>
      </c>
      <c r="F306" s="110">
        <f t="shared" si="36"/>
        <v>0.48</v>
      </c>
      <c r="G306" s="2" t="s">
        <v>1424</v>
      </c>
      <c r="H306" s="3" t="s">
        <v>1639</v>
      </c>
    </row>
    <row r="307" spans="1:8" ht="15.75" x14ac:dyDescent="0.3">
      <c r="A307"/>
    </row>
    <row r="308" spans="1:8" ht="15.75" x14ac:dyDescent="0.3">
      <c r="A308"/>
    </row>
    <row r="309" spans="1:8" ht="15.75" x14ac:dyDescent="0.3">
      <c r="A309"/>
    </row>
    <row r="310" spans="1:8" ht="15.75" x14ac:dyDescent="0.3">
      <c r="A310"/>
    </row>
    <row r="311" spans="1:8" ht="15.75" x14ac:dyDescent="0.3">
      <c r="A311"/>
    </row>
    <row r="312" spans="1:8" ht="15.75" x14ac:dyDescent="0.3">
      <c r="A312"/>
    </row>
    <row r="313" spans="1:8" ht="15.75" x14ac:dyDescent="0.3">
      <c r="A313"/>
    </row>
    <row r="314" spans="1:8" ht="15.75" x14ac:dyDescent="0.3">
      <c r="A314"/>
    </row>
    <row r="315" spans="1:8" ht="15.75" x14ac:dyDescent="0.3">
      <c r="A315"/>
    </row>
    <row r="316" spans="1:8" ht="15.75" x14ac:dyDescent="0.3">
      <c r="A316"/>
    </row>
    <row r="317" spans="1:8" ht="15.75" x14ac:dyDescent="0.3">
      <c r="A317"/>
    </row>
    <row r="318" spans="1:8" ht="15.75" x14ac:dyDescent="0.3">
      <c r="A318"/>
    </row>
    <row r="319" spans="1:8" ht="15.75" x14ac:dyDescent="0.3">
      <c r="A319"/>
    </row>
    <row r="320" spans="1:8" ht="15.75" x14ac:dyDescent="0.3">
      <c r="A320"/>
    </row>
    <row r="321" spans="1:1" ht="15.75" x14ac:dyDescent="0.3">
      <c r="A321"/>
    </row>
    <row r="322" spans="1:1" ht="15.75" x14ac:dyDescent="0.3">
      <c r="A322"/>
    </row>
    <row r="323" spans="1:1" ht="15.75" x14ac:dyDescent="0.3">
      <c r="A323"/>
    </row>
    <row r="324" spans="1:1" ht="15.75" x14ac:dyDescent="0.3">
      <c r="A324"/>
    </row>
    <row r="325" spans="1:1" ht="15.75" x14ac:dyDescent="0.3">
      <c r="A325"/>
    </row>
    <row r="326" spans="1:1" ht="15.75" x14ac:dyDescent="0.3">
      <c r="A326"/>
    </row>
    <row r="327" spans="1:1" ht="15.75" x14ac:dyDescent="0.3">
      <c r="A327"/>
    </row>
    <row r="328" spans="1:1" ht="15.75" x14ac:dyDescent="0.3">
      <c r="A328"/>
    </row>
    <row r="329" spans="1:1" ht="15.75" x14ac:dyDescent="0.3">
      <c r="A329"/>
    </row>
    <row r="330" spans="1:1" ht="15.75" x14ac:dyDescent="0.3">
      <c r="A330"/>
    </row>
    <row r="331" spans="1:1" ht="15.75" x14ac:dyDescent="0.3">
      <c r="A331"/>
    </row>
    <row r="332" spans="1:1" ht="15.75" x14ac:dyDescent="0.3">
      <c r="A332"/>
    </row>
    <row r="333" spans="1:1" ht="15.75" x14ac:dyDescent="0.3">
      <c r="A333"/>
    </row>
    <row r="334" spans="1:1" ht="15.75" x14ac:dyDescent="0.3">
      <c r="A334"/>
    </row>
    <row r="335" spans="1:1" ht="15.75" x14ac:dyDescent="0.3">
      <c r="A335"/>
    </row>
    <row r="336" spans="1:1" ht="15.75" x14ac:dyDescent="0.3">
      <c r="A336"/>
    </row>
    <row r="337" spans="1:1" ht="15.75" x14ac:dyDescent="0.3">
      <c r="A337"/>
    </row>
    <row r="338" spans="1:1" ht="15.75" x14ac:dyDescent="0.3">
      <c r="A338"/>
    </row>
    <row r="339" spans="1:1" ht="15.75" x14ac:dyDescent="0.3">
      <c r="A339"/>
    </row>
    <row r="340" spans="1:1" ht="15.75" x14ac:dyDescent="0.3">
      <c r="A340"/>
    </row>
    <row r="341" spans="1:1" ht="15.75" x14ac:dyDescent="0.3">
      <c r="A341"/>
    </row>
    <row r="342" spans="1:1" ht="15.75" x14ac:dyDescent="0.3">
      <c r="A342"/>
    </row>
    <row r="343" spans="1:1" ht="15.75" x14ac:dyDescent="0.3">
      <c r="A343"/>
    </row>
    <row r="344" spans="1:1" ht="15.75" x14ac:dyDescent="0.3">
      <c r="A344"/>
    </row>
    <row r="345" spans="1:1" ht="15.75" x14ac:dyDescent="0.3">
      <c r="A345"/>
    </row>
    <row r="346" spans="1:1" ht="15.75" x14ac:dyDescent="0.3">
      <c r="A346"/>
    </row>
    <row r="347" spans="1:1" ht="15.75" x14ac:dyDescent="0.3">
      <c r="A347"/>
    </row>
    <row r="348" spans="1:1" ht="15.75" x14ac:dyDescent="0.3">
      <c r="A348"/>
    </row>
    <row r="349" spans="1:1" ht="15.75" x14ac:dyDescent="0.3">
      <c r="A349"/>
    </row>
    <row r="350" spans="1:1" ht="15.75" x14ac:dyDescent="0.3">
      <c r="A350"/>
    </row>
    <row r="351" spans="1:1" ht="15.75" x14ac:dyDescent="0.3">
      <c r="A351"/>
    </row>
    <row r="352" spans="1:1" ht="15.75" x14ac:dyDescent="0.3">
      <c r="A352"/>
    </row>
    <row r="353" spans="1:1" ht="15.75" x14ac:dyDescent="0.3">
      <c r="A353"/>
    </row>
    <row r="354" spans="1:1" ht="15.75" x14ac:dyDescent="0.3">
      <c r="A354"/>
    </row>
    <row r="355" spans="1:1" ht="15.75" x14ac:dyDescent="0.3">
      <c r="A355"/>
    </row>
    <row r="356" spans="1:1" ht="15.75" x14ac:dyDescent="0.3">
      <c r="A356"/>
    </row>
    <row r="357" spans="1:1" ht="15.75" x14ac:dyDescent="0.3">
      <c r="A357"/>
    </row>
    <row r="358" spans="1:1" ht="15.75" x14ac:dyDescent="0.3">
      <c r="A358"/>
    </row>
    <row r="359" spans="1:1" ht="15.75" x14ac:dyDescent="0.3">
      <c r="A359"/>
    </row>
    <row r="360" spans="1:1" ht="15.75" x14ac:dyDescent="0.3">
      <c r="A360"/>
    </row>
    <row r="361" spans="1:1" ht="15.75" x14ac:dyDescent="0.3">
      <c r="A361"/>
    </row>
    <row r="362" spans="1:1" ht="15.75" x14ac:dyDescent="0.3">
      <c r="A362"/>
    </row>
    <row r="363" spans="1:1" ht="15.75" x14ac:dyDescent="0.3">
      <c r="A363"/>
    </row>
    <row r="364" spans="1:1" ht="15.75" x14ac:dyDescent="0.3">
      <c r="A364"/>
    </row>
    <row r="365" spans="1:1" ht="15.75" x14ac:dyDescent="0.3">
      <c r="A365"/>
    </row>
    <row r="366" spans="1:1" ht="15.75" x14ac:dyDescent="0.3">
      <c r="A366"/>
    </row>
    <row r="367" spans="1:1" ht="15.75" x14ac:dyDescent="0.3">
      <c r="A367"/>
    </row>
    <row r="368" spans="1:1" ht="15.75" x14ac:dyDescent="0.3">
      <c r="A368"/>
    </row>
    <row r="369" spans="1:1" ht="15.75" x14ac:dyDescent="0.3">
      <c r="A369"/>
    </row>
    <row r="370" spans="1:1" ht="15.75" x14ac:dyDescent="0.3">
      <c r="A370"/>
    </row>
    <row r="371" spans="1:1" ht="15.75" x14ac:dyDescent="0.3">
      <c r="A371"/>
    </row>
    <row r="372" spans="1:1" ht="15.75" x14ac:dyDescent="0.3">
      <c r="A372"/>
    </row>
    <row r="373" spans="1:1" ht="15.75" x14ac:dyDescent="0.3">
      <c r="A373"/>
    </row>
    <row r="374" spans="1:1" ht="15.75" x14ac:dyDescent="0.3">
      <c r="A374"/>
    </row>
    <row r="375" spans="1:1" ht="15.75" x14ac:dyDescent="0.3">
      <c r="A375"/>
    </row>
    <row r="376" spans="1:1" ht="15.75" x14ac:dyDescent="0.3">
      <c r="A376"/>
    </row>
    <row r="377" spans="1:1" ht="15.75" x14ac:dyDescent="0.3">
      <c r="A377"/>
    </row>
    <row r="378" spans="1:1" ht="15.75" x14ac:dyDescent="0.3">
      <c r="A378"/>
    </row>
    <row r="379" spans="1:1" ht="15.75" x14ac:dyDescent="0.3">
      <c r="A379"/>
    </row>
    <row r="380" spans="1:1" ht="15.75" x14ac:dyDescent="0.3">
      <c r="A380"/>
    </row>
    <row r="381" spans="1:1" ht="15.75" x14ac:dyDescent="0.3">
      <c r="A381"/>
    </row>
    <row r="382" spans="1:1" ht="15.75" x14ac:dyDescent="0.3">
      <c r="A382"/>
    </row>
    <row r="383" spans="1:1" ht="15.75" x14ac:dyDescent="0.3">
      <c r="A383"/>
    </row>
    <row r="384" spans="1:1" ht="15.75" x14ac:dyDescent="0.3">
      <c r="A384"/>
    </row>
    <row r="385" spans="1:1" ht="15.75" x14ac:dyDescent="0.3">
      <c r="A385"/>
    </row>
    <row r="386" spans="1:1" ht="15.75" x14ac:dyDescent="0.3">
      <c r="A386"/>
    </row>
    <row r="387" spans="1:1" ht="15.75" x14ac:dyDescent="0.3">
      <c r="A387"/>
    </row>
    <row r="388" spans="1:1" ht="15.75" x14ac:dyDescent="0.3">
      <c r="A388"/>
    </row>
    <row r="389" spans="1:1" ht="15.75" x14ac:dyDescent="0.3">
      <c r="A389"/>
    </row>
    <row r="390" spans="1:1" ht="15.75" x14ac:dyDescent="0.3">
      <c r="A390"/>
    </row>
    <row r="391" spans="1:1" ht="15.75" x14ac:dyDescent="0.3">
      <c r="A391"/>
    </row>
    <row r="392" spans="1:1" ht="15.75" x14ac:dyDescent="0.3">
      <c r="A392"/>
    </row>
    <row r="393" spans="1:1" ht="15.75" x14ac:dyDescent="0.3">
      <c r="A393"/>
    </row>
    <row r="394" spans="1:1" ht="15.75" x14ac:dyDescent="0.3">
      <c r="A394"/>
    </row>
    <row r="395" spans="1:1" ht="15.75" x14ac:dyDescent="0.3">
      <c r="A395"/>
    </row>
    <row r="396" spans="1:1" ht="15.75" x14ac:dyDescent="0.3">
      <c r="A396"/>
    </row>
    <row r="397" spans="1:1" ht="15.75" x14ac:dyDescent="0.3">
      <c r="A397"/>
    </row>
    <row r="398" spans="1:1" ht="15.75" x14ac:dyDescent="0.3">
      <c r="A398"/>
    </row>
    <row r="399" spans="1:1" ht="15.75" x14ac:dyDescent="0.3">
      <c r="A399"/>
    </row>
    <row r="400" spans="1:1" ht="15.75" x14ac:dyDescent="0.3">
      <c r="A400"/>
    </row>
    <row r="401" spans="1:1" ht="15.75" x14ac:dyDescent="0.3">
      <c r="A401"/>
    </row>
    <row r="402" spans="1:1" ht="15.75" x14ac:dyDescent="0.3">
      <c r="A402"/>
    </row>
    <row r="403" spans="1:1" ht="15.75" x14ac:dyDescent="0.3">
      <c r="A403"/>
    </row>
    <row r="404" spans="1:1" ht="15.75" x14ac:dyDescent="0.3">
      <c r="A404"/>
    </row>
    <row r="405" spans="1:1" ht="15.75" x14ac:dyDescent="0.3">
      <c r="A405"/>
    </row>
    <row r="406" spans="1:1" ht="15.75" x14ac:dyDescent="0.3">
      <c r="A406"/>
    </row>
    <row r="407" spans="1:1" ht="15.75" x14ac:dyDescent="0.3">
      <c r="A407"/>
    </row>
    <row r="408" spans="1:1" ht="15.75" x14ac:dyDescent="0.3">
      <c r="A408"/>
    </row>
    <row r="409" spans="1:1" ht="15.75" x14ac:dyDescent="0.3">
      <c r="A409"/>
    </row>
    <row r="410" spans="1:1" ht="15.75" x14ac:dyDescent="0.3">
      <c r="A410"/>
    </row>
    <row r="411" spans="1:1" ht="15.75" x14ac:dyDescent="0.3">
      <c r="A411"/>
    </row>
    <row r="412" spans="1:1" ht="15.75" x14ac:dyDescent="0.3">
      <c r="A412"/>
    </row>
    <row r="413" spans="1:1" ht="15.75" x14ac:dyDescent="0.3">
      <c r="A413"/>
    </row>
    <row r="414" spans="1:1" ht="15.75" x14ac:dyDescent="0.3">
      <c r="A414"/>
    </row>
    <row r="415" spans="1:1" ht="15.75" x14ac:dyDescent="0.3">
      <c r="A415"/>
    </row>
    <row r="416" spans="1:1" ht="15.75" x14ac:dyDescent="0.3">
      <c r="A416"/>
    </row>
    <row r="417" spans="1:1" ht="15.75" x14ac:dyDescent="0.3">
      <c r="A417"/>
    </row>
    <row r="418" spans="1:1" ht="15.75" x14ac:dyDescent="0.3">
      <c r="A418"/>
    </row>
    <row r="419" spans="1:1" ht="15.75" x14ac:dyDescent="0.3">
      <c r="A419"/>
    </row>
    <row r="420" spans="1:1" ht="15.75" x14ac:dyDescent="0.3">
      <c r="A420"/>
    </row>
    <row r="421" spans="1:1" ht="15.75" x14ac:dyDescent="0.3">
      <c r="A421"/>
    </row>
    <row r="422" spans="1:1" ht="15.75" x14ac:dyDescent="0.3">
      <c r="A422"/>
    </row>
    <row r="423" spans="1:1" ht="15.75" x14ac:dyDescent="0.3">
      <c r="A423"/>
    </row>
    <row r="424" spans="1:1" ht="15.75" x14ac:dyDescent="0.3">
      <c r="A424"/>
    </row>
    <row r="425" spans="1:1" ht="15.75" x14ac:dyDescent="0.3">
      <c r="A425"/>
    </row>
    <row r="426" spans="1:1" ht="15.75" x14ac:dyDescent="0.3">
      <c r="A426"/>
    </row>
    <row r="427" spans="1:1" ht="15.75" x14ac:dyDescent="0.3">
      <c r="A427"/>
    </row>
    <row r="428" spans="1:1" ht="15.75" x14ac:dyDescent="0.3">
      <c r="A428"/>
    </row>
    <row r="429" spans="1:1" ht="15.75" x14ac:dyDescent="0.3">
      <c r="A429"/>
    </row>
    <row r="430" spans="1:1" ht="15.75" x14ac:dyDescent="0.3">
      <c r="A430"/>
    </row>
    <row r="431" spans="1:1" ht="15.75" x14ac:dyDescent="0.3">
      <c r="A431"/>
    </row>
    <row r="432" spans="1:1" ht="15.75" x14ac:dyDescent="0.3">
      <c r="A432"/>
    </row>
    <row r="433" spans="1:1" ht="15.75" x14ac:dyDescent="0.3">
      <c r="A433"/>
    </row>
    <row r="434" spans="1:1" ht="15.75" x14ac:dyDescent="0.3">
      <c r="A434"/>
    </row>
    <row r="435" spans="1:1" ht="15.75" x14ac:dyDescent="0.3">
      <c r="A435"/>
    </row>
    <row r="436" spans="1:1" ht="15.75" x14ac:dyDescent="0.3">
      <c r="A436"/>
    </row>
    <row r="437" spans="1:1" ht="15.75" x14ac:dyDescent="0.3">
      <c r="A437"/>
    </row>
    <row r="438" spans="1:1" ht="15.75" x14ac:dyDescent="0.3">
      <c r="A438"/>
    </row>
    <row r="439" spans="1:1" ht="15.75" x14ac:dyDescent="0.3">
      <c r="A439"/>
    </row>
    <row r="440" spans="1:1" ht="15.75" x14ac:dyDescent="0.3">
      <c r="A440"/>
    </row>
    <row r="441" spans="1:1" ht="15.75" x14ac:dyDescent="0.3">
      <c r="A441"/>
    </row>
    <row r="442" spans="1:1" ht="15.75" x14ac:dyDescent="0.3">
      <c r="A442"/>
    </row>
    <row r="443" spans="1:1" ht="15.75" x14ac:dyDescent="0.3">
      <c r="A443"/>
    </row>
    <row r="444" spans="1:1" ht="15.75" x14ac:dyDescent="0.3">
      <c r="A444"/>
    </row>
    <row r="445" spans="1:1" ht="15.75" x14ac:dyDescent="0.3">
      <c r="A445"/>
    </row>
    <row r="446" spans="1:1" ht="15.75" x14ac:dyDescent="0.3">
      <c r="A446"/>
    </row>
    <row r="447" spans="1:1" ht="15.75" x14ac:dyDescent="0.3">
      <c r="A447"/>
    </row>
    <row r="448" spans="1:1" ht="15.75" x14ac:dyDescent="0.3">
      <c r="A448"/>
    </row>
    <row r="449" spans="1:1" ht="15.75" x14ac:dyDescent="0.3">
      <c r="A449"/>
    </row>
    <row r="450" spans="1:1" ht="15.75" x14ac:dyDescent="0.3">
      <c r="A450"/>
    </row>
    <row r="451" spans="1:1" ht="15.75" x14ac:dyDescent="0.3">
      <c r="A451"/>
    </row>
    <row r="452" spans="1:1" ht="15.75" x14ac:dyDescent="0.3">
      <c r="A452"/>
    </row>
    <row r="453" spans="1:1" ht="15.75" x14ac:dyDescent="0.3">
      <c r="A453"/>
    </row>
    <row r="454" spans="1:1" ht="15.75" x14ac:dyDescent="0.3">
      <c r="A454"/>
    </row>
    <row r="455" spans="1:1" ht="15.75" x14ac:dyDescent="0.3">
      <c r="A455"/>
    </row>
    <row r="456" spans="1:1" ht="15.75" x14ac:dyDescent="0.3">
      <c r="A456"/>
    </row>
    <row r="457" spans="1:1" ht="15.75" x14ac:dyDescent="0.3">
      <c r="A457"/>
    </row>
    <row r="458" spans="1:1" ht="15.75" x14ac:dyDescent="0.3">
      <c r="A458"/>
    </row>
    <row r="459" spans="1:1" ht="15.75" x14ac:dyDescent="0.3">
      <c r="A459"/>
    </row>
    <row r="460" spans="1:1" ht="15.75" x14ac:dyDescent="0.3">
      <c r="A460"/>
    </row>
    <row r="461" spans="1:1" ht="15.75" x14ac:dyDescent="0.3">
      <c r="A461"/>
    </row>
    <row r="462" spans="1:1" ht="15.75" x14ac:dyDescent="0.3">
      <c r="A462"/>
    </row>
    <row r="463" spans="1:1" ht="15.75" x14ac:dyDescent="0.3">
      <c r="A463"/>
    </row>
    <row r="464" spans="1:1" ht="15.75" x14ac:dyDescent="0.3">
      <c r="A464"/>
    </row>
    <row r="465" spans="1:1" ht="15.75" x14ac:dyDescent="0.3">
      <c r="A465"/>
    </row>
    <row r="466" spans="1:1" ht="15.75" x14ac:dyDescent="0.3">
      <c r="A466"/>
    </row>
    <row r="467" spans="1:1" ht="15.75" x14ac:dyDescent="0.3">
      <c r="A467"/>
    </row>
    <row r="468" spans="1:1" ht="15.75" x14ac:dyDescent="0.3">
      <c r="A468"/>
    </row>
    <row r="469" spans="1:1" ht="15.75" x14ac:dyDescent="0.3">
      <c r="A469"/>
    </row>
    <row r="470" spans="1:1" ht="15.75" x14ac:dyDescent="0.3">
      <c r="A470"/>
    </row>
    <row r="471" spans="1:1" ht="15.75" x14ac:dyDescent="0.3">
      <c r="A471"/>
    </row>
    <row r="472" spans="1:1" ht="15.75" x14ac:dyDescent="0.3">
      <c r="A472"/>
    </row>
    <row r="473" spans="1:1" ht="15.75" x14ac:dyDescent="0.3">
      <c r="A473"/>
    </row>
    <row r="474" spans="1:1" ht="15.75" x14ac:dyDescent="0.3">
      <c r="A474"/>
    </row>
    <row r="475" spans="1:1" ht="15.75" x14ac:dyDescent="0.3">
      <c r="A475"/>
    </row>
    <row r="476" spans="1:1" ht="15.75" x14ac:dyDescent="0.3">
      <c r="A476"/>
    </row>
    <row r="477" spans="1:1" ht="15.75" x14ac:dyDescent="0.3">
      <c r="A477"/>
    </row>
    <row r="478" spans="1:1" ht="15.75" x14ac:dyDescent="0.3">
      <c r="A478"/>
    </row>
    <row r="479" spans="1:1" ht="15.75" x14ac:dyDescent="0.3">
      <c r="A479"/>
    </row>
    <row r="480" spans="1:1" ht="15.75" x14ac:dyDescent="0.3">
      <c r="A480"/>
    </row>
    <row r="481" spans="1:1" ht="15.75" x14ac:dyDescent="0.3">
      <c r="A481"/>
    </row>
    <row r="482" spans="1:1" ht="15.75" x14ac:dyDescent="0.3">
      <c r="A482"/>
    </row>
    <row r="483" spans="1:1" ht="15.75" x14ac:dyDescent="0.3">
      <c r="A483"/>
    </row>
    <row r="484" spans="1:1" ht="15.75" x14ac:dyDescent="0.3">
      <c r="A484"/>
    </row>
    <row r="485" spans="1:1" ht="15.75" x14ac:dyDescent="0.3">
      <c r="A485"/>
    </row>
    <row r="486" spans="1:1" ht="15.75" x14ac:dyDescent="0.3">
      <c r="A486"/>
    </row>
    <row r="487" spans="1:1" ht="15.75" x14ac:dyDescent="0.3">
      <c r="A487"/>
    </row>
    <row r="488" spans="1:1" ht="15.75" x14ac:dyDescent="0.3">
      <c r="A488"/>
    </row>
    <row r="489" spans="1:1" ht="15.75" x14ac:dyDescent="0.3">
      <c r="A489"/>
    </row>
    <row r="490" spans="1:1" ht="15.75" x14ac:dyDescent="0.3">
      <c r="A490"/>
    </row>
    <row r="491" spans="1:1" ht="15.75" x14ac:dyDescent="0.3">
      <c r="A491"/>
    </row>
    <row r="492" spans="1:1" ht="15.75" x14ac:dyDescent="0.3">
      <c r="A492"/>
    </row>
    <row r="493" spans="1:1" ht="15.75" x14ac:dyDescent="0.3">
      <c r="A493"/>
    </row>
    <row r="494" spans="1:1" ht="15.75" x14ac:dyDescent="0.3">
      <c r="A494"/>
    </row>
    <row r="495" spans="1:1" ht="15.75" x14ac:dyDescent="0.3">
      <c r="A495"/>
    </row>
    <row r="496" spans="1:1" ht="15.75" x14ac:dyDescent="0.3">
      <c r="A496"/>
    </row>
    <row r="497" spans="1:1" ht="15.75" x14ac:dyDescent="0.3">
      <c r="A497"/>
    </row>
    <row r="498" spans="1:1" ht="15.75" x14ac:dyDescent="0.3">
      <c r="A498"/>
    </row>
    <row r="499" spans="1:1" ht="15.75" x14ac:dyDescent="0.3">
      <c r="A499"/>
    </row>
    <row r="500" spans="1:1" ht="15.75" x14ac:dyDescent="0.3">
      <c r="A500"/>
    </row>
    <row r="501" spans="1:1" ht="15.75" x14ac:dyDescent="0.3">
      <c r="A501"/>
    </row>
    <row r="502" spans="1:1" ht="15.75" x14ac:dyDescent="0.3">
      <c r="A502"/>
    </row>
    <row r="503" spans="1:1" ht="15.75" x14ac:dyDescent="0.3">
      <c r="A503"/>
    </row>
    <row r="504" spans="1:1" ht="15.75" x14ac:dyDescent="0.3">
      <c r="A504"/>
    </row>
    <row r="505" spans="1:1" ht="15.75" x14ac:dyDescent="0.3">
      <c r="A505"/>
    </row>
    <row r="506" spans="1:1" ht="15.75" x14ac:dyDescent="0.3">
      <c r="A506"/>
    </row>
    <row r="507" spans="1:1" ht="15.75" x14ac:dyDescent="0.3">
      <c r="A507"/>
    </row>
    <row r="508" spans="1:1" ht="15.75" x14ac:dyDescent="0.3">
      <c r="A508"/>
    </row>
    <row r="509" spans="1:1" ht="15.75" x14ac:dyDescent="0.3">
      <c r="A509"/>
    </row>
    <row r="510" spans="1:1" ht="15.75" x14ac:dyDescent="0.3">
      <c r="A510"/>
    </row>
    <row r="511" spans="1:1" ht="15.75" x14ac:dyDescent="0.3">
      <c r="A511"/>
    </row>
    <row r="512" spans="1:1" ht="15.75" x14ac:dyDescent="0.3">
      <c r="A512"/>
    </row>
    <row r="513" spans="1:1" ht="15.75" x14ac:dyDescent="0.3">
      <c r="A513"/>
    </row>
    <row r="514" spans="1:1" ht="15.75" x14ac:dyDescent="0.3">
      <c r="A514"/>
    </row>
    <row r="515" spans="1:1" ht="15.75" x14ac:dyDescent="0.3">
      <c r="A515"/>
    </row>
    <row r="516" spans="1:1" ht="15.75" x14ac:dyDescent="0.3">
      <c r="A516"/>
    </row>
    <row r="517" spans="1:1" ht="15.75" x14ac:dyDescent="0.3">
      <c r="A517"/>
    </row>
    <row r="518" spans="1:1" ht="15.75" x14ac:dyDescent="0.3">
      <c r="A518"/>
    </row>
    <row r="519" spans="1:1" ht="15.75" x14ac:dyDescent="0.3">
      <c r="A519"/>
    </row>
    <row r="520" spans="1:1" ht="15.75" x14ac:dyDescent="0.3">
      <c r="A520"/>
    </row>
    <row r="521" spans="1:1" ht="15.75" x14ac:dyDescent="0.3">
      <c r="A521"/>
    </row>
    <row r="522" spans="1:1" ht="15.75" x14ac:dyDescent="0.3">
      <c r="A522"/>
    </row>
    <row r="523" spans="1:1" ht="15.75" x14ac:dyDescent="0.3">
      <c r="A523"/>
    </row>
    <row r="524" spans="1:1" ht="15.75" x14ac:dyDescent="0.3">
      <c r="A524"/>
    </row>
    <row r="525" spans="1:1" ht="15.75" x14ac:dyDescent="0.3">
      <c r="A525"/>
    </row>
    <row r="526" spans="1:1" ht="15.75" x14ac:dyDescent="0.3">
      <c r="A526"/>
    </row>
    <row r="527" spans="1:1" ht="15.75" x14ac:dyDescent="0.3">
      <c r="A527"/>
    </row>
    <row r="528" spans="1:1" ht="15.75" x14ac:dyDescent="0.3">
      <c r="A528"/>
    </row>
    <row r="529" spans="1:1" ht="15.75" x14ac:dyDescent="0.3">
      <c r="A529"/>
    </row>
    <row r="530" spans="1:1" ht="15.75" x14ac:dyDescent="0.3">
      <c r="A530"/>
    </row>
    <row r="531" spans="1:1" ht="15.75" x14ac:dyDescent="0.3">
      <c r="A531"/>
    </row>
    <row r="532" spans="1:1" ht="15.75" x14ac:dyDescent="0.3">
      <c r="A532"/>
    </row>
    <row r="533" spans="1:1" ht="15.75" x14ac:dyDescent="0.3">
      <c r="A533"/>
    </row>
    <row r="534" spans="1:1" ht="15.75" x14ac:dyDescent="0.3">
      <c r="A534"/>
    </row>
    <row r="535" spans="1:1" ht="15.75" x14ac:dyDescent="0.3">
      <c r="A535"/>
    </row>
    <row r="536" spans="1:1" ht="15.75" x14ac:dyDescent="0.3">
      <c r="A536"/>
    </row>
    <row r="537" spans="1:1" ht="15.75" x14ac:dyDescent="0.3">
      <c r="A537"/>
    </row>
    <row r="538" spans="1:1" ht="15.75" x14ac:dyDescent="0.3">
      <c r="A538"/>
    </row>
    <row r="539" spans="1:1" ht="15.75" x14ac:dyDescent="0.3">
      <c r="A539"/>
    </row>
    <row r="540" spans="1:1" ht="15.75" x14ac:dyDescent="0.3">
      <c r="A540"/>
    </row>
    <row r="541" spans="1:1" ht="15.75" x14ac:dyDescent="0.3">
      <c r="A541"/>
    </row>
    <row r="542" spans="1:1" ht="15.75" x14ac:dyDescent="0.3">
      <c r="A542"/>
    </row>
    <row r="543" spans="1:1" ht="15.75" x14ac:dyDescent="0.3">
      <c r="A543"/>
    </row>
    <row r="544" spans="1:1" ht="15.75" x14ac:dyDescent="0.3">
      <c r="A544"/>
    </row>
    <row r="545" spans="1:1" ht="15.75" x14ac:dyDescent="0.3">
      <c r="A545"/>
    </row>
    <row r="546" spans="1:1" ht="15.75" x14ac:dyDescent="0.3">
      <c r="A546"/>
    </row>
    <row r="547" spans="1:1" ht="15.75" x14ac:dyDescent="0.3">
      <c r="A547"/>
    </row>
    <row r="548" spans="1:1" ht="15.75" x14ac:dyDescent="0.3">
      <c r="A548"/>
    </row>
    <row r="549" spans="1:1" ht="15.75" x14ac:dyDescent="0.3">
      <c r="A549"/>
    </row>
    <row r="550" spans="1:1" ht="15.75" x14ac:dyDescent="0.3">
      <c r="A550"/>
    </row>
    <row r="551" spans="1:1" ht="15.75" x14ac:dyDescent="0.3">
      <c r="A551"/>
    </row>
    <row r="552" spans="1:1" ht="15.75" x14ac:dyDescent="0.3">
      <c r="A552"/>
    </row>
    <row r="553" spans="1:1" ht="15.75" x14ac:dyDescent="0.3">
      <c r="A553"/>
    </row>
    <row r="554" spans="1:1" ht="15.75" x14ac:dyDescent="0.3">
      <c r="A554"/>
    </row>
    <row r="555" spans="1:1" ht="15.75" x14ac:dyDescent="0.3">
      <c r="A555"/>
    </row>
    <row r="556" spans="1:1" ht="15.75" x14ac:dyDescent="0.3">
      <c r="A556"/>
    </row>
    <row r="557" spans="1:1" ht="15.75" x14ac:dyDescent="0.3">
      <c r="A557"/>
    </row>
    <row r="558" spans="1:1" ht="15.75" x14ac:dyDescent="0.3">
      <c r="A558"/>
    </row>
    <row r="559" spans="1:1" ht="15.75" x14ac:dyDescent="0.3">
      <c r="A559"/>
    </row>
    <row r="560" spans="1:1" ht="15.75" x14ac:dyDescent="0.3">
      <c r="A560"/>
    </row>
    <row r="561" spans="1:1" ht="15.75" x14ac:dyDescent="0.3">
      <c r="A561"/>
    </row>
    <row r="562" spans="1:1" ht="15.75" x14ac:dyDescent="0.3">
      <c r="A562"/>
    </row>
    <row r="563" spans="1:1" ht="15.75" x14ac:dyDescent="0.3">
      <c r="A563"/>
    </row>
    <row r="564" spans="1:1" ht="15.75" x14ac:dyDescent="0.3">
      <c r="A564"/>
    </row>
    <row r="565" spans="1:1" ht="15.75" x14ac:dyDescent="0.3">
      <c r="A565"/>
    </row>
    <row r="566" spans="1:1" ht="15.75" x14ac:dyDescent="0.3">
      <c r="A566"/>
    </row>
    <row r="567" spans="1:1" ht="15.75" x14ac:dyDescent="0.3">
      <c r="A567"/>
    </row>
    <row r="568" spans="1:1" ht="15.75" x14ac:dyDescent="0.3">
      <c r="A568"/>
    </row>
    <row r="569" spans="1:1" ht="15.75" x14ac:dyDescent="0.3">
      <c r="A569"/>
    </row>
    <row r="570" spans="1:1" ht="15.75" x14ac:dyDescent="0.3">
      <c r="A570"/>
    </row>
    <row r="571" spans="1:1" ht="15.75" x14ac:dyDescent="0.3">
      <c r="A571"/>
    </row>
    <row r="572" spans="1:1" ht="15.75" x14ac:dyDescent="0.3">
      <c r="A572"/>
    </row>
    <row r="573" spans="1:1" ht="15.75" x14ac:dyDescent="0.3">
      <c r="A573"/>
    </row>
    <row r="574" spans="1:1" ht="15.75" x14ac:dyDescent="0.3">
      <c r="A574"/>
    </row>
    <row r="575" spans="1:1" ht="15.75" x14ac:dyDescent="0.3">
      <c r="A575"/>
    </row>
    <row r="576" spans="1:1" ht="15.75" x14ac:dyDescent="0.3">
      <c r="A576"/>
    </row>
    <row r="577" spans="1:1" ht="15.75" x14ac:dyDescent="0.3">
      <c r="A577"/>
    </row>
    <row r="578" spans="1:1" ht="15.75" x14ac:dyDescent="0.3">
      <c r="A578"/>
    </row>
    <row r="579" spans="1:1" ht="15.75" x14ac:dyDescent="0.3">
      <c r="A579"/>
    </row>
    <row r="580" spans="1:1" ht="15.75" x14ac:dyDescent="0.3">
      <c r="A580"/>
    </row>
    <row r="581" spans="1:1" ht="15.75" x14ac:dyDescent="0.3">
      <c r="A581"/>
    </row>
    <row r="582" spans="1:1" ht="15.75" x14ac:dyDescent="0.3">
      <c r="A582"/>
    </row>
    <row r="583" spans="1:1" ht="15.75" x14ac:dyDescent="0.3">
      <c r="A583"/>
    </row>
    <row r="584" spans="1:1" ht="15.75" x14ac:dyDescent="0.3">
      <c r="A584"/>
    </row>
    <row r="585" spans="1:1" ht="15.75" x14ac:dyDescent="0.3">
      <c r="A585"/>
    </row>
    <row r="586" spans="1:1" ht="15.75" x14ac:dyDescent="0.3">
      <c r="A586"/>
    </row>
    <row r="587" spans="1:1" ht="15.75" x14ac:dyDescent="0.3">
      <c r="A587"/>
    </row>
    <row r="588" spans="1:1" ht="15.75" x14ac:dyDescent="0.3">
      <c r="A588"/>
    </row>
    <row r="589" spans="1:1" ht="15.75" x14ac:dyDescent="0.3">
      <c r="A589"/>
    </row>
    <row r="590" spans="1:1" ht="15.75" x14ac:dyDescent="0.3">
      <c r="A590"/>
    </row>
    <row r="591" spans="1:1" ht="15.75" x14ac:dyDescent="0.3">
      <c r="A591"/>
    </row>
    <row r="592" spans="1:1" ht="15.75" x14ac:dyDescent="0.3">
      <c r="A592"/>
    </row>
    <row r="593" spans="1:1" ht="15.75" x14ac:dyDescent="0.3">
      <c r="A593"/>
    </row>
    <row r="594" spans="1:1" ht="15.75" x14ac:dyDescent="0.3">
      <c r="A594"/>
    </row>
    <row r="595" spans="1:1" ht="15.75" x14ac:dyDescent="0.3">
      <c r="A595"/>
    </row>
  </sheetData>
  <sortState ref="A246:A308">
    <sortCondition ref="A246"/>
  </sortState>
  <phoneticPr fontId="34" type="noConversion"/>
  <conditionalFormatting sqref="N249:N300">
    <cfRule type="dataBar" priority="12">
      <dataBar>
        <cfvo type="min"/>
        <cfvo type="max"/>
        <color rgb="FFFFB628"/>
      </dataBar>
      <extLst>
        <ext xmlns:x14="http://schemas.microsoft.com/office/spreadsheetml/2009/9/main" uri="{B025F937-C7B1-47D3-B67F-A62EFF666E3E}">
          <x14:id>{D0CD3AD7-62EA-4CF4-8018-15722302DA63}</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0CD3AD7-62EA-4CF4-8018-15722302DA63}">
            <x14:dataBar minLength="0" maxLength="100" gradient="0">
              <x14:cfvo type="autoMin"/>
              <x14:cfvo type="autoMax"/>
              <x14:negativeFillColor rgb="FFFF0000"/>
              <x14:axisColor rgb="FF000000"/>
            </x14:dataBar>
          </x14:cfRule>
          <xm:sqref>N249:N300</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Y116"/>
  <sheetViews>
    <sheetView topLeftCell="S1" workbookViewId="0">
      <selection activeCell="AF28" sqref="AF28"/>
    </sheetView>
  </sheetViews>
  <sheetFormatPr defaultColWidth="9" defaultRowHeight="14.25" x14ac:dyDescent="0.3"/>
  <cols>
    <col min="1" max="16384" width="9" style="1"/>
  </cols>
  <sheetData>
    <row r="2" spans="2:51" x14ac:dyDescent="0.3">
      <c r="B2" s="2" t="s">
        <v>1678</v>
      </c>
      <c r="C2" s="21">
        <v>1.35</v>
      </c>
      <c r="K2" s="1" t="s">
        <v>1679</v>
      </c>
    </row>
    <row r="3" spans="2:51" x14ac:dyDescent="0.3">
      <c r="B3" s="2" t="s">
        <v>1680</v>
      </c>
      <c r="C3" s="21">
        <v>0.12</v>
      </c>
    </row>
    <row r="4" spans="2:51" x14ac:dyDescent="0.3">
      <c r="K4" s="1" t="s">
        <v>1681</v>
      </c>
      <c r="S4" s="1" t="s">
        <v>1682</v>
      </c>
      <c r="Z4" s="1" t="s">
        <v>1683</v>
      </c>
    </row>
    <row r="6" spans="2:51" x14ac:dyDescent="0.3">
      <c r="V6" s="1" t="s">
        <v>162</v>
      </c>
    </row>
    <row r="7" spans="2:51" x14ac:dyDescent="0.3">
      <c r="B7" s="2" t="s">
        <v>608</v>
      </c>
      <c r="C7" s="2" t="s">
        <v>1113</v>
      </c>
      <c r="D7" s="2" t="s">
        <v>611</v>
      </c>
      <c r="E7" s="2" t="s">
        <v>1684</v>
      </c>
      <c r="F7" s="2" t="s">
        <v>1119</v>
      </c>
      <c r="G7" s="2" t="s">
        <v>1184</v>
      </c>
      <c r="H7" s="2" t="s">
        <v>95</v>
      </c>
      <c r="I7" s="2" t="s">
        <v>178</v>
      </c>
      <c r="J7" s="26" t="s">
        <v>903</v>
      </c>
      <c r="K7" s="2" t="s">
        <v>904</v>
      </c>
      <c r="L7" s="2" t="s">
        <v>905</v>
      </c>
      <c r="M7" s="2" t="s">
        <v>91</v>
      </c>
      <c r="N7" s="2" t="s">
        <v>93</v>
      </c>
      <c r="O7" s="2" t="s">
        <v>94</v>
      </c>
      <c r="P7" s="2" t="s">
        <v>860</v>
      </c>
      <c r="Q7" s="2" t="s">
        <v>774</v>
      </c>
      <c r="R7" s="2" t="s">
        <v>775</v>
      </c>
      <c r="S7" s="2" t="s">
        <v>776</v>
      </c>
      <c r="T7" s="2" t="s">
        <v>77</v>
      </c>
      <c r="U7" s="2" t="s">
        <v>130</v>
      </c>
      <c r="V7" s="2" t="s">
        <v>777</v>
      </c>
      <c r="W7" s="2" t="s">
        <v>1218</v>
      </c>
      <c r="X7" s="2" t="s">
        <v>1219</v>
      </c>
      <c r="Y7" s="2" t="s">
        <v>1220</v>
      </c>
      <c r="Z7" s="2" t="s">
        <v>1685</v>
      </c>
      <c r="AA7" s="2" t="s">
        <v>142</v>
      </c>
      <c r="AB7" s="2" t="s">
        <v>129</v>
      </c>
      <c r="AC7" s="2" t="s">
        <v>1686</v>
      </c>
      <c r="AD7" s="2" t="s">
        <v>739</v>
      </c>
      <c r="AE7" s="25"/>
      <c r="AF7" s="2" t="s">
        <v>1687</v>
      </c>
      <c r="AG7" s="29" t="s">
        <v>1688</v>
      </c>
      <c r="AR7" s="1" t="s">
        <v>132</v>
      </c>
      <c r="AS7" s="1" t="s">
        <v>134</v>
      </c>
      <c r="AT7" s="1" t="s">
        <v>136</v>
      </c>
    </row>
    <row r="8" spans="2:51" x14ac:dyDescent="0.3">
      <c r="B8" s="2" t="str">
        <f>坦克个性化细分!I4</f>
        <v>雷诺FT</v>
      </c>
      <c r="C8" s="29" t="str">
        <f>VLOOKUP(B8,坦克个性化设定!$B$18:$F$48,5,FALSE)</f>
        <v>轻坦弹夹</v>
      </c>
      <c r="D8" s="2" t="str">
        <f>坦克个性化细分!J4</f>
        <v>低</v>
      </c>
      <c r="E8" s="2" t="str">
        <f t="shared" ref="E8:E37" si="0">B8&amp;D8</f>
        <v>雷诺FT低</v>
      </c>
      <c r="F8" s="34">
        <f>VLOOKUP($B8,坦克属性统计!$B$3:$AY$33,MATCH(F$7,坦克属性统计!$B$3:$AY$3,0),FALSE)</f>
        <v>0.86</v>
      </c>
      <c r="G8" s="34">
        <f>VLOOKUP($B8,坦克属性统计!$B$3:$AY$33,MATCH(G$7,坦克属性统计!$B$3:$AY$3,0),FALSE)</f>
        <v>0.5</v>
      </c>
      <c r="H8" s="34">
        <f>VLOOKUP($B8,坦克属性统计!$B$3:$AY$33,MATCH(H$7,坦克属性统计!$B$3:$AY$3,0),FALSE)</f>
        <v>0.60000000000000009</v>
      </c>
      <c r="I8" s="34">
        <f>VLOOKUP($B8,坦克属性统计!$B$3:$AY$33,MATCH(I$7,坦克属性统计!$B$3:$AY$3,0),FALSE)</f>
        <v>1.2</v>
      </c>
      <c r="J8" s="34">
        <f>VLOOKUP($B8,坦克属性统计!$B$3:$AY$33,MATCH(J$7,坦克属性统计!$B$3:$AY$3,0),FALSE)</f>
        <v>47.1</v>
      </c>
      <c r="K8" s="34">
        <f>VLOOKUP($B8,坦克属性统计!$B$3:$AY$33,MATCH(K$7,坦克属性统计!$B$3:$AY$3,0),FALSE)</f>
        <v>45</v>
      </c>
      <c r="L8" s="34">
        <f>VLOOKUP($B8,坦克属性统计!$B$3:$AY$33,MATCH(L$7,坦克属性统计!$B$3:$AY$3,0),FALSE)</f>
        <v>10.5</v>
      </c>
      <c r="M8" s="33">
        <f>VLOOKUP($B8,坦克属性统计!$B$3:$AY$33,MATCH(M$7,坦克属性统计!$B$3:$AY$3,0),FALSE)</f>
        <v>12</v>
      </c>
      <c r="N8" s="34">
        <f>VLOOKUP($B8,坦克属性统计!$B$3:$AY$33,MATCH(N$7,坦克属性统计!$B$3:$AY$3,0),FALSE)</f>
        <v>0</v>
      </c>
      <c r="O8" s="34">
        <f>VLOOKUP($B8,坦克属性统计!$B$3:$AY$33,MATCH(O$7,坦克属性统计!$B$3:$AY$3,0),FALSE)</f>
        <v>5.04</v>
      </c>
      <c r="P8" s="34">
        <f>VLOOKUP($B8,坦克属性统计!$B$3:$AY$33,MATCH(P$7,坦克属性统计!$B$3:$AY$3,0),FALSE)</f>
        <v>0.41666666666666669</v>
      </c>
      <c r="Q8" s="42">
        <f ca="1">VLOOKUP($B8,坦克属性统计!$B$3:$AY$33,MATCH(Q$7,坦克属性统计!$B$3:$AY$3,0),FALSE)*(1+W8/Z8)</f>
        <v>578</v>
      </c>
      <c r="R8" s="42">
        <f ca="1">VLOOKUP($B8,坦克属性统计!$B$3:$AY$33,MATCH(R$7,坦克属性统计!$B$3:$AY$3,0),FALSE)*(1+X8/AA8)</f>
        <v>42</v>
      </c>
      <c r="S8" s="33">
        <f ca="1">VLOOKUP($B8,坦克属性统计!$B$3:$AY$33,MATCH(S$7,坦克属性统计!$B$3:$AY$3,0),FALSE)</f>
        <v>329</v>
      </c>
      <c r="T8" s="33">
        <f ca="1">VLOOKUP($B8,坦克属性统计!$B$3:$AY$33,MATCH(T$7,坦克属性统计!$B$3:$AY$3,0),FALSE)</f>
        <v>230</v>
      </c>
      <c r="U8" s="42">
        <f ca="1">VLOOKUP($B8,坦克属性统计!$B$3:$AY$33,MATCH(U$7,坦克属性统计!$B$3:$AY$3,0),FALSE)*(1+Y8/AB8)</f>
        <v>300</v>
      </c>
      <c r="V8" s="33">
        <f ca="1">VLOOKUP($B8,坦克属性统计!$B$3:$AY$33,MATCH(V$7,坦克属性统计!$B$3:$AY$3,0),FALSE)</f>
        <v>80</v>
      </c>
      <c r="W8" s="33">
        <f>VLOOKUP($B8,坦克属性统计!$B$3:$AY$33,MATCH(W$7,坦克属性统计!$B$3:$AY$3,0),FALSE)</f>
        <v>0</v>
      </c>
      <c r="X8" s="33">
        <f>VLOOKUP($B8,坦克属性统计!$B$3:$AY$33,MATCH(X$7,坦克属性统计!$B$3:$AY$3,0),FALSE)</f>
        <v>0</v>
      </c>
      <c r="Y8" s="33">
        <f>VLOOKUP($B8,坦克属性统计!$B$3:$AY$33,MATCH(Y$7,坦克属性统计!$B$3:$AY$3,0),FALSE)</f>
        <v>0</v>
      </c>
      <c r="Z8" s="33">
        <f>VLOOKUP(B8,坦克部件!$AL$3:$AS$33,MATCH("基础系数",坦克部件!$AL$3:$AS$3,0),FALSE)</f>
        <v>1750</v>
      </c>
      <c r="AA8" s="33">
        <f t="shared" ref="AA8:AB37" si="1">Z8</f>
        <v>1750</v>
      </c>
      <c r="AB8" s="33">
        <f t="shared" si="1"/>
        <v>1750</v>
      </c>
      <c r="AC8" s="34">
        <f>IF(LEN(C8)=5,(60-(M8-1)*H8)/N8+M8,IF(RIGHT(C8,4)="中坦弹夹",((60-(M8-1)*H8)/(O8+(M8-1)*H8)+1)*M8,IF(RIGHT(C8,4)="轻坦弹夹",((60-(M8/3-1)*H8)/(O8+(M8/3-1)*H8)+1)*M8,60/N8+M8)))</f>
        <v>114.10526315789474</v>
      </c>
      <c r="AD8" s="34" t="s">
        <v>613</v>
      </c>
      <c r="AE8" s="133"/>
      <c r="AF8" s="42">
        <f ca="1">POWER(POWER(R8*Q8*AC8*AVERAGE(S8:T8)*U8,1/4),$C$2)*$C$3</f>
        <v>822.62419359237151</v>
      </c>
      <c r="AG8" s="42">
        <f ca="1">AC8*R8</f>
        <v>4792.4210526315792</v>
      </c>
      <c r="AI8" s="1">
        <f ca="1">Q8*R8*AC8</f>
        <v>2770019.3684210526</v>
      </c>
      <c r="AJ8" s="1">
        <f ca="1">AVERAGE(S8:T8)*U8</f>
        <v>83850</v>
      </c>
      <c r="AK8" s="1">
        <f ca="1">AI8/AJ8</f>
        <v>33.035412861312494</v>
      </c>
      <c r="AL8" s="1">
        <f ca="1">AI8/200</f>
        <v>13850.096842105262</v>
      </c>
      <c r="AM8" s="1">
        <f ca="1">SQRT(AI8/2+AJ8*100)</f>
        <v>3125.7014707438916</v>
      </c>
      <c r="AN8" s="1">
        <f ca="1">SQRT(AJ8)</f>
        <v>289.56864471140517</v>
      </c>
      <c r="AQ8" s="1" t="s">
        <v>613</v>
      </c>
      <c r="AR8" s="134">
        <f t="shared" ref="AR8:AR17" ca="1" si="2">AF8</f>
        <v>822.62419359237151</v>
      </c>
      <c r="AS8" s="134">
        <f t="shared" ref="AS8:AS17" ca="1" si="3">AF18</f>
        <v>768.41973290427939</v>
      </c>
      <c r="AT8" s="134">
        <f t="shared" ref="AT8:AT17" ca="1" si="4">AF28</f>
        <v>935.92581205006775</v>
      </c>
      <c r="AU8" s="134">
        <f t="shared" ref="AU8:AU17" ca="1" si="5">AVERAGE(AR8:AT8)</f>
        <v>842.32324618223947</v>
      </c>
      <c r="AW8" s="1">
        <f t="shared" ref="AW8:AW17" ca="1" si="6">ROUND(AR8/$AU8,3)</f>
        <v>0.97699999999999998</v>
      </c>
      <c r="AX8" s="1">
        <f t="shared" ref="AX8:AX17" ca="1" si="7">ROUND(AS8/$AU8,3)</f>
        <v>0.91200000000000003</v>
      </c>
      <c r="AY8" s="1">
        <f t="shared" ref="AY8:AY17" ca="1" si="8">ROUND(AT8/$AU8,3)</f>
        <v>1.111</v>
      </c>
    </row>
    <row r="9" spans="2:51" x14ac:dyDescent="0.3">
      <c r="B9" s="2" t="str">
        <f>坦克个性化细分!I5</f>
        <v>二号</v>
      </c>
      <c r="C9" s="29" t="str">
        <f>VLOOKUP(B9,坦克个性化设定!$B$18:$F$48,5,FALSE)</f>
        <v>轻坦弹夹</v>
      </c>
      <c r="D9" s="2" t="str">
        <f>坦克个性化细分!J5</f>
        <v>低</v>
      </c>
      <c r="E9" s="2" t="str">
        <f t="shared" si="0"/>
        <v>二号低</v>
      </c>
      <c r="F9" s="34">
        <f>VLOOKUP($B9,坦克属性统计!$B$3:$AY$33,MATCH(F$7,坦克属性统计!$B$3:$AY$3,0),FALSE)</f>
        <v>0.7</v>
      </c>
      <c r="G9" s="34">
        <f>VLOOKUP($B9,坦克属性统计!$B$3:$AY$33,MATCH(G$7,坦克属性统计!$B$3:$AY$3,0),FALSE)</f>
        <v>0.47</v>
      </c>
      <c r="H9" s="34">
        <f>VLOOKUP($B9,坦克属性统计!$B$3:$AY$33,MATCH(H$7,坦克属性统计!$B$3:$AY$3,0),FALSE)</f>
        <v>0.60000000000000009</v>
      </c>
      <c r="I9" s="34">
        <f>VLOOKUP($B9,坦克属性统计!$B$3:$AY$33,MATCH(I$7,坦克属性统计!$B$3:$AY$3,0),FALSE)</f>
        <v>1.2</v>
      </c>
      <c r="J9" s="34">
        <f>VLOOKUP($B9,坦克属性统计!$B$3:$AY$33,MATCH(J$7,坦克属性统计!$B$3:$AY$3,0),FALSE)</f>
        <v>47.1</v>
      </c>
      <c r="K9" s="34">
        <f>VLOOKUP($B9,坦克属性统计!$B$3:$AY$33,MATCH(K$7,坦克属性统计!$B$3:$AY$3,0),FALSE)</f>
        <v>45</v>
      </c>
      <c r="L9" s="34">
        <f>VLOOKUP($B9,坦克属性统计!$B$3:$AY$33,MATCH(L$7,坦克属性统计!$B$3:$AY$3,0),FALSE)</f>
        <v>10.5</v>
      </c>
      <c r="M9" s="33">
        <f>VLOOKUP($B9,坦克属性统计!$B$3:$AY$33,MATCH(M$7,坦克属性统计!$B$3:$AY$3,0),FALSE)</f>
        <v>14.999999999999998</v>
      </c>
      <c r="N9" s="34">
        <f>VLOOKUP($B9,坦克属性统计!$B$3:$AY$33,MATCH(N$7,坦克属性统计!$B$3:$AY$3,0),FALSE)</f>
        <v>0</v>
      </c>
      <c r="O9" s="34">
        <f>VLOOKUP($B9,坦克属性统计!$B$3:$AY$33,MATCH(O$7,坦克属性统计!$B$3:$AY$3,0),FALSE)</f>
        <v>8.3999999999999986</v>
      </c>
      <c r="P9" s="34">
        <f>VLOOKUP($B9,坦克属性统计!$B$3:$AY$33,MATCH(P$7,坦克属性统计!$B$3:$AY$3,0),FALSE)</f>
        <v>0.39166666666666666</v>
      </c>
      <c r="Q9" s="42">
        <f ca="1">VLOOKUP($B9,坦克属性统计!$B$3:$AY$33,MATCH(Q$7,坦克属性统计!$B$3:$AY$3,0),FALSE)*(1+W9/Z9)</f>
        <v>876</v>
      </c>
      <c r="R9" s="42">
        <f ca="1">VLOOKUP($B9,坦克属性统计!$B$3:$AY$33,MATCH(R$7,坦克属性统计!$B$3:$AY$3,0),FALSE)*(1+X9/AA9)</f>
        <v>72</v>
      </c>
      <c r="S9" s="33">
        <f ca="1">VLOOKUP($B9,坦克属性统计!$B$3:$AY$33,MATCH(S$7,坦克属性统计!$B$3:$AY$3,0),FALSE)</f>
        <v>394</v>
      </c>
      <c r="T9" s="33">
        <f ca="1">VLOOKUP($B9,坦克属性统计!$B$3:$AY$33,MATCH(T$7,坦克属性统计!$B$3:$AY$3,0),FALSE)</f>
        <v>276</v>
      </c>
      <c r="U9" s="42">
        <f ca="1">VLOOKUP($B9,坦克属性统计!$B$3:$AY$33,MATCH(U$7,坦克属性统计!$B$3:$AY$3,0),FALSE)*(1+Y9/AB9)</f>
        <v>360</v>
      </c>
      <c r="V9" s="33">
        <f ca="1">VLOOKUP($B9,坦克属性统计!$B$3:$AY$33,MATCH(V$7,坦克属性统计!$B$3:$AY$3,0),FALSE)</f>
        <v>96</v>
      </c>
      <c r="W9" s="33">
        <f>VLOOKUP($B9,坦克属性统计!$B$3:$AY$33,MATCH(W$7,坦克属性统计!$B$3:$AY$3,0),FALSE)</f>
        <v>0</v>
      </c>
      <c r="X9" s="33">
        <f>VLOOKUP($B9,坦克属性统计!$B$3:$AY$33,MATCH(X$7,坦克属性统计!$B$3:$AY$3,0),FALSE)</f>
        <v>0</v>
      </c>
      <c r="Y9" s="33">
        <f>VLOOKUP($B9,坦克属性统计!$B$3:$AY$33,MATCH(Y$7,坦克属性统计!$B$3:$AY$3,0),FALSE)</f>
        <v>0</v>
      </c>
      <c r="Z9" s="33">
        <f>VLOOKUP(B9,坦克部件!$AL$3:$AS$33,MATCH("基础系数",坦克部件!$AL$3:$AS$3,0),FALSE)</f>
        <v>2500</v>
      </c>
      <c r="AA9" s="33">
        <f t="shared" si="1"/>
        <v>2500</v>
      </c>
      <c r="AB9" s="33">
        <f t="shared" si="1"/>
        <v>2500</v>
      </c>
      <c r="AC9" s="34">
        <f t="shared" ref="AC9:AC37" si="9">IF(LEN(C9)=5,(60-(M9-1)*H9)/N9+M9,IF(RIGHT(C9,4)="中坦弹夹",((60-(M9-1)*H9)/(O9+(M9-1)*H9)+1)*M9,IF(RIGHT(C9,4)="轻坦弹夹",((60-(M9/3-1)*H9)/(O9+(M9/3-1)*H9)+1)*M9,60/N9+M9)))</f>
        <v>95</v>
      </c>
      <c r="AD9" s="34" t="s">
        <v>615</v>
      </c>
      <c r="AE9" s="133"/>
      <c r="AF9" s="42">
        <f t="shared" ref="AF9:AF37" ca="1" si="10">POWER(POWER(R9*Q9*AC9*AVERAGE(S9:T9)*U9,1/4),$C$2)*$C$3</f>
        <v>1206.5978096281517</v>
      </c>
      <c r="AG9" s="42">
        <f t="shared" ref="AG9:AG37" ca="1" si="11">AC9*R9</f>
        <v>6840</v>
      </c>
      <c r="AI9" s="1">
        <f t="shared" ref="AI9:AI37" ca="1" si="12">Q9*R9*AC9</f>
        <v>5991840</v>
      </c>
      <c r="AJ9" s="1">
        <f t="shared" ref="AJ9:AJ37" ca="1" si="13">AVERAGE(S9:T9)*U9</f>
        <v>120600</v>
      </c>
      <c r="AK9" s="1">
        <f t="shared" ref="AK9:AK37" ca="1" si="14">AI9/AJ9</f>
        <v>49.683582089552239</v>
      </c>
      <c r="AL9" s="1">
        <f t="shared" ref="AL9:AL37" ca="1" si="15">AI9/200</f>
        <v>29959.200000000001</v>
      </c>
      <c r="AM9" s="1">
        <f t="shared" ref="AM9:AM37" ca="1" si="16">SQRT(AI9/2+AJ9*100)</f>
        <v>3880.1958713446411</v>
      </c>
      <c r="AN9" s="1">
        <f t="shared" ref="AN9:AN37" ca="1" si="17">SQRT(AJ9)</f>
        <v>347.27510708370676</v>
      </c>
      <c r="AQ9" s="1" t="s">
        <v>615</v>
      </c>
      <c r="AR9" s="134">
        <f t="shared" ca="1" si="2"/>
        <v>1206.5978096281517</v>
      </c>
      <c r="AS9" s="134">
        <f t="shared" ca="1" si="3"/>
        <v>1076.8969590675699</v>
      </c>
      <c r="AT9" s="134">
        <f t="shared" ca="1" si="4"/>
        <v>1284.1894163616234</v>
      </c>
      <c r="AU9" s="134">
        <f t="shared" ca="1" si="5"/>
        <v>1189.2280616857818</v>
      </c>
      <c r="AW9" s="1">
        <f t="shared" ca="1" si="6"/>
        <v>1.0149999999999999</v>
      </c>
      <c r="AX9" s="1">
        <f t="shared" ca="1" si="7"/>
        <v>0.90600000000000003</v>
      </c>
      <c r="AY9" s="1">
        <f t="shared" ca="1" si="8"/>
        <v>1.08</v>
      </c>
    </row>
    <row r="10" spans="2:51" x14ac:dyDescent="0.3">
      <c r="B10" s="2" t="str">
        <f>坦克个性化细分!I6</f>
        <v>Puma</v>
      </c>
      <c r="C10" s="29" t="str">
        <f>VLOOKUP(B10,坦克个性化设定!$B$18:$F$48,5,FALSE)</f>
        <v>轻坦弹夹</v>
      </c>
      <c r="D10" s="2" t="str">
        <f>坦克个性化细分!J6</f>
        <v>中</v>
      </c>
      <c r="E10" s="2" t="str">
        <f t="shared" si="0"/>
        <v>Puma中</v>
      </c>
      <c r="F10" s="34">
        <f>VLOOKUP($B10,坦克属性统计!$B$3:$AY$33,MATCH(F$7,坦克属性统计!$B$3:$AY$3,0),FALSE)</f>
        <v>0.82</v>
      </c>
      <c r="G10" s="34">
        <f>VLOOKUP($B10,坦克属性统计!$B$3:$AY$33,MATCH(G$7,坦克属性统计!$B$3:$AY$3,0),FALSE)</f>
        <v>0.69</v>
      </c>
      <c r="H10" s="34">
        <f>VLOOKUP($B10,坦克属性统计!$B$3:$AY$33,MATCH(H$7,坦克属性统计!$B$3:$AY$3,0),FALSE)</f>
        <v>0.8</v>
      </c>
      <c r="I10" s="34">
        <f>VLOOKUP($B10,坦克属性统计!$B$3:$AY$33,MATCH(I$7,坦克属性统计!$B$3:$AY$3,0),FALSE)</f>
        <v>1.2</v>
      </c>
      <c r="J10" s="34">
        <f>VLOOKUP($B10,坦克属性统计!$B$3:$AY$33,MATCH(J$7,坦克属性统计!$B$3:$AY$3,0),FALSE)</f>
        <v>43.3</v>
      </c>
      <c r="K10" s="34">
        <f>VLOOKUP($B10,坦克属性统计!$B$3:$AY$33,MATCH(K$7,坦克属性统计!$B$3:$AY$3,0),FALSE)</f>
        <v>51</v>
      </c>
      <c r="L10" s="34">
        <f>VLOOKUP($B10,坦克属性统计!$B$3:$AY$33,MATCH(L$7,坦克属性统计!$B$3:$AY$3,0),FALSE)</f>
        <v>10.199999999999999</v>
      </c>
      <c r="M10" s="33">
        <f>VLOOKUP($B10,坦克属性统计!$B$3:$AY$33,MATCH(M$7,坦克属性统计!$B$3:$AY$3,0),FALSE)</f>
        <v>6</v>
      </c>
      <c r="N10" s="34">
        <f>VLOOKUP($B10,坦克属性统计!$B$3:$AY$33,MATCH(N$7,坦克属性统计!$B$3:$AY$3,0),FALSE)</f>
        <v>0</v>
      </c>
      <c r="O10" s="34">
        <f>VLOOKUP($B10,坦克属性统计!$B$3:$AY$33,MATCH(O$7,坦克属性统计!$B$3:$AY$3,0),FALSE)</f>
        <v>3.1499999999999995</v>
      </c>
      <c r="P10" s="34">
        <f>VLOOKUP($B10,坦克属性统计!$B$3:$AY$33,MATCH(P$7,坦克属性统计!$B$3:$AY$3,0),FALSE)</f>
        <v>0.57499999999999996</v>
      </c>
      <c r="Q10" s="42">
        <f ca="1">VLOOKUP($B10,坦克属性统计!$B$3:$AY$33,MATCH(Q$7,坦克属性统计!$B$3:$AY$3,0),FALSE)*(1+W10/Z10)</f>
        <v>1054</v>
      </c>
      <c r="R10" s="42">
        <f ca="1">VLOOKUP($B10,坦克属性统计!$B$3:$AY$33,MATCH(R$7,坦克属性统计!$B$3:$AY$3,0),FALSE)*(1+X10/AA10)</f>
        <v>79</v>
      </c>
      <c r="S10" s="33">
        <f ca="1">VLOOKUP($B10,坦克属性统计!$B$3:$AY$33,MATCH(S$7,坦克属性统计!$B$3:$AY$3,0),FALSE)</f>
        <v>401</v>
      </c>
      <c r="T10" s="33">
        <f ca="1">VLOOKUP($B10,坦克属性统计!$B$3:$AY$33,MATCH(T$7,坦克属性统计!$B$3:$AY$3,0),FALSE)</f>
        <v>281</v>
      </c>
      <c r="U10" s="42">
        <f ca="1">VLOOKUP($B10,坦克属性统计!$B$3:$AY$33,MATCH(U$7,坦克属性统计!$B$3:$AY$3,0),FALSE)*(1+Y10/AB10)</f>
        <v>366</v>
      </c>
      <c r="V10" s="33">
        <f ca="1">VLOOKUP($B10,坦克属性统计!$B$3:$AY$33,MATCH(V$7,坦克属性统计!$B$3:$AY$3,0),FALSE)</f>
        <v>98</v>
      </c>
      <c r="W10" s="33">
        <f>VLOOKUP($B10,坦克属性统计!$B$3:$AY$33,MATCH(W$7,坦克属性统计!$B$3:$AY$3,0),FALSE)</f>
        <v>0</v>
      </c>
      <c r="X10" s="33">
        <f>VLOOKUP($B10,坦克属性统计!$B$3:$AY$33,MATCH(X$7,坦克属性统计!$B$3:$AY$3,0),FALSE)</f>
        <v>0</v>
      </c>
      <c r="Y10" s="33">
        <f>VLOOKUP($B10,坦克属性统计!$B$3:$AY$33,MATCH(Y$7,坦克属性统计!$B$3:$AY$3,0),FALSE)</f>
        <v>0</v>
      </c>
      <c r="Z10" s="33">
        <f>VLOOKUP(B10,坦克部件!$AL$3:$AS$33,MATCH("基础系数",坦克部件!$AL$3:$AS$3,0),FALSE)</f>
        <v>2500</v>
      </c>
      <c r="AA10" s="33">
        <f t="shared" si="1"/>
        <v>2500</v>
      </c>
      <c r="AB10" s="33">
        <f t="shared" si="1"/>
        <v>2500</v>
      </c>
      <c r="AC10" s="34">
        <f t="shared" si="9"/>
        <v>95.924050632911417</v>
      </c>
      <c r="AD10" s="34" t="s">
        <v>615</v>
      </c>
      <c r="AE10" s="133"/>
      <c r="AF10" s="42">
        <f t="shared" ca="1" si="10"/>
        <v>1344.9901359400903</v>
      </c>
      <c r="AG10" s="42">
        <f t="shared" ca="1" si="11"/>
        <v>7578.0000000000018</v>
      </c>
      <c r="AI10" s="1">
        <f t="shared" ca="1" si="12"/>
        <v>7987212.0000000019</v>
      </c>
      <c r="AJ10" s="1">
        <f t="shared" ca="1" si="13"/>
        <v>124806</v>
      </c>
      <c r="AK10" s="1">
        <f t="shared" ca="1" si="14"/>
        <v>63.997019374068572</v>
      </c>
      <c r="AL10" s="1">
        <f t="shared" ca="1" si="15"/>
        <v>39936.060000000012</v>
      </c>
      <c r="AM10" s="1">
        <f t="shared" ca="1" si="16"/>
        <v>4058.842938572519</v>
      </c>
      <c r="AN10" s="1">
        <f t="shared" ca="1" si="17"/>
        <v>353.27892662880419</v>
      </c>
      <c r="AQ10" s="1" t="s">
        <v>615</v>
      </c>
      <c r="AR10" s="134">
        <f t="shared" ca="1" si="2"/>
        <v>1344.9901359400903</v>
      </c>
      <c r="AS10" s="134">
        <f t="shared" ca="1" si="3"/>
        <v>1158.0068282605387</v>
      </c>
      <c r="AT10" s="134">
        <f t="shared" ca="1" si="4"/>
        <v>1347.1515659646084</v>
      </c>
      <c r="AU10" s="134">
        <f t="shared" ca="1" si="5"/>
        <v>1283.3828433884125</v>
      </c>
      <c r="AW10" s="1">
        <f t="shared" ca="1" si="6"/>
        <v>1.048</v>
      </c>
      <c r="AX10" s="1">
        <f t="shared" ca="1" si="7"/>
        <v>0.90200000000000002</v>
      </c>
      <c r="AY10" s="1">
        <f t="shared" ca="1" si="8"/>
        <v>1.05</v>
      </c>
    </row>
    <row r="11" spans="2:51" x14ac:dyDescent="0.3">
      <c r="B11" s="2" t="str">
        <f>坦克个性化细分!I7</f>
        <v>35(t)</v>
      </c>
      <c r="C11" s="29" t="str">
        <f>VLOOKUP(B11,坦克个性化设定!$B$18:$F$48,5,FALSE)</f>
        <v>轻坦弹夹</v>
      </c>
      <c r="D11" s="2" t="str">
        <f>坦克个性化细分!J7</f>
        <v>低</v>
      </c>
      <c r="E11" s="2" t="str">
        <f t="shared" si="0"/>
        <v>35(t)低</v>
      </c>
      <c r="F11" s="34">
        <f>VLOOKUP($B11,坦克属性统计!$B$3:$AY$33,MATCH(F$7,坦克属性统计!$B$3:$AY$3,0),FALSE)</f>
        <v>0.78</v>
      </c>
      <c r="G11" s="34">
        <f>VLOOKUP($B11,坦克属性统计!$B$3:$AY$33,MATCH(G$7,坦克属性统计!$B$3:$AY$3,0),FALSE)</f>
        <v>0.62</v>
      </c>
      <c r="H11" s="34">
        <f>VLOOKUP($B11,坦克属性统计!$B$3:$AY$33,MATCH(H$7,坦克属性统计!$B$3:$AY$3,0),FALSE)</f>
        <v>0.8</v>
      </c>
      <c r="I11" s="34">
        <f>VLOOKUP($B11,坦克属性统计!$B$3:$AY$33,MATCH(I$7,坦克属性统计!$B$3:$AY$3,0),FALSE)</f>
        <v>1.2</v>
      </c>
      <c r="J11" s="34">
        <f>VLOOKUP($B11,坦克属性统计!$B$3:$AY$33,MATCH(J$7,坦克属性统计!$B$3:$AY$3,0),FALSE)</f>
        <v>42.4</v>
      </c>
      <c r="K11" s="34">
        <f>VLOOKUP($B11,坦克属性统计!$B$3:$AY$33,MATCH(K$7,坦克属性统计!$B$3:$AY$3,0),FALSE)</f>
        <v>50</v>
      </c>
      <c r="L11" s="34">
        <f>VLOOKUP($B11,坦克属性统计!$B$3:$AY$33,MATCH(L$7,坦克属性统计!$B$3:$AY$3,0),FALSE)</f>
        <v>10</v>
      </c>
      <c r="M11" s="33">
        <f>VLOOKUP($B11,坦克属性统计!$B$3:$AY$33,MATCH(M$7,坦克属性统计!$B$3:$AY$3,0),FALSE)</f>
        <v>9</v>
      </c>
      <c r="N11" s="34">
        <f>VLOOKUP($B11,坦克属性统计!$B$3:$AY$33,MATCH(N$7,坦克属性统计!$B$3:$AY$3,0),FALSE)</f>
        <v>0</v>
      </c>
      <c r="O11" s="34">
        <f>VLOOKUP($B11,坦克属性统计!$B$3:$AY$33,MATCH(O$7,坦克属性统计!$B$3:$AY$3,0),FALSE)</f>
        <v>6.3</v>
      </c>
      <c r="P11" s="34">
        <f>VLOOKUP($B11,坦克属性统计!$B$3:$AY$33,MATCH(P$7,坦克属性统计!$B$3:$AY$3,0),FALSE)</f>
        <v>0.51666666666666672</v>
      </c>
      <c r="Q11" s="42">
        <f ca="1">VLOOKUP($B11,坦克属性统计!$B$3:$AY$33,MATCH(Q$7,坦克属性统计!$B$3:$AY$3,0),FALSE)*(1+W11/Z11)</f>
        <v>1204</v>
      </c>
      <c r="R11" s="42">
        <f ca="1">VLOOKUP($B11,坦克属性统计!$B$3:$AY$33,MATCH(R$7,坦克属性统计!$B$3:$AY$3,0),FALSE)*(1+X11/AA11)</f>
        <v>101</v>
      </c>
      <c r="S11" s="33">
        <f ca="1">VLOOKUP($B11,坦克属性统计!$B$3:$AY$33,MATCH(S$7,坦克属性统计!$B$3:$AY$3,0),FALSE)</f>
        <v>486</v>
      </c>
      <c r="T11" s="33">
        <f ca="1">VLOOKUP($B11,坦克属性统计!$B$3:$AY$33,MATCH(T$7,坦克属性统计!$B$3:$AY$3,0),FALSE)</f>
        <v>340</v>
      </c>
      <c r="U11" s="42">
        <f ca="1">VLOOKUP($B11,坦克属性统计!$B$3:$AY$33,MATCH(U$7,坦克属性统计!$B$3:$AY$3,0),FALSE)*(1+Y11/AB11)</f>
        <v>444</v>
      </c>
      <c r="V11" s="33">
        <f ca="1">VLOOKUP($B11,坦克属性统计!$B$3:$AY$33,MATCH(V$7,坦克属性统计!$B$3:$AY$3,0),FALSE)</f>
        <v>118</v>
      </c>
      <c r="W11" s="33">
        <f>VLOOKUP($B11,坦克属性统计!$B$3:$AY$33,MATCH(W$7,坦克属性统计!$B$3:$AY$3,0),FALSE)</f>
        <v>0</v>
      </c>
      <c r="X11" s="33">
        <f>VLOOKUP($B11,坦克属性统计!$B$3:$AY$33,MATCH(X$7,坦克属性统计!$B$3:$AY$3,0),FALSE)</f>
        <v>0</v>
      </c>
      <c r="Y11" s="33">
        <f>VLOOKUP($B11,坦克属性统计!$B$3:$AY$33,MATCH(Y$7,坦克属性统计!$B$3:$AY$3,0),FALSE)</f>
        <v>0</v>
      </c>
      <c r="Z11" s="33">
        <f>VLOOKUP(B11,坦克部件!$AL$3:$AS$33,MATCH("基础系数",坦克部件!$AL$3:$AS$3,0),FALSE)</f>
        <v>3600</v>
      </c>
      <c r="AA11" s="33">
        <f t="shared" si="1"/>
        <v>3600</v>
      </c>
      <c r="AB11" s="33">
        <f t="shared" si="1"/>
        <v>3600</v>
      </c>
      <c r="AC11" s="34">
        <f t="shared" si="9"/>
        <v>75.531645569620252</v>
      </c>
      <c r="AD11" s="34" t="s">
        <v>619</v>
      </c>
      <c r="AE11" s="133"/>
      <c r="AF11" s="42">
        <f t="shared" ca="1" si="10"/>
        <v>1605.4417891755168</v>
      </c>
      <c r="AG11" s="42">
        <f t="shared" ca="1" si="11"/>
        <v>7628.6962025316452</v>
      </c>
      <c r="AI11" s="1">
        <f t="shared" ca="1" si="12"/>
        <v>9184950.2278481014</v>
      </c>
      <c r="AJ11" s="1">
        <f t="shared" ca="1" si="13"/>
        <v>183372</v>
      </c>
      <c r="AK11" s="1">
        <f t="shared" ca="1" si="14"/>
        <v>50.089164255437588</v>
      </c>
      <c r="AL11" s="1">
        <f t="shared" ca="1" si="15"/>
        <v>45924.751139240507</v>
      </c>
      <c r="AM11" s="1">
        <f t="shared" ca="1" si="16"/>
        <v>4788.4940340282401</v>
      </c>
      <c r="AN11" s="1">
        <f t="shared" ca="1" si="17"/>
        <v>428.21956984705872</v>
      </c>
      <c r="AQ11" s="1" t="s">
        <v>619</v>
      </c>
      <c r="AR11" s="134">
        <f t="shared" ca="1" si="2"/>
        <v>1605.4417891755168</v>
      </c>
      <c r="AS11" s="134">
        <f t="shared" ca="1" si="3"/>
        <v>1437.8112473732162</v>
      </c>
      <c r="AT11" s="134">
        <f t="shared" ca="1" si="4"/>
        <v>1749.3529685929989</v>
      </c>
      <c r="AU11" s="134">
        <f t="shared" ca="1" si="5"/>
        <v>1597.535335047244</v>
      </c>
      <c r="AW11" s="1">
        <f t="shared" ca="1" si="6"/>
        <v>1.0049999999999999</v>
      </c>
      <c r="AX11" s="1">
        <f t="shared" ca="1" si="7"/>
        <v>0.9</v>
      </c>
      <c r="AY11" s="1">
        <f t="shared" ca="1" si="8"/>
        <v>1.095</v>
      </c>
    </row>
    <row r="12" spans="2:51" x14ac:dyDescent="0.3">
      <c r="B12" s="2" t="str">
        <f>坦克个性化细分!I8</f>
        <v>十字军</v>
      </c>
      <c r="C12" s="29" t="str">
        <f>VLOOKUP(B12,坦克个性化设定!$B$18:$F$48,5,FALSE)</f>
        <v>轻坦弹夹</v>
      </c>
      <c r="D12" s="2" t="str">
        <f>坦克个性化细分!J8</f>
        <v>中</v>
      </c>
      <c r="E12" s="2" t="str">
        <f t="shared" si="0"/>
        <v>十字军中</v>
      </c>
      <c r="F12" s="34">
        <f>VLOOKUP($B12,坦克属性统计!$B$3:$AY$33,MATCH(F$7,坦克属性统计!$B$3:$AY$3,0),FALSE)</f>
        <v>0.82</v>
      </c>
      <c r="G12" s="34">
        <f>VLOOKUP($B12,坦克属性统计!$B$3:$AY$33,MATCH(G$7,坦克属性统计!$B$3:$AY$3,0),FALSE)</f>
        <v>0.5</v>
      </c>
      <c r="H12" s="34">
        <f>VLOOKUP($B12,坦克属性统计!$B$3:$AY$33,MATCH(H$7,坦克属性统计!$B$3:$AY$3,0),FALSE)</f>
        <v>0.60000000000000009</v>
      </c>
      <c r="I12" s="34">
        <f>VLOOKUP($B12,坦克属性统计!$B$3:$AY$33,MATCH(I$7,坦克属性统计!$B$3:$AY$3,0),FALSE)</f>
        <v>1.2</v>
      </c>
      <c r="J12" s="34">
        <f>VLOOKUP($B12,坦克属性统计!$B$3:$AY$33,MATCH(J$7,坦克属性统计!$B$3:$AY$3,0),FALSE)</f>
        <v>48.1</v>
      </c>
      <c r="K12" s="34">
        <f>VLOOKUP($B12,坦克属性统计!$B$3:$AY$33,MATCH(K$7,坦克属性统计!$B$3:$AY$3,0),FALSE)</f>
        <v>45.9</v>
      </c>
      <c r="L12" s="34">
        <f>VLOOKUP($B12,坦克属性统计!$B$3:$AY$33,MATCH(L$7,坦克属性统计!$B$3:$AY$3,0),FALSE)</f>
        <v>10.7</v>
      </c>
      <c r="M12" s="33">
        <f>VLOOKUP($B12,坦克属性统计!$B$3:$AY$33,MATCH(M$7,坦克属性统计!$B$3:$AY$3,0),FALSE)</f>
        <v>12</v>
      </c>
      <c r="N12" s="34">
        <f>VLOOKUP($B12,坦克属性统计!$B$3:$AY$33,MATCH(N$7,坦克属性统计!$B$3:$AY$3,0),FALSE)</f>
        <v>0</v>
      </c>
      <c r="O12" s="34">
        <f>VLOOKUP($B12,坦克属性统计!$B$3:$AY$33,MATCH(O$7,坦克属性统计!$B$3:$AY$3,0),FALSE)</f>
        <v>8.3999999999999986</v>
      </c>
      <c r="P12" s="34">
        <f>VLOOKUP($B12,坦克属性统计!$B$3:$AY$33,MATCH(P$7,坦克属性统计!$B$3:$AY$3,0),FALSE)</f>
        <v>0.41666666666666669</v>
      </c>
      <c r="Q12" s="42">
        <f ca="1">VLOOKUP($B12,坦克属性统计!$B$3:$AY$33,MATCH(Q$7,坦克属性统计!$B$3:$AY$3,0),FALSE)*(1+W12/Z12)</f>
        <v>1264</v>
      </c>
      <c r="R12" s="42">
        <f ca="1">VLOOKUP($B12,坦克属性统计!$B$3:$AY$33,MATCH(R$7,坦克属性统计!$B$3:$AY$3,0),FALSE)*(1+X12/AA12)</f>
        <v>71</v>
      </c>
      <c r="S12" s="33">
        <f ca="1">VLOOKUP($B12,坦克属性统计!$B$3:$AY$33,MATCH(S$7,坦克属性统计!$B$3:$AY$3,0),FALSE)</f>
        <v>506</v>
      </c>
      <c r="T12" s="33">
        <f ca="1">VLOOKUP($B12,坦克属性统计!$B$3:$AY$33,MATCH(T$7,坦克属性统计!$B$3:$AY$3,0),FALSE)</f>
        <v>354</v>
      </c>
      <c r="U12" s="42">
        <f ca="1">VLOOKUP($B12,坦克属性统计!$B$3:$AY$33,MATCH(U$7,坦克属性统计!$B$3:$AY$3,0),FALSE)*(1+Y12/AB12)</f>
        <v>462</v>
      </c>
      <c r="V12" s="33">
        <f ca="1">VLOOKUP($B12,坦克属性统计!$B$3:$AY$33,MATCH(V$7,坦克属性统计!$B$3:$AY$3,0),FALSE)</f>
        <v>123</v>
      </c>
      <c r="W12" s="33">
        <f>VLOOKUP($B12,坦克属性统计!$B$3:$AY$33,MATCH(W$7,坦克属性统计!$B$3:$AY$3,0),FALSE)</f>
        <v>0</v>
      </c>
      <c r="X12" s="33">
        <f>VLOOKUP($B12,坦克属性统计!$B$3:$AY$33,MATCH(X$7,坦克属性统计!$B$3:$AY$3,0),FALSE)</f>
        <v>0</v>
      </c>
      <c r="Y12" s="33">
        <f>VLOOKUP($B12,坦克属性统计!$B$3:$AY$33,MATCH(Y$7,坦克属性统计!$B$3:$AY$3,0),FALSE)</f>
        <v>0</v>
      </c>
      <c r="Z12" s="33">
        <f>VLOOKUP(B12,坦克部件!$AL$3:$AS$33,MATCH("基础系数",坦克部件!$AL$3:$AS$3,0),FALSE)</f>
        <v>3600</v>
      </c>
      <c r="AA12" s="33">
        <f t="shared" si="1"/>
        <v>3600</v>
      </c>
      <c r="AB12" s="33">
        <f t="shared" si="1"/>
        <v>3600</v>
      </c>
      <c r="AC12" s="34">
        <f t="shared" si="9"/>
        <v>80.47058823529413</v>
      </c>
      <c r="AD12" s="34" t="s">
        <v>619</v>
      </c>
      <c r="AE12" s="133"/>
      <c r="AF12" s="42">
        <f t="shared" ca="1" si="10"/>
        <v>1520.8465383789662</v>
      </c>
      <c r="AG12" s="42">
        <f t="shared" ca="1" si="11"/>
        <v>5713.4117647058829</v>
      </c>
      <c r="AI12" s="1">
        <f t="shared" ca="1" si="12"/>
        <v>7221752.4705882361</v>
      </c>
      <c r="AJ12" s="1">
        <f t="shared" ca="1" si="13"/>
        <v>198660</v>
      </c>
      <c r="AK12" s="1">
        <f t="shared" ca="1" si="14"/>
        <v>36.352322916481604</v>
      </c>
      <c r="AL12" s="1">
        <f t="shared" ca="1" si="15"/>
        <v>36108.762352941179</v>
      </c>
      <c r="AM12" s="1">
        <f t="shared" ca="1" si="16"/>
        <v>4845.2942361939295</v>
      </c>
      <c r="AN12" s="1">
        <f t="shared" ca="1" si="17"/>
        <v>445.71291208579544</v>
      </c>
      <c r="AQ12" s="1" t="s">
        <v>619</v>
      </c>
      <c r="AR12" s="134">
        <f t="shared" ca="1" si="2"/>
        <v>1520.8465383789662</v>
      </c>
      <c r="AS12" s="134">
        <f t="shared" ca="1" si="3"/>
        <v>1584.7636753957543</v>
      </c>
      <c r="AT12" s="134">
        <f t="shared" ca="1" si="4"/>
        <v>1846.1738161493915</v>
      </c>
      <c r="AU12" s="134">
        <f t="shared" ca="1" si="5"/>
        <v>1650.5946766413706</v>
      </c>
      <c r="AW12" s="1">
        <f t="shared" ca="1" si="6"/>
        <v>0.92100000000000004</v>
      </c>
      <c r="AX12" s="1">
        <f t="shared" ca="1" si="7"/>
        <v>0.96</v>
      </c>
      <c r="AY12" s="1">
        <f t="shared" ca="1" si="8"/>
        <v>1.1180000000000001</v>
      </c>
    </row>
    <row r="13" spans="2:51" x14ac:dyDescent="0.3">
      <c r="B13" s="2" t="str">
        <f>坦克个性化细分!I9</f>
        <v>AMX-13</v>
      </c>
      <c r="C13" s="29" t="str">
        <f>VLOOKUP(B13,坦克个性化设定!$B$18:$F$48,5,FALSE)</f>
        <v>轻坦弹夹</v>
      </c>
      <c r="D13" s="2" t="str">
        <f>坦克个性化细分!J9</f>
        <v>高</v>
      </c>
      <c r="E13" s="2" t="str">
        <f t="shared" si="0"/>
        <v>AMX-13高</v>
      </c>
      <c r="F13" s="34">
        <f>VLOOKUP($B13,坦克属性统计!$B$3:$AY$33,MATCH(F$7,坦克属性统计!$B$3:$AY$3,0),FALSE)</f>
        <v>0.7</v>
      </c>
      <c r="G13" s="34">
        <f>VLOOKUP($B13,坦克属性统计!$B$3:$AY$33,MATCH(G$7,坦克属性统计!$B$3:$AY$3,0),FALSE)</f>
        <v>0.62</v>
      </c>
      <c r="H13" s="34">
        <f>VLOOKUP($B13,坦克属性统计!$B$3:$AY$33,MATCH(H$7,坦克属性统计!$B$3:$AY$3,0),FALSE)</f>
        <v>0.8</v>
      </c>
      <c r="I13" s="34">
        <f>VLOOKUP($B13,坦克属性统计!$B$3:$AY$33,MATCH(I$7,坦克属性统计!$B$3:$AY$3,0),FALSE)</f>
        <v>1.2</v>
      </c>
      <c r="J13" s="34">
        <f>VLOOKUP($B13,坦克属性统计!$B$3:$AY$33,MATCH(J$7,坦克属性统计!$B$3:$AY$3,0),FALSE)</f>
        <v>39.6</v>
      </c>
      <c r="K13" s="34">
        <f>VLOOKUP($B13,坦克属性统计!$B$3:$AY$33,MATCH(K$7,坦克属性统计!$B$3:$AY$3,0),FALSE)</f>
        <v>59.1</v>
      </c>
      <c r="L13" s="34">
        <f>VLOOKUP($B13,坦克属性统计!$B$3:$AY$33,MATCH(L$7,坦克属性统计!$B$3:$AY$3,0),FALSE)</f>
        <v>9.9</v>
      </c>
      <c r="M13" s="33">
        <f>VLOOKUP($B13,坦克属性统计!$B$3:$AY$33,MATCH(M$7,坦克属性统计!$B$3:$AY$3,0),FALSE)</f>
        <v>9</v>
      </c>
      <c r="N13" s="34">
        <f>VLOOKUP($B13,坦克属性统计!$B$3:$AY$33,MATCH(N$7,坦克属性统计!$B$3:$AY$3,0),FALSE)</f>
        <v>0</v>
      </c>
      <c r="O13" s="34">
        <f>VLOOKUP($B13,坦克属性统计!$B$3:$AY$33,MATCH(O$7,坦克属性统计!$B$3:$AY$3,0),FALSE)</f>
        <v>6.3</v>
      </c>
      <c r="P13" s="34">
        <f>VLOOKUP($B13,坦克属性统计!$B$3:$AY$33,MATCH(P$7,坦克属性统计!$B$3:$AY$3,0),FALSE)</f>
        <v>0.51666666666666672</v>
      </c>
      <c r="Q13" s="42">
        <f ca="1">VLOOKUP($B13,坦克属性统计!$B$3:$AY$33,MATCH(Q$7,坦克属性统计!$B$3:$AY$3,0),FALSE)*(1+W13/Z13)</f>
        <v>1168</v>
      </c>
      <c r="R13" s="42">
        <f ca="1">VLOOKUP($B13,坦克属性统计!$B$3:$AY$33,MATCH(R$7,坦克属性统计!$B$3:$AY$3,0),FALSE)*(1+X13/AA13)</f>
        <v>95</v>
      </c>
      <c r="S13" s="33">
        <f ca="1">VLOOKUP($B13,坦克属性统计!$B$3:$AY$33,MATCH(S$7,坦克属性统计!$B$3:$AY$3,0),FALSE)</f>
        <v>506</v>
      </c>
      <c r="T13" s="33">
        <f ca="1">VLOOKUP($B13,坦克属性统计!$B$3:$AY$33,MATCH(T$7,坦克属性统计!$B$3:$AY$3,0),FALSE)</f>
        <v>354</v>
      </c>
      <c r="U13" s="42">
        <f ca="1">VLOOKUP($B13,坦克属性统计!$B$3:$AY$33,MATCH(U$7,坦克属性统计!$B$3:$AY$3,0),FALSE)*(1+Y13/AB13)</f>
        <v>462</v>
      </c>
      <c r="V13" s="33">
        <f ca="1">VLOOKUP($B13,坦克属性统计!$B$3:$AY$33,MATCH(V$7,坦克属性统计!$B$3:$AY$3,0),FALSE)</f>
        <v>123</v>
      </c>
      <c r="W13" s="33">
        <f>VLOOKUP($B13,坦克属性统计!$B$3:$AY$33,MATCH(W$7,坦克属性统计!$B$3:$AY$3,0),FALSE)</f>
        <v>0</v>
      </c>
      <c r="X13" s="33">
        <f>VLOOKUP($B13,坦克属性统计!$B$3:$AY$33,MATCH(X$7,坦克属性统计!$B$3:$AY$3,0),FALSE)</f>
        <v>0</v>
      </c>
      <c r="Y13" s="33">
        <f>VLOOKUP($B13,坦克属性统计!$B$3:$AY$33,MATCH(Y$7,坦克属性统计!$B$3:$AY$3,0),FALSE)</f>
        <v>0</v>
      </c>
      <c r="Z13" s="33">
        <f>VLOOKUP(B13,坦克部件!$AL$3:$AS$33,MATCH("基础系数",坦克部件!$AL$3:$AS$3,0),FALSE)</f>
        <v>3600</v>
      </c>
      <c r="AA13" s="33">
        <f t="shared" si="1"/>
        <v>3600</v>
      </c>
      <c r="AB13" s="33">
        <f t="shared" si="1"/>
        <v>3600</v>
      </c>
      <c r="AC13" s="34">
        <f t="shared" si="9"/>
        <v>75.531645569620252</v>
      </c>
      <c r="AD13" s="34" t="s">
        <v>619</v>
      </c>
      <c r="AE13" s="133"/>
      <c r="AF13" s="42">
        <f t="shared" ca="1" si="10"/>
        <v>1599.2107933181196</v>
      </c>
      <c r="AG13" s="42">
        <f t="shared" ca="1" si="11"/>
        <v>7175.506329113924</v>
      </c>
      <c r="AI13" s="1">
        <f t="shared" ca="1" si="12"/>
        <v>8380991.3924050629</v>
      </c>
      <c r="AJ13" s="1">
        <f t="shared" ca="1" si="13"/>
        <v>198660</v>
      </c>
      <c r="AK13" s="1">
        <f t="shared" ca="1" si="14"/>
        <v>42.187613975662252</v>
      </c>
      <c r="AL13" s="1">
        <f t="shared" ca="1" si="15"/>
        <v>41904.956962025317</v>
      </c>
      <c r="AM13" s="1">
        <f t="shared" ca="1" si="16"/>
        <v>4904.7421640900284</v>
      </c>
      <c r="AN13" s="1">
        <f t="shared" ca="1" si="17"/>
        <v>445.71291208579544</v>
      </c>
      <c r="AQ13" s="1" t="s">
        <v>619</v>
      </c>
      <c r="AR13" s="134">
        <f t="shared" ca="1" si="2"/>
        <v>1599.2107933181196</v>
      </c>
      <c r="AS13" s="134">
        <f t="shared" ca="1" si="3"/>
        <v>1543.0341976295188</v>
      </c>
      <c r="AT13" s="134">
        <f t="shared" ca="1" si="4"/>
        <v>1827.5414468907661</v>
      </c>
      <c r="AU13" s="134">
        <f t="shared" ca="1" si="5"/>
        <v>1656.595479279468</v>
      </c>
      <c r="AW13" s="1">
        <f t="shared" ca="1" si="6"/>
        <v>0.96499999999999997</v>
      </c>
      <c r="AX13" s="1">
        <f t="shared" ca="1" si="7"/>
        <v>0.93100000000000005</v>
      </c>
      <c r="AY13" s="1">
        <f t="shared" ca="1" si="8"/>
        <v>1.103</v>
      </c>
    </row>
    <row r="14" spans="2:51" x14ac:dyDescent="0.3">
      <c r="B14" s="2" t="str">
        <f>坦克个性化细分!I10</f>
        <v>霞飞</v>
      </c>
      <c r="C14" s="29" t="str">
        <f>VLOOKUP(B14,坦克个性化设定!$B$18:$F$48,5,FALSE)</f>
        <v>轻坦弹夹</v>
      </c>
      <c r="D14" s="2" t="str">
        <f>坦克个性化细分!J10</f>
        <v>低</v>
      </c>
      <c r="E14" s="2" t="str">
        <f t="shared" si="0"/>
        <v>霞飞低</v>
      </c>
      <c r="F14" s="34">
        <f>VLOOKUP($B14,坦克属性统计!$B$3:$AY$33,MATCH(F$7,坦克属性统计!$B$3:$AY$3,0),FALSE)</f>
        <v>0.82</v>
      </c>
      <c r="G14" s="34">
        <f>VLOOKUP($B14,坦克属性统计!$B$3:$AY$33,MATCH(G$7,坦克属性统计!$B$3:$AY$3,0),FALSE)</f>
        <v>0.54</v>
      </c>
      <c r="H14" s="34">
        <f>VLOOKUP($B14,坦克属性统计!$B$3:$AY$33,MATCH(H$7,坦克属性统计!$B$3:$AY$3,0),FALSE)</f>
        <v>0.60000000000000009</v>
      </c>
      <c r="I14" s="34">
        <f>VLOOKUP($B14,坦克属性统计!$B$3:$AY$33,MATCH(I$7,坦克属性统计!$B$3:$AY$3,0),FALSE)</f>
        <v>1.2</v>
      </c>
      <c r="J14" s="34">
        <f>VLOOKUP($B14,坦克属性统计!$B$3:$AY$33,MATCH(J$7,坦克属性统计!$B$3:$AY$3,0),FALSE)</f>
        <v>42.4</v>
      </c>
      <c r="K14" s="34">
        <f>VLOOKUP($B14,坦克属性统计!$B$3:$AY$33,MATCH(K$7,坦克属性统计!$B$3:$AY$3,0),FALSE)</f>
        <v>50</v>
      </c>
      <c r="L14" s="34">
        <f>VLOOKUP($B14,坦克属性统计!$B$3:$AY$33,MATCH(L$7,坦克属性统计!$B$3:$AY$3,0),FALSE)</f>
        <v>10</v>
      </c>
      <c r="M14" s="33">
        <f>VLOOKUP($B14,坦克属性统计!$B$3:$AY$33,MATCH(M$7,坦克属性统计!$B$3:$AY$3,0),FALSE)</f>
        <v>9</v>
      </c>
      <c r="N14" s="34">
        <f>VLOOKUP($B14,坦克属性统计!$B$3:$AY$33,MATCH(N$7,坦克属性统计!$B$3:$AY$3,0),FALSE)</f>
        <v>0</v>
      </c>
      <c r="O14" s="34">
        <f>VLOOKUP($B14,坦克属性统计!$B$3:$AY$33,MATCH(O$7,坦克属性统计!$B$3:$AY$3,0),FALSE)</f>
        <v>6.3</v>
      </c>
      <c r="P14" s="34">
        <f>VLOOKUP($B14,坦克属性统计!$B$3:$AY$33,MATCH(P$7,坦克属性统计!$B$3:$AY$3,0),FALSE)</f>
        <v>0.45000000000000007</v>
      </c>
      <c r="Q14" s="42">
        <f ca="1">VLOOKUP($B14,坦克属性统计!$B$3:$AY$33,MATCH(Q$7,坦克属性统计!$B$3:$AY$3,0),FALSE)*(1+W14/Z14)</f>
        <v>1467</v>
      </c>
      <c r="R14" s="42">
        <f ca="1">VLOOKUP($B14,坦克属性统计!$B$3:$AY$33,MATCH(R$7,坦克属性统计!$B$3:$AY$3,0),FALSE)*(1+X14/AA14)</f>
        <v>102</v>
      </c>
      <c r="S14" s="33">
        <f ca="1">VLOOKUP($B14,坦克属性统计!$B$3:$AY$33,MATCH(S$7,坦克属性统计!$B$3:$AY$3,0),FALSE)</f>
        <v>631</v>
      </c>
      <c r="T14" s="33">
        <f ca="1">VLOOKUP($B14,坦克属性统计!$B$3:$AY$33,MATCH(T$7,坦克属性统计!$B$3:$AY$3,0),FALSE)</f>
        <v>442</v>
      </c>
      <c r="U14" s="42">
        <f ca="1">VLOOKUP($B14,坦克属性统计!$B$3:$AY$33,MATCH(U$7,坦克属性统计!$B$3:$AY$3,0),FALSE)*(1+Y14/AB14)</f>
        <v>576</v>
      </c>
      <c r="V14" s="33">
        <f ca="1">VLOOKUP($B14,坦克属性统计!$B$3:$AY$33,MATCH(V$7,坦克属性统计!$B$3:$AY$3,0),FALSE)</f>
        <v>154</v>
      </c>
      <c r="W14" s="33">
        <f>VLOOKUP($B14,坦克属性统计!$B$3:$AY$33,MATCH(W$7,坦克属性统计!$B$3:$AY$3,0),FALSE)</f>
        <v>0</v>
      </c>
      <c r="X14" s="33">
        <f>VLOOKUP($B14,坦克属性统计!$B$3:$AY$33,MATCH(X$7,坦克属性统计!$B$3:$AY$3,0),FALSE)</f>
        <v>0</v>
      </c>
      <c r="Y14" s="33">
        <f>VLOOKUP($B14,坦克属性统计!$B$3:$AY$33,MATCH(Y$7,坦克属性统计!$B$3:$AY$3,0),FALSE)</f>
        <v>0</v>
      </c>
      <c r="Z14" s="33">
        <f>VLOOKUP(B14,坦克部件!$AL$3:$AS$33,MATCH("基础系数",坦克部件!$AL$3:$AS$3,0),FALSE)</f>
        <v>4300</v>
      </c>
      <c r="AA14" s="33">
        <f t="shared" si="1"/>
        <v>4300</v>
      </c>
      <c r="AB14" s="33">
        <f t="shared" si="1"/>
        <v>4300</v>
      </c>
      <c r="AC14" s="34">
        <f t="shared" si="9"/>
        <v>79.56</v>
      </c>
      <c r="AD14" s="34" t="s">
        <v>626</v>
      </c>
      <c r="AE14" s="133"/>
      <c r="AF14" s="42">
        <f t="shared" ca="1" si="10"/>
        <v>2089.8293518871078</v>
      </c>
      <c r="AG14" s="42">
        <f t="shared" ca="1" si="11"/>
        <v>8115.12</v>
      </c>
      <c r="AI14" s="1">
        <f t="shared" ca="1" si="12"/>
        <v>11904881.040000001</v>
      </c>
      <c r="AJ14" s="1">
        <f t="shared" ca="1" si="13"/>
        <v>309024</v>
      </c>
      <c r="AK14" s="1">
        <f t="shared" ca="1" si="14"/>
        <v>38.524130941286117</v>
      </c>
      <c r="AL14" s="1">
        <f t="shared" ca="1" si="15"/>
        <v>59524.405200000008</v>
      </c>
      <c r="AM14" s="1">
        <f t="shared" ca="1" si="16"/>
        <v>6070.8187685023186</v>
      </c>
      <c r="AN14" s="1">
        <f t="shared" ca="1" si="17"/>
        <v>555.89927145122249</v>
      </c>
      <c r="AQ14" s="1" t="s">
        <v>626</v>
      </c>
      <c r="AR14" s="134">
        <f t="shared" ca="1" si="2"/>
        <v>2089.8293518871078</v>
      </c>
      <c r="AS14" s="134">
        <f t="shared" ca="1" si="3"/>
        <v>2114.1947932786011</v>
      </c>
      <c r="AT14" s="134">
        <f t="shared" ca="1" si="4"/>
        <v>2485.8644800387483</v>
      </c>
      <c r="AU14" s="134">
        <f t="shared" ca="1" si="5"/>
        <v>2229.9628750681527</v>
      </c>
      <c r="AW14" s="1">
        <f t="shared" ca="1" si="6"/>
        <v>0.93700000000000006</v>
      </c>
      <c r="AX14" s="1">
        <f t="shared" ca="1" si="7"/>
        <v>0.94799999999999995</v>
      </c>
      <c r="AY14" s="1">
        <f t="shared" ca="1" si="8"/>
        <v>1.115</v>
      </c>
    </row>
    <row r="15" spans="2:51" x14ac:dyDescent="0.3">
      <c r="B15" s="2" t="str">
        <f>坦克个性化细分!I11</f>
        <v>M-41</v>
      </c>
      <c r="C15" s="29" t="str">
        <f>VLOOKUP(B15,坦克个性化设定!$B$18:$F$48,5,FALSE)</f>
        <v>轻坦弹夹</v>
      </c>
      <c r="D15" s="2" t="str">
        <f>坦克个性化细分!J11</f>
        <v>中</v>
      </c>
      <c r="E15" s="2" t="str">
        <f t="shared" si="0"/>
        <v>M-41中</v>
      </c>
      <c r="F15" s="34">
        <f>VLOOKUP($B15,坦克属性统计!$B$3:$AY$33,MATCH(F$7,坦克属性统计!$B$3:$AY$3,0),FALSE)</f>
        <v>0.74</v>
      </c>
      <c r="G15" s="34">
        <f>VLOOKUP($B15,坦克属性统计!$B$3:$AY$33,MATCH(G$7,坦克属性统计!$B$3:$AY$3,0),FALSE)</f>
        <v>0.59</v>
      </c>
      <c r="H15" s="34">
        <f>VLOOKUP($B15,坦克属性统计!$B$3:$AY$33,MATCH(H$7,坦克属性统计!$B$3:$AY$3,0),FALSE)</f>
        <v>0.8</v>
      </c>
      <c r="I15" s="34">
        <f>VLOOKUP($B15,坦克属性统计!$B$3:$AY$33,MATCH(I$7,坦克属性统计!$B$3:$AY$3,0),FALSE)</f>
        <v>1.2</v>
      </c>
      <c r="J15" s="34">
        <f>VLOOKUP($B15,坦克属性统计!$B$3:$AY$33,MATCH(J$7,坦克属性统计!$B$3:$AY$3,0),FALSE)</f>
        <v>38.5</v>
      </c>
      <c r="K15" s="34">
        <f>VLOOKUP($B15,坦克属性统计!$B$3:$AY$33,MATCH(K$7,坦克属性统计!$B$3:$AY$3,0),FALSE)</f>
        <v>57.4</v>
      </c>
      <c r="L15" s="34">
        <f>VLOOKUP($B15,坦克属性统计!$B$3:$AY$33,MATCH(L$7,坦克属性统计!$B$3:$AY$3,0),FALSE)</f>
        <v>9.6</v>
      </c>
      <c r="M15" s="33">
        <f>VLOOKUP($B15,坦克属性统计!$B$3:$AY$33,MATCH(M$7,坦克属性统计!$B$3:$AY$3,0),FALSE)</f>
        <v>12</v>
      </c>
      <c r="N15" s="34">
        <f>VLOOKUP($B15,坦克属性统计!$B$3:$AY$33,MATCH(N$7,坦克属性统计!$B$3:$AY$3,0),FALSE)</f>
        <v>0</v>
      </c>
      <c r="O15" s="34">
        <f>VLOOKUP($B15,坦克属性统计!$B$3:$AY$33,MATCH(O$7,坦克属性统计!$B$3:$AY$3,0),FALSE)</f>
        <v>8.3999999999999986</v>
      </c>
      <c r="P15" s="34">
        <f>VLOOKUP($B15,坦克属性统计!$B$3:$AY$33,MATCH(P$7,坦克属性统计!$B$3:$AY$3,0),FALSE)</f>
        <v>0.49166666666666664</v>
      </c>
      <c r="Q15" s="42">
        <f ca="1">VLOOKUP($B15,坦克属性统计!$B$3:$AY$33,MATCH(Q$7,坦克属性统计!$B$3:$AY$3,0),FALSE)*(1+W15/Z15)</f>
        <v>1637</v>
      </c>
      <c r="R15" s="42">
        <f ca="1">VLOOKUP($B15,坦克属性统计!$B$3:$AY$33,MATCH(R$7,坦克属性统计!$B$3:$AY$3,0),FALSE)*(1+X15/AA15)</f>
        <v>111</v>
      </c>
      <c r="S15" s="33">
        <f ca="1">VLOOKUP($B15,坦克属性统计!$B$3:$AY$33,MATCH(S$7,坦克属性统计!$B$3:$AY$3,0),FALSE)</f>
        <v>657</v>
      </c>
      <c r="T15" s="33">
        <f ca="1">VLOOKUP($B15,坦克属性统计!$B$3:$AY$33,MATCH(T$7,坦克属性统计!$B$3:$AY$3,0),FALSE)</f>
        <v>460</v>
      </c>
      <c r="U15" s="42">
        <f ca="1">VLOOKUP($B15,坦克属性统计!$B$3:$AY$33,MATCH(U$7,坦克属性统计!$B$3:$AY$3,0),FALSE)*(1+Y15/AB15)</f>
        <v>600</v>
      </c>
      <c r="V15" s="33">
        <f ca="1">VLOOKUP($B15,坦克属性统计!$B$3:$AY$33,MATCH(V$7,坦克属性统计!$B$3:$AY$3,0),FALSE)</f>
        <v>160</v>
      </c>
      <c r="W15" s="33">
        <f>VLOOKUP($B15,坦克属性统计!$B$3:$AY$33,MATCH(W$7,坦克属性统计!$B$3:$AY$3,0),FALSE)</f>
        <v>0</v>
      </c>
      <c r="X15" s="33">
        <f>VLOOKUP($B15,坦克属性统计!$B$3:$AY$33,MATCH(X$7,坦克属性统计!$B$3:$AY$3,0),FALSE)</f>
        <v>0</v>
      </c>
      <c r="Y15" s="33">
        <f>VLOOKUP($B15,坦克属性统计!$B$3:$AY$33,MATCH(Y$7,坦克属性统计!$B$3:$AY$3,0),FALSE)</f>
        <v>0</v>
      </c>
      <c r="Z15" s="33">
        <f>VLOOKUP(B15,坦克部件!$AL$3:$AS$33,MATCH("基础系数",坦克部件!$AL$3:$AS$3,0),FALSE)</f>
        <v>4300</v>
      </c>
      <c r="AA15" s="33">
        <f t="shared" si="1"/>
        <v>4300</v>
      </c>
      <c r="AB15" s="33">
        <f t="shared" si="1"/>
        <v>4300</v>
      </c>
      <c r="AC15" s="34">
        <f t="shared" si="9"/>
        <v>76</v>
      </c>
      <c r="AD15" s="34" t="s">
        <v>626</v>
      </c>
      <c r="AE15" s="133"/>
      <c r="AF15" s="42">
        <f t="shared" ca="1" si="10"/>
        <v>2258.0842286400225</v>
      </c>
      <c r="AG15" s="42">
        <f t="shared" ca="1" si="11"/>
        <v>8436</v>
      </c>
      <c r="AI15" s="1">
        <f t="shared" ca="1" si="12"/>
        <v>13809732</v>
      </c>
      <c r="AJ15" s="1">
        <f t="shared" ca="1" si="13"/>
        <v>335100</v>
      </c>
      <c r="AK15" s="1">
        <f t="shared" ca="1" si="14"/>
        <v>41.210778871978512</v>
      </c>
      <c r="AL15" s="1">
        <f t="shared" ca="1" si="15"/>
        <v>69048.66</v>
      </c>
      <c r="AM15" s="1">
        <f t="shared" ca="1" si="16"/>
        <v>6357.268753167511</v>
      </c>
      <c r="AN15" s="1">
        <f t="shared" ca="1" si="17"/>
        <v>578.8782255362521</v>
      </c>
      <c r="AQ15" s="1" t="s">
        <v>626</v>
      </c>
      <c r="AR15" s="134">
        <f t="shared" ca="1" si="2"/>
        <v>2258.0842286400225</v>
      </c>
      <c r="AS15" s="134">
        <f t="shared" ca="1" si="3"/>
        <v>2149.6294909928106</v>
      </c>
      <c r="AT15" s="134">
        <f t="shared" ca="1" si="4"/>
        <v>2604.5541678116488</v>
      </c>
      <c r="AU15" s="134">
        <f t="shared" ca="1" si="5"/>
        <v>2337.4226291481605</v>
      </c>
      <c r="AW15" s="1">
        <f t="shared" ca="1" si="6"/>
        <v>0.96599999999999997</v>
      </c>
      <c r="AX15" s="1">
        <f t="shared" ca="1" si="7"/>
        <v>0.92</v>
      </c>
      <c r="AY15" s="1">
        <f t="shared" ca="1" si="8"/>
        <v>1.1140000000000001</v>
      </c>
    </row>
    <row r="16" spans="2:51" x14ac:dyDescent="0.3">
      <c r="B16" s="2" t="str">
        <f>坦克个性化细分!I12</f>
        <v>BMP-3</v>
      </c>
      <c r="C16" s="29" t="str">
        <f>VLOOKUP(B16,坦克个性化设定!$B$18:$F$48,5,FALSE)</f>
        <v>轻坦弹夹</v>
      </c>
      <c r="D16" s="2" t="str">
        <f>坦克个性化细分!J12</f>
        <v>高</v>
      </c>
      <c r="E16" s="2" t="str">
        <f t="shared" si="0"/>
        <v>BMP-3高</v>
      </c>
      <c r="F16" s="34">
        <f>VLOOKUP($B16,坦克属性统计!$B$3:$AY$33,MATCH(F$7,坦克属性统计!$B$3:$AY$3,0),FALSE)</f>
        <v>0.78</v>
      </c>
      <c r="G16" s="34">
        <f>VLOOKUP($B16,坦克属性统计!$B$3:$AY$33,MATCH(G$7,坦克属性统计!$B$3:$AY$3,0),FALSE)</f>
        <v>0.69</v>
      </c>
      <c r="H16" s="34">
        <f>VLOOKUP($B16,坦克属性统计!$B$3:$AY$33,MATCH(H$7,坦克属性统计!$B$3:$AY$3,0),FALSE)</f>
        <v>0.8</v>
      </c>
      <c r="I16" s="34">
        <f>VLOOKUP($B16,坦克属性统计!$B$3:$AY$33,MATCH(I$7,坦克属性统计!$B$3:$AY$3,0),FALSE)</f>
        <v>1.2</v>
      </c>
      <c r="J16" s="34">
        <f>VLOOKUP($B16,坦克属性统计!$B$3:$AY$33,MATCH(J$7,坦克属性统计!$B$3:$AY$3,0),FALSE)</f>
        <v>44.5</v>
      </c>
      <c r="K16" s="34">
        <f>VLOOKUP($B16,坦克属性统计!$B$3:$AY$33,MATCH(K$7,坦克属性统计!$B$3:$AY$3,0),FALSE)</f>
        <v>52.5</v>
      </c>
      <c r="L16" s="34">
        <f>VLOOKUP($B16,坦克属性统计!$B$3:$AY$33,MATCH(L$7,坦克属性统计!$B$3:$AY$3,0),FALSE)</f>
        <v>10.5</v>
      </c>
      <c r="M16" s="33">
        <f>VLOOKUP($B16,坦克属性统计!$B$3:$AY$33,MATCH(M$7,坦克属性统计!$B$3:$AY$3,0),FALSE)</f>
        <v>6</v>
      </c>
      <c r="N16" s="34">
        <f>VLOOKUP($B16,坦克属性统计!$B$3:$AY$33,MATCH(N$7,坦克属性统计!$B$3:$AY$3,0),FALSE)</f>
        <v>0</v>
      </c>
      <c r="O16" s="34">
        <f>VLOOKUP($B16,坦克属性统计!$B$3:$AY$33,MATCH(O$7,坦克属性统计!$B$3:$AY$3,0),FALSE)</f>
        <v>4.1999999999999993</v>
      </c>
      <c r="P16" s="34">
        <f>VLOOKUP($B16,坦克属性统计!$B$3:$AY$33,MATCH(P$7,坦克属性统计!$B$3:$AY$3,0),FALSE)</f>
        <v>0.57499999999999996</v>
      </c>
      <c r="Q16" s="42">
        <f ca="1">VLOOKUP($B16,坦克属性统计!$B$3:$AY$33,MATCH(Q$7,坦克属性统计!$B$3:$AY$3,0),FALSE)*(1+W16/Z16)</f>
        <v>1787</v>
      </c>
      <c r="R16" s="42">
        <f ca="1">VLOOKUP($B16,坦克属性统计!$B$3:$AY$33,MATCH(R$7,坦克属性统计!$B$3:$AY$3,0),FALSE)*(1+X16/AA16)</f>
        <v>107</v>
      </c>
      <c r="S16" s="33">
        <f ca="1">VLOOKUP($B16,坦克属性统计!$B$3:$AY$33,MATCH(S$7,坦克属性统计!$B$3:$AY$3,0),FALSE)</f>
        <v>657</v>
      </c>
      <c r="T16" s="33">
        <f ca="1">VLOOKUP($B16,坦克属性统计!$B$3:$AY$33,MATCH(T$7,坦克属性统计!$B$3:$AY$3,0),FALSE)</f>
        <v>460</v>
      </c>
      <c r="U16" s="42">
        <f ca="1">VLOOKUP($B16,坦克属性统计!$B$3:$AY$33,MATCH(U$7,坦克属性统计!$B$3:$AY$3,0),FALSE)*(1+Y16/AB16)</f>
        <v>600</v>
      </c>
      <c r="V16" s="33">
        <f ca="1">VLOOKUP($B16,坦克属性统计!$B$3:$AY$33,MATCH(V$7,坦克属性统计!$B$3:$AY$3,0),FALSE)</f>
        <v>160</v>
      </c>
      <c r="W16" s="33">
        <f>VLOOKUP($B16,坦克属性统计!$B$3:$AY$33,MATCH(W$7,坦克属性统计!$B$3:$AY$3,0),FALSE)</f>
        <v>0</v>
      </c>
      <c r="X16" s="33">
        <f>VLOOKUP($B16,坦克属性统计!$B$3:$AY$33,MATCH(X$7,坦克属性统计!$B$3:$AY$3,0),FALSE)</f>
        <v>0</v>
      </c>
      <c r="Y16" s="33">
        <f>VLOOKUP($B16,坦克属性统计!$B$3:$AY$33,MATCH(Y$7,坦克属性统计!$B$3:$AY$3,0),FALSE)</f>
        <v>0</v>
      </c>
      <c r="Z16" s="33">
        <f>VLOOKUP(B16,坦克部件!$AL$3:$AS$33,MATCH("基础系数",坦克部件!$AL$3:$AS$3,0),FALSE)</f>
        <v>4300</v>
      </c>
      <c r="AA16" s="33">
        <f t="shared" si="1"/>
        <v>4300</v>
      </c>
      <c r="AB16" s="33">
        <f t="shared" si="1"/>
        <v>4300</v>
      </c>
      <c r="AC16" s="34">
        <f t="shared" si="9"/>
        <v>77.04000000000002</v>
      </c>
      <c r="AD16" s="34" t="s">
        <v>626</v>
      </c>
      <c r="AE16" s="133"/>
      <c r="AF16" s="42">
        <f t="shared" ca="1" si="10"/>
        <v>2307.8279001937335</v>
      </c>
      <c r="AG16" s="42">
        <f t="shared" ca="1" si="11"/>
        <v>8243.2800000000025</v>
      </c>
      <c r="AI16" s="1">
        <f t="shared" ca="1" si="12"/>
        <v>14730741.360000003</v>
      </c>
      <c r="AJ16" s="1">
        <f t="shared" ca="1" si="13"/>
        <v>335100</v>
      </c>
      <c r="AK16" s="1">
        <f t="shared" ca="1" si="14"/>
        <v>43.959240107430624</v>
      </c>
      <c r="AL16" s="1">
        <f t="shared" ca="1" si="15"/>
        <v>73653.706800000014</v>
      </c>
      <c r="AM16" s="1">
        <f t="shared" ca="1" si="16"/>
        <v>6393.3849156765154</v>
      </c>
      <c r="AN16" s="1">
        <f t="shared" ca="1" si="17"/>
        <v>578.8782255362521</v>
      </c>
      <c r="AQ16" s="1" t="s">
        <v>626</v>
      </c>
      <c r="AR16" s="134">
        <f t="shared" ca="1" si="2"/>
        <v>2307.8279001937335</v>
      </c>
      <c r="AS16" s="134">
        <f t="shared" ca="1" si="3"/>
        <v>2268.9097519810421</v>
      </c>
      <c r="AT16" s="134">
        <f t="shared" ca="1" si="4"/>
        <v>2628.4201423997761</v>
      </c>
      <c r="AU16" s="134">
        <f t="shared" ca="1" si="5"/>
        <v>2401.719264858184</v>
      </c>
      <c r="AW16" s="1">
        <f t="shared" ca="1" si="6"/>
        <v>0.96099999999999997</v>
      </c>
      <c r="AX16" s="1">
        <f t="shared" ca="1" si="7"/>
        <v>0.94499999999999995</v>
      </c>
      <c r="AY16" s="1">
        <f t="shared" ca="1" si="8"/>
        <v>1.0940000000000001</v>
      </c>
    </row>
    <row r="17" spans="2:51" x14ac:dyDescent="0.3">
      <c r="B17" s="2" t="str">
        <f>坦克个性化细分!I13</f>
        <v>59式</v>
      </c>
      <c r="C17" s="29" t="str">
        <f>VLOOKUP(B17,坦克个性化设定!$B$18:$F$48,5,FALSE)</f>
        <v>轻坦弹夹</v>
      </c>
      <c r="D17" s="2" t="str">
        <f>坦克个性化细分!J13</f>
        <v>低</v>
      </c>
      <c r="E17" s="2" t="str">
        <f t="shared" si="0"/>
        <v>59式低</v>
      </c>
      <c r="F17" s="34">
        <f>VLOOKUP($B17,坦克属性统计!$B$3:$AY$33,MATCH(F$7,坦克属性统计!$B$3:$AY$3,0),FALSE)</f>
        <v>0.7</v>
      </c>
      <c r="G17" s="34">
        <f>VLOOKUP($B17,坦克属性统计!$B$3:$AY$33,MATCH(G$7,坦克属性统计!$B$3:$AY$3,0),FALSE)</f>
        <v>0.62</v>
      </c>
      <c r="H17" s="34">
        <f>VLOOKUP($B17,坦克属性统计!$B$3:$AY$33,MATCH(H$7,坦克属性统计!$B$3:$AY$3,0),FALSE)</f>
        <v>0.8</v>
      </c>
      <c r="I17" s="34">
        <f>VLOOKUP($B17,坦克属性统计!$B$3:$AY$33,MATCH(I$7,坦克属性统计!$B$3:$AY$3,0),FALSE)</f>
        <v>1.2</v>
      </c>
      <c r="J17" s="34">
        <f>VLOOKUP($B17,坦克属性统计!$B$3:$AY$33,MATCH(J$7,坦克属性统计!$B$3:$AY$3,0),FALSE)</f>
        <v>37.700000000000003</v>
      </c>
      <c r="K17" s="34">
        <f>VLOOKUP($B17,坦克属性统计!$B$3:$AY$33,MATCH(K$7,坦克属性统计!$B$3:$AY$3,0),FALSE)</f>
        <v>56.3</v>
      </c>
      <c r="L17" s="34">
        <f>VLOOKUP($B17,坦克属性统计!$B$3:$AY$33,MATCH(L$7,坦克属性统计!$B$3:$AY$3,0),FALSE)</f>
        <v>9.5</v>
      </c>
      <c r="M17" s="33">
        <f>VLOOKUP($B17,坦克属性统计!$B$3:$AY$33,MATCH(M$7,坦克属性统计!$B$3:$AY$3,0),FALSE)</f>
        <v>9</v>
      </c>
      <c r="N17" s="34">
        <f>VLOOKUP($B17,坦克属性统计!$B$3:$AY$33,MATCH(N$7,坦克属性统计!$B$3:$AY$3,0),FALSE)</f>
        <v>0</v>
      </c>
      <c r="O17" s="34">
        <f>VLOOKUP($B17,坦克属性统计!$B$3:$AY$33,MATCH(O$7,坦克属性统计!$B$3:$AY$3,0),FALSE)</f>
        <v>6.3</v>
      </c>
      <c r="P17" s="34">
        <f>VLOOKUP($B17,坦克属性统计!$B$3:$AY$33,MATCH(P$7,坦克属性统计!$B$3:$AY$3,0),FALSE)</f>
        <v>0.51666666666666672</v>
      </c>
      <c r="Q17" s="42">
        <f ca="1">VLOOKUP($B17,坦克属性统计!$B$3:$AY$33,MATCH(Q$7,坦克属性统计!$B$3:$AY$3,0),FALSE)*(1+W17/Z17)</f>
        <v>2126</v>
      </c>
      <c r="R17" s="42">
        <f ca="1">VLOOKUP($B17,坦克属性统计!$B$3:$AY$33,MATCH(R$7,坦克属性统计!$B$3:$AY$3,0),FALSE)*(1+X17/AA17)</f>
        <v>141</v>
      </c>
      <c r="S17" s="33">
        <f ca="1">VLOOKUP($B17,坦克属性统计!$B$3:$AY$33,MATCH(S$7,坦克属性统计!$B$3:$AY$3,0),FALSE)</f>
        <v>828</v>
      </c>
      <c r="T17" s="33">
        <f ca="1">VLOOKUP($B17,坦克属性统计!$B$3:$AY$33,MATCH(T$7,坦克属性统计!$B$3:$AY$3,0),FALSE)</f>
        <v>580</v>
      </c>
      <c r="U17" s="42">
        <f ca="1">VLOOKUP($B17,坦克属性统计!$B$3:$AY$33,MATCH(U$7,坦克属性统计!$B$3:$AY$3,0),FALSE)*(1+Y17/AB17)</f>
        <v>756</v>
      </c>
      <c r="V17" s="33">
        <f ca="1">VLOOKUP($B17,坦克属性统计!$B$3:$AY$33,MATCH(V$7,坦克属性统计!$B$3:$AY$3,0),FALSE)</f>
        <v>202</v>
      </c>
      <c r="W17" s="33">
        <f>VLOOKUP($B17,坦克属性统计!$B$3:$AY$33,MATCH(W$7,坦克属性统计!$B$3:$AY$3,0),FALSE)</f>
        <v>0</v>
      </c>
      <c r="X17" s="33">
        <f>VLOOKUP($B17,坦克属性统计!$B$3:$AY$33,MATCH(X$7,坦克属性统计!$B$3:$AY$3,0),FALSE)</f>
        <v>0</v>
      </c>
      <c r="Y17" s="33">
        <f>VLOOKUP($B17,坦克属性统计!$B$3:$AY$33,MATCH(Y$7,坦克属性统计!$B$3:$AY$3,0),FALSE)</f>
        <v>0</v>
      </c>
      <c r="Z17" s="33">
        <f>VLOOKUP(B17,坦克部件!$AL$3:$AS$33,MATCH("基础系数",坦克部件!$AL$3:$AS$3,0),FALSE)</f>
        <v>5100</v>
      </c>
      <c r="AA17" s="33">
        <f t="shared" si="1"/>
        <v>5100</v>
      </c>
      <c r="AB17" s="33">
        <f t="shared" si="1"/>
        <v>5100</v>
      </c>
      <c r="AC17" s="34">
        <f t="shared" si="9"/>
        <v>75.531645569620252</v>
      </c>
      <c r="AD17" s="34" t="s">
        <v>633</v>
      </c>
      <c r="AE17" s="133"/>
      <c r="AF17" s="42">
        <f t="shared" ca="1" si="10"/>
        <v>3119.038207419921</v>
      </c>
      <c r="AG17" s="42">
        <f t="shared" ca="1" si="11"/>
        <v>10649.962025316456</v>
      </c>
      <c r="AI17" s="1">
        <f t="shared" ca="1" si="12"/>
        <v>22641819.265822783</v>
      </c>
      <c r="AJ17" s="1">
        <f t="shared" ca="1" si="13"/>
        <v>532224</v>
      </c>
      <c r="AK17" s="1">
        <f t="shared" ca="1" si="14"/>
        <v>42.541898271823108</v>
      </c>
      <c r="AL17" s="1">
        <f t="shared" ca="1" si="15"/>
        <v>113209.09632911392</v>
      </c>
      <c r="AM17" s="1">
        <f t="shared" ca="1" si="16"/>
        <v>8033.8850896008835</v>
      </c>
      <c r="AN17" s="1">
        <f t="shared" ca="1" si="17"/>
        <v>729.53683937139181</v>
      </c>
      <c r="AQ17" s="1" t="s">
        <v>633</v>
      </c>
      <c r="AR17" s="134">
        <f t="shared" ca="1" si="2"/>
        <v>3119.038207419921</v>
      </c>
      <c r="AS17" s="134">
        <f t="shared" ca="1" si="3"/>
        <v>3074.9117563288487</v>
      </c>
      <c r="AT17" s="134">
        <f t="shared" ca="1" si="4"/>
        <v>3589.3541368407846</v>
      </c>
      <c r="AU17" s="134">
        <f t="shared" ca="1" si="5"/>
        <v>3261.1013668631845</v>
      </c>
      <c r="AW17" s="1">
        <f t="shared" ca="1" si="6"/>
        <v>0.95599999999999996</v>
      </c>
      <c r="AX17" s="1">
        <f t="shared" ca="1" si="7"/>
        <v>0.94299999999999995</v>
      </c>
      <c r="AY17" s="1">
        <f t="shared" ca="1" si="8"/>
        <v>1.101</v>
      </c>
    </row>
    <row r="18" spans="2:51" x14ac:dyDescent="0.3">
      <c r="B18" s="2" t="str">
        <f>坦克个性化细分!I14</f>
        <v>Stuart</v>
      </c>
      <c r="C18" s="29" t="str">
        <f>VLOOKUP(B18,坦克个性化设定!$B$18:$F$48,5,FALSE)</f>
        <v>中坦自动</v>
      </c>
      <c r="D18" s="2" t="str">
        <f>坦克个性化细分!J14</f>
        <v>低</v>
      </c>
      <c r="E18" s="2" t="str">
        <f t="shared" si="0"/>
        <v>Stuart低</v>
      </c>
      <c r="F18" s="34">
        <f>VLOOKUP($B18,坦克属性统计!$B$3:$AY$33,MATCH(F$7,坦克属性统计!$B$3:$AY$3,0),FALSE)</f>
        <v>0.78</v>
      </c>
      <c r="G18" s="34">
        <f>VLOOKUP($B18,坦克属性统计!$B$3:$AY$33,MATCH(G$7,坦克属性统计!$B$3:$AY$3,0),FALSE)</f>
        <v>1</v>
      </c>
      <c r="H18" s="34">
        <f>VLOOKUP($B18,坦克属性统计!$B$3:$AY$33,MATCH(H$7,坦克属性统计!$B$3:$AY$3,0),FALSE)</f>
        <v>0.30000000000000004</v>
      </c>
      <c r="I18" s="34">
        <f>VLOOKUP($B18,坦克属性统计!$B$3:$AY$33,MATCH(I$7,坦克属性统计!$B$3:$AY$3,0),FALSE)</f>
        <v>1</v>
      </c>
      <c r="J18" s="34">
        <f>VLOOKUP($B18,坦克属性统计!$B$3:$AY$33,MATCH(J$7,坦克属性统计!$B$3:$AY$3,0),FALSE)</f>
        <v>44.5</v>
      </c>
      <c r="K18" s="34">
        <f>VLOOKUP($B18,坦克属性统计!$B$3:$AY$33,MATCH(K$7,坦克属性统计!$B$3:$AY$3,0),FALSE)</f>
        <v>40</v>
      </c>
      <c r="L18" s="34">
        <f>VLOOKUP($B18,坦克属性统计!$B$3:$AY$33,MATCH(L$7,坦克属性统计!$B$3:$AY$3,0),FALSE)</f>
        <v>8</v>
      </c>
      <c r="M18" s="33">
        <f>VLOOKUP($B18,坦克属性统计!$B$3:$AY$33,MATCH(M$7,坦克属性统计!$B$3:$AY$3,0),FALSE)</f>
        <v>9</v>
      </c>
      <c r="N18" s="34">
        <f>VLOOKUP($B18,坦克属性统计!$B$3:$AY$33,MATCH(N$7,坦克属性统计!$B$3:$AY$3,0),FALSE)</f>
        <v>3.2</v>
      </c>
      <c r="O18" s="34">
        <f>VLOOKUP($B18,坦克属性统计!$B$3:$AY$33,MATCH(O$7,坦克属性统计!$B$3:$AY$3,0),FALSE)</f>
        <v>0</v>
      </c>
      <c r="P18" s="34">
        <f>VLOOKUP($B18,坦克属性统计!$B$3:$AY$33,MATCH(P$7,坦克属性统计!$B$3:$AY$3,0),FALSE)</f>
        <v>1</v>
      </c>
      <c r="Q18" s="42">
        <f ca="1">VLOOKUP($B18,坦克属性统计!$B$3:$AY$33,MATCH(Q$7,坦克属性统计!$B$3:$AY$3,0),FALSE)*(1+W18/Z18)</f>
        <v>560</v>
      </c>
      <c r="R18" s="42">
        <f ca="1">VLOOKUP($B18,坦克属性统计!$B$3:$AY$33,MATCH(R$7,坦克属性统计!$B$3:$AY$3,0),FALSE)*(1+X18/AA18)</f>
        <v>118</v>
      </c>
      <c r="S18" s="33">
        <f ca="1">VLOOKUP($B18,坦克属性统计!$B$3:$AY$33,MATCH(S$7,坦克属性统计!$B$3:$AY$3,0),FALSE)</f>
        <v>329</v>
      </c>
      <c r="T18" s="33">
        <f ca="1">VLOOKUP($B18,坦克属性统计!$B$3:$AY$33,MATCH(T$7,坦克属性统计!$B$3:$AY$3,0),FALSE)</f>
        <v>246</v>
      </c>
      <c r="U18" s="42">
        <f ca="1">VLOOKUP($B18,坦克属性统计!$B$3:$AY$33,MATCH(U$7,坦克属性统计!$B$3:$AY$3,0),FALSE)*(1+Y18/AB18)</f>
        <v>360</v>
      </c>
      <c r="V18" s="33">
        <f ca="1">VLOOKUP($B18,坦克属性统计!$B$3:$AY$33,MATCH(V$7,坦克属性统计!$B$3:$AY$3,0),FALSE)</f>
        <v>86</v>
      </c>
      <c r="W18" s="33">
        <f>VLOOKUP($B18,坦克属性统计!$B$3:$AY$33,MATCH(W$7,坦克属性统计!$B$3:$AY$3,0),FALSE)</f>
        <v>0</v>
      </c>
      <c r="X18" s="33">
        <f>VLOOKUP($B18,坦克属性统计!$B$3:$AY$33,MATCH(X$7,坦克属性统计!$B$3:$AY$3,0),FALSE)</f>
        <v>0</v>
      </c>
      <c r="Y18" s="33">
        <f>VLOOKUP($B18,坦克属性统计!$B$3:$AY$33,MATCH(Y$7,坦克属性统计!$B$3:$AY$3,0),FALSE)</f>
        <v>0</v>
      </c>
      <c r="Z18" s="33">
        <f>VLOOKUP(B18,坦克部件!$AL$3:$AS$33,MATCH("基础系数",坦克部件!$AL$3:$AS$3,0),FALSE)</f>
        <v>1750</v>
      </c>
      <c r="AA18" s="33">
        <f t="shared" si="1"/>
        <v>1750</v>
      </c>
      <c r="AB18" s="33">
        <f t="shared" si="1"/>
        <v>1750</v>
      </c>
      <c r="AC18" s="34">
        <f t="shared" si="9"/>
        <v>27.75</v>
      </c>
      <c r="AD18" s="34" t="s">
        <v>613</v>
      </c>
      <c r="AE18" s="133"/>
      <c r="AF18" s="42">
        <f t="shared" ca="1" si="10"/>
        <v>768.41973290427939</v>
      </c>
      <c r="AG18" s="42">
        <f t="shared" ca="1" si="11"/>
        <v>3274.5</v>
      </c>
      <c r="AI18" s="1">
        <f t="shared" ca="1" si="12"/>
        <v>1833720</v>
      </c>
      <c r="AJ18" s="1">
        <f t="shared" ca="1" si="13"/>
        <v>103500</v>
      </c>
      <c r="AK18" s="1">
        <f t="shared" ca="1" si="14"/>
        <v>17.717101449275361</v>
      </c>
      <c r="AL18" s="1">
        <f t="shared" ca="1" si="15"/>
        <v>9168.6</v>
      </c>
      <c r="AM18" s="1">
        <f t="shared" ca="1" si="16"/>
        <v>3356.6143656964828</v>
      </c>
      <c r="AN18" s="1">
        <f t="shared" ca="1" si="17"/>
        <v>321.71415884290826</v>
      </c>
    </row>
    <row r="19" spans="2:51" x14ac:dyDescent="0.3">
      <c r="B19" s="2" t="str">
        <f>坦克个性化细分!I15</f>
        <v>T-34</v>
      </c>
      <c r="C19" s="29" t="str">
        <f>VLOOKUP(B19,坦克个性化设定!$B$18:$F$48,5,FALSE)</f>
        <v>中坦自动</v>
      </c>
      <c r="D19" s="2" t="str">
        <f>坦克个性化细分!J15</f>
        <v>低</v>
      </c>
      <c r="E19" s="2" t="str">
        <f t="shared" si="0"/>
        <v>T-34低</v>
      </c>
      <c r="F19" s="34">
        <f>VLOOKUP($B19,坦克属性统计!$B$3:$AY$33,MATCH(F$7,坦克属性统计!$B$3:$AY$3,0),FALSE)</f>
        <v>0.75</v>
      </c>
      <c r="G19" s="34">
        <f>VLOOKUP($B19,坦克属性统计!$B$3:$AY$33,MATCH(G$7,坦克属性统计!$B$3:$AY$3,0),FALSE)</f>
        <v>1.01</v>
      </c>
      <c r="H19" s="34">
        <f>VLOOKUP($B19,坦克属性统计!$B$3:$AY$33,MATCH(H$7,坦克属性统计!$B$3:$AY$3,0),FALSE)</f>
        <v>0.32</v>
      </c>
      <c r="I19" s="34">
        <f>VLOOKUP($B19,坦克属性统计!$B$3:$AY$33,MATCH(I$7,坦克属性统计!$B$3:$AY$3,0),FALSE)</f>
        <v>1</v>
      </c>
      <c r="J19" s="34">
        <f>VLOOKUP($B19,坦克属性统计!$B$3:$AY$33,MATCH(J$7,坦克属性统计!$B$3:$AY$3,0),FALSE)</f>
        <v>44.5</v>
      </c>
      <c r="K19" s="34">
        <f>VLOOKUP($B19,坦克属性统计!$B$3:$AY$33,MATCH(K$7,坦克属性统计!$B$3:$AY$3,0),FALSE)</f>
        <v>40</v>
      </c>
      <c r="L19" s="34">
        <f>VLOOKUP($B19,坦克属性统计!$B$3:$AY$33,MATCH(L$7,坦克属性统计!$B$3:$AY$3,0),FALSE)</f>
        <v>8</v>
      </c>
      <c r="M19" s="33">
        <f>VLOOKUP($B19,坦克属性统计!$B$3:$AY$33,MATCH(M$7,坦克属性统计!$B$3:$AY$3,0),FALSE)</f>
        <v>9</v>
      </c>
      <c r="N19" s="34">
        <f>VLOOKUP($B19,坦克属性统计!$B$3:$AY$33,MATCH(N$7,坦克属性统计!$B$3:$AY$3,0),FALSE)</f>
        <v>3.2</v>
      </c>
      <c r="O19" s="34">
        <f>VLOOKUP($B19,坦克属性统计!$B$3:$AY$33,MATCH(O$7,坦克属性统计!$B$3:$AY$3,0),FALSE)</f>
        <v>0</v>
      </c>
      <c r="P19" s="34">
        <f>VLOOKUP($B19,坦克属性统计!$B$3:$AY$33,MATCH(P$7,坦克属性统计!$B$3:$AY$3,0),FALSE)</f>
        <v>1.01</v>
      </c>
      <c r="Q19" s="42">
        <f ca="1">VLOOKUP($B19,坦克属性统计!$B$3:$AY$33,MATCH(Q$7,坦克属性统计!$B$3:$AY$3,0),FALSE)*(1+W19/Z19)</f>
        <v>945</v>
      </c>
      <c r="R19" s="42">
        <f ca="1">VLOOKUP($B19,坦克属性统计!$B$3:$AY$33,MATCH(R$7,坦克属性统计!$B$3:$AY$3,0),FALSE)*(1+X19/AA19)</f>
        <v>132</v>
      </c>
      <c r="S19" s="33">
        <f ca="1">VLOOKUP($B19,坦克属性统计!$B$3:$AY$33,MATCH(S$7,坦克属性统计!$B$3:$AY$3,0),FALSE)</f>
        <v>394</v>
      </c>
      <c r="T19" s="33">
        <f ca="1">VLOOKUP($B19,坦克属性统计!$B$3:$AY$33,MATCH(T$7,坦克属性统计!$B$3:$AY$3,0),FALSE)</f>
        <v>296</v>
      </c>
      <c r="U19" s="42">
        <f ca="1">VLOOKUP($B19,坦克属性统计!$B$3:$AY$33,MATCH(U$7,坦克属性统计!$B$3:$AY$3,0),FALSE)*(1+Y19/AB19)</f>
        <v>432</v>
      </c>
      <c r="V19" s="33">
        <f ca="1">VLOOKUP($B19,坦克属性统计!$B$3:$AY$33,MATCH(V$7,坦克属性统计!$B$3:$AY$3,0),FALSE)</f>
        <v>104</v>
      </c>
      <c r="W19" s="33">
        <f>VLOOKUP($B19,坦克属性统计!$B$3:$AY$33,MATCH(W$7,坦克属性统计!$B$3:$AY$3,0),FALSE)</f>
        <v>0</v>
      </c>
      <c r="X19" s="33">
        <f>VLOOKUP($B19,坦克属性统计!$B$3:$AY$33,MATCH(X$7,坦克属性统计!$B$3:$AY$3,0),FALSE)</f>
        <v>0</v>
      </c>
      <c r="Y19" s="33">
        <f>VLOOKUP($B19,坦克属性统计!$B$3:$AY$33,MATCH(Y$7,坦克属性统计!$B$3:$AY$3,0),FALSE)</f>
        <v>0</v>
      </c>
      <c r="Z19" s="33">
        <f>VLOOKUP(B19,坦克部件!$AL$3:$AS$33,MATCH("基础系数",坦克部件!$AL$3:$AS$3,0),FALSE)</f>
        <v>2500</v>
      </c>
      <c r="AA19" s="33">
        <f t="shared" si="1"/>
        <v>2500</v>
      </c>
      <c r="AB19" s="33">
        <f t="shared" si="1"/>
        <v>2500</v>
      </c>
      <c r="AC19" s="34">
        <f t="shared" si="9"/>
        <v>27.75</v>
      </c>
      <c r="AD19" s="34" t="s">
        <v>615</v>
      </c>
      <c r="AE19" s="133"/>
      <c r="AF19" s="42">
        <f t="shared" ca="1" si="10"/>
        <v>1076.8969590675699</v>
      </c>
      <c r="AG19" s="42">
        <f t="shared" ca="1" si="11"/>
        <v>3663</v>
      </c>
      <c r="AI19" s="1">
        <f t="shared" ca="1" si="12"/>
        <v>3461535</v>
      </c>
      <c r="AJ19" s="1">
        <f t="shared" ca="1" si="13"/>
        <v>149040</v>
      </c>
      <c r="AK19" s="1">
        <f t="shared" ca="1" si="14"/>
        <v>23.225543478260871</v>
      </c>
      <c r="AL19" s="1">
        <f t="shared" ca="1" si="15"/>
        <v>17307.674999999999</v>
      </c>
      <c r="AM19" s="1">
        <f t="shared" ca="1" si="16"/>
        <v>4078.5741993986085</v>
      </c>
      <c r="AN19" s="1">
        <f t="shared" ca="1" si="17"/>
        <v>386.05699061148988</v>
      </c>
    </row>
    <row r="20" spans="2:51" x14ac:dyDescent="0.3">
      <c r="B20" s="2" t="str">
        <f>坦克个性化细分!I16</f>
        <v>四号</v>
      </c>
      <c r="C20" s="29" t="str">
        <f>VLOOKUP(B20,坦克个性化设定!$B$18:$F$48,5,FALSE)</f>
        <v>中坦自动</v>
      </c>
      <c r="D20" s="2" t="str">
        <f>坦克个性化细分!J16</f>
        <v>中</v>
      </c>
      <c r="E20" s="2" t="str">
        <f t="shared" si="0"/>
        <v>四号中</v>
      </c>
      <c r="F20" s="34">
        <f>VLOOKUP($B20,坦克属性统计!$B$3:$AY$33,MATCH(F$7,坦克属性统计!$B$3:$AY$3,0),FALSE)</f>
        <v>0.64</v>
      </c>
      <c r="G20" s="34">
        <f>VLOOKUP($B20,坦克属性统计!$B$3:$AY$33,MATCH(G$7,坦克属性统计!$B$3:$AY$3,0),FALSE)</f>
        <v>1.4</v>
      </c>
      <c r="H20" s="34">
        <f>VLOOKUP($B20,坦克属性统计!$B$3:$AY$33,MATCH(H$7,坦克属性统计!$B$3:$AY$3,0),FALSE)</f>
        <v>0.4</v>
      </c>
      <c r="I20" s="34">
        <f>VLOOKUP($B20,坦克属性统计!$B$3:$AY$33,MATCH(I$7,坦克属性统计!$B$3:$AY$3,0),FALSE)</f>
        <v>1</v>
      </c>
      <c r="J20" s="34">
        <f>VLOOKUP($B20,坦克属性统计!$B$3:$AY$33,MATCH(J$7,坦克属性统计!$B$3:$AY$3,0),FALSE)</f>
        <v>36.299999999999997</v>
      </c>
      <c r="K20" s="34">
        <f>VLOOKUP($B20,坦克属性统计!$B$3:$AY$33,MATCH(K$7,坦克属性统计!$B$3:$AY$3,0),FALSE)</f>
        <v>51</v>
      </c>
      <c r="L20" s="34">
        <f>VLOOKUP($B20,坦克属性统计!$B$3:$AY$33,MATCH(L$7,坦克属性统计!$B$3:$AY$3,0),FALSE)</f>
        <v>7.3</v>
      </c>
      <c r="M20" s="33">
        <f>VLOOKUP($B20,坦克属性统计!$B$3:$AY$33,MATCH(M$7,坦克属性统计!$B$3:$AY$3,0),FALSE)</f>
        <v>6</v>
      </c>
      <c r="N20" s="34">
        <f>VLOOKUP($B20,坦克属性统计!$B$3:$AY$33,MATCH(N$7,坦克属性统计!$B$3:$AY$3,0),FALSE)</f>
        <v>2.4</v>
      </c>
      <c r="O20" s="34">
        <f>VLOOKUP($B20,坦克属性统计!$B$3:$AY$33,MATCH(O$7,坦克属性统计!$B$3:$AY$3,0),FALSE)</f>
        <v>0</v>
      </c>
      <c r="P20" s="34">
        <f>VLOOKUP($B20,坦克属性统计!$B$3:$AY$33,MATCH(P$7,坦克属性统计!$B$3:$AY$3,0),FALSE)</f>
        <v>1.4</v>
      </c>
      <c r="Q20" s="42">
        <f ca="1">VLOOKUP($B20,坦克属性统计!$B$3:$AY$33,MATCH(Q$7,坦克属性统计!$B$3:$AY$3,0),FALSE)*(1+W20/Z20)</f>
        <v>1007</v>
      </c>
      <c r="R20" s="42">
        <f ca="1">VLOOKUP($B20,坦克属性统计!$B$3:$AY$33,MATCH(R$7,坦克属性统计!$B$3:$AY$3,0),FALSE)*(1+X20/AA20)</f>
        <v>133</v>
      </c>
      <c r="S20" s="33">
        <f ca="1">VLOOKUP($B20,坦克属性统计!$B$3:$AY$33,MATCH(S$7,坦克属性统计!$B$3:$AY$3,0),FALSE)</f>
        <v>401</v>
      </c>
      <c r="T20" s="33">
        <f ca="1">VLOOKUP($B20,坦克属性统计!$B$3:$AY$33,MATCH(T$7,坦克属性统计!$B$3:$AY$3,0),FALSE)</f>
        <v>301</v>
      </c>
      <c r="U20" s="42">
        <f ca="1">VLOOKUP($B20,坦克属性统计!$B$3:$AY$33,MATCH(U$7,坦克属性统计!$B$3:$AY$3,0),FALSE)*(1+Y20/AB20)</f>
        <v>439</v>
      </c>
      <c r="V20" s="33">
        <f ca="1">VLOOKUP($B20,坦克属性统计!$B$3:$AY$33,MATCH(V$7,坦克属性统计!$B$3:$AY$3,0),FALSE)</f>
        <v>105</v>
      </c>
      <c r="W20" s="33">
        <f>VLOOKUP($B20,坦克属性统计!$B$3:$AY$33,MATCH(W$7,坦克属性统计!$B$3:$AY$3,0),FALSE)</f>
        <v>0</v>
      </c>
      <c r="X20" s="33">
        <f>VLOOKUP($B20,坦克属性统计!$B$3:$AY$33,MATCH(X$7,坦克属性统计!$B$3:$AY$3,0),FALSE)</f>
        <v>0</v>
      </c>
      <c r="Y20" s="33">
        <f>VLOOKUP($B20,坦克属性统计!$B$3:$AY$33,MATCH(Y$7,坦克属性统计!$B$3:$AY$3,0),FALSE)</f>
        <v>0</v>
      </c>
      <c r="Z20" s="33">
        <f>VLOOKUP(B20,坦克部件!$AL$3:$AS$33,MATCH("基础系数",坦克部件!$AL$3:$AS$3,0),FALSE)</f>
        <v>2500</v>
      </c>
      <c r="AA20" s="33">
        <f t="shared" si="1"/>
        <v>2500</v>
      </c>
      <c r="AB20" s="33">
        <f t="shared" si="1"/>
        <v>2500</v>
      </c>
      <c r="AC20" s="34">
        <f t="shared" si="9"/>
        <v>31</v>
      </c>
      <c r="AD20" s="34" t="s">
        <v>615</v>
      </c>
      <c r="AE20" s="133"/>
      <c r="AF20" s="42">
        <f t="shared" ca="1" si="10"/>
        <v>1158.0068282605387</v>
      </c>
      <c r="AG20" s="42">
        <f t="shared" ca="1" si="11"/>
        <v>4123</v>
      </c>
      <c r="AI20" s="1">
        <f t="shared" ca="1" si="12"/>
        <v>4151861</v>
      </c>
      <c r="AJ20" s="1">
        <f t="shared" ca="1" si="13"/>
        <v>154089</v>
      </c>
      <c r="AK20" s="1">
        <f t="shared" ca="1" si="14"/>
        <v>26.944564504928969</v>
      </c>
      <c r="AL20" s="1">
        <f t="shared" ca="1" si="15"/>
        <v>20759.305</v>
      </c>
      <c r="AM20" s="1">
        <f t="shared" ca="1" si="16"/>
        <v>4181.4866375488991</v>
      </c>
      <c r="AN20" s="1">
        <f t="shared" ca="1" si="17"/>
        <v>392.54171752821378</v>
      </c>
    </row>
    <row r="21" spans="2:51" x14ac:dyDescent="0.3">
      <c r="B21" s="2" t="str">
        <f>坦克个性化细分!I17</f>
        <v>玛蒂尔达</v>
      </c>
      <c r="C21" s="29" t="str">
        <f>VLOOKUP(B21,坦克个性化设定!$B$18:$F$48,5,FALSE)</f>
        <v>中坦自动</v>
      </c>
      <c r="D21" s="2" t="str">
        <f>坦克个性化细分!J17</f>
        <v>低</v>
      </c>
      <c r="E21" s="2" t="str">
        <f t="shared" si="0"/>
        <v>玛蒂尔达低</v>
      </c>
      <c r="F21" s="34">
        <f>VLOOKUP($B21,坦克属性统计!$B$3:$AY$33,MATCH(F$7,坦克属性统计!$B$3:$AY$3,0),FALSE)</f>
        <v>0.75</v>
      </c>
      <c r="G21" s="34">
        <f>VLOOKUP($B21,坦克属性统计!$B$3:$AY$33,MATCH(G$7,坦克属性统计!$B$3:$AY$3,0),FALSE)</f>
        <v>0.99</v>
      </c>
      <c r="H21" s="34">
        <f>VLOOKUP($B21,坦克属性统计!$B$3:$AY$33,MATCH(H$7,坦克属性统计!$B$3:$AY$3,0),FALSE)</f>
        <v>0.28000000000000003</v>
      </c>
      <c r="I21" s="34">
        <f>VLOOKUP($B21,坦克属性统计!$B$3:$AY$33,MATCH(I$7,坦克属性统计!$B$3:$AY$3,0),FALSE)</f>
        <v>1</v>
      </c>
      <c r="J21" s="34">
        <f>VLOOKUP($B21,坦克属性统计!$B$3:$AY$33,MATCH(J$7,坦克属性统计!$B$3:$AY$3,0),FALSE)</f>
        <v>44.5</v>
      </c>
      <c r="K21" s="34">
        <f>VLOOKUP($B21,坦克属性统计!$B$3:$AY$33,MATCH(K$7,坦克属性统计!$B$3:$AY$3,0),FALSE)</f>
        <v>40</v>
      </c>
      <c r="L21" s="34">
        <f>VLOOKUP($B21,坦克属性统计!$B$3:$AY$33,MATCH(L$7,坦克属性统计!$B$3:$AY$3,0),FALSE)</f>
        <v>8</v>
      </c>
      <c r="M21" s="33">
        <f>VLOOKUP($B21,坦克属性统计!$B$3:$AY$33,MATCH(M$7,坦克属性统计!$B$3:$AY$3,0),FALSE)</f>
        <v>9</v>
      </c>
      <c r="N21" s="34">
        <f>VLOOKUP($B21,坦克属性统计!$B$3:$AY$33,MATCH(N$7,坦克属性统计!$B$3:$AY$3,0),FALSE)</f>
        <v>3.2</v>
      </c>
      <c r="O21" s="34">
        <f>VLOOKUP($B21,坦克属性统计!$B$3:$AY$33,MATCH(O$7,坦克属性统计!$B$3:$AY$3,0),FALSE)</f>
        <v>0</v>
      </c>
      <c r="P21" s="34">
        <f>VLOOKUP($B21,坦克属性统计!$B$3:$AY$33,MATCH(P$7,坦克属性统计!$B$3:$AY$3,0),FALSE)</f>
        <v>0.99</v>
      </c>
      <c r="Q21" s="42">
        <f ca="1">VLOOKUP($B21,坦克属性统计!$B$3:$AY$33,MATCH(Q$7,坦克属性统计!$B$3:$AY$3,0),FALSE)*(1+W21/Z21)</f>
        <v>1214</v>
      </c>
      <c r="R21" s="42">
        <f ca="1">VLOOKUP($B21,坦克属性统计!$B$3:$AY$33,MATCH(R$7,坦克属性统计!$B$3:$AY$3,0),FALSE)*(1+X21/AA21)</f>
        <v>159</v>
      </c>
      <c r="S21" s="33">
        <f ca="1">VLOOKUP($B21,坦克属性统计!$B$3:$AY$33,MATCH(S$7,坦克属性统计!$B$3:$AY$3,0),FALSE)</f>
        <v>486</v>
      </c>
      <c r="T21" s="33">
        <f ca="1">VLOOKUP($B21,坦克属性统计!$B$3:$AY$33,MATCH(T$7,坦克属性统计!$B$3:$AY$3,0),FALSE)</f>
        <v>365</v>
      </c>
      <c r="U21" s="42">
        <f ca="1">VLOOKUP($B21,坦克属性统计!$B$3:$AY$33,MATCH(U$7,坦克属性统计!$B$3:$AY$3,0),FALSE)*(1+Y21/AB21)</f>
        <v>533</v>
      </c>
      <c r="V21" s="33">
        <f ca="1">VLOOKUP($B21,坦克属性统计!$B$3:$AY$33,MATCH(V$7,坦克属性统计!$B$3:$AY$3,0),FALSE)</f>
        <v>128</v>
      </c>
      <c r="W21" s="33">
        <f>VLOOKUP($B21,坦克属性统计!$B$3:$AY$33,MATCH(W$7,坦克属性统计!$B$3:$AY$3,0),FALSE)</f>
        <v>0</v>
      </c>
      <c r="X21" s="33">
        <f>VLOOKUP($B21,坦克属性统计!$B$3:$AY$33,MATCH(X$7,坦克属性统计!$B$3:$AY$3,0),FALSE)</f>
        <v>0</v>
      </c>
      <c r="Y21" s="33">
        <f>VLOOKUP($B21,坦克属性统计!$B$3:$AY$33,MATCH(Y$7,坦克属性统计!$B$3:$AY$3,0),FALSE)</f>
        <v>0</v>
      </c>
      <c r="Z21" s="33">
        <f>VLOOKUP(B21,坦克部件!$AL$3:$AS$33,MATCH("基础系数",坦克部件!$AL$3:$AS$3,0),FALSE)</f>
        <v>3600</v>
      </c>
      <c r="AA21" s="33">
        <f t="shared" si="1"/>
        <v>3600</v>
      </c>
      <c r="AB21" s="33">
        <f t="shared" si="1"/>
        <v>3600</v>
      </c>
      <c r="AC21" s="34">
        <f t="shared" si="9"/>
        <v>27.75</v>
      </c>
      <c r="AD21" s="34" t="s">
        <v>619</v>
      </c>
      <c r="AE21" s="133"/>
      <c r="AF21" s="42">
        <f t="shared" ca="1" si="10"/>
        <v>1437.8112473732162</v>
      </c>
      <c r="AG21" s="42">
        <f t="shared" ca="1" si="11"/>
        <v>4412.25</v>
      </c>
      <c r="AI21" s="1">
        <f t="shared" ca="1" si="12"/>
        <v>5356471.5</v>
      </c>
      <c r="AJ21" s="1">
        <f t="shared" ca="1" si="13"/>
        <v>226791.5</v>
      </c>
      <c r="AK21" s="1">
        <f t="shared" ca="1" si="14"/>
        <v>23.618484378823723</v>
      </c>
      <c r="AL21" s="1">
        <f t="shared" ca="1" si="15"/>
        <v>26782.357499999998</v>
      </c>
      <c r="AM21" s="1">
        <f t="shared" ca="1" si="16"/>
        <v>5035.6117552885271</v>
      </c>
      <c r="AN21" s="1">
        <f t="shared" ca="1" si="17"/>
        <v>476.22631174684165</v>
      </c>
    </row>
    <row r="22" spans="2:51" x14ac:dyDescent="0.3">
      <c r="B22" s="2" t="str">
        <f>坦克个性化细分!I18</f>
        <v>谢尔曼</v>
      </c>
      <c r="C22" s="29" t="str">
        <f>VLOOKUP(B22,坦克个性化设定!$B$18:$F$48,5,FALSE)</f>
        <v>中坦自动</v>
      </c>
      <c r="D22" s="2" t="str">
        <f>坦克个性化细分!J18</f>
        <v>中</v>
      </c>
      <c r="E22" s="2" t="str">
        <f t="shared" si="0"/>
        <v>谢尔曼中</v>
      </c>
      <c r="F22" s="34">
        <f>VLOOKUP($B22,坦克属性统计!$B$3:$AY$33,MATCH(F$7,坦克属性统计!$B$3:$AY$3,0),FALSE)</f>
        <v>0.71</v>
      </c>
      <c r="G22" s="34">
        <f>VLOOKUP($B22,坦克属性统计!$B$3:$AY$33,MATCH(G$7,坦克属性统计!$B$3:$AY$3,0),FALSE)</f>
        <v>1.4</v>
      </c>
      <c r="H22" s="34">
        <f>VLOOKUP($B22,坦克属性统计!$B$3:$AY$33,MATCH(H$7,坦克属性统计!$B$3:$AY$3,0),FALSE)</f>
        <v>0.4</v>
      </c>
      <c r="I22" s="34">
        <f>VLOOKUP($B22,坦克属性统计!$B$3:$AY$33,MATCH(I$7,坦克属性统计!$B$3:$AY$3,0),FALSE)</f>
        <v>1</v>
      </c>
      <c r="J22" s="34">
        <f>VLOOKUP($B22,坦克属性统计!$B$3:$AY$33,MATCH(J$7,坦克属性统计!$B$3:$AY$3,0),FALSE)</f>
        <v>36.299999999999997</v>
      </c>
      <c r="K22" s="34">
        <f>VLOOKUP($B22,坦克属性统计!$B$3:$AY$33,MATCH(K$7,坦克属性统计!$B$3:$AY$3,0),FALSE)</f>
        <v>51</v>
      </c>
      <c r="L22" s="34">
        <f>VLOOKUP($B22,坦克属性统计!$B$3:$AY$33,MATCH(L$7,坦克属性统计!$B$3:$AY$3,0),FALSE)</f>
        <v>7.3</v>
      </c>
      <c r="M22" s="33">
        <f>VLOOKUP($B22,坦克属性统计!$B$3:$AY$33,MATCH(M$7,坦克属性统计!$B$3:$AY$3,0),FALSE)</f>
        <v>6</v>
      </c>
      <c r="N22" s="34">
        <f>VLOOKUP($B22,坦克属性统计!$B$3:$AY$33,MATCH(N$7,坦克属性统计!$B$3:$AY$3,0),FALSE)</f>
        <v>2.4</v>
      </c>
      <c r="O22" s="34">
        <f>VLOOKUP($B22,坦克属性统计!$B$3:$AY$33,MATCH(O$7,坦克属性统计!$B$3:$AY$3,0),FALSE)</f>
        <v>0</v>
      </c>
      <c r="P22" s="34">
        <f>VLOOKUP($B22,坦克属性统计!$B$3:$AY$33,MATCH(P$7,坦克属性统计!$B$3:$AY$3,0),FALSE)</f>
        <v>1.4</v>
      </c>
      <c r="Q22" s="42">
        <f ca="1">VLOOKUP($B22,坦克属性统计!$B$3:$AY$33,MATCH(Q$7,坦克属性统计!$B$3:$AY$3,0),FALSE)*(1+W22/Z22)</f>
        <v>1299</v>
      </c>
      <c r="R22" s="42">
        <f ca="1">VLOOKUP($B22,坦克属性统计!$B$3:$AY$33,MATCH(R$7,坦克属性统计!$B$3:$AY$3,0),FALSE)*(1+X22/AA22)</f>
        <v>164</v>
      </c>
      <c r="S22" s="33">
        <f ca="1">VLOOKUP($B22,坦克属性统计!$B$3:$AY$33,MATCH(S$7,坦克属性统计!$B$3:$AY$3,0),FALSE)</f>
        <v>506</v>
      </c>
      <c r="T22" s="33">
        <f ca="1">VLOOKUP($B22,坦克属性统计!$B$3:$AY$33,MATCH(T$7,坦克属性统计!$B$3:$AY$3,0),FALSE)</f>
        <v>380</v>
      </c>
      <c r="U22" s="42">
        <f ca="1">VLOOKUP($B22,坦克属性统计!$B$3:$AY$33,MATCH(U$7,坦克属性统计!$B$3:$AY$3,0),FALSE)*(1+Y22/AB22)</f>
        <v>554</v>
      </c>
      <c r="V22" s="33">
        <f ca="1">VLOOKUP($B22,坦克属性统计!$B$3:$AY$33,MATCH(V$7,坦克属性统计!$B$3:$AY$3,0),FALSE)</f>
        <v>133</v>
      </c>
      <c r="W22" s="33">
        <f>VLOOKUP($B22,坦克属性统计!$B$3:$AY$33,MATCH(W$7,坦克属性统计!$B$3:$AY$3,0),FALSE)</f>
        <v>0</v>
      </c>
      <c r="X22" s="33">
        <f>VLOOKUP($B22,坦克属性统计!$B$3:$AY$33,MATCH(X$7,坦克属性统计!$B$3:$AY$3,0),FALSE)</f>
        <v>0</v>
      </c>
      <c r="Y22" s="33">
        <f>VLOOKUP($B22,坦克属性统计!$B$3:$AY$33,MATCH(Y$7,坦克属性统计!$B$3:$AY$3,0),FALSE)</f>
        <v>0</v>
      </c>
      <c r="Z22" s="33">
        <f>VLOOKUP(B22,坦克部件!$AL$3:$AS$33,MATCH("基础系数",坦克部件!$AL$3:$AS$3,0),FALSE)</f>
        <v>3600</v>
      </c>
      <c r="AA22" s="33">
        <f t="shared" si="1"/>
        <v>3600</v>
      </c>
      <c r="AB22" s="33">
        <f t="shared" si="1"/>
        <v>3600</v>
      </c>
      <c r="AC22" s="34">
        <f t="shared" si="9"/>
        <v>31</v>
      </c>
      <c r="AD22" s="34" t="s">
        <v>619</v>
      </c>
      <c r="AE22" s="133"/>
      <c r="AF22" s="42">
        <f t="shared" ca="1" si="10"/>
        <v>1584.7636753957543</v>
      </c>
      <c r="AG22" s="42">
        <f t="shared" ca="1" si="11"/>
        <v>5084</v>
      </c>
      <c r="AI22" s="1">
        <f t="shared" ca="1" si="12"/>
        <v>6604116</v>
      </c>
      <c r="AJ22" s="1">
        <f t="shared" ca="1" si="13"/>
        <v>245422</v>
      </c>
      <c r="AK22" s="1">
        <f t="shared" ca="1" si="14"/>
        <v>26.909225741783541</v>
      </c>
      <c r="AL22" s="1">
        <f t="shared" ca="1" si="15"/>
        <v>33020.58</v>
      </c>
      <c r="AM22" s="1">
        <f t="shared" ca="1" si="16"/>
        <v>5276.7658655657633</v>
      </c>
      <c r="AN22" s="1">
        <f t="shared" ca="1" si="17"/>
        <v>495.40084779903236</v>
      </c>
    </row>
    <row r="23" spans="2:51" x14ac:dyDescent="0.3">
      <c r="B23" s="2" t="str">
        <f>坦克个性化细分!I19</f>
        <v>彗星</v>
      </c>
      <c r="C23" s="29" t="str">
        <f>VLOOKUP(B23,坦克个性化设定!$B$18:$F$48,5,FALSE)</f>
        <v>中坦自动</v>
      </c>
      <c r="D23" s="2" t="str">
        <f>坦克个性化细分!J19</f>
        <v>高</v>
      </c>
      <c r="E23" s="2" t="str">
        <f t="shared" si="0"/>
        <v>彗星高</v>
      </c>
      <c r="F23" s="34">
        <f>VLOOKUP($B23,坦克属性统计!$B$3:$AY$33,MATCH(F$7,坦克属性统计!$B$3:$AY$3,0),FALSE)</f>
        <v>0.67</v>
      </c>
      <c r="G23" s="34">
        <f>VLOOKUP($B23,坦克属性统计!$B$3:$AY$33,MATCH(G$7,坦克属性统计!$B$3:$AY$3,0),FALSE)</f>
        <v>1.1499999999999999</v>
      </c>
      <c r="H23" s="34">
        <f>VLOOKUP($B23,坦克属性统计!$B$3:$AY$33,MATCH(H$7,坦克属性统计!$B$3:$AY$3,0),FALSE)</f>
        <v>0.4</v>
      </c>
      <c r="I23" s="34">
        <f>VLOOKUP($B23,坦克属性统计!$B$3:$AY$33,MATCH(I$7,坦克属性统计!$B$3:$AY$3,0),FALSE)</f>
        <v>1</v>
      </c>
      <c r="J23" s="34">
        <f>VLOOKUP($B23,坦克属性统计!$B$3:$AY$33,MATCH(J$7,坦克属性统计!$B$3:$AY$3,0),FALSE)</f>
        <v>37.4</v>
      </c>
      <c r="K23" s="34">
        <f>VLOOKUP($B23,坦克属性统计!$B$3:$AY$33,MATCH(K$7,坦克属性统计!$B$3:$AY$3,0),FALSE)</f>
        <v>52.5</v>
      </c>
      <c r="L23" s="34">
        <f>VLOOKUP($B23,坦克属性统计!$B$3:$AY$33,MATCH(L$7,坦克属性统计!$B$3:$AY$3,0),FALSE)</f>
        <v>7.6</v>
      </c>
      <c r="M23" s="33">
        <f>VLOOKUP($B23,坦克属性统计!$B$3:$AY$33,MATCH(M$7,坦克属性统计!$B$3:$AY$3,0),FALSE)</f>
        <v>8</v>
      </c>
      <c r="N23" s="34">
        <f>VLOOKUP($B23,坦克属性统计!$B$3:$AY$33,MATCH(N$7,坦克属性统计!$B$3:$AY$3,0),FALSE)</f>
        <v>3</v>
      </c>
      <c r="O23" s="34">
        <f>VLOOKUP($B23,坦克属性统计!$B$3:$AY$33,MATCH(O$7,坦克属性统计!$B$3:$AY$3,0),FALSE)</f>
        <v>0</v>
      </c>
      <c r="P23" s="34">
        <f>VLOOKUP($B23,坦克属性统计!$B$3:$AY$33,MATCH(P$7,坦克属性统计!$B$3:$AY$3,0),FALSE)</f>
        <v>1.1499999999999999</v>
      </c>
      <c r="Q23" s="42">
        <f ca="1">VLOOKUP($B23,坦克属性统计!$B$3:$AY$33,MATCH(Q$7,坦克属性统计!$B$3:$AY$3,0),FALSE)*(1+W23/Z23)</f>
        <v>1337</v>
      </c>
      <c r="R23" s="42">
        <f ca="1">VLOOKUP($B23,坦克属性统计!$B$3:$AY$33,MATCH(R$7,坦克属性统计!$B$3:$AY$3,0),FALSE)*(1+X23/AA23)</f>
        <v>163</v>
      </c>
      <c r="S23" s="33">
        <f ca="1">VLOOKUP($B23,坦克属性统计!$B$3:$AY$33,MATCH(S$7,坦克属性统计!$B$3:$AY$3,0),FALSE)</f>
        <v>506</v>
      </c>
      <c r="T23" s="33">
        <f ca="1">VLOOKUP($B23,坦克属性统计!$B$3:$AY$33,MATCH(T$7,坦克属性统计!$B$3:$AY$3,0),FALSE)</f>
        <v>380</v>
      </c>
      <c r="U23" s="42">
        <f ca="1">VLOOKUP($B23,坦克属性统计!$B$3:$AY$33,MATCH(U$7,坦克属性统计!$B$3:$AY$3,0),FALSE)*(1+Y23/AB23)</f>
        <v>554</v>
      </c>
      <c r="V23" s="33">
        <f ca="1">VLOOKUP($B23,坦克属性统计!$B$3:$AY$33,MATCH(V$7,坦克属性统计!$B$3:$AY$3,0),FALSE)</f>
        <v>133</v>
      </c>
      <c r="W23" s="33">
        <f>VLOOKUP($B23,坦克属性统计!$B$3:$AY$33,MATCH(W$7,坦克属性统计!$B$3:$AY$3,0),FALSE)</f>
        <v>0</v>
      </c>
      <c r="X23" s="33">
        <f>VLOOKUP($B23,坦克属性统计!$B$3:$AY$33,MATCH(X$7,坦克属性统计!$B$3:$AY$3,0),FALSE)</f>
        <v>0</v>
      </c>
      <c r="Y23" s="33">
        <f>VLOOKUP($B23,坦克属性统计!$B$3:$AY$33,MATCH(Y$7,坦克属性统计!$B$3:$AY$3,0),FALSE)</f>
        <v>0</v>
      </c>
      <c r="Z23" s="33">
        <f>VLOOKUP(B23,坦克部件!$AL$3:$AS$33,MATCH("基础系数",坦克部件!$AL$3:$AS$3,0),FALSE)</f>
        <v>3600</v>
      </c>
      <c r="AA23" s="33">
        <f t="shared" si="1"/>
        <v>3600</v>
      </c>
      <c r="AB23" s="33">
        <f t="shared" si="1"/>
        <v>3600</v>
      </c>
      <c r="AC23" s="34">
        <f t="shared" si="9"/>
        <v>28</v>
      </c>
      <c r="AD23" s="34" t="s">
        <v>619</v>
      </c>
      <c r="AE23" s="133"/>
      <c r="AF23" s="42">
        <f t="shared" ca="1" si="10"/>
        <v>1543.0341976295188</v>
      </c>
      <c r="AG23" s="42">
        <f t="shared" ca="1" si="11"/>
        <v>4564</v>
      </c>
      <c r="AI23" s="1">
        <f t="shared" ca="1" si="12"/>
        <v>6102068</v>
      </c>
      <c r="AJ23" s="1">
        <f t="shared" ca="1" si="13"/>
        <v>245422</v>
      </c>
      <c r="AK23" s="1">
        <f t="shared" ca="1" si="14"/>
        <v>24.863573762743357</v>
      </c>
      <c r="AL23" s="1">
        <f t="shared" ca="1" si="15"/>
        <v>30510.34</v>
      </c>
      <c r="AM23" s="1">
        <f t="shared" ca="1" si="16"/>
        <v>5252.9262321110127</v>
      </c>
      <c r="AN23" s="1">
        <f t="shared" ca="1" si="17"/>
        <v>495.40084779903236</v>
      </c>
    </row>
    <row r="24" spans="2:51" x14ac:dyDescent="0.3">
      <c r="B24" s="2" t="str">
        <f>坦克个性化细分!I20</f>
        <v>M-48</v>
      </c>
      <c r="C24" s="29" t="str">
        <f>VLOOKUP(B24,坦克个性化设定!$B$18:$F$48,5,FALSE)</f>
        <v>中坦自动</v>
      </c>
      <c r="D24" s="2" t="str">
        <f>坦克个性化细分!J20</f>
        <v>低</v>
      </c>
      <c r="E24" s="2" t="str">
        <f t="shared" si="0"/>
        <v>M-48低</v>
      </c>
      <c r="F24" s="34">
        <f>VLOOKUP($B24,坦克属性统计!$B$3:$AY$33,MATCH(F$7,坦克属性统计!$B$3:$AY$3,0),FALSE)</f>
        <v>0.71</v>
      </c>
      <c r="G24" s="34">
        <f>VLOOKUP($B24,坦克属性统计!$B$3:$AY$33,MATCH(G$7,坦克属性统计!$B$3:$AY$3,0),FALSE)</f>
        <v>1.36</v>
      </c>
      <c r="H24" s="34">
        <f>VLOOKUP($B24,坦克属性统计!$B$3:$AY$33,MATCH(H$7,坦克属性统计!$B$3:$AY$3,0),FALSE)</f>
        <v>0.32</v>
      </c>
      <c r="I24" s="34">
        <f>VLOOKUP($B24,坦克属性统计!$B$3:$AY$33,MATCH(I$7,坦克属性统计!$B$3:$AY$3,0),FALSE)</f>
        <v>1</v>
      </c>
      <c r="J24" s="34">
        <f>VLOOKUP($B24,坦克属性统计!$B$3:$AY$33,MATCH(J$7,坦克属性统计!$B$3:$AY$3,0),FALSE)</f>
        <v>44.5</v>
      </c>
      <c r="K24" s="34">
        <f>VLOOKUP($B24,坦克属性统计!$B$3:$AY$33,MATCH(K$7,坦克属性统计!$B$3:$AY$3,0),FALSE)</f>
        <v>40</v>
      </c>
      <c r="L24" s="34">
        <f>VLOOKUP($B24,坦克属性统计!$B$3:$AY$33,MATCH(L$7,坦克属性统计!$B$3:$AY$3,0),FALSE)</f>
        <v>8</v>
      </c>
      <c r="M24" s="33">
        <f>VLOOKUP($B24,坦克属性统计!$B$3:$AY$33,MATCH(M$7,坦克属性统计!$B$3:$AY$3,0),FALSE)</f>
        <v>6</v>
      </c>
      <c r="N24" s="34">
        <f>VLOOKUP($B24,坦克属性统计!$B$3:$AY$33,MATCH(N$7,坦克属性统计!$B$3:$AY$3,0),FALSE)</f>
        <v>2.4</v>
      </c>
      <c r="O24" s="34">
        <f>VLOOKUP($B24,坦克属性统计!$B$3:$AY$33,MATCH(O$7,坦克属性统计!$B$3:$AY$3,0),FALSE)</f>
        <v>0</v>
      </c>
      <c r="P24" s="34">
        <f>VLOOKUP($B24,坦克属性统计!$B$3:$AY$33,MATCH(P$7,坦克属性统计!$B$3:$AY$3,0),FALSE)</f>
        <v>1.36</v>
      </c>
      <c r="Q24" s="42">
        <f ca="1">VLOOKUP($B24,坦克属性统计!$B$3:$AY$33,MATCH(Q$7,坦克属性统计!$B$3:$AY$3,0),FALSE)*(1+W24/Z24)</f>
        <v>1779</v>
      </c>
      <c r="R24" s="42">
        <f ca="1">VLOOKUP($B24,坦克属性统计!$B$3:$AY$33,MATCH(R$7,坦克属性统计!$B$3:$AY$3,0),FALSE)*(1+X24/AA24)</f>
        <v>181</v>
      </c>
      <c r="S24" s="33">
        <f ca="1">VLOOKUP($B24,坦克属性统计!$B$3:$AY$33,MATCH(S$7,坦克属性统计!$B$3:$AY$3,0),FALSE)</f>
        <v>631</v>
      </c>
      <c r="T24" s="33">
        <f ca="1">VLOOKUP($B24,坦克属性统计!$B$3:$AY$33,MATCH(T$7,坦克属性统计!$B$3:$AY$3,0),FALSE)</f>
        <v>473</v>
      </c>
      <c r="U24" s="42">
        <f ca="1">VLOOKUP($B24,坦克属性统计!$B$3:$AY$33,MATCH(U$7,坦克属性统计!$B$3:$AY$3,0),FALSE)*(1+Y24/AB24)</f>
        <v>691</v>
      </c>
      <c r="V24" s="33">
        <f ca="1">VLOOKUP($B24,坦克属性统计!$B$3:$AY$33,MATCH(V$7,坦克属性统计!$B$3:$AY$3,0),FALSE)</f>
        <v>166</v>
      </c>
      <c r="W24" s="33">
        <f>VLOOKUP($B24,坦克属性统计!$B$3:$AY$33,MATCH(W$7,坦克属性统计!$B$3:$AY$3,0),FALSE)</f>
        <v>0</v>
      </c>
      <c r="X24" s="33">
        <f>VLOOKUP($B24,坦克属性统计!$B$3:$AY$33,MATCH(X$7,坦克属性统计!$B$3:$AY$3,0),FALSE)</f>
        <v>0</v>
      </c>
      <c r="Y24" s="33">
        <f>VLOOKUP($B24,坦克属性统计!$B$3:$AY$33,MATCH(Y$7,坦克属性统计!$B$3:$AY$3,0),FALSE)</f>
        <v>0</v>
      </c>
      <c r="Z24" s="33">
        <f>VLOOKUP(B24,坦克部件!$AL$3:$AS$33,MATCH("基础系数",坦克部件!$AL$3:$AS$3,0),FALSE)</f>
        <v>4300</v>
      </c>
      <c r="AA24" s="33">
        <f t="shared" si="1"/>
        <v>4300</v>
      </c>
      <c r="AB24" s="33">
        <f t="shared" si="1"/>
        <v>4300</v>
      </c>
      <c r="AC24" s="34">
        <f t="shared" si="9"/>
        <v>31</v>
      </c>
      <c r="AD24" s="34" t="s">
        <v>626</v>
      </c>
      <c r="AE24" s="133"/>
      <c r="AF24" s="42">
        <f t="shared" ca="1" si="10"/>
        <v>2114.1947932786011</v>
      </c>
      <c r="AG24" s="42">
        <f t="shared" ca="1" si="11"/>
        <v>5611</v>
      </c>
      <c r="AI24" s="1">
        <f t="shared" ca="1" si="12"/>
        <v>9981969</v>
      </c>
      <c r="AJ24" s="1">
        <f t="shared" ca="1" si="13"/>
        <v>381432</v>
      </c>
      <c r="AK24" s="1">
        <f t="shared" ca="1" si="14"/>
        <v>26.169720946328571</v>
      </c>
      <c r="AL24" s="1">
        <f t="shared" ca="1" si="15"/>
        <v>49909.845000000001</v>
      </c>
      <c r="AM24" s="1">
        <f t="shared" ca="1" si="16"/>
        <v>6567.6620269316536</v>
      </c>
      <c r="AN24" s="1">
        <f t="shared" ca="1" si="17"/>
        <v>617.60181346884008</v>
      </c>
    </row>
    <row r="25" spans="2:51" x14ac:dyDescent="0.3">
      <c r="B25" s="2" t="str">
        <f>坦克个性化细分!I21</f>
        <v>潘兴</v>
      </c>
      <c r="C25" s="29" t="str">
        <f>VLOOKUP(B25,坦克个性化设定!$B$18:$F$48,5,FALSE)</f>
        <v>中坦自动</v>
      </c>
      <c r="D25" s="2" t="str">
        <f>坦克个性化细分!J21</f>
        <v>中</v>
      </c>
      <c r="E25" s="2" t="str">
        <f t="shared" si="0"/>
        <v>潘兴中</v>
      </c>
      <c r="F25" s="34">
        <f>VLOOKUP($B25,坦克属性统计!$B$3:$AY$33,MATCH(F$7,坦克属性统计!$B$3:$AY$3,0),FALSE)</f>
        <v>0.64</v>
      </c>
      <c r="G25" s="34">
        <f>VLOOKUP($B25,坦克属性统计!$B$3:$AY$33,MATCH(G$7,坦克属性统计!$B$3:$AY$3,0),FALSE)</f>
        <v>1</v>
      </c>
      <c r="H25" s="34">
        <f>VLOOKUP($B25,坦克属性统计!$B$3:$AY$33,MATCH(H$7,坦克属性统计!$B$3:$AY$3,0),FALSE)</f>
        <v>0.4</v>
      </c>
      <c r="I25" s="34">
        <f>VLOOKUP($B25,坦克属性统计!$B$3:$AY$33,MATCH(I$7,坦克属性统计!$B$3:$AY$3,0),FALSE)</f>
        <v>1</v>
      </c>
      <c r="J25" s="34">
        <f>VLOOKUP($B25,坦克属性统计!$B$3:$AY$33,MATCH(J$7,坦克属性统计!$B$3:$AY$3,0),FALSE)</f>
        <v>36.299999999999997</v>
      </c>
      <c r="K25" s="34">
        <f>VLOOKUP($B25,坦克属性统计!$B$3:$AY$33,MATCH(K$7,坦克属性统计!$B$3:$AY$3,0),FALSE)</f>
        <v>51</v>
      </c>
      <c r="L25" s="34">
        <f>VLOOKUP($B25,坦克属性统计!$B$3:$AY$33,MATCH(L$7,坦克属性统计!$B$3:$AY$3,0),FALSE)</f>
        <v>7.3</v>
      </c>
      <c r="M25" s="33">
        <f>VLOOKUP($B25,坦克属性统计!$B$3:$AY$33,MATCH(M$7,坦克属性统计!$B$3:$AY$3,0),FALSE)</f>
        <v>10</v>
      </c>
      <c r="N25" s="34">
        <f>VLOOKUP($B25,坦克属性统计!$B$3:$AY$33,MATCH(N$7,坦克属性统计!$B$3:$AY$3,0),FALSE)</f>
        <v>3.6</v>
      </c>
      <c r="O25" s="34">
        <f>VLOOKUP($B25,坦克属性统计!$B$3:$AY$33,MATCH(O$7,坦克属性统计!$B$3:$AY$3,0),FALSE)</f>
        <v>0</v>
      </c>
      <c r="P25" s="34">
        <f>VLOOKUP($B25,坦克属性统计!$B$3:$AY$33,MATCH(P$7,坦克属性统计!$B$3:$AY$3,0),FALSE)</f>
        <v>1</v>
      </c>
      <c r="Q25" s="42">
        <f ca="1">VLOOKUP($B25,坦克属性统计!$B$3:$AY$33,MATCH(Q$7,坦克属性统计!$B$3:$AY$3,0),FALSE)*(1+W25/Z25)</f>
        <v>1717</v>
      </c>
      <c r="R25" s="42">
        <f ca="1">VLOOKUP($B25,坦克属性统计!$B$3:$AY$33,MATCH(R$7,坦克属性统计!$B$3:$AY$3,0),FALSE)*(1+X25/AA25)</f>
        <v>211</v>
      </c>
      <c r="S25" s="33">
        <f ca="1">VLOOKUP($B25,坦克属性统计!$B$3:$AY$33,MATCH(S$7,坦克属性统计!$B$3:$AY$3,0),FALSE)</f>
        <v>657</v>
      </c>
      <c r="T25" s="33">
        <f ca="1">VLOOKUP($B25,坦克属性统计!$B$3:$AY$33,MATCH(T$7,坦克属性统计!$B$3:$AY$3,0),FALSE)</f>
        <v>493</v>
      </c>
      <c r="U25" s="42">
        <f ca="1">VLOOKUP($B25,坦克属性统计!$B$3:$AY$33,MATCH(U$7,坦克属性统计!$B$3:$AY$3,0),FALSE)*(1+Y25/AB25)</f>
        <v>720</v>
      </c>
      <c r="V25" s="33">
        <f ca="1">VLOOKUP($B25,坦克属性统计!$B$3:$AY$33,MATCH(V$7,坦克属性统计!$B$3:$AY$3,0),FALSE)</f>
        <v>173</v>
      </c>
      <c r="W25" s="33">
        <f>VLOOKUP($B25,坦克属性统计!$B$3:$AY$33,MATCH(W$7,坦克属性统计!$B$3:$AY$3,0),FALSE)</f>
        <v>0</v>
      </c>
      <c r="X25" s="33">
        <f>VLOOKUP($B25,坦克属性统计!$B$3:$AY$33,MATCH(X$7,坦克属性统计!$B$3:$AY$3,0),FALSE)</f>
        <v>0</v>
      </c>
      <c r="Y25" s="33">
        <f>VLOOKUP($B25,坦克属性统计!$B$3:$AY$33,MATCH(Y$7,坦克属性统计!$B$3:$AY$3,0),FALSE)</f>
        <v>0</v>
      </c>
      <c r="Z25" s="33">
        <f>VLOOKUP(B25,坦克部件!$AL$3:$AS$33,MATCH("基础系数",坦克部件!$AL$3:$AS$3,0),FALSE)</f>
        <v>4300</v>
      </c>
      <c r="AA25" s="33">
        <f t="shared" si="1"/>
        <v>4300</v>
      </c>
      <c r="AB25" s="33">
        <f t="shared" si="1"/>
        <v>4300</v>
      </c>
      <c r="AC25" s="34">
        <f t="shared" si="9"/>
        <v>26.666666666666668</v>
      </c>
      <c r="AD25" s="34" t="s">
        <v>626</v>
      </c>
      <c r="AE25" s="133"/>
      <c r="AF25" s="42">
        <f t="shared" ca="1" si="10"/>
        <v>2149.6294909928106</v>
      </c>
      <c r="AG25" s="42">
        <f t="shared" ca="1" si="11"/>
        <v>5626.666666666667</v>
      </c>
      <c r="AI25" s="1">
        <f t="shared" ca="1" si="12"/>
        <v>9660986.6666666679</v>
      </c>
      <c r="AJ25" s="1">
        <f t="shared" ca="1" si="13"/>
        <v>414000</v>
      </c>
      <c r="AK25" s="1">
        <f t="shared" ca="1" si="14"/>
        <v>23.335716586151371</v>
      </c>
      <c r="AL25" s="1">
        <f t="shared" ca="1" si="15"/>
        <v>48304.933333333342</v>
      </c>
      <c r="AM25" s="1">
        <f t="shared" ca="1" si="16"/>
        <v>6799.3009444599038</v>
      </c>
      <c r="AN25" s="1">
        <f t="shared" ca="1" si="17"/>
        <v>643.42831768581652</v>
      </c>
    </row>
    <row r="26" spans="2:51" x14ac:dyDescent="0.3">
      <c r="B26" s="2" t="str">
        <f>坦克个性化细分!I22</f>
        <v>百夫长</v>
      </c>
      <c r="C26" s="29" t="str">
        <f>VLOOKUP(B26,坦克个性化设定!$B$18:$F$48,5,FALSE)</f>
        <v>中坦自动</v>
      </c>
      <c r="D26" s="2" t="str">
        <f>坦克个性化细分!J22</f>
        <v>高</v>
      </c>
      <c r="E26" s="2" t="str">
        <f t="shared" si="0"/>
        <v>百夫长高</v>
      </c>
      <c r="F26" s="34">
        <f>VLOOKUP($B26,坦克属性统计!$B$3:$AY$33,MATCH(F$7,坦克属性统计!$B$3:$AY$3,0),FALSE)</f>
        <v>0.71</v>
      </c>
      <c r="G26" s="34">
        <f>VLOOKUP($B26,坦克属性统计!$B$3:$AY$33,MATCH(G$7,坦克属性统计!$B$3:$AY$3,0),FALSE)</f>
        <v>1.87</v>
      </c>
      <c r="H26" s="34">
        <f>VLOOKUP($B26,坦克属性统计!$B$3:$AY$33,MATCH(H$7,坦克属性统计!$B$3:$AY$3,0),FALSE)</f>
        <v>0.26</v>
      </c>
      <c r="I26" s="34">
        <f>VLOOKUP($B26,坦克属性统计!$B$3:$AY$33,MATCH(I$7,坦克属性统计!$B$3:$AY$3,0),FALSE)</f>
        <v>1</v>
      </c>
      <c r="J26" s="34">
        <f>VLOOKUP($B26,坦克属性统计!$B$3:$AY$33,MATCH(J$7,坦克属性统计!$B$3:$AY$3,0),FALSE)</f>
        <v>46.7</v>
      </c>
      <c r="K26" s="34">
        <f>VLOOKUP($B26,坦克属性统计!$B$3:$AY$33,MATCH(K$7,坦克属性统计!$B$3:$AY$3,0),FALSE)</f>
        <v>42</v>
      </c>
      <c r="L26" s="34">
        <f>VLOOKUP($B26,坦克属性统计!$B$3:$AY$33,MATCH(L$7,坦克属性统计!$B$3:$AY$3,0),FALSE)</f>
        <v>8.4</v>
      </c>
      <c r="M26" s="33">
        <f>VLOOKUP($B26,坦克属性统计!$B$3:$AY$33,MATCH(M$7,坦克属性统计!$B$3:$AY$3,0),FALSE)</f>
        <v>4</v>
      </c>
      <c r="N26" s="34">
        <f>VLOOKUP($B26,坦克属性统计!$B$3:$AY$33,MATCH(N$7,坦克属性统计!$B$3:$AY$3,0),FALSE)</f>
        <v>2.4</v>
      </c>
      <c r="O26" s="34">
        <f>VLOOKUP($B26,坦克属性统计!$B$3:$AY$33,MATCH(O$7,坦克属性统计!$B$3:$AY$3,0),FALSE)</f>
        <v>0</v>
      </c>
      <c r="P26" s="34">
        <f>VLOOKUP($B26,坦克属性统计!$B$3:$AY$33,MATCH(P$7,坦克属性统计!$B$3:$AY$3,0),FALSE)</f>
        <v>1.87</v>
      </c>
      <c r="Q26" s="42">
        <f ca="1">VLOOKUP($B26,坦克属性统计!$B$3:$AY$33,MATCH(Q$7,坦克属性统计!$B$3:$AY$3,0),FALSE)*(1+W26/Z26)</f>
        <v>1945</v>
      </c>
      <c r="R26" s="42">
        <f ca="1">VLOOKUP($B26,坦克属性统计!$B$3:$AY$33,MATCH(R$7,坦克属性统计!$B$3:$AY$3,0),FALSE)*(1+X26/AA26)</f>
        <v>201</v>
      </c>
      <c r="S26" s="33">
        <f ca="1">VLOOKUP($B26,坦克属性统计!$B$3:$AY$33,MATCH(S$7,坦克属性统计!$B$3:$AY$3,0),FALSE)</f>
        <v>657</v>
      </c>
      <c r="T26" s="33">
        <f ca="1">VLOOKUP($B26,坦克属性统计!$B$3:$AY$33,MATCH(T$7,坦克属性统计!$B$3:$AY$3,0),FALSE)</f>
        <v>493</v>
      </c>
      <c r="U26" s="42">
        <f ca="1">VLOOKUP($B26,坦克属性统计!$B$3:$AY$33,MATCH(U$7,坦克属性统计!$B$3:$AY$3,0),FALSE)*(1+Y26/AB26)</f>
        <v>720</v>
      </c>
      <c r="V26" s="33">
        <f ca="1">VLOOKUP($B26,坦克属性统计!$B$3:$AY$33,MATCH(V$7,坦克属性统计!$B$3:$AY$3,0),FALSE)</f>
        <v>173</v>
      </c>
      <c r="W26" s="33">
        <f>VLOOKUP($B26,坦克属性统计!$B$3:$AY$33,MATCH(W$7,坦克属性统计!$B$3:$AY$3,0),FALSE)</f>
        <v>0</v>
      </c>
      <c r="X26" s="33">
        <f>VLOOKUP($B26,坦克属性统计!$B$3:$AY$33,MATCH(X$7,坦克属性统计!$B$3:$AY$3,0),FALSE)</f>
        <v>0</v>
      </c>
      <c r="Y26" s="33">
        <f>VLOOKUP($B26,坦克属性统计!$B$3:$AY$33,MATCH(Y$7,坦克属性统计!$B$3:$AY$3,0),FALSE)</f>
        <v>0</v>
      </c>
      <c r="Z26" s="33">
        <f>VLOOKUP(B26,坦克部件!$AL$3:$AS$33,MATCH("基础系数",坦克部件!$AL$3:$AS$3,0),FALSE)</f>
        <v>4300</v>
      </c>
      <c r="AA26" s="33">
        <f t="shared" si="1"/>
        <v>4300</v>
      </c>
      <c r="AB26" s="33">
        <f t="shared" si="1"/>
        <v>4300</v>
      </c>
      <c r="AC26" s="34">
        <f t="shared" si="9"/>
        <v>29</v>
      </c>
      <c r="AD26" s="34" t="s">
        <v>626</v>
      </c>
      <c r="AE26" s="133"/>
      <c r="AF26" s="42">
        <f t="shared" ca="1" si="10"/>
        <v>2268.9097519810421</v>
      </c>
      <c r="AG26" s="42">
        <f t="shared" ca="1" si="11"/>
        <v>5829</v>
      </c>
      <c r="AI26" s="1">
        <f t="shared" ca="1" si="12"/>
        <v>11337405</v>
      </c>
      <c r="AJ26" s="1">
        <f t="shared" ca="1" si="13"/>
        <v>414000</v>
      </c>
      <c r="AK26" s="1">
        <f t="shared" ca="1" si="14"/>
        <v>27.385036231884058</v>
      </c>
      <c r="AL26" s="1">
        <f t="shared" ca="1" si="15"/>
        <v>56687.025000000001</v>
      </c>
      <c r="AM26" s="1">
        <f t="shared" ca="1" si="16"/>
        <v>6860.6634154431449</v>
      </c>
      <c r="AN26" s="1">
        <f t="shared" ca="1" si="17"/>
        <v>643.42831768581652</v>
      </c>
    </row>
    <row r="27" spans="2:51" x14ac:dyDescent="0.3">
      <c r="B27" s="2" t="str">
        <f>坦克个性化细分!I23</f>
        <v>挑战者</v>
      </c>
      <c r="C27" s="29" t="str">
        <f>VLOOKUP(B27,坦克个性化设定!$B$18:$F$48,5,FALSE)</f>
        <v>中坦自动</v>
      </c>
      <c r="D27" s="2" t="str">
        <f>坦克个性化细分!J23</f>
        <v>低</v>
      </c>
      <c r="E27" s="2" t="str">
        <f t="shared" si="0"/>
        <v>挑战者低</v>
      </c>
      <c r="F27" s="34">
        <f>VLOOKUP($B27,坦克属性统计!$B$3:$AY$33,MATCH(F$7,坦克属性统计!$B$3:$AY$3,0),FALSE)</f>
        <v>0.71</v>
      </c>
      <c r="G27" s="34">
        <f>VLOOKUP($B27,坦克属性统计!$B$3:$AY$33,MATCH(G$7,坦克属性统计!$B$3:$AY$3,0),FALSE)</f>
        <v>1.4</v>
      </c>
      <c r="H27" s="34">
        <f>VLOOKUP($B27,坦克属性统计!$B$3:$AY$33,MATCH(H$7,坦克属性统计!$B$3:$AY$3,0),FALSE)</f>
        <v>0.4</v>
      </c>
      <c r="I27" s="34">
        <f>VLOOKUP($B27,坦克属性统计!$B$3:$AY$33,MATCH(I$7,坦克属性统计!$B$3:$AY$3,0),FALSE)</f>
        <v>1</v>
      </c>
      <c r="J27" s="34">
        <f>VLOOKUP($B27,坦克属性统计!$B$3:$AY$33,MATCH(J$7,坦克属性统计!$B$3:$AY$3,0),FALSE)</f>
        <v>35.6</v>
      </c>
      <c r="K27" s="34">
        <f>VLOOKUP($B27,坦克属性统计!$B$3:$AY$33,MATCH(K$7,坦克属性统计!$B$3:$AY$3,0),FALSE)</f>
        <v>50</v>
      </c>
      <c r="L27" s="34">
        <f>VLOOKUP($B27,坦克属性统计!$B$3:$AY$33,MATCH(L$7,坦克属性统计!$B$3:$AY$3,0),FALSE)</f>
        <v>7.2</v>
      </c>
      <c r="M27" s="33">
        <f>VLOOKUP($B27,坦克属性统计!$B$3:$AY$33,MATCH(M$7,坦克属性统计!$B$3:$AY$3,0),FALSE)</f>
        <v>6</v>
      </c>
      <c r="N27" s="34">
        <f>VLOOKUP($B27,坦克属性统计!$B$3:$AY$33,MATCH(N$7,坦克属性统计!$B$3:$AY$3,0),FALSE)</f>
        <v>2.4</v>
      </c>
      <c r="O27" s="34">
        <f>VLOOKUP($B27,坦克属性统计!$B$3:$AY$33,MATCH(O$7,坦克属性统计!$B$3:$AY$3,0),FALSE)</f>
        <v>0</v>
      </c>
      <c r="P27" s="34">
        <f>VLOOKUP($B27,坦克属性统计!$B$3:$AY$33,MATCH(P$7,坦克属性统计!$B$3:$AY$3,0),FALSE)</f>
        <v>1.4</v>
      </c>
      <c r="Q27" s="42">
        <f ca="1">VLOOKUP($B27,坦克属性统计!$B$3:$AY$33,MATCH(Q$7,坦克属性统计!$B$3:$AY$3,0),FALSE)*(1+W27/Z27)</f>
        <v>2455</v>
      </c>
      <c r="R27" s="42">
        <f ca="1">VLOOKUP($B27,坦克属性统计!$B$3:$AY$33,MATCH(R$7,坦克属性统计!$B$3:$AY$3,0),FALSE)*(1+X27/AA27)</f>
        <v>231</v>
      </c>
      <c r="S27" s="33">
        <f ca="1">VLOOKUP($B27,坦克属性统计!$B$3:$AY$33,MATCH(S$7,坦克属性统计!$B$3:$AY$3,0),FALSE)</f>
        <v>828</v>
      </c>
      <c r="T27" s="33">
        <f ca="1">VLOOKUP($B27,坦克属性统计!$B$3:$AY$33,MATCH(T$7,坦克属性统计!$B$3:$AY$3,0),FALSE)</f>
        <v>621</v>
      </c>
      <c r="U27" s="42">
        <f ca="1">VLOOKUP($B27,坦克属性统计!$B$3:$AY$33,MATCH(U$7,坦克属性统计!$B$3:$AY$3,0),FALSE)*(1+Y27/AB27)</f>
        <v>907</v>
      </c>
      <c r="V27" s="33">
        <f ca="1">VLOOKUP($B27,坦克属性统计!$B$3:$AY$33,MATCH(V$7,坦克属性统计!$B$3:$AY$3,0),FALSE)</f>
        <v>218</v>
      </c>
      <c r="W27" s="33">
        <f>VLOOKUP($B27,坦克属性统计!$B$3:$AY$33,MATCH(W$7,坦克属性统计!$B$3:$AY$3,0),FALSE)</f>
        <v>0</v>
      </c>
      <c r="X27" s="33">
        <f>VLOOKUP($B27,坦克属性统计!$B$3:$AY$33,MATCH(X$7,坦克属性统计!$B$3:$AY$3,0),FALSE)</f>
        <v>0</v>
      </c>
      <c r="Y27" s="33">
        <f>VLOOKUP($B27,坦克属性统计!$B$3:$AY$33,MATCH(Y$7,坦克属性统计!$B$3:$AY$3,0),FALSE)</f>
        <v>0</v>
      </c>
      <c r="Z27" s="33">
        <f>VLOOKUP(B27,坦克部件!$AL$3:$AS$33,MATCH("基础系数",坦克部件!$AL$3:$AS$3,0),FALSE)</f>
        <v>5100</v>
      </c>
      <c r="AA27" s="33">
        <f t="shared" si="1"/>
        <v>5100</v>
      </c>
      <c r="AB27" s="33">
        <f t="shared" si="1"/>
        <v>5100</v>
      </c>
      <c r="AC27" s="34">
        <f t="shared" si="9"/>
        <v>31</v>
      </c>
      <c r="AD27" s="34" t="s">
        <v>633</v>
      </c>
      <c r="AE27" s="133"/>
      <c r="AF27" s="42">
        <f t="shared" ca="1" si="10"/>
        <v>3074.9117563288487</v>
      </c>
      <c r="AG27" s="42">
        <f t="shared" ca="1" si="11"/>
        <v>7161</v>
      </c>
      <c r="AI27" s="1">
        <f t="shared" ca="1" si="12"/>
        <v>17580255</v>
      </c>
      <c r="AJ27" s="1">
        <f t="shared" ca="1" si="13"/>
        <v>657121.5</v>
      </c>
      <c r="AK27" s="1">
        <f t="shared" ca="1" si="14"/>
        <v>26.753431443043638</v>
      </c>
      <c r="AL27" s="1">
        <f t="shared" ca="1" si="15"/>
        <v>87901.274999999994</v>
      </c>
      <c r="AM27" s="1">
        <f t="shared" ca="1" si="16"/>
        <v>8631.4701818404028</v>
      </c>
      <c r="AN27" s="1">
        <f t="shared" ca="1" si="17"/>
        <v>810.63031031414062</v>
      </c>
    </row>
    <row r="28" spans="2:51" x14ac:dyDescent="0.3">
      <c r="B28" s="2" t="str">
        <f>坦克个性化细分!I24</f>
        <v>B-1</v>
      </c>
      <c r="C28" s="29" t="str">
        <f>VLOOKUP(B28,坦克个性化设定!$B$18:$F$48,5,FALSE)</f>
        <v>重坦自动</v>
      </c>
      <c r="D28" s="2" t="str">
        <f>坦克个性化细分!J24</f>
        <v>低</v>
      </c>
      <c r="E28" s="2" t="str">
        <f t="shared" si="0"/>
        <v>B-1低</v>
      </c>
      <c r="F28" s="34">
        <f>VLOOKUP($B28,坦克属性统计!$B$3:$AY$33,MATCH(F$7,坦克属性统计!$B$3:$AY$3,0),FALSE)</f>
        <v>0.74</v>
      </c>
      <c r="G28" s="34">
        <f>VLOOKUP($B28,坦克属性统计!$B$3:$AY$33,MATCH(G$7,坦克属性统计!$B$3:$AY$3,0),FALSE)</f>
        <v>3</v>
      </c>
      <c r="H28" s="34">
        <f>VLOOKUP($B28,坦克属性统计!$B$3:$AY$33,MATCH(H$7,坦克属性统计!$B$3:$AY$3,0),FALSE)</f>
        <v>2.8</v>
      </c>
      <c r="I28" s="34">
        <f>VLOOKUP($B28,坦克属性统计!$B$3:$AY$33,MATCH(I$7,坦克属性统计!$B$3:$AY$3,0),FALSE)</f>
        <v>1.2</v>
      </c>
      <c r="J28" s="34">
        <f>VLOOKUP($B28,坦克属性统计!$B$3:$AY$33,MATCH(J$7,坦克属性统计!$B$3:$AY$3,0),FALSE)</f>
        <v>38.299999999999997</v>
      </c>
      <c r="K28" s="34">
        <f>VLOOKUP($B28,坦克属性统计!$B$3:$AY$33,MATCH(K$7,坦克属性统计!$B$3:$AY$3,0),FALSE)</f>
        <v>28</v>
      </c>
      <c r="L28" s="34">
        <f>VLOOKUP($B28,坦克属性统计!$B$3:$AY$33,MATCH(L$7,坦克属性统计!$B$3:$AY$3,0),FALSE)</f>
        <v>7</v>
      </c>
      <c r="M28" s="33">
        <f>VLOOKUP($B28,坦克属性统计!$B$3:$AY$33,MATCH(M$7,坦克属性统计!$B$3:$AY$3,0),FALSE)</f>
        <v>1</v>
      </c>
      <c r="N28" s="34">
        <f>VLOOKUP($B28,坦克属性统计!$B$3:$AY$33,MATCH(N$7,坦克属性统计!$B$3:$AY$3,0),FALSE)</f>
        <v>5.3999999999999995</v>
      </c>
      <c r="O28" s="34">
        <f>VLOOKUP($B28,坦克属性统计!$B$3:$AY$33,MATCH(O$7,坦克属性统计!$B$3:$AY$3,0),FALSE)</f>
        <v>0</v>
      </c>
      <c r="P28" s="34">
        <f>VLOOKUP($B28,坦克属性统计!$B$3:$AY$33,MATCH(P$7,坦克属性统计!$B$3:$AY$3,0),FALSE)</f>
        <v>2.5</v>
      </c>
      <c r="Q28" s="42">
        <f ca="1">VLOOKUP($B28,坦克属性统计!$B$3:$AY$33,MATCH(Q$7,坦克属性统计!$B$3:$AY$3,0),FALSE)*(1+W28/Z28)</f>
        <v>726</v>
      </c>
      <c r="R28" s="42">
        <f ca="1">VLOOKUP($B28,坦克属性统计!$B$3:$AY$33,MATCH(R$7,坦克属性统计!$B$3:$AY$3,0),FALSE)*(1+X28/AA28)</f>
        <v>358</v>
      </c>
      <c r="S28" s="33">
        <f ca="1">VLOOKUP($B28,坦克属性统计!$B$3:$AY$33,MATCH(S$7,坦克属性统计!$B$3:$AY$3,0),FALSE)</f>
        <v>286</v>
      </c>
      <c r="T28" s="33">
        <f ca="1">VLOOKUP($B28,坦克属性统计!$B$3:$AY$33,MATCH(T$7,坦克属性统计!$B$3:$AY$3,0),FALSE)</f>
        <v>229</v>
      </c>
      <c r="U28" s="42">
        <f ca="1">VLOOKUP($B28,坦克属性统计!$B$3:$AY$33,MATCH(U$7,坦克属性统计!$B$3:$AY$3,0),FALSE)*(1+Y28/AB28)</f>
        <v>420</v>
      </c>
      <c r="V28" s="33">
        <f ca="1">VLOOKUP($B28,坦克属性统计!$B$3:$AY$33,MATCH(V$7,坦克属性统计!$B$3:$AY$3,0),FALSE)</f>
        <v>98</v>
      </c>
      <c r="W28" s="33">
        <f>VLOOKUP($B28,坦克属性统计!$B$3:$AY$33,MATCH(W$7,坦克属性统计!$B$3:$AY$3,0),FALSE)</f>
        <v>0</v>
      </c>
      <c r="X28" s="33">
        <f>VLOOKUP($B28,坦克属性统计!$B$3:$AY$33,MATCH(X$7,坦克属性统计!$B$3:$AY$3,0),FALSE)</f>
        <v>0</v>
      </c>
      <c r="Y28" s="33">
        <f>VLOOKUP($B28,坦克属性统计!$B$3:$AY$33,MATCH(Y$7,坦克属性统计!$B$3:$AY$3,0),FALSE)</f>
        <v>0</v>
      </c>
      <c r="Z28" s="33">
        <f>VLOOKUP(B28,坦克部件!$AL$3:$AS$33,MATCH("基础系数",坦克部件!$AL$3:$AS$3,0),FALSE)</f>
        <v>1750</v>
      </c>
      <c r="AA28" s="33">
        <f t="shared" si="1"/>
        <v>1750</v>
      </c>
      <c r="AB28" s="33">
        <f t="shared" si="1"/>
        <v>1750</v>
      </c>
      <c r="AC28" s="34">
        <f t="shared" si="9"/>
        <v>12.111111111111112</v>
      </c>
      <c r="AD28" s="34" t="s">
        <v>613</v>
      </c>
      <c r="AE28" s="133"/>
      <c r="AF28" s="42">
        <f t="shared" ca="1" si="10"/>
        <v>935.92581205006775</v>
      </c>
      <c r="AG28" s="42">
        <f t="shared" ca="1" si="11"/>
        <v>4335.7777777777783</v>
      </c>
      <c r="AI28" s="1">
        <f t="shared" ca="1" si="12"/>
        <v>3147774.666666667</v>
      </c>
      <c r="AJ28" s="1">
        <f t="shared" ca="1" si="13"/>
        <v>108150</v>
      </c>
      <c r="AK28" s="1">
        <f t="shared" ca="1" si="14"/>
        <v>29.105637232239175</v>
      </c>
      <c r="AL28" s="1">
        <f t="shared" ca="1" si="15"/>
        <v>15738.873333333335</v>
      </c>
      <c r="AM28" s="1">
        <f t="shared" ca="1" si="16"/>
        <v>3519.7851260174016</v>
      </c>
      <c r="AN28" s="1">
        <f t="shared" ca="1" si="17"/>
        <v>328.86167304810698</v>
      </c>
    </row>
    <row r="29" spans="2:51" x14ac:dyDescent="0.3">
      <c r="B29" s="2" t="str">
        <f>坦克个性化细分!I25</f>
        <v>KV-1</v>
      </c>
      <c r="C29" s="29" t="str">
        <f>VLOOKUP(B29,坦克个性化设定!$B$18:$F$48,5,FALSE)</f>
        <v>重坦自动</v>
      </c>
      <c r="D29" s="2" t="str">
        <f>坦克个性化细分!J25</f>
        <v>低</v>
      </c>
      <c r="E29" s="2" t="str">
        <f t="shared" si="0"/>
        <v>KV-1低</v>
      </c>
      <c r="F29" s="34">
        <f>VLOOKUP($B29,坦克属性统计!$B$3:$AY$33,MATCH(F$7,坦克属性统计!$B$3:$AY$3,0),FALSE)</f>
        <v>0.71</v>
      </c>
      <c r="G29" s="34">
        <f>VLOOKUP($B29,坦克属性统计!$B$3:$AY$33,MATCH(G$7,坦克属性统计!$B$3:$AY$3,0),FALSE)</f>
        <v>2.5</v>
      </c>
      <c r="H29" s="34">
        <f>VLOOKUP($B29,坦克属性统计!$B$3:$AY$33,MATCH(H$7,坦克属性统计!$B$3:$AY$3,0),FALSE)</f>
        <v>1.88</v>
      </c>
      <c r="I29" s="34">
        <f>VLOOKUP($B29,坦克属性统计!$B$3:$AY$33,MATCH(I$7,坦克属性统计!$B$3:$AY$3,0),FALSE)</f>
        <v>1.2</v>
      </c>
      <c r="J29" s="34">
        <f>VLOOKUP($B29,坦克属性统计!$B$3:$AY$33,MATCH(J$7,坦克属性统计!$B$3:$AY$3,0),FALSE)</f>
        <v>38.299999999999997</v>
      </c>
      <c r="K29" s="34">
        <f>VLOOKUP($B29,坦克属性统计!$B$3:$AY$33,MATCH(K$7,坦克属性统计!$B$3:$AY$3,0),FALSE)</f>
        <v>28</v>
      </c>
      <c r="L29" s="34">
        <f>VLOOKUP($B29,坦克属性统计!$B$3:$AY$33,MATCH(L$7,坦克属性统计!$B$3:$AY$3,0),FALSE)</f>
        <v>7</v>
      </c>
      <c r="M29" s="33">
        <f>VLOOKUP($B29,坦克属性统计!$B$3:$AY$33,MATCH(M$7,坦克属性统计!$B$3:$AY$3,0),FALSE)</f>
        <v>3</v>
      </c>
      <c r="N29" s="34">
        <f>VLOOKUP($B29,坦克属性统计!$B$3:$AY$33,MATCH(N$7,坦克属性统计!$B$3:$AY$3,0),FALSE)</f>
        <v>3.6</v>
      </c>
      <c r="O29" s="34">
        <f>VLOOKUP($B29,坦克属性统计!$B$3:$AY$33,MATCH(O$7,坦克属性统计!$B$3:$AY$3,0),FALSE)</f>
        <v>0</v>
      </c>
      <c r="P29" s="34">
        <f>VLOOKUP($B29,坦克属性统计!$B$3:$AY$33,MATCH(P$7,坦克属性统计!$B$3:$AY$3,0),FALSE)</f>
        <v>2.0833333333333335</v>
      </c>
      <c r="Q29" s="42">
        <f ca="1">VLOOKUP($B29,坦克属性统计!$B$3:$AY$33,MATCH(Q$7,坦克属性统计!$B$3:$AY$3,0),FALSE)*(1+W29/Z29)</f>
        <v>1106</v>
      </c>
      <c r="R29" s="42">
        <f ca="1">VLOOKUP($B29,坦克属性统计!$B$3:$AY$33,MATCH(R$7,坦克属性统计!$B$3:$AY$3,0),FALSE)*(1+X29/AA29)</f>
        <v>257</v>
      </c>
      <c r="S29" s="33">
        <f ca="1">VLOOKUP($B29,坦克属性统计!$B$3:$AY$33,MATCH(S$7,坦克属性统计!$B$3:$AY$3,0),FALSE)</f>
        <v>343</v>
      </c>
      <c r="T29" s="33">
        <f ca="1">VLOOKUP($B29,坦克属性统计!$B$3:$AY$33,MATCH(T$7,坦克属性统计!$B$3:$AY$3,0),FALSE)</f>
        <v>274</v>
      </c>
      <c r="U29" s="42">
        <f ca="1">VLOOKUP($B29,坦克属性统计!$B$3:$AY$33,MATCH(U$7,坦克属性统计!$B$3:$AY$3,0),FALSE)*(1+Y29/AB29)</f>
        <v>504</v>
      </c>
      <c r="V29" s="33">
        <f ca="1">VLOOKUP($B29,坦克属性统计!$B$3:$AY$33,MATCH(V$7,坦克属性统计!$B$3:$AY$3,0),FALSE)</f>
        <v>117</v>
      </c>
      <c r="W29" s="33">
        <f>VLOOKUP($B29,坦克属性统计!$B$3:$AY$33,MATCH(W$7,坦克属性统计!$B$3:$AY$3,0),FALSE)</f>
        <v>0</v>
      </c>
      <c r="X29" s="33">
        <f>VLOOKUP($B29,坦克属性统计!$B$3:$AY$33,MATCH(X$7,坦克属性统计!$B$3:$AY$3,0),FALSE)</f>
        <v>0</v>
      </c>
      <c r="Y29" s="33">
        <f>VLOOKUP($B29,坦克属性统计!$B$3:$AY$33,MATCH(Y$7,坦克属性统计!$B$3:$AY$3,0),FALSE)</f>
        <v>0</v>
      </c>
      <c r="Z29" s="33">
        <f>VLOOKUP(B29,坦克部件!$AL$3:$AS$33,MATCH("基础系数",坦克部件!$AL$3:$AS$3,0),FALSE)</f>
        <v>2500</v>
      </c>
      <c r="AA29" s="33">
        <f t="shared" si="1"/>
        <v>2500</v>
      </c>
      <c r="AB29" s="33">
        <f t="shared" si="1"/>
        <v>2500</v>
      </c>
      <c r="AC29" s="34">
        <f t="shared" si="9"/>
        <v>19.666666666666668</v>
      </c>
      <c r="AD29" s="34" t="s">
        <v>615</v>
      </c>
      <c r="AE29" s="133"/>
      <c r="AF29" s="42">
        <f t="shared" ca="1" si="10"/>
        <v>1284.1894163616234</v>
      </c>
      <c r="AG29" s="42">
        <f t="shared" ca="1" si="11"/>
        <v>5054.3333333333339</v>
      </c>
      <c r="AI29" s="1">
        <f t="shared" ca="1" si="12"/>
        <v>5590092.666666667</v>
      </c>
      <c r="AJ29" s="1">
        <f t="shared" ca="1" si="13"/>
        <v>155484</v>
      </c>
      <c r="AK29" s="1">
        <f t="shared" ca="1" si="14"/>
        <v>35.952848310222706</v>
      </c>
      <c r="AL29" s="1">
        <f t="shared" ca="1" si="15"/>
        <v>27950.463333333333</v>
      </c>
      <c r="AM29" s="1">
        <f t="shared" ca="1" si="16"/>
        <v>4282.9249740490823</v>
      </c>
      <c r="AN29" s="1">
        <f t="shared" ca="1" si="17"/>
        <v>394.31459521554615</v>
      </c>
    </row>
    <row r="30" spans="2:51" x14ac:dyDescent="0.3">
      <c r="B30" s="2" t="str">
        <f>坦克个性化细分!I26</f>
        <v>丘吉尔</v>
      </c>
      <c r="C30" s="29" t="str">
        <f>VLOOKUP(B30,坦克个性化设定!$B$18:$F$48,5,FALSE)</f>
        <v>重坦单发</v>
      </c>
      <c r="D30" s="2" t="str">
        <f>坦克个性化细分!J26</f>
        <v>中</v>
      </c>
      <c r="E30" s="2" t="str">
        <f t="shared" si="0"/>
        <v>丘吉尔中</v>
      </c>
      <c r="F30" s="34">
        <f>VLOOKUP($B30,坦克属性统计!$B$3:$AY$33,MATCH(F$7,坦克属性统计!$B$3:$AY$3,0),FALSE)</f>
        <v>0.68</v>
      </c>
      <c r="G30" s="34">
        <f>VLOOKUP($B30,坦克属性统计!$B$3:$AY$33,MATCH(G$7,坦克属性统计!$B$3:$AY$3,0),FALSE)</f>
        <v>3</v>
      </c>
      <c r="H30" s="34">
        <f>VLOOKUP($B30,坦克属性统计!$B$3:$AY$33,MATCH(H$7,坦克属性统计!$B$3:$AY$3,0),FALSE)</f>
        <v>0</v>
      </c>
      <c r="I30" s="34">
        <f>VLOOKUP($B30,坦克属性统计!$B$3:$AY$33,MATCH(I$7,坦克属性统计!$B$3:$AY$3,0),FALSE)</f>
        <v>1</v>
      </c>
      <c r="J30" s="34">
        <f>VLOOKUP($B30,坦克属性统计!$B$3:$AY$33,MATCH(J$7,坦克属性统计!$B$3:$AY$3,0),FALSE)</f>
        <v>31.3</v>
      </c>
      <c r="K30" s="34">
        <f>VLOOKUP($B30,坦克属性统计!$B$3:$AY$33,MATCH(K$7,坦克属性统计!$B$3:$AY$3,0),FALSE)</f>
        <v>31.4</v>
      </c>
      <c r="L30" s="34">
        <f>VLOOKUP($B30,坦克属性统计!$B$3:$AY$33,MATCH(L$7,坦克属性统计!$B$3:$AY$3,0),FALSE)</f>
        <v>6.4</v>
      </c>
      <c r="M30" s="33">
        <f>VLOOKUP($B30,坦克属性统计!$B$3:$AY$33,MATCH(M$7,坦克属性统计!$B$3:$AY$3,0),FALSE)</f>
        <v>1</v>
      </c>
      <c r="N30" s="34">
        <f>VLOOKUP($B30,坦克属性统计!$B$3:$AY$33,MATCH(N$7,坦克属性统计!$B$3:$AY$3,0),FALSE)</f>
        <v>6</v>
      </c>
      <c r="O30" s="34">
        <f>VLOOKUP($B30,坦克属性统计!$B$3:$AY$33,MATCH(O$7,坦克属性统计!$B$3:$AY$3,0),FALSE)</f>
        <v>0</v>
      </c>
      <c r="P30" s="34">
        <f>VLOOKUP($B30,坦克属性统计!$B$3:$AY$33,MATCH(P$7,坦克属性统计!$B$3:$AY$3,0),FALSE)</f>
        <v>3</v>
      </c>
      <c r="Q30" s="42">
        <f ca="1">VLOOKUP($B30,坦克属性统计!$B$3:$AY$33,MATCH(Q$7,坦克属性统计!$B$3:$AY$3,0),FALSE)*(1+W30/Z30)</f>
        <v>1161</v>
      </c>
      <c r="R30" s="42">
        <f ca="1">VLOOKUP($B30,坦克属性统计!$B$3:$AY$33,MATCH(R$7,坦克属性统计!$B$3:$AY$3,0),FALSE)*(1+X30/AA30)</f>
        <v>444</v>
      </c>
      <c r="S30" s="33">
        <f ca="1">VLOOKUP($B30,坦克属性统计!$B$3:$AY$33,MATCH(S$7,坦克属性统计!$B$3:$AY$3,0),FALSE)</f>
        <v>383</v>
      </c>
      <c r="T30" s="33">
        <f ca="1">VLOOKUP($B30,坦克属性统计!$B$3:$AY$33,MATCH(T$7,坦克属性统计!$B$3:$AY$3,0),FALSE)</f>
        <v>307</v>
      </c>
      <c r="U30" s="42">
        <f ca="1">VLOOKUP($B30,坦克属性统计!$B$3:$AY$33,MATCH(U$7,坦克属性统计!$B$3:$AY$3,0),FALSE)*(1+Y30/AB30)</f>
        <v>512</v>
      </c>
      <c r="V30" s="33">
        <f ca="1">VLOOKUP($B30,坦克属性统计!$B$3:$AY$33,MATCH(V$7,坦克属性统计!$B$3:$AY$3,0),FALSE)</f>
        <v>119</v>
      </c>
      <c r="W30" s="33">
        <f>VLOOKUP($B30,坦克属性统计!$B$3:$AY$33,MATCH(W$7,坦克属性统计!$B$3:$AY$3,0),FALSE)</f>
        <v>0</v>
      </c>
      <c r="X30" s="33">
        <f>VLOOKUP($B30,坦克属性统计!$B$3:$AY$33,MATCH(X$7,坦克属性统计!$B$3:$AY$3,0),FALSE)</f>
        <v>0</v>
      </c>
      <c r="Y30" s="33">
        <f>VLOOKUP($B30,坦克属性统计!$B$3:$AY$33,MATCH(Y$7,坦克属性统计!$B$3:$AY$3,0),FALSE)</f>
        <v>0</v>
      </c>
      <c r="Z30" s="33">
        <f>VLOOKUP(B30,坦克部件!$AL$3:$AS$33,MATCH("基础系数",坦克部件!$AL$3:$AS$3,0),FALSE)</f>
        <v>2500</v>
      </c>
      <c r="AA30" s="33">
        <f t="shared" si="1"/>
        <v>2500</v>
      </c>
      <c r="AB30" s="33">
        <f t="shared" si="1"/>
        <v>2500</v>
      </c>
      <c r="AC30" s="34">
        <f t="shared" si="9"/>
        <v>11</v>
      </c>
      <c r="AD30" s="34" t="s">
        <v>615</v>
      </c>
      <c r="AE30" s="133"/>
      <c r="AF30" s="42">
        <f t="shared" ca="1" si="10"/>
        <v>1347.1515659646084</v>
      </c>
      <c r="AG30" s="42">
        <f t="shared" ca="1" si="11"/>
        <v>4884</v>
      </c>
      <c r="AI30" s="1">
        <f t="shared" ca="1" si="12"/>
        <v>5670324</v>
      </c>
      <c r="AJ30" s="1">
        <f t="shared" ca="1" si="13"/>
        <v>176640</v>
      </c>
      <c r="AK30" s="1">
        <f t="shared" ca="1" si="14"/>
        <v>32.101019021739127</v>
      </c>
      <c r="AL30" s="1">
        <f t="shared" ca="1" si="15"/>
        <v>28351.62</v>
      </c>
      <c r="AM30" s="1">
        <f t="shared" ca="1" si="16"/>
        <v>4527.6000265041084</v>
      </c>
      <c r="AN30" s="1">
        <f t="shared" ca="1" si="17"/>
        <v>420.28561717003834</v>
      </c>
    </row>
    <row r="31" spans="2:51" x14ac:dyDescent="0.3">
      <c r="B31" s="2" t="str">
        <f>坦克个性化细分!I27</f>
        <v>黑豹</v>
      </c>
      <c r="C31" s="29" t="str">
        <f>VLOOKUP(B31,坦克个性化设定!$B$18:$F$48,5,FALSE)</f>
        <v>重坦单发</v>
      </c>
      <c r="D31" s="2" t="str">
        <f>坦克个性化细分!J27</f>
        <v>低</v>
      </c>
      <c r="E31" s="2" t="str">
        <f t="shared" si="0"/>
        <v>黑豹低</v>
      </c>
      <c r="F31" s="34">
        <f>VLOOKUP($B31,坦克属性统计!$B$3:$AY$33,MATCH(F$7,坦克属性统计!$B$3:$AY$3,0),FALSE)</f>
        <v>0.62</v>
      </c>
      <c r="G31" s="34">
        <f>VLOOKUP($B31,坦克属性统计!$B$3:$AY$33,MATCH(G$7,坦克属性统计!$B$3:$AY$3,0),FALSE)</f>
        <v>3</v>
      </c>
      <c r="H31" s="34">
        <f>VLOOKUP($B31,坦克属性统计!$B$3:$AY$33,MATCH(H$7,坦克属性统计!$B$3:$AY$3,0),FALSE)</f>
        <v>0</v>
      </c>
      <c r="I31" s="34">
        <f>VLOOKUP($B31,坦克属性统计!$B$3:$AY$33,MATCH(I$7,坦克属性统计!$B$3:$AY$3,0),FALSE)</f>
        <v>1</v>
      </c>
      <c r="J31" s="34">
        <f>VLOOKUP($B31,坦克属性统计!$B$3:$AY$33,MATCH(J$7,坦克属性统计!$B$3:$AY$3,0),FALSE)</f>
        <v>30.7</v>
      </c>
      <c r="K31" s="34">
        <f>VLOOKUP($B31,坦克属性统计!$B$3:$AY$33,MATCH(K$7,坦克属性统计!$B$3:$AY$3,0),FALSE)</f>
        <v>33.6</v>
      </c>
      <c r="L31" s="34">
        <f>VLOOKUP($B31,坦克属性统计!$B$3:$AY$33,MATCH(L$7,坦克属性统计!$B$3:$AY$3,0),FALSE)</f>
        <v>6.3</v>
      </c>
      <c r="M31" s="33">
        <f>VLOOKUP($B31,坦克属性统计!$B$3:$AY$33,MATCH(M$7,坦克属性统计!$B$3:$AY$3,0),FALSE)</f>
        <v>1</v>
      </c>
      <c r="N31" s="34">
        <f>VLOOKUP($B31,坦克属性统计!$B$3:$AY$33,MATCH(N$7,坦克属性统计!$B$3:$AY$3,0),FALSE)</f>
        <v>6</v>
      </c>
      <c r="O31" s="34">
        <f>VLOOKUP($B31,坦克属性统计!$B$3:$AY$33,MATCH(O$7,坦克属性统计!$B$3:$AY$3,0),FALSE)</f>
        <v>0</v>
      </c>
      <c r="P31" s="34">
        <f>VLOOKUP($B31,坦克属性统计!$B$3:$AY$33,MATCH(P$7,坦克属性统计!$B$3:$AY$3,0),FALSE)</f>
        <v>3</v>
      </c>
      <c r="Q31" s="42">
        <f ca="1">VLOOKUP($B31,坦克属性统计!$B$3:$AY$33,MATCH(Q$7,坦克属性统计!$B$3:$AY$3,0),FALSE)*(1+W31/Z31)</f>
        <v>1456</v>
      </c>
      <c r="R31" s="42">
        <f ca="1">VLOOKUP($B31,坦克属性统计!$B$3:$AY$33,MATCH(R$7,坦克属性统计!$B$3:$AY$3,0),FALSE)*(1+X31/AA31)</f>
        <v>521</v>
      </c>
      <c r="S31" s="33">
        <f ca="1">VLOOKUP($B31,坦克属性统计!$B$3:$AY$33,MATCH(S$7,坦克属性统计!$B$3:$AY$3,0),FALSE)</f>
        <v>465</v>
      </c>
      <c r="T31" s="33">
        <f ca="1">VLOOKUP($B31,坦克属性统计!$B$3:$AY$33,MATCH(T$7,坦克属性统计!$B$3:$AY$3,0),FALSE)</f>
        <v>372</v>
      </c>
      <c r="U31" s="42">
        <f ca="1">VLOOKUP($B31,坦克属性统计!$B$3:$AY$33,MATCH(U$7,坦克属性统计!$B$3:$AY$3,0),FALSE)*(1+Y31/AB31)</f>
        <v>622</v>
      </c>
      <c r="V31" s="33">
        <f ca="1">VLOOKUP($B31,坦克属性统计!$B$3:$AY$33,MATCH(V$7,坦克属性统计!$B$3:$AY$3,0),FALSE)</f>
        <v>145</v>
      </c>
      <c r="W31" s="33">
        <f>VLOOKUP($B31,坦克属性统计!$B$3:$AY$33,MATCH(W$7,坦克属性统计!$B$3:$AY$3,0),FALSE)</f>
        <v>0</v>
      </c>
      <c r="X31" s="33">
        <f>VLOOKUP($B31,坦克属性统计!$B$3:$AY$33,MATCH(X$7,坦克属性统计!$B$3:$AY$3,0),FALSE)</f>
        <v>0</v>
      </c>
      <c r="Y31" s="33">
        <f>VLOOKUP($B31,坦克属性统计!$B$3:$AY$33,MATCH(Y$7,坦克属性统计!$B$3:$AY$3,0),FALSE)</f>
        <v>0</v>
      </c>
      <c r="Z31" s="33">
        <f>VLOOKUP(B31,坦克部件!$AL$3:$AS$33,MATCH("基础系数",坦克部件!$AL$3:$AS$3,0),FALSE)</f>
        <v>3600</v>
      </c>
      <c r="AA31" s="33">
        <f t="shared" si="1"/>
        <v>3600</v>
      </c>
      <c r="AB31" s="33">
        <f t="shared" si="1"/>
        <v>3600</v>
      </c>
      <c r="AC31" s="34">
        <f t="shared" si="9"/>
        <v>11</v>
      </c>
      <c r="AD31" s="34" t="s">
        <v>619</v>
      </c>
      <c r="AE31" s="133"/>
      <c r="AF31" s="42">
        <f t="shared" ca="1" si="10"/>
        <v>1749.3529685929989</v>
      </c>
      <c r="AG31" s="42">
        <f t="shared" ca="1" si="11"/>
        <v>5731</v>
      </c>
      <c r="AI31" s="1">
        <f t="shared" ca="1" si="12"/>
        <v>8344336</v>
      </c>
      <c r="AJ31" s="1">
        <f t="shared" ca="1" si="13"/>
        <v>260307</v>
      </c>
      <c r="AK31" s="1">
        <f t="shared" ca="1" si="14"/>
        <v>32.055749557253549</v>
      </c>
      <c r="AL31" s="1">
        <f t="shared" ca="1" si="15"/>
        <v>41721.68</v>
      </c>
      <c r="AM31" s="1">
        <f t="shared" ca="1" si="16"/>
        <v>5495.7136024359934</v>
      </c>
      <c r="AN31" s="1">
        <f t="shared" ca="1" si="17"/>
        <v>510.20290081496006</v>
      </c>
    </row>
    <row r="32" spans="2:51" x14ac:dyDescent="0.3">
      <c r="B32" s="2" t="str">
        <f>坦克个性化细分!I28</f>
        <v>虎式</v>
      </c>
      <c r="C32" s="29" t="str">
        <f>VLOOKUP(B32,坦克个性化设定!$B$18:$F$48,5,FALSE)</f>
        <v>重坦单发</v>
      </c>
      <c r="D32" s="2" t="str">
        <f>坦克个性化细分!J28</f>
        <v>中</v>
      </c>
      <c r="E32" s="2" t="str">
        <f t="shared" si="0"/>
        <v>虎式中</v>
      </c>
      <c r="F32" s="34">
        <f>VLOOKUP($B32,坦克属性统计!$B$3:$AY$33,MATCH(F$7,坦克属性统计!$B$3:$AY$3,0),FALSE)</f>
        <v>0.68</v>
      </c>
      <c r="G32" s="34">
        <f>VLOOKUP($B32,坦克属性统计!$B$3:$AY$33,MATCH(G$7,坦克属性统计!$B$3:$AY$3,0),FALSE)</f>
        <v>3</v>
      </c>
      <c r="H32" s="34">
        <f>VLOOKUP($B32,坦克属性统计!$B$3:$AY$33,MATCH(H$7,坦克属性统计!$B$3:$AY$3,0),FALSE)</f>
        <v>0</v>
      </c>
      <c r="I32" s="34">
        <f>VLOOKUP($B32,坦克属性统计!$B$3:$AY$33,MATCH(I$7,坦克属性统计!$B$3:$AY$3,0),FALSE)</f>
        <v>1</v>
      </c>
      <c r="J32" s="34">
        <f>VLOOKUP($B32,坦克属性统计!$B$3:$AY$33,MATCH(J$7,坦克属性统计!$B$3:$AY$3,0),FALSE)</f>
        <v>31.3</v>
      </c>
      <c r="K32" s="34">
        <f>VLOOKUP($B32,坦克属性统计!$B$3:$AY$33,MATCH(K$7,坦克属性统计!$B$3:$AY$3,0),FALSE)</f>
        <v>35.700000000000003</v>
      </c>
      <c r="L32" s="34">
        <f>VLOOKUP($B32,坦克属性统计!$B$3:$AY$33,MATCH(L$7,坦克属性统计!$B$3:$AY$3,0),FALSE)</f>
        <v>6.4</v>
      </c>
      <c r="M32" s="33">
        <f>VLOOKUP($B32,坦克属性统计!$B$3:$AY$33,MATCH(M$7,坦克属性统计!$B$3:$AY$3,0),FALSE)</f>
        <v>1</v>
      </c>
      <c r="N32" s="34">
        <f>VLOOKUP($B32,坦克属性统计!$B$3:$AY$33,MATCH(N$7,坦克属性统计!$B$3:$AY$3,0),FALSE)</f>
        <v>6</v>
      </c>
      <c r="O32" s="34">
        <f>VLOOKUP($B32,坦克属性统计!$B$3:$AY$33,MATCH(O$7,坦克属性统计!$B$3:$AY$3,0),FALSE)</f>
        <v>0</v>
      </c>
      <c r="P32" s="34">
        <f>VLOOKUP($B32,坦克属性统计!$B$3:$AY$33,MATCH(P$7,坦克属性统计!$B$3:$AY$3,0),FALSE)</f>
        <v>3</v>
      </c>
      <c r="Q32" s="42">
        <f ca="1">VLOOKUP($B32,坦克属性统计!$B$3:$AY$33,MATCH(Q$7,坦克属性统计!$B$3:$AY$3,0),FALSE)*(1+W32/Z32)</f>
        <v>1455</v>
      </c>
      <c r="R32" s="42">
        <f ca="1">VLOOKUP($B32,坦克属性统计!$B$3:$AY$33,MATCH(R$7,坦克属性统计!$B$3:$AY$3,0),FALSE)*(1+X32/AA32)</f>
        <v>565</v>
      </c>
      <c r="S32" s="33">
        <f ca="1">VLOOKUP($B32,坦克属性统计!$B$3:$AY$33,MATCH(S$7,坦克属性统计!$B$3:$AY$3,0),FALSE)</f>
        <v>484</v>
      </c>
      <c r="T32" s="33">
        <f ca="1">VLOOKUP($B32,坦克属性统计!$B$3:$AY$33,MATCH(T$7,坦克属性统计!$B$3:$AY$3,0),FALSE)</f>
        <v>387</v>
      </c>
      <c r="U32" s="42">
        <f ca="1">VLOOKUP($B32,坦克属性统计!$B$3:$AY$33,MATCH(U$7,坦克属性统计!$B$3:$AY$3,0),FALSE)*(1+Y32/AB32)</f>
        <v>647</v>
      </c>
      <c r="V32" s="33">
        <f ca="1">VLOOKUP($B32,坦克属性统计!$B$3:$AY$33,MATCH(V$7,坦克属性统计!$B$3:$AY$3,0),FALSE)</f>
        <v>151</v>
      </c>
      <c r="W32" s="33">
        <f>VLOOKUP($B32,坦克属性统计!$B$3:$AY$33,MATCH(W$7,坦克属性统计!$B$3:$AY$3,0),FALSE)</f>
        <v>0</v>
      </c>
      <c r="X32" s="33">
        <f>VLOOKUP($B32,坦克属性统计!$B$3:$AY$33,MATCH(X$7,坦克属性统计!$B$3:$AY$3,0),FALSE)</f>
        <v>0</v>
      </c>
      <c r="Y32" s="33">
        <f>VLOOKUP($B32,坦克属性统计!$B$3:$AY$33,MATCH(Y$7,坦克属性统计!$B$3:$AY$3,0),FALSE)</f>
        <v>0</v>
      </c>
      <c r="Z32" s="33">
        <f>VLOOKUP(B32,坦克部件!$AL$3:$AS$33,MATCH("基础系数",坦克部件!$AL$3:$AS$3,0),FALSE)</f>
        <v>3600</v>
      </c>
      <c r="AA32" s="33">
        <f t="shared" si="1"/>
        <v>3600</v>
      </c>
      <c r="AB32" s="33">
        <f t="shared" si="1"/>
        <v>3600</v>
      </c>
      <c r="AC32" s="34">
        <f t="shared" si="9"/>
        <v>11</v>
      </c>
      <c r="AD32" s="34" t="s">
        <v>619</v>
      </c>
      <c r="AE32" s="133"/>
      <c r="AF32" s="42">
        <f t="shared" ca="1" si="10"/>
        <v>1846.1738161493915</v>
      </c>
      <c r="AG32" s="42">
        <f t="shared" ca="1" si="11"/>
        <v>6215</v>
      </c>
      <c r="AI32" s="1">
        <f t="shared" ca="1" si="12"/>
        <v>9042825</v>
      </c>
      <c r="AJ32" s="1">
        <f t="shared" ca="1" si="13"/>
        <v>281768.5</v>
      </c>
      <c r="AK32" s="1">
        <f t="shared" ca="1" si="14"/>
        <v>32.093101251559347</v>
      </c>
      <c r="AL32" s="1">
        <f t="shared" ca="1" si="15"/>
        <v>45214.125</v>
      </c>
      <c r="AM32" s="1">
        <f t="shared" ca="1" si="16"/>
        <v>5718.2394580849796</v>
      </c>
      <c r="AN32" s="1">
        <f t="shared" ca="1" si="17"/>
        <v>530.81870728149738</v>
      </c>
    </row>
    <row r="33" spans="2:40" x14ac:dyDescent="0.3">
      <c r="B33" s="2" t="str">
        <f>坦克个性化细分!I29</f>
        <v>KV-2</v>
      </c>
      <c r="C33" s="29" t="str">
        <f>VLOOKUP(B33,坦克个性化设定!$B$18:$F$48,5,FALSE)</f>
        <v>重坦自动</v>
      </c>
      <c r="D33" s="2" t="str">
        <f>坦克个性化细分!J29</f>
        <v>高</v>
      </c>
      <c r="E33" s="2" t="str">
        <f t="shared" si="0"/>
        <v>KV-2高</v>
      </c>
      <c r="F33" s="34">
        <f>VLOOKUP($B33,坦克属性统计!$B$3:$AY$33,MATCH(F$7,坦克属性统计!$B$3:$AY$3,0),FALSE)</f>
        <v>0.81</v>
      </c>
      <c r="G33" s="34">
        <f>VLOOKUP($B33,坦克属性统计!$B$3:$AY$33,MATCH(G$7,坦克属性统计!$B$3:$AY$3,0),FALSE)</f>
        <v>2.7</v>
      </c>
      <c r="H33" s="34">
        <f>VLOOKUP($B33,坦克属性统计!$B$3:$AY$33,MATCH(H$7,坦克属性统计!$B$3:$AY$3,0),FALSE)</f>
        <v>2</v>
      </c>
      <c r="I33" s="34">
        <f>VLOOKUP($B33,坦克属性统计!$B$3:$AY$33,MATCH(I$7,坦克属性统计!$B$3:$AY$3,0),FALSE)</f>
        <v>1.2</v>
      </c>
      <c r="J33" s="34">
        <f>VLOOKUP($B33,坦克属性统计!$B$3:$AY$33,MATCH(J$7,坦克属性统计!$B$3:$AY$3,0),FALSE)</f>
        <v>40.299999999999997</v>
      </c>
      <c r="K33" s="34">
        <f>VLOOKUP($B33,坦克属性统计!$B$3:$AY$33,MATCH(K$7,坦克属性统计!$B$3:$AY$3,0),FALSE)</f>
        <v>29.4</v>
      </c>
      <c r="L33" s="34">
        <f>VLOOKUP($B33,坦克属性统计!$B$3:$AY$33,MATCH(L$7,坦克属性统计!$B$3:$AY$3,0),FALSE)</f>
        <v>7.4</v>
      </c>
      <c r="M33" s="33">
        <f>VLOOKUP($B33,坦克属性统计!$B$3:$AY$33,MATCH(M$7,坦克属性统计!$B$3:$AY$3,0),FALSE)</f>
        <v>2</v>
      </c>
      <c r="N33" s="34">
        <f>VLOOKUP($B33,坦克属性统计!$B$3:$AY$33,MATCH(N$7,坦克属性统计!$B$3:$AY$3,0),FALSE)</f>
        <v>4.05</v>
      </c>
      <c r="O33" s="34">
        <f>VLOOKUP($B33,坦克属性统计!$B$3:$AY$33,MATCH(O$7,坦克属性统计!$B$3:$AY$3,0),FALSE)</f>
        <v>0</v>
      </c>
      <c r="P33" s="34">
        <f>VLOOKUP($B33,坦克属性统计!$B$3:$AY$33,MATCH(P$7,坦克属性统计!$B$3:$AY$3,0),FALSE)</f>
        <v>2.2500000000000004</v>
      </c>
      <c r="Q33" s="42">
        <f ca="1">VLOOKUP($B33,坦克属性统计!$B$3:$AY$33,MATCH(Q$7,坦克属性统计!$B$3:$AY$3,0),FALSE)*(1+W33/Z33)</f>
        <v>1483</v>
      </c>
      <c r="R33" s="42">
        <f ca="1">VLOOKUP($B33,坦克属性统计!$B$3:$AY$33,MATCH(R$7,坦克属性统计!$B$3:$AY$3,0),FALSE)*(1+X33/AA33)</f>
        <v>387</v>
      </c>
      <c r="S33" s="33">
        <f ca="1">VLOOKUP($B33,坦克属性统计!$B$3:$AY$33,MATCH(S$7,坦克属性统计!$B$3:$AY$3,0),FALSE)</f>
        <v>440</v>
      </c>
      <c r="T33" s="33">
        <f ca="1">VLOOKUP($B33,坦克属性统计!$B$3:$AY$33,MATCH(T$7,坦克属性统计!$B$3:$AY$3,0),FALSE)</f>
        <v>352</v>
      </c>
      <c r="U33" s="42">
        <f ca="1">VLOOKUP($B33,坦克属性统计!$B$3:$AY$33,MATCH(U$7,坦克属性统计!$B$3:$AY$3,0),FALSE)*(1+Y33/AB33)</f>
        <v>647</v>
      </c>
      <c r="V33" s="33">
        <f ca="1">VLOOKUP($B33,坦克属性统计!$B$3:$AY$33,MATCH(V$7,坦克属性统计!$B$3:$AY$3,0),FALSE)</f>
        <v>151</v>
      </c>
      <c r="W33" s="33">
        <f>VLOOKUP($B33,坦克属性统计!$B$3:$AY$33,MATCH(W$7,坦克属性统计!$B$3:$AY$3,0),FALSE)</f>
        <v>0</v>
      </c>
      <c r="X33" s="33">
        <f>VLOOKUP($B33,坦克属性统计!$B$3:$AY$33,MATCH(X$7,坦克属性统计!$B$3:$AY$3,0),FALSE)</f>
        <v>0</v>
      </c>
      <c r="Y33" s="33">
        <f>VLOOKUP($B33,坦克属性统计!$B$3:$AY$33,MATCH(Y$7,坦克属性统计!$B$3:$AY$3,0),FALSE)</f>
        <v>0</v>
      </c>
      <c r="Z33" s="33">
        <f>VLOOKUP(B33,坦克部件!$AL$3:$AS$33,MATCH("基础系数",坦克部件!$AL$3:$AS$3,0),FALSE)</f>
        <v>3600</v>
      </c>
      <c r="AA33" s="33">
        <f t="shared" si="1"/>
        <v>3600</v>
      </c>
      <c r="AB33" s="33">
        <f t="shared" si="1"/>
        <v>3600</v>
      </c>
      <c r="AC33" s="34">
        <f t="shared" si="9"/>
        <v>16.814814814814817</v>
      </c>
      <c r="AD33" s="34" t="s">
        <v>619</v>
      </c>
      <c r="AE33" s="133"/>
      <c r="AF33" s="42">
        <f t="shared" ca="1" si="10"/>
        <v>1827.5414468907661</v>
      </c>
      <c r="AG33" s="42">
        <f t="shared" ca="1" si="11"/>
        <v>6507.3333333333339</v>
      </c>
      <c r="AI33" s="1">
        <f t="shared" ca="1" si="12"/>
        <v>9650375.333333334</v>
      </c>
      <c r="AJ33" s="1">
        <f t="shared" ca="1" si="13"/>
        <v>256212</v>
      </c>
      <c r="AK33" s="1">
        <f t="shared" ca="1" si="14"/>
        <v>37.665586831738302</v>
      </c>
      <c r="AL33" s="1">
        <f t="shared" ca="1" si="15"/>
        <v>48251.876666666671</v>
      </c>
      <c r="AM33" s="1">
        <f t="shared" ca="1" si="16"/>
        <v>5517.8245411272974</v>
      </c>
      <c r="AN33" s="1">
        <f t="shared" ca="1" si="17"/>
        <v>506.1738831666446</v>
      </c>
    </row>
    <row r="34" spans="2:40" x14ac:dyDescent="0.3">
      <c r="B34" s="2" t="str">
        <f>坦克个性化细分!I30</f>
        <v>征服者</v>
      </c>
      <c r="C34" s="29" t="str">
        <f>VLOOKUP(B34,坦克个性化设定!$B$18:$F$48,5,FALSE)</f>
        <v>重坦单发</v>
      </c>
      <c r="D34" s="2" t="str">
        <f>坦克个性化细分!J30</f>
        <v>低</v>
      </c>
      <c r="E34" s="2" t="str">
        <f t="shared" si="0"/>
        <v>征服者低</v>
      </c>
      <c r="F34" s="34">
        <f>VLOOKUP($B34,坦克属性统计!$B$3:$AY$33,MATCH(F$7,坦克属性统计!$B$3:$AY$3,0),FALSE)</f>
        <v>0.65</v>
      </c>
      <c r="G34" s="34">
        <f>VLOOKUP($B34,坦克属性统计!$B$3:$AY$33,MATCH(G$7,坦克属性统计!$B$3:$AY$3,0),FALSE)</f>
        <v>3</v>
      </c>
      <c r="H34" s="34">
        <f>VLOOKUP($B34,坦克属性统计!$B$3:$AY$33,MATCH(H$7,坦克属性统计!$B$3:$AY$3,0),FALSE)</f>
        <v>0</v>
      </c>
      <c r="I34" s="34">
        <f>VLOOKUP($B34,坦克属性统计!$B$3:$AY$33,MATCH(I$7,坦克属性统计!$B$3:$AY$3,0),FALSE)</f>
        <v>1</v>
      </c>
      <c r="J34" s="34">
        <f>VLOOKUP($B34,坦克属性统计!$B$3:$AY$33,MATCH(J$7,坦克属性统计!$B$3:$AY$3,0),FALSE)</f>
        <v>30.7</v>
      </c>
      <c r="K34" s="34">
        <f>VLOOKUP($B34,坦克属性统计!$B$3:$AY$33,MATCH(K$7,坦克属性统计!$B$3:$AY$3,0),FALSE)</f>
        <v>35</v>
      </c>
      <c r="L34" s="34">
        <f>VLOOKUP($B34,坦克属性统计!$B$3:$AY$33,MATCH(L$7,坦克属性统计!$B$3:$AY$3,0),FALSE)</f>
        <v>6.3</v>
      </c>
      <c r="M34" s="33">
        <f>VLOOKUP($B34,坦克属性统计!$B$3:$AY$33,MATCH(M$7,坦克属性统计!$B$3:$AY$3,0),FALSE)</f>
        <v>1</v>
      </c>
      <c r="N34" s="34">
        <f>VLOOKUP($B34,坦克属性统计!$B$3:$AY$33,MATCH(N$7,坦克属性统计!$B$3:$AY$3,0),FALSE)</f>
        <v>6</v>
      </c>
      <c r="O34" s="34">
        <f>VLOOKUP($B34,坦克属性统计!$B$3:$AY$33,MATCH(O$7,坦克属性统计!$B$3:$AY$3,0),FALSE)</f>
        <v>0</v>
      </c>
      <c r="P34" s="34">
        <f>VLOOKUP($B34,坦克属性统计!$B$3:$AY$33,MATCH(P$7,坦克属性统计!$B$3:$AY$3,0),FALSE)</f>
        <v>3</v>
      </c>
      <c r="Q34" s="42">
        <f ca="1">VLOOKUP($B34,坦克属性统计!$B$3:$AY$33,MATCH(Q$7,坦克属性统计!$B$3:$AY$3,0),FALSE)*(1+W34/Z34)</f>
        <v>2022</v>
      </c>
      <c r="R34" s="42">
        <f ca="1">VLOOKUP($B34,坦克属性统计!$B$3:$AY$33,MATCH(R$7,坦克属性统计!$B$3:$AY$3,0),FALSE)*(1+X34/AA34)</f>
        <v>632</v>
      </c>
      <c r="S34" s="33">
        <f ca="1">VLOOKUP($B34,坦克属性统计!$B$3:$AY$33,MATCH(S$7,坦克属性统计!$B$3:$AY$3,0),FALSE)</f>
        <v>603</v>
      </c>
      <c r="T34" s="33">
        <f ca="1">VLOOKUP($B34,坦克属性统计!$B$3:$AY$33,MATCH(T$7,坦克属性统计!$B$3:$AY$3,0),FALSE)</f>
        <v>483</v>
      </c>
      <c r="U34" s="42">
        <f ca="1">VLOOKUP($B34,坦克属性统计!$B$3:$AY$33,MATCH(U$7,坦克属性统计!$B$3:$AY$3,0),FALSE)*(1+Y34/AB34)</f>
        <v>806</v>
      </c>
      <c r="V34" s="33">
        <f ca="1">VLOOKUP($B34,坦克属性统计!$B$3:$AY$33,MATCH(V$7,坦克属性统计!$B$3:$AY$3,0),FALSE)</f>
        <v>188</v>
      </c>
      <c r="W34" s="33">
        <f>VLOOKUP($B34,坦克属性统计!$B$3:$AY$33,MATCH(W$7,坦克属性统计!$B$3:$AY$3,0),FALSE)</f>
        <v>0</v>
      </c>
      <c r="X34" s="33">
        <f>VLOOKUP($B34,坦克属性统计!$B$3:$AY$33,MATCH(X$7,坦克属性统计!$B$3:$AY$3,0),FALSE)</f>
        <v>0</v>
      </c>
      <c r="Y34" s="33">
        <f>VLOOKUP($B34,坦克属性统计!$B$3:$AY$33,MATCH(Y$7,坦克属性统计!$B$3:$AY$3,0),FALSE)</f>
        <v>0</v>
      </c>
      <c r="Z34" s="33">
        <f>VLOOKUP(B34,坦克部件!$AL$3:$AS$33,MATCH("基础系数",坦克部件!$AL$3:$AS$3,0),FALSE)</f>
        <v>4300</v>
      </c>
      <c r="AA34" s="33">
        <f t="shared" si="1"/>
        <v>4300</v>
      </c>
      <c r="AB34" s="33">
        <f t="shared" si="1"/>
        <v>4300</v>
      </c>
      <c r="AC34" s="34">
        <f t="shared" si="9"/>
        <v>11</v>
      </c>
      <c r="AD34" s="34" t="s">
        <v>626</v>
      </c>
      <c r="AE34" s="133"/>
      <c r="AF34" s="42">
        <f t="shared" ca="1" si="10"/>
        <v>2485.8644800387483</v>
      </c>
      <c r="AG34" s="42">
        <f t="shared" ca="1" si="11"/>
        <v>6952</v>
      </c>
      <c r="AI34" s="1">
        <f t="shared" ca="1" si="12"/>
        <v>14056944</v>
      </c>
      <c r="AJ34" s="1">
        <f t="shared" ca="1" si="13"/>
        <v>437658</v>
      </c>
      <c r="AK34" s="1">
        <f t="shared" ca="1" si="14"/>
        <v>32.118558326364422</v>
      </c>
      <c r="AL34" s="1">
        <f t="shared" ca="1" si="15"/>
        <v>70284.72</v>
      </c>
      <c r="AM34" s="1">
        <f t="shared" ca="1" si="16"/>
        <v>7127.0100322645822</v>
      </c>
      <c r="AN34" s="1">
        <f t="shared" ca="1" si="17"/>
        <v>661.55725375813086</v>
      </c>
    </row>
    <row r="35" spans="2:40" x14ac:dyDescent="0.3">
      <c r="B35" s="2" t="str">
        <f>坦克个性化细分!I31</f>
        <v>IS-4</v>
      </c>
      <c r="C35" s="29" t="str">
        <f>VLOOKUP(B35,坦克个性化设定!$B$18:$F$48,5,FALSE)</f>
        <v>重坦自动</v>
      </c>
      <c r="D35" s="2" t="str">
        <f>坦克个性化细分!J31</f>
        <v>中</v>
      </c>
      <c r="E35" s="2" t="str">
        <f t="shared" si="0"/>
        <v>IS-4中</v>
      </c>
      <c r="F35" s="34">
        <f>VLOOKUP($B35,坦克属性统计!$B$3:$AY$33,MATCH(F$7,坦克属性统计!$B$3:$AY$3,0),FALSE)</f>
        <v>0.65</v>
      </c>
      <c r="G35" s="34">
        <f>VLOOKUP($B35,坦克属性统计!$B$3:$AY$33,MATCH(G$7,坦克属性统计!$B$3:$AY$3,0),FALSE)</f>
        <v>2.7</v>
      </c>
      <c r="H35" s="34">
        <f>VLOOKUP($B35,坦克属性统计!$B$3:$AY$33,MATCH(H$7,坦克属性统计!$B$3:$AY$3,0),FALSE)</f>
        <v>2</v>
      </c>
      <c r="I35" s="34">
        <f>VLOOKUP($B35,坦克属性统计!$B$3:$AY$33,MATCH(I$7,坦克属性统计!$B$3:$AY$3,0),FALSE)</f>
        <v>1.2</v>
      </c>
      <c r="J35" s="34">
        <f>VLOOKUP($B35,坦克属性统计!$B$3:$AY$33,MATCH(J$7,坦克属性统计!$B$3:$AY$3,0),FALSE)</f>
        <v>31.3</v>
      </c>
      <c r="K35" s="34">
        <f>VLOOKUP($B35,坦克属性统计!$B$3:$AY$33,MATCH(K$7,坦克属性统计!$B$3:$AY$3,0),FALSE)</f>
        <v>35.700000000000003</v>
      </c>
      <c r="L35" s="34">
        <f>VLOOKUP($B35,坦克属性统计!$B$3:$AY$33,MATCH(L$7,坦克属性统计!$B$3:$AY$3,0),FALSE)</f>
        <v>6.4</v>
      </c>
      <c r="M35" s="33">
        <f>VLOOKUP($B35,坦克属性统计!$B$3:$AY$33,MATCH(M$7,坦克属性统计!$B$3:$AY$3,0),FALSE)</f>
        <v>2</v>
      </c>
      <c r="N35" s="34">
        <f>VLOOKUP($B35,坦克属性统计!$B$3:$AY$33,MATCH(N$7,坦克属性统计!$B$3:$AY$3,0),FALSE)</f>
        <v>4.5</v>
      </c>
      <c r="O35" s="34">
        <f>VLOOKUP($B35,坦克属性统计!$B$3:$AY$33,MATCH(O$7,坦克属性统计!$B$3:$AY$3,0),FALSE)</f>
        <v>0</v>
      </c>
      <c r="P35" s="34">
        <f>VLOOKUP($B35,坦克属性统计!$B$3:$AY$33,MATCH(P$7,坦克属性统计!$B$3:$AY$3,0),FALSE)</f>
        <v>2.2500000000000004</v>
      </c>
      <c r="Q35" s="42">
        <f ca="1">VLOOKUP($B35,坦克属性统计!$B$3:$AY$33,MATCH(Q$7,坦克属性统计!$B$3:$AY$3,0),FALSE)*(1+W35/Z35)</f>
        <v>1940</v>
      </c>
      <c r="R35" s="42">
        <f ca="1">VLOOKUP($B35,坦克属性统计!$B$3:$AY$33,MATCH(R$7,坦克属性统计!$B$3:$AY$3,0),FALSE)*(1+X35/AA35)</f>
        <v>550</v>
      </c>
      <c r="S35" s="33">
        <f ca="1">VLOOKUP($B35,坦克属性统计!$B$3:$AY$33,MATCH(S$7,坦克属性统计!$B$3:$AY$3,0),FALSE)</f>
        <v>571</v>
      </c>
      <c r="T35" s="33">
        <f ca="1">VLOOKUP($B35,坦克属性统计!$B$3:$AY$33,MATCH(T$7,坦克属性统计!$B$3:$AY$3,0),FALSE)</f>
        <v>457</v>
      </c>
      <c r="U35" s="42">
        <f ca="1">VLOOKUP($B35,坦克属性统计!$B$3:$AY$33,MATCH(U$7,坦克属性统计!$B$3:$AY$3,0),FALSE)*(1+Y35/AB35)</f>
        <v>840</v>
      </c>
      <c r="V35" s="33">
        <f ca="1">VLOOKUP($B35,坦克属性统计!$B$3:$AY$33,MATCH(V$7,坦克属性统计!$B$3:$AY$3,0),FALSE)</f>
        <v>196</v>
      </c>
      <c r="W35" s="33">
        <f>VLOOKUP($B35,坦克属性统计!$B$3:$AY$33,MATCH(W$7,坦克属性统计!$B$3:$AY$3,0),FALSE)</f>
        <v>0</v>
      </c>
      <c r="X35" s="33">
        <f>VLOOKUP($B35,坦克属性统计!$B$3:$AY$33,MATCH(X$7,坦克属性统计!$B$3:$AY$3,0),FALSE)</f>
        <v>0</v>
      </c>
      <c r="Y35" s="33">
        <f>VLOOKUP($B35,坦克属性统计!$B$3:$AY$33,MATCH(Y$7,坦克属性统计!$B$3:$AY$3,0),FALSE)</f>
        <v>0</v>
      </c>
      <c r="Z35" s="33">
        <f>VLOOKUP(B35,坦克部件!$AL$3:$AS$33,MATCH("基础系数",坦克部件!$AL$3:$AS$3,0),FALSE)</f>
        <v>4300</v>
      </c>
      <c r="AA35" s="33">
        <f t="shared" si="1"/>
        <v>4300</v>
      </c>
      <c r="AB35" s="33">
        <f t="shared" si="1"/>
        <v>4300</v>
      </c>
      <c r="AC35" s="34">
        <f t="shared" si="9"/>
        <v>15.333333333333334</v>
      </c>
      <c r="AD35" s="34" t="s">
        <v>626</v>
      </c>
      <c r="AE35" s="133"/>
      <c r="AF35" s="42">
        <f t="shared" ca="1" si="10"/>
        <v>2604.5541678116488</v>
      </c>
      <c r="AG35" s="42">
        <f t="shared" ca="1" si="11"/>
        <v>8433.3333333333339</v>
      </c>
      <c r="AI35" s="1">
        <f t="shared" ca="1" si="12"/>
        <v>16360666.666666668</v>
      </c>
      <c r="AJ35" s="1">
        <f t="shared" ca="1" si="13"/>
        <v>431760</v>
      </c>
      <c r="AK35" s="1">
        <f t="shared" ca="1" si="14"/>
        <v>37.892965227595582</v>
      </c>
      <c r="AL35" s="1">
        <f t="shared" ca="1" si="15"/>
        <v>81803.333333333343</v>
      </c>
      <c r="AM35" s="1">
        <f t="shared" ca="1" si="16"/>
        <v>7166.3333255810348</v>
      </c>
      <c r="AN35" s="1">
        <f t="shared" ca="1" si="17"/>
        <v>657.08446945579226</v>
      </c>
    </row>
    <row r="36" spans="2:40" x14ac:dyDescent="0.3">
      <c r="B36" s="2" t="str">
        <f>坦克个性化细分!I32</f>
        <v>T-32</v>
      </c>
      <c r="C36" s="29" t="str">
        <f>VLOOKUP(B36,坦克个性化设定!$B$18:$F$48,5,FALSE)</f>
        <v>重坦单发</v>
      </c>
      <c r="D36" s="2" t="str">
        <f>坦克个性化细分!J32</f>
        <v>高</v>
      </c>
      <c r="E36" s="2" t="str">
        <f t="shared" si="0"/>
        <v>T-32高</v>
      </c>
      <c r="F36" s="34">
        <f>VLOOKUP($B36,坦克属性统计!$B$3:$AY$33,MATCH(F$7,坦克属性统计!$B$3:$AY$3,0),FALSE)</f>
        <v>0.62</v>
      </c>
      <c r="G36" s="34">
        <f>VLOOKUP($B36,坦克属性统计!$B$3:$AY$33,MATCH(G$7,坦克属性统计!$B$3:$AY$3,0),FALSE)</f>
        <v>3</v>
      </c>
      <c r="H36" s="34">
        <f>VLOOKUP($B36,坦克属性统计!$B$3:$AY$33,MATCH(H$7,坦克属性统计!$B$3:$AY$3,0),FALSE)</f>
        <v>0</v>
      </c>
      <c r="I36" s="34">
        <f>VLOOKUP($B36,坦克属性统计!$B$3:$AY$33,MATCH(I$7,坦克属性统计!$B$3:$AY$3,0),FALSE)</f>
        <v>1</v>
      </c>
      <c r="J36" s="34">
        <f>VLOOKUP($B36,坦克属性统计!$B$3:$AY$33,MATCH(J$7,坦克属性统计!$B$3:$AY$3,0),FALSE)</f>
        <v>32.200000000000003</v>
      </c>
      <c r="K36" s="34">
        <f>VLOOKUP($B36,坦克属性统计!$B$3:$AY$33,MATCH(K$7,坦克属性统计!$B$3:$AY$3,0),FALSE)</f>
        <v>36.799999999999997</v>
      </c>
      <c r="L36" s="34">
        <f>VLOOKUP($B36,坦克属性统计!$B$3:$AY$33,MATCH(L$7,坦克属性统计!$B$3:$AY$3,0),FALSE)</f>
        <v>6.6</v>
      </c>
      <c r="M36" s="33">
        <f>VLOOKUP($B36,坦克属性统计!$B$3:$AY$33,MATCH(M$7,坦克属性统计!$B$3:$AY$3,0),FALSE)</f>
        <v>1</v>
      </c>
      <c r="N36" s="34">
        <f>VLOOKUP($B36,坦克属性统计!$B$3:$AY$33,MATCH(N$7,坦克属性统计!$B$3:$AY$3,0),FALSE)</f>
        <v>6</v>
      </c>
      <c r="O36" s="34">
        <f>VLOOKUP($B36,坦克属性统计!$B$3:$AY$33,MATCH(O$7,坦克属性统计!$B$3:$AY$3,0),FALSE)</f>
        <v>0</v>
      </c>
      <c r="P36" s="34">
        <f>VLOOKUP($B36,坦克属性统计!$B$3:$AY$33,MATCH(P$7,坦克属性统计!$B$3:$AY$3,0),FALSE)</f>
        <v>3</v>
      </c>
      <c r="Q36" s="42">
        <f ca="1">VLOOKUP($B36,坦克属性统计!$B$3:$AY$33,MATCH(Q$7,坦克属性统计!$B$3:$AY$3,0),FALSE)*(1+W36/Z36)</f>
        <v>1838</v>
      </c>
      <c r="R36" s="42">
        <f ca="1">VLOOKUP($B36,坦克属性统计!$B$3:$AY$33,MATCH(R$7,坦克属性统计!$B$3:$AY$3,0),FALSE)*(1+X36/AA36)</f>
        <v>755</v>
      </c>
      <c r="S36" s="33">
        <f ca="1">VLOOKUP($B36,坦克属性统计!$B$3:$AY$33,MATCH(S$7,坦克属性统计!$B$3:$AY$3,0),FALSE)</f>
        <v>629</v>
      </c>
      <c r="T36" s="33">
        <f ca="1">VLOOKUP($B36,坦克属性统计!$B$3:$AY$33,MATCH(T$7,坦克属性统计!$B$3:$AY$3,0),FALSE)</f>
        <v>503</v>
      </c>
      <c r="U36" s="42">
        <f ca="1">VLOOKUP($B36,坦克属性统计!$B$3:$AY$33,MATCH(U$7,坦克属性统计!$B$3:$AY$3,0),FALSE)*(1+Y36/AB36)</f>
        <v>840</v>
      </c>
      <c r="V36" s="33">
        <f ca="1">VLOOKUP($B36,坦克属性统计!$B$3:$AY$33,MATCH(V$7,坦克属性统计!$B$3:$AY$3,0),FALSE)</f>
        <v>196</v>
      </c>
      <c r="W36" s="33">
        <f>VLOOKUP($B36,坦克属性统计!$B$3:$AY$33,MATCH(W$7,坦克属性统计!$B$3:$AY$3,0),FALSE)</f>
        <v>0</v>
      </c>
      <c r="X36" s="33">
        <f>VLOOKUP($B36,坦克属性统计!$B$3:$AY$33,MATCH(X$7,坦克属性统计!$B$3:$AY$3,0),FALSE)</f>
        <v>0</v>
      </c>
      <c r="Y36" s="33">
        <f>VLOOKUP($B36,坦克属性统计!$B$3:$AY$33,MATCH(Y$7,坦克属性统计!$B$3:$AY$3,0),FALSE)</f>
        <v>0</v>
      </c>
      <c r="Z36" s="33">
        <f>VLOOKUP(B36,坦克部件!$AL$3:$AS$33,MATCH("基础系数",坦克部件!$AL$3:$AS$3,0),FALSE)</f>
        <v>4300</v>
      </c>
      <c r="AA36" s="33">
        <f t="shared" si="1"/>
        <v>4300</v>
      </c>
      <c r="AB36" s="33">
        <f t="shared" si="1"/>
        <v>4300</v>
      </c>
      <c r="AC36" s="34">
        <f t="shared" si="9"/>
        <v>11</v>
      </c>
      <c r="AD36" s="34" t="s">
        <v>626</v>
      </c>
      <c r="AE36" s="133"/>
      <c r="AF36" s="42">
        <f t="shared" ca="1" si="10"/>
        <v>2628.4201423997761</v>
      </c>
      <c r="AG36" s="42">
        <f t="shared" ca="1" si="11"/>
        <v>8305</v>
      </c>
      <c r="AI36" s="1">
        <f t="shared" ca="1" si="12"/>
        <v>15264590</v>
      </c>
      <c r="AJ36" s="1">
        <f t="shared" ca="1" si="13"/>
        <v>475440</v>
      </c>
      <c r="AK36" s="1">
        <f t="shared" ca="1" si="14"/>
        <v>32.106238431768467</v>
      </c>
      <c r="AL36" s="1">
        <f t="shared" ca="1" si="15"/>
        <v>76322.95</v>
      </c>
      <c r="AM36" s="1">
        <f t="shared" ca="1" si="16"/>
        <v>7428.0747842223564</v>
      </c>
      <c r="AN36" s="1">
        <f t="shared" ca="1" si="17"/>
        <v>689.52157326656572</v>
      </c>
    </row>
    <row r="37" spans="2:40" x14ac:dyDescent="0.3">
      <c r="B37" s="2" t="str">
        <f>坦克个性化细分!I33</f>
        <v>M1A2</v>
      </c>
      <c r="C37" s="29" t="str">
        <f>VLOOKUP(B37,坦克个性化设定!$B$18:$F$48,5,FALSE)</f>
        <v>重坦单发</v>
      </c>
      <c r="D37" s="2" t="str">
        <f>坦克个性化细分!J33</f>
        <v>低</v>
      </c>
      <c r="E37" s="2" t="str">
        <f t="shared" si="0"/>
        <v>M1A2低</v>
      </c>
      <c r="F37" s="34">
        <f>VLOOKUP($B37,坦克属性统计!$B$3:$AY$33,MATCH(F$7,坦克属性统计!$B$3:$AY$3,0),FALSE)</f>
        <v>0.71</v>
      </c>
      <c r="G37" s="34">
        <f>VLOOKUP($B37,坦克属性统计!$B$3:$AY$33,MATCH(G$7,坦克属性统计!$B$3:$AY$3,0),FALSE)</f>
        <v>3</v>
      </c>
      <c r="H37" s="34">
        <f>VLOOKUP($B37,坦克属性统计!$B$3:$AY$33,MATCH(H$7,坦克属性统计!$B$3:$AY$3,0),FALSE)</f>
        <v>0</v>
      </c>
      <c r="I37" s="34">
        <f>VLOOKUP($B37,坦克属性统计!$B$3:$AY$33,MATCH(I$7,坦克属性统计!$B$3:$AY$3,0),FALSE)</f>
        <v>1</v>
      </c>
      <c r="J37" s="34">
        <f>VLOOKUP($B37,坦克属性统计!$B$3:$AY$33,MATCH(J$7,坦克属性统计!$B$3:$AY$3,0),FALSE)</f>
        <v>30.7</v>
      </c>
      <c r="K37" s="34">
        <f>VLOOKUP($B37,坦克属性统计!$B$3:$AY$33,MATCH(K$7,坦克属性统计!$B$3:$AY$3,0),FALSE)</f>
        <v>35</v>
      </c>
      <c r="L37" s="34">
        <f>VLOOKUP($B37,坦克属性统计!$B$3:$AY$33,MATCH(L$7,坦克属性统计!$B$3:$AY$3,0),FALSE)</f>
        <v>6.3</v>
      </c>
      <c r="M37" s="33">
        <f>VLOOKUP($B37,坦克属性统计!$B$3:$AY$33,MATCH(M$7,坦克属性统计!$B$3:$AY$3,0),FALSE)</f>
        <v>1</v>
      </c>
      <c r="N37" s="34">
        <f>VLOOKUP($B37,坦克属性统计!$B$3:$AY$33,MATCH(N$7,坦克属性统计!$B$3:$AY$3,0),FALSE)</f>
        <v>6</v>
      </c>
      <c r="O37" s="34">
        <f>VLOOKUP($B37,坦克属性统计!$B$3:$AY$33,MATCH(O$7,坦克属性统计!$B$3:$AY$3,0),FALSE)</f>
        <v>0</v>
      </c>
      <c r="P37" s="34">
        <f>VLOOKUP($B37,坦克属性统计!$B$3:$AY$33,MATCH(P$7,坦克属性统计!$B$3:$AY$3,0),FALSE)</f>
        <v>3</v>
      </c>
      <c r="Q37" s="42">
        <f ca="1">VLOOKUP($B37,坦克属性统计!$B$3:$AY$33,MATCH(Q$7,坦克属性统计!$B$3:$AY$3,0),FALSE)*(1+W37/Z37)</f>
        <v>2618</v>
      </c>
      <c r="R37" s="42">
        <f ca="1">VLOOKUP($B37,坦克属性统计!$B$3:$AY$33,MATCH(R$7,坦克属性统计!$B$3:$AY$3,0),FALSE)*(1+X37/AA37)</f>
        <v>841</v>
      </c>
      <c r="S37" s="33">
        <f ca="1">VLOOKUP($B37,坦克属性统计!$B$3:$AY$33,MATCH(S$7,坦克属性统计!$B$3:$AY$3,0),FALSE)</f>
        <v>792</v>
      </c>
      <c r="T37" s="33">
        <f ca="1">VLOOKUP($B37,坦克属性统计!$B$3:$AY$33,MATCH(T$7,坦克属性统计!$B$3:$AY$3,0),FALSE)</f>
        <v>634</v>
      </c>
      <c r="U37" s="42">
        <f ca="1">VLOOKUP($B37,坦克属性统计!$B$3:$AY$33,MATCH(U$7,坦克属性统计!$B$3:$AY$3,0),FALSE)*(1+Y37/AB37)</f>
        <v>1058</v>
      </c>
      <c r="V37" s="33">
        <f ca="1">VLOOKUP($B37,坦克属性统计!$B$3:$AY$33,MATCH(V$7,坦克属性统计!$B$3:$AY$3,0),FALSE)</f>
        <v>247</v>
      </c>
      <c r="W37" s="33">
        <f>VLOOKUP($B37,坦克属性统计!$B$3:$AY$33,MATCH(W$7,坦克属性统计!$B$3:$AY$3,0),FALSE)</f>
        <v>0</v>
      </c>
      <c r="X37" s="33">
        <f>VLOOKUP($B37,坦克属性统计!$B$3:$AY$33,MATCH(X$7,坦克属性统计!$B$3:$AY$3,0),FALSE)</f>
        <v>0</v>
      </c>
      <c r="Y37" s="33">
        <f>VLOOKUP($B37,坦克属性统计!$B$3:$AY$33,MATCH(Y$7,坦克属性统计!$B$3:$AY$3,0),FALSE)</f>
        <v>0</v>
      </c>
      <c r="Z37" s="33">
        <f>VLOOKUP(B37,坦克部件!$AL$3:$AS$33,MATCH("基础系数",坦克部件!$AL$3:$AS$3,0),FALSE)</f>
        <v>5100</v>
      </c>
      <c r="AA37" s="33">
        <f t="shared" si="1"/>
        <v>5100</v>
      </c>
      <c r="AB37" s="33">
        <f t="shared" si="1"/>
        <v>5100</v>
      </c>
      <c r="AC37" s="34">
        <f t="shared" si="9"/>
        <v>11</v>
      </c>
      <c r="AD37" s="34" t="s">
        <v>633</v>
      </c>
      <c r="AE37" s="133"/>
      <c r="AF37" s="42">
        <f t="shared" ca="1" si="10"/>
        <v>3589.3541368407846</v>
      </c>
      <c r="AG37" s="42">
        <f t="shared" ca="1" si="11"/>
        <v>9251</v>
      </c>
      <c r="AI37" s="1">
        <f t="shared" ca="1" si="12"/>
        <v>24219118</v>
      </c>
      <c r="AJ37" s="1">
        <f t="shared" ca="1" si="13"/>
        <v>754354</v>
      </c>
      <c r="AK37" s="1">
        <f t="shared" ca="1" si="14"/>
        <v>32.105772621342233</v>
      </c>
      <c r="AL37" s="1">
        <f t="shared" ca="1" si="15"/>
        <v>121095.59</v>
      </c>
      <c r="AM37" s="1">
        <f t="shared" ca="1" si="16"/>
        <v>9356.5463179530088</v>
      </c>
      <c r="AN37" s="1">
        <f t="shared" ca="1" si="17"/>
        <v>868.5355490709635</v>
      </c>
    </row>
    <row r="38" spans="2:40" x14ac:dyDescent="0.3">
      <c r="AC38" s="34"/>
      <c r="AF38" s="42"/>
    </row>
    <row r="39" spans="2:40" x14ac:dyDescent="0.3">
      <c r="B39" s="262" t="s">
        <v>1689</v>
      </c>
      <c r="C39" s="262"/>
      <c r="D39" s="262"/>
      <c r="E39" s="262"/>
      <c r="F39" s="262"/>
      <c r="G39" s="262"/>
      <c r="H39" s="262"/>
      <c r="I39" s="262"/>
      <c r="J39" s="262"/>
      <c r="K39" s="262"/>
      <c r="L39" s="262"/>
      <c r="M39" s="262"/>
      <c r="N39" s="262"/>
      <c r="O39" s="262"/>
      <c r="P39" s="262"/>
      <c r="Q39" s="262"/>
    </row>
    <row r="40" spans="2:40" x14ac:dyDescent="0.3">
      <c r="B40" s="2" t="s">
        <v>608</v>
      </c>
      <c r="C40" s="2" t="s">
        <v>1113</v>
      </c>
      <c r="D40" s="2" t="s">
        <v>611</v>
      </c>
      <c r="E40" s="2" t="s">
        <v>790</v>
      </c>
      <c r="F40" s="2" t="s">
        <v>603</v>
      </c>
      <c r="G40" s="2" t="s">
        <v>95</v>
      </c>
      <c r="H40" s="2" t="s">
        <v>91</v>
      </c>
      <c r="I40" s="2" t="s">
        <v>93</v>
      </c>
      <c r="J40" s="2" t="s">
        <v>94</v>
      </c>
      <c r="K40" s="2" t="s">
        <v>1686</v>
      </c>
      <c r="L40" s="2" t="s">
        <v>774</v>
      </c>
      <c r="M40" s="2" t="s">
        <v>775</v>
      </c>
      <c r="N40" s="2" t="s">
        <v>776</v>
      </c>
      <c r="O40" s="2" t="s">
        <v>77</v>
      </c>
      <c r="P40" s="2" t="s">
        <v>130</v>
      </c>
      <c r="Q40" s="2" t="s">
        <v>1690</v>
      </c>
    </row>
    <row r="41" spans="2:40" x14ac:dyDescent="0.3">
      <c r="B41" s="2" t="s">
        <v>518</v>
      </c>
      <c r="C41" s="29" t="str">
        <f>VLOOKUP(B41,坦克个性化设定!$B$18:$F$48,5,FALSE)</f>
        <v>轻坦弹夹</v>
      </c>
      <c r="D41" s="2" t="str">
        <f>VLOOKUP(B41,坦克个性化细分!$I$3:$J$33,2,FALSE)</f>
        <v>低</v>
      </c>
      <c r="E41" s="2" t="str">
        <f>VLOOKUP(B41,坦克个性化设定!$B$18:$F$48,MATCH(E$40,坦克个性化设定!$B$18:$F$18,0),FALSE)</f>
        <v>T1</v>
      </c>
      <c r="F41" s="2">
        <f>VLOOKUP(E41&amp;D41,坦克标准养成属性!$H$3:$P$15,MATCH(F$40,坦克标准养成属性!$H$3:$P$3,0),FALSE)</f>
        <v>5</v>
      </c>
      <c r="G41" s="2">
        <f t="shared" ref="G41:G70" si="18">VLOOKUP($B41&amp;$F41,所有坦克升星属性,MATCH(G$40,所有坦克升星属性标头,0),FALSE)</f>
        <v>0.25</v>
      </c>
      <c r="H41" s="2">
        <f>VLOOKUP($B41,坦克个性化设定!$B$51:$T$81,MATCH(H$40,坦克个性化设定!$B$51:$T$51,0),FALSE)</f>
        <v>12</v>
      </c>
      <c r="I41" s="2">
        <f t="shared" ref="I41:J70" si="19">VLOOKUP($B41&amp;$F41,所有坦克升星属性,MATCH(I$40,所有坦克升星属性标头,0),FALSE)</f>
        <v>0</v>
      </c>
      <c r="J41" s="2">
        <f t="shared" si="19"/>
        <v>7.8</v>
      </c>
      <c r="K41" s="34">
        <f>IF(LEN(C41)=5,(60-(H41-1)*G41)/I41+H41,IF(RIGHT(C41,2)="弹夹",((60-(H41-1)*G41)/(J41+(H41-1)*G41)+1)*H41,60/I41+H41))</f>
        <v>77.118483412322263</v>
      </c>
      <c r="L41" s="42">
        <f ca="1">VLOOKUP($B41&amp;"最终",坦克标准养成属性!$S$3:$AE$63,MATCH(L$40,坦克标准养成属性!$S$3:$AE$3,0),FALSE)</f>
        <v>1001.5294754092125</v>
      </c>
      <c r="M41" s="42">
        <f ca="1">VLOOKUP($B41&amp;"最终",坦克标准养成属性!$S$3:$AE$63,MATCH(M$40,坦克标准养成属性!$S$3:$AE$3,0),FALSE)</f>
        <v>54.370766987917008</v>
      </c>
      <c r="N41" s="2">
        <f ca="1">VLOOKUP($B41&amp;"最终",坦克标准养成属性!$S$3:$AE$63,MATCH(N$40,坦克标准养成属性!$S$3:$AE$3,0),FALSE)</f>
        <v>427</v>
      </c>
      <c r="O41" s="2">
        <f ca="1">VLOOKUP($B41&amp;"最终",坦克标准养成属性!$S$3:$AE$63,MATCH(O$40,坦克标准养成属性!$S$3:$AE$3,0),FALSE)</f>
        <v>299</v>
      </c>
      <c r="P41" s="2">
        <f ca="1">VLOOKUP($B41&amp;"最终",坦克标准养成属性!$S$3:$AE$63,MATCH(P$40,坦克标准养成属性!$S$3:$AE$3,0),FALSE)</f>
        <v>390</v>
      </c>
      <c r="Q41" s="42">
        <f ca="1">POWER(POWER(M41*L41*K41*AVERAGE(N41:O41)*P41,0.25),$C$2)*$C$3</f>
        <v>1129.6915419649822</v>
      </c>
    </row>
    <row r="42" spans="2:40" x14ac:dyDescent="0.3">
      <c r="B42" s="2" t="s">
        <v>524</v>
      </c>
      <c r="C42" s="29" t="str">
        <f>VLOOKUP(B42,坦克个性化设定!$B$18:$F$48,5,FALSE)</f>
        <v>轻坦弹夹</v>
      </c>
      <c r="D42" s="2" t="str">
        <f>VLOOKUP(B42,坦克个性化细分!$I$3:$J$33,2,FALSE)</f>
        <v>低</v>
      </c>
      <c r="E42" s="2" t="str">
        <f>VLOOKUP(B42,坦克个性化设定!$B$18:$F$48,MATCH(E$40,坦克个性化设定!$B$18:$F$18,0),FALSE)</f>
        <v>T2</v>
      </c>
      <c r="F42" s="2">
        <f>VLOOKUP(E42&amp;D42,坦克标准养成属性!$H$3:$P$15,MATCH(F$40,坦克标准养成属性!$H$3:$P$3,0),FALSE)</f>
        <v>7</v>
      </c>
      <c r="G42" s="2">
        <f t="shared" si="18"/>
        <v>0.6</v>
      </c>
      <c r="H42" s="2">
        <f>VLOOKUP($B42,坦克个性化设定!$B$51:$T$81,MATCH(H$40,坦克个性化设定!$B$51:$T$51,0),FALSE)</f>
        <v>14.999999999999998</v>
      </c>
      <c r="I42" s="2">
        <f t="shared" si="19"/>
        <v>0</v>
      </c>
      <c r="J42" s="2">
        <f t="shared" si="19"/>
        <v>5.6</v>
      </c>
      <c r="K42" s="34">
        <f t="shared" ref="K42:K70" si="20">IF(LEN(C42)=5,(60-(H42-1)*G42)/I42+H42,IF(RIGHT(C42,2)="弹夹",((60-(H42-1)*G42)/(J42+(H42-1)*G42)+1)*H42,60/I42+H42))</f>
        <v>70.285714285714292</v>
      </c>
      <c r="L42" s="42">
        <f ca="1">VLOOKUP($B42&amp;"最终",坦克标准养成属性!$S$3:$AE$63,MATCH(L$40,坦克标准养成属性!$S$3:$AE$3,0),FALSE)</f>
        <v>1217.1343340133149</v>
      </c>
      <c r="M42" s="42">
        <f ca="1">VLOOKUP($B42&amp;"最终",坦克标准养成属性!$S$3:$AE$63,MATCH(M$40,坦克标准养成属性!$S$3:$AE$3,0),FALSE)</f>
        <v>101.20069561837735</v>
      </c>
      <c r="N42" s="2">
        <f ca="1">VLOOKUP($B42&amp;"最终",坦克标准养成属性!$S$3:$AE$63,MATCH(N$40,坦克标准养成属性!$S$3:$AE$3,0),FALSE)</f>
        <v>559</v>
      </c>
      <c r="O42" s="2">
        <f ca="1">VLOOKUP($B42&amp;"最终",坦克标准养成属性!$S$3:$AE$63,MATCH(O$40,坦克标准养成属性!$S$3:$AE$3,0),FALSE)</f>
        <v>391</v>
      </c>
      <c r="P42" s="2">
        <f ca="1">VLOOKUP($B42&amp;"最终",坦克标准养成属性!$S$3:$AE$63,MATCH(P$40,坦克标准养成属性!$S$3:$AE$3,0),FALSE)</f>
        <v>510</v>
      </c>
      <c r="Q42" s="42">
        <f t="shared" ref="Q42:Q70" ca="1" si="21">POWER(POWER(M42*L42*K42*AVERAGE(N42:O42)*P42,0.25),$C$2)*$C$3</f>
        <v>1728.777438824178</v>
      </c>
    </row>
    <row r="43" spans="2:40" x14ac:dyDescent="0.3">
      <c r="B43" s="2" t="s">
        <v>616</v>
      </c>
      <c r="C43" s="29" t="str">
        <f>VLOOKUP(B43,坦克个性化设定!$B$18:$F$48,5,FALSE)</f>
        <v>轻坦弹夹</v>
      </c>
      <c r="D43" s="2" t="str">
        <f>VLOOKUP(B43,坦克个性化细分!$I$3:$J$33,2,FALSE)</f>
        <v>中</v>
      </c>
      <c r="E43" s="2" t="str">
        <f>VLOOKUP(B43,坦克个性化设定!$B$18:$F$48,MATCH(E$40,坦克个性化设定!$B$18:$F$18,0),FALSE)</f>
        <v>T2</v>
      </c>
      <c r="F43" s="2">
        <f>VLOOKUP(E43&amp;D43,坦克标准养成属性!$H$3:$P$15,MATCH(F$40,坦克标准养成属性!$H$3:$P$3,0),FALSE)</f>
        <v>7</v>
      </c>
      <c r="G43" s="2">
        <f t="shared" si="18"/>
        <v>0.8</v>
      </c>
      <c r="H43" s="2">
        <f>VLOOKUP($B43,坦克个性化设定!$B$51:$T$81,MATCH(H$40,坦克个性化设定!$B$51:$T$51,0),FALSE)</f>
        <v>6</v>
      </c>
      <c r="I43" s="2">
        <f t="shared" si="19"/>
        <v>0</v>
      </c>
      <c r="J43" s="2">
        <f t="shared" si="19"/>
        <v>2.1</v>
      </c>
      <c r="K43" s="34">
        <f t="shared" si="20"/>
        <v>61.081967213114766</v>
      </c>
      <c r="L43" s="42">
        <f ca="1">VLOOKUP($B43&amp;"最终",坦克标准养成属性!$S$3:$AE$63,MATCH(L$40,坦克标准养成属性!$S$3:$AE$3,0),FALSE)</f>
        <v>1519.9332579392922</v>
      </c>
      <c r="M43" s="42">
        <f ca="1">VLOOKUP($B43&amp;"最终",坦克标准养成属性!$S$3:$AE$63,MATCH(M$40,坦克标准养成属性!$S$3:$AE$3,0),FALSE)</f>
        <v>113.73157399005031</v>
      </c>
      <c r="N43" s="2">
        <f ca="1">VLOOKUP($B43&amp;"最终",坦克标准养成属性!$S$3:$AE$63,MATCH(N$40,坦克标准养成属性!$S$3:$AE$3,0),FALSE)</f>
        <v>578</v>
      </c>
      <c r="O43" s="2">
        <f ca="1">VLOOKUP($B43&amp;"最终",坦克标准养成属性!$S$3:$AE$63,MATCH(O$40,坦克标准养成属性!$S$3:$AE$3,0),FALSE)</f>
        <v>405</v>
      </c>
      <c r="P43" s="2">
        <f ca="1">VLOOKUP($B43&amp;"最终",坦克标准养成属性!$S$3:$AE$63,MATCH(P$40,坦克标准养成属性!$S$3:$AE$3,0),FALSE)</f>
        <v>528</v>
      </c>
      <c r="Q43" s="42">
        <f t="shared" ca="1" si="21"/>
        <v>1892.0414889734036</v>
      </c>
    </row>
    <row r="44" spans="2:40" x14ac:dyDescent="0.3">
      <c r="B44" s="2" t="s">
        <v>530</v>
      </c>
      <c r="C44" s="29" t="str">
        <f>VLOOKUP(B44,坦克个性化设定!$B$18:$F$48,5,FALSE)</f>
        <v>轻坦弹夹</v>
      </c>
      <c r="D44" s="2" t="str">
        <f>VLOOKUP(B44,坦克个性化细分!$I$3:$J$33,2,FALSE)</f>
        <v>低</v>
      </c>
      <c r="E44" s="2" t="str">
        <f>VLOOKUP(B44,坦克个性化设定!$B$18:$F$48,MATCH(E$40,坦克个性化设定!$B$18:$F$18,0),FALSE)</f>
        <v>T3</v>
      </c>
      <c r="F44" s="2">
        <f>VLOOKUP(E44&amp;D44,坦克标准养成属性!$H$3:$P$15,MATCH(F$40,坦克标准养成属性!$H$3:$P$3,0),FALSE)</f>
        <v>9</v>
      </c>
      <c r="G44" s="2">
        <f t="shared" si="18"/>
        <v>0.8</v>
      </c>
      <c r="H44" s="2">
        <f>VLOOKUP($B44,坦克个性化设定!$B$51:$T$81,MATCH(H$40,坦克个性化设定!$B$51:$T$51,0),FALSE)</f>
        <v>9</v>
      </c>
      <c r="I44" s="2">
        <f t="shared" si="19"/>
        <v>0</v>
      </c>
      <c r="J44" s="2">
        <f t="shared" si="19"/>
        <v>4.3</v>
      </c>
      <c r="K44" s="34">
        <f t="shared" si="20"/>
        <v>54.084112149532714</v>
      </c>
      <c r="L44" s="42">
        <f ca="1">VLOOKUP($B44&amp;"最终",坦克标准养成属性!$S$3:$AE$63,MATCH(L$40,坦克标准养成属性!$S$3:$AE$3,0),FALSE)</f>
        <v>1724.1746625470419</v>
      </c>
      <c r="M44" s="42">
        <f ca="1">VLOOKUP($B44&amp;"最终",坦克标准养成属性!$S$3:$AE$63,MATCH(M$40,坦克标准养成属性!$S$3:$AE$3,0),FALSE)</f>
        <v>147.87518042931802</v>
      </c>
      <c r="N44" s="2">
        <f ca="1">VLOOKUP($B44&amp;"最终",坦克标准养成属性!$S$3:$AE$63,MATCH(N$40,坦克标准养成属性!$S$3:$AE$3,0),FALSE)</f>
        <v>713</v>
      </c>
      <c r="O44" s="2">
        <f ca="1">VLOOKUP($B44&amp;"最终",坦克标准养成属性!$S$3:$AE$63,MATCH(O$40,坦克标准养成属性!$S$3:$AE$3,0),FALSE)</f>
        <v>499</v>
      </c>
      <c r="P44" s="2">
        <f ca="1">VLOOKUP($B44&amp;"最终",坦克标准养成属性!$S$3:$AE$63,MATCH(P$40,坦克标准养成属性!$S$3:$AE$3,0),FALSE)</f>
        <v>651</v>
      </c>
      <c r="Q44" s="42">
        <f t="shared" ca="1" si="21"/>
        <v>2384.7683543681392</v>
      </c>
    </row>
    <row r="45" spans="2:40" x14ac:dyDescent="0.3">
      <c r="B45" s="2" t="s">
        <v>620</v>
      </c>
      <c r="C45" s="29" t="str">
        <f>VLOOKUP(B45,坦克个性化设定!$B$18:$F$48,5,FALSE)</f>
        <v>轻坦弹夹</v>
      </c>
      <c r="D45" s="2" t="str">
        <f>VLOOKUP(B45,坦克个性化细分!$I$3:$J$33,2,FALSE)</f>
        <v>中</v>
      </c>
      <c r="E45" s="2" t="str">
        <f>VLOOKUP(B45,坦克个性化设定!$B$18:$F$48,MATCH(E$40,坦克个性化设定!$B$18:$F$18,0),FALSE)</f>
        <v>T3</v>
      </c>
      <c r="F45" s="2">
        <f>VLOOKUP(E45&amp;D45,坦克标准养成属性!$H$3:$P$15,MATCH(F$40,坦克标准养成属性!$H$3:$P$3,0),FALSE)</f>
        <v>9</v>
      </c>
      <c r="G45" s="2">
        <f t="shared" si="18"/>
        <v>0.6</v>
      </c>
      <c r="H45" s="2">
        <f>VLOOKUP($B45,坦克个性化设定!$B$51:$T$81,MATCH(H$40,坦克个性化设定!$B$51:$T$51,0),FALSE)</f>
        <v>12</v>
      </c>
      <c r="I45" s="2">
        <f t="shared" si="19"/>
        <v>0</v>
      </c>
      <c r="J45" s="2">
        <f t="shared" si="19"/>
        <v>6</v>
      </c>
      <c r="K45" s="34">
        <f t="shared" si="20"/>
        <v>62.857142857142861</v>
      </c>
      <c r="L45" s="42">
        <f ca="1">VLOOKUP($B45&amp;"最终",坦克标准养成属性!$S$3:$AE$63,MATCH(L$40,坦克标准养成属性!$S$3:$AE$3,0),FALSE)</f>
        <v>1870.7019561522959</v>
      </c>
      <c r="M45" s="42">
        <f ca="1">VLOOKUP($B45&amp;"最终",坦克标准养成属性!$S$3:$AE$63,MATCH(M$40,坦克标准养成属性!$S$3:$AE$3,0),FALSE)</f>
        <v>105.87569780884732</v>
      </c>
      <c r="N45" s="2">
        <f ca="1">VLOOKUP($B45&amp;"最终",坦克标准养成属性!$S$3:$AE$63,MATCH(N$40,坦克标准养成属性!$S$3:$AE$3,0),FALSE)</f>
        <v>749</v>
      </c>
      <c r="O45" s="2">
        <f ca="1">VLOOKUP($B45&amp;"最终",坦克标准养成属性!$S$3:$AE$63,MATCH(O$40,坦克标准养成属性!$S$3:$AE$3,0),FALSE)</f>
        <v>524</v>
      </c>
      <c r="P45" s="2">
        <f ca="1">VLOOKUP($B45&amp;"最终",坦克标准养成属性!$S$3:$AE$63,MATCH(P$40,坦克标准养成属性!$S$3:$AE$3,0),FALSE)</f>
        <v>684</v>
      </c>
      <c r="Q45" s="42">
        <f t="shared" ca="1" si="21"/>
        <v>2381.8238075302656</v>
      </c>
    </row>
    <row r="46" spans="2:40" x14ac:dyDescent="0.3">
      <c r="B46" s="2" t="s">
        <v>622</v>
      </c>
      <c r="C46" s="29" t="str">
        <f>VLOOKUP(B46,坦克个性化设定!$B$18:$F$48,5,FALSE)</f>
        <v>轻坦弹夹</v>
      </c>
      <c r="D46" s="2" t="str">
        <f>VLOOKUP(B46,坦克个性化细分!$I$3:$J$33,2,FALSE)</f>
        <v>高</v>
      </c>
      <c r="E46" s="2" t="str">
        <f>VLOOKUP(B46,坦克个性化设定!$B$18:$F$48,MATCH(E$40,坦克个性化设定!$B$18:$F$18,0),FALSE)</f>
        <v>T3</v>
      </c>
      <c r="F46" s="2">
        <f>VLOOKUP(E46&amp;D46,坦克标准养成属性!$H$3:$P$15,MATCH(F$40,坦克标准养成属性!$H$3:$P$3,0),FALSE)</f>
        <v>9</v>
      </c>
      <c r="G46" s="2">
        <f t="shared" si="18"/>
        <v>0.8</v>
      </c>
      <c r="H46" s="2">
        <f>VLOOKUP($B46,坦克个性化设定!$B$51:$T$81,MATCH(H$40,坦克个性化设定!$B$51:$T$51,0),FALSE)</f>
        <v>9</v>
      </c>
      <c r="I46" s="2">
        <f t="shared" si="19"/>
        <v>0</v>
      </c>
      <c r="J46" s="2">
        <f t="shared" si="19"/>
        <v>4.3</v>
      </c>
      <c r="K46" s="34">
        <f t="shared" si="20"/>
        <v>54.084112149532714</v>
      </c>
      <c r="L46" s="42">
        <f ca="1">VLOOKUP($B46&amp;"最终",坦克标准养成属性!$S$3:$AE$63,MATCH(L$40,坦克标准养成属性!$S$3:$AE$3,0),FALSE)</f>
        <v>1729.9308499309877</v>
      </c>
      <c r="M46" s="42">
        <f ca="1">VLOOKUP($B46&amp;"最终",坦克标准养成属性!$S$3:$AE$63,MATCH(M$40,坦克标准养成属性!$S$3:$AE$3,0),FALSE)</f>
        <v>144.7336988359433</v>
      </c>
      <c r="N46" s="2">
        <f ca="1">VLOOKUP($B46&amp;"最终",坦克标准养成属性!$S$3:$AE$63,MATCH(N$40,坦克标准养成属性!$S$3:$AE$3,0),FALSE)</f>
        <v>766</v>
      </c>
      <c r="O46" s="2">
        <f ca="1">VLOOKUP($B46&amp;"最终",坦克标准养成属性!$S$3:$AE$63,MATCH(O$40,坦克标准养成属性!$S$3:$AE$3,0),FALSE)</f>
        <v>536</v>
      </c>
      <c r="P46" s="2">
        <f ca="1">VLOOKUP($B46&amp;"最终",坦克标准养成属性!$S$3:$AE$63,MATCH(P$40,坦克标准养成属性!$S$3:$AE$3,0),FALSE)</f>
        <v>699</v>
      </c>
      <c r="Q46" s="42">
        <f t="shared" ca="1" si="21"/>
        <v>2487.2180651509548</v>
      </c>
    </row>
    <row r="47" spans="2:40" x14ac:dyDescent="0.3">
      <c r="B47" s="2" t="s">
        <v>624</v>
      </c>
      <c r="C47" s="29" t="str">
        <f>VLOOKUP(B47,坦克个性化设定!$B$18:$F$48,5,FALSE)</f>
        <v>轻坦弹夹</v>
      </c>
      <c r="D47" s="2" t="str">
        <f>VLOOKUP(B47,坦克个性化细分!$I$3:$J$33,2,FALSE)</f>
        <v>低</v>
      </c>
      <c r="E47" s="2" t="str">
        <f>VLOOKUP(B47,坦克个性化设定!$B$18:$F$48,MATCH(E$40,坦克个性化设定!$B$18:$F$18,0),FALSE)</f>
        <v>T4</v>
      </c>
      <c r="F47" s="2">
        <f>VLOOKUP(E47&amp;D47,坦克标准养成属性!$H$3:$P$15,MATCH(F$40,坦克标准养成属性!$H$3:$P$3,0),FALSE)</f>
        <v>11</v>
      </c>
      <c r="G47" s="2">
        <f t="shared" si="18"/>
        <v>0.6</v>
      </c>
      <c r="H47" s="2">
        <f>VLOOKUP($B47,坦克个性化设定!$B$51:$T$81,MATCH(H$40,坦克个性化设定!$B$51:$T$51,0),FALSE)</f>
        <v>9</v>
      </c>
      <c r="I47" s="2">
        <f t="shared" si="19"/>
        <v>0</v>
      </c>
      <c r="J47" s="2">
        <f t="shared" si="19"/>
        <v>4.5999999999999996</v>
      </c>
      <c r="K47" s="34">
        <f t="shared" si="20"/>
        <v>61.851063829787243</v>
      </c>
      <c r="L47" s="42">
        <f ca="1">VLOOKUP($B47&amp;"最终",坦克标准养成属性!$S$3:$AE$63,MATCH(L$40,坦克标准养成属性!$S$3:$AE$3,0),FALSE)</f>
        <v>2109.1656242386507</v>
      </c>
      <c r="M47" s="42">
        <f ca="1">VLOOKUP($B47&amp;"最终",坦克标准养成属性!$S$3:$AE$63,MATCH(M$40,坦克标准养成属性!$S$3:$AE$3,0),FALSE)</f>
        <v>149.51009359590103</v>
      </c>
      <c r="N47" s="2">
        <f ca="1">VLOOKUP($B47&amp;"最终",坦克标准养成属性!$S$3:$AE$63,MATCH(N$40,坦克标准养成属性!$S$3:$AE$3,0),FALSE)</f>
        <v>927</v>
      </c>
      <c r="O47" s="2">
        <f ca="1">VLOOKUP($B47&amp;"最终",坦克标准养成属性!$S$3:$AE$63,MATCH(O$40,坦克标准养成属性!$S$3:$AE$3,0),FALSE)</f>
        <v>649</v>
      </c>
      <c r="P47" s="2">
        <f ca="1">VLOOKUP($B47&amp;"最终",坦克标准养成属性!$S$3:$AE$63,MATCH(P$40,坦克标准养成属性!$S$3:$AE$3,0),FALSE)</f>
        <v>846</v>
      </c>
      <c r="Q47" s="42">
        <f t="shared" ca="1" si="21"/>
        <v>3200.1082350650877</v>
      </c>
    </row>
    <row r="48" spans="2:40" x14ac:dyDescent="0.3">
      <c r="B48" s="2" t="s">
        <v>627</v>
      </c>
      <c r="C48" s="29" t="str">
        <f>VLOOKUP(B48,坦克个性化设定!$B$18:$F$48,5,FALSE)</f>
        <v>轻坦弹夹</v>
      </c>
      <c r="D48" s="2" t="str">
        <f>VLOOKUP(B48,坦克个性化细分!$I$3:$J$33,2,FALSE)</f>
        <v>中</v>
      </c>
      <c r="E48" s="2" t="str">
        <f>VLOOKUP(B48,坦克个性化设定!$B$18:$F$48,MATCH(E$40,坦克个性化设定!$B$18:$F$18,0),FALSE)</f>
        <v>T4</v>
      </c>
      <c r="F48" s="2">
        <f>VLOOKUP(E48&amp;D48,坦克标准养成属性!$H$3:$P$15,MATCH(F$40,坦克标准养成属性!$H$3:$P$3,0),FALSE)</f>
        <v>11</v>
      </c>
      <c r="G48" s="2">
        <f t="shared" si="18"/>
        <v>0.8</v>
      </c>
      <c r="H48" s="2">
        <f>VLOOKUP($B48,坦克个性化设定!$B$51:$T$81,MATCH(H$40,坦克个性化设定!$B$51:$T$51,0),FALSE)</f>
        <v>12</v>
      </c>
      <c r="I48" s="2">
        <f t="shared" si="19"/>
        <v>0</v>
      </c>
      <c r="J48" s="2">
        <f t="shared" si="19"/>
        <v>5.5</v>
      </c>
      <c r="K48" s="34">
        <f t="shared" si="20"/>
        <v>54.96503496503496</v>
      </c>
      <c r="L48" s="42">
        <f ca="1">VLOOKUP($B48&amp;"最终",坦克标准养成属性!$S$3:$AE$63,MATCH(L$40,坦克标准养成属性!$S$3:$AE$3,0),FALSE)</f>
        <v>2423.0109401749419</v>
      </c>
      <c r="M48" s="42">
        <f ca="1">VLOOKUP($B48&amp;"最终",坦克标准养成属性!$S$3:$AE$63,MATCH(M$40,坦克标准养成属性!$S$3:$AE$3,0),FALSE)</f>
        <v>163.94441796038689</v>
      </c>
      <c r="N48" s="2">
        <f ca="1">VLOOKUP($B48&amp;"最终",坦克标准养成属性!$S$3:$AE$63,MATCH(N$40,坦克标准养成属性!$S$3:$AE$3,0),FALSE)</f>
        <v>973</v>
      </c>
      <c r="O48" s="2">
        <f ca="1">VLOOKUP($B48&amp;"最终",坦克标准养成属性!$S$3:$AE$63,MATCH(O$40,坦克标准养成属性!$S$3:$AE$3,0),FALSE)</f>
        <v>681</v>
      </c>
      <c r="P48" s="2">
        <f ca="1">VLOOKUP($B48&amp;"最终",坦克标准养成属性!$S$3:$AE$63,MATCH(P$40,坦克标准养成属性!$S$3:$AE$3,0),FALSE)</f>
        <v>888</v>
      </c>
      <c r="Q48" s="42">
        <f t="shared" ca="1" si="21"/>
        <v>3434.6934449265409</v>
      </c>
    </row>
    <row r="49" spans="2:17" x14ac:dyDescent="0.3">
      <c r="B49" s="2" t="s">
        <v>629</v>
      </c>
      <c r="C49" s="29" t="str">
        <f>VLOOKUP(B49,坦克个性化设定!$B$18:$F$48,5,FALSE)</f>
        <v>轻坦弹夹</v>
      </c>
      <c r="D49" s="2" t="str">
        <f>VLOOKUP(B49,坦克个性化细分!$I$3:$J$33,2,FALSE)</f>
        <v>高</v>
      </c>
      <c r="E49" s="2" t="str">
        <f>VLOOKUP(B49,坦克个性化设定!$B$18:$F$48,MATCH(E$40,坦克个性化设定!$B$18:$F$18,0),FALSE)</f>
        <v>T4</v>
      </c>
      <c r="F49" s="2">
        <f>VLOOKUP(E49&amp;D49,坦克标准养成属性!$H$3:$P$15,MATCH(F$40,坦克标准养成属性!$H$3:$P$3,0),FALSE)</f>
        <v>11</v>
      </c>
      <c r="G49" s="2">
        <f t="shared" si="18"/>
        <v>0.8</v>
      </c>
      <c r="H49" s="2">
        <f>VLOOKUP($B49,坦克个性化设定!$B$51:$T$81,MATCH(H$40,坦克个性化设定!$B$51:$T$51,0),FALSE)</f>
        <v>6</v>
      </c>
      <c r="I49" s="2">
        <f t="shared" si="19"/>
        <v>0</v>
      </c>
      <c r="J49" s="2">
        <f t="shared" si="19"/>
        <v>3</v>
      </c>
      <c r="K49" s="34">
        <f t="shared" si="20"/>
        <v>54</v>
      </c>
      <c r="L49" s="42">
        <f ca="1">VLOOKUP($B49&amp;"最终",坦克标准养成属性!$S$3:$AE$63,MATCH(L$40,坦克标准养成属性!$S$3:$AE$3,0),FALSE)</f>
        <v>2645.3581497938449</v>
      </c>
      <c r="M49" s="42">
        <f ca="1">VLOOKUP($B49&amp;"最终",坦克标准养成属性!$S$3:$AE$63,MATCH(M$40,坦克标准养成属性!$S$3:$AE$3,0),FALSE)</f>
        <v>160.38757587421961</v>
      </c>
      <c r="N49" s="2">
        <f ca="1">VLOOKUP($B49&amp;"最终",坦克标准养成属性!$S$3:$AE$63,MATCH(N$40,坦克标准养成属性!$S$3:$AE$3,0),FALSE)</f>
        <v>992</v>
      </c>
      <c r="O49" s="2">
        <f ca="1">VLOOKUP($B49&amp;"最终",坦克标准养成属性!$S$3:$AE$63,MATCH(O$40,坦克标准养成属性!$S$3:$AE$3,0),FALSE)</f>
        <v>695</v>
      </c>
      <c r="P49" s="2">
        <f ca="1">VLOOKUP($B49&amp;"最终",坦克标准养成属性!$S$3:$AE$63,MATCH(P$40,坦克标准养成属性!$S$3:$AE$3,0),FALSE)</f>
        <v>906</v>
      </c>
      <c r="Q49" s="42">
        <f t="shared" ca="1" si="21"/>
        <v>3538.1989903696867</v>
      </c>
    </row>
    <row r="50" spans="2:17" x14ac:dyDescent="0.3">
      <c r="B50" s="2" t="s">
        <v>631</v>
      </c>
      <c r="C50" s="29" t="str">
        <f>VLOOKUP(B50,坦克个性化设定!$B$18:$F$48,5,FALSE)</f>
        <v>轻坦弹夹</v>
      </c>
      <c r="D50" s="2" t="str">
        <f>VLOOKUP(B50,坦克个性化细分!$I$3:$J$33,2,FALSE)</f>
        <v>低</v>
      </c>
      <c r="E50" s="2" t="str">
        <f>VLOOKUP(B50,坦克个性化设定!$B$18:$F$48,MATCH(E$40,坦克个性化设定!$B$18:$F$18,0),FALSE)</f>
        <v>T5</v>
      </c>
      <c r="F50" s="2">
        <f>VLOOKUP(E50&amp;D50,坦克标准养成属性!$H$3:$P$15,MATCH(F$40,坦克标准养成属性!$H$3:$P$3,0),FALSE)</f>
        <v>13</v>
      </c>
      <c r="G50" s="2">
        <f t="shared" si="18"/>
        <v>0.8</v>
      </c>
      <c r="H50" s="2">
        <f>VLOOKUP($B50,坦克个性化设定!$B$51:$T$81,MATCH(H$40,坦克个性化设定!$B$51:$T$51,0),FALSE)</f>
        <v>9</v>
      </c>
      <c r="I50" s="2">
        <f t="shared" si="19"/>
        <v>0</v>
      </c>
      <c r="J50" s="2">
        <f t="shared" si="19"/>
        <v>4.3</v>
      </c>
      <c r="K50" s="34">
        <f t="shared" si="20"/>
        <v>54.084112149532714</v>
      </c>
      <c r="L50" s="42">
        <f ca="1">VLOOKUP($B50&amp;"最终",坦克标准养成属性!$S$3:$AE$63,MATCH(L$40,坦克标准养成属性!$S$3:$AE$3,0),FALSE)</f>
        <v>3019.8994949304792</v>
      </c>
      <c r="M50" s="42">
        <f ca="1">VLOOKUP($B50&amp;"最终",坦克标准养成属性!$S$3:$AE$63,MATCH(M$40,坦克标准养成属性!$S$3:$AE$3,0),FALSE)</f>
        <v>203.82178394628195</v>
      </c>
      <c r="N50" s="2">
        <f ca="1">VLOOKUP($B50&amp;"最终",坦克标准养成属性!$S$3:$AE$63,MATCH(N$40,坦克标准养成属性!$S$3:$AE$3,0),FALSE)</f>
        <v>1199</v>
      </c>
      <c r="O50" s="2">
        <f ca="1">VLOOKUP($B50&amp;"最终",坦克标准养成属性!$S$3:$AE$63,MATCH(O$40,坦克标准养成属性!$S$3:$AE$3,0),FALSE)</f>
        <v>840</v>
      </c>
      <c r="P50" s="2">
        <f ca="1">VLOOKUP($B50&amp;"最终",坦克标准养成属性!$S$3:$AE$63,MATCH(P$40,坦克标准养成属性!$S$3:$AE$3,0),FALSE)</f>
        <v>1095</v>
      </c>
      <c r="Q50" s="42">
        <f t="shared" ca="1" si="21"/>
        <v>4561.3644023002071</v>
      </c>
    </row>
    <row r="51" spans="2:17" x14ac:dyDescent="0.3">
      <c r="B51" s="2" t="s">
        <v>520</v>
      </c>
      <c r="C51" s="29" t="str">
        <f>VLOOKUP(B51,坦克个性化设定!$B$18:$F$48,5,FALSE)</f>
        <v>中坦自动</v>
      </c>
      <c r="D51" s="2" t="str">
        <f>VLOOKUP(B51,坦克个性化细分!$I$3:$J$33,2,FALSE)</f>
        <v>低</v>
      </c>
      <c r="E51" s="2" t="str">
        <f>VLOOKUP(B51,坦克个性化设定!$B$18:$F$48,MATCH(E$40,坦克个性化设定!$B$18:$F$18,0),FALSE)</f>
        <v>T1</v>
      </c>
      <c r="F51" s="2">
        <f>VLOOKUP(E51&amp;D51,坦克标准养成属性!$H$3:$P$15,MATCH(F$40,坦克标准养成属性!$H$3:$P$3,0),FALSE)</f>
        <v>5</v>
      </c>
      <c r="G51" s="2">
        <f t="shared" si="18"/>
        <v>0.3</v>
      </c>
      <c r="H51" s="2">
        <f>VLOOKUP($B51,坦克个性化设定!$B$51:$T$81,MATCH(H$40,坦克个性化设定!$B$51:$T$51,0),FALSE)</f>
        <v>9</v>
      </c>
      <c r="I51" s="2">
        <f t="shared" si="19"/>
        <v>0</v>
      </c>
      <c r="J51" s="2">
        <f t="shared" si="19"/>
        <v>2.6</v>
      </c>
      <c r="K51" s="34" t="e">
        <f t="shared" si="20"/>
        <v>#DIV/0!</v>
      </c>
      <c r="L51" s="42">
        <f ca="1">VLOOKUP($B51&amp;"最终",坦克标准养成属性!$S$3:$AE$63,MATCH(L$40,坦克标准养成属性!$S$3:$AE$3,0),FALSE)</f>
        <v>970.3464588817867</v>
      </c>
      <c r="M51" s="42">
        <f ca="1">VLOOKUP($B51&amp;"最终",坦克标准养成属性!$S$3:$AE$63,MATCH(M$40,坦克标准养成属性!$S$3:$AE$3,0),FALSE)</f>
        <v>153.42737938908832</v>
      </c>
      <c r="N51" s="2">
        <f ca="1">VLOOKUP($B51&amp;"最终",坦克标准养成属性!$S$3:$AE$63,MATCH(N$40,坦克标准养成属性!$S$3:$AE$3,0),FALSE)</f>
        <v>427</v>
      </c>
      <c r="O51" s="2">
        <f ca="1">VLOOKUP($B51&amp;"最终",坦克标准养成属性!$S$3:$AE$63,MATCH(O$40,坦克标准养成属性!$S$3:$AE$3,0),FALSE)</f>
        <v>320</v>
      </c>
      <c r="P51" s="2">
        <f ca="1">VLOOKUP($B51&amp;"最终",坦克标准养成属性!$S$3:$AE$63,MATCH(P$40,坦克标准养成属性!$S$3:$AE$3,0),FALSE)</f>
        <v>468</v>
      </c>
      <c r="Q51" s="42" t="e">
        <f t="shared" ca="1" si="21"/>
        <v>#DIV/0!</v>
      </c>
    </row>
    <row r="52" spans="2:17" x14ac:dyDescent="0.3">
      <c r="B52" s="2" t="s">
        <v>526</v>
      </c>
      <c r="C52" s="29" t="str">
        <f>VLOOKUP(B52,坦克个性化设定!$B$18:$F$48,5,FALSE)</f>
        <v>中坦自动</v>
      </c>
      <c r="D52" s="2" t="str">
        <f>VLOOKUP(B52,坦克个性化细分!$I$3:$J$33,2,FALSE)</f>
        <v>低</v>
      </c>
      <c r="E52" s="2" t="str">
        <f>VLOOKUP(B52,坦克个性化设定!$B$18:$F$48,MATCH(E$40,坦克个性化设定!$B$18:$F$18,0),FALSE)</f>
        <v>T2</v>
      </c>
      <c r="F52" s="2">
        <f>VLOOKUP(E52&amp;D52,坦克标准养成属性!$H$3:$P$15,MATCH(F$40,坦克标准养成属性!$H$3:$P$3,0),FALSE)</f>
        <v>7</v>
      </c>
      <c r="G52" s="2">
        <f t="shared" si="18"/>
        <v>1</v>
      </c>
      <c r="H52" s="2">
        <f>VLOOKUP($B52,坦克个性化设定!$B$51:$T$81,MATCH(H$40,坦克个性化设定!$B$51:$T$51,0),FALSE)</f>
        <v>9</v>
      </c>
      <c r="I52" s="2">
        <f t="shared" si="19"/>
        <v>0</v>
      </c>
      <c r="J52" s="2">
        <f t="shared" si="19"/>
        <v>2.6</v>
      </c>
      <c r="K52" s="34" t="e">
        <f t="shared" si="20"/>
        <v>#DIV/0!</v>
      </c>
      <c r="L52" s="42">
        <f ca="1">VLOOKUP($B52&amp;"最终",坦克标准养成属性!$S$3:$AE$63,MATCH(L$40,坦克标准养成属性!$S$3:$AE$3,0),FALSE)</f>
        <v>1313.0604800144677</v>
      </c>
      <c r="M52" s="42">
        <f ca="1">VLOOKUP($B52&amp;"最终",坦克标准养成属性!$S$3:$AE$63,MATCH(M$40,坦克标准养成属性!$S$3:$AE$3,0),FALSE)</f>
        <v>186.10044744812546</v>
      </c>
      <c r="N52" s="2">
        <f ca="1">VLOOKUP($B52&amp;"最终",坦克标准养成属性!$S$3:$AE$63,MATCH(N$40,坦克标准养成属性!$S$3:$AE$3,0),FALSE)</f>
        <v>559</v>
      </c>
      <c r="O52" s="2">
        <f ca="1">VLOOKUP($B52&amp;"最终",坦克标准养成属性!$S$3:$AE$63,MATCH(O$40,坦克标准养成属性!$S$3:$AE$3,0),FALSE)</f>
        <v>419</v>
      </c>
      <c r="P52" s="2">
        <f ca="1">VLOOKUP($B52&amp;"最终",坦克标准养成属性!$S$3:$AE$63,MATCH(P$40,坦克标准养成属性!$S$3:$AE$3,0),FALSE)</f>
        <v>612</v>
      </c>
      <c r="Q52" s="42" t="e">
        <f t="shared" ca="1" si="21"/>
        <v>#DIV/0!</v>
      </c>
    </row>
    <row r="53" spans="2:17" x14ac:dyDescent="0.3">
      <c r="B53" s="2" t="s">
        <v>636</v>
      </c>
      <c r="C53" s="29" t="str">
        <f>VLOOKUP(B53,坦克个性化设定!$B$18:$F$48,5,FALSE)</f>
        <v>中坦自动</v>
      </c>
      <c r="D53" s="2" t="str">
        <f>VLOOKUP(B53,坦克个性化细分!$I$3:$J$33,2,FALSE)</f>
        <v>中</v>
      </c>
      <c r="E53" s="2" t="str">
        <f>VLOOKUP(B53,坦克个性化设定!$B$18:$F$48,MATCH(E$40,坦克个性化设定!$B$18:$F$18,0),FALSE)</f>
        <v>T2</v>
      </c>
      <c r="F53" s="2">
        <f>VLOOKUP(E53&amp;D53,坦克标准养成属性!$H$3:$P$15,MATCH(F$40,坦克标准养成属性!$H$3:$P$3,0),FALSE)</f>
        <v>7</v>
      </c>
      <c r="G53" s="2">
        <f t="shared" si="18"/>
        <v>0.4</v>
      </c>
      <c r="H53" s="2">
        <f>VLOOKUP($B53,坦克个性化设定!$B$51:$T$81,MATCH(H$40,坦克个性化设定!$B$51:$T$51,0),FALSE)</f>
        <v>6</v>
      </c>
      <c r="I53" s="2">
        <f t="shared" si="19"/>
        <v>2.02</v>
      </c>
      <c r="J53" s="2">
        <f t="shared" si="19"/>
        <v>0</v>
      </c>
      <c r="K53" s="34">
        <f t="shared" si="20"/>
        <v>35.702970297029708</v>
      </c>
      <c r="L53" s="42">
        <f ca="1">VLOOKUP($B53&amp;"最终",坦克标准养成属性!$S$3:$AE$63,MATCH(L$40,坦克标准养成属性!$S$3:$AE$3,0),FALSE)</f>
        <v>1453.8346415033468</v>
      </c>
      <c r="M53" s="42">
        <f ca="1">VLOOKUP($B53&amp;"最终",坦克标准养成属性!$S$3:$AE$63,MATCH(M$40,坦克标准养成属性!$S$3:$AE$3,0),FALSE)</f>
        <v>191.35816565986866</v>
      </c>
      <c r="N53" s="2">
        <f ca="1">VLOOKUP($B53&amp;"最终",坦克标准养成属性!$S$3:$AE$63,MATCH(N$40,坦克标准养成属性!$S$3:$AE$3,0),FALSE)</f>
        <v>578</v>
      </c>
      <c r="O53" s="2">
        <f ca="1">VLOOKUP($B53&amp;"最终",坦克标准养成属性!$S$3:$AE$63,MATCH(O$40,坦克标准养成属性!$S$3:$AE$3,0),FALSE)</f>
        <v>434</v>
      </c>
      <c r="P53" s="2">
        <f ca="1">VLOOKUP($B53&amp;"最终",坦克标准养成属性!$S$3:$AE$63,MATCH(P$40,坦克标准养成属性!$S$3:$AE$3,0),FALSE)</f>
        <v>634</v>
      </c>
      <c r="Q53" s="42">
        <f t="shared" ca="1" si="21"/>
        <v>1990.8890903074994</v>
      </c>
    </row>
    <row r="54" spans="2:17" x14ac:dyDescent="0.3">
      <c r="B54" s="2" t="s">
        <v>534</v>
      </c>
      <c r="C54" s="29" t="str">
        <f>VLOOKUP(B54,坦克个性化设定!$B$18:$F$48,5,FALSE)</f>
        <v>中坦自动</v>
      </c>
      <c r="D54" s="2" t="str">
        <f>VLOOKUP(B54,坦克个性化细分!$I$3:$J$33,2,FALSE)</f>
        <v>低</v>
      </c>
      <c r="E54" s="2" t="str">
        <f>VLOOKUP(B54,坦克个性化设定!$B$18:$F$48,MATCH(E$40,坦克个性化设定!$B$18:$F$18,0),FALSE)</f>
        <v>T3</v>
      </c>
      <c r="F54" s="2">
        <f>VLOOKUP(E54&amp;D54,坦克标准养成属性!$H$3:$P$15,MATCH(F$40,坦克标准养成属性!$H$3:$P$3,0),FALSE)</f>
        <v>9</v>
      </c>
      <c r="G54" s="2">
        <f t="shared" si="18"/>
        <v>0.6</v>
      </c>
      <c r="H54" s="2">
        <f>VLOOKUP($B54,坦克个性化设定!$B$51:$T$81,MATCH(H$40,坦克个性化设定!$B$51:$T$51,0),FALSE)</f>
        <v>9</v>
      </c>
      <c r="I54" s="2">
        <f t="shared" si="19"/>
        <v>0</v>
      </c>
      <c r="J54" s="2">
        <f t="shared" si="19"/>
        <v>2.6</v>
      </c>
      <c r="K54" s="34" t="e">
        <f t="shared" si="20"/>
        <v>#DIV/0!</v>
      </c>
      <c r="L54" s="42">
        <f ca="1">VLOOKUP($B54&amp;"最终",坦克标准养成属性!$S$3:$AE$63,MATCH(L$40,坦克标准养成属性!$S$3:$AE$3,0),FALSE)</f>
        <v>1739.4235249575718</v>
      </c>
      <c r="M54" s="42">
        <f ca="1">VLOOKUP($B54&amp;"最终",坦克标准养成属性!$S$3:$AE$63,MATCH(M$40,坦克标准养成属性!$S$3:$AE$3,0),FALSE)</f>
        <v>232.18398504995318</v>
      </c>
      <c r="N54" s="2">
        <f ca="1">VLOOKUP($B54&amp;"最终",坦克标准养成属性!$S$3:$AE$63,MATCH(N$40,坦克标准养成属性!$S$3:$AE$3,0),FALSE)</f>
        <v>713</v>
      </c>
      <c r="O54" s="2">
        <f ca="1">VLOOKUP($B54&amp;"最终",坦克标准养成属性!$S$3:$AE$63,MATCH(O$40,坦克标准养成属性!$S$3:$AE$3,0),FALSE)</f>
        <v>535</v>
      </c>
      <c r="P54" s="2">
        <f ca="1">VLOOKUP($B54&amp;"最终",坦克标准养成属性!$S$3:$AE$63,MATCH(P$40,坦克标准养成属性!$S$3:$AE$3,0),FALSE)</f>
        <v>781</v>
      </c>
      <c r="Q54" s="42" t="e">
        <f t="shared" ca="1" si="21"/>
        <v>#DIV/0!</v>
      </c>
    </row>
    <row r="55" spans="2:17" x14ac:dyDescent="0.3">
      <c r="B55" s="2" t="s">
        <v>639</v>
      </c>
      <c r="C55" s="29" t="str">
        <f>VLOOKUP(B55,坦克个性化设定!$B$18:$F$48,5,FALSE)</f>
        <v>中坦自动</v>
      </c>
      <c r="D55" s="2" t="str">
        <f>VLOOKUP(B55,坦克个性化细分!$I$3:$J$33,2,FALSE)</f>
        <v>中</v>
      </c>
      <c r="E55" s="2" t="str">
        <f>VLOOKUP(B55,坦克个性化设定!$B$18:$F$48,MATCH(E$40,坦克个性化设定!$B$18:$F$18,0),FALSE)</f>
        <v>T3</v>
      </c>
      <c r="F55" s="2">
        <f>VLOOKUP(E55&amp;D55,坦克标准养成属性!$H$3:$P$15,MATCH(F$40,坦克标准养成属性!$H$3:$P$3,0),FALSE)</f>
        <v>9</v>
      </c>
      <c r="G55" s="2">
        <f t="shared" si="18"/>
        <v>0.4</v>
      </c>
      <c r="H55" s="2">
        <f>VLOOKUP($B55,坦克个性化设定!$B$51:$T$81,MATCH(H$40,坦克个性化设定!$B$51:$T$51,0),FALSE)</f>
        <v>6</v>
      </c>
      <c r="I55" s="2">
        <f t="shared" si="19"/>
        <v>2.02</v>
      </c>
      <c r="J55" s="2">
        <f t="shared" si="19"/>
        <v>0</v>
      </c>
      <c r="K55" s="34">
        <f t="shared" si="20"/>
        <v>35.702970297029708</v>
      </c>
      <c r="L55" s="42">
        <f ca="1">VLOOKUP($B55&amp;"最终",坦克标准养成属性!$S$3:$AE$63,MATCH(L$40,坦克标准养成属性!$S$3:$AE$3,0),FALSE)</f>
        <v>1922.4708424602672</v>
      </c>
      <c r="M55" s="42">
        <f ca="1">VLOOKUP($B55&amp;"最终",坦克标准养成属性!$S$3:$AE$63,MATCH(M$40,坦克标准养成属性!$S$3:$AE$3,0),FALSE)</f>
        <v>242.38222289625105</v>
      </c>
      <c r="N55" s="2">
        <f ca="1">VLOOKUP($B55&amp;"最终",坦克标准养成属性!$S$3:$AE$63,MATCH(N$40,坦克标准养成属性!$S$3:$AE$3,0),FALSE)</f>
        <v>749</v>
      </c>
      <c r="O55" s="2">
        <f ca="1">VLOOKUP($B55&amp;"最终",坦克标准养成属性!$S$3:$AE$63,MATCH(O$40,坦克标准养成属性!$S$3:$AE$3,0),FALSE)</f>
        <v>562</v>
      </c>
      <c r="P55" s="2">
        <f ca="1">VLOOKUP($B55&amp;"最终",坦克标准养成属性!$S$3:$AE$63,MATCH(P$40,坦克标准养成属性!$S$3:$AE$3,0),FALSE)</f>
        <v>821</v>
      </c>
      <c r="Q55" s="42">
        <f t="shared" ca="1" si="21"/>
        <v>2821.4654829332935</v>
      </c>
    </row>
    <row r="56" spans="2:17" x14ac:dyDescent="0.3">
      <c r="B56" s="2" t="s">
        <v>641</v>
      </c>
      <c r="C56" s="29" t="str">
        <f>VLOOKUP(B56,坦克个性化设定!$B$18:$F$48,5,FALSE)</f>
        <v>中坦自动</v>
      </c>
      <c r="D56" s="2" t="str">
        <f>VLOOKUP(B56,坦克个性化细分!$I$3:$J$33,2,FALSE)</f>
        <v>高</v>
      </c>
      <c r="E56" s="2" t="str">
        <f>VLOOKUP(B56,坦克个性化设定!$B$18:$F$48,MATCH(E$40,坦克个性化设定!$B$18:$F$18,0),FALSE)</f>
        <v>T3</v>
      </c>
      <c r="F56" s="2">
        <f>VLOOKUP(E56&amp;D56,坦克标准养成属性!$H$3:$P$15,MATCH(F$40,坦克标准养成属性!$H$3:$P$3,0),FALSE)</f>
        <v>9</v>
      </c>
      <c r="G56" s="2">
        <f t="shared" si="18"/>
        <v>0.4</v>
      </c>
      <c r="H56" s="2">
        <f>VLOOKUP($B56,坦克个性化设定!$B$51:$T$81,MATCH(H$40,坦克个性化设定!$B$51:$T$51,0),FALSE)</f>
        <v>8</v>
      </c>
      <c r="I56" s="2">
        <f t="shared" si="19"/>
        <v>2.48</v>
      </c>
      <c r="J56" s="2">
        <f t="shared" si="19"/>
        <v>0</v>
      </c>
      <c r="K56" s="34">
        <f t="shared" si="20"/>
        <v>32.193548387096776</v>
      </c>
      <c r="L56" s="42">
        <f ca="1">VLOOKUP($B56&amp;"最终",坦克标准养成属性!$S$3:$AE$63,MATCH(L$40,坦克标准养成属性!$S$3:$AE$3,0),FALSE)</f>
        <v>1979.7891218594384</v>
      </c>
      <c r="M56" s="42">
        <f ca="1">VLOOKUP($B56&amp;"最终",坦克标准养成属性!$S$3:$AE$63,MATCH(M$40,坦克标准养成属性!$S$3:$AE$3,0),FALSE)</f>
        <v>246.66931227695721</v>
      </c>
      <c r="N56" s="2">
        <f ca="1">VLOOKUP($B56&amp;"最终",坦克标准养成属性!$S$3:$AE$63,MATCH(N$40,坦克标准养成属性!$S$3:$AE$3,0),FALSE)</f>
        <v>766</v>
      </c>
      <c r="O56" s="2">
        <f ca="1">VLOOKUP($B56&amp;"最终",坦克标准养成属性!$S$3:$AE$63,MATCH(O$40,坦克标准养成属性!$S$3:$AE$3,0),FALSE)</f>
        <v>574</v>
      </c>
      <c r="P56" s="2">
        <f ca="1">VLOOKUP($B56&amp;"最终",坦克标准养成属性!$S$3:$AE$63,MATCH(P$40,坦克标准养成属性!$S$3:$AE$3,0),FALSE)</f>
        <v>839</v>
      </c>
      <c r="Q56" s="42">
        <f t="shared" ca="1" si="21"/>
        <v>2809.1238297080199</v>
      </c>
    </row>
    <row r="57" spans="2:17" x14ac:dyDescent="0.3">
      <c r="B57" s="2" t="s">
        <v>643</v>
      </c>
      <c r="C57" s="29" t="str">
        <f>VLOOKUP(B57,坦克个性化设定!$B$18:$F$48,5,FALSE)</f>
        <v>中坦自动</v>
      </c>
      <c r="D57" s="2" t="str">
        <f>VLOOKUP(B57,坦克个性化细分!$I$3:$J$33,2,FALSE)</f>
        <v>低</v>
      </c>
      <c r="E57" s="2" t="str">
        <f>VLOOKUP(B57,坦克个性化设定!$B$18:$F$48,MATCH(E$40,坦克个性化设定!$B$18:$F$18,0),FALSE)</f>
        <v>T4</v>
      </c>
      <c r="F57" s="2">
        <f>VLOOKUP(E57&amp;D57,坦克标准养成属性!$H$3:$P$15,MATCH(F$40,坦克标准养成属性!$H$3:$P$3,0),FALSE)</f>
        <v>11</v>
      </c>
      <c r="G57" s="2">
        <f t="shared" si="18"/>
        <v>0.75</v>
      </c>
      <c r="H57" s="2">
        <f>VLOOKUP($B57,坦克个性化设定!$B$51:$T$81,MATCH(H$40,坦克个性化设定!$B$51:$T$51,0),FALSE)</f>
        <v>6</v>
      </c>
      <c r="I57" s="2">
        <f t="shared" si="19"/>
        <v>0</v>
      </c>
      <c r="J57" s="2">
        <f t="shared" si="19"/>
        <v>2</v>
      </c>
      <c r="K57" s="34" t="e">
        <f t="shared" si="20"/>
        <v>#DIV/0!</v>
      </c>
      <c r="L57" s="42">
        <f ca="1">VLOOKUP($B57&amp;"最终",坦克标准养成属性!$S$3:$AE$63,MATCH(L$40,坦克标准养成属性!$S$3:$AE$3,0),FALSE)</f>
        <v>2556.7034766633415</v>
      </c>
      <c r="M57" s="42">
        <f ca="1">VLOOKUP($B57&amp;"最终",坦克标准养成属性!$S$3:$AE$63,MATCH(M$40,坦克标准养成属性!$S$3:$AE$3,0),FALSE)</f>
        <v>265.5614113960026</v>
      </c>
      <c r="N57" s="2">
        <f ca="1">VLOOKUP($B57&amp;"最终",坦克标准养成属性!$S$3:$AE$63,MATCH(N$40,坦克标准养成属性!$S$3:$AE$3,0),FALSE)</f>
        <v>927</v>
      </c>
      <c r="O57" s="2">
        <f ca="1">VLOOKUP($B57&amp;"最终",坦克标准养成属性!$S$3:$AE$63,MATCH(O$40,坦克标准养成属性!$S$3:$AE$3,0),FALSE)</f>
        <v>695</v>
      </c>
      <c r="P57" s="2">
        <f ca="1">VLOOKUP($B57&amp;"最终",坦克标准养成属性!$S$3:$AE$63,MATCH(P$40,坦克标准养成属性!$S$3:$AE$3,0),FALSE)</f>
        <v>1015</v>
      </c>
      <c r="Q57" s="42" t="e">
        <f t="shared" ca="1" si="21"/>
        <v>#DIV/0!</v>
      </c>
    </row>
    <row r="58" spans="2:17" x14ac:dyDescent="0.3">
      <c r="B58" s="2" t="s">
        <v>645</v>
      </c>
      <c r="C58" s="29" t="str">
        <f>VLOOKUP(B58,坦克个性化设定!$B$18:$F$48,5,FALSE)</f>
        <v>中坦自动</v>
      </c>
      <c r="D58" s="2" t="str">
        <f>VLOOKUP(B58,坦克个性化细分!$I$3:$J$33,2,FALSE)</f>
        <v>中</v>
      </c>
      <c r="E58" s="2" t="str">
        <f>VLOOKUP(B58,坦克个性化设定!$B$18:$F$48,MATCH(E$40,坦克个性化设定!$B$18:$F$18,0),FALSE)</f>
        <v>T4</v>
      </c>
      <c r="F58" s="2">
        <f>VLOOKUP(E58&amp;D58,坦克标准养成属性!$H$3:$P$15,MATCH(F$40,坦克标准养成属性!$H$3:$P$3,0),FALSE)</f>
        <v>11</v>
      </c>
      <c r="G58" s="2">
        <f t="shared" si="18"/>
        <v>0.4</v>
      </c>
      <c r="H58" s="2">
        <f>VLOOKUP($B58,坦克个性化设定!$B$51:$T$81,MATCH(H$40,坦克个性化设定!$B$51:$T$51,0),FALSE)</f>
        <v>10</v>
      </c>
      <c r="I58" s="2">
        <f t="shared" si="19"/>
        <v>2.9</v>
      </c>
      <c r="J58" s="2">
        <f t="shared" si="19"/>
        <v>0</v>
      </c>
      <c r="K58" s="34">
        <f t="shared" si="20"/>
        <v>30.689655172413794</v>
      </c>
      <c r="L58" s="42">
        <f ca="1">VLOOKUP($B58&amp;"最终",坦克标准养成属性!$S$3:$AE$63,MATCH(L$40,坦克标准养成属性!$S$3:$AE$3,0),FALSE)</f>
        <v>2541.9172482013055</v>
      </c>
      <c r="M58" s="42">
        <f ca="1">VLOOKUP($B58&amp;"最终",坦克标准养成属性!$S$3:$AE$63,MATCH(M$40,坦克标准养成属性!$S$3:$AE$3,0),FALSE)</f>
        <v>311.10304027684663</v>
      </c>
      <c r="N58" s="2">
        <f ca="1">VLOOKUP($B58&amp;"最终",坦克标准养成属性!$S$3:$AE$63,MATCH(N$40,坦克标准养成属性!$S$3:$AE$3,0),FALSE)</f>
        <v>973</v>
      </c>
      <c r="O58" s="2">
        <f ca="1">VLOOKUP($B58&amp;"最终",坦克标准养成属性!$S$3:$AE$63,MATCH(O$40,坦克标准养成属性!$S$3:$AE$3,0),FALSE)</f>
        <v>729</v>
      </c>
      <c r="P58" s="2">
        <f ca="1">VLOOKUP($B58&amp;"最终",坦克标准养成属性!$S$3:$AE$63,MATCH(P$40,坦克标准养成属性!$S$3:$AE$3,0),FALSE)</f>
        <v>1066</v>
      </c>
      <c r="Q58" s="42">
        <f t="shared" ca="1" si="21"/>
        <v>3822.5880121083514</v>
      </c>
    </row>
    <row r="59" spans="2:17" x14ac:dyDescent="0.3">
      <c r="B59" s="2" t="s">
        <v>647</v>
      </c>
      <c r="C59" s="29" t="str">
        <f>VLOOKUP(B59,坦克个性化设定!$B$18:$F$48,5,FALSE)</f>
        <v>中坦自动</v>
      </c>
      <c r="D59" s="2" t="str">
        <f>VLOOKUP(B59,坦克个性化细分!$I$3:$J$33,2,FALSE)</f>
        <v>高</v>
      </c>
      <c r="E59" s="2" t="str">
        <f>VLOOKUP(B59,坦克个性化设定!$B$18:$F$48,MATCH(E$40,坦克个性化设定!$B$18:$F$18,0),FALSE)</f>
        <v>T4</v>
      </c>
      <c r="F59" s="2">
        <f>VLOOKUP(E59&amp;D59,坦克标准养成属性!$H$3:$P$15,MATCH(F$40,坦克标准养成属性!$H$3:$P$3,0),FALSE)</f>
        <v>11</v>
      </c>
      <c r="G59" s="2">
        <f t="shared" si="18"/>
        <v>0.26</v>
      </c>
      <c r="H59" s="2">
        <f>VLOOKUP($B59,坦克个性化设定!$B$51:$T$81,MATCH(H$40,坦克个性化设定!$B$51:$T$51,0),FALSE)</f>
        <v>4</v>
      </c>
      <c r="I59" s="2">
        <f t="shared" si="19"/>
        <v>2.04</v>
      </c>
      <c r="J59" s="2">
        <f t="shared" si="19"/>
        <v>0</v>
      </c>
      <c r="K59" s="34">
        <f t="shared" si="20"/>
        <v>33.411764705882348</v>
      </c>
      <c r="L59" s="42">
        <f ca="1">VLOOKUP($B59&amp;"最终",坦克标准养成属性!$S$3:$AE$63,MATCH(L$40,坦克标准养成属性!$S$3:$AE$3,0),FALSE)</f>
        <v>2878.0345972307459</v>
      </c>
      <c r="M59" s="42">
        <f ca="1">VLOOKUP($B59&amp;"最终",坦克标准养成属性!$S$3:$AE$63,MATCH(M$40,坦克标准养成属性!$S$3:$AE$3,0),FALSE)</f>
        <v>304.0552241406204</v>
      </c>
      <c r="N59" s="2">
        <f ca="1">VLOOKUP($B59&amp;"最终",坦克标准养成属性!$S$3:$AE$63,MATCH(N$40,坦克标准养成属性!$S$3:$AE$3,0),FALSE)</f>
        <v>992</v>
      </c>
      <c r="O59" s="2">
        <f ca="1">VLOOKUP($B59&amp;"最终",坦克标准养成属性!$S$3:$AE$63,MATCH(O$40,坦克标准养成属性!$S$3:$AE$3,0),FALSE)</f>
        <v>744</v>
      </c>
      <c r="P59" s="2">
        <f ca="1">VLOOKUP($B59&amp;"最终",坦克标准养成属性!$S$3:$AE$63,MATCH(P$40,坦克标准养成属性!$S$3:$AE$3,0),FALSE)</f>
        <v>1087</v>
      </c>
      <c r="Q59" s="42">
        <f t="shared" ca="1" si="21"/>
        <v>4124.9295800593691</v>
      </c>
    </row>
    <row r="60" spans="2:17" x14ac:dyDescent="0.3">
      <c r="B60" s="2" t="s">
        <v>649</v>
      </c>
      <c r="C60" s="29" t="str">
        <f>VLOOKUP(B60,坦克个性化设定!$B$18:$F$48,5,FALSE)</f>
        <v>中坦自动</v>
      </c>
      <c r="D60" s="2" t="str">
        <f>VLOOKUP(B60,坦克个性化细分!$I$3:$J$33,2,FALSE)</f>
        <v>低</v>
      </c>
      <c r="E60" s="2" t="str">
        <f>VLOOKUP(B60,坦克个性化设定!$B$18:$F$48,MATCH(E$40,坦克个性化设定!$B$18:$F$18,0),FALSE)</f>
        <v>T5</v>
      </c>
      <c r="F60" s="2">
        <f>VLOOKUP(E60&amp;D60,坦克标准养成属性!$H$3:$P$15,MATCH(F$40,坦克标准养成属性!$H$3:$P$3,0),FALSE)</f>
        <v>13</v>
      </c>
      <c r="G60" s="2">
        <f t="shared" si="18"/>
        <v>0.4</v>
      </c>
      <c r="H60" s="2">
        <f>VLOOKUP($B60,坦克个性化设定!$B$51:$T$81,MATCH(H$40,坦克个性化设定!$B$51:$T$51,0),FALSE)</f>
        <v>6</v>
      </c>
      <c r="I60" s="2">
        <f t="shared" si="19"/>
        <v>2.02</v>
      </c>
      <c r="J60" s="2">
        <f t="shared" si="19"/>
        <v>0</v>
      </c>
      <c r="K60" s="34">
        <f t="shared" si="20"/>
        <v>35.702970297029708</v>
      </c>
      <c r="L60" s="42">
        <f ca="1">VLOOKUP($B60&amp;"最终",坦克标准养成属性!$S$3:$AE$63,MATCH(L$40,坦克标准养成属性!$S$3:$AE$3,0),FALSE)</f>
        <v>3487.9735463682682</v>
      </c>
      <c r="M60" s="42">
        <f ca="1">VLOOKUP($B60&amp;"最终",坦克标准养成属性!$S$3:$AE$63,MATCH(M$40,坦克标准养成属性!$S$3:$AE$3,0),FALSE)</f>
        <v>335.75922619232659</v>
      </c>
      <c r="N60" s="2">
        <f ca="1">VLOOKUP($B60&amp;"最终",坦克标准养成属性!$S$3:$AE$63,MATCH(N$40,坦克标准养成属性!$S$3:$AE$3,0),FALSE)</f>
        <v>1199</v>
      </c>
      <c r="O60" s="2">
        <f ca="1">VLOOKUP($B60&amp;"最终",坦克标准养成属性!$S$3:$AE$63,MATCH(O$40,坦克标准养成属性!$S$3:$AE$3,0),FALSE)</f>
        <v>899</v>
      </c>
      <c r="P60" s="2">
        <f ca="1">VLOOKUP($B60&amp;"最终",坦克标准养成属性!$S$3:$AE$63,MATCH(P$40,坦克标准养成属性!$S$3:$AE$3,0),FALSE)</f>
        <v>1314</v>
      </c>
      <c r="Q60" s="42">
        <f t="shared" ca="1" si="21"/>
        <v>5289.4377540516889</v>
      </c>
    </row>
    <row r="61" spans="2:17" x14ac:dyDescent="0.3">
      <c r="B61" s="2" t="s">
        <v>651</v>
      </c>
      <c r="C61" s="29" t="str">
        <f>VLOOKUP(B61,坦克个性化设定!$B$18:$F$48,5,FALSE)</f>
        <v>重坦自动</v>
      </c>
      <c r="D61" s="2" t="str">
        <f>VLOOKUP(B61,坦克个性化细分!$I$3:$J$33,2,FALSE)</f>
        <v>低</v>
      </c>
      <c r="E61" s="2" t="str">
        <f>VLOOKUP(B61,坦克个性化设定!$B$18:$F$48,MATCH(E$40,坦克个性化设定!$B$18:$F$18,0),FALSE)</f>
        <v>T1</v>
      </c>
      <c r="F61" s="2">
        <f>VLOOKUP(E61&amp;D61,坦克标准养成属性!$H$3:$P$15,MATCH(F$40,坦克标准养成属性!$H$3:$P$3,0),FALSE)</f>
        <v>5</v>
      </c>
      <c r="G61" s="2">
        <f t="shared" si="18"/>
        <v>2.8</v>
      </c>
      <c r="H61" s="2">
        <f>VLOOKUP($B61,坦克个性化设定!$B$51:$T$81,MATCH(H$40,坦克个性化设定!$B$51:$T$51,0),FALSE)</f>
        <v>1</v>
      </c>
      <c r="I61" s="2">
        <f t="shared" si="19"/>
        <v>4.6399999999999997</v>
      </c>
      <c r="J61" s="2">
        <f t="shared" si="19"/>
        <v>0</v>
      </c>
      <c r="K61" s="34">
        <f t="shared" si="20"/>
        <v>13.931034482758621</v>
      </c>
      <c r="L61" s="42">
        <f ca="1">VLOOKUP($B61&amp;"最终",坦克标准养成属性!$S$3:$AE$63,MATCH(L$40,坦克标准养成属性!$S$3:$AE$3,0),FALSE)</f>
        <v>1257.559465299729</v>
      </c>
      <c r="M61" s="42">
        <f ca="1">VLOOKUP($B61&amp;"最终",坦克标准养成属性!$S$3:$AE$63,MATCH(M$40,坦克标准养成属性!$S$3:$AE$3,0),FALSE)</f>
        <v>465.35074756775543</v>
      </c>
      <c r="N61" s="2">
        <f ca="1">VLOOKUP($B61&amp;"最终",坦克标准养成属性!$S$3:$AE$63,MATCH(N$40,坦克标准养成属性!$S$3:$AE$3,0),FALSE)</f>
        <v>371</v>
      </c>
      <c r="O61" s="2">
        <f ca="1">VLOOKUP($B61&amp;"最终",坦克标准养成属性!$S$3:$AE$63,MATCH(O$40,坦克标准养成属性!$S$3:$AE$3,0),FALSE)</f>
        <v>297</v>
      </c>
      <c r="P61" s="2">
        <f ca="1">VLOOKUP($B61&amp;"最终",坦克标准养成属性!$S$3:$AE$63,MATCH(P$40,坦克标准养成属性!$S$3:$AE$3,0),FALSE)</f>
        <v>546</v>
      </c>
      <c r="Q61" s="42">
        <f t="shared" ca="1" si="21"/>
        <v>1539.2506700715358</v>
      </c>
    </row>
    <row r="62" spans="2:17" x14ac:dyDescent="0.3">
      <c r="B62" s="2" t="s">
        <v>653</v>
      </c>
      <c r="C62" s="29" t="str">
        <f>VLOOKUP(B62,坦克个性化设定!$B$18:$F$48,5,FALSE)</f>
        <v>重坦自动</v>
      </c>
      <c r="D62" s="2" t="str">
        <f>VLOOKUP(B62,坦克个性化细分!$I$3:$J$33,2,FALSE)</f>
        <v>低</v>
      </c>
      <c r="E62" s="2" t="str">
        <f>VLOOKUP(B62,坦克个性化设定!$B$18:$F$48,MATCH(E$40,坦克个性化设定!$B$18:$F$18,0),FALSE)</f>
        <v>T2</v>
      </c>
      <c r="F62" s="2">
        <f>VLOOKUP(E62&amp;D62,坦克标准养成属性!$H$3:$P$15,MATCH(F$40,坦克标准养成属性!$H$3:$P$3,0),FALSE)</f>
        <v>7</v>
      </c>
      <c r="G62" s="2">
        <f t="shared" si="18"/>
        <v>1.88</v>
      </c>
      <c r="H62" s="2">
        <f>VLOOKUP($B62,坦克个性化设定!$B$51:$T$81,MATCH(H$40,坦克个性化设定!$B$51:$T$51,0),FALSE)</f>
        <v>3</v>
      </c>
      <c r="I62" s="2">
        <f t="shared" si="19"/>
        <v>3.06</v>
      </c>
      <c r="J62" s="2">
        <f t="shared" si="19"/>
        <v>0</v>
      </c>
      <c r="K62" s="34">
        <f t="shared" si="20"/>
        <v>22.607843137254903</v>
      </c>
      <c r="L62" s="42">
        <f ca="1">VLOOKUP($B62&amp;"最终",坦克标准养成属性!$S$3:$AE$63,MATCH(L$40,坦克标准养成属性!$S$3:$AE$3,0),FALSE)</f>
        <v>1537.5051258295666</v>
      </c>
      <c r="M62" s="42">
        <f ca="1">VLOOKUP($B62&amp;"最终",坦克标准养成属性!$S$3:$AE$63,MATCH(M$40,坦克标准养成属性!$S$3:$AE$3,0),FALSE)</f>
        <v>364.01370751495676</v>
      </c>
      <c r="N62" s="2">
        <f ca="1">VLOOKUP($B62&amp;"最终",坦克标准养成属性!$S$3:$AE$63,MATCH(N$40,坦克标准养成属性!$S$3:$AE$3,0),FALSE)</f>
        <v>486</v>
      </c>
      <c r="O62" s="2">
        <f ca="1">VLOOKUP($B62&amp;"最终",坦克标准养成属性!$S$3:$AE$63,MATCH(O$40,坦克标准养成属性!$S$3:$AE$3,0),FALSE)</f>
        <v>389</v>
      </c>
      <c r="P62" s="2">
        <f ca="1">VLOOKUP($B62&amp;"最终",坦克标准养成属性!$S$3:$AE$63,MATCH(P$40,坦克标准养成属性!$S$3:$AE$3,0),FALSE)</f>
        <v>714</v>
      </c>
      <c r="Q62" s="42">
        <f t="shared" ca="1" si="21"/>
        <v>2141.0399621190768</v>
      </c>
    </row>
    <row r="63" spans="2:17" x14ac:dyDescent="0.3">
      <c r="B63" s="2" t="s">
        <v>655</v>
      </c>
      <c r="C63" s="29" t="str">
        <f>VLOOKUP(B63,坦克个性化设定!$B$18:$F$48,5,FALSE)</f>
        <v>重坦单发</v>
      </c>
      <c r="D63" s="2" t="str">
        <f>VLOOKUP(B63,坦克个性化细分!$I$3:$J$33,2,FALSE)</f>
        <v>中</v>
      </c>
      <c r="E63" s="2" t="str">
        <f>VLOOKUP(B63,坦克个性化设定!$B$18:$F$48,MATCH(E$40,坦克个性化设定!$B$18:$F$18,0),FALSE)</f>
        <v>T2</v>
      </c>
      <c r="F63" s="2">
        <f>VLOOKUP(E63&amp;D63,坦克标准养成属性!$H$3:$P$15,MATCH(F$40,坦克标准养成属性!$H$3:$P$3,0),FALSE)</f>
        <v>7</v>
      </c>
      <c r="G63" s="2">
        <f t="shared" si="18"/>
        <v>0</v>
      </c>
      <c r="H63" s="2">
        <f>VLOOKUP($B63,坦克个性化设定!$B$51:$T$81,MATCH(H$40,坦克个性化设定!$B$51:$T$51,0),FALSE)</f>
        <v>1</v>
      </c>
      <c r="I63" s="2">
        <f t="shared" si="19"/>
        <v>5.15</v>
      </c>
      <c r="J63" s="2">
        <f t="shared" si="19"/>
        <v>0</v>
      </c>
      <c r="K63" s="34">
        <f t="shared" si="20"/>
        <v>12.650485436893202</v>
      </c>
      <c r="L63" s="42">
        <f ca="1">VLOOKUP($B63&amp;"最终",坦克标准养成属性!$S$3:$AE$63,MATCH(L$40,坦克标准养成属性!$S$3:$AE$3,0),FALSE)</f>
        <v>1674.5486363727059</v>
      </c>
      <c r="M63" s="42">
        <f ca="1">VLOOKUP($B63&amp;"最终",坦克标准养成属性!$S$3:$AE$63,MATCH(M$40,坦克标准养成属性!$S$3:$AE$3,0),FALSE)</f>
        <v>641.68216835288217</v>
      </c>
      <c r="N63" s="2">
        <f ca="1">VLOOKUP($B63&amp;"最终",坦克标准养成属性!$S$3:$AE$63,MATCH(N$40,坦克标准养成属性!$S$3:$AE$3,0),FALSE)</f>
        <v>553</v>
      </c>
      <c r="O63" s="2">
        <f ca="1">VLOOKUP($B63&amp;"最终",坦克标准养成属性!$S$3:$AE$63,MATCH(O$40,坦克标准养成属性!$S$3:$AE$3,0),FALSE)</f>
        <v>443</v>
      </c>
      <c r="P63" s="2">
        <f ca="1">VLOOKUP($B63&amp;"最终",坦克标准养成属性!$S$3:$AE$63,MATCH(P$40,坦克标准养成属性!$S$3:$AE$3,0),FALSE)</f>
        <v>739</v>
      </c>
      <c r="Q63" s="42">
        <f t="shared" ca="1" si="21"/>
        <v>2318.252892472055</v>
      </c>
    </row>
    <row r="64" spans="2:17" x14ac:dyDescent="0.3">
      <c r="B64" s="2" t="s">
        <v>538</v>
      </c>
      <c r="C64" s="29" t="str">
        <f>VLOOKUP(B64,坦克个性化设定!$B$18:$F$48,5,FALSE)</f>
        <v>重坦单发</v>
      </c>
      <c r="D64" s="2" t="str">
        <f>VLOOKUP(B64,坦克个性化细分!$I$3:$J$33,2,FALSE)</f>
        <v>低</v>
      </c>
      <c r="E64" s="2" t="str">
        <f>VLOOKUP(B64,坦克个性化设定!$B$18:$F$48,MATCH(E$40,坦克个性化设定!$B$18:$F$18,0),FALSE)</f>
        <v>T3</v>
      </c>
      <c r="F64" s="2">
        <f>VLOOKUP(E64&amp;D64,坦克标准养成属性!$H$3:$P$15,MATCH(F$40,坦克标准养成属性!$H$3:$P$3,0),FALSE)</f>
        <v>9</v>
      </c>
      <c r="G64" s="2">
        <f t="shared" si="18"/>
        <v>0</v>
      </c>
      <c r="H64" s="2">
        <f>VLOOKUP($B64,坦克个性化设定!$B$51:$T$81,MATCH(H$40,坦克个性化设定!$B$51:$T$51,0),FALSE)</f>
        <v>1</v>
      </c>
      <c r="I64" s="2">
        <f t="shared" si="19"/>
        <v>5.15</v>
      </c>
      <c r="J64" s="2">
        <f t="shared" si="19"/>
        <v>0</v>
      </c>
      <c r="K64" s="34">
        <f t="shared" si="20"/>
        <v>12.650485436893202</v>
      </c>
      <c r="L64" s="42">
        <f ca="1">VLOOKUP($B64&amp;"最终",坦克标准养成属性!$S$3:$AE$63,MATCH(L$40,坦克标准养成属性!$S$3:$AE$3,0),FALSE)</f>
        <v>2085.9934544238317</v>
      </c>
      <c r="M64" s="42">
        <f ca="1">VLOOKUP($B64&amp;"最终",坦克标准养成属性!$S$3:$AE$63,MATCH(M$40,坦克标准养成属性!$S$3:$AE$3,0),FALSE)</f>
        <v>764.94727086319574</v>
      </c>
      <c r="N64" s="2">
        <f ca="1">VLOOKUP($B64&amp;"最终",坦克标准养成属性!$S$3:$AE$63,MATCH(N$40,坦克标准养成属性!$S$3:$AE$3,0),FALSE)</f>
        <v>682</v>
      </c>
      <c r="O64" s="2">
        <f ca="1">VLOOKUP($B64&amp;"最终",坦克标准养成属性!$S$3:$AE$63,MATCH(O$40,坦克标准养成属性!$S$3:$AE$3,0),FALSE)</f>
        <v>546</v>
      </c>
      <c r="P64" s="2">
        <f ca="1">VLOOKUP($B64&amp;"最终",坦克标准养成属性!$S$3:$AE$63,MATCH(P$40,坦克标准养成属性!$S$3:$AE$3,0),FALSE)</f>
        <v>911</v>
      </c>
      <c r="Q64" s="42">
        <f t="shared" ca="1" si="21"/>
        <v>3051.2686665436604</v>
      </c>
    </row>
    <row r="65" spans="2:18" x14ac:dyDescent="0.3">
      <c r="B65" s="2" t="s">
        <v>658</v>
      </c>
      <c r="C65" s="29" t="str">
        <f>VLOOKUP(B65,坦克个性化设定!$B$18:$F$48,5,FALSE)</f>
        <v>重坦单发</v>
      </c>
      <c r="D65" s="2" t="str">
        <f>VLOOKUP(B65,坦克个性化细分!$I$3:$J$33,2,FALSE)</f>
        <v>中</v>
      </c>
      <c r="E65" s="2" t="str">
        <f>VLOOKUP(B65,坦克个性化设定!$B$18:$F$48,MATCH(E$40,坦克个性化设定!$B$18:$F$18,0),FALSE)</f>
        <v>T3</v>
      </c>
      <c r="F65" s="2">
        <f>VLOOKUP(E65&amp;D65,坦克标准养成属性!$H$3:$P$15,MATCH(F$40,坦克标准养成属性!$H$3:$P$3,0),FALSE)</f>
        <v>9</v>
      </c>
      <c r="G65" s="2">
        <f t="shared" si="18"/>
        <v>0</v>
      </c>
      <c r="H65" s="2">
        <f>VLOOKUP($B65,坦克个性化设定!$B$51:$T$81,MATCH(H$40,坦克个性化设定!$B$51:$T$51,0),FALSE)</f>
        <v>1</v>
      </c>
      <c r="I65" s="2">
        <f t="shared" si="19"/>
        <v>5.15</v>
      </c>
      <c r="J65" s="2">
        <f t="shared" si="19"/>
        <v>0</v>
      </c>
      <c r="K65" s="34">
        <f t="shared" si="20"/>
        <v>12.650485436893202</v>
      </c>
      <c r="L65" s="42">
        <f ca="1">VLOOKUP($B65&amp;"最终",坦克标准养成属性!$S$3:$AE$63,MATCH(L$40,坦克标准养成属性!$S$3:$AE$3,0),FALSE)</f>
        <v>2154.1236966336</v>
      </c>
      <c r="M65" s="42">
        <f ca="1">VLOOKUP($B65&amp;"最终",坦克标准养成属性!$S$3:$AE$63,MATCH(M$40,坦克标准养成属性!$S$3:$AE$3,0),FALSE)</f>
        <v>836.83588032438638</v>
      </c>
      <c r="N65" s="2">
        <f ca="1">VLOOKUP($B65&amp;"最终",坦克标准养成属性!$S$3:$AE$63,MATCH(N$40,坦克标准养成属性!$S$3:$AE$3,0),FALSE)</f>
        <v>717</v>
      </c>
      <c r="O65" s="2">
        <f ca="1">VLOOKUP($B65&amp;"最终",坦克标准养成属性!$S$3:$AE$63,MATCH(O$40,坦克标准养成属性!$S$3:$AE$3,0),FALSE)</f>
        <v>573</v>
      </c>
      <c r="P65" s="2">
        <f ca="1">VLOOKUP($B65&amp;"最终",坦克标准养成属性!$S$3:$AE$63,MATCH(P$40,坦克标准养成属性!$S$3:$AE$3,0),FALSE)</f>
        <v>958</v>
      </c>
      <c r="Q65" s="42">
        <f t="shared" ca="1" si="21"/>
        <v>3288.1348887961713</v>
      </c>
    </row>
    <row r="66" spans="2:18" x14ac:dyDescent="0.3">
      <c r="B66" s="2" t="s">
        <v>660</v>
      </c>
      <c r="C66" s="29" t="str">
        <f>VLOOKUP(B66,坦克个性化设定!$B$18:$F$48,5,FALSE)</f>
        <v>重坦自动</v>
      </c>
      <c r="D66" s="2" t="str">
        <f>VLOOKUP(B66,坦克个性化细分!$I$3:$J$33,2,FALSE)</f>
        <v>高</v>
      </c>
      <c r="E66" s="2" t="str">
        <f>VLOOKUP(B66,坦克个性化设定!$B$18:$F$48,MATCH(E$40,坦克个性化设定!$B$18:$F$18,0),FALSE)</f>
        <v>T3</v>
      </c>
      <c r="F66" s="2">
        <f>VLOOKUP(E66&amp;D66,坦克标准养成属性!$H$3:$P$15,MATCH(F$40,坦克标准养成属性!$H$3:$P$3,0),FALSE)</f>
        <v>9</v>
      </c>
      <c r="G66" s="2">
        <f t="shared" si="18"/>
        <v>2</v>
      </c>
      <c r="H66" s="2">
        <f>VLOOKUP($B66,坦克个性化设定!$B$51:$T$81,MATCH(H$40,坦克个性化设定!$B$51:$T$51,0),FALSE)</f>
        <v>2</v>
      </c>
      <c r="I66" s="2">
        <f t="shared" si="19"/>
        <v>3.46</v>
      </c>
      <c r="J66" s="2">
        <f t="shared" si="19"/>
        <v>0</v>
      </c>
      <c r="K66" s="34">
        <f t="shared" si="20"/>
        <v>19.341040462427745</v>
      </c>
      <c r="L66" s="42">
        <f ca="1">VLOOKUP($B66&amp;"最终",坦克标准养成属性!$S$3:$AE$63,MATCH(L$40,坦克标准养成属性!$S$3:$AE$3,0),FALSE)</f>
        <v>2195.1583113643969</v>
      </c>
      <c r="M66" s="42">
        <f ca="1">VLOOKUP($B66&amp;"最终",坦克标准养成属性!$S$3:$AE$63,MATCH(M$40,坦克标准养成属性!$S$3:$AE$3,0),FALSE)</f>
        <v>585.18863366850121</v>
      </c>
      <c r="N66" s="2">
        <f ca="1">VLOOKUP($B66&amp;"最终",坦克标准养成属性!$S$3:$AE$63,MATCH(N$40,坦克标准养成属性!$S$3:$AE$3,0),FALSE)</f>
        <v>666</v>
      </c>
      <c r="O66" s="2">
        <f ca="1">VLOOKUP($B66&amp;"最终",坦克标准养成属性!$S$3:$AE$63,MATCH(O$40,坦克标准养成属性!$S$3:$AE$3,0),FALSE)</f>
        <v>533</v>
      </c>
      <c r="P66" s="2">
        <f ca="1">VLOOKUP($B66&amp;"最终",坦克标准养成属性!$S$3:$AE$63,MATCH(P$40,坦克标准养成属性!$S$3:$AE$3,0),FALSE)</f>
        <v>979</v>
      </c>
      <c r="Q66" s="42">
        <f t="shared" ca="1" si="21"/>
        <v>3326.3525925965632</v>
      </c>
    </row>
    <row r="67" spans="2:18" x14ac:dyDescent="0.3">
      <c r="B67" s="2" t="s">
        <v>662</v>
      </c>
      <c r="C67" s="29" t="str">
        <f>VLOOKUP(B67,坦克个性化设定!$B$18:$F$48,5,FALSE)</f>
        <v>重坦单发</v>
      </c>
      <c r="D67" s="2" t="str">
        <f>VLOOKUP(B67,坦克个性化细分!$I$3:$J$33,2,FALSE)</f>
        <v>低</v>
      </c>
      <c r="E67" s="2" t="str">
        <f>VLOOKUP(B67,坦克个性化设定!$B$18:$F$48,MATCH(E$40,坦克个性化设定!$B$18:$F$18,0),FALSE)</f>
        <v>T4</v>
      </c>
      <c r="F67" s="2">
        <f>VLOOKUP(E67&amp;D67,坦克标准养成属性!$H$3:$P$15,MATCH(F$40,坦克标准养成属性!$H$3:$P$3,0),FALSE)</f>
        <v>11</v>
      </c>
      <c r="G67" s="2">
        <f t="shared" si="18"/>
        <v>0</v>
      </c>
      <c r="H67" s="2">
        <f>VLOOKUP($B67,坦克个性化设定!$B$51:$T$81,MATCH(H$40,坦克个性化设定!$B$51:$T$51,0),FALSE)</f>
        <v>1</v>
      </c>
      <c r="I67" s="2">
        <f t="shared" si="19"/>
        <v>5.15</v>
      </c>
      <c r="J67" s="2">
        <f t="shared" si="19"/>
        <v>0</v>
      </c>
      <c r="K67" s="34">
        <f t="shared" si="20"/>
        <v>12.650485436893202</v>
      </c>
      <c r="L67" s="42">
        <f ca="1">VLOOKUP($B67&amp;"最终",坦克标准养成属性!$S$3:$AE$63,MATCH(L$40,坦克标准养成属性!$S$3:$AE$3,0),FALSE)</f>
        <v>2906.6004640535175</v>
      </c>
      <c r="M67" s="42">
        <f ca="1">VLOOKUP($B67&amp;"最终",坦克标准养成属性!$S$3:$AE$63,MATCH(M$40,坦克标准养成属性!$S$3:$AE$3,0),FALSE)</f>
        <v>928.33502002438183</v>
      </c>
      <c r="N67" s="2">
        <f ca="1">VLOOKUP($B67&amp;"最终",坦克标准养成属性!$S$3:$AE$63,MATCH(N$40,坦克标准养成属性!$S$3:$AE$3,0),FALSE)</f>
        <v>886</v>
      </c>
      <c r="O67" s="2">
        <f ca="1">VLOOKUP($B67&amp;"最终",坦克标准养成属性!$S$3:$AE$63,MATCH(O$40,坦克标准养成属性!$S$3:$AE$3,0),FALSE)</f>
        <v>709</v>
      </c>
      <c r="P67" s="2">
        <f ca="1">VLOOKUP($B67&amp;"最终",坦克标准养成属性!$S$3:$AE$63,MATCH(P$40,坦克标准养成属性!$S$3:$AE$3,0),FALSE)</f>
        <v>1184</v>
      </c>
      <c r="Q67" s="42">
        <f t="shared" ca="1" si="21"/>
        <v>4347.3602537377346</v>
      </c>
    </row>
    <row r="68" spans="2:18" x14ac:dyDescent="0.3">
      <c r="B68" s="2" t="s">
        <v>664</v>
      </c>
      <c r="C68" s="29" t="str">
        <f>VLOOKUP(B68,坦克个性化设定!$B$18:$F$48,5,FALSE)</f>
        <v>重坦自动</v>
      </c>
      <c r="D68" s="2" t="str">
        <f>VLOOKUP(B68,坦克个性化细分!$I$3:$J$33,2,FALSE)</f>
        <v>中</v>
      </c>
      <c r="E68" s="2" t="str">
        <f>VLOOKUP(B68,坦克个性化设定!$B$18:$F$48,MATCH(E$40,坦克个性化设定!$B$18:$F$18,0),FALSE)</f>
        <v>T4</v>
      </c>
      <c r="F68" s="2">
        <f>VLOOKUP(E68&amp;D68,坦克标准养成属性!$H$3:$P$15,MATCH(F$40,坦克标准养成属性!$H$3:$P$3,0),FALSE)</f>
        <v>11</v>
      </c>
      <c r="G68" s="2">
        <f t="shared" si="18"/>
        <v>2</v>
      </c>
      <c r="H68" s="2">
        <f>VLOOKUP($B68,坦克个性化设定!$B$51:$T$81,MATCH(H$40,坦克个性化设定!$B$51:$T$51,0),FALSE)</f>
        <v>2</v>
      </c>
      <c r="I68" s="2">
        <f t="shared" si="19"/>
        <v>3.84</v>
      </c>
      <c r="J68" s="2">
        <f t="shared" si="19"/>
        <v>0</v>
      </c>
      <c r="K68" s="34">
        <f t="shared" si="20"/>
        <v>17.625</v>
      </c>
      <c r="L68" s="42">
        <f ca="1">VLOOKUP($B68&amp;"最终",坦克标准养成属性!$S$3:$AE$63,MATCH(L$40,坦克标准养成属性!$S$3:$AE$3,0),FALSE)</f>
        <v>2871.8838207606659</v>
      </c>
      <c r="M68" s="42">
        <f ca="1">VLOOKUP($B68&amp;"最终",坦克标准养成属性!$S$3:$AE$63,MATCH(M$40,坦克标准养成属性!$S$3:$AE$3,0),FALSE)</f>
        <v>813.82362974927901</v>
      </c>
      <c r="N68" s="2">
        <f ca="1">VLOOKUP($B68&amp;"最终",坦克标准养成属性!$S$3:$AE$63,MATCH(N$40,坦克标准养成属性!$S$3:$AE$3,0),FALSE)</f>
        <v>846</v>
      </c>
      <c r="O68" s="2">
        <f ca="1">VLOOKUP($B68&amp;"最终",坦克标准养成属性!$S$3:$AE$63,MATCH(O$40,坦克标准养成属性!$S$3:$AE$3,0),FALSE)</f>
        <v>677</v>
      </c>
      <c r="P68" s="2">
        <f ca="1">VLOOKUP($B68&amp;"最终",坦克标准养成属性!$S$3:$AE$63,MATCH(P$40,坦克标准养成属性!$S$3:$AE$3,0),FALSE)</f>
        <v>1243</v>
      </c>
      <c r="Q68" s="42">
        <f t="shared" ca="1" si="21"/>
        <v>4635.885683061184</v>
      </c>
    </row>
    <row r="69" spans="2:18" x14ac:dyDescent="0.3">
      <c r="B69" s="2" t="s">
        <v>666</v>
      </c>
      <c r="C69" s="29" t="str">
        <f>VLOOKUP(B69,坦克个性化设定!$B$18:$F$48,5,FALSE)</f>
        <v>重坦单发</v>
      </c>
      <c r="D69" s="2" t="str">
        <f>VLOOKUP(B69,坦克个性化细分!$I$3:$J$33,2,FALSE)</f>
        <v>高</v>
      </c>
      <c r="E69" s="2" t="str">
        <f>VLOOKUP(B69,坦克个性化设定!$B$18:$F$48,MATCH(E$40,坦克个性化设定!$B$18:$F$18,0),FALSE)</f>
        <v>T4</v>
      </c>
      <c r="F69" s="2">
        <f>VLOOKUP(E69&amp;D69,坦克标准养成属性!$H$3:$P$15,MATCH(F$40,坦克标准养成属性!$H$3:$P$3,0),FALSE)</f>
        <v>11</v>
      </c>
      <c r="G69" s="2">
        <f t="shared" si="18"/>
        <v>0</v>
      </c>
      <c r="H69" s="2">
        <f>VLOOKUP($B69,坦克个性化设定!$B$51:$T$81,MATCH(H$40,坦克个性化设定!$B$51:$T$51,0),FALSE)</f>
        <v>1</v>
      </c>
      <c r="I69" s="2">
        <f t="shared" si="19"/>
        <v>5.15</v>
      </c>
      <c r="J69" s="2">
        <f t="shared" si="19"/>
        <v>0</v>
      </c>
      <c r="K69" s="34">
        <f t="shared" si="20"/>
        <v>12.650485436893202</v>
      </c>
      <c r="L69" s="42">
        <f ca="1">VLOOKUP($B69&amp;"最终",坦克标准养成属性!$S$3:$AE$63,MATCH(L$40,坦克标准养成属性!$S$3:$AE$3,0),FALSE)</f>
        <v>2720.4142856907238</v>
      </c>
      <c r="M69" s="42">
        <f ca="1">VLOOKUP($B69&amp;"最终",坦克标准养成属性!$S$3:$AE$63,MATCH(M$40,坦克标准养成属性!$S$3:$AE$3,0),FALSE)</f>
        <v>1139.4551250170894</v>
      </c>
      <c r="N69" s="2">
        <f ca="1">VLOOKUP($B69&amp;"最终",坦克标准养成属性!$S$3:$AE$63,MATCH(N$40,坦克标准养成属性!$S$3:$AE$3,0),FALSE)</f>
        <v>949</v>
      </c>
      <c r="O69" s="2">
        <f ca="1">VLOOKUP($B69&amp;"最终",坦克标准养成属性!$S$3:$AE$63,MATCH(O$40,坦克标准养成属性!$S$3:$AE$3,0),FALSE)</f>
        <v>759</v>
      </c>
      <c r="P69" s="2">
        <f ca="1">VLOOKUP($B69&amp;"最终",坦克标准养成属性!$S$3:$AE$63,MATCH(P$40,坦克标准养成属性!$S$3:$AE$3,0),FALSE)</f>
        <v>1268</v>
      </c>
      <c r="Q69" s="42">
        <f t="shared" ca="1" si="21"/>
        <v>4771.3013232826788</v>
      </c>
    </row>
    <row r="70" spans="2:18" x14ac:dyDescent="0.3">
      <c r="B70" s="2" t="s">
        <v>668</v>
      </c>
      <c r="C70" s="29" t="str">
        <f>VLOOKUP(B70,坦克个性化设定!$B$18:$F$48,5,FALSE)</f>
        <v>重坦单发</v>
      </c>
      <c r="D70" s="2" t="str">
        <f>VLOOKUP(B70,坦克个性化细分!$I$3:$J$33,2,FALSE)</f>
        <v>低</v>
      </c>
      <c r="E70" s="2" t="str">
        <f>VLOOKUP(B70,坦克个性化设定!$B$18:$F$48,MATCH(E$40,坦克个性化设定!$B$18:$F$18,0),FALSE)</f>
        <v>T5</v>
      </c>
      <c r="F70" s="2">
        <f>VLOOKUP(E70&amp;D70,坦克标准养成属性!$H$3:$P$15,MATCH(F$40,坦克标准养成属性!$H$3:$P$3,0),FALSE)</f>
        <v>13</v>
      </c>
      <c r="G70" s="2">
        <f t="shared" si="18"/>
        <v>0</v>
      </c>
      <c r="H70" s="2">
        <f>VLOOKUP($B70,坦克个性化设定!$B$51:$T$81,MATCH(H$40,坦克个性化设定!$B$51:$T$51,0),FALSE)</f>
        <v>1</v>
      </c>
      <c r="I70" s="2">
        <f t="shared" si="19"/>
        <v>5.15</v>
      </c>
      <c r="J70" s="2">
        <f t="shared" si="19"/>
        <v>0</v>
      </c>
      <c r="K70" s="34">
        <f t="shared" si="20"/>
        <v>12.650485436893202</v>
      </c>
      <c r="L70" s="42">
        <f ca="1">VLOOKUP($B70&amp;"最终",坦克标准养成属性!$S$3:$AE$63,MATCH(L$40,坦克标准养成属性!$S$3:$AE$3,0),FALSE)</f>
        <v>3720.6640199034346</v>
      </c>
      <c r="M70" s="42">
        <f ca="1">VLOOKUP($B70&amp;"最终",坦克标准养成属性!$S$3:$AE$63,MATCH(M$40,坦克标准养成属性!$S$3:$AE$3,0),FALSE)</f>
        <v>1217.7052202949483</v>
      </c>
      <c r="N70" s="2">
        <f ca="1">VLOOKUP($B70&amp;"最终",坦克标准养成属性!$S$3:$AE$63,MATCH(N$40,坦克标准养成属性!$S$3:$AE$3,0),FALSE)</f>
        <v>1147</v>
      </c>
      <c r="O70" s="2">
        <f ca="1">VLOOKUP($B70&amp;"最终",坦克标准养成属性!$S$3:$AE$63,MATCH(O$40,坦克标准养成属性!$S$3:$AE$3,0),FALSE)</f>
        <v>918</v>
      </c>
      <c r="P70" s="2">
        <f ca="1">VLOOKUP($B70&amp;"最终",坦克标准养成属性!$S$3:$AE$63,MATCH(P$40,坦克标准养成属性!$S$3:$AE$3,0),FALSE)</f>
        <v>1533</v>
      </c>
      <c r="Q70" s="42">
        <f t="shared" ca="1" si="21"/>
        <v>6164.6110538454795</v>
      </c>
    </row>
    <row r="71" spans="2:18" x14ac:dyDescent="0.3">
      <c r="L71" s="1">
        <v>1.7999999999999999E-2</v>
      </c>
      <c r="M71" s="1">
        <v>1.1000000000000001</v>
      </c>
      <c r="N71" s="1">
        <v>-130.4</v>
      </c>
      <c r="O71" s="1">
        <v>3580</v>
      </c>
      <c r="P71" s="1">
        <v>3797</v>
      </c>
      <c r="R71" s="134"/>
    </row>
    <row r="72" spans="2:18" x14ac:dyDescent="0.3">
      <c r="B72" s="262" t="s">
        <v>1691</v>
      </c>
      <c r="C72" s="262"/>
      <c r="D72" s="262"/>
      <c r="E72" s="262"/>
      <c r="G72" s="263" t="s">
        <v>1692</v>
      </c>
      <c r="H72" s="264"/>
      <c r="I72" s="264"/>
      <c r="J72" s="264"/>
      <c r="K72" s="264"/>
      <c r="L72" s="264"/>
      <c r="M72" s="264"/>
      <c r="N72" s="264"/>
      <c r="O72" s="265"/>
    </row>
    <row r="73" spans="2:18" x14ac:dyDescent="0.3">
      <c r="B73" s="2" t="s">
        <v>608</v>
      </c>
      <c r="C73" s="2" t="s">
        <v>790</v>
      </c>
      <c r="D73" s="2" t="s">
        <v>1687</v>
      </c>
      <c r="E73" s="2" t="s">
        <v>1690</v>
      </c>
      <c r="G73" s="2" t="s">
        <v>385</v>
      </c>
      <c r="H73" s="2" t="s">
        <v>1693</v>
      </c>
      <c r="I73" s="2" t="s">
        <v>1694</v>
      </c>
      <c r="J73" s="2" t="s">
        <v>1695</v>
      </c>
      <c r="K73" s="2" t="s">
        <v>1696</v>
      </c>
      <c r="L73" s="2" t="s">
        <v>1697</v>
      </c>
      <c r="M73" s="2" t="s">
        <v>1698</v>
      </c>
      <c r="N73" s="2" t="s">
        <v>1699</v>
      </c>
      <c r="O73" s="2" t="s">
        <v>1700</v>
      </c>
    </row>
    <row r="74" spans="2:18" x14ac:dyDescent="0.3">
      <c r="B74" s="2" t="s">
        <v>518</v>
      </c>
      <c r="C74" s="2" t="str">
        <f>VLOOKUP(B74,坦克个性化设定!$B$18:$F$48,MATCH(C$73,坦克个性化设定!$B$18:$F$18,0),FALSE)</f>
        <v>T1</v>
      </c>
      <c r="D74" s="42">
        <f ca="1">AF8</f>
        <v>822.62419359237151</v>
      </c>
      <c r="E74" s="42">
        <f ca="1">Q41</f>
        <v>1129.6915419649822</v>
      </c>
      <c r="G74" s="2">
        <v>1</v>
      </c>
      <c r="H74" s="42">
        <f ca="1">AVERAGE(D74,D84,D94)</f>
        <v>842.32324618223947</v>
      </c>
      <c r="I74" s="42" t="e">
        <f t="shared" ref="I74:I82" ca="1" si="22">AVERAGE(E75,E85,E95,E74,E84,E94)</f>
        <v>#DIV/0!</v>
      </c>
      <c r="J74" s="42"/>
      <c r="K74" s="42"/>
      <c r="L74" s="42"/>
      <c r="M74" s="42"/>
      <c r="N74" s="42"/>
      <c r="O74" s="42"/>
    </row>
    <row r="75" spans="2:18" x14ac:dyDescent="0.3">
      <c r="B75" s="2" t="s">
        <v>524</v>
      </c>
      <c r="C75" s="2" t="str">
        <f>VLOOKUP(B75,坦克个性化设定!$B$18:$F$48,MATCH(C$73,坦克个性化设定!$B$18:$F$18,0),FALSE)</f>
        <v>T2</v>
      </c>
      <c r="D75" s="42">
        <f t="shared" ref="D75:D103" ca="1" si="23">AF9</f>
        <v>1206.5978096281517</v>
      </c>
      <c r="E75" s="42">
        <f t="shared" ref="E75:E103" ca="1" si="24">Q42</f>
        <v>1728.777438824178</v>
      </c>
      <c r="G75" s="2">
        <v>2</v>
      </c>
      <c r="H75" s="42">
        <f ca="1">AVERAGE(D74,D84,D94,D75,D85,D95)</f>
        <v>1015.7756539340106</v>
      </c>
      <c r="I75" s="42" t="e">
        <f t="shared" ca="1" si="22"/>
        <v>#DIV/0!</v>
      </c>
      <c r="J75" s="42"/>
      <c r="K75" s="42"/>
      <c r="L75" s="42"/>
      <c r="M75" s="42"/>
      <c r="N75" s="42"/>
      <c r="O75" s="42"/>
    </row>
    <row r="76" spans="2:18" x14ac:dyDescent="0.3">
      <c r="B76" s="2" t="s">
        <v>616</v>
      </c>
      <c r="C76" s="2" t="str">
        <f>VLOOKUP(B76,坦克个性化设定!$B$18:$F$48,MATCH(C$73,坦克个性化设定!$B$18:$F$18,0),FALSE)</f>
        <v>T2</v>
      </c>
      <c r="D76" s="42">
        <f t="shared" ca="1" si="23"/>
        <v>1344.9901359400903</v>
      </c>
      <c r="E76" s="42">
        <f t="shared" ca="1" si="24"/>
        <v>1892.0414889734036</v>
      </c>
      <c r="G76" s="2">
        <v>3</v>
      </c>
      <c r="H76" s="42">
        <f ca="1">AVERAGE(D75,D85,D95,D76,D86,D96)</f>
        <v>1236.3054525370972</v>
      </c>
      <c r="I76" s="42" t="e">
        <f t="shared" ca="1" si="22"/>
        <v>#DIV/0!</v>
      </c>
      <c r="J76" s="42"/>
      <c r="K76" s="42"/>
      <c r="L76" s="42"/>
      <c r="M76" s="42"/>
      <c r="N76" s="42"/>
      <c r="O76" s="42"/>
    </row>
    <row r="77" spans="2:18" x14ac:dyDescent="0.3">
      <c r="B77" s="2" t="s">
        <v>530</v>
      </c>
      <c r="C77" s="2" t="str">
        <f>VLOOKUP(B77,坦克个性化设定!$B$18:$F$48,MATCH(C$73,坦克个性化设定!$B$18:$F$18,0),FALSE)</f>
        <v>T3</v>
      </c>
      <c r="D77" s="42">
        <f t="shared" ca="1" si="23"/>
        <v>1605.4417891755168</v>
      </c>
      <c r="E77" s="42">
        <f t="shared" ca="1" si="24"/>
        <v>2384.7683543681392</v>
      </c>
      <c r="G77" s="2">
        <v>4</v>
      </c>
      <c r="H77" s="42">
        <f ca="1">AVERAGE(D76,D86,D96,D77,D87,D97)</f>
        <v>1440.4590892178283</v>
      </c>
      <c r="I77" s="42" t="e">
        <f t="shared" ca="1" si="22"/>
        <v>#DIV/0!</v>
      </c>
      <c r="J77" s="42"/>
      <c r="K77" s="42"/>
      <c r="L77" s="42"/>
      <c r="M77" s="42"/>
      <c r="N77" s="42"/>
      <c r="O77" s="42"/>
    </row>
    <row r="78" spans="2:18" x14ac:dyDescent="0.3">
      <c r="B78" s="2" t="s">
        <v>620</v>
      </c>
      <c r="C78" s="2" t="str">
        <f>VLOOKUP(B78,坦克个性化设定!$B$18:$F$48,MATCH(C$73,坦克个性化设定!$B$18:$F$18,0),FALSE)</f>
        <v>T3</v>
      </c>
      <c r="D78" s="42">
        <f t="shared" ca="1" si="23"/>
        <v>1520.8465383789662</v>
      </c>
      <c r="E78" s="42">
        <f t="shared" ca="1" si="24"/>
        <v>2381.8238075302656</v>
      </c>
      <c r="G78" s="2">
        <v>5</v>
      </c>
      <c r="H78" s="42">
        <f ca="1">AVERAGE(D77,D87,D97,D78,D88,D98)</f>
        <v>1624.0650058443073</v>
      </c>
      <c r="I78" s="42">
        <f t="shared" ca="1" si="22"/>
        <v>2852.3531111192115</v>
      </c>
      <c r="J78" s="42"/>
      <c r="K78" s="42"/>
      <c r="L78" s="42"/>
      <c r="M78" s="42"/>
      <c r="N78" s="42"/>
      <c r="O78" s="42"/>
    </row>
    <row r="79" spans="2:18" x14ac:dyDescent="0.3">
      <c r="B79" s="2" t="s">
        <v>622</v>
      </c>
      <c r="C79" s="2" t="str">
        <f>VLOOKUP(B79,坦克个性化设定!$B$18:$F$48,MATCH(C$73,坦克个性化设定!$B$18:$F$18,0),FALSE)</f>
        <v>T3</v>
      </c>
      <c r="D79" s="42">
        <f t="shared" ca="1" si="23"/>
        <v>1599.2107933181196</v>
      </c>
      <c r="E79" s="42">
        <f t="shared" ca="1" si="24"/>
        <v>2487.2180651509548</v>
      </c>
      <c r="G79" s="2">
        <v>6</v>
      </c>
      <c r="H79" s="42">
        <f ca="1">AVERAGE(D78,D88,D100,D79,D89,D99)</f>
        <v>1760.2101886086455</v>
      </c>
      <c r="I79" s="42" t="e">
        <f t="shared" ca="1" si="22"/>
        <v>#DIV/0!</v>
      </c>
      <c r="J79" s="42"/>
      <c r="K79" s="42"/>
      <c r="L79" s="42"/>
      <c r="M79" s="42"/>
      <c r="N79" s="42"/>
      <c r="O79" s="42"/>
    </row>
    <row r="80" spans="2:18" x14ac:dyDescent="0.3">
      <c r="B80" s="2" t="s">
        <v>624</v>
      </c>
      <c r="C80" s="2" t="str">
        <f>VLOOKUP(B80,坦克个性化设定!$B$18:$F$48,MATCH(C$73,坦克个性化设定!$B$18:$F$18,0),FALSE)</f>
        <v>T4</v>
      </c>
      <c r="D80" s="42">
        <f t="shared" ca="1" si="23"/>
        <v>2089.8293518871078</v>
      </c>
      <c r="E80" s="42">
        <f t="shared" ca="1" si="24"/>
        <v>3200.1082350650877</v>
      </c>
      <c r="G80" s="2">
        <v>7</v>
      </c>
      <c r="H80" s="42">
        <f ca="1">AVERAGE(D79,D89,D99,D78,D88,D98)</f>
        <v>1653.5950779604193</v>
      </c>
      <c r="I80" s="42" t="e">
        <f t="shared" ca="1" si="22"/>
        <v>#DIV/0!</v>
      </c>
      <c r="J80" s="42"/>
      <c r="K80" s="42"/>
      <c r="L80" s="42"/>
      <c r="M80" s="42"/>
      <c r="N80" s="42"/>
      <c r="O80" s="42"/>
    </row>
    <row r="81" spans="2:15" x14ac:dyDescent="0.3">
      <c r="B81" s="2" t="s">
        <v>627</v>
      </c>
      <c r="C81" s="2" t="str">
        <f>VLOOKUP(B81,坦克个性化设定!$B$18:$F$48,MATCH(C$73,坦克个性化设定!$B$18:$F$18,0),FALSE)</f>
        <v>T4</v>
      </c>
      <c r="D81" s="42">
        <f t="shared" ca="1" si="23"/>
        <v>2258.0842286400225</v>
      </c>
      <c r="E81" s="42">
        <f t="shared" ca="1" si="24"/>
        <v>3434.6934449265409</v>
      </c>
      <c r="G81" s="2">
        <v>8</v>
      </c>
      <c r="H81" s="42">
        <f ca="1">AVERAGE(D79,D89,D99,D78,D88,D98)</f>
        <v>1653.5950779604193</v>
      </c>
      <c r="I81" s="42">
        <f t="shared" ca="1" si="22"/>
        <v>4054.5995056346351</v>
      </c>
      <c r="J81" s="42"/>
      <c r="K81" s="42"/>
      <c r="L81" s="42"/>
      <c r="M81" s="42"/>
      <c r="N81" s="42"/>
      <c r="O81" s="42"/>
    </row>
    <row r="82" spans="2:15" x14ac:dyDescent="0.3">
      <c r="B82" s="2" t="s">
        <v>629</v>
      </c>
      <c r="C82" s="2" t="str">
        <f>VLOOKUP(B82,坦克个性化设定!$B$18:$F$48,MATCH(C$73,坦克个性化设定!$B$18:$F$18,0),FALSE)</f>
        <v>T4</v>
      </c>
      <c r="D82" s="42">
        <f t="shared" ca="1" si="23"/>
        <v>2307.8279001937335</v>
      </c>
      <c r="E82" s="42">
        <f t="shared" ca="1" si="24"/>
        <v>3538.1989903696867</v>
      </c>
      <c r="G82" s="2">
        <v>9</v>
      </c>
      <c r="H82" s="42">
        <f ca="1">AVERAGE(D83,D93,D103,D82,D92,D102)</f>
        <v>2831.4103158606845</v>
      </c>
      <c r="I82" s="42">
        <f t="shared" ca="1" si="22"/>
        <v>4741.6405173181847</v>
      </c>
      <c r="J82" s="42"/>
      <c r="K82" s="42"/>
      <c r="L82" s="42"/>
      <c r="M82" s="42"/>
      <c r="N82" s="42"/>
      <c r="O82" s="42"/>
    </row>
    <row r="83" spans="2:15" x14ac:dyDescent="0.3">
      <c r="B83" s="2" t="s">
        <v>631</v>
      </c>
      <c r="C83" s="2" t="str">
        <f>VLOOKUP(B83,坦克个性化设定!$B$18:$F$48,MATCH(C$73,坦克个性化设定!$B$18:$F$18,0),FALSE)</f>
        <v>T5</v>
      </c>
      <c r="D83" s="42">
        <f t="shared" ca="1" si="23"/>
        <v>3119.038207419921</v>
      </c>
      <c r="E83" s="42">
        <f t="shared" ca="1" si="24"/>
        <v>4561.3644023002071</v>
      </c>
      <c r="G83" s="2">
        <v>10</v>
      </c>
      <c r="H83" s="42">
        <f ca="1">ROUND((H$97-H$82)/(G$97-G$82)*(G83-G$82)+H$82,0)</f>
        <v>2999</v>
      </c>
      <c r="I83" s="42">
        <f ca="1">AVERAGE(E83,E93,E103)</f>
        <v>5338.4710700657915</v>
      </c>
      <c r="J83" s="42"/>
      <c r="K83" s="42"/>
      <c r="L83" s="42"/>
      <c r="M83" s="42"/>
      <c r="N83" s="42"/>
      <c r="O83" s="42"/>
    </row>
    <row r="84" spans="2:15" x14ac:dyDescent="0.3">
      <c r="B84" s="2" t="s">
        <v>520</v>
      </c>
      <c r="C84" s="2" t="str">
        <f>VLOOKUP(B84,坦克个性化设定!$B$18:$F$48,MATCH(C$73,坦克个性化设定!$B$18:$F$18,0),FALSE)</f>
        <v>T1</v>
      </c>
      <c r="D84" s="42">
        <f t="shared" ca="1" si="23"/>
        <v>768.41973290427939</v>
      </c>
      <c r="E84" s="42" t="e">
        <f t="shared" ca="1" si="24"/>
        <v>#DIV/0!</v>
      </c>
      <c r="G84" s="2">
        <v>11</v>
      </c>
      <c r="H84" s="42">
        <f t="shared" ref="H84:I96" ca="1" si="25">ROUND((H$97-H$82)/(G$97-G$82)*(G84-G$82)+H$82,0)</f>
        <v>3166</v>
      </c>
      <c r="I84" s="42">
        <f t="shared" ca="1" si="25"/>
        <v>4821</v>
      </c>
      <c r="J84" s="42"/>
      <c r="K84" s="42"/>
      <c r="L84" s="42"/>
      <c r="M84" s="42"/>
      <c r="N84" s="42"/>
      <c r="O84" s="42"/>
    </row>
    <row r="85" spans="2:15" x14ac:dyDescent="0.3">
      <c r="B85" s="2" t="s">
        <v>526</v>
      </c>
      <c r="C85" s="2" t="str">
        <f>VLOOKUP(B85,坦克个性化设定!$B$18:$F$48,MATCH(C$73,坦克个性化设定!$B$18:$F$18,0),FALSE)</f>
        <v>T2</v>
      </c>
      <c r="D85" s="42">
        <f t="shared" ca="1" si="23"/>
        <v>1076.8969590675699</v>
      </c>
      <c r="E85" s="42" t="e">
        <f t="shared" ca="1" si="24"/>
        <v>#DIV/0!</v>
      </c>
      <c r="G85" s="2">
        <v>12</v>
      </c>
      <c r="H85" s="42">
        <f t="shared" ca="1" si="25"/>
        <v>3333</v>
      </c>
      <c r="I85" s="42">
        <f t="shared" ca="1" si="25"/>
        <v>4861</v>
      </c>
      <c r="J85" s="42"/>
      <c r="K85" s="42"/>
      <c r="L85" s="42"/>
      <c r="M85" s="42"/>
      <c r="N85" s="42"/>
      <c r="O85" s="42"/>
    </row>
    <row r="86" spans="2:15" x14ac:dyDescent="0.3">
      <c r="B86" s="2" t="s">
        <v>636</v>
      </c>
      <c r="C86" s="2" t="str">
        <f>VLOOKUP(B86,坦克个性化设定!$B$18:$F$48,MATCH(C$73,坦克个性化设定!$B$18:$F$18,0),FALSE)</f>
        <v>T2</v>
      </c>
      <c r="D86" s="42">
        <f t="shared" ca="1" si="23"/>
        <v>1158.0068282605387</v>
      </c>
      <c r="E86" s="42">
        <f t="shared" ca="1" si="24"/>
        <v>1990.8890903074994</v>
      </c>
      <c r="G86" s="2">
        <v>13</v>
      </c>
      <c r="H86" s="42">
        <f t="shared" ca="1" si="25"/>
        <v>3500</v>
      </c>
      <c r="I86" s="42">
        <f t="shared" ca="1" si="25"/>
        <v>4901</v>
      </c>
      <c r="J86" s="42"/>
      <c r="K86" s="42"/>
      <c r="L86" s="42"/>
      <c r="M86" s="42"/>
      <c r="N86" s="42"/>
      <c r="O86" s="42"/>
    </row>
    <row r="87" spans="2:15" x14ac:dyDescent="0.3">
      <c r="B87" s="2" t="s">
        <v>534</v>
      </c>
      <c r="C87" s="2" t="str">
        <f>VLOOKUP(B87,坦克个性化设定!$B$18:$F$48,MATCH(C$73,坦克个性化设定!$B$18:$F$18,0),FALSE)</f>
        <v>T3</v>
      </c>
      <c r="D87" s="42">
        <f t="shared" ca="1" si="23"/>
        <v>1437.8112473732162</v>
      </c>
      <c r="E87" s="42" t="e">
        <f t="shared" ca="1" si="24"/>
        <v>#DIV/0!</v>
      </c>
      <c r="G87" s="2">
        <v>14</v>
      </c>
      <c r="H87" s="42">
        <f t="shared" ca="1" si="25"/>
        <v>3667</v>
      </c>
      <c r="I87" s="42">
        <f t="shared" ca="1" si="25"/>
        <v>4941</v>
      </c>
      <c r="J87" s="42"/>
      <c r="K87" s="42"/>
      <c r="L87" s="42"/>
      <c r="M87" s="42"/>
      <c r="N87" s="42"/>
      <c r="O87" s="42"/>
    </row>
    <row r="88" spans="2:15" x14ac:dyDescent="0.3">
      <c r="B88" s="2" t="s">
        <v>639</v>
      </c>
      <c r="C88" s="2" t="str">
        <f>VLOOKUP(B88,坦克个性化设定!$B$18:$F$48,MATCH(C$73,坦克个性化设定!$B$18:$F$18,0),FALSE)</f>
        <v>T3</v>
      </c>
      <c r="D88" s="42">
        <f t="shared" ca="1" si="23"/>
        <v>1584.7636753957543</v>
      </c>
      <c r="E88" s="42">
        <f t="shared" ca="1" si="24"/>
        <v>2821.4654829332935</v>
      </c>
      <c r="G88" s="2">
        <v>15</v>
      </c>
      <c r="H88" s="42">
        <f t="shared" ca="1" si="25"/>
        <v>3834</v>
      </c>
      <c r="I88" s="42">
        <f t="shared" ca="1" si="25"/>
        <v>4980</v>
      </c>
      <c r="J88" s="42"/>
      <c r="K88" s="42"/>
      <c r="L88" s="42"/>
      <c r="M88" s="42"/>
      <c r="N88" s="42"/>
      <c r="O88" s="42"/>
    </row>
    <row r="89" spans="2:15" x14ac:dyDescent="0.3">
      <c r="B89" s="2" t="s">
        <v>641</v>
      </c>
      <c r="C89" s="2" t="str">
        <f>VLOOKUP(B89,坦克个性化设定!$B$18:$F$48,MATCH(C$73,坦克个性化设定!$B$18:$F$18,0),FALSE)</f>
        <v>T3</v>
      </c>
      <c r="D89" s="42">
        <f t="shared" ca="1" si="23"/>
        <v>1543.0341976295188</v>
      </c>
      <c r="E89" s="42">
        <f t="shared" ca="1" si="24"/>
        <v>2809.1238297080199</v>
      </c>
      <c r="G89" s="2">
        <v>16</v>
      </c>
      <c r="H89" s="42">
        <f t="shared" ca="1" si="25"/>
        <v>4001</v>
      </c>
      <c r="I89" s="42">
        <f t="shared" ca="1" si="25"/>
        <v>5020</v>
      </c>
      <c r="J89" s="42"/>
      <c r="K89" s="42"/>
      <c r="L89" s="42"/>
      <c r="M89" s="42"/>
      <c r="N89" s="42"/>
      <c r="O89" s="42"/>
    </row>
    <row r="90" spans="2:15" x14ac:dyDescent="0.3">
      <c r="B90" s="2" t="s">
        <v>643</v>
      </c>
      <c r="C90" s="2" t="str">
        <f>VLOOKUP(B90,坦克个性化设定!$B$18:$F$48,MATCH(C$73,坦克个性化设定!$B$18:$F$18,0),FALSE)</f>
        <v>T4</v>
      </c>
      <c r="D90" s="42">
        <f t="shared" ca="1" si="23"/>
        <v>2114.1947932786011</v>
      </c>
      <c r="E90" s="42" t="e">
        <f t="shared" ca="1" si="24"/>
        <v>#DIV/0!</v>
      </c>
      <c r="G90" s="2">
        <v>17</v>
      </c>
      <c r="H90" s="42">
        <f t="shared" ca="1" si="25"/>
        <v>4169</v>
      </c>
      <c r="I90" s="42">
        <f t="shared" ca="1" si="25"/>
        <v>5060</v>
      </c>
      <c r="J90" s="42"/>
      <c r="K90" s="42"/>
      <c r="L90" s="42"/>
      <c r="M90" s="42"/>
      <c r="N90" s="42"/>
      <c r="O90" s="42"/>
    </row>
    <row r="91" spans="2:15" x14ac:dyDescent="0.3">
      <c r="B91" s="2" t="s">
        <v>645</v>
      </c>
      <c r="C91" s="2" t="str">
        <f>VLOOKUP(B91,坦克个性化设定!$B$18:$F$48,MATCH(C$73,坦克个性化设定!$B$18:$F$18,0),FALSE)</f>
        <v>T4</v>
      </c>
      <c r="D91" s="42">
        <f t="shared" ca="1" si="23"/>
        <v>2149.6294909928106</v>
      </c>
      <c r="E91" s="42">
        <f t="shared" ca="1" si="24"/>
        <v>3822.5880121083514</v>
      </c>
      <c r="G91" s="2">
        <v>18</v>
      </c>
      <c r="H91" s="42">
        <f t="shared" ca="1" si="25"/>
        <v>4336</v>
      </c>
      <c r="I91" s="42">
        <f t="shared" ca="1" si="25"/>
        <v>5100</v>
      </c>
      <c r="J91" s="42"/>
      <c r="K91" s="42"/>
      <c r="L91" s="42"/>
      <c r="M91" s="42"/>
      <c r="N91" s="42"/>
      <c r="O91" s="42"/>
    </row>
    <row r="92" spans="2:15" x14ac:dyDescent="0.3">
      <c r="B92" s="2" t="s">
        <v>647</v>
      </c>
      <c r="C92" s="2" t="str">
        <f>VLOOKUP(B92,坦克个性化设定!$B$18:$F$48,MATCH(C$73,坦克个性化设定!$B$18:$F$18,0),FALSE)</f>
        <v>T4</v>
      </c>
      <c r="D92" s="42">
        <f t="shared" ca="1" si="23"/>
        <v>2268.9097519810421</v>
      </c>
      <c r="E92" s="42">
        <f t="shared" ca="1" si="24"/>
        <v>4124.9295800593691</v>
      </c>
      <c r="G92" s="2">
        <v>19</v>
      </c>
      <c r="H92" s="42">
        <f t="shared" ca="1" si="25"/>
        <v>4503</v>
      </c>
      <c r="I92" s="42">
        <f t="shared" ca="1" si="25"/>
        <v>5140</v>
      </c>
      <c r="J92" s="42"/>
      <c r="K92" s="42"/>
      <c r="L92" s="42"/>
      <c r="M92" s="42"/>
      <c r="N92" s="42"/>
      <c r="O92" s="42"/>
    </row>
    <row r="93" spans="2:15" x14ac:dyDescent="0.3">
      <c r="B93" s="2" t="s">
        <v>649</v>
      </c>
      <c r="C93" s="2" t="str">
        <f>VLOOKUP(B93,坦克个性化设定!$B$18:$F$48,MATCH(C$73,坦克个性化设定!$B$18:$F$18,0),FALSE)</f>
        <v>T5</v>
      </c>
      <c r="D93" s="42">
        <f t="shared" ca="1" si="23"/>
        <v>3074.9117563288487</v>
      </c>
      <c r="E93" s="42">
        <f t="shared" ca="1" si="24"/>
        <v>5289.4377540516889</v>
      </c>
      <c r="G93" s="2">
        <v>20</v>
      </c>
      <c r="H93" s="42">
        <f t="shared" ca="1" si="25"/>
        <v>4670</v>
      </c>
      <c r="I93" s="42">
        <f t="shared" ca="1" si="25"/>
        <v>5179</v>
      </c>
      <c r="J93" s="42"/>
      <c r="K93" s="42"/>
      <c r="L93" s="42"/>
      <c r="M93" s="42"/>
      <c r="N93" s="42"/>
      <c r="O93" s="42"/>
    </row>
    <row r="94" spans="2:15" x14ac:dyDescent="0.3">
      <c r="B94" s="2" t="s">
        <v>651</v>
      </c>
      <c r="C94" s="2" t="str">
        <f>VLOOKUP(B94,坦克个性化设定!$B$18:$F$48,MATCH(C$73,坦克个性化设定!$B$18:$F$18,0),FALSE)</f>
        <v>T1</v>
      </c>
      <c r="D94" s="42">
        <f t="shared" ca="1" si="23"/>
        <v>935.92581205006775</v>
      </c>
      <c r="E94" s="42">
        <f t="shared" ca="1" si="24"/>
        <v>1539.2506700715358</v>
      </c>
      <c r="G94" s="2">
        <v>21</v>
      </c>
      <c r="H94" s="42">
        <f t="shared" ca="1" si="25"/>
        <v>4837</v>
      </c>
      <c r="I94" s="42">
        <f t="shared" ca="1" si="25"/>
        <v>5219</v>
      </c>
      <c r="J94" s="42"/>
      <c r="K94" s="42"/>
      <c r="L94" s="42"/>
      <c r="M94" s="42"/>
      <c r="N94" s="42"/>
      <c r="O94" s="42"/>
    </row>
    <row r="95" spans="2:15" x14ac:dyDescent="0.3">
      <c r="B95" s="2" t="s">
        <v>653</v>
      </c>
      <c r="C95" s="2" t="str">
        <f>VLOOKUP(B95,坦克个性化设定!$B$18:$F$48,MATCH(C$73,坦克个性化设定!$B$18:$F$18,0),FALSE)</f>
        <v>T2</v>
      </c>
      <c r="D95" s="42">
        <f t="shared" ca="1" si="23"/>
        <v>1284.1894163616234</v>
      </c>
      <c r="E95" s="42">
        <f t="shared" ca="1" si="24"/>
        <v>2141.0399621190768</v>
      </c>
      <c r="G95" s="2">
        <v>22</v>
      </c>
      <c r="H95" s="42">
        <f t="shared" ca="1" si="25"/>
        <v>5004</v>
      </c>
      <c r="I95" s="42">
        <f t="shared" ca="1" si="25"/>
        <v>5259</v>
      </c>
      <c r="J95" s="42"/>
      <c r="K95" s="42"/>
      <c r="L95" s="42"/>
      <c r="M95" s="42"/>
      <c r="N95" s="42"/>
      <c r="O95" s="42"/>
    </row>
    <row r="96" spans="2:15" x14ac:dyDescent="0.3">
      <c r="B96" s="2" t="s">
        <v>655</v>
      </c>
      <c r="C96" s="2" t="str">
        <f>VLOOKUP(B96,坦克个性化设定!$B$18:$F$48,MATCH(C$73,坦克个性化设定!$B$18:$F$18,0),FALSE)</f>
        <v>T2</v>
      </c>
      <c r="D96" s="42">
        <f t="shared" ca="1" si="23"/>
        <v>1347.1515659646084</v>
      </c>
      <c r="E96" s="42">
        <f t="shared" ca="1" si="24"/>
        <v>2318.252892472055</v>
      </c>
      <c r="G96" s="2">
        <v>23</v>
      </c>
      <c r="H96" s="42">
        <f t="shared" ca="1" si="25"/>
        <v>5171</v>
      </c>
      <c r="I96" s="42">
        <f t="shared" ca="1" si="25"/>
        <v>5299</v>
      </c>
      <c r="J96" s="42"/>
      <c r="K96" s="42"/>
      <c r="L96" s="42"/>
      <c r="M96" s="42"/>
      <c r="N96" s="42"/>
      <c r="O96" s="42"/>
    </row>
    <row r="97" spans="2:15" x14ac:dyDescent="0.3">
      <c r="B97" s="2" t="s">
        <v>538</v>
      </c>
      <c r="C97" s="2" t="str">
        <f>VLOOKUP(B97,坦克个性化设定!$B$18:$F$48,MATCH(C$73,坦克个性化设定!$B$18:$F$18,0),FALSE)</f>
        <v>T3</v>
      </c>
      <c r="D97" s="42">
        <f t="shared" ca="1" si="23"/>
        <v>1749.3529685929989</v>
      </c>
      <c r="E97" s="42">
        <f t="shared" ca="1" si="24"/>
        <v>3051.2686665436604</v>
      </c>
      <c r="G97" s="2">
        <v>24</v>
      </c>
      <c r="H97" s="42">
        <f ca="1">AVERAGE(E83,E93,E103)</f>
        <v>5338.4710700657915</v>
      </c>
      <c r="I97" s="42">
        <f ca="1">AVERAGE(E83,E93,E103)</f>
        <v>5338.4710700657915</v>
      </c>
      <c r="J97" s="42"/>
      <c r="K97" s="42"/>
      <c r="L97" s="42"/>
      <c r="M97" s="42"/>
      <c r="N97" s="42"/>
      <c r="O97" s="42"/>
    </row>
    <row r="98" spans="2:15" x14ac:dyDescent="0.3">
      <c r="B98" s="2" t="s">
        <v>658</v>
      </c>
      <c r="C98" s="2" t="str">
        <f>VLOOKUP(B98,坦克个性化设定!$B$18:$F$48,MATCH(C$73,坦克个性化设定!$B$18:$F$18,0),FALSE)</f>
        <v>T3</v>
      </c>
      <c r="D98" s="42">
        <f t="shared" ca="1" si="23"/>
        <v>1846.1738161493915</v>
      </c>
      <c r="E98" s="42">
        <f t="shared" ca="1" si="24"/>
        <v>3288.1348887961713</v>
      </c>
    </row>
    <row r="99" spans="2:15" x14ac:dyDescent="0.3">
      <c r="B99" s="2" t="s">
        <v>660</v>
      </c>
      <c r="C99" s="2" t="str">
        <f>VLOOKUP(B99,坦克个性化设定!$B$18:$F$48,MATCH(C$73,坦克个性化设定!$B$18:$F$18,0),FALSE)</f>
        <v>T3</v>
      </c>
      <c r="D99" s="42">
        <f t="shared" ca="1" si="23"/>
        <v>1827.5414468907661</v>
      </c>
      <c r="E99" s="42">
        <f t="shared" ca="1" si="24"/>
        <v>3326.3525925965632</v>
      </c>
    </row>
    <row r="100" spans="2:15" x14ac:dyDescent="0.3">
      <c r="B100" s="2" t="s">
        <v>662</v>
      </c>
      <c r="C100" s="2" t="str">
        <f>VLOOKUP(B100,坦克个性化设定!$B$18:$F$48,MATCH(C$73,坦克个性化设定!$B$18:$F$18,0),FALSE)</f>
        <v>T4</v>
      </c>
      <c r="D100" s="42">
        <f t="shared" ca="1" si="23"/>
        <v>2485.8644800387483</v>
      </c>
      <c r="E100" s="42">
        <f t="shared" ca="1" si="24"/>
        <v>4347.3602537377346</v>
      </c>
      <c r="H100" s="134"/>
    </row>
    <row r="101" spans="2:15" x14ac:dyDescent="0.3">
      <c r="B101" s="2" t="s">
        <v>664</v>
      </c>
      <c r="C101" s="2" t="str">
        <f>VLOOKUP(B101,坦克个性化设定!$B$18:$F$48,MATCH(C$73,坦克个性化设定!$B$18:$F$18,0),FALSE)</f>
        <v>T4</v>
      </c>
      <c r="D101" s="42">
        <f t="shared" ca="1" si="23"/>
        <v>2604.5541678116488</v>
      </c>
      <c r="E101" s="42">
        <f t="shared" ca="1" si="24"/>
        <v>4635.885683061184</v>
      </c>
      <c r="H101" s="134"/>
    </row>
    <row r="102" spans="2:15" x14ac:dyDescent="0.3">
      <c r="B102" s="2" t="s">
        <v>666</v>
      </c>
      <c r="C102" s="2" t="str">
        <f>VLOOKUP(B102,坦克个性化设定!$B$18:$F$48,MATCH(C$73,坦克个性化设定!$B$18:$F$18,0),FALSE)</f>
        <v>T4</v>
      </c>
      <c r="D102" s="42">
        <f t="shared" ca="1" si="23"/>
        <v>2628.4201423997761</v>
      </c>
      <c r="E102" s="42">
        <f t="shared" ca="1" si="24"/>
        <v>4771.3013232826788</v>
      </c>
      <c r="H102" s="134"/>
    </row>
    <row r="103" spans="2:15" x14ac:dyDescent="0.3">
      <c r="B103" s="2" t="s">
        <v>668</v>
      </c>
      <c r="C103" s="2" t="str">
        <f>VLOOKUP(B103,坦克个性化设定!$B$18:$F$48,MATCH(C$73,坦克个性化设定!$B$18:$F$18,0),FALSE)</f>
        <v>T5</v>
      </c>
      <c r="D103" s="42">
        <f t="shared" ca="1" si="23"/>
        <v>3589.3541368407846</v>
      </c>
      <c r="E103" s="42">
        <f t="shared" ca="1" si="24"/>
        <v>6164.6110538454795</v>
      </c>
      <c r="H103" s="134"/>
    </row>
    <row r="104" spans="2:15" x14ac:dyDescent="0.3">
      <c r="H104" s="134"/>
    </row>
    <row r="105" spans="2:15" x14ac:dyDescent="0.3">
      <c r="H105" s="134"/>
    </row>
    <row r="106" spans="2:15" x14ac:dyDescent="0.3">
      <c r="H106" s="134"/>
    </row>
    <row r="107" spans="2:15" x14ac:dyDescent="0.3">
      <c r="H107" s="134"/>
    </row>
    <row r="108" spans="2:15" x14ac:dyDescent="0.3">
      <c r="H108" s="134"/>
    </row>
    <row r="109" spans="2:15" x14ac:dyDescent="0.3">
      <c r="H109" s="134"/>
    </row>
    <row r="110" spans="2:15" x14ac:dyDescent="0.3">
      <c r="H110" s="134"/>
    </row>
    <row r="111" spans="2:15" x14ac:dyDescent="0.3">
      <c r="H111" s="134"/>
    </row>
    <row r="112" spans="2:15" x14ac:dyDescent="0.3">
      <c r="H112" s="134"/>
    </row>
    <row r="113" spans="8:8" x14ac:dyDescent="0.3">
      <c r="H113" s="134"/>
    </row>
    <row r="114" spans="8:8" x14ac:dyDescent="0.3">
      <c r="H114" s="134"/>
    </row>
    <row r="115" spans="8:8" x14ac:dyDescent="0.3">
      <c r="H115" s="134"/>
    </row>
    <row r="116" spans="8:8" x14ac:dyDescent="0.3">
      <c r="H116" s="134"/>
    </row>
  </sheetData>
  <mergeCells count="3">
    <mergeCell ref="B39:Q39"/>
    <mergeCell ref="B72:E72"/>
    <mergeCell ref="G72:O72"/>
  </mergeCells>
  <phoneticPr fontId="34"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BM48"/>
  <sheetViews>
    <sheetView workbookViewId="0">
      <selection activeCell="N24" sqref="N24"/>
    </sheetView>
  </sheetViews>
  <sheetFormatPr defaultColWidth="9" defaultRowHeight="14.25" x14ac:dyDescent="0.3"/>
  <cols>
    <col min="1" max="16384" width="9" style="1"/>
  </cols>
  <sheetData>
    <row r="3" spans="2:65" x14ac:dyDescent="0.3">
      <c r="B3" s="2" t="s">
        <v>1701</v>
      </c>
      <c r="C3" s="2" t="s">
        <v>1702</v>
      </c>
      <c r="D3" s="2" t="s">
        <v>1703</v>
      </c>
      <c r="E3" s="2" t="s">
        <v>1704</v>
      </c>
      <c r="F3" s="2" t="s">
        <v>1705</v>
      </c>
      <c r="G3" s="2" t="s">
        <v>1706</v>
      </c>
      <c r="H3" s="2" t="s">
        <v>1707</v>
      </c>
      <c r="I3" s="2" t="s">
        <v>1708</v>
      </c>
      <c r="J3" s="2" t="s">
        <v>1709</v>
      </c>
      <c r="K3" s="2" t="s">
        <v>1710</v>
      </c>
      <c r="L3" s="2" t="s">
        <v>1711</v>
      </c>
      <c r="M3" s="2" t="s">
        <v>1712</v>
      </c>
      <c r="N3" s="2" t="s">
        <v>1713</v>
      </c>
      <c r="O3" s="2" t="s">
        <v>1714</v>
      </c>
      <c r="P3" s="2" t="s">
        <v>1715</v>
      </c>
      <c r="Q3" s="2" t="s">
        <v>1716</v>
      </c>
      <c r="R3" s="2" t="s">
        <v>1717</v>
      </c>
      <c r="S3" s="2" t="s">
        <v>1718</v>
      </c>
      <c r="T3" s="2" t="s">
        <v>1719</v>
      </c>
      <c r="U3" s="2" t="s">
        <v>1720</v>
      </c>
      <c r="V3" s="2" t="s">
        <v>1721</v>
      </c>
      <c r="W3" s="2" t="s">
        <v>1722</v>
      </c>
      <c r="X3" s="2" t="s">
        <v>1723</v>
      </c>
      <c r="Y3" s="2" t="s">
        <v>774</v>
      </c>
      <c r="Z3" s="2" t="s">
        <v>775</v>
      </c>
      <c r="AA3" s="2" t="s">
        <v>776</v>
      </c>
      <c r="AB3" s="2" t="s">
        <v>77</v>
      </c>
      <c r="AC3" s="2" t="s">
        <v>130</v>
      </c>
      <c r="AD3" s="2" t="s">
        <v>1218</v>
      </c>
      <c r="AE3" s="2" t="s">
        <v>1219</v>
      </c>
      <c r="AF3" s="2" t="s">
        <v>1220</v>
      </c>
      <c r="AG3" s="2" t="s">
        <v>91</v>
      </c>
      <c r="AH3" s="2" t="s">
        <v>95</v>
      </c>
      <c r="AI3" s="2" t="s">
        <v>93</v>
      </c>
      <c r="AJ3" s="2" t="s">
        <v>94</v>
      </c>
      <c r="AK3" s="2" t="s">
        <v>1686</v>
      </c>
      <c r="AL3" s="2" t="s">
        <v>774</v>
      </c>
      <c r="AM3" s="2" t="s">
        <v>775</v>
      </c>
      <c r="AN3" s="2" t="s">
        <v>776</v>
      </c>
      <c r="AO3" s="2" t="s">
        <v>77</v>
      </c>
      <c r="AP3" s="2" t="s">
        <v>130</v>
      </c>
      <c r="AQ3" s="2" t="s">
        <v>1218</v>
      </c>
      <c r="AR3" s="2" t="s">
        <v>1219</v>
      </c>
      <c r="AS3" s="2" t="s">
        <v>1220</v>
      </c>
      <c r="AT3" s="2" t="s">
        <v>91</v>
      </c>
      <c r="AU3" s="2" t="s">
        <v>95</v>
      </c>
      <c r="AV3" s="2" t="s">
        <v>93</v>
      </c>
      <c r="AW3" s="2" t="s">
        <v>94</v>
      </c>
      <c r="AX3" s="2" t="s">
        <v>1686</v>
      </c>
      <c r="AY3" s="2" t="s">
        <v>774</v>
      </c>
      <c r="AZ3" s="2" t="s">
        <v>775</v>
      </c>
      <c r="BA3" s="2" t="s">
        <v>776</v>
      </c>
      <c r="BB3" s="2" t="s">
        <v>77</v>
      </c>
      <c r="BC3" s="2" t="s">
        <v>130</v>
      </c>
      <c r="BD3" s="2" t="s">
        <v>1218</v>
      </c>
      <c r="BE3" s="2" t="s">
        <v>1219</v>
      </c>
      <c r="BF3" s="2" t="s">
        <v>1220</v>
      </c>
      <c r="BG3" s="2" t="s">
        <v>91</v>
      </c>
      <c r="BH3" s="2" t="s">
        <v>95</v>
      </c>
      <c r="BI3" s="2" t="s">
        <v>93</v>
      </c>
      <c r="BJ3" s="2" t="s">
        <v>94</v>
      </c>
      <c r="BK3" s="2" t="s">
        <v>1686</v>
      </c>
    </row>
    <row r="4" spans="2:65" x14ac:dyDescent="0.3">
      <c r="B4" s="2">
        <v>1</v>
      </c>
      <c r="C4" s="2" t="e">
        <f ca="1">MAX(V4:X4)*0.65+MIN(V4:X4)*0.1225+(SUM(V4:X4)-MAX(V4:X4)-MIN(V4:X4))*0.2275</f>
        <v>#REF!</v>
      </c>
      <c r="D4" s="2" t="s">
        <v>518</v>
      </c>
      <c r="E4" s="2" t="s">
        <v>520</v>
      </c>
      <c r="F4" s="2" t="s">
        <v>651</v>
      </c>
      <c r="G4" s="2" t="str">
        <f>VLOOKUP(D4,坦克个性化设定!$B$18:$F$48,5,FALSE)</f>
        <v>轻坦弹夹</v>
      </c>
      <c r="H4" s="2" t="str">
        <f>VLOOKUP(E4,坦克个性化设定!$B$18:$F$48,5,FALSE)</f>
        <v>中坦自动</v>
      </c>
      <c r="I4" s="2" t="str">
        <f>VLOOKUP(F4,坦克个性化设定!$B$18:$F$48,5,FALSE)</f>
        <v>重坦自动</v>
      </c>
      <c r="J4" s="2">
        <v>0</v>
      </c>
      <c r="K4" s="2">
        <v>0</v>
      </c>
      <c r="L4" s="2">
        <v>0</v>
      </c>
      <c r="M4" s="2" t="s">
        <v>1724</v>
      </c>
      <c r="N4" s="2" t="s">
        <v>1724</v>
      </c>
      <c r="O4" s="2" t="s">
        <v>1724</v>
      </c>
      <c r="P4" s="2">
        <v>0</v>
      </c>
      <c r="Q4" s="2">
        <v>0</v>
      </c>
      <c r="R4" s="2">
        <v>0</v>
      </c>
      <c r="S4" s="2">
        <v>1</v>
      </c>
      <c r="T4" s="2">
        <v>1</v>
      </c>
      <c r="U4" s="2">
        <v>1</v>
      </c>
      <c r="V4" s="42" t="e">
        <f ca="1">ROUND(SQRT(Y4*Z4*AK4/2+AVERAGE(AA4,AB4)*AC4*100),0)</f>
        <v>#REF!</v>
      </c>
      <c r="W4" s="42" t="e">
        <f ca="1">ROUND(SQRT(AL4*AM4*AX4/2+AVERAGE(AN4,AO4)*AP4*100),0)</f>
        <v>#REF!</v>
      </c>
      <c r="X4" s="42" t="e">
        <f ca="1">ROUND(SQRT(AY4*AZ4*BK4/2+AVERAGE(BA4,BB4)*BC4*100),0)</f>
        <v>#REF!</v>
      </c>
      <c r="Y4" s="2" t="e">
        <f ca="1">VLOOKUP($D4&amp;$J4,所有坦克升星属性,MATCH(Y$3,所有坦克升星属性标头,0),FALSE)+ROUND(AD4/VLOOKUP($D4,坦克部件!#REF!,4,FALSE)*VLOOKUP($D4&amp;0,所有坦克升星属性,MATCH(Y$3,所有坦克升星属性标头,0),FALSE),0)</f>
        <v>#REF!</v>
      </c>
      <c r="Z4" s="2" t="e">
        <f ca="1">VLOOKUP($D4&amp;$J4,所有坦克升星属性,MATCH(Z$3,所有坦克升星属性标头,0),FALSE)+ROUND(AE4/VLOOKUP($D4,坦克部件!#REF!,4,FALSE)*VLOOKUP($D4&amp;0,所有坦克升星属性,MATCH(Z$3,所有坦克升星属性标头,0),FALSE),0)</f>
        <v>#REF!</v>
      </c>
      <c r="AA4" s="2">
        <f t="shared" ref="AA4:AB23" ca="1" si="0">VLOOKUP($D4&amp;$J4,所有坦克升星属性,MATCH(AA$3,所有坦克升星属性标头,0),FALSE)</f>
        <v>329</v>
      </c>
      <c r="AB4" s="2">
        <f t="shared" ca="1" si="0"/>
        <v>230</v>
      </c>
      <c r="AC4" s="2" t="e">
        <f ca="1">VLOOKUP($D4&amp;$J4,所有坦克升星属性,MATCH(AC$3,所有坦克升星属性标头,0),FALSE)+ROUND(AF4/VLOOKUP($D4,坦克部件!#REF!,4,FALSE)*VLOOKUP($D4&amp;0,所有坦克升星属性,MATCH(AC$3,所有坦克升星属性标头,0),FALSE),0)</f>
        <v>#REF!</v>
      </c>
      <c r="AD4" s="2" t="e">
        <f>(VLOOKUP($S4,坦克部件!#REF!,MATCH("标准值",坦克部件!#REF!,0),FALSE)+VLOOKUP($M4,坦克部件!#REF!,MATCH("标准值",坦克部件!#REF!,0),FALSE))*$P4</f>
        <v>#REF!</v>
      </c>
      <c r="AE4" s="2" t="e">
        <f>(VLOOKUP($S4,坦克部件!#REF!,MATCH("标准值",坦克部件!#REF!,0),FALSE)+VLOOKUP($M4,坦克部件!#REF!,MATCH("标准值",坦克部件!#REF!,0),FALSE))*$P4</f>
        <v>#REF!</v>
      </c>
      <c r="AF4" s="2" t="e">
        <f>(VLOOKUP($S4,坦克部件!#REF!,MATCH("标准值",坦克部件!#REF!,0),FALSE)+VLOOKUP($M4,坦克部件!#REF!,MATCH("标准值",坦克部件!#REF!,0),FALSE))*$P4</f>
        <v>#REF!</v>
      </c>
      <c r="AG4" s="2">
        <f>VLOOKUP($D4,坦克属性统计!$B$3:$AY$33,MATCH(AG$3,坦克属性统计!$B$3:$AY$3,0),FALSE)</f>
        <v>12</v>
      </c>
      <c r="AH4" s="2">
        <f t="shared" ref="AH4:AJ23" si="1">VLOOKUP($D4&amp;$J4,所有坦克升星属性,MATCH(AH$3,所有坦克升星属性标头,0),FALSE)</f>
        <v>0.6</v>
      </c>
      <c r="AI4" s="2">
        <f t="shared" si="1"/>
        <v>0</v>
      </c>
      <c r="AJ4" s="2">
        <f t="shared" si="1"/>
        <v>5</v>
      </c>
      <c r="AK4" s="34">
        <f>IF(LEN(G4)=5,(60-(AG4-1)*AH4)/AI4+AG4,IF(RIGHT(G4,2)="弹夹",((60-(AG4-1)*AH4)/(AJ4+(AG4-1)*AH4)+1)*AG4,60/AI4+AG4))</f>
        <v>67.241379310344826</v>
      </c>
      <c r="AL4" s="2" t="e">
        <f ca="1">VLOOKUP($E4&amp;$K4,所有坦克升星属性,MATCH(AL$3,所有坦克升星属性标头,0),FALSE)+ROUND(AQ4/VLOOKUP($E4,坦克部件!#REF!,4,FALSE)*VLOOKUP($E4&amp;0,所有坦克升星属性,MATCH(AL$3,所有坦克升星属性标头,0),FALSE),0)</f>
        <v>#REF!</v>
      </c>
      <c r="AM4" s="2" t="e">
        <f ca="1">VLOOKUP($E4&amp;$K4,所有坦克升星属性,MATCH(AM$3,所有坦克升星属性标头,0),FALSE)+ROUND(AR4/VLOOKUP($E4,坦克部件!#REF!,4,FALSE)*VLOOKUP($E4&amp;0,所有坦克升星属性,MATCH(AM$3,所有坦克升星属性标头,0),FALSE),0)</f>
        <v>#REF!</v>
      </c>
      <c r="AN4" s="2">
        <f t="shared" ref="AN4:AO23" ca="1" si="2">VLOOKUP($E4&amp;$K4,所有坦克升星属性,MATCH(AN$3,所有坦克升星属性标头,0),FALSE)</f>
        <v>329</v>
      </c>
      <c r="AO4" s="2">
        <f t="shared" ca="1" si="2"/>
        <v>246</v>
      </c>
      <c r="AP4" s="2" t="e">
        <f ca="1">VLOOKUP($E4&amp;$K4,所有坦克升星属性,MATCH(AP$3,所有坦克升星属性标头,0),FALSE)+ROUND(AS4/VLOOKUP($E4,坦克部件!#REF!,4,FALSE)*VLOOKUP($E4&amp;0,所有坦克升星属性,MATCH(AP$3,所有坦克升星属性标头,0),FALSE),0)</f>
        <v>#REF!</v>
      </c>
      <c r="AQ4" s="2" t="e">
        <f>(VLOOKUP($T4,坦克部件!#REF!,MATCH("标准值",坦克部件!#REF!,0),FALSE)+VLOOKUP($N4,坦克部件!#REF!,MATCH("标准值",坦克部件!#REF!,0),FALSE))*$Q4</f>
        <v>#REF!</v>
      </c>
      <c r="AR4" s="2" t="e">
        <f>(VLOOKUP($T4,坦克部件!#REF!,MATCH("标准值",坦克部件!#REF!,0),FALSE)+VLOOKUP($N4,坦克部件!#REF!,MATCH("标准值",坦克部件!#REF!,0),FALSE))*$Q4</f>
        <v>#REF!</v>
      </c>
      <c r="AS4" s="2" t="e">
        <f>(VLOOKUP($T4,坦克部件!#REF!,MATCH("标准值",坦克部件!#REF!,0),FALSE)+VLOOKUP($N4,坦克部件!#REF!,MATCH("标准值",坦克部件!#REF!,0),FALSE))*$Q4</f>
        <v>#REF!</v>
      </c>
      <c r="AT4" s="2">
        <f>VLOOKUP($E4,坦克属性统计!$B$3:$AY$33,MATCH(AT$3,坦克属性统计!$B$3:$AY$3,0),FALSE)</f>
        <v>9</v>
      </c>
      <c r="AU4" s="2">
        <f t="shared" ref="AU4:AW23" si="3">VLOOKUP($E4&amp;$K4,所有坦克升星属性,MATCH(AU$3,所有坦克升星属性标头,0),FALSE)</f>
        <v>0.3</v>
      </c>
      <c r="AV4" s="2">
        <f t="shared" si="3"/>
        <v>0</v>
      </c>
      <c r="AW4" s="2">
        <f t="shared" si="3"/>
        <v>3.2</v>
      </c>
      <c r="AX4" s="34" t="e">
        <f>IF(LEN(H4)=5,(60-(AT4-1)*AU4)/AV4+AT4,IF(RIGHT(H4,2)="弹夹",((60-(AT4-1)*AU4)/(AW4+(AT4-1)*AU4)+1)*AT4,60/AV4+AT4))</f>
        <v>#DIV/0!</v>
      </c>
      <c r="AY4" s="2" t="e">
        <f ca="1">VLOOKUP($F4&amp;$L4,所有坦克升星属性,MATCH(AY$3,所有坦克升星属性标头,0),FALSE)+ROUND(BD4/VLOOKUP($F4,坦克部件!#REF!,4,FALSE)*VLOOKUP($F4&amp;0,所有坦克升星属性,MATCH(AY$3,所有坦克升星属性标头,0),FALSE),0)</f>
        <v>#REF!</v>
      </c>
      <c r="AZ4" s="2" t="e">
        <f ca="1">VLOOKUP($F4&amp;$L4,所有坦克升星属性,MATCH(AZ$3,所有坦克升星属性标头,0),FALSE)+ROUND(BE4/VLOOKUP($F4,坦克部件!#REF!,4,FALSE)*VLOOKUP($F4&amp;0,所有坦克升星属性,MATCH(AZ$3,所有坦克升星属性标头,0),FALSE),0)</f>
        <v>#REF!</v>
      </c>
      <c r="BA4" s="2">
        <f t="shared" ref="BA4:BB23" ca="1" si="4">VLOOKUP($F4&amp;$L4,所有坦克升星属性,MATCH(BA$3,所有坦克升星属性标头,0),FALSE)</f>
        <v>286</v>
      </c>
      <c r="BB4" s="2">
        <f t="shared" ca="1" si="4"/>
        <v>229</v>
      </c>
      <c r="BC4" s="2" t="e">
        <f ca="1">VLOOKUP($F4&amp;$L4,所有坦克升星属性,MATCH(BC$3,所有坦克升星属性标头,0),FALSE)+ROUND(BF4/VLOOKUP($F4,坦克部件!#REF!,4,FALSE)*VLOOKUP($F4&amp;0,所有坦克升星属性,MATCH(BC$3,所有坦克升星属性标头,0),FALSE),0)</f>
        <v>#REF!</v>
      </c>
      <c r="BD4" s="2" t="e">
        <f>(VLOOKUP($U4,坦克部件!#REF!,MATCH("标准值",坦克部件!#REF!,0),FALSE)+VLOOKUP($O4,坦克部件!#REF!,MATCH("标准值",坦克部件!#REF!,0),FALSE))*$R4</f>
        <v>#REF!</v>
      </c>
      <c r="BE4" s="2" t="e">
        <f>(VLOOKUP($U4,坦克部件!#REF!,MATCH("标准值",坦克部件!#REF!,0),FALSE)+VLOOKUP($O4,坦克部件!#REF!,MATCH("标准值",坦克部件!#REF!,0),FALSE))*$R4</f>
        <v>#REF!</v>
      </c>
      <c r="BF4" s="2" t="e">
        <f>(VLOOKUP($U4,坦克部件!#REF!,MATCH("标准值",坦克部件!#REF!,0),FALSE)+VLOOKUP($O4,坦克部件!#REF!,MATCH("标准值",坦克部件!#REF!,0),FALSE))*$R4</f>
        <v>#REF!</v>
      </c>
      <c r="BG4" s="2">
        <f>VLOOKUP($F4,坦克属性统计!$B$3:$AY$33,MATCH(BG$3,坦克属性统计!$B$3:$AY$3,0),FALSE)</f>
        <v>1</v>
      </c>
      <c r="BH4" s="2">
        <f t="shared" ref="BH4:BJ23" si="5">VLOOKUP($F4&amp;$L4,所有坦克升星属性,MATCH(BH$3,所有坦克升星属性标头,0),FALSE)</f>
        <v>2.8</v>
      </c>
      <c r="BI4" s="2">
        <f t="shared" si="5"/>
        <v>5.4</v>
      </c>
      <c r="BJ4" s="2">
        <f t="shared" si="5"/>
        <v>0</v>
      </c>
      <c r="BK4" s="34">
        <f>IF(LEN(I4)=5,(60-(BG4-1)*BH4)/BI4+BG4,IF(RIGHT(I4,2)="弹夹",((60-(BG4-1)*BH4)/(BJ4+(BG4-1)*BH4)+1)*BG4,60/BI4+BG4))</f>
        <v>12.111111111111111</v>
      </c>
      <c r="BM4" s="1" t="e">
        <f ca="1">ROUND((BK4*AZ4+AX4*AM4+AK4*Z4)/60/3*2*2.5/20,0)*20</f>
        <v>#REF!</v>
      </c>
    </row>
    <row r="5" spans="2:65" x14ac:dyDescent="0.3">
      <c r="B5" s="2">
        <v>2</v>
      </c>
      <c r="C5" s="2" t="e">
        <f ca="1">MAX(V5:X5)*0.65+MIN(V5:X5)*0.1225+(SUM(V5:X5)-MAX(V5:X5)-MIN(V5:X5))*0.2275</f>
        <v>#REF!</v>
      </c>
      <c r="D5" s="2" t="s">
        <v>518</v>
      </c>
      <c r="E5" s="2" t="s">
        <v>520</v>
      </c>
      <c r="F5" s="2" t="s">
        <v>651</v>
      </c>
      <c r="G5" s="2" t="str">
        <f>VLOOKUP(D5,坦克个性化设定!$B$18:$F$48,5,FALSE)</f>
        <v>轻坦弹夹</v>
      </c>
      <c r="H5" s="2" t="str">
        <f>VLOOKUP(E5,坦克个性化设定!$B$18:$F$48,5,FALSE)</f>
        <v>中坦自动</v>
      </c>
      <c r="I5" s="2" t="str">
        <f>VLOOKUP(F5,坦克个性化设定!$B$18:$F$48,5,FALSE)</f>
        <v>重坦自动</v>
      </c>
      <c r="J5" s="2">
        <v>0</v>
      </c>
      <c r="K5" s="2">
        <v>0</v>
      </c>
      <c r="L5" s="2">
        <v>0</v>
      </c>
      <c r="M5" s="2" t="s">
        <v>1724</v>
      </c>
      <c r="N5" s="2" t="s">
        <v>1724</v>
      </c>
      <c r="O5" s="2" t="s">
        <v>1724</v>
      </c>
      <c r="P5" s="2">
        <v>3</v>
      </c>
      <c r="Q5" s="2">
        <v>3</v>
      </c>
      <c r="R5" s="2">
        <v>3</v>
      </c>
      <c r="S5" s="2">
        <v>2</v>
      </c>
      <c r="T5" s="2">
        <v>1</v>
      </c>
      <c r="U5" s="2">
        <v>1</v>
      </c>
      <c r="V5" s="42" t="e">
        <f ca="1">ROUND(SQRT(Y5*Z5*AK5/2+AVERAGE(AA5,AB5)*AC5*100),0)</f>
        <v>#REF!</v>
      </c>
      <c r="W5" s="42" t="e">
        <f ca="1">ROUND(SQRT(AL5*AM5*AX5/2+AVERAGE(AN5,AO5)*AP5*100),0)</f>
        <v>#REF!</v>
      </c>
      <c r="X5" s="42" t="e">
        <f ca="1">ROUND(SQRT(AY5*AZ5*BK5/2+AVERAGE(BA5,BB5)*BC5*100),0)</f>
        <v>#REF!</v>
      </c>
      <c r="Y5" s="2" t="e">
        <f ca="1">VLOOKUP($D5&amp;$J5,所有坦克升星属性,MATCH(Y$3,所有坦克升星属性标头,0),FALSE)+ROUND(AD5/VLOOKUP($D5,坦克部件!#REF!,4,FALSE)*VLOOKUP($D5&amp;0,所有坦克升星属性,MATCH(Y$3,所有坦克升星属性标头,0),FALSE),0)</f>
        <v>#REF!</v>
      </c>
      <c r="Z5" s="2" t="e">
        <f ca="1">VLOOKUP($D5&amp;$J5,所有坦克升星属性,MATCH(Z$3,所有坦克升星属性标头,0),FALSE)+ROUND(AE5/VLOOKUP($D5,坦克部件!#REF!,4,FALSE)*VLOOKUP($D5&amp;0,所有坦克升星属性,MATCH(Z$3,所有坦克升星属性标头,0),FALSE),0)</f>
        <v>#REF!</v>
      </c>
      <c r="AA5" s="2">
        <f t="shared" ca="1" si="0"/>
        <v>329</v>
      </c>
      <c r="AB5" s="2">
        <f t="shared" ca="1" si="0"/>
        <v>230</v>
      </c>
      <c r="AC5" s="2" t="e">
        <f ca="1">VLOOKUP($D5&amp;$J5,所有坦克升星属性,MATCH(AC$3,所有坦克升星属性标头,0),FALSE)+ROUND(AF5/VLOOKUP($D5,坦克部件!#REF!,4,FALSE)*VLOOKUP($D5&amp;0,所有坦克升星属性,MATCH(AC$3,所有坦克升星属性标头,0),FALSE),0)</f>
        <v>#REF!</v>
      </c>
      <c r="AD5" s="2" t="e">
        <f>(VLOOKUP($S5,坦克部件!#REF!,MATCH("标准值",坦克部件!#REF!,0),FALSE)+VLOOKUP($M5,坦克部件!#REF!,MATCH("标准值",坦克部件!#REF!,0),FALSE))*$P5</f>
        <v>#REF!</v>
      </c>
      <c r="AE5" s="2" t="e">
        <f>(VLOOKUP($S5,坦克部件!#REF!,MATCH("标准值",坦克部件!#REF!,0),FALSE)+VLOOKUP($M5,坦克部件!#REF!,MATCH("标准值",坦克部件!#REF!,0),FALSE))*$P5</f>
        <v>#REF!</v>
      </c>
      <c r="AF5" s="2" t="e">
        <f>(VLOOKUP($S5,坦克部件!#REF!,MATCH("标准值",坦克部件!#REF!,0),FALSE)+VLOOKUP($M5,坦克部件!#REF!,MATCH("标准值",坦克部件!#REF!,0),FALSE))*$P5</f>
        <v>#REF!</v>
      </c>
      <c r="AG5" s="2">
        <f>VLOOKUP($D5,坦克属性统计!$B$3:$AY$33,MATCH(AG$3,坦克属性统计!$B$3:$AY$3,0),FALSE)</f>
        <v>12</v>
      </c>
      <c r="AH5" s="2">
        <f t="shared" si="1"/>
        <v>0.6</v>
      </c>
      <c r="AI5" s="2">
        <f t="shared" si="1"/>
        <v>0</v>
      </c>
      <c r="AJ5" s="2">
        <f t="shared" si="1"/>
        <v>5</v>
      </c>
      <c r="AK5" s="34">
        <f>IF(LEN(G5)=5,(60-(AG5-1)*AH5)/AI5+AG5,IF(RIGHT(G5,2)="弹夹",((60-(AG5-1)*AH5)/(AJ5+(AG5-1)*AH5)+1)*AG5,60/AI5+AG5))</f>
        <v>67.241379310344826</v>
      </c>
      <c r="AL5" s="2" t="e">
        <f ca="1">VLOOKUP($E5&amp;$K5,所有坦克升星属性,MATCH(AL$3,所有坦克升星属性标头,0),FALSE)+ROUND(AQ5/VLOOKUP($E5,坦克部件!#REF!,4,FALSE)*VLOOKUP($E5&amp;0,所有坦克升星属性,MATCH(AL$3,所有坦克升星属性标头,0),FALSE),0)</f>
        <v>#REF!</v>
      </c>
      <c r="AM5" s="2" t="e">
        <f ca="1">VLOOKUP($E5&amp;$K5,所有坦克升星属性,MATCH(AM$3,所有坦克升星属性标头,0),FALSE)+ROUND(AR5/VLOOKUP($E5,坦克部件!#REF!,4,FALSE)*VLOOKUP($E5&amp;0,所有坦克升星属性,MATCH(AM$3,所有坦克升星属性标头,0),FALSE),0)</f>
        <v>#REF!</v>
      </c>
      <c r="AN5" s="2">
        <f t="shared" ca="1" si="2"/>
        <v>329</v>
      </c>
      <c r="AO5" s="2">
        <f t="shared" ca="1" si="2"/>
        <v>246</v>
      </c>
      <c r="AP5" s="2" t="e">
        <f ca="1">VLOOKUP($E5&amp;$K5,所有坦克升星属性,MATCH(AP$3,所有坦克升星属性标头,0),FALSE)+ROUND(AS5/VLOOKUP($E5,坦克部件!#REF!,4,FALSE)*VLOOKUP($E5&amp;0,所有坦克升星属性,MATCH(AP$3,所有坦克升星属性标头,0),FALSE),0)</f>
        <v>#REF!</v>
      </c>
      <c r="AQ5" s="2" t="e">
        <f>(VLOOKUP($T5,坦克部件!#REF!,MATCH("标准值",坦克部件!#REF!,0),FALSE)+VLOOKUP($N5,坦克部件!#REF!,MATCH("标准值",坦克部件!#REF!,0),FALSE))*$Q5</f>
        <v>#REF!</v>
      </c>
      <c r="AR5" s="2" t="e">
        <f>(VLOOKUP($T5,坦克部件!#REF!,MATCH("标准值",坦克部件!#REF!,0),FALSE)+VLOOKUP($N5,坦克部件!#REF!,MATCH("标准值",坦克部件!#REF!,0),FALSE))*$Q5</f>
        <v>#REF!</v>
      </c>
      <c r="AS5" s="2" t="e">
        <f>(VLOOKUP($T5,坦克部件!#REF!,MATCH("标准值",坦克部件!#REF!,0),FALSE)+VLOOKUP($N5,坦克部件!#REF!,MATCH("标准值",坦克部件!#REF!,0),FALSE))*$Q5</f>
        <v>#REF!</v>
      </c>
      <c r="AT5" s="2">
        <f>VLOOKUP($E5,坦克属性统计!$B$3:$AY$33,MATCH(AT$3,坦克属性统计!$B$3:$AY$3,0),FALSE)</f>
        <v>9</v>
      </c>
      <c r="AU5" s="2">
        <f t="shared" si="3"/>
        <v>0.3</v>
      </c>
      <c r="AV5" s="2">
        <f t="shared" si="3"/>
        <v>0</v>
      </c>
      <c r="AW5" s="2">
        <f t="shared" si="3"/>
        <v>3.2</v>
      </c>
      <c r="AX5" s="34" t="e">
        <f>IF(LEN(H5)=5,(60-(AT5-1)*AU5)/AV5+AT5,IF(RIGHT(H5,2)="弹夹",((60-(AT5-1)*AU5)/(AW5+(AT5-1)*AU5)+1)*AT5,60/AV5+AT5))</f>
        <v>#DIV/0!</v>
      </c>
      <c r="AY5" s="2" t="e">
        <f ca="1">VLOOKUP($F5&amp;$L5,所有坦克升星属性,MATCH(AY$3,所有坦克升星属性标头,0),FALSE)+ROUND(BD5/VLOOKUP($F5,坦克部件!#REF!,4,FALSE)*VLOOKUP($F5&amp;0,所有坦克升星属性,MATCH(AY$3,所有坦克升星属性标头,0),FALSE),0)</f>
        <v>#REF!</v>
      </c>
      <c r="AZ5" s="2" t="e">
        <f ca="1">VLOOKUP($F5&amp;$L5,所有坦克升星属性,MATCH(AZ$3,所有坦克升星属性标头,0),FALSE)+ROUND(BE5/VLOOKUP($F5,坦克部件!#REF!,4,FALSE)*VLOOKUP($F5&amp;0,所有坦克升星属性,MATCH(AZ$3,所有坦克升星属性标头,0),FALSE),0)</f>
        <v>#REF!</v>
      </c>
      <c r="BA5" s="2">
        <f t="shared" ca="1" si="4"/>
        <v>286</v>
      </c>
      <c r="BB5" s="2">
        <f t="shared" ca="1" si="4"/>
        <v>229</v>
      </c>
      <c r="BC5" s="2" t="e">
        <f ca="1">VLOOKUP($F5&amp;$L5,所有坦克升星属性,MATCH(BC$3,所有坦克升星属性标头,0),FALSE)+ROUND(BF5/VLOOKUP($F5,坦克部件!#REF!,4,FALSE)*VLOOKUP($F5&amp;0,所有坦克升星属性,MATCH(BC$3,所有坦克升星属性标头,0),FALSE),0)</f>
        <v>#REF!</v>
      </c>
      <c r="BD5" s="2" t="e">
        <f>(VLOOKUP($U5,坦克部件!#REF!,MATCH("标准值",坦克部件!#REF!,0),FALSE)+VLOOKUP($O5,坦克部件!#REF!,MATCH("标准值",坦克部件!#REF!,0),FALSE))*$R5</f>
        <v>#REF!</v>
      </c>
      <c r="BE5" s="2" t="e">
        <f>(VLOOKUP($U5,坦克部件!#REF!,MATCH("标准值",坦克部件!#REF!,0),FALSE)+VLOOKUP($O5,坦克部件!#REF!,MATCH("标准值",坦克部件!#REF!,0),FALSE))*$R5</f>
        <v>#REF!</v>
      </c>
      <c r="BF5" s="2" t="e">
        <f>(VLOOKUP($U5,坦克部件!#REF!,MATCH("标准值",坦克部件!#REF!,0),FALSE)+VLOOKUP($O5,坦克部件!#REF!,MATCH("标准值",坦克部件!#REF!,0),FALSE))*$R5</f>
        <v>#REF!</v>
      </c>
      <c r="BG5" s="2">
        <f>VLOOKUP($F5,坦克属性统计!$B$3:$AY$33,MATCH(BG$3,坦克属性统计!$B$3:$AY$3,0),FALSE)</f>
        <v>1</v>
      </c>
      <c r="BH5" s="2">
        <f t="shared" si="5"/>
        <v>2.8</v>
      </c>
      <c r="BI5" s="2">
        <f t="shared" si="5"/>
        <v>5.4</v>
      </c>
      <c r="BJ5" s="2">
        <f t="shared" si="5"/>
        <v>0</v>
      </c>
      <c r="BK5" s="34">
        <f>IF(LEN(I5)=5,(60-(BG5-1)*BH5)/BI5+BG5,IF(RIGHT(I5,2)="弹夹",((60-(BG5-1)*BH5)/(BJ5+(BG5-1)*BH5)+1)*BG5,60/BI5+BG5))</f>
        <v>12.111111111111111</v>
      </c>
      <c r="BM5" s="1" t="e">
        <f t="shared" ref="BM5:BM37" ca="1" si="6">ROUND((BK5*AZ5+AX5*AM5+AK5*Z5)/60/3*2*2.5/20,0)*20</f>
        <v>#REF!</v>
      </c>
    </row>
    <row r="6" spans="2:65" x14ac:dyDescent="0.3">
      <c r="B6" s="2">
        <v>3</v>
      </c>
      <c r="C6" s="2" t="e">
        <f t="shared" ref="C6:C25" ca="1" si="7">MAX(V6:X6)*0.65+MIN(V6:X6)*0.1225+(SUM(V6:X6)-MAX(V6:X6)-MIN(V6:X6))*0.2275</f>
        <v>#REF!</v>
      </c>
      <c r="D6" s="2" t="s">
        <v>518</v>
      </c>
      <c r="E6" s="2" t="s">
        <v>520</v>
      </c>
      <c r="F6" s="2" t="s">
        <v>651</v>
      </c>
      <c r="G6" s="2" t="str">
        <f>VLOOKUP(D6,坦克个性化设定!$B$18:$F$48,5,FALSE)</f>
        <v>轻坦弹夹</v>
      </c>
      <c r="H6" s="2" t="str">
        <f>VLOOKUP(E6,坦克个性化设定!$B$18:$F$48,5,FALSE)</f>
        <v>中坦自动</v>
      </c>
      <c r="I6" s="2" t="str">
        <f>VLOOKUP(F6,坦克个性化设定!$B$18:$F$48,5,FALSE)</f>
        <v>重坦自动</v>
      </c>
      <c r="J6" s="2">
        <v>1</v>
      </c>
      <c r="K6" s="2">
        <v>0</v>
      </c>
      <c r="L6" s="2">
        <v>0</v>
      </c>
      <c r="M6" s="2" t="s">
        <v>1724</v>
      </c>
      <c r="N6" s="2" t="s">
        <v>1724</v>
      </c>
      <c r="O6" s="2" t="s">
        <v>1724</v>
      </c>
      <c r="P6" s="2">
        <v>3</v>
      </c>
      <c r="Q6" s="2">
        <v>3</v>
      </c>
      <c r="R6" s="2">
        <v>3</v>
      </c>
      <c r="S6" s="2">
        <v>3</v>
      </c>
      <c r="T6" s="2">
        <v>3</v>
      </c>
      <c r="U6" s="2">
        <v>3</v>
      </c>
      <c r="V6" s="42" t="e">
        <f t="shared" ref="V6:V25" ca="1" si="8">ROUND(SQRT(Y6*Z6*AK6/2+AVERAGE(AA6,AB6)*AC6*100),0)</f>
        <v>#REF!</v>
      </c>
      <c r="W6" s="42" t="e">
        <f t="shared" ref="W6:W25" ca="1" si="9">ROUND(SQRT(AL6*AM6*AX6/2+AVERAGE(AN6,AO6)*AP6*100),0)</f>
        <v>#REF!</v>
      </c>
      <c r="X6" s="42" t="e">
        <f t="shared" ref="X6:X25" ca="1" si="10">ROUND(SQRT(AY6*AZ6*BK6/2+AVERAGE(BA6,BB6)*BC6*100),0)</f>
        <v>#REF!</v>
      </c>
      <c r="Y6" s="2" t="e">
        <f ca="1">VLOOKUP($D6&amp;$J6,所有坦克升星属性,MATCH(Y$3,所有坦克升星属性标头,0),FALSE)+ROUND(AD6/VLOOKUP($D6,坦克部件!#REF!,4,FALSE)*VLOOKUP($D6&amp;0,所有坦克升星属性,MATCH(Y$3,所有坦克升星属性标头,0),FALSE),0)</f>
        <v>#REF!</v>
      </c>
      <c r="Z6" s="2" t="e">
        <f ca="1">VLOOKUP($D6&amp;$J6,所有坦克升星属性,MATCH(Z$3,所有坦克升星属性标头,0),FALSE)+ROUND(AE6/VLOOKUP($D6,坦克部件!#REF!,4,FALSE)*VLOOKUP($D6&amp;0,所有坦克升星属性,MATCH(Z$3,所有坦克升星属性标头,0),FALSE),0)</f>
        <v>#REF!</v>
      </c>
      <c r="AA6" s="2">
        <f t="shared" ca="1" si="0"/>
        <v>346</v>
      </c>
      <c r="AB6" s="2">
        <f t="shared" ca="1" si="0"/>
        <v>242</v>
      </c>
      <c r="AC6" s="2" t="e">
        <f ca="1">VLOOKUP($D6&amp;$J6,所有坦克升星属性,MATCH(AC$3,所有坦克升星属性标头,0),FALSE)+ROUND(AF6/VLOOKUP($D6,坦克部件!#REF!,4,FALSE)*VLOOKUP($D6&amp;0,所有坦克升星属性,MATCH(AC$3,所有坦克升星属性标头,0),FALSE),0)</f>
        <v>#REF!</v>
      </c>
      <c r="AD6" s="2" t="e">
        <f>(VLOOKUP($S6,坦克部件!#REF!,MATCH("标准值",坦克部件!#REF!,0),FALSE)+VLOOKUP($M6,坦克部件!#REF!,MATCH("标准值",坦克部件!#REF!,0),FALSE))*$P6</f>
        <v>#REF!</v>
      </c>
      <c r="AE6" s="2" t="e">
        <f>(VLOOKUP($S6,坦克部件!#REF!,MATCH("标准值",坦克部件!#REF!,0),FALSE)+VLOOKUP($M6,坦克部件!#REF!,MATCH("标准值",坦克部件!#REF!,0),FALSE))*$P6</f>
        <v>#REF!</v>
      </c>
      <c r="AF6" s="2" t="e">
        <f>(VLOOKUP($S6,坦克部件!#REF!,MATCH("标准值",坦克部件!#REF!,0),FALSE)+VLOOKUP($M6,坦克部件!#REF!,MATCH("标准值",坦克部件!#REF!,0),FALSE))*$P6</f>
        <v>#REF!</v>
      </c>
      <c r="AG6" s="2">
        <f>VLOOKUP($D6,坦克属性统计!$B$3:$AY$33,MATCH(AG$3,坦克属性统计!$B$3:$AY$3,0),FALSE)</f>
        <v>12</v>
      </c>
      <c r="AH6" s="2">
        <f t="shared" si="1"/>
        <v>0.53</v>
      </c>
      <c r="AI6" s="2">
        <f t="shared" si="1"/>
        <v>0</v>
      </c>
      <c r="AJ6" s="2">
        <f t="shared" si="1"/>
        <v>5.6</v>
      </c>
      <c r="AK6" s="34">
        <f t="shared" ref="AK6:AK25" si="11">IF(LEN(G6)=5,(60-(AG6-1)*AH6)/AI6+AG6,IF(RIGHT(G6,2)="弹夹",((60-(AG6-1)*AH6)/(AJ6+(AG6-1)*AH6)+1)*AG6,60/AI6+AG6))</f>
        <v>68.871391076115486</v>
      </c>
      <c r="AL6" s="2" t="e">
        <f ca="1">VLOOKUP($E6&amp;$K6,所有坦克升星属性,MATCH(AL$3,所有坦克升星属性标头,0),FALSE)+ROUND(AQ6/VLOOKUP($E6,坦克部件!#REF!,4,FALSE)*VLOOKUP($E6&amp;0,所有坦克升星属性,MATCH(AL$3,所有坦克升星属性标头,0),FALSE),0)</f>
        <v>#REF!</v>
      </c>
      <c r="AM6" s="2" t="e">
        <f ca="1">VLOOKUP($E6&amp;$K6,所有坦克升星属性,MATCH(AM$3,所有坦克升星属性标头,0),FALSE)+ROUND(AR6/VLOOKUP($E6,坦克部件!#REF!,4,FALSE)*VLOOKUP($E6&amp;0,所有坦克升星属性,MATCH(AM$3,所有坦克升星属性标头,0),FALSE),0)</f>
        <v>#REF!</v>
      </c>
      <c r="AN6" s="2">
        <f t="shared" ca="1" si="2"/>
        <v>329</v>
      </c>
      <c r="AO6" s="2">
        <f t="shared" ca="1" si="2"/>
        <v>246</v>
      </c>
      <c r="AP6" s="2" t="e">
        <f ca="1">VLOOKUP($E6&amp;$K6,所有坦克升星属性,MATCH(AP$3,所有坦克升星属性标头,0),FALSE)+ROUND(AS6/VLOOKUP($E6,坦克部件!#REF!,4,FALSE)*VLOOKUP($E6&amp;0,所有坦克升星属性,MATCH(AP$3,所有坦克升星属性标头,0),FALSE),0)</f>
        <v>#REF!</v>
      </c>
      <c r="AQ6" s="2" t="e">
        <f>(VLOOKUP($T6,坦克部件!#REF!,MATCH("标准值",坦克部件!#REF!,0),FALSE)+VLOOKUP($N6,坦克部件!#REF!,MATCH("标准值",坦克部件!#REF!,0),FALSE))*$Q6</f>
        <v>#REF!</v>
      </c>
      <c r="AR6" s="2" t="e">
        <f>(VLOOKUP($T6,坦克部件!#REF!,MATCH("标准值",坦克部件!#REF!,0),FALSE)+VLOOKUP($N6,坦克部件!#REF!,MATCH("标准值",坦克部件!#REF!,0),FALSE))*$Q6</f>
        <v>#REF!</v>
      </c>
      <c r="AS6" s="2" t="e">
        <f>(VLOOKUP($T6,坦克部件!#REF!,MATCH("标准值",坦克部件!#REF!,0),FALSE)+VLOOKUP($N6,坦克部件!#REF!,MATCH("标准值",坦克部件!#REF!,0),FALSE))*$Q6</f>
        <v>#REF!</v>
      </c>
      <c r="AT6" s="2">
        <f>VLOOKUP($E6,坦克属性统计!$B$3:$AY$33,MATCH(AT$3,坦克属性统计!$B$3:$AY$3,0),FALSE)</f>
        <v>9</v>
      </c>
      <c r="AU6" s="2">
        <f t="shared" si="3"/>
        <v>0.3</v>
      </c>
      <c r="AV6" s="2">
        <f t="shared" si="3"/>
        <v>0</v>
      </c>
      <c r="AW6" s="2">
        <f t="shared" si="3"/>
        <v>3.2</v>
      </c>
      <c r="AX6" s="34" t="e">
        <f t="shared" ref="AX6:AX25" si="12">IF(LEN(H6)=5,(60-(AT6-1)*AU6)/AV6+AT6,IF(RIGHT(H6,2)="弹夹",((60-(AT6-1)*AU6)/(AW6+(AT6-1)*AU6)+1)*AT6,60/AV6+AT6))</f>
        <v>#DIV/0!</v>
      </c>
      <c r="AY6" s="2" t="e">
        <f ca="1">VLOOKUP($F6&amp;$L6,所有坦克升星属性,MATCH(AY$3,所有坦克升星属性标头,0),FALSE)+ROUND(BD6/VLOOKUP($F6,坦克部件!#REF!,4,FALSE)*VLOOKUP($F6&amp;0,所有坦克升星属性,MATCH(AY$3,所有坦克升星属性标头,0),FALSE),0)</f>
        <v>#REF!</v>
      </c>
      <c r="AZ6" s="2" t="e">
        <f ca="1">VLOOKUP($F6&amp;$L6,所有坦克升星属性,MATCH(AZ$3,所有坦克升星属性标头,0),FALSE)+ROUND(BE6/VLOOKUP($F6,坦克部件!#REF!,4,FALSE)*VLOOKUP($F6&amp;0,所有坦克升星属性,MATCH(AZ$3,所有坦克升星属性标头,0),FALSE),0)</f>
        <v>#REF!</v>
      </c>
      <c r="BA6" s="2">
        <f t="shared" ca="1" si="4"/>
        <v>286</v>
      </c>
      <c r="BB6" s="2">
        <f t="shared" ca="1" si="4"/>
        <v>229</v>
      </c>
      <c r="BC6" s="2" t="e">
        <f ca="1">VLOOKUP($F6&amp;$L6,所有坦克升星属性,MATCH(BC$3,所有坦克升星属性标头,0),FALSE)+ROUND(BF6/VLOOKUP($F6,坦克部件!#REF!,4,FALSE)*VLOOKUP($F6&amp;0,所有坦克升星属性,MATCH(BC$3,所有坦克升星属性标头,0),FALSE),0)</f>
        <v>#REF!</v>
      </c>
      <c r="BD6" s="2" t="e">
        <f>(VLOOKUP($U6,坦克部件!#REF!,MATCH("标准值",坦克部件!#REF!,0),FALSE)+VLOOKUP($O6,坦克部件!#REF!,MATCH("标准值",坦克部件!#REF!,0),FALSE))*$R6</f>
        <v>#REF!</v>
      </c>
      <c r="BE6" s="2" t="e">
        <f>(VLOOKUP($U6,坦克部件!#REF!,MATCH("标准值",坦克部件!#REF!,0),FALSE)+VLOOKUP($O6,坦克部件!#REF!,MATCH("标准值",坦克部件!#REF!,0),FALSE))*$R6</f>
        <v>#REF!</v>
      </c>
      <c r="BF6" s="2" t="e">
        <f>(VLOOKUP($U6,坦克部件!#REF!,MATCH("标准值",坦克部件!#REF!,0),FALSE)+VLOOKUP($O6,坦克部件!#REF!,MATCH("标准值",坦克部件!#REF!,0),FALSE))*$R6</f>
        <v>#REF!</v>
      </c>
      <c r="BG6" s="2">
        <f>VLOOKUP($F6,坦克属性统计!$B$3:$AY$33,MATCH(BG$3,坦克属性统计!$B$3:$AY$3,0),FALSE)</f>
        <v>1</v>
      </c>
      <c r="BH6" s="2">
        <f t="shared" si="5"/>
        <v>2.8</v>
      </c>
      <c r="BI6" s="2">
        <f t="shared" si="5"/>
        <v>5.4</v>
      </c>
      <c r="BJ6" s="2">
        <f t="shared" si="5"/>
        <v>0</v>
      </c>
      <c r="BK6" s="34">
        <f t="shared" ref="BK6:BK25" si="13">IF(LEN(I6)=5,(60-(BG6-1)*BH6)/BI6+BG6,IF(RIGHT(I6,2)="弹夹",((60-(BG6-1)*BH6)/(BJ6+(BG6-1)*BH6)+1)*BG6,60/BI6+BG6))</f>
        <v>12.111111111111111</v>
      </c>
      <c r="BM6" s="1" t="e">
        <f t="shared" ca="1" si="6"/>
        <v>#REF!</v>
      </c>
    </row>
    <row r="7" spans="2:65" x14ac:dyDescent="0.3">
      <c r="B7" s="2">
        <v>4</v>
      </c>
      <c r="C7" s="2" t="e">
        <f t="shared" ca="1" si="7"/>
        <v>#REF!</v>
      </c>
      <c r="D7" s="2" t="s">
        <v>518</v>
      </c>
      <c r="E7" s="2" t="s">
        <v>520</v>
      </c>
      <c r="F7" s="2" t="s">
        <v>651</v>
      </c>
      <c r="G7" s="2" t="str">
        <f>VLOOKUP(D7,坦克个性化设定!$B$18:$F$48,5,FALSE)</f>
        <v>轻坦弹夹</v>
      </c>
      <c r="H7" s="2" t="str">
        <f>VLOOKUP(E7,坦克个性化设定!$B$18:$F$48,5,FALSE)</f>
        <v>中坦自动</v>
      </c>
      <c r="I7" s="2" t="str">
        <f>VLOOKUP(F7,坦克个性化设定!$B$18:$F$48,5,FALSE)</f>
        <v>重坦自动</v>
      </c>
      <c r="J7" s="2">
        <v>1</v>
      </c>
      <c r="K7" s="2">
        <v>1</v>
      </c>
      <c r="L7" s="2">
        <v>0</v>
      </c>
      <c r="M7" s="2" t="s">
        <v>1724</v>
      </c>
      <c r="N7" s="2" t="s">
        <v>1724</v>
      </c>
      <c r="O7" s="2" t="s">
        <v>1724</v>
      </c>
      <c r="P7" s="2">
        <v>3</v>
      </c>
      <c r="Q7" s="2">
        <v>3</v>
      </c>
      <c r="R7" s="2">
        <v>3</v>
      </c>
      <c r="S7" s="2">
        <v>6</v>
      </c>
      <c r="T7" s="2">
        <v>5</v>
      </c>
      <c r="U7" s="2">
        <v>4</v>
      </c>
      <c r="V7" s="42" t="e">
        <f t="shared" ca="1" si="8"/>
        <v>#REF!</v>
      </c>
      <c r="W7" s="42" t="e">
        <f t="shared" ca="1" si="9"/>
        <v>#REF!</v>
      </c>
      <c r="X7" s="42" t="e">
        <f t="shared" ca="1" si="10"/>
        <v>#REF!</v>
      </c>
      <c r="Y7" s="2" t="e">
        <f ca="1">VLOOKUP($D7&amp;$J7,所有坦克升星属性,MATCH(Y$3,所有坦克升星属性标头,0),FALSE)+ROUND(AD7/VLOOKUP($D7,坦克部件!#REF!,4,FALSE)*VLOOKUP($D7&amp;0,所有坦克升星属性,MATCH(Y$3,所有坦克升星属性标头,0),FALSE),0)</f>
        <v>#REF!</v>
      </c>
      <c r="Z7" s="2" t="e">
        <f ca="1">VLOOKUP($D7&amp;$J7,所有坦克升星属性,MATCH(Z$3,所有坦克升星属性标头,0),FALSE)+ROUND(AE7/VLOOKUP($D7,坦克部件!#REF!,4,FALSE)*VLOOKUP($D7&amp;0,所有坦克升星属性,MATCH(Z$3,所有坦克升星属性标头,0),FALSE),0)</f>
        <v>#REF!</v>
      </c>
      <c r="AA7" s="2">
        <f t="shared" ca="1" si="0"/>
        <v>346</v>
      </c>
      <c r="AB7" s="2">
        <f t="shared" ca="1" si="0"/>
        <v>242</v>
      </c>
      <c r="AC7" s="2" t="e">
        <f ca="1">VLOOKUP($D7&amp;$J7,所有坦克升星属性,MATCH(AC$3,所有坦克升星属性标头,0),FALSE)+ROUND(AF7/VLOOKUP($D7,坦克部件!#REF!,4,FALSE)*VLOOKUP($D7&amp;0,所有坦克升星属性,MATCH(AC$3,所有坦克升星属性标头,0),FALSE),0)</f>
        <v>#REF!</v>
      </c>
      <c r="AD7" s="2" t="e">
        <f>(VLOOKUP($S7,坦克部件!#REF!,MATCH("标准值",坦克部件!#REF!,0),FALSE)+VLOOKUP($M7,坦克部件!#REF!,MATCH("标准值",坦克部件!#REF!,0),FALSE))*$P7</f>
        <v>#REF!</v>
      </c>
      <c r="AE7" s="2" t="e">
        <f>(VLOOKUP($S7,坦克部件!#REF!,MATCH("标准值",坦克部件!#REF!,0),FALSE)+VLOOKUP($M7,坦克部件!#REF!,MATCH("标准值",坦克部件!#REF!,0),FALSE))*$P7</f>
        <v>#REF!</v>
      </c>
      <c r="AF7" s="2" t="e">
        <f>(VLOOKUP($S7,坦克部件!#REF!,MATCH("标准值",坦克部件!#REF!,0),FALSE)+VLOOKUP($M7,坦克部件!#REF!,MATCH("标准值",坦克部件!#REF!,0),FALSE))*$P7</f>
        <v>#REF!</v>
      </c>
      <c r="AG7" s="2">
        <f>VLOOKUP($D7,坦克属性统计!$B$3:$AY$33,MATCH(AG$3,坦克属性统计!$B$3:$AY$3,0),FALSE)</f>
        <v>12</v>
      </c>
      <c r="AH7" s="2">
        <f t="shared" si="1"/>
        <v>0.53</v>
      </c>
      <c r="AI7" s="2">
        <f t="shared" si="1"/>
        <v>0</v>
      </c>
      <c r="AJ7" s="2">
        <f t="shared" si="1"/>
        <v>5.6</v>
      </c>
      <c r="AK7" s="34">
        <f t="shared" si="11"/>
        <v>68.871391076115486</v>
      </c>
      <c r="AL7" s="2" t="e">
        <f ca="1">VLOOKUP($E7&amp;$K7,所有坦克升星属性,MATCH(AL$3,所有坦克升星属性标头,0),FALSE)+ROUND(AQ7/VLOOKUP($E7,坦克部件!#REF!,4,FALSE)*VLOOKUP($E7&amp;0,所有坦克升星属性,MATCH(AL$3,所有坦克升星属性标头,0),FALSE),0)</f>
        <v>#REF!</v>
      </c>
      <c r="AM7" s="2" t="e">
        <f ca="1">VLOOKUP($E7&amp;$K7,所有坦克升星属性,MATCH(AM$3,所有坦克升星属性标头,0),FALSE)+ROUND(AR7/VLOOKUP($E7,坦克部件!#REF!,4,FALSE)*VLOOKUP($E7&amp;0,所有坦克升星属性,MATCH(AM$3,所有坦克升星属性标头,0),FALSE),0)</f>
        <v>#REF!</v>
      </c>
      <c r="AN7" s="2">
        <f t="shared" ca="1" si="2"/>
        <v>346</v>
      </c>
      <c r="AO7" s="2">
        <f t="shared" ca="1" si="2"/>
        <v>259</v>
      </c>
      <c r="AP7" s="2" t="e">
        <f ca="1">VLOOKUP($E7&amp;$K7,所有坦克升星属性,MATCH(AP$3,所有坦克升星属性标头,0),FALSE)+ROUND(AS7/VLOOKUP($E7,坦克部件!#REF!,4,FALSE)*VLOOKUP($E7&amp;0,所有坦克升星属性,MATCH(AP$3,所有坦克升星属性标头,0),FALSE),0)</f>
        <v>#REF!</v>
      </c>
      <c r="AQ7" s="2" t="e">
        <f>(VLOOKUP($T7,坦克部件!#REF!,MATCH("标准值",坦克部件!#REF!,0),FALSE)+VLOOKUP($N7,坦克部件!#REF!,MATCH("标准值",坦克部件!#REF!,0),FALSE))*$Q7</f>
        <v>#REF!</v>
      </c>
      <c r="AR7" s="2" t="e">
        <f>(VLOOKUP($T7,坦克部件!#REF!,MATCH("标准值",坦克部件!#REF!,0),FALSE)+VLOOKUP($N7,坦克部件!#REF!,MATCH("标准值",坦克部件!#REF!,0),FALSE))*$Q7</f>
        <v>#REF!</v>
      </c>
      <c r="AS7" s="2" t="e">
        <f>(VLOOKUP($T7,坦克部件!#REF!,MATCH("标准值",坦克部件!#REF!,0),FALSE)+VLOOKUP($N7,坦克部件!#REF!,MATCH("标准值",坦克部件!#REF!,0),FALSE))*$Q7</f>
        <v>#REF!</v>
      </c>
      <c r="AT7" s="2">
        <f>VLOOKUP($E7,坦克属性统计!$B$3:$AY$33,MATCH(AT$3,坦克属性统计!$B$3:$AY$3,0),FALSE)</f>
        <v>9</v>
      </c>
      <c r="AU7" s="2">
        <f t="shared" si="3"/>
        <v>0.3</v>
      </c>
      <c r="AV7" s="2">
        <f t="shared" si="3"/>
        <v>0</v>
      </c>
      <c r="AW7" s="2">
        <f t="shared" si="3"/>
        <v>3.1</v>
      </c>
      <c r="AX7" s="34" t="e">
        <f t="shared" si="12"/>
        <v>#DIV/0!</v>
      </c>
      <c r="AY7" s="2" t="e">
        <f ca="1">VLOOKUP($F7&amp;$L7,所有坦克升星属性,MATCH(AY$3,所有坦克升星属性标头,0),FALSE)+ROUND(BD7/VLOOKUP($F7,坦克部件!#REF!,4,FALSE)*VLOOKUP($F7&amp;0,所有坦克升星属性,MATCH(AY$3,所有坦克升星属性标头,0),FALSE),0)</f>
        <v>#REF!</v>
      </c>
      <c r="AZ7" s="2" t="e">
        <f ca="1">VLOOKUP($F7&amp;$L7,所有坦克升星属性,MATCH(AZ$3,所有坦克升星属性标头,0),FALSE)+ROUND(BE7/VLOOKUP($F7,坦克部件!#REF!,4,FALSE)*VLOOKUP($F7&amp;0,所有坦克升星属性,MATCH(AZ$3,所有坦克升星属性标头,0),FALSE),0)</f>
        <v>#REF!</v>
      </c>
      <c r="BA7" s="2">
        <f t="shared" ca="1" si="4"/>
        <v>286</v>
      </c>
      <c r="BB7" s="2">
        <f t="shared" ca="1" si="4"/>
        <v>229</v>
      </c>
      <c r="BC7" s="2" t="e">
        <f ca="1">VLOOKUP($F7&amp;$L7,所有坦克升星属性,MATCH(BC$3,所有坦克升星属性标头,0),FALSE)+ROUND(BF7/VLOOKUP($F7,坦克部件!#REF!,4,FALSE)*VLOOKUP($F7&amp;0,所有坦克升星属性,MATCH(BC$3,所有坦克升星属性标头,0),FALSE),0)</f>
        <v>#REF!</v>
      </c>
      <c r="BD7" s="2" t="e">
        <f>(VLOOKUP($U7,坦克部件!#REF!,MATCH("标准值",坦克部件!#REF!,0),FALSE)+VLOOKUP($O7,坦克部件!#REF!,MATCH("标准值",坦克部件!#REF!,0),FALSE))*$R7</f>
        <v>#REF!</v>
      </c>
      <c r="BE7" s="2" t="e">
        <f>(VLOOKUP($U7,坦克部件!#REF!,MATCH("标准值",坦克部件!#REF!,0),FALSE)+VLOOKUP($O7,坦克部件!#REF!,MATCH("标准值",坦克部件!#REF!,0),FALSE))*$R7</f>
        <v>#REF!</v>
      </c>
      <c r="BF7" s="2" t="e">
        <f>(VLOOKUP($U7,坦克部件!#REF!,MATCH("标准值",坦克部件!#REF!,0),FALSE)+VLOOKUP($O7,坦克部件!#REF!,MATCH("标准值",坦克部件!#REF!,0),FALSE))*$R7</f>
        <v>#REF!</v>
      </c>
      <c r="BG7" s="2">
        <f>VLOOKUP($F7,坦克属性统计!$B$3:$AY$33,MATCH(BG$3,坦克属性统计!$B$3:$AY$3,0),FALSE)</f>
        <v>1</v>
      </c>
      <c r="BH7" s="2">
        <f t="shared" si="5"/>
        <v>2.8</v>
      </c>
      <c r="BI7" s="2">
        <f t="shared" si="5"/>
        <v>5.4</v>
      </c>
      <c r="BJ7" s="2">
        <f t="shared" si="5"/>
        <v>0</v>
      </c>
      <c r="BK7" s="34">
        <f t="shared" si="13"/>
        <v>12.111111111111111</v>
      </c>
      <c r="BM7" s="1" t="e">
        <f t="shared" ca="1" si="6"/>
        <v>#REF!</v>
      </c>
    </row>
    <row r="8" spans="2:65" x14ac:dyDescent="0.3">
      <c r="B8" s="2">
        <v>5</v>
      </c>
      <c r="C8" s="2" t="e">
        <f t="shared" ca="1" si="7"/>
        <v>#REF!</v>
      </c>
      <c r="D8" s="2" t="s">
        <v>524</v>
      </c>
      <c r="E8" s="2" t="s">
        <v>520</v>
      </c>
      <c r="F8" s="2" t="s">
        <v>651</v>
      </c>
      <c r="G8" s="2" t="str">
        <f>VLOOKUP(D8,坦克个性化设定!$B$18:$F$48,5,FALSE)</f>
        <v>轻坦弹夹</v>
      </c>
      <c r="H8" s="2" t="str">
        <f>VLOOKUP(E8,坦克个性化设定!$B$18:$F$48,5,FALSE)</f>
        <v>中坦自动</v>
      </c>
      <c r="I8" s="2" t="str">
        <f>VLOOKUP(F8,坦克个性化设定!$B$18:$F$48,5,FALSE)</f>
        <v>重坦自动</v>
      </c>
      <c r="J8" s="2">
        <v>0</v>
      </c>
      <c r="K8" s="2">
        <v>1</v>
      </c>
      <c r="L8" s="2">
        <v>1</v>
      </c>
      <c r="M8" s="2" t="s">
        <v>1724</v>
      </c>
      <c r="N8" s="2" t="s">
        <v>1724</v>
      </c>
      <c r="O8" s="2" t="s">
        <v>1724</v>
      </c>
      <c r="P8" s="2">
        <v>6</v>
      </c>
      <c r="Q8" s="2">
        <v>3</v>
      </c>
      <c r="R8" s="2">
        <v>3</v>
      </c>
      <c r="S8" s="2">
        <v>8</v>
      </c>
      <c r="T8" s="2">
        <v>7</v>
      </c>
      <c r="U8" s="2">
        <v>6</v>
      </c>
      <c r="V8" s="42" t="e">
        <f t="shared" ca="1" si="8"/>
        <v>#REF!</v>
      </c>
      <c r="W8" s="42" t="e">
        <f t="shared" ca="1" si="9"/>
        <v>#REF!</v>
      </c>
      <c r="X8" s="42" t="e">
        <f t="shared" ca="1" si="10"/>
        <v>#REF!</v>
      </c>
      <c r="Y8" s="2" t="e">
        <f ca="1">VLOOKUP($D8&amp;$J8,所有坦克升星属性,MATCH(Y$3,所有坦克升星属性标头,0),FALSE)+ROUND(AD8/VLOOKUP($D8,坦克部件!#REF!,4,FALSE)*VLOOKUP($D8&amp;0,所有坦克升星属性,MATCH(Y$3,所有坦克升星属性标头,0),FALSE),0)</f>
        <v>#REF!</v>
      </c>
      <c r="Z8" s="2" t="e">
        <f ca="1">VLOOKUP($D8&amp;$J8,所有坦克升星属性,MATCH(Z$3,所有坦克升星属性标头,0),FALSE)+ROUND(AE8/VLOOKUP($D8,坦克部件!#REF!,4,FALSE)*VLOOKUP($D8&amp;0,所有坦克升星属性,MATCH(Z$3,所有坦克升星属性标头,0),FALSE),0)</f>
        <v>#REF!</v>
      </c>
      <c r="AA8" s="2">
        <f t="shared" ca="1" si="0"/>
        <v>394</v>
      </c>
      <c r="AB8" s="2">
        <f t="shared" ca="1" si="0"/>
        <v>276</v>
      </c>
      <c r="AC8" s="2" t="e">
        <f ca="1">VLOOKUP($D8&amp;$J8,所有坦克升星属性,MATCH(AC$3,所有坦克升星属性标头,0),FALSE)+ROUND(AF8/VLOOKUP($D8,坦克部件!#REF!,4,FALSE)*VLOOKUP($D8&amp;0,所有坦克升星属性,MATCH(AC$3,所有坦克升星属性标头,0),FALSE),0)</f>
        <v>#REF!</v>
      </c>
      <c r="AD8" s="2" t="e">
        <f>(VLOOKUP($S8,坦克部件!#REF!,MATCH("标准值",坦克部件!#REF!,0),FALSE)+VLOOKUP($M8,坦克部件!#REF!,MATCH("标准值",坦克部件!#REF!,0),FALSE))*$P8</f>
        <v>#REF!</v>
      </c>
      <c r="AE8" s="2" t="e">
        <f>(VLOOKUP($S8,坦克部件!#REF!,MATCH("标准值",坦克部件!#REF!,0),FALSE)+VLOOKUP($M8,坦克部件!#REF!,MATCH("标准值",坦克部件!#REF!,0),FALSE))*$P8</f>
        <v>#REF!</v>
      </c>
      <c r="AF8" s="2" t="e">
        <f>(VLOOKUP($S8,坦克部件!#REF!,MATCH("标准值",坦克部件!#REF!,0),FALSE)+VLOOKUP($M8,坦克部件!#REF!,MATCH("标准值",坦克部件!#REF!,0),FALSE))*$P8</f>
        <v>#REF!</v>
      </c>
      <c r="AG8" s="2">
        <f>VLOOKUP($D8,坦克属性统计!$B$3:$AY$33,MATCH(AG$3,坦克属性统计!$B$3:$AY$3,0),FALSE)</f>
        <v>14.999999999999998</v>
      </c>
      <c r="AH8" s="2">
        <f t="shared" si="1"/>
        <v>0.6</v>
      </c>
      <c r="AI8" s="2">
        <f t="shared" si="1"/>
        <v>0</v>
      </c>
      <c r="AJ8" s="2">
        <f t="shared" si="1"/>
        <v>8.4</v>
      </c>
      <c r="AK8" s="34">
        <f t="shared" si="11"/>
        <v>61.071428571428577</v>
      </c>
      <c r="AL8" s="2" t="e">
        <f ca="1">VLOOKUP($E8&amp;$K8,所有坦克升星属性,MATCH(AL$3,所有坦克升星属性标头,0),FALSE)+ROUND(AQ8/VLOOKUP($E8,坦克部件!#REF!,4,FALSE)*VLOOKUP($E8&amp;0,所有坦克升星属性,MATCH(AL$3,所有坦克升星属性标头,0),FALSE),0)</f>
        <v>#REF!</v>
      </c>
      <c r="AM8" s="2" t="e">
        <f ca="1">VLOOKUP($E8&amp;$K8,所有坦克升星属性,MATCH(AM$3,所有坦克升星属性标头,0),FALSE)+ROUND(AR8/VLOOKUP($E8,坦克部件!#REF!,4,FALSE)*VLOOKUP($E8&amp;0,所有坦克升星属性,MATCH(AM$3,所有坦克升星属性标头,0),FALSE),0)</f>
        <v>#REF!</v>
      </c>
      <c r="AN8" s="2">
        <f t="shared" ca="1" si="2"/>
        <v>346</v>
      </c>
      <c r="AO8" s="2">
        <f t="shared" ca="1" si="2"/>
        <v>259</v>
      </c>
      <c r="AP8" s="2" t="e">
        <f ca="1">VLOOKUP($E8&amp;$K8,所有坦克升星属性,MATCH(AP$3,所有坦克升星属性标头,0),FALSE)+ROUND(AS8/VLOOKUP($E8,坦克部件!#REF!,4,FALSE)*VLOOKUP($E8&amp;0,所有坦克升星属性,MATCH(AP$3,所有坦克升星属性标头,0),FALSE),0)</f>
        <v>#REF!</v>
      </c>
      <c r="AQ8" s="2" t="e">
        <f>(VLOOKUP($T8,坦克部件!#REF!,MATCH("标准值",坦克部件!#REF!,0),FALSE)+VLOOKUP($N8,坦克部件!#REF!,MATCH("标准值",坦克部件!#REF!,0),FALSE))*$Q8</f>
        <v>#REF!</v>
      </c>
      <c r="AR8" s="2" t="e">
        <f>(VLOOKUP($T8,坦克部件!#REF!,MATCH("标准值",坦克部件!#REF!,0),FALSE)+VLOOKUP($N8,坦克部件!#REF!,MATCH("标准值",坦克部件!#REF!,0),FALSE))*$Q8</f>
        <v>#REF!</v>
      </c>
      <c r="AS8" s="2" t="e">
        <f>(VLOOKUP($T8,坦克部件!#REF!,MATCH("标准值",坦克部件!#REF!,0),FALSE)+VLOOKUP($N8,坦克部件!#REF!,MATCH("标准值",坦克部件!#REF!,0),FALSE))*$Q8</f>
        <v>#REF!</v>
      </c>
      <c r="AT8" s="2">
        <f>VLOOKUP($E8,坦克属性统计!$B$3:$AY$33,MATCH(AT$3,坦克属性统计!$B$3:$AY$3,0),FALSE)</f>
        <v>9</v>
      </c>
      <c r="AU8" s="2">
        <f t="shared" si="3"/>
        <v>0.3</v>
      </c>
      <c r="AV8" s="2">
        <f t="shared" si="3"/>
        <v>0</v>
      </c>
      <c r="AW8" s="2">
        <f t="shared" si="3"/>
        <v>3.1</v>
      </c>
      <c r="AX8" s="34" t="e">
        <f t="shared" si="12"/>
        <v>#DIV/0!</v>
      </c>
      <c r="AY8" s="2" t="e">
        <f ca="1">VLOOKUP($F8&amp;$L8,所有坦克升星属性,MATCH(AY$3,所有坦克升星属性标头,0),FALSE)+ROUND(BD8/VLOOKUP($F8,坦克部件!#REF!,4,FALSE)*VLOOKUP($F8&amp;0,所有坦克升星属性,MATCH(AY$3,所有坦克升星属性标头,0),FALSE),0)</f>
        <v>#REF!</v>
      </c>
      <c r="AZ8" s="2" t="e">
        <f ca="1">VLOOKUP($F8&amp;$L8,所有坦克升星属性,MATCH(AZ$3,所有坦克升星属性标头,0),FALSE)+ROUND(BE8/VLOOKUP($F8,坦克部件!#REF!,4,FALSE)*VLOOKUP($F8&amp;0,所有坦克升星属性,MATCH(AZ$3,所有坦克升星属性标头,0),FALSE),0)</f>
        <v>#REF!</v>
      </c>
      <c r="BA8" s="2">
        <f t="shared" ca="1" si="4"/>
        <v>301</v>
      </c>
      <c r="BB8" s="2">
        <f t="shared" ca="1" si="4"/>
        <v>241</v>
      </c>
      <c r="BC8" s="2" t="e">
        <f ca="1">VLOOKUP($F8&amp;$L8,所有坦克升星属性,MATCH(BC$3,所有坦克升星属性标头,0),FALSE)+ROUND(BF8/VLOOKUP($F8,坦克部件!#REF!,4,FALSE)*VLOOKUP($F8&amp;0,所有坦克升星属性,MATCH(BC$3,所有坦克升星属性标头,0),FALSE),0)</f>
        <v>#REF!</v>
      </c>
      <c r="BD8" s="2" t="e">
        <f>(VLOOKUP($U8,坦克部件!#REF!,MATCH("标准值",坦克部件!#REF!,0),FALSE)+VLOOKUP($O8,坦克部件!#REF!,MATCH("标准值",坦克部件!#REF!,0),FALSE))*$R8</f>
        <v>#REF!</v>
      </c>
      <c r="BE8" s="2" t="e">
        <f>(VLOOKUP($U8,坦克部件!#REF!,MATCH("标准值",坦克部件!#REF!,0),FALSE)+VLOOKUP($O8,坦克部件!#REF!,MATCH("标准值",坦克部件!#REF!,0),FALSE))*$R8</f>
        <v>#REF!</v>
      </c>
      <c r="BF8" s="2" t="e">
        <f>(VLOOKUP($U8,坦克部件!#REF!,MATCH("标准值",坦克部件!#REF!,0),FALSE)+VLOOKUP($O8,坦克部件!#REF!,MATCH("标准值",坦克部件!#REF!,0),FALSE))*$R8</f>
        <v>#REF!</v>
      </c>
      <c r="BG8" s="2">
        <f>VLOOKUP($F8,坦克属性统计!$B$3:$AY$33,MATCH(BG$3,坦克属性统计!$B$3:$AY$3,0),FALSE)</f>
        <v>1</v>
      </c>
      <c r="BH8" s="2">
        <f t="shared" si="5"/>
        <v>2.8</v>
      </c>
      <c r="BI8" s="2">
        <f t="shared" si="5"/>
        <v>5.25</v>
      </c>
      <c r="BJ8" s="2">
        <f t="shared" si="5"/>
        <v>0</v>
      </c>
      <c r="BK8" s="34">
        <f t="shared" si="13"/>
        <v>12.428571428571429</v>
      </c>
      <c r="BM8" s="1" t="e">
        <f t="shared" ca="1" si="6"/>
        <v>#REF!</v>
      </c>
    </row>
    <row r="9" spans="2:65" x14ac:dyDescent="0.3">
      <c r="B9" s="2">
        <v>6</v>
      </c>
      <c r="C9" s="2" t="e">
        <f t="shared" ca="1" si="7"/>
        <v>#REF!</v>
      </c>
      <c r="D9" s="2" t="s">
        <v>524</v>
      </c>
      <c r="E9" s="2" t="s">
        <v>520</v>
      </c>
      <c r="F9" s="2" t="s">
        <v>651</v>
      </c>
      <c r="G9" s="2" t="str">
        <f>VLOOKUP(D9,坦克个性化设定!$B$18:$F$48,5,FALSE)</f>
        <v>轻坦弹夹</v>
      </c>
      <c r="H9" s="2" t="str">
        <f>VLOOKUP(E9,坦克个性化设定!$B$18:$F$48,5,FALSE)</f>
        <v>中坦自动</v>
      </c>
      <c r="I9" s="2" t="str">
        <f>VLOOKUP(F9,坦克个性化设定!$B$18:$F$48,5,FALSE)</f>
        <v>重坦自动</v>
      </c>
      <c r="J9" s="2">
        <v>0</v>
      </c>
      <c r="K9" s="2">
        <v>1</v>
      </c>
      <c r="L9" s="2">
        <v>1</v>
      </c>
      <c r="M9" s="2" t="s">
        <v>1724</v>
      </c>
      <c r="N9" s="2" t="s">
        <v>1724</v>
      </c>
      <c r="O9" s="2" t="s">
        <v>1724</v>
      </c>
      <c r="P9" s="2">
        <v>6</v>
      </c>
      <c r="Q9" s="2">
        <v>6</v>
      </c>
      <c r="R9" s="2">
        <v>3</v>
      </c>
      <c r="S9" s="2">
        <v>8</v>
      </c>
      <c r="T9" s="2">
        <v>7</v>
      </c>
      <c r="U9" s="2">
        <v>6</v>
      </c>
      <c r="V9" s="42" t="e">
        <f t="shared" ca="1" si="8"/>
        <v>#REF!</v>
      </c>
      <c r="W9" s="42" t="e">
        <f t="shared" ca="1" si="9"/>
        <v>#REF!</v>
      </c>
      <c r="X9" s="42" t="e">
        <f t="shared" ca="1" si="10"/>
        <v>#REF!</v>
      </c>
      <c r="Y9" s="2" t="e">
        <f ca="1">VLOOKUP($D9&amp;$J9,所有坦克升星属性,MATCH(Y$3,所有坦克升星属性标头,0),FALSE)+ROUND(AD9/VLOOKUP($D9,坦克部件!#REF!,4,FALSE)*VLOOKUP($D9&amp;0,所有坦克升星属性,MATCH(Y$3,所有坦克升星属性标头,0),FALSE),0)</f>
        <v>#REF!</v>
      </c>
      <c r="Z9" s="2" t="e">
        <f ca="1">VLOOKUP($D9&amp;$J9,所有坦克升星属性,MATCH(Z$3,所有坦克升星属性标头,0),FALSE)+ROUND(AE9/VLOOKUP($D9,坦克部件!#REF!,4,FALSE)*VLOOKUP($D9&amp;0,所有坦克升星属性,MATCH(Z$3,所有坦克升星属性标头,0),FALSE),0)</f>
        <v>#REF!</v>
      </c>
      <c r="AA9" s="2">
        <f t="shared" ca="1" si="0"/>
        <v>394</v>
      </c>
      <c r="AB9" s="2">
        <f t="shared" ca="1" si="0"/>
        <v>276</v>
      </c>
      <c r="AC9" s="2" t="e">
        <f ca="1">VLOOKUP($D9&amp;$J9,所有坦克升星属性,MATCH(AC$3,所有坦克升星属性标头,0),FALSE)+ROUND(AF9/VLOOKUP($D9,坦克部件!#REF!,4,FALSE)*VLOOKUP($D9&amp;0,所有坦克升星属性,MATCH(AC$3,所有坦克升星属性标头,0),FALSE),0)</f>
        <v>#REF!</v>
      </c>
      <c r="AD9" s="2" t="e">
        <f>(VLOOKUP($S9,坦克部件!#REF!,MATCH("标准值",坦克部件!#REF!,0),FALSE)+VLOOKUP($M9,坦克部件!#REF!,MATCH("标准值",坦克部件!#REF!,0),FALSE))*$P9</f>
        <v>#REF!</v>
      </c>
      <c r="AE9" s="2" t="e">
        <f>(VLOOKUP($S9,坦克部件!#REF!,MATCH("标准值",坦克部件!#REF!,0),FALSE)+VLOOKUP($M9,坦克部件!#REF!,MATCH("标准值",坦克部件!#REF!,0),FALSE))*$P9</f>
        <v>#REF!</v>
      </c>
      <c r="AF9" s="2" t="e">
        <f>(VLOOKUP($S9,坦克部件!#REF!,MATCH("标准值",坦克部件!#REF!,0),FALSE)+VLOOKUP($M9,坦克部件!#REF!,MATCH("标准值",坦克部件!#REF!,0),FALSE))*$P9</f>
        <v>#REF!</v>
      </c>
      <c r="AG9" s="2">
        <f>VLOOKUP($D9,坦克属性统计!$B$3:$AY$33,MATCH(AG$3,坦克属性统计!$B$3:$AY$3,0),FALSE)</f>
        <v>14.999999999999998</v>
      </c>
      <c r="AH9" s="2">
        <f t="shared" si="1"/>
        <v>0.6</v>
      </c>
      <c r="AI9" s="2">
        <f t="shared" si="1"/>
        <v>0</v>
      </c>
      <c r="AJ9" s="2">
        <f t="shared" si="1"/>
        <v>8.4</v>
      </c>
      <c r="AK9" s="34">
        <f t="shared" si="11"/>
        <v>61.071428571428577</v>
      </c>
      <c r="AL9" s="2" t="e">
        <f ca="1">VLOOKUP($E9&amp;$K9,所有坦克升星属性,MATCH(AL$3,所有坦克升星属性标头,0),FALSE)+ROUND(AQ9/VLOOKUP($E9,坦克部件!#REF!,4,FALSE)*VLOOKUP($E9&amp;0,所有坦克升星属性,MATCH(AL$3,所有坦克升星属性标头,0),FALSE),0)</f>
        <v>#REF!</v>
      </c>
      <c r="AM9" s="2" t="e">
        <f ca="1">VLOOKUP($E9&amp;$K9,所有坦克升星属性,MATCH(AM$3,所有坦克升星属性标头,0),FALSE)+ROUND(AR9/VLOOKUP($E9,坦克部件!#REF!,4,FALSE)*VLOOKUP($E9&amp;0,所有坦克升星属性,MATCH(AM$3,所有坦克升星属性标头,0),FALSE),0)</f>
        <v>#REF!</v>
      </c>
      <c r="AN9" s="2">
        <f t="shared" ca="1" si="2"/>
        <v>346</v>
      </c>
      <c r="AO9" s="2">
        <f t="shared" ca="1" si="2"/>
        <v>259</v>
      </c>
      <c r="AP9" s="2" t="e">
        <f ca="1">VLOOKUP($E9&amp;$K9,所有坦克升星属性,MATCH(AP$3,所有坦克升星属性标头,0),FALSE)+ROUND(AS9/VLOOKUP($E9,坦克部件!#REF!,4,FALSE)*VLOOKUP($E9&amp;0,所有坦克升星属性,MATCH(AP$3,所有坦克升星属性标头,0),FALSE),0)</f>
        <v>#REF!</v>
      </c>
      <c r="AQ9" s="2" t="e">
        <f>(VLOOKUP($T9,坦克部件!#REF!,MATCH("标准值",坦克部件!#REF!,0),FALSE)+VLOOKUP($N9,坦克部件!#REF!,MATCH("标准值",坦克部件!#REF!,0),FALSE))*$Q9</f>
        <v>#REF!</v>
      </c>
      <c r="AR9" s="2" t="e">
        <f>(VLOOKUP($T9,坦克部件!#REF!,MATCH("标准值",坦克部件!#REF!,0),FALSE)+VLOOKUP($N9,坦克部件!#REF!,MATCH("标准值",坦克部件!#REF!,0),FALSE))*$Q9</f>
        <v>#REF!</v>
      </c>
      <c r="AS9" s="2" t="e">
        <f>(VLOOKUP($T9,坦克部件!#REF!,MATCH("标准值",坦克部件!#REF!,0),FALSE)+VLOOKUP($N9,坦克部件!#REF!,MATCH("标准值",坦克部件!#REF!,0),FALSE))*$Q9</f>
        <v>#REF!</v>
      </c>
      <c r="AT9" s="2">
        <f>VLOOKUP($E9,坦克属性统计!$B$3:$AY$33,MATCH(AT$3,坦克属性统计!$B$3:$AY$3,0),FALSE)</f>
        <v>9</v>
      </c>
      <c r="AU9" s="2">
        <f t="shared" si="3"/>
        <v>0.3</v>
      </c>
      <c r="AV9" s="2">
        <f t="shared" si="3"/>
        <v>0</v>
      </c>
      <c r="AW9" s="2">
        <f t="shared" si="3"/>
        <v>3.1</v>
      </c>
      <c r="AX9" s="34" t="e">
        <f t="shared" si="12"/>
        <v>#DIV/0!</v>
      </c>
      <c r="AY9" s="2" t="e">
        <f ca="1">VLOOKUP($F9&amp;$L9,所有坦克升星属性,MATCH(AY$3,所有坦克升星属性标头,0),FALSE)+ROUND(BD9/VLOOKUP($F9,坦克部件!#REF!,4,FALSE)*VLOOKUP($F9&amp;0,所有坦克升星属性,MATCH(AY$3,所有坦克升星属性标头,0),FALSE),0)</f>
        <v>#REF!</v>
      </c>
      <c r="AZ9" s="2" t="e">
        <f ca="1">VLOOKUP($F9&amp;$L9,所有坦克升星属性,MATCH(AZ$3,所有坦克升星属性标头,0),FALSE)+ROUND(BE9/VLOOKUP($F9,坦克部件!#REF!,4,FALSE)*VLOOKUP($F9&amp;0,所有坦克升星属性,MATCH(AZ$3,所有坦克升星属性标头,0),FALSE),0)</f>
        <v>#REF!</v>
      </c>
      <c r="BA9" s="2">
        <f t="shared" ca="1" si="4"/>
        <v>301</v>
      </c>
      <c r="BB9" s="2">
        <f t="shared" ca="1" si="4"/>
        <v>241</v>
      </c>
      <c r="BC9" s="2" t="e">
        <f ca="1">VLOOKUP($F9&amp;$L9,所有坦克升星属性,MATCH(BC$3,所有坦克升星属性标头,0),FALSE)+ROUND(BF9/VLOOKUP($F9,坦克部件!#REF!,4,FALSE)*VLOOKUP($F9&amp;0,所有坦克升星属性,MATCH(BC$3,所有坦克升星属性标头,0),FALSE),0)</f>
        <v>#REF!</v>
      </c>
      <c r="BD9" s="2" t="e">
        <f>(VLOOKUP($U9,坦克部件!#REF!,MATCH("标准值",坦克部件!#REF!,0),FALSE)+VLOOKUP($O9,坦克部件!#REF!,MATCH("标准值",坦克部件!#REF!,0),FALSE))*$R9</f>
        <v>#REF!</v>
      </c>
      <c r="BE9" s="2" t="e">
        <f>(VLOOKUP($U9,坦克部件!#REF!,MATCH("标准值",坦克部件!#REF!,0),FALSE)+VLOOKUP($O9,坦克部件!#REF!,MATCH("标准值",坦克部件!#REF!,0),FALSE))*$R9</f>
        <v>#REF!</v>
      </c>
      <c r="BF9" s="2" t="e">
        <f>(VLOOKUP($U9,坦克部件!#REF!,MATCH("标准值",坦克部件!#REF!,0),FALSE)+VLOOKUP($O9,坦克部件!#REF!,MATCH("标准值",坦克部件!#REF!,0),FALSE))*$R9</f>
        <v>#REF!</v>
      </c>
      <c r="BG9" s="2">
        <f>VLOOKUP($F9,坦克属性统计!$B$3:$AY$33,MATCH(BG$3,坦克属性统计!$B$3:$AY$3,0),FALSE)</f>
        <v>1</v>
      </c>
      <c r="BH9" s="2">
        <f t="shared" si="5"/>
        <v>2.8</v>
      </c>
      <c r="BI9" s="2">
        <f t="shared" si="5"/>
        <v>5.25</v>
      </c>
      <c r="BJ9" s="2">
        <f t="shared" si="5"/>
        <v>0</v>
      </c>
      <c r="BK9" s="34">
        <f t="shared" si="13"/>
        <v>12.428571428571429</v>
      </c>
      <c r="BM9" s="1" t="e">
        <f t="shared" ca="1" si="6"/>
        <v>#REF!</v>
      </c>
    </row>
    <row r="10" spans="2:65" x14ac:dyDescent="0.3">
      <c r="B10" s="2">
        <v>7</v>
      </c>
      <c r="C10" s="2" t="e">
        <f t="shared" ca="1" si="7"/>
        <v>#REF!</v>
      </c>
      <c r="D10" s="2" t="s">
        <v>524</v>
      </c>
      <c r="E10" s="2" t="s">
        <v>520</v>
      </c>
      <c r="F10" s="2" t="s">
        <v>651</v>
      </c>
      <c r="G10" s="2" t="str">
        <f>VLOOKUP(D10,坦克个性化设定!$B$18:$F$48,5,FALSE)</f>
        <v>轻坦弹夹</v>
      </c>
      <c r="H10" s="2" t="str">
        <f>VLOOKUP(E10,坦克个性化设定!$B$18:$F$48,5,FALSE)</f>
        <v>中坦自动</v>
      </c>
      <c r="I10" s="2" t="str">
        <f>VLOOKUP(F10,坦克个性化设定!$B$18:$F$48,5,FALSE)</f>
        <v>重坦自动</v>
      </c>
      <c r="J10" s="2">
        <v>0</v>
      </c>
      <c r="K10" s="2">
        <v>1</v>
      </c>
      <c r="L10" s="2">
        <v>1</v>
      </c>
      <c r="M10" s="2" t="s">
        <v>1724</v>
      </c>
      <c r="N10" s="2" t="s">
        <v>1724</v>
      </c>
      <c r="O10" s="2" t="s">
        <v>1724</v>
      </c>
      <c r="P10" s="2">
        <v>6</v>
      </c>
      <c r="Q10" s="2">
        <v>6</v>
      </c>
      <c r="R10" s="2">
        <v>6</v>
      </c>
      <c r="S10" s="2">
        <v>9</v>
      </c>
      <c r="T10" s="2">
        <v>8</v>
      </c>
      <c r="U10" s="2">
        <v>7</v>
      </c>
      <c r="V10" s="42" t="e">
        <f t="shared" ca="1" si="8"/>
        <v>#REF!</v>
      </c>
      <c r="W10" s="42" t="e">
        <f t="shared" ca="1" si="9"/>
        <v>#REF!</v>
      </c>
      <c r="X10" s="42" t="e">
        <f t="shared" ca="1" si="10"/>
        <v>#REF!</v>
      </c>
      <c r="Y10" s="2" t="e">
        <f ca="1">VLOOKUP($D10&amp;$J10,所有坦克升星属性,MATCH(Y$3,所有坦克升星属性标头,0),FALSE)+ROUND(AD10/VLOOKUP($D10,坦克部件!#REF!,4,FALSE)*VLOOKUP($D10&amp;0,所有坦克升星属性,MATCH(Y$3,所有坦克升星属性标头,0),FALSE),0)</f>
        <v>#REF!</v>
      </c>
      <c r="Z10" s="2" t="e">
        <f ca="1">VLOOKUP($D10&amp;$J10,所有坦克升星属性,MATCH(Z$3,所有坦克升星属性标头,0),FALSE)+ROUND(AE10/VLOOKUP($D10,坦克部件!#REF!,4,FALSE)*VLOOKUP($D10&amp;0,所有坦克升星属性,MATCH(Z$3,所有坦克升星属性标头,0),FALSE),0)</f>
        <v>#REF!</v>
      </c>
      <c r="AA10" s="2">
        <f t="shared" ca="1" si="0"/>
        <v>394</v>
      </c>
      <c r="AB10" s="2">
        <f t="shared" ca="1" si="0"/>
        <v>276</v>
      </c>
      <c r="AC10" s="2" t="e">
        <f ca="1">VLOOKUP($D10&amp;$J10,所有坦克升星属性,MATCH(AC$3,所有坦克升星属性标头,0),FALSE)+ROUND(AF10/VLOOKUP($D10,坦克部件!#REF!,4,FALSE)*VLOOKUP($D10&amp;0,所有坦克升星属性,MATCH(AC$3,所有坦克升星属性标头,0),FALSE),0)</f>
        <v>#REF!</v>
      </c>
      <c r="AD10" s="2" t="e">
        <f>(VLOOKUP($S10,坦克部件!#REF!,MATCH("标准值",坦克部件!#REF!,0),FALSE)+VLOOKUP($M10,坦克部件!#REF!,MATCH("标准值",坦克部件!#REF!,0),FALSE))*$P10</f>
        <v>#REF!</v>
      </c>
      <c r="AE10" s="2" t="e">
        <f>(VLOOKUP($S10,坦克部件!#REF!,MATCH("标准值",坦克部件!#REF!,0),FALSE)+VLOOKUP($M10,坦克部件!#REF!,MATCH("标准值",坦克部件!#REF!,0),FALSE))*$P10</f>
        <v>#REF!</v>
      </c>
      <c r="AF10" s="2" t="e">
        <f>(VLOOKUP($S10,坦克部件!#REF!,MATCH("标准值",坦克部件!#REF!,0),FALSE)+VLOOKUP($M10,坦克部件!#REF!,MATCH("标准值",坦克部件!#REF!,0),FALSE))*$P10</f>
        <v>#REF!</v>
      </c>
      <c r="AG10" s="2">
        <f>VLOOKUP($D10,坦克属性统计!$B$3:$AY$33,MATCH(AG$3,坦克属性统计!$B$3:$AY$3,0),FALSE)</f>
        <v>14.999999999999998</v>
      </c>
      <c r="AH10" s="2">
        <f t="shared" si="1"/>
        <v>0.6</v>
      </c>
      <c r="AI10" s="2">
        <f t="shared" si="1"/>
        <v>0</v>
      </c>
      <c r="AJ10" s="2">
        <f t="shared" si="1"/>
        <v>8.4</v>
      </c>
      <c r="AK10" s="34">
        <f t="shared" si="11"/>
        <v>61.071428571428577</v>
      </c>
      <c r="AL10" s="2" t="e">
        <f ca="1">VLOOKUP($E10&amp;$K10,所有坦克升星属性,MATCH(AL$3,所有坦克升星属性标头,0),FALSE)+ROUND(AQ10/VLOOKUP($E10,坦克部件!#REF!,4,FALSE)*VLOOKUP($E10&amp;0,所有坦克升星属性,MATCH(AL$3,所有坦克升星属性标头,0),FALSE),0)</f>
        <v>#REF!</v>
      </c>
      <c r="AM10" s="2" t="e">
        <f ca="1">VLOOKUP($E10&amp;$K10,所有坦克升星属性,MATCH(AM$3,所有坦克升星属性标头,0),FALSE)+ROUND(AR10/VLOOKUP($E10,坦克部件!#REF!,4,FALSE)*VLOOKUP($E10&amp;0,所有坦克升星属性,MATCH(AM$3,所有坦克升星属性标头,0),FALSE),0)</f>
        <v>#REF!</v>
      </c>
      <c r="AN10" s="2">
        <f t="shared" ca="1" si="2"/>
        <v>346</v>
      </c>
      <c r="AO10" s="2">
        <f t="shared" ca="1" si="2"/>
        <v>259</v>
      </c>
      <c r="AP10" s="2" t="e">
        <f ca="1">VLOOKUP($E10&amp;$K10,所有坦克升星属性,MATCH(AP$3,所有坦克升星属性标头,0),FALSE)+ROUND(AS10/VLOOKUP($E10,坦克部件!#REF!,4,FALSE)*VLOOKUP($E10&amp;0,所有坦克升星属性,MATCH(AP$3,所有坦克升星属性标头,0),FALSE),0)</f>
        <v>#REF!</v>
      </c>
      <c r="AQ10" s="2" t="e">
        <f>(VLOOKUP($T10,坦克部件!#REF!,MATCH("标准值",坦克部件!#REF!,0),FALSE)+VLOOKUP($N10,坦克部件!#REF!,MATCH("标准值",坦克部件!#REF!,0),FALSE))*$Q10</f>
        <v>#REF!</v>
      </c>
      <c r="AR10" s="2" t="e">
        <f>(VLOOKUP($T10,坦克部件!#REF!,MATCH("标准值",坦克部件!#REF!,0),FALSE)+VLOOKUP($N10,坦克部件!#REF!,MATCH("标准值",坦克部件!#REF!,0),FALSE))*$Q10</f>
        <v>#REF!</v>
      </c>
      <c r="AS10" s="2" t="e">
        <f>(VLOOKUP($T10,坦克部件!#REF!,MATCH("标准值",坦克部件!#REF!,0),FALSE)+VLOOKUP($N10,坦克部件!#REF!,MATCH("标准值",坦克部件!#REF!,0),FALSE))*$Q10</f>
        <v>#REF!</v>
      </c>
      <c r="AT10" s="2">
        <f>VLOOKUP($E10,坦克属性统计!$B$3:$AY$33,MATCH(AT$3,坦克属性统计!$B$3:$AY$3,0),FALSE)</f>
        <v>9</v>
      </c>
      <c r="AU10" s="2">
        <f t="shared" si="3"/>
        <v>0.3</v>
      </c>
      <c r="AV10" s="2">
        <f t="shared" si="3"/>
        <v>0</v>
      </c>
      <c r="AW10" s="2">
        <f t="shared" si="3"/>
        <v>3.1</v>
      </c>
      <c r="AX10" s="34" t="e">
        <f t="shared" si="12"/>
        <v>#DIV/0!</v>
      </c>
      <c r="AY10" s="2" t="e">
        <f ca="1">VLOOKUP($F10&amp;$L10,所有坦克升星属性,MATCH(AY$3,所有坦克升星属性标头,0),FALSE)+ROUND(BD10/VLOOKUP($F10,坦克部件!#REF!,4,FALSE)*VLOOKUP($F10&amp;0,所有坦克升星属性,MATCH(AY$3,所有坦克升星属性标头,0),FALSE),0)</f>
        <v>#REF!</v>
      </c>
      <c r="AZ10" s="2" t="e">
        <f ca="1">VLOOKUP($F10&amp;$L10,所有坦克升星属性,MATCH(AZ$3,所有坦克升星属性标头,0),FALSE)+ROUND(BE10/VLOOKUP($F10,坦克部件!#REF!,4,FALSE)*VLOOKUP($F10&amp;0,所有坦克升星属性,MATCH(AZ$3,所有坦克升星属性标头,0),FALSE),0)</f>
        <v>#REF!</v>
      </c>
      <c r="BA10" s="2">
        <f t="shared" ca="1" si="4"/>
        <v>301</v>
      </c>
      <c r="BB10" s="2">
        <f t="shared" ca="1" si="4"/>
        <v>241</v>
      </c>
      <c r="BC10" s="2" t="e">
        <f ca="1">VLOOKUP($F10&amp;$L10,所有坦克升星属性,MATCH(BC$3,所有坦克升星属性标头,0),FALSE)+ROUND(BF10/VLOOKUP($F10,坦克部件!#REF!,4,FALSE)*VLOOKUP($F10&amp;0,所有坦克升星属性,MATCH(BC$3,所有坦克升星属性标头,0),FALSE),0)</f>
        <v>#REF!</v>
      </c>
      <c r="BD10" s="2" t="e">
        <f>(VLOOKUP($U10,坦克部件!#REF!,MATCH("标准值",坦克部件!#REF!,0),FALSE)+VLOOKUP($O10,坦克部件!#REF!,MATCH("标准值",坦克部件!#REF!,0),FALSE))*$R10</f>
        <v>#REF!</v>
      </c>
      <c r="BE10" s="2" t="e">
        <f>(VLOOKUP($U10,坦克部件!#REF!,MATCH("标准值",坦克部件!#REF!,0),FALSE)+VLOOKUP($O10,坦克部件!#REF!,MATCH("标准值",坦克部件!#REF!,0),FALSE))*$R10</f>
        <v>#REF!</v>
      </c>
      <c r="BF10" s="2" t="e">
        <f>(VLOOKUP($U10,坦克部件!#REF!,MATCH("标准值",坦克部件!#REF!,0),FALSE)+VLOOKUP($O10,坦克部件!#REF!,MATCH("标准值",坦克部件!#REF!,0),FALSE))*$R10</f>
        <v>#REF!</v>
      </c>
      <c r="BG10" s="2">
        <f>VLOOKUP($F10,坦克属性统计!$B$3:$AY$33,MATCH(BG$3,坦克属性统计!$B$3:$AY$3,0),FALSE)</f>
        <v>1</v>
      </c>
      <c r="BH10" s="2">
        <f t="shared" si="5"/>
        <v>2.8</v>
      </c>
      <c r="BI10" s="2">
        <f t="shared" si="5"/>
        <v>5.25</v>
      </c>
      <c r="BJ10" s="2">
        <f t="shared" si="5"/>
        <v>0</v>
      </c>
      <c r="BK10" s="34">
        <f t="shared" si="13"/>
        <v>12.428571428571429</v>
      </c>
      <c r="BM10" s="1" t="e">
        <f t="shared" ca="1" si="6"/>
        <v>#REF!</v>
      </c>
    </row>
    <row r="11" spans="2:65" x14ac:dyDescent="0.3">
      <c r="B11" s="2">
        <v>8</v>
      </c>
      <c r="C11" s="2" t="e">
        <f t="shared" ca="1" si="7"/>
        <v>#REF!</v>
      </c>
      <c r="D11" s="2" t="s">
        <v>524</v>
      </c>
      <c r="E11" s="2" t="s">
        <v>526</v>
      </c>
      <c r="F11" s="2" t="s">
        <v>651</v>
      </c>
      <c r="G11" s="2" t="str">
        <f>VLOOKUP(D11,坦克个性化设定!$B$18:$F$48,5,FALSE)</f>
        <v>轻坦弹夹</v>
      </c>
      <c r="H11" s="2" t="str">
        <f>VLOOKUP(E11,坦克个性化设定!$B$18:$F$48,5,FALSE)</f>
        <v>中坦自动</v>
      </c>
      <c r="I11" s="2" t="str">
        <f>VLOOKUP(F11,坦克个性化设定!$B$18:$F$48,5,FALSE)</f>
        <v>重坦自动</v>
      </c>
      <c r="J11" s="2">
        <v>2</v>
      </c>
      <c r="K11" s="2">
        <v>1</v>
      </c>
      <c r="L11" s="2">
        <v>1</v>
      </c>
      <c r="M11" s="2" t="s">
        <v>1725</v>
      </c>
      <c r="N11" s="2" t="s">
        <v>1725</v>
      </c>
      <c r="O11" s="2" t="s">
        <v>1724</v>
      </c>
      <c r="P11" s="2">
        <v>6</v>
      </c>
      <c r="Q11" s="2">
        <v>6</v>
      </c>
      <c r="R11" s="2">
        <v>6</v>
      </c>
      <c r="S11" s="2">
        <v>10</v>
      </c>
      <c r="T11" s="2">
        <v>10</v>
      </c>
      <c r="U11" s="2">
        <v>10</v>
      </c>
      <c r="V11" s="42" t="e">
        <f t="shared" ca="1" si="8"/>
        <v>#REF!</v>
      </c>
      <c r="W11" s="42" t="e">
        <f t="shared" ca="1" si="9"/>
        <v>#REF!</v>
      </c>
      <c r="X11" s="42" t="e">
        <f t="shared" ca="1" si="10"/>
        <v>#REF!</v>
      </c>
      <c r="Y11" s="2" t="e">
        <f ca="1">VLOOKUP($D11&amp;$J11,所有坦克升星属性,MATCH(Y$3,所有坦克升星属性标头,0),FALSE)+ROUND(AD11/VLOOKUP($D11,坦克部件!#REF!,4,FALSE)*VLOOKUP($D11&amp;0,所有坦克升星属性,MATCH(Y$3,所有坦克升星属性标头,0),FALSE),0)</f>
        <v>#REF!</v>
      </c>
      <c r="Z11" s="2" t="e">
        <f ca="1">VLOOKUP($D11&amp;$J11,所有坦克升星属性,MATCH(Z$3,所有坦克升星属性标头,0),FALSE)+ROUND(AE11/VLOOKUP($D11,坦克部件!#REF!,4,FALSE)*VLOOKUP($D11&amp;0,所有坦克升星属性,MATCH(Z$3,所有坦克升星属性标头,0),FALSE),0)</f>
        <v>#REF!</v>
      </c>
      <c r="AA11" s="2">
        <f t="shared" ca="1" si="0"/>
        <v>435</v>
      </c>
      <c r="AB11" s="2">
        <f t="shared" ca="1" si="0"/>
        <v>304</v>
      </c>
      <c r="AC11" s="2" t="e">
        <f ca="1">VLOOKUP($D11&amp;$J11,所有坦克升星属性,MATCH(AC$3,所有坦克升星属性标头,0),FALSE)+ROUND(AF11/VLOOKUP($D11,坦克部件!#REF!,4,FALSE)*VLOOKUP($D11&amp;0,所有坦克升星属性,MATCH(AC$3,所有坦克升星属性标头,0),FALSE),0)</f>
        <v>#REF!</v>
      </c>
      <c r="AD11" s="2" t="e">
        <f>(VLOOKUP($S11,坦克部件!#REF!,MATCH("标准值",坦克部件!#REF!,0),FALSE)+VLOOKUP($M11,坦克部件!#REF!,MATCH("标准值",坦克部件!#REF!,0),FALSE))*$P11</f>
        <v>#REF!</v>
      </c>
      <c r="AE11" s="2" t="e">
        <f>(VLOOKUP($S11,坦克部件!#REF!,MATCH("标准值",坦克部件!#REF!,0),FALSE)+VLOOKUP($M11,坦克部件!#REF!,MATCH("标准值",坦克部件!#REF!,0),FALSE))*$P11</f>
        <v>#REF!</v>
      </c>
      <c r="AF11" s="2" t="e">
        <f>(VLOOKUP($S11,坦克部件!#REF!,MATCH("标准值",坦克部件!#REF!,0),FALSE)+VLOOKUP($M11,坦克部件!#REF!,MATCH("标准值",坦克部件!#REF!,0),FALSE))*$P11</f>
        <v>#REF!</v>
      </c>
      <c r="AG11" s="2">
        <f>VLOOKUP($D11,坦克属性统计!$B$3:$AY$33,MATCH(AG$3,坦克属性统计!$B$3:$AY$3,0),FALSE)</f>
        <v>14.999999999999998</v>
      </c>
      <c r="AH11" s="2">
        <f t="shared" si="1"/>
        <v>0.6</v>
      </c>
      <c r="AI11" s="2">
        <f t="shared" si="1"/>
        <v>0</v>
      </c>
      <c r="AJ11" s="2">
        <f t="shared" si="1"/>
        <v>7.6</v>
      </c>
      <c r="AK11" s="34">
        <f t="shared" si="11"/>
        <v>63.375</v>
      </c>
      <c r="AL11" s="2" t="e">
        <f ca="1">VLOOKUP($E11&amp;$K11,所有坦克升星属性,MATCH(AL$3,所有坦克升星属性标头,0),FALSE)+ROUND(AQ11/VLOOKUP($E11,坦克部件!#REF!,4,FALSE)*VLOOKUP($E11&amp;0,所有坦克升星属性,MATCH(AL$3,所有坦克升星属性标头,0),FALSE),0)</f>
        <v>#REF!</v>
      </c>
      <c r="AM11" s="2" t="e">
        <f ca="1">VLOOKUP($E11&amp;$K11,所有坦克升星属性,MATCH(AM$3,所有坦克升星属性标头,0),FALSE)+ROUND(AR11/VLOOKUP($E11,坦克部件!#REF!,4,FALSE)*VLOOKUP($E11&amp;0,所有坦克升星属性,MATCH(AM$3,所有坦克升星属性标头,0),FALSE),0)</f>
        <v>#REF!</v>
      </c>
      <c r="AN11" s="2">
        <f t="shared" ca="1" si="2"/>
        <v>414</v>
      </c>
      <c r="AO11" s="2">
        <f t="shared" ca="1" si="2"/>
        <v>311</v>
      </c>
      <c r="AP11" s="2" t="e">
        <f ca="1">VLOOKUP($E11&amp;$K11,所有坦克升星属性,MATCH(AP$3,所有坦克升星属性标头,0),FALSE)+ROUND(AS11/VLOOKUP($E11,坦克部件!#REF!,4,FALSE)*VLOOKUP($E11&amp;0,所有坦克升星属性,MATCH(AP$3,所有坦克升星属性标头,0),FALSE),0)</f>
        <v>#REF!</v>
      </c>
      <c r="AQ11" s="2" t="e">
        <f>(VLOOKUP($T11,坦克部件!#REF!,MATCH("标准值",坦克部件!#REF!,0),FALSE)+VLOOKUP($N11,坦克部件!#REF!,MATCH("标准值",坦克部件!#REF!,0),FALSE))*$Q11</f>
        <v>#REF!</v>
      </c>
      <c r="AR11" s="2" t="e">
        <f>(VLOOKUP($T11,坦克部件!#REF!,MATCH("标准值",坦克部件!#REF!,0),FALSE)+VLOOKUP($N11,坦克部件!#REF!,MATCH("标准值",坦克部件!#REF!,0),FALSE))*$Q11</f>
        <v>#REF!</v>
      </c>
      <c r="AS11" s="2" t="e">
        <f>(VLOOKUP($T11,坦克部件!#REF!,MATCH("标准值",坦克部件!#REF!,0),FALSE)+VLOOKUP($N11,坦克部件!#REF!,MATCH("标准值",坦克部件!#REF!,0),FALSE))*$Q11</f>
        <v>#REF!</v>
      </c>
      <c r="AT11" s="2">
        <f>VLOOKUP($E11,坦克属性统计!$B$3:$AY$33,MATCH(AT$3,坦克属性统计!$B$3:$AY$3,0),FALSE)</f>
        <v>9</v>
      </c>
      <c r="AU11" s="2">
        <f t="shared" si="3"/>
        <v>0.42</v>
      </c>
      <c r="AV11" s="2">
        <f t="shared" si="3"/>
        <v>0</v>
      </c>
      <c r="AW11" s="2">
        <f t="shared" si="3"/>
        <v>3.1</v>
      </c>
      <c r="AX11" s="34" t="e">
        <f t="shared" si="12"/>
        <v>#DIV/0!</v>
      </c>
      <c r="AY11" s="2" t="e">
        <f ca="1">VLOOKUP($F11&amp;$L11,所有坦克升星属性,MATCH(AY$3,所有坦克升星属性标头,0),FALSE)+ROUND(BD11/VLOOKUP($F11,坦克部件!#REF!,4,FALSE)*VLOOKUP($F11&amp;0,所有坦克升星属性,MATCH(AY$3,所有坦克升星属性标头,0),FALSE),0)</f>
        <v>#REF!</v>
      </c>
      <c r="AZ11" s="2" t="e">
        <f ca="1">VLOOKUP($F11&amp;$L11,所有坦克升星属性,MATCH(AZ$3,所有坦克升星属性标头,0),FALSE)+ROUND(BE11/VLOOKUP($F11,坦克部件!#REF!,4,FALSE)*VLOOKUP($F11&amp;0,所有坦克升星属性,MATCH(AZ$3,所有坦克升星属性标头,0),FALSE),0)</f>
        <v>#REF!</v>
      </c>
      <c r="BA11" s="2">
        <f t="shared" ca="1" si="4"/>
        <v>301</v>
      </c>
      <c r="BB11" s="2">
        <f t="shared" ca="1" si="4"/>
        <v>241</v>
      </c>
      <c r="BC11" s="2" t="e">
        <f ca="1">VLOOKUP($F11&amp;$L11,所有坦克升星属性,MATCH(BC$3,所有坦克升星属性标头,0),FALSE)+ROUND(BF11/VLOOKUP($F11,坦克部件!#REF!,4,FALSE)*VLOOKUP($F11&amp;0,所有坦克升星属性,MATCH(BC$3,所有坦克升星属性标头,0),FALSE),0)</f>
        <v>#REF!</v>
      </c>
      <c r="BD11" s="2" t="e">
        <f>(VLOOKUP($U11,坦克部件!#REF!,MATCH("标准值",坦克部件!#REF!,0),FALSE)+VLOOKUP($O11,坦克部件!#REF!,MATCH("标准值",坦克部件!#REF!,0),FALSE))*$R11</f>
        <v>#REF!</v>
      </c>
      <c r="BE11" s="2" t="e">
        <f>(VLOOKUP($U11,坦克部件!#REF!,MATCH("标准值",坦克部件!#REF!,0),FALSE)+VLOOKUP($O11,坦克部件!#REF!,MATCH("标准值",坦克部件!#REF!,0),FALSE))*$R11</f>
        <v>#REF!</v>
      </c>
      <c r="BF11" s="2" t="e">
        <f>(VLOOKUP($U11,坦克部件!#REF!,MATCH("标准值",坦克部件!#REF!,0),FALSE)+VLOOKUP($O11,坦克部件!#REF!,MATCH("标准值",坦克部件!#REF!,0),FALSE))*$R11</f>
        <v>#REF!</v>
      </c>
      <c r="BG11" s="2">
        <f>VLOOKUP($F11,坦克属性统计!$B$3:$AY$33,MATCH(BG$3,坦克属性统计!$B$3:$AY$3,0),FALSE)</f>
        <v>1</v>
      </c>
      <c r="BH11" s="2">
        <f t="shared" si="5"/>
        <v>2.8</v>
      </c>
      <c r="BI11" s="2">
        <f t="shared" si="5"/>
        <v>5.25</v>
      </c>
      <c r="BJ11" s="2">
        <f t="shared" si="5"/>
        <v>0</v>
      </c>
      <c r="BK11" s="34">
        <f t="shared" si="13"/>
        <v>12.428571428571429</v>
      </c>
      <c r="BM11" s="1" t="e">
        <f t="shared" ca="1" si="6"/>
        <v>#REF!</v>
      </c>
    </row>
    <row r="12" spans="2:65" x14ac:dyDescent="0.3">
      <c r="B12" s="2">
        <v>9</v>
      </c>
      <c r="C12" s="2" t="e">
        <f t="shared" ca="1" si="7"/>
        <v>#REF!</v>
      </c>
      <c r="D12" s="2" t="s">
        <v>524</v>
      </c>
      <c r="E12" s="2" t="s">
        <v>526</v>
      </c>
      <c r="F12" s="2" t="s">
        <v>651</v>
      </c>
      <c r="G12" s="2" t="str">
        <f>VLOOKUP(D12,坦克个性化设定!$B$18:$F$48,5,FALSE)</f>
        <v>轻坦弹夹</v>
      </c>
      <c r="H12" s="2" t="str">
        <f>VLOOKUP(E12,坦克个性化设定!$B$18:$F$48,5,FALSE)</f>
        <v>中坦自动</v>
      </c>
      <c r="I12" s="2" t="str">
        <f>VLOOKUP(F12,坦克个性化设定!$B$18:$F$48,5,FALSE)</f>
        <v>重坦自动</v>
      </c>
      <c r="J12" s="2">
        <v>2</v>
      </c>
      <c r="K12" s="2">
        <v>1</v>
      </c>
      <c r="L12" s="2">
        <v>1</v>
      </c>
      <c r="M12" s="2" t="s">
        <v>1726</v>
      </c>
      <c r="N12" s="2" t="s">
        <v>1725</v>
      </c>
      <c r="O12" s="2" t="s">
        <v>1725</v>
      </c>
      <c r="P12" s="2">
        <v>6</v>
      </c>
      <c r="Q12" s="2">
        <v>6</v>
      </c>
      <c r="R12" s="2">
        <v>6</v>
      </c>
      <c r="S12" s="2">
        <v>10</v>
      </c>
      <c r="T12" s="2">
        <v>10</v>
      </c>
      <c r="U12" s="2">
        <v>10</v>
      </c>
      <c r="V12" s="42" t="e">
        <f t="shared" ca="1" si="8"/>
        <v>#REF!</v>
      </c>
      <c r="W12" s="42" t="e">
        <f t="shared" ca="1" si="9"/>
        <v>#REF!</v>
      </c>
      <c r="X12" s="42" t="e">
        <f t="shared" ca="1" si="10"/>
        <v>#REF!</v>
      </c>
      <c r="Y12" s="2" t="e">
        <f ca="1">VLOOKUP($D12&amp;$J12,所有坦克升星属性,MATCH(Y$3,所有坦克升星属性标头,0),FALSE)+ROUND(AD12/VLOOKUP($D12,坦克部件!#REF!,4,FALSE)*VLOOKUP($D12&amp;0,所有坦克升星属性,MATCH(Y$3,所有坦克升星属性标头,0),FALSE),0)</f>
        <v>#REF!</v>
      </c>
      <c r="Z12" s="2" t="e">
        <f ca="1">VLOOKUP($D12&amp;$J12,所有坦克升星属性,MATCH(Z$3,所有坦克升星属性标头,0),FALSE)+ROUND(AE12/VLOOKUP($D12,坦克部件!#REF!,4,FALSE)*VLOOKUP($D12&amp;0,所有坦克升星属性,MATCH(Z$3,所有坦克升星属性标头,0),FALSE),0)</f>
        <v>#REF!</v>
      </c>
      <c r="AA12" s="2">
        <f t="shared" ca="1" si="0"/>
        <v>435</v>
      </c>
      <c r="AB12" s="2">
        <f t="shared" ca="1" si="0"/>
        <v>304</v>
      </c>
      <c r="AC12" s="2" t="e">
        <f ca="1">VLOOKUP($D12&amp;$J12,所有坦克升星属性,MATCH(AC$3,所有坦克升星属性标头,0),FALSE)+ROUND(AF12/VLOOKUP($D12,坦克部件!#REF!,4,FALSE)*VLOOKUP($D12&amp;0,所有坦克升星属性,MATCH(AC$3,所有坦克升星属性标头,0),FALSE),0)</f>
        <v>#REF!</v>
      </c>
      <c r="AD12" s="2" t="e">
        <f>(VLOOKUP($S12,坦克部件!#REF!,MATCH("标准值",坦克部件!#REF!,0),FALSE)+VLOOKUP($M12,坦克部件!#REF!,MATCH("标准值",坦克部件!#REF!,0),FALSE))*$P12</f>
        <v>#REF!</v>
      </c>
      <c r="AE12" s="2" t="e">
        <f>(VLOOKUP($S12,坦克部件!#REF!,MATCH("标准值",坦克部件!#REF!,0),FALSE)+VLOOKUP($M12,坦克部件!#REF!,MATCH("标准值",坦克部件!#REF!,0),FALSE))*$P12</f>
        <v>#REF!</v>
      </c>
      <c r="AF12" s="2" t="e">
        <f>(VLOOKUP($S12,坦克部件!#REF!,MATCH("标准值",坦克部件!#REF!,0),FALSE)+VLOOKUP($M12,坦克部件!#REF!,MATCH("标准值",坦克部件!#REF!,0),FALSE))*$P12</f>
        <v>#REF!</v>
      </c>
      <c r="AG12" s="2">
        <f>VLOOKUP($D12,坦克属性统计!$B$3:$AY$33,MATCH(AG$3,坦克属性统计!$B$3:$AY$3,0),FALSE)</f>
        <v>14.999999999999998</v>
      </c>
      <c r="AH12" s="2">
        <f t="shared" si="1"/>
        <v>0.6</v>
      </c>
      <c r="AI12" s="2">
        <f t="shared" si="1"/>
        <v>0</v>
      </c>
      <c r="AJ12" s="2">
        <f t="shared" si="1"/>
        <v>7.6</v>
      </c>
      <c r="AK12" s="34">
        <f t="shared" si="11"/>
        <v>63.375</v>
      </c>
      <c r="AL12" s="2" t="e">
        <f ca="1">VLOOKUP($E12&amp;$K12,所有坦克升星属性,MATCH(AL$3,所有坦克升星属性标头,0),FALSE)+ROUND(AQ12/VLOOKUP($E12,坦克部件!#REF!,4,FALSE)*VLOOKUP($E12&amp;0,所有坦克升星属性,MATCH(AL$3,所有坦克升星属性标头,0),FALSE),0)</f>
        <v>#REF!</v>
      </c>
      <c r="AM12" s="2" t="e">
        <f ca="1">VLOOKUP($E12&amp;$K12,所有坦克升星属性,MATCH(AM$3,所有坦克升星属性标头,0),FALSE)+ROUND(AR12/VLOOKUP($E12,坦克部件!#REF!,4,FALSE)*VLOOKUP($E12&amp;0,所有坦克升星属性,MATCH(AM$3,所有坦克升星属性标头,0),FALSE),0)</f>
        <v>#REF!</v>
      </c>
      <c r="AN12" s="2">
        <f t="shared" ca="1" si="2"/>
        <v>414</v>
      </c>
      <c r="AO12" s="2">
        <f t="shared" ca="1" si="2"/>
        <v>311</v>
      </c>
      <c r="AP12" s="2" t="e">
        <f ca="1">VLOOKUP($E12&amp;$K12,所有坦克升星属性,MATCH(AP$3,所有坦克升星属性标头,0),FALSE)+ROUND(AS12/VLOOKUP($E12,坦克部件!#REF!,4,FALSE)*VLOOKUP($E12&amp;0,所有坦克升星属性,MATCH(AP$3,所有坦克升星属性标头,0),FALSE),0)</f>
        <v>#REF!</v>
      </c>
      <c r="AQ12" s="2" t="e">
        <f>(VLOOKUP($T12,坦克部件!#REF!,MATCH("标准值",坦克部件!#REF!,0),FALSE)+VLOOKUP($N12,坦克部件!#REF!,MATCH("标准值",坦克部件!#REF!,0),FALSE))*$Q12</f>
        <v>#REF!</v>
      </c>
      <c r="AR12" s="2" t="e">
        <f>(VLOOKUP($T12,坦克部件!#REF!,MATCH("标准值",坦克部件!#REF!,0),FALSE)+VLOOKUP($N12,坦克部件!#REF!,MATCH("标准值",坦克部件!#REF!,0),FALSE))*$Q12</f>
        <v>#REF!</v>
      </c>
      <c r="AS12" s="2" t="e">
        <f>(VLOOKUP($T12,坦克部件!#REF!,MATCH("标准值",坦克部件!#REF!,0),FALSE)+VLOOKUP($N12,坦克部件!#REF!,MATCH("标准值",坦克部件!#REF!,0),FALSE))*$Q12</f>
        <v>#REF!</v>
      </c>
      <c r="AT12" s="2">
        <f>VLOOKUP($E12,坦克属性统计!$B$3:$AY$33,MATCH(AT$3,坦克属性统计!$B$3:$AY$3,0),FALSE)</f>
        <v>9</v>
      </c>
      <c r="AU12" s="2">
        <f t="shared" si="3"/>
        <v>0.42</v>
      </c>
      <c r="AV12" s="2">
        <f t="shared" si="3"/>
        <v>0</v>
      </c>
      <c r="AW12" s="2">
        <f t="shared" si="3"/>
        <v>3.1</v>
      </c>
      <c r="AX12" s="34" t="e">
        <f t="shared" si="12"/>
        <v>#DIV/0!</v>
      </c>
      <c r="AY12" s="2" t="e">
        <f ca="1">VLOOKUP($F12&amp;$L12,所有坦克升星属性,MATCH(AY$3,所有坦克升星属性标头,0),FALSE)+ROUND(BD12/VLOOKUP($F12,坦克部件!#REF!,4,FALSE)*VLOOKUP($F12&amp;0,所有坦克升星属性,MATCH(AY$3,所有坦克升星属性标头,0),FALSE),0)</f>
        <v>#REF!</v>
      </c>
      <c r="AZ12" s="2" t="e">
        <f ca="1">VLOOKUP($F12&amp;$L12,所有坦克升星属性,MATCH(AZ$3,所有坦克升星属性标头,0),FALSE)+ROUND(BE12/VLOOKUP($F12,坦克部件!#REF!,4,FALSE)*VLOOKUP($F12&amp;0,所有坦克升星属性,MATCH(AZ$3,所有坦克升星属性标头,0),FALSE),0)</f>
        <v>#REF!</v>
      </c>
      <c r="BA12" s="2">
        <f t="shared" ca="1" si="4"/>
        <v>301</v>
      </c>
      <c r="BB12" s="2">
        <f t="shared" ca="1" si="4"/>
        <v>241</v>
      </c>
      <c r="BC12" s="2" t="e">
        <f ca="1">VLOOKUP($F12&amp;$L12,所有坦克升星属性,MATCH(BC$3,所有坦克升星属性标头,0),FALSE)+ROUND(BF12/VLOOKUP($F12,坦克部件!#REF!,4,FALSE)*VLOOKUP($F12&amp;0,所有坦克升星属性,MATCH(BC$3,所有坦克升星属性标头,0),FALSE),0)</f>
        <v>#REF!</v>
      </c>
      <c r="BD12" s="2" t="e">
        <f>(VLOOKUP($U12,坦克部件!#REF!,MATCH("标准值",坦克部件!#REF!,0),FALSE)+VLOOKUP($O12,坦克部件!#REF!,MATCH("标准值",坦克部件!#REF!,0),FALSE))*$R12</f>
        <v>#REF!</v>
      </c>
      <c r="BE12" s="2" t="e">
        <f>(VLOOKUP($U12,坦克部件!#REF!,MATCH("标准值",坦克部件!#REF!,0),FALSE)+VLOOKUP($O12,坦克部件!#REF!,MATCH("标准值",坦克部件!#REF!,0),FALSE))*$R12</f>
        <v>#REF!</v>
      </c>
      <c r="BF12" s="2" t="e">
        <f>(VLOOKUP($U12,坦克部件!#REF!,MATCH("标准值",坦克部件!#REF!,0),FALSE)+VLOOKUP($O12,坦克部件!#REF!,MATCH("标准值",坦克部件!#REF!,0),FALSE))*$R12</f>
        <v>#REF!</v>
      </c>
      <c r="BG12" s="2">
        <f>VLOOKUP($F12,坦克属性统计!$B$3:$AY$33,MATCH(BG$3,坦克属性统计!$B$3:$AY$3,0),FALSE)</f>
        <v>1</v>
      </c>
      <c r="BH12" s="2">
        <f t="shared" si="5"/>
        <v>2.8</v>
      </c>
      <c r="BI12" s="2">
        <f t="shared" si="5"/>
        <v>5.25</v>
      </c>
      <c r="BJ12" s="2">
        <f t="shared" si="5"/>
        <v>0</v>
      </c>
      <c r="BK12" s="34">
        <f t="shared" si="13"/>
        <v>12.428571428571429</v>
      </c>
      <c r="BM12" s="1" t="e">
        <f t="shared" ca="1" si="6"/>
        <v>#REF!</v>
      </c>
    </row>
    <row r="13" spans="2:65" x14ac:dyDescent="0.3">
      <c r="B13" s="2">
        <v>10</v>
      </c>
      <c r="C13" s="2" t="e">
        <f t="shared" ca="1" si="7"/>
        <v>#REF!</v>
      </c>
      <c r="D13" s="2" t="s">
        <v>524</v>
      </c>
      <c r="E13" s="2" t="s">
        <v>526</v>
      </c>
      <c r="F13" s="2" t="s">
        <v>651</v>
      </c>
      <c r="G13" s="2" t="str">
        <f>VLOOKUP(D13,坦克个性化设定!$B$18:$F$48,5,FALSE)</f>
        <v>轻坦弹夹</v>
      </c>
      <c r="H13" s="2" t="str">
        <f>VLOOKUP(E13,坦克个性化设定!$B$18:$F$48,5,FALSE)</f>
        <v>中坦自动</v>
      </c>
      <c r="I13" s="2" t="str">
        <f>VLOOKUP(F13,坦克个性化设定!$B$18:$F$48,5,FALSE)</f>
        <v>重坦自动</v>
      </c>
      <c r="J13" s="2">
        <v>2</v>
      </c>
      <c r="K13" s="2">
        <v>1</v>
      </c>
      <c r="L13" s="2">
        <v>1</v>
      </c>
      <c r="M13" s="2" t="s">
        <v>1726</v>
      </c>
      <c r="N13" s="2" t="s">
        <v>1726</v>
      </c>
      <c r="O13" s="2" t="s">
        <v>1726</v>
      </c>
      <c r="P13" s="2">
        <v>6</v>
      </c>
      <c r="Q13" s="2">
        <v>6</v>
      </c>
      <c r="R13" s="2">
        <v>6</v>
      </c>
      <c r="S13" s="2">
        <v>10</v>
      </c>
      <c r="T13" s="2">
        <v>10</v>
      </c>
      <c r="U13" s="2">
        <v>10</v>
      </c>
      <c r="V13" s="42" t="e">
        <f t="shared" ca="1" si="8"/>
        <v>#REF!</v>
      </c>
      <c r="W13" s="42" t="e">
        <f t="shared" ca="1" si="9"/>
        <v>#REF!</v>
      </c>
      <c r="X13" s="42" t="e">
        <f t="shared" ca="1" si="10"/>
        <v>#REF!</v>
      </c>
      <c r="Y13" s="2" t="e">
        <f ca="1">VLOOKUP($D13&amp;$J13,所有坦克升星属性,MATCH(Y$3,所有坦克升星属性标头,0),FALSE)+ROUND(AD13/VLOOKUP($D13,坦克部件!#REF!,4,FALSE)*VLOOKUP($D13&amp;0,所有坦克升星属性,MATCH(Y$3,所有坦克升星属性标头,0),FALSE),0)</f>
        <v>#REF!</v>
      </c>
      <c r="Z13" s="2" t="e">
        <f ca="1">VLOOKUP($D13&amp;$J13,所有坦克升星属性,MATCH(Z$3,所有坦克升星属性标头,0),FALSE)+ROUND(AE13/VLOOKUP($D13,坦克部件!#REF!,4,FALSE)*VLOOKUP($D13&amp;0,所有坦克升星属性,MATCH(Z$3,所有坦克升星属性标头,0),FALSE),0)</f>
        <v>#REF!</v>
      </c>
      <c r="AA13" s="2">
        <f t="shared" ca="1" si="0"/>
        <v>435</v>
      </c>
      <c r="AB13" s="2">
        <f t="shared" ca="1" si="0"/>
        <v>304</v>
      </c>
      <c r="AC13" s="2" t="e">
        <f ca="1">VLOOKUP($D13&amp;$J13,所有坦克升星属性,MATCH(AC$3,所有坦克升星属性标头,0),FALSE)+ROUND(AF13/VLOOKUP($D13,坦克部件!#REF!,4,FALSE)*VLOOKUP($D13&amp;0,所有坦克升星属性,MATCH(AC$3,所有坦克升星属性标头,0),FALSE),0)</f>
        <v>#REF!</v>
      </c>
      <c r="AD13" s="2" t="e">
        <f>(VLOOKUP($S13,坦克部件!#REF!,MATCH("标准值",坦克部件!#REF!,0),FALSE)+VLOOKUP($M13,坦克部件!#REF!,MATCH("标准值",坦克部件!#REF!,0),FALSE))*$P13</f>
        <v>#REF!</v>
      </c>
      <c r="AE13" s="2" t="e">
        <f>(VLOOKUP($S13,坦克部件!#REF!,MATCH("标准值",坦克部件!#REF!,0),FALSE)+VLOOKUP($M13,坦克部件!#REF!,MATCH("标准值",坦克部件!#REF!,0),FALSE))*$P13</f>
        <v>#REF!</v>
      </c>
      <c r="AF13" s="2" t="e">
        <f>(VLOOKUP($S13,坦克部件!#REF!,MATCH("标准值",坦克部件!#REF!,0),FALSE)+VLOOKUP($M13,坦克部件!#REF!,MATCH("标准值",坦克部件!#REF!,0),FALSE))*$P13</f>
        <v>#REF!</v>
      </c>
      <c r="AG13" s="2">
        <f>VLOOKUP($D13,坦克属性统计!$B$3:$AY$33,MATCH(AG$3,坦克属性统计!$B$3:$AY$3,0),FALSE)</f>
        <v>14.999999999999998</v>
      </c>
      <c r="AH13" s="2">
        <f t="shared" si="1"/>
        <v>0.6</v>
      </c>
      <c r="AI13" s="2">
        <f t="shared" si="1"/>
        <v>0</v>
      </c>
      <c r="AJ13" s="2">
        <f t="shared" si="1"/>
        <v>7.6</v>
      </c>
      <c r="AK13" s="34">
        <f t="shared" si="11"/>
        <v>63.375</v>
      </c>
      <c r="AL13" s="2" t="e">
        <f ca="1">VLOOKUP($E13&amp;$K13,所有坦克升星属性,MATCH(AL$3,所有坦克升星属性标头,0),FALSE)+ROUND(AQ13/VLOOKUP($E13,坦克部件!#REF!,4,FALSE)*VLOOKUP($E13&amp;0,所有坦克升星属性,MATCH(AL$3,所有坦克升星属性标头,0),FALSE),0)</f>
        <v>#REF!</v>
      </c>
      <c r="AM13" s="2" t="e">
        <f ca="1">VLOOKUP($E13&amp;$K13,所有坦克升星属性,MATCH(AM$3,所有坦克升星属性标头,0),FALSE)+ROUND(AR13/VLOOKUP($E13,坦克部件!#REF!,4,FALSE)*VLOOKUP($E13&amp;0,所有坦克升星属性,MATCH(AM$3,所有坦克升星属性标头,0),FALSE),0)</f>
        <v>#REF!</v>
      </c>
      <c r="AN13" s="2">
        <f t="shared" ca="1" si="2"/>
        <v>414</v>
      </c>
      <c r="AO13" s="2">
        <f t="shared" ca="1" si="2"/>
        <v>311</v>
      </c>
      <c r="AP13" s="2" t="e">
        <f ca="1">VLOOKUP($E13&amp;$K13,所有坦克升星属性,MATCH(AP$3,所有坦克升星属性标头,0),FALSE)+ROUND(AS13/VLOOKUP($E13,坦克部件!#REF!,4,FALSE)*VLOOKUP($E13&amp;0,所有坦克升星属性,MATCH(AP$3,所有坦克升星属性标头,0),FALSE),0)</f>
        <v>#REF!</v>
      </c>
      <c r="AQ13" s="2" t="e">
        <f>(VLOOKUP($T13,坦克部件!#REF!,MATCH("标准值",坦克部件!#REF!,0),FALSE)+VLOOKUP($N13,坦克部件!#REF!,MATCH("标准值",坦克部件!#REF!,0),FALSE))*$Q13</f>
        <v>#REF!</v>
      </c>
      <c r="AR13" s="2" t="e">
        <f>(VLOOKUP($T13,坦克部件!#REF!,MATCH("标准值",坦克部件!#REF!,0),FALSE)+VLOOKUP($N13,坦克部件!#REF!,MATCH("标准值",坦克部件!#REF!,0),FALSE))*$Q13</f>
        <v>#REF!</v>
      </c>
      <c r="AS13" s="2" t="e">
        <f>(VLOOKUP($T13,坦克部件!#REF!,MATCH("标准值",坦克部件!#REF!,0),FALSE)+VLOOKUP($N13,坦克部件!#REF!,MATCH("标准值",坦克部件!#REF!,0),FALSE))*$Q13</f>
        <v>#REF!</v>
      </c>
      <c r="AT13" s="2">
        <f>VLOOKUP($E13,坦克属性统计!$B$3:$AY$33,MATCH(AT$3,坦克属性统计!$B$3:$AY$3,0),FALSE)</f>
        <v>9</v>
      </c>
      <c r="AU13" s="2">
        <f t="shared" si="3"/>
        <v>0.42</v>
      </c>
      <c r="AV13" s="2">
        <f t="shared" si="3"/>
        <v>0</v>
      </c>
      <c r="AW13" s="2">
        <f t="shared" si="3"/>
        <v>3.1</v>
      </c>
      <c r="AX13" s="34" t="e">
        <f t="shared" si="12"/>
        <v>#DIV/0!</v>
      </c>
      <c r="AY13" s="2" t="e">
        <f ca="1">VLOOKUP($F13&amp;$L13,所有坦克升星属性,MATCH(AY$3,所有坦克升星属性标头,0),FALSE)+ROUND(BD13/VLOOKUP($F13,坦克部件!#REF!,4,FALSE)*VLOOKUP($F13&amp;0,所有坦克升星属性,MATCH(AY$3,所有坦克升星属性标头,0),FALSE),0)</f>
        <v>#REF!</v>
      </c>
      <c r="AZ13" s="2" t="e">
        <f ca="1">VLOOKUP($F13&amp;$L13,所有坦克升星属性,MATCH(AZ$3,所有坦克升星属性标头,0),FALSE)+ROUND(BE13/VLOOKUP($F13,坦克部件!#REF!,4,FALSE)*VLOOKUP($F13&amp;0,所有坦克升星属性,MATCH(AZ$3,所有坦克升星属性标头,0),FALSE),0)</f>
        <v>#REF!</v>
      </c>
      <c r="BA13" s="2">
        <f t="shared" ca="1" si="4"/>
        <v>301</v>
      </c>
      <c r="BB13" s="2">
        <f t="shared" ca="1" si="4"/>
        <v>241</v>
      </c>
      <c r="BC13" s="2" t="e">
        <f ca="1">VLOOKUP($F13&amp;$L13,所有坦克升星属性,MATCH(BC$3,所有坦克升星属性标头,0),FALSE)+ROUND(BF13/VLOOKUP($F13,坦克部件!#REF!,4,FALSE)*VLOOKUP($F13&amp;0,所有坦克升星属性,MATCH(BC$3,所有坦克升星属性标头,0),FALSE),0)</f>
        <v>#REF!</v>
      </c>
      <c r="BD13" s="2" t="e">
        <f>(VLOOKUP($U13,坦克部件!#REF!,MATCH("标准值",坦克部件!#REF!,0),FALSE)+VLOOKUP($O13,坦克部件!#REF!,MATCH("标准值",坦克部件!#REF!,0),FALSE))*$R13</f>
        <v>#REF!</v>
      </c>
      <c r="BE13" s="2" t="e">
        <f>(VLOOKUP($U13,坦克部件!#REF!,MATCH("标准值",坦克部件!#REF!,0),FALSE)+VLOOKUP($O13,坦克部件!#REF!,MATCH("标准值",坦克部件!#REF!,0),FALSE))*$R13</f>
        <v>#REF!</v>
      </c>
      <c r="BF13" s="2" t="e">
        <f>(VLOOKUP($U13,坦克部件!#REF!,MATCH("标准值",坦克部件!#REF!,0),FALSE)+VLOOKUP($O13,坦克部件!#REF!,MATCH("标准值",坦克部件!#REF!,0),FALSE))*$R13</f>
        <v>#REF!</v>
      </c>
      <c r="BG13" s="2">
        <f>VLOOKUP($F13,坦克属性统计!$B$3:$AY$33,MATCH(BG$3,坦克属性统计!$B$3:$AY$3,0),FALSE)</f>
        <v>1</v>
      </c>
      <c r="BH13" s="2">
        <f t="shared" si="5"/>
        <v>2.8</v>
      </c>
      <c r="BI13" s="2">
        <f t="shared" si="5"/>
        <v>5.25</v>
      </c>
      <c r="BJ13" s="2">
        <f t="shared" si="5"/>
        <v>0</v>
      </c>
      <c r="BK13" s="34">
        <f t="shared" si="13"/>
        <v>12.428571428571429</v>
      </c>
      <c r="BM13" s="1" t="e">
        <f t="shared" ca="1" si="6"/>
        <v>#REF!</v>
      </c>
    </row>
    <row r="14" spans="2:65" x14ac:dyDescent="0.3">
      <c r="B14" s="2">
        <v>11</v>
      </c>
      <c r="C14" s="2" t="e">
        <f t="shared" ca="1" si="7"/>
        <v>#REF!</v>
      </c>
      <c r="D14" s="2" t="s">
        <v>616</v>
      </c>
      <c r="E14" s="2" t="s">
        <v>526</v>
      </c>
      <c r="F14" s="2" t="s">
        <v>653</v>
      </c>
      <c r="G14" s="2" t="str">
        <f>VLOOKUP(D14,坦克个性化设定!$B$18:$F$48,5,FALSE)</f>
        <v>轻坦弹夹</v>
      </c>
      <c r="H14" s="2" t="str">
        <f>VLOOKUP(E14,坦克个性化设定!$B$18:$F$48,5,FALSE)</f>
        <v>中坦自动</v>
      </c>
      <c r="I14" s="2" t="str">
        <f>VLOOKUP(F14,坦克个性化设定!$B$18:$F$48,5,FALSE)</f>
        <v>重坦自动</v>
      </c>
      <c r="J14" s="2">
        <v>0</v>
      </c>
      <c r="K14" s="2">
        <v>1</v>
      </c>
      <c r="L14" s="2">
        <v>1</v>
      </c>
      <c r="M14" s="2" t="s">
        <v>1727</v>
      </c>
      <c r="N14" s="2" t="s">
        <v>1727</v>
      </c>
      <c r="O14" s="2" t="s">
        <v>1727</v>
      </c>
      <c r="P14" s="2">
        <v>6</v>
      </c>
      <c r="Q14" s="2">
        <v>6</v>
      </c>
      <c r="R14" s="2">
        <v>6</v>
      </c>
      <c r="S14" s="2">
        <v>15</v>
      </c>
      <c r="T14" s="2">
        <v>15</v>
      </c>
      <c r="U14" s="2">
        <v>15</v>
      </c>
      <c r="V14" s="42" t="e">
        <f t="shared" ca="1" si="8"/>
        <v>#REF!</v>
      </c>
      <c r="W14" s="42" t="e">
        <f t="shared" ca="1" si="9"/>
        <v>#REF!</v>
      </c>
      <c r="X14" s="42" t="e">
        <f t="shared" ca="1" si="10"/>
        <v>#REF!</v>
      </c>
      <c r="Y14" s="2" t="e">
        <f ca="1">VLOOKUP($D14&amp;$J14,所有坦克升星属性,MATCH(Y$3,所有坦克升星属性标头,0),FALSE)+ROUND(AD14/VLOOKUP($D14,坦克部件!#REF!,4,FALSE)*VLOOKUP($D14&amp;0,所有坦克升星属性,MATCH(Y$3,所有坦克升星属性标头,0),FALSE),0)</f>
        <v>#REF!</v>
      </c>
      <c r="Z14" s="2" t="e">
        <f ca="1">VLOOKUP($D14&amp;$J14,所有坦克升星属性,MATCH(Z$3,所有坦克升星属性标头,0),FALSE)+ROUND(AE14/VLOOKUP($D14,坦克部件!#REF!,4,FALSE)*VLOOKUP($D14&amp;0,所有坦克升星属性,MATCH(Z$3,所有坦克升星属性标头,0),FALSE),0)</f>
        <v>#REF!</v>
      </c>
      <c r="AA14" s="2">
        <f t="shared" ca="1" si="0"/>
        <v>401</v>
      </c>
      <c r="AB14" s="2">
        <f t="shared" ca="1" si="0"/>
        <v>281</v>
      </c>
      <c r="AC14" s="2" t="e">
        <f ca="1">VLOOKUP($D14&amp;$J14,所有坦克升星属性,MATCH(AC$3,所有坦克升星属性标头,0),FALSE)+ROUND(AF14/VLOOKUP($D14,坦克部件!#REF!,4,FALSE)*VLOOKUP($D14&amp;0,所有坦克升星属性,MATCH(AC$3,所有坦克升星属性标头,0),FALSE),0)</f>
        <v>#REF!</v>
      </c>
      <c r="AD14" s="2" t="e">
        <f>(VLOOKUP($S14,坦克部件!#REF!,MATCH("标准值",坦克部件!#REF!,0),FALSE)+VLOOKUP($M14,坦克部件!#REF!,MATCH("标准值",坦克部件!#REF!,0),FALSE))*$P14</f>
        <v>#REF!</v>
      </c>
      <c r="AE14" s="2" t="e">
        <f>(VLOOKUP($S14,坦克部件!#REF!,MATCH("标准值",坦克部件!#REF!,0),FALSE)+VLOOKUP($M14,坦克部件!#REF!,MATCH("标准值",坦克部件!#REF!,0),FALSE))*$P14</f>
        <v>#REF!</v>
      </c>
      <c r="AF14" s="2" t="e">
        <f>(VLOOKUP($S14,坦克部件!#REF!,MATCH("标准值",坦克部件!#REF!,0),FALSE)+VLOOKUP($M14,坦克部件!#REF!,MATCH("标准值",坦克部件!#REF!,0),FALSE))*$P14</f>
        <v>#REF!</v>
      </c>
      <c r="AG14" s="2">
        <f>VLOOKUP($D14,坦克属性统计!$B$3:$AY$33,MATCH(AG$3,坦克属性统计!$B$3:$AY$3,0),FALSE)</f>
        <v>6</v>
      </c>
      <c r="AH14" s="2">
        <f t="shared" si="1"/>
        <v>0.8</v>
      </c>
      <c r="AI14" s="2">
        <f t="shared" si="1"/>
        <v>0</v>
      </c>
      <c r="AJ14" s="2">
        <f t="shared" si="1"/>
        <v>3.2</v>
      </c>
      <c r="AK14" s="34">
        <f t="shared" si="11"/>
        <v>52.666666666666671</v>
      </c>
      <c r="AL14" s="2" t="e">
        <f ca="1">VLOOKUP($E14&amp;$K14,所有坦克升星属性,MATCH(AL$3,所有坦克升星属性标头,0),FALSE)+ROUND(AQ14/VLOOKUP($E14,坦克部件!#REF!,4,FALSE)*VLOOKUP($E14&amp;0,所有坦克升星属性,MATCH(AL$3,所有坦克升星属性标头,0),FALSE),0)</f>
        <v>#REF!</v>
      </c>
      <c r="AM14" s="2" t="e">
        <f ca="1">VLOOKUP($E14&amp;$K14,所有坦克升星属性,MATCH(AM$3,所有坦克升星属性标头,0),FALSE)+ROUND(AR14/VLOOKUP($E14,坦克部件!#REF!,4,FALSE)*VLOOKUP($E14&amp;0,所有坦克升星属性,MATCH(AM$3,所有坦克升星属性标头,0),FALSE),0)</f>
        <v>#REF!</v>
      </c>
      <c r="AN14" s="2">
        <f t="shared" ca="1" si="2"/>
        <v>414</v>
      </c>
      <c r="AO14" s="2">
        <f t="shared" ca="1" si="2"/>
        <v>311</v>
      </c>
      <c r="AP14" s="2" t="e">
        <f ca="1">VLOOKUP($E14&amp;$K14,所有坦克升星属性,MATCH(AP$3,所有坦克升星属性标头,0),FALSE)+ROUND(AS14/VLOOKUP($E14,坦克部件!#REF!,4,FALSE)*VLOOKUP($E14&amp;0,所有坦克升星属性,MATCH(AP$3,所有坦克升星属性标头,0),FALSE),0)</f>
        <v>#REF!</v>
      </c>
      <c r="AQ14" s="2" t="e">
        <f>(VLOOKUP($T14,坦克部件!#REF!,MATCH("标准值",坦克部件!#REF!,0),FALSE)+VLOOKUP($N14,坦克部件!#REF!,MATCH("标准值",坦克部件!#REF!,0),FALSE))*$Q14</f>
        <v>#REF!</v>
      </c>
      <c r="AR14" s="2" t="e">
        <f>(VLOOKUP($T14,坦克部件!#REF!,MATCH("标准值",坦克部件!#REF!,0),FALSE)+VLOOKUP($N14,坦克部件!#REF!,MATCH("标准值",坦克部件!#REF!,0),FALSE))*$Q14</f>
        <v>#REF!</v>
      </c>
      <c r="AS14" s="2" t="e">
        <f>(VLOOKUP($T14,坦克部件!#REF!,MATCH("标准值",坦克部件!#REF!,0),FALSE)+VLOOKUP($N14,坦克部件!#REF!,MATCH("标准值",坦克部件!#REF!,0),FALSE))*$Q14</f>
        <v>#REF!</v>
      </c>
      <c r="AT14" s="2">
        <f>VLOOKUP($E14,坦克属性统计!$B$3:$AY$33,MATCH(AT$3,坦克属性统计!$B$3:$AY$3,0),FALSE)</f>
        <v>9</v>
      </c>
      <c r="AU14" s="2">
        <f t="shared" si="3"/>
        <v>0.42</v>
      </c>
      <c r="AV14" s="2">
        <f t="shared" si="3"/>
        <v>0</v>
      </c>
      <c r="AW14" s="2">
        <f t="shared" si="3"/>
        <v>3.1</v>
      </c>
      <c r="AX14" s="34" t="e">
        <f t="shared" si="12"/>
        <v>#DIV/0!</v>
      </c>
      <c r="AY14" s="2" t="e">
        <f ca="1">VLOOKUP($F14&amp;$L14,所有坦克升星属性,MATCH(AY$3,所有坦克升星属性标头,0),FALSE)+ROUND(BD14/VLOOKUP($F14,坦克部件!#REF!,4,FALSE)*VLOOKUP($F14&amp;0,所有坦克升星属性,MATCH(AY$3,所有坦克升星属性标头,0),FALSE),0)</f>
        <v>#REF!</v>
      </c>
      <c r="AZ14" s="2" t="e">
        <f ca="1">VLOOKUP($F14&amp;$L14,所有坦克升星属性,MATCH(AZ$3,所有坦克升星属性标头,0),FALSE)+ROUND(BE14/VLOOKUP($F14,坦克部件!#REF!,4,FALSE)*VLOOKUP($F14&amp;0,所有坦克升星属性,MATCH(AZ$3,所有坦克升星属性标头,0),FALSE),0)</f>
        <v>#REF!</v>
      </c>
      <c r="BA14" s="2">
        <f t="shared" ca="1" si="4"/>
        <v>361</v>
      </c>
      <c r="BB14" s="2">
        <f t="shared" ca="1" si="4"/>
        <v>288</v>
      </c>
      <c r="BC14" s="2" t="e">
        <f ca="1">VLOOKUP($F14&amp;$L14,所有坦克升星属性,MATCH(BC$3,所有坦克升星属性标头,0),FALSE)+ROUND(BF14/VLOOKUP($F14,坦克部件!#REF!,4,FALSE)*VLOOKUP($F14&amp;0,所有坦克升星属性,MATCH(BC$3,所有坦克升星属性标头,0),FALSE),0)</f>
        <v>#REF!</v>
      </c>
      <c r="BD14" s="2" t="e">
        <f>(VLOOKUP($U14,坦克部件!#REF!,MATCH("标准值",坦克部件!#REF!,0),FALSE)+VLOOKUP($O14,坦克部件!#REF!,MATCH("标准值",坦克部件!#REF!,0),FALSE))*$R14</f>
        <v>#REF!</v>
      </c>
      <c r="BE14" s="2" t="e">
        <f>(VLOOKUP($U14,坦克部件!#REF!,MATCH("标准值",坦克部件!#REF!,0),FALSE)+VLOOKUP($O14,坦克部件!#REF!,MATCH("标准值",坦克部件!#REF!,0),FALSE))*$R14</f>
        <v>#REF!</v>
      </c>
      <c r="BF14" s="2" t="e">
        <f>(VLOOKUP($U14,坦克部件!#REF!,MATCH("标准值",坦克部件!#REF!,0),FALSE)+VLOOKUP($O14,坦克部件!#REF!,MATCH("标准值",坦克部件!#REF!,0),FALSE))*$R14</f>
        <v>#REF!</v>
      </c>
      <c r="BG14" s="2">
        <f>VLOOKUP($F14,坦克属性统计!$B$3:$AY$33,MATCH(BG$3,坦克属性统计!$B$3:$AY$3,0),FALSE)</f>
        <v>3</v>
      </c>
      <c r="BH14" s="2">
        <f t="shared" si="5"/>
        <v>1.88</v>
      </c>
      <c r="BI14" s="2">
        <f t="shared" si="5"/>
        <v>3.52</v>
      </c>
      <c r="BJ14" s="2">
        <f t="shared" si="5"/>
        <v>0</v>
      </c>
      <c r="BK14" s="34">
        <f t="shared" si="13"/>
        <v>20.045454545454547</v>
      </c>
      <c r="BM14" s="1" t="e">
        <f t="shared" ca="1" si="6"/>
        <v>#REF!</v>
      </c>
    </row>
    <row r="15" spans="2:65" x14ac:dyDescent="0.3">
      <c r="B15" s="2">
        <v>12</v>
      </c>
      <c r="C15" s="2" t="e">
        <f t="shared" ca="1" si="7"/>
        <v>#REF!</v>
      </c>
      <c r="D15" s="2" t="s">
        <v>616</v>
      </c>
      <c r="E15" s="2" t="s">
        <v>526</v>
      </c>
      <c r="F15" s="2" t="s">
        <v>653</v>
      </c>
      <c r="G15" s="2" t="str">
        <f>VLOOKUP(D15,坦克个性化设定!$B$18:$F$48,5,FALSE)</f>
        <v>轻坦弹夹</v>
      </c>
      <c r="H15" s="2" t="str">
        <f>VLOOKUP(E15,坦克个性化设定!$B$18:$F$48,5,FALSE)</f>
        <v>中坦自动</v>
      </c>
      <c r="I15" s="2" t="str">
        <f>VLOOKUP(F15,坦克个性化设定!$B$18:$F$48,5,FALSE)</f>
        <v>重坦自动</v>
      </c>
      <c r="J15" s="2">
        <v>0</v>
      </c>
      <c r="K15" s="2">
        <v>0</v>
      </c>
      <c r="L15" s="2">
        <v>0</v>
      </c>
      <c r="M15" s="2" t="s">
        <v>1727</v>
      </c>
      <c r="N15" s="2" t="s">
        <v>1727</v>
      </c>
      <c r="O15" s="2" t="s">
        <v>1727</v>
      </c>
      <c r="P15" s="2">
        <v>6</v>
      </c>
      <c r="Q15" s="2">
        <v>6</v>
      </c>
      <c r="R15" s="2">
        <v>6</v>
      </c>
      <c r="S15" s="2">
        <v>20</v>
      </c>
      <c r="T15" s="2">
        <v>19</v>
      </c>
      <c r="U15" s="2">
        <v>19</v>
      </c>
      <c r="V15" s="42" t="e">
        <f t="shared" ca="1" si="8"/>
        <v>#REF!</v>
      </c>
      <c r="W15" s="42" t="e">
        <f t="shared" ca="1" si="9"/>
        <v>#REF!</v>
      </c>
      <c r="X15" s="42" t="e">
        <f t="shared" ca="1" si="10"/>
        <v>#REF!</v>
      </c>
      <c r="Y15" s="2" t="e">
        <f ca="1">VLOOKUP($D15&amp;$J15,所有坦克升星属性,MATCH(Y$3,所有坦克升星属性标头,0),FALSE)+ROUND(AD15/VLOOKUP($D15,坦克部件!#REF!,4,FALSE)*VLOOKUP($D15&amp;0,所有坦克升星属性,MATCH(Y$3,所有坦克升星属性标头,0),FALSE),0)</f>
        <v>#REF!</v>
      </c>
      <c r="Z15" s="2" t="e">
        <f ca="1">VLOOKUP($D15&amp;$J15,所有坦克升星属性,MATCH(Z$3,所有坦克升星属性标头,0),FALSE)+ROUND(AE15/VLOOKUP($D15,坦克部件!#REF!,4,FALSE)*VLOOKUP($D15&amp;0,所有坦克升星属性,MATCH(Z$3,所有坦克升星属性标头,0),FALSE),0)</f>
        <v>#REF!</v>
      </c>
      <c r="AA15" s="2">
        <f t="shared" ca="1" si="0"/>
        <v>401</v>
      </c>
      <c r="AB15" s="2">
        <f t="shared" ca="1" si="0"/>
        <v>281</v>
      </c>
      <c r="AC15" s="2" t="e">
        <f ca="1">VLOOKUP($D15&amp;$J15,所有坦克升星属性,MATCH(AC$3,所有坦克升星属性标头,0),FALSE)+ROUND(AF15/VLOOKUP($D15,坦克部件!#REF!,4,FALSE)*VLOOKUP($D15&amp;0,所有坦克升星属性,MATCH(AC$3,所有坦克升星属性标头,0),FALSE),0)</f>
        <v>#REF!</v>
      </c>
      <c r="AD15" s="2" t="e">
        <f>(VLOOKUP($S15,坦克部件!#REF!,MATCH("标准值",坦克部件!#REF!,0),FALSE)+VLOOKUP($M15,坦克部件!#REF!,MATCH("标准值",坦克部件!#REF!,0),FALSE))*$P15</f>
        <v>#REF!</v>
      </c>
      <c r="AE15" s="2" t="e">
        <f>(VLOOKUP($S15,坦克部件!#REF!,MATCH("标准值",坦克部件!#REF!,0),FALSE)+VLOOKUP($M15,坦克部件!#REF!,MATCH("标准值",坦克部件!#REF!,0),FALSE))*$P15</f>
        <v>#REF!</v>
      </c>
      <c r="AF15" s="2" t="e">
        <f>(VLOOKUP($S15,坦克部件!#REF!,MATCH("标准值",坦克部件!#REF!,0),FALSE)+VLOOKUP($M15,坦克部件!#REF!,MATCH("标准值",坦克部件!#REF!,0),FALSE))*$P15</f>
        <v>#REF!</v>
      </c>
      <c r="AG15" s="2">
        <f>VLOOKUP($D15,坦克属性统计!$B$3:$AY$33,MATCH(AG$3,坦克属性统计!$B$3:$AY$3,0),FALSE)</f>
        <v>6</v>
      </c>
      <c r="AH15" s="2">
        <f t="shared" si="1"/>
        <v>0.8</v>
      </c>
      <c r="AI15" s="2">
        <f t="shared" si="1"/>
        <v>0</v>
      </c>
      <c r="AJ15" s="2">
        <f t="shared" si="1"/>
        <v>3.2</v>
      </c>
      <c r="AK15" s="34">
        <f t="shared" si="11"/>
        <v>52.666666666666671</v>
      </c>
      <c r="AL15" s="2" t="e">
        <f ca="1">VLOOKUP($E15&amp;$K15,所有坦克升星属性,MATCH(AL$3,所有坦克升星属性标头,0),FALSE)+ROUND(AQ15/VLOOKUP($E15,坦克部件!#REF!,4,FALSE)*VLOOKUP($E15&amp;0,所有坦克升星属性,MATCH(AL$3,所有坦克升星属性标头,0),FALSE),0)</f>
        <v>#REF!</v>
      </c>
      <c r="AM15" s="2" t="e">
        <f ca="1">VLOOKUP($E15&amp;$K15,所有坦克升星属性,MATCH(AM$3,所有坦克升星属性标头,0),FALSE)+ROUND(AR15/VLOOKUP($E15,坦克部件!#REF!,4,FALSE)*VLOOKUP($E15&amp;0,所有坦克升星属性,MATCH(AM$3,所有坦克升星属性标头,0),FALSE),0)</f>
        <v>#REF!</v>
      </c>
      <c r="AN15" s="2">
        <f t="shared" ca="1" si="2"/>
        <v>394</v>
      </c>
      <c r="AO15" s="2">
        <f t="shared" ca="1" si="2"/>
        <v>296</v>
      </c>
      <c r="AP15" s="2" t="e">
        <f ca="1">VLOOKUP($E15&amp;$K15,所有坦克升星属性,MATCH(AP$3,所有坦克升星属性标头,0),FALSE)+ROUND(AS15/VLOOKUP($E15,坦克部件!#REF!,4,FALSE)*VLOOKUP($E15&amp;0,所有坦克升星属性,MATCH(AP$3,所有坦克升星属性标头,0),FALSE),0)</f>
        <v>#REF!</v>
      </c>
      <c r="AQ15" s="2" t="e">
        <f>(VLOOKUP($T15,坦克部件!#REF!,MATCH("标准值",坦克部件!#REF!,0),FALSE)+VLOOKUP($N15,坦克部件!#REF!,MATCH("标准值",坦克部件!#REF!,0),FALSE))*$Q15</f>
        <v>#REF!</v>
      </c>
      <c r="AR15" s="2" t="e">
        <f>(VLOOKUP($T15,坦克部件!#REF!,MATCH("标准值",坦克部件!#REF!,0),FALSE)+VLOOKUP($N15,坦克部件!#REF!,MATCH("标准值",坦克部件!#REF!,0),FALSE))*$Q15</f>
        <v>#REF!</v>
      </c>
      <c r="AS15" s="2" t="e">
        <f>(VLOOKUP($T15,坦克部件!#REF!,MATCH("标准值",坦克部件!#REF!,0),FALSE)+VLOOKUP($N15,坦克部件!#REF!,MATCH("标准值",坦克部件!#REF!,0),FALSE))*$Q15</f>
        <v>#REF!</v>
      </c>
      <c r="AT15" s="2">
        <f>VLOOKUP($E15,坦克属性统计!$B$3:$AY$33,MATCH(AT$3,坦克属性统计!$B$3:$AY$3,0),FALSE)</f>
        <v>9</v>
      </c>
      <c r="AU15" s="2">
        <f t="shared" si="3"/>
        <v>0.32</v>
      </c>
      <c r="AV15" s="2">
        <f t="shared" si="3"/>
        <v>0</v>
      </c>
      <c r="AW15" s="2">
        <f t="shared" si="3"/>
        <v>3.2</v>
      </c>
      <c r="AX15" s="34" t="e">
        <f t="shared" si="12"/>
        <v>#DIV/0!</v>
      </c>
      <c r="AY15" s="2" t="e">
        <f ca="1">VLOOKUP($F15&amp;$L15,所有坦克升星属性,MATCH(AY$3,所有坦克升星属性标头,0),FALSE)+ROUND(BD15/VLOOKUP($F15,坦克部件!#REF!,4,FALSE)*VLOOKUP($F15&amp;0,所有坦克升星属性,MATCH(AY$3,所有坦克升星属性标头,0),FALSE),0)</f>
        <v>#REF!</v>
      </c>
      <c r="AZ15" s="2" t="e">
        <f ca="1">VLOOKUP($F15&amp;$L15,所有坦克升星属性,MATCH(AZ$3,所有坦克升星属性标头,0),FALSE)+ROUND(BE15/VLOOKUP($F15,坦克部件!#REF!,4,FALSE)*VLOOKUP($F15&amp;0,所有坦克升星属性,MATCH(AZ$3,所有坦克升星属性标头,0),FALSE),0)</f>
        <v>#REF!</v>
      </c>
      <c r="BA15" s="2">
        <f t="shared" ca="1" si="4"/>
        <v>343</v>
      </c>
      <c r="BB15" s="2">
        <f t="shared" ca="1" si="4"/>
        <v>274</v>
      </c>
      <c r="BC15" s="2" t="e">
        <f ca="1">VLOOKUP($F15&amp;$L15,所有坦克升星属性,MATCH(BC$3,所有坦克升星属性标头,0),FALSE)+ROUND(BF15/VLOOKUP($F15,坦克部件!#REF!,4,FALSE)*VLOOKUP($F15&amp;0,所有坦克升星属性,MATCH(BC$3,所有坦克升星属性标头,0),FALSE),0)</f>
        <v>#REF!</v>
      </c>
      <c r="BD15" s="2" t="e">
        <f>(VLOOKUP($U15,坦克部件!#REF!,MATCH("标准值",坦克部件!#REF!,0),FALSE)+VLOOKUP($O15,坦克部件!#REF!,MATCH("标准值",坦克部件!#REF!,0),FALSE))*$R15</f>
        <v>#REF!</v>
      </c>
      <c r="BE15" s="2" t="e">
        <f>(VLOOKUP($U15,坦克部件!#REF!,MATCH("标准值",坦克部件!#REF!,0),FALSE)+VLOOKUP($O15,坦克部件!#REF!,MATCH("标准值",坦克部件!#REF!,0),FALSE))*$R15</f>
        <v>#REF!</v>
      </c>
      <c r="BF15" s="2" t="e">
        <f>(VLOOKUP($U15,坦克部件!#REF!,MATCH("标准值",坦克部件!#REF!,0),FALSE)+VLOOKUP($O15,坦克部件!#REF!,MATCH("标准值",坦克部件!#REF!,0),FALSE))*$R15</f>
        <v>#REF!</v>
      </c>
      <c r="BG15" s="2">
        <f>VLOOKUP($F15,坦克属性统计!$B$3:$AY$33,MATCH(BG$3,坦克属性统计!$B$3:$AY$3,0),FALSE)</f>
        <v>3</v>
      </c>
      <c r="BH15" s="2">
        <f t="shared" si="5"/>
        <v>1.88</v>
      </c>
      <c r="BI15" s="2">
        <f t="shared" si="5"/>
        <v>3.6</v>
      </c>
      <c r="BJ15" s="2">
        <f t="shared" si="5"/>
        <v>0</v>
      </c>
      <c r="BK15" s="34">
        <f t="shared" si="13"/>
        <v>19.666666666666668</v>
      </c>
      <c r="BM15" s="1" t="e">
        <f t="shared" ca="1" si="6"/>
        <v>#REF!</v>
      </c>
    </row>
    <row r="16" spans="2:65" x14ac:dyDescent="0.3">
      <c r="B16" s="2">
        <v>13</v>
      </c>
      <c r="C16" s="2" t="e">
        <f t="shared" ca="1" si="7"/>
        <v>#REF!</v>
      </c>
      <c r="D16" s="2" t="s">
        <v>616</v>
      </c>
      <c r="E16" s="2" t="s">
        <v>526</v>
      </c>
      <c r="F16" s="2" t="s">
        <v>653</v>
      </c>
      <c r="G16" s="2" t="str">
        <f>VLOOKUP(D16,坦克个性化设定!$B$18:$F$48,5,FALSE)</f>
        <v>轻坦弹夹</v>
      </c>
      <c r="H16" s="2" t="str">
        <f>VLOOKUP(E16,坦克个性化设定!$B$18:$F$48,5,FALSE)</f>
        <v>中坦自动</v>
      </c>
      <c r="I16" s="2" t="str">
        <f>VLOOKUP(F16,坦克个性化设定!$B$18:$F$48,5,FALSE)</f>
        <v>重坦自动</v>
      </c>
      <c r="J16" s="2">
        <v>0</v>
      </c>
      <c r="K16" s="2">
        <v>0</v>
      </c>
      <c r="L16" s="2">
        <v>0</v>
      </c>
      <c r="M16" s="2" t="s">
        <v>1728</v>
      </c>
      <c r="N16" s="2" t="s">
        <v>1729</v>
      </c>
      <c r="O16" s="2" t="s">
        <v>1729</v>
      </c>
      <c r="P16" s="2">
        <v>6</v>
      </c>
      <c r="Q16" s="2">
        <v>6</v>
      </c>
      <c r="R16" s="2">
        <v>6</v>
      </c>
      <c r="S16" s="2">
        <v>20</v>
      </c>
      <c r="T16" s="2">
        <v>20</v>
      </c>
      <c r="U16" s="2">
        <v>20</v>
      </c>
      <c r="V16" s="42" t="e">
        <f t="shared" ca="1" si="8"/>
        <v>#REF!</v>
      </c>
      <c r="W16" s="42" t="e">
        <f t="shared" ca="1" si="9"/>
        <v>#REF!</v>
      </c>
      <c r="X16" s="42" t="e">
        <f t="shared" ca="1" si="10"/>
        <v>#REF!</v>
      </c>
      <c r="Y16" s="2" t="e">
        <f ca="1">VLOOKUP($D16&amp;$J16,所有坦克升星属性,MATCH(Y$3,所有坦克升星属性标头,0),FALSE)+ROUND(AD16/VLOOKUP($D16,坦克部件!#REF!,4,FALSE)*VLOOKUP($D16&amp;0,所有坦克升星属性,MATCH(Y$3,所有坦克升星属性标头,0),FALSE),0)</f>
        <v>#REF!</v>
      </c>
      <c r="Z16" s="2" t="e">
        <f ca="1">VLOOKUP($D16&amp;$J16,所有坦克升星属性,MATCH(Z$3,所有坦克升星属性标头,0),FALSE)+ROUND(AE16/VLOOKUP($D16,坦克部件!#REF!,4,FALSE)*VLOOKUP($D16&amp;0,所有坦克升星属性,MATCH(Z$3,所有坦克升星属性标头,0),FALSE),0)</f>
        <v>#REF!</v>
      </c>
      <c r="AA16" s="2">
        <f t="shared" ca="1" si="0"/>
        <v>401</v>
      </c>
      <c r="AB16" s="2">
        <f t="shared" ca="1" si="0"/>
        <v>281</v>
      </c>
      <c r="AC16" s="2" t="e">
        <f ca="1">VLOOKUP($D16&amp;$J16,所有坦克升星属性,MATCH(AC$3,所有坦克升星属性标头,0),FALSE)+ROUND(AF16/VLOOKUP($D16,坦克部件!#REF!,4,FALSE)*VLOOKUP($D16&amp;0,所有坦克升星属性,MATCH(AC$3,所有坦克升星属性标头,0),FALSE),0)</f>
        <v>#REF!</v>
      </c>
      <c r="AD16" s="2" t="e">
        <f>(VLOOKUP($S16,坦克部件!#REF!,MATCH("标准值",坦克部件!#REF!,0),FALSE)+VLOOKUP($M16,坦克部件!#REF!,MATCH("标准值",坦克部件!#REF!,0),FALSE))*$P16</f>
        <v>#REF!</v>
      </c>
      <c r="AE16" s="2" t="e">
        <f>(VLOOKUP($S16,坦克部件!#REF!,MATCH("标准值",坦克部件!#REF!,0),FALSE)+VLOOKUP($M16,坦克部件!#REF!,MATCH("标准值",坦克部件!#REF!,0),FALSE))*$P16</f>
        <v>#REF!</v>
      </c>
      <c r="AF16" s="2" t="e">
        <f>(VLOOKUP($S16,坦克部件!#REF!,MATCH("标准值",坦克部件!#REF!,0),FALSE)+VLOOKUP($M16,坦克部件!#REF!,MATCH("标准值",坦克部件!#REF!,0),FALSE))*$P16</f>
        <v>#REF!</v>
      </c>
      <c r="AG16" s="2">
        <f>VLOOKUP($D16,坦克属性统计!$B$3:$AY$33,MATCH(AG$3,坦克属性统计!$B$3:$AY$3,0),FALSE)</f>
        <v>6</v>
      </c>
      <c r="AH16" s="2">
        <f t="shared" si="1"/>
        <v>0.8</v>
      </c>
      <c r="AI16" s="2">
        <f t="shared" si="1"/>
        <v>0</v>
      </c>
      <c r="AJ16" s="2">
        <f t="shared" si="1"/>
        <v>3.2</v>
      </c>
      <c r="AK16" s="34">
        <f t="shared" si="11"/>
        <v>52.666666666666671</v>
      </c>
      <c r="AL16" s="2" t="e">
        <f ca="1">VLOOKUP($E16&amp;$K16,所有坦克升星属性,MATCH(AL$3,所有坦克升星属性标头,0),FALSE)+ROUND(AQ16/VLOOKUP($E16,坦克部件!#REF!,4,FALSE)*VLOOKUP($E16&amp;0,所有坦克升星属性,MATCH(AL$3,所有坦克升星属性标头,0),FALSE),0)</f>
        <v>#REF!</v>
      </c>
      <c r="AM16" s="2" t="e">
        <f ca="1">VLOOKUP($E16&amp;$K16,所有坦克升星属性,MATCH(AM$3,所有坦克升星属性标头,0),FALSE)+ROUND(AR16/VLOOKUP($E16,坦克部件!#REF!,4,FALSE)*VLOOKUP($E16&amp;0,所有坦克升星属性,MATCH(AM$3,所有坦克升星属性标头,0),FALSE),0)</f>
        <v>#REF!</v>
      </c>
      <c r="AN16" s="2">
        <f t="shared" ca="1" si="2"/>
        <v>394</v>
      </c>
      <c r="AO16" s="2">
        <f t="shared" ca="1" si="2"/>
        <v>296</v>
      </c>
      <c r="AP16" s="2" t="e">
        <f ca="1">VLOOKUP($E16&amp;$K16,所有坦克升星属性,MATCH(AP$3,所有坦克升星属性标头,0),FALSE)+ROUND(AS16/VLOOKUP($E16,坦克部件!#REF!,4,FALSE)*VLOOKUP($E16&amp;0,所有坦克升星属性,MATCH(AP$3,所有坦克升星属性标头,0),FALSE),0)</f>
        <v>#REF!</v>
      </c>
      <c r="AQ16" s="2" t="e">
        <f>(VLOOKUP($T16,坦克部件!#REF!,MATCH("标准值",坦克部件!#REF!,0),FALSE)+VLOOKUP($N16,坦克部件!#REF!,MATCH("标准值",坦克部件!#REF!,0),FALSE))*$Q16</f>
        <v>#REF!</v>
      </c>
      <c r="AR16" s="2" t="e">
        <f>(VLOOKUP($T16,坦克部件!#REF!,MATCH("标准值",坦克部件!#REF!,0),FALSE)+VLOOKUP($N16,坦克部件!#REF!,MATCH("标准值",坦克部件!#REF!,0),FALSE))*$Q16</f>
        <v>#REF!</v>
      </c>
      <c r="AS16" s="2" t="e">
        <f>(VLOOKUP($T16,坦克部件!#REF!,MATCH("标准值",坦克部件!#REF!,0),FALSE)+VLOOKUP($N16,坦克部件!#REF!,MATCH("标准值",坦克部件!#REF!,0),FALSE))*$Q16</f>
        <v>#REF!</v>
      </c>
      <c r="AT16" s="2">
        <f>VLOOKUP($E16,坦克属性统计!$B$3:$AY$33,MATCH(AT$3,坦克属性统计!$B$3:$AY$3,0),FALSE)</f>
        <v>9</v>
      </c>
      <c r="AU16" s="2">
        <f t="shared" si="3"/>
        <v>0.32</v>
      </c>
      <c r="AV16" s="2">
        <f t="shared" si="3"/>
        <v>0</v>
      </c>
      <c r="AW16" s="2">
        <f t="shared" si="3"/>
        <v>3.2</v>
      </c>
      <c r="AX16" s="34" t="e">
        <f t="shared" si="12"/>
        <v>#DIV/0!</v>
      </c>
      <c r="AY16" s="2" t="e">
        <f ca="1">VLOOKUP($F16&amp;$L16,所有坦克升星属性,MATCH(AY$3,所有坦克升星属性标头,0),FALSE)+ROUND(BD16/VLOOKUP($F16,坦克部件!#REF!,4,FALSE)*VLOOKUP($F16&amp;0,所有坦克升星属性,MATCH(AY$3,所有坦克升星属性标头,0),FALSE),0)</f>
        <v>#REF!</v>
      </c>
      <c r="AZ16" s="2" t="e">
        <f ca="1">VLOOKUP($F16&amp;$L16,所有坦克升星属性,MATCH(AZ$3,所有坦克升星属性标头,0),FALSE)+ROUND(BE16/VLOOKUP($F16,坦克部件!#REF!,4,FALSE)*VLOOKUP($F16&amp;0,所有坦克升星属性,MATCH(AZ$3,所有坦克升星属性标头,0),FALSE),0)</f>
        <v>#REF!</v>
      </c>
      <c r="BA16" s="2">
        <f t="shared" ca="1" si="4"/>
        <v>343</v>
      </c>
      <c r="BB16" s="2">
        <f t="shared" ca="1" si="4"/>
        <v>274</v>
      </c>
      <c r="BC16" s="2" t="e">
        <f ca="1">VLOOKUP($F16&amp;$L16,所有坦克升星属性,MATCH(BC$3,所有坦克升星属性标头,0),FALSE)+ROUND(BF16/VLOOKUP($F16,坦克部件!#REF!,4,FALSE)*VLOOKUP($F16&amp;0,所有坦克升星属性,MATCH(BC$3,所有坦克升星属性标头,0),FALSE),0)</f>
        <v>#REF!</v>
      </c>
      <c r="BD16" s="2" t="e">
        <f>(VLOOKUP($U16,坦克部件!#REF!,MATCH("标准值",坦克部件!#REF!,0),FALSE)+VLOOKUP($O16,坦克部件!#REF!,MATCH("标准值",坦克部件!#REF!,0),FALSE))*$R16</f>
        <v>#REF!</v>
      </c>
      <c r="BE16" s="2" t="e">
        <f>(VLOOKUP($U16,坦克部件!#REF!,MATCH("标准值",坦克部件!#REF!,0),FALSE)+VLOOKUP($O16,坦克部件!#REF!,MATCH("标准值",坦克部件!#REF!,0),FALSE))*$R16</f>
        <v>#REF!</v>
      </c>
      <c r="BF16" s="2" t="e">
        <f>(VLOOKUP($U16,坦克部件!#REF!,MATCH("标准值",坦克部件!#REF!,0),FALSE)+VLOOKUP($O16,坦克部件!#REF!,MATCH("标准值",坦克部件!#REF!,0),FALSE))*$R16</f>
        <v>#REF!</v>
      </c>
      <c r="BG16" s="2">
        <f>VLOOKUP($F16,坦克属性统计!$B$3:$AY$33,MATCH(BG$3,坦克属性统计!$B$3:$AY$3,0),FALSE)</f>
        <v>3</v>
      </c>
      <c r="BH16" s="2">
        <f t="shared" si="5"/>
        <v>1.88</v>
      </c>
      <c r="BI16" s="2">
        <f t="shared" si="5"/>
        <v>3.6</v>
      </c>
      <c r="BJ16" s="2">
        <f t="shared" si="5"/>
        <v>0</v>
      </c>
      <c r="BK16" s="34">
        <f t="shared" si="13"/>
        <v>19.666666666666668</v>
      </c>
      <c r="BM16" s="1" t="e">
        <f t="shared" ca="1" si="6"/>
        <v>#REF!</v>
      </c>
    </row>
    <row r="17" spans="2:65" x14ac:dyDescent="0.3">
      <c r="B17" s="2">
        <v>14</v>
      </c>
      <c r="C17" s="2" t="e">
        <f t="shared" ca="1" si="7"/>
        <v>#REF!</v>
      </c>
      <c r="D17" s="2" t="s">
        <v>616</v>
      </c>
      <c r="E17" s="2" t="s">
        <v>636</v>
      </c>
      <c r="F17" s="2" t="s">
        <v>653</v>
      </c>
      <c r="G17" s="2" t="str">
        <f>VLOOKUP(D17,坦克个性化设定!$B$18:$F$48,5,FALSE)</f>
        <v>轻坦弹夹</v>
      </c>
      <c r="H17" s="2" t="str">
        <f>VLOOKUP(E17,坦克个性化设定!$B$18:$F$48,5,FALSE)</f>
        <v>中坦自动</v>
      </c>
      <c r="I17" s="2" t="str">
        <f>VLOOKUP(F17,坦克个性化设定!$B$18:$F$48,5,FALSE)</f>
        <v>重坦自动</v>
      </c>
      <c r="J17" s="2">
        <v>0</v>
      </c>
      <c r="K17" s="2">
        <v>0</v>
      </c>
      <c r="L17" s="2">
        <v>0</v>
      </c>
      <c r="M17" s="2" t="s">
        <v>1728</v>
      </c>
      <c r="N17" s="2" t="s">
        <v>1728</v>
      </c>
      <c r="O17" s="2" t="s">
        <v>1728</v>
      </c>
      <c r="P17" s="2">
        <v>6</v>
      </c>
      <c r="Q17" s="2">
        <v>6</v>
      </c>
      <c r="R17" s="2">
        <v>6</v>
      </c>
      <c r="S17" s="2">
        <v>20</v>
      </c>
      <c r="T17" s="2">
        <v>20</v>
      </c>
      <c r="U17" s="2">
        <v>20</v>
      </c>
      <c r="V17" s="42" t="e">
        <f t="shared" ca="1" si="8"/>
        <v>#REF!</v>
      </c>
      <c r="W17" s="42" t="e">
        <f t="shared" ca="1" si="9"/>
        <v>#REF!</v>
      </c>
      <c r="X17" s="42" t="e">
        <f t="shared" ca="1" si="10"/>
        <v>#REF!</v>
      </c>
      <c r="Y17" s="2" t="e">
        <f ca="1">VLOOKUP($D17&amp;$J17,所有坦克升星属性,MATCH(Y$3,所有坦克升星属性标头,0),FALSE)+ROUND(AD17/VLOOKUP($D17,坦克部件!#REF!,4,FALSE)*VLOOKUP($D17&amp;0,所有坦克升星属性,MATCH(Y$3,所有坦克升星属性标头,0),FALSE),0)</f>
        <v>#REF!</v>
      </c>
      <c r="Z17" s="2" t="e">
        <f ca="1">VLOOKUP($D17&amp;$J17,所有坦克升星属性,MATCH(Z$3,所有坦克升星属性标头,0),FALSE)+ROUND(AE17/VLOOKUP($D17,坦克部件!#REF!,4,FALSE)*VLOOKUP($D17&amp;0,所有坦克升星属性,MATCH(Z$3,所有坦克升星属性标头,0),FALSE),0)</f>
        <v>#REF!</v>
      </c>
      <c r="AA17" s="2">
        <f t="shared" ca="1" si="0"/>
        <v>401</v>
      </c>
      <c r="AB17" s="2">
        <f t="shared" ca="1" si="0"/>
        <v>281</v>
      </c>
      <c r="AC17" s="2" t="e">
        <f ca="1">VLOOKUP($D17&amp;$J17,所有坦克升星属性,MATCH(AC$3,所有坦克升星属性标头,0),FALSE)+ROUND(AF17/VLOOKUP($D17,坦克部件!#REF!,4,FALSE)*VLOOKUP($D17&amp;0,所有坦克升星属性,MATCH(AC$3,所有坦克升星属性标头,0),FALSE),0)</f>
        <v>#REF!</v>
      </c>
      <c r="AD17" s="2" t="e">
        <f>(VLOOKUP($S17,坦克部件!#REF!,MATCH("标准值",坦克部件!#REF!,0),FALSE)+VLOOKUP($M17,坦克部件!#REF!,MATCH("标准值",坦克部件!#REF!,0),FALSE))*$P17</f>
        <v>#REF!</v>
      </c>
      <c r="AE17" s="2" t="e">
        <f>(VLOOKUP($S17,坦克部件!#REF!,MATCH("标准值",坦克部件!#REF!,0),FALSE)+VLOOKUP($M17,坦克部件!#REF!,MATCH("标准值",坦克部件!#REF!,0),FALSE))*$P17</f>
        <v>#REF!</v>
      </c>
      <c r="AF17" s="2" t="e">
        <f>(VLOOKUP($S17,坦克部件!#REF!,MATCH("标准值",坦克部件!#REF!,0),FALSE)+VLOOKUP($M17,坦克部件!#REF!,MATCH("标准值",坦克部件!#REF!,0),FALSE))*$P17</f>
        <v>#REF!</v>
      </c>
      <c r="AG17" s="2">
        <f>VLOOKUP($D17,坦克属性统计!$B$3:$AY$33,MATCH(AG$3,坦克属性统计!$B$3:$AY$3,0),FALSE)</f>
        <v>6</v>
      </c>
      <c r="AH17" s="2">
        <f t="shared" si="1"/>
        <v>0.8</v>
      </c>
      <c r="AI17" s="2">
        <f t="shared" si="1"/>
        <v>0</v>
      </c>
      <c r="AJ17" s="2">
        <f t="shared" si="1"/>
        <v>3.2</v>
      </c>
      <c r="AK17" s="34">
        <f t="shared" si="11"/>
        <v>52.666666666666671</v>
      </c>
      <c r="AL17" s="2" t="e">
        <f ca="1">VLOOKUP($E17&amp;$K17,所有坦克升星属性,MATCH(AL$3,所有坦克升星属性标头,0),FALSE)+ROUND(AQ17/VLOOKUP($E17,坦克部件!#REF!,4,FALSE)*VLOOKUP($E17&amp;0,所有坦克升星属性,MATCH(AL$3,所有坦克升星属性标头,0),FALSE),0)</f>
        <v>#REF!</v>
      </c>
      <c r="AM17" s="2" t="e">
        <f ca="1">VLOOKUP($E17&amp;$K17,所有坦克升星属性,MATCH(AM$3,所有坦克升星属性标头,0),FALSE)+ROUND(AR17/VLOOKUP($E17,坦克部件!#REF!,4,FALSE)*VLOOKUP($E17&amp;0,所有坦克升星属性,MATCH(AM$3,所有坦克升星属性标头,0),FALSE),0)</f>
        <v>#REF!</v>
      </c>
      <c r="AN17" s="2">
        <f t="shared" ca="1" si="2"/>
        <v>401</v>
      </c>
      <c r="AO17" s="2">
        <f t="shared" ca="1" si="2"/>
        <v>301</v>
      </c>
      <c r="AP17" s="2" t="e">
        <f ca="1">VLOOKUP($E17&amp;$K17,所有坦克升星属性,MATCH(AP$3,所有坦克升星属性标头,0),FALSE)+ROUND(AS17/VLOOKUP($E17,坦克部件!#REF!,4,FALSE)*VLOOKUP($E17&amp;0,所有坦克升星属性,MATCH(AP$3,所有坦克升星属性标头,0),FALSE),0)</f>
        <v>#REF!</v>
      </c>
      <c r="AQ17" s="2" t="e">
        <f>(VLOOKUP($T17,坦克部件!#REF!,MATCH("标准值",坦克部件!#REF!,0),FALSE)+VLOOKUP($N17,坦克部件!#REF!,MATCH("标准值",坦克部件!#REF!,0),FALSE))*$Q17</f>
        <v>#REF!</v>
      </c>
      <c r="AR17" s="2" t="e">
        <f>(VLOOKUP($T17,坦克部件!#REF!,MATCH("标准值",坦克部件!#REF!,0),FALSE)+VLOOKUP($N17,坦克部件!#REF!,MATCH("标准值",坦克部件!#REF!,0),FALSE))*$Q17</f>
        <v>#REF!</v>
      </c>
      <c r="AS17" s="2" t="e">
        <f>(VLOOKUP($T17,坦克部件!#REF!,MATCH("标准值",坦克部件!#REF!,0),FALSE)+VLOOKUP($N17,坦克部件!#REF!,MATCH("标准值",坦克部件!#REF!,0),FALSE))*$Q17</f>
        <v>#REF!</v>
      </c>
      <c r="AT17" s="2">
        <f>VLOOKUP($E17,坦克属性统计!$B$3:$AY$33,MATCH(AT$3,坦克属性统计!$B$3:$AY$3,0),FALSE)</f>
        <v>6</v>
      </c>
      <c r="AU17" s="2">
        <f t="shared" si="3"/>
        <v>0.4</v>
      </c>
      <c r="AV17" s="2">
        <f t="shared" si="3"/>
        <v>2.4</v>
      </c>
      <c r="AW17" s="2">
        <f t="shared" si="3"/>
        <v>0</v>
      </c>
      <c r="AX17" s="34">
        <f t="shared" si="12"/>
        <v>31</v>
      </c>
      <c r="AY17" s="2" t="e">
        <f ca="1">VLOOKUP($F17&amp;$L17,所有坦克升星属性,MATCH(AY$3,所有坦克升星属性标头,0),FALSE)+ROUND(BD17/VLOOKUP($F17,坦克部件!#REF!,4,FALSE)*VLOOKUP($F17&amp;0,所有坦克升星属性,MATCH(AY$3,所有坦克升星属性标头,0),FALSE),0)</f>
        <v>#REF!</v>
      </c>
      <c r="AZ17" s="2" t="e">
        <f ca="1">VLOOKUP($F17&amp;$L17,所有坦克升星属性,MATCH(AZ$3,所有坦克升星属性标头,0),FALSE)+ROUND(BE17/VLOOKUP($F17,坦克部件!#REF!,4,FALSE)*VLOOKUP($F17&amp;0,所有坦克升星属性,MATCH(AZ$3,所有坦克升星属性标头,0),FALSE),0)</f>
        <v>#REF!</v>
      </c>
      <c r="BA17" s="2">
        <f t="shared" ca="1" si="4"/>
        <v>343</v>
      </c>
      <c r="BB17" s="2">
        <f t="shared" ca="1" si="4"/>
        <v>274</v>
      </c>
      <c r="BC17" s="2" t="e">
        <f ca="1">VLOOKUP($F17&amp;$L17,所有坦克升星属性,MATCH(BC$3,所有坦克升星属性标头,0),FALSE)+ROUND(BF17/VLOOKUP($F17,坦克部件!#REF!,4,FALSE)*VLOOKUP($F17&amp;0,所有坦克升星属性,MATCH(BC$3,所有坦克升星属性标头,0),FALSE),0)</f>
        <v>#REF!</v>
      </c>
      <c r="BD17" s="2" t="e">
        <f>(VLOOKUP($U17,坦克部件!#REF!,MATCH("标准值",坦克部件!#REF!,0),FALSE)+VLOOKUP($O17,坦克部件!#REF!,MATCH("标准值",坦克部件!#REF!,0),FALSE))*$R17</f>
        <v>#REF!</v>
      </c>
      <c r="BE17" s="2" t="e">
        <f>(VLOOKUP($U17,坦克部件!#REF!,MATCH("标准值",坦克部件!#REF!,0),FALSE)+VLOOKUP($O17,坦克部件!#REF!,MATCH("标准值",坦克部件!#REF!,0),FALSE))*$R17</f>
        <v>#REF!</v>
      </c>
      <c r="BF17" s="2" t="e">
        <f>(VLOOKUP($U17,坦克部件!#REF!,MATCH("标准值",坦克部件!#REF!,0),FALSE)+VLOOKUP($O17,坦克部件!#REF!,MATCH("标准值",坦克部件!#REF!,0),FALSE))*$R17</f>
        <v>#REF!</v>
      </c>
      <c r="BG17" s="2">
        <f>VLOOKUP($F17,坦克属性统计!$B$3:$AY$33,MATCH(BG$3,坦克属性统计!$B$3:$AY$3,0),FALSE)</f>
        <v>3</v>
      </c>
      <c r="BH17" s="2">
        <f t="shared" si="5"/>
        <v>1.88</v>
      </c>
      <c r="BI17" s="2">
        <f t="shared" si="5"/>
        <v>3.6</v>
      </c>
      <c r="BJ17" s="2">
        <f t="shared" si="5"/>
        <v>0</v>
      </c>
      <c r="BK17" s="34">
        <f t="shared" si="13"/>
        <v>19.666666666666668</v>
      </c>
      <c r="BM17" s="1" t="e">
        <f t="shared" ca="1" si="6"/>
        <v>#REF!</v>
      </c>
    </row>
    <row r="18" spans="2:65" x14ac:dyDescent="0.3">
      <c r="B18" s="2">
        <v>15</v>
      </c>
      <c r="C18" s="2" t="e">
        <f t="shared" ca="1" si="7"/>
        <v>#REF!</v>
      </c>
      <c r="D18" s="2" t="s">
        <v>616</v>
      </c>
      <c r="E18" s="2" t="s">
        <v>636</v>
      </c>
      <c r="F18" s="2" t="s">
        <v>653</v>
      </c>
      <c r="G18" s="2" t="str">
        <f>VLOOKUP(D18,坦克个性化设定!$B$18:$F$48,5,FALSE)</f>
        <v>轻坦弹夹</v>
      </c>
      <c r="H18" s="2" t="str">
        <f>VLOOKUP(E18,坦克个性化设定!$B$18:$F$48,5,FALSE)</f>
        <v>中坦自动</v>
      </c>
      <c r="I18" s="2" t="str">
        <f>VLOOKUP(F18,坦克个性化设定!$B$18:$F$48,5,FALSE)</f>
        <v>重坦自动</v>
      </c>
      <c r="J18" s="2">
        <v>1</v>
      </c>
      <c r="K18" s="2">
        <v>0</v>
      </c>
      <c r="L18" s="2">
        <v>0</v>
      </c>
      <c r="M18" s="2" t="s">
        <v>1728</v>
      </c>
      <c r="N18" s="2" t="s">
        <v>1728</v>
      </c>
      <c r="O18" s="2" t="s">
        <v>1728</v>
      </c>
      <c r="P18" s="2">
        <v>6</v>
      </c>
      <c r="Q18" s="2">
        <v>6</v>
      </c>
      <c r="R18" s="2">
        <v>6</v>
      </c>
      <c r="S18" s="2">
        <v>20</v>
      </c>
      <c r="T18" s="2">
        <v>20</v>
      </c>
      <c r="U18" s="2">
        <v>20</v>
      </c>
      <c r="V18" s="42" t="e">
        <f t="shared" ca="1" si="8"/>
        <v>#REF!</v>
      </c>
      <c r="W18" s="42" t="e">
        <f t="shared" ca="1" si="9"/>
        <v>#REF!</v>
      </c>
      <c r="X18" s="42" t="e">
        <f t="shared" ca="1" si="10"/>
        <v>#REF!</v>
      </c>
      <c r="Y18" s="2" t="e">
        <f ca="1">VLOOKUP($D18&amp;$J18,所有坦克升星属性,MATCH(Y$3,所有坦克升星属性标头,0),FALSE)+ROUND(AD18/VLOOKUP($D18,坦克部件!#REF!,4,FALSE)*VLOOKUP($D18&amp;0,所有坦克升星属性,MATCH(Y$3,所有坦克升星属性标头,0),FALSE),0)</f>
        <v>#REF!</v>
      </c>
      <c r="Z18" s="2" t="e">
        <f ca="1">VLOOKUP($D18&amp;$J18,所有坦克升星属性,MATCH(Z$3,所有坦克升星属性标头,0),FALSE)+ROUND(AE18/VLOOKUP($D18,坦克部件!#REF!,4,FALSE)*VLOOKUP($D18&amp;0,所有坦克升星属性,MATCH(Z$3,所有坦克升星属性标头,0),FALSE),0)</f>
        <v>#REF!</v>
      </c>
      <c r="AA18" s="2">
        <f t="shared" ca="1" si="0"/>
        <v>423</v>
      </c>
      <c r="AB18" s="2">
        <f t="shared" ca="1" si="0"/>
        <v>296</v>
      </c>
      <c r="AC18" s="2" t="e">
        <f ca="1">VLOOKUP($D18&amp;$J18,所有坦克升星属性,MATCH(AC$3,所有坦克升星属性标头,0),FALSE)+ROUND(AF18/VLOOKUP($D18,坦克部件!#REF!,4,FALSE)*VLOOKUP($D18&amp;0,所有坦克升星属性,MATCH(AC$3,所有坦克升星属性标头,0),FALSE),0)</f>
        <v>#REF!</v>
      </c>
      <c r="AD18" s="2" t="e">
        <f>(VLOOKUP($S18,坦克部件!#REF!,MATCH("标准值",坦克部件!#REF!,0),FALSE)+VLOOKUP($M18,坦克部件!#REF!,MATCH("标准值",坦克部件!#REF!,0),FALSE))*$P18</f>
        <v>#REF!</v>
      </c>
      <c r="AE18" s="2" t="e">
        <f>(VLOOKUP($S18,坦克部件!#REF!,MATCH("标准值",坦克部件!#REF!,0),FALSE)+VLOOKUP($M18,坦克部件!#REF!,MATCH("标准值",坦克部件!#REF!,0),FALSE))*$P18</f>
        <v>#REF!</v>
      </c>
      <c r="AF18" s="2" t="e">
        <f>(VLOOKUP($S18,坦克部件!#REF!,MATCH("标准值",坦克部件!#REF!,0),FALSE)+VLOOKUP($M18,坦克部件!#REF!,MATCH("标准值",坦克部件!#REF!,0),FALSE))*$P18</f>
        <v>#REF!</v>
      </c>
      <c r="AG18" s="2">
        <f>VLOOKUP($D18,坦克属性统计!$B$3:$AY$33,MATCH(AG$3,坦克属性统计!$B$3:$AY$3,0),FALSE)</f>
        <v>6</v>
      </c>
      <c r="AH18" s="2">
        <f t="shared" si="1"/>
        <v>0.8</v>
      </c>
      <c r="AI18" s="2">
        <f t="shared" si="1"/>
        <v>0</v>
      </c>
      <c r="AJ18" s="2">
        <f t="shared" si="1"/>
        <v>3</v>
      </c>
      <c r="AK18" s="34">
        <f t="shared" si="11"/>
        <v>54</v>
      </c>
      <c r="AL18" s="2" t="e">
        <f ca="1">VLOOKUP($E18&amp;$K18,所有坦克升星属性,MATCH(AL$3,所有坦克升星属性标头,0),FALSE)+ROUND(AQ18/VLOOKUP($E18,坦克部件!#REF!,4,FALSE)*VLOOKUP($E18&amp;0,所有坦克升星属性,MATCH(AL$3,所有坦克升星属性标头,0),FALSE),0)</f>
        <v>#REF!</v>
      </c>
      <c r="AM18" s="2" t="e">
        <f ca="1">VLOOKUP($E18&amp;$K18,所有坦克升星属性,MATCH(AM$3,所有坦克升星属性标头,0),FALSE)+ROUND(AR18/VLOOKUP($E18,坦克部件!#REF!,4,FALSE)*VLOOKUP($E18&amp;0,所有坦克升星属性,MATCH(AM$3,所有坦克升星属性标头,0),FALSE),0)</f>
        <v>#REF!</v>
      </c>
      <c r="AN18" s="2">
        <f t="shared" ca="1" si="2"/>
        <v>401</v>
      </c>
      <c r="AO18" s="2">
        <f t="shared" ca="1" si="2"/>
        <v>301</v>
      </c>
      <c r="AP18" s="2" t="e">
        <f ca="1">VLOOKUP($E18&amp;$K18,所有坦克升星属性,MATCH(AP$3,所有坦克升星属性标头,0),FALSE)+ROUND(AS18/VLOOKUP($E18,坦克部件!#REF!,4,FALSE)*VLOOKUP($E18&amp;0,所有坦克升星属性,MATCH(AP$3,所有坦克升星属性标头,0),FALSE),0)</f>
        <v>#REF!</v>
      </c>
      <c r="AQ18" s="2" t="e">
        <f>(VLOOKUP($T18,坦克部件!#REF!,MATCH("标准值",坦克部件!#REF!,0),FALSE)+VLOOKUP($N18,坦克部件!#REF!,MATCH("标准值",坦克部件!#REF!,0),FALSE))*$Q18</f>
        <v>#REF!</v>
      </c>
      <c r="AR18" s="2" t="e">
        <f>(VLOOKUP($T18,坦克部件!#REF!,MATCH("标准值",坦克部件!#REF!,0),FALSE)+VLOOKUP($N18,坦克部件!#REF!,MATCH("标准值",坦克部件!#REF!,0),FALSE))*$Q18</f>
        <v>#REF!</v>
      </c>
      <c r="AS18" s="2" t="e">
        <f>(VLOOKUP($T18,坦克部件!#REF!,MATCH("标准值",坦克部件!#REF!,0),FALSE)+VLOOKUP($N18,坦克部件!#REF!,MATCH("标准值",坦克部件!#REF!,0),FALSE))*$Q18</f>
        <v>#REF!</v>
      </c>
      <c r="AT18" s="2">
        <f>VLOOKUP($E18,坦克属性统计!$B$3:$AY$33,MATCH(AT$3,坦克属性统计!$B$3:$AY$3,0),FALSE)</f>
        <v>6</v>
      </c>
      <c r="AU18" s="2">
        <f t="shared" si="3"/>
        <v>0.4</v>
      </c>
      <c r="AV18" s="2">
        <f t="shared" si="3"/>
        <v>2.4</v>
      </c>
      <c r="AW18" s="2">
        <f t="shared" si="3"/>
        <v>0</v>
      </c>
      <c r="AX18" s="34">
        <f t="shared" si="12"/>
        <v>31</v>
      </c>
      <c r="AY18" s="2" t="e">
        <f ca="1">VLOOKUP($F18&amp;$L18,所有坦克升星属性,MATCH(AY$3,所有坦克升星属性标头,0),FALSE)+ROUND(BD18/VLOOKUP($F18,坦克部件!#REF!,4,FALSE)*VLOOKUP($F18&amp;0,所有坦克升星属性,MATCH(AY$3,所有坦克升星属性标头,0),FALSE),0)</f>
        <v>#REF!</v>
      </c>
      <c r="AZ18" s="2" t="e">
        <f ca="1">VLOOKUP($F18&amp;$L18,所有坦克升星属性,MATCH(AZ$3,所有坦克升星属性标头,0),FALSE)+ROUND(BE18/VLOOKUP($F18,坦克部件!#REF!,4,FALSE)*VLOOKUP($F18&amp;0,所有坦克升星属性,MATCH(AZ$3,所有坦克升星属性标头,0),FALSE),0)</f>
        <v>#REF!</v>
      </c>
      <c r="BA18" s="2">
        <f t="shared" ca="1" si="4"/>
        <v>343</v>
      </c>
      <c r="BB18" s="2">
        <f t="shared" ca="1" si="4"/>
        <v>274</v>
      </c>
      <c r="BC18" s="2" t="e">
        <f ca="1">VLOOKUP($F18&amp;$L18,所有坦克升星属性,MATCH(BC$3,所有坦克升星属性标头,0),FALSE)+ROUND(BF18/VLOOKUP($F18,坦克部件!#REF!,4,FALSE)*VLOOKUP($F18&amp;0,所有坦克升星属性,MATCH(BC$3,所有坦克升星属性标头,0),FALSE),0)</f>
        <v>#REF!</v>
      </c>
      <c r="BD18" s="2" t="e">
        <f>(VLOOKUP($U18,坦克部件!#REF!,MATCH("标准值",坦克部件!#REF!,0),FALSE)+VLOOKUP($O18,坦克部件!#REF!,MATCH("标准值",坦克部件!#REF!,0),FALSE))*$R18</f>
        <v>#REF!</v>
      </c>
      <c r="BE18" s="2" t="e">
        <f>(VLOOKUP($U18,坦克部件!#REF!,MATCH("标准值",坦克部件!#REF!,0),FALSE)+VLOOKUP($O18,坦克部件!#REF!,MATCH("标准值",坦克部件!#REF!,0),FALSE))*$R18</f>
        <v>#REF!</v>
      </c>
      <c r="BF18" s="2" t="e">
        <f>(VLOOKUP($U18,坦克部件!#REF!,MATCH("标准值",坦克部件!#REF!,0),FALSE)+VLOOKUP($O18,坦克部件!#REF!,MATCH("标准值",坦克部件!#REF!,0),FALSE))*$R18</f>
        <v>#REF!</v>
      </c>
      <c r="BG18" s="2">
        <f>VLOOKUP($F18,坦克属性统计!$B$3:$AY$33,MATCH(BG$3,坦克属性统计!$B$3:$AY$3,0),FALSE)</f>
        <v>3</v>
      </c>
      <c r="BH18" s="2">
        <f t="shared" si="5"/>
        <v>1.88</v>
      </c>
      <c r="BI18" s="2">
        <f t="shared" si="5"/>
        <v>3.6</v>
      </c>
      <c r="BJ18" s="2">
        <f t="shared" si="5"/>
        <v>0</v>
      </c>
      <c r="BK18" s="34">
        <f t="shared" si="13"/>
        <v>19.666666666666668</v>
      </c>
      <c r="BM18" s="1" t="e">
        <f t="shared" ca="1" si="6"/>
        <v>#REF!</v>
      </c>
    </row>
    <row r="19" spans="2:65" x14ac:dyDescent="0.3">
      <c r="B19" s="2">
        <v>16</v>
      </c>
      <c r="C19" s="2" t="e">
        <f t="shared" ca="1" si="7"/>
        <v>#REF!</v>
      </c>
      <c r="D19" s="2" t="s">
        <v>616</v>
      </c>
      <c r="E19" s="2" t="s">
        <v>636</v>
      </c>
      <c r="F19" s="2" t="s">
        <v>655</v>
      </c>
      <c r="G19" s="2" t="str">
        <f>VLOOKUP(D19,坦克个性化设定!$B$18:$F$48,5,FALSE)</f>
        <v>轻坦弹夹</v>
      </c>
      <c r="H19" s="2" t="str">
        <f>VLOOKUP(E19,坦克个性化设定!$B$18:$F$48,5,FALSE)</f>
        <v>中坦自动</v>
      </c>
      <c r="I19" s="2" t="str">
        <f>VLOOKUP(F19,坦克个性化设定!$B$18:$F$48,5,FALSE)</f>
        <v>重坦单发</v>
      </c>
      <c r="J19" s="2">
        <v>1</v>
      </c>
      <c r="K19" s="2">
        <v>0</v>
      </c>
      <c r="L19" s="2">
        <v>0</v>
      </c>
      <c r="M19" s="2" t="s">
        <v>1730</v>
      </c>
      <c r="N19" s="2" t="s">
        <v>1730</v>
      </c>
      <c r="O19" s="2" t="s">
        <v>1728</v>
      </c>
      <c r="P19" s="2">
        <v>6</v>
      </c>
      <c r="Q19" s="2">
        <v>6</v>
      </c>
      <c r="R19" s="2">
        <v>6</v>
      </c>
      <c r="S19" s="2">
        <v>20</v>
      </c>
      <c r="T19" s="2">
        <v>20</v>
      </c>
      <c r="U19" s="2">
        <v>20</v>
      </c>
      <c r="V19" s="42" t="e">
        <f t="shared" ca="1" si="8"/>
        <v>#REF!</v>
      </c>
      <c r="W19" s="42" t="e">
        <f t="shared" ca="1" si="9"/>
        <v>#REF!</v>
      </c>
      <c r="X19" s="42" t="e">
        <f t="shared" ca="1" si="10"/>
        <v>#REF!</v>
      </c>
      <c r="Y19" s="2" t="e">
        <f ca="1">VLOOKUP($D19&amp;$J19,所有坦克升星属性,MATCH(Y$3,所有坦克升星属性标头,0),FALSE)+ROUND(AD19/VLOOKUP($D19,坦克部件!#REF!,4,FALSE)*VLOOKUP($D19&amp;0,所有坦克升星属性,MATCH(Y$3,所有坦克升星属性标头,0),FALSE),0)</f>
        <v>#REF!</v>
      </c>
      <c r="Z19" s="2" t="e">
        <f ca="1">VLOOKUP($D19&amp;$J19,所有坦克升星属性,MATCH(Z$3,所有坦克升星属性标头,0),FALSE)+ROUND(AE19/VLOOKUP($D19,坦克部件!#REF!,4,FALSE)*VLOOKUP($D19&amp;0,所有坦克升星属性,MATCH(Z$3,所有坦克升星属性标头,0),FALSE),0)</f>
        <v>#REF!</v>
      </c>
      <c r="AA19" s="2">
        <f t="shared" ca="1" si="0"/>
        <v>423</v>
      </c>
      <c r="AB19" s="2">
        <f t="shared" ca="1" si="0"/>
        <v>296</v>
      </c>
      <c r="AC19" s="2" t="e">
        <f ca="1">VLOOKUP($D19&amp;$J19,所有坦克升星属性,MATCH(AC$3,所有坦克升星属性标头,0),FALSE)+ROUND(AF19/VLOOKUP($D19,坦克部件!#REF!,4,FALSE)*VLOOKUP($D19&amp;0,所有坦克升星属性,MATCH(AC$3,所有坦克升星属性标头,0),FALSE),0)</f>
        <v>#REF!</v>
      </c>
      <c r="AD19" s="2" t="e">
        <f>(VLOOKUP($S19,坦克部件!#REF!,MATCH("标准值",坦克部件!#REF!,0),FALSE)+VLOOKUP($M19,坦克部件!#REF!,MATCH("标准值",坦克部件!#REF!,0),FALSE))*$P19</f>
        <v>#REF!</v>
      </c>
      <c r="AE19" s="2" t="e">
        <f>(VLOOKUP($S19,坦克部件!#REF!,MATCH("标准值",坦克部件!#REF!,0),FALSE)+VLOOKUP($M19,坦克部件!#REF!,MATCH("标准值",坦克部件!#REF!,0),FALSE))*$P19</f>
        <v>#REF!</v>
      </c>
      <c r="AF19" s="2" t="e">
        <f>(VLOOKUP($S19,坦克部件!#REF!,MATCH("标准值",坦克部件!#REF!,0),FALSE)+VLOOKUP($M19,坦克部件!#REF!,MATCH("标准值",坦克部件!#REF!,0),FALSE))*$P19</f>
        <v>#REF!</v>
      </c>
      <c r="AG19" s="2">
        <f>VLOOKUP($D19,坦克属性统计!$B$3:$AY$33,MATCH(AG$3,坦克属性统计!$B$3:$AY$3,0),FALSE)</f>
        <v>6</v>
      </c>
      <c r="AH19" s="2">
        <f t="shared" si="1"/>
        <v>0.8</v>
      </c>
      <c r="AI19" s="2">
        <f t="shared" si="1"/>
        <v>0</v>
      </c>
      <c r="AJ19" s="2">
        <f t="shared" si="1"/>
        <v>3</v>
      </c>
      <c r="AK19" s="34">
        <f t="shared" si="11"/>
        <v>54</v>
      </c>
      <c r="AL19" s="2" t="e">
        <f ca="1">VLOOKUP($E19&amp;$K19,所有坦克升星属性,MATCH(AL$3,所有坦克升星属性标头,0),FALSE)+ROUND(AQ19/VLOOKUP($E19,坦克部件!#REF!,4,FALSE)*VLOOKUP($E19&amp;0,所有坦克升星属性,MATCH(AL$3,所有坦克升星属性标头,0),FALSE),0)</f>
        <v>#REF!</v>
      </c>
      <c r="AM19" s="2" t="e">
        <f ca="1">VLOOKUP($E19&amp;$K19,所有坦克升星属性,MATCH(AM$3,所有坦克升星属性标头,0),FALSE)+ROUND(AR19/VLOOKUP($E19,坦克部件!#REF!,4,FALSE)*VLOOKUP($E19&amp;0,所有坦克升星属性,MATCH(AM$3,所有坦克升星属性标头,0),FALSE),0)</f>
        <v>#REF!</v>
      </c>
      <c r="AN19" s="2">
        <f t="shared" ca="1" si="2"/>
        <v>401</v>
      </c>
      <c r="AO19" s="2">
        <f t="shared" ca="1" si="2"/>
        <v>301</v>
      </c>
      <c r="AP19" s="2" t="e">
        <f ca="1">VLOOKUP($E19&amp;$K19,所有坦克升星属性,MATCH(AP$3,所有坦克升星属性标头,0),FALSE)+ROUND(AS19/VLOOKUP($E19,坦克部件!#REF!,4,FALSE)*VLOOKUP($E19&amp;0,所有坦克升星属性,MATCH(AP$3,所有坦克升星属性标头,0),FALSE),0)</f>
        <v>#REF!</v>
      </c>
      <c r="AQ19" s="2" t="e">
        <f>(VLOOKUP($T19,坦克部件!#REF!,MATCH("标准值",坦克部件!#REF!,0),FALSE)+VLOOKUP($N19,坦克部件!#REF!,MATCH("标准值",坦克部件!#REF!,0),FALSE))*$Q19</f>
        <v>#REF!</v>
      </c>
      <c r="AR19" s="2" t="e">
        <f>(VLOOKUP($T19,坦克部件!#REF!,MATCH("标准值",坦克部件!#REF!,0),FALSE)+VLOOKUP($N19,坦克部件!#REF!,MATCH("标准值",坦克部件!#REF!,0),FALSE))*$Q19</f>
        <v>#REF!</v>
      </c>
      <c r="AS19" s="2" t="e">
        <f>(VLOOKUP($T19,坦克部件!#REF!,MATCH("标准值",坦克部件!#REF!,0),FALSE)+VLOOKUP($N19,坦克部件!#REF!,MATCH("标准值",坦克部件!#REF!,0),FALSE))*$Q19</f>
        <v>#REF!</v>
      </c>
      <c r="AT19" s="2">
        <f>VLOOKUP($E19,坦克属性统计!$B$3:$AY$33,MATCH(AT$3,坦克属性统计!$B$3:$AY$3,0),FALSE)</f>
        <v>6</v>
      </c>
      <c r="AU19" s="2">
        <f t="shared" si="3"/>
        <v>0.4</v>
      </c>
      <c r="AV19" s="2">
        <f t="shared" si="3"/>
        <v>2.4</v>
      </c>
      <c r="AW19" s="2">
        <f t="shared" si="3"/>
        <v>0</v>
      </c>
      <c r="AX19" s="34">
        <f t="shared" si="12"/>
        <v>31</v>
      </c>
      <c r="AY19" s="2" t="e">
        <f ca="1">VLOOKUP($F19&amp;$L19,所有坦克升星属性,MATCH(AY$3,所有坦克升星属性标头,0),FALSE)+ROUND(BD19/VLOOKUP($F19,坦克部件!#REF!,4,FALSE)*VLOOKUP($F19&amp;0,所有坦克升星属性,MATCH(AY$3,所有坦克升星属性标头,0),FALSE),0)</f>
        <v>#REF!</v>
      </c>
      <c r="AZ19" s="2" t="e">
        <f ca="1">VLOOKUP($F19&amp;$L19,所有坦克升星属性,MATCH(AZ$3,所有坦克升星属性标头,0),FALSE)+ROUND(BE19/VLOOKUP($F19,坦克部件!#REF!,4,FALSE)*VLOOKUP($F19&amp;0,所有坦克升星属性,MATCH(AZ$3,所有坦克升星属性标头,0),FALSE),0)</f>
        <v>#REF!</v>
      </c>
      <c r="BA19" s="2">
        <f t="shared" ca="1" si="4"/>
        <v>383</v>
      </c>
      <c r="BB19" s="2">
        <f t="shared" ca="1" si="4"/>
        <v>307</v>
      </c>
      <c r="BC19" s="2" t="e">
        <f ca="1">VLOOKUP($F19&amp;$L19,所有坦克升星属性,MATCH(BC$3,所有坦克升星属性标头,0),FALSE)+ROUND(BF19/VLOOKUP($F19,坦克部件!#REF!,4,FALSE)*VLOOKUP($F19&amp;0,所有坦克升星属性,MATCH(BC$3,所有坦克升星属性标头,0),FALSE),0)</f>
        <v>#REF!</v>
      </c>
      <c r="BD19" s="2" t="e">
        <f>(VLOOKUP($U19,坦克部件!#REF!,MATCH("标准值",坦克部件!#REF!,0),FALSE)+VLOOKUP($O19,坦克部件!#REF!,MATCH("标准值",坦克部件!#REF!,0),FALSE))*$R19</f>
        <v>#REF!</v>
      </c>
      <c r="BE19" s="2" t="e">
        <f>(VLOOKUP($U19,坦克部件!#REF!,MATCH("标准值",坦克部件!#REF!,0),FALSE)+VLOOKUP($O19,坦克部件!#REF!,MATCH("标准值",坦克部件!#REF!,0),FALSE))*$R19</f>
        <v>#REF!</v>
      </c>
      <c r="BF19" s="2" t="e">
        <f>(VLOOKUP($U19,坦克部件!#REF!,MATCH("标准值",坦克部件!#REF!,0),FALSE)+VLOOKUP($O19,坦克部件!#REF!,MATCH("标准值",坦克部件!#REF!,0),FALSE))*$R19</f>
        <v>#REF!</v>
      </c>
      <c r="BG19" s="2">
        <f>VLOOKUP($F19,坦克属性统计!$B$3:$AY$33,MATCH(BG$3,坦克属性统计!$B$3:$AY$3,0),FALSE)</f>
        <v>1</v>
      </c>
      <c r="BH19" s="2">
        <f t="shared" si="5"/>
        <v>0</v>
      </c>
      <c r="BI19" s="2">
        <f t="shared" si="5"/>
        <v>6</v>
      </c>
      <c r="BJ19" s="2">
        <f t="shared" si="5"/>
        <v>0</v>
      </c>
      <c r="BK19" s="34">
        <f t="shared" si="13"/>
        <v>11</v>
      </c>
      <c r="BM19" s="1" t="e">
        <f t="shared" ca="1" si="6"/>
        <v>#REF!</v>
      </c>
    </row>
    <row r="20" spans="2:65" x14ac:dyDescent="0.3">
      <c r="B20" s="2">
        <v>17</v>
      </c>
      <c r="C20" s="2" t="e">
        <f t="shared" ca="1" si="7"/>
        <v>#REF!</v>
      </c>
      <c r="D20" s="2" t="s">
        <v>616</v>
      </c>
      <c r="E20" s="2" t="s">
        <v>636</v>
      </c>
      <c r="F20" s="2" t="s">
        <v>655</v>
      </c>
      <c r="G20" s="2" t="str">
        <f>VLOOKUP(D20,坦克个性化设定!$B$18:$F$48,5,FALSE)</f>
        <v>轻坦弹夹</v>
      </c>
      <c r="H20" s="2" t="str">
        <f>VLOOKUP(E20,坦克个性化设定!$B$18:$F$48,5,FALSE)</f>
        <v>中坦自动</v>
      </c>
      <c r="I20" s="2" t="str">
        <f>VLOOKUP(F20,坦克个性化设定!$B$18:$F$48,5,FALSE)</f>
        <v>重坦单发</v>
      </c>
      <c r="J20" s="2">
        <v>1</v>
      </c>
      <c r="K20" s="2">
        <v>1</v>
      </c>
      <c r="L20" s="2">
        <v>0</v>
      </c>
      <c r="M20" s="2" t="s">
        <v>1730</v>
      </c>
      <c r="N20" s="2" t="s">
        <v>1730</v>
      </c>
      <c r="O20" s="2" t="s">
        <v>1730</v>
      </c>
      <c r="P20" s="2">
        <v>6</v>
      </c>
      <c r="Q20" s="2">
        <v>6</v>
      </c>
      <c r="R20" s="2">
        <v>6</v>
      </c>
      <c r="S20" s="2">
        <v>20</v>
      </c>
      <c r="T20" s="2">
        <v>20</v>
      </c>
      <c r="U20" s="2">
        <v>20</v>
      </c>
      <c r="V20" s="42" t="e">
        <f t="shared" ca="1" si="8"/>
        <v>#REF!</v>
      </c>
      <c r="W20" s="42" t="e">
        <f t="shared" ca="1" si="9"/>
        <v>#REF!</v>
      </c>
      <c r="X20" s="42" t="e">
        <f t="shared" ca="1" si="10"/>
        <v>#REF!</v>
      </c>
      <c r="Y20" s="2" t="e">
        <f ca="1">VLOOKUP($D20&amp;$J20,所有坦克升星属性,MATCH(Y$3,所有坦克升星属性标头,0),FALSE)+ROUND(AD20/VLOOKUP($D20,坦克部件!#REF!,4,FALSE)*VLOOKUP($D20&amp;0,所有坦克升星属性,MATCH(Y$3,所有坦克升星属性标头,0),FALSE),0)</f>
        <v>#REF!</v>
      </c>
      <c r="Z20" s="2" t="e">
        <f ca="1">VLOOKUP($D20&amp;$J20,所有坦克升星属性,MATCH(Z$3,所有坦克升星属性标头,0),FALSE)+ROUND(AE20/VLOOKUP($D20,坦克部件!#REF!,4,FALSE)*VLOOKUP($D20&amp;0,所有坦克升星属性,MATCH(Z$3,所有坦克升星属性标头,0),FALSE),0)</f>
        <v>#REF!</v>
      </c>
      <c r="AA20" s="2">
        <f t="shared" ca="1" si="0"/>
        <v>423</v>
      </c>
      <c r="AB20" s="2">
        <f t="shared" ca="1" si="0"/>
        <v>296</v>
      </c>
      <c r="AC20" s="2" t="e">
        <f ca="1">VLOOKUP($D20&amp;$J20,所有坦克升星属性,MATCH(AC$3,所有坦克升星属性标头,0),FALSE)+ROUND(AF20/VLOOKUP($D20,坦克部件!#REF!,4,FALSE)*VLOOKUP($D20&amp;0,所有坦克升星属性,MATCH(AC$3,所有坦克升星属性标头,0),FALSE),0)</f>
        <v>#REF!</v>
      </c>
      <c r="AD20" s="2" t="e">
        <f>(VLOOKUP($S20,坦克部件!#REF!,MATCH("标准值",坦克部件!#REF!,0),FALSE)+VLOOKUP($M20,坦克部件!#REF!,MATCH("标准值",坦克部件!#REF!,0),FALSE))*$P20</f>
        <v>#REF!</v>
      </c>
      <c r="AE20" s="2" t="e">
        <f>(VLOOKUP($S20,坦克部件!#REF!,MATCH("标准值",坦克部件!#REF!,0),FALSE)+VLOOKUP($M20,坦克部件!#REF!,MATCH("标准值",坦克部件!#REF!,0),FALSE))*$P20</f>
        <v>#REF!</v>
      </c>
      <c r="AF20" s="2" t="e">
        <f>(VLOOKUP($S20,坦克部件!#REF!,MATCH("标准值",坦克部件!#REF!,0),FALSE)+VLOOKUP($M20,坦克部件!#REF!,MATCH("标准值",坦克部件!#REF!,0),FALSE))*$P20</f>
        <v>#REF!</v>
      </c>
      <c r="AG20" s="2">
        <f>VLOOKUP($D20,坦克属性统计!$B$3:$AY$33,MATCH(AG$3,坦克属性统计!$B$3:$AY$3,0),FALSE)</f>
        <v>6</v>
      </c>
      <c r="AH20" s="2">
        <f t="shared" si="1"/>
        <v>0.8</v>
      </c>
      <c r="AI20" s="2">
        <f t="shared" si="1"/>
        <v>0</v>
      </c>
      <c r="AJ20" s="2">
        <f t="shared" si="1"/>
        <v>3</v>
      </c>
      <c r="AK20" s="34">
        <f t="shared" si="11"/>
        <v>54</v>
      </c>
      <c r="AL20" s="2" t="e">
        <f ca="1">VLOOKUP($E20&amp;$K20,所有坦克升星属性,MATCH(AL$3,所有坦克升星属性标头,0),FALSE)+ROUND(AQ20/VLOOKUP($E20,坦克部件!#REF!,4,FALSE)*VLOOKUP($E20&amp;0,所有坦克升星属性,MATCH(AL$3,所有坦克升星属性标头,0),FALSE),0)</f>
        <v>#REF!</v>
      </c>
      <c r="AM20" s="2" t="e">
        <f ca="1">VLOOKUP($E20&amp;$K20,所有坦克升星属性,MATCH(AM$3,所有坦克升星属性标头,0),FALSE)+ROUND(AR20/VLOOKUP($E20,坦克部件!#REF!,4,FALSE)*VLOOKUP($E20&amp;0,所有坦克升星属性,MATCH(AM$3,所有坦克升星属性标头,0),FALSE),0)</f>
        <v>#REF!</v>
      </c>
      <c r="AN20" s="2">
        <f t="shared" ca="1" si="2"/>
        <v>423</v>
      </c>
      <c r="AO20" s="2">
        <f t="shared" ca="1" si="2"/>
        <v>317</v>
      </c>
      <c r="AP20" s="2" t="e">
        <f ca="1">VLOOKUP($E20&amp;$K20,所有坦克升星属性,MATCH(AP$3,所有坦克升星属性标头,0),FALSE)+ROUND(AS20/VLOOKUP($E20,坦克部件!#REF!,4,FALSE)*VLOOKUP($E20&amp;0,所有坦克升星属性,MATCH(AP$3,所有坦克升星属性标头,0),FALSE),0)</f>
        <v>#REF!</v>
      </c>
      <c r="AQ20" s="2" t="e">
        <f>(VLOOKUP($T20,坦克部件!#REF!,MATCH("标准值",坦克部件!#REF!,0),FALSE)+VLOOKUP($N20,坦克部件!#REF!,MATCH("标准值",坦克部件!#REF!,0),FALSE))*$Q20</f>
        <v>#REF!</v>
      </c>
      <c r="AR20" s="2" t="e">
        <f>(VLOOKUP($T20,坦克部件!#REF!,MATCH("标准值",坦克部件!#REF!,0),FALSE)+VLOOKUP($N20,坦克部件!#REF!,MATCH("标准值",坦克部件!#REF!,0),FALSE))*$Q20</f>
        <v>#REF!</v>
      </c>
      <c r="AS20" s="2" t="e">
        <f>(VLOOKUP($T20,坦克部件!#REF!,MATCH("标准值",坦克部件!#REF!,0),FALSE)+VLOOKUP($N20,坦克部件!#REF!,MATCH("标准值",坦克部件!#REF!,0),FALSE))*$Q20</f>
        <v>#REF!</v>
      </c>
      <c r="AT20" s="2">
        <f>VLOOKUP($E20,坦克属性统计!$B$3:$AY$33,MATCH(AT$3,坦克属性统计!$B$3:$AY$3,0),FALSE)</f>
        <v>6</v>
      </c>
      <c r="AU20" s="2">
        <f t="shared" si="3"/>
        <v>0.4</v>
      </c>
      <c r="AV20" s="2">
        <f t="shared" si="3"/>
        <v>2.35</v>
      </c>
      <c r="AW20" s="2">
        <f t="shared" si="3"/>
        <v>0</v>
      </c>
      <c r="AX20" s="34">
        <f t="shared" si="12"/>
        <v>31.531914893617021</v>
      </c>
      <c r="AY20" s="2" t="e">
        <f ca="1">VLOOKUP($F20&amp;$L20,所有坦克升星属性,MATCH(AY$3,所有坦克升星属性标头,0),FALSE)+ROUND(BD20/VLOOKUP($F20,坦克部件!#REF!,4,FALSE)*VLOOKUP($F20&amp;0,所有坦克升星属性,MATCH(AY$3,所有坦克升星属性标头,0),FALSE),0)</f>
        <v>#REF!</v>
      </c>
      <c r="AZ20" s="2" t="e">
        <f ca="1">VLOOKUP($F20&amp;$L20,所有坦克升星属性,MATCH(AZ$3,所有坦克升星属性标头,0),FALSE)+ROUND(BE20/VLOOKUP($F20,坦克部件!#REF!,4,FALSE)*VLOOKUP($F20&amp;0,所有坦克升星属性,MATCH(AZ$3,所有坦克升星属性标头,0),FALSE),0)</f>
        <v>#REF!</v>
      </c>
      <c r="BA20" s="2">
        <f t="shared" ca="1" si="4"/>
        <v>383</v>
      </c>
      <c r="BB20" s="2">
        <f t="shared" ca="1" si="4"/>
        <v>307</v>
      </c>
      <c r="BC20" s="2" t="e">
        <f ca="1">VLOOKUP($F20&amp;$L20,所有坦克升星属性,MATCH(BC$3,所有坦克升星属性标头,0),FALSE)+ROUND(BF20/VLOOKUP($F20,坦克部件!#REF!,4,FALSE)*VLOOKUP($F20&amp;0,所有坦克升星属性,MATCH(BC$3,所有坦克升星属性标头,0),FALSE),0)</f>
        <v>#REF!</v>
      </c>
      <c r="BD20" s="2" t="e">
        <f>(VLOOKUP($U20,坦克部件!#REF!,MATCH("标准值",坦克部件!#REF!,0),FALSE)+VLOOKUP($O20,坦克部件!#REF!,MATCH("标准值",坦克部件!#REF!,0),FALSE))*$R20</f>
        <v>#REF!</v>
      </c>
      <c r="BE20" s="2" t="e">
        <f>(VLOOKUP($U20,坦克部件!#REF!,MATCH("标准值",坦克部件!#REF!,0),FALSE)+VLOOKUP($O20,坦克部件!#REF!,MATCH("标准值",坦克部件!#REF!,0),FALSE))*$R20</f>
        <v>#REF!</v>
      </c>
      <c r="BF20" s="2" t="e">
        <f>(VLOOKUP($U20,坦克部件!#REF!,MATCH("标准值",坦克部件!#REF!,0),FALSE)+VLOOKUP($O20,坦克部件!#REF!,MATCH("标准值",坦克部件!#REF!,0),FALSE))*$R20</f>
        <v>#REF!</v>
      </c>
      <c r="BG20" s="2">
        <f>VLOOKUP($F20,坦克属性统计!$B$3:$AY$33,MATCH(BG$3,坦克属性统计!$B$3:$AY$3,0),FALSE)</f>
        <v>1</v>
      </c>
      <c r="BH20" s="2">
        <f t="shared" si="5"/>
        <v>0</v>
      </c>
      <c r="BI20" s="2">
        <f t="shared" si="5"/>
        <v>6</v>
      </c>
      <c r="BJ20" s="2">
        <f t="shared" si="5"/>
        <v>0</v>
      </c>
      <c r="BK20" s="34">
        <f t="shared" si="13"/>
        <v>11</v>
      </c>
      <c r="BM20" s="1" t="e">
        <f t="shared" ca="1" si="6"/>
        <v>#REF!</v>
      </c>
    </row>
    <row r="21" spans="2:65" x14ac:dyDescent="0.3">
      <c r="B21" s="2">
        <v>18</v>
      </c>
      <c r="C21" s="2" t="e">
        <f t="shared" ca="1" si="7"/>
        <v>#REF!</v>
      </c>
      <c r="D21" s="2" t="s">
        <v>530</v>
      </c>
      <c r="E21" s="2" t="s">
        <v>534</v>
      </c>
      <c r="F21" s="2" t="s">
        <v>538</v>
      </c>
      <c r="G21" s="2" t="str">
        <f>VLOOKUP(D21,坦克个性化设定!$B$18:$F$48,5,FALSE)</f>
        <v>轻坦弹夹</v>
      </c>
      <c r="H21" s="2" t="str">
        <f>VLOOKUP(E21,坦克个性化设定!$B$18:$F$48,5,FALSE)</f>
        <v>中坦自动</v>
      </c>
      <c r="I21" s="2" t="str">
        <f>VLOOKUP(F21,坦克个性化设定!$B$18:$F$48,5,FALSE)</f>
        <v>重坦单发</v>
      </c>
      <c r="J21" s="2">
        <v>1</v>
      </c>
      <c r="K21" s="2">
        <v>1</v>
      </c>
      <c r="L21" s="2">
        <v>1</v>
      </c>
      <c r="M21" s="2" t="s">
        <v>1731</v>
      </c>
      <c r="N21" s="2" t="s">
        <v>1731</v>
      </c>
      <c r="O21" s="2" t="s">
        <v>1732</v>
      </c>
      <c r="P21" s="2">
        <v>6</v>
      </c>
      <c r="Q21" s="2">
        <v>6</v>
      </c>
      <c r="R21" s="2">
        <v>6</v>
      </c>
      <c r="S21" s="2">
        <v>30</v>
      </c>
      <c r="T21" s="2">
        <v>30</v>
      </c>
      <c r="U21" s="2">
        <v>30</v>
      </c>
      <c r="V21" s="42" t="e">
        <f t="shared" ca="1" si="8"/>
        <v>#REF!</v>
      </c>
      <c r="W21" s="42" t="e">
        <f t="shared" ca="1" si="9"/>
        <v>#REF!</v>
      </c>
      <c r="X21" s="42" t="e">
        <f t="shared" ca="1" si="10"/>
        <v>#REF!</v>
      </c>
      <c r="Y21" s="2" t="e">
        <f ca="1">VLOOKUP($D21&amp;$J21,所有坦克升星属性,MATCH(Y$3,所有坦克升星属性标头,0),FALSE)+ROUND(AD21/VLOOKUP($D21,坦克部件!#REF!,4,FALSE)*VLOOKUP($D21&amp;0,所有坦克升星属性,MATCH(Y$3,所有坦克升星属性标头,0),FALSE),0)</f>
        <v>#REF!</v>
      </c>
      <c r="Z21" s="2" t="e">
        <f ca="1">VLOOKUP($D21&amp;$J21,所有坦克升星属性,MATCH(Z$3,所有坦克升星属性标头,0),FALSE)+ROUND(AE21/VLOOKUP($D21,坦克部件!#REF!,4,FALSE)*VLOOKUP($D21&amp;0,所有坦克升星属性,MATCH(Z$3,所有坦克升星属性标头,0),FALSE),0)</f>
        <v>#REF!</v>
      </c>
      <c r="AA21" s="2">
        <f t="shared" ca="1" si="0"/>
        <v>507</v>
      </c>
      <c r="AB21" s="2">
        <f t="shared" ca="1" si="0"/>
        <v>355</v>
      </c>
      <c r="AC21" s="2" t="e">
        <f ca="1">VLOOKUP($D21&amp;$J21,所有坦克升星属性,MATCH(AC$3,所有坦克升星属性标头,0),FALSE)+ROUND(AF21/VLOOKUP($D21,坦克部件!#REF!,4,FALSE)*VLOOKUP($D21&amp;0,所有坦克升星属性,MATCH(AC$3,所有坦克升星属性标头,0),FALSE),0)</f>
        <v>#REF!</v>
      </c>
      <c r="AD21" s="2" t="e">
        <f>(VLOOKUP($S21,坦克部件!#REF!,MATCH("标准值",坦克部件!#REF!,0),FALSE)+VLOOKUP($M21,坦克部件!#REF!,MATCH("标准值",坦克部件!#REF!,0),FALSE))*$P21</f>
        <v>#REF!</v>
      </c>
      <c r="AE21" s="2" t="e">
        <f>(VLOOKUP($S21,坦克部件!#REF!,MATCH("标准值",坦克部件!#REF!,0),FALSE)+VLOOKUP($M21,坦克部件!#REF!,MATCH("标准值",坦克部件!#REF!,0),FALSE))*$P21</f>
        <v>#REF!</v>
      </c>
      <c r="AF21" s="2" t="e">
        <f>(VLOOKUP($S21,坦克部件!#REF!,MATCH("标准值",坦克部件!#REF!,0),FALSE)+VLOOKUP($M21,坦克部件!#REF!,MATCH("标准值",坦克部件!#REF!,0),FALSE))*$P21</f>
        <v>#REF!</v>
      </c>
      <c r="AG21" s="2">
        <f>VLOOKUP($D21,坦克属性统计!$B$3:$AY$33,MATCH(AG$3,坦克属性统计!$B$3:$AY$3,0),FALSE)</f>
        <v>9</v>
      </c>
      <c r="AH21" s="2">
        <f t="shared" si="1"/>
        <v>0.8</v>
      </c>
      <c r="AI21" s="2">
        <f t="shared" si="1"/>
        <v>0</v>
      </c>
      <c r="AJ21" s="2">
        <f t="shared" si="1"/>
        <v>6.1</v>
      </c>
      <c r="AK21" s="34">
        <f t="shared" si="11"/>
        <v>47.591999999999999</v>
      </c>
      <c r="AL21" s="2" t="e">
        <f ca="1">VLOOKUP($E21&amp;$K21,所有坦克升星属性,MATCH(AL$3,所有坦克升星属性标头,0),FALSE)+ROUND(AQ21/VLOOKUP($E21,坦克部件!#REF!,4,FALSE)*VLOOKUP($E21&amp;0,所有坦克升星属性,MATCH(AL$3,所有坦克升星属性标头,0),FALSE),0)</f>
        <v>#REF!</v>
      </c>
      <c r="AM21" s="2" t="e">
        <f ca="1">VLOOKUP($E21&amp;$K21,所有坦克升星属性,MATCH(AM$3,所有坦克升星属性标头,0),FALSE)+ROUND(AR21/VLOOKUP($E21,坦克部件!#REF!,4,FALSE)*VLOOKUP($E21&amp;0,所有坦克升星属性,MATCH(AM$3,所有坦克升星属性标头,0),FALSE),0)</f>
        <v>#REF!</v>
      </c>
      <c r="AN21" s="2">
        <f t="shared" ca="1" si="2"/>
        <v>507</v>
      </c>
      <c r="AO21" s="2">
        <f t="shared" ca="1" si="2"/>
        <v>381</v>
      </c>
      <c r="AP21" s="2" t="e">
        <f ca="1">VLOOKUP($E21&amp;$K21,所有坦克升星属性,MATCH(AP$3,所有坦克升星属性标头,0),FALSE)+ROUND(AS21/VLOOKUP($E21,坦克部件!#REF!,4,FALSE)*VLOOKUP($E21&amp;0,所有坦克升星属性,MATCH(AP$3,所有坦克升星属性标头,0),FALSE),0)</f>
        <v>#REF!</v>
      </c>
      <c r="AQ21" s="2" t="e">
        <f>(VLOOKUP($T21,坦克部件!#REF!,MATCH("标准值",坦克部件!#REF!,0),FALSE)+VLOOKUP($N21,坦克部件!#REF!,MATCH("标准值",坦克部件!#REF!,0),FALSE))*$Q21</f>
        <v>#REF!</v>
      </c>
      <c r="AR21" s="2" t="e">
        <f>(VLOOKUP($T21,坦克部件!#REF!,MATCH("标准值",坦克部件!#REF!,0),FALSE)+VLOOKUP($N21,坦克部件!#REF!,MATCH("标准值",坦克部件!#REF!,0),FALSE))*$Q21</f>
        <v>#REF!</v>
      </c>
      <c r="AS21" s="2" t="e">
        <f>(VLOOKUP($T21,坦克部件!#REF!,MATCH("标准值",坦克部件!#REF!,0),FALSE)+VLOOKUP($N21,坦克部件!#REF!,MATCH("标准值",坦克部件!#REF!,0),FALSE))*$Q21</f>
        <v>#REF!</v>
      </c>
      <c r="AT21" s="2">
        <f>VLOOKUP($E21,坦克属性统计!$B$3:$AY$33,MATCH(AT$3,坦克属性统计!$B$3:$AY$3,0),FALSE)</f>
        <v>9</v>
      </c>
      <c r="AU21" s="2">
        <f t="shared" si="3"/>
        <v>0.32</v>
      </c>
      <c r="AV21" s="2">
        <f t="shared" si="3"/>
        <v>0</v>
      </c>
      <c r="AW21" s="2">
        <f t="shared" si="3"/>
        <v>3.1</v>
      </c>
      <c r="AX21" s="34" t="e">
        <f t="shared" si="12"/>
        <v>#DIV/0!</v>
      </c>
      <c r="AY21" s="2" t="e">
        <f ca="1">VLOOKUP($F21&amp;$L21,所有坦克升星属性,MATCH(AY$3,所有坦克升星属性标头,0),FALSE)+ROUND(BD21/VLOOKUP($F21,坦克部件!#REF!,4,FALSE)*VLOOKUP($F21&amp;0,所有坦克升星属性,MATCH(AY$3,所有坦克升星属性标头,0),FALSE),0)</f>
        <v>#REF!</v>
      </c>
      <c r="AZ21" s="2" t="e">
        <f ca="1">VLOOKUP($F21&amp;$L21,所有坦克升星属性,MATCH(AZ$3,所有坦克升星属性标头,0),FALSE)+ROUND(BE21/VLOOKUP($F21,坦克部件!#REF!,4,FALSE)*VLOOKUP($F21&amp;0,所有坦克升星属性,MATCH(AZ$3,所有坦克升星属性标头,0),FALSE),0)</f>
        <v>#REF!</v>
      </c>
      <c r="BA21" s="2">
        <f t="shared" ca="1" si="4"/>
        <v>485</v>
      </c>
      <c r="BB21" s="2">
        <f t="shared" ca="1" si="4"/>
        <v>388</v>
      </c>
      <c r="BC21" s="2" t="e">
        <f ca="1">VLOOKUP($F21&amp;$L21,所有坦克升星属性,MATCH(BC$3,所有坦克升星属性标头,0),FALSE)+ROUND(BF21/VLOOKUP($F21,坦克部件!#REF!,4,FALSE)*VLOOKUP($F21&amp;0,所有坦克升星属性,MATCH(BC$3,所有坦克升星属性标头,0),FALSE),0)</f>
        <v>#REF!</v>
      </c>
      <c r="BD21" s="2" t="e">
        <f>(VLOOKUP($U21,坦克部件!#REF!,MATCH("标准值",坦克部件!#REF!,0),FALSE)+VLOOKUP($O21,坦克部件!#REF!,MATCH("标准值",坦克部件!#REF!,0),FALSE))*$R21</f>
        <v>#REF!</v>
      </c>
      <c r="BE21" s="2" t="e">
        <f>(VLOOKUP($U21,坦克部件!#REF!,MATCH("标准值",坦克部件!#REF!,0),FALSE)+VLOOKUP($O21,坦克部件!#REF!,MATCH("标准值",坦克部件!#REF!,0),FALSE))*$R21</f>
        <v>#REF!</v>
      </c>
      <c r="BF21" s="2" t="e">
        <f>(VLOOKUP($U21,坦克部件!#REF!,MATCH("标准值",坦克部件!#REF!,0),FALSE)+VLOOKUP($O21,坦克部件!#REF!,MATCH("标准值",坦克部件!#REF!,0),FALSE))*$R21</f>
        <v>#REF!</v>
      </c>
      <c r="BG21" s="2">
        <f>VLOOKUP($F21,坦克属性统计!$B$3:$AY$33,MATCH(BG$3,坦克属性统计!$B$3:$AY$3,0),FALSE)</f>
        <v>1</v>
      </c>
      <c r="BH21" s="2">
        <f t="shared" si="5"/>
        <v>0</v>
      </c>
      <c r="BI21" s="2">
        <f t="shared" si="5"/>
        <v>5.91</v>
      </c>
      <c r="BJ21" s="2">
        <f t="shared" si="5"/>
        <v>0</v>
      </c>
      <c r="BK21" s="34">
        <f t="shared" si="13"/>
        <v>11.152284263959391</v>
      </c>
      <c r="BM21" s="1" t="e">
        <f t="shared" ca="1" si="6"/>
        <v>#REF!</v>
      </c>
    </row>
    <row r="22" spans="2:65" x14ac:dyDescent="0.3">
      <c r="B22" s="2">
        <v>19</v>
      </c>
      <c r="C22" s="2" t="e">
        <f t="shared" ca="1" si="7"/>
        <v>#REF!</v>
      </c>
      <c r="D22" s="2" t="s">
        <v>530</v>
      </c>
      <c r="E22" s="2" t="s">
        <v>534</v>
      </c>
      <c r="F22" s="2" t="s">
        <v>538</v>
      </c>
      <c r="G22" s="2" t="str">
        <f>VLOOKUP(D22,坦克个性化设定!$B$18:$F$48,5,FALSE)</f>
        <v>轻坦弹夹</v>
      </c>
      <c r="H22" s="2" t="str">
        <f>VLOOKUP(E22,坦克个性化设定!$B$18:$F$48,5,FALSE)</f>
        <v>中坦自动</v>
      </c>
      <c r="I22" s="2" t="str">
        <f>VLOOKUP(F22,坦克个性化设定!$B$18:$F$48,5,FALSE)</f>
        <v>重坦单发</v>
      </c>
      <c r="J22" s="2">
        <v>2</v>
      </c>
      <c r="K22" s="2">
        <v>2</v>
      </c>
      <c r="L22" s="2">
        <v>2</v>
      </c>
      <c r="M22" s="2" t="s">
        <v>1731</v>
      </c>
      <c r="N22" s="2" t="s">
        <v>1731</v>
      </c>
      <c r="O22" s="2" t="s">
        <v>1731</v>
      </c>
      <c r="P22" s="2">
        <v>6</v>
      </c>
      <c r="Q22" s="2">
        <v>6</v>
      </c>
      <c r="R22" s="2">
        <v>6</v>
      </c>
      <c r="S22" s="2">
        <v>30</v>
      </c>
      <c r="T22" s="2">
        <v>30</v>
      </c>
      <c r="U22" s="2">
        <v>30</v>
      </c>
      <c r="V22" s="42" t="e">
        <f t="shared" ca="1" si="8"/>
        <v>#REF!</v>
      </c>
      <c r="W22" s="42" t="e">
        <f t="shared" ca="1" si="9"/>
        <v>#REF!</v>
      </c>
      <c r="X22" s="42" t="e">
        <f t="shared" ca="1" si="10"/>
        <v>#REF!</v>
      </c>
      <c r="Y22" s="2" t="e">
        <f ca="1">VLOOKUP($D22&amp;$J22,所有坦克升星属性,MATCH(Y$3,所有坦克升星属性标头,0),FALSE)+ROUND(AD22/VLOOKUP($D22,坦克部件!#REF!,4,FALSE)*VLOOKUP($D22&amp;0,所有坦克升星属性,MATCH(Y$3,所有坦克升星属性标头,0),FALSE),0)</f>
        <v>#REF!</v>
      </c>
      <c r="Z22" s="2" t="e">
        <f ca="1">VLOOKUP($D22&amp;$J22,所有坦克升星属性,MATCH(Z$3,所有坦克升星属性标头,0),FALSE)+ROUND(AE22/VLOOKUP($D22,坦克部件!#REF!,4,FALSE)*VLOOKUP($D22&amp;0,所有坦克升星属性,MATCH(Z$3,所有坦克升星属性标头,0),FALSE),0)</f>
        <v>#REF!</v>
      </c>
      <c r="AA22" s="2">
        <f t="shared" ca="1" si="0"/>
        <v>528</v>
      </c>
      <c r="AB22" s="2">
        <f t="shared" ca="1" si="0"/>
        <v>370</v>
      </c>
      <c r="AC22" s="2" t="e">
        <f ca="1">VLOOKUP($D22&amp;$J22,所有坦克升星属性,MATCH(AC$3,所有坦克升星属性标头,0),FALSE)+ROUND(AF22/VLOOKUP($D22,坦克部件!#REF!,4,FALSE)*VLOOKUP($D22&amp;0,所有坦克升星属性,MATCH(AC$3,所有坦克升星属性标头,0),FALSE),0)</f>
        <v>#REF!</v>
      </c>
      <c r="AD22" s="2" t="e">
        <f>(VLOOKUP($S22,坦克部件!#REF!,MATCH("标准值",坦克部件!#REF!,0),FALSE)+VLOOKUP($M22,坦克部件!#REF!,MATCH("标准值",坦克部件!#REF!,0),FALSE))*$P22</f>
        <v>#REF!</v>
      </c>
      <c r="AE22" s="2" t="e">
        <f>(VLOOKUP($S22,坦克部件!#REF!,MATCH("标准值",坦克部件!#REF!,0),FALSE)+VLOOKUP($M22,坦克部件!#REF!,MATCH("标准值",坦克部件!#REF!,0),FALSE))*$P22</f>
        <v>#REF!</v>
      </c>
      <c r="AF22" s="2" t="e">
        <f>(VLOOKUP($S22,坦克部件!#REF!,MATCH("标准值",坦克部件!#REF!,0),FALSE)+VLOOKUP($M22,坦克部件!#REF!,MATCH("标准值",坦克部件!#REF!,0),FALSE))*$P22</f>
        <v>#REF!</v>
      </c>
      <c r="AG22" s="2">
        <f>VLOOKUP($D22,坦克属性统计!$B$3:$AY$33,MATCH(AG$3,坦克属性统计!$B$3:$AY$3,0),FALSE)</f>
        <v>9</v>
      </c>
      <c r="AH22" s="2">
        <f t="shared" si="1"/>
        <v>0.8</v>
      </c>
      <c r="AI22" s="2">
        <f t="shared" si="1"/>
        <v>0</v>
      </c>
      <c r="AJ22" s="2">
        <f t="shared" si="1"/>
        <v>5.9</v>
      </c>
      <c r="AK22" s="34">
        <f t="shared" si="11"/>
        <v>48.219512195121951</v>
      </c>
      <c r="AL22" s="2" t="e">
        <f ca="1">VLOOKUP($E22&amp;$K22,所有坦克升星属性,MATCH(AL$3,所有坦克升星属性标头,0),FALSE)+ROUND(AQ22/VLOOKUP($E22,坦克部件!#REF!,4,FALSE)*VLOOKUP($E22&amp;0,所有坦克升星属性,MATCH(AL$3,所有坦克升星属性标头,0),FALSE),0)</f>
        <v>#REF!</v>
      </c>
      <c r="AM22" s="2" t="e">
        <f ca="1">VLOOKUP($E22&amp;$K22,所有坦克升星属性,MATCH(AM$3,所有坦克升星属性标头,0),FALSE)+ROUND(AR22/VLOOKUP($E22,坦克部件!#REF!,4,FALSE)*VLOOKUP($E22&amp;0,所有坦克升星属性,MATCH(AM$3,所有坦克升星属性标头,0),FALSE),0)</f>
        <v>#REF!</v>
      </c>
      <c r="AN22" s="2">
        <f t="shared" ca="1" si="2"/>
        <v>528</v>
      </c>
      <c r="AO22" s="2">
        <f t="shared" ca="1" si="2"/>
        <v>397</v>
      </c>
      <c r="AP22" s="2" t="e">
        <f ca="1">VLOOKUP($E22&amp;$K22,所有坦克升星属性,MATCH(AP$3,所有坦克升星属性标头,0),FALSE)+ROUND(AS22/VLOOKUP($E22,坦克部件!#REF!,4,FALSE)*VLOOKUP($E22&amp;0,所有坦克升星属性,MATCH(AP$3,所有坦克升星属性标头,0),FALSE),0)</f>
        <v>#REF!</v>
      </c>
      <c r="AQ22" s="2" t="e">
        <f>(VLOOKUP($T22,坦克部件!#REF!,MATCH("标准值",坦克部件!#REF!,0),FALSE)+VLOOKUP($N22,坦克部件!#REF!,MATCH("标准值",坦克部件!#REF!,0),FALSE))*$Q22</f>
        <v>#REF!</v>
      </c>
      <c r="AR22" s="2" t="e">
        <f>(VLOOKUP($T22,坦克部件!#REF!,MATCH("标准值",坦克部件!#REF!,0),FALSE)+VLOOKUP($N22,坦克部件!#REF!,MATCH("标准值",坦克部件!#REF!,0),FALSE))*$Q22</f>
        <v>#REF!</v>
      </c>
      <c r="AS22" s="2" t="e">
        <f>(VLOOKUP($T22,坦克部件!#REF!,MATCH("标准值",坦克部件!#REF!,0),FALSE)+VLOOKUP($N22,坦克部件!#REF!,MATCH("标准值",坦克部件!#REF!,0),FALSE))*$Q22</f>
        <v>#REF!</v>
      </c>
      <c r="AT22" s="2">
        <f>VLOOKUP($E22,坦克属性统计!$B$3:$AY$33,MATCH(AT$3,坦克属性统计!$B$3:$AY$3,0),FALSE)</f>
        <v>9</v>
      </c>
      <c r="AU22" s="2">
        <f t="shared" si="3"/>
        <v>0.35</v>
      </c>
      <c r="AV22" s="2">
        <f t="shared" si="3"/>
        <v>0</v>
      </c>
      <c r="AW22" s="2">
        <f t="shared" si="3"/>
        <v>3.1</v>
      </c>
      <c r="AX22" s="34" t="e">
        <f t="shared" si="12"/>
        <v>#DIV/0!</v>
      </c>
      <c r="AY22" s="2" t="e">
        <f ca="1">VLOOKUP($F22&amp;$L22,所有坦克升星属性,MATCH(AY$3,所有坦克升星属性标头,0),FALSE)+ROUND(BD22/VLOOKUP($F22,坦克部件!#REF!,4,FALSE)*VLOOKUP($F22&amp;0,所有坦克升星属性,MATCH(AY$3,所有坦克升星属性标头,0),FALSE),0)</f>
        <v>#REF!</v>
      </c>
      <c r="AZ22" s="2" t="e">
        <f ca="1">VLOOKUP($F22&amp;$L22,所有坦克升星属性,MATCH(AZ$3,所有坦克升星属性标头,0),FALSE)+ROUND(BE22/VLOOKUP($F22,坦克部件!#REF!,4,FALSE)*VLOOKUP($F22&amp;0,所有坦克升星属性,MATCH(AZ$3,所有坦克升星属性标头,0),FALSE),0)</f>
        <v>#REF!</v>
      </c>
      <c r="BA22" s="2">
        <f t="shared" ca="1" si="4"/>
        <v>506</v>
      </c>
      <c r="BB22" s="2">
        <f t="shared" ca="1" si="4"/>
        <v>404</v>
      </c>
      <c r="BC22" s="2" t="e">
        <f ca="1">VLOOKUP($F22&amp;$L22,所有坦克升星属性,MATCH(BC$3,所有坦克升星属性标头,0),FALSE)+ROUND(BF22/VLOOKUP($F22,坦克部件!#REF!,4,FALSE)*VLOOKUP($F22&amp;0,所有坦克升星属性,MATCH(BC$3,所有坦克升星属性标头,0),FALSE),0)</f>
        <v>#REF!</v>
      </c>
      <c r="BD22" s="2" t="e">
        <f>(VLOOKUP($U22,坦克部件!#REF!,MATCH("标准值",坦克部件!#REF!,0),FALSE)+VLOOKUP($O22,坦克部件!#REF!,MATCH("标准值",坦克部件!#REF!,0),FALSE))*$R22</f>
        <v>#REF!</v>
      </c>
      <c r="BE22" s="2" t="e">
        <f>(VLOOKUP($U22,坦克部件!#REF!,MATCH("标准值",坦克部件!#REF!,0),FALSE)+VLOOKUP($O22,坦克部件!#REF!,MATCH("标准值",坦克部件!#REF!,0),FALSE))*$R22</f>
        <v>#REF!</v>
      </c>
      <c r="BF22" s="2" t="e">
        <f>(VLOOKUP($U22,坦克部件!#REF!,MATCH("标准值",坦克部件!#REF!,0),FALSE)+VLOOKUP($O22,坦克部件!#REF!,MATCH("标准值",坦克部件!#REF!,0),FALSE))*$R22</f>
        <v>#REF!</v>
      </c>
      <c r="BG22" s="2">
        <f>VLOOKUP($F22,坦克属性统计!$B$3:$AY$33,MATCH(BG$3,坦克属性统计!$B$3:$AY$3,0),FALSE)</f>
        <v>1</v>
      </c>
      <c r="BH22" s="2">
        <f t="shared" si="5"/>
        <v>0</v>
      </c>
      <c r="BI22" s="2">
        <f t="shared" si="5"/>
        <v>5.81</v>
      </c>
      <c r="BJ22" s="2">
        <f t="shared" si="5"/>
        <v>0</v>
      </c>
      <c r="BK22" s="34">
        <f t="shared" si="13"/>
        <v>11.327022375215147</v>
      </c>
      <c r="BM22" s="1" t="e">
        <f t="shared" ca="1" si="6"/>
        <v>#REF!</v>
      </c>
    </row>
    <row r="23" spans="2:65" x14ac:dyDescent="0.3">
      <c r="B23" s="2">
        <v>20</v>
      </c>
      <c r="C23" s="2" t="e">
        <f t="shared" ca="1" si="7"/>
        <v>#REF!</v>
      </c>
      <c r="D23" s="2" t="s">
        <v>620</v>
      </c>
      <c r="E23" s="2" t="s">
        <v>639</v>
      </c>
      <c r="F23" s="2" t="s">
        <v>538</v>
      </c>
      <c r="G23" s="2" t="str">
        <f>VLOOKUP(D23,坦克个性化设定!$B$18:$F$48,5,FALSE)</f>
        <v>轻坦弹夹</v>
      </c>
      <c r="H23" s="2" t="str">
        <f>VLOOKUP(E23,坦克个性化设定!$B$18:$F$48,5,FALSE)</f>
        <v>中坦自动</v>
      </c>
      <c r="I23" s="2" t="str">
        <f>VLOOKUP(F23,坦克个性化设定!$B$18:$F$48,5,FALSE)</f>
        <v>重坦单发</v>
      </c>
      <c r="J23" s="2">
        <v>1</v>
      </c>
      <c r="K23" s="2">
        <v>1</v>
      </c>
      <c r="L23" s="2">
        <v>2</v>
      </c>
      <c r="M23" s="2" t="s">
        <v>1731</v>
      </c>
      <c r="N23" s="2" t="s">
        <v>1731</v>
      </c>
      <c r="O23" s="2" t="s">
        <v>1731</v>
      </c>
      <c r="P23" s="2">
        <v>6</v>
      </c>
      <c r="Q23" s="2">
        <v>6</v>
      </c>
      <c r="R23" s="2">
        <v>6</v>
      </c>
      <c r="S23" s="2">
        <v>30</v>
      </c>
      <c r="T23" s="2">
        <v>30</v>
      </c>
      <c r="U23" s="2">
        <v>30</v>
      </c>
      <c r="V23" s="42" t="e">
        <f t="shared" ca="1" si="8"/>
        <v>#REF!</v>
      </c>
      <c r="W23" s="42" t="e">
        <f t="shared" ca="1" si="9"/>
        <v>#REF!</v>
      </c>
      <c r="X23" s="42" t="e">
        <f t="shared" ca="1" si="10"/>
        <v>#REF!</v>
      </c>
      <c r="Y23" s="2" t="e">
        <f ca="1">VLOOKUP($D23&amp;$J23,所有坦克升星属性,MATCH(Y$3,所有坦克升星属性标头,0),FALSE)+ROUND(AD23/VLOOKUP($D23,坦克部件!#REF!,4,FALSE)*VLOOKUP($D23&amp;0,所有坦克升星属性,MATCH(Y$3,所有坦克升星属性标头,0),FALSE),0)</f>
        <v>#REF!</v>
      </c>
      <c r="Z23" s="2" t="e">
        <f ca="1">VLOOKUP($D23&amp;$J23,所有坦克升星属性,MATCH(Z$3,所有坦克升星属性标头,0),FALSE)+ROUND(AE23/VLOOKUP($D23,坦克部件!#REF!,4,FALSE)*VLOOKUP($D23&amp;0,所有坦克升星属性,MATCH(Z$3,所有坦克升星属性标头,0),FALSE),0)</f>
        <v>#REF!</v>
      </c>
      <c r="AA23" s="2">
        <f t="shared" ca="1" si="0"/>
        <v>529</v>
      </c>
      <c r="AB23" s="2">
        <f t="shared" ca="1" si="0"/>
        <v>370</v>
      </c>
      <c r="AC23" s="2" t="e">
        <f ca="1">VLOOKUP($D23&amp;$J23,所有坦克升星属性,MATCH(AC$3,所有坦克升星属性标头,0),FALSE)+ROUND(AF23/VLOOKUP($D23,坦克部件!#REF!,4,FALSE)*VLOOKUP($D23&amp;0,所有坦克升星属性,MATCH(AC$3,所有坦克升星属性标头,0),FALSE),0)</f>
        <v>#REF!</v>
      </c>
      <c r="AD23" s="2" t="e">
        <f>(VLOOKUP($S23,坦克部件!#REF!,MATCH("标准值",坦克部件!#REF!,0),FALSE)+VLOOKUP($M23,坦克部件!#REF!,MATCH("标准值",坦克部件!#REF!,0),FALSE))*$P23</f>
        <v>#REF!</v>
      </c>
      <c r="AE23" s="2" t="e">
        <f>(VLOOKUP($S23,坦克部件!#REF!,MATCH("标准值",坦克部件!#REF!,0),FALSE)+VLOOKUP($M23,坦克部件!#REF!,MATCH("标准值",坦克部件!#REF!,0),FALSE))*$P23</f>
        <v>#REF!</v>
      </c>
      <c r="AF23" s="2" t="e">
        <f>(VLOOKUP($S23,坦克部件!#REF!,MATCH("标准值",坦克部件!#REF!,0),FALSE)+VLOOKUP($M23,坦克部件!#REF!,MATCH("标准值",坦克部件!#REF!,0),FALSE))*$P23</f>
        <v>#REF!</v>
      </c>
      <c r="AG23" s="2">
        <f>VLOOKUP($D23,坦克属性统计!$B$3:$AY$33,MATCH(AG$3,坦克属性统计!$B$3:$AY$3,0),FALSE)</f>
        <v>12</v>
      </c>
      <c r="AH23" s="2">
        <f t="shared" si="1"/>
        <v>0.6</v>
      </c>
      <c r="AI23" s="2">
        <f t="shared" si="1"/>
        <v>0</v>
      </c>
      <c r="AJ23" s="2">
        <f t="shared" si="1"/>
        <v>8.1</v>
      </c>
      <c r="AK23" s="34">
        <f t="shared" si="11"/>
        <v>55.591836734693878</v>
      </c>
      <c r="AL23" s="2" t="e">
        <f ca="1">VLOOKUP($E23&amp;$K23,所有坦克升星属性,MATCH(AL$3,所有坦克升星属性标头,0),FALSE)+ROUND(AQ23/VLOOKUP($E23,坦克部件!#REF!,4,FALSE)*VLOOKUP($E23&amp;0,所有坦克升星属性,MATCH(AL$3,所有坦克升星属性标头,0),FALSE),0)</f>
        <v>#REF!</v>
      </c>
      <c r="AM23" s="2" t="e">
        <f ca="1">VLOOKUP($E23&amp;$K23,所有坦克升星属性,MATCH(AM$3,所有坦克升星属性标头,0),FALSE)+ROUND(AR23/VLOOKUP($E23,坦克部件!#REF!,4,FALSE)*VLOOKUP($E23&amp;0,所有坦克升星属性,MATCH(AM$3,所有坦克升星属性标头,0),FALSE),0)</f>
        <v>#REF!</v>
      </c>
      <c r="AN23" s="2">
        <f t="shared" ca="1" si="2"/>
        <v>529</v>
      </c>
      <c r="AO23" s="2">
        <f t="shared" ca="1" si="2"/>
        <v>397</v>
      </c>
      <c r="AP23" s="2" t="e">
        <f ca="1">VLOOKUP($E23&amp;$K23,所有坦克升星属性,MATCH(AP$3,所有坦克升星属性标头,0),FALSE)+ROUND(AS23/VLOOKUP($E23,坦克部件!#REF!,4,FALSE)*VLOOKUP($E23&amp;0,所有坦克升星属性,MATCH(AP$3,所有坦克升星属性标头,0),FALSE),0)</f>
        <v>#REF!</v>
      </c>
      <c r="AQ23" s="2" t="e">
        <f>(VLOOKUP($T23,坦克部件!#REF!,MATCH("标准值",坦克部件!#REF!,0),FALSE)+VLOOKUP($N23,坦克部件!#REF!,MATCH("标准值",坦克部件!#REF!,0),FALSE))*$Q23</f>
        <v>#REF!</v>
      </c>
      <c r="AR23" s="2" t="e">
        <f>(VLOOKUP($T23,坦克部件!#REF!,MATCH("标准值",坦克部件!#REF!,0),FALSE)+VLOOKUP($N23,坦克部件!#REF!,MATCH("标准值",坦克部件!#REF!,0),FALSE))*$Q23</f>
        <v>#REF!</v>
      </c>
      <c r="AS23" s="2" t="e">
        <f>(VLOOKUP($T23,坦克部件!#REF!,MATCH("标准值",坦克部件!#REF!,0),FALSE)+VLOOKUP($N23,坦克部件!#REF!,MATCH("标准值",坦克部件!#REF!,0),FALSE))*$Q23</f>
        <v>#REF!</v>
      </c>
      <c r="AT23" s="2">
        <f>VLOOKUP($E23,坦克属性统计!$B$3:$AY$33,MATCH(AT$3,坦克属性统计!$B$3:$AY$3,0),FALSE)</f>
        <v>6</v>
      </c>
      <c r="AU23" s="2">
        <f t="shared" si="3"/>
        <v>0.4</v>
      </c>
      <c r="AV23" s="2">
        <f t="shared" si="3"/>
        <v>2.36</v>
      </c>
      <c r="AW23" s="2">
        <f t="shared" si="3"/>
        <v>0</v>
      </c>
      <c r="AX23" s="34">
        <f t="shared" si="12"/>
        <v>31.423728813559322</v>
      </c>
      <c r="AY23" s="2" t="e">
        <f ca="1">VLOOKUP($F23&amp;$L23,所有坦克升星属性,MATCH(AY$3,所有坦克升星属性标头,0),FALSE)+ROUND(BD23/VLOOKUP($F23,坦克部件!#REF!,4,FALSE)*VLOOKUP($F23&amp;0,所有坦克升星属性,MATCH(AY$3,所有坦克升星属性标头,0),FALSE),0)</f>
        <v>#REF!</v>
      </c>
      <c r="AZ23" s="2" t="e">
        <f ca="1">VLOOKUP($F23&amp;$L23,所有坦克升星属性,MATCH(AZ$3,所有坦克升星属性标头,0),FALSE)+ROUND(BE23/VLOOKUP($F23,坦克部件!#REF!,4,FALSE)*VLOOKUP($F23&amp;0,所有坦克升星属性,MATCH(AZ$3,所有坦克升星属性标头,0),FALSE),0)</f>
        <v>#REF!</v>
      </c>
      <c r="BA23" s="2">
        <f t="shared" ca="1" si="4"/>
        <v>506</v>
      </c>
      <c r="BB23" s="2">
        <f t="shared" ca="1" si="4"/>
        <v>404</v>
      </c>
      <c r="BC23" s="2" t="e">
        <f ca="1">VLOOKUP($F23&amp;$L23,所有坦克升星属性,MATCH(BC$3,所有坦克升星属性标头,0),FALSE)+ROUND(BF23/VLOOKUP($F23,坦克部件!#REF!,4,FALSE)*VLOOKUP($F23&amp;0,所有坦克升星属性,MATCH(BC$3,所有坦克升星属性标头,0),FALSE),0)</f>
        <v>#REF!</v>
      </c>
      <c r="BD23" s="2" t="e">
        <f>(VLOOKUP($U23,坦克部件!#REF!,MATCH("标准值",坦克部件!#REF!,0),FALSE)+VLOOKUP($O23,坦克部件!#REF!,MATCH("标准值",坦克部件!#REF!,0),FALSE))*$R23</f>
        <v>#REF!</v>
      </c>
      <c r="BE23" s="2" t="e">
        <f>(VLOOKUP($U23,坦克部件!#REF!,MATCH("标准值",坦克部件!#REF!,0),FALSE)+VLOOKUP($O23,坦克部件!#REF!,MATCH("标准值",坦克部件!#REF!,0),FALSE))*$R23</f>
        <v>#REF!</v>
      </c>
      <c r="BF23" s="2" t="e">
        <f>(VLOOKUP($U23,坦克部件!#REF!,MATCH("标准值",坦克部件!#REF!,0),FALSE)+VLOOKUP($O23,坦克部件!#REF!,MATCH("标准值",坦克部件!#REF!,0),FALSE))*$R23</f>
        <v>#REF!</v>
      </c>
      <c r="BG23" s="2">
        <f>VLOOKUP($F23,坦克属性统计!$B$3:$AY$33,MATCH(BG$3,坦克属性统计!$B$3:$AY$3,0),FALSE)</f>
        <v>1</v>
      </c>
      <c r="BH23" s="2">
        <f t="shared" si="5"/>
        <v>0</v>
      </c>
      <c r="BI23" s="2">
        <f t="shared" si="5"/>
        <v>5.81</v>
      </c>
      <c r="BJ23" s="2">
        <f t="shared" si="5"/>
        <v>0</v>
      </c>
      <c r="BK23" s="34">
        <f t="shared" si="13"/>
        <v>11.327022375215147</v>
      </c>
      <c r="BM23" s="1" t="e">
        <f t="shared" ca="1" si="6"/>
        <v>#REF!</v>
      </c>
    </row>
    <row r="24" spans="2:65" x14ac:dyDescent="0.3">
      <c r="B24" s="2">
        <v>21</v>
      </c>
      <c r="C24" s="2" t="e">
        <f t="shared" ca="1" si="7"/>
        <v>#REF!</v>
      </c>
      <c r="D24" s="2" t="s">
        <v>620</v>
      </c>
      <c r="E24" s="2" t="s">
        <v>639</v>
      </c>
      <c r="F24" s="2" t="s">
        <v>658</v>
      </c>
      <c r="G24" s="2" t="str">
        <f>VLOOKUP(D24,坦克个性化设定!$B$18:$F$48,5,FALSE)</f>
        <v>轻坦弹夹</v>
      </c>
      <c r="H24" s="2" t="str">
        <f>VLOOKUP(E24,坦克个性化设定!$B$18:$F$48,5,FALSE)</f>
        <v>中坦自动</v>
      </c>
      <c r="I24" s="2" t="str">
        <f>VLOOKUP(F24,坦克个性化设定!$B$18:$F$48,5,FALSE)</f>
        <v>重坦单发</v>
      </c>
      <c r="J24" s="2">
        <v>1</v>
      </c>
      <c r="K24" s="2">
        <v>1</v>
      </c>
      <c r="L24" s="2">
        <v>1</v>
      </c>
      <c r="M24" s="2" t="s">
        <v>1731</v>
      </c>
      <c r="N24" s="2" t="s">
        <v>1731</v>
      </c>
      <c r="O24" s="2" t="s">
        <v>1731</v>
      </c>
      <c r="P24" s="2">
        <v>6</v>
      </c>
      <c r="Q24" s="2">
        <v>6</v>
      </c>
      <c r="R24" s="2">
        <v>6</v>
      </c>
      <c r="S24" s="2">
        <v>30</v>
      </c>
      <c r="T24" s="2">
        <v>30</v>
      </c>
      <c r="U24" s="2">
        <v>30</v>
      </c>
      <c r="V24" s="42" t="e">
        <f t="shared" ca="1" si="8"/>
        <v>#REF!</v>
      </c>
      <c r="W24" s="42" t="e">
        <f t="shared" ca="1" si="9"/>
        <v>#REF!</v>
      </c>
      <c r="X24" s="42" t="e">
        <f t="shared" ca="1" si="10"/>
        <v>#REF!</v>
      </c>
      <c r="Y24" s="2" t="e">
        <f ca="1">VLOOKUP($D24&amp;$J24,所有坦克升星属性,MATCH(Y$3,所有坦克升星属性标头,0),FALSE)+ROUND(AD24/VLOOKUP($D24,坦克部件!#REF!,4,FALSE)*VLOOKUP($D24&amp;0,所有坦克升星属性,MATCH(Y$3,所有坦克升星属性标头,0),FALSE),0)</f>
        <v>#REF!</v>
      </c>
      <c r="Z24" s="2" t="e">
        <f ca="1">VLOOKUP($D24&amp;$J24,所有坦克升星属性,MATCH(Z$3,所有坦克升星属性标头,0),FALSE)+ROUND(AE24/VLOOKUP($D24,坦克部件!#REF!,4,FALSE)*VLOOKUP($D24&amp;0,所有坦克升星属性,MATCH(Z$3,所有坦克升星属性标头,0),FALSE),0)</f>
        <v>#REF!</v>
      </c>
      <c r="AA24" s="2">
        <f t="shared" ref="AA24:AB37" ca="1" si="14">VLOOKUP($D24&amp;$J24,所有坦克升星属性,MATCH(AA$3,所有坦克升星属性标头,0),FALSE)</f>
        <v>529</v>
      </c>
      <c r="AB24" s="2">
        <f t="shared" ca="1" si="14"/>
        <v>370</v>
      </c>
      <c r="AC24" s="2" t="e">
        <f ca="1">VLOOKUP($D24&amp;$J24,所有坦克升星属性,MATCH(AC$3,所有坦克升星属性标头,0),FALSE)+ROUND(AF24/VLOOKUP($D24,坦克部件!#REF!,4,FALSE)*VLOOKUP($D24&amp;0,所有坦克升星属性,MATCH(AC$3,所有坦克升星属性标头,0),FALSE),0)</f>
        <v>#REF!</v>
      </c>
      <c r="AD24" s="2" t="e">
        <f>(VLOOKUP($S24,坦克部件!#REF!,MATCH("标准值",坦克部件!#REF!,0),FALSE)+VLOOKUP($M24,坦克部件!#REF!,MATCH("标准值",坦克部件!#REF!,0),FALSE))*$P24</f>
        <v>#REF!</v>
      </c>
      <c r="AE24" s="2" t="e">
        <f>(VLOOKUP($S24,坦克部件!#REF!,MATCH("标准值",坦克部件!#REF!,0),FALSE)+VLOOKUP($M24,坦克部件!#REF!,MATCH("标准值",坦克部件!#REF!,0),FALSE))*$P24</f>
        <v>#REF!</v>
      </c>
      <c r="AF24" s="2" t="e">
        <f>(VLOOKUP($S24,坦克部件!#REF!,MATCH("标准值",坦克部件!#REF!,0),FALSE)+VLOOKUP($M24,坦克部件!#REF!,MATCH("标准值",坦克部件!#REF!,0),FALSE))*$P24</f>
        <v>#REF!</v>
      </c>
      <c r="AG24" s="2">
        <f>VLOOKUP($D24,坦克属性统计!$B$3:$AY$33,MATCH(AG$3,坦克属性统计!$B$3:$AY$3,0),FALSE)</f>
        <v>12</v>
      </c>
      <c r="AH24" s="2">
        <f t="shared" ref="AH24:AJ37" si="15">VLOOKUP($D24&amp;$J24,所有坦克升星属性,MATCH(AH$3,所有坦克升星属性标头,0),FALSE)</f>
        <v>0.6</v>
      </c>
      <c r="AI24" s="2">
        <f t="shared" si="15"/>
        <v>0</v>
      </c>
      <c r="AJ24" s="2">
        <f t="shared" si="15"/>
        <v>8.1</v>
      </c>
      <c r="AK24" s="34">
        <f t="shared" si="11"/>
        <v>55.591836734693878</v>
      </c>
      <c r="AL24" s="2" t="e">
        <f ca="1">VLOOKUP($E24&amp;$K24,所有坦克升星属性,MATCH(AL$3,所有坦克升星属性标头,0),FALSE)+ROUND(AQ24/VLOOKUP($E24,坦克部件!#REF!,4,FALSE)*VLOOKUP($E24&amp;0,所有坦克升星属性,MATCH(AL$3,所有坦克升星属性标头,0),FALSE),0)</f>
        <v>#REF!</v>
      </c>
      <c r="AM24" s="2" t="e">
        <f ca="1">VLOOKUP($E24&amp;$K24,所有坦克升星属性,MATCH(AM$3,所有坦克升星属性标头,0),FALSE)+ROUND(AR24/VLOOKUP($E24,坦克部件!#REF!,4,FALSE)*VLOOKUP($E24&amp;0,所有坦克升星属性,MATCH(AM$3,所有坦克升星属性标头,0),FALSE),0)</f>
        <v>#REF!</v>
      </c>
      <c r="AN24" s="2">
        <f t="shared" ref="AN24:AO37" ca="1" si="16">VLOOKUP($E24&amp;$K24,所有坦克升星属性,MATCH(AN$3,所有坦克升星属性标头,0),FALSE)</f>
        <v>529</v>
      </c>
      <c r="AO24" s="2">
        <f t="shared" ca="1" si="16"/>
        <v>397</v>
      </c>
      <c r="AP24" s="2" t="e">
        <f ca="1">VLOOKUP($E24&amp;$K24,所有坦克升星属性,MATCH(AP$3,所有坦克升星属性标头,0),FALSE)+ROUND(AS24/VLOOKUP($E24,坦克部件!#REF!,4,FALSE)*VLOOKUP($E24&amp;0,所有坦克升星属性,MATCH(AP$3,所有坦克升星属性标头,0),FALSE),0)</f>
        <v>#REF!</v>
      </c>
      <c r="AQ24" s="2" t="e">
        <f>(VLOOKUP($T24,坦克部件!#REF!,MATCH("标准值",坦克部件!#REF!,0),FALSE)+VLOOKUP($N24,坦克部件!#REF!,MATCH("标准值",坦克部件!#REF!,0),FALSE))*$Q24</f>
        <v>#REF!</v>
      </c>
      <c r="AR24" s="2" t="e">
        <f>(VLOOKUP($T24,坦克部件!#REF!,MATCH("标准值",坦克部件!#REF!,0),FALSE)+VLOOKUP($N24,坦克部件!#REF!,MATCH("标准值",坦克部件!#REF!,0),FALSE))*$Q24</f>
        <v>#REF!</v>
      </c>
      <c r="AS24" s="2" t="e">
        <f>(VLOOKUP($T24,坦克部件!#REF!,MATCH("标准值",坦克部件!#REF!,0),FALSE)+VLOOKUP($N24,坦克部件!#REF!,MATCH("标准值",坦克部件!#REF!,0),FALSE))*$Q24</f>
        <v>#REF!</v>
      </c>
      <c r="AT24" s="2">
        <f>VLOOKUP($E24,坦克属性统计!$B$3:$AY$33,MATCH(AT$3,坦克属性统计!$B$3:$AY$3,0),FALSE)</f>
        <v>6</v>
      </c>
      <c r="AU24" s="2">
        <f t="shared" ref="AU24:AW37" si="17">VLOOKUP($E24&amp;$K24,所有坦克升星属性,MATCH(AU$3,所有坦克升星属性标头,0),FALSE)</f>
        <v>0.4</v>
      </c>
      <c r="AV24" s="2">
        <f t="shared" si="17"/>
        <v>2.36</v>
      </c>
      <c r="AW24" s="2">
        <f t="shared" si="17"/>
        <v>0</v>
      </c>
      <c r="AX24" s="34">
        <f t="shared" si="12"/>
        <v>31.423728813559322</v>
      </c>
      <c r="AY24" s="2" t="e">
        <f ca="1">VLOOKUP($F24&amp;$L24,所有坦克升星属性,MATCH(AY$3,所有坦克升星属性标头,0),FALSE)+ROUND(BD24/VLOOKUP($F24,坦克部件!#REF!,4,FALSE)*VLOOKUP($F24&amp;0,所有坦克升星属性,MATCH(AY$3,所有坦克升星属性标头,0),FALSE),0)</f>
        <v>#REF!</v>
      </c>
      <c r="AZ24" s="2" t="e">
        <f ca="1">VLOOKUP($F24&amp;$L24,所有坦克升星属性,MATCH(AZ$3,所有坦克升星属性标头,0),FALSE)+ROUND(BE24/VLOOKUP($F24,坦克部件!#REF!,4,FALSE)*VLOOKUP($F24&amp;0,所有坦克升星属性,MATCH(AZ$3,所有坦克升星属性标头,0),FALSE),0)</f>
        <v>#REF!</v>
      </c>
      <c r="BA24" s="2">
        <f t="shared" ref="BA24:BB37" ca="1" si="18">VLOOKUP($F24&amp;$L24,所有坦克升星属性,MATCH(BA$3,所有坦克升星属性标头,0),FALSE)</f>
        <v>506</v>
      </c>
      <c r="BB24" s="2">
        <f t="shared" ca="1" si="18"/>
        <v>404</v>
      </c>
      <c r="BC24" s="2" t="e">
        <f ca="1">VLOOKUP($F24&amp;$L24,所有坦克升星属性,MATCH(BC$3,所有坦克升星属性标头,0),FALSE)+ROUND(BF24/VLOOKUP($F24,坦克部件!#REF!,4,FALSE)*VLOOKUP($F24&amp;0,所有坦克升星属性,MATCH(BC$3,所有坦克升星属性标头,0),FALSE),0)</f>
        <v>#REF!</v>
      </c>
      <c r="BD24" s="2" t="e">
        <f>(VLOOKUP($U24,坦克部件!#REF!,MATCH("标准值",坦克部件!#REF!,0),FALSE)+VLOOKUP($O24,坦克部件!#REF!,MATCH("标准值",坦克部件!#REF!,0),FALSE))*$R24</f>
        <v>#REF!</v>
      </c>
      <c r="BE24" s="2" t="e">
        <f>(VLOOKUP($U24,坦克部件!#REF!,MATCH("标准值",坦克部件!#REF!,0),FALSE)+VLOOKUP($O24,坦克部件!#REF!,MATCH("标准值",坦克部件!#REF!,0),FALSE))*$R24</f>
        <v>#REF!</v>
      </c>
      <c r="BF24" s="2" t="e">
        <f>(VLOOKUP($U24,坦克部件!#REF!,MATCH("标准值",坦克部件!#REF!,0),FALSE)+VLOOKUP($O24,坦克部件!#REF!,MATCH("标准值",坦克部件!#REF!,0),FALSE))*$R24</f>
        <v>#REF!</v>
      </c>
      <c r="BG24" s="2">
        <f>VLOOKUP($F24,坦克属性统计!$B$3:$AY$33,MATCH(BG$3,坦克属性统计!$B$3:$AY$3,0),FALSE)</f>
        <v>1</v>
      </c>
      <c r="BH24" s="2">
        <f t="shared" ref="BH24:BJ37" si="19">VLOOKUP($F24&amp;$L24,所有坦克升星属性,MATCH(BH$3,所有坦克升星属性标头,0),FALSE)</f>
        <v>0</v>
      </c>
      <c r="BI24" s="2">
        <f t="shared" si="19"/>
        <v>5.91</v>
      </c>
      <c r="BJ24" s="2">
        <f t="shared" si="19"/>
        <v>0</v>
      </c>
      <c r="BK24" s="34">
        <f t="shared" si="13"/>
        <v>11.152284263959391</v>
      </c>
      <c r="BM24" s="1" t="e">
        <f t="shared" ca="1" si="6"/>
        <v>#REF!</v>
      </c>
    </row>
    <row r="25" spans="2:65" x14ac:dyDescent="0.3">
      <c r="B25" s="2">
        <v>22</v>
      </c>
      <c r="C25" s="2" t="e">
        <f t="shared" ca="1" si="7"/>
        <v>#REF!</v>
      </c>
      <c r="D25" s="2" t="s">
        <v>624</v>
      </c>
      <c r="E25" s="2" t="s">
        <v>639</v>
      </c>
      <c r="F25" s="2" t="s">
        <v>658</v>
      </c>
      <c r="G25" s="2" t="str">
        <f>VLOOKUP(D25,坦克个性化设定!$B$18:$F$48,5,FALSE)</f>
        <v>轻坦弹夹</v>
      </c>
      <c r="H25" s="2" t="str">
        <f>VLOOKUP(E25,坦克个性化设定!$B$18:$F$48,5,FALSE)</f>
        <v>中坦自动</v>
      </c>
      <c r="I25" s="2" t="str">
        <f>VLOOKUP(F25,坦克个性化设定!$B$18:$F$48,5,FALSE)</f>
        <v>重坦单发</v>
      </c>
      <c r="J25" s="2">
        <v>0</v>
      </c>
      <c r="K25" s="2">
        <v>2</v>
      </c>
      <c r="L25" s="2">
        <v>1</v>
      </c>
      <c r="M25" s="2" t="s">
        <v>1733</v>
      </c>
      <c r="N25" s="2" t="s">
        <v>1734</v>
      </c>
      <c r="O25" s="2" t="s">
        <v>1734</v>
      </c>
      <c r="P25" s="2">
        <v>6</v>
      </c>
      <c r="Q25" s="2">
        <v>6</v>
      </c>
      <c r="R25" s="2">
        <v>6</v>
      </c>
      <c r="S25" s="2">
        <v>40</v>
      </c>
      <c r="T25" s="2">
        <v>30</v>
      </c>
      <c r="U25" s="2">
        <v>30</v>
      </c>
      <c r="V25" s="42" t="e">
        <f t="shared" ca="1" si="8"/>
        <v>#REF!</v>
      </c>
      <c r="W25" s="42" t="e">
        <f t="shared" ca="1" si="9"/>
        <v>#REF!</v>
      </c>
      <c r="X25" s="42" t="e">
        <f t="shared" ca="1" si="10"/>
        <v>#REF!</v>
      </c>
      <c r="Y25" s="2" t="e">
        <f ca="1">VLOOKUP($D25&amp;$J25,所有坦克升星属性,MATCH(Y$3,所有坦克升星属性标头,0),FALSE)+ROUND(AD25/VLOOKUP($D25,坦克部件!#REF!,4,FALSE)*VLOOKUP($D25&amp;0,所有坦克升星属性,MATCH(Y$3,所有坦克升星属性标头,0),FALSE),0)</f>
        <v>#REF!</v>
      </c>
      <c r="Z25" s="2" t="e">
        <f ca="1">VLOOKUP($D25&amp;$J25,所有坦克升星属性,MATCH(Z$3,所有坦克升星属性标头,0),FALSE)+ROUND(AE25/VLOOKUP($D25,坦克部件!#REF!,4,FALSE)*VLOOKUP($D25&amp;0,所有坦克升星属性,MATCH(Z$3,所有坦克升星属性标头,0),FALSE),0)</f>
        <v>#REF!</v>
      </c>
      <c r="AA25" s="2">
        <f t="shared" ca="1" si="14"/>
        <v>631</v>
      </c>
      <c r="AB25" s="2">
        <f t="shared" ca="1" si="14"/>
        <v>442</v>
      </c>
      <c r="AC25" s="2" t="e">
        <f ca="1">VLOOKUP($D25&amp;$J25,所有坦克升星属性,MATCH(AC$3,所有坦克升星属性标头,0),FALSE)+ROUND(AF25/VLOOKUP($D25,坦克部件!#REF!,4,FALSE)*VLOOKUP($D25&amp;0,所有坦克升星属性,MATCH(AC$3,所有坦克升星属性标头,0),FALSE),0)</f>
        <v>#REF!</v>
      </c>
      <c r="AD25" s="2" t="e">
        <f>(VLOOKUP($S25,坦克部件!#REF!,MATCH("标准值",坦克部件!#REF!,0),FALSE)+VLOOKUP($M25,坦克部件!#REF!,MATCH("标准值",坦克部件!#REF!,0),FALSE))*$P25</f>
        <v>#REF!</v>
      </c>
      <c r="AE25" s="2" t="e">
        <f>(VLOOKUP($S25,坦克部件!#REF!,MATCH("标准值",坦克部件!#REF!,0),FALSE)+VLOOKUP($M25,坦克部件!#REF!,MATCH("标准值",坦克部件!#REF!,0),FALSE))*$P25</f>
        <v>#REF!</v>
      </c>
      <c r="AF25" s="2" t="e">
        <f>(VLOOKUP($S25,坦克部件!#REF!,MATCH("标准值",坦克部件!#REF!,0),FALSE)+VLOOKUP($M25,坦克部件!#REF!,MATCH("标准值",坦克部件!#REF!,0),FALSE))*$P25</f>
        <v>#REF!</v>
      </c>
      <c r="AG25" s="2">
        <f>VLOOKUP($D25,坦克属性统计!$B$3:$AY$33,MATCH(AG$3,坦克属性统计!$B$3:$AY$3,0),FALSE)</f>
        <v>9</v>
      </c>
      <c r="AH25" s="2">
        <f t="shared" si="15"/>
        <v>0.6</v>
      </c>
      <c r="AI25" s="2">
        <f t="shared" si="15"/>
        <v>0</v>
      </c>
      <c r="AJ25" s="2">
        <f t="shared" si="15"/>
        <v>6.3</v>
      </c>
      <c r="AK25" s="34">
        <f t="shared" si="11"/>
        <v>53.756756756756765</v>
      </c>
      <c r="AL25" s="2" t="e">
        <f ca="1">VLOOKUP($E25&amp;$K25,所有坦克升星属性,MATCH(AL$3,所有坦克升星属性标头,0),FALSE)+ROUND(AQ25/VLOOKUP($E25,坦克部件!#REF!,4,FALSE)*VLOOKUP($E25&amp;0,所有坦克升星属性,MATCH(AL$3,所有坦克升星属性标头,0),FALSE),0)</f>
        <v>#REF!</v>
      </c>
      <c r="AM25" s="2" t="e">
        <f ca="1">VLOOKUP($E25&amp;$K25,所有坦克升星属性,MATCH(AM$3,所有坦克升星属性标头,0),FALSE)+ROUND(AR25/VLOOKUP($E25,坦克部件!#REF!,4,FALSE)*VLOOKUP($E25&amp;0,所有坦克升星属性,MATCH(AM$3,所有坦克升星属性标头,0),FALSE),0)</f>
        <v>#REF!</v>
      </c>
      <c r="AN25" s="2">
        <f t="shared" ca="1" si="16"/>
        <v>551</v>
      </c>
      <c r="AO25" s="2">
        <f t="shared" ca="1" si="16"/>
        <v>414</v>
      </c>
      <c r="AP25" s="2" t="e">
        <f ca="1">VLOOKUP($E25&amp;$K25,所有坦克升星属性,MATCH(AP$3,所有坦克升星属性标头,0),FALSE)+ROUND(AS25/VLOOKUP($E25,坦克部件!#REF!,4,FALSE)*VLOOKUP($E25&amp;0,所有坦克升星属性,MATCH(AP$3,所有坦克升星属性标头,0),FALSE),0)</f>
        <v>#REF!</v>
      </c>
      <c r="AQ25" s="2" t="e">
        <f>(VLOOKUP($T25,坦克部件!#REF!,MATCH("标准值",坦克部件!#REF!,0),FALSE)+VLOOKUP($N25,坦克部件!#REF!,MATCH("标准值",坦克部件!#REF!,0),FALSE))*$Q25</f>
        <v>#REF!</v>
      </c>
      <c r="AR25" s="2" t="e">
        <f>(VLOOKUP($T25,坦克部件!#REF!,MATCH("标准值",坦克部件!#REF!,0),FALSE)+VLOOKUP($N25,坦克部件!#REF!,MATCH("标准值",坦克部件!#REF!,0),FALSE))*$Q25</f>
        <v>#REF!</v>
      </c>
      <c r="AS25" s="2" t="e">
        <f>(VLOOKUP($T25,坦克部件!#REF!,MATCH("标准值",坦克部件!#REF!,0),FALSE)+VLOOKUP($N25,坦克部件!#REF!,MATCH("标准值",坦克部件!#REF!,0),FALSE))*$Q25</f>
        <v>#REF!</v>
      </c>
      <c r="AT25" s="2">
        <f>VLOOKUP($E25,坦克属性统计!$B$3:$AY$33,MATCH(AT$3,坦克属性统计!$B$3:$AY$3,0),FALSE)</f>
        <v>6</v>
      </c>
      <c r="AU25" s="2">
        <f t="shared" si="17"/>
        <v>0.4</v>
      </c>
      <c r="AV25" s="2">
        <f t="shared" si="17"/>
        <v>2.3199999999999998</v>
      </c>
      <c r="AW25" s="2">
        <f t="shared" si="17"/>
        <v>0</v>
      </c>
      <c r="AX25" s="34">
        <f t="shared" si="12"/>
        <v>31.862068965517242</v>
      </c>
      <c r="AY25" s="2" t="e">
        <f ca="1">VLOOKUP($F25&amp;$L25,所有坦克升星属性,MATCH(AY$3,所有坦克升星属性标头,0),FALSE)+ROUND(BD25/VLOOKUP($F25,坦克部件!#REF!,4,FALSE)*VLOOKUP($F25&amp;0,所有坦克升星属性,MATCH(AY$3,所有坦克升星属性标头,0),FALSE),0)</f>
        <v>#REF!</v>
      </c>
      <c r="AZ25" s="2" t="e">
        <f ca="1">VLOOKUP($F25&amp;$L25,所有坦克升星属性,MATCH(AZ$3,所有坦克升星属性标头,0),FALSE)+ROUND(BE25/VLOOKUP($F25,坦克部件!#REF!,4,FALSE)*VLOOKUP($F25&amp;0,所有坦克升星属性,MATCH(AZ$3,所有坦克升星属性标头,0),FALSE),0)</f>
        <v>#REF!</v>
      </c>
      <c r="BA25" s="2">
        <f t="shared" ca="1" si="18"/>
        <v>506</v>
      </c>
      <c r="BB25" s="2">
        <f t="shared" ca="1" si="18"/>
        <v>404</v>
      </c>
      <c r="BC25" s="2" t="e">
        <f ca="1">VLOOKUP($F25&amp;$L25,所有坦克升星属性,MATCH(BC$3,所有坦克升星属性标头,0),FALSE)+ROUND(BF25/VLOOKUP($F25,坦克部件!#REF!,4,FALSE)*VLOOKUP($F25&amp;0,所有坦克升星属性,MATCH(BC$3,所有坦克升星属性标头,0),FALSE),0)</f>
        <v>#REF!</v>
      </c>
      <c r="BD25" s="2" t="e">
        <f>(VLOOKUP($U25,坦克部件!#REF!,MATCH("标准值",坦克部件!#REF!,0),FALSE)+VLOOKUP($O25,坦克部件!#REF!,MATCH("标准值",坦克部件!#REF!,0),FALSE))*$R25</f>
        <v>#REF!</v>
      </c>
      <c r="BE25" s="2" t="e">
        <f>(VLOOKUP($U25,坦克部件!#REF!,MATCH("标准值",坦克部件!#REF!,0),FALSE)+VLOOKUP($O25,坦克部件!#REF!,MATCH("标准值",坦克部件!#REF!,0),FALSE))*$R25</f>
        <v>#REF!</v>
      </c>
      <c r="BF25" s="2" t="e">
        <f>(VLOOKUP($U25,坦克部件!#REF!,MATCH("标准值",坦克部件!#REF!,0),FALSE)+VLOOKUP($O25,坦克部件!#REF!,MATCH("标准值",坦克部件!#REF!,0),FALSE))*$R25</f>
        <v>#REF!</v>
      </c>
      <c r="BG25" s="2">
        <f>VLOOKUP($F25,坦克属性统计!$B$3:$AY$33,MATCH(BG$3,坦克属性统计!$B$3:$AY$3,0),FALSE)</f>
        <v>1</v>
      </c>
      <c r="BH25" s="2">
        <f t="shared" si="19"/>
        <v>0</v>
      </c>
      <c r="BI25" s="2">
        <f t="shared" si="19"/>
        <v>5.91</v>
      </c>
      <c r="BJ25" s="2">
        <f t="shared" si="19"/>
        <v>0</v>
      </c>
      <c r="BK25" s="34">
        <f t="shared" si="13"/>
        <v>11.152284263959391</v>
      </c>
      <c r="BM25" s="1" t="e">
        <f t="shared" ca="1" si="6"/>
        <v>#REF!</v>
      </c>
    </row>
    <row r="26" spans="2:65" x14ac:dyDescent="0.3">
      <c r="B26" s="2">
        <v>23</v>
      </c>
      <c r="C26" s="2" t="e">
        <f t="shared" ref="C26:C37" ca="1" si="20">MAX(V26:X26)*0.65+MIN(V26:X26)*0.1225+(SUM(V26:X26)-MAX(V26:X26)-MIN(V26:X26))*0.2275</f>
        <v>#REF!</v>
      </c>
      <c r="D26" s="2" t="s">
        <v>624</v>
      </c>
      <c r="E26" s="2" t="s">
        <v>643</v>
      </c>
      <c r="F26" s="2" t="s">
        <v>662</v>
      </c>
      <c r="G26" s="2" t="str">
        <f>VLOOKUP(D26,坦克个性化设定!$B$18:$F$48,5,FALSE)</f>
        <v>轻坦弹夹</v>
      </c>
      <c r="H26" s="2" t="str">
        <f>VLOOKUP(E26,坦克个性化设定!$B$18:$F$48,5,FALSE)</f>
        <v>中坦自动</v>
      </c>
      <c r="I26" s="2" t="str">
        <f>VLOOKUP(F26,坦克个性化设定!$B$18:$F$48,5,FALSE)</f>
        <v>重坦单发</v>
      </c>
      <c r="J26" s="2">
        <v>1</v>
      </c>
      <c r="K26" s="2">
        <v>0</v>
      </c>
      <c r="L26" s="2">
        <v>0</v>
      </c>
      <c r="M26" s="2" t="s">
        <v>1733</v>
      </c>
      <c r="N26" s="2" t="s">
        <v>1733</v>
      </c>
      <c r="O26" s="2" t="s">
        <v>1733</v>
      </c>
      <c r="P26" s="2">
        <v>6</v>
      </c>
      <c r="Q26" s="2">
        <v>6</v>
      </c>
      <c r="R26" s="2">
        <v>6</v>
      </c>
      <c r="S26" s="2">
        <v>40</v>
      </c>
      <c r="T26" s="2">
        <v>40</v>
      </c>
      <c r="U26" s="2">
        <v>39</v>
      </c>
      <c r="V26" s="42" t="e">
        <f t="shared" ref="V26:V37" ca="1" si="21">ROUND(SQRT(Y26*Z26*AK26/2+AVERAGE(AA26,AB26)*AC26*100),0)</f>
        <v>#REF!</v>
      </c>
      <c r="W26" s="42" t="e">
        <f t="shared" ref="W26:W37" ca="1" si="22">ROUND(SQRT(AL26*AM26*AX26/2+AVERAGE(AN26,AO26)*AP26*100),0)</f>
        <v>#REF!</v>
      </c>
      <c r="X26" s="42" t="e">
        <f t="shared" ref="X26:X37" ca="1" si="23">ROUND(SQRT(AY26*AZ26*BK26/2+AVERAGE(BA26,BB26)*BC26*100),0)</f>
        <v>#REF!</v>
      </c>
      <c r="Y26" s="2" t="e">
        <f ca="1">VLOOKUP($D26&amp;$J26,所有坦克升星属性,MATCH(Y$3,所有坦克升星属性标头,0),FALSE)+ROUND(AD26/VLOOKUP($D26,坦克部件!#REF!,4,FALSE)*VLOOKUP($D26&amp;0,所有坦克升星属性,MATCH(Y$3,所有坦克升星属性标头,0),FALSE),0)</f>
        <v>#REF!</v>
      </c>
      <c r="Z26" s="2" t="e">
        <f ca="1">VLOOKUP($D26&amp;$J26,所有坦克升星属性,MATCH(Z$3,所有坦克升星属性标头,0),FALSE)+ROUND(AE26/VLOOKUP($D26,坦克部件!#REF!,4,FALSE)*VLOOKUP($D26&amp;0,所有坦克升星属性,MATCH(Z$3,所有坦克升星属性标头,0),FALSE),0)</f>
        <v>#REF!</v>
      </c>
      <c r="AA26" s="2">
        <f t="shared" ca="1" si="14"/>
        <v>653</v>
      </c>
      <c r="AB26" s="2">
        <f t="shared" ca="1" si="14"/>
        <v>457</v>
      </c>
      <c r="AC26" s="2" t="e">
        <f ca="1">VLOOKUP($D26&amp;$J26,所有坦克升星属性,MATCH(AC$3,所有坦克升星属性标头,0),FALSE)+ROUND(AF26/VLOOKUP($D26,坦克部件!#REF!,4,FALSE)*VLOOKUP($D26&amp;0,所有坦克升星属性,MATCH(AC$3,所有坦克升星属性标头,0),FALSE),0)</f>
        <v>#REF!</v>
      </c>
      <c r="AD26" s="2" t="e">
        <f>(VLOOKUP($S26,坦克部件!#REF!,MATCH("标准值",坦克部件!#REF!,0),FALSE)+VLOOKUP($M26,坦克部件!#REF!,MATCH("标准值",坦克部件!#REF!,0),FALSE))*$P26</f>
        <v>#REF!</v>
      </c>
      <c r="AE26" s="2" t="e">
        <f>(VLOOKUP($S26,坦克部件!#REF!,MATCH("标准值",坦克部件!#REF!,0),FALSE)+VLOOKUP($M26,坦克部件!#REF!,MATCH("标准值",坦克部件!#REF!,0),FALSE))*$P26</f>
        <v>#REF!</v>
      </c>
      <c r="AF26" s="2" t="e">
        <f>(VLOOKUP($S26,坦克部件!#REF!,MATCH("标准值",坦克部件!#REF!,0),FALSE)+VLOOKUP($M26,坦克部件!#REF!,MATCH("标准值",坦克部件!#REF!,0),FALSE))*$P26</f>
        <v>#REF!</v>
      </c>
      <c r="AG26" s="2">
        <f>VLOOKUP($D26,坦克属性统计!$B$3:$AY$33,MATCH(AG$3,坦克属性统计!$B$3:$AY$3,0),FALSE)</f>
        <v>9</v>
      </c>
      <c r="AH26" s="2">
        <f t="shared" si="15"/>
        <v>0.6</v>
      </c>
      <c r="AI26" s="2">
        <f t="shared" si="15"/>
        <v>0</v>
      </c>
      <c r="AJ26" s="2">
        <f t="shared" si="15"/>
        <v>6.1</v>
      </c>
      <c r="AK26" s="34">
        <f t="shared" ref="AK26:AK37" si="24">IF(LEN(G26)=5,(60-(AG26-1)*AH26)/AI26+AG26,IF(RIGHT(G26,2)="弹夹",((60-(AG26-1)*AH26)/(AJ26+(AG26-1)*AH26)+1)*AG26,60/AI26+AG26))</f>
        <v>54.577981651376156</v>
      </c>
      <c r="AL26" s="2" t="e">
        <f ca="1">VLOOKUP($E26&amp;$K26,所有坦克升星属性,MATCH(AL$3,所有坦克升星属性标头,0),FALSE)+ROUND(AQ26/VLOOKUP($E26,坦克部件!#REF!,4,FALSE)*VLOOKUP($E26&amp;0,所有坦克升星属性,MATCH(AL$3,所有坦克升星属性标头,0),FALSE),0)</f>
        <v>#REF!</v>
      </c>
      <c r="AM26" s="2" t="e">
        <f ca="1">VLOOKUP($E26&amp;$K26,所有坦克升星属性,MATCH(AM$3,所有坦克升星属性标头,0),FALSE)+ROUND(AR26/VLOOKUP($E26,坦克部件!#REF!,4,FALSE)*VLOOKUP($E26&amp;0,所有坦克升星属性,MATCH(AM$3,所有坦克升星属性标头,0),FALSE),0)</f>
        <v>#REF!</v>
      </c>
      <c r="AN26" s="2">
        <f t="shared" ca="1" si="16"/>
        <v>631</v>
      </c>
      <c r="AO26" s="2">
        <f t="shared" ca="1" si="16"/>
        <v>473</v>
      </c>
      <c r="AP26" s="2" t="e">
        <f ca="1">VLOOKUP($E26&amp;$K26,所有坦克升星属性,MATCH(AP$3,所有坦克升星属性标头,0),FALSE)+ROUND(AS26/VLOOKUP($E26,坦克部件!#REF!,4,FALSE)*VLOOKUP($E26&amp;0,所有坦克升星属性,MATCH(AP$3,所有坦克升星属性标头,0),FALSE),0)</f>
        <v>#REF!</v>
      </c>
      <c r="AQ26" s="2" t="e">
        <f>(VLOOKUP($T26,坦克部件!#REF!,MATCH("标准值",坦克部件!#REF!,0),FALSE)+VLOOKUP($N26,坦克部件!#REF!,MATCH("标准值",坦克部件!#REF!,0),FALSE))*$Q26</f>
        <v>#REF!</v>
      </c>
      <c r="AR26" s="2" t="e">
        <f>(VLOOKUP($T26,坦克部件!#REF!,MATCH("标准值",坦克部件!#REF!,0),FALSE)+VLOOKUP($N26,坦克部件!#REF!,MATCH("标准值",坦克部件!#REF!,0),FALSE))*$Q26</f>
        <v>#REF!</v>
      </c>
      <c r="AS26" s="2" t="e">
        <f>(VLOOKUP($T26,坦克部件!#REF!,MATCH("标准值",坦克部件!#REF!,0),FALSE)+VLOOKUP($N26,坦克部件!#REF!,MATCH("标准值",坦克部件!#REF!,0),FALSE))*$Q26</f>
        <v>#REF!</v>
      </c>
      <c r="AT26" s="2">
        <f>VLOOKUP($E26,坦克属性统计!$B$3:$AY$33,MATCH(AT$3,坦克属性统计!$B$3:$AY$3,0),FALSE)</f>
        <v>6</v>
      </c>
      <c r="AU26" s="2">
        <f t="shared" si="17"/>
        <v>0.32</v>
      </c>
      <c r="AV26" s="2">
        <f t="shared" si="17"/>
        <v>0</v>
      </c>
      <c r="AW26" s="2">
        <f t="shared" si="17"/>
        <v>2.4</v>
      </c>
      <c r="AX26" s="34" t="e">
        <f t="shared" ref="AX26:AX37" si="25">IF(LEN(H26)=5,(60-(AT26-1)*AU26)/AV26+AT26,IF(RIGHT(H26,2)="弹夹",((60-(AT26-1)*AU26)/(AW26+(AT26-1)*AU26)+1)*AT26,60/AV26+AT26))</f>
        <v>#DIV/0!</v>
      </c>
      <c r="AY26" s="2" t="e">
        <f ca="1">VLOOKUP($F26&amp;$L26,所有坦克升星属性,MATCH(AY$3,所有坦克升星属性标头,0),FALSE)+ROUND(BD26/VLOOKUP($F26,坦克部件!#REF!,4,FALSE)*VLOOKUP($F26&amp;0,所有坦克升星属性,MATCH(AY$3,所有坦克升星属性标头,0),FALSE),0)</f>
        <v>#REF!</v>
      </c>
      <c r="AZ26" s="2" t="e">
        <f ca="1">VLOOKUP($F26&amp;$L26,所有坦克升星属性,MATCH(AZ$3,所有坦克升星属性标头,0),FALSE)+ROUND(BE26/VLOOKUP($F26,坦克部件!#REF!,4,FALSE)*VLOOKUP($F26&amp;0,所有坦克升星属性,MATCH(AZ$3,所有坦克升星属性标头,0),FALSE),0)</f>
        <v>#REF!</v>
      </c>
      <c r="BA26" s="2">
        <f t="shared" ca="1" si="18"/>
        <v>603</v>
      </c>
      <c r="BB26" s="2">
        <f t="shared" ca="1" si="18"/>
        <v>483</v>
      </c>
      <c r="BC26" s="2" t="e">
        <f ca="1">VLOOKUP($F26&amp;$L26,所有坦克升星属性,MATCH(BC$3,所有坦克升星属性标头,0),FALSE)+ROUND(BF26/VLOOKUP($F26,坦克部件!#REF!,4,FALSE)*VLOOKUP($F26&amp;0,所有坦克升星属性,MATCH(BC$3,所有坦克升星属性标头,0),FALSE),0)</f>
        <v>#REF!</v>
      </c>
      <c r="BD26" s="2" t="e">
        <f>(VLOOKUP($U26,坦克部件!#REF!,MATCH("标准值",坦克部件!#REF!,0),FALSE)+VLOOKUP($O26,坦克部件!#REF!,MATCH("标准值",坦克部件!#REF!,0),FALSE))*$R26</f>
        <v>#REF!</v>
      </c>
      <c r="BE26" s="2" t="e">
        <f>(VLOOKUP($U26,坦克部件!#REF!,MATCH("标准值",坦克部件!#REF!,0),FALSE)+VLOOKUP($O26,坦克部件!#REF!,MATCH("标准值",坦克部件!#REF!,0),FALSE))*$R26</f>
        <v>#REF!</v>
      </c>
      <c r="BF26" s="2" t="e">
        <f>(VLOOKUP($U26,坦克部件!#REF!,MATCH("标准值",坦克部件!#REF!,0),FALSE)+VLOOKUP($O26,坦克部件!#REF!,MATCH("标准值",坦克部件!#REF!,0),FALSE))*$R26</f>
        <v>#REF!</v>
      </c>
      <c r="BG26" s="2">
        <f>VLOOKUP($F26,坦克属性统计!$B$3:$AY$33,MATCH(BG$3,坦克属性统计!$B$3:$AY$3,0),FALSE)</f>
        <v>1</v>
      </c>
      <c r="BH26" s="2">
        <f t="shared" si="19"/>
        <v>0</v>
      </c>
      <c r="BI26" s="2">
        <f t="shared" si="19"/>
        <v>6</v>
      </c>
      <c r="BJ26" s="2">
        <f t="shared" si="19"/>
        <v>0</v>
      </c>
      <c r="BK26" s="34">
        <f t="shared" ref="BK26:BK37" si="26">IF(LEN(I26)=5,(60-(BG26-1)*BH26)/BI26+BG26,IF(RIGHT(I26,2)="弹夹",((60-(BG26-1)*BH26)/(BJ26+(BG26-1)*BH26)+1)*BG26,60/BI26+BG26))</f>
        <v>11</v>
      </c>
      <c r="BM26" s="1" t="e">
        <f t="shared" ca="1" si="6"/>
        <v>#REF!</v>
      </c>
    </row>
    <row r="27" spans="2:65" x14ac:dyDescent="0.3">
      <c r="B27" s="2">
        <v>24</v>
      </c>
      <c r="C27" s="2" t="e">
        <f t="shared" ca="1" si="20"/>
        <v>#REF!</v>
      </c>
      <c r="D27" s="2" t="s">
        <v>627</v>
      </c>
      <c r="E27" s="2" t="s">
        <v>643</v>
      </c>
      <c r="F27" s="2" t="s">
        <v>662</v>
      </c>
      <c r="G27" s="2" t="str">
        <f>VLOOKUP(D27,坦克个性化设定!$B$18:$F$48,5,FALSE)</f>
        <v>轻坦弹夹</v>
      </c>
      <c r="H27" s="2" t="str">
        <f>VLOOKUP(E27,坦克个性化设定!$B$18:$F$48,5,FALSE)</f>
        <v>中坦自动</v>
      </c>
      <c r="I27" s="2" t="str">
        <f>VLOOKUP(F27,坦克个性化设定!$B$18:$F$48,5,FALSE)</f>
        <v>重坦单发</v>
      </c>
      <c r="J27" s="2">
        <v>0</v>
      </c>
      <c r="K27" s="2">
        <v>1</v>
      </c>
      <c r="L27" s="2">
        <v>0</v>
      </c>
      <c r="M27" s="2" t="s">
        <v>1735</v>
      </c>
      <c r="N27" s="2" t="s">
        <v>1735</v>
      </c>
      <c r="O27" s="2" t="s">
        <v>1733</v>
      </c>
      <c r="P27" s="2">
        <v>6</v>
      </c>
      <c r="Q27" s="2">
        <v>6</v>
      </c>
      <c r="R27" s="2">
        <v>6</v>
      </c>
      <c r="S27" s="2">
        <v>40</v>
      </c>
      <c r="T27" s="2">
        <v>40</v>
      </c>
      <c r="U27" s="2">
        <v>40</v>
      </c>
      <c r="V27" s="42" t="e">
        <f t="shared" ca="1" si="21"/>
        <v>#REF!</v>
      </c>
      <c r="W27" s="42" t="e">
        <f t="shared" ca="1" si="22"/>
        <v>#REF!</v>
      </c>
      <c r="X27" s="42" t="e">
        <f t="shared" ca="1" si="23"/>
        <v>#REF!</v>
      </c>
      <c r="Y27" s="2" t="e">
        <f ca="1">VLOOKUP($D27&amp;$J27,所有坦克升星属性,MATCH(Y$3,所有坦克升星属性标头,0),FALSE)+ROUND(AD27/VLOOKUP($D27,坦克部件!#REF!,4,FALSE)*VLOOKUP($D27&amp;0,所有坦克升星属性,MATCH(Y$3,所有坦克升星属性标头,0),FALSE),0)</f>
        <v>#REF!</v>
      </c>
      <c r="Z27" s="2" t="e">
        <f ca="1">VLOOKUP($D27&amp;$J27,所有坦克升星属性,MATCH(Z$3,所有坦克升星属性标头,0),FALSE)+ROUND(AE27/VLOOKUP($D27,坦克部件!#REF!,4,FALSE)*VLOOKUP($D27&amp;0,所有坦克升星属性,MATCH(Z$3,所有坦克升星属性标头,0),FALSE),0)</f>
        <v>#REF!</v>
      </c>
      <c r="AA27" s="2">
        <f t="shared" ca="1" si="14"/>
        <v>657</v>
      </c>
      <c r="AB27" s="2">
        <f t="shared" ca="1" si="14"/>
        <v>460</v>
      </c>
      <c r="AC27" s="2" t="e">
        <f ca="1">VLOOKUP($D27&amp;$J27,所有坦克升星属性,MATCH(AC$3,所有坦克升星属性标头,0),FALSE)+ROUND(AF27/VLOOKUP($D27,坦克部件!#REF!,4,FALSE)*VLOOKUP($D27&amp;0,所有坦克升星属性,MATCH(AC$3,所有坦克升星属性标头,0),FALSE),0)</f>
        <v>#REF!</v>
      </c>
      <c r="AD27" s="2" t="e">
        <f>(VLOOKUP($S27,坦克部件!#REF!,MATCH("标准值",坦克部件!#REF!,0),FALSE)+VLOOKUP($M27,坦克部件!#REF!,MATCH("标准值",坦克部件!#REF!,0),FALSE))*$P27</f>
        <v>#REF!</v>
      </c>
      <c r="AE27" s="2" t="e">
        <f>(VLOOKUP($S27,坦克部件!#REF!,MATCH("标准值",坦克部件!#REF!,0),FALSE)+VLOOKUP($M27,坦克部件!#REF!,MATCH("标准值",坦克部件!#REF!,0),FALSE))*$P27</f>
        <v>#REF!</v>
      </c>
      <c r="AF27" s="2" t="e">
        <f>(VLOOKUP($S27,坦克部件!#REF!,MATCH("标准值",坦克部件!#REF!,0),FALSE)+VLOOKUP($M27,坦克部件!#REF!,MATCH("标准值",坦克部件!#REF!,0),FALSE))*$P27</f>
        <v>#REF!</v>
      </c>
      <c r="AG27" s="2">
        <f>VLOOKUP($D27,坦克属性统计!$B$3:$AY$33,MATCH(AG$3,坦克属性统计!$B$3:$AY$3,0),FALSE)</f>
        <v>12</v>
      </c>
      <c r="AH27" s="2">
        <f t="shared" si="15"/>
        <v>0.8</v>
      </c>
      <c r="AI27" s="2">
        <f t="shared" si="15"/>
        <v>0</v>
      </c>
      <c r="AJ27" s="2">
        <f t="shared" si="15"/>
        <v>8.4</v>
      </c>
      <c r="AK27" s="34">
        <f t="shared" si="24"/>
        <v>47.720930232558132</v>
      </c>
      <c r="AL27" s="2" t="e">
        <f ca="1">VLOOKUP($E27&amp;$K27,所有坦克升星属性,MATCH(AL$3,所有坦克升星属性标头,0),FALSE)+ROUND(AQ27/VLOOKUP($E27,坦克部件!#REF!,4,FALSE)*VLOOKUP($E27&amp;0,所有坦克升星属性,MATCH(AL$3,所有坦克升星属性标头,0),FALSE),0)</f>
        <v>#REF!</v>
      </c>
      <c r="AM27" s="2" t="e">
        <f ca="1">VLOOKUP($E27&amp;$K27,所有坦克升星属性,MATCH(AM$3,所有坦克升星属性标头,0),FALSE)+ROUND(AR27/VLOOKUP($E27,坦克部件!#REF!,4,FALSE)*VLOOKUP($E27&amp;0,所有坦克升星属性,MATCH(AM$3,所有坦克升星属性标头,0),FALSE),0)</f>
        <v>#REF!</v>
      </c>
      <c r="AN27" s="2">
        <f t="shared" ca="1" si="16"/>
        <v>653</v>
      </c>
      <c r="AO27" s="2">
        <f t="shared" ca="1" si="16"/>
        <v>490</v>
      </c>
      <c r="AP27" s="2" t="e">
        <f ca="1">VLOOKUP($E27&amp;$K27,所有坦克升星属性,MATCH(AP$3,所有坦克升星属性标头,0),FALSE)+ROUND(AS27/VLOOKUP($E27,坦克部件!#REF!,4,FALSE)*VLOOKUP($E27&amp;0,所有坦克升星属性,MATCH(AP$3,所有坦克升星属性标头,0),FALSE),0)</f>
        <v>#REF!</v>
      </c>
      <c r="AQ27" s="2" t="e">
        <f>(VLOOKUP($T27,坦克部件!#REF!,MATCH("标准值",坦克部件!#REF!,0),FALSE)+VLOOKUP($N27,坦克部件!#REF!,MATCH("标准值",坦克部件!#REF!,0),FALSE))*$Q27</f>
        <v>#REF!</v>
      </c>
      <c r="AR27" s="2" t="e">
        <f>(VLOOKUP($T27,坦克部件!#REF!,MATCH("标准值",坦克部件!#REF!,0),FALSE)+VLOOKUP($N27,坦克部件!#REF!,MATCH("标准值",坦克部件!#REF!,0),FALSE))*$Q27</f>
        <v>#REF!</v>
      </c>
      <c r="AS27" s="2" t="e">
        <f>(VLOOKUP($T27,坦克部件!#REF!,MATCH("标准值",坦克部件!#REF!,0),FALSE)+VLOOKUP($N27,坦克部件!#REF!,MATCH("标准值",坦克部件!#REF!,0),FALSE))*$Q27</f>
        <v>#REF!</v>
      </c>
      <c r="AT27" s="2">
        <f>VLOOKUP($E27,坦克属性统计!$B$3:$AY$33,MATCH(AT$3,坦克属性统计!$B$3:$AY$3,0),FALSE)</f>
        <v>6</v>
      </c>
      <c r="AU27" s="2">
        <f t="shared" si="17"/>
        <v>0.36</v>
      </c>
      <c r="AV27" s="2">
        <f t="shared" si="17"/>
        <v>0</v>
      </c>
      <c r="AW27" s="2">
        <f t="shared" si="17"/>
        <v>2.4</v>
      </c>
      <c r="AX27" s="34" t="e">
        <f t="shared" si="25"/>
        <v>#DIV/0!</v>
      </c>
      <c r="AY27" s="2" t="e">
        <f ca="1">VLOOKUP($F27&amp;$L27,所有坦克升星属性,MATCH(AY$3,所有坦克升星属性标头,0),FALSE)+ROUND(BD27/VLOOKUP($F27,坦克部件!#REF!,4,FALSE)*VLOOKUP($F27&amp;0,所有坦克升星属性,MATCH(AY$3,所有坦克升星属性标头,0),FALSE),0)</f>
        <v>#REF!</v>
      </c>
      <c r="AZ27" s="2" t="e">
        <f ca="1">VLOOKUP($F27&amp;$L27,所有坦克升星属性,MATCH(AZ$3,所有坦克升星属性标头,0),FALSE)+ROUND(BE27/VLOOKUP($F27,坦克部件!#REF!,4,FALSE)*VLOOKUP($F27&amp;0,所有坦克升星属性,MATCH(AZ$3,所有坦克升星属性标头,0),FALSE),0)</f>
        <v>#REF!</v>
      </c>
      <c r="BA27" s="2">
        <f t="shared" ca="1" si="18"/>
        <v>603</v>
      </c>
      <c r="BB27" s="2">
        <f t="shared" ca="1" si="18"/>
        <v>483</v>
      </c>
      <c r="BC27" s="2" t="e">
        <f ca="1">VLOOKUP($F27&amp;$L27,所有坦克升星属性,MATCH(BC$3,所有坦克升星属性标头,0),FALSE)+ROUND(BF27/VLOOKUP($F27,坦克部件!#REF!,4,FALSE)*VLOOKUP($F27&amp;0,所有坦克升星属性,MATCH(BC$3,所有坦克升星属性标头,0),FALSE),0)</f>
        <v>#REF!</v>
      </c>
      <c r="BD27" s="2" t="e">
        <f>(VLOOKUP($U27,坦克部件!#REF!,MATCH("标准值",坦克部件!#REF!,0),FALSE)+VLOOKUP($O27,坦克部件!#REF!,MATCH("标准值",坦克部件!#REF!,0),FALSE))*$R27</f>
        <v>#REF!</v>
      </c>
      <c r="BE27" s="2" t="e">
        <f>(VLOOKUP($U27,坦克部件!#REF!,MATCH("标准值",坦克部件!#REF!,0),FALSE)+VLOOKUP($O27,坦克部件!#REF!,MATCH("标准值",坦克部件!#REF!,0),FALSE))*$R27</f>
        <v>#REF!</v>
      </c>
      <c r="BF27" s="2" t="e">
        <f>(VLOOKUP($U27,坦克部件!#REF!,MATCH("标准值",坦克部件!#REF!,0),FALSE)+VLOOKUP($O27,坦克部件!#REF!,MATCH("标准值",坦克部件!#REF!,0),FALSE))*$R27</f>
        <v>#REF!</v>
      </c>
      <c r="BG27" s="2">
        <f>VLOOKUP($F27,坦克属性统计!$B$3:$AY$33,MATCH(BG$3,坦克属性统计!$B$3:$AY$3,0),FALSE)</f>
        <v>1</v>
      </c>
      <c r="BH27" s="2">
        <f t="shared" si="19"/>
        <v>0</v>
      </c>
      <c r="BI27" s="2">
        <f t="shared" si="19"/>
        <v>6</v>
      </c>
      <c r="BJ27" s="2">
        <f t="shared" si="19"/>
        <v>0</v>
      </c>
      <c r="BK27" s="34">
        <f t="shared" si="26"/>
        <v>11</v>
      </c>
      <c r="BM27" s="1" t="e">
        <f t="shared" ca="1" si="6"/>
        <v>#REF!</v>
      </c>
    </row>
    <row r="28" spans="2:65" x14ac:dyDescent="0.3">
      <c r="B28" s="2">
        <v>25</v>
      </c>
      <c r="C28" s="2" t="e">
        <f t="shared" ca="1" si="20"/>
        <v>#REF!</v>
      </c>
      <c r="D28" s="2" t="s">
        <v>627</v>
      </c>
      <c r="E28" s="2" t="s">
        <v>643</v>
      </c>
      <c r="F28" s="2" t="s">
        <v>662</v>
      </c>
      <c r="G28" s="2" t="str">
        <f>VLOOKUP(D28,坦克个性化设定!$B$18:$F$48,5,FALSE)</f>
        <v>轻坦弹夹</v>
      </c>
      <c r="H28" s="2" t="str">
        <f>VLOOKUP(E28,坦克个性化设定!$B$18:$F$48,5,FALSE)</f>
        <v>中坦自动</v>
      </c>
      <c r="I28" s="2" t="str">
        <f>VLOOKUP(F28,坦克个性化设定!$B$18:$F$48,5,FALSE)</f>
        <v>重坦单发</v>
      </c>
      <c r="J28" s="2">
        <v>1</v>
      </c>
      <c r="K28" s="2">
        <v>1</v>
      </c>
      <c r="L28" s="2">
        <v>0</v>
      </c>
      <c r="M28" s="2" t="s">
        <v>1736</v>
      </c>
      <c r="N28" s="2" t="s">
        <v>1735</v>
      </c>
      <c r="O28" s="2" t="s">
        <v>1735</v>
      </c>
      <c r="P28" s="2">
        <v>6</v>
      </c>
      <c r="Q28" s="2">
        <v>6</v>
      </c>
      <c r="R28" s="2">
        <v>6</v>
      </c>
      <c r="S28" s="2">
        <v>40</v>
      </c>
      <c r="T28" s="2">
        <v>40</v>
      </c>
      <c r="U28" s="2">
        <v>40</v>
      </c>
      <c r="V28" s="42" t="e">
        <f t="shared" ca="1" si="21"/>
        <v>#REF!</v>
      </c>
      <c r="W28" s="42" t="e">
        <f t="shared" ca="1" si="22"/>
        <v>#REF!</v>
      </c>
      <c r="X28" s="42" t="e">
        <f t="shared" ca="1" si="23"/>
        <v>#REF!</v>
      </c>
      <c r="Y28" s="2" t="e">
        <f ca="1">VLOOKUP($D28&amp;$J28,所有坦克升星属性,MATCH(Y$3,所有坦克升星属性标头,0),FALSE)+ROUND(AD28/VLOOKUP($D28,坦克部件!#REF!,4,FALSE)*VLOOKUP($D28&amp;0,所有坦克升星属性,MATCH(Y$3,所有坦克升星属性标头,0),FALSE),0)</f>
        <v>#REF!</v>
      </c>
      <c r="Z28" s="2" t="e">
        <f ca="1">VLOOKUP($D28&amp;$J28,所有坦克升星属性,MATCH(Z$3,所有坦克升星属性标头,0),FALSE)+ROUND(AE28/VLOOKUP($D28,坦克部件!#REF!,4,FALSE)*VLOOKUP($D28&amp;0,所有坦克升星属性,MATCH(Z$3,所有坦克升星属性标头,0),FALSE),0)</f>
        <v>#REF!</v>
      </c>
      <c r="AA28" s="2">
        <f t="shared" ca="1" si="14"/>
        <v>681</v>
      </c>
      <c r="AB28" s="2">
        <f t="shared" ca="1" si="14"/>
        <v>476</v>
      </c>
      <c r="AC28" s="2" t="e">
        <f ca="1">VLOOKUP($D28&amp;$J28,所有坦克升星属性,MATCH(AC$3,所有坦克升星属性标头,0),FALSE)+ROUND(AF28/VLOOKUP($D28,坦克部件!#REF!,4,FALSE)*VLOOKUP($D28&amp;0,所有坦克升星属性,MATCH(AC$3,所有坦克升星属性标头,0),FALSE),0)</f>
        <v>#REF!</v>
      </c>
      <c r="AD28" s="2" t="e">
        <f>(VLOOKUP($S28,坦克部件!#REF!,MATCH("标准值",坦克部件!#REF!,0),FALSE)+VLOOKUP($M28,坦克部件!#REF!,MATCH("标准值",坦克部件!#REF!,0),FALSE))*$P28</f>
        <v>#REF!</v>
      </c>
      <c r="AE28" s="2" t="e">
        <f>(VLOOKUP($S28,坦克部件!#REF!,MATCH("标准值",坦克部件!#REF!,0),FALSE)+VLOOKUP($M28,坦克部件!#REF!,MATCH("标准值",坦克部件!#REF!,0),FALSE))*$P28</f>
        <v>#REF!</v>
      </c>
      <c r="AF28" s="2" t="e">
        <f>(VLOOKUP($S28,坦克部件!#REF!,MATCH("标准值",坦克部件!#REF!,0),FALSE)+VLOOKUP($M28,坦克部件!#REF!,MATCH("标准值",坦克部件!#REF!,0),FALSE))*$P28</f>
        <v>#REF!</v>
      </c>
      <c r="AG28" s="2">
        <f>VLOOKUP($D28,坦克属性统计!$B$3:$AY$33,MATCH(AG$3,坦克属性统计!$B$3:$AY$3,0),FALSE)</f>
        <v>12</v>
      </c>
      <c r="AH28" s="2">
        <f t="shared" si="15"/>
        <v>0.8</v>
      </c>
      <c r="AI28" s="2">
        <f t="shared" si="15"/>
        <v>0</v>
      </c>
      <c r="AJ28" s="2">
        <f t="shared" si="15"/>
        <v>8.1</v>
      </c>
      <c r="AK28" s="34">
        <f t="shared" si="24"/>
        <v>48.355029585798817</v>
      </c>
      <c r="AL28" s="2" t="e">
        <f ca="1">VLOOKUP($E28&amp;$K28,所有坦克升星属性,MATCH(AL$3,所有坦克升星属性标头,0),FALSE)+ROUND(AQ28/VLOOKUP($E28,坦克部件!#REF!,4,FALSE)*VLOOKUP($E28&amp;0,所有坦克升星属性,MATCH(AL$3,所有坦克升星属性标头,0),FALSE),0)</f>
        <v>#REF!</v>
      </c>
      <c r="AM28" s="2" t="e">
        <f ca="1">VLOOKUP($E28&amp;$K28,所有坦克升星属性,MATCH(AM$3,所有坦克升星属性标头,0),FALSE)+ROUND(AR28/VLOOKUP($E28,坦克部件!#REF!,4,FALSE)*VLOOKUP($E28&amp;0,所有坦克升星属性,MATCH(AM$3,所有坦克升星属性标头,0),FALSE),0)</f>
        <v>#REF!</v>
      </c>
      <c r="AN28" s="2">
        <f t="shared" ca="1" si="16"/>
        <v>653</v>
      </c>
      <c r="AO28" s="2">
        <f t="shared" ca="1" si="16"/>
        <v>490</v>
      </c>
      <c r="AP28" s="2" t="e">
        <f ca="1">VLOOKUP($E28&amp;$K28,所有坦克升星属性,MATCH(AP$3,所有坦克升星属性标头,0),FALSE)+ROUND(AS28/VLOOKUP($E28,坦克部件!#REF!,4,FALSE)*VLOOKUP($E28&amp;0,所有坦克升星属性,MATCH(AP$3,所有坦克升星属性标头,0),FALSE),0)</f>
        <v>#REF!</v>
      </c>
      <c r="AQ28" s="2" t="e">
        <f>(VLOOKUP($T28,坦克部件!#REF!,MATCH("标准值",坦克部件!#REF!,0),FALSE)+VLOOKUP($N28,坦克部件!#REF!,MATCH("标准值",坦克部件!#REF!,0),FALSE))*$Q28</f>
        <v>#REF!</v>
      </c>
      <c r="AR28" s="2" t="e">
        <f>(VLOOKUP($T28,坦克部件!#REF!,MATCH("标准值",坦克部件!#REF!,0),FALSE)+VLOOKUP($N28,坦克部件!#REF!,MATCH("标准值",坦克部件!#REF!,0),FALSE))*$Q28</f>
        <v>#REF!</v>
      </c>
      <c r="AS28" s="2" t="e">
        <f>(VLOOKUP($T28,坦克部件!#REF!,MATCH("标准值",坦克部件!#REF!,0),FALSE)+VLOOKUP($N28,坦克部件!#REF!,MATCH("标准值",坦克部件!#REF!,0),FALSE))*$Q28</f>
        <v>#REF!</v>
      </c>
      <c r="AT28" s="2">
        <f>VLOOKUP($E28,坦克属性统计!$B$3:$AY$33,MATCH(AT$3,坦克属性统计!$B$3:$AY$3,0),FALSE)</f>
        <v>6</v>
      </c>
      <c r="AU28" s="2">
        <f t="shared" si="17"/>
        <v>0.36</v>
      </c>
      <c r="AV28" s="2">
        <f t="shared" si="17"/>
        <v>0</v>
      </c>
      <c r="AW28" s="2">
        <f t="shared" si="17"/>
        <v>2.4</v>
      </c>
      <c r="AX28" s="34" t="e">
        <f t="shared" si="25"/>
        <v>#DIV/0!</v>
      </c>
      <c r="AY28" s="2" t="e">
        <f ca="1">VLOOKUP($F28&amp;$L28,所有坦克升星属性,MATCH(AY$3,所有坦克升星属性标头,0),FALSE)+ROUND(BD28/VLOOKUP($F28,坦克部件!#REF!,4,FALSE)*VLOOKUP($F28&amp;0,所有坦克升星属性,MATCH(AY$3,所有坦克升星属性标头,0),FALSE),0)</f>
        <v>#REF!</v>
      </c>
      <c r="AZ28" s="2" t="e">
        <f ca="1">VLOOKUP($F28&amp;$L28,所有坦克升星属性,MATCH(AZ$3,所有坦克升星属性标头,0),FALSE)+ROUND(BE28/VLOOKUP($F28,坦克部件!#REF!,4,FALSE)*VLOOKUP($F28&amp;0,所有坦克升星属性,MATCH(AZ$3,所有坦克升星属性标头,0),FALSE),0)</f>
        <v>#REF!</v>
      </c>
      <c r="BA28" s="2">
        <f t="shared" ca="1" si="18"/>
        <v>603</v>
      </c>
      <c r="BB28" s="2">
        <f t="shared" ca="1" si="18"/>
        <v>483</v>
      </c>
      <c r="BC28" s="2" t="e">
        <f ca="1">VLOOKUP($F28&amp;$L28,所有坦克升星属性,MATCH(BC$3,所有坦克升星属性标头,0),FALSE)+ROUND(BF28/VLOOKUP($F28,坦克部件!#REF!,4,FALSE)*VLOOKUP($F28&amp;0,所有坦克升星属性,MATCH(BC$3,所有坦克升星属性标头,0),FALSE),0)</f>
        <v>#REF!</v>
      </c>
      <c r="BD28" s="2" t="e">
        <f>(VLOOKUP($U28,坦克部件!#REF!,MATCH("标准值",坦克部件!#REF!,0),FALSE)+VLOOKUP($O28,坦克部件!#REF!,MATCH("标准值",坦克部件!#REF!,0),FALSE))*$R28</f>
        <v>#REF!</v>
      </c>
      <c r="BE28" s="2" t="e">
        <f>(VLOOKUP($U28,坦克部件!#REF!,MATCH("标准值",坦克部件!#REF!,0),FALSE)+VLOOKUP($O28,坦克部件!#REF!,MATCH("标准值",坦克部件!#REF!,0),FALSE))*$R28</f>
        <v>#REF!</v>
      </c>
      <c r="BF28" s="2" t="e">
        <f>(VLOOKUP($U28,坦克部件!#REF!,MATCH("标准值",坦克部件!#REF!,0),FALSE)+VLOOKUP($O28,坦克部件!#REF!,MATCH("标准值",坦克部件!#REF!,0),FALSE))*$R28</f>
        <v>#REF!</v>
      </c>
      <c r="BG28" s="2">
        <f>VLOOKUP($F28,坦克属性统计!$B$3:$AY$33,MATCH(BG$3,坦克属性统计!$B$3:$AY$3,0),FALSE)</f>
        <v>1</v>
      </c>
      <c r="BH28" s="2">
        <f t="shared" si="19"/>
        <v>0</v>
      </c>
      <c r="BI28" s="2">
        <f t="shared" si="19"/>
        <v>6</v>
      </c>
      <c r="BJ28" s="2">
        <f t="shared" si="19"/>
        <v>0</v>
      </c>
      <c r="BK28" s="34">
        <f t="shared" si="26"/>
        <v>11</v>
      </c>
      <c r="BM28" s="1" t="e">
        <f t="shared" ca="1" si="6"/>
        <v>#REF!</v>
      </c>
    </row>
    <row r="29" spans="2:65" x14ac:dyDescent="0.3">
      <c r="B29" s="2">
        <v>26</v>
      </c>
      <c r="C29" s="2" t="e">
        <f t="shared" ca="1" si="20"/>
        <v>#REF!</v>
      </c>
      <c r="D29" s="2" t="s">
        <v>627</v>
      </c>
      <c r="E29" s="2" t="s">
        <v>645</v>
      </c>
      <c r="F29" s="2" t="s">
        <v>662</v>
      </c>
      <c r="G29" s="2" t="str">
        <f>VLOOKUP(D29,坦克个性化设定!$B$18:$F$48,5,FALSE)</f>
        <v>轻坦弹夹</v>
      </c>
      <c r="H29" s="2" t="str">
        <f>VLOOKUP(E29,坦克个性化设定!$B$18:$F$48,5,FALSE)</f>
        <v>中坦自动</v>
      </c>
      <c r="I29" s="2" t="str">
        <f>VLOOKUP(F29,坦克个性化设定!$B$18:$F$48,5,FALSE)</f>
        <v>重坦单发</v>
      </c>
      <c r="J29" s="2">
        <v>1</v>
      </c>
      <c r="K29" s="2">
        <v>0</v>
      </c>
      <c r="L29" s="2">
        <v>1</v>
      </c>
      <c r="M29" s="2" t="s">
        <v>1737</v>
      </c>
      <c r="N29" s="2" t="s">
        <v>1736</v>
      </c>
      <c r="O29" s="2" t="s">
        <v>1736</v>
      </c>
      <c r="P29" s="2">
        <v>6</v>
      </c>
      <c r="Q29" s="2">
        <v>6</v>
      </c>
      <c r="R29" s="2">
        <v>6</v>
      </c>
      <c r="S29" s="2">
        <v>40</v>
      </c>
      <c r="T29" s="2">
        <v>40</v>
      </c>
      <c r="U29" s="2">
        <v>40</v>
      </c>
      <c r="V29" s="42" t="e">
        <f t="shared" ca="1" si="21"/>
        <v>#REF!</v>
      </c>
      <c r="W29" s="42" t="e">
        <f t="shared" ca="1" si="22"/>
        <v>#REF!</v>
      </c>
      <c r="X29" s="42" t="e">
        <f t="shared" ca="1" si="23"/>
        <v>#REF!</v>
      </c>
      <c r="Y29" s="2" t="e">
        <f ca="1">VLOOKUP($D29&amp;$J29,所有坦克升星属性,MATCH(Y$3,所有坦克升星属性标头,0),FALSE)+ROUND(AD29/VLOOKUP($D29,坦克部件!#REF!,4,FALSE)*VLOOKUP($D29&amp;0,所有坦克升星属性,MATCH(Y$3,所有坦克升星属性标头,0),FALSE),0)</f>
        <v>#REF!</v>
      </c>
      <c r="Z29" s="2" t="e">
        <f ca="1">VLOOKUP($D29&amp;$J29,所有坦克升星属性,MATCH(Z$3,所有坦克升星属性标头,0),FALSE)+ROUND(AE29/VLOOKUP($D29,坦克部件!#REF!,4,FALSE)*VLOOKUP($D29&amp;0,所有坦克升星属性,MATCH(Z$3,所有坦克升星属性标头,0),FALSE),0)</f>
        <v>#REF!</v>
      </c>
      <c r="AA29" s="2">
        <f t="shared" ca="1" si="14"/>
        <v>681</v>
      </c>
      <c r="AB29" s="2">
        <f t="shared" ca="1" si="14"/>
        <v>476</v>
      </c>
      <c r="AC29" s="2" t="e">
        <f ca="1">VLOOKUP($D29&amp;$J29,所有坦克升星属性,MATCH(AC$3,所有坦克升星属性标头,0),FALSE)+ROUND(AF29/VLOOKUP($D29,坦克部件!#REF!,4,FALSE)*VLOOKUP($D29&amp;0,所有坦克升星属性,MATCH(AC$3,所有坦克升星属性标头,0),FALSE),0)</f>
        <v>#REF!</v>
      </c>
      <c r="AD29" s="2" t="e">
        <f>(VLOOKUP($S29,坦克部件!#REF!,MATCH("标准值",坦克部件!#REF!,0),FALSE)+VLOOKUP($M29,坦克部件!#REF!,MATCH("标准值",坦克部件!#REF!,0),FALSE))*$P29</f>
        <v>#REF!</v>
      </c>
      <c r="AE29" s="2" t="e">
        <f>(VLOOKUP($S29,坦克部件!#REF!,MATCH("标准值",坦克部件!#REF!,0),FALSE)+VLOOKUP($M29,坦克部件!#REF!,MATCH("标准值",坦克部件!#REF!,0),FALSE))*$P29</f>
        <v>#REF!</v>
      </c>
      <c r="AF29" s="2" t="e">
        <f>(VLOOKUP($S29,坦克部件!#REF!,MATCH("标准值",坦克部件!#REF!,0),FALSE)+VLOOKUP($M29,坦克部件!#REF!,MATCH("标准值",坦克部件!#REF!,0),FALSE))*$P29</f>
        <v>#REF!</v>
      </c>
      <c r="AG29" s="2">
        <f>VLOOKUP($D29,坦克属性统计!$B$3:$AY$33,MATCH(AG$3,坦克属性统计!$B$3:$AY$3,0),FALSE)</f>
        <v>12</v>
      </c>
      <c r="AH29" s="2">
        <f t="shared" si="15"/>
        <v>0.8</v>
      </c>
      <c r="AI29" s="2">
        <f t="shared" si="15"/>
        <v>0</v>
      </c>
      <c r="AJ29" s="2">
        <f t="shared" si="15"/>
        <v>8.1</v>
      </c>
      <c r="AK29" s="34">
        <f t="shared" si="24"/>
        <v>48.355029585798817</v>
      </c>
      <c r="AL29" s="2" t="e">
        <f ca="1">VLOOKUP($E29&amp;$K29,所有坦克升星属性,MATCH(AL$3,所有坦克升星属性标头,0),FALSE)+ROUND(AQ29/VLOOKUP($E29,坦克部件!#REF!,4,FALSE)*VLOOKUP($E29&amp;0,所有坦克升星属性,MATCH(AL$3,所有坦克升星属性标头,0),FALSE),0)</f>
        <v>#REF!</v>
      </c>
      <c r="AM29" s="2" t="e">
        <f ca="1">VLOOKUP($E29&amp;$K29,所有坦克升星属性,MATCH(AM$3,所有坦克升星属性标头,0),FALSE)+ROUND(AR29/VLOOKUP($E29,坦克部件!#REF!,4,FALSE)*VLOOKUP($E29&amp;0,所有坦克升星属性,MATCH(AM$3,所有坦克升星属性标头,0),FALSE),0)</f>
        <v>#REF!</v>
      </c>
      <c r="AN29" s="2">
        <f t="shared" ca="1" si="16"/>
        <v>657</v>
      </c>
      <c r="AO29" s="2">
        <f t="shared" ca="1" si="16"/>
        <v>493</v>
      </c>
      <c r="AP29" s="2" t="e">
        <f ca="1">VLOOKUP($E29&amp;$K29,所有坦克升星属性,MATCH(AP$3,所有坦克升星属性标头,0),FALSE)+ROUND(AS29/VLOOKUP($E29,坦克部件!#REF!,4,FALSE)*VLOOKUP($E29&amp;0,所有坦克升星属性,MATCH(AP$3,所有坦克升星属性标头,0),FALSE),0)</f>
        <v>#REF!</v>
      </c>
      <c r="AQ29" s="2" t="e">
        <f>(VLOOKUP($T29,坦克部件!#REF!,MATCH("标准值",坦克部件!#REF!,0),FALSE)+VLOOKUP($N29,坦克部件!#REF!,MATCH("标准值",坦克部件!#REF!,0),FALSE))*$Q29</f>
        <v>#REF!</v>
      </c>
      <c r="AR29" s="2" t="e">
        <f>(VLOOKUP($T29,坦克部件!#REF!,MATCH("标准值",坦克部件!#REF!,0),FALSE)+VLOOKUP($N29,坦克部件!#REF!,MATCH("标准值",坦克部件!#REF!,0),FALSE))*$Q29</f>
        <v>#REF!</v>
      </c>
      <c r="AS29" s="2" t="e">
        <f>(VLOOKUP($T29,坦克部件!#REF!,MATCH("标准值",坦克部件!#REF!,0),FALSE)+VLOOKUP($N29,坦克部件!#REF!,MATCH("标准值",坦克部件!#REF!,0),FALSE))*$Q29</f>
        <v>#REF!</v>
      </c>
      <c r="AT29" s="2">
        <f>VLOOKUP($E29,坦克属性统计!$B$3:$AY$33,MATCH(AT$3,坦克属性统计!$B$3:$AY$3,0),FALSE)</f>
        <v>10</v>
      </c>
      <c r="AU29" s="2">
        <f t="shared" si="17"/>
        <v>0.4</v>
      </c>
      <c r="AV29" s="2">
        <f t="shared" si="17"/>
        <v>3.6</v>
      </c>
      <c r="AW29" s="2">
        <f t="shared" si="17"/>
        <v>0</v>
      </c>
      <c r="AX29" s="34">
        <f t="shared" si="25"/>
        <v>26.666666666666668</v>
      </c>
      <c r="AY29" s="2" t="e">
        <f ca="1">VLOOKUP($F29&amp;$L29,所有坦克升星属性,MATCH(AY$3,所有坦克升星属性标头,0),FALSE)+ROUND(BD29/VLOOKUP($F29,坦克部件!#REF!,4,FALSE)*VLOOKUP($F29&amp;0,所有坦克升星属性,MATCH(AY$3,所有坦克升星属性标头,0),FALSE),0)</f>
        <v>#REF!</v>
      </c>
      <c r="AZ29" s="2" t="e">
        <f ca="1">VLOOKUP($F29&amp;$L29,所有坦克升星属性,MATCH(AZ$3,所有坦克升星属性标头,0),FALSE)+ROUND(BE29/VLOOKUP($F29,坦克部件!#REF!,4,FALSE)*VLOOKUP($F29&amp;0,所有坦克升星属性,MATCH(AZ$3,所有坦克升星属性标头,0),FALSE),0)</f>
        <v>#REF!</v>
      </c>
      <c r="BA29" s="2">
        <f t="shared" ca="1" si="18"/>
        <v>624</v>
      </c>
      <c r="BB29" s="2">
        <f t="shared" ca="1" si="18"/>
        <v>500</v>
      </c>
      <c r="BC29" s="2" t="e">
        <f ca="1">VLOOKUP($F29&amp;$L29,所有坦克升星属性,MATCH(BC$3,所有坦克升星属性标头,0),FALSE)+ROUND(BF29/VLOOKUP($F29,坦克部件!#REF!,4,FALSE)*VLOOKUP($F29&amp;0,所有坦克升星属性,MATCH(BC$3,所有坦克升星属性标头,0),FALSE),0)</f>
        <v>#REF!</v>
      </c>
      <c r="BD29" s="2" t="e">
        <f>(VLOOKUP($U29,坦克部件!#REF!,MATCH("标准值",坦克部件!#REF!,0),FALSE)+VLOOKUP($O29,坦克部件!#REF!,MATCH("标准值",坦克部件!#REF!,0),FALSE))*$R29</f>
        <v>#REF!</v>
      </c>
      <c r="BE29" s="2" t="e">
        <f>(VLOOKUP($U29,坦克部件!#REF!,MATCH("标准值",坦克部件!#REF!,0),FALSE)+VLOOKUP($O29,坦克部件!#REF!,MATCH("标准值",坦克部件!#REF!,0),FALSE))*$R29</f>
        <v>#REF!</v>
      </c>
      <c r="BF29" s="2" t="e">
        <f>(VLOOKUP($U29,坦克部件!#REF!,MATCH("标准值",坦克部件!#REF!,0),FALSE)+VLOOKUP($O29,坦克部件!#REF!,MATCH("标准值",坦克部件!#REF!,0),FALSE))*$R29</f>
        <v>#REF!</v>
      </c>
      <c r="BG29" s="2">
        <f>VLOOKUP($F29,坦克属性统计!$B$3:$AY$33,MATCH(BG$3,坦克属性统计!$B$3:$AY$3,0),FALSE)</f>
        <v>1</v>
      </c>
      <c r="BH29" s="2">
        <f t="shared" si="19"/>
        <v>0</v>
      </c>
      <c r="BI29" s="2">
        <f t="shared" si="19"/>
        <v>5.92</v>
      </c>
      <c r="BJ29" s="2">
        <f t="shared" si="19"/>
        <v>0</v>
      </c>
      <c r="BK29" s="34">
        <f t="shared" si="26"/>
        <v>11.135135135135135</v>
      </c>
      <c r="BM29" s="1" t="e">
        <f t="shared" ca="1" si="6"/>
        <v>#REF!</v>
      </c>
    </row>
    <row r="30" spans="2:65" x14ac:dyDescent="0.3">
      <c r="B30" s="2">
        <v>27</v>
      </c>
      <c r="C30" s="2" t="e">
        <f t="shared" ca="1" si="20"/>
        <v>#REF!</v>
      </c>
      <c r="D30" s="2" t="s">
        <v>627</v>
      </c>
      <c r="E30" s="2" t="s">
        <v>645</v>
      </c>
      <c r="F30" s="2" t="s">
        <v>664</v>
      </c>
      <c r="G30" s="2" t="str">
        <f>VLOOKUP(D30,坦克个性化设定!$B$18:$F$48,5,FALSE)</f>
        <v>轻坦弹夹</v>
      </c>
      <c r="H30" s="2" t="str">
        <f>VLOOKUP(E30,坦克个性化设定!$B$18:$F$48,5,FALSE)</f>
        <v>中坦自动</v>
      </c>
      <c r="I30" s="2" t="str">
        <f>VLOOKUP(F30,坦克个性化设定!$B$18:$F$48,5,FALSE)</f>
        <v>重坦自动</v>
      </c>
      <c r="J30" s="2">
        <v>1</v>
      </c>
      <c r="K30" s="2">
        <v>0</v>
      </c>
      <c r="L30" s="2">
        <v>0</v>
      </c>
      <c r="M30" s="2" t="s">
        <v>1738</v>
      </c>
      <c r="N30" s="2" t="s">
        <v>1738</v>
      </c>
      <c r="O30" s="2" t="s">
        <v>1737</v>
      </c>
      <c r="P30" s="2">
        <v>6</v>
      </c>
      <c r="Q30" s="2">
        <v>6</v>
      </c>
      <c r="R30" s="2">
        <v>6</v>
      </c>
      <c r="S30" s="2">
        <v>40</v>
      </c>
      <c r="T30" s="2">
        <v>40</v>
      </c>
      <c r="U30" s="2">
        <v>40</v>
      </c>
      <c r="V30" s="42" t="e">
        <f t="shared" ca="1" si="21"/>
        <v>#REF!</v>
      </c>
      <c r="W30" s="42" t="e">
        <f t="shared" ca="1" si="22"/>
        <v>#REF!</v>
      </c>
      <c r="X30" s="42" t="e">
        <f t="shared" ca="1" si="23"/>
        <v>#REF!</v>
      </c>
      <c r="Y30" s="2" t="e">
        <f ca="1">VLOOKUP($D30&amp;$J30,所有坦克升星属性,MATCH(Y$3,所有坦克升星属性标头,0),FALSE)+ROUND(AD30/VLOOKUP($D30,坦克部件!#REF!,4,FALSE)*VLOOKUP($D30&amp;0,所有坦克升星属性,MATCH(Y$3,所有坦克升星属性标头,0),FALSE),0)</f>
        <v>#REF!</v>
      </c>
      <c r="Z30" s="2" t="e">
        <f ca="1">VLOOKUP($D30&amp;$J30,所有坦克升星属性,MATCH(Z$3,所有坦克升星属性标头,0),FALSE)+ROUND(AE30/VLOOKUP($D30,坦克部件!#REF!,4,FALSE)*VLOOKUP($D30&amp;0,所有坦克升星属性,MATCH(Z$3,所有坦克升星属性标头,0),FALSE),0)</f>
        <v>#REF!</v>
      </c>
      <c r="AA30" s="2">
        <f t="shared" ca="1" si="14"/>
        <v>681</v>
      </c>
      <c r="AB30" s="2">
        <f t="shared" ca="1" si="14"/>
        <v>476</v>
      </c>
      <c r="AC30" s="2" t="e">
        <f ca="1">VLOOKUP($D30&amp;$J30,所有坦克升星属性,MATCH(AC$3,所有坦克升星属性标头,0),FALSE)+ROUND(AF30/VLOOKUP($D30,坦克部件!#REF!,4,FALSE)*VLOOKUP($D30&amp;0,所有坦克升星属性,MATCH(AC$3,所有坦克升星属性标头,0),FALSE),0)</f>
        <v>#REF!</v>
      </c>
      <c r="AD30" s="2" t="e">
        <f>(VLOOKUP($S30,坦克部件!#REF!,MATCH("标准值",坦克部件!#REF!,0),FALSE)+VLOOKUP($M30,坦克部件!#REF!,MATCH("标准值",坦克部件!#REF!,0),FALSE))*$P30</f>
        <v>#REF!</v>
      </c>
      <c r="AE30" s="2" t="e">
        <f>(VLOOKUP($S30,坦克部件!#REF!,MATCH("标准值",坦克部件!#REF!,0),FALSE)+VLOOKUP($M30,坦克部件!#REF!,MATCH("标准值",坦克部件!#REF!,0),FALSE))*$P30</f>
        <v>#REF!</v>
      </c>
      <c r="AF30" s="2" t="e">
        <f>(VLOOKUP($S30,坦克部件!#REF!,MATCH("标准值",坦克部件!#REF!,0),FALSE)+VLOOKUP($M30,坦克部件!#REF!,MATCH("标准值",坦克部件!#REF!,0),FALSE))*$P30</f>
        <v>#REF!</v>
      </c>
      <c r="AG30" s="2">
        <f>VLOOKUP($D30,坦克属性统计!$B$3:$AY$33,MATCH(AG$3,坦克属性统计!$B$3:$AY$3,0),FALSE)</f>
        <v>12</v>
      </c>
      <c r="AH30" s="2">
        <f t="shared" si="15"/>
        <v>0.8</v>
      </c>
      <c r="AI30" s="2">
        <f t="shared" si="15"/>
        <v>0</v>
      </c>
      <c r="AJ30" s="2">
        <f t="shared" si="15"/>
        <v>8.1</v>
      </c>
      <c r="AK30" s="34">
        <f t="shared" si="24"/>
        <v>48.355029585798817</v>
      </c>
      <c r="AL30" s="2" t="e">
        <f ca="1">VLOOKUP($E30&amp;$K30,所有坦克升星属性,MATCH(AL$3,所有坦克升星属性标头,0),FALSE)+ROUND(AQ30/VLOOKUP($E30,坦克部件!#REF!,4,FALSE)*VLOOKUP($E30&amp;0,所有坦克升星属性,MATCH(AL$3,所有坦克升星属性标头,0),FALSE),0)</f>
        <v>#REF!</v>
      </c>
      <c r="AM30" s="2" t="e">
        <f ca="1">VLOOKUP($E30&amp;$K30,所有坦克升星属性,MATCH(AM$3,所有坦克升星属性标头,0),FALSE)+ROUND(AR30/VLOOKUP($E30,坦克部件!#REF!,4,FALSE)*VLOOKUP($E30&amp;0,所有坦克升星属性,MATCH(AM$3,所有坦克升星属性标头,0),FALSE),0)</f>
        <v>#REF!</v>
      </c>
      <c r="AN30" s="2">
        <f t="shared" ca="1" si="16"/>
        <v>657</v>
      </c>
      <c r="AO30" s="2">
        <f t="shared" ca="1" si="16"/>
        <v>493</v>
      </c>
      <c r="AP30" s="2" t="e">
        <f ca="1">VLOOKUP($E30&amp;$K30,所有坦克升星属性,MATCH(AP$3,所有坦克升星属性标头,0),FALSE)+ROUND(AS30/VLOOKUP($E30,坦克部件!#REF!,4,FALSE)*VLOOKUP($E30&amp;0,所有坦克升星属性,MATCH(AP$3,所有坦克升星属性标头,0),FALSE),0)</f>
        <v>#REF!</v>
      </c>
      <c r="AQ30" s="2" t="e">
        <f>(VLOOKUP($T30,坦克部件!#REF!,MATCH("标准值",坦克部件!#REF!,0),FALSE)+VLOOKUP($N30,坦克部件!#REF!,MATCH("标准值",坦克部件!#REF!,0),FALSE))*$Q30</f>
        <v>#REF!</v>
      </c>
      <c r="AR30" s="2" t="e">
        <f>(VLOOKUP($T30,坦克部件!#REF!,MATCH("标准值",坦克部件!#REF!,0),FALSE)+VLOOKUP($N30,坦克部件!#REF!,MATCH("标准值",坦克部件!#REF!,0),FALSE))*$Q30</f>
        <v>#REF!</v>
      </c>
      <c r="AS30" s="2" t="e">
        <f>(VLOOKUP($T30,坦克部件!#REF!,MATCH("标准值",坦克部件!#REF!,0),FALSE)+VLOOKUP($N30,坦克部件!#REF!,MATCH("标准值",坦克部件!#REF!,0),FALSE))*$Q30</f>
        <v>#REF!</v>
      </c>
      <c r="AT30" s="2">
        <f>VLOOKUP($E30,坦克属性统计!$B$3:$AY$33,MATCH(AT$3,坦克属性统计!$B$3:$AY$3,0),FALSE)</f>
        <v>10</v>
      </c>
      <c r="AU30" s="2">
        <f t="shared" si="17"/>
        <v>0.4</v>
      </c>
      <c r="AV30" s="2">
        <f t="shared" si="17"/>
        <v>3.6</v>
      </c>
      <c r="AW30" s="2">
        <f t="shared" si="17"/>
        <v>0</v>
      </c>
      <c r="AX30" s="34">
        <f t="shared" si="25"/>
        <v>26.666666666666668</v>
      </c>
      <c r="AY30" s="2" t="e">
        <f ca="1">VLOOKUP($F30&amp;$L30,所有坦克升星属性,MATCH(AY$3,所有坦克升星属性标头,0),FALSE)+ROUND(BD30/VLOOKUP($F30,坦克部件!#REF!,4,FALSE)*VLOOKUP($F30&amp;0,所有坦克升星属性,MATCH(AY$3,所有坦克升星属性标头,0),FALSE),0)</f>
        <v>#REF!</v>
      </c>
      <c r="AZ30" s="2" t="e">
        <f ca="1">VLOOKUP($F30&amp;$L30,所有坦克升星属性,MATCH(AZ$3,所有坦克升星属性标头,0),FALSE)+ROUND(BE30/VLOOKUP($F30,坦克部件!#REF!,4,FALSE)*VLOOKUP($F30&amp;0,所有坦克升星属性,MATCH(AZ$3,所有坦克升星属性标头,0),FALSE),0)</f>
        <v>#REF!</v>
      </c>
      <c r="BA30" s="2">
        <f t="shared" ca="1" si="18"/>
        <v>571</v>
      </c>
      <c r="BB30" s="2">
        <f t="shared" ca="1" si="18"/>
        <v>457</v>
      </c>
      <c r="BC30" s="2" t="e">
        <f ca="1">VLOOKUP($F30&amp;$L30,所有坦克升星属性,MATCH(BC$3,所有坦克升星属性标头,0),FALSE)+ROUND(BF30/VLOOKUP($F30,坦克部件!#REF!,4,FALSE)*VLOOKUP($F30&amp;0,所有坦克升星属性,MATCH(BC$3,所有坦克升星属性标头,0),FALSE),0)</f>
        <v>#REF!</v>
      </c>
      <c r="BD30" s="2" t="e">
        <f>(VLOOKUP($U30,坦克部件!#REF!,MATCH("标准值",坦克部件!#REF!,0),FALSE)+VLOOKUP($O30,坦克部件!#REF!,MATCH("标准值",坦克部件!#REF!,0),FALSE))*$R30</f>
        <v>#REF!</v>
      </c>
      <c r="BE30" s="2" t="e">
        <f>(VLOOKUP($U30,坦克部件!#REF!,MATCH("标准值",坦克部件!#REF!,0),FALSE)+VLOOKUP($O30,坦克部件!#REF!,MATCH("标准值",坦克部件!#REF!,0),FALSE))*$R30</f>
        <v>#REF!</v>
      </c>
      <c r="BF30" s="2" t="e">
        <f>(VLOOKUP($U30,坦克部件!#REF!,MATCH("标准值",坦克部件!#REF!,0),FALSE)+VLOOKUP($O30,坦克部件!#REF!,MATCH("标准值",坦克部件!#REF!,0),FALSE))*$R30</f>
        <v>#REF!</v>
      </c>
      <c r="BG30" s="2">
        <f>VLOOKUP($F30,坦克属性统计!$B$3:$AY$33,MATCH(BG$3,坦克属性统计!$B$3:$AY$3,0),FALSE)</f>
        <v>2</v>
      </c>
      <c r="BH30" s="2">
        <f t="shared" si="19"/>
        <v>2</v>
      </c>
      <c r="BI30" s="2">
        <f t="shared" si="19"/>
        <v>4.5</v>
      </c>
      <c r="BJ30" s="2">
        <f t="shared" si="19"/>
        <v>0</v>
      </c>
      <c r="BK30" s="34">
        <f t="shared" si="26"/>
        <v>15.333333333333334</v>
      </c>
      <c r="BM30" s="1" t="e">
        <f t="shared" ca="1" si="6"/>
        <v>#REF!</v>
      </c>
    </row>
    <row r="31" spans="2:65" x14ac:dyDescent="0.3">
      <c r="B31" s="2">
        <v>28</v>
      </c>
      <c r="C31" s="2" t="e">
        <f t="shared" ca="1" si="20"/>
        <v>#REF!</v>
      </c>
      <c r="D31" s="2" t="s">
        <v>629</v>
      </c>
      <c r="E31" s="2" t="s">
        <v>645</v>
      </c>
      <c r="F31" s="2" t="s">
        <v>664</v>
      </c>
      <c r="G31" s="2" t="str">
        <f>VLOOKUP(D31,坦克个性化设定!$B$18:$F$48,5,FALSE)</f>
        <v>轻坦弹夹</v>
      </c>
      <c r="H31" s="2" t="str">
        <f>VLOOKUP(E31,坦克个性化设定!$B$18:$F$48,5,FALSE)</f>
        <v>中坦自动</v>
      </c>
      <c r="I31" s="2" t="str">
        <f>VLOOKUP(F31,坦克个性化设定!$B$18:$F$48,5,FALSE)</f>
        <v>重坦自动</v>
      </c>
      <c r="J31" s="2">
        <v>0</v>
      </c>
      <c r="K31" s="2">
        <v>1</v>
      </c>
      <c r="L31" s="2">
        <v>0</v>
      </c>
      <c r="M31" s="2" t="s">
        <v>1738</v>
      </c>
      <c r="N31" s="2" t="s">
        <v>1738</v>
      </c>
      <c r="O31" s="2" t="s">
        <v>1738</v>
      </c>
      <c r="P31" s="2">
        <v>6</v>
      </c>
      <c r="Q31" s="2">
        <v>6</v>
      </c>
      <c r="R31" s="2">
        <v>6</v>
      </c>
      <c r="S31" s="2">
        <v>40</v>
      </c>
      <c r="T31" s="2">
        <v>40</v>
      </c>
      <c r="U31" s="2">
        <v>40</v>
      </c>
      <c r="V31" s="42" t="e">
        <f t="shared" ca="1" si="21"/>
        <v>#REF!</v>
      </c>
      <c r="W31" s="42" t="e">
        <f t="shared" ca="1" si="22"/>
        <v>#REF!</v>
      </c>
      <c r="X31" s="42" t="e">
        <f t="shared" ca="1" si="23"/>
        <v>#REF!</v>
      </c>
      <c r="Y31" s="2" t="e">
        <f ca="1">VLOOKUP($D31&amp;$J31,所有坦克升星属性,MATCH(Y$3,所有坦克升星属性标头,0),FALSE)+ROUND(AD31/VLOOKUP($D31,坦克部件!#REF!,4,FALSE)*VLOOKUP($D31&amp;0,所有坦克升星属性,MATCH(Y$3,所有坦克升星属性标头,0),FALSE),0)</f>
        <v>#REF!</v>
      </c>
      <c r="Z31" s="2" t="e">
        <f ca="1">VLOOKUP($D31&amp;$J31,所有坦克升星属性,MATCH(Z$3,所有坦克升星属性标头,0),FALSE)+ROUND(AE31/VLOOKUP($D31,坦克部件!#REF!,4,FALSE)*VLOOKUP($D31&amp;0,所有坦克升星属性,MATCH(Z$3,所有坦克升星属性标头,0),FALSE),0)</f>
        <v>#REF!</v>
      </c>
      <c r="AA31" s="2">
        <f t="shared" ca="1" si="14"/>
        <v>657</v>
      </c>
      <c r="AB31" s="2">
        <f t="shared" ca="1" si="14"/>
        <v>460</v>
      </c>
      <c r="AC31" s="2" t="e">
        <f ca="1">VLOOKUP($D31&amp;$J31,所有坦克升星属性,MATCH(AC$3,所有坦克升星属性标头,0),FALSE)+ROUND(AF31/VLOOKUP($D31,坦克部件!#REF!,4,FALSE)*VLOOKUP($D31&amp;0,所有坦克升星属性,MATCH(AC$3,所有坦克升星属性标头,0),FALSE),0)</f>
        <v>#REF!</v>
      </c>
      <c r="AD31" s="2" t="e">
        <f>(VLOOKUP($S31,坦克部件!#REF!,MATCH("标准值",坦克部件!#REF!,0),FALSE)+VLOOKUP($M31,坦克部件!#REF!,MATCH("标准值",坦克部件!#REF!,0),FALSE))*$P31</f>
        <v>#REF!</v>
      </c>
      <c r="AE31" s="2" t="e">
        <f>(VLOOKUP($S31,坦克部件!#REF!,MATCH("标准值",坦克部件!#REF!,0),FALSE)+VLOOKUP($M31,坦克部件!#REF!,MATCH("标准值",坦克部件!#REF!,0),FALSE))*$P31</f>
        <v>#REF!</v>
      </c>
      <c r="AF31" s="2" t="e">
        <f>(VLOOKUP($S31,坦克部件!#REF!,MATCH("标准值",坦克部件!#REF!,0),FALSE)+VLOOKUP($M31,坦克部件!#REF!,MATCH("标准值",坦克部件!#REF!,0),FALSE))*$P31</f>
        <v>#REF!</v>
      </c>
      <c r="AG31" s="2">
        <f>VLOOKUP($D31,坦克属性统计!$B$3:$AY$33,MATCH(AG$3,坦克属性统计!$B$3:$AY$3,0),FALSE)</f>
        <v>6</v>
      </c>
      <c r="AH31" s="2">
        <f t="shared" si="15"/>
        <v>0.8</v>
      </c>
      <c r="AI31" s="2">
        <f t="shared" si="15"/>
        <v>0</v>
      </c>
      <c r="AJ31" s="2">
        <f t="shared" si="15"/>
        <v>4.2</v>
      </c>
      <c r="AK31" s="34">
        <f t="shared" si="24"/>
        <v>46.975609756097569</v>
      </c>
      <c r="AL31" s="2" t="e">
        <f ca="1">VLOOKUP($E31&amp;$K31,所有坦克升星属性,MATCH(AL$3,所有坦克升星属性标头,0),FALSE)+ROUND(AQ31/VLOOKUP($E31,坦克部件!#REF!,4,FALSE)*VLOOKUP($E31&amp;0,所有坦克升星属性,MATCH(AL$3,所有坦克升星属性标头,0),FALSE),0)</f>
        <v>#REF!</v>
      </c>
      <c r="AM31" s="2" t="e">
        <f ca="1">VLOOKUP($E31&amp;$K31,所有坦克升星属性,MATCH(AM$3,所有坦克升星属性标头,0),FALSE)+ROUND(AR31/VLOOKUP($E31,坦克部件!#REF!,4,FALSE)*VLOOKUP($E31&amp;0,所有坦克升星属性,MATCH(AM$3,所有坦克升星属性标头,0),FALSE),0)</f>
        <v>#REF!</v>
      </c>
      <c r="AN31" s="2">
        <f t="shared" ca="1" si="16"/>
        <v>681</v>
      </c>
      <c r="AO31" s="2">
        <f t="shared" ca="1" si="16"/>
        <v>511</v>
      </c>
      <c r="AP31" s="2" t="e">
        <f ca="1">VLOOKUP($E31&amp;$K31,所有坦克升星属性,MATCH(AP$3,所有坦克升星属性标头,0),FALSE)+ROUND(AS31/VLOOKUP($E31,坦克部件!#REF!,4,FALSE)*VLOOKUP($E31&amp;0,所有坦克升星属性,MATCH(AP$3,所有坦克升星属性标头,0),FALSE),0)</f>
        <v>#REF!</v>
      </c>
      <c r="AQ31" s="2" t="e">
        <f>(VLOOKUP($T31,坦克部件!#REF!,MATCH("标准值",坦克部件!#REF!,0),FALSE)+VLOOKUP($N31,坦克部件!#REF!,MATCH("标准值",坦克部件!#REF!,0),FALSE))*$Q31</f>
        <v>#REF!</v>
      </c>
      <c r="AR31" s="2" t="e">
        <f>(VLOOKUP($T31,坦克部件!#REF!,MATCH("标准值",坦克部件!#REF!,0),FALSE)+VLOOKUP($N31,坦克部件!#REF!,MATCH("标准值",坦克部件!#REF!,0),FALSE))*$Q31</f>
        <v>#REF!</v>
      </c>
      <c r="AS31" s="2" t="e">
        <f>(VLOOKUP($T31,坦克部件!#REF!,MATCH("标准值",坦克部件!#REF!,0),FALSE)+VLOOKUP($N31,坦克部件!#REF!,MATCH("标准值",坦克部件!#REF!,0),FALSE))*$Q31</f>
        <v>#REF!</v>
      </c>
      <c r="AT31" s="2">
        <f>VLOOKUP($E31,坦克属性统计!$B$3:$AY$33,MATCH(AT$3,坦克属性统计!$B$3:$AY$3,0),FALSE)</f>
        <v>10</v>
      </c>
      <c r="AU31" s="2">
        <f t="shared" si="17"/>
        <v>0.4</v>
      </c>
      <c r="AV31" s="2">
        <f t="shared" si="17"/>
        <v>3.54</v>
      </c>
      <c r="AW31" s="2">
        <f t="shared" si="17"/>
        <v>0</v>
      </c>
      <c r="AX31" s="34">
        <f t="shared" si="25"/>
        <v>26.949152542372882</v>
      </c>
      <c r="AY31" s="2" t="e">
        <f ca="1">VLOOKUP($F31&amp;$L31,所有坦克升星属性,MATCH(AY$3,所有坦克升星属性标头,0),FALSE)+ROUND(BD31/VLOOKUP($F31,坦克部件!#REF!,4,FALSE)*VLOOKUP($F31&amp;0,所有坦克升星属性,MATCH(AY$3,所有坦克升星属性标头,0),FALSE),0)</f>
        <v>#REF!</v>
      </c>
      <c r="AZ31" s="2" t="e">
        <f ca="1">VLOOKUP($F31&amp;$L31,所有坦克升星属性,MATCH(AZ$3,所有坦克升星属性标头,0),FALSE)+ROUND(BE31/VLOOKUP($F31,坦克部件!#REF!,4,FALSE)*VLOOKUP($F31&amp;0,所有坦克升星属性,MATCH(AZ$3,所有坦克升星属性标头,0),FALSE),0)</f>
        <v>#REF!</v>
      </c>
      <c r="BA31" s="2">
        <f t="shared" ca="1" si="18"/>
        <v>571</v>
      </c>
      <c r="BB31" s="2">
        <f t="shared" ca="1" si="18"/>
        <v>457</v>
      </c>
      <c r="BC31" s="2" t="e">
        <f ca="1">VLOOKUP($F31&amp;$L31,所有坦克升星属性,MATCH(BC$3,所有坦克升星属性标头,0),FALSE)+ROUND(BF31/VLOOKUP($F31,坦克部件!#REF!,4,FALSE)*VLOOKUP($F31&amp;0,所有坦克升星属性,MATCH(BC$3,所有坦克升星属性标头,0),FALSE),0)</f>
        <v>#REF!</v>
      </c>
      <c r="BD31" s="2" t="e">
        <f>(VLOOKUP($U31,坦克部件!#REF!,MATCH("标准值",坦克部件!#REF!,0),FALSE)+VLOOKUP($O31,坦克部件!#REF!,MATCH("标准值",坦克部件!#REF!,0),FALSE))*$R31</f>
        <v>#REF!</v>
      </c>
      <c r="BE31" s="2" t="e">
        <f>(VLOOKUP($U31,坦克部件!#REF!,MATCH("标准值",坦克部件!#REF!,0),FALSE)+VLOOKUP($O31,坦克部件!#REF!,MATCH("标准值",坦克部件!#REF!,0),FALSE))*$R31</f>
        <v>#REF!</v>
      </c>
      <c r="BF31" s="2" t="e">
        <f>(VLOOKUP($U31,坦克部件!#REF!,MATCH("标准值",坦克部件!#REF!,0),FALSE)+VLOOKUP($O31,坦克部件!#REF!,MATCH("标准值",坦克部件!#REF!,0),FALSE))*$R31</f>
        <v>#REF!</v>
      </c>
      <c r="BG31" s="2">
        <f>VLOOKUP($F31,坦克属性统计!$B$3:$AY$33,MATCH(BG$3,坦克属性统计!$B$3:$AY$3,0),FALSE)</f>
        <v>2</v>
      </c>
      <c r="BH31" s="2">
        <f t="shared" si="19"/>
        <v>2</v>
      </c>
      <c r="BI31" s="2">
        <f t="shared" si="19"/>
        <v>4.5</v>
      </c>
      <c r="BJ31" s="2">
        <f t="shared" si="19"/>
        <v>0</v>
      </c>
      <c r="BK31" s="34">
        <f t="shared" si="26"/>
        <v>15.333333333333334</v>
      </c>
      <c r="BM31" s="1" t="e">
        <f t="shared" ca="1" si="6"/>
        <v>#REF!</v>
      </c>
    </row>
    <row r="32" spans="2:65" x14ac:dyDescent="0.3">
      <c r="B32" s="2">
        <v>29</v>
      </c>
      <c r="C32" s="2" t="e">
        <f t="shared" ca="1" si="20"/>
        <v>#REF!</v>
      </c>
      <c r="D32" s="2" t="s">
        <v>629</v>
      </c>
      <c r="E32" s="2" t="s">
        <v>645</v>
      </c>
      <c r="F32" s="2" t="s">
        <v>664</v>
      </c>
      <c r="G32" s="2" t="str">
        <f>VLOOKUP(D32,坦克个性化设定!$B$18:$F$48,5,FALSE)</f>
        <v>轻坦弹夹</v>
      </c>
      <c r="H32" s="2" t="str">
        <f>VLOOKUP(E32,坦克个性化设定!$B$18:$F$48,5,FALSE)</f>
        <v>中坦自动</v>
      </c>
      <c r="I32" s="2" t="str">
        <f>VLOOKUP(F32,坦克个性化设定!$B$18:$F$48,5,FALSE)</f>
        <v>重坦自动</v>
      </c>
      <c r="J32" s="2">
        <v>0</v>
      </c>
      <c r="K32" s="2">
        <v>1</v>
      </c>
      <c r="L32" s="2">
        <v>1</v>
      </c>
      <c r="M32" s="2" t="s">
        <v>1738</v>
      </c>
      <c r="N32" s="2" t="s">
        <v>1738</v>
      </c>
      <c r="O32" s="2" t="s">
        <v>1738</v>
      </c>
      <c r="P32" s="2">
        <v>6</v>
      </c>
      <c r="Q32" s="2">
        <v>6</v>
      </c>
      <c r="R32" s="2">
        <v>6</v>
      </c>
      <c r="S32" s="2">
        <v>40</v>
      </c>
      <c r="T32" s="2">
        <v>40</v>
      </c>
      <c r="U32" s="2">
        <v>40</v>
      </c>
      <c r="V32" s="42" t="e">
        <f t="shared" ca="1" si="21"/>
        <v>#REF!</v>
      </c>
      <c r="W32" s="42" t="e">
        <f t="shared" ca="1" si="22"/>
        <v>#REF!</v>
      </c>
      <c r="X32" s="42" t="e">
        <f t="shared" ca="1" si="23"/>
        <v>#REF!</v>
      </c>
      <c r="Y32" s="2" t="e">
        <f ca="1">VLOOKUP($D32&amp;$J32,所有坦克升星属性,MATCH(Y$3,所有坦克升星属性标头,0),FALSE)+ROUND(AD32/VLOOKUP($D32,坦克部件!#REF!,4,FALSE)*VLOOKUP($D32&amp;0,所有坦克升星属性,MATCH(Y$3,所有坦克升星属性标头,0),FALSE),0)</f>
        <v>#REF!</v>
      </c>
      <c r="Z32" s="2" t="e">
        <f ca="1">VLOOKUP($D32&amp;$J32,所有坦克升星属性,MATCH(Z$3,所有坦克升星属性标头,0),FALSE)+ROUND(AE32/VLOOKUP($D32,坦克部件!#REF!,4,FALSE)*VLOOKUP($D32&amp;0,所有坦克升星属性,MATCH(Z$3,所有坦克升星属性标头,0),FALSE),0)</f>
        <v>#REF!</v>
      </c>
      <c r="AA32" s="2">
        <f t="shared" ca="1" si="14"/>
        <v>657</v>
      </c>
      <c r="AB32" s="2">
        <f t="shared" ca="1" si="14"/>
        <v>460</v>
      </c>
      <c r="AC32" s="2" t="e">
        <f ca="1">VLOOKUP($D32&amp;$J32,所有坦克升星属性,MATCH(AC$3,所有坦克升星属性标头,0),FALSE)+ROUND(AF32/VLOOKUP($D32,坦克部件!#REF!,4,FALSE)*VLOOKUP($D32&amp;0,所有坦克升星属性,MATCH(AC$3,所有坦克升星属性标头,0),FALSE),0)</f>
        <v>#REF!</v>
      </c>
      <c r="AD32" s="2" t="e">
        <f>(VLOOKUP($S32,坦克部件!#REF!,MATCH("标准值",坦克部件!#REF!,0),FALSE)+VLOOKUP($M32,坦克部件!#REF!,MATCH("标准值",坦克部件!#REF!,0),FALSE))*$P32</f>
        <v>#REF!</v>
      </c>
      <c r="AE32" s="2" t="e">
        <f>(VLOOKUP($S32,坦克部件!#REF!,MATCH("标准值",坦克部件!#REF!,0),FALSE)+VLOOKUP($M32,坦克部件!#REF!,MATCH("标准值",坦克部件!#REF!,0),FALSE))*$P32</f>
        <v>#REF!</v>
      </c>
      <c r="AF32" s="2" t="e">
        <f>(VLOOKUP($S32,坦克部件!#REF!,MATCH("标准值",坦克部件!#REF!,0),FALSE)+VLOOKUP($M32,坦克部件!#REF!,MATCH("标准值",坦克部件!#REF!,0),FALSE))*$P32</f>
        <v>#REF!</v>
      </c>
      <c r="AG32" s="2">
        <f>VLOOKUP($D32,坦克属性统计!$B$3:$AY$33,MATCH(AG$3,坦克属性统计!$B$3:$AY$3,0),FALSE)</f>
        <v>6</v>
      </c>
      <c r="AH32" s="2">
        <f t="shared" si="15"/>
        <v>0.8</v>
      </c>
      <c r="AI32" s="2">
        <f t="shared" si="15"/>
        <v>0</v>
      </c>
      <c r="AJ32" s="2">
        <f t="shared" si="15"/>
        <v>4.2</v>
      </c>
      <c r="AK32" s="34">
        <f t="shared" si="24"/>
        <v>46.975609756097569</v>
      </c>
      <c r="AL32" s="2" t="e">
        <f ca="1">VLOOKUP($E32&amp;$K32,所有坦克升星属性,MATCH(AL$3,所有坦克升星属性标头,0),FALSE)+ROUND(AQ32/VLOOKUP($E32,坦克部件!#REF!,4,FALSE)*VLOOKUP($E32&amp;0,所有坦克升星属性,MATCH(AL$3,所有坦克升星属性标头,0),FALSE),0)</f>
        <v>#REF!</v>
      </c>
      <c r="AM32" s="2" t="e">
        <f ca="1">VLOOKUP($E32&amp;$K32,所有坦克升星属性,MATCH(AM$3,所有坦克升星属性标头,0),FALSE)+ROUND(AR32/VLOOKUP($E32,坦克部件!#REF!,4,FALSE)*VLOOKUP($E32&amp;0,所有坦克升星属性,MATCH(AM$3,所有坦克升星属性标头,0),FALSE),0)</f>
        <v>#REF!</v>
      </c>
      <c r="AN32" s="2">
        <f t="shared" ca="1" si="16"/>
        <v>681</v>
      </c>
      <c r="AO32" s="2">
        <f t="shared" ca="1" si="16"/>
        <v>511</v>
      </c>
      <c r="AP32" s="2" t="e">
        <f ca="1">VLOOKUP($E32&amp;$K32,所有坦克升星属性,MATCH(AP$3,所有坦克升星属性标头,0),FALSE)+ROUND(AS32/VLOOKUP($E32,坦克部件!#REF!,4,FALSE)*VLOOKUP($E32&amp;0,所有坦克升星属性,MATCH(AP$3,所有坦克升星属性标头,0),FALSE),0)</f>
        <v>#REF!</v>
      </c>
      <c r="AQ32" s="2" t="e">
        <f>(VLOOKUP($T32,坦克部件!#REF!,MATCH("标准值",坦克部件!#REF!,0),FALSE)+VLOOKUP($N32,坦克部件!#REF!,MATCH("标准值",坦克部件!#REF!,0),FALSE))*$Q32</f>
        <v>#REF!</v>
      </c>
      <c r="AR32" s="2" t="e">
        <f>(VLOOKUP($T32,坦克部件!#REF!,MATCH("标准值",坦克部件!#REF!,0),FALSE)+VLOOKUP($N32,坦克部件!#REF!,MATCH("标准值",坦克部件!#REF!,0),FALSE))*$Q32</f>
        <v>#REF!</v>
      </c>
      <c r="AS32" s="2" t="e">
        <f>(VLOOKUP($T32,坦克部件!#REF!,MATCH("标准值",坦克部件!#REF!,0),FALSE)+VLOOKUP($N32,坦克部件!#REF!,MATCH("标准值",坦克部件!#REF!,0),FALSE))*$Q32</f>
        <v>#REF!</v>
      </c>
      <c r="AT32" s="2">
        <f>VLOOKUP($E32,坦克属性统计!$B$3:$AY$33,MATCH(AT$3,坦克属性统计!$B$3:$AY$3,0),FALSE)</f>
        <v>10</v>
      </c>
      <c r="AU32" s="2">
        <f t="shared" si="17"/>
        <v>0.4</v>
      </c>
      <c r="AV32" s="2">
        <f t="shared" si="17"/>
        <v>3.54</v>
      </c>
      <c r="AW32" s="2">
        <f t="shared" si="17"/>
        <v>0</v>
      </c>
      <c r="AX32" s="34">
        <f t="shared" si="25"/>
        <v>26.949152542372882</v>
      </c>
      <c r="AY32" s="2" t="e">
        <f ca="1">VLOOKUP($F32&amp;$L32,所有坦克升星属性,MATCH(AY$3,所有坦克升星属性标头,0),FALSE)+ROUND(BD32/VLOOKUP($F32,坦克部件!#REF!,4,FALSE)*VLOOKUP($F32&amp;0,所有坦克升星属性,MATCH(AY$3,所有坦克升星属性标头,0),FALSE),0)</f>
        <v>#REF!</v>
      </c>
      <c r="AZ32" s="2" t="e">
        <f ca="1">VLOOKUP($F32&amp;$L32,所有坦克升星属性,MATCH(AZ$3,所有坦克升星属性标头,0),FALSE)+ROUND(BE32/VLOOKUP($F32,坦克部件!#REF!,4,FALSE)*VLOOKUP($F32&amp;0,所有坦克升星属性,MATCH(AZ$3,所有坦克升星属性标头,0),FALSE),0)</f>
        <v>#REF!</v>
      </c>
      <c r="BA32" s="2">
        <f t="shared" ca="1" si="18"/>
        <v>592</v>
      </c>
      <c r="BB32" s="2">
        <f t="shared" ca="1" si="18"/>
        <v>473</v>
      </c>
      <c r="BC32" s="2" t="e">
        <f ca="1">VLOOKUP($F32&amp;$L32,所有坦克升星属性,MATCH(BC$3,所有坦克升星属性标头,0),FALSE)+ROUND(BF32/VLOOKUP($F32,坦克部件!#REF!,4,FALSE)*VLOOKUP($F32&amp;0,所有坦克升星属性,MATCH(BC$3,所有坦克升星属性标头,0),FALSE),0)</f>
        <v>#REF!</v>
      </c>
      <c r="BD32" s="2" t="e">
        <f>(VLOOKUP($U32,坦克部件!#REF!,MATCH("标准值",坦克部件!#REF!,0),FALSE)+VLOOKUP($O32,坦克部件!#REF!,MATCH("标准值",坦克部件!#REF!,0),FALSE))*$R32</f>
        <v>#REF!</v>
      </c>
      <c r="BE32" s="2" t="e">
        <f>(VLOOKUP($U32,坦克部件!#REF!,MATCH("标准值",坦克部件!#REF!,0),FALSE)+VLOOKUP($O32,坦克部件!#REF!,MATCH("标准值",坦克部件!#REF!,0),FALSE))*$R32</f>
        <v>#REF!</v>
      </c>
      <c r="BF32" s="2" t="e">
        <f>(VLOOKUP($U32,坦克部件!#REF!,MATCH("标准值",坦克部件!#REF!,0),FALSE)+VLOOKUP($O32,坦克部件!#REF!,MATCH("标准值",坦克部件!#REF!,0),FALSE))*$R32</f>
        <v>#REF!</v>
      </c>
      <c r="BG32" s="2">
        <f>VLOOKUP($F32,坦克属性统计!$B$3:$AY$33,MATCH(BG$3,坦克属性统计!$B$3:$AY$3,0),FALSE)</f>
        <v>2</v>
      </c>
      <c r="BH32" s="2">
        <f t="shared" si="19"/>
        <v>2</v>
      </c>
      <c r="BI32" s="2">
        <f t="shared" si="19"/>
        <v>4.4400000000000004</v>
      </c>
      <c r="BJ32" s="2">
        <f t="shared" si="19"/>
        <v>0</v>
      </c>
      <c r="BK32" s="34">
        <f t="shared" si="26"/>
        <v>15.513513513513512</v>
      </c>
      <c r="BM32" s="1" t="e">
        <f t="shared" ca="1" si="6"/>
        <v>#REF!</v>
      </c>
    </row>
    <row r="33" spans="2:65" x14ac:dyDescent="0.3">
      <c r="B33" s="2">
        <v>30</v>
      </c>
      <c r="C33" s="2" t="e">
        <f t="shared" ca="1" si="20"/>
        <v>#REF!</v>
      </c>
      <c r="D33" s="2" t="s">
        <v>629</v>
      </c>
      <c r="E33" s="2" t="s">
        <v>647</v>
      </c>
      <c r="F33" s="2" t="s">
        <v>664</v>
      </c>
      <c r="G33" s="2" t="str">
        <f>VLOOKUP(D33,坦克个性化设定!$B$18:$F$48,5,FALSE)</f>
        <v>轻坦弹夹</v>
      </c>
      <c r="H33" s="2" t="str">
        <f>VLOOKUP(E33,坦克个性化设定!$B$18:$F$48,5,FALSE)</f>
        <v>中坦自动</v>
      </c>
      <c r="I33" s="2" t="str">
        <f>VLOOKUP(F33,坦克个性化设定!$B$18:$F$48,5,FALSE)</f>
        <v>重坦自动</v>
      </c>
      <c r="J33" s="2">
        <v>1</v>
      </c>
      <c r="K33" s="2">
        <v>0</v>
      </c>
      <c r="L33" s="2">
        <v>1</v>
      </c>
      <c r="M33" s="2" t="s">
        <v>1738</v>
      </c>
      <c r="N33" s="2" t="s">
        <v>1738</v>
      </c>
      <c r="O33" s="2" t="s">
        <v>1738</v>
      </c>
      <c r="P33" s="2">
        <v>6</v>
      </c>
      <c r="Q33" s="2">
        <v>6</v>
      </c>
      <c r="R33" s="2">
        <v>6</v>
      </c>
      <c r="S33" s="2">
        <v>40</v>
      </c>
      <c r="T33" s="2">
        <v>40</v>
      </c>
      <c r="U33" s="2">
        <v>40</v>
      </c>
      <c r="V33" s="42" t="e">
        <f t="shared" ca="1" si="21"/>
        <v>#REF!</v>
      </c>
      <c r="W33" s="42" t="e">
        <f t="shared" ca="1" si="22"/>
        <v>#REF!</v>
      </c>
      <c r="X33" s="42" t="e">
        <f t="shared" ca="1" si="23"/>
        <v>#REF!</v>
      </c>
      <c r="Y33" s="2" t="e">
        <f ca="1">VLOOKUP($D33&amp;$J33,所有坦克升星属性,MATCH(Y$3,所有坦克升星属性标头,0),FALSE)+ROUND(AD33/VLOOKUP($D33,坦克部件!#REF!,4,FALSE)*VLOOKUP($D33&amp;0,所有坦克升星属性,MATCH(Y$3,所有坦克升星属性标头,0),FALSE),0)</f>
        <v>#REF!</v>
      </c>
      <c r="Z33" s="2" t="e">
        <f ca="1">VLOOKUP($D33&amp;$J33,所有坦克升星属性,MATCH(Z$3,所有坦克升星属性标头,0),FALSE)+ROUND(AE33/VLOOKUP($D33,坦克部件!#REF!,4,FALSE)*VLOOKUP($D33&amp;0,所有坦克升星属性,MATCH(Z$3,所有坦克升星属性标头,0),FALSE),0)</f>
        <v>#REF!</v>
      </c>
      <c r="AA33" s="2">
        <f t="shared" ca="1" si="14"/>
        <v>682</v>
      </c>
      <c r="AB33" s="2">
        <f t="shared" ca="1" si="14"/>
        <v>478</v>
      </c>
      <c r="AC33" s="2" t="e">
        <f ca="1">VLOOKUP($D33&amp;$J33,所有坦克升星属性,MATCH(AC$3,所有坦克升星属性标头,0),FALSE)+ROUND(AF33/VLOOKUP($D33,坦克部件!#REF!,4,FALSE)*VLOOKUP($D33&amp;0,所有坦克升星属性,MATCH(AC$3,所有坦克升星属性标头,0),FALSE),0)</f>
        <v>#REF!</v>
      </c>
      <c r="AD33" s="2" t="e">
        <f>(VLOOKUP($S33,坦克部件!#REF!,MATCH("标准值",坦克部件!#REF!,0),FALSE)+VLOOKUP($M33,坦克部件!#REF!,MATCH("标准值",坦克部件!#REF!,0),FALSE))*$P33</f>
        <v>#REF!</v>
      </c>
      <c r="AE33" s="2" t="e">
        <f>(VLOOKUP($S33,坦克部件!#REF!,MATCH("标准值",坦克部件!#REF!,0),FALSE)+VLOOKUP($M33,坦克部件!#REF!,MATCH("标准值",坦克部件!#REF!,0),FALSE))*$P33</f>
        <v>#REF!</v>
      </c>
      <c r="AF33" s="2" t="e">
        <f>(VLOOKUP($S33,坦克部件!#REF!,MATCH("标准值",坦克部件!#REF!,0),FALSE)+VLOOKUP($M33,坦克部件!#REF!,MATCH("标准值",坦克部件!#REF!,0),FALSE))*$P33</f>
        <v>#REF!</v>
      </c>
      <c r="AG33" s="2">
        <f>VLOOKUP($D33,坦克属性统计!$B$3:$AY$33,MATCH(AG$3,坦克属性统计!$B$3:$AY$3,0),FALSE)</f>
        <v>6</v>
      </c>
      <c r="AH33" s="2">
        <f t="shared" si="15"/>
        <v>0.8</v>
      </c>
      <c r="AI33" s="2">
        <f t="shared" si="15"/>
        <v>0</v>
      </c>
      <c r="AJ33" s="2">
        <f t="shared" si="15"/>
        <v>4.0999999999999996</v>
      </c>
      <c r="AK33" s="34">
        <f t="shared" si="24"/>
        <v>47.481481481481481</v>
      </c>
      <c r="AL33" s="2" t="e">
        <f ca="1">VLOOKUP($E33&amp;$K33,所有坦克升星属性,MATCH(AL$3,所有坦克升星属性标头,0),FALSE)+ROUND(AQ33/VLOOKUP($E33,坦克部件!#REF!,4,FALSE)*VLOOKUP($E33&amp;0,所有坦克升星属性,MATCH(AL$3,所有坦克升星属性标头,0),FALSE),0)</f>
        <v>#REF!</v>
      </c>
      <c r="AM33" s="2" t="e">
        <f ca="1">VLOOKUP($E33&amp;$K33,所有坦克升星属性,MATCH(AM$3,所有坦克升星属性标头,0),FALSE)+ROUND(AR33/VLOOKUP($E33,坦克部件!#REF!,4,FALSE)*VLOOKUP($E33&amp;0,所有坦克升星属性,MATCH(AM$3,所有坦克升星属性标头,0),FALSE),0)</f>
        <v>#REF!</v>
      </c>
      <c r="AN33" s="2">
        <f t="shared" ca="1" si="16"/>
        <v>657</v>
      </c>
      <c r="AO33" s="2">
        <f t="shared" ca="1" si="16"/>
        <v>493</v>
      </c>
      <c r="AP33" s="2" t="e">
        <f ca="1">VLOOKUP($E33&amp;$K33,所有坦克升星属性,MATCH(AP$3,所有坦克升星属性标头,0),FALSE)+ROUND(AS33/VLOOKUP($E33,坦克部件!#REF!,4,FALSE)*VLOOKUP($E33&amp;0,所有坦克升星属性,MATCH(AP$3,所有坦克升星属性标头,0),FALSE),0)</f>
        <v>#REF!</v>
      </c>
      <c r="AQ33" s="2" t="e">
        <f>(VLOOKUP($T33,坦克部件!#REF!,MATCH("标准值",坦克部件!#REF!,0),FALSE)+VLOOKUP($N33,坦克部件!#REF!,MATCH("标准值",坦克部件!#REF!,0),FALSE))*$Q33</f>
        <v>#REF!</v>
      </c>
      <c r="AR33" s="2" t="e">
        <f>(VLOOKUP($T33,坦克部件!#REF!,MATCH("标准值",坦克部件!#REF!,0),FALSE)+VLOOKUP($N33,坦克部件!#REF!,MATCH("标准值",坦克部件!#REF!,0),FALSE))*$Q33</f>
        <v>#REF!</v>
      </c>
      <c r="AS33" s="2" t="e">
        <f>(VLOOKUP($T33,坦克部件!#REF!,MATCH("标准值",坦克部件!#REF!,0),FALSE)+VLOOKUP($N33,坦克部件!#REF!,MATCH("标准值",坦克部件!#REF!,0),FALSE))*$Q33</f>
        <v>#REF!</v>
      </c>
      <c r="AT33" s="2">
        <f>VLOOKUP($E33,坦克属性统计!$B$3:$AY$33,MATCH(AT$3,坦克属性统计!$B$3:$AY$3,0),FALSE)</f>
        <v>4</v>
      </c>
      <c r="AU33" s="2">
        <f t="shared" si="17"/>
        <v>0.26</v>
      </c>
      <c r="AV33" s="2">
        <f t="shared" si="17"/>
        <v>2.4</v>
      </c>
      <c r="AW33" s="2">
        <f t="shared" si="17"/>
        <v>0</v>
      </c>
      <c r="AX33" s="34">
        <f t="shared" si="25"/>
        <v>29</v>
      </c>
      <c r="AY33" s="2" t="e">
        <f ca="1">VLOOKUP($F33&amp;$L33,所有坦克升星属性,MATCH(AY$3,所有坦克升星属性标头,0),FALSE)+ROUND(BD33/VLOOKUP($F33,坦克部件!#REF!,4,FALSE)*VLOOKUP($F33&amp;0,所有坦克升星属性,MATCH(AY$3,所有坦克升星属性标头,0),FALSE),0)</f>
        <v>#REF!</v>
      </c>
      <c r="AZ33" s="2" t="e">
        <f ca="1">VLOOKUP($F33&amp;$L33,所有坦克升星属性,MATCH(AZ$3,所有坦克升星属性标头,0),FALSE)+ROUND(BE33/VLOOKUP($F33,坦克部件!#REF!,4,FALSE)*VLOOKUP($F33&amp;0,所有坦克升星属性,MATCH(AZ$3,所有坦克升星属性标头,0),FALSE),0)</f>
        <v>#REF!</v>
      </c>
      <c r="BA33" s="2">
        <f t="shared" ca="1" si="18"/>
        <v>592</v>
      </c>
      <c r="BB33" s="2">
        <f t="shared" ca="1" si="18"/>
        <v>473</v>
      </c>
      <c r="BC33" s="2" t="e">
        <f ca="1">VLOOKUP($F33&amp;$L33,所有坦克升星属性,MATCH(BC$3,所有坦克升星属性标头,0),FALSE)+ROUND(BF33/VLOOKUP($F33,坦克部件!#REF!,4,FALSE)*VLOOKUP($F33&amp;0,所有坦克升星属性,MATCH(BC$3,所有坦克升星属性标头,0),FALSE),0)</f>
        <v>#REF!</v>
      </c>
      <c r="BD33" s="2" t="e">
        <f>(VLOOKUP($U33,坦克部件!#REF!,MATCH("标准值",坦克部件!#REF!,0),FALSE)+VLOOKUP($O33,坦克部件!#REF!,MATCH("标准值",坦克部件!#REF!,0),FALSE))*$R33</f>
        <v>#REF!</v>
      </c>
      <c r="BE33" s="2" t="e">
        <f>(VLOOKUP($U33,坦克部件!#REF!,MATCH("标准值",坦克部件!#REF!,0),FALSE)+VLOOKUP($O33,坦克部件!#REF!,MATCH("标准值",坦克部件!#REF!,0),FALSE))*$R33</f>
        <v>#REF!</v>
      </c>
      <c r="BF33" s="2" t="e">
        <f>(VLOOKUP($U33,坦克部件!#REF!,MATCH("标准值",坦克部件!#REF!,0),FALSE)+VLOOKUP($O33,坦克部件!#REF!,MATCH("标准值",坦克部件!#REF!,0),FALSE))*$R33</f>
        <v>#REF!</v>
      </c>
      <c r="BG33" s="2">
        <f>VLOOKUP($F33,坦克属性统计!$B$3:$AY$33,MATCH(BG$3,坦克属性统计!$B$3:$AY$3,0),FALSE)</f>
        <v>2</v>
      </c>
      <c r="BH33" s="2">
        <f t="shared" si="19"/>
        <v>2</v>
      </c>
      <c r="BI33" s="2">
        <f t="shared" si="19"/>
        <v>4.4400000000000004</v>
      </c>
      <c r="BJ33" s="2">
        <f t="shared" si="19"/>
        <v>0</v>
      </c>
      <c r="BK33" s="34">
        <f t="shared" si="26"/>
        <v>15.513513513513512</v>
      </c>
      <c r="BM33" s="1" t="e">
        <f t="shared" ca="1" si="6"/>
        <v>#REF!</v>
      </c>
    </row>
    <row r="34" spans="2:65" x14ac:dyDescent="0.3">
      <c r="B34" s="2">
        <v>31</v>
      </c>
      <c r="C34" s="2" t="e">
        <f t="shared" ca="1" si="20"/>
        <v>#REF!</v>
      </c>
      <c r="D34" s="2" t="s">
        <v>629</v>
      </c>
      <c r="E34" s="2" t="s">
        <v>647</v>
      </c>
      <c r="F34" s="2" t="s">
        <v>666</v>
      </c>
      <c r="G34" s="2" t="str">
        <f>VLOOKUP(D34,坦克个性化设定!$B$18:$F$48,5,FALSE)</f>
        <v>轻坦弹夹</v>
      </c>
      <c r="H34" s="2" t="str">
        <f>VLOOKUP(E34,坦克个性化设定!$B$18:$F$48,5,FALSE)</f>
        <v>中坦自动</v>
      </c>
      <c r="I34" s="2" t="str">
        <f>VLOOKUP(F34,坦克个性化设定!$B$18:$F$48,5,FALSE)</f>
        <v>重坦单发</v>
      </c>
      <c r="J34" s="2">
        <v>1</v>
      </c>
      <c r="K34" s="2">
        <v>1</v>
      </c>
      <c r="L34" s="2">
        <v>0</v>
      </c>
      <c r="M34" s="2" t="s">
        <v>1738</v>
      </c>
      <c r="N34" s="2" t="s">
        <v>1738</v>
      </c>
      <c r="O34" s="2" t="s">
        <v>1738</v>
      </c>
      <c r="P34" s="2">
        <v>6</v>
      </c>
      <c r="Q34" s="2">
        <v>6</v>
      </c>
      <c r="R34" s="2">
        <v>6</v>
      </c>
      <c r="S34" s="2">
        <v>40</v>
      </c>
      <c r="T34" s="2">
        <v>40</v>
      </c>
      <c r="U34" s="2">
        <v>40</v>
      </c>
      <c r="V34" s="42" t="e">
        <f t="shared" ca="1" si="21"/>
        <v>#REF!</v>
      </c>
      <c r="W34" s="42" t="e">
        <f t="shared" ca="1" si="22"/>
        <v>#REF!</v>
      </c>
      <c r="X34" s="42" t="e">
        <f t="shared" ca="1" si="23"/>
        <v>#REF!</v>
      </c>
      <c r="Y34" s="2" t="e">
        <f ca="1">VLOOKUP($D34&amp;$J34,所有坦克升星属性,MATCH(Y$3,所有坦克升星属性标头,0),FALSE)+ROUND(AD34/VLOOKUP($D34,坦克部件!#REF!,4,FALSE)*VLOOKUP($D34&amp;0,所有坦克升星属性,MATCH(Y$3,所有坦克升星属性标头,0),FALSE),0)</f>
        <v>#REF!</v>
      </c>
      <c r="Z34" s="2" t="e">
        <f ca="1">VLOOKUP($D34&amp;$J34,所有坦克升星属性,MATCH(Z$3,所有坦克升星属性标头,0),FALSE)+ROUND(AE34/VLOOKUP($D34,坦克部件!#REF!,4,FALSE)*VLOOKUP($D34&amp;0,所有坦克升星属性,MATCH(Z$3,所有坦克升星属性标头,0),FALSE),0)</f>
        <v>#REF!</v>
      </c>
      <c r="AA34" s="2">
        <f t="shared" ca="1" si="14"/>
        <v>682</v>
      </c>
      <c r="AB34" s="2">
        <f t="shared" ca="1" si="14"/>
        <v>478</v>
      </c>
      <c r="AC34" s="2" t="e">
        <f ca="1">VLOOKUP($D34&amp;$J34,所有坦克升星属性,MATCH(AC$3,所有坦克升星属性标头,0),FALSE)+ROUND(AF34/VLOOKUP($D34,坦克部件!#REF!,4,FALSE)*VLOOKUP($D34&amp;0,所有坦克升星属性,MATCH(AC$3,所有坦克升星属性标头,0),FALSE),0)</f>
        <v>#REF!</v>
      </c>
      <c r="AD34" s="2" t="e">
        <f>(VLOOKUP($S34,坦克部件!#REF!,MATCH("标准值",坦克部件!#REF!,0),FALSE)+VLOOKUP($M34,坦克部件!#REF!,MATCH("标准值",坦克部件!#REF!,0),FALSE))*$P34</f>
        <v>#REF!</v>
      </c>
      <c r="AE34" s="2" t="e">
        <f>(VLOOKUP($S34,坦克部件!#REF!,MATCH("标准值",坦克部件!#REF!,0),FALSE)+VLOOKUP($M34,坦克部件!#REF!,MATCH("标准值",坦克部件!#REF!,0),FALSE))*$P34</f>
        <v>#REF!</v>
      </c>
      <c r="AF34" s="2" t="e">
        <f>(VLOOKUP($S34,坦克部件!#REF!,MATCH("标准值",坦克部件!#REF!,0),FALSE)+VLOOKUP($M34,坦克部件!#REF!,MATCH("标准值",坦克部件!#REF!,0),FALSE))*$P34</f>
        <v>#REF!</v>
      </c>
      <c r="AG34" s="2">
        <f>VLOOKUP($D34,坦克属性统计!$B$3:$AY$33,MATCH(AG$3,坦克属性统计!$B$3:$AY$3,0),FALSE)</f>
        <v>6</v>
      </c>
      <c r="AH34" s="2">
        <f t="shared" si="15"/>
        <v>0.8</v>
      </c>
      <c r="AI34" s="2">
        <f t="shared" si="15"/>
        <v>0</v>
      </c>
      <c r="AJ34" s="2">
        <f t="shared" si="15"/>
        <v>4.0999999999999996</v>
      </c>
      <c r="AK34" s="34">
        <f t="shared" si="24"/>
        <v>47.481481481481481</v>
      </c>
      <c r="AL34" s="2" t="e">
        <f ca="1">VLOOKUP($E34&amp;$K34,所有坦克升星属性,MATCH(AL$3,所有坦克升星属性标头,0),FALSE)+ROUND(AQ34/VLOOKUP($E34,坦克部件!#REF!,4,FALSE)*VLOOKUP($E34&amp;0,所有坦克升星属性,MATCH(AL$3,所有坦克升星属性标头,0),FALSE),0)</f>
        <v>#REF!</v>
      </c>
      <c r="AM34" s="2" t="e">
        <f ca="1">VLOOKUP($E34&amp;$K34,所有坦克升星属性,MATCH(AM$3,所有坦克升星属性标头,0),FALSE)+ROUND(AR34/VLOOKUP($E34,坦克部件!#REF!,4,FALSE)*VLOOKUP($E34&amp;0,所有坦克升星属性,MATCH(AM$3,所有坦克升星属性标头,0),FALSE),0)</f>
        <v>#REF!</v>
      </c>
      <c r="AN34" s="2">
        <f t="shared" ca="1" si="16"/>
        <v>682</v>
      </c>
      <c r="AO34" s="2">
        <f t="shared" ca="1" si="16"/>
        <v>512</v>
      </c>
      <c r="AP34" s="2" t="e">
        <f ca="1">VLOOKUP($E34&amp;$K34,所有坦克升星属性,MATCH(AP$3,所有坦克升星属性标头,0),FALSE)+ROUND(AS34/VLOOKUP($E34,坦克部件!#REF!,4,FALSE)*VLOOKUP($E34&amp;0,所有坦克升星属性,MATCH(AP$3,所有坦克升星属性标头,0),FALSE),0)</f>
        <v>#REF!</v>
      </c>
      <c r="AQ34" s="2" t="e">
        <f>(VLOOKUP($T34,坦克部件!#REF!,MATCH("标准值",坦克部件!#REF!,0),FALSE)+VLOOKUP($N34,坦克部件!#REF!,MATCH("标准值",坦克部件!#REF!,0),FALSE))*$Q34</f>
        <v>#REF!</v>
      </c>
      <c r="AR34" s="2" t="e">
        <f>(VLOOKUP($T34,坦克部件!#REF!,MATCH("标准值",坦克部件!#REF!,0),FALSE)+VLOOKUP($N34,坦克部件!#REF!,MATCH("标准值",坦克部件!#REF!,0),FALSE))*$Q34</f>
        <v>#REF!</v>
      </c>
      <c r="AS34" s="2" t="e">
        <f>(VLOOKUP($T34,坦克部件!#REF!,MATCH("标准值",坦克部件!#REF!,0),FALSE)+VLOOKUP($N34,坦克部件!#REF!,MATCH("标准值",坦克部件!#REF!,0),FALSE))*$Q34</f>
        <v>#REF!</v>
      </c>
      <c r="AT34" s="2">
        <f>VLOOKUP($E34,坦克属性统计!$B$3:$AY$33,MATCH(AT$3,坦克属性统计!$B$3:$AY$3,0),FALSE)</f>
        <v>4</v>
      </c>
      <c r="AU34" s="2">
        <f t="shared" si="17"/>
        <v>0.26</v>
      </c>
      <c r="AV34" s="2">
        <f t="shared" si="17"/>
        <v>2.37</v>
      </c>
      <c r="AW34" s="2">
        <f t="shared" si="17"/>
        <v>0</v>
      </c>
      <c r="AX34" s="34">
        <f t="shared" si="25"/>
        <v>29.316455696202532</v>
      </c>
      <c r="AY34" s="2" t="e">
        <f ca="1">VLOOKUP($F34&amp;$L34,所有坦克升星属性,MATCH(AY$3,所有坦克升星属性标头,0),FALSE)+ROUND(BD34/VLOOKUP($F34,坦克部件!#REF!,4,FALSE)*VLOOKUP($F34&amp;0,所有坦克升星属性,MATCH(AY$3,所有坦克升星属性标头,0),FALSE),0)</f>
        <v>#REF!</v>
      </c>
      <c r="AZ34" s="2" t="e">
        <f ca="1">VLOOKUP($F34&amp;$L34,所有坦克升星属性,MATCH(AZ$3,所有坦克升星属性标头,0),FALSE)+ROUND(BE34/VLOOKUP($F34,坦克部件!#REF!,4,FALSE)*VLOOKUP($F34&amp;0,所有坦克升星属性,MATCH(AZ$3,所有坦克升星属性标头,0),FALSE),0)</f>
        <v>#REF!</v>
      </c>
      <c r="BA34" s="2">
        <f t="shared" ca="1" si="18"/>
        <v>629</v>
      </c>
      <c r="BB34" s="2">
        <f t="shared" ca="1" si="18"/>
        <v>503</v>
      </c>
      <c r="BC34" s="2" t="e">
        <f ca="1">VLOOKUP($F34&amp;$L34,所有坦克升星属性,MATCH(BC$3,所有坦克升星属性标头,0),FALSE)+ROUND(BF34/VLOOKUP($F34,坦克部件!#REF!,4,FALSE)*VLOOKUP($F34&amp;0,所有坦克升星属性,MATCH(BC$3,所有坦克升星属性标头,0),FALSE),0)</f>
        <v>#REF!</v>
      </c>
      <c r="BD34" s="2" t="e">
        <f>(VLOOKUP($U34,坦克部件!#REF!,MATCH("标准值",坦克部件!#REF!,0),FALSE)+VLOOKUP($O34,坦克部件!#REF!,MATCH("标准值",坦克部件!#REF!,0),FALSE))*$R34</f>
        <v>#REF!</v>
      </c>
      <c r="BE34" s="2" t="e">
        <f>(VLOOKUP($U34,坦克部件!#REF!,MATCH("标准值",坦克部件!#REF!,0),FALSE)+VLOOKUP($O34,坦克部件!#REF!,MATCH("标准值",坦克部件!#REF!,0),FALSE))*$R34</f>
        <v>#REF!</v>
      </c>
      <c r="BF34" s="2" t="e">
        <f>(VLOOKUP($U34,坦克部件!#REF!,MATCH("标准值",坦克部件!#REF!,0),FALSE)+VLOOKUP($O34,坦克部件!#REF!,MATCH("标准值",坦克部件!#REF!,0),FALSE))*$R34</f>
        <v>#REF!</v>
      </c>
      <c r="BG34" s="2">
        <f>VLOOKUP($F34,坦克属性统计!$B$3:$AY$33,MATCH(BG$3,坦克属性统计!$B$3:$AY$3,0),FALSE)</f>
        <v>1</v>
      </c>
      <c r="BH34" s="2">
        <f t="shared" si="19"/>
        <v>0</v>
      </c>
      <c r="BI34" s="2">
        <f t="shared" si="19"/>
        <v>6</v>
      </c>
      <c r="BJ34" s="2">
        <f t="shared" si="19"/>
        <v>0</v>
      </c>
      <c r="BK34" s="34">
        <f t="shared" si="26"/>
        <v>11</v>
      </c>
      <c r="BM34" s="1" t="e">
        <f t="shared" ca="1" si="6"/>
        <v>#REF!</v>
      </c>
    </row>
    <row r="35" spans="2:65" x14ac:dyDescent="0.3">
      <c r="B35" s="2">
        <v>32</v>
      </c>
      <c r="C35" s="2" t="e">
        <f t="shared" ca="1" si="20"/>
        <v>#REF!</v>
      </c>
      <c r="D35" s="2" t="s">
        <v>629</v>
      </c>
      <c r="E35" s="2" t="s">
        <v>647</v>
      </c>
      <c r="F35" s="2" t="s">
        <v>666</v>
      </c>
      <c r="G35" s="2" t="str">
        <f>VLOOKUP(D35,坦克个性化设定!$B$18:$F$48,5,FALSE)</f>
        <v>轻坦弹夹</v>
      </c>
      <c r="H35" s="2" t="str">
        <f>VLOOKUP(E35,坦克个性化设定!$B$18:$F$48,5,FALSE)</f>
        <v>中坦自动</v>
      </c>
      <c r="I35" s="2" t="str">
        <f>VLOOKUP(F35,坦克个性化设定!$B$18:$F$48,5,FALSE)</f>
        <v>重坦单发</v>
      </c>
      <c r="J35" s="2">
        <v>1</v>
      </c>
      <c r="K35" s="2">
        <v>1</v>
      </c>
      <c r="L35" s="2">
        <v>1</v>
      </c>
      <c r="M35" s="2" t="s">
        <v>1738</v>
      </c>
      <c r="N35" s="2" t="s">
        <v>1738</v>
      </c>
      <c r="O35" s="2" t="s">
        <v>1738</v>
      </c>
      <c r="P35" s="2">
        <v>6</v>
      </c>
      <c r="Q35" s="2">
        <v>6</v>
      </c>
      <c r="R35" s="2">
        <v>6</v>
      </c>
      <c r="S35" s="2">
        <v>40</v>
      </c>
      <c r="T35" s="2">
        <v>40</v>
      </c>
      <c r="U35" s="2">
        <v>40</v>
      </c>
      <c r="V35" s="42" t="e">
        <f t="shared" ca="1" si="21"/>
        <v>#REF!</v>
      </c>
      <c r="W35" s="42" t="e">
        <f t="shared" ca="1" si="22"/>
        <v>#REF!</v>
      </c>
      <c r="X35" s="42" t="e">
        <f t="shared" ca="1" si="23"/>
        <v>#REF!</v>
      </c>
      <c r="Y35" s="2" t="e">
        <f ca="1">VLOOKUP($D35&amp;$J35,所有坦克升星属性,MATCH(Y$3,所有坦克升星属性标头,0),FALSE)+ROUND(AD35/VLOOKUP($D35,坦克部件!#REF!,4,FALSE)*VLOOKUP($D35&amp;0,所有坦克升星属性,MATCH(Y$3,所有坦克升星属性标头,0),FALSE),0)</f>
        <v>#REF!</v>
      </c>
      <c r="Z35" s="2" t="e">
        <f ca="1">VLOOKUP($D35&amp;$J35,所有坦克升星属性,MATCH(Z$3,所有坦克升星属性标头,0),FALSE)+ROUND(AE35/VLOOKUP($D35,坦克部件!#REF!,4,FALSE)*VLOOKUP($D35&amp;0,所有坦克升星属性,MATCH(Z$3,所有坦克升星属性标头,0),FALSE),0)</f>
        <v>#REF!</v>
      </c>
      <c r="AA35" s="2">
        <f t="shared" ca="1" si="14"/>
        <v>682</v>
      </c>
      <c r="AB35" s="2">
        <f t="shared" ca="1" si="14"/>
        <v>478</v>
      </c>
      <c r="AC35" s="2" t="e">
        <f ca="1">VLOOKUP($D35&amp;$J35,所有坦克升星属性,MATCH(AC$3,所有坦克升星属性标头,0),FALSE)+ROUND(AF35/VLOOKUP($D35,坦克部件!#REF!,4,FALSE)*VLOOKUP($D35&amp;0,所有坦克升星属性,MATCH(AC$3,所有坦克升星属性标头,0),FALSE),0)</f>
        <v>#REF!</v>
      </c>
      <c r="AD35" s="2" t="e">
        <f>(VLOOKUP($S35,坦克部件!#REF!,MATCH("标准值",坦克部件!#REF!,0),FALSE)+VLOOKUP($M35,坦克部件!#REF!,MATCH("标准值",坦克部件!#REF!,0),FALSE))*$P35</f>
        <v>#REF!</v>
      </c>
      <c r="AE35" s="2" t="e">
        <f>(VLOOKUP($S35,坦克部件!#REF!,MATCH("标准值",坦克部件!#REF!,0),FALSE)+VLOOKUP($M35,坦克部件!#REF!,MATCH("标准值",坦克部件!#REF!,0),FALSE))*$P35</f>
        <v>#REF!</v>
      </c>
      <c r="AF35" s="2" t="e">
        <f>(VLOOKUP($S35,坦克部件!#REF!,MATCH("标准值",坦克部件!#REF!,0),FALSE)+VLOOKUP($M35,坦克部件!#REF!,MATCH("标准值",坦克部件!#REF!,0),FALSE))*$P35</f>
        <v>#REF!</v>
      </c>
      <c r="AG35" s="2">
        <f>VLOOKUP($D35,坦克属性统计!$B$3:$AY$33,MATCH(AG$3,坦克属性统计!$B$3:$AY$3,0),FALSE)</f>
        <v>6</v>
      </c>
      <c r="AH35" s="2">
        <f t="shared" si="15"/>
        <v>0.8</v>
      </c>
      <c r="AI35" s="2">
        <f t="shared" si="15"/>
        <v>0</v>
      </c>
      <c r="AJ35" s="2">
        <f t="shared" si="15"/>
        <v>4.0999999999999996</v>
      </c>
      <c r="AK35" s="34">
        <f t="shared" si="24"/>
        <v>47.481481481481481</v>
      </c>
      <c r="AL35" s="2" t="e">
        <f ca="1">VLOOKUP($E35&amp;$K35,所有坦克升星属性,MATCH(AL$3,所有坦克升星属性标头,0),FALSE)+ROUND(AQ35/VLOOKUP($E35,坦克部件!#REF!,4,FALSE)*VLOOKUP($E35&amp;0,所有坦克升星属性,MATCH(AL$3,所有坦克升星属性标头,0),FALSE),0)</f>
        <v>#REF!</v>
      </c>
      <c r="AM35" s="2" t="e">
        <f ca="1">VLOOKUP($E35&amp;$K35,所有坦克升星属性,MATCH(AM$3,所有坦克升星属性标头,0),FALSE)+ROUND(AR35/VLOOKUP($E35,坦克部件!#REF!,4,FALSE)*VLOOKUP($E35&amp;0,所有坦克升星属性,MATCH(AM$3,所有坦克升星属性标头,0),FALSE),0)</f>
        <v>#REF!</v>
      </c>
      <c r="AN35" s="2">
        <f t="shared" ca="1" si="16"/>
        <v>682</v>
      </c>
      <c r="AO35" s="2">
        <f t="shared" ca="1" si="16"/>
        <v>512</v>
      </c>
      <c r="AP35" s="2" t="e">
        <f ca="1">VLOOKUP($E35&amp;$K35,所有坦克升星属性,MATCH(AP$3,所有坦克升星属性标头,0),FALSE)+ROUND(AS35/VLOOKUP($E35,坦克部件!#REF!,4,FALSE)*VLOOKUP($E35&amp;0,所有坦克升星属性,MATCH(AP$3,所有坦克升星属性标头,0),FALSE),0)</f>
        <v>#REF!</v>
      </c>
      <c r="AQ35" s="2" t="e">
        <f>(VLOOKUP($T35,坦克部件!#REF!,MATCH("标准值",坦克部件!#REF!,0),FALSE)+VLOOKUP($N35,坦克部件!#REF!,MATCH("标准值",坦克部件!#REF!,0),FALSE))*$Q35</f>
        <v>#REF!</v>
      </c>
      <c r="AR35" s="2" t="e">
        <f>(VLOOKUP($T35,坦克部件!#REF!,MATCH("标准值",坦克部件!#REF!,0),FALSE)+VLOOKUP($N35,坦克部件!#REF!,MATCH("标准值",坦克部件!#REF!,0),FALSE))*$Q35</f>
        <v>#REF!</v>
      </c>
      <c r="AS35" s="2" t="e">
        <f>(VLOOKUP($T35,坦克部件!#REF!,MATCH("标准值",坦克部件!#REF!,0),FALSE)+VLOOKUP($N35,坦克部件!#REF!,MATCH("标准值",坦克部件!#REF!,0),FALSE))*$Q35</f>
        <v>#REF!</v>
      </c>
      <c r="AT35" s="2">
        <f>VLOOKUP($E35,坦克属性统计!$B$3:$AY$33,MATCH(AT$3,坦克属性统计!$B$3:$AY$3,0),FALSE)</f>
        <v>4</v>
      </c>
      <c r="AU35" s="2">
        <f t="shared" si="17"/>
        <v>0.26</v>
      </c>
      <c r="AV35" s="2">
        <f t="shared" si="17"/>
        <v>2.37</v>
      </c>
      <c r="AW35" s="2">
        <f t="shared" si="17"/>
        <v>0</v>
      </c>
      <c r="AX35" s="34">
        <f t="shared" si="25"/>
        <v>29.316455696202532</v>
      </c>
      <c r="AY35" s="2" t="e">
        <f ca="1">VLOOKUP($F35&amp;$L35,所有坦克升星属性,MATCH(AY$3,所有坦克升星属性标头,0),FALSE)+ROUND(BD35/VLOOKUP($F35,坦克部件!#REF!,4,FALSE)*VLOOKUP($F35&amp;0,所有坦克升星属性,MATCH(AY$3,所有坦克升星属性标头,0),FALSE),0)</f>
        <v>#REF!</v>
      </c>
      <c r="AZ35" s="2" t="e">
        <f ca="1">VLOOKUP($F35&amp;$L35,所有坦克升星属性,MATCH(AZ$3,所有坦克升星属性标头,0),FALSE)+ROUND(BE35/VLOOKUP($F35,坦克部件!#REF!,4,FALSE)*VLOOKUP($F35&amp;0,所有坦克升星属性,MATCH(AZ$3,所有坦克升星属性标头,0),FALSE),0)</f>
        <v>#REF!</v>
      </c>
      <c r="BA35" s="2">
        <f t="shared" ca="1" si="18"/>
        <v>653</v>
      </c>
      <c r="BB35" s="2">
        <f t="shared" ca="1" si="18"/>
        <v>522</v>
      </c>
      <c r="BC35" s="2" t="e">
        <f ca="1">VLOOKUP($F35&amp;$L35,所有坦克升星属性,MATCH(BC$3,所有坦克升星属性标头,0),FALSE)+ROUND(BF35/VLOOKUP($F35,坦克部件!#REF!,4,FALSE)*VLOOKUP($F35&amp;0,所有坦克升星属性,MATCH(BC$3,所有坦克升星属性标头,0),FALSE),0)</f>
        <v>#REF!</v>
      </c>
      <c r="BD35" s="2" t="e">
        <f>(VLOOKUP($U35,坦克部件!#REF!,MATCH("标准值",坦克部件!#REF!,0),FALSE)+VLOOKUP($O35,坦克部件!#REF!,MATCH("标准值",坦克部件!#REF!,0),FALSE))*$R35</f>
        <v>#REF!</v>
      </c>
      <c r="BE35" s="2" t="e">
        <f>(VLOOKUP($U35,坦克部件!#REF!,MATCH("标准值",坦克部件!#REF!,0),FALSE)+VLOOKUP($O35,坦克部件!#REF!,MATCH("标准值",坦克部件!#REF!,0),FALSE))*$R35</f>
        <v>#REF!</v>
      </c>
      <c r="BF35" s="2" t="e">
        <f>(VLOOKUP($U35,坦克部件!#REF!,MATCH("标准值",坦克部件!#REF!,0),FALSE)+VLOOKUP($O35,坦克部件!#REF!,MATCH("标准值",坦克部件!#REF!,0),FALSE))*$R35</f>
        <v>#REF!</v>
      </c>
      <c r="BG35" s="2">
        <f>VLOOKUP($F35,坦克属性统计!$B$3:$AY$33,MATCH(BG$3,坦克属性统计!$B$3:$AY$3,0),FALSE)</f>
        <v>1</v>
      </c>
      <c r="BH35" s="2">
        <f t="shared" si="19"/>
        <v>0</v>
      </c>
      <c r="BI35" s="2">
        <f t="shared" si="19"/>
        <v>5.92</v>
      </c>
      <c r="BJ35" s="2">
        <f t="shared" si="19"/>
        <v>0</v>
      </c>
      <c r="BK35" s="34">
        <f t="shared" si="26"/>
        <v>11.135135135135135</v>
      </c>
      <c r="BM35" s="1" t="e">
        <f t="shared" ca="1" si="6"/>
        <v>#REF!</v>
      </c>
    </row>
    <row r="36" spans="2:65" x14ac:dyDescent="0.3">
      <c r="B36" s="2">
        <v>33</v>
      </c>
      <c r="C36" s="2" t="e">
        <f t="shared" ca="1" si="20"/>
        <v>#REF!</v>
      </c>
      <c r="D36" s="2" t="s">
        <v>629</v>
      </c>
      <c r="E36" s="2" t="s">
        <v>647</v>
      </c>
      <c r="F36" s="2" t="s">
        <v>666</v>
      </c>
      <c r="G36" s="2" t="str">
        <f>VLOOKUP(D36,坦克个性化设定!$B$18:$F$48,5,FALSE)</f>
        <v>轻坦弹夹</v>
      </c>
      <c r="H36" s="2" t="str">
        <f>VLOOKUP(E36,坦克个性化设定!$B$18:$F$48,5,FALSE)</f>
        <v>中坦自动</v>
      </c>
      <c r="I36" s="2" t="str">
        <f>VLOOKUP(F36,坦克个性化设定!$B$18:$F$48,5,FALSE)</f>
        <v>重坦单发</v>
      </c>
      <c r="J36" s="2">
        <v>2</v>
      </c>
      <c r="K36" s="2">
        <v>2</v>
      </c>
      <c r="L36" s="2">
        <v>2</v>
      </c>
      <c r="M36" s="2" t="s">
        <v>1738</v>
      </c>
      <c r="N36" s="2" t="s">
        <v>1738</v>
      </c>
      <c r="O36" s="2" t="s">
        <v>1738</v>
      </c>
      <c r="P36" s="2">
        <v>6</v>
      </c>
      <c r="Q36" s="2">
        <v>6</v>
      </c>
      <c r="R36" s="2">
        <v>6</v>
      </c>
      <c r="S36" s="2">
        <v>40</v>
      </c>
      <c r="T36" s="2">
        <v>40</v>
      </c>
      <c r="U36" s="2">
        <v>40</v>
      </c>
      <c r="V36" s="42" t="e">
        <f t="shared" ca="1" si="21"/>
        <v>#REF!</v>
      </c>
      <c r="W36" s="42" t="e">
        <f t="shared" ca="1" si="22"/>
        <v>#REF!</v>
      </c>
      <c r="X36" s="42" t="e">
        <f t="shared" ca="1" si="23"/>
        <v>#REF!</v>
      </c>
      <c r="Y36" s="2" t="e">
        <f ca="1">VLOOKUP($D36&amp;$J36,所有坦克升星属性,MATCH(Y$3,所有坦克升星属性标头,0),FALSE)+ROUND(AD36/VLOOKUP($D36,坦克部件!#REF!,4,FALSE)*VLOOKUP($D36&amp;0,所有坦克升星属性,MATCH(Y$3,所有坦克升星属性标头,0),FALSE),0)</f>
        <v>#REF!</v>
      </c>
      <c r="Z36" s="2" t="e">
        <f ca="1">VLOOKUP($D36&amp;$J36,所有坦克升星属性,MATCH(Z$3,所有坦克升星属性标头,0),FALSE)+ROUND(AE36/VLOOKUP($D36,坦克部件!#REF!,4,FALSE)*VLOOKUP($D36&amp;0,所有坦克升星属性,MATCH(Z$3,所有坦克升星属性标头,0),FALSE),0)</f>
        <v>#REF!</v>
      </c>
      <c r="AA36" s="2">
        <f t="shared" ca="1" si="14"/>
        <v>707</v>
      </c>
      <c r="AB36" s="2">
        <f t="shared" ca="1" si="14"/>
        <v>495</v>
      </c>
      <c r="AC36" s="2" t="e">
        <f ca="1">VLOOKUP($D36&amp;$J36,所有坦克升星属性,MATCH(AC$3,所有坦克升星属性标头,0),FALSE)+ROUND(AF36/VLOOKUP($D36,坦克部件!#REF!,4,FALSE)*VLOOKUP($D36&amp;0,所有坦克升星属性,MATCH(AC$3,所有坦克升星属性标头,0),FALSE),0)</f>
        <v>#REF!</v>
      </c>
      <c r="AD36" s="2" t="e">
        <f>(VLOOKUP($S36,坦克部件!#REF!,MATCH("标准值",坦克部件!#REF!,0),FALSE)+VLOOKUP($M36,坦克部件!#REF!,MATCH("标准值",坦克部件!#REF!,0),FALSE))*$P36</f>
        <v>#REF!</v>
      </c>
      <c r="AE36" s="2" t="e">
        <f>(VLOOKUP($S36,坦克部件!#REF!,MATCH("标准值",坦克部件!#REF!,0),FALSE)+VLOOKUP($M36,坦克部件!#REF!,MATCH("标准值",坦克部件!#REF!,0),FALSE))*$P36</f>
        <v>#REF!</v>
      </c>
      <c r="AF36" s="2" t="e">
        <f>(VLOOKUP($S36,坦克部件!#REF!,MATCH("标准值",坦克部件!#REF!,0),FALSE)+VLOOKUP($M36,坦克部件!#REF!,MATCH("标准值",坦克部件!#REF!,0),FALSE))*$P36</f>
        <v>#REF!</v>
      </c>
      <c r="AG36" s="2">
        <f>VLOOKUP($D36,坦克属性统计!$B$3:$AY$33,MATCH(AG$3,坦克属性统计!$B$3:$AY$3,0),FALSE)</f>
        <v>6</v>
      </c>
      <c r="AH36" s="2">
        <f t="shared" si="15"/>
        <v>0.8</v>
      </c>
      <c r="AI36" s="2">
        <f t="shared" si="15"/>
        <v>0</v>
      </c>
      <c r="AJ36" s="2">
        <f t="shared" si="15"/>
        <v>4</v>
      </c>
      <c r="AK36" s="34">
        <f t="shared" si="24"/>
        <v>48</v>
      </c>
      <c r="AL36" s="2" t="e">
        <f ca="1">VLOOKUP($E36&amp;$K36,所有坦克升星属性,MATCH(AL$3,所有坦克升星属性标头,0),FALSE)+ROUND(AQ36/VLOOKUP($E36,坦克部件!#REF!,4,FALSE)*VLOOKUP($E36&amp;0,所有坦克升星属性,MATCH(AL$3,所有坦克升星属性标头,0),FALSE),0)</f>
        <v>#REF!</v>
      </c>
      <c r="AM36" s="2" t="e">
        <f ca="1">VLOOKUP($E36&amp;$K36,所有坦克升星属性,MATCH(AM$3,所有坦克升星属性标头,0),FALSE)+ROUND(AR36/VLOOKUP($E36,坦克部件!#REF!,4,FALSE)*VLOOKUP($E36&amp;0,所有坦克升星属性,MATCH(AM$3,所有坦克升星属性标头,0),FALSE),0)</f>
        <v>#REF!</v>
      </c>
      <c r="AN36" s="2">
        <f t="shared" ca="1" si="16"/>
        <v>707</v>
      </c>
      <c r="AO36" s="2">
        <f t="shared" ca="1" si="16"/>
        <v>530</v>
      </c>
      <c r="AP36" s="2" t="e">
        <f ca="1">VLOOKUP($E36&amp;$K36,所有坦克升星属性,MATCH(AP$3,所有坦克升星属性标头,0),FALSE)+ROUND(AS36/VLOOKUP($E36,坦克部件!#REF!,4,FALSE)*VLOOKUP($E36&amp;0,所有坦克升星属性,MATCH(AP$3,所有坦克升星属性标头,0),FALSE),0)</f>
        <v>#REF!</v>
      </c>
      <c r="AQ36" s="2" t="e">
        <f>(VLOOKUP($T36,坦克部件!#REF!,MATCH("标准值",坦克部件!#REF!,0),FALSE)+VLOOKUP($N36,坦克部件!#REF!,MATCH("标准值",坦克部件!#REF!,0),FALSE))*$Q36</f>
        <v>#REF!</v>
      </c>
      <c r="AR36" s="2" t="e">
        <f>(VLOOKUP($T36,坦克部件!#REF!,MATCH("标准值",坦克部件!#REF!,0),FALSE)+VLOOKUP($N36,坦克部件!#REF!,MATCH("标准值",坦克部件!#REF!,0),FALSE))*$Q36</f>
        <v>#REF!</v>
      </c>
      <c r="AS36" s="2" t="e">
        <f>(VLOOKUP($T36,坦克部件!#REF!,MATCH("标准值",坦克部件!#REF!,0),FALSE)+VLOOKUP($N36,坦克部件!#REF!,MATCH("标准值",坦克部件!#REF!,0),FALSE))*$Q36</f>
        <v>#REF!</v>
      </c>
      <c r="AT36" s="2">
        <f>VLOOKUP($E36,坦克属性统计!$B$3:$AY$33,MATCH(AT$3,坦克属性统计!$B$3:$AY$3,0),FALSE)</f>
        <v>4</v>
      </c>
      <c r="AU36" s="2">
        <f t="shared" si="17"/>
        <v>0.26</v>
      </c>
      <c r="AV36" s="2">
        <f t="shared" si="17"/>
        <v>2.34</v>
      </c>
      <c r="AW36" s="2">
        <f t="shared" si="17"/>
        <v>0</v>
      </c>
      <c r="AX36" s="34">
        <f t="shared" si="25"/>
        <v>29.641025641025642</v>
      </c>
      <c r="AY36" s="2" t="e">
        <f ca="1">VLOOKUP($F36&amp;$L36,所有坦克升星属性,MATCH(AY$3,所有坦克升星属性标头,0),FALSE)+ROUND(BD36/VLOOKUP($F36,坦克部件!#REF!,4,FALSE)*VLOOKUP($F36&amp;0,所有坦克升星属性,MATCH(AY$3,所有坦克升星属性标头,0),FALSE),0)</f>
        <v>#REF!</v>
      </c>
      <c r="AZ36" s="2" t="e">
        <f ca="1">VLOOKUP($F36&amp;$L36,所有坦克升星属性,MATCH(AZ$3,所有坦克升星属性标头,0),FALSE)+ROUND(BE36/VLOOKUP($F36,坦克部件!#REF!,4,FALSE)*VLOOKUP($F36&amp;0,所有坦克升星属性,MATCH(AZ$3,所有坦克升星属性标头,0),FALSE),0)</f>
        <v>#REF!</v>
      </c>
      <c r="BA36" s="2">
        <f t="shared" ca="1" si="18"/>
        <v>677</v>
      </c>
      <c r="BB36" s="2">
        <f t="shared" ca="1" si="18"/>
        <v>541</v>
      </c>
      <c r="BC36" s="2" t="e">
        <f ca="1">VLOOKUP($F36&amp;$L36,所有坦克升星属性,MATCH(BC$3,所有坦克升星属性标头,0),FALSE)+ROUND(BF36/VLOOKUP($F36,坦克部件!#REF!,4,FALSE)*VLOOKUP($F36&amp;0,所有坦克升星属性,MATCH(BC$3,所有坦克升星属性标头,0),FALSE),0)</f>
        <v>#REF!</v>
      </c>
      <c r="BD36" s="2" t="e">
        <f>(VLOOKUP($U36,坦克部件!#REF!,MATCH("标准值",坦克部件!#REF!,0),FALSE)+VLOOKUP($O36,坦克部件!#REF!,MATCH("标准值",坦克部件!#REF!,0),FALSE))*$R36</f>
        <v>#REF!</v>
      </c>
      <c r="BE36" s="2" t="e">
        <f>(VLOOKUP($U36,坦克部件!#REF!,MATCH("标准值",坦克部件!#REF!,0),FALSE)+VLOOKUP($O36,坦克部件!#REF!,MATCH("标准值",坦克部件!#REF!,0),FALSE))*$R36</f>
        <v>#REF!</v>
      </c>
      <c r="BF36" s="2" t="e">
        <f>(VLOOKUP($U36,坦克部件!#REF!,MATCH("标准值",坦克部件!#REF!,0),FALSE)+VLOOKUP($O36,坦克部件!#REF!,MATCH("标准值",坦克部件!#REF!,0),FALSE))*$R36</f>
        <v>#REF!</v>
      </c>
      <c r="BG36" s="2">
        <f>VLOOKUP($F36,坦克属性统计!$B$3:$AY$33,MATCH(BG$3,坦克属性统计!$B$3:$AY$3,0),FALSE)</f>
        <v>1</v>
      </c>
      <c r="BH36" s="2">
        <f t="shared" si="19"/>
        <v>0</v>
      </c>
      <c r="BI36" s="2">
        <f t="shared" si="19"/>
        <v>5.85</v>
      </c>
      <c r="BJ36" s="2">
        <f t="shared" si="19"/>
        <v>0</v>
      </c>
      <c r="BK36" s="34">
        <f t="shared" si="26"/>
        <v>11.256410256410257</v>
      </c>
      <c r="BM36" s="1" t="e">
        <f t="shared" ca="1" si="6"/>
        <v>#REF!</v>
      </c>
    </row>
    <row r="37" spans="2:65" x14ac:dyDescent="0.3">
      <c r="B37" s="2">
        <v>34</v>
      </c>
      <c r="C37" s="2" t="e">
        <f t="shared" ca="1" si="20"/>
        <v>#REF!</v>
      </c>
      <c r="D37" s="2" t="s">
        <v>629</v>
      </c>
      <c r="E37" s="2" t="s">
        <v>647</v>
      </c>
      <c r="F37" s="2" t="s">
        <v>666</v>
      </c>
      <c r="G37" s="2" t="str">
        <f>VLOOKUP(D37,坦克个性化设定!$B$18:$F$48,5,FALSE)</f>
        <v>轻坦弹夹</v>
      </c>
      <c r="H37" s="2" t="str">
        <f>VLOOKUP(E37,坦克个性化设定!$B$18:$F$48,5,FALSE)</f>
        <v>中坦自动</v>
      </c>
      <c r="I37" s="2" t="str">
        <f>VLOOKUP(F37,坦克个性化设定!$B$18:$F$48,5,FALSE)</f>
        <v>重坦单发</v>
      </c>
      <c r="J37" s="2">
        <v>3</v>
      </c>
      <c r="K37" s="2">
        <v>3</v>
      </c>
      <c r="L37" s="2">
        <v>3</v>
      </c>
      <c r="M37" s="2" t="s">
        <v>1738</v>
      </c>
      <c r="N37" s="2" t="s">
        <v>1738</v>
      </c>
      <c r="O37" s="2" t="s">
        <v>1738</v>
      </c>
      <c r="P37" s="2">
        <v>6</v>
      </c>
      <c r="Q37" s="2">
        <v>6</v>
      </c>
      <c r="R37" s="2">
        <v>6</v>
      </c>
      <c r="S37" s="2">
        <v>40</v>
      </c>
      <c r="T37" s="2">
        <v>40</v>
      </c>
      <c r="U37" s="2">
        <v>40</v>
      </c>
      <c r="V37" s="42" t="e">
        <f t="shared" ca="1" si="21"/>
        <v>#REF!</v>
      </c>
      <c r="W37" s="42" t="e">
        <f t="shared" ca="1" si="22"/>
        <v>#REF!</v>
      </c>
      <c r="X37" s="42" t="e">
        <f t="shared" ca="1" si="23"/>
        <v>#REF!</v>
      </c>
      <c r="Y37" s="2" t="e">
        <f ca="1">VLOOKUP($D37&amp;$J37,所有坦克升星属性,MATCH(Y$3,所有坦克升星属性标头,0),FALSE)+ROUND(AD37/VLOOKUP($D37,坦克部件!#REF!,4,FALSE)*VLOOKUP($D37&amp;0,所有坦克升星属性,MATCH(Y$3,所有坦克升星属性标头,0),FALSE),0)</f>
        <v>#REF!</v>
      </c>
      <c r="Z37" s="2" t="e">
        <f ca="1">VLOOKUP($D37&amp;$J37,所有坦克升星属性,MATCH(Z$3,所有坦克升星属性标头,0),FALSE)+ROUND(AE37/VLOOKUP($D37,坦克部件!#REF!,4,FALSE)*VLOOKUP($D37&amp;0,所有坦克升星属性,MATCH(Z$3,所有坦克升星属性标头,0),FALSE),0)</f>
        <v>#REF!</v>
      </c>
      <c r="AA37" s="2">
        <f t="shared" ca="1" si="14"/>
        <v>732</v>
      </c>
      <c r="AB37" s="2">
        <f t="shared" ca="1" si="14"/>
        <v>513</v>
      </c>
      <c r="AC37" s="2" t="e">
        <f ca="1">VLOOKUP($D37&amp;$J37,所有坦克升星属性,MATCH(AC$3,所有坦克升星属性标头,0),FALSE)+ROUND(AF37/VLOOKUP($D37,坦克部件!#REF!,4,FALSE)*VLOOKUP($D37&amp;0,所有坦克升星属性,MATCH(AC$3,所有坦克升星属性标头,0),FALSE),0)</f>
        <v>#REF!</v>
      </c>
      <c r="AD37" s="2" t="e">
        <f>(VLOOKUP($S37,坦克部件!#REF!,MATCH("标准值",坦克部件!#REF!,0),FALSE)+VLOOKUP($M37,坦克部件!#REF!,MATCH("标准值",坦克部件!#REF!,0),FALSE))*$P37</f>
        <v>#REF!</v>
      </c>
      <c r="AE37" s="2" t="e">
        <f>(VLOOKUP($S37,坦克部件!#REF!,MATCH("标准值",坦克部件!#REF!,0),FALSE)+VLOOKUP($M37,坦克部件!#REF!,MATCH("标准值",坦克部件!#REF!,0),FALSE))*$P37</f>
        <v>#REF!</v>
      </c>
      <c r="AF37" s="2" t="e">
        <f>(VLOOKUP($S37,坦克部件!#REF!,MATCH("标准值",坦克部件!#REF!,0),FALSE)+VLOOKUP($M37,坦克部件!#REF!,MATCH("标准值",坦克部件!#REF!,0),FALSE))*$P37</f>
        <v>#REF!</v>
      </c>
      <c r="AG37" s="2">
        <f>VLOOKUP($D37,坦克属性统计!$B$3:$AY$33,MATCH(AG$3,坦克属性统计!$B$3:$AY$3,0),FALSE)</f>
        <v>6</v>
      </c>
      <c r="AH37" s="2">
        <f t="shared" si="15"/>
        <v>0.8</v>
      </c>
      <c r="AI37" s="2">
        <f t="shared" si="15"/>
        <v>0</v>
      </c>
      <c r="AJ37" s="2">
        <f t="shared" si="15"/>
        <v>3.9</v>
      </c>
      <c r="AK37" s="34">
        <f t="shared" si="24"/>
        <v>48.531645569620245</v>
      </c>
      <c r="AL37" s="2" t="e">
        <f ca="1">VLOOKUP($E37&amp;$K37,所有坦克升星属性,MATCH(AL$3,所有坦克升星属性标头,0),FALSE)+ROUND(AQ37/VLOOKUP($E37,坦克部件!#REF!,4,FALSE)*VLOOKUP($E37&amp;0,所有坦克升星属性,MATCH(AL$3,所有坦克升星属性标头,0),FALSE),0)</f>
        <v>#REF!</v>
      </c>
      <c r="AM37" s="2" t="e">
        <f ca="1">VLOOKUP($E37&amp;$K37,所有坦克升星属性,MATCH(AM$3,所有坦克升星属性标头,0),FALSE)+ROUND(AR37/VLOOKUP($E37,坦克部件!#REF!,4,FALSE)*VLOOKUP($E37&amp;0,所有坦克升星属性,MATCH(AM$3,所有坦克升星属性标头,0),FALSE),0)</f>
        <v>#REF!</v>
      </c>
      <c r="AN37" s="2">
        <f t="shared" ca="1" si="16"/>
        <v>732</v>
      </c>
      <c r="AO37" s="2">
        <f t="shared" ca="1" si="16"/>
        <v>549</v>
      </c>
      <c r="AP37" s="2" t="e">
        <f ca="1">VLOOKUP($E37&amp;$K37,所有坦克升星属性,MATCH(AP$3,所有坦克升星属性标头,0),FALSE)+ROUND(AS37/VLOOKUP($E37,坦克部件!#REF!,4,FALSE)*VLOOKUP($E37&amp;0,所有坦克升星属性,MATCH(AP$3,所有坦克升星属性标头,0),FALSE),0)</f>
        <v>#REF!</v>
      </c>
      <c r="AQ37" s="2" t="e">
        <f>(VLOOKUP($T37,坦克部件!#REF!,MATCH("标准值",坦克部件!#REF!,0),FALSE)+VLOOKUP($N37,坦克部件!#REF!,MATCH("标准值",坦克部件!#REF!,0),FALSE))*$Q37</f>
        <v>#REF!</v>
      </c>
      <c r="AR37" s="2" t="e">
        <f>(VLOOKUP($T37,坦克部件!#REF!,MATCH("标准值",坦克部件!#REF!,0),FALSE)+VLOOKUP($N37,坦克部件!#REF!,MATCH("标准值",坦克部件!#REF!,0),FALSE))*$Q37</f>
        <v>#REF!</v>
      </c>
      <c r="AS37" s="2" t="e">
        <f>(VLOOKUP($T37,坦克部件!#REF!,MATCH("标准值",坦克部件!#REF!,0),FALSE)+VLOOKUP($N37,坦克部件!#REF!,MATCH("标准值",坦克部件!#REF!,0),FALSE))*$Q37</f>
        <v>#REF!</v>
      </c>
      <c r="AT37" s="2">
        <f>VLOOKUP($E37,坦克属性统计!$B$3:$AY$33,MATCH(AT$3,坦克属性统计!$B$3:$AY$3,0),FALSE)</f>
        <v>4</v>
      </c>
      <c r="AU37" s="2">
        <f t="shared" si="17"/>
        <v>0.26</v>
      </c>
      <c r="AV37" s="2">
        <f t="shared" si="17"/>
        <v>2.2999999999999998</v>
      </c>
      <c r="AW37" s="2">
        <f t="shared" si="17"/>
        <v>0</v>
      </c>
      <c r="AX37" s="34">
        <f t="shared" si="25"/>
        <v>30.086956521739133</v>
      </c>
      <c r="AY37" s="2" t="e">
        <f ca="1">VLOOKUP($F37&amp;$L37,所有坦克升星属性,MATCH(AY$3,所有坦克升星属性标头,0),FALSE)+ROUND(BD37/VLOOKUP($F37,坦克部件!#REF!,4,FALSE)*VLOOKUP($F37&amp;0,所有坦克升星属性,MATCH(AY$3,所有坦克升星属性标头,0),FALSE),0)</f>
        <v>#REF!</v>
      </c>
      <c r="AZ37" s="2" t="e">
        <f ca="1">VLOOKUP($F37&amp;$L37,所有坦克升星属性,MATCH(AZ$3,所有坦克升星属性标头,0),FALSE)+ROUND(BE37/VLOOKUP($F37,坦克部件!#REF!,4,FALSE)*VLOOKUP($F37&amp;0,所有坦克升星属性,MATCH(AZ$3,所有坦克升星属性标头,0),FALSE),0)</f>
        <v>#REF!</v>
      </c>
      <c r="BA37" s="2">
        <f t="shared" ca="1" si="18"/>
        <v>701</v>
      </c>
      <c r="BB37" s="2">
        <f t="shared" ca="1" si="18"/>
        <v>560</v>
      </c>
      <c r="BC37" s="2" t="e">
        <f ca="1">VLOOKUP($F37&amp;$L37,所有坦克升星属性,MATCH(BC$3,所有坦克升星属性标头,0),FALSE)+ROUND(BF37/VLOOKUP($F37,坦克部件!#REF!,4,FALSE)*VLOOKUP($F37&amp;0,所有坦克升星属性,MATCH(BC$3,所有坦克升星属性标头,0),FALSE),0)</f>
        <v>#REF!</v>
      </c>
      <c r="BD37" s="2" t="e">
        <f>(VLOOKUP($U37,坦克部件!#REF!,MATCH("标准值",坦克部件!#REF!,0),FALSE)+VLOOKUP($O37,坦克部件!#REF!,MATCH("标准值",坦克部件!#REF!,0),FALSE))*$R37</f>
        <v>#REF!</v>
      </c>
      <c r="BE37" s="2" t="e">
        <f>(VLOOKUP($U37,坦克部件!#REF!,MATCH("标准值",坦克部件!#REF!,0),FALSE)+VLOOKUP($O37,坦克部件!#REF!,MATCH("标准值",坦克部件!#REF!,0),FALSE))*$R37</f>
        <v>#REF!</v>
      </c>
      <c r="BF37" s="2" t="e">
        <f>(VLOOKUP($U37,坦克部件!#REF!,MATCH("标准值",坦克部件!#REF!,0),FALSE)+VLOOKUP($O37,坦克部件!#REF!,MATCH("标准值",坦克部件!#REF!,0),FALSE))*$R37</f>
        <v>#REF!</v>
      </c>
      <c r="BG37" s="2">
        <f>VLOOKUP($F37,坦克属性统计!$B$3:$AY$33,MATCH(BG$3,坦克属性统计!$B$3:$AY$3,0),FALSE)</f>
        <v>1</v>
      </c>
      <c r="BH37" s="2">
        <f t="shared" si="19"/>
        <v>0</v>
      </c>
      <c r="BI37" s="2">
        <f t="shared" si="19"/>
        <v>5.77</v>
      </c>
      <c r="BJ37" s="2">
        <f t="shared" si="19"/>
        <v>0</v>
      </c>
      <c r="BK37" s="34">
        <f t="shared" si="26"/>
        <v>11.398613518197575</v>
      </c>
      <c r="BM37" s="1" t="e">
        <f t="shared" ca="1" si="6"/>
        <v>#REF!</v>
      </c>
    </row>
    <row r="48" spans="2:65" x14ac:dyDescent="0.3">
      <c r="M48" s="131"/>
      <c r="N48" s="132"/>
      <c r="O48" s="131"/>
    </row>
  </sheetData>
  <phoneticPr fontId="34"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60"/>
  <sheetViews>
    <sheetView workbookViewId="0">
      <selection activeCell="O28" sqref="O28"/>
    </sheetView>
  </sheetViews>
  <sheetFormatPr defaultColWidth="9" defaultRowHeight="14.25" x14ac:dyDescent="0.3"/>
  <cols>
    <col min="1" max="3" width="9" style="1"/>
    <col min="4" max="4" width="10.5" style="1" customWidth="1"/>
    <col min="5" max="16384" width="9" style="1"/>
  </cols>
  <sheetData>
    <row r="3" spans="2:12" x14ac:dyDescent="0.3">
      <c r="B3" s="2" t="s">
        <v>1739</v>
      </c>
      <c r="C3" s="2" t="s">
        <v>1740</v>
      </c>
      <c r="D3" s="2" t="s">
        <v>1741</v>
      </c>
      <c r="E3" s="2" t="s">
        <v>1741</v>
      </c>
    </row>
    <row r="4" spans="2:12" x14ac:dyDescent="0.3">
      <c r="B4" s="2" t="s">
        <v>1742</v>
      </c>
      <c r="C4" s="2">
        <v>24</v>
      </c>
      <c r="D4" s="2" t="s">
        <v>1743</v>
      </c>
      <c r="E4" s="2" t="s">
        <v>324</v>
      </c>
    </row>
    <row r="5" spans="2:12" x14ac:dyDescent="0.3">
      <c r="B5" s="2" t="s">
        <v>1744</v>
      </c>
      <c r="C5" s="2" t="s">
        <v>191</v>
      </c>
      <c r="D5" s="2" t="s">
        <v>275</v>
      </c>
      <c r="E5" s="2"/>
    </row>
    <row r="6" spans="2:12" x14ac:dyDescent="0.3">
      <c r="B6" s="2" t="s">
        <v>1745</v>
      </c>
      <c r="C6" s="2" t="s">
        <v>191</v>
      </c>
      <c r="D6" s="2" t="s">
        <v>325</v>
      </c>
      <c r="E6" s="2"/>
    </row>
    <row r="8" spans="2:12" x14ac:dyDescent="0.3">
      <c r="C8" s="262" t="s">
        <v>1746</v>
      </c>
      <c r="D8" s="262"/>
      <c r="E8" s="262"/>
      <c r="F8" s="262" t="s">
        <v>384</v>
      </c>
      <c r="G8" s="262"/>
      <c r="H8" s="262"/>
    </row>
    <row r="9" spans="2:12" x14ac:dyDescent="0.3">
      <c r="B9" s="2" t="s">
        <v>385</v>
      </c>
      <c r="C9" s="2" t="s">
        <v>1703</v>
      </c>
      <c r="D9" s="2" t="s">
        <v>1704</v>
      </c>
      <c r="E9" s="2" t="s">
        <v>1705</v>
      </c>
      <c r="F9" s="2" t="s">
        <v>1747</v>
      </c>
      <c r="G9" s="2" t="s">
        <v>1748</v>
      </c>
      <c r="H9" s="2" t="s">
        <v>1749</v>
      </c>
    </row>
    <row r="10" spans="2:12" x14ac:dyDescent="0.3">
      <c r="B10" s="2">
        <v>1</v>
      </c>
      <c r="C10" s="2" t="e">
        <f>游戏时长规划!#REF!</f>
        <v>#REF!</v>
      </c>
      <c r="D10" s="2" t="e">
        <f>游戏时长规划!#REF!</f>
        <v>#REF!</v>
      </c>
      <c r="E10" s="2" t="e">
        <f>游戏时长规划!#REF!</f>
        <v>#REF!</v>
      </c>
      <c r="F10" s="2" t="e">
        <f>IF(#REF!="","",#REF!)</f>
        <v>#REF!</v>
      </c>
      <c r="G10" s="2" t="e">
        <f>IF(#REF!="","",#REF!)</f>
        <v>#REF!</v>
      </c>
      <c r="H10" s="2" t="e">
        <f>IF(#REF!="","",#REF!)</f>
        <v>#REF!</v>
      </c>
      <c r="J10" s="1" t="s">
        <v>518</v>
      </c>
      <c r="K10" s="1" t="s">
        <v>520</v>
      </c>
      <c r="L10" s="1" t="s">
        <v>651</v>
      </c>
    </row>
    <row r="11" spans="2:12" x14ac:dyDescent="0.3">
      <c r="B11" s="2">
        <v>2</v>
      </c>
      <c r="C11" s="2" t="e">
        <f>游戏时长规划!#REF!</f>
        <v>#REF!</v>
      </c>
      <c r="D11" s="2" t="e">
        <f>游戏时长规划!#REF!</f>
        <v>#REF!</v>
      </c>
      <c r="E11" s="2" t="e">
        <f>游戏时长规划!#REF!</f>
        <v>#REF!</v>
      </c>
      <c r="F11" s="2" t="e">
        <f>IF(#REF!="","",#REF!)</f>
        <v>#REF!</v>
      </c>
      <c r="G11" s="2" t="e">
        <f>IF(#REF!="","",#REF!)</f>
        <v>#REF!</v>
      </c>
      <c r="H11" s="2" t="e">
        <f>IF(#REF!="","",#REF!)</f>
        <v>#REF!</v>
      </c>
      <c r="J11" s="1" t="s">
        <v>524</v>
      </c>
      <c r="K11" s="1" t="s">
        <v>526</v>
      </c>
      <c r="L11" s="1" t="s">
        <v>653</v>
      </c>
    </row>
    <row r="12" spans="2:12" x14ac:dyDescent="0.3">
      <c r="B12" s="2">
        <v>3</v>
      </c>
      <c r="C12" s="2" t="e">
        <f>游戏时长规划!#REF!</f>
        <v>#REF!</v>
      </c>
      <c r="D12" s="2" t="e">
        <f>游戏时长规划!#REF!</f>
        <v>#REF!</v>
      </c>
      <c r="E12" s="2" t="e">
        <f>游戏时长规划!#REF!</f>
        <v>#REF!</v>
      </c>
      <c r="F12" s="2" t="e">
        <f>IF(#REF!="","",#REF!)</f>
        <v>#REF!</v>
      </c>
      <c r="G12" s="2" t="e">
        <f>IF(#REF!="","",#REF!)</f>
        <v>#REF!</v>
      </c>
      <c r="H12" s="2" t="e">
        <f>IF(#REF!="","",#REF!)</f>
        <v>#REF!</v>
      </c>
      <c r="J12" s="1" t="s">
        <v>524</v>
      </c>
      <c r="K12" s="1" t="s">
        <v>526</v>
      </c>
      <c r="L12" s="1" t="s">
        <v>653</v>
      </c>
    </row>
    <row r="13" spans="2:12" x14ac:dyDescent="0.3">
      <c r="B13" s="2">
        <v>4</v>
      </c>
      <c r="C13" s="2" t="e">
        <f>游戏时长规划!#REF!</f>
        <v>#REF!</v>
      </c>
      <c r="D13" s="2" t="e">
        <f>游戏时长规划!#REF!</f>
        <v>#REF!</v>
      </c>
      <c r="E13" s="2" t="e">
        <f>游戏时长规划!#REF!</f>
        <v>#REF!</v>
      </c>
      <c r="F13" s="2" t="e">
        <f>IF(#REF!="","",#REF!)</f>
        <v>#REF!</v>
      </c>
      <c r="G13" s="2" t="e">
        <f>IF(#REF!="","",#REF!)</f>
        <v>#REF!</v>
      </c>
      <c r="H13" s="2" t="e">
        <f>IF(#REF!="","",#REF!)</f>
        <v>#REF!</v>
      </c>
      <c r="J13" s="1" t="s">
        <v>524</v>
      </c>
      <c r="K13" s="1" t="s">
        <v>526</v>
      </c>
      <c r="L13" s="1" t="s">
        <v>653</v>
      </c>
    </row>
    <row r="14" spans="2:12" x14ac:dyDescent="0.3">
      <c r="B14" s="2">
        <v>5</v>
      </c>
      <c r="C14" s="2" t="e">
        <f>游戏时长规划!#REF!</f>
        <v>#REF!</v>
      </c>
      <c r="D14" s="2" t="e">
        <f>游戏时长规划!#REF!</f>
        <v>#REF!</v>
      </c>
      <c r="E14" s="2" t="e">
        <f>游戏时长规划!#REF!</f>
        <v>#REF!</v>
      </c>
      <c r="F14" s="2" t="e">
        <f>IF(#REF!="","",#REF!)</f>
        <v>#REF!</v>
      </c>
      <c r="G14" s="2" t="e">
        <f>IF(#REF!="","",#REF!)</f>
        <v>#REF!</v>
      </c>
      <c r="H14" s="2" t="e">
        <f>IF(#REF!="","",#REF!)</f>
        <v>#REF!</v>
      </c>
      <c r="J14" s="1" t="s">
        <v>530</v>
      </c>
      <c r="K14" s="1" t="s">
        <v>534</v>
      </c>
      <c r="L14" s="1" t="s">
        <v>538</v>
      </c>
    </row>
    <row r="15" spans="2:12" x14ac:dyDescent="0.3">
      <c r="B15" s="2">
        <v>6</v>
      </c>
      <c r="C15" s="2" t="e">
        <f>游戏时长规划!#REF!</f>
        <v>#REF!</v>
      </c>
      <c r="D15" s="2" t="e">
        <f>游戏时长规划!#REF!</f>
        <v>#REF!</v>
      </c>
      <c r="E15" s="2" t="e">
        <f>游戏时长规划!#REF!</f>
        <v>#REF!</v>
      </c>
      <c r="F15" s="2" t="e">
        <f>IF(#REF!="","",#REF!)</f>
        <v>#REF!</v>
      </c>
      <c r="G15" s="2" t="e">
        <f>IF(#REF!="","",#REF!)</f>
        <v>#REF!</v>
      </c>
      <c r="H15" s="2" t="e">
        <f>IF(#REF!="","",#REF!)</f>
        <v>#REF!</v>
      </c>
      <c r="J15" s="1" t="s">
        <v>530</v>
      </c>
      <c r="K15" s="1" t="s">
        <v>534</v>
      </c>
      <c r="L15" s="1" t="s">
        <v>538</v>
      </c>
    </row>
    <row r="16" spans="2:12" x14ac:dyDescent="0.3">
      <c r="B16" s="2">
        <v>7</v>
      </c>
      <c r="C16" s="2" t="e">
        <f>游戏时长规划!#REF!</f>
        <v>#REF!</v>
      </c>
      <c r="D16" s="2" t="e">
        <f>游戏时长规划!#REF!</f>
        <v>#REF!</v>
      </c>
      <c r="E16" s="2" t="e">
        <f>游戏时长规划!#REF!</f>
        <v>#REF!</v>
      </c>
      <c r="F16" s="2" t="e">
        <f>IF(#REF!="","",#REF!)</f>
        <v>#REF!</v>
      </c>
      <c r="G16" s="2" t="e">
        <f>IF(#REF!="","",#REF!)</f>
        <v>#REF!</v>
      </c>
      <c r="H16" s="2" t="e">
        <f>IF(#REF!="","",#REF!)</f>
        <v>#REF!</v>
      </c>
      <c r="J16" s="1" t="s">
        <v>530</v>
      </c>
      <c r="K16" s="1" t="s">
        <v>534</v>
      </c>
      <c r="L16" s="1" t="s">
        <v>538</v>
      </c>
    </row>
    <row r="17" spans="2:12" x14ac:dyDescent="0.3">
      <c r="B17" s="2">
        <v>8</v>
      </c>
      <c r="C17" s="2" t="e">
        <f>游戏时长规划!#REF!</f>
        <v>#REF!</v>
      </c>
      <c r="D17" s="2" t="e">
        <f>游戏时长规划!#REF!</f>
        <v>#REF!</v>
      </c>
      <c r="E17" s="2" t="e">
        <f>游戏时长规划!#REF!</f>
        <v>#REF!</v>
      </c>
      <c r="F17" s="2" t="e">
        <f>IF(#REF!="","",#REF!)</f>
        <v>#REF!</v>
      </c>
      <c r="G17" s="2" t="e">
        <f>IF(#REF!="","",#REF!)</f>
        <v>#REF!</v>
      </c>
      <c r="H17" s="2" t="e">
        <f>IF(#REF!="","",#REF!)</f>
        <v>#REF!</v>
      </c>
      <c r="J17" s="1" t="s">
        <v>624</v>
      </c>
      <c r="K17" s="1" t="s">
        <v>643</v>
      </c>
      <c r="L17" s="1" t="s">
        <v>662</v>
      </c>
    </row>
    <row r="18" spans="2:12" x14ac:dyDescent="0.3">
      <c r="B18" s="2">
        <v>9</v>
      </c>
      <c r="C18" s="2" t="e">
        <f>游戏时长规划!#REF!</f>
        <v>#REF!</v>
      </c>
      <c r="D18" s="2" t="e">
        <f>游戏时长规划!#REF!</f>
        <v>#REF!</v>
      </c>
      <c r="E18" s="2" t="e">
        <f>游戏时长规划!#REF!</f>
        <v>#REF!</v>
      </c>
      <c r="F18" s="2" t="e">
        <f>IF(#REF!="","",#REF!)</f>
        <v>#REF!</v>
      </c>
      <c r="G18" s="2" t="e">
        <f>IF(#REF!="","",#REF!)</f>
        <v>#REF!</v>
      </c>
      <c r="H18" s="2" t="e">
        <f>IF(#REF!="","",#REF!)</f>
        <v>#REF!</v>
      </c>
      <c r="J18" s="1" t="s">
        <v>624</v>
      </c>
      <c r="K18" s="1" t="s">
        <v>643</v>
      </c>
      <c r="L18" s="1" t="s">
        <v>662</v>
      </c>
    </row>
    <row r="19" spans="2:12" x14ac:dyDescent="0.3">
      <c r="B19" s="2">
        <v>10</v>
      </c>
      <c r="C19" s="2" t="e">
        <f>游戏时长规划!#REF!</f>
        <v>#REF!</v>
      </c>
      <c r="D19" s="2" t="e">
        <f>游戏时长规划!#REF!</f>
        <v>#REF!</v>
      </c>
      <c r="E19" s="2" t="e">
        <f>游戏时长规划!#REF!</f>
        <v>#REF!</v>
      </c>
      <c r="F19" s="2" t="e">
        <f>IF(#REF!="","",#REF!)</f>
        <v>#REF!</v>
      </c>
      <c r="G19" s="2" t="e">
        <f>IF(#REF!="","",#REF!)</f>
        <v>#REF!</v>
      </c>
      <c r="H19" s="2" t="e">
        <f>IF(#REF!="","",#REF!)</f>
        <v>#REF!</v>
      </c>
      <c r="J19" s="1" t="s">
        <v>627</v>
      </c>
      <c r="K19" s="1" t="s">
        <v>645</v>
      </c>
      <c r="L19" s="1" t="s">
        <v>664</v>
      </c>
    </row>
    <row r="20" spans="2:12" ht="15.75" x14ac:dyDescent="0.3">
      <c r="B20" s="128" t="s">
        <v>1750</v>
      </c>
      <c r="C20" s="2" t="e">
        <f>游戏时长规划!#REF!</f>
        <v>#REF!</v>
      </c>
      <c r="D20" s="2" t="e">
        <f>游戏时长规划!#REF!</f>
        <v>#REF!</v>
      </c>
      <c r="E20" s="2" t="e">
        <f>游戏时长规划!#REF!</f>
        <v>#REF!</v>
      </c>
      <c r="F20" s="2" t="e">
        <f>IF(#REF!="","",#REF!)</f>
        <v>#REF!</v>
      </c>
      <c r="G20" s="2" t="e">
        <f>IF(#REF!="","",#REF!)</f>
        <v>#REF!</v>
      </c>
      <c r="H20" s="2" t="e">
        <f>IF(#REF!="","",#REF!)</f>
        <v>#REF!</v>
      </c>
      <c r="J20" s="1" t="s">
        <v>627</v>
      </c>
      <c r="K20" s="1" t="s">
        <v>645</v>
      </c>
      <c r="L20" s="1" t="s">
        <v>664</v>
      </c>
    </row>
    <row r="23" spans="2:12" x14ac:dyDescent="0.3">
      <c r="B23" s="2" t="s">
        <v>1112</v>
      </c>
      <c r="C23" s="2" t="s">
        <v>1751</v>
      </c>
      <c r="D23" s="2" t="s">
        <v>1752</v>
      </c>
      <c r="E23" s="2" t="s">
        <v>1753</v>
      </c>
      <c r="F23" s="2" t="s">
        <v>1754</v>
      </c>
      <c r="G23" s="2" t="s">
        <v>1755</v>
      </c>
      <c r="H23" s="2" t="s">
        <v>1756</v>
      </c>
    </row>
    <row r="24" spans="2:12" x14ac:dyDescent="0.3">
      <c r="B24" s="2" t="s">
        <v>386</v>
      </c>
      <c r="C24" s="2" t="e">
        <f>游戏时长规划!#REF!</f>
        <v>#REF!</v>
      </c>
      <c r="D24" s="2" t="e">
        <f>#REF!</f>
        <v>#REF!</v>
      </c>
      <c r="E24" s="34" t="e">
        <f>D24/C24*0.3</f>
        <v>#REF!</v>
      </c>
      <c r="F24" s="2">
        <v>3</v>
      </c>
      <c r="G24" s="129">
        <v>0.32500000000000001</v>
      </c>
      <c r="H24" s="33" t="e">
        <f>E24*F24*G24</f>
        <v>#REF!</v>
      </c>
      <c r="I24" s="1">
        <f>VLOOKUP(B24&amp;"碎片",道具价值!$B$33:$E$45,3,FALSE)</f>
        <v>1</v>
      </c>
    </row>
    <row r="25" spans="2:12" x14ac:dyDescent="0.3">
      <c r="B25" s="2" t="s">
        <v>387</v>
      </c>
      <c r="C25" s="2" t="e">
        <f>游戏时长规划!#REF!</f>
        <v>#REF!</v>
      </c>
      <c r="D25" s="2" t="e">
        <f>#REF!</f>
        <v>#REF!</v>
      </c>
      <c r="E25" s="34" t="e">
        <f t="shared" ref="E25:E33" si="0">D25/C25*0.3</f>
        <v>#REF!</v>
      </c>
      <c r="F25" s="2">
        <v>3</v>
      </c>
      <c r="G25" s="129">
        <v>0.371428571428571</v>
      </c>
      <c r="H25" s="33" t="e">
        <f t="shared" ref="H25:H33" si="1">E25*F25*G25</f>
        <v>#REF!</v>
      </c>
      <c r="I25" s="1" t="e">
        <f>VLOOKUP(B25&amp;"碎片",道具价值!B34:E46,FALSE)</f>
        <v>#VALUE!</v>
      </c>
    </row>
    <row r="26" spans="2:12" x14ac:dyDescent="0.3">
      <c r="B26" s="2" t="s">
        <v>388</v>
      </c>
      <c r="C26" s="2" t="e">
        <f>游戏时长规划!#REF!</f>
        <v>#REF!</v>
      </c>
      <c r="D26" s="2" t="e">
        <f>#REF!</f>
        <v>#REF!</v>
      </c>
      <c r="E26" s="34" t="e">
        <f t="shared" si="0"/>
        <v>#REF!</v>
      </c>
      <c r="F26" s="2">
        <v>3</v>
      </c>
      <c r="G26" s="129">
        <v>0.33333333333333298</v>
      </c>
      <c r="H26" s="33" t="e">
        <f t="shared" si="1"/>
        <v>#REF!</v>
      </c>
      <c r="I26" s="1" t="e">
        <f>VLOOKUP(B26&amp;"碎片",道具价值!B35:E47,FALSE)</f>
        <v>#VALUE!</v>
      </c>
    </row>
    <row r="27" spans="2:12" x14ac:dyDescent="0.3">
      <c r="B27" s="2" t="s">
        <v>389</v>
      </c>
      <c r="C27" s="2" t="e">
        <f>游戏时长规划!#REF!</f>
        <v>#REF!</v>
      </c>
      <c r="D27" s="2" t="e">
        <f>#REF!</f>
        <v>#REF!</v>
      </c>
      <c r="E27" s="34" t="e">
        <f t="shared" si="0"/>
        <v>#REF!</v>
      </c>
      <c r="F27" s="2">
        <v>3</v>
      </c>
      <c r="G27" s="129">
        <v>0.36666666666666697</v>
      </c>
      <c r="H27" s="33" t="e">
        <f t="shared" si="1"/>
        <v>#REF!</v>
      </c>
      <c r="I27" s="1" t="e">
        <f>VLOOKUP(B27&amp;"碎片",道具价值!B36:E48,FALSE)</f>
        <v>#VALUE!</v>
      </c>
    </row>
    <row r="28" spans="2:12" x14ac:dyDescent="0.3">
      <c r="B28" s="2" t="s">
        <v>390</v>
      </c>
      <c r="C28" s="2" t="e">
        <f>游戏时长规划!#REF!</f>
        <v>#REF!</v>
      </c>
      <c r="D28" s="2" t="e">
        <f>#REF!</f>
        <v>#REF!</v>
      </c>
      <c r="E28" s="34" t="e">
        <f t="shared" si="0"/>
        <v>#REF!</v>
      </c>
      <c r="F28" s="2">
        <v>3</v>
      </c>
      <c r="G28" s="129">
        <v>0.3125</v>
      </c>
      <c r="H28" s="33" t="e">
        <f t="shared" si="1"/>
        <v>#REF!</v>
      </c>
      <c r="I28" s="1" t="e">
        <f>VLOOKUP(B28&amp;"碎片",道具价值!B37:E49,FALSE)</f>
        <v>#VALUE!</v>
      </c>
    </row>
    <row r="29" spans="2:12" x14ac:dyDescent="0.3">
      <c r="B29" s="2" t="s">
        <v>391</v>
      </c>
      <c r="C29" s="2" t="e">
        <f>游戏时长规划!#REF!</f>
        <v>#REF!</v>
      </c>
      <c r="D29" s="2" t="e">
        <f>#REF!</f>
        <v>#REF!</v>
      </c>
      <c r="E29" s="34" t="e">
        <f t="shared" si="0"/>
        <v>#REF!</v>
      </c>
      <c r="F29" s="2">
        <v>3</v>
      </c>
      <c r="G29" s="129">
        <v>0.164444444444444</v>
      </c>
      <c r="H29" s="33" t="e">
        <f t="shared" si="1"/>
        <v>#REF!</v>
      </c>
      <c r="I29" s="1" t="e">
        <f>VLOOKUP(B29&amp;"碎片",道具价值!B38:E50,FALSE)</f>
        <v>#N/A</v>
      </c>
    </row>
    <row r="30" spans="2:12" x14ac:dyDescent="0.3">
      <c r="B30" s="2" t="s">
        <v>392</v>
      </c>
      <c r="C30" s="2" t="e">
        <f>游戏时长规划!#REF!</f>
        <v>#REF!</v>
      </c>
      <c r="D30" s="2" t="e">
        <f>#REF!</f>
        <v>#REF!</v>
      </c>
      <c r="E30" s="34" t="e">
        <f t="shared" si="0"/>
        <v>#REF!</v>
      </c>
      <c r="F30" s="2">
        <v>3</v>
      </c>
      <c r="G30" s="129">
        <v>0.335555555555556</v>
      </c>
      <c r="H30" s="33" t="e">
        <f t="shared" si="1"/>
        <v>#REF!</v>
      </c>
      <c r="I30" s="1" t="e">
        <f>VLOOKUP(B30&amp;"碎片",道具价值!B39:E51,FALSE)</f>
        <v>#VALUE!</v>
      </c>
    </row>
    <row r="31" spans="2:12" x14ac:dyDescent="0.3">
      <c r="B31" s="2" t="s">
        <v>393</v>
      </c>
      <c r="C31" s="2" t="e">
        <f>游戏时长规划!#REF!</f>
        <v>#REF!</v>
      </c>
      <c r="D31" s="2" t="e">
        <f>#REF!</f>
        <v>#REF!</v>
      </c>
      <c r="E31" s="34" t="e">
        <f t="shared" si="0"/>
        <v>#REF!</v>
      </c>
      <c r="F31" s="2">
        <v>3</v>
      </c>
      <c r="G31" s="129">
        <v>0.224</v>
      </c>
      <c r="H31" s="33" t="e">
        <f t="shared" si="1"/>
        <v>#REF!</v>
      </c>
      <c r="I31" s="1" t="e">
        <f>VLOOKUP(B31&amp;"碎片",道具价值!B40:E52,FALSE)</f>
        <v>#VALUE!</v>
      </c>
    </row>
    <row r="32" spans="2:12" x14ac:dyDescent="0.3">
      <c r="B32" s="2" t="s">
        <v>394</v>
      </c>
      <c r="C32" s="2" t="e">
        <f>游戏时长规划!#REF!</f>
        <v>#REF!</v>
      </c>
      <c r="D32" s="2" t="e">
        <f>#REF!</f>
        <v>#REF!</v>
      </c>
      <c r="E32" s="34" t="e">
        <f t="shared" si="0"/>
        <v>#REF!</v>
      </c>
      <c r="F32" s="2">
        <v>3</v>
      </c>
      <c r="G32" s="129">
        <v>0.34333333333333299</v>
      </c>
      <c r="H32" s="33" t="e">
        <f t="shared" si="1"/>
        <v>#REF!</v>
      </c>
      <c r="I32" s="1" t="e">
        <f>VLOOKUP(B32&amp;"碎片",道具价值!B41:E53,FALSE)</f>
        <v>#VALUE!</v>
      </c>
    </row>
    <row r="33" spans="2:9" x14ac:dyDescent="0.3">
      <c r="B33" s="2" t="s">
        <v>395</v>
      </c>
      <c r="C33" s="2" t="e">
        <f>游戏时长规划!#REF!</f>
        <v>#REF!</v>
      </c>
      <c r="D33" s="2" t="e">
        <f>#REF!</f>
        <v>#REF!</v>
      </c>
      <c r="E33" s="34" t="e">
        <f t="shared" si="0"/>
        <v>#REF!</v>
      </c>
      <c r="F33" s="2">
        <v>3</v>
      </c>
      <c r="G33" s="129">
        <v>0.246</v>
      </c>
      <c r="H33" s="33" t="e">
        <f t="shared" si="1"/>
        <v>#REF!</v>
      </c>
      <c r="I33" s="1" t="e">
        <f>VLOOKUP(B33&amp;"碎片",道具价值!B42:E54,FALSE)</f>
        <v>#VALUE!</v>
      </c>
    </row>
    <row r="36" spans="2:9" x14ac:dyDescent="0.3">
      <c r="B36" s="109" t="s">
        <v>1757</v>
      </c>
    </row>
    <row r="37" spans="2:9" x14ac:dyDescent="0.3">
      <c r="B37" s="2" t="s">
        <v>1758</v>
      </c>
      <c r="C37" s="2">
        <v>5</v>
      </c>
      <c r="I37" s="130"/>
    </row>
    <row r="38" spans="2:9" x14ac:dyDescent="0.3">
      <c r="B38" s="2" t="s">
        <v>1759</v>
      </c>
      <c r="C38" s="2">
        <v>3.5000000000000003E-2</v>
      </c>
      <c r="D38" s="114">
        <f>ROUNDUP(C38*1000/(1-C38),0)</f>
        <v>37</v>
      </c>
      <c r="E38" s="1">
        <f>ROUNDUP(C38*5000/(1-C38),0)</f>
        <v>182</v>
      </c>
      <c r="F38" s="1">
        <f>ROUNDUP(C38*3000/(1-C38),0)</f>
        <v>109</v>
      </c>
      <c r="G38" s="1">
        <f>ROUNDUP(C38*1500/(1-C38),0)</f>
        <v>55</v>
      </c>
      <c r="I38" s="130"/>
    </row>
    <row r="39" spans="2:9" x14ac:dyDescent="0.3">
      <c r="B39" s="2" t="s">
        <v>1760</v>
      </c>
      <c r="C39" s="2">
        <v>0.01</v>
      </c>
      <c r="D39" s="114">
        <f>ROUNDUP(C39*1000/(1-C39),0)</f>
        <v>11</v>
      </c>
      <c r="E39" s="1">
        <f>ROUNDUP(C39*5000/(1-C39),0)</f>
        <v>51</v>
      </c>
      <c r="F39" s="1">
        <f>ROUNDUP(C39*3000/(1-C39),0)</f>
        <v>31</v>
      </c>
      <c r="G39" s="1">
        <f>ROUNDUP(C39*1500/(1-C39),0)</f>
        <v>16</v>
      </c>
      <c r="I39" s="130"/>
    </row>
    <row r="40" spans="2:9" x14ac:dyDescent="0.3">
      <c r="B40" s="2" t="s">
        <v>1761</v>
      </c>
      <c r="C40" s="110">
        <f>1-POWER(1-(C38+C39),C37)</f>
        <v>0.20564093140312512</v>
      </c>
      <c r="I40" s="130"/>
    </row>
    <row r="41" spans="2:9" x14ac:dyDescent="0.3">
      <c r="I41" s="130"/>
    </row>
    <row r="42" spans="2:9" x14ac:dyDescent="0.3">
      <c r="I42" s="130"/>
    </row>
    <row r="43" spans="2:9" x14ac:dyDescent="0.3">
      <c r="I43" s="130"/>
    </row>
    <row r="44" spans="2:9" x14ac:dyDescent="0.3">
      <c r="I44" s="130"/>
    </row>
    <row r="45" spans="2:9" x14ac:dyDescent="0.3">
      <c r="I45" s="130"/>
    </row>
    <row r="46" spans="2:9" x14ac:dyDescent="0.3">
      <c r="I46" s="130"/>
    </row>
    <row r="47" spans="2:9" x14ac:dyDescent="0.3">
      <c r="I47" s="130"/>
    </row>
    <row r="48" spans="2:9" x14ac:dyDescent="0.3">
      <c r="I48" s="130"/>
    </row>
    <row r="49" spans="9:9" x14ac:dyDescent="0.3">
      <c r="I49" s="130"/>
    </row>
    <row r="50" spans="9:9" x14ac:dyDescent="0.3">
      <c r="I50" s="130"/>
    </row>
    <row r="51" spans="9:9" x14ac:dyDescent="0.3">
      <c r="I51" s="130"/>
    </row>
    <row r="52" spans="9:9" x14ac:dyDescent="0.3">
      <c r="I52" s="130"/>
    </row>
    <row r="53" spans="9:9" x14ac:dyDescent="0.3">
      <c r="I53" s="130"/>
    </row>
    <row r="54" spans="9:9" x14ac:dyDescent="0.3">
      <c r="I54" s="130"/>
    </row>
    <row r="55" spans="9:9" x14ac:dyDescent="0.3">
      <c r="I55" s="130"/>
    </row>
    <row r="56" spans="9:9" x14ac:dyDescent="0.3">
      <c r="I56" s="130"/>
    </row>
    <row r="57" spans="9:9" x14ac:dyDescent="0.3">
      <c r="I57" s="130"/>
    </row>
    <row r="58" spans="9:9" x14ac:dyDescent="0.3">
      <c r="I58" s="130"/>
    </row>
    <row r="59" spans="9:9" x14ac:dyDescent="0.3">
      <c r="I59" s="130"/>
    </row>
    <row r="60" spans="9:9" x14ac:dyDescent="0.3">
      <c r="I60" s="130"/>
    </row>
  </sheetData>
  <mergeCells count="2">
    <mergeCell ref="C8:E8"/>
    <mergeCell ref="F8:H8"/>
  </mergeCells>
  <phoneticPr fontId="34"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Q123"/>
  <sheetViews>
    <sheetView topLeftCell="K16" zoomScale="130" zoomScaleNormal="130" workbookViewId="0">
      <selection activeCell="C39" sqref="C39"/>
    </sheetView>
  </sheetViews>
  <sheetFormatPr defaultColWidth="9" defaultRowHeight="14.25" x14ac:dyDescent="0.3"/>
  <cols>
    <col min="1" max="25" width="9" style="1"/>
    <col min="26" max="26" width="10.875" style="1" customWidth="1"/>
    <col min="27" max="16384" width="9" style="1"/>
  </cols>
  <sheetData>
    <row r="2" spans="2:41" x14ac:dyDescent="0.3">
      <c r="B2" s="262" t="s">
        <v>1762</v>
      </c>
      <c r="C2" s="262"/>
      <c r="D2" s="262"/>
      <c r="E2" s="262"/>
      <c r="F2" s="262"/>
      <c r="H2" s="263" t="s">
        <v>1763</v>
      </c>
      <c r="I2" s="264"/>
      <c r="J2" s="264"/>
      <c r="K2" s="265"/>
      <c r="M2" s="263" t="s">
        <v>1764</v>
      </c>
      <c r="N2" s="264"/>
      <c r="O2" s="264"/>
      <c r="P2" s="264"/>
      <c r="Q2" s="264"/>
      <c r="R2" s="264"/>
      <c r="S2" s="264"/>
      <c r="T2" s="264"/>
      <c r="U2" s="264"/>
      <c r="V2" s="264"/>
      <c r="W2" s="264"/>
      <c r="X2" s="264"/>
      <c r="Y2" s="264"/>
      <c r="Z2" s="264"/>
      <c r="AA2" s="264"/>
      <c r="AB2" s="264"/>
      <c r="AC2" s="264"/>
      <c r="AD2" s="264"/>
      <c r="AE2" s="264"/>
      <c r="AF2" s="264"/>
      <c r="AG2" s="264"/>
      <c r="AH2" s="264"/>
      <c r="AI2" s="264"/>
      <c r="AJ2" s="265"/>
    </row>
    <row r="3" spans="2:41" x14ac:dyDescent="0.3">
      <c r="B3" s="2" t="s">
        <v>1765</v>
      </c>
      <c r="C3" s="2" t="s">
        <v>1766</v>
      </c>
      <c r="D3" s="2" t="s">
        <v>1767</v>
      </c>
      <c r="E3" s="2" t="s">
        <v>1768</v>
      </c>
      <c r="F3" s="2" t="s">
        <v>1769</v>
      </c>
      <c r="G3" s="25"/>
      <c r="H3" s="2" t="s">
        <v>1770</v>
      </c>
      <c r="I3" s="2" t="s">
        <v>1112</v>
      </c>
      <c r="J3" s="2" t="s">
        <v>790</v>
      </c>
      <c r="K3" s="2" t="s">
        <v>611</v>
      </c>
      <c r="M3" s="2" t="s">
        <v>385</v>
      </c>
      <c r="N3" s="2" t="s">
        <v>1771</v>
      </c>
      <c r="O3" s="2" t="s">
        <v>1772</v>
      </c>
      <c r="P3" s="2" t="s">
        <v>1773</v>
      </c>
      <c r="Q3" s="2" t="s">
        <v>1774</v>
      </c>
      <c r="R3" s="2" t="s">
        <v>1775</v>
      </c>
      <c r="S3" s="2" t="s">
        <v>1776</v>
      </c>
      <c r="T3" s="2" t="s">
        <v>386</v>
      </c>
      <c r="U3" s="2" t="s">
        <v>387</v>
      </c>
      <c r="V3" s="2" t="s">
        <v>388</v>
      </c>
      <c r="W3" s="2" t="s">
        <v>389</v>
      </c>
      <c r="X3" s="2" t="s">
        <v>390</v>
      </c>
      <c r="Y3" s="2" t="s">
        <v>391</v>
      </c>
      <c r="Z3" s="2" t="s">
        <v>392</v>
      </c>
      <c r="AA3" s="2" t="s">
        <v>393</v>
      </c>
      <c r="AB3" s="2" t="s">
        <v>394</v>
      </c>
      <c r="AC3" s="2" t="s">
        <v>395</v>
      </c>
      <c r="AD3" s="2" t="s">
        <v>396</v>
      </c>
      <c r="AE3" s="2" t="s">
        <v>397</v>
      </c>
      <c r="AF3" s="2" t="s">
        <v>503</v>
      </c>
      <c r="AG3" s="2" t="s">
        <v>504</v>
      </c>
      <c r="AH3" s="2" t="s">
        <v>505</v>
      </c>
      <c r="AI3" s="2" t="s">
        <v>1777</v>
      </c>
      <c r="AJ3" s="2" t="s">
        <v>1778</v>
      </c>
    </row>
    <row r="4" spans="2:41" x14ac:dyDescent="0.3">
      <c r="B4" s="2" t="s">
        <v>386</v>
      </c>
      <c r="C4" s="42">
        <f>[1]基础经济系数!F33</f>
        <v>300</v>
      </c>
      <c r="D4" s="123">
        <v>0.05</v>
      </c>
      <c r="E4" s="42">
        <f>ROUND(C4*D4,0)</f>
        <v>15</v>
      </c>
      <c r="F4" s="42">
        <f>ROUND(E4*$Q$73/500,0)*500</f>
        <v>4000</v>
      </c>
      <c r="G4" s="124"/>
      <c r="H4" s="2" t="s">
        <v>518</v>
      </c>
      <c r="I4" s="2" t="str">
        <f>VLOOKUP(H4,[1]坦克个性化设定!$B$18:$E$48,3,FALSE)</f>
        <v>轻坦</v>
      </c>
      <c r="J4" s="42" t="str">
        <f>VLOOKUP(H4,[1]坦克个性化设定!$B$18:$E$48,4,FALSE)</f>
        <v>T1</v>
      </c>
      <c r="K4" s="42" t="str">
        <f>VLOOKUP(H4,[1]坦克个性化细分!$I$3:$J$33,2,FALSE)</f>
        <v>低</v>
      </c>
      <c r="M4" s="2">
        <v>1</v>
      </c>
      <c r="N4" s="2" t="s">
        <v>386</v>
      </c>
      <c r="O4" s="2"/>
      <c r="P4" s="2"/>
      <c r="Q4" s="2" t="str">
        <f>[1]游戏时长规划!C73</f>
        <v>T1低</v>
      </c>
      <c r="R4" s="2" t="str">
        <f>[1]游戏时长规划!D73</f>
        <v>T1低</v>
      </c>
      <c r="S4" s="2" t="str">
        <f>[1]游戏时长规划!E73</f>
        <v>T1低</v>
      </c>
      <c r="T4" s="32">
        <v>1</v>
      </c>
      <c r="U4" s="32">
        <v>1</v>
      </c>
      <c r="V4" s="32">
        <v>1</v>
      </c>
      <c r="W4" s="32">
        <v>1</v>
      </c>
      <c r="X4" s="32">
        <v>1</v>
      </c>
      <c r="Y4" s="32">
        <v>1</v>
      </c>
      <c r="Z4" s="32">
        <v>1</v>
      </c>
      <c r="AA4" s="32">
        <v>1</v>
      </c>
      <c r="AB4" s="32">
        <v>1</v>
      </c>
      <c r="AC4" s="32">
        <v>1</v>
      </c>
      <c r="AD4" s="32">
        <v>1</v>
      </c>
      <c r="AE4" s="32">
        <v>1</v>
      </c>
      <c r="AF4" s="32">
        <v>1</v>
      </c>
      <c r="AG4" s="32">
        <v>1</v>
      </c>
      <c r="AH4" s="32">
        <v>1</v>
      </c>
      <c r="AI4" s="32">
        <v>1</v>
      </c>
      <c r="AJ4" s="32">
        <v>1</v>
      </c>
      <c r="AL4" s="1">
        <v>1</v>
      </c>
      <c r="AM4" s="1" t="s">
        <v>386</v>
      </c>
    </row>
    <row r="5" spans="2:41" x14ac:dyDescent="0.3">
      <c r="B5" s="2" t="s">
        <v>387</v>
      </c>
      <c r="C5" s="42">
        <f>[1]基础经济系数!F34</f>
        <v>600</v>
      </c>
      <c r="D5" s="33">
        <f>D4</f>
        <v>0.05</v>
      </c>
      <c r="E5" s="42">
        <f t="shared" ref="E5:E30" si="0">ROUND(C5*D5,0)</f>
        <v>30</v>
      </c>
      <c r="F5" s="42">
        <f t="shared" ref="F5:F30" si="1">ROUND(E5*$Q$73/500,0)*500</f>
        <v>7500</v>
      </c>
      <c r="G5" s="124"/>
      <c r="H5" s="2" t="s">
        <v>524</v>
      </c>
      <c r="I5" s="2" t="str">
        <f>VLOOKUP(H5,[1]坦克个性化设定!$B$18:$E$48,3,FALSE)</f>
        <v>轻坦</v>
      </c>
      <c r="J5" s="42" t="str">
        <f>VLOOKUP(H5,[1]坦克个性化设定!$B$18:$E$48,4,FALSE)</f>
        <v>T2</v>
      </c>
      <c r="K5" s="42" t="str">
        <f>VLOOKUP(H5,[1]坦克个性化细分!$I$3:$J$33,2,FALSE)</f>
        <v>低</v>
      </c>
      <c r="M5" s="2">
        <v>2</v>
      </c>
      <c r="N5" s="2" t="s">
        <v>387</v>
      </c>
      <c r="O5" s="2"/>
      <c r="P5" s="2"/>
      <c r="Q5" s="2" t="str">
        <f>[1]游戏时长规划!C74</f>
        <v>T2低</v>
      </c>
      <c r="R5" s="2" t="str">
        <f>[1]游戏时长规划!D74</f>
        <v>T1低</v>
      </c>
      <c r="S5" s="2" t="str">
        <f>[1]游戏时长规划!E74</f>
        <v>T1低</v>
      </c>
      <c r="T5" s="32">
        <v>0.94</v>
      </c>
      <c r="U5" s="32">
        <v>1</v>
      </c>
      <c r="V5" s="32">
        <v>1</v>
      </c>
      <c r="W5" s="32">
        <v>1</v>
      </c>
      <c r="X5" s="32">
        <v>1</v>
      </c>
      <c r="Y5" s="32">
        <v>1</v>
      </c>
      <c r="Z5" s="32">
        <v>1</v>
      </c>
      <c r="AA5" s="32">
        <v>1</v>
      </c>
      <c r="AB5" s="32">
        <v>1</v>
      </c>
      <c r="AC5" s="32">
        <v>1</v>
      </c>
      <c r="AD5" s="32">
        <v>1</v>
      </c>
      <c r="AE5" s="32">
        <v>1</v>
      </c>
      <c r="AF5" s="32">
        <v>0.95</v>
      </c>
      <c r="AG5" s="32">
        <v>1</v>
      </c>
      <c r="AH5" s="32">
        <v>1</v>
      </c>
      <c r="AI5" s="32">
        <v>1</v>
      </c>
      <c r="AJ5" s="32">
        <v>1</v>
      </c>
      <c r="AL5" s="1">
        <v>2</v>
      </c>
      <c r="AM5" s="1" t="s">
        <v>387</v>
      </c>
    </row>
    <row r="6" spans="2:41" x14ac:dyDescent="0.3">
      <c r="B6" s="2" t="s">
        <v>388</v>
      </c>
      <c r="C6" s="42">
        <f>[1]基础经济系数!F35</f>
        <v>800</v>
      </c>
      <c r="D6" s="33">
        <f t="shared" ref="D6:D27" si="2">D5</f>
        <v>0.05</v>
      </c>
      <c r="E6" s="42">
        <f t="shared" si="0"/>
        <v>40</v>
      </c>
      <c r="F6" s="42">
        <f t="shared" si="1"/>
        <v>10000</v>
      </c>
      <c r="G6" s="124"/>
      <c r="H6" s="2" t="s">
        <v>616</v>
      </c>
      <c r="I6" s="2" t="str">
        <f>VLOOKUP(H6,[1]坦克个性化设定!$B$18:$E$48,3,FALSE)</f>
        <v>轻坦</v>
      </c>
      <c r="J6" s="42" t="str">
        <f>VLOOKUP(H6,[1]坦克个性化设定!$B$18:$E$48,4,FALSE)</f>
        <v>T2</v>
      </c>
      <c r="K6" s="42" t="str">
        <f>VLOOKUP(H6,[1]坦克个性化细分!$I$3:$J$33,2,FALSE)</f>
        <v>中</v>
      </c>
      <c r="M6" s="2">
        <v>3</v>
      </c>
      <c r="N6" s="2" t="s">
        <v>387</v>
      </c>
      <c r="O6" s="2" t="s">
        <v>388</v>
      </c>
      <c r="P6" s="2"/>
      <c r="Q6" s="2" t="str">
        <f>[1]游戏时长规划!C75</f>
        <v>T2低</v>
      </c>
      <c r="R6" s="2" t="str">
        <f>[1]游戏时长规划!D75</f>
        <v>T2低</v>
      </c>
      <c r="S6" s="2" t="str">
        <f>[1]游戏时长规划!E75</f>
        <v>T1低</v>
      </c>
      <c r="T6" s="32">
        <v>0.88</v>
      </c>
      <c r="U6" s="32">
        <v>0.94</v>
      </c>
      <c r="V6" s="32">
        <v>1</v>
      </c>
      <c r="W6" s="32">
        <v>1</v>
      </c>
      <c r="X6" s="32">
        <v>1</v>
      </c>
      <c r="Y6" s="32">
        <v>1</v>
      </c>
      <c r="Z6" s="32">
        <v>1</v>
      </c>
      <c r="AA6" s="32">
        <v>1</v>
      </c>
      <c r="AB6" s="32">
        <v>1</v>
      </c>
      <c r="AC6" s="32">
        <v>1</v>
      </c>
      <c r="AD6" s="32">
        <v>1</v>
      </c>
      <c r="AE6" s="32">
        <v>1</v>
      </c>
      <c r="AF6" s="32">
        <v>0.9</v>
      </c>
      <c r="AG6" s="32">
        <v>1</v>
      </c>
      <c r="AH6" s="32">
        <v>1</v>
      </c>
      <c r="AI6" s="32">
        <v>1</v>
      </c>
      <c r="AJ6" s="32">
        <v>1</v>
      </c>
      <c r="AL6" s="1">
        <v>3</v>
      </c>
      <c r="AM6" s="1" t="s">
        <v>388</v>
      </c>
    </row>
    <row r="7" spans="2:41" x14ac:dyDescent="0.3">
      <c r="B7" s="2" t="s">
        <v>389</v>
      </c>
      <c r="C7" s="42">
        <f>[1]基础经济系数!F36</f>
        <v>1650</v>
      </c>
      <c r="D7" s="33">
        <f t="shared" si="2"/>
        <v>0.05</v>
      </c>
      <c r="E7" s="42">
        <f t="shared" si="0"/>
        <v>83</v>
      </c>
      <c r="F7" s="42">
        <f t="shared" si="1"/>
        <v>21000</v>
      </c>
      <c r="G7" s="124"/>
      <c r="H7" s="2" t="s">
        <v>530</v>
      </c>
      <c r="I7" s="2" t="str">
        <f>VLOOKUP(H7,[1]坦克个性化设定!$B$18:$E$48,3,FALSE)</f>
        <v>轻坦</v>
      </c>
      <c r="J7" s="42" t="str">
        <f>VLOOKUP(H7,[1]坦克个性化设定!$B$18:$E$48,4,FALSE)</f>
        <v>T3</v>
      </c>
      <c r="K7" s="42" t="str">
        <f>VLOOKUP(H7,[1]坦克个性化细分!$I$3:$J$33,2,FALSE)</f>
        <v>低</v>
      </c>
      <c r="M7" s="2">
        <v>4</v>
      </c>
      <c r="N7" s="2" t="s">
        <v>387</v>
      </c>
      <c r="O7" s="2" t="s">
        <v>388</v>
      </c>
      <c r="P7" s="2"/>
      <c r="Q7" s="2" t="str">
        <f>[1]游戏时长规划!C76</f>
        <v>T2低</v>
      </c>
      <c r="R7" s="2" t="str">
        <f>[1]游戏时长规划!D76</f>
        <v>T2低</v>
      </c>
      <c r="S7" s="2" t="str">
        <f>[1]游戏时长规划!E76</f>
        <v>T2低</v>
      </c>
      <c r="T7" s="32">
        <v>0.82</v>
      </c>
      <c r="U7" s="32">
        <v>0.88</v>
      </c>
      <c r="V7" s="32">
        <v>0.96</v>
      </c>
      <c r="W7" s="32">
        <v>1</v>
      </c>
      <c r="X7" s="32">
        <v>1</v>
      </c>
      <c r="Y7" s="32">
        <v>1</v>
      </c>
      <c r="Z7" s="32">
        <v>1</v>
      </c>
      <c r="AA7" s="32">
        <v>1</v>
      </c>
      <c r="AB7" s="32">
        <v>1</v>
      </c>
      <c r="AC7" s="32">
        <v>1</v>
      </c>
      <c r="AD7" s="32">
        <v>1</v>
      </c>
      <c r="AE7" s="32">
        <v>1</v>
      </c>
      <c r="AF7" s="32">
        <v>0.85</v>
      </c>
      <c r="AG7" s="32">
        <v>0.96499999999999997</v>
      </c>
      <c r="AH7" s="32">
        <v>1</v>
      </c>
      <c r="AI7" s="32">
        <v>1</v>
      </c>
      <c r="AJ7" s="32">
        <v>1</v>
      </c>
      <c r="AL7" s="1">
        <v>4</v>
      </c>
    </row>
    <row r="8" spans="2:41" x14ac:dyDescent="0.3">
      <c r="B8" s="2" t="s">
        <v>390</v>
      </c>
      <c r="C8" s="42">
        <f>[1]基础经济系数!F37</f>
        <v>2100</v>
      </c>
      <c r="D8" s="33">
        <f t="shared" si="2"/>
        <v>0.05</v>
      </c>
      <c r="E8" s="42">
        <f t="shared" si="0"/>
        <v>105</v>
      </c>
      <c r="F8" s="42">
        <f t="shared" si="1"/>
        <v>26500</v>
      </c>
      <c r="G8" s="124"/>
      <c r="H8" s="2" t="s">
        <v>620</v>
      </c>
      <c r="I8" s="2" t="str">
        <f>VLOOKUP(H8,[1]坦克个性化设定!$B$18:$E$48,3,FALSE)</f>
        <v>轻坦</v>
      </c>
      <c r="J8" s="42" t="str">
        <f>VLOOKUP(H8,[1]坦克个性化设定!$B$18:$E$48,4,FALSE)</f>
        <v>T3</v>
      </c>
      <c r="K8" s="42" t="str">
        <f>VLOOKUP(H8,[1]坦克个性化细分!$I$3:$J$33,2,FALSE)</f>
        <v>中</v>
      </c>
      <c r="M8" s="2">
        <v>5</v>
      </c>
      <c r="N8" s="2" t="s">
        <v>389</v>
      </c>
      <c r="O8" s="2" t="s">
        <v>390</v>
      </c>
      <c r="P8" s="2"/>
      <c r="Q8" s="2" t="str">
        <f>[1]游戏时长规划!C77</f>
        <v>T3低</v>
      </c>
      <c r="R8" s="2" t="str">
        <f>[1]游戏时长规划!D77</f>
        <v>T2低</v>
      </c>
      <c r="S8" s="2" t="str">
        <f>[1]游戏时长规划!E77</f>
        <v>T2低</v>
      </c>
      <c r="T8" s="32">
        <v>0.76</v>
      </c>
      <c r="U8" s="32">
        <v>0.82</v>
      </c>
      <c r="V8" s="32">
        <v>0.92</v>
      </c>
      <c r="W8" s="32">
        <v>1</v>
      </c>
      <c r="X8" s="32">
        <v>1</v>
      </c>
      <c r="Y8" s="32">
        <v>1</v>
      </c>
      <c r="Z8" s="32">
        <v>1</v>
      </c>
      <c r="AA8" s="32">
        <v>1</v>
      </c>
      <c r="AB8" s="32">
        <v>1</v>
      </c>
      <c r="AC8" s="32">
        <v>1</v>
      </c>
      <c r="AD8" s="32">
        <v>1</v>
      </c>
      <c r="AE8" s="32">
        <v>1</v>
      </c>
      <c r="AF8" s="32">
        <v>0.8</v>
      </c>
      <c r="AG8" s="32">
        <v>0.93</v>
      </c>
      <c r="AH8" s="32">
        <v>1</v>
      </c>
      <c r="AI8" s="32">
        <v>1</v>
      </c>
      <c r="AJ8" s="32">
        <v>1</v>
      </c>
      <c r="AL8" s="1">
        <v>5</v>
      </c>
      <c r="AM8" s="1" t="s">
        <v>389</v>
      </c>
      <c r="AN8" s="1" t="s">
        <v>390</v>
      </c>
    </row>
    <row r="9" spans="2:41" x14ac:dyDescent="0.3">
      <c r="B9" s="2" t="s">
        <v>391</v>
      </c>
      <c r="C9" s="42">
        <f>[1]基础经济系数!F38</f>
        <v>2400</v>
      </c>
      <c r="D9" s="33">
        <f t="shared" si="2"/>
        <v>0.05</v>
      </c>
      <c r="E9" s="42">
        <f t="shared" si="0"/>
        <v>120</v>
      </c>
      <c r="F9" s="42">
        <f t="shared" si="1"/>
        <v>30500</v>
      </c>
      <c r="G9" s="124"/>
      <c r="H9" s="2" t="s">
        <v>622</v>
      </c>
      <c r="I9" s="2" t="str">
        <f>VLOOKUP(H9,[1]坦克个性化设定!$B$18:$E$48,3,FALSE)</f>
        <v>轻坦</v>
      </c>
      <c r="J9" s="42" t="str">
        <f>VLOOKUP(H9,[1]坦克个性化设定!$B$18:$E$48,4,FALSE)</f>
        <v>T3</v>
      </c>
      <c r="K9" s="42" t="str">
        <f>VLOOKUP(H9,[1]坦克个性化细分!$I$3:$J$33,2,FALSE)</f>
        <v>高</v>
      </c>
      <c r="M9" s="2">
        <v>6</v>
      </c>
      <c r="N9" s="2" t="s">
        <v>389</v>
      </c>
      <c r="O9" s="2" t="s">
        <v>390</v>
      </c>
      <c r="P9" s="2"/>
      <c r="Q9" s="2" t="str">
        <f>[1]游戏时长规划!C78</f>
        <v>T3低</v>
      </c>
      <c r="R9" s="2" t="str">
        <f>[1]游戏时长规划!D78</f>
        <v>T3低</v>
      </c>
      <c r="S9" s="2" t="str">
        <f>[1]游戏时长规划!E78</f>
        <v>T2低</v>
      </c>
      <c r="T9" s="32">
        <v>0.7</v>
      </c>
      <c r="U9" s="32">
        <v>0.76</v>
      </c>
      <c r="V9" s="32">
        <v>0.88</v>
      </c>
      <c r="W9" s="32">
        <v>0.94</v>
      </c>
      <c r="X9" s="32">
        <v>0.96</v>
      </c>
      <c r="Y9" s="32">
        <v>0.96</v>
      </c>
      <c r="Z9" s="32">
        <v>1</v>
      </c>
      <c r="AA9" s="32">
        <v>1</v>
      </c>
      <c r="AB9" s="32">
        <v>1</v>
      </c>
      <c r="AC9" s="32">
        <v>1</v>
      </c>
      <c r="AD9" s="32">
        <v>1</v>
      </c>
      <c r="AE9" s="32">
        <v>1</v>
      </c>
      <c r="AF9" s="32">
        <v>0.75</v>
      </c>
      <c r="AG9" s="32">
        <v>0.89500000000000002</v>
      </c>
      <c r="AH9" s="32">
        <v>0.98</v>
      </c>
      <c r="AI9" s="32">
        <v>1</v>
      </c>
      <c r="AJ9" s="32">
        <v>1</v>
      </c>
      <c r="AL9" s="1">
        <v>6</v>
      </c>
    </row>
    <row r="10" spans="2:41" x14ac:dyDescent="0.3">
      <c r="B10" s="2" t="s">
        <v>392</v>
      </c>
      <c r="C10" s="42">
        <f>[1]基础经济系数!F39</f>
        <v>5250</v>
      </c>
      <c r="D10" s="33">
        <f t="shared" si="2"/>
        <v>0.05</v>
      </c>
      <c r="E10" s="42">
        <f t="shared" si="0"/>
        <v>263</v>
      </c>
      <c r="F10" s="42">
        <f t="shared" si="1"/>
        <v>66500</v>
      </c>
      <c r="G10" s="124"/>
      <c r="H10" s="2" t="s">
        <v>624</v>
      </c>
      <c r="I10" s="2" t="str">
        <f>VLOOKUP(H10,[1]坦克个性化设定!$B$18:$E$48,3,FALSE)</f>
        <v>轻坦</v>
      </c>
      <c r="J10" s="42" t="str">
        <f>VLOOKUP(H10,[1]坦克个性化设定!$B$18:$E$48,4,FALSE)</f>
        <v>T4</v>
      </c>
      <c r="K10" s="42" t="str">
        <f>VLOOKUP(H10,[1]坦克个性化细分!$I$3:$J$33,2,FALSE)</f>
        <v>低</v>
      </c>
      <c r="M10" s="2">
        <v>7</v>
      </c>
      <c r="N10" s="2" t="s">
        <v>389</v>
      </c>
      <c r="O10" s="2" t="s">
        <v>390</v>
      </c>
      <c r="P10" s="2"/>
      <c r="Q10" s="2" t="str">
        <f>[1]游戏时长规划!C79</f>
        <v>T3低</v>
      </c>
      <c r="R10" s="2" t="str">
        <f>[1]游戏时长规划!D79</f>
        <v>T3低</v>
      </c>
      <c r="S10" s="2" t="str">
        <f>[1]游戏时长规划!E79</f>
        <v>T3低</v>
      </c>
      <c r="T10" s="32">
        <v>0.64</v>
      </c>
      <c r="U10" s="32">
        <v>0.7</v>
      </c>
      <c r="V10" s="32">
        <v>0.84</v>
      </c>
      <c r="W10" s="32">
        <v>0.88</v>
      </c>
      <c r="X10" s="32">
        <v>0.92</v>
      </c>
      <c r="Y10" s="32">
        <v>0.92</v>
      </c>
      <c r="Z10" s="32">
        <v>1</v>
      </c>
      <c r="AA10" s="32">
        <v>1</v>
      </c>
      <c r="AB10" s="32">
        <v>1</v>
      </c>
      <c r="AC10" s="32">
        <v>1</v>
      </c>
      <c r="AD10" s="32">
        <v>1</v>
      </c>
      <c r="AE10" s="32">
        <v>1</v>
      </c>
      <c r="AF10" s="32">
        <v>0.7</v>
      </c>
      <c r="AG10" s="32">
        <v>0.86</v>
      </c>
      <c r="AH10" s="32">
        <v>0.96</v>
      </c>
      <c r="AI10" s="32">
        <v>1</v>
      </c>
      <c r="AJ10" s="32">
        <v>1</v>
      </c>
      <c r="AL10" s="1">
        <v>7</v>
      </c>
    </row>
    <row r="11" spans="2:41" x14ac:dyDescent="0.3">
      <c r="B11" s="2" t="s">
        <v>393</v>
      </c>
      <c r="C11" s="42">
        <f>[1]基础经济系数!F40</f>
        <v>6500</v>
      </c>
      <c r="D11" s="33">
        <f t="shared" si="2"/>
        <v>0.05</v>
      </c>
      <c r="E11" s="42">
        <f t="shared" si="0"/>
        <v>325</v>
      </c>
      <c r="F11" s="42">
        <f t="shared" si="1"/>
        <v>82000</v>
      </c>
      <c r="G11" s="124"/>
      <c r="H11" s="2" t="s">
        <v>627</v>
      </c>
      <c r="I11" s="2" t="str">
        <f>VLOOKUP(H11,[1]坦克个性化设定!$B$18:$E$48,3,FALSE)</f>
        <v>轻坦</v>
      </c>
      <c r="J11" s="42" t="str">
        <f>VLOOKUP(H11,[1]坦克个性化设定!$B$18:$E$48,4,FALSE)</f>
        <v>T4</v>
      </c>
      <c r="K11" s="42" t="str">
        <f>VLOOKUP(H11,[1]坦克个性化细分!$I$3:$J$33,2,FALSE)</f>
        <v>中</v>
      </c>
      <c r="M11" s="2">
        <v>8</v>
      </c>
      <c r="N11" s="2" t="s">
        <v>392</v>
      </c>
      <c r="O11" s="2" t="s">
        <v>393</v>
      </c>
      <c r="P11" s="2" t="s">
        <v>394</v>
      </c>
      <c r="Q11" s="2" t="str">
        <f>[1]游戏时长规划!C80</f>
        <v>T3低</v>
      </c>
      <c r="R11" s="2" t="str">
        <f>[1]游戏时长规划!D80</f>
        <v>T3低</v>
      </c>
      <c r="S11" s="2" t="str">
        <f>[1]游戏时长规划!E80</f>
        <v>T3低</v>
      </c>
      <c r="T11" s="32">
        <v>0.57999999999999996</v>
      </c>
      <c r="U11" s="32">
        <v>0.64</v>
      </c>
      <c r="V11" s="32">
        <v>0.8</v>
      </c>
      <c r="W11" s="32">
        <v>0.82</v>
      </c>
      <c r="X11" s="32">
        <v>0.88</v>
      </c>
      <c r="Y11" s="32">
        <v>0.88</v>
      </c>
      <c r="Z11" s="32">
        <v>1</v>
      </c>
      <c r="AA11" s="32">
        <v>1</v>
      </c>
      <c r="AB11" s="32">
        <v>1</v>
      </c>
      <c r="AC11" s="32">
        <v>1</v>
      </c>
      <c r="AD11" s="32">
        <v>1</v>
      </c>
      <c r="AE11" s="32">
        <v>1</v>
      </c>
      <c r="AF11" s="32">
        <v>0.65</v>
      </c>
      <c r="AG11" s="32">
        <v>0.82499999999999996</v>
      </c>
      <c r="AH11" s="32">
        <v>0.94</v>
      </c>
      <c r="AI11" s="32">
        <v>1</v>
      </c>
      <c r="AJ11" s="32">
        <v>1</v>
      </c>
      <c r="AL11" s="1">
        <v>8</v>
      </c>
      <c r="AM11" s="1" t="s">
        <v>392</v>
      </c>
      <c r="AN11" s="1" t="s">
        <v>393</v>
      </c>
      <c r="AO11" s="1" t="s">
        <v>394</v>
      </c>
    </row>
    <row r="12" spans="2:41" x14ac:dyDescent="0.3">
      <c r="B12" s="2" t="s">
        <v>394</v>
      </c>
      <c r="C12" s="42">
        <f>[1]基础经济系数!F41</f>
        <v>7250</v>
      </c>
      <c r="D12" s="33">
        <f t="shared" si="2"/>
        <v>0.05</v>
      </c>
      <c r="E12" s="42">
        <f t="shared" si="0"/>
        <v>363</v>
      </c>
      <c r="F12" s="42">
        <f t="shared" si="1"/>
        <v>91500</v>
      </c>
      <c r="G12" s="124"/>
      <c r="H12" s="2" t="s">
        <v>629</v>
      </c>
      <c r="I12" s="2" t="str">
        <f>VLOOKUP(H12,[1]坦克个性化设定!$B$18:$E$48,3,FALSE)</f>
        <v>轻坦</v>
      </c>
      <c r="J12" s="42" t="str">
        <f>VLOOKUP(H12,[1]坦克个性化设定!$B$18:$E$48,4,FALSE)</f>
        <v>T4</v>
      </c>
      <c r="K12" s="42" t="str">
        <f>VLOOKUP(H12,[1]坦克个性化细分!$I$3:$J$33,2,FALSE)</f>
        <v>高</v>
      </c>
      <c r="M12" s="2">
        <v>9</v>
      </c>
      <c r="N12" s="2" t="s">
        <v>392</v>
      </c>
      <c r="O12" s="2" t="s">
        <v>393</v>
      </c>
      <c r="P12" s="2" t="s">
        <v>394</v>
      </c>
      <c r="Q12" s="2" t="str">
        <f>[1]游戏时长规划!C81</f>
        <v>T4低</v>
      </c>
      <c r="R12" s="2" t="str">
        <f>[1]游戏时长规划!D81</f>
        <v>T4低</v>
      </c>
      <c r="S12" s="2" t="str">
        <f>[1]游戏时长规划!E81</f>
        <v>T3低</v>
      </c>
      <c r="T12" s="32">
        <v>0.52</v>
      </c>
      <c r="U12" s="32">
        <v>0.57999999999999996</v>
      </c>
      <c r="V12" s="32">
        <v>0.76</v>
      </c>
      <c r="W12" s="32">
        <v>0.76</v>
      </c>
      <c r="X12" s="32">
        <v>0.84</v>
      </c>
      <c r="Y12" s="32">
        <v>0.84</v>
      </c>
      <c r="Z12" s="32">
        <v>0.96</v>
      </c>
      <c r="AA12" s="32">
        <v>0.96</v>
      </c>
      <c r="AB12" s="32">
        <v>0.96</v>
      </c>
      <c r="AC12" s="32">
        <v>1</v>
      </c>
      <c r="AD12" s="32">
        <v>1</v>
      </c>
      <c r="AE12" s="32">
        <v>1</v>
      </c>
      <c r="AF12" s="32">
        <v>0.6</v>
      </c>
      <c r="AG12" s="32">
        <v>0.79</v>
      </c>
      <c r="AH12" s="32">
        <v>0.92</v>
      </c>
      <c r="AI12" s="32">
        <v>1</v>
      </c>
      <c r="AJ12" s="32">
        <v>1</v>
      </c>
      <c r="AL12" s="1">
        <v>9</v>
      </c>
      <c r="AM12" s="1" t="s">
        <v>393</v>
      </c>
      <c r="AN12" s="1" t="s">
        <v>394</v>
      </c>
    </row>
    <row r="13" spans="2:41" x14ac:dyDescent="0.3">
      <c r="B13" s="2" t="s">
        <v>395</v>
      </c>
      <c r="C13" s="42">
        <f>[1]基础经济系数!F42</f>
        <v>15600</v>
      </c>
      <c r="D13" s="33">
        <f t="shared" si="2"/>
        <v>0.05</v>
      </c>
      <c r="E13" s="42">
        <f t="shared" si="0"/>
        <v>780</v>
      </c>
      <c r="F13" s="42">
        <f t="shared" si="1"/>
        <v>197000</v>
      </c>
      <c r="G13" s="124"/>
      <c r="H13" s="2" t="s">
        <v>631</v>
      </c>
      <c r="I13" s="2" t="str">
        <f>VLOOKUP(H13,[1]坦克个性化设定!$B$18:$E$48,3,FALSE)</f>
        <v>轻坦</v>
      </c>
      <c r="J13" s="42" t="str">
        <f>VLOOKUP(H13,[1]坦克个性化设定!$B$18:$E$48,4,FALSE)</f>
        <v>T5</v>
      </c>
      <c r="K13" s="42" t="str">
        <f>VLOOKUP(H13,[1]坦克个性化细分!$I$3:$J$33,2,FALSE)</f>
        <v>低</v>
      </c>
      <c r="M13" s="2">
        <v>10</v>
      </c>
      <c r="N13" s="2" t="s">
        <v>392</v>
      </c>
      <c r="O13" s="2" t="s">
        <v>393</v>
      </c>
      <c r="P13" s="2" t="s">
        <v>394</v>
      </c>
      <c r="Q13" s="2" t="str">
        <f>[1]游戏时长规划!C82</f>
        <v>T4低</v>
      </c>
      <c r="R13" s="2" t="str">
        <f>[1]游戏时长规划!D82</f>
        <v>T4低</v>
      </c>
      <c r="S13" s="2" t="str">
        <f>[1]游戏时长规划!E82</f>
        <v>T4低</v>
      </c>
      <c r="T13" s="32">
        <v>0.46</v>
      </c>
      <c r="U13" s="32">
        <v>0.52</v>
      </c>
      <c r="V13" s="32">
        <v>0.72</v>
      </c>
      <c r="W13" s="32">
        <v>0.7</v>
      </c>
      <c r="X13" s="32">
        <v>0.8</v>
      </c>
      <c r="Y13" s="32">
        <v>0.8</v>
      </c>
      <c r="Z13" s="32">
        <v>0.92</v>
      </c>
      <c r="AA13" s="32">
        <v>0.92</v>
      </c>
      <c r="AB13" s="32">
        <v>0.92</v>
      </c>
      <c r="AC13" s="32">
        <v>1</v>
      </c>
      <c r="AD13" s="32">
        <v>1</v>
      </c>
      <c r="AE13" s="32">
        <v>1</v>
      </c>
      <c r="AF13" s="32">
        <v>0.55000000000000004</v>
      </c>
      <c r="AG13" s="32">
        <v>0.755</v>
      </c>
      <c r="AH13" s="32">
        <v>0.9</v>
      </c>
      <c r="AI13" s="32">
        <v>1</v>
      </c>
      <c r="AJ13" s="32">
        <v>1</v>
      </c>
      <c r="AL13" s="1">
        <v>10</v>
      </c>
    </row>
    <row r="14" spans="2:41" x14ac:dyDescent="0.3">
      <c r="B14" s="2" t="s">
        <v>396</v>
      </c>
      <c r="C14" s="42">
        <f>[1]基础经济系数!F43</f>
        <v>18800</v>
      </c>
      <c r="D14" s="33">
        <f t="shared" si="2"/>
        <v>0.05</v>
      </c>
      <c r="E14" s="42">
        <f t="shared" si="0"/>
        <v>940</v>
      </c>
      <c r="F14" s="42">
        <f t="shared" si="1"/>
        <v>237000</v>
      </c>
      <c r="G14" s="124"/>
      <c r="H14" s="2" t="s">
        <v>520</v>
      </c>
      <c r="I14" s="2" t="str">
        <f>VLOOKUP(H14,[1]坦克个性化设定!$B$18:$E$48,3,FALSE)</f>
        <v>中坦</v>
      </c>
      <c r="J14" s="42" t="str">
        <f>VLOOKUP(H14,[1]坦克个性化设定!$B$18:$E$48,4,FALSE)</f>
        <v>T1</v>
      </c>
      <c r="K14" s="42" t="str">
        <f>VLOOKUP(H14,[1]坦克个性化细分!$I$3:$J$33,2,FALSE)</f>
        <v>低</v>
      </c>
      <c r="M14" s="2">
        <v>11</v>
      </c>
      <c r="N14" s="2" t="s">
        <v>395</v>
      </c>
      <c r="O14" s="2" t="s">
        <v>396</v>
      </c>
      <c r="P14" s="2" t="s">
        <v>397</v>
      </c>
      <c r="Q14" s="2" t="str">
        <f>[1]游戏时长规划!C83</f>
        <v>T5低</v>
      </c>
      <c r="R14" s="2" t="str">
        <f>[1]游戏时长规划!D83</f>
        <v>T4低</v>
      </c>
      <c r="S14" s="2" t="str">
        <f>[1]游戏时长规划!E83</f>
        <v>T4低</v>
      </c>
      <c r="T14" s="32">
        <v>0.40000000000000102</v>
      </c>
      <c r="U14" s="32">
        <v>0.46</v>
      </c>
      <c r="V14" s="32">
        <v>0.68000000000000105</v>
      </c>
      <c r="W14" s="32">
        <v>0.64</v>
      </c>
      <c r="X14" s="32">
        <v>0.76</v>
      </c>
      <c r="Y14" s="32">
        <v>0.76</v>
      </c>
      <c r="Z14" s="32">
        <v>0.88</v>
      </c>
      <c r="AA14" s="32">
        <v>0.88</v>
      </c>
      <c r="AB14" s="32">
        <v>0.88</v>
      </c>
      <c r="AC14" s="32">
        <v>0.98</v>
      </c>
      <c r="AD14" s="32">
        <v>0.98</v>
      </c>
      <c r="AE14" s="32">
        <v>0.98</v>
      </c>
      <c r="AF14" s="32">
        <v>0.5</v>
      </c>
      <c r="AG14" s="32">
        <v>0.72</v>
      </c>
      <c r="AH14" s="32">
        <v>0.88</v>
      </c>
      <c r="AI14" s="32">
        <v>1</v>
      </c>
      <c r="AJ14" s="32">
        <v>1</v>
      </c>
    </row>
    <row r="15" spans="2:41" x14ac:dyDescent="0.3">
      <c r="B15" s="2" t="s">
        <v>397</v>
      </c>
      <c r="C15" s="42">
        <f>[1]基础经济系数!F44</f>
        <v>20000</v>
      </c>
      <c r="D15" s="33">
        <f t="shared" si="2"/>
        <v>0.05</v>
      </c>
      <c r="E15" s="42">
        <f t="shared" si="0"/>
        <v>1000</v>
      </c>
      <c r="F15" s="42">
        <f t="shared" si="1"/>
        <v>252500</v>
      </c>
      <c r="G15" s="124"/>
      <c r="H15" s="2" t="s">
        <v>526</v>
      </c>
      <c r="I15" s="2" t="str">
        <f>VLOOKUP(H15,[1]坦克个性化设定!$B$18:$E$48,3,FALSE)</f>
        <v>中坦</v>
      </c>
      <c r="J15" s="42" t="str">
        <f>VLOOKUP(H15,[1]坦克个性化设定!$B$18:$E$48,4,FALSE)</f>
        <v>T2</v>
      </c>
      <c r="K15" s="42" t="str">
        <f>VLOOKUP(H15,[1]坦克个性化细分!$I$3:$J$33,2,FALSE)</f>
        <v>低</v>
      </c>
      <c r="M15" s="2">
        <v>12</v>
      </c>
      <c r="N15" s="2" t="s">
        <v>395</v>
      </c>
      <c r="O15" s="2" t="s">
        <v>396</v>
      </c>
      <c r="P15" s="2" t="s">
        <v>397</v>
      </c>
      <c r="Q15" s="2" t="str">
        <f>[1]游戏时长规划!C84</f>
        <v>T5低</v>
      </c>
      <c r="R15" s="2" t="str">
        <f>[1]游戏时长规划!D84</f>
        <v>T5低</v>
      </c>
      <c r="S15" s="2" t="str">
        <f>[1]游戏时长规划!E84</f>
        <v>T4低</v>
      </c>
      <c r="T15" s="32">
        <v>0.34000000000000102</v>
      </c>
      <c r="U15" s="32">
        <v>0.40000000000000102</v>
      </c>
      <c r="V15" s="32">
        <v>0.64000000000000101</v>
      </c>
      <c r="W15" s="32">
        <v>0.57999999999999996</v>
      </c>
      <c r="X15" s="32">
        <v>0.72</v>
      </c>
      <c r="Y15" s="32">
        <v>0.72</v>
      </c>
      <c r="Z15" s="32">
        <v>0.84</v>
      </c>
      <c r="AA15" s="32">
        <v>0.84</v>
      </c>
      <c r="AB15" s="32">
        <v>0.84</v>
      </c>
      <c r="AC15" s="32">
        <v>0.96</v>
      </c>
      <c r="AD15" s="32">
        <v>0.96</v>
      </c>
      <c r="AE15" s="32">
        <v>0.96</v>
      </c>
      <c r="AF15" s="32">
        <v>0.45</v>
      </c>
      <c r="AG15" s="32">
        <v>0.68500000000000005</v>
      </c>
      <c r="AH15" s="32">
        <v>0.86</v>
      </c>
      <c r="AI15" s="32">
        <v>1</v>
      </c>
      <c r="AJ15" s="32">
        <v>1</v>
      </c>
    </row>
    <row r="16" spans="2:41" x14ac:dyDescent="0.3">
      <c r="B16" s="2" t="s">
        <v>1779</v>
      </c>
      <c r="C16" s="42">
        <f>基础经济系数!H33</f>
        <v>100</v>
      </c>
      <c r="D16" s="33">
        <f t="shared" si="2"/>
        <v>0.05</v>
      </c>
      <c r="E16" s="42">
        <f t="shared" si="0"/>
        <v>5</v>
      </c>
      <c r="F16" s="42">
        <f t="shared" si="1"/>
        <v>1500</v>
      </c>
      <c r="G16" s="124"/>
      <c r="H16" s="2" t="s">
        <v>636</v>
      </c>
      <c r="I16" s="2" t="str">
        <f>VLOOKUP(H16,[1]坦克个性化设定!$B$18:$E$48,3,FALSE)</f>
        <v>中坦</v>
      </c>
      <c r="J16" s="42" t="str">
        <f>VLOOKUP(H16,[1]坦克个性化设定!$B$18:$E$48,4,FALSE)</f>
        <v>T2</v>
      </c>
      <c r="K16" s="42" t="str">
        <f>VLOOKUP(H16,[1]坦克个性化细分!$I$3:$J$33,2,FALSE)</f>
        <v>中</v>
      </c>
    </row>
    <row r="17" spans="2:43" x14ac:dyDescent="0.3">
      <c r="B17" s="2" t="s">
        <v>1780</v>
      </c>
      <c r="C17" s="42">
        <f>基础经济系数!H34</f>
        <v>100</v>
      </c>
      <c r="D17" s="33">
        <f t="shared" si="2"/>
        <v>0.05</v>
      </c>
      <c r="E17" s="42">
        <f t="shared" si="0"/>
        <v>5</v>
      </c>
      <c r="F17" s="42">
        <f t="shared" si="1"/>
        <v>1500</v>
      </c>
      <c r="G17" s="124"/>
      <c r="H17" s="2" t="s">
        <v>534</v>
      </c>
      <c r="I17" s="2" t="str">
        <f>VLOOKUP(H17,[1]坦克个性化设定!$B$18:$E$48,3,FALSE)</f>
        <v>中坦</v>
      </c>
      <c r="J17" s="42" t="str">
        <f>VLOOKUP(H17,[1]坦克个性化设定!$B$18:$E$48,4,FALSE)</f>
        <v>T3</v>
      </c>
      <c r="K17" s="42" t="str">
        <f>VLOOKUP(H17,[1]坦克个性化细分!$I$3:$J$33,2,FALSE)</f>
        <v>低</v>
      </c>
      <c r="M17" s="262" t="s">
        <v>1781</v>
      </c>
      <c r="N17" s="262"/>
      <c r="O17" s="262"/>
      <c r="P17" s="262"/>
      <c r="Q17" s="262"/>
      <c r="R17" s="262"/>
      <c r="S17" s="262"/>
      <c r="T17" s="262"/>
      <c r="U17" s="262"/>
      <c r="V17" s="262"/>
      <c r="W17" s="262"/>
      <c r="X17" s="262"/>
      <c r="Y17" s="262"/>
      <c r="Z17" s="262"/>
      <c r="AA17" s="262"/>
      <c r="AB17" s="262"/>
      <c r="AC17" s="262"/>
      <c r="AD17" s="262"/>
      <c r="AE17" s="262"/>
      <c r="AF17" s="262"/>
      <c r="AG17" s="262"/>
      <c r="AH17" s="262"/>
      <c r="AI17" s="262"/>
      <c r="AJ17" s="262"/>
      <c r="AK17" s="262"/>
      <c r="AL17" s="262"/>
      <c r="AM17" s="262"/>
      <c r="AN17" s="262"/>
      <c r="AO17" s="262"/>
      <c r="AP17" s="262"/>
      <c r="AQ17" s="262"/>
    </row>
    <row r="18" spans="2:43" x14ac:dyDescent="0.3">
      <c r="B18" s="2" t="s">
        <v>1782</v>
      </c>
      <c r="C18" s="42">
        <f>基础经济系数!H35</f>
        <v>133.33333333333334</v>
      </c>
      <c r="D18" s="33">
        <f t="shared" si="2"/>
        <v>0.05</v>
      </c>
      <c r="E18" s="42">
        <f t="shared" si="0"/>
        <v>7</v>
      </c>
      <c r="F18" s="42">
        <f t="shared" si="1"/>
        <v>2000</v>
      </c>
      <c r="G18" s="124"/>
      <c r="H18" s="2" t="s">
        <v>639</v>
      </c>
      <c r="I18" s="2" t="str">
        <f>VLOOKUP(H18,[1]坦克个性化设定!$B$18:$E$48,3,FALSE)</f>
        <v>中坦</v>
      </c>
      <c r="J18" s="42" t="str">
        <f>VLOOKUP(H18,[1]坦克个性化设定!$B$18:$E$48,4,FALSE)</f>
        <v>T3</v>
      </c>
      <c r="K18" s="42" t="str">
        <f>VLOOKUP(H18,[1]坦克个性化细分!$I$3:$J$33,2,FALSE)</f>
        <v>中</v>
      </c>
      <c r="M18" s="2" t="s">
        <v>385</v>
      </c>
      <c r="N18" s="2" t="s">
        <v>518</v>
      </c>
      <c r="O18" s="2" t="s">
        <v>524</v>
      </c>
      <c r="P18" s="2" t="s">
        <v>616</v>
      </c>
      <c r="Q18" s="2" t="s">
        <v>530</v>
      </c>
      <c r="R18" s="2" t="s">
        <v>620</v>
      </c>
      <c r="S18" s="2" t="s">
        <v>622</v>
      </c>
      <c r="T18" s="2" t="s">
        <v>624</v>
      </c>
      <c r="U18" s="2" t="s">
        <v>627</v>
      </c>
      <c r="V18" s="2" t="s">
        <v>629</v>
      </c>
      <c r="W18" s="2" t="s">
        <v>631</v>
      </c>
      <c r="X18" s="2" t="s">
        <v>520</v>
      </c>
      <c r="Y18" s="2" t="s">
        <v>526</v>
      </c>
      <c r="Z18" s="2" t="s">
        <v>636</v>
      </c>
      <c r="AA18" s="2" t="s">
        <v>534</v>
      </c>
      <c r="AB18" s="2" t="s">
        <v>639</v>
      </c>
      <c r="AC18" s="2" t="s">
        <v>641</v>
      </c>
      <c r="AD18" s="2" t="s">
        <v>643</v>
      </c>
      <c r="AE18" s="2" t="s">
        <v>645</v>
      </c>
      <c r="AF18" s="2" t="s">
        <v>647</v>
      </c>
      <c r="AG18" s="2" t="s">
        <v>649</v>
      </c>
      <c r="AH18" s="2" t="s">
        <v>651</v>
      </c>
      <c r="AI18" s="2" t="s">
        <v>653</v>
      </c>
      <c r="AJ18" s="2" t="s">
        <v>655</v>
      </c>
      <c r="AK18" s="2" t="s">
        <v>538</v>
      </c>
      <c r="AL18" s="2" t="s">
        <v>658</v>
      </c>
      <c r="AM18" s="2" t="s">
        <v>660</v>
      </c>
      <c r="AN18" s="2" t="s">
        <v>662</v>
      </c>
      <c r="AO18" s="2" t="s">
        <v>664</v>
      </c>
      <c r="AP18" s="2" t="s">
        <v>666</v>
      </c>
      <c r="AQ18" s="2" t="s">
        <v>668</v>
      </c>
    </row>
    <row r="19" spans="2:43" x14ac:dyDescent="0.3">
      <c r="B19" s="2" t="s">
        <v>1783</v>
      </c>
      <c r="C19" s="42">
        <f>基础经济系数!H36</f>
        <v>68.75</v>
      </c>
      <c r="D19" s="33">
        <f t="shared" si="2"/>
        <v>0.05</v>
      </c>
      <c r="E19" s="42">
        <f t="shared" si="0"/>
        <v>3</v>
      </c>
      <c r="F19" s="42">
        <f t="shared" si="1"/>
        <v>1000</v>
      </c>
      <c r="G19" s="124"/>
      <c r="H19" s="2" t="s">
        <v>641</v>
      </c>
      <c r="I19" s="2" t="str">
        <f>VLOOKUP(H19,[1]坦克个性化设定!$B$18:$E$48,3,FALSE)</f>
        <v>中坦</v>
      </c>
      <c r="J19" s="42" t="str">
        <f>VLOOKUP(H19,[1]坦克个性化设定!$B$18:$E$48,4,FALSE)</f>
        <v>T3</v>
      </c>
      <c r="K19" s="42" t="str">
        <f>VLOOKUP(H19,[1]坦克个性化细分!$I$3:$J$33,2,FALSE)</f>
        <v>高</v>
      </c>
      <c r="M19" s="2">
        <v>1</v>
      </c>
      <c r="N19" s="42">
        <f t="shared" ref="N19:AQ27" si="3">IFERROR(VLOOKUP(VLOOKUP(N$18,$H$3:$K$33,3,FALSE)&amp;VLOOKUP(N$18,$H$3:$K$33,4,FALSE),$B$3:$C$27,2,FALSE)*VLOOKUP($M19,$M$3:$AE$15,MATCH(VLOOKUP(N$18,$H$3:$K$33,3,FALSE)&amp;VLOOKUP(N$18,$H$3:$K$33,4,FALSE),$M$3:$AE$3,0),FALSE),N18)</f>
        <v>300</v>
      </c>
      <c r="O19" s="42">
        <f t="shared" si="3"/>
        <v>600</v>
      </c>
      <c r="P19" s="42">
        <f t="shared" si="3"/>
        <v>800</v>
      </c>
      <c r="Q19" s="42">
        <f t="shared" si="3"/>
        <v>1650</v>
      </c>
      <c r="R19" s="42">
        <f t="shared" si="3"/>
        <v>2100</v>
      </c>
      <c r="S19" s="42">
        <f t="shared" si="3"/>
        <v>2400</v>
      </c>
      <c r="T19" s="42">
        <f t="shared" si="3"/>
        <v>5250</v>
      </c>
      <c r="U19" s="42">
        <f t="shared" si="3"/>
        <v>6500</v>
      </c>
      <c r="V19" s="42">
        <f t="shared" si="3"/>
        <v>7250</v>
      </c>
      <c r="W19" s="42">
        <f t="shared" si="3"/>
        <v>15600</v>
      </c>
      <c r="X19" s="42">
        <f t="shared" si="3"/>
        <v>300</v>
      </c>
      <c r="Y19" s="42">
        <f t="shared" si="3"/>
        <v>600</v>
      </c>
      <c r="Z19" s="42">
        <f t="shared" si="3"/>
        <v>800</v>
      </c>
      <c r="AA19" s="42">
        <f t="shared" si="3"/>
        <v>1650</v>
      </c>
      <c r="AB19" s="42">
        <f t="shared" si="3"/>
        <v>2100</v>
      </c>
      <c r="AC19" s="42">
        <f t="shared" si="3"/>
        <v>2400</v>
      </c>
      <c r="AD19" s="42">
        <f t="shared" si="3"/>
        <v>5250</v>
      </c>
      <c r="AE19" s="42">
        <f t="shared" si="3"/>
        <v>6500</v>
      </c>
      <c r="AF19" s="42">
        <f t="shared" si="3"/>
        <v>7250</v>
      </c>
      <c r="AG19" s="42">
        <f t="shared" si="3"/>
        <v>15600</v>
      </c>
      <c r="AH19" s="42">
        <f t="shared" si="3"/>
        <v>300</v>
      </c>
      <c r="AI19" s="42">
        <f t="shared" si="3"/>
        <v>600</v>
      </c>
      <c r="AJ19" s="42">
        <f t="shared" si="3"/>
        <v>800</v>
      </c>
      <c r="AK19" s="42">
        <f t="shared" si="3"/>
        <v>1650</v>
      </c>
      <c r="AL19" s="42">
        <f t="shared" si="3"/>
        <v>2100</v>
      </c>
      <c r="AM19" s="42">
        <f t="shared" si="3"/>
        <v>2400</v>
      </c>
      <c r="AN19" s="42">
        <f t="shared" si="3"/>
        <v>5250</v>
      </c>
      <c r="AO19" s="42">
        <f t="shared" si="3"/>
        <v>6500</v>
      </c>
      <c r="AP19" s="42">
        <f t="shared" si="3"/>
        <v>7250</v>
      </c>
      <c r="AQ19" s="42">
        <f t="shared" si="3"/>
        <v>15600</v>
      </c>
    </row>
    <row r="20" spans="2:43" x14ac:dyDescent="0.3">
      <c r="B20" s="2" t="s">
        <v>1784</v>
      </c>
      <c r="C20" s="42">
        <f>基础经济系数!H37</f>
        <v>87.5</v>
      </c>
      <c r="D20" s="33">
        <f t="shared" si="2"/>
        <v>0.05</v>
      </c>
      <c r="E20" s="42">
        <f t="shared" si="0"/>
        <v>4</v>
      </c>
      <c r="F20" s="42">
        <f t="shared" si="1"/>
        <v>1000</v>
      </c>
      <c r="G20" s="124"/>
      <c r="H20" s="2" t="s">
        <v>643</v>
      </c>
      <c r="I20" s="2" t="str">
        <f>VLOOKUP(H20,[1]坦克个性化设定!$B$18:$E$48,3,FALSE)</f>
        <v>中坦</v>
      </c>
      <c r="J20" s="42" t="str">
        <f>VLOOKUP(H20,[1]坦克个性化设定!$B$18:$E$48,4,FALSE)</f>
        <v>T4</v>
      </c>
      <c r="K20" s="42" t="str">
        <f>VLOOKUP(H20,[1]坦克个性化细分!$I$3:$J$33,2,FALSE)</f>
        <v>低</v>
      </c>
      <c r="M20" s="2">
        <v>2</v>
      </c>
      <c r="N20" s="42">
        <f t="shared" si="3"/>
        <v>282</v>
      </c>
      <c r="O20" s="42">
        <f t="shared" si="3"/>
        <v>600</v>
      </c>
      <c r="P20" s="42">
        <f t="shared" si="3"/>
        <v>800</v>
      </c>
      <c r="Q20" s="42">
        <f t="shared" si="3"/>
        <v>1650</v>
      </c>
      <c r="R20" s="42">
        <f t="shared" si="3"/>
        <v>2100</v>
      </c>
      <c r="S20" s="42">
        <f t="shared" si="3"/>
        <v>2400</v>
      </c>
      <c r="T20" s="42">
        <f t="shared" si="3"/>
        <v>5250</v>
      </c>
      <c r="U20" s="42">
        <f t="shared" si="3"/>
        <v>6500</v>
      </c>
      <c r="V20" s="42">
        <f t="shared" si="3"/>
        <v>7250</v>
      </c>
      <c r="W20" s="42">
        <f t="shared" si="3"/>
        <v>15600</v>
      </c>
      <c r="X20" s="42">
        <f t="shared" si="3"/>
        <v>282</v>
      </c>
      <c r="Y20" s="42">
        <f t="shared" si="3"/>
        <v>600</v>
      </c>
      <c r="Z20" s="42">
        <f t="shared" si="3"/>
        <v>800</v>
      </c>
      <c r="AA20" s="42">
        <f t="shared" si="3"/>
        <v>1650</v>
      </c>
      <c r="AB20" s="42">
        <f t="shared" si="3"/>
        <v>2100</v>
      </c>
      <c r="AC20" s="42">
        <f t="shared" si="3"/>
        <v>2400</v>
      </c>
      <c r="AD20" s="42">
        <f t="shared" si="3"/>
        <v>5250</v>
      </c>
      <c r="AE20" s="42">
        <f t="shared" si="3"/>
        <v>6500</v>
      </c>
      <c r="AF20" s="42">
        <f t="shared" si="3"/>
        <v>7250</v>
      </c>
      <c r="AG20" s="42">
        <f t="shared" si="3"/>
        <v>15600</v>
      </c>
      <c r="AH20" s="42">
        <f t="shared" si="3"/>
        <v>282</v>
      </c>
      <c r="AI20" s="42">
        <f t="shared" si="3"/>
        <v>600</v>
      </c>
      <c r="AJ20" s="42">
        <f t="shared" si="3"/>
        <v>800</v>
      </c>
      <c r="AK20" s="42">
        <f t="shared" si="3"/>
        <v>1650</v>
      </c>
      <c r="AL20" s="42">
        <f t="shared" si="3"/>
        <v>2100</v>
      </c>
      <c r="AM20" s="42">
        <f t="shared" si="3"/>
        <v>2400</v>
      </c>
      <c r="AN20" s="42">
        <f t="shared" si="3"/>
        <v>5250</v>
      </c>
      <c r="AO20" s="42">
        <f t="shared" si="3"/>
        <v>6500</v>
      </c>
      <c r="AP20" s="42">
        <f t="shared" si="3"/>
        <v>7250</v>
      </c>
      <c r="AQ20" s="42">
        <f t="shared" si="3"/>
        <v>15600</v>
      </c>
    </row>
    <row r="21" spans="2:43" x14ac:dyDescent="0.3">
      <c r="B21" s="2" t="s">
        <v>1785</v>
      </c>
      <c r="C21" s="42">
        <f>基础经济系数!H38</f>
        <v>100</v>
      </c>
      <c r="D21" s="33">
        <f t="shared" si="2"/>
        <v>0.05</v>
      </c>
      <c r="E21" s="42">
        <f t="shared" si="0"/>
        <v>5</v>
      </c>
      <c r="F21" s="42">
        <f t="shared" si="1"/>
        <v>1500</v>
      </c>
      <c r="G21" s="124"/>
      <c r="H21" s="2" t="s">
        <v>645</v>
      </c>
      <c r="I21" s="2" t="str">
        <f>VLOOKUP(H21,[1]坦克个性化设定!$B$18:$E$48,3,FALSE)</f>
        <v>中坦</v>
      </c>
      <c r="J21" s="42" t="str">
        <f>VLOOKUP(H21,[1]坦克个性化设定!$B$18:$E$48,4,FALSE)</f>
        <v>T4</v>
      </c>
      <c r="K21" s="42" t="str">
        <f>VLOOKUP(H21,[1]坦克个性化细分!$I$3:$J$33,2,FALSE)</f>
        <v>中</v>
      </c>
      <c r="M21" s="2">
        <v>3</v>
      </c>
      <c r="N21" s="42">
        <f t="shared" si="3"/>
        <v>264</v>
      </c>
      <c r="O21" s="42">
        <f t="shared" si="3"/>
        <v>564</v>
      </c>
      <c r="P21" s="42">
        <f t="shared" si="3"/>
        <v>800</v>
      </c>
      <c r="Q21" s="42">
        <f t="shared" si="3"/>
        <v>1650</v>
      </c>
      <c r="R21" s="42">
        <f t="shared" si="3"/>
        <v>2100</v>
      </c>
      <c r="S21" s="42">
        <f t="shared" si="3"/>
        <v>2400</v>
      </c>
      <c r="T21" s="42">
        <f t="shared" si="3"/>
        <v>5250</v>
      </c>
      <c r="U21" s="42">
        <f t="shared" si="3"/>
        <v>6500</v>
      </c>
      <c r="V21" s="42">
        <f t="shared" si="3"/>
        <v>7250</v>
      </c>
      <c r="W21" s="42">
        <f t="shared" si="3"/>
        <v>15600</v>
      </c>
      <c r="X21" s="42">
        <f t="shared" si="3"/>
        <v>264</v>
      </c>
      <c r="Y21" s="42">
        <f t="shared" si="3"/>
        <v>564</v>
      </c>
      <c r="Z21" s="42">
        <f t="shared" si="3"/>
        <v>800</v>
      </c>
      <c r="AA21" s="42">
        <f t="shared" si="3"/>
        <v>1650</v>
      </c>
      <c r="AB21" s="42">
        <f t="shared" si="3"/>
        <v>2100</v>
      </c>
      <c r="AC21" s="42">
        <f t="shared" si="3"/>
        <v>2400</v>
      </c>
      <c r="AD21" s="42">
        <f t="shared" si="3"/>
        <v>5250</v>
      </c>
      <c r="AE21" s="42">
        <f t="shared" si="3"/>
        <v>6500</v>
      </c>
      <c r="AF21" s="42">
        <f t="shared" si="3"/>
        <v>7250</v>
      </c>
      <c r="AG21" s="42">
        <f t="shared" si="3"/>
        <v>15600</v>
      </c>
      <c r="AH21" s="42">
        <f t="shared" si="3"/>
        <v>264</v>
      </c>
      <c r="AI21" s="42">
        <f t="shared" si="3"/>
        <v>564</v>
      </c>
      <c r="AJ21" s="42">
        <f t="shared" si="3"/>
        <v>800</v>
      </c>
      <c r="AK21" s="42">
        <f t="shared" si="3"/>
        <v>1650</v>
      </c>
      <c r="AL21" s="42">
        <f t="shared" si="3"/>
        <v>2100</v>
      </c>
      <c r="AM21" s="42">
        <f t="shared" si="3"/>
        <v>2400</v>
      </c>
      <c r="AN21" s="42">
        <f t="shared" si="3"/>
        <v>5250</v>
      </c>
      <c r="AO21" s="42">
        <f t="shared" si="3"/>
        <v>6500</v>
      </c>
      <c r="AP21" s="42">
        <f t="shared" si="3"/>
        <v>7250</v>
      </c>
      <c r="AQ21" s="42">
        <f t="shared" si="3"/>
        <v>15600</v>
      </c>
    </row>
    <row r="22" spans="2:43" x14ac:dyDescent="0.3">
      <c r="B22" s="2" t="s">
        <v>1786</v>
      </c>
      <c r="C22" s="42">
        <f>基础经济系数!H39</f>
        <v>105</v>
      </c>
      <c r="D22" s="33">
        <f t="shared" si="2"/>
        <v>0.05</v>
      </c>
      <c r="E22" s="42">
        <f t="shared" si="0"/>
        <v>5</v>
      </c>
      <c r="F22" s="42">
        <f t="shared" si="1"/>
        <v>1500</v>
      </c>
      <c r="G22" s="124"/>
      <c r="H22" s="2" t="s">
        <v>647</v>
      </c>
      <c r="I22" s="2" t="str">
        <f>VLOOKUP(H22,[1]坦克个性化设定!$B$18:$E$48,3,FALSE)</f>
        <v>中坦</v>
      </c>
      <c r="J22" s="42" t="str">
        <f>VLOOKUP(H22,[1]坦克个性化设定!$B$18:$E$48,4,FALSE)</f>
        <v>T4</v>
      </c>
      <c r="K22" s="42" t="str">
        <f>VLOOKUP(H22,[1]坦克个性化细分!$I$3:$J$33,2,FALSE)</f>
        <v>高</v>
      </c>
      <c r="M22" s="2">
        <v>4</v>
      </c>
      <c r="N22" s="42">
        <f t="shared" si="3"/>
        <v>245.99999999999997</v>
      </c>
      <c r="O22" s="42">
        <f t="shared" si="3"/>
        <v>528</v>
      </c>
      <c r="P22" s="42">
        <f t="shared" si="3"/>
        <v>768</v>
      </c>
      <c r="Q22" s="42">
        <f t="shared" si="3"/>
        <v>1650</v>
      </c>
      <c r="R22" s="42">
        <f t="shared" si="3"/>
        <v>2100</v>
      </c>
      <c r="S22" s="42">
        <f t="shared" si="3"/>
        <v>2400</v>
      </c>
      <c r="T22" s="42">
        <f t="shared" si="3"/>
        <v>5250</v>
      </c>
      <c r="U22" s="42">
        <f t="shared" si="3"/>
        <v>6500</v>
      </c>
      <c r="V22" s="42">
        <f t="shared" si="3"/>
        <v>7250</v>
      </c>
      <c r="W22" s="42">
        <f t="shared" si="3"/>
        <v>15600</v>
      </c>
      <c r="X22" s="42">
        <f t="shared" si="3"/>
        <v>245.99999999999997</v>
      </c>
      <c r="Y22" s="42">
        <f t="shared" si="3"/>
        <v>528</v>
      </c>
      <c r="Z22" s="42">
        <f t="shared" si="3"/>
        <v>768</v>
      </c>
      <c r="AA22" s="42">
        <f t="shared" si="3"/>
        <v>1650</v>
      </c>
      <c r="AB22" s="42">
        <f t="shared" si="3"/>
        <v>2100</v>
      </c>
      <c r="AC22" s="42">
        <f t="shared" si="3"/>
        <v>2400</v>
      </c>
      <c r="AD22" s="42">
        <f t="shared" si="3"/>
        <v>5250</v>
      </c>
      <c r="AE22" s="42">
        <f t="shared" si="3"/>
        <v>6500</v>
      </c>
      <c r="AF22" s="42">
        <f t="shared" si="3"/>
        <v>7250</v>
      </c>
      <c r="AG22" s="42">
        <f t="shared" si="3"/>
        <v>15600</v>
      </c>
      <c r="AH22" s="42">
        <f t="shared" si="3"/>
        <v>245.99999999999997</v>
      </c>
      <c r="AI22" s="42">
        <f t="shared" si="3"/>
        <v>528</v>
      </c>
      <c r="AJ22" s="42">
        <f t="shared" si="3"/>
        <v>768</v>
      </c>
      <c r="AK22" s="42">
        <f t="shared" si="3"/>
        <v>1650</v>
      </c>
      <c r="AL22" s="42">
        <f t="shared" si="3"/>
        <v>2100</v>
      </c>
      <c r="AM22" s="42">
        <f t="shared" si="3"/>
        <v>2400</v>
      </c>
      <c r="AN22" s="42">
        <f t="shared" si="3"/>
        <v>5250</v>
      </c>
      <c r="AO22" s="42">
        <f t="shared" si="3"/>
        <v>6500</v>
      </c>
      <c r="AP22" s="42">
        <f t="shared" si="3"/>
        <v>7250</v>
      </c>
      <c r="AQ22" s="42">
        <f t="shared" si="3"/>
        <v>15600</v>
      </c>
    </row>
    <row r="23" spans="2:43" x14ac:dyDescent="0.3">
      <c r="B23" s="2" t="s">
        <v>1787</v>
      </c>
      <c r="C23" s="42">
        <f>基础经济系数!H40</f>
        <v>130</v>
      </c>
      <c r="D23" s="33">
        <f t="shared" si="2"/>
        <v>0.05</v>
      </c>
      <c r="E23" s="42">
        <f t="shared" si="0"/>
        <v>7</v>
      </c>
      <c r="F23" s="42">
        <f t="shared" si="1"/>
        <v>2000</v>
      </c>
      <c r="G23" s="124"/>
      <c r="H23" s="2" t="s">
        <v>649</v>
      </c>
      <c r="I23" s="2" t="str">
        <f>VLOOKUP(H23,[1]坦克个性化设定!$B$18:$E$48,3,FALSE)</f>
        <v>中坦</v>
      </c>
      <c r="J23" s="42" t="str">
        <f>VLOOKUP(H23,[1]坦克个性化设定!$B$18:$E$48,4,FALSE)</f>
        <v>T5</v>
      </c>
      <c r="K23" s="42" t="str">
        <f>VLOOKUP(H23,[1]坦克个性化细分!$I$3:$J$33,2,FALSE)</f>
        <v>低</v>
      </c>
      <c r="M23" s="2">
        <v>5</v>
      </c>
      <c r="N23" s="42">
        <f t="shared" si="3"/>
        <v>228</v>
      </c>
      <c r="O23" s="42">
        <f t="shared" si="3"/>
        <v>491.99999999999994</v>
      </c>
      <c r="P23" s="42">
        <f t="shared" si="3"/>
        <v>736</v>
      </c>
      <c r="Q23" s="42">
        <f t="shared" si="3"/>
        <v>1650</v>
      </c>
      <c r="R23" s="42">
        <f t="shared" si="3"/>
        <v>2100</v>
      </c>
      <c r="S23" s="42">
        <f t="shared" si="3"/>
        <v>2400</v>
      </c>
      <c r="T23" s="42">
        <f t="shared" si="3"/>
        <v>5250</v>
      </c>
      <c r="U23" s="42">
        <f t="shared" si="3"/>
        <v>6500</v>
      </c>
      <c r="V23" s="42">
        <f t="shared" si="3"/>
        <v>7250</v>
      </c>
      <c r="W23" s="42">
        <f t="shared" si="3"/>
        <v>15600</v>
      </c>
      <c r="X23" s="42">
        <f t="shared" si="3"/>
        <v>228</v>
      </c>
      <c r="Y23" s="42">
        <f t="shared" si="3"/>
        <v>491.99999999999994</v>
      </c>
      <c r="Z23" s="42">
        <f t="shared" si="3"/>
        <v>736</v>
      </c>
      <c r="AA23" s="42">
        <f t="shared" si="3"/>
        <v>1650</v>
      </c>
      <c r="AB23" s="42">
        <f t="shared" si="3"/>
        <v>2100</v>
      </c>
      <c r="AC23" s="42">
        <f t="shared" si="3"/>
        <v>2400</v>
      </c>
      <c r="AD23" s="42">
        <f t="shared" si="3"/>
        <v>5250</v>
      </c>
      <c r="AE23" s="42">
        <f t="shared" si="3"/>
        <v>6500</v>
      </c>
      <c r="AF23" s="42">
        <f t="shared" si="3"/>
        <v>7250</v>
      </c>
      <c r="AG23" s="42">
        <f t="shared" si="3"/>
        <v>15600</v>
      </c>
      <c r="AH23" s="42">
        <f t="shared" si="3"/>
        <v>228</v>
      </c>
      <c r="AI23" s="42">
        <f t="shared" si="3"/>
        <v>491.99999999999994</v>
      </c>
      <c r="AJ23" s="42">
        <f t="shared" si="3"/>
        <v>736</v>
      </c>
      <c r="AK23" s="42">
        <f t="shared" si="3"/>
        <v>1650</v>
      </c>
      <c r="AL23" s="42">
        <f t="shared" si="3"/>
        <v>2100</v>
      </c>
      <c r="AM23" s="42">
        <f t="shared" si="3"/>
        <v>2400</v>
      </c>
      <c r="AN23" s="42">
        <f t="shared" si="3"/>
        <v>5250</v>
      </c>
      <c r="AO23" s="42">
        <f t="shared" si="3"/>
        <v>6500</v>
      </c>
      <c r="AP23" s="42">
        <f t="shared" si="3"/>
        <v>7250</v>
      </c>
      <c r="AQ23" s="42">
        <f t="shared" si="3"/>
        <v>15600</v>
      </c>
    </row>
    <row r="24" spans="2:43" x14ac:dyDescent="0.3">
      <c r="B24" s="2" t="s">
        <v>1788</v>
      </c>
      <c r="C24" s="42">
        <f>基础经济系数!H41</f>
        <v>145</v>
      </c>
      <c r="D24" s="33">
        <f t="shared" si="2"/>
        <v>0.05</v>
      </c>
      <c r="E24" s="42">
        <f t="shared" si="0"/>
        <v>7</v>
      </c>
      <c r="F24" s="42">
        <f t="shared" si="1"/>
        <v>2000</v>
      </c>
      <c r="G24" s="124"/>
      <c r="H24" s="2" t="s">
        <v>651</v>
      </c>
      <c r="I24" s="2" t="str">
        <f>VLOOKUP(H24,[1]坦克个性化设定!$B$18:$E$48,3,FALSE)</f>
        <v>重坦</v>
      </c>
      <c r="J24" s="42" t="str">
        <f>VLOOKUP(H24,[1]坦克个性化设定!$B$18:$E$48,4,FALSE)</f>
        <v>T1</v>
      </c>
      <c r="K24" s="42" t="str">
        <f>VLOOKUP(H24,[1]坦克个性化细分!$I$3:$J$33,2,FALSE)</f>
        <v>低</v>
      </c>
      <c r="M24" s="2">
        <v>6</v>
      </c>
      <c r="N24" s="42">
        <f t="shared" si="3"/>
        <v>210</v>
      </c>
      <c r="O24" s="42">
        <f t="shared" si="3"/>
        <v>456</v>
      </c>
      <c r="P24" s="42">
        <f t="shared" si="3"/>
        <v>704</v>
      </c>
      <c r="Q24" s="42">
        <f t="shared" si="3"/>
        <v>1551</v>
      </c>
      <c r="R24" s="42">
        <f t="shared" si="3"/>
        <v>2016</v>
      </c>
      <c r="S24" s="42">
        <f t="shared" si="3"/>
        <v>2304</v>
      </c>
      <c r="T24" s="42">
        <f t="shared" si="3"/>
        <v>5250</v>
      </c>
      <c r="U24" s="42">
        <f t="shared" si="3"/>
        <v>6500</v>
      </c>
      <c r="V24" s="42">
        <f t="shared" si="3"/>
        <v>7250</v>
      </c>
      <c r="W24" s="42">
        <f t="shared" si="3"/>
        <v>15600</v>
      </c>
      <c r="X24" s="42">
        <f t="shared" si="3"/>
        <v>210</v>
      </c>
      <c r="Y24" s="42">
        <f t="shared" si="3"/>
        <v>456</v>
      </c>
      <c r="Z24" s="42">
        <f t="shared" si="3"/>
        <v>704</v>
      </c>
      <c r="AA24" s="42">
        <f t="shared" si="3"/>
        <v>1551</v>
      </c>
      <c r="AB24" s="42">
        <f t="shared" si="3"/>
        <v>2016</v>
      </c>
      <c r="AC24" s="42">
        <f t="shared" si="3"/>
        <v>2304</v>
      </c>
      <c r="AD24" s="42">
        <f t="shared" si="3"/>
        <v>5250</v>
      </c>
      <c r="AE24" s="42">
        <f t="shared" si="3"/>
        <v>6500</v>
      </c>
      <c r="AF24" s="42">
        <f t="shared" si="3"/>
        <v>7250</v>
      </c>
      <c r="AG24" s="42">
        <f t="shared" si="3"/>
        <v>15600</v>
      </c>
      <c r="AH24" s="42">
        <f t="shared" si="3"/>
        <v>210</v>
      </c>
      <c r="AI24" s="42">
        <f t="shared" si="3"/>
        <v>456</v>
      </c>
      <c r="AJ24" s="42">
        <f t="shared" si="3"/>
        <v>704</v>
      </c>
      <c r="AK24" s="42">
        <f t="shared" si="3"/>
        <v>1551</v>
      </c>
      <c r="AL24" s="42">
        <f t="shared" si="3"/>
        <v>2016</v>
      </c>
      <c r="AM24" s="42">
        <f t="shared" si="3"/>
        <v>2304</v>
      </c>
      <c r="AN24" s="42">
        <f t="shared" si="3"/>
        <v>5250</v>
      </c>
      <c r="AO24" s="42">
        <f t="shared" si="3"/>
        <v>6500</v>
      </c>
      <c r="AP24" s="42">
        <f t="shared" si="3"/>
        <v>7250</v>
      </c>
      <c r="AQ24" s="42">
        <f t="shared" si="3"/>
        <v>15600</v>
      </c>
    </row>
    <row r="25" spans="2:43" x14ac:dyDescent="0.3">
      <c r="B25" s="2" t="s">
        <v>1789</v>
      </c>
      <c r="C25" s="42">
        <f>基础经济系数!H42</f>
        <v>195</v>
      </c>
      <c r="D25" s="33">
        <f t="shared" si="2"/>
        <v>0.05</v>
      </c>
      <c r="E25" s="42">
        <f t="shared" si="0"/>
        <v>10</v>
      </c>
      <c r="F25" s="42">
        <f t="shared" si="1"/>
        <v>2500</v>
      </c>
      <c r="G25" s="124"/>
      <c r="H25" s="2" t="s">
        <v>653</v>
      </c>
      <c r="I25" s="2" t="str">
        <f>VLOOKUP(H25,[1]坦克个性化设定!$B$18:$E$48,3,FALSE)</f>
        <v>重坦</v>
      </c>
      <c r="J25" s="42" t="str">
        <f>VLOOKUP(H25,[1]坦克个性化设定!$B$18:$E$48,4,FALSE)</f>
        <v>T2</v>
      </c>
      <c r="K25" s="42" t="str">
        <f>VLOOKUP(H25,[1]坦克个性化细分!$I$3:$J$33,2,FALSE)</f>
        <v>低</v>
      </c>
      <c r="M25" s="2">
        <v>7</v>
      </c>
      <c r="N25" s="42">
        <f t="shared" si="3"/>
        <v>192</v>
      </c>
      <c r="O25" s="42">
        <f t="shared" si="3"/>
        <v>420</v>
      </c>
      <c r="P25" s="42">
        <f t="shared" si="3"/>
        <v>672</v>
      </c>
      <c r="Q25" s="42">
        <f t="shared" si="3"/>
        <v>1452</v>
      </c>
      <c r="R25" s="42">
        <f t="shared" si="3"/>
        <v>1932</v>
      </c>
      <c r="S25" s="42">
        <f t="shared" si="3"/>
        <v>2208</v>
      </c>
      <c r="T25" s="42">
        <f t="shared" si="3"/>
        <v>5250</v>
      </c>
      <c r="U25" s="42">
        <f t="shared" si="3"/>
        <v>6500</v>
      </c>
      <c r="V25" s="42">
        <f t="shared" si="3"/>
        <v>7250</v>
      </c>
      <c r="W25" s="42">
        <f t="shared" si="3"/>
        <v>15600</v>
      </c>
      <c r="X25" s="42">
        <f t="shared" si="3"/>
        <v>192</v>
      </c>
      <c r="Y25" s="42">
        <f t="shared" si="3"/>
        <v>420</v>
      </c>
      <c r="Z25" s="42">
        <f t="shared" si="3"/>
        <v>672</v>
      </c>
      <c r="AA25" s="42">
        <f t="shared" si="3"/>
        <v>1452</v>
      </c>
      <c r="AB25" s="42">
        <f t="shared" si="3"/>
        <v>1932</v>
      </c>
      <c r="AC25" s="42">
        <f t="shared" si="3"/>
        <v>2208</v>
      </c>
      <c r="AD25" s="42">
        <f t="shared" si="3"/>
        <v>5250</v>
      </c>
      <c r="AE25" s="42">
        <f t="shared" si="3"/>
        <v>6500</v>
      </c>
      <c r="AF25" s="42">
        <f t="shared" si="3"/>
        <v>7250</v>
      </c>
      <c r="AG25" s="42">
        <f t="shared" si="3"/>
        <v>15600</v>
      </c>
      <c r="AH25" s="42">
        <f t="shared" si="3"/>
        <v>192</v>
      </c>
      <c r="AI25" s="42">
        <f t="shared" si="3"/>
        <v>420</v>
      </c>
      <c r="AJ25" s="42">
        <f t="shared" si="3"/>
        <v>672</v>
      </c>
      <c r="AK25" s="42">
        <f t="shared" si="3"/>
        <v>1452</v>
      </c>
      <c r="AL25" s="42">
        <f t="shared" si="3"/>
        <v>1932</v>
      </c>
      <c r="AM25" s="42">
        <f t="shared" si="3"/>
        <v>2208</v>
      </c>
      <c r="AN25" s="42">
        <f t="shared" si="3"/>
        <v>5250</v>
      </c>
      <c r="AO25" s="42">
        <f t="shared" si="3"/>
        <v>6500</v>
      </c>
      <c r="AP25" s="42">
        <f t="shared" si="3"/>
        <v>7250</v>
      </c>
      <c r="AQ25" s="42">
        <f t="shared" si="3"/>
        <v>15600</v>
      </c>
    </row>
    <row r="26" spans="2:43" x14ac:dyDescent="0.3">
      <c r="B26" s="2" t="s">
        <v>1790</v>
      </c>
      <c r="C26" s="42" t="e">
        <f>基础经济系数!H43</f>
        <v>#N/A</v>
      </c>
      <c r="D26" s="33">
        <f t="shared" si="2"/>
        <v>0.05</v>
      </c>
      <c r="E26" s="42" t="e">
        <f t="shared" si="0"/>
        <v>#N/A</v>
      </c>
      <c r="F26" s="42" t="e">
        <f t="shared" si="1"/>
        <v>#N/A</v>
      </c>
      <c r="G26" s="124"/>
      <c r="H26" s="2" t="s">
        <v>655</v>
      </c>
      <c r="I26" s="2" t="str">
        <f>VLOOKUP(H26,[1]坦克个性化设定!$B$18:$E$48,3,FALSE)</f>
        <v>重坦</v>
      </c>
      <c r="J26" s="42" t="str">
        <f>VLOOKUP(H26,[1]坦克个性化设定!$B$18:$E$48,4,FALSE)</f>
        <v>T2</v>
      </c>
      <c r="K26" s="42" t="str">
        <f>VLOOKUP(H26,[1]坦克个性化细分!$I$3:$J$33,2,FALSE)</f>
        <v>中</v>
      </c>
      <c r="M26" s="2">
        <v>8</v>
      </c>
      <c r="N26" s="42">
        <f t="shared" si="3"/>
        <v>174</v>
      </c>
      <c r="O26" s="42">
        <f t="shared" si="3"/>
        <v>384</v>
      </c>
      <c r="P26" s="42">
        <f t="shared" si="3"/>
        <v>640</v>
      </c>
      <c r="Q26" s="42">
        <f t="shared" si="3"/>
        <v>1353</v>
      </c>
      <c r="R26" s="42">
        <f t="shared" si="3"/>
        <v>1848</v>
      </c>
      <c r="S26" s="42">
        <f t="shared" si="3"/>
        <v>2112</v>
      </c>
      <c r="T26" s="42">
        <f t="shared" si="3"/>
        <v>5250</v>
      </c>
      <c r="U26" s="42">
        <f t="shared" si="3"/>
        <v>6500</v>
      </c>
      <c r="V26" s="42">
        <f t="shared" si="3"/>
        <v>7250</v>
      </c>
      <c r="W26" s="42">
        <f t="shared" si="3"/>
        <v>15600</v>
      </c>
      <c r="X26" s="42">
        <f t="shared" si="3"/>
        <v>174</v>
      </c>
      <c r="Y26" s="42">
        <f t="shared" si="3"/>
        <v>384</v>
      </c>
      <c r="Z26" s="42">
        <f t="shared" si="3"/>
        <v>640</v>
      </c>
      <c r="AA26" s="42">
        <f t="shared" si="3"/>
        <v>1353</v>
      </c>
      <c r="AB26" s="42">
        <f t="shared" si="3"/>
        <v>1848</v>
      </c>
      <c r="AC26" s="42">
        <f t="shared" si="3"/>
        <v>2112</v>
      </c>
      <c r="AD26" s="42">
        <f t="shared" si="3"/>
        <v>5250</v>
      </c>
      <c r="AE26" s="42">
        <f t="shared" si="3"/>
        <v>6500</v>
      </c>
      <c r="AF26" s="42">
        <f t="shared" si="3"/>
        <v>7250</v>
      </c>
      <c r="AG26" s="42">
        <f t="shared" si="3"/>
        <v>15600</v>
      </c>
      <c r="AH26" s="42">
        <f t="shared" si="3"/>
        <v>174</v>
      </c>
      <c r="AI26" s="42">
        <f t="shared" si="3"/>
        <v>384</v>
      </c>
      <c r="AJ26" s="42">
        <f t="shared" si="3"/>
        <v>640</v>
      </c>
      <c r="AK26" s="42">
        <f t="shared" si="3"/>
        <v>1353</v>
      </c>
      <c r="AL26" s="42">
        <f t="shared" si="3"/>
        <v>1848</v>
      </c>
      <c r="AM26" s="42">
        <f t="shared" si="3"/>
        <v>2112</v>
      </c>
      <c r="AN26" s="42">
        <f t="shared" si="3"/>
        <v>5250</v>
      </c>
      <c r="AO26" s="42">
        <f t="shared" si="3"/>
        <v>6500</v>
      </c>
      <c r="AP26" s="42">
        <f t="shared" si="3"/>
        <v>7250</v>
      </c>
      <c r="AQ26" s="42">
        <f t="shared" si="3"/>
        <v>15600</v>
      </c>
    </row>
    <row r="27" spans="2:43" x14ac:dyDescent="0.3">
      <c r="B27" s="2" t="s">
        <v>1791</v>
      </c>
      <c r="C27" s="42" t="e">
        <f>基础经济系数!H44</f>
        <v>#N/A</v>
      </c>
      <c r="D27" s="33">
        <f t="shared" si="2"/>
        <v>0.05</v>
      </c>
      <c r="E27" s="42" t="e">
        <f t="shared" si="0"/>
        <v>#N/A</v>
      </c>
      <c r="F27" s="42" t="e">
        <f t="shared" si="1"/>
        <v>#N/A</v>
      </c>
      <c r="G27" s="124"/>
      <c r="H27" s="2" t="s">
        <v>538</v>
      </c>
      <c r="I27" s="2" t="str">
        <f>VLOOKUP(H27,[1]坦克个性化设定!$B$18:$E$48,3,FALSE)</f>
        <v>重坦</v>
      </c>
      <c r="J27" s="42" t="str">
        <f>VLOOKUP(H27,[1]坦克个性化设定!$B$18:$E$48,4,FALSE)</f>
        <v>T3</v>
      </c>
      <c r="K27" s="42" t="str">
        <f>VLOOKUP(H27,[1]坦克个性化细分!$I$3:$J$33,2,FALSE)</f>
        <v>低</v>
      </c>
      <c r="M27" s="2">
        <v>9</v>
      </c>
      <c r="N27" s="42">
        <f t="shared" si="3"/>
        <v>156</v>
      </c>
      <c r="O27" s="42">
        <f t="shared" si="3"/>
        <v>348</v>
      </c>
      <c r="P27" s="42">
        <f t="shared" si="3"/>
        <v>608</v>
      </c>
      <c r="Q27" s="42">
        <f t="shared" si="3"/>
        <v>1254</v>
      </c>
      <c r="R27" s="42">
        <f t="shared" si="3"/>
        <v>1764</v>
      </c>
      <c r="S27" s="42">
        <f t="shared" si="3"/>
        <v>2016</v>
      </c>
      <c r="T27" s="42">
        <f t="shared" si="3"/>
        <v>5040</v>
      </c>
      <c r="U27" s="42">
        <f t="shared" si="3"/>
        <v>6240</v>
      </c>
      <c r="V27" s="42">
        <f t="shared" si="3"/>
        <v>6960</v>
      </c>
      <c r="W27" s="42">
        <f t="shared" si="3"/>
        <v>15600</v>
      </c>
      <c r="X27" s="42">
        <f t="shared" si="3"/>
        <v>156</v>
      </c>
      <c r="Y27" s="42">
        <f t="shared" si="3"/>
        <v>348</v>
      </c>
      <c r="Z27" s="42">
        <f t="shared" si="3"/>
        <v>608</v>
      </c>
      <c r="AA27" s="42">
        <f t="shared" si="3"/>
        <v>1254</v>
      </c>
      <c r="AB27" s="42">
        <f t="shared" si="3"/>
        <v>1764</v>
      </c>
      <c r="AC27" s="42">
        <f t="shared" ref="AC27:AQ42" si="4">IFERROR(VLOOKUP(VLOOKUP(AC$18,$H$3:$K$33,3,FALSE)&amp;VLOOKUP(AC$18,$H$3:$K$33,4,FALSE),$B$3:$C$27,2,FALSE)*VLOOKUP($M27,$M$3:$AE$15,MATCH(VLOOKUP(AC$18,$H$3:$K$33,3,FALSE)&amp;VLOOKUP(AC$18,$H$3:$K$33,4,FALSE),$M$3:$AE$3,0),FALSE),AC26)</f>
        <v>2016</v>
      </c>
      <c r="AD27" s="42">
        <f t="shared" si="4"/>
        <v>5040</v>
      </c>
      <c r="AE27" s="42">
        <f t="shared" si="4"/>
        <v>6240</v>
      </c>
      <c r="AF27" s="42">
        <f t="shared" si="4"/>
        <v>6960</v>
      </c>
      <c r="AG27" s="42">
        <f t="shared" si="4"/>
        <v>15600</v>
      </c>
      <c r="AH27" s="42">
        <f t="shared" si="4"/>
        <v>156</v>
      </c>
      <c r="AI27" s="42">
        <f t="shared" si="4"/>
        <v>348</v>
      </c>
      <c r="AJ27" s="42">
        <f t="shared" si="4"/>
        <v>608</v>
      </c>
      <c r="AK27" s="42">
        <f t="shared" si="4"/>
        <v>1254</v>
      </c>
      <c r="AL27" s="42">
        <f t="shared" si="4"/>
        <v>1764</v>
      </c>
      <c r="AM27" s="42">
        <f t="shared" si="4"/>
        <v>2016</v>
      </c>
      <c r="AN27" s="42">
        <f t="shared" si="4"/>
        <v>5040</v>
      </c>
      <c r="AO27" s="42">
        <f t="shared" si="4"/>
        <v>6240</v>
      </c>
      <c r="AP27" s="42">
        <f t="shared" si="4"/>
        <v>6960</v>
      </c>
      <c r="AQ27" s="42">
        <f t="shared" si="4"/>
        <v>15600</v>
      </c>
    </row>
    <row r="28" spans="2:43" x14ac:dyDescent="0.3">
      <c r="B28" s="2" t="s">
        <v>503</v>
      </c>
      <c r="C28" s="29">
        <f>[1]坦克部件养成!G16</f>
        <v>40</v>
      </c>
      <c r="D28" s="123">
        <v>0.1</v>
      </c>
      <c r="E28" s="42">
        <f t="shared" si="0"/>
        <v>4</v>
      </c>
      <c r="F28" s="42">
        <f t="shared" si="1"/>
        <v>1000</v>
      </c>
      <c r="H28" s="2" t="s">
        <v>658</v>
      </c>
      <c r="I28" s="2" t="str">
        <f>VLOOKUP(H28,[1]坦克个性化设定!$B$18:$E$48,3,FALSE)</f>
        <v>重坦</v>
      </c>
      <c r="J28" s="42" t="str">
        <f>VLOOKUP(H28,[1]坦克个性化设定!$B$18:$E$48,4,FALSE)</f>
        <v>T3</v>
      </c>
      <c r="K28" s="42" t="str">
        <f>VLOOKUP(H28,[1]坦克个性化细分!$I$3:$J$33,2,FALSE)</f>
        <v>中</v>
      </c>
      <c r="M28" s="2">
        <v>10</v>
      </c>
      <c r="N28" s="42">
        <f t="shared" ref="N28:AB42" si="5">IFERROR(VLOOKUP(VLOOKUP(N$18,$H$3:$K$33,3,FALSE)&amp;VLOOKUP(N$18,$H$3:$K$33,4,FALSE),$B$3:$C$27,2,FALSE)*VLOOKUP($M28,$M$3:$AE$15,MATCH(VLOOKUP(N$18,$H$3:$K$33,3,FALSE)&amp;VLOOKUP(N$18,$H$3:$K$33,4,FALSE),$M$3:$AE$3,0),FALSE),N27)</f>
        <v>138</v>
      </c>
      <c r="O28" s="42">
        <f t="shared" si="5"/>
        <v>312</v>
      </c>
      <c r="P28" s="42">
        <f t="shared" si="5"/>
        <v>576</v>
      </c>
      <c r="Q28" s="42">
        <f t="shared" si="5"/>
        <v>1155</v>
      </c>
      <c r="R28" s="42">
        <f t="shared" si="5"/>
        <v>1680</v>
      </c>
      <c r="S28" s="42">
        <f t="shared" si="5"/>
        <v>1920</v>
      </c>
      <c r="T28" s="42">
        <f t="shared" si="5"/>
        <v>4830</v>
      </c>
      <c r="U28" s="42">
        <f t="shared" si="5"/>
        <v>5980</v>
      </c>
      <c r="V28" s="42">
        <f t="shared" si="5"/>
        <v>6670</v>
      </c>
      <c r="W28" s="42">
        <f t="shared" si="5"/>
        <v>15600</v>
      </c>
      <c r="X28" s="42">
        <f t="shared" si="5"/>
        <v>138</v>
      </c>
      <c r="Y28" s="42">
        <f t="shared" si="5"/>
        <v>312</v>
      </c>
      <c r="Z28" s="42">
        <f t="shared" si="5"/>
        <v>576</v>
      </c>
      <c r="AA28" s="42">
        <f t="shared" si="5"/>
        <v>1155</v>
      </c>
      <c r="AB28" s="42">
        <f t="shared" si="5"/>
        <v>1680</v>
      </c>
      <c r="AC28" s="42">
        <f t="shared" si="4"/>
        <v>1920</v>
      </c>
      <c r="AD28" s="42">
        <f t="shared" si="4"/>
        <v>4830</v>
      </c>
      <c r="AE28" s="42">
        <f t="shared" si="4"/>
        <v>5980</v>
      </c>
      <c r="AF28" s="42">
        <f t="shared" si="4"/>
        <v>6670</v>
      </c>
      <c r="AG28" s="42">
        <f t="shared" si="4"/>
        <v>15600</v>
      </c>
      <c r="AH28" s="42">
        <f t="shared" si="4"/>
        <v>138</v>
      </c>
      <c r="AI28" s="42">
        <f t="shared" si="4"/>
        <v>312</v>
      </c>
      <c r="AJ28" s="42">
        <f t="shared" si="4"/>
        <v>576</v>
      </c>
      <c r="AK28" s="42">
        <f t="shared" si="4"/>
        <v>1155</v>
      </c>
      <c r="AL28" s="42">
        <f t="shared" si="4"/>
        <v>1680</v>
      </c>
      <c r="AM28" s="42">
        <f t="shared" si="4"/>
        <v>1920</v>
      </c>
      <c r="AN28" s="42">
        <f t="shared" si="4"/>
        <v>4830</v>
      </c>
      <c r="AO28" s="42">
        <f t="shared" si="4"/>
        <v>5980</v>
      </c>
      <c r="AP28" s="42">
        <f t="shared" si="4"/>
        <v>6670</v>
      </c>
      <c r="AQ28" s="42">
        <f t="shared" si="4"/>
        <v>15600</v>
      </c>
    </row>
    <row r="29" spans="2:43" x14ac:dyDescent="0.3">
      <c r="B29" s="2" t="s">
        <v>504</v>
      </c>
      <c r="C29" s="29">
        <f>[1]坦克部件养成!G17</f>
        <v>70</v>
      </c>
      <c r="D29" s="123">
        <v>0.05</v>
      </c>
      <c r="E29" s="42">
        <f t="shared" si="0"/>
        <v>4</v>
      </c>
      <c r="F29" s="42">
        <f t="shared" si="1"/>
        <v>1000</v>
      </c>
      <c r="H29" s="2" t="s">
        <v>660</v>
      </c>
      <c r="I29" s="2" t="str">
        <f>VLOOKUP(H29,[1]坦克个性化设定!$B$18:$E$48,3,FALSE)</f>
        <v>重坦</v>
      </c>
      <c r="J29" s="42" t="str">
        <f>VLOOKUP(H29,[1]坦克个性化设定!$B$18:$E$48,4,FALSE)</f>
        <v>T3</v>
      </c>
      <c r="K29" s="42" t="str">
        <f>VLOOKUP(H29,[1]坦克个性化细分!$I$3:$J$33,2,FALSE)</f>
        <v>高</v>
      </c>
      <c r="M29" s="2">
        <v>11</v>
      </c>
      <c r="N29" s="42">
        <f t="shared" si="5"/>
        <v>120.00000000000031</v>
      </c>
      <c r="O29" s="42">
        <f t="shared" si="5"/>
        <v>276</v>
      </c>
      <c r="P29" s="42">
        <f t="shared" si="5"/>
        <v>544.0000000000008</v>
      </c>
      <c r="Q29" s="42">
        <f t="shared" si="5"/>
        <v>1056</v>
      </c>
      <c r="R29" s="42">
        <f t="shared" si="5"/>
        <v>1596</v>
      </c>
      <c r="S29" s="42">
        <f t="shared" si="5"/>
        <v>1824</v>
      </c>
      <c r="T29" s="42">
        <f t="shared" si="5"/>
        <v>4620</v>
      </c>
      <c r="U29" s="42">
        <f t="shared" si="5"/>
        <v>5720</v>
      </c>
      <c r="V29" s="42">
        <f t="shared" si="5"/>
        <v>6380</v>
      </c>
      <c r="W29" s="42">
        <f t="shared" si="5"/>
        <v>15288</v>
      </c>
      <c r="X29" s="42">
        <f t="shared" si="5"/>
        <v>120.00000000000031</v>
      </c>
      <c r="Y29" s="42">
        <f t="shared" si="5"/>
        <v>276</v>
      </c>
      <c r="Z29" s="42">
        <f t="shared" si="5"/>
        <v>544.0000000000008</v>
      </c>
      <c r="AA29" s="42">
        <f t="shared" si="5"/>
        <v>1056</v>
      </c>
      <c r="AB29" s="42">
        <f t="shared" si="5"/>
        <v>1596</v>
      </c>
      <c r="AC29" s="42">
        <f t="shared" si="4"/>
        <v>1824</v>
      </c>
      <c r="AD29" s="42">
        <f t="shared" si="4"/>
        <v>4620</v>
      </c>
      <c r="AE29" s="42">
        <f t="shared" si="4"/>
        <v>5720</v>
      </c>
      <c r="AF29" s="42">
        <f t="shared" si="4"/>
        <v>6380</v>
      </c>
      <c r="AG29" s="42">
        <f t="shared" si="4"/>
        <v>15288</v>
      </c>
      <c r="AH29" s="42">
        <f t="shared" si="4"/>
        <v>120.00000000000031</v>
      </c>
      <c r="AI29" s="42">
        <f t="shared" si="4"/>
        <v>276</v>
      </c>
      <c r="AJ29" s="42">
        <f t="shared" si="4"/>
        <v>544.0000000000008</v>
      </c>
      <c r="AK29" s="42">
        <f t="shared" si="4"/>
        <v>1056</v>
      </c>
      <c r="AL29" s="42">
        <f t="shared" si="4"/>
        <v>1596</v>
      </c>
      <c r="AM29" s="42">
        <f t="shared" si="4"/>
        <v>1824</v>
      </c>
      <c r="AN29" s="42">
        <f t="shared" si="4"/>
        <v>4620</v>
      </c>
      <c r="AO29" s="42">
        <f t="shared" si="4"/>
        <v>5720</v>
      </c>
      <c r="AP29" s="42">
        <f t="shared" si="4"/>
        <v>6380</v>
      </c>
      <c r="AQ29" s="42">
        <f t="shared" si="4"/>
        <v>15288</v>
      </c>
    </row>
    <row r="30" spans="2:43" x14ac:dyDescent="0.3">
      <c r="B30" s="2" t="s">
        <v>505</v>
      </c>
      <c r="C30" s="29">
        <f>[1]坦克部件养成!G18</f>
        <v>120</v>
      </c>
      <c r="D30" s="123">
        <v>0.05</v>
      </c>
      <c r="E30" s="42">
        <f t="shared" si="0"/>
        <v>6</v>
      </c>
      <c r="F30" s="42">
        <f t="shared" si="1"/>
        <v>1500</v>
      </c>
      <c r="H30" s="2" t="s">
        <v>662</v>
      </c>
      <c r="I30" s="2" t="str">
        <f>VLOOKUP(H30,[1]坦克个性化设定!$B$18:$E$48,3,FALSE)</f>
        <v>重坦</v>
      </c>
      <c r="J30" s="42" t="str">
        <f>VLOOKUP(H30,[1]坦克个性化设定!$B$18:$E$48,4,FALSE)</f>
        <v>T4</v>
      </c>
      <c r="K30" s="42" t="str">
        <f>VLOOKUP(H30,[1]坦克个性化细分!$I$3:$J$33,2,FALSE)</f>
        <v>低</v>
      </c>
      <c r="M30" s="2">
        <v>12</v>
      </c>
      <c r="N30" s="42">
        <f t="shared" si="5"/>
        <v>102.00000000000031</v>
      </c>
      <c r="O30" s="42">
        <f t="shared" si="5"/>
        <v>240.00000000000063</v>
      </c>
      <c r="P30" s="42">
        <f t="shared" si="5"/>
        <v>512.0000000000008</v>
      </c>
      <c r="Q30" s="42">
        <f t="shared" si="5"/>
        <v>956.99999999999989</v>
      </c>
      <c r="R30" s="42">
        <f t="shared" si="5"/>
        <v>1512</v>
      </c>
      <c r="S30" s="42">
        <f t="shared" si="5"/>
        <v>1728</v>
      </c>
      <c r="T30" s="42">
        <f t="shared" si="5"/>
        <v>4410</v>
      </c>
      <c r="U30" s="42">
        <f t="shared" si="5"/>
        <v>5460</v>
      </c>
      <c r="V30" s="42">
        <f t="shared" si="5"/>
        <v>6090</v>
      </c>
      <c r="W30" s="42">
        <f t="shared" si="5"/>
        <v>14976</v>
      </c>
      <c r="X30" s="42">
        <f t="shared" si="5"/>
        <v>102.00000000000031</v>
      </c>
      <c r="Y30" s="42">
        <f t="shared" si="5"/>
        <v>240.00000000000063</v>
      </c>
      <c r="Z30" s="42">
        <f t="shared" si="5"/>
        <v>512.0000000000008</v>
      </c>
      <c r="AA30" s="42">
        <f t="shared" si="5"/>
        <v>956.99999999999989</v>
      </c>
      <c r="AB30" s="42">
        <f t="shared" si="5"/>
        <v>1512</v>
      </c>
      <c r="AC30" s="42">
        <f t="shared" si="4"/>
        <v>1728</v>
      </c>
      <c r="AD30" s="42">
        <f t="shared" si="4"/>
        <v>4410</v>
      </c>
      <c r="AE30" s="42">
        <f t="shared" si="4"/>
        <v>5460</v>
      </c>
      <c r="AF30" s="42">
        <f t="shared" si="4"/>
        <v>6090</v>
      </c>
      <c r="AG30" s="42">
        <f t="shared" si="4"/>
        <v>14976</v>
      </c>
      <c r="AH30" s="42">
        <f t="shared" si="4"/>
        <v>102.00000000000031</v>
      </c>
      <c r="AI30" s="42">
        <f t="shared" si="4"/>
        <v>240.00000000000063</v>
      </c>
      <c r="AJ30" s="42">
        <f t="shared" si="4"/>
        <v>512.0000000000008</v>
      </c>
      <c r="AK30" s="42">
        <f t="shared" si="4"/>
        <v>956.99999999999989</v>
      </c>
      <c r="AL30" s="42">
        <f t="shared" si="4"/>
        <v>1512</v>
      </c>
      <c r="AM30" s="42">
        <f t="shared" si="4"/>
        <v>1728</v>
      </c>
      <c r="AN30" s="42">
        <f t="shared" si="4"/>
        <v>4410</v>
      </c>
      <c r="AO30" s="42">
        <f t="shared" si="4"/>
        <v>5460</v>
      </c>
      <c r="AP30" s="42">
        <f t="shared" si="4"/>
        <v>6090</v>
      </c>
      <c r="AQ30" s="42">
        <f t="shared" si="4"/>
        <v>14976</v>
      </c>
    </row>
    <row r="31" spans="2:43" x14ac:dyDescent="0.3">
      <c r="H31" s="2" t="s">
        <v>664</v>
      </c>
      <c r="I31" s="2" t="str">
        <f>VLOOKUP(H31,[1]坦克个性化设定!$B$18:$E$48,3,FALSE)</f>
        <v>重坦</v>
      </c>
      <c r="J31" s="42" t="str">
        <f>VLOOKUP(H31,[1]坦克个性化设定!$B$18:$E$48,4,FALSE)</f>
        <v>T4</v>
      </c>
      <c r="K31" s="42" t="str">
        <f>VLOOKUP(H31,[1]坦克个性化细分!$I$3:$J$33,2,FALSE)</f>
        <v>中</v>
      </c>
      <c r="M31" s="2">
        <v>13</v>
      </c>
      <c r="N31" s="42">
        <f t="shared" si="5"/>
        <v>102.00000000000031</v>
      </c>
      <c r="O31" s="42">
        <f t="shared" si="5"/>
        <v>240.00000000000063</v>
      </c>
      <c r="P31" s="42">
        <f t="shared" si="5"/>
        <v>512.0000000000008</v>
      </c>
      <c r="Q31" s="42">
        <f t="shared" si="5"/>
        <v>956.99999999999989</v>
      </c>
      <c r="R31" s="42">
        <f t="shared" si="5"/>
        <v>1512</v>
      </c>
      <c r="S31" s="42">
        <f t="shared" si="5"/>
        <v>1728</v>
      </c>
      <c r="T31" s="42">
        <f t="shared" si="5"/>
        <v>4410</v>
      </c>
      <c r="U31" s="42">
        <f t="shared" si="5"/>
        <v>5460</v>
      </c>
      <c r="V31" s="42">
        <f t="shared" si="5"/>
        <v>6090</v>
      </c>
      <c r="W31" s="42">
        <f t="shared" si="5"/>
        <v>14976</v>
      </c>
      <c r="X31" s="42">
        <f t="shared" si="5"/>
        <v>102.00000000000031</v>
      </c>
      <c r="Y31" s="42">
        <f t="shared" si="5"/>
        <v>240.00000000000063</v>
      </c>
      <c r="Z31" s="42">
        <f t="shared" si="5"/>
        <v>512.0000000000008</v>
      </c>
      <c r="AA31" s="42">
        <f t="shared" si="5"/>
        <v>956.99999999999989</v>
      </c>
      <c r="AB31" s="42">
        <f t="shared" si="5"/>
        <v>1512</v>
      </c>
      <c r="AC31" s="42">
        <f t="shared" si="4"/>
        <v>1728</v>
      </c>
      <c r="AD31" s="42">
        <f t="shared" si="4"/>
        <v>4410</v>
      </c>
      <c r="AE31" s="42">
        <f t="shared" si="4"/>
        <v>5460</v>
      </c>
      <c r="AF31" s="42">
        <f t="shared" si="4"/>
        <v>6090</v>
      </c>
      <c r="AG31" s="42">
        <f t="shared" si="4"/>
        <v>14976</v>
      </c>
      <c r="AH31" s="42">
        <f t="shared" si="4"/>
        <v>102.00000000000031</v>
      </c>
      <c r="AI31" s="42">
        <f t="shared" si="4"/>
        <v>240.00000000000063</v>
      </c>
      <c r="AJ31" s="42">
        <f t="shared" si="4"/>
        <v>512.0000000000008</v>
      </c>
      <c r="AK31" s="42">
        <f t="shared" si="4"/>
        <v>956.99999999999989</v>
      </c>
      <c r="AL31" s="42">
        <f t="shared" si="4"/>
        <v>1512</v>
      </c>
      <c r="AM31" s="42">
        <f t="shared" si="4"/>
        <v>1728</v>
      </c>
      <c r="AN31" s="42">
        <f t="shared" si="4"/>
        <v>4410</v>
      </c>
      <c r="AO31" s="42">
        <f t="shared" si="4"/>
        <v>5460</v>
      </c>
      <c r="AP31" s="42">
        <f t="shared" si="4"/>
        <v>6090</v>
      </c>
      <c r="AQ31" s="42">
        <f t="shared" si="4"/>
        <v>14976</v>
      </c>
    </row>
    <row r="32" spans="2:43" x14ac:dyDescent="0.3">
      <c r="H32" s="2" t="s">
        <v>666</v>
      </c>
      <c r="I32" s="2" t="str">
        <f>VLOOKUP(H32,[1]坦克个性化设定!$B$18:$E$48,3,FALSE)</f>
        <v>重坦</v>
      </c>
      <c r="J32" s="42" t="str">
        <f>VLOOKUP(H32,[1]坦克个性化设定!$B$18:$E$48,4,FALSE)</f>
        <v>T4</v>
      </c>
      <c r="K32" s="42" t="str">
        <f>VLOOKUP(H32,[1]坦克个性化细分!$I$3:$J$33,2,FALSE)</f>
        <v>高</v>
      </c>
      <c r="M32" s="2">
        <v>14</v>
      </c>
      <c r="N32" s="42">
        <f t="shared" si="5"/>
        <v>102.00000000000031</v>
      </c>
      <c r="O32" s="42">
        <f t="shared" si="5"/>
        <v>240.00000000000063</v>
      </c>
      <c r="P32" s="42">
        <f t="shared" si="5"/>
        <v>512.0000000000008</v>
      </c>
      <c r="Q32" s="42">
        <f t="shared" si="5"/>
        <v>956.99999999999989</v>
      </c>
      <c r="R32" s="42">
        <f t="shared" si="5"/>
        <v>1512</v>
      </c>
      <c r="S32" s="42">
        <f t="shared" si="5"/>
        <v>1728</v>
      </c>
      <c r="T32" s="42">
        <f t="shared" si="5"/>
        <v>4410</v>
      </c>
      <c r="U32" s="42">
        <f t="shared" si="5"/>
        <v>5460</v>
      </c>
      <c r="V32" s="42">
        <f t="shared" si="5"/>
        <v>6090</v>
      </c>
      <c r="W32" s="42">
        <f t="shared" si="5"/>
        <v>14976</v>
      </c>
      <c r="X32" s="42">
        <f t="shared" si="5"/>
        <v>102.00000000000031</v>
      </c>
      <c r="Y32" s="42">
        <f t="shared" si="5"/>
        <v>240.00000000000063</v>
      </c>
      <c r="Z32" s="42">
        <f t="shared" si="5"/>
        <v>512.0000000000008</v>
      </c>
      <c r="AA32" s="42">
        <f t="shared" si="5"/>
        <v>956.99999999999989</v>
      </c>
      <c r="AB32" s="42">
        <f t="shared" si="5"/>
        <v>1512</v>
      </c>
      <c r="AC32" s="42">
        <f t="shared" si="4"/>
        <v>1728</v>
      </c>
      <c r="AD32" s="42">
        <f t="shared" si="4"/>
        <v>4410</v>
      </c>
      <c r="AE32" s="42">
        <f t="shared" si="4"/>
        <v>5460</v>
      </c>
      <c r="AF32" s="42">
        <f t="shared" si="4"/>
        <v>6090</v>
      </c>
      <c r="AG32" s="42">
        <f t="shared" si="4"/>
        <v>14976</v>
      </c>
      <c r="AH32" s="42">
        <f t="shared" si="4"/>
        <v>102.00000000000031</v>
      </c>
      <c r="AI32" s="42">
        <f t="shared" si="4"/>
        <v>240.00000000000063</v>
      </c>
      <c r="AJ32" s="42">
        <f t="shared" si="4"/>
        <v>512.0000000000008</v>
      </c>
      <c r="AK32" s="42">
        <f t="shared" si="4"/>
        <v>956.99999999999989</v>
      </c>
      <c r="AL32" s="42">
        <f t="shared" si="4"/>
        <v>1512</v>
      </c>
      <c r="AM32" s="42">
        <f t="shared" si="4"/>
        <v>1728</v>
      </c>
      <c r="AN32" s="42">
        <f t="shared" si="4"/>
        <v>4410</v>
      </c>
      <c r="AO32" s="42">
        <f t="shared" si="4"/>
        <v>5460</v>
      </c>
      <c r="AP32" s="42">
        <f t="shared" si="4"/>
        <v>6090</v>
      </c>
      <c r="AQ32" s="42">
        <f t="shared" si="4"/>
        <v>14976</v>
      </c>
    </row>
    <row r="33" spans="2:43" x14ac:dyDescent="0.3">
      <c r="B33" s="2" t="s">
        <v>1765</v>
      </c>
      <c r="C33" s="2" t="s">
        <v>1792</v>
      </c>
      <c r="D33" s="2" t="s">
        <v>379</v>
      </c>
      <c r="E33" s="2" t="s">
        <v>1793</v>
      </c>
      <c r="H33" s="2" t="s">
        <v>668</v>
      </c>
      <c r="I33" s="2" t="str">
        <f>VLOOKUP(H33,[1]坦克个性化设定!$B$18:$E$48,3,FALSE)</f>
        <v>重坦</v>
      </c>
      <c r="J33" s="42" t="str">
        <f>VLOOKUP(H33,[1]坦克个性化设定!$B$18:$E$48,4,FALSE)</f>
        <v>T5</v>
      </c>
      <c r="K33" s="42" t="str">
        <f>VLOOKUP(H33,[1]坦克个性化细分!$I$3:$J$33,2,FALSE)</f>
        <v>低</v>
      </c>
      <c r="M33" s="2">
        <v>15</v>
      </c>
      <c r="N33" s="42">
        <f t="shared" si="5"/>
        <v>102.00000000000031</v>
      </c>
      <c r="O33" s="42">
        <f t="shared" si="5"/>
        <v>240.00000000000063</v>
      </c>
      <c r="P33" s="42">
        <f t="shared" si="5"/>
        <v>512.0000000000008</v>
      </c>
      <c r="Q33" s="42">
        <f t="shared" si="5"/>
        <v>956.99999999999989</v>
      </c>
      <c r="R33" s="42">
        <f t="shared" si="5"/>
        <v>1512</v>
      </c>
      <c r="S33" s="42">
        <f t="shared" si="5"/>
        <v>1728</v>
      </c>
      <c r="T33" s="42">
        <f t="shared" si="5"/>
        <v>4410</v>
      </c>
      <c r="U33" s="42">
        <f t="shared" si="5"/>
        <v>5460</v>
      </c>
      <c r="V33" s="42">
        <f t="shared" si="5"/>
        <v>6090</v>
      </c>
      <c r="W33" s="42">
        <f t="shared" si="5"/>
        <v>14976</v>
      </c>
      <c r="X33" s="42">
        <f t="shared" si="5"/>
        <v>102.00000000000031</v>
      </c>
      <c r="Y33" s="42">
        <f t="shared" si="5"/>
        <v>240.00000000000063</v>
      </c>
      <c r="Z33" s="42">
        <f t="shared" si="5"/>
        <v>512.0000000000008</v>
      </c>
      <c r="AA33" s="42">
        <f t="shared" si="5"/>
        <v>956.99999999999989</v>
      </c>
      <c r="AB33" s="42">
        <f t="shared" si="5"/>
        <v>1512</v>
      </c>
      <c r="AC33" s="42">
        <f t="shared" si="4"/>
        <v>1728</v>
      </c>
      <c r="AD33" s="42">
        <f t="shared" si="4"/>
        <v>4410</v>
      </c>
      <c r="AE33" s="42">
        <f t="shared" si="4"/>
        <v>5460</v>
      </c>
      <c r="AF33" s="42">
        <f t="shared" si="4"/>
        <v>6090</v>
      </c>
      <c r="AG33" s="42">
        <f t="shared" si="4"/>
        <v>14976</v>
      </c>
      <c r="AH33" s="42">
        <f t="shared" si="4"/>
        <v>102.00000000000031</v>
      </c>
      <c r="AI33" s="42">
        <f t="shared" si="4"/>
        <v>240.00000000000063</v>
      </c>
      <c r="AJ33" s="42">
        <f t="shared" si="4"/>
        <v>512.0000000000008</v>
      </c>
      <c r="AK33" s="42">
        <f t="shared" si="4"/>
        <v>956.99999999999989</v>
      </c>
      <c r="AL33" s="42">
        <f t="shared" si="4"/>
        <v>1512</v>
      </c>
      <c r="AM33" s="42">
        <f t="shared" si="4"/>
        <v>1728</v>
      </c>
      <c r="AN33" s="42">
        <f t="shared" si="4"/>
        <v>4410</v>
      </c>
      <c r="AO33" s="42">
        <f t="shared" si="4"/>
        <v>5460</v>
      </c>
      <c r="AP33" s="42">
        <f t="shared" si="4"/>
        <v>6090</v>
      </c>
      <c r="AQ33" s="42">
        <f t="shared" si="4"/>
        <v>14976</v>
      </c>
    </row>
    <row r="34" spans="2:43" x14ac:dyDescent="0.3">
      <c r="B34" s="2" t="s">
        <v>1779</v>
      </c>
      <c r="C34" s="42">
        <f t="shared" ref="C34:C45" si="6">C16</f>
        <v>100</v>
      </c>
      <c r="D34" s="21">
        <v>1</v>
      </c>
      <c r="E34" s="2">
        <f>MROUND(C34*D34,10)</f>
        <v>100</v>
      </c>
      <c r="G34" s="125"/>
      <c r="M34" s="2">
        <v>16</v>
      </c>
      <c r="N34" s="42">
        <f t="shared" si="5"/>
        <v>102.00000000000031</v>
      </c>
      <c r="O34" s="42">
        <f t="shared" si="5"/>
        <v>240.00000000000063</v>
      </c>
      <c r="P34" s="42">
        <f t="shared" si="5"/>
        <v>512.0000000000008</v>
      </c>
      <c r="Q34" s="42">
        <f t="shared" si="5"/>
        <v>956.99999999999989</v>
      </c>
      <c r="R34" s="42">
        <f t="shared" si="5"/>
        <v>1512</v>
      </c>
      <c r="S34" s="42">
        <f t="shared" si="5"/>
        <v>1728</v>
      </c>
      <c r="T34" s="42">
        <f t="shared" si="5"/>
        <v>4410</v>
      </c>
      <c r="U34" s="42">
        <f t="shared" si="5"/>
        <v>5460</v>
      </c>
      <c r="V34" s="42">
        <f t="shared" si="5"/>
        <v>6090</v>
      </c>
      <c r="W34" s="42">
        <f t="shared" si="5"/>
        <v>14976</v>
      </c>
      <c r="X34" s="42">
        <f t="shared" si="5"/>
        <v>102.00000000000031</v>
      </c>
      <c r="Y34" s="42">
        <f t="shared" si="5"/>
        <v>240.00000000000063</v>
      </c>
      <c r="Z34" s="42">
        <f t="shared" si="5"/>
        <v>512.0000000000008</v>
      </c>
      <c r="AA34" s="42">
        <f t="shared" si="5"/>
        <v>956.99999999999989</v>
      </c>
      <c r="AB34" s="42">
        <f t="shared" si="5"/>
        <v>1512</v>
      </c>
      <c r="AC34" s="42">
        <f t="shared" si="4"/>
        <v>1728</v>
      </c>
      <c r="AD34" s="42">
        <f t="shared" si="4"/>
        <v>4410</v>
      </c>
      <c r="AE34" s="42">
        <f t="shared" si="4"/>
        <v>5460</v>
      </c>
      <c r="AF34" s="42">
        <f t="shared" si="4"/>
        <v>6090</v>
      </c>
      <c r="AG34" s="42">
        <f t="shared" si="4"/>
        <v>14976</v>
      </c>
      <c r="AH34" s="42">
        <f t="shared" si="4"/>
        <v>102.00000000000031</v>
      </c>
      <c r="AI34" s="42">
        <f t="shared" si="4"/>
        <v>240.00000000000063</v>
      </c>
      <c r="AJ34" s="42">
        <f t="shared" si="4"/>
        <v>512.0000000000008</v>
      </c>
      <c r="AK34" s="42">
        <f t="shared" si="4"/>
        <v>956.99999999999989</v>
      </c>
      <c r="AL34" s="42">
        <f t="shared" si="4"/>
        <v>1512</v>
      </c>
      <c r="AM34" s="42">
        <f t="shared" si="4"/>
        <v>1728</v>
      </c>
      <c r="AN34" s="42">
        <f t="shared" si="4"/>
        <v>4410</v>
      </c>
      <c r="AO34" s="42">
        <f t="shared" si="4"/>
        <v>5460</v>
      </c>
      <c r="AP34" s="42">
        <f t="shared" si="4"/>
        <v>6090</v>
      </c>
      <c r="AQ34" s="42">
        <f t="shared" si="4"/>
        <v>14976</v>
      </c>
    </row>
    <row r="35" spans="2:43" x14ac:dyDescent="0.3">
      <c r="B35" s="2" t="s">
        <v>1780</v>
      </c>
      <c r="C35" s="42">
        <f t="shared" si="6"/>
        <v>100</v>
      </c>
      <c r="D35" s="21">
        <v>1</v>
      </c>
      <c r="E35" s="2">
        <f t="shared" ref="E35:E45" si="7">MROUND(C35*D35,10)</f>
        <v>100</v>
      </c>
      <c r="G35" s="125"/>
      <c r="M35" s="2">
        <v>17</v>
      </c>
      <c r="N35" s="42">
        <f t="shared" si="5"/>
        <v>102.00000000000031</v>
      </c>
      <c r="O35" s="42">
        <f t="shared" si="5"/>
        <v>240.00000000000063</v>
      </c>
      <c r="P35" s="42">
        <f t="shared" si="5"/>
        <v>512.0000000000008</v>
      </c>
      <c r="Q35" s="42">
        <f t="shared" si="5"/>
        <v>956.99999999999989</v>
      </c>
      <c r="R35" s="42">
        <f t="shared" si="5"/>
        <v>1512</v>
      </c>
      <c r="S35" s="42">
        <f t="shared" si="5"/>
        <v>1728</v>
      </c>
      <c r="T35" s="42">
        <f t="shared" si="5"/>
        <v>4410</v>
      </c>
      <c r="U35" s="42">
        <f t="shared" si="5"/>
        <v>5460</v>
      </c>
      <c r="V35" s="42">
        <f t="shared" si="5"/>
        <v>6090</v>
      </c>
      <c r="W35" s="42">
        <f t="shared" si="5"/>
        <v>14976</v>
      </c>
      <c r="X35" s="42">
        <f t="shared" si="5"/>
        <v>102.00000000000031</v>
      </c>
      <c r="Y35" s="42">
        <f t="shared" si="5"/>
        <v>240.00000000000063</v>
      </c>
      <c r="Z35" s="42">
        <f t="shared" si="5"/>
        <v>512.0000000000008</v>
      </c>
      <c r="AA35" s="42">
        <f t="shared" si="5"/>
        <v>956.99999999999989</v>
      </c>
      <c r="AB35" s="42">
        <f t="shared" si="5"/>
        <v>1512</v>
      </c>
      <c r="AC35" s="42">
        <f t="shared" si="4"/>
        <v>1728</v>
      </c>
      <c r="AD35" s="42">
        <f t="shared" si="4"/>
        <v>4410</v>
      </c>
      <c r="AE35" s="42">
        <f t="shared" si="4"/>
        <v>5460</v>
      </c>
      <c r="AF35" s="42">
        <f t="shared" si="4"/>
        <v>6090</v>
      </c>
      <c r="AG35" s="42">
        <f t="shared" si="4"/>
        <v>14976</v>
      </c>
      <c r="AH35" s="42">
        <f t="shared" si="4"/>
        <v>102.00000000000031</v>
      </c>
      <c r="AI35" s="42">
        <f t="shared" si="4"/>
        <v>240.00000000000063</v>
      </c>
      <c r="AJ35" s="42">
        <f t="shared" si="4"/>
        <v>512.0000000000008</v>
      </c>
      <c r="AK35" s="42">
        <f t="shared" si="4"/>
        <v>956.99999999999989</v>
      </c>
      <c r="AL35" s="42">
        <f t="shared" si="4"/>
        <v>1512</v>
      </c>
      <c r="AM35" s="42">
        <f t="shared" si="4"/>
        <v>1728</v>
      </c>
      <c r="AN35" s="42">
        <f t="shared" si="4"/>
        <v>4410</v>
      </c>
      <c r="AO35" s="42">
        <f t="shared" si="4"/>
        <v>5460</v>
      </c>
      <c r="AP35" s="42">
        <f t="shared" si="4"/>
        <v>6090</v>
      </c>
      <c r="AQ35" s="42">
        <f t="shared" si="4"/>
        <v>14976</v>
      </c>
    </row>
    <row r="36" spans="2:43" x14ac:dyDescent="0.3">
      <c r="B36" s="2" t="s">
        <v>1782</v>
      </c>
      <c r="C36" s="42">
        <f t="shared" si="6"/>
        <v>133.33333333333334</v>
      </c>
      <c r="D36" s="21">
        <v>1</v>
      </c>
      <c r="E36" s="2">
        <f t="shared" si="7"/>
        <v>130</v>
      </c>
      <c r="G36" s="125"/>
      <c r="M36" s="2">
        <v>18</v>
      </c>
      <c r="N36" s="42">
        <f t="shared" si="5"/>
        <v>102.00000000000031</v>
      </c>
      <c r="O36" s="42">
        <f t="shared" si="5"/>
        <v>240.00000000000063</v>
      </c>
      <c r="P36" s="42">
        <f t="shared" si="5"/>
        <v>512.0000000000008</v>
      </c>
      <c r="Q36" s="42">
        <f t="shared" si="5"/>
        <v>956.99999999999989</v>
      </c>
      <c r="R36" s="42">
        <f t="shared" si="5"/>
        <v>1512</v>
      </c>
      <c r="S36" s="42">
        <f t="shared" si="5"/>
        <v>1728</v>
      </c>
      <c r="T36" s="42">
        <f t="shared" si="5"/>
        <v>4410</v>
      </c>
      <c r="U36" s="42">
        <f t="shared" si="5"/>
        <v>5460</v>
      </c>
      <c r="V36" s="42">
        <f t="shared" si="5"/>
        <v>6090</v>
      </c>
      <c r="W36" s="42">
        <f t="shared" si="5"/>
        <v>14976</v>
      </c>
      <c r="X36" s="42">
        <f t="shared" si="5"/>
        <v>102.00000000000031</v>
      </c>
      <c r="Y36" s="42">
        <f t="shared" si="5"/>
        <v>240.00000000000063</v>
      </c>
      <c r="Z36" s="42">
        <f t="shared" si="5"/>
        <v>512.0000000000008</v>
      </c>
      <c r="AA36" s="42">
        <f t="shared" si="5"/>
        <v>956.99999999999989</v>
      </c>
      <c r="AB36" s="42">
        <f t="shared" si="5"/>
        <v>1512</v>
      </c>
      <c r="AC36" s="42">
        <f t="shared" si="4"/>
        <v>1728</v>
      </c>
      <c r="AD36" s="42">
        <f t="shared" si="4"/>
        <v>4410</v>
      </c>
      <c r="AE36" s="42">
        <f t="shared" si="4"/>
        <v>5460</v>
      </c>
      <c r="AF36" s="42">
        <f t="shared" si="4"/>
        <v>6090</v>
      </c>
      <c r="AG36" s="42">
        <f t="shared" si="4"/>
        <v>14976</v>
      </c>
      <c r="AH36" s="42">
        <f t="shared" si="4"/>
        <v>102.00000000000031</v>
      </c>
      <c r="AI36" s="42">
        <f t="shared" si="4"/>
        <v>240.00000000000063</v>
      </c>
      <c r="AJ36" s="42">
        <f t="shared" si="4"/>
        <v>512.0000000000008</v>
      </c>
      <c r="AK36" s="42">
        <f t="shared" si="4"/>
        <v>956.99999999999989</v>
      </c>
      <c r="AL36" s="42">
        <f t="shared" si="4"/>
        <v>1512</v>
      </c>
      <c r="AM36" s="42">
        <f t="shared" si="4"/>
        <v>1728</v>
      </c>
      <c r="AN36" s="42">
        <f t="shared" si="4"/>
        <v>4410</v>
      </c>
      <c r="AO36" s="42">
        <f t="shared" si="4"/>
        <v>5460</v>
      </c>
      <c r="AP36" s="42">
        <f t="shared" si="4"/>
        <v>6090</v>
      </c>
      <c r="AQ36" s="42">
        <f t="shared" si="4"/>
        <v>14976</v>
      </c>
    </row>
    <row r="37" spans="2:43" x14ac:dyDescent="0.3">
      <c r="B37" s="2" t="s">
        <v>1783</v>
      </c>
      <c r="C37" s="42">
        <f t="shared" si="6"/>
        <v>68.75</v>
      </c>
      <c r="D37" s="21">
        <v>1</v>
      </c>
      <c r="E37" s="2">
        <f t="shared" si="7"/>
        <v>70</v>
      </c>
      <c r="G37" s="125"/>
      <c r="M37" s="2">
        <v>19</v>
      </c>
      <c r="N37" s="42">
        <f t="shared" si="5"/>
        <v>102.00000000000031</v>
      </c>
      <c r="O37" s="42">
        <f t="shared" si="5"/>
        <v>240.00000000000063</v>
      </c>
      <c r="P37" s="42">
        <f t="shared" si="5"/>
        <v>512.0000000000008</v>
      </c>
      <c r="Q37" s="42">
        <f t="shared" si="5"/>
        <v>956.99999999999989</v>
      </c>
      <c r="R37" s="42">
        <f t="shared" si="5"/>
        <v>1512</v>
      </c>
      <c r="S37" s="42">
        <f t="shared" si="5"/>
        <v>1728</v>
      </c>
      <c r="T37" s="42">
        <f t="shared" si="5"/>
        <v>4410</v>
      </c>
      <c r="U37" s="42">
        <f t="shared" si="5"/>
        <v>5460</v>
      </c>
      <c r="V37" s="42">
        <f t="shared" si="5"/>
        <v>6090</v>
      </c>
      <c r="W37" s="42">
        <f t="shared" si="5"/>
        <v>14976</v>
      </c>
      <c r="X37" s="42">
        <f t="shared" si="5"/>
        <v>102.00000000000031</v>
      </c>
      <c r="Y37" s="42">
        <f t="shared" si="5"/>
        <v>240.00000000000063</v>
      </c>
      <c r="Z37" s="42">
        <f t="shared" si="5"/>
        <v>512.0000000000008</v>
      </c>
      <c r="AA37" s="42">
        <f t="shared" si="5"/>
        <v>956.99999999999989</v>
      </c>
      <c r="AB37" s="42">
        <f t="shared" si="5"/>
        <v>1512</v>
      </c>
      <c r="AC37" s="42">
        <f t="shared" si="4"/>
        <v>1728</v>
      </c>
      <c r="AD37" s="42">
        <f t="shared" si="4"/>
        <v>4410</v>
      </c>
      <c r="AE37" s="42">
        <f t="shared" si="4"/>
        <v>5460</v>
      </c>
      <c r="AF37" s="42">
        <f t="shared" si="4"/>
        <v>6090</v>
      </c>
      <c r="AG37" s="42">
        <f t="shared" si="4"/>
        <v>14976</v>
      </c>
      <c r="AH37" s="42">
        <f t="shared" si="4"/>
        <v>102.00000000000031</v>
      </c>
      <c r="AI37" s="42">
        <f t="shared" si="4"/>
        <v>240.00000000000063</v>
      </c>
      <c r="AJ37" s="42">
        <f t="shared" si="4"/>
        <v>512.0000000000008</v>
      </c>
      <c r="AK37" s="42">
        <f t="shared" si="4"/>
        <v>956.99999999999989</v>
      </c>
      <c r="AL37" s="42">
        <f t="shared" si="4"/>
        <v>1512</v>
      </c>
      <c r="AM37" s="42">
        <f t="shared" si="4"/>
        <v>1728</v>
      </c>
      <c r="AN37" s="42">
        <f t="shared" si="4"/>
        <v>4410</v>
      </c>
      <c r="AO37" s="42">
        <f t="shared" si="4"/>
        <v>5460</v>
      </c>
      <c r="AP37" s="42">
        <f t="shared" si="4"/>
        <v>6090</v>
      </c>
      <c r="AQ37" s="42">
        <f t="shared" si="4"/>
        <v>14976</v>
      </c>
    </row>
    <row r="38" spans="2:43" x14ac:dyDescent="0.3">
      <c r="B38" s="2" t="s">
        <v>1784</v>
      </c>
      <c r="C38" s="42">
        <f t="shared" si="6"/>
        <v>87.5</v>
      </c>
      <c r="D38" s="21">
        <v>1</v>
      </c>
      <c r="E38" s="2">
        <f t="shared" si="7"/>
        <v>90</v>
      </c>
      <c r="G38" s="125"/>
      <c r="H38" s="2" t="s">
        <v>1794</v>
      </c>
      <c r="I38" s="2" t="s">
        <v>1795</v>
      </c>
      <c r="M38" s="2">
        <v>20</v>
      </c>
      <c r="N38" s="42">
        <f t="shared" si="5"/>
        <v>102.00000000000031</v>
      </c>
      <c r="O38" s="42">
        <f t="shared" si="5"/>
        <v>240.00000000000063</v>
      </c>
      <c r="P38" s="42">
        <f t="shared" si="5"/>
        <v>512.0000000000008</v>
      </c>
      <c r="Q38" s="42">
        <f t="shared" si="5"/>
        <v>956.99999999999989</v>
      </c>
      <c r="R38" s="42">
        <f t="shared" si="5"/>
        <v>1512</v>
      </c>
      <c r="S38" s="42">
        <f t="shared" si="5"/>
        <v>1728</v>
      </c>
      <c r="T38" s="42">
        <f t="shared" si="5"/>
        <v>4410</v>
      </c>
      <c r="U38" s="42">
        <f t="shared" si="5"/>
        <v>5460</v>
      </c>
      <c r="V38" s="42">
        <f t="shared" si="5"/>
        <v>6090</v>
      </c>
      <c r="W38" s="42">
        <f t="shared" si="5"/>
        <v>14976</v>
      </c>
      <c r="X38" s="42">
        <f t="shared" si="5"/>
        <v>102.00000000000031</v>
      </c>
      <c r="Y38" s="42">
        <f t="shared" si="5"/>
        <v>240.00000000000063</v>
      </c>
      <c r="Z38" s="42">
        <f t="shared" si="5"/>
        <v>512.0000000000008</v>
      </c>
      <c r="AA38" s="42">
        <f t="shared" si="5"/>
        <v>956.99999999999989</v>
      </c>
      <c r="AB38" s="42">
        <f t="shared" si="5"/>
        <v>1512</v>
      </c>
      <c r="AC38" s="42">
        <f t="shared" si="4"/>
        <v>1728</v>
      </c>
      <c r="AD38" s="42">
        <f t="shared" si="4"/>
        <v>4410</v>
      </c>
      <c r="AE38" s="42">
        <f t="shared" si="4"/>
        <v>5460</v>
      </c>
      <c r="AF38" s="42">
        <f t="shared" si="4"/>
        <v>6090</v>
      </c>
      <c r="AG38" s="42">
        <f t="shared" si="4"/>
        <v>14976</v>
      </c>
      <c r="AH38" s="42">
        <f t="shared" si="4"/>
        <v>102.00000000000031</v>
      </c>
      <c r="AI38" s="42">
        <f t="shared" si="4"/>
        <v>240.00000000000063</v>
      </c>
      <c r="AJ38" s="42">
        <f t="shared" si="4"/>
        <v>512.0000000000008</v>
      </c>
      <c r="AK38" s="42">
        <f t="shared" si="4"/>
        <v>956.99999999999989</v>
      </c>
      <c r="AL38" s="42">
        <f t="shared" si="4"/>
        <v>1512</v>
      </c>
      <c r="AM38" s="42">
        <f t="shared" si="4"/>
        <v>1728</v>
      </c>
      <c r="AN38" s="42">
        <f t="shared" si="4"/>
        <v>4410</v>
      </c>
      <c r="AO38" s="42">
        <f t="shared" si="4"/>
        <v>5460</v>
      </c>
      <c r="AP38" s="42">
        <f t="shared" si="4"/>
        <v>6090</v>
      </c>
      <c r="AQ38" s="42">
        <f t="shared" si="4"/>
        <v>14976</v>
      </c>
    </row>
    <row r="39" spans="2:43" x14ac:dyDescent="0.3">
      <c r="B39" s="2" t="s">
        <v>1785</v>
      </c>
      <c r="C39" s="42">
        <f t="shared" si="6"/>
        <v>100</v>
      </c>
      <c r="D39" s="21">
        <v>1</v>
      </c>
      <c r="E39" s="2">
        <f t="shared" si="7"/>
        <v>100</v>
      </c>
      <c r="G39" s="125"/>
      <c r="H39" s="2">
        <v>30</v>
      </c>
      <c r="I39" s="2">
        <v>1.05</v>
      </c>
      <c r="M39" s="2">
        <v>21</v>
      </c>
      <c r="N39" s="42">
        <f t="shared" si="5"/>
        <v>102.00000000000031</v>
      </c>
      <c r="O39" s="42">
        <f t="shared" si="5"/>
        <v>240.00000000000063</v>
      </c>
      <c r="P39" s="42">
        <f t="shared" si="5"/>
        <v>512.0000000000008</v>
      </c>
      <c r="Q39" s="42">
        <f t="shared" si="5"/>
        <v>956.99999999999989</v>
      </c>
      <c r="R39" s="42">
        <f t="shared" si="5"/>
        <v>1512</v>
      </c>
      <c r="S39" s="42">
        <f t="shared" si="5"/>
        <v>1728</v>
      </c>
      <c r="T39" s="42">
        <f t="shared" si="5"/>
        <v>4410</v>
      </c>
      <c r="U39" s="42">
        <f t="shared" si="5"/>
        <v>5460</v>
      </c>
      <c r="V39" s="42">
        <f t="shared" si="5"/>
        <v>6090</v>
      </c>
      <c r="W39" s="42">
        <f t="shared" si="5"/>
        <v>14976</v>
      </c>
      <c r="X39" s="42">
        <f t="shared" si="5"/>
        <v>102.00000000000031</v>
      </c>
      <c r="Y39" s="42">
        <f t="shared" si="5"/>
        <v>240.00000000000063</v>
      </c>
      <c r="Z39" s="42">
        <f t="shared" si="5"/>
        <v>512.0000000000008</v>
      </c>
      <c r="AA39" s="42">
        <f t="shared" si="5"/>
        <v>956.99999999999989</v>
      </c>
      <c r="AB39" s="42">
        <f t="shared" si="5"/>
        <v>1512</v>
      </c>
      <c r="AC39" s="42">
        <f t="shared" si="4"/>
        <v>1728</v>
      </c>
      <c r="AD39" s="42">
        <f t="shared" si="4"/>
        <v>4410</v>
      </c>
      <c r="AE39" s="42">
        <f t="shared" si="4"/>
        <v>5460</v>
      </c>
      <c r="AF39" s="42">
        <f t="shared" si="4"/>
        <v>6090</v>
      </c>
      <c r="AG39" s="42">
        <f t="shared" si="4"/>
        <v>14976</v>
      </c>
      <c r="AH39" s="42">
        <f t="shared" si="4"/>
        <v>102.00000000000031</v>
      </c>
      <c r="AI39" s="42">
        <f t="shared" si="4"/>
        <v>240.00000000000063</v>
      </c>
      <c r="AJ39" s="42">
        <f t="shared" si="4"/>
        <v>512.0000000000008</v>
      </c>
      <c r="AK39" s="42">
        <f t="shared" si="4"/>
        <v>956.99999999999989</v>
      </c>
      <c r="AL39" s="42">
        <f t="shared" si="4"/>
        <v>1512</v>
      </c>
      <c r="AM39" s="42">
        <f t="shared" si="4"/>
        <v>1728</v>
      </c>
      <c r="AN39" s="42">
        <f t="shared" si="4"/>
        <v>4410</v>
      </c>
      <c r="AO39" s="42">
        <f t="shared" si="4"/>
        <v>5460</v>
      </c>
      <c r="AP39" s="42">
        <f t="shared" si="4"/>
        <v>6090</v>
      </c>
      <c r="AQ39" s="42">
        <f t="shared" si="4"/>
        <v>14976</v>
      </c>
    </row>
    <row r="40" spans="2:43" x14ac:dyDescent="0.3">
      <c r="B40" s="2" t="s">
        <v>1786</v>
      </c>
      <c r="C40" s="42">
        <f t="shared" si="6"/>
        <v>105</v>
      </c>
      <c r="D40" s="21">
        <v>1</v>
      </c>
      <c r="E40" s="2">
        <f t="shared" si="7"/>
        <v>110</v>
      </c>
      <c r="G40" s="125"/>
      <c r="H40" s="2">
        <v>60</v>
      </c>
      <c r="I40" s="2">
        <v>1</v>
      </c>
      <c r="M40" s="2">
        <v>22</v>
      </c>
      <c r="N40" s="42">
        <f t="shared" si="5"/>
        <v>102.00000000000031</v>
      </c>
      <c r="O40" s="42">
        <f t="shared" si="5"/>
        <v>240.00000000000063</v>
      </c>
      <c r="P40" s="42">
        <f t="shared" si="5"/>
        <v>512.0000000000008</v>
      </c>
      <c r="Q40" s="42">
        <f t="shared" si="5"/>
        <v>956.99999999999989</v>
      </c>
      <c r="R40" s="42">
        <f t="shared" si="5"/>
        <v>1512</v>
      </c>
      <c r="S40" s="42">
        <f t="shared" si="5"/>
        <v>1728</v>
      </c>
      <c r="T40" s="42">
        <f t="shared" si="5"/>
        <v>4410</v>
      </c>
      <c r="U40" s="42">
        <f t="shared" si="5"/>
        <v>5460</v>
      </c>
      <c r="V40" s="42">
        <f t="shared" si="5"/>
        <v>6090</v>
      </c>
      <c r="W40" s="42">
        <f t="shared" si="5"/>
        <v>14976</v>
      </c>
      <c r="X40" s="42">
        <f t="shared" si="5"/>
        <v>102.00000000000031</v>
      </c>
      <c r="Y40" s="42">
        <f t="shared" si="5"/>
        <v>240.00000000000063</v>
      </c>
      <c r="Z40" s="42">
        <f t="shared" si="5"/>
        <v>512.0000000000008</v>
      </c>
      <c r="AA40" s="42">
        <f t="shared" si="5"/>
        <v>956.99999999999989</v>
      </c>
      <c r="AB40" s="42">
        <f t="shared" si="5"/>
        <v>1512</v>
      </c>
      <c r="AC40" s="42">
        <f t="shared" si="4"/>
        <v>1728</v>
      </c>
      <c r="AD40" s="42">
        <f t="shared" si="4"/>
        <v>4410</v>
      </c>
      <c r="AE40" s="42">
        <f t="shared" si="4"/>
        <v>5460</v>
      </c>
      <c r="AF40" s="42">
        <f t="shared" si="4"/>
        <v>6090</v>
      </c>
      <c r="AG40" s="42">
        <f t="shared" si="4"/>
        <v>14976</v>
      </c>
      <c r="AH40" s="42">
        <f t="shared" si="4"/>
        <v>102.00000000000031</v>
      </c>
      <c r="AI40" s="42">
        <f t="shared" si="4"/>
        <v>240.00000000000063</v>
      </c>
      <c r="AJ40" s="42">
        <f t="shared" si="4"/>
        <v>512.0000000000008</v>
      </c>
      <c r="AK40" s="42">
        <f t="shared" si="4"/>
        <v>956.99999999999989</v>
      </c>
      <c r="AL40" s="42">
        <f t="shared" si="4"/>
        <v>1512</v>
      </c>
      <c r="AM40" s="42">
        <f t="shared" si="4"/>
        <v>1728</v>
      </c>
      <c r="AN40" s="42">
        <f t="shared" si="4"/>
        <v>4410</v>
      </c>
      <c r="AO40" s="42">
        <f t="shared" si="4"/>
        <v>5460</v>
      </c>
      <c r="AP40" s="42">
        <f t="shared" si="4"/>
        <v>6090</v>
      </c>
      <c r="AQ40" s="42">
        <f t="shared" si="4"/>
        <v>14976</v>
      </c>
    </row>
    <row r="41" spans="2:43" x14ac:dyDescent="0.3">
      <c r="B41" s="2" t="s">
        <v>1787</v>
      </c>
      <c r="C41" s="42">
        <f t="shared" si="6"/>
        <v>130</v>
      </c>
      <c r="D41" s="21">
        <v>1</v>
      </c>
      <c r="E41" s="2">
        <f t="shared" si="7"/>
        <v>130</v>
      </c>
      <c r="G41" s="125"/>
      <c r="H41" s="2">
        <v>120</v>
      </c>
      <c r="I41" s="2">
        <v>0.95</v>
      </c>
      <c r="M41" s="2">
        <v>23</v>
      </c>
      <c r="N41" s="42">
        <f t="shared" si="5"/>
        <v>102.00000000000031</v>
      </c>
      <c r="O41" s="42">
        <f t="shared" si="5"/>
        <v>240.00000000000063</v>
      </c>
      <c r="P41" s="42">
        <f t="shared" si="5"/>
        <v>512.0000000000008</v>
      </c>
      <c r="Q41" s="42">
        <f t="shared" si="5"/>
        <v>956.99999999999989</v>
      </c>
      <c r="R41" s="42">
        <f t="shared" si="5"/>
        <v>1512</v>
      </c>
      <c r="S41" s="42">
        <f t="shared" si="5"/>
        <v>1728</v>
      </c>
      <c r="T41" s="42">
        <f t="shared" si="5"/>
        <v>4410</v>
      </c>
      <c r="U41" s="42">
        <f t="shared" si="5"/>
        <v>5460</v>
      </c>
      <c r="V41" s="42">
        <f t="shared" si="5"/>
        <v>6090</v>
      </c>
      <c r="W41" s="42">
        <f t="shared" si="5"/>
        <v>14976</v>
      </c>
      <c r="X41" s="42">
        <f t="shared" si="5"/>
        <v>102.00000000000031</v>
      </c>
      <c r="Y41" s="42">
        <f t="shared" si="5"/>
        <v>240.00000000000063</v>
      </c>
      <c r="Z41" s="42">
        <f t="shared" si="5"/>
        <v>512.0000000000008</v>
      </c>
      <c r="AA41" s="42">
        <f t="shared" si="5"/>
        <v>956.99999999999989</v>
      </c>
      <c r="AB41" s="42">
        <f t="shared" si="5"/>
        <v>1512</v>
      </c>
      <c r="AC41" s="42">
        <f t="shared" si="4"/>
        <v>1728</v>
      </c>
      <c r="AD41" s="42">
        <f t="shared" si="4"/>
        <v>4410</v>
      </c>
      <c r="AE41" s="42">
        <f t="shared" si="4"/>
        <v>5460</v>
      </c>
      <c r="AF41" s="42">
        <f t="shared" si="4"/>
        <v>6090</v>
      </c>
      <c r="AG41" s="42">
        <f t="shared" si="4"/>
        <v>14976</v>
      </c>
      <c r="AH41" s="42">
        <f t="shared" si="4"/>
        <v>102.00000000000031</v>
      </c>
      <c r="AI41" s="42">
        <f t="shared" si="4"/>
        <v>240.00000000000063</v>
      </c>
      <c r="AJ41" s="42">
        <f t="shared" si="4"/>
        <v>512.0000000000008</v>
      </c>
      <c r="AK41" s="42">
        <f t="shared" si="4"/>
        <v>956.99999999999989</v>
      </c>
      <c r="AL41" s="42">
        <f t="shared" si="4"/>
        <v>1512</v>
      </c>
      <c r="AM41" s="42">
        <f t="shared" si="4"/>
        <v>1728</v>
      </c>
      <c r="AN41" s="42">
        <f t="shared" si="4"/>
        <v>4410</v>
      </c>
      <c r="AO41" s="42">
        <f t="shared" si="4"/>
        <v>5460</v>
      </c>
      <c r="AP41" s="42">
        <f t="shared" si="4"/>
        <v>6090</v>
      </c>
      <c r="AQ41" s="42">
        <f t="shared" si="4"/>
        <v>14976</v>
      </c>
    </row>
    <row r="42" spans="2:43" x14ac:dyDescent="0.3">
      <c r="B42" s="2" t="s">
        <v>1788</v>
      </c>
      <c r="C42" s="42">
        <f t="shared" si="6"/>
        <v>145</v>
      </c>
      <c r="D42" s="21">
        <v>1</v>
      </c>
      <c r="E42" s="2">
        <f t="shared" si="7"/>
        <v>150</v>
      </c>
      <c r="G42" s="125"/>
      <c r="H42" s="2">
        <v>480</v>
      </c>
      <c r="I42" s="2">
        <v>0.9</v>
      </c>
      <c r="M42" s="2">
        <v>24</v>
      </c>
      <c r="N42" s="42">
        <f t="shared" si="5"/>
        <v>102.00000000000031</v>
      </c>
      <c r="O42" s="42">
        <f t="shared" si="5"/>
        <v>240.00000000000063</v>
      </c>
      <c r="P42" s="42">
        <f t="shared" si="5"/>
        <v>512.0000000000008</v>
      </c>
      <c r="Q42" s="42">
        <f t="shared" si="5"/>
        <v>956.99999999999989</v>
      </c>
      <c r="R42" s="42">
        <f t="shared" si="5"/>
        <v>1512</v>
      </c>
      <c r="S42" s="42">
        <f t="shared" si="5"/>
        <v>1728</v>
      </c>
      <c r="T42" s="42">
        <f t="shared" si="5"/>
        <v>4410</v>
      </c>
      <c r="U42" s="42">
        <f t="shared" si="5"/>
        <v>5460</v>
      </c>
      <c r="V42" s="42">
        <f t="shared" si="5"/>
        <v>6090</v>
      </c>
      <c r="W42" s="42">
        <f t="shared" si="5"/>
        <v>14976</v>
      </c>
      <c r="X42" s="42">
        <f t="shared" si="5"/>
        <v>102.00000000000031</v>
      </c>
      <c r="Y42" s="42">
        <f t="shared" si="5"/>
        <v>240.00000000000063</v>
      </c>
      <c r="Z42" s="42">
        <f t="shared" si="5"/>
        <v>512.0000000000008</v>
      </c>
      <c r="AA42" s="42">
        <f t="shared" si="5"/>
        <v>956.99999999999989</v>
      </c>
      <c r="AB42" s="42">
        <f t="shared" si="5"/>
        <v>1512</v>
      </c>
      <c r="AC42" s="42">
        <f t="shared" si="4"/>
        <v>1728</v>
      </c>
      <c r="AD42" s="42">
        <f t="shared" si="4"/>
        <v>4410</v>
      </c>
      <c r="AE42" s="42">
        <f t="shared" si="4"/>
        <v>5460</v>
      </c>
      <c r="AF42" s="42">
        <f t="shared" si="4"/>
        <v>6090</v>
      </c>
      <c r="AG42" s="42">
        <f t="shared" si="4"/>
        <v>14976</v>
      </c>
      <c r="AH42" s="42">
        <f t="shared" si="4"/>
        <v>102.00000000000031</v>
      </c>
      <c r="AI42" s="42">
        <f t="shared" si="4"/>
        <v>240.00000000000063</v>
      </c>
      <c r="AJ42" s="42">
        <f t="shared" si="4"/>
        <v>512.0000000000008</v>
      </c>
      <c r="AK42" s="42">
        <f t="shared" si="4"/>
        <v>956.99999999999989</v>
      </c>
      <c r="AL42" s="42">
        <f t="shared" si="4"/>
        <v>1512</v>
      </c>
      <c r="AM42" s="42">
        <f t="shared" si="4"/>
        <v>1728</v>
      </c>
      <c r="AN42" s="42">
        <f t="shared" si="4"/>
        <v>4410</v>
      </c>
      <c r="AO42" s="42">
        <f t="shared" si="4"/>
        <v>5460</v>
      </c>
      <c r="AP42" s="42">
        <f t="shared" si="4"/>
        <v>6090</v>
      </c>
      <c r="AQ42" s="42">
        <f t="shared" si="4"/>
        <v>14976</v>
      </c>
    </row>
    <row r="43" spans="2:43" x14ac:dyDescent="0.3">
      <c r="B43" s="2" t="s">
        <v>1789</v>
      </c>
      <c r="C43" s="42">
        <f t="shared" si="6"/>
        <v>195</v>
      </c>
      <c r="D43" s="21">
        <v>1</v>
      </c>
      <c r="E43" s="2">
        <f t="shared" si="7"/>
        <v>200</v>
      </c>
      <c r="G43" s="125"/>
    </row>
    <row r="44" spans="2:43" x14ac:dyDescent="0.3">
      <c r="B44" s="2" t="s">
        <v>1790</v>
      </c>
      <c r="C44" s="42" t="e">
        <f t="shared" si="6"/>
        <v>#N/A</v>
      </c>
      <c r="D44" s="21">
        <v>1</v>
      </c>
      <c r="E44" s="2" t="e">
        <f t="shared" si="7"/>
        <v>#N/A</v>
      </c>
      <c r="G44" s="125"/>
      <c r="M44" s="262" t="s">
        <v>1796</v>
      </c>
      <c r="N44" s="262"/>
      <c r="O44" s="262"/>
      <c r="P44" s="262"/>
      <c r="Q44" s="262"/>
      <c r="R44" s="262"/>
      <c r="S44" s="262"/>
      <c r="T44" s="262"/>
      <c r="U44" s="262"/>
      <c r="V44" s="262"/>
      <c r="W44" s="262"/>
      <c r="X44" s="262"/>
      <c r="Y44" s="262"/>
      <c r="Z44" s="262"/>
      <c r="AA44" s="262"/>
      <c r="AB44" s="262"/>
      <c r="AC44" s="262"/>
      <c r="AD44" s="262"/>
      <c r="AE44" s="262"/>
      <c r="AF44" s="262"/>
      <c r="AG44" s="262"/>
      <c r="AH44" s="262"/>
      <c r="AI44" s="262"/>
      <c r="AJ44" s="262"/>
      <c r="AK44" s="262"/>
      <c r="AL44" s="262"/>
      <c r="AM44" s="262"/>
      <c r="AN44" s="262"/>
      <c r="AO44" s="262"/>
      <c r="AP44" s="262"/>
      <c r="AQ44" s="262"/>
    </row>
    <row r="45" spans="2:43" x14ac:dyDescent="0.3">
      <c r="B45" s="2" t="s">
        <v>1791</v>
      </c>
      <c r="C45" s="42" t="e">
        <f t="shared" si="6"/>
        <v>#N/A</v>
      </c>
      <c r="D45" s="21">
        <v>1</v>
      </c>
      <c r="E45" s="2" t="e">
        <f t="shared" si="7"/>
        <v>#N/A</v>
      </c>
      <c r="G45" s="125"/>
      <c r="H45" s="2" t="s">
        <v>1797</v>
      </c>
      <c r="I45" s="2" t="s">
        <v>1795</v>
      </c>
      <c r="M45" s="2" t="s">
        <v>385</v>
      </c>
      <c r="N45" s="2" t="s">
        <v>518</v>
      </c>
      <c r="O45" s="2" t="s">
        <v>524</v>
      </c>
      <c r="P45" s="2" t="s">
        <v>616</v>
      </c>
      <c r="Q45" s="2" t="s">
        <v>530</v>
      </c>
      <c r="R45" s="2" t="s">
        <v>620</v>
      </c>
      <c r="S45" s="2" t="s">
        <v>622</v>
      </c>
      <c r="T45" s="2" t="s">
        <v>624</v>
      </c>
      <c r="U45" s="2" t="s">
        <v>627</v>
      </c>
      <c r="V45" s="2" t="s">
        <v>629</v>
      </c>
      <c r="W45" s="2" t="s">
        <v>631</v>
      </c>
      <c r="X45" s="2" t="s">
        <v>520</v>
      </c>
      <c r="Y45" s="2" t="s">
        <v>526</v>
      </c>
      <c r="Z45" s="2" t="s">
        <v>636</v>
      </c>
      <c r="AA45" s="2" t="s">
        <v>534</v>
      </c>
      <c r="AB45" s="2" t="s">
        <v>639</v>
      </c>
      <c r="AC45" s="2" t="s">
        <v>641</v>
      </c>
      <c r="AD45" s="2" t="s">
        <v>643</v>
      </c>
      <c r="AE45" s="2" t="s">
        <v>645</v>
      </c>
      <c r="AF45" s="2" t="s">
        <v>647</v>
      </c>
      <c r="AG45" s="2" t="s">
        <v>649</v>
      </c>
      <c r="AH45" s="2" t="s">
        <v>651</v>
      </c>
      <c r="AI45" s="2" t="s">
        <v>653</v>
      </c>
      <c r="AJ45" s="2" t="s">
        <v>655</v>
      </c>
      <c r="AK45" s="2" t="s">
        <v>538</v>
      </c>
      <c r="AL45" s="2" t="s">
        <v>658</v>
      </c>
      <c r="AM45" s="2" t="s">
        <v>660</v>
      </c>
      <c r="AN45" s="2" t="s">
        <v>662</v>
      </c>
      <c r="AO45" s="2" t="s">
        <v>664</v>
      </c>
      <c r="AP45" s="2" t="s">
        <v>666</v>
      </c>
      <c r="AQ45" s="2" t="s">
        <v>668</v>
      </c>
    </row>
    <row r="46" spans="2:43" x14ac:dyDescent="0.3">
      <c r="G46" s="125"/>
      <c r="H46" s="2">
        <v>3</v>
      </c>
      <c r="I46" s="2">
        <v>0.8</v>
      </c>
      <c r="M46" s="2">
        <v>1</v>
      </c>
      <c r="N46" s="31">
        <f t="shared" ref="N46:AQ54" si="8">IFERROR(VLOOKUP(VLOOKUP(N$18,$H$3:$K$33,3,FALSE)&amp;VLOOKUP(N$18,$H$3:$K$33,4,FALSE)&amp;"碎片",$B$3:$C$27,2,FALSE)*VLOOKUP($M46,$M$3:$AE$15,MATCH(VLOOKUP(N$18,$H$3:$K$33,3,FALSE)&amp;VLOOKUP(N$18,$H$3:$K$33,4,FALSE),$M$3:$AE$3,0),FALSE),N45)</f>
        <v>100</v>
      </c>
      <c r="O46" s="31">
        <f t="shared" si="8"/>
        <v>100</v>
      </c>
      <c r="P46" s="31">
        <f t="shared" si="8"/>
        <v>133.33333333333334</v>
      </c>
      <c r="Q46" s="31">
        <f t="shared" si="8"/>
        <v>68.75</v>
      </c>
      <c r="R46" s="31">
        <f t="shared" si="8"/>
        <v>87.5</v>
      </c>
      <c r="S46" s="31">
        <f t="shared" si="8"/>
        <v>100</v>
      </c>
      <c r="T46" s="31">
        <f t="shared" si="8"/>
        <v>105</v>
      </c>
      <c r="U46" s="31">
        <f t="shared" si="8"/>
        <v>130</v>
      </c>
      <c r="V46" s="31">
        <f t="shared" si="8"/>
        <v>145</v>
      </c>
      <c r="W46" s="31">
        <f t="shared" si="8"/>
        <v>195</v>
      </c>
      <c r="X46" s="31">
        <f t="shared" si="8"/>
        <v>100</v>
      </c>
      <c r="Y46" s="31">
        <f t="shared" si="8"/>
        <v>100</v>
      </c>
      <c r="Z46" s="31">
        <f t="shared" si="8"/>
        <v>133.33333333333334</v>
      </c>
      <c r="AA46" s="31">
        <f t="shared" si="8"/>
        <v>68.75</v>
      </c>
      <c r="AB46" s="31">
        <f t="shared" si="8"/>
        <v>87.5</v>
      </c>
      <c r="AC46" s="31">
        <f t="shared" si="8"/>
        <v>100</v>
      </c>
      <c r="AD46" s="31">
        <f t="shared" si="8"/>
        <v>105</v>
      </c>
      <c r="AE46" s="31">
        <f t="shared" si="8"/>
        <v>130</v>
      </c>
      <c r="AF46" s="31">
        <f t="shared" si="8"/>
        <v>145</v>
      </c>
      <c r="AG46" s="31">
        <f t="shared" si="8"/>
        <v>195</v>
      </c>
      <c r="AH46" s="31">
        <f t="shared" si="8"/>
        <v>100</v>
      </c>
      <c r="AI46" s="31">
        <f t="shared" si="8"/>
        <v>100</v>
      </c>
      <c r="AJ46" s="31">
        <f t="shared" si="8"/>
        <v>133.33333333333334</v>
      </c>
      <c r="AK46" s="31">
        <f t="shared" si="8"/>
        <v>68.75</v>
      </c>
      <c r="AL46" s="31">
        <f t="shared" si="8"/>
        <v>87.5</v>
      </c>
      <c r="AM46" s="31">
        <f t="shared" si="8"/>
        <v>100</v>
      </c>
      <c r="AN46" s="31">
        <f t="shared" si="8"/>
        <v>105</v>
      </c>
      <c r="AO46" s="31">
        <f t="shared" si="8"/>
        <v>130</v>
      </c>
      <c r="AP46" s="31">
        <f t="shared" si="8"/>
        <v>145</v>
      </c>
      <c r="AQ46" s="31">
        <f t="shared" si="8"/>
        <v>195</v>
      </c>
    </row>
    <row r="47" spans="2:43" x14ac:dyDescent="0.3">
      <c r="G47" s="125"/>
      <c r="H47" s="2">
        <v>5</v>
      </c>
      <c r="I47" s="2">
        <v>0.9</v>
      </c>
      <c r="M47" s="2">
        <v>2</v>
      </c>
      <c r="N47" s="31">
        <f t="shared" si="8"/>
        <v>94</v>
      </c>
      <c r="O47" s="31">
        <f t="shared" si="8"/>
        <v>100</v>
      </c>
      <c r="P47" s="31">
        <f t="shared" si="8"/>
        <v>133.33333333333334</v>
      </c>
      <c r="Q47" s="31">
        <f t="shared" si="8"/>
        <v>68.75</v>
      </c>
      <c r="R47" s="31">
        <f t="shared" si="8"/>
        <v>87.5</v>
      </c>
      <c r="S47" s="31">
        <f t="shared" si="8"/>
        <v>100</v>
      </c>
      <c r="T47" s="31">
        <f t="shared" si="8"/>
        <v>105</v>
      </c>
      <c r="U47" s="31">
        <f t="shared" si="8"/>
        <v>130</v>
      </c>
      <c r="V47" s="31">
        <f t="shared" si="8"/>
        <v>145</v>
      </c>
      <c r="W47" s="31">
        <f t="shared" si="8"/>
        <v>195</v>
      </c>
      <c r="X47" s="31">
        <f t="shared" si="8"/>
        <v>94</v>
      </c>
      <c r="Y47" s="31">
        <f t="shared" si="8"/>
        <v>100</v>
      </c>
      <c r="Z47" s="31">
        <f t="shared" si="8"/>
        <v>133.33333333333334</v>
      </c>
      <c r="AA47" s="31">
        <f t="shared" si="8"/>
        <v>68.75</v>
      </c>
      <c r="AB47" s="31">
        <f t="shared" si="8"/>
        <v>87.5</v>
      </c>
      <c r="AC47" s="31">
        <f t="shared" si="8"/>
        <v>100</v>
      </c>
      <c r="AD47" s="31">
        <f t="shared" si="8"/>
        <v>105</v>
      </c>
      <c r="AE47" s="31">
        <f t="shared" si="8"/>
        <v>130</v>
      </c>
      <c r="AF47" s="31">
        <f t="shared" si="8"/>
        <v>145</v>
      </c>
      <c r="AG47" s="31">
        <f t="shared" si="8"/>
        <v>195</v>
      </c>
      <c r="AH47" s="31">
        <f t="shared" si="8"/>
        <v>94</v>
      </c>
      <c r="AI47" s="31">
        <f t="shared" si="8"/>
        <v>100</v>
      </c>
      <c r="AJ47" s="31">
        <f t="shared" si="8"/>
        <v>133.33333333333334</v>
      </c>
      <c r="AK47" s="31">
        <f t="shared" si="8"/>
        <v>68.75</v>
      </c>
      <c r="AL47" s="31">
        <f t="shared" si="8"/>
        <v>87.5</v>
      </c>
      <c r="AM47" s="31">
        <f t="shared" si="8"/>
        <v>100</v>
      </c>
      <c r="AN47" s="31">
        <f t="shared" si="8"/>
        <v>105</v>
      </c>
      <c r="AO47" s="31">
        <f t="shared" si="8"/>
        <v>130</v>
      </c>
      <c r="AP47" s="31">
        <f t="shared" si="8"/>
        <v>145</v>
      </c>
      <c r="AQ47" s="31">
        <f t="shared" si="8"/>
        <v>195</v>
      </c>
    </row>
    <row r="48" spans="2:43" x14ac:dyDescent="0.3">
      <c r="H48" s="2">
        <v>8</v>
      </c>
      <c r="I48" s="2">
        <v>1</v>
      </c>
      <c r="M48" s="2">
        <v>3</v>
      </c>
      <c r="N48" s="31">
        <f t="shared" si="8"/>
        <v>88</v>
      </c>
      <c r="O48" s="31">
        <f t="shared" si="8"/>
        <v>94</v>
      </c>
      <c r="P48" s="31">
        <f t="shared" si="8"/>
        <v>133.33333333333334</v>
      </c>
      <c r="Q48" s="31">
        <f t="shared" si="8"/>
        <v>68.75</v>
      </c>
      <c r="R48" s="31">
        <f t="shared" si="8"/>
        <v>87.5</v>
      </c>
      <c r="S48" s="31">
        <f t="shared" si="8"/>
        <v>100</v>
      </c>
      <c r="T48" s="31">
        <f t="shared" si="8"/>
        <v>105</v>
      </c>
      <c r="U48" s="31">
        <f t="shared" si="8"/>
        <v>130</v>
      </c>
      <c r="V48" s="31">
        <f t="shared" si="8"/>
        <v>145</v>
      </c>
      <c r="W48" s="31">
        <f t="shared" si="8"/>
        <v>195</v>
      </c>
      <c r="X48" s="31">
        <f t="shared" si="8"/>
        <v>88</v>
      </c>
      <c r="Y48" s="31">
        <f t="shared" si="8"/>
        <v>94</v>
      </c>
      <c r="Z48" s="31">
        <f t="shared" si="8"/>
        <v>133.33333333333334</v>
      </c>
      <c r="AA48" s="31">
        <f t="shared" si="8"/>
        <v>68.75</v>
      </c>
      <c r="AB48" s="31">
        <f t="shared" si="8"/>
        <v>87.5</v>
      </c>
      <c r="AC48" s="31">
        <f t="shared" si="8"/>
        <v>100</v>
      </c>
      <c r="AD48" s="31">
        <f t="shared" si="8"/>
        <v>105</v>
      </c>
      <c r="AE48" s="31">
        <f t="shared" si="8"/>
        <v>130</v>
      </c>
      <c r="AF48" s="31">
        <f t="shared" si="8"/>
        <v>145</v>
      </c>
      <c r="AG48" s="31">
        <f t="shared" si="8"/>
        <v>195</v>
      </c>
      <c r="AH48" s="31">
        <f t="shared" si="8"/>
        <v>88</v>
      </c>
      <c r="AI48" s="31">
        <f t="shared" si="8"/>
        <v>94</v>
      </c>
      <c r="AJ48" s="31">
        <f t="shared" si="8"/>
        <v>133.33333333333334</v>
      </c>
      <c r="AK48" s="31">
        <f t="shared" si="8"/>
        <v>68.75</v>
      </c>
      <c r="AL48" s="31">
        <f t="shared" si="8"/>
        <v>87.5</v>
      </c>
      <c r="AM48" s="31">
        <f t="shared" si="8"/>
        <v>100</v>
      </c>
      <c r="AN48" s="31">
        <f t="shared" si="8"/>
        <v>105</v>
      </c>
      <c r="AO48" s="31">
        <f t="shared" si="8"/>
        <v>130</v>
      </c>
      <c r="AP48" s="31">
        <f t="shared" si="8"/>
        <v>145</v>
      </c>
      <c r="AQ48" s="31">
        <f t="shared" si="8"/>
        <v>195</v>
      </c>
    </row>
    <row r="49" spans="2:43" x14ac:dyDescent="0.3">
      <c r="B49" s="262" t="s">
        <v>1798</v>
      </c>
      <c r="C49" s="262"/>
      <c r="D49" s="262"/>
      <c r="E49" s="262"/>
      <c r="F49" s="262"/>
      <c r="M49" s="2">
        <v>4</v>
      </c>
      <c r="N49" s="31">
        <f t="shared" si="8"/>
        <v>82</v>
      </c>
      <c r="O49" s="31">
        <f t="shared" si="8"/>
        <v>88</v>
      </c>
      <c r="P49" s="31">
        <f t="shared" si="8"/>
        <v>128</v>
      </c>
      <c r="Q49" s="31">
        <f t="shared" si="8"/>
        <v>68.75</v>
      </c>
      <c r="R49" s="31">
        <f t="shared" si="8"/>
        <v>87.5</v>
      </c>
      <c r="S49" s="31">
        <f t="shared" si="8"/>
        <v>100</v>
      </c>
      <c r="T49" s="31">
        <f t="shared" si="8"/>
        <v>105</v>
      </c>
      <c r="U49" s="31">
        <f t="shared" si="8"/>
        <v>130</v>
      </c>
      <c r="V49" s="31">
        <f t="shared" si="8"/>
        <v>145</v>
      </c>
      <c r="W49" s="31">
        <f t="shared" si="8"/>
        <v>195</v>
      </c>
      <c r="X49" s="31">
        <f t="shared" si="8"/>
        <v>82</v>
      </c>
      <c r="Y49" s="31">
        <f t="shared" si="8"/>
        <v>88</v>
      </c>
      <c r="Z49" s="31">
        <f t="shared" si="8"/>
        <v>128</v>
      </c>
      <c r="AA49" s="31">
        <f t="shared" si="8"/>
        <v>68.75</v>
      </c>
      <c r="AB49" s="31">
        <f t="shared" si="8"/>
        <v>87.5</v>
      </c>
      <c r="AC49" s="31">
        <f t="shared" si="8"/>
        <v>100</v>
      </c>
      <c r="AD49" s="31">
        <f t="shared" si="8"/>
        <v>105</v>
      </c>
      <c r="AE49" s="31">
        <f t="shared" si="8"/>
        <v>130</v>
      </c>
      <c r="AF49" s="31">
        <f t="shared" si="8"/>
        <v>145</v>
      </c>
      <c r="AG49" s="31">
        <f t="shared" si="8"/>
        <v>195</v>
      </c>
      <c r="AH49" s="31">
        <f t="shared" si="8"/>
        <v>82</v>
      </c>
      <c r="AI49" s="31">
        <f t="shared" si="8"/>
        <v>88</v>
      </c>
      <c r="AJ49" s="31">
        <f t="shared" si="8"/>
        <v>128</v>
      </c>
      <c r="AK49" s="31">
        <f t="shared" si="8"/>
        <v>68.75</v>
      </c>
      <c r="AL49" s="31">
        <f t="shared" si="8"/>
        <v>87.5</v>
      </c>
      <c r="AM49" s="31">
        <f t="shared" si="8"/>
        <v>100</v>
      </c>
      <c r="AN49" s="31">
        <f t="shared" si="8"/>
        <v>105</v>
      </c>
      <c r="AO49" s="31">
        <f t="shared" si="8"/>
        <v>130</v>
      </c>
      <c r="AP49" s="31">
        <f t="shared" si="8"/>
        <v>145</v>
      </c>
      <c r="AQ49" s="31">
        <f t="shared" si="8"/>
        <v>195</v>
      </c>
    </row>
    <row r="50" spans="2:43" x14ac:dyDescent="0.3">
      <c r="B50" s="2" t="str">
        <f>[1]坦克部件养成!B21</f>
        <v>时间戳(分)</v>
      </c>
      <c r="C50" s="2" t="str">
        <f>[1]坦克部件养成!C21</f>
        <v>时间戳(秒)</v>
      </c>
      <c r="D50" s="2" t="str">
        <f>[1]坦克部件养成!D21</f>
        <v>1钻时长(秒)</v>
      </c>
      <c r="E50" s="2" t="str">
        <f>[1]坦克部件养成!E21</f>
        <v>消耗钻石</v>
      </c>
      <c r="F50" s="2" t="str">
        <f>[1]坦克部件养成!F21</f>
        <v>时间/钻</v>
      </c>
      <c r="M50" s="2">
        <v>5</v>
      </c>
      <c r="N50" s="31">
        <f t="shared" si="8"/>
        <v>76</v>
      </c>
      <c r="O50" s="31">
        <f t="shared" si="8"/>
        <v>82</v>
      </c>
      <c r="P50" s="31">
        <f t="shared" si="8"/>
        <v>122.66666666666669</v>
      </c>
      <c r="Q50" s="31">
        <f t="shared" si="8"/>
        <v>68.75</v>
      </c>
      <c r="R50" s="31">
        <f t="shared" si="8"/>
        <v>87.5</v>
      </c>
      <c r="S50" s="31">
        <f t="shared" si="8"/>
        <v>100</v>
      </c>
      <c r="T50" s="31">
        <f t="shared" si="8"/>
        <v>105</v>
      </c>
      <c r="U50" s="31">
        <f t="shared" si="8"/>
        <v>130</v>
      </c>
      <c r="V50" s="31">
        <f t="shared" si="8"/>
        <v>145</v>
      </c>
      <c r="W50" s="31">
        <f t="shared" si="8"/>
        <v>195</v>
      </c>
      <c r="X50" s="31">
        <f t="shared" si="8"/>
        <v>76</v>
      </c>
      <c r="Y50" s="31">
        <f t="shared" si="8"/>
        <v>82</v>
      </c>
      <c r="Z50" s="31">
        <f t="shared" si="8"/>
        <v>122.66666666666669</v>
      </c>
      <c r="AA50" s="31">
        <f t="shared" si="8"/>
        <v>68.75</v>
      </c>
      <c r="AB50" s="31">
        <f t="shared" si="8"/>
        <v>87.5</v>
      </c>
      <c r="AC50" s="31">
        <f t="shared" si="8"/>
        <v>100</v>
      </c>
      <c r="AD50" s="31">
        <f t="shared" si="8"/>
        <v>105</v>
      </c>
      <c r="AE50" s="31">
        <f t="shared" si="8"/>
        <v>130</v>
      </c>
      <c r="AF50" s="31">
        <f t="shared" si="8"/>
        <v>145</v>
      </c>
      <c r="AG50" s="31">
        <f t="shared" si="8"/>
        <v>195</v>
      </c>
      <c r="AH50" s="31">
        <f t="shared" si="8"/>
        <v>76</v>
      </c>
      <c r="AI50" s="31">
        <f t="shared" si="8"/>
        <v>82</v>
      </c>
      <c r="AJ50" s="31">
        <f t="shared" si="8"/>
        <v>122.66666666666669</v>
      </c>
      <c r="AK50" s="31">
        <f t="shared" si="8"/>
        <v>68.75</v>
      </c>
      <c r="AL50" s="31">
        <f t="shared" si="8"/>
        <v>87.5</v>
      </c>
      <c r="AM50" s="31">
        <f t="shared" si="8"/>
        <v>100</v>
      </c>
      <c r="AN50" s="31">
        <f t="shared" si="8"/>
        <v>105</v>
      </c>
      <c r="AO50" s="31">
        <f t="shared" si="8"/>
        <v>130</v>
      </c>
      <c r="AP50" s="31">
        <f t="shared" si="8"/>
        <v>145</v>
      </c>
      <c r="AQ50" s="31">
        <f t="shared" si="8"/>
        <v>195</v>
      </c>
    </row>
    <row r="51" spans="2:43" x14ac:dyDescent="0.3">
      <c r="B51" s="2">
        <f>[1]坦克部件养成!B22</f>
        <v>0</v>
      </c>
      <c r="C51" s="2">
        <f>[1]坦克部件养成!C22</f>
        <v>0</v>
      </c>
      <c r="D51" s="2">
        <f>[1]坦克部件养成!D22</f>
        <v>60</v>
      </c>
      <c r="E51" s="2">
        <f>[1]坦克部件养成!E22</f>
        <v>0</v>
      </c>
      <c r="F51" s="42">
        <f>[1]坦克部件养成!F22</f>
        <v>60</v>
      </c>
      <c r="H51" s="2" t="s">
        <v>1799</v>
      </c>
      <c r="I51" s="21">
        <v>0.5</v>
      </c>
      <c r="M51" s="2">
        <v>6</v>
      </c>
      <c r="N51" s="31">
        <f t="shared" si="8"/>
        <v>70</v>
      </c>
      <c r="O51" s="31">
        <f t="shared" si="8"/>
        <v>76</v>
      </c>
      <c r="P51" s="31">
        <f t="shared" si="8"/>
        <v>117.33333333333334</v>
      </c>
      <c r="Q51" s="31">
        <f t="shared" si="8"/>
        <v>64.625</v>
      </c>
      <c r="R51" s="31">
        <f t="shared" si="8"/>
        <v>84</v>
      </c>
      <c r="S51" s="31">
        <f t="shared" si="8"/>
        <v>96</v>
      </c>
      <c r="T51" s="31">
        <f t="shared" si="8"/>
        <v>105</v>
      </c>
      <c r="U51" s="31">
        <f t="shared" si="8"/>
        <v>130</v>
      </c>
      <c r="V51" s="31">
        <f t="shared" si="8"/>
        <v>145</v>
      </c>
      <c r="W51" s="31">
        <f t="shared" si="8"/>
        <v>195</v>
      </c>
      <c r="X51" s="31">
        <f t="shared" si="8"/>
        <v>70</v>
      </c>
      <c r="Y51" s="31">
        <f t="shared" si="8"/>
        <v>76</v>
      </c>
      <c r="Z51" s="31">
        <f t="shared" si="8"/>
        <v>117.33333333333334</v>
      </c>
      <c r="AA51" s="31">
        <f t="shared" si="8"/>
        <v>64.625</v>
      </c>
      <c r="AB51" s="31">
        <f t="shared" si="8"/>
        <v>84</v>
      </c>
      <c r="AC51" s="31">
        <f t="shared" si="8"/>
        <v>96</v>
      </c>
      <c r="AD51" s="31">
        <f t="shared" si="8"/>
        <v>105</v>
      </c>
      <c r="AE51" s="31">
        <f t="shared" si="8"/>
        <v>130</v>
      </c>
      <c r="AF51" s="31">
        <f t="shared" si="8"/>
        <v>145</v>
      </c>
      <c r="AG51" s="31">
        <f t="shared" si="8"/>
        <v>195</v>
      </c>
      <c r="AH51" s="31">
        <f t="shared" si="8"/>
        <v>70</v>
      </c>
      <c r="AI51" s="31">
        <f t="shared" si="8"/>
        <v>76</v>
      </c>
      <c r="AJ51" s="31">
        <f t="shared" si="8"/>
        <v>117.33333333333334</v>
      </c>
      <c r="AK51" s="31">
        <f t="shared" si="8"/>
        <v>64.625</v>
      </c>
      <c r="AL51" s="31">
        <f t="shared" si="8"/>
        <v>84</v>
      </c>
      <c r="AM51" s="31">
        <f t="shared" si="8"/>
        <v>96</v>
      </c>
      <c r="AN51" s="31">
        <f t="shared" si="8"/>
        <v>105</v>
      </c>
      <c r="AO51" s="31">
        <f t="shared" si="8"/>
        <v>130</v>
      </c>
      <c r="AP51" s="31">
        <f t="shared" si="8"/>
        <v>145</v>
      </c>
      <c r="AQ51" s="31">
        <f t="shared" si="8"/>
        <v>195</v>
      </c>
    </row>
    <row r="52" spans="2:43" x14ac:dyDescent="0.3">
      <c r="B52" s="2">
        <f>[1]坦克部件养成!B23</f>
        <v>10</v>
      </c>
      <c r="C52" s="2">
        <f>[1]坦克部件养成!C23</f>
        <v>600</v>
      </c>
      <c r="D52" s="2">
        <f>[1]坦克部件养成!D23</f>
        <v>80</v>
      </c>
      <c r="E52" s="2">
        <f>[1]坦克部件养成!E23</f>
        <v>10</v>
      </c>
      <c r="F52" s="42">
        <f>[1]坦克部件养成!F23</f>
        <v>75</v>
      </c>
      <c r="M52" s="2">
        <v>7</v>
      </c>
      <c r="N52" s="31">
        <f t="shared" si="8"/>
        <v>64</v>
      </c>
      <c r="O52" s="31">
        <f t="shared" si="8"/>
        <v>70</v>
      </c>
      <c r="P52" s="31">
        <f t="shared" si="8"/>
        <v>112</v>
      </c>
      <c r="Q52" s="31">
        <f t="shared" si="8"/>
        <v>60.5</v>
      </c>
      <c r="R52" s="31">
        <f t="shared" si="8"/>
        <v>80.5</v>
      </c>
      <c r="S52" s="31">
        <f t="shared" si="8"/>
        <v>92</v>
      </c>
      <c r="T52" s="31">
        <f t="shared" si="8"/>
        <v>105</v>
      </c>
      <c r="U52" s="31">
        <f t="shared" si="8"/>
        <v>130</v>
      </c>
      <c r="V52" s="31">
        <f t="shared" si="8"/>
        <v>145</v>
      </c>
      <c r="W52" s="31">
        <f t="shared" si="8"/>
        <v>195</v>
      </c>
      <c r="X52" s="31">
        <f t="shared" si="8"/>
        <v>64</v>
      </c>
      <c r="Y52" s="31">
        <f t="shared" si="8"/>
        <v>70</v>
      </c>
      <c r="Z52" s="31">
        <f t="shared" si="8"/>
        <v>112</v>
      </c>
      <c r="AA52" s="31">
        <f t="shared" si="8"/>
        <v>60.5</v>
      </c>
      <c r="AB52" s="31">
        <f t="shared" si="8"/>
        <v>80.5</v>
      </c>
      <c r="AC52" s="31">
        <f t="shared" si="8"/>
        <v>92</v>
      </c>
      <c r="AD52" s="31">
        <f t="shared" si="8"/>
        <v>105</v>
      </c>
      <c r="AE52" s="31">
        <f t="shared" si="8"/>
        <v>130</v>
      </c>
      <c r="AF52" s="31">
        <f t="shared" si="8"/>
        <v>145</v>
      </c>
      <c r="AG52" s="31">
        <f t="shared" si="8"/>
        <v>195</v>
      </c>
      <c r="AH52" s="31">
        <f t="shared" si="8"/>
        <v>64</v>
      </c>
      <c r="AI52" s="31">
        <f t="shared" si="8"/>
        <v>70</v>
      </c>
      <c r="AJ52" s="31">
        <f t="shared" si="8"/>
        <v>112</v>
      </c>
      <c r="AK52" s="31">
        <f t="shared" si="8"/>
        <v>60.5</v>
      </c>
      <c r="AL52" s="31">
        <f t="shared" si="8"/>
        <v>80.5</v>
      </c>
      <c r="AM52" s="31">
        <f t="shared" si="8"/>
        <v>92</v>
      </c>
      <c r="AN52" s="31">
        <f t="shared" si="8"/>
        <v>105</v>
      </c>
      <c r="AO52" s="31">
        <f t="shared" si="8"/>
        <v>130</v>
      </c>
      <c r="AP52" s="31">
        <f t="shared" si="8"/>
        <v>145</v>
      </c>
      <c r="AQ52" s="31">
        <f t="shared" si="8"/>
        <v>195</v>
      </c>
    </row>
    <row r="53" spans="2:43" x14ac:dyDescent="0.3">
      <c r="B53" s="2">
        <f>[1]坦克部件养成!B24</f>
        <v>60</v>
      </c>
      <c r="C53" s="2">
        <f>[1]坦克部件养成!C24</f>
        <v>3600</v>
      </c>
      <c r="D53" s="2">
        <f>[1]坦克部件养成!D24</f>
        <v>100</v>
      </c>
      <c r="E53" s="2">
        <f>[1]坦克部件养成!E24</f>
        <v>48</v>
      </c>
      <c r="F53" s="42">
        <f>[1]坦克部件养成!F24</f>
        <v>90</v>
      </c>
      <c r="M53" s="2">
        <v>8</v>
      </c>
      <c r="N53" s="31">
        <f t="shared" si="8"/>
        <v>57.999999999999993</v>
      </c>
      <c r="O53" s="31">
        <f t="shared" si="8"/>
        <v>64</v>
      </c>
      <c r="P53" s="31">
        <f t="shared" si="8"/>
        <v>106.66666666666669</v>
      </c>
      <c r="Q53" s="31">
        <f t="shared" si="8"/>
        <v>56.375</v>
      </c>
      <c r="R53" s="31">
        <f t="shared" si="8"/>
        <v>77</v>
      </c>
      <c r="S53" s="31">
        <f t="shared" si="8"/>
        <v>88</v>
      </c>
      <c r="T53" s="31">
        <f t="shared" si="8"/>
        <v>105</v>
      </c>
      <c r="U53" s="31">
        <f t="shared" si="8"/>
        <v>130</v>
      </c>
      <c r="V53" s="31">
        <f t="shared" si="8"/>
        <v>145</v>
      </c>
      <c r="W53" s="31">
        <f t="shared" si="8"/>
        <v>195</v>
      </c>
      <c r="X53" s="31">
        <f t="shared" si="8"/>
        <v>57.999999999999993</v>
      </c>
      <c r="Y53" s="31">
        <f t="shared" si="8"/>
        <v>64</v>
      </c>
      <c r="Z53" s="31">
        <f t="shared" si="8"/>
        <v>106.66666666666669</v>
      </c>
      <c r="AA53" s="31">
        <f t="shared" si="8"/>
        <v>56.375</v>
      </c>
      <c r="AB53" s="31">
        <f t="shared" si="8"/>
        <v>77</v>
      </c>
      <c r="AC53" s="31">
        <f t="shared" si="8"/>
        <v>88</v>
      </c>
      <c r="AD53" s="31">
        <f t="shared" si="8"/>
        <v>105</v>
      </c>
      <c r="AE53" s="31">
        <f t="shared" si="8"/>
        <v>130</v>
      </c>
      <c r="AF53" s="31">
        <f t="shared" si="8"/>
        <v>145</v>
      </c>
      <c r="AG53" s="31">
        <f t="shared" si="8"/>
        <v>195</v>
      </c>
      <c r="AH53" s="31">
        <f t="shared" si="8"/>
        <v>57.999999999999993</v>
      </c>
      <c r="AI53" s="31">
        <f t="shared" si="8"/>
        <v>64</v>
      </c>
      <c r="AJ53" s="31">
        <f t="shared" si="8"/>
        <v>106.66666666666669</v>
      </c>
      <c r="AK53" s="31">
        <f t="shared" si="8"/>
        <v>56.375</v>
      </c>
      <c r="AL53" s="31">
        <f t="shared" si="8"/>
        <v>77</v>
      </c>
      <c r="AM53" s="31">
        <f t="shared" si="8"/>
        <v>88</v>
      </c>
      <c r="AN53" s="31">
        <f t="shared" si="8"/>
        <v>105</v>
      </c>
      <c r="AO53" s="31">
        <f t="shared" si="8"/>
        <v>130</v>
      </c>
      <c r="AP53" s="31">
        <f t="shared" si="8"/>
        <v>145</v>
      </c>
      <c r="AQ53" s="31">
        <f t="shared" si="8"/>
        <v>195</v>
      </c>
    </row>
    <row r="54" spans="2:43" x14ac:dyDescent="0.3">
      <c r="B54" s="2">
        <f>[1]坦克部件养成!B25</f>
        <v>180</v>
      </c>
      <c r="C54" s="2">
        <f>[1]坦克部件养成!C25</f>
        <v>10800</v>
      </c>
      <c r="D54" s="2">
        <f>[1]坦克部件养成!D25</f>
        <v>120</v>
      </c>
      <c r="E54" s="2">
        <f>[1]坦克部件养成!E25</f>
        <v>120</v>
      </c>
      <c r="F54" s="42">
        <f>[1]坦克部件养成!F25</f>
        <v>110.769230769231</v>
      </c>
      <c r="M54" s="2">
        <v>9</v>
      </c>
      <c r="N54" s="31">
        <f t="shared" si="8"/>
        <v>52</v>
      </c>
      <c r="O54" s="31">
        <f t="shared" si="8"/>
        <v>57.999999999999993</v>
      </c>
      <c r="P54" s="31">
        <f t="shared" si="8"/>
        <v>101.33333333333334</v>
      </c>
      <c r="Q54" s="31">
        <f t="shared" si="8"/>
        <v>52.25</v>
      </c>
      <c r="R54" s="31">
        <f t="shared" si="8"/>
        <v>73.5</v>
      </c>
      <c r="S54" s="31">
        <f t="shared" si="8"/>
        <v>84</v>
      </c>
      <c r="T54" s="31">
        <f t="shared" si="8"/>
        <v>100.8</v>
      </c>
      <c r="U54" s="31">
        <f t="shared" si="8"/>
        <v>124.8</v>
      </c>
      <c r="V54" s="31">
        <f t="shared" si="8"/>
        <v>139.19999999999999</v>
      </c>
      <c r="W54" s="31">
        <f t="shared" si="8"/>
        <v>195</v>
      </c>
      <c r="X54" s="31">
        <f t="shared" si="8"/>
        <v>52</v>
      </c>
      <c r="Y54" s="31">
        <f t="shared" si="8"/>
        <v>57.999999999999993</v>
      </c>
      <c r="Z54" s="31">
        <f t="shared" si="8"/>
        <v>101.33333333333334</v>
      </c>
      <c r="AA54" s="31">
        <f t="shared" si="8"/>
        <v>52.25</v>
      </c>
      <c r="AB54" s="31">
        <f t="shared" si="8"/>
        <v>73.5</v>
      </c>
      <c r="AC54" s="31">
        <f t="shared" ref="AC54:AQ69" si="9">IFERROR(VLOOKUP(VLOOKUP(AC$18,$H$3:$K$33,3,FALSE)&amp;VLOOKUP(AC$18,$H$3:$K$33,4,FALSE)&amp;"碎片",$B$3:$C$27,2,FALSE)*VLOOKUP($M54,$M$3:$AE$15,MATCH(VLOOKUP(AC$18,$H$3:$K$33,3,FALSE)&amp;VLOOKUP(AC$18,$H$3:$K$33,4,FALSE),$M$3:$AE$3,0),FALSE),AC53)</f>
        <v>84</v>
      </c>
      <c r="AD54" s="31">
        <f t="shared" si="9"/>
        <v>100.8</v>
      </c>
      <c r="AE54" s="31">
        <f t="shared" si="9"/>
        <v>124.8</v>
      </c>
      <c r="AF54" s="31">
        <f t="shared" si="9"/>
        <v>139.19999999999999</v>
      </c>
      <c r="AG54" s="31">
        <f t="shared" si="9"/>
        <v>195</v>
      </c>
      <c r="AH54" s="31">
        <f t="shared" si="9"/>
        <v>52</v>
      </c>
      <c r="AI54" s="31">
        <f t="shared" si="9"/>
        <v>57.999999999999993</v>
      </c>
      <c r="AJ54" s="31">
        <f t="shared" si="9"/>
        <v>101.33333333333334</v>
      </c>
      <c r="AK54" s="31">
        <f t="shared" si="9"/>
        <v>52.25</v>
      </c>
      <c r="AL54" s="31">
        <f t="shared" si="9"/>
        <v>73.5</v>
      </c>
      <c r="AM54" s="31">
        <f t="shared" si="9"/>
        <v>84</v>
      </c>
      <c r="AN54" s="31">
        <f t="shared" si="9"/>
        <v>100.8</v>
      </c>
      <c r="AO54" s="31">
        <f t="shared" si="9"/>
        <v>124.8</v>
      </c>
      <c r="AP54" s="31">
        <f t="shared" si="9"/>
        <v>139.19999999999999</v>
      </c>
      <c r="AQ54" s="31">
        <f t="shared" si="9"/>
        <v>195</v>
      </c>
    </row>
    <row r="55" spans="2:43" x14ac:dyDescent="0.3">
      <c r="B55" s="2">
        <f>[1]坦克部件养成!B26</f>
        <v>720</v>
      </c>
      <c r="C55" s="2">
        <f>[1]坦克部件养成!C26</f>
        <v>43200</v>
      </c>
      <c r="D55" s="2">
        <f>[1]坦克部件养成!D26</f>
        <v>140</v>
      </c>
      <c r="E55" s="2">
        <f>[1]坦克部件养成!E26</f>
        <v>390</v>
      </c>
      <c r="F55" s="42">
        <f>[1]坦克部件养成!F26</f>
        <v>123.605150214592</v>
      </c>
      <c r="M55" s="2">
        <v>10</v>
      </c>
      <c r="N55" s="31">
        <f t="shared" ref="N55:AB69" si="10">IFERROR(VLOOKUP(VLOOKUP(N$18,$H$3:$K$33,3,FALSE)&amp;VLOOKUP(N$18,$H$3:$K$33,4,FALSE)&amp;"碎片",$B$3:$C$27,2,FALSE)*VLOOKUP($M55,$M$3:$AE$15,MATCH(VLOOKUP(N$18,$H$3:$K$33,3,FALSE)&amp;VLOOKUP(N$18,$H$3:$K$33,4,FALSE),$M$3:$AE$3,0),FALSE),N54)</f>
        <v>46</v>
      </c>
      <c r="O55" s="31">
        <f t="shared" si="10"/>
        <v>52</v>
      </c>
      <c r="P55" s="31">
        <f t="shared" si="10"/>
        <v>96</v>
      </c>
      <c r="Q55" s="31">
        <f t="shared" si="10"/>
        <v>48.125</v>
      </c>
      <c r="R55" s="31">
        <f t="shared" si="10"/>
        <v>70</v>
      </c>
      <c r="S55" s="31">
        <f t="shared" si="10"/>
        <v>80</v>
      </c>
      <c r="T55" s="31">
        <f t="shared" si="10"/>
        <v>96.600000000000009</v>
      </c>
      <c r="U55" s="31">
        <f t="shared" si="10"/>
        <v>119.60000000000001</v>
      </c>
      <c r="V55" s="31">
        <f t="shared" si="10"/>
        <v>133.4</v>
      </c>
      <c r="W55" s="31">
        <f t="shared" si="10"/>
        <v>195</v>
      </c>
      <c r="X55" s="31">
        <f t="shared" si="10"/>
        <v>46</v>
      </c>
      <c r="Y55" s="31">
        <f t="shared" si="10"/>
        <v>52</v>
      </c>
      <c r="Z55" s="31">
        <f t="shared" si="10"/>
        <v>96</v>
      </c>
      <c r="AA55" s="31">
        <f t="shared" si="10"/>
        <v>48.125</v>
      </c>
      <c r="AB55" s="31">
        <f t="shared" si="10"/>
        <v>70</v>
      </c>
      <c r="AC55" s="31">
        <f t="shared" si="9"/>
        <v>80</v>
      </c>
      <c r="AD55" s="31">
        <f t="shared" si="9"/>
        <v>96.600000000000009</v>
      </c>
      <c r="AE55" s="31">
        <f t="shared" si="9"/>
        <v>119.60000000000001</v>
      </c>
      <c r="AF55" s="31">
        <f t="shared" si="9"/>
        <v>133.4</v>
      </c>
      <c r="AG55" s="31">
        <f t="shared" si="9"/>
        <v>195</v>
      </c>
      <c r="AH55" s="31">
        <f t="shared" si="9"/>
        <v>46</v>
      </c>
      <c r="AI55" s="31">
        <f t="shared" si="9"/>
        <v>52</v>
      </c>
      <c r="AJ55" s="31">
        <f t="shared" si="9"/>
        <v>96</v>
      </c>
      <c r="AK55" s="31">
        <f t="shared" si="9"/>
        <v>48.125</v>
      </c>
      <c r="AL55" s="31">
        <f t="shared" si="9"/>
        <v>70</v>
      </c>
      <c r="AM55" s="31">
        <f t="shared" si="9"/>
        <v>80</v>
      </c>
      <c r="AN55" s="31">
        <f t="shared" si="9"/>
        <v>96.600000000000009</v>
      </c>
      <c r="AO55" s="31">
        <f t="shared" si="9"/>
        <v>119.60000000000001</v>
      </c>
      <c r="AP55" s="31">
        <f t="shared" si="9"/>
        <v>133.4</v>
      </c>
      <c r="AQ55" s="31">
        <f t="shared" si="9"/>
        <v>195</v>
      </c>
    </row>
    <row r="56" spans="2:43" x14ac:dyDescent="0.3">
      <c r="B56" s="2">
        <f>[1]坦克部件养成!B27</f>
        <v>1440</v>
      </c>
      <c r="C56" s="2">
        <f>[1]坦克部件养成!C27</f>
        <v>86400</v>
      </c>
      <c r="D56" s="2">
        <f>[1]坦克部件养成!D27</f>
        <v>160</v>
      </c>
      <c r="E56" s="2">
        <f>[1]坦克部件养成!E27</f>
        <v>699</v>
      </c>
      <c r="F56" s="42">
        <f>[1]坦克部件养成!F27</f>
        <v>139.467312348668</v>
      </c>
      <c r="M56" s="2">
        <v>11</v>
      </c>
      <c r="N56" s="31">
        <f t="shared" si="10"/>
        <v>40.000000000000099</v>
      </c>
      <c r="O56" s="31">
        <f t="shared" si="10"/>
        <v>46</v>
      </c>
      <c r="P56" s="31">
        <f t="shared" si="10"/>
        <v>90.666666666666814</v>
      </c>
      <c r="Q56" s="31">
        <f t="shared" si="10"/>
        <v>44</v>
      </c>
      <c r="R56" s="31">
        <f t="shared" si="10"/>
        <v>66.5</v>
      </c>
      <c r="S56" s="31">
        <f t="shared" si="10"/>
        <v>76</v>
      </c>
      <c r="T56" s="31">
        <f t="shared" si="10"/>
        <v>92.4</v>
      </c>
      <c r="U56" s="31">
        <f t="shared" si="10"/>
        <v>114.4</v>
      </c>
      <c r="V56" s="31">
        <f t="shared" si="10"/>
        <v>127.6</v>
      </c>
      <c r="W56" s="31">
        <f t="shared" si="10"/>
        <v>191.1</v>
      </c>
      <c r="X56" s="31">
        <f t="shared" si="10"/>
        <v>40.000000000000099</v>
      </c>
      <c r="Y56" s="31">
        <f t="shared" si="10"/>
        <v>46</v>
      </c>
      <c r="Z56" s="31">
        <f t="shared" si="10"/>
        <v>90.666666666666814</v>
      </c>
      <c r="AA56" s="31">
        <f t="shared" si="10"/>
        <v>44</v>
      </c>
      <c r="AB56" s="31">
        <f t="shared" si="10"/>
        <v>66.5</v>
      </c>
      <c r="AC56" s="31">
        <f t="shared" si="9"/>
        <v>76</v>
      </c>
      <c r="AD56" s="31">
        <f t="shared" si="9"/>
        <v>92.4</v>
      </c>
      <c r="AE56" s="31">
        <f t="shared" si="9"/>
        <v>114.4</v>
      </c>
      <c r="AF56" s="31">
        <f t="shared" si="9"/>
        <v>127.6</v>
      </c>
      <c r="AG56" s="31">
        <f t="shared" si="9"/>
        <v>191.1</v>
      </c>
      <c r="AH56" s="31">
        <f t="shared" si="9"/>
        <v>40.000000000000099</v>
      </c>
      <c r="AI56" s="31">
        <f t="shared" si="9"/>
        <v>46</v>
      </c>
      <c r="AJ56" s="31">
        <f t="shared" si="9"/>
        <v>90.666666666666814</v>
      </c>
      <c r="AK56" s="31">
        <f t="shared" si="9"/>
        <v>44</v>
      </c>
      <c r="AL56" s="31">
        <f t="shared" si="9"/>
        <v>66.5</v>
      </c>
      <c r="AM56" s="31">
        <f t="shared" si="9"/>
        <v>76</v>
      </c>
      <c r="AN56" s="31">
        <f t="shared" si="9"/>
        <v>92.4</v>
      </c>
      <c r="AO56" s="31">
        <f t="shared" si="9"/>
        <v>114.4</v>
      </c>
      <c r="AP56" s="31">
        <f t="shared" si="9"/>
        <v>127.6</v>
      </c>
      <c r="AQ56" s="31">
        <f t="shared" si="9"/>
        <v>191.1</v>
      </c>
    </row>
    <row r="57" spans="2:43" x14ac:dyDescent="0.3">
      <c r="B57" s="2">
        <f>[1]坦克部件养成!B28</f>
        <v>2880</v>
      </c>
      <c r="C57" s="2">
        <f>[1]坦克部件养成!C28</f>
        <v>172800</v>
      </c>
      <c r="D57" s="2">
        <f>[1]坦克部件养成!D28</f>
        <v>180</v>
      </c>
      <c r="E57" s="2">
        <f>[1]坦克部件养成!E28</f>
        <v>1239</v>
      </c>
      <c r="F57" s="42">
        <f>[1]坦克部件养成!F28</f>
        <v>157.16234652114599</v>
      </c>
      <c r="M57" s="2">
        <v>12</v>
      </c>
      <c r="N57" s="31">
        <f t="shared" si="10"/>
        <v>34.000000000000099</v>
      </c>
      <c r="O57" s="31">
        <f t="shared" si="10"/>
        <v>40.000000000000099</v>
      </c>
      <c r="P57" s="31">
        <f t="shared" si="10"/>
        <v>85.333333333333471</v>
      </c>
      <c r="Q57" s="31">
        <f t="shared" si="10"/>
        <v>39.875</v>
      </c>
      <c r="R57" s="31">
        <f t="shared" si="10"/>
        <v>63</v>
      </c>
      <c r="S57" s="31">
        <f t="shared" si="10"/>
        <v>72</v>
      </c>
      <c r="T57" s="31">
        <f t="shared" si="10"/>
        <v>88.2</v>
      </c>
      <c r="U57" s="31">
        <f t="shared" si="10"/>
        <v>109.2</v>
      </c>
      <c r="V57" s="31">
        <f t="shared" si="10"/>
        <v>121.8</v>
      </c>
      <c r="W57" s="31">
        <f t="shared" si="10"/>
        <v>187.2</v>
      </c>
      <c r="X57" s="31">
        <f t="shared" si="10"/>
        <v>34.000000000000099</v>
      </c>
      <c r="Y57" s="31">
        <f t="shared" si="10"/>
        <v>40.000000000000099</v>
      </c>
      <c r="Z57" s="31">
        <f t="shared" si="10"/>
        <v>85.333333333333471</v>
      </c>
      <c r="AA57" s="31">
        <f t="shared" si="10"/>
        <v>39.875</v>
      </c>
      <c r="AB57" s="31">
        <f t="shared" si="10"/>
        <v>63</v>
      </c>
      <c r="AC57" s="31">
        <f t="shared" si="9"/>
        <v>72</v>
      </c>
      <c r="AD57" s="31">
        <f t="shared" si="9"/>
        <v>88.2</v>
      </c>
      <c r="AE57" s="31">
        <f t="shared" si="9"/>
        <v>109.2</v>
      </c>
      <c r="AF57" s="31">
        <f t="shared" si="9"/>
        <v>121.8</v>
      </c>
      <c r="AG57" s="31">
        <f t="shared" si="9"/>
        <v>187.2</v>
      </c>
      <c r="AH57" s="31">
        <f t="shared" si="9"/>
        <v>34.000000000000099</v>
      </c>
      <c r="AI57" s="31">
        <f t="shared" si="9"/>
        <v>40.000000000000099</v>
      </c>
      <c r="AJ57" s="31">
        <f t="shared" si="9"/>
        <v>85.333333333333471</v>
      </c>
      <c r="AK57" s="31">
        <f t="shared" si="9"/>
        <v>39.875</v>
      </c>
      <c r="AL57" s="31">
        <f t="shared" si="9"/>
        <v>63</v>
      </c>
      <c r="AM57" s="31">
        <f t="shared" si="9"/>
        <v>72</v>
      </c>
      <c r="AN57" s="31">
        <f t="shared" si="9"/>
        <v>88.2</v>
      </c>
      <c r="AO57" s="31">
        <f t="shared" si="9"/>
        <v>109.2</v>
      </c>
      <c r="AP57" s="31">
        <f t="shared" si="9"/>
        <v>121.8</v>
      </c>
      <c r="AQ57" s="31">
        <f t="shared" si="9"/>
        <v>187.2</v>
      </c>
    </row>
    <row r="58" spans="2:43" x14ac:dyDescent="0.3">
      <c r="B58" s="2">
        <f>[1]坦克部件养成!B29</f>
        <v>5760</v>
      </c>
      <c r="C58" s="2">
        <f>[1]坦克部件养成!C29</f>
        <v>345600</v>
      </c>
      <c r="D58" s="2">
        <f>[1]坦克部件养成!D29</f>
        <v>200</v>
      </c>
      <c r="E58" s="2">
        <f>[1]坦克部件养成!E29</f>
        <v>2199</v>
      </c>
      <c r="F58" s="42">
        <f>[1]坦克部件养成!F29</f>
        <v>176.012223071047</v>
      </c>
      <c r="M58" s="2">
        <v>13</v>
      </c>
      <c r="N58" s="31">
        <f t="shared" si="10"/>
        <v>34.000000000000099</v>
      </c>
      <c r="O58" s="31">
        <f t="shared" si="10"/>
        <v>40.000000000000099</v>
      </c>
      <c r="P58" s="31">
        <f t="shared" si="10"/>
        <v>85.333333333333471</v>
      </c>
      <c r="Q58" s="31">
        <f t="shared" si="10"/>
        <v>39.875</v>
      </c>
      <c r="R58" s="31">
        <f t="shared" si="10"/>
        <v>63</v>
      </c>
      <c r="S58" s="31">
        <f t="shared" si="10"/>
        <v>72</v>
      </c>
      <c r="T58" s="31">
        <f t="shared" si="10"/>
        <v>88.2</v>
      </c>
      <c r="U58" s="31">
        <f t="shared" si="10"/>
        <v>109.2</v>
      </c>
      <c r="V58" s="31">
        <f t="shared" si="10"/>
        <v>121.8</v>
      </c>
      <c r="W58" s="31">
        <f t="shared" si="10"/>
        <v>187.2</v>
      </c>
      <c r="X58" s="31">
        <f t="shared" si="10"/>
        <v>34.000000000000099</v>
      </c>
      <c r="Y58" s="31">
        <f t="shared" si="10"/>
        <v>40.000000000000099</v>
      </c>
      <c r="Z58" s="31">
        <f t="shared" si="10"/>
        <v>85.333333333333471</v>
      </c>
      <c r="AA58" s="31">
        <f t="shared" si="10"/>
        <v>39.875</v>
      </c>
      <c r="AB58" s="31">
        <f t="shared" si="10"/>
        <v>63</v>
      </c>
      <c r="AC58" s="31">
        <f t="shared" si="9"/>
        <v>72</v>
      </c>
      <c r="AD58" s="31">
        <f t="shared" si="9"/>
        <v>88.2</v>
      </c>
      <c r="AE58" s="31">
        <f t="shared" si="9"/>
        <v>109.2</v>
      </c>
      <c r="AF58" s="31">
        <f t="shared" si="9"/>
        <v>121.8</v>
      </c>
      <c r="AG58" s="31">
        <f t="shared" si="9"/>
        <v>187.2</v>
      </c>
      <c r="AH58" s="31">
        <f t="shared" si="9"/>
        <v>34.000000000000099</v>
      </c>
      <c r="AI58" s="31">
        <f t="shared" si="9"/>
        <v>40.000000000000099</v>
      </c>
      <c r="AJ58" s="31">
        <f t="shared" si="9"/>
        <v>85.333333333333471</v>
      </c>
      <c r="AK58" s="31">
        <f t="shared" si="9"/>
        <v>39.875</v>
      </c>
      <c r="AL58" s="31">
        <f t="shared" si="9"/>
        <v>63</v>
      </c>
      <c r="AM58" s="31">
        <f t="shared" si="9"/>
        <v>72</v>
      </c>
      <c r="AN58" s="31">
        <f t="shared" si="9"/>
        <v>88.2</v>
      </c>
      <c r="AO58" s="31">
        <f t="shared" si="9"/>
        <v>109.2</v>
      </c>
      <c r="AP58" s="31">
        <f t="shared" si="9"/>
        <v>121.8</v>
      </c>
      <c r="AQ58" s="31">
        <f t="shared" si="9"/>
        <v>187.2</v>
      </c>
    </row>
    <row r="59" spans="2:43" x14ac:dyDescent="0.3">
      <c r="B59" s="2">
        <f>[1]坦克部件养成!B30</f>
        <v>11520</v>
      </c>
      <c r="C59" s="2">
        <f>[1]坦克部件养成!C30</f>
        <v>691200</v>
      </c>
      <c r="D59" s="2">
        <f>[1]坦克部件养成!D30</f>
        <v>200</v>
      </c>
      <c r="E59" s="2">
        <f>[1]坦克部件养成!E30</f>
        <v>3927</v>
      </c>
      <c r="F59" s="42">
        <f>[1]坦克部件养成!F30</f>
        <v>176.012223071047</v>
      </c>
      <c r="M59" s="2">
        <v>14</v>
      </c>
      <c r="N59" s="31">
        <f t="shared" si="10"/>
        <v>34.000000000000099</v>
      </c>
      <c r="O59" s="31">
        <f t="shared" si="10"/>
        <v>40.000000000000099</v>
      </c>
      <c r="P59" s="31">
        <f t="shared" si="10"/>
        <v>85.333333333333471</v>
      </c>
      <c r="Q59" s="31">
        <f t="shared" si="10"/>
        <v>39.875</v>
      </c>
      <c r="R59" s="31">
        <f t="shared" si="10"/>
        <v>63</v>
      </c>
      <c r="S59" s="31">
        <f t="shared" si="10"/>
        <v>72</v>
      </c>
      <c r="T59" s="31">
        <f t="shared" si="10"/>
        <v>88.2</v>
      </c>
      <c r="U59" s="31">
        <f t="shared" si="10"/>
        <v>109.2</v>
      </c>
      <c r="V59" s="31">
        <f t="shared" si="10"/>
        <v>121.8</v>
      </c>
      <c r="W59" s="31">
        <f t="shared" si="10"/>
        <v>187.2</v>
      </c>
      <c r="X59" s="31">
        <f t="shared" si="10"/>
        <v>34.000000000000099</v>
      </c>
      <c r="Y59" s="31">
        <f t="shared" si="10"/>
        <v>40.000000000000099</v>
      </c>
      <c r="Z59" s="31">
        <f t="shared" si="10"/>
        <v>85.333333333333471</v>
      </c>
      <c r="AA59" s="31">
        <f t="shared" si="10"/>
        <v>39.875</v>
      </c>
      <c r="AB59" s="31">
        <f t="shared" si="10"/>
        <v>63</v>
      </c>
      <c r="AC59" s="31">
        <f t="shared" si="9"/>
        <v>72</v>
      </c>
      <c r="AD59" s="31">
        <f t="shared" si="9"/>
        <v>88.2</v>
      </c>
      <c r="AE59" s="31">
        <f t="shared" si="9"/>
        <v>109.2</v>
      </c>
      <c r="AF59" s="31">
        <f t="shared" si="9"/>
        <v>121.8</v>
      </c>
      <c r="AG59" s="31">
        <f t="shared" si="9"/>
        <v>187.2</v>
      </c>
      <c r="AH59" s="31">
        <f t="shared" si="9"/>
        <v>34.000000000000099</v>
      </c>
      <c r="AI59" s="31">
        <f t="shared" si="9"/>
        <v>40.000000000000099</v>
      </c>
      <c r="AJ59" s="31">
        <f t="shared" si="9"/>
        <v>85.333333333333471</v>
      </c>
      <c r="AK59" s="31">
        <f t="shared" si="9"/>
        <v>39.875</v>
      </c>
      <c r="AL59" s="31">
        <f t="shared" si="9"/>
        <v>63</v>
      </c>
      <c r="AM59" s="31">
        <f t="shared" si="9"/>
        <v>72</v>
      </c>
      <c r="AN59" s="31">
        <f t="shared" si="9"/>
        <v>88.2</v>
      </c>
      <c r="AO59" s="31">
        <f t="shared" si="9"/>
        <v>109.2</v>
      </c>
      <c r="AP59" s="31">
        <f t="shared" si="9"/>
        <v>121.8</v>
      </c>
      <c r="AQ59" s="31">
        <f t="shared" si="9"/>
        <v>187.2</v>
      </c>
    </row>
    <row r="60" spans="2:43" x14ac:dyDescent="0.3">
      <c r="M60" s="2">
        <v>15</v>
      </c>
      <c r="N60" s="31">
        <f t="shared" si="10"/>
        <v>34.000000000000099</v>
      </c>
      <c r="O60" s="31">
        <f t="shared" si="10"/>
        <v>40.000000000000099</v>
      </c>
      <c r="P60" s="31">
        <f t="shared" si="10"/>
        <v>85.333333333333471</v>
      </c>
      <c r="Q60" s="31">
        <f t="shared" si="10"/>
        <v>39.875</v>
      </c>
      <c r="R60" s="31">
        <f t="shared" si="10"/>
        <v>63</v>
      </c>
      <c r="S60" s="31">
        <f t="shared" si="10"/>
        <v>72</v>
      </c>
      <c r="T60" s="31">
        <f t="shared" si="10"/>
        <v>88.2</v>
      </c>
      <c r="U60" s="31">
        <f t="shared" si="10"/>
        <v>109.2</v>
      </c>
      <c r="V60" s="31">
        <f t="shared" si="10"/>
        <v>121.8</v>
      </c>
      <c r="W60" s="31">
        <f t="shared" si="10"/>
        <v>187.2</v>
      </c>
      <c r="X60" s="31">
        <f t="shared" si="10"/>
        <v>34.000000000000099</v>
      </c>
      <c r="Y60" s="31">
        <f t="shared" si="10"/>
        <v>40.000000000000099</v>
      </c>
      <c r="Z60" s="31">
        <f t="shared" si="10"/>
        <v>85.333333333333471</v>
      </c>
      <c r="AA60" s="31">
        <f t="shared" si="10"/>
        <v>39.875</v>
      </c>
      <c r="AB60" s="31">
        <f t="shared" si="10"/>
        <v>63</v>
      </c>
      <c r="AC60" s="31">
        <f t="shared" si="9"/>
        <v>72</v>
      </c>
      <c r="AD60" s="31">
        <f t="shared" si="9"/>
        <v>88.2</v>
      </c>
      <c r="AE60" s="31">
        <f t="shared" si="9"/>
        <v>109.2</v>
      </c>
      <c r="AF60" s="31">
        <f t="shared" si="9"/>
        <v>121.8</v>
      </c>
      <c r="AG60" s="31">
        <f t="shared" si="9"/>
        <v>187.2</v>
      </c>
      <c r="AH60" s="31">
        <f t="shared" si="9"/>
        <v>34.000000000000099</v>
      </c>
      <c r="AI60" s="31">
        <f t="shared" si="9"/>
        <v>40.000000000000099</v>
      </c>
      <c r="AJ60" s="31">
        <f t="shared" si="9"/>
        <v>85.333333333333471</v>
      </c>
      <c r="AK60" s="31">
        <f t="shared" si="9"/>
        <v>39.875</v>
      </c>
      <c r="AL60" s="31">
        <f t="shared" si="9"/>
        <v>63</v>
      </c>
      <c r="AM60" s="31">
        <f t="shared" si="9"/>
        <v>72</v>
      </c>
      <c r="AN60" s="31">
        <f t="shared" si="9"/>
        <v>88.2</v>
      </c>
      <c r="AO60" s="31">
        <f t="shared" si="9"/>
        <v>109.2</v>
      </c>
      <c r="AP60" s="31">
        <f t="shared" si="9"/>
        <v>121.8</v>
      </c>
      <c r="AQ60" s="31">
        <f t="shared" si="9"/>
        <v>187.2</v>
      </c>
    </row>
    <row r="61" spans="2:43" x14ac:dyDescent="0.3">
      <c r="M61" s="2">
        <v>16</v>
      </c>
      <c r="N61" s="31">
        <f t="shared" si="10"/>
        <v>34.000000000000099</v>
      </c>
      <c r="O61" s="31">
        <f t="shared" si="10"/>
        <v>40.000000000000099</v>
      </c>
      <c r="P61" s="31">
        <f t="shared" si="10"/>
        <v>85.333333333333471</v>
      </c>
      <c r="Q61" s="31">
        <f t="shared" si="10"/>
        <v>39.875</v>
      </c>
      <c r="R61" s="31">
        <f t="shared" si="10"/>
        <v>63</v>
      </c>
      <c r="S61" s="31">
        <f t="shared" si="10"/>
        <v>72</v>
      </c>
      <c r="T61" s="31">
        <f t="shared" si="10"/>
        <v>88.2</v>
      </c>
      <c r="U61" s="31">
        <f t="shared" si="10"/>
        <v>109.2</v>
      </c>
      <c r="V61" s="31">
        <f t="shared" si="10"/>
        <v>121.8</v>
      </c>
      <c r="W61" s="31">
        <f t="shared" si="10"/>
        <v>187.2</v>
      </c>
      <c r="X61" s="31">
        <f t="shared" si="10"/>
        <v>34.000000000000099</v>
      </c>
      <c r="Y61" s="31">
        <f t="shared" si="10"/>
        <v>40.000000000000099</v>
      </c>
      <c r="Z61" s="31">
        <f t="shared" si="10"/>
        <v>85.333333333333471</v>
      </c>
      <c r="AA61" s="31">
        <f t="shared" si="10"/>
        <v>39.875</v>
      </c>
      <c r="AB61" s="31">
        <f t="shared" si="10"/>
        <v>63</v>
      </c>
      <c r="AC61" s="31">
        <f t="shared" si="9"/>
        <v>72</v>
      </c>
      <c r="AD61" s="31">
        <f t="shared" si="9"/>
        <v>88.2</v>
      </c>
      <c r="AE61" s="31">
        <f t="shared" si="9"/>
        <v>109.2</v>
      </c>
      <c r="AF61" s="31">
        <f t="shared" si="9"/>
        <v>121.8</v>
      </c>
      <c r="AG61" s="31">
        <f t="shared" si="9"/>
        <v>187.2</v>
      </c>
      <c r="AH61" s="31">
        <f t="shared" si="9"/>
        <v>34.000000000000099</v>
      </c>
      <c r="AI61" s="31">
        <f t="shared" si="9"/>
        <v>40.000000000000099</v>
      </c>
      <c r="AJ61" s="31">
        <f t="shared" si="9"/>
        <v>85.333333333333471</v>
      </c>
      <c r="AK61" s="31">
        <f t="shared" si="9"/>
        <v>39.875</v>
      </c>
      <c r="AL61" s="31">
        <f t="shared" si="9"/>
        <v>63</v>
      </c>
      <c r="AM61" s="31">
        <f t="shared" si="9"/>
        <v>72</v>
      </c>
      <c r="AN61" s="31">
        <f t="shared" si="9"/>
        <v>88.2</v>
      </c>
      <c r="AO61" s="31">
        <f t="shared" si="9"/>
        <v>109.2</v>
      </c>
      <c r="AP61" s="31">
        <f t="shared" si="9"/>
        <v>121.8</v>
      </c>
      <c r="AQ61" s="31">
        <f t="shared" si="9"/>
        <v>187.2</v>
      </c>
    </row>
    <row r="62" spans="2:43" x14ac:dyDescent="0.3">
      <c r="B62" s="2" t="s">
        <v>1800</v>
      </c>
      <c r="C62" s="2" t="s">
        <v>1794</v>
      </c>
      <c r="D62" s="2" t="s">
        <v>1797</v>
      </c>
      <c r="E62" s="2" t="s">
        <v>1795</v>
      </c>
      <c r="F62" s="2" t="s">
        <v>974</v>
      </c>
      <c r="G62" s="2" t="s">
        <v>1801</v>
      </c>
      <c r="H62" s="2" t="s">
        <v>1802</v>
      </c>
      <c r="I62" s="2" t="s">
        <v>1803</v>
      </c>
      <c r="J62" s="2" t="s">
        <v>1804</v>
      </c>
      <c r="K62" s="2" t="s">
        <v>1805</v>
      </c>
      <c r="M62" s="2">
        <v>17</v>
      </c>
      <c r="N62" s="31">
        <f t="shared" si="10"/>
        <v>34.000000000000099</v>
      </c>
      <c r="O62" s="31">
        <f t="shared" si="10"/>
        <v>40.000000000000099</v>
      </c>
      <c r="P62" s="31">
        <f t="shared" si="10"/>
        <v>85.333333333333471</v>
      </c>
      <c r="Q62" s="31">
        <f t="shared" si="10"/>
        <v>39.875</v>
      </c>
      <c r="R62" s="31">
        <f t="shared" si="10"/>
        <v>63</v>
      </c>
      <c r="S62" s="31">
        <f t="shared" si="10"/>
        <v>72</v>
      </c>
      <c r="T62" s="31">
        <f t="shared" si="10"/>
        <v>88.2</v>
      </c>
      <c r="U62" s="31">
        <f t="shared" si="10"/>
        <v>109.2</v>
      </c>
      <c r="V62" s="31">
        <f t="shared" si="10"/>
        <v>121.8</v>
      </c>
      <c r="W62" s="31">
        <f t="shared" si="10"/>
        <v>187.2</v>
      </c>
      <c r="X62" s="31">
        <f t="shared" si="10"/>
        <v>34.000000000000099</v>
      </c>
      <c r="Y62" s="31">
        <f t="shared" si="10"/>
        <v>40.000000000000099</v>
      </c>
      <c r="Z62" s="31">
        <f t="shared" si="10"/>
        <v>85.333333333333471</v>
      </c>
      <c r="AA62" s="31">
        <f t="shared" si="10"/>
        <v>39.875</v>
      </c>
      <c r="AB62" s="31">
        <f t="shared" si="10"/>
        <v>63</v>
      </c>
      <c r="AC62" s="31">
        <f t="shared" si="9"/>
        <v>72</v>
      </c>
      <c r="AD62" s="31">
        <f t="shared" si="9"/>
        <v>88.2</v>
      </c>
      <c r="AE62" s="31">
        <f t="shared" si="9"/>
        <v>109.2</v>
      </c>
      <c r="AF62" s="31">
        <f t="shared" si="9"/>
        <v>121.8</v>
      </c>
      <c r="AG62" s="31">
        <f t="shared" si="9"/>
        <v>187.2</v>
      </c>
      <c r="AH62" s="31">
        <f t="shared" si="9"/>
        <v>34.000000000000099</v>
      </c>
      <c r="AI62" s="31">
        <f t="shared" si="9"/>
        <v>40.000000000000099</v>
      </c>
      <c r="AJ62" s="31">
        <f t="shared" si="9"/>
        <v>85.333333333333471</v>
      </c>
      <c r="AK62" s="31">
        <f t="shared" si="9"/>
        <v>39.875</v>
      </c>
      <c r="AL62" s="31">
        <f t="shared" si="9"/>
        <v>63</v>
      </c>
      <c r="AM62" s="31">
        <f t="shared" si="9"/>
        <v>72</v>
      </c>
      <c r="AN62" s="31">
        <f t="shared" si="9"/>
        <v>88.2</v>
      </c>
      <c r="AO62" s="31">
        <f t="shared" si="9"/>
        <v>109.2</v>
      </c>
      <c r="AP62" s="31">
        <f t="shared" si="9"/>
        <v>121.8</v>
      </c>
      <c r="AQ62" s="31">
        <f t="shared" si="9"/>
        <v>187.2</v>
      </c>
    </row>
    <row r="63" spans="2:43" x14ac:dyDescent="0.3">
      <c r="B63" s="2" t="s">
        <v>1806</v>
      </c>
      <c r="C63" s="2">
        <v>30</v>
      </c>
      <c r="D63" s="2">
        <v>3</v>
      </c>
      <c r="E63" s="2">
        <f t="shared" ref="E63:E70" si="11">VLOOKUP(C63,$H$38:$I$42,2,FALSE)*VLOOKUP(D63,$H$45:$I$48,2,FALSE)</f>
        <v>0.84000000000000008</v>
      </c>
      <c r="F63" s="2">
        <f>C63*(D63-1)</f>
        <v>60</v>
      </c>
      <c r="G63" s="2">
        <f>C63</f>
        <v>30</v>
      </c>
      <c r="H63" s="2">
        <f t="shared" ref="H63:H70" si="12">ROUNDUP((F63*60-VLOOKUP(F63*60,$C$50:$E$59,1,TRUE))/VLOOKUP(F63*60,$C$50:$E$59,2,TRUE),0)+VLOOKUP(F63*60,$C$50:$E$59,3,TRUE)</f>
        <v>48</v>
      </c>
      <c r="I63" s="2">
        <f t="shared" ref="I63:I70" si="13">(ROUNDUP((G63*60-VLOOKUP(G63*60,$C$50:$E$59,1,TRUE))/VLOOKUP(G63*60,$C$50:$E$59,2,TRUE),0)+VLOOKUP(G63*60,$C$50:$E$59,3,TRUE))*$I$51</f>
        <v>12.5</v>
      </c>
      <c r="J63" s="2">
        <f>ROUND((H63-I63)/5,0)*5</f>
        <v>35</v>
      </c>
      <c r="K63" s="2">
        <f>ROUND((H63-I63)*3/5,0)*5</f>
        <v>105</v>
      </c>
      <c r="M63" s="2">
        <v>18</v>
      </c>
      <c r="N63" s="31">
        <f t="shared" si="10"/>
        <v>34.000000000000099</v>
      </c>
      <c r="O63" s="31">
        <f t="shared" si="10"/>
        <v>40.000000000000099</v>
      </c>
      <c r="P63" s="31">
        <f t="shared" si="10"/>
        <v>85.333333333333471</v>
      </c>
      <c r="Q63" s="31">
        <f t="shared" si="10"/>
        <v>39.875</v>
      </c>
      <c r="R63" s="31">
        <f t="shared" si="10"/>
        <v>63</v>
      </c>
      <c r="S63" s="31">
        <f t="shared" si="10"/>
        <v>72</v>
      </c>
      <c r="T63" s="31">
        <f t="shared" si="10"/>
        <v>88.2</v>
      </c>
      <c r="U63" s="31">
        <f t="shared" si="10"/>
        <v>109.2</v>
      </c>
      <c r="V63" s="31">
        <f t="shared" si="10"/>
        <v>121.8</v>
      </c>
      <c r="W63" s="31">
        <f t="shared" si="10"/>
        <v>187.2</v>
      </c>
      <c r="X63" s="31">
        <f t="shared" si="10"/>
        <v>34.000000000000099</v>
      </c>
      <c r="Y63" s="31">
        <f t="shared" si="10"/>
        <v>40.000000000000099</v>
      </c>
      <c r="Z63" s="31">
        <f t="shared" si="10"/>
        <v>85.333333333333471</v>
      </c>
      <c r="AA63" s="31">
        <f t="shared" si="10"/>
        <v>39.875</v>
      </c>
      <c r="AB63" s="31">
        <f t="shared" si="10"/>
        <v>63</v>
      </c>
      <c r="AC63" s="31">
        <f t="shared" si="9"/>
        <v>72</v>
      </c>
      <c r="AD63" s="31">
        <f t="shared" si="9"/>
        <v>88.2</v>
      </c>
      <c r="AE63" s="31">
        <f t="shared" si="9"/>
        <v>109.2</v>
      </c>
      <c r="AF63" s="31">
        <f t="shared" si="9"/>
        <v>121.8</v>
      </c>
      <c r="AG63" s="31">
        <f t="shared" si="9"/>
        <v>187.2</v>
      </c>
      <c r="AH63" s="31">
        <f t="shared" si="9"/>
        <v>34.000000000000099</v>
      </c>
      <c r="AI63" s="31">
        <f t="shared" si="9"/>
        <v>40.000000000000099</v>
      </c>
      <c r="AJ63" s="31">
        <f t="shared" si="9"/>
        <v>85.333333333333471</v>
      </c>
      <c r="AK63" s="31">
        <f t="shared" si="9"/>
        <v>39.875</v>
      </c>
      <c r="AL63" s="31">
        <f t="shared" si="9"/>
        <v>63</v>
      </c>
      <c r="AM63" s="31">
        <f t="shared" si="9"/>
        <v>72</v>
      </c>
      <c r="AN63" s="31">
        <f t="shared" si="9"/>
        <v>88.2</v>
      </c>
      <c r="AO63" s="31">
        <f t="shared" si="9"/>
        <v>109.2</v>
      </c>
      <c r="AP63" s="31">
        <f t="shared" si="9"/>
        <v>121.8</v>
      </c>
      <c r="AQ63" s="31">
        <f t="shared" si="9"/>
        <v>187.2</v>
      </c>
    </row>
    <row r="64" spans="2:43" x14ac:dyDescent="0.3">
      <c r="B64" s="2" t="s">
        <v>1807</v>
      </c>
      <c r="C64" s="2">
        <v>60</v>
      </c>
      <c r="D64" s="2">
        <v>3</v>
      </c>
      <c r="E64" s="2">
        <f t="shared" si="11"/>
        <v>0.8</v>
      </c>
      <c r="F64" s="2">
        <f t="shared" ref="F64:F70" si="14">C64*(D64-1)</f>
        <v>120</v>
      </c>
      <c r="G64" s="2">
        <f t="shared" ref="G64:G70" si="15">C64</f>
        <v>60</v>
      </c>
      <c r="H64" s="2">
        <f t="shared" si="12"/>
        <v>84</v>
      </c>
      <c r="I64" s="2">
        <f t="shared" si="13"/>
        <v>24</v>
      </c>
      <c r="J64" s="2">
        <f t="shared" ref="J64:J70" si="16">ROUND((H64-I64)/5,0)*5</f>
        <v>60</v>
      </c>
      <c r="K64" s="2">
        <f t="shared" ref="K64:K70" si="17">ROUND((H64-I64)*3/5,0)*5</f>
        <v>180</v>
      </c>
      <c r="M64" s="2">
        <v>19</v>
      </c>
      <c r="N64" s="31">
        <f t="shared" si="10"/>
        <v>34.000000000000099</v>
      </c>
      <c r="O64" s="31">
        <f t="shared" si="10"/>
        <v>40.000000000000099</v>
      </c>
      <c r="P64" s="31">
        <f t="shared" si="10"/>
        <v>85.333333333333471</v>
      </c>
      <c r="Q64" s="31">
        <f t="shared" si="10"/>
        <v>39.875</v>
      </c>
      <c r="R64" s="31">
        <f t="shared" si="10"/>
        <v>63</v>
      </c>
      <c r="S64" s="31">
        <f t="shared" si="10"/>
        <v>72</v>
      </c>
      <c r="T64" s="31">
        <f t="shared" si="10"/>
        <v>88.2</v>
      </c>
      <c r="U64" s="31">
        <f t="shared" si="10"/>
        <v>109.2</v>
      </c>
      <c r="V64" s="31">
        <f t="shared" si="10"/>
        <v>121.8</v>
      </c>
      <c r="W64" s="31">
        <f t="shared" si="10"/>
        <v>187.2</v>
      </c>
      <c r="X64" s="31">
        <f t="shared" si="10"/>
        <v>34.000000000000099</v>
      </c>
      <c r="Y64" s="31">
        <f t="shared" si="10"/>
        <v>40.000000000000099</v>
      </c>
      <c r="Z64" s="31">
        <f t="shared" si="10"/>
        <v>85.333333333333471</v>
      </c>
      <c r="AA64" s="31">
        <f t="shared" si="10"/>
        <v>39.875</v>
      </c>
      <c r="AB64" s="31">
        <f t="shared" si="10"/>
        <v>63</v>
      </c>
      <c r="AC64" s="31">
        <f t="shared" si="9"/>
        <v>72</v>
      </c>
      <c r="AD64" s="31">
        <f t="shared" si="9"/>
        <v>88.2</v>
      </c>
      <c r="AE64" s="31">
        <f t="shared" si="9"/>
        <v>109.2</v>
      </c>
      <c r="AF64" s="31">
        <f t="shared" si="9"/>
        <v>121.8</v>
      </c>
      <c r="AG64" s="31">
        <f t="shared" si="9"/>
        <v>187.2</v>
      </c>
      <c r="AH64" s="31">
        <f t="shared" si="9"/>
        <v>34.000000000000099</v>
      </c>
      <c r="AI64" s="31">
        <f t="shared" si="9"/>
        <v>40.000000000000099</v>
      </c>
      <c r="AJ64" s="31">
        <f t="shared" si="9"/>
        <v>85.333333333333471</v>
      </c>
      <c r="AK64" s="31">
        <f t="shared" si="9"/>
        <v>39.875</v>
      </c>
      <c r="AL64" s="31">
        <f t="shared" si="9"/>
        <v>63</v>
      </c>
      <c r="AM64" s="31">
        <f t="shared" si="9"/>
        <v>72</v>
      </c>
      <c r="AN64" s="31">
        <f t="shared" si="9"/>
        <v>88.2</v>
      </c>
      <c r="AO64" s="31">
        <f t="shared" si="9"/>
        <v>109.2</v>
      </c>
      <c r="AP64" s="31">
        <f t="shared" si="9"/>
        <v>121.8</v>
      </c>
      <c r="AQ64" s="31">
        <f t="shared" si="9"/>
        <v>187.2</v>
      </c>
    </row>
    <row r="65" spans="2:43" x14ac:dyDescent="0.3">
      <c r="B65" s="126" t="s">
        <v>1808</v>
      </c>
      <c r="C65" s="126">
        <v>30</v>
      </c>
      <c r="D65" s="126">
        <v>5</v>
      </c>
      <c r="E65" s="126">
        <f t="shared" si="11"/>
        <v>0.94500000000000006</v>
      </c>
      <c r="F65" s="126">
        <f t="shared" si="14"/>
        <v>120</v>
      </c>
      <c r="G65" s="126">
        <f t="shared" si="15"/>
        <v>30</v>
      </c>
      <c r="H65" s="126">
        <f t="shared" si="12"/>
        <v>84</v>
      </c>
      <c r="I65" s="126">
        <f t="shared" si="13"/>
        <v>12.5</v>
      </c>
      <c r="J65" s="126">
        <f t="shared" si="16"/>
        <v>70</v>
      </c>
      <c r="K65" s="2">
        <f t="shared" si="17"/>
        <v>215</v>
      </c>
      <c r="M65" s="2">
        <v>20</v>
      </c>
      <c r="N65" s="31">
        <f t="shared" si="10"/>
        <v>34.000000000000099</v>
      </c>
      <c r="O65" s="31">
        <f t="shared" si="10"/>
        <v>40.000000000000099</v>
      </c>
      <c r="P65" s="31">
        <f t="shared" si="10"/>
        <v>85.333333333333471</v>
      </c>
      <c r="Q65" s="31">
        <f t="shared" si="10"/>
        <v>39.875</v>
      </c>
      <c r="R65" s="31">
        <f t="shared" si="10"/>
        <v>63</v>
      </c>
      <c r="S65" s="31">
        <f t="shared" si="10"/>
        <v>72</v>
      </c>
      <c r="T65" s="31">
        <f t="shared" si="10"/>
        <v>88.2</v>
      </c>
      <c r="U65" s="31">
        <f t="shared" si="10"/>
        <v>109.2</v>
      </c>
      <c r="V65" s="31">
        <f t="shared" si="10"/>
        <v>121.8</v>
      </c>
      <c r="W65" s="31">
        <f t="shared" si="10"/>
        <v>187.2</v>
      </c>
      <c r="X65" s="31">
        <f t="shared" si="10"/>
        <v>34.000000000000099</v>
      </c>
      <c r="Y65" s="31">
        <f t="shared" si="10"/>
        <v>40.000000000000099</v>
      </c>
      <c r="Z65" s="31">
        <f t="shared" si="10"/>
        <v>85.333333333333471</v>
      </c>
      <c r="AA65" s="31">
        <f t="shared" si="10"/>
        <v>39.875</v>
      </c>
      <c r="AB65" s="31">
        <f t="shared" si="10"/>
        <v>63</v>
      </c>
      <c r="AC65" s="31">
        <f t="shared" si="9"/>
        <v>72</v>
      </c>
      <c r="AD65" s="31">
        <f t="shared" si="9"/>
        <v>88.2</v>
      </c>
      <c r="AE65" s="31">
        <f t="shared" si="9"/>
        <v>109.2</v>
      </c>
      <c r="AF65" s="31">
        <f t="shared" si="9"/>
        <v>121.8</v>
      </c>
      <c r="AG65" s="31">
        <f t="shared" si="9"/>
        <v>187.2</v>
      </c>
      <c r="AH65" s="31">
        <f t="shared" si="9"/>
        <v>34.000000000000099</v>
      </c>
      <c r="AI65" s="31">
        <f t="shared" si="9"/>
        <v>40.000000000000099</v>
      </c>
      <c r="AJ65" s="31">
        <f t="shared" si="9"/>
        <v>85.333333333333471</v>
      </c>
      <c r="AK65" s="31">
        <f t="shared" si="9"/>
        <v>39.875</v>
      </c>
      <c r="AL65" s="31">
        <f t="shared" si="9"/>
        <v>63</v>
      </c>
      <c r="AM65" s="31">
        <f t="shared" si="9"/>
        <v>72</v>
      </c>
      <c r="AN65" s="31">
        <f t="shared" si="9"/>
        <v>88.2</v>
      </c>
      <c r="AO65" s="31">
        <f t="shared" si="9"/>
        <v>109.2</v>
      </c>
      <c r="AP65" s="31">
        <f t="shared" si="9"/>
        <v>121.8</v>
      </c>
      <c r="AQ65" s="31">
        <f t="shared" si="9"/>
        <v>187.2</v>
      </c>
    </row>
    <row r="66" spans="2:43" x14ac:dyDescent="0.3">
      <c r="B66" s="2" t="s">
        <v>1809</v>
      </c>
      <c r="C66" s="2">
        <v>60</v>
      </c>
      <c r="D66" s="2">
        <v>5</v>
      </c>
      <c r="E66" s="2">
        <f t="shared" si="11"/>
        <v>0.9</v>
      </c>
      <c r="F66" s="2">
        <f t="shared" si="14"/>
        <v>240</v>
      </c>
      <c r="G66" s="2">
        <f t="shared" si="15"/>
        <v>60</v>
      </c>
      <c r="H66" s="2">
        <f t="shared" si="12"/>
        <v>150</v>
      </c>
      <c r="I66" s="2">
        <f t="shared" si="13"/>
        <v>24</v>
      </c>
      <c r="J66" s="2">
        <f t="shared" si="16"/>
        <v>125</v>
      </c>
      <c r="K66" s="2">
        <f t="shared" si="17"/>
        <v>380</v>
      </c>
      <c r="M66" s="2">
        <v>21</v>
      </c>
      <c r="N66" s="31">
        <f t="shared" si="10"/>
        <v>34.000000000000099</v>
      </c>
      <c r="O66" s="31">
        <f t="shared" si="10"/>
        <v>40.000000000000099</v>
      </c>
      <c r="P66" s="31">
        <f t="shared" si="10"/>
        <v>85.333333333333471</v>
      </c>
      <c r="Q66" s="31">
        <f t="shared" si="10"/>
        <v>39.875</v>
      </c>
      <c r="R66" s="31">
        <f t="shared" si="10"/>
        <v>63</v>
      </c>
      <c r="S66" s="31">
        <f t="shared" si="10"/>
        <v>72</v>
      </c>
      <c r="T66" s="31">
        <f t="shared" si="10"/>
        <v>88.2</v>
      </c>
      <c r="U66" s="31">
        <f t="shared" si="10"/>
        <v>109.2</v>
      </c>
      <c r="V66" s="31">
        <f t="shared" si="10"/>
        <v>121.8</v>
      </c>
      <c r="W66" s="31">
        <f t="shared" si="10"/>
        <v>187.2</v>
      </c>
      <c r="X66" s="31">
        <f t="shared" si="10"/>
        <v>34.000000000000099</v>
      </c>
      <c r="Y66" s="31">
        <f t="shared" si="10"/>
        <v>40.000000000000099</v>
      </c>
      <c r="Z66" s="31">
        <f t="shared" si="10"/>
        <v>85.333333333333471</v>
      </c>
      <c r="AA66" s="31">
        <f t="shared" si="10"/>
        <v>39.875</v>
      </c>
      <c r="AB66" s="31">
        <f t="shared" si="10"/>
        <v>63</v>
      </c>
      <c r="AC66" s="31">
        <f t="shared" si="9"/>
        <v>72</v>
      </c>
      <c r="AD66" s="31">
        <f t="shared" si="9"/>
        <v>88.2</v>
      </c>
      <c r="AE66" s="31">
        <f t="shared" si="9"/>
        <v>109.2</v>
      </c>
      <c r="AF66" s="31">
        <f t="shared" si="9"/>
        <v>121.8</v>
      </c>
      <c r="AG66" s="31">
        <f t="shared" si="9"/>
        <v>187.2</v>
      </c>
      <c r="AH66" s="31">
        <f t="shared" si="9"/>
        <v>34.000000000000099</v>
      </c>
      <c r="AI66" s="31">
        <f t="shared" si="9"/>
        <v>40.000000000000099</v>
      </c>
      <c r="AJ66" s="31">
        <f t="shared" si="9"/>
        <v>85.333333333333471</v>
      </c>
      <c r="AK66" s="31">
        <f t="shared" si="9"/>
        <v>39.875</v>
      </c>
      <c r="AL66" s="31">
        <f t="shared" si="9"/>
        <v>63</v>
      </c>
      <c r="AM66" s="31">
        <f t="shared" si="9"/>
        <v>72</v>
      </c>
      <c r="AN66" s="31">
        <f t="shared" si="9"/>
        <v>88.2</v>
      </c>
      <c r="AO66" s="31">
        <f t="shared" si="9"/>
        <v>109.2</v>
      </c>
      <c r="AP66" s="31">
        <f t="shared" si="9"/>
        <v>121.8</v>
      </c>
      <c r="AQ66" s="31">
        <f t="shared" si="9"/>
        <v>187.2</v>
      </c>
    </row>
    <row r="67" spans="2:43" x14ac:dyDescent="0.3">
      <c r="B67" s="2" t="s">
        <v>1810</v>
      </c>
      <c r="C67" s="2">
        <v>120</v>
      </c>
      <c r="D67" s="2">
        <v>5</v>
      </c>
      <c r="E67" s="2">
        <f t="shared" si="11"/>
        <v>0.85499999999999998</v>
      </c>
      <c r="F67" s="2">
        <f t="shared" si="14"/>
        <v>480</v>
      </c>
      <c r="G67" s="2">
        <f t="shared" si="15"/>
        <v>120</v>
      </c>
      <c r="H67" s="2">
        <f t="shared" si="12"/>
        <v>270</v>
      </c>
      <c r="I67" s="2">
        <f t="shared" si="13"/>
        <v>42</v>
      </c>
      <c r="J67" s="2">
        <f t="shared" si="16"/>
        <v>230</v>
      </c>
      <c r="K67" s="2">
        <f t="shared" si="17"/>
        <v>685</v>
      </c>
      <c r="M67" s="2">
        <v>22</v>
      </c>
      <c r="N67" s="31">
        <f t="shared" si="10"/>
        <v>34.000000000000099</v>
      </c>
      <c r="O67" s="31">
        <f t="shared" si="10"/>
        <v>40.000000000000099</v>
      </c>
      <c r="P67" s="31">
        <f t="shared" si="10"/>
        <v>85.333333333333471</v>
      </c>
      <c r="Q67" s="31">
        <f t="shared" si="10"/>
        <v>39.875</v>
      </c>
      <c r="R67" s="31">
        <f t="shared" si="10"/>
        <v>63</v>
      </c>
      <c r="S67" s="31">
        <f t="shared" si="10"/>
        <v>72</v>
      </c>
      <c r="T67" s="31">
        <f t="shared" si="10"/>
        <v>88.2</v>
      </c>
      <c r="U67" s="31">
        <f t="shared" si="10"/>
        <v>109.2</v>
      </c>
      <c r="V67" s="31">
        <f t="shared" si="10"/>
        <v>121.8</v>
      </c>
      <c r="W67" s="31">
        <f t="shared" si="10"/>
        <v>187.2</v>
      </c>
      <c r="X67" s="31">
        <f t="shared" si="10"/>
        <v>34.000000000000099</v>
      </c>
      <c r="Y67" s="31">
        <f t="shared" si="10"/>
        <v>40.000000000000099</v>
      </c>
      <c r="Z67" s="31">
        <f t="shared" si="10"/>
        <v>85.333333333333471</v>
      </c>
      <c r="AA67" s="31">
        <f t="shared" si="10"/>
        <v>39.875</v>
      </c>
      <c r="AB67" s="31">
        <f t="shared" si="10"/>
        <v>63</v>
      </c>
      <c r="AC67" s="31">
        <f t="shared" si="9"/>
        <v>72</v>
      </c>
      <c r="AD67" s="31">
        <f t="shared" si="9"/>
        <v>88.2</v>
      </c>
      <c r="AE67" s="31">
        <f t="shared" si="9"/>
        <v>109.2</v>
      </c>
      <c r="AF67" s="31">
        <f t="shared" si="9"/>
        <v>121.8</v>
      </c>
      <c r="AG67" s="31">
        <f t="shared" si="9"/>
        <v>187.2</v>
      </c>
      <c r="AH67" s="31">
        <f t="shared" si="9"/>
        <v>34.000000000000099</v>
      </c>
      <c r="AI67" s="31">
        <f t="shared" si="9"/>
        <v>40.000000000000099</v>
      </c>
      <c r="AJ67" s="31">
        <f t="shared" si="9"/>
        <v>85.333333333333471</v>
      </c>
      <c r="AK67" s="31">
        <f t="shared" si="9"/>
        <v>39.875</v>
      </c>
      <c r="AL67" s="31">
        <f t="shared" si="9"/>
        <v>63</v>
      </c>
      <c r="AM67" s="31">
        <f t="shared" si="9"/>
        <v>72</v>
      </c>
      <c r="AN67" s="31">
        <f t="shared" si="9"/>
        <v>88.2</v>
      </c>
      <c r="AO67" s="31">
        <f t="shared" si="9"/>
        <v>109.2</v>
      </c>
      <c r="AP67" s="31">
        <f t="shared" si="9"/>
        <v>121.8</v>
      </c>
      <c r="AQ67" s="31">
        <f t="shared" si="9"/>
        <v>187.2</v>
      </c>
    </row>
    <row r="68" spans="2:43" x14ac:dyDescent="0.3">
      <c r="B68" s="116" t="s">
        <v>1811</v>
      </c>
      <c r="C68" s="116">
        <v>60</v>
      </c>
      <c r="D68" s="116">
        <v>8</v>
      </c>
      <c r="E68" s="116">
        <f t="shared" si="11"/>
        <v>1</v>
      </c>
      <c r="F68" s="116">
        <f t="shared" si="14"/>
        <v>420</v>
      </c>
      <c r="G68" s="116">
        <f t="shared" si="15"/>
        <v>60</v>
      </c>
      <c r="H68" s="116">
        <f t="shared" si="12"/>
        <v>240</v>
      </c>
      <c r="I68" s="116">
        <f t="shared" si="13"/>
        <v>24</v>
      </c>
      <c r="J68" s="116">
        <f t="shared" si="16"/>
        <v>215</v>
      </c>
      <c r="K68" s="2">
        <f t="shared" si="17"/>
        <v>650</v>
      </c>
      <c r="M68" s="2">
        <v>23</v>
      </c>
      <c r="N68" s="31">
        <f t="shared" si="10"/>
        <v>34.000000000000099</v>
      </c>
      <c r="O68" s="31">
        <f t="shared" si="10"/>
        <v>40.000000000000099</v>
      </c>
      <c r="P68" s="31">
        <f t="shared" si="10"/>
        <v>85.333333333333471</v>
      </c>
      <c r="Q68" s="31">
        <f t="shared" si="10"/>
        <v>39.875</v>
      </c>
      <c r="R68" s="31">
        <f t="shared" si="10"/>
        <v>63</v>
      </c>
      <c r="S68" s="31">
        <f t="shared" si="10"/>
        <v>72</v>
      </c>
      <c r="T68" s="31">
        <f t="shared" si="10"/>
        <v>88.2</v>
      </c>
      <c r="U68" s="31">
        <f t="shared" si="10"/>
        <v>109.2</v>
      </c>
      <c r="V68" s="31">
        <f t="shared" si="10"/>
        <v>121.8</v>
      </c>
      <c r="W68" s="31">
        <f t="shared" si="10"/>
        <v>187.2</v>
      </c>
      <c r="X68" s="31">
        <f t="shared" si="10"/>
        <v>34.000000000000099</v>
      </c>
      <c r="Y68" s="31">
        <f t="shared" si="10"/>
        <v>40.000000000000099</v>
      </c>
      <c r="Z68" s="31">
        <f t="shared" si="10"/>
        <v>85.333333333333471</v>
      </c>
      <c r="AA68" s="31">
        <f t="shared" si="10"/>
        <v>39.875</v>
      </c>
      <c r="AB68" s="31">
        <f t="shared" si="10"/>
        <v>63</v>
      </c>
      <c r="AC68" s="31">
        <f t="shared" si="9"/>
        <v>72</v>
      </c>
      <c r="AD68" s="31">
        <f t="shared" si="9"/>
        <v>88.2</v>
      </c>
      <c r="AE68" s="31">
        <f t="shared" si="9"/>
        <v>109.2</v>
      </c>
      <c r="AF68" s="31">
        <f t="shared" si="9"/>
        <v>121.8</v>
      </c>
      <c r="AG68" s="31">
        <f t="shared" si="9"/>
        <v>187.2</v>
      </c>
      <c r="AH68" s="31">
        <f t="shared" si="9"/>
        <v>34.000000000000099</v>
      </c>
      <c r="AI68" s="31">
        <f t="shared" si="9"/>
        <v>40.000000000000099</v>
      </c>
      <c r="AJ68" s="31">
        <f t="shared" si="9"/>
        <v>85.333333333333471</v>
      </c>
      <c r="AK68" s="31">
        <f t="shared" si="9"/>
        <v>39.875</v>
      </c>
      <c r="AL68" s="31">
        <f t="shared" si="9"/>
        <v>63</v>
      </c>
      <c r="AM68" s="31">
        <f t="shared" si="9"/>
        <v>72</v>
      </c>
      <c r="AN68" s="31">
        <f t="shared" si="9"/>
        <v>88.2</v>
      </c>
      <c r="AO68" s="31">
        <f t="shared" si="9"/>
        <v>109.2</v>
      </c>
      <c r="AP68" s="31">
        <f t="shared" si="9"/>
        <v>121.8</v>
      </c>
      <c r="AQ68" s="31">
        <f t="shared" si="9"/>
        <v>187.2</v>
      </c>
    </row>
    <row r="69" spans="2:43" x14ac:dyDescent="0.3">
      <c r="B69" s="2" t="s">
        <v>1812</v>
      </c>
      <c r="C69" s="2">
        <v>120</v>
      </c>
      <c r="D69" s="2">
        <v>8</v>
      </c>
      <c r="E69" s="2">
        <f t="shared" si="11"/>
        <v>0.95</v>
      </c>
      <c r="F69" s="2">
        <f t="shared" si="14"/>
        <v>840</v>
      </c>
      <c r="G69" s="2">
        <f t="shared" si="15"/>
        <v>120</v>
      </c>
      <c r="H69" s="2">
        <f t="shared" si="12"/>
        <v>442</v>
      </c>
      <c r="I69" s="2">
        <f t="shared" si="13"/>
        <v>42</v>
      </c>
      <c r="J69" s="2">
        <f t="shared" si="16"/>
        <v>400</v>
      </c>
      <c r="K69" s="2">
        <f t="shared" si="17"/>
        <v>1200</v>
      </c>
      <c r="M69" s="2">
        <v>24</v>
      </c>
      <c r="N69" s="31">
        <f t="shared" si="10"/>
        <v>34.000000000000099</v>
      </c>
      <c r="O69" s="31">
        <f t="shared" si="10"/>
        <v>40.000000000000099</v>
      </c>
      <c r="P69" s="31">
        <f t="shared" si="10"/>
        <v>85.333333333333471</v>
      </c>
      <c r="Q69" s="31">
        <f t="shared" si="10"/>
        <v>39.875</v>
      </c>
      <c r="R69" s="31">
        <f t="shared" si="10"/>
        <v>63</v>
      </c>
      <c r="S69" s="31">
        <f t="shared" si="10"/>
        <v>72</v>
      </c>
      <c r="T69" s="31">
        <f t="shared" si="10"/>
        <v>88.2</v>
      </c>
      <c r="U69" s="31">
        <f t="shared" si="10"/>
        <v>109.2</v>
      </c>
      <c r="V69" s="31">
        <f t="shared" si="10"/>
        <v>121.8</v>
      </c>
      <c r="W69" s="31">
        <f t="shared" si="10"/>
        <v>187.2</v>
      </c>
      <c r="X69" s="31">
        <f t="shared" si="10"/>
        <v>34.000000000000099</v>
      </c>
      <c r="Y69" s="31">
        <f t="shared" si="10"/>
        <v>40.000000000000099</v>
      </c>
      <c r="Z69" s="31">
        <f t="shared" si="10"/>
        <v>85.333333333333471</v>
      </c>
      <c r="AA69" s="31">
        <f t="shared" si="10"/>
        <v>39.875</v>
      </c>
      <c r="AB69" s="31">
        <f t="shared" si="10"/>
        <v>63</v>
      </c>
      <c r="AC69" s="31">
        <f t="shared" si="9"/>
        <v>72</v>
      </c>
      <c r="AD69" s="31">
        <f t="shared" si="9"/>
        <v>88.2</v>
      </c>
      <c r="AE69" s="31">
        <f t="shared" si="9"/>
        <v>109.2</v>
      </c>
      <c r="AF69" s="31">
        <f t="shared" si="9"/>
        <v>121.8</v>
      </c>
      <c r="AG69" s="31">
        <f t="shared" si="9"/>
        <v>187.2</v>
      </c>
      <c r="AH69" s="31">
        <f t="shared" si="9"/>
        <v>34.000000000000099</v>
      </c>
      <c r="AI69" s="31">
        <f t="shared" si="9"/>
        <v>40.000000000000099</v>
      </c>
      <c r="AJ69" s="31">
        <f t="shared" si="9"/>
        <v>85.333333333333471</v>
      </c>
      <c r="AK69" s="31">
        <f t="shared" si="9"/>
        <v>39.875</v>
      </c>
      <c r="AL69" s="31">
        <f t="shared" si="9"/>
        <v>63</v>
      </c>
      <c r="AM69" s="31">
        <f t="shared" si="9"/>
        <v>72</v>
      </c>
      <c r="AN69" s="31">
        <f t="shared" si="9"/>
        <v>88.2</v>
      </c>
      <c r="AO69" s="31">
        <f t="shared" si="9"/>
        <v>109.2</v>
      </c>
      <c r="AP69" s="31">
        <f t="shared" si="9"/>
        <v>121.8</v>
      </c>
      <c r="AQ69" s="31">
        <f t="shared" si="9"/>
        <v>187.2</v>
      </c>
    </row>
    <row r="70" spans="2:43" x14ac:dyDescent="0.3">
      <c r="B70" s="2" t="s">
        <v>1813</v>
      </c>
      <c r="C70" s="2">
        <v>480</v>
      </c>
      <c r="D70" s="2">
        <v>8</v>
      </c>
      <c r="E70" s="2">
        <f t="shared" si="11"/>
        <v>0.9</v>
      </c>
      <c r="F70" s="2">
        <f t="shared" si="14"/>
        <v>3360</v>
      </c>
      <c r="G70" s="2">
        <f t="shared" si="15"/>
        <v>480</v>
      </c>
      <c r="H70" s="2">
        <f t="shared" si="12"/>
        <v>1399</v>
      </c>
      <c r="I70" s="2">
        <f t="shared" si="13"/>
        <v>135</v>
      </c>
      <c r="J70" s="2">
        <f t="shared" si="16"/>
        <v>1265</v>
      </c>
      <c r="K70" s="2">
        <f t="shared" si="17"/>
        <v>3790</v>
      </c>
    </row>
    <row r="71" spans="2:43" x14ac:dyDescent="0.3">
      <c r="M71" s="263" t="s">
        <v>1814</v>
      </c>
      <c r="N71" s="264"/>
      <c r="O71" s="264"/>
      <c r="P71" s="264"/>
      <c r="Q71" s="264"/>
      <c r="R71" s="264"/>
      <c r="S71" s="265"/>
    </row>
    <row r="72" spans="2:43" x14ac:dyDescent="0.3">
      <c r="M72" s="2" t="s">
        <v>385</v>
      </c>
      <c r="N72" s="2" t="s">
        <v>275</v>
      </c>
      <c r="O72" s="2" t="s">
        <v>280</v>
      </c>
      <c r="P72" s="2" t="s">
        <v>519</v>
      </c>
      <c r="Q72" s="2" t="s">
        <v>1815</v>
      </c>
      <c r="R72" s="2" t="s">
        <v>1816</v>
      </c>
      <c r="S72" s="2" t="s">
        <v>1817</v>
      </c>
      <c r="U72" s="103" t="s">
        <v>1818</v>
      </c>
      <c r="V72" s="103" t="s">
        <v>1819</v>
      </c>
      <c r="W72" s="103" t="s">
        <v>1820</v>
      </c>
      <c r="X72" s="103" t="s">
        <v>1821</v>
      </c>
      <c r="Y72" s="103" t="s">
        <v>1822</v>
      </c>
      <c r="Z72" s="84" t="s">
        <v>1823</v>
      </c>
      <c r="AA72" s="84" t="s">
        <v>1822</v>
      </c>
    </row>
    <row r="73" spans="2:43" ht="16.5" x14ac:dyDescent="0.35">
      <c r="B73" s="127" t="s">
        <v>1824</v>
      </c>
      <c r="M73" s="2">
        <v>1</v>
      </c>
      <c r="N73" s="42">
        <f>[1]基础经济系数!G83</f>
        <v>200</v>
      </c>
      <c r="O73" s="34">
        <f>[1]基础经济系数!$C$7</f>
        <v>1.25</v>
      </c>
      <c r="P73" s="2">
        <f>O73*0.6</f>
        <v>0.75</v>
      </c>
      <c r="Q73" s="42">
        <f>AVERAGE($N$73:$N$96)*0.6</f>
        <v>252.375</v>
      </c>
      <c r="R73" s="34">
        <f t="shared" ref="R73:R96" si="18">O73*2.1</f>
        <v>2.625</v>
      </c>
      <c r="S73" s="2">
        <f>P73</f>
        <v>0.75</v>
      </c>
      <c r="U73" s="2">
        <v>100</v>
      </c>
      <c r="V73" s="2">
        <v>0.94</v>
      </c>
      <c r="W73" s="2">
        <f>ROUND(U73*Q75*V73/X73,0)*X73</f>
        <v>36000</v>
      </c>
      <c r="X73" s="2">
        <v>4000</v>
      </c>
      <c r="Y73" s="2">
        <f>W73/U73</f>
        <v>360</v>
      </c>
      <c r="Z73" s="2">
        <v>4500</v>
      </c>
      <c r="AA73" s="2">
        <f>Z73/U73</f>
        <v>45</v>
      </c>
      <c r="AB73" s="1">
        <f>1/AA73</f>
        <v>2.2222222222222223E-2</v>
      </c>
    </row>
    <row r="74" spans="2:43" x14ac:dyDescent="0.3">
      <c r="B74" s="101" t="s">
        <v>1825</v>
      </c>
      <c r="C74" s="101" t="s">
        <v>380</v>
      </c>
      <c r="D74" s="101" t="s">
        <v>1826</v>
      </c>
      <c r="E74" s="101" t="s">
        <v>273</v>
      </c>
      <c r="M74" s="2">
        <v>2</v>
      </c>
      <c r="N74" s="42">
        <f>[1]基础经济系数!G84</f>
        <v>216</v>
      </c>
      <c r="O74" s="34">
        <f>[1]基础经济系数!$C$7</f>
        <v>1.25</v>
      </c>
      <c r="P74" s="2">
        <f t="shared" ref="P74:P96" si="19">O74*0.6</f>
        <v>0.75</v>
      </c>
      <c r="Q74" s="42">
        <f t="shared" ref="Q74:Q96" si="20">MAX($N$73:$N$96)*0.6</f>
        <v>393</v>
      </c>
      <c r="R74" s="34">
        <f t="shared" si="18"/>
        <v>2.625</v>
      </c>
      <c r="S74" s="2">
        <f t="shared" ref="S74:S96" si="21">P74</f>
        <v>0.75</v>
      </c>
      <c r="U74" s="2">
        <v>200</v>
      </c>
      <c r="V74" s="2">
        <v>0.95</v>
      </c>
      <c r="W74" s="2">
        <f>ROUND(U74*Q76*V74/X74,0)*X74</f>
        <v>75000</v>
      </c>
      <c r="X74" s="2">
        <v>5000</v>
      </c>
      <c r="Y74" s="2">
        <f>W74/U74</f>
        <v>375</v>
      </c>
      <c r="Z74" s="2">
        <v>9500</v>
      </c>
      <c r="AA74" s="2">
        <f t="shared" ref="AA74:AA76" si="22">Z74/U74</f>
        <v>47.5</v>
      </c>
      <c r="AB74" s="1">
        <f>1/AA74</f>
        <v>2.1052631578947368E-2</v>
      </c>
    </row>
    <row r="75" spans="2:43" x14ac:dyDescent="0.3">
      <c r="B75" s="2">
        <v>1</v>
      </c>
      <c r="C75" s="2">
        <v>225</v>
      </c>
      <c r="D75" s="33">
        <v>2.99</v>
      </c>
      <c r="E75" s="2">
        <f t="shared" ref="E75:E80" si="23">C75/D75</f>
        <v>75.250836120401331</v>
      </c>
      <c r="M75" s="2">
        <v>3</v>
      </c>
      <c r="N75" s="42">
        <f>[1]基础经济系数!G85</f>
        <v>234</v>
      </c>
      <c r="O75" s="34">
        <f>[1]基础经济系数!$C$7</f>
        <v>1.25</v>
      </c>
      <c r="P75" s="2">
        <f t="shared" si="19"/>
        <v>0.75</v>
      </c>
      <c r="Q75" s="42">
        <f t="shared" si="20"/>
        <v>393</v>
      </c>
      <c r="R75" s="34">
        <f t="shared" si="18"/>
        <v>2.625</v>
      </c>
      <c r="S75" s="2">
        <f t="shared" si="21"/>
        <v>0.75</v>
      </c>
      <c r="U75" s="2">
        <v>500</v>
      </c>
      <c r="V75" s="2">
        <v>0.97</v>
      </c>
      <c r="W75" s="2">
        <f>ROUND(U75*Q76*V75/X75,0)*X75</f>
        <v>190000</v>
      </c>
      <c r="X75" s="2">
        <v>5000</v>
      </c>
      <c r="Y75" s="2">
        <f>W75/U75</f>
        <v>380</v>
      </c>
      <c r="Z75" s="2">
        <v>24000</v>
      </c>
      <c r="AA75" s="2">
        <f t="shared" si="22"/>
        <v>48</v>
      </c>
      <c r="AB75" s="1">
        <f>1/AA75</f>
        <v>2.0833333333333332E-2</v>
      </c>
    </row>
    <row r="76" spans="2:43" x14ac:dyDescent="0.3">
      <c r="B76" s="2">
        <v>2</v>
      </c>
      <c r="C76" s="2">
        <v>400</v>
      </c>
      <c r="D76" s="33">
        <v>4.99</v>
      </c>
      <c r="E76" s="2">
        <f t="shared" si="23"/>
        <v>80.160320641282567</v>
      </c>
      <c r="M76" s="2">
        <v>4</v>
      </c>
      <c r="N76" s="42">
        <f>[1]基础经济系数!G86</f>
        <v>250</v>
      </c>
      <c r="O76" s="34">
        <f>[1]基础经济系数!$C$7</f>
        <v>1.25</v>
      </c>
      <c r="P76" s="2">
        <f t="shared" si="19"/>
        <v>0.75</v>
      </c>
      <c r="Q76" s="42">
        <f t="shared" si="20"/>
        <v>393</v>
      </c>
      <c r="R76" s="34">
        <f t="shared" si="18"/>
        <v>2.625</v>
      </c>
      <c r="S76" s="2">
        <f t="shared" si="21"/>
        <v>0.75</v>
      </c>
      <c r="U76" s="2">
        <v>1000</v>
      </c>
      <c r="V76" s="2">
        <v>1.01</v>
      </c>
      <c r="W76" s="2">
        <f>ROUND(U76*Q77*V76/X76,0)*X76</f>
        <v>400000</v>
      </c>
      <c r="X76" s="2">
        <v>10000</v>
      </c>
      <c r="Y76" s="2">
        <f>W76/U76</f>
        <v>400</v>
      </c>
      <c r="Z76" s="2">
        <v>50000</v>
      </c>
      <c r="AA76" s="2">
        <f t="shared" si="22"/>
        <v>50</v>
      </c>
      <c r="AB76" s="1">
        <f>1/AA76</f>
        <v>0.02</v>
      </c>
    </row>
    <row r="77" spans="2:43" x14ac:dyDescent="0.3">
      <c r="B77" s="2">
        <v>3</v>
      </c>
      <c r="C77" s="2">
        <v>850</v>
      </c>
      <c r="D77" s="33">
        <v>9.99</v>
      </c>
      <c r="E77" s="2">
        <f t="shared" si="23"/>
        <v>85.085085085085083</v>
      </c>
      <c r="M77" s="2">
        <v>5</v>
      </c>
      <c r="N77" s="42">
        <f>[1]基础经济系数!G87</f>
        <v>266</v>
      </c>
      <c r="O77" s="34">
        <f>[1]基础经济系数!$C$7</f>
        <v>1.25</v>
      </c>
      <c r="P77" s="2">
        <f t="shared" si="19"/>
        <v>0.75</v>
      </c>
      <c r="Q77" s="42">
        <f t="shared" si="20"/>
        <v>393</v>
      </c>
      <c r="R77" s="34">
        <f t="shared" si="18"/>
        <v>2.625</v>
      </c>
      <c r="S77" s="2">
        <f t="shared" si="21"/>
        <v>0.75</v>
      </c>
    </row>
    <row r="78" spans="2:43" x14ac:dyDescent="0.3">
      <c r="B78" s="2">
        <v>4</v>
      </c>
      <c r="C78" s="2">
        <v>1800</v>
      </c>
      <c r="D78" s="33">
        <v>19.989999999999998</v>
      </c>
      <c r="E78" s="2">
        <f t="shared" si="23"/>
        <v>90.045022511255638</v>
      </c>
      <c r="M78" s="2">
        <v>6</v>
      </c>
      <c r="N78" s="42">
        <f>[1]基础经济系数!G88</f>
        <v>284</v>
      </c>
      <c r="O78" s="34">
        <f>[1]基础经济系数!$C$7</f>
        <v>1.25</v>
      </c>
      <c r="P78" s="2">
        <f t="shared" si="19"/>
        <v>0.75</v>
      </c>
      <c r="Q78" s="42">
        <f t="shared" si="20"/>
        <v>393</v>
      </c>
      <c r="R78" s="34">
        <f t="shared" si="18"/>
        <v>2.625</v>
      </c>
      <c r="S78" s="2">
        <f t="shared" si="21"/>
        <v>0.75</v>
      </c>
    </row>
    <row r="79" spans="2:43" x14ac:dyDescent="0.3">
      <c r="B79" s="2">
        <v>5</v>
      </c>
      <c r="C79" s="2">
        <v>4750</v>
      </c>
      <c r="D79" s="33">
        <v>49.99</v>
      </c>
      <c r="E79" s="2">
        <f t="shared" si="23"/>
        <v>95.019003800760146</v>
      </c>
      <c r="M79" s="2">
        <v>7</v>
      </c>
      <c r="N79" s="42">
        <f>[1]基础经济系数!G89</f>
        <v>300</v>
      </c>
      <c r="O79" s="34">
        <f>[1]基础经济系数!$C$7</f>
        <v>1.25</v>
      </c>
      <c r="P79" s="2">
        <f t="shared" si="19"/>
        <v>0.75</v>
      </c>
      <c r="Q79" s="42">
        <f t="shared" si="20"/>
        <v>393</v>
      </c>
      <c r="R79" s="34">
        <f t="shared" si="18"/>
        <v>2.625</v>
      </c>
      <c r="S79" s="2">
        <f t="shared" si="21"/>
        <v>0.75</v>
      </c>
    </row>
    <row r="80" spans="2:43" x14ac:dyDescent="0.3">
      <c r="B80" s="2">
        <v>6</v>
      </c>
      <c r="C80" s="2">
        <v>10000</v>
      </c>
      <c r="D80" s="33">
        <v>99.99</v>
      </c>
      <c r="E80" s="2">
        <f t="shared" si="23"/>
        <v>100.01000100010002</v>
      </c>
      <c r="M80" s="2">
        <v>8</v>
      </c>
      <c r="N80" s="42">
        <f>[1]基础经济系数!G90</f>
        <v>316</v>
      </c>
      <c r="O80" s="34">
        <f>[1]基础经济系数!$C$7</f>
        <v>1.25</v>
      </c>
      <c r="P80" s="2">
        <f t="shared" si="19"/>
        <v>0.75</v>
      </c>
      <c r="Q80" s="42">
        <f t="shared" si="20"/>
        <v>393</v>
      </c>
      <c r="R80" s="34">
        <f t="shared" si="18"/>
        <v>2.625</v>
      </c>
      <c r="S80" s="2">
        <f t="shared" si="21"/>
        <v>0.75</v>
      </c>
      <c r="U80" s="2" t="s">
        <v>1827</v>
      </c>
      <c r="V80" s="2" t="s">
        <v>1828</v>
      </c>
      <c r="W80" s="2" t="s">
        <v>1829</v>
      </c>
      <c r="X80" s="2" t="s">
        <v>1795</v>
      </c>
      <c r="Y80" s="2" t="s">
        <v>1830</v>
      </c>
    </row>
    <row r="81" spans="2:25" x14ac:dyDescent="0.3">
      <c r="M81" s="2">
        <v>9</v>
      </c>
      <c r="N81" s="42">
        <f>[1]基础经济系数!G91</f>
        <v>334</v>
      </c>
      <c r="O81" s="34">
        <f>[1]基础经济系数!$C$7</f>
        <v>1.25</v>
      </c>
      <c r="P81" s="2">
        <f t="shared" si="19"/>
        <v>0.75</v>
      </c>
      <c r="Q81" s="42">
        <f t="shared" si="20"/>
        <v>393</v>
      </c>
      <c r="R81" s="34">
        <f t="shared" si="18"/>
        <v>2.625</v>
      </c>
      <c r="S81" s="2">
        <f t="shared" si="21"/>
        <v>0.75</v>
      </c>
      <c r="U81" s="2">
        <v>0.5</v>
      </c>
      <c r="V81" s="2">
        <f>U81*[1]基础经济系数!$C$9</f>
        <v>100</v>
      </c>
      <c r="W81" s="2">
        <f>V81*$S$73</f>
        <v>75</v>
      </c>
      <c r="X81" s="21">
        <v>1.2</v>
      </c>
      <c r="Y81" s="2">
        <f>ROUND(X81*W81/5,0)*5</f>
        <v>90</v>
      </c>
    </row>
    <row r="82" spans="2:25" x14ac:dyDescent="0.3">
      <c r="B82" s="107" t="s">
        <v>1831</v>
      </c>
      <c r="M82" s="2">
        <v>10</v>
      </c>
      <c r="N82" s="42">
        <f>[1]基础经济系数!G92</f>
        <v>350</v>
      </c>
      <c r="O82" s="34">
        <f>[1]基础经济系数!$C$7</f>
        <v>1.25</v>
      </c>
      <c r="P82" s="2">
        <f t="shared" si="19"/>
        <v>0.75</v>
      </c>
      <c r="Q82" s="42">
        <f t="shared" si="20"/>
        <v>393</v>
      </c>
      <c r="R82" s="34">
        <f t="shared" si="18"/>
        <v>2.625</v>
      </c>
      <c r="S82" s="2">
        <f t="shared" si="21"/>
        <v>0.75</v>
      </c>
      <c r="U82" s="2">
        <v>1.5</v>
      </c>
      <c r="V82" s="2">
        <f>U82*[1]基础经济系数!$C$9</f>
        <v>300</v>
      </c>
      <c r="W82" s="2">
        <f>V82*$S$73</f>
        <v>225</v>
      </c>
      <c r="X82" s="21">
        <v>1</v>
      </c>
      <c r="Y82" s="2">
        <f>ROUND(X82*W82/5,0)*5</f>
        <v>225</v>
      </c>
    </row>
    <row r="83" spans="2:25" x14ac:dyDescent="0.3">
      <c r="B83" s="101" t="s">
        <v>1825</v>
      </c>
      <c r="C83" s="101" t="s">
        <v>1832</v>
      </c>
      <c r="D83" s="101" t="s">
        <v>1826</v>
      </c>
      <c r="E83" s="101" t="s">
        <v>325</v>
      </c>
      <c r="F83" s="101" t="s">
        <v>1833</v>
      </c>
      <c r="M83" s="2">
        <v>11</v>
      </c>
      <c r="N83" s="42">
        <f>[1]基础经济系数!G93</f>
        <v>366</v>
      </c>
      <c r="O83" s="34">
        <f>[1]基础经济系数!$C$7</f>
        <v>1.25</v>
      </c>
      <c r="P83" s="2">
        <f t="shared" si="19"/>
        <v>0.75</v>
      </c>
      <c r="Q83" s="42">
        <f t="shared" si="20"/>
        <v>393</v>
      </c>
      <c r="R83" s="34">
        <f t="shared" si="18"/>
        <v>2.625</v>
      </c>
      <c r="S83" s="2">
        <f t="shared" si="21"/>
        <v>0.75</v>
      </c>
      <c r="U83" s="2">
        <v>3</v>
      </c>
      <c r="V83" s="2">
        <f>U83*[1]基础经济系数!$C$9</f>
        <v>600</v>
      </c>
      <c r="W83" s="2">
        <f>V83*$S$73</f>
        <v>450</v>
      </c>
      <c r="X83" s="21">
        <v>0.89</v>
      </c>
      <c r="Y83" s="2">
        <f>ROUND(X83*W83/5,0)*5</f>
        <v>400</v>
      </c>
    </row>
    <row r="84" spans="2:25" x14ac:dyDescent="0.3">
      <c r="B84" s="2">
        <v>1</v>
      </c>
      <c r="C84" s="2">
        <v>600</v>
      </c>
      <c r="D84" s="2">
        <v>9.99</v>
      </c>
      <c r="E84" s="2">
        <v>850</v>
      </c>
      <c r="F84" s="2">
        <f>E84/C84</f>
        <v>1.4166666666666667</v>
      </c>
      <c r="M84" s="2">
        <v>12</v>
      </c>
      <c r="N84" s="42">
        <f>[1]基础经济系数!G94</f>
        <v>384</v>
      </c>
      <c r="O84" s="34">
        <f>[1]基础经济系数!$C$7</f>
        <v>1.25</v>
      </c>
      <c r="P84" s="2">
        <f t="shared" si="19"/>
        <v>0.75</v>
      </c>
      <c r="Q84" s="42">
        <f t="shared" si="20"/>
        <v>393</v>
      </c>
      <c r="R84" s="34">
        <f t="shared" si="18"/>
        <v>2.625</v>
      </c>
      <c r="S84" s="2">
        <f t="shared" si="21"/>
        <v>0.75</v>
      </c>
      <c r="U84" s="2">
        <v>5</v>
      </c>
      <c r="V84" s="2">
        <f>U84*[1]基础经济系数!$C$9</f>
        <v>1000</v>
      </c>
      <c r="W84" s="2">
        <f>V84*$S$73</f>
        <v>750</v>
      </c>
      <c r="X84" s="21">
        <v>0.8</v>
      </c>
      <c r="Y84" s="2">
        <f>ROUND(X84*W84/5,0)*5</f>
        <v>600</v>
      </c>
    </row>
    <row r="85" spans="2:25" x14ac:dyDescent="0.3">
      <c r="B85" s="2">
        <v>2</v>
      </c>
      <c r="C85" s="2">
        <v>1980</v>
      </c>
      <c r="D85" s="2">
        <v>29.99</v>
      </c>
      <c r="E85" s="2">
        <f>D85/D79*C79</f>
        <v>2849.619923984797</v>
      </c>
      <c r="F85" s="2">
        <f>E85/C85</f>
        <v>1.4392019818105035</v>
      </c>
      <c r="M85" s="2">
        <v>13</v>
      </c>
      <c r="N85" s="42">
        <f>[1]基础经济系数!G95</f>
        <v>400</v>
      </c>
      <c r="O85" s="34">
        <f>[1]基础经济系数!$C$7</f>
        <v>1.25</v>
      </c>
      <c r="P85" s="2">
        <f t="shared" si="19"/>
        <v>0.75</v>
      </c>
      <c r="Q85" s="42">
        <f t="shared" si="20"/>
        <v>393</v>
      </c>
      <c r="R85" s="34">
        <f t="shared" si="18"/>
        <v>2.625</v>
      </c>
      <c r="S85" s="2">
        <f t="shared" si="21"/>
        <v>0.75</v>
      </c>
    </row>
    <row r="86" spans="2:25" x14ac:dyDescent="0.3">
      <c r="M86" s="2">
        <v>14</v>
      </c>
      <c r="N86" s="42">
        <f>[1]基础经济系数!G96</f>
        <v>470</v>
      </c>
      <c r="O86" s="34">
        <f>[1]基础经济系数!$C$7</f>
        <v>1.25</v>
      </c>
      <c r="P86" s="2">
        <f t="shared" si="19"/>
        <v>0.75</v>
      </c>
      <c r="Q86" s="42">
        <f t="shared" si="20"/>
        <v>393</v>
      </c>
      <c r="R86" s="34">
        <f t="shared" si="18"/>
        <v>2.625</v>
      </c>
      <c r="S86" s="2">
        <f t="shared" si="21"/>
        <v>0.75</v>
      </c>
    </row>
    <row r="87" spans="2:25" x14ac:dyDescent="0.3">
      <c r="M87" s="2">
        <v>15</v>
      </c>
      <c r="N87" s="42">
        <f>[1]基础经济系数!G97</f>
        <v>490</v>
      </c>
      <c r="O87" s="34">
        <f>[1]基础经济系数!$C$7</f>
        <v>1.25</v>
      </c>
      <c r="P87" s="2">
        <f t="shared" si="19"/>
        <v>0.75</v>
      </c>
      <c r="Q87" s="42">
        <f t="shared" si="20"/>
        <v>393</v>
      </c>
      <c r="R87" s="34">
        <f t="shared" si="18"/>
        <v>2.625</v>
      </c>
      <c r="S87" s="2">
        <f t="shared" si="21"/>
        <v>0.75</v>
      </c>
    </row>
    <row r="88" spans="2:25" x14ac:dyDescent="0.3">
      <c r="B88" s="107" t="s">
        <v>1834</v>
      </c>
      <c r="M88" s="2">
        <v>16</v>
      </c>
      <c r="N88" s="42">
        <f>[1]基础经济系数!G98</f>
        <v>505</v>
      </c>
      <c r="O88" s="34">
        <f>[1]基础经济系数!$C$7</f>
        <v>1.25</v>
      </c>
      <c r="P88" s="2">
        <f t="shared" si="19"/>
        <v>0.75</v>
      </c>
      <c r="Q88" s="42">
        <f t="shared" si="20"/>
        <v>393</v>
      </c>
      <c r="R88" s="34">
        <f t="shared" si="18"/>
        <v>2.625</v>
      </c>
      <c r="S88" s="2">
        <f t="shared" si="21"/>
        <v>0.75</v>
      </c>
    </row>
    <row r="89" spans="2:25" x14ac:dyDescent="0.3">
      <c r="B89" s="44" t="s">
        <v>1835</v>
      </c>
      <c r="C89" s="44" t="s">
        <v>1836</v>
      </c>
      <c r="D89" s="44" t="s">
        <v>1837</v>
      </c>
      <c r="E89" s="44" t="s">
        <v>1838</v>
      </c>
      <c r="F89" s="44" t="s">
        <v>1839</v>
      </c>
      <c r="G89" s="44" t="s">
        <v>1840</v>
      </c>
      <c r="H89" s="101" t="s">
        <v>1841</v>
      </c>
      <c r="I89" s="101" t="s">
        <v>1842</v>
      </c>
      <c r="M89" s="2">
        <v>17</v>
      </c>
      <c r="N89" s="42">
        <f>[1]基础经济系数!G99</f>
        <v>525</v>
      </c>
      <c r="O89" s="34">
        <f>[1]基础经济系数!$C$7</f>
        <v>1.25</v>
      </c>
      <c r="P89" s="2">
        <f t="shared" si="19"/>
        <v>0.75</v>
      </c>
      <c r="Q89" s="42">
        <f t="shared" si="20"/>
        <v>393</v>
      </c>
      <c r="R89" s="34">
        <f t="shared" si="18"/>
        <v>2.625</v>
      </c>
      <c r="S89" s="2">
        <f t="shared" si="21"/>
        <v>0.75</v>
      </c>
    </row>
    <row r="90" spans="2:25" x14ac:dyDescent="0.3">
      <c r="B90" s="2" t="s">
        <v>325</v>
      </c>
      <c r="C90" s="2">
        <v>80</v>
      </c>
      <c r="D90" s="2" t="s">
        <v>275</v>
      </c>
      <c r="E90" s="2">
        <v>2000</v>
      </c>
      <c r="F90" s="2" t="s">
        <v>519</v>
      </c>
      <c r="G90" s="2">
        <v>30</v>
      </c>
      <c r="H90" s="31">
        <f>C90+E90*$AB$73+G90*$P$73</f>
        <v>146.94444444444446</v>
      </c>
      <c r="I90" s="31">
        <f>H90/E75</f>
        <v>1.9527283950617287</v>
      </c>
      <c r="M90" s="2">
        <v>18</v>
      </c>
      <c r="N90" s="42">
        <f>[1]基础经济系数!G100</f>
        <v>545</v>
      </c>
      <c r="O90" s="34">
        <f>[1]基础经济系数!$C$7</f>
        <v>1.25</v>
      </c>
      <c r="P90" s="2">
        <f t="shared" si="19"/>
        <v>0.75</v>
      </c>
      <c r="Q90" s="42">
        <f t="shared" si="20"/>
        <v>393</v>
      </c>
      <c r="R90" s="34">
        <f t="shared" si="18"/>
        <v>2.625</v>
      </c>
      <c r="S90" s="2">
        <f t="shared" si="21"/>
        <v>0.75</v>
      </c>
    </row>
    <row r="91" spans="2:25" x14ac:dyDescent="0.3">
      <c r="B91" s="2" t="s">
        <v>325</v>
      </c>
      <c r="C91" s="2">
        <v>150</v>
      </c>
      <c r="D91" s="2" t="s">
        <v>275</v>
      </c>
      <c r="E91" s="2">
        <v>3000</v>
      </c>
      <c r="F91" s="2" t="s">
        <v>280</v>
      </c>
      <c r="G91" s="2">
        <v>30</v>
      </c>
      <c r="H91" s="31">
        <f t="shared" ref="H91:H93" si="24">C91+E91*$AB$73+G91*$P$73</f>
        <v>239.16666666666669</v>
      </c>
      <c r="I91" s="31">
        <f t="shared" ref="I91:I93" si="25">H91/E76</f>
        <v>2.9836041666666668</v>
      </c>
      <c r="M91" s="2">
        <v>19</v>
      </c>
      <c r="N91" s="42">
        <f>[1]基础经济系数!G101</f>
        <v>565</v>
      </c>
      <c r="O91" s="34">
        <f>[1]基础经济系数!$C$7</f>
        <v>1.25</v>
      </c>
      <c r="P91" s="2">
        <f t="shared" si="19"/>
        <v>0.75</v>
      </c>
      <c r="Q91" s="42">
        <f t="shared" si="20"/>
        <v>393</v>
      </c>
      <c r="R91" s="34">
        <f t="shared" si="18"/>
        <v>2.625</v>
      </c>
      <c r="S91" s="2">
        <f t="shared" si="21"/>
        <v>0.75</v>
      </c>
    </row>
    <row r="92" spans="2:25" x14ac:dyDescent="0.3">
      <c r="B92" s="2" t="s">
        <v>325</v>
      </c>
      <c r="C92" s="2">
        <v>200</v>
      </c>
      <c r="D92" s="2" t="s">
        <v>275</v>
      </c>
      <c r="E92" s="2">
        <v>5000</v>
      </c>
      <c r="F92" s="2" t="s">
        <v>280</v>
      </c>
      <c r="G92" s="2">
        <v>50</v>
      </c>
      <c r="H92" s="31">
        <f t="shared" si="24"/>
        <v>348.61111111111109</v>
      </c>
      <c r="I92" s="31">
        <f t="shared" si="25"/>
        <v>4.0972058823529407</v>
      </c>
      <c r="M92" s="2">
        <v>20</v>
      </c>
      <c r="N92" s="42">
        <f>[1]基础经济系数!G102</f>
        <v>580</v>
      </c>
      <c r="O92" s="34">
        <f>[1]基础经济系数!$C$7</f>
        <v>1.25</v>
      </c>
      <c r="P92" s="2">
        <f t="shared" si="19"/>
        <v>0.75</v>
      </c>
      <c r="Q92" s="42">
        <f t="shared" si="20"/>
        <v>393</v>
      </c>
      <c r="R92" s="34">
        <f t="shared" si="18"/>
        <v>2.625</v>
      </c>
      <c r="S92" s="2">
        <f t="shared" si="21"/>
        <v>0.75</v>
      </c>
    </row>
    <row r="93" spans="2:25" x14ac:dyDescent="0.3">
      <c r="B93" s="2" t="s">
        <v>325</v>
      </c>
      <c r="C93" s="2">
        <v>300</v>
      </c>
      <c r="D93" s="2" t="s">
        <v>275</v>
      </c>
      <c r="E93" s="2">
        <v>6000</v>
      </c>
      <c r="F93" s="2" t="s">
        <v>280</v>
      </c>
      <c r="G93" s="2">
        <v>50</v>
      </c>
      <c r="H93" s="31">
        <f t="shared" si="24"/>
        <v>470.83333333333337</v>
      </c>
      <c r="I93" s="31">
        <f t="shared" si="25"/>
        <v>5.2288657407407406</v>
      </c>
      <c r="M93" s="2">
        <v>21</v>
      </c>
      <c r="N93" s="42">
        <f>[1]基础经济系数!G103</f>
        <v>600</v>
      </c>
      <c r="O93" s="34">
        <f>[1]基础经济系数!$C$7</f>
        <v>1.25</v>
      </c>
      <c r="P93" s="2">
        <f t="shared" si="19"/>
        <v>0.75</v>
      </c>
      <c r="Q93" s="42">
        <f t="shared" si="20"/>
        <v>393</v>
      </c>
      <c r="R93" s="34">
        <f t="shared" si="18"/>
        <v>2.625</v>
      </c>
      <c r="S93" s="2">
        <f t="shared" si="21"/>
        <v>0.75</v>
      </c>
    </row>
    <row r="94" spans="2:25" x14ac:dyDescent="0.3">
      <c r="M94" s="2">
        <v>22</v>
      </c>
      <c r="N94" s="42">
        <f>[1]基础经济系数!G104</f>
        <v>620</v>
      </c>
      <c r="O94" s="34">
        <f>[1]基础经济系数!$C$7</f>
        <v>1.25</v>
      </c>
      <c r="P94" s="2">
        <f t="shared" si="19"/>
        <v>0.75</v>
      </c>
      <c r="Q94" s="42">
        <f t="shared" si="20"/>
        <v>393</v>
      </c>
      <c r="R94" s="34">
        <f t="shared" si="18"/>
        <v>2.625</v>
      </c>
      <c r="S94" s="2">
        <f t="shared" si="21"/>
        <v>0.75</v>
      </c>
    </row>
    <row r="95" spans="2:25" x14ac:dyDescent="0.3">
      <c r="M95" s="2">
        <v>23</v>
      </c>
      <c r="N95" s="42">
        <f>[1]基础经济系数!G105</f>
        <v>640</v>
      </c>
      <c r="O95" s="34">
        <f>[1]基础经济系数!$C$7</f>
        <v>1.25</v>
      </c>
      <c r="P95" s="2">
        <f t="shared" si="19"/>
        <v>0.75</v>
      </c>
      <c r="Q95" s="42">
        <f t="shared" si="20"/>
        <v>393</v>
      </c>
      <c r="R95" s="34">
        <f t="shared" si="18"/>
        <v>2.625</v>
      </c>
      <c r="S95" s="2">
        <f t="shared" si="21"/>
        <v>0.75</v>
      </c>
    </row>
    <row r="96" spans="2:25" x14ac:dyDescent="0.3">
      <c r="M96" s="2">
        <v>24</v>
      </c>
      <c r="N96" s="42">
        <f>[1]基础经济系数!G106</f>
        <v>655</v>
      </c>
      <c r="O96" s="34">
        <f>[1]基础经济系数!$C$7</f>
        <v>1.25</v>
      </c>
      <c r="P96" s="2">
        <f t="shared" si="19"/>
        <v>0.75</v>
      </c>
      <c r="Q96" s="42">
        <f t="shared" si="20"/>
        <v>393</v>
      </c>
      <c r="R96" s="34">
        <f t="shared" si="18"/>
        <v>2.625</v>
      </c>
      <c r="S96" s="2">
        <f t="shared" si="21"/>
        <v>0.75</v>
      </c>
    </row>
    <row r="98" spans="13:25" x14ac:dyDescent="0.3">
      <c r="M98" s="263" t="s">
        <v>1843</v>
      </c>
      <c r="N98" s="264"/>
      <c r="O98" s="264"/>
      <c r="P98" s="265"/>
    </row>
    <row r="99" spans="13:25" x14ac:dyDescent="0.3">
      <c r="M99" s="39" t="s">
        <v>385</v>
      </c>
      <c r="N99" s="39" t="s">
        <v>503</v>
      </c>
      <c r="O99" s="39" t="s">
        <v>504</v>
      </c>
      <c r="P99" s="39" t="s">
        <v>505</v>
      </c>
      <c r="V99" s="2" t="s">
        <v>1844</v>
      </c>
      <c r="W99" s="2" t="s">
        <v>1792</v>
      </c>
      <c r="X99" s="2" t="s">
        <v>1819</v>
      </c>
      <c r="Y99" s="2" t="s">
        <v>1845</v>
      </c>
    </row>
    <row r="100" spans="13:25" x14ac:dyDescent="0.3">
      <c r="M100" s="2">
        <v>1</v>
      </c>
      <c r="N100" s="2">
        <f t="shared" ref="N100:P115" si="26">IFERROR(VLOOKUP(N$99,$B$3:$C$30,2,FALSE)*VLOOKUP($M100,$M$3:$AJ$15,MATCH(N$99,$M$3:$AJ$3,0),FALSE),N99)</f>
        <v>40</v>
      </c>
      <c r="O100" s="2">
        <f t="shared" si="26"/>
        <v>70</v>
      </c>
      <c r="P100" s="2">
        <f t="shared" si="26"/>
        <v>120</v>
      </c>
      <c r="Q100" s="1">
        <f t="shared" ref="Q100:R123" si="27">O100/N100</f>
        <v>1.75</v>
      </c>
      <c r="R100" s="1">
        <f t="shared" si="27"/>
        <v>1.7142857142857142</v>
      </c>
      <c r="V100" s="2" t="s">
        <v>503</v>
      </c>
      <c r="W100" s="2">
        <f>C28</f>
        <v>40</v>
      </c>
      <c r="X100" s="21">
        <v>1.3333333333333299</v>
      </c>
      <c r="Y100" s="2">
        <f>X100*W100</f>
        <v>53.333333333333201</v>
      </c>
    </row>
    <row r="101" spans="13:25" x14ac:dyDescent="0.3">
      <c r="M101" s="2">
        <v>2</v>
      </c>
      <c r="N101" s="2">
        <f t="shared" si="26"/>
        <v>38</v>
      </c>
      <c r="O101" s="2">
        <f t="shared" si="26"/>
        <v>70</v>
      </c>
      <c r="P101" s="2">
        <f t="shared" si="26"/>
        <v>120</v>
      </c>
      <c r="Q101" s="1">
        <f t="shared" si="27"/>
        <v>1.8421052631578947</v>
      </c>
      <c r="R101" s="1">
        <f t="shared" si="27"/>
        <v>1.7142857142857142</v>
      </c>
      <c r="V101" s="2" t="s">
        <v>504</v>
      </c>
      <c r="W101" s="2">
        <f>C29</f>
        <v>70</v>
      </c>
      <c r="X101" s="21">
        <v>1.3333333333333299</v>
      </c>
      <c r="Y101" s="2">
        <f>X101*W101</f>
        <v>93.333333333333101</v>
      </c>
    </row>
    <row r="102" spans="13:25" x14ac:dyDescent="0.3">
      <c r="M102" s="2">
        <v>3</v>
      </c>
      <c r="N102" s="2">
        <f t="shared" si="26"/>
        <v>36</v>
      </c>
      <c r="O102" s="2">
        <f t="shared" si="26"/>
        <v>70</v>
      </c>
      <c r="P102" s="2">
        <f t="shared" si="26"/>
        <v>120</v>
      </c>
      <c r="Q102" s="1">
        <f t="shared" si="27"/>
        <v>1.9444444444444444</v>
      </c>
      <c r="R102" s="1">
        <f t="shared" si="27"/>
        <v>1.7142857142857142</v>
      </c>
      <c r="V102" s="2" t="s">
        <v>505</v>
      </c>
      <c r="W102" s="2">
        <f>C30</f>
        <v>120</v>
      </c>
      <c r="X102" s="21">
        <v>1.3333333333333299</v>
      </c>
      <c r="Y102" s="2">
        <f>X102*W102</f>
        <v>159.9999999999996</v>
      </c>
    </row>
    <row r="103" spans="13:25" x14ac:dyDescent="0.3">
      <c r="M103" s="2">
        <v>4</v>
      </c>
      <c r="N103" s="2">
        <f t="shared" si="26"/>
        <v>34</v>
      </c>
      <c r="O103" s="2">
        <f t="shared" si="26"/>
        <v>67.55</v>
      </c>
      <c r="P103" s="2">
        <f t="shared" si="26"/>
        <v>120</v>
      </c>
      <c r="Q103" s="1">
        <f t="shared" si="27"/>
        <v>1.9867647058823528</v>
      </c>
      <c r="R103" s="1">
        <f t="shared" si="27"/>
        <v>1.7764618800888232</v>
      </c>
    </row>
    <row r="104" spans="13:25" x14ac:dyDescent="0.3">
      <c r="M104" s="2">
        <v>5</v>
      </c>
      <c r="N104" s="2">
        <f t="shared" si="26"/>
        <v>32</v>
      </c>
      <c r="O104" s="2">
        <f t="shared" si="26"/>
        <v>65.100000000000009</v>
      </c>
      <c r="P104" s="2">
        <f t="shared" si="26"/>
        <v>120</v>
      </c>
      <c r="Q104" s="1">
        <f t="shared" si="27"/>
        <v>2.0343750000000003</v>
      </c>
      <c r="R104" s="1">
        <f t="shared" si="27"/>
        <v>1.8433179723502302</v>
      </c>
    </row>
    <row r="105" spans="13:25" x14ac:dyDescent="0.3">
      <c r="M105" s="2">
        <v>6</v>
      </c>
      <c r="N105" s="2">
        <f t="shared" si="26"/>
        <v>30</v>
      </c>
      <c r="O105" s="2">
        <f t="shared" si="26"/>
        <v>62.65</v>
      </c>
      <c r="P105" s="2">
        <f t="shared" si="26"/>
        <v>117.6</v>
      </c>
      <c r="Q105" s="1">
        <f t="shared" si="27"/>
        <v>2.0883333333333334</v>
      </c>
      <c r="R105" s="1">
        <f t="shared" si="27"/>
        <v>1.8770949720670391</v>
      </c>
    </row>
    <row r="106" spans="13:25" x14ac:dyDescent="0.3">
      <c r="M106" s="2">
        <v>7</v>
      </c>
      <c r="N106" s="2">
        <f t="shared" si="26"/>
        <v>28</v>
      </c>
      <c r="O106" s="2">
        <f t="shared" si="26"/>
        <v>60.199999999999996</v>
      </c>
      <c r="P106" s="2">
        <f t="shared" si="26"/>
        <v>115.19999999999999</v>
      </c>
      <c r="Q106" s="1">
        <f t="shared" si="27"/>
        <v>2.15</v>
      </c>
      <c r="R106" s="1">
        <f t="shared" si="27"/>
        <v>1.9136212624584716</v>
      </c>
    </row>
    <row r="107" spans="13:25" x14ac:dyDescent="0.3">
      <c r="M107" s="2">
        <v>8</v>
      </c>
      <c r="N107" s="2">
        <f t="shared" si="26"/>
        <v>26</v>
      </c>
      <c r="O107" s="2">
        <f t="shared" si="26"/>
        <v>57.75</v>
      </c>
      <c r="P107" s="2">
        <f t="shared" si="26"/>
        <v>112.8</v>
      </c>
      <c r="Q107" s="1">
        <f t="shared" si="27"/>
        <v>2.2211538461538463</v>
      </c>
      <c r="R107" s="1">
        <f t="shared" si="27"/>
        <v>1.9532467532467532</v>
      </c>
    </row>
    <row r="108" spans="13:25" x14ac:dyDescent="0.3">
      <c r="M108" s="2">
        <v>9</v>
      </c>
      <c r="N108" s="2">
        <f t="shared" si="26"/>
        <v>24</v>
      </c>
      <c r="O108" s="2">
        <f t="shared" si="26"/>
        <v>55.300000000000004</v>
      </c>
      <c r="P108" s="2">
        <f t="shared" si="26"/>
        <v>110.4</v>
      </c>
      <c r="Q108" s="1">
        <f t="shared" si="27"/>
        <v>2.3041666666666667</v>
      </c>
      <c r="R108" s="1">
        <f t="shared" si="27"/>
        <v>1.996383363471971</v>
      </c>
    </row>
    <row r="109" spans="13:25" x14ac:dyDescent="0.3">
      <c r="M109" s="2">
        <v>10</v>
      </c>
      <c r="N109" s="2">
        <f t="shared" si="26"/>
        <v>22</v>
      </c>
      <c r="O109" s="2">
        <f t="shared" si="26"/>
        <v>52.85</v>
      </c>
      <c r="P109" s="2">
        <f t="shared" si="26"/>
        <v>108</v>
      </c>
      <c r="Q109" s="1">
        <f t="shared" si="27"/>
        <v>2.4022727272727273</v>
      </c>
      <c r="R109" s="1">
        <f t="shared" si="27"/>
        <v>2.0435193945127721</v>
      </c>
    </row>
    <row r="110" spans="13:25" x14ac:dyDescent="0.3">
      <c r="M110" s="2">
        <v>11</v>
      </c>
      <c r="N110" s="2">
        <f t="shared" si="26"/>
        <v>20</v>
      </c>
      <c r="O110" s="2">
        <f t="shared" si="26"/>
        <v>50.4</v>
      </c>
      <c r="P110" s="2">
        <f t="shared" si="26"/>
        <v>105.6</v>
      </c>
      <c r="Q110" s="1">
        <f t="shared" si="27"/>
        <v>2.52</v>
      </c>
      <c r="R110" s="1">
        <f t="shared" si="27"/>
        <v>2.0952380952380953</v>
      </c>
    </row>
    <row r="111" spans="13:25" x14ac:dyDescent="0.3">
      <c r="M111" s="2">
        <v>12</v>
      </c>
      <c r="N111" s="2">
        <f t="shared" si="26"/>
        <v>18</v>
      </c>
      <c r="O111" s="2">
        <f t="shared" si="26"/>
        <v>47.95</v>
      </c>
      <c r="P111" s="2">
        <f t="shared" si="26"/>
        <v>103.2</v>
      </c>
      <c r="Q111" s="1">
        <f t="shared" si="27"/>
        <v>2.6638888888888892</v>
      </c>
      <c r="R111" s="1">
        <f t="shared" si="27"/>
        <v>2.1522419186652764</v>
      </c>
    </row>
    <row r="112" spans="13:25" x14ac:dyDescent="0.3">
      <c r="M112" s="2">
        <v>13</v>
      </c>
      <c r="N112" s="2">
        <f t="shared" si="26"/>
        <v>18</v>
      </c>
      <c r="O112" s="2">
        <f t="shared" si="26"/>
        <v>47.95</v>
      </c>
      <c r="P112" s="2">
        <f t="shared" si="26"/>
        <v>103.2</v>
      </c>
      <c r="Q112" s="1">
        <f t="shared" si="27"/>
        <v>2.6638888888888892</v>
      </c>
      <c r="R112" s="1">
        <f t="shared" si="27"/>
        <v>2.1522419186652764</v>
      </c>
    </row>
    <row r="113" spans="13:18" x14ac:dyDescent="0.3">
      <c r="M113" s="2">
        <v>14</v>
      </c>
      <c r="N113" s="2">
        <f t="shared" si="26"/>
        <v>18</v>
      </c>
      <c r="O113" s="2">
        <f t="shared" si="26"/>
        <v>47.95</v>
      </c>
      <c r="P113" s="2">
        <f t="shared" si="26"/>
        <v>103.2</v>
      </c>
      <c r="Q113" s="1">
        <f t="shared" si="27"/>
        <v>2.6638888888888892</v>
      </c>
      <c r="R113" s="1">
        <f t="shared" si="27"/>
        <v>2.1522419186652764</v>
      </c>
    </row>
    <row r="114" spans="13:18" x14ac:dyDescent="0.3">
      <c r="M114" s="2">
        <v>15</v>
      </c>
      <c r="N114" s="2">
        <f t="shared" si="26"/>
        <v>18</v>
      </c>
      <c r="O114" s="2">
        <f t="shared" si="26"/>
        <v>47.95</v>
      </c>
      <c r="P114" s="2">
        <f t="shared" si="26"/>
        <v>103.2</v>
      </c>
      <c r="Q114" s="1">
        <f t="shared" si="27"/>
        <v>2.6638888888888892</v>
      </c>
      <c r="R114" s="1">
        <f t="shared" si="27"/>
        <v>2.1522419186652764</v>
      </c>
    </row>
    <row r="115" spans="13:18" x14ac:dyDescent="0.3">
      <c r="M115" s="2">
        <v>16</v>
      </c>
      <c r="N115" s="2">
        <f t="shared" si="26"/>
        <v>18</v>
      </c>
      <c r="O115" s="2">
        <f t="shared" si="26"/>
        <v>47.95</v>
      </c>
      <c r="P115" s="2">
        <f t="shared" si="26"/>
        <v>103.2</v>
      </c>
      <c r="Q115" s="1">
        <f t="shared" si="27"/>
        <v>2.6638888888888892</v>
      </c>
      <c r="R115" s="1">
        <f t="shared" si="27"/>
        <v>2.1522419186652764</v>
      </c>
    </row>
    <row r="116" spans="13:18" x14ac:dyDescent="0.3">
      <c r="M116" s="2">
        <v>17</v>
      </c>
      <c r="N116" s="2">
        <f t="shared" ref="N116:P123" si="28">IFERROR(VLOOKUP(N$99,$B$3:$C$30,2,FALSE)*VLOOKUP($M116,$M$3:$AJ$15,MATCH(N$99,$M$3:$AJ$3,0),FALSE),N115)</f>
        <v>18</v>
      </c>
      <c r="O116" s="2">
        <f t="shared" si="28"/>
        <v>47.95</v>
      </c>
      <c r="P116" s="2">
        <f t="shared" si="28"/>
        <v>103.2</v>
      </c>
      <c r="Q116" s="1">
        <f t="shared" si="27"/>
        <v>2.6638888888888892</v>
      </c>
      <c r="R116" s="1">
        <f t="shared" si="27"/>
        <v>2.1522419186652764</v>
      </c>
    </row>
    <row r="117" spans="13:18" x14ac:dyDescent="0.3">
      <c r="M117" s="2">
        <v>18</v>
      </c>
      <c r="N117" s="2">
        <f t="shared" si="28"/>
        <v>18</v>
      </c>
      <c r="O117" s="2">
        <f t="shared" si="28"/>
        <v>47.95</v>
      </c>
      <c r="P117" s="2">
        <f t="shared" si="28"/>
        <v>103.2</v>
      </c>
      <c r="Q117" s="1">
        <f t="shared" si="27"/>
        <v>2.6638888888888892</v>
      </c>
      <c r="R117" s="1">
        <f t="shared" si="27"/>
        <v>2.1522419186652764</v>
      </c>
    </row>
    <row r="118" spans="13:18" x14ac:dyDescent="0.3">
      <c r="M118" s="2">
        <v>19</v>
      </c>
      <c r="N118" s="2">
        <f t="shared" si="28"/>
        <v>18</v>
      </c>
      <c r="O118" s="2">
        <f t="shared" si="28"/>
        <v>47.95</v>
      </c>
      <c r="P118" s="2">
        <f t="shared" si="28"/>
        <v>103.2</v>
      </c>
      <c r="Q118" s="1">
        <f t="shared" si="27"/>
        <v>2.6638888888888892</v>
      </c>
      <c r="R118" s="1">
        <f t="shared" si="27"/>
        <v>2.1522419186652764</v>
      </c>
    </row>
    <row r="119" spans="13:18" x14ac:dyDescent="0.3">
      <c r="M119" s="2">
        <v>20</v>
      </c>
      <c r="N119" s="2">
        <f t="shared" si="28"/>
        <v>18</v>
      </c>
      <c r="O119" s="2">
        <f t="shared" si="28"/>
        <v>47.95</v>
      </c>
      <c r="P119" s="2">
        <f t="shared" si="28"/>
        <v>103.2</v>
      </c>
      <c r="Q119" s="1">
        <f t="shared" si="27"/>
        <v>2.6638888888888892</v>
      </c>
      <c r="R119" s="1">
        <f t="shared" si="27"/>
        <v>2.1522419186652764</v>
      </c>
    </row>
    <row r="120" spans="13:18" x14ac:dyDescent="0.3">
      <c r="M120" s="2">
        <v>21</v>
      </c>
      <c r="N120" s="2">
        <f t="shared" si="28"/>
        <v>18</v>
      </c>
      <c r="O120" s="2">
        <f t="shared" si="28"/>
        <v>47.95</v>
      </c>
      <c r="P120" s="2">
        <f t="shared" si="28"/>
        <v>103.2</v>
      </c>
      <c r="Q120" s="1">
        <f t="shared" si="27"/>
        <v>2.6638888888888892</v>
      </c>
      <c r="R120" s="1">
        <f t="shared" si="27"/>
        <v>2.1522419186652764</v>
      </c>
    </row>
    <row r="121" spans="13:18" x14ac:dyDescent="0.3">
      <c r="M121" s="2">
        <v>22</v>
      </c>
      <c r="N121" s="2">
        <f t="shared" si="28"/>
        <v>18</v>
      </c>
      <c r="O121" s="2">
        <f t="shared" si="28"/>
        <v>47.95</v>
      </c>
      <c r="P121" s="2">
        <f t="shared" si="28"/>
        <v>103.2</v>
      </c>
      <c r="Q121" s="1">
        <f t="shared" si="27"/>
        <v>2.6638888888888892</v>
      </c>
      <c r="R121" s="1">
        <f t="shared" si="27"/>
        <v>2.1522419186652764</v>
      </c>
    </row>
    <row r="122" spans="13:18" x14ac:dyDescent="0.3">
      <c r="M122" s="2">
        <v>23</v>
      </c>
      <c r="N122" s="2">
        <f t="shared" si="28"/>
        <v>18</v>
      </c>
      <c r="O122" s="2">
        <f t="shared" si="28"/>
        <v>47.95</v>
      </c>
      <c r="P122" s="2">
        <f t="shared" si="28"/>
        <v>103.2</v>
      </c>
      <c r="Q122" s="1">
        <f t="shared" si="27"/>
        <v>2.6638888888888892</v>
      </c>
      <c r="R122" s="1">
        <f t="shared" si="27"/>
        <v>2.1522419186652764</v>
      </c>
    </row>
    <row r="123" spans="13:18" x14ac:dyDescent="0.3">
      <c r="M123" s="2">
        <v>24</v>
      </c>
      <c r="N123" s="2">
        <f t="shared" si="28"/>
        <v>18</v>
      </c>
      <c r="O123" s="2">
        <f t="shared" si="28"/>
        <v>47.95</v>
      </c>
      <c r="P123" s="2">
        <f t="shared" si="28"/>
        <v>103.2</v>
      </c>
      <c r="Q123" s="1">
        <f t="shared" si="27"/>
        <v>2.6638888888888892</v>
      </c>
      <c r="R123" s="1">
        <f t="shared" si="27"/>
        <v>2.1522419186652764</v>
      </c>
    </row>
  </sheetData>
  <mergeCells count="8">
    <mergeCell ref="B49:F49"/>
    <mergeCell ref="M71:S71"/>
    <mergeCell ref="M98:P98"/>
    <mergeCell ref="B2:F2"/>
    <mergeCell ref="H2:K2"/>
    <mergeCell ref="M2:AJ2"/>
    <mergeCell ref="M17:AQ17"/>
    <mergeCell ref="M44:AQ44"/>
  </mergeCells>
  <phoneticPr fontId="34" type="noConversion"/>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P632"/>
  <sheetViews>
    <sheetView topLeftCell="A578" workbookViewId="0">
      <selection activeCell="L579" sqref="L579"/>
    </sheetView>
  </sheetViews>
  <sheetFormatPr defaultColWidth="9" defaultRowHeight="14.25" x14ac:dyDescent="0.3"/>
  <cols>
    <col min="1" max="1" width="9" style="1"/>
    <col min="2" max="2" width="10.875" style="1" customWidth="1"/>
    <col min="3" max="11" width="9" style="1"/>
    <col min="12" max="12" width="21.875" style="1" customWidth="1"/>
    <col min="13" max="13" width="9" style="1"/>
    <col min="14" max="14" width="28.375" style="1" customWidth="1"/>
    <col min="15" max="15" width="15.25" style="1" customWidth="1"/>
    <col min="16" max="16384" width="9" style="1"/>
  </cols>
  <sheetData>
    <row r="2" spans="2:15" x14ac:dyDescent="0.3">
      <c r="B2" s="2" t="s">
        <v>1846</v>
      </c>
      <c r="C2" s="2" t="s">
        <v>1847</v>
      </c>
      <c r="L2" s="2" t="s">
        <v>1846</v>
      </c>
      <c r="M2" s="2" t="s">
        <v>1847</v>
      </c>
      <c r="N2" s="2" t="s">
        <v>1848</v>
      </c>
    </row>
    <row r="3" spans="2:15" x14ac:dyDescent="0.3">
      <c r="B3" s="2" t="s">
        <v>325</v>
      </c>
      <c r="C3" s="2">
        <v>101</v>
      </c>
      <c r="L3" s="2" t="s">
        <v>325</v>
      </c>
      <c r="M3" s="2">
        <v>101</v>
      </c>
      <c r="N3" s="2" t="s">
        <v>1849</v>
      </c>
      <c r="O3" s="1" t="s">
        <v>1850</v>
      </c>
    </row>
    <row r="4" spans="2:15" x14ac:dyDescent="0.3">
      <c r="B4" s="2" t="s">
        <v>275</v>
      </c>
      <c r="C4" s="2">
        <v>102</v>
      </c>
      <c r="L4" s="2" t="s">
        <v>275</v>
      </c>
      <c r="M4" s="2">
        <v>102</v>
      </c>
      <c r="N4" s="2" t="s">
        <v>1851</v>
      </c>
      <c r="O4" s="1" t="s">
        <v>1852</v>
      </c>
    </row>
    <row r="5" spans="2:15" x14ac:dyDescent="0.3">
      <c r="B5" s="2" t="s">
        <v>1853</v>
      </c>
      <c r="C5" s="2">
        <v>103</v>
      </c>
      <c r="L5" s="2" t="s">
        <v>1853</v>
      </c>
      <c r="M5" s="2">
        <v>103</v>
      </c>
      <c r="N5" s="2" t="s">
        <v>1854</v>
      </c>
    </row>
    <row r="6" spans="2:15" x14ac:dyDescent="0.3">
      <c r="B6" s="2" t="s">
        <v>1855</v>
      </c>
      <c r="C6" s="2">
        <v>104</v>
      </c>
      <c r="L6" s="2" t="s">
        <v>1855</v>
      </c>
      <c r="M6" s="2">
        <v>104</v>
      </c>
      <c r="N6" s="2" t="s">
        <v>1856</v>
      </c>
    </row>
    <row r="7" spans="2:15" x14ac:dyDescent="0.3">
      <c r="B7" s="2" t="s">
        <v>280</v>
      </c>
      <c r="C7" s="2">
        <v>105</v>
      </c>
      <c r="L7" s="2" t="s">
        <v>280</v>
      </c>
      <c r="M7" s="2">
        <v>105</v>
      </c>
      <c r="N7" s="2" t="s">
        <v>1857</v>
      </c>
    </row>
    <row r="8" spans="2:15" x14ac:dyDescent="0.3">
      <c r="B8" s="2" t="s">
        <v>1858</v>
      </c>
      <c r="C8" s="2">
        <v>106</v>
      </c>
      <c r="L8" s="2" t="s">
        <v>1858</v>
      </c>
      <c r="M8" s="2">
        <v>106</v>
      </c>
      <c r="N8" s="2" t="s">
        <v>1859</v>
      </c>
    </row>
    <row r="9" spans="2:15" x14ac:dyDescent="0.3">
      <c r="B9" s="2" t="s">
        <v>1860</v>
      </c>
      <c r="C9" s="2">
        <v>107</v>
      </c>
      <c r="L9" s="2" t="s">
        <v>1860</v>
      </c>
      <c r="M9" s="2">
        <v>107</v>
      </c>
      <c r="N9" s="2" t="s">
        <v>1861</v>
      </c>
    </row>
    <row r="10" spans="2:15" x14ac:dyDescent="0.3">
      <c r="B10" s="2" t="s">
        <v>284</v>
      </c>
      <c r="C10" s="2">
        <v>108</v>
      </c>
      <c r="L10" s="2" t="s">
        <v>284</v>
      </c>
      <c r="M10" s="2">
        <v>108</v>
      </c>
      <c r="N10" s="2" t="s">
        <v>1862</v>
      </c>
    </row>
    <row r="11" spans="2:15" x14ac:dyDescent="0.3">
      <c r="B11" s="2" t="s">
        <v>1863</v>
      </c>
      <c r="C11" s="2">
        <v>109</v>
      </c>
      <c r="L11" s="2" t="s">
        <v>1863</v>
      </c>
      <c r="M11" s="2">
        <v>109</v>
      </c>
      <c r="N11" s="2" t="s">
        <v>1857</v>
      </c>
    </row>
    <row r="12" spans="2:15" x14ac:dyDescent="0.3">
      <c r="B12" s="2" t="s">
        <v>1864</v>
      </c>
      <c r="C12" s="2">
        <v>110</v>
      </c>
      <c r="L12" s="2" t="s">
        <v>1864</v>
      </c>
      <c r="M12" s="2">
        <v>110</v>
      </c>
      <c r="N12" s="2" t="s">
        <v>1854</v>
      </c>
    </row>
    <row r="13" spans="2:15" x14ac:dyDescent="0.3">
      <c r="B13" s="2" t="s">
        <v>519</v>
      </c>
      <c r="C13" s="2">
        <v>111</v>
      </c>
      <c r="L13" s="2" t="s">
        <v>519</v>
      </c>
      <c r="M13" s="2">
        <v>111</v>
      </c>
      <c r="N13" s="2" t="s">
        <v>1865</v>
      </c>
      <c r="O13" s="1" t="s">
        <v>1866</v>
      </c>
    </row>
    <row r="14" spans="2:15" x14ac:dyDescent="0.3">
      <c r="L14" s="25"/>
      <c r="M14" s="25"/>
    </row>
    <row r="15" spans="2:15" x14ac:dyDescent="0.3">
      <c r="B15" s="2" t="s">
        <v>608</v>
      </c>
      <c r="C15" s="2" t="s">
        <v>1867</v>
      </c>
      <c r="D15" s="2" t="s">
        <v>48</v>
      </c>
      <c r="E15" s="2" t="s">
        <v>1868</v>
      </c>
      <c r="F15" s="2" t="s">
        <v>1869</v>
      </c>
      <c r="L15" s="2" t="s">
        <v>1800</v>
      </c>
      <c r="M15" s="2" t="s">
        <v>48</v>
      </c>
      <c r="N15" s="2" t="s">
        <v>1848</v>
      </c>
    </row>
    <row r="16" spans="2:15" x14ac:dyDescent="0.3">
      <c r="B16" s="39" t="s">
        <v>518</v>
      </c>
      <c r="C16" s="2">
        <v>1111</v>
      </c>
      <c r="D16" s="2">
        <f>C16+10000</f>
        <v>11111</v>
      </c>
      <c r="E16" s="2">
        <f>C16+50000</f>
        <v>51111</v>
      </c>
      <c r="F16" s="2">
        <f>C16+30000</f>
        <v>31111</v>
      </c>
      <c r="L16" s="2" t="s">
        <v>288</v>
      </c>
      <c r="M16" s="2">
        <v>100301</v>
      </c>
      <c r="N16" s="2" t="s">
        <v>1870</v>
      </c>
    </row>
    <row r="17" spans="2:15" x14ac:dyDescent="0.3">
      <c r="B17" s="2" t="s">
        <v>524</v>
      </c>
      <c r="C17" s="2">
        <v>1211</v>
      </c>
      <c r="D17" s="2">
        <f t="shared" ref="D17:D45" si="0">C17+10000</f>
        <v>11211</v>
      </c>
      <c r="E17" s="2">
        <f t="shared" ref="E17:E45" si="1">C17+50000</f>
        <v>51211</v>
      </c>
      <c r="F17" s="2">
        <f t="shared" ref="F17:F45" si="2">C17+30000</f>
        <v>31211</v>
      </c>
      <c r="L17" s="2" t="s">
        <v>587</v>
      </c>
      <c r="M17" s="2">
        <v>100302</v>
      </c>
      <c r="N17" s="2" t="s">
        <v>1870</v>
      </c>
      <c r="O17" s="1" t="s">
        <v>1871</v>
      </c>
    </row>
    <row r="18" spans="2:15" x14ac:dyDescent="0.3">
      <c r="B18" s="2" t="s">
        <v>616</v>
      </c>
      <c r="C18" s="2">
        <v>1221</v>
      </c>
      <c r="D18" s="2">
        <f t="shared" si="0"/>
        <v>11221</v>
      </c>
      <c r="E18" s="2">
        <f t="shared" si="1"/>
        <v>51221</v>
      </c>
      <c r="F18" s="2">
        <f t="shared" si="2"/>
        <v>31221</v>
      </c>
      <c r="L18" s="2" t="s">
        <v>1808</v>
      </c>
      <c r="M18" s="2">
        <v>100501</v>
      </c>
      <c r="N18" s="2" t="s">
        <v>1872</v>
      </c>
    </row>
    <row r="19" spans="2:15" x14ac:dyDescent="0.3">
      <c r="B19" s="2" t="s">
        <v>530</v>
      </c>
      <c r="C19" s="2">
        <v>1311</v>
      </c>
      <c r="D19" s="2">
        <f t="shared" si="0"/>
        <v>11311</v>
      </c>
      <c r="E19" s="2">
        <f t="shared" si="1"/>
        <v>51311</v>
      </c>
      <c r="F19" s="2">
        <f t="shared" si="2"/>
        <v>31311</v>
      </c>
      <c r="L19" s="2" t="s">
        <v>1809</v>
      </c>
      <c r="M19" s="2">
        <v>100502</v>
      </c>
      <c r="N19" s="2" t="s">
        <v>1872</v>
      </c>
    </row>
    <row r="20" spans="2:15" x14ac:dyDescent="0.3">
      <c r="B20" s="2" t="s">
        <v>620</v>
      </c>
      <c r="C20" s="2">
        <v>1321</v>
      </c>
      <c r="D20" s="2">
        <f t="shared" si="0"/>
        <v>11321</v>
      </c>
      <c r="E20" s="2">
        <f t="shared" si="1"/>
        <v>51321</v>
      </c>
      <c r="F20" s="2">
        <f t="shared" si="2"/>
        <v>31321</v>
      </c>
      <c r="L20" s="2" t="s">
        <v>1810</v>
      </c>
      <c r="M20" s="2">
        <v>100503</v>
      </c>
      <c r="N20" s="2" t="s">
        <v>1872</v>
      </c>
    </row>
    <row r="21" spans="2:15" x14ac:dyDescent="0.3">
      <c r="B21" s="2" t="s">
        <v>622</v>
      </c>
      <c r="C21" s="2">
        <v>1331</v>
      </c>
      <c r="D21" s="2">
        <f t="shared" si="0"/>
        <v>11331</v>
      </c>
      <c r="E21" s="2">
        <f t="shared" si="1"/>
        <v>51331</v>
      </c>
      <c r="F21" s="2">
        <f t="shared" si="2"/>
        <v>31331</v>
      </c>
      <c r="L21" s="2" t="s">
        <v>1811</v>
      </c>
      <c r="M21" s="2">
        <v>100801</v>
      </c>
      <c r="N21" s="2" t="s">
        <v>1873</v>
      </c>
    </row>
    <row r="22" spans="2:15" x14ac:dyDescent="0.3">
      <c r="B22" s="2" t="s">
        <v>624</v>
      </c>
      <c r="C22" s="2">
        <v>1411</v>
      </c>
      <c r="D22" s="2">
        <f t="shared" si="0"/>
        <v>11411</v>
      </c>
      <c r="E22" s="2">
        <f t="shared" si="1"/>
        <v>51411</v>
      </c>
      <c r="F22" s="2">
        <f t="shared" si="2"/>
        <v>31411</v>
      </c>
      <c r="L22" s="2" t="s">
        <v>1812</v>
      </c>
      <c r="M22" s="2">
        <v>100802</v>
      </c>
      <c r="N22" s="2" t="s">
        <v>1873</v>
      </c>
    </row>
    <row r="23" spans="2:15" x14ac:dyDescent="0.3">
      <c r="B23" s="2" t="s">
        <v>627</v>
      </c>
      <c r="C23" s="2">
        <v>1421</v>
      </c>
      <c r="D23" s="2">
        <f t="shared" si="0"/>
        <v>11421</v>
      </c>
      <c r="E23" s="2">
        <f t="shared" si="1"/>
        <v>51421</v>
      </c>
      <c r="F23" s="2">
        <f t="shared" si="2"/>
        <v>31421</v>
      </c>
      <c r="L23" s="2" t="s">
        <v>1813</v>
      </c>
      <c r="M23" s="2">
        <v>100803</v>
      </c>
      <c r="N23" s="2" t="s">
        <v>1873</v>
      </c>
    </row>
    <row r="24" spans="2:15" x14ac:dyDescent="0.3">
      <c r="B24" s="2" t="s">
        <v>629</v>
      </c>
      <c r="C24" s="2">
        <v>1431</v>
      </c>
      <c r="D24" s="2">
        <f t="shared" si="0"/>
        <v>11431</v>
      </c>
      <c r="E24" s="2">
        <f t="shared" si="1"/>
        <v>51431</v>
      </c>
      <c r="F24" s="2">
        <f t="shared" si="2"/>
        <v>31431</v>
      </c>
    </row>
    <row r="25" spans="2:15" x14ac:dyDescent="0.3">
      <c r="B25" s="2" t="s">
        <v>631</v>
      </c>
      <c r="C25" s="2">
        <v>1511</v>
      </c>
      <c r="D25" s="2">
        <f t="shared" si="0"/>
        <v>11511</v>
      </c>
      <c r="E25" s="2">
        <f t="shared" si="1"/>
        <v>51511</v>
      </c>
      <c r="F25" s="2">
        <f t="shared" si="2"/>
        <v>31511</v>
      </c>
      <c r="L25" s="2" t="s">
        <v>608</v>
      </c>
      <c r="M25" s="2" t="s">
        <v>48</v>
      </c>
      <c r="N25" s="2" t="s">
        <v>1848</v>
      </c>
    </row>
    <row r="26" spans="2:15" x14ac:dyDescent="0.3">
      <c r="B26" s="2" t="s">
        <v>520</v>
      </c>
      <c r="C26" s="2">
        <v>2111</v>
      </c>
      <c r="D26" s="2">
        <f t="shared" si="0"/>
        <v>12111</v>
      </c>
      <c r="E26" s="2">
        <f t="shared" si="1"/>
        <v>52111</v>
      </c>
      <c r="F26" s="2">
        <f t="shared" si="2"/>
        <v>32111</v>
      </c>
      <c r="L26" s="39" t="s">
        <v>518</v>
      </c>
      <c r="M26" s="2">
        <v>11111</v>
      </c>
      <c r="N26" s="2" t="s">
        <v>1148</v>
      </c>
    </row>
    <row r="27" spans="2:15" x14ac:dyDescent="0.3">
      <c r="B27" s="2" t="s">
        <v>526</v>
      </c>
      <c r="C27" s="2">
        <v>2211</v>
      </c>
      <c r="D27" s="2">
        <f t="shared" si="0"/>
        <v>12211</v>
      </c>
      <c r="E27" s="2">
        <f t="shared" si="1"/>
        <v>52211</v>
      </c>
      <c r="F27" s="2">
        <f t="shared" si="2"/>
        <v>32211</v>
      </c>
      <c r="L27" s="2" t="s">
        <v>524</v>
      </c>
      <c r="M27" s="2">
        <v>11211</v>
      </c>
      <c r="N27" s="2" t="s">
        <v>1150</v>
      </c>
    </row>
    <row r="28" spans="2:15" x14ac:dyDescent="0.3">
      <c r="B28" s="2" t="s">
        <v>636</v>
      </c>
      <c r="C28" s="2">
        <v>2221</v>
      </c>
      <c r="D28" s="2">
        <f t="shared" si="0"/>
        <v>12221</v>
      </c>
      <c r="E28" s="2">
        <f t="shared" si="1"/>
        <v>52221</v>
      </c>
      <c r="F28" s="2">
        <f t="shared" si="2"/>
        <v>32221</v>
      </c>
      <c r="L28" s="2" t="s">
        <v>616</v>
      </c>
      <c r="M28" s="2">
        <v>11221</v>
      </c>
      <c r="N28" s="2" t="s">
        <v>1151</v>
      </c>
    </row>
    <row r="29" spans="2:15" x14ac:dyDescent="0.3">
      <c r="B29" s="2" t="s">
        <v>534</v>
      </c>
      <c r="C29" s="2">
        <v>2311</v>
      </c>
      <c r="D29" s="2">
        <f t="shared" si="0"/>
        <v>12311</v>
      </c>
      <c r="E29" s="2">
        <f t="shared" si="1"/>
        <v>52311</v>
      </c>
      <c r="F29" s="2">
        <f t="shared" si="2"/>
        <v>32311</v>
      </c>
      <c r="L29" s="2" t="s">
        <v>530</v>
      </c>
      <c r="M29" s="2">
        <v>11311</v>
      </c>
      <c r="N29" s="2" t="s">
        <v>1152</v>
      </c>
    </row>
    <row r="30" spans="2:15" x14ac:dyDescent="0.3">
      <c r="B30" s="2" t="s">
        <v>639</v>
      </c>
      <c r="C30" s="2">
        <v>2321</v>
      </c>
      <c r="D30" s="2">
        <f t="shared" si="0"/>
        <v>12321</v>
      </c>
      <c r="E30" s="2">
        <f t="shared" si="1"/>
        <v>52321</v>
      </c>
      <c r="F30" s="2">
        <f t="shared" si="2"/>
        <v>32321</v>
      </c>
      <c r="L30" s="2" t="s">
        <v>620</v>
      </c>
      <c r="M30" s="2">
        <v>11321</v>
      </c>
      <c r="N30" s="2" t="s">
        <v>1153</v>
      </c>
    </row>
    <row r="31" spans="2:15" x14ac:dyDescent="0.3">
      <c r="B31" s="2" t="s">
        <v>641</v>
      </c>
      <c r="C31" s="2">
        <v>2331</v>
      </c>
      <c r="D31" s="2">
        <f t="shared" si="0"/>
        <v>12331</v>
      </c>
      <c r="E31" s="2">
        <f t="shared" si="1"/>
        <v>52331</v>
      </c>
      <c r="F31" s="2">
        <f t="shared" si="2"/>
        <v>32331</v>
      </c>
      <c r="L31" s="2" t="s">
        <v>622</v>
      </c>
      <c r="M31" s="2">
        <v>11331</v>
      </c>
      <c r="N31" s="2" t="s">
        <v>1154</v>
      </c>
    </row>
    <row r="32" spans="2:15" x14ac:dyDescent="0.3">
      <c r="B32" s="2" t="s">
        <v>643</v>
      </c>
      <c r="C32" s="2">
        <v>2411</v>
      </c>
      <c r="D32" s="2">
        <f t="shared" si="0"/>
        <v>12411</v>
      </c>
      <c r="E32" s="2">
        <f t="shared" si="1"/>
        <v>52411</v>
      </c>
      <c r="F32" s="2">
        <f t="shared" si="2"/>
        <v>32411</v>
      </c>
      <c r="L32" s="2" t="s">
        <v>624</v>
      </c>
      <c r="M32" s="2">
        <v>11411</v>
      </c>
      <c r="N32" s="2" t="s">
        <v>1155</v>
      </c>
    </row>
    <row r="33" spans="2:14" x14ac:dyDescent="0.3">
      <c r="B33" s="2" t="s">
        <v>645</v>
      </c>
      <c r="C33" s="2">
        <v>2421</v>
      </c>
      <c r="D33" s="2">
        <f t="shared" si="0"/>
        <v>12421</v>
      </c>
      <c r="E33" s="2">
        <f t="shared" si="1"/>
        <v>52421</v>
      </c>
      <c r="F33" s="2">
        <f t="shared" si="2"/>
        <v>32421</v>
      </c>
      <c r="L33" s="2" t="s">
        <v>627</v>
      </c>
      <c r="M33" s="2">
        <v>11421</v>
      </c>
      <c r="N33" s="2" t="s">
        <v>1156</v>
      </c>
    </row>
    <row r="34" spans="2:14" x14ac:dyDescent="0.3">
      <c r="B34" s="2" t="s">
        <v>647</v>
      </c>
      <c r="C34" s="2">
        <v>2431</v>
      </c>
      <c r="D34" s="2">
        <f t="shared" si="0"/>
        <v>12431</v>
      </c>
      <c r="E34" s="2">
        <f t="shared" si="1"/>
        <v>52431</v>
      </c>
      <c r="F34" s="2">
        <f t="shared" si="2"/>
        <v>32431</v>
      </c>
      <c r="L34" s="2" t="s">
        <v>629</v>
      </c>
      <c r="M34" s="2">
        <v>11431</v>
      </c>
      <c r="N34" s="2" t="s">
        <v>1157</v>
      </c>
    </row>
    <row r="35" spans="2:14" x14ac:dyDescent="0.3">
      <c r="B35" s="2" t="s">
        <v>649</v>
      </c>
      <c r="C35" s="2">
        <v>2511</v>
      </c>
      <c r="D35" s="2">
        <f t="shared" si="0"/>
        <v>12511</v>
      </c>
      <c r="E35" s="2">
        <f t="shared" si="1"/>
        <v>52511</v>
      </c>
      <c r="F35" s="2">
        <f t="shared" si="2"/>
        <v>32511</v>
      </c>
      <c r="L35" s="2" t="s">
        <v>631</v>
      </c>
      <c r="M35" s="2">
        <v>11511</v>
      </c>
      <c r="N35" s="2">
        <v>59</v>
      </c>
    </row>
    <row r="36" spans="2:14" x14ac:dyDescent="0.3">
      <c r="B36" s="2" t="s">
        <v>651</v>
      </c>
      <c r="C36" s="2">
        <v>3111</v>
      </c>
      <c r="D36" s="2">
        <f t="shared" si="0"/>
        <v>13111</v>
      </c>
      <c r="E36" s="2">
        <f t="shared" si="1"/>
        <v>53111</v>
      </c>
      <c r="F36" s="2">
        <f t="shared" si="2"/>
        <v>33111</v>
      </c>
      <c r="L36" s="2" t="s">
        <v>520</v>
      </c>
      <c r="M36" s="2">
        <v>12111</v>
      </c>
      <c r="N36" s="2" t="s">
        <v>1158</v>
      </c>
    </row>
    <row r="37" spans="2:14" x14ac:dyDescent="0.3">
      <c r="B37" s="2" t="s">
        <v>653</v>
      </c>
      <c r="C37" s="2">
        <v>3211</v>
      </c>
      <c r="D37" s="2">
        <f t="shared" si="0"/>
        <v>13211</v>
      </c>
      <c r="E37" s="2">
        <f t="shared" si="1"/>
        <v>53211</v>
      </c>
      <c r="F37" s="2">
        <f t="shared" si="2"/>
        <v>33211</v>
      </c>
      <c r="L37" s="2" t="s">
        <v>526</v>
      </c>
      <c r="M37" s="2">
        <v>12211</v>
      </c>
      <c r="N37" s="2" t="s">
        <v>1159</v>
      </c>
    </row>
    <row r="38" spans="2:14" x14ac:dyDescent="0.3">
      <c r="B38" s="2" t="s">
        <v>655</v>
      </c>
      <c r="C38" s="2">
        <v>3221</v>
      </c>
      <c r="D38" s="2">
        <f t="shared" si="0"/>
        <v>13221</v>
      </c>
      <c r="E38" s="2">
        <f t="shared" si="1"/>
        <v>53221</v>
      </c>
      <c r="F38" s="2">
        <f t="shared" si="2"/>
        <v>33221</v>
      </c>
      <c r="L38" s="2" t="s">
        <v>636</v>
      </c>
      <c r="M38" s="2">
        <v>12221</v>
      </c>
      <c r="N38" s="2" t="s">
        <v>1160</v>
      </c>
    </row>
    <row r="39" spans="2:14" x14ac:dyDescent="0.3">
      <c r="B39" s="2" t="s">
        <v>538</v>
      </c>
      <c r="C39" s="2">
        <v>3311</v>
      </c>
      <c r="D39" s="2">
        <f t="shared" si="0"/>
        <v>13311</v>
      </c>
      <c r="E39" s="2">
        <f t="shared" si="1"/>
        <v>53311</v>
      </c>
      <c r="F39" s="2">
        <f t="shared" si="2"/>
        <v>33311</v>
      </c>
      <c r="L39" s="2" t="s">
        <v>534</v>
      </c>
      <c r="M39" s="2">
        <v>12311</v>
      </c>
      <c r="N39" s="2" t="s">
        <v>1162</v>
      </c>
    </row>
    <row r="40" spans="2:14" x14ac:dyDescent="0.3">
      <c r="B40" s="2" t="s">
        <v>658</v>
      </c>
      <c r="C40" s="2">
        <v>3321</v>
      </c>
      <c r="D40" s="2">
        <f t="shared" si="0"/>
        <v>13321</v>
      </c>
      <c r="E40" s="2">
        <f t="shared" si="1"/>
        <v>53321</v>
      </c>
      <c r="F40" s="2">
        <f t="shared" si="2"/>
        <v>33321</v>
      </c>
      <c r="L40" s="2" t="s">
        <v>639</v>
      </c>
      <c r="M40" s="2">
        <v>12321</v>
      </c>
      <c r="N40" s="2" t="s">
        <v>1163</v>
      </c>
    </row>
    <row r="41" spans="2:14" x14ac:dyDescent="0.3">
      <c r="B41" s="2" t="s">
        <v>660</v>
      </c>
      <c r="C41" s="2">
        <v>3331</v>
      </c>
      <c r="D41" s="2">
        <f t="shared" si="0"/>
        <v>13331</v>
      </c>
      <c r="E41" s="2">
        <f t="shared" si="1"/>
        <v>53331</v>
      </c>
      <c r="F41" s="2">
        <f t="shared" si="2"/>
        <v>33331</v>
      </c>
      <c r="L41" s="2" t="s">
        <v>641</v>
      </c>
      <c r="M41" s="2">
        <v>12331</v>
      </c>
      <c r="N41" s="2" t="s">
        <v>1164</v>
      </c>
    </row>
    <row r="42" spans="2:14" x14ac:dyDescent="0.3">
      <c r="B42" s="2" t="s">
        <v>662</v>
      </c>
      <c r="C42" s="2">
        <v>3411</v>
      </c>
      <c r="D42" s="2">
        <f t="shared" si="0"/>
        <v>13411</v>
      </c>
      <c r="E42" s="2">
        <f t="shared" si="1"/>
        <v>53411</v>
      </c>
      <c r="F42" s="2">
        <f t="shared" si="2"/>
        <v>33411</v>
      </c>
      <c r="L42" s="2" t="s">
        <v>643</v>
      </c>
      <c r="M42" s="2">
        <v>12411</v>
      </c>
      <c r="N42" s="2" t="s">
        <v>1165</v>
      </c>
    </row>
    <row r="43" spans="2:14" x14ac:dyDescent="0.3">
      <c r="B43" s="2" t="s">
        <v>664</v>
      </c>
      <c r="C43" s="2">
        <v>3421</v>
      </c>
      <c r="D43" s="2">
        <f t="shared" si="0"/>
        <v>13421</v>
      </c>
      <c r="E43" s="2">
        <f t="shared" si="1"/>
        <v>53421</v>
      </c>
      <c r="F43" s="2">
        <f t="shared" si="2"/>
        <v>33421</v>
      </c>
      <c r="L43" s="2" t="s">
        <v>645</v>
      </c>
      <c r="M43" s="2">
        <v>12421</v>
      </c>
      <c r="N43" s="2" t="s">
        <v>1166</v>
      </c>
    </row>
    <row r="44" spans="2:14" x14ac:dyDescent="0.3">
      <c r="B44" s="2" t="s">
        <v>666</v>
      </c>
      <c r="C44" s="2">
        <v>3431</v>
      </c>
      <c r="D44" s="2">
        <f t="shared" si="0"/>
        <v>13431</v>
      </c>
      <c r="E44" s="2">
        <f t="shared" si="1"/>
        <v>53431</v>
      </c>
      <c r="F44" s="2">
        <f t="shared" si="2"/>
        <v>33431</v>
      </c>
      <c r="L44" s="2" t="s">
        <v>647</v>
      </c>
      <c r="M44" s="2">
        <v>12431</v>
      </c>
      <c r="N44" s="2" t="s">
        <v>1167</v>
      </c>
    </row>
    <row r="45" spans="2:14" x14ac:dyDescent="0.3">
      <c r="B45" s="2" t="s">
        <v>668</v>
      </c>
      <c r="C45" s="2">
        <v>3511</v>
      </c>
      <c r="D45" s="2">
        <f t="shared" si="0"/>
        <v>13511</v>
      </c>
      <c r="E45" s="2">
        <f t="shared" si="1"/>
        <v>53511</v>
      </c>
      <c r="F45" s="2">
        <f t="shared" si="2"/>
        <v>33511</v>
      </c>
      <c r="L45" s="2" t="s">
        <v>649</v>
      </c>
      <c r="M45" s="2">
        <v>12511</v>
      </c>
      <c r="N45" s="2" t="s">
        <v>1168</v>
      </c>
    </row>
    <row r="46" spans="2:14" x14ac:dyDescent="0.3">
      <c r="L46" s="2" t="s">
        <v>651</v>
      </c>
      <c r="M46" s="2">
        <v>13111</v>
      </c>
      <c r="N46" s="2" t="s">
        <v>1169</v>
      </c>
    </row>
    <row r="47" spans="2:14" x14ac:dyDescent="0.3">
      <c r="B47" s="2" t="s">
        <v>1874</v>
      </c>
      <c r="C47" s="2" t="s">
        <v>1875</v>
      </c>
      <c r="D47" s="2" t="s">
        <v>48</v>
      </c>
      <c r="L47" s="2" t="s">
        <v>653</v>
      </c>
      <c r="M47" s="2">
        <v>13211</v>
      </c>
      <c r="N47" s="2" t="s">
        <v>1170</v>
      </c>
    </row>
    <row r="48" spans="2:14" x14ac:dyDescent="0.3">
      <c r="B48" s="2" t="s">
        <v>1876</v>
      </c>
      <c r="C48" s="2" t="s">
        <v>1877</v>
      </c>
      <c r="D48" s="2">
        <v>80101</v>
      </c>
      <c r="L48" s="2" t="s">
        <v>655</v>
      </c>
      <c r="M48" s="2">
        <v>13221</v>
      </c>
      <c r="N48" s="2" t="s">
        <v>1171</v>
      </c>
    </row>
    <row r="49" spans="2:15" x14ac:dyDescent="0.3">
      <c r="B49" s="2" t="s">
        <v>1878</v>
      </c>
      <c r="C49" s="2" t="s">
        <v>1879</v>
      </c>
      <c r="D49" s="2">
        <v>81901</v>
      </c>
      <c r="L49" s="2" t="s">
        <v>538</v>
      </c>
      <c r="M49" s="2">
        <v>13311</v>
      </c>
      <c r="N49" s="2" t="s">
        <v>1172</v>
      </c>
    </row>
    <row r="50" spans="2:15" x14ac:dyDescent="0.3">
      <c r="B50" s="2" t="s">
        <v>1880</v>
      </c>
      <c r="C50" s="2" t="s">
        <v>1881</v>
      </c>
      <c r="D50" s="2">
        <v>83701</v>
      </c>
      <c r="L50" s="2" t="s">
        <v>658</v>
      </c>
      <c r="M50" s="2">
        <v>13321</v>
      </c>
      <c r="N50" s="2" t="s">
        <v>1173</v>
      </c>
    </row>
    <row r="51" spans="2:15" x14ac:dyDescent="0.3">
      <c r="B51" s="2" t="s">
        <v>1882</v>
      </c>
      <c r="C51" s="2" t="s">
        <v>1883</v>
      </c>
      <c r="D51" s="2">
        <v>80102</v>
      </c>
      <c r="L51" s="2" t="s">
        <v>660</v>
      </c>
      <c r="M51" s="2">
        <v>13331</v>
      </c>
      <c r="N51" s="2" t="s">
        <v>1174</v>
      </c>
    </row>
    <row r="52" spans="2:15" x14ac:dyDescent="0.3">
      <c r="B52" s="2" t="s">
        <v>1884</v>
      </c>
      <c r="C52" s="2" t="s">
        <v>1885</v>
      </c>
      <c r="D52" s="2">
        <v>81902</v>
      </c>
      <c r="L52" s="2" t="s">
        <v>662</v>
      </c>
      <c r="M52" s="2">
        <v>13411</v>
      </c>
      <c r="N52" s="2" t="s">
        <v>1175</v>
      </c>
    </row>
    <row r="53" spans="2:15" x14ac:dyDescent="0.3">
      <c r="B53" s="2" t="s">
        <v>1886</v>
      </c>
      <c r="C53" s="2" t="s">
        <v>1887</v>
      </c>
      <c r="D53" s="2">
        <v>83702</v>
      </c>
      <c r="L53" s="2" t="s">
        <v>664</v>
      </c>
      <c r="M53" s="2">
        <v>13421</v>
      </c>
      <c r="N53" s="2" t="s">
        <v>1176</v>
      </c>
    </row>
    <row r="54" spans="2:15" x14ac:dyDescent="0.3">
      <c r="B54" s="2" t="s">
        <v>1888</v>
      </c>
      <c r="C54" s="2" t="s">
        <v>1889</v>
      </c>
      <c r="D54" s="2">
        <v>80301</v>
      </c>
      <c r="L54" s="2" t="s">
        <v>666</v>
      </c>
      <c r="M54" s="2">
        <v>13431</v>
      </c>
      <c r="N54" s="2" t="s">
        <v>1177</v>
      </c>
    </row>
    <row r="55" spans="2:15" x14ac:dyDescent="0.3">
      <c r="B55" s="2" t="s">
        <v>1890</v>
      </c>
      <c r="C55" s="2" t="s">
        <v>1891</v>
      </c>
      <c r="D55" s="2">
        <v>82101</v>
      </c>
      <c r="L55" s="2" t="s">
        <v>668</v>
      </c>
      <c r="M55" s="2">
        <v>13511</v>
      </c>
      <c r="N55" s="2" t="s">
        <v>1178</v>
      </c>
    </row>
    <row r="56" spans="2:15" x14ac:dyDescent="0.3">
      <c r="B56" s="2" t="s">
        <v>1892</v>
      </c>
      <c r="C56" s="2" t="s">
        <v>1893</v>
      </c>
      <c r="D56" s="2">
        <v>83901</v>
      </c>
      <c r="L56" s="39" t="s">
        <v>1894</v>
      </c>
      <c r="M56" s="2">
        <v>51111</v>
      </c>
      <c r="N56" s="2" t="s">
        <v>1895</v>
      </c>
    </row>
    <row r="57" spans="2:15" x14ac:dyDescent="0.3">
      <c r="B57" s="2" t="s">
        <v>1896</v>
      </c>
      <c r="C57" s="2" t="s">
        <v>1897</v>
      </c>
      <c r="D57" s="2">
        <v>80302</v>
      </c>
      <c r="L57" s="2" t="s">
        <v>1898</v>
      </c>
      <c r="M57" s="2">
        <v>51211</v>
      </c>
      <c r="N57" s="2" t="s">
        <v>1899</v>
      </c>
    </row>
    <row r="58" spans="2:15" x14ac:dyDescent="0.3">
      <c r="B58" s="2" t="s">
        <v>1900</v>
      </c>
      <c r="C58" s="2" t="s">
        <v>1901</v>
      </c>
      <c r="D58" s="2">
        <v>82102</v>
      </c>
      <c r="L58" s="2" t="s">
        <v>1902</v>
      </c>
      <c r="M58" s="2">
        <v>51221</v>
      </c>
      <c r="N58" s="2" t="s">
        <v>1903</v>
      </c>
      <c r="O58" s="1" t="s">
        <v>1904</v>
      </c>
    </row>
    <row r="59" spans="2:15" x14ac:dyDescent="0.3">
      <c r="B59" s="2" t="s">
        <v>1905</v>
      </c>
      <c r="C59" s="2" t="s">
        <v>1906</v>
      </c>
      <c r="D59" s="2">
        <v>83902</v>
      </c>
      <c r="L59" s="2" t="s">
        <v>1907</v>
      </c>
      <c r="M59" s="2">
        <v>51311</v>
      </c>
      <c r="N59" s="2" t="s">
        <v>1908</v>
      </c>
    </row>
    <row r="60" spans="2:15" x14ac:dyDescent="0.3">
      <c r="B60" s="2" t="s">
        <v>1909</v>
      </c>
      <c r="C60" s="2" t="s">
        <v>1910</v>
      </c>
      <c r="D60" s="2">
        <v>80201</v>
      </c>
      <c r="L60" s="2" t="s">
        <v>1911</v>
      </c>
      <c r="M60" s="2">
        <v>51321</v>
      </c>
      <c r="N60" s="2" t="s">
        <v>1912</v>
      </c>
    </row>
    <row r="61" spans="2:15" x14ac:dyDescent="0.3">
      <c r="B61" s="2" t="s">
        <v>1913</v>
      </c>
      <c r="C61" s="2" t="s">
        <v>1914</v>
      </c>
      <c r="D61" s="2">
        <v>82001</v>
      </c>
      <c r="L61" s="2" t="s">
        <v>1915</v>
      </c>
      <c r="M61" s="2">
        <v>51331</v>
      </c>
      <c r="N61" s="2" t="s">
        <v>1916</v>
      </c>
    </row>
    <row r="62" spans="2:15" x14ac:dyDescent="0.3">
      <c r="B62" s="2" t="s">
        <v>1917</v>
      </c>
      <c r="C62" s="2" t="s">
        <v>1918</v>
      </c>
      <c r="D62" s="2">
        <v>83801</v>
      </c>
      <c r="L62" s="2" t="s">
        <v>1919</v>
      </c>
      <c r="M62" s="2">
        <v>51411</v>
      </c>
      <c r="N62" s="2" t="s">
        <v>1920</v>
      </c>
    </row>
    <row r="63" spans="2:15" x14ac:dyDescent="0.3">
      <c r="B63" s="2" t="s">
        <v>1921</v>
      </c>
      <c r="C63" s="2" t="s">
        <v>1922</v>
      </c>
      <c r="D63" s="2">
        <v>80202</v>
      </c>
      <c r="L63" s="2" t="s">
        <v>1923</v>
      </c>
      <c r="M63" s="2">
        <v>51421</v>
      </c>
      <c r="N63" s="2" t="s">
        <v>1924</v>
      </c>
    </row>
    <row r="64" spans="2:15" x14ac:dyDescent="0.3">
      <c r="B64" s="2" t="s">
        <v>1925</v>
      </c>
      <c r="C64" s="2" t="s">
        <v>1926</v>
      </c>
      <c r="D64" s="2">
        <v>82002</v>
      </c>
      <c r="L64" s="2" t="s">
        <v>1927</v>
      </c>
      <c r="M64" s="2">
        <v>51431</v>
      </c>
      <c r="N64" s="2" t="s">
        <v>1928</v>
      </c>
    </row>
    <row r="65" spans="2:15" x14ac:dyDescent="0.3">
      <c r="B65" s="2" t="s">
        <v>1929</v>
      </c>
      <c r="C65" s="2" t="s">
        <v>1930</v>
      </c>
      <c r="D65" s="2">
        <v>83802</v>
      </c>
      <c r="L65" s="2" t="s">
        <v>1931</v>
      </c>
      <c r="M65" s="2">
        <v>51511</v>
      </c>
      <c r="N65" s="2" t="s">
        <v>1932</v>
      </c>
    </row>
    <row r="66" spans="2:15" x14ac:dyDescent="0.3">
      <c r="B66" s="2" t="s">
        <v>1933</v>
      </c>
      <c r="C66" s="2" t="s">
        <v>1934</v>
      </c>
      <c r="D66" s="2">
        <v>80401</v>
      </c>
      <c r="L66" s="2" t="s">
        <v>1935</v>
      </c>
      <c r="M66" s="2">
        <v>52111</v>
      </c>
      <c r="N66" s="2" t="s">
        <v>1936</v>
      </c>
    </row>
    <row r="67" spans="2:15" x14ac:dyDescent="0.3">
      <c r="B67" s="2" t="s">
        <v>1937</v>
      </c>
      <c r="C67" s="2" t="s">
        <v>1938</v>
      </c>
      <c r="D67" s="2">
        <v>82201</v>
      </c>
      <c r="L67" s="2" t="s">
        <v>1939</v>
      </c>
      <c r="M67" s="2">
        <v>52211</v>
      </c>
      <c r="N67" s="2" t="s">
        <v>1940</v>
      </c>
    </row>
    <row r="68" spans="2:15" x14ac:dyDescent="0.3">
      <c r="B68" s="2" t="s">
        <v>1941</v>
      </c>
      <c r="C68" s="2" t="s">
        <v>1942</v>
      </c>
      <c r="D68" s="2">
        <v>84001</v>
      </c>
      <c r="L68" s="2" t="s">
        <v>1943</v>
      </c>
      <c r="M68" s="2">
        <v>52221</v>
      </c>
      <c r="N68" s="2" t="s">
        <v>1944</v>
      </c>
      <c r="O68" s="1" t="s">
        <v>1945</v>
      </c>
    </row>
    <row r="69" spans="2:15" x14ac:dyDescent="0.3">
      <c r="B69" s="2" t="s">
        <v>1946</v>
      </c>
      <c r="C69" s="2" t="s">
        <v>1947</v>
      </c>
      <c r="D69" s="2">
        <v>80402</v>
      </c>
      <c r="L69" s="2" t="s">
        <v>1948</v>
      </c>
      <c r="M69" s="2">
        <v>52311</v>
      </c>
      <c r="N69" s="2" t="s">
        <v>1949</v>
      </c>
    </row>
    <row r="70" spans="2:15" x14ac:dyDescent="0.3">
      <c r="B70" s="2" t="s">
        <v>1950</v>
      </c>
      <c r="C70" s="2" t="s">
        <v>1951</v>
      </c>
      <c r="D70" s="2">
        <v>82202</v>
      </c>
      <c r="L70" s="2" t="s">
        <v>1952</v>
      </c>
      <c r="M70" s="2">
        <v>52321</v>
      </c>
      <c r="N70" s="2" t="s">
        <v>1953</v>
      </c>
    </row>
    <row r="71" spans="2:15" x14ac:dyDescent="0.3">
      <c r="B71" s="2" t="s">
        <v>1954</v>
      </c>
      <c r="C71" s="2" t="s">
        <v>1955</v>
      </c>
      <c r="D71" s="2">
        <v>84002</v>
      </c>
      <c r="L71" s="2" t="s">
        <v>1956</v>
      </c>
      <c r="M71" s="2">
        <v>52331</v>
      </c>
      <c r="N71" s="2" t="s">
        <v>1957</v>
      </c>
    </row>
    <row r="72" spans="2:15" x14ac:dyDescent="0.3">
      <c r="B72" s="2" t="s">
        <v>1958</v>
      </c>
      <c r="C72" s="2" t="s">
        <v>1959</v>
      </c>
      <c r="D72" s="2">
        <v>80501</v>
      </c>
      <c r="L72" s="2" t="s">
        <v>1960</v>
      </c>
      <c r="M72" s="2">
        <v>52411</v>
      </c>
      <c r="N72" s="2" t="s">
        <v>1961</v>
      </c>
    </row>
    <row r="73" spans="2:15" x14ac:dyDescent="0.3">
      <c r="B73" s="2" t="s">
        <v>1962</v>
      </c>
      <c r="C73" s="2" t="s">
        <v>1963</v>
      </c>
      <c r="D73" s="2">
        <v>82301</v>
      </c>
      <c r="L73" s="2" t="s">
        <v>1964</v>
      </c>
      <c r="M73" s="2">
        <v>52421</v>
      </c>
      <c r="N73" s="2" t="s">
        <v>1965</v>
      </c>
    </row>
    <row r="74" spans="2:15" x14ac:dyDescent="0.3">
      <c r="B74" s="2" t="s">
        <v>1966</v>
      </c>
      <c r="C74" s="2" t="s">
        <v>1967</v>
      </c>
      <c r="D74" s="2">
        <v>84101</v>
      </c>
      <c r="L74" s="2" t="s">
        <v>1968</v>
      </c>
      <c r="M74" s="2">
        <v>52431</v>
      </c>
      <c r="N74" s="2" t="s">
        <v>1969</v>
      </c>
    </row>
    <row r="75" spans="2:15" x14ac:dyDescent="0.3">
      <c r="B75" s="2" t="s">
        <v>1970</v>
      </c>
      <c r="C75" s="2" t="s">
        <v>1971</v>
      </c>
      <c r="D75" s="2">
        <v>80502</v>
      </c>
      <c r="L75" s="2" t="s">
        <v>1972</v>
      </c>
      <c r="M75" s="2">
        <v>52511</v>
      </c>
      <c r="N75" s="2" t="s">
        <v>1973</v>
      </c>
    </row>
    <row r="76" spans="2:15" x14ac:dyDescent="0.3">
      <c r="B76" s="2" t="s">
        <v>1974</v>
      </c>
      <c r="C76" s="2" t="s">
        <v>1975</v>
      </c>
      <c r="D76" s="2">
        <v>82302</v>
      </c>
      <c r="L76" s="2" t="s">
        <v>517</v>
      </c>
      <c r="M76" s="2">
        <v>53111</v>
      </c>
      <c r="N76" s="2" t="s">
        <v>1976</v>
      </c>
    </row>
    <row r="77" spans="2:15" x14ac:dyDescent="0.3">
      <c r="B77" s="2" t="s">
        <v>1977</v>
      </c>
      <c r="C77" s="2" t="s">
        <v>1978</v>
      </c>
      <c r="D77" s="2">
        <v>84102</v>
      </c>
      <c r="L77" s="2" t="s">
        <v>1979</v>
      </c>
      <c r="M77" s="2">
        <v>53211</v>
      </c>
      <c r="N77" s="2" t="s">
        <v>1980</v>
      </c>
    </row>
    <row r="78" spans="2:15" x14ac:dyDescent="0.3">
      <c r="B78" s="2" t="s">
        <v>1981</v>
      </c>
      <c r="C78" s="2" t="s">
        <v>1982</v>
      </c>
      <c r="D78" s="2">
        <v>80503</v>
      </c>
      <c r="L78" s="2" t="s">
        <v>1983</v>
      </c>
      <c r="M78" s="2">
        <v>53221</v>
      </c>
      <c r="N78" s="2" t="s">
        <v>1984</v>
      </c>
      <c r="O78" s="1" t="s">
        <v>1985</v>
      </c>
    </row>
    <row r="79" spans="2:15" x14ac:dyDescent="0.3">
      <c r="B79" s="2" t="s">
        <v>1986</v>
      </c>
      <c r="C79" s="2" t="s">
        <v>1987</v>
      </c>
      <c r="D79" s="2">
        <v>82303</v>
      </c>
      <c r="L79" s="2" t="s">
        <v>1988</v>
      </c>
      <c r="M79" s="2">
        <v>53311</v>
      </c>
      <c r="N79" s="2" t="s">
        <v>1989</v>
      </c>
    </row>
    <row r="80" spans="2:15" x14ac:dyDescent="0.3">
      <c r="B80" s="2" t="s">
        <v>1990</v>
      </c>
      <c r="C80" s="2" t="s">
        <v>1991</v>
      </c>
      <c r="D80" s="2">
        <v>84103</v>
      </c>
      <c r="L80" s="2" t="s">
        <v>1992</v>
      </c>
      <c r="M80" s="2">
        <v>53321</v>
      </c>
      <c r="N80" s="2" t="s">
        <v>1993</v>
      </c>
    </row>
    <row r="81" spans="2:14" x14ac:dyDescent="0.3">
      <c r="B81" s="2" t="s">
        <v>1994</v>
      </c>
      <c r="C81" s="2" t="s">
        <v>1995</v>
      </c>
      <c r="D81" s="2">
        <v>80601</v>
      </c>
      <c r="L81" s="2" t="s">
        <v>1996</v>
      </c>
      <c r="M81" s="2">
        <v>53331</v>
      </c>
      <c r="N81" s="2" t="s">
        <v>1997</v>
      </c>
    </row>
    <row r="82" spans="2:14" x14ac:dyDescent="0.3">
      <c r="B82" s="2" t="s">
        <v>1998</v>
      </c>
      <c r="C82" s="2" t="s">
        <v>1999</v>
      </c>
      <c r="D82" s="2">
        <v>82401</v>
      </c>
      <c r="L82" s="2" t="s">
        <v>2000</v>
      </c>
      <c r="M82" s="2">
        <v>53411</v>
      </c>
      <c r="N82" s="2" t="s">
        <v>2001</v>
      </c>
    </row>
    <row r="83" spans="2:14" x14ac:dyDescent="0.3">
      <c r="B83" s="2" t="s">
        <v>2002</v>
      </c>
      <c r="C83" s="2" t="s">
        <v>2003</v>
      </c>
      <c r="D83" s="2">
        <v>84201</v>
      </c>
      <c r="L83" s="2" t="s">
        <v>2004</v>
      </c>
      <c r="M83" s="2">
        <v>53421</v>
      </c>
      <c r="N83" s="2" t="s">
        <v>2005</v>
      </c>
    </row>
    <row r="84" spans="2:14" x14ac:dyDescent="0.3">
      <c r="B84" s="2" t="s">
        <v>2006</v>
      </c>
      <c r="C84" s="2" t="s">
        <v>2007</v>
      </c>
      <c r="D84" s="2">
        <v>80602</v>
      </c>
      <c r="L84" s="2" t="s">
        <v>2008</v>
      </c>
      <c r="M84" s="2">
        <v>53431</v>
      </c>
      <c r="N84" s="2" t="s">
        <v>2009</v>
      </c>
    </row>
    <row r="85" spans="2:14" x14ac:dyDescent="0.3">
      <c r="B85" s="2" t="s">
        <v>2010</v>
      </c>
      <c r="C85" s="2" t="s">
        <v>2011</v>
      </c>
      <c r="D85" s="2">
        <v>82402</v>
      </c>
      <c r="L85" s="2" t="s">
        <v>2012</v>
      </c>
      <c r="M85" s="2">
        <v>53511</v>
      </c>
      <c r="N85" s="2" t="s">
        <v>2013</v>
      </c>
    </row>
    <row r="86" spans="2:14" x14ac:dyDescent="0.3">
      <c r="B86" s="2" t="s">
        <v>2014</v>
      </c>
      <c r="C86" s="2" t="s">
        <v>2015</v>
      </c>
      <c r="D86" s="2">
        <v>84202</v>
      </c>
      <c r="L86" s="1" t="s">
        <v>543</v>
      </c>
      <c r="M86" s="1">
        <v>53341</v>
      </c>
      <c r="N86" s="1" t="s">
        <v>2016</v>
      </c>
    </row>
    <row r="87" spans="2:14" x14ac:dyDescent="0.3">
      <c r="B87" s="2" t="s">
        <v>2017</v>
      </c>
      <c r="C87" s="2" t="s">
        <v>2018</v>
      </c>
      <c r="D87" s="2">
        <v>80603</v>
      </c>
      <c r="L87" s="2" t="s">
        <v>1874</v>
      </c>
      <c r="M87" s="2" t="s">
        <v>48</v>
      </c>
      <c r="N87" s="2" t="s">
        <v>1848</v>
      </c>
    </row>
    <row r="88" spans="2:14" x14ac:dyDescent="0.3">
      <c r="B88" s="2" t="s">
        <v>2019</v>
      </c>
      <c r="C88" s="2" t="s">
        <v>2020</v>
      </c>
      <c r="D88" s="2">
        <v>82403</v>
      </c>
      <c r="L88" s="2" t="s">
        <v>1876</v>
      </c>
      <c r="M88" s="2">
        <v>80101</v>
      </c>
      <c r="N88" s="2" t="s">
        <v>2021</v>
      </c>
    </row>
    <row r="89" spans="2:14" x14ac:dyDescent="0.3">
      <c r="B89" s="2" t="s">
        <v>2022</v>
      </c>
      <c r="C89" s="2" t="s">
        <v>2023</v>
      </c>
      <c r="D89" s="2">
        <v>84203</v>
      </c>
      <c r="L89" s="2" t="s">
        <v>1878</v>
      </c>
      <c r="M89" s="2">
        <v>81901</v>
      </c>
      <c r="N89" s="2" t="s">
        <v>2024</v>
      </c>
    </row>
    <row r="90" spans="2:14" x14ac:dyDescent="0.3">
      <c r="B90" s="2" t="s">
        <v>2025</v>
      </c>
      <c r="C90" s="2" t="s">
        <v>2026</v>
      </c>
      <c r="D90" s="2">
        <v>80701</v>
      </c>
      <c r="L90" s="2" t="s">
        <v>1880</v>
      </c>
      <c r="M90" s="2">
        <v>83701</v>
      </c>
      <c r="N90" s="2" t="s">
        <v>2027</v>
      </c>
    </row>
    <row r="91" spans="2:14" x14ac:dyDescent="0.3">
      <c r="B91" s="2" t="s">
        <v>2028</v>
      </c>
      <c r="C91" s="2" t="s">
        <v>2029</v>
      </c>
      <c r="D91" s="2">
        <v>82501</v>
      </c>
      <c r="L91" s="2" t="s">
        <v>1882</v>
      </c>
      <c r="M91" s="2">
        <v>80102</v>
      </c>
      <c r="N91" s="2" t="s">
        <v>2021</v>
      </c>
    </row>
    <row r="92" spans="2:14" x14ac:dyDescent="0.3">
      <c r="B92" s="2" t="s">
        <v>2030</v>
      </c>
      <c r="C92" s="2" t="s">
        <v>2031</v>
      </c>
      <c r="D92" s="2">
        <v>84301</v>
      </c>
      <c r="L92" s="2" t="s">
        <v>1884</v>
      </c>
      <c r="M92" s="2">
        <v>81902</v>
      </c>
      <c r="N92" s="2" t="s">
        <v>2024</v>
      </c>
    </row>
    <row r="93" spans="2:14" x14ac:dyDescent="0.3">
      <c r="B93" s="2" t="s">
        <v>2032</v>
      </c>
      <c r="C93" s="2" t="s">
        <v>2033</v>
      </c>
      <c r="D93" s="2">
        <v>80702</v>
      </c>
      <c r="L93" s="2" t="s">
        <v>1886</v>
      </c>
      <c r="M93" s="2">
        <v>83702</v>
      </c>
      <c r="N93" s="2" t="s">
        <v>2027</v>
      </c>
    </row>
    <row r="94" spans="2:14" x14ac:dyDescent="0.3">
      <c r="B94" s="2" t="s">
        <v>2034</v>
      </c>
      <c r="C94" s="2" t="s">
        <v>2035</v>
      </c>
      <c r="D94" s="2">
        <v>82502</v>
      </c>
      <c r="L94" s="2" t="s">
        <v>1888</v>
      </c>
      <c r="M94" s="2">
        <v>80301</v>
      </c>
      <c r="N94" s="2" t="s">
        <v>2036</v>
      </c>
    </row>
    <row r="95" spans="2:14" x14ac:dyDescent="0.3">
      <c r="B95" s="2" t="s">
        <v>2037</v>
      </c>
      <c r="C95" s="2" t="s">
        <v>2038</v>
      </c>
      <c r="D95" s="2">
        <v>84302</v>
      </c>
      <c r="L95" s="2" t="s">
        <v>1890</v>
      </c>
      <c r="M95" s="2">
        <v>82101</v>
      </c>
      <c r="N95" s="2" t="s">
        <v>2039</v>
      </c>
    </row>
    <row r="96" spans="2:14" x14ac:dyDescent="0.3">
      <c r="B96" s="2" t="s">
        <v>2040</v>
      </c>
      <c r="C96" s="2" t="s">
        <v>2041</v>
      </c>
      <c r="D96" s="2">
        <v>80703</v>
      </c>
      <c r="L96" s="2" t="s">
        <v>1892</v>
      </c>
      <c r="M96" s="2">
        <v>83901</v>
      </c>
      <c r="N96" s="2" t="s">
        <v>2042</v>
      </c>
    </row>
    <row r="97" spans="2:14" x14ac:dyDescent="0.3">
      <c r="B97" s="2" t="s">
        <v>2043</v>
      </c>
      <c r="C97" s="2" t="s">
        <v>2044</v>
      </c>
      <c r="D97" s="2">
        <v>82503</v>
      </c>
      <c r="L97" s="2" t="s">
        <v>1896</v>
      </c>
      <c r="M97" s="2">
        <v>80302</v>
      </c>
      <c r="N97" s="2" t="s">
        <v>2036</v>
      </c>
    </row>
    <row r="98" spans="2:14" x14ac:dyDescent="0.3">
      <c r="B98" s="2" t="s">
        <v>2045</v>
      </c>
      <c r="C98" s="2" t="s">
        <v>2046</v>
      </c>
      <c r="D98" s="2">
        <v>84303</v>
      </c>
      <c r="L98" s="2" t="s">
        <v>1900</v>
      </c>
      <c r="M98" s="2">
        <v>82102</v>
      </c>
      <c r="N98" s="2" t="s">
        <v>2039</v>
      </c>
    </row>
    <row r="99" spans="2:14" x14ac:dyDescent="0.3">
      <c r="B99" s="2" t="s">
        <v>2047</v>
      </c>
      <c r="C99" s="2" t="s">
        <v>2048</v>
      </c>
      <c r="D99" s="2">
        <v>80801</v>
      </c>
      <c r="L99" s="2" t="s">
        <v>1905</v>
      </c>
      <c r="M99" s="2">
        <v>83902</v>
      </c>
      <c r="N99" s="2" t="s">
        <v>2042</v>
      </c>
    </row>
    <row r="100" spans="2:14" x14ac:dyDescent="0.3">
      <c r="B100" s="2" t="s">
        <v>2049</v>
      </c>
      <c r="C100" s="2" t="s">
        <v>2050</v>
      </c>
      <c r="D100" s="2">
        <v>82601</v>
      </c>
      <c r="L100" s="2" t="s">
        <v>1909</v>
      </c>
      <c r="M100" s="2">
        <v>80201</v>
      </c>
      <c r="N100" s="2" t="s">
        <v>2051</v>
      </c>
    </row>
    <row r="101" spans="2:14" x14ac:dyDescent="0.3">
      <c r="B101" s="2" t="s">
        <v>2052</v>
      </c>
      <c r="C101" s="2" t="s">
        <v>2053</v>
      </c>
      <c r="D101" s="2">
        <v>84401</v>
      </c>
      <c r="L101" s="2" t="s">
        <v>1913</v>
      </c>
      <c r="M101" s="2">
        <v>82001</v>
      </c>
      <c r="N101" s="2" t="s">
        <v>2054</v>
      </c>
    </row>
    <row r="102" spans="2:14" x14ac:dyDescent="0.3">
      <c r="B102" s="2" t="s">
        <v>2055</v>
      </c>
      <c r="C102" s="2" t="s">
        <v>2056</v>
      </c>
      <c r="D102" s="2">
        <v>80802</v>
      </c>
      <c r="L102" s="2" t="s">
        <v>1917</v>
      </c>
      <c r="M102" s="2">
        <v>83801</v>
      </c>
      <c r="N102" s="2" t="s">
        <v>2057</v>
      </c>
    </row>
    <row r="103" spans="2:14" x14ac:dyDescent="0.3">
      <c r="B103" s="2" t="s">
        <v>2058</v>
      </c>
      <c r="C103" s="2" t="s">
        <v>2059</v>
      </c>
      <c r="D103" s="2">
        <v>82602</v>
      </c>
      <c r="L103" s="2" t="s">
        <v>1921</v>
      </c>
      <c r="M103" s="2">
        <v>80202</v>
      </c>
      <c r="N103" s="2" t="s">
        <v>2051</v>
      </c>
    </row>
    <row r="104" spans="2:14" x14ac:dyDescent="0.3">
      <c r="B104" s="2" t="s">
        <v>2060</v>
      </c>
      <c r="C104" s="2" t="s">
        <v>2061</v>
      </c>
      <c r="D104" s="2">
        <v>84402</v>
      </c>
      <c r="L104" s="2" t="s">
        <v>1925</v>
      </c>
      <c r="M104" s="2">
        <v>82002</v>
      </c>
      <c r="N104" s="2" t="s">
        <v>2054</v>
      </c>
    </row>
    <row r="105" spans="2:14" x14ac:dyDescent="0.3">
      <c r="B105" s="2" t="s">
        <v>2062</v>
      </c>
      <c r="C105" s="2" t="s">
        <v>2063</v>
      </c>
      <c r="D105" s="2">
        <v>80803</v>
      </c>
      <c r="L105" s="2" t="s">
        <v>1929</v>
      </c>
      <c r="M105" s="2">
        <v>83802</v>
      </c>
      <c r="N105" s="2" t="s">
        <v>2057</v>
      </c>
    </row>
    <row r="106" spans="2:14" x14ac:dyDescent="0.3">
      <c r="B106" s="2" t="s">
        <v>2064</v>
      </c>
      <c r="C106" s="2" t="s">
        <v>2065</v>
      </c>
      <c r="D106" s="2">
        <v>82603</v>
      </c>
      <c r="L106" s="2" t="s">
        <v>1933</v>
      </c>
      <c r="M106" s="2">
        <v>80401</v>
      </c>
      <c r="N106" s="2" t="s">
        <v>2066</v>
      </c>
    </row>
    <row r="107" spans="2:14" x14ac:dyDescent="0.3">
      <c r="B107" s="2" t="s">
        <v>2067</v>
      </c>
      <c r="C107" s="2" t="s">
        <v>2068</v>
      </c>
      <c r="D107" s="2">
        <v>84403</v>
      </c>
      <c r="L107" s="2" t="s">
        <v>1937</v>
      </c>
      <c r="M107" s="2">
        <v>82201</v>
      </c>
      <c r="N107" s="2" t="s">
        <v>2069</v>
      </c>
    </row>
    <row r="108" spans="2:14" x14ac:dyDescent="0.3">
      <c r="B108" s="2" t="s">
        <v>2070</v>
      </c>
      <c r="C108" s="2" t="s">
        <v>2071</v>
      </c>
      <c r="D108" s="2">
        <v>80901</v>
      </c>
      <c r="L108" s="2" t="s">
        <v>1941</v>
      </c>
      <c r="M108" s="2">
        <v>84001</v>
      </c>
      <c r="N108" s="2" t="s">
        <v>2072</v>
      </c>
    </row>
    <row r="109" spans="2:14" x14ac:dyDescent="0.3">
      <c r="B109" s="2" t="s">
        <v>2073</v>
      </c>
      <c r="C109" s="2" t="s">
        <v>2074</v>
      </c>
      <c r="D109" s="2">
        <v>82701</v>
      </c>
      <c r="L109" s="2" t="s">
        <v>1946</v>
      </c>
      <c r="M109" s="2">
        <v>80402</v>
      </c>
      <c r="N109" s="2" t="s">
        <v>2066</v>
      </c>
    </row>
    <row r="110" spans="2:14" x14ac:dyDescent="0.3">
      <c r="B110" s="2" t="s">
        <v>2075</v>
      </c>
      <c r="C110" s="2" t="s">
        <v>2076</v>
      </c>
      <c r="D110" s="2">
        <v>84501</v>
      </c>
      <c r="L110" s="2" t="s">
        <v>1950</v>
      </c>
      <c r="M110" s="2">
        <v>82202</v>
      </c>
      <c r="N110" s="2" t="s">
        <v>2069</v>
      </c>
    </row>
    <row r="111" spans="2:14" x14ac:dyDescent="0.3">
      <c r="B111" s="2" t="s">
        <v>2077</v>
      </c>
      <c r="C111" s="2" t="s">
        <v>2078</v>
      </c>
      <c r="D111" s="2">
        <v>80902</v>
      </c>
      <c r="L111" s="2" t="s">
        <v>1954</v>
      </c>
      <c r="M111" s="2">
        <v>84002</v>
      </c>
      <c r="N111" s="2" t="s">
        <v>2072</v>
      </c>
    </row>
    <row r="112" spans="2:14" x14ac:dyDescent="0.3">
      <c r="B112" s="2" t="s">
        <v>2079</v>
      </c>
      <c r="C112" s="2" t="s">
        <v>2080</v>
      </c>
      <c r="D112" s="2">
        <v>82702</v>
      </c>
      <c r="L112" s="2" t="s">
        <v>1958</v>
      </c>
      <c r="M112" s="2">
        <v>80501</v>
      </c>
      <c r="N112" s="2" t="s">
        <v>2081</v>
      </c>
    </row>
    <row r="113" spans="2:14" x14ac:dyDescent="0.3">
      <c r="B113" s="2" t="s">
        <v>2082</v>
      </c>
      <c r="C113" s="2" t="s">
        <v>2083</v>
      </c>
      <c r="D113" s="2">
        <v>84502</v>
      </c>
      <c r="L113" s="2" t="s">
        <v>1962</v>
      </c>
      <c r="M113" s="2">
        <v>82301</v>
      </c>
      <c r="N113" s="2" t="s">
        <v>2084</v>
      </c>
    </row>
    <row r="114" spans="2:14" x14ac:dyDescent="0.3">
      <c r="B114" s="2" t="s">
        <v>2085</v>
      </c>
      <c r="C114" s="2" t="s">
        <v>2086</v>
      </c>
      <c r="D114" s="2">
        <v>80903</v>
      </c>
      <c r="L114" s="2" t="s">
        <v>1966</v>
      </c>
      <c r="M114" s="2">
        <v>84101</v>
      </c>
      <c r="N114" s="2" t="s">
        <v>2087</v>
      </c>
    </row>
    <row r="115" spans="2:14" x14ac:dyDescent="0.3">
      <c r="B115" s="2" t="s">
        <v>2088</v>
      </c>
      <c r="C115" s="2" t="s">
        <v>2089</v>
      </c>
      <c r="D115" s="2">
        <v>82703</v>
      </c>
      <c r="L115" s="2" t="s">
        <v>1970</v>
      </c>
      <c r="M115" s="2">
        <v>80502</v>
      </c>
      <c r="N115" s="2" t="s">
        <v>2081</v>
      </c>
    </row>
    <row r="116" spans="2:14" x14ac:dyDescent="0.3">
      <c r="B116" s="2" t="s">
        <v>2090</v>
      </c>
      <c r="C116" s="2" t="s">
        <v>2091</v>
      </c>
      <c r="D116" s="2">
        <v>84503</v>
      </c>
      <c r="L116" s="2" t="s">
        <v>1974</v>
      </c>
      <c r="M116" s="2">
        <v>82302</v>
      </c>
      <c r="N116" s="2" t="s">
        <v>2084</v>
      </c>
    </row>
    <row r="117" spans="2:14" x14ac:dyDescent="0.3">
      <c r="B117" s="2" t="s">
        <v>2092</v>
      </c>
      <c r="C117" s="2" t="s">
        <v>2093</v>
      </c>
      <c r="D117" s="2">
        <v>81001</v>
      </c>
      <c r="L117" s="2" t="s">
        <v>1977</v>
      </c>
      <c r="M117" s="2">
        <v>84102</v>
      </c>
      <c r="N117" s="2" t="s">
        <v>2087</v>
      </c>
    </row>
    <row r="118" spans="2:14" x14ac:dyDescent="0.3">
      <c r="B118" s="2" t="s">
        <v>2094</v>
      </c>
      <c r="C118" s="2" t="s">
        <v>2095</v>
      </c>
      <c r="D118" s="2">
        <v>82801</v>
      </c>
      <c r="L118" s="2" t="s">
        <v>1981</v>
      </c>
      <c r="M118" s="2">
        <v>80503</v>
      </c>
      <c r="N118" s="2" t="s">
        <v>2081</v>
      </c>
    </row>
    <row r="119" spans="2:14" x14ac:dyDescent="0.3">
      <c r="B119" s="2" t="s">
        <v>2096</v>
      </c>
      <c r="C119" s="2" t="s">
        <v>2097</v>
      </c>
      <c r="D119" s="2">
        <v>84601</v>
      </c>
      <c r="L119" s="2" t="s">
        <v>1986</v>
      </c>
      <c r="M119" s="2">
        <v>82303</v>
      </c>
      <c r="N119" s="2" t="s">
        <v>2084</v>
      </c>
    </row>
    <row r="120" spans="2:14" x14ac:dyDescent="0.3">
      <c r="B120" s="2" t="s">
        <v>2098</v>
      </c>
      <c r="C120" s="2" t="s">
        <v>2099</v>
      </c>
      <c r="D120" s="2">
        <v>81002</v>
      </c>
      <c r="L120" s="2" t="s">
        <v>1990</v>
      </c>
      <c r="M120" s="2">
        <v>84103</v>
      </c>
      <c r="N120" s="2" t="s">
        <v>2087</v>
      </c>
    </row>
    <row r="121" spans="2:14" x14ac:dyDescent="0.3">
      <c r="B121" s="2" t="s">
        <v>2100</v>
      </c>
      <c r="C121" s="2" t="s">
        <v>2101</v>
      </c>
      <c r="D121" s="2">
        <v>82802</v>
      </c>
      <c r="L121" s="2" t="s">
        <v>1994</v>
      </c>
      <c r="M121" s="2">
        <v>80601</v>
      </c>
      <c r="N121" s="2" t="s">
        <v>2102</v>
      </c>
    </row>
    <row r="122" spans="2:14" x14ac:dyDescent="0.3">
      <c r="B122" s="2" t="s">
        <v>2103</v>
      </c>
      <c r="C122" s="2" t="s">
        <v>2104</v>
      </c>
      <c r="D122" s="2">
        <v>84602</v>
      </c>
      <c r="L122" s="2" t="s">
        <v>1998</v>
      </c>
      <c r="M122" s="2">
        <v>82401</v>
      </c>
      <c r="N122" s="2" t="s">
        <v>2105</v>
      </c>
    </row>
    <row r="123" spans="2:14" x14ac:dyDescent="0.3">
      <c r="B123" s="2" t="s">
        <v>2106</v>
      </c>
      <c r="C123" s="2" t="s">
        <v>2107</v>
      </c>
      <c r="D123" s="2">
        <v>81003</v>
      </c>
      <c r="L123" s="2" t="s">
        <v>2002</v>
      </c>
      <c r="M123" s="2">
        <v>84201</v>
      </c>
      <c r="N123" s="2" t="s">
        <v>2108</v>
      </c>
    </row>
    <row r="124" spans="2:14" x14ac:dyDescent="0.3">
      <c r="B124" s="2" t="s">
        <v>2109</v>
      </c>
      <c r="C124" s="2" t="s">
        <v>2110</v>
      </c>
      <c r="D124" s="2">
        <v>82803</v>
      </c>
      <c r="L124" s="2" t="s">
        <v>2006</v>
      </c>
      <c r="M124" s="2">
        <v>80602</v>
      </c>
      <c r="N124" s="2" t="s">
        <v>2102</v>
      </c>
    </row>
    <row r="125" spans="2:14" x14ac:dyDescent="0.3">
      <c r="B125" s="2" t="s">
        <v>2111</v>
      </c>
      <c r="C125" s="2" t="s">
        <v>2112</v>
      </c>
      <c r="D125" s="2">
        <v>84603</v>
      </c>
      <c r="L125" s="2" t="s">
        <v>2010</v>
      </c>
      <c r="M125" s="2">
        <v>82402</v>
      </c>
      <c r="N125" s="2" t="s">
        <v>2105</v>
      </c>
    </row>
    <row r="126" spans="2:14" x14ac:dyDescent="0.3">
      <c r="B126" s="2" t="s">
        <v>2113</v>
      </c>
      <c r="C126" s="2" t="s">
        <v>2114</v>
      </c>
      <c r="D126" s="2">
        <v>81101</v>
      </c>
      <c r="L126" s="2" t="s">
        <v>2014</v>
      </c>
      <c r="M126" s="2">
        <v>84202</v>
      </c>
      <c r="N126" s="2" t="s">
        <v>2108</v>
      </c>
    </row>
    <row r="127" spans="2:14" x14ac:dyDescent="0.3">
      <c r="B127" s="2" t="s">
        <v>2115</v>
      </c>
      <c r="C127" s="2" t="s">
        <v>2116</v>
      </c>
      <c r="D127" s="2">
        <v>82901</v>
      </c>
      <c r="L127" s="2" t="s">
        <v>2017</v>
      </c>
      <c r="M127" s="2">
        <v>80603</v>
      </c>
      <c r="N127" s="2" t="s">
        <v>2102</v>
      </c>
    </row>
    <row r="128" spans="2:14" x14ac:dyDescent="0.3">
      <c r="B128" s="2" t="s">
        <v>2117</v>
      </c>
      <c r="C128" s="2" t="s">
        <v>2118</v>
      </c>
      <c r="D128" s="2">
        <v>84701</v>
      </c>
      <c r="L128" s="2" t="s">
        <v>2019</v>
      </c>
      <c r="M128" s="2">
        <v>82403</v>
      </c>
      <c r="N128" s="2" t="s">
        <v>2105</v>
      </c>
    </row>
    <row r="129" spans="2:14" x14ac:dyDescent="0.3">
      <c r="B129" s="2" t="s">
        <v>2119</v>
      </c>
      <c r="C129" s="2" t="s">
        <v>2120</v>
      </c>
      <c r="D129" s="2">
        <v>81102</v>
      </c>
      <c r="L129" s="2" t="s">
        <v>2022</v>
      </c>
      <c r="M129" s="2">
        <v>84203</v>
      </c>
      <c r="N129" s="2" t="s">
        <v>2108</v>
      </c>
    </row>
    <row r="130" spans="2:14" x14ac:dyDescent="0.3">
      <c r="B130" s="2" t="s">
        <v>2121</v>
      </c>
      <c r="C130" s="2" t="s">
        <v>2122</v>
      </c>
      <c r="D130" s="2">
        <v>82902</v>
      </c>
      <c r="L130" s="2" t="s">
        <v>2025</v>
      </c>
      <c r="M130" s="2">
        <v>80701</v>
      </c>
      <c r="N130" s="2" t="s">
        <v>2123</v>
      </c>
    </row>
    <row r="131" spans="2:14" x14ac:dyDescent="0.3">
      <c r="B131" s="2" t="s">
        <v>2124</v>
      </c>
      <c r="C131" s="2" t="s">
        <v>2125</v>
      </c>
      <c r="D131" s="2">
        <v>84702</v>
      </c>
      <c r="L131" s="2" t="s">
        <v>2028</v>
      </c>
      <c r="M131" s="2">
        <v>82501</v>
      </c>
      <c r="N131" s="2" t="s">
        <v>2126</v>
      </c>
    </row>
    <row r="132" spans="2:14" x14ac:dyDescent="0.3">
      <c r="B132" s="2" t="s">
        <v>2127</v>
      </c>
      <c r="C132" s="2" t="s">
        <v>2128</v>
      </c>
      <c r="D132" s="2">
        <v>81103</v>
      </c>
      <c r="L132" s="2" t="s">
        <v>2030</v>
      </c>
      <c r="M132" s="2">
        <v>84301</v>
      </c>
      <c r="N132" s="2" t="s">
        <v>2129</v>
      </c>
    </row>
    <row r="133" spans="2:14" x14ac:dyDescent="0.3">
      <c r="B133" s="2" t="s">
        <v>2130</v>
      </c>
      <c r="C133" s="2" t="s">
        <v>2131</v>
      </c>
      <c r="D133" s="2">
        <v>82903</v>
      </c>
      <c r="L133" s="2" t="s">
        <v>2032</v>
      </c>
      <c r="M133" s="2">
        <v>80702</v>
      </c>
      <c r="N133" s="2" t="s">
        <v>2123</v>
      </c>
    </row>
    <row r="134" spans="2:14" x14ac:dyDescent="0.3">
      <c r="B134" s="2" t="s">
        <v>2132</v>
      </c>
      <c r="C134" s="2" t="s">
        <v>2133</v>
      </c>
      <c r="D134" s="2">
        <v>84703</v>
      </c>
      <c r="L134" s="2" t="s">
        <v>2034</v>
      </c>
      <c r="M134" s="2">
        <v>82502</v>
      </c>
      <c r="N134" s="2" t="s">
        <v>2126</v>
      </c>
    </row>
    <row r="135" spans="2:14" x14ac:dyDescent="0.3">
      <c r="B135" s="2" t="s">
        <v>2134</v>
      </c>
      <c r="C135" s="2" t="s">
        <v>2135</v>
      </c>
      <c r="D135" s="2">
        <v>81201</v>
      </c>
      <c r="L135" s="2" t="s">
        <v>2037</v>
      </c>
      <c r="M135" s="2">
        <v>84302</v>
      </c>
      <c r="N135" s="2" t="s">
        <v>2129</v>
      </c>
    </row>
    <row r="136" spans="2:14" x14ac:dyDescent="0.3">
      <c r="B136" s="2" t="s">
        <v>2136</v>
      </c>
      <c r="C136" s="2" t="s">
        <v>2137</v>
      </c>
      <c r="D136" s="2">
        <v>83001</v>
      </c>
      <c r="L136" s="2" t="s">
        <v>2040</v>
      </c>
      <c r="M136" s="2">
        <v>80703</v>
      </c>
      <c r="N136" s="2" t="s">
        <v>2123</v>
      </c>
    </row>
    <row r="137" spans="2:14" x14ac:dyDescent="0.3">
      <c r="B137" s="2" t="s">
        <v>2138</v>
      </c>
      <c r="C137" s="2" t="s">
        <v>2139</v>
      </c>
      <c r="D137" s="2">
        <v>84801</v>
      </c>
      <c r="L137" s="2" t="s">
        <v>2043</v>
      </c>
      <c r="M137" s="2">
        <v>82503</v>
      </c>
      <c r="N137" s="2" t="s">
        <v>2126</v>
      </c>
    </row>
    <row r="138" spans="2:14" x14ac:dyDescent="0.3">
      <c r="B138" s="2" t="s">
        <v>2140</v>
      </c>
      <c r="C138" s="2" t="s">
        <v>2141</v>
      </c>
      <c r="D138" s="2">
        <v>81202</v>
      </c>
      <c r="L138" s="2" t="s">
        <v>2045</v>
      </c>
      <c r="M138" s="2">
        <v>84303</v>
      </c>
      <c r="N138" s="2" t="s">
        <v>2129</v>
      </c>
    </row>
    <row r="139" spans="2:14" x14ac:dyDescent="0.3">
      <c r="B139" s="2" t="s">
        <v>2142</v>
      </c>
      <c r="C139" s="2" t="s">
        <v>2143</v>
      </c>
      <c r="D139" s="2">
        <v>83002</v>
      </c>
      <c r="L139" s="2" t="s">
        <v>2047</v>
      </c>
      <c r="M139" s="2">
        <v>80801</v>
      </c>
      <c r="N139" s="2" t="s">
        <v>2144</v>
      </c>
    </row>
    <row r="140" spans="2:14" x14ac:dyDescent="0.3">
      <c r="B140" s="2" t="s">
        <v>2145</v>
      </c>
      <c r="C140" s="2" t="s">
        <v>2146</v>
      </c>
      <c r="D140" s="2">
        <v>84802</v>
      </c>
      <c r="L140" s="2" t="s">
        <v>2049</v>
      </c>
      <c r="M140" s="2">
        <v>82601</v>
      </c>
      <c r="N140" s="2" t="s">
        <v>2147</v>
      </c>
    </row>
    <row r="141" spans="2:14" x14ac:dyDescent="0.3">
      <c r="B141" s="2" t="s">
        <v>2148</v>
      </c>
      <c r="C141" s="2" t="s">
        <v>2149</v>
      </c>
      <c r="D141" s="2">
        <v>81203</v>
      </c>
      <c r="L141" s="2" t="s">
        <v>2052</v>
      </c>
      <c r="M141" s="2">
        <v>84401</v>
      </c>
      <c r="N141" s="2" t="s">
        <v>2150</v>
      </c>
    </row>
    <row r="142" spans="2:14" x14ac:dyDescent="0.3">
      <c r="B142" s="2" t="s">
        <v>2151</v>
      </c>
      <c r="C142" s="2" t="s">
        <v>2152</v>
      </c>
      <c r="D142" s="2">
        <v>83003</v>
      </c>
      <c r="L142" s="2" t="s">
        <v>2055</v>
      </c>
      <c r="M142" s="2">
        <v>80802</v>
      </c>
      <c r="N142" s="2" t="s">
        <v>2144</v>
      </c>
    </row>
    <row r="143" spans="2:14" x14ac:dyDescent="0.3">
      <c r="B143" s="2" t="s">
        <v>2153</v>
      </c>
      <c r="C143" s="2" t="s">
        <v>2154</v>
      </c>
      <c r="D143" s="2">
        <v>84803</v>
      </c>
      <c r="L143" s="2" t="s">
        <v>2058</v>
      </c>
      <c r="M143" s="2">
        <v>82602</v>
      </c>
      <c r="N143" s="2" t="s">
        <v>2147</v>
      </c>
    </row>
    <row r="144" spans="2:14" x14ac:dyDescent="0.3">
      <c r="B144" s="2" t="s">
        <v>2155</v>
      </c>
      <c r="C144" s="2" t="s">
        <v>2156</v>
      </c>
      <c r="D144" s="2">
        <v>81301</v>
      </c>
      <c r="L144" s="2" t="s">
        <v>2060</v>
      </c>
      <c r="M144" s="2">
        <v>84402</v>
      </c>
      <c r="N144" s="2" t="s">
        <v>2150</v>
      </c>
    </row>
    <row r="145" spans="2:14" x14ac:dyDescent="0.3">
      <c r="B145" s="2" t="s">
        <v>2157</v>
      </c>
      <c r="C145" s="2" t="s">
        <v>2158</v>
      </c>
      <c r="D145" s="2">
        <v>83101</v>
      </c>
      <c r="L145" s="2" t="s">
        <v>2062</v>
      </c>
      <c r="M145" s="2">
        <v>80803</v>
      </c>
      <c r="N145" s="2" t="s">
        <v>2144</v>
      </c>
    </row>
    <row r="146" spans="2:14" x14ac:dyDescent="0.3">
      <c r="B146" s="2" t="s">
        <v>2159</v>
      </c>
      <c r="C146" s="2" t="s">
        <v>2160</v>
      </c>
      <c r="D146" s="2">
        <v>84901</v>
      </c>
      <c r="L146" s="2" t="s">
        <v>2064</v>
      </c>
      <c r="M146" s="2">
        <v>82603</v>
      </c>
      <c r="N146" s="2" t="s">
        <v>2147</v>
      </c>
    </row>
    <row r="147" spans="2:14" x14ac:dyDescent="0.3">
      <c r="B147" s="2" t="s">
        <v>2161</v>
      </c>
      <c r="C147" s="2" t="s">
        <v>2162</v>
      </c>
      <c r="D147" s="2">
        <v>81302</v>
      </c>
      <c r="L147" s="2" t="s">
        <v>2067</v>
      </c>
      <c r="M147" s="2">
        <v>84403</v>
      </c>
      <c r="N147" s="2" t="s">
        <v>2150</v>
      </c>
    </row>
    <row r="148" spans="2:14" x14ac:dyDescent="0.3">
      <c r="B148" s="2" t="s">
        <v>2163</v>
      </c>
      <c r="C148" s="2" t="s">
        <v>2164</v>
      </c>
      <c r="D148" s="2">
        <v>83102</v>
      </c>
      <c r="L148" s="2" t="s">
        <v>2070</v>
      </c>
      <c r="M148" s="2">
        <v>80901</v>
      </c>
      <c r="N148" s="2" t="s">
        <v>2165</v>
      </c>
    </row>
    <row r="149" spans="2:14" x14ac:dyDescent="0.3">
      <c r="B149" s="2" t="s">
        <v>2166</v>
      </c>
      <c r="C149" s="2" t="s">
        <v>2167</v>
      </c>
      <c r="D149" s="2">
        <v>84902</v>
      </c>
      <c r="L149" s="2" t="s">
        <v>2073</v>
      </c>
      <c r="M149" s="2">
        <v>82701</v>
      </c>
      <c r="N149" s="2" t="s">
        <v>2168</v>
      </c>
    </row>
    <row r="150" spans="2:14" x14ac:dyDescent="0.3">
      <c r="B150" s="2" t="s">
        <v>2169</v>
      </c>
      <c r="C150" s="2" t="s">
        <v>2170</v>
      </c>
      <c r="D150" s="2">
        <v>81303</v>
      </c>
      <c r="L150" s="2" t="s">
        <v>2075</v>
      </c>
      <c r="M150" s="2">
        <v>84501</v>
      </c>
      <c r="N150" s="2" t="s">
        <v>2171</v>
      </c>
    </row>
    <row r="151" spans="2:14" x14ac:dyDescent="0.3">
      <c r="B151" s="2" t="s">
        <v>2172</v>
      </c>
      <c r="C151" s="2" t="s">
        <v>2173</v>
      </c>
      <c r="D151" s="2">
        <v>83103</v>
      </c>
      <c r="L151" s="2" t="s">
        <v>2077</v>
      </c>
      <c r="M151" s="2">
        <v>80902</v>
      </c>
      <c r="N151" s="2" t="s">
        <v>2165</v>
      </c>
    </row>
    <row r="152" spans="2:14" x14ac:dyDescent="0.3">
      <c r="B152" s="2" t="s">
        <v>2174</v>
      </c>
      <c r="C152" s="2" t="s">
        <v>2175</v>
      </c>
      <c r="D152" s="2">
        <v>84903</v>
      </c>
      <c r="L152" s="2" t="s">
        <v>2079</v>
      </c>
      <c r="M152" s="2">
        <v>82702</v>
      </c>
      <c r="N152" s="2" t="s">
        <v>2168</v>
      </c>
    </row>
    <row r="153" spans="2:14" x14ac:dyDescent="0.3">
      <c r="B153" s="2" t="s">
        <v>2176</v>
      </c>
      <c r="C153" s="2" t="s">
        <v>2177</v>
      </c>
      <c r="D153" s="2">
        <v>81401</v>
      </c>
      <c r="L153" s="2" t="s">
        <v>2082</v>
      </c>
      <c r="M153" s="2">
        <v>84502</v>
      </c>
      <c r="N153" s="2" t="s">
        <v>2171</v>
      </c>
    </row>
    <row r="154" spans="2:14" x14ac:dyDescent="0.3">
      <c r="B154" s="2" t="s">
        <v>2178</v>
      </c>
      <c r="C154" s="2" t="s">
        <v>2179</v>
      </c>
      <c r="D154" s="2">
        <v>83201</v>
      </c>
      <c r="L154" s="2" t="s">
        <v>2085</v>
      </c>
      <c r="M154" s="2">
        <v>80903</v>
      </c>
      <c r="N154" s="2" t="s">
        <v>2165</v>
      </c>
    </row>
    <row r="155" spans="2:14" x14ac:dyDescent="0.3">
      <c r="B155" s="2" t="s">
        <v>2180</v>
      </c>
      <c r="C155" s="2" t="s">
        <v>2181</v>
      </c>
      <c r="D155" s="2">
        <v>85001</v>
      </c>
      <c r="L155" s="2" t="s">
        <v>2088</v>
      </c>
      <c r="M155" s="2">
        <v>82703</v>
      </c>
      <c r="N155" s="2" t="s">
        <v>2168</v>
      </c>
    </row>
    <row r="156" spans="2:14" x14ac:dyDescent="0.3">
      <c r="B156" s="2" t="s">
        <v>2182</v>
      </c>
      <c r="C156" s="2" t="s">
        <v>2183</v>
      </c>
      <c r="D156" s="2">
        <v>81402</v>
      </c>
      <c r="L156" s="2" t="s">
        <v>2090</v>
      </c>
      <c r="M156" s="2">
        <v>84503</v>
      </c>
      <c r="N156" s="2" t="s">
        <v>2171</v>
      </c>
    </row>
    <row r="157" spans="2:14" x14ac:dyDescent="0.3">
      <c r="B157" s="2" t="s">
        <v>2184</v>
      </c>
      <c r="C157" s="2" t="s">
        <v>2185</v>
      </c>
      <c r="D157" s="2">
        <v>83202</v>
      </c>
      <c r="L157" s="2" t="s">
        <v>2092</v>
      </c>
      <c r="M157" s="2">
        <v>81001</v>
      </c>
      <c r="N157" s="2" t="s">
        <v>2186</v>
      </c>
    </row>
    <row r="158" spans="2:14" x14ac:dyDescent="0.3">
      <c r="B158" s="2" t="s">
        <v>2187</v>
      </c>
      <c r="C158" s="2" t="s">
        <v>2188</v>
      </c>
      <c r="D158" s="2">
        <v>85002</v>
      </c>
      <c r="L158" s="2" t="s">
        <v>2094</v>
      </c>
      <c r="M158" s="2">
        <v>82801</v>
      </c>
      <c r="N158" s="2" t="s">
        <v>2189</v>
      </c>
    </row>
    <row r="159" spans="2:14" x14ac:dyDescent="0.3">
      <c r="B159" s="2" t="s">
        <v>2190</v>
      </c>
      <c r="C159" s="2" t="s">
        <v>2191</v>
      </c>
      <c r="D159" s="2">
        <v>81403</v>
      </c>
      <c r="L159" s="2" t="s">
        <v>2096</v>
      </c>
      <c r="M159" s="2">
        <v>84601</v>
      </c>
      <c r="N159" s="2" t="s">
        <v>2192</v>
      </c>
    </row>
    <row r="160" spans="2:14" x14ac:dyDescent="0.3">
      <c r="B160" s="2" t="s">
        <v>2193</v>
      </c>
      <c r="C160" s="2" t="s">
        <v>2194</v>
      </c>
      <c r="D160" s="2">
        <v>83203</v>
      </c>
      <c r="L160" s="2" t="s">
        <v>2098</v>
      </c>
      <c r="M160" s="2">
        <v>81002</v>
      </c>
      <c r="N160" s="2" t="s">
        <v>2186</v>
      </c>
    </row>
    <row r="161" spans="2:14" x14ac:dyDescent="0.3">
      <c r="B161" s="2" t="s">
        <v>2195</v>
      </c>
      <c r="C161" s="2" t="s">
        <v>2196</v>
      </c>
      <c r="D161" s="2">
        <v>85003</v>
      </c>
      <c r="L161" s="2" t="s">
        <v>2100</v>
      </c>
      <c r="M161" s="2">
        <v>82802</v>
      </c>
      <c r="N161" s="2" t="s">
        <v>2189</v>
      </c>
    </row>
    <row r="162" spans="2:14" x14ac:dyDescent="0.3">
      <c r="B162" s="2" t="s">
        <v>2197</v>
      </c>
      <c r="C162" s="2" t="s">
        <v>2198</v>
      </c>
      <c r="D162" s="2">
        <v>81501</v>
      </c>
      <c r="L162" s="2" t="s">
        <v>2103</v>
      </c>
      <c r="M162" s="2">
        <v>84602</v>
      </c>
      <c r="N162" s="2" t="s">
        <v>2192</v>
      </c>
    </row>
    <row r="163" spans="2:14" x14ac:dyDescent="0.3">
      <c r="B163" s="2" t="s">
        <v>2199</v>
      </c>
      <c r="C163" s="2" t="s">
        <v>2200</v>
      </c>
      <c r="D163" s="2">
        <v>83301</v>
      </c>
      <c r="L163" s="2" t="s">
        <v>2106</v>
      </c>
      <c r="M163" s="2">
        <v>81003</v>
      </c>
      <c r="N163" s="2" t="s">
        <v>2186</v>
      </c>
    </row>
    <row r="164" spans="2:14" x14ac:dyDescent="0.3">
      <c r="B164" s="2" t="s">
        <v>2201</v>
      </c>
      <c r="C164" s="2" t="s">
        <v>2202</v>
      </c>
      <c r="D164" s="2">
        <v>85101</v>
      </c>
      <c r="L164" s="2" t="s">
        <v>2109</v>
      </c>
      <c r="M164" s="2">
        <v>82803</v>
      </c>
      <c r="N164" s="2" t="s">
        <v>2189</v>
      </c>
    </row>
    <row r="165" spans="2:14" x14ac:dyDescent="0.3">
      <c r="B165" s="2" t="s">
        <v>2203</v>
      </c>
      <c r="C165" s="2" t="s">
        <v>2204</v>
      </c>
      <c r="D165" s="2">
        <v>81502</v>
      </c>
      <c r="L165" s="2" t="s">
        <v>2111</v>
      </c>
      <c r="M165" s="2">
        <v>84603</v>
      </c>
      <c r="N165" s="2" t="s">
        <v>2192</v>
      </c>
    </row>
    <row r="166" spans="2:14" x14ac:dyDescent="0.3">
      <c r="B166" s="2" t="s">
        <v>2205</v>
      </c>
      <c r="C166" s="2" t="s">
        <v>2206</v>
      </c>
      <c r="D166" s="2">
        <v>83302</v>
      </c>
      <c r="L166" s="2" t="s">
        <v>2113</v>
      </c>
      <c r="M166" s="2">
        <v>81101</v>
      </c>
      <c r="N166" s="2" t="s">
        <v>2207</v>
      </c>
    </row>
    <row r="167" spans="2:14" x14ac:dyDescent="0.3">
      <c r="B167" s="2" t="s">
        <v>2208</v>
      </c>
      <c r="C167" s="2" t="s">
        <v>2209</v>
      </c>
      <c r="D167" s="2">
        <v>85102</v>
      </c>
      <c r="L167" s="2" t="s">
        <v>2115</v>
      </c>
      <c r="M167" s="2">
        <v>82901</v>
      </c>
      <c r="N167" s="2" t="s">
        <v>2210</v>
      </c>
    </row>
    <row r="168" spans="2:14" x14ac:dyDescent="0.3">
      <c r="B168" s="2" t="s">
        <v>2211</v>
      </c>
      <c r="C168" s="2" t="s">
        <v>2212</v>
      </c>
      <c r="D168" s="2">
        <v>81503</v>
      </c>
      <c r="L168" s="2" t="s">
        <v>2117</v>
      </c>
      <c r="M168" s="2">
        <v>84701</v>
      </c>
      <c r="N168" s="2" t="s">
        <v>2213</v>
      </c>
    </row>
    <row r="169" spans="2:14" x14ac:dyDescent="0.3">
      <c r="B169" s="2" t="s">
        <v>2214</v>
      </c>
      <c r="C169" s="2" t="s">
        <v>2215</v>
      </c>
      <c r="D169" s="2">
        <v>83303</v>
      </c>
      <c r="L169" s="2" t="s">
        <v>2119</v>
      </c>
      <c r="M169" s="2">
        <v>81102</v>
      </c>
      <c r="N169" s="2" t="s">
        <v>2207</v>
      </c>
    </row>
    <row r="170" spans="2:14" x14ac:dyDescent="0.3">
      <c r="B170" s="2" t="s">
        <v>2216</v>
      </c>
      <c r="C170" s="2" t="s">
        <v>2217</v>
      </c>
      <c r="D170" s="2">
        <v>85103</v>
      </c>
      <c r="L170" s="2" t="s">
        <v>2121</v>
      </c>
      <c r="M170" s="2">
        <v>82902</v>
      </c>
      <c r="N170" s="2" t="s">
        <v>2210</v>
      </c>
    </row>
    <row r="171" spans="2:14" x14ac:dyDescent="0.3">
      <c r="B171" s="2" t="s">
        <v>2218</v>
      </c>
      <c r="C171" s="2" t="s">
        <v>2219</v>
      </c>
      <c r="D171" s="2">
        <v>81601</v>
      </c>
      <c r="L171" s="2" t="s">
        <v>2124</v>
      </c>
      <c r="M171" s="2">
        <v>84702</v>
      </c>
      <c r="N171" s="2" t="s">
        <v>2213</v>
      </c>
    </row>
    <row r="172" spans="2:14" x14ac:dyDescent="0.3">
      <c r="B172" s="2" t="s">
        <v>2220</v>
      </c>
      <c r="C172" s="2" t="s">
        <v>2221</v>
      </c>
      <c r="D172" s="2">
        <v>83401</v>
      </c>
      <c r="L172" s="2" t="s">
        <v>2127</v>
      </c>
      <c r="M172" s="2">
        <v>81103</v>
      </c>
      <c r="N172" s="2" t="s">
        <v>2207</v>
      </c>
    </row>
    <row r="173" spans="2:14" x14ac:dyDescent="0.3">
      <c r="B173" s="2" t="s">
        <v>2222</v>
      </c>
      <c r="C173" s="2" t="s">
        <v>2223</v>
      </c>
      <c r="D173" s="2">
        <v>85201</v>
      </c>
      <c r="L173" s="2" t="s">
        <v>2130</v>
      </c>
      <c r="M173" s="2">
        <v>82903</v>
      </c>
      <c r="N173" s="2" t="s">
        <v>2210</v>
      </c>
    </row>
    <row r="174" spans="2:14" x14ac:dyDescent="0.3">
      <c r="B174" s="2" t="s">
        <v>2224</v>
      </c>
      <c r="C174" s="2" t="s">
        <v>2225</v>
      </c>
      <c r="D174" s="2">
        <v>81602</v>
      </c>
      <c r="L174" s="2" t="s">
        <v>2132</v>
      </c>
      <c r="M174" s="2">
        <v>84703</v>
      </c>
      <c r="N174" s="2" t="s">
        <v>2213</v>
      </c>
    </row>
    <row r="175" spans="2:14" x14ac:dyDescent="0.3">
      <c r="B175" s="2" t="s">
        <v>2226</v>
      </c>
      <c r="C175" s="2" t="s">
        <v>2227</v>
      </c>
      <c r="D175" s="2">
        <v>83402</v>
      </c>
      <c r="L175" s="2" t="s">
        <v>2134</v>
      </c>
      <c r="M175" s="2">
        <v>81201</v>
      </c>
      <c r="N175" s="2" t="s">
        <v>2228</v>
      </c>
    </row>
    <row r="176" spans="2:14" x14ac:dyDescent="0.3">
      <c r="B176" s="2" t="s">
        <v>2229</v>
      </c>
      <c r="C176" s="2" t="s">
        <v>2230</v>
      </c>
      <c r="D176" s="2">
        <v>85202</v>
      </c>
      <c r="L176" s="2" t="s">
        <v>2136</v>
      </c>
      <c r="M176" s="2">
        <v>83001</v>
      </c>
      <c r="N176" s="2" t="s">
        <v>2231</v>
      </c>
    </row>
    <row r="177" spans="2:14" x14ac:dyDescent="0.3">
      <c r="B177" s="2" t="s">
        <v>2232</v>
      </c>
      <c r="C177" s="2" t="s">
        <v>2233</v>
      </c>
      <c r="D177" s="2">
        <v>81603</v>
      </c>
      <c r="L177" s="2" t="s">
        <v>2138</v>
      </c>
      <c r="M177" s="2">
        <v>84801</v>
      </c>
      <c r="N177" s="2" t="s">
        <v>2234</v>
      </c>
    </row>
    <row r="178" spans="2:14" x14ac:dyDescent="0.3">
      <c r="B178" s="2" t="s">
        <v>2235</v>
      </c>
      <c r="C178" s="2" t="s">
        <v>2236</v>
      </c>
      <c r="D178" s="2">
        <v>83403</v>
      </c>
      <c r="L178" s="2" t="s">
        <v>2140</v>
      </c>
      <c r="M178" s="2">
        <v>81202</v>
      </c>
      <c r="N178" s="2" t="s">
        <v>2228</v>
      </c>
    </row>
    <row r="179" spans="2:14" x14ac:dyDescent="0.3">
      <c r="B179" s="2" t="s">
        <v>2237</v>
      </c>
      <c r="C179" s="2" t="s">
        <v>2238</v>
      </c>
      <c r="D179" s="2">
        <v>85203</v>
      </c>
      <c r="L179" s="2" t="s">
        <v>2142</v>
      </c>
      <c r="M179" s="2">
        <v>83002</v>
      </c>
      <c r="N179" s="2" t="s">
        <v>2231</v>
      </c>
    </row>
    <row r="180" spans="2:14" x14ac:dyDescent="0.3">
      <c r="B180" s="2" t="s">
        <v>2239</v>
      </c>
      <c r="C180" s="2" t="s">
        <v>2240</v>
      </c>
      <c r="D180" s="2">
        <v>81701</v>
      </c>
      <c r="L180" s="2" t="s">
        <v>2145</v>
      </c>
      <c r="M180" s="2">
        <v>84802</v>
      </c>
      <c r="N180" s="2" t="s">
        <v>2234</v>
      </c>
    </row>
    <row r="181" spans="2:14" x14ac:dyDescent="0.3">
      <c r="B181" s="2" t="s">
        <v>2241</v>
      </c>
      <c r="C181" s="2" t="s">
        <v>2242</v>
      </c>
      <c r="D181" s="2">
        <v>83501</v>
      </c>
      <c r="L181" s="2" t="s">
        <v>2148</v>
      </c>
      <c r="M181" s="2">
        <v>81203</v>
      </c>
      <c r="N181" s="2" t="s">
        <v>2228</v>
      </c>
    </row>
    <row r="182" spans="2:14" x14ac:dyDescent="0.3">
      <c r="B182" s="2" t="s">
        <v>2243</v>
      </c>
      <c r="C182" s="2" t="s">
        <v>2244</v>
      </c>
      <c r="D182" s="2">
        <v>85301</v>
      </c>
      <c r="L182" s="2" t="s">
        <v>2151</v>
      </c>
      <c r="M182" s="2">
        <v>83003</v>
      </c>
      <c r="N182" s="2" t="s">
        <v>2231</v>
      </c>
    </row>
    <row r="183" spans="2:14" x14ac:dyDescent="0.3">
      <c r="B183" s="2" t="s">
        <v>2245</v>
      </c>
      <c r="C183" s="2" t="s">
        <v>2246</v>
      </c>
      <c r="D183" s="2">
        <v>81702</v>
      </c>
      <c r="L183" s="2" t="s">
        <v>2153</v>
      </c>
      <c r="M183" s="2">
        <v>84803</v>
      </c>
      <c r="N183" s="2" t="s">
        <v>2234</v>
      </c>
    </row>
    <row r="184" spans="2:14" x14ac:dyDescent="0.3">
      <c r="B184" s="2" t="s">
        <v>2247</v>
      </c>
      <c r="C184" s="2" t="s">
        <v>2248</v>
      </c>
      <c r="D184" s="2">
        <v>83502</v>
      </c>
      <c r="L184" s="2" t="s">
        <v>2155</v>
      </c>
      <c r="M184" s="2">
        <v>81301</v>
      </c>
      <c r="N184" s="2" t="s">
        <v>2249</v>
      </c>
    </row>
    <row r="185" spans="2:14" x14ac:dyDescent="0.3">
      <c r="B185" s="2" t="s">
        <v>2250</v>
      </c>
      <c r="C185" s="2" t="s">
        <v>2251</v>
      </c>
      <c r="D185" s="2">
        <v>85302</v>
      </c>
      <c r="L185" s="2" t="s">
        <v>2157</v>
      </c>
      <c r="M185" s="2">
        <v>83101</v>
      </c>
      <c r="N185" s="2" t="s">
        <v>2252</v>
      </c>
    </row>
    <row r="186" spans="2:14" x14ac:dyDescent="0.3">
      <c r="B186" s="2" t="s">
        <v>2253</v>
      </c>
      <c r="C186" s="2" t="s">
        <v>2254</v>
      </c>
      <c r="D186" s="2">
        <v>81703</v>
      </c>
      <c r="L186" s="2" t="s">
        <v>2159</v>
      </c>
      <c r="M186" s="2">
        <v>84901</v>
      </c>
      <c r="N186" s="2" t="s">
        <v>2255</v>
      </c>
    </row>
    <row r="187" spans="2:14" x14ac:dyDescent="0.3">
      <c r="B187" s="2" t="s">
        <v>2256</v>
      </c>
      <c r="C187" s="2" t="s">
        <v>2257</v>
      </c>
      <c r="D187" s="2">
        <v>83503</v>
      </c>
      <c r="L187" s="2" t="s">
        <v>2161</v>
      </c>
      <c r="M187" s="2">
        <v>81302</v>
      </c>
      <c r="N187" s="2" t="s">
        <v>2249</v>
      </c>
    </row>
    <row r="188" spans="2:14" x14ac:dyDescent="0.3">
      <c r="B188" s="2" t="s">
        <v>2258</v>
      </c>
      <c r="C188" s="2" t="s">
        <v>2259</v>
      </c>
      <c r="D188" s="2">
        <v>85303</v>
      </c>
      <c r="L188" s="2" t="s">
        <v>2163</v>
      </c>
      <c r="M188" s="2">
        <v>83102</v>
      </c>
      <c r="N188" s="2" t="s">
        <v>2252</v>
      </c>
    </row>
    <row r="189" spans="2:14" x14ac:dyDescent="0.3">
      <c r="B189" s="2" t="s">
        <v>2260</v>
      </c>
      <c r="C189" s="2" t="s">
        <v>2261</v>
      </c>
      <c r="D189" s="2">
        <v>81801</v>
      </c>
      <c r="L189" s="2" t="s">
        <v>2166</v>
      </c>
      <c r="M189" s="2">
        <v>84902</v>
      </c>
      <c r="N189" s="2" t="s">
        <v>2255</v>
      </c>
    </row>
    <row r="190" spans="2:14" x14ac:dyDescent="0.3">
      <c r="B190" s="2" t="s">
        <v>2262</v>
      </c>
      <c r="C190" s="2" t="s">
        <v>2263</v>
      </c>
      <c r="D190" s="2">
        <v>83601</v>
      </c>
      <c r="L190" s="2" t="s">
        <v>2169</v>
      </c>
      <c r="M190" s="2">
        <v>81303</v>
      </c>
      <c r="N190" s="2" t="s">
        <v>2249</v>
      </c>
    </row>
    <row r="191" spans="2:14" x14ac:dyDescent="0.3">
      <c r="B191" s="2" t="s">
        <v>2264</v>
      </c>
      <c r="C191" s="2" t="s">
        <v>2265</v>
      </c>
      <c r="D191" s="2">
        <v>85401</v>
      </c>
      <c r="L191" s="2" t="s">
        <v>2172</v>
      </c>
      <c r="M191" s="2">
        <v>83103</v>
      </c>
      <c r="N191" s="2" t="s">
        <v>2252</v>
      </c>
    </row>
    <row r="192" spans="2:14" x14ac:dyDescent="0.3">
      <c r="B192" s="2" t="s">
        <v>2266</v>
      </c>
      <c r="C192" s="2" t="s">
        <v>2267</v>
      </c>
      <c r="D192" s="2">
        <v>81802</v>
      </c>
      <c r="L192" s="2" t="s">
        <v>2174</v>
      </c>
      <c r="M192" s="2">
        <v>84903</v>
      </c>
      <c r="N192" s="2" t="s">
        <v>2255</v>
      </c>
    </row>
    <row r="193" spans="2:14" x14ac:dyDescent="0.3">
      <c r="B193" s="2" t="s">
        <v>2268</v>
      </c>
      <c r="C193" s="2" t="s">
        <v>2269</v>
      </c>
      <c r="D193" s="2">
        <v>83602</v>
      </c>
      <c r="L193" s="2" t="s">
        <v>2176</v>
      </c>
      <c r="M193" s="2">
        <v>81401</v>
      </c>
      <c r="N193" s="2" t="s">
        <v>2270</v>
      </c>
    </row>
    <row r="194" spans="2:14" x14ac:dyDescent="0.3">
      <c r="B194" s="2" t="s">
        <v>2271</v>
      </c>
      <c r="C194" s="2" t="s">
        <v>2272</v>
      </c>
      <c r="D194" s="2">
        <v>85402</v>
      </c>
      <c r="L194" s="2" t="s">
        <v>2178</v>
      </c>
      <c r="M194" s="2">
        <v>83201</v>
      </c>
      <c r="N194" s="2" t="s">
        <v>2273</v>
      </c>
    </row>
    <row r="195" spans="2:14" x14ac:dyDescent="0.3">
      <c r="B195" s="2" t="s">
        <v>2274</v>
      </c>
      <c r="C195" s="2" t="s">
        <v>2275</v>
      </c>
      <c r="D195" s="2">
        <v>81803</v>
      </c>
      <c r="L195" s="2" t="s">
        <v>2180</v>
      </c>
      <c r="M195" s="2">
        <v>85001</v>
      </c>
      <c r="N195" s="2" t="s">
        <v>2276</v>
      </c>
    </row>
    <row r="196" spans="2:14" x14ac:dyDescent="0.3">
      <c r="B196" s="2" t="s">
        <v>2277</v>
      </c>
      <c r="C196" s="2" t="s">
        <v>2278</v>
      </c>
      <c r="D196" s="2">
        <v>83603</v>
      </c>
      <c r="L196" s="2" t="s">
        <v>2182</v>
      </c>
      <c r="M196" s="2">
        <v>81402</v>
      </c>
      <c r="N196" s="2" t="s">
        <v>2270</v>
      </c>
    </row>
    <row r="197" spans="2:14" x14ac:dyDescent="0.3">
      <c r="B197" s="2" t="s">
        <v>2279</v>
      </c>
      <c r="C197" s="2" t="s">
        <v>2280</v>
      </c>
      <c r="D197" s="2">
        <v>85403</v>
      </c>
      <c r="L197" s="2" t="s">
        <v>2184</v>
      </c>
      <c r="M197" s="2">
        <v>83202</v>
      </c>
      <c r="N197" s="2" t="s">
        <v>2273</v>
      </c>
    </row>
    <row r="198" spans="2:14" x14ac:dyDescent="0.3">
      <c r="L198" s="2" t="s">
        <v>2187</v>
      </c>
      <c r="M198" s="2">
        <v>85002</v>
      </c>
      <c r="N198" s="2" t="s">
        <v>2276</v>
      </c>
    </row>
    <row r="199" spans="2:14" x14ac:dyDescent="0.3">
      <c r="L199" s="2" t="s">
        <v>2190</v>
      </c>
      <c r="M199" s="2">
        <v>81403</v>
      </c>
      <c r="N199" s="2" t="s">
        <v>2270</v>
      </c>
    </row>
    <row r="200" spans="2:14" x14ac:dyDescent="0.3">
      <c r="B200" s="122" t="s">
        <v>1800</v>
      </c>
      <c r="C200" s="122" t="s">
        <v>48</v>
      </c>
      <c r="L200" s="2" t="s">
        <v>2193</v>
      </c>
      <c r="M200" s="2">
        <v>83203</v>
      </c>
      <c r="N200" s="2" t="s">
        <v>2273</v>
      </c>
    </row>
    <row r="201" spans="2:14" x14ac:dyDescent="0.3">
      <c r="B201" s="122" t="s">
        <v>2281</v>
      </c>
      <c r="C201" s="122">
        <v>70101</v>
      </c>
      <c r="L201" s="2" t="s">
        <v>2195</v>
      </c>
      <c r="M201" s="2">
        <v>85003</v>
      </c>
      <c r="N201" s="2" t="s">
        <v>2276</v>
      </c>
    </row>
    <row r="202" spans="2:14" x14ac:dyDescent="0.3">
      <c r="B202" s="122" t="s">
        <v>2282</v>
      </c>
      <c r="C202" s="122">
        <v>70102</v>
      </c>
      <c r="L202" s="2" t="s">
        <v>2197</v>
      </c>
      <c r="M202" s="2">
        <v>81501</v>
      </c>
      <c r="N202" s="2" t="s">
        <v>2283</v>
      </c>
    </row>
    <row r="203" spans="2:14" x14ac:dyDescent="0.3">
      <c r="B203" s="122" t="s">
        <v>2284</v>
      </c>
      <c r="C203" s="122">
        <v>70103</v>
      </c>
      <c r="L203" s="2" t="s">
        <v>2199</v>
      </c>
      <c r="M203" s="2">
        <v>83301</v>
      </c>
      <c r="N203" s="2" t="s">
        <v>2285</v>
      </c>
    </row>
    <row r="204" spans="2:14" x14ac:dyDescent="0.3">
      <c r="L204" s="2" t="s">
        <v>2201</v>
      </c>
      <c r="M204" s="2">
        <v>85101</v>
      </c>
      <c r="N204" s="2" t="s">
        <v>2286</v>
      </c>
    </row>
    <row r="205" spans="2:14" x14ac:dyDescent="0.3">
      <c r="L205" s="2" t="s">
        <v>2203</v>
      </c>
      <c r="M205" s="2">
        <v>81502</v>
      </c>
      <c r="N205" s="2" t="s">
        <v>2283</v>
      </c>
    </row>
    <row r="206" spans="2:14" x14ac:dyDescent="0.3">
      <c r="B206" s="2" t="s">
        <v>2287</v>
      </c>
      <c r="C206" s="2" t="s">
        <v>48</v>
      </c>
      <c r="D206" s="2" t="s">
        <v>2288</v>
      </c>
      <c r="L206" s="2" t="s">
        <v>2205</v>
      </c>
      <c r="M206" s="2">
        <v>83302</v>
      </c>
      <c r="N206" s="2" t="s">
        <v>2285</v>
      </c>
    </row>
    <row r="207" spans="2:14" x14ac:dyDescent="0.3">
      <c r="B207" s="2" t="s">
        <v>433</v>
      </c>
      <c r="C207" s="2">
        <v>91001</v>
      </c>
      <c r="D207" s="2">
        <v>1110</v>
      </c>
      <c r="L207" s="2" t="s">
        <v>2208</v>
      </c>
      <c r="M207" s="2">
        <v>85102</v>
      </c>
      <c r="N207" s="2" t="s">
        <v>2286</v>
      </c>
    </row>
    <row r="208" spans="2:14" x14ac:dyDescent="0.3">
      <c r="B208" s="2" t="s">
        <v>442</v>
      </c>
      <c r="C208" s="2">
        <v>91002</v>
      </c>
      <c r="D208" s="2">
        <v>1120</v>
      </c>
      <c r="L208" s="2" t="s">
        <v>2211</v>
      </c>
      <c r="M208" s="2">
        <v>81503</v>
      </c>
      <c r="N208" s="2" t="s">
        <v>2283</v>
      </c>
    </row>
    <row r="209" spans="2:14" x14ac:dyDescent="0.3">
      <c r="B209" s="2" t="s">
        <v>434</v>
      </c>
      <c r="C209" s="2">
        <v>91003</v>
      </c>
      <c r="D209" s="2">
        <v>1130</v>
      </c>
      <c r="L209" s="2" t="s">
        <v>2214</v>
      </c>
      <c r="M209" s="2">
        <v>83303</v>
      </c>
      <c r="N209" s="2" t="s">
        <v>2285</v>
      </c>
    </row>
    <row r="210" spans="2:14" x14ac:dyDescent="0.3">
      <c r="B210" s="2" t="s">
        <v>443</v>
      </c>
      <c r="C210" s="2">
        <v>91004</v>
      </c>
      <c r="D210" s="2">
        <v>1140</v>
      </c>
      <c r="L210" s="2" t="s">
        <v>2216</v>
      </c>
      <c r="M210" s="2">
        <v>85103</v>
      </c>
      <c r="N210" s="2" t="s">
        <v>2286</v>
      </c>
    </row>
    <row r="211" spans="2:14" x14ac:dyDescent="0.3">
      <c r="B211" s="2" t="s">
        <v>435</v>
      </c>
      <c r="C211" s="2">
        <v>91005</v>
      </c>
      <c r="D211" s="2">
        <v>1150</v>
      </c>
      <c r="L211" s="2" t="s">
        <v>2218</v>
      </c>
      <c r="M211" s="2">
        <v>81601</v>
      </c>
      <c r="N211" s="2" t="s">
        <v>2289</v>
      </c>
    </row>
    <row r="212" spans="2:14" x14ac:dyDescent="0.3">
      <c r="B212" s="2" t="s">
        <v>444</v>
      </c>
      <c r="C212" s="2">
        <v>91006</v>
      </c>
      <c r="D212" s="2">
        <v>1160</v>
      </c>
      <c r="L212" s="2" t="s">
        <v>2220</v>
      </c>
      <c r="M212" s="2">
        <v>83401</v>
      </c>
      <c r="N212" s="2" t="s">
        <v>2290</v>
      </c>
    </row>
    <row r="213" spans="2:14" x14ac:dyDescent="0.3">
      <c r="B213" s="2" t="s">
        <v>436</v>
      </c>
      <c r="C213" s="2">
        <v>91101</v>
      </c>
      <c r="D213" s="2">
        <v>1210</v>
      </c>
      <c r="L213" s="2" t="s">
        <v>2222</v>
      </c>
      <c r="M213" s="2">
        <v>85201</v>
      </c>
      <c r="N213" s="2" t="s">
        <v>2291</v>
      </c>
    </row>
    <row r="214" spans="2:14" x14ac:dyDescent="0.3">
      <c r="B214" s="2" t="s">
        <v>445</v>
      </c>
      <c r="C214" s="2">
        <v>91102</v>
      </c>
      <c r="D214" s="2">
        <v>1220</v>
      </c>
      <c r="L214" s="2" t="s">
        <v>2224</v>
      </c>
      <c r="M214" s="2">
        <v>81602</v>
      </c>
      <c r="N214" s="2" t="s">
        <v>2289</v>
      </c>
    </row>
    <row r="215" spans="2:14" x14ac:dyDescent="0.3">
      <c r="B215" s="2" t="s">
        <v>437</v>
      </c>
      <c r="C215" s="2">
        <v>91103</v>
      </c>
      <c r="D215" s="2">
        <v>1230</v>
      </c>
      <c r="L215" s="2" t="s">
        <v>2226</v>
      </c>
      <c r="M215" s="2">
        <v>83402</v>
      </c>
      <c r="N215" s="2" t="s">
        <v>2290</v>
      </c>
    </row>
    <row r="216" spans="2:14" x14ac:dyDescent="0.3">
      <c r="B216" s="2" t="s">
        <v>446</v>
      </c>
      <c r="C216" s="2">
        <v>91104</v>
      </c>
      <c r="D216" s="2">
        <v>1240</v>
      </c>
      <c r="L216" s="2" t="s">
        <v>2229</v>
      </c>
      <c r="M216" s="2">
        <v>85202</v>
      </c>
      <c r="N216" s="2" t="s">
        <v>2291</v>
      </c>
    </row>
    <row r="217" spans="2:14" x14ac:dyDescent="0.3">
      <c r="B217" s="2" t="s">
        <v>438</v>
      </c>
      <c r="C217" s="2">
        <v>91105</v>
      </c>
      <c r="D217" s="2">
        <v>1250</v>
      </c>
      <c r="L217" s="2" t="s">
        <v>2232</v>
      </c>
      <c r="M217" s="2">
        <v>81603</v>
      </c>
      <c r="N217" s="2" t="s">
        <v>2289</v>
      </c>
    </row>
    <row r="218" spans="2:14" x14ac:dyDescent="0.3">
      <c r="B218" s="2" t="s">
        <v>447</v>
      </c>
      <c r="C218" s="2">
        <v>91106</v>
      </c>
      <c r="D218" s="2">
        <v>1260</v>
      </c>
      <c r="L218" s="2" t="s">
        <v>2235</v>
      </c>
      <c r="M218" s="2">
        <v>83403</v>
      </c>
      <c r="N218" s="2" t="s">
        <v>2290</v>
      </c>
    </row>
    <row r="219" spans="2:14" x14ac:dyDescent="0.3">
      <c r="B219" s="2" t="s">
        <v>439</v>
      </c>
      <c r="C219" s="2">
        <v>91201</v>
      </c>
      <c r="D219" s="2">
        <v>1310</v>
      </c>
      <c r="L219" s="2" t="s">
        <v>2237</v>
      </c>
      <c r="M219" s="2">
        <v>85203</v>
      </c>
      <c r="N219" s="2" t="s">
        <v>2291</v>
      </c>
    </row>
    <row r="220" spans="2:14" x14ac:dyDescent="0.3">
      <c r="B220" s="2" t="s">
        <v>448</v>
      </c>
      <c r="C220" s="2">
        <v>91202</v>
      </c>
      <c r="D220" s="2">
        <v>1320</v>
      </c>
      <c r="L220" s="2" t="s">
        <v>2239</v>
      </c>
      <c r="M220" s="2">
        <v>81701</v>
      </c>
      <c r="N220" s="2" t="s">
        <v>2292</v>
      </c>
    </row>
    <row r="221" spans="2:14" x14ac:dyDescent="0.3">
      <c r="B221" s="2" t="s">
        <v>440</v>
      </c>
      <c r="C221" s="2">
        <v>91203</v>
      </c>
      <c r="D221" s="2">
        <v>1330</v>
      </c>
      <c r="L221" s="2" t="s">
        <v>2241</v>
      </c>
      <c r="M221" s="2">
        <v>83501</v>
      </c>
      <c r="N221" s="2" t="s">
        <v>2293</v>
      </c>
    </row>
    <row r="222" spans="2:14" x14ac:dyDescent="0.3">
      <c r="B222" s="2" t="s">
        <v>449</v>
      </c>
      <c r="C222" s="2">
        <v>91204</v>
      </c>
      <c r="D222" s="2">
        <v>1340</v>
      </c>
      <c r="L222" s="2" t="s">
        <v>2243</v>
      </c>
      <c r="M222" s="2">
        <v>85301</v>
      </c>
      <c r="N222" s="2" t="s">
        <v>2294</v>
      </c>
    </row>
    <row r="223" spans="2:14" x14ac:dyDescent="0.3">
      <c r="B223" s="2" t="s">
        <v>441</v>
      </c>
      <c r="C223" s="2">
        <v>91205</v>
      </c>
      <c r="D223" s="2">
        <v>1350</v>
      </c>
      <c r="L223" s="2" t="s">
        <v>2245</v>
      </c>
      <c r="M223" s="2">
        <v>81702</v>
      </c>
      <c r="N223" s="2" t="s">
        <v>2292</v>
      </c>
    </row>
    <row r="224" spans="2:14" x14ac:dyDescent="0.3">
      <c r="B224" s="2" t="s">
        <v>450</v>
      </c>
      <c r="C224" s="2">
        <v>91206</v>
      </c>
      <c r="D224" s="2">
        <v>1360</v>
      </c>
      <c r="L224" s="2" t="s">
        <v>2247</v>
      </c>
      <c r="M224" s="2">
        <v>83502</v>
      </c>
      <c r="N224" s="2" t="s">
        <v>2293</v>
      </c>
    </row>
    <row r="225" spans="2:14" x14ac:dyDescent="0.3">
      <c r="B225" s="2" t="s">
        <v>452</v>
      </c>
      <c r="C225" s="2">
        <v>92001</v>
      </c>
      <c r="D225" s="2">
        <v>2110</v>
      </c>
      <c r="L225" s="2" t="s">
        <v>2250</v>
      </c>
      <c r="M225" s="2">
        <v>85302</v>
      </c>
      <c r="N225" s="2" t="s">
        <v>2294</v>
      </c>
    </row>
    <row r="226" spans="2:14" x14ac:dyDescent="0.3">
      <c r="B226" s="2" t="s">
        <v>461</v>
      </c>
      <c r="C226" s="2">
        <v>92002</v>
      </c>
      <c r="D226" s="2">
        <v>2120</v>
      </c>
      <c r="L226" s="2" t="s">
        <v>2253</v>
      </c>
      <c r="M226" s="2">
        <v>81703</v>
      </c>
      <c r="N226" s="2" t="s">
        <v>2292</v>
      </c>
    </row>
    <row r="227" spans="2:14" x14ac:dyDescent="0.3">
      <c r="B227" s="2" t="s">
        <v>453</v>
      </c>
      <c r="C227" s="2">
        <v>92003</v>
      </c>
      <c r="D227" s="2">
        <v>2130</v>
      </c>
      <c r="L227" s="2" t="s">
        <v>2256</v>
      </c>
      <c r="M227" s="2">
        <v>83503</v>
      </c>
      <c r="N227" s="2" t="s">
        <v>2293</v>
      </c>
    </row>
    <row r="228" spans="2:14" x14ac:dyDescent="0.3">
      <c r="B228" s="2" t="s">
        <v>462</v>
      </c>
      <c r="C228" s="2">
        <v>92004</v>
      </c>
      <c r="D228" s="2">
        <v>2140</v>
      </c>
      <c r="L228" s="2" t="s">
        <v>2258</v>
      </c>
      <c r="M228" s="2">
        <v>85303</v>
      </c>
      <c r="N228" s="2" t="s">
        <v>2294</v>
      </c>
    </row>
    <row r="229" spans="2:14" x14ac:dyDescent="0.3">
      <c r="B229" s="2" t="s">
        <v>454</v>
      </c>
      <c r="C229" s="2">
        <v>92005</v>
      </c>
      <c r="D229" s="2">
        <v>2150</v>
      </c>
      <c r="L229" s="2" t="s">
        <v>2260</v>
      </c>
      <c r="M229" s="2">
        <v>81801</v>
      </c>
      <c r="N229" s="2" t="s">
        <v>2295</v>
      </c>
    </row>
    <row r="230" spans="2:14" x14ac:dyDescent="0.3">
      <c r="B230" s="2" t="s">
        <v>463</v>
      </c>
      <c r="C230" s="2">
        <v>92006</v>
      </c>
      <c r="D230" s="2">
        <v>2160</v>
      </c>
      <c r="L230" s="2" t="s">
        <v>2262</v>
      </c>
      <c r="M230" s="2">
        <v>83601</v>
      </c>
      <c r="N230" s="2" t="s">
        <v>2296</v>
      </c>
    </row>
    <row r="231" spans="2:14" x14ac:dyDescent="0.3">
      <c r="B231" s="2" t="s">
        <v>455</v>
      </c>
      <c r="C231" s="2">
        <v>92101</v>
      </c>
      <c r="D231" s="2">
        <v>2210</v>
      </c>
      <c r="L231" s="2" t="s">
        <v>2264</v>
      </c>
      <c r="M231" s="2">
        <v>85401</v>
      </c>
      <c r="N231" s="2" t="s">
        <v>2297</v>
      </c>
    </row>
    <row r="232" spans="2:14" x14ac:dyDescent="0.3">
      <c r="B232" s="2" t="s">
        <v>464</v>
      </c>
      <c r="C232" s="2">
        <v>92102</v>
      </c>
      <c r="D232" s="2">
        <v>2220</v>
      </c>
      <c r="L232" s="2" t="s">
        <v>2266</v>
      </c>
      <c r="M232" s="2">
        <v>81802</v>
      </c>
      <c r="N232" s="2" t="s">
        <v>2295</v>
      </c>
    </row>
    <row r="233" spans="2:14" x14ac:dyDescent="0.3">
      <c r="B233" s="2" t="s">
        <v>456</v>
      </c>
      <c r="C233" s="2">
        <v>92103</v>
      </c>
      <c r="D233" s="2">
        <v>2230</v>
      </c>
      <c r="L233" s="2" t="s">
        <v>2268</v>
      </c>
      <c r="M233" s="2">
        <v>83602</v>
      </c>
      <c r="N233" s="2" t="s">
        <v>2296</v>
      </c>
    </row>
    <row r="234" spans="2:14" x14ac:dyDescent="0.3">
      <c r="B234" s="2" t="s">
        <v>465</v>
      </c>
      <c r="C234" s="2">
        <v>92104</v>
      </c>
      <c r="D234" s="2">
        <v>2240</v>
      </c>
      <c r="L234" s="2" t="s">
        <v>2271</v>
      </c>
      <c r="M234" s="2">
        <v>85402</v>
      </c>
      <c r="N234" s="2" t="s">
        <v>2297</v>
      </c>
    </row>
    <row r="235" spans="2:14" x14ac:dyDescent="0.3">
      <c r="B235" s="2" t="s">
        <v>457</v>
      </c>
      <c r="C235" s="2">
        <v>92105</v>
      </c>
      <c r="D235" s="2">
        <v>2250</v>
      </c>
      <c r="L235" s="2" t="s">
        <v>2274</v>
      </c>
      <c r="M235" s="2">
        <v>81803</v>
      </c>
      <c r="N235" s="2" t="s">
        <v>2295</v>
      </c>
    </row>
    <row r="236" spans="2:14" x14ac:dyDescent="0.3">
      <c r="B236" s="2" t="s">
        <v>466</v>
      </c>
      <c r="C236" s="2">
        <v>92106</v>
      </c>
      <c r="D236" s="2">
        <v>2260</v>
      </c>
      <c r="L236" s="2" t="s">
        <v>2277</v>
      </c>
      <c r="M236" s="2">
        <v>83603</v>
      </c>
      <c r="N236" s="2" t="s">
        <v>2296</v>
      </c>
    </row>
    <row r="237" spans="2:14" x14ac:dyDescent="0.3">
      <c r="B237" s="2" t="s">
        <v>458</v>
      </c>
      <c r="C237" s="2">
        <v>92201</v>
      </c>
      <c r="D237" s="2">
        <v>2310</v>
      </c>
      <c r="L237" s="2" t="s">
        <v>2279</v>
      </c>
      <c r="M237" s="2">
        <v>85403</v>
      </c>
      <c r="N237" s="2" t="s">
        <v>2297</v>
      </c>
    </row>
    <row r="238" spans="2:14" x14ac:dyDescent="0.3">
      <c r="B238" s="2" t="s">
        <v>467</v>
      </c>
      <c r="C238" s="2">
        <v>92202</v>
      </c>
      <c r="D238" s="2">
        <v>2320</v>
      </c>
    </row>
    <row r="239" spans="2:14" x14ac:dyDescent="0.3">
      <c r="B239" s="2" t="s">
        <v>459</v>
      </c>
      <c r="C239" s="2">
        <v>92203</v>
      </c>
      <c r="D239" s="2">
        <v>2330</v>
      </c>
      <c r="L239" s="2" t="s">
        <v>2287</v>
      </c>
      <c r="M239" s="2" t="s">
        <v>48</v>
      </c>
      <c r="N239" s="2" t="s">
        <v>1848</v>
      </c>
    </row>
    <row r="240" spans="2:14" x14ac:dyDescent="0.3">
      <c r="B240" s="2" t="s">
        <v>468</v>
      </c>
      <c r="C240" s="2">
        <v>92204</v>
      </c>
      <c r="D240" s="2">
        <v>2340</v>
      </c>
      <c r="L240" s="2" t="s">
        <v>433</v>
      </c>
      <c r="M240" s="2">
        <v>91001</v>
      </c>
      <c r="N240" s="2" t="s">
        <v>2298</v>
      </c>
    </row>
    <row r="241" spans="2:14" x14ac:dyDescent="0.3">
      <c r="B241" s="2" t="s">
        <v>460</v>
      </c>
      <c r="C241" s="2">
        <v>92205</v>
      </c>
      <c r="D241" s="2">
        <v>2350</v>
      </c>
      <c r="L241" s="2" t="s">
        <v>442</v>
      </c>
      <c r="M241" s="2">
        <v>91002</v>
      </c>
      <c r="N241" s="2" t="s">
        <v>2299</v>
      </c>
    </row>
    <row r="242" spans="2:14" x14ac:dyDescent="0.3">
      <c r="B242" s="2" t="s">
        <v>469</v>
      </c>
      <c r="C242" s="2">
        <v>92206</v>
      </c>
      <c r="D242" s="2">
        <v>2360</v>
      </c>
      <c r="L242" s="2" t="s">
        <v>434</v>
      </c>
      <c r="M242" s="2">
        <v>91003</v>
      </c>
      <c r="N242" s="2" t="s">
        <v>2300</v>
      </c>
    </row>
    <row r="243" spans="2:14" x14ac:dyDescent="0.3">
      <c r="B243" s="2" t="s">
        <v>471</v>
      </c>
      <c r="C243" s="2">
        <v>93001</v>
      </c>
      <c r="D243" s="2">
        <v>3110</v>
      </c>
      <c r="L243" s="2" t="s">
        <v>443</v>
      </c>
      <c r="M243" s="2">
        <v>91004</v>
      </c>
      <c r="N243" s="2" t="s">
        <v>2301</v>
      </c>
    </row>
    <row r="244" spans="2:14" x14ac:dyDescent="0.3">
      <c r="B244" s="2" t="s">
        <v>480</v>
      </c>
      <c r="C244" s="2">
        <v>93002</v>
      </c>
      <c r="D244" s="2">
        <v>3120</v>
      </c>
      <c r="L244" s="2" t="s">
        <v>435</v>
      </c>
      <c r="M244" s="2">
        <v>91005</v>
      </c>
      <c r="N244" s="2" t="s">
        <v>2302</v>
      </c>
    </row>
    <row r="245" spans="2:14" x14ac:dyDescent="0.3">
      <c r="B245" s="2" t="s">
        <v>472</v>
      </c>
      <c r="C245" s="2">
        <v>93003</v>
      </c>
      <c r="D245" s="2">
        <v>3130</v>
      </c>
      <c r="L245" s="2" t="s">
        <v>444</v>
      </c>
      <c r="M245" s="2">
        <v>91006</v>
      </c>
      <c r="N245" s="2" t="s">
        <v>2303</v>
      </c>
    </row>
    <row r="246" spans="2:14" x14ac:dyDescent="0.3">
      <c r="B246" s="2" t="s">
        <v>481</v>
      </c>
      <c r="C246" s="2">
        <v>93004</v>
      </c>
      <c r="D246" s="2">
        <v>3140</v>
      </c>
      <c r="L246" s="2" t="s">
        <v>436</v>
      </c>
      <c r="M246" s="2">
        <v>91101</v>
      </c>
      <c r="N246" s="2" t="s">
        <v>2304</v>
      </c>
    </row>
    <row r="247" spans="2:14" x14ac:dyDescent="0.3">
      <c r="B247" s="2" t="s">
        <v>473</v>
      </c>
      <c r="C247" s="2">
        <v>93005</v>
      </c>
      <c r="D247" s="2">
        <v>3150</v>
      </c>
      <c r="L247" s="2" t="s">
        <v>445</v>
      </c>
      <c r="M247" s="2">
        <v>91102</v>
      </c>
      <c r="N247" s="2" t="s">
        <v>2305</v>
      </c>
    </row>
    <row r="248" spans="2:14" x14ac:dyDescent="0.3">
      <c r="B248" s="2" t="s">
        <v>482</v>
      </c>
      <c r="C248" s="2">
        <v>93006</v>
      </c>
      <c r="D248" s="2">
        <v>3160</v>
      </c>
      <c r="L248" s="2" t="s">
        <v>437</v>
      </c>
      <c r="M248" s="2">
        <v>91103</v>
      </c>
      <c r="N248" s="2" t="s">
        <v>2306</v>
      </c>
    </row>
    <row r="249" spans="2:14" x14ac:dyDescent="0.3">
      <c r="B249" s="2" t="s">
        <v>474</v>
      </c>
      <c r="C249" s="2">
        <v>93101</v>
      </c>
      <c r="D249" s="2">
        <v>3210</v>
      </c>
      <c r="L249" s="2" t="s">
        <v>446</v>
      </c>
      <c r="M249" s="2">
        <v>91104</v>
      </c>
      <c r="N249" s="2" t="s">
        <v>2307</v>
      </c>
    </row>
    <row r="250" spans="2:14" x14ac:dyDescent="0.3">
      <c r="B250" s="2" t="s">
        <v>483</v>
      </c>
      <c r="C250" s="2">
        <v>93102</v>
      </c>
      <c r="D250" s="2">
        <v>3220</v>
      </c>
      <c r="L250" s="2" t="s">
        <v>438</v>
      </c>
      <c r="M250" s="2">
        <v>91105</v>
      </c>
      <c r="N250" s="2" t="s">
        <v>2308</v>
      </c>
    </row>
    <row r="251" spans="2:14" x14ac:dyDescent="0.3">
      <c r="B251" s="2" t="s">
        <v>475</v>
      </c>
      <c r="C251" s="2">
        <v>93103</v>
      </c>
      <c r="D251" s="2">
        <v>3230</v>
      </c>
      <c r="L251" s="2" t="s">
        <v>447</v>
      </c>
      <c r="M251" s="2">
        <v>91106</v>
      </c>
      <c r="N251" s="2" t="s">
        <v>2309</v>
      </c>
    </row>
    <row r="252" spans="2:14" x14ac:dyDescent="0.3">
      <c r="B252" s="2" t="s">
        <v>484</v>
      </c>
      <c r="C252" s="2">
        <v>93104</v>
      </c>
      <c r="D252" s="2">
        <v>3240</v>
      </c>
      <c r="L252" s="2" t="s">
        <v>439</v>
      </c>
      <c r="M252" s="2">
        <v>91201</v>
      </c>
      <c r="N252" s="2" t="s">
        <v>2310</v>
      </c>
    </row>
    <row r="253" spans="2:14" x14ac:dyDescent="0.3">
      <c r="B253" s="2" t="s">
        <v>476</v>
      </c>
      <c r="C253" s="2">
        <v>93105</v>
      </c>
      <c r="D253" s="2">
        <v>3250</v>
      </c>
      <c r="L253" s="2" t="s">
        <v>448</v>
      </c>
      <c r="M253" s="2">
        <v>91202</v>
      </c>
      <c r="N253" s="2" t="s">
        <v>2311</v>
      </c>
    </row>
    <row r="254" spans="2:14" x14ac:dyDescent="0.3">
      <c r="B254" s="2" t="s">
        <v>485</v>
      </c>
      <c r="C254" s="2">
        <v>93106</v>
      </c>
      <c r="D254" s="2">
        <v>3260</v>
      </c>
      <c r="L254" s="2" t="s">
        <v>440</v>
      </c>
      <c r="M254" s="2">
        <v>91203</v>
      </c>
      <c r="N254" s="2" t="s">
        <v>2312</v>
      </c>
    </row>
    <row r="255" spans="2:14" x14ac:dyDescent="0.3">
      <c r="B255" s="2" t="s">
        <v>477</v>
      </c>
      <c r="C255" s="2">
        <v>93201</v>
      </c>
      <c r="D255" s="2">
        <v>3310</v>
      </c>
      <c r="L255" s="2" t="s">
        <v>449</v>
      </c>
      <c r="M255" s="2">
        <v>91204</v>
      </c>
      <c r="N255" s="2" t="s">
        <v>2313</v>
      </c>
    </row>
    <row r="256" spans="2:14" x14ac:dyDescent="0.3">
      <c r="B256" s="2" t="s">
        <v>486</v>
      </c>
      <c r="C256" s="2">
        <v>93202</v>
      </c>
      <c r="D256" s="2">
        <v>3320</v>
      </c>
      <c r="L256" s="2" t="s">
        <v>441</v>
      </c>
      <c r="M256" s="2">
        <v>91205</v>
      </c>
      <c r="N256" s="2" t="s">
        <v>2314</v>
      </c>
    </row>
    <row r="257" spans="2:14" x14ac:dyDescent="0.3">
      <c r="B257" s="2" t="s">
        <v>478</v>
      </c>
      <c r="C257" s="2">
        <v>93203</v>
      </c>
      <c r="D257" s="2">
        <v>3330</v>
      </c>
      <c r="L257" s="2" t="s">
        <v>450</v>
      </c>
      <c r="M257" s="2">
        <v>91206</v>
      </c>
      <c r="N257" s="2" t="s">
        <v>2315</v>
      </c>
    </row>
    <row r="258" spans="2:14" x14ac:dyDescent="0.3">
      <c r="B258" s="2" t="s">
        <v>487</v>
      </c>
      <c r="C258" s="2">
        <v>93204</v>
      </c>
      <c r="D258" s="2">
        <v>3340</v>
      </c>
      <c r="L258" s="2" t="s">
        <v>452</v>
      </c>
      <c r="M258" s="2">
        <v>92001</v>
      </c>
      <c r="N258" s="2" t="s">
        <v>2316</v>
      </c>
    </row>
    <row r="259" spans="2:14" x14ac:dyDescent="0.3">
      <c r="B259" s="2" t="s">
        <v>479</v>
      </c>
      <c r="C259" s="2">
        <v>93205</v>
      </c>
      <c r="D259" s="2">
        <v>3350</v>
      </c>
      <c r="L259" s="2" t="s">
        <v>461</v>
      </c>
      <c r="M259" s="2">
        <v>92002</v>
      </c>
      <c r="N259" s="2" t="s">
        <v>2317</v>
      </c>
    </row>
    <row r="260" spans="2:14" x14ac:dyDescent="0.3">
      <c r="B260" s="2" t="s">
        <v>488</v>
      </c>
      <c r="C260" s="2">
        <v>93206</v>
      </c>
      <c r="D260" s="2">
        <v>3360</v>
      </c>
      <c r="L260" s="2" t="s">
        <v>453</v>
      </c>
      <c r="M260" s="2">
        <v>92003</v>
      </c>
      <c r="N260" s="2" t="s">
        <v>2318</v>
      </c>
    </row>
    <row r="261" spans="2:14" x14ac:dyDescent="0.3">
      <c r="B261" s="2" t="s">
        <v>2319</v>
      </c>
      <c r="C261" s="2">
        <v>94001</v>
      </c>
      <c r="D261" s="2">
        <v>4110</v>
      </c>
      <c r="L261" s="2" t="s">
        <v>462</v>
      </c>
      <c r="M261" s="2">
        <v>92004</v>
      </c>
      <c r="N261" s="2" t="s">
        <v>2320</v>
      </c>
    </row>
    <row r="262" spans="2:14" x14ac:dyDescent="0.3">
      <c r="B262" s="2" t="s">
        <v>2321</v>
      </c>
      <c r="C262" s="2">
        <v>94002</v>
      </c>
      <c r="D262" s="2">
        <v>4120</v>
      </c>
      <c r="L262" s="2" t="s">
        <v>454</v>
      </c>
      <c r="M262" s="2">
        <v>92005</v>
      </c>
      <c r="N262" s="2" t="s">
        <v>2322</v>
      </c>
    </row>
    <row r="263" spans="2:14" x14ac:dyDescent="0.3">
      <c r="B263" s="2" t="s">
        <v>2323</v>
      </c>
      <c r="C263" s="2">
        <v>94003</v>
      </c>
      <c r="D263" s="2">
        <v>4130</v>
      </c>
      <c r="L263" s="2" t="s">
        <v>463</v>
      </c>
      <c r="M263" s="2">
        <v>92006</v>
      </c>
      <c r="N263" s="2" t="s">
        <v>2324</v>
      </c>
    </row>
    <row r="264" spans="2:14" x14ac:dyDescent="0.3">
      <c r="B264" s="2" t="s">
        <v>2325</v>
      </c>
      <c r="C264" s="2">
        <v>94004</v>
      </c>
      <c r="D264" s="2">
        <v>4140</v>
      </c>
      <c r="L264" s="2" t="s">
        <v>455</v>
      </c>
      <c r="M264" s="2">
        <v>92101</v>
      </c>
      <c r="N264" s="2" t="s">
        <v>2326</v>
      </c>
    </row>
    <row r="265" spans="2:14" x14ac:dyDescent="0.3">
      <c r="B265" s="2" t="s">
        <v>2327</v>
      </c>
      <c r="C265" s="2">
        <v>94005</v>
      </c>
      <c r="D265" s="2">
        <v>4150</v>
      </c>
      <c r="L265" s="2" t="s">
        <v>464</v>
      </c>
      <c r="M265" s="2">
        <v>92102</v>
      </c>
      <c r="N265" s="2" t="s">
        <v>2328</v>
      </c>
    </row>
    <row r="266" spans="2:14" x14ac:dyDescent="0.3">
      <c r="B266" s="2" t="s">
        <v>2329</v>
      </c>
      <c r="C266" s="2">
        <v>94006</v>
      </c>
      <c r="D266" s="2">
        <v>4160</v>
      </c>
      <c r="L266" s="2" t="s">
        <v>456</v>
      </c>
      <c r="M266" s="2">
        <v>92103</v>
      </c>
      <c r="N266" s="2" t="s">
        <v>2330</v>
      </c>
    </row>
    <row r="267" spans="2:14" x14ac:dyDescent="0.3">
      <c r="B267" s="2" t="s">
        <v>2331</v>
      </c>
      <c r="C267" s="2">
        <v>94101</v>
      </c>
      <c r="D267" s="2">
        <v>4210</v>
      </c>
      <c r="L267" s="2" t="s">
        <v>465</v>
      </c>
      <c r="M267" s="2">
        <v>92104</v>
      </c>
      <c r="N267" s="2" t="s">
        <v>2332</v>
      </c>
    </row>
    <row r="268" spans="2:14" x14ac:dyDescent="0.3">
      <c r="B268" s="2" t="s">
        <v>2333</v>
      </c>
      <c r="C268" s="2">
        <v>94102</v>
      </c>
      <c r="D268" s="2">
        <v>4220</v>
      </c>
      <c r="L268" s="2" t="s">
        <v>457</v>
      </c>
      <c r="M268" s="2">
        <v>92105</v>
      </c>
      <c r="N268" s="2" t="s">
        <v>2334</v>
      </c>
    </row>
    <row r="269" spans="2:14" x14ac:dyDescent="0.3">
      <c r="B269" s="2" t="s">
        <v>2335</v>
      </c>
      <c r="C269" s="2">
        <v>94103</v>
      </c>
      <c r="D269" s="2">
        <v>4230</v>
      </c>
      <c r="L269" s="2" t="s">
        <v>466</v>
      </c>
      <c r="M269" s="2">
        <v>92106</v>
      </c>
      <c r="N269" s="2" t="s">
        <v>2336</v>
      </c>
    </row>
    <row r="270" spans="2:14" x14ac:dyDescent="0.3">
      <c r="B270" s="2" t="s">
        <v>2337</v>
      </c>
      <c r="C270" s="2">
        <v>94104</v>
      </c>
      <c r="D270" s="2">
        <v>4240</v>
      </c>
      <c r="L270" s="2" t="s">
        <v>458</v>
      </c>
      <c r="M270" s="2">
        <v>92201</v>
      </c>
      <c r="N270" s="2" t="s">
        <v>2338</v>
      </c>
    </row>
    <row r="271" spans="2:14" x14ac:dyDescent="0.3">
      <c r="B271" s="2" t="s">
        <v>2339</v>
      </c>
      <c r="C271" s="2">
        <v>94105</v>
      </c>
      <c r="D271" s="2">
        <v>4250</v>
      </c>
      <c r="L271" s="2" t="s">
        <v>467</v>
      </c>
      <c r="M271" s="2">
        <v>92202</v>
      </c>
      <c r="N271" s="2" t="s">
        <v>2340</v>
      </c>
    </row>
    <row r="272" spans="2:14" x14ac:dyDescent="0.3">
      <c r="B272" s="2" t="s">
        <v>2341</v>
      </c>
      <c r="C272" s="2">
        <v>94106</v>
      </c>
      <c r="D272" s="2">
        <v>4260</v>
      </c>
      <c r="L272" s="2" t="s">
        <v>459</v>
      </c>
      <c r="M272" s="2">
        <v>92203</v>
      </c>
      <c r="N272" s="2" t="s">
        <v>2342</v>
      </c>
    </row>
    <row r="273" spans="2:14" x14ac:dyDescent="0.3">
      <c r="B273" s="2" t="s">
        <v>2343</v>
      </c>
      <c r="C273" s="2">
        <v>94201</v>
      </c>
      <c r="D273" s="2">
        <v>4310</v>
      </c>
      <c r="L273" s="2" t="s">
        <v>468</v>
      </c>
      <c r="M273" s="2">
        <v>92204</v>
      </c>
      <c r="N273" s="2" t="s">
        <v>2344</v>
      </c>
    </row>
    <row r="274" spans="2:14" x14ac:dyDescent="0.3">
      <c r="B274" s="2" t="s">
        <v>2345</v>
      </c>
      <c r="C274" s="2">
        <v>94202</v>
      </c>
      <c r="D274" s="2">
        <v>4320</v>
      </c>
      <c r="L274" s="2" t="s">
        <v>460</v>
      </c>
      <c r="M274" s="2">
        <v>92205</v>
      </c>
      <c r="N274" s="2" t="s">
        <v>2346</v>
      </c>
    </row>
    <row r="275" spans="2:14" x14ac:dyDescent="0.3">
      <c r="B275" s="2" t="s">
        <v>2347</v>
      </c>
      <c r="C275" s="2">
        <v>94203</v>
      </c>
      <c r="D275" s="2">
        <v>4330</v>
      </c>
      <c r="L275" s="2" t="s">
        <v>469</v>
      </c>
      <c r="M275" s="2">
        <v>92206</v>
      </c>
      <c r="N275" s="2" t="s">
        <v>2348</v>
      </c>
    </row>
    <row r="276" spans="2:14" x14ac:dyDescent="0.3">
      <c r="B276" s="2" t="s">
        <v>2349</v>
      </c>
      <c r="C276" s="2">
        <v>94204</v>
      </c>
      <c r="D276" s="2">
        <v>4340</v>
      </c>
      <c r="L276" s="2" t="s">
        <v>471</v>
      </c>
      <c r="M276" s="2">
        <v>93001</v>
      </c>
      <c r="N276" s="2" t="s">
        <v>2350</v>
      </c>
    </row>
    <row r="277" spans="2:14" x14ac:dyDescent="0.3">
      <c r="B277" s="2" t="s">
        <v>2351</v>
      </c>
      <c r="C277" s="2">
        <v>94205</v>
      </c>
      <c r="D277" s="2">
        <v>4350</v>
      </c>
      <c r="L277" s="2" t="s">
        <v>480</v>
      </c>
      <c r="M277" s="2">
        <v>93002</v>
      </c>
      <c r="N277" s="2" t="s">
        <v>2352</v>
      </c>
    </row>
    <row r="278" spans="2:14" x14ac:dyDescent="0.3">
      <c r="B278" s="2" t="s">
        <v>2353</v>
      </c>
      <c r="C278" s="2">
        <v>94206</v>
      </c>
      <c r="D278" s="2">
        <v>4360</v>
      </c>
      <c r="L278" s="2" t="s">
        <v>472</v>
      </c>
      <c r="M278" s="2">
        <v>93003</v>
      </c>
      <c r="N278" s="2" t="s">
        <v>2354</v>
      </c>
    </row>
    <row r="279" spans="2:14" x14ac:dyDescent="0.3">
      <c r="B279" s="2" t="s">
        <v>2355</v>
      </c>
      <c r="C279" s="2">
        <v>95001</v>
      </c>
      <c r="D279" s="2">
        <v>5110</v>
      </c>
      <c r="L279" s="2" t="s">
        <v>481</v>
      </c>
      <c r="M279" s="2">
        <v>93004</v>
      </c>
      <c r="N279" s="2" t="s">
        <v>2356</v>
      </c>
    </row>
    <row r="280" spans="2:14" x14ac:dyDescent="0.3">
      <c r="B280" s="2" t="s">
        <v>2357</v>
      </c>
      <c r="C280" s="2">
        <v>95002</v>
      </c>
      <c r="D280" s="2">
        <v>5120</v>
      </c>
      <c r="L280" s="2" t="s">
        <v>473</v>
      </c>
      <c r="M280" s="2">
        <v>93005</v>
      </c>
      <c r="N280" s="2" t="s">
        <v>2358</v>
      </c>
    </row>
    <row r="281" spans="2:14" x14ac:dyDescent="0.3">
      <c r="B281" s="2" t="s">
        <v>2359</v>
      </c>
      <c r="C281" s="2">
        <v>95003</v>
      </c>
      <c r="D281" s="2">
        <v>5130</v>
      </c>
      <c r="L281" s="2" t="s">
        <v>482</v>
      </c>
      <c r="M281" s="2">
        <v>93006</v>
      </c>
      <c r="N281" s="2" t="s">
        <v>2360</v>
      </c>
    </row>
    <row r="282" spans="2:14" x14ac:dyDescent="0.3">
      <c r="B282" s="2" t="s">
        <v>2361</v>
      </c>
      <c r="C282" s="2">
        <v>95004</v>
      </c>
      <c r="D282" s="2">
        <v>5140</v>
      </c>
      <c r="L282" s="2" t="s">
        <v>474</v>
      </c>
      <c r="M282" s="2">
        <v>93101</v>
      </c>
      <c r="N282" s="2" t="s">
        <v>2362</v>
      </c>
    </row>
    <row r="283" spans="2:14" x14ac:dyDescent="0.3">
      <c r="B283" s="2" t="s">
        <v>2363</v>
      </c>
      <c r="C283" s="2">
        <v>95005</v>
      </c>
      <c r="D283" s="2">
        <v>5150</v>
      </c>
      <c r="L283" s="2" t="s">
        <v>483</v>
      </c>
      <c r="M283" s="2">
        <v>93102</v>
      </c>
      <c r="N283" s="2" t="s">
        <v>2364</v>
      </c>
    </row>
    <row r="284" spans="2:14" x14ac:dyDescent="0.3">
      <c r="B284" s="2" t="s">
        <v>2365</v>
      </c>
      <c r="C284" s="2">
        <v>95006</v>
      </c>
      <c r="D284" s="2">
        <v>5160</v>
      </c>
      <c r="L284" s="2" t="s">
        <v>475</v>
      </c>
      <c r="M284" s="2">
        <v>93103</v>
      </c>
      <c r="N284" s="2" t="s">
        <v>2366</v>
      </c>
    </row>
    <row r="285" spans="2:14" x14ac:dyDescent="0.3">
      <c r="B285" s="2" t="s">
        <v>2367</v>
      </c>
      <c r="C285" s="2">
        <v>95101</v>
      </c>
      <c r="D285" s="2">
        <v>5210</v>
      </c>
      <c r="L285" s="2" t="s">
        <v>484</v>
      </c>
      <c r="M285" s="2">
        <v>93104</v>
      </c>
      <c r="N285" s="2" t="s">
        <v>2368</v>
      </c>
    </row>
    <row r="286" spans="2:14" x14ac:dyDescent="0.3">
      <c r="B286" s="2" t="s">
        <v>2369</v>
      </c>
      <c r="C286" s="2">
        <v>95102</v>
      </c>
      <c r="D286" s="2">
        <v>5220</v>
      </c>
      <c r="L286" s="2" t="s">
        <v>476</v>
      </c>
      <c r="M286" s="2">
        <v>93105</v>
      </c>
      <c r="N286" s="2" t="s">
        <v>2370</v>
      </c>
    </row>
    <row r="287" spans="2:14" x14ac:dyDescent="0.3">
      <c r="B287" s="2" t="s">
        <v>2371</v>
      </c>
      <c r="C287" s="2">
        <v>95103</v>
      </c>
      <c r="D287" s="2">
        <v>5230</v>
      </c>
      <c r="L287" s="2" t="s">
        <v>485</v>
      </c>
      <c r="M287" s="2">
        <v>93106</v>
      </c>
      <c r="N287" s="2" t="s">
        <v>2372</v>
      </c>
    </row>
    <row r="288" spans="2:14" x14ac:dyDescent="0.3">
      <c r="B288" s="2" t="s">
        <v>2373</v>
      </c>
      <c r="C288" s="2">
        <v>95104</v>
      </c>
      <c r="D288" s="2">
        <v>5240</v>
      </c>
      <c r="L288" s="2" t="s">
        <v>477</v>
      </c>
      <c r="M288" s="2">
        <v>93201</v>
      </c>
      <c r="N288" s="2" t="s">
        <v>2374</v>
      </c>
    </row>
    <row r="289" spans="2:14" x14ac:dyDescent="0.3">
      <c r="B289" s="2" t="s">
        <v>2375</v>
      </c>
      <c r="C289" s="2">
        <v>95105</v>
      </c>
      <c r="D289" s="2">
        <v>5250</v>
      </c>
      <c r="L289" s="2" t="s">
        <v>486</v>
      </c>
      <c r="M289" s="2">
        <v>93202</v>
      </c>
      <c r="N289" s="2" t="s">
        <v>2376</v>
      </c>
    </row>
    <row r="290" spans="2:14" x14ac:dyDescent="0.3">
      <c r="B290" s="2" t="s">
        <v>2377</v>
      </c>
      <c r="C290" s="2">
        <v>95106</v>
      </c>
      <c r="D290" s="2">
        <v>5260</v>
      </c>
      <c r="L290" s="2" t="s">
        <v>478</v>
      </c>
      <c r="M290" s="2">
        <v>93203</v>
      </c>
      <c r="N290" s="2" t="s">
        <v>2378</v>
      </c>
    </row>
    <row r="291" spans="2:14" x14ac:dyDescent="0.3">
      <c r="B291" s="2" t="s">
        <v>2379</v>
      </c>
      <c r="C291" s="2">
        <v>95201</v>
      </c>
      <c r="D291" s="2">
        <v>5310</v>
      </c>
      <c r="L291" s="2" t="s">
        <v>487</v>
      </c>
      <c r="M291" s="2">
        <v>93204</v>
      </c>
      <c r="N291" s="2" t="s">
        <v>2380</v>
      </c>
    </row>
    <row r="292" spans="2:14" x14ac:dyDescent="0.3">
      <c r="B292" s="2" t="s">
        <v>2381</v>
      </c>
      <c r="C292" s="2">
        <v>95202</v>
      </c>
      <c r="D292" s="2">
        <v>5320</v>
      </c>
      <c r="L292" s="2" t="s">
        <v>479</v>
      </c>
      <c r="M292" s="2">
        <v>93205</v>
      </c>
      <c r="N292" s="2" t="s">
        <v>2382</v>
      </c>
    </row>
    <row r="293" spans="2:14" x14ac:dyDescent="0.3">
      <c r="B293" s="2" t="s">
        <v>2383</v>
      </c>
      <c r="C293" s="2">
        <v>95203</v>
      </c>
      <c r="D293" s="2">
        <v>5330</v>
      </c>
      <c r="L293" s="2" t="s">
        <v>488</v>
      </c>
      <c r="M293" s="2">
        <v>93206</v>
      </c>
      <c r="N293" s="2" t="s">
        <v>2384</v>
      </c>
    </row>
    <row r="294" spans="2:14" x14ac:dyDescent="0.3">
      <c r="B294" s="2" t="s">
        <v>2385</v>
      </c>
      <c r="C294" s="2">
        <v>95204</v>
      </c>
      <c r="D294" s="2">
        <v>5340</v>
      </c>
      <c r="L294" s="2" t="s">
        <v>2319</v>
      </c>
      <c r="M294" s="2">
        <v>94001</v>
      </c>
      <c r="N294" s="2" t="s">
        <v>2386</v>
      </c>
    </row>
    <row r="295" spans="2:14" x14ac:dyDescent="0.3">
      <c r="B295" s="2" t="s">
        <v>2387</v>
      </c>
      <c r="C295" s="2">
        <v>95205</v>
      </c>
      <c r="D295" s="2">
        <v>5350</v>
      </c>
      <c r="L295" s="2" t="s">
        <v>2321</v>
      </c>
      <c r="M295" s="2">
        <v>94002</v>
      </c>
      <c r="N295" s="2" t="s">
        <v>2388</v>
      </c>
    </row>
    <row r="296" spans="2:14" x14ac:dyDescent="0.3">
      <c r="B296" s="2" t="s">
        <v>2389</v>
      </c>
      <c r="C296" s="2">
        <v>95206</v>
      </c>
      <c r="D296" s="2">
        <v>5360</v>
      </c>
      <c r="L296" s="2" t="s">
        <v>2323</v>
      </c>
      <c r="M296" s="2">
        <v>94003</v>
      </c>
      <c r="N296" s="2" t="s">
        <v>2390</v>
      </c>
    </row>
    <row r="297" spans="2:14" x14ac:dyDescent="0.3">
      <c r="L297" s="2" t="s">
        <v>2325</v>
      </c>
      <c r="M297" s="2">
        <v>94004</v>
      </c>
      <c r="N297" s="2" t="s">
        <v>2391</v>
      </c>
    </row>
    <row r="298" spans="2:14" x14ac:dyDescent="0.3">
      <c r="L298" s="2" t="s">
        <v>2327</v>
      </c>
      <c r="M298" s="2">
        <v>94005</v>
      </c>
      <c r="N298" s="2" t="s">
        <v>2392</v>
      </c>
    </row>
    <row r="299" spans="2:14" x14ac:dyDescent="0.3">
      <c r="B299" s="2" t="s">
        <v>2393</v>
      </c>
      <c r="C299" s="2" t="s">
        <v>2394</v>
      </c>
      <c r="L299" s="2" t="s">
        <v>2329</v>
      </c>
      <c r="M299" s="2">
        <v>94006</v>
      </c>
      <c r="N299" s="2" t="s">
        <v>2395</v>
      </c>
    </row>
    <row r="300" spans="2:14" x14ac:dyDescent="0.3">
      <c r="B300" s="2" t="s">
        <v>2396</v>
      </c>
      <c r="C300" s="2">
        <v>23000</v>
      </c>
      <c r="L300" s="2" t="s">
        <v>2331</v>
      </c>
      <c r="M300" s="2">
        <v>94101</v>
      </c>
      <c r="N300" s="2" t="s">
        <v>2397</v>
      </c>
    </row>
    <row r="301" spans="2:14" x14ac:dyDescent="0.3">
      <c r="B301" s="2" t="s">
        <v>2398</v>
      </c>
      <c r="C301" s="2">
        <v>23001</v>
      </c>
      <c r="L301" s="2" t="s">
        <v>2333</v>
      </c>
      <c r="M301" s="2">
        <v>94102</v>
      </c>
      <c r="N301" s="2" t="s">
        <v>2399</v>
      </c>
    </row>
    <row r="302" spans="2:14" x14ac:dyDescent="0.3">
      <c r="B302" s="2" t="s">
        <v>523</v>
      </c>
      <c r="C302" s="2">
        <v>23002</v>
      </c>
      <c r="L302" s="2" t="s">
        <v>2335</v>
      </c>
      <c r="M302" s="2">
        <v>94103</v>
      </c>
      <c r="N302" s="2" t="s">
        <v>2400</v>
      </c>
    </row>
    <row r="303" spans="2:14" x14ac:dyDescent="0.3">
      <c r="B303" s="2" t="s">
        <v>525</v>
      </c>
      <c r="C303" s="2">
        <v>23003</v>
      </c>
      <c r="L303" s="2" t="s">
        <v>2337</v>
      </c>
      <c r="M303" s="2">
        <v>94104</v>
      </c>
      <c r="N303" s="2" t="s">
        <v>2401</v>
      </c>
    </row>
    <row r="304" spans="2:14" x14ac:dyDescent="0.3">
      <c r="B304" s="2" t="s">
        <v>2402</v>
      </c>
      <c r="C304" s="2">
        <v>23004</v>
      </c>
      <c r="L304" s="2" t="s">
        <v>2339</v>
      </c>
      <c r="M304" s="2">
        <v>94105</v>
      </c>
      <c r="N304" s="2" t="s">
        <v>2403</v>
      </c>
    </row>
    <row r="305" spans="2:14" x14ac:dyDescent="0.3">
      <c r="B305" s="2" t="s">
        <v>533</v>
      </c>
      <c r="C305" s="2">
        <v>23005</v>
      </c>
      <c r="L305" s="2" t="s">
        <v>2341</v>
      </c>
      <c r="M305" s="2">
        <v>94106</v>
      </c>
      <c r="N305" s="2" t="s">
        <v>2404</v>
      </c>
    </row>
    <row r="306" spans="2:14" x14ac:dyDescent="0.3">
      <c r="B306" s="2" t="s">
        <v>541</v>
      </c>
      <c r="C306" s="2">
        <v>23006</v>
      </c>
      <c r="L306" s="2" t="s">
        <v>2343</v>
      </c>
      <c r="M306" s="2">
        <v>94201</v>
      </c>
      <c r="N306" s="2" t="s">
        <v>2405</v>
      </c>
    </row>
    <row r="307" spans="2:14" x14ac:dyDescent="0.3">
      <c r="B307" s="2" t="s">
        <v>2406</v>
      </c>
      <c r="C307" s="2">
        <v>23007</v>
      </c>
      <c r="L307" s="2" t="s">
        <v>2345</v>
      </c>
      <c r="M307" s="2">
        <v>94202</v>
      </c>
      <c r="N307" s="2" t="s">
        <v>2407</v>
      </c>
    </row>
    <row r="308" spans="2:14" x14ac:dyDescent="0.3">
      <c r="B308" s="2" t="s">
        <v>2408</v>
      </c>
      <c r="C308" s="2">
        <v>23008</v>
      </c>
      <c r="L308" s="2" t="s">
        <v>2347</v>
      </c>
      <c r="M308" s="2">
        <v>94203</v>
      </c>
      <c r="N308" s="2" t="s">
        <v>2409</v>
      </c>
    </row>
    <row r="309" spans="2:14" x14ac:dyDescent="0.3">
      <c r="B309" s="2" t="s">
        <v>2410</v>
      </c>
      <c r="C309" s="2">
        <v>23009</v>
      </c>
      <c r="L309" s="2" t="s">
        <v>2349</v>
      </c>
      <c r="M309" s="2">
        <v>94204</v>
      </c>
      <c r="N309" s="2" t="s">
        <v>2411</v>
      </c>
    </row>
    <row r="310" spans="2:14" x14ac:dyDescent="0.3">
      <c r="B310" s="2" t="s">
        <v>2412</v>
      </c>
      <c r="C310" s="2">
        <v>23010</v>
      </c>
      <c r="L310" s="2" t="s">
        <v>2351</v>
      </c>
      <c r="M310" s="2">
        <v>94205</v>
      </c>
      <c r="N310" s="2" t="s">
        <v>2413</v>
      </c>
    </row>
    <row r="311" spans="2:14" x14ac:dyDescent="0.3">
      <c r="B311" s="2" t="s">
        <v>2414</v>
      </c>
      <c r="C311" s="2">
        <v>24001</v>
      </c>
      <c r="L311" s="2" t="s">
        <v>2353</v>
      </c>
      <c r="M311" s="2">
        <v>94206</v>
      </c>
      <c r="N311" s="2" t="s">
        <v>2415</v>
      </c>
    </row>
    <row r="312" spans="2:14" x14ac:dyDescent="0.3">
      <c r="B312" s="2" t="s">
        <v>521</v>
      </c>
      <c r="C312" s="2">
        <v>24002</v>
      </c>
      <c r="L312" s="2" t="s">
        <v>2355</v>
      </c>
      <c r="M312" s="2">
        <v>95001</v>
      </c>
      <c r="N312" s="2" t="s">
        <v>2386</v>
      </c>
    </row>
    <row r="313" spans="2:14" x14ac:dyDescent="0.3">
      <c r="B313" s="2" t="s">
        <v>2416</v>
      </c>
      <c r="C313" s="2">
        <v>24003</v>
      </c>
      <c r="L313" s="2" t="s">
        <v>2357</v>
      </c>
      <c r="M313" s="2">
        <v>95002</v>
      </c>
      <c r="N313" s="2" t="s">
        <v>2388</v>
      </c>
    </row>
    <row r="314" spans="2:14" x14ac:dyDescent="0.3">
      <c r="B314" s="2" t="s">
        <v>529</v>
      </c>
      <c r="C314" s="2">
        <v>24004</v>
      </c>
      <c r="L314" s="2" t="s">
        <v>2359</v>
      </c>
      <c r="M314" s="2">
        <v>95003</v>
      </c>
      <c r="N314" s="2" t="s">
        <v>2390</v>
      </c>
    </row>
    <row r="315" spans="2:14" x14ac:dyDescent="0.3">
      <c r="B315" s="2" t="s">
        <v>2417</v>
      </c>
      <c r="C315" s="2">
        <v>24005</v>
      </c>
      <c r="L315" s="2" t="s">
        <v>2361</v>
      </c>
      <c r="M315" s="2">
        <v>95004</v>
      </c>
      <c r="N315" s="2" t="s">
        <v>2391</v>
      </c>
    </row>
    <row r="316" spans="2:14" x14ac:dyDescent="0.3">
      <c r="B316" s="2" t="s">
        <v>537</v>
      </c>
      <c r="C316" s="2">
        <v>24006</v>
      </c>
      <c r="L316" s="2" t="s">
        <v>2363</v>
      </c>
      <c r="M316" s="2">
        <v>95005</v>
      </c>
      <c r="N316" s="2" t="s">
        <v>2392</v>
      </c>
    </row>
    <row r="317" spans="2:14" x14ac:dyDescent="0.3">
      <c r="B317" s="2" t="s">
        <v>542</v>
      </c>
      <c r="C317" s="2">
        <v>24007</v>
      </c>
      <c r="L317" s="2" t="s">
        <v>2365</v>
      </c>
      <c r="M317" s="2">
        <v>95006</v>
      </c>
      <c r="N317" s="2" t="s">
        <v>2395</v>
      </c>
    </row>
    <row r="318" spans="2:14" x14ac:dyDescent="0.3">
      <c r="B318" s="2" t="s">
        <v>2418</v>
      </c>
      <c r="C318" s="2">
        <v>24008</v>
      </c>
      <c r="L318" s="2" t="s">
        <v>2367</v>
      </c>
      <c r="M318" s="2">
        <v>95101</v>
      </c>
      <c r="N318" s="2" t="s">
        <v>2397</v>
      </c>
    </row>
    <row r="319" spans="2:14" x14ac:dyDescent="0.3">
      <c r="B319" s="2" t="s">
        <v>2419</v>
      </c>
      <c r="C319" s="2">
        <v>24009</v>
      </c>
      <c r="L319" s="2" t="s">
        <v>2369</v>
      </c>
      <c r="M319" s="2">
        <v>95102</v>
      </c>
      <c r="N319" s="2" t="s">
        <v>2399</v>
      </c>
    </row>
    <row r="320" spans="2:14" x14ac:dyDescent="0.3">
      <c r="B320" s="2" t="s">
        <v>2420</v>
      </c>
      <c r="C320" s="2">
        <v>24010</v>
      </c>
      <c r="L320" s="2" t="s">
        <v>2371</v>
      </c>
      <c r="M320" s="2">
        <v>95103</v>
      </c>
      <c r="N320" s="2" t="s">
        <v>2400</v>
      </c>
    </row>
    <row r="321" spans="2:14" x14ac:dyDescent="0.3">
      <c r="B321" s="2" t="s">
        <v>2421</v>
      </c>
      <c r="C321" s="2">
        <v>23101</v>
      </c>
      <c r="L321" s="2" t="s">
        <v>2373</v>
      </c>
      <c r="M321" s="2">
        <v>95104</v>
      </c>
      <c r="N321" s="2" t="s">
        <v>2401</v>
      </c>
    </row>
    <row r="322" spans="2:14" x14ac:dyDescent="0.3">
      <c r="B322" s="2" t="s">
        <v>2422</v>
      </c>
      <c r="C322" s="2">
        <v>23102</v>
      </c>
      <c r="L322" s="2" t="s">
        <v>2375</v>
      </c>
      <c r="M322" s="2">
        <v>95105</v>
      </c>
      <c r="N322" s="2" t="s">
        <v>2403</v>
      </c>
    </row>
    <row r="323" spans="2:14" x14ac:dyDescent="0.3">
      <c r="B323" s="2" t="s">
        <v>2423</v>
      </c>
      <c r="C323" s="2">
        <v>23103</v>
      </c>
      <c r="L323" s="2" t="s">
        <v>2377</v>
      </c>
      <c r="M323" s="2">
        <v>95106</v>
      </c>
      <c r="N323" s="2" t="s">
        <v>2404</v>
      </c>
    </row>
    <row r="324" spans="2:14" x14ac:dyDescent="0.3">
      <c r="B324" s="2" t="s">
        <v>2424</v>
      </c>
      <c r="C324" s="2">
        <v>23104</v>
      </c>
      <c r="L324" s="2" t="s">
        <v>2379</v>
      </c>
      <c r="M324" s="2">
        <v>95201</v>
      </c>
      <c r="N324" s="2" t="s">
        <v>2405</v>
      </c>
    </row>
    <row r="325" spans="2:14" x14ac:dyDescent="0.3">
      <c r="B325" s="2" t="s">
        <v>2425</v>
      </c>
      <c r="C325" s="2">
        <v>23105</v>
      </c>
      <c r="L325" s="2" t="s">
        <v>2381</v>
      </c>
      <c r="M325" s="2">
        <v>95202</v>
      </c>
      <c r="N325" s="2" t="s">
        <v>2407</v>
      </c>
    </row>
    <row r="326" spans="2:14" x14ac:dyDescent="0.3">
      <c r="B326" s="2" t="s">
        <v>2426</v>
      </c>
      <c r="C326" s="2">
        <v>23106</v>
      </c>
      <c r="L326" s="2" t="s">
        <v>2383</v>
      </c>
      <c r="M326" s="2">
        <v>95203</v>
      </c>
      <c r="N326" s="2" t="s">
        <v>2409</v>
      </c>
    </row>
    <row r="327" spans="2:14" x14ac:dyDescent="0.3">
      <c r="B327" s="2" t="s">
        <v>2427</v>
      </c>
      <c r="C327" s="2">
        <v>23107</v>
      </c>
      <c r="L327" s="2" t="s">
        <v>2385</v>
      </c>
      <c r="M327" s="2">
        <v>95204</v>
      </c>
      <c r="N327" s="2" t="s">
        <v>2411</v>
      </c>
    </row>
    <row r="328" spans="2:14" x14ac:dyDescent="0.3">
      <c r="B328" s="2" t="s">
        <v>2428</v>
      </c>
      <c r="C328" s="2">
        <v>23108</v>
      </c>
      <c r="L328" s="2" t="s">
        <v>2387</v>
      </c>
      <c r="M328" s="2">
        <v>95205</v>
      </c>
      <c r="N328" s="2" t="s">
        <v>2413</v>
      </c>
    </row>
    <row r="329" spans="2:14" x14ac:dyDescent="0.3">
      <c r="B329" s="2" t="s">
        <v>2429</v>
      </c>
      <c r="C329" s="2">
        <v>23109</v>
      </c>
      <c r="L329" s="2" t="s">
        <v>2389</v>
      </c>
      <c r="M329" s="2">
        <v>95206</v>
      </c>
      <c r="N329" s="2" t="s">
        <v>2415</v>
      </c>
    </row>
    <row r="330" spans="2:14" x14ac:dyDescent="0.3">
      <c r="B330" s="2" t="s">
        <v>2430</v>
      </c>
      <c r="C330" s="2">
        <v>23110</v>
      </c>
    </row>
    <row r="331" spans="2:14" x14ac:dyDescent="0.3">
      <c r="B331" s="2" t="s">
        <v>2431</v>
      </c>
      <c r="C331" s="2">
        <v>24101</v>
      </c>
      <c r="L331" s="2" t="s">
        <v>2393</v>
      </c>
      <c r="M331" s="2" t="s">
        <v>2394</v>
      </c>
      <c r="N331" s="2" t="s">
        <v>1848</v>
      </c>
    </row>
    <row r="332" spans="2:14" x14ac:dyDescent="0.3">
      <c r="B332" s="2" t="s">
        <v>2432</v>
      </c>
      <c r="C332" s="2">
        <v>24102</v>
      </c>
      <c r="L332" s="2" t="s">
        <v>2396</v>
      </c>
      <c r="M332" s="2">
        <v>23000</v>
      </c>
      <c r="N332" s="2" t="s">
        <v>2433</v>
      </c>
    </row>
    <row r="333" spans="2:14" x14ac:dyDescent="0.3">
      <c r="B333" s="2" t="s">
        <v>2434</v>
      </c>
      <c r="C333" s="2">
        <v>24103</v>
      </c>
      <c r="L333" s="2" t="s">
        <v>2398</v>
      </c>
      <c r="M333" s="2">
        <v>23001</v>
      </c>
      <c r="N333" s="2" t="s">
        <v>2433</v>
      </c>
    </row>
    <row r="334" spans="2:14" x14ac:dyDescent="0.3">
      <c r="B334" s="2" t="s">
        <v>2435</v>
      </c>
      <c r="C334" s="2">
        <v>24104</v>
      </c>
      <c r="L334" s="2" t="s">
        <v>523</v>
      </c>
      <c r="M334" s="2">
        <v>23002</v>
      </c>
      <c r="N334" s="2" t="s">
        <v>2433</v>
      </c>
    </row>
    <row r="335" spans="2:14" x14ac:dyDescent="0.3">
      <c r="B335" s="2" t="s">
        <v>2436</v>
      </c>
      <c r="C335" s="2">
        <v>24105</v>
      </c>
      <c r="L335" s="2" t="s">
        <v>525</v>
      </c>
      <c r="M335" s="2">
        <v>23003</v>
      </c>
      <c r="N335" s="2" t="s">
        <v>2433</v>
      </c>
    </row>
    <row r="336" spans="2:14" x14ac:dyDescent="0.3">
      <c r="B336" s="2" t="s">
        <v>2437</v>
      </c>
      <c r="C336" s="2">
        <v>24106</v>
      </c>
      <c r="L336" s="2" t="s">
        <v>2402</v>
      </c>
      <c r="M336" s="2">
        <v>23004</v>
      </c>
      <c r="N336" s="2" t="s">
        <v>2433</v>
      </c>
    </row>
    <row r="337" spans="2:14" x14ac:dyDescent="0.3">
      <c r="B337" s="2" t="s">
        <v>2438</v>
      </c>
      <c r="C337" s="2">
        <v>24107</v>
      </c>
      <c r="L337" s="2" t="s">
        <v>533</v>
      </c>
      <c r="M337" s="2">
        <v>23005</v>
      </c>
      <c r="N337" s="2" t="s">
        <v>2433</v>
      </c>
    </row>
    <row r="338" spans="2:14" x14ac:dyDescent="0.3">
      <c r="B338" s="2" t="s">
        <v>2439</v>
      </c>
      <c r="C338" s="2">
        <v>24108</v>
      </c>
      <c r="L338" s="2" t="s">
        <v>541</v>
      </c>
      <c r="M338" s="2">
        <v>23006</v>
      </c>
      <c r="N338" s="2" t="s">
        <v>2433</v>
      </c>
    </row>
    <row r="339" spans="2:14" x14ac:dyDescent="0.3">
      <c r="B339" s="2" t="s">
        <v>2440</v>
      </c>
      <c r="C339" s="2">
        <v>24109</v>
      </c>
      <c r="L339" s="2" t="s">
        <v>2406</v>
      </c>
      <c r="M339" s="2">
        <v>23007</v>
      </c>
      <c r="N339" s="2" t="s">
        <v>2433</v>
      </c>
    </row>
    <row r="340" spans="2:14" x14ac:dyDescent="0.3">
      <c r="B340" s="2" t="s">
        <v>2441</v>
      </c>
      <c r="C340" s="2">
        <v>24110</v>
      </c>
      <c r="L340" s="2" t="s">
        <v>2408</v>
      </c>
      <c r="M340" s="2">
        <v>23008</v>
      </c>
      <c r="N340" s="2" t="s">
        <v>2433</v>
      </c>
    </row>
    <row r="341" spans="2:14" x14ac:dyDescent="0.3">
      <c r="B341" s="2" t="s">
        <v>2442</v>
      </c>
      <c r="C341" s="2">
        <v>25001</v>
      </c>
      <c r="L341" s="2" t="s">
        <v>2410</v>
      </c>
      <c r="M341" s="2">
        <v>23009</v>
      </c>
      <c r="N341" s="2" t="s">
        <v>2433</v>
      </c>
    </row>
    <row r="342" spans="2:14" x14ac:dyDescent="0.3">
      <c r="B342" s="2" t="s">
        <v>2443</v>
      </c>
      <c r="C342" s="2">
        <v>25002</v>
      </c>
      <c r="L342" s="2" t="s">
        <v>2412</v>
      </c>
      <c r="M342" s="2">
        <v>23010</v>
      </c>
      <c r="N342" s="2" t="s">
        <v>2433</v>
      </c>
    </row>
    <row r="343" spans="2:14" x14ac:dyDescent="0.3">
      <c r="B343" s="2" t="s">
        <v>2444</v>
      </c>
      <c r="C343" s="2">
        <v>25003</v>
      </c>
      <c r="L343" s="2" t="s">
        <v>2414</v>
      </c>
      <c r="M343" s="2">
        <v>24001</v>
      </c>
      <c r="N343" s="2" t="s">
        <v>2445</v>
      </c>
    </row>
    <row r="344" spans="2:14" x14ac:dyDescent="0.3">
      <c r="B344" s="2" t="s">
        <v>2446</v>
      </c>
      <c r="C344" s="2">
        <v>25004</v>
      </c>
      <c r="L344" s="2" t="s">
        <v>521</v>
      </c>
      <c r="M344" s="2">
        <v>24002</v>
      </c>
      <c r="N344" s="2" t="s">
        <v>2445</v>
      </c>
    </row>
    <row r="345" spans="2:14" x14ac:dyDescent="0.3">
      <c r="B345" s="2" t="s">
        <v>2447</v>
      </c>
      <c r="C345" s="2">
        <v>25005</v>
      </c>
      <c r="L345" s="2" t="s">
        <v>2416</v>
      </c>
      <c r="M345" s="2">
        <v>24003</v>
      </c>
      <c r="N345" s="2" t="s">
        <v>2445</v>
      </c>
    </row>
    <row r="346" spans="2:14" x14ac:dyDescent="0.3">
      <c r="B346" s="2" t="s">
        <v>2448</v>
      </c>
      <c r="C346" s="2">
        <v>25006</v>
      </c>
      <c r="L346" s="2" t="s">
        <v>529</v>
      </c>
      <c r="M346" s="2">
        <v>24004</v>
      </c>
      <c r="N346" s="2" t="s">
        <v>2445</v>
      </c>
    </row>
    <row r="347" spans="2:14" x14ac:dyDescent="0.3">
      <c r="B347" s="2" t="s">
        <v>2449</v>
      </c>
      <c r="C347" s="2">
        <v>25007</v>
      </c>
      <c r="L347" s="2" t="s">
        <v>2417</v>
      </c>
      <c r="M347" s="2">
        <v>24005</v>
      </c>
      <c r="N347" s="2" t="s">
        <v>2445</v>
      </c>
    </row>
    <row r="348" spans="2:14" x14ac:dyDescent="0.3">
      <c r="B348" s="2" t="s">
        <v>2450</v>
      </c>
      <c r="C348" s="2">
        <v>25008</v>
      </c>
      <c r="L348" s="2" t="s">
        <v>537</v>
      </c>
      <c r="M348" s="2">
        <v>24006</v>
      </c>
      <c r="N348" s="2" t="s">
        <v>2445</v>
      </c>
    </row>
    <row r="349" spans="2:14" x14ac:dyDescent="0.3">
      <c r="B349" s="2" t="s">
        <v>2451</v>
      </c>
      <c r="C349" s="2">
        <v>25009</v>
      </c>
      <c r="L349" s="2" t="s">
        <v>542</v>
      </c>
      <c r="M349" s="2">
        <v>24007</v>
      </c>
      <c r="N349" s="2" t="s">
        <v>2445</v>
      </c>
    </row>
    <row r="350" spans="2:14" x14ac:dyDescent="0.3">
      <c r="B350" s="2" t="s">
        <v>2452</v>
      </c>
      <c r="C350" s="2">
        <v>25010</v>
      </c>
      <c r="L350" s="2" t="s">
        <v>2418</v>
      </c>
      <c r="M350" s="2">
        <v>24008</v>
      </c>
      <c r="N350" s="2" t="s">
        <v>2445</v>
      </c>
    </row>
    <row r="351" spans="2:14" x14ac:dyDescent="0.3">
      <c r="B351" s="2" t="s">
        <v>2453</v>
      </c>
      <c r="C351" s="2">
        <v>25051</v>
      </c>
      <c r="L351" s="2" t="s">
        <v>2419</v>
      </c>
      <c r="M351" s="2">
        <v>24009</v>
      </c>
      <c r="N351" s="2" t="s">
        <v>2445</v>
      </c>
    </row>
    <row r="352" spans="2:14" x14ac:dyDescent="0.3">
      <c r="B352" s="2" t="s">
        <v>2454</v>
      </c>
      <c r="C352" s="2">
        <v>25052</v>
      </c>
      <c r="L352" s="2" t="s">
        <v>2420</v>
      </c>
      <c r="M352" s="2">
        <v>24010</v>
      </c>
      <c r="N352" s="2" t="s">
        <v>2445</v>
      </c>
    </row>
    <row r="353" spans="2:14" x14ac:dyDescent="0.3">
      <c r="B353" s="2" t="s">
        <v>2455</v>
      </c>
      <c r="C353" s="2">
        <v>25053</v>
      </c>
      <c r="L353" s="2" t="s">
        <v>2421</v>
      </c>
      <c r="M353" s="2">
        <v>23101</v>
      </c>
      <c r="N353" s="2" t="s">
        <v>2456</v>
      </c>
    </row>
    <row r="354" spans="2:14" x14ac:dyDescent="0.3">
      <c r="B354" s="2" t="s">
        <v>2457</v>
      </c>
      <c r="C354" s="2">
        <v>25054</v>
      </c>
      <c r="L354" s="2" t="s">
        <v>2422</v>
      </c>
      <c r="M354" s="2">
        <v>23102</v>
      </c>
      <c r="N354" s="2" t="s">
        <v>2456</v>
      </c>
    </row>
    <row r="355" spans="2:14" x14ac:dyDescent="0.3">
      <c r="B355" s="2" t="s">
        <v>2458</v>
      </c>
      <c r="C355" s="2">
        <v>25055</v>
      </c>
      <c r="L355" s="2" t="s">
        <v>2423</v>
      </c>
      <c r="M355" s="2">
        <v>23103</v>
      </c>
      <c r="N355" s="2" t="s">
        <v>2456</v>
      </c>
    </row>
    <row r="356" spans="2:14" x14ac:dyDescent="0.3">
      <c r="B356" s="2" t="s">
        <v>2459</v>
      </c>
      <c r="C356" s="2">
        <v>25056</v>
      </c>
      <c r="L356" s="2" t="s">
        <v>2424</v>
      </c>
      <c r="M356" s="2">
        <v>23104</v>
      </c>
      <c r="N356" s="2" t="s">
        <v>2456</v>
      </c>
    </row>
    <row r="357" spans="2:14" x14ac:dyDescent="0.3">
      <c r="B357" s="2" t="s">
        <v>2460</v>
      </c>
      <c r="C357" s="2">
        <v>25057</v>
      </c>
      <c r="L357" s="2" t="s">
        <v>2425</v>
      </c>
      <c r="M357" s="2">
        <v>23105</v>
      </c>
      <c r="N357" s="2" t="s">
        <v>2456</v>
      </c>
    </row>
    <row r="358" spans="2:14" x14ac:dyDescent="0.3">
      <c r="B358" s="2" t="s">
        <v>2461</v>
      </c>
      <c r="C358" s="2">
        <v>25058</v>
      </c>
      <c r="L358" s="2" t="s">
        <v>2426</v>
      </c>
      <c r="M358" s="2">
        <v>23106</v>
      </c>
      <c r="N358" s="2" t="s">
        <v>2456</v>
      </c>
    </row>
    <row r="359" spans="2:14" x14ac:dyDescent="0.3">
      <c r="B359" s="2" t="s">
        <v>2462</v>
      </c>
      <c r="C359" s="2">
        <v>25059</v>
      </c>
      <c r="L359" s="2" t="s">
        <v>2427</v>
      </c>
      <c r="M359" s="2">
        <v>23107</v>
      </c>
      <c r="N359" s="2" t="s">
        <v>2456</v>
      </c>
    </row>
    <row r="360" spans="2:14" x14ac:dyDescent="0.3">
      <c r="B360" s="2" t="s">
        <v>2463</v>
      </c>
      <c r="C360" s="2">
        <v>25060</v>
      </c>
      <c r="L360" s="2" t="s">
        <v>2428</v>
      </c>
      <c r="M360" s="2">
        <v>23108</v>
      </c>
      <c r="N360" s="2" t="s">
        <v>2456</v>
      </c>
    </row>
    <row r="361" spans="2:14" x14ac:dyDescent="0.3">
      <c r="B361" s="2" t="s">
        <v>2464</v>
      </c>
      <c r="C361" s="2">
        <v>25101</v>
      </c>
      <c r="L361" s="2" t="s">
        <v>2429</v>
      </c>
      <c r="M361" s="2">
        <v>23109</v>
      </c>
      <c r="N361" s="2" t="s">
        <v>2456</v>
      </c>
    </row>
    <row r="362" spans="2:14" x14ac:dyDescent="0.3">
      <c r="B362" s="2" t="s">
        <v>2465</v>
      </c>
      <c r="C362" s="2">
        <v>25102</v>
      </c>
      <c r="L362" s="2" t="s">
        <v>2430</v>
      </c>
      <c r="M362" s="2">
        <v>23110</v>
      </c>
      <c r="N362" s="2" t="s">
        <v>2456</v>
      </c>
    </row>
    <row r="363" spans="2:14" x14ac:dyDescent="0.3">
      <c r="B363" s="2" t="s">
        <v>2466</v>
      </c>
      <c r="C363" s="2">
        <v>25103</v>
      </c>
      <c r="L363" s="2" t="s">
        <v>2431</v>
      </c>
      <c r="M363" s="2">
        <v>24101</v>
      </c>
      <c r="N363" s="2" t="s">
        <v>2467</v>
      </c>
    </row>
    <row r="364" spans="2:14" x14ac:dyDescent="0.3">
      <c r="B364" s="2" t="s">
        <v>2468</v>
      </c>
      <c r="C364" s="2">
        <v>25104</v>
      </c>
      <c r="L364" s="2" t="s">
        <v>2432</v>
      </c>
      <c r="M364" s="2">
        <v>24102</v>
      </c>
      <c r="N364" s="2" t="s">
        <v>2467</v>
      </c>
    </row>
    <row r="365" spans="2:14" x14ac:dyDescent="0.3">
      <c r="B365" s="2" t="s">
        <v>2469</v>
      </c>
      <c r="C365" s="2">
        <v>25105</v>
      </c>
      <c r="L365" s="2" t="s">
        <v>2434</v>
      </c>
      <c r="M365" s="2">
        <v>24103</v>
      </c>
      <c r="N365" s="2" t="s">
        <v>2467</v>
      </c>
    </row>
    <row r="366" spans="2:14" x14ac:dyDescent="0.3">
      <c r="B366" s="2" t="s">
        <v>2470</v>
      </c>
      <c r="C366" s="2">
        <v>25106</v>
      </c>
      <c r="L366" s="2" t="s">
        <v>2435</v>
      </c>
      <c r="M366" s="2">
        <v>24104</v>
      </c>
      <c r="N366" s="2" t="s">
        <v>2467</v>
      </c>
    </row>
    <row r="367" spans="2:14" x14ac:dyDescent="0.3">
      <c r="B367" s="2" t="s">
        <v>2471</v>
      </c>
      <c r="C367" s="2">
        <v>25107</v>
      </c>
      <c r="L367" s="2" t="s">
        <v>2436</v>
      </c>
      <c r="M367" s="2">
        <v>24105</v>
      </c>
      <c r="N367" s="2" t="s">
        <v>2467</v>
      </c>
    </row>
    <row r="368" spans="2:14" x14ac:dyDescent="0.3">
      <c r="B368" s="2" t="s">
        <v>2472</v>
      </c>
      <c r="C368" s="2">
        <v>25108</v>
      </c>
      <c r="L368" s="2" t="s">
        <v>2437</v>
      </c>
      <c r="M368" s="2">
        <v>24106</v>
      </c>
      <c r="N368" s="2" t="s">
        <v>2467</v>
      </c>
    </row>
    <row r="369" spans="2:14" x14ac:dyDescent="0.3">
      <c r="B369" s="2" t="s">
        <v>2473</v>
      </c>
      <c r="C369" s="2">
        <v>25109</v>
      </c>
      <c r="L369" s="2" t="s">
        <v>2438</v>
      </c>
      <c r="M369" s="2">
        <v>24107</v>
      </c>
      <c r="N369" s="2" t="s">
        <v>2467</v>
      </c>
    </row>
    <row r="370" spans="2:14" x14ac:dyDescent="0.3">
      <c r="B370" s="2" t="s">
        <v>2474</v>
      </c>
      <c r="C370" s="2">
        <v>25110</v>
      </c>
      <c r="L370" s="2" t="s">
        <v>2439</v>
      </c>
      <c r="M370" s="2">
        <v>24108</v>
      </c>
      <c r="N370" s="2" t="s">
        <v>2467</v>
      </c>
    </row>
    <row r="371" spans="2:14" x14ac:dyDescent="0.3">
      <c r="B371" s="2" t="s">
        <v>2475</v>
      </c>
      <c r="C371" s="2">
        <v>25151</v>
      </c>
      <c r="L371" s="2" t="s">
        <v>2440</v>
      </c>
      <c r="M371" s="2">
        <v>24109</v>
      </c>
      <c r="N371" s="2" t="s">
        <v>2467</v>
      </c>
    </row>
    <row r="372" spans="2:14" x14ac:dyDescent="0.3">
      <c r="B372" s="2" t="s">
        <v>522</v>
      </c>
      <c r="C372" s="2">
        <v>25152</v>
      </c>
      <c r="L372" s="2" t="s">
        <v>2441</v>
      </c>
      <c r="M372" s="2">
        <v>24110</v>
      </c>
      <c r="N372" s="2" t="s">
        <v>2467</v>
      </c>
    </row>
    <row r="373" spans="2:14" x14ac:dyDescent="0.3">
      <c r="B373" s="2" t="s">
        <v>2476</v>
      </c>
      <c r="C373" s="2">
        <v>25153</v>
      </c>
      <c r="L373" s="2" t="s">
        <v>2442</v>
      </c>
      <c r="M373" s="2">
        <v>25001</v>
      </c>
      <c r="N373" s="2" t="s">
        <v>2477</v>
      </c>
    </row>
    <row r="374" spans="2:14" x14ac:dyDescent="0.3">
      <c r="B374" s="2" t="s">
        <v>2478</v>
      </c>
      <c r="C374" s="2">
        <v>25154</v>
      </c>
      <c r="L374" s="2" t="s">
        <v>2443</v>
      </c>
      <c r="M374" s="2">
        <v>25002</v>
      </c>
      <c r="N374" s="2" t="s">
        <v>2477</v>
      </c>
    </row>
    <row r="375" spans="2:14" x14ac:dyDescent="0.3">
      <c r="B375" s="2" t="s">
        <v>2479</v>
      </c>
      <c r="C375" s="2">
        <v>25155</v>
      </c>
      <c r="L375" s="2" t="s">
        <v>2444</v>
      </c>
      <c r="M375" s="2">
        <v>25003</v>
      </c>
      <c r="N375" s="2" t="s">
        <v>2477</v>
      </c>
    </row>
    <row r="376" spans="2:14" x14ac:dyDescent="0.3">
      <c r="B376" s="2" t="s">
        <v>2480</v>
      </c>
      <c r="C376" s="2">
        <v>25156</v>
      </c>
      <c r="L376" s="2" t="s">
        <v>2446</v>
      </c>
      <c r="M376" s="2">
        <v>25004</v>
      </c>
      <c r="N376" s="2" t="s">
        <v>2477</v>
      </c>
    </row>
    <row r="377" spans="2:14" x14ac:dyDescent="0.3">
      <c r="B377" s="2" t="s">
        <v>2481</v>
      </c>
      <c r="C377" s="2">
        <v>25157</v>
      </c>
      <c r="L377" s="2" t="s">
        <v>2447</v>
      </c>
      <c r="M377" s="2">
        <v>25005</v>
      </c>
      <c r="N377" s="2" t="s">
        <v>2477</v>
      </c>
    </row>
    <row r="378" spans="2:14" x14ac:dyDescent="0.3">
      <c r="B378" s="2" t="s">
        <v>2482</v>
      </c>
      <c r="C378" s="2">
        <v>25158</v>
      </c>
      <c r="L378" s="2" t="s">
        <v>2448</v>
      </c>
      <c r="M378" s="2">
        <v>25006</v>
      </c>
      <c r="N378" s="2" t="s">
        <v>2477</v>
      </c>
    </row>
    <row r="379" spans="2:14" x14ac:dyDescent="0.3">
      <c r="B379" s="2" t="s">
        <v>2483</v>
      </c>
      <c r="C379" s="2">
        <v>25159</v>
      </c>
      <c r="L379" s="2" t="s">
        <v>2449</v>
      </c>
      <c r="M379" s="2">
        <v>25007</v>
      </c>
      <c r="N379" s="2" t="s">
        <v>2477</v>
      </c>
    </row>
    <row r="380" spans="2:14" x14ac:dyDescent="0.3">
      <c r="B380" s="2" t="s">
        <v>2484</v>
      </c>
      <c r="C380" s="2">
        <v>25160</v>
      </c>
      <c r="L380" s="2" t="s">
        <v>2450</v>
      </c>
      <c r="M380" s="2">
        <v>25008</v>
      </c>
      <c r="N380" s="2" t="s">
        <v>2477</v>
      </c>
    </row>
    <row r="381" spans="2:14" x14ac:dyDescent="0.3">
      <c r="B381" s="2" t="s">
        <v>2485</v>
      </c>
      <c r="C381" s="2">
        <v>25201</v>
      </c>
      <c r="L381" s="2" t="s">
        <v>2451</v>
      </c>
      <c r="M381" s="2">
        <v>25009</v>
      </c>
      <c r="N381" s="2" t="s">
        <v>2477</v>
      </c>
    </row>
    <row r="382" spans="2:14" x14ac:dyDescent="0.3">
      <c r="B382" s="2" t="s">
        <v>2486</v>
      </c>
      <c r="C382" s="2">
        <v>25202</v>
      </c>
      <c r="L382" s="2" t="s">
        <v>2452</v>
      </c>
      <c r="M382" s="2">
        <v>25010</v>
      </c>
      <c r="N382" s="2" t="s">
        <v>2477</v>
      </c>
    </row>
    <row r="383" spans="2:14" x14ac:dyDescent="0.3">
      <c r="B383" s="2" t="s">
        <v>2487</v>
      </c>
      <c r="C383" s="2">
        <v>25203</v>
      </c>
      <c r="L383" s="2" t="s">
        <v>2453</v>
      </c>
      <c r="M383" s="2">
        <v>25051</v>
      </c>
      <c r="N383" s="2" t="s">
        <v>2477</v>
      </c>
    </row>
    <row r="384" spans="2:14" x14ac:dyDescent="0.3">
      <c r="B384" s="2" t="s">
        <v>2488</v>
      </c>
      <c r="C384" s="2">
        <v>25204</v>
      </c>
      <c r="L384" s="2" t="s">
        <v>2454</v>
      </c>
      <c r="M384" s="2">
        <v>25052</v>
      </c>
      <c r="N384" s="2" t="s">
        <v>2477</v>
      </c>
    </row>
    <row r="385" spans="2:14" x14ac:dyDescent="0.3">
      <c r="B385" s="2" t="s">
        <v>2489</v>
      </c>
      <c r="C385" s="2">
        <v>25205</v>
      </c>
      <c r="L385" s="2" t="s">
        <v>2455</v>
      </c>
      <c r="M385" s="2">
        <v>25053</v>
      </c>
      <c r="N385" s="2" t="s">
        <v>2477</v>
      </c>
    </row>
    <row r="386" spans="2:14" x14ac:dyDescent="0.3">
      <c r="B386" s="2" t="s">
        <v>2490</v>
      </c>
      <c r="C386" s="2">
        <v>25206</v>
      </c>
      <c r="L386" s="2" t="s">
        <v>2457</v>
      </c>
      <c r="M386" s="2">
        <v>25054</v>
      </c>
      <c r="N386" s="2" t="s">
        <v>2477</v>
      </c>
    </row>
    <row r="387" spans="2:14" x14ac:dyDescent="0.3">
      <c r="B387" s="2" t="s">
        <v>2491</v>
      </c>
      <c r="C387" s="2">
        <v>25207</v>
      </c>
      <c r="L387" s="2" t="s">
        <v>2458</v>
      </c>
      <c r="M387" s="2">
        <v>25055</v>
      </c>
      <c r="N387" s="2" t="s">
        <v>2477</v>
      </c>
    </row>
    <row r="388" spans="2:14" x14ac:dyDescent="0.3">
      <c r="B388" s="2" t="s">
        <v>2492</v>
      </c>
      <c r="C388" s="2">
        <v>25208</v>
      </c>
      <c r="L388" s="2" t="s">
        <v>2459</v>
      </c>
      <c r="M388" s="2">
        <v>25056</v>
      </c>
      <c r="N388" s="2" t="s">
        <v>2477</v>
      </c>
    </row>
    <row r="389" spans="2:14" x14ac:dyDescent="0.3">
      <c r="B389" s="2" t="s">
        <v>2493</v>
      </c>
      <c r="C389" s="2">
        <v>25209</v>
      </c>
      <c r="L389" s="2" t="s">
        <v>2460</v>
      </c>
      <c r="M389" s="2">
        <v>25057</v>
      </c>
      <c r="N389" s="2" t="s">
        <v>2477</v>
      </c>
    </row>
    <row r="390" spans="2:14" x14ac:dyDescent="0.3">
      <c r="B390" s="2" t="s">
        <v>2494</v>
      </c>
      <c r="C390" s="2">
        <v>25210</v>
      </c>
      <c r="L390" s="2" t="s">
        <v>2461</v>
      </c>
      <c r="M390" s="2">
        <v>25058</v>
      </c>
      <c r="N390" s="2" t="s">
        <v>2477</v>
      </c>
    </row>
    <row r="391" spans="2:14" x14ac:dyDescent="0.3">
      <c r="B391" s="2" t="s">
        <v>2495</v>
      </c>
      <c r="C391" s="2">
        <v>25251</v>
      </c>
      <c r="L391" s="2" t="s">
        <v>2462</v>
      </c>
      <c r="M391" s="2">
        <v>25059</v>
      </c>
      <c r="N391" s="2" t="s">
        <v>2477</v>
      </c>
    </row>
    <row r="392" spans="2:14" x14ac:dyDescent="0.3">
      <c r="B392" s="2" t="s">
        <v>2496</v>
      </c>
      <c r="C392" s="2">
        <v>25252</v>
      </c>
      <c r="L392" s="2" t="s">
        <v>2463</v>
      </c>
      <c r="M392" s="2">
        <v>25060</v>
      </c>
      <c r="N392" s="2" t="s">
        <v>2477</v>
      </c>
    </row>
    <row r="393" spans="2:14" x14ac:dyDescent="0.3">
      <c r="B393" s="2" t="s">
        <v>2497</v>
      </c>
      <c r="C393" s="2">
        <v>25253</v>
      </c>
      <c r="L393" s="2" t="s">
        <v>2464</v>
      </c>
      <c r="M393" s="2">
        <v>25101</v>
      </c>
      <c r="N393" s="2" t="s">
        <v>2498</v>
      </c>
    </row>
    <row r="394" spans="2:14" x14ac:dyDescent="0.3">
      <c r="B394" s="2" t="s">
        <v>2499</v>
      </c>
      <c r="C394" s="2">
        <v>25254</v>
      </c>
      <c r="L394" s="2" t="s">
        <v>2465</v>
      </c>
      <c r="M394" s="2">
        <v>25102</v>
      </c>
      <c r="N394" s="2" t="s">
        <v>2498</v>
      </c>
    </row>
    <row r="395" spans="2:14" x14ac:dyDescent="0.3">
      <c r="B395" s="2" t="s">
        <v>2500</v>
      </c>
      <c r="C395" s="2">
        <v>25255</v>
      </c>
      <c r="L395" s="2" t="s">
        <v>2466</v>
      </c>
      <c r="M395" s="2">
        <v>25103</v>
      </c>
      <c r="N395" s="2" t="s">
        <v>2498</v>
      </c>
    </row>
    <row r="396" spans="2:14" x14ac:dyDescent="0.3">
      <c r="B396" s="2" t="s">
        <v>2501</v>
      </c>
      <c r="C396" s="2">
        <v>25256</v>
      </c>
      <c r="L396" s="2" t="s">
        <v>2468</v>
      </c>
      <c r="M396" s="2">
        <v>25104</v>
      </c>
      <c r="N396" s="2" t="s">
        <v>2498</v>
      </c>
    </row>
    <row r="397" spans="2:14" x14ac:dyDescent="0.3">
      <c r="B397" s="2" t="s">
        <v>2502</v>
      </c>
      <c r="C397" s="2">
        <v>25257</v>
      </c>
      <c r="L397" s="2" t="s">
        <v>2469</v>
      </c>
      <c r="M397" s="2">
        <v>25105</v>
      </c>
      <c r="N397" s="2" t="s">
        <v>2498</v>
      </c>
    </row>
    <row r="398" spans="2:14" x14ac:dyDescent="0.3">
      <c r="B398" s="2" t="s">
        <v>2503</v>
      </c>
      <c r="C398" s="2">
        <v>25258</v>
      </c>
      <c r="L398" s="2" t="s">
        <v>2470</v>
      </c>
      <c r="M398" s="2">
        <v>25106</v>
      </c>
      <c r="N398" s="2" t="s">
        <v>2498</v>
      </c>
    </row>
    <row r="399" spans="2:14" x14ac:dyDescent="0.3">
      <c r="B399" s="2" t="s">
        <v>2504</v>
      </c>
      <c r="C399" s="2">
        <v>25259</v>
      </c>
      <c r="L399" s="2" t="s">
        <v>2471</v>
      </c>
      <c r="M399" s="2">
        <v>25107</v>
      </c>
      <c r="N399" s="2" t="s">
        <v>2498</v>
      </c>
    </row>
    <row r="400" spans="2:14" x14ac:dyDescent="0.3">
      <c r="B400" s="2" t="s">
        <v>2505</v>
      </c>
      <c r="C400" s="2">
        <v>25260</v>
      </c>
      <c r="L400" s="2" t="s">
        <v>2472</v>
      </c>
      <c r="M400" s="2">
        <v>25108</v>
      </c>
      <c r="N400" s="2" t="s">
        <v>2498</v>
      </c>
    </row>
    <row r="401" spans="2:14" x14ac:dyDescent="0.3">
      <c r="B401" s="2" t="s">
        <v>2506</v>
      </c>
      <c r="C401" s="2">
        <v>25301</v>
      </c>
      <c r="L401" s="2" t="s">
        <v>2473</v>
      </c>
      <c r="M401" s="2">
        <v>25109</v>
      </c>
      <c r="N401" s="2" t="s">
        <v>2498</v>
      </c>
    </row>
    <row r="402" spans="2:14" x14ac:dyDescent="0.3">
      <c r="B402" s="2" t="s">
        <v>2507</v>
      </c>
      <c r="C402" s="2">
        <v>25302</v>
      </c>
      <c r="L402" s="2" t="s">
        <v>2474</v>
      </c>
      <c r="M402" s="2">
        <v>25110</v>
      </c>
      <c r="N402" s="2" t="s">
        <v>2498</v>
      </c>
    </row>
    <row r="403" spans="2:14" x14ac:dyDescent="0.3">
      <c r="B403" s="2" t="s">
        <v>2508</v>
      </c>
      <c r="C403" s="2">
        <v>25303</v>
      </c>
      <c r="L403" s="2" t="s">
        <v>2475</v>
      </c>
      <c r="M403" s="2">
        <v>25151</v>
      </c>
      <c r="N403" s="2" t="s">
        <v>2498</v>
      </c>
    </row>
    <row r="404" spans="2:14" x14ac:dyDescent="0.3">
      <c r="B404" s="2" t="s">
        <v>2509</v>
      </c>
      <c r="C404" s="2">
        <v>25304</v>
      </c>
      <c r="L404" s="2" t="s">
        <v>522</v>
      </c>
      <c r="M404" s="2">
        <v>25152</v>
      </c>
      <c r="N404" s="2" t="s">
        <v>2498</v>
      </c>
    </row>
    <row r="405" spans="2:14" x14ac:dyDescent="0.3">
      <c r="B405" s="2" t="s">
        <v>2510</v>
      </c>
      <c r="C405" s="2">
        <v>25305</v>
      </c>
      <c r="L405" s="2" t="s">
        <v>2476</v>
      </c>
      <c r="M405" s="2">
        <v>25153</v>
      </c>
      <c r="N405" s="2" t="s">
        <v>2498</v>
      </c>
    </row>
    <row r="406" spans="2:14" x14ac:dyDescent="0.3">
      <c r="B406" s="2" t="s">
        <v>2511</v>
      </c>
      <c r="C406" s="2">
        <v>25306</v>
      </c>
      <c r="L406" s="2" t="s">
        <v>2478</v>
      </c>
      <c r="M406" s="2">
        <v>25154</v>
      </c>
      <c r="N406" s="2" t="s">
        <v>2498</v>
      </c>
    </row>
    <row r="407" spans="2:14" x14ac:dyDescent="0.3">
      <c r="B407" s="2" t="s">
        <v>2512</v>
      </c>
      <c r="C407" s="2">
        <v>25307</v>
      </c>
      <c r="L407" s="2" t="s">
        <v>2479</v>
      </c>
      <c r="M407" s="2">
        <v>25155</v>
      </c>
      <c r="N407" s="2" t="s">
        <v>2498</v>
      </c>
    </row>
    <row r="408" spans="2:14" x14ac:dyDescent="0.3">
      <c r="B408" s="2" t="s">
        <v>2513</v>
      </c>
      <c r="C408" s="2">
        <v>25308</v>
      </c>
      <c r="L408" s="2" t="s">
        <v>2480</v>
      </c>
      <c r="M408" s="2">
        <v>25156</v>
      </c>
      <c r="N408" s="2" t="s">
        <v>2498</v>
      </c>
    </row>
    <row r="409" spans="2:14" x14ac:dyDescent="0.3">
      <c r="B409" s="2" t="s">
        <v>2514</v>
      </c>
      <c r="C409" s="2">
        <v>25309</v>
      </c>
      <c r="L409" s="2" t="s">
        <v>2481</v>
      </c>
      <c r="M409" s="2">
        <v>25157</v>
      </c>
      <c r="N409" s="2" t="s">
        <v>2498</v>
      </c>
    </row>
    <row r="410" spans="2:14" x14ac:dyDescent="0.3">
      <c r="B410" s="2" t="s">
        <v>2515</v>
      </c>
      <c r="C410" s="2">
        <v>25310</v>
      </c>
      <c r="L410" s="2" t="s">
        <v>2482</v>
      </c>
      <c r="M410" s="2">
        <v>25158</v>
      </c>
      <c r="N410" s="2" t="s">
        <v>2498</v>
      </c>
    </row>
    <row r="411" spans="2:14" x14ac:dyDescent="0.3">
      <c r="B411" s="2" t="s">
        <v>2516</v>
      </c>
      <c r="C411" s="2">
        <v>25351</v>
      </c>
      <c r="L411" s="2" t="s">
        <v>2483</v>
      </c>
      <c r="M411" s="2">
        <v>25159</v>
      </c>
      <c r="N411" s="2" t="s">
        <v>2498</v>
      </c>
    </row>
    <row r="412" spans="2:14" x14ac:dyDescent="0.3">
      <c r="B412" s="2" t="s">
        <v>2517</v>
      </c>
      <c r="C412" s="2">
        <v>25352</v>
      </c>
      <c r="L412" s="2" t="s">
        <v>2484</v>
      </c>
      <c r="M412" s="2">
        <v>25160</v>
      </c>
      <c r="N412" s="2" t="s">
        <v>2498</v>
      </c>
    </row>
    <row r="413" spans="2:14" x14ac:dyDescent="0.3">
      <c r="B413" s="2" t="s">
        <v>2518</v>
      </c>
      <c r="C413" s="2">
        <v>25353</v>
      </c>
      <c r="L413" s="2" t="s">
        <v>2485</v>
      </c>
      <c r="M413" s="2">
        <v>25201</v>
      </c>
      <c r="N413" s="2" t="s">
        <v>2519</v>
      </c>
    </row>
    <row r="414" spans="2:14" x14ac:dyDescent="0.3">
      <c r="B414" s="2" t="s">
        <v>2520</v>
      </c>
      <c r="C414" s="2">
        <v>25354</v>
      </c>
      <c r="L414" s="2" t="s">
        <v>2486</v>
      </c>
      <c r="M414" s="2">
        <v>25202</v>
      </c>
      <c r="N414" s="2" t="s">
        <v>2519</v>
      </c>
    </row>
    <row r="415" spans="2:14" x14ac:dyDescent="0.3">
      <c r="B415" s="2" t="s">
        <v>2521</v>
      </c>
      <c r="C415" s="2">
        <v>25355</v>
      </c>
      <c r="L415" s="2" t="s">
        <v>2487</v>
      </c>
      <c r="M415" s="2">
        <v>25203</v>
      </c>
      <c r="N415" s="2" t="s">
        <v>2519</v>
      </c>
    </row>
    <row r="416" spans="2:14" x14ac:dyDescent="0.3">
      <c r="B416" s="2" t="s">
        <v>2522</v>
      </c>
      <c r="C416" s="2">
        <v>25356</v>
      </c>
      <c r="L416" s="2" t="s">
        <v>2488</v>
      </c>
      <c r="M416" s="2">
        <v>25204</v>
      </c>
      <c r="N416" s="2" t="s">
        <v>2519</v>
      </c>
    </row>
    <row r="417" spans="2:14" x14ac:dyDescent="0.3">
      <c r="B417" s="2" t="s">
        <v>2523</v>
      </c>
      <c r="C417" s="2">
        <v>25357</v>
      </c>
      <c r="L417" s="2" t="s">
        <v>2489</v>
      </c>
      <c r="M417" s="2">
        <v>25205</v>
      </c>
      <c r="N417" s="2" t="s">
        <v>2519</v>
      </c>
    </row>
    <row r="418" spans="2:14" x14ac:dyDescent="0.3">
      <c r="B418" s="2" t="s">
        <v>2524</v>
      </c>
      <c r="C418" s="2">
        <v>25358</v>
      </c>
      <c r="L418" s="2" t="s">
        <v>2490</v>
      </c>
      <c r="M418" s="2">
        <v>25206</v>
      </c>
      <c r="N418" s="2" t="s">
        <v>2519</v>
      </c>
    </row>
    <row r="419" spans="2:14" x14ac:dyDescent="0.3">
      <c r="B419" s="2" t="s">
        <v>2525</v>
      </c>
      <c r="C419" s="2">
        <v>25359</v>
      </c>
      <c r="L419" s="2" t="s">
        <v>2491</v>
      </c>
      <c r="M419" s="2">
        <v>25207</v>
      </c>
      <c r="N419" s="2" t="s">
        <v>2519</v>
      </c>
    </row>
    <row r="420" spans="2:14" x14ac:dyDescent="0.3">
      <c r="B420" s="2" t="s">
        <v>2526</v>
      </c>
      <c r="C420" s="2">
        <v>25360</v>
      </c>
      <c r="L420" s="2" t="s">
        <v>2492</v>
      </c>
      <c r="M420" s="2">
        <v>25208</v>
      </c>
      <c r="N420" s="2" t="s">
        <v>2519</v>
      </c>
    </row>
    <row r="421" spans="2:14" x14ac:dyDescent="0.3">
      <c r="B421" s="2" t="s">
        <v>2527</v>
      </c>
      <c r="C421" s="2">
        <v>25401</v>
      </c>
      <c r="L421" s="2" t="s">
        <v>2493</v>
      </c>
      <c r="M421" s="2">
        <v>25209</v>
      </c>
      <c r="N421" s="2" t="s">
        <v>2519</v>
      </c>
    </row>
    <row r="422" spans="2:14" x14ac:dyDescent="0.3">
      <c r="B422" s="2" t="s">
        <v>2528</v>
      </c>
      <c r="C422" s="2">
        <v>25402</v>
      </c>
      <c r="L422" s="2" t="s">
        <v>2494</v>
      </c>
      <c r="M422" s="2">
        <v>25210</v>
      </c>
      <c r="N422" s="2" t="s">
        <v>2519</v>
      </c>
    </row>
    <row r="423" spans="2:14" x14ac:dyDescent="0.3">
      <c r="B423" s="2" t="s">
        <v>2529</v>
      </c>
      <c r="C423" s="2">
        <v>25403</v>
      </c>
      <c r="L423" s="2" t="s">
        <v>2495</v>
      </c>
      <c r="M423" s="2">
        <v>25251</v>
      </c>
      <c r="N423" s="2" t="s">
        <v>2519</v>
      </c>
    </row>
    <row r="424" spans="2:14" x14ac:dyDescent="0.3">
      <c r="B424" s="2" t="s">
        <v>2530</v>
      </c>
      <c r="C424" s="2">
        <v>25404</v>
      </c>
      <c r="L424" s="2" t="s">
        <v>2496</v>
      </c>
      <c r="M424" s="2">
        <v>25252</v>
      </c>
      <c r="N424" s="2" t="s">
        <v>2519</v>
      </c>
    </row>
    <row r="425" spans="2:14" x14ac:dyDescent="0.3">
      <c r="B425" s="2" t="s">
        <v>2531</v>
      </c>
      <c r="C425" s="2">
        <v>25405</v>
      </c>
      <c r="L425" s="2" t="s">
        <v>2497</v>
      </c>
      <c r="M425" s="2">
        <v>25253</v>
      </c>
      <c r="N425" s="2" t="s">
        <v>2519</v>
      </c>
    </row>
    <row r="426" spans="2:14" x14ac:dyDescent="0.3">
      <c r="B426" s="2" t="s">
        <v>2532</v>
      </c>
      <c r="C426" s="2">
        <v>25406</v>
      </c>
      <c r="L426" s="2" t="s">
        <v>2499</v>
      </c>
      <c r="M426" s="2">
        <v>25254</v>
      </c>
      <c r="N426" s="2" t="s">
        <v>2519</v>
      </c>
    </row>
    <row r="427" spans="2:14" x14ac:dyDescent="0.3">
      <c r="B427" s="2" t="s">
        <v>2533</v>
      </c>
      <c r="C427" s="2">
        <v>25407</v>
      </c>
      <c r="L427" s="2" t="s">
        <v>2500</v>
      </c>
      <c r="M427" s="2">
        <v>25255</v>
      </c>
      <c r="N427" s="2" t="s">
        <v>2519</v>
      </c>
    </row>
    <row r="428" spans="2:14" x14ac:dyDescent="0.3">
      <c r="B428" s="2" t="s">
        <v>2534</v>
      </c>
      <c r="C428" s="2">
        <v>25408</v>
      </c>
      <c r="L428" s="2" t="s">
        <v>2501</v>
      </c>
      <c r="M428" s="2">
        <v>25256</v>
      </c>
      <c r="N428" s="2" t="s">
        <v>2519</v>
      </c>
    </row>
    <row r="429" spans="2:14" x14ac:dyDescent="0.3">
      <c r="B429" s="2" t="s">
        <v>2535</v>
      </c>
      <c r="C429" s="2">
        <v>25409</v>
      </c>
      <c r="L429" s="2" t="s">
        <v>2502</v>
      </c>
      <c r="M429" s="2">
        <v>25257</v>
      </c>
      <c r="N429" s="2" t="s">
        <v>2519</v>
      </c>
    </row>
    <row r="430" spans="2:14" x14ac:dyDescent="0.3">
      <c r="B430" s="2" t="s">
        <v>2536</v>
      </c>
      <c r="C430" s="2">
        <v>25410</v>
      </c>
      <c r="L430" s="2" t="s">
        <v>2503</v>
      </c>
      <c r="M430" s="2">
        <v>25258</v>
      </c>
      <c r="N430" s="2" t="s">
        <v>2519</v>
      </c>
    </row>
    <row r="431" spans="2:14" x14ac:dyDescent="0.3">
      <c r="B431" s="2" t="s">
        <v>2537</v>
      </c>
      <c r="C431" s="2">
        <v>25451</v>
      </c>
      <c r="L431" s="2" t="s">
        <v>2504</v>
      </c>
      <c r="M431" s="2">
        <v>25259</v>
      </c>
      <c r="N431" s="2" t="s">
        <v>2519</v>
      </c>
    </row>
    <row r="432" spans="2:14" x14ac:dyDescent="0.3">
      <c r="B432" s="2" t="s">
        <v>2538</v>
      </c>
      <c r="C432" s="2">
        <v>25452</v>
      </c>
      <c r="L432" s="2" t="s">
        <v>2505</v>
      </c>
      <c r="M432" s="2">
        <v>25260</v>
      </c>
      <c r="N432" s="2" t="s">
        <v>2519</v>
      </c>
    </row>
    <row r="433" spans="2:14" x14ac:dyDescent="0.3">
      <c r="B433" s="2" t="s">
        <v>2539</v>
      </c>
      <c r="C433" s="2">
        <v>25453</v>
      </c>
      <c r="L433" s="2" t="s">
        <v>2506</v>
      </c>
      <c r="M433" s="2">
        <v>25301</v>
      </c>
      <c r="N433" s="2" t="s">
        <v>2498</v>
      </c>
    </row>
    <row r="434" spans="2:14" x14ac:dyDescent="0.3">
      <c r="B434" s="2" t="s">
        <v>2540</v>
      </c>
      <c r="C434" s="2">
        <v>25454</v>
      </c>
      <c r="L434" s="2" t="s">
        <v>2507</v>
      </c>
      <c r="M434" s="2">
        <v>25302</v>
      </c>
      <c r="N434" s="2" t="s">
        <v>2498</v>
      </c>
    </row>
    <row r="435" spans="2:14" x14ac:dyDescent="0.3">
      <c r="B435" s="2" t="s">
        <v>2541</v>
      </c>
      <c r="C435" s="2">
        <v>25455</v>
      </c>
      <c r="L435" s="2" t="s">
        <v>2508</v>
      </c>
      <c r="M435" s="2">
        <v>25303</v>
      </c>
      <c r="N435" s="2" t="s">
        <v>2498</v>
      </c>
    </row>
    <row r="436" spans="2:14" x14ac:dyDescent="0.3">
      <c r="B436" s="2" t="s">
        <v>2542</v>
      </c>
      <c r="C436" s="2">
        <v>25456</v>
      </c>
      <c r="L436" s="2" t="s">
        <v>2509</v>
      </c>
      <c r="M436" s="2">
        <v>25304</v>
      </c>
      <c r="N436" s="2" t="s">
        <v>2498</v>
      </c>
    </row>
    <row r="437" spans="2:14" x14ac:dyDescent="0.3">
      <c r="B437" s="2" t="s">
        <v>2543</v>
      </c>
      <c r="C437" s="2">
        <v>25457</v>
      </c>
      <c r="L437" s="2" t="s">
        <v>2510</v>
      </c>
      <c r="M437" s="2">
        <v>25305</v>
      </c>
      <c r="N437" s="2" t="s">
        <v>2498</v>
      </c>
    </row>
    <row r="438" spans="2:14" x14ac:dyDescent="0.3">
      <c r="B438" s="2" t="s">
        <v>2544</v>
      </c>
      <c r="C438" s="2">
        <v>25458</v>
      </c>
      <c r="L438" s="2" t="s">
        <v>2511</v>
      </c>
      <c r="M438" s="2">
        <v>25306</v>
      </c>
      <c r="N438" s="2" t="s">
        <v>2498</v>
      </c>
    </row>
    <row r="439" spans="2:14" x14ac:dyDescent="0.3">
      <c r="B439" s="2" t="s">
        <v>2545</v>
      </c>
      <c r="C439" s="2">
        <v>25459</v>
      </c>
      <c r="L439" s="2" t="s">
        <v>2512</v>
      </c>
      <c r="M439" s="2">
        <v>25307</v>
      </c>
      <c r="N439" s="2" t="s">
        <v>2498</v>
      </c>
    </row>
    <row r="440" spans="2:14" x14ac:dyDescent="0.3">
      <c r="B440" s="2" t="s">
        <v>2546</v>
      </c>
      <c r="C440" s="2">
        <v>25460</v>
      </c>
      <c r="L440" s="2" t="s">
        <v>2513</v>
      </c>
      <c r="M440" s="2">
        <v>25308</v>
      </c>
      <c r="N440" s="2" t="s">
        <v>2498</v>
      </c>
    </row>
    <row r="441" spans="2:14" x14ac:dyDescent="0.3">
      <c r="B441" s="2" t="s">
        <v>2547</v>
      </c>
      <c r="C441" s="2">
        <v>25501</v>
      </c>
      <c r="L441" s="2" t="s">
        <v>2514</v>
      </c>
      <c r="M441" s="2">
        <v>25309</v>
      </c>
      <c r="N441" s="2" t="s">
        <v>2498</v>
      </c>
    </row>
    <row r="442" spans="2:14" x14ac:dyDescent="0.3">
      <c r="B442" s="2" t="s">
        <v>2548</v>
      </c>
      <c r="C442" s="2">
        <v>25502</v>
      </c>
      <c r="L442" s="2" t="s">
        <v>2515</v>
      </c>
      <c r="M442" s="2">
        <v>25310</v>
      </c>
      <c r="N442" s="2" t="s">
        <v>2498</v>
      </c>
    </row>
    <row r="443" spans="2:14" x14ac:dyDescent="0.3">
      <c r="B443" s="2" t="s">
        <v>2549</v>
      </c>
      <c r="C443" s="2">
        <v>25503</v>
      </c>
      <c r="L443" s="2" t="s">
        <v>2516</v>
      </c>
      <c r="M443" s="2">
        <v>25351</v>
      </c>
      <c r="N443" s="2" t="s">
        <v>2498</v>
      </c>
    </row>
    <row r="444" spans="2:14" x14ac:dyDescent="0.3">
      <c r="B444" s="2" t="s">
        <v>2550</v>
      </c>
      <c r="C444" s="2">
        <v>25504</v>
      </c>
      <c r="L444" s="2" t="s">
        <v>2517</v>
      </c>
      <c r="M444" s="2">
        <v>25352</v>
      </c>
      <c r="N444" s="2" t="s">
        <v>2498</v>
      </c>
    </row>
    <row r="445" spans="2:14" x14ac:dyDescent="0.3">
      <c r="B445" s="2" t="s">
        <v>2551</v>
      </c>
      <c r="C445" s="2">
        <v>25505</v>
      </c>
      <c r="L445" s="2" t="s">
        <v>2518</v>
      </c>
      <c r="M445" s="2">
        <v>25353</v>
      </c>
      <c r="N445" s="2" t="s">
        <v>2498</v>
      </c>
    </row>
    <row r="446" spans="2:14" x14ac:dyDescent="0.3">
      <c r="B446" s="2" t="s">
        <v>2552</v>
      </c>
      <c r="C446" s="2">
        <v>25506</v>
      </c>
      <c r="L446" s="2" t="s">
        <v>2520</v>
      </c>
      <c r="M446" s="2">
        <v>25354</v>
      </c>
      <c r="N446" s="2" t="s">
        <v>2498</v>
      </c>
    </row>
    <row r="447" spans="2:14" x14ac:dyDescent="0.3">
      <c r="B447" s="2" t="s">
        <v>2553</v>
      </c>
      <c r="C447" s="2">
        <v>25507</v>
      </c>
      <c r="L447" s="2" t="s">
        <v>2521</v>
      </c>
      <c r="M447" s="2">
        <v>25355</v>
      </c>
      <c r="N447" s="2" t="s">
        <v>2498</v>
      </c>
    </row>
    <row r="448" spans="2:14" x14ac:dyDescent="0.3">
      <c r="B448" s="2" t="s">
        <v>2554</v>
      </c>
      <c r="C448" s="2">
        <v>25508</v>
      </c>
      <c r="L448" s="2" t="s">
        <v>2522</v>
      </c>
      <c r="M448" s="2">
        <v>25356</v>
      </c>
      <c r="N448" s="2" t="s">
        <v>2498</v>
      </c>
    </row>
    <row r="449" spans="2:14" x14ac:dyDescent="0.3">
      <c r="B449" s="2" t="s">
        <v>2555</v>
      </c>
      <c r="C449" s="2">
        <v>25509</v>
      </c>
      <c r="L449" s="2" t="s">
        <v>2523</v>
      </c>
      <c r="M449" s="2">
        <v>25357</v>
      </c>
      <c r="N449" s="2" t="s">
        <v>2498</v>
      </c>
    </row>
    <row r="450" spans="2:14" x14ac:dyDescent="0.3">
      <c r="B450" s="2" t="s">
        <v>2556</v>
      </c>
      <c r="C450" s="2">
        <v>25510</v>
      </c>
      <c r="L450" s="2" t="s">
        <v>2524</v>
      </c>
      <c r="M450" s="2">
        <v>25358</v>
      </c>
      <c r="N450" s="2" t="s">
        <v>2498</v>
      </c>
    </row>
    <row r="451" spans="2:14" x14ac:dyDescent="0.3">
      <c r="B451" s="2" t="s">
        <v>2557</v>
      </c>
      <c r="C451" s="2">
        <v>25551</v>
      </c>
      <c r="L451" s="2" t="s">
        <v>2525</v>
      </c>
      <c r="M451" s="2">
        <v>25359</v>
      </c>
      <c r="N451" s="2" t="s">
        <v>2498</v>
      </c>
    </row>
    <row r="452" spans="2:14" x14ac:dyDescent="0.3">
      <c r="B452" s="2" t="s">
        <v>2558</v>
      </c>
      <c r="C452" s="2">
        <v>25552</v>
      </c>
      <c r="L452" s="2" t="s">
        <v>2526</v>
      </c>
      <c r="M452" s="2">
        <v>25360</v>
      </c>
      <c r="N452" s="2" t="s">
        <v>2498</v>
      </c>
    </row>
    <row r="453" spans="2:14" x14ac:dyDescent="0.3">
      <c r="B453" s="2" t="s">
        <v>2559</v>
      </c>
      <c r="C453" s="2">
        <v>25553</v>
      </c>
      <c r="L453" s="2" t="s">
        <v>2527</v>
      </c>
      <c r="M453" s="2">
        <v>25401</v>
      </c>
      <c r="N453" s="2" t="s">
        <v>2519</v>
      </c>
    </row>
    <row r="454" spans="2:14" x14ac:dyDescent="0.3">
      <c r="B454" s="2" t="s">
        <v>2560</v>
      </c>
      <c r="C454" s="2">
        <v>25554</v>
      </c>
      <c r="L454" s="2" t="s">
        <v>2528</v>
      </c>
      <c r="M454" s="2">
        <v>25402</v>
      </c>
      <c r="N454" s="2" t="s">
        <v>2519</v>
      </c>
    </row>
    <row r="455" spans="2:14" x14ac:dyDescent="0.3">
      <c r="B455" s="2" t="s">
        <v>2561</v>
      </c>
      <c r="C455" s="2">
        <v>25555</v>
      </c>
      <c r="L455" s="2" t="s">
        <v>2529</v>
      </c>
      <c r="M455" s="2">
        <v>25403</v>
      </c>
      <c r="N455" s="2" t="s">
        <v>2519</v>
      </c>
    </row>
    <row r="456" spans="2:14" x14ac:dyDescent="0.3">
      <c r="B456" s="2" t="s">
        <v>2562</v>
      </c>
      <c r="C456" s="2">
        <v>25556</v>
      </c>
      <c r="L456" s="2" t="s">
        <v>2530</v>
      </c>
      <c r="M456" s="2">
        <v>25404</v>
      </c>
      <c r="N456" s="2" t="s">
        <v>2519</v>
      </c>
    </row>
    <row r="457" spans="2:14" x14ac:dyDescent="0.3">
      <c r="B457" s="2" t="s">
        <v>2563</v>
      </c>
      <c r="C457" s="2">
        <v>25557</v>
      </c>
      <c r="L457" s="2" t="s">
        <v>2531</v>
      </c>
      <c r="M457" s="2">
        <v>25405</v>
      </c>
      <c r="N457" s="2" t="s">
        <v>2519</v>
      </c>
    </row>
    <row r="458" spans="2:14" x14ac:dyDescent="0.3">
      <c r="B458" s="2" t="s">
        <v>2564</v>
      </c>
      <c r="C458" s="2">
        <v>25558</v>
      </c>
      <c r="L458" s="2" t="s">
        <v>2532</v>
      </c>
      <c r="M458" s="2">
        <v>25406</v>
      </c>
      <c r="N458" s="2" t="s">
        <v>2519</v>
      </c>
    </row>
    <row r="459" spans="2:14" x14ac:dyDescent="0.3">
      <c r="B459" s="2" t="s">
        <v>2565</v>
      </c>
      <c r="C459" s="2">
        <v>25559</v>
      </c>
      <c r="L459" s="2" t="s">
        <v>2533</v>
      </c>
      <c r="M459" s="2">
        <v>25407</v>
      </c>
      <c r="N459" s="2" t="s">
        <v>2519</v>
      </c>
    </row>
    <row r="460" spans="2:14" x14ac:dyDescent="0.3">
      <c r="B460" s="2" t="s">
        <v>2566</v>
      </c>
      <c r="C460" s="2">
        <v>25560</v>
      </c>
      <c r="L460" s="2" t="s">
        <v>2534</v>
      </c>
      <c r="M460" s="2">
        <v>25408</v>
      </c>
      <c r="N460" s="2" t="s">
        <v>2519</v>
      </c>
    </row>
    <row r="461" spans="2:14" x14ac:dyDescent="0.3">
      <c r="B461" s="2" t="s">
        <v>2567</v>
      </c>
      <c r="C461" s="2">
        <v>23511</v>
      </c>
      <c r="L461" s="2" t="s">
        <v>2535</v>
      </c>
      <c r="M461" s="2">
        <v>25409</v>
      </c>
      <c r="N461" s="2" t="s">
        <v>2519</v>
      </c>
    </row>
    <row r="462" spans="2:14" x14ac:dyDescent="0.3">
      <c r="B462" s="2" t="s">
        <v>2568</v>
      </c>
      <c r="C462" s="2">
        <v>23512</v>
      </c>
      <c r="L462" s="2" t="s">
        <v>2536</v>
      </c>
      <c r="M462" s="2">
        <v>25410</v>
      </c>
      <c r="N462" s="2" t="s">
        <v>2519</v>
      </c>
    </row>
    <row r="463" spans="2:14" x14ac:dyDescent="0.3">
      <c r="B463" s="2" t="s">
        <v>2569</v>
      </c>
      <c r="C463" s="2">
        <v>23521</v>
      </c>
      <c r="L463" s="2" t="s">
        <v>2537</v>
      </c>
      <c r="M463" s="2">
        <v>25451</v>
      </c>
      <c r="N463" s="2" t="s">
        <v>2519</v>
      </c>
    </row>
    <row r="464" spans="2:14" x14ac:dyDescent="0.3">
      <c r="B464" s="2" t="s">
        <v>2570</v>
      </c>
      <c r="C464" s="2">
        <v>23522</v>
      </c>
      <c r="L464" s="2" t="s">
        <v>2538</v>
      </c>
      <c r="M464" s="2">
        <v>25452</v>
      </c>
      <c r="N464" s="2" t="s">
        <v>2519</v>
      </c>
    </row>
    <row r="465" spans="2:15" x14ac:dyDescent="0.3">
      <c r="B465" s="2" t="s">
        <v>2571</v>
      </c>
      <c r="C465" s="2">
        <v>23531</v>
      </c>
      <c r="L465" s="2" t="s">
        <v>2539</v>
      </c>
      <c r="M465" s="2">
        <v>25453</v>
      </c>
      <c r="N465" s="2" t="s">
        <v>2519</v>
      </c>
    </row>
    <row r="466" spans="2:15" x14ac:dyDescent="0.3">
      <c r="B466" s="2" t="s">
        <v>2572</v>
      </c>
      <c r="C466" s="2">
        <v>23532</v>
      </c>
      <c r="L466" s="2" t="s">
        <v>2540</v>
      </c>
      <c r="M466" s="2">
        <v>25454</v>
      </c>
      <c r="N466" s="2" t="s">
        <v>2519</v>
      </c>
    </row>
    <row r="467" spans="2:15" x14ac:dyDescent="0.3">
      <c r="B467" s="2" t="s">
        <v>2573</v>
      </c>
      <c r="C467" s="2">
        <v>23541</v>
      </c>
      <c r="L467" s="2" t="s">
        <v>2541</v>
      </c>
      <c r="M467" s="2">
        <v>25455</v>
      </c>
      <c r="N467" s="2" t="s">
        <v>2519</v>
      </c>
    </row>
    <row r="468" spans="2:15" x14ac:dyDescent="0.3">
      <c r="B468" s="2" t="s">
        <v>2574</v>
      </c>
      <c r="C468" s="2">
        <v>23542</v>
      </c>
      <c r="L468" s="2" t="s">
        <v>2542</v>
      </c>
      <c r="M468" s="2">
        <v>25456</v>
      </c>
      <c r="N468" s="2" t="s">
        <v>2519</v>
      </c>
    </row>
    <row r="469" spans="2:15" x14ac:dyDescent="0.3">
      <c r="B469" s="2" t="s">
        <v>2575</v>
      </c>
      <c r="C469" s="2">
        <v>24511</v>
      </c>
      <c r="L469" s="2" t="s">
        <v>2543</v>
      </c>
      <c r="M469" s="2">
        <v>25457</v>
      </c>
      <c r="N469" s="2" t="s">
        <v>2519</v>
      </c>
    </row>
    <row r="470" spans="2:15" x14ac:dyDescent="0.3">
      <c r="B470" s="2" t="s">
        <v>2576</v>
      </c>
      <c r="C470" s="2">
        <v>24521</v>
      </c>
      <c r="L470" s="2" t="s">
        <v>2544</v>
      </c>
      <c r="M470" s="2">
        <v>25458</v>
      </c>
      <c r="N470" s="2" t="s">
        <v>2519</v>
      </c>
    </row>
    <row r="471" spans="2:15" x14ac:dyDescent="0.3">
      <c r="B471" s="2" t="s">
        <v>2577</v>
      </c>
      <c r="C471" s="2">
        <v>24522</v>
      </c>
      <c r="L471" s="2" t="s">
        <v>2545</v>
      </c>
      <c r="M471" s="2">
        <v>25459</v>
      </c>
      <c r="N471" s="2" t="s">
        <v>2519</v>
      </c>
    </row>
    <row r="472" spans="2:15" x14ac:dyDescent="0.3">
      <c r="B472" s="2" t="s">
        <v>2578</v>
      </c>
      <c r="C472" s="2">
        <v>24531</v>
      </c>
      <c r="L472" s="2" t="s">
        <v>2546</v>
      </c>
      <c r="M472" s="2">
        <v>25460</v>
      </c>
      <c r="N472" s="2" t="s">
        <v>2519</v>
      </c>
    </row>
    <row r="473" spans="2:15" x14ac:dyDescent="0.3">
      <c r="B473" s="2" t="s">
        <v>2579</v>
      </c>
      <c r="C473" s="2">
        <v>24532</v>
      </c>
      <c r="L473" s="2" t="s">
        <v>2547</v>
      </c>
      <c r="M473" s="2">
        <v>25501</v>
      </c>
      <c r="N473" s="2" t="s">
        <v>2580</v>
      </c>
      <c r="O473" s="1" t="str">
        <f>"Rank "&amp;RIGHT(L473,1)&amp;" Epic Chest"</f>
        <v>Rank 1 Epic Chest</v>
      </c>
    </row>
    <row r="474" spans="2:15" x14ac:dyDescent="0.3">
      <c r="B474" s="2" t="s">
        <v>2581</v>
      </c>
      <c r="C474" s="2">
        <v>24541</v>
      </c>
      <c r="L474" s="2" t="s">
        <v>2548</v>
      </c>
      <c r="M474" s="2">
        <v>25502</v>
      </c>
      <c r="N474" s="2" t="s">
        <v>2580</v>
      </c>
      <c r="O474" s="1" t="str">
        <f t="shared" ref="O474:O491" si="3">"Rank "&amp;RIGHT(L474,1)&amp;" Epic Chest"</f>
        <v>Rank 2 Epic Chest</v>
      </c>
    </row>
    <row r="475" spans="2:15" x14ac:dyDescent="0.3">
      <c r="B475" s="2" t="s">
        <v>2582</v>
      </c>
      <c r="C475" s="2">
        <v>24542</v>
      </c>
      <c r="L475" s="2" t="s">
        <v>2549</v>
      </c>
      <c r="M475" s="2">
        <v>25503</v>
      </c>
      <c r="N475" s="2" t="s">
        <v>2580</v>
      </c>
      <c r="O475" s="1" t="str">
        <f t="shared" si="3"/>
        <v>Rank 3 Epic Chest</v>
      </c>
    </row>
    <row r="476" spans="2:15" x14ac:dyDescent="0.3">
      <c r="B476" s="2" t="s">
        <v>2583</v>
      </c>
      <c r="C476" s="2">
        <v>24543</v>
      </c>
      <c r="L476" s="2" t="s">
        <v>2550</v>
      </c>
      <c r="M476" s="2">
        <v>25504</v>
      </c>
      <c r="N476" s="2" t="s">
        <v>2580</v>
      </c>
      <c r="O476" s="1" t="str">
        <f t="shared" si="3"/>
        <v>Rank 4 Epic Chest</v>
      </c>
    </row>
    <row r="477" spans="2:15" x14ac:dyDescent="0.3">
      <c r="L477" s="2" t="s">
        <v>2551</v>
      </c>
      <c r="M477" s="2">
        <v>25505</v>
      </c>
      <c r="N477" s="2" t="s">
        <v>2580</v>
      </c>
      <c r="O477" s="1" t="str">
        <f t="shared" si="3"/>
        <v>Rank 5 Epic Chest</v>
      </c>
    </row>
    <row r="478" spans="2:15" x14ac:dyDescent="0.3">
      <c r="L478" s="2" t="s">
        <v>2552</v>
      </c>
      <c r="M478" s="2">
        <v>25506</v>
      </c>
      <c r="N478" s="2" t="s">
        <v>2580</v>
      </c>
      <c r="O478" s="1" t="str">
        <f t="shared" si="3"/>
        <v>Rank 6 Epic Chest</v>
      </c>
    </row>
    <row r="479" spans="2:15" x14ac:dyDescent="0.3">
      <c r="L479" s="2" t="s">
        <v>2553</v>
      </c>
      <c r="M479" s="2">
        <v>25507</v>
      </c>
      <c r="N479" s="2" t="s">
        <v>2580</v>
      </c>
      <c r="O479" s="1" t="str">
        <f t="shared" si="3"/>
        <v>Rank 7 Epic Chest</v>
      </c>
    </row>
    <row r="480" spans="2:15" x14ac:dyDescent="0.3">
      <c r="L480" s="2" t="s">
        <v>2554</v>
      </c>
      <c r="M480" s="2">
        <v>25508</v>
      </c>
      <c r="N480" s="2" t="s">
        <v>2580</v>
      </c>
      <c r="O480" s="1" t="str">
        <f t="shared" si="3"/>
        <v>Rank 8 Epic Chest</v>
      </c>
    </row>
    <row r="481" spans="12:16" x14ac:dyDescent="0.3">
      <c r="L481" s="2" t="s">
        <v>2555</v>
      </c>
      <c r="M481" s="2">
        <v>25509</v>
      </c>
      <c r="N481" s="2" t="s">
        <v>2580</v>
      </c>
      <c r="O481" s="1" t="str">
        <f t="shared" si="3"/>
        <v>Rank 9 Epic Chest</v>
      </c>
    </row>
    <row r="482" spans="12:16" x14ac:dyDescent="0.3">
      <c r="L482" s="2" t="s">
        <v>2556</v>
      </c>
      <c r="M482" s="2">
        <v>25510</v>
      </c>
      <c r="N482" s="2" t="s">
        <v>2580</v>
      </c>
      <c r="O482" s="1" t="str">
        <f>"Rank "&amp;RIGHT(L482,2)&amp;" Epic Chest"</f>
        <v>Rank 10 Epic Chest</v>
      </c>
    </row>
    <row r="483" spans="12:16" x14ac:dyDescent="0.3">
      <c r="L483" s="2" t="s">
        <v>2557</v>
      </c>
      <c r="M483" s="2">
        <v>25551</v>
      </c>
      <c r="N483" s="2" t="s">
        <v>2580</v>
      </c>
      <c r="O483" s="1" t="str">
        <f t="shared" si="3"/>
        <v>Rank 1 Epic Chest</v>
      </c>
    </row>
    <row r="484" spans="12:16" x14ac:dyDescent="0.3">
      <c r="L484" s="2" t="s">
        <v>2558</v>
      </c>
      <c r="M484" s="2">
        <v>25552</v>
      </c>
      <c r="N484" s="2" t="s">
        <v>2580</v>
      </c>
      <c r="O484" s="1" t="str">
        <f t="shared" si="3"/>
        <v>Rank 2 Epic Chest</v>
      </c>
    </row>
    <row r="485" spans="12:16" x14ac:dyDescent="0.3">
      <c r="L485" s="2" t="s">
        <v>2559</v>
      </c>
      <c r="M485" s="2">
        <v>25553</v>
      </c>
      <c r="N485" s="2" t="s">
        <v>2580</v>
      </c>
      <c r="O485" s="1" t="str">
        <f t="shared" si="3"/>
        <v>Rank 3 Epic Chest</v>
      </c>
    </row>
    <row r="486" spans="12:16" x14ac:dyDescent="0.3">
      <c r="L486" s="2" t="s">
        <v>2560</v>
      </c>
      <c r="M486" s="2">
        <v>25554</v>
      </c>
      <c r="N486" s="2" t="s">
        <v>2580</v>
      </c>
      <c r="O486" s="1" t="str">
        <f t="shared" si="3"/>
        <v>Rank 4 Epic Chest</v>
      </c>
    </row>
    <row r="487" spans="12:16" x14ac:dyDescent="0.3">
      <c r="L487" s="2" t="s">
        <v>2561</v>
      </c>
      <c r="M487" s="2">
        <v>25555</v>
      </c>
      <c r="N487" s="2" t="s">
        <v>2580</v>
      </c>
      <c r="O487" s="1" t="str">
        <f t="shared" si="3"/>
        <v>Rank 5 Epic Chest</v>
      </c>
    </row>
    <row r="488" spans="12:16" x14ac:dyDescent="0.3">
      <c r="L488" s="2" t="s">
        <v>2562</v>
      </c>
      <c r="M488" s="2">
        <v>25556</v>
      </c>
      <c r="N488" s="2" t="s">
        <v>2580</v>
      </c>
      <c r="O488" s="1" t="str">
        <f t="shared" si="3"/>
        <v>Rank 6 Epic Chest</v>
      </c>
    </row>
    <row r="489" spans="12:16" x14ac:dyDescent="0.3">
      <c r="L489" s="2" t="s">
        <v>2563</v>
      </c>
      <c r="M489" s="2">
        <v>25557</v>
      </c>
      <c r="N489" s="2" t="s">
        <v>2580</v>
      </c>
      <c r="O489" s="1" t="str">
        <f t="shared" si="3"/>
        <v>Rank 7 Epic Chest</v>
      </c>
    </row>
    <row r="490" spans="12:16" x14ac:dyDescent="0.3">
      <c r="L490" s="2" t="s">
        <v>2564</v>
      </c>
      <c r="M490" s="2">
        <v>25558</v>
      </c>
      <c r="N490" s="2" t="s">
        <v>2580</v>
      </c>
      <c r="O490" s="1" t="str">
        <f t="shared" si="3"/>
        <v>Rank 8 Epic Chest</v>
      </c>
    </row>
    <row r="491" spans="12:16" x14ac:dyDescent="0.3">
      <c r="L491" s="2" t="s">
        <v>2565</v>
      </c>
      <c r="M491" s="2">
        <v>25559</v>
      </c>
      <c r="N491" s="2" t="s">
        <v>2580</v>
      </c>
      <c r="O491" s="1" t="str">
        <f t="shared" si="3"/>
        <v>Rank 9 Epic Chest</v>
      </c>
    </row>
    <row r="492" spans="12:16" x14ac:dyDescent="0.3">
      <c r="L492" s="2" t="s">
        <v>2566</v>
      </c>
      <c r="M492" s="2">
        <v>25560</v>
      </c>
      <c r="N492" s="2" t="s">
        <v>2580</v>
      </c>
      <c r="O492" s="1" t="str">
        <f>"Rank "&amp;RIGHT(L492,2)&amp;" Epic Chest"</f>
        <v>Rank 10 Epic Chest</v>
      </c>
    </row>
    <row r="493" spans="12:16" x14ac:dyDescent="0.3">
      <c r="L493" s="2" t="s">
        <v>2584</v>
      </c>
      <c r="M493" s="2">
        <v>23201</v>
      </c>
      <c r="N493" s="2" t="s">
        <v>2433</v>
      </c>
      <c r="O493" s="1" t="s">
        <v>2585</v>
      </c>
      <c r="P493" s="2" t="s">
        <v>503</v>
      </c>
    </row>
    <row r="494" spans="12:16" x14ac:dyDescent="0.3">
      <c r="L494" s="2" t="s">
        <v>2586</v>
      </c>
      <c r="M494" s="2">
        <v>23202</v>
      </c>
      <c r="N494" s="2" t="s">
        <v>2433</v>
      </c>
      <c r="O494" s="1" t="s">
        <v>2585</v>
      </c>
      <c r="P494" s="2" t="s">
        <v>503</v>
      </c>
    </row>
    <row r="495" spans="12:16" x14ac:dyDescent="0.3">
      <c r="L495" s="2" t="s">
        <v>2587</v>
      </c>
      <c r="M495" s="2">
        <v>23203</v>
      </c>
      <c r="N495" s="2" t="s">
        <v>2433</v>
      </c>
      <c r="O495" s="1" t="s">
        <v>2585</v>
      </c>
      <c r="P495" s="2" t="s">
        <v>503</v>
      </c>
    </row>
    <row r="496" spans="12:16" x14ac:dyDescent="0.3">
      <c r="L496" s="2" t="s">
        <v>2588</v>
      </c>
      <c r="M496" s="2">
        <v>23204</v>
      </c>
      <c r="N496" s="2" t="s">
        <v>2433</v>
      </c>
      <c r="O496" s="1" t="s">
        <v>2589</v>
      </c>
      <c r="P496" s="2" t="s">
        <v>504</v>
      </c>
    </row>
    <row r="497" spans="12:16" x14ac:dyDescent="0.3">
      <c r="L497" s="2" t="s">
        <v>2590</v>
      </c>
      <c r="M497" s="2">
        <v>23205</v>
      </c>
      <c r="N497" s="2" t="s">
        <v>2433</v>
      </c>
      <c r="O497" s="1" t="s">
        <v>2589</v>
      </c>
      <c r="P497" s="2" t="s">
        <v>504</v>
      </c>
    </row>
    <row r="498" spans="12:16" x14ac:dyDescent="0.3">
      <c r="L498" s="2" t="s">
        <v>2591</v>
      </c>
      <c r="M498" s="2">
        <v>23206</v>
      </c>
      <c r="N498" s="2" t="s">
        <v>2433</v>
      </c>
      <c r="O498" s="1" t="s">
        <v>2589</v>
      </c>
      <c r="P498" s="2" t="s">
        <v>504</v>
      </c>
    </row>
    <row r="499" spans="12:16" x14ac:dyDescent="0.3">
      <c r="L499" s="2" t="s">
        <v>2592</v>
      </c>
      <c r="M499" s="2">
        <v>23207</v>
      </c>
      <c r="N499" s="2" t="s">
        <v>2433</v>
      </c>
      <c r="O499" s="1" t="s">
        <v>2593</v>
      </c>
      <c r="P499" s="2" t="s">
        <v>505</v>
      </c>
    </row>
    <row r="500" spans="12:16" x14ac:dyDescent="0.3">
      <c r="L500" s="2" t="s">
        <v>2594</v>
      </c>
      <c r="M500" s="2">
        <v>23208</v>
      </c>
      <c r="N500" s="2" t="s">
        <v>2433</v>
      </c>
      <c r="O500" s="1" t="s">
        <v>2593</v>
      </c>
      <c r="P500" s="2" t="s">
        <v>505</v>
      </c>
    </row>
    <row r="501" spans="12:16" x14ac:dyDescent="0.3">
      <c r="L501" s="2" t="s">
        <v>2595</v>
      </c>
      <c r="M501" s="2">
        <v>23209</v>
      </c>
      <c r="N501" s="2" t="s">
        <v>2433</v>
      </c>
      <c r="O501" s="1" t="s">
        <v>2593</v>
      </c>
      <c r="P501" s="2" t="s">
        <v>505</v>
      </c>
    </row>
    <row r="502" spans="12:16" x14ac:dyDescent="0.3">
      <c r="L502" s="2" t="s">
        <v>2596</v>
      </c>
      <c r="M502" s="2">
        <v>24201</v>
      </c>
      <c r="N502" s="2" t="s">
        <v>2445</v>
      </c>
      <c r="O502" s="1" t="s">
        <v>2597</v>
      </c>
      <c r="P502" s="2" t="s">
        <v>1779</v>
      </c>
    </row>
    <row r="503" spans="12:16" x14ac:dyDescent="0.3">
      <c r="L503" s="2" t="s">
        <v>2598</v>
      </c>
      <c r="M503" s="2">
        <v>24202</v>
      </c>
      <c r="N503" s="2" t="s">
        <v>2445</v>
      </c>
      <c r="O503" s="1" t="s">
        <v>2599</v>
      </c>
      <c r="P503" s="2" t="s">
        <v>1780</v>
      </c>
    </row>
    <row r="504" spans="12:16" x14ac:dyDescent="0.3">
      <c r="L504" s="2" t="s">
        <v>2600</v>
      </c>
      <c r="M504" s="2">
        <v>24203</v>
      </c>
      <c r="N504" s="2" t="s">
        <v>2445</v>
      </c>
      <c r="O504" s="1" t="s">
        <v>2601</v>
      </c>
      <c r="P504" s="2" t="s">
        <v>1782</v>
      </c>
    </row>
    <row r="505" spans="12:16" x14ac:dyDescent="0.3">
      <c r="L505" s="2" t="s">
        <v>2602</v>
      </c>
      <c r="M505" s="2">
        <v>24204</v>
      </c>
      <c r="N505" s="2" t="s">
        <v>2445</v>
      </c>
      <c r="O505" s="1" t="s">
        <v>2603</v>
      </c>
      <c r="P505" s="2" t="s">
        <v>1783</v>
      </c>
    </row>
    <row r="506" spans="12:16" x14ac:dyDescent="0.3">
      <c r="L506" s="2" t="s">
        <v>2604</v>
      </c>
      <c r="M506" s="2">
        <v>24205</v>
      </c>
      <c r="N506" s="2" t="s">
        <v>2445</v>
      </c>
      <c r="O506" s="1" t="s">
        <v>2605</v>
      </c>
      <c r="P506" s="2" t="s">
        <v>1784</v>
      </c>
    </row>
    <row r="507" spans="12:16" x14ac:dyDescent="0.3">
      <c r="L507" s="2" t="s">
        <v>2606</v>
      </c>
      <c r="M507" s="2">
        <v>24206</v>
      </c>
      <c r="N507" s="2" t="s">
        <v>2445</v>
      </c>
      <c r="O507" s="1" t="s">
        <v>2607</v>
      </c>
      <c r="P507" s="2" t="s">
        <v>1786</v>
      </c>
    </row>
    <row r="508" spans="12:16" x14ac:dyDescent="0.3">
      <c r="L508" s="2" t="s">
        <v>2608</v>
      </c>
      <c r="M508" s="2">
        <v>24207</v>
      </c>
      <c r="N508" s="2" t="s">
        <v>2445</v>
      </c>
      <c r="O508" s="1" t="s">
        <v>2609</v>
      </c>
      <c r="P508" s="2" t="s">
        <v>1787</v>
      </c>
    </row>
    <row r="509" spans="12:16" x14ac:dyDescent="0.3">
      <c r="L509" s="2" t="s">
        <v>2610</v>
      </c>
      <c r="M509" s="2">
        <v>24208</v>
      </c>
      <c r="N509" s="2" t="s">
        <v>2445</v>
      </c>
    </row>
    <row r="511" spans="12:16" x14ac:dyDescent="0.3">
      <c r="L511" s="2" t="s">
        <v>2611</v>
      </c>
      <c r="M511" s="2">
        <v>150101</v>
      </c>
      <c r="N511" s="2" t="s">
        <v>2612</v>
      </c>
    </row>
    <row r="512" spans="12:16" x14ac:dyDescent="0.3">
      <c r="L512" s="2" t="s">
        <v>2613</v>
      </c>
      <c r="M512" s="2">
        <v>150102</v>
      </c>
      <c r="N512" s="2" t="s">
        <v>2614</v>
      </c>
    </row>
    <row r="513" spans="12:14" x14ac:dyDescent="0.3">
      <c r="L513" s="2" t="s">
        <v>2615</v>
      </c>
      <c r="M513" s="2">
        <v>150103</v>
      </c>
      <c r="N513" s="2" t="s">
        <v>2616</v>
      </c>
    </row>
    <row r="514" spans="12:14" x14ac:dyDescent="0.3">
      <c r="L514" s="2" t="s">
        <v>2617</v>
      </c>
      <c r="M514" s="2">
        <v>150104</v>
      </c>
      <c r="N514" s="2" t="s">
        <v>2618</v>
      </c>
    </row>
    <row r="515" spans="12:14" x14ac:dyDescent="0.3">
      <c r="L515" s="2" t="s">
        <v>2619</v>
      </c>
      <c r="M515" s="2">
        <v>150105</v>
      </c>
      <c r="N515" s="2" t="s">
        <v>2620</v>
      </c>
    </row>
    <row r="516" spans="12:14" x14ac:dyDescent="0.3">
      <c r="L516" s="2" t="s">
        <v>2621</v>
      </c>
      <c r="M516" s="2">
        <v>150106</v>
      </c>
      <c r="N516" s="2" t="s">
        <v>2622</v>
      </c>
    </row>
    <row r="517" spans="12:14" x14ac:dyDescent="0.3">
      <c r="L517" s="2" t="s">
        <v>2623</v>
      </c>
      <c r="M517" s="2">
        <v>150107</v>
      </c>
      <c r="N517" s="2" t="s">
        <v>2624</v>
      </c>
    </row>
    <row r="518" spans="12:14" x14ac:dyDescent="0.3">
      <c r="L518" s="2" t="s">
        <v>2625</v>
      </c>
      <c r="M518" s="2">
        <v>130102</v>
      </c>
      <c r="N518" s="2" t="s">
        <v>2626</v>
      </c>
    </row>
    <row r="519" spans="12:14" x14ac:dyDescent="0.3">
      <c r="L519" s="2" t="s">
        <v>2627</v>
      </c>
      <c r="M519" s="2">
        <v>130103</v>
      </c>
      <c r="N519" s="2" t="s">
        <v>2628</v>
      </c>
    </row>
    <row r="520" spans="12:14" x14ac:dyDescent="0.3">
      <c r="L520" s="2" t="s">
        <v>2629</v>
      </c>
      <c r="M520" s="2">
        <v>130104</v>
      </c>
      <c r="N520" s="2" t="s">
        <v>2630</v>
      </c>
    </row>
    <row r="521" spans="12:14" x14ac:dyDescent="0.3">
      <c r="L521" s="2" t="s">
        <v>2631</v>
      </c>
      <c r="M521" s="2">
        <v>130105</v>
      </c>
      <c r="N521" s="2" t="s">
        <v>2632</v>
      </c>
    </row>
    <row r="522" spans="12:14" x14ac:dyDescent="0.3">
      <c r="L522" s="2" t="s">
        <v>2633</v>
      </c>
      <c r="M522" s="2">
        <v>130106</v>
      </c>
      <c r="N522" s="2" t="s">
        <v>2634</v>
      </c>
    </row>
    <row r="523" spans="12:14" x14ac:dyDescent="0.3">
      <c r="L523" s="2" t="s">
        <v>2635</v>
      </c>
      <c r="M523" s="2">
        <v>130107</v>
      </c>
      <c r="N523" s="2" t="s">
        <v>2636</v>
      </c>
    </row>
    <row r="524" spans="12:14" x14ac:dyDescent="0.3">
      <c r="L524" s="2" t="s">
        <v>2637</v>
      </c>
      <c r="M524" s="2">
        <v>130108</v>
      </c>
      <c r="N524" s="2" t="s">
        <v>2638</v>
      </c>
    </row>
    <row r="525" spans="12:14" x14ac:dyDescent="0.3">
      <c r="L525" s="2" t="s">
        <v>2639</v>
      </c>
      <c r="M525" s="2">
        <v>110101</v>
      </c>
      <c r="N525" s="2" t="s">
        <v>2640</v>
      </c>
    </row>
    <row r="526" spans="12:14" x14ac:dyDescent="0.3">
      <c r="L526" s="2" t="s">
        <v>2641</v>
      </c>
      <c r="M526" s="2">
        <v>110102</v>
      </c>
      <c r="N526" s="2" t="s">
        <v>2642</v>
      </c>
    </row>
    <row r="527" spans="12:14" x14ac:dyDescent="0.3">
      <c r="L527" s="2" t="s">
        <v>2643</v>
      </c>
      <c r="M527" s="2">
        <v>110103</v>
      </c>
      <c r="N527" s="2" t="s">
        <v>2644</v>
      </c>
    </row>
    <row r="528" spans="12:14" x14ac:dyDescent="0.3">
      <c r="L528" s="2" t="s">
        <v>2645</v>
      </c>
      <c r="M528" s="2">
        <v>110104</v>
      </c>
      <c r="N528" s="2" t="s">
        <v>2646</v>
      </c>
    </row>
    <row r="529" spans="12:14" x14ac:dyDescent="0.3">
      <c r="L529" s="2" t="s">
        <v>2647</v>
      </c>
      <c r="M529" s="2">
        <v>110105</v>
      </c>
      <c r="N529" s="2" t="s">
        <v>2648</v>
      </c>
    </row>
    <row r="530" spans="12:14" x14ac:dyDescent="0.3">
      <c r="L530" s="2" t="s">
        <v>2649</v>
      </c>
      <c r="M530" s="2">
        <v>120101</v>
      </c>
      <c r="N530" s="2" t="s">
        <v>2650</v>
      </c>
    </row>
    <row r="531" spans="12:14" x14ac:dyDescent="0.3">
      <c r="L531" s="2" t="s">
        <v>2651</v>
      </c>
      <c r="M531" s="2">
        <v>120102</v>
      </c>
      <c r="N531" s="2" t="s">
        <v>2652</v>
      </c>
    </row>
    <row r="532" spans="12:14" x14ac:dyDescent="0.3">
      <c r="L532" s="2" t="s">
        <v>2653</v>
      </c>
      <c r="M532" s="2">
        <v>120103</v>
      </c>
      <c r="N532" s="2" t="s">
        <v>2654</v>
      </c>
    </row>
    <row r="533" spans="12:14" x14ac:dyDescent="0.3">
      <c r="L533" s="2" t="s">
        <v>2655</v>
      </c>
      <c r="M533" s="2">
        <v>120104</v>
      </c>
      <c r="N533" s="2" t="s">
        <v>2656</v>
      </c>
    </row>
    <row r="534" spans="12:14" x14ac:dyDescent="0.3">
      <c r="L534" s="2" t="s">
        <v>2657</v>
      </c>
      <c r="M534" s="2">
        <v>120201</v>
      </c>
      <c r="N534" s="2" t="s">
        <v>2658</v>
      </c>
    </row>
    <row r="535" spans="12:14" x14ac:dyDescent="0.3">
      <c r="L535" s="2" t="s">
        <v>2659</v>
      </c>
      <c r="M535" s="2">
        <v>120202</v>
      </c>
      <c r="N535" s="2" t="s">
        <v>2660</v>
      </c>
    </row>
    <row r="536" spans="12:14" x14ac:dyDescent="0.3">
      <c r="L536" s="2" t="s">
        <v>2661</v>
      </c>
      <c r="M536" s="2">
        <v>120203</v>
      </c>
      <c r="N536" s="2" t="s">
        <v>2662</v>
      </c>
    </row>
    <row r="537" spans="12:14" x14ac:dyDescent="0.3">
      <c r="L537" s="2" t="s">
        <v>2663</v>
      </c>
      <c r="M537" s="2">
        <v>120204</v>
      </c>
      <c r="N537" s="2" t="s">
        <v>2664</v>
      </c>
    </row>
    <row r="538" spans="12:14" x14ac:dyDescent="0.3">
      <c r="L538" s="2" t="s">
        <v>2665</v>
      </c>
      <c r="M538" s="2">
        <v>120301</v>
      </c>
      <c r="N538" s="2" t="s">
        <v>2666</v>
      </c>
    </row>
    <row r="539" spans="12:14" x14ac:dyDescent="0.3">
      <c r="L539" s="2" t="s">
        <v>2667</v>
      </c>
      <c r="M539" s="2">
        <v>120302</v>
      </c>
      <c r="N539" s="2" t="s">
        <v>2668</v>
      </c>
    </row>
    <row r="540" spans="12:14" x14ac:dyDescent="0.3">
      <c r="L540" s="2" t="s">
        <v>2669</v>
      </c>
      <c r="M540" s="2">
        <v>120303</v>
      </c>
      <c r="N540" s="2" t="s">
        <v>2670</v>
      </c>
    </row>
    <row r="541" spans="12:14" x14ac:dyDescent="0.3">
      <c r="L541" s="2" t="s">
        <v>2671</v>
      </c>
      <c r="M541" s="2">
        <v>120304</v>
      </c>
      <c r="N541" s="2" t="s">
        <v>2672</v>
      </c>
    </row>
    <row r="542" spans="12:14" x14ac:dyDescent="0.3">
      <c r="L542" s="2" t="s">
        <v>2673</v>
      </c>
      <c r="M542" s="2">
        <v>180001</v>
      </c>
      <c r="N542" s="2" t="s">
        <v>2674</v>
      </c>
    </row>
    <row r="543" spans="12:14" x14ac:dyDescent="0.3">
      <c r="L543" s="2" t="s">
        <v>2675</v>
      </c>
      <c r="M543" s="2">
        <v>180002</v>
      </c>
      <c r="N543" s="2" t="s">
        <v>2676</v>
      </c>
    </row>
    <row r="544" spans="12:14" x14ac:dyDescent="0.3">
      <c r="L544" s="2" t="s">
        <v>2677</v>
      </c>
      <c r="M544" s="2">
        <v>180003</v>
      </c>
      <c r="N544" s="2" t="s">
        <v>2678</v>
      </c>
    </row>
    <row r="545" spans="12:14" x14ac:dyDescent="0.3">
      <c r="L545" s="2" t="s">
        <v>2679</v>
      </c>
      <c r="M545" s="2">
        <v>180004</v>
      </c>
      <c r="N545" s="2" t="s">
        <v>2680</v>
      </c>
    </row>
    <row r="546" spans="12:14" x14ac:dyDescent="0.3">
      <c r="L546" s="2" t="s">
        <v>2681</v>
      </c>
      <c r="M546" s="2">
        <v>180005</v>
      </c>
      <c r="N546" s="2" t="s">
        <v>2682</v>
      </c>
    </row>
    <row r="547" spans="12:14" x14ac:dyDescent="0.3">
      <c r="L547" s="2" t="s">
        <v>2683</v>
      </c>
      <c r="M547" s="2">
        <v>180006</v>
      </c>
      <c r="N547" s="2" t="s">
        <v>2684</v>
      </c>
    </row>
    <row r="548" spans="12:14" x14ac:dyDescent="0.3">
      <c r="L548" s="2" t="s">
        <v>2685</v>
      </c>
      <c r="M548" s="2">
        <v>180007</v>
      </c>
      <c r="N548" s="2" t="s">
        <v>2686</v>
      </c>
    </row>
    <row r="549" spans="12:14" x14ac:dyDescent="0.3">
      <c r="L549" s="2" t="s">
        <v>2687</v>
      </c>
      <c r="M549" s="2">
        <v>180008</v>
      </c>
      <c r="N549" s="2" t="s">
        <v>2688</v>
      </c>
    </row>
    <row r="550" spans="12:14" x14ac:dyDescent="0.3">
      <c r="L550" s="2" t="s">
        <v>2689</v>
      </c>
      <c r="M550" s="2">
        <v>180009</v>
      </c>
      <c r="N550" s="2" t="s">
        <v>2690</v>
      </c>
    </row>
    <row r="551" spans="12:14" x14ac:dyDescent="0.3">
      <c r="L551" s="2" t="s">
        <v>2691</v>
      </c>
      <c r="M551" s="2">
        <v>180010</v>
      </c>
      <c r="N551" s="2" t="s">
        <v>2692</v>
      </c>
    </row>
    <row r="552" spans="12:14" x14ac:dyDescent="0.3">
      <c r="L552" s="2" t="s">
        <v>2693</v>
      </c>
      <c r="M552" s="2">
        <v>180013</v>
      </c>
      <c r="N552" s="2" t="s">
        <v>2694</v>
      </c>
    </row>
    <row r="553" spans="12:14" x14ac:dyDescent="0.3">
      <c r="L553" s="2" t="s">
        <v>2695</v>
      </c>
      <c r="M553" s="2">
        <v>180014</v>
      </c>
      <c r="N553" s="2" t="s">
        <v>2696</v>
      </c>
    </row>
    <row r="554" spans="12:14" x14ac:dyDescent="0.3">
      <c r="L554" s="2" t="s">
        <v>2697</v>
      </c>
      <c r="M554" s="2">
        <v>180015</v>
      </c>
      <c r="N554" s="2" t="s">
        <v>2698</v>
      </c>
    </row>
    <row r="555" spans="12:14" x14ac:dyDescent="0.3">
      <c r="L555" s="2" t="s">
        <v>2699</v>
      </c>
      <c r="M555" s="2">
        <v>180016</v>
      </c>
      <c r="N555" s="2" t="s">
        <v>2700</v>
      </c>
    </row>
    <row r="556" spans="12:14" x14ac:dyDescent="0.3">
      <c r="L556" s="2" t="s">
        <v>2701</v>
      </c>
      <c r="M556" s="2">
        <v>190001</v>
      </c>
      <c r="N556" s="2" t="s">
        <v>2702</v>
      </c>
    </row>
    <row r="557" spans="12:14" x14ac:dyDescent="0.3">
      <c r="L557" s="2" t="s">
        <v>2703</v>
      </c>
      <c r="M557" s="2">
        <v>190002</v>
      </c>
      <c r="N557" s="2" t="s">
        <v>2704</v>
      </c>
    </row>
    <row r="558" spans="12:14" x14ac:dyDescent="0.3">
      <c r="L558" s="2" t="s">
        <v>2705</v>
      </c>
      <c r="M558" s="2">
        <v>190003</v>
      </c>
      <c r="N558" s="2" t="s">
        <v>2706</v>
      </c>
    </row>
    <row r="559" spans="12:14" x14ac:dyDescent="0.3">
      <c r="L559" s="2" t="s">
        <v>2707</v>
      </c>
      <c r="M559" s="2">
        <v>113</v>
      </c>
      <c r="N559" s="2" t="s">
        <v>1854</v>
      </c>
    </row>
    <row r="560" spans="12:14" x14ac:dyDescent="0.3">
      <c r="L560" s="2" t="s">
        <v>2708</v>
      </c>
      <c r="M560" s="2">
        <v>140101</v>
      </c>
      <c r="N560" s="2" t="s">
        <v>2709</v>
      </c>
    </row>
    <row r="561" spans="12:14" x14ac:dyDescent="0.3">
      <c r="L561" s="2" t="s">
        <v>2710</v>
      </c>
      <c r="M561" s="2">
        <v>140102</v>
      </c>
      <c r="N561" s="2" t="s">
        <v>2711</v>
      </c>
    </row>
    <row r="562" spans="12:14" x14ac:dyDescent="0.3">
      <c r="L562" s="2" t="s">
        <v>2712</v>
      </c>
      <c r="M562" s="2">
        <v>140103</v>
      </c>
      <c r="N562" s="2" t="s">
        <v>2713</v>
      </c>
    </row>
    <row r="563" spans="12:14" x14ac:dyDescent="0.3">
      <c r="L563" s="2" t="s">
        <v>2714</v>
      </c>
      <c r="M563" s="2">
        <v>140104</v>
      </c>
      <c r="N563" s="2" t="s">
        <v>2715</v>
      </c>
    </row>
    <row r="564" spans="12:14" x14ac:dyDescent="0.3">
      <c r="L564" s="2" t="s">
        <v>2716</v>
      </c>
      <c r="M564" s="2">
        <v>140105</v>
      </c>
      <c r="N564" s="2" t="s">
        <v>2717</v>
      </c>
    </row>
    <row r="565" spans="12:14" x14ac:dyDescent="0.3">
      <c r="L565" s="2" t="s">
        <v>2718</v>
      </c>
      <c r="M565" s="2">
        <v>140106</v>
      </c>
      <c r="N565" s="2" t="s">
        <v>2719</v>
      </c>
    </row>
    <row r="566" spans="12:14" x14ac:dyDescent="0.3">
      <c r="L566" s="2" t="s">
        <v>2720</v>
      </c>
      <c r="M566" s="2">
        <v>140107</v>
      </c>
      <c r="N566" s="2" t="s">
        <v>2721</v>
      </c>
    </row>
    <row r="567" spans="12:14" x14ac:dyDescent="0.3">
      <c r="L567" s="2" t="s">
        <v>2722</v>
      </c>
      <c r="M567" s="2">
        <v>140108</v>
      </c>
      <c r="N567" s="2" t="s">
        <v>2723</v>
      </c>
    </row>
    <row r="568" spans="12:14" x14ac:dyDescent="0.3">
      <c r="L568" s="2" t="s">
        <v>2724</v>
      </c>
      <c r="M568" s="2">
        <v>140109</v>
      </c>
      <c r="N568" s="2" t="s">
        <v>2725</v>
      </c>
    </row>
    <row r="569" spans="12:14" x14ac:dyDescent="0.3">
      <c r="L569" s="2" t="s">
        <v>2726</v>
      </c>
      <c r="M569" s="2">
        <v>140110</v>
      </c>
      <c r="N569" s="2" t="s">
        <v>2727</v>
      </c>
    </row>
    <row r="570" spans="12:14" x14ac:dyDescent="0.3">
      <c r="L570" s="2" t="s">
        <v>2728</v>
      </c>
      <c r="M570" s="2">
        <v>140111</v>
      </c>
      <c r="N570" s="2" t="s">
        <v>2729</v>
      </c>
    </row>
    <row r="571" spans="12:14" x14ac:dyDescent="0.3">
      <c r="L571" s="2" t="s">
        <v>2730</v>
      </c>
      <c r="M571" s="2">
        <v>140112</v>
      </c>
      <c r="N571" s="2" t="s">
        <v>2731</v>
      </c>
    </row>
    <row r="572" spans="12:14" x14ac:dyDescent="0.3">
      <c r="L572" s="2" t="s">
        <v>2732</v>
      </c>
      <c r="M572" s="2">
        <v>140113</v>
      </c>
      <c r="N572" s="2" t="s">
        <v>2733</v>
      </c>
    </row>
    <row r="573" spans="12:14" x14ac:dyDescent="0.3">
      <c r="L573" s="2" t="s">
        <v>2734</v>
      </c>
      <c r="M573" s="2">
        <v>140114</v>
      </c>
      <c r="N573" s="2" t="s">
        <v>2735</v>
      </c>
    </row>
    <row r="574" spans="12:14" x14ac:dyDescent="0.3">
      <c r="L574" s="2" t="s">
        <v>2736</v>
      </c>
      <c r="M574" s="2">
        <v>180017</v>
      </c>
      <c r="N574" s="2" t="s">
        <v>2737</v>
      </c>
    </row>
    <row r="575" spans="12:14" x14ac:dyDescent="0.3">
      <c r="L575" s="2" t="s">
        <v>2738</v>
      </c>
      <c r="M575" s="2">
        <v>180018</v>
      </c>
      <c r="N575" s="2" t="s">
        <v>2739</v>
      </c>
    </row>
    <row r="576" spans="12:14" x14ac:dyDescent="0.3">
      <c r="L576" s="2" t="s">
        <v>2740</v>
      </c>
      <c r="M576" s="2">
        <v>180020</v>
      </c>
      <c r="N576" s="2" t="s">
        <v>2741</v>
      </c>
    </row>
    <row r="577" spans="12:14" x14ac:dyDescent="0.3">
      <c r="L577" s="2" t="s">
        <v>2742</v>
      </c>
      <c r="M577" s="2">
        <v>180021</v>
      </c>
      <c r="N577" s="2" t="s">
        <v>2743</v>
      </c>
    </row>
    <row r="578" spans="12:14" x14ac:dyDescent="0.3">
      <c r="L578" s="2" t="s">
        <v>2744</v>
      </c>
      <c r="M578" s="2">
        <v>180023</v>
      </c>
      <c r="N578" s="2" t="s">
        <v>2745</v>
      </c>
    </row>
    <row r="579" spans="12:14" x14ac:dyDescent="0.3">
      <c r="L579" s="2" t="s">
        <v>2746</v>
      </c>
      <c r="M579" s="2">
        <v>180024</v>
      </c>
      <c r="N579" s="2" t="s">
        <v>2747</v>
      </c>
    </row>
    <row r="580" spans="12:14" x14ac:dyDescent="0.3">
      <c r="L580" s="2" t="s">
        <v>2748</v>
      </c>
      <c r="M580" s="2">
        <v>112</v>
      </c>
      <c r="N580" s="2" t="s">
        <v>1854</v>
      </c>
    </row>
    <row r="581" spans="12:14" x14ac:dyDescent="0.3">
      <c r="L581" s="2" t="s">
        <v>2749</v>
      </c>
      <c r="M581" s="2">
        <v>220001</v>
      </c>
      <c r="N581" s="2" t="s">
        <v>2750</v>
      </c>
    </row>
    <row r="582" spans="12:14" x14ac:dyDescent="0.3">
      <c r="L582" s="2" t="s">
        <v>2751</v>
      </c>
      <c r="M582" s="2">
        <v>220002</v>
      </c>
      <c r="N582" s="2" t="s">
        <v>2752</v>
      </c>
    </row>
    <row r="583" spans="12:14" x14ac:dyDescent="0.3">
      <c r="L583" s="2" t="s">
        <v>2753</v>
      </c>
      <c r="M583" s="2">
        <v>220003</v>
      </c>
      <c r="N583" s="2" t="s">
        <v>2754</v>
      </c>
    </row>
    <row r="584" spans="12:14" x14ac:dyDescent="0.3">
      <c r="L584" s="2" t="s">
        <v>2755</v>
      </c>
      <c r="M584" s="2">
        <v>220004</v>
      </c>
      <c r="N584" s="2" t="s">
        <v>2756</v>
      </c>
    </row>
    <row r="585" spans="12:14" x14ac:dyDescent="0.3">
      <c r="L585" s="2" t="s">
        <v>2757</v>
      </c>
      <c r="M585" s="2">
        <v>220005</v>
      </c>
      <c r="N585" s="2" t="s">
        <v>2758</v>
      </c>
    </row>
    <row r="586" spans="12:14" x14ac:dyDescent="0.3">
      <c r="L586" s="2" t="s">
        <v>2759</v>
      </c>
      <c r="M586" s="2">
        <v>220006</v>
      </c>
      <c r="N586" s="2" t="s">
        <v>2760</v>
      </c>
    </row>
    <row r="587" spans="12:14" x14ac:dyDescent="0.3">
      <c r="L587" s="2" t="s">
        <v>2761</v>
      </c>
      <c r="M587" s="2">
        <v>220007</v>
      </c>
      <c r="N587" s="2" t="s">
        <v>2762</v>
      </c>
    </row>
    <row r="588" spans="12:14" x14ac:dyDescent="0.3">
      <c r="L588" s="2" t="s">
        <v>2763</v>
      </c>
      <c r="M588" s="2">
        <v>220008</v>
      </c>
      <c r="N588" s="2" t="s">
        <v>2764</v>
      </c>
    </row>
    <row r="589" spans="12:14" x14ac:dyDescent="0.3">
      <c r="L589" s="2" t="s">
        <v>2765</v>
      </c>
      <c r="M589" s="2">
        <v>220009</v>
      </c>
      <c r="N589" s="2" t="s">
        <v>2766</v>
      </c>
    </row>
    <row r="590" spans="12:14" x14ac:dyDescent="0.3">
      <c r="L590" s="2" t="s">
        <v>2767</v>
      </c>
      <c r="M590" s="2">
        <v>180027</v>
      </c>
      <c r="N590" s="2" t="s">
        <v>2768</v>
      </c>
    </row>
    <row r="591" spans="12:14" x14ac:dyDescent="0.3">
      <c r="L591" s="2" t="s">
        <v>2769</v>
      </c>
      <c r="M591" s="2">
        <v>150108</v>
      </c>
      <c r="N591" s="2" t="s">
        <v>2770</v>
      </c>
    </row>
    <row r="592" spans="12:14" x14ac:dyDescent="0.3">
      <c r="L592" s="2" t="s">
        <v>2771</v>
      </c>
      <c r="M592" s="2">
        <v>150109</v>
      </c>
      <c r="N592" s="2" t="s">
        <v>2772</v>
      </c>
    </row>
    <row r="593" spans="12:14" x14ac:dyDescent="0.3">
      <c r="L593" s="2" t="s">
        <v>2773</v>
      </c>
      <c r="M593" s="2">
        <v>110106</v>
      </c>
      <c r="N593" s="2" t="s">
        <v>2774</v>
      </c>
    </row>
    <row r="594" spans="12:14" x14ac:dyDescent="0.3">
      <c r="L594" s="2" t="s">
        <v>291</v>
      </c>
      <c r="M594" s="2">
        <v>170101</v>
      </c>
      <c r="N594" s="2" t="s">
        <v>2775</v>
      </c>
    </row>
    <row r="595" spans="12:14" x14ac:dyDescent="0.3">
      <c r="L595" s="2" t="s">
        <v>322</v>
      </c>
      <c r="M595" s="2">
        <v>40001</v>
      </c>
      <c r="N595" s="2" t="s">
        <v>2776</v>
      </c>
    </row>
    <row r="596" spans="12:14" x14ac:dyDescent="0.3">
      <c r="L596" s="2" t="s">
        <v>2777</v>
      </c>
      <c r="M596" s="2">
        <v>40002</v>
      </c>
      <c r="N596" s="2" t="s">
        <v>2778</v>
      </c>
    </row>
    <row r="597" spans="12:14" x14ac:dyDescent="0.3">
      <c r="L597" s="2" t="s">
        <v>2779</v>
      </c>
      <c r="M597" s="2">
        <v>40003</v>
      </c>
      <c r="N597" s="2" t="s">
        <v>2467</v>
      </c>
    </row>
    <row r="598" spans="12:14" x14ac:dyDescent="0.3">
      <c r="L598" s="2" t="s">
        <v>2780</v>
      </c>
      <c r="M598" s="2">
        <v>40004</v>
      </c>
      <c r="N598" s="2" t="s">
        <v>2781</v>
      </c>
    </row>
    <row r="599" spans="12:14" x14ac:dyDescent="0.3">
      <c r="L599" s="2" t="s">
        <v>2782</v>
      </c>
      <c r="M599" s="2">
        <v>40005</v>
      </c>
      <c r="N599" s="2" t="s">
        <v>2456</v>
      </c>
    </row>
    <row r="600" spans="12:14" x14ac:dyDescent="0.3">
      <c r="L600" s="2" t="s">
        <v>2783</v>
      </c>
      <c r="M600" s="2">
        <v>220010</v>
      </c>
      <c r="N600" s="2" t="s">
        <v>2750</v>
      </c>
    </row>
    <row r="601" spans="12:14" x14ac:dyDescent="0.3">
      <c r="L601" s="2" t="s">
        <v>2784</v>
      </c>
      <c r="M601" s="2">
        <v>220011</v>
      </c>
      <c r="N601" s="2" t="s">
        <v>2752</v>
      </c>
    </row>
    <row r="602" spans="12:14" x14ac:dyDescent="0.3">
      <c r="L602" s="2" t="s">
        <v>2785</v>
      </c>
      <c r="M602" s="2">
        <v>220012</v>
      </c>
      <c r="N602" s="2" t="s">
        <v>2754</v>
      </c>
    </row>
    <row r="603" spans="12:14" x14ac:dyDescent="0.3">
      <c r="L603" s="2" t="s">
        <v>2786</v>
      </c>
      <c r="M603" s="2">
        <v>220013</v>
      </c>
      <c r="N603" s="2" t="s">
        <v>2756</v>
      </c>
    </row>
    <row r="604" spans="12:14" x14ac:dyDescent="0.3">
      <c r="L604" s="2" t="s">
        <v>2787</v>
      </c>
      <c r="M604" s="2">
        <v>220014</v>
      </c>
      <c r="N604" s="2" t="s">
        <v>2758</v>
      </c>
    </row>
    <row r="605" spans="12:14" x14ac:dyDescent="0.3">
      <c r="L605" s="2" t="s">
        <v>2788</v>
      </c>
      <c r="M605" s="2">
        <v>220015</v>
      </c>
      <c r="N605" s="2" t="s">
        <v>2760</v>
      </c>
    </row>
    <row r="606" spans="12:14" x14ac:dyDescent="0.3">
      <c r="L606" s="2" t="s">
        <v>2789</v>
      </c>
      <c r="M606" s="2">
        <v>140121</v>
      </c>
      <c r="N606" s="2" t="s">
        <v>2790</v>
      </c>
    </row>
    <row r="607" spans="12:14" x14ac:dyDescent="0.3">
      <c r="L607" s="2" t="s">
        <v>2791</v>
      </c>
      <c r="M607" s="2">
        <v>140122</v>
      </c>
      <c r="N607" s="2" t="s">
        <v>2792</v>
      </c>
    </row>
    <row r="608" spans="12:14" x14ac:dyDescent="0.3">
      <c r="L608" s="2" t="s">
        <v>2793</v>
      </c>
      <c r="M608" s="2">
        <v>130112</v>
      </c>
      <c r="N608" s="2" t="s">
        <v>2794</v>
      </c>
    </row>
    <row r="609" spans="12:14" x14ac:dyDescent="0.3">
      <c r="L609" s="2" t="s">
        <v>2795</v>
      </c>
      <c r="M609" s="2">
        <v>130113</v>
      </c>
      <c r="N609" s="2" t="s">
        <v>2796</v>
      </c>
    </row>
    <row r="610" spans="12:14" x14ac:dyDescent="0.3">
      <c r="L610" s="2" t="s">
        <v>2797</v>
      </c>
      <c r="M610" s="2">
        <v>20019</v>
      </c>
      <c r="N610" s="2" t="s">
        <v>2445</v>
      </c>
    </row>
    <row r="611" spans="12:14" x14ac:dyDescent="0.3">
      <c r="L611" s="2" t="s">
        <v>2791</v>
      </c>
      <c r="M611" s="2">
        <v>140122</v>
      </c>
      <c r="N611" s="2" t="s">
        <v>2792</v>
      </c>
    </row>
    <row r="612" spans="12:14" x14ac:dyDescent="0.3">
      <c r="L612" s="2" t="s">
        <v>2798</v>
      </c>
      <c r="M612" s="2">
        <v>140123</v>
      </c>
      <c r="N612" s="2" t="s">
        <v>2799</v>
      </c>
    </row>
    <row r="613" spans="12:14" x14ac:dyDescent="0.3">
      <c r="L613" s="2" t="s">
        <v>2800</v>
      </c>
      <c r="M613" s="2">
        <v>140124</v>
      </c>
      <c r="N613" s="2" t="s">
        <v>2801</v>
      </c>
    </row>
    <row r="614" spans="12:14" x14ac:dyDescent="0.3">
      <c r="L614" s="2" t="s">
        <v>2802</v>
      </c>
      <c r="M614" s="2">
        <v>140125</v>
      </c>
      <c r="N614" s="2" t="s">
        <v>2803</v>
      </c>
    </row>
    <row r="615" spans="12:14" x14ac:dyDescent="0.3">
      <c r="L615" s="2" t="s">
        <v>2804</v>
      </c>
      <c r="M615" s="2">
        <v>140126</v>
      </c>
      <c r="N615" s="2" t="s">
        <v>2805</v>
      </c>
    </row>
    <row r="616" spans="12:14" x14ac:dyDescent="0.3">
      <c r="L616" s="2" t="s">
        <v>2806</v>
      </c>
      <c r="M616" s="2">
        <v>140127</v>
      </c>
      <c r="N616" s="2" t="s">
        <v>2807</v>
      </c>
    </row>
    <row r="617" spans="12:14" x14ac:dyDescent="0.3">
      <c r="L617" s="2" t="s">
        <v>2808</v>
      </c>
      <c r="M617" s="2">
        <v>130114</v>
      </c>
      <c r="N617" s="2" t="s">
        <v>2809</v>
      </c>
    </row>
    <row r="618" spans="12:14" x14ac:dyDescent="0.3">
      <c r="L618" s="2" t="s">
        <v>2810</v>
      </c>
      <c r="M618" s="2">
        <v>130115</v>
      </c>
      <c r="N618" s="2" t="s">
        <v>2811</v>
      </c>
    </row>
    <row r="619" spans="12:14" x14ac:dyDescent="0.3">
      <c r="L619" s="2" t="s">
        <v>2812</v>
      </c>
      <c r="M619" s="2">
        <v>130116</v>
      </c>
      <c r="N619" s="2" t="s">
        <v>2813</v>
      </c>
    </row>
    <row r="620" spans="12:14" x14ac:dyDescent="0.3">
      <c r="L620" s="2" t="s">
        <v>2814</v>
      </c>
      <c r="M620" s="2">
        <v>130117</v>
      </c>
      <c r="N620" s="2" t="s">
        <v>2815</v>
      </c>
    </row>
    <row r="621" spans="12:14" x14ac:dyDescent="0.3">
      <c r="L621" s="2" t="s">
        <v>2816</v>
      </c>
      <c r="M621" s="2">
        <v>130118</v>
      </c>
      <c r="N621" s="2" t="s">
        <v>2817</v>
      </c>
    </row>
    <row r="622" spans="12:14" x14ac:dyDescent="0.3">
      <c r="L622" s="2" t="s">
        <v>2818</v>
      </c>
      <c r="M622" s="2">
        <v>130119</v>
      </c>
      <c r="N622" s="2" t="s">
        <v>2819</v>
      </c>
    </row>
    <row r="623" spans="12:14" x14ac:dyDescent="0.3">
      <c r="L623" s="2" t="s">
        <v>2820</v>
      </c>
      <c r="M623" s="2">
        <v>130120</v>
      </c>
      <c r="N623" s="2" t="s">
        <v>2821</v>
      </c>
    </row>
    <row r="624" spans="12:14" x14ac:dyDescent="0.3">
      <c r="L624" s="2" t="s">
        <v>2822</v>
      </c>
      <c r="M624" s="2">
        <v>180035</v>
      </c>
      <c r="N624" s="2" t="s">
        <v>2823</v>
      </c>
    </row>
    <row r="625" spans="12:14" x14ac:dyDescent="0.3">
      <c r="L625" s="2" t="s">
        <v>2824</v>
      </c>
      <c r="M625" s="2">
        <v>150110</v>
      </c>
      <c r="N625" s="2" t="s">
        <v>2825</v>
      </c>
    </row>
    <row r="626" spans="12:14" x14ac:dyDescent="0.3">
      <c r="L626" s="2" t="s">
        <v>2826</v>
      </c>
      <c r="M626" s="2">
        <v>150111</v>
      </c>
      <c r="N626" s="2" t="s">
        <v>2827</v>
      </c>
    </row>
    <row r="627" spans="12:14" x14ac:dyDescent="0.3">
      <c r="L627" s="2" t="s">
        <v>2828</v>
      </c>
      <c r="M627" s="2">
        <v>150112</v>
      </c>
      <c r="N627" s="2" t="s">
        <v>2829</v>
      </c>
    </row>
    <row r="628" spans="12:14" x14ac:dyDescent="0.3">
      <c r="L628" s="2" t="s">
        <v>2830</v>
      </c>
      <c r="M628" s="2">
        <v>110107</v>
      </c>
      <c r="N628" s="2" t="s">
        <v>2831</v>
      </c>
    </row>
    <row r="629" spans="12:14" x14ac:dyDescent="0.3">
      <c r="L629" s="2" t="s">
        <v>2832</v>
      </c>
      <c r="M629" s="2">
        <v>110108</v>
      </c>
      <c r="N629" s="2" t="s">
        <v>2833</v>
      </c>
    </row>
    <row r="630" spans="12:14" x14ac:dyDescent="0.3">
      <c r="L630" s="2" t="s">
        <v>2834</v>
      </c>
      <c r="M630" s="2">
        <v>110109</v>
      </c>
      <c r="N630" s="2" t="s">
        <v>2835</v>
      </c>
    </row>
    <row r="631" spans="12:14" x14ac:dyDescent="0.3">
      <c r="L631" s="2" t="s">
        <v>2836</v>
      </c>
      <c r="M631" s="2">
        <v>190004</v>
      </c>
      <c r="N631" s="2" t="s">
        <v>2837</v>
      </c>
    </row>
    <row r="632" spans="12:14" x14ac:dyDescent="0.3">
      <c r="L632" s="2" t="s">
        <v>2838</v>
      </c>
      <c r="M632" s="2">
        <v>190005</v>
      </c>
      <c r="N632" s="2" t="s">
        <v>2839</v>
      </c>
    </row>
  </sheetData>
  <sortState ref="K45:N71">
    <sortCondition ref="K45"/>
  </sortState>
  <phoneticPr fontId="34"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AP160"/>
  <sheetViews>
    <sheetView topLeftCell="A64" workbookViewId="0">
      <selection activeCell="M21" sqref="M21"/>
    </sheetView>
  </sheetViews>
  <sheetFormatPr defaultColWidth="9" defaultRowHeight="14.25" x14ac:dyDescent="0.3"/>
  <cols>
    <col min="1" max="16" width="9" style="1"/>
    <col min="17" max="17" width="9.75" style="1" customWidth="1"/>
    <col min="18" max="18" width="10.25" style="1" customWidth="1"/>
    <col min="19" max="22" width="9" style="1"/>
    <col min="23" max="23" width="13.375" style="1" customWidth="1"/>
    <col min="24" max="24" width="23.875" style="1" customWidth="1"/>
    <col min="25" max="26" width="9" style="1"/>
    <col min="27" max="27" width="15.875" style="1" customWidth="1"/>
    <col min="28" max="29" width="9" style="1"/>
    <col min="30" max="30" width="17.375" style="1" customWidth="1"/>
    <col min="31" max="31" width="9" style="1"/>
    <col min="32" max="32" width="13" style="1" customWidth="1"/>
    <col min="33" max="33" width="16.125" style="1" customWidth="1"/>
    <col min="34" max="35" width="9" style="1"/>
    <col min="36" max="36" width="13.125" style="1" customWidth="1"/>
    <col min="37" max="37" width="8.5" style="1" customWidth="1"/>
    <col min="38" max="38" width="12.625" style="1" customWidth="1"/>
    <col min="39" max="39" width="15.125" style="1" customWidth="1"/>
    <col min="40" max="16384" width="9" style="1"/>
  </cols>
  <sheetData>
    <row r="2" spans="2:38" ht="16.5" x14ac:dyDescent="0.35">
      <c r="B2" s="2" t="s">
        <v>2840</v>
      </c>
      <c r="G2" s="2" t="s">
        <v>2841</v>
      </c>
      <c r="H2" s="2" t="s">
        <v>2842</v>
      </c>
      <c r="I2" s="2" t="s">
        <v>1836</v>
      </c>
      <c r="J2" s="2" t="s">
        <v>2843</v>
      </c>
      <c r="K2" s="2" t="s">
        <v>1838</v>
      </c>
      <c r="L2" s="2" t="s">
        <v>1793</v>
      </c>
      <c r="M2" s="2" t="s">
        <v>2844</v>
      </c>
      <c r="N2" s="2" t="s">
        <v>508</v>
      </c>
      <c r="O2" s="25"/>
      <c r="P2" s="25"/>
      <c r="Q2" s="117" t="s">
        <v>2845</v>
      </c>
      <c r="R2" s="25"/>
      <c r="S2" s="25"/>
      <c r="T2" s="25"/>
      <c r="U2" s="25"/>
      <c r="V2" s="25"/>
      <c r="W2" s="11"/>
      <c r="X2" s="11" t="s">
        <v>2846</v>
      </c>
      <c r="Y2" s="11" t="s">
        <v>579</v>
      </c>
      <c r="Z2" s="11" t="s">
        <v>2847</v>
      </c>
      <c r="AA2" s="11" t="s">
        <v>2846</v>
      </c>
      <c r="AB2" s="11" t="s">
        <v>579</v>
      </c>
      <c r="AC2" s="11" t="s">
        <v>2847</v>
      </c>
      <c r="AD2" s="11" t="s">
        <v>2846</v>
      </c>
      <c r="AE2" s="11" t="s">
        <v>579</v>
      </c>
      <c r="AF2" s="11" t="s">
        <v>2847</v>
      </c>
      <c r="AG2" s="11" t="s">
        <v>2846</v>
      </c>
      <c r="AH2" s="11" t="s">
        <v>579</v>
      </c>
      <c r="AI2" s="11" t="s">
        <v>2847</v>
      </c>
      <c r="AJ2" s="11" t="s">
        <v>2848</v>
      </c>
      <c r="AK2" s="11" t="s">
        <v>1804</v>
      </c>
      <c r="AL2" s="11" t="s">
        <v>2849</v>
      </c>
    </row>
    <row r="3" spans="2:38" ht="15.75" x14ac:dyDescent="0.3">
      <c r="B3" s="2" t="s">
        <v>519</v>
      </c>
      <c r="G3" s="2" t="s">
        <v>2584</v>
      </c>
      <c r="H3" s="2" t="e">
        <f>#REF!</f>
        <v>#REF!</v>
      </c>
      <c r="I3" s="2" t="e">
        <f>#REF!</f>
        <v>#REF!</v>
      </c>
      <c r="J3" s="2" t="e">
        <f>#REF!</f>
        <v>#REF!</v>
      </c>
      <c r="K3" s="2" t="e">
        <f>#REF!</f>
        <v>#REF!</v>
      </c>
      <c r="L3" s="2" t="e">
        <f>VLOOKUP(H3,道具价值!$V$99:$Y$102,4,FALSE)*I3+IFERROR(VLOOKUP(J3,道具价值!$V$99:$Y$102,4,FALSE)*K3,0)</f>
        <v>#REF!</v>
      </c>
      <c r="M3" s="2" t="e">
        <f>#REF!</f>
        <v>#REF!</v>
      </c>
      <c r="N3" s="2" t="e">
        <f>#REF!</f>
        <v>#REF!</v>
      </c>
      <c r="O3" s="25"/>
      <c r="P3" s="25"/>
      <c r="Q3" s="101" t="s">
        <v>2850</v>
      </c>
      <c r="R3" s="101" t="s">
        <v>2851</v>
      </c>
      <c r="S3" s="101" t="s">
        <v>579</v>
      </c>
      <c r="T3" s="101" t="s">
        <v>2852</v>
      </c>
      <c r="U3" s="101" t="s">
        <v>578</v>
      </c>
      <c r="V3" s="25"/>
      <c r="W3" s="11" t="s">
        <v>2853</v>
      </c>
      <c r="X3" s="7" t="s">
        <v>325</v>
      </c>
      <c r="Y3" s="7">
        <v>500</v>
      </c>
      <c r="Z3" s="7">
        <v>1</v>
      </c>
      <c r="AA3" s="7" t="s">
        <v>275</v>
      </c>
      <c r="AB3" s="7">
        <v>12500</v>
      </c>
      <c r="AC3" s="7">
        <v>2.2200000000000001E-2</v>
      </c>
      <c r="AD3" s="7" t="s">
        <v>653</v>
      </c>
      <c r="AE3" s="7">
        <v>6</v>
      </c>
      <c r="AF3" s="7">
        <v>60</v>
      </c>
      <c r="AG3" s="7" t="s">
        <v>2854</v>
      </c>
      <c r="AH3" s="7">
        <v>1</v>
      </c>
      <c r="AI3" s="7">
        <v>0</v>
      </c>
      <c r="AJ3" s="7">
        <f>(Y3*Z3+AB3*AC3+AE3*AF3+AH3*AI3)/道具价值!$E$80</f>
        <v>11.3738625</v>
      </c>
      <c r="AK3" s="67">
        <v>0.99</v>
      </c>
      <c r="AL3" s="120">
        <f>AK3/AJ3-1</f>
        <v>-0.91295832879991301</v>
      </c>
    </row>
    <row r="4" spans="2:38" ht="15.75" x14ac:dyDescent="0.3">
      <c r="B4" s="2" t="s">
        <v>2855</v>
      </c>
      <c r="G4" s="2" t="s">
        <v>2586</v>
      </c>
      <c r="H4" s="2" t="e">
        <f>#REF!</f>
        <v>#REF!</v>
      </c>
      <c r="I4" s="2" t="e">
        <f>#REF!</f>
        <v>#REF!</v>
      </c>
      <c r="J4" s="2" t="e">
        <f>#REF!</f>
        <v>#REF!</v>
      </c>
      <c r="K4" s="2" t="e">
        <f>#REF!</f>
        <v>#REF!</v>
      </c>
      <c r="L4" s="2" t="e">
        <f>VLOOKUP(H4,道具价值!$V$99:$Y$102,4,FALSE)*I4+IFERROR(VLOOKUP(J4,道具价值!$V$99:$Y$102,4,FALSE)*K4,0)</f>
        <v>#REF!</v>
      </c>
      <c r="M4" s="2" t="e">
        <f>#REF!</f>
        <v>#REF!</v>
      </c>
      <c r="N4" s="2" t="e">
        <f>#REF!</f>
        <v>#REF!</v>
      </c>
      <c r="O4" s="25"/>
      <c r="P4" s="25"/>
      <c r="Q4" s="3" t="s">
        <v>325</v>
      </c>
      <c r="R4" s="3">
        <v>1</v>
      </c>
      <c r="S4" s="3">
        <v>500</v>
      </c>
      <c r="T4" s="2">
        <f>R4*S4</f>
        <v>500</v>
      </c>
      <c r="U4" s="2">
        <v>101</v>
      </c>
      <c r="V4" s="25"/>
      <c r="W4" s="11" t="s">
        <v>2853</v>
      </c>
      <c r="X4" s="7" t="s">
        <v>325</v>
      </c>
      <c r="Y4" s="7">
        <v>600</v>
      </c>
      <c r="Z4" s="7">
        <v>1</v>
      </c>
      <c r="AA4" s="7" t="s">
        <v>275</v>
      </c>
      <c r="AB4" s="7">
        <v>15000</v>
      </c>
      <c r="AC4" s="7">
        <v>2.2200000000000001E-2</v>
      </c>
      <c r="AD4" s="7" t="s">
        <v>524</v>
      </c>
      <c r="AE4" s="7">
        <v>6</v>
      </c>
      <c r="AF4" s="7">
        <v>60</v>
      </c>
      <c r="AG4" s="7" t="s">
        <v>2856</v>
      </c>
      <c r="AH4" s="7">
        <v>1</v>
      </c>
      <c r="AI4" s="7">
        <v>0</v>
      </c>
      <c r="AJ4" s="7">
        <f>(Y4*Z4+AB4*AC4+AE4*AF4+AH4*AI4)/道具价值!$E$80</f>
        <v>12.928706999999999</v>
      </c>
      <c r="AK4" s="67">
        <v>2.99</v>
      </c>
      <c r="AL4" s="120">
        <f t="shared" ref="AL4:AL11" si="0">AK4/AJ4-1</f>
        <v>-0.76873170689072001</v>
      </c>
    </row>
    <row r="5" spans="2:38" ht="15.75" x14ac:dyDescent="0.3">
      <c r="B5" s="2" t="s">
        <v>2857</v>
      </c>
      <c r="G5" s="2" t="s">
        <v>2587</v>
      </c>
      <c r="H5" s="2" t="e">
        <f>#REF!</f>
        <v>#REF!</v>
      </c>
      <c r="I5" s="2" t="e">
        <f>#REF!</f>
        <v>#REF!</v>
      </c>
      <c r="J5" s="2" t="e">
        <f>#REF!</f>
        <v>#REF!</v>
      </c>
      <c r="K5" s="2" t="e">
        <f>#REF!</f>
        <v>#REF!</v>
      </c>
      <c r="L5" s="2" t="e">
        <f>VLOOKUP(H5,道具价值!$V$99:$Y$102,4,FALSE)*I5+IFERROR(VLOOKUP(J5,道具价值!$V$99:$Y$102,4,FALSE)*K5,0)</f>
        <v>#REF!</v>
      </c>
      <c r="M5" s="2" t="e">
        <f>#REF!</f>
        <v>#REF!</v>
      </c>
      <c r="N5" s="2" t="e">
        <f>#REF!</f>
        <v>#REF!</v>
      </c>
      <c r="O5" s="25"/>
      <c r="P5" s="25"/>
      <c r="Q5" s="3" t="s">
        <v>2858</v>
      </c>
      <c r="R5" s="3">
        <v>200</v>
      </c>
      <c r="S5" s="3">
        <v>1</v>
      </c>
      <c r="T5" s="2">
        <v>0</v>
      </c>
      <c r="U5" s="2">
        <v>180025</v>
      </c>
      <c r="V5" s="25"/>
      <c r="W5" s="11" t="s">
        <v>2853</v>
      </c>
      <c r="X5" s="7" t="s">
        <v>325</v>
      </c>
      <c r="Y5" s="7">
        <v>600</v>
      </c>
      <c r="Z5" s="7">
        <v>1</v>
      </c>
      <c r="AA5" s="7" t="s">
        <v>275</v>
      </c>
      <c r="AB5" s="7">
        <v>15000</v>
      </c>
      <c r="AC5" s="7">
        <v>2.2200000000000001E-2</v>
      </c>
      <c r="AD5" s="7" t="s">
        <v>526</v>
      </c>
      <c r="AE5" s="7">
        <v>6</v>
      </c>
      <c r="AF5" s="7">
        <v>60</v>
      </c>
      <c r="AG5" s="7" t="s">
        <v>2859</v>
      </c>
      <c r="AH5" s="7">
        <v>1</v>
      </c>
      <c r="AI5" s="7">
        <v>0</v>
      </c>
      <c r="AJ5" s="7">
        <f>(Y5*Z5+AB5*AC5+AE5*AF5+AH5*AI5)/道具价值!$E$80</f>
        <v>12.928706999999999</v>
      </c>
      <c r="AK5" s="67">
        <v>2.99</v>
      </c>
      <c r="AL5" s="120">
        <f t="shared" si="0"/>
        <v>-0.76873170689072001</v>
      </c>
    </row>
    <row r="6" spans="2:38" ht="15.75" x14ac:dyDescent="0.3">
      <c r="B6" s="2" t="s">
        <v>2860</v>
      </c>
      <c r="G6" s="2" t="s">
        <v>2588</v>
      </c>
      <c r="H6" s="2" t="e">
        <f>#REF!</f>
        <v>#REF!</v>
      </c>
      <c r="I6" s="2" t="e">
        <f>#REF!</f>
        <v>#REF!</v>
      </c>
      <c r="J6" s="2" t="e">
        <f>#REF!</f>
        <v>#REF!</v>
      </c>
      <c r="K6" s="2" t="e">
        <f>#REF!</f>
        <v>#REF!</v>
      </c>
      <c r="L6" s="2" t="e">
        <f>VLOOKUP(H6,道具价值!$V$99:$Y$102,4,FALSE)*I6+IFERROR(VLOOKUP(J6,道具价值!$V$99:$Y$102,4,FALSE)*K6,0)</f>
        <v>#REF!</v>
      </c>
      <c r="M6" s="2" t="e">
        <f>#REF!</f>
        <v>#REF!</v>
      </c>
      <c r="N6" s="2" t="e">
        <f>#REF!</f>
        <v>#REF!</v>
      </c>
      <c r="O6" s="25"/>
      <c r="P6" s="25"/>
      <c r="Q6" s="3" t="s">
        <v>1780</v>
      </c>
      <c r="R6" s="3">
        <v>60</v>
      </c>
      <c r="S6" s="3">
        <v>6</v>
      </c>
      <c r="T6" s="2">
        <f t="shared" ref="T6:T7" si="1">R6*S6</f>
        <v>360</v>
      </c>
      <c r="U6" s="2">
        <v>53211</v>
      </c>
      <c r="V6" s="25"/>
      <c r="W6" s="11" t="s">
        <v>2861</v>
      </c>
      <c r="X6" s="7" t="s">
        <v>524</v>
      </c>
      <c r="Y6" s="7">
        <v>30</v>
      </c>
      <c r="Z6" s="7">
        <v>60</v>
      </c>
      <c r="AA6" s="7" t="s">
        <v>2862</v>
      </c>
      <c r="AB6" s="7">
        <v>3</v>
      </c>
      <c r="AC6" s="7">
        <v>70</v>
      </c>
      <c r="AD6" s="7" t="s">
        <v>2863</v>
      </c>
      <c r="AE6" s="7">
        <v>3</v>
      </c>
      <c r="AF6" s="7">
        <v>70</v>
      </c>
      <c r="AG6" s="7" t="s">
        <v>275</v>
      </c>
      <c r="AH6" s="7">
        <v>18000</v>
      </c>
      <c r="AI6" s="7">
        <v>2.2200000000000001E-2</v>
      </c>
      <c r="AJ6" s="7">
        <f>(Y6*Z6+AB6*AC6+AE6*AF6+AH6*AI6)/道具价值!$E$80</f>
        <v>26.193380399999995</v>
      </c>
      <c r="AK6" s="67">
        <v>4.99</v>
      </c>
      <c r="AL6" s="120">
        <f t="shared" si="0"/>
        <v>-0.80949385211845348</v>
      </c>
    </row>
    <row r="7" spans="2:38" ht="15.75" x14ac:dyDescent="0.3">
      <c r="B7" s="2" t="s">
        <v>2864</v>
      </c>
      <c r="G7" s="2" t="s">
        <v>2590</v>
      </c>
      <c r="H7" s="2" t="e">
        <f>#REF!</f>
        <v>#REF!</v>
      </c>
      <c r="I7" s="2" t="e">
        <f>#REF!</f>
        <v>#REF!</v>
      </c>
      <c r="J7" s="2" t="e">
        <f>#REF!</f>
        <v>#REF!</v>
      </c>
      <c r="K7" s="2" t="e">
        <f>#REF!</f>
        <v>#REF!</v>
      </c>
      <c r="L7" s="2" t="e">
        <f>VLOOKUP(H7,道具价值!$V$99:$Y$102,4,FALSE)*I7+IFERROR(VLOOKUP(J7,道具价值!$V$99:$Y$102,4,FALSE)*K7,0)</f>
        <v>#REF!</v>
      </c>
      <c r="M7" s="2" t="e">
        <f>#REF!</f>
        <v>#REF!</v>
      </c>
      <c r="N7" s="2" t="e">
        <f>#REF!</f>
        <v>#REF!</v>
      </c>
      <c r="O7" s="25"/>
      <c r="P7" s="25"/>
      <c r="Q7" s="3" t="s">
        <v>275</v>
      </c>
      <c r="R7" s="3">
        <v>2.1999999999999999E-2</v>
      </c>
      <c r="S7" s="3">
        <v>12500</v>
      </c>
      <c r="T7" s="2">
        <f t="shared" si="1"/>
        <v>275</v>
      </c>
      <c r="U7" s="2">
        <v>102</v>
      </c>
      <c r="V7" s="25"/>
      <c r="W7" s="11" t="s">
        <v>2861</v>
      </c>
      <c r="X7" s="7" t="s">
        <v>526</v>
      </c>
      <c r="Y7" s="7">
        <v>30</v>
      </c>
      <c r="Z7" s="7">
        <v>60</v>
      </c>
      <c r="AA7" s="7" t="s">
        <v>2865</v>
      </c>
      <c r="AB7" s="7">
        <v>3</v>
      </c>
      <c r="AC7" s="7">
        <v>70</v>
      </c>
      <c r="AD7" s="7" t="s">
        <v>2866</v>
      </c>
      <c r="AE7" s="7">
        <v>3</v>
      </c>
      <c r="AF7" s="7">
        <v>70</v>
      </c>
      <c r="AG7" s="7" t="s">
        <v>275</v>
      </c>
      <c r="AH7" s="7">
        <v>18000</v>
      </c>
      <c r="AI7" s="7">
        <v>2.2200000000000001E-2</v>
      </c>
      <c r="AJ7" s="7">
        <f>(Y7*Z7+AB7*AC7+AE7*AF7+AH7*AI7)/道具价值!$E$80</f>
        <v>26.193380399999995</v>
      </c>
      <c r="AK7" s="67">
        <v>4.99</v>
      </c>
      <c r="AL7" s="120">
        <f t="shared" si="0"/>
        <v>-0.80949385211845348</v>
      </c>
    </row>
    <row r="8" spans="2:38" ht="15.75" x14ac:dyDescent="0.3">
      <c r="B8" s="2" t="s">
        <v>275</v>
      </c>
      <c r="G8" s="2" t="s">
        <v>2591</v>
      </c>
      <c r="H8" s="2" t="e">
        <f>#REF!</f>
        <v>#REF!</v>
      </c>
      <c r="I8" s="2" t="e">
        <f>#REF!</f>
        <v>#REF!</v>
      </c>
      <c r="J8" s="2" t="e">
        <f>#REF!</f>
        <v>#REF!</v>
      </c>
      <c r="K8" s="2" t="e">
        <f>#REF!</f>
        <v>#REF!</v>
      </c>
      <c r="L8" s="2" t="e">
        <f>VLOOKUP(H8,道具价值!$V$99:$Y$102,4,FALSE)*I8+IFERROR(VLOOKUP(J8,道具价值!$V$99:$Y$102,4,FALSE)*K8,0)</f>
        <v>#REF!</v>
      </c>
      <c r="M8" s="2" t="e">
        <f>#REF!</f>
        <v>#REF!</v>
      </c>
      <c r="N8" s="2" t="e">
        <f>#REF!</f>
        <v>#REF!</v>
      </c>
      <c r="O8" s="25"/>
      <c r="P8" s="25"/>
      <c r="Q8" s="118"/>
      <c r="R8" s="118"/>
      <c r="S8" s="118"/>
      <c r="T8" s="25">
        <f>SUM(T4:T7)</f>
        <v>1135</v>
      </c>
      <c r="U8" s="25">
        <f>0.99*道具价值!E80</f>
        <v>99.009900990099013</v>
      </c>
      <c r="V8" s="119">
        <f>(T8-U8)/T8</f>
        <v>0.9127666070571816</v>
      </c>
      <c r="W8" s="11" t="s">
        <v>2861</v>
      </c>
      <c r="X8" s="7" t="s">
        <v>653</v>
      </c>
      <c r="Y8" s="7">
        <v>30</v>
      </c>
      <c r="Z8" s="7">
        <v>60</v>
      </c>
      <c r="AA8" s="7" t="s">
        <v>2867</v>
      </c>
      <c r="AB8" s="7">
        <v>3</v>
      </c>
      <c r="AC8" s="7">
        <v>70</v>
      </c>
      <c r="AD8" s="7" t="s">
        <v>2868</v>
      </c>
      <c r="AE8" s="7">
        <v>3</v>
      </c>
      <c r="AF8" s="7">
        <v>70</v>
      </c>
      <c r="AG8" s="7" t="s">
        <v>275</v>
      </c>
      <c r="AH8" s="7">
        <v>18000</v>
      </c>
      <c r="AI8" s="7">
        <v>2.2200000000000001E-2</v>
      </c>
      <c r="AJ8" s="7">
        <f>(Y8*Z8+AB8*AC8+AE8*AF8+AH8*AI8)/道具价值!$E$80</f>
        <v>26.193380399999995</v>
      </c>
      <c r="AK8" s="67">
        <v>4.99</v>
      </c>
      <c r="AL8" s="120">
        <f t="shared" si="0"/>
        <v>-0.80949385211845348</v>
      </c>
    </row>
    <row r="9" spans="2:38" ht="15.75" x14ac:dyDescent="0.3">
      <c r="B9" s="2" t="s">
        <v>325</v>
      </c>
      <c r="G9" s="2" t="s">
        <v>2592</v>
      </c>
      <c r="H9" s="2" t="e">
        <f>#REF!</f>
        <v>#REF!</v>
      </c>
      <c r="I9" s="2" t="e">
        <f>#REF!</f>
        <v>#REF!</v>
      </c>
      <c r="J9" s="2" t="e">
        <f>#REF!</f>
        <v>#REF!</v>
      </c>
      <c r="K9" s="2" t="e">
        <f>#REF!</f>
        <v>#REF!</v>
      </c>
      <c r="L9" s="2" t="e">
        <f>VLOOKUP(H9,道具价值!$V$99:$Y$102,4,FALSE)*I9+IFERROR(VLOOKUP(J9,道具价值!$V$99:$Y$102,4,FALSE)*K9,0)</f>
        <v>#REF!</v>
      </c>
      <c r="M9" s="2" t="e">
        <f>#REF!</f>
        <v>#REF!</v>
      </c>
      <c r="N9" s="2" t="e">
        <f>#REF!</f>
        <v>#REF!</v>
      </c>
      <c r="O9" s="25"/>
      <c r="P9" s="25"/>
      <c r="W9" s="11" t="s">
        <v>2869</v>
      </c>
      <c r="X9" s="7" t="s">
        <v>658</v>
      </c>
      <c r="Y9" s="7">
        <v>18</v>
      </c>
      <c r="Z9" s="7">
        <v>120</v>
      </c>
      <c r="AA9" s="7" t="s">
        <v>2870</v>
      </c>
      <c r="AB9" s="7">
        <v>3</v>
      </c>
      <c r="AC9" s="7">
        <v>120</v>
      </c>
      <c r="AD9" s="7" t="s">
        <v>2871</v>
      </c>
      <c r="AE9" s="7">
        <v>3</v>
      </c>
      <c r="AF9" s="7">
        <v>120</v>
      </c>
      <c r="AG9" s="7" t="s">
        <v>2872</v>
      </c>
      <c r="AH9" s="7">
        <v>1</v>
      </c>
      <c r="AI9" s="7">
        <v>0</v>
      </c>
      <c r="AJ9" s="7">
        <f>(Y9*Z9+AB9*AC9+AE9*AF9+AH9*AI9)/道具价值!$E$80</f>
        <v>28.797119999999996</v>
      </c>
      <c r="AK9" s="67">
        <v>9.99</v>
      </c>
      <c r="AL9" s="120">
        <f t="shared" si="0"/>
        <v>-0.65309030903090304</v>
      </c>
    </row>
    <row r="10" spans="2:38" ht="15.75" x14ac:dyDescent="0.3">
      <c r="B10" s="2" t="s">
        <v>2873</v>
      </c>
      <c r="G10" s="2" t="s">
        <v>2594</v>
      </c>
      <c r="H10" s="2" t="e">
        <f>#REF!</f>
        <v>#REF!</v>
      </c>
      <c r="I10" s="2" t="e">
        <f>#REF!</f>
        <v>#REF!</v>
      </c>
      <c r="J10" s="2" t="e">
        <f>#REF!</f>
        <v>#REF!</v>
      </c>
      <c r="K10" s="2" t="e">
        <f>#REF!</f>
        <v>#REF!</v>
      </c>
      <c r="L10" s="2" t="e">
        <f>VLOOKUP(H10,道具价值!$V$99:$Y$102,4,FALSE)*I10+IFERROR(VLOOKUP(J10,道具价值!$V$99:$Y$102,4,FALSE)*K10,0)</f>
        <v>#REF!</v>
      </c>
      <c r="M10" s="2" t="e">
        <f>#REF!</f>
        <v>#REF!</v>
      </c>
      <c r="N10" s="2" t="e">
        <f>#REF!</f>
        <v>#REF!</v>
      </c>
      <c r="O10" s="25"/>
      <c r="P10" s="25"/>
      <c r="S10" s="1" t="str">
        <f>"["&amp;S4&amp;","&amp;S5&amp;","&amp;S6&amp;","&amp;S7&amp;"]"</f>
        <v>[500,1,6,12500]</v>
      </c>
      <c r="U10" s="1" t="str">
        <f>"["&amp;U4&amp;","&amp;U5&amp;","&amp;U6&amp;","&amp;U7&amp;"]"</f>
        <v>[101,180025,53211,102]</v>
      </c>
      <c r="W10" s="11" t="s">
        <v>2869</v>
      </c>
      <c r="X10" s="7" t="s">
        <v>620</v>
      </c>
      <c r="Y10" s="7">
        <v>18</v>
      </c>
      <c r="Z10" s="7">
        <v>120</v>
      </c>
      <c r="AA10" s="7" t="s">
        <v>2874</v>
      </c>
      <c r="AB10" s="7">
        <v>3</v>
      </c>
      <c r="AC10" s="7">
        <v>120</v>
      </c>
      <c r="AD10" s="7" t="s">
        <v>2875</v>
      </c>
      <c r="AE10" s="7">
        <v>3</v>
      </c>
      <c r="AF10" s="7">
        <v>120</v>
      </c>
      <c r="AG10" s="7" t="s">
        <v>2876</v>
      </c>
      <c r="AH10" s="7">
        <v>1</v>
      </c>
      <c r="AI10" s="7">
        <v>0</v>
      </c>
      <c r="AJ10" s="7">
        <f>(Y10*Z10+AB10*AC10+AE10*AF10+AH10*AI10)/道具价值!$E$80</f>
        <v>28.797119999999996</v>
      </c>
      <c r="AK10" s="67">
        <v>9.99</v>
      </c>
      <c r="AL10" s="120">
        <f t="shared" si="0"/>
        <v>-0.65309030903090304</v>
      </c>
    </row>
    <row r="11" spans="2:38" ht="15.75" x14ac:dyDescent="0.3">
      <c r="B11" s="2" t="s">
        <v>2877</v>
      </c>
      <c r="G11" s="2" t="s">
        <v>2595</v>
      </c>
      <c r="H11" s="2" t="e">
        <f>#REF!</f>
        <v>#REF!</v>
      </c>
      <c r="I11" s="2" t="e">
        <f>#REF!</f>
        <v>#REF!</v>
      </c>
      <c r="J11" s="2" t="e">
        <f>#REF!</f>
        <v>#REF!</v>
      </c>
      <c r="K11" s="2" t="e">
        <f>#REF!</f>
        <v>#REF!</v>
      </c>
      <c r="L11" s="2" t="e">
        <f>VLOOKUP(H11,道具价值!$V$99:$Y$102,4,FALSE)*I11+IFERROR(VLOOKUP(J11,道具价值!$V$99:$Y$102,4,FALSE)*K11,0)</f>
        <v>#REF!</v>
      </c>
      <c r="M11" s="2" t="e">
        <f>#REF!</f>
        <v>#REF!</v>
      </c>
      <c r="N11" s="2" t="e">
        <f>#REF!</f>
        <v>#REF!</v>
      </c>
      <c r="O11" s="25"/>
      <c r="P11" s="25"/>
      <c r="Q11" s="25"/>
      <c r="R11" s="25"/>
      <c r="S11" s="25"/>
      <c r="T11" s="25"/>
      <c r="U11" s="25"/>
      <c r="V11" s="25"/>
      <c r="W11" s="11" t="s">
        <v>2869</v>
      </c>
      <c r="X11" s="7" t="s">
        <v>639</v>
      </c>
      <c r="Y11" s="7">
        <v>18</v>
      </c>
      <c r="Z11" s="7">
        <v>120</v>
      </c>
      <c r="AA11" s="7" t="s">
        <v>2878</v>
      </c>
      <c r="AB11" s="7">
        <v>3</v>
      </c>
      <c r="AC11" s="7">
        <v>120</v>
      </c>
      <c r="AD11" s="7" t="s">
        <v>2879</v>
      </c>
      <c r="AE11" s="7">
        <v>3</v>
      </c>
      <c r="AF11" s="7">
        <v>120</v>
      </c>
      <c r="AG11" s="7" t="s">
        <v>2880</v>
      </c>
      <c r="AH11" s="7">
        <v>1</v>
      </c>
      <c r="AI11" s="7">
        <v>0</v>
      </c>
      <c r="AJ11" s="7">
        <f>(Y11*Z11+AB11*AC11+AE11*AF11+AH11*AI11)/道具价值!$E$80</f>
        <v>28.797119999999996</v>
      </c>
      <c r="AK11" s="67">
        <v>9.99</v>
      </c>
      <c r="AL11" s="120">
        <f t="shared" si="0"/>
        <v>-0.65309030903090304</v>
      </c>
    </row>
    <row r="12" spans="2:38" x14ac:dyDescent="0.3">
      <c r="G12" s="2" t="s">
        <v>2596</v>
      </c>
      <c r="H12" s="2" t="e">
        <f>#REF!</f>
        <v>#REF!</v>
      </c>
      <c r="I12" s="2" t="e">
        <f>#REF!</f>
        <v>#REF!</v>
      </c>
      <c r="J12" s="2" t="e">
        <f>#REF!</f>
        <v>#REF!</v>
      </c>
      <c r="K12" s="2" t="e">
        <f>#REF!</f>
        <v>#REF!</v>
      </c>
      <c r="L12" s="2" t="e">
        <f>VLOOKUP(H12,道具价值!$B$33:$E$45,4,FALSE)*I12+IFERROR(VLOOKUP(J12,道具价值!$B$33:$E$45,4,FALSE)*K12,0)</f>
        <v>#REF!</v>
      </c>
      <c r="M12" s="2" t="e">
        <f>#REF!</f>
        <v>#REF!</v>
      </c>
      <c r="N12" s="2" t="e">
        <f>#REF!</f>
        <v>#REF!</v>
      </c>
      <c r="O12" s="25"/>
      <c r="P12" s="25"/>
      <c r="Q12" s="25" t="s">
        <v>2881</v>
      </c>
      <c r="R12" s="25"/>
      <c r="S12" s="25"/>
      <c r="T12" s="25"/>
      <c r="U12" s="25"/>
      <c r="V12" s="25"/>
      <c r="W12" s="25"/>
      <c r="X12" s="25"/>
      <c r="Y12" s="25"/>
      <c r="Z12" s="25"/>
      <c r="AA12" s="25"/>
      <c r="AB12" s="25"/>
      <c r="AC12" s="25"/>
    </row>
    <row r="13" spans="2:38" x14ac:dyDescent="0.3">
      <c r="B13" s="263" t="s">
        <v>384</v>
      </c>
      <c r="C13" s="264"/>
      <c r="D13" s="264"/>
      <c r="E13" s="265"/>
      <c r="F13" s="25"/>
      <c r="G13" s="2" t="s">
        <v>2598</v>
      </c>
      <c r="H13" s="2" t="e">
        <f>#REF!</f>
        <v>#REF!</v>
      </c>
      <c r="I13" s="2" t="e">
        <f>#REF!</f>
        <v>#REF!</v>
      </c>
      <c r="J13" s="2" t="e">
        <f>#REF!</f>
        <v>#REF!</v>
      </c>
      <c r="K13" s="2" t="e">
        <f>#REF!</f>
        <v>#REF!</v>
      </c>
      <c r="L13" s="2" t="e">
        <f>VLOOKUP(H13,道具价值!$B$33:$E$45,4,FALSE)*I13+IFERROR(VLOOKUP(J13,道具价值!$B$33:$E$45,4,FALSE)*K13,0)</f>
        <v>#REF!</v>
      </c>
      <c r="M13" s="2" t="e">
        <f>#REF!</f>
        <v>#REF!</v>
      </c>
      <c r="N13" s="2" t="e">
        <f>#REF!</f>
        <v>#REF!</v>
      </c>
      <c r="O13" s="25"/>
      <c r="P13" s="25"/>
      <c r="Q13" s="101" t="s">
        <v>2850</v>
      </c>
      <c r="R13" s="101" t="s">
        <v>2851</v>
      </c>
      <c r="S13" s="101" t="s">
        <v>579</v>
      </c>
      <c r="T13" s="101" t="s">
        <v>2852</v>
      </c>
      <c r="U13" s="101" t="s">
        <v>578</v>
      </c>
      <c r="V13" s="25"/>
      <c r="W13" s="25"/>
      <c r="X13" s="25"/>
      <c r="Y13" s="25"/>
      <c r="Z13" s="25"/>
      <c r="AA13" s="25"/>
      <c r="AB13" s="25"/>
      <c r="AC13" s="25"/>
    </row>
    <row r="14" spans="2:38" x14ac:dyDescent="0.3">
      <c r="B14" s="2" t="s">
        <v>385</v>
      </c>
      <c r="C14" s="2" t="s">
        <v>398</v>
      </c>
      <c r="D14" s="2" t="s">
        <v>399</v>
      </c>
      <c r="E14" s="2" t="s">
        <v>400</v>
      </c>
      <c r="F14" s="25"/>
      <c r="G14" s="2" t="s">
        <v>2600</v>
      </c>
      <c r="H14" s="2" t="e">
        <f>#REF!</f>
        <v>#REF!</v>
      </c>
      <c r="I14" s="2" t="e">
        <f>#REF!</f>
        <v>#REF!</v>
      </c>
      <c r="J14" s="2" t="e">
        <f>#REF!</f>
        <v>#REF!</v>
      </c>
      <c r="K14" s="2" t="e">
        <f>#REF!</f>
        <v>#REF!</v>
      </c>
      <c r="L14" s="2" t="e">
        <f>VLOOKUP(H14,道具价值!$B$33:$E$45,4,FALSE)*I14+IFERROR(VLOOKUP(J14,道具价值!$B$33:$E$45,4,FALSE)*K14,0)</f>
        <v>#REF!</v>
      </c>
      <c r="M14" s="2" t="e">
        <f>#REF!</f>
        <v>#REF!</v>
      </c>
      <c r="N14" s="2" t="e">
        <f>#REF!</f>
        <v>#REF!</v>
      </c>
      <c r="O14" s="25"/>
      <c r="P14" s="25"/>
      <c r="Q14" s="2" t="s">
        <v>2864</v>
      </c>
      <c r="R14" s="2"/>
      <c r="S14" s="2">
        <v>1</v>
      </c>
      <c r="T14" s="2"/>
      <c r="U14" s="2">
        <v>23201</v>
      </c>
      <c r="V14" s="25"/>
      <c r="W14" s="25"/>
      <c r="X14" s="25"/>
      <c r="Y14" s="25"/>
      <c r="Z14" s="25"/>
      <c r="AA14" s="25"/>
      <c r="AB14" s="25"/>
      <c r="AC14" s="25"/>
    </row>
    <row r="15" spans="2:38" x14ac:dyDescent="0.3">
      <c r="B15" s="2" t="e">
        <f>#REF!</f>
        <v>#REF!</v>
      </c>
      <c r="C15" s="2" t="e">
        <f>#REF!</f>
        <v>#REF!</v>
      </c>
      <c r="D15" s="2"/>
      <c r="E15" s="2"/>
      <c r="F15" s="25"/>
      <c r="G15" s="2" t="s">
        <v>2602</v>
      </c>
      <c r="H15" s="2" t="e">
        <f>#REF!</f>
        <v>#REF!</v>
      </c>
      <c r="I15" s="2" t="e">
        <f>#REF!</f>
        <v>#REF!</v>
      </c>
      <c r="J15" s="2" t="e">
        <f>#REF!</f>
        <v>#REF!</v>
      </c>
      <c r="K15" s="2" t="e">
        <f>#REF!</f>
        <v>#REF!</v>
      </c>
      <c r="L15" s="2" t="e">
        <f>VLOOKUP(H15,道具价值!$B$33:$E$45,4,FALSE)*I15+IFERROR(VLOOKUP(J15,道具价值!$B$33:$E$45,4,FALSE)*K15,0)</f>
        <v>#REF!</v>
      </c>
      <c r="M15" s="2" t="e">
        <f>#REF!</f>
        <v>#REF!</v>
      </c>
      <c r="N15" s="2" t="e">
        <f>#REF!</f>
        <v>#REF!</v>
      </c>
      <c r="O15" s="25"/>
      <c r="P15" s="25"/>
      <c r="Q15" s="2" t="s">
        <v>325</v>
      </c>
      <c r="R15" s="2"/>
      <c r="S15" s="2">
        <v>50</v>
      </c>
      <c r="T15" s="2"/>
      <c r="U15" s="2">
        <v>101</v>
      </c>
      <c r="V15" s="25"/>
      <c r="W15" s="25"/>
      <c r="X15" s="25"/>
      <c r="Y15" s="25"/>
      <c r="Z15" s="25"/>
      <c r="AA15" s="25"/>
      <c r="AB15" s="25"/>
      <c r="AC15" s="25"/>
    </row>
    <row r="16" spans="2:38" x14ac:dyDescent="0.3">
      <c r="B16" s="2" t="e">
        <f>#REF!</f>
        <v>#REF!</v>
      </c>
      <c r="C16" s="2" t="e">
        <f>#REF!</f>
        <v>#REF!</v>
      </c>
      <c r="D16" s="2"/>
      <c r="E16" s="2"/>
      <c r="F16" s="25"/>
      <c r="G16" s="2" t="s">
        <v>2604</v>
      </c>
      <c r="H16" s="2" t="e">
        <f>#REF!</f>
        <v>#REF!</v>
      </c>
      <c r="I16" s="2" t="e">
        <f>#REF!</f>
        <v>#REF!</v>
      </c>
      <c r="J16" s="2" t="e">
        <f>#REF!</f>
        <v>#REF!</v>
      </c>
      <c r="K16" s="2" t="e">
        <f>#REF!</f>
        <v>#REF!</v>
      </c>
      <c r="L16" s="2" t="e">
        <f>VLOOKUP(H16,道具价值!$B$33:$E$45,4,FALSE)*I16+IFERROR(VLOOKUP(J16,道具价值!$B$33:$E$45,4,FALSE)*K16,0)</f>
        <v>#REF!</v>
      </c>
      <c r="M16" s="2" t="e">
        <f>#REF!</f>
        <v>#REF!</v>
      </c>
      <c r="N16" s="2" t="e">
        <f>#REF!</f>
        <v>#REF!</v>
      </c>
      <c r="O16" s="25"/>
      <c r="P16" s="25"/>
      <c r="Q16" s="2" t="s">
        <v>2882</v>
      </c>
      <c r="R16" s="2"/>
      <c r="S16" s="2">
        <v>1</v>
      </c>
      <c r="T16" s="2">
        <v>0</v>
      </c>
      <c r="U16" s="2">
        <v>140108</v>
      </c>
      <c r="V16" s="25"/>
      <c r="W16" s="25"/>
      <c r="X16" s="25"/>
      <c r="Y16" s="25"/>
      <c r="Z16" s="25"/>
      <c r="AA16" s="25"/>
      <c r="AB16" s="25"/>
      <c r="AC16" s="25"/>
    </row>
    <row r="17" spans="2:42" x14ac:dyDescent="0.3">
      <c r="B17" s="2" t="e">
        <f>#REF!</f>
        <v>#REF!</v>
      </c>
      <c r="C17" s="2" t="e">
        <f>#REF!</f>
        <v>#REF!</v>
      </c>
      <c r="D17" s="2"/>
      <c r="E17" s="2"/>
      <c r="F17" s="25"/>
      <c r="G17" s="2" t="s">
        <v>2606</v>
      </c>
      <c r="H17" s="2" t="e">
        <f>#REF!</f>
        <v>#REF!</v>
      </c>
      <c r="I17" s="2" t="e">
        <f>#REF!</f>
        <v>#REF!</v>
      </c>
      <c r="J17" s="2" t="e">
        <f>#REF!</f>
        <v>#REF!</v>
      </c>
      <c r="K17" s="2" t="e">
        <f>#REF!</f>
        <v>#REF!</v>
      </c>
      <c r="L17" s="2" t="e">
        <f>VLOOKUP(H17,道具价值!$B$33:$E$45,4,FALSE)*I17+IFERROR(VLOOKUP(J17,道具价值!$B$33:$E$45,4,FALSE)*K17,0)</f>
        <v>#REF!</v>
      </c>
      <c r="M17" s="2" t="e">
        <f>#REF!</f>
        <v>#REF!</v>
      </c>
      <c r="N17" s="2" t="e">
        <f>#REF!</f>
        <v>#REF!</v>
      </c>
      <c r="O17" s="25"/>
      <c r="P17" s="25"/>
      <c r="Q17" s="25"/>
      <c r="R17" s="25"/>
      <c r="S17" s="25"/>
      <c r="T17" s="25"/>
      <c r="U17" s="25"/>
      <c r="V17" s="25"/>
      <c r="W17" s="25"/>
      <c r="X17" s="25"/>
      <c r="Y17" s="25"/>
      <c r="Z17" s="25"/>
      <c r="AA17" s="25"/>
      <c r="AB17" s="25"/>
      <c r="AC17" s="25"/>
    </row>
    <row r="18" spans="2:42" x14ac:dyDescent="0.3">
      <c r="B18" s="2" t="e">
        <f>#REF!</f>
        <v>#REF!</v>
      </c>
      <c r="C18" s="2"/>
      <c r="D18" s="2"/>
      <c r="E18" s="2"/>
      <c r="F18" s="25"/>
      <c r="G18" s="2" t="s">
        <v>2608</v>
      </c>
      <c r="H18" s="2" t="e">
        <f>#REF!</f>
        <v>#REF!</v>
      </c>
      <c r="I18" s="2" t="e">
        <f>#REF!</f>
        <v>#REF!</v>
      </c>
      <c r="J18" s="2" t="e">
        <f>#REF!</f>
        <v>#REF!</v>
      </c>
      <c r="K18" s="2" t="e">
        <f>#REF!</f>
        <v>#REF!</v>
      </c>
      <c r="L18" s="2" t="e">
        <f>VLOOKUP(H18,道具价值!$B$33:$E$45,4,FALSE)*I18+IFERROR(VLOOKUP(J18,道具价值!$B$33:$E$45,4,FALSE)*K18,0)</f>
        <v>#REF!</v>
      </c>
      <c r="M18" s="2" t="e">
        <f>#REF!</f>
        <v>#REF!</v>
      </c>
      <c r="N18" s="2" t="e">
        <f>#REF!</f>
        <v>#REF!</v>
      </c>
      <c r="O18" s="25"/>
      <c r="P18" s="25"/>
      <c r="Q18" s="25"/>
      <c r="R18" s="25"/>
      <c r="S18" s="25"/>
      <c r="T18" s="25"/>
      <c r="U18" s="25"/>
      <c r="V18" s="25"/>
      <c r="W18" s="25"/>
      <c r="X18" s="25"/>
      <c r="Y18" s="25"/>
      <c r="Z18" s="25"/>
      <c r="AA18" s="25"/>
      <c r="AB18" s="25"/>
    </row>
    <row r="19" spans="2:42" x14ac:dyDescent="0.3">
      <c r="B19" s="2" t="e">
        <f>#REF!</f>
        <v>#REF!</v>
      </c>
      <c r="C19" s="2" t="e">
        <f>#REF!</f>
        <v>#REF!</v>
      </c>
      <c r="D19" s="2" t="e">
        <f>#REF!</f>
        <v>#REF!</v>
      </c>
      <c r="E19" s="2"/>
      <c r="F19" s="25"/>
      <c r="G19" s="2" t="s">
        <v>2610</v>
      </c>
      <c r="H19" s="2" t="e">
        <f>#REF!</f>
        <v>#REF!</v>
      </c>
      <c r="I19" s="2" t="e">
        <f>#REF!</f>
        <v>#REF!</v>
      </c>
      <c r="J19" s="2" t="e">
        <f>#REF!</f>
        <v>#REF!</v>
      </c>
      <c r="K19" s="2" t="e">
        <f>#REF!</f>
        <v>#REF!</v>
      </c>
      <c r="L19" s="2" t="e">
        <f>VLOOKUP(H19,道具价值!$B$33:$E$45,4,FALSE)*I19+IFERROR(VLOOKUP(J19,道具价值!$B$33:$E$45,4,FALSE)*K19,0)</f>
        <v>#REF!</v>
      </c>
      <c r="M19" s="2" t="e">
        <f>#REF!</f>
        <v>#REF!</v>
      </c>
      <c r="N19" s="2" t="e">
        <f>#REF!</f>
        <v>#REF!</v>
      </c>
      <c r="O19" s="25"/>
      <c r="P19" s="25"/>
      <c r="Q19" s="25"/>
      <c r="R19" s="25"/>
      <c r="S19" s="1" t="str">
        <f>"["&amp;S14&amp;","&amp;S15&amp;","&amp;S16&amp;"]"</f>
        <v>[1,50,1]</v>
      </c>
      <c r="T19" s="25"/>
      <c r="U19" s="1" t="str">
        <f>"["&amp;U14&amp;","&amp;U15&amp;","&amp;U16&amp;"]"</f>
        <v>[23201,101,140108]</v>
      </c>
      <c r="V19" s="25"/>
      <c r="W19" s="25"/>
      <c r="X19" s="25"/>
      <c r="Y19" s="25"/>
      <c r="Z19" s="25"/>
      <c r="AA19" s="25"/>
      <c r="AB19" s="25"/>
    </row>
    <row r="20" spans="2:42" x14ac:dyDescent="0.3">
      <c r="B20" s="2" t="e">
        <f>#REF!</f>
        <v>#REF!</v>
      </c>
      <c r="C20" s="2"/>
      <c r="D20" s="2"/>
      <c r="E20" s="2"/>
      <c r="F20" s="25"/>
      <c r="G20" s="25"/>
      <c r="H20" s="25"/>
      <c r="I20" s="25"/>
      <c r="J20" s="25"/>
      <c r="K20" s="25"/>
      <c r="L20" s="25"/>
      <c r="M20" s="25"/>
      <c r="N20" s="25"/>
      <c r="O20" s="25"/>
      <c r="P20" s="25"/>
      <c r="Q20" s="25"/>
      <c r="R20" s="25"/>
      <c r="S20" s="25"/>
      <c r="T20" s="25"/>
      <c r="U20" s="25"/>
      <c r="V20" s="25"/>
      <c r="W20" s="25"/>
      <c r="X20" s="25"/>
      <c r="Y20" s="25"/>
      <c r="Z20" s="25"/>
      <c r="AA20" s="25"/>
      <c r="AB20" s="25"/>
    </row>
    <row r="21" spans="2:42" x14ac:dyDescent="0.3">
      <c r="B21" s="2" t="e">
        <f>#REF!</f>
        <v>#REF!</v>
      </c>
      <c r="C21" s="2"/>
      <c r="D21" s="2"/>
      <c r="E21" s="2"/>
      <c r="F21" s="25"/>
      <c r="G21" s="25"/>
      <c r="H21" s="25"/>
      <c r="I21" s="25"/>
      <c r="J21" s="25"/>
      <c r="K21" s="25"/>
      <c r="L21" s="25"/>
      <c r="M21" s="25"/>
      <c r="N21" s="25"/>
      <c r="O21" s="25"/>
      <c r="P21" s="25"/>
      <c r="Q21" s="25"/>
      <c r="R21" s="25"/>
      <c r="S21" s="25"/>
      <c r="T21" s="25"/>
      <c r="U21" s="25"/>
      <c r="V21" s="25"/>
      <c r="W21" s="25"/>
      <c r="X21" s="25"/>
      <c r="Y21" s="25"/>
      <c r="Z21" s="25"/>
      <c r="AA21" s="25"/>
      <c r="AB21" s="25"/>
      <c r="AC21" s="25"/>
    </row>
    <row r="22" spans="2:42" x14ac:dyDescent="0.3">
      <c r="B22" s="2" t="e">
        <f>#REF!</f>
        <v>#REF!</v>
      </c>
      <c r="C22" s="2" t="e">
        <f>#REF!</f>
        <v>#REF!</v>
      </c>
      <c r="D22" s="2" t="e">
        <f>#REF!</f>
        <v>#REF!</v>
      </c>
      <c r="E22" s="2" t="e">
        <f>#REF!</f>
        <v>#REF!</v>
      </c>
      <c r="F22" s="25"/>
      <c r="G22" s="2" t="s">
        <v>385</v>
      </c>
      <c r="H22" s="2" t="s">
        <v>2883</v>
      </c>
      <c r="I22" s="2" t="s">
        <v>2884</v>
      </c>
      <c r="J22" s="2" t="s">
        <v>2885</v>
      </c>
      <c r="K22" s="2" t="s">
        <v>2886</v>
      </c>
      <c r="L22" s="2" t="s">
        <v>2887</v>
      </c>
      <c r="M22" s="2" t="s">
        <v>2888</v>
      </c>
      <c r="N22" s="2" t="s">
        <v>1826</v>
      </c>
      <c r="O22" s="2" t="s">
        <v>325</v>
      </c>
      <c r="P22" s="2" t="s">
        <v>2889</v>
      </c>
      <c r="Q22" s="2" t="s">
        <v>2890</v>
      </c>
      <c r="R22" s="2" t="s">
        <v>1836</v>
      </c>
      <c r="S22" s="2" t="s">
        <v>2891</v>
      </c>
      <c r="T22" s="2" t="s">
        <v>2892</v>
      </c>
      <c r="U22" s="2" t="s">
        <v>1838</v>
      </c>
      <c r="V22" s="2" t="s">
        <v>2893</v>
      </c>
      <c r="W22" s="2" t="s">
        <v>2894</v>
      </c>
      <c r="X22" s="2" t="s">
        <v>1840</v>
      </c>
      <c r="Y22" s="2" t="s">
        <v>2895</v>
      </c>
      <c r="Z22" s="2" t="s">
        <v>2896</v>
      </c>
      <c r="AA22" s="2" t="s">
        <v>2897</v>
      </c>
      <c r="AB22" s="2" t="s">
        <v>2898</v>
      </c>
      <c r="AC22" s="2" t="s">
        <v>2899</v>
      </c>
      <c r="AD22" s="2" t="s">
        <v>2900</v>
      </c>
      <c r="AE22" s="2" t="s">
        <v>2901</v>
      </c>
      <c r="AF22" s="2" t="s">
        <v>2902</v>
      </c>
      <c r="AG22" s="2" t="s">
        <v>2903</v>
      </c>
      <c r="AH22" s="2" t="s">
        <v>2904</v>
      </c>
      <c r="AI22" s="2" t="s">
        <v>2905</v>
      </c>
      <c r="AJ22" s="2" t="s">
        <v>2906</v>
      </c>
      <c r="AK22" s="2" t="s">
        <v>2907</v>
      </c>
      <c r="AL22" s="2" t="s">
        <v>2908</v>
      </c>
      <c r="AP22" s="121" t="s">
        <v>2909</v>
      </c>
    </row>
    <row r="23" spans="2:42" x14ac:dyDescent="0.3">
      <c r="B23" s="2" t="e">
        <f>#REF!</f>
        <v>#REF!</v>
      </c>
      <c r="C23" s="2" t="e">
        <f>#REF!</f>
        <v>#REF!</v>
      </c>
      <c r="D23" s="2" t="e">
        <f>#REF!</f>
        <v>#REF!</v>
      </c>
      <c r="E23" s="2"/>
      <c r="F23" s="25"/>
      <c r="G23" s="2">
        <v>1</v>
      </c>
      <c r="H23" s="2" t="s">
        <v>2584</v>
      </c>
      <c r="I23" s="2" t="s">
        <v>587</v>
      </c>
      <c r="J23" s="2" t="s">
        <v>325</v>
      </c>
      <c r="K23" s="2" t="e">
        <f t="shared" ref="K23:K54" si="2">IFERROR(VLOOKUP(LEFT(H23,4),$B$40:$C$81,2,FALSE),VLOOKUP(H23,$B$40:$C$81,2,FALSE))</f>
        <v>#REF!</v>
      </c>
      <c r="L23" s="2">
        <f t="shared" ref="L23:L40" si="3">VLOOKUP(I23,$B$40:$C$81,2,FALSE)</f>
        <v>60</v>
      </c>
      <c r="M23" s="2">
        <f t="shared" ref="M23:M40" si="4">VLOOKUP(J23,$B$40:$C$81,2,FALSE)</f>
        <v>1</v>
      </c>
      <c r="N23" s="2">
        <v>1</v>
      </c>
      <c r="O23" s="2" t="e">
        <f>N23*#REF!</f>
        <v>#REF!</v>
      </c>
      <c r="P23" s="2">
        <v>5</v>
      </c>
      <c r="Q23" s="2" t="e">
        <f t="shared" ref="Q23:Q34" si="5">O23*P23</f>
        <v>#REF!</v>
      </c>
      <c r="R23" s="2">
        <v>1</v>
      </c>
      <c r="S23" s="2" t="e">
        <f t="shared" ref="S23:S34" si="6">R23*K23</f>
        <v>#REF!</v>
      </c>
      <c r="T23" s="2" t="e">
        <f t="shared" ref="T23:T34" si="7">S23/Q23</f>
        <v>#REF!</v>
      </c>
      <c r="U23" s="2">
        <v>2</v>
      </c>
      <c r="V23" s="2">
        <f t="shared" ref="V23:V34" si="8">U23*L23</f>
        <v>120</v>
      </c>
      <c r="W23" s="2" t="e">
        <f t="shared" ref="W23:W34" si="9">V23/Q23</f>
        <v>#REF!</v>
      </c>
      <c r="X23" s="2">
        <v>300</v>
      </c>
      <c r="Y23" s="2" t="e">
        <f t="shared" ref="Y23:Y40" si="10">Z23*Q23</f>
        <v>#REF!</v>
      </c>
      <c r="Z23" s="2" t="e">
        <f t="shared" ref="Z23:Z40" si="11">1-T23-W23</f>
        <v>#REF!</v>
      </c>
      <c r="AA23" s="2" t="e">
        <f t="shared" ref="AA23:AA54" si="12">R23*K23+U23*L23+X23*M23</f>
        <v>#REF!</v>
      </c>
      <c r="AB23" s="2" t="e">
        <f t="shared" ref="AB23:AB54" si="13">1-1/(AA23/O23)</f>
        <v>#REF!</v>
      </c>
      <c r="AC23" s="2">
        <f t="shared" ref="AC23:AC40" si="14">VLOOKUP(H23,道具ID,2,FALSE)</f>
        <v>23201</v>
      </c>
      <c r="AD23" s="2">
        <f t="shared" ref="AD23:AD40" si="15">VLOOKUP(I23,道具ID,2,FALSE)</f>
        <v>100302</v>
      </c>
      <c r="AE23" s="2">
        <f t="shared" ref="AE23:AE40" si="16">VLOOKUP(J23,道具ID,2,FALSE)</f>
        <v>101</v>
      </c>
      <c r="AF23" s="2" t="str">
        <f t="shared" ref="AF23:AF40" si="17">VLOOKUP(H23,道具ID,3,FALSE)</f>
        <v>chest_tankpart</v>
      </c>
      <c r="AG23" s="2" t="str">
        <f t="shared" ref="AG23:AG40" si="18">VLOOKUP(I23,道具ID,3,FALSE)</f>
        <v>StoreQuikenItem_1</v>
      </c>
      <c r="AH23" s="2" t="str">
        <f t="shared" ref="AH23:AH40" si="19">VLOOKUP(J23,道具ID,3,FALSE)</f>
        <v>StoreDiamond_1</v>
      </c>
      <c r="AI23" s="2" t="str">
        <f>"["&amp;AC23&amp;","&amp;AD23&amp;","&amp;AE23&amp;"]"</f>
        <v>[23201,100302,101]</v>
      </c>
      <c r="AJ23" s="2" t="str">
        <f>"["&amp;R23&amp;","&amp;U23&amp;","&amp;X23&amp;"]"</f>
        <v>[1,2,300]</v>
      </c>
      <c r="AK23" s="2" t="str">
        <f>"["&amp;AF23&amp;","&amp;AG23&amp;","&amp;AH23&amp;"]"</f>
        <v>[chest_tankpart,StoreQuikenItem_1,StoreDiamond_1]</v>
      </c>
      <c r="AL23" s="2" t="str">
        <f>G23&amp;"+"&amp;N23&amp;"+"&amp;LEFT(H23,4)</f>
        <v>1+1+部件礼包</v>
      </c>
      <c r="AM23" s="1" t="str">
        <f t="shared" ref="AM23:AM40" si="20">VLOOKUP(H23,道具ID,4,FALSE)</f>
        <v>T1 Component</v>
      </c>
      <c r="AN23" s="1" t="str">
        <f t="shared" ref="AN23:AN40" si="21">VLOOKUP(I23,道具ID,4,FALSE)</f>
        <v>1H_X3_Accelerater</v>
      </c>
      <c r="AO23" s="1" t="str">
        <f t="shared" ref="AO23:AO40" si="22">VLOOKUP(J23,道具ID,4,FALSE)</f>
        <v>Diamond</v>
      </c>
    </row>
    <row r="24" spans="2:42" x14ac:dyDescent="0.3">
      <c r="B24" s="2" t="e">
        <f>#REF!</f>
        <v>#REF!</v>
      </c>
      <c r="C24" s="2" t="e">
        <f>#REF!</f>
        <v>#REF!</v>
      </c>
      <c r="D24" s="2" t="e">
        <f>#REF!</f>
        <v>#REF!</v>
      </c>
      <c r="E24" s="2"/>
      <c r="F24" s="25"/>
      <c r="G24" s="2">
        <v>1</v>
      </c>
      <c r="H24" s="2" t="s">
        <v>2596</v>
      </c>
      <c r="I24" s="2" t="s">
        <v>519</v>
      </c>
      <c r="J24" s="2" t="s">
        <v>275</v>
      </c>
      <c r="K24" s="2" t="e">
        <f t="shared" si="2"/>
        <v>#REF!</v>
      </c>
      <c r="L24" s="2">
        <f t="shared" si="3"/>
        <v>0.75</v>
      </c>
      <c r="M24" s="2">
        <f t="shared" si="4"/>
        <v>3.9623576027736501E-3</v>
      </c>
      <c r="N24" s="2">
        <v>1</v>
      </c>
      <c r="O24" s="2" t="e">
        <f>N24*#REF!</f>
        <v>#REF!</v>
      </c>
      <c r="P24" s="2">
        <v>5</v>
      </c>
      <c r="Q24" s="2" t="e">
        <f t="shared" si="5"/>
        <v>#REF!</v>
      </c>
      <c r="R24" s="2">
        <v>2</v>
      </c>
      <c r="S24" s="2" t="e">
        <f t="shared" si="6"/>
        <v>#REF!</v>
      </c>
      <c r="T24" s="2" t="e">
        <f t="shared" si="7"/>
        <v>#REF!</v>
      </c>
      <c r="U24" s="2">
        <v>100</v>
      </c>
      <c r="V24" s="2">
        <f t="shared" si="8"/>
        <v>75</v>
      </c>
      <c r="W24" s="2" t="e">
        <f t="shared" si="9"/>
        <v>#REF!</v>
      </c>
      <c r="X24" s="2">
        <v>20000</v>
      </c>
      <c r="Y24" s="2" t="e">
        <f t="shared" si="10"/>
        <v>#REF!</v>
      </c>
      <c r="Z24" s="2" t="e">
        <f t="shared" si="11"/>
        <v>#REF!</v>
      </c>
      <c r="AA24" s="2" t="e">
        <f t="shared" si="12"/>
        <v>#REF!</v>
      </c>
      <c r="AB24" s="2" t="e">
        <f t="shared" si="13"/>
        <v>#REF!</v>
      </c>
      <c r="AC24" s="2">
        <f t="shared" si="14"/>
        <v>24201</v>
      </c>
      <c r="AD24" s="2">
        <f t="shared" si="15"/>
        <v>111</v>
      </c>
      <c r="AE24" s="2">
        <f t="shared" si="16"/>
        <v>102</v>
      </c>
      <c r="AF24" s="2" t="str">
        <f t="shared" si="17"/>
        <v>chest_shard</v>
      </c>
      <c r="AG24" s="2" t="str">
        <f t="shared" si="18"/>
        <v>StoreDoubleKey_1</v>
      </c>
      <c r="AH24" s="2" t="str">
        <f t="shared" si="19"/>
        <v>StoreFund_3</v>
      </c>
      <c r="AI24" s="2" t="str">
        <f t="shared" ref="AI24:AI87" si="23">"["&amp;AC24&amp;","&amp;AD24&amp;","&amp;AE24&amp;"]"</f>
        <v>[24201,111,102]</v>
      </c>
      <c r="AJ24" s="2" t="str">
        <f t="shared" ref="AJ24:AJ87" si="24">"["&amp;R24&amp;","&amp;U24&amp;","&amp;X24&amp;"]"</f>
        <v>[2,100,20000]</v>
      </c>
      <c r="AK24" s="2" t="str">
        <f t="shared" ref="AK24:AK87" si="25">"["&amp;AF24&amp;","&amp;AG24&amp;","&amp;AH24&amp;"]"</f>
        <v>[chest_shard,StoreDoubleKey_1,StoreFund_3]</v>
      </c>
      <c r="AL24" s="2" t="str">
        <f t="shared" ref="AL24:AL87" si="26">G24&amp;"+"&amp;N24&amp;"+"&amp;LEFT(H24,4)</f>
        <v>1+1+碎片礼包</v>
      </c>
      <c r="AM24" s="1" t="str">
        <f t="shared" si="20"/>
        <v xml:space="preserve"> T1 General Shard</v>
      </c>
      <c r="AN24" s="1" t="str">
        <f t="shared" si="21"/>
        <v>DoubleKeys</v>
      </c>
      <c r="AO24" s="1" t="str">
        <f t="shared" si="22"/>
        <v>Funds</v>
      </c>
    </row>
    <row r="25" spans="2:42" x14ac:dyDescent="0.3">
      <c r="G25" s="2">
        <v>1</v>
      </c>
      <c r="H25" s="2" t="s">
        <v>2584</v>
      </c>
      <c r="I25" s="2" t="s">
        <v>587</v>
      </c>
      <c r="J25" s="2" t="s">
        <v>325</v>
      </c>
      <c r="K25" s="2" t="e">
        <f t="shared" si="2"/>
        <v>#REF!</v>
      </c>
      <c r="L25" s="2">
        <f t="shared" si="3"/>
        <v>60</v>
      </c>
      <c r="M25" s="2">
        <f t="shared" si="4"/>
        <v>1</v>
      </c>
      <c r="N25" s="2">
        <v>3</v>
      </c>
      <c r="O25" s="2" t="e">
        <f>N25*#REF!</f>
        <v>#REF!</v>
      </c>
      <c r="P25" s="2">
        <v>5</v>
      </c>
      <c r="Q25" s="2" t="e">
        <f t="shared" si="5"/>
        <v>#REF!</v>
      </c>
      <c r="R25" s="2">
        <v>2</v>
      </c>
      <c r="S25" s="2" t="e">
        <f t="shared" si="6"/>
        <v>#REF!</v>
      </c>
      <c r="T25" s="2" t="e">
        <f t="shared" si="7"/>
        <v>#REF!</v>
      </c>
      <c r="U25" s="2">
        <v>10</v>
      </c>
      <c r="V25" s="2">
        <f t="shared" si="8"/>
        <v>600</v>
      </c>
      <c r="W25" s="2" t="e">
        <f t="shared" si="9"/>
        <v>#REF!</v>
      </c>
      <c r="X25" s="2">
        <v>700</v>
      </c>
      <c r="Y25" s="2" t="e">
        <f t="shared" si="10"/>
        <v>#REF!</v>
      </c>
      <c r="Z25" s="2" t="e">
        <f t="shared" si="11"/>
        <v>#REF!</v>
      </c>
      <c r="AA25" s="2" t="e">
        <f t="shared" si="12"/>
        <v>#REF!</v>
      </c>
      <c r="AB25" s="2" t="e">
        <f t="shared" si="13"/>
        <v>#REF!</v>
      </c>
      <c r="AC25" s="2">
        <f t="shared" si="14"/>
        <v>23201</v>
      </c>
      <c r="AD25" s="2">
        <f t="shared" si="15"/>
        <v>100302</v>
      </c>
      <c r="AE25" s="2">
        <f t="shared" si="16"/>
        <v>101</v>
      </c>
      <c r="AF25" s="2" t="str">
        <f t="shared" si="17"/>
        <v>chest_tankpart</v>
      </c>
      <c r="AG25" s="2" t="str">
        <f t="shared" si="18"/>
        <v>StoreQuikenItem_1</v>
      </c>
      <c r="AH25" s="2" t="str">
        <f t="shared" si="19"/>
        <v>StoreDiamond_1</v>
      </c>
      <c r="AI25" s="2" t="str">
        <f t="shared" si="23"/>
        <v>[23201,100302,101]</v>
      </c>
      <c r="AJ25" s="2" t="str">
        <f t="shared" si="24"/>
        <v>[2,10,700]</v>
      </c>
      <c r="AK25" s="2" t="str">
        <f t="shared" si="25"/>
        <v>[chest_tankpart,StoreQuikenItem_1,StoreDiamond_1]</v>
      </c>
      <c r="AL25" s="2" t="str">
        <f t="shared" si="26"/>
        <v>1+3+部件礼包</v>
      </c>
      <c r="AM25" s="1" t="str">
        <f t="shared" si="20"/>
        <v>T1 Component</v>
      </c>
      <c r="AN25" s="1" t="str">
        <f t="shared" si="21"/>
        <v>1H_X3_Accelerater</v>
      </c>
      <c r="AO25" s="1" t="str">
        <f t="shared" si="22"/>
        <v>Diamond</v>
      </c>
    </row>
    <row r="26" spans="2:42" x14ac:dyDescent="0.3">
      <c r="B26" s="263" t="s">
        <v>2910</v>
      </c>
      <c r="C26" s="264"/>
      <c r="D26" s="265"/>
      <c r="G26" s="2">
        <v>1</v>
      </c>
      <c r="H26" s="2" t="s">
        <v>2596</v>
      </c>
      <c r="I26" s="2" t="s">
        <v>519</v>
      </c>
      <c r="J26" s="2" t="s">
        <v>275</v>
      </c>
      <c r="K26" s="2" t="e">
        <f t="shared" si="2"/>
        <v>#REF!</v>
      </c>
      <c r="L26" s="2">
        <f t="shared" si="3"/>
        <v>0.75</v>
      </c>
      <c r="M26" s="2">
        <f t="shared" si="4"/>
        <v>3.9623576027736501E-3</v>
      </c>
      <c r="N26" s="2">
        <v>3</v>
      </c>
      <c r="O26" s="2" t="e">
        <f>N26*#REF!</f>
        <v>#REF!</v>
      </c>
      <c r="P26" s="2">
        <v>5</v>
      </c>
      <c r="Q26" s="2" t="e">
        <f t="shared" si="5"/>
        <v>#REF!</v>
      </c>
      <c r="R26" s="2">
        <v>7</v>
      </c>
      <c r="S26" s="2" t="e">
        <f t="shared" si="6"/>
        <v>#REF!</v>
      </c>
      <c r="T26" s="2" t="e">
        <f t="shared" si="7"/>
        <v>#REF!</v>
      </c>
      <c r="U26" s="2">
        <v>77</v>
      </c>
      <c r="V26" s="2">
        <f t="shared" si="8"/>
        <v>57.75</v>
      </c>
      <c r="W26" s="2" t="e">
        <f t="shared" si="9"/>
        <v>#REF!</v>
      </c>
      <c r="X26" s="2">
        <v>50000</v>
      </c>
      <c r="Y26" s="2" t="e">
        <f t="shared" si="10"/>
        <v>#REF!</v>
      </c>
      <c r="Z26" s="2" t="e">
        <f t="shared" si="11"/>
        <v>#REF!</v>
      </c>
      <c r="AA26" s="2" t="e">
        <f t="shared" si="12"/>
        <v>#REF!</v>
      </c>
      <c r="AB26" s="2" t="e">
        <f t="shared" si="13"/>
        <v>#REF!</v>
      </c>
      <c r="AC26" s="2">
        <f t="shared" si="14"/>
        <v>24201</v>
      </c>
      <c r="AD26" s="2">
        <f t="shared" si="15"/>
        <v>111</v>
      </c>
      <c r="AE26" s="2">
        <f t="shared" si="16"/>
        <v>102</v>
      </c>
      <c r="AF26" s="2" t="str">
        <f t="shared" si="17"/>
        <v>chest_shard</v>
      </c>
      <c r="AG26" s="2" t="str">
        <f t="shared" si="18"/>
        <v>StoreDoubleKey_1</v>
      </c>
      <c r="AH26" s="2" t="str">
        <f t="shared" si="19"/>
        <v>StoreFund_3</v>
      </c>
      <c r="AI26" s="2" t="str">
        <f t="shared" si="23"/>
        <v>[24201,111,102]</v>
      </c>
      <c r="AJ26" s="2" t="str">
        <f t="shared" si="24"/>
        <v>[7,77,50000]</v>
      </c>
      <c r="AK26" s="2" t="str">
        <f t="shared" si="25"/>
        <v>[chest_shard,StoreDoubleKey_1,StoreFund_3]</v>
      </c>
      <c r="AL26" s="2" t="str">
        <f t="shared" si="26"/>
        <v>1+3+碎片礼包</v>
      </c>
      <c r="AM26" s="1" t="str">
        <f t="shared" si="20"/>
        <v xml:space="preserve"> T1 General Shard</v>
      </c>
      <c r="AN26" s="1" t="str">
        <f t="shared" si="21"/>
        <v>DoubleKeys</v>
      </c>
      <c r="AO26" s="1" t="str">
        <f t="shared" si="22"/>
        <v>Funds</v>
      </c>
    </row>
    <row r="27" spans="2:42" x14ac:dyDescent="0.3">
      <c r="B27" s="2" t="s">
        <v>385</v>
      </c>
      <c r="C27" s="2" t="s">
        <v>2911</v>
      </c>
      <c r="D27" s="2" t="s">
        <v>2912</v>
      </c>
      <c r="G27" s="2">
        <v>1</v>
      </c>
      <c r="H27" s="2" t="s">
        <v>2584</v>
      </c>
      <c r="I27" s="2" t="s">
        <v>587</v>
      </c>
      <c r="J27" s="2" t="s">
        <v>325</v>
      </c>
      <c r="K27" s="2" t="e">
        <f t="shared" si="2"/>
        <v>#REF!</v>
      </c>
      <c r="L27" s="2">
        <f t="shared" si="3"/>
        <v>60</v>
      </c>
      <c r="M27" s="2">
        <f t="shared" si="4"/>
        <v>1</v>
      </c>
      <c r="N27" s="2">
        <v>5</v>
      </c>
      <c r="O27" s="2" t="e">
        <f>N27*#REF!</f>
        <v>#REF!</v>
      </c>
      <c r="P27" s="2">
        <v>5</v>
      </c>
      <c r="Q27" s="2" t="e">
        <f t="shared" si="5"/>
        <v>#REF!</v>
      </c>
      <c r="R27" s="2">
        <v>3</v>
      </c>
      <c r="S27" s="2" t="e">
        <f t="shared" si="6"/>
        <v>#REF!</v>
      </c>
      <c r="T27" s="2" t="e">
        <f t="shared" si="7"/>
        <v>#REF!</v>
      </c>
      <c r="U27" s="2">
        <v>20</v>
      </c>
      <c r="V27" s="2">
        <f t="shared" si="8"/>
        <v>1200</v>
      </c>
      <c r="W27" s="2" t="e">
        <f t="shared" si="9"/>
        <v>#REF!</v>
      </c>
      <c r="X27" s="2">
        <v>1000</v>
      </c>
      <c r="Y27" s="2" t="e">
        <f t="shared" si="10"/>
        <v>#REF!</v>
      </c>
      <c r="Z27" s="2" t="e">
        <f t="shared" si="11"/>
        <v>#REF!</v>
      </c>
      <c r="AA27" s="2" t="e">
        <f t="shared" si="12"/>
        <v>#REF!</v>
      </c>
      <c r="AB27" s="2" t="e">
        <f t="shared" si="13"/>
        <v>#REF!</v>
      </c>
      <c r="AC27" s="2">
        <f t="shared" si="14"/>
        <v>23201</v>
      </c>
      <c r="AD27" s="2">
        <f t="shared" si="15"/>
        <v>100302</v>
      </c>
      <c r="AE27" s="2">
        <f t="shared" si="16"/>
        <v>101</v>
      </c>
      <c r="AF27" s="2" t="str">
        <f t="shared" si="17"/>
        <v>chest_tankpart</v>
      </c>
      <c r="AG27" s="2" t="str">
        <f t="shared" si="18"/>
        <v>StoreQuikenItem_1</v>
      </c>
      <c r="AH27" s="2" t="str">
        <f t="shared" si="19"/>
        <v>StoreDiamond_1</v>
      </c>
      <c r="AI27" s="2" t="str">
        <f t="shared" si="23"/>
        <v>[23201,100302,101]</v>
      </c>
      <c r="AJ27" s="2" t="str">
        <f t="shared" si="24"/>
        <v>[3,20,1000]</v>
      </c>
      <c r="AK27" s="2" t="str">
        <f t="shared" si="25"/>
        <v>[chest_tankpart,StoreQuikenItem_1,StoreDiamond_1]</v>
      </c>
      <c r="AL27" s="2" t="str">
        <f t="shared" si="26"/>
        <v>1+5+部件礼包</v>
      </c>
      <c r="AM27" s="1" t="str">
        <f t="shared" si="20"/>
        <v>T1 Component</v>
      </c>
      <c r="AN27" s="1" t="str">
        <f t="shared" si="21"/>
        <v>1H_X3_Accelerater</v>
      </c>
      <c r="AO27" s="1" t="str">
        <f t="shared" si="22"/>
        <v>Diamond</v>
      </c>
    </row>
    <row r="28" spans="2:42" x14ac:dyDescent="0.3">
      <c r="B28" s="2" t="e">
        <f>#REF!</f>
        <v>#REF!</v>
      </c>
      <c r="C28" s="2" t="e">
        <f>#REF!</f>
        <v>#REF!</v>
      </c>
      <c r="D28" s="2"/>
      <c r="G28" s="2">
        <v>1</v>
      </c>
      <c r="H28" s="2" t="s">
        <v>2596</v>
      </c>
      <c r="I28" s="2" t="s">
        <v>519</v>
      </c>
      <c r="J28" s="2" t="s">
        <v>275</v>
      </c>
      <c r="K28" s="2" t="e">
        <f t="shared" si="2"/>
        <v>#REF!</v>
      </c>
      <c r="L28" s="2">
        <f t="shared" si="3"/>
        <v>0.75</v>
      </c>
      <c r="M28" s="2">
        <f t="shared" si="4"/>
        <v>3.9623576027736501E-3</v>
      </c>
      <c r="N28" s="2">
        <v>5</v>
      </c>
      <c r="O28" s="2" t="e">
        <f>N28*#REF!</f>
        <v>#REF!</v>
      </c>
      <c r="P28" s="2">
        <v>5</v>
      </c>
      <c r="Q28" s="2" t="e">
        <f t="shared" si="5"/>
        <v>#REF!</v>
      </c>
      <c r="R28" s="2">
        <v>12</v>
      </c>
      <c r="S28" s="2" t="e">
        <f t="shared" si="6"/>
        <v>#REF!</v>
      </c>
      <c r="T28" s="2" t="e">
        <f t="shared" si="7"/>
        <v>#REF!</v>
      </c>
      <c r="U28" s="2">
        <v>50</v>
      </c>
      <c r="V28" s="2">
        <f t="shared" si="8"/>
        <v>37.5</v>
      </c>
      <c r="W28" s="2" t="e">
        <f t="shared" si="9"/>
        <v>#REF!</v>
      </c>
      <c r="X28" s="2">
        <v>80000</v>
      </c>
      <c r="Y28" s="2" t="e">
        <f t="shared" si="10"/>
        <v>#REF!</v>
      </c>
      <c r="Z28" s="2" t="e">
        <f t="shared" si="11"/>
        <v>#REF!</v>
      </c>
      <c r="AA28" s="2" t="e">
        <f t="shared" si="12"/>
        <v>#REF!</v>
      </c>
      <c r="AB28" s="2" t="e">
        <f t="shared" si="13"/>
        <v>#REF!</v>
      </c>
      <c r="AC28" s="2">
        <f t="shared" si="14"/>
        <v>24201</v>
      </c>
      <c r="AD28" s="2">
        <f t="shared" si="15"/>
        <v>111</v>
      </c>
      <c r="AE28" s="2">
        <f t="shared" si="16"/>
        <v>102</v>
      </c>
      <c r="AF28" s="2" t="str">
        <f t="shared" si="17"/>
        <v>chest_shard</v>
      </c>
      <c r="AG28" s="2" t="str">
        <f t="shared" si="18"/>
        <v>StoreDoubleKey_1</v>
      </c>
      <c r="AH28" s="2" t="str">
        <f t="shared" si="19"/>
        <v>StoreFund_3</v>
      </c>
      <c r="AI28" s="2" t="str">
        <f t="shared" si="23"/>
        <v>[24201,111,102]</v>
      </c>
      <c r="AJ28" s="2" t="str">
        <f t="shared" si="24"/>
        <v>[12,50,80000]</v>
      </c>
      <c r="AK28" s="2" t="str">
        <f t="shared" si="25"/>
        <v>[chest_shard,StoreDoubleKey_1,StoreFund_3]</v>
      </c>
      <c r="AL28" s="2" t="str">
        <f t="shared" si="26"/>
        <v>1+5+碎片礼包</v>
      </c>
      <c r="AM28" s="1" t="str">
        <f t="shared" si="20"/>
        <v xml:space="preserve"> T1 General Shard</v>
      </c>
      <c r="AN28" s="1" t="str">
        <f t="shared" si="21"/>
        <v>DoubleKeys</v>
      </c>
      <c r="AO28" s="1" t="str">
        <f t="shared" si="22"/>
        <v>Funds</v>
      </c>
    </row>
    <row r="29" spans="2:42" x14ac:dyDescent="0.3">
      <c r="B29" s="2" t="e">
        <f>#REF!</f>
        <v>#REF!</v>
      </c>
      <c r="C29" s="2" t="e">
        <f>#REF!</f>
        <v>#REF!</v>
      </c>
      <c r="D29" s="2" t="e">
        <f>#REF!</f>
        <v>#REF!</v>
      </c>
      <c r="G29" s="2">
        <v>2</v>
      </c>
      <c r="H29" s="2" t="s">
        <v>2586</v>
      </c>
      <c r="I29" s="2" t="s">
        <v>587</v>
      </c>
      <c r="J29" s="2" t="s">
        <v>325</v>
      </c>
      <c r="K29" s="2" t="e">
        <f t="shared" si="2"/>
        <v>#REF!</v>
      </c>
      <c r="L29" s="2">
        <f t="shared" si="3"/>
        <v>60</v>
      </c>
      <c r="M29" s="2">
        <f t="shared" si="4"/>
        <v>1</v>
      </c>
      <c r="N29" s="2">
        <v>2</v>
      </c>
      <c r="O29" s="2" t="e">
        <f>N29*#REF!</f>
        <v>#REF!</v>
      </c>
      <c r="P29" s="2">
        <v>5</v>
      </c>
      <c r="Q29" s="2" t="e">
        <f t="shared" si="5"/>
        <v>#REF!</v>
      </c>
      <c r="R29" s="2">
        <v>2</v>
      </c>
      <c r="S29" s="2" t="e">
        <f t="shared" si="6"/>
        <v>#REF!</v>
      </c>
      <c r="T29" s="2" t="e">
        <f t="shared" si="7"/>
        <v>#REF!</v>
      </c>
      <c r="U29" s="2">
        <v>10</v>
      </c>
      <c r="V29" s="2">
        <f t="shared" si="8"/>
        <v>600</v>
      </c>
      <c r="W29" s="2" t="e">
        <f t="shared" si="9"/>
        <v>#REF!</v>
      </c>
      <c r="X29" s="2">
        <v>200</v>
      </c>
      <c r="Y29" s="2" t="e">
        <f t="shared" si="10"/>
        <v>#REF!</v>
      </c>
      <c r="Z29" s="2" t="e">
        <f t="shared" si="11"/>
        <v>#REF!</v>
      </c>
      <c r="AA29" s="2" t="e">
        <f t="shared" si="12"/>
        <v>#REF!</v>
      </c>
      <c r="AB29" s="2" t="e">
        <f t="shared" si="13"/>
        <v>#REF!</v>
      </c>
      <c r="AC29" s="2">
        <f t="shared" si="14"/>
        <v>23202</v>
      </c>
      <c r="AD29" s="2">
        <f t="shared" si="15"/>
        <v>100302</v>
      </c>
      <c r="AE29" s="2">
        <f t="shared" si="16"/>
        <v>101</v>
      </c>
      <c r="AF29" s="2" t="str">
        <f t="shared" si="17"/>
        <v>chest_tankpart</v>
      </c>
      <c r="AG29" s="2" t="str">
        <f t="shared" si="18"/>
        <v>StoreQuikenItem_1</v>
      </c>
      <c r="AH29" s="2" t="str">
        <f t="shared" si="19"/>
        <v>StoreDiamond_1</v>
      </c>
      <c r="AI29" s="2" t="str">
        <f t="shared" si="23"/>
        <v>[23202,100302,101]</v>
      </c>
      <c r="AJ29" s="2" t="str">
        <f t="shared" si="24"/>
        <v>[2,10,200]</v>
      </c>
      <c r="AK29" s="2" t="str">
        <f t="shared" si="25"/>
        <v>[chest_tankpart,StoreQuikenItem_1,StoreDiamond_1]</v>
      </c>
      <c r="AL29" s="2" t="str">
        <f t="shared" si="26"/>
        <v>2+2+部件礼包</v>
      </c>
      <c r="AM29" s="1" t="str">
        <f t="shared" si="20"/>
        <v>T1 Component</v>
      </c>
      <c r="AN29" s="1" t="str">
        <f t="shared" si="21"/>
        <v>1H_X3_Accelerater</v>
      </c>
      <c r="AO29" s="1" t="str">
        <f t="shared" si="22"/>
        <v>Diamond</v>
      </c>
    </row>
    <row r="30" spans="2:42" x14ac:dyDescent="0.3">
      <c r="B30" s="2" t="e">
        <f>#REF!</f>
        <v>#REF!</v>
      </c>
      <c r="C30" s="2" t="e">
        <f>#REF!</f>
        <v>#REF!</v>
      </c>
      <c r="D30" s="2" t="e">
        <f>#REF!</f>
        <v>#REF!</v>
      </c>
      <c r="G30" s="2">
        <v>2</v>
      </c>
      <c r="H30" s="2" t="s">
        <v>2598</v>
      </c>
      <c r="I30" s="2" t="s">
        <v>519</v>
      </c>
      <c r="J30" s="2" t="s">
        <v>275</v>
      </c>
      <c r="K30" s="2" t="e">
        <f t="shared" si="2"/>
        <v>#REF!</v>
      </c>
      <c r="L30" s="2">
        <f t="shared" si="3"/>
        <v>0.75</v>
      </c>
      <c r="M30" s="2">
        <f t="shared" si="4"/>
        <v>3.9623576027736501E-3</v>
      </c>
      <c r="N30" s="2">
        <v>2</v>
      </c>
      <c r="O30" s="2" t="e">
        <f>N30*#REF!</f>
        <v>#REF!</v>
      </c>
      <c r="P30" s="2">
        <v>5</v>
      </c>
      <c r="Q30" s="2" t="e">
        <f t="shared" si="5"/>
        <v>#REF!</v>
      </c>
      <c r="R30" s="2">
        <v>4</v>
      </c>
      <c r="S30" s="2" t="e">
        <f t="shared" si="6"/>
        <v>#REF!</v>
      </c>
      <c r="T30" s="2" t="e">
        <f t="shared" si="7"/>
        <v>#REF!</v>
      </c>
      <c r="U30" s="2">
        <v>50</v>
      </c>
      <c r="V30" s="2">
        <f t="shared" si="8"/>
        <v>37.5</v>
      </c>
      <c r="W30" s="2" t="e">
        <f t="shared" si="9"/>
        <v>#REF!</v>
      </c>
      <c r="X30" s="2">
        <v>60000</v>
      </c>
      <c r="Y30" s="2" t="e">
        <f t="shared" si="10"/>
        <v>#REF!</v>
      </c>
      <c r="Z30" s="2" t="e">
        <f t="shared" si="11"/>
        <v>#REF!</v>
      </c>
      <c r="AA30" s="2" t="e">
        <f t="shared" si="12"/>
        <v>#REF!</v>
      </c>
      <c r="AB30" s="2" t="e">
        <f t="shared" si="13"/>
        <v>#REF!</v>
      </c>
      <c r="AC30" s="2">
        <f t="shared" si="14"/>
        <v>24202</v>
      </c>
      <c r="AD30" s="2">
        <f t="shared" si="15"/>
        <v>111</v>
      </c>
      <c r="AE30" s="2">
        <f t="shared" si="16"/>
        <v>102</v>
      </c>
      <c r="AF30" s="2" t="str">
        <f t="shared" si="17"/>
        <v>chest_shard</v>
      </c>
      <c r="AG30" s="2" t="str">
        <f t="shared" si="18"/>
        <v>StoreDoubleKey_1</v>
      </c>
      <c r="AH30" s="2" t="str">
        <f t="shared" si="19"/>
        <v>StoreFund_3</v>
      </c>
      <c r="AI30" s="2" t="str">
        <f t="shared" si="23"/>
        <v>[24202,111,102]</v>
      </c>
      <c r="AJ30" s="2" t="str">
        <f t="shared" si="24"/>
        <v>[4,50,60000]</v>
      </c>
      <c r="AK30" s="2" t="str">
        <f t="shared" si="25"/>
        <v>[chest_shard,StoreDoubleKey_1,StoreFund_3]</v>
      </c>
      <c r="AL30" s="2" t="str">
        <f t="shared" si="26"/>
        <v>2+2+碎片礼包</v>
      </c>
      <c r="AM30" s="1" t="str">
        <f t="shared" si="20"/>
        <v xml:space="preserve"> T2 General Shard</v>
      </c>
      <c r="AN30" s="1" t="str">
        <f t="shared" si="21"/>
        <v>DoubleKeys</v>
      </c>
      <c r="AO30" s="1" t="str">
        <f t="shared" si="22"/>
        <v>Funds</v>
      </c>
    </row>
    <row r="31" spans="2:42" x14ac:dyDescent="0.3">
      <c r="B31" s="2" t="e">
        <f>#REF!</f>
        <v>#REF!</v>
      </c>
      <c r="C31" s="2" t="e">
        <f>#REF!</f>
        <v>#REF!</v>
      </c>
      <c r="D31" s="2" t="e">
        <f>#REF!</f>
        <v>#REF!</v>
      </c>
      <c r="G31" s="2">
        <v>2</v>
      </c>
      <c r="H31" s="2" t="s">
        <v>2586</v>
      </c>
      <c r="I31" s="2" t="s">
        <v>587</v>
      </c>
      <c r="J31" s="2" t="s">
        <v>325</v>
      </c>
      <c r="K31" s="2" t="e">
        <f t="shared" si="2"/>
        <v>#REF!</v>
      </c>
      <c r="L31" s="2">
        <f t="shared" si="3"/>
        <v>60</v>
      </c>
      <c r="M31" s="2">
        <f t="shared" si="4"/>
        <v>1</v>
      </c>
      <c r="N31" s="2">
        <v>5</v>
      </c>
      <c r="O31" s="2" t="e">
        <f>N31*#REF!</f>
        <v>#REF!</v>
      </c>
      <c r="P31" s="2">
        <v>5</v>
      </c>
      <c r="Q31" s="2" t="e">
        <f t="shared" si="5"/>
        <v>#REF!</v>
      </c>
      <c r="R31" s="2">
        <v>3</v>
      </c>
      <c r="S31" s="2" t="e">
        <f t="shared" si="6"/>
        <v>#REF!</v>
      </c>
      <c r="T31" s="2" t="e">
        <f t="shared" si="7"/>
        <v>#REF!</v>
      </c>
      <c r="U31" s="2">
        <v>10</v>
      </c>
      <c r="V31" s="2">
        <f t="shared" si="8"/>
        <v>600</v>
      </c>
      <c r="W31" s="2" t="e">
        <f t="shared" si="9"/>
        <v>#REF!</v>
      </c>
      <c r="X31" s="2">
        <v>1600</v>
      </c>
      <c r="Y31" s="2" t="e">
        <f t="shared" si="10"/>
        <v>#REF!</v>
      </c>
      <c r="Z31" s="2" t="e">
        <f t="shared" si="11"/>
        <v>#REF!</v>
      </c>
      <c r="AA31" s="2" t="e">
        <f t="shared" si="12"/>
        <v>#REF!</v>
      </c>
      <c r="AB31" s="2" t="e">
        <f t="shared" si="13"/>
        <v>#REF!</v>
      </c>
      <c r="AC31" s="2">
        <f t="shared" si="14"/>
        <v>23202</v>
      </c>
      <c r="AD31" s="2">
        <f t="shared" si="15"/>
        <v>100302</v>
      </c>
      <c r="AE31" s="2">
        <f t="shared" si="16"/>
        <v>101</v>
      </c>
      <c r="AF31" s="2" t="str">
        <f t="shared" si="17"/>
        <v>chest_tankpart</v>
      </c>
      <c r="AG31" s="2" t="str">
        <f t="shared" si="18"/>
        <v>StoreQuikenItem_1</v>
      </c>
      <c r="AH31" s="2" t="str">
        <f t="shared" si="19"/>
        <v>StoreDiamond_1</v>
      </c>
      <c r="AI31" s="2" t="str">
        <f t="shared" si="23"/>
        <v>[23202,100302,101]</v>
      </c>
      <c r="AJ31" s="2" t="str">
        <f t="shared" si="24"/>
        <v>[3,10,1600]</v>
      </c>
      <c r="AK31" s="2" t="str">
        <f t="shared" si="25"/>
        <v>[chest_tankpart,StoreQuikenItem_1,StoreDiamond_1]</v>
      </c>
      <c r="AL31" s="2" t="str">
        <f t="shared" si="26"/>
        <v>2+5+部件礼包</v>
      </c>
      <c r="AM31" s="1" t="str">
        <f t="shared" si="20"/>
        <v>T1 Component</v>
      </c>
      <c r="AN31" s="1" t="str">
        <f t="shared" si="21"/>
        <v>1H_X3_Accelerater</v>
      </c>
      <c r="AO31" s="1" t="str">
        <f t="shared" si="22"/>
        <v>Diamond</v>
      </c>
    </row>
    <row r="32" spans="2:42" x14ac:dyDescent="0.3">
      <c r="B32" s="2" t="e">
        <f>#REF!</f>
        <v>#REF!</v>
      </c>
      <c r="C32" s="2" t="e">
        <f>#REF!</f>
        <v>#REF!</v>
      </c>
      <c r="D32" s="2" t="e">
        <f>#REF!</f>
        <v>#REF!</v>
      </c>
      <c r="G32" s="2">
        <v>2</v>
      </c>
      <c r="H32" s="2" t="s">
        <v>2598</v>
      </c>
      <c r="I32" s="2" t="s">
        <v>519</v>
      </c>
      <c r="J32" s="2" t="s">
        <v>275</v>
      </c>
      <c r="K32" s="2" t="e">
        <f t="shared" si="2"/>
        <v>#REF!</v>
      </c>
      <c r="L32" s="2">
        <f t="shared" si="3"/>
        <v>0.75</v>
      </c>
      <c r="M32" s="2">
        <f t="shared" si="4"/>
        <v>3.9623576027736501E-3</v>
      </c>
      <c r="N32" s="2">
        <v>5</v>
      </c>
      <c r="O32" s="2" t="e">
        <f>N32*#REF!</f>
        <v>#REF!</v>
      </c>
      <c r="P32" s="2">
        <v>5</v>
      </c>
      <c r="Q32" s="2" t="e">
        <f t="shared" si="5"/>
        <v>#REF!</v>
      </c>
      <c r="R32" s="2">
        <v>12</v>
      </c>
      <c r="S32" s="2" t="e">
        <f t="shared" si="6"/>
        <v>#REF!</v>
      </c>
      <c r="T32" s="2" t="e">
        <f t="shared" si="7"/>
        <v>#REF!</v>
      </c>
      <c r="U32" s="2">
        <v>50</v>
      </c>
      <c r="V32" s="2">
        <f t="shared" si="8"/>
        <v>37.5</v>
      </c>
      <c r="W32" s="2" t="e">
        <f t="shared" si="9"/>
        <v>#REF!</v>
      </c>
      <c r="X32" s="2">
        <v>80000</v>
      </c>
      <c r="Y32" s="2" t="e">
        <f t="shared" si="10"/>
        <v>#REF!</v>
      </c>
      <c r="Z32" s="2" t="e">
        <f t="shared" si="11"/>
        <v>#REF!</v>
      </c>
      <c r="AA32" s="2" t="e">
        <f t="shared" si="12"/>
        <v>#REF!</v>
      </c>
      <c r="AB32" s="2" t="e">
        <f t="shared" si="13"/>
        <v>#REF!</v>
      </c>
      <c r="AC32" s="2">
        <f t="shared" si="14"/>
        <v>24202</v>
      </c>
      <c r="AD32" s="2">
        <f t="shared" si="15"/>
        <v>111</v>
      </c>
      <c r="AE32" s="2">
        <f t="shared" si="16"/>
        <v>102</v>
      </c>
      <c r="AF32" s="2" t="str">
        <f t="shared" si="17"/>
        <v>chest_shard</v>
      </c>
      <c r="AG32" s="2" t="str">
        <f t="shared" si="18"/>
        <v>StoreDoubleKey_1</v>
      </c>
      <c r="AH32" s="2" t="str">
        <f t="shared" si="19"/>
        <v>StoreFund_3</v>
      </c>
      <c r="AI32" s="2" t="str">
        <f t="shared" si="23"/>
        <v>[24202,111,102]</v>
      </c>
      <c r="AJ32" s="2" t="str">
        <f t="shared" si="24"/>
        <v>[12,50,80000]</v>
      </c>
      <c r="AK32" s="2" t="str">
        <f t="shared" si="25"/>
        <v>[chest_shard,StoreDoubleKey_1,StoreFund_3]</v>
      </c>
      <c r="AL32" s="2" t="str">
        <f t="shared" si="26"/>
        <v>2+5+碎片礼包</v>
      </c>
      <c r="AM32" s="1" t="str">
        <f t="shared" si="20"/>
        <v xml:space="preserve"> T2 General Shard</v>
      </c>
      <c r="AN32" s="1" t="str">
        <f t="shared" si="21"/>
        <v>DoubleKeys</v>
      </c>
      <c r="AO32" s="1" t="str">
        <f t="shared" si="22"/>
        <v>Funds</v>
      </c>
    </row>
    <row r="33" spans="2:41" x14ac:dyDescent="0.3">
      <c r="B33" s="2" t="e">
        <f>#REF!</f>
        <v>#REF!</v>
      </c>
      <c r="C33" s="2" t="e">
        <f>#REF!</f>
        <v>#REF!</v>
      </c>
      <c r="D33" s="2" t="e">
        <f>#REF!</f>
        <v>#REF!</v>
      </c>
      <c r="G33" s="2">
        <v>2</v>
      </c>
      <c r="H33" s="2" t="s">
        <v>2586</v>
      </c>
      <c r="I33" s="2" t="s">
        <v>587</v>
      </c>
      <c r="J33" s="2" t="s">
        <v>325</v>
      </c>
      <c r="K33" s="2" t="e">
        <f t="shared" si="2"/>
        <v>#REF!</v>
      </c>
      <c r="L33" s="2">
        <f t="shared" si="3"/>
        <v>60</v>
      </c>
      <c r="M33" s="2">
        <f t="shared" si="4"/>
        <v>1</v>
      </c>
      <c r="N33" s="2">
        <v>10</v>
      </c>
      <c r="O33" s="2" t="e">
        <f>N33*#REF!</f>
        <v>#REF!</v>
      </c>
      <c r="P33" s="2">
        <v>5</v>
      </c>
      <c r="Q33" s="2" t="e">
        <f t="shared" si="5"/>
        <v>#REF!</v>
      </c>
      <c r="R33" s="2">
        <v>4</v>
      </c>
      <c r="S33" s="2" t="e">
        <f t="shared" si="6"/>
        <v>#REF!</v>
      </c>
      <c r="T33" s="2" t="e">
        <f t="shared" si="7"/>
        <v>#REF!</v>
      </c>
      <c r="U33" s="2">
        <v>20</v>
      </c>
      <c r="V33" s="2">
        <f t="shared" si="8"/>
        <v>1200</v>
      </c>
      <c r="W33" s="2" t="e">
        <f t="shared" si="9"/>
        <v>#REF!</v>
      </c>
      <c r="X33" s="2">
        <v>3400</v>
      </c>
      <c r="Y33" s="2" t="e">
        <f t="shared" si="10"/>
        <v>#REF!</v>
      </c>
      <c r="Z33" s="2" t="e">
        <f t="shared" si="11"/>
        <v>#REF!</v>
      </c>
      <c r="AA33" s="2" t="e">
        <f t="shared" si="12"/>
        <v>#REF!</v>
      </c>
      <c r="AB33" s="2" t="e">
        <f t="shared" si="13"/>
        <v>#REF!</v>
      </c>
      <c r="AC33" s="2">
        <f t="shared" si="14"/>
        <v>23202</v>
      </c>
      <c r="AD33" s="2">
        <f t="shared" si="15"/>
        <v>100302</v>
      </c>
      <c r="AE33" s="2">
        <f t="shared" si="16"/>
        <v>101</v>
      </c>
      <c r="AF33" s="2" t="str">
        <f t="shared" si="17"/>
        <v>chest_tankpart</v>
      </c>
      <c r="AG33" s="2" t="str">
        <f t="shared" si="18"/>
        <v>StoreQuikenItem_1</v>
      </c>
      <c r="AH33" s="2" t="str">
        <f t="shared" si="19"/>
        <v>StoreDiamond_1</v>
      </c>
      <c r="AI33" s="2" t="str">
        <f t="shared" si="23"/>
        <v>[23202,100302,101]</v>
      </c>
      <c r="AJ33" s="2" t="str">
        <f t="shared" si="24"/>
        <v>[4,20,3400]</v>
      </c>
      <c r="AK33" s="2" t="str">
        <f t="shared" si="25"/>
        <v>[chest_tankpart,StoreQuikenItem_1,StoreDiamond_1]</v>
      </c>
      <c r="AL33" s="2" t="str">
        <f t="shared" si="26"/>
        <v>2+10+部件礼包</v>
      </c>
      <c r="AM33" s="1" t="str">
        <f t="shared" si="20"/>
        <v>T1 Component</v>
      </c>
      <c r="AN33" s="1" t="str">
        <f t="shared" si="21"/>
        <v>1H_X3_Accelerater</v>
      </c>
      <c r="AO33" s="1" t="str">
        <f t="shared" si="22"/>
        <v>Diamond</v>
      </c>
    </row>
    <row r="34" spans="2:41" x14ac:dyDescent="0.3">
      <c r="B34" s="2" t="e">
        <f>#REF!</f>
        <v>#REF!</v>
      </c>
      <c r="C34" s="2" t="e">
        <f>#REF!</f>
        <v>#REF!</v>
      </c>
      <c r="D34" s="2" t="e">
        <f>#REF!</f>
        <v>#REF!</v>
      </c>
      <c r="G34" s="2">
        <v>2</v>
      </c>
      <c r="H34" s="2" t="s">
        <v>2598</v>
      </c>
      <c r="I34" s="2" t="s">
        <v>519</v>
      </c>
      <c r="J34" s="2" t="s">
        <v>275</v>
      </c>
      <c r="K34" s="2" t="e">
        <f t="shared" si="2"/>
        <v>#REF!</v>
      </c>
      <c r="L34" s="2">
        <f t="shared" si="3"/>
        <v>0.75</v>
      </c>
      <c r="M34" s="2">
        <f t="shared" si="4"/>
        <v>3.9623576027736501E-3</v>
      </c>
      <c r="N34" s="2">
        <v>10</v>
      </c>
      <c r="O34" s="2" t="e">
        <f>N34*#REF!</f>
        <v>#REF!</v>
      </c>
      <c r="P34" s="2">
        <v>5</v>
      </c>
      <c r="Q34" s="2" t="e">
        <f t="shared" si="5"/>
        <v>#REF!</v>
      </c>
      <c r="R34" s="2">
        <v>25</v>
      </c>
      <c r="S34" s="2" t="e">
        <f t="shared" si="6"/>
        <v>#REF!</v>
      </c>
      <c r="T34" s="2" t="e">
        <f t="shared" si="7"/>
        <v>#REF!</v>
      </c>
      <c r="U34" s="2">
        <v>200</v>
      </c>
      <c r="V34" s="2">
        <f t="shared" si="8"/>
        <v>150</v>
      </c>
      <c r="W34" s="2" t="e">
        <f t="shared" si="9"/>
        <v>#REF!</v>
      </c>
      <c r="X34" s="2">
        <v>90000</v>
      </c>
      <c r="Y34" s="2" t="e">
        <f t="shared" si="10"/>
        <v>#REF!</v>
      </c>
      <c r="Z34" s="2" t="e">
        <f t="shared" si="11"/>
        <v>#REF!</v>
      </c>
      <c r="AA34" s="2" t="e">
        <f t="shared" si="12"/>
        <v>#REF!</v>
      </c>
      <c r="AB34" s="2" t="e">
        <f t="shared" si="13"/>
        <v>#REF!</v>
      </c>
      <c r="AC34" s="2">
        <f t="shared" si="14"/>
        <v>24202</v>
      </c>
      <c r="AD34" s="2">
        <f t="shared" si="15"/>
        <v>111</v>
      </c>
      <c r="AE34" s="2">
        <f t="shared" si="16"/>
        <v>102</v>
      </c>
      <c r="AF34" s="2" t="str">
        <f t="shared" si="17"/>
        <v>chest_shard</v>
      </c>
      <c r="AG34" s="2" t="str">
        <f t="shared" si="18"/>
        <v>StoreDoubleKey_1</v>
      </c>
      <c r="AH34" s="2" t="str">
        <f t="shared" si="19"/>
        <v>StoreFund_3</v>
      </c>
      <c r="AI34" s="2" t="str">
        <f t="shared" si="23"/>
        <v>[24202,111,102]</v>
      </c>
      <c r="AJ34" s="2" t="str">
        <f t="shared" si="24"/>
        <v>[25,200,90000]</v>
      </c>
      <c r="AK34" s="2" t="str">
        <f t="shared" si="25"/>
        <v>[chest_shard,StoreDoubleKey_1,StoreFund_3]</v>
      </c>
      <c r="AL34" s="2" t="str">
        <f t="shared" si="26"/>
        <v>2+10+碎片礼包</v>
      </c>
      <c r="AM34" s="1" t="str">
        <f t="shared" si="20"/>
        <v xml:space="preserve"> T2 General Shard</v>
      </c>
      <c r="AN34" s="1" t="str">
        <f t="shared" si="21"/>
        <v>DoubleKeys</v>
      </c>
      <c r="AO34" s="1" t="str">
        <f t="shared" si="22"/>
        <v>Funds</v>
      </c>
    </row>
    <row r="35" spans="2:41" x14ac:dyDescent="0.3">
      <c r="B35" s="2" t="e">
        <f>#REF!</f>
        <v>#REF!</v>
      </c>
      <c r="C35" s="2" t="e">
        <f>#REF!</f>
        <v>#REF!</v>
      </c>
      <c r="D35" s="2" t="e">
        <f>#REF!</f>
        <v>#REF!</v>
      </c>
      <c r="G35" s="2">
        <v>2</v>
      </c>
      <c r="H35" s="2" t="s">
        <v>2586</v>
      </c>
      <c r="I35" s="2" t="s">
        <v>587</v>
      </c>
      <c r="J35" s="2" t="s">
        <v>325</v>
      </c>
      <c r="K35" s="2" t="e">
        <f t="shared" si="2"/>
        <v>#REF!</v>
      </c>
      <c r="L35" s="2">
        <f t="shared" si="3"/>
        <v>60</v>
      </c>
      <c r="M35" s="2">
        <f t="shared" si="4"/>
        <v>1</v>
      </c>
      <c r="N35" s="2">
        <v>2</v>
      </c>
      <c r="O35" s="2" t="e">
        <f>N35*#REF!</f>
        <v>#REF!</v>
      </c>
      <c r="P35" s="2">
        <v>3</v>
      </c>
      <c r="Q35" s="2" t="e">
        <f t="shared" ref="Q35:Q40" si="27">O35*P35</f>
        <v>#REF!</v>
      </c>
      <c r="R35" s="2">
        <v>1</v>
      </c>
      <c r="S35" s="2" t="e">
        <f t="shared" ref="S35:S40" si="28">R35*K35</f>
        <v>#REF!</v>
      </c>
      <c r="T35" s="2" t="e">
        <f t="shared" ref="T35:T40" si="29">S35/Q35</f>
        <v>#REF!</v>
      </c>
      <c r="U35" s="2">
        <v>5</v>
      </c>
      <c r="V35" s="2">
        <f t="shared" ref="V35:V40" si="30">U35*L35</f>
        <v>300</v>
      </c>
      <c r="W35" s="2" t="e">
        <f t="shared" ref="W35:W40" si="31">V35/Q35</f>
        <v>#REF!</v>
      </c>
      <c r="X35" s="2">
        <v>200</v>
      </c>
      <c r="Y35" s="2" t="e">
        <f t="shared" si="10"/>
        <v>#REF!</v>
      </c>
      <c r="Z35" s="2" t="e">
        <f t="shared" si="11"/>
        <v>#REF!</v>
      </c>
      <c r="AA35" s="2" t="e">
        <f t="shared" si="12"/>
        <v>#REF!</v>
      </c>
      <c r="AB35" s="2" t="e">
        <f t="shared" si="13"/>
        <v>#REF!</v>
      </c>
      <c r="AC35" s="2">
        <f t="shared" si="14"/>
        <v>23202</v>
      </c>
      <c r="AD35" s="2">
        <f t="shared" si="15"/>
        <v>100302</v>
      </c>
      <c r="AE35" s="2">
        <f t="shared" si="16"/>
        <v>101</v>
      </c>
      <c r="AF35" s="2" t="str">
        <f t="shared" si="17"/>
        <v>chest_tankpart</v>
      </c>
      <c r="AG35" s="2" t="str">
        <f t="shared" si="18"/>
        <v>StoreQuikenItem_1</v>
      </c>
      <c r="AH35" s="2" t="str">
        <f t="shared" si="19"/>
        <v>StoreDiamond_1</v>
      </c>
      <c r="AI35" s="2" t="str">
        <f t="shared" si="23"/>
        <v>[23202,100302,101]</v>
      </c>
      <c r="AJ35" s="2" t="str">
        <f t="shared" si="24"/>
        <v>[1,5,200]</v>
      </c>
      <c r="AK35" s="2" t="str">
        <f t="shared" si="25"/>
        <v>[chest_tankpart,StoreQuikenItem_1,StoreDiamond_1]</v>
      </c>
      <c r="AL35" s="2" t="str">
        <f t="shared" si="26"/>
        <v>2+2+部件礼包</v>
      </c>
      <c r="AM35" s="1" t="str">
        <f t="shared" si="20"/>
        <v>T1 Component</v>
      </c>
      <c r="AN35" s="1" t="str">
        <f t="shared" si="21"/>
        <v>1H_X3_Accelerater</v>
      </c>
      <c r="AO35" s="1" t="str">
        <f t="shared" si="22"/>
        <v>Diamond</v>
      </c>
    </row>
    <row r="36" spans="2:41" x14ac:dyDescent="0.3">
      <c r="B36" s="2" t="e">
        <f>#REF!</f>
        <v>#REF!</v>
      </c>
      <c r="C36" s="2" t="e">
        <f>#REF!</f>
        <v>#REF!</v>
      </c>
      <c r="D36" s="2" t="e">
        <f>#REF!</f>
        <v>#REF!</v>
      </c>
      <c r="G36" s="2">
        <v>2</v>
      </c>
      <c r="H36" s="2" t="s">
        <v>2598</v>
      </c>
      <c r="I36" s="2" t="s">
        <v>519</v>
      </c>
      <c r="J36" s="2" t="s">
        <v>275</v>
      </c>
      <c r="K36" s="2" t="e">
        <f t="shared" si="2"/>
        <v>#REF!</v>
      </c>
      <c r="L36" s="2">
        <f t="shared" si="3"/>
        <v>0.75</v>
      </c>
      <c r="M36" s="2">
        <f t="shared" si="4"/>
        <v>3.9623576027736501E-3</v>
      </c>
      <c r="N36" s="2">
        <v>2</v>
      </c>
      <c r="O36" s="2" t="e">
        <f>N36*#REF!</f>
        <v>#REF!</v>
      </c>
      <c r="P36" s="2">
        <v>3</v>
      </c>
      <c r="Q36" s="2" t="e">
        <f t="shared" si="27"/>
        <v>#REF!</v>
      </c>
      <c r="R36" s="2">
        <v>2</v>
      </c>
      <c r="S36" s="2" t="e">
        <f t="shared" si="28"/>
        <v>#REF!</v>
      </c>
      <c r="T36" s="2" t="e">
        <f t="shared" si="29"/>
        <v>#REF!</v>
      </c>
      <c r="U36" s="2">
        <v>50</v>
      </c>
      <c r="V36" s="2">
        <f t="shared" si="30"/>
        <v>37.5</v>
      </c>
      <c r="W36" s="2" t="e">
        <f t="shared" si="31"/>
        <v>#REF!</v>
      </c>
      <c r="X36" s="2">
        <v>50000</v>
      </c>
      <c r="Y36" s="2" t="e">
        <f t="shared" si="10"/>
        <v>#REF!</v>
      </c>
      <c r="Z36" s="2" t="e">
        <f t="shared" si="11"/>
        <v>#REF!</v>
      </c>
      <c r="AA36" s="2" t="e">
        <f t="shared" si="12"/>
        <v>#REF!</v>
      </c>
      <c r="AB36" s="2" t="e">
        <f t="shared" si="13"/>
        <v>#REF!</v>
      </c>
      <c r="AC36" s="2">
        <f t="shared" si="14"/>
        <v>24202</v>
      </c>
      <c r="AD36" s="2">
        <f t="shared" si="15"/>
        <v>111</v>
      </c>
      <c r="AE36" s="2">
        <f t="shared" si="16"/>
        <v>102</v>
      </c>
      <c r="AF36" s="2" t="str">
        <f t="shared" si="17"/>
        <v>chest_shard</v>
      </c>
      <c r="AG36" s="2" t="str">
        <f t="shared" si="18"/>
        <v>StoreDoubleKey_1</v>
      </c>
      <c r="AH36" s="2" t="str">
        <f t="shared" si="19"/>
        <v>StoreFund_3</v>
      </c>
      <c r="AI36" s="2" t="str">
        <f t="shared" si="23"/>
        <v>[24202,111,102]</v>
      </c>
      <c r="AJ36" s="2" t="str">
        <f t="shared" si="24"/>
        <v>[2,50,50000]</v>
      </c>
      <c r="AK36" s="2" t="str">
        <f t="shared" si="25"/>
        <v>[chest_shard,StoreDoubleKey_1,StoreFund_3]</v>
      </c>
      <c r="AL36" s="2" t="str">
        <f t="shared" si="26"/>
        <v>2+2+碎片礼包</v>
      </c>
      <c r="AM36" s="1" t="str">
        <f t="shared" si="20"/>
        <v xml:space="preserve"> T2 General Shard</v>
      </c>
      <c r="AN36" s="1" t="str">
        <f t="shared" si="21"/>
        <v>DoubleKeys</v>
      </c>
      <c r="AO36" s="1" t="str">
        <f t="shared" si="22"/>
        <v>Funds</v>
      </c>
    </row>
    <row r="37" spans="2:41" x14ac:dyDescent="0.3">
      <c r="B37" s="2" t="e">
        <f>#REF!</f>
        <v>#REF!</v>
      </c>
      <c r="C37" s="2" t="e">
        <f>#REF!</f>
        <v>#REF!</v>
      </c>
      <c r="D37" s="2" t="e">
        <f>#REF!</f>
        <v>#REF!</v>
      </c>
      <c r="G37" s="2">
        <v>2</v>
      </c>
      <c r="H37" s="2" t="s">
        <v>2586</v>
      </c>
      <c r="I37" s="2" t="s">
        <v>587</v>
      </c>
      <c r="J37" s="2" t="s">
        <v>325</v>
      </c>
      <c r="K37" s="2" t="e">
        <f t="shared" si="2"/>
        <v>#REF!</v>
      </c>
      <c r="L37" s="2">
        <f t="shared" si="3"/>
        <v>60</v>
      </c>
      <c r="M37" s="2">
        <f t="shared" si="4"/>
        <v>1</v>
      </c>
      <c r="N37" s="2">
        <v>5</v>
      </c>
      <c r="O37" s="2" t="e">
        <f>N37*#REF!</f>
        <v>#REF!</v>
      </c>
      <c r="P37" s="2">
        <v>3</v>
      </c>
      <c r="Q37" s="2" t="e">
        <f t="shared" si="27"/>
        <v>#REF!</v>
      </c>
      <c r="R37" s="2">
        <v>2</v>
      </c>
      <c r="S37" s="2" t="e">
        <f t="shared" si="28"/>
        <v>#REF!</v>
      </c>
      <c r="T37" s="2" t="e">
        <f t="shared" si="29"/>
        <v>#REF!</v>
      </c>
      <c r="U37" s="2">
        <v>10</v>
      </c>
      <c r="V37" s="2">
        <f t="shared" si="30"/>
        <v>600</v>
      </c>
      <c r="W37" s="2" t="e">
        <f t="shared" si="31"/>
        <v>#REF!</v>
      </c>
      <c r="X37" s="2">
        <v>700</v>
      </c>
      <c r="Y37" s="2" t="e">
        <f t="shared" si="10"/>
        <v>#REF!</v>
      </c>
      <c r="Z37" s="2" t="e">
        <f t="shared" si="11"/>
        <v>#REF!</v>
      </c>
      <c r="AA37" s="2" t="e">
        <f t="shared" si="12"/>
        <v>#REF!</v>
      </c>
      <c r="AB37" s="2" t="e">
        <f t="shared" si="13"/>
        <v>#REF!</v>
      </c>
      <c r="AC37" s="2">
        <f t="shared" si="14"/>
        <v>23202</v>
      </c>
      <c r="AD37" s="2">
        <f t="shared" si="15"/>
        <v>100302</v>
      </c>
      <c r="AE37" s="2">
        <f t="shared" si="16"/>
        <v>101</v>
      </c>
      <c r="AF37" s="2" t="str">
        <f t="shared" si="17"/>
        <v>chest_tankpart</v>
      </c>
      <c r="AG37" s="2" t="str">
        <f t="shared" si="18"/>
        <v>StoreQuikenItem_1</v>
      </c>
      <c r="AH37" s="2" t="str">
        <f t="shared" si="19"/>
        <v>StoreDiamond_1</v>
      </c>
      <c r="AI37" s="2" t="str">
        <f t="shared" si="23"/>
        <v>[23202,100302,101]</v>
      </c>
      <c r="AJ37" s="2" t="str">
        <f t="shared" si="24"/>
        <v>[2,10,700]</v>
      </c>
      <c r="AK37" s="2" t="str">
        <f t="shared" si="25"/>
        <v>[chest_tankpart,StoreQuikenItem_1,StoreDiamond_1]</v>
      </c>
      <c r="AL37" s="2" t="str">
        <f t="shared" si="26"/>
        <v>2+5+部件礼包</v>
      </c>
      <c r="AM37" s="1" t="str">
        <f t="shared" si="20"/>
        <v>T1 Component</v>
      </c>
      <c r="AN37" s="1" t="str">
        <f t="shared" si="21"/>
        <v>1H_X3_Accelerater</v>
      </c>
      <c r="AO37" s="1" t="str">
        <f t="shared" si="22"/>
        <v>Diamond</v>
      </c>
    </row>
    <row r="38" spans="2:41" x14ac:dyDescent="0.3">
      <c r="G38" s="2">
        <v>2</v>
      </c>
      <c r="H38" s="2" t="s">
        <v>2598</v>
      </c>
      <c r="I38" s="2" t="s">
        <v>519</v>
      </c>
      <c r="J38" s="2" t="s">
        <v>275</v>
      </c>
      <c r="K38" s="2" t="e">
        <f t="shared" si="2"/>
        <v>#REF!</v>
      </c>
      <c r="L38" s="2">
        <f t="shared" si="3"/>
        <v>0.75</v>
      </c>
      <c r="M38" s="2">
        <f t="shared" si="4"/>
        <v>3.9623576027736501E-3</v>
      </c>
      <c r="N38" s="2">
        <v>5</v>
      </c>
      <c r="O38" s="2" t="e">
        <f>N38*#REF!</f>
        <v>#REF!</v>
      </c>
      <c r="P38" s="2">
        <v>3</v>
      </c>
      <c r="Q38" s="2" t="e">
        <f t="shared" si="27"/>
        <v>#REF!</v>
      </c>
      <c r="R38" s="2">
        <v>6</v>
      </c>
      <c r="S38" s="2" t="e">
        <f t="shared" si="28"/>
        <v>#REF!</v>
      </c>
      <c r="T38" s="2" t="e">
        <f t="shared" si="29"/>
        <v>#REF!</v>
      </c>
      <c r="U38" s="2">
        <v>50</v>
      </c>
      <c r="V38" s="2">
        <f t="shared" si="30"/>
        <v>37.5</v>
      </c>
      <c r="W38" s="2" t="e">
        <f t="shared" si="31"/>
        <v>#REF!</v>
      </c>
      <c r="X38" s="2">
        <v>100000</v>
      </c>
      <c r="Y38" s="2" t="e">
        <f t="shared" si="10"/>
        <v>#REF!</v>
      </c>
      <c r="Z38" s="2" t="e">
        <f t="shared" si="11"/>
        <v>#REF!</v>
      </c>
      <c r="AA38" s="2" t="e">
        <f t="shared" si="12"/>
        <v>#REF!</v>
      </c>
      <c r="AB38" s="2" t="e">
        <f t="shared" si="13"/>
        <v>#REF!</v>
      </c>
      <c r="AC38" s="2">
        <f t="shared" si="14"/>
        <v>24202</v>
      </c>
      <c r="AD38" s="2">
        <f t="shared" si="15"/>
        <v>111</v>
      </c>
      <c r="AE38" s="2">
        <f t="shared" si="16"/>
        <v>102</v>
      </c>
      <c r="AF38" s="2" t="str">
        <f t="shared" si="17"/>
        <v>chest_shard</v>
      </c>
      <c r="AG38" s="2" t="str">
        <f t="shared" si="18"/>
        <v>StoreDoubleKey_1</v>
      </c>
      <c r="AH38" s="2" t="str">
        <f t="shared" si="19"/>
        <v>StoreFund_3</v>
      </c>
      <c r="AI38" s="2" t="str">
        <f t="shared" si="23"/>
        <v>[24202,111,102]</v>
      </c>
      <c r="AJ38" s="2" t="str">
        <f t="shared" si="24"/>
        <v>[6,50,100000]</v>
      </c>
      <c r="AK38" s="2" t="str">
        <f t="shared" si="25"/>
        <v>[chest_shard,StoreDoubleKey_1,StoreFund_3]</v>
      </c>
      <c r="AL38" s="2" t="str">
        <f t="shared" si="26"/>
        <v>2+5+碎片礼包</v>
      </c>
      <c r="AM38" s="1" t="str">
        <f t="shared" si="20"/>
        <v xml:space="preserve"> T2 General Shard</v>
      </c>
      <c r="AN38" s="1" t="str">
        <f t="shared" si="21"/>
        <v>DoubleKeys</v>
      </c>
      <c r="AO38" s="1" t="str">
        <f t="shared" si="22"/>
        <v>Funds</v>
      </c>
    </row>
    <row r="39" spans="2:41" x14ac:dyDescent="0.3">
      <c r="G39" s="2">
        <v>2</v>
      </c>
      <c r="H39" s="2" t="s">
        <v>2586</v>
      </c>
      <c r="I39" s="2" t="s">
        <v>587</v>
      </c>
      <c r="J39" s="2" t="s">
        <v>325</v>
      </c>
      <c r="K39" s="2" t="e">
        <f t="shared" si="2"/>
        <v>#REF!</v>
      </c>
      <c r="L39" s="2">
        <f t="shared" si="3"/>
        <v>60</v>
      </c>
      <c r="M39" s="2">
        <f t="shared" si="4"/>
        <v>1</v>
      </c>
      <c r="N39" s="2">
        <v>10</v>
      </c>
      <c r="O39" s="2" t="e">
        <f>N39*#REF!</f>
        <v>#REF!</v>
      </c>
      <c r="P39" s="2">
        <v>3</v>
      </c>
      <c r="Q39" s="2" t="e">
        <f t="shared" si="27"/>
        <v>#REF!</v>
      </c>
      <c r="R39" s="2">
        <v>3</v>
      </c>
      <c r="S39" s="2" t="e">
        <f t="shared" si="28"/>
        <v>#REF!</v>
      </c>
      <c r="T39" s="2" t="e">
        <f t="shared" si="29"/>
        <v>#REF!</v>
      </c>
      <c r="U39" s="2">
        <v>20</v>
      </c>
      <c r="V39" s="2">
        <f t="shared" si="30"/>
        <v>1200</v>
      </c>
      <c r="W39" s="2" t="e">
        <f t="shared" si="31"/>
        <v>#REF!</v>
      </c>
      <c r="X39" s="2">
        <v>1500</v>
      </c>
      <c r="Y39" s="2" t="e">
        <f t="shared" si="10"/>
        <v>#REF!</v>
      </c>
      <c r="Z39" s="2" t="e">
        <f t="shared" si="11"/>
        <v>#REF!</v>
      </c>
      <c r="AA39" s="2" t="e">
        <f t="shared" si="12"/>
        <v>#REF!</v>
      </c>
      <c r="AB39" s="2" t="e">
        <f t="shared" si="13"/>
        <v>#REF!</v>
      </c>
      <c r="AC39" s="2">
        <f t="shared" si="14"/>
        <v>23202</v>
      </c>
      <c r="AD39" s="2">
        <f t="shared" si="15"/>
        <v>100302</v>
      </c>
      <c r="AE39" s="2">
        <f t="shared" si="16"/>
        <v>101</v>
      </c>
      <c r="AF39" s="2" t="str">
        <f t="shared" si="17"/>
        <v>chest_tankpart</v>
      </c>
      <c r="AG39" s="2" t="str">
        <f t="shared" si="18"/>
        <v>StoreQuikenItem_1</v>
      </c>
      <c r="AH39" s="2" t="str">
        <f t="shared" si="19"/>
        <v>StoreDiamond_1</v>
      </c>
      <c r="AI39" s="2" t="str">
        <f t="shared" si="23"/>
        <v>[23202,100302,101]</v>
      </c>
      <c r="AJ39" s="2" t="str">
        <f t="shared" si="24"/>
        <v>[3,20,1500]</v>
      </c>
      <c r="AK39" s="2" t="str">
        <f t="shared" si="25"/>
        <v>[chest_tankpart,StoreQuikenItem_1,StoreDiamond_1]</v>
      </c>
      <c r="AL39" s="2" t="str">
        <f t="shared" si="26"/>
        <v>2+10+部件礼包</v>
      </c>
      <c r="AM39" s="1" t="str">
        <f t="shared" si="20"/>
        <v>T1 Component</v>
      </c>
      <c r="AN39" s="1" t="str">
        <f t="shared" si="21"/>
        <v>1H_X3_Accelerater</v>
      </c>
      <c r="AO39" s="1" t="str">
        <f t="shared" si="22"/>
        <v>Diamond</v>
      </c>
    </row>
    <row r="40" spans="2:41" x14ac:dyDescent="0.3">
      <c r="B40" s="2" t="s">
        <v>2913</v>
      </c>
      <c r="C40" s="2" t="s">
        <v>2914</v>
      </c>
      <c r="G40" s="2">
        <v>2</v>
      </c>
      <c r="H40" s="2" t="s">
        <v>2598</v>
      </c>
      <c r="I40" s="2" t="s">
        <v>519</v>
      </c>
      <c r="J40" s="2" t="s">
        <v>275</v>
      </c>
      <c r="K40" s="2" t="e">
        <f t="shared" si="2"/>
        <v>#REF!</v>
      </c>
      <c r="L40" s="2">
        <f t="shared" si="3"/>
        <v>0.75</v>
      </c>
      <c r="M40" s="2">
        <f t="shared" si="4"/>
        <v>3.9623576027736501E-3</v>
      </c>
      <c r="N40" s="2">
        <v>10</v>
      </c>
      <c r="O40" s="2" t="e">
        <f>N40*#REF!</f>
        <v>#REF!</v>
      </c>
      <c r="P40" s="2">
        <v>3</v>
      </c>
      <c r="Q40" s="2" t="e">
        <f t="shared" si="27"/>
        <v>#REF!</v>
      </c>
      <c r="R40" s="2">
        <v>15</v>
      </c>
      <c r="S40" s="2" t="e">
        <f t="shared" si="28"/>
        <v>#REF!</v>
      </c>
      <c r="T40" s="2" t="e">
        <f t="shared" si="29"/>
        <v>#REF!</v>
      </c>
      <c r="U40" s="2">
        <v>50</v>
      </c>
      <c r="V40" s="2">
        <f t="shared" si="30"/>
        <v>37.5</v>
      </c>
      <c r="W40" s="2" t="e">
        <f t="shared" si="31"/>
        <v>#REF!</v>
      </c>
      <c r="X40" s="2">
        <v>70000</v>
      </c>
      <c r="Y40" s="2" t="e">
        <f t="shared" si="10"/>
        <v>#REF!</v>
      </c>
      <c r="Z40" s="2" t="e">
        <f t="shared" si="11"/>
        <v>#REF!</v>
      </c>
      <c r="AA40" s="2" t="e">
        <f t="shared" si="12"/>
        <v>#REF!</v>
      </c>
      <c r="AB40" s="2" t="e">
        <f t="shared" si="13"/>
        <v>#REF!</v>
      </c>
      <c r="AC40" s="2">
        <f t="shared" si="14"/>
        <v>24202</v>
      </c>
      <c r="AD40" s="2">
        <f t="shared" si="15"/>
        <v>111</v>
      </c>
      <c r="AE40" s="2">
        <f t="shared" si="16"/>
        <v>102</v>
      </c>
      <c r="AF40" s="2" t="str">
        <f t="shared" si="17"/>
        <v>chest_shard</v>
      </c>
      <c r="AG40" s="2" t="str">
        <f t="shared" si="18"/>
        <v>StoreDoubleKey_1</v>
      </c>
      <c r="AH40" s="2" t="str">
        <f t="shared" si="19"/>
        <v>StoreFund_3</v>
      </c>
      <c r="AI40" s="2" t="str">
        <f t="shared" si="23"/>
        <v>[24202,111,102]</v>
      </c>
      <c r="AJ40" s="2" t="str">
        <f t="shared" si="24"/>
        <v>[15,50,70000]</v>
      </c>
      <c r="AK40" s="2" t="str">
        <f t="shared" si="25"/>
        <v>[chest_shard,StoreDoubleKey_1,StoreFund_3]</v>
      </c>
      <c r="AL40" s="2" t="str">
        <f t="shared" si="26"/>
        <v>2+10+碎片礼包</v>
      </c>
      <c r="AM40" s="1" t="str">
        <f t="shared" si="20"/>
        <v xml:space="preserve"> T2 General Shard</v>
      </c>
      <c r="AN40" s="1" t="str">
        <f t="shared" si="21"/>
        <v>DoubleKeys</v>
      </c>
      <c r="AO40" s="1" t="str">
        <f t="shared" si="22"/>
        <v>Funds</v>
      </c>
    </row>
    <row r="41" spans="2:41" x14ac:dyDescent="0.3">
      <c r="B41" s="2" t="s">
        <v>322</v>
      </c>
      <c r="C41" s="2" t="e">
        <f>#REF!</f>
        <v>#REF!</v>
      </c>
      <c r="G41" s="2">
        <v>3</v>
      </c>
      <c r="H41" s="2" t="s">
        <v>1902</v>
      </c>
      <c r="I41" s="2" t="s">
        <v>325</v>
      </c>
      <c r="J41" s="2"/>
      <c r="K41" s="2">
        <f t="shared" si="2"/>
        <v>130</v>
      </c>
      <c r="L41" s="2">
        <f t="shared" ref="L41:L72" si="32">VLOOKUP(I41,$B$40:$C$81,2,FALSE)</f>
        <v>1</v>
      </c>
      <c r="M41" s="2"/>
      <c r="N41" s="2">
        <v>5</v>
      </c>
      <c r="O41" s="2" t="e">
        <f>N41*#REF!</f>
        <v>#REF!</v>
      </c>
      <c r="P41" s="2">
        <v>5</v>
      </c>
      <c r="Q41" s="2" t="e">
        <f t="shared" ref="Q41:Q49" si="33">O41*P41</f>
        <v>#REF!</v>
      </c>
      <c r="R41" s="2">
        <v>25</v>
      </c>
      <c r="S41" s="2">
        <f t="shared" ref="S41:S49" si="34">R41*K41</f>
        <v>3250</v>
      </c>
      <c r="T41" s="2" t="e">
        <f t="shared" ref="T41:T49" si="35">S41/Q41</f>
        <v>#REF!</v>
      </c>
      <c r="U41" s="2">
        <v>500</v>
      </c>
      <c r="V41" s="2" t="e">
        <f>W41*Q41</f>
        <v>#REF!</v>
      </c>
      <c r="W41" s="2" t="e">
        <f>1-T41</f>
        <v>#REF!</v>
      </c>
      <c r="X41" s="2"/>
      <c r="Y41" s="2"/>
      <c r="Z41" s="2"/>
      <c r="AA41" s="2">
        <f t="shared" si="12"/>
        <v>3750</v>
      </c>
      <c r="AB41" s="2" t="e">
        <f t="shared" si="13"/>
        <v>#REF!</v>
      </c>
      <c r="AC41" s="2">
        <f t="shared" ref="AC41:AC72" si="36">VLOOKUP(H41,道具ID,2,FALSE)</f>
        <v>51221</v>
      </c>
      <c r="AD41" s="2">
        <f t="shared" ref="AD41:AD72" si="37">VLOOKUP(I41,道具ID,2,FALSE)</f>
        <v>101</v>
      </c>
      <c r="AE41" s="2"/>
      <c r="AF41" s="2" t="str">
        <f t="shared" ref="AF41:AF72" si="38">VLOOKUP(H41,道具ID,3,FALSE)</f>
        <v>shard_sdkfz234</v>
      </c>
      <c r="AG41" s="2" t="str">
        <f t="shared" ref="AG41:AG72" si="39">VLOOKUP(I41,道具ID,3,FALSE)</f>
        <v>StoreDiamond_1</v>
      </c>
      <c r="AH41" s="2"/>
      <c r="AI41" s="2" t="str">
        <f>"["&amp;AC41&amp;","&amp;AD41&amp;"]"</f>
        <v>[51221,101]</v>
      </c>
      <c r="AJ41" s="2" t="str">
        <f>"["&amp;R41&amp;","&amp;U41&amp;"]"</f>
        <v>[25,500]</v>
      </c>
      <c r="AK41" s="2" t="str">
        <f>"["&amp;AF41&amp;","&amp;AG41&amp;"]"</f>
        <v>[shard_sdkfz234,StoreDiamond_1]</v>
      </c>
      <c r="AL41" s="2" t="str">
        <f t="shared" si="26"/>
        <v>3+5+Puma</v>
      </c>
      <c r="AM41" s="1" t="str">
        <f t="shared" ref="AM41:AM72" si="40">VLOOKUP(H41,道具ID,4,FALSE)</f>
        <v>Gulon Shard</v>
      </c>
      <c r="AN41" s="1" t="str">
        <f t="shared" ref="AN41:AN72" si="41">VLOOKUP(I41,道具ID,4,FALSE)</f>
        <v>Diamond</v>
      </c>
    </row>
    <row r="42" spans="2:41" x14ac:dyDescent="0.3">
      <c r="B42" s="2" t="s">
        <v>2777</v>
      </c>
      <c r="C42" s="2" t="e">
        <f>#REF!</f>
        <v>#REF!</v>
      </c>
      <c r="G42" s="2">
        <v>3</v>
      </c>
      <c r="H42" s="2" t="s">
        <v>1943</v>
      </c>
      <c r="I42" s="2" t="s">
        <v>325</v>
      </c>
      <c r="J42" s="2"/>
      <c r="K42" s="2">
        <f t="shared" si="2"/>
        <v>130</v>
      </c>
      <c r="L42" s="2">
        <f t="shared" si="32"/>
        <v>1</v>
      </c>
      <c r="M42" s="2"/>
      <c r="N42" s="2">
        <v>5</v>
      </c>
      <c r="O42" s="2" t="e">
        <f>N42*#REF!</f>
        <v>#REF!</v>
      </c>
      <c r="P42" s="2">
        <v>5</v>
      </c>
      <c r="Q42" s="2" t="e">
        <f t="shared" si="33"/>
        <v>#REF!</v>
      </c>
      <c r="R42" s="2">
        <v>25</v>
      </c>
      <c r="S42" s="2">
        <f t="shared" si="34"/>
        <v>3250</v>
      </c>
      <c r="T42" s="2" t="e">
        <f t="shared" si="35"/>
        <v>#REF!</v>
      </c>
      <c r="U42" s="2">
        <v>500</v>
      </c>
      <c r="V42" s="2" t="e">
        <f t="shared" ref="V42:V58" si="42">W42*Q42</f>
        <v>#REF!</v>
      </c>
      <c r="W42" s="2" t="e">
        <f t="shared" ref="W42:W58" si="43">1-T42</f>
        <v>#REF!</v>
      </c>
      <c r="X42" s="2"/>
      <c r="Y42" s="2"/>
      <c r="Z42" s="2"/>
      <c r="AA42" s="2">
        <f t="shared" si="12"/>
        <v>3750</v>
      </c>
      <c r="AB42" s="2" t="e">
        <f t="shared" si="13"/>
        <v>#REF!</v>
      </c>
      <c r="AC42" s="2">
        <f t="shared" si="36"/>
        <v>52221</v>
      </c>
      <c r="AD42" s="2">
        <f t="shared" si="37"/>
        <v>101</v>
      </c>
      <c r="AE42" s="2"/>
      <c r="AF42" s="2" t="str">
        <f t="shared" si="38"/>
        <v>shard_iv</v>
      </c>
      <c r="AG42" s="2" t="str">
        <f t="shared" si="39"/>
        <v>StoreDiamond_1</v>
      </c>
      <c r="AH42" s="2"/>
      <c r="AI42" s="2" t="str">
        <f t="shared" ref="AI42:AI58" si="44">"["&amp;AC42&amp;","&amp;AD42&amp;"]"</f>
        <v>[52221,101]</v>
      </c>
      <c r="AJ42" s="2" t="str">
        <f t="shared" ref="AJ42:AJ58" si="45">"["&amp;R42&amp;","&amp;U42&amp;"]"</f>
        <v>[25,500]</v>
      </c>
      <c r="AK42" s="2" t="str">
        <f t="shared" ref="AK42:AK58" si="46">"["&amp;AF42&amp;","&amp;AG42&amp;"]"</f>
        <v>[shard_iv,StoreDiamond_1]</v>
      </c>
      <c r="AL42" s="2" t="str">
        <f t="shared" si="26"/>
        <v>3+5+四号碎片</v>
      </c>
      <c r="AM42" s="1" t="str">
        <f t="shared" si="40"/>
        <v>Minotaur Shard</v>
      </c>
      <c r="AN42" s="1" t="str">
        <f t="shared" si="41"/>
        <v>Diamond</v>
      </c>
    </row>
    <row r="43" spans="2:41" x14ac:dyDescent="0.3">
      <c r="B43" s="2" t="s">
        <v>2779</v>
      </c>
      <c r="C43" s="2" t="e">
        <f>#REF!</f>
        <v>#REF!</v>
      </c>
      <c r="G43" s="2">
        <v>3</v>
      </c>
      <c r="H43" s="2" t="s">
        <v>1983</v>
      </c>
      <c r="I43" s="2" t="s">
        <v>325</v>
      </c>
      <c r="J43" s="2"/>
      <c r="K43" s="2">
        <f t="shared" si="2"/>
        <v>130</v>
      </c>
      <c r="L43" s="2">
        <f t="shared" si="32"/>
        <v>1</v>
      </c>
      <c r="M43" s="2"/>
      <c r="N43" s="2">
        <v>5</v>
      </c>
      <c r="O43" s="2" t="e">
        <f>N43*#REF!</f>
        <v>#REF!</v>
      </c>
      <c r="P43" s="2">
        <v>5</v>
      </c>
      <c r="Q43" s="2" t="e">
        <f t="shared" si="33"/>
        <v>#REF!</v>
      </c>
      <c r="R43" s="2">
        <v>25</v>
      </c>
      <c r="S43" s="2">
        <f t="shared" si="34"/>
        <v>3250</v>
      </c>
      <c r="T43" s="2" t="e">
        <f t="shared" si="35"/>
        <v>#REF!</v>
      </c>
      <c r="U43" s="2">
        <v>500</v>
      </c>
      <c r="V43" s="2" t="e">
        <f t="shared" si="42"/>
        <v>#REF!</v>
      </c>
      <c r="W43" s="2" t="e">
        <f t="shared" si="43"/>
        <v>#REF!</v>
      </c>
      <c r="X43" s="2"/>
      <c r="Y43" s="2"/>
      <c r="Z43" s="2"/>
      <c r="AA43" s="2">
        <f t="shared" si="12"/>
        <v>3750</v>
      </c>
      <c r="AB43" s="2" t="e">
        <f t="shared" si="13"/>
        <v>#REF!</v>
      </c>
      <c r="AC43" s="2">
        <f t="shared" si="36"/>
        <v>53221</v>
      </c>
      <c r="AD43" s="2">
        <f t="shared" si="37"/>
        <v>101</v>
      </c>
      <c r="AE43" s="2"/>
      <c r="AF43" s="2" t="str">
        <f t="shared" si="38"/>
        <v>shard_churchill</v>
      </c>
      <c r="AG43" s="2" t="str">
        <f t="shared" si="39"/>
        <v>StoreDiamond_1</v>
      </c>
      <c r="AH43" s="2"/>
      <c r="AI43" s="2" t="str">
        <f t="shared" si="44"/>
        <v>[53221,101]</v>
      </c>
      <c r="AJ43" s="2" t="str">
        <f t="shared" si="45"/>
        <v>[25,500]</v>
      </c>
      <c r="AK43" s="2" t="str">
        <f t="shared" si="46"/>
        <v>[shard_churchill,StoreDiamond_1]</v>
      </c>
      <c r="AL43" s="2" t="str">
        <f t="shared" si="26"/>
        <v>3+5+丘吉尔碎</v>
      </c>
      <c r="AM43" s="1" t="str">
        <f t="shared" si="40"/>
        <v>Wyrm Shard</v>
      </c>
      <c r="AN43" s="1" t="str">
        <f t="shared" si="41"/>
        <v>Diamond</v>
      </c>
    </row>
    <row r="44" spans="2:41" x14ac:dyDescent="0.3">
      <c r="B44" s="2" t="s">
        <v>2780</v>
      </c>
      <c r="C44" s="2" t="e">
        <f>#REF!</f>
        <v>#REF!</v>
      </c>
      <c r="G44" s="2">
        <v>3</v>
      </c>
      <c r="H44" s="2" t="s">
        <v>1902</v>
      </c>
      <c r="I44" s="2" t="s">
        <v>325</v>
      </c>
      <c r="J44" s="2"/>
      <c r="K44" s="2">
        <f t="shared" si="2"/>
        <v>130</v>
      </c>
      <c r="L44" s="2">
        <f t="shared" si="32"/>
        <v>1</v>
      </c>
      <c r="M44" s="2"/>
      <c r="N44" s="2">
        <v>10</v>
      </c>
      <c r="O44" s="2" t="e">
        <f>N44*#REF!</f>
        <v>#REF!</v>
      </c>
      <c r="P44" s="2">
        <v>5</v>
      </c>
      <c r="Q44" s="2" t="e">
        <f t="shared" si="33"/>
        <v>#REF!</v>
      </c>
      <c r="R44" s="2">
        <v>50</v>
      </c>
      <c r="S44" s="2">
        <f t="shared" si="34"/>
        <v>6500</v>
      </c>
      <c r="T44" s="2" t="e">
        <f t="shared" si="35"/>
        <v>#REF!</v>
      </c>
      <c r="U44" s="2">
        <v>1000</v>
      </c>
      <c r="V44" s="2" t="e">
        <f t="shared" si="42"/>
        <v>#REF!</v>
      </c>
      <c r="W44" s="2" t="e">
        <f t="shared" si="43"/>
        <v>#REF!</v>
      </c>
      <c r="X44" s="2"/>
      <c r="Y44" s="2"/>
      <c r="Z44" s="2"/>
      <c r="AA44" s="2">
        <f t="shared" si="12"/>
        <v>7500</v>
      </c>
      <c r="AB44" s="2" t="e">
        <f t="shared" si="13"/>
        <v>#REF!</v>
      </c>
      <c r="AC44" s="2">
        <f t="shared" si="36"/>
        <v>51221</v>
      </c>
      <c r="AD44" s="2">
        <f t="shared" si="37"/>
        <v>101</v>
      </c>
      <c r="AE44" s="2"/>
      <c r="AF44" s="2" t="str">
        <f t="shared" si="38"/>
        <v>shard_sdkfz234</v>
      </c>
      <c r="AG44" s="2" t="str">
        <f t="shared" si="39"/>
        <v>StoreDiamond_1</v>
      </c>
      <c r="AH44" s="2"/>
      <c r="AI44" s="2" t="str">
        <f t="shared" si="44"/>
        <v>[51221,101]</v>
      </c>
      <c r="AJ44" s="2" t="str">
        <f t="shared" si="45"/>
        <v>[50,1000]</v>
      </c>
      <c r="AK44" s="2" t="str">
        <f t="shared" si="46"/>
        <v>[shard_sdkfz234,StoreDiamond_1]</v>
      </c>
      <c r="AL44" s="2" t="str">
        <f t="shared" si="26"/>
        <v>3+10+Puma</v>
      </c>
      <c r="AM44" s="1" t="str">
        <f t="shared" si="40"/>
        <v>Gulon Shard</v>
      </c>
      <c r="AN44" s="1" t="str">
        <f t="shared" si="41"/>
        <v>Diamond</v>
      </c>
    </row>
    <row r="45" spans="2:41" x14ac:dyDescent="0.3">
      <c r="B45" s="2" t="s">
        <v>2782</v>
      </c>
      <c r="C45" s="2" t="e">
        <f>#REF!</f>
        <v>#REF!</v>
      </c>
      <c r="G45" s="2">
        <v>3</v>
      </c>
      <c r="H45" s="2" t="s">
        <v>1943</v>
      </c>
      <c r="I45" s="2" t="s">
        <v>325</v>
      </c>
      <c r="J45" s="2"/>
      <c r="K45" s="2">
        <f t="shared" si="2"/>
        <v>130</v>
      </c>
      <c r="L45" s="2">
        <f t="shared" si="32"/>
        <v>1</v>
      </c>
      <c r="M45" s="2"/>
      <c r="N45" s="2">
        <v>10</v>
      </c>
      <c r="O45" s="2" t="e">
        <f>N45*#REF!</f>
        <v>#REF!</v>
      </c>
      <c r="P45" s="2">
        <v>5</v>
      </c>
      <c r="Q45" s="2" t="e">
        <f t="shared" si="33"/>
        <v>#REF!</v>
      </c>
      <c r="R45" s="2">
        <v>50</v>
      </c>
      <c r="S45" s="2">
        <f t="shared" si="34"/>
        <v>6500</v>
      </c>
      <c r="T45" s="2" t="e">
        <f t="shared" si="35"/>
        <v>#REF!</v>
      </c>
      <c r="U45" s="2">
        <v>1000</v>
      </c>
      <c r="V45" s="2" t="e">
        <f t="shared" si="42"/>
        <v>#REF!</v>
      </c>
      <c r="W45" s="2" t="e">
        <f t="shared" si="43"/>
        <v>#REF!</v>
      </c>
      <c r="X45" s="2"/>
      <c r="Y45" s="2"/>
      <c r="Z45" s="2"/>
      <c r="AA45" s="2">
        <f t="shared" si="12"/>
        <v>7500</v>
      </c>
      <c r="AB45" s="2" t="e">
        <f t="shared" si="13"/>
        <v>#REF!</v>
      </c>
      <c r="AC45" s="2">
        <f t="shared" si="36"/>
        <v>52221</v>
      </c>
      <c r="AD45" s="2">
        <f t="shared" si="37"/>
        <v>101</v>
      </c>
      <c r="AE45" s="2"/>
      <c r="AF45" s="2" t="str">
        <f t="shared" si="38"/>
        <v>shard_iv</v>
      </c>
      <c r="AG45" s="2" t="str">
        <f t="shared" si="39"/>
        <v>StoreDiamond_1</v>
      </c>
      <c r="AH45" s="2"/>
      <c r="AI45" s="2" t="str">
        <f t="shared" si="44"/>
        <v>[52221,101]</v>
      </c>
      <c r="AJ45" s="2" t="str">
        <f t="shared" si="45"/>
        <v>[50,1000]</v>
      </c>
      <c r="AK45" s="2" t="str">
        <f t="shared" si="46"/>
        <v>[shard_iv,StoreDiamond_1]</v>
      </c>
      <c r="AL45" s="2" t="str">
        <f t="shared" si="26"/>
        <v>3+10+四号碎片</v>
      </c>
      <c r="AM45" s="1" t="str">
        <f t="shared" si="40"/>
        <v>Minotaur Shard</v>
      </c>
      <c r="AN45" s="1" t="str">
        <f t="shared" si="41"/>
        <v>Diamond</v>
      </c>
    </row>
    <row r="46" spans="2:41" x14ac:dyDescent="0.3">
      <c r="B46" s="116" t="s">
        <v>2915</v>
      </c>
      <c r="C46" s="2" t="e">
        <f>#REF!</f>
        <v>#REF!</v>
      </c>
      <c r="G46" s="2">
        <v>3</v>
      </c>
      <c r="H46" s="2" t="s">
        <v>1983</v>
      </c>
      <c r="I46" s="2" t="s">
        <v>325</v>
      </c>
      <c r="J46" s="2"/>
      <c r="K46" s="2">
        <f t="shared" si="2"/>
        <v>130</v>
      </c>
      <c r="L46" s="2">
        <f t="shared" si="32"/>
        <v>1</v>
      </c>
      <c r="M46" s="2"/>
      <c r="N46" s="2">
        <v>10</v>
      </c>
      <c r="O46" s="2" t="e">
        <f>N46*#REF!</f>
        <v>#REF!</v>
      </c>
      <c r="P46" s="2">
        <v>5</v>
      </c>
      <c r="Q46" s="2" t="e">
        <f t="shared" si="33"/>
        <v>#REF!</v>
      </c>
      <c r="R46" s="2">
        <v>50</v>
      </c>
      <c r="S46" s="2">
        <f t="shared" si="34"/>
        <v>6500</v>
      </c>
      <c r="T46" s="2" t="e">
        <f t="shared" si="35"/>
        <v>#REF!</v>
      </c>
      <c r="U46" s="2">
        <v>1000</v>
      </c>
      <c r="V46" s="2" t="e">
        <f t="shared" si="42"/>
        <v>#REF!</v>
      </c>
      <c r="W46" s="2" t="e">
        <f t="shared" si="43"/>
        <v>#REF!</v>
      </c>
      <c r="X46" s="2"/>
      <c r="Y46" s="2"/>
      <c r="Z46" s="2"/>
      <c r="AA46" s="2">
        <f t="shared" si="12"/>
        <v>7500</v>
      </c>
      <c r="AB46" s="2" t="e">
        <f t="shared" si="13"/>
        <v>#REF!</v>
      </c>
      <c r="AC46" s="2">
        <f t="shared" si="36"/>
        <v>53221</v>
      </c>
      <c r="AD46" s="2">
        <f t="shared" si="37"/>
        <v>101</v>
      </c>
      <c r="AE46" s="2"/>
      <c r="AF46" s="2" t="str">
        <f t="shared" si="38"/>
        <v>shard_churchill</v>
      </c>
      <c r="AG46" s="2" t="str">
        <f t="shared" si="39"/>
        <v>StoreDiamond_1</v>
      </c>
      <c r="AH46" s="2"/>
      <c r="AI46" s="2" t="str">
        <f t="shared" si="44"/>
        <v>[53221,101]</v>
      </c>
      <c r="AJ46" s="2" t="str">
        <f t="shared" si="45"/>
        <v>[50,1000]</v>
      </c>
      <c r="AK46" s="2" t="str">
        <f t="shared" si="46"/>
        <v>[shard_churchill,StoreDiamond_1]</v>
      </c>
      <c r="AL46" s="2" t="str">
        <f t="shared" si="26"/>
        <v>3+10+丘吉尔碎</v>
      </c>
      <c r="AM46" s="1" t="str">
        <f t="shared" si="40"/>
        <v>Wyrm Shard</v>
      </c>
      <c r="AN46" s="1" t="str">
        <f t="shared" si="41"/>
        <v>Diamond</v>
      </c>
    </row>
    <row r="47" spans="2:41" x14ac:dyDescent="0.3">
      <c r="B47" s="116" t="s">
        <v>2916</v>
      </c>
      <c r="C47" s="2" t="e">
        <f>#REF!</f>
        <v>#REF!</v>
      </c>
      <c r="G47" s="2">
        <v>3</v>
      </c>
      <c r="H47" s="2" t="s">
        <v>1902</v>
      </c>
      <c r="I47" s="2" t="s">
        <v>325</v>
      </c>
      <c r="J47" s="2"/>
      <c r="K47" s="2">
        <f t="shared" si="2"/>
        <v>130</v>
      </c>
      <c r="L47" s="2">
        <f t="shared" si="32"/>
        <v>1</v>
      </c>
      <c r="M47" s="2"/>
      <c r="N47" s="2">
        <v>20</v>
      </c>
      <c r="O47" s="2" t="e">
        <f>N47*#REF!</f>
        <v>#REF!</v>
      </c>
      <c r="P47" s="2">
        <v>5</v>
      </c>
      <c r="Q47" s="2" t="e">
        <f t="shared" si="33"/>
        <v>#REF!</v>
      </c>
      <c r="R47" s="2">
        <v>100</v>
      </c>
      <c r="S47" s="2">
        <f t="shared" si="34"/>
        <v>13000</v>
      </c>
      <c r="T47" s="2" t="e">
        <f t="shared" si="35"/>
        <v>#REF!</v>
      </c>
      <c r="U47" s="2">
        <v>2000</v>
      </c>
      <c r="V47" s="2" t="e">
        <f t="shared" si="42"/>
        <v>#REF!</v>
      </c>
      <c r="W47" s="2" t="e">
        <f t="shared" si="43"/>
        <v>#REF!</v>
      </c>
      <c r="X47" s="2"/>
      <c r="Y47" s="2"/>
      <c r="Z47" s="2"/>
      <c r="AA47" s="2">
        <f t="shared" si="12"/>
        <v>15000</v>
      </c>
      <c r="AB47" s="2" t="e">
        <f t="shared" si="13"/>
        <v>#REF!</v>
      </c>
      <c r="AC47" s="2">
        <f t="shared" si="36"/>
        <v>51221</v>
      </c>
      <c r="AD47" s="2">
        <f t="shared" si="37"/>
        <v>101</v>
      </c>
      <c r="AE47" s="2"/>
      <c r="AF47" s="2" t="str">
        <f t="shared" si="38"/>
        <v>shard_sdkfz234</v>
      </c>
      <c r="AG47" s="2" t="str">
        <f t="shared" si="39"/>
        <v>StoreDiamond_1</v>
      </c>
      <c r="AH47" s="2"/>
      <c r="AI47" s="2" t="str">
        <f t="shared" si="44"/>
        <v>[51221,101]</v>
      </c>
      <c r="AJ47" s="2" t="str">
        <f t="shared" si="45"/>
        <v>[100,2000]</v>
      </c>
      <c r="AK47" s="2" t="str">
        <f t="shared" si="46"/>
        <v>[shard_sdkfz234,StoreDiamond_1]</v>
      </c>
      <c r="AL47" s="2" t="str">
        <f t="shared" si="26"/>
        <v>3+20+Puma</v>
      </c>
      <c r="AM47" s="1" t="str">
        <f t="shared" si="40"/>
        <v>Gulon Shard</v>
      </c>
      <c r="AN47" s="1" t="str">
        <f t="shared" si="41"/>
        <v>Diamond</v>
      </c>
    </row>
    <row r="48" spans="2:41" x14ac:dyDescent="0.3">
      <c r="B48" s="116" t="s">
        <v>2917</v>
      </c>
      <c r="C48" s="2" t="e">
        <f>#REF!</f>
        <v>#REF!</v>
      </c>
      <c r="G48" s="2">
        <v>3</v>
      </c>
      <c r="H48" s="2" t="s">
        <v>1943</v>
      </c>
      <c r="I48" s="2" t="s">
        <v>325</v>
      </c>
      <c r="J48" s="2"/>
      <c r="K48" s="2">
        <f t="shared" si="2"/>
        <v>130</v>
      </c>
      <c r="L48" s="2">
        <f t="shared" si="32"/>
        <v>1</v>
      </c>
      <c r="M48" s="2"/>
      <c r="N48" s="2">
        <v>20</v>
      </c>
      <c r="O48" s="2" t="e">
        <f>N48*#REF!</f>
        <v>#REF!</v>
      </c>
      <c r="P48" s="2">
        <v>5</v>
      </c>
      <c r="Q48" s="2" t="e">
        <f t="shared" si="33"/>
        <v>#REF!</v>
      </c>
      <c r="R48" s="2">
        <v>100</v>
      </c>
      <c r="S48" s="2">
        <f t="shared" si="34"/>
        <v>13000</v>
      </c>
      <c r="T48" s="2" t="e">
        <f t="shared" si="35"/>
        <v>#REF!</v>
      </c>
      <c r="U48" s="2">
        <v>2000</v>
      </c>
      <c r="V48" s="2" t="e">
        <f t="shared" si="42"/>
        <v>#REF!</v>
      </c>
      <c r="W48" s="2" t="e">
        <f t="shared" si="43"/>
        <v>#REF!</v>
      </c>
      <c r="X48" s="2"/>
      <c r="Y48" s="2"/>
      <c r="Z48" s="2"/>
      <c r="AA48" s="2">
        <f t="shared" si="12"/>
        <v>15000</v>
      </c>
      <c r="AB48" s="2" t="e">
        <f t="shared" si="13"/>
        <v>#REF!</v>
      </c>
      <c r="AC48" s="2">
        <f t="shared" si="36"/>
        <v>52221</v>
      </c>
      <c r="AD48" s="2">
        <f t="shared" si="37"/>
        <v>101</v>
      </c>
      <c r="AE48" s="2"/>
      <c r="AF48" s="2" t="str">
        <f t="shared" si="38"/>
        <v>shard_iv</v>
      </c>
      <c r="AG48" s="2" t="str">
        <f t="shared" si="39"/>
        <v>StoreDiamond_1</v>
      </c>
      <c r="AH48" s="2"/>
      <c r="AI48" s="2" t="str">
        <f t="shared" si="44"/>
        <v>[52221,101]</v>
      </c>
      <c r="AJ48" s="2" t="str">
        <f t="shared" si="45"/>
        <v>[100,2000]</v>
      </c>
      <c r="AK48" s="2" t="str">
        <f t="shared" si="46"/>
        <v>[shard_iv,StoreDiamond_1]</v>
      </c>
      <c r="AL48" s="2" t="str">
        <f t="shared" si="26"/>
        <v>3+20+四号碎片</v>
      </c>
      <c r="AM48" s="1" t="str">
        <f t="shared" si="40"/>
        <v>Minotaur Shard</v>
      </c>
      <c r="AN48" s="1" t="str">
        <f t="shared" si="41"/>
        <v>Diamond</v>
      </c>
    </row>
    <row r="49" spans="2:41" x14ac:dyDescent="0.3">
      <c r="B49" s="22" t="s">
        <v>2864</v>
      </c>
      <c r="C49" s="2" t="e">
        <f>#REF!</f>
        <v>#REF!</v>
      </c>
      <c r="G49" s="2">
        <v>3</v>
      </c>
      <c r="H49" s="2" t="s">
        <v>1983</v>
      </c>
      <c r="I49" s="2" t="s">
        <v>325</v>
      </c>
      <c r="J49" s="2"/>
      <c r="K49" s="2">
        <f t="shared" si="2"/>
        <v>130</v>
      </c>
      <c r="L49" s="2">
        <f t="shared" si="32"/>
        <v>1</v>
      </c>
      <c r="M49" s="2"/>
      <c r="N49" s="2">
        <v>20</v>
      </c>
      <c r="O49" s="2" t="e">
        <f>N49*#REF!</f>
        <v>#REF!</v>
      </c>
      <c r="P49" s="2">
        <v>5</v>
      </c>
      <c r="Q49" s="2" t="e">
        <f t="shared" si="33"/>
        <v>#REF!</v>
      </c>
      <c r="R49" s="2">
        <v>100</v>
      </c>
      <c r="S49" s="2">
        <f t="shared" si="34"/>
        <v>13000</v>
      </c>
      <c r="T49" s="2" t="e">
        <f t="shared" si="35"/>
        <v>#REF!</v>
      </c>
      <c r="U49" s="2">
        <v>2000</v>
      </c>
      <c r="V49" s="2" t="e">
        <f t="shared" si="42"/>
        <v>#REF!</v>
      </c>
      <c r="W49" s="2" t="e">
        <f t="shared" si="43"/>
        <v>#REF!</v>
      </c>
      <c r="X49" s="2"/>
      <c r="Y49" s="2"/>
      <c r="Z49" s="2"/>
      <c r="AA49" s="2">
        <f t="shared" si="12"/>
        <v>15000</v>
      </c>
      <c r="AB49" s="2" t="e">
        <f t="shared" si="13"/>
        <v>#REF!</v>
      </c>
      <c r="AC49" s="2">
        <f t="shared" si="36"/>
        <v>53221</v>
      </c>
      <c r="AD49" s="2">
        <f t="shared" si="37"/>
        <v>101</v>
      </c>
      <c r="AE49" s="2"/>
      <c r="AF49" s="2" t="str">
        <f t="shared" si="38"/>
        <v>shard_churchill</v>
      </c>
      <c r="AG49" s="2" t="str">
        <f t="shared" si="39"/>
        <v>StoreDiamond_1</v>
      </c>
      <c r="AH49" s="2"/>
      <c r="AI49" s="2" t="str">
        <f t="shared" si="44"/>
        <v>[53221,101]</v>
      </c>
      <c r="AJ49" s="2" t="str">
        <f t="shared" si="45"/>
        <v>[100,2000]</v>
      </c>
      <c r="AK49" s="2" t="str">
        <f t="shared" si="46"/>
        <v>[shard_churchill,StoreDiamond_1]</v>
      </c>
      <c r="AL49" s="2" t="str">
        <f t="shared" si="26"/>
        <v>3+20+丘吉尔碎</v>
      </c>
      <c r="AM49" s="1" t="str">
        <f t="shared" si="40"/>
        <v>Wyrm Shard</v>
      </c>
      <c r="AN49" s="1" t="str">
        <f t="shared" si="41"/>
        <v>Diamond</v>
      </c>
    </row>
    <row r="50" spans="2:41" x14ac:dyDescent="0.3">
      <c r="B50" s="22" t="s">
        <v>2860</v>
      </c>
      <c r="C50" s="2" t="e">
        <f>#REF!</f>
        <v>#REF!</v>
      </c>
      <c r="G50" s="2">
        <v>3</v>
      </c>
      <c r="H50" s="2" t="s">
        <v>1902</v>
      </c>
      <c r="I50" s="2" t="s">
        <v>325</v>
      </c>
      <c r="J50" s="2"/>
      <c r="K50" s="2">
        <f t="shared" si="2"/>
        <v>130</v>
      </c>
      <c r="L50" s="2">
        <f t="shared" si="32"/>
        <v>1</v>
      </c>
      <c r="M50" s="2"/>
      <c r="N50" s="2">
        <v>5</v>
      </c>
      <c r="O50" s="2" t="e">
        <f>N50*#REF!</f>
        <v>#REF!</v>
      </c>
      <c r="P50" s="2">
        <v>4</v>
      </c>
      <c r="Q50" s="2" t="e">
        <f t="shared" ref="Q50:Q58" si="47">O50*P50</f>
        <v>#REF!</v>
      </c>
      <c r="R50" s="2">
        <v>20</v>
      </c>
      <c r="S50" s="2">
        <f t="shared" ref="S50:S58" si="48">R50*K50</f>
        <v>2600</v>
      </c>
      <c r="T50" s="2" t="e">
        <f t="shared" ref="T50:T58" si="49">S50/Q50</f>
        <v>#REF!</v>
      </c>
      <c r="U50" s="2">
        <v>400</v>
      </c>
      <c r="V50" s="2" t="e">
        <f t="shared" si="42"/>
        <v>#REF!</v>
      </c>
      <c r="W50" s="2" t="e">
        <f t="shared" si="43"/>
        <v>#REF!</v>
      </c>
      <c r="X50" s="2"/>
      <c r="Y50" s="2"/>
      <c r="Z50" s="2"/>
      <c r="AA50" s="2">
        <f t="shared" si="12"/>
        <v>3000</v>
      </c>
      <c r="AB50" s="2" t="e">
        <f t="shared" si="13"/>
        <v>#REF!</v>
      </c>
      <c r="AC50" s="2">
        <f t="shared" si="36"/>
        <v>51221</v>
      </c>
      <c r="AD50" s="2">
        <f t="shared" si="37"/>
        <v>101</v>
      </c>
      <c r="AE50" s="2"/>
      <c r="AF50" s="2" t="str">
        <f t="shared" si="38"/>
        <v>shard_sdkfz234</v>
      </c>
      <c r="AG50" s="2" t="str">
        <f t="shared" si="39"/>
        <v>StoreDiamond_1</v>
      </c>
      <c r="AH50" s="2"/>
      <c r="AI50" s="2" t="str">
        <f t="shared" si="44"/>
        <v>[51221,101]</v>
      </c>
      <c r="AJ50" s="2" t="str">
        <f t="shared" si="45"/>
        <v>[20,400]</v>
      </c>
      <c r="AK50" s="2" t="str">
        <f t="shared" si="46"/>
        <v>[shard_sdkfz234,StoreDiamond_1]</v>
      </c>
      <c r="AL50" s="2" t="str">
        <f t="shared" si="26"/>
        <v>3+5+Puma</v>
      </c>
      <c r="AM50" s="1" t="str">
        <f t="shared" si="40"/>
        <v>Gulon Shard</v>
      </c>
      <c r="AN50" s="1" t="str">
        <f t="shared" si="41"/>
        <v>Diamond</v>
      </c>
    </row>
    <row r="51" spans="2:41" x14ac:dyDescent="0.3">
      <c r="B51" s="2" t="s">
        <v>1902</v>
      </c>
      <c r="C51" s="2">
        <f>道具价值!$E$36</f>
        <v>130</v>
      </c>
      <c r="G51" s="2">
        <v>3</v>
      </c>
      <c r="H51" s="2" t="s">
        <v>1943</v>
      </c>
      <c r="I51" s="2" t="s">
        <v>325</v>
      </c>
      <c r="J51" s="2"/>
      <c r="K51" s="2">
        <f t="shared" si="2"/>
        <v>130</v>
      </c>
      <c r="L51" s="2">
        <f t="shared" si="32"/>
        <v>1</v>
      </c>
      <c r="M51" s="2"/>
      <c r="N51" s="2">
        <v>5</v>
      </c>
      <c r="O51" s="2" t="e">
        <f>N51*#REF!</f>
        <v>#REF!</v>
      </c>
      <c r="P51" s="2">
        <v>4</v>
      </c>
      <c r="Q51" s="2" t="e">
        <f t="shared" si="47"/>
        <v>#REF!</v>
      </c>
      <c r="R51" s="2">
        <v>20</v>
      </c>
      <c r="S51" s="2">
        <f t="shared" si="48"/>
        <v>2600</v>
      </c>
      <c r="T51" s="2" t="e">
        <f t="shared" si="49"/>
        <v>#REF!</v>
      </c>
      <c r="U51" s="2">
        <v>400</v>
      </c>
      <c r="V51" s="2" t="e">
        <f t="shared" si="42"/>
        <v>#REF!</v>
      </c>
      <c r="W51" s="2" t="e">
        <f t="shared" si="43"/>
        <v>#REF!</v>
      </c>
      <c r="X51" s="2"/>
      <c r="Y51" s="2"/>
      <c r="Z51" s="2"/>
      <c r="AA51" s="2">
        <f t="shared" si="12"/>
        <v>3000</v>
      </c>
      <c r="AB51" s="2" t="e">
        <f t="shared" si="13"/>
        <v>#REF!</v>
      </c>
      <c r="AC51" s="2">
        <f t="shared" si="36"/>
        <v>52221</v>
      </c>
      <c r="AD51" s="2">
        <f t="shared" si="37"/>
        <v>101</v>
      </c>
      <c r="AE51" s="2"/>
      <c r="AF51" s="2" t="str">
        <f t="shared" si="38"/>
        <v>shard_iv</v>
      </c>
      <c r="AG51" s="2" t="str">
        <f t="shared" si="39"/>
        <v>StoreDiamond_1</v>
      </c>
      <c r="AH51" s="2"/>
      <c r="AI51" s="2" t="str">
        <f t="shared" si="44"/>
        <v>[52221,101]</v>
      </c>
      <c r="AJ51" s="2" t="str">
        <f t="shared" si="45"/>
        <v>[20,400]</v>
      </c>
      <c r="AK51" s="2" t="str">
        <f t="shared" si="46"/>
        <v>[shard_iv,StoreDiamond_1]</v>
      </c>
      <c r="AL51" s="2" t="str">
        <f t="shared" si="26"/>
        <v>3+5+四号碎片</v>
      </c>
      <c r="AM51" s="1" t="str">
        <f t="shared" si="40"/>
        <v>Minotaur Shard</v>
      </c>
      <c r="AN51" s="1" t="str">
        <f t="shared" si="41"/>
        <v>Diamond</v>
      </c>
    </row>
    <row r="52" spans="2:41" x14ac:dyDescent="0.3">
      <c r="B52" s="2" t="s">
        <v>1943</v>
      </c>
      <c r="C52" s="2">
        <f>道具价值!$E$36</f>
        <v>130</v>
      </c>
      <c r="G52" s="2">
        <v>3</v>
      </c>
      <c r="H52" s="2" t="s">
        <v>1983</v>
      </c>
      <c r="I52" s="2" t="s">
        <v>325</v>
      </c>
      <c r="J52" s="2"/>
      <c r="K52" s="2">
        <f t="shared" si="2"/>
        <v>130</v>
      </c>
      <c r="L52" s="2">
        <f t="shared" si="32"/>
        <v>1</v>
      </c>
      <c r="M52" s="2"/>
      <c r="N52" s="2">
        <v>5</v>
      </c>
      <c r="O52" s="2" t="e">
        <f>N52*#REF!</f>
        <v>#REF!</v>
      </c>
      <c r="P52" s="2">
        <v>4</v>
      </c>
      <c r="Q52" s="2" t="e">
        <f t="shared" si="47"/>
        <v>#REF!</v>
      </c>
      <c r="R52" s="2">
        <v>20</v>
      </c>
      <c r="S52" s="2">
        <f t="shared" si="48"/>
        <v>2600</v>
      </c>
      <c r="T52" s="2" t="e">
        <f t="shared" si="49"/>
        <v>#REF!</v>
      </c>
      <c r="U52" s="2">
        <v>400</v>
      </c>
      <c r="V52" s="2" t="e">
        <f t="shared" si="42"/>
        <v>#REF!</v>
      </c>
      <c r="W52" s="2" t="e">
        <f t="shared" si="43"/>
        <v>#REF!</v>
      </c>
      <c r="X52" s="2"/>
      <c r="Y52" s="2"/>
      <c r="Z52" s="2"/>
      <c r="AA52" s="2">
        <f t="shared" si="12"/>
        <v>3000</v>
      </c>
      <c r="AB52" s="2" t="e">
        <f t="shared" si="13"/>
        <v>#REF!</v>
      </c>
      <c r="AC52" s="2">
        <f t="shared" si="36"/>
        <v>53221</v>
      </c>
      <c r="AD52" s="2">
        <f t="shared" si="37"/>
        <v>101</v>
      </c>
      <c r="AE52" s="2"/>
      <c r="AF52" s="2" t="str">
        <f t="shared" si="38"/>
        <v>shard_churchill</v>
      </c>
      <c r="AG52" s="2" t="str">
        <f t="shared" si="39"/>
        <v>StoreDiamond_1</v>
      </c>
      <c r="AH52" s="2"/>
      <c r="AI52" s="2" t="str">
        <f t="shared" si="44"/>
        <v>[53221,101]</v>
      </c>
      <c r="AJ52" s="2" t="str">
        <f t="shared" si="45"/>
        <v>[20,400]</v>
      </c>
      <c r="AK52" s="2" t="str">
        <f t="shared" si="46"/>
        <v>[shard_churchill,StoreDiamond_1]</v>
      </c>
      <c r="AL52" s="2" t="str">
        <f t="shared" si="26"/>
        <v>3+5+丘吉尔碎</v>
      </c>
      <c r="AM52" s="1" t="str">
        <f t="shared" si="40"/>
        <v>Wyrm Shard</v>
      </c>
      <c r="AN52" s="1" t="str">
        <f t="shared" si="41"/>
        <v>Diamond</v>
      </c>
    </row>
    <row r="53" spans="2:41" x14ac:dyDescent="0.3">
      <c r="B53" s="2" t="s">
        <v>1983</v>
      </c>
      <c r="C53" s="2">
        <f>道具价值!$E$36</f>
        <v>130</v>
      </c>
      <c r="G53" s="2">
        <v>3</v>
      </c>
      <c r="H53" s="2" t="s">
        <v>1902</v>
      </c>
      <c r="I53" s="2" t="s">
        <v>325</v>
      </c>
      <c r="J53" s="2"/>
      <c r="K53" s="2">
        <f t="shared" si="2"/>
        <v>130</v>
      </c>
      <c r="L53" s="2">
        <f t="shared" si="32"/>
        <v>1</v>
      </c>
      <c r="M53" s="2"/>
      <c r="N53" s="2">
        <v>10</v>
      </c>
      <c r="O53" s="2" t="e">
        <f>N53*#REF!</f>
        <v>#REF!</v>
      </c>
      <c r="P53" s="2">
        <v>4</v>
      </c>
      <c r="Q53" s="2" t="e">
        <f t="shared" si="47"/>
        <v>#REF!</v>
      </c>
      <c r="R53" s="2">
        <v>40</v>
      </c>
      <c r="S53" s="2">
        <f t="shared" si="48"/>
        <v>5200</v>
      </c>
      <c r="T53" s="2" t="e">
        <f t="shared" si="49"/>
        <v>#REF!</v>
      </c>
      <c r="U53" s="2">
        <v>800</v>
      </c>
      <c r="V53" s="2" t="e">
        <f t="shared" si="42"/>
        <v>#REF!</v>
      </c>
      <c r="W53" s="2" t="e">
        <f t="shared" si="43"/>
        <v>#REF!</v>
      </c>
      <c r="X53" s="2"/>
      <c r="Y53" s="2"/>
      <c r="Z53" s="2"/>
      <c r="AA53" s="2">
        <f t="shared" si="12"/>
        <v>6000</v>
      </c>
      <c r="AB53" s="2" t="e">
        <f t="shared" si="13"/>
        <v>#REF!</v>
      </c>
      <c r="AC53" s="2">
        <f t="shared" si="36"/>
        <v>51221</v>
      </c>
      <c r="AD53" s="2">
        <f t="shared" si="37"/>
        <v>101</v>
      </c>
      <c r="AE53" s="2"/>
      <c r="AF53" s="2" t="str">
        <f t="shared" si="38"/>
        <v>shard_sdkfz234</v>
      </c>
      <c r="AG53" s="2" t="str">
        <f t="shared" si="39"/>
        <v>StoreDiamond_1</v>
      </c>
      <c r="AH53" s="2"/>
      <c r="AI53" s="2" t="str">
        <f t="shared" si="44"/>
        <v>[51221,101]</v>
      </c>
      <c r="AJ53" s="2" t="str">
        <f t="shared" si="45"/>
        <v>[40,800]</v>
      </c>
      <c r="AK53" s="2" t="str">
        <f t="shared" si="46"/>
        <v>[shard_sdkfz234,StoreDiamond_1]</v>
      </c>
      <c r="AL53" s="2" t="str">
        <f t="shared" si="26"/>
        <v>3+10+Puma</v>
      </c>
      <c r="AM53" s="1" t="str">
        <f t="shared" si="40"/>
        <v>Gulon Shard</v>
      </c>
      <c r="AN53" s="1" t="str">
        <f t="shared" si="41"/>
        <v>Diamond</v>
      </c>
    </row>
    <row r="54" spans="2:41" x14ac:dyDescent="0.3">
      <c r="B54" s="2" t="s">
        <v>288</v>
      </c>
      <c r="C54" s="2">
        <f>道具价值!J63</f>
        <v>35</v>
      </c>
      <c r="G54" s="2">
        <v>3</v>
      </c>
      <c r="H54" s="2" t="s">
        <v>1943</v>
      </c>
      <c r="I54" s="2" t="s">
        <v>325</v>
      </c>
      <c r="J54" s="2"/>
      <c r="K54" s="2">
        <f t="shared" si="2"/>
        <v>130</v>
      </c>
      <c r="L54" s="2">
        <f t="shared" si="32"/>
        <v>1</v>
      </c>
      <c r="M54" s="2"/>
      <c r="N54" s="2">
        <v>10</v>
      </c>
      <c r="O54" s="2" t="e">
        <f>N54*#REF!</f>
        <v>#REF!</v>
      </c>
      <c r="P54" s="2">
        <v>4</v>
      </c>
      <c r="Q54" s="2" t="e">
        <f t="shared" si="47"/>
        <v>#REF!</v>
      </c>
      <c r="R54" s="2">
        <v>40</v>
      </c>
      <c r="S54" s="2">
        <f t="shared" si="48"/>
        <v>5200</v>
      </c>
      <c r="T54" s="2" t="e">
        <f t="shared" si="49"/>
        <v>#REF!</v>
      </c>
      <c r="U54" s="2">
        <v>800</v>
      </c>
      <c r="V54" s="2" t="e">
        <f t="shared" si="42"/>
        <v>#REF!</v>
      </c>
      <c r="W54" s="2" t="e">
        <f t="shared" si="43"/>
        <v>#REF!</v>
      </c>
      <c r="X54" s="2"/>
      <c r="Y54" s="2"/>
      <c r="Z54" s="2"/>
      <c r="AA54" s="2">
        <f t="shared" si="12"/>
        <v>6000</v>
      </c>
      <c r="AB54" s="2" t="e">
        <f t="shared" si="13"/>
        <v>#REF!</v>
      </c>
      <c r="AC54" s="2">
        <f t="shared" si="36"/>
        <v>52221</v>
      </c>
      <c r="AD54" s="2">
        <f t="shared" si="37"/>
        <v>101</v>
      </c>
      <c r="AE54" s="2"/>
      <c r="AF54" s="2" t="str">
        <f t="shared" si="38"/>
        <v>shard_iv</v>
      </c>
      <c r="AG54" s="2" t="str">
        <f t="shared" si="39"/>
        <v>StoreDiamond_1</v>
      </c>
      <c r="AH54" s="2"/>
      <c r="AI54" s="2" t="str">
        <f t="shared" si="44"/>
        <v>[52221,101]</v>
      </c>
      <c r="AJ54" s="2" t="str">
        <f t="shared" si="45"/>
        <v>[40,800]</v>
      </c>
      <c r="AK54" s="2" t="str">
        <f t="shared" si="46"/>
        <v>[shard_iv,StoreDiamond_1]</v>
      </c>
      <c r="AL54" s="2" t="str">
        <f t="shared" si="26"/>
        <v>3+10+四号碎片</v>
      </c>
      <c r="AM54" s="1" t="str">
        <f t="shared" si="40"/>
        <v>Minotaur Shard</v>
      </c>
      <c r="AN54" s="1" t="str">
        <f t="shared" si="41"/>
        <v>Diamond</v>
      </c>
    </row>
    <row r="55" spans="2:41" x14ac:dyDescent="0.3">
      <c r="B55" s="2" t="s">
        <v>587</v>
      </c>
      <c r="C55" s="2">
        <f>道具价值!J64</f>
        <v>60</v>
      </c>
      <c r="G55" s="2">
        <v>3</v>
      </c>
      <c r="H55" s="2" t="s">
        <v>1983</v>
      </c>
      <c r="I55" s="2" t="s">
        <v>325</v>
      </c>
      <c r="J55" s="2"/>
      <c r="K55" s="2">
        <f t="shared" ref="K55:K86" si="50">IFERROR(VLOOKUP(LEFT(H55,4),$B$40:$C$81,2,FALSE),VLOOKUP(H55,$B$40:$C$81,2,FALSE))</f>
        <v>130</v>
      </c>
      <c r="L55" s="2">
        <f t="shared" si="32"/>
        <v>1</v>
      </c>
      <c r="M55" s="2"/>
      <c r="N55" s="2">
        <v>10</v>
      </c>
      <c r="O55" s="2" t="e">
        <f>N55*#REF!</f>
        <v>#REF!</v>
      </c>
      <c r="P55" s="2">
        <v>4</v>
      </c>
      <c r="Q55" s="2" t="e">
        <f t="shared" si="47"/>
        <v>#REF!</v>
      </c>
      <c r="R55" s="2">
        <v>40</v>
      </c>
      <c r="S55" s="2">
        <f t="shared" si="48"/>
        <v>5200</v>
      </c>
      <c r="T55" s="2" t="e">
        <f t="shared" si="49"/>
        <v>#REF!</v>
      </c>
      <c r="U55" s="2">
        <v>800</v>
      </c>
      <c r="V55" s="2" t="e">
        <f t="shared" si="42"/>
        <v>#REF!</v>
      </c>
      <c r="W55" s="2" t="e">
        <f t="shared" si="43"/>
        <v>#REF!</v>
      </c>
      <c r="X55" s="2"/>
      <c r="Y55" s="2"/>
      <c r="Z55" s="2"/>
      <c r="AA55" s="2">
        <f t="shared" ref="AA55:AA86" si="51">R55*K55+U55*L55+X55*M55</f>
        <v>6000</v>
      </c>
      <c r="AB55" s="2" t="e">
        <f t="shared" ref="AB55:AB86" si="52">1-1/(AA55/O55)</f>
        <v>#REF!</v>
      </c>
      <c r="AC55" s="2">
        <f t="shared" si="36"/>
        <v>53221</v>
      </c>
      <c r="AD55" s="2">
        <f t="shared" si="37"/>
        <v>101</v>
      </c>
      <c r="AE55" s="2"/>
      <c r="AF55" s="2" t="str">
        <f t="shared" si="38"/>
        <v>shard_churchill</v>
      </c>
      <c r="AG55" s="2" t="str">
        <f t="shared" si="39"/>
        <v>StoreDiamond_1</v>
      </c>
      <c r="AH55" s="2"/>
      <c r="AI55" s="2" t="str">
        <f t="shared" si="44"/>
        <v>[53221,101]</v>
      </c>
      <c r="AJ55" s="2" t="str">
        <f t="shared" si="45"/>
        <v>[40,800]</v>
      </c>
      <c r="AK55" s="2" t="str">
        <f t="shared" si="46"/>
        <v>[shard_churchill,StoreDiamond_1]</v>
      </c>
      <c r="AL55" s="2" t="str">
        <f t="shared" si="26"/>
        <v>3+10+丘吉尔碎</v>
      </c>
      <c r="AM55" s="1" t="str">
        <f t="shared" si="40"/>
        <v>Wyrm Shard</v>
      </c>
      <c r="AN55" s="1" t="str">
        <f t="shared" si="41"/>
        <v>Diamond</v>
      </c>
    </row>
    <row r="56" spans="2:41" x14ac:dyDescent="0.3">
      <c r="B56" s="2" t="s">
        <v>1808</v>
      </c>
      <c r="C56" s="2">
        <f>道具价值!J65</f>
        <v>70</v>
      </c>
      <c r="G56" s="2">
        <v>3</v>
      </c>
      <c r="H56" s="2" t="s">
        <v>1902</v>
      </c>
      <c r="I56" s="2" t="s">
        <v>325</v>
      </c>
      <c r="J56" s="2"/>
      <c r="K56" s="2">
        <f t="shared" si="50"/>
        <v>130</v>
      </c>
      <c r="L56" s="2">
        <f t="shared" si="32"/>
        <v>1</v>
      </c>
      <c r="M56" s="2"/>
      <c r="N56" s="2">
        <v>20</v>
      </c>
      <c r="O56" s="2" t="e">
        <f>N56*#REF!</f>
        <v>#REF!</v>
      </c>
      <c r="P56" s="2">
        <v>4</v>
      </c>
      <c r="Q56" s="2" t="e">
        <f t="shared" si="47"/>
        <v>#REF!</v>
      </c>
      <c r="R56" s="2">
        <v>80</v>
      </c>
      <c r="S56" s="2">
        <f t="shared" si="48"/>
        <v>10400</v>
      </c>
      <c r="T56" s="2" t="e">
        <f t="shared" si="49"/>
        <v>#REF!</v>
      </c>
      <c r="U56" s="2">
        <v>1600</v>
      </c>
      <c r="V56" s="2" t="e">
        <f t="shared" si="42"/>
        <v>#REF!</v>
      </c>
      <c r="W56" s="2" t="e">
        <f t="shared" si="43"/>
        <v>#REF!</v>
      </c>
      <c r="X56" s="2"/>
      <c r="Y56" s="2"/>
      <c r="Z56" s="2"/>
      <c r="AA56" s="2">
        <f t="shared" si="51"/>
        <v>12000</v>
      </c>
      <c r="AB56" s="2" t="e">
        <f t="shared" si="52"/>
        <v>#REF!</v>
      </c>
      <c r="AC56" s="2">
        <f t="shared" si="36"/>
        <v>51221</v>
      </c>
      <c r="AD56" s="2">
        <f t="shared" si="37"/>
        <v>101</v>
      </c>
      <c r="AE56" s="2"/>
      <c r="AF56" s="2" t="str">
        <f t="shared" si="38"/>
        <v>shard_sdkfz234</v>
      </c>
      <c r="AG56" s="2" t="str">
        <f t="shared" si="39"/>
        <v>StoreDiamond_1</v>
      </c>
      <c r="AH56" s="2"/>
      <c r="AI56" s="2" t="str">
        <f t="shared" si="44"/>
        <v>[51221,101]</v>
      </c>
      <c r="AJ56" s="2" t="str">
        <f t="shared" si="45"/>
        <v>[80,1600]</v>
      </c>
      <c r="AK56" s="2" t="str">
        <f t="shared" si="46"/>
        <v>[shard_sdkfz234,StoreDiamond_1]</v>
      </c>
      <c r="AL56" s="2" t="str">
        <f t="shared" si="26"/>
        <v>3+20+Puma</v>
      </c>
      <c r="AM56" s="1" t="str">
        <f t="shared" si="40"/>
        <v>Gulon Shard</v>
      </c>
      <c r="AN56" s="1" t="str">
        <f t="shared" si="41"/>
        <v>Diamond</v>
      </c>
    </row>
    <row r="57" spans="2:41" x14ac:dyDescent="0.3">
      <c r="B57" s="2" t="s">
        <v>1809</v>
      </c>
      <c r="C57" s="2">
        <f>道具价值!J66</f>
        <v>125</v>
      </c>
      <c r="G57" s="2">
        <v>3</v>
      </c>
      <c r="H57" s="2" t="s">
        <v>1943</v>
      </c>
      <c r="I57" s="2" t="s">
        <v>325</v>
      </c>
      <c r="J57" s="2"/>
      <c r="K57" s="2">
        <f t="shared" si="50"/>
        <v>130</v>
      </c>
      <c r="L57" s="2">
        <f t="shared" si="32"/>
        <v>1</v>
      </c>
      <c r="M57" s="2"/>
      <c r="N57" s="2">
        <v>20</v>
      </c>
      <c r="O57" s="2" t="e">
        <f>N57*#REF!</f>
        <v>#REF!</v>
      </c>
      <c r="P57" s="2">
        <v>4</v>
      </c>
      <c r="Q57" s="2" t="e">
        <f t="shared" si="47"/>
        <v>#REF!</v>
      </c>
      <c r="R57" s="2">
        <v>80</v>
      </c>
      <c r="S57" s="2">
        <f t="shared" si="48"/>
        <v>10400</v>
      </c>
      <c r="T57" s="2" t="e">
        <f t="shared" si="49"/>
        <v>#REF!</v>
      </c>
      <c r="U57" s="2">
        <v>1600</v>
      </c>
      <c r="V57" s="2" t="e">
        <f t="shared" si="42"/>
        <v>#REF!</v>
      </c>
      <c r="W57" s="2" t="e">
        <f t="shared" si="43"/>
        <v>#REF!</v>
      </c>
      <c r="X57" s="2"/>
      <c r="Y57" s="2"/>
      <c r="Z57" s="2"/>
      <c r="AA57" s="2">
        <f t="shared" si="51"/>
        <v>12000</v>
      </c>
      <c r="AB57" s="2" t="e">
        <f t="shared" si="52"/>
        <v>#REF!</v>
      </c>
      <c r="AC57" s="2">
        <f t="shared" si="36"/>
        <v>52221</v>
      </c>
      <c r="AD57" s="2">
        <f t="shared" si="37"/>
        <v>101</v>
      </c>
      <c r="AE57" s="2"/>
      <c r="AF57" s="2" t="str">
        <f t="shared" si="38"/>
        <v>shard_iv</v>
      </c>
      <c r="AG57" s="2" t="str">
        <f t="shared" si="39"/>
        <v>StoreDiamond_1</v>
      </c>
      <c r="AH57" s="2"/>
      <c r="AI57" s="2" t="str">
        <f t="shared" si="44"/>
        <v>[52221,101]</v>
      </c>
      <c r="AJ57" s="2" t="str">
        <f t="shared" si="45"/>
        <v>[80,1600]</v>
      </c>
      <c r="AK57" s="2" t="str">
        <f t="shared" si="46"/>
        <v>[shard_iv,StoreDiamond_1]</v>
      </c>
      <c r="AL57" s="2" t="str">
        <f t="shared" si="26"/>
        <v>3+20+四号碎片</v>
      </c>
      <c r="AM57" s="1" t="str">
        <f t="shared" si="40"/>
        <v>Minotaur Shard</v>
      </c>
      <c r="AN57" s="1" t="str">
        <f t="shared" si="41"/>
        <v>Diamond</v>
      </c>
    </row>
    <row r="58" spans="2:41" x14ac:dyDescent="0.3">
      <c r="B58" s="2" t="s">
        <v>1810</v>
      </c>
      <c r="C58" s="2">
        <f>道具价值!J67</f>
        <v>230</v>
      </c>
      <c r="G58" s="2">
        <v>3</v>
      </c>
      <c r="H58" s="2" t="s">
        <v>1983</v>
      </c>
      <c r="I58" s="2" t="s">
        <v>325</v>
      </c>
      <c r="J58" s="2"/>
      <c r="K58" s="2">
        <f t="shared" si="50"/>
        <v>130</v>
      </c>
      <c r="L58" s="2">
        <f t="shared" si="32"/>
        <v>1</v>
      </c>
      <c r="M58" s="2"/>
      <c r="N58" s="2">
        <v>20</v>
      </c>
      <c r="O58" s="2" t="e">
        <f>N58*#REF!</f>
        <v>#REF!</v>
      </c>
      <c r="P58" s="2">
        <v>4</v>
      </c>
      <c r="Q58" s="2" t="e">
        <f t="shared" si="47"/>
        <v>#REF!</v>
      </c>
      <c r="R58" s="2">
        <v>80</v>
      </c>
      <c r="S58" s="2">
        <f t="shared" si="48"/>
        <v>10400</v>
      </c>
      <c r="T58" s="2" t="e">
        <f t="shared" si="49"/>
        <v>#REF!</v>
      </c>
      <c r="U58" s="2">
        <v>1600</v>
      </c>
      <c r="V58" s="2" t="e">
        <f t="shared" si="42"/>
        <v>#REF!</v>
      </c>
      <c r="W58" s="2" t="e">
        <f t="shared" si="43"/>
        <v>#REF!</v>
      </c>
      <c r="X58" s="2"/>
      <c r="Y58" s="2"/>
      <c r="Z58" s="2"/>
      <c r="AA58" s="2">
        <f t="shared" si="51"/>
        <v>12000</v>
      </c>
      <c r="AB58" s="2" t="e">
        <f t="shared" si="52"/>
        <v>#REF!</v>
      </c>
      <c r="AC58" s="2">
        <f t="shared" si="36"/>
        <v>53221</v>
      </c>
      <c r="AD58" s="2">
        <f t="shared" si="37"/>
        <v>101</v>
      </c>
      <c r="AE58" s="2"/>
      <c r="AF58" s="2" t="str">
        <f t="shared" si="38"/>
        <v>shard_churchill</v>
      </c>
      <c r="AG58" s="2" t="str">
        <f t="shared" si="39"/>
        <v>StoreDiamond_1</v>
      </c>
      <c r="AH58" s="2"/>
      <c r="AI58" s="2" t="str">
        <f t="shared" si="44"/>
        <v>[53221,101]</v>
      </c>
      <c r="AJ58" s="2" t="str">
        <f t="shared" si="45"/>
        <v>[80,1600]</v>
      </c>
      <c r="AK58" s="2" t="str">
        <f t="shared" si="46"/>
        <v>[shard_churchill,StoreDiamond_1]</v>
      </c>
      <c r="AL58" s="2" t="str">
        <f t="shared" si="26"/>
        <v>3+20+丘吉尔碎</v>
      </c>
      <c r="AM58" s="1" t="str">
        <f t="shared" si="40"/>
        <v>Wyrm Shard</v>
      </c>
      <c r="AN58" s="1" t="str">
        <f t="shared" si="41"/>
        <v>Diamond</v>
      </c>
    </row>
    <row r="59" spans="2:41" x14ac:dyDescent="0.3">
      <c r="B59" s="2" t="s">
        <v>1811</v>
      </c>
      <c r="C59" s="2">
        <f>道具价值!J68</f>
        <v>215</v>
      </c>
      <c r="G59" s="2">
        <v>3</v>
      </c>
      <c r="H59" s="2" t="s">
        <v>2587</v>
      </c>
      <c r="I59" s="2" t="s">
        <v>587</v>
      </c>
      <c r="J59" s="2" t="s">
        <v>325</v>
      </c>
      <c r="K59" s="2" t="e">
        <f t="shared" si="50"/>
        <v>#REF!</v>
      </c>
      <c r="L59" s="2">
        <f t="shared" si="32"/>
        <v>60</v>
      </c>
      <c r="M59" s="2">
        <f t="shared" ref="M59:M90" si="53">VLOOKUP(J59,$B$40:$C$81,2,FALSE)</f>
        <v>1</v>
      </c>
      <c r="N59" s="2">
        <v>2</v>
      </c>
      <c r="O59" s="2" t="e">
        <f>N59*#REF!</f>
        <v>#REF!</v>
      </c>
      <c r="P59" s="2">
        <v>4</v>
      </c>
      <c r="Q59" s="2" t="e">
        <f t="shared" ref="Q59:Q64" si="54">O59*P59</f>
        <v>#REF!</v>
      </c>
      <c r="R59" s="2">
        <v>2</v>
      </c>
      <c r="S59" s="2" t="e">
        <f t="shared" ref="S59:S64" si="55">R59*K59</f>
        <v>#REF!</v>
      </c>
      <c r="T59" s="2" t="e">
        <f t="shared" ref="T59:T64" si="56">S59/Q59</f>
        <v>#REF!</v>
      </c>
      <c r="U59" s="2">
        <v>2</v>
      </c>
      <c r="V59" s="2">
        <f t="shared" ref="V59:V64" si="57">U59*L59</f>
        <v>120</v>
      </c>
      <c r="W59" s="2" t="e">
        <f t="shared" ref="W59:W64" si="58">V59/Q59</f>
        <v>#REF!</v>
      </c>
      <c r="X59" s="2">
        <v>400</v>
      </c>
      <c r="Y59" s="2" t="e">
        <f t="shared" ref="Y59:Y90" si="59">Z59*Q59</f>
        <v>#REF!</v>
      </c>
      <c r="Z59" s="2" t="e">
        <f t="shared" ref="Z59:Z90" si="60">1-T59-W59</f>
        <v>#REF!</v>
      </c>
      <c r="AA59" s="2" t="e">
        <f t="shared" si="51"/>
        <v>#REF!</v>
      </c>
      <c r="AB59" s="2" t="e">
        <f t="shared" si="52"/>
        <v>#REF!</v>
      </c>
      <c r="AC59" s="2">
        <f t="shared" si="36"/>
        <v>23203</v>
      </c>
      <c r="AD59" s="2">
        <f t="shared" si="37"/>
        <v>100302</v>
      </c>
      <c r="AE59" s="2">
        <f t="shared" ref="AE59:AE90" si="61">VLOOKUP(J59,道具ID,2,FALSE)</f>
        <v>101</v>
      </c>
      <c r="AF59" s="2" t="str">
        <f t="shared" si="38"/>
        <v>chest_tankpart</v>
      </c>
      <c r="AG59" s="2" t="str">
        <f t="shared" si="39"/>
        <v>StoreQuikenItem_1</v>
      </c>
      <c r="AH59" s="2" t="str">
        <f t="shared" ref="AH59:AH90" si="62">VLOOKUP(J59,道具ID,3,FALSE)</f>
        <v>StoreDiamond_1</v>
      </c>
      <c r="AI59" s="2" t="str">
        <f t="shared" si="23"/>
        <v>[23203,100302,101]</v>
      </c>
      <c r="AJ59" s="2" t="str">
        <f t="shared" si="24"/>
        <v>[2,2,400]</v>
      </c>
      <c r="AK59" s="2" t="str">
        <f t="shared" si="25"/>
        <v>[chest_tankpart,StoreQuikenItem_1,StoreDiamond_1]</v>
      </c>
      <c r="AL59" s="2" t="str">
        <f t="shared" si="26"/>
        <v>3+2+部件礼包</v>
      </c>
      <c r="AM59" s="1" t="str">
        <f t="shared" si="40"/>
        <v>T1 Component</v>
      </c>
      <c r="AN59" s="1" t="str">
        <f t="shared" si="41"/>
        <v>1H_X3_Accelerater</v>
      </c>
      <c r="AO59" s="1" t="str">
        <f t="shared" ref="AO59:AO90" si="63">VLOOKUP(J59,道具ID,4,FALSE)</f>
        <v>Diamond</v>
      </c>
    </row>
    <row r="60" spans="2:41" x14ac:dyDescent="0.3">
      <c r="B60" s="2" t="s">
        <v>1812</v>
      </c>
      <c r="C60" s="2">
        <f>道具价值!J69</f>
        <v>400</v>
      </c>
      <c r="G60" s="2">
        <v>3</v>
      </c>
      <c r="H60" s="2" t="s">
        <v>2600</v>
      </c>
      <c r="I60" s="2" t="s">
        <v>519</v>
      </c>
      <c r="J60" s="2" t="s">
        <v>275</v>
      </c>
      <c r="K60" s="2" t="e">
        <f t="shared" si="50"/>
        <v>#REF!</v>
      </c>
      <c r="L60" s="2">
        <f t="shared" si="32"/>
        <v>0.75</v>
      </c>
      <c r="M60" s="2">
        <f t="shared" si="53"/>
        <v>3.9623576027736501E-3</v>
      </c>
      <c r="N60" s="2">
        <v>2</v>
      </c>
      <c r="O60" s="2" t="e">
        <f>N60*#REF!</f>
        <v>#REF!</v>
      </c>
      <c r="P60" s="2">
        <v>4</v>
      </c>
      <c r="Q60" s="2" t="e">
        <f t="shared" si="54"/>
        <v>#REF!</v>
      </c>
      <c r="R60" s="2">
        <v>2</v>
      </c>
      <c r="S60" s="2" t="e">
        <f t="shared" si="55"/>
        <v>#REF!</v>
      </c>
      <c r="T60" s="2" t="e">
        <f t="shared" si="56"/>
        <v>#REF!</v>
      </c>
      <c r="U60" s="2">
        <v>80</v>
      </c>
      <c r="V60" s="2">
        <f t="shared" si="57"/>
        <v>60</v>
      </c>
      <c r="W60" s="2" t="e">
        <f t="shared" si="58"/>
        <v>#REF!</v>
      </c>
      <c r="X60" s="2">
        <v>70000</v>
      </c>
      <c r="Y60" s="2" t="e">
        <f t="shared" si="59"/>
        <v>#REF!</v>
      </c>
      <c r="Z60" s="2" t="e">
        <f t="shared" si="60"/>
        <v>#REF!</v>
      </c>
      <c r="AA60" s="2" t="e">
        <f t="shared" si="51"/>
        <v>#REF!</v>
      </c>
      <c r="AB60" s="2" t="e">
        <f t="shared" si="52"/>
        <v>#REF!</v>
      </c>
      <c r="AC60" s="2">
        <f t="shared" si="36"/>
        <v>24203</v>
      </c>
      <c r="AD60" s="2">
        <f t="shared" si="37"/>
        <v>111</v>
      </c>
      <c r="AE60" s="2">
        <f t="shared" si="61"/>
        <v>102</v>
      </c>
      <c r="AF60" s="2" t="str">
        <f t="shared" si="38"/>
        <v>chest_shard</v>
      </c>
      <c r="AG60" s="2" t="str">
        <f t="shared" si="39"/>
        <v>StoreDoubleKey_1</v>
      </c>
      <c r="AH60" s="2" t="str">
        <f t="shared" si="62"/>
        <v>StoreFund_3</v>
      </c>
      <c r="AI60" s="2" t="str">
        <f t="shared" si="23"/>
        <v>[24203,111,102]</v>
      </c>
      <c r="AJ60" s="2" t="str">
        <f t="shared" si="24"/>
        <v>[2,80,70000]</v>
      </c>
      <c r="AK60" s="2" t="str">
        <f t="shared" si="25"/>
        <v>[chest_shard,StoreDoubleKey_1,StoreFund_3]</v>
      </c>
      <c r="AL60" s="2" t="str">
        <f t="shared" si="26"/>
        <v>3+2+碎片礼包</v>
      </c>
      <c r="AM60" s="1" t="str">
        <f t="shared" si="40"/>
        <v>T2 Senior Shard</v>
      </c>
      <c r="AN60" s="1" t="str">
        <f t="shared" si="41"/>
        <v>DoubleKeys</v>
      </c>
      <c r="AO60" s="1" t="str">
        <f t="shared" si="63"/>
        <v>Funds</v>
      </c>
    </row>
    <row r="61" spans="2:41" x14ac:dyDescent="0.3">
      <c r="B61" s="2" t="s">
        <v>1813</v>
      </c>
      <c r="C61" s="2">
        <f>道具价值!J70</f>
        <v>1265</v>
      </c>
      <c r="G61" s="2">
        <v>3</v>
      </c>
      <c r="H61" s="2" t="s">
        <v>2587</v>
      </c>
      <c r="I61" s="2" t="s">
        <v>587</v>
      </c>
      <c r="J61" s="2" t="s">
        <v>325</v>
      </c>
      <c r="K61" s="2" t="e">
        <f t="shared" si="50"/>
        <v>#REF!</v>
      </c>
      <c r="L61" s="2">
        <f t="shared" si="32"/>
        <v>60</v>
      </c>
      <c r="M61" s="2">
        <f t="shared" si="53"/>
        <v>1</v>
      </c>
      <c r="N61" s="2">
        <v>5</v>
      </c>
      <c r="O61" s="2" t="e">
        <f>N61*#REF!</f>
        <v>#REF!</v>
      </c>
      <c r="P61" s="2">
        <v>4</v>
      </c>
      <c r="Q61" s="2" t="e">
        <f t="shared" si="54"/>
        <v>#REF!</v>
      </c>
      <c r="R61" s="2">
        <v>3</v>
      </c>
      <c r="S61" s="2" t="e">
        <f t="shared" si="55"/>
        <v>#REF!</v>
      </c>
      <c r="T61" s="2" t="e">
        <f t="shared" si="56"/>
        <v>#REF!</v>
      </c>
      <c r="U61" s="2">
        <v>10</v>
      </c>
      <c r="V61" s="2">
        <f t="shared" si="57"/>
        <v>600</v>
      </c>
      <c r="W61" s="2" t="e">
        <f t="shared" si="58"/>
        <v>#REF!</v>
      </c>
      <c r="X61" s="2">
        <v>1000</v>
      </c>
      <c r="Y61" s="2" t="e">
        <f t="shared" si="59"/>
        <v>#REF!</v>
      </c>
      <c r="Z61" s="2" t="e">
        <f t="shared" si="60"/>
        <v>#REF!</v>
      </c>
      <c r="AA61" s="2" t="e">
        <f t="shared" si="51"/>
        <v>#REF!</v>
      </c>
      <c r="AB61" s="2" t="e">
        <f t="shared" si="52"/>
        <v>#REF!</v>
      </c>
      <c r="AC61" s="2">
        <f t="shared" si="36"/>
        <v>23203</v>
      </c>
      <c r="AD61" s="2">
        <f t="shared" si="37"/>
        <v>100302</v>
      </c>
      <c r="AE61" s="2">
        <f t="shared" si="61"/>
        <v>101</v>
      </c>
      <c r="AF61" s="2" t="str">
        <f t="shared" si="38"/>
        <v>chest_tankpart</v>
      </c>
      <c r="AG61" s="2" t="str">
        <f t="shared" si="39"/>
        <v>StoreQuikenItem_1</v>
      </c>
      <c r="AH61" s="2" t="str">
        <f t="shared" si="62"/>
        <v>StoreDiamond_1</v>
      </c>
      <c r="AI61" s="2" t="str">
        <f t="shared" si="23"/>
        <v>[23203,100302,101]</v>
      </c>
      <c r="AJ61" s="2" t="str">
        <f t="shared" si="24"/>
        <v>[3,10,1000]</v>
      </c>
      <c r="AK61" s="2" t="str">
        <f t="shared" si="25"/>
        <v>[chest_tankpart,StoreQuikenItem_1,StoreDiamond_1]</v>
      </c>
      <c r="AL61" s="2" t="str">
        <f t="shared" si="26"/>
        <v>3+5+部件礼包</v>
      </c>
      <c r="AM61" s="1" t="str">
        <f t="shared" si="40"/>
        <v>T1 Component</v>
      </c>
      <c r="AN61" s="1" t="str">
        <f t="shared" si="41"/>
        <v>1H_X3_Accelerater</v>
      </c>
      <c r="AO61" s="1" t="str">
        <f t="shared" si="63"/>
        <v>Diamond</v>
      </c>
    </row>
    <row r="62" spans="2:41" x14ac:dyDescent="0.3">
      <c r="B62" s="2" t="s">
        <v>519</v>
      </c>
      <c r="C62" s="2">
        <f>道具价值!S73</f>
        <v>0.75</v>
      </c>
      <c r="G62" s="2">
        <v>3</v>
      </c>
      <c r="H62" s="2" t="s">
        <v>2600</v>
      </c>
      <c r="I62" s="2" t="s">
        <v>519</v>
      </c>
      <c r="J62" s="2" t="s">
        <v>275</v>
      </c>
      <c r="K62" s="2" t="e">
        <f t="shared" si="50"/>
        <v>#REF!</v>
      </c>
      <c r="L62" s="2">
        <f t="shared" si="32"/>
        <v>0.75</v>
      </c>
      <c r="M62" s="2">
        <f t="shared" si="53"/>
        <v>3.9623576027736501E-3</v>
      </c>
      <c r="N62" s="2">
        <v>5</v>
      </c>
      <c r="O62" s="2" t="e">
        <f>N62*#REF!</f>
        <v>#REF!</v>
      </c>
      <c r="P62" s="2">
        <v>4</v>
      </c>
      <c r="Q62" s="2" t="e">
        <f t="shared" si="54"/>
        <v>#REF!</v>
      </c>
      <c r="R62" s="2">
        <v>7</v>
      </c>
      <c r="S62" s="2" t="e">
        <f t="shared" si="55"/>
        <v>#REF!</v>
      </c>
      <c r="T62" s="2" t="e">
        <f t="shared" si="56"/>
        <v>#REF!</v>
      </c>
      <c r="U62" s="2">
        <v>80</v>
      </c>
      <c r="V62" s="2">
        <f t="shared" si="57"/>
        <v>60</v>
      </c>
      <c r="W62" s="2" t="e">
        <f t="shared" si="58"/>
        <v>#REF!</v>
      </c>
      <c r="X62" s="2">
        <v>70000</v>
      </c>
      <c r="Y62" s="2" t="e">
        <f t="shared" si="59"/>
        <v>#REF!</v>
      </c>
      <c r="Z62" s="2" t="e">
        <f t="shared" si="60"/>
        <v>#REF!</v>
      </c>
      <c r="AA62" s="2" t="e">
        <f t="shared" si="51"/>
        <v>#REF!</v>
      </c>
      <c r="AB62" s="2" t="e">
        <f t="shared" si="52"/>
        <v>#REF!</v>
      </c>
      <c r="AC62" s="2">
        <f t="shared" si="36"/>
        <v>24203</v>
      </c>
      <c r="AD62" s="2">
        <f t="shared" si="37"/>
        <v>111</v>
      </c>
      <c r="AE62" s="2">
        <f t="shared" si="61"/>
        <v>102</v>
      </c>
      <c r="AF62" s="2" t="str">
        <f t="shared" si="38"/>
        <v>chest_shard</v>
      </c>
      <c r="AG62" s="2" t="str">
        <f t="shared" si="39"/>
        <v>StoreDoubleKey_1</v>
      </c>
      <c r="AH62" s="2" t="str">
        <f t="shared" si="62"/>
        <v>StoreFund_3</v>
      </c>
      <c r="AI62" s="2" t="str">
        <f t="shared" si="23"/>
        <v>[24203,111,102]</v>
      </c>
      <c r="AJ62" s="2" t="str">
        <f t="shared" si="24"/>
        <v>[7,80,70000]</v>
      </c>
      <c r="AK62" s="2" t="str">
        <f t="shared" si="25"/>
        <v>[chest_shard,StoreDoubleKey_1,StoreFund_3]</v>
      </c>
      <c r="AL62" s="2" t="str">
        <f t="shared" si="26"/>
        <v>3+5+碎片礼包</v>
      </c>
      <c r="AM62" s="1" t="str">
        <f t="shared" si="40"/>
        <v>T2 Senior Shard</v>
      </c>
      <c r="AN62" s="1" t="str">
        <f t="shared" si="41"/>
        <v>DoubleKeys</v>
      </c>
      <c r="AO62" s="1" t="str">
        <f t="shared" si="63"/>
        <v>Funds</v>
      </c>
    </row>
    <row r="63" spans="2:41" x14ac:dyDescent="0.3">
      <c r="B63" s="2" t="s">
        <v>325</v>
      </c>
      <c r="C63" s="2">
        <v>1</v>
      </c>
      <c r="G63" s="2">
        <v>3</v>
      </c>
      <c r="H63" s="2" t="s">
        <v>2587</v>
      </c>
      <c r="I63" s="2" t="s">
        <v>587</v>
      </c>
      <c r="J63" s="2" t="s">
        <v>325</v>
      </c>
      <c r="K63" s="2" t="e">
        <f t="shared" si="50"/>
        <v>#REF!</v>
      </c>
      <c r="L63" s="2">
        <f t="shared" si="32"/>
        <v>60</v>
      </c>
      <c r="M63" s="2">
        <f t="shared" si="53"/>
        <v>1</v>
      </c>
      <c r="N63" s="2">
        <v>10</v>
      </c>
      <c r="O63" s="2" t="e">
        <f>N63*#REF!</f>
        <v>#REF!</v>
      </c>
      <c r="P63" s="2">
        <v>4</v>
      </c>
      <c r="Q63" s="2" t="e">
        <f t="shared" si="54"/>
        <v>#REF!</v>
      </c>
      <c r="R63" s="2">
        <v>4</v>
      </c>
      <c r="S63" s="2" t="e">
        <f t="shared" si="55"/>
        <v>#REF!</v>
      </c>
      <c r="T63" s="2" t="e">
        <f t="shared" si="56"/>
        <v>#REF!</v>
      </c>
      <c r="U63" s="2">
        <v>15</v>
      </c>
      <c r="V63" s="2">
        <f t="shared" si="57"/>
        <v>900</v>
      </c>
      <c r="W63" s="2" t="e">
        <f t="shared" si="58"/>
        <v>#REF!</v>
      </c>
      <c r="X63" s="2">
        <v>2500</v>
      </c>
      <c r="Y63" s="2" t="e">
        <f t="shared" si="59"/>
        <v>#REF!</v>
      </c>
      <c r="Z63" s="2" t="e">
        <f t="shared" si="60"/>
        <v>#REF!</v>
      </c>
      <c r="AA63" s="2" t="e">
        <f t="shared" si="51"/>
        <v>#REF!</v>
      </c>
      <c r="AB63" s="2" t="e">
        <f t="shared" si="52"/>
        <v>#REF!</v>
      </c>
      <c r="AC63" s="2">
        <f t="shared" si="36"/>
        <v>23203</v>
      </c>
      <c r="AD63" s="2">
        <f t="shared" si="37"/>
        <v>100302</v>
      </c>
      <c r="AE63" s="2">
        <f t="shared" si="61"/>
        <v>101</v>
      </c>
      <c r="AF63" s="2" t="str">
        <f t="shared" si="38"/>
        <v>chest_tankpart</v>
      </c>
      <c r="AG63" s="2" t="str">
        <f t="shared" si="39"/>
        <v>StoreQuikenItem_1</v>
      </c>
      <c r="AH63" s="2" t="str">
        <f t="shared" si="62"/>
        <v>StoreDiamond_1</v>
      </c>
      <c r="AI63" s="2" t="str">
        <f t="shared" si="23"/>
        <v>[23203,100302,101]</v>
      </c>
      <c r="AJ63" s="2" t="str">
        <f t="shared" si="24"/>
        <v>[4,15,2500]</v>
      </c>
      <c r="AK63" s="2" t="str">
        <f t="shared" si="25"/>
        <v>[chest_tankpart,StoreQuikenItem_1,StoreDiamond_1]</v>
      </c>
      <c r="AL63" s="2" t="str">
        <f t="shared" si="26"/>
        <v>3+10+部件礼包</v>
      </c>
      <c r="AM63" s="1" t="str">
        <f t="shared" si="40"/>
        <v>T1 Component</v>
      </c>
      <c r="AN63" s="1" t="str">
        <f t="shared" si="41"/>
        <v>1H_X3_Accelerater</v>
      </c>
      <c r="AO63" s="1" t="str">
        <f t="shared" si="63"/>
        <v>Diamond</v>
      </c>
    </row>
    <row r="64" spans="2:41" x14ac:dyDescent="0.3">
      <c r="B64" s="2" t="s">
        <v>275</v>
      </c>
      <c r="C64" s="2">
        <f>1/道具价值!$Q$73</f>
        <v>3.9623576027736501E-3</v>
      </c>
      <c r="G64" s="2">
        <v>3</v>
      </c>
      <c r="H64" s="2" t="s">
        <v>2600</v>
      </c>
      <c r="I64" s="2" t="s">
        <v>519</v>
      </c>
      <c r="J64" s="2" t="s">
        <v>275</v>
      </c>
      <c r="K64" s="2" t="e">
        <f t="shared" si="50"/>
        <v>#REF!</v>
      </c>
      <c r="L64" s="2">
        <f t="shared" si="32"/>
        <v>0.75</v>
      </c>
      <c r="M64" s="2">
        <f t="shared" si="53"/>
        <v>3.9623576027736501E-3</v>
      </c>
      <c r="N64" s="2">
        <v>10</v>
      </c>
      <c r="O64" s="2" t="e">
        <f>N64*#REF!</f>
        <v>#REF!</v>
      </c>
      <c r="P64" s="2">
        <v>4</v>
      </c>
      <c r="Q64" s="2" t="e">
        <f t="shared" si="54"/>
        <v>#REF!</v>
      </c>
      <c r="R64" s="2">
        <v>15</v>
      </c>
      <c r="S64" s="2" t="e">
        <f t="shared" si="55"/>
        <v>#REF!</v>
      </c>
      <c r="T64" s="2" t="e">
        <f t="shared" si="56"/>
        <v>#REF!</v>
      </c>
      <c r="U64" s="2">
        <v>80</v>
      </c>
      <c r="V64" s="2">
        <f t="shared" si="57"/>
        <v>60</v>
      </c>
      <c r="W64" s="2" t="e">
        <f t="shared" si="58"/>
        <v>#REF!</v>
      </c>
      <c r="X64" s="2">
        <v>90000</v>
      </c>
      <c r="Y64" s="2" t="e">
        <f t="shared" si="59"/>
        <v>#REF!</v>
      </c>
      <c r="Z64" s="2" t="e">
        <f t="shared" si="60"/>
        <v>#REF!</v>
      </c>
      <c r="AA64" s="2" t="e">
        <f t="shared" si="51"/>
        <v>#REF!</v>
      </c>
      <c r="AB64" s="2" t="e">
        <f t="shared" si="52"/>
        <v>#REF!</v>
      </c>
      <c r="AC64" s="2">
        <f t="shared" si="36"/>
        <v>24203</v>
      </c>
      <c r="AD64" s="2">
        <f t="shared" si="37"/>
        <v>111</v>
      </c>
      <c r="AE64" s="2">
        <f t="shared" si="61"/>
        <v>102</v>
      </c>
      <c r="AF64" s="2" t="str">
        <f t="shared" si="38"/>
        <v>chest_shard</v>
      </c>
      <c r="AG64" s="2" t="str">
        <f t="shared" si="39"/>
        <v>StoreDoubleKey_1</v>
      </c>
      <c r="AH64" s="2" t="str">
        <f t="shared" si="62"/>
        <v>StoreFund_3</v>
      </c>
      <c r="AI64" s="2" t="str">
        <f t="shared" si="23"/>
        <v>[24203,111,102]</v>
      </c>
      <c r="AJ64" s="2" t="str">
        <f t="shared" si="24"/>
        <v>[15,80,90000]</v>
      </c>
      <c r="AK64" s="2" t="str">
        <f t="shared" si="25"/>
        <v>[chest_shard,StoreDoubleKey_1,StoreFund_3]</v>
      </c>
      <c r="AL64" s="2" t="str">
        <f t="shared" si="26"/>
        <v>3+10+碎片礼包</v>
      </c>
      <c r="AM64" s="1" t="str">
        <f t="shared" si="40"/>
        <v>T2 Senior Shard</v>
      </c>
      <c r="AN64" s="1" t="str">
        <f t="shared" si="41"/>
        <v>DoubleKeys</v>
      </c>
      <c r="AO64" s="1" t="str">
        <f t="shared" si="63"/>
        <v>Funds</v>
      </c>
    </row>
    <row r="65" spans="2:41" x14ac:dyDescent="0.3">
      <c r="B65" s="2" t="s">
        <v>2584</v>
      </c>
      <c r="C65" s="2" t="e">
        <f>L3</f>
        <v>#REF!</v>
      </c>
      <c r="G65" s="2">
        <v>3</v>
      </c>
      <c r="H65" s="2" t="s">
        <v>2587</v>
      </c>
      <c r="I65" s="2" t="s">
        <v>587</v>
      </c>
      <c r="J65" s="2" t="s">
        <v>325</v>
      </c>
      <c r="K65" s="2" t="e">
        <f t="shared" si="50"/>
        <v>#REF!</v>
      </c>
      <c r="L65" s="2">
        <f t="shared" si="32"/>
        <v>60</v>
      </c>
      <c r="M65" s="2">
        <f t="shared" si="53"/>
        <v>1</v>
      </c>
      <c r="N65" s="2">
        <v>2</v>
      </c>
      <c r="O65" s="2" t="e">
        <f>N65*#REF!</f>
        <v>#REF!</v>
      </c>
      <c r="P65" s="2">
        <v>3</v>
      </c>
      <c r="Q65" s="2" t="e">
        <f t="shared" ref="Q65:Q76" si="64">O65*P65</f>
        <v>#REF!</v>
      </c>
      <c r="R65" s="2">
        <v>1</v>
      </c>
      <c r="S65" s="2" t="e">
        <f t="shared" ref="S65:S76" si="65">R65*K65</f>
        <v>#REF!</v>
      </c>
      <c r="T65" s="2" t="e">
        <f t="shared" ref="T65:T76" si="66">S65/Q65</f>
        <v>#REF!</v>
      </c>
      <c r="U65" s="2">
        <v>5</v>
      </c>
      <c r="V65" s="2">
        <f t="shared" ref="V65:V76" si="67">U65*L65</f>
        <v>300</v>
      </c>
      <c r="W65" s="2" t="e">
        <f t="shared" ref="W65:W76" si="68">V65/Q65</f>
        <v>#REF!</v>
      </c>
      <c r="X65" s="2">
        <v>200</v>
      </c>
      <c r="Y65" s="2" t="e">
        <f t="shared" si="59"/>
        <v>#REF!</v>
      </c>
      <c r="Z65" s="2" t="e">
        <f t="shared" si="60"/>
        <v>#REF!</v>
      </c>
      <c r="AA65" s="2" t="e">
        <f t="shared" si="51"/>
        <v>#REF!</v>
      </c>
      <c r="AB65" s="2" t="e">
        <f t="shared" si="52"/>
        <v>#REF!</v>
      </c>
      <c r="AC65" s="2">
        <f t="shared" si="36"/>
        <v>23203</v>
      </c>
      <c r="AD65" s="2">
        <f t="shared" si="37"/>
        <v>100302</v>
      </c>
      <c r="AE65" s="2">
        <f t="shared" si="61"/>
        <v>101</v>
      </c>
      <c r="AF65" s="2" t="str">
        <f t="shared" si="38"/>
        <v>chest_tankpart</v>
      </c>
      <c r="AG65" s="2" t="str">
        <f t="shared" si="39"/>
        <v>StoreQuikenItem_1</v>
      </c>
      <c r="AH65" s="2" t="str">
        <f t="shared" si="62"/>
        <v>StoreDiamond_1</v>
      </c>
      <c r="AI65" s="2" t="str">
        <f t="shared" si="23"/>
        <v>[23203,100302,101]</v>
      </c>
      <c r="AJ65" s="2" t="str">
        <f t="shared" si="24"/>
        <v>[1,5,200]</v>
      </c>
      <c r="AK65" s="2" t="str">
        <f t="shared" si="25"/>
        <v>[chest_tankpart,StoreQuikenItem_1,StoreDiamond_1]</v>
      </c>
      <c r="AL65" s="2" t="str">
        <f t="shared" si="26"/>
        <v>3+2+部件礼包</v>
      </c>
      <c r="AM65" s="1" t="str">
        <f t="shared" si="40"/>
        <v>T1 Component</v>
      </c>
      <c r="AN65" s="1" t="str">
        <f t="shared" si="41"/>
        <v>1H_X3_Accelerater</v>
      </c>
      <c r="AO65" s="1" t="str">
        <f t="shared" si="63"/>
        <v>Diamond</v>
      </c>
    </row>
    <row r="66" spans="2:41" x14ac:dyDescent="0.3">
      <c r="B66" s="2" t="s">
        <v>2586</v>
      </c>
      <c r="C66" s="2" t="e">
        <f t="shared" ref="C66:C81" si="69">L4</f>
        <v>#REF!</v>
      </c>
      <c r="G66" s="2">
        <v>3</v>
      </c>
      <c r="H66" s="2" t="s">
        <v>2600</v>
      </c>
      <c r="I66" s="2" t="s">
        <v>519</v>
      </c>
      <c r="J66" s="2" t="s">
        <v>275</v>
      </c>
      <c r="K66" s="2" t="e">
        <f t="shared" si="50"/>
        <v>#REF!</v>
      </c>
      <c r="L66" s="2">
        <f t="shared" si="32"/>
        <v>0.75</v>
      </c>
      <c r="M66" s="2">
        <f t="shared" si="53"/>
        <v>3.9623576027736501E-3</v>
      </c>
      <c r="N66" s="2">
        <v>2</v>
      </c>
      <c r="O66" s="2" t="e">
        <f>N66*#REF!</f>
        <v>#REF!</v>
      </c>
      <c r="P66" s="2">
        <v>3</v>
      </c>
      <c r="Q66" s="2" t="e">
        <f t="shared" si="64"/>
        <v>#REF!</v>
      </c>
      <c r="R66" s="2">
        <v>2</v>
      </c>
      <c r="S66" s="2" t="e">
        <f t="shared" si="65"/>
        <v>#REF!</v>
      </c>
      <c r="T66" s="2" t="e">
        <f t="shared" si="66"/>
        <v>#REF!</v>
      </c>
      <c r="U66" s="2">
        <v>50</v>
      </c>
      <c r="V66" s="2">
        <f t="shared" si="67"/>
        <v>37.5</v>
      </c>
      <c r="W66" s="2" t="e">
        <f t="shared" si="68"/>
        <v>#REF!</v>
      </c>
      <c r="X66" s="2">
        <v>20000</v>
      </c>
      <c r="Y66" s="2" t="e">
        <f t="shared" si="59"/>
        <v>#REF!</v>
      </c>
      <c r="Z66" s="2" t="e">
        <f t="shared" si="60"/>
        <v>#REF!</v>
      </c>
      <c r="AA66" s="2" t="e">
        <f t="shared" si="51"/>
        <v>#REF!</v>
      </c>
      <c r="AB66" s="2" t="e">
        <f t="shared" si="52"/>
        <v>#REF!</v>
      </c>
      <c r="AC66" s="2">
        <f t="shared" si="36"/>
        <v>24203</v>
      </c>
      <c r="AD66" s="2">
        <f t="shared" si="37"/>
        <v>111</v>
      </c>
      <c r="AE66" s="2">
        <f t="shared" si="61"/>
        <v>102</v>
      </c>
      <c r="AF66" s="2" t="str">
        <f t="shared" si="38"/>
        <v>chest_shard</v>
      </c>
      <c r="AG66" s="2" t="str">
        <f t="shared" si="39"/>
        <v>StoreDoubleKey_1</v>
      </c>
      <c r="AH66" s="2" t="str">
        <f t="shared" si="62"/>
        <v>StoreFund_3</v>
      </c>
      <c r="AI66" s="2" t="str">
        <f t="shared" si="23"/>
        <v>[24203,111,102]</v>
      </c>
      <c r="AJ66" s="2" t="str">
        <f t="shared" si="24"/>
        <v>[2,50,20000]</v>
      </c>
      <c r="AK66" s="2" t="str">
        <f t="shared" si="25"/>
        <v>[chest_shard,StoreDoubleKey_1,StoreFund_3]</v>
      </c>
      <c r="AL66" s="2" t="str">
        <f t="shared" si="26"/>
        <v>3+2+碎片礼包</v>
      </c>
      <c r="AM66" s="1" t="str">
        <f t="shared" si="40"/>
        <v>T2 Senior Shard</v>
      </c>
      <c r="AN66" s="1" t="str">
        <f t="shared" si="41"/>
        <v>DoubleKeys</v>
      </c>
      <c r="AO66" s="1" t="str">
        <f t="shared" si="63"/>
        <v>Funds</v>
      </c>
    </row>
    <row r="67" spans="2:41" x14ac:dyDescent="0.3">
      <c r="B67" s="2" t="s">
        <v>2587</v>
      </c>
      <c r="C67" s="2" t="e">
        <f t="shared" si="69"/>
        <v>#REF!</v>
      </c>
      <c r="G67" s="2">
        <v>3</v>
      </c>
      <c r="H67" s="2" t="s">
        <v>2587</v>
      </c>
      <c r="I67" s="2" t="s">
        <v>587</v>
      </c>
      <c r="J67" s="2" t="s">
        <v>325</v>
      </c>
      <c r="K67" s="2" t="e">
        <f t="shared" si="50"/>
        <v>#REF!</v>
      </c>
      <c r="L67" s="2">
        <f t="shared" si="32"/>
        <v>60</v>
      </c>
      <c r="M67" s="2">
        <f t="shared" si="53"/>
        <v>1</v>
      </c>
      <c r="N67" s="2">
        <v>5</v>
      </c>
      <c r="O67" s="2" t="e">
        <f>N67*#REF!</f>
        <v>#REF!</v>
      </c>
      <c r="P67" s="2">
        <v>3</v>
      </c>
      <c r="Q67" s="2" t="e">
        <f t="shared" si="64"/>
        <v>#REF!</v>
      </c>
      <c r="R67" s="2">
        <v>2</v>
      </c>
      <c r="S67" s="2" t="e">
        <f t="shared" si="65"/>
        <v>#REF!</v>
      </c>
      <c r="T67" s="2" t="e">
        <f t="shared" si="66"/>
        <v>#REF!</v>
      </c>
      <c r="U67" s="2">
        <v>5</v>
      </c>
      <c r="V67" s="2">
        <f t="shared" si="67"/>
        <v>300</v>
      </c>
      <c r="W67" s="2" t="e">
        <f t="shared" si="68"/>
        <v>#REF!</v>
      </c>
      <c r="X67" s="2">
        <v>900</v>
      </c>
      <c r="Y67" s="2" t="e">
        <f t="shared" si="59"/>
        <v>#REF!</v>
      </c>
      <c r="Z67" s="2" t="e">
        <f t="shared" si="60"/>
        <v>#REF!</v>
      </c>
      <c r="AA67" s="2" t="e">
        <f t="shared" si="51"/>
        <v>#REF!</v>
      </c>
      <c r="AB67" s="2" t="e">
        <f t="shared" si="52"/>
        <v>#REF!</v>
      </c>
      <c r="AC67" s="2">
        <f t="shared" si="36"/>
        <v>23203</v>
      </c>
      <c r="AD67" s="2">
        <f t="shared" si="37"/>
        <v>100302</v>
      </c>
      <c r="AE67" s="2">
        <f t="shared" si="61"/>
        <v>101</v>
      </c>
      <c r="AF67" s="2" t="str">
        <f t="shared" si="38"/>
        <v>chest_tankpart</v>
      </c>
      <c r="AG67" s="2" t="str">
        <f t="shared" si="39"/>
        <v>StoreQuikenItem_1</v>
      </c>
      <c r="AH67" s="2" t="str">
        <f t="shared" si="62"/>
        <v>StoreDiamond_1</v>
      </c>
      <c r="AI67" s="2" t="str">
        <f t="shared" si="23"/>
        <v>[23203,100302,101]</v>
      </c>
      <c r="AJ67" s="2" t="str">
        <f t="shared" si="24"/>
        <v>[2,5,900]</v>
      </c>
      <c r="AK67" s="2" t="str">
        <f t="shared" si="25"/>
        <v>[chest_tankpart,StoreQuikenItem_1,StoreDiamond_1]</v>
      </c>
      <c r="AL67" s="2" t="str">
        <f t="shared" si="26"/>
        <v>3+5+部件礼包</v>
      </c>
      <c r="AM67" s="1" t="str">
        <f t="shared" si="40"/>
        <v>T1 Component</v>
      </c>
      <c r="AN67" s="1" t="str">
        <f t="shared" si="41"/>
        <v>1H_X3_Accelerater</v>
      </c>
      <c r="AO67" s="1" t="str">
        <f t="shared" si="63"/>
        <v>Diamond</v>
      </c>
    </row>
    <row r="68" spans="2:41" x14ac:dyDescent="0.3">
      <c r="B68" s="2" t="s">
        <v>2588</v>
      </c>
      <c r="C68" s="2" t="e">
        <f t="shared" si="69"/>
        <v>#REF!</v>
      </c>
      <c r="G68" s="2">
        <v>3</v>
      </c>
      <c r="H68" s="2" t="s">
        <v>2600</v>
      </c>
      <c r="I68" s="2" t="s">
        <v>519</v>
      </c>
      <c r="J68" s="2" t="s">
        <v>275</v>
      </c>
      <c r="K68" s="2" t="e">
        <f t="shared" si="50"/>
        <v>#REF!</v>
      </c>
      <c r="L68" s="2">
        <f t="shared" si="32"/>
        <v>0.75</v>
      </c>
      <c r="M68" s="2">
        <f t="shared" si="53"/>
        <v>3.9623576027736501E-3</v>
      </c>
      <c r="N68" s="2">
        <v>5</v>
      </c>
      <c r="O68" s="2" t="e">
        <f>N68*#REF!</f>
        <v>#REF!</v>
      </c>
      <c r="P68" s="2">
        <v>3</v>
      </c>
      <c r="Q68" s="2" t="e">
        <f t="shared" si="64"/>
        <v>#REF!</v>
      </c>
      <c r="R68" s="2">
        <v>6</v>
      </c>
      <c r="S68" s="2" t="e">
        <f t="shared" si="65"/>
        <v>#REF!</v>
      </c>
      <c r="T68" s="2" t="e">
        <f t="shared" si="66"/>
        <v>#REF!</v>
      </c>
      <c r="U68" s="2">
        <v>50</v>
      </c>
      <c r="V68" s="2">
        <f t="shared" si="67"/>
        <v>37.5</v>
      </c>
      <c r="W68" s="2" t="e">
        <f t="shared" si="68"/>
        <v>#REF!</v>
      </c>
      <c r="X68" s="2">
        <v>10000</v>
      </c>
      <c r="Y68" s="2" t="e">
        <f t="shared" si="59"/>
        <v>#REF!</v>
      </c>
      <c r="Z68" s="2" t="e">
        <f t="shared" si="60"/>
        <v>#REF!</v>
      </c>
      <c r="AA68" s="2" t="e">
        <f t="shared" si="51"/>
        <v>#REF!</v>
      </c>
      <c r="AB68" s="2" t="e">
        <f t="shared" si="52"/>
        <v>#REF!</v>
      </c>
      <c r="AC68" s="2">
        <f t="shared" si="36"/>
        <v>24203</v>
      </c>
      <c r="AD68" s="2">
        <f t="shared" si="37"/>
        <v>111</v>
      </c>
      <c r="AE68" s="2">
        <f t="shared" si="61"/>
        <v>102</v>
      </c>
      <c r="AF68" s="2" t="str">
        <f t="shared" si="38"/>
        <v>chest_shard</v>
      </c>
      <c r="AG68" s="2" t="str">
        <f t="shared" si="39"/>
        <v>StoreDoubleKey_1</v>
      </c>
      <c r="AH68" s="2" t="str">
        <f t="shared" si="62"/>
        <v>StoreFund_3</v>
      </c>
      <c r="AI68" s="2" t="str">
        <f t="shared" si="23"/>
        <v>[24203,111,102]</v>
      </c>
      <c r="AJ68" s="2" t="str">
        <f t="shared" si="24"/>
        <v>[6,50,10000]</v>
      </c>
      <c r="AK68" s="2" t="str">
        <f t="shared" si="25"/>
        <v>[chest_shard,StoreDoubleKey_1,StoreFund_3]</v>
      </c>
      <c r="AL68" s="2" t="str">
        <f t="shared" si="26"/>
        <v>3+5+碎片礼包</v>
      </c>
      <c r="AM68" s="1" t="str">
        <f t="shared" si="40"/>
        <v>T2 Senior Shard</v>
      </c>
      <c r="AN68" s="1" t="str">
        <f t="shared" si="41"/>
        <v>DoubleKeys</v>
      </c>
      <c r="AO68" s="1" t="str">
        <f t="shared" si="63"/>
        <v>Funds</v>
      </c>
    </row>
    <row r="69" spans="2:41" x14ac:dyDescent="0.3">
      <c r="B69" s="2" t="s">
        <v>2590</v>
      </c>
      <c r="C69" s="2" t="e">
        <f t="shared" si="69"/>
        <v>#REF!</v>
      </c>
      <c r="G69" s="2">
        <v>3</v>
      </c>
      <c r="H69" s="2" t="s">
        <v>2587</v>
      </c>
      <c r="I69" s="2" t="s">
        <v>587</v>
      </c>
      <c r="J69" s="2" t="s">
        <v>325</v>
      </c>
      <c r="K69" s="2" t="e">
        <f t="shared" si="50"/>
        <v>#REF!</v>
      </c>
      <c r="L69" s="2">
        <f t="shared" si="32"/>
        <v>60</v>
      </c>
      <c r="M69" s="2">
        <f t="shared" si="53"/>
        <v>1</v>
      </c>
      <c r="N69" s="2">
        <v>10</v>
      </c>
      <c r="O69" s="2" t="e">
        <f>N69*#REF!</f>
        <v>#REF!</v>
      </c>
      <c r="P69" s="2">
        <v>3</v>
      </c>
      <c r="Q69" s="2" t="e">
        <f t="shared" si="64"/>
        <v>#REF!</v>
      </c>
      <c r="R69" s="2">
        <v>3</v>
      </c>
      <c r="S69" s="2" t="e">
        <f t="shared" si="65"/>
        <v>#REF!</v>
      </c>
      <c r="T69" s="2" t="e">
        <f t="shared" si="66"/>
        <v>#REF!</v>
      </c>
      <c r="U69" s="2">
        <v>10</v>
      </c>
      <c r="V69" s="2">
        <f t="shared" si="67"/>
        <v>600</v>
      </c>
      <c r="W69" s="2" t="e">
        <f t="shared" si="68"/>
        <v>#REF!</v>
      </c>
      <c r="X69" s="2">
        <v>2000</v>
      </c>
      <c r="Y69" s="2" t="e">
        <f t="shared" si="59"/>
        <v>#REF!</v>
      </c>
      <c r="Z69" s="2" t="e">
        <f t="shared" si="60"/>
        <v>#REF!</v>
      </c>
      <c r="AA69" s="2" t="e">
        <f t="shared" si="51"/>
        <v>#REF!</v>
      </c>
      <c r="AB69" s="2" t="e">
        <f t="shared" si="52"/>
        <v>#REF!</v>
      </c>
      <c r="AC69" s="2">
        <f t="shared" si="36"/>
        <v>23203</v>
      </c>
      <c r="AD69" s="2">
        <f t="shared" si="37"/>
        <v>100302</v>
      </c>
      <c r="AE69" s="2">
        <f t="shared" si="61"/>
        <v>101</v>
      </c>
      <c r="AF69" s="2" t="str">
        <f t="shared" si="38"/>
        <v>chest_tankpart</v>
      </c>
      <c r="AG69" s="2" t="str">
        <f t="shared" si="39"/>
        <v>StoreQuikenItem_1</v>
      </c>
      <c r="AH69" s="2" t="str">
        <f t="shared" si="62"/>
        <v>StoreDiamond_1</v>
      </c>
      <c r="AI69" s="2" t="str">
        <f t="shared" si="23"/>
        <v>[23203,100302,101]</v>
      </c>
      <c r="AJ69" s="2" t="str">
        <f t="shared" si="24"/>
        <v>[3,10,2000]</v>
      </c>
      <c r="AK69" s="2" t="str">
        <f t="shared" si="25"/>
        <v>[chest_tankpart,StoreQuikenItem_1,StoreDiamond_1]</v>
      </c>
      <c r="AL69" s="2" t="str">
        <f t="shared" si="26"/>
        <v>3+10+部件礼包</v>
      </c>
      <c r="AM69" s="1" t="str">
        <f t="shared" si="40"/>
        <v>T1 Component</v>
      </c>
      <c r="AN69" s="1" t="str">
        <f t="shared" si="41"/>
        <v>1H_X3_Accelerater</v>
      </c>
      <c r="AO69" s="1" t="str">
        <f t="shared" si="63"/>
        <v>Diamond</v>
      </c>
    </row>
    <row r="70" spans="2:41" x14ac:dyDescent="0.3">
      <c r="B70" s="2" t="s">
        <v>2591</v>
      </c>
      <c r="C70" s="2" t="e">
        <f t="shared" si="69"/>
        <v>#REF!</v>
      </c>
      <c r="G70" s="2">
        <v>3</v>
      </c>
      <c r="H70" s="2" t="s">
        <v>2600</v>
      </c>
      <c r="I70" s="2" t="s">
        <v>519</v>
      </c>
      <c r="J70" s="2" t="s">
        <v>275</v>
      </c>
      <c r="K70" s="2" t="e">
        <f t="shared" si="50"/>
        <v>#REF!</v>
      </c>
      <c r="L70" s="2">
        <f t="shared" si="32"/>
        <v>0.75</v>
      </c>
      <c r="M70" s="2">
        <f t="shared" si="53"/>
        <v>3.9623576027736501E-3</v>
      </c>
      <c r="N70" s="2">
        <v>10</v>
      </c>
      <c r="O70" s="2" t="e">
        <f>N70*#REF!</f>
        <v>#REF!</v>
      </c>
      <c r="P70" s="2">
        <v>3</v>
      </c>
      <c r="Q70" s="2" t="e">
        <f t="shared" si="64"/>
        <v>#REF!</v>
      </c>
      <c r="R70" s="2">
        <v>12</v>
      </c>
      <c r="S70" s="2" t="e">
        <f t="shared" si="65"/>
        <v>#REF!</v>
      </c>
      <c r="T70" s="2" t="e">
        <f t="shared" si="66"/>
        <v>#REF!</v>
      </c>
      <c r="U70" s="2">
        <v>80</v>
      </c>
      <c r="V70" s="2">
        <f t="shared" si="67"/>
        <v>60</v>
      </c>
      <c r="W70" s="2" t="e">
        <f t="shared" si="68"/>
        <v>#REF!</v>
      </c>
      <c r="X70" s="2">
        <v>20000</v>
      </c>
      <c r="Y70" s="2" t="e">
        <f t="shared" si="59"/>
        <v>#REF!</v>
      </c>
      <c r="Z70" s="2" t="e">
        <f t="shared" si="60"/>
        <v>#REF!</v>
      </c>
      <c r="AA70" s="2" t="e">
        <f t="shared" si="51"/>
        <v>#REF!</v>
      </c>
      <c r="AB70" s="2" t="e">
        <f t="shared" si="52"/>
        <v>#REF!</v>
      </c>
      <c r="AC70" s="2">
        <f t="shared" si="36"/>
        <v>24203</v>
      </c>
      <c r="AD70" s="2">
        <f t="shared" si="37"/>
        <v>111</v>
      </c>
      <c r="AE70" s="2">
        <f t="shared" si="61"/>
        <v>102</v>
      </c>
      <c r="AF70" s="2" t="str">
        <f t="shared" si="38"/>
        <v>chest_shard</v>
      </c>
      <c r="AG70" s="2" t="str">
        <f t="shared" si="39"/>
        <v>StoreDoubleKey_1</v>
      </c>
      <c r="AH70" s="2" t="str">
        <f t="shared" si="62"/>
        <v>StoreFund_3</v>
      </c>
      <c r="AI70" s="2" t="str">
        <f t="shared" si="23"/>
        <v>[24203,111,102]</v>
      </c>
      <c r="AJ70" s="2" t="str">
        <f t="shared" si="24"/>
        <v>[12,80,20000]</v>
      </c>
      <c r="AK70" s="2" t="str">
        <f t="shared" si="25"/>
        <v>[chest_shard,StoreDoubleKey_1,StoreFund_3]</v>
      </c>
      <c r="AL70" s="2" t="str">
        <f t="shared" si="26"/>
        <v>3+10+碎片礼包</v>
      </c>
      <c r="AM70" s="1" t="str">
        <f t="shared" si="40"/>
        <v>T2 Senior Shard</v>
      </c>
      <c r="AN70" s="1" t="str">
        <f t="shared" si="41"/>
        <v>DoubleKeys</v>
      </c>
      <c r="AO70" s="1" t="str">
        <f t="shared" si="63"/>
        <v>Funds</v>
      </c>
    </row>
    <row r="71" spans="2:41" x14ac:dyDescent="0.3">
      <c r="B71" s="2" t="s">
        <v>2592</v>
      </c>
      <c r="C71" s="2" t="e">
        <f t="shared" si="69"/>
        <v>#REF!</v>
      </c>
      <c r="G71" s="2">
        <v>3</v>
      </c>
      <c r="H71" s="2" t="s">
        <v>2586</v>
      </c>
      <c r="I71" s="2" t="s">
        <v>587</v>
      </c>
      <c r="J71" s="2" t="s">
        <v>325</v>
      </c>
      <c r="K71" s="2" t="e">
        <f t="shared" si="50"/>
        <v>#REF!</v>
      </c>
      <c r="L71" s="2">
        <f t="shared" si="32"/>
        <v>60</v>
      </c>
      <c r="M71" s="2">
        <f t="shared" si="53"/>
        <v>1</v>
      </c>
      <c r="N71" s="2">
        <v>2</v>
      </c>
      <c r="O71" s="2" t="e">
        <f>N71*#REF!</f>
        <v>#REF!</v>
      </c>
      <c r="P71" s="2">
        <v>2</v>
      </c>
      <c r="Q71" s="2" t="e">
        <f t="shared" si="64"/>
        <v>#REF!</v>
      </c>
      <c r="R71" s="2">
        <v>1</v>
      </c>
      <c r="S71" s="2" t="e">
        <f t="shared" si="65"/>
        <v>#REF!</v>
      </c>
      <c r="T71" s="2" t="e">
        <f t="shared" si="66"/>
        <v>#REF!</v>
      </c>
      <c r="U71" s="2">
        <v>1</v>
      </c>
      <c r="V71" s="2">
        <f t="shared" si="67"/>
        <v>60</v>
      </c>
      <c r="W71" s="2" t="e">
        <f t="shared" si="68"/>
        <v>#REF!</v>
      </c>
      <c r="X71" s="2">
        <v>200</v>
      </c>
      <c r="Y71" s="2" t="e">
        <f t="shared" si="59"/>
        <v>#REF!</v>
      </c>
      <c r="Z71" s="2" t="e">
        <f t="shared" si="60"/>
        <v>#REF!</v>
      </c>
      <c r="AA71" s="2" t="e">
        <f t="shared" si="51"/>
        <v>#REF!</v>
      </c>
      <c r="AB71" s="2" t="e">
        <f t="shared" si="52"/>
        <v>#REF!</v>
      </c>
      <c r="AC71" s="2">
        <f t="shared" si="36"/>
        <v>23202</v>
      </c>
      <c r="AD71" s="2">
        <f t="shared" si="37"/>
        <v>100302</v>
      </c>
      <c r="AE71" s="2">
        <f t="shared" si="61"/>
        <v>101</v>
      </c>
      <c r="AF71" s="2" t="str">
        <f t="shared" si="38"/>
        <v>chest_tankpart</v>
      </c>
      <c r="AG71" s="2" t="str">
        <f t="shared" si="39"/>
        <v>StoreQuikenItem_1</v>
      </c>
      <c r="AH71" s="2" t="str">
        <f t="shared" si="62"/>
        <v>StoreDiamond_1</v>
      </c>
      <c r="AI71" s="2" t="str">
        <f t="shared" si="23"/>
        <v>[23202,100302,101]</v>
      </c>
      <c r="AJ71" s="2" t="str">
        <f t="shared" si="24"/>
        <v>[1,1,200]</v>
      </c>
      <c r="AK71" s="2" t="str">
        <f t="shared" si="25"/>
        <v>[chest_tankpart,StoreQuikenItem_1,StoreDiamond_1]</v>
      </c>
      <c r="AL71" s="2" t="str">
        <f t="shared" si="26"/>
        <v>3+2+部件礼包</v>
      </c>
      <c r="AM71" s="1" t="str">
        <f t="shared" si="40"/>
        <v>T1 Component</v>
      </c>
      <c r="AN71" s="1" t="str">
        <f t="shared" si="41"/>
        <v>1H_X3_Accelerater</v>
      </c>
      <c r="AO71" s="1" t="str">
        <f t="shared" si="63"/>
        <v>Diamond</v>
      </c>
    </row>
    <row r="72" spans="2:41" x14ac:dyDescent="0.3">
      <c r="B72" s="2" t="s">
        <v>2594</v>
      </c>
      <c r="C72" s="2" t="e">
        <f t="shared" si="69"/>
        <v>#REF!</v>
      </c>
      <c r="G72" s="2">
        <v>3</v>
      </c>
      <c r="H72" s="2" t="s">
        <v>2600</v>
      </c>
      <c r="I72" s="2" t="s">
        <v>519</v>
      </c>
      <c r="J72" s="2" t="s">
        <v>275</v>
      </c>
      <c r="K72" s="2" t="e">
        <f t="shared" si="50"/>
        <v>#REF!</v>
      </c>
      <c r="L72" s="2">
        <f t="shared" si="32"/>
        <v>0.75</v>
      </c>
      <c r="M72" s="2">
        <f t="shared" si="53"/>
        <v>3.9623576027736501E-3</v>
      </c>
      <c r="N72" s="2">
        <v>2</v>
      </c>
      <c r="O72" s="2" t="e">
        <f>N72*#REF!</f>
        <v>#REF!</v>
      </c>
      <c r="P72" s="2">
        <v>2</v>
      </c>
      <c r="Q72" s="2" t="e">
        <f t="shared" si="64"/>
        <v>#REF!</v>
      </c>
      <c r="R72" s="2">
        <v>1</v>
      </c>
      <c r="S72" s="2" t="e">
        <f t="shared" si="65"/>
        <v>#REF!</v>
      </c>
      <c r="T72" s="2" t="e">
        <f t="shared" si="66"/>
        <v>#REF!</v>
      </c>
      <c r="U72" s="2">
        <v>20</v>
      </c>
      <c r="V72" s="2">
        <f t="shared" si="67"/>
        <v>15</v>
      </c>
      <c r="W72" s="2" t="e">
        <f t="shared" si="68"/>
        <v>#REF!</v>
      </c>
      <c r="X72" s="2">
        <v>40000</v>
      </c>
      <c r="Y72" s="2" t="e">
        <f t="shared" si="59"/>
        <v>#REF!</v>
      </c>
      <c r="Z72" s="2" t="e">
        <f t="shared" si="60"/>
        <v>#REF!</v>
      </c>
      <c r="AA72" s="2" t="e">
        <f t="shared" si="51"/>
        <v>#REF!</v>
      </c>
      <c r="AB72" s="2" t="e">
        <f t="shared" si="52"/>
        <v>#REF!</v>
      </c>
      <c r="AC72" s="2">
        <f t="shared" si="36"/>
        <v>24203</v>
      </c>
      <c r="AD72" s="2">
        <f t="shared" si="37"/>
        <v>111</v>
      </c>
      <c r="AE72" s="2">
        <f t="shared" si="61"/>
        <v>102</v>
      </c>
      <c r="AF72" s="2" t="str">
        <f t="shared" si="38"/>
        <v>chest_shard</v>
      </c>
      <c r="AG72" s="2" t="str">
        <f t="shared" si="39"/>
        <v>StoreDoubleKey_1</v>
      </c>
      <c r="AH72" s="2" t="str">
        <f t="shared" si="62"/>
        <v>StoreFund_3</v>
      </c>
      <c r="AI72" s="2" t="str">
        <f t="shared" si="23"/>
        <v>[24203,111,102]</v>
      </c>
      <c r="AJ72" s="2" t="str">
        <f t="shared" si="24"/>
        <v>[1,20,40000]</v>
      </c>
      <c r="AK72" s="2" t="str">
        <f t="shared" si="25"/>
        <v>[chest_shard,StoreDoubleKey_1,StoreFund_3]</v>
      </c>
      <c r="AL72" s="2" t="str">
        <f t="shared" si="26"/>
        <v>3+2+碎片礼包</v>
      </c>
      <c r="AM72" s="1" t="str">
        <f t="shared" si="40"/>
        <v>T2 Senior Shard</v>
      </c>
      <c r="AN72" s="1" t="str">
        <f t="shared" si="41"/>
        <v>DoubleKeys</v>
      </c>
      <c r="AO72" s="1" t="str">
        <f t="shared" si="63"/>
        <v>Funds</v>
      </c>
    </row>
    <row r="73" spans="2:41" x14ac:dyDescent="0.3">
      <c r="B73" s="2" t="s">
        <v>2595</v>
      </c>
      <c r="C73" s="2" t="e">
        <f t="shared" si="69"/>
        <v>#REF!</v>
      </c>
      <c r="G73" s="2">
        <v>3</v>
      </c>
      <c r="H73" s="2" t="s">
        <v>2587</v>
      </c>
      <c r="I73" s="2" t="s">
        <v>587</v>
      </c>
      <c r="J73" s="2" t="s">
        <v>325</v>
      </c>
      <c r="K73" s="2" t="e">
        <f t="shared" si="50"/>
        <v>#REF!</v>
      </c>
      <c r="L73" s="2">
        <f t="shared" ref="L73:L104" si="70">VLOOKUP(I73,$B$40:$C$81,2,FALSE)</f>
        <v>60</v>
      </c>
      <c r="M73" s="2">
        <f t="shared" si="53"/>
        <v>1</v>
      </c>
      <c r="N73" s="2">
        <v>5</v>
      </c>
      <c r="O73" s="2" t="e">
        <f>N73*#REF!</f>
        <v>#REF!</v>
      </c>
      <c r="P73" s="2">
        <v>2</v>
      </c>
      <c r="Q73" s="2" t="e">
        <f t="shared" si="64"/>
        <v>#REF!</v>
      </c>
      <c r="R73" s="2">
        <v>2</v>
      </c>
      <c r="S73" s="2" t="e">
        <f t="shared" si="65"/>
        <v>#REF!</v>
      </c>
      <c r="T73" s="2" t="e">
        <f t="shared" si="66"/>
        <v>#REF!</v>
      </c>
      <c r="U73" s="2">
        <v>5</v>
      </c>
      <c r="V73" s="2">
        <f t="shared" si="67"/>
        <v>300</v>
      </c>
      <c r="W73" s="2" t="e">
        <f t="shared" si="68"/>
        <v>#REF!</v>
      </c>
      <c r="X73" s="2">
        <v>400</v>
      </c>
      <c r="Y73" s="2" t="e">
        <f t="shared" si="59"/>
        <v>#REF!</v>
      </c>
      <c r="Z73" s="2" t="e">
        <f t="shared" si="60"/>
        <v>#REF!</v>
      </c>
      <c r="AA73" s="2" t="e">
        <f t="shared" si="51"/>
        <v>#REF!</v>
      </c>
      <c r="AB73" s="2" t="e">
        <f t="shared" si="52"/>
        <v>#REF!</v>
      </c>
      <c r="AC73" s="2">
        <f t="shared" ref="AC73:AC104" si="71">VLOOKUP(H73,道具ID,2,FALSE)</f>
        <v>23203</v>
      </c>
      <c r="AD73" s="2">
        <f t="shared" ref="AD73:AD104" si="72">VLOOKUP(I73,道具ID,2,FALSE)</f>
        <v>100302</v>
      </c>
      <c r="AE73" s="2">
        <f t="shared" si="61"/>
        <v>101</v>
      </c>
      <c r="AF73" s="2" t="str">
        <f t="shared" ref="AF73:AF104" si="73">VLOOKUP(H73,道具ID,3,FALSE)</f>
        <v>chest_tankpart</v>
      </c>
      <c r="AG73" s="2" t="str">
        <f t="shared" ref="AG73:AG104" si="74">VLOOKUP(I73,道具ID,3,FALSE)</f>
        <v>StoreQuikenItem_1</v>
      </c>
      <c r="AH73" s="2" t="str">
        <f t="shared" si="62"/>
        <v>StoreDiamond_1</v>
      </c>
      <c r="AI73" s="2" t="str">
        <f t="shared" si="23"/>
        <v>[23203,100302,101]</v>
      </c>
      <c r="AJ73" s="2" t="str">
        <f t="shared" si="24"/>
        <v>[2,5,400]</v>
      </c>
      <c r="AK73" s="2" t="str">
        <f t="shared" si="25"/>
        <v>[chest_tankpart,StoreQuikenItem_1,StoreDiamond_1]</v>
      </c>
      <c r="AL73" s="2" t="str">
        <f t="shared" si="26"/>
        <v>3+5+部件礼包</v>
      </c>
      <c r="AM73" s="1" t="str">
        <f t="shared" ref="AM73:AM104" si="75">VLOOKUP(H73,道具ID,4,FALSE)</f>
        <v>T1 Component</v>
      </c>
      <c r="AN73" s="1" t="str">
        <f t="shared" ref="AN73:AN104" si="76">VLOOKUP(I73,道具ID,4,FALSE)</f>
        <v>1H_X3_Accelerater</v>
      </c>
      <c r="AO73" s="1" t="str">
        <f t="shared" si="63"/>
        <v>Diamond</v>
      </c>
    </row>
    <row r="74" spans="2:41" x14ac:dyDescent="0.3">
      <c r="B74" s="2" t="s">
        <v>2596</v>
      </c>
      <c r="C74" s="2" t="e">
        <f t="shared" si="69"/>
        <v>#REF!</v>
      </c>
      <c r="G74" s="2">
        <v>3</v>
      </c>
      <c r="H74" s="2" t="s">
        <v>2600</v>
      </c>
      <c r="I74" s="2" t="s">
        <v>519</v>
      </c>
      <c r="J74" s="2" t="s">
        <v>275</v>
      </c>
      <c r="K74" s="2" t="e">
        <f t="shared" si="50"/>
        <v>#REF!</v>
      </c>
      <c r="L74" s="2">
        <f t="shared" si="70"/>
        <v>0.75</v>
      </c>
      <c r="M74" s="2">
        <f t="shared" si="53"/>
        <v>3.9623576027736501E-3</v>
      </c>
      <c r="N74" s="2">
        <v>5</v>
      </c>
      <c r="O74" s="2" t="e">
        <f>N74*#REF!</f>
        <v>#REF!</v>
      </c>
      <c r="P74" s="2">
        <v>2</v>
      </c>
      <c r="Q74" s="2" t="e">
        <f t="shared" si="64"/>
        <v>#REF!</v>
      </c>
      <c r="R74" s="2">
        <v>3</v>
      </c>
      <c r="S74" s="2" t="e">
        <f t="shared" si="65"/>
        <v>#REF!</v>
      </c>
      <c r="T74" s="2" t="e">
        <f t="shared" si="66"/>
        <v>#REF!</v>
      </c>
      <c r="U74" s="2">
        <v>40</v>
      </c>
      <c r="V74" s="2">
        <f t="shared" si="67"/>
        <v>30</v>
      </c>
      <c r="W74" s="2" t="e">
        <f t="shared" si="68"/>
        <v>#REF!</v>
      </c>
      <c r="X74" s="2">
        <v>60000</v>
      </c>
      <c r="Y74" s="2" t="e">
        <f t="shared" si="59"/>
        <v>#REF!</v>
      </c>
      <c r="Z74" s="2" t="e">
        <f t="shared" si="60"/>
        <v>#REF!</v>
      </c>
      <c r="AA74" s="2" t="e">
        <f t="shared" si="51"/>
        <v>#REF!</v>
      </c>
      <c r="AB74" s="2" t="e">
        <f t="shared" si="52"/>
        <v>#REF!</v>
      </c>
      <c r="AC74" s="2">
        <f t="shared" si="71"/>
        <v>24203</v>
      </c>
      <c r="AD74" s="2">
        <f t="shared" si="72"/>
        <v>111</v>
      </c>
      <c r="AE74" s="2">
        <f t="shared" si="61"/>
        <v>102</v>
      </c>
      <c r="AF74" s="2" t="str">
        <f t="shared" si="73"/>
        <v>chest_shard</v>
      </c>
      <c r="AG74" s="2" t="str">
        <f t="shared" si="74"/>
        <v>StoreDoubleKey_1</v>
      </c>
      <c r="AH74" s="2" t="str">
        <f t="shared" si="62"/>
        <v>StoreFund_3</v>
      </c>
      <c r="AI74" s="2" t="str">
        <f t="shared" si="23"/>
        <v>[24203,111,102]</v>
      </c>
      <c r="AJ74" s="2" t="str">
        <f t="shared" si="24"/>
        <v>[3,40,60000]</v>
      </c>
      <c r="AK74" s="2" t="str">
        <f t="shared" si="25"/>
        <v>[chest_shard,StoreDoubleKey_1,StoreFund_3]</v>
      </c>
      <c r="AL74" s="2" t="str">
        <f t="shared" si="26"/>
        <v>3+5+碎片礼包</v>
      </c>
      <c r="AM74" s="1" t="str">
        <f t="shared" si="75"/>
        <v>T2 Senior Shard</v>
      </c>
      <c r="AN74" s="1" t="str">
        <f t="shared" si="76"/>
        <v>DoubleKeys</v>
      </c>
      <c r="AO74" s="1" t="str">
        <f t="shared" si="63"/>
        <v>Funds</v>
      </c>
    </row>
    <row r="75" spans="2:41" x14ac:dyDescent="0.3">
      <c r="B75" s="2" t="s">
        <v>2598</v>
      </c>
      <c r="C75" s="2" t="e">
        <f t="shared" si="69"/>
        <v>#REF!</v>
      </c>
      <c r="G75" s="2">
        <v>3</v>
      </c>
      <c r="H75" s="2" t="s">
        <v>2587</v>
      </c>
      <c r="I75" s="2" t="s">
        <v>587</v>
      </c>
      <c r="J75" s="2" t="s">
        <v>325</v>
      </c>
      <c r="K75" s="2" t="e">
        <f t="shared" si="50"/>
        <v>#REF!</v>
      </c>
      <c r="L75" s="2">
        <f t="shared" si="70"/>
        <v>60</v>
      </c>
      <c r="M75" s="2">
        <f t="shared" si="53"/>
        <v>1</v>
      </c>
      <c r="N75" s="2">
        <v>10</v>
      </c>
      <c r="O75" s="2" t="e">
        <f>N75*#REF!</f>
        <v>#REF!</v>
      </c>
      <c r="P75" s="2">
        <v>2</v>
      </c>
      <c r="Q75" s="2" t="e">
        <f t="shared" si="64"/>
        <v>#REF!</v>
      </c>
      <c r="R75" s="2">
        <v>4</v>
      </c>
      <c r="S75" s="2" t="e">
        <f t="shared" si="65"/>
        <v>#REF!</v>
      </c>
      <c r="T75" s="2" t="e">
        <f t="shared" si="66"/>
        <v>#REF!</v>
      </c>
      <c r="U75" s="2">
        <v>10</v>
      </c>
      <c r="V75" s="2">
        <f t="shared" si="67"/>
        <v>600</v>
      </c>
      <c r="W75" s="2" t="e">
        <f t="shared" si="68"/>
        <v>#REF!</v>
      </c>
      <c r="X75" s="2">
        <v>800</v>
      </c>
      <c r="Y75" s="2" t="e">
        <f t="shared" si="59"/>
        <v>#REF!</v>
      </c>
      <c r="Z75" s="2" t="e">
        <f t="shared" si="60"/>
        <v>#REF!</v>
      </c>
      <c r="AA75" s="2" t="e">
        <f t="shared" si="51"/>
        <v>#REF!</v>
      </c>
      <c r="AB75" s="2" t="e">
        <f t="shared" si="52"/>
        <v>#REF!</v>
      </c>
      <c r="AC75" s="2">
        <f t="shared" si="71"/>
        <v>23203</v>
      </c>
      <c r="AD75" s="2">
        <f t="shared" si="72"/>
        <v>100302</v>
      </c>
      <c r="AE75" s="2">
        <f t="shared" si="61"/>
        <v>101</v>
      </c>
      <c r="AF75" s="2" t="str">
        <f t="shared" si="73"/>
        <v>chest_tankpart</v>
      </c>
      <c r="AG75" s="2" t="str">
        <f t="shared" si="74"/>
        <v>StoreQuikenItem_1</v>
      </c>
      <c r="AH75" s="2" t="str">
        <f t="shared" si="62"/>
        <v>StoreDiamond_1</v>
      </c>
      <c r="AI75" s="2" t="str">
        <f t="shared" si="23"/>
        <v>[23203,100302,101]</v>
      </c>
      <c r="AJ75" s="2" t="str">
        <f t="shared" si="24"/>
        <v>[4,10,800]</v>
      </c>
      <c r="AK75" s="2" t="str">
        <f t="shared" si="25"/>
        <v>[chest_tankpart,StoreQuikenItem_1,StoreDiamond_1]</v>
      </c>
      <c r="AL75" s="2" t="str">
        <f t="shared" si="26"/>
        <v>3+10+部件礼包</v>
      </c>
      <c r="AM75" s="1" t="str">
        <f t="shared" si="75"/>
        <v>T1 Component</v>
      </c>
      <c r="AN75" s="1" t="str">
        <f t="shared" si="76"/>
        <v>1H_X3_Accelerater</v>
      </c>
      <c r="AO75" s="1" t="str">
        <f t="shared" si="63"/>
        <v>Diamond</v>
      </c>
    </row>
    <row r="76" spans="2:41" x14ac:dyDescent="0.3">
      <c r="B76" s="2" t="s">
        <v>2600</v>
      </c>
      <c r="C76" s="2" t="e">
        <f t="shared" si="69"/>
        <v>#REF!</v>
      </c>
      <c r="G76" s="2">
        <v>3</v>
      </c>
      <c r="H76" s="2" t="s">
        <v>2600</v>
      </c>
      <c r="I76" s="2" t="s">
        <v>519</v>
      </c>
      <c r="J76" s="2" t="s">
        <v>275</v>
      </c>
      <c r="K76" s="2" t="e">
        <f t="shared" si="50"/>
        <v>#REF!</v>
      </c>
      <c r="L76" s="2">
        <f t="shared" si="70"/>
        <v>0.75</v>
      </c>
      <c r="M76" s="2">
        <f t="shared" si="53"/>
        <v>3.9623576027736501E-3</v>
      </c>
      <c r="N76" s="2">
        <v>10</v>
      </c>
      <c r="O76" s="2" t="e">
        <f>N76*#REF!</f>
        <v>#REF!</v>
      </c>
      <c r="P76" s="2">
        <v>2</v>
      </c>
      <c r="Q76" s="2" t="e">
        <f t="shared" si="64"/>
        <v>#REF!</v>
      </c>
      <c r="R76" s="2">
        <v>7</v>
      </c>
      <c r="S76" s="2" t="e">
        <f t="shared" si="65"/>
        <v>#REF!</v>
      </c>
      <c r="T76" s="2" t="e">
        <f t="shared" si="66"/>
        <v>#REF!</v>
      </c>
      <c r="U76" s="2">
        <v>60</v>
      </c>
      <c r="V76" s="2">
        <f t="shared" si="67"/>
        <v>45</v>
      </c>
      <c r="W76" s="2" t="e">
        <f t="shared" si="68"/>
        <v>#REF!</v>
      </c>
      <c r="X76" s="2">
        <v>70000</v>
      </c>
      <c r="Y76" s="2" t="e">
        <f t="shared" si="59"/>
        <v>#REF!</v>
      </c>
      <c r="Z76" s="2" t="e">
        <f t="shared" si="60"/>
        <v>#REF!</v>
      </c>
      <c r="AA76" s="2" t="e">
        <f t="shared" si="51"/>
        <v>#REF!</v>
      </c>
      <c r="AB76" s="2" t="e">
        <f t="shared" si="52"/>
        <v>#REF!</v>
      </c>
      <c r="AC76" s="2">
        <f t="shared" si="71"/>
        <v>24203</v>
      </c>
      <c r="AD76" s="2">
        <f t="shared" si="72"/>
        <v>111</v>
      </c>
      <c r="AE76" s="2">
        <f t="shared" si="61"/>
        <v>102</v>
      </c>
      <c r="AF76" s="2" t="str">
        <f t="shared" si="73"/>
        <v>chest_shard</v>
      </c>
      <c r="AG76" s="2" t="str">
        <f t="shared" si="74"/>
        <v>StoreDoubleKey_1</v>
      </c>
      <c r="AH76" s="2" t="str">
        <f t="shared" si="62"/>
        <v>StoreFund_3</v>
      </c>
      <c r="AI76" s="2" t="str">
        <f t="shared" si="23"/>
        <v>[24203,111,102]</v>
      </c>
      <c r="AJ76" s="2" t="str">
        <f t="shared" si="24"/>
        <v>[7,60,70000]</v>
      </c>
      <c r="AK76" s="2" t="str">
        <f t="shared" si="25"/>
        <v>[chest_shard,StoreDoubleKey_1,StoreFund_3]</v>
      </c>
      <c r="AL76" s="2" t="str">
        <f t="shared" si="26"/>
        <v>3+10+碎片礼包</v>
      </c>
      <c r="AM76" s="1" t="str">
        <f t="shared" si="75"/>
        <v>T2 Senior Shard</v>
      </c>
      <c r="AN76" s="1" t="str">
        <f t="shared" si="76"/>
        <v>DoubleKeys</v>
      </c>
      <c r="AO76" s="1" t="str">
        <f t="shared" si="63"/>
        <v>Funds</v>
      </c>
    </row>
    <row r="77" spans="2:41" x14ac:dyDescent="0.3">
      <c r="B77" s="2" t="s">
        <v>2602</v>
      </c>
      <c r="C77" s="2" t="e">
        <f t="shared" si="69"/>
        <v>#REF!</v>
      </c>
      <c r="G77" s="2">
        <v>4</v>
      </c>
      <c r="H77" s="2" t="s">
        <v>2588</v>
      </c>
      <c r="I77" s="2" t="s">
        <v>587</v>
      </c>
      <c r="J77" s="2" t="s">
        <v>325</v>
      </c>
      <c r="K77" s="2" t="e">
        <f t="shared" si="50"/>
        <v>#REF!</v>
      </c>
      <c r="L77" s="2">
        <f t="shared" si="70"/>
        <v>60</v>
      </c>
      <c r="M77" s="2">
        <f t="shared" si="53"/>
        <v>1</v>
      </c>
      <c r="N77" s="2">
        <v>5</v>
      </c>
      <c r="O77" s="2" t="e">
        <f>N77*#REF!</f>
        <v>#REF!</v>
      </c>
      <c r="P77" s="2">
        <v>4</v>
      </c>
      <c r="Q77" s="2" t="e">
        <f t="shared" ref="Q77:Q82" si="77">O77*P77</f>
        <v>#REF!</v>
      </c>
      <c r="R77" s="2">
        <v>3</v>
      </c>
      <c r="S77" s="2" t="e">
        <f t="shared" ref="S77:S82" si="78">R77*K77</f>
        <v>#REF!</v>
      </c>
      <c r="T77" s="2" t="e">
        <f t="shared" ref="T77:T82" si="79">S77/Q77</f>
        <v>#REF!</v>
      </c>
      <c r="U77" s="2">
        <v>10</v>
      </c>
      <c r="V77" s="2">
        <f t="shared" ref="V77:V82" si="80">U77*L77</f>
        <v>600</v>
      </c>
      <c r="W77" s="2" t="e">
        <f t="shared" ref="W77:W82" si="81">V77/Q77</f>
        <v>#REF!</v>
      </c>
      <c r="X77" s="2">
        <v>800</v>
      </c>
      <c r="Y77" s="2" t="e">
        <f t="shared" si="59"/>
        <v>#REF!</v>
      </c>
      <c r="Z77" s="2" t="e">
        <f t="shared" si="60"/>
        <v>#REF!</v>
      </c>
      <c r="AA77" s="2" t="e">
        <f t="shared" si="51"/>
        <v>#REF!</v>
      </c>
      <c r="AB77" s="2" t="e">
        <f t="shared" si="52"/>
        <v>#REF!</v>
      </c>
      <c r="AC77" s="2">
        <f t="shared" si="71"/>
        <v>23204</v>
      </c>
      <c r="AD77" s="2">
        <f t="shared" si="72"/>
        <v>100302</v>
      </c>
      <c r="AE77" s="2">
        <f t="shared" si="61"/>
        <v>101</v>
      </c>
      <c r="AF77" s="2" t="str">
        <f t="shared" si="73"/>
        <v>chest_tankpart</v>
      </c>
      <c r="AG77" s="2" t="str">
        <f t="shared" si="74"/>
        <v>StoreQuikenItem_1</v>
      </c>
      <c r="AH77" s="2" t="str">
        <f t="shared" si="62"/>
        <v>StoreDiamond_1</v>
      </c>
      <c r="AI77" s="2" t="str">
        <f t="shared" si="23"/>
        <v>[23204,100302,101]</v>
      </c>
      <c r="AJ77" s="2" t="str">
        <f t="shared" si="24"/>
        <v>[3,10,800]</v>
      </c>
      <c r="AK77" s="2" t="str">
        <f t="shared" si="25"/>
        <v>[chest_tankpart,StoreQuikenItem_1,StoreDiamond_1]</v>
      </c>
      <c r="AL77" s="2" t="str">
        <f t="shared" si="26"/>
        <v>4+5+部件礼包</v>
      </c>
      <c r="AM77" s="1" t="str">
        <f t="shared" si="75"/>
        <v>T2 Component</v>
      </c>
      <c r="AN77" s="1" t="str">
        <f t="shared" si="76"/>
        <v>1H_X3_Accelerater</v>
      </c>
      <c r="AO77" s="1" t="str">
        <f t="shared" si="63"/>
        <v>Diamond</v>
      </c>
    </row>
    <row r="78" spans="2:41" x14ac:dyDescent="0.3">
      <c r="B78" s="2" t="s">
        <v>2604</v>
      </c>
      <c r="C78" s="2" t="e">
        <f t="shared" si="69"/>
        <v>#REF!</v>
      </c>
      <c r="G78" s="2">
        <v>4</v>
      </c>
      <c r="H78" s="2" t="s">
        <v>2600</v>
      </c>
      <c r="I78" s="2" t="s">
        <v>519</v>
      </c>
      <c r="J78" s="2" t="s">
        <v>275</v>
      </c>
      <c r="K78" s="2" t="e">
        <f t="shared" si="50"/>
        <v>#REF!</v>
      </c>
      <c r="L78" s="2">
        <f t="shared" si="70"/>
        <v>0.75</v>
      </c>
      <c r="M78" s="2">
        <f t="shared" si="53"/>
        <v>3.9623576027736501E-3</v>
      </c>
      <c r="N78" s="2">
        <v>5</v>
      </c>
      <c r="O78" s="2" t="e">
        <f>N78*#REF!</f>
        <v>#REF!</v>
      </c>
      <c r="P78" s="2">
        <v>4</v>
      </c>
      <c r="Q78" s="2" t="e">
        <f t="shared" si="77"/>
        <v>#REF!</v>
      </c>
      <c r="R78" s="2">
        <v>7</v>
      </c>
      <c r="S78" s="2" t="e">
        <f t="shared" si="78"/>
        <v>#REF!</v>
      </c>
      <c r="T78" s="2" t="e">
        <f t="shared" si="79"/>
        <v>#REF!</v>
      </c>
      <c r="U78" s="2">
        <v>80</v>
      </c>
      <c r="V78" s="2">
        <f t="shared" si="80"/>
        <v>60</v>
      </c>
      <c r="W78" s="2" t="e">
        <f t="shared" si="81"/>
        <v>#REF!</v>
      </c>
      <c r="X78" s="2">
        <v>70000</v>
      </c>
      <c r="Y78" s="2" t="e">
        <f t="shared" si="59"/>
        <v>#REF!</v>
      </c>
      <c r="Z78" s="2" t="e">
        <f t="shared" si="60"/>
        <v>#REF!</v>
      </c>
      <c r="AA78" s="2" t="e">
        <f t="shared" si="51"/>
        <v>#REF!</v>
      </c>
      <c r="AB78" s="2" t="e">
        <f t="shared" si="52"/>
        <v>#REF!</v>
      </c>
      <c r="AC78" s="2">
        <f t="shared" si="71"/>
        <v>24203</v>
      </c>
      <c r="AD78" s="2">
        <f t="shared" si="72"/>
        <v>111</v>
      </c>
      <c r="AE78" s="2">
        <f t="shared" si="61"/>
        <v>102</v>
      </c>
      <c r="AF78" s="2" t="str">
        <f t="shared" si="73"/>
        <v>chest_shard</v>
      </c>
      <c r="AG78" s="2" t="str">
        <f t="shared" si="74"/>
        <v>StoreDoubleKey_1</v>
      </c>
      <c r="AH78" s="2" t="str">
        <f t="shared" si="62"/>
        <v>StoreFund_3</v>
      </c>
      <c r="AI78" s="2" t="str">
        <f t="shared" si="23"/>
        <v>[24203,111,102]</v>
      </c>
      <c r="AJ78" s="2" t="str">
        <f t="shared" si="24"/>
        <v>[7,80,70000]</v>
      </c>
      <c r="AK78" s="2" t="str">
        <f t="shared" si="25"/>
        <v>[chest_shard,StoreDoubleKey_1,StoreFund_3]</v>
      </c>
      <c r="AL78" s="2" t="str">
        <f t="shared" si="26"/>
        <v>4+5+碎片礼包</v>
      </c>
      <c r="AM78" s="1" t="str">
        <f t="shared" si="75"/>
        <v>T2 Senior Shard</v>
      </c>
      <c r="AN78" s="1" t="str">
        <f t="shared" si="76"/>
        <v>DoubleKeys</v>
      </c>
      <c r="AO78" s="1" t="str">
        <f t="shared" si="63"/>
        <v>Funds</v>
      </c>
    </row>
    <row r="79" spans="2:41" x14ac:dyDescent="0.3">
      <c r="B79" s="2" t="s">
        <v>2606</v>
      </c>
      <c r="C79" s="2" t="e">
        <f t="shared" si="69"/>
        <v>#REF!</v>
      </c>
      <c r="G79" s="2">
        <v>4</v>
      </c>
      <c r="H79" s="2" t="s">
        <v>2588</v>
      </c>
      <c r="I79" s="2" t="s">
        <v>587</v>
      </c>
      <c r="J79" s="2" t="s">
        <v>325</v>
      </c>
      <c r="K79" s="2" t="e">
        <f t="shared" si="50"/>
        <v>#REF!</v>
      </c>
      <c r="L79" s="2">
        <f t="shared" si="70"/>
        <v>60</v>
      </c>
      <c r="M79" s="2">
        <f t="shared" si="53"/>
        <v>1</v>
      </c>
      <c r="N79" s="2">
        <v>10</v>
      </c>
      <c r="O79" s="2" t="e">
        <f>N79*#REF!</f>
        <v>#REF!</v>
      </c>
      <c r="P79" s="2">
        <v>4</v>
      </c>
      <c r="Q79" s="2" t="e">
        <f t="shared" si="77"/>
        <v>#REF!</v>
      </c>
      <c r="R79" s="2">
        <v>4</v>
      </c>
      <c r="S79" s="2" t="e">
        <f t="shared" si="78"/>
        <v>#REF!</v>
      </c>
      <c r="T79" s="2" t="e">
        <f t="shared" si="79"/>
        <v>#REF!</v>
      </c>
      <c r="U79" s="2">
        <v>10</v>
      </c>
      <c r="V79" s="2">
        <f t="shared" si="80"/>
        <v>600</v>
      </c>
      <c r="W79" s="2" t="e">
        <f t="shared" si="81"/>
        <v>#REF!</v>
      </c>
      <c r="X79" s="2">
        <v>2700</v>
      </c>
      <c r="Y79" s="2" t="e">
        <f t="shared" si="59"/>
        <v>#REF!</v>
      </c>
      <c r="Z79" s="2" t="e">
        <f t="shared" si="60"/>
        <v>#REF!</v>
      </c>
      <c r="AA79" s="2" t="e">
        <f t="shared" si="51"/>
        <v>#REF!</v>
      </c>
      <c r="AB79" s="2" t="e">
        <f t="shared" si="52"/>
        <v>#REF!</v>
      </c>
      <c r="AC79" s="2">
        <f t="shared" si="71"/>
        <v>23204</v>
      </c>
      <c r="AD79" s="2">
        <f t="shared" si="72"/>
        <v>100302</v>
      </c>
      <c r="AE79" s="2">
        <f t="shared" si="61"/>
        <v>101</v>
      </c>
      <c r="AF79" s="2" t="str">
        <f t="shared" si="73"/>
        <v>chest_tankpart</v>
      </c>
      <c r="AG79" s="2" t="str">
        <f t="shared" si="74"/>
        <v>StoreQuikenItem_1</v>
      </c>
      <c r="AH79" s="2" t="str">
        <f t="shared" si="62"/>
        <v>StoreDiamond_1</v>
      </c>
      <c r="AI79" s="2" t="str">
        <f t="shared" si="23"/>
        <v>[23204,100302,101]</v>
      </c>
      <c r="AJ79" s="2" t="str">
        <f t="shared" si="24"/>
        <v>[4,10,2700]</v>
      </c>
      <c r="AK79" s="2" t="str">
        <f t="shared" si="25"/>
        <v>[chest_tankpart,StoreQuikenItem_1,StoreDiamond_1]</v>
      </c>
      <c r="AL79" s="2" t="str">
        <f t="shared" si="26"/>
        <v>4+10+部件礼包</v>
      </c>
      <c r="AM79" s="1" t="str">
        <f t="shared" si="75"/>
        <v>T2 Component</v>
      </c>
      <c r="AN79" s="1" t="str">
        <f t="shared" si="76"/>
        <v>1H_X3_Accelerater</v>
      </c>
      <c r="AO79" s="1" t="str">
        <f t="shared" si="63"/>
        <v>Diamond</v>
      </c>
    </row>
    <row r="80" spans="2:41" x14ac:dyDescent="0.3">
      <c r="B80" s="2" t="s">
        <v>2608</v>
      </c>
      <c r="C80" s="2" t="e">
        <f t="shared" si="69"/>
        <v>#REF!</v>
      </c>
      <c r="G80" s="2">
        <v>4</v>
      </c>
      <c r="H80" s="2" t="s">
        <v>2600</v>
      </c>
      <c r="I80" s="2" t="s">
        <v>519</v>
      </c>
      <c r="J80" s="2" t="s">
        <v>275</v>
      </c>
      <c r="K80" s="2" t="e">
        <f t="shared" si="50"/>
        <v>#REF!</v>
      </c>
      <c r="L80" s="2">
        <f t="shared" si="70"/>
        <v>0.75</v>
      </c>
      <c r="M80" s="2">
        <f t="shared" si="53"/>
        <v>3.9623576027736501E-3</v>
      </c>
      <c r="N80" s="2">
        <v>10</v>
      </c>
      <c r="O80" s="2" t="e">
        <f>N80*#REF!</f>
        <v>#REF!</v>
      </c>
      <c r="P80" s="2">
        <v>4</v>
      </c>
      <c r="Q80" s="2" t="e">
        <f t="shared" si="77"/>
        <v>#REF!</v>
      </c>
      <c r="R80" s="2">
        <v>15</v>
      </c>
      <c r="S80" s="2" t="e">
        <f t="shared" si="78"/>
        <v>#REF!</v>
      </c>
      <c r="T80" s="2" t="e">
        <f t="shared" si="79"/>
        <v>#REF!</v>
      </c>
      <c r="U80" s="2">
        <v>80</v>
      </c>
      <c r="V80" s="2">
        <f t="shared" si="80"/>
        <v>60</v>
      </c>
      <c r="W80" s="2" t="e">
        <f t="shared" si="81"/>
        <v>#REF!</v>
      </c>
      <c r="X80" s="2">
        <v>90000</v>
      </c>
      <c r="Y80" s="2" t="e">
        <f t="shared" si="59"/>
        <v>#REF!</v>
      </c>
      <c r="Z80" s="2" t="e">
        <f t="shared" si="60"/>
        <v>#REF!</v>
      </c>
      <c r="AA80" s="2" t="e">
        <f t="shared" si="51"/>
        <v>#REF!</v>
      </c>
      <c r="AB80" s="2" t="e">
        <f t="shared" si="52"/>
        <v>#REF!</v>
      </c>
      <c r="AC80" s="2">
        <f t="shared" si="71"/>
        <v>24203</v>
      </c>
      <c r="AD80" s="2">
        <f t="shared" si="72"/>
        <v>111</v>
      </c>
      <c r="AE80" s="2">
        <f t="shared" si="61"/>
        <v>102</v>
      </c>
      <c r="AF80" s="2" t="str">
        <f t="shared" si="73"/>
        <v>chest_shard</v>
      </c>
      <c r="AG80" s="2" t="str">
        <f t="shared" si="74"/>
        <v>StoreDoubleKey_1</v>
      </c>
      <c r="AH80" s="2" t="str">
        <f t="shared" si="62"/>
        <v>StoreFund_3</v>
      </c>
      <c r="AI80" s="2" t="str">
        <f t="shared" si="23"/>
        <v>[24203,111,102]</v>
      </c>
      <c r="AJ80" s="2" t="str">
        <f t="shared" si="24"/>
        <v>[15,80,90000]</v>
      </c>
      <c r="AK80" s="2" t="str">
        <f t="shared" si="25"/>
        <v>[chest_shard,StoreDoubleKey_1,StoreFund_3]</v>
      </c>
      <c r="AL80" s="2" t="str">
        <f t="shared" si="26"/>
        <v>4+10+碎片礼包</v>
      </c>
      <c r="AM80" s="1" t="str">
        <f t="shared" si="75"/>
        <v>T2 Senior Shard</v>
      </c>
      <c r="AN80" s="1" t="str">
        <f t="shared" si="76"/>
        <v>DoubleKeys</v>
      </c>
      <c r="AO80" s="1" t="str">
        <f t="shared" si="63"/>
        <v>Funds</v>
      </c>
    </row>
    <row r="81" spans="2:41" x14ac:dyDescent="0.3">
      <c r="B81" s="2" t="s">
        <v>2610</v>
      </c>
      <c r="C81" s="2" t="e">
        <f t="shared" si="69"/>
        <v>#REF!</v>
      </c>
      <c r="G81" s="2">
        <v>4</v>
      </c>
      <c r="H81" s="2" t="s">
        <v>2588</v>
      </c>
      <c r="I81" s="2" t="s">
        <v>587</v>
      </c>
      <c r="J81" s="2" t="s">
        <v>325</v>
      </c>
      <c r="K81" s="2" t="e">
        <f t="shared" si="50"/>
        <v>#REF!</v>
      </c>
      <c r="L81" s="2">
        <f t="shared" si="70"/>
        <v>60</v>
      </c>
      <c r="M81" s="2">
        <f t="shared" si="53"/>
        <v>1</v>
      </c>
      <c r="N81" s="2">
        <v>20</v>
      </c>
      <c r="O81" s="2" t="e">
        <f>N81*#REF!</f>
        <v>#REF!</v>
      </c>
      <c r="P81" s="2">
        <v>4</v>
      </c>
      <c r="Q81" s="2" t="e">
        <f t="shared" si="77"/>
        <v>#REF!</v>
      </c>
      <c r="R81" s="2">
        <v>5</v>
      </c>
      <c r="S81" s="2" t="e">
        <f t="shared" si="78"/>
        <v>#REF!</v>
      </c>
      <c r="T81" s="2" t="e">
        <f t="shared" si="79"/>
        <v>#REF!</v>
      </c>
      <c r="U81" s="2">
        <v>20</v>
      </c>
      <c r="V81" s="2">
        <f t="shared" si="80"/>
        <v>1200</v>
      </c>
      <c r="W81" s="2" t="e">
        <f t="shared" si="81"/>
        <v>#REF!</v>
      </c>
      <c r="X81" s="2">
        <v>5900</v>
      </c>
      <c r="Y81" s="2" t="e">
        <f t="shared" si="59"/>
        <v>#REF!</v>
      </c>
      <c r="Z81" s="2" t="e">
        <f t="shared" si="60"/>
        <v>#REF!</v>
      </c>
      <c r="AA81" s="2" t="e">
        <f t="shared" si="51"/>
        <v>#REF!</v>
      </c>
      <c r="AB81" s="2" t="e">
        <f t="shared" si="52"/>
        <v>#REF!</v>
      </c>
      <c r="AC81" s="2">
        <f t="shared" si="71"/>
        <v>23204</v>
      </c>
      <c r="AD81" s="2">
        <f t="shared" si="72"/>
        <v>100302</v>
      </c>
      <c r="AE81" s="2">
        <f t="shared" si="61"/>
        <v>101</v>
      </c>
      <c r="AF81" s="2" t="str">
        <f t="shared" si="73"/>
        <v>chest_tankpart</v>
      </c>
      <c r="AG81" s="2" t="str">
        <f t="shared" si="74"/>
        <v>StoreQuikenItem_1</v>
      </c>
      <c r="AH81" s="2" t="str">
        <f t="shared" si="62"/>
        <v>StoreDiamond_1</v>
      </c>
      <c r="AI81" s="2" t="str">
        <f t="shared" si="23"/>
        <v>[23204,100302,101]</v>
      </c>
      <c r="AJ81" s="2" t="str">
        <f t="shared" si="24"/>
        <v>[5,20,5900]</v>
      </c>
      <c r="AK81" s="2" t="str">
        <f t="shared" si="25"/>
        <v>[chest_tankpart,StoreQuikenItem_1,StoreDiamond_1]</v>
      </c>
      <c r="AL81" s="2" t="str">
        <f t="shared" si="26"/>
        <v>4+20+部件礼包</v>
      </c>
      <c r="AM81" s="1" t="str">
        <f t="shared" si="75"/>
        <v>T2 Component</v>
      </c>
      <c r="AN81" s="1" t="str">
        <f t="shared" si="76"/>
        <v>1H_X3_Accelerater</v>
      </c>
      <c r="AO81" s="1" t="str">
        <f t="shared" si="63"/>
        <v>Diamond</v>
      </c>
    </row>
    <row r="82" spans="2:41" x14ac:dyDescent="0.3">
      <c r="G82" s="2">
        <v>4</v>
      </c>
      <c r="H82" s="2" t="s">
        <v>2600</v>
      </c>
      <c r="I82" s="2" t="s">
        <v>519</v>
      </c>
      <c r="J82" s="2" t="s">
        <v>275</v>
      </c>
      <c r="K82" s="2" t="e">
        <f t="shared" si="50"/>
        <v>#REF!</v>
      </c>
      <c r="L82" s="2">
        <f t="shared" si="70"/>
        <v>0.75</v>
      </c>
      <c r="M82" s="2">
        <f t="shared" si="53"/>
        <v>3.9623576027736501E-3</v>
      </c>
      <c r="N82" s="2">
        <v>20</v>
      </c>
      <c r="O82" s="2" t="e">
        <f>N82*#REF!</f>
        <v>#REF!</v>
      </c>
      <c r="P82" s="2">
        <v>4</v>
      </c>
      <c r="Q82" s="2" t="e">
        <f t="shared" si="77"/>
        <v>#REF!</v>
      </c>
      <c r="R82" s="2">
        <v>32</v>
      </c>
      <c r="S82" s="2" t="e">
        <f t="shared" si="78"/>
        <v>#REF!</v>
      </c>
      <c r="T82" s="2" t="e">
        <f t="shared" si="79"/>
        <v>#REF!</v>
      </c>
      <c r="U82" s="2">
        <v>100</v>
      </c>
      <c r="V82" s="2">
        <f t="shared" si="80"/>
        <v>75</v>
      </c>
      <c r="W82" s="2" t="e">
        <f t="shared" si="81"/>
        <v>#REF!</v>
      </c>
      <c r="X82" s="2">
        <v>60000</v>
      </c>
      <c r="Y82" s="2" t="e">
        <f t="shared" si="59"/>
        <v>#REF!</v>
      </c>
      <c r="Z82" s="2" t="e">
        <f t="shared" si="60"/>
        <v>#REF!</v>
      </c>
      <c r="AA82" s="2" t="e">
        <f t="shared" si="51"/>
        <v>#REF!</v>
      </c>
      <c r="AB82" s="2" t="e">
        <f t="shared" si="52"/>
        <v>#REF!</v>
      </c>
      <c r="AC82" s="2">
        <f t="shared" si="71"/>
        <v>24203</v>
      </c>
      <c r="AD82" s="2">
        <f t="shared" si="72"/>
        <v>111</v>
      </c>
      <c r="AE82" s="2">
        <f t="shared" si="61"/>
        <v>102</v>
      </c>
      <c r="AF82" s="2" t="str">
        <f t="shared" si="73"/>
        <v>chest_shard</v>
      </c>
      <c r="AG82" s="2" t="str">
        <f t="shared" si="74"/>
        <v>StoreDoubleKey_1</v>
      </c>
      <c r="AH82" s="2" t="str">
        <f t="shared" si="62"/>
        <v>StoreFund_3</v>
      </c>
      <c r="AI82" s="2" t="str">
        <f t="shared" si="23"/>
        <v>[24203,111,102]</v>
      </c>
      <c r="AJ82" s="2" t="str">
        <f t="shared" si="24"/>
        <v>[32,100,60000]</v>
      </c>
      <c r="AK82" s="2" t="str">
        <f t="shared" si="25"/>
        <v>[chest_shard,StoreDoubleKey_1,StoreFund_3]</v>
      </c>
      <c r="AL82" s="2" t="str">
        <f t="shared" si="26"/>
        <v>4+20+碎片礼包</v>
      </c>
      <c r="AM82" s="1" t="str">
        <f t="shared" si="75"/>
        <v>T2 Senior Shard</v>
      </c>
      <c r="AN82" s="1" t="str">
        <f t="shared" si="76"/>
        <v>DoubleKeys</v>
      </c>
      <c r="AO82" s="1" t="str">
        <f t="shared" si="63"/>
        <v>Funds</v>
      </c>
    </row>
    <row r="83" spans="2:41" x14ac:dyDescent="0.3">
      <c r="G83" s="2">
        <v>4</v>
      </c>
      <c r="H83" s="2" t="s">
        <v>2588</v>
      </c>
      <c r="I83" s="2" t="s">
        <v>587</v>
      </c>
      <c r="J83" s="2" t="s">
        <v>325</v>
      </c>
      <c r="K83" s="2" t="e">
        <f t="shared" si="50"/>
        <v>#REF!</v>
      </c>
      <c r="L83" s="2">
        <f t="shared" si="70"/>
        <v>60</v>
      </c>
      <c r="M83" s="2">
        <f t="shared" si="53"/>
        <v>1</v>
      </c>
      <c r="N83" s="2">
        <v>5</v>
      </c>
      <c r="O83" s="2" t="e">
        <f>N83*#REF!</f>
        <v>#REF!</v>
      </c>
      <c r="P83" s="2">
        <v>3</v>
      </c>
      <c r="Q83" s="2" t="e">
        <f t="shared" ref="Q83:Q94" si="82">O83*P83</f>
        <v>#REF!</v>
      </c>
      <c r="R83" s="2">
        <v>1</v>
      </c>
      <c r="S83" s="2" t="e">
        <f t="shared" ref="S83:S94" si="83">R83*K83</f>
        <v>#REF!</v>
      </c>
      <c r="T83" s="2" t="e">
        <f t="shared" ref="T83:T94" si="84">S83/Q83</f>
        <v>#REF!</v>
      </c>
      <c r="U83" s="2">
        <v>2</v>
      </c>
      <c r="V83" s="2">
        <f t="shared" ref="V83:V94" si="85">U83*L83</f>
        <v>120</v>
      </c>
      <c r="W83" s="2" t="e">
        <f t="shared" ref="W83:W94" si="86">V83/Q83</f>
        <v>#REF!</v>
      </c>
      <c r="X83" s="2">
        <v>1200</v>
      </c>
      <c r="Y83" s="2" t="e">
        <f t="shared" si="59"/>
        <v>#REF!</v>
      </c>
      <c r="Z83" s="2" t="e">
        <f t="shared" si="60"/>
        <v>#REF!</v>
      </c>
      <c r="AA83" s="2" t="e">
        <f t="shared" si="51"/>
        <v>#REF!</v>
      </c>
      <c r="AB83" s="2" t="e">
        <f t="shared" si="52"/>
        <v>#REF!</v>
      </c>
      <c r="AC83" s="2">
        <f t="shared" si="71"/>
        <v>23204</v>
      </c>
      <c r="AD83" s="2">
        <f t="shared" si="72"/>
        <v>100302</v>
      </c>
      <c r="AE83" s="2">
        <f t="shared" si="61"/>
        <v>101</v>
      </c>
      <c r="AF83" s="2" t="str">
        <f t="shared" si="73"/>
        <v>chest_tankpart</v>
      </c>
      <c r="AG83" s="2" t="str">
        <f t="shared" si="74"/>
        <v>StoreQuikenItem_1</v>
      </c>
      <c r="AH83" s="2" t="str">
        <f t="shared" si="62"/>
        <v>StoreDiamond_1</v>
      </c>
      <c r="AI83" s="2" t="str">
        <f t="shared" si="23"/>
        <v>[23204,100302,101]</v>
      </c>
      <c r="AJ83" s="2" t="str">
        <f t="shared" si="24"/>
        <v>[1,2,1200]</v>
      </c>
      <c r="AK83" s="2" t="str">
        <f t="shared" si="25"/>
        <v>[chest_tankpart,StoreQuikenItem_1,StoreDiamond_1]</v>
      </c>
      <c r="AL83" s="2" t="str">
        <f t="shared" si="26"/>
        <v>4+5+部件礼包</v>
      </c>
      <c r="AM83" s="1" t="str">
        <f t="shared" si="75"/>
        <v>T2 Component</v>
      </c>
      <c r="AN83" s="1" t="str">
        <f t="shared" si="76"/>
        <v>1H_X3_Accelerater</v>
      </c>
      <c r="AO83" s="1" t="str">
        <f t="shared" si="63"/>
        <v>Diamond</v>
      </c>
    </row>
    <row r="84" spans="2:41" x14ac:dyDescent="0.3">
      <c r="G84" s="2">
        <v>4</v>
      </c>
      <c r="H84" s="2" t="s">
        <v>2600</v>
      </c>
      <c r="I84" s="2" t="s">
        <v>519</v>
      </c>
      <c r="J84" s="2" t="s">
        <v>275</v>
      </c>
      <c r="K84" s="2" t="e">
        <f t="shared" si="50"/>
        <v>#REF!</v>
      </c>
      <c r="L84" s="2">
        <f t="shared" si="70"/>
        <v>0.75</v>
      </c>
      <c r="M84" s="2">
        <f t="shared" si="53"/>
        <v>3.9623576027736501E-3</v>
      </c>
      <c r="N84" s="2">
        <v>5</v>
      </c>
      <c r="O84" s="2" t="e">
        <f>N84*#REF!</f>
        <v>#REF!</v>
      </c>
      <c r="P84" s="2">
        <v>3</v>
      </c>
      <c r="Q84" s="2" t="e">
        <f t="shared" si="82"/>
        <v>#REF!</v>
      </c>
      <c r="R84" s="2">
        <v>5</v>
      </c>
      <c r="S84" s="2" t="e">
        <f t="shared" si="83"/>
        <v>#REF!</v>
      </c>
      <c r="T84" s="2" t="e">
        <f t="shared" si="84"/>
        <v>#REF!</v>
      </c>
      <c r="U84" s="2">
        <v>50</v>
      </c>
      <c r="V84" s="2">
        <f t="shared" si="85"/>
        <v>37.5</v>
      </c>
      <c r="W84" s="2" t="e">
        <f t="shared" si="86"/>
        <v>#REF!</v>
      </c>
      <c r="X84" s="2">
        <v>70000</v>
      </c>
      <c r="Y84" s="2" t="e">
        <f t="shared" si="59"/>
        <v>#REF!</v>
      </c>
      <c r="Z84" s="2" t="e">
        <f t="shared" si="60"/>
        <v>#REF!</v>
      </c>
      <c r="AA84" s="2" t="e">
        <f t="shared" si="51"/>
        <v>#REF!</v>
      </c>
      <c r="AB84" s="2" t="e">
        <f t="shared" si="52"/>
        <v>#REF!</v>
      </c>
      <c r="AC84" s="2">
        <f t="shared" si="71"/>
        <v>24203</v>
      </c>
      <c r="AD84" s="2">
        <f t="shared" si="72"/>
        <v>111</v>
      </c>
      <c r="AE84" s="2">
        <f t="shared" si="61"/>
        <v>102</v>
      </c>
      <c r="AF84" s="2" t="str">
        <f t="shared" si="73"/>
        <v>chest_shard</v>
      </c>
      <c r="AG84" s="2" t="str">
        <f t="shared" si="74"/>
        <v>StoreDoubleKey_1</v>
      </c>
      <c r="AH84" s="2" t="str">
        <f t="shared" si="62"/>
        <v>StoreFund_3</v>
      </c>
      <c r="AI84" s="2" t="str">
        <f t="shared" si="23"/>
        <v>[24203,111,102]</v>
      </c>
      <c r="AJ84" s="2" t="str">
        <f t="shared" si="24"/>
        <v>[5,50,70000]</v>
      </c>
      <c r="AK84" s="2" t="str">
        <f t="shared" si="25"/>
        <v>[chest_shard,StoreDoubleKey_1,StoreFund_3]</v>
      </c>
      <c r="AL84" s="2" t="str">
        <f t="shared" si="26"/>
        <v>4+5+碎片礼包</v>
      </c>
      <c r="AM84" s="1" t="str">
        <f t="shared" si="75"/>
        <v>T2 Senior Shard</v>
      </c>
      <c r="AN84" s="1" t="str">
        <f t="shared" si="76"/>
        <v>DoubleKeys</v>
      </c>
      <c r="AO84" s="1" t="str">
        <f t="shared" si="63"/>
        <v>Funds</v>
      </c>
    </row>
    <row r="85" spans="2:41" x14ac:dyDescent="0.3">
      <c r="G85" s="2">
        <v>4</v>
      </c>
      <c r="H85" s="2" t="s">
        <v>2588</v>
      </c>
      <c r="I85" s="2" t="s">
        <v>587</v>
      </c>
      <c r="J85" s="2" t="s">
        <v>325</v>
      </c>
      <c r="K85" s="2" t="e">
        <f t="shared" si="50"/>
        <v>#REF!</v>
      </c>
      <c r="L85" s="2">
        <f t="shared" si="70"/>
        <v>60</v>
      </c>
      <c r="M85" s="2">
        <f t="shared" si="53"/>
        <v>1</v>
      </c>
      <c r="N85" s="2">
        <v>10</v>
      </c>
      <c r="O85" s="2" t="e">
        <f>N85*#REF!</f>
        <v>#REF!</v>
      </c>
      <c r="P85" s="2">
        <v>3</v>
      </c>
      <c r="Q85" s="2" t="e">
        <f t="shared" si="82"/>
        <v>#REF!</v>
      </c>
      <c r="R85" s="2">
        <v>2</v>
      </c>
      <c r="S85" s="2" t="e">
        <f t="shared" si="83"/>
        <v>#REF!</v>
      </c>
      <c r="T85" s="2" t="e">
        <f t="shared" si="84"/>
        <v>#REF!</v>
      </c>
      <c r="U85" s="2">
        <v>5</v>
      </c>
      <c r="V85" s="2">
        <f t="shared" si="85"/>
        <v>300</v>
      </c>
      <c r="W85" s="2" t="e">
        <f t="shared" si="86"/>
        <v>#REF!</v>
      </c>
      <c r="X85" s="2">
        <v>2300</v>
      </c>
      <c r="Y85" s="2" t="e">
        <f t="shared" si="59"/>
        <v>#REF!</v>
      </c>
      <c r="Z85" s="2" t="e">
        <f t="shared" si="60"/>
        <v>#REF!</v>
      </c>
      <c r="AA85" s="2" t="e">
        <f t="shared" si="51"/>
        <v>#REF!</v>
      </c>
      <c r="AB85" s="2" t="e">
        <f t="shared" si="52"/>
        <v>#REF!</v>
      </c>
      <c r="AC85" s="2">
        <f t="shared" si="71"/>
        <v>23204</v>
      </c>
      <c r="AD85" s="2">
        <f t="shared" si="72"/>
        <v>100302</v>
      </c>
      <c r="AE85" s="2">
        <f t="shared" si="61"/>
        <v>101</v>
      </c>
      <c r="AF85" s="2" t="str">
        <f t="shared" si="73"/>
        <v>chest_tankpart</v>
      </c>
      <c r="AG85" s="2" t="str">
        <f t="shared" si="74"/>
        <v>StoreQuikenItem_1</v>
      </c>
      <c r="AH85" s="2" t="str">
        <f t="shared" si="62"/>
        <v>StoreDiamond_1</v>
      </c>
      <c r="AI85" s="2" t="str">
        <f t="shared" si="23"/>
        <v>[23204,100302,101]</v>
      </c>
      <c r="AJ85" s="2" t="str">
        <f t="shared" si="24"/>
        <v>[2,5,2300]</v>
      </c>
      <c r="AK85" s="2" t="str">
        <f t="shared" si="25"/>
        <v>[chest_tankpart,StoreQuikenItem_1,StoreDiamond_1]</v>
      </c>
      <c r="AL85" s="2" t="str">
        <f t="shared" si="26"/>
        <v>4+10+部件礼包</v>
      </c>
      <c r="AM85" s="1" t="str">
        <f t="shared" si="75"/>
        <v>T2 Component</v>
      </c>
      <c r="AN85" s="1" t="str">
        <f t="shared" si="76"/>
        <v>1H_X3_Accelerater</v>
      </c>
      <c r="AO85" s="1" t="str">
        <f t="shared" si="63"/>
        <v>Diamond</v>
      </c>
    </row>
    <row r="86" spans="2:41" x14ac:dyDescent="0.3">
      <c r="G86" s="2">
        <v>4</v>
      </c>
      <c r="H86" s="2" t="s">
        <v>2600</v>
      </c>
      <c r="I86" s="2" t="s">
        <v>519</v>
      </c>
      <c r="J86" s="2" t="s">
        <v>275</v>
      </c>
      <c r="K86" s="2" t="e">
        <f t="shared" si="50"/>
        <v>#REF!</v>
      </c>
      <c r="L86" s="2">
        <f t="shared" si="70"/>
        <v>0.75</v>
      </c>
      <c r="M86" s="2">
        <f t="shared" si="53"/>
        <v>3.9623576027736501E-3</v>
      </c>
      <c r="N86" s="2">
        <v>10</v>
      </c>
      <c r="O86" s="2" t="e">
        <f>N86*#REF!</f>
        <v>#REF!</v>
      </c>
      <c r="P86" s="2">
        <v>3</v>
      </c>
      <c r="Q86" s="2" t="e">
        <f t="shared" si="82"/>
        <v>#REF!</v>
      </c>
      <c r="R86" s="2">
        <v>12</v>
      </c>
      <c r="S86" s="2" t="e">
        <f t="shared" si="83"/>
        <v>#REF!</v>
      </c>
      <c r="T86" s="2" t="e">
        <f t="shared" si="84"/>
        <v>#REF!</v>
      </c>
      <c r="U86" s="2">
        <v>60</v>
      </c>
      <c r="V86" s="2">
        <f t="shared" si="85"/>
        <v>45</v>
      </c>
      <c r="W86" s="2" t="e">
        <f t="shared" si="86"/>
        <v>#REF!</v>
      </c>
      <c r="X86" s="2">
        <v>20000</v>
      </c>
      <c r="Y86" s="2" t="e">
        <f t="shared" si="59"/>
        <v>#REF!</v>
      </c>
      <c r="Z86" s="2" t="e">
        <f t="shared" si="60"/>
        <v>#REF!</v>
      </c>
      <c r="AA86" s="2" t="e">
        <f t="shared" si="51"/>
        <v>#REF!</v>
      </c>
      <c r="AB86" s="2" t="e">
        <f t="shared" si="52"/>
        <v>#REF!</v>
      </c>
      <c r="AC86" s="2">
        <f t="shared" si="71"/>
        <v>24203</v>
      </c>
      <c r="AD86" s="2">
        <f t="shared" si="72"/>
        <v>111</v>
      </c>
      <c r="AE86" s="2">
        <f t="shared" si="61"/>
        <v>102</v>
      </c>
      <c r="AF86" s="2" t="str">
        <f t="shared" si="73"/>
        <v>chest_shard</v>
      </c>
      <c r="AG86" s="2" t="str">
        <f t="shared" si="74"/>
        <v>StoreDoubleKey_1</v>
      </c>
      <c r="AH86" s="2" t="str">
        <f t="shared" si="62"/>
        <v>StoreFund_3</v>
      </c>
      <c r="AI86" s="2" t="str">
        <f t="shared" si="23"/>
        <v>[24203,111,102]</v>
      </c>
      <c r="AJ86" s="2" t="str">
        <f t="shared" si="24"/>
        <v>[12,60,20000]</v>
      </c>
      <c r="AK86" s="2" t="str">
        <f t="shared" si="25"/>
        <v>[chest_shard,StoreDoubleKey_1,StoreFund_3]</v>
      </c>
      <c r="AL86" s="2" t="str">
        <f t="shared" si="26"/>
        <v>4+10+碎片礼包</v>
      </c>
      <c r="AM86" s="1" t="str">
        <f t="shared" si="75"/>
        <v>T2 Senior Shard</v>
      </c>
      <c r="AN86" s="1" t="str">
        <f t="shared" si="76"/>
        <v>DoubleKeys</v>
      </c>
      <c r="AO86" s="1" t="str">
        <f t="shared" si="63"/>
        <v>Funds</v>
      </c>
    </row>
    <row r="87" spans="2:41" x14ac:dyDescent="0.3">
      <c r="G87" s="2">
        <v>4</v>
      </c>
      <c r="H87" s="2" t="s">
        <v>2588</v>
      </c>
      <c r="I87" s="2" t="s">
        <v>587</v>
      </c>
      <c r="J87" s="2" t="s">
        <v>325</v>
      </c>
      <c r="K87" s="2" t="e">
        <f t="shared" ref="K87:K118" si="87">IFERROR(VLOOKUP(LEFT(H87,4),$B$40:$C$81,2,FALSE),VLOOKUP(H87,$B$40:$C$81,2,FALSE))</f>
        <v>#REF!</v>
      </c>
      <c r="L87" s="2">
        <f t="shared" si="70"/>
        <v>60</v>
      </c>
      <c r="M87" s="2">
        <f t="shared" si="53"/>
        <v>1</v>
      </c>
      <c r="N87" s="2">
        <v>20</v>
      </c>
      <c r="O87" s="2" t="e">
        <f>N87*#REF!</f>
        <v>#REF!</v>
      </c>
      <c r="P87" s="2">
        <v>3</v>
      </c>
      <c r="Q87" s="2" t="e">
        <f t="shared" si="82"/>
        <v>#REF!</v>
      </c>
      <c r="R87" s="2">
        <v>2</v>
      </c>
      <c r="S87" s="2" t="e">
        <f t="shared" si="83"/>
        <v>#REF!</v>
      </c>
      <c r="T87" s="2" t="e">
        <f t="shared" si="84"/>
        <v>#REF!</v>
      </c>
      <c r="U87" s="2">
        <v>10</v>
      </c>
      <c r="V87" s="2">
        <f t="shared" si="85"/>
        <v>600</v>
      </c>
      <c r="W87" s="2" t="e">
        <f t="shared" si="86"/>
        <v>#REF!</v>
      </c>
      <c r="X87" s="2">
        <v>5000</v>
      </c>
      <c r="Y87" s="2" t="e">
        <f t="shared" si="59"/>
        <v>#REF!</v>
      </c>
      <c r="Z87" s="2" t="e">
        <f t="shared" si="60"/>
        <v>#REF!</v>
      </c>
      <c r="AA87" s="2" t="e">
        <f t="shared" ref="AA87:AA118" si="88">R87*K87+U87*L87+X87*M87</f>
        <v>#REF!</v>
      </c>
      <c r="AB87" s="2" t="e">
        <f t="shared" ref="AB87:AB118" si="89">1-1/(AA87/O87)</f>
        <v>#REF!</v>
      </c>
      <c r="AC87" s="2">
        <f t="shared" si="71"/>
        <v>23204</v>
      </c>
      <c r="AD87" s="2">
        <f t="shared" si="72"/>
        <v>100302</v>
      </c>
      <c r="AE87" s="2">
        <f t="shared" si="61"/>
        <v>101</v>
      </c>
      <c r="AF87" s="2" t="str">
        <f t="shared" si="73"/>
        <v>chest_tankpart</v>
      </c>
      <c r="AG87" s="2" t="str">
        <f t="shared" si="74"/>
        <v>StoreQuikenItem_1</v>
      </c>
      <c r="AH87" s="2" t="str">
        <f t="shared" si="62"/>
        <v>StoreDiamond_1</v>
      </c>
      <c r="AI87" s="2" t="str">
        <f t="shared" si="23"/>
        <v>[23204,100302,101]</v>
      </c>
      <c r="AJ87" s="2" t="str">
        <f t="shared" si="24"/>
        <v>[2,10,5000]</v>
      </c>
      <c r="AK87" s="2" t="str">
        <f t="shared" si="25"/>
        <v>[chest_tankpart,StoreQuikenItem_1,StoreDiamond_1]</v>
      </c>
      <c r="AL87" s="2" t="str">
        <f t="shared" si="26"/>
        <v>4+20+部件礼包</v>
      </c>
      <c r="AM87" s="1" t="str">
        <f t="shared" si="75"/>
        <v>T2 Component</v>
      </c>
      <c r="AN87" s="1" t="str">
        <f t="shared" si="76"/>
        <v>1H_X3_Accelerater</v>
      </c>
      <c r="AO87" s="1" t="str">
        <f t="shared" si="63"/>
        <v>Diamond</v>
      </c>
    </row>
    <row r="88" spans="2:41" x14ac:dyDescent="0.3">
      <c r="G88" s="2">
        <v>4</v>
      </c>
      <c r="H88" s="2" t="s">
        <v>2600</v>
      </c>
      <c r="I88" s="2" t="s">
        <v>519</v>
      </c>
      <c r="J88" s="2" t="s">
        <v>275</v>
      </c>
      <c r="K88" s="2" t="e">
        <f t="shared" si="87"/>
        <v>#REF!</v>
      </c>
      <c r="L88" s="2">
        <f t="shared" si="70"/>
        <v>0.75</v>
      </c>
      <c r="M88" s="2">
        <f t="shared" si="53"/>
        <v>3.9623576027736501E-3</v>
      </c>
      <c r="N88" s="2">
        <v>20</v>
      </c>
      <c r="O88" s="2" t="e">
        <f>N88*#REF!</f>
        <v>#REF!</v>
      </c>
      <c r="P88" s="2">
        <v>3</v>
      </c>
      <c r="Q88" s="2" t="e">
        <f t="shared" si="82"/>
        <v>#REF!</v>
      </c>
      <c r="R88" s="2">
        <v>24</v>
      </c>
      <c r="S88" s="2" t="e">
        <f t="shared" si="83"/>
        <v>#REF!</v>
      </c>
      <c r="T88" s="2" t="e">
        <f t="shared" si="84"/>
        <v>#REF!</v>
      </c>
      <c r="U88" s="2">
        <v>80</v>
      </c>
      <c r="V88" s="2">
        <f t="shared" si="85"/>
        <v>60</v>
      </c>
      <c r="W88" s="2" t="e">
        <f t="shared" si="86"/>
        <v>#REF!</v>
      </c>
      <c r="X88" s="2">
        <v>50000</v>
      </c>
      <c r="Y88" s="2" t="e">
        <f t="shared" si="59"/>
        <v>#REF!</v>
      </c>
      <c r="Z88" s="2" t="e">
        <f t="shared" si="60"/>
        <v>#REF!</v>
      </c>
      <c r="AA88" s="2" t="e">
        <f t="shared" si="88"/>
        <v>#REF!</v>
      </c>
      <c r="AB88" s="2" t="e">
        <f t="shared" si="89"/>
        <v>#REF!</v>
      </c>
      <c r="AC88" s="2">
        <f t="shared" si="71"/>
        <v>24203</v>
      </c>
      <c r="AD88" s="2">
        <f t="shared" si="72"/>
        <v>111</v>
      </c>
      <c r="AE88" s="2">
        <f t="shared" si="61"/>
        <v>102</v>
      </c>
      <c r="AF88" s="2" t="str">
        <f t="shared" si="73"/>
        <v>chest_shard</v>
      </c>
      <c r="AG88" s="2" t="str">
        <f t="shared" si="74"/>
        <v>StoreDoubleKey_1</v>
      </c>
      <c r="AH88" s="2" t="str">
        <f t="shared" si="62"/>
        <v>StoreFund_3</v>
      </c>
      <c r="AI88" s="2" t="str">
        <f t="shared" ref="AI88:AI151" si="90">"["&amp;AC88&amp;","&amp;AD88&amp;","&amp;AE88&amp;"]"</f>
        <v>[24203,111,102]</v>
      </c>
      <c r="AJ88" s="2" t="str">
        <f t="shared" ref="AJ88:AJ151" si="91">"["&amp;R88&amp;","&amp;U88&amp;","&amp;X88&amp;"]"</f>
        <v>[24,80,50000]</v>
      </c>
      <c r="AK88" s="2" t="str">
        <f t="shared" ref="AK88:AK151" si="92">"["&amp;AF88&amp;","&amp;AG88&amp;","&amp;AH88&amp;"]"</f>
        <v>[chest_shard,StoreDoubleKey_1,StoreFund_3]</v>
      </c>
      <c r="AL88" s="2" t="str">
        <f t="shared" ref="AL88:AL151" si="93">G88&amp;"+"&amp;N88&amp;"+"&amp;LEFT(H88,4)</f>
        <v>4+20+碎片礼包</v>
      </c>
      <c r="AM88" s="1" t="str">
        <f t="shared" si="75"/>
        <v>T2 Senior Shard</v>
      </c>
      <c r="AN88" s="1" t="str">
        <f t="shared" si="76"/>
        <v>DoubleKeys</v>
      </c>
      <c r="AO88" s="1" t="str">
        <f t="shared" si="63"/>
        <v>Funds</v>
      </c>
    </row>
    <row r="89" spans="2:41" x14ac:dyDescent="0.3">
      <c r="G89" s="2">
        <v>4</v>
      </c>
      <c r="H89" s="2" t="s">
        <v>2588</v>
      </c>
      <c r="I89" s="2" t="s">
        <v>587</v>
      </c>
      <c r="J89" s="2" t="s">
        <v>325</v>
      </c>
      <c r="K89" s="2" t="e">
        <f t="shared" si="87"/>
        <v>#REF!</v>
      </c>
      <c r="L89" s="2">
        <f t="shared" si="70"/>
        <v>60</v>
      </c>
      <c r="M89" s="2">
        <f t="shared" si="53"/>
        <v>1</v>
      </c>
      <c r="N89" s="2">
        <v>5</v>
      </c>
      <c r="O89" s="2" t="e">
        <f>N89*#REF!</f>
        <v>#REF!</v>
      </c>
      <c r="P89" s="2">
        <v>2</v>
      </c>
      <c r="Q89" s="2" t="e">
        <f t="shared" si="82"/>
        <v>#REF!</v>
      </c>
      <c r="R89" s="2">
        <v>1</v>
      </c>
      <c r="S89" s="2" t="e">
        <f t="shared" si="83"/>
        <v>#REF!</v>
      </c>
      <c r="T89" s="2" t="e">
        <f t="shared" si="84"/>
        <v>#REF!</v>
      </c>
      <c r="U89" s="2">
        <v>5</v>
      </c>
      <c r="V89" s="2">
        <f t="shared" si="85"/>
        <v>300</v>
      </c>
      <c r="W89" s="2" t="e">
        <f t="shared" si="86"/>
        <v>#REF!</v>
      </c>
      <c r="X89" s="2">
        <v>500</v>
      </c>
      <c r="Y89" s="2" t="e">
        <f t="shared" si="59"/>
        <v>#REF!</v>
      </c>
      <c r="Z89" s="2" t="e">
        <f t="shared" si="60"/>
        <v>#REF!</v>
      </c>
      <c r="AA89" s="2" t="e">
        <f t="shared" si="88"/>
        <v>#REF!</v>
      </c>
      <c r="AB89" s="2" t="e">
        <f t="shared" si="89"/>
        <v>#REF!</v>
      </c>
      <c r="AC89" s="2">
        <f t="shared" si="71"/>
        <v>23204</v>
      </c>
      <c r="AD89" s="2">
        <f t="shared" si="72"/>
        <v>100302</v>
      </c>
      <c r="AE89" s="2">
        <f t="shared" si="61"/>
        <v>101</v>
      </c>
      <c r="AF89" s="2" t="str">
        <f t="shared" si="73"/>
        <v>chest_tankpart</v>
      </c>
      <c r="AG89" s="2" t="str">
        <f t="shared" si="74"/>
        <v>StoreQuikenItem_1</v>
      </c>
      <c r="AH89" s="2" t="str">
        <f t="shared" si="62"/>
        <v>StoreDiamond_1</v>
      </c>
      <c r="AI89" s="2" t="str">
        <f t="shared" si="90"/>
        <v>[23204,100302,101]</v>
      </c>
      <c r="AJ89" s="2" t="str">
        <f t="shared" si="91"/>
        <v>[1,5,500]</v>
      </c>
      <c r="AK89" s="2" t="str">
        <f t="shared" si="92"/>
        <v>[chest_tankpart,StoreQuikenItem_1,StoreDiamond_1]</v>
      </c>
      <c r="AL89" s="2" t="str">
        <f t="shared" si="93"/>
        <v>4+5+部件礼包</v>
      </c>
      <c r="AM89" s="1" t="str">
        <f t="shared" si="75"/>
        <v>T2 Component</v>
      </c>
      <c r="AN89" s="1" t="str">
        <f t="shared" si="76"/>
        <v>1H_X3_Accelerater</v>
      </c>
      <c r="AO89" s="1" t="str">
        <f t="shared" si="63"/>
        <v>Diamond</v>
      </c>
    </row>
    <row r="90" spans="2:41" x14ac:dyDescent="0.3">
      <c r="G90" s="2">
        <v>4</v>
      </c>
      <c r="H90" s="2" t="s">
        <v>2600</v>
      </c>
      <c r="I90" s="2" t="s">
        <v>519</v>
      </c>
      <c r="J90" s="2" t="s">
        <v>275</v>
      </c>
      <c r="K90" s="2" t="e">
        <f t="shared" si="87"/>
        <v>#REF!</v>
      </c>
      <c r="L90" s="2">
        <f t="shared" si="70"/>
        <v>0.75</v>
      </c>
      <c r="M90" s="2">
        <f t="shared" si="53"/>
        <v>3.9623576027736501E-3</v>
      </c>
      <c r="N90" s="2">
        <v>5</v>
      </c>
      <c r="O90" s="2" t="e">
        <f>N90*#REF!</f>
        <v>#REF!</v>
      </c>
      <c r="P90" s="2">
        <v>2</v>
      </c>
      <c r="Q90" s="2" t="e">
        <f t="shared" si="82"/>
        <v>#REF!</v>
      </c>
      <c r="R90" s="2">
        <v>3</v>
      </c>
      <c r="S90" s="2" t="e">
        <f t="shared" si="83"/>
        <v>#REF!</v>
      </c>
      <c r="T90" s="2" t="e">
        <f t="shared" si="84"/>
        <v>#REF!</v>
      </c>
      <c r="U90" s="2">
        <v>50</v>
      </c>
      <c r="V90" s="2">
        <f t="shared" si="85"/>
        <v>37.5</v>
      </c>
      <c r="W90" s="2" t="e">
        <f t="shared" si="86"/>
        <v>#REF!</v>
      </c>
      <c r="X90" s="2">
        <v>60000</v>
      </c>
      <c r="Y90" s="2" t="e">
        <f t="shared" si="59"/>
        <v>#REF!</v>
      </c>
      <c r="Z90" s="2" t="e">
        <f t="shared" si="60"/>
        <v>#REF!</v>
      </c>
      <c r="AA90" s="2" t="e">
        <f t="shared" si="88"/>
        <v>#REF!</v>
      </c>
      <c r="AB90" s="2" t="e">
        <f t="shared" si="89"/>
        <v>#REF!</v>
      </c>
      <c r="AC90" s="2">
        <f t="shared" si="71"/>
        <v>24203</v>
      </c>
      <c r="AD90" s="2">
        <f t="shared" si="72"/>
        <v>111</v>
      </c>
      <c r="AE90" s="2">
        <f t="shared" si="61"/>
        <v>102</v>
      </c>
      <c r="AF90" s="2" t="str">
        <f t="shared" si="73"/>
        <v>chest_shard</v>
      </c>
      <c r="AG90" s="2" t="str">
        <f t="shared" si="74"/>
        <v>StoreDoubleKey_1</v>
      </c>
      <c r="AH90" s="2" t="str">
        <f t="shared" si="62"/>
        <v>StoreFund_3</v>
      </c>
      <c r="AI90" s="2" t="str">
        <f t="shared" si="90"/>
        <v>[24203,111,102]</v>
      </c>
      <c r="AJ90" s="2" t="str">
        <f t="shared" si="91"/>
        <v>[3,50,60000]</v>
      </c>
      <c r="AK90" s="2" t="str">
        <f t="shared" si="92"/>
        <v>[chest_shard,StoreDoubleKey_1,StoreFund_3]</v>
      </c>
      <c r="AL90" s="2" t="str">
        <f t="shared" si="93"/>
        <v>4+5+碎片礼包</v>
      </c>
      <c r="AM90" s="1" t="str">
        <f t="shared" si="75"/>
        <v>T2 Senior Shard</v>
      </c>
      <c r="AN90" s="1" t="str">
        <f t="shared" si="76"/>
        <v>DoubleKeys</v>
      </c>
      <c r="AO90" s="1" t="str">
        <f t="shared" si="63"/>
        <v>Funds</v>
      </c>
    </row>
    <row r="91" spans="2:41" x14ac:dyDescent="0.3">
      <c r="G91" s="2">
        <v>4</v>
      </c>
      <c r="H91" s="2" t="s">
        <v>2588</v>
      </c>
      <c r="I91" s="2" t="s">
        <v>587</v>
      </c>
      <c r="J91" s="2" t="s">
        <v>325</v>
      </c>
      <c r="K91" s="2" t="e">
        <f t="shared" si="87"/>
        <v>#REF!</v>
      </c>
      <c r="L91" s="2">
        <f t="shared" si="70"/>
        <v>60</v>
      </c>
      <c r="M91" s="2">
        <f t="shared" ref="M91:M122" si="94">VLOOKUP(J91,$B$40:$C$81,2,FALSE)</f>
        <v>1</v>
      </c>
      <c r="N91" s="2">
        <v>10</v>
      </c>
      <c r="O91" s="2" t="e">
        <f>N91*#REF!</f>
        <v>#REF!</v>
      </c>
      <c r="P91" s="2">
        <v>2</v>
      </c>
      <c r="Q91" s="2" t="e">
        <f t="shared" si="82"/>
        <v>#REF!</v>
      </c>
      <c r="R91" s="2">
        <v>3</v>
      </c>
      <c r="S91" s="2" t="e">
        <f t="shared" si="83"/>
        <v>#REF!</v>
      </c>
      <c r="T91" s="2" t="e">
        <f t="shared" si="84"/>
        <v>#REF!</v>
      </c>
      <c r="U91" s="2">
        <v>5</v>
      </c>
      <c r="V91" s="2">
        <f t="shared" si="85"/>
        <v>300</v>
      </c>
      <c r="W91" s="2" t="e">
        <f t="shared" si="86"/>
        <v>#REF!</v>
      </c>
      <c r="X91" s="2">
        <v>1100</v>
      </c>
      <c r="Y91" s="2" t="e">
        <f t="shared" ref="Y91:Y122" si="95">Z91*Q91</f>
        <v>#REF!</v>
      </c>
      <c r="Z91" s="2" t="e">
        <f t="shared" ref="Z91:Z122" si="96">1-T91-W91</f>
        <v>#REF!</v>
      </c>
      <c r="AA91" s="2" t="e">
        <f t="shared" si="88"/>
        <v>#REF!</v>
      </c>
      <c r="AB91" s="2" t="e">
        <f t="shared" si="89"/>
        <v>#REF!</v>
      </c>
      <c r="AC91" s="2">
        <f t="shared" si="71"/>
        <v>23204</v>
      </c>
      <c r="AD91" s="2">
        <f t="shared" si="72"/>
        <v>100302</v>
      </c>
      <c r="AE91" s="2">
        <f t="shared" ref="AE91:AE122" si="97">VLOOKUP(J91,道具ID,2,FALSE)</f>
        <v>101</v>
      </c>
      <c r="AF91" s="2" t="str">
        <f t="shared" si="73"/>
        <v>chest_tankpart</v>
      </c>
      <c r="AG91" s="2" t="str">
        <f t="shared" si="74"/>
        <v>StoreQuikenItem_1</v>
      </c>
      <c r="AH91" s="2" t="str">
        <f t="shared" ref="AH91:AH122" si="98">VLOOKUP(J91,道具ID,3,FALSE)</f>
        <v>StoreDiamond_1</v>
      </c>
      <c r="AI91" s="2" t="str">
        <f t="shared" si="90"/>
        <v>[23204,100302,101]</v>
      </c>
      <c r="AJ91" s="2" t="str">
        <f t="shared" si="91"/>
        <v>[3,5,1100]</v>
      </c>
      <c r="AK91" s="2" t="str">
        <f t="shared" si="92"/>
        <v>[chest_tankpart,StoreQuikenItem_1,StoreDiamond_1]</v>
      </c>
      <c r="AL91" s="2" t="str">
        <f t="shared" si="93"/>
        <v>4+10+部件礼包</v>
      </c>
      <c r="AM91" s="1" t="str">
        <f t="shared" si="75"/>
        <v>T2 Component</v>
      </c>
      <c r="AN91" s="1" t="str">
        <f t="shared" si="76"/>
        <v>1H_X3_Accelerater</v>
      </c>
      <c r="AO91" s="1" t="str">
        <f t="shared" ref="AO91:AO122" si="99">VLOOKUP(J91,道具ID,4,FALSE)</f>
        <v>Diamond</v>
      </c>
    </row>
    <row r="92" spans="2:41" x14ac:dyDescent="0.3">
      <c r="G92" s="2">
        <v>4</v>
      </c>
      <c r="H92" s="2" t="s">
        <v>2600</v>
      </c>
      <c r="I92" s="2" t="s">
        <v>519</v>
      </c>
      <c r="J92" s="2" t="s">
        <v>275</v>
      </c>
      <c r="K92" s="2" t="e">
        <f t="shared" si="87"/>
        <v>#REF!</v>
      </c>
      <c r="L92" s="2">
        <f t="shared" si="70"/>
        <v>0.75</v>
      </c>
      <c r="M92" s="2">
        <f t="shared" si="94"/>
        <v>3.9623576027736501E-3</v>
      </c>
      <c r="N92" s="2">
        <v>10</v>
      </c>
      <c r="O92" s="2" t="e">
        <f>N92*#REF!</f>
        <v>#REF!</v>
      </c>
      <c r="P92" s="2">
        <v>2</v>
      </c>
      <c r="Q92" s="2" t="e">
        <f t="shared" si="82"/>
        <v>#REF!</v>
      </c>
      <c r="R92" s="2">
        <v>8</v>
      </c>
      <c r="S92" s="2" t="e">
        <f t="shared" si="83"/>
        <v>#REF!</v>
      </c>
      <c r="T92" s="2" t="e">
        <f t="shared" si="84"/>
        <v>#REF!</v>
      </c>
      <c r="U92" s="2">
        <v>50</v>
      </c>
      <c r="V92" s="2">
        <f t="shared" si="85"/>
        <v>37.5</v>
      </c>
      <c r="W92" s="2" t="e">
        <f t="shared" si="86"/>
        <v>#REF!</v>
      </c>
      <c r="X92" s="2">
        <v>10000</v>
      </c>
      <c r="Y92" s="2" t="e">
        <f t="shared" si="95"/>
        <v>#REF!</v>
      </c>
      <c r="Z92" s="2" t="e">
        <f t="shared" si="96"/>
        <v>#REF!</v>
      </c>
      <c r="AA92" s="2" t="e">
        <f t="shared" si="88"/>
        <v>#REF!</v>
      </c>
      <c r="AB92" s="2" t="e">
        <f t="shared" si="89"/>
        <v>#REF!</v>
      </c>
      <c r="AC92" s="2">
        <f t="shared" si="71"/>
        <v>24203</v>
      </c>
      <c r="AD92" s="2">
        <f t="shared" si="72"/>
        <v>111</v>
      </c>
      <c r="AE92" s="2">
        <f t="shared" si="97"/>
        <v>102</v>
      </c>
      <c r="AF92" s="2" t="str">
        <f t="shared" si="73"/>
        <v>chest_shard</v>
      </c>
      <c r="AG92" s="2" t="str">
        <f t="shared" si="74"/>
        <v>StoreDoubleKey_1</v>
      </c>
      <c r="AH92" s="2" t="str">
        <f t="shared" si="98"/>
        <v>StoreFund_3</v>
      </c>
      <c r="AI92" s="2" t="str">
        <f t="shared" si="90"/>
        <v>[24203,111,102]</v>
      </c>
      <c r="AJ92" s="2" t="str">
        <f t="shared" si="91"/>
        <v>[8,50,10000]</v>
      </c>
      <c r="AK92" s="2" t="str">
        <f t="shared" si="92"/>
        <v>[chest_shard,StoreDoubleKey_1,StoreFund_3]</v>
      </c>
      <c r="AL92" s="2" t="str">
        <f t="shared" si="93"/>
        <v>4+10+碎片礼包</v>
      </c>
      <c r="AM92" s="1" t="str">
        <f t="shared" si="75"/>
        <v>T2 Senior Shard</v>
      </c>
      <c r="AN92" s="1" t="str">
        <f t="shared" si="76"/>
        <v>DoubleKeys</v>
      </c>
      <c r="AO92" s="1" t="str">
        <f t="shared" si="99"/>
        <v>Funds</v>
      </c>
    </row>
    <row r="93" spans="2:41" x14ac:dyDescent="0.3">
      <c r="G93" s="2">
        <v>4</v>
      </c>
      <c r="H93" s="2" t="s">
        <v>2588</v>
      </c>
      <c r="I93" s="2" t="s">
        <v>587</v>
      </c>
      <c r="J93" s="2" t="s">
        <v>325</v>
      </c>
      <c r="K93" s="2" t="e">
        <f t="shared" si="87"/>
        <v>#REF!</v>
      </c>
      <c r="L93" s="2">
        <f t="shared" si="70"/>
        <v>60</v>
      </c>
      <c r="M93" s="2">
        <f t="shared" si="94"/>
        <v>1</v>
      </c>
      <c r="N93" s="2">
        <v>20</v>
      </c>
      <c r="O93" s="2" t="e">
        <f>N93*#REF!</f>
        <v>#REF!</v>
      </c>
      <c r="P93" s="2">
        <v>2</v>
      </c>
      <c r="Q93" s="2" t="e">
        <f t="shared" si="82"/>
        <v>#REF!</v>
      </c>
      <c r="R93" s="2">
        <v>3</v>
      </c>
      <c r="S93" s="2" t="e">
        <f t="shared" si="83"/>
        <v>#REF!</v>
      </c>
      <c r="T93" s="2" t="e">
        <f t="shared" si="84"/>
        <v>#REF!</v>
      </c>
      <c r="U93" s="2">
        <v>10</v>
      </c>
      <c r="V93" s="2">
        <f t="shared" si="85"/>
        <v>600</v>
      </c>
      <c r="W93" s="2" t="e">
        <f t="shared" si="86"/>
        <v>#REF!</v>
      </c>
      <c r="X93" s="2">
        <v>2800</v>
      </c>
      <c r="Y93" s="2" t="e">
        <f t="shared" si="95"/>
        <v>#REF!</v>
      </c>
      <c r="Z93" s="2" t="e">
        <f t="shared" si="96"/>
        <v>#REF!</v>
      </c>
      <c r="AA93" s="2" t="e">
        <f t="shared" si="88"/>
        <v>#REF!</v>
      </c>
      <c r="AB93" s="2" t="e">
        <f t="shared" si="89"/>
        <v>#REF!</v>
      </c>
      <c r="AC93" s="2">
        <f t="shared" si="71"/>
        <v>23204</v>
      </c>
      <c r="AD93" s="2">
        <f t="shared" si="72"/>
        <v>100302</v>
      </c>
      <c r="AE93" s="2">
        <f t="shared" si="97"/>
        <v>101</v>
      </c>
      <c r="AF93" s="2" t="str">
        <f t="shared" si="73"/>
        <v>chest_tankpart</v>
      </c>
      <c r="AG93" s="2" t="str">
        <f t="shared" si="74"/>
        <v>StoreQuikenItem_1</v>
      </c>
      <c r="AH93" s="2" t="str">
        <f t="shared" si="98"/>
        <v>StoreDiamond_1</v>
      </c>
      <c r="AI93" s="2" t="str">
        <f t="shared" si="90"/>
        <v>[23204,100302,101]</v>
      </c>
      <c r="AJ93" s="2" t="str">
        <f t="shared" si="91"/>
        <v>[3,10,2800]</v>
      </c>
      <c r="AK93" s="2" t="str">
        <f t="shared" si="92"/>
        <v>[chest_tankpart,StoreQuikenItem_1,StoreDiamond_1]</v>
      </c>
      <c r="AL93" s="2" t="str">
        <f t="shared" si="93"/>
        <v>4+20+部件礼包</v>
      </c>
      <c r="AM93" s="1" t="str">
        <f t="shared" si="75"/>
        <v>T2 Component</v>
      </c>
      <c r="AN93" s="1" t="str">
        <f t="shared" si="76"/>
        <v>1H_X3_Accelerater</v>
      </c>
      <c r="AO93" s="1" t="str">
        <f t="shared" si="99"/>
        <v>Diamond</v>
      </c>
    </row>
    <row r="94" spans="2:41" x14ac:dyDescent="0.3">
      <c r="G94" s="2">
        <v>4</v>
      </c>
      <c r="H94" s="2" t="s">
        <v>2600</v>
      </c>
      <c r="I94" s="2" t="s">
        <v>519</v>
      </c>
      <c r="J94" s="2" t="s">
        <v>275</v>
      </c>
      <c r="K94" s="2" t="e">
        <f t="shared" si="87"/>
        <v>#REF!</v>
      </c>
      <c r="L94" s="2">
        <f t="shared" si="70"/>
        <v>0.75</v>
      </c>
      <c r="M94" s="2">
        <f t="shared" si="94"/>
        <v>3.9623576027736501E-3</v>
      </c>
      <c r="N94" s="2">
        <v>20</v>
      </c>
      <c r="O94" s="2" t="e">
        <f>N94*#REF!</f>
        <v>#REF!</v>
      </c>
      <c r="P94" s="2">
        <v>2</v>
      </c>
      <c r="Q94" s="2" t="e">
        <f t="shared" si="82"/>
        <v>#REF!</v>
      </c>
      <c r="R94" s="2">
        <v>15</v>
      </c>
      <c r="S94" s="2" t="e">
        <f t="shared" si="83"/>
        <v>#REF!</v>
      </c>
      <c r="T94" s="2" t="e">
        <f t="shared" si="84"/>
        <v>#REF!</v>
      </c>
      <c r="U94" s="2">
        <v>50</v>
      </c>
      <c r="V94" s="2">
        <f t="shared" si="85"/>
        <v>37.5</v>
      </c>
      <c r="W94" s="2" t="e">
        <f t="shared" si="86"/>
        <v>#REF!</v>
      </c>
      <c r="X94" s="2">
        <v>90000</v>
      </c>
      <c r="Y94" s="2" t="e">
        <f t="shared" si="95"/>
        <v>#REF!</v>
      </c>
      <c r="Z94" s="2" t="e">
        <f t="shared" si="96"/>
        <v>#REF!</v>
      </c>
      <c r="AA94" s="2" t="e">
        <f t="shared" si="88"/>
        <v>#REF!</v>
      </c>
      <c r="AB94" s="2" t="e">
        <f t="shared" si="89"/>
        <v>#REF!</v>
      </c>
      <c r="AC94" s="2">
        <f t="shared" si="71"/>
        <v>24203</v>
      </c>
      <c r="AD94" s="2">
        <f t="shared" si="72"/>
        <v>111</v>
      </c>
      <c r="AE94" s="2">
        <f t="shared" si="97"/>
        <v>102</v>
      </c>
      <c r="AF94" s="2" t="str">
        <f t="shared" si="73"/>
        <v>chest_shard</v>
      </c>
      <c r="AG94" s="2" t="str">
        <f t="shared" si="74"/>
        <v>StoreDoubleKey_1</v>
      </c>
      <c r="AH94" s="2" t="str">
        <f t="shared" si="98"/>
        <v>StoreFund_3</v>
      </c>
      <c r="AI94" s="2" t="str">
        <f t="shared" si="90"/>
        <v>[24203,111,102]</v>
      </c>
      <c r="AJ94" s="2" t="str">
        <f t="shared" si="91"/>
        <v>[15,50,90000]</v>
      </c>
      <c r="AK94" s="2" t="str">
        <f t="shared" si="92"/>
        <v>[chest_shard,StoreDoubleKey_1,StoreFund_3]</v>
      </c>
      <c r="AL94" s="2" t="str">
        <f t="shared" si="93"/>
        <v>4+20+碎片礼包</v>
      </c>
      <c r="AM94" s="1" t="str">
        <f t="shared" si="75"/>
        <v>T2 Senior Shard</v>
      </c>
      <c r="AN94" s="1" t="str">
        <f t="shared" si="76"/>
        <v>DoubleKeys</v>
      </c>
      <c r="AO94" s="1" t="str">
        <f t="shared" si="99"/>
        <v>Funds</v>
      </c>
    </row>
    <row r="95" spans="2:41" x14ac:dyDescent="0.3">
      <c r="G95" s="2">
        <v>5</v>
      </c>
      <c r="H95" s="2" t="s">
        <v>2590</v>
      </c>
      <c r="I95" s="2" t="s">
        <v>587</v>
      </c>
      <c r="J95" s="2" t="s">
        <v>325</v>
      </c>
      <c r="K95" s="2" t="e">
        <f t="shared" si="87"/>
        <v>#REF!</v>
      </c>
      <c r="L95" s="2">
        <f t="shared" si="70"/>
        <v>60</v>
      </c>
      <c r="M95" s="2">
        <f t="shared" si="94"/>
        <v>1</v>
      </c>
      <c r="N95" s="2">
        <v>5</v>
      </c>
      <c r="O95" s="2" t="e">
        <f>N95*#REF!</f>
        <v>#REF!</v>
      </c>
      <c r="P95" s="2">
        <v>2</v>
      </c>
      <c r="Q95" s="2" t="e">
        <f t="shared" ref="Q95:Q102" si="100">O95*P95</f>
        <v>#REF!</v>
      </c>
      <c r="R95" s="2">
        <v>1</v>
      </c>
      <c r="S95" s="2" t="e">
        <f t="shared" ref="S95:S102" si="101">R95*K95</f>
        <v>#REF!</v>
      </c>
      <c r="T95" s="2" t="e">
        <f t="shared" ref="T95:T102" si="102">S95/Q95</f>
        <v>#REF!</v>
      </c>
      <c r="U95" s="2">
        <v>10</v>
      </c>
      <c r="V95" s="2">
        <f t="shared" ref="V95:V102" si="103">U95*L95</f>
        <v>600</v>
      </c>
      <c r="W95" s="2" t="e">
        <f t="shared" ref="W95:W102" si="104">V95/Q95</f>
        <v>#REF!</v>
      </c>
      <c r="X95" s="2">
        <v>200</v>
      </c>
      <c r="Y95" s="2" t="e">
        <f t="shared" si="95"/>
        <v>#REF!</v>
      </c>
      <c r="Z95" s="2" t="e">
        <f t="shared" si="96"/>
        <v>#REF!</v>
      </c>
      <c r="AA95" s="2" t="e">
        <f t="shared" si="88"/>
        <v>#REF!</v>
      </c>
      <c r="AB95" s="2" t="e">
        <f t="shared" si="89"/>
        <v>#REF!</v>
      </c>
      <c r="AC95" s="2">
        <f t="shared" si="71"/>
        <v>23205</v>
      </c>
      <c r="AD95" s="2">
        <f t="shared" si="72"/>
        <v>100302</v>
      </c>
      <c r="AE95" s="2">
        <f t="shared" si="97"/>
        <v>101</v>
      </c>
      <c r="AF95" s="2" t="str">
        <f t="shared" si="73"/>
        <v>chest_tankpart</v>
      </c>
      <c r="AG95" s="2" t="str">
        <f t="shared" si="74"/>
        <v>StoreQuikenItem_1</v>
      </c>
      <c r="AH95" s="2" t="str">
        <f t="shared" si="98"/>
        <v>StoreDiamond_1</v>
      </c>
      <c r="AI95" s="2" t="str">
        <f t="shared" si="90"/>
        <v>[23205,100302,101]</v>
      </c>
      <c r="AJ95" s="2" t="str">
        <f t="shared" si="91"/>
        <v>[1,10,200]</v>
      </c>
      <c r="AK95" s="2" t="str">
        <f t="shared" si="92"/>
        <v>[chest_tankpart,StoreQuikenItem_1,StoreDiamond_1]</v>
      </c>
      <c r="AL95" s="2" t="str">
        <f t="shared" si="93"/>
        <v>5+5+部件礼包</v>
      </c>
      <c r="AM95" s="1" t="str">
        <f t="shared" si="75"/>
        <v>T2 Component</v>
      </c>
      <c r="AN95" s="1" t="str">
        <f t="shared" si="76"/>
        <v>1H_X3_Accelerater</v>
      </c>
      <c r="AO95" s="1" t="str">
        <f t="shared" si="99"/>
        <v>Diamond</v>
      </c>
    </row>
    <row r="96" spans="2:41" x14ac:dyDescent="0.3">
      <c r="G96" s="2">
        <v>5</v>
      </c>
      <c r="H96" s="2" t="s">
        <v>2602</v>
      </c>
      <c r="I96" s="2" t="s">
        <v>519</v>
      </c>
      <c r="J96" s="2" t="s">
        <v>275</v>
      </c>
      <c r="K96" s="2" t="e">
        <f t="shared" si="87"/>
        <v>#REF!</v>
      </c>
      <c r="L96" s="2">
        <f t="shared" si="70"/>
        <v>0.75</v>
      </c>
      <c r="M96" s="2">
        <f t="shared" si="94"/>
        <v>3.9623576027736501E-3</v>
      </c>
      <c r="N96" s="2">
        <v>5</v>
      </c>
      <c r="O96" s="2" t="e">
        <f>N96*#REF!</f>
        <v>#REF!</v>
      </c>
      <c r="P96" s="2">
        <v>2</v>
      </c>
      <c r="Q96" s="2" t="e">
        <f t="shared" si="100"/>
        <v>#REF!</v>
      </c>
      <c r="R96" s="2">
        <v>4</v>
      </c>
      <c r="S96" s="2" t="e">
        <f t="shared" si="101"/>
        <v>#REF!</v>
      </c>
      <c r="T96" s="2" t="e">
        <f t="shared" si="102"/>
        <v>#REF!</v>
      </c>
      <c r="U96" s="2">
        <v>50</v>
      </c>
      <c r="V96" s="2">
        <f t="shared" si="103"/>
        <v>37.5</v>
      </c>
      <c r="W96" s="2" t="e">
        <f t="shared" si="104"/>
        <v>#REF!</v>
      </c>
      <c r="X96" s="2">
        <v>60000</v>
      </c>
      <c r="Y96" s="2" t="e">
        <f t="shared" si="95"/>
        <v>#REF!</v>
      </c>
      <c r="Z96" s="2" t="e">
        <f t="shared" si="96"/>
        <v>#REF!</v>
      </c>
      <c r="AA96" s="2" t="e">
        <f t="shared" si="88"/>
        <v>#REF!</v>
      </c>
      <c r="AB96" s="2" t="e">
        <f t="shared" si="89"/>
        <v>#REF!</v>
      </c>
      <c r="AC96" s="2">
        <f t="shared" si="71"/>
        <v>24204</v>
      </c>
      <c r="AD96" s="2">
        <f t="shared" si="72"/>
        <v>111</v>
      </c>
      <c r="AE96" s="2">
        <f t="shared" si="97"/>
        <v>102</v>
      </c>
      <c r="AF96" s="2" t="str">
        <f t="shared" si="73"/>
        <v>chest_shard</v>
      </c>
      <c r="AG96" s="2" t="str">
        <f t="shared" si="74"/>
        <v>StoreDoubleKey_1</v>
      </c>
      <c r="AH96" s="2" t="str">
        <f t="shared" si="98"/>
        <v>StoreFund_3</v>
      </c>
      <c r="AI96" s="2" t="str">
        <f t="shared" si="90"/>
        <v>[24204,111,102]</v>
      </c>
      <c r="AJ96" s="2" t="str">
        <f t="shared" si="91"/>
        <v>[4,50,60000]</v>
      </c>
      <c r="AK96" s="2" t="str">
        <f t="shared" si="92"/>
        <v>[chest_shard,StoreDoubleKey_1,StoreFund_3]</v>
      </c>
      <c r="AL96" s="2" t="str">
        <f t="shared" si="93"/>
        <v>5+5+碎片礼包</v>
      </c>
      <c r="AM96" s="1" t="str">
        <f t="shared" si="75"/>
        <v xml:space="preserve"> T3General Shard</v>
      </c>
      <c r="AN96" s="1" t="str">
        <f t="shared" si="76"/>
        <v>DoubleKeys</v>
      </c>
      <c r="AO96" s="1" t="str">
        <f t="shared" si="99"/>
        <v>Funds</v>
      </c>
    </row>
    <row r="97" spans="7:41" x14ac:dyDescent="0.3">
      <c r="G97" s="2">
        <v>5</v>
      </c>
      <c r="H97" s="2" t="s">
        <v>2590</v>
      </c>
      <c r="I97" s="2" t="s">
        <v>587</v>
      </c>
      <c r="J97" s="2" t="s">
        <v>325</v>
      </c>
      <c r="K97" s="2" t="e">
        <f t="shared" si="87"/>
        <v>#REF!</v>
      </c>
      <c r="L97" s="2">
        <f t="shared" si="70"/>
        <v>60</v>
      </c>
      <c r="M97" s="2">
        <f t="shared" si="94"/>
        <v>1</v>
      </c>
      <c r="N97" s="2">
        <v>10</v>
      </c>
      <c r="O97" s="2" t="e">
        <f>N97*#REF!</f>
        <v>#REF!</v>
      </c>
      <c r="P97" s="2">
        <v>2</v>
      </c>
      <c r="Q97" s="2" t="e">
        <f t="shared" si="100"/>
        <v>#REF!</v>
      </c>
      <c r="R97" s="2">
        <v>3</v>
      </c>
      <c r="S97" s="2" t="e">
        <f t="shared" si="101"/>
        <v>#REF!</v>
      </c>
      <c r="T97" s="2" t="e">
        <f t="shared" si="102"/>
        <v>#REF!</v>
      </c>
      <c r="U97" s="2">
        <v>15</v>
      </c>
      <c r="V97" s="2">
        <f t="shared" si="103"/>
        <v>900</v>
      </c>
      <c r="W97" s="2" t="e">
        <f t="shared" si="104"/>
        <v>#REF!</v>
      </c>
      <c r="X97" s="2">
        <v>500</v>
      </c>
      <c r="Y97" s="2" t="e">
        <f t="shared" si="95"/>
        <v>#REF!</v>
      </c>
      <c r="Z97" s="2" t="e">
        <f t="shared" si="96"/>
        <v>#REF!</v>
      </c>
      <c r="AA97" s="2" t="e">
        <f t="shared" si="88"/>
        <v>#REF!</v>
      </c>
      <c r="AB97" s="2" t="e">
        <f t="shared" si="89"/>
        <v>#REF!</v>
      </c>
      <c r="AC97" s="2">
        <f t="shared" si="71"/>
        <v>23205</v>
      </c>
      <c r="AD97" s="2">
        <f t="shared" si="72"/>
        <v>100302</v>
      </c>
      <c r="AE97" s="2">
        <f t="shared" si="97"/>
        <v>101</v>
      </c>
      <c r="AF97" s="2" t="str">
        <f t="shared" si="73"/>
        <v>chest_tankpart</v>
      </c>
      <c r="AG97" s="2" t="str">
        <f t="shared" si="74"/>
        <v>StoreQuikenItem_1</v>
      </c>
      <c r="AH97" s="2" t="str">
        <f t="shared" si="98"/>
        <v>StoreDiamond_1</v>
      </c>
      <c r="AI97" s="2" t="str">
        <f t="shared" si="90"/>
        <v>[23205,100302,101]</v>
      </c>
      <c r="AJ97" s="2" t="str">
        <f t="shared" si="91"/>
        <v>[3,15,500]</v>
      </c>
      <c r="AK97" s="2" t="str">
        <f t="shared" si="92"/>
        <v>[chest_tankpart,StoreQuikenItem_1,StoreDiamond_1]</v>
      </c>
      <c r="AL97" s="2" t="str">
        <f t="shared" si="93"/>
        <v>5+10+部件礼包</v>
      </c>
      <c r="AM97" s="1" t="str">
        <f t="shared" si="75"/>
        <v>T2 Component</v>
      </c>
      <c r="AN97" s="1" t="str">
        <f t="shared" si="76"/>
        <v>1H_X3_Accelerater</v>
      </c>
      <c r="AO97" s="1" t="str">
        <f t="shared" si="99"/>
        <v>Diamond</v>
      </c>
    </row>
    <row r="98" spans="7:41" x14ac:dyDescent="0.3">
      <c r="G98" s="2">
        <v>5</v>
      </c>
      <c r="H98" s="2" t="s">
        <v>2602</v>
      </c>
      <c r="I98" s="2" t="s">
        <v>519</v>
      </c>
      <c r="J98" s="2" t="s">
        <v>275</v>
      </c>
      <c r="K98" s="2" t="e">
        <f t="shared" si="87"/>
        <v>#REF!</v>
      </c>
      <c r="L98" s="2">
        <f t="shared" si="70"/>
        <v>0.75</v>
      </c>
      <c r="M98" s="2">
        <f t="shared" si="94"/>
        <v>3.9623576027736501E-3</v>
      </c>
      <c r="N98" s="2">
        <v>10</v>
      </c>
      <c r="O98" s="2" t="e">
        <f>N98*#REF!</f>
        <v>#REF!</v>
      </c>
      <c r="P98" s="2">
        <v>2</v>
      </c>
      <c r="Q98" s="2" t="e">
        <f t="shared" si="100"/>
        <v>#REF!</v>
      </c>
      <c r="R98" s="2">
        <v>10</v>
      </c>
      <c r="S98" s="2" t="e">
        <f t="shared" si="101"/>
        <v>#REF!</v>
      </c>
      <c r="T98" s="2" t="e">
        <f t="shared" si="102"/>
        <v>#REF!</v>
      </c>
      <c r="U98" s="2">
        <v>50</v>
      </c>
      <c r="V98" s="2">
        <f t="shared" si="103"/>
        <v>37.5</v>
      </c>
      <c r="W98" s="2" t="e">
        <f t="shared" si="104"/>
        <v>#REF!</v>
      </c>
      <c r="X98" s="2">
        <v>40000</v>
      </c>
      <c r="Y98" s="2" t="e">
        <f t="shared" si="95"/>
        <v>#REF!</v>
      </c>
      <c r="Z98" s="2" t="e">
        <f t="shared" si="96"/>
        <v>#REF!</v>
      </c>
      <c r="AA98" s="2" t="e">
        <f t="shared" si="88"/>
        <v>#REF!</v>
      </c>
      <c r="AB98" s="2" t="e">
        <f t="shared" si="89"/>
        <v>#REF!</v>
      </c>
      <c r="AC98" s="2">
        <f t="shared" si="71"/>
        <v>24204</v>
      </c>
      <c r="AD98" s="2">
        <f t="shared" si="72"/>
        <v>111</v>
      </c>
      <c r="AE98" s="2">
        <f t="shared" si="97"/>
        <v>102</v>
      </c>
      <c r="AF98" s="2" t="str">
        <f t="shared" si="73"/>
        <v>chest_shard</v>
      </c>
      <c r="AG98" s="2" t="str">
        <f t="shared" si="74"/>
        <v>StoreDoubleKey_1</v>
      </c>
      <c r="AH98" s="2" t="str">
        <f t="shared" si="98"/>
        <v>StoreFund_3</v>
      </c>
      <c r="AI98" s="2" t="str">
        <f t="shared" si="90"/>
        <v>[24204,111,102]</v>
      </c>
      <c r="AJ98" s="2" t="str">
        <f t="shared" si="91"/>
        <v>[10,50,40000]</v>
      </c>
      <c r="AK98" s="2" t="str">
        <f t="shared" si="92"/>
        <v>[chest_shard,StoreDoubleKey_1,StoreFund_3]</v>
      </c>
      <c r="AL98" s="2" t="str">
        <f t="shared" si="93"/>
        <v>5+10+碎片礼包</v>
      </c>
      <c r="AM98" s="1" t="str">
        <f t="shared" si="75"/>
        <v xml:space="preserve"> T3General Shard</v>
      </c>
      <c r="AN98" s="1" t="str">
        <f t="shared" si="76"/>
        <v>DoubleKeys</v>
      </c>
      <c r="AO98" s="1" t="str">
        <f t="shared" si="99"/>
        <v>Funds</v>
      </c>
    </row>
    <row r="99" spans="7:41" x14ac:dyDescent="0.3">
      <c r="G99" s="2">
        <v>5</v>
      </c>
      <c r="H99" s="2" t="s">
        <v>2561</v>
      </c>
      <c r="I99" s="2" t="s">
        <v>587</v>
      </c>
      <c r="J99" s="2" t="s">
        <v>325</v>
      </c>
      <c r="K99" s="2" t="e">
        <f t="shared" si="87"/>
        <v>#N/A</v>
      </c>
      <c r="L99" s="2">
        <f t="shared" si="70"/>
        <v>60</v>
      </c>
      <c r="M99" s="2">
        <f t="shared" si="94"/>
        <v>1</v>
      </c>
      <c r="N99" s="2">
        <v>20</v>
      </c>
      <c r="O99" s="2" t="e">
        <f>N99*#REF!</f>
        <v>#REF!</v>
      </c>
      <c r="P99" s="2">
        <v>2</v>
      </c>
      <c r="Q99" s="2" t="e">
        <f t="shared" si="100"/>
        <v>#REF!</v>
      </c>
      <c r="R99" s="2">
        <v>1</v>
      </c>
      <c r="S99" s="2" t="e">
        <f t="shared" si="101"/>
        <v>#N/A</v>
      </c>
      <c r="T99" s="2" t="e">
        <f t="shared" si="102"/>
        <v>#N/A</v>
      </c>
      <c r="U99" s="2">
        <v>20</v>
      </c>
      <c r="V99" s="2">
        <f t="shared" si="103"/>
        <v>1200</v>
      </c>
      <c r="W99" s="2" t="e">
        <f t="shared" si="104"/>
        <v>#REF!</v>
      </c>
      <c r="X99" s="2">
        <v>800</v>
      </c>
      <c r="Y99" s="2" t="e">
        <f t="shared" si="95"/>
        <v>#N/A</v>
      </c>
      <c r="Z99" s="2" t="e">
        <f t="shared" si="96"/>
        <v>#N/A</v>
      </c>
      <c r="AA99" s="2" t="e">
        <f t="shared" si="88"/>
        <v>#N/A</v>
      </c>
      <c r="AB99" s="2" t="e">
        <f t="shared" si="89"/>
        <v>#N/A</v>
      </c>
      <c r="AC99" s="2">
        <f t="shared" si="71"/>
        <v>25555</v>
      </c>
      <c r="AD99" s="2">
        <f t="shared" si="72"/>
        <v>100302</v>
      </c>
      <c r="AE99" s="2">
        <f t="shared" si="97"/>
        <v>101</v>
      </c>
      <c r="AF99" s="2" t="str">
        <f>VLOOKUP(H99,道具ID,3,FALSE)</f>
        <v>chest_lv6_icon</v>
      </c>
      <c r="AG99" s="2" t="str">
        <f t="shared" si="74"/>
        <v>StoreQuikenItem_1</v>
      </c>
      <c r="AH99" s="2" t="str">
        <f t="shared" si="98"/>
        <v>StoreDiamond_1</v>
      </c>
      <c r="AI99" s="2" t="str">
        <f t="shared" si="90"/>
        <v>[25555,100302,101]</v>
      </c>
      <c r="AJ99" s="2" t="str">
        <f t="shared" si="91"/>
        <v>[1,20,800]</v>
      </c>
      <c r="AK99" s="2" t="str">
        <f t="shared" si="92"/>
        <v>[chest_lv6_icon,StoreQuikenItem_1,StoreDiamond_1]</v>
      </c>
      <c r="AL99" s="2" t="str">
        <f t="shared" si="93"/>
        <v>5+20+史诗自宝</v>
      </c>
      <c r="AM99" s="1" t="str">
        <f t="shared" si="75"/>
        <v>Rank 5 Epic Chest</v>
      </c>
      <c r="AN99" s="1" t="str">
        <f t="shared" si="76"/>
        <v>1H_X3_Accelerater</v>
      </c>
      <c r="AO99" s="1" t="str">
        <f t="shared" si="99"/>
        <v>Diamond</v>
      </c>
    </row>
    <row r="100" spans="7:41" x14ac:dyDescent="0.3">
      <c r="G100" s="2">
        <v>5</v>
      </c>
      <c r="H100" s="2" t="s">
        <v>2604</v>
      </c>
      <c r="I100" s="2" t="s">
        <v>519</v>
      </c>
      <c r="J100" s="2" t="s">
        <v>275</v>
      </c>
      <c r="K100" s="2" t="e">
        <f t="shared" si="87"/>
        <v>#REF!</v>
      </c>
      <c r="L100" s="2">
        <f t="shared" si="70"/>
        <v>0.75</v>
      </c>
      <c r="M100" s="2">
        <f t="shared" si="94"/>
        <v>3.9623576027736501E-3</v>
      </c>
      <c r="N100" s="2">
        <v>20</v>
      </c>
      <c r="O100" s="2" t="e">
        <f>N100*#REF!</f>
        <v>#REF!</v>
      </c>
      <c r="P100" s="2">
        <v>2</v>
      </c>
      <c r="Q100" s="2" t="e">
        <f t="shared" si="100"/>
        <v>#REF!</v>
      </c>
      <c r="R100" s="2">
        <v>18</v>
      </c>
      <c r="S100" s="2" t="e">
        <f t="shared" si="101"/>
        <v>#REF!</v>
      </c>
      <c r="T100" s="2" t="e">
        <f t="shared" si="102"/>
        <v>#REF!</v>
      </c>
      <c r="U100" s="2">
        <v>50</v>
      </c>
      <c r="V100" s="2">
        <f t="shared" si="103"/>
        <v>37.5</v>
      </c>
      <c r="W100" s="2" t="e">
        <f t="shared" si="104"/>
        <v>#REF!</v>
      </c>
      <c r="X100" s="2">
        <v>50000</v>
      </c>
      <c r="Y100" s="2" t="e">
        <f t="shared" si="95"/>
        <v>#REF!</v>
      </c>
      <c r="Z100" s="2" t="e">
        <f t="shared" si="96"/>
        <v>#REF!</v>
      </c>
      <c r="AA100" s="2" t="e">
        <f t="shared" si="88"/>
        <v>#REF!</v>
      </c>
      <c r="AB100" s="2" t="e">
        <f t="shared" si="89"/>
        <v>#REF!</v>
      </c>
      <c r="AC100" s="2">
        <f t="shared" si="71"/>
        <v>24205</v>
      </c>
      <c r="AD100" s="2">
        <f t="shared" si="72"/>
        <v>111</v>
      </c>
      <c r="AE100" s="2">
        <f t="shared" si="97"/>
        <v>102</v>
      </c>
      <c r="AF100" s="2" t="str">
        <f t="shared" si="73"/>
        <v>chest_shard</v>
      </c>
      <c r="AG100" s="2" t="str">
        <f t="shared" si="74"/>
        <v>StoreDoubleKey_1</v>
      </c>
      <c r="AH100" s="2" t="str">
        <f t="shared" si="98"/>
        <v>StoreFund_3</v>
      </c>
      <c r="AI100" s="2" t="str">
        <f t="shared" si="90"/>
        <v>[24205,111,102]</v>
      </c>
      <c r="AJ100" s="2" t="str">
        <f t="shared" si="91"/>
        <v>[18,50,50000]</v>
      </c>
      <c r="AK100" s="2" t="str">
        <f t="shared" si="92"/>
        <v>[chest_shard,StoreDoubleKey_1,StoreFund_3]</v>
      </c>
      <c r="AL100" s="2" t="str">
        <f t="shared" si="93"/>
        <v>5+20+碎片礼包</v>
      </c>
      <c r="AM100" s="1" t="str">
        <f t="shared" si="75"/>
        <v>T3 Senior Shard</v>
      </c>
      <c r="AN100" s="1" t="str">
        <f t="shared" si="76"/>
        <v>DoubleKeys</v>
      </c>
      <c r="AO100" s="1" t="str">
        <f t="shared" si="99"/>
        <v>Funds</v>
      </c>
    </row>
    <row r="101" spans="7:41" x14ac:dyDescent="0.3">
      <c r="G101" s="2">
        <v>5</v>
      </c>
      <c r="H101" s="2" t="s">
        <v>2561</v>
      </c>
      <c r="I101" s="2" t="s">
        <v>587</v>
      </c>
      <c r="J101" s="2" t="s">
        <v>325</v>
      </c>
      <c r="K101" s="2" t="e">
        <f t="shared" si="87"/>
        <v>#N/A</v>
      </c>
      <c r="L101" s="2">
        <f t="shared" si="70"/>
        <v>60</v>
      </c>
      <c r="M101" s="2">
        <f t="shared" si="94"/>
        <v>1</v>
      </c>
      <c r="N101" s="2">
        <v>50</v>
      </c>
      <c r="O101" s="2" t="e">
        <f>N101*#REF!</f>
        <v>#REF!</v>
      </c>
      <c r="P101" s="2">
        <v>2</v>
      </c>
      <c r="Q101" s="2" t="e">
        <f t="shared" si="100"/>
        <v>#REF!</v>
      </c>
      <c r="R101" s="2">
        <v>1</v>
      </c>
      <c r="S101" s="2" t="e">
        <f t="shared" si="101"/>
        <v>#N/A</v>
      </c>
      <c r="T101" s="2" t="e">
        <f t="shared" si="102"/>
        <v>#N/A</v>
      </c>
      <c r="U101" s="2">
        <v>80</v>
      </c>
      <c r="V101" s="2">
        <f t="shared" si="103"/>
        <v>4800</v>
      </c>
      <c r="W101" s="2" t="e">
        <f t="shared" si="104"/>
        <v>#REF!</v>
      </c>
      <c r="X101" s="2">
        <v>3200</v>
      </c>
      <c r="Y101" s="2" t="e">
        <f t="shared" si="95"/>
        <v>#N/A</v>
      </c>
      <c r="Z101" s="2" t="e">
        <f t="shared" si="96"/>
        <v>#N/A</v>
      </c>
      <c r="AA101" s="2" t="e">
        <f t="shared" si="88"/>
        <v>#N/A</v>
      </c>
      <c r="AB101" s="2" t="e">
        <f t="shared" si="89"/>
        <v>#N/A</v>
      </c>
      <c r="AC101" s="2">
        <f t="shared" si="71"/>
        <v>25555</v>
      </c>
      <c r="AD101" s="2">
        <f t="shared" si="72"/>
        <v>100302</v>
      </c>
      <c r="AE101" s="2">
        <f t="shared" si="97"/>
        <v>101</v>
      </c>
      <c r="AF101" s="2" t="str">
        <f t="shared" si="73"/>
        <v>chest_lv6_icon</v>
      </c>
      <c r="AG101" s="2" t="str">
        <f t="shared" si="74"/>
        <v>StoreQuikenItem_1</v>
      </c>
      <c r="AH101" s="2" t="str">
        <f t="shared" si="98"/>
        <v>StoreDiamond_1</v>
      </c>
      <c r="AI101" s="2" t="str">
        <f t="shared" si="90"/>
        <v>[25555,100302,101]</v>
      </c>
      <c r="AJ101" s="2" t="str">
        <f t="shared" si="91"/>
        <v>[1,80,3200]</v>
      </c>
      <c r="AK101" s="2" t="str">
        <f t="shared" si="92"/>
        <v>[chest_lv6_icon,StoreQuikenItem_1,StoreDiamond_1]</v>
      </c>
      <c r="AL101" s="2" t="str">
        <f t="shared" si="93"/>
        <v>5+50+史诗自宝</v>
      </c>
      <c r="AM101" s="1" t="str">
        <f t="shared" si="75"/>
        <v>Rank 5 Epic Chest</v>
      </c>
      <c r="AN101" s="1" t="str">
        <f t="shared" si="76"/>
        <v>1H_X3_Accelerater</v>
      </c>
      <c r="AO101" s="1" t="str">
        <f t="shared" si="99"/>
        <v>Diamond</v>
      </c>
    </row>
    <row r="102" spans="7:41" x14ac:dyDescent="0.3">
      <c r="G102" s="2">
        <v>5</v>
      </c>
      <c r="H102" s="2" t="s">
        <v>2604</v>
      </c>
      <c r="I102" s="2" t="s">
        <v>519</v>
      </c>
      <c r="J102" s="2" t="s">
        <v>275</v>
      </c>
      <c r="K102" s="2" t="e">
        <f t="shared" si="87"/>
        <v>#REF!</v>
      </c>
      <c r="L102" s="2">
        <f t="shared" si="70"/>
        <v>0.75</v>
      </c>
      <c r="M102" s="2">
        <f t="shared" si="94"/>
        <v>3.9623576027736501E-3</v>
      </c>
      <c r="N102" s="2">
        <v>50</v>
      </c>
      <c r="O102" s="2" t="e">
        <f>N102*#REF!</f>
        <v>#REF!</v>
      </c>
      <c r="P102" s="2">
        <v>2</v>
      </c>
      <c r="Q102" s="2" t="e">
        <f t="shared" si="100"/>
        <v>#REF!</v>
      </c>
      <c r="R102" s="2">
        <v>45</v>
      </c>
      <c r="S102" s="2" t="e">
        <f t="shared" si="101"/>
        <v>#REF!</v>
      </c>
      <c r="T102" s="2" t="e">
        <f t="shared" si="102"/>
        <v>#REF!</v>
      </c>
      <c r="U102" s="2">
        <v>200</v>
      </c>
      <c r="V102" s="2">
        <f t="shared" si="103"/>
        <v>150</v>
      </c>
      <c r="W102" s="2" t="e">
        <f t="shared" si="104"/>
        <v>#REF!</v>
      </c>
      <c r="X102" s="2">
        <v>100000</v>
      </c>
      <c r="Y102" s="2" t="e">
        <f t="shared" si="95"/>
        <v>#REF!</v>
      </c>
      <c r="Z102" s="2" t="e">
        <f t="shared" si="96"/>
        <v>#REF!</v>
      </c>
      <c r="AA102" s="2" t="e">
        <f t="shared" si="88"/>
        <v>#REF!</v>
      </c>
      <c r="AB102" s="2" t="e">
        <f t="shared" si="89"/>
        <v>#REF!</v>
      </c>
      <c r="AC102" s="2">
        <f t="shared" si="71"/>
        <v>24205</v>
      </c>
      <c r="AD102" s="2">
        <f t="shared" si="72"/>
        <v>111</v>
      </c>
      <c r="AE102" s="2">
        <f t="shared" si="97"/>
        <v>102</v>
      </c>
      <c r="AF102" s="2" t="str">
        <f t="shared" si="73"/>
        <v>chest_shard</v>
      </c>
      <c r="AG102" s="2" t="str">
        <f t="shared" si="74"/>
        <v>StoreDoubleKey_1</v>
      </c>
      <c r="AH102" s="2" t="str">
        <f t="shared" si="98"/>
        <v>StoreFund_3</v>
      </c>
      <c r="AI102" s="2" t="str">
        <f t="shared" si="90"/>
        <v>[24205,111,102]</v>
      </c>
      <c r="AJ102" s="2" t="str">
        <f t="shared" si="91"/>
        <v>[45,200,100000]</v>
      </c>
      <c r="AK102" s="2" t="str">
        <f t="shared" si="92"/>
        <v>[chest_shard,StoreDoubleKey_1,StoreFund_3]</v>
      </c>
      <c r="AL102" s="2" t="str">
        <f t="shared" si="93"/>
        <v>5+50+碎片礼包</v>
      </c>
      <c r="AM102" s="1" t="str">
        <f t="shared" si="75"/>
        <v>T3 Senior Shard</v>
      </c>
      <c r="AN102" s="1" t="str">
        <f t="shared" si="76"/>
        <v>DoubleKeys</v>
      </c>
      <c r="AO102" s="1" t="str">
        <f t="shared" si="99"/>
        <v>Funds</v>
      </c>
    </row>
    <row r="103" spans="7:41" x14ac:dyDescent="0.3">
      <c r="G103" s="2">
        <v>5</v>
      </c>
      <c r="H103" s="2" t="s">
        <v>2588</v>
      </c>
      <c r="I103" s="2" t="s">
        <v>587</v>
      </c>
      <c r="J103" s="2" t="s">
        <v>325</v>
      </c>
      <c r="K103" s="2" t="e">
        <f t="shared" si="87"/>
        <v>#REF!</v>
      </c>
      <c r="L103" s="2">
        <f t="shared" si="70"/>
        <v>60</v>
      </c>
      <c r="M103" s="2">
        <f t="shared" si="94"/>
        <v>1</v>
      </c>
      <c r="N103" s="2">
        <v>5</v>
      </c>
      <c r="O103" s="2" t="e">
        <f>N103*#REF!</f>
        <v>#REF!</v>
      </c>
      <c r="P103" s="2">
        <v>1.67</v>
      </c>
      <c r="Q103" s="2" t="e">
        <f t="shared" ref="Q103:Q118" si="105">O103*P103</f>
        <v>#REF!</v>
      </c>
      <c r="R103" s="2">
        <v>2</v>
      </c>
      <c r="S103" s="2" t="e">
        <f t="shared" ref="S103:S118" si="106">R103*K103</f>
        <v>#REF!</v>
      </c>
      <c r="T103" s="2" t="e">
        <f t="shared" ref="T103:T118" si="107">S103/Q103</f>
        <v>#REF!</v>
      </c>
      <c r="U103" s="2">
        <v>5</v>
      </c>
      <c r="V103" s="2">
        <f t="shared" ref="V103:V118" si="108">U103*L103</f>
        <v>300</v>
      </c>
      <c r="W103" s="2" t="e">
        <f t="shared" ref="W103:W118" si="109">V103/Q103</f>
        <v>#REF!</v>
      </c>
      <c r="X103" s="2">
        <v>200</v>
      </c>
      <c r="Y103" s="2" t="e">
        <f t="shared" si="95"/>
        <v>#REF!</v>
      </c>
      <c r="Z103" s="2" t="e">
        <f t="shared" si="96"/>
        <v>#REF!</v>
      </c>
      <c r="AA103" s="2" t="e">
        <f t="shared" si="88"/>
        <v>#REF!</v>
      </c>
      <c r="AB103" s="2" t="e">
        <f t="shared" si="89"/>
        <v>#REF!</v>
      </c>
      <c r="AC103" s="2">
        <f t="shared" si="71"/>
        <v>23204</v>
      </c>
      <c r="AD103" s="2">
        <f t="shared" si="72"/>
        <v>100302</v>
      </c>
      <c r="AE103" s="2">
        <f t="shared" si="97"/>
        <v>101</v>
      </c>
      <c r="AF103" s="2" t="str">
        <f t="shared" si="73"/>
        <v>chest_tankpart</v>
      </c>
      <c r="AG103" s="2" t="str">
        <f t="shared" si="74"/>
        <v>StoreQuikenItem_1</v>
      </c>
      <c r="AH103" s="2" t="str">
        <f t="shared" si="98"/>
        <v>StoreDiamond_1</v>
      </c>
      <c r="AI103" s="2" t="str">
        <f t="shared" si="90"/>
        <v>[23204,100302,101]</v>
      </c>
      <c r="AJ103" s="2" t="str">
        <f t="shared" si="91"/>
        <v>[2,5,200]</v>
      </c>
      <c r="AK103" s="2" t="str">
        <f t="shared" si="92"/>
        <v>[chest_tankpart,StoreQuikenItem_1,StoreDiamond_1]</v>
      </c>
      <c r="AL103" s="2" t="str">
        <f t="shared" si="93"/>
        <v>5+5+部件礼包</v>
      </c>
      <c r="AM103" s="1" t="str">
        <f t="shared" si="75"/>
        <v>T2 Component</v>
      </c>
      <c r="AN103" s="1" t="str">
        <f t="shared" si="76"/>
        <v>1H_X3_Accelerater</v>
      </c>
      <c r="AO103" s="1" t="str">
        <f t="shared" si="99"/>
        <v>Diamond</v>
      </c>
    </row>
    <row r="104" spans="7:41" x14ac:dyDescent="0.3">
      <c r="G104" s="2">
        <v>5</v>
      </c>
      <c r="H104" s="2" t="s">
        <v>2602</v>
      </c>
      <c r="I104" s="2" t="s">
        <v>519</v>
      </c>
      <c r="J104" s="2" t="s">
        <v>275</v>
      </c>
      <c r="K104" s="2" t="e">
        <f t="shared" si="87"/>
        <v>#REF!</v>
      </c>
      <c r="L104" s="2">
        <f t="shared" si="70"/>
        <v>0.75</v>
      </c>
      <c r="M104" s="2">
        <f t="shared" si="94"/>
        <v>3.9623576027736501E-3</v>
      </c>
      <c r="N104" s="2">
        <v>5</v>
      </c>
      <c r="O104" s="2" t="e">
        <f>N104*#REF!</f>
        <v>#REF!</v>
      </c>
      <c r="P104" s="2">
        <v>1.67</v>
      </c>
      <c r="Q104" s="2" t="e">
        <f t="shared" si="105"/>
        <v>#REF!</v>
      </c>
      <c r="R104" s="2">
        <v>3</v>
      </c>
      <c r="S104" s="2" t="e">
        <f t="shared" si="106"/>
        <v>#REF!</v>
      </c>
      <c r="T104" s="2" t="e">
        <f t="shared" si="107"/>
        <v>#REF!</v>
      </c>
      <c r="U104" s="2">
        <v>50</v>
      </c>
      <c r="V104" s="2">
        <f t="shared" si="108"/>
        <v>37.5</v>
      </c>
      <c r="W104" s="2" t="e">
        <f t="shared" si="109"/>
        <v>#REF!</v>
      </c>
      <c r="X104" s="2">
        <v>60000</v>
      </c>
      <c r="Y104" s="2" t="e">
        <f t="shared" si="95"/>
        <v>#REF!</v>
      </c>
      <c r="Z104" s="2" t="e">
        <f t="shared" si="96"/>
        <v>#REF!</v>
      </c>
      <c r="AA104" s="2" t="e">
        <f t="shared" si="88"/>
        <v>#REF!</v>
      </c>
      <c r="AB104" s="2" t="e">
        <f t="shared" si="89"/>
        <v>#REF!</v>
      </c>
      <c r="AC104" s="2">
        <f t="shared" si="71"/>
        <v>24204</v>
      </c>
      <c r="AD104" s="2">
        <f t="shared" si="72"/>
        <v>111</v>
      </c>
      <c r="AE104" s="2">
        <f t="shared" si="97"/>
        <v>102</v>
      </c>
      <c r="AF104" s="2" t="str">
        <f t="shared" si="73"/>
        <v>chest_shard</v>
      </c>
      <c r="AG104" s="2" t="str">
        <f t="shared" si="74"/>
        <v>StoreDoubleKey_1</v>
      </c>
      <c r="AH104" s="2" t="str">
        <f t="shared" si="98"/>
        <v>StoreFund_3</v>
      </c>
      <c r="AI104" s="2" t="str">
        <f t="shared" si="90"/>
        <v>[24204,111,102]</v>
      </c>
      <c r="AJ104" s="2" t="str">
        <f t="shared" si="91"/>
        <v>[3,50,60000]</v>
      </c>
      <c r="AK104" s="2" t="str">
        <f t="shared" si="92"/>
        <v>[chest_shard,StoreDoubleKey_1,StoreFund_3]</v>
      </c>
      <c r="AL104" s="2" t="str">
        <f t="shared" si="93"/>
        <v>5+5+碎片礼包</v>
      </c>
      <c r="AM104" s="1" t="str">
        <f t="shared" si="75"/>
        <v xml:space="preserve"> T3General Shard</v>
      </c>
      <c r="AN104" s="1" t="str">
        <f t="shared" si="76"/>
        <v>DoubleKeys</v>
      </c>
      <c r="AO104" s="1" t="str">
        <f t="shared" si="99"/>
        <v>Funds</v>
      </c>
    </row>
    <row r="105" spans="7:41" x14ac:dyDescent="0.3">
      <c r="G105" s="2">
        <v>5</v>
      </c>
      <c r="H105" s="2" t="s">
        <v>2588</v>
      </c>
      <c r="I105" s="2" t="s">
        <v>587</v>
      </c>
      <c r="J105" s="2" t="s">
        <v>325</v>
      </c>
      <c r="K105" s="2" t="e">
        <f t="shared" si="87"/>
        <v>#REF!</v>
      </c>
      <c r="L105" s="2">
        <f t="shared" ref="L105:L136" si="110">VLOOKUP(I105,$B$40:$C$81,2,FALSE)</f>
        <v>60</v>
      </c>
      <c r="M105" s="2">
        <f t="shared" si="94"/>
        <v>1</v>
      </c>
      <c r="N105" s="2">
        <v>10</v>
      </c>
      <c r="O105" s="2" t="e">
        <f>N105*#REF!</f>
        <v>#REF!</v>
      </c>
      <c r="P105" s="2">
        <v>1.67</v>
      </c>
      <c r="Q105" s="2" t="e">
        <f t="shared" si="105"/>
        <v>#REF!</v>
      </c>
      <c r="R105" s="2">
        <v>3</v>
      </c>
      <c r="S105" s="2" t="e">
        <f t="shared" si="106"/>
        <v>#REF!</v>
      </c>
      <c r="T105" s="2" t="e">
        <f t="shared" si="107"/>
        <v>#REF!</v>
      </c>
      <c r="U105" s="2">
        <v>10</v>
      </c>
      <c r="V105" s="2">
        <f t="shared" si="108"/>
        <v>600</v>
      </c>
      <c r="W105" s="2" t="e">
        <f t="shared" si="109"/>
        <v>#REF!</v>
      </c>
      <c r="X105" s="2">
        <v>500</v>
      </c>
      <c r="Y105" s="2" t="e">
        <f t="shared" si="95"/>
        <v>#REF!</v>
      </c>
      <c r="Z105" s="2" t="e">
        <f t="shared" si="96"/>
        <v>#REF!</v>
      </c>
      <c r="AA105" s="2" t="e">
        <f t="shared" si="88"/>
        <v>#REF!</v>
      </c>
      <c r="AB105" s="2" t="e">
        <f t="shared" si="89"/>
        <v>#REF!</v>
      </c>
      <c r="AC105" s="2">
        <f t="shared" ref="AC105:AC136" si="111">VLOOKUP(H105,道具ID,2,FALSE)</f>
        <v>23204</v>
      </c>
      <c r="AD105" s="2">
        <f t="shared" ref="AD105:AD136" si="112">VLOOKUP(I105,道具ID,2,FALSE)</f>
        <v>100302</v>
      </c>
      <c r="AE105" s="2">
        <f t="shared" si="97"/>
        <v>101</v>
      </c>
      <c r="AF105" s="2" t="str">
        <f t="shared" ref="AF105:AF136" si="113">VLOOKUP(H105,道具ID,3,FALSE)</f>
        <v>chest_tankpart</v>
      </c>
      <c r="AG105" s="2" t="str">
        <f t="shared" ref="AG105:AG136" si="114">VLOOKUP(I105,道具ID,3,FALSE)</f>
        <v>StoreQuikenItem_1</v>
      </c>
      <c r="AH105" s="2" t="str">
        <f t="shared" si="98"/>
        <v>StoreDiamond_1</v>
      </c>
      <c r="AI105" s="2" t="str">
        <f t="shared" si="90"/>
        <v>[23204,100302,101]</v>
      </c>
      <c r="AJ105" s="2" t="str">
        <f t="shared" si="91"/>
        <v>[3,10,500]</v>
      </c>
      <c r="AK105" s="2" t="str">
        <f t="shared" si="92"/>
        <v>[chest_tankpart,StoreQuikenItem_1,StoreDiamond_1]</v>
      </c>
      <c r="AL105" s="2" t="str">
        <f t="shared" si="93"/>
        <v>5+10+部件礼包</v>
      </c>
      <c r="AM105" s="1" t="str">
        <f t="shared" ref="AM105:AM136" si="115">VLOOKUP(H105,道具ID,4,FALSE)</f>
        <v>T2 Component</v>
      </c>
      <c r="AN105" s="1" t="str">
        <f t="shared" ref="AN105:AN136" si="116">VLOOKUP(I105,道具ID,4,FALSE)</f>
        <v>1H_X3_Accelerater</v>
      </c>
      <c r="AO105" s="1" t="str">
        <f t="shared" si="99"/>
        <v>Diamond</v>
      </c>
    </row>
    <row r="106" spans="7:41" x14ac:dyDescent="0.3">
      <c r="G106" s="2">
        <v>5</v>
      </c>
      <c r="H106" s="2" t="s">
        <v>2602</v>
      </c>
      <c r="I106" s="2" t="s">
        <v>519</v>
      </c>
      <c r="J106" s="2" t="s">
        <v>275</v>
      </c>
      <c r="K106" s="2" t="e">
        <f t="shared" si="87"/>
        <v>#REF!</v>
      </c>
      <c r="L106" s="2">
        <f t="shared" si="110"/>
        <v>0.75</v>
      </c>
      <c r="M106" s="2">
        <f t="shared" si="94"/>
        <v>3.9623576027736501E-3</v>
      </c>
      <c r="N106" s="2">
        <v>10</v>
      </c>
      <c r="O106" s="2" t="e">
        <f>N106*#REF!</f>
        <v>#REF!</v>
      </c>
      <c r="P106" s="2">
        <v>1.67</v>
      </c>
      <c r="Q106" s="2" t="e">
        <f t="shared" si="105"/>
        <v>#REF!</v>
      </c>
      <c r="R106" s="2">
        <v>7</v>
      </c>
      <c r="S106" s="2" t="e">
        <f t="shared" si="106"/>
        <v>#REF!</v>
      </c>
      <c r="T106" s="2" t="e">
        <f t="shared" si="107"/>
        <v>#REF!</v>
      </c>
      <c r="U106" s="2">
        <v>50</v>
      </c>
      <c r="V106" s="2">
        <f t="shared" si="108"/>
        <v>37.5</v>
      </c>
      <c r="W106" s="2" t="e">
        <f t="shared" si="109"/>
        <v>#REF!</v>
      </c>
      <c r="X106" s="2">
        <v>90000</v>
      </c>
      <c r="Y106" s="2" t="e">
        <f t="shared" si="95"/>
        <v>#REF!</v>
      </c>
      <c r="Z106" s="2" t="e">
        <f t="shared" si="96"/>
        <v>#REF!</v>
      </c>
      <c r="AA106" s="2" t="e">
        <f t="shared" si="88"/>
        <v>#REF!</v>
      </c>
      <c r="AB106" s="2" t="e">
        <f t="shared" si="89"/>
        <v>#REF!</v>
      </c>
      <c r="AC106" s="2">
        <f t="shared" si="111"/>
        <v>24204</v>
      </c>
      <c r="AD106" s="2">
        <f t="shared" si="112"/>
        <v>111</v>
      </c>
      <c r="AE106" s="2">
        <f t="shared" si="97"/>
        <v>102</v>
      </c>
      <c r="AF106" s="2" t="str">
        <f t="shared" si="113"/>
        <v>chest_shard</v>
      </c>
      <c r="AG106" s="2" t="str">
        <f t="shared" si="114"/>
        <v>StoreDoubleKey_1</v>
      </c>
      <c r="AH106" s="2" t="str">
        <f t="shared" si="98"/>
        <v>StoreFund_3</v>
      </c>
      <c r="AI106" s="2" t="str">
        <f t="shared" si="90"/>
        <v>[24204,111,102]</v>
      </c>
      <c r="AJ106" s="2" t="str">
        <f t="shared" si="91"/>
        <v>[7,50,90000]</v>
      </c>
      <c r="AK106" s="2" t="str">
        <f t="shared" si="92"/>
        <v>[chest_shard,StoreDoubleKey_1,StoreFund_3]</v>
      </c>
      <c r="AL106" s="2" t="str">
        <f t="shared" si="93"/>
        <v>5+10+碎片礼包</v>
      </c>
      <c r="AM106" s="1" t="str">
        <f t="shared" si="115"/>
        <v xml:space="preserve"> T3General Shard</v>
      </c>
      <c r="AN106" s="1" t="str">
        <f t="shared" si="116"/>
        <v>DoubleKeys</v>
      </c>
      <c r="AO106" s="1" t="str">
        <f t="shared" si="99"/>
        <v>Funds</v>
      </c>
    </row>
    <row r="107" spans="7:41" x14ac:dyDescent="0.3">
      <c r="G107" s="2">
        <v>5</v>
      </c>
      <c r="H107" s="2" t="s">
        <v>2590</v>
      </c>
      <c r="I107" s="2" t="s">
        <v>587</v>
      </c>
      <c r="J107" s="2" t="s">
        <v>325</v>
      </c>
      <c r="K107" s="2" t="e">
        <f t="shared" si="87"/>
        <v>#REF!</v>
      </c>
      <c r="L107" s="2">
        <f t="shared" si="110"/>
        <v>60</v>
      </c>
      <c r="M107" s="2">
        <f t="shared" si="94"/>
        <v>1</v>
      </c>
      <c r="N107" s="2">
        <v>20</v>
      </c>
      <c r="O107" s="2" t="e">
        <f>N107*#REF!</f>
        <v>#REF!</v>
      </c>
      <c r="P107" s="2">
        <v>1.67</v>
      </c>
      <c r="Q107" s="2" t="e">
        <f t="shared" si="105"/>
        <v>#REF!</v>
      </c>
      <c r="R107" s="2">
        <v>5</v>
      </c>
      <c r="S107" s="2" t="e">
        <f t="shared" si="106"/>
        <v>#REF!</v>
      </c>
      <c r="T107" s="2" t="e">
        <f t="shared" si="107"/>
        <v>#REF!</v>
      </c>
      <c r="U107" s="2">
        <v>20</v>
      </c>
      <c r="V107" s="2">
        <f t="shared" si="108"/>
        <v>1200</v>
      </c>
      <c r="W107" s="2" t="e">
        <f t="shared" si="109"/>
        <v>#REF!</v>
      </c>
      <c r="X107" s="2">
        <v>1200</v>
      </c>
      <c r="Y107" s="2" t="e">
        <f t="shared" si="95"/>
        <v>#REF!</v>
      </c>
      <c r="Z107" s="2" t="e">
        <f t="shared" si="96"/>
        <v>#REF!</v>
      </c>
      <c r="AA107" s="2" t="e">
        <f t="shared" si="88"/>
        <v>#REF!</v>
      </c>
      <c r="AB107" s="2" t="e">
        <f t="shared" si="89"/>
        <v>#REF!</v>
      </c>
      <c r="AC107" s="2">
        <f t="shared" si="111"/>
        <v>23205</v>
      </c>
      <c r="AD107" s="2">
        <f t="shared" si="112"/>
        <v>100302</v>
      </c>
      <c r="AE107" s="2">
        <f t="shared" si="97"/>
        <v>101</v>
      </c>
      <c r="AF107" s="2" t="str">
        <f t="shared" si="113"/>
        <v>chest_tankpart</v>
      </c>
      <c r="AG107" s="2" t="str">
        <f t="shared" si="114"/>
        <v>StoreQuikenItem_1</v>
      </c>
      <c r="AH107" s="2" t="str">
        <f t="shared" si="98"/>
        <v>StoreDiamond_1</v>
      </c>
      <c r="AI107" s="2" t="str">
        <f t="shared" si="90"/>
        <v>[23205,100302,101]</v>
      </c>
      <c r="AJ107" s="2" t="str">
        <f t="shared" si="91"/>
        <v>[5,20,1200]</v>
      </c>
      <c r="AK107" s="2" t="str">
        <f t="shared" si="92"/>
        <v>[chest_tankpart,StoreQuikenItem_1,StoreDiamond_1]</v>
      </c>
      <c r="AL107" s="2" t="str">
        <f t="shared" si="93"/>
        <v>5+20+部件礼包</v>
      </c>
      <c r="AM107" s="1" t="str">
        <f t="shared" si="115"/>
        <v>T2 Component</v>
      </c>
      <c r="AN107" s="1" t="str">
        <f t="shared" si="116"/>
        <v>1H_X3_Accelerater</v>
      </c>
      <c r="AO107" s="1" t="str">
        <f t="shared" si="99"/>
        <v>Diamond</v>
      </c>
    </row>
    <row r="108" spans="7:41" x14ac:dyDescent="0.3">
      <c r="G108" s="2">
        <v>5</v>
      </c>
      <c r="H108" s="2" t="s">
        <v>2604</v>
      </c>
      <c r="I108" s="2" t="s">
        <v>519</v>
      </c>
      <c r="J108" s="2" t="s">
        <v>275</v>
      </c>
      <c r="K108" s="2" t="e">
        <f t="shared" si="87"/>
        <v>#REF!</v>
      </c>
      <c r="L108" s="2">
        <f t="shared" si="110"/>
        <v>0.75</v>
      </c>
      <c r="M108" s="2">
        <f t="shared" si="94"/>
        <v>3.9623576027736501E-3</v>
      </c>
      <c r="N108" s="2">
        <v>20</v>
      </c>
      <c r="O108" s="2" t="e">
        <f>N108*#REF!</f>
        <v>#REF!</v>
      </c>
      <c r="P108" s="2">
        <v>1.67</v>
      </c>
      <c r="Q108" s="2" t="e">
        <f t="shared" si="105"/>
        <v>#REF!</v>
      </c>
      <c r="R108" s="2">
        <v>15</v>
      </c>
      <c r="S108" s="2" t="e">
        <f t="shared" si="106"/>
        <v>#REF!</v>
      </c>
      <c r="T108" s="2" t="e">
        <f t="shared" si="107"/>
        <v>#REF!</v>
      </c>
      <c r="U108" s="2">
        <v>50</v>
      </c>
      <c r="V108" s="2">
        <f t="shared" si="108"/>
        <v>37.5</v>
      </c>
      <c r="W108" s="2" t="e">
        <f t="shared" si="109"/>
        <v>#REF!</v>
      </c>
      <c r="X108" s="2">
        <v>40000</v>
      </c>
      <c r="Y108" s="2" t="e">
        <f t="shared" si="95"/>
        <v>#REF!</v>
      </c>
      <c r="Z108" s="2" t="e">
        <f t="shared" si="96"/>
        <v>#REF!</v>
      </c>
      <c r="AA108" s="2" t="e">
        <f t="shared" si="88"/>
        <v>#REF!</v>
      </c>
      <c r="AB108" s="2" t="e">
        <f t="shared" si="89"/>
        <v>#REF!</v>
      </c>
      <c r="AC108" s="2">
        <f t="shared" si="111"/>
        <v>24205</v>
      </c>
      <c r="AD108" s="2">
        <f t="shared" si="112"/>
        <v>111</v>
      </c>
      <c r="AE108" s="2">
        <f t="shared" si="97"/>
        <v>102</v>
      </c>
      <c r="AF108" s="2" t="str">
        <f t="shared" si="113"/>
        <v>chest_shard</v>
      </c>
      <c r="AG108" s="2" t="str">
        <f t="shared" si="114"/>
        <v>StoreDoubleKey_1</v>
      </c>
      <c r="AH108" s="2" t="str">
        <f t="shared" si="98"/>
        <v>StoreFund_3</v>
      </c>
      <c r="AI108" s="2" t="str">
        <f t="shared" si="90"/>
        <v>[24205,111,102]</v>
      </c>
      <c r="AJ108" s="2" t="str">
        <f t="shared" si="91"/>
        <v>[15,50,40000]</v>
      </c>
      <c r="AK108" s="2" t="str">
        <f t="shared" si="92"/>
        <v>[chest_shard,StoreDoubleKey_1,StoreFund_3]</v>
      </c>
      <c r="AL108" s="2" t="str">
        <f t="shared" si="93"/>
        <v>5+20+碎片礼包</v>
      </c>
      <c r="AM108" s="1" t="str">
        <f t="shared" si="115"/>
        <v>T3 Senior Shard</v>
      </c>
      <c r="AN108" s="1" t="str">
        <f t="shared" si="116"/>
        <v>DoubleKeys</v>
      </c>
      <c r="AO108" s="1" t="str">
        <f t="shared" si="99"/>
        <v>Funds</v>
      </c>
    </row>
    <row r="109" spans="7:41" x14ac:dyDescent="0.3">
      <c r="G109" s="2">
        <v>5</v>
      </c>
      <c r="H109" s="2" t="s">
        <v>2561</v>
      </c>
      <c r="I109" s="2" t="s">
        <v>587</v>
      </c>
      <c r="J109" s="2" t="s">
        <v>325</v>
      </c>
      <c r="K109" s="2" t="e">
        <f t="shared" si="87"/>
        <v>#N/A</v>
      </c>
      <c r="L109" s="2">
        <f t="shared" si="110"/>
        <v>60</v>
      </c>
      <c r="M109" s="2">
        <f t="shared" si="94"/>
        <v>1</v>
      </c>
      <c r="N109" s="2">
        <v>50</v>
      </c>
      <c r="O109" s="2" t="e">
        <f>N109*#REF!</f>
        <v>#REF!</v>
      </c>
      <c r="P109" s="2">
        <v>1.67</v>
      </c>
      <c r="Q109" s="2" t="e">
        <f t="shared" si="105"/>
        <v>#REF!</v>
      </c>
      <c r="R109" s="2">
        <v>1</v>
      </c>
      <c r="S109" s="2" t="e">
        <f t="shared" si="106"/>
        <v>#N/A</v>
      </c>
      <c r="T109" s="2" t="e">
        <f t="shared" si="107"/>
        <v>#N/A</v>
      </c>
      <c r="U109" s="2">
        <v>30</v>
      </c>
      <c r="V109" s="2">
        <f t="shared" si="108"/>
        <v>1800</v>
      </c>
      <c r="W109" s="2" t="e">
        <f t="shared" si="109"/>
        <v>#REF!</v>
      </c>
      <c r="X109" s="2">
        <v>4600</v>
      </c>
      <c r="Y109" s="2" t="e">
        <f t="shared" si="95"/>
        <v>#N/A</v>
      </c>
      <c r="Z109" s="2" t="e">
        <f t="shared" si="96"/>
        <v>#N/A</v>
      </c>
      <c r="AA109" s="2" t="e">
        <f t="shared" si="88"/>
        <v>#N/A</v>
      </c>
      <c r="AB109" s="2" t="e">
        <f t="shared" si="89"/>
        <v>#N/A</v>
      </c>
      <c r="AC109" s="2">
        <f t="shared" si="111"/>
        <v>25555</v>
      </c>
      <c r="AD109" s="2">
        <f t="shared" si="112"/>
        <v>100302</v>
      </c>
      <c r="AE109" s="2">
        <f t="shared" si="97"/>
        <v>101</v>
      </c>
      <c r="AF109" s="2" t="str">
        <f t="shared" si="113"/>
        <v>chest_lv6_icon</v>
      </c>
      <c r="AG109" s="2" t="str">
        <f t="shared" si="114"/>
        <v>StoreQuikenItem_1</v>
      </c>
      <c r="AH109" s="2" t="str">
        <f t="shared" si="98"/>
        <v>StoreDiamond_1</v>
      </c>
      <c r="AI109" s="2" t="str">
        <f t="shared" si="90"/>
        <v>[25555,100302,101]</v>
      </c>
      <c r="AJ109" s="2" t="str">
        <f t="shared" si="91"/>
        <v>[1,30,4600]</v>
      </c>
      <c r="AK109" s="2" t="str">
        <f t="shared" si="92"/>
        <v>[chest_lv6_icon,StoreQuikenItem_1,StoreDiamond_1]</v>
      </c>
      <c r="AL109" s="2" t="str">
        <f t="shared" si="93"/>
        <v>5+50+史诗自宝</v>
      </c>
      <c r="AM109" s="1" t="str">
        <f t="shared" si="115"/>
        <v>Rank 5 Epic Chest</v>
      </c>
      <c r="AN109" s="1" t="str">
        <f t="shared" si="116"/>
        <v>1H_X3_Accelerater</v>
      </c>
      <c r="AO109" s="1" t="str">
        <f t="shared" si="99"/>
        <v>Diamond</v>
      </c>
    </row>
    <row r="110" spans="7:41" x14ac:dyDescent="0.3">
      <c r="G110" s="2">
        <v>5</v>
      </c>
      <c r="H110" s="2" t="s">
        <v>2604</v>
      </c>
      <c r="I110" s="2" t="s">
        <v>519</v>
      </c>
      <c r="J110" s="2" t="s">
        <v>275</v>
      </c>
      <c r="K110" s="2" t="e">
        <f t="shared" si="87"/>
        <v>#REF!</v>
      </c>
      <c r="L110" s="2">
        <f t="shared" si="110"/>
        <v>0.75</v>
      </c>
      <c r="M110" s="2">
        <f t="shared" si="94"/>
        <v>3.9623576027736501E-3</v>
      </c>
      <c r="N110" s="2">
        <v>50</v>
      </c>
      <c r="O110" s="2" t="e">
        <f>N110*#REF!</f>
        <v>#REF!</v>
      </c>
      <c r="P110" s="2">
        <v>1.67</v>
      </c>
      <c r="Q110" s="2" t="e">
        <f t="shared" si="105"/>
        <v>#REF!</v>
      </c>
      <c r="R110" s="2">
        <v>38</v>
      </c>
      <c r="S110" s="2" t="e">
        <f t="shared" si="106"/>
        <v>#REF!</v>
      </c>
      <c r="T110" s="2" t="e">
        <f t="shared" si="107"/>
        <v>#REF!</v>
      </c>
      <c r="U110" s="2">
        <v>100</v>
      </c>
      <c r="V110" s="2">
        <f t="shared" si="108"/>
        <v>75</v>
      </c>
      <c r="W110" s="2" t="e">
        <f t="shared" si="109"/>
        <v>#REF!</v>
      </c>
      <c r="X110" s="2">
        <v>70000</v>
      </c>
      <c r="Y110" s="2" t="e">
        <f t="shared" si="95"/>
        <v>#REF!</v>
      </c>
      <c r="Z110" s="2" t="e">
        <f t="shared" si="96"/>
        <v>#REF!</v>
      </c>
      <c r="AA110" s="2" t="e">
        <f t="shared" si="88"/>
        <v>#REF!</v>
      </c>
      <c r="AB110" s="2" t="e">
        <f t="shared" si="89"/>
        <v>#REF!</v>
      </c>
      <c r="AC110" s="2">
        <f t="shared" si="111"/>
        <v>24205</v>
      </c>
      <c r="AD110" s="2">
        <f t="shared" si="112"/>
        <v>111</v>
      </c>
      <c r="AE110" s="2">
        <f t="shared" si="97"/>
        <v>102</v>
      </c>
      <c r="AF110" s="2" t="str">
        <f t="shared" si="113"/>
        <v>chest_shard</v>
      </c>
      <c r="AG110" s="2" t="str">
        <f t="shared" si="114"/>
        <v>StoreDoubleKey_1</v>
      </c>
      <c r="AH110" s="2" t="str">
        <f t="shared" si="98"/>
        <v>StoreFund_3</v>
      </c>
      <c r="AI110" s="2" t="str">
        <f t="shared" si="90"/>
        <v>[24205,111,102]</v>
      </c>
      <c r="AJ110" s="2" t="str">
        <f t="shared" si="91"/>
        <v>[38,100,70000]</v>
      </c>
      <c r="AK110" s="2" t="str">
        <f t="shared" si="92"/>
        <v>[chest_shard,StoreDoubleKey_1,StoreFund_3]</v>
      </c>
      <c r="AL110" s="2" t="str">
        <f t="shared" si="93"/>
        <v>5+50+碎片礼包</v>
      </c>
      <c r="AM110" s="1" t="str">
        <f t="shared" si="115"/>
        <v>T3 Senior Shard</v>
      </c>
      <c r="AN110" s="1" t="str">
        <f t="shared" si="116"/>
        <v>DoubleKeys</v>
      </c>
      <c r="AO110" s="1" t="str">
        <f t="shared" si="99"/>
        <v>Funds</v>
      </c>
    </row>
    <row r="111" spans="7:41" x14ac:dyDescent="0.3">
      <c r="G111" s="2">
        <v>5</v>
      </c>
      <c r="H111" s="2" t="s">
        <v>2588</v>
      </c>
      <c r="I111" s="2" t="s">
        <v>587</v>
      </c>
      <c r="J111" s="2" t="s">
        <v>325</v>
      </c>
      <c r="K111" s="2" t="e">
        <f t="shared" si="87"/>
        <v>#REF!</v>
      </c>
      <c r="L111" s="2">
        <f t="shared" si="110"/>
        <v>60</v>
      </c>
      <c r="M111" s="2">
        <f t="shared" si="94"/>
        <v>1</v>
      </c>
      <c r="N111" s="2">
        <v>5</v>
      </c>
      <c r="O111" s="2" t="e">
        <f>N111*#REF!</f>
        <v>#REF!</v>
      </c>
      <c r="P111" s="2">
        <v>1.5</v>
      </c>
      <c r="Q111" s="2" t="e">
        <f t="shared" si="105"/>
        <v>#REF!</v>
      </c>
      <c r="R111" s="2">
        <v>2</v>
      </c>
      <c r="S111" s="2" t="e">
        <f t="shared" si="106"/>
        <v>#REF!</v>
      </c>
      <c r="T111" s="2" t="e">
        <f t="shared" si="107"/>
        <v>#REF!</v>
      </c>
      <c r="U111" s="2">
        <v>2</v>
      </c>
      <c r="V111" s="2">
        <f t="shared" si="108"/>
        <v>120</v>
      </c>
      <c r="W111" s="2" t="e">
        <f t="shared" si="109"/>
        <v>#REF!</v>
      </c>
      <c r="X111" s="2">
        <v>300</v>
      </c>
      <c r="Y111" s="2" t="e">
        <f t="shared" si="95"/>
        <v>#REF!</v>
      </c>
      <c r="Z111" s="2" t="e">
        <f t="shared" si="96"/>
        <v>#REF!</v>
      </c>
      <c r="AA111" s="2" t="e">
        <f t="shared" si="88"/>
        <v>#REF!</v>
      </c>
      <c r="AB111" s="2" t="e">
        <f t="shared" si="89"/>
        <v>#REF!</v>
      </c>
      <c r="AC111" s="2">
        <f t="shared" si="111"/>
        <v>23204</v>
      </c>
      <c r="AD111" s="2">
        <f t="shared" si="112"/>
        <v>100302</v>
      </c>
      <c r="AE111" s="2">
        <f t="shared" si="97"/>
        <v>101</v>
      </c>
      <c r="AF111" s="2" t="str">
        <f t="shared" si="113"/>
        <v>chest_tankpart</v>
      </c>
      <c r="AG111" s="2" t="str">
        <f t="shared" si="114"/>
        <v>StoreQuikenItem_1</v>
      </c>
      <c r="AH111" s="2" t="str">
        <f t="shared" si="98"/>
        <v>StoreDiamond_1</v>
      </c>
      <c r="AI111" s="2" t="str">
        <f t="shared" si="90"/>
        <v>[23204,100302,101]</v>
      </c>
      <c r="AJ111" s="2" t="str">
        <f t="shared" si="91"/>
        <v>[2,2,300]</v>
      </c>
      <c r="AK111" s="2" t="str">
        <f t="shared" si="92"/>
        <v>[chest_tankpart,StoreQuikenItem_1,StoreDiamond_1]</v>
      </c>
      <c r="AL111" s="2" t="str">
        <f t="shared" si="93"/>
        <v>5+5+部件礼包</v>
      </c>
      <c r="AM111" s="1" t="str">
        <f t="shared" si="115"/>
        <v>T2 Component</v>
      </c>
      <c r="AN111" s="1" t="str">
        <f t="shared" si="116"/>
        <v>1H_X3_Accelerater</v>
      </c>
      <c r="AO111" s="1" t="str">
        <f t="shared" si="99"/>
        <v>Diamond</v>
      </c>
    </row>
    <row r="112" spans="7:41" x14ac:dyDescent="0.3">
      <c r="G112" s="2">
        <v>5</v>
      </c>
      <c r="H112" s="2" t="s">
        <v>2602</v>
      </c>
      <c r="I112" s="2" t="s">
        <v>519</v>
      </c>
      <c r="J112" s="2" t="s">
        <v>275</v>
      </c>
      <c r="K112" s="2" t="e">
        <f t="shared" si="87"/>
        <v>#REF!</v>
      </c>
      <c r="L112" s="2">
        <f t="shared" si="110"/>
        <v>0.75</v>
      </c>
      <c r="M112" s="2">
        <f t="shared" si="94"/>
        <v>3.9623576027736501E-3</v>
      </c>
      <c r="N112" s="2">
        <v>5</v>
      </c>
      <c r="O112" s="2" t="e">
        <f>N112*#REF!</f>
        <v>#REF!</v>
      </c>
      <c r="P112" s="2">
        <v>1.5</v>
      </c>
      <c r="Q112" s="2" t="e">
        <f t="shared" si="105"/>
        <v>#REF!</v>
      </c>
      <c r="R112" s="2">
        <v>3</v>
      </c>
      <c r="S112" s="2" t="e">
        <f t="shared" si="106"/>
        <v>#REF!</v>
      </c>
      <c r="T112" s="2" t="e">
        <f t="shared" si="107"/>
        <v>#REF!</v>
      </c>
      <c r="U112" s="2">
        <v>50</v>
      </c>
      <c r="V112" s="2">
        <f t="shared" si="108"/>
        <v>37.5</v>
      </c>
      <c r="W112" s="2" t="e">
        <f t="shared" si="109"/>
        <v>#REF!</v>
      </c>
      <c r="X112" s="2">
        <v>40000</v>
      </c>
      <c r="Y112" s="2" t="e">
        <f t="shared" si="95"/>
        <v>#REF!</v>
      </c>
      <c r="Z112" s="2" t="e">
        <f t="shared" si="96"/>
        <v>#REF!</v>
      </c>
      <c r="AA112" s="2" t="e">
        <f t="shared" si="88"/>
        <v>#REF!</v>
      </c>
      <c r="AB112" s="2" t="e">
        <f t="shared" si="89"/>
        <v>#REF!</v>
      </c>
      <c r="AC112" s="2">
        <f t="shared" si="111"/>
        <v>24204</v>
      </c>
      <c r="AD112" s="2">
        <f t="shared" si="112"/>
        <v>111</v>
      </c>
      <c r="AE112" s="2">
        <f t="shared" si="97"/>
        <v>102</v>
      </c>
      <c r="AF112" s="2" t="str">
        <f t="shared" si="113"/>
        <v>chest_shard</v>
      </c>
      <c r="AG112" s="2" t="str">
        <f t="shared" si="114"/>
        <v>StoreDoubleKey_1</v>
      </c>
      <c r="AH112" s="2" t="str">
        <f t="shared" si="98"/>
        <v>StoreFund_3</v>
      </c>
      <c r="AI112" s="2" t="str">
        <f t="shared" si="90"/>
        <v>[24204,111,102]</v>
      </c>
      <c r="AJ112" s="2" t="str">
        <f t="shared" si="91"/>
        <v>[3,50,40000]</v>
      </c>
      <c r="AK112" s="2" t="str">
        <f t="shared" si="92"/>
        <v>[chest_shard,StoreDoubleKey_1,StoreFund_3]</v>
      </c>
      <c r="AL112" s="2" t="str">
        <f t="shared" si="93"/>
        <v>5+5+碎片礼包</v>
      </c>
      <c r="AM112" s="1" t="str">
        <f t="shared" si="115"/>
        <v xml:space="preserve"> T3General Shard</v>
      </c>
      <c r="AN112" s="1" t="str">
        <f t="shared" si="116"/>
        <v>DoubleKeys</v>
      </c>
      <c r="AO112" s="1" t="str">
        <f t="shared" si="99"/>
        <v>Funds</v>
      </c>
    </row>
    <row r="113" spans="7:41" x14ac:dyDescent="0.3">
      <c r="G113" s="2">
        <v>5</v>
      </c>
      <c r="H113" s="2" t="s">
        <v>2588</v>
      </c>
      <c r="I113" s="2" t="s">
        <v>587</v>
      </c>
      <c r="J113" s="2" t="s">
        <v>325</v>
      </c>
      <c r="K113" s="2" t="e">
        <f t="shared" si="87"/>
        <v>#REF!</v>
      </c>
      <c r="L113" s="2">
        <f t="shared" si="110"/>
        <v>60</v>
      </c>
      <c r="M113" s="2">
        <f t="shared" si="94"/>
        <v>1</v>
      </c>
      <c r="N113" s="2">
        <v>10</v>
      </c>
      <c r="O113" s="2" t="e">
        <f>N113*#REF!</f>
        <v>#REF!</v>
      </c>
      <c r="P113" s="2">
        <v>1.5</v>
      </c>
      <c r="Q113" s="2" t="e">
        <f t="shared" si="105"/>
        <v>#REF!</v>
      </c>
      <c r="R113" s="2">
        <v>2</v>
      </c>
      <c r="S113" s="2" t="e">
        <f t="shared" si="106"/>
        <v>#REF!</v>
      </c>
      <c r="T113" s="2" t="e">
        <f t="shared" si="107"/>
        <v>#REF!</v>
      </c>
      <c r="U113" s="2">
        <v>10</v>
      </c>
      <c r="V113" s="2">
        <f t="shared" si="108"/>
        <v>600</v>
      </c>
      <c r="W113" s="2" t="e">
        <f t="shared" si="109"/>
        <v>#REF!</v>
      </c>
      <c r="X113" s="2">
        <v>500</v>
      </c>
      <c r="Y113" s="2" t="e">
        <f t="shared" si="95"/>
        <v>#REF!</v>
      </c>
      <c r="Z113" s="2" t="e">
        <f t="shared" si="96"/>
        <v>#REF!</v>
      </c>
      <c r="AA113" s="2" t="e">
        <f t="shared" si="88"/>
        <v>#REF!</v>
      </c>
      <c r="AB113" s="2" t="e">
        <f t="shared" si="89"/>
        <v>#REF!</v>
      </c>
      <c r="AC113" s="2">
        <f t="shared" si="111"/>
        <v>23204</v>
      </c>
      <c r="AD113" s="2">
        <f t="shared" si="112"/>
        <v>100302</v>
      </c>
      <c r="AE113" s="2">
        <f t="shared" si="97"/>
        <v>101</v>
      </c>
      <c r="AF113" s="2" t="str">
        <f t="shared" si="113"/>
        <v>chest_tankpart</v>
      </c>
      <c r="AG113" s="2" t="str">
        <f t="shared" si="114"/>
        <v>StoreQuikenItem_1</v>
      </c>
      <c r="AH113" s="2" t="str">
        <f t="shared" si="98"/>
        <v>StoreDiamond_1</v>
      </c>
      <c r="AI113" s="2" t="str">
        <f t="shared" si="90"/>
        <v>[23204,100302,101]</v>
      </c>
      <c r="AJ113" s="2" t="str">
        <f t="shared" si="91"/>
        <v>[2,10,500]</v>
      </c>
      <c r="AK113" s="2" t="str">
        <f t="shared" si="92"/>
        <v>[chest_tankpart,StoreQuikenItem_1,StoreDiamond_1]</v>
      </c>
      <c r="AL113" s="2" t="str">
        <f t="shared" si="93"/>
        <v>5+10+部件礼包</v>
      </c>
      <c r="AM113" s="1" t="str">
        <f t="shared" si="115"/>
        <v>T2 Component</v>
      </c>
      <c r="AN113" s="1" t="str">
        <f t="shared" si="116"/>
        <v>1H_X3_Accelerater</v>
      </c>
      <c r="AO113" s="1" t="str">
        <f t="shared" si="99"/>
        <v>Diamond</v>
      </c>
    </row>
    <row r="114" spans="7:41" x14ac:dyDescent="0.3">
      <c r="G114" s="2">
        <v>5</v>
      </c>
      <c r="H114" s="2" t="s">
        <v>2602</v>
      </c>
      <c r="I114" s="2" t="s">
        <v>519</v>
      </c>
      <c r="J114" s="2" t="s">
        <v>275</v>
      </c>
      <c r="K114" s="2" t="e">
        <f t="shared" si="87"/>
        <v>#REF!</v>
      </c>
      <c r="L114" s="2">
        <f t="shared" si="110"/>
        <v>0.75</v>
      </c>
      <c r="M114" s="2">
        <f t="shared" si="94"/>
        <v>3.9623576027736501E-3</v>
      </c>
      <c r="N114" s="2">
        <v>10</v>
      </c>
      <c r="O114" s="2" t="e">
        <f>N114*#REF!</f>
        <v>#REF!</v>
      </c>
      <c r="P114" s="2">
        <v>1.5</v>
      </c>
      <c r="Q114" s="2" t="e">
        <f t="shared" si="105"/>
        <v>#REF!</v>
      </c>
      <c r="R114" s="2">
        <v>7</v>
      </c>
      <c r="S114" s="2" t="e">
        <f t="shared" si="106"/>
        <v>#REF!</v>
      </c>
      <c r="T114" s="2" t="e">
        <f t="shared" si="107"/>
        <v>#REF!</v>
      </c>
      <c r="U114" s="2">
        <v>50</v>
      </c>
      <c r="V114" s="2">
        <f t="shared" si="108"/>
        <v>37.5</v>
      </c>
      <c r="W114" s="2" t="e">
        <f t="shared" si="109"/>
        <v>#REF!</v>
      </c>
      <c r="X114" s="2">
        <v>50000</v>
      </c>
      <c r="Y114" s="2" t="e">
        <f t="shared" si="95"/>
        <v>#REF!</v>
      </c>
      <c r="Z114" s="2" t="e">
        <f t="shared" si="96"/>
        <v>#REF!</v>
      </c>
      <c r="AA114" s="2" t="e">
        <f t="shared" si="88"/>
        <v>#REF!</v>
      </c>
      <c r="AB114" s="2" t="e">
        <f t="shared" si="89"/>
        <v>#REF!</v>
      </c>
      <c r="AC114" s="2">
        <f t="shared" si="111"/>
        <v>24204</v>
      </c>
      <c r="AD114" s="2">
        <f t="shared" si="112"/>
        <v>111</v>
      </c>
      <c r="AE114" s="2">
        <f t="shared" si="97"/>
        <v>102</v>
      </c>
      <c r="AF114" s="2" t="str">
        <f t="shared" si="113"/>
        <v>chest_shard</v>
      </c>
      <c r="AG114" s="2" t="str">
        <f t="shared" si="114"/>
        <v>StoreDoubleKey_1</v>
      </c>
      <c r="AH114" s="2" t="str">
        <f t="shared" si="98"/>
        <v>StoreFund_3</v>
      </c>
      <c r="AI114" s="2" t="str">
        <f t="shared" si="90"/>
        <v>[24204,111,102]</v>
      </c>
      <c r="AJ114" s="2" t="str">
        <f t="shared" si="91"/>
        <v>[7,50,50000]</v>
      </c>
      <c r="AK114" s="2" t="str">
        <f t="shared" si="92"/>
        <v>[chest_shard,StoreDoubleKey_1,StoreFund_3]</v>
      </c>
      <c r="AL114" s="2" t="str">
        <f t="shared" si="93"/>
        <v>5+10+碎片礼包</v>
      </c>
      <c r="AM114" s="1" t="str">
        <f t="shared" si="115"/>
        <v xml:space="preserve"> T3General Shard</v>
      </c>
      <c r="AN114" s="1" t="str">
        <f t="shared" si="116"/>
        <v>DoubleKeys</v>
      </c>
      <c r="AO114" s="1" t="str">
        <f t="shared" si="99"/>
        <v>Funds</v>
      </c>
    </row>
    <row r="115" spans="7:41" x14ac:dyDescent="0.3">
      <c r="G115" s="2">
        <v>5</v>
      </c>
      <c r="H115" s="2" t="s">
        <v>2590</v>
      </c>
      <c r="I115" s="2" t="s">
        <v>587</v>
      </c>
      <c r="J115" s="2" t="s">
        <v>325</v>
      </c>
      <c r="K115" s="2" t="e">
        <f t="shared" si="87"/>
        <v>#REF!</v>
      </c>
      <c r="L115" s="2">
        <f t="shared" si="110"/>
        <v>60</v>
      </c>
      <c r="M115" s="2">
        <f t="shared" si="94"/>
        <v>1</v>
      </c>
      <c r="N115" s="2">
        <v>20</v>
      </c>
      <c r="O115" s="2" t="e">
        <f>N115*#REF!</f>
        <v>#REF!</v>
      </c>
      <c r="P115" s="2">
        <v>1.5</v>
      </c>
      <c r="Q115" s="2" t="e">
        <f t="shared" si="105"/>
        <v>#REF!</v>
      </c>
      <c r="R115" s="2">
        <v>2</v>
      </c>
      <c r="S115" s="2" t="e">
        <f t="shared" si="106"/>
        <v>#REF!</v>
      </c>
      <c r="T115" s="2" t="e">
        <f t="shared" si="107"/>
        <v>#REF!</v>
      </c>
      <c r="U115" s="2">
        <v>10</v>
      </c>
      <c r="V115" s="2">
        <f t="shared" si="108"/>
        <v>600</v>
      </c>
      <c r="W115" s="2" t="e">
        <f t="shared" si="109"/>
        <v>#REF!</v>
      </c>
      <c r="X115" s="2">
        <v>2000</v>
      </c>
      <c r="Y115" s="2" t="e">
        <f t="shared" si="95"/>
        <v>#REF!</v>
      </c>
      <c r="Z115" s="2" t="e">
        <f t="shared" si="96"/>
        <v>#REF!</v>
      </c>
      <c r="AA115" s="2" t="e">
        <f t="shared" si="88"/>
        <v>#REF!</v>
      </c>
      <c r="AB115" s="2" t="e">
        <f t="shared" si="89"/>
        <v>#REF!</v>
      </c>
      <c r="AC115" s="2">
        <f t="shared" si="111"/>
        <v>23205</v>
      </c>
      <c r="AD115" s="2">
        <f t="shared" si="112"/>
        <v>100302</v>
      </c>
      <c r="AE115" s="2">
        <f t="shared" si="97"/>
        <v>101</v>
      </c>
      <c r="AF115" s="2" t="str">
        <f t="shared" si="113"/>
        <v>chest_tankpart</v>
      </c>
      <c r="AG115" s="2" t="str">
        <f t="shared" si="114"/>
        <v>StoreQuikenItem_1</v>
      </c>
      <c r="AH115" s="2" t="str">
        <f t="shared" si="98"/>
        <v>StoreDiamond_1</v>
      </c>
      <c r="AI115" s="2" t="str">
        <f t="shared" si="90"/>
        <v>[23205,100302,101]</v>
      </c>
      <c r="AJ115" s="2" t="str">
        <f t="shared" si="91"/>
        <v>[2,10,2000]</v>
      </c>
      <c r="AK115" s="2" t="str">
        <f t="shared" si="92"/>
        <v>[chest_tankpart,StoreQuikenItem_1,StoreDiamond_1]</v>
      </c>
      <c r="AL115" s="2" t="str">
        <f t="shared" si="93"/>
        <v>5+20+部件礼包</v>
      </c>
      <c r="AM115" s="1" t="str">
        <f t="shared" si="115"/>
        <v>T2 Component</v>
      </c>
      <c r="AN115" s="1" t="str">
        <f t="shared" si="116"/>
        <v>1H_X3_Accelerater</v>
      </c>
      <c r="AO115" s="1" t="str">
        <f t="shared" si="99"/>
        <v>Diamond</v>
      </c>
    </row>
    <row r="116" spans="7:41" x14ac:dyDescent="0.3">
      <c r="G116" s="2">
        <v>5</v>
      </c>
      <c r="H116" s="2" t="s">
        <v>2604</v>
      </c>
      <c r="I116" s="2" t="s">
        <v>519</v>
      </c>
      <c r="J116" s="2" t="s">
        <v>275</v>
      </c>
      <c r="K116" s="2" t="e">
        <f t="shared" si="87"/>
        <v>#REF!</v>
      </c>
      <c r="L116" s="2">
        <f t="shared" si="110"/>
        <v>0.75</v>
      </c>
      <c r="M116" s="2">
        <f t="shared" si="94"/>
        <v>3.9623576027736501E-3</v>
      </c>
      <c r="N116" s="2">
        <v>20</v>
      </c>
      <c r="O116" s="2" t="e">
        <f>N116*#REF!</f>
        <v>#REF!</v>
      </c>
      <c r="P116" s="2">
        <v>1.5</v>
      </c>
      <c r="Q116" s="2" t="e">
        <f t="shared" si="105"/>
        <v>#REF!</v>
      </c>
      <c r="R116" s="2">
        <v>12</v>
      </c>
      <c r="S116" s="2" t="e">
        <f t="shared" si="106"/>
        <v>#REF!</v>
      </c>
      <c r="T116" s="2" t="e">
        <f t="shared" si="107"/>
        <v>#REF!</v>
      </c>
      <c r="U116" s="2">
        <v>100</v>
      </c>
      <c r="V116" s="2">
        <f t="shared" si="108"/>
        <v>75</v>
      </c>
      <c r="W116" s="2" t="e">
        <f t="shared" si="109"/>
        <v>#REF!</v>
      </c>
      <c r="X116" s="2">
        <v>100000</v>
      </c>
      <c r="Y116" s="2" t="e">
        <f t="shared" si="95"/>
        <v>#REF!</v>
      </c>
      <c r="Z116" s="2" t="e">
        <f t="shared" si="96"/>
        <v>#REF!</v>
      </c>
      <c r="AA116" s="2" t="e">
        <f t="shared" si="88"/>
        <v>#REF!</v>
      </c>
      <c r="AB116" s="2" t="e">
        <f t="shared" si="89"/>
        <v>#REF!</v>
      </c>
      <c r="AC116" s="2">
        <f t="shared" si="111"/>
        <v>24205</v>
      </c>
      <c r="AD116" s="2">
        <f t="shared" si="112"/>
        <v>111</v>
      </c>
      <c r="AE116" s="2">
        <f t="shared" si="97"/>
        <v>102</v>
      </c>
      <c r="AF116" s="2" t="str">
        <f t="shared" si="113"/>
        <v>chest_shard</v>
      </c>
      <c r="AG116" s="2" t="str">
        <f t="shared" si="114"/>
        <v>StoreDoubleKey_1</v>
      </c>
      <c r="AH116" s="2" t="str">
        <f t="shared" si="98"/>
        <v>StoreFund_3</v>
      </c>
      <c r="AI116" s="2" t="str">
        <f t="shared" si="90"/>
        <v>[24205,111,102]</v>
      </c>
      <c r="AJ116" s="2" t="str">
        <f t="shared" si="91"/>
        <v>[12,100,100000]</v>
      </c>
      <c r="AK116" s="2" t="str">
        <f t="shared" si="92"/>
        <v>[chest_shard,StoreDoubleKey_1,StoreFund_3]</v>
      </c>
      <c r="AL116" s="2" t="str">
        <f t="shared" si="93"/>
        <v>5+20+碎片礼包</v>
      </c>
      <c r="AM116" s="1" t="str">
        <f t="shared" si="115"/>
        <v>T3 Senior Shard</v>
      </c>
      <c r="AN116" s="1" t="str">
        <f t="shared" si="116"/>
        <v>DoubleKeys</v>
      </c>
      <c r="AO116" s="1" t="str">
        <f t="shared" si="99"/>
        <v>Funds</v>
      </c>
    </row>
    <row r="117" spans="7:41" x14ac:dyDescent="0.3">
      <c r="G117" s="2">
        <v>5</v>
      </c>
      <c r="H117" s="2" t="s">
        <v>2561</v>
      </c>
      <c r="I117" s="2" t="s">
        <v>587</v>
      </c>
      <c r="J117" s="2" t="s">
        <v>325</v>
      </c>
      <c r="K117" s="2" t="e">
        <f t="shared" si="87"/>
        <v>#N/A</v>
      </c>
      <c r="L117" s="2">
        <f t="shared" si="110"/>
        <v>60</v>
      </c>
      <c r="M117" s="2">
        <f t="shared" si="94"/>
        <v>1</v>
      </c>
      <c r="N117" s="2">
        <v>50</v>
      </c>
      <c r="O117" s="2" t="e">
        <f>N117*#REF!</f>
        <v>#REF!</v>
      </c>
      <c r="P117" s="2">
        <v>1.5</v>
      </c>
      <c r="Q117" s="2" t="e">
        <f t="shared" si="105"/>
        <v>#REF!</v>
      </c>
      <c r="R117" s="2">
        <v>1</v>
      </c>
      <c r="S117" s="2" t="e">
        <f t="shared" si="106"/>
        <v>#N/A</v>
      </c>
      <c r="T117" s="2" t="e">
        <f t="shared" si="107"/>
        <v>#N/A</v>
      </c>
      <c r="U117" s="2">
        <v>12</v>
      </c>
      <c r="V117" s="2">
        <f t="shared" si="108"/>
        <v>720</v>
      </c>
      <c r="W117" s="2" t="e">
        <f t="shared" si="109"/>
        <v>#REF!</v>
      </c>
      <c r="X117" s="2">
        <v>4800</v>
      </c>
      <c r="Y117" s="2" t="e">
        <f t="shared" si="95"/>
        <v>#N/A</v>
      </c>
      <c r="Z117" s="2" t="e">
        <f t="shared" si="96"/>
        <v>#N/A</v>
      </c>
      <c r="AA117" s="2" t="e">
        <f t="shared" si="88"/>
        <v>#N/A</v>
      </c>
      <c r="AB117" s="2" t="e">
        <f t="shared" si="89"/>
        <v>#N/A</v>
      </c>
      <c r="AC117" s="2">
        <f t="shared" si="111"/>
        <v>25555</v>
      </c>
      <c r="AD117" s="2">
        <f t="shared" si="112"/>
        <v>100302</v>
      </c>
      <c r="AE117" s="2">
        <f t="shared" si="97"/>
        <v>101</v>
      </c>
      <c r="AF117" s="2" t="str">
        <f t="shared" si="113"/>
        <v>chest_lv6_icon</v>
      </c>
      <c r="AG117" s="2" t="str">
        <f t="shared" si="114"/>
        <v>StoreQuikenItem_1</v>
      </c>
      <c r="AH117" s="2" t="str">
        <f t="shared" si="98"/>
        <v>StoreDiamond_1</v>
      </c>
      <c r="AI117" s="2" t="str">
        <f t="shared" si="90"/>
        <v>[25555,100302,101]</v>
      </c>
      <c r="AJ117" s="2" t="str">
        <f t="shared" si="91"/>
        <v>[1,12,4800]</v>
      </c>
      <c r="AK117" s="2" t="str">
        <f t="shared" si="92"/>
        <v>[chest_lv6_icon,StoreQuikenItem_1,StoreDiamond_1]</v>
      </c>
      <c r="AL117" s="2" t="str">
        <f t="shared" si="93"/>
        <v>5+50+史诗自宝</v>
      </c>
      <c r="AM117" s="1" t="str">
        <f t="shared" si="115"/>
        <v>Rank 5 Epic Chest</v>
      </c>
      <c r="AN117" s="1" t="str">
        <f t="shared" si="116"/>
        <v>1H_X3_Accelerater</v>
      </c>
      <c r="AO117" s="1" t="str">
        <f t="shared" si="99"/>
        <v>Diamond</v>
      </c>
    </row>
    <row r="118" spans="7:41" x14ac:dyDescent="0.3">
      <c r="G118" s="2">
        <v>5</v>
      </c>
      <c r="H118" s="2" t="s">
        <v>2604</v>
      </c>
      <c r="I118" s="2" t="s">
        <v>519</v>
      </c>
      <c r="J118" s="2" t="s">
        <v>275</v>
      </c>
      <c r="K118" s="2" t="e">
        <f t="shared" si="87"/>
        <v>#REF!</v>
      </c>
      <c r="L118" s="2">
        <f t="shared" si="110"/>
        <v>0.75</v>
      </c>
      <c r="M118" s="2">
        <f t="shared" si="94"/>
        <v>3.9623576027736501E-3</v>
      </c>
      <c r="N118" s="2">
        <v>50</v>
      </c>
      <c r="O118" s="2" t="e">
        <f>N118*#REF!</f>
        <v>#REF!</v>
      </c>
      <c r="P118" s="2">
        <v>1.5</v>
      </c>
      <c r="Q118" s="2" t="e">
        <f t="shared" si="105"/>
        <v>#REF!</v>
      </c>
      <c r="R118" s="2">
        <v>34</v>
      </c>
      <c r="S118" s="2" t="e">
        <f t="shared" si="106"/>
        <v>#REF!</v>
      </c>
      <c r="T118" s="2" t="e">
        <f t="shared" si="107"/>
        <v>#REF!</v>
      </c>
      <c r="U118" s="2">
        <v>50</v>
      </c>
      <c r="V118" s="2">
        <f t="shared" si="108"/>
        <v>37.5</v>
      </c>
      <c r="W118" s="2" t="e">
        <f t="shared" si="109"/>
        <v>#REF!</v>
      </c>
      <c r="X118" s="2">
        <v>80000</v>
      </c>
      <c r="Y118" s="2" t="e">
        <f t="shared" si="95"/>
        <v>#REF!</v>
      </c>
      <c r="Z118" s="2" t="e">
        <f t="shared" si="96"/>
        <v>#REF!</v>
      </c>
      <c r="AA118" s="2" t="e">
        <f t="shared" si="88"/>
        <v>#REF!</v>
      </c>
      <c r="AB118" s="2" t="e">
        <f t="shared" si="89"/>
        <v>#REF!</v>
      </c>
      <c r="AC118" s="2">
        <f t="shared" si="111"/>
        <v>24205</v>
      </c>
      <c r="AD118" s="2">
        <f t="shared" si="112"/>
        <v>111</v>
      </c>
      <c r="AE118" s="2">
        <f t="shared" si="97"/>
        <v>102</v>
      </c>
      <c r="AF118" s="2" t="str">
        <f t="shared" si="113"/>
        <v>chest_shard</v>
      </c>
      <c r="AG118" s="2" t="str">
        <f t="shared" si="114"/>
        <v>StoreDoubleKey_1</v>
      </c>
      <c r="AH118" s="2" t="str">
        <f t="shared" si="98"/>
        <v>StoreFund_3</v>
      </c>
      <c r="AI118" s="2" t="str">
        <f t="shared" si="90"/>
        <v>[24205,111,102]</v>
      </c>
      <c r="AJ118" s="2" t="str">
        <f t="shared" si="91"/>
        <v>[34,50,80000]</v>
      </c>
      <c r="AK118" s="2" t="str">
        <f t="shared" si="92"/>
        <v>[chest_shard,StoreDoubleKey_1,StoreFund_3]</v>
      </c>
      <c r="AL118" s="2" t="str">
        <f t="shared" si="93"/>
        <v>5+50+碎片礼包</v>
      </c>
      <c r="AM118" s="1" t="str">
        <f t="shared" si="115"/>
        <v>T3 Senior Shard</v>
      </c>
      <c r="AN118" s="1" t="str">
        <f t="shared" si="116"/>
        <v>DoubleKeys</v>
      </c>
      <c r="AO118" s="1" t="str">
        <f t="shared" si="99"/>
        <v>Funds</v>
      </c>
    </row>
    <row r="119" spans="7:41" x14ac:dyDescent="0.3">
      <c r="G119" s="2">
        <v>6</v>
      </c>
      <c r="H119" s="2" t="s">
        <v>2588</v>
      </c>
      <c r="I119" s="2" t="s">
        <v>587</v>
      </c>
      <c r="J119" s="2" t="s">
        <v>325</v>
      </c>
      <c r="K119" s="2" t="e">
        <f t="shared" ref="K119:K150" si="117">IFERROR(VLOOKUP(LEFT(H119,4),$B$40:$C$81,2,FALSE),VLOOKUP(H119,$B$40:$C$81,2,FALSE))</f>
        <v>#REF!</v>
      </c>
      <c r="L119" s="2">
        <f t="shared" si="110"/>
        <v>60</v>
      </c>
      <c r="M119" s="2">
        <f t="shared" si="94"/>
        <v>1</v>
      </c>
      <c r="N119" s="2">
        <v>5</v>
      </c>
      <c r="O119" s="2" t="e">
        <f>N119*#REF!</f>
        <v>#REF!</v>
      </c>
      <c r="P119" s="34">
        <f t="shared" ref="P119:P126" si="118">1/0.6</f>
        <v>1.6666666666666667</v>
      </c>
      <c r="Q119" s="2" t="e">
        <f t="shared" ref="Q119:Q126" si="119">O119*P119</f>
        <v>#REF!</v>
      </c>
      <c r="R119" s="2">
        <v>1</v>
      </c>
      <c r="S119" s="2" t="e">
        <f t="shared" ref="S119:S126" si="120">R119*K119</f>
        <v>#REF!</v>
      </c>
      <c r="T119" s="2" t="e">
        <f t="shared" ref="T119:T126" si="121">S119/Q119</f>
        <v>#REF!</v>
      </c>
      <c r="U119" s="2">
        <v>5</v>
      </c>
      <c r="V119" s="2">
        <f t="shared" ref="V119:V126" si="122">U119*L119</f>
        <v>300</v>
      </c>
      <c r="W119" s="2" t="e">
        <f t="shared" ref="W119:W126" si="123">V119/Q119</f>
        <v>#REF!</v>
      </c>
      <c r="X119" s="2">
        <v>300</v>
      </c>
      <c r="Y119" s="2" t="e">
        <f t="shared" si="95"/>
        <v>#REF!</v>
      </c>
      <c r="Z119" s="2" t="e">
        <f t="shared" si="96"/>
        <v>#REF!</v>
      </c>
      <c r="AA119" s="2" t="e">
        <f t="shared" ref="AA119:AA150" si="124">R119*K119+U119*L119+X119*M119</f>
        <v>#REF!</v>
      </c>
      <c r="AB119" s="2" t="e">
        <f t="shared" ref="AB119:AB150" si="125">1-1/(AA119/O119)</f>
        <v>#REF!</v>
      </c>
      <c r="AC119" s="2">
        <f t="shared" si="111"/>
        <v>23204</v>
      </c>
      <c r="AD119" s="2">
        <f t="shared" si="112"/>
        <v>100302</v>
      </c>
      <c r="AE119" s="2">
        <f t="shared" si="97"/>
        <v>101</v>
      </c>
      <c r="AF119" s="2" t="str">
        <f t="shared" si="113"/>
        <v>chest_tankpart</v>
      </c>
      <c r="AG119" s="2" t="str">
        <f t="shared" si="114"/>
        <v>StoreQuikenItem_1</v>
      </c>
      <c r="AH119" s="2" t="str">
        <f t="shared" si="98"/>
        <v>StoreDiamond_1</v>
      </c>
      <c r="AI119" s="2" t="str">
        <f t="shared" si="90"/>
        <v>[23204,100302,101]</v>
      </c>
      <c r="AJ119" s="2" t="str">
        <f t="shared" si="91"/>
        <v>[1,5,300]</v>
      </c>
      <c r="AK119" s="2" t="str">
        <f t="shared" si="92"/>
        <v>[chest_tankpart,StoreQuikenItem_1,StoreDiamond_1]</v>
      </c>
      <c r="AL119" s="2" t="str">
        <f t="shared" si="93"/>
        <v>6+5+部件礼包</v>
      </c>
      <c r="AM119" s="1" t="str">
        <f t="shared" si="115"/>
        <v>T2 Component</v>
      </c>
      <c r="AN119" s="1" t="str">
        <f t="shared" si="116"/>
        <v>1H_X3_Accelerater</v>
      </c>
      <c r="AO119" s="1" t="str">
        <f t="shared" si="99"/>
        <v>Diamond</v>
      </c>
    </row>
    <row r="120" spans="7:41" x14ac:dyDescent="0.3">
      <c r="G120" s="2">
        <v>6</v>
      </c>
      <c r="H120" s="2" t="s">
        <v>2604</v>
      </c>
      <c r="I120" s="2" t="s">
        <v>519</v>
      </c>
      <c r="J120" s="2" t="s">
        <v>275</v>
      </c>
      <c r="K120" s="2" t="e">
        <f t="shared" si="117"/>
        <v>#REF!</v>
      </c>
      <c r="L120" s="2">
        <f t="shared" si="110"/>
        <v>0.75</v>
      </c>
      <c r="M120" s="2">
        <f t="shared" si="94"/>
        <v>3.9623576027736501E-3</v>
      </c>
      <c r="N120" s="2">
        <v>5</v>
      </c>
      <c r="O120" s="2" t="e">
        <f>N120*#REF!</f>
        <v>#REF!</v>
      </c>
      <c r="P120" s="34">
        <f t="shared" si="118"/>
        <v>1.6666666666666667</v>
      </c>
      <c r="Q120" s="2" t="e">
        <f t="shared" si="119"/>
        <v>#REF!</v>
      </c>
      <c r="R120" s="2">
        <v>2</v>
      </c>
      <c r="S120" s="2" t="e">
        <f t="shared" si="120"/>
        <v>#REF!</v>
      </c>
      <c r="T120" s="2" t="e">
        <f t="shared" si="121"/>
        <v>#REF!</v>
      </c>
      <c r="U120" s="2">
        <v>50</v>
      </c>
      <c r="V120" s="2">
        <f t="shared" si="122"/>
        <v>37.5</v>
      </c>
      <c r="W120" s="2" t="e">
        <f t="shared" si="123"/>
        <v>#REF!</v>
      </c>
      <c r="X120" s="2">
        <v>90000</v>
      </c>
      <c r="Y120" s="2" t="e">
        <f t="shared" si="95"/>
        <v>#REF!</v>
      </c>
      <c r="Z120" s="2" t="e">
        <f t="shared" si="96"/>
        <v>#REF!</v>
      </c>
      <c r="AA120" s="2" t="e">
        <f t="shared" si="124"/>
        <v>#REF!</v>
      </c>
      <c r="AB120" s="2" t="e">
        <f t="shared" si="125"/>
        <v>#REF!</v>
      </c>
      <c r="AC120" s="2">
        <f t="shared" si="111"/>
        <v>24205</v>
      </c>
      <c r="AD120" s="2">
        <f t="shared" si="112"/>
        <v>111</v>
      </c>
      <c r="AE120" s="2">
        <f t="shared" si="97"/>
        <v>102</v>
      </c>
      <c r="AF120" s="2" t="str">
        <f t="shared" si="113"/>
        <v>chest_shard</v>
      </c>
      <c r="AG120" s="2" t="str">
        <f t="shared" si="114"/>
        <v>StoreDoubleKey_1</v>
      </c>
      <c r="AH120" s="2" t="str">
        <f t="shared" si="98"/>
        <v>StoreFund_3</v>
      </c>
      <c r="AI120" s="2" t="str">
        <f t="shared" si="90"/>
        <v>[24205,111,102]</v>
      </c>
      <c r="AJ120" s="2" t="str">
        <f t="shared" si="91"/>
        <v>[2,50,90000]</v>
      </c>
      <c r="AK120" s="2" t="str">
        <f t="shared" si="92"/>
        <v>[chest_shard,StoreDoubleKey_1,StoreFund_3]</v>
      </c>
      <c r="AL120" s="2" t="str">
        <f t="shared" si="93"/>
        <v>6+5+碎片礼包</v>
      </c>
      <c r="AM120" s="1" t="str">
        <f t="shared" si="115"/>
        <v>T3 Senior Shard</v>
      </c>
      <c r="AN120" s="1" t="str">
        <f t="shared" si="116"/>
        <v>DoubleKeys</v>
      </c>
      <c r="AO120" s="1" t="str">
        <f t="shared" si="99"/>
        <v>Funds</v>
      </c>
    </row>
    <row r="121" spans="7:41" x14ac:dyDescent="0.3">
      <c r="G121" s="2">
        <v>6</v>
      </c>
      <c r="H121" s="2" t="s">
        <v>2588</v>
      </c>
      <c r="I121" s="2" t="s">
        <v>587</v>
      </c>
      <c r="J121" s="2" t="s">
        <v>325</v>
      </c>
      <c r="K121" s="2" t="e">
        <f t="shared" si="117"/>
        <v>#REF!</v>
      </c>
      <c r="L121" s="2">
        <f t="shared" si="110"/>
        <v>60</v>
      </c>
      <c r="M121" s="2">
        <f t="shared" si="94"/>
        <v>1</v>
      </c>
      <c r="N121" s="2">
        <v>10</v>
      </c>
      <c r="O121" s="2" t="e">
        <f>N121*#REF!</f>
        <v>#REF!</v>
      </c>
      <c r="P121" s="34">
        <f t="shared" si="118"/>
        <v>1.6666666666666667</v>
      </c>
      <c r="Q121" s="2" t="e">
        <f t="shared" si="119"/>
        <v>#REF!</v>
      </c>
      <c r="R121" s="2">
        <v>2</v>
      </c>
      <c r="S121" s="2" t="e">
        <f t="shared" si="120"/>
        <v>#REF!</v>
      </c>
      <c r="T121" s="2" t="e">
        <f t="shared" si="121"/>
        <v>#REF!</v>
      </c>
      <c r="U121" s="2">
        <v>10</v>
      </c>
      <c r="V121" s="2">
        <f t="shared" si="122"/>
        <v>600</v>
      </c>
      <c r="W121" s="2" t="e">
        <f t="shared" si="123"/>
        <v>#REF!</v>
      </c>
      <c r="X121" s="2">
        <v>700</v>
      </c>
      <c r="Y121" s="2" t="e">
        <f t="shared" si="95"/>
        <v>#REF!</v>
      </c>
      <c r="Z121" s="2" t="e">
        <f t="shared" si="96"/>
        <v>#REF!</v>
      </c>
      <c r="AA121" s="2" t="e">
        <f t="shared" si="124"/>
        <v>#REF!</v>
      </c>
      <c r="AB121" s="2" t="e">
        <f t="shared" si="125"/>
        <v>#REF!</v>
      </c>
      <c r="AC121" s="2">
        <f t="shared" si="111"/>
        <v>23204</v>
      </c>
      <c r="AD121" s="2">
        <f t="shared" si="112"/>
        <v>100302</v>
      </c>
      <c r="AE121" s="2">
        <f t="shared" si="97"/>
        <v>101</v>
      </c>
      <c r="AF121" s="2" t="str">
        <f t="shared" si="113"/>
        <v>chest_tankpart</v>
      </c>
      <c r="AG121" s="2" t="str">
        <f t="shared" si="114"/>
        <v>StoreQuikenItem_1</v>
      </c>
      <c r="AH121" s="2" t="str">
        <f t="shared" si="98"/>
        <v>StoreDiamond_1</v>
      </c>
      <c r="AI121" s="2" t="str">
        <f t="shared" si="90"/>
        <v>[23204,100302,101]</v>
      </c>
      <c r="AJ121" s="2" t="str">
        <f t="shared" si="91"/>
        <v>[2,10,700]</v>
      </c>
      <c r="AK121" s="2" t="str">
        <f t="shared" si="92"/>
        <v>[chest_tankpart,StoreQuikenItem_1,StoreDiamond_1]</v>
      </c>
      <c r="AL121" s="2" t="str">
        <f t="shared" si="93"/>
        <v>6+10+部件礼包</v>
      </c>
      <c r="AM121" s="1" t="str">
        <f t="shared" si="115"/>
        <v>T2 Component</v>
      </c>
      <c r="AN121" s="1" t="str">
        <f t="shared" si="116"/>
        <v>1H_X3_Accelerater</v>
      </c>
      <c r="AO121" s="1" t="str">
        <f t="shared" si="99"/>
        <v>Diamond</v>
      </c>
    </row>
    <row r="122" spans="7:41" x14ac:dyDescent="0.3">
      <c r="G122" s="2">
        <v>6</v>
      </c>
      <c r="H122" s="2" t="s">
        <v>2604</v>
      </c>
      <c r="I122" s="2" t="s">
        <v>519</v>
      </c>
      <c r="J122" s="2" t="s">
        <v>275</v>
      </c>
      <c r="K122" s="2" t="e">
        <f t="shared" si="117"/>
        <v>#REF!</v>
      </c>
      <c r="L122" s="2">
        <f t="shared" si="110"/>
        <v>0.75</v>
      </c>
      <c r="M122" s="2">
        <f t="shared" si="94"/>
        <v>3.9623576027736501E-3</v>
      </c>
      <c r="N122" s="2">
        <v>10</v>
      </c>
      <c r="O122" s="2" t="e">
        <f>N122*#REF!</f>
        <v>#REF!</v>
      </c>
      <c r="P122" s="34">
        <f t="shared" si="118"/>
        <v>1.6666666666666667</v>
      </c>
      <c r="Q122" s="2" t="e">
        <f t="shared" si="119"/>
        <v>#REF!</v>
      </c>
      <c r="R122" s="2">
        <v>6</v>
      </c>
      <c r="S122" s="2" t="e">
        <f t="shared" si="120"/>
        <v>#REF!</v>
      </c>
      <c r="T122" s="2" t="e">
        <f t="shared" si="121"/>
        <v>#REF!</v>
      </c>
      <c r="U122" s="2">
        <v>50</v>
      </c>
      <c r="V122" s="2">
        <f t="shared" si="122"/>
        <v>37.5</v>
      </c>
      <c r="W122" s="2" t="e">
        <f t="shared" si="123"/>
        <v>#REF!</v>
      </c>
      <c r="X122" s="2">
        <v>90000</v>
      </c>
      <c r="Y122" s="2" t="e">
        <f t="shared" si="95"/>
        <v>#REF!</v>
      </c>
      <c r="Z122" s="2" t="e">
        <f t="shared" si="96"/>
        <v>#REF!</v>
      </c>
      <c r="AA122" s="2" t="e">
        <f t="shared" si="124"/>
        <v>#REF!</v>
      </c>
      <c r="AB122" s="2" t="e">
        <f t="shared" si="125"/>
        <v>#REF!</v>
      </c>
      <c r="AC122" s="2">
        <f t="shared" si="111"/>
        <v>24205</v>
      </c>
      <c r="AD122" s="2">
        <f t="shared" si="112"/>
        <v>111</v>
      </c>
      <c r="AE122" s="2">
        <f t="shared" si="97"/>
        <v>102</v>
      </c>
      <c r="AF122" s="2" t="str">
        <f t="shared" si="113"/>
        <v>chest_shard</v>
      </c>
      <c r="AG122" s="2" t="str">
        <f t="shared" si="114"/>
        <v>StoreDoubleKey_1</v>
      </c>
      <c r="AH122" s="2" t="str">
        <f t="shared" si="98"/>
        <v>StoreFund_3</v>
      </c>
      <c r="AI122" s="2" t="str">
        <f t="shared" si="90"/>
        <v>[24205,111,102]</v>
      </c>
      <c r="AJ122" s="2" t="str">
        <f t="shared" si="91"/>
        <v>[6,50,90000]</v>
      </c>
      <c r="AK122" s="2" t="str">
        <f t="shared" si="92"/>
        <v>[chest_shard,StoreDoubleKey_1,StoreFund_3]</v>
      </c>
      <c r="AL122" s="2" t="str">
        <f t="shared" si="93"/>
        <v>6+10+碎片礼包</v>
      </c>
      <c r="AM122" s="1" t="str">
        <f t="shared" si="115"/>
        <v>T3 Senior Shard</v>
      </c>
      <c r="AN122" s="1" t="str">
        <f t="shared" si="116"/>
        <v>DoubleKeys</v>
      </c>
      <c r="AO122" s="1" t="str">
        <f t="shared" si="99"/>
        <v>Funds</v>
      </c>
    </row>
    <row r="123" spans="7:41" x14ac:dyDescent="0.3">
      <c r="G123" s="2">
        <v>6</v>
      </c>
      <c r="H123" s="2" t="s">
        <v>2590</v>
      </c>
      <c r="I123" s="2" t="s">
        <v>587</v>
      </c>
      <c r="J123" s="2" t="s">
        <v>325</v>
      </c>
      <c r="K123" s="2" t="e">
        <f t="shared" si="117"/>
        <v>#REF!</v>
      </c>
      <c r="L123" s="2">
        <f t="shared" si="110"/>
        <v>60</v>
      </c>
      <c r="M123" s="2">
        <f t="shared" ref="M123:M154" si="126">VLOOKUP(J123,$B$40:$C$81,2,FALSE)</f>
        <v>1</v>
      </c>
      <c r="N123" s="2">
        <v>20</v>
      </c>
      <c r="O123" s="2" t="e">
        <f>N123*#REF!</f>
        <v>#REF!</v>
      </c>
      <c r="P123" s="34">
        <f t="shared" si="118"/>
        <v>1.6666666666666667</v>
      </c>
      <c r="Q123" s="2" t="e">
        <f t="shared" si="119"/>
        <v>#REF!</v>
      </c>
      <c r="R123" s="2">
        <v>2</v>
      </c>
      <c r="S123" s="2" t="e">
        <f t="shared" si="120"/>
        <v>#REF!</v>
      </c>
      <c r="T123" s="2" t="e">
        <f t="shared" si="121"/>
        <v>#REF!</v>
      </c>
      <c r="U123" s="2">
        <v>12</v>
      </c>
      <c r="V123" s="2">
        <f t="shared" si="122"/>
        <v>720</v>
      </c>
      <c r="W123" s="2" t="e">
        <f t="shared" si="123"/>
        <v>#REF!</v>
      </c>
      <c r="X123" s="2">
        <v>2200</v>
      </c>
      <c r="Y123" s="2" t="e">
        <f t="shared" ref="Y123:Y154" si="127">Z123*Q123</f>
        <v>#REF!</v>
      </c>
      <c r="Z123" s="2" t="e">
        <f t="shared" ref="Z123:Z154" si="128">1-T123-W123</f>
        <v>#REF!</v>
      </c>
      <c r="AA123" s="2" t="e">
        <f t="shared" si="124"/>
        <v>#REF!</v>
      </c>
      <c r="AB123" s="2" t="e">
        <f t="shared" si="125"/>
        <v>#REF!</v>
      </c>
      <c r="AC123" s="2">
        <f t="shared" si="111"/>
        <v>23205</v>
      </c>
      <c r="AD123" s="2">
        <f t="shared" si="112"/>
        <v>100302</v>
      </c>
      <c r="AE123" s="2">
        <f t="shared" ref="AE123:AE154" si="129">VLOOKUP(J123,道具ID,2,FALSE)</f>
        <v>101</v>
      </c>
      <c r="AF123" s="2" t="str">
        <f t="shared" si="113"/>
        <v>chest_tankpart</v>
      </c>
      <c r="AG123" s="2" t="str">
        <f t="shared" si="114"/>
        <v>StoreQuikenItem_1</v>
      </c>
      <c r="AH123" s="2" t="str">
        <f t="shared" ref="AH123:AH154" si="130">VLOOKUP(J123,道具ID,3,FALSE)</f>
        <v>StoreDiamond_1</v>
      </c>
      <c r="AI123" s="2" t="str">
        <f t="shared" si="90"/>
        <v>[23205,100302,101]</v>
      </c>
      <c r="AJ123" s="2" t="str">
        <f t="shared" si="91"/>
        <v>[2,12,2200]</v>
      </c>
      <c r="AK123" s="2" t="str">
        <f t="shared" si="92"/>
        <v>[chest_tankpart,StoreQuikenItem_1,StoreDiamond_1]</v>
      </c>
      <c r="AL123" s="2" t="str">
        <f t="shared" si="93"/>
        <v>6+20+部件礼包</v>
      </c>
      <c r="AM123" s="1" t="str">
        <f t="shared" si="115"/>
        <v>T2 Component</v>
      </c>
      <c r="AN123" s="1" t="str">
        <f t="shared" si="116"/>
        <v>1H_X3_Accelerater</v>
      </c>
      <c r="AO123" s="1" t="str">
        <f t="shared" ref="AO123:AO154" si="131">VLOOKUP(J123,道具ID,4,FALSE)</f>
        <v>Diamond</v>
      </c>
    </row>
    <row r="124" spans="7:41" x14ac:dyDescent="0.3">
      <c r="G124" s="2">
        <v>6</v>
      </c>
      <c r="H124" s="2" t="s">
        <v>2604</v>
      </c>
      <c r="I124" s="2" t="s">
        <v>519</v>
      </c>
      <c r="J124" s="2" t="s">
        <v>275</v>
      </c>
      <c r="K124" s="2" t="e">
        <f t="shared" si="117"/>
        <v>#REF!</v>
      </c>
      <c r="L124" s="2">
        <f t="shared" si="110"/>
        <v>0.75</v>
      </c>
      <c r="M124" s="2">
        <f t="shared" si="126"/>
        <v>3.9623576027736501E-3</v>
      </c>
      <c r="N124" s="2">
        <v>20</v>
      </c>
      <c r="O124" s="2" t="e">
        <f>N124*#REF!</f>
        <v>#REF!</v>
      </c>
      <c r="P124" s="34">
        <f t="shared" si="118"/>
        <v>1.6666666666666667</v>
      </c>
      <c r="Q124" s="2" t="e">
        <f t="shared" si="119"/>
        <v>#REF!</v>
      </c>
      <c r="R124" s="2">
        <v>15</v>
      </c>
      <c r="S124" s="2" t="e">
        <f t="shared" si="120"/>
        <v>#REF!</v>
      </c>
      <c r="T124" s="2" t="e">
        <f t="shared" si="121"/>
        <v>#REF!</v>
      </c>
      <c r="U124" s="2">
        <v>50</v>
      </c>
      <c r="V124" s="2">
        <f t="shared" si="122"/>
        <v>37.5</v>
      </c>
      <c r="W124" s="2" t="e">
        <f t="shared" si="123"/>
        <v>#REF!</v>
      </c>
      <c r="X124" s="2">
        <v>40000</v>
      </c>
      <c r="Y124" s="2" t="e">
        <f t="shared" si="127"/>
        <v>#REF!</v>
      </c>
      <c r="Z124" s="2" t="e">
        <f t="shared" si="128"/>
        <v>#REF!</v>
      </c>
      <c r="AA124" s="2" t="e">
        <f t="shared" si="124"/>
        <v>#REF!</v>
      </c>
      <c r="AB124" s="2" t="e">
        <f t="shared" si="125"/>
        <v>#REF!</v>
      </c>
      <c r="AC124" s="2">
        <f t="shared" si="111"/>
        <v>24205</v>
      </c>
      <c r="AD124" s="2">
        <f t="shared" si="112"/>
        <v>111</v>
      </c>
      <c r="AE124" s="2">
        <f t="shared" si="129"/>
        <v>102</v>
      </c>
      <c r="AF124" s="2" t="str">
        <f t="shared" si="113"/>
        <v>chest_shard</v>
      </c>
      <c r="AG124" s="2" t="str">
        <f t="shared" si="114"/>
        <v>StoreDoubleKey_1</v>
      </c>
      <c r="AH124" s="2" t="str">
        <f t="shared" si="130"/>
        <v>StoreFund_3</v>
      </c>
      <c r="AI124" s="2" t="str">
        <f t="shared" si="90"/>
        <v>[24205,111,102]</v>
      </c>
      <c r="AJ124" s="2" t="str">
        <f t="shared" si="91"/>
        <v>[15,50,40000]</v>
      </c>
      <c r="AK124" s="2" t="str">
        <f t="shared" si="92"/>
        <v>[chest_shard,StoreDoubleKey_1,StoreFund_3]</v>
      </c>
      <c r="AL124" s="2" t="str">
        <f t="shared" si="93"/>
        <v>6+20+碎片礼包</v>
      </c>
      <c r="AM124" s="1" t="str">
        <f t="shared" si="115"/>
        <v>T3 Senior Shard</v>
      </c>
      <c r="AN124" s="1" t="str">
        <f t="shared" si="116"/>
        <v>DoubleKeys</v>
      </c>
      <c r="AO124" s="1" t="str">
        <f t="shared" si="131"/>
        <v>Funds</v>
      </c>
    </row>
    <row r="125" spans="7:41" x14ac:dyDescent="0.3">
      <c r="G125" s="2">
        <v>6</v>
      </c>
      <c r="H125" s="2" t="s">
        <v>2562</v>
      </c>
      <c r="I125" s="2" t="s">
        <v>587</v>
      </c>
      <c r="J125" s="2" t="s">
        <v>325</v>
      </c>
      <c r="K125" s="2" t="e">
        <f t="shared" si="117"/>
        <v>#N/A</v>
      </c>
      <c r="L125" s="2">
        <f t="shared" si="110"/>
        <v>60</v>
      </c>
      <c r="M125" s="2">
        <f t="shared" si="126"/>
        <v>1</v>
      </c>
      <c r="N125" s="2">
        <v>50</v>
      </c>
      <c r="O125" s="2" t="e">
        <f>N125*#REF!</f>
        <v>#REF!</v>
      </c>
      <c r="P125" s="34">
        <f t="shared" si="118"/>
        <v>1.6666666666666667</v>
      </c>
      <c r="Q125" s="2" t="e">
        <f t="shared" si="119"/>
        <v>#REF!</v>
      </c>
      <c r="R125" s="2">
        <v>1</v>
      </c>
      <c r="S125" s="2" t="e">
        <f t="shared" si="120"/>
        <v>#N/A</v>
      </c>
      <c r="T125" s="2" t="e">
        <f t="shared" si="121"/>
        <v>#N/A</v>
      </c>
      <c r="U125" s="2">
        <v>15</v>
      </c>
      <c r="V125" s="2">
        <f t="shared" si="122"/>
        <v>900</v>
      </c>
      <c r="W125" s="2" t="e">
        <f t="shared" si="123"/>
        <v>#REF!</v>
      </c>
      <c r="X125" s="2">
        <v>5400</v>
      </c>
      <c r="Y125" s="2" t="e">
        <f t="shared" si="127"/>
        <v>#N/A</v>
      </c>
      <c r="Z125" s="2" t="e">
        <f t="shared" si="128"/>
        <v>#N/A</v>
      </c>
      <c r="AA125" s="2" t="e">
        <f t="shared" si="124"/>
        <v>#N/A</v>
      </c>
      <c r="AB125" s="2" t="e">
        <f t="shared" si="125"/>
        <v>#N/A</v>
      </c>
      <c r="AC125" s="2">
        <f t="shared" si="111"/>
        <v>25556</v>
      </c>
      <c r="AD125" s="2">
        <f t="shared" si="112"/>
        <v>100302</v>
      </c>
      <c r="AE125" s="2">
        <f t="shared" si="129"/>
        <v>101</v>
      </c>
      <c r="AF125" s="2" t="str">
        <f t="shared" si="113"/>
        <v>chest_lv6_icon</v>
      </c>
      <c r="AG125" s="2" t="str">
        <f t="shared" si="114"/>
        <v>StoreQuikenItem_1</v>
      </c>
      <c r="AH125" s="2" t="str">
        <f t="shared" si="130"/>
        <v>StoreDiamond_1</v>
      </c>
      <c r="AI125" s="2" t="str">
        <f t="shared" si="90"/>
        <v>[25556,100302,101]</v>
      </c>
      <c r="AJ125" s="2" t="str">
        <f t="shared" si="91"/>
        <v>[1,15,5400]</v>
      </c>
      <c r="AK125" s="2" t="str">
        <f t="shared" si="92"/>
        <v>[chest_lv6_icon,StoreQuikenItem_1,StoreDiamond_1]</v>
      </c>
      <c r="AL125" s="2" t="str">
        <f t="shared" si="93"/>
        <v>6+50+史诗自宝</v>
      </c>
      <c r="AM125" s="1" t="str">
        <f t="shared" si="115"/>
        <v>Rank 6 Epic Chest</v>
      </c>
      <c r="AN125" s="1" t="str">
        <f t="shared" si="116"/>
        <v>1H_X3_Accelerater</v>
      </c>
      <c r="AO125" s="1" t="str">
        <f t="shared" si="131"/>
        <v>Diamond</v>
      </c>
    </row>
    <row r="126" spans="7:41" x14ac:dyDescent="0.3">
      <c r="G126" s="2">
        <v>6</v>
      </c>
      <c r="H126" s="2" t="s">
        <v>2604</v>
      </c>
      <c r="I126" s="2" t="s">
        <v>519</v>
      </c>
      <c r="J126" s="2" t="s">
        <v>275</v>
      </c>
      <c r="K126" s="2" t="e">
        <f t="shared" si="117"/>
        <v>#REF!</v>
      </c>
      <c r="L126" s="2">
        <f t="shared" si="110"/>
        <v>0.75</v>
      </c>
      <c r="M126" s="2">
        <f t="shared" si="126"/>
        <v>3.9623576027736501E-3</v>
      </c>
      <c r="N126" s="2">
        <v>50</v>
      </c>
      <c r="O126" s="2" t="e">
        <f>N126*#REF!</f>
        <v>#REF!</v>
      </c>
      <c r="P126" s="34">
        <f t="shared" si="118"/>
        <v>1.6666666666666667</v>
      </c>
      <c r="Q126" s="2" t="e">
        <f t="shared" si="119"/>
        <v>#REF!</v>
      </c>
      <c r="R126" s="2">
        <v>38</v>
      </c>
      <c r="S126" s="2" t="e">
        <f t="shared" si="120"/>
        <v>#REF!</v>
      </c>
      <c r="T126" s="2" t="e">
        <f t="shared" si="121"/>
        <v>#REF!</v>
      </c>
      <c r="U126" s="2">
        <v>100</v>
      </c>
      <c r="V126" s="2">
        <f t="shared" si="122"/>
        <v>75</v>
      </c>
      <c r="W126" s="2" t="e">
        <f t="shared" si="123"/>
        <v>#REF!</v>
      </c>
      <c r="X126" s="2">
        <v>70000</v>
      </c>
      <c r="Y126" s="2" t="e">
        <f t="shared" si="127"/>
        <v>#REF!</v>
      </c>
      <c r="Z126" s="2" t="e">
        <f t="shared" si="128"/>
        <v>#REF!</v>
      </c>
      <c r="AA126" s="2" t="e">
        <f t="shared" si="124"/>
        <v>#REF!</v>
      </c>
      <c r="AB126" s="2" t="e">
        <f t="shared" si="125"/>
        <v>#REF!</v>
      </c>
      <c r="AC126" s="2">
        <f t="shared" si="111"/>
        <v>24205</v>
      </c>
      <c r="AD126" s="2">
        <f t="shared" si="112"/>
        <v>111</v>
      </c>
      <c r="AE126" s="2">
        <f t="shared" si="129"/>
        <v>102</v>
      </c>
      <c r="AF126" s="2" t="str">
        <f t="shared" si="113"/>
        <v>chest_shard</v>
      </c>
      <c r="AG126" s="2" t="str">
        <f t="shared" si="114"/>
        <v>StoreDoubleKey_1</v>
      </c>
      <c r="AH126" s="2" t="str">
        <f t="shared" si="130"/>
        <v>StoreFund_3</v>
      </c>
      <c r="AI126" s="2" t="str">
        <f t="shared" si="90"/>
        <v>[24205,111,102]</v>
      </c>
      <c r="AJ126" s="2" t="str">
        <f t="shared" si="91"/>
        <v>[38,100,70000]</v>
      </c>
      <c r="AK126" s="2" t="str">
        <f t="shared" si="92"/>
        <v>[chest_shard,StoreDoubleKey_1,StoreFund_3]</v>
      </c>
      <c r="AL126" s="2" t="str">
        <f t="shared" si="93"/>
        <v>6+50+碎片礼包</v>
      </c>
      <c r="AM126" s="1" t="str">
        <f t="shared" si="115"/>
        <v>T3 Senior Shard</v>
      </c>
      <c r="AN126" s="1" t="str">
        <f t="shared" si="116"/>
        <v>DoubleKeys</v>
      </c>
      <c r="AO126" s="1" t="str">
        <f t="shared" si="131"/>
        <v>Funds</v>
      </c>
    </row>
    <row r="127" spans="7:41" x14ac:dyDescent="0.3">
      <c r="G127" s="2">
        <v>6</v>
      </c>
      <c r="H127" s="2" t="s">
        <v>2587</v>
      </c>
      <c r="I127" s="2" t="s">
        <v>587</v>
      </c>
      <c r="J127" s="2" t="s">
        <v>325</v>
      </c>
      <c r="K127" s="2" t="e">
        <f t="shared" si="117"/>
        <v>#REF!</v>
      </c>
      <c r="L127" s="2">
        <f t="shared" si="110"/>
        <v>60</v>
      </c>
      <c r="M127" s="2">
        <f t="shared" si="126"/>
        <v>1</v>
      </c>
      <c r="N127" s="2">
        <v>5</v>
      </c>
      <c r="O127" s="2" t="e">
        <f>N127*#REF!</f>
        <v>#REF!</v>
      </c>
      <c r="P127" s="34">
        <f>3/2</f>
        <v>1.5</v>
      </c>
      <c r="Q127" s="2" t="e">
        <f t="shared" ref="Q127:Q142" si="132">O127*P127</f>
        <v>#REF!</v>
      </c>
      <c r="R127" s="2">
        <v>2</v>
      </c>
      <c r="S127" s="2" t="e">
        <f t="shared" ref="S127:S142" si="133">R127*K127</f>
        <v>#REF!</v>
      </c>
      <c r="T127" s="2" t="e">
        <f t="shared" ref="T127:T142" si="134">S127/Q127</f>
        <v>#REF!</v>
      </c>
      <c r="U127" s="2">
        <v>5</v>
      </c>
      <c r="V127" s="2">
        <f t="shared" ref="V127:V142" si="135">U127*L127</f>
        <v>300</v>
      </c>
      <c r="W127" s="2" t="e">
        <f t="shared" ref="W127:W142" si="136">V127/Q127</f>
        <v>#REF!</v>
      </c>
      <c r="X127" s="2">
        <v>200</v>
      </c>
      <c r="Y127" s="2" t="e">
        <f t="shared" si="127"/>
        <v>#REF!</v>
      </c>
      <c r="Z127" s="2" t="e">
        <f t="shared" si="128"/>
        <v>#REF!</v>
      </c>
      <c r="AA127" s="2" t="e">
        <f t="shared" si="124"/>
        <v>#REF!</v>
      </c>
      <c r="AB127" s="2" t="e">
        <f t="shared" si="125"/>
        <v>#REF!</v>
      </c>
      <c r="AC127" s="2">
        <f t="shared" si="111"/>
        <v>23203</v>
      </c>
      <c r="AD127" s="2">
        <f t="shared" si="112"/>
        <v>100302</v>
      </c>
      <c r="AE127" s="2">
        <f t="shared" si="129"/>
        <v>101</v>
      </c>
      <c r="AF127" s="2" t="str">
        <f t="shared" si="113"/>
        <v>chest_tankpart</v>
      </c>
      <c r="AG127" s="2" t="str">
        <f t="shared" si="114"/>
        <v>StoreQuikenItem_1</v>
      </c>
      <c r="AH127" s="2" t="str">
        <f t="shared" si="130"/>
        <v>StoreDiamond_1</v>
      </c>
      <c r="AI127" s="2" t="str">
        <f t="shared" si="90"/>
        <v>[23203,100302,101]</v>
      </c>
      <c r="AJ127" s="2" t="str">
        <f t="shared" si="91"/>
        <v>[2,5,200]</v>
      </c>
      <c r="AK127" s="2" t="str">
        <f t="shared" si="92"/>
        <v>[chest_tankpart,StoreQuikenItem_1,StoreDiamond_1]</v>
      </c>
      <c r="AL127" s="2" t="str">
        <f t="shared" si="93"/>
        <v>6+5+部件礼包</v>
      </c>
      <c r="AM127" s="1" t="str">
        <f t="shared" si="115"/>
        <v>T1 Component</v>
      </c>
      <c r="AN127" s="1" t="str">
        <f t="shared" si="116"/>
        <v>1H_X3_Accelerater</v>
      </c>
      <c r="AO127" s="1" t="str">
        <f t="shared" si="131"/>
        <v>Diamond</v>
      </c>
    </row>
    <row r="128" spans="7:41" x14ac:dyDescent="0.3">
      <c r="G128" s="2">
        <v>6</v>
      </c>
      <c r="H128" s="2" t="s">
        <v>2604</v>
      </c>
      <c r="I128" s="2" t="s">
        <v>519</v>
      </c>
      <c r="J128" s="2" t="s">
        <v>275</v>
      </c>
      <c r="K128" s="2" t="e">
        <f t="shared" si="117"/>
        <v>#REF!</v>
      </c>
      <c r="L128" s="2">
        <f t="shared" si="110"/>
        <v>0.75</v>
      </c>
      <c r="M128" s="2">
        <f t="shared" si="126"/>
        <v>3.9623576027736501E-3</v>
      </c>
      <c r="N128" s="2">
        <v>5</v>
      </c>
      <c r="O128" s="2" t="e">
        <f>N128*#REF!</f>
        <v>#REF!</v>
      </c>
      <c r="P128" s="34">
        <f t="shared" ref="P128:P134" si="137">3/2</f>
        <v>1.5</v>
      </c>
      <c r="Q128" s="2" t="e">
        <f t="shared" si="132"/>
        <v>#REF!</v>
      </c>
      <c r="R128" s="2">
        <v>2</v>
      </c>
      <c r="S128" s="2" t="e">
        <f t="shared" si="133"/>
        <v>#REF!</v>
      </c>
      <c r="T128" s="2" t="e">
        <f t="shared" si="134"/>
        <v>#REF!</v>
      </c>
      <c r="U128" s="2">
        <v>50</v>
      </c>
      <c r="V128" s="2">
        <f t="shared" si="135"/>
        <v>37.5</v>
      </c>
      <c r="W128" s="2" t="e">
        <f t="shared" si="136"/>
        <v>#REF!</v>
      </c>
      <c r="X128" s="2">
        <v>70000</v>
      </c>
      <c r="Y128" s="2" t="e">
        <f t="shared" si="127"/>
        <v>#REF!</v>
      </c>
      <c r="Z128" s="2" t="e">
        <f t="shared" si="128"/>
        <v>#REF!</v>
      </c>
      <c r="AA128" s="2" t="e">
        <f t="shared" si="124"/>
        <v>#REF!</v>
      </c>
      <c r="AB128" s="2" t="e">
        <f t="shared" si="125"/>
        <v>#REF!</v>
      </c>
      <c r="AC128" s="2">
        <f t="shared" si="111"/>
        <v>24205</v>
      </c>
      <c r="AD128" s="2">
        <f t="shared" si="112"/>
        <v>111</v>
      </c>
      <c r="AE128" s="2">
        <f t="shared" si="129"/>
        <v>102</v>
      </c>
      <c r="AF128" s="2" t="str">
        <f t="shared" si="113"/>
        <v>chest_shard</v>
      </c>
      <c r="AG128" s="2" t="str">
        <f t="shared" si="114"/>
        <v>StoreDoubleKey_1</v>
      </c>
      <c r="AH128" s="2" t="str">
        <f t="shared" si="130"/>
        <v>StoreFund_3</v>
      </c>
      <c r="AI128" s="2" t="str">
        <f t="shared" si="90"/>
        <v>[24205,111,102]</v>
      </c>
      <c r="AJ128" s="2" t="str">
        <f t="shared" si="91"/>
        <v>[2,50,70000]</v>
      </c>
      <c r="AK128" s="2" t="str">
        <f t="shared" si="92"/>
        <v>[chest_shard,StoreDoubleKey_1,StoreFund_3]</v>
      </c>
      <c r="AL128" s="2" t="str">
        <f t="shared" si="93"/>
        <v>6+5+碎片礼包</v>
      </c>
      <c r="AM128" s="1" t="str">
        <f t="shared" si="115"/>
        <v>T3 Senior Shard</v>
      </c>
      <c r="AN128" s="1" t="str">
        <f t="shared" si="116"/>
        <v>DoubleKeys</v>
      </c>
      <c r="AO128" s="1" t="str">
        <f t="shared" si="131"/>
        <v>Funds</v>
      </c>
    </row>
    <row r="129" spans="7:41" x14ac:dyDescent="0.3">
      <c r="G129" s="2">
        <v>6</v>
      </c>
      <c r="H129" s="2" t="s">
        <v>2588</v>
      </c>
      <c r="I129" s="2" t="s">
        <v>587</v>
      </c>
      <c r="J129" s="2" t="s">
        <v>325</v>
      </c>
      <c r="K129" s="2" t="e">
        <f t="shared" si="117"/>
        <v>#REF!</v>
      </c>
      <c r="L129" s="2">
        <f t="shared" si="110"/>
        <v>60</v>
      </c>
      <c r="M129" s="2">
        <f t="shared" si="126"/>
        <v>1</v>
      </c>
      <c r="N129" s="2">
        <v>10</v>
      </c>
      <c r="O129" s="2" t="e">
        <f>N129*#REF!</f>
        <v>#REF!</v>
      </c>
      <c r="P129" s="34">
        <f t="shared" si="137"/>
        <v>1.5</v>
      </c>
      <c r="Q129" s="2" t="e">
        <f t="shared" si="132"/>
        <v>#REF!</v>
      </c>
      <c r="R129" s="2">
        <v>2</v>
      </c>
      <c r="S129" s="2" t="e">
        <f t="shared" si="133"/>
        <v>#REF!</v>
      </c>
      <c r="T129" s="2" t="e">
        <f t="shared" si="134"/>
        <v>#REF!</v>
      </c>
      <c r="U129" s="2">
        <v>10</v>
      </c>
      <c r="V129" s="2">
        <f t="shared" si="135"/>
        <v>600</v>
      </c>
      <c r="W129" s="2" t="e">
        <f t="shared" si="136"/>
        <v>#REF!</v>
      </c>
      <c r="X129" s="2">
        <v>500</v>
      </c>
      <c r="Y129" s="2" t="e">
        <f t="shared" si="127"/>
        <v>#REF!</v>
      </c>
      <c r="Z129" s="2" t="e">
        <f t="shared" si="128"/>
        <v>#REF!</v>
      </c>
      <c r="AA129" s="2" t="e">
        <f t="shared" si="124"/>
        <v>#REF!</v>
      </c>
      <c r="AB129" s="2" t="e">
        <f t="shared" si="125"/>
        <v>#REF!</v>
      </c>
      <c r="AC129" s="2">
        <f t="shared" si="111"/>
        <v>23204</v>
      </c>
      <c r="AD129" s="2">
        <f t="shared" si="112"/>
        <v>100302</v>
      </c>
      <c r="AE129" s="2">
        <f t="shared" si="129"/>
        <v>101</v>
      </c>
      <c r="AF129" s="2" t="str">
        <f t="shared" si="113"/>
        <v>chest_tankpart</v>
      </c>
      <c r="AG129" s="2" t="str">
        <f t="shared" si="114"/>
        <v>StoreQuikenItem_1</v>
      </c>
      <c r="AH129" s="2" t="str">
        <f t="shared" si="130"/>
        <v>StoreDiamond_1</v>
      </c>
      <c r="AI129" s="2" t="str">
        <f t="shared" si="90"/>
        <v>[23204,100302,101]</v>
      </c>
      <c r="AJ129" s="2" t="str">
        <f t="shared" si="91"/>
        <v>[2,10,500]</v>
      </c>
      <c r="AK129" s="2" t="str">
        <f t="shared" si="92"/>
        <v>[chest_tankpart,StoreQuikenItem_1,StoreDiamond_1]</v>
      </c>
      <c r="AL129" s="2" t="str">
        <f t="shared" si="93"/>
        <v>6+10+部件礼包</v>
      </c>
      <c r="AM129" s="1" t="str">
        <f t="shared" si="115"/>
        <v>T2 Component</v>
      </c>
      <c r="AN129" s="1" t="str">
        <f t="shared" si="116"/>
        <v>1H_X3_Accelerater</v>
      </c>
      <c r="AO129" s="1" t="str">
        <f t="shared" si="131"/>
        <v>Diamond</v>
      </c>
    </row>
    <row r="130" spans="7:41" x14ac:dyDescent="0.3">
      <c r="G130" s="2">
        <v>6</v>
      </c>
      <c r="H130" s="2" t="s">
        <v>2604</v>
      </c>
      <c r="I130" s="2" t="s">
        <v>519</v>
      </c>
      <c r="J130" s="2" t="s">
        <v>275</v>
      </c>
      <c r="K130" s="2" t="e">
        <f t="shared" si="117"/>
        <v>#REF!</v>
      </c>
      <c r="L130" s="2">
        <f t="shared" si="110"/>
        <v>0.75</v>
      </c>
      <c r="M130" s="2">
        <f t="shared" si="126"/>
        <v>3.9623576027736501E-3</v>
      </c>
      <c r="N130" s="2">
        <v>10</v>
      </c>
      <c r="O130" s="2" t="e">
        <f>N130*#REF!</f>
        <v>#REF!</v>
      </c>
      <c r="P130" s="34">
        <f t="shared" si="137"/>
        <v>1.5</v>
      </c>
      <c r="Q130" s="2" t="e">
        <f t="shared" si="132"/>
        <v>#REF!</v>
      </c>
      <c r="R130" s="2">
        <v>5</v>
      </c>
      <c r="S130" s="2" t="e">
        <f t="shared" si="133"/>
        <v>#REF!</v>
      </c>
      <c r="T130" s="2" t="e">
        <f t="shared" si="134"/>
        <v>#REF!</v>
      </c>
      <c r="U130" s="2">
        <v>50</v>
      </c>
      <c r="V130" s="2">
        <f t="shared" si="135"/>
        <v>37.5</v>
      </c>
      <c r="W130" s="2" t="e">
        <f t="shared" si="136"/>
        <v>#REF!</v>
      </c>
      <c r="X130" s="2">
        <v>100000</v>
      </c>
      <c r="Y130" s="2" t="e">
        <f t="shared" si="127"/>
        <v>#REF!</v>
      </c>
      <c r="Z130" s="2" t="e">
        <f t="shared" si="128"/>
        <v>#REF!</v>
      </c>
      <c r="AA130" s="2" t="e">
        <f t="shared" si="124"/>
        <v>#REF!</v>
      </c>
      <c r="AB130" s="2" t="e">
        <f t="shared" si="125"/>
        <v>#REF!</v>
      </c>
      <c r="AC130" s="2">
        <f t="shared" si="111"/>
        <v>24205</v>
      </c>
      <c r="AD130" s="2">
        <f t="shared" si="112"/>
        <v>111</v>
      </c>
      <c r="AE130" s="2">
        <f t="shared" si="129"/>
        <v>102</v>
      </c>
      <c r="AF130" s="2" t="str">
        <f t="shared" si="113"/>
        <v>chest_shard</v>
      </c>
      <c r="AG130" s="2" t="str">
        <f t="shared" si="114"/>
        <v>StoreDoubleKey_1</v>
      </c>
      <c r="AH130" s="2" t="str">
        <f t="shared" si="130"/>
        <v>StoreFund_3</v>
      </c>
      <c r="AI130" s="2" t="str">
        <f t="shared" si="90"/>
        <v>[24205,111,102]</v>
      </c>
      <c r="AJ130" s="2" t="str">
        <f t="shared" si="91"/>
        <v>[5,50,100000]</v>
      </c>
      <c r="AK130" s="2" t="str">
        <f t="shared" si="92"/>
        <v>[chest_shard,StoreDoubleKey_1,StoreFund_3]</v>
      </c>
      <c r="AL130" s="2" t="str">
        <f t="shared" si="93"/>
        <v>6+10+碎片礼包</v>
      </c>
      <c r="AM130" s="1" t="str">
        <f t="shared" si="115"/>
        <v>T3 Senior Shard</v>
      </c>
      <c r="AN130" s="1" t="str">
        <f t="shared" si="116"/>
        <v>DoubleKeys</v>
      </c>
      <c r="AO130" s="1" t="str">
        <f t="shared" si="131"/>
        <v>Funds</v>
      </c>
    </row>
    <row r="131" spans="7:41" x14ac:dyDescent="0.3">
      <c r="G131" s="2">
        <v>6</v>
      </c>
      <c r="H131" s="2" t="s">
        <v>2590</v>
      </c>
      <c r="I131" s="2" t="s">
        <v>587</v>
      </c>
      <c r="J131" s="2" t="s">
        <v>325</v>
      </c>
      <c r="K131" s="2" t="e">
        <f t="shared" si="117"/>
        <v>#REF!</v>
      </c>
      <c r="L131" s="2">
        <f t="shared" si="110"/>
        <v>60</v>
      </c>
      <c r="M131" s="2">
        <f t="shared" si="126"/>
        <v>1</v>
      </c>
      <c r="N131" s="2">
        <v>20</v>
      </c>
      <c r="O131" s="2" t="e">
        <f>N131*#REF!</f>
        <v>#REF!</v>
      </c>
      <c r="P131" s="34">
        <f t="shared" si="137"/>
        <v>1.5</v>
      </c>
      <c r="Q131" s="2" t="e">
        <f t="shared" si="132"/>
        <v>#REF!</v>
      </c>
      <c r="R131" s="2">
        <v>1</v>
      </c>
      <c r="S131" s="2" t="e">
        <f t="shared" si="133"/>
        <v>#REF!</v>
      </c>
      <c r="T131" s="2" t="e">
        <f t="shared" si="134"/>
        <v>#REF!</v>
      </c>
      <c r="U131" s="2">
        <v>10</v>
      </c>
      <c r="V131" s="2">
        <f t="shared" si="135"/>
        <v>600</v>
      </c>
      <c r="W131" s="2" t="e">
        <f t="shared" si="136"/>
        <v>#REF!</v>
      </c>
      <c r="X131" s="2">
        <v>2200</v>
      </c>
      <c r="Y131" s="2" t="e">
        <f t="shared" si="127"/>
        <v>#REF!</v>
      </c>
      <c r="Z131" s="2" t="e">
        <f t="shared" si="128"/>
        <v>#REF!</v>
      </c>
      <c r="AA131" s="2" t="e">
        <f t="shared" si="124"/>
        <v>#REF!</v>
      </c>
      <c r="AB131" s="2" t="e">
        <f t="shared" si="125"/>
        <v>#REF!</v>
      </c>
      <c r="AC131" s="2">
        <f t="shared" si="111"/>
        <v>23205</v>
      </c>
      <c r="AD131" s="2">
        <f t="shared" si="112"/>
        <v>100302</v>
      </c>
      <c r="AE131" s="2">
        <f t="shared" si="129"/>
        <v>101</v>
      </c>
      <c r="AF131" s="2" t="str">
        <f t="shared" si="113"/>
        <v>chest_tankpart</v>
      </c>
      <c r="AG131" s="2" t="str">
        <f t="shared" si="114"/>
        <v>StoreQuikenItem_1</v>
      </c>
      <c r="AH131" s="2" t="str">
        <f t="shared" si="130"/>
        <v>StoreDiamond_1</v>
      </c>
      <c r="AI131" s="2" t="str">
        <f t="shared" si="90"/>
        <v>[23205,100302,101]</v>
      </c>
      <c r="AJ131" s="2" t="str">
        <f t="shared" si="91"/>
        <v>[1,10,2200]</v>
      </c>
      <c r="AK131" s="2" t="str">
        <f t="shared" si="92"/>
        <v>[chest_tankpart,StoreQuikenItem_1,StoreDiamond_1]</v>
      </c>
      <c r="AL131" s="2" t="str">
        <f t="shared" si="93"/>
        <v>6+20+部件礼包</v>
      </c>
      <c r="AM131" s="1" t="str">
        <f t="shared" si="115"/>
        <v>T2 Component</v>
      </c>
      <c r="AN131" s="1" t="str">
        <f t="shared" si="116"/>
        <v>1H_X3_Accelerater</v>
      </c>
      <c r="AO131" s="1" t="str">
        <f t="shared" si="131"/>
        <v>Diamond</v>
      </c>
    </row>
    <row r="132" spans="7:41" x14ac:dyDescent="0.3">
      <c r="G132" s="2">
        <v>6</v>
      </c>
      <c r="H132" s="2" t="s">
        <v>2604</v>
      </c>
      <c r="I132" s="2" t="s">
        <v>519</v>
      </c>
      <c r="J132" s="2" t="s">
        <v>275</v>
      </c>
      <c r="K132" s="2" t="e">
        <f t="shared" si="117"/>
        <v>#REF!</v>
      </c>
      <c r="L132" s="2">
        <f t="shared" si="110"/>
        <v>0.75</v>
      </c>
      <c r="M132" s="2">
        <f t="shared" si="126"/>
        <v>3.9623576027736501E-3</v>
      </c>
      <c r="N132" s="2">
        <v>20</v>
      </c>
      <c r="O132" s="2" t="e">
        <f>N132*#REF!</f>
        <v>#REF!</v>
      </c>
      <c r="P132" s="34">
        <f t="shared" si="137"/>
        <v>1.5</v>
      </c>
      <c r="Q132" s="2" t="e">
        <f t="shared" si="132"/>
        <v>#REF!</v>
      </c>
      <c r="R132" s="2">
        <v>12</v>
      </c>
      <c r="S132" s="2" t="e">
        <f t="shared" si="133"/>
        <v>#REF!</v>
      </c>
      <c r="T132" s="2" t="e">
        <f t="shared" si="134"/>
        <v>#REF!</v>
      </c>
      <c r="U132" s="2">
        <v>100</v>
      </c>
      <c r="V132" s="2">
        <f t="shared" si="135"/>
        <v>75</v>
      </c>
      <c r="W132" s="2" t="e">
        <f t="shared" si="136"/>
        <v>#REF!</v>
      </c>
      <c r="X132" s="2">
        <v>100000</v>
      </c>
      <c r="Y132" s="2" t="e">
        <f t="shared" si="127"/>
        <v>#REF!</v>
      </c>
      <c r="Z132" s="2" t="e">
        <f t="shared" si="128"/>
        <v>#REF!</v>
      </c>
      <c r="AA132" s="2" t="e">
        <f t="shared" si="124"/>
        <v>#REF!</v>
      </c>
      <c r="AB132" s="2" t="e">
        <f t="shared" si="125"/>
        <v>#REF!</v>
      </c>
      <c r="AC132" s="2">
        <f t="shared" si="111"/>
        <v>24205</v>
      </c>
      <c r="AD132" s="2">
        <f t="shared" si="112"/>
        <v>111</v>
      </c>
      <c r="AE132" s="2">
        <f t="shared" si="129"/>
        <v>102</v>
      </c>
      <c r="AF132" s="2" t="str">
        <f t="shared" si="113"/>
        <v>chest_shard</v>
      </c>
      <c r="AG132" s="2" t="str">
        <f t="shared" si="114"/>
        <v>StoreDoubleKey_1</v>
      </c>
      <c r="AH132" s="2" t="str">
        <f t="shared" si="130"/>
        <v>StoreFund_3</v>
      </c>
      <c r="AI132" s="2" t="str">
        <f t="shared" si="90"/>
        <v>[24205,111,102]</v>
      </c>
      <c r="AJ132" s="2" t="str">
        <f t="shared" si="91"/>
        <v>[12,100,100000]</v>
      </c>
      <c r="AK132" s="2" t="str">
        <f t="shared" si="92"/>
        <v>[chest_shard,StoreDoubleKey_1,StoreFund_3]</v>
      </c>
      <c r="AL132" s="2" t="str">
        <f t="shared" si="93"/>
        <v>6+20+碎片礼包</v>
      </c>
      <c r="AM132" s="1" t="str">
        <f t="shared" si="115"/>
        <v>T3 Senior Shard</v>
      </c>
      <c r="AN132" s="1" t="str">
        <f t="shared" si="116"/>
        <v>DoubleKeys</v>
      </c>
      <c r="AO132" s="1" t="str">
        <f t="shared" si="131"/>
        <v>Funds</v>
      </c>
    </row>
    <row r="133" spans="7:41" x14ac:dyDescent="0.3">
      <c r="G133" s="2">
        <v>6</v>
      </c>
      <c r="H133" s="2" t="s">
        <v>2562</v>
      </c>
      <c r="I133" s="2" t="s">
        <v>587</v>
      </c>
      <c r="J133" s="2" t="s">
        <v>325</v>
      </c>
      <c r="K133" s="2" t="e">
        <f t="shared" si="117"/>
        <v>#N/A</v>
      </c>
      <c r="L133" s="2">
        <f t="shared" si="110"/>
        <v>60</v>
      </c>
      <c r="M133" s="2">
        <f t="shared" si="126"/>
        <v>1</v>
      </c>
      <c r="N133" s="2">
        <v>50</v>
      </c>
      <c r="O133" s="2" t="e">
        <f>N133*#REF!</f>
        <v>#REF!</v>
      </c>
      <c r="P133" s="34">
        <f t="shared" si="137"/>
        <v>1.5</v>
      </c>
      <c r="Q133" s="2" t="e">
        <f t="shared" si="132"/>
        <v>#REF!</v>
      </c>
      <c r="R133" s="2">
        <v>2</v>
      </c>
      <c r="S133" s="2" t="e">
        <f t="shared" si="133"/>
        <v>#N/A</v>
      </c>
      <c r="T133" s="2" t="e">
        <f t="shared" si="134"/>
        <v>#N/A</v>
      </c>
      <c r="U133" s="2">
        <v>15</v>
      </c>
      <c r="V133" s="2">
        <f t="shared" si="135"/>
        <v>900</v>
      </c>
      <c r="W133" s="2" t="e">
        <f t="shared" si="136"/>
        <v>#REF!</v>
      </c>
      <c r="X133" s="2">
        <v>2600</v>
      </c>
      <c r="Y133" s="2" t="e">
        <f t="shared" si="127"/>
        <v>#N/A</v>
      </c>
      <c r="Z133" s="2" t="e">
        <f t="shared" si="128"/>
        <v>#N/A</v>
      </c>
      <c r="AA133" s="2" t="e">
        <f t="shared" si="124"/>
        <v>#N/A</v>
      </c>
      <c r="AB133" s="2" t="e">
        <f t="shared" si="125"/>
        <v>#N/A</v>
      </c>
      <c r="AC133" s="2">
        <f t="shared" si="111"/>
        <v>25556</v>
      </c>
      <c r="AD133" s="2">
        <f t="shared" si="112"/>
        <v>100302</v>
      </c>
      <c r="AE133" s="2">
        <f t="shared" si="129"/>
        <v>101</v>
      </c>
      <c r="AF133" s="2" t="str">
        <f t="shared" si="113"/>
        <v>chest_lv6_icon</v>
      </c>
      <c r="AG133" s="2" t="str">
        <f t="shared" si="114"/>
        <v>StoreQuikenItem_1</v>
      </c>
      <c r="AH133" s="2" t="str">
        <f t="shared" si="130"/>
        <v>StoreDiamond_1</v>
      </c>
      <c r="AI133" s="2" t="str">
        <f t="shared" si="90"/>
        <v>[25556,100302,101]</v>
      </c>
      <c r="AJ133" s="2" t="str">
        <f t="shared" si="91"/>
        <v>[2,15,2600]</v>
      </c>
      <c r="AK133" s="2" t="str">
        <f t="shared" si="92"/>
        <v>[chest_lv6_icon,StoreQuikenItem_1,StoreDiamond_1]</v>
      </c>
      <c r="AL133" s="2" t="str">
        <f t="shared" si="93"/>
        <v>6+50+史诗自宝</v>
      </c>
      <c r="AM133" s="1" t="str">
        <f t="shared" si="115"/>
        <v>Rank 6 Epic Chest</v>
      </c>
      <c r="AN133" s="1" t="str">
        <f t="shared" si="116"/>
        <v>1H_X3_Accelerater</v>
      </c>
      <c r="AO133" s="1" t="str">
        <f t="shared" si="131"/>
        <v>Diamond</v>
      </c>
    </row>
    <row r="134" spans="7:41" x14ac:dyDescent="0.3">
      <c r="G134" s="2">
        <v>6</v>
      </c>
      <c r="H134" s="2" t="s">
        <v>2604</v>
      </c>
      <c r="I134" s="2" t="s">
        <v>519</v>
      </c>
      <c r="J134" s="2" t="s">
        <v>275</v>
      </c>
      <c r="K134" s="2" t="e">
        <f t="shared" si="117"/>
        <v>#REF!</v>
      </c>
      <c r="L134" s="2">
        <f t="shared" si="110"/>
        <v>0.75</v>
      </c>
      <c r="M134" s="2">
        <f t="shared" si="126"/>
        <v>3.9623576027736501E-3</v>
      </c>
      <c r="N134" s="2">
        <v>50</v>
      </c>
      <c r="O134" s="2" t="e">
        <f>N134*#REF!</f>
        <v>#REF!</v>
      </c>
      <c r="P134" s="34">
        <f t="shared" si="137"/>
        <v>1.5</v>
      </c>
      <c r="Q134" s="2" t="e">
        <f t="shared" si="132"/>
        <v>#REF!</v>
      </c>
      <c r="R134" s="2">
        <v>35</v>
      </c>
      <c r="S134" s="2" t="e">
        <f t="shared" si="133"/>
        <v>#REF!</v>
      </c>
      <c r="T134" s="2" t="e">
        <f t="shared" si="134"/>
        <v>#REF!</v>
      </c>
      <c r="U134" s="2">
        <v>50</v>
      </c>
      <c r="V134" s="2">
        <f t="shared" si="135"/>
        <v>37.5</v>
      </c>
      <c r="W134" s="2" t="e">
        <f t="shared" si="136"/>
        <v>#REF!</v>
      </c>
      <c r="X134" s="2">
        <v>30000</v>
      </c>
      <c r="Y134" s="2" t="e">
        <f t="shared" si="127"/>
        <v>#REF!</v>
      </c>
      <c r="Z134" s="2" t="e">
        <f t="shared" si="128"/>
        <v>#REF!</v>
      </c>
      <c r="AA134" s="2" t="e">
        <f t="shared" si="124"/>
        <v>#REF!</v>
      </c>
      <c r="AB134" s="2" t="e">
        <f t="shared" si="125"/>
        <v>#REF!</v>
      </c>
      <c r="AC134" s="2">
        <f t="shared" si="111"/>
        <v>24205</v>
      </c>
      <c r="AD134" s="2">
        <f t="shared" si="112"/>
        <v>111</v>
      </c>
      <c r="AE134" s="2">
        <f t="shared" si="129"/>
        <v>102</v>
      </c>
      <c r="AF134" s="2" t="str">
        <f t="shared" si="113"/>
        <v>chest_shard</v>
      </c>
      <c r="AG134" s="2" t="str">
        <f t="shared" si="114"/>
        <v>StoreDoubleKey_1</v>
      </c>
      <c r="AH134" s="2" t="str">
        <f t="shared" si="130"/>
        <v>StoreFund_3</v>
      </c>
      <c r="AI134" s="2" t="str">
        <f t="shared" si="90"/>
        <v>[24205,111,102]</v>
      </c>
      <c r="AJ134" s="2" t="str">
        <f t="shared" si="91"/>
        <v>[35,50,30000]</v>
      </c>
      <c r="AK134" s="2" t="str">
        <f t="shared" si="92"/>
        <v>[chest_shard,StoreDoubleKey_1,StoreFund_3]</v>
      </c>
      <c r="AL134" s="2" t="str">
        <f t="shared" si="93"/>
        <v>6+50+碎片礼包</v>
      </c>
      <c r="AM134" s="1" t="str">
        <f t="shared" si="115"/>
        <v>T3 Senior Shard</v>
      </c>
      <c r="AN134" s="1" t="str">
        <f t="shared" si="116"/>
        <v>DoubleKeys</v>
      </c>
      <c r="AO134" s="1" t="str">
        <f t="shared" si="131"/>
        <v>Funds</v>
      </c>
    </row>
    <row r="135" spans="7:41" x14ac:dyDescent="0.3">
      <c r="G135" s="2">
        <v>6</v>
      </c>
      <c r="H135" s="2" t="s">
        <v>2587</v>
      </c>
      <c r="I135" s="2" t="s">
        <v>587</v>
      </c>
      <c r="J135" s="2" t="s">
        <v>325</v>
      </c>
      <c r="K135" s="2" t="e">
        <f t="shared" si="117"/>
        <v>#REF!</v>
      </c>
      <c r="L135" s="2">
        <f t="shared" si="110"/>
        <v>60</v>
      </c>
      <c r="M135" s="2">
        <f t="shared" si="126"/>
        <v>1</v>
      </c>
      <c r="N135" s="2">
        <v>5</v>
      </c>
      <c r="O135" s="2" t="e">
        <f>N135*#REF!</f>
        <v>#REF!</v>
      </c>
      <c r="P135" s="34">
        <f>1/0.75</f>
        <v>1.3333333333333333</v>
      </c>
      <c r="Q135" s="2" t="e">
        <f t="shared" si="132"/>
        <v>#REF!</v>
      </c>
      <c r="R135" s="2">
        <v>2</v>
      </c>
      <c r="S135" s="2" t="e">
        <f t="shared" si="133"/>
        <v>#REF!</v>
      </c>
      <c r="T135" s="2" t="e">
        <f t="shared" si="134"/>
        <v>#REF!</v>
      </c>
      <c r="U135" s="2">
        <v>2</v>
      </c>
      <c r="V135" s="2">
        <f t="shared" si="135"/>
        <v>120</v>
      </c>
      <c r="W135" s="2" t="e">
        <f t="shared" si="136"/>
        <v>#REF!</v>
      </c>
      <c r="X135" s="2">
        <v>300</v>
      </c>
      <c r="Y135" s="2" t="e">
        <f t="shared" si="127"/>
        <v>#REF!</v>
      </c>
      <c r="Z135" s="2" t="e">
        <f t="shared" si="128"/>
        <v>#REF!</v>
      </c>
      <c r="AA135" s="2" t="e">
        <f t="shared" si="124"/>
        <v>#REF!</v>
      </c>
      <c r="AB135" s="2" t="e">
        <f t="shared" si="125"/>
        <v>#REF!</v>
      </c>
      <c r="AC135" s="2">
        <f t="shared" si="111"/>
        <v>23203</v>
      </c>
      <c r="AD135" s="2">
        <f t="shared" si="112"/>
        <v>100302</v>
      </c>
      <c r="AE135" s="2">
        <f t="shared" si="129"/>
        <v>101</v>
      </c>
      <c r="AF135" s="2" t="str">
        <f t="shared" si="113"/>
        <v>chest_tankpart</v>
      </c>
      <c r="AG135" s="2" t="str">
        <f t="shared" si="114"/>
        <v>StoreQuikenItem_1</v>
      </c>
      <c r="AH135" s="2" t="str">
        <f t="shared" si="130"/>
        <v>StoreDiamond_1</v>
      </c>
      <c r="AI135" s="2" t="str">
        <f t="shared" si="90"/>
        <v>[23203,100302,101]</v>
      </c>
      <c r="AJ135" s="2" t="str">
        <f t="shared" si="91"/>
        <v>[2,2,300]</v>
      </c>
      <c r="AK135" s="2" t="str">
        <f t="shared" si="92"/>
        <v>[chest_tankpart,StoreQuikenItem_1,StoreDiamond_1]</v>
      </c>
      <c r="AL135" s="2" t="str">
        <f t="shared" si="93"/>
        <v>6+5+部件礼包</v>
      </c>
      <c r="AM135" s="1" t="str">
        <f t="shared" si="115"/>
        <v>T1 Component</v>
      </c>
      <c r="AN135" s="1" t="str">
        <f t="shared" si="116"/>
        <v>1H_X3_Accelerater</v>
      </c>
      <c r="AO135" s="1" t="str">
        <f t="shared" si="131"/>
        <v>Diamond</v>
      </c>
    </row>
    <row r="136" spans="7:41" x14ac:dyDescent="0.3">
      <c r="G136" s="2">
        <v>6</v>
      </c>
      <c r="H136" s="2" t="s">
        <v>2604</v>
      </c>
      <c r="I136" s="2" t="s">
        <v>519</v>
      </c>
      <c r="J136" s="2" t="s">
        <v>275</v>
      </c>
      <c r="K136" s="2" t="e">
        <f t="shared" si="117"/>
        <v>#REF!</v>
      </c>
      <c r="L136" s="2">
        <f t="shared" si="110"/>
        <v>0.75</v>
      </c>
      <c r="M136" s="2">
        <f t="shared" si="126"/>
        <v>3.9623576027736501E-3</v>
      </c>
      <c r="N136" s="2">
        <v>5</v>
      </c>
      <c r="O136" s="2" t="e">
        <f>N136*#REF!</f>
        <v>#REF!</v>
      </c>
      <c r="P136" s="34">
        <f t="shared" ref="P136:P160" si="138">1/0.75</f>
        <v>1.3333333333333333</v>
      </c>
      <c r="Q136" s="2" t="e">
        <f t="shared" si="132"/>
        <v>#REF!</v>
      </c>
      <c r="R136" s="2">
        <v>2</v>
      </c>
      <c r="S136" s="2" t="e">
        <f t="shared" si="133"/>
        <v>#REF!</v>
      </c>
      <c r="T136" s="2" t="e">
        <f t="shared" si="134"/>
        <v>#REF!</v>
      </c>
      <c r="U136" s="2">
        <v>50</v>
      </c>
      <c r="V136" s="2">
        <f t="shared" si="135"/>
        <v>37.5</v>
      </c>
      <c r="W136" s="2" t="e">
        <f t="shared" si="136"/>
        <v>#REF!</v>
      </c>
      <c r="X136" s="2">
        <v>50000</v>
      </c>
      <c r="Y136" s="2" t="e">
        <f t="shared" si="127"/>
        <v>#REF!</v>
      </c>
      <c r="Z136" s="2" t="e">
        <f t="shared" si="128"/>
        <v>#REF!</v>
      </c>
      <c r="AA136" s="2" t="e">
        <f t="shared" si="124"/>
        <v>#REF!</v>
      </c>
      <c r="AB136" s="2" t="e">
        <f t="shared" si="125"/>
        <v>#REF!</v>
      </c>
      <c r="AC136" s="2">
        <f t="shared" si="111"/>
        <v>24205</v>
      </c>
      <c r="AD136" s="2">
        <f t="shared" si="112"/>
        <v>111</v>
      </c>
      <c r="AE136" s="2">
        <f t="shared" si="129"/>
        <v>102</v>
      </c>
      <c r="AF136" s="2" t="str">
        <f t="shared" si="113"/>
        <v>chest_shard</v>
      </c>
      <c r="AG136" s="2" t="str">
        <f t="shared" si="114"/>
        <v>StoreDoubleKey_1</v>
      </c>
      <c r="AH136" s="2" t="str">
        <f t="shared" si="130"/>
        <v>StoreFund_3</v>
      </c>
      <c r="AI136" s="2" t="str">
        <f t="shared" si="90"/>
        <v>[24205,111,102]</v>
      </c>
      <c r="AJ136" s="2" t="str">
        <f t="shared" si="91"/>
        <v>[2,50,50000]</v>
      </c>
      <c r="AK136" s="2" t="str">
        <f t="shared" si="92"/>
        <v>[chest_shard,StoreDoubleKey_1,StoreFund_3]</v>
      </c>
      <c r="AL136" s="2" t="str">
        <f t="shared" si="93"/>
        <v>6+5+碎片礼包</v>
      </c>
      <c r="AM136" s="1" t="str">
        <f t="shared" si="115"/>
        <v>T3 Senior Shard</v>
      </c>
      <c r="AN136" s="1" t="str">
        <f t="shared" si="116"/>
        <v>DoubleKeys</v>
      </c>
      <c r="AO136" s="1" t="str">
        <f t="shared" si="131"/>
        <v>Funds</v>
      </c>
    </row>
    <row r="137" spans="7:41" x14ac:dyDescent="0.3">
      <c r="G137" s="2">
        <v>6</v>
      </c>
      <c r="H137" s="2" t="s">
        <v>2588</v>
      </c>
      <c r="I137" s="2" t="s">
        <v>587</v>
      </c>
      <c r="J137" s="2" t="s">
        <v>325</v>
      </c>
      <c r="K137" s="2" t="e">
        <f t="shared" si="117"/>
        <v>#REF!</v>
      </c>
      <c r="L137" s="2">
        <f t="shared" ref="L137:L160" si="139">VLOOKUP(I137,$B$40:$C$81,2,FALSE)</f>
        <v>60</v>
      </c>
      <c r="M137" s="2">
        <f t="shared" si="126"/>
        <v>1</v>
      </c>
      <c r="N137" s="2">
        <v>10</v>
      </c>
      <c r="O137" s="2" t="e">
        <f>N137*#REF!</f>
        <v>#REF!</v>
      </c>
      <c r="P137" s="34">
        <f t="shared" si="138"/>
        <v>1.3333333333333333</v>
      </c>
      <c r="Q137" s="2" t="e">
        <f t="shared" si="132"/>
        <v>#REF!</v>
      </c>
      <c r="R137" s="2">
        <v>1</v>
      </c>
      <c r="S137" s="2" t="e">
        <f t="shared" si="133"/>
        <v>#REF!</v>
      </c>
      <c r="T137" s="2" t="e">
        <f t="shared" si="134"/>
        <v>#REF!</v>
      </c>
      <c r="U137" s="2">
        <v>10</v>
      </c>
      <c r="V137" s="2">
        <f t="shared" si="135"/>
        <v>600</v>
      </c>
      <c r="W137" s="2" t="e">
        <f t="shared" si="136"/>
        <v>#REF!</v>
      </c>
      <c r="X137" s="2">
        <v>500</v>
      </c>
      <c r="Y137" s="2" t="e">
        <f t="shared" si="127"/>
        <v>#REF!</v>
      </c>
      <c r="Z137" s="2" t="e">
        <f t="shared" si="128"/>
        <v>#REF!</v>
      </c>
      <c r="AA137" s="2" t="e">
        <f t="shared" si="124"/>
        <v>#REF!</v>
      </c>
      <c r="AB137" s="2" t="e">
        <f t="shared" si="125"/>
        <v>#REF!</v>
      </c>
      <c r="AC137" s="2">
        <f t="shared" ref="AC137:AC160" si="140">VLOOKUP(H137,道具ID,2,FALSE)</f>
        <v>23204</v>
      </c>
      <c r="AD137" s="2">
        <f t="shared" ref="AD137:AD160" si="141">VLOOKUP(I137,道具ID,2,FALSE)</f>
        <v>100302</v>
      </c>
      <c r="AE137" s="2">
        <f t="shared" si="129"/>
        <v>101</v>
      </c>
      <c r="AF137" s="2" t="str">
        <f t="shared" ref="AF137:AF160" si="142">VLOOKUP(H137,道具ID,3,FALSE)</f>
        <v>chest_tankpart</v>
      </c>
      <c r="AG137" s="2" t="str">
        <f t="shared" ref="AG137:AG160" si="143">VLOOKUP(I137,道具ID,3,FALSE)</f>
        <v>StoreQuikenItem_1</v>
      </c>
      <c r="AH137" s="2" t="str">
        <f t="shared" si="130"/>
        <v>StoreDiamond_1</v>
      </c>
      <c r="AI137" s="2" t="str">
        <f t="shared" si="90"/>
        <v>[23204,100302,101]</v>
      </c>
      <c r="AJ137" s="2" t="str">
        <f t="shared" si="91"/>
        <v>[1,10,500]</v>
      </c>
      <c r="AK137" s="2" t="str">
        <f t="shared" si="92"/>
        <v>[chest_tankpart,StoreQuikenItem_1,StoreDiamond_1]</v>
      </c>
      <c r="AL137" s="2" t="str">
        <f t="shared" si="93"/>
        <v>6+10+部件礼包</v>
      </c>
      <c r="AM137" s="1" t="str">
        <f t="shared" ref="AM137:AM160" si="144">VLOOKUP(H137,道具ID,4,FALSE)</f>
        <v>T2 Component</v>
      </c>
      <c r="AN137" s="1" t="str">
        <f t="shared" ref="AN137:AN160" si="145">VLOOKUP(I137,道具ID,4,FALSE)</f>
        <v>1H_X3_Accelerater</v>
      </c>
      <c r="AO137" s="1" t="str">
        <f t="shared" si="131"/>
        <v>Diamond</v>
      </c>
    </row>
    <row r="138" spans="7:41" x14ac:dyDescent="0.3">
      <c r="G138" s="2">
        <v>6</v>
      </c>
      <c r="H138" s="2" t="s">
        <v>2604</v>
      </c>
      <c r="I138" s="2" t="s">
        <v>519</v>
      </c>
      <c r="J138" s="2" t="s">
        <v>275</v>
      </c>
      <c r="K138" s="2" t="e">
        <f t="shared" si="117"/>
        <v>#REF!</v>
      </c>
      <c r="L138" s="2">
        <f t="shared" si="139"/>
        <v>0.75</v>
      </c>
      <c r="M138" s="2">
        <f t="shared" si="126"/>
        <v>3.9623576027736501E-3</v>
      </c>
      <c r="N138" s="2">
        <v>10</v>
      </c>
      <c r="O138" s="2" t="e">
        <f>N138*#REF!</f>
        <v>#REF!</v>
      </c>
      <c r="P138" s="34">
        <f t="shared" si="138"/>
        <v>1.3333333333333333</v>
      </c>
      <c r="Q138" s="2" t="e">
        <f t="shared" si="132"/>
        <v>#REF!</v>
      </c>
      <c r="R138" s="2">
        <v>5</v>
      </c>
      <c r="S138" s="2" t="e">
        <f t="shared" si="133"/>
        <v>#REF!</v>
      </c>
      <c r="T138" s="2" t="e">
        <f t="shared" si="134"/>
        <v>#REF!</v>
      </c>
      <c r="U138" s="2">
        <v>50</v>
      </c>
      <c r="V138" s="2">
        <f t="shared" si="135"/>
        <v>37.5</v>
      </c>
      <c r="W138" s="2" t="e">
        <f t="shared" si="136"/>
        <v>#REF!</v>
      </c>
      <c r="X138" s="2">
        <v>60000</v>
      </c>
      <c r="Y138" s="2" t="e">
        <f t="shared" si="127"/>
        <v>#REF!</v>
      </c>
      <c r="Z138" s="2" t="e">
        <f t="shared" si="128"/>
        <v>#REF!</v>
      </c>
      <c r="AA138" s="2" t="e">
        <f t="shared" si="124"/>
        <v>#REF!</v>
      </c>
      <c r="AB138" s="2" t="e">
        <f t="shared" si="125"/>
        <v>#REF!</v>
      </c>
      <c r="AC138" s="2">
        <f t="shared" si="140"/>
        <v>24205</v>
      </c>
      <c r="AD138" s="2">
        <f t="shared" si="141"/>
        <v>111</v>
      </c>
      <c r="AE138" s="2">
        <f t="shared" si="129"/>
        <v>102</v>
      </c>
      <c r="AF138" s="2" t="str">
        <f t="shared" si="142"/>
        <v>chest_shard</v>
      </c>
      <c r="AG138" s="2" t="str">
        <f t="shared" si="143"/>
        <v>StoreDoubleKey_1</v>
      </c>
      <c r="AH138" s="2" t="str">
        <f t="shared" si="130"/>
        <v>StoreFund_3</v>
      </c>
      <c r="AI138" s="2" t="str">
        <f t="shared" si="90"/>
        <v>[24205,111,102]</v>
      </c>
      <c r="AJ138" s="2" t="str">
        <f t="shared" si="91"/>
        <v>[5,50,60000]</v>
      </c>
      <c r="AK138" s="2" t="str">
        <f t="shared" si="92"/>
        <v>[chest_shard,StoreDoubleKey_1,StoreFund_3]</v>
      </c>
      <c r="AL138" s="2" t="str">
        <f t="shared" si="93"/>
        <v>6+10+碎片礼包</v>
      </c>
      <c r="AM138" s="1" t="str">
        <f t="shared" si="144"/>
        <v>T3 Senior Shard</v>
      </c>
      <c r="AN138" s="1" t="str">
        <f t="shared" si="145"/>
        <v>DoubleKeys</v>
      </c>
      <c r="AO138" s="1" t="str">
        <f t="shared" si="131"/>
        <v>Funds</v>
      </c>
    </row>
    <row r="139" spans="7:41" x14ac:dyDescent="0.3">
      <c r="G139" s="2">
        <v>6</v>
      </c>
      <c r="H139" s="2" t="s">
        <v>2590</v>
      </c>
      <c r="I139" s="2" t="s">
        <v>587</v>
      </c>
      <c r="J139" s="2" t="s">
        <v>325</v>
      </c>
      <c r="K139" s="2" t="e">
        <f t="shared" si="117"/>
        <v>#REF!</v>
      </c>
      <c r="L139" s="2">
        <f t="shared" si="139"/>
        <v>60</v>
      </c>
      <c r="M139" s="2">
        <f t="shared" si="126"/>
        <v>1</v>
      </c>
      <c r="N139" s="2">
        <v>20</v>
      </c>
      <c r="O139" s="2" t="e">
        <f>N139*#REF!</f>
        <v>#REF!</v>
      </c>
      <c r="P139" s="34">
        <f t="shared" si="138"/>
        <v>1.3333333333333333</v>
      </c>
      <c r="Q139" s="2" t="e">
        <f t="shared" si="132"/>
        <v>#REF!</v>
      </c>
      <c r="R139" s="2">
        <v>1</v>
      </c>
      <c r="S139" s="2" t="e">
        <f t="shared" si="133"/>
        <v>#REF!</v>
      </c>
      <c r="T139" s="2" t="e">
        <f t="shared" si="134"/>
        <v>#REF!</v>
      </c>
      <c r="U139" s="2">
        <v>10</v>
      </c>
      <c r="V139" s="2">
        <f t="shared" si="135"/>
        <v>600</v>
      </c>
      <c r="W139" s="2" t="e">
        <f t="shared" si="136"/>
        <v>#REF!</v>
      </c>
      <c r="X139" s="2">
        <v>1900</v>
      </c>
      <c r="Y139" s="2" t="e">
        <f t="shared" si="127"/>
        <v>#REF!</v>
      </c>
      <c r="Z139" s="2" t="e">
        <f t="shared" si="128"/>
        <v>#REF!</v>
      </c>
      <c r="AA139" s="2" t="e">
        <f t="shared" si="124"/>
        <v>#REF!</v>
      </c>
      <c r="AB139" s="2" t="e">
        <f t="shared" si="125"/>
        <v>#REF!</v>
      </c>
      <c r="AC139" s="2">
        <f t="shared" si="140"/>
        <v>23205</v>
      </c>
      <c r="AD139" s="2">
        <f t="shared" si="141"/>
        <v>100302</v>
      </c>
      <c r="AE139" s="2">
        <f t="shared" si="129"/>
        <v>101</v>
      </c>
      <c r="AF139" s="2" t="str">
        <f t="shared" si="142"/>
        <v>chest_tankpart</v>
      </c>
      <c r="AG139" s="2" t="str">
        <f t="shared" si="143"/>
        <v>StoreQuikenItem_1</v>
      </c>
      <c r="AH139" s="2" t="str">
        <f t="shared" si="130"/>
        <v>StoreDiamond_1</v>
      </c>
      <c r="AI139" s="2" t="str">
        <f t="shared" si="90"/>
        <v>[23205,100302,101]</v>
      </c>
      <c r="AJ139" s="2" t="str">
        <f t="shared" si="91"/>
        <v>[1,10,1900]</v>
      </c>
      <c r="AK139" s="2" t="str">
        <f t="shared" si="92"/>
        <v>[chest_tankpart,StoreQuikenItem_1,StoreDiamond_1]</v>
      </c>
      <c r="AL139" s="2" t="str">
        <f t="shared" si="93"/>
        <v>6+20+部件礼包</v>
      </c>
      <c r="AM139" s="1" t="str">
        <f t="shared" si="144"/>
        <v>T2 Component</v>
      </c>
      <c r="AN139" s="1" t="str">
        <f t="shared" si="145"/>
        <v>1H_X3_Accelerater</v>
      </c>
      <c r="AO139" s="1" t="str">
        <f t="shared" si="131"/>
        <v>Diamond</v>
      </c>
    </row>
    <row r="140" spans="7:41" x14ac:dyDescent="0.3">
      <c r="G140" s="2">
        <v>6</v>
      </c>
      <c r="H140" s="2" t="s">
        <v>2604</v>
      </c>
      <c r="I140" s="2" t="s">
        <v>519</v>
      </c>
      <c r="J140" s="2" t="s">
        <v>275</v>
      </c>
      <c r="K140" s="2" t="e">
        <f t="shared" si="117"/>
        <v>#REF!</v>
      </c>
      <c r="L140" s="2">
        <f t="shared" si="139"/>
        <v>0.75</v>
      </c>
      <c r="M140" s="2">
        <f t="shared" si="126"/>
        <v>3.9623576027736501E-3</v>
      </c>
      <c r="N140" s="2">
        <v>20</v>
      </c>
      <c r="O140" s="2" t="e">
        <f>N140*#REF!</f>
        <v>#REF!</v>
      </c>
      <c r="P140" s="34">
        <f t="shared" si="138"/>
        <v>1.3333333333333333</v>
      </c>
      <c r="Q140" s="2" t="e">
        <f t="shared" si="132"/>
        <v>#REF!</v>
      </c>
      <c r="R140" s="2">
        <v>12</v>
      </c>
      <c r="S140" s="2" t="e">
        <f t="shared" si="133"/>
        <v>#REF!</v>
      </c>
      <c r="T140" s="2" t="e">
        <f t="shared" si="134"/>
        <v>#REF!</v>
      </c>
      <c r="U140" s="2">
        <v>50</v>
      </c>
      <c r="V140" s="2">
        <f t="shared" si="135"/>
        <v>37.5</v>
      </c>
      <c r="W140" s="2" t="e">
        <f t="shared" si="136"/>
        <v>#REF!</v>
      </c>
      <c r="X140" s="2">
        <v>30000</v>
      </c>
      <c r="Y140" s="2" t="e">
        <f t="shared" si="127"/>
        <v>#REF!</v>
      </c>
      <c r="Z140" s="2" t="e">
        <f t="shared" si="128"/>
        <v>#REF!</v>
      </c>
      <c r="AA140" s="2" t="e">
        <f t="shared" si="124"/>
        <v>#REF!</v>
      </c>
      <c r="AB140" s="2" t="e">
        <f t="shared" si="125"/>
        <v>#REF!</v>
      </c>
      <c r="AC140" s="2">
        <f t="shared" si="140"/>
        <v>24205</v>
      </c>
      <c r="AD140" s="2">
        <f t="shared" si="141"/>
        <v>111</v>
      </c>
      <c r="AE140" s="2">
        <f t="shared" si="129"/>
        <v>102</v>
      </c>
      <c r="AF140" s="2" t="str">
        <f t="shared" si="142"/>
        <v>chest_shard</v>
      </c>
      <c r="AG140" s="2" t="str">
        <f t="shared" si="143"/>
        <v>StoreDoubleKey_1</v>
      </c>
      <c r="AH140" s="2" t="str">
        <f t="shared" si="130"/>
        <v>StoreFund_3</v>
      </c>
      <c r="AI140" s="2" t="str">
        <f t="shared" si="90"/>
        <v>[24205,111,102]</v>
      </c>
      <c r="AJ140" s="2" t="str">
        <f t="shared" si="91"/>
        <v>[12,50,30000]</v>
      </c>
      <c r="AK140" s="2" t="str">
        <f t="shared" si="92"/>
        <v>[chest_shard,StoreDoubleKey_1,StoreFund_3]</v>
      </c>
      <c r="AL140" s="2" t="str">
        <f t="shared" si="93"/>
        <v>6+20+碎片礼包</v>
      </c>
      <c r="AM140" s="1" t="str">
        <f t="shared" si="144"/>
        <v>T3 Senior Shard</v>
      </c>
      <c r="AN140" s="1" t="str">
        <f t="shared" si="145"/>
        <v>DoubleKeys</v>
      </c>
      <c r="AO140" s="1" t="str">
        <f t="shared" si="131"/>
        <v>Funds</v>
      </c>
    </row>
    <row r="141" spans="7:41" x14ac:dyDescent="0.3">
      <c r="G141" s="2">
        <v>6</v>
      </c>
      <c r="H141" s="2" t="s">
        <v>2590</v>
      </c>
      <c r="I141" s="2" t="s">
        <v>587</v>
      </c>
      <c r="J141" s="2" t="s">
        <v>325</v>
      </c>
      <c r="K141" s="2" t="e">
        <f t="shared" si="117"/>
        <v>#REF!</v>
      </c>
      <c r="L141" s="2">
        <f t="shared" si="139"/>
        <v>60</v>
      </c>
      <c r="M141" s="2">
        <f t="shared" si="126"/>
        <v>1</v>
      </c>
      <c r="N141" s="2">
        <v>50</v>
      </c>
      <c r="O141" s="2" t="e">
        <f>N141*#REF!</f>
        <v>#REF!</v>
      </c>
      <c r="P141" s="34">
        <f t="shared" si="138"/>
        <v>1.3333333333333333</v>
      </c>
      <c r="Q141" s="2" t="e">
        <f t="shared" si="132"/>
        <v>#REF!</v>
      </c>
      <c r="R141" s="2">
        <v>4</v>
      </c>
      <c r="S141" s="2" t="e">
        <f t="shared" si="133"/>
        <v>#REF!</v>
      </c>
      <c r="T141" s="2" t="e">
        <f t="shared" si="134"/>
        <v>#REF!</v>
      </c>
      <c r="U141" s="2">
        <v>20</v>
      </c>
      <c r="V141" s="2">
        <f t="shared" si="135"/>
        <v>1200</v>
      </c>
      <c r="W141" s="2" t="e">
        <f t="shared" si="136"/>
        <v>#REF!</v>
      </c>
      <c r="X141" s="2">
        <v>4700</v>
      </c>
      <c r="Y141" s="2" t="e">
        <f t="shared" si="127"/>
        <v>#REF!</v>
      </c>
      <c r="Z141" s="2" t="e">
        <f t="shared" si="128"/>
        <v>#REF!</v>
      </c>
      <c r="AA141" s="2" t="e">
        <f t="shared" si="124"/>
        <v>#REF!</v>
      </c>
      <c r="AB141" s="2" t="e">
        <f t="shared" si="125"/>
        <v>#REF!</v>
      </c>
      <c r="AC141" s="2">
        <f t="shared" si="140"/>
        <v>23205</v>
      </c>
      <c r="AD141" s="2">
        <f t="shared" si="141"/>
        <v>100302</v>
      </c>
      <c r="AE141" s="2">
        <f t="shared" si="129"/>
        <v>101</v>
      </c>
      <c r="AF141" s="2" t="str">
        <f t="shared" si="142"/>
        <v>chest_tankpart</v>
      </c>
      <c r="AG141" s="2" t="str">
        <f t="shared" si="143"/>
        <v>StoreQuikenItem_1</v>
      </c>
      <c r="AH141" s="2" t="str">
        <f t="shared" si="130"/>
        <v>StoreDiamond_1</v>
      </c>
      <c r="AI141" s="2" t="str">
        <f t="shared" si="90"/>
        <v>[23205,100302,101]</v>
      </c>
      <c r="AJ141" s="2" t="str">
        <f t="shared" si="91"/>
        <v>[4,20,4700]</v>
      </c>
      <c r="AK141" s="2" t="str">
        <f t="shared" si="92"/>
        <v>[chest_tankpart,StoreQuikenItem_1,StoreDiamond_1]</v>
      </c>
      <c r="AL141" s="2" t="str">
        <f t="shared" si="93"/>
        <v>6+50+部件礼包</v>
      </c>
      <c r="AM141" s="1" t="str">
        <f t="shared" si="144"/>
        <v>T2 Component</v>
      </c>
      <c r="AN141" s="1" t="str">
        <f t="shared" si="145"/>
        <v>1H_X3_Accelerater</v>
      </c>
      <c r="AO141" s="1" t="str">
        <f t="shared" si="131"/>
        <v>Diamond</v>
      </c>
    </row>
    <row r="142" spans="7:41" x14ac:dyDescent="0.3">
      <c r="G142" s="2">
        <v>6</v>
      </c>
      <c r="H142" s="2" t="s">
        <v>2604</v>
      </c>
      <c r="I142" s="2" t="s">
        <v>519</v>
      </c>
      <c r="J142" s="2" t="s">
        <v>275</v>
      </c>
      <c r="K142" s="2" t="e">
        <f t="shared" si="117"/>
        <v>#REF!</v>
      </c>
      <c r="L142" s="2">
        <f t="shared" si="139"/>
        <v>0.75</v>
      </c>
      <c r="M142" s="2">
        <f t="shared" si="126"/>
        <v>3.9623576027736501E-3</v>
      </c>
      <c r="N142" s="2">
        <v>50</v>
      </c>
      <c r="O142" s="2" t="e">
        <f>N142*#REF!</f>
        <v>#REF!</v>
      </c>
      <c r="P142" s="34">
        <f t="shared" si="138"/>
        <v>1.3333333333333333</v>
      </c>
      <c r="Q142" s="2" t="e">
        <f t="shared" si="132"/>
        <v>#REF!</v>
      </c>
      <c r="R142" s="2">
        <v>30</v>
      </c>
      <c r="S142" s="2" t="e">
        <f t="shared" si="133"/>
        <v>#REF!</v>
      </c>
      <c r="T142" s="2" t="e">
        <f t="shared" si="134"/>
        <v>#REF!</v>
      </c>
      <c r="U142" s="2">
        <v>50</v>
      </c>
      <c r="V142" s="2">
        <f t="shared" si="135"/>
        <v>37.5</v>
      </c>
      <c r="W142" s="2" t="e">
        <f t="shared" si="136"/>
        <v>#REF!</v>
      </c>
      <c r="X142" s="2">
        <v>80000</v>
      </c>
      <c r="Y142" s="2" t="e">
        <f t="shared" si="127"/>
        <v>#REF!</v>
      </c>
      <c r="Z142" s="2" t="e">
        <f t="shared" si="128"/>
        <v>#REF!</v>
      </c>
      <c r="AA142" s="2" t="e">
        <f t="shared" si="124"/>
        <v>#REF!</v>
      </c>
      <c r="AB142" s="2" t="e">
        <f t="shared" si="125"/>
        <v>#REF!</v>
      </c>
      <c r="AC142" s="2">
        <f t="shared" si="140"/>
        <v>24205</v>
      </c>
      <c r="AD142" s="2">
        <f t="shared" si="141"/>
        <v>111</v>
      </c>
      <c r="AE142" s="2">
        <f t="shared" si="129"/>
        <v>102</v>
      </c>
      <c r="AF142" s="2" t="str">
        <f t="shared" si="142"/>
        <v>chest_shard</v>
      </c>
      <c r="AG142" s="2" t="str">
        <f t="shared" si="143"/>
        <v>StoreDoubleKey_1</v>
      </c>
      <c r="AH142" s="2" t="str">
        <f t="shared" si="130"/>
        <v>StoreFund_3</v>
      </c>
      <c r="AI142" s="2" t="str">
        <f t="shared" si="90"/>
        <v>[24205,111,102]</v>
      </c>
      <c r="AJ142" s="2" t="str">
        <f t="shared" si="91"/>
        <v>[30,50,80000]</v>
      </c>
      <c r="AK142" s="2" t="str">
        <f t="shared" si="92"/>
        <v>[chest_shard,StoreDoubleKey_1,StoreFund_3]</v>
      </c>
      <c r="AL142" s="2" t="str">
        <f t="shared" si="93"/>
        <v>6+50+碎片礼包</v>
      </c>
      <c r="AM142" s="1" t="str">
        <f t="shared" si="144"/>
        <v>T3 Senior Shard</v>
      </c>
      <c r="AN142" s="1" t="str">
        <f t="shared" si="145"/>
        <v>DoubleKeys</v>
      </c>
      <c r="AO142" s="1" t="str">
        <f t="shared" si="131"/>
        <v>Funds</v>
      </c>
    </row>
    <row r="143" spans="7:41" x14ac:dyDescent="0.3">
      <c r="G143" s="2">
        <v>7</v>
      </c>
      <c r="H143" s="2" t="s">
        <v>2588</v>
      </c>
      <c r="I143" s="2" t="s">
        <v>587</v>
      </c>
      <c r="J143" s="2" t="s">
        <v>325</v>
      </c>
      <c r="K143" s="2" t="e">
        <f t="shared" si="117"/>
        <v>#REF!</v>
      </c>
      <c r="L143" s="2">
        <f t="shared" si="139"/>
        <v>60</v>
      </c>
      <c r="M143" s="2">
        <f t="shared" si="126"/>
        <v>1</v>
      </c>
      <c r="N143" s="2">
        <v>10</v>
      </c>
      <c r="O143" s="2" t="e">
        <f>N143*#REF!</f>
        <v>#REF!</v>
      </c>
      <c r="P143" s="34">
        <f t="shared" ref="P143:P148" si="146">1/0.6</f>
        <v>1.6666666666666667</v>
      </c>
      <c r="Q143" s="2" t="e">
        <f t="shared" ref="Q143:Q148" si="147">O143*P143</f>
        <v>#REF!</v>
      </c>
      <c r="R143" s="2">
        <v>2</v>
      </c>
      <c r="S143" s="2" t="e">
        <f t="shared" ref="S143:S148" si="148">R143*K143</f>
        <v>#REF!</v>
      </c>
      <c r="T143" s="2" t="e">
        <f t="shared" ref="T143:T148" si="149">S143/Q143</f>
        <v>#REF!</v>
      </c>
      <c r="U143" s="2">
        <v>10</v>
      </c>
      <c r="V143" s="2">
        <f t="shared" ref="V143:V148" si="150">U143*L143</f>
        <v>600</v>
      </c>
      <c r="W143" s="2" t="e">
        <f t="shared" ref="W143:W148" si="151">V143/Q143</f>
        <v>#REF!</v>
      </c>
      <c r="X143" s="2">
        <v>700</v>
      </c>
      <c r="Y143" s="2" t="e">
        <f t="shared" si="127"/>
        <v>#REF!</v>
      </c>
      <c r="Z143" s="2" t="e">
        <f t="shared" si="128"/>
        <v>#REF!</v>
      </c>
      <c r="AA143" s="2" t="e">
        <f t="shared" si="124"/>
        <v>#REF!</v>
      </c>
      <c r="AB143" s="2" t="e">
        <f t="shared" si="125"/>
        <v>#REF!</v>
      </c>
      <c r="AC143" s="2">
        <f t="shared" si="140"/>
        <v>23204</v>
      </c>
      <c r="AD143" s="2">
        <f t="shared" si="141"/>
        <v>100302</v>
      </c>
      <c r="AE143" s="2">
        <f t="shared" si="129"/>
        <v>101</v>
      </c>
      <c r="AF143" s="2" t="str">
        <f t="shared" si="142"/>
        <v>chest_tankpart</v>
      </c>
      <c r="AG143" s="2" t="str">
        <f t="shared" si="143"/>
        <v>StoreQuikenItem_1</v>
      </c>
      <c r="AH143" s="2" t="str">
        <f t="shared" si="130"/>
        <v>StoreDiamond_1</v>
      </c>
      <c r="AI143" s="2" t="str">
        <f t="shared" si="90"/>
        <v>[23204,100302,101]</v>
      </c>
      <c r="AJ143" s="2" t="str">
        <f t="shared" si="91"/>
        <v>[2,10,700]</v>
      </c>
      <c r="AK143" s="2" t="str">
        <f t="shared" si="92"/>
        <v>[chest_tankpart,StoreQuikenItem_1,StoreDiamond_1]</v>
      </c>
      <c r="AL143" s="2" t="str">
        <f t="shared" si="93"/>
        <v>7+10+部件礼包</v>
      </c>
      <c r="AM143" s="1" t="str">
        <f t="shared" si="144"/>
        <v>T2 Component</v>
      </c>
      <c r="AN143" s="1" t="str">
        <f t="shared" si="145"/>
        <v>1H_X3_Accelerater</v>
      </c>
      <c r="AO143" s="1" t="str">
        <f t="shared" si="131"/>
        <v>Diamond</v>
      </c>
    </row>
    <row r="144" spans="7:41" x14ac:dyDescent="0.3">
      <c r="G144" s="2">
        <v>7</v>
      </c>
      <c r="H144" s="2" t="s">
        <v>2604</v>
      </c>
      <c r="I144" s="2" t="s">
        <v>519</v>
      </c>
      <c r="J144" s="2" t="s">
        <v>275</v>
      </c>
      <c r="K144" s="2" t="e">
        <f t="shared" si="117"/>
        <v>#REF!</v>
      </c>
      <c r="L144" s="2">
        <f t="shared" si="139"/>
        <v>0.75</v>
      </c>
      <c r="M144" s="2">
        <f t="shared" si="126"/>
        <v>3.9623576027736501E-3</v>
      </c>
      <c r="N144" s="2">
        <v>10</v>
      </c>
      <c r="O144" s="2" t="e">
        <f>N144*#REF!</f>
        <v>#REF!</v>
      </c>
      <c r="P144" s="34">
        <f t="shared" si="146"/>
        <v>1.6666666666666667</v>
      </c>
      <c r="Q144" s="2" t="e">
        <f t="shared" si="147"/>
        <v>#REF!</v>
      </c>
      <c r="R144" s="2">
        <v>7</v>
      </c>
      <c r="S144" s="2" t="e">
        <f t="shared" si="148"/>
        <v>#REF!</v>
      </c>
      <c r="T144" s="2" t="e">
        <f t="shared" si="149"/>
        <v>#REF!</v>
      </c>
      <c r="U144" s="2">
        <v>77</v>
      </c>
      <c r="V144" s="2">
        <f t="shared" si="150"/>
        <v>57.75</v>
      </c>
      <c r="W144" s="2" t="e">
        <f t="shared" si="151"/>
        <v>#REF!</v>
      </c>
      <c r="X144" s="2">
        <v>40000</v>
      </c>
      <c r="Y144" s="2" t="e">
        <f t="shared" si="127"/>
        <v>#REF!</v>
      </c>
      <c r="Z144" s="2" t="e">
        <f t="shared" si="128"/>
        <v>#REF!</v>
      </c>
      <c r="AA144" s="2" t="e">
        <f t="shared" si="124"/>
        <v>#REF!</v>
      </c>
      <c r="AB144" s="2" t="e">
        <f t="shared" si="125"/>
        <v>#REF!</v>
      </c>
      <c r="AC144" s="2">
        <f t="shared" si="140"/>
        <v>24205</v>
      </c>
      <c r="AD144" s="2">
        <f t="shared" si="141"/>
        <v>111</v>
      </c>
      <c r="AE144" s="2">
        <f t="shared" si="129"/>
        <v>102</v>
      </c>
      <c r="AF144" s="2" t="str">
        <f t="shared" si="142"/>
        <v>chest_shard</v>
      </c>
      <c r="AG144" s="2" t="str">
        <f t="shared" si="143"/>
        <v>StoreDoubleKey_1</v>
      </c>
      <c r="AH144" s="2" t="str">
        <f t="shared" si="130"/>
        <v>StoreFund_3</v>
      </c>
      <c r="AI144" s="2" t="str">
        <f t="shared" si="90"/>
        <v>[24205,111,102]</v>
      </c>
      <c r="AJ144" s="2" t="str">
        <f t="shared" si="91"/>
        <v>[7,77,40000]</v>
      </c>
      <c r="AK144" s="2" t="str">
        <f t="shared" si="92"/>
        <v>[chest_shard,StoreDoubleKey_1,StoreFund_3]</v>
      </c>
      <c r="AL144" s="2" t="str">
        <f t="shared" si="93"/>
        <v>7+10+碎片礼包</v>
      </c>
      <c r="AM144" s="1" t="str">
        <f t="shared" si="144"/>
        <v>T3 Senior Shard</v>
      </c>
      <c r="AN144" s="1" t="str">
        <f t="shared" si="145"/>
        <v>DoubleKeys</v>
      </c>
      <c r="AO144" s="1" t="str">
        <f t="shared" si="131"/>
        <v>Funds</v>
      </c>
    </row>
    <row r="145" spans="7:41" x14ac:dyDescent="0.3">
      <c r="G145" s="2">
        <v>7</v>
      </c>
      <c r="H145" s="2" t="s">
        <v>2590</v>
      </c>
      <c r="I145" s="2" t="s">
        <v>587</v>
      </c>
      <c r="J145" s="2" t="s">
        <v>325</v>
      </c>
      <c r="K145" s="2" t="e">
        <f t="shared" si="117"/>
        <v>#REF!</v>
      </c>
      <c r="L145" s="2">
        <f t="shared" si="139"/>
        <v>60</v>
      </c>
      <c r="M145" s="2">
        <f t="shared" si="126"/>
        <v>1</v>
      </c>
      <c r="N145" s="2">
        <v>20</v>
      </c>
      <c r="O145" s="2" t="e">
        <f>N145*#REF!</f>
        <v>#REF!</v>
      </c>
      <c r="P145" s="34">
        <f t="shared" si="146"/>
        <v>1.6666666666666667</v>
      </c>
      <c r="Q145" s="2" t="e">
        <f t="shared" si="147"/>
        <v>#REF!</v>
      </c>
      <c r="R145" s="2">
        <v>3</v>
      </c>
      <c r="S145" s="2" t="e">
        <f t="shared" si="148"/>
        <v>#REF!</v>
      </c>
      <c r="T145" s="2" t="e">
        <f t="shared" si="149"/>
        <v>#REF!</v>
      </c>
      <c r="U145" s="2">
        <v>15</v>
      </c>
      <c r="V145" s="2">
        <f t="shared" si="150"/>
        <v>900</v>
      </c>
      <c r="W145" s="2" t="e">
        <f t="shared" si="151"/>
        <v>#REF!</v>
      </c>
      <c r="X145" s="2">
        <v>1900</v>
      </c>
      <c r="Y145" s="2" t="e">
        <f t="shared" si="127"/>
        <v>#REF!</v>
      </c>
      <c r="Z145" s="2" t="e">
        <f t="shared" si="128"/>
        <v>#REF!</v>
      </c>
      <c r="AA145" s="2" t="e">
        <f t="shared" si="124"/>
        <v>#REF!</v>
      </c>
      <c r="AB145" s="2" t="e">
        <f t="shared" si="125"/>
        <v>#REF!</v>
      </c>
      <c r="AC145" s="2">
        <f t="shared" si="140"/>
        <v>23205</v>
      </c>
      <c r="AD145" s="2">
        <f t="shared" si="141"/>
        <v>100302</v>
      </c>
      <c r="AE145" s="2">
        <f t="shared" si="129"/>
        <v>101</v>
      </c>
      <c r="AF145" s="2" t="str">
        <f t="shared" si="142"/>
        <v>chest_tankpart</v>
      </c>
      <c r="AG145" s="2" t="str">
        <f t="shared" si="143"/>
        <v>StoreQuikenItem_1</v>
      </c>
      <c r="AH145" s="2" t="str">
        <f t="shared" si="130"/>
        <v>StoreDiamond_1</v>
      </c>
      <c r="AI145" s="2" t="str">
        <f t="shared" si="90"/>
        <v>[23205,100302,101]</v>
      </c>
      <c r="AJ145" s="2" t="str">
        <f t="shared" si="91"/>
        <v>[3,15,1900]</v>
      </c>
      <c r="AK145" s="2" t="str">
        <f t="shared" si="92"/>
        <v>[chest_tankpart,StoreQuikenItem_1,StoreDiamond_1]</v>
      </c>
      <c r="AL145" s="2" t="str">
        <f t="shared" si="93"/>
        <v>7+20+部件礼包</v>
      </c>
      <c r="AM145" s="1" t="str">
        <f t="shared" si="144"/>
        <v>T2 Component</v>
      </c>
      <c r="AN145" s="1" t="str">
        <f t="shared" si="145"/>
        <v>1H_X3_Accelerater</v>
      </c>
      <c r="AO145" s="1" t="str">
        <f t="shared" si="131"/>
        <v>Diamond</v>
      </c>
    </row>
    <row r="146" spans="7:41" x14ac:dyDescent="0.3">
      <c r="G146" s="2">
        <v>7</v>
      </c>
      <c r="H146" s="2" t="s">
        <v>2604</v>
      </c>
      <c r="I146" s="2" t="s">
        <v>519</v>
      </c>
      <c r="J146" s="2" t="s">
        <v>275</v>
      </c>
      <c r="K146" s="2" t="e">
        <f t="shared" si="117"/>
        <v>#REF!</v>
      </c>
      <c r="L146" s="2">
        <f t="shared" si="139"/>
        <v>0.75</v>
      </c>
      <c r="M146" s="2">
        <f t="shared" si="126"/>
        <v>3.9623576027736501E-3</v>
      </c>
      <c r="N146" s="2">
        <v>20</v>
      </c>
      <c r="O146" s="2" t="e">
        <f>N146*#REF!</f>
        <v>#REF!</v>
      </c>
      <c r="P146" s="34">
        <f t="shared" si="146"/>
        <v>1.6666666666666667</v>
      </c>
      <c r="Q146" s="2" t="e">
        <f t="shared" si="147"/>
        <v>#REF!</v>
      </c>
      <c r="R146" s="2">
        <v>15</v>
      </c>
      <c r="S146" s="2" t="e">
        <f t="shared" si="148"/>
        <v>#REF!</v>
      </c>
      <c r="T146" s="2" t="e">
        <f t="shared" si="149"/>
        <v>#REF!</v>
      </c>
      <c r="U146" s="2">
        <v>50</v>
      </c>
      <c r="V146" s="2">
        <f t="shared" si="150"/>
        <v>37.5</v>
      </c>
      <c r="W146" s="2" t="e">
        <f t="shared" si="151"/>
        <v>#REF!</v>
      </c>
      <c r="X146" s="2">
        <v>40000</v>
      </c>
      <c r="Y146" s="2" t="e">
        <f t="shared" si="127"/>
        <v>#REF!</v>
      </c>
      <c r="Z146" s="2" t="e">
        <f t="shared" si="128"/>
        <v>#REF!</v>
      </c>
      <c r="AA146" s="2" t="e">
        <f t="shared" si="124"/>
        <v>#REF!</v>
      </c>
      <c r="AB146" s="2" t="e">
        <f t="shared" si="125"/>
        <v>#REF!</v>
      </c>
      <c r="AC146" s="2">
        <f t="shared" si="140"/>
        <v>24205</v>
      </c>
      <c r="AD146" s="2">
        <f t="shared" si="141"/>
        <v>111</v>
      </c>
      <c r="AE146" s="2">
        <f t="shared" si="129"/>
        <v>102</v>
      </c>
      <c r="AF146" s="2" t="str">
        <f t="shared" si="142"/>
        <v>chest_shard</v>
      </c>
      <c r="AG146" s="2" t="str">
        <f t="shared" si="143"/>
        <v>StoreDoubleKey_1</v>
      </c>
      <c r="AH146" s="2" t="str">
        <f t="shared" si="130"/>
        <v>StoreFund_3</v>
      </c>
      <c r="AI146" s="2" t="str">
        <f t="shared" si="90"/>
        <v>[24205,111,102]</v>
      </c>
      <c r="AJ146" s="2" t="str">
        <f t="shared" si="91"/>
        <v>[15,50,40000]</v>
      </c>
      <c r="AK146" s="2" t="str">
        <f t="shared" si="92"/>
        <v>[chest_shard,StoreDoubleKey_1,StoreFund_3]</v>
      </c>
      <c r="AL146" s="2" t="str">
        <f t="shared" si="93"/>
        <v>7+20+碎片礼包</v>
      </c>
      <c r="AM146" s="1" t="str">
        <f t="shared" si="144"/>
        <v>T3 Senior Shard</v>
      </c>
      <c r="AN146" s="1" t="str">
        <f t="shared" si="145"/>
        <v>DoubleKeys</v>
      </c>
      <c r="AO146" s="1" t="str">
        <f t="shared" si="131"/>
        <v>Funds</v>
      </c>
    </row>
    <row r="147" spans="7:41" x14ac:dyDescent="0.3">
      <c r="G147" s="2">
        <v>7</v>
      </c>
      <c r="H147" s="2" t="s">
        <v>2563</v>
      </c>
      <c r="I147" s="2" t="s">
        <v>587</v>
      </c>
      <c r="J147" s="2" t="s">
        <v>325</v>
      </c>
      <c r="K147" s="2" t="e">
        <f t="shared" si="117"/>
        <v>#N/A</v>
      </c>
      <c r="L147" s="2">
        <f t="shared" si="139"/>
        <v>60</v>
      </c>
      <c r="M147" s="2">
        <f t="shared" si="126"/>
        <v>1</v>
      </c>
      <c r="N147" s="2">
        <v>50</v>
      </c>
      <c r="O147" s="2" t="e">
        <f>N147*#REF!</f>
        <v>#REF!</v>
      </c>
      <c r="P147" s="34">
        <f t="shared" si="146"/>
        <v>1.6666666666666667</v>
      </c>
      <c r="Q147" s="2" t="e">
        <f t="shared" si="147"/>
        <v>#REF!</v>
      </c>
      <c r="R147" s="2">
        <v>2</v>
      </c>
      <c r="S147" s="2" t="e">
        <f t="shared" si="148"/>
        <v>#N/A</v>
      </c>
      <c r="T147" s="2" t="e">
        <f t="shared" si="149"/>
        <v>#N/A</v>
      </c>
      <c r="U147" s="2">
        <v>20</v>
      </c>
      <c r="V147" s="2">
        <f t="shared" si="150"/>
        <v>1200</v>
      </c>
      <c r="W147" s="2" t="e">
        <f t="shared" si="151"/>
        <v>#REF!</v>
      </c>
      <c r="X147" s="2">
        <v>3100</v>
      </c>
      <c r="Y147" s="2" t="e">
        <f t="shared" si="127"/>
        <v>#N/A</v>
      </c>
      <c r="Z147" s="2" t="e">
        <f t="shared" si="128"/>
        <v>#N/A</v>
      </c>
      <c r="AA147" s="2" t="e">
        <f t="shared" si="124"/>
        <v>#N/A</v>
      </c>
      <c r="AB147" s="2" t="e">
        <f t="shared" si="125"/>
        <v>#N/A</v>
      </c>
      <c r="AC147" s="2">
        <f t="shared" si="140"/>
        <v>25557</v>
      </c>
      <c r="AD147" s="2">
        <f t="shared" si="141"/>
        <v>100302</v>
      </c>
      <c r="AE147" s="2">
        <f t="shared" si="129"/>
        <v>101</v>
      </c>
      <c r="AF147" s="2" t="str">
        <f t="shared" si="142"/>
        <v>chest_lv6_icon</v>
      </c>
      <c r="AG147" s="2" t="str">
        <f t="shared" si="143"/>
        <v>StoreQuikenItem_1</v>
      </c>
      <c r="AH147" s="2" t="str">
        <f t="shared" si="130"/>
        <v>StoreDiamond_1</v>
      </c>
      <c r="AI147" s="2" t="str">
        <f t="shared" si="90"/>
        <v>[25557,100302,101]</v>
      </c>
      <c r="AJ147" s="2" t="str">
        <f t="shared" si="91"/>
        <v>[2,20,3100]</v>
      </c>
      <c r="AK147" s="2" t="str">
        <f t="shared" si="92"/>
        <v>[chest_lv6_icon,StoreQuikenItem_1,StoreDiamond_1]</v>
      </c>
      <c r="AL147" s="2" t="str">
        <f t="shared" si="93"/>
        <v>7+50+史诗自宝</v>
      </c>
      <c r="AM147" s="1" t="str">
        <f t="shared" si="144"/>
        <v>Rank 7 Epic Chest</v>
      </c>
      <c r="AN147" s="1" t="str">
        <f t="shared" si="145"/>
        <v>1H_X3_Accelerater</v>
      </c>
      <c r="AO147" s="1" t="str">
        <f t="shared" si="131"/>
        <v>Diamond</v>
      </c>
    </row>
    <row r="148" spans="7:41" x14ac:dyDescent="0.3">
      <c r="G148" s="2">
        <v>7</v>
      </c>
      <c r="H148" s="2" t="s">
        <v>2604</v>
      </c>
      <c r="I148" s="2" t="s">
        <v>519</v>
      </c>
      <c r="J148" s="2" t="s">
        <v>275</v>
      </c>
      <c r="K148" s="2" t="e">
        <f t="shared" si="117"/>
        <v>#REF!</v>
      </c>
      <c r="L148" s="2">
        <f t="shared" si="139"/>
        <v>0.75</v>
      </c>
      <c r="M148" s="2">
        <f t="shared" si="126"/>
        <v>3.9623576027736501E-3</v>
      </c>
      <c r="N148" s="2">
        <v>50</v>
      </c>
      <c r="O148" s="2" t="e">
        <f>N148*#REF!</f>
        <v>#REF!</v>
      </c>
      <c r="P148" s="34">
        <f t="shared" si="146"/>
        <v>1.6666666666666667</v>
      </c>
      <c r="Q148" s="2" t="e">
        <f t="shared" si="147"/>
        <v>#REF!</v>
      </c>
      <c r="R148" s="2">
        <v>38</v>
      </c>
      <c r="S148" s="2" t="e">
        <f t="shared" si="148"/>
        <v>#REF!</v>
      </c>
      <c r="T148" s="2" t="e">
        <f t="shared" si="149"/>
        <v>#REF!</v>
      </c>
      <c r="U148" s="2">
        <v>50</v>
      </c>
      <c r="V148" s="2">
        <f t="shared" si="150"/>
        <v>37.5</v>
      </c>
      <c r="W148" s="2" t="e">
        <f t="shared" si="151"/>
        <v>#REF!</v>
      </c>
      <c r="X148" s="2">
        <v>80000</v>
      </c>
      <c r="Y148" s="2" t="e">
        <f t="shared" si="127"/>
        <v>#REF!</v>
      </c>
      <c r="Z148" s="2" t="e">
        <f t="shared" si="128"/>
        <v>#REF!</v>
      </c>
      <c r="AA148" s="2" t="e">
        <f t="shared" si="124"/>
        <v>#REF!</v>
      </c>
      <c r="AB148" s="2" t="e">
        <f t="shared" si="125"/>
        <v>#REF!</v>
      </c>
      <c r="AC148" s="2">
        <f t="shared" si="140"/>
        <v>24205</v>
      </c>
      <c r="AD148" s="2">
        <f t="shared" si="141"/>
        <v>111</v>
      </c>
      <c r="AE148" s="2">
        <f t="shared" si="129"/>
        <v>102</v>
      </c>
      <c r="AF148" s="2" t="str">
        <f t="shared" si="142"/>
        <v>chest_shard</v>
      </c>
      <c r="AG148" s="2" t="str">
        <f t="shared" si="143"/>
        <v>StoreDoubleKey_1</v>
      </c>
      <c r="AH148" s="2" t="str">
        <f t="shared" si="130"/>
        <v>StoreFund_3</v>
      </c>
      <c r="AI148" s="2" t="str">
        <f t="shared" si="90"/>
        <v>[24205,111,102]</v>
      </c>
      <c r="AJ148" s="2" t="str">
        <f t="shared" si="91"/>
        <v>[38,50,80000]</v>
      </c>
      <c r="AK148" s="2" t="str">
        <f t="shared" si="92"/>
        <v>[chest_shard,StoreDoubleKey_1,StoreFund_3]</v>
      </c>
      <c r="AL148" s="2" t="str">
        <f t="shared" si="93"/>
        <v>7+50+碎片礼包</v>
      </c>
      <c r="AM148" s="1" t="str">
        <f t="shared" si="144"/>
        <v>T3 Senior Shard</v>
      </c>
      <c r="AN148" s="1" t="str">
        <f t="shared" si="145"/>
        <v>DoubleKeys</v>
      </c>
      <c r="AO148" s="1" t="str">
        <f t="shared" si="131"/>
        <v>Funds</v>
      </c>
    </row>
    <row r="149" spans="7:41" x14ac:dyDescent="0.3">
      <c r="G149" s="2">
        <v>7</v>
      </c>
      <c r="H149" s="2" t="s">
        <v>2588</v>
      </c>
      <c r="I149" s="2" t="s">
        <v>587</v>
      </c>
      <c r="J149" s="2" t="s">
        <v>325</v>
      </c>
      <c r="K149" s="2" t="e">
        <f t="shared" si="117"/>
        <v>#REF!</v>
      </c>
      <c r="L149" s="2">
        <f t="shared" si="139"/>
        <v>60</v>
      </c>
      <c r="M149" s="2">
        <f t="shared" si="126"/>
        <v>1</v>
      </c>
      <c r="N149" s="2">
        <v>10</v>
      </c>
      <c r="O149" s="2" t="e">
        <f>N149*#REF!</f>
        <v>#REF!</v>
      </c>
      <c r="P149" s="34">
        <f t="shared" ref="P149:P154" si="152">3/2</f>
        <v>1.5</v>
      </c>
      <c r="Q149" s="2" t="e">
        <f t="shared" ref="Q149:Q160" si="153">O149*P149</f>
        <v>#REF!</v>
      </c>
      <c r="R149" s="2">
        <v>2</v>
      </c>
      <c r="S149" s="2" t="e">
        <f t="shared" ref="S149:S160" si="154">R149*K149</f>
        <v>#REF!</v>
      </c>
      <c r="T149" s="2" t="e">
        <f t="shared" ref="T149:T160" si="155">S149/Q149</f>
        <v>#REF!</v>
      </c>
      <c r="U149" s="2">
        <v>10</v>
      </c>
      <c r="V149" s="2">
        <f t="shared" ref="V149:V160" si="156">U149*L149</f>
        <v>600</v>
      </c>
      <c r="W149" s="2" t="e">
        <f t="shared" ref="W149:W160" si="157">V149/Q149</f>
        <v>#REF!</v>
      </c>
      <c r="X149" s="2">
        <v>500</v>
      </c>
      <c r="Y149" s="2" t="e">
        <f t="shared" si="127"/>
        <v>#REF!</v>
      </c>
      <c r="Z149" s="2" t="e">
        <f t="shared" si="128"/>
        <v>#REF!</v>
      </c>
      <c r="AA149" s="2" t="e">
        <f t="shared" si="124"/>
        <v>#REF!</v>
      </c>
      <c r="AB149" s="2" t="e">
        <f t="shared" si="125"/>
        <v>#REF!</v>
      </c>
      <c r="AC149" s="2">
        <f t="shared" si="140"/>
        <v>23204</v>
      </c>
      <c r="AD149" s="2">
        <f t="shared" si="141"/>
        <v>100302</v>
      </c>
      <c r="AE149" s="2">
        <f t="shared" si="129"/>
        <v>101</v>
      </c>
      <c r="AF149" s="2" t="str">
        <f t="shared" si="142"/>
        <v>chest_tankpart</v>
      </c>
      <c r="AG149" s="2" t="str">
        <f t="shared" si="143"/>
        <v>StoreQuikenItem_1</v>
      </c>
      <c r="AH149" s="2" t="str">
        <f t="shared" si="130"/>
        <v>StoreDiamond_1</v>
      </c>
      <c r="AI149" s="2" t="str">
        <f t="shared" si="90"/>
        <v>[23204,100302,101]</v>
      </c>
      <c r="AJ149" s="2" t="str">
        <f t="shared" si="91"/>
        <v>[2,10,500]</v>
      </c>
      <c r="AK149" s="2" t="str">
        <f t="shared" si="92"/>
        <v>[chest_tankpart,StoreQuikenItem_1,StoreDiamond_1]</v>
      </c>
      <c r="AL149" s="2" t="str">
        <f t="shared" si="93"/>
        <v>7+10+部件礼包</v>
      </c>
      <c r="AM149" s="1" t="str">
        <f t="shared" si="144"/>
        <v>T2 Component</v>
      </c>
      <c r="AN149" s="1" t="str">
        <f t="shared" si="145"/>
        <v>1H_X3_Accelerater</v>
      </c>
      <c r="AO149" s="1" t="str">
        <f t="shared" si="131"/>
        <v>Diamond</v>
      </c>
    </row>
    <row r="150" spans="7:41" x14ac:dyDescent="0.3">
      <c r="G150" s="2">
        <v>7</v>
      </c>
      <c r="H150" s="2" t="s">
        <v>2604</v>
      </c>
      <c r="I150" s="2" t="s">
        <v>519</v>
      </c>
      <c r="J150" s="2" t="s">
        <v>275</v>
      </c>
      <c r="K150" s="2" t="e">
        <f t="shared" si="117"/>
        <v>#REF!</v>
      </c>
      <c r="L150" s="2">
        <f t="shared" si="139"/>
        <v>0.75</v>
      </c>
      <c r="M150" s="2">
        <f t="shared" si="126"/>
        <v>3.9623576027736501E-3</v>
      </c>
      <c r="N150" s="2">
        <v>10</v>
      </c>
      <c r="O150" s="2" t="e">
        <f>N150*#REF!</f>
        <v>#REF!</v>
      </c>
      <c r="P150" s="34">
        <f t="shared" si="152"/>
        <v>1.5</v>
      </c>
      <c r="Q150" s="2" t="e">
        <f t="shared" si="153"/>
        <v>#REF!</v>
      </c>
      <c r="R150" s="2">
        <v>5</v>
      </c>
      <c r="S150" s="2" t="e">
        <f t="shared" si="154"/>
        <v>#REF!</v>
      </c>
      <c r="T150" s="2" t="e">
        <f t="shared" si="155"/>
        <v>#REF!</v>
      </c>
      <c r="U150" s="2">
        <v>50</v>
      </c>
      <c r="V150" s="2">
        <f t="shared" si="156"/>
        <v>37.5</v>
      </c>
      <c r="W150" s="2" t="e">
        <f t="shared" si="157"/>
        <v>#REF!</v>
      </c>
      <c r="X150" s="2">
        <v>100000</v>
      </c>
      <c r="Y150" s="2" t="e">
        <f t="shared" si="127"/>
        <v>#REF!</v>
      </c>
      <c r="Z150" s="2" t="e">
        <f t="shared" si="128"/>
        <v>#REF!</v>
      </c>
      <c r="AA150" s="2" t="e">
        <f t="shared" si="124"/>
        <v>#REF!</v>
      </c>
      <c r="AB150" s="2" t="e">
        <f t="shared" si="125"/>
        <v>#REF!</v>
      </c>
      <c r="AC150" s="2">
        <f t="shared" si="140"/>
        <v>24205</v>
      </c>
      <c r="AD150" s="2">
        <f t="shared" si="141"/>
        <v>111</v>
      </c>
      <c r="AE150" s="2">
        <f t="shared" si="129"/>
        <v>102</v>
      </c>
      <c r="AF150" s="2" t="str">
        <f t="shared" si="142"/>
        <v>chest_shard</v>
      </c>
      <c r="AG150" s="2" t="str">
        <f t="shared" si="143"/>
        <v>StoreDoubleKey_1</v>
      </c>
      <c r="AH150" s="2" t="str">
        <f t="shared" si="130"/>
        <v>StoreFund_3</v>
      </c>
      <c r="AI150" s="2" t="str">
        <f t="shared" si="90"/>
        <v>[24205,111,102]</v>
      </c>
      <c r="AJ150" s="2" t="str">
        <f t="shared" si="91"/>
        <v>[5,50,100000]</v>
      </c>
      <c r="AK150" s="2" t="str">
        <f t="shared" si="92"/>
        <v>[chest_shard,StoreDoubleKey_1,StoreFund_3]</v>
      </c>
      <c r="AL150" s="2" t="str">
        <f t="shared" si="93"/>
        <v>7+10+碎片礼包</v>
      </c>
      <c r="AM150" s="1" t="str">
        <f t="shared" si="144"/>
        <v>T3 Senior Shard</v>
      </c>
      <c r="AN150" s="1" t="str">
        <f t="shared" si="145"/>
        <v>DoubleKeys</v>
      </c>
      <c r="AO150" s="1" t="str">
        <f t="shared" si="131"/>
        <v>Funds</v>
      </c>
    </row>
    <row r="151" spans="7:41" x14ac:dyDescent="0.3">
      <c r="G151" s="2">
        <v>7</v>
      </c>
      <c r="H151" s="2" t="s">
        <v>2590</v>
      </c>
      <c r="I151" s="2" t="s">
        <v>587</v>
      </c>
      <c r="J151" s="2" t="s">
        <v>325</v>
      </c>
      <c r="K151" s="2" t="e">
        <f t="shared" ref="K151:K160" si="158">IFERROR(VLOOKUP(LEFT(H151,4),$B$40:$C$81,2,FALSE),VLOOKUP(H151,$B$40:$C$81,2,FALSE))</f>
        <v>#REF!</v>
      </c>
      <c r="L151" s="2">
        <f t="shared" si="139"/>
        <v>60</v>
      </c>
      <c r="M151" s="2">
        <f t="shared" si="126"/>
        <v>1</v>
      </c>
      <c r="N151" s="2">
        <v>20</v>
      </c>
      <c r="O151" s="2" t="e">
        <f>N151*#REF!</f>
        <v>#REF!</v>
      </c>
      <c r="P151" s="34">
        <f t="shared" si="152"/>
        <v>1.5</v>
      </c>
      <c r="Q151" s="2" t="e">
        <f t="shared" si="153"/>
        <v>#REF!</v>
      </c>
      <c r="R151" s="2">
        <v>1</v>
      </c>
      <c r="S151" s="2" t="e">
        <f t="shared" si="154"/>
        <v>#REF!</v>
      </c>
      <c r="T151" s="2" t="e">
        <f t="shared" si="155"/>
        <v>#REF!</v>
      </c>
      <c r="U151" s="2">
        <v>10</v>
      </c>
      <c r="V151" s="2">
        <f t="shared" si="156"/>
        <v>600</v>
      </c>
      <c r="W151" s="2" t="e">
        <f t="shared" si="157"/>
        <v>#REF!</v>
      </c>
      <c r="X151" s="2">
        <v>2200</v>
      </c>
      <c r="Y151" s="2" t="e">
        <f t="shared" si="127"/>
        <v>#REF!</v>
      </c>
      <c r="Z151" s="2" t="e">
        <f t="shared" si="128"/>
        <v>#REF!</v>
      </c>
      <c r="AA151" s="2" t="e">
        <f t="shared" ref="AA151:AA160" si="159">R151*K151+U151*L151+X151*M151</f>
        <v>#REF!</v>
      </c>
      <c r="AB151" s="2" t="e">
        <f t="shared" ref="AB151:AB160" si="160">1-1/(AA151/O151)</f>
        <v>#REF!</v>
      </c>
      <c r="AC151" s="2">
        <f t="shared" si="140"/>
        <v>23205</v>
      </c>
      <c r="AD151" s="2">
        <f t="shared" si="141"/>
        <v>100302</v>
      </c>
      <c r="AE151" s="2">
        <f t="shared" si="129"/>
        <v>101</v>
      </c>
      <c r="AF151" s="2" t="str">
        <f t="shared" si="142"/>
        <v>chest_tankpart</v>
      </c>
      <c r="AG151" s="2" t="str">
        <f t="shared" si="143"/>
        <v>StoreQuikenItem_1</v>
      </c>
      <c r="AH151" s="2" t="str">
        <f t="shared" si="130"/>
        <v>StoreDiamond_1</v>
      </c>
      <c r="AI151" s="2" t="str">
        <f t="shared" si="90"/>
        <v>[23205,100302,101]</v>
      </c>
      <c r="AJ151" s="2" t="str">
        <f t="shared" si="91"/>
        <v>[1,10,2200]</v>
      </c>
      <c r="AK151" s="2" t="str">
        <f t="shared" si="92"/>
        <v>[chest_tankpart,StoreQuikenItem_1,StoreDiamond_1]</v>
      </c>
      <c r="AL151" s="2" t="str">
        <f t="shared" si="93"/>
        <v>7+20+部件礼包</v>
      </c>
      <c r="AM151" s="1" t="str">
        <f t="shared" si="144"/>
        <v>T2 Component</v>
      </c>
      <c r="AN151" s="1" t="str">
        <f t="shared" si="145"/>
        <v>1H_X3_Accelerater</v>
      </c>
      <c r="AO151" s="1" t="str">
        <f t="shared" si="131"/>
        <v>Diamond</v>
      </c>
    </row>
    <row r="152" spans="7:41" x14ac:dyDescent="0.3">
      <c r="G152" s="2">
        <v>7</v>
      </c>
      <c r="H152" s="2" t="s">
        <v>2604</v>
      </c>
      <c r="I152" s="2" t="s">
        <v>519</v>
      </c>
      <c r="J152" s="2" t="s">
        <v>275</v>
      </c>
      <c r="K152" s="2" t="e">
        <f t="shared" si="158"/>
        <v>#REF!</v>
      </c>
      <c r="L152" s="2">
        <f t="shared" si="139"/>
        <v>0.75</v>
      </c>
      <c r="M152" s="2">
        <f t="shared" si="126"/>
        <v>3.9623576027736501E-3</v>
      </c>
      <c r="N152" s="2">
        <v>20</v>
      </c>
      <c r="O152" s="2" t="e">
        <f>N152*#REF!</f>
        <v>#REF!</v>
      </c>
      <c r="P152" s="34">
        <f t="shared" si="152"/>
        <v>1.5</v>
      </c>
      <c r="Q152" s="2" t="e">
        <f t="shared" si="153"/>
        <v>#REF!</v>
      </c>
      <c r="R152" s="2">
        <v>12</v>
      </c>
      <c r="S152" s="2" t="e">
        <f t="shared" si="154"/>
        <v>#REF!</v>
      </c>
      <c r="T152" s="2" t="e">
        <f t="shared" si="155"/>
        <v>#REF!</v>
      </c>
      <c r="U152" s="2">
        <v>100</v>
      </c>
      <c r="V152" s="2">
        <f t="shared" si="156"/>
        <v>75</v>
      </c>
      <c r="W152" s="2" t="e">
        <f t="shared" si="157"/>
        <v>#REF!</v>
      </c>
      <c r="X152" s="2">
        <v>100000</v>
      </c>
      <c r="Y152" s="2" t="e">
        <f t="shared" si="127"/>
        <v>#REF!</v>
      </c>
      <c r="Z152" s="2" t="e">
        <f t="shared" si="128"/>
        <v>#REF!</v>
      </c>
      <c r="AA152" s="2" t="e">
        <f t="shared" si="159"/>
        <v>#REF!</v>
      </c>
      <c r="AB152" s="2" t="e">
        <f t="shared" si="160"/>
        <v>#REF!</v>
      </c>
      <c r="AC152" s="2">
        <f t="shared" si="140"/>
        <v>24205</v>
      </c>
      <c r="AD152" s="2">
        <f t="shared" si="141"/>
        <v>111</v>
      </c>
      <c r="AE152" s="2">
        <f t="shared" si="129"/>
        <v>102</v>
      </c>
      <c r="AF152" s="2" t="str">
        <f t="shared" si="142"/>
        <v>chest_shard</v>
      </c>
      <c r="AG152" s="2" t="str">
        <f t="shared" si="143"/>
        <v>StoreDoubleKey_1</v>
      </c>
      <c r="AH152" s="2" t="str">
        <f t="shared" si="130"/>
        <v>StoreFund_3</v>
      </c>
      <c r="AI152" s="2" t="str">
        <f t="shared" ref="AI152:AI160" si="161">"["&amp;AC152&amp;","&amp;AD152&amp;","&amp;AE152&amp;"]"</f>
        <v>[24205,111,102]</v>
      </c>
      <c r="AJ152" s="2" t="str">
        <f t="shared" ref="AJ152:AJ160" si="162">"["&amp;R152&amp;","&amp;U152&amp;","&amp;X152&amp;"]"</f>
        <v>[12,100,100000]</v>
      </c>
      <c r="AK152" s="2" t="str">
        <f t="shared" ref="AK152:AK160" si="163">"["&amp;AF152&amp;","&amp;AG152&amp;","&amp;AH152&amp;"]"</f>
        <v>[chest_shard,StoreDoubleKey_1,StoreFund_3]</v>
      </c>
      <c r="AL152" s="2" t="str">
        <f t="shared" ref="AL152:AL160" si="164">G152&amp;"+"&amp;N152&amp;"+"&amp;LEFT(H152,4)</f>
        <v>7+20+碎片礼包</v>
      </c>
      <c r="AM152" s="1" t="str">
        <f t="shared" si="144"/>
        <v>T3 Senior Shard</v>
      </c>
      <c r="AN152" s="1" t="str">
        <f t="shared" si="145"/>
        <v>DoubleKeys</v>
      </c>
      <c r="AO152" s="1" t="str">
        <f t="shared" si="131"/>
        <v>Funds</v>
      </c>
    </row>
    <row r="153" spans="7:41" x14ac:dyDescent="0.3">
      <c r="G153" s="2">
        <v>7</v>
      </c>
      <c r="H153" s="2" t="s">
        <v>2563</v>
      </c>
      <c r="I153" s="2" t="s">
        <v>587</v>
      </c>
      <c r="J153" s="2" t="s">
        <v>325</v>
      </c>
      <c r="K153" s="2" t="e">
        <f t="shared" si="158"/>
        <v>#N/A</v>
      </c>
      <c r="L153" s="2">
        <f t="shared" si="139"/>
        <v>60</v>
      </c>
      <c r="M153" s="2">
        <f t="shared" si="126"/>
        <v>1</v>
      </c>
      <c r="N153" s="2">
        <v>50</v>
      </c>
      <c r="O153" s="2" t="e">
        <f>N153*#REF!</f>
        <v>#REF!</v>
      </c>
      <c r="P153" s="34">
        <f t="shared" si="152"/>
        <v>1.5</v>
      </c>
      <c r="Q153" s="2" t="e">
        <f t="shared" si="153"/>
        <v>#REF!</v>
      </c>
      <c r="R153" s="2">
        <v>2</v>
      </c>
      <c r="S153" s="2" t="e">
        <f t="shared" si="154"/>
        <v>#N/A</v>
      </c>
      <c r="T153" s="2" t="e">
        <f t="shared" si="155"/>
        <v>#N/A</v>
      </c>
      <c r="U153" s="2">
        <v>20</v>
      </c>
      <c r="V153" s="2">
        <f t="shared" si="156"/>
        <v>1200</v>
      </c>
      <c r="W153" s="2" t="e">
        <f t="shared" si="157"/>
        <v>#REF!</v>
      </c>
      <c r="X153" s="2">
        <v>2300</v>
      </c>
      <c r="Y153" s="2" t="e">
        <f t="shared" si="127"/>
        <v>#N/A</v>
      </c>
      <c r="Z153" s="2" t="e">
        <f t="shared" si="128"/>
        <v>#N/A</v>
      </c>
      <c r="AA153" s="2" t="e">
        <f t="shared" si="159"/>
        <v>#N/A</v>
      </c>
      <c r="AB153" s="2" t="e">
        <f t="shared" si="160"/>
        <v>#N/A</v>
      </c>
      <c r="AC153" s="2">
        <f t="shared" si="140"/>
        <v>25557</v>
      </c>
      <c r="AD153" s="2">
        <f t="shared" si="141"/>
        <v>100302</v>
      </c>
      <c r="AE153" s="2">
        <f t="shared" si="129"/>
        <v>101</v>
      </c>
      <c r="AF153" s="2" t="str">
        <f t="shared" si="142"/>
        <v>chest_lv6_icon</v>
      </c>
      <c r="AG153" s="2" t="str">
        <f t="shared" si="143"/>
        <v>StoreQuikenItem_1</v>
      </c>
      <c r="AH153" s="2" t="str">
        <f t="shared" si="130"/>
        <v>StoreDiamond_1</v>
      </c>
      <c r="AI153" s="2" t="str">
        <f t="shared" si="161"/>
        <v>[25557,100302,101]</v>
      </c>
      <c r="AJ153" s="2" t="str">
        <f t="shared" si="162"/>
        <v>[2,20,2300]</v>
      </c>
      <c r="AK153" s="2" t="str">
        <f t="shared" si="163"/>
        <v>[chest_lv6_icon,StoreQuikenItem_1,StoreDiamond_1]</v>
      </c>
      <c r="AL153" s="2" t="str">
        <f t="shared" si="164"/>
        <v>7+50+史诗自宝</v>
      </c>
      <c r="AM153" s="1" t="str">
        <f t="shared" si="144"/>
        <v>Rank 7 Epic Chest</v>
      </c>
      <c r="AN153" s="1" t="str">
        <f t="shared" si="145"/>
        <v>1H_X3_Accelerater</v>
      </c>
      <c r="AO153" s="1" t="str">
        <f t="shared" si="131"/>
        <v>Diamond</v>
      </c>
    </row>
    <row r="154" spans="7:41" x14ac:dyDescent="0.3">
      <c r="G154" s="2">
        <v>7</v>
      </c>
      <c r="H154" s="2" t="s">
        <v>2604</v>
      </c>
      <c r="I154" s="2" t="s">
        <v>519</v>
      </c>
      <c r="J154" s="2" t="s">
        <v>275</v>
      </c>
      <c r="K154" s="2" t="e">
        <f t="shared" si="158"/>
        <v>#REF!</v>
      </c>
      <c r="L154" s="2">
        <f t="shared" si="139"/>
        <v>0.75</v>
      </c>
      <c r="M154" s="2">
        <f t="shared" si="126"/>
        <v>3.9623576027736501E-3</v>
      </c>
      <c r="N154" s="2">
        <v>50</v>
      </c>
      <c r="O154" s="2" t="e">
        <f>N154*#REF!</f>
        <v>#REF!</v>
      </c>
      <c r="P154" s="34">
        <f t="shared" si="152"/>
        <v>1.5</v>
      </c>
      <c r="Q154" s="2" t="e">
        <f t="shared" si="153"/>
        <v>#REF!</v>
      </c>
      <c r="R154" s="2">
        <v>35</v>
      </c>
      <c r="S154" s="2" t="e">
        <f t="shared" si="154"/>
        <v>#REF!</v>
      </c>
      <c r="T154" s="2" t="e">
        <f t="shared" si="155"/>
        <v>#REF!</v>
      </c>
      <c r="U154" s="2">
        <v>50</v>
      </c>
      <c r="V154" s="2">
        <f t="shared" si="156"/>
        <v>37.5</v>
      </c>
      <c r="W154" s="2" t="e">
        <f t="shared" si="157"/>
        <v>#REF!</v>
      </c>
      <c r="X154" s="2">
        <v>30000</v>
      </c>
      <c r="Y154" s="2" t="e">
        <f t="shared" si="127"/>
        <v>#REF!</v>
      </c>
      <c r="Z154" s="2" t="e">
        <f t="shared" si="128"/>
        <v>#REF!</v>
      </c>
      <c r="AA154" s="2" t="e">
        <f t="shared" si="159"/>
        <v>#REF!</v>
      </c>
      <c r="AB154" s="2" t="e">
        <f t="shared" si="160"/>
        <v>#REF!</v>
      </c>
      <c r="AC154" s="2">
        <f t="shared" si="140"/>
        <v>24205</v>
      </c>
      <c r="AD154" s="2">
        <f t="shared" si="141"/>
        <v>111</v>
      </c>
      <c r="AE154" s="2">
        <f t="shared" si="129"/>
        <v>102</v>
      </c>
      <c r="AF154" s="2" t="str">
        <f t="shared" si="142"/>
        <v>chest_shard</v>
      </c>
      <c r="AG154" s="2" t="str">
        <f t="shared" si="143"/>
        <v>StoreDoubleKey_1</v>
      </c>
      <c r="AH154" s="2" t="str">
        <f t="shared" si="130"/>
        <v>StoreFund_3</v>
      </c>
      <c r="AI154" s="2" t="str">
        <f t="shared" si="161"/>
        <v>[24205,111,102]</v>
      </c>
      <c r="AJ154" s="2" t="str">
        <f t="shared" si="162"/>
        <v>[35,50,30000]</v>
      </c>
      <c r="AK154" s="2" t="str">
        <f t="shared" si="163"/>
        <v>[chest_shard,StoreDoubleKey_1,StoreFund_3]</v>
      </c>
      <c r="AL154" s="2" t="str">
        <f t="shared" si="164"/>
        <v>7+50+碎片礼包</v>
      </c>
      <c r="AM154" s="1" t="str">
        <f t="shared" si="144"/>
        <v>T3 Senior Shard</v>
      </c>
      <c r="AN154" s="1" t="str">
        <f t="shared" si="145"/>
        <v>DoubleKeys</v>
      </c>
      <c r="AO154" s="1" t="str">
        <f t="shared" si="131"/>
        <v>Funds</v>
      </c>
    </row>
    <row r="155" spans="7:41" x14ac:dyDescent="0.3">
      <c r="G155" s="2">
        <v>7</v>
      </c>
      <c r="H155" s="2" t="s">
        <v>2588</v>
      </c>
      <c r="I155" s="2" t="s">
        <v>587</v>
      </c>
      <c r="J155" s="2" t="s">
        <v>325</v>
      </c>
      <c r="K155" s="2" t="e">
        <f t="shared" si="158"/>
        <v>#REF!</v>
      </c>
      <c r="L155" s="2">
        <f t="shared" si="139"/>
        <v>60</v>
      </c>
      <c r="M155" s="2">
        <f t="shared" ref="M155:M160" si="165">VLOOKUP(J155,$B$40:$C$81,2,FALSE)</f>
        <v>1</v>
      </c>
      <c r="N155" s="2">
        <v>10</v>
      </c>
      <c r="O155" s="2" t="e">
        <f>N155*#REF!</f>
        <v>#REF!</v>
      </c>
      <c r="P155" s="34">
        <f t="shared" si="138"/>
        <v>1.3333333333333333</v>
      </c>
      <c r="Q155" s="2" t="e">
        <f t="shared" si="153"/>
        <v>#REF!</v>
      </c>
      <c r="R155" s="2">
        <v>2</v>
      </c>
      <c r="S155" s="2" t="e">
        <f t="shared" si="154"/>
        <v>#REF!</v>
      </c>
      <c r="T155" s="2" t="e">
        <f t="shared" si="155"/>
        <v>#REF!</v>
      </c>
      <c r="U155" s="2">
        <v>10</v>
      </c>
      <c r="V155" s="2">
        <f t="shared" si="156"/>
        <v>600</v>
      </c>
      <c r="W155" s="2" t="e">
        <f t="shared" si="157"/>
        <v>#REF!</v>
      </c>
      <c r="X155" s="2">
        <v>400</v>
      </c>
      <c r="Y155" s="2" t="e">
        <f t="shared" ref="Y155:Y160" si="166">Z155*Q155</f>
        <v>#REF!</v>
      </c>
      <c r="Z155" s="2" t="e">
        <f t="shared" ref="Z155:Z160" si="167">1-T155-W155</f>
        <v>#REF!</v>
      </c>
      <c r="AA155" s="2" t="e">
        <f t="shared" si="159"/>
        <v>#REF!</v>
      </c>
      <c r="AB155" s="2" t="e">
        <f t="shared" si="160"/>
        <v>#REF!</v>
      </c>
      <c r="AC155" s="2">
        <f t="shared" si="140"/>
        <v>23204</v>
      </c>
      <c r="AD155" s="2">
        <f t="shared" si="141"/>
        <v>100302</v>
      </c>
      <c r="AE155" s="2">
        <f t="shared" ref="AE155:AE160" si="168">VLOOKUP(J155,道具ID,2,FALSE)</f>
        <v>101</v>
      </c>
      <c r="AF155" s="2" t="str">
        <f t="shared" si="142"/>
        <v>chest_tankpart</v>
      </c>
      <c r="AG155" s="2" t="str">
        <f t="shared" si="143"/>
        <v>StoreQuikenItem_1</v>
      </c>
      <c r="AH155" s="2" t="str">
        <f t="shared" ref="AH155:AH160" si="169">VLOOKUP(J155,道具ID,3,FALSE)</f>
        <v>StoreDiamond_1</v>
      </c>
      <c r="AI155" s="2" t="str">
        <f t="shared" si="161"/>
        <v>[23204,100302,101]</v>
      </c>
      <c r="AJ155" s="2" t="str">
        <f t="shared" si="162"/>
        <v>[2,10,400]</v>
      </c>
      <c r="AK155" s="2" t="str">
        <f t="shared" si="163"/>
        <v>[chest_tankpart,StoreQuikenItem_1,StoreDiamond_1]</v>
      </c>
      <c r="AL155" s="2" t="str">
        <f t="shared" si="164"/>
        <v>7+10+部件礼包</v>
      </c>
      <c r="AM155" s="1" t="str">
        <f t="shared" si="144"/>
        <v>T2 Component</v>
      </c>
      <c r="AN155" s="1" t="str">
        <f t="shared" si="145"/>
        <v>1H_X3_Accelerater</v>
      </c>
      <c r="AO155" s="1" t="str">
        <f t="shared" ref="AO155:AO160" si="170">VLOOKUP(J155,道具ID,4,FALSE)</f>
        <v>Diamond</v>
      </c>
    </row>
    <row r="156" spans="7:41" x14ac:dyDescent="0.3">
      <c r="G156" s="2">
        <v>7</v>
      </c>
      <c r="H156" s="2" t="s">
        <v>2604</v>
      </c>
      <c r="I156" s="2" t="s">
        <v>519</v>
      </c>
      <c r="J156" s="2" t="s">
        <v>275</v>
      </c>
      <c r="K156" s="2" t="e">
        <f t="shared" si="158"/>
        <v>#REF!</v>
      </c>
      <c r="L156" s="2">
        <f t="shared" si="139"/>
        <v>0.75</v>
      </c>
      <c r="M156" s="2">
        <f t="shared" si="165"/>
        <v>3.9623576027736501E-3</v>
      </c>
      <c r="N156" s="2">
        <v>10</v>
      </c>
      <c r="O156" s="2" t="e">
        <f>N156*#REF!</f>
        <v>#REF!</v>
      </c>
      <c r="P156" s="34">
        <f t="shared" si="138"/>
        <v>1.3333333333333333</v>
      </c>
      <c r="Q156" s="2" t="e">
        <f t="shared" si="153"/>
        <v>#REF!</v>
      </c>
      <c r="R156" s="2">
        <v>5</v>
      </c>
      <c r="S156" s="2" t="e">
        <f t="shared" si="154"/>
        <v>#REF!</v>
      </c>
      <c r="T156" s="2" t="e">
        <f t="shared" si="155"/>
        <v>#REF!</v>
      </c>
      <c r="U156" s="2">
        <v>50</v>
      </c>
      <c r="V156" s="2">
        <f t="shared" si="156"/>
        <v>37.5</v>
      </c>
      <c r="W156" s="2" t="e">
        <f t="shared" si="157"/>
        <v>#REF!</v>
      </c>
      <c r="X156" s="2">
        <v>60000</v>
      </c>
      <c r="Y156" s="2" t="e">
        <f t="shared" si="166"/>
        <v>#REF!</v>
      </c>
      <c r="Z156" s="2" t="e">
        <f t="shared" si="167"/>
        <v>#REF!</v>
      </c>
      <c r="AA156" s="2" t="e">
        <f t="shared" si="159"/>
        <v>#REF!</v>
      </c>
      <c r="AB156" s="2" t="e">
        <f t="shared" si="160"/>
        <v>#REF!</v>
      </c>
      <c r="AC156" s="2">
        <f t="shared" si="140"/>
        <v>24205</v>
      </c>
      <c r="AD156" s="2">
        <f t="shared" si="141"/>
        <v>111</v>
      </c>
      <c r="AE156" s="2">
        <f t="shared" si="168"/>
        <v>102</v>
      </c>
      <c r="AF156" s="2" t="str">
        <f t="shared" si="142"/>
        <v>chest_shard</v>
      </c>
      <c r="AG156" s="2" t="str">
        <f t="shared" si="143"/>
        <v>StoreDoubleKey_1</v>
      </c>
      <c r="AH156" s="2" t="str">
        <f t="shared" si="169"/>
        <v>StoreFund_3</v>
      </c>
      <c r="AI156" s="2" t="str">
        <f t="shared" si="161"/>
        <v>[24205,111,102]</v>
      </c>
      <c r="AJ156" s="2" t="str">
        <f t="shared" si="162"/>
        <v>[5,50,60000]</v>
      </c>
      <c r="AK156" s="2" t="str">
        <f t="shared" si="163"/>
        <v>[chest_shard,StoreDoubleKey_1,StoreFund_3]</v>
      </c>
      <c r="AL156" s="2" t="str">
        <f t="shared" si="164"/>
        <v>7+10+碎片礼包</v>
      </c>
      <c r="AM156" s="1" t="str">
        <f t="shared" si="144"/>
        <v>T3 Senior Shard</v>
      </c>
      <c r="AN156" s="1" t="str">
        <f t="shared" si="145"/>
        <v>DoubleKeys</v>
      </c>
      <c r="AO156" s="1" t="str">
        <f t="shared" si="170"/>
        <v>Funds</v>
      </c>
    </row>
    <row r="157" spans="7:41" x14ac:dyDescent="0.3">
      <c r="G157" s="2">
        <v>7</v>
      </c>
      <c r="H157" s="2" t="s">
        <v>2590</v>
      </c>
      <c r="I157" s="2" t="s">
        <v>587</v>
      </c>
      <c r="J157" s="2" t="s">
        <v>325</v>
      </c>
      <c r="K157" s="2" t="e">
        <f t="shared" si="158"/>
        <v>#REF!</v>
      </c>
      <c r="L157" s="2">
        <f t="shared" si="139"/>
        <v>60</v>
      </c>
      <c r="M157" s="2">
        <f t="shared" si="165"/>
        <v>1</v>
      </c>
      <c r="N157" s="2">
        <v>20</v>
      </c>
      <c r="O157" s="2" t="e">
        <f>N157*#REF!</f>
        <v>#REF!</v>
      </c>
      <c r="P157" s="34">
        <f t="shared" si="138"/>
        <v>1.3333333333333333</v>
      </c>
      <c r="Q157" s="2" t="e">
        <f t="shared" si="153"/>
        <v>#REF!</v>
      </c>
      <c r="R157" s="2">
        <v>1</v>
      </c>
      <c r="S157" s="2" t="e">
        <f t="shared" si="154"/>
        <v>#REF!</v>
      </c>
      <c r="T157" s="2" t="e">
        <f t="shared" si="155"/>
        <v>#REF!</v>
      </c>
      <c r="U157" s="2">
        <v>10</v>
      </c>
      <c r="V157" s="2">
        <f t="shared" si="156"/>
        <v>600</v>
      </c>
      <c r="W157" s="2" t="e">
        <f t="shared" si="157"/>
        <v>#REF!</v>
      </c>
      <c r="X157" s="2">
        <v>1900</v>
      </c>
      <c r="Y157" s="2" t="e">
        <f t="shared" si="166"/>
        <v>#REF!</v>
      </c>
      <c r="Z157" s="2" t="e">
        <f t="shared" si="167"/>
        <v>#REF!</v>
      </c>
      <c r="AA157" s="2" t="e">
        <f t="shared" si="159"/>
        <v>#REF!</v>
      </c>
      <c r="AB157" s="2" t="e">
        <f t="shared" si="160"/>
        <v>#REF!</v>
      </c>
      <c r="AC157" s="2">
        <f t="shared" si="140"/>
        <v>23205</v>
      </c>
      <c r="AD157" s="2">
        <f t="shared" si="141"/>
        <v>100302</v>
      </c>
      <c r="AE157" s="2">
        <f t="shared" si="168"/>
        <v>101</v>
      </c>
      <c r="AF157" s="2" t="str">
        <f t="shared" si="142"/>
        <v>chest_tankpart</v>
      </c>
      <c r="AG157" s="2" t="str">
        <f t="shared" si="143"/>
        <v>StoreQuikenItem_1</v>
      </c>
      <c r="AH157" s="2" t="str">
        <f t="shared" si="169"/>
        <v>StoreDiamond_1</v>
      </c>
      <c r="AI157" s="2" t="str">
        <f t="shared" si="161"/>
        <v>[23205,100302,101]</v>
      </c>
      <c r="AJ157" s="2" t="str">
        <f t="shared" si="162"/>
        <v>[1,10,1900]</v>
      </c>
      <c r="AK157" s="2" t="str">
        <f t="shared" si="163"/>
        <v>[chest_tankpart,StoreQuikenItem_1,StoreDiamond_1]</v>
      </c>
      <c r="AL157" s="2" t="str">
        <f t="shared" si="164"/>
        <v>7+20+部件礼包</v>
      </c>
      <c r="AM157" s="1" t="str">
        <f t="shared" si="144"/>
        <v>T2 Component</v>
      </c>
      <c r="AN157" s="1" t="str">
        <f t="shared" si="145"/>
        <v>1H_X3_Accelerater</v>
      </c>
      <c r="AO157" s="1" t="str">
        <f t="shared" si="170"/>
        <v>Diamond</v>
      </c>
    </row>
    <row r="158" spans="7:41" x14ac:dyDescent="0.3">
      <c r="G158" s="2">
        <v>7</v>
      </c>
      <c r="H158" s="2" t="s">
        <v>2604</v>
      </c>
      <c r="I158" s="2" t="s">
        <v>519</v>
      </c>
      <c r="J158" s="2" t="s">
        <v>275</v>
      </c>
      <c r="K158" s="2" t="e">
        <f t="shared" si="158"/>
        <v>#REF!</v>
      </c>
      <c r="L158" s="2">
        <f t="shared" si="139"/>
        <v>0.75</v>
      </c>
      <c r="M158" s="2">
        <f t="shared" si="165"/>
        <v>3.9623576027736501E-3</v>
      </c>
      <c r="N158" s="2">
        <v>20</v>
      </c>
      <c r="O158" s="2" t="e">
        <f>N158*#REF!</f>
        <v>#REF!</v>
      </c>
      <c r="P158" s="34">
        <f t="shared" si="138"/>
        <v>1.3333333333333333</v>
      </c>
      <c r="Q158" s="2" t="e">
        <f t="shared" si="153"/>
        <v>#REF!</v>
      </c>
      <c r="R158" s="2">
        <v>12</v>
      </c>
      <c r="S158" s="2" t="e">
        <f t="shared" si="154"/>
        <v>#REF!</v>
      </c>
      <c r="T158" s="2" t="e">
        <f t="shared" si="155"/>
        <v>#REF!</v>
      </c>
      <c r="U158" s="2">
        <v>20</v>
      </c>
      <c r="V158" s="2">
        <f t="shared" si="156"/>
        <v>15</v>
      </c>
      <c r="W158" s="2" t="e">
        <f t="shared" si="157"/>
        <v>#REF!</v>
      </c>
      <c r="X158" s="2">
        <v>30000</v>
      </c>
      <c r="Y158" s="2" t="e">
        <f t="shared" si="166"/>
        <v>#REF!</v>
      </c>
      <c r="Z158" s="2" t="e">
        <f t="shared" si="167"/>
        <v>#REF!</v>
      </c>
      <c r="AA158" s="2" t="e">
        <f t="shared" si="159"/>
        <v>#REF!</v>
      </c>
      <c r="AB158" s="2" t="e">
        <f t="shared" si="160"/>
        <v>#REF!</v>
      </c>
      <c r="AC158" s="2">
        <f t="shared" si="140"/>
        <v>24205</v>
      </c>
      <c r="AD158" s="2">
        <f t="shared" si="141"/>
        <v>111</v>
      </c>
      <c r="AE158" s="2">
        <f t="shared" si="168"/>
        <v>102</v>
      </c>
      <c r="AF158" s="2" t="str">
        <f t="shared" si="142"/>
        <v>chest_shard</v>
      </c>
      <c r="AG158" s="2" t="str">
        <f t="shared" si="143"/>
        <v>StoreDoubleKey_1</v>
      </c>
      <c r="AH158" s="2" t="str">
        <f t="shared" si="169"/>
        <v>StoreFund_3</v>
      </c>
      <c r="AI158" s="2" t="str">
        <f t="shared" si="161"/>
        <v>[24205,111,102]</v>
      </c>
      <c r="AJ158" s="2" t="str">
        <f t="shared" si="162"/>
        <v>[12,20,30000]</v>
      </c>
      <c r="AK158" s="2" t="str">
        <f t="shared" si="163"/>
        <v>[chest_shard,StoreDoubleKey_1,StoreFund_3]</v>
      </c>
      <c r="AL158" s="2" t="str">
        <f t="shared" si="164"/>
        <v>7+20+碎片礼包</v>
      </c>
      <c r="AM158" s="1" t="str">
        <f t="shared" si="144"/>
        <v>T3 Senior Shard</v>
      </c>
      <c r="AN158" s="1" t="str">
        <f t="shared" si="145"/>
        <v>DoubleKeys</v>
      </c>
      <c r="AO158" s="1" t="str">
        <f t="shared" si="170"/>
        <v>Funds</v>
      </c>
    </row>
    <row r="159" spans="7:41" x14ac:dyDescent="0.3">
      <c r="G159" s="2">
        <v>7</v>
      </c>
      <c r="H159" s="2" t="s">
        <v>2590</v>
      </c>
      <c r="I159" s="2" t="s">
        <v>587</v>
      </c>
      <c r="J159" s="2" t="s">
        <v>325</v>
      </c>
      <c r="K159" s="2" t="e">
        <f t="shared" si="158"/>
        <v>#REF!</v>
      </c>
      <c r="L159" s="2">
        <f t="shared" si="139"/>
        <v>60</v>
      </c>
      <c r="M159" s="2">
        <f t="shared" si="165"/>
        <v>1</v>
      </c>
      <c r="N159" s="2">
        <v>50</v>
      </c>
      <c r="O159" s="2" t="e">
        <f>N159*#REF!</f>
        <v>#REF!</v>
      </c>
      <c r="P159" s="34">
        <f t="shared" si="138"/>
        <v>1.3333333333333333</v>
      </c>
      <c r="Q159" s="2" t="e">
        <f t="shared" si="153"/>
        <v>#REF!</v>
      </c>
      <c r="R159" s="2">
        <v>4</v>
      </c>
      <c r="S159" s="2" t="e">
        <f t="shared" si="154"/>
        <v>#REF!</v>
      </c>
      <c r="T159" s="2" t="e">
        <f t="shared" si="155"/>
        <v>#REF!</v>
      </c>
      <c r="U159" s="2">
        <v>20</v>
      </c>
      <c r="V159" s="2">
        <f t="shared" si="156"/>
        <v>1200</v>
      </c>
      <c r="W159" s="2" t="e">
        <f t="shared" si="157"/>
        <v>#REF!</v>
      </c>
      <c r="X159" s="2">
        <v>4700</v>
      </c>
      <c r="Y159" s="2" t="e">
        <f t="shared" si="166"/>
        <v>#REF!</v>
      </c>
      <c r="Z159" s="2" t="e">
        <f t="shared" si="167"/>
        <v>#REF!</v>
      </c>
      <c r="AA159" s="2" t="e">
        <f t="shared" si="159"/>
        <v>#REF!</v>
      </c>
      <c r="AB159" s="2" t="e">
        <f t="shared" si="160"/>
        <v>#REF!</v>
      </c>
      <c r="AC159" s="2">
        <f t="shared" si="140"/>
        <v>23205</v>
      </c>
      <c r="AD159" s="2">
        <f t="shared" si="141"/>
        <v>100302</v>
      </c>
      <c r="AE159" s="2">
        <f t="shared" si="168"/>
        <v>101</v>
      </c>
      <c r="AF159" s="2" t="str">
        <f t="shared" si="142"/>
        <v>chest_tankpart</v>
      </c>
      <c r="AG159" s="2" t="str">
        <f t="shared" si="143"/>
        <v>StoreQuikenItem_1</v>
      </c>
      <c r="AH159" s="2" t="str">
        <f t="shared" si="169"/>
        <v>StoreDiamond_1</v>
      </c>
      <c r="AI159" s="2" t="str">
        <f t="shared" si="161"/>
        <v>[23205,100302,101]</v>
      </c>
      <c r="AJ159" s="2" t="str">
        <f t="shared" si="162"/>
        <v>[4,20,4700]</v>
      </c>
      <c r="AK159" s="2" t="str">
        <f t="shared" si="163"/>
        <v>[chest_tankpart,StoreQuikenItem_1,StoreDiamond_1]</v>
      </c>
      <c r="AL159" s="2" t="str">
        <f t="shared" si="164"/>
        <v>7+50+部件礼包</v>
      </c>
      <c r="AM159" s="1" t="str">
        <f t="shared" si="144"/>
        <v>T2 Component</v>
      </c>
      <c r="AN159" s="1" t="str">
        <f t="shared" si="145"/>
        <v>1H_X3_Accelerater</v>
      </c>
      <c r="AO159" s="1" t="str">
        <f t="shared" si="170"/>
        <v>Diamond</v>
      </c>
    </row>
    <row r="160" spans="7:41" x14ac:dyDescent="0.3">
      <c r="G160" s="2">
        <v>7</v>
      </c>
      <c r="H160" s="2" t="s">
        <v>2604</v>
      </c>
      <c r="I160" s="2" t="s">
        <v>519</v>
      </c>
      <c r="J160" s="2" t="s">
        <v>275</v>
      </c>
      <c r="K160" s="2" t="e">
        <f t="shared" si="158"/>
        <v>#REF!</v>
      </c>
      <c r="L160" s="2">
        <f t="shared" si="139"/>
        <v>0.75</v>
      </c>
      <c r="M160" s="2">
        <f t="shared" si="165"/>
        <v>3.9623576027736501E-3</v>
      </c>
      <c r="N160" s="2">
        <v>50</v>
      </c>
      <c r="O160" s="2" t="e">
        <f>N160*#REF!</f>
        <v>#REF!</v>
      </c>
      <c r="P160" s="34">
        <f t="shared" si="138"/>
        <v>1.3333333333333333</v>
      </c>
      <c r="Q160" s="2" t="e">
        <f t="shared" si="153"/>
        <v>#REF!</v>
      </c>
      <c r="R160" s="2">
        <v>30</v>
      </c>
      <c r="S160" s="2" t="e">
        <f t="shared" si="154"/>
        <v>#REF!</v>
      </c>
      <c r="T160" s="2" t="e">
        <f t="shared" si="155"/>
        <v>#REF!</v>
      </c>
      <c r="U160" s="2">
        <v>30</v>
      </c>
      <c r="V160" s="2">
        <f t="shared" si="156"/>
        <v>22.5</v>
      </c>
      <c r="W160" s="2" t="e">
        <f t="shared" si="157"/>
        <v>#REF!</v>
      </c>
      <c r="X160" s="2">
        <v>90000</v>
      </c>
      <c r="Y160" s="2" t="e">
        <f t="shared" si="166"/>
        <v>#REF!</v>
      </c>
      <c r="Z160" s="2" t="e">
        <f t="shared" si="167"/>
        <v>#REF!</v>
      </c>
      <c r="AA160" s="2" t="e">
        <f t="shared" si="159"/>
        <v>#REF!</v>
      </c>
      <c r="AB160" s="2" t="e">
        <f t="shared" si="160"/>
        <v>#REF!</v>
      </c>
      <c r="AC160" s="2">
        <f t="shared" si="140"/>
        <v>24205</v>
      </c>
      <c r="AD160" s="2">
        <f t="shared" si="141"/>
        <v>111</v>
      </c>
      <c r="AE160" s="2">
        <f t="shared" si="168"/>
        <v>102</v>
      </c>
      <c r="AF160" s="2" t="str">
        <f t="shared" si="142"/>
        <v>chest_shard</v>
      </c>
      <c r="AG160" s="2" t="str">
        <f t="shared" si="143"/>
        <v>StoreDoubleKey_1</v>
      </c>
      <c r="AH160" s="2" t="str">
        <f t="shared" si="169"/>
        <v>StoreFund_3</v>
      </c>
      <c r="AI160" s="2" t="str">
        <f t="shared" si="161"/>
        <v>[24205,111,102]</v>
      </c>
      <c r="AJ160" s="2" t="str">
        <f t="shared" si="162"/>
        <v>[30,30,90000]</v>
      </c>
      <c r="AK160" s="2" t="str">
        <f t="shared" si="163"/>
        <v>[chest_shard,StoreDoubleKey_1,StoreFund_3]</v>
      </c>
      <c r="AL160" s="2" t="str">
        <f t="shared" si="164"/>
        <v>7+50+碎片礼包</v>
      </c>
      <c r="AM160" s="1" t="str">
        <f t="shared" si="144"/>
        <v>T3 Senior Shard</v>
      </c>
      <c r="AN160" s="1" t="str">
        <f t="shared" si="145"/>
        <v>DoubleKeys</v>
      </c>
      <c r="AO160" s="1" t="str">
        <f t="shared" si="170"/>
        <v>Funds</v>
      </c>
    </row>
  </sheetData>
  <mergeCells count="2">
    <mergeCell ref="B13:E13"/>
    <mergeCell ref="B26:D26"/>
  </mergeCells>
  <phoneticPr fontId="34"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W276"/>
  <sheetViews>
    <sheetView topLeftCell="A208" workbookViewId="0">
      <selection activeCell="E237" sqref="E237"/>
    </sheetView>
  </sheetViews>
  <sheetFormatPr defaultColWidth="9" defaultRowHeight="14.25" x14ac:dyDescent="0.3"/>
  <cols>
    <col min="1" max="1" width="9" style="1"/>
    <col min="2" max="2" width="20.625" style="1" customWidth="1"/>
    <col min="3" max="3" width="14.125" style="1" customWidth="1"/>
    <col min="4" max="4" width="14.75" style="1" customWidth="1"/>
    <col min="5" max="5" width="11.75" style="1" customWidth="1"/>
    <col min="6" max="6" width="12.25" style="1" customWidth="1"/>
    <col min="7" max="7" width="9" style="1"/>
    <col min="8" max="8" width="14.625" style="1" customWidth="1"/>
    <col min="9" max="11" width="9" style="1"/>
    <col min="12" max="12" width="21.75" style="1" customWidth="1"/>
    <col min="13" max="13" width="20.375" style="1" customWidth="1"/>
    <col min="14" max="14" width="14.75" style="1" customWidth="1"/>
    <col min="15" max="15" width="24" style="1" customWidth="1"/>
    <col min="16" max="19" width="9" style="1"/>
    <col min="20" max="20" width="10.875" style="1" customWidth="1"/>
    <col min="21" max="16384" width="9" style="1"/>
  </cols>
  <sheetData>
    <row r="2" spans="2:7" x14ac:dyDescent="0.3">
      <c r="B2" s="2"/>
      <c r="C2" s="2"/>
    </row>
    <row r="3" spans="2:7" x14ac:dyDescent="0.3">
      <c r="B3" s="2" t="s">
        <v>2918</v>
      </c>
      <c r="C3" s="2" t="s">
        <v>1762</v>
      </c>
    </row>
    <row r="4" spans="2:7" x14ac:dyDescent="0.3">
      <c r="B4" s="2" t="s">
        <v>1858</v>
      </c>
      <c r="C4" s="21">
        <v>155</v>
      </c>
    </row>
    <row r="5" spans="2:7" x14ac:dyDescent="0.3">
      <c r="B5" s="2" t="s">
        <v>2919</v>
      </c>
      <c r="C5" s="21">
        <v>35</v>
      </c>
    </row>
    <row r="7" spans="2:7" x14ac:dyDescent="0.3">
      <c r="B7" s="262" t="s">
        <v>2920</v>
      </c>
      <c r="C7" s="262"/>
      <c r="D7" s="262"/>
      <c r="E7" s="262"/>
    </row>
    <row r="8" spans="2:7" x14ac:dyDescent="0.3">
      <c r="B8" s="2" t="s">
        <v>2921</v>
      </c>
      <c r="C8" s="2" t="s">
        <v>2922</v>
      </c>
      <c r="D8" s="2" t="s">
        <v>2923</v>
      </c>
      <c r="E8" s="2" t="s">
        <v>2924</v>
      </c>
      <c r="F8" s="1" t="s">
        <v>2925</v>
      </c>
      <c r="G8" s="1" t="s">
        <v>2926</v>
      </c>
    </row>
    <row r="9" spans="2:7" x14ac:dyDescent="0.3">
      <c r="B9" s="2">
        <v>1</v>
      </c>
      <c r="C9" s="2">
        <f>VLOOKUP(B9,游戏时长规划!$B$16:$R$26,2,FALSE)</f>
        <v>60</v>
      </c>
      <c r="D9" s="2">
        <v>5</v>
      </c>
      <c r="E9" s="2">
        <f>C9/(D9+1)</f>
        <v>10</v>
      </c>
      <c r="F9" s="1">
        <f>C9</f>
        <v>60</v>
      </c>
    </row>
    <row r="10" spans="2:7" x14ac:dyDescent="0.3">
      <c r="B10" s="2">
        <v>2</v>
      </c>
      <c r="C10" s="2">
        <f>VLOOKUP(B10,游戏时长规划!$B$16:$R$26,2,FALSE)</f>
        <v>120</v>
      </c>
      <c r="D10" s="2">
        <v>5</v>
      </c>
      <c r="E10" s="2">
        <f t="shared" ref="E10:E18" si="0">C10/(D10+1)</f>
        <v>20</v>
      </c>
      <c r="F10" s="1">
        <f>F9+C10</f>
        <v>180</v>
      </c>
    </row>
    <row r="11" spans="2:7" x14ac:dyDescent="0.3">
      <c r="B11" s="2">
        <v>3</v>
      </c>
      <c r="C11" s="2">
        <f>VLOOKUP(B11,游戏时长规划!$B$16:$R$26,2,FALSE)</f>
        <v>120</v>
      </c>
      <c r="D11" s="2">
        <v>5</v>
      </c>
      <c r="E11" s="2">
        <f t="shared" si="0"/>
        <v>20</v>
      </c>
      <c r="F11" s="1">
        <f t="shared" ref="F11:F18" si="1">F10+C11</f>
        <v>300</v>
      </c>
    </row>
    <row r="12" spans="2:7" x14ac:dyDescent="0.3">
      <c r="B12" s="2">
        <v>4</v>
      </c>
      <c r="C12" s="2">
        <f>VLOOKUP(B12,游戏时长规划!$B$16:$R$26,2,FALSE)</f>
        <v>300</v>
      </c>
      <c r="D12" s="2">
        <v>5</v>
      </c>
      <c r="E12" s="2">
        <f t="shared" si="0"/>
        <v>50</v>
      </c>
      <c r="F12" s="1">
        <f t="shared" si="1"/>
        <v>600</v>
      </c>
    </row>
    <row r="13" spans="2:7" x14ac:dyDescent="0.3">
      <c r="B13" s="2">
        <v>5</v>
      </c>
      <c r="C13" s="2">
        <f>VLOOKUP(B13,游戏时长规划!$B$16:$R$26,2,FALSE)</f>
        <v>300</v>
      </c>
      <c r="D13" s="2">
        <v>5</v>
      </c>
      <c r="E13" s="2">
        <f t="shared" si="0"/>
        <v>50</v>
      </c>
      <c r="F13" s="1">
        <f t="shared" si="1"/>
        <v>900</v>
      </c>
    </row>
    <row r="14" spans="2:7" x14ac:dyDescent="0.3">
      <c r="B14" s="2">
        <v>6</v>
      </c>
      <c r="C14" s="2">
        <f>VLOOKUP(B14,游戏时长规划!$B$16:$R$26,2,FALSE)</f>
        <v>300</v>
      </c>
      <c r="D14" s="2">
        <v>5</v>
      </c>
      <c r="E14" s="2">
        <f t="shared" si="0"/>
        <v>50</v>
      </c>
      <c r="F14" s="1">
        <f t="shared" si="1"/>
        <v>1200</v>
      </c>
    </row>
    <row r="15" spans="2:7" x14ac:dyDescent="0.3">
      <c r="B15" s="2">
        <v>7</v>
      </c>
      <c r="C15" s="2">
        <f>VLOOKUP(B15,游戏时长规划!$B$16:$R$26,2,FALSE)</f>
        <v>300</v>
      </c>
      <c r="D15" s="2">
        <v>5</v>
      </c>
      <c r="E15" s="2">
        <f t="shared" si="0"/>
        <v>50</v>
      </c>
      <c r="F15" s="1">
        <f t="shared" si="1"/>
        <v>1500</v>
      </c>
    </row>
    <row r="16" spans="2:7" x14ac:dyDescent="0.3">
      <c r="B16" s="2">
        <v>8</v>
      </c>
      <c r="C16" s="2">
        <f>VLOOKUP(B16,游戏时长规划!$B$16:$R$26,2,FALSE)</f>
        <v>200</v>
      </c>
      <c r="D16" s="2">
        <v>5</v>
      </c>
      <c r="E16" s="2">
        <f t="shared" si="0"/>
        <v>33.333333333333336</v>
      </c>
      <c r="F16" s="1">
        <f t="shared" si="1"/>
        <v>1700</v>
      </c>
    </row>
    <row r="17" spans="2:23" x14ac:dyDescent="0.3">
      <c r="B17" s="2">
        <v>9</v>
      </c>
      <c r="C17" s="2">
        <f>VLOOKUP(B17,游戏时长规划!$B$16:$R$26,2,FALSE)</f>
        <v>300</v>
      </c>
      <c r="D17" s="2">
        <v>5</v>
      </c>
      <c r="E17" s="2">
        <f t="shared" si="0"/>
        <v>50</v>
      </c>
      <c r="F17" s="1">
        <f t="shared" si="1"/>
        <v>2000</v>
      </c>
    </row>
    <row r="18" spans="2:23" x14ac:dyDescent="0.3">
      <c r="B18" s="2">
        <v>10</v>
      </c>
      <c r="C18" s="2">
        <f>VLOOKUP(B18,游戏时长规划!$B$16:$R$26,2,FALSE)</f>
        <v>300</v>
      </c>
      <c r="D18" s="2">
        <v>5</v>
      </c>
      <c r="E18" s="2">
        <f t="shared" si="0"/>
        <v>50</v>
      </c>
      <c r="F18" s="1">
        <f t="shared" si="1"/>
        <v>2300</v>
      </c>
    </row>
    <row r="19" spans="2:23" x14ac:dyDescent="0.3">
      <c r="B19" s="2"/>
      <c r="C19" s="2"/>
      <c r="D19" s="2"/>
      <c r="E19" s="2"/>
    </row>
    <row r="21" spans="2:23" x14ac:dyDescent="0.3">
      <c r="B21" s="262" t="s">
        <v>2927</v>
      </c>
      <c r="C21" s="262"/>
      <c r="D21" s="262"/>
      <c r="E21" s="262"/>
      <c r="F21" s="262"/>
      <c r="G21" s="262"/>
      <c r="H21" s="263" t="s">
        <v>2928</v>
      </c>
      <c r="I21" s="264"/>
      <c r="J21" s="264"/>
      <c r="K21" s="264"/>
      <c r="L21" s="264"/>
      <c r="M21" s="265"/>
      <c r="N21" s="262" t="s">
        <v>2929</v>
      </c>
      <c r="O21" s="262"/>
      <c r="P21" s="262"/>
      <c r="R21" s="1" t="s">
        <v>2930</v>
      </c>
    </row>
    <row r="22" spans="2:23" x14ac:dyDescent="0.3">
      <c r="B22" s="2" t="s">
        <v>1858</v>
      </c>
      <c r="C22" s="2" t="s">
        <v>2921</v>
      </c>
      <c r="D22" s="2" t="s">
        <v>2931</v>
      </c>
      <c r="E22" s="2" t="s">
        <v>593</v>
      </c>
      <c r="F22" s="2" t="s">
        <v>2932</v>
      </c>
      <c r="G22" s="2" t="s">
        <v>2923</v>
      </c>
      <c r="H22" s="2" t="s">
        <v>2933</v>
      </c>
      <c r="I22" s="2" t="s">
        <v>2934</v>
      </c>
      <c r="J22" s="2" t="s">
        <v>2935</v>
      </c>
      <c r="K22" s="2" t="s">
        <v>595</v>
      </c>
      <c r="L22" s="2" t="s">
        <v>2936</v>
      </c>
      <c r="M22" s="2" t="s">
        <v>2937</v>
      </c>
      <c r="N22" s="2" t="s">
        <v>2929</v>
      </c>
      <c r="O22" s="2" t="s">
        <v>2938</v>
      </c>
      <c r="P22" s="2" t="s">
        <v>48</v>
      </c>
      <c r="Q22" s="97" t="s">
        <v>2939</v>
      </c>
      <c r="R22" s="98" t="s">
        <v>2940</v>
      </c>
      <c r="V22" s="2" t="s">
        <v>1800</v>
      </c>
      <c r="W22" s="2" t="s">
        <v>2847</v>
      </c>
    </row>
    <row r="23" spans="2:23" x14ac:dyDescent="0.3">
      <c r="B23" s="2">
        <f>$E$9</f>
        <v>10</v>
      </c>
      <c r="C23" s="2">
        <f>VLOOKUP(B23,游戏时长规划!$C$29:$G$39,MATCH("联赛等级",游戏时长规划!$C$29:$G$29,0),TRUE)</f>
        <v>1</v>
      </c>
      <c r="D23" s="2">
        <f>IF(B23=VLOOKUP(C23,游戏时长规划!$B$29:$C$39,2,FALSE),C23-1,C23)</f>
        <v>1</v>
      </c>
      <c r="E23" s="2">
        <f>VLOOKUP(D23,游戏时长规划!$B$16:$R$26,MATCH(E$22,游戏时长规划!$B$16:$R$16,0),FALSE)</f>
        <v>60</v>
      </c>
      <c r="F23" s="2">
        <f>B23</f>
        <v>10</v>
      </c>
      <c r="G23" s="2">
        <f t="shared" ref="G23:G69" si="2">COUNTIF($D$23:$D$69,D23)</f>
        <v>5</v>
      </c>
      <c r="H23" s="2">
        <f>F23/VLOOKUP(D23,游戏时长规划!$B$16:$R$26,4,FALSE)/游戏时长规划!$C$5</f>
        <v>16.333333333333332</v>
      </c>
      <c r="I23" s="2">
        <f>SUM(H23:H$23)</f>
        <v>16.333333333333332</v>
      </c>
      <c r="J23" s="34">
        <f>H23/[1]游戏时长规划!$C$4</f>
        <v>2.1777777777777776</v>
      </c>
      <c r="K23" s="34">
        <f>I23/[1]游戏时长规划!$C$4</f>
        <v>2.1777777777777776</v>
      </c>
      <c r="L23" s="34">
        <f>J23*$C$4</f>
        <v>337.55555555555554</v>
      </c>
      <c r="M23" s="33">
        <f t="shared" ref="M23:M69" si="3">O23*VLOOKUP(N23,$V$22:$W$69,2,FALSE)</f>
        <v>100</v>
      </c>
      <c r="N23" s="34" t="s">
        <v>2414</v>
      </c>
      <c r="O23" s="32">
        <v>1</v>
      </c>
      <c r="P23" s="2">
        <f t="shared" ref="P23:P69" si="4">VLOOKUP(N23,道具ID,2,FALSE)</f>
        <v>24001</v>
      </c>
      <c r="Q23" s="99" t="str">
        <f>"["&amp;P23&amp;"]"</f>
        <v>[24001]</v>
      </c>
      <c r="R23" s="99" t="str">
        <f>"["&amp;O23&amp;"]"</f>
        <v>[1]</v>
      </c>
      <c r="S23" s="1" t="str">
        <f t="shared" ref="S23:S69" si="5">VLOOKUP(N23,道具ID,3,FALSE)</f>
        <v>chest_shard</v>
      </c>
      <c r="V23" s="2" t="s">
        <v>275</v>
      </c>
      <c r="W23" s="2">
        <f>[1]道具价值!AB73</f>
        <v>2.2222222222222199E-2</v>
      </c>
    </row>
    <row r="24" spans="2:23" x14ac:dyDescent="0.3">
      <c r="B24" s="2">
        <f t="shared" ref="B24:B69" si="6">IF(VLOOKUP(C23,$B$8:$E$19,MATCH("积分差值",$B$8:$E$8,0),FALSE)+B23=E23,VLOOKUP(C23+1,$B$8:$E$19,MATCH("积分差值",$B$8:$E$8,0),FALSE)+E23,VLOOKUP(C23,$B$8:$E$19,MATCH("积分差值",$B$8:$E$8,0),FALSE)+B23)</f>
        <v>20</v>
      </c>
      <c r="C24" s="2">
        <f>VLOOKUP(B24,游戏时长规划!$C$29:$G$39,MATCH("联赛等级",游戏时长规划!$C$29:$G$29,0),TRUE)</f>
        <v>1</v>
      </c>
      <c r="D24" s="2">
        <f>IF(B24=VLOOKUP(C24,游戏时长规划!$B$29:$C$39,2,FALSE),C24-1,C24)</f>
        <v>1</v>
      </c>
      <c r="E24" s="2">
        <f>VLOOKUP(D24,游戏时长规划!$B$16:$R$26,MATCH(E$22,游戏时长规划!$B$16:$R$16,0),FALSE)</f>
        <v>60</v>
      </c>
      <c r="F24" s="2">
        <f>B24-B23</f>
        <v>10</v>
      </c>
      <c r="G24" s="2">
        <f t="shared" si="2"/>
        <v>5</v>
      </c>
      <c r="H24" s="2">
        <f>F24/VLOOKUP(D24,游戏时长规划!$B$16:$R$26,4,FALSE)/游戏时长规划!$C$5</f>
        <v>16.333333333333332</v>
      </c>
      <c r="I24" s="2">
        <f>SUM(H$23:H24)</f>
        <v>32.666666666666664</v>
      </c>
      <c r="J24" s="34">
        <f>H24/[1]游戏时长规划!$C$4</f>
        <v>2.1777777777777776</v>
      </c>
      <c r="K24" s="34">
        <f>I24/[1]游戏时长规划!$C$4</f>
        <v>4.3555555555555552</v>
      </c>
      <c r="L24" s="34">
        <f t="shared" ref="L24:L69" si="7">J24*$C$4</f>
        <v>337.55555555555554</v>
      </c>
      <c r="M24" s="33">
        <f t="shared" si="3"/>
        <v>200</v>
      </c>
      <c r="N24" s="34" t="s">
        <v>2453</v>
      </c>
      <c r="O24" s="32">
        <v>1</v>
      </c>
      <c r="P24" s="2">
        <f t="shared" si="4"/>
        <v>25051</v>
      </c>
      <c r="Q24" s="99" t="str">
        <f t="shared" ref="Q24:Q69" si="8">"["&amp;P24&amp;"]"</f>
        <v>[25051]</v>
      </c>
      <c r="R24" s="99" t="str">
        <f t="shared" ref="R24:R69" si="9">"["&amp;O24&amp;"]"</f>
        <v>[1]</v>
      </c>
      <c r="S24" s="1" t="str">
        <f t="shared" si="5"/>
        <v>chest_lv2_icon</v>
      </c>
      <c r="V24" s="2" t="s">
        <v>280</v>
      </c>
      <c r="W24" s="2">
        <f>[1]道具价值!$O$73</f>
        <v>1.25</v>
      </c>
    </row>
    <row r="25" spans="2:23" x14ac:dyDescent="0.3">
      <c r="B25" s="2">
        <f t="shared" si="6"/>
        <v>30</v>
      </c>
      <c r="C25" s="2">
        <f>VLOOKUP(B25,游戏时长规划!$C$29:$G$39,MATCH("联赛等级",游戏时长规划!$C$29:$G$29,0),TRUE)</f>
        <v>1</v>
      </c>
      <c r="D25" s="2">
        <f>IF(B25=VLOOKUP(C25,游戏时长规划!$B$29:$C$39,2,FALSE),C25-1,C25)</f>
        <v>1</v>
      </c>
      <c r="E25" s="2">
        <f>VLOOKUP(D25,游戏时长规划!$B$16:$R$26,MATCH(E$22,游戏时长规划!$B$16:$R$16,0),FALSE)</f>
        <v>60</v>
      </c>
      <c r="F25" s="2">
        <f t="shared" ref="F25:F69" si="10">B25-B24</f>
        <v>10</v>
      </c>
      <c r="G25" s="2">
        <f t="shared" si="2"/>
        <v>5</v>
      </c>
      <c r="H25" s="2">
        <f>F25/VLOOKUP(D25,游戏时长规划!$B$16:$R$26,4,FALSE)/游戏时长规划!$C$5</f>
        <v>16.333333333333332</v>
      </c>
      <c r="I25" s="2">
        <f>SUM(H$23:H25)</f>
        <v>49</v>
      </c>
      <c r="J25" s="34">
        <f>H25/[1]游戏时长规划!$C$4</f>
        <v>2.1777777777777776</v>
      </c>
      <c r="K25" s="34">
        <f>I25/[1]游戏时长规划!$C$4</f>
        <v>6.5333333333333332</v>
      </c>
      <c r="L25" s="34">
        <f t="shared" si="7"/>
        <v>337.55555555555554</v>
      </c>
      <c r="M25" s="33">
        <f t="shared" si="3"/>
        <v>150</v>
      </c>
      <c r="N25" s="34" t="s">
        <v>519</v>
      </c>
      <c r="O25" s="32">
        <v>200</v>
      </c>
      <c r="P25" s="2">
        <f t="shared" si="4"/>
        <v>111</v>
      </c>
      <c r="Q25" s="99" t="str">
        <f t="shared" si="8"/>
        <v>[111]</v>
      </c>
      <c r="R25" s="99" t="str">
        <f t="shared" si="9"/>
        <v>[200]</v>
      </c>
      <c r="S25" s="1" t="str">
        <f t="shared" si="5"/>
        <v>StoreDoubleKey_1</v>
      </c>
      <c r="V25" s="2" t="s">
        <v>325</v>
      </c>
      <c r="W25" s="2">
        <v>1</v>
      </c>
    </row>
    <row r="26" spans="2:23" x14ac:dyDescent="0.3">
      <c r="B26" s="2">
        <f t="shared" si="6"/>
        <v>40</v>
      </c>
      <c r="C26" s="2">
        <f>VLOOKUP(B26,游戏时长规划!$C$29:$G$39,MATCH("联赛等级",游戏时长规划!$C$29:$G$29,0),TRUE)</f>
        <v>1</v>
      </c>
      <c r="D26" s="2">
        <f>IF(B26=VLOOKUP(C26,游戏时长规划!$B$29:$C$39,2,FALSE),C26-1,C26)</f>
        <v>1</v>
      </c>
      <c r="E26" s="2">
        <f>VLOOKUP(D26,游戏时长规划!$B$16:$R$26,MATCH(E$22,游戏时长规划!$B$16:$R$16,0),FALSE)</f>
        <v>60</v>
      </c>
      <c r="F26" s="2">
        <f t="shared" si="10"/>
        <v>10</v>
      </c>
      <c r="G26" s="2">
        <f t="shared" si="2"/>
        <v>5</v>
      </c>
      <c r="H26" s="2">
        <f>F26/VLOOKUP(D26,游戏时长规划!$B$16:$R$26,4,FALSE)/游戏时长规划!$C$5</f>
        <v>16.333333333333332</v>
      </c>
      <c r="I26" s="2">
        <f>SUM(H$23:H26)</f>
        <v>65.333333333333329</v>
      </c>
      <c r="J26" s="34">
        <f>H26/[1]游戏时长规划!$C$4</f>
        <v>2.1777777777777776</v>
      </c>
      <c r="K26" s="34">
        <f>I26/[1]游戏时长规划!$C$4</f>
        <v>8.7111111111111104</v>
      </c>
      <c r="L26" s="34">
        <f t="shared" si="7"/>
        <v>337.55555555555554</v>
      </c>
      <c r="M26" s="33">
        <f t="shared" si="3"/>
        <v>50</v>
      </c>
      <c r="N26" s="34" t="s">
        <v>325</v>
      </c>
      <c r="O26" s="32">
        <v>50</v>
      </c>
      <c r="P26" s="2">
        <f t="shared" si="4"/>
        <v>101</v>
      </c>
      <c r="Q26" s="99" t="str">
        <f t="shared" si="8"/>
        <v>[101]</v>
      </c>
      <c r="R26" s="99" t="str">
        <f t="shared" si="9"/>
        <v>[50]</v>
      </c>
      <c r="S26" s="1" t="str">
        <f t="shared" si="5"/>
        <v>StoreDiamond_1</v>
      </c>
      <c r="V26" s="2" t="s">
        <v>519</v>
      </c>
      <c r="W26" s="2">
        <f>[1]道具价值!$P$73</f>
        <v>0.75</v>
      </c>
    </row>
    <row r="27" spans="2:23" x14ac:dyDescent="0.3">
      <c r="B27" s="2">
        <f t="shared" si="6"/>
        <v>50</v>
      </c>
      <c r="C27" s="2">
        <f>VLOOKUP(B27,游戏时长规划!$C$29:$G$39,MATCH("联赛等级",游戏时长规划!$C$29:$G$29,0),TRUE)</f>
        <v>1</v>
      </c>
      <c r="D27" s="2">
        <f>IF(B27=VLOOKUP(C27,游戏时长规划!$B$29:$C$39,2,FALSE),C27-1,C27)</f>
        <v>1</v>
      </c>
      <c r="E27" s="2">
        <f>VLOOKUP(D27,游戏时长规划!$B$16:$R$26,MATCH(E$22,游戏时长规划!$B$16:$R$16,0),FALSE)</f>
        <v>60</v>
      </c>
      <c r="F27" s="2">
        <f t="shared" si="10"/>
        <v>10</v>
      </c>
      <c r="G27" s="2">
        <f t="shared" si="2"/>
        <v>5</v>
      </c>
      <c r="H27" s="2">
        <f>F27/VLOOKUP(D27,游戏时长规划!$B$16:$R$26,4,FALSE)/游戏时长规划!$C$5</f>
        <v>16.333333333333332</v>
      </c>
      <c r="I27" s="2">
        <f>SUM(H$23:H27)</f>
        <v>81.666666666666657</v>
      </c>
      <c r="J27" s="34">
        <f>H27/[1]游戏时长规划!$C$4</f>
        <v>2.1777777777777776</v>
      </c>
      <c r="K27" s="34">
        <f>I27/[1]游戏时长规划!$C$4</f>
        <v>10.888888888888888</v>
      </c>
      <c r="L27" s="34">
        <f t="shared" si="7"/>
        <v>337.55555555555554</v>
      </c>
      <c r="M27" s="33">
        <f t="shared" si="3"/>
        <v>100</v>
      </c>
      <c r="N27" s="34" t="s">
        <v>2398</v>
      </c>
      <c r="O27" s="32">
        <v>1</v>
      </c>
      <c r="P27" s="2">
        <f t="shared" si="4"/>
        <v>23001</v>
      </c>
      <c r="Q27" s="99" t="str">
        <f t="shared" si="8"/>
        <v>[23001]</v>
      </c>
      <c r="R27" s="99" t="str">
        <f t="shared" si="9"/>
        <v>[1]</v>
      </c>
      <c r="S27" s="1" t="str">
        <f t="shared" si="5"/>
        <v>chest_tankpart</v>
      </c>
      <c r="V27" s="2" t="s">
        <v>1806</v>
      </c>
      <c r="W27" s="2">
        <f>[1]道具价值!$J$63</f>
        <v>35</v>
      </c>
    </row>
    <row r="28" spans="2:23" x14ac:dyDescent="0.3">
      <c r="B28" s="2">
        <f t="shared" si="6"/>
        <v>80</v>
      </c>
      <c r="C28" s="2">
        <f>VLOOKUP(B28,游戏时长规划!$C$29:$G$39,MATCH("联赛等级",游戏时长规划!$C$29:$G$29,0),TRUE)</f>
        <v>2</v>
      </c>
      <c r="D28" s="2">
        <f>IF(B28=VLOOKUP(C28,游戏时长规划!$B$29:$C$39,2,FALSE),C28-1,C28)</f>
        <v>2</v>
      </c>
      <c r="E28" s="2">
        <f>VLOOKUP(D28,游戏时长规划!$B$16:$R$26,MATCH(E$22,游戏时长规划!$B$16:$R$16,0),FALSE)</f>
        <v>180</v>
      </c>
      <c r="F28" s="2">
        <f t="shared" si="10"/>
        <v>30</v>
      </c>
      <c r="G28" s="2">
        <f t="shared" si="2"/>
        <v>5</v>
      </c>
      <c r="H28" s="2">
        <f>F28/VLOOKUP(D28,游戏时长规划!$B$16:$R$26,4,FALSE)/游戏时长规划!$C$5</f>
        <v>23.400000000000002</v>
      </c>
      <c r="I28" s="2">
        <f>SUM(H$23:H28)</f>
        <v>105.06666666666666</v>
      </c>
      <c r="J28" s="34">
        <f>H28/[1]游戏时长规划!$C$4</f>
        <v>3.12</v>
      </c>
      <c r="K28" s="34">
        <f>I28/[1]游戏时长规划!$C$4</f>
        <v>14.008888888888889</v>
      </c>
      <c r="L28" s="34">
        <f t="shared" si="7"/>
        <v>483.6</v>
      </c>
      <c r="M28" s="33">
        <f t="shared" si="3"/>
        <v>100</v>
      </c>
      <c r="N28" s="34" t="s">
        <v>521</v>
      </c>
      <c r="O28" s="32">
        <v>1</v>
      </c>
      <c r="P28" s="2">
        <f t="shared" ref="P28:P60" si="11">VLOOKUP(N28,道具ID,2,FALSE)</f>
        <v>24002</v>
      </c>
      <c r="Q28" s="99" t="str">
        <f t="shared" si="8"/>
        <v>[24002]</v>
      </c>
      <c r="R28" s="99" t="str">
        <f t="shared" ref="R28:R60" si="12">"["&amp;O28&amp;"]"</f>
        <v>[1]</v>
      </c>
      <c r="S28" s="1" t="str">
        <f t="shared" si="5"/>
        <v>chest_shard</v>
      </c>
      <c r="V28" s="2" t="s">
        <v>587</v>
      </c>
      <c r="W28" s="2">
        <f>[1]道具价值!$J$64</f>
        <v>60</v>
      </c>
    </row>
    <row r="29" spans="2:23" x14ac:dyDescent="0.3">
      <c r="B29" s="2">
        <f t="shared" si="6"/>
        <v>100</v>
      </c>
      <c r="C29" s="2">
        <f>VLOOKUP(B29,游戏时长规划!$C$29:$G$39,MATCH("联赛等级",游戏时长规划!$C$29:$G$29,0),TRUE)</f>
        <v>2</v>
      </c>
      <c r="D29" s="2">
        <f>IF(B29=VLOOKUP(C29,游戏时长规划!$B$29:$C$39,2,FALSE),C29-1,C29)</f>
        <v>2</v>
      </c>
      <c r="E29" s="2">
        <f>VLOOKUP(D29,游戏时长规划!$B$16:$R$26,MATCH(E$22,游戏时长规划!$B$16:$R$16,0),FALSE)</f>
        <v>180</v>
      </c>
      <c r="F29" s="2">
        <f t="shared" si="10"/>
        <v>20</v>
      </c>
      <c r="G29" s="2">
        <f t="shared" si="2"/>
        <v>5</v>
      </c>
      <c r="H29" s="2">
        <f>F29/VLOOKUP(D29,游戏时长规划!$B$16:$R$26,4,FALSE)/游戏时长规划!$C$5</f>
        <v>15.600000000000001</v>
      </c>
      <c r="I29" s="2">
        <f>SUM(H$23:H29)</f>
        <v>120.66666666666666</v>
      </c>
      <c r="J29" s="34">
        <f>H29/[1]游戏时长规划!$C$4</f>
        <v>2.08</v>
      </c>
      <c r="K29" s="34">
        <f>I29/[1]游戏时长规划!$C$4</f>
        <v>16.088888888888889</v>
      </c>
      <c r="L29" s="34">
        <f t="shared" si="7"/>
        <v>322.40000000000003</v>
      </c>
      <c r="M29" s="33">
        <f t="shared" si="3"/>
        <v>600</v>
      </c>
      <c r="N29" s="34" t="s">
        <v>522</v>
      </c>
      <c r="O29" s="32">
        <v>1</v>
      </c>
      <c r="P29" s="2">
        <f t="shared" si="11"/>
        <v>25152</v>
      </c>
      <c r="Q29" s="99" t="str">
        <f t="shared" si="8"/>
        <v>[25152]</v>
      </c>
      <c r="R29" s="99" t="str">
        <f t="shared" si="12"/>
        <v>[1]</v>
      </c>
      <c r="S29" s="1" t="str">
        <f t="shared" si="5"/>
        <v>chest_lv4_icon</v>
      </c>
      <c r="V29" s="2" t="s">
        <v>2453</v>
      </c>
      <c r="W29" s="2">
        <f>[1]宝箱设定!$C$9</f>
        <v>200</v>
      </c>
    </row>
    <row r="30" spans="2:23" x14ac:dyDescent="0.3">
      <c r="B30" s="2">
        <f t="shared" si="6"/>
        <v>120</v>
      </c>
      <c r="C30" s="2">
        <f>VLOOKUP(B30,游戏时长规划!$C$29:$G$39,MATCH("联赛等级",游戏时长规划!$C$29:$G$29,0),TRUE)</f>
        <v>2</v>
      </c>
      <c r="D30" s="2">
        <f>IF(B30=VLOOKUP(C30,游戏时长规划!$B$29:$C$39,2,FALSE),C30-1,C30)</f>
        <v>2</v>
      </c>
      <c r="E30" s="2">
        <f>VLOOKUP(D30,游戏时长规划!$B$16:$R$26,MATCH(E$22,游戏时长规划!$B$16:$R$16,0),FALSE)</f>
        <v>180</v>
      </c>
      <c r="F30" s="2">
        <f t="shared" si="10"/>
        <v>20</v>
      </c>
      <c r="G30" s="2">
        <f t="shared" si="2"/>
        <v>5</v>
      </c>
      <c r="H30" s="2">
        <f>F30/VLOOKUP(D30,游戏时长规划!$B$16:$R$26,4,FALSE)/游戏时长规划!$C$5</f>
        <v>15.600000000000001</v>
      </c>
      <c r="I30" s="2">
        <f>SUM(H$23:H30)</f>
        <v>136.26666666666665</v>
      </c>
      <c r="J30" s="34">
        <f>H30/[1]游戏时长规划!$C$4</f>
        <v>2.08</v>
      </c>
      <c r="K30" s="34">
        <f>I30/[1]游戏时长规划!$C$4</f>
        <v>18.168888888888887</v>
      </c>
      <c r="L30" s="34">
        <f t="shared" si="7"/>
        <v>322.40000000000003</v>
      </c>
      <c r="M30" s="33">
        <f t="shared" si="3"/>
        <v>187.5</v>
      </c>
      <c r="N30" s="34" t="s">
        <v>519</v>
      </c>
      <c r="O30" s="32">
        <v>250</v>
      </c>
      <c r="P30" s="2">
        <f t="shared" si="11"/>
        <v>111</v>
      </c>
      <c r="Q30" s="99" t="str">
        <f t="shared" si="8"/>
        <v>[111]</v>
      </c>
      <c r="R30" s="99" t="str">
        <f t="shared" si="12"/>
        <v>[250]</v>
      </c>
      <c r="S30" s="1" t="str">
        <f t="shared" si="5"/>
        <v>StoreDoubleKey_1</v>
      </c>
      <c r="V30" s="2" t="s">
        <v>2454</v>
      </c>
      <c r="W30" s="2">
        <f>[1]宝箱设定!$C$9</f>
        <v>200</v>
      </c>
    </row>
    <row r="31" spans="2:23" x14ac:dyDescent="0.3">
      <c r="B31" s="2">
        <f t="shared" si="6"/>
        <v>140</v>
      </c>
      <c r="C31" s="2">
        <f>VLOOKUP(B31,游戏时长规划!$C$29:$G$39,MATCH("联赛等级",游戏时长规划!$C$29:$G$29,0),TRUE)</f>
        <v>2</v>
      </c>
      <c r="D31" s="2">
        <f>IF(B31=VLOOKUP(C31,游戏时长规划!$B$29:$C$39,2,FALSE),C31-1,C31)</f>
        <v>2</v>
      </c>
      <c r="E31" s="2">
        <f>VLOOKUP(D31,游戏时长规划!$B$16:$R$26,MATCH(E$22,游戏时长规划!$B$16:$R$16,0),FALSE)</f>
        <v>180</v>
      </c>
      <c r="F31" s="2">
        <f t="shared" si="10"/>
        <v>20</v>
      </c>
      <c r="G31" s="2">
        <f t="shared" si="2"/>
        <v>5</v>
      </c>
      <c r="H31" s="2">
        <f>F31/VLOOKUP(D31,游戏时长规划!$B$16:$R$26,4,FALSE)/游戏时长规划!$C$5</f>
        <v>15.600000000000001</v>
      </c>
      <c r="I31" s="2">
        <f>SUM(H$23:H31)</f>
        <v>151.86666666666665</v>
      </c>
      <c r="J31" s="34">
        <f>H31/[1]游戏时长规划!$C$4</f>
        <v>2.08</v>
      </c>
      <c r="K31" s="34">
        <f>I31/[1]游戏时长规划!$C$4</f>
        <v>20.248888888888885</v>
      </c>
      <c r="L31" s="34">
        <f t="shared" si="7"/>
        <v>322.40000000000003</v>
      </c>
      <c r="M31" s="33">
        <f t="shared" si="3"/>
        <v>50</v>
      </c>
      <c r="N31" s="34" t="s">
        <v>325</v>
      </c>
      <c r="O31" s="32">
        <v>50</v>
      </c>
      <c r="P31" s="2">
        <f t="shared" si="11"/>
        <v>101</v>
      </c>
      <c r="Q31" s="99" t="str">
        <f t="shared" si="8"/>
        <v>[101]</v>
      </c>
      <c r="R31" s="99" t="str">
        <f t="shared" si="12"/>
        <v>[50]</v>
      </c>
      <c r="S31" s="1" t="str">
        <f t="shared" si="5"/>
        <v>StoreDiamond_1</v>
      </c>
      <c r="V31" s="2" t="s">
        <v>2455</v>
      </c>
      <c r="W31" s="2">
        <f>[1]宝箱设定!$C$9</f>
        <v>200</v>
      </c>
    </row>
    <row r="32" spans="2:23" x14ac:dyDescent="0.3">
      <c r="B32" s="2">
        <f t="shared" si="6"/>
        <v>160</v>
      </c>
      <c r="C32" s="2">
        <f>VLOOKUP(B32,游戏时长规划!$C$29:$G$39,MATCH("联赛等级",游戏时长规划!$C$29:$G$29,0),TRUE)</f>
        <v>2</v>
      </c>
      <c r="D32" s="2">
        <f>IF(B32=VLOOKUP(C32,游戏时长规划!$B$29:$C$39,2,FALSE),C32-1,C32)</f>
        <v>2</v>
      </c>
      <c r="E32" s="2">
        <f>VLOOKUP(D32,游戏时长规划!$B$16:$R$26,MATCH(E$22,游戏时长规划!$B$16:$R$16,0),FALSE)</f>
        <v>180</v>
      </c>
      <c r="F32" s="2">
        <f t="shared" si="10"/>
        <v>20</v>
      </c>
      <c r="G32" s="2">
        <f t="shared" si="2"/>
        <v>5</v>
      </c>
      <c r="H32" s="2">
        <f>F32/VLOOKUP(D32,游戏时长规划!$B$16:$R$26,4,FALSE)/游戏时长规划!$C$5</f>
        <v>15.600000000000001</v>
      </c>
      <c r="I32" s="2">
        <f>SUM(H$23:H32)</f>
        <v>167.46666666666664</v>
      </c>
      <c r="J32" s="34">
        <f>H32/[1]游戏时长规划!$C$4</f>
        <v>2.08</v>
      </c>
      <c r="K32" s="34">
        <f>I32/[1]游戏时长规划!$C$4</f>
        <v>22.328888888888887</v>
      </c>
      <c r="L32" s="34">
        <f t="shared" si="7"/>
        <v>322.40000000000003</v>
      </c>
      <c r="M32" s="33">
        <f t="shared" si="3"/>
        <v>100</v>
      </c>
      <c r="N32" s="34" t="s">
        <v>523</v>
      </c>
      <c r="O32" s="32">
        <v>1</v>
      </c>
      <c r="P32" s="2">
        <f t="shared" si="11"/>
        <v>23002</v>
      </c>
      <c r="Q32" s="99" t="str">
        <f t="shared" si="8"/>
        <v>[23002]</v>
      </c>
      <c r="R32" s="99" t="str">
        <f t="shared" si="12"/>
        <v>[1]</v>
      </c>
      <c r="S32" s="1" t="str">
        <f t="shared" si="5"/>
        <v>chest_tankpart</v>
      </c>
      <c r="V32" s="2" t="s">
        <v>2457</v>
      </c>
      <c r="W32" s="2">
        <f>[1]宝箱设定!$C$9</f>
        <v>200</v>
      </c>
    </row>
    <row r="33" spans="2:23" x14ac:dyDescent="0.3">
      <c r="B33" s="2">
        <f t="shared" si="6"/>
        <v>200</v>
      </c>
      <c r="C33" s="2">
        <f>VLOOKUP(B33,游戏时长规划!$C$29:$G$39,MATCH("联赛等级",游戏时长规划!$C$29:$G$29,0),TRUE)</f>
        <v>3</v>
      </c>
      <c r="D33" s="2">
        <f>IF(B33=VLOOKUP(C33,游戏时长规划!$B$29:$C$39,2,FALSE),C33-1,C33)</f>
        <v>3</v>
      </c>
      <c r="E33" s="2">
        <f>VLOOKUP(D33,游戏时长规划!$B$16:$R$26,MATCH(E$22,游戏时长规划!$B$16:$R$16,0),FALSE)</f>
        <v>300</v>
      </c>
      <c r="F33" s="2">
        <f t="shared" si="10"/>
        <v>40</v>
      </c>
      <c r="G33" s="2">
        <f t="shared" si="2"/>
        <v>5</v>
      </c>
      <c r="H33" s="2">
        <f>F33/VLOOKUP(D33,游戏时长规划!$B$16:$R$26,4,FALSE)/游戏时长规划!$C$5</f>
        <v>29.600000000000005</v>
      </c>
      <c r="I33" s="2">
        <f>SUM(H$23:H33)</f>
        <v>197.06666666666663</v>
      </c>
      <c r="J33" s="34">
        <f>H33/[1]游戏时长规划!$C$4</f>
        <v>3.9466666666666672</v>
      </c>
      <c r="K33" s="34">
        <f>I33/[1]游戏时长规划!$C$4</f>
        <v>26.275555555555552</v>
      </c>
      <c r="L33" s="34">
        <f t="shared" si="7"/>
        <v>611.73333333333346</v>
      </c>
      <c r="M33" s="33">
        <f t="shared" si="3"/>
        <v>100</v>
      </c>
      <c r="N33" s="34" t="s">
        <v>2416</v>
      </c>
      <c r="O33" s="32">
        <v>1</v>
      </c>
      <c r="P33" s="2">
        <f t="shared" si="11"/>
        <v>24003</v>
      </c>
      <c r="Q33" s="99" t="str">
        <f t="shared" si="8"/>
        <v>[24003]</v>
      </c>
      <c r="R33" s="99" t="str">
        <f t="shared" si="12"/>
        <v>[1]</v>
      </c>
      <c r="S33" s="1" t="str">
        <f t="shared" si="5"/>
        <v>chest_shard</v>
      </c>
      <c r="V33" s="2" t="s">
        <v>2458</v>
      </c>
      <c r="W33" s="2">
        <f>[1]宝箱设定!$C$9</f>
        <v>200</v>
      </c>
    </row>
    <row r="34" spans="2:23" x14ac:dyDescent="0.3">
      <c r="B34" s="2">
        <f t="shared" si="6"/>
        <v>220</v>
      </c>
      <c r="C34" s="2">
        <f>VLOOKUP(B34,游戏时长规划!$C$29:$G$39,MATCH("联赛等级",游戏时长规划!$C$29:$G$29,0),TRUE)</f>
        <v>3</v>
      </c>
      <c r="D34" s="2">
        <f>IF(B34=VLOOKUP(C34,游戏时长规划!$B$29:$C$39,2,FALSE),C34-1,C34)</f>
        <v>3</v>
      </c>
      <c r="E34" s="2">
        <f>VLOOKUP(D34,游戏时长规划!$B$16:$R$26,MATCH(E$22,游戏时长规划!$B$16:$R$16,0),FALSE)</f>
        <v>300</v>
      </c>
      <c r="F34" s="2">
        <f t="shared" si="10"/>
        <v>20</v>
      </c>
      <c r="G34" s="2">
        <f t="shared" si="2"/>
        <v>5</v>
      </c>
      <c r="H34" s="2">
        <f>F34/VLOOKUP(D34,游戏时长规划!$B$16:$R$26,4,FALSE)/游戏时长规划!$C$5</f>
        <v>14.800000000000002</v>
      </c>
      <c r="I34" s="2">
        <f>SUM(H$23:H34)</f>
        <v>211.86666666666665</v>
      </c>
      <c r="J34" s="34">
        <f>H34/[1]游戏时长规划!$C$4</f>
        <v>1.9733333333333336</v>
      </c>
      <c r="K34" s="34">
        <f>I34/[1]游戏时长规划!$C$4</f>
        <v>28.248888888888885</v>
      </c>
      <c r="L34" s="34">
        <f t="shared" si="7"/>
        <v>305.86666666666673</v>
      </c>
      <c r="M34" s="33">
        <f t="shared" si="3"/>
        <v>600</v>
      </c>
      <c r="N34" s="34" t="s">
        <v>2476</v>
      </c>
      <c r="O34" s="32">
        <v>1</v>
      </c>
      <c r="P34" s="2">
        <f t="shared" si="11"/>
        <v>25153</v>
      </c>
      <c r="Q34" s="99" t="str">
        <f t="shared" si="8"/>
        <v>[25153]</v>
      </c>
      <c r="R34" s="99" t="str">
        <f t="shared" si="12"/>
        <v>[1]</v>
      </c>
      <c r="S34" s="1" t="str">
        <f t="shared" si="5"/>
        <v>chest_lv4_icon</v>
      </c>
      <c r="V34" s="2" t="s">
        <v>2459</v>
      </c>
      <c r="W34" s="2">
        <f>[1]宝箱设定!$C$9</f>
        <v>200</v>
      </c>
    </row>
    <row r="35" spans="2:23" x14ac:dyDescent="0.3">
      <c r="B35" s="2">
        <f t="shared" si="6"/>
        <v>240</v>
      </c>
      <c r="C35" s="2">
        <f>VLOOKUP(B35,游戏时长规划!$C$29:$G$39,MATCH("联赛等级",游戏时长规划!$C$29:$G$29,0),TRUE)</f>
        <v>3</v>
      </c>
      <c r="D35" s="2">
        <f>IF(B35=VLOOKUP(C35,游戏时长规划!$B$29:$C$39,2,FALSE),C35-1,C35)</f>
        <v>3</v>
      </c>
      <c r="E35" s="2">
        <f>VLOOKUP(D35,游戏时长规划!$B$16:$R$26,MATCH(E$22,游戏时长规划!$B$16:$R$16,0),FALSE)</f>
        <v>300</v>
      </c>
      <c r="F35" s="2">
        <f t="shared" si="10"/>
        <v>20</v>
      </c>
      <c r="G35" s="2">
        <f t="shared" si="2"/>
        <v>5</v>
      </c>
      <c r="H35" s="2">
        <f>F35/VLOOKUP(D35,游戏时长规划!$B$16:$R$26,4,FALSE)/游戏时长规划!$C$5</f>
        <v>14.800000000000002</v>
      </c>
      <c r="I35" s="2">
        <f>SUM(H$23:H35)</f>
        <v>226.66666666666666</v>
      </c>
      <c r="J35" s="34">
        <f>H35/[1]游戏时长规划!$C$4</f>
        <v>1.9733333333333336</v>
      </c>
      <c r="K35" s="34">
        <f>I35/[1]游戏时长规划!$C$4</f>
        <v>30.222222222222221</v>
      </c>
      <c r="L35" s="34">
        <f t="shared" si="7"/>
        <v>305.86666666666673</v>
      </c>
      <c r="M35" s="33">
        <f t="shared" si="3"/>
        <v>225</v>
      </c>
      <c r="N35" s="34" t="s">
        <v>519</v>
      </c>
      <c r="O35" s="32">
        <v>300</v>
      </c>
      <c r="P35" s="2">
        <f t="shared" si="11"/>
        <v>111</v>
      </c>
      <c r="Q35" s="99" t="str">
        <f t="shared" si="8"/>
        <v>[111]</v>
      </c>
      <c r="R35" s="99" t="str">
        <f t="shared" si="12"/>
        <v>[300]</v>
      </c>
      <c r="S35" s="1" t="str">
        <f t="shared" si="5"/>
        <v>StoreDoubleKey_1</v>
      </c>
      <c r="V35" s="2" t="s">
        <v>2460</v>
      </c>
      <c r="W35" s="2">
        <f>[1]宝箱设定!$C$9</f>
        <v>200</v>
      </c>
    </row>
    <row r="36" spans="2:23" x14ac:dyDescent="0.3">
      <c r="B36" s="2">
        <f t="shared" si="6"/>
        <v>260</v>
      </c>
      <c r="C36" s="2">
        <f>VLOOKUP(B36,游戏时长规划!$C$29:$G$39,MATCH("联赛等级",游戏时长规划!$C$29:$G$29,0),TRUE)</f>
        <v>3</v>
      </c>
      <c r="D36" s="2">
        <f>IF(B36=VLOOKUP(C36,游戏时长规划!$B$29:$C$39,2,FALSE),C36-1,C36)</f>
        <v>3</v>
      </c>
      <c r="E36" s="2">
        <f>VLOOKUP(D36,游戏时长规划!$B$16:$R$26,MATCH(E$22,游戏时长规划!$B$16:$R$16,0),FALSE)</f>
        <v>300</v>
      </c>
      <c r="F36" s="2">
        <f t="shared" si="10"/>
        <v>20</v>
      </c>
      <c r="G36" s="2">
        <f t="shared" si="2"/>
        <v>5</v>
      </c>
      <c r="H36" s="2">
        <f>F36/VLOOKUP(D36,游戏时长规划!$B$16:$R$26,4,FALSE)/游戏时长规划!$C$5</f>
        <v>14.800000000000002</v>
      </c>
      <c r="I36" s="2">
        <f>SUM(H$23:H36)</f>
        <v>241.46666666666667</v>
      </c>
      <c r="J36" s="34">
        <f>H36/[1]游戏时长规划!$C$4</f>
        <v>1.9733333333333336</v>
      </c>
      <c r="K36" s="34">
        <f>I36/[1]游戏时长规划!$C$4</f>
        <v>32.195555555555558</v>
      </c>
      <c r="L36" s="34">
        <f t="shared" si="7"/>
        <v>305.86666666666673</v>
      </c>
      <c r="M36" s="33">
        <f t="shared" si="3"/>
        <v>100</v>
      </c>
      <c r="N36" s="34" t="s">
        <v>325</v>
      </c>
      <c r="O36" s="32">
        <v>100</v>
      </c>
      <c r="P36" s="2">
        <f t="shared" si="11"/>
        <v>101</v>
      </c>
      <c r="Q36" s="99" t="str">
        <f t="shared" si="8"/>
        <v>[101]</v>
      </c>
      <c r="R36" s="99" t="str">
        <f t="shared" si="12"/>
        <v>[100]</v>
      </c>
      <c r="S36" s="1" t="str">
        <f t="shared" si="5"/>
        <v>StoreDiamond_1</v>
      </c>
      <c r="V36" s="2" t="s">
        <v>2461</v>
      </c>
      <c r="W36" s="2">
        <f>[1]宝箱设定!$C$9</f>
        <v>200</v>
      </c>
    </row>
    <row r="37" spans="2:23" x14ac:dyDescent="0.3">
      <c r="B37" s="2">
        <f t="shared" si="6"/>
        <v>280</v>
      </c>
      <c r="C37" s="2">
        <f>VLOOKUP(B37,游戏时长规划!$C$29:$G$39,MATCH("联赛等级",游戏时长规划!$C$29:$G$29,0),TRUE)</f>
        <v>3</v>
      </c>
      <c r="D37" s="2">
        <f>IF(B37=VLOOKUP(C37,游戏时长规划!$B$29:$C$39,2,FALSE),C37-1,C37)</f>
        <v>3</v>
      </c>
      <c r="E37" s="2">
        <f>VLOOKUP(D37,游戏时长规划!$B$16:$R$26,MATCH(E$22,游戏时长规划!$B$16:$R$16,0),FALSE)</f>
        <v>300</v>
      </c>
      <c r="F37" s="2">
        <f t="shared" si="10"/>
        <v>20</v>
      </c>
      <c r="G37" s="2">
        <f t="shared" si="2"/>
        <v>5</v>
      </c>
      <c r="H37" s="2">
        <f>F37/VLOOKUP(D37,游戏时长规划!$B$16:$R$26,4,FALSE)/游戏时长规划!$C$5</f>
        <v>14.800000000000002</v>
      </c>
      <c r="I37" s="2">
        <f>SUM(H$23:H37)</f>
        <v>256.26666666666665</v>
      </c>
      <c r="J37" s="34">
        <f>H37/[1]游戏时长规划!$C$4</f>
        <v>1.9733333333333336</v>
      </c>
      <c r="K37" s="34">
        <f>I37/[1]游戏时长规划!$C$4</f>
        <v>34.168888888888887</v>
      </c>
      <c r="L37" s="34">
        <f t="shared" si="7"/>
        <v>305.86666666666673</v>
      </c>
      <c r="M37" s="33">
        <f t="shared" si="3"/>
        <v>100</v>
      </c>
      <c r="N37" s="34" t="s">
        <v>525</v>
      </c>
      <c r="O37" s="32">
        <v>1</v>
      </c>
      <c r="P37" s="2">
        <f t="shared" si="11"/>
        <v>23003</v>
      </c>
      <c r="Q37" s="99" t="str">
        <f t="shared" si="8"/>
        <v>[23003]</v>
      </c>
      <c r="R37" s="99" t="str">
        <f t="shared" si="12"/>
        <v>[1]</v>
      </c>
      <c r="S37" s="1" t="str">
        <f t="shared" si="5"/>
        <v>chest_tankpart</v>
      </c>
      <c r="V37" s="2" t="s">
        <v>2462</v>
      </c>
      <c r="W37" s="2">
        <f>[1]宝箱设定!$C$9</f>
        <v>200</v>
      </c>
    </row>
    <row r="38" spans="2:23" x14ac:dyDescent="0.3">
      <c r="B38" s="2">
        <f t="shared" si="6"/>
        <v>350</v>
      </c>
      <c r="C38" s="2">
        <f>VLOOKUP(B38,游戏时长规划!$C$29:$G$39,MATCH("联赛等级",游戏时长规划!$C$29:$G$29,0),TRUE)</f>
        <v>4</v>
      </c>
      <c r="D38" s="2">
        <f>IF(B38=VLOOKUP(C38,游戏时长规划!$B$29:$C$39,2,FALSE),C38-1,C38)</f>
        <v>4</v>
      </c>
      <c r="E38" s="2">
        <f>VLOOKUP(D38,游戏时长规划!$B$16:$R$26,MATCH(E$22,游戏时长规划!$B$16:$R$16,0),FALSE)</f>
        <v>600</v>
      </c>
      <c r="F38" s="2">
        <f t="shared" si="10"/>
        <v>70</v>
      </c>
      <c r="G38" s="2">
        <f t="shared" si="2"/>
        <v>5</v>
      </c>
      <c r="H38" s="2">
        <f>F38/VLOOKUP(D38,游戏时长规划!$B$16:$R$26,4,FALSE)/游戏时长规划!$C$5</f>
        <v>16.333333333333332</v>
      </c>
      <c r="I38" s="2">
        <f>SUM(H$23:H38)</f>
        <v>272.59999999999997</v>
      </c>
      <c r="J38" s="34">
        <f>H38/[1]游戏时长规划!$C$4</f>
        <v>2.1777777777777776</v>
      </c>
      <c r="K38" s="34">
        <f>I38/[1]游戏时长规划!$C$4</f>
        <v>36.346666666666664</v>
      </c>
      <c r="L38" s="34">
        <f t="shared" si="7"/>
        <v>337.55555555555554</v>
      </c>
      <c r="M38" s="33">
        <f t="shared" si="3"/>
        <v>100</v>
      </c>
      <c r="N38" s="34" t="s">
        <v>529</v>
      </c>
      <c r="O38" s="32">
        <v>1</v>
      </c>
      <c r="P38" s="2">
        <f t="shared" si="11"/>
        <v>24004</v>
      </c>
      <c r="Q38" s="99" t="str">
        <f t="shared" si="8"/>
        <v>[24004]</v>
      </c>
      <c r="R38" s="99" t="str">
        <f t="shared" si="12"/>
        <v>[1]</v>
      </c>
      <c r="S38" s="1" t="str">
        <f t="shared" si="5"/>
        <v>chest_shard</v>
      </c>
      <c r="V38" s="2" t="s">
        <v>2463</v>
      </c>
      <c r="W38" s="2">
        <f>[1]宝箱设定!$C$9</f>
        <v>200</v>
      </c>
    </row>
    <row r="39" spans="2:23" x14ac:dyDescent="0.3">
      <c r="B39" s="2">
        <f t="shared" si="6"/>
        <v>400</v>
      </c>
      <c r="C39" s="2">
        <f>VLOOKUP(B39,游戏时长规划!$C$29:$G$39,MATCH("联赛等级",游戏时长规划!$C$29:$G$29,0),TRUE)</f>
        <v>4</v>
      </c>
      <c r="D39" s="2">
        <f>IF(B39=VLOOKUP(C39,游戏时长规划!$B$29:$C$39,2,FALSE),C39-1,C39)</f>
        <v>4</v>
      </c>
      <c r="E39" s="2">
        <f>VLOOKUP(D39,游戏时长规划!$B$16:$R$26,MATCH(E$22,游戏时长规划!$B$16:$R$16,0),FALSE)</f>
        <v>600</v>
      </c>
      <c r="F39" s="2">
        <f t="shared" si="10"/>
        <v>50</v>
      </c>
      <c r="G39" s="2">
        <f t="shared" si="2"/>
        <v>5</v>
      </c>
      <c r="H39" s="2">
        <f>F39/VLOOKUP(D39,游戏时长规划!$B$16:$R$26,4,FALSE)/游戏时长规划!$C$5</f>
        <v>11.666666666666668</v>
      </c>
      <c r="I39" s="2">
        <f>SUM(H$23:H39)</f>
        <v>284.26666666666665</v>
      </c>
      <c r="J39" s="34">
        <f>H39/[1]游戏时长规划!$C$4</f>
        <v>1.5555555555555558</v>
      </c>
      <c r="K39" s="34">
        <f>I39/[1]游戏时长规划!$C$4</f>
        <v>37.902222222222221</v>
      </c>
      <c r="L39" s="34">
        <f t="shared" si="7"/>
        <v>241.11111111111114</v>
      </c>
      <c r="M39" s="33">
        <f t="shared" si="3"/>
        <v>600</v>
      </c>
      <c r="N39" s="34" t="s">
        <v>2478</v>
      </c>
      <c r="O39" s="32">
        <v>1</v>
      </c>
      <c r="P39" s="2">
        <f t="shared" si="11"/>
        <v>25154</v>
      </c>
      <c r="Q39" s="99" t="str">
        <f t="shared" si="8"/>
        <v>[25154]</v>
      </c>
      <c r="R39" s="99" t="str">
        <f t="shared" si="12"/>
        <v>[1]</v>
      </c>
      <c r="S39" s="1" t="str">
        <f t="shared" si="5"/>
        <v>chest_lv4_icon</v>
      </c>
      <c r="V39" s="2" t="s">
        <v>2398</v>
      </c>
      <c r="W39" s="2">
        <f>[1]宝箱设定!$C$12</f>
        <v>100</v>
      </c>
    </row>
    <row r="40" spans="2:23" x14ac:dyDescent="0.3">
      <c r="B40" s="2">
        <f t="shared" si="6"/>
        <v>450</v>
      </c>
      <c r="C40" s="2">
        <f>VLOOKUP(B40,游戏时长规划!$C$29:$G$39,MATCH("联赛等级",游戏时长规划!$C$29:$G$29,0),TRUE)</f>
        <v>4</v>
      </c>
      <c r="D40" s="2">
        <f>IF(B40=VLOOKUP(C40,游戏时长规划!$B$29:$C$39,2,FALSE),C40-1,C40)</f>
        <v>4</v>
      </c>
      <c r="E40" s="2">
        <f>VLOOKUP(D40,游戏时长规划!$B$16:$R$26,MATCH(E$22,游戏时长规划!$B$16:$R$16,0),FALSE)</f>
        <v>600</v>
      </c>
      <c r="F40" s="2">
        <f t="shared" si="10"/>
        <v>50</v>
      </c>
      <c r="G40" s="2">
        <f t="shared" si="2"/>
        <v>5</v>
      </c>
      <c r="H40" s="2">
        <f>F40/VLOOKUP(D40,游戏时长规划!$B$16:$R$26,4,FALSE)/游戏时长规划!$C$5</f>
        <v>11.666666666666668</v>
      </c>
      <c r="I40" s="2">
        <f>SUM(H$23:H40)</f>
        <v>295.93333333333334</v>
      </c>
      <c r="J40" s="34">
        <f>H40/[1]游戏时长规划!$C$4</f>
        <v>1.5555555555555558</v>
      </c>
      <c r="K40" s="34">
        <f>I40/[1]游戏时长规划!$C$4</f>
        <v>39.457777777777778</v>
      </c>
      <c r="L40" s="34">
        <f t="shared" si="7"/>
        <v>241.11111111111114</v>
      </c>
      <c r="M40" s="33">
        <f t="shared" si="3"/>
        <v>262.5</v>
      </c>
      <c r="N40" s="34" t="s">
        <v>519</v>
      </c>
      <c r="O40" s="32">
        <v>350</v>
      </c>
      <c r="P40" s="2">
        <f t="shared" si="11"/>
        <v>111</v>
      </c>
      <c r="Q40" s="99" t="str">
        <f t="shared" si="8"/>
        <v>[111]</v>
      </c>
      <c r="R40" s="99" t="str">
        <f t="shared" si="12"/>
        <v>[350]</v>
      </c>
      <c r="S40" s="1" t="str">
        <f t="shared" si="5"/>
        <v>StoreDoubleKey_1</v>
      </c>
      <c r="V40" s="2" t="s">
        <v>523</v>
      </c>
      <c r="W40" s="2">
        <f>[1]宝箱设定!$C$12</f>
        <v>100</v>
      </c>
    </row>
    <row r="41" spans="2:23" x14ac:dyDescent="0.3">
      <c r="B41" s="2">
        <f t="shared" si="6"/>
        <v>500</v>
      </c>
      <c r="C41" s="2">
        <f>VLOOKUP(B41,游戏时长规划!$C$29:$G$39,MATCH("联赛等级",游戏时长规划!$C$29:$G$29,0),TRUE)</f>
        <v>4</v>
      </c>
      <c r="D41" s="2">
        <f>IF(B41=VLOOKUP(C41,游戏时长规划!$B$29:$C$39,2,FALSE),C41-1,C41)</f>
        <v>4</v>
      </c>
      <c r="E41" s="2">
        <f>VLOOKUP(D41,游戏时长规划!$B$16:$R$26,MATCH(E$22,游戏时长规划!$B$16:$R$16,0),FALSE)</f>
        <v>600</v>
      </c>
      <c r="F41" s="2">
        <f t="shared" si="10"/>
        <v>50</v>
      </c>
      <c r="G41" s="2">
        <f t="shared" si="2"/>
        <v>5</v>
      </c>
      <c r="H41" s="2">
        <f>F41/VLOOKUP(D41,游戏时长规划!$B$16:$R$26,4,FALSE)/游戏时长规划!$C$5</f>
        <v>11.666666666666668</v>
      </c>
      <c r="I41" s="2">
        <f>SUM(H$23:H41)</f>
        <v>307.60000000000002</v>
      </c>
      <c r="J41" s="34">
        <f>H41/[1]游戏时长规划!$C$4</f>
        <v>1.5555555555555558</v>
      </c>
      <c r="K41" s="34">
        <f>I41/[1]游戏时长规划!$C$4</f>
        <v>41.013333333333335</v>
      </c>
      <c r="L41" s="34">
        <f t="shared" si="7"/>
        <v>241.11111111111114</v>
      </c>
      <c r="M41" s="33">
        <f t="shared" si="3"/>
        <v>100</v>
      </c>
      <c r="N41" s="34" t="s">
        <v>325</v>
      </c>
      <c r="O41" s="32">
        <v>100</v>
      </c>
      <c r="P41" s="2">
        <f t="shared" si="11"/>
        <v>101</v>
      </c>
      <c r="Q41" s="99" t="str">
        <f t="shared" si="8"/>
        <v>[101]</v>
      </c>
      <c r="R41" s="99" t="str">
        <f t="shared" si="12"/>
        <v>[100]</v>
      </c>
      <c r="S41" s="1" t="str">
        <f t="shared" si="5"/>
        <v>StoreDiamond_1</v>
      </c>
      <c r="V41" s="2" t="s">
        <v>525</v>
      </c>
      <c r="W41" s="2">
        <f>[1]宝箱设定!$C$12</f>
        <v>100</v>
      </c>
    </row>
    <row r="42" spans="2:23" x14ac:dyDescent="0.3">
      <c r="B42" s="2">
        <f t="shared" si="6"/>
        <v>550</v>
      </c>
      <c r="C42" s="2">
        <f>VLOOKUP(B42,游戏时长规划!$C$29:$G$39,MATCH("联赛等级",游戏时长规划!$C$29:$G$29,0),TRUE)</f>
        <v>4</v>
      </c>
      <c r="D42" s="2">
        <f>IF(B42=VLOOKUP(C42,游戏时长规划!$B$29:$C$39,2,FALSE),C42-1,C42)</f>
        <v>4</v>
      </c>
      <c r="E42" s="2">
        <f>VLOOKUP(D42,游戏时长规划!$B$16:$R$26,MATCH(E$22,游戏时长规划!$B$16:$R$16,0),FALSE)</f>
        <v>600</v>
      </c>
      <c r="F42" s="2">
        <f t="shared" si="10"/>
        <v>50</v>
      </c>
      <c r="G42" s="2">
        <f t="shared" si="2"/>
        <v>5</v>
      </c>
      <c r="H42" s="2">
        <f>F42/VLOOKUP(D42,游戏时长规划!$B$16:$R$26,4,FALSE)/游戏时长规划!$C$5</f>
        <v>11.666666666666668</v>
      </c>
      <c r="I42" s="2">
        <f>SUM(H$23:H42)</f>
        <v>319.26666666666671</v>
      </c>
      <c r="J42" s="34">
        <f>H42/[1]游戏时长规划!$C$4</f>
        <v>1.5555555555555558</v>
      </c>
      <c r="K42" s="34">
        <f>I42/[1]游戏时长规划!$C$4</f>
        <v>42.568888888888893</v>
      </c>
      <c r="L42" s="34">
        <f t="shared" si="7"/>
        <v>241.11111111111114</v>
      </c>
      <c r="M42" s="33">
        <f t="shared" si="3"/>
        <v>100</v>
      </c>
      <c r="N42" s="34" t="s">
        <v>2402</v>
      </c>
      <c r="O42" s="32">
        <v>1</v>
      </c>
      <c r="P42" s="2">
        <f t="shared" si="11"/>
        <v>23004</v>
      </c>
      <c r="Q42" s="99" t="str">
        <f t="shared" si="8"/>
        <v>[23004]</v>
      </c>
      <c r="R42" s="99" t="str">
        <f t="shared" si="12"/>
        <v>[1]</v>
      </c>
      <c r="S42" s="1" t="str">
        <f t="shared" si="5"/>
        <v>chest_tankpart</v>
      </c>
      <c r="V42" s="2" t="s">
        <v>2402</v>
      </c>
      <c r="W42" s="2">
        <f>[1]宝箱设定!$C$12</f>
        <v>100</v>
      </c>
    </row>
    <row r="43" spans="2:23" x14ac:dyDescent="0.3">
      <c r="B43" s="2">
        <f t="shared" si="6"/>
        <v>650</v>
      </c>
      <c r="C43" s="2">
        <f>VLOOKUP(B43,游戏时长规划!$C$29:$G$39,MATCH("联赛等级",游戏时长规划!$C$29:$G$29,0),TRUE)</f>
        <v>5</v>
      </c>
      <c r="D43" s="2">
        <f>IF(B43=VLOOKUP(C43,游戏时长规划!$B$29:$C$39,2,FALSE),C43-1,C43)</f>
        <v>5</v>
      </c>
      <c r="E43" s="2">
        <f>VLOOKUP(D43,游戏时长规划!$B$16:$R$26,MATCH(E$22,游戏时长规划!$B$16:$R$16,0),FALSE)</f>
        <v>900</v>
      </c>
      <c r="F43" s="2">
        <f t="shared" si="10"/>
        <v>100</v>
      </c>
      <c r="G43" s="2">
        <f t="shared" si="2"/>
        <v>5</v>
      </c>
      <c r="H43" s="2">
        <f>F43/VLOOKUP(D43,游戏时长规划!$B$16:$R$26,4,FALSE)/游戏时长规划!$C$5</f>
        <v>16.666666666666668</v>
      </c>
      <c r="I43" s="2">
        <f>SUM(H$23:H43)</f>
        <v>335.93333333333339</v>
      </c>
      <c r="J43" s="34">
        <f>H43/[1]游戏时长规划!$C$4</f>
        <v>2.2222222222222223</v>
      </c>
      <c r="K43" s="34">
        <f>I43/[1]游戏时长规划!$C$4</f>
        <v>44.791111111111121</v>
      </c>
      <c r="L43" s="34">
        <f t="shared" si="7"/>
        <v>344.44444444444446</v>
      </c>
      <c r="M43" s="33">
        <f t="shared" si="3"/>
        <v>100</v>
      </c>
      <c r="N43" s="34" t="s">
        <v>2417</v>
      </c>
      <c r="O43" s="32">
        <v>1</v>
      </c>
      <c r="P43" s="2">
        <f t="shared" si="11"/>
        <v>24005</v>
      </c>
      <c r="Q43" s="99" t="str">
        <f t="shared" si="8"/>
        <v>[24005]</v>
      </c>
      <c r="R43" s="99" t="str">
        <f t="shared" si="12"/>
        <v>[1]</v>
      </c>
      <c r="S43" s="1" t="str">
        <f t="shared" si="5"/>
        <v>chest_shard</v>
      </c>
      <c r="V43" s="2" t="s">
        <v>533</v>
      </c>
      <c r="W43" s="2">
        <f>[1]宝箱设定!$C$12</f>
        <v>100</v>
      </c>
    </row>
    <row r="44" spans="2:23" x14ac:dyDescent="0.3">
      <c r="B44" s="2">
        <f t="shared" si="6"/>
        <v>700</v>
      </c>
      <c r="C44" s="2">
        <f>VLOOKUP(B44,游戏时长规划!$C$29:$G$39,MATCH("联赛等级",游戏时长规划!$C$29:$G$29,0),TRUE)</f>
        <v>5</v>
      </c>
      <c r="D44" s="2">
        <f>IF(B44=VLOOKUP(C44,游戏时长规划!$B$29:$C$39,2,FALSE),C44-1,C44)</f>
        <v>5</v>
      </c>
      <c r="E44" s="2">
        <f>VLOOKUP(D44,游戏时长规划!$B$16:$R$26,MATCH(E$22,游戏时长规划!$B$16:$R$16,0),FALSE)</f>
        <v>900</v>
      </c>
      <c r="F44" s="2">
        <f t="shared" si="10"/>
        <v>50</v>
      </c>
      <c r="G44" s="2">
        <f t="shared" si="2"/>
        <v>5</v>
      </c>
      <c r="H44" s="2">
        <f>F44/VLOOKUP(D44,游戏时长规划!$B$16:$R$26,4,FALSE)/游戏时长规划!$C$5</f>
        <v>8.3333333333333339</v>
      </c>
      <c r="I44" s="2">
        <f>SUM(H$23:H44)</f>
        <v>344.26666666666671</v>
      </c>
      <c r="J44" s="34">
        <f>H44/[1]游戏时长规划!$C$4</f>
        <v>1.1111111111111112</v>
      </c>
      <c r="K44" s="34">
        <f>I44/[1]游戏时长规划!$C$4</f>
        <v>45.902222222222228</v>
      </c>
      <c r="L44" s="34">
        <f t="shared" si="7"/>
        <v>172.22222222222223</v>
      </c>
      <c r="M44" s="33">
        <f t="shared" si="3"/>
        <v>600</v>
      </c>
      <c r="N44" s="34" t="s">
        <v>2479</v>
      </c>
      <c r="O44" s="32">
        <v>1</v>
      </c>
      <c r="P44" s="2">
        <f t="shared" si="11"/>
        <v>25155</v>
      </c>
      <c r="Q44" s="99" t="str">
        <f t="shared" si="8"/>
        <v>[25155]</v>
      </c>
      <c r="R44" s="99" t="str">
        <f t="shared" si="12"/>
        <v>[1]</v>
      </c>
      <c r="S44" s="1" t="str">
        <f t="shared" si="5"/>
        <v>chest_lv4_icon</v>
      </c>
      <c r="V44" s="2" t="s">
        <v>541</v>
      </c>
      <c r="W44" s="2">
        <f>[1]宝箱设定!$C$12</f>
        <v>100</v>
      </c>
    </row>
    <row r="45" spans="2:23" x14ac:dyDescent="0.3">
      <c r="B45" s="2">
        <f t="shared" si="6"/>
        <v>750</v>
      </c>
      <c r="C45" s="2">
        <f>VLOOKUP(B45,游戏时长规划!$C$29:$G$39,MATCH("联赛等级",游戏时长规划!$C$29:$G$29,0),TRUE)</f>
        <v>5</v>
      </c>
      <c r="D45" s="2">
        <f>IF(B45=VLOOKUP(C45,游戏时长规划!$B$29:$C$39,2,FALSE),C45-1,C45)</f>
        <v>5</v>
      </c>
      <c r="E45" s="2">
        <f>VLOOKUP(D45,游戏时长规划!$B$16:$R$26,MATCH(E$22,游戏时长规划!$B$16:$R$16,0),FALSE)</f>
        <v>900</v>
      </c>
      <c r="F45" s="2">
        <f t="shared" si="10"/>
        <v>50</v>
      </c>
      <c r="G45" s="2">
        <f t="shared" si="2"/>
        <v>5</v>
      </c>
      <c r="H45" s="2">
        <f>F45/VLOOKUP(D45,游戏时长规划!$B$16:$R$26,4,FALSE)/游戏时长规划!$C$5</f>
        <v>8.3333333333333339</v>
      </c>
      <c r="I45" s="2">
        <f>SUM(H$23:H45)</f>
        <v>352.6</v>
      </c>
      <c r="J45" s="34">
        <f>H45/[1]游戏时长规划!$C$4</f>
        <v>1.1111111111111112</v>
      </c>
      <c r="K45" s="34">
        <f>I45/[1]游戏时长规划!$C$4</f>
        <v>47.013333333333335</v>
      </c>
      <c r="L45" s="34">
        <f t="shared" si="7"/>
        <v>172.22222222222223</v>
      </c>
      <c r="M45" s="33">
        <f t="shared" si="3"/>
        <v>300</v>
      </c>
      <c r="N45" s="34" t="s">
        <v>519</v>
      </c>
      <c r="O45" s="32">
        <v>400</v>
      </c>
      <c r="P45" s="2">
        <f t="shared" si="11"/>
        <v>111</v>
      </c>
      <c r="Q45" s="99" t="str">
        <f t="shared" si="8"/>
        <v>[111]</v>
      </c>
      <c r="R45" s="99" t="str">
        <f t="shared" si="12"/>
        <v>[400]</v>
      </c>
      <c r="S45" s="1" t="str">
        <f t="shared" si="5"/>
        <v>StoreDoubleKey_1</v>
      </c>
      <c r="V45" s="2" t="s">
        <v>2406</v>
      </c>
      <c r="W45" s="2">
        <f>[1]宝箱设定!$C$12</f>
        <v>100</v>
      </c>
    </row>
    <row r="46" spans="2:23" x14ac:dyDescent="0.3">
      <c r="B46" s="2">
        <f t="shared" si="6"/>
        <v>800</v>
      </c>
      <c r="C46" s="2">
        <f>VLOOKUP(B46,游戏时长规划!$C$29:$G$39,MATCH("联赛等级",游戏时长规划!$C$29:$G$29,0),TRUE)</f>
        <v>5</v>
      </c>
      <c r="D46" s="2">
        <f>IF(B46=VLOOKUP(C46,游戏时长规划!$B$29:$C$39,2,FALSE),C46-1,C46)</f>
        <v>5</v>
      </c>
      <c r="E46" s="2">
        <f>VLOOKUP(D46,游戏时长规划!$B$16:$R$26,MATCH(E$22,游戏时长规划!$B$16:$R$16,0),FALSE)</f>
        <v>900</v>
      </c>
      <c r="F46" s="2">
        <f t="shared" si="10"/>
        <v>50</v>
      </c>
      <c r="G46" s="2">
        <f t="shared" si="2"/>
        <v>5</v>
      </c>
      <c r="H46" s="2">
        <f>F46/VLOOKUP(D46,游戏时长规划!$B$16:$R$26,4,FALSE)/游戏时长规划!$C$5</f>
        <v>8.3333333333333339</v>
      </c>
      <c r="I46" s="2">
        <f>SUM(H$23:H46)</f>
        <v>360.93333333333334</v>
      </c>
      <c r="J46" s="34">
        <f>H46/[1]游戏时长规划!$C$4</f>
        <v>1.1111111111111112</v>
      </c>
      <c r="K46" s="34">
        <f>I46/[1]游戏时长规划!$C$4</f>
        <v>48.124444444444443</v>
      </c>
      <c r="L46" s="34">
        <f t="shared" si="7"/>
        <v>172.22222222222223</v>
      </c>
      <c r="M46" s="33">
        <f t="shared" si="3"/>
        <v>200</v>
      </c>
      <c r="N46" s="34" t="s">
        <v>325</v>
      </c>
      <c r="O46" s="32">
        <v>200</v>
      </c>
      <c r="P46" s="2">
        <f t="shared" si="11"/>
        <v>101</v>
      </c>
      <c r="Q46" s="99" t="str">
        <f t="shared" si="8"/>
        <v>[101]</v>
      </c>
      <c r="R46" s="99" t="str">
        <f t="shared" si="12"/>
        <v>[200]</v>
      </c>
      <c r="S46" s="1" t="str">
        <f t="shared" si="5"/>
        <v>StoreDiamond_1</v>
      </c>
      <c r="V46" s="2" t="s">
        <v>2408</v>
      </c>
      <c r="W46" s="2">
        <f>[1]宝箱设定!$C$12</f>
        <v>100</v>
      </c>
    </row>
    <row r="47" spans="2:23" x14ac:dyDescent="0.3">
      <c r="B47" s="2">
        <f t="shared" si="6"/>
        <v>850</v>
      </c>
      <c r="C47" s="2">
        <f>VLOOKUP(B47,游戏时长规划!$C$29:$G$39,MATCH("联赛等级",游戏时长规划!$C$29:$G$29,0),TRUE)</f>
        <v>5</v>
      </c>
      <c r="D47" s="2">
        <f>IF(B47=VLOOKUP(C47,游戏时长规划!$B$29:$C$39,2,FALSE),C47-1,C47)</f>
        <v>5</v>
      </c>
      <c r="E47" s="2">
        <f>VLOOKUP(D47,游戏时长规划!$B$16:$R$26,MATCH(E$22,游戏时长规划!$B$16:$R$16,0),FALSE)</f>
        <v>900</v>
      </c>
      <c r="F47" s="2">
        <f t="shared" si="10"/>
        <v>50</v>
      </c>
      <c r="G47" s="2">
        <f t="shared" si="2"/>
        <v>5</v>
      </c>
      <c r="H47" s="2">
        <f>F47/VLOOKUP(D47,游戏时长规划!$B$16:$R$26,4,FALSE)/游戏时长规划!$C$5</f>
        <v>8.3333333333333339</v>
      </c>
      <c r="I47" s="2">
        <f>SUM(H$23:H47)</f>
        <v>369.26666666666665</v>
      </c>
      <c r="J47" s="34">
        <f>H47/[1]游戏时长规划!$C$4</f>
        <v>1.1111111111111112</v>
      </c>
      <c r="K47" s="34">
        <f>I47/[1]游戏时长规划!$C$4</f>
        <v>49.235555555555557</v>
      </c>
      <c r="L47" s="34">
        <f t="shared" si="7"/>
        <v>172.22222222222223</v>
      </c>
      <c r="M47" s="33">
        <f t="shared" si="3"/>
        <v>100</v>
      </c>
      <c r="N47" s="34" t="s">
        <v>533</v>
      </c>
      <c r="O47" s="32">
        <v>1</v>
      </c>
      <c r="P47" s="2">
        <f t="shared" si="11"/>
        <v>23005</v>
      </c>
      <c r="Q47" s="99" t="str">
        <f t="shared" si="8"/>
        <v>[23005]</v>
      </c>
      <c r="R47" s="99" t="str">
        <f t="shared" si="12"/>
        <v>[1]</v>
      </c>
      <c r="S47" s="1" t="str">
        <f t="shared" si="5"/>
        <v>chest_tankpart</v>
      </c>
      <c r="V47" s="2" t="s">
        <v>2410</v>
      </c>
      <c r="W47" s="2">
        <f>[1]宝箱设定!$C$12</f>
        <v>100</v>
      </c>
    </row>
    <row r="48" spans="2:23" x14ac:dyDescent="0.3">
      <c r="B48" s="2">
        <f t="shared" si="6"/>
        <v>950</v>
      </c>
      <c r="C48" s="2">
        <f>VLOOKUP(B48,游戏时长规划!$C$29:$G$39,MATCH("联赛等级",游戏时长规划!$C$29:$G$29,0),TRUE)</f>
        <v>6</v>
      </c>
      <c r="D48" s="2">
        <f>IF(B48=VLOOKUP(C48,游戏时长规划!$B$29:$C$39,2,FALSE),C48-1,C48)</f>
        <v>6</v>
      </c>
      <c r="E48" s="2">
        <f>VLOOKUP(D48,游戏时长规划!$B$16:$R$26,MATCH(E$22,游戏时长规划!$B$16:$R$16,0),FALSE)</f>
        <v>1200</v>
      </c>
      <c r="F48" s="2">
        <f t="shared" si="10"/>
        <v>100</v>
      </c>
      <c r="G48" s="2">
        <f t="shared" si="2"/>
        <v>5</v>
      </c>
      <c r="H48" s="2">
        <f>F48/VLOOKUP(D48,游戏时长规划!$B$16:$R$26,4,FALSE)/游戏时长规划!$C$5</f>
        <v>20</v>
      </c>
      <c r="I48" s="2">
        <f>SUM(H$23:H48)</f>
        <v>389.26666666666665</v>
      </c>
      <c r="J48" s="34">
        <f>H48/[1]游戏时长规划!$C$4</f>
        <v>2.6666666666666665</v>
      </c>
      <c r="K48" s="34">
        <f>I48/[1]游戏时长规划!$C$4</f>
        <v>51.902222222222221</v>
      </c>
      <c r="L48" s="34">
        <f t="shared" si="7"/>
        <v>413.33333333333331</v>
      </c>
      <c r="M48" s="33">
        <f t="shared" si="3"/>
        <v>100</v>
      </c>
      <c r="N48" s="34" t="s">
        <v>537</v>
      </c>
      <c r="O48" s="32">
        <v>1</v>
      </c>
      <c r="P48" s="2">
        <f t="shared" si="11"/>
        <v>24006</v>
      </c>
      <c r="Q48" s="99" t="str">
        <f t="shared" si="8"/>
        <v>[24006]</v>
      </c>
      <c r="R48" s="99" t="str">
        <f t="shared" si="12"/>
        <v>[1]</v>
      </c>
      <c r="S48" s="1" t="str">
        <f t="shared" si="5"/>
        <v>chest_shard</v>
      </c>
      <c r="V48" s="2" t="s">
        <v>2412</v>
      </c>
      <c r="W48" s="2">
        <f>[1]宝箱设定!$C$12</f>
        <v>100</v>
      </c>
    </row>
    <row r="49" spans="2:23" x14ac:dyDescent="0.3">
      <c r="B49" s="2">
        <f t="shared" si="6"/>
        <v>1000</v>
      </c>
      <c r="C49" s="2">
        <f>VLOOKUP(B49,游戏时长规划!$C$29:$G$39,MATCH("联赛等级",游戏时长规划!$C$29:$G$29,0),TRUE)</f>
        <v>6</v>
      </c>
      <c r="D49" s="2">
        <f>IF(B49=VLOOKUP(C49,游戏时长规划!$B$29:$C$39,2,FALSE),C49-1,C49)</f>
        <v>6</v>
      </c>
      <c r="E49" s="2">
        <f>VLOOKUP(D49,游戏时长规划!$B$16:$R$26,MATCH(E$22,游戏时长规划!$B$16:$R$16,0),FALSE)</f>
        <v>1200</v>
      </c>
      <c r="F49" s="2">
        <f t="shared" si="10"/>
        <v>50</v>
      </c>
      <c r="G49" s="2">
        <f t="shared" si="2"/>
        <v>5</v>
      </c>
      <c r="H49" s="2">
        <f>F49/VLOOKUP(D49,游戏时长规划!$B$16:$R$26,4,FALSE)/游戏时长规划!$C$5</f>
        <v>10</v>
      </c>
      <c r="I49" s="2">
        <f>SUM(H$23:H49)</f>
        <v>399.26666666666665</v>
      </c>
      <c r="J49" s="34">
        <f>H49/[1]游戏时长规划!$C$4</f>
        <v>1.3333333333333333</v>
      </c>
      <c r="K49" s="34">
        <f>I49/[1]游戏时长规划!$C$4</f>
        <v>53.235555555555557</v>
      </c>
      <c r="L49" s="34">
        <f t="shared" si="7"/>
        <v>206.66666666666666</v>
      </c>
      <c r="M49" s="33">
        <f t="shared" si="3"/>
        <v>600</v>
      </c>
      <c r="N49" s="34" t="s">
        <v>2480</v>
      </c>
      <c r="O49" s="32">
        <v>1</v>
      </c>
      <c r="P49" s="2">
        <f t="shared" si="11"/>
        <v>25156</v>
      </c>
      <c r="Q49" s="99" t="str">
        <f t="shared" si="8"/>
        <v>[25156]</v>
      </c>
      <c r="R49" s="99" t="str">
        <f t="shared" si="12"/>
        <v>[1]</v>
      </c>
      <c r="S49" s="1" t="str">
        <f t="shared" si="5"/>
        <v>chest_lv4_icon</v>
      </c>
      <c r="V49" s="2" t="s">
        <v>2475</v>
      </c>
      <c r="W49" s="2">
        <f>[1]宝箱设定!$C$10</f>
        <v>600</v>
      </c>
    </row>
    <row r="50" spans="2:23" x14ac:dyDescent="0.3">
      <c r="B50" s="2">
        <f t="shared" si="6"/>
        <v>1050</v>
      </c>
      <c r="C50" s="2">
        <f>VLOOKUP(B50,游戏时长规划!$C$29:$G$39,MATCH("联赛等级",游戏时长规划!$C$29:$G$29,0),TRUE)</f>
        <v>6</v>
      </c>
      <c r="D50" s="2">
        <f>IF(B50=VLOOKUP(C50,游戏时长规划!$B$29:$C$39,2,FALSE),C50-1,C50)</f>
        <v>6</v>
      </c>
      <c r="E50" s="2">
        <f>VLOOKUP(D50,游戏时长规划!$B$16:$R$26,MATCH(E$22,游戏时长规划!$B$16:$R$16,0),FALSE)</f>
        <v>1200</v>
      </c>
      <c r="F50" s="2">
        <f t="shared" si="10"/>
        <v>50</v>
      </c>
      <c r="G50" s="2">
        <f t="shared" si="2"/>
        <v>5</v>
      </c>
      <c r="H50" s="2">
        <f>F50/VLOOKUP(D50,游戏时长规划!$B$16:$R$26,4,FALSE)/游戏时长规划!$C$5</f>
        <v>10</v>
      </c>
      <c r="I50" s="2">
        <f>SUM(H$23:H50)</f>
        <v>409.26666666666665</v>
      </c>
      <c r="J50" s="34">
        <f>H50/[1]游戏时长规划!$C$4</f>
        <v>1.3333333333333333</v>
      </c>
      <c r="K50" s="34">
        <f>I50/[1]游戏时长规划!$C$4</f>
        <v>54.568888888888885</v>
      </c>
      <c r="L50" s="34">
        <f t="shared" si="7"/>
        <v>206.66666666666666</v>
      </c>
      <c r="M50" s="33">
        <f t="shared" si="3"/>
        <v>375</v>
      </c>
      <c r="N50" s="34" t="s">
        <v>519</v>
      </c>
      <c r="O50" s="32">
        <v>500</v>
      </c>
      <c r="P50" s="2">
        <f t="shared" si="11"/>
        <v>111</v>
      </c>
      <c r="Q50" s="99" t="str">
        <f t="shared" si="8"/>
        <v>[111]</v>
      </c>
      <c r="R50" s="99" t="str">
        <f t="shared" si="12"/>
        <v>[500]</v>
      </c>
      <c r="S50" s="1" t="str">
        <f t="shared" si="5"/>
        <v>StoreDoubleKey_1</v>
      </c>
      <c r="V50" s="2" t="s">
        <v>522</v>
      </c>
      <c r="W50" s="2">
        <f>[1]宝箱设定!$C$10</f>
        <v>600</v>
      </c>
    </row>
    <row r="51" spans="2:23" x14ac:dyDescent="0.3">
      <c r="B51" s="2">
        <f t="shared" si="6"/>
        <v>1100</v>
      </c>
      <c r="C51" s="2">
        <f>VLOOKUP(B51,游戏时长规划!$C$29:$G$39,MATCH("联赛等级",游戏时长规划!$C$29:$G$29,0),TRUE)</f>
        <v>6</v>
      </c>
      <c r="D51" s="2">
        <f>IF(B51=VLOOKUP(C51,游戏时长规划!$B$29:$C$39,2,FALSE),C51-1,C51)</f>
        <v>6</v>
      </c>
      <c r="E51" s="2">
        <f>VLOOKUP(D51,游戏时长规划!$B$16:$R$26,MATCH(E$22,游戏时长规划!$B$16:$R$16,0),FALSE)</f>
        <v>1200</v>
      </c>
      <c r="F51" s="2">
        <f t="shared" si="10"/>
        <v>50</v>
      </c>
      <c r="G51" s="2">
        <f t="shared" si="2"/>
        <v>5</v>
      </c>
      <c r="H51" s="2">
        <f>F51/VLOOKUP(D51,游戏时长规划!$B$16:$R$26,4,FALSE)/游戏时长规划!$C$5</f>
        <v>10</v>
      </c>
      <c r="I51" s="2">
        <f>SUM(H$23:H51)</f>
        <v>419.26666666666665</v>
      </c>
      <c r="J51" s="34">
        <f>H51/[1]游戏时长规划!$C$4</f>
        <v>1.3333333333333333</v>
      </c>
      <c r="K51" s="34">
        <f>I51/[1]游戏时长规划!$C$4</f>
        <v>55.902222222222221</v>
      </c>
      <c r="L51" s="34">
        <f t="shared" si="7"/>
        <v>206.66666666666666</v>
      </c>
      <c r="M51" s="33">
        <f t="shared" si="3"/>
        <v>200</v>
      </c>
      <c r="N51" s="34" t="s">
        <v>325</v>
      </c>
      <c r="O51" s="32">
        <v>200</v>
      </c>
      <c r="P51" s="2">
        <f t="shared" si="11"/>
        <v>101</v>
      </c>
      <c r="Q51" s="99" t="str">
        <f t="shared" si="8"/>
        <v>[101]</v>
      </c>
      <c r="R51" s="99" t="str">
        <f t="shared" si="12"/>
        <v>[200]</v>
      </c>
      <c r="S51" s="1" t="str">
        <f t="shared" si="5"/>
        <v>StoreDiamond_1</v>
      </c>
      <c r="V51" s="2" t="s">
        <v>2476</v>
      </c>
      <c r="W51" s="2">
        <f>[1]宝箱设定!$C$10</f>
        <v>600</v>
      </c>
    </row>
    <row r="52" spans="2:23" x14ac:dyDescent="0.3">
      <c r="B52" s="2">
        <f t="shared" si="6"/>
        <v>1150</v>
      </c>
      <c r="C52" s="2">
        <f>VLOOKUP(B52,游戏时长规划!$C$29:$G$39,MATCH("联赛等级",游戏时长规划!$C$29:$G$29,0),TRUE)</f>
        <v>6</v>
      </c>
      <c r="D52" s="2">
        <f>IF(B52=VLOOKUP(C52,游戏时长规划!$B$29:$C$39,2,FALSE),C52-1,C52)</f>
        <v>6</v>
      </c>
      <c r="E52" s="2">
        <f>VLOOKUP(D52,游戏时长规划!$B$16:$R$26,MATCH(E$22,游戏时长规划!$B$16:$R$16,0),FALSE)</f>
        <v>1200</v>
      </c>
      <c r="F52" s="2">
        <f t="shared" si="10"/>
        <v>50</v>
      </c>
      <c r="G52" s="2">
        <f t="shared" si="2"/>
        <v>5</v>
      </c>
      <c r="H52" s="2">
        <f>F52/VLOOKUP(D52,游戏时长规划!$B$16:$R$26,4,FALSE)/游戏时长规划!$C$5</f>
        <v>10</v>
      </c>
      <c r="I52" s="2">
        <f>SUM(H$23:H52)</f>
        <v>429.26666666666665</v>
      </c>
      <c r="J52" s="34">
        <f>H52/[1]游戏时长规划!$C$4</f>
        <v>1.3333333333333333</v>
      </c>
      <c r="K52" s="34">
        <f>I52/[1]游戏时长规划!$C$4</f>
        <v>57.235555555555557</v>
      </c>
      <c r="L52" s="34">
        <f t="shared" si="7"/>
        <v>206.66666666666666</v>
      </c>
      <c r="M52" s="33">
        <f t="shared" si="3"/>
        <v>100</v>
      </c>
      <c r="N52" s="34" t="s">
        <v>541</v>
      </c>
      <c r="O52" s="32">
        <v>1</v>
      </c>
      <c r="P52" s="2">
        <f t="shared" si="11"/>
        <v>23006</v>
      </c>
      <c r="Q52" s="99" t="str">
        <f t="shared" si="8"/>
        <v>[23006]</v>
      </c>
      <c r="R52" s="99" t="str">
        <f t="shared" si="12"/>
        <v>[1]</v>
      </c>
      <c r="S52" s="1" t="str">
        <f t="shared" si="5"/>
        <v>chest_tankpart</v>
      </c>
      <c r="V52" s="2" t="s">
        <v>2478</v>
      </c>
      <c r="W52" s="2">
        <f>[1]宝箱设定!$C$10</f>
        <v>600</v>
      </c>
    </row>
    <row r="53" spans="2:23" x14ac:dyDescent="0.3">
      <c r="B53" s="2">
        <f t="shared" si="6"/>
        <v>1250</v>
      </c>
      <c r="C53" s="2">
        <f>VLOOKUP(B53,游戏时长规划!$C$29:$G$39,MATCH("联赛等级",游戏时长规划!$C$29:$G$29,0),TRUE)</f>
        <v>7</v>
      </c>
      <c r="D53" s="2">
        <f>IF(B53=VLOOKUP(C53,游戏时长规划!$B$29:$C$39,2,FALSE),C53-1,C53)</f>
        <v>7</v>
      </c>
      <c r="E53" s="2">
        <f>VLOOKUP(D53,游戏时长规划!$B$16:$R$26,MATCH(E$22,游戏时长规划!$B$16:$R$16,0),FALSE)</f>
        <v>1500</v>
      </c>
      <c r="F53" s="2">
        <f t="shared" si="10"/>
        <v>100</v>
      </c>
      <c r="G53" s="2">
        <f t="shared" si="2"/>
        <v>5</v>
      </c>
      <c r="H53" s="2">
        <f>F53/VLOOKUP(D53,游戏时长规划!$B$16:$R$26,4,FALSE)/游戏时长规划!$C$5</f>
        <v>13.333333333333334</v>
      </c>
      <c r="I53" s="2">
        <f>SUM(H$23:H53)</f>
        <v>442.59999999999997</v>
      </c>
      <c r="J53" s="34">
        <f>H53/[1]游戏时长规划!$C$4</f>
        <v>1.7777777777777779</v>
      </c>
      <c r="K53" s="34">
        <f>I53/[1]游戏时长规划!$C$4</f>
        <v>59.013333333333328</v>
      </c>
      <c r="L53" s="34">
        <f t="shared" si="7"/>
        <v>275.5555555555556</v>
      </c>
      <c r="M53" s="33">
        <f t="shared" si="3"/>
        <v>100</v>
      </c>
      <c r="N53" s="34" t="s">
        <v>542</v>
      </c>
      <c r="O53" s="32">
        <v>1</v>
      </c>
      <c r="P53" s="2">
        <f t="shared" si="11"/>
        <v>24007</v>
      </c>
      <c r="Q53" s="99" t="str">
        <f t="shared" si="8"/>
        <v>[24007]</v>
      </c>
      <c r="R53" s="99" t="str">
        <f t="shared" si="12"/>
        <v>[1]</v>
      </c>
      <c r="S53" s="1" t="str">
        <f t="shared" si="5"/>
        <v>chest_shard</v>
      </c>
      <c r="V53" s="2" t="s">
        <v>2479</v>
      </c>
      <c r="W53" s="2">
        <f>[1]宝箱设定!$C$10</f>
        <v>600</v>
      </c>
    </row>
    <row r="54" spans="2:23" x14ac:dyDescent="0.3">
      <c r="B54" s="2">
        <f t="shared" si="6"/>
        <v>1300</v>
      </c>
      <c r="C54" s="2">
        <f>VLOOKUP(B54,游戏时长规划!$C$29:$G$39,MATCH("联赛等级",游戏时长规划!$C$29:$G$29,0),TRUE)</f>
        <v>7</v>
      </c>
      <c r="D54" s="2">
        <f>IF(B54=VLOOKUP(C54,游戏时长规划!$B$29:$C$39,2,FALSE),C54-1,C54)</f>
        <v>7</v>
      </c>
      <c r="E54" s="2">
        <f>VLOOKUP(D54,游戏时长规划!$B$16:$R$26,MATCH(E$22,游戏时长规划!$B$16:$R$16,0),FALSE)</f>
        <v>1500</v>
      </c>
      <c r="F54" s="2">
        <f t="shared" si="10"/>
        <v>50</v>
      </c>
      <c r="G54" s="2">
        <f t="shared" si="2"/>
        <v>5</v>
      </c>
      <c r="H54" s="2">
        <f>F54/VLOOKUP(D54,游戏时长规划!$B$16:$R$26,4,FALSE)/游戏时长规划!$C$5</f>
        <v>6.666666666666667</v>
      </c>
      <c r="I54" s="2">
        <f>SUM(H$23:H54)</f>
        <v>449.26666666666665</v>
      </c>
      <c r="J54" s="34">
        <f>H54/[1]游戏时长规划!$C$4</f>
        <v>0.88888888888888895</v>
      </c>
      <c r="K54" s="34">
        <f>I54/[1]游戏时长规划!$C$4</f>
        <v>59.902222222222221</v>
      </c>
      <c r="L54" s="34">
        <f t="shared" si="7"/>
        <v>137.7777777777778</v>
      </c>
      <c r="M54" s="33">
        <f t="shared" si="3"/>
        <v>600</v>
      </c>
      <c r="N54" s="34" t="s">
        <v>2481</v>
      </c>
      <c r="O54" s="32">
        <v>1</v>
      </c>
      <c r="P54" s="2">
        <f t="shared" si="11"/>
        <v>25157</v>
      </c>
      <c r="Q54" s="99" t="str">
        <f t="shared" si="8"/>
        <v>[25157]</v>
      </c>
      <c r="R54" s="99" t="str">
        <f t="shared" si="12"/>
        <v>[1]</v>
      </c>
      <c r="S54" s="1" t="str">
        <f t="shared" si="5"/>
        <v>chest_lv4_icon</v>
      </c>
      <c r="V54" s="2" t="s">
        <v>2480</v>
      </c>
      <c r="W54" s="2">
        <f>[1]宝箱设定!$C$10</f>
        <v>600</v>
      </c>
    </row>
    <row r="55" spans="2:23" x14ac:dyDescent="0.3">
      <c r="B55" s="2">
        <f t="shared" si="6"/>
        <v>1350</v>
      </c>
      <c r="C55" s="2">
        <f>VLOOKUP(B55,游戏时长规划!$C$29:$G$39,MATCH("联赛等级",游戏时长规划!$C$29:$G$29,0),TRUE)</f>
        <v>7</v>
      </c>
      <c r="D55" s="2">
        <f>IF(B55=VLOOKUP(C55,游戏时长规划!$B$29:$C$39,2,FALSE),C55-1,C55)</f>
        <v>7</v>
      </c>
      <c r="E55" s="2">
        <f>VLOOKUP(D55,游戏时长规划!$B$16:$R$26,MATCH(E$22,游戏时长规划!$B$16:$R$16,0),FALSE)</f>
        <v>1500</v>
      </c>
      <c r="F55" s="2">
        <f t="shared" si="10"/>
        <v>50</v>
      </c>
      <c r="G55" s="2">
        <f t="shared" si="2"/>
        <v>5</v>
      </c>
      <c r="H55" s="2">
        <f>F55/VLOOKUP(D55,游戏时长规划!$B$16:$R$26,4,FALSE)/游戏时长规划!$C$5</f>
        <v>6.666666666666667</v>
      </c>
      <c r="I55" s="2">
        <f>SUM(H$23:H55)</f>
        <v>455.93333333333334</v>
      </c>
      <c r="J55" s="34">
        <f>H55/[1]游戏时长规划!$C$4</f>
        <v>0.88888888888888895</v>
      </c>
      <c r="K55" s="34">
        <f>I55/[1]游戏时长规划!$C$4</f>
        <v>60.791111111111114</v>
      </c>
      <c r="L55" s="34">
        <f t="shared" si="7"/>
        <v>137.7777777777778</v>
      </c>
      <c r="M55" s="33">
        <f t="shared" si="3"/>
        <v>450</v>
      </c>
      <c r="N55" s="34" t="s">
        <v>519</v>
      </c>
      <c r="O55" s="32">
        <v>600</v>
      </c>
      <c r="P55" s="2">
        <f t="shared" si="11"/>
        <v>111</v>
      </c>
      <c r="Q55" s="99" t="str">
        <f t="shared" si="8"/>
        <v>[111]</v>
      </c>
      <c r="R55" s="99" t="str">
        <f t="shared" si="12"/>
        <v>[600]</v>
      </c>
      <c r="S55" s="1" t="str">
        <f t="shared" si="5"/>
        <v>StoreDoubleKey_1</v>
      </c>
      <c r="V55" s="2" t="s">
        <v>2481</v>
      </c>
      <c r="W55" s="2">
        <f>[1]宝箱设定!$C$10</f>
        <v>600</v>
      </c>
    </row>
    <row r="56" spans="2:23" x14ac:dyDescent="0.3">
      <c r="B56" s="2">
        <f t="shared" si="6"/>
        <v>1400</v>
      </c>
      <c r="C56" s="2">
        <f>VLOOKUP(B56,游戏时长规划!$C$29:$G$39,MATCH("联赛等级",游戏时长规划!$C$29:$G$29,0),TRUE)</f>
        <v>7</v>
      </c>
      <c r="D56" s="2">
        <f>IF(B56=VLOOKUP(C56,游戏时长规划!$B$29:$C$39,2,FALSE),C56-1,C56)</f>
        <v>7</v>
      </c>
      <c r="E56" s="2">
        <f>VLOOKUP(D56,游戏时长规划!$B$16:$R$26,MATCH(E$22,游戏时长规划!$B$16:$R$16,0),FALSE)</f>
        <v>1500</v>
      </c>
      <c r="F56" s="2">
        <f t="shared" si="10"/>
        <v>50</v>
      </c>
      <c r="G56" s="2">
        <f t="shared" si="2"/>
        <v>5</v>
      </c>
      <c r="H56" s="2">
        <f>F56/VLOOKUP(D56,游戏时长规划!$B$16:$R$26,4,FALSE)/游戏时长规划!$C$5</f>
        <v>6.666666666666667</v>
      </c>
      <c r="I56" s="2">
        <f>SUM(H$23:H56)</f>
        <v>462.6</v>
      </c>
      <c r="J56" s="34">
        <f>H56/[1]游戏时长规划!$C$4</f>
        <v>0.88888888888888895</v>
      </c>
      <c r="K56" s="34">
        <f>I56/[1]游戏时长规划!$C$4</f>
        <v>61.68</v>
      </c>
      <c r="L56" s="34">
        <f t="shared" si="7"/>
        <v>137.7777777777778</v>
      </c>
      <c r="M56" s="33">
        <f t="shared" si="3"/>
        <v>200</v>
      </c>
      <c r="N56" s="34" t="s">
        <v>325</v>
      </c>
      <c r="O56" s="32">
        <v>200</v>
      </c>
      <c r="P56" s="2">
        <f t="shared" si="11"/>
        <v>101</v>
      </c>
      <c r="Q56" s="99" t="str">
        <f t="shared" si="8"/>
        <v>[101]</v>
      </c>
      <c r="R56" s="99" t="str">
        <f t="shared" si="12"/>
        <v>[200]</v>
      </c>
      <c r="S56" s="1" t="str">
        <f t="shared" si="5"/>
        <v>StoreDiamond_1</v>
      </c>
      <c r="V56" s="2" t="s">
        <v>2482</v>
      </c>
      <c r="W56" s="2">
        <f>[1]宝箱设定!$C$10</f>
        <v>600</v>
      </c>
    </row>
    <row r="57" spans="2:23" x14ac:dyDescent="0.3">
      <c r="B57" s="2">
        <f t="shared" si="6"/>
        <v>1450</v>
      </c>
      <c r="C57" s="2">
        <f>VLOOKUP(B57,游戏时长规划!$C$29:$G$39,MATCH("联赛等级",游戏时长规划!$C$29:$G$29,0),TRUE)</f>
        <v>7</v>
      </c>
      <c r="D57" s="2">
        <f>IF(B57=VLOOKUP(C57,游戏时长规划!$B$29:$C$39,2,FALSE),C57-1,C57)</f>
        <v>7</v>
      </c>
      <c r="E57" s="2">
        <f>VLOOKUP(D57,游戏时长规划!$B$16:$R$26,MATCH(E$22,游戏时长规划!$B$16:$R$16,0),FALSE)</f>
        <v>1500</v>
      </c>
      <c r="F57" s="2">
        <f t="shared" si="10"/>
        <v>50</v>
      </c>
      <c r="G57" s="2">
        <f t="shared" si="2"/>
        <v>5</v>
      </c>
      <c r="H57" s="2">
        <f>F57/VLOOKUP(D57,游戏时长规划!$B$16:$R$26,4,FALSE)/游戏时长规划!$C$5</f>
        <v>6.666666666666667</v>
      </c>
      <c r="I57" s="2">
        <f>SUM(H$23:H57)</f>
        <v>469.26666666666671</v>
      </c>
      <c r="J57" s="34">
        <f>H57/[1]游戏时长规划!$C$4</f>
        <v>0.88888888888888895</v>
      </c>
      <c r="K57" s="34">
        <f>I57/[1]游戏时长规划!$C$4</f>
        <v>62.568888888888893</v>
      </c>
      <c r="L57" s="34">
        <f t="shared" si="7"/>
        <v>137.7777777777778</v>
      </c>
      <c r="M57" s="33">
        <f t="shared" si="3"/>
        <v>100</v>
      </c>
      <c r="N57" s="34" t="s">
        <v>2406</v>
      </c>
      <c r="O57" s="32">
        <v>1</v>
      </c>
      <c r="P57" s="2">
        <f t="shared" si="11"/>
        <v>23007</v>
      </c>
      <c r="Q57" s="99" t="str">
        <f t="shared" si="8"/>
        <v>[23007]</v>
      </c>
      <c r="R57" s="99" t="str">
        <f t="shared" si="12"/>
        <v>[1]</v>
      </c>
      <c r="S57" s="1" t="str">
        <f t="shared" si="5"/>
        <v>chest_tankpart</v>
      </c>
      <c r="V57" s="2" t="s">
        <v>2483</v>
      </c>
      <c r="W57" s="2">
        <f>[1]宝箱设定!$C$10</f>
        <v>600</v>
      </c>
    </row>
    <row r="58" spans="2:23" x14ac:dyDescent="0.3">
      <c r="B58" s="2">
        <f t="shared" si="6"/>
        <v>1533.3333333333333</v>
      </c>
      <c r="C58" s="2">
        <f>VLOOKUP(B58,游戏时长规划!$C$29:$G$39,MATCH("联赛等级",游戏时长规划!$C$29:$G$29,0),TRUE)</f>
        <v>8</v>
      </c>
      <c r="D58" s="2">
        <f>IF(B58=VLOOKUP(C58,游戏时长规划!$B$29:$C$39,2,FALSE),C58-1,C58)</f>
        <v>8</v>
      </c>
      <c r="E58" s="2">
        <f>VLOOKUP(D58,游戏时长规划!$B$16:$R$26,MATCH(E$22,游戏时长规划!$B$16:$R$16,0),FALSE)</f>
        <v>1700</v>
      </c>
      <c r="F58" s="2">
        <f t="shared" si="10"/>
        <v>83.333333333333258</v>
      </c>
      <c r="G58" s="2">
        <f t="shared" si="2"/>
        <v>5</v>
      </c>
      <c r="H58" s="2">
        <f>F58/VLOOKUP(D58,游戏时长规划!$B$16:$R$26,4,FALSE)/游戏时长规划!$C$5</f>
        <v>9.9999999999999893</v>
      </c>
      <c r="I58" s="2">
        <f>SUM(H$23:H58)</f>
        <v>479.26666666666671</v>
      </c>
      <c r="J58" s="34">
        <f>H58/[1]游戏时长规划!$C$4</f>
        <v>1.3333333333333319</v>
      </c>
      <c r="K58" s="34">
        <f>I58/[1]游戏时长规划!$C$4</f>
        <v>63.902222222222228</v>
      </c>
      <c r="L58" s="34">
        <f t="shared" si="7"/>
        <v>206.66666666666646</v>
      </c>
      <c r="M58" s="33">
        <f t="shared" si="3"/>
        <v>100</v>
      </c>
      <c r="N58" s="34" t="s">
        <v>2418</v>
      </c>
      <c r="O58" s="32">
        <v>1</v>
      </c>
      <c r="P58" s="2">
        <f t="shared" si="11"/>
        <v>24008</v>
      </c>
      <c r="Q58" s="99" t="str">
        <f t="shared" si="8"/>
        <v>[24008]</v>
      </c>
      <c r="R58" s="99" t="str">
        <f t="shared" si="12"/>
        <v>[1]</v>
      </c>
      <c r="S58" s="1" t="str">
        <f t="shared" si="5"/>
        <v>chest_shard</v>
      </c>
      <c r="V58" s="2" t="s">
        <v>2484</v>
      </c>
      <c r="W58" s="2">
        <f>[1]宝箱设定!$C$10</f>
        <v>600</v>
      </c>
    </row>
    <row r="59" spans="2:23" x14ac:dyDescent="0.3">
      <c r="B59" s="2">
        <f t="shared" si="6"/>
        <v>1566.6666666666665</v>
      </c>
      <c r="C59" s="2">
        <f>VLOOKUP(B59,游戏时长规划!$C$29:$G$39,MATCH("联赛等级",游戏时长规划!$C$29:$G$29,0),TRUE)</f>
        <v>8</v>
      </c>
      <c r="D59" s="2">
        <f>IF(B59=VLOOKUP(C59,游戏时长规划!$B$29:$C$39,2,FALSE),C59-1,C59)</f>
        <v>8</v>
      </c>
      <c r="E59" s="2">
        <f>VLOOKUP(D59,游戏时长规划!$B$16:$R$26,MATCH(E$22,游戏时长规划!$B$16:$R$16,0),FALSE)</f>
        <v>1700</v>
      </c>
      <c r="F59" s="2">
        <f t="shared" si="10"/>
        <v>33.333333333333258</v>
      </c>
      <c r="G59" s="2">
        <f t="shared" si="2"/>
        <v>5</v>
      </c>
      <c r="H59" s="2">
        <f>F59/VLOOKUP(D59,游戏时长规划!$B$16:$R$26,4,FALSE)/游戏时长规划!$C$5</f>
        <v>3.9999999999999907</v>
      </c>
      <c r="I59" s="2">
        <f>SUM(H$23:H59)</f>
        <v>483.26666666666671</v>
      </c>
      <c r="J59" s="34">
        <f>H59/[1]游戏时长规划!$C$4</f>
        <v>0.5333333333333321</v>
      </c>
      <c r="K59" s="34">
        <f>I59/[1]游戏时长规划!$C$4</f>
        <v>64.435555555555567</v>
      </c>
      <c r="L59" s="34">
        <f t="shared" si="7"/>
        <v>82.666666666666472</v>
      </c>
      <c r="M59" s="33">
        <f t="shared" si="3"/>
        <v>600</v>
      </c>
      <c r="N59" s="34" t="s">
        <v>2482</v>
      </c>
      <c r="O59" s="32">
        <v>1</v>
      </c>
      <c r="P59" s="2">
        <f t="shared" si="11"/>
        <v>25158</v>
      </c>
      <c r="Q59" s="99" t="str">
        <f t="shared" si="8"/>
        <v>[25158]</v>
      </c>
      <c r="R59" s="99" t="str">
        <f t="shared" si="12"/>
        <v>[1]</v>
      </c>
      <c r="S59" s="1" t="str">
        <f t="shared" si="5"/>
        <v>chest_lv4_icon</v>
      </c>
      <c r="V59" s="2" t="s">
        <v>2414</v>
      </c>
      <c r="W59" s="2">
        <f>[1]宝箱设定!C$13</f>
        <v>100</v>
      </c>
    </row>
    <row r="60" spans="2:23" x14ac:dyDescent="0.3">
      <c r="B60" s="2">
        <f t="shared" si="6"/>
        <v>1599.9999999999998</v>
      </c>
      <c r="C60" s="2">
        <f>VLOOKUP(B60,游戏时长规划!$C$29:$G$39,MATCH("联赛等级",游戏时长规划!$C$29:$G$29,0),TRUE)</f>
        <v>8</v>
      </c>
      <c r="D60" s="2">
        <f>IF(B60=VLOOKUP(C60,游戏时长规划!$B$29:$C$39,2,FALSE),C60-1,C60)</f>
        <v>8</v>
      </c>
      <c r="E60" s="2">
        <f>VLOOKUP(D60,游戏时长规划!$B$16:$R$26,MATCH(E$22,游戏时长规划!$B$16:$R$16,0),FALSE)</f>
        <v>1700</v>
      </c>
      <c r="F60" s="2">
        <f t="shared" si="10"/>
        <v>33.333333333333258</v>
      </c>
      <c r="G60" s="2">
        <f t="shared" si="2"/>
        <v>5</v>
      </c>
      <c r="H60" s="2">
        <f>F60/VLOOKUP(D60,游戏时长规划!$B$16:$R$26,4,FALSE)/游戏时长规划!$C$5</f>
        <v>3.9999999999999907</v>
      </c>
      <c r="I60" s="2">
        <f>SUM(H$23:H60)</f>
        <v>487.26666666666671</v>
      </c>
      <c r="J60" s="34">
        <f>H60/[1]游戏时长规划!$C$4</f>
        <v>0.5333333333333321</v>
      </c>
      <c r="K60" s="34">
        <f>I60/[1]游戏时长规划!$C$4</f>
        <v>64.968888888888898</v>
      </c>
      <c r="L60" s="34">
        <f t="shared" si="7"/>
        <v>82.666666666666472</v>
      </c>
      <c r="M60" s="33">
        <f t="shared" si="3"/>
        <v>450</v>
      </c>
      <c r="N60" s="34" t="s">
        <v>519</v>
      </c>
      <c r="O60" s="32">
        <v>600</v>
      </c>
      <c r="P60" s="2">
        <f t="shared" si="11"/>
        <v>111</v>
      </c>
      <c r="Q60" s="99" t="str">
        <f t="shared" si="8"/>
        <v>[111]</v>
      </c>
      <c r="R60" s="99" t="str">
        <f t="shared" si="12"/>
        <v>[600]</v>
      </c>
      <c r="S60" s="1" t="str">
        <f t="shared" si="5"/>
        <v>StoreDoubleKey_1</v>
      </c>
      <c r="V60" s="2" t="s">
        <v>521</v>
      </c>
      <c r="W60" s="2">
        <f>[1]宝箱设定!C$13</f>
        <v>100</v>
      </c>
    </row>
    <row r="61" spans="2:23" x14ac:dyDescent="0.3">
      <c r="B61" s="2">
        <f t="shared" si="6"/>
        <v>1633.333333333333</v>
      </c>
      <c r="C61" s="2">
        <f>VLOOKUP(B61,游戏时长规划!$C$29:$G$39,MATCH("联赛等级",游戏时长规划!$C$29:$G$29,0),TRUE)</f>
        <v>8</v>
      </c>
      <c r="D61" s="2">
        <f>IF(B61=VLOOKUP(C61,游戏时长规划!$B$29:$C$39,2,FALSE),C61-1,C61)</f>
        <v>8</v>
      </c>
      <c r="E61" s="2">
        <f>VLOOKUP(D61,游戏时长规划!$B$16:$R$26,MATCH(E$22,游戏时长规划!$B$16:$R$16,0),FALSE)</f>
        <v>1700</v>
      </c>
      <c r="F61" s="2">
        <f t="shared" si="10"/>
        <v>33.333333333333258</v>
      </c>
      <c r="G61" s="2">
        <f t="shared" si="2"/>
        <v>5</v>
      </c>
      <c r="H61" s="2">
        <f>F61/VLOOKUP(D61,游戏时长规划!$B$16:$R$26,4,FALSE)/游戏时长规划!$C$5</f>
        <v>3.9999999999999907</v>
      </c>
      <c r="I61" s="2">
        <f>SUM(H$23:H61)</f>
        <v>491.26666666666671</v>
      </c>
      <c r="J61" s="34">
        <f>H61/[1]游戏时长规划!$C$4</f>
        <v>0.5333333333333321</v>
      </c>
      <c r="K61" s="34">
        <f>I61/[1]游戏时长规划!$C$4</f>
        <v>65.50222222222223</v>
      </c>
      <c r="L61" s="34">
        <f t="shared" si="7"/>
        <v>82.666666666666472</v>
      </c>
      <c r="M61" s="33">
        <f t="shared" si="3"/>
        <v>200</v>
      </c>
      <c r="N61" s="34" t="s">
        <v>325</v>
      </c>
      <c r="O61" s="32">
        <v>200</v>
      </c>
      <c r="P61" s="2">
        <f t="shared" si="4"/>
        <v>101</v>
      </c>
      <c r="Q61" s="99" t="str">
        <f t="shared" si="8"/>
        <v>[101]</v>
      </c>
      <c r="R61" s="99" t="str">
        <f t="shared" si="9"/>
        <v>[200]</v>
      </c>
      <c r="S61" s="1" t="str">
        <f t="shared" si="5"/>
        <v>StoreDiamond_1</v>
      </c>
      <c r="V61" s="2" t="s">
        <v>2416</v>
      </c>
      <c r="W61" s="2">
        <f>[1]宝箱设定!C$13</f>
        <v>100</v>
      </c>
    </row>
    <row r="62" spans="2:23" x14ac:dyDescent="0.3">
      <c r="B62" s="2">
        <f t="shared" si="6"/>
        <v>1666.6666666666663</v>
      </c>
      <c r="C62" s="2">
        <f>VLOOKUP(B62,游戏时长规划!$C$29:$G$39,MATCH("联赛等级",游戏时长规划!$C$29:$G$29,0),TRUE)</f>
        <v>8</v>
      </c>
      <c r="D62" s="2">
        <f>IF(B62=VLOOKUP(C62,游戏时长规划!$B$29:$C$39,2,FALSE),C62-1,C62)</f>
        <v>8</v>
      </c>
      <c r="E62" s="2">
        <f>VLOOKUP(D62,游戏时长规划!$B$16:$R$26,MATCH(E$22,游戏时长规划!$B$16:$R$16,0),FALSE)</f>
        <v>1700</v>
      </c>
      <c r="F62" s="2">
        <f t="shared" si="10"/>
        <v>33.333333333333258</v>
      </c>
      <c r="G62" s="2">
        <f t="shared" si="2"/>
        <v>5</v>
      </c>
      <c r="H62" s="2">
        <f>F62/VLOOKUP(D62,游戏时长规划!$B$16:$R$26,4,FALSE)/游戏时长规划!$C$5</f>
        <v>3.9999999999999907</v>
      </c>
      <c r="I62" s="2">
        <f>SUM(H$23:H62)</f>
        <v>495.26666666666671</v>
      </c>
      <c r="J62" s="34">
        <f>H62/[1]游戏时长规划!$C$4</f>
        <v>0.5333333333333321</v>
      </c>
      <c r="K62" s="34">
        <f>I62/[1]游戏时长规划!$C$4</f>
        <v>66.035555555555561</v>
      </c>
      <c r="L62" s="34">
        <f t="shared" si="7"/>
        <v>82.666666666666472</v>
      </c>
      <c r="M62" s="33">
        <f t="shared" si="3"/>
        <v>100</v>
      </c>
      <c r="N62" s="34" t="s">
        <v>2408</v>
      </c>
      <c r="O62" s="32">
        <v>1</v>
      </c>
      <c r="P62" s="2">
        <f>VLOOKUP(N62,道具ID,2,FALSE)</f>
        <v>23008</v>
      </c>
      <c r="Q62" s="99" t="str">
        <f t="shared" si="8"/>
        <v>[23008]</v>
      </c>
      <c r="R62" s="99" t="str">
        <f t="shared" si="9"/>
        <v>[1]</v>
      </c>
      <c r="S62" s="1" t="str">
        <f t="shared" si="5"/>
        <v>chest_tankpart</v>
      </c>
      <c r="V62" s="2" t="s">
        <v>529</v>
      </c>
      <c r="W62" s="2">
        <f>[1]宝箱设定!C$13</f>
        <v>100</v>
      </c>
    </row>
    <row r="63" spans="2:23" x14ac:dyDescent="0.3">
      <c r="B63" s="2">
        <f t="shared" si="6"/>
        <v>1750</v>
      </c>
      <c r="C63" s="2">
        <f>VLOOKUP(B63,游戏时长规划!$C$29:$G$39,MATCH("联赛等级",游戏时长规划!$C$29:$G$29,0),TRUE)</f>
        <v>9</v>
      </c>
      <c r="D63" s="2">
        <f>IF(B63=VLOOKUP(C63,游戏时长规划!$B$29:$C$39,2,FALSE),C63-1,C63)</f>
        <v>9</v>
      </c>
      <c r="E63" s="2">
        <f>VLOOKUP(D63,游戏时长规划!$B$16:$R$26,MATCH(E$22,游戏时长规划!$B$16:$R$16,0),FALSE)</f>
        <v>2000</v>
      </c>
      <c r="F63" s="2">
        <f t="shared" si="10"/>
        <v>83.333333333333712</v>
      </c>
      <c r="G63" s="2">
        <f t="shared" si="2"/>
        <v>5</v>
      </c>
      <c r="H63" s="2">
        <f>F63/VLOOKUP(D63,游戏时长规划!$B$16:$R$26,4,FALSE)/游戏时长规划!$C$5</f>
        <v>8.3333333333333712</v>
      </c>
      <c r="I63" s="2">
        <f>SUM(H$23:H63)</f>
        <v>503.60000000000008</v>
      </c>
      <c r="J63" s="34">
        <f>H63/[1]游戏时长规划!$C$4</f>
        <v>1.1111111111111163</v>
      </c>
      <c r="K63" s="34">
        <f>I63/[1]游戏时长规划!$C$4</f>
        <v>67.146666666666675</v>
      </c>
      <c r="L63" s="34">
        <f t="shared" si="7"/>
        <v>172.22222222222302</v>
      </c>
      <c r="M63" s="33">
        <f t="shared" si="3"/>
        <v>100</v>
      </c>
      <c r="N63" s="34" t="s">
        <v>2419</v>
      </c>
      <c r="O63" s="32">
        <v>1</v>
      </c>
      <c r="P63" s="2">
        <f>VLOOKUP(N63,道具ID,2,FALSE)</f>
        <v>24009</v>
      </c>
      <c r="Q63" s="99" t="str">
        <f t="shared" si="8"/>
        <v>[24009]</v>
      </c>
      <c r="R63" s="99" t="str">
        <f t="shared" si="9"/>
        <v>[1]</v>
      </c>
      <c r="S63" s="1" t="str">
        <f t="shared" si="5"/>
        <v>chest_shard</v>
      </c>
      <c r="V63" s="2" t="s">
        <v>2417</v>
      </c>
      <c r="W63" s="2">
        <f>[1]宝箱设定!C$13</f>
        <v>100</v>
      </c>
    </row>
    <row r="64" spans="2:23" x14ac:dyDescent="0.3">
      <c r="B64" s="2">
        <f t="shared" si="6"/>
        <v>1800</v>
      </c>
      <c r="C64" s="2">
        <f>VLOOKUP(B64,游戏时长规划!$C$29:$G$39,MATCH("联赛等级",游戏时长规划!$C$29:$G$29,0),TRUE)</f>
        <v>9</v>
      </c>
      <c r="D64" s="2">
        <f>IF(B64=VLOOKUP(C64,游戏时长规划!$B$29:$C$39,2,FALSE),C64-1,C64)</f>
        <v>9</v>
      </c>
      <c r="E64" s="2">
        <f>VLOOKUP(D64,游戏时长规划!$B$16:$R$26,MATCH(E$22,游戏时长规划!$B$16:$R$16,0),FALSE)</f>
        <v>2000</v>
      </c>
      <c r="F64" s="2">
        <f t="shared" si="10"/>
        <v>50</v>
      </c>
      <c r="G64" s="2">
        <f t="shared" si="2"/>
        <v>5</v>
      </c>
      <c r="H64" s="2">
        <f>F64/VLOOKUP(D64,游戏时长规划!$B$16:$R$26,4,FALSE)/游戏时长规划!$C$5</f>
        <v>5</v>
      </c>
      <c r="I64" s="2">
        <f>SUM(H$23:H64)</f>
        <v>508.60000000000008</v>
      </c>
      <c r="J64" s="34">
        <f>H64/[1]游戏时长规划!$C$4</f>
        <v>0.66666666666666663</v>
      </c>
      <c r="K64" s="34">
        <f>I64/[1]游戏时长规划!$C$4</f>
        <v>67.813333333333347</v>
      </c>
      <c r="L64" s="34">
        <f t="shared" si="7"/>
        <v>103.33333333333333</v>
      </c>
      <c r="M64" s="33">
        <f t="shared" si="3"/>
        <v>600</v>
      </c>
      <c r="N64" s="34" t="s">
        <v>2483</v>
      </c>
      <c r="O64" s="32">
        <v>1</v>
      </c>
      <c r="P64" s="2">
        <f>VLOOKUP(N64,道具ID,2,FALSE)</f>
        <v>25159</v>
      </c>
      <c r="Q64" s="99" t="str">
        <f t="shared" si="8"/>
        <v>[25159]</v>
      </c>
      <c r="R64" s="99" t="str">
        <f t="shared" si="9"/>
        <v>[1]</v>
      </c>
      <c r="S64" s="1" t="str">
        <f t="shared" si="5"/>
        <v>chest_lv4_icon</v>
      </c>
      <c r="V64" s="2" t="s">
        <v>537</v>
      </c>
      <c r="W64" s="2">
        <f>[1]宝箱设定!C$13</f>
        <v>100</v>
      </c>
    </row>
    <row r="65" spans="2:23" x14ac:dyDescent="0.3">
      <c r="B65" s="2">
        <f t="shared" si="6"/>
        <v>1850</v>
      </c>
      <c r="C65" s="2">
        <f>VLOOKUP(B65,游戏时长规划!$C$29:$G$39,MATCH("联赛等级",游戏时长规划!$C$29:$G$29,0),TRUE)</f>
        <v>9</v>
      </c>
      <c r="D65" s="2">
        <f>IF(B65=VLOOKUP(C65,游戏时长规划!$B$29:$C$39,2,FALSE),C65-1,C65)</f>
        <v>9</v>
      </c>
      <c r="E65" s="2">
        <f>VLOOKUP(D65,游戏时长规划!$B$16:$R$26,MATCH(E$22,游戏时长规划!$B$16:$R$16,0),FALSE)</f>
        <v>2000</v>
      </c>
      <c r="F65" s="2">
        <f t="shared" si="10"/>
        <v>50</v>
      </c>
      <c r="G65" s="2">
        <f t="shared" si="2"/>
        <v>5</v>
      </c>
      <c r="H65" s="2">
        <f>F65/VLOOKUP(D65,游戏时长规划!$B$16:$R$26,4,FALSE)/游戏时长规划!$C$5</f>
        <v>5</v>
      </c>
      <c r="I65" s="2">
        <f>SUM(H$23:H65)</f>
        <v>513.60000000000014</v>
      </c>
      <c r="J65" s="34">
        <f>H65/[1]游戏时长规划!$C$4</f>
        <v>0.66666666666666663</v>
      </c>
      <c r="K65" s="34">
        <f>I65/[1]游戏时长规划!$C$4</f>
        <v>68.480000000000018</v>
      </c>
      <c r="L65" s="34">
        <f t="shared" si="7"/>
        <v>103.33333333333333</v>
      </c>
      <c r="M65" s="33">
        <f t="shared" si="3"/>
        <v>450</v>
      </c>
      <c r="N65" s="34" t="s">
        <v>519</v>
      </c>
      <c r="O65" s="32">
        <v>600</v>
      </c>
      <c r="P65" s="2">
        <f t="shared" si="4"/>
        <v>111</v>
      </c>
      <c r="Q65" s="99" t="str">
        <f t="shared" si="8"/>
        <v>[111]</v>
      </c>
      <c r="R65" s="99" t="str">
        <f t="shared" si="9"/>
        <v>[600]</v>
      </c>
      <c r="S65" s="1" t="str">
        <f t="shared" si="5"/>
        <v>StoreDoubleKey_1</v>
      </c>
      <c r="V65" s="2" t="s">
        <v>542</v>
      </c>
      <c r="W65" s="2">
        <f>[1]宝箱设定!C$13</f>
        <v>100</v>
      </c>
    </row>
    <row r="66" spans="2:23" x14ac:dyDescent="0.3">
      <c r="B66" s="2">
        <f t="shared" si="6"/>
        <v>1900</v>
      </c>
      <c r="C66" s="2">
        <f>VLOOKUP(B66,游戏时长规划!$C$29:$G$39,MATCH("联赛等级",游戏时长规划!$C$29:$G$29,0),TRUE)</f>
        <v>9</v>
      </c>
      <c r="D66" s="2">
        <f>IF(B66=VLOOKUP(C66,游戏时长规划!$B$29:$C$39,2,FALSE),C66-1,C66)</f>
        <v>9</v>
      </c>
      <c r="E66" s="2">
        <f>VLOOKUP(D66,游戏时长规划!$B$16:$R$26,MATCH(E$22,游戏时长规划!$B$16:$R$16,0),FALSE)</f>
        <v>2000</v>
      </c>
      <c r="F66" s="2">
        <f t="shared" si="10"/>
        <v>50</v>
      </c>
      <c r="G66" s="2">
        <f t="shared" si="2"/>
        <v>5</v>
      </c>
      <c r="H66" s="2">
        <f>F66/VLOOKUP(D66,游戏时长规划!$B$16:$R$26,4,FALSE)/游戏时长规划!$C$5</f>
        <v>5</v>
      </c>
      <c r="I66" s="2">
        <f>SUM(H$23:H66)</f>
        <v>518.60000000000014</v>
      </c>
      <c r="J66" s="34">
        <f>H66/[1]游戏时长规划!$C$4</f>
        <v>0.66666666666666663</v>
      </c>
      <c r="K66" s="34">
        <f>I66/[1]游戏时长规划!$C$4</f>
        <v>69.14666666666669</v>
      </c>
      <c r="L66" s="34">
        <f t="shared" si="7"/>
        <v>103.33333333333333</v>
      </c>
      <c r="M66" s="33">
        <f t="shared" si="3"/>
        <v>50</v>
      </c>
      <c r="N66" s="34" t="s">
        <v>325</v>
      </c>
      <c r="O66" s="32">
        <v>50</v>
      </c>
      <c r="P66" s="2">
        <f>VLOOKUP(N66,道具ID,2,FALSE)</f>
        <v>101</v>
      </c>
      <c r="Q66" s="99" t="str">
        <f t="shared" si="8"/>
        <v>[101]</v>
      </c>
      <c r="R66" s="99" t="str">
        <f t="shared" si="9"/>
        <v>[50]</v>
      </c>
      <c r="S66" s="1" t="str">
        <f t="shared" si="5"/>
        <v>StoreDiamond_1</v>
      </c>
      <c r="V66" s="2" t="s">
        <v>2418</v>
      </c>
      <c r="W66" s="2">
        <f>[1]宝箱设定!C$13</f>
        <v>100</v>
      </c>
    </row>
    <row r="67" spans="2:23" x14ac:dyDescent="0.3">
      <c r="B67" s="2">
        <f t="shared" si="6"/>
        <v>1950</v>
      </c>
      <c r="C67" s="2">
        <f>VLOOKUP(B67,游戏时长规划!$C$29:$G$39,MATCH("联赛等级",游戏时长规划!$C$29:$G$29,0),TRUE)</f>
        <v>9</v>
      </c>
      <c r="D67" s="2">
        <f>IF(B67=VLOOKUP(C67,游戏时长规划!$B$29:$C$39,2,FALSE),C67-1,C67)</f>
        <v>9</v>
      </c>
      <c r="E67" s="2">
        <f>VLOOKUP(D67,游戏时长规划!$B$16:$R$26,MATCH(E$22,游戏时长规划!$B$16:$R$16,0),FALSE)</f>
        <v>2000</v>
      </c>
      <c r="F67" s="2">
        <f t="shared" si="10"/>
        <v>50</v>
      </c>
      <c r="G67" s="2">
        <f t="shared" si="2"/>
        <v>5</v>
      </c>
      <c r="H67" s="2">
        <f>F67/VLOOKUP(D67,游戏时长规划!$B$16:$R$26,4,FALSE)/游戏时长规划!$C$5</f>
        <v>5</v>
      </c>
      <c r="I67" s="2">
        <f>SUM(H$23:H67)</f>
        <v>523.60000000000014</v>
      </c>
      <c r="J67" s="34">
        <f>H67/[1]游戏时长规划!$C$4</f>
        <v>0.66666666666666663</v>
      </c>
      <c r="K67" s="34">
        <f>I67/[1]游戏时长规划!$C$4</f>
        <v>69.813333333333347</v>
      </c>
      <c r="L67" s="34">
        <f t="shared" si="7"/>
        <v>103.33333333333333</v>
      </c>
      <c r="M67" s="33">
        <f t="shared" si="3"/>
        <v>100</v>
      </c>
      <c r="N67" s="34" t="s">
        <v>2410</v>
      </c>
      <c r="O67" s="32">
        <v>1</v>
      </c>
      <c r="P67" s="2">
        <f>VLOOKUP(N67,道具ID,2,FALSE)</f>
        <v>23009</v>
      </c>
      <c r="Q67" s="99" t="str">
        <f t="shared" si="8"/>
        <v>[23009]</v>
      </c>
      <c r="R67" s="99" t="str">
        <f t="shared" si="9"/>
        <v>[1]</v>
      </c>
      <c r="S67" s="1" t="str">
        <f t="shared" si="5"/>
        <v>chest_tankpart</v>
      </c>
      <c r="V67" s="2" t="s">
        <v>2419</v>
      </c>
      <c r="W67" s="2">
        <f>[1]宝箱设定!C$13</f>
        <v>100</v>
      </c>
    </row>
    <row r="68" spans="2:23" x14ac:dyDescent="0.3">
      <c r="B68" s="2">
        <f t="shared" si="6"/>
        <v>2050</v>
      </c>
      <c r="C68" s="2">
        <f>VLOOKUP(B68,游戏时长规划!$C$29:$G$39,MATCH("联赛等级",游戏时长规划!$C$29:$G$29,0),TRUE)</f>
        <v>10</v>
      </c>
      <c r="D68" s="2">
        <f>IF(B68=VLOOKUP(C68,游戏时长规划!$B$29:$C$39,2,FALSE),C68-1,C68)</f>
        <v>10</v>
      </c>
      <c r="E68" s="2">
        <f>VLOOKUP(D68,游戏时长规划!$B$16:$R$26,MATCH(E$22,游戏时长规划!$B$16:$R$16,0),FALSE)</f>
        <v>2300</v>
      </c>
      <c r="F68" s="2">
        <f t="shared" si="10"/>
        <v>100</v>
      </c>
      <c r="G68" s="2">
        <f t="shared" si="2"/>
        <v>2</v>
      </c>
      <c r="H68" s="2">
        <f>F68/VLOOKUP(D68,游戏时长规划!$B$16:$R$26,4,FALSE)/游戏时长规划!$C$5</f>
        <v>10</v>
      </c>
      <c r="I68" s="2">
        <f>SUM(H$23:H68)</f>
        <v>533.60000000000014</v>
      </c>
      <c r="J68" s="34">
        <f>H68/[1]游戏时长规划!$C$4</f>
        <v>1.3333333333333333</v>
      </c>
      <c r="K68" s="34">
        <f>I68/[1]游戏时长规划!$C$4</f>
        <v>71.14666666666669</v>
      </c>
      <c r="L68" s="34">
        <f t="shared" si="7"/>
        <v>206.66666666666666</v>
      </c>
      <c r="M68" s="33">
        <f t="shared" si="3"/>
        <v>300</v>
      </c>
      <c r="N68" s="34" t="s">
        <v>325</v>
      </c>
      <c r="O68" s="32">
        <v>300</v>
      </c>
      <c r="P68" s="2">
        <f>VLOOKUP(N68,道具ID,2,FALSE)</f>
        <v>101</v>
      </c>
      <c r="Q68" s="99" t="str">
        <f t="shared" si="8"/>
        <v>[101]</v>
      </c>
      <c r="R68" s="99" t="str">
        <f t="shared" si="9"/>
        <v>[300]</v>
      </c>
      <c r="S68" s="1" t="str">
        <f t="shared" si="5"/>
        <v>StoreDiamond_1</v>
      </c>
      <c r="V68" s="2" t="s">
        <v>2420</v>
      </c>
      <c r="W68" s="2">
        <f>[1]宝箱设定!C$13</f>
        <v>100</v>
      </c>
    </row>
    <row r="69" spans="2:23" x14ac:dyDescent="0.3">
      <c r="B69" s="2">
        <f t="shared" si="6"/>
        <v>2100</v>
      </c>
      <c r="C69" s="2">
        <f>VLOOKUP(B69,游戏时长规划!$C$29:$G$39,MATCH("联赛等级",游戏时长规划!$C$29:$G$29,0),TRUE)</f>
        <v>10</v>
      </c>
      <c r="D69" s="2">
        <f>IF(B69=VLOOKUP(C69,游戏时长规划!$B$29:$C$39,2,FALSE),C69-1,C69)</f>
        <v>10</v>
      </c>
      <c r="E69" s="2">
        <f>VLOOKUP(D69,游戏时长规划!$B$16:$R$26,MATCH(E$22,游戏时长规划!$B$16:$R$16,0),FALSE)</f>
        <v>2300</v>
      </c>
      <c r="F69" s="2">
        <f t="shared" si="10"/>
        <v>50</v>
      </c>
      <c r="G69" s="2">
        <f t="shared" si="2"/>
        <v>2</v>
      </c>
      <c r="H69" s="2">
        <f>F69/VLOOKUP(D69,游戏时长规划!$B$16:$R$26,4,FALSE)/游戏时长规划!$C$5</f>
        <v>5</v>
      </c>
      <c r="I69" s="2">
        <f>SUM(H$23:H69)</f>
        <v>538.60000000000014</v>
      </c>
      <c r="J69" s="34">
        <f>H69/[1]游戏时长规划!$C$4</f>
        <v>0.66666666666666663</v>
      </c>
      <c r="K69" s="34">
        <f>I69/[1]游戏时长规划!$C$4</f>
        <v>71.813333333333347</v>
      </c>
      <c r="L69" s="34">
        <f t="shared" si="7"/>
        <v>103.33333333333333</v>
      </c>
      <c r="M69" s="33">
        <f t="shared" si="3"/>
        <v>2000</v>
      </c>
      <c r="N69" s="34" t="s">
        <v>2505</v>
      </c>
      <c r="O69" s="32">
        <v>1</v>
      </c>
      <c r="P69" s="2">
        <f t="shared" si="4"/>
        <v>25260</v>
      </c>
      <c r="Q69" s="99" t="str">
        <f t="shared" si="8"/>
        <v>[25260]</v>
      </c>
      <c r="R69" s="99" t="str">
        <f t="shared" si="9"/>
        <v>[1]</v>
      </c>
      <c r="S69" s="1" t="str">
        <f t="shared" si="5"/>
        <v>chest_lv5_icon</v>
      </c>
      <c r="V69" s="2" t="s">
        <v>2505</v>
      </c>
      <c r="W69" s="2">
        <f>[1]宝箱设定!$C$11</f>
        <v>2000</v>
      </c>
    </row>
    <row r="71" spans="2:23" x14ac:dyDescent="0.3">
      <c r="L71" s="1" t="s">
        <v>2941</v>
      </c>
    </row>
    <row r="72" spans="2:23" x14ac:dyDescent="0.3">
      <c r="B72" s="2" t="s">
        <v>568</v>
      </c>
      <c r="C72" s="2" t="s">
        <v>2942</v>
      </c>
      <c r="D72" s="2" t="s">
        <v>2934</v>
      </c>
      <c r="E72" s="2" t="s">
        <v>2935</v>
      </c>
      <c r="F72" s="2" t="s">
        <v>595</v>
      </c>
      <c r="G72" s="2" t="s">
        <v>2936</v>
      </c>
      <c r="H72" s="2" t="s">
        <v>2929</v>
      </c>
      <c r="I72" s="2" t="s">
        <v>2936</v>
      </c>
      <c r="J72" s="2" t="s">
        <v>2938</v>
      </c>
      <c r="K72" s="2" t="s">
        <v>2943</v>
      </c>
      <c r="L72" s="98" t="s">
        <v>2944</v>
      </c>
    </row>
    <row r="73" spans="2:23" x14ac:dyDescent="0.3">
      <c r="B73" s="2">
        <v>1</v>
      </c>
      <c r="C73" s="2">
        <f>游戏时长规划!V4</f>
        <v>0</v>
      </c>
      <c r="D73" s="2">
        <f>SUM(C$73:C73)</f>
        <v>0</v>
      </c>
      <c r="E73" s="34">
        <f>C73/[1]基础经济系数!$C$5</f>
        <v>0</v>
      </c>
      <c r="F73" s="34">
        <f>D73/[1]基础经济系数!$C$5</f>
        <v>0</v>
      </c>
      <c r="G73" s="2">
        <f>E73*$C$5</f>
        <v>0</v>
      </c>
      <c r="H73" s="2" t="s">
        <v>191</v>
      </c>
      <c r="I73" s="29">
        <v>0</v>
      </c>
      <c r="J73" s="29">
        <v>0</v>
      </c>
      <c r="K73" s="2">
        <v>0</v>
      </c>
      <c r="L73" s="99"/>
    </row>
    <row r="74" spans="2:23" x14ac:dyDescent="0.3">
      <c r="B74" s="2">
        <v>2</v>
      </c>
      <c r="C74" s="2">
        <f>游戏时长规划!V5</f>
        <v>3</v>
      </c>
      <c r="D74" s="2">
        <f>SUM(C$73:C74)</f>
        <v>3</v>
      </c>
      <c r="E74" s="34">
        <f>C74/[1]基础经济系数!$C$5</f>
        <v>0.3</v>
      </c>
      <c r="F74" s="34">
        <f>D74/[1]基础经济系数!$C$5</f>
        <v>0.3</v>
      </c>
      <c r="G74" s="2">
        <f t="shared" ref="G74:G102" si="13">E74*$C$5</f>
        <v>10.5</v>
      </c>
      <c r="H74" s="2" t="s">
        <v>280</v>
      </c>
      <c r="I74" s="29">
        <f t="shared" ref="I74:I102" si="14">J74*VLOOKUP(H74,$V$22:$W$69,2,FALSE)</f>
        <v>37.5</v>
      </c>
      <c r="J74" s="32">
        <v>30</v>
      </c>
      <c r="K74" s="2">
        <f t="shared" ref="K74:K102" si="15">VLOOKUP(H74,道具ID,2,FALSE)</f>
        <v>105</v>
      </c>
      <c r="L74" s="99" t="str">
        <f>"["&amp;K74&amp;","&amp;J74&amp;"]"</f>
        <v>[105,30]</v>
      </c>
    </row>
    <row r="75" spans="2:23" x14ac:dyDescent="0.3">
      <c r="B75" s="2">
        <v>3</v>
      </c>
      <c r="C75" s="2">
        <f>游戏时长规划!V6</f>
        <v>3</v>
      </c>
      <c r="D75" s="2">
        <f>SUM(C$73:C75)</f>
        <v>6</v>
      </c>
      <c r="E75" s="34">
        <f>C75/[1]基础经济系数!$C$5</f>
        <v>0.3</v>
      </c>
      <c r="F75" s="34">
        <f>D75/[1]基础经济系数!$C$5</f>
        <v>0.6</v>
      </c>
      <c r="G75" s="2">
        <f t="shared" si="13"/>
        <v>10.5</v>
      </c>
      <c r="H75" s="2" t="s">
        <v>275</v>
      </c>
      <c r="I75" s="29">
        <f t="shared" si="14"/>
        <v>66.6666666666666</v>
      </c>
      <c r="J75" s="32">
        <v>3000</v>
      </c>
      <c r="K75" s="2">
        <f t="shared" si="15"/>
        <v>102</v>
      </c>
      <c r="L75" s="99" t="str">
        <f t="shared" ref="L75:L102" si="16">"["&amp;K75&amp;","&amp;J75&amp;"]"</f>
        <v>[102,3000]</v>
      </c>
    </row>
    <row r="76" spans="2:23" x14ac:dyDescent="0.3">
      <c r="B76" s="2">
        <v>4</v>
      </c>
      <c r="C76" s="2">
        <f>游戏时长规划!V7</f>
        <v>4</v>
      </c>
      <c r="D76" s="2">
        <f>SUM(C$73:C76)</f>
        <v>10</v>
      </c>
      <c r="E76" s="34">
        <f>C76/[1]基础经济系数!$C$5</f>
        <v>0.4</v>
      </c>
      <c r="F76" s="34">
        <f>D76/[1]基础经济系数!$C$5</f>
        <v>1</v>
      </c>
      <c r="G76" s="2">
        <f t="shared" si="13"/>
        <v>14</v>
      </c>
      <c r="H76" s="2" t="s">
        <v>587</v>
      </c>
      <c r="I76" s="29">
        <f t="shared" si="14"/>
        <v>60</v>
      </c>
      <c r="J76" s="32">
        <v>1</v>
      </c>
      <c r="K76" s="2">
        <f t="shared" si="15"/>
        <v>100302</v>
      </c>
      <c r="L76" s="99" t="str">
        <f t="shared" si="16"/>
        <v>[100302,1]</v>
      </c>
    </row>
    <row r="77" spans="2:23" x14ac:dyDescent="0.3">
      <c r="B77" s="2">
        <v>5</v>
      </c>
      <c r="C77" s="2">
        <f>游戏时长规划!V8</f>
        <v>5</v>
      </c>
      <c r="D77" s="2">
        <f>SUM(C$73:C77)</f>
        <v>15</v>
      </c>
      <c r="E77" s="34">
        <f>C77/[1]基础经济系数!$C$5</f>
        <v>0.5</v>
      </c>
      <c r="F77" s="34">
        <f>D77/[1]基础经济系数!$C$5</f>
        <v>1.5</v>
      </c>
      <c r="G77" s="2">
        <f t="shared" si="13"/>
        <v>17.5</v>
      </c>
      <c r="H77" s="2" t="s">
        <v>325</v>
      </c>
      <c r="I77" s="29">
        <f t="shared" si="14"/>
        <v>20</v>
      </c>
      <c r="J77" s="32">
        <v>20</v>
      </c>
      <c r="K77" s="2">
        <f t="shared" si="15"/>
        <v>101</v>
      </c>
      <c r="L77" s="99" t="str">
        <f t="shared" si="16"/>
        <v>[101,20]</v>
      </c>
    </row>
    <row r="78" spans="2:23" x14ac:dyDescent="0.3">
      <c r="B78" s="2">
        <v>6</v>
      </c>
      <c r="C78" s="2">
        <f>游戏时长规划!V9</f>
        <v>6</v>
      </c>
      <c r="D78" s="2">
        <f>SUM(C$73:C78)</f>
        <v>21</v>
      </c>
      <c r="E78" s="34">
        <f>C78/[1]基础经济系数!$C$5</f>
        <v>0.6</v>
      </c>
      <c r="F78" s="34">
        <f>D78/[1]基础经济系数!$C$5</f>
        <v>2.1</v>
      </c>
      <c r="G78" s="2">
        <f t="shared" si="13"/>
        <v>21</v>
      </c>
      <c r="H78" s="2" t="s">
        <v>519</v>
      </c>
      <c r="I78" s="29">
        <f t="shared" si="14"/>
        <v>150</v>
      </c>
      <c r="J78" s="32">
        <v>200</v>
      </c>
      <c r="K78" s="2">
        <f t="shared" si="15"/>
        <v>111</v>
      </c>
      <c r="L78" s="99" t="str">
        <f t="shared" si="16"/>
        <v>[111,200]</v>
      </c>
    </row>
    <row r="79" spans="2:23" x14ac:dyDescent="0.3">
      <c r="B79" s="2">
        <v>7</v>
      </c>
      <c r="C79" s="2">
        <f>游戏时长规划!V10</f>
        <v>8</v>
      </c>
      <c r="D79" s="2">
        <f>SUM(C$73:C79)</f>
        <v>29</v>
      </c>
      <c r="E79" s="34">
        <f>C79/[1]基础经济系数!$C$5</f>
        <v>0.8</v>
      </c>
      <c r="F79" s="34">
        <f>D79/[1]基础经济系数!$C$5</f>
        <v>2.9</v>
      </c>
      <c r="G79" s="2">
        <f t="shared" si="13"/>
        <v>28</v>
      </c>
      <c r="H79" s="2" t="s">
        <v>275</v>
      </c>
      <c r="I79" s="29">
        <f t="shared" si="14"/>
        <v>133.3333333333332</v>
      </c>
      <c r="J79" s="32">
        <v>6000</v>
      </c>
      <c r="K79" s="2">
        <f t="shared" si="15"/>
        <v>102</v>
      </c>
      <c r="L79" s="99" t="str">
        <f t="shared" si="16"/>
        <v>[102,6000]</v>
      </c>
    </row>
    <row r="80" spans="2:23" x14ac:dyDescent="0.3">
      <c r="B80" s="2">
        <v>8</v>
      </c>
      <c r="C80" s="2">
        <f>游戏时长规划!V11</f>
        <v>2</v>
      </c>
      <c r="D80" s="2">
        <f>SUM(C$73:C80)</f>
        <v>31</v>
      </c>
      <c r="E80" s="34">
        <f>C80/[1]基础经济系数!$C$5</f>
        <v>0.2</v>
      </c>
      <c r="F80" s="34">
        <f>D80/[1]基础经济系数!$C$5</f>
        <v>3.1</v>
      </c>
      <c r="G80" s="2">
        <f t="shared" si="13"/>
        <v>7</v>
      </c>
      <c r="H80" s="2" t="s">
        <v>587</v>
      </c>
      <c r="I80" s="29">
        <f t="shared" si="14"/>
        <v>60</v>
      </c>
      <c r="J80" s="32">
        <v>1</v>
      </c>
      <c r="K80" s="2">
        <f t="shared" si="15"/>
        <v>100302</v>
      </c>
      <c r="L80" s="99" t="str">
        <f t="shared" si="16"/>
        <v>[100302,1]</v>
      </c>
    </row>
    <row r="81" spans="2:12" x14ac:dyDescent="0.3">
      <c r="B81" s="2">
        <v>9</v>
      </c>
      <c r="C81" s="2">
        <f>游戏时长规划!V12</f>
        <v>3</v>
      </c>
      <c r="D81" s="2">
        <f>SUM(C$73:C81)</f>
        <v>34</v>
      </c>
      <c r="E81" s="34">
        <f>C81/[1]基础经济系数!$C$5</f>
        <v>0.3</v>
      </c>
      <c r="F81" s="34">
        <f>D81/[1]基础经济系数!$C$5</f>
        <v>3.4</v>
      </c>
      <c r="G81" s="2">
        <f t="shared" si="13"/>
        <v>10.5</v>
      </c>
      <c r="H81" s="2" t="s">
        <v>325</v>
      </c>
      <c r="I81" s="29">
        <f t="shared" si="14"/>
        <v>40</v>
      </c>
      <c r="J81" s="32">
        <v>40</v>
      </c>
      <c r="K81" s="2">
        <f t="shared" si="15"/>
        <v>101</v>
      </c>
      <c r="L81" s="99" t="str">
        <f t="shared" si="16"/>
        <v>[101,40]</v>
      </c>
    </row>
    <row r="82" spans="2:12" x14ac:dyDescent="0.3">
      <c r="B82" s="2">
        <v>10</v>
      </c>
      <c r="C82" s="2">
        <f>游戏时长规划!V13</f>
        <v>4</v>
      </c>
      <c r="D82" s="2">
        <f>SUM(C$73:C82)</f>
        <v>38</v>
      </c>
      <c r="E82" s="34">
        <f>C82/[1]基础经济系数!$C$5</f>
        <v>0.4</v>
      </c>
      <c r="F82" s="34">
        <f>D82/[1]基础经济系数!$C$5</f>
        <v>3.8</v>
      </c>
      <c r="G82" s="2">
        <f t="shared" si="13"/>
        <v>14</v>
      </c>
      <c r="H82" s="2" t="s">
        <v>280</v>
      </c>
      <c r="I82" s="29">
        <f t="shared" si="14"/>
        <v>37.5</v>
      </c>
      <c r="J82" s="32">
        <v>30</v>
      </c>
      <c r="K82" s="2">
        <f t="shared" si="15"/>
        <v>105</v>
      </c>
      <c r="L82" s="99" t="str">
        <f t="shared" si="16"/>
        <v>[105,30]</v>
      </c>
    </row>
    <row r="83" spans="2:12" x14ac:dyDescent="0.3">
      <c r="B83" s="2">
        <v>11</v>
      </c>
      <c r="C83" s="2">
        <f>游戏时长规划!V14</f>
        <v>5</v>
      </c>
      <c r="D83" s="2">
        <f>SUM(C$73:C83)</f>
        <v>43</v>
      </c>
      <c r="E83" s="34">
        <f>C83/[1]基础经济系数!$C$5</f>
        <v>0.5</v>
      </c>
      <c r="F83" s="34">
        <f>D83/[1]基础经济系数!$C$5</f>
        <v>4.3</v>
      </c>
      <c r="G83" s="2">
        <f t="shared" si="13"/>
        <v>17.5</v>
      </c>
      <c r="H83" s="2" t="s">
        <v>275</v>
      </c>
      <c r="I83" s="29">
        <f t="shared" si="14"/>
        <v>222.222222222222</v>
      </c>
      <c r="J83" s="32">
        <v>10000</v>
      </c>
      <c r="K83" s="2">
        <f t="shared" si="15"/>
        <v>102</v>
      </c>
      <c r="L83" s="99" t="str">
        <f t="shared" si="16"/>
        <v>[102,10000]</v>
      </c>
    </row>
    <row r="84" spans="2:12" x14ac:dyDescent="0.3">
      <c r="B84" s="2">
        <v>12</v>
      </c>
      <c r="C84" s="2">
        <f>游戏时长规划!V15</f>
        <v>6</v>
      </c>
      <c r="D84" s="2">
        <f>SUM(C$73:C84)</f>
        <v>49</v>
      </c>
      <c r="E84" s="34">
        <f>C84/[1]基础经济系数!$C$5</f>
        <v>0.6</v>
      </c>
      <c r="F84" s="34">
        <f>D84/[1]基础经济系数!$C$5</f>
        <v>4.9000000000000004</v>
      </c>
      <c r="G84" s="2">
        <f t="shared" si="13"/>
        <v>21</v>
      </c>
      <c r="H84" s="2" t="s">
        <v>587</v>
      </c>
      <c r="I84" s="29">
        <f t="shared" si="14"/>
        <v>120</v>
      </c>
      <c r="J84" s="32">
        <v>2</v>
      </c>
      <c r="K84" s="2">
        <f t="shared" si="15"/>
        <v>100302</v>
      </c>
      <c r="L84" s="99" t="str">
        <f t="shared" si="16"/>
        <v>[100302,2]</v>
      </c>
    </row>
    <row r="85" spans="2:12" x14ac:dyDescent="0.3">
      <c r="B85" s="2">
        <v>13</v>
      </c>
      <c r="C85" s="2">
        <f>游戏时长规划!V16</f>
        <v>8</v>
      </c>
      <c r="D85" s="2">
        <f>SUM(C$73:C85)</f>
        <v>57</v>
      </c>
      <c r="E85" s="34">
        <f>C85/[1]基础经济系数!$C$5</f>
        <v>0.8</v>
      </c>
      <c r="F85" s="34">
        <f>D85/[1]基础经济系数!$C$5</f>
        <v>5.7</v>
      </c>
      <c r="G85" s="2">
        <f t="shared" si="13"/>
        <v>28</v>
      </c>
      <c r="H85" s="2" t="s">
        <v>325</v>
      </c>
      <c r="I85" s="29">
        <f t="shared" si="14"/>
        <v>60</v>
      </c>
      <c r="J85" s="32">
        <v>60</v>
      </c>
      <c r="K85" s="2">
        <f t="shared" si="15"/>
        <v>101</v>
      </c>
      <c r="L85" s="99" t="str">
        <f t="shared" si="16"/>
        <v>[101,60]</v>
      </c>
    </row>
    <row r="86" spans="2:12" x14ac:dyDescent="0.3">
      <c r="B86" s="2">
        <v>14</v>
      </c>
      <c r="C86" s="2">
        <f>游戏时长规划!V17</f>
        <v>10</v>
      </c>
      <c r="D86" s="2">
        <f>SUM(C$73:C86)</f>
        <v>67</v>
      </c>
      <c r="E86" s="34">
        <f>C86/[1]基础经济系数!$C$5</f>
        <v>1</v>
      </c>
      <c r="F86" s="34">
        <f>D86/[1]基础经济系数!$C$5</f>
        <v>6.7</v>
      </c>
      <c r="G86" s="2">
        <f t="shared" si="13"/>
        <v>35</v>
      </c>
      <c r="H86" s="2" t="s">
        <v>519</v>
      </c>
      <c r="I86" s="29">
        <f t="shared" si="14"/>
        <v>300</v>
      </c>
      <c r="J86" s="32">
        <v>400</v>
      </c>
      <c r="K86" s="2">
        <f t="shared" si="15"/>
        <v>111</v>
      </c>
      <c r="L86" s="99" t="str">
        <f t="shared" si="16"/>
        <v>[111,400]</v>
      </c>
    </row>
    <row r="87" spans="2:12" x14ac:dyDescent="0.3">
      <c r="B87" s="2">
        <v>15</v>
      </c>
      <c r="C87" s="2">
        <f>游戏时长规划!V18</f>
        <v>15</v>
      </c>
      <c r="D87" s="2">
        <f>SUM(C$73:C87)</f>
        <v>82</v>
      </c>
      <c r="E87" s="34">
        <f>C87/[1]基础经济系数!$C$5</f>
        <v>1.5</v>
      </c>
      <c r="F87" s="34">
        <f>D87/[1]基础经济系数!$C$5</f>
        <v>8.1999999999999993</v>
      </c>
      <c r="G87" s="2">
        <f t="shared" si="13"/>
        <v>52.5</v>
      </c>
      <c r="H87" s="2" t="s">
        <v>275</v>
      </c>
      <c r="I87" s="29">
        <f t="shared" si="14"/>
        <v>311.1111111111108</v>
      </c>
      <c r="J87" s="32">
        <v>14000</v>
      </c>
      <c r="K87" s="2">
        <f t="shared" si="15"/>
        <v>102</v>
      </c>
      <c r="L87" s="99" t="str">
        <f t="shared" si="16"/>
        <v>[102,14000]</v>
      </c>
    </row>
    <row r="88" spans="2:12" x14ac:dyDescent="0.3">
      <c r="B88" s="2">
        <v>16</v>
      </c>
      <c r="C88" s="2">
        <f>游戏时长规划!V19</f>
        <v>15</v>
      </c>
      <c r="D88" s="2">
        <f>SUM(C$73:C88)</f>
        <v>97</v>
      </c>
      <c r="E88" s="34">
        <f>C88/[1]基础经济系数!$C$5</f>
        <v>1.5</v>
      </c>
      <c r="F88" s="34">
        <f>D88/[1]基础经济系数!$C$5</f>
        <v>9.6999999999999993</v>
      </c>
      <c r="G88" s="2">
        <f t="shared" si="13"/>
        <v>52.5</v>
      </c>
      <c r="H88" s="2" t="s">
        <v>587</v>
      </c>
      <c r="I88" s="29">
        <f t="shared" si="14"/>
        <v>120</v>
      </c>
      <c r="J88" s="32">
        <v>2</v>
      </c>
      <c r="K88" s="2">
        <f t="shared" si="15"/>
        <v>100302</v>
      </c>
      <c r="L88" s="99" t="str">
        <f t="shared" si="16"/>
        <v>[100302,2]</v>
      </c>
    </row>
    <row r="89" spans="2:12" x14ac:dyDescent="0.3">
      <c r="B89" s="2">
        <v>17</v>
      </c>
      <c r="C89" s="2">
        <f>游戏时长规划!V20</f>
        <v>20</v>
      </c>
      <c r="D89" s="2">
        <f>SUM(C$73:C89)</f>
        <v>117</v>
      </c>
      <c r="E89" s="34">
        <f>C89/[1]基础经济系数!$C$5</f>
        <v>2</v>
      </c>
      <c r="F89" s="34">
        <f>D89/[1]基础经济系数!$C$5</f>
        <v>11.7</v>
      </c>
      <c r="G89" s="2">
        <f t="shared" si="13"/>
        <v>70</v>
      </c>
      <c r="H89" s="2" t="s">
        <v>325</v>
      </c>
      <c r="I89" s="29">
        <f t="shared" si="14"/>
        <v>80</v>
      </c>
      <c r="J89" s="32">
        <v>80</v>
      </c>
      <c r="K89" s="2">
        <f t="shared" si="15"/>
        <v>101</v>
      </c>
      <c r="L89" s="99" t="str">
        <f t="shared" si="16"/>
        <v>[101,80]</v>
      </c>
    </row>
    <row r="90" spans="2:12" x14ac:dyDescent="0.3">
      <c r="B90" s="2">
        <v>18</v>
      </c>
      <c r="C90" s="2">
        <f>游戏时长规划!V21</f>
        <v>25</v>
      </c>
      <c r="D90" s="2">
        <f>SUM(C$73:C90)</f>
        <v>142</v>
      </c>
      <c r="E90" s="34">
        <f>C90/[1]基础经济系数!$C$5</f>
        <v>2.5</v>
      </c>
      <c r="F90" s="34">
        <f>D90/[1]基础经济系数!$C$5</f>
        <v>14.2</v>
      </c>
      <c r="G90" s="2">
        <f t="shared" si="13"/>
        <v>87.5</v>
      </c>
      <c r="H90" s="2" t="s">
        <v>280</v>
      </c>
      <c r="I90" s="29">
        <f t="shared" si="14"/>
        <v>37.5</v>
      </c>
      <c r="J90" s="32">
        <v>30</v>
      </c>
      <c r="K90" s="2">
        <f t="shared" si="15"/>
        <v>105</v>
      </c>
      <c r="L90" s="99" t="str">
        <f t="shared" si="16"/>
        <v>[105,30]</v>
      </c>
    </row>
    <row r="91" spans="2:12" x14ac:dyDescent="0.3">
      <c r="B91" s="2">
        <v>19</v>
      </c>
      <c r="C91" s="2">
        <f>游戏时长规划!V22</f>
        <v>30</v>
      </c>
      <c r="D91" s="2">
        <f>SUM(C$73:C91)</f>
        <v>172</v>
      </c>
      <c r="E91" s="34">
        <f>C91/[1]基础经济系数!$C$5</f>
        <v>3</v>
      </c>
      <c r="F91" s="34">
        <f>D91/[1]基础经济系数!$C$5</f>
        <v>17.2</v>
      </c>
      <c r="G91" s="2">
        <f t="shared" si="13"/>
        <v>105</v>
      </c>
      <c r="H91" s="2" t="s">
        <v>275</v>
      </c>
      <c r="I91" s="29">
        <f t="shared" si="14"/>
        <v>399.9999999999996</v>
      </c>
      <c r="J91" s="32">
        <v>18000</v>
      </c>
      <c r="K91" s="2">
        <f t="shared" si="15"/>
        <v>102</v>
      </c>
      <c r="L91" s="99" t="str">
        <f t="shared" si="16"/>
        <v>[102,18000]</v>
      </c>
    </row>
    <row r="92" spans="2:12" x14ac:dyDescent="0.3">
      <c r="B92" s="2">
        <v>20</v>
      </c>
      <c r="C92" s="2">
        <f>游戏时长规划!V23</f>
        <v>40</v>
      </c>
      <c r="D92" s="2">
        <f>SUM(C$73:C92)</f>
        <v>212</v>
      </c>
      <c r="E92" s="34">
        <f>C92/[1]基础经济系数!$C$5</f>
        <v>4</v>
      </c>
      <c r="F92" s="34">
        <f>D92/[1]基础经济系数!$C$5</f>
        <v>21.2</v>
      </c>
      <c r="G92" s="2">
        <f t="shared" si="13"/>
        <v>140</v>
      </c>
      <c r="H92" s="2" t="s">
        <v>587</v>
      </c>
      <c r="I92" s="29">
        <f t="shared" si="14"/>
        <v>180</v>
      </c>
      <c r="J92" s="32">
        <v>3</v>
      </c>
      <c r="K92" s="2">
        <f t="shared" si="15"/>
        <v>100302</v>
      </c>
      <c r="L92" s="99" t="str">
        <f t="shared" si="16"/>
        <v>[100302,3]</v>
      </c>
    </row>
    <row r="93" spans="2:12" x14ac:dyDescent="0.3">
      <c r="B93" s="2">
        <v>21</v>
      </c>
      <c r="C93" s="2">
        <f>游戏时长规划!V24</f>
        <v>50</v>
      </c>
      <c r="D93" s="2">
        <f>SUM(C$73:C93)</f>
        <v>262</v>
      </c>
      <c r="E93" s="34">
        <f>C93/[1]基础经济系数!$C$5</f>
        <v>5</v>
      </c>
      <c r="F93" s="34">
        <f>D93/[1]基础经济系数!$C$5</f>
        <v>26.2</v>
      </c>
      <c r="G93" s="2">
        <f t="shared" si="13"/>
        <v>175</v>
      </c>
      <c r="H93" s="2" t="s">
        <v>325</v>
      </c>
      <c r="I93" s="29">
        <f t="shared" si="14"/>
        <v>100</v>
      </c>
      <c r="J93" s="32">
        <v>100</v>
      </c>
      <c r="K93" s="2">
        <f t="shared" si="15"/>
        <v>101</v>
      </c>
      <c r="L93" s="99" t="str">
        <f t="shared" si="16"/>
        <v>[101,100]</v>
      </c>
    </row>
    <row r="94" spans="2:12" x14ac:dyDescent="0.3">
      <c r="B94" s="2">
        <v>22</v>
      </c>
      <c r="C94" s="2">
        <f>游戏时长规划!V25</f>
        <v>65</v>
      </c>
      <c r="D94" s="2">
        <f>SUM(C$73:C94)</f>
        <v>327</v>
      </c>
      <c r="E94" s="34">
        <f>C94/[1]基础经济系数!$C$5</f>
        <v>6.5</v>
      </c>
      <c r="F94" s="34">
        <f>D94/[1]基础经济系数!$C$5</f>
        <v>32.700000000000003</v>
      </c>
      <c r="G94" s="2">
        <f t="shared" si="13"/>
        <v>227.5</v>
      </c>
      <c r="H94" s="2" t="s">
        <v>519</v>
      </c>
      <c r="I94" s="29">
        <f t="shared" si="14"/>
        <v>450</v>
      </c>
      <c r="J94" s="32">
        <v>600</v>
      </c>
      <c r="K94" s="2">
        <f t="shared" si="15"/>
        <v>111</v>
      </c>
      <c r="L94" s="99" t="str">
        <f t="shared" si="16"/>
        <v>[111,600]</v>
      </c>
    </row>
    <row r="95" spans="2:12" x14ac:dyDescent="0.3">
      <c r="B95" s="2">
        <v>23</v>
      </c>
      <c r="C95" s="2">
        <f>游戏时长规划!V26</f>
        <v>80</v>
      </c>
      <c r="D95" s="2">
        <f>SUM(C$73:C95)</f>
        <v>407</v>
      </c>
      <c r="E95" s="34">
        <f>C95/[1]基础经济系数!$C$5</f>
        <v>8</v>
      </c>
      <c r="F95" s="34">
        <f>D95/[1]基础经济系数!$C$5</f>
        <v>40.700000000000003</v>
      </c>
      <c r="G95" s="2">
        <f t="shared" si="13"/>
        <v>280</v>
      </c>
      <c r="H95" s="2" t="s">
        <v>275</v>
      </c>
      <c r="I95" s="29">
        <f t="shared" si="14"/>
        <v>488.88888888888835</v>
      </c>
      <c r="J95" s="32">
        <v>22000</v>
      </c>
      <c r="K95" s="2">
        <f t="shared" si="15"/>
        <v>102</v>
      </c>
      <c r="L95" s="99" t="str">
        <f t="shared" si="16"/>
        <v>[102,22000]</v>
      </c>
    </row>
    <row r="96" spans="2:12" x14ac:dyDescent="0.3">
      <c r="B96" s="2">
        <v>24</v>
      </c>
      <c r="C96" s="2">
        <f>游戏时长规划!V27</f>
        <v>105</v>
      </c>
      <c r="D96" s="2">
        <f>SUM(C$73:C96)</f>
        <v>512</v>
      </c>
      <c r="E96" s="34">
        <f>C96/[1]基础经济系数!$C$5</f>
        <v>10.5</v>
      </c>
      <c r="F96" s="34">
        <f>D96/[1]基础经济系数!$C$5</f>
        <v>51.2</v>
      </c>
      <c r="G96" s="2">
        <f t="shared" si="13"/>
        <v>367.5</v>
      </c>
      <c r="H96" s="2" t="s">
        <v>587</v>
      </c>
      <c r="I96" s="29">
        <f t="shared" si="14"/>
        <v>180</v>
      </c>
      <c r="J96" s="32">
        <v>3</v>
      </c>
      <c r="K96" s="2">
        <f t="shared" si="15"/>
        <v>100302</v>
      </c>
      <c r="L96" s="99" t="str">
        <f t="shared" si="16"/>
        <v>[100302,3]</v>
      </c>
    </row>
    <row r="97" spans="2:12" x14ac:dyDescent="0.3">
      <c r="B97" s="2">
        <v>25</v>
      </c>
      <c r="C97" s="2">
        <f>游戏时长规划!V28</f>
        <v>130</v>
      </c>
      <c r="D97" s="2">
        <f>SUM(C$73:C97)</f>
        <v>642</v>
      </c>
      <c r="E97" s="34">
        <f>C97/[1]基础经济系数!$C$5</f>
        <v>13</v>
      </c>
      <c r="F97" s="34">
        <f>D97/[1]基础经济系数!$C$5</f>
        <v>64.2</v>
      </c>
      <c r="G97" s="2">
        <f t="shared" si="13"/>
        <v>455</v>
      </c>
      <c r="H97" s="2" t="s">
        <v>325</v>
      </c>
      <c r="I97" s="29">
        <f t="shared" si="14"/>
        <v>120</v>
      </c>
      <c r="J97" s="32">
        <v>120</v>
      </c>
      <c r="K97" s="2">
        <f t="shared" si="15"/>
        <v>101</v>
      </c>
      <c r="L97" s="99" t="str">
        <f t="shared" si="16"/>
        <v>[101,120]</v>
      </c>
    </row>
    <row r="98" spans="2:12" x14ac:dyDescent="0.3">
      <c r="B98" s="2">
        <v>26</v>
      </c>
      <c r="C98" s="2">
        <f>游戏时长规划!V29</f>
        <v>165</v>
      </c>
      <c r="D98" s="2">
        <f>SUM(C$73:C98)</f>
        <v>807</v>
      </c>
      <c r="E98" s="34">
        <f>C98/[1]基础经济系数!$C$5</f>
        <v>16.5</v>
      </c>
      <c r="F98" s="34">
        <f>D98/[1]基础经济系数!$C$5</f>
        <v>80.7</v>
      </c>
      <c r="G98" s="2">
        <f t="shared" si="13"/>
        <v>577.5</v>
      </c>
      <c r="H98" s="2" t="s">
        <v>280</v>
      </c>
      <c r="I98" s="29">
        <f t="shared" si="14"/>
        <v>37.5</v>
      </c>
      <c r="J98" s="32">
        <v>30</v>
      </c>
      <c r="K98" s="2">
        <f t="shared" si="15"/>
        <v>105</v>
      </c>
      <c r="L98" s="99" t="str">
        <f t="shared" si="16"/>
        <v>[105,30]</v>
      </c>
    </row>
    <row r="99" spans="2:12" x14ac:dyDescent="0.3">
      <c r="B99" s="2">
        <v>27</v>
      </c>
      <c r="C99" s="2">
        <f>游戏时长规划!V30</f>
        <v>205</v>
      </c>
      <c r="D99" s="2">
        <f>SUM(C$73:C99)</f>
        <v>1012</v>
      </c>
      <c r="E99" s="34">
        <f>C99/[1]基础经济系数!$C$5</f>
        <v>20.5</v>
      </c>
      <c r="F99" s="34">
        <f>D99/[1]基础经济系数!$C$5</f>
        <v>101.2</v>
      </c>
      <c r="G99" s="2">
        <f t="shared" si="13"/>
        <v>717.5</v>
      </c>
      <c r="H99" s="2" t="s">
        <v>275</v>
      </c>
      <c r="I99" s="29">
        <f t="shared" si="14"/>
        <v>577.77777777777715</v>
      </c>
      <c r="J99" s="32">
        <v>26000</v>
      </c>
      <c r="K99" s="2">
        <f t="shared" si="15"/>
        <v>102</v>
      </c>
      <c r="L99" s="99" t="str">
        <f t="shared" si="16"/>
        <v>[102,26000]</v>
      </c>
    </row>
    <row r="100" spans="2:12" x14ac:dyDescent="0.3">
      <c r="B100" s="2">
        <v>28</v>
      </c>
      <c r="C100" s="2">
        <f>游戏时长规划!V31</f>
        <v>260</v>
      </c>
      <c r="D100" s="2">
        <f>SUM(C$73:C100)</f>
        <v>1272</v>
      </c>
      <c r="E100" s="34">
        <f>C100/[1]基础经济系数!$C$5</f>
        <v>26</v>
      </c>
      <c r="F100" s="34">
        <f>D100/[1]基础经济系数!$C$5</f>
        <v>127.2</v>
      </c>
      <c r="G100" s="2">
        <f t="shared" si="13"/>
        <v>910</v>
      </c>
      <c r="H100" s="2" t="s">
        <v>587</v>
      </c>
      <c r="I100" s="29">
        <f t="shared" si="14"/>
        <v>240</v>
      </c>
      <c r="J100" s="32">
        <v>4</v>
      </c>
      <c r="K100" s="2">
        <f t="shared" si="15"/>
        <v>100302</v>
      </c>
      <c r="L100" s="99" t="str">
        <f t="shared" si="16"/>
        <v>[100302,4]</v>
      </c>
    </row>
    <row r="101" spans="2:12" x14ac:dyDescent="0.3">
      <c r="B101" s="2">
        <v>29</v>
      </c>
      <c r="C101" s="2">
        <f>游戏时长规划!V32</f>
        <v>330</v>
      </c>
      <c r="D101" s="2">
        <f>SUM(C$73:C101)</f>
        <v>1602</v>
      </c>
      <c r="E101" s="34">
        <f>C101/[1]基础经济系数!$C$5</f>
        <v>33</v>
      </c>
      <c r="F101" s="34">
        <f>D101/[1]基础经济系数!$C$5</f>
        <v>160.19999999999999</v>
      </c>
      <c r="G101" s="2">
        <f t="shared" si="13"/>
        <v>1155</v>
      </c>
      <c r="H101" s="2" t="s">
        <v>325</v>
      </c>
      <c r="I101" s="29">
        <f t="shared" si="14"/>
        <v>140</v>
      </c>
      <c r="J101" s="32">
        <v>140</v>
      </c>
      <c r="K101" s="2">
        <f t="shared" si="15"/>
        <v>101</v>
      </c>
      <c r="L101" s="99" t="str">
        <f t="shared" si="16"/>
        <v>[101,140]</v>
      </c>
    </row>
    <row r="102" spans="2:12" x14ac:dyDescent="0.3">
      <c r="B102" s="2">
        <v>30</v>
      </c>
      <c r="C102" s="2">
        <f>游戏时长规划!V33</f>
        <v>420</v>
      </c>
      <c r="D102" s="2">
        <f>SUM(C$73:C102)</f>
        <v>2022</v>
      </c>
      <c r="E102" s="34">
        <f>C102/[1]基础经济系数!$C$5</f>
        <v>42</v>
      </c>
      <c r="F102" s="34">
        <f>D102/[1]基础经济系数!$C$5</f>
        <v>202.2</v>
      </c>
      <c r="G102" s="2">
        <f t="shared" si="13"/>
        <v>1470</v>
      </c>
      <c r="H102" s="2" t="s">
        <v>519</v>
      </c>
      <c r="I102" s="29">
        <f t="shared" si="14"/>
        <v>600</v>
      </c>
      <c r="J102" s="32">
        <v>800</v>
      </c>
      <c r="K102" s="2">
        <f t="shared" si="15"/>
        <v>111</v>
      </c>
      <c r="L102" s="99" t="str">
        <f t="shared" si="16"/>
        <v>[111,800]</v>
      </c>
    </row>
    <row r="106" spans="2:12" ht="18" x14ac:dyDescent="0.35">
      <c r="B106" s="100" t="s">
        <v>514</v>
      </c>
      <c r="I106" s="100"/>
    </row>
    <row r="107" spans="2:12" x14ac:dyDescent="0.3">
      <c r="B107" s="101" t="s">
        <v>2945</v>
      </c>
      <c r="C107" s="101" t="s">
        <v>2929</v>
      </c>
      <c r="D107" s="101" t="s">
        <v>2938</v>
      </c>
      <c r="E107" s="101" t="s">
        <v>578</v>
      </c>
      <c r="F107" s="101" t="s">
        <v>2936</v>
      </c>
    </row>
    <row r="108" spans="2:12" x14ac:dyDescent="0.3">
      <c r="B108" s="2">
        <v>1</v>
      </c>
      <c r="C108" s="2" t="s">
        <v>275</v>
      </c>
      <c r="D108" s="2">
        <v>60</v>
      </c>
      <c r="E108" s="2">
        <f t="shared" ref="E108:E114" si="17">VLOOKUP(C108,道具ID,2,FALSE)</f>
        <v>102</v>
      </c>
      <c r="F108" s="2">
        <f t="shared" ref="F108:F114" si="18">VLOOKUP(C108,V:W,2,FALSE)*D108</f>
        <v>1.3333333333333319</v>
      </c>
    </row>
    <row r="109" spans="2:12" x14ac:dyDescent="0.3">
      <c r="B109" s="102">
        <v>2</v>
      </c>
      <c r="C109" s="2" t="s">
        <v>325</v>
      </c>
      <c r="D109" s="2">
        <v>100</v>
      </c>
      <c r="E109" s="2">
        <f t="shared" si="17"/>
        <v>101</v>
      </c>
      <c r="F109" s="2">
        <f t="shared" si="18"/>
        <v>100</v>
      </c>
    </row>
    <row r="110" spans="2:12" x14ac:dyDescent="0.3">
      <c r="B110" s="2">
        <v>3</v>
      </c>
      <c r="C110" s="2" t="s">
        <v>280</v>
      </c>
      <c r="D110" s="2">
        <v>20</v>
      </c>
      <c r="E110" s="2">
        <f t="shared" si="17"/>
        <v>105</v>
      </c>
      <c r="F110" s="2">
        <f t="shared" si="18"/>
        <v>25</v>
      </c>
    </row>
    <row r="111" spans="2:12" x14ac:dyDescent="0.3">
      <c r="B111" s="102">
        <v>4</v>
      </c>
      <c r="C111" s="2" t="s">
        <v>2417</v>
      </c>
      <c r="D111" s="2">
        <v>1</v>
      </c>
      <c r="E111" s="2">
        <f t="shared" si="17"/>
        <v>24005</v>
      </c>
      <c r="F111" s="2">
        <f t="shared" si="18"/>
        <v>100</v>
      </c>
    </row>
    <row r="112" spans="2:12" x14ac:dyDescent="0.3">
      <c r="B112" s="2">
        <v>5</v>
      </c>
      <c r="C112" s="2" t="s">
        <v>275</v>
      </c>
      <c r="D112" s="2">
        <v>250</v>
      </c>
      <c r="E112" s="2">
        <f t="shared" si="17"/>
        <v>102</v>
      </c>
      <c r="F112" s="2">
        <f t="shared" si="18"/>
        <v>5.55555555555555</v>
      </c>
    </row>
    <row r="113" spans="2:13" x14ac:dyDescent="0.3">
      <c r="B113" s="2">
        <v>6</v>
      </c>
      <c r="C113" s="2" t="s">
        <v>288</v>
      </c>
      <c r="D113" s="2">
        <v>1</v>
      </c>
      <c r="E113" s="2">
        <f t="shared" si="17"/>
        <v>100301</v>
      </c>
      <c r="F113" s="2">
        <f t="shared" si="18"/>
        <v>35</v>
      </c>
    </row>
    <row r="114" spans="2:13" x14ac:dyDescent="0.3">
      <c r="B114" s="102">
        <v>7</v>
      </c>
      <c r="C114" s="2" t="s">
        <v>2479</v>
      </c>
      <c r="D114" s="2">
        <v>1</v>
      </c>
      <c r="E114" s="2">
        <f t="shared" si="17"/>
        <v>25155</v>
      </c>
      <c r="F114" s="2">
        <f t="shared" si="18"/>
        <v>600</v>
      </c>
    </row>
    <row r="116" spans="2:13" x14ac:dyDescent="0.3">
      <c r="B116" s="103" t="s">
        <v>2852</v>
      </c>
      <c r="C116" s="31">
        <f>SUM(F108:F114)</f>
        <v>866.88888888888891</v>
      </c>
    </row>
    <row r="117" spans="2:13" x14ac:dyDescent="0.3">
      <c r="B117" s="103" t="s">
        <v>2946</v>
      </c>
      <c r="C117" s="31">
        <f>C116/7</f>
        <v>123.84126984126985</v>
      </c>
    </row>
    <row r="118" spans="2:13" x14ac:dyDescent="0.3">
      <c r="B118" s="2" t="s">
        <v>2947</v>
      </c>
      <c r="C118" s="2">
        <f>SUMIFS(D108:D114,C108:C114,"钻石")</f>
        <v>100</v>
      </c>
    </row>
    <row r="120" spans="2:13" ht="18" x14ac:dyDescent="0.35">
      <c r="B120" s="100" t="s">
        <v>510</v>
      </c>
    </row>
    <row r="121" spans="2:13" x14ac:dyDescent="0.3">
      <c r="B121" s="101" t="s">
        <v>2945</v>
      </c>
      <c r="C121" s="101" t="s">
        <v>2929</v>
      </c>
      <c r="D121" s="101" t="s">
        <v>2938</v>
      </c>
      <c r="E121" s="101" t="s">
        <v>578</v>
      </c>
      <c r="F121" s="101" t="s">
        <v>2936</v>
      </c>
    </row>
    <row r="122" spans="2:13" x14ac:dyDescent="0.3">
      <c r="B122" s="2">
        <v>1</v>
      </c>
      <c r="C122" s="2" t="s">
        <v>275</v>
      </c>
      <c r="D122" s="2">
        <v>30</v>
      </c>
      <c r="E122" s="2">
        <f t="shared" ref="E122:E149" si="19">IFERROR(VLOOKUP(C122,道具ID,2,FALSE),0)</f>
        <v>102</v>
      </c>
      <c r="F122" s="2">
        <f t="shared" ref="F122:F149" si="20">IFERROR(VLOOKUP(C122,V:W,2,FALSE)*D122,0)</f>
        <v>0.66666666666666596</v>
      </c>
      <c r="L122" s="25"/>
      <c r="M122" s="25"/>
    </row>
    <row r="123" spans="2:13" x14ac:dyDescent="0.3">
      <c r="B123" s="2">
        <v>2</v>
      </c>
      <c r="C123" s="2" t="s">
        <v>280</v>
      </c>
      <c r="D123" s="2">
        <v>5</v>
      </c>
      <c r="E123" s="2">
        <f t="shared" si="19"/>
        <v>105</v>
      </c>
      <c r="F123" s="2">
        <f t="shared" si="20"/>
        <v>6.25</v>
      </c>
    </row>
    <row r="124" spans="2:13" x14ac:dyDescent="0.3">
      <c r="B124" s="2">
        <v>3</v>
      </c>
      <c r="C124" s="2" t="s">
        <v>288</v>
      </c>
      <c r="D124" s="2">
        <v>1</v>
      </c>
      <c r="E124" s="2">
        <f t="shared" si="19"/>
        <v>100301</v>
      </c>
      <c r="F124" s="2">
        <f t="shared" si="20"/>
        <v>35</v>
      </c>
    </row>
    <row r="125" spans="2:13" x14ac:dyDescent="0.3">
      <c r="B125" s="2">
        <v>4</v>
      </c>
      <c r="C125" s="2" t="s">
        <v>275</v>
      </c>
      <c r="D125" s="2">
        <v>60</v>
      </c>
      <c r="E125" s="2">
        <f t="shared" si="19"/>
        <v>102</v>
      </c>
      <c r="F125" s="2">
        <f t="shared" si="20"/>
        <v>1.3333333333333319</v>
      </c>
    </row>
    <row r="126" spans="2:13" x14ac:dyDescent="0.3">
      <c r="B126" s="2">
        <v>5</v>
      </c>
      <c r="C126" s="2" t="s">
        <v>280</v>
      </c>
      <c r="D126" s="2">
        <v>10</v>
      </c>
      <c r="E126" s="2">
        <f t="shared" si="19"/>
        <v>105</v>
      </c>
      <c r="F126" s="2">
        <f t="shared" si="20"/>
        <v>12.5</v>
      </c>
    </row>
    <row r="127" spans="2:13" x14ac:dyDescent="0.3">
      <c r="B127" s="2">
        <v>6</v>
      </c>
      <c r="C127" s="2" t="s">
        <v>325</v>
      </c>
      <c r="D127" s="2">
        <v>50</v>
      </c>
      <c r="E127" s="2">
        <f t="shared" si="19"/>
        <v>101</v>
      </c>
      <c r="F127" s="2">
        <f t="shared" si="20"/>
        <v>50</v>
      </c>
    </row>
    <row r="128" spans="2:13" x14ac:dyDescent="0.3">
      <c r="B128" s="84">
        <v>7</v>
      </c>
      <c r="C128" s="2" t="s">
        <v>2398</v>
      </c>
      <c r="D128" s="2">
        <v>1</v>
      </c>
      <c r="E128" s="2">
        <f t="shared" si="19"/>
        <v>23001</v>
      </c>
      <c r="F128" s="2">
        <f t="shared" si="20"/>
        <v>100</v>
      </c>
    </row>
    <row r="129" spans="2:6" x14ac:dyDescent="0.3">
      <c r="B129" s="2">
        <v>8</v>
      </c>
      <c r="C129" s="2" t="s">
        <v>275</v>
      </c>
      <c r="D129" s="2">
        <v>120</v>
      </c>
      <c r="E129" s="2">
        <f t="shared" si="19"/>
        <v>102</v>
      </c>
      <c r="F129" s="2">
        <f t="shared" si="20"/>
        <v>2.6666666666666639</v>
      </c>
    </row>
    <row r="130" spans="2:6" x14ac:dyDescent="0.3">
      <c r="B130" s="2">
        <v>9</v>
      </c>
      <c r="C130" s="2" t="s">
        <v>519</v>
      </c>
      <c r="D130" s="2">
        <v>20</v>
      </c>
      <c r="E130" s="2">
        <f t="shared" si="19"/>
        <v>111</v>
      </c>
      <c r="F130" s="2">
        <f t="shared" si="20"/>
        <v>15</v>
      </c>
    </row>
    <row r="131" spans="2:6" x14ac:dyDescent="0.3">
      <c r="B131" s="2">
        <v>10</v>
      </c>
      <c r="C131" s="2" t="s">
        <v>288</v>
      </c>
      <c r="D131" s="2">
        <v>1</v>
      </c>
      <c r="E131" s="2">
        <f t="shared" si="19"/>
        <v>100301</v>
      </c>
      <c r="F131" s="2">
        <f t="shared" si="20"/>
        <v>35</v>
      </c>
    </row>
    <row r="132" spans="2:6" x14ac:dyDescent="0.3">
      <c r="B132" s="2">
        <v>11</v>
      </c>
      <c r="C132" s="2" t="s">
        <v>275</v>
      </c>
      <c r="D132" s="2">
        <v>120</v>
      </c>
      <c r="E132" s="2">
        <f t="shared" si="19"/>
        <v>102</v>
      </c>
      <c r="F132" s="2">
        <f t="shared" si="20"/>
        <v>2.6666666666666639</v>
      </c>
    </row>
    <row r="133" spans="2:6" x14ac:dyDescent="0.3">
      <c r="B133" s="2">
        <v>12</v>
      </c>
      <c r="C133" s="2" t="s">
        <v>519</v>
      </c>
      <c r="D133" s="2">
        <v>20</v>
      </c>
      <c r="E133" s="2">
        <f t="shared" si="19"/>
        <v>111</v>
      </c>
      <c r="F133" s="2">
        <f t="shared" si="20"/>
        <v>15</v>
      </c>
    </row>
    <row r="134" spans="2:6" x14ac:dyDescent="0.3">
      <c r="B134" s="2">
        <v>13</v>
      </c>
      <c r="C134" s="2" t="s">
        <v>325</v>
      </c>
      <c r="D134" s="2">
        <v>100</v>
      </c>
      <c r="E134" s="2">
        <f t="shared" si="19"/>
        <v>101</v>
      </c>
      <c r="F134" s="2">
        <f t="shared" si="20"/>
        <v>100</v>
      </c>
    </row>
    <row r="135" spans="2:6" x14ac:dyDescent="0.3">
      <c r="B135" s="84">
        <v>14</v>
      </c>
      <c r="C135" s="2" t="s">
        <v>2453</v>
      </c>
      <c r="D135" s="2">
        <v>1</v>
      </c>
      <c r="E135" s="2">
        <f t="shared" si="19"/>
        <v>25051</v>
      </c>
      <c r="F135" s="2">
        <f t="shared" si="20"/>
        <v>200</v>
      </c>
    </row>
    <row r="136" spans="2:6" x14ac:dyDescent="0.3">
      <c r="B136" s="2">
        <v>15</v>
      </c>
      <c r="C136" s="2" t="s">
        <v>275</v>
      </c>
      <c r="D136" s="2">
        <v>200</v>
      </c>
      <c r="E136" s="2">
        <f t="shared" si="19"/>
        <v>102</v>
      </c>
      <c r="F136" s="2">
        <f t="shared" si="20"/>
        <v>4.4444444444444393</v>
      </c>
    </row>
    <row r="137" spans="2:6" x14ac:dyDescent="0.3">
      <c r="B137" s="2">
        <v>16</v>
      </c>
      <c r="C137" s="2" t="s">
        <v>280</v>
      </c>
      <c r="D137" s="2">
        <v>20</v>
      </c>
      <c r="E137" s="2">
        <f t="shared" si="19"/>
        <v>105</v>
      </c>
      <c r="F137" s="2">
        <f t="shared" si="20"/>
        <v>25</v>
      </c>
    </row>
    <row r="138" spans="2:6" x14ac:dyDescent="0.3">
      <c r="B138" s="2">
        <v>17</v>
      </c>
      <c r="C138" s="2" t="s">
        <v>288</v>
      </c>
      <c r="D138" s="2">
        <v>1</v>
      </c>
      <c r="E138" s="2">
        <f t="shared" si="19"/>
        <v>100301</v>
      </c>
      <c r="F138" s="2">
        <f t="shared" si="20"/>
        <v>35</v>
      </c>
    </row>
    <row r="139" spans="2:6" x14ac:dyDescent="0.3">
      <c r="B139" s="2">
        <v>18</v>
      </c>
      <c r="C139" s="2" t="s">
        <v>275</v>
      </c>
      <c r="D139" s="2">
        <v>250</v>
      </c>
      <c r="E139" s="2">
        <f t="shared" si="19"/>
        <v>102</v>
      </c>
      <c r="F139" s="2">
        <f t="shared" si="20"/>
        <v>5.55555555555555</v>
      </c>
    </row>
    <row r="140" spans="2:6" x14ac:dyDescent="0.3">
      <c r="B140" s="2">
        <v>19</v>
      </c>
      <c r="C140" s="2" t="s">
        <v>519</v>
      </c>
      <c r="D140" s="2">
        <v>20</v>
      </c>
      <c r="E140" s="2">
        <f t="shared" si="19"/>
        <v>111</v>
      </c>
      <c r="F140" s="2">
        <f t="shared" si="20"/>
        <v>15</v>
      </c>
    </row>
    <row r="141" spans="2:6" x14ac:dyDescent="0.3">
      <c r="B141" s="2">
        <v>20</v>
      </c>
      <c r="C141" s="2" t="s">
        <v>325</v>
      </c>
      <c r="D141" s="2">
        <v>100</v>
      </c>
      <c r="E141" s="2">
        <f t="shared" si="19"/>
        <v>101</v>
      </c>
      <c r="F141" s="2">
        <f t="shared" si="20"/>
        <v>100</v>
      </c>
    </row>
    <row r="142" spans="2:6" x14ac:dyDescent="0.3">
      <c r="B142" s="84">
        <v>21</v>
      </c>
      <c r="C142" s="2" t="s">
        <v>2398</v>
      </c>
      <c r="D142" s="2">
        <v>1</v>
      </c>
      <c r="E142" s="2">
        <f t="shared" si="19"/>
        <v>23001</v>
      </c>
      <c r="F142" s="2">
        <f t="shared" si="20"/>
        <v>100</v>
      </c>
    </row>
    <row r="143" spans="2:6" x14ac:dyDescent="0.3">
      <c r="B143" s="2">
        <v>22</v>
      </c>
      <c r="C143" s="2" t="s">
        <v>275</v>
      </c>
      <c r="D143" s="2">
        <v>600</v>
      </c>
      <c r="E143" s="2">
        <f t="shared" si="19"/>
        <v>102</v>
      </c>
      <c r="F143" s="2">
        <f t="shared" si="20"/>
        <v>13.33333333333332</v>
      </c>
    </row>
    <row r="144" spans="2:6" x14ac:dyDescent="0.3">
      <c r="B144" s="2">
        <v>23</v>
      </c>
      <c r="C144" s="2" t="s">
        <v>519</v>
      </c>
      <c r="D144" s="2">
        <v>20</v>
      </c>
      <c r="E144" s="2">
        <f t="shared" si="19"/>
        <v>111</v>
      </c>
      <c r="F144" s="2">
        <f t="shared" si="20"/>
        <v>15</v>
      </c>
    </row>
    <row r="145" spans="2:6" x14ac:dyDescent="0.3">
      <c r="B145" s="2">
        <v>24</v>
      </c>
      <c r="C145" s="2" t="s">
        <v>288</v>
      </c>
      <c r="D145" s="2">
        <v>1</v>
      </c>
      <c r="E145" s="2">
        <f t="shared" si="19"/>
        <v>100301</v>
      </c>
      <c r="F145" s="2">
        <f t="shared" si="20"/>
        <v>35</v>
      </c>
    </row>
    <row r="146" spans="2:6" x14ac:dyDescent="0.3">
      <c r="B146" s="2">
        <v>25</v>
      </c>
      <c r="C146" s="2" t="s">
        <v>275</v>
      </c>
      <c r="D146" s="2">
        <v>600</v>
      </c>
      <c r="E146" s="2">
        <f t="shared" si="19"/>
        <v>102</v>
      </c>
      <c r="F146" s="2">
        <f t="shared" si="20"/>
        <v>13.33333333333332</v>
      </c>
    </row>
    <row r="147" spans="2:6" x14ac:dyDescent="0.3">
      <c r="B147" s="2">
        <v>26</v>
      </c>
      <c r="C147" s="2" t="s">
        <v>280</v>
      </c>
      <c r="D147" s="2">
        <v>10</v>
      </c>
      <c r="E147" s="2">
        <f t="shared" si="19"/>
        <v>105</v>
      </c>
      <c r="F147" s="2">
        <f t="shared" si="20"/>
        <v>12.5</v>
      </c>
    </row>
    <row r="148" spans="2:6" x14ac:dyDescent="0.3">
      <c r="B148" s="2">
        <v>27</v>
      </c>
      <c r="C148" s="2" t="s">
        <v>325</v>
      </c>
      <c r="D148" s="2">
        <v>150</v>
      </c>
      <c r="E148" s="2">
        <f t="shared" si="19"/>
        <v>101</v>
      </c>
      <c r="F148" s="2">
        <f t="shared" si="20"/>
        <v>150</v>
      </c>
    </row>
    <row r="149" spans="2:6" x14ac:dyDescent="0.3">
      <c r="B149" s="84">
        <v>28</v>
      </c>
      <c r="C149" s="2" t="s">
        <v>2475</v>
      </c>
      <c r="D149" s="2">
        <v>1</v>
      </c>
      <c r="E149" s="2">
        <f t="shared" si="19"/>
        <v>25151</v>
      </c>
      <c r="F149" s="2">
        <f t="shared" si="20"/>
        <v>600</v>
      </c>
    </row>
    <row r="151" spans="2:6" x14ac:dyDescent="0.3">
      <c r="B151" s="103" t="s">
        <v>2852</v>
      </c>
      <c r="C151" s="31">
        <f>SUM(F122:F149)</f>
        <v>1700.25</v>
      </c>
    </row>
    <row r="152" spans="2:6" x14ac:dyDescent="0.3">
      <c r="B152" s="103" t="s">
        <v>2946</v>
      </c>
      <c r="C152" s="31">
        <f>C151/30</f>
        <v>56.674999999999997</v>
      </c>
    </row>
    <row r="153" spans="2:6" x14ac:dyDescent="0.3">
      <c r="B153" s="2" t="s">
        <v>2947</v>
      </c>
      <c r="C153" s="2">
        <f>SUMIFS(D122:D149,C122:C149,"钻石")</f>
        <v>400</v>
      </c>
    </row>
    <row r="156" spans="2:6" ht="18" x14ac:dyDescent="0.35">
      <c r="B156" s="100" t="s">
        <v>2948</v>
      </c>
    </row>
    <row r="157" spans="2:6" ht="15" customHeight="1" x14ac:dyDescent="0.3">
      <c r="B157" s="35" t="s">
        <v>2949</v>
      </c>
    </row>
    <row r="158" spans="2:6" ht="15" customHeight="1" x14ac:dyDescent="0.35">
      <c r="B158" s="104" t="s">
        <v>2950</v>
      </c>
      <c r="C158" s="2">
        <v>50</v>
      </c>
      <c r="D158" s="40"/>
    </row>
    <row r="159" spans="2:6" ht="15" customHeight="1" x14ac:dyDescent="0.35">
      <c r="B159" s="104" t="s">
        <v>2951</v>
      </c>
      <c r="C159" s="31">
        <f>C158*道具价值!$E$80</f>
        <v>5000.500050005001</v>
      </c>
    </row>
    <row r="160" spans="2:6" ht="15" customHeight="1" x14ac:dyDescent="0.35">
      <c r="B160" s="104" t="s">
        <v>2952</v>
      </c>
      <c r="C160" s="31">
        <v>10</v>
      </c>
    </row>
    <row r="161" spans="2:5" ht="15" customHeight="1" x14ac:dyDescent="0.35">
      <c r="B161" s="104" t="s">
        <v>2953</v>
      </c>
      <c r="C161" s="31">
        <f>C159/C160</f>
        <v>500.05000500050011</v>
      </c>
    </row>
    <row r="162" spans="2:5" ht="15" customHeight="1" x14ac:dyDescent="0.35">
      <c r="B162" s="104" t="s">
        <v>2954</v>
      </c>
      <c r="C162" s="31">
        <v>14</v>
      </c>
    </row>
    <row r="163" spans="2:5" ht="15" customHeight="1" x14ac:dyDescent="0.35">
      <c r="B163" s="105"/>
      <c r="C163" s="40"/>
    </row>
    <row r="164" spans="2:5" ht="15" customHeight="1" x14ac:dyDescent="0.3">
      <c r="B164" s="35" t="s">
        <v>2955</v>
      </c>
      <c r="C164" s="40"/>
    </row>
    <row r="165" spans="2:5" ht="15" customHeight="1" x14ac:dyDescent="0.35">
      <c r="B165" s="106" t="s">
        <v>2956</v>
      </c>
      <c r="C165" s="106" t="s">
        <v>2957</v>
      </c>
    </row>
    <row r="166" spans="2:5" ht="15" customHeight="1" x14ac:dyDescent="0.3">
      <c r="B166" s="3" t="s">
        <v>2767</v>
      </c>
      <c r="C166" s="3" t="s">
        <v>2958</v>
      </c>
      <c r="E166" s="1" t="s">
        <v>2789</v>
      </c>
    </row>
    <row r="167" spans="2:5" ht="15" customHeight="1" x14ac:dyDescent="0.3">
      <c r="B167" s="3" t="s">
        <v>2769</v>
      </c>
      <c r="C167" s="3" t="s">
        <v>2959</v>
      </c>
      <c r="E167" s="1" t="s">
        <v>2791</v>
      </c>
    </row>
    <row r="168" spans="2:5" ht="15" customHeight="1" x14ac:dyDescent="0.3">
      <c r="B168" s="3" t="s">
        <v>2771</v>
      </c>
      <c r="C168" s="3" t="s">
        <v>2960</v>
      </c>
      <c r="E168" s="1" t="s">
        <v>2793</v>
      </c>
    </row>
    <row r="169" spans="2:5" ht="15" customHeight="1" x14ac:dyDescent="0.3">
      <c r="B169" s="3" t="s">
        <v>2773</v>
      </c>
      <c r="C169" s="3" t="s">
        <v>2961</v>
      </c>
      <c r="E169" s="1" t="s">
        <v>2795</v>
      </c>
    </row>
    <row r="170" spans="2:5" ht="14.25" customHeight="1" x14ac:dyDescent="0.35">
      <c r="B170" s="104" t="s">
        <v>2736</v>
      </c>
      <c r="C170" s="3" t="s">
        <v>2962</v>
      </c>
    </row>
    <row r="171" spans="2:5" ht="14.25" customHeight="1" x14ac:dyDescent="0.35">
      <c r="B171" s="104" t="s">
        <v>2789</v>
      </c>
      <c r="C171" s="3" t="s">
        <v>2961</v>
      </c>
    </row>
    <row r="172" spans="2:5" ht="14.25" customHeight="1" x14ac:dyDescent="0.35">
      <c r="B172" s="104" t="s">
        <v>2791</v>
      </c>
      <c r="C172" s="3" t="s">
        <v>2958</v>
      </c>
    </row>
    <row r="173" spans="2:5" ht="14.25" customHeight="1" x14ac:dyDescent="0.35">
      <c r="B173" s="104" t="s">
        <v>2793</v>
      </c>
      <c r="C173" s="3" t="s">
        <v>2960</v>
      </c>
    </row>
    <row r="174" spans="2:5" ht="14.25" customHeight="1" x14ac:dyDescent="0.35">
      <c r="B174" s="104" t="s">
        <v>2795</v>
      </c>
      <c r="C174" s="3" t="s">
        <v>2963</v>
      </c>
    </row>
    <row r="175" spans="2:5" ht="15" customHeight="1" x14ac:dyDescent="0.35">
      <c r="B175" s="105"/>
      <c r="C175" s="40"/>
    </row>
    <row r="176" spans="2:5" ht="15" customHeight="1" x14ac:dyDescent="0.35">
      <c r="B176" s="100"/>
    </row>
    <row r="177" spans="2:13" x14ac:dyDescent="0.3">
      <c r="B177" s="107" t="s">
        <v>2964</v>
      </c>
    </row>
    <row r="178" spans="2:13" x14ac:dyDescent="0.3">
      <c r="B178" s="44" t="s">
        <v>2965</v>
      </c>
      <c r="C178" s="44" t="s">
        <v>1836</v>
      </c>
      <c r="D178" s="44" t="s">
        <v>2966</v>
      </c>
      <c r="E178" s="44" t="s">
        <v>1838</v>
      </c>
      <c r="F178" s="44" t="s">
        <v>2967</v>
      </c>
      <c r="G178" s="44" t="s">
        <v>1840</v>
      </c>
      <c r="H178" s="44" t="s">
        <v>2968</v>
      </c>
      <c r="I178" s="44" t="s">
        <v>1836</v>
      </c>
      <c r="J178" s="44" t="s">
        <v>2969</v>
      </c>
      <c r="K178" s="44" t="s">
        <v>1838</v>
      </c>
      <c r="L178" s="44" t="s">
        <v>2970</v>
      </c>
      <c r="M178" s="44" t="s">
        <v>2971</v>
      </c>
    </row>
    <row r="179" spans="2:13" x14ac:dyDescent="0.3">
      <c r="B179" s="2" t="s">
        <v>2749</v>
      </c>
      <c r="C179" s="2">
        <v>10</v>
      </c>
      <c r="D179" s="2"/>
      <c r="E179" s="2"/>
      <c r="F179" s="2"/>
      <c r="G179" s="2"/>
      <c r="H179" s="2" t="s">
        <v>275</v>
      </c>
      <c r="I179" s="2">
        <v>100</v>
      </c>
      <c r="J179" s="2"/>
      <c r="K179" s="2"/>
      <c r="L179" s="31">
        <f t="shared" ref="L179:L185" si="21">MAX(IF(B179="",0,C179/VLOOKUP(B179,$B$206:$C$208,2,FALSE)),IF(D179="",0,E179/VLOOKUP(D179,$B$206:$C$208,2,FALSE)),IF(F179="",0,G179/VLOOKUP(F179,$B$206:$C$208,2,FALSE)))</f>
        <v>0.83333333333333337</v>
      </c>
      <c r="M179" s="2">
        <f>$C$162/L179*I179</f>
        <v>1680</v>
      </c>
    </row>
    <row r="180" spans="2:13" x14ac:dyDescent="0.3">
      <c r="B180" s="2" t="s">
        <v>2751</v>
      </c>
      <c r="C180" s="2">
        <v>12</v>
      </c>
      <c r="D180" s="2"/>
      <c r="E180" s="2"/>
      <c r="F180" s="2"/>
      <c r="G180" s="2"/>
      <c r="H180" s="2" t="s">
        <v>2757</v>
      </c>
      <c r="I180" s="2">
        <v>1</v>
      </c>
      <c r="J180" s="2"/>
      <c r="K180" s="2"/>
      <c r="L180" s="31">
        <f t="shared" si="21"/>
        <v>1.5</v>
      </c>
      <c r="M180" s="2">
        <f t="shared" ref="M180:M185" si="22">$C$162/L180*I180</f>
        <v>9.3333333333333339</v>
      </c>
    </row>
    <row r="181" spans="2:13" x14ac:dyDescent="0.3">
      <c r="B181" s="2" t="s">
        <v>2753</v>
      </c>
      <c r="C181" s="2">
        <v>25</v>
      </c>
      <c r="D181" s="2"/>
      <c r="E181" s="2"/>
      <c r="F181" s="2"/>
      <c r="G181" s="2"/>
      <c r="H181" s="2" t="s">
        <v>2755</v>
      </c>
      <c r="I181" s="2">
        <v>1</v>
      </c>
      <c r="J181" s="2"/>
      <c r="K181" s="2"/>
      <c r="L181" s="31">
        <f t="shared" si="21"/>
        <v>5</v>
      </c>
      <c r="M181" s="2">
        <f t="shared" si="22"/>
        <v>2.8</v>
      </c>
    </row>
    <row r="182" spans="2:13" x14ac:dyDescent="0.3">
      <c r="B182" s="2" t="s">
        <v>2749</v>
      </c>
      <c r="C182" s="2">
        <v>80</v>
      </c>
      <c r="D182" s="2" t="s">
        <v>2751</v>
      </c>
      <c r="E182" s="2">
        <v>50</v>
      </c>
      <c r="F182" s="2" t="s">
        <v>2753</v>
      </c>
      <c r="G182" s="2">
        <v>30</v>
      </c>
      <c r="H182" s="2" t="s">
        <v>2791</v>
      </c>
      <c r="I182" s="2">
        <v>1</v>
      </c>
      <c r="J182" s="2"/>
      <c r="K182" s="2"/>
      <c r="L182" s="31">
        <f t="shared" si="21"/>
        <v>6.666666666666667</v>
      </c>
      <c r="M182" s="2">
        <f t="shared" si="22"/>
        <v>2.1</v>
      </c>
    </row>
    <row r="183" spans="2:13" x14ac:dyDescent="0.3">
      <c r="B183" s="2" t="s">
        <v>2749</v>
      </c>
      <c r="C183" s="2">
        <v>100</v>
      </c>
      <c r="D183" s="2" t="s">
        <v>2751</v>
      </c>
      <c r="E183" s="2">
        <v>60</v>
      </c>
      <c r="F183" s="2" t="s">
        <v>2753</v>
      </c>
      <c r="G183" s="2">
        <v>50</v>
      </c>
      <c r="H183" s="2" t="s">
        <v>2767</v>
      </c>
      <c r="I183" s="2">
        <v>1</v>
      </c>
      <c r="J183" s="2"/>
      <c r="K183" s="2"/>
      <c r="L183" s="31">
        <f t="shared" si="21"/>
        <v>10</v>
      </c>
      <c r="M183" s="2">
        <f t="shared" si="22"/>
        <v>1.4</v>
      </c>
    </row>
    <row r="184" spans="2:13" x14ac:dyDescent="0.3">
      <c r="B184" s="2"/>
      <c r="C184" s="2"/>
      <c r="D184" s="2"/>
      <c r="E184" s="2"/>
      <c r="F184" s="2"/>
      <c r="G184" s="2"/>
      <c r="H184" s="2"/>
      <c r="I184" s="2"/>
      <c r="J184" s="2"/>
      <c r="K184" s="2"/>
      <c r="L184" s="31">
        <f t="shared" si="21"/>
        <v>0</v>
      </c>
      <c r="M184" s="2" t="e">
        <f t="shared" si="22"/>
        <v>#DIV/0!</v>
      </c>
    </row>
    <row r="185" spans="2:13" x14ac:dyDescent="0.3">
      <c r="B185" s="2"/>
      <c r="C185" s="2"/>
      <c r="D185" s="2"/>
      <c r="E185" s="2"/>
      <c r="F185" s="2"/>
      <c r="G185" s="2"/>
      <c r="H185" s="2"/>
      <c r="I185" s="2"/>
      <c r="J185" s="2"/>
      <c r="K185" s="2"/>
      <c r="L185" s="31">
        <f t="shared" si="21"/>
        <v>0</v>
      </c>
      <c r="M185" s="2" t="e">
        <f t="shared" si="22"/>
        <v>#DIV/0!</v>
      </c>
    </row>
    <row r="186" spans="2:13" x14ac:dyDescent="0.3">
      <c r="B186" s="25"/>
      <c r="C186" s="25"/>
      <c r="D186" s="25"/>
      <c r="E186" s="25"/>
      <c r="F186" s="25"/>
      <c r="G186" s="25"/>
      <c r="H186" s="25"/>
      <c r="I186" s="25"/>
      <c r="J186" s="25"/>
      <c r="K186" s="25"/>
    </row>
    <row r="187" spans="2:13" x14ac:dyDescent="0.3">
      <c r="B187" s="108" t="s">
        <v>2972</v>
      </c>
      <c r="C187" s="25"/>
      <c r="D187" s="25"/>
      <c r="E187" s="25"/>
      <c r="F187" s="25"/>
      <c r="G187" s="25"/>
      <c r="H187" s="25"/>
      <c r="I187" s="25"/>
      <c r="J187" s="25"/>
      <c r="K187" s="25"/>
    </row>
    <row r="188" spans="2:13" x14ac:dyDescent="0.3">
      <c r="B188" s="36" t="str">
        <f>IF(D179="","["&amp;"("&amp;VLOOKUP(B179,道具ID!$L:$N,2,FALSE)&amp;","&amp;C179&amp;")"&amp;"]",IF(F179="","["&amp;"("&amp;VLOOKUP(B179,道具ID!$L:$N,2,FALSE)&amp;","&amp;C179&amp;")"&amp;","&amp;"("&amp;VLOOKUP(D179,道具ID!$L:$N,2,FALSE)&amp;","&amp;E179&amp;")"&amp;"]","["&amp;"("&amp;VLOOKUP(B179,道具ID!$L:$N,2,FALSE)&amp;","&amp;C179&amp;")"&amp;","&amp;"("&amp;VLOOKUP(D179,道具ID!$L:$N,2,FALSE)&amp;","&amp;E179&amp;")"&amp;","&amp;"("&amp;VLOOKUP(F179,道具ID!$L:$N,2,FALSE)&amp;","&amp;G179&amp;")"&amp;"]"))</f>
        <v>[(220001,10)]</v>
      </c>
      <c r="C188" s="36" t="str">
        <f>IF(J179="","["&amp;"("&amp;VLOOKUP(H179,道具ID!$L:$N,2,FALSE)&amp;","&amp;I179&amp;")"&amp;"]","["&amp;"("&amp;VLOOKUP(H179,道具ID!$L:$N,2,FALSE)&amp;","&amp;I179&amp;")"&amp;","&amp;"("&amp;VLOOKUP(J179,道具ID!$L:$N,2,FALSE)&amp;","&amp;E179&amp;")"&amp;"]")</f>
        <v>[(102,100)]</v>
      </c>
      <c r="D188" s="36" t="str">
        <f t="shared" ref="D188:D194" si="23">B179&amp;","&amp;D179&amp;","&amp;F179</f>
        <v>雪花,,</v>
      </c>
      <c r="E188" s="36" t="str">
        <f t="shared" ref="E188:E194" si="24">H179&amp;","&amp;J179</f>
        <v>军费,</v>
      </c>
      <c r="F188" s="25"/>
      <c r="G188" s="25"/>
      <c r="H188" s="25"/>
      <c r="I188" s="25"/>
      <c r="J188" s="25"/>
      <c r="K188" s="25"/>
    </row>
    <row r="189" spans="2:13" x14ac:dyDescent="0.3">
      <c r="B189" s="36" t="str">
        <f>IF(D180="","["&amp;"("&amp;VLOOKUP(B180,道具ID!$L:$N,2,FALSE)&amp;","&amp;C180&amp;")"&amp;"]",IF(F180="","["&amp;"("&amp;VLOOKUP(B180,道具ID!$L:$N,2,FALSE)&amp;","&amp;C180&amp;")"&amp;","&amp;"("&amp;VLOOKUP(D180,道具ID!$L:$N,2,FALSE)&amp;","&amp;E180&amp;")"&amp;"]","["&amp;"("&amp;VLOOKUP(B180,道具ID!$L:$N,2,FALSE)&amp;","&amp;C180&amp;")"&amp;","&amp;"("&amp;VLOOKUP(D180,道具ID!$L:$N,2,FALSE)&amp;","&amp;E180&amp;")"&amp;","&amp;"("&amp;VLOOKUP(F180,道具ID!$L:$N,2,FALSE)&amp;","&amp;G180&amp;")"&amp;"]"))</f>
        <v>[(220002,12)]</v>
      </c>
      <c r="C189" s="36" t="str">
        <f>IF(J180="","["&amp;"("&amp;VLOOKUP(H180,道具ID!$L:$N,2,FALSE)&amp;","&amp;I180&amp;")"&amp;"]","["&amp;"("&amp;VLOOKUP(H180,道具ID!$L:$N,2,FALSE)&amp;","&amp;I180&amp;")"&amp;","&amp;"("&amp;VLOOKUP(J180,道具ID!$L:$N,2,FALSE)&amp;","&amp;E180&amp;")"&amp;"]")</f>
        <v>[(220005,1)]</v>
      </c>
      <c r="D189" s="36" t="str">
        <f t="shared" si="23"/>
        <v>铃铛,,</v>
      </c>
      <c r="E189" s="36" t="str">
        <f t="shared" si="24"/>
        <v>圣诞拼图,</v>
      </c>
      <c r="F189" s="25"/>
      <c r="G189" s="25"/>
      <c r="H189" s="25"/>
      <c r="I189" s="25"/>
      <c r="J189" s="25"/>
      <c r="K189" s="25"/>
    </row>
    <row r="190" spans="2:13" x14ac:dyDescent="0.3">
      <c r="B190" s="36" t="str">
        <f>IF(D181="","["&amp;"("&amp;VLOOKUP(B181,道具ID!$L:$N,2,FALSE)&amp;","&amp;C181&amp;")"&amp;"]",IF(F181="","["&amp;"("&amp;VLOOKUP(B181,道具ID!$L:$N,2,FALSE)&amp;","&amp;C181&amp;")"&amp;","&amp;"("&amp;VLOOKUP(D181,道具ID!$L:$N,2,FALSE)&amp;","&amp;E181&amp;")"&amp;"]","["&amp;"("&amp;VLOOKUP(B181,道具ID!$L:$N,2,FALSE)&amp;","&amp;C181&amp;")"&amp;","&amp;"("&amp;VLOOKUP(D181,道具ID!$L:$N,2,FALSE)&amp;","&amp;E181&amp;")"&amp;","&amp;"("&amp;VLOOKUP(F181,道具ID!$L:$N,2,FALSE)&amp;","&amp;G181&amp;")"&amp;"]"))</f>
        <v>[(220003,25)]</v>
      </c>
      <c r="C190" s="36" t="str">
        <f>IF(J181="","["&amp;"("&amp;VLOOKUP(H181,道具ID!$L:$N,2,FALSE)&amp;","&amp;I181&amp;")"&amp;"]","["&amp;"("&amp;VLOOKUP(H181,道具ID!$L:$N,2,FALSE)&amp;","&amp;I181&amp;")"&amp;","&amp;"("&amp;VLOOKUP(J181,道具ID!$L:$N,2,FALSE)&amp;","&amp;E181&amp;")"&amp;"]")</f>
        <v>[(220004,1)]</v>
      </c>
      <c r="D190" s="36" t="str">
        <f t="shared" si="23"/>
        <v>圣诞糖果,,</v>
      </c>
      <c r="E190" s="36" t="str">
        <f t="shared" si="24"/>
        <v>圣诞幸运币,</v>
      </c>
      <c r="F190" s="25"/>
      <c r="G190" s="25"/>
      <c r="H190" s="25"/>
      <c r="I190" s="25"/>
      <c r="J190" s="25"/>
      <c r="K190" s="25"/>
    </row>
    <row r="191" spans="2:13" x14ac:dyDescent="0.3">
      <c r="B191" s="36" t="str">
        <f>IF(D182="","["&amp;"("&amp;VLOOKUP(B182,道具ID!$L:$N,2,FALSE)&amp;","&amp;C182&amp;")"&amp;"]",IF(F182="","["&amp;"("&amp;VLOOKUP(B182,道具ID!$L:$N,2,FALSE)&amp;","&amp;C182&amp;")"&amp;","&amp;"("&amp;VLOOKUP(D182,道具ID!$L:$N,2,FALSE)&amp;","&amp;E182&amp;")"&amp;"]","["&amp;"("&amp;VLOOKUP(B182,道具ID!$L:$N,2,FALSE)&amp;","&amp;C182&amp;")"&amp;","&amp;"("&amp;VLOOKUP(D182,道具ID!$L:$N,2,FALSE)&amp;","&amp;E182&amp;")"&amp;","&amp;"("&amp;VLOOKUP(F182,道具ID!$L:$N,2,FALSE)&amp;","&amp;G182&amp;")"&amp;"]"))</f>
        <v>[(220001,80),(220002,50),(220003,30)]</v>
      </c>
      <c r="C191" s="36" t="str">
        <f>IF(J182="","["&amp;"("&amp;VLOOKUP(H182,道具ID!$L:$N,2,FALSE)&amp;","&amp;I182&amp;")"&amp;"]","["&amp;"("&amp;VLOOKUP(H182,道具ID!$L:$N,2,FALSE)&amp;","&amp;I182&amp;")"&amp;","&amp;"("&amp;VLOOKUP(J182,道具ID!$L:$N,2,FALSE)&amp;","&amp;E182&amp;")"&amp;"]")</f>
        <v>[(140122,1)]</v>
      </c>
      <c r="D191" s="36" t="str">
        <f t="shared" si="23"/>
        <v>雪花,铃铛,圣诞糖果</v>
      </c>
      <c r="E191" s="36" t="str">
        <f t="shared" si="24"/>
        <v>头像-雪人,</v>
      </c>
      <c r="F191" s="25"/>
      <c r="G191" s="25"/>
      <c r="H191" s="25"/>
      <c r="I191" s="25"/>
      <c r="J191" s="25"/>
      <c r="K191" s="25"/>
    </row>
    <row r="192" spans="2:13" x14ac:dyDescent="0.3">
      <c r="B192" s="36" t="str">
        <f>IF(D183="","["&amp;"("&amp;VLOOKUP(B183,道具ID!$L:$N,2,FALSE)&amp;","&amp;C183&amp;")"&amp;"]",IF(F183="","["&amp;"("&amp;VLOOKUP(B183,道具ID!$L:$N,2,FALSE)&amp;","&amp;C183&amp;")"&amp;","&amp;"("&amp;VLOOKUP(D183,道具ID!$L:$N,2,FALSE)&amp;","&amp;E183&amp;")"&amp;"]","["&amp;"("&amp;VLOOKUP(B183,道具ID!$L:$N,2,FALSE)&amp;","&amp;C183&amp;")"&amp;","&amp;"("&amp;VLOOKUP(D183,道具ID!$L:$N,2,FALSE)&amp;","&amp;E183&amp;")"&amp;","&amp;"("&amp;VLOOKUP(F183,道具ID!$L:$N,2,FALSE)&amp;","&amp;G183&amp;")"&amp;"]"))</f>
        <v>[(220001,100),(220002,60),(220003,50)]</v>
      </c>
      <c r="C192" s="36" t="str">
        <f>IF(J183="","["&amp;"("&amp;VLOOKUP(H183,道具ID!$L:$N,2,FALSE)&amp;","&amp;I183&amp;")"&amp;"]","["&amp;"("&amp;VLOOKUP(H183,道具ID!$L:$N,2,FALSE)&amp;","&amp;I183&amp;")"&amp;","&amp;"("&amp;VLOOKUP(J183,道具ID!$L:$N,2,FALSE)&amp;","&amp;E183&amp;")"&amp;"]")</f>
        <v>[(180027,1)]</v>
      </c>
      <c r="D192" s="36" t="str">
        <f t="shared" si="23"/>
        <v>雪花,铃铛,圣诞糖果</v>
      </c>
      <c r="E192" s="36" t="str">
        <f t="shared" si="24"/>
        <v>坦克涂装-圣诞皮肤,</v>
      </c>
      <c r="F192" s="25"/>
      <c r="G192" s="25"/>
      <c r="H192" s="25"/>
      <c r="I192" s="25"/>
      <c r="J192" s="25"/>
      <c r="K192" s="25"/>
    </row>
    <row r="193" spans="2:11" x14ac:dyDescent="0.3">
      <c r="B193" s="36" t="e">
        <f>IF(D184="","["&amp;"("&amp;VLOOKUP(B184,道具ID!$L:$N,2,FALSE)&amp;","&amp;C184&amp;")"&amp;"]",IF(F184="","["&amp;"("&amp;VLOOKUP(B184,道具ID!$L:$N,2,FALSE)&amp;","&amp;C184&amp;")"&amp;","&amp;"("&amp;VLOOKUP(D184,道具ID!$L:$N,2,FALSE)&amp;","&amp;E184&amp;")"&amp;"]","["&amp;"("&amp;VLOOKUP(B184,道具ID!$L:$N,2,FALSE)&amp;","&amp;C184&amp;")"&amp;","&amp;"("&amp;VLOOKUP(D184,道具ID!$L:$N,2,FALSE)&amp;","&amp;E184&amp;")"&amp;","&amp;"("&amp;VLOOKUP(F184,道具ID!$L:$N,2,FALSE)&amp;","&amp;G184&amp;")"&amp;"]"))</f>
        <v>#N/A</v>
      </c>
      <c r="C193" s="36" t="e">
        <f>IF(J184="","["&amp;"("&amp;VLOOKUP(H184,道具ID!$L:$N,2,FALSE)&amp;","&amp;I184&amp;")"&amp;"]","["&amp;"("&amp;VLOOKUP(H184,道具ID!$L:$N,2,FALSE)&amp;","&amp;I184&amp;")"&amp;","&amp;"("&amp;VLOOKUP(J184,道具ID!$L:$N,2,FALSE)&amp;","&amp;E184&amp;")"&amp;"]")</f>
        <v>#N/A</v>
      </c>
      <c r="D193" s="36" t="str">
        <f t="shared" si="23"/>
        <v>,,</v>
      </c>
      <c r="E193" s="36" t="str">
        <f t="shared" si="24"/>
        <v>,</v>
      </c>
      <c r="F193" s="25"/>
      <c r="G193" s="25"/>
      <c r="H193" s="25"/>
      <c r="I193" s="25"/>
      <c r="J193" s="25"/>
      <c r="K193" s="25"/>
    </row>
    <row r="194" spans="2:11" x14ac:dyDescent="0.3">
      <c r="B194" s="36" t="e">
        <f>IF(D185="","["&amp;"("&amp;VLOOKUP(B185,道具ID!$L:$N,2,FALSE)&amp;","&amp;C185&amp;")"&amp;"]",IF(F185="","["&amp;"("&amp;VLOOKUP(B185,道具ID!$L:$N,2,FALSE)&amp;","&amp;C185&amp;")"&amp;","&amp;"("&amp;VLOOKUP(D185,道具ID!$L:$N,2,FALSE)&amp;","&amp;E185&amp;")"&amp;"]","["&amp;"("&amp;VLOOKUP(B185,道具ID!$L:$N,2,FALSE)&amp;","&amp;C185&amp;")"&amp;","&amp;"("&amp;VLOOKUP(D185,道具ID!$L:$N,2,FALSE)&amp;","&amp;E185&amp;")"&amp;","&amp;"("&amp;VLOOKUP(F185,道具ID!$L:$N,2,FALSE)&amp;","&amp;G185&amp;")"&amp;"]"))</f>
        <v>#N/A</v>
      </c>
      <c r="C194" s="36" t="e">
        <f>IF(J185="","["&amp;"("&amp;VLOOKUP(H185,道具ID!$L:$N,2,FALSE)&amp;","&amp;I185&amp;")"&amp;"]","["&amp;"("&amp;VLOOKUP(H185,道具ID!$L:$N,2,FALSE)&amp;","&amp;I185&amp;")"&amp;","&amp;"("&amp;VLOOKUP(J185,道具ID!$L:$N,2,FALSE)&amp;","&amp;E185&amp;")"&amp;"]")</f>
        <v>#N/A</v>
      </c>
      <c r="D194" s="36" t="str">
        <f t="shared" si="23"/>
        <v>,,</v>
      </c>
      <c r="E194" s="36" t="str">
        <f t="shared" si="24"/>
        <v>,</v>
      </c>
      <c r="F194" s="25"/>
      <c r="G194" s="25"/>
      <c r="H194" s="25"/>
      <c r="I194" s="25"/>
      <c r="J194" s="25"/>
      <c r="K194" s="25"/>
    </row>
    <row r="195" spans="2:11" x14ac:dyDescent="0.3">
      <c r="B195" s="25"/>
      <c r="C195" s="25"/>
      <c r="D195" s="25"/>
      <c r="E195" s="25"/>
      <c r="F195" s="25"/>
      <c r="G195" s="25"/>
      <c r="H195" s="25"/>
      <c r="I195" s="25"/>
      <c r="J195" s="25"/>
      <c r="K195" s="25"/>
    </row>
    <row r="196" spans="2:11" x14ac:dyDescent="0.3">
      <c r="B196" s="107" t="s">
        <v>2973</v>
      </c>
    </row>
    <row r="197" spans="2:11" x14ac:dyDescent="0.3">
      <c r="B197" s="44" t="s">
        <v>2974</v>
      </c>
      <c r="C197" s="44" t="s">
        <v>2975</v>
      </c>
      <c r="D197" s="44" t="s">
        <v>2976</v>
      </c>
      <c r="E197" s="44" t="s">
        <v>578</v>
      </c>
      <c r="F197" s="109"/>
    </row>
    <row r="198" spans="2:11" x14ac:dyDescent="0.3">
      <c r="B198" s="2" t="s">
        <v>275</v>
      </c>
      <c r="C198" s="2">
        <v>100</v>
      </c>
      <c r="D198" s="110">
        <f t="shared" ref="D198:D203" si="25">C198/SUM($C$198:$C$203)</f>
        <v>0.2</v>
      </c>
      <c r="E198" s="2">
        <f>VLOOKUP(B198,道具ID!L:M,2,FALSE)</f>
        <v>102</v>
      </c>
      <c r="F198" s="111" t="str">
        <f>E198&amp;","</f>
        <v>102,</v>
      </c>
      <c r="G198" s="111" t="str">
        <f>C198&amp;","</f>
        <v>100,</v>
      </c>
      <c r="H198" s="112" t="str">
        <f>H197&amp;F198</f>
        <v>102,</v>
      </c>
      <c r="I198" s="112" t="str">
        <f>I197&amp;G198</f>
        <v>100,</v>
      </c>
      <c r="J198" s="112" t="str">
        <f>"["&amp;LEFT(H198,LEN(H198)-1)&amp;"]"</f>
        <v>[102]</v>
      </c>
      <c r="K198" s="112" t="str">
        <f>"["&amp;LEFT(I198,LEN(I198)-1)&amp;"]"</f>
        <v>[100]</v>
      </c>
    </row>
    <row r="199" spans="2:11" x14ac:dyDescent="0.3">
      <c r="B199" s="2" t="s">
        <v>280</v>
      </c>
      <c r="C199" s="2">
        <v>50</v>
      </c>
      <c r="D199" s="110">
        <f t="shared" si="25"/>
        <v>0.1</v>
      </c>
      <c r="E199" s="2">
        <f>VLOOKUP(B199,道具ID!L:M,2,FALSE)</f>
        <v>105</v>
      </c>
      <c r="F199" s="111" t="str">
        <f t="shared" ref="F199:F203" si="26">E199&amp;","</f>
        <v>105,</v>
      </c>
      <c r="G199" s="111" t="str">
        <f t="shared" ref="G199:G203" si="27">C199&amp;","</f>
        <v>50,</v>
      </c>
      <c r="H199" s="112" t="str">
        <f t="shared" ref="H199:I203" si="28">H198&amp;F199</f>
        <v>102,105,</v>
      </c>
      <c r="I199" s="112" t="str">
        <f t="shared" si="28"/>
        <v>100,50,</v>
      </c>
      <c r="J199" s="112" t="str">
        <f t="shared" ref="J199:K203" si="29">"["&amp;LEFT(H199,LEN(H199)-1)&amp;"]"</f>
        <v>[102,105]</v>
      </c>
      <c r="K199" s="112" t="str">
        <f t="shared" si="29"/>
        <v>[100,50]</v>
      </c>
    </row>
    <row r="200" spans="2:11" x14ac:dyDescent="0.3">
      <c r="B200" s="2" t="s">
        <v>291</v>
      </c>
      <c r="C200" s="2">
        <v>100</v>
      </c>
      <c r="D200" s="110">
        <f t="shared" si="25"/>
        <v>0.2</v>
      </c>
      <c r="E200" s="2">
        <f>VLOOKUP(B200,道具ID!L:M,2,FALSE)</f>
        <v>170101</v>
      </c>
      <c r="F200" s="111" t="str">
        <f t="shared" si="26"/>
        <v>170101,</v>
      </c>
      <c r="G200" s="111" t="str">
        <f t="shared" si="27"/>
        <v>100,</v>
      </c>
      <c r="H200" s="112" t="str">
        <f t="shared" si="28"/>
        <v>102,105,170101,</v>
      </c>
      <c r="I200" s="112" t="str">
        <f t="shared" si="28"/>
        <v>100,50,100,</v>
      </c>
      <c r="J200" s="112" t="str">
        <f t="shared" si="29"/>
        <v>[102,105,170101]</v>
      </c>
      <c r="K200" s="112" t="str">
        <f t="shared" si="29"/>
        <v>[100,50,100]</v>
      </c>
    </row>
    <row r="201" spans="2:11" x14ac:dyDescent="0.3">
      <c r="B201" s="2" t="s">
        <v>2749</v>
      </c>
      <c r="C201" s="2">
        <v>120</v>
      </c>
      <c r="D201" s="110">
        <f t="shared" si="25"/>
        <v>0.24</v>
      </c>
      <c r="E201" s="2">
        <f>VLOOKUP(B201,道具ID!L:M,2,FALSE)</f>
        <v>220001</v>
      </c>
      <c r="F201" s="111" t="str">
        <f t="shared" si="26"/>
        <v>220001,</v>
      </c>
      <c r="G201" s="111" t="str">
        <f t="shared" si="27"/>
        <v>120,</v>
      </c>
      <c r="H201" s="112" t="str">
        <f t="shared" si="28"/>
        <v>102,105,170101,220001,</v>
      </c>
      <c r="I201" s="112" t="str">
        <f t="shared" si="28"/>
        <v>100,50,100,120,</v>
      </c>
      <c r="J201" s="112" t="str">
        <f t="shared" si="29"/>
        <v>[102,105,170101,220001]</v>
      </c>
      <c r="K201" s="112" t="str">
        <f t="shared" si="29"/>
        <v>[100,50,100,120]</v>
      </c>
    </row>
    <row r="202" spans="2:11" x14ac:dyDescent="0.3">
      <c r="B202" s="2" t="s">
        <v>2751</v>
      </c>
      <c r="C202" s="2">
        <v>80</v>
      </c>
      <c r="D202" s="110">
        <f t="shared" si="25"/>
        <v>0.16</v>
      </c>
      <c r="E202" s="2">
        <f>VLOOKUP(B202,道具ID!L:M,2,FALSE)</f>
        <v>220002</v>
      </c>
      <c r="F202" s="111" t="str">
        <f t="shared" si="26"/>
        <v>220002,</v>
      </c>
      <c r="G202" s="111" t="str">
        <f t="shared" si="27"/>
        <v>80,</v>
      </c>
      <c r="H202" s="112" t="str">
        <f t="shared" si="28"/>
        <v>102,105,170101,220001,220002,</v>
      </c>
      <c r="I202" s="112" t="str">
        <f t="shared" si="28"/>
        <v>100,50,100,120,80,</v>
      </c>
      <c r="J202" s="112" t="str">
        <f t="shared" si="29"/>
        <v>[102,105,170101,220001,220002]</v>
      </c>
      <c r="K202" s="112" t="str">
        <f t="shared" si="29"/>
        <v>[100,50,100,120,80]</v>
      </c>
    </row>
    <row r="203" spans="2:11" x14ac:dyDescent="0.3">
      <c r="B203" s="2" t="s">
        <v>2753</v>
      </c>
      <c r="C203" s="2">
        <v>50</v>
      </c>
      <c r="D203" s="110">
        <f t="shared" si="25"/>
        <v>0.1</v>
      </c>
      <c r="E203" s="2">
        <f>VLOOKUP(B203,道具ID!L:M,2,FALSE)</f>
        <v>220003</v>
      </c>
      <c r="F203" s="111" t="str">
        <f t="shared" si="26"/>
        <v>220003,</v>
      </c>
      <c r="G203" s="111" t="str">
        <f t="shared" si="27"/>
        <v>50,</v>
      </c>
      <c r="H203" s="112" t="str">
        <f t="shared" si="28"/>
        <v>102,105,170101,220001,220002,220003,</v>
      </c>
      <c r="I203" s="112" t="str">
        <f t="shared" si="28"/>
        <v>100,50,100,120,80,50,</v>
      </c>
      <c r="J203" s="37" t="str">
        <f t="shared" si="29"/>
        <v>[102,105,170101,220001,220002,220003]</v>
      </c>
      <c r="K203" s="37" t="str">
        <f t="shared" si="29"/>
        <v>[100,50,100,120,80,50]</v>
      </c>
    </row>
    <row r="205" spans="2:11" x14ac:dyDescent="0.3">
      <c r="B205" s="107" t="s">
        <v>2977</v>
      </c>
    </row>
    <row r="206" spans="2:11" x14ac:dyDescent="0.3">
      <c r="B206" s="2" t="s">
        <v>2749</v>
      </c>
      <c r="C206" s="2">
        <f>VLOOKUP(B206,$B$197:$D$203,3,FALSE)*基础经济系数!$AF$17*基础经济系数!$C$5</f>
        <v>12</v>
      </c>
    </row>
    <row r="207" spans="2:11" x14ac:dyDescent="0.3">
      <c r="B207" s="2" t="s">
        <v>2751</v>
      </c>
      <c r="C207" s="2">
        <f>VLOOKUP(B207,$B$197:$D$203,3,FALSE)*基础经济系数!$AF$17*基础经济系数!$C$5</f>
        <v>8</v>
      </c>
    </row>
    <row r="208" spans="2:11" x14ac:dyDescent="0.3">
      <c r="B208" s="2" t="s">
        <v>2753</v>
      </c>
      <c r="C208" s="2">
        <f>VLOOKUP(B208,$B$197:$D$203,3,FALSE)*基础经济系数!$AF$17*基础经济系数!$C$5</f>
        <v>5</v>
      </c>
    </row>
    <row r="209" spans="2:15" x14ac:dyDescent="0.3">
      <c r="B209" s="25"/>
      <c r="C209" s="25"/>
    </row>
    <row r="210" spans="2:15" x14ac:dyDescent="0.3">
      <c r="B210" s="108" t="s">
        <v>2978</v>
      </c>
      <c r="C210" s="25"/>
    </row>
    <row r="211" spans="2:15" x14ac:dyDescent="0.3">
      <c r="B211" s="44" t="s">
        <v>2979</v>
      </c>
      <c r="C211" s="44" t="s">
        <v>1835</v>
      </c>
      <c r="D211" s="44" t="s">
        <v>1836</v>
      </c>
      <c r="E211" s="44" t="s">
        <v>1837</v>
      </c>
      <c r="F211" s="44" t="s">
        <v>1838</v>
      </c>
    </row>
    <row r="212" spans="2:15" x14ac:dyDescent="0.3">
      <c r="B212" s="2">
        <v>2.99</v>
      </c>
      <c r="C212" s="2" t="s">
        <v>275</v>
      </c>
      <c r="D212" s="2">
        <v>12000</v>
      </c>
      <c r="E212" s="2" t="s">
        <v>2980</v>
      </c>
      <c r="F212" s="2">
        <v>1</v>
      </c>
    </row>
    <row r="213" spans="2:15" x14ac:dyDescent="0.3">
      <c r="B213" s="2">
        <v>19.989999999999998</v>
      </c>
      <c r="C213" s="2" t="s">
        <v>275</v>
      </c>
      <c r="D213" s="2">
        <v>100000</v>
      </c>
      <c r="E213" s="2" t="s">
        <v>2980</v>
      </c>
      <c r="F213" s="2">
        <v>8</v>
      </c>
    </row>
    <row r="214" spans="2:15" x14ac:dyDescent="0.3">
      <c r="B214" s="25"/>
      <c r="C214" s="25"/>
      <c r="D214" s="25"/>
      <c r="E214" s="25"/>
      <c r="F214" s="25"/>
    </row>
    <row r="215" spans="2:15" x14ac:dyDescent="0.3">
      <c r="B215" s="108" t="s">
        <v>2981</v>
      </c>
      <c r="C215" s="25"/>
      <c r="D215" s="25"/>
      <c r="E215" s="25"/>
      <c r="F215" s="25"/>
    </row>
    <row r="216" spans="2:15" x14ac:dyDescent="0.3">
      <c r="B216" s="44" t="s">
        <v>2982</v>
      </c>
      <c r="C216" s="44" t="s">
        <v>2983</v>
      </c>
      <c r="D216" s="44" t="s">
        <v>2975</v>
      </c>
      <c r="E216" s="2" t="s">
        <v>2976</v>
      </c>
      <c r="F216" s="44" t="s">
        <v>1836</v>
      </c>
      <c r="G216" s="44" t="s">
        <v>1838</v>
      </c>
      <c r="H216" s="44" t="s">
        <v>2844</v>
      </c>
      <c r="I216" s="44" t="s">
        <v>2984</v>
      </c>
      <c r="J216" s="113"/>
    </row>
    <row r="217" spans="2:15" x14ac:dyDescent="0.3">
      <c r="B217" s="2" t="s">
        <v>2783</v>
      </c>
      <c r="C217" s="2">
        <f>VLOOKUP(B217,道具ID!$L:$M,2,FALSE)</f>
        <v>220010</v>
      </c>
      <c r="D217" s="2">
        <v>120</v>
      </c>
      <c r="E217" s="110">
        <f>D217/SUM($D$217:$D$219)</f>
        <v>0.42857142857142855</v>
      </c>
      <c r="F217" s="2">
        <v>3</v>
      </c>
      <c r="G217" s="2">
        <v>10</v>
      </c>
      <c r="H217" s="2">
        <v>2</v>
      </c>
      <c r="I217" s="2">
        <f>AVERAGE(F217:G217)*E217*H217</f>
        <v>5.5714285714285712</v>
      </c>
      <c r="J217" s="25" t="str">
        <f>C217&amp;","</f>
        <v>220010,</v>
      </c>
      <c r="K217" s="25" t="str">
        <f>D217&amp;","</f>
        <v>120,</v>
      </c>
      <c r="L217" s="1" t="str">
        <f>"("&amp;F217&amp;","&amp;G217&amp;")"&amp;","</f>
        <v>(3,10),</v>
      </c>
      <c r="M217" s="1" t="str">
        <f>J217&amp;J218&amp;J219</f>
        <v>220010,220011,220012,</v>
      </c>
      <c r="N217" s="1" t="str">
        <f>K217&amp;K218&amp;K219</f>
        <v>120,100,60,</v>
      </c>
      <c r="O217" s="1" t="str">
        <f>L217&amp;L218&amp;L219</f>
        <v>(3,10),(3,10),(3,10),</v>
      </c>
    </row>
    <row r="218" spans="2:15" x14ac:dyDescent="0.3">
      <c r="B218" s="2" t="s">
        <v>2784</v>
      </c>
      <c r="C218" s="2">
        <f>VLOOKUP(B218,道具ID!$L:$M,2,FALSE)</f>
        <v>220011</v>
      </c>
      <c r="D218" s="2">
        <v>100</v>
      </c>
      <c r="E218" s="110">
        <f>D218/SUM($D$217:$D$219)</f>
        <v>0.35714285714285715</v>
      </c>
      <c r="F218" s="2">
        <v>3</v>
      </c>
      <c r="G218" s="2">
        <v>10</v>
      </c>
      <c r="H218" s="2">
        <v>2</v>
      </c>
      <c r="I218" s="2">
        <f t="shared" ref="I218:I219" si="30">AVERAGE(F218:G218)*E218*H218</f>
        <v>4.6428571428571432</v>
      </c>
      <c r="J218" s="25" t="str">
        <f t="shared" ref="J218:K219" si="31">C218&amp;","</f>
        <v>220011,</v>
      </c>
      <c r="K218" s="25" t="str">
        <f t="shared" si="31"/>
        <v>100,</v>
      </c>
      <c r="L218" s="1" t="str">
        <f t="shared" ref="L218:L219" si="32">"("&amp;F218&amp;","&amp;G218&amp;")"&amp;","</f>
        <v>(3,10),</v>
      </c>
      <c r="M218" s="114" t="str">
        <f>"["&amp;LEFT(M217,LEN(M217)-1)&amp;"]"</f>
        <v>[220010,220011,220012]</v>
      </c>
      <c r="N218" s="114" t="str">
        <f t="shared" ref="N218:O218" si="33">"["&amp;LEFT(N217,LEN(N217)-1)&amp;"]"</f>
        <v>[120,100,60]</v>
      </c>
      <c r="O218" s="114" t="str">
        <f t="shared" si="33"/>
        <v>[(3,10),(3,10),(3,10)]</v>
      </c>
    </row>
    <row r="219" spans="2:15" x14ac:dyDescent="0.3">
      <c r="B219" s="2" t="s">
        <v>2785</v>
      </c>
      <c r="C219" s="2">
        <f>VLOOKUP(B219,道具ID!$L:$M,2,FALSE)</f>
        <v>220012</v>
      </c>
      <c r="D219" s="2">
        <v>60</v>
      </c>
      <c r="E219" s="110">
        <f>D219/SUM($D$217:$D$219)</f>
        <v>0.21428571428571427</v>
      </c>
      <c r="F219" s="2">
        <v>3</v>
      </c>
      <c r="G219" s="2">
        <v>10</v>
      </c>
      <c r="H219" s="2">
        <v>2</v>
      </c>
      <c r="I219" s="2">
        <f t="shared" si="30"/>
        <v>2.7857142857142856</v>
      </c>
      <c r="J219" s="25" t="str">
        <f t="shared" si="31"/>
        <v>220012,</v>
      </c>
      <c r="K219" s="25" t="str">
        <f t="shared" si="31"/>
        <v>60,</v>
      </c>
      <c r="L219" s="1" t="str">
        <f t="shared" si="32"/>
        <v>(3,10),</v>
      </c>
    </row>
    <row r="220" spans="2:15" x14ac:dyDescent="0.3">
      <c r="B220" s="25"/>
      <c r="C220" s="25"/>
      <c r="D220" s="25"/>
      <c r="E220" s="25"/>
      <c r="F220" s="25"/>
    </row>
    <row r="221" spans="2:15" x14ac:dyDescent="0.3">
      <c r="B221" s="25" t="s">
        <v>2985</v>
      </c>
      <c r="C221" s="25">
        <f>(B213/F213)*(G185/I219)</f>
        <v>0</v>
      </c>
      <c r="D221" s="25"/>
      <c r="E221" s="25"/>
      <c r="F221" s="25"/>
    </row>
    <row r="222" spans="2:15" x14ac:dyDescent="0.3">
      <c r="B222" s="25"/>
      <c r="C222" s="25"/>
      <c r="D222" s="25"/>
      <c r="E222" s="25"/>
      <c r="F222" s="25"/>
    </row>
    <row r="223" spans="2:15" ht="15.75" x14ac:dyDescent="0.3">
      <c r="B223" s="35" t="s">
        <v>2986</v>
      </c>
    </row>
    <row r="224" spans="2:15" ht="15.75" x14ac:dyDescent="0.3">
      <c r="B224" s="35" t="s">
        <v>2987</v>
      </c>
    </row>
    <row r="225" spans="2:9" x14ac:dyDescent="0.3">
      <c r="B225" s="3" t="s">
        <v>275</v>
      </c>
      <c r="C225" s="2">
        <v>30</v>
      </c>
      <c r="D225" s="2">
        <f>VLOOKUP(B225,道具ID!L:M,2,FALSE)</f>
        <v>102</v>
      </c>
      <c r="F225" s="2" t="s">
        <v>275</v>
      </c>
      <c r="G225" s="2">
        <f>SUMIFS($C$225:$C$236,$B$225:$B$236,F225)*3</f>
        <v>720</v>
      </c>
      <c r="I225" s="1" t="str">
        <f>"[("&amp;D225&amp;","&amp;C225&amp;")]"</f>
        <v>[(102,30)]</v>
      </c>
    </row>
    <row r="226" spans="2:9" x14ac:dyDescent="0.3">
      <c r="B226" s="3" t="s">
        <v>280</v>
      </c>
      <c r="C226" s="2">
        <v>5</v>
      </c>
      <c r="D226" s="2">
        <f>VLOOKUP(B226,道具ID!L:M,2,FALSE)</f>
        <v>105</v>
      </c>
      <c r="F226" s="2" t="s">
        <v>280</v>
      </c>
      <c r="G226" s="2">
        <f>SUMIFS($C$225:$C$236,$B$225:$B$236,F226)*3</f>
        <v>45</v>
      </c>
      <c r="I226" s="1" t="str">
        <f t="shared" ref="I226:I236" si="34">"[("&amp;D226&amp;","&amp;C226&amp;")]"</f>
        <v>[(105,5)]</v>
      </c>
    </row>
    <row r="227" spans="2:9" x14ac:dyDescent="0.3">
      <c r="B227" s="3" t="s">
        <v>275</v>
      </c>
      <c r="C227" s="2">
        <v>50</v>
      </c>
      <c r="D227" s="2">
        <f>VLOOKUP(B227,道具ID!L:M,2,FALSE)</f>
        <v>102</v>
      </c>
      <c r="F227" s="2" t="s">
        <v>519</v>
      </c>
      <c r="G227" s="2">
        <f>SUMIFS($C$225:$C$236,$B$225:$B$236,F227)*3</f>
        <v>45</v>
      </c>
      <c r="I227" s="1" t="str">
        <f t="shared" si="34"/>
        <v>[(102,50)]</v>
      </c>
    </row>
    <row r="228" spans="2:9" x14ac:dyDescent="0.3">
      <c r="B228" s="3" t="s">
        <v>519</v>
      </c>
      <c r="C228" s="2">
        <v>5</v>
      </c>
      <c r="D228" s="2">
        <f>VLOOKUP(B228,道具ID!L:M,2,FALSE)</f>
        <v>111</v>
      </c>
      <c r="I228" s="1" t="str">
        <f t="shared" si="34"/>
        <v>[(111,5)]</v>
      </c>
    </row>
    <row r="229" spans="2:9" x14ac:dyDescent="0.3">
      <c r="B229" s="3" t="s">
        <v>275</v>
      </c>
      <c r="C229" s="2">
        <v>30</v>
      </c>
      <c r="D229" s="2">
        <f>VLOOKUP(B229,道具ID!L:M,2,FALSE)</f>
        <v>102</v>
      </c>
      <c r="I229" s="1" t="str">
        <f t="shared" si="34"/>
        <v>[(102,30)]</v>
      </c>
    </row>
    <row r="230" spans="2:9" x14ac:dyDescent="0.3">
      <c r="B230" s="3" t="s">
        <v>280</v>
      </c>
      <c r="C230" s="2">
        <v>5</v>
      </c>
      <c r="D230" s="2">
        <f>VLOOKUP(B230,道具ID!L:M,2,FALSE)</f>
        <v>105</v>
      </c>
      <c r="I230" s="1" t="str">
        <f t="shared" si="34"/>
        <v>[(105,5)]</v>
      </c>
    </row>
    <row r="231" spans="2:9" x14ac:dyDescent="0.3">
      <c r="B231" s="3" t="s">
        <v>275</v>
      </c>
      <c r="C231" s="2">
        <v>50</v>
      </c>
      <c r="D231" s="2">
        <f>VLOOKUP(B231,道具ID!L:M,2,FALSE)</f>
        <v>102</v>
      </c>
      <c r="I231" s="1" t="str">
        <f t="shared" si="34"/>
        <v>[(102,50)]</v>
      </c>
    </row>
    <row r="232" spans="2:9" x14ac:dyDescent="0.3">
      <c r="B232" s="3" t="s">
        <v>519</v>
      </c>
      <c r="C232" s="2">
        <v>5</v>
      </c>
      <c r="D232" s="2">
        <f>VLOOKUP(B232,道具ID!L:M,2,FALSE)</f>
        <v>111</v>
      </c>
      <c r="I232" s="1" t="str">
        <f t="shared" si="34"/>
        <v>[(111,5)]</v>
      </c>
    </row>
    <row r="233" spans="2:9" x14ac:dyDescent="0.3">
      <c r="B233" s="3" t="s">
        <v>275</v>
      </c>
      <c r="C233" s="2">
        <v>30</v>
      </c>
      <c r="D233" s="2">
        <f>VLOOKUP(B233,道具ID!L:M,2,FALSE)</f>
        <v>102</v>
      </c>
      <c r="I233" s="1" t="str">
        <f t="shared" si="34"/>
        <v>[(102,30)]</v>
      </c>
    </row>
    <row r="234" spans="2:9" x14ac:dyDescent="0.3">
      <c r="B234" s="3" t="s">
        <v>280</v>
      </c>
      <c r="C234" s="2">
        <v>5</v>
      </c>
      <c r="D234" s="2">
        <f>VLOOKUP(B234,道具ID!L:M,2,FALSE)</f>
        <v>105</v>
      </c>
      <c r="I234" s="1" t="str">
        <f t="shared" si="34"/>
        <v>[(105,5)]</v>
      </c>
    </row>
    <row r="235" spans="2:9" x14ac:dyDescent="0.3">
      <c r="B235" s="3" t="s">
        <v>275</v>
      </c>
      <c r="C235" s="2">
        <v>50</v>
      </c>
      <c r="D235" s="2">
        <f>VLOOKUP(B235,道具ID!L:M,2,FALSE)</f>
        <v>102</v>
      </c>
      <c r="I235" s="1" t="str">
        <f t="shared" si="34"/>
        <v>[(102,50)]</v>
      </c>
    </row>
    <row r="236" spans="2:9" x14ac:dyDescent="0.3">
      <c r="B236" s="3" t="s">
        <v>519</v>
      </c>
      <c r="C236" s="2">
        <v>5</v>
      </c>
      <c r="D236" s="2">
        <f>VLOOKUP(B236,道具ID!L:M,2,FALSE)</f>
        <v>111</v>
      </c>
      <c r="I236" s="1" t="str">
        <f t="shared" si="34"/>
        <v>[(111,5)]</v>
      </c>
    </row>
    <row r="237" spans="2:9" ht="15.75" x14ac:dyDescent="0.3">
      <c r="B237" s="35"/>
    </row>
    <row r="238" spans="2:9" ht="15.75" x14ac:dyDescent="0.3">
      <c r="B238" s="35" t="s">
        <v>2988</v>
      </c>
    </row>
    <row r="239" spans="2:9" x14ac:dyDescent="0.3">
      <c r="B239" s="43" t="s">
        <v>725</v>
      </c>
      <c r="C239" s="44" t="s">
        <v>579</v>
      </c>
      <c r="D239" s="44" t="s">
        <v>578</v>
      </c>
    </row>
    <row r="240" spans="2:9" x14ac:dyDescent="0.3">
      <c r="B240" s="3" t="s">
        <v>1907</v>
      </c>
      <c r="C240" s="2">
        <v>3</v>
      </c>
      <c r="D240" s="2">
        <f>VLOOKUP(B240,道具ID!L:M,2,FALSE)</f>
        <v>51311</v>
      </c>
    </row>
    <row r="241" spans="2:16" x14ac:dyDescent="0.3">
      <c r="B241" s="3" t="s">
        <v>1907</v>
      </c>
      <c r="C241" s="2">
        <v>5</v>
      </c>
      <c r="D241" s="2">
        <f>VLOOKUP(B241,道具ID!L:M,2,FALSE)</f>
        <v>51311</v>
      </c>
    </row>
    <row r="242" spans="2:16" x14ac:dyDescent="0.3">
      <c r="B242" s="3" t="s">
        <v>2769</v>
      </c>
      <c r="C242" s="2">
        <v>1</v>
      </c>
      <c r="D242" s="2">
        <f>VLOOKUP(B242,道具ID!L:M,2,FALSE)</f>
        <v>150108</v>
      </c>
    </row>
    <row r="243" spans="2:16" x14ac:dyDescent="0.3">
      <c r="B243" s="3" t="s">
        <v>2736</v>
      </c>
      <c r="C243" s="2">
        <v>1</v>
      </c>
      <c r="D243" s="2">
        <f>VLOOKUP(B243,道具ID!L:M,2,FALSE)</f>
        <v>180017</v>
      </c>
    </row>
    <row r="245" spans="2:16" ht="15" customHeight="1" x14ac:dyDescent="0.3"/>
    <row r="246" spans="2:16" ht="15.75" x14ac:dyDescent="0.3">
      <c r="B246" s="35" t="s">
        <v>2989</v>
      </c>
    </row>
    <row r="247" spans="2:16" ht="16.5" x14ac:dyDescent="0.35">
      <c r="B247" s="104" t="s">
        <v>2990</v>
      </c>
      <c r="C247" s="2">
        <v>100</v>
      </c>
    </row>
    <row r="248" spans="2:16" ht="15.75" x14ac:dyDescent="0.3">
      <c r="B248" s="35"/>
    </row>
    <row r="249" spans="2:16" x14ac:dyDescent="0.3">
      <c r="B249" s="107" t="s">
        <v>2991</v>
      </c>
      <c r="J249" s="107" t="s">
        <v>2992</v>
      </c>
    </row>
    <row r="250" spans="2:16" x14ac:dyDescent="0.3">
      <c r="B250" s="44" t="s">
        <v>2974</v>
      </c>
      <c r="C250" s="44" t="s">
        <v>2975</v>
      </c>
      <c r="D250" s="44" t="s">
        <v>579</v>
      </c>
      <c r="E250" s="44" t="s">
        <v>2976</v>
      </c>
      <c r="F250" s="44" t="s">
        <v>2847</v>
      </c>
      <c r="G250" s="2" t="s">
        <v>2993</v>
      </c>
      <c r="H250" s="44" t="s">
        <v>740</v>
      </c>
      <c r="J250" s="44" t="s">
        <v>2974</v>
      </c>
      <c r="K250" s="44" t="s">
        <v>2975</v>
      </c>
      <c r="L250" s="44" t="s">
        <v>579</v>
      </c>
      <c r="M250" s="44" t="s">
        <v>2976</v>
      </c>
      <c r="N250" s="44" t="s">
        <v>2847</v>
      </c>
      <c r="O250" s="2" t="s">
        <v>2993</v>
      </c>
      <c r="P250" s="44" t="s">
        <v>740</v>
      </c>
    </row>
    <row r="251" spans="2:16" x14ac:dyDescent="0.3">
      <c r="B251" s="2" t="s">
        <v>530</v>
      </c>
      <c r="C251" s="2">
        <v>8</v>
      </c>
      <c r="D251" s="2">
        <v>1</v>
      </c>
      <c r="E251" s="110">
        <f t="shared" ref="E251:E262" si="35">C251/SUM($C$251:$C$262)</f>
        <v>1.0025062656641603E-2</v>
      </c>
      <c r="F251" s="2">
        <v>1500</v>
      </c>
      <c r="G251" s="31">
        <f>D251*E251*F251</f>
        <v>15.037593984962406</v>
      </c>
      <c r="H251" s="2">
        <v>5</v>
      </c>
      <c r="I251" s="1">
        <f>VLOOKUP(B251,道具ID!$L:$M,2,FALSE)</f>
        <v>11311</v>
      </c>
      <c r="J251" s="2" t="s">
        <v>530</v>
      </c>
      <c r="K251" s="2">
        <v>8</v>
      </c>
      <c r="L251" s="2">
        <v>1</v>
      </c>
      <c r="M251" s="110">
        <f t="shared" ref="M251:M262" si="36">K251/SUM($C$251:$C$262)</f>
        <v>1.0025062656641603E-2</v>
      </c>
      <c r="N251" s="2">
        <v>1500</v>
      </c>
      <c r="O251" s="31">
        <f>L251*M251*N251</f>
        <v>15.037593984962406</v>
      </c>
      <c r="P251" s="2">
        <v>5</v>
      </c>
    </row>
    <row r="252" spans="2:16" x14ac:dyDescent="0.3">
      <c r="B252" s="2" t="s">
        <v>275</v>
      </c>
      <c r="C252" s="2">
        <v>100</v>
      </c>
      <c r="D252" s="2">
        <v>1000</v>
      </c>
      <c r="E252" s="110">
        <f t="shared" si="35"/>
        <v>0.12531328320802004</v>
      </c>
      <c r="F252" s="2">
        <v>2.2200000000000001E-2</v>
      </c>
      <c r="G252" s="31">
        <f t="shared" ref="G252:G262" si="37">D252*E252*F252</f>
        <v>2.7819548872180451</v>
      </c>
      <c r="H252" s="2">
        <v>2</v>
      </c>
      <c r="I252" s="1">
        <f>VLOOKUP(B252,道具ID!$L:$M,2,FALSE)</f>
        <v>102</v>
      </c>
      <c r="J252" s="2" t="s">
        <v>275</v>
      </c>
      <c r="K252" s="2">
        <v>100</v>
      </c>
      <c r="L252" s="2">
        <v>500</v>
      </c>
      <c r="M252" s="110">
        <f t="shared" si="36"/>
        <v>0.12531328320802004</v>
      </c>
      <c r="N252" s="2">
        <v>2.2200000000000001E-2</v>
      </c>
      <c r="O252" s="31">
        <f t="shared" ref="O252:O262" si="38">L252*M252*N252</f>
        <v>1.3909774436090225</v>
      </c>
      <c r="P252" s="2">
        <v>2</v>
      </c>
    </row>
    <row r="253" spans="2:16" x14ac:dyDescent="0.3">
      <c r="B253" s="2" t="s">
        <v>2780</v>
      </c>
      <c r="C253" s="2">
        <v>50</v>
      </c>
      <c r="D253" s="2">
        <v>1</v>
      </c>
      <c r="E253" s="110">
        <f t="shared" si="35"/>
        <v>6.2656641604010022E-2</v>
      </c>
      <c r="F253" s="2">
        <v>200</v>
      </c>
      <c r="G253" s="31">
        <f t="shared" si="37"/>
        <v>12.531328320802004</v>
      </c>
      <c r="H253" s="2">
        <v>4</v>
      </c>
      <c r="I253" s="1">
        <f>VLOOKUP(B253,道具ID!$L:$M,2,FALSE)</f>
        <v>40004</v>
      </c>
      <c r="J253" s="2" t="s">
        <v>2780</v>
      </c>
      <c r="K253" s="2">
        <v>50</v>
      </c>
      <c r="L253" s="2">
        <v>1</v>
      </c>
      <c r="M253" s="110">
        <f t="shared" si="36"/>
        <v>6.2656641604010022E-2</v>
      </c>
      <c r="N253" s="2">
        <v>200</v>
      </c>
      <c r="O253" s="31">
        <f t="shared" si="38"/>
        <v>12.531328320802004</v>
      </c>
      <c r="P253" s="2">
        <v>4</v>
      </c>
    </row>
    <row r="254" spans="2:16" x14ac:dyDescent="0.3">
      <c r="B254" s="2" t="s">
        <v>2793</v>
      </c>
      <c r="C254" s="2">
        <v>50</v>
      </c>
      <c r="D254" s="2">
        <v>1</v>
      </c>
      <c r="E254" s="110">
        <f t="shared" si="35"/>
        <v>6.2656641604010022E-2</v>
      </c>
      <c r="F254" s="2">
        <v>200</v>
      </c>
      <c r="G254" s="31">
        <f t="shared" si="37"/>
        <v>12.531328320802004</v>
      </c>
      <c r="H254" s="2">
        <v>4</v>
      </c>
      <c r="I254" s="1">
        <f>VLOOKUP(B254,道具ID!$L:$M,2,FALSE)</f>
        <v>130112</v>
      </c>
      <c r="J254" s="2" t="s">
        <v>2791</v>
      </c>
      <c r="K254" s="2">
        <v>0</v>
      </c>
      <c r="L254" s="2">
        <v>1</v>
      </c>
      <c r="M254" s="110">
        <f t="shared" si="36"/>
        <v>0</v>
      </c>
      <c r="N254" s="2">
        <v>200</v>
      </c>
      <c r="O254" s="31">
        <f t="shared" si="38"/>
        <v>0</v>
      </c>
      <c r="P254" s="2">
        <v>4</v>
      </c>
    </row>
    <row r="255" spans="2:16" x14ac:dyDescent="0.3">
      <c r="B255" s="2" t="s">
        <v>461</v>
      </c>
      <c r="C255" s="2">
        <v>120</v>
      </c>
      <c r="D255" s="2">
        <v>1</v>
      </c>
      <c r="E255" s="110">
        <f t="shared" si="35"/>
        <v>0.15037593984962405</v>
      </c>
      <c r="F255" s="2">
        <v>60</v>
      </c>
      <c r="G255" s="31">
        <f t="shared" si="37"/>
        <v>9.0225563909774422</v>
      </c>
      <c r="H255" s="2">
        <v>3</v>
      </c>
      <c r="I255" s="1">
        <f>VLOOKUP(B255,道具ID!$L:$M,2,FALSE)</f>
        <v>92002</v>
      </c>
      <c r="J255" s="2" t="s">
        <v>461</v>
      </c>
      <c r="K255" s="2">
        <v>120</v>
      </c>
      <c r="L255" s="2">
        <v>1</v>
      </c>
      <c r="M255" s="110">
        <f t="shared" si="36"/>
        <v>0.15037593984962405</v>
      </c>
      <c r="N255" s="2">
        <v>60</v>
      </c>
      <c r="O255" s="31">
        <f t="shared" si="38"/>
        <v>9.0225563909774422</v>
      </c>
      <c r="P255" s="2">
        <v>3</v>
      </c>
    </row>
    <row r="256" spans="2:16" x14ac:dyDescent="0.3">
      <c r="B256" s="2" t="s">
        <v>2771</v>
      </c>
      <c r="C256" s="2">
        <v>10</v>
      </c>
      <c r="D256" s="2">
        <v>1</v>
      </c>
      <c r="E256" s="110">
        <f t="shared" si="35"/>
        <v>1.2531328320802004E-2</v>
      </c>
      <c r="F256" s="2">
        <v>500</v>
      </c>
      <c r="G256" s="31">
        <f t="shared" si="37"/>
        <v>6.2656641604010019</v>
      </c>
      <c r="H256" s="2">
        <v>5</v>
      </c>
      <c r="I256" s="1">
        <f>VLOOKUP(B256,道具ID!$L:$M,2,FALSE)</f>
        <v>150109</v>
      </c>
      <c r="J256" s="2" t="s">
        <v>2771</v>
      </c>
      <c r="K256" s="2">
        <v>0</v>
      </c>
      <c r="L256" s="2">
        <v>1</v>
      </c>
      <c r="M256" s="110">
        <f t="shared" si="36"/>
        <v>0</v>
      </c>
      <c r="N256" s="2">
        <v>500</v>
      </c>
      <c r="O256" s="31">
        <f t="shared" si="38"/>
        <v>0</v>
      </c>
      <c r="P256" s="2">
        <v>5</v>
      </c>
    </row>
    <row r="257" spans="2:16" x14ac:dyDescent="0.3">
      <c r="B257" s="2" t="s">
        <v>2994</v>
      </c>
      <c r="C257" s="2">
        <v>120</v>
      </c>
      <c r="D257" s="2">
        <v>1</v>
      </c>
      <c r="E257" s="110">
        <f t="shared" si="35"/>
        <v>0.15037593984962405</v>
      </c>
      <c r="F257" s="2">
        <v>60</v>
      </c>
      <c r="G257" s="31">
        <f t="shared" si="37"/>
        <v>9.0225563909774422</v>
      </c>
      <c r="H257" s="2">
        <v>3</v>
      </c>
      <c r="I257" s="1">
        <f>VLOOKUP(B257,道具ID!$L:$M,2,FALSE)</f>
        <v>92003</v>
      </c>
      <c r="J257" s="2" t="s">
        <v>2994</v>
      </c>
      <c r="K257" s="2">
        <v>120</v>
      </c>
      <c r="L257" s="2">
        <v>1</v>
      </c>
      <c r="M257" s="110">
        <f t="shared" si="36"/>
        <v>0.15037593984962405</v>
      </c>
      <c r="N257" s="2">
        <v>60</v>
      </c>
      <c r="O257" s="31">
        <f t="shared" si="38"/>
        <v>9.0225563909774422</v>
      </c>
      <c r="P257" s="2">
        <v>3</v>
      </c>
    </row>
    <row r="258" spans="2:16" x14ac:dyDescent="0.3">
      <c r="B258" s="2" t="s">
        <v>480</v>
      </c>
      <c r="C258" s="2">
        <v>80</v>
      </c>
      <c r="D258" s="2">
        <v>1</v>
      </c>
      <c r="E258" s="110">
        <f t="shared" si="35"/>
        <v>0.10025062656641603</v>
      </c>
      <c r="F258" s="2">
        <v>120</v>
      </c>
      <c r="G258" s="31">
        <f t="shared" si="37"/>
        <v>12.030075187969924</v>
      </c>
      <c r="H258" s="2">
        <v>2</v>
      </c>
      <c r="I258" s="1">
        <f>VLOOKUP(B258,道具ID!$L:$M,2,FALSE)</f>
        <v>93002</v>
      </c>
      <c r="J258" s="2" t="s">
        <v>442</v>
      </c>
      <c r="K258" s="2">
        <v>80</v>
      </c>
      <c r="L258" s="2">
        <v>1</v>
      </c>
      <c r="M258" s="110">
        <f t="shared" si="36"/>
        <v>0.10025062656641603</v>
      </c>
      <c r="N258" s="2">
        <v>120</v>
      </c>
      <c r="O258" s="31">
        <f t="shared" si="38"/>
        <v>12.030075187969924</v>
      </c>
      <c r="P258" s="2">
        <v>2</v>
      </c>
    </row>
    <row r="259" spans="2:16" x14ac:dyDescent="0.3">
      <c r="B259" s="2" t="s">
        <v>280</v>
      </c>
      <c r="C259" s="2">
        <v>100</v>
      </c>
      <c r="D259" s="2">
        <v>20</v>
      </c>
      <c r="E259" s="110">
        <f t="shared" si="35"/>
        <v>0.12531328320802004</v>
      </c>
      <c r="F259" s="2">
        <v>1.25</v>
      </c>
      <c r="G259" s="31">
        <f t="shared" si="37"/>
        <v>3.132832080200501</v>
      </c>
      <c r="H259" s="2">
        <v>2</v>
      </c>
      <c r="I259" s="1">
        <f>VLOOKUP(B259,道具ID!$L:$M,2,FALSE)</f>
        <v>105</v>
      </c>
      <c r="J259" s="2" t="s">
        <v>280</v>
      </c>
      <c r="K259" s="2">
        <v>100</v>
      </c>
      <c r="L259" s="2">
        <v>10</v>
      </c>
      <c r="M259" s="110">
        <f t="shared" si="36"/>
        <v>0.12531328320802004</v>
      </c>
      <c r="N259" s="2">
        <v>1.25</v>
      </c>
      <c r="O259" s="31">
        <f t="shared" si="38"/>
        <v>1.5664160401002505</v>
      </c>
      <c r="P259" s="2">
        <v>2</v>
      </c>
    </row>
    <row r="260" spans="2:16" x14ac:dyDescent="0.3">
      <c r="B260" s="2" t="s">
        <v>472</v>
      </c>
      <c r="C260" s="2">
        <v>80</v>
      </c>
      <c r="D260" s="2">
        <v>1</v>
      </c>
      <c r="E260" s="110">
        <f t="shared" si="35"/>
        <v>0.10025062656641603</v>
      </c>
      <c r="F260" s="2">
        <v>120</v>
      </c>
      <c r="G260" s="31">
        <f t="shared" si="37"/>
        <v>12.030075187969924</v>
      </c>
      <c r="H260" s="2">
        <v>2</v>
      </c>
      <c r="I260" s="1">
        <f>VLOOKUP(B260,道具ID!$L:$M,2,FALSE)</f>
        <v>93003</v>
      </c>
      <c r="J260" s="2" t="s">
        <v>2995</v>
      </c>
      <c r="K260" s="2">
        <v>80</v>
      </c>
      <c r="L260" s="2">
        <v>1</v>
      </c>
      <c r="M260" s="110">
        <f t="shared" si="36"/>
        <v>0.10025062656641603</v>
      </c>
      <c r="N260" s="2">
        <v>120</v>
      </c>
      <c r="O260" s="31">
        <f t="shared" si="38"/>
        <v>12.030075187969924</v>
      </c>
      <c r="P260" s="2">
        <v>2</v>
      </c>
    </row>
    <row r="261" spans="2:16" x14ac:dyDescent="0.3">
      <c r="B261" s="2" t="s">
        <v>288</v>
      </c>
      <c r="C261" s="2">
        <v>20</v>
      </c>
      <c r="D261" s="2">
        <v>1</v>
      </c>
      <c r="E261" s="110">
        <f t="shared" si="35"/>
        <v>2.5062656641604009E-2</v>
      </c>
      <c r="F261" s="2">
        <v>35</v>
      </c>
      <c r="G261" s="31">
        <f t="shared" si="37"/>
        <v>0.8771929824561403</v>
      </c>
      <c r="H261" s="2">
        <v>3</v>
      </c>
      <c r="I261" s="1">
        <f>VLOOKUP(B261,道具ID!$L:$M,2,FALSE)</f>
        <v>100301</v>
      </c>
      <c r="J261" s="2" t="s">
        <v>288</v>
      </c>
      <c r="K261" s="2">
        <v>20</v>
      </c>
      <c r="L261" s="2">
        <v>1</v>
      </c>
      <c r="M261" s="110">
        <f t="shared" si="36"/>
        <v>2.5062656641604009E-2</v>
      </c>
      <c r="N261" s="2">
        <v>35</v>
      </c>
      <c r="O261" s="31">
        <f t="shared" si="38"/>
        <v>0.8771929824561403</v>
      </c>
      <c r="P261" s="2">
        <v>3</v>
      </c>
    </row>
    <row r="262" spans="2:16" x14ac:dyDescent="0.3">
      <c r="B262" s="2" t="s">
        <v>1907</v>
      </c>
      <c r="C262" s="2">
        <v>60</v>
      </c>
      <c r="D262" s="2">
        <v>2</v>
      </c>
      <c r="E262" s="110">
        <f t="shared" si="35"/>
        <v>7.5187969924812026E-2</v>
      </c>
      <c r="F262" s="2">
        <v>65</v>
      </c>
      <c r="G262" s="31">
        <f t="shared" si="37"/>
        <v>9.7744360902255636</v>
      </c>
      <c r="H262" s="2">
        <v>4</v>
      </c>
      <c r="I262" s="1">
        <f>VLOOKUP(B262,道具ID!$L:$M,2,FALSE)</f>
        <v>51311</v>
      </c>
      <c r="J262" s="2" t="s">
        <v>1907</v>
      </c>
      <c r="K262" s="2">
        <v>60</v>
      </c>
      <c r="L262" s="2">
        <v>1</v>
      </c>
      <c r="M262" s="110">
        <f t="shared" si="36"/>
        <v>7.5187969924812026E-2</v>
      </c>
      <c r="N262" s="2">
        <v>65</v>
      </c>
      <c r="O262" s="31">
        <f t="shared" si="38"/>
        <v>4.8872180451127818</v>
      </c>
      <c r="P262" s="2">
        <v>4</v>
      </c>
    </row>
    <row r="263" spans="2:16" x14ac:dyDescent="0.3">
      <c r="G263" s="115">
        <f>SUM(G251:G262)</f>
        <v>105.0375939849624</v>
      </c>
      <c r="O263" s="115">
        <f>SUM(O251:O262)</f>
        <v>78.395989974937351</v>
      </c>
    </row>
    <row r="264" spans="2:16" x14ac:dyDescent="0.3">
      <c r="B264" s="1" t="s">
        <v>2996</v>
      </c>
    </row>
    <row r="265" spans="2:16" x14ac:dyDescent="0.3">
      <c r="B265" s="2" t="s">
        <v>2997</v>
      </c>
      <c r="C265" s="2" t="s">
        <v>1835</v>
      </c>
      <c r="D265" s="2" t="s">
        <v>1836</v>
      </c>
      <c r="E265" s="2" t="s">
        <v>1837</v>
      </c>
      <c r="F265" s="2" t="s">
        <v>1838</v>
      </c>
      <c r="G265" s="2" t="s">
        <v>2998</v>
      </c>
      <c r="H265" s="2" t="s">
        <v>2999</v>
      </c>
    </row>
    <row r="266" spans="2:16" x14ac:dyDescent="0.3">
      <c r="B266" s="2">
        <v>1</v>
      </c>
      <c r="C266" s="2" t="s">
        <v>275</v>
      </c>
      <c r="D266" s="2">
        <v>2000</v>
      </c>
      <c r="E266" s="2"/>
      <c r="F266" s="2"/>
      <c r="G266" s="2">
        <v>3</v>
      </c>
      <c r="H266" s="2">
        <f>G266*$C$247</f>
        <v>300</v>
      </c>
    </row>
    <row r="267" spans="2:16" x14ac:dyDescent="0.3">
      <c r="B267" s="2">
        <v>2</v>
      </c>
      <c r="C267" s="2" t="s">
        <v>275</v>
      </c>
      <c r="D267" s="2">
        <v>5000</v>
      </c>
      <c r="E267" s="2" t="s">
        <v>482</v>
      </c>
      <c r="F267" s="2">
        <v>1</v>
      </c>
      <c r="G267" s="2">
        <v>10</v>
      </c>
      <c r="H267" s="2">
        <f>G267*$C$247</f>
        <v>1000</v>
      </c>
    </row>
    <row r="268" spans="2:16" x14ac:dyDescent="0.3">
      <c r="B268" s="2">
        <v>3</v>
      </c>
      <c r="C268" s="2" t="s">
        <v>471</v>
      </c>
      <c r="D268" s="2">
        <v>1</v>
      </c>
      <c r="E268" s="2" t="s">
        <v>481</v>
      </c>
      <c r="F268" s="2">
        <v>1</v>
      </c>
      <c r="G268" s="2">
        <v>30</v>
      </c>
      <c r="H268" s="2">
        <f>G268*$C$247</f>
        <v>3000</v>
      </c>
    </row>
    <row r="269" spans="2:16" x14ac:dyDescent="0.3">
      <c r="B269" s="2">
        <v>4</v>
      </c>
      <c r="C269" s="2" t="s">
        <v>3000</v>
      </c>
      <c r="D269" s="2">
        <v>1</v>
      </c>
      <c r="E269" s="2" t="s">
        <v>2795</v>
      </c>
      <c r="F269" s="2">
        <v>1</v>
      </c>
      <c r="G269" s="2">
        <v>60</v>
      </c>
      <c r="H269" s="2">
        <f>G269*$C$247</f>
        <v>6000</v>
      </c>
    </row>
    <row r="270" spans="2:16" x14ac:dyDescent="0.3">
      <c r="B270" s="2">
        <v>5</v>
      </c>
      <c r="C270" s="2" t="s">
        <v>2773</v>
      </c>
      <c r="D270" s="2">
        <v>1</v>
      </c>
      <c r="E270" s="2" t="s">
        <v>2789</v>
      </c>
      <c r="F270" s="2">
        <v>1</v>
      </c>
      <c r="G270" s="2">
        <v>100</v>
      </c>
      <c r="H270" s="2">
        <f>G270*$C$247</f>
        <v>10000</v>
      </c>
    </row>
    <row r="272" spans="2:16" x14ac:dyDescent="0.3">
      <c r="C272" s="1">
        <f>IF(C266="","",VLOOKUP(C266,道具ID!$L:$M,2,FALSE))</f>
        <v>102</v>
      </c>
      <c r="D272" s="1">
        <f>D266</f>
        <v>2000</v>
      </c>
      <c r="E272" s="1" t="str">
        <f>IF(E266="","",VLOOKUP(E266,道具ID!$L:$M,2,FALSE))</f>
        <v/>
      </c>
      <c r="I272" s="1" t="str">
        <f>IF(C272="","","("&amp;C272&amp;","&amp;D272&amp;")")</f>
        <v>(102,2000)</v>
      </c>
      <c r="K272" s="1" t="str">
        <f>IF(E272="","","("&amp;E272&amp;","&amp;F272&amp;")")</f>
        <v/>
      </c>
      <c r="L272" s="1" t="str">
        <f>IF(K272="","["&amp;I272&amp;"]","["&amp;I272&amp;","&amp;K272&amp;"]")</f>
        <v>[(102,2000)]</v>
      </c>
      <c r="M272" s="1" t="str">
        <f>IF(E272="","["&amp;C272&amp;"]","["&amp;C272&amp;","&amp;E272&amp;"]")</f>
        <v>[102]</v>
      </c>
      <c r="N272" s="1" t="str">
        <f>IF(F272="","["&amp;D272&amp;"]","["&amp;D272&amp;","&amp;F272&amp;"]")</f>
        <v>[2000]</v>
      </c>
    </row>
    <row r="273" spans="3:14" x14ac:dyDescent="0.3">
      <c r="C273" s="1">
        <f>IF(C267="","",VLOOKUP(C267,道具ID!$L:$M,2,FALSE))</f>
        <v>102</v>
      </c>
      <c r="D273" s="1">
        <f t="shared" ref="D273:F276" si="39">D267</f>
        <v>5000</v>
      </c>
      <c r="E273" s="1">
        <f>IF(E267="","",VLOOKUP(E267,道具ID!$L:$M,2,FALSE))</f>
        <v>93006</v>
      </c>
      <c r="F273" s="1">
        <f t="shared" si="39"/>
        <v>1</v>
      </c>
      <c r="I273" s="1" t="str">
        <f t="shared" ref="I273:K276" si="40">IF(C273="","","("&amp;C273&amp;","&amp;D273&amp;")")</f>
        <v>(102,5000)</v>
      </c>
      <c r="K273" s="1" t="str">
        <f t="shared" si="40"/>
        <v>(93006,1)</v>
      </c>
      <c r="L273" s="1" t="str">
        <f t="shared" ref="L273:L276" si="41">IF(K273="","["&amp;I273&amp;"]","["&amp;I273&amp;","&amp;K273&amp;"]")</f>
        <v>[(102,5000),(93006,1)]</v>
      </c>
      <c r="M273" s="1" t="str">
        <f t="shared" ref="M273:N276" si="42">IF(E273="","["&amp;C273&amp;"]","["&amp;C273&amp;","&amp;E273&amp;"]")</f>
        <v>[102,93006]</v>
      </c>
      <c r="N273" s="1" t="str">
        <f t="shared" si="42"/>
        <v>[5000,1]</v>
      </c>
    </row>
    <row r="274" spans="3:14" x14ac:dyDescent="0.3">
      <c r="C274" s="1">
        <f>IF(C268="","",VLOOKUP(C268,道具ID!$L:$M,2,FALSE))</f>
        <v>93001</v>
      </c>
      <c r="D274" s="1">
        <f t="shared" si="39"/>
        <v>1</v>
      </c>
      <c r="E274" s="1">
        <f>IF(E268="","",VLOOKUP(E268,道具ID!$L:$M,2,FALSE))</f>
        <v>93004</v>
      </c>
      <c r="F274" s="1">
        <f t="shared" si="39"/>
        <v>1</v>
      </c>
      <c r="I274" s="1" t="str">
        <f t="shared" si="40"/>
        <v>(93001,1)</v>
      </c>
      <c r="K274" s="1" t="str">
        <f t="shared" si="40"/>
        <v>(93004,1)</v>
      </c>
      <c r="L274" s="1" t="str">
        <f t="shared" si="41"/>
        <v>[(93001,1),(93004,1)]</v>
      </c>
      <c r="M274" s="1" t="str">
        <f t="shared" si="42"/>
        <v>[93001,93004]</v>
      </c>
      <c r="N274" s="1" t="str">
        <f t="shared" si="42"/>
        <v>[1,1]</v>
      </c>
    </row>
    <row r="275" spans="3:14" x14ac:dyDescent="0.3">
      <c r="C275" s="1">
        <f>IF(C269="","",VLOOKUP(C269,道具ID!$L:$M,2,FALSE))</f>
        <v>93005</v>
      </c>
      <c r="D275" s="1">
        <f t="shared" si="39"/>
        <v>1</v>
      </c>
      <c r="E275" s="1">
        <f>IF(E269="","",VLOOKUP(E269,道具ID!$L:$M,2,FALSE))</f>
        <v>130113</v>
      </c>
      <c r="F275" s="1">
        <f t="shared" si="39"/>
        <v>1</v>
      </c>
      <c r="I275" s="1" t="str">
        <f t="shared" si="40"/>
        <v>(93005,1)</v>
      </c>
      <c r="K275" s="1" t="str">
        <f t="shared" si="40"/>
        <v>(130113,1)</v>
      </c>
      <c r="L275" s="1" t="str">
        <f t="shared" si="41"/>
        <v>[(93005,1),(130113,1)]</v>
      </c>
      <c r="M275" s="1" t="str">
        <f t="shared" si="42"/>
        <v>[93005,130113]</v>
      </c>
      <c r="N275" s="1" t="str">
        <f t="shared" si="42"/>
        <v>[1,1]</v>
      </c>
    </row>
    <row r="276" spans="3:14" x14ac:dyDescent="0.3">
      <c r="C276" s="1">
        <f>IF(C270="","",VLOOKUP(C270,道具ID!$L:$M,2,FALSE))</f>
        <v>110106</v>
      </c>
      <c r="D276" s="1">
        <f t="shared" si="39"/>
        <v>1</v>
      </c>
      <c r="E276" s="1">
        <f>IF(E270="","",VLOOKUP(E270,道具ID!$L:$M,2,FALSE))</f>
        <v>140121</v>
      </c>
      <c r="F276" s="1">
        <f t="shared" si="39"/>
        <v>1</v>
      </c>
      <c r="I276" s="1" t="str">
        <f t="shared" si="40"/>
        <v>(110106,1)</v>
      </c>
      <c r="K276" s="1" t="str">
        <f t="shared" si="40"/>
        <v>(140121,1)</v>
      </c>
      <c r="L276" s="1" t="str">
        <f t="shared" si="41"/>
        <v>[(110106,1),(140121,1)]</v>
      </c>
      <c r="M276" s="1" t="str">
        <f t="shared" si="42"/>
        <v>[110106,140121]</v>
      </c>
      <c r="N276" s="1" t="str">
        <f t="shared" si="42"/>
        <v>[1,1]</v>
      </c>
    </row>
  </sheetData>
  <mergeCells count="4">
    <mergeCell ref="B7:E7"/>
    <mergeCell ref="B21:G21"/>
    <mergeCell ref="H21:M21"/>
    <mergeCell ref="N21:P21"/>
  </mergeCells>
  <phoneticPr fontId="34" type="noConversion"/>
  <conditionalFormatting sqref="M122">
    <cfRule type="dataBar" priority="5">
      <dataBar>
        <cfvo type="min"/>
        <cfvo type="max"/>
        <color rgb="FF008AEF"/>
      </dataBar>
      <extLst>
        <ext xmlns:x14="http://schemas.microsoft.com/office/spreadsheetml/2009/9/main" uri="{B025F937-C7B1-47D3-B67F-A62EFF666E3E}">
          <x14:id>{C84DE058-E0B0-48BF-A850-B158B433F6B0}</x14:id>
        </ext>
      </extLst>
    </cfRule>
  </conditionalFormatting>
  <conditionalFormatting sqref="F108:F114">
    <cfRule type="dataBar" priority="6">
      <dataBar>
        <cfvo type="min"/>
        <cfvo type="max"/>
        <color rgb="FFFFB628"/>
      </dataBar>
      <extLst>
        <ext xmlns:x14="http://schemas.microsoft.com/office/spreadsheetml/2009/9/main" uri="{B025F937-C7B1-47D3-B67F-A62EFF666E3E}">
          <x14:id>{499120BF-970B-4DB7-AE1A-D5A5C826EC39}</x14:id>
        </ext>
      </extLst>
    </cfRule>
  </conditionalFormatting>
  <conditionalFormatting sqref="F122:F149">
    <cfRule type="dataBar" priority="4">
      <dataBar>
        <cfvo type="min"/>
        <cfvo type="max"/>
        <color rgb="FF008AEF"/>
      </dataBar>
      <extLst>
        <ext xmlns:x14="http://schemas.microsoft.com/office/spreadsheetml/2009/9/main" uri="{B025F937-C7B1-47D3-B67F-A62EFF666E3E}">
          <x14:id>{355ED709-59B9-44AC-9310-BD3B1466E082}</x14:id>
        </ext>
      </extLst>
    </cfRule>
  </conditionalFormatting>
  <conditionalFormatting sqref="F251:F262">
    <cfRule type="dataBar" priority="1">
      <dataBar>
        <cfvo type="min"/>
        <cfvo type="max"/>
        <color rgb="FFFFB628"/>
      </dataBar>
      <extLst>
        <ext xmlns:x14="http://schemas.microsoft.com/office/spreadsheetml/2009/9/main" uri="{B025F937-C7B1-47D3-B67F-A62EFF666E3E}">
          <x14:id>{458F0DE3-545C-48EF-9A3D-A1D84696F216}</x14:id>
        </ext>
      </extLst>
    </cfRule>
  </conditionalFormatting>
  <conditionalFormatting sqref="L179:L185">
    <cfRule type="dataBar" priority="3">
      <dataBar>
        <cfvo type="min"/>
        <cfvo type="max"/>
        <color rgb="FFFFB628"/>
      </dataBar>
      <extLst>
        <ext xmlns:x14="http://schemas.microsoft.com/office/spreadsheetml/2009/9/main" uri="{B025F937-C7B1-47D3-B67F-A62EFF666E3E}">
          <x14:id>{89708227-C60B-4A6B-AA0F-70C3D0802914}</x14:id>
        </ext>
      </extLst>
    </cfRule>
  </conditionalFormatting>
  <conditionalFormatting sqref="N251:N262">
    <cfRule type="dataBar" priority="2">
      <dataBar>
        <cfvo type="min"/>
        <cfvo type="max"/>
        <color rgb="FFFFB628"/>
      </dataBar>
      <extLst>
        <ext xmlns:x14="http://schemas.microsoft.com/office/spreadsheetml/2009/9/main" uri="{B025F937-C7B1-47D3-B67F-A62EFF666E3E}">
          <x14:id>{FEE2A87A-FB96-4905-9C1E-D8CA9A327149}</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84DE058-E0B0-48BF-A850-B158B433F6B0}">
            <x14:dataBar minLength="0" maxLength="100" gradient="0">
              <x14:cfvo type="autoMin"/>
              <x14:cfvo type="autoMax"/>
              <x14:negativeFillColor rgb="FFFF0000"/>
              <x14:axisColor rgb="FF000000"/>
            </x14:dataBar>
          </x14:cfRule>
          <xm:sqref>M122</xm:sqref>
        </x14:conditionalFormatting>
        <x14:conditionalFormatting xmlns:xm="http://schemas.microsoft.com/office/excel/2006/main">
          <x14:cfRule type="dataBar" id="{499120BF-970B-4DB7-AE1A-D5A5C826EC39}">
            <x14:dataBar minLength="0" maxLength="100" gradient="0">
              <x14:cfvo type="autoMin"/>
              <x14:cfvo type="autoMax"/>
              <x14:negativeFillColor rgb="FFFF0000"/>
              <x14:axisColor rgb="FF000000"/>
            </x14:dataBar>
          </x14:cfRule>
          <xm:sqref>F108:F114</xm:sqref>
        </x14:conditionalFormatting>
        <x14:conditionalFormatting xmlns:xm="http://schemas.microsoft.com/office/excel/2006/main">
          <x14:cfRule type="dataBar" id="{355ED709-59B9-44AC-9310-BD3B1466E082}">
            <x14:dataBar minLength="0" maxLength="100" gradient="0">
              <x14:cfvo type="autoMin"/>
              <x14:cfvo type="autoMax"/>
              <x14:negativeFillColor rgb="FFFF0000"/>
              <x14:axisColor rgb="FF000000"/>
            </x14:dataBar>
          </x14:cfRule>
          <xm:sqref>F122:F149</xm:sqref>
        </x14:conditionalFormatting>
        <x14:conditionalFormatting xmlns:xm="http://schemas.microsoft.com/office/excel/2006/main">
          <x14:cfRule type="dataBar" id="{458F0DE3-545C-48EF-9A3D-A1D84696F216}">
            <x14:dataBar minLength="0" maxLength="100" gradient="0">
              <x14:cfvo type="autoMin"/>
              <x14:cfvo type="autoMax"/>
              <x14:negativeFillColor rgb="FFFF0000"/>
              <x14:axisColor rgb="FF000000"/>
            </x14:dataBar>
          </x14:cfRule>
          <xm:sqref>F251:F262</xm:sqref>
        </x14:conditionalFormatting>
        <x14:conditionalFormatting xmlns:xm="http://schemas.microsoft.com/office/excel/2006/main">
          <x14:cfRule type="dataBar" id="{89708227-C60B-4A6B-AA0F-70C3D0802914}">
            <x14:dataBar minLength="0" maxLength="100" gradient="0">
              <x14:cfvo type="autoMin"/>
              <x14:cfvo type="autoMax"/>
              <x14:negativeFillColor rgb="FFFF0000"/>
              <x14:axisColor rgb="FF000000"/>
            </x14:dataBar>
          </x14:cfRule>
          <xm:sqref>L179:L185</xm:sqref>
        </x14:conditionalFormatting>
        <x14:conditionalFormatting xmlns:xm="http://schemas.microsoft.com/office/excel/2006/main">
          <x14:cfRule type="dataBar" id="{FEE2A87A-FB96-4905-9C1E-D8CA9A327149}">
            <x14:dataBar minLength="0" maxLength="100" gradient="0">
              <x14:cfvo type="autoMin"/>
              <x14:cfvo type="autoMax"/>
              <x14:negativeFillColor rgb="FFFF0000"/>
              <x14:axisColor rgb="FF000000"/>
            </x14:dataBar>
          </x14:cfRule>
          <xm:sqref>N251:N262</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202"/>
  <sheetViews>
    <sheetView workbookViewId="0">
      <pane xSplit="2" ySplit="2" topLeftCell="K114" activePane="bottomRight" state="frozen"/>
      <selection pane="topRight"/>
      <selection pane="bottomLeft"/>
      <selection pane="bottomRight" activeCell="V138" sqref="V138"/>
    </sheetView>
  </sheetViews>
  <sheetFormatPr defaultColWidth="9" defaultRowHeight="13.5" x14ac:dyDescent="0.15"/>
  <cols>
    <col min="1" max="1" width="6" customWidth="1"/>
    <col min="2" max="2" width="6.375" customWidth="1"/>
    <col min="3" max="3" width="23.625" customWidth="1"/>
    <col min="4" max="4" width="4.875" customWidth="1"/>
    <col min="6" max="6" width="9" style="56"/>
    <col min="7" max="7" width="23.625" customWidth="1"/>
    <col min="8" max="8" width="5.625" customWidth="1"/>
    <col min="10" max="10" width="8.5" style="56" customWidth="1"/>
    <col min="11" max="11" width="27.75" customWidth="1"/>
    <col min="12" max="12" width="4.75" customWidth="1"/>
    <col min="14" max="14" width="9" style="56"/>
    <col min="15" max="15" width="9" style="57"/>
    <col min="16" max="16" width="4.5" customWidth="1"/>
    <col min="17" max="17" width="16" customWidth="1"/>
    <col min="18" max="18" width="11.25" style="57" customWidth="1"/>
    <col min="19" max="20" width="10.5" style="58" customWidth="1"/>
    <col min="21" max="21" width="4.5" customWidth="1"/>
    <col min="22" max="22" width="21.625" customWidth="1"/>
    <col min="24" max="24" width="6.875" customWidth="1"/>
    <col min="25" max="26" width="9.125" customWidth="1"/>
    <col min="27" max="27" width="4" customWidth="1"/>
    <col min="28" max="28" width="16.125" customWidth="1"/>
    <col min="29" max="29" width="24" customWidth="1"/>
    <col min="30" max="30" width="3.75" customWidth="1"/>
    <col min="33" max="33" width="3.75" customWidth="1"/>
    <col min="34" max="34" width="8" customWidth="1"/>
    <col min="37" max="37" width="6.125" customWidth="1"/>
    <col min="39" max="39" width="15.875" customWidth="1"/>
    <col min="45" max="45" width="22.875" customWidth="1"/>
    <col min="46" max="46" width="19.25" customWidth="1"/>
    <col min="47" max="47" width="9" customWidth="1"/>
    <col min="48" max="48" width="11.875" customWidth="1"/>
    <col min="49" max="49" width="29.375" customWidth="1"/>
    <col min="50" max="50" width="13" customWidth="1"/>
    <col min="51" max="51" width="9" customWidth="1"/>
    <col min="52" max="52" width="15.25" customWidth="1"/>
    <col min="53" max="53" width="11" customWidth="1"/>
    <col min="54" max="54" width="9" customWidth="1"/>
    <col min="55" max="55" width="9.875" customWidth="1"/>
    <col min="56" max="56" width="8" customWidth="1"/>
    <col min="57" max="57" width="9.5" customWidth="1"/>
    <col min="58" max="58" width="9.75" customWidth="1"/>
    <col min="59" max="59" width="8" customWidth="1"/>
    <col min="62" max="63" width="12.875" customWidth="1"/>
    <col min="64" max="64" width="5.125" customWidth="1"/>
    <col min="67" max="67" width="44.625" customWidth="1"/>
    <col min="68" max="68" width="20.25" customWidth="1"/>
    <col min="69" max="69" width="15.875" customWidth="1"/>
    <col min="70" max="70" width="12" customWidth="1"/>
  </cols>
  <sheetData>
    <row r="1" spans="1:29" x14ac:dyDescent="0.15">
      <c r="A1" s="11"/>
      <c r="B1" s="59"/>
      <c r="C1" s="60" t="s">
        <v>3001</v>
      </c>
      <c r="D1" s="61"/>
      <c r="E1" s="61"/>
      <c r="F1" s="62"/>
      <c r="G1" s="63" t="s">
        <v>3002</v>
      </c>
      <c r="H1" s="64"/>
      <c r="I1" s="64"/>
      <c r="J1" s="64"/>
      <c r="K1" s="64"/>
      <c r="L1" s="64"/>
      <c r="M1" s="64"/>
      <c r="N1" s="72"/>
      <c r="O1" s="73"/>
      <c r="Q1" s="48" t="s">
        <v>2993</v>
      </c>
      <c r="R1" s="78"/>
      <c r="S1" s="79"/>
      <c r="T1" s="79"/>
      <c r="V1" s="48" t="s">
        <v>3003</v>
      </c>
      <c r="AB1" s="48" t="s">
        <v>3004</v>
      </c>
    </row>
    <row r="2" spans="1:29" x14ac:dyDescent="0.15">
      <c r="A2" s="51" t="s">
        <v>3005</v>
      </c>
      <c r="B2" s="51" t="s">
        <v>3006</v>
      </c>
      <c r="C2" s="65" t="s">
        <v>2982</v>
      </c>
      <c r="D2" s="65" t="s">
        <v>726</v>
      </c>
      <c r="E2" s="65" t="s">
        <v>3007</v>
      </c>
      <c r="F2" s="66" t="s">
        <v>2847</v>
      </c>
      <c r="G2" s="67" t="s">
        <v>2982</v>
      </c>
      <c r="H2" s="67" t="s">
        <v>726</v>
      </c>
      <c r="I2" s="67" t="s">
        <v>3007</v>
      </c>
      <c r="J2" s="74" t="s">
        <v>2847</v>
      </c>
      <c r="K2" s="67" t="s">
        <v>2982</v>
      </c>
      <c r="L2" s="67" t="s">
        <v>726</v>
      </c>
      <c r="M2" s="67" t="s">
        <v>3007</v>
      </c>
      <c r="N2" s="74" t="s">
        <v>2847</v>
      </c>
      <c r="O2" s="75" t="s">
        <v>3008</v>
      </c>
      <c r="V2" s="80" t="s">
        <v>1800</v>
      </c>
      <c r="W2" s="80" t="s">
        <v>3009</v>
      </c>
      <c r="X2" s="80" t="s">
        <v>726</v>
      </c>
      <c r="Y2" s="80" t="s">
        <v>3010</v>
      </c>
      <c r="Z2" s="80" t="s">
        <v>2957</v>
      </c>
      <c r="AB2" s="54" t="s">
        <v>3011</v>
      </c>
      <c r="AC2" s="54" t="s">
        <v>3012</v>
      </c>
    </row>
    <row r="3" spans="1:29" ht="15.75" x14ac:dyDescent="0.3">
      <c r="A3" s="7">
        <v>1</v>
      </c>
      <c r="B3" s="7">
        <v>1</v>
      </c>
      <c r="C3" s="7" t="s">
        <v>275</v>
      </c>
      <c r="D3" s="7" t="str">
        <f>IF(C3="","",VLOOKUP(C3,$V:$X,3,FALSE))</f>
        <v>军费</v>
      </c>
      <c r="E3" s="7">
        <v>30</v>
      </c>
      <c r="F3" s="68">
        <f t="shared" ref="F3:F34" si="0">IF(C3="",0,VLOOKUP(C3,$V:$W,2,FALSE)*E3)</f>
        <v>0.6</v>
      </c>
      <c r="G3" s="7" t="s">
        <v>2691</v>
      </c>
      <c r="H3" s="7" t="str">
        <f>IF(G3="","",VLOOKUP(G3,$V:$X,3,FALSE))</f>
        <v>涂装</v>
      </c>
      <c r="I3" s="7">
        <v>1</v>
      </c>
      <c r="J3" s="68">
        <f>IF(G3="",0,VLOOKUP(G3,$V:$W,2,FALSE)*I3)</f>
        <v>200</v>
      </c>
      <c r="K3" s="7" t="s">
        <v>2613</v>
      </c>
      <c r="L3" s="7" t="str">
        <f>IF(K3="","",VLOOKUP(K3,$V:$X,3,FALSE))</f>
        <v>涂鸦</v>
      </c>
      <c r="M3" s="7">
        <v>1</v>
      </c>
      <c r="N3" s="68">
        <f>IF(K3="",0,VLOOKUP(K3,$V:$W,2,FALSE)*M3)</f>
        <v>500</v>
      </c>
      <c r="O3" s="76"/>
      <c r="Q3" s="81"/>
      <c r="R3" s="82" t="s">
        <v>1824</v>
      </c>
      <c r="S3" s="83" t="s">
        <v>714</v>
      </c>
      <c r="T3" s="83" t="s">
        <v>715</v>
      </c>
      <c r="V3" s="84" t="s">
        <v>2712</v>
      </c>
      <c r="W3" s="2">
        <v>200</v>
      </c>
      <c r="X3" s="2" t="s">
        <v>3013</v>
      </c>
      <c r="Y3" s="2">
        <f>IF(Z3="",SUMIFS(E:E,C:C,V3)+SUMIFS(I:I,G:G,V3)+SUMIFS(M:M,K:K,V3),1)</f>
        <v>1</v>
      </c>
      <c r="Z3" s="2"/>
      <c r="AB3" s="7" t="str">
        <f t="shared" ref="AB3:AB34" si="1">IF(C3="","[]","["&amp;"("&amp;VLOOKUP(C3,道具ID,2,FALSE)&amp;","&amp;E3&amp;")"&amp;"]")</f>
        <v>[(102,30)]</v>
      </c>
      <c r="AC3" s="7" t="str">
        <f t="shared" ref="AC3:AC34" si="2">IF(G3="","[]",IF(K3="","["&amp;"("&amp;VLOOKUP(G3,道具ID,2,FALSE)&amp;","&amp;I3&amp;")"&amp;"]","["&amp;"("&amp;VLOOKUP(G3,道具ID,2,FALSE)&amp;","&amp;I3&amp;")"&amp;","&amp;"("&amp;VLOOKUP(K3,道具ID,2,FALSE)&amp;","&amp;M3&amp;")"&amp;"]"))</f>
        <v>[(180010,1),(150102,1)]</v>
      </c>
    </row>
    <row r="4" spans="1:29" ht="15.75" x14ac:dyDescent="0.3">
      <c r="A4" s="7">
        <v>2</v>
      </c>
      <c r="B4" s="7">
        <v>1</v>
      </c>
      <c r="C4" s="7" t="s">
        <v>2726</v>
      </c>
      <c r="D4" s="7" t="str">
        <f t="shared" ref="D4:D67" si="3">IF(C4="","",VLOOKUP(C4,$V:$X,3,FALSE))</f>
        <v>头像</v>
      </c>
      <c r="E4" s="7">
        <v>1</v>
      </c>
      <c r="F4" s="68">
        <f t="shared" si="0"/>
        <v>100</v>
      </c>
      <c r="G4" s="7" t="s">
        <v>325</v>
      </c>
      <c r="H4" s="7" t="str">
        <f t="shared" ref="H4:H67" si="4">IF(G4="","",VLOOKUP(G4,$V:$X,3,FALSE))</f>
        <v>钻石</v>
      </c>
      <c r="I4" s="7">
        <v>20</v>
      </c>
      <c r="J4" s="68">
        <f t="shared" ref="J4:J67" si="5">IF(G4="",0,VLOOKUP(G4,$V:$W,2,FALSE)*I4)</f>
        <v>20</v>
      </c>
      <c r="K4" s="7"/>
      <c r="L4" s="7" t="str">
        <f t="shared" ref="L4:L67" si="6">IF(K4="","",VLOOKUP(K4,$V:$X,3,FALSE))</f>
        <v/>
      </c>
      <c r="M4" s="7"/>
      <c r="N4" s="68">
        <f t="shared" ref="N4:N67" si="7">IF(K4="",0,VLOOKUP(K4,$V:$W,2,FALSE)*M4)</f>
        <v>0</v>
      </c>
      <c r="O4" s="76"/>
      <c r="Q4" s="7" t="s">
        <v>3014</v>
      </c>
      <c r="R4" s="76">
        <f>SUM(F3:F102)</f>
        <v>2503.7000000000003</v>
      </c>
      <c r="S4" s="85">
        <f>R4/VLOOKUP(1,道具价值!$B$74:$E$80,4,FALSE)</f>
        <v>33.271391111111114</v>
      </c>
      <c r="T4" s="85">
        <f>R4/VLOOKUP(6,道具价值!$B$74:$E$80,4,FALSE)</f>
        <v>25.034496300000001</v>
      </c>
      <c r="V4" s="84" t="s">
        <v>2714</v>
      </c>
      <c r="W4" s="2">
        <v>200</v>
      </c>
      <c r="X4" s="2" t="s">
        <v>3013</v>
      </c>
      <c r="Y4" s="257">
        <f t="shared" ref="Y4:Y67" si="8">IF(Z4="",SUMIFS(E:E,C:C,V4)+SUMIFS(I:I,G:G,V4)+SUMIFS(M:M,K:K,V4),1)</f>
        <v>1</v>
      </c>
      <c r="Z4" s="2"/>
      <c r="AB4" s="7" t="str">
        <f t="shared" si="1"/>
        <v>[(140110,1)]</v>
      </c>
      <c r="AC4" s="7" t="str">
        <f t="shared" si="2"/>
        <v>[(101,20)]</v>
      </c>
    </row>
    <row r="5" spans="1:29" ht="15.75" x14ac:dyDescent="0.3">
      <c r="A5" s="7">
        <v>3</v>
      </c>
      <c r="B5" s="7">
        <v>1</v>
      </c>
      <c r="C5" s="7" t="s">
        <v>325</v>
      </c>
      <c r="D5" s="7" t="str">
        <f t="shared" si="3"/>
        <v>钻石</v>
      </c>
      <c r="E5" s="7">
        <v>20</v>
      </c>
      <c r="F5" s="68">
        <f t="shared" si="0"/>
        <v>20</v>
      </c>
      <c r="G5" s="7" t="s">
        <v>2707</v>
      </c>
      <c r="H5" s="7" t="str">
        <f t="shared" si="4"/>
        <v>BattlePass货币</v>
      </c>
      <c r="I5" s="7">
        <v>20</v>
      </c>
      <c r="J5" s="68">
        <f t="shared" si="5"/>
        <v>28</v>
      </c>
      <c r="K5" s="7" t="s">
        <v>275</v>
      </c>
      <c r="L5" s="7" t="str">
        <f t="shared" si="6"/>
        <v>军费</v>
      </c>
      <c r="M5" s="7">
        <v>250</v>
      </c>
      <c r="N5" s="68">
        <f t="shared" si="7"/>
        <v>5</v>
      </c>
      <c r="O5" s="76"/>
      <c r="Q5" s="7" t="s">
        <v>3015</v>
      </c>
      <c r="R5" s="76">
        <f>SUM(J3:J102)+SUM(N3:N102)</f>
        <v>17963.5</v>
      </c>
      <c r="S5" s="86">
        <f>R5/VLOOKUP(1,道具价值!$B$74:$E$80,4,FALSE)</f>
        <v>238.71495555555558</v>
      </c>
      <c r="T5" s="86">
        <f>R5/VLOOKUP(6,道具价值!$B$74:$E$80,4,FALSE)</f>
        <v>179.61703649999998</v>
      </c>
      <c r="V5" s="84" t="s">
        <v>2724</v>
      </c>
      <c r="W5" s="2">
        <v>100</v>
      </c>
      <c r="X5" s="2" t="s">
        <v>3013</v>
      </c>
      <c r="Y5" s="257">
        <f t="shared" si="8"/>
        <v>1</v>
      </c>
      <c r="Z5" s="2"/>
      <c r="AB5" s="7" t="str">
        <f t="shared" si="1"/>
        <v>[(101,20)]</v>
      </c>
      <c r="AC5" s="7" t="str">
        <f t="shared" si="2"/>
        <v>[(113,20),(102,250)]</v>
      </c>
    </row>
    <row r="6" spans="1:29" ht="15.75" x14ac:dyDescent="0.3">
      <c r="A6" s="7">
        <v>4</v>
      </c>
      <c r="B6" s="7">
        <v>1</v>
      </c>
      <c r="C6" s="7" t="s">
        <v>2454</v>
      </c>
      <c r="D6" s="7" t="str">
        <f t="shared" si="3"/>
        <v>宝箱</v>
      </c>
      <c r="E6" s="69">
        <v>1</v>
      </c>
      <c r="F6" s="68">
        <f t="shared" si="0"/>
        <v>200</v>
      </c>
      <c r="G6" s="7" t="s">
        <v>2720</v>
      </c>
      <c r="H6" s="7" t="str">
        <f t="shared" si="4"/>
        <v>头像</v>
      </c>
      <c r="I6" s="7">
        <v>1</v>
      </c>
      <c r="J6" s="68">
        <f t="shared" si="5"/>
        <v>200</v>
      </c>
      <c r="K6" s="7"/>
      <c r="L6" s="7" t="str">
        <f t="shared" si="6"/>
        <v/>
      </c>
      <c r="M6" s="7"/>
      <c r="N6" s="68">
        <f t="shared" si="7"/>
        <v>0</v>
      </c>
      <c r="O6" s="76"/>
      <c r="Q6" s="7" t="s">
        <v>3016</v>
      </c>
      <c r="R6" s="76">
        <f>R4+R5</f>
        <v>20467.2</v>
      </c>
      <c r="S6" s="86">
        <f>R6/VLOOKUP(1,道具价值!$B$74:$E$80,4,FALSE)</f>
        <v>271.98634666666669</v>
      </c>
      <c r="T6" s="86">
        <f>R6/VLOOKUP(6,道具价值!$B$74:$E$80,4,FALSE)</f>
        <v>204.65153279999998</v>
      </c>
      <c r="V6" s="84" t="s">
        <v>2720</v>
      </c>
      <c r="W6" s="2">
        <v>200</v>
      </c>
      <c r="X6" s="2" t="s">
        <v>3013</v>
      </c>
      <c r="Y6" s="257">
        <f t="shared" si="8"/>
        <v>1</v>
      </c>
      <c r="Z6" s="2"/>
      <c r="AB6" s="7" t="str">
        <f t="shared" si="1"/>
        <v>[(25052,1)]</v>
      </c>
      <c r="AC6" s="7" t="str">
        <f t="shared" si="2"/>
        <v>[(140107,1)]</v>
      </c>
    </row>
    <row r="7" spans="1:29" ht="15.75" x14ac:dyDescent="0.3">
      <c r="A7" s="7">
        <v>5</v>
      </c>
      <c r="B7" s="7">
        <v>1</v>
      </c>
      <c r="C7" s="7" t="s">
        <v>2639</v>
      </c>
      <c r="D7" s="7" t="str">
        <f t="shared" si="3"/>
        <v>摆件</v>
      </c>
      <c r="E7" s="7">
        <v>1</v>
      </c>
      <c r="F7" s="68">
        <f t="shared" si="0"/>
        <v>200</v>
      </c>
      <c r="G7" s="7" t="s">
        <v>2649</v>
      </c>
      <c r="H7" s="7" t="str">
        <f t="shared" si="4"/>
        <v>战旗</v>
      </c>
      <c r="I7" s="7">
        <v>1</v>
      </c>
      <c r="J7" s="68">
        <f t="shared" si="5"/>
        <v>50</v>
      </c>
      <c r="K7" s="7" t="s">
        <v>2657</v>
      </c>
      <c r="L7" s="7" t="str">
        <f t="shared" si="6"/>
        <v>战旗</v>
      </c>
      <c r="M7" s="7">
        <v>1</v>
      </c>
      <c r="N7" s="68">
        <f t="shared" si="7"/>
        <v>50</v>
      </c>
      <c r="O7" s="76"/>
      <c r="Q7" s="7" t="s">
        <v>3017</v>
      </c>
      <c r="R7" s="76">
        <v>11</v>
      </c>
      <c r="S7" s="85"/>
      <c r="T7" s="85"/>
      <c r="V7" s="84" t="s">
        <v>2726</v>
      </c>
      <c r="W7" s="2">
        <v>100</v>
      </c>
      <c r="X7" s="2" t="s">
        <v>3013</v>
      </c>
      <c r="Y7" s="257">
        <f t="shared" si="8"/>
        <v>1</v>
      </c>
      <c r="Z7" s="2"/>
      <c r="AB7" s="7" t="str">
        <f t="shared" si="1"/>
        <v>[(110101,1)]</v>
      </c>
      <c r="AC7" s="7" t="str">
        <f t="shared" si="2"/>
        <v>[(120101,1),(120201,1)]</v>
      </c>
    </row>
    <row r="8" spans="1:29" ht="15.75" x14ac:dyDescent="0.3">
      <c r="A8" s="7">
        <v>6</v>
      </c>
      <c r="B8" s="7">
        <v>1</v>
      </c>
      <c r="C8" s="7" t="s">
        <v>2625</v>
      </c>
      <c r="D8" s="7" t="str">
        <f t="shared" si="3"/>
        <v>头像框</v>
      </c>
      <c r="E8" s="7">
        <v>1</v>
      </c>
      <c r="F8" s="68">
        <f t="shared" si="0"/>
        <v>50</v>
      </c>
      <c r="G8" s="7" t="s">
        <v>2641</v>
      </c>
      <c r="H8" s="7" t="str">
        <f t="shared" si="4"/>
        <v>摆件</v>
      </c>
      <c r="I8" s="7">
        <v>1</v>
      </c>
      <c r="J8" s="68">
        <f t="shared" si="5"/>
        <v>500</v>
      </c>
      <c r="K8" s="7"/>
      <c r="L8" s="7" t="str">
        <f t="shared" si="6"/>
        <v/>
      </c>
      <c r="M8" s="7"/>
      <c r="N8" s="68">
        <f t="shared" si="7"/>
        <v>0</v>
      </c>
      <c r="O8" s="76"/>
      <c r="Q8" s="7" t="s">
        <v>3018</v>
      </c>
      <c r="R8" s="76">
        <f>SUMIFS($F$3:$F$102,$A$3:$A$102,"&lt;="&amp;R7)+SUMIFS($J$3:$J$102,$A$3:$A$102,"&lt;="&amp;R7)+SUMIFS($N$3:$N$102,$A$3:$A$102,"&lt;="&amp;R7)</f>
        <v>3897.3</v>
      </c>
      <c r="S8" s="85">
        <f>R8/VLOOKUP(1,道具价值!$B$74:$E$80,4,FALSE)</f>
        <v>51.790786666666676</v>
      </c>
      <c r="T8" s="85">
        <f>R8/VLOOKUP(6,道具价值!$B$74:$E$80,4,FALSE)</f>
        <v>38.969102700000001</v>
      </c>
      <c r="V8" s="84" t="s">
        <v>2732</v>
      </c>
      <c r="W8" s="2">
        <v>200</v>
      </c>
      <c r="X8" s="2" t="s">
        <v>3013</v>
      </c>
      <c r="Y8" s="257">
        <f t="shared" si="8"/>
        <v>0</v>
      </c>
      <c r="Z8" s="2"/>
      <c r="AB8" s="7" t="str">
        <f t="shared" si="1"/>
        <v>[(130102,1)]</v>
      </c>
      <c r="AC8" s="7" t="str">
        <f t="shared" si="2"/>
        <v>[(110102,1)]</v>
      </c>
    </row>
    <row r="9" spans="1:29" ht="15.75" x14ac:dyDescent="0.3">
      <c r="A9" s="7">
        <v>7</v>
      </c>
      <c r="B9" s="7">
        <v>1</v>
      </c>
      <c r="C9" s="7" t="s">
        <v>275</v>
      </c>
      <c r="D9" s="7" t="str">
        <f t="shared" si="3"/>
        <v>军费</v>
      </c>
      <c r="E9" s="7">
        <v>60</v>
      </c>
      <c r="F9" s="68">
        <f t="shared" si="0"/>
        <v>1.2</v>
      </c>
      <c r="G9" s="7" t="s">
        <v>325</v>
      </c>
      <c r="H9" s="7" t="str">
        <f t="shared" si="4"/>
        <v>钻石</v>
      </c>
      <c r="I9" s="7">
        <v>20</v>
      </c>
      <c r="J9" s="68">
        <f t="shared" si="5"/>
        <v>20</v>
      </c>
      <c r="K9" s="7"/>
      <c r="L9" s="7" t="str">
        <f t="shared" si="6"/>
        <v/>
      </c>
      <c r="M9" s="7"/>
      <c r="N9" s="68">
        <f t="shared" si="7"/>
        <v>0</v>
      </c>
      <c r="O9" s="76"/>
      <c r="Q9" s="7" t="s">
        <v>3019</v>
      </c>
      <c r="R9" s="14">
        <f>R8/R6</f>
        <v>0.19041686210131331</v>
      </c>
      <c r="S9" s="87">
        <f t="shared" ref="S9:T9" si="9">S8/S6</f>
        <v>0.19041686210131334</v>
      </c>
      <c r="T9" s="87">
        <f t="shared" si="9"/>
        <v>0.19041686210131334</v>
      </c>
      <c r="V9" s="84" t="s">
        <v>2734</v>
      </c>
      <c r="W9" s="2">
        <v>200</v>
      </c>
      <c r="X9" s="2" t="s">
        <v>3013</v>
      </c>
      <c r="Y9" s="257">
        <f t="shared" si="8"/>
        <v>1</v>
      </c>
      <c r="Z9" s="2"/>
      <c r="AB9" s="7" t="str">
        <f t="shared" si="1"/>
        <v>[(102,60)]</v>
      </c>
      <c r="AC9" s="7" t="str">
        <f t="shared" si="2"/>
        <v>[(101,20)]</v>
      </c>
    </row>
    <row r="10" spans="1:29" ht="15.75" x14ac:dyDescent="0.3">
      <c r="A10" s="7">
        <v>8</v>
      </c>
      <c r="B10" s="7">
        <v>1</v>
      </c>
      <c r="C10" s="7" t="s">
        <v>2611</v>
      </c>
      <c r="D10" s="7" t="str">
        <f t="shared" si="3"/>
        <v>涂鸦</v>
      </c>
      <c r="E10" s="7">
        <v>1</v>
      </c>
      <c r="F10" s="68">
        <f t="shared" si="0"/>
        <v>500</v>
      </c>
      <c r="G10" s="7" t="s">
        <v>2665</v>
      </c>
      <c r="H10" s="7" t="str">
        <f t="shared" si="4"/>
        <v>战旗</v>
      </c>
      <c r="I10" s="7">
        <v>1</v>
      </c>
      <c r="J10" s="68">
        <f t="shared" si="5"/>
        <v>50</v>
      </c>
      <c r="K10" s="7"/>
      <c r="L10" s="7" t="str">
        <f t="shared" si="6"/>
        <v/>
      </c>
      <c r="M10" s="7"/>
      <c r="N10" s="68">
        <f t="shared" si="7"/>
        <v>0</v>
      </c>
      <c r="O10" s="76"/>
      <c r="Q10" s="13" t="s">
        <v>2954</v>
      </c>
      <c r="R10" s="76">
        <v>70</v>
      </c>
      <c r="S10" s="85"/>
      <c r="T10" s="85"/>
      <c r="V10" s="84" t="s">
        <v>2611</v>
      </c>
      <c r="W10" s="2">
        <v>500</v>
      </c>
      <c r="X10" s="2" t="s">
        <v>3020</v>
      </c>
      <c r="Y10" s="257">
        <f t="shared" si="8"/>
        <v>1</v>
      </c>
      <c r="Z10" s="2"/>
      <c r="AB10" s="7" t="str">
        <f t="shared" si="1"/>
        <v>[(150101,1)]</v>
      </c>
      <c r="AC10" s="7" t="str">
        <f t="shared" si="2"/>
        <v>[(120301,1)]</v>
      </c>
    </row>
    <row r="11" spans="1:29" ht="15.75" x14ac:dyDescent="0.3">
      <c r="A11" s="7">
        <v>9</v>
      </c>
      <c r="B11" s="7">
        <v>1</v>
      </c>
      <c r="C11" s="7" t="s">
        <v>280</v>
      </c>
      <c r="D11" s="7" t="str">
        <f t="shared" si="3"/>
        <v>钥匙</v>
      </c>
      <c r="E11" s="7">
        <v>20</v>
      </c>
      <c r="F11" s="68">
        <f t="shared" si="0"/>
        <v>25</v>
      </c>
      <c r="G11" s="7" t="s">
        <v>522</v>
      </c>
      <c r="H11" s="7" t="str">
        <f t="shared" si="4"/>
        <v>宝箱</v>
      </c>
      <c r="I11" s="7">
        <v>1</v>
      </c>
      <c r="J11" s="68">
        <f t="shared" si="5"/>
        <v>600</v>
      </c>
      <c r="K11" s="7"/>
      <c r="L11" s="7" t="str">
        <f t="shared" si="6"/>
        <v/>
      </c>
      <c r="M11" s="7"/>
      <c r="N11" s="68">
        <f t="shared" si="7"/>
        <v>0</v>
      </c>
      <c r="O11" s="76"/>
      <c r="Q11" s="13" t="s">
        <v>2946</v>
      </c>
      <c r="R11" s="76">
        <f>R6/R10</f>
        <v>292.38857142857142</v>
      </c>
      <c r="S11" s="88">
        <f>R11/VLOOKUP(1,道具价值!$B$74:$E$80,4,FALSE)</f>
        <v>3.8855192380952386</v>
      </c>
      <c r="T11" s="88">
        <f>R11/VLOOKUP(6,道具价值!$B$74:$E$80,4,FALSE)</f>
        <v>2.9235933257142852</v>
      </c>
      <c r="V11" s="84" t="s">
        <v>2613</v>
      </c>
      <c r="W11" s="2">
        <v>500</v>
      </c>
      <c r="X11" s="2" t="s">
        <v>3020</v>
      </c>
      <c r="Y11" s="257">
        <f t="shared" si="8"/>
        <v>1</v>
      </c>
      <c r="Z11" s="2"/>
      <c r="AB11" s="7" t="str">
        <f t="shared" si="1"/>
        <v>[(105,20)]</v>
      </c>
      <c r="AC11" s="7" t="str">
        <f t="shared" si="2"/>
        <v>[(25152,1)]</v>
      </c>
    </row>
    <row r="12" spans="1:29" ht="15.75" x14ac:dyDescent="0.3">
      <c r="A12" s="70">
        <v>10</v>
      </c>
      <c r="B12" s="7">
        <v>1</v>
      </c>
      <c r="C12" s="70" t="s">
        <v>2673</v>
      </c>
      <c r="D12" s="7" t="str">
        <f t="shared" si="3"/>
        <v>涂装</v>
      </c>
      <c r="E12" s="70">
        <v>1</v>
      </c>
      <c r="F12" s="71">
        <f t="shared" si="0"/>
        <v>50</v>
      </c>
      <c r="G12" s="70" t="s">
        <v>2629</v>
      </c>
      <c r="H12" s="7" t="str">
        <f t="shared" si="4"/>
        <v>头像框</v>
      </c>
      <c r="I12" s="70">
        <v>1</v>
      </c>
      <c r="J12" s="68">
        <f t="shared" si="5"/>
        <v>300</v>
      </c>
      <c r="K12" s="70" t="s">
        <v>2677</v>
      </c>
      <c r="L12" s="7" t="str">
        <f t="shared" si="6"/>
        <v>涂装</v>
      </c>
      <c r="M12" s="70">
        <v>1</v>
      </c>
      <c r="N12" s="68">
        <f t="shared" si="7"/>
        <v>200</v>
      </c>
      <c r="O12" s="77">
        <f>SUM(N3:N12)+SUM(J3:J12)+SUM(F3:F12)</f>
        <v>3869.8</v>
      </c>
      <c r="V12" s="84" t="s">
        <v>2615</v>
      </c>
      <c r="W12" s="2">
        <v>500</v>
      </c>
      <c r="X12" s="2" t="s">
        <v>3020</v>
      </c>
      <c r="Y12" s="257">
        <f t="shared" si="8"/>
        <v>1</v>
      </c>
      <c r="Z12" s="2"/>
      <c r="AB12" s="7" t="str">
        <f t="shared" si="1"/>
        <v>[(180001,1)]</v>
      </c>
      <c r="AC12" s="7" t="str">
        <f t="shared" si="2"/>
        <v>[(130104,1),(180003,1)]</v>
      </c>
    </row>
    <row r="13" spans="1:29" ht="15.75" x14ac:dyDescent="0.3">
      <c r="A13" s="7">
        <v>11</v>
      </c>
      <c r="B13" s="7">
        <v>1</v>
      </c>
      <c r="C13" s="7" t="s">
        <v>519</v>
      </c>
      <c r="D13" s="7" t="str">
        <f t="shared" si="3"/>
        <v>双倍钥匙</v>
      </c>
      <c r="E13" s="7">
        <v>30</v>
      </c>
      <c r="F13" s="68">
        <f t="shared" si="0"/>
        <v>22.5</v>
      </c>
      <c r="G13" s="7" t="s">
        <v>275</v>
      </c>
      <c r="H13" s="7" t="str">
        <f t="shared" si="4"/>
        <v>军费</v>
      </c>
      <c r="I13" s="7">
        <v>250</v>
      </c>
      <c r="J13" s="68">
        <f t="shared" si="5"/>
        <v>5</v>
      </c>
      <c r="K13" s="7"/>
      <c r="L13" s="7" t="str">
        <f t="shared" si="6"/>
        <v/>
      </c>
      <c r="M13" s="7"/>
      <c r="N13" s="68">
        <f t="shared" si="7"/>
        <v>0</v>
      </c>
      <c r="O13" s="76"/>
      <c r="Q13" s="11" t="s">
        <v>3021</v>
      </c>
      <c r="R13" s="89" t="s">
        <v>3022</v>
      </c>
      <c r="S13" s="90" t="s">
        <v>3023</v>
      </c>
      <c r="T13" s="90" t="s">
        <v>3024</v>
      </c>
      <c r="V13" s="84" t="s">
        <v>2617</v>
      </c>
      <c r="W13" s="2">
        <v>500</v>
      </c>
      <c r="X13" s="2" t="s">
        <v>3020</v>
      </c>
      <c r="Y13" s="257">
        <f t="shared" si="8"/>
        <v>0</v>
      </c>
      <c r="Z13" s="2"/>
      <c r="AB13" s="7" t="str">
        <f t="shared" si="1"/>
        <v>[(111,30)]</v>
      </c>
      <c r="AC13" s="7" t="str">
        <f t="shared" si="2"/>
        <v>[(102,250)]</v>
      </c>
    </row>
    <row r="14" spans="1:29" ht="15.75" x14ac:dyDescent="0.3">
      <c r="A14" s="7">
        <v>12</v>
      </c>
      <c r="B14" s="7">
        <v>1</v>
      </c>
      <c r="C14" s="7" t="s">
        <v>275</v>
      </c>
      <c r="D14" s="7" t="str">
        <f t="shared" si="3"/>
        <v>军费</v>
      </c>
      <c r="E14" s="7">
        <v>60</v>
      </c>
      <c r="F14" s="68">
        <f t="shared" si="0"/>
        <v>1.2</v>
      </c>
      <c r="G14" s="7" t="s">
        <v>2707</v>
      </c>
      <c r="H14" s="7" t="str">
        <f t="shared" si="4"/>
        <v>BattlePass货币</v>
      </c>
      <c r="I14" s="7">
        <v>20</v>
      </c>
      <c r="J14" s="68">
        <f t="shared" si="5"/>
        <v>28</v>
      </c>
      <c r="K14" s="7"/>
      <c r="L14" s="7" t="str">
        <f t="shared" si="6"/>
        <v/>
      </c>
      <c r="M14" s="7"/>
      <c r="N14" s="68">
        <f t="shared" si="7"/>
        <v>0</v>
      </c>
      <c r="O14" s="76"/>
      <c r="Q14" s="91" t="s">
        <v>3020</v>
      </c>
      <c r="R14" s="92">
        <f t="shared" ref="R14:R27" si="10">SUMIFS($E$3:$E$102,$D$3:$D$102,Q14)+SUMIFS($I$3:$I$102,$H$3:$H$102,Q14)+SUMIFS($M$3:$M$102,$L$3:$L$102,Q14)</f>
        <v>5</v>
      </c>
      <c r="S14" s="93">
        <f t="shared" ref="S14:S27" si="11">SUMIFS($E$3:$E$102,$D$3:$D$102,Q14)</f>
        <v>1</v>
      </c>
      <c r="T14" s="93">
        <f t="shared" ref="T14:T27" si="12">COUNTIF($X$3:$X$112,Q14)</f>
        <v>7</v>
      </c>
      <c r="V14" s="84" t="s">
        <v>2619</v>
      </c>
      <c r="W14" s="2">
        <v>500</v>
      </c>
      <c r="X14" s="2" t="s">
        <v>3020</v>
      </c>
      <c r="Y14" s="257">
        <f t="shared" si="8"/>
        <v>0</v>
      </c>
      <c r="Z14" s="2"/>
      <c r="AB14" s="7" t="str">
        <f t="shared" si="1"/>
        <v>[(102,60)]</v>
      </c>
      <c r="AC14" s="7" t="str">
        <f t="shared" si="2"/>
        <v>[(113,20)]</v>
      </c>
    </row>
    <row r="15" spans="1:29" ht="15.75" x14ac:dyDescent="0.3">
      <c r="A15" s="7">
        <v>13</v>
      </c>
      <c r="B15" s="7">
        <v>1</v>
      </c>
      <c r="C15" s="7" t="s">
        <v>288</v>
      </c>
      <c r="D15" s="7" t="str">
        <f t="shared" si="3"/>
        <v>加速</v>
      </c>
      <c r="E15" s="7">
        <v>1</v>
      </c>
      <c r="F15" s="68">
        <f t="shared" si="0"/>
        <v>35</v>
      </c>
      <c r="G15" s="7" t="s">
        <v>275</v>
      </c>
      <c r="H15" s="7" t="str">
        <f t="shared" si="4"/>
        <v>军费</v>
      </c>
      <c r="I15" s="7">
        <v>250</v>
      </c>
      <c r="J15" s="68">
        <f t="shared" si="5"/>
        <v>5</v>
      </c>
      <c r="K15" s="7" t="s">
        <v>2659</v>
      </c>
      <c r="L15" s="7" t="str">
        <f t="shared" si="6"/>
        <v>战旗</v>
      </c>
      <c r="M15" s="7">
        <v>1</v>
      </c>
      <c r="N15" s="68">
        <f t="shared" si="7"/>
        <v>100</v>
      </c>
      <c r="O15" s="76"/>
      <c r="Q15" s="91" t="s">
        <v>3013</v>
      </c>
      <c r="R15" s="92">
        <f t="shared" si="10"/>
        <v>6</v>
      </c>
      <c r="S15" s="93">
        <f t="shared" si="11"/>
        <v>2</v>
      </c>
      <c r="T15" s="93">
        <f t="shared" si="12"/>
        <v>7</v>
      </c>
      <c r="V15" s="84" t="s">
        <v>2621</v>
      </c>
      <c r="W15" s="2">
        <v>500</v>
      </c>
      <c r="X15" s="2" t="s">
        <v>3020</v>
      </c>
      <c r="Y15" s="257">
        <f t="shared" si="8"/>
        <v>1</v>
      </c>
      <c r="Z15" s="2"/>
      <c r="AB15" s="7" t="str">
        <f t="shared" si="1"/>
        <v>[(100301,1)]</v>
      </c>
      <c r="AC15" s="7" t="str">
        <f t="shared" si="2"/>
        <v>[(102,250),(120202,1)]</v>
      </c>
    </row>
    <row r="16" spans="1:29" ht="15.75" x14ac:dyDescent="0.3">
      <c r="A16" s="7">
        <v>14</v>
      </c>
      <c r="B16" s="7">
        <v>1</v>
      </c>
      <c r="C16" s="7" t="s">
        <v>275</v>
      </c>
      <c r="D16" s="7" t="str">
        <f t="shared" si="3"/>
        <v>军费</v>
      </c>
      <c r="E16" s="7">
        <v>60</v>
      </c>
      <c r="F16" s="68">
        <f t="shared" si="0"/>
        <v>1.2</v>
      </c>
      <c r="G16" s="7" t="s">
        <v>280</v>
      </c>
      <c r="H16" s="7" t="str">
        <f t="shared" si="4"/>
        <v>钥匙</v>
      </c>
      <c r="I16" s="7">
        <v>30</v>
      </c>
      <c r="J16" s="68">
        <f t="shared" si="5"/>
        <v>37.5</v>
      </c>
      <c r="K16" s="7"/>
      <c r="L16" s="7" t="str">
        <f t="shared" si="6"/>
        <v/>
      </c>
      <c r="M16" s="7"/>
      <c r="N16" s="68">
        <f t="shared" si="7"/>
        <v>0</v>
      </c>
      <c r="O16" s="76"/>
      <c r="Q16" s="91" t="s">
        <v>3025</v>
      </c>
      <c r="R16" s="92">
        <f t="shared" si="10"/>
        <v>7</v>
      </c>
      <c r="S16" s="93">
        <f t="shared" si="11"/>
        <v>2</v>
      </c>
      <c r="T16" s="93">
        <f t="shared" si="12"/>
        <v>7</v>
      </c>
      <c r="V16" s="84" t="s">
        <v>2623</v>
      </c>
      <c r="W16" s="2">
        <v>500</v>
      </c>
      <c r="X16" s="2" t="s">
        <v>3020</v>
      </c>
      <c r="Y16" s="257">
        <f t="shared" si="8"/>
        <v>1</v>
      </c>
      <c r="Z16" s="2"/>
      <c r="AB16" s="7" t="str">
        <f t="shared" si="1"/>
        <v>[(102,60)]</v>
      </c>
      <c r="AC16" s="7" t="str">
        <f t="shared" si="2"/>
        <v>[(105,30)]</v>
      </c>
    </row>
    <row r="17" spans="1:29" ht="15.75" x14ac:dyDescent="0.3">
      <c r="A17" s="7">
        <v>15</v>
      </c>
      <c r="B17" s="7">
        <v>1</v>
      </c>
      <c r="C17" s="7" t="s">
        <v>325</v>
      </c>
      <c r="D17" s="7" t="str">
        <f t="shared" si="3"/>
        <v>钻石</v>
      </c>
      <c r="E17" s="7">
        <v>10</v>
      </c>
      <c r="F17" s="68">
        <f t="shared" si="0"/>
        <v>10</v>
      </c>
      <c r="G17" s="7" t="s">
        <v>325</v>
      </c>
      <c r="H17" s="7" t="str">
        <f t="shared" si="4"/>
        <v>钻石</v>
      </c>
      <c r="I17" s="7">
        <v>20</v>
      </c>
      <c r="J17" s="68">
        <f t="shared" si="5"/>
        <v>20</v>
      </c>
      <c r="K17" s="7"/>
      <c r="L17" s="7" t="str">
        <f t="shared" si="6"/>
        <v/>
      </c>
      <c r="M17" s="7"/>
      <c r="N17" s="68">
        <f t="shared" si="7"/>
        <v>0</v>
      </c>
      <c r="O17" s="76"/>
      <c r="Q17" s="91" t="s">
        <v>3026</v>
      </c>
      <c r="R17" s="92">
        <f t="shared" si="10"/>
        <v>4</v>
      </c>
      <c r="S17" s="93">
        <f t="shared" si="11"/>
        <v>1</v>
      </c>
      <c r="T17" s="93">
        <f t="shared" si="12"/>
        <v>5</v>
      </c>
      <c r="V17" s="84" t="s">
        <v>2625</v>
      </c>
      <c r="W17" s="2">
        <v>50</v>
      </c>
      <c r="X17" s="2" t="s">
        <v>3025</v>
      </c>
      <c r="Y17" s="257">
        <f t="shared" si="8"/>
        <v>1</v>
      </c>
      <c r="Z17" s="2"/>
      <c r="AB17" s="7" t="str">
        <f t="shared" si="1"/>
        <v>[(101,10)]</v>
      </c>
      <c r="AC17" s="7" t="str">
        <f t="shared" si="2"/>
        <v>[(101,20)]</v>
      </c>
    </row>
    <row r="18" spans="1:29" ht="15.75" x14ac:dyDescent="0.3">
      <c r="A18" s="7">
        <v>16</v>
      </c>
      <c r="B18" s="7">
        <v>1</v>
      </c>
      <c r="C18" s="7" t="s">
        <v>2402</v>
      </c>
      <c r="D18" s="7" t="str">
        <f t="shared" si="3"/>
        <v>宝箱</v>
      </c>
      <c r="E18" s="7">
        <v>1</v>
      </c>
      <c r="F18" s="68">
        <f t="shared" si="0"/>
        <v>100</v>
      </c>
      <c r="G18" s="7" t="s">
        <v>2615</v>
      </c>
      <c r="H18" s="7" t="str">
        <f t="shared" si="4"/>
        <v>涂鸦</v>
      </c>
      <c r="I18" s="7">
        <v>1</v>
      </c>
      <c r="J18" s="68">
        <f t="shared" si="5"/>
        <v>500</v>
      </c>
      <c r="K18" s="7" t="s">
        <v>2667</v>
      </c>
      <c r="L18" s="7" t="str">
        <f t="shared" si="6"/>
        <v>战旗</v>
      </c>
      <c r="M18" s="7">
        <v>1</v>
      </c>
      <c r="N18" s="68">
        <f t="shared" si="7"/>
        <v>100</v>
      </c>
      <c r="O18" s="76"/>
      <c r="Q18" s="91" t="s">
        <v>3027</v>
      </c>
      <c r="R18" s="92">
        <f t="shared" si="10"/>
        <v>7</v>
      </c>
      <c r="S18" s="93">
        <f t="shared" si="11"/>
        <v>0</v>
      </c>
      <c r="T18" s="93">
        <f t="shared" si="12"/>
        <v>12</v>
      </c>
      <c r="V18" s="84" t="s">
        <v>2627</v>
      </c>
      <c r="W18" s="2">
        <v>100</v>
      </c>
      <c r="X18" s="2" t="s">
        <v>3025</v>
      </c>
      <c r="Y18" s="257">
        <f t="shared" si="8"/>
        <v>1</v>
      </c>
      <c r="Z18" s="2"/>
      <c r="AB18" s="7" t="str">
        <f t="shared" si="1"/>
        <v>[(23004,1)]</v>
      </c>
      <c r="AC18" s="7" t="str">
        <f t="shared" si="2"/>
        <v>[(150103,1),(120302,1)]</v>
      </c>
    </row>
    <row r="19" spans="1:29" ht="15.75" x14ac:dyDescent="0.3">
      <c r="A19" s="7">
        <v>17</v>
      </c>
      <c r="B19" s="7">
        <v>1</v>
      </c>
      <c r="C19" s="7" t="s">
        <v>519</v>
      </c>
      <c r="D19" s="7" t="str">
        <f t="shared" si="3"/>
        <v>双倍钥匙</v>
      </c>
      <c r="E19" s="7">
        <v>40</v>
      </c>
      <c r="F19" s="68">
        <f t="shared" si="0"/>
        <v>30</v>
      </c>
      <c r="G19" s="7" t="s">
        <v>2454</v>
      </c>
      <c r="H19" s="7" t="str">
        <f t="shared" si="4"/>
        <v>宝箱</v>
      </c>
      <c r="I19" s="7">
        <v>1</v>
      </c>
      <c r="J19" s="68">
        <f t="shared" si="5"/>
        <v>200</v>
      </c>
      <c r="K19" s="7"/>
      <c r="L19" s="7" t="str">
        <f t="shared" si="6"/>
        <v/>
      </c>
      <c r="M19" s="7"/>
      <c r="N19" s="68">
        <f t="shared" si="7"/>
        <v>0</v>
      </c>
      <c r="O19" s="76"/>
      <c r="Q19" s="91" t="s">
        <v>3028</v>
      </c>
      <c r="R19" s="92">
        <f t="shared" si="10"/>
        <v>10</v>
      </c>
      <c r="S19" s="93">
        <f t="shared" si="11"/>
        <v>2</v>
      </c>
      <c r="T19" s="93">
        <f t="shared" si="12"/>
        <v>20</v>
      </c>
      <c r="V19" s="84" t="s">
        <v>2629</v>
      </c>
      <c r="W19" s="2">
        <v>300</v>
      </c>
      <c r="X19" s="2" t="s">
        <v>3025</v>
      </c>
      <c r="Y19" s="257">
        <f t="shared" si="8"/>
        <v>1</v>
      </c>
      <c r="Z19" s="2"/>
      <c r="AB19" s="7" t="str">
        <f t="shared" si="1"/>
        <v>[(111,40)]</v>
      </c>
      <c r="AC19" s="7" t="str">
        <f t="shared" si="2"/>
        <v>[(25052,1)]</v>
      </c>
    </row>
    <row r="20" spans="1:29" ht="15.75" x14ac:dyDescent="0.3">
      <c r="A20" s="7">
        <v>18</v>
      </c>
      <c r="B20" s="7">
        <v>1</v>
      </c>
      <c r="C20" s="7" t="s">
        <v>275</v>
      </c>
      <c r="D20" s="7" t="str">
        <f t="shared" si="3"/>
        <v>军费</v>
      </c>
      <c r="E20" s="7">
        <v>125</v>
      </c>
      <c r="F20" s="68">
        <f t="shared" si="0"/>
        <v>2.5</v>
      </c>
      <c r="G20" s="7" t="s">
        <v>519</v>
      </c>
      <c r="H20" s="7" t="str">
        <f t="shared" si="4"/>
        <v>双倍钥匙</v>
      </c>
      <c r="I20" s="7">
        <v>20</v>
      </c>
      <c r="J20" s="68">
        <f t="shared" si="5"/>
        <v>15</v>
      </c>
      <c r="K20" s="7"/>
      <c r="L20" s="7" t="str">
        <f t="shared" si="6"/>
        <v/>
      </c>
      <c r="M20" s="7"/>
      <c r="N20" s="68">
        <f t="shared" si="7"/>
        <v>0</v>
      </c>
      <c r="O20" s="76"/>
      <c r="Q20" s="91" t="s">
        <v>3029</v>
      </c>
      <c r="R20" s="92">
        <f t="shared" si="10"/>
        <v>2</v>
      </c>
      <c r="S20" s="93">
        <f t="shared" si="11"/>
        <v>0</v>
      </c>
      <c r="T20" s="93">
        <f t="shared" si="12"/>
        <v>3</v>
      </c>
      <c r="V20" s="84" t="s">
        <v>2631</v>
      </c>
      <c r="W20" s="2">
        <v>500</v>
      </c>
      <c r="X20" s="2" t="s">
        <v>3025</v>
      </c>
      <c r="Y20" s="257">
        <f t="shared" si="8"/>
        <v>1</v>
      </c>
      <c r="Z20" s="2"/>
      <c r="AB20" s="7" t="str">
        <f t="shared" si="1"/>
        <v>[(102,125)]</v>
      </c>
      <c r="AC20" s="7" t="str">
        <f t="shared" si="2"/>
        <v>[(111,20)]</v>
      </c>
    </row>
    <row r="21" spans="1:29" ht="15.75" x14ac:dyDescent="0.3">
      <c r="A21" s="7">
        <v>19</v>
      </c>
      <c r="B21" s="7">
        <v>1</v>
      </c>
      <c r="C21" s="7" t="s">
        <v>280</v>
      </c>
      <c r="D21" s="7" t="str">
        <f t="shared" si="3"/>
        <v>钥匙</v>
      </c>
      <c r="E21" s="7">
        <v>20</v>
      </c>
      <c r="F21" s="68">
        <f t="shared" si="0"/>
        <v>25</v>
      </c>
      <c r="G21" s="7" t="s">
        <v>325</v>
      </c>
      <c r="H21" s="7" t="str">
        <f t="shared" si="4"/>
        <v>钻石</v>
      </c>
      <c r="I21" s="7">
        <v>20</v>
      </c>
      <c r="J21" s="68">
        <f t="shared" si="5"/>
        <v>20</v>
      </c>
      <c r="K21" s="7"/>
      <c r="L21" s="7" t="str">
        <f t="shared" si="6"/>
        <v/>
      </c>
      <c r="M21" s="7"/>
      <c r="N21" s="68">
        <f t="shared" si="7"/>
        <v>0</v>
      </c>
      <c r="O21" s="76"/>
      <c r="Q21" s="13" t="s">
        <v>275</v>
      </c>
      <c r="R21" s="76">
        <f t="shared" si="10"/>
        <v>10110</v>
      </c>
      <c r="S21" s="69">
        <f t="shared" si="11"/>
        <v>1435</v>
      </c>
      <c r="T21" s="69">
        <f t="shared" si="12"/>
        <v>1</v>
      </c>
      <c r="V21" s="84" t="s">
        <v>2633</v>
      </c>
      <c r="W21" s="2">
        <v>600</v>
      </c>
      <c r="X21" s="2" t="s">
        <v>3025</v>
      </c>
      <c r="Y21" s="257">
        <f t="shared" si="8"/>
        <v>1</v>
      </c>
      <c r="Z21" s="2"/>
      <c r="AB21" s="7" t="str">
        <f t="shared" si="1"/>
        <v>[(105,20)]</v>
      </c>
      <c r="AC21" s="7" t="str">
        <f t="shared" si="2"/>
        <v>[(101,20)]</v>
      </c>
    </row>
    <row r="22" spans="1:29" ht="15.75" x14ac:dyDescent="0.3">
      <c r="A22" s="70">
        <v>20</v>
      </c>
      <c r="B22" s="7">
        <v>1</v>
      </c>
      <c r="C22" s="70" t="s">
        <v>2724</v>
      </c>
      <c r="D22" s="7" t="str">
        <f t="shared" si="3"/>
        <v>头像</v>
      </c>
      <c r="E22" s="70">
        <v>1</v>
      </c>
      <c r="F22" s="71">
        <f t="shared" si="0"/>
        <v>100</v>
      </c>
      <c r="G22" s="70" t="s">
        <v>2734</v>
      </c>
      <c r="H22" s="7" t="str">
        <f t="shared" si="4"/>
        <v>头像</v>
      </c>
      <c r="I22" s="70">
        <v>1</v>
      </c>
      <c r="J22" s="68">
        <f t="shared" si="5"/>
        <v>200</v>
      </c>
      <c r="K22" s="70" t="s">
        <v>2643</v>
      </c>
      <c r="L22" s="7" t="str">
        <f t="shared" si="6"/>
        <v>摆件</v>
      </c>
      <c r="M22" s="70">
        <v>1</v>
      </c>
      <c r="N22" s="68">
        <f t="shared" si="7"/>
        <v>500</v>
      </c>
      <c r="O22" s="77">
        <f>SUM(N13:N22)+SUM(J13:J22)+SUM(F13:F22)</f>
        <v>2057.9</v>
      </c>
      <c r="Q22" s="13" t="s">
        <v>280</v>
      </c>
      <c r="R22" s="76">
        <f t="shared" si="10"/>
        <v>300</v>
      </c>
      <c r="S22" s="69">
        <f t="shared" si="11"/>
        <v>90</v>
      </c>
      <c r="T22" s="69">
        <f t="shared" si="12"/>
        <v>1</v>
      </c>
      <c r="V22" s="84" t="s">
        <v>2635</v>
      </c>
      <c r="W22" s="2">
        <v>600</v>
      </c>
      <c r="X22" s="2" t="s">
        <v>3025</v>
      </c>
      <c r="Y22" s="257">
        <f t="shared" si="8"/>
        <v>1</v>
      </c>
      <c r="Z22" s="2"/>
      <c r="AB22" s="7" t="str">
        <f t="shared" si="1"/>
        <v>[(140109,1)]</v>
      </c>
      <c r="AC22" s="7" t="str">
        <f t="shared" si="2"/>
        <v>[(140114,1),(110103,1)]</v>
      </c>
    </row>
    <row r="23" spans="1:29" ht="15.75" x14ac:dyDescent="0.3">
      <c r="A23" s="7">
        <v>21</v>
      </c>
      <c r="B23" s="7">
        <v>1</v>
      </c>
      <c r="C23" s="7" t="s">
        <v>275</v>
      </c>
      <c r="D23" s="7" t="str">
        <f t="shared" si="3"/>
        <v>军费</v>
      </c>
      <c r="E23" s="69">
        <v>125</v>
      </c>
      <c r="F23" s="68">
        <f t="shared" si="0"/>
        <v>2.5</v>
      </c>
      <c r="G23" s="7" t="s">
        <v>280</v>
      </c>
      <c r="H23" s="7" t="str">
        <f t="shared" si="4"/>
        <v>钥匙</v>
      </c>
      <c r="I23" s="7">
        <v>20</v>
      </c>
      <c r="J23" s="68">
        <f t="shared" si="5"/>
        <v>25</v>
      </c>
      <c r="K23" s="7"/>
      <c r="L23" s="7" t="str">
        <f t="shared" si="6"/>
        <v/>
      </c>
      <c r="M23" s="7"/>
      <c r="N23" s="68">
        <f t="shared" si="7"/>
        <v>0</v>
      </c>
      <c r="O23" s="76"/>
      <c r="Q23" s="13" t="s">
        <v>519</v>
      </c>
      <c r="R23" s="76">
        <f t="shared" si="10"/>
        <v>200</v>
      </c>
      <c r="S23" s="69">
        <f t="shared" si="11"/>
        <v>70</v>
      </c>
      <c r="T23" s="69">
        <f t="shared" si="12"/>
        <v>1</v>
      </c>
      <c r="V23" s="84" t="s">
        <v>2637</v>
      </c>
      <c r="W23" s="2">
        <v>600</v>
      </c>
      <c r="X23" s="2" t="s">
        <v>3025</v>
      </c>
      <c r="Y23" s="257">
        <f t="shared" si="8"/>
        <v>1</v>
      </c>
      <c r="Z23" s="2"/>
      <c r="AB23" s="7" t="str">
        <f t="shared" si="1"/>
        <v>[(102,125)]</v>
      </c>
      <c r="AC23" s="7" t="str">
        <f t="shared" si="2"/>
        <v>[(105,20)]</v>
      </c>
    </row>
    <row r="24" spans="1:29" ht="15.75" x14ac:dyDescent="0.3">
      <c r="A24" s="7">
        <v>22</v>
      </c>
      <c r="B24" s="7">
        <v>1</v>
      </c>
      <c r="C24" s="7" t="s">
        <v>275</v>
      </c>
      <c r="D24" s="7" t="str">
        <f t="shared" si="3"/>
        <v>军费</v>
      </c>
      <c r="E24" s="7">
        <v>125</v>
      </c>
      <c r="F24" s="68">
        <f t="shared" si="0"/>
        <v>2.5</v>
      </c>
      <c r="G24" s="7" t="s">
        <v>325</v>
      </c>
      <c r="H24" s="7" t="str">
        <f t="shared" si="4"/>
        <v>钻石</v>
      </c>
      <c r="I24" s="7">
        <v>20</v>
      </c>
      <c r="J24" s="68">
        <f t="shared" si="5"/>
        <v>20</v>
      </c>
      <c r="K24" s="7"/>
      <c r="L24" s="7" t="str">
        <f t="shared" si="6"/>
        <v/>
      </c>
      <c r="M24" s="7"/>
      <c r="N24" s="68">
        <f t="shared" si="7"/>
        <v>0</v>
      </c>
      <c r="O24" s="76"/>
      <c r="Q24" s="7" t="s">
        <v>3030</v>
      </c>
      <c r="R24" s="76">
        <f t="shared" si="10"/>
        <v>12</v>
      </c>
      <c r="S24" s="69">
        <f t="shared" si="11"/>
        <v>2</v>
      </c>
      <c r="T24" s="69">
        <f t="shared" si="12"/>
        <v>2</v>
      </c>
      <c r="V24" s="84" t="s">
        <v>2639</v>
      </c>
      <c r="W24" s="2">
        <v>200</v>
      </c>
      <c r="X24" s="2" t="s">
        <v>3026</v>
      </c>
      <c r="Y24" s="257">
        <f t="shared" si="8"/>
        <v>1</v>
      </c>
      <c r="Z24" s="2"/>
      <c r="AB24" s="7" t="str">
        <f t="shared" si="1"/>
        <v>[(102,125)]</v>
      </c>
      <c r="AC24" s="7" t="str">
        <f t="shared" si="2"/>
        <v>[(101,20)]</v>
      </c>
    </row>
    <row r="25" spans="1:29" ht="15.75" x14ac:dyDescent="0.3">
      <c r="A25" s="7">
        <v>23</v>
      </c>
      <c r="B25" s="7">
        <v>1</v>
      </c>
      <c r="C25" s="7" t="s">
        <v>275</v>
      </c>
      <c r="D25" s="7" t="str">
        <f t="shared" si="3"/>
        <v>军费</v>
      </c>
      <c r="E25" s="7">
        <v>200</v>
      </c>
      <c r="F25" s="68">
        <f t="shared" si="0"/>
        <v>4</v>
      </c>
      <c r="G25" s="7" t="s">
        <v>275</v>
      </c>
      <c r="H25" s="7" t="str">
        <f t="shared" si="4"/>
        <v>军费</v>
      </c>
      <c r="I25" s="7">
        <v>250</v>
      </c>
      <c r="J25" s="68">
        <f t="shared" si="5"/>
        <v>5</v>
      </c>
      <c r="K25" s="7"/>
      <c r="L25" s="7" t="str">
        <f t="shared" si="6"/>
        <v/>
      </c>
      <c r="M25" s="7"/>
      <c r="N25" s="68">
        <f t="shared" si="7"/>
        <v>0</v>
      </c>
      <c r="O25" s="76"/>
      <c r="Q25" s="13" t="s">
        <v>3031</v>
      </c>
      <c r="R25" s="76">
        <f t="shared" si="10"/>
        <v>17</v>
      </c>
      <c r="S25" s="69">
        <f t="shared" si="11"/>
        <v>4</v>
      </c>
      <c r="T25" s="69">
        <f t="shared" si="12"/>
        <v>41</v>
      </c>
      <c r="V25" s="84" t="s">
        <v>2641</v>
      </c>
      <c r="W25" s="2">
        <v>500</v>
      </c>
      <c r="X25" s="2" t="s">
        <v>3026</v>
      </c>
      <c r="Y25" s="257">
        <f t="shared" si="8"/>
        <v>1</v>
      </c>
      <c r="Z25" s="2"/>
      <c r="AB25" s="7" t="str">
        <f t="shared" si="1"/>
        <v>[(102,200)]</v>
      </c>
      <c r="AC25" s="7" t="str">
        <f t="shared" si="2"/>
        <v>[(102,250)]</v>
      </c>
    </row>
    <row r="26" spans="1:29" ht="15.75" x14ac:dyDescent="0.3">
      <c r="A26" s="7">
        <v>24</v>
      </c>
      <c r="B26" s="7">
        <v>1</v>
      </c>
      <c r="C26" s="7" t="s">
        <v>325</v>
      </c>
      <c r="D26" s="7" t="str">
        <f t="shared" si="3"/>
        <v>钻石</v>
      </c>
      <c r="E26" s="7">
        <v>10</v>
      </c>
      <c r="F26" s="68">
        <f t="shared" si="0"/>
        <v>10</v>
      </c>
      <c r="G26" s="7" t="s">
        <v>280</v>
      </c>
      <c r="H26" s="7" t="str">
        <f t="shared" si="4"/>
        <v>钥匙</v>
      </c>
      <c r="I26" s="7">
        <v>30</v>
      </c>
      <c r="J26" s="68">
        <f t="shared" si="5"/>
        <v>37.5</v>
      </c>
      <c r="K26" s="7"/>
      <c r="L26" s="7" t="str">
        <f t="shared" si="6"/>
        <v/>
      </c>
      <c r="M26" s="7"/>
      <c r="N26" s="68">
        <f t="shared" si="7"/>
        <v>0</v>
      </c>
      <c r="O26" s="76"/>
      <c r="Q26" s="7" t="s">
        <v>2707</v>
      </c>
      <c r="R26" s="76">
        <f t="shared" si="10"/>
        <v>600</v>
      </c>
      <c r="S26" s="69">
        <f t="shared" si="11"/>
        <v>0</v>
      </c>
      <c r="T26" s="69">
        <f t="shared" si="12"/>
        <v>1</v>
      </c>
      <c r="V26" s="84" t="s">
        <v>2643</v>
      </c>
      <c r="W26" s="2">
        <v>500</v>
      </c>
      <c r="X26" s="2" t="s">
        <v>3026</v>
      </c>
      <c r="Y26" s="257">
        <f t="shared" si="8"/>
        <v>1</v>
      </c>
      <c r="Z26" s="2"/>
      <c r="AB26" s="7" t="str">
        <f t="shared" si="1"/>
        <v>[(101,10)]</v>
      </c>
      <c r="AC26" s="7" t="str">
        <f t="shared" si="2"/>
        <v>[(105,30)]</v>
      </c>
    </row>
    <row r="27" spans="1:29" ht="15.75" x14ac:dyDescent="0.3">
      <c r="A27" s="7">
        <v>25</v>
      </c>
      <c r="B27" s="7">
        <v>1</v>
      </c>
      <c r="C27" s="7" t="s">
        <v>288</v>
      </c>
      <c r="D27" s="7" t="str">
        <f t="shared" si="3"/>
        <v>加速</v>
      </c>
      <c r="E27" s="7">
        <v>1</v>
      </c>
      <c r="F27" s="68">
        <f t="shared" si="0"/>
        <v>35</v>
      </c>
      <c r="G27" s="7" t="s">
        <v>288</v>
      </c>
      <c r="H27" s="7" t="str">
        <f t="shared" si="4"/>
        <v>加速</v>
      </c>
      <c r="I27" s="7">
        <v>1</v>
      </c>
      <c r="J27" s="68">
        <f t="shared" si="5"/>
        <v>35</v>
      </c>
      <c r="K27" s="7"/>
      <c r="L27" s="7" t="str">
        <f t="shared" si="6"/>
        <v/>
      </c>
      <c r="M27" s="7"/>
      <c r="N27" s="68">
        <f t="shared" si="7"/>
        <v>0</v>
      </c>
      <c r="O27" s="76"/>
      <c r="Q27" s="7" t="s">
        <v>325</v>
      </c>
      <c r="R27" s="76">
        <f t="shared" si="10"/>
        <v>1030</v>
      </c>
      <c r="S27" s="69">
        <f t="shared" si="11"/>
        <v>90</v>
      </c>
      <c r="T27" s="69">
        <f t="shared" si="12"/>
        <v>1</v>
      </c>
      <c r="V27" s="84" t="s">
        <v>2645</v>
      </c>
      <c r="W27" s="2">
        <v>500</v>
      </c>
      <c r="X27" s="2" t="s">
        <v>3026</v>
      </c>
      <c r="Y27" s="257">
        <f t="shared" si="8"/>
        <v>0</v>
      </c>
      <c r="Z27" s="2"/>
      <c r="AB27" s="7" t="str">
        <f t="shared" si="1"/>
        <v>[(100301,1)]</v>
      </c>
      <c r="AC27" s="7" t="str">
        <f t="shared" si="2"/>
        <v>[(100301,1)]</v>
      </c>
    </row>
    <row r="28" spans="1:29" ht="15.75" x14ac:dyDescent="0.3">
      <c r="A28" s="7">
        <v>26</v>
      </c>
      <c r="B28" s="7">
        <v>1</v>
      </c>
      <c r="C28" s="7" t="s">
        <v>280</v>
      </c>
      <c r="D28" s="7" t="str">
        <f t="shared" si="3"/>
        <v>钥匙</v>
      </c>
      <c r="E28" s="7">
        <v>20</v>
      </c>
      <c r="F28" s="68">
        <f t="shared" si="0"/>
        <v>25</v>
      </c>
      <c r="G28" s="7" t="s">
        <v>275</v>
      </c>
      <c r="H28" s="7" t="str">
        <f t="shared" si="4"/>
        <v>军费</v>
      </c>
      <c r="I28" s="7">
        <v>250</v>
      </c>
      <c r="J28" s="68">
        <f t="shared" si="5"/>
        <v>5</v>
      </c>
      <c r="K28" s="7"/>
      <c r="L28" s="7" t="str">
        <f t="shared" si="6"/>
        <v/>
      </c>
      <c r="M28" s="7"/>
      <c r="N28" s="68">
        <f t="shared" si="7"/>
        <v>0</v>
      </c>
      <c r="O28" s="76"/>
      <c r="V28" s="84" t="s">
        <v>2647</v>
      </c>
      <c r="W28" s="2">
        <v>500</v>
      </c>
      <c r="X28" s="2" t="s">
        <v>3026</v>
      </c>
      <c r="Y28" s="257">
        <f t="shared" si="8"/>
        <v>1</v>
      </c>
      <c r="Z28" s="2"/>
      <c r="AB28" s="7" t="str">
        <f t="shared" si="1"/>
        <v>[(105,20)]</v>
      </c>
      <c r="AC28" s="7" t="str">
        <f t="shared" si="2"/>
        <v>[(102,250)]</v>
      </c>
    </row>
    <row r="29" spans="1:29" ht="15.75" x14ac:dyDescent="0.3">
      <c r="A29" s="7">
        <v>27</v>
      </c>
      <c r="B29" s="7">
        <v>1</v>
      </c>
      <c r="C29" s="7" t="s">
        <v>275</v>
      </c>
      <c r="D29" s="7" t="str">
        <f t="shared" si="3"/>
        <v>军费</v>
      </c>
      <c r="E29" s="7">
        <v>200</v>
      </c>
      <c r="F29" s="68">
        <f t="shared" si="0"/>
        <v>4</v>
      </c>
      <c r="G29" s="7" t="s">
        <v>2707</v>
      </c>
      <c r="H29" s="7" t="str">
        <f t="shared" si="4"/>
        <v>BattlePass货币</v>
      </c>
      <c r="I29" s="7">
        <v>30</v>
      </c>
      <c r="J29" s="68">
        <f t="shared" si="5"/>
        <v>42</v>
      </c>
      <c r="K29" s="7"/>
      <c r="L29" s="7" t="str">
        <f t="shared" si="6"/>
        <v/>
      </c>
      <c r="M29" s="7"/>
      <c r="N29" s="68">
        <f t="shared" si="7"/>
        <v>0</v>
      </c>
      <c r="O29" s="76"/>
      <c r="V29" s="84" t="s">
        <v>2649</v>
      </c>
      <c r="W29" s="2">
        <v>50</v>
      </c>
      <c r="X29" s="2" t="s">
        <v>3027</v>
      </c>
      <c r="Y29" s="257">
        <f t="shared" si="8"/>
        <v>1</v>
      </c>
      <c r="Z29" s="2"/>
      <c r="AB29" s="7" t="str">
        <f t="shared" si="1"/>
        <v>[(102,200)]</v>
      </c>
      <c r="AC29" s="7" t="str">
        <f t="shared" si="2"/>
        <v>[(113,30)]</v>
      </c>
    </row>
    <row r="30" spans="1:29" ht="15.75" x14ac:dyDescent="0.3">
      <c r="A30" s="7">
        <v>28</v>
      </c>
      <c r="B30" s="7">
        <v>1</v>
      </c>
      <c r="C30" s="7" t="s">
        <v>325</v>
      </c>
      <c r="D30" s="7" t="str">
        <f t="shared" si="3"/>
        <v>钻石</v>
      </c>
      <c r="E30" s="7">
        <v>20</v>
      </c>
      <c r="F30" s="68">
        <f t="shared" si="0"/>
        <v>20</v>
      </c>
      <c r="G30" s="7" t="s">
        <v>2669</v>
      </c>
      <c r="H30" s="7" t="str">
        <f t="shared" si="4"/>
        <v>战旗</v>
      </c>
      <c r="I30" s="7">
        <v>1</v>
      </c>
      <c r="J30" s="68">
        <f t="shared" si="5"/>
        <v>150</v>
      </c>
      <c r="K30" s="7"/>
      <c r="L30" s="7" t="str">
        <f t="shared" si="6"/>
        <v/>
      </c>
      <c r="M30" s="7"/>
      <c r="N30" s="68">
        <f t="shared" si="7"/>
        <v>0</v>
      </c>
      <c r="O30" s="76"/>
      <c r="Q30" s="48" t="s">
        <v>3032</v>
      </c>
      <c r="V30" s="84" t="s">
        <v>2651</v>
      </c>
      <c r="W30" s="2">
        <v>100</v>
      </c>
      <c r="X30" s="2" t="s">
        <v>3027</v>
      </c>
      <c r="Y30" s="257">
        <f t="shared" si="8"/>
        <v>1</v>
      </c>
      <c r="Z30" s="2"/>
      <c r="AB30" s="7" t="str">
        <f t="shared" si="1"/>
        <v>[(101,20)]</v>
      </c>
      <c r="AC30" s="7" t="str">
        <f t="shared" si="2"/>
        <v>[(120303,1)]</v>
      </c>
    </row>
    <row r="31" spans="1:29" ht="15.75" x14ac:dyDescent="0.3">
      <c r="A31" s="7">
        <v>29</v>
      </c>
      <c r="B31" s="7">
        <v>1</v>
      </c>
      <c r="C31" s="7" t="s">
        <v>275</v>
      </c>
      <c r="D31" s="7" t="str">
        <f t="shared" si="3"/>
        <v>军费</v>
      </c>
      <c r="E31" s="7">
        <v>250</v>
      </c>
      <c r="F31" s="68">
        <f t="shared" si="0"/>
        <v>5</v>
      </c>
      <c r="G31" s="7" t="s">
        <v>2457</v>
      </c>
      <c r="H31" s="7" t="str">
        <f t="shared" si="4"/>
        <v>宝箱</v>
      </c>
      <c r="I31" s="7">
        <v>1</v>
      </c>
      <c r="J31" s="68">
        <f t="shared" si="5"/>
        <v>200</v>
      </c>
      <c r="K31" s="7"/>
      <c r="L31" s="7" t="str">
        <f t="shared" si="6"/>
        <v/>
      </c>
      <c r="M31" s="7"/>
      <c r="N31" s="68">
        <f t="shared" si="7"/>
        <v>0</v>
      </c>
      <c r="O31" s="76"/>
      <c r="Q31" s="7" t="s">
        <v>2707</v>
      </c>
      <c r="R31" s="76">
        <f>SUMIFS($F$3:$F$102,$D$3:$D$102,Q31)+SUMIFS($J$3:$J$102,$H$3:$H$102,Q31)+SUMIFS($N$3:$N$102,$L$3:$L$102,Q31)</f>
        <v>840</v>
      </c>
      <c r="S31" s="85">
        <f>R31/VLOOKUP(1,道具价值!$B$74:$E$80,4,FALSE)</f>
        <v>11.162666666666668</v>
      </c>
      <c r="T31" s="85">
        <f>R31/VLOOKUP(6,道具价值!$B$74:$E$80,4,FALSE)</f>
        <v>8.3991599999999984</v>
      </c>
      <c r="V31" s="84" t="s">
        <v>2653</v>
      </c>
      <c r="W31" s="2">
        <v>150</v>
      </c>
      <c r="X31" s="2" t="s">
        <v>3027</v>
      </c>
      <c r="Y31" s="257">
        <f t="shared" si="8"/>
        <v>1</v>
      </c>
      <c r="Z31" s="2"/>
      <c r="AB31" s="7" t="str">
        <f t="shared" si="1"/>
        <v>[(102,250)]</v>
      </c>
      <c r="AC31" s="7" t="str">
        <f t="shared" si="2"/>
        <v>[(25054,1)]</v>
      </c>
    </row>
    <row r="32" spans="1:29" ht="15.75" x14ac:dyDescent="0.3">
      <c r="A32" s="70">
        <v>30</v>
      </c>
      <c r="B32" s="7">
        <v>1</v>
      </c>
      <c r="C32" s="70" t="s">
        <v>542</v>
      </c>
      <c r="D32" s="7" t="str">
        <f t="shared" si="3"/>
        <v>宝箱</v>
      </c>
      <c r="E32" s="70">
        <v>1</v>
      </c>
      <c r="F32" s="71">
        <f t="shared" si="0"/>
        <v>100</v>
      </c>
      <c r="G32" s="70" t="s">
        <v>2631</v>
      </c>
      <c r="H32" s="7" t="str">
        <f t="shared" si="4"/>
        <v>头像框</v>
      </c>
      <c r="I32" s="70">
        <v>1</v>
      </c>
      <c r="J32" s="68">
        <f t="shared" si="5"/>
        <v>500</v>
      </c>
      <c r="K32" s="70" t="s">
        <v>2681</v>
      </c>
      <c r="L32" s="7" t="str">
        <f t="shared" si="6"/>
        <v>涂装</v>
      </c>
      <c r="M32" s="70">
        <v>1</v>
      </c>
      <c r="N32" s="68">
        <f t="shared" si="7"/>
        <v>200</v>
      </c>
      <c r="O32" s="77">
        <f>SUM(N23:N32)+SUM(J23:J32)+SUM(F23:F32)</f>
        <v>1427.5</v>
      </c>
      <c r="Q32" s="7" t="s">
        <v>325</v>
      </c>
      <c r="R32" s="76">
        <f t="shared" ref="R32" si="13">SUMIFS($F$3:$F$102,$D$3:$D$102,Q32)+SUMIFS($J$3:$J$102,$H$3:$H$102,Q32)+SUMIFS($N$3:$N$102,$L$3:$L$102,Q32)</f>
        <v>1030</v>
      </c>
      <c r="S32" s="85">
        <f>R32/VLOOKUP(1,道具价值!$B$74:$E$80,4,FALSE)</f>
        <v>13.687555555555557</v>
      </c>
      <c r="T32" s="85">
        <f>R32/VLOOKUP(6,道具价值!$B$74:$E$80,4,FALSE)</f>
        <v>10.298969999999999</v>
      </c>
      <c r="V32" s="84" t="s">
        <v>2655</v>
      </c>
      <c r="W32" s="2">
        <v>200</v>
      </c>
      <c r="X32" s="2" t="s">
        <v>3027</v>
      </c>
      <c r="Y32" s="257">
        <f t="shared" si="8"/>
        <v>0</v>
      </c>
      <c r="Z32" s="2"/>
      <c r="AB32" s="7" t="str">
        <f t="shared" si="1"/>
        <v>[(24007,1)]</v>
      </c>
      <c r="AC32" s="7" t="str">
        <f t="shared" si="2"/>
        <v>[(130105,1),(180005,1)]</v>
      </c>
    </row>
    <row r="33" spans="1:29" ht="15.75" x14ac:dyDescent="0.3">
      <c r="A33" s="7">
        <v>31</v>
      </c>
      <c r="B33" s="7">
        <v>1</v>
      </c>
      <c r="C33" s="7" t="s">
        <v>3033</v>
      </c>
      <c r="D33" s="7" t="str">
        <f t="shared" si="3"/>
        <v/>
      </c>
      <c r="E33" s="7" t="s">
        <v>3033</v>
      </c>
      <c r="F33" s="68">
        <f t="shared" si="0"/>
        <v>0</v>
      </c>
      <c r="G33" s="7" t="s">
        <v>275</v>
      </c>
      <c r="H33" s="7" t="str">
        <f t="shared" si="4"/>
        <v>军费</v>
      </c>
      <c r="I33" s="7">
        <v>250</v>
      </c>
      <c r="J33" s="68">
        <f t="shared" si="5"/>
        <v>5</v>
      </c>
      <c r="K33" s="7"/>
      <c r="L33" s="7" t="str">
        <f t="shared" si="6"/>
        <v/>
      </c>
      <c r="M33" s="7"/>
      <c r="N33" s="68">
        <f t="shared" si="7"/>
        <v>0</v>
      </c>
      <c r="O33" s="76"/>
      <c r="Q33" s="7" t="s">
        <v>3031</v>
      </c>
      <c r="R33" s="76">
        <f t="shared" ref="R33:R44" si="14">SUMIFS($F$3:$F$102,$D$3:$D$102,Q33)+SUMIFS($J$3:$J$102,$H$3:$H$102,Q33)+SUMIFS($N$3:$N$102,$L$3:$L$102,Q33)</f>
        <v>5500</v>
      </c>
      <c r="S33" s="85">
        <f>R33/VLOOKUP(1,道具价值!$B$74:$E$80,4,FALSE)</f>
        <v>73.088888888888889</v>
      </c>
      <c r="T33" s="85">
        <f>R33/VLOOKUP(6,道具价值!$B$74:$E$80,4,FALSE)</f>
        <v>54.994499999999995</v>
      </c>
      <c r="V33" s="84" t="s">
        <v>2657</v>
      </c>
      <c r="W33" s="2">
        <v>50</v>
      </c>
      <c r="X33" s="2" t="s">
        <v>3027</v>
      </c>
      <c r="Y33" s="257">
        <f t="shared" si="8"/>
        <v>1</v>
      </c>
      <c r="Z33" s="2"/>
      <c r="AB33" s="7" t="str">
        <f t="shared" si="1"/>
        <v>[]</v>
      </c>
      <c r="AC33" s="7" t="str">
        <f t="shared" si="2"/>
        <v>[(102,250)]</v>
      </c>
    </row>
    <row r="34" spans="1:29" ht="15.75" x14ac:dyDescent="0.3">
      <c r="A34" s="7">
        <v>32</v>
      </c>
      <c r="B34" s="7">
        <v>1</v>
      </c>
      <c r="C34" s="7" t="s">
        <v>3033</v>
      </c>
      <c r="D34" s="7" t="str">
        <f t="shared" si="3"/>
        <v/>
      </c>
      <c r="E34" s="7" t="s">
        <v>3033</v>
      </c>
      <c r="F34" s="68">
        <f t="shared" si="0"/>
        <v>0</v>
      </c>
      <c r="G34" s="7" t="s">
        <v>280</v>
      </c>
      <c r="H34" s="7" t="str">
        <f t="shared" si="4"/>
        <v>钥匙</v>
      </c>
      <c r="I34" s="7">
        <v>40</v>
      </c>
      <c r="J34" s="68">
        <f t="shared" si="5"/>
        <v>50</v>
      </c>
      <c r="K34" s="7"/>
      <c r="L34" s="7" t="str">
        <f t="shared" si="6"/>
        <v/>
      </c>
      <c r="M34" s="7"/>
      <c r="N34" s="68">
        <f t="shared" si="7"/>
        <v>0</v>
      </c>
      <c r="O34" s="76"/>
      <c r="Q34" s="13" t="s">
        <v>275</v>
      </c>
      <c r="R34" s="76">
        <f t="shared" si="14"/>
        <v>202.2</v>
      </c>
      <c r="S34" s="85">
        <f>R34/VLOOKUP(1,道具价值!$B$74:$E$80,4,FALSE)</f>
        <v>2.6870133333333333</v>
      </c>
      <c r="T34" s="85">
        <f>R34/VLOOKUP(6,道具价值!$B$74:$E$80,4,FALSE)</f>
        <v>2.0217977999999999</v>
      </c>
      <c r="V34" s="84" t="s">
        <v>2659</v>
      </c>
      <c r="W34" s="2">
        <v>100</v>
      </c>
      <c r="X34" s="2" t="s">
        <v>3027</v>
      </c>
      <c r="Y34" s="257">
        <f t="shared" si="8"/>
        <v>1</v>
      </c>
      <c r="Z34" s="2"/>
      <c r="AB34" s="7" t="str">
        <f t="shared" si="1"/>
        <v>[]</v>
      </c>
      <c r="AC34" s="7" t="str">
        <f t="shared" si="2"/>
        <v>[(105,40)]</v>
      </c>
    </row>
    <row r="35" spans="1:29" ht="15.75" x14ac:dyDescent="0.3">
      <c r="A35" s="7">
        <v>33</v>
      </c>
      <c r="B35" s="7">
        <v>1</v>
      </c>
      <c r="C35" s="7" t="s">
        <v>3033</v>
      </c>
      <c r="D35" s="7" t="str">
        <f t="shared" si="3"/>
        <v/>
      </c>
      <c r="E35" s="7" t="s">
        <v>3033</v>
      </c>
      <c r="F35" s="68">
        <f t="shared" ref="F35:F66" si="15">IF(C35="",0,VLOOKUP(C35,$V:$W,2,FALSE)*E35)</f>
        <v>0</v>
      </c>
      <c r="G35" s="7" t="s">
        <v>275</v>
      </c>
      <c r="H35" s="7" t="str">
        <f t="shared" si="4"/>
        <v>军费</v>
      </c>
      <c r="I35" s="7">
        <v>250</v>
      </c>
      <c r="J35" s="68">
        <f t="shared" si="5"/>
        <v>5</v>
      </c>
      <c r="K35" s="7"/>
      <c r="L35" s="7" t="str">
        <f t="shared" si="6"/>
        <v/>
      </c>
      <c r="M35" s="7"/>
      <c r="N35" s="68">
        <f t="shared" si="7"/>
        <v>0</v>
      </c>
      <c r="O35" s="76"/>
      <c r="Q35" s="13" t="s">
        <v>280</v>
      </c>
      <c r="R35" s="76">
        <f t="shared" si="14"/>
        <v>375</v>
      </c>
      <c r="S35" s="85">
        <f>R35/VLOOKUP(1,道具价值!$B$74:$E$80,4,FALSE)</f>
        <v>4.9833333333333334</v>
      </c>
      <c r="T35" s="85">
        <f>R35/VLOOKUP(6,道具价值!$B$74:$E$80,4,FALSE)</f>
        <v>3.7496249999999995</v>
      </c>
      <c r="V35" s="84" t="s">
        <v>2661</v>
      </c>
      <c r="W35" s="2">
        <v>150</v>
      </c>
      <c r="X35" s="2" t="s">
        <v>3027</v>
      </c>
      <c r="Y35" s="257">
        <f t="shared" si="8"/>
        <v>1</v>
      </c>
      <c r="Z35" s="2"/>
      <c r="AB35" s="7" t="str">
        <f t="shared" ref="AB35:AB66" si="16">IF(C35="","[]","["&amp;"("&amp;VLOOKUP(C35,道具ID,2,FALSE)&amp;","&amp;E35&amp;")"&amp;"]")</f>
        <v>[]</v>
      </c>
      <c r="AC35" s="7" t="str">
        <f t="shared" ref="AC35:AC66" si="17">IF(G35="","[]",IF(K35="","["&amp;"("&amp;VLOOKUP(G35,道具ID,2,FALSE)&amp;","&amp;I35&amp;")"&amp;"]","["&amp;"("&amp;VLOOKUP(G35,道具ID,2,FALSE)&amp;","&amp;I35&amp;")"&amp;","&amp;"("&amp;VLOOKUP(K35,道具ID,2,FALSE)&amp;","&amp;M35&amp;")"&amp;"]"))</f>
        <v>[(102,250)]</v>
      </c>
    </row>
    <row r="36" spans="1:29" ht="15.75" x14ac:dyDescent="0.3">
      <c r="A36" s="7">
        <v>34</v>
      </c>
      <c r="B36" s="7">
        <v>1</v>
      </c>
      <c r="C36" s="7" t="s">
        <v>325</v>
      </c>
      <c r="D36" s="7" t="str">
        <f t="shared" si="3"/>
        <v>钻石</v>
      </c>
      <c r="E36" s="7">
        <v>30</v>
      </c>
      <c r="F36" s="68">
        <f t="shared" si="15"/>
        <v>30</v>
      </c>
      <c r="G36" s="7" t="s">
        <v>2707</v>
      </c>
      <c r="H36" s="7" t="str">
        <f t="shared" si="4"/>
        <v>BattlePass货币</v>
      </c>
      <c r="I36" s="7">
        <v>30</v>
      </c>
      <c r="J36" s="68">
        <f t="shared" si="5"/>
        <v>42</v>
      </c>
      <c r="K36" s="7"/>
      <c r="L36" s="7" t="str">
        <f t="shared" si="6"/>
        <v/>
      </c>
      <c r="M36" s="7"/>
      <c r="N36" s="68">
        <f t="shared" si="7"/>
        <v>0</v>
      </c>
      <c r="O36" s="76"/>
      <c r="Q36" s="13" t="s">
        <v>519</v>
      </c>
      <c r="R36" s="76">
        <f t="shared" si="14"/>
        <v>150</v>
      </c>
      <c r="S36" s="85">
        <f>R36/VLOOKUP(1,道具价值!$B$74:$E$80,4,FALSE)</f>
        <v>1.9933333333333334</v>
      </c>
      <c r="T36" s="85">
        <f>R36/VLOOKUP(6,道具价值!$B$74:$E$80,4,FALSE)</f>
        <v>1.4998499999999999</v>
      </c>
      <c r="V36" s="84" t="s">
        <v>2663</v>
      </c>
      <c r="W36" s="2">
        <v>200</v>
      </c>
      <c r="X36" s="2" t="s">
        <v>3027</v>
      </c>
      <c r="Y36" s="257">
        <f t="shared" si="8"/>
        <v>1</v>
      </c>
      <c r="Z36" s="2"/>
      <c r="AB36" s="7" t="str">
        <f t="shared" si="16"/>
        <v>[(101,30)]</v>
      </c>
      <c r="AC36" s="7" t="str">
        <f t="shared" si="17"/>
        <v>[(113,30)]</v>
      </c>
    </row>
    <row r="37" spans="1:29" ht="15.75" x14ac:dyDescent="0.3">
      <c r="A37" s="7">
        <v>35</v>
      </c>
      <c r="B37" s="7">
        <v>1</v>
      </c>
      <c r="C37" s="7" t="s">
        <v>3033</v>
      </c>
      <c r="D37" s="7" t="str">
        <f t="shared" si="3"/>
        <v/>
      </c>
      <c r="E37" s="7" t="s">
        <v>3033</v>
      </c>
      <c r="F37" s="68">
        <f t="shared" si="15"/>
        <v>0</v>
      </c>
      <c r="G37" s="7" t="s">
        <v>325</v>
      </c>
      <c r="H37" s="7" t="str">
        <f t="shared" si="4"/>
        <v>钻石</v>
      </c>
      <c r="I37" s="7">
        <v>30</v>
      </c>
      <c r="J37" s="68">
        <f t="shared" si="5"/>
        <v>30</v>
      </c>
      <c r="K37" s="7"/>
      <c r="L37" s="7" t="str">
        <f t="shared" si="6"/>
        <v/>
      </c>
      <c r="M37" s="7"/>
      <c r="N37" s="68">
        <f t="shared" si="7"/>
        <v>0</v>
      </c>
      <c r="O37" s="76"/>
      <c r="Q37" s="7" t="s">
        <v>3030</v>
      </c>
      <c r="R37" s="76">
        <f t="shared" si="14"/>
        <v>420</v>
      </c>
      <c r="S37" s="85">
        <f>R37/VLOOKUP(1,道具价值!$B$74:$E$80,4,FALSE)</f>
        <v>5.5813333333333341</v>
      </c>
      <c r="T37" s="85">
        <f>R37/VLOOKUP(6,道具价值!$B$74:$E$80,4,FALSE)</f>
        <v>4.1995799999999992</v>
      </c>
      <c r="V37" s="84" t="s">
        <v>2665</v>
      </c>
      <c r="W37" s="2">
        <v>50</v>
      </c>
      <c r="X37" s="2" t="s">
        <v>3027</v>
      </c>
      <c r="Y37" s="257">
        <f t="shared" si="8"/>
        <v>1</v>
      </c>
      <c r="Z37" s="2"/>
      <c r="AB37" s="7" t="str">
        <f t="shared" si="16"/>
        <v>[]</v>
      </c>
      <c r="AC37" s="7" t="str">
        <f t="shared" si="17"/>
        <v>[(101,30)]</v>
      </c>
    </row>
    <row r="38" spans="1:29" ht="15.75" x14ac:dyDescent="0.3">
      <c r="A38" s="7">
        <v>36</v>
      </c>
      <c r="B38" s="7">
        <v>1</v>
      </c>
      <c r="C38" s="7" t="s">
        <v>3033</v>
      </c>
      <c r="D38" s="7" t="str">
        <f t="shared" si="3"/>
        <v/>
      </c>
      <c r="E38" s="7" t="s">
        <v>3033</v>
      </c>
      <c r="F38" s="68">
        <f t="shared" si="15"/>
        <v>0</v>
      </c>
      <c r="G38" s="7" t="s">
        <v>2402</v>
      </c>
      <c r="H38" s="7" t="str">
        <f t="shared" si="4"/>
        <v>宝箱</v>
      </c>
      <c r="I38" s="7">
        <v>1</v>
      </c>
      <c r="J38" s="68">
        <f t="shared" si="5"/>
        <v>100</v>
      </c>
      <c r="K38" s="7"/>
      <c r="L38" s="7" t="str">
        <f t="shared" si="6"/>
        <v/>
      </c>
      <c r="M38" s="7"/>
      <c r="N38" s="68">
        <f t="shared" si="7"/>
        <v>0</v>
      </c>
      <c r="O38" s="76"/>
      <c r="Q38" s="13" t="s">
        <v>3029</v>
      </c>
      <c r="R38" s="76">
        <f t="shared" si="14"/>
        <v>600</v>
      </c>
      <c r="S38" s="85">
        <f>R38/VLOOKUP(1,道具价值!$B$74:$E$80,4,FALSE)</f>
        <v>7.9733333333333336</v>
      </c>
      <c r="T38" s="85">
        <f>R38/VLOOKUP(6,道具价值!$B$74:$E$80,4,FALSE)</f>
        <v>5.9993999999999996</v>
      </c>
      <c r="V38" s="84" t="s">
        <v>2667</v>
      </c>
      <c r="W38" s="2">
        <v>100</v>
      </c>
      <c r="X38" s="2" t="s">
        <v>3027</v>
      </c>
      <c r="Y38" s="257">
        <f t="shared" si="8"/>
        <v>1</v>
      </c>
      <c r="Z38" s="2"/>
      <c r="AB38" s="7" t="str">
        <f t="shared" si="16"/>
        <v>[]</v>
      </c>
      <c r="AC38" s="7" t="str">
        <f t="shared" si="17"/>
        <v>[(23004,1)]</v>
      </c>
    </row>
    <row r="39" spans="1:29" ht="15.75" x14ac:dyDescent="0.3">
      <c r="A39" s="7">
        <v>37</v>
      </c>
      <c r="B39" s="7">
        <v>1</v>
      </c>
      <c r="C39" s="7" t="s">
        <v>275</v>
      </c>
      <c r="D39" s="7" t="str">
        <f t="shared" si="3"/>
        <v>军费</v>
      </c>
      <c r="E39" s="7">
        <v>200</v>
      </c>
      <c r="F39" s="68">
        <f t="shared" si="15"/>
        <v>4</v>
      </c>
      <c r="G39" s="7" t="s">
        <v>519</v>
      </c>
      <c r="H39" s="7" t="str">
        <f t="shared" si="4"/>
        <v>双倍钥匙</v>
      </c>
      <c r="I39" s="7">
        <v>20</v>
      </c>
      <c r="J39" s="68">
        <f t="shared" si="5"/>
        <v>15</v>
      </c>
      <c r="K39" s="7"/>
      <c r="L39" s="7" t="str">
        <f t="shared" si="6"/>
        <v/>
      </c>
      <c r="M39" s="7"/>
      <c r="N39" s="68">
        <f t="shared" si="7"/>
        <v>0</v>
      </c>
      <c r="O39" s="76"/>
      <c r="Q39" s="7" t="s">
        <v>3020</v>
      </c>
      <c r="R39" s="76">
        <f t="shared" si="14"/>
        <v>2500</v>
      </c>
      <c r="S39" s="85">
        <f>R39/VLOOKUP(1,道具价值!$B$74:$E$80,4,FALSE)</f>
        <v>33.222222222222229</v>
      </c>
      <c r="T39" s="85">
        <f>R39/VLOOKUP(6,道具价值!$B$74:$E$80,4,FALSE)</f>
        <v>24.997499999999999</v>
      </c>
      <c r="V39" s="84" t="s">
        <v>2669</v>
      </c>
      <c r="W39" s="2">
        <v>150</v>
      </c>
      <c r="X39" s="2" t="s">
        <v>3027</v>
      </c>
      <c r="Y39" s="257">
        <f t="shared" si="8"/>
        <v>1</v>
      </c>
      <c r="Z39" s="2"/>
      <c r="AB39" s="7" t="str">
        <f t="shared" si="16"/>
        <v>[(102,200)]</v>
      </c>
      <c r="AC39" s="7" t="str">
        <f t="shared" si="17"/>
        <v>[(111,20)]</v>
      </c>
    </row>
    <row r="40" spans="1:29" ht="15.75" x14ac:dyDescent="0.3">
      <c r="A40" s="7">
        <v>38</v>
      </c>
      <c r="B40" s="7">
        <v>1</v>
      </c>
      <c r="C40" s="7"/>
      <c r="D40" s="7" t="str">
        <f t="shared" si="3"/>
        <v/>
      </c>
      <c r="E40" s="7"/>
      <c r="F40" s="68">
        <f t="shared" si="15"/>
        <v>0</v>
      </c>
      <c r="G40" s="7" t="s">
        <v>2707</v>
      </c>
      <c r="H40" s="7" t="str">
        <f t="shared" si="4"/>
        <v>BattlePass货币</v>
      </c>
      <c r="I40" s="7">
        <v>30</v>
      </c>
      <c r="J40" s="68">
        <f t="shared" si="5"/>
        <v>42</v>
      </c>
      <c r="K40" s="7"/>
      <c r="L40" s="7" t="str">
        <f t="shared" si="6"/>
        <v/>
      </c>
      <c r="M40" s="7"/>
      <c r="N40" s="68">
        <f t="shared" si="7"/>
        <v>0</v>
      </c>
      <c r="O40" s="76"/>
      <c r="Q40" s="7" t="s">
        <v>3013</v>
      </c>
      <c r="R40" s="76">
        <f t="shared" si="14"/>
        <v>1000</v>
      </c>
      <c r="S40" s="85">
        <f>R40/VLOOKUP(1,道具价值!$B$74:$E$80,4,FALSE)</f>
        <v>13.28888888888889</v>
      </c>
      <c r="T40" s="85">
        <f>R40/VLOOKUP(6,道具价值!$B$74:$E$80,4,FALSE)</f>
        <v>9.9989999999999988</v>
      </c>
      <c r="V40" s="84" t="s">
        <v>2671</v>
      </c>
      <c r="W40" s="2">
        <v>200</v>
      </c>
      <c r="X40" s="2" t="s">
        <v>3027</v>
      </c>
      <c r="Y40" s="257">
        <f t="shared" si="8"/>
        <v>1</v>
      </c>
      <c r="Z40" s="2"/>
      <c r="AB40" s="7" t="str">
        <f t="shared" si="16"/>
        <v>[]</v>
      </c>
      <c r="AC40" s="7" t="str">
        <f t="shared" si="17"/>
        <v>[(113,30)]</v>
      </c>
    </row>
    <row r="41" spans="1:29" ht="15.75" x14ac:dyDescent="0.3">
      <c r="A41" s="7">
        <v>39</v>
      </c>
      <c r="B41" s="7">
        <v>1</v>
      </c>
      <c r="C41" s="7" t="s">
        <v>3033</v>
      </c>
      <c r="D41" s="7" t="str">
        <f t="shared" si="3"/>
        <v/>
      </c>
      <c r="E41" s="7" t="s">
        <v>3033</v>
      </c>
      <c r="F41" s="68">
        <f t="shared" si="15"/>
        <v>0</v>
      </c>
      <c r="G41" s="7" t="s">
        <v>325</v>
      </c>
      <c r="H41" s="7" t="str">
        <f t="shared" si="4"/>
        <v>钻石</v>
      </c>
      <c r="I41" s="7">
        <v>30</v>
      </c>
      <c r="J41" s="68">
        <f t="shared" si="5"/>
        <v>30</v>
      </c>
      <c r="K41" s="7"/>
      <c r="L41" s="7" t="str">
        <f t="shared" si="6"/>
        <v/>
      </c>
      <c r="M41" s="7"/>
      <c r="N41" s="68">
        <f t="shared" si="7"/>
        <v>0</v>
      </c>
      <c r="O41" s="76"/>
      <c r="Q41" s="7" t="s">
        <v>3025</v>
      </c>
      <c r="R41" s="76">
        <f t="shared" si="14"/>
        <v>2750</v>
      </c>
      <c r="S41" s="85">
        <f>R41/VLOOKUP(1,道具价值!$B$74:$E$80,4,FALSE)</f>
        <v>36.544444444444444</v>
      </c>
      <c r="T41" s="85">
        <f>R41/VLOOKUP(6,道具价值!$B$74:$E$80,4,FALSE)</f>
        <v>27.497249999999998</v>
      </c>
      <c r="V41" s="84" t="s">
        <v>2673</v>
      </c>
      <c r="W41" s="2">
        <v>50</v>
      </c>
      <c r="X41" s="2" t="s">
        <v>3028</v>
      </c>
      <c r="Y41" s="257">
        <f t="shared" si="8"/>
        <v>1</v>
      </c>
      <c r="Z41" s="2"/>
      <c r="AB41" s="7" t="str">
        <f t="shared" si="16"/>
        <v>[]</v>
      </c>
      <c r="AC41" s="7" t="str">
        <f t="shared" si="17"/>
        <v>[(101,30)]</v>
      </c>
    </row>
    <row r="42" spans="1:29" ht="15.75" x14ac:dyDescent="0.3">
      <c r="A42" s="70">
        <v>40</v>
      </c>
      <c r="B42" s="7">
        <v>1</v>
      </c>
      <c r="C42" s="70" t="s">
        <v>2675</v>
      </c>
      <c r="D42" s="7" t="str">
        <f t="shared" si="3"/>
        <v>涂装</v>
      </c>
      <c r="E42" s="70">
        <v>1</v>
      </c>
      <c r="F42" s="71">
        <f t="shared" si="15"/>
        <v>50</v>
      </c>
      <c r="G42" s="70" t="s">
        <v>2633</v>
      </c>
      <c r="H42" s="7" t="str">
        <f t="shared" si="4"/>
        <v>头像框</v>
      </c>
      <c r="I42" s="70">
        <v>1</v>
      </c>
      <c r="J42" s="68">
        <f t="shared" si="5"/>
        <v>600</v>
      </c>
      <c r="K42" s="70" t="s">
        <v>2621</v>
      </c>
      <c r="L42" s="7" t="str">
        <f t="shared" si="6"/>
        <v>涂鸦</v>
      </c>
      <c r="M42" s="70">
        <v>1</v>
      </c>
      <c r="N42" s="68">
        <f t="shared" si="7"/>
        <v>500</v>
      </c>
      <c r="O42" s="77">
        <f>SUM(N33:N42)+SUM(J33:J42)+SUM(F33:F42)</f>
        <v>1503</v>
      </c>
      <c r="Q42" s="7" t="s">
        <v>3026</v>
      </c>
      <c r="R42" s="76">
        <f t="shared" si="14"/>
        <v>1700</v>
      </c>
      <c r="S42" s="85">
        <f>R42/VLOOKUP(1,道具价值!$B$74:$E$80,4,FALSE)</f>
        <v>22.591111111111115</v>
      </c>
      <c r="T42" s="85">
        <f>R42/VLOOKUP(6,道具价值!$B$74:$E$80,4,FALSE)</f>
        <v>16.998299999999997</v>
      </c>
      <c r="V42" s="84" t="s">
        <v>2675</v>
      </c>
      <c r="W42" s="2">
        <v>50</v>
      </c>
      <c r="X42" s="2" t="s">
        <v>3028</v>
      </c>
      <c r="Y42" s="257">
        <f t="shared" si="8"/>
        <v>1</v>
      </c>
      <c r="Z42" s="2"/>
      <c r="AB42" s="7" t="str">
        <f t="shared" si="16"/>
        <v>[(180002,1)]</v>
      </c>
      <c r="AC42" s="7" t="str">
        <f t="shared" si="17"/>
        <v>[(130106,1),(150106,1)]</v>
      </c>
    </row>
    <row r="43" spans="1:29" ht="15.75" x14ac:dyDescent="0.3">
      <c r="A43" s="7">
        <v>41</v>
      </c>
      <c r="B43" s="7">
        <v>1</v>
      </c>
      <c r="C43" s="7" t="s">
        <v>3033</v>
      </c>
      <c r="D43" s="7" t="str">
        <f t="shared" si="3"/>
        <v/>
      </c>
      <c r="E43" s="7" t="s">
        <v>3033</v>
      </c>
      <c r="F43" s="68">
        <f t="shared" si="15"/>
        <v>0</v>
      </c>
      <c r="G43" s="7" t="s">
        <v>519</v>
      </c>
      <c r="H43" s="7" t="str">
        <f t="shared" si="4"/>
        <v>双倍钥匙</v>
      </c>
      <c r="I43" s="7">
        <v>30</v>
      </c>
      <c r="J43" s="68">
        <f t="shared" si="5"/>
        <v>22.5</v>
      </c>
      <c r="K43" s="7"/>
      <c r="L43" s="7" t="str">
        <f t="shared" si="6"/>
        <v/>
      </c>
      <c r="M43" s="7"/>
      <c r="N43" s="68">
        <f t="shared" si="7"/>
        <v>0</v>
      </c>
      <c r="O43" s="76"/>
      <c r="Q43" s="7" t="s">
        <v>3027</v>
      </c>
      <c r="R43" s="76">
        <f t="shared" si="14"/>
        <v>700</v>
      </c>
      <c r="S43" s="85">
        <f>R43/VLOOKUP(1,道具价值!$B$74:$E$80,4,FALSE)</f>
        <v>9.3022222222222233</v>
      </c>
      <c r="T43" s="85">
        <f>R43/VLOOKUP(6,道具价值!$B$74:$E$80,4,FALSE)</f>
        <v>6.999299999999999</v>
      </c>
      <c r="V43" s="84" t="s">
        <v>2677</v>
      </c>
      <c r="W43" s="2">
        <v>200</v>
      </c>
      <c r="X43" s="2" t="s">
        <v>3028</v>
      </c>
      <c r="Y43" s="257">
        <f t="shared" si="8"/>
        <v>1</v>
      </c>
      <c r="Z43" s="2"/>
      <c r="AB43" s="7" t="str">
        <f t="shared" si="16"/>
        <v>[]</v>
      </c>
      <c r="AC43" s="7" t="str">
        <f t="shared" si="17"/>
        <v>[(111,30)]</v>
      </c>
    </row>
    <row r="44" spans="1:29" ht="15.75" x14ac:dyDescent="0.3">
      <c r="A44" s="7">
        <v>42</v>
      </c>
      <c r="B44" s="7">
        <v>1</v>
      </c>
      <c r="C44" s="7" t="s">
        <v>3033</v>
      </c>
      <c r="D44" s="7" t="str">
        <f t="shared" si="3"/>
        <v/>
      </c>
      <c r="E44" s="7" t="s">
        <v>3033</v>
      </c>
      <c r="F44" s="68">
        <f t="shared" si="15"/>
        <v>0</v>
      </c>
      <c r="G44" s="7" t="s">
        <v>275</v>
      </c>
      <c r="H44" s="7" t="str">
        <f t="shared" si="4"/>
        <v>军费</v>
      </c>
      <c r="I44" s="7">
        <v>250</v>
      </c>
      <c r="J44" s="68">
        <f t="shared" si="5"/>
        <v>5</v>
      </c>
      <c r="K44" s="7"/>
      <c r="L44" s="7" t="str">
        <f t="shared" si="6"/>
        <v/>
      </c>
      <c r="M44" s="7"/>
      <c r="N44" s="68">
        <f t="shared" si="7"/>
        <v>0</v>
      </c>
      <c r="O44" s="76"/>
      <c r="Q44" s="7" t="s">
        <v>3028</v>
      </c>
      <c r="R44" s="76">
        <f t="shared" si="14"/>
        <v>2700</v>
      </c>
      <c r="S44" s="85">
        <f>R44/VLOOKUP(1,道具价值!$B$74:$E$80,4,FALSE)</f>
        <v>35.880000000000003</v>
      </c>
      <c r="T44" s="85">
        <f>R44/VLOOKUP(6,道具价值!$B$74:$E$80,4,FALSE)</f>
        <v>26.997299999999999</v>
      </c>
      <c r="V44" s="84" t="s">
        <v>2679</v>
      </c>
      <c r="W44" s="2">
        <v>200</v>
      </c>
      <c r="X44" s="2" t="s">
        <v>3028</v>
      </c>
      <c r="Y44" s="257">
        <f t="shared" si="8"/>
        <v>1</v>
      </c>
      <c r="Z44" s="2"/>
      <c r="AB44" s="7" t="str">
        <f t="shared" si="16"/>
        <v>[]</v>
      </c>
      <c r="AC44" s="7" t="str">
        <f t="shared" si="17"/>
        <v>[(102,250)]</v>
      </c>
    </row>
    <row r="45" spans="1:29" ht="15.75" x14ac:dyDescent="0.3">
      <c r="A45" s="7">
        <v>43</v>
      </c>
      <c r="B45" s="7">
        <v>1</v>
      </c>
      <c r="C45" s="7" t="s">
        <v>280</v>
      </c>
      <c r="D45" s="7" t="str">
        <f t="shared" si="3"/>
        <v>钥匙</v>
      </c>
      <c r="E45" s="7">
        <v>30</v>
      </c>
      <c r="F45" s="68">
        <f t="shared" si="15"/>
        <v>37.5</v>
      </c>
      <c r="G45" s="7" t="s">
        <v>2707</v>
      </c>
      <c r="H45" s="7" t="str">
        <f t="shared" si="4"/>
        <v>BattlePass货币</v>
      </c>
      <c r="I45" s="7">
        <v>30</v>
      </c>
      <c r="J45" s="68">
        <f t="shared" si="5"/>
        <v>42</v>
      </c>
      <c r="K45" s="7"/>
      <c r="L45" s="7" t="str">
        <f t="shared" si="6"/>
        <v/>
      </c>
      <c r="M45" s="7"/>
      <c r="N45" s="68">
        <f t="shared" si="7"/>
        <v>0</v>
      </c>
      <c r="O45" s="76"/>
      <c r="V45" s="84" t="s">
        <v>2681</v>
      </c>
      <c r="W45" s="2">
        <v>200</v>
      </c>
      <c r="X45" s="2" t="s">
        <v>3028</v>
      </c>
      <c r="Y45" s="257">
        <f t="shared" si="8"/>
        <v>1</v>
      </c>
      <c r="Z45" s="2"/>
      <c r="AB45" s="7" t="str">
        <f t="shared" si="16"/>
        <v>[(105,30)]</v>
      </c>
      <c r="AC45" s="7" t="str">
        <f t="shared" si="17"/>
        <v>[(113,30)]</v>
      </c>
    </row>
    <row r="46" spans="1:29" ht="15.75" x14ac:dyDescent="0.3">
      <c r="A46" s="7">
        <v>44</v>
      </c>
      <c r="B46" s="7">
        <v>1</v>
      </c>
      <c r="C46" s="7" t="s">
        <v>3033</v>
      </c>
      <c r="D46" s="7" t="str">
        <f t="shared" si="3"/>
        <v/>
      </c>
      <c r="E46" s="7" t="s">
        <v>3033</v>
      </c>
      <c r="F46" s="68">
        <f t="shared" si="15"/>
        <v>0</v>
      </c>
      <c r="G46" s="7" t="s">
        <v>2417</v>
      </c>
      <c r="H46" s="7" t="str">
        <f t="shared" si="4"/>
        <v>宝箱</v>
      </c>
      <c r="I46" s="7">
        <v>1</v>
      </c>
      <c r="J46" s="68">
        <f t="shared" si="5"/>
        <v>100</v>
      </c>
      <c r="K46" s="7"/>
      <c r="L46" s="7" t="str">
        <f t="shared" si="6"/>
        <v/>
      </c>
      <c r="M46" s="7"/>
      <c r="N46" s="68">
        <f t="shared" si="7"/>
        <v>0</v>
      </c>
      <c r="O46" s="76"/>
      <c r="Q46" s="7" t="s">
        <v>3034</v>
      </c>
      <c r="R46" s="76">
        <f>SUM(R38:R44)</f>
        <v>11950</v>
      </c>
      <c r="S46" s="85">
        <f>R46/VLOOKUP(1,道具价值!$B$74:$E$80,4,FALSE)</f>
        <v>158.80222222222224</v>
      </c>
      <c r="T46" s="85">
        <f>R46/VLOOKUP(6,道具价值!$B$74:$E$80,4,FALSE)</f>
        <v>119.48804999999999</v>
      </c>
      <c r="V46" s="84" t="s">
        <v>2683</v>
      </c>
      <c r="W46" s="2">
        <v>200</v>
      </c>
      <c r="X46" s="2" t="s">
        <v>3028</v>
      </c>
      <c r="Y46" s="257">
        <f t="shared" si="8"/>
        <v>1</v>
      </c>
      <c r="Z46" s="2"/>
      <c r="AB46" s="7" t="str">
        <f t="shared" si="16"/>
        <v>[]</v>
      </c>
      <c r="AC46" s="7" t="str">
        <f t="shared" si="17"/>
        <v>[(24005,1)]</v>
      </c>
    </row>
    <row r="47" spans="1:29" ht="15.75" x14ac:dyDescent="0.3">
      <c r="A47" s="7">
        <v>45</v>
      </c>
      <c r="B47" s="7">
        <v>1</v>
      </c>
      <c r="C47" s="7" t="s">
        <v>3033</v>
      </c>
      <c r="D47" s="7" t="str">
        <f t="shared" si="3"/>
        <v/>
      </c>
      <c r="E47" s="7" t="s">
        <v>3033</v>
      </c>
      <c r="F47" s="68">
        <f t="shared" si="15"/>
        <v>0</v>
      </c>
      <c r="G47" s="7" t="s">
        <v>2707</v>
      </c>
      <c r="H47" s="7" t="str">
        <f t="shared" si="4"/>
        <v>BattlePass货币</v>
      </c>
      <c r="I47" s="7">
        <v>30</v>
      </c>
      <c r="J47" s="68">
        <f t="shared" si="5"/>
        <v>42</v>
      </c>
      <c r="K47" s="7"/>
      <c r="L47" s="7" t="str">
        <f t="shared" si="6"/>
        <v/>
      </c>
      <c r="M47" s="7"/>
      <c r="N47" s="68">
        <f t="shared" si="7"/>
        <v>0</v>
      </c>
      <c r="O47" s="76"/>
      <c r="Q47" s="7" t="s">
        <v>3035</v>
      </c>
      <c r="R47" s="76">
        <f>SUM(R31:R37)</f>
        <v>8517.2000000000007</v>
      </c>
      <c r="S47" s="85">
        <f>R47/VLOOKUP(1,道具价值!$B$74:$E$80,4,FALSE)</f>
        <v>113.18412444444446</v>
      </c>
      <c r="T47" s="85">
        <f>R47/VLOOKUP(6,道具价值!$B$74:$E$80,4,FALSE)</f>
        <v>85.163482799999997</v>
      </c>
      <c r="V47" s="84" t="s">
        <v>2685</v>
      </c>
      <c r="W47" s="2">
        <v>200</v>
      </c>
      <c r="X47" s="2" t="s">
        <v>3028</v>
      </c>
      <c r="Y47" s="257">
        <f t="shared" si="8"/>
        <v>1</v>
      </c>
      <c r="Z47" s="2"/>
      <c r="AB47" s="7" t="str">
        <f t="shared" si="16"/>
        <v>[]</v>
      </c>
      <c r="AC47" s="7" t="str">
        <f t="shared" si="17"/>
        <v>[(113,30)]</v>
      </c>
    </row>
    <row r="48" spans="1:29" ht="15.75" x14ac:dyDescent="0.3">
      <c r="A48" s="7">
        <v>46</v>
      </c>
      <c r="B48" s="7">
        <v>1</v>
      </c>
      <c r="C48" s="7" t="s">
        <v>3033</v>
      </c>
      <c r="D48" s="7" t="str">
        <f t="shared" si="3"/>
        <v/>
      </c>
      <c r="E48" s="7" t="s">
        <v>3033</v>
      </c>
      <c r="F48" s="68">
        <f t="shared" si="15"/>
        <v>0</v>
      </c>
      <c r="G48" s="7" t="s">
        <v>325</v>
      </c>
      <c r="H48" s="7" t="str">
        <f t="shared" si="4"/>
        <v>钻石</v>
      </c>
      <c r="I48" s="7">
        <v>30</v>
      </c>
      <c r="J48" s="68">
        <f t="shared" si="5"/>
        <v>30</v>
      </c>
      <c r="K48" s="7"/>
      <c r="L48" s="7" t="str">
        <f t="shared" si="6"/>
        <v/>
      </c>
      <c r="M48" s="7"/>
      <c r="N48" s="68">
        <f t="shared" si="7"/>
        <v>0</v>
      </c>
      <c r="O48" s="76"/>
      <c r="V48" s="84" t="s">
        <v>2687</v>
      </c>
      <c r="W48" s="2">
        <v>200</v>
      </c>
      <c r="X48" s="2" t="s">
        <v>3028</v>
      </c>
      <c r="Y48" s="257">
        <f t="shared" si="8"/>
        <v>1</v>
      </c>
      <c r="Z48" s="2" t="s">
        <v>3036</v>
      </c>
      <c r="AB48" s="7" t="str">
        <f t="shared" si="16"/>
        <v>[]</v>
      </c>
      <c r="AC48" s="7" t="str">
        <f t="shared" si="17"/>
        <v>[(101,30)]</v>
      </c>
    </row>
    <row r="49" spans="1:29" ht="15.75" x14ac:dyDescent="0.3">
      <c r="A49" s="7">
        <v>47</v>
      </c>
      <c r="B49" s="7">
        <v>1</v>
      </c>
      <c r="C49" s="7" t="s">
        <v>2478</v>
      </c>
      <c r="D49" s="7" t="str">
        <f t="shared" si="3"/>
        <v>宝箱</v>
      </c>
      <c r="E49" s="7">
        <v>1</v>
      </c>
      <c r="F49" s="68">
        <f t="shared" si="15"/>
        <v>600</v>
      </c>
      <c r="G49" s="7" t="s">
        <v>280</v>
      </c>
      <c r="H49" s="7" t="str">
        <f t="shared" si="4"/>
        <v>钥匙</v>
      </c>
      <c r="I49" s="7">
        <v>30</v>
      </c>
      <c r="J49" s="68">
        <f t="shared" si="5"/>
        <v>37.5</v>
      </c>
      <c r="K49" s="7"/>
      <c r="L49" s="7" t="str">
        <f t="shared" si="6"/>
        <v/>
      </c>
      <c r="M49" s="7"/>
      <c r="N49" s="68">
        <f t="shared" si="7"/>
        <v>0</v>
      </c>
      <c r="O49" s="76"/>
      <c r="V49" s="84" t="s">
        <v>2689</v>
      </c>
      <c r="W49" s="2">
        <v>200</v>
      </c>
      <c r="X49" s="2" t="s">
        <v>3028</v>
      </c>
      <c r="Y49" s="257">
        <f t="shared" si="8"/>
        <v>1</v>
      </c>
      <c r="Z49" s="2"/>
      <c r="AB49" s="7" t="str">
        <f t="shared" si="16"/>
        <v>[(25154,1)]</v>
      </c>
      <c r="AC49" s="7" t="str">
        <f t="shared" si="17"/>
        <v>[(105,30)]</v>
      </c>
    </row>
    <row r="50" spans="1:29" ht="15.75" x14ac:dyDescent="0.3">
      <c r="A50" s="7">
        <v>48</v>
      </c>
      <c r="B50" s="7">
        <v>1</v>
      </c>
      <c r="C50" s="7" t="s">
        <v>3033</v>
      </c>
      <c r="D50" s="7" t="str">
        <f t="shared" si="3"/>
        <v/>
      </c>
      <c r="E50" s="7" t="s">
        <v>3033</v>
      </c>
      <c r="F50" s="68">
        <f t="shared" si="15"/>
        <v>0</v>
      </c>
      <c r="G50" s="7" t="s">
        <v>275</v>
      </c>
      <c r="H50" s="7" t="str">
        <f t="shared" si="4"/>
        <v>军费</v>
      </c>
      <c r="I50" s="7">
        <v>250</v>
      </c>
      <c r="J50" s="68">
        <f t="shared" si="5"/>
        <v>5</v>
      </c>
      <c r="K50" s="7"/>
      <c r="L50" s="7" t="str">
        <f t="shared" si="6"/>
        <v/>
      </c>
      <c r="M50" s="7"/>
      <c r="N50" s="68">
        <f t="shared" si="7"/>
        <v>0</v>
      </c>
      <c r="O50" s="76"/>
      <c r="V50" s="84" t="s">
        <v>2691</v>
      </c>
      <c r="W50" s="2">
        <v>200</v>
      </c>
      <c r="X50" s="2" t="s">
        <v>3028</v>
      </c>
      <c r="Y50" s="257">
        <f t="shared" si="8"/>
        <v>1</v>
      </c>
      <c r="Z50" s="2"/>
      <c r="AB50" s="7" t="str">
        <f t="shared" si="16"/>
        <v>[]</v>
      </c>
      <c r="AC50" s="7" t="str">
        <f t="shared" si="17"/>
        <v>[(102,250)]</v>
      </c>
    </row>
    <row r="51" spans="1:29" ht="15.75" x14ac:dyDescent="0.3">
      <c r="A51" s="7">
        <v>49</v>
      </c>
      <c r="B51" s="7">
        <v>1</v>
      </c>
      <c r="C51" s="7" t="s">
        <v>3033</v>
      </c>
      <c r="D51" s="7" t="str">
        <f t="shared" si="3"/>
        <v/>
      </c>
      <c r="E51" s="7" t="s">
        <v>3033</v>
      </c>
      <c r="F51" s="68">
        <f t="shared" si="15"/>
        <v>0</v>
      </c>
      <c r="G51" s="7" t="s">
        <v>288</v>
      </c>
      <c r="H51" s="7" t="str">
        <f t="shared" si="4"/>
        <v>加速</v>
      </c>
      <c r="I51" s="7">
        <v>2</v>
      </c>
      <c r="J51" s="68">
        <f t="shared" si="5"/>
        <v>70</v>
      </c>
      <c r="K51" s="7"/>
      <c r="L51" s="7" t="str">
        <f t="shared" si="6"/>
        <v/>
      </c>
      <c r="M51" s="7"/>
      <c r="N51" s="68">
        <f t="shared" si="7"/>
        <v>0</v>
      </c>
      <c r="O51" s="76"/>
      <c r="V51" s="259" t="s">
        <v>3748</v>
      </c>
      <c r="W51" s="2">
        <v>200</v>
      </c>
      <c r="X51" s="2" t="s">
        <v>3028</v>
      </c>
      <c r="Y51" s="257">
        <f t="shared" si="8"/>
        <v>1</v>
      </c>
      <c r="Z51" s="2"/>
      <c r="AB51" s="7" t="str">
        <f t="shared" si="16"/>
        <v>[]</v>
      </c>
      <c r="AC51" s="7" t="str">
        <f t="shared" si="17"/>
        <v>[(100301,2)]</v>
      </c>
    </row>
    <row r="52" spans="1:29" ht="15.75" x14ac:dyDescent="0.3">
      <c r="A52" s="70">
        <v>50</v>
      </c>
      <c r="B52" s="7">
        <v>1</v>
      </c>
      <c r="C52" s="70" t="s">
        <v>2627</v>
      </c>
      <c r="D52" s="7" t="str">
        <f t="shared" si="3"/>
        <v>头像框</v>
      </c>
      <c r="E52" s="70">
        <v>1</v>
      </c>
      <c r="F52" s="71">
        <f t="shared" si="15"/>
        <v>100</v>
      </c>
      <c r="G52" s="70" t="s">
        <v>2714</v>
      </c>
      <c r="H52" s="7" t="str">
        <f t="shared" si="4"/>
        <v>头像</v>
      </c>
      <c r="I52" s="70">
        <v>1</v>
      </c>
      <c r="J52" s="68">
        <f t="shared" si="5"/>
        <v>200</v>
      </c>
      <c r="K52" s="70" t="s">
        <v>2703</v>
      </c>
      <c r="L52" s="7" t="str">
        <f t="shared" si="6"/>
        <v>流光</v>
      </c>
      <c r="M52" s="70">
        <v>1</v>
      </c>
      <c r="N52" s="68">
        <f t="shared" si="7"/>
        <v>300</v>
      </c>
      <c r="O52" s="77">
        <f>SUM(N43:N52)+SUM(J43:J52)+SUM(F43:F52)</f>
        <v>1591.5</v>
      </c>
      <c r="V52" s="84" t="s">
        <v>2695</v>
      </c>
      <c r="W52" s="2">
        <v>200</v>
      </c>
      <c r="X52" s="2" t="s">
        <v>3028</v>
      </c>
      <c r="Y52" s="257">
        <f t="shared" si="8"/>
        <v>0</v>
      </c>
      <c r="Z52" s="2"/>
      <c r="AB52" s="7" t="str">
        <f t="shared" si="16"/>
        <v>[(130103,1)]</v>
      </c>
      <c r="AC52" s="7" t="str">
        <f t="shared" si="17"/>
        <v>[(140104,1),(190002,1)]</v>
      </c>
    </row>
    <row r="53" spans="1:29" ht="15.75" x14ac:dyDescent="0.3">
      <c r="A53" s="7">
        <v>51</v>
      </c>
      <c r="B53" s="7">
        <v>1</v>
      </c>
      <c r="C53" s="7"/>
      <c r="D53" s="7" t="str">
        <f t="shared" si="3"/>
        <v/>
      </c>
      <c r="E53" s="7"/>
      <c r="F53" s="68">
        <f t="shared" si="15"/>
        <v>0</v>
      </c>
      <c r="G53" s="7" t="s">
        <v>2478</v>
      </c>
      <c r="H53" s="7" t="str">
        <f t="shared" si="4"/>
        <v>宝箱</v>
      </c>
      <c r="I53" s="7">
        <v>1</v>
      </c>
      <c r="J53" s="68">
        <f t="shared" si="5"/>
        <v>600</v>
      </c>
      <c r="K53" s="7"/>
      <c r="L53" s="7" t="str">
        <f t="shared" si="6"/>
        <v/>
      </c>
      <c r="M53" s="7"/>
      <c r="N53" s="68">
        <f t="shared" si="7"/>
        <v>0</v>
      </c>
      <c r="O53" s="76"/>
      <c r="V53" s="84" t="s">
        <v>2697</v>
      </c>
      <c r="W53" s="2">
        <v>200</v>
      </c>
      <c r="X53" s="2" t="s">
        <v>3028</v>
      </c>
      <c r="Y53" s="257">
        <f t="shared" si="8"/>
        <v>0</v>
      </c>
      <c r="Z53" s="2"/>
      <c r="AB53" s="7" t="str">
        <f t="shared" si="16"/>
        <v>[]</v>
      </c>
      <c r="AC53" s="7" t="str">
        <f t="shared" si="17"/>
        <v>[(25154,1)]</v>
      </c>
    </row>
    <row r="54" spans="1:29" ht="15.75" x14ac:dyDescent="0.3">
      <c r="A54" s="7">
        <v>52</v>
      </c>
      <c r="B54" s="7">
        <v>1</v>
      </c>
      <c r="C54" s="7"/>
      <c r="D54" s="7" t="str">
        <f t="shared" si="3"/>
        <v/>
      </c>
      <c r="E54" s="7"/>
      <c r="F54" s="68">
        <f t="shared" si="15"/>
        <v>0</v>
      </c>
      <c r="G54" s="7" t="s">
        <v>275</v>
      </c>
      <c r="H54" s="7" t="str">
        <f t="shared" si="4"/>
        <v>军费</v>
      </c>
      <c r="I54" s="7">
        <v>375</v>
      </c>
      <c r="J54" s="68">
        <f t="shared" si="5"/>
        <v>7.5</v>
      </c>
      <c r="K54" s="7"/>
      <c r="L54" s="7" t="str">
        <f t="shared" si="6"/>
        <v/>
      </c>
      <c r="M54" s="7"/>
      <c r="N54" s="68">
        <f t="shared" si="7"/>
        <v>0</v>
      </c>
      <c r="O54" s="76"/>
      <c r="V54" s="84" t="s">
        <v>2699</v>
      </c>
      <c r="W54" s="2">
        <v>200</v>
      </c>
      <c r="X54" s="2" t="s">
        <v>3028</v>
      </c>
      <c r="Y54" s="257">
        <f t="shared" si="8"/>
        <v>0</v>
      </c>
      <c r="Z54" s="2"/>
      <c r="AB54" s="7" t="str">
        <f t="shared" si="16"/>
        <v>[]</v>
      </c>
      <c r="AC54" s="7" t="str">
        <f t="shared" si="17"/>
        <v>[(102,375)]</v>
      </c>
    </row>
    <row r="55" spans="1:29" ht="15.75" x14ac:dyDescent="0.3">
      <c r="A55" s="7">
        <v>53</v>
      </c>
      <c r="B55" s="7">
        <v>1</v>
      </c>
      <c r="C55" s="7"/>
      <c r="D55" s="7" t="str">
        <f t="shared" si="3"/>
        <v/>
      </c>
      <c r="E55" s="7"/>
      <c r="F55" s="68">
        <f t="shared" si="15"/>
        <v>0</v>
      </c>
      <c r="G55" s="7" t="s">
        <v>325</v>
      </c>
      <c r="H55" s="7" t="str">
        <f t="shared" si="4"/>
        <v>钻石</v>
      </c>
      <c r="I55" s="7">
        <v>50</v>
      </c>
      <c r="J55" s="68">
        <f t="shared" si="5"/>
        <v>50</v>
      </c>
      <c r="K55" s="7"/>
      <c r="L55" s="7" t="str">
        <f t="shared" si="6"/>
        <v/>
      </c>
      <c r="M55" s="7"/>
      <c r="N55" s="68">
        <f t="shared" si="7"/>
        <v>0</v>
      </c>
      <c r="O55" s="76"/>
      <c r="V55" s="259" t="s">
        <v>3747</v>
      </c>
      <c r="W55" s="2">
        <v>300</v>
      </c>
      <c r="X55" s="2" t="s">
        <v>3028</v>
      </c>
      <c r="Y55" s="257">
        <f t="shared" si="8"/>
        <v>0</v>
      </c>
      <c r="Z55" s="2"/>
      <c r="AB55" s="7" t="str">
        <f t="shared" si="16"/>
        <v>[]</v>
      </c>
      <c r="AC55" s="7" t="str">
        <f t="shared" si="17"/>
        <v>[(101,50)]</v>
      </c>
    </row>
    <row r="56" spans="1:29" ht="15.75" x14ac:dyDescent="0.3">
      <c r="A56" s="7">
        <v>54</v>
      </c>
      <c r="B56" s="7">
        <v>1</v>
      </c>
      <c r="C56" s="7"/>
      <c r="D56" s="7" t="str">
        <f t="shared" si="3"/>
        <v/>
      </c>
      <c r="E56" s="7"/>
      <c r="F56" s="68">
        <f t="shared" si="15"/>
        <v>0</v>
      </c>
      <c r="G56" s="7" t="s">
        <v>288</v>
      </c>
      <c r="H56" s="7" t="str">
        <f t="shared" si="4"/>
        <v>加速</v>
      </c>
      <c r="I56" s="7">
        <v>2</v>
      </c>
      <c r="J56" s="68">
        <f t="shared" si="5"/>
        <v>70</v>
      </c>
      <c r="K56" s="7"/>
      <c r="L56" s="7" t="str">
        <f t="shared" si="6"/>
        <v/>
      </c>
      <c r="M56" s="7"/>
      <c r="N56" s="68">
        <f t="shared" si="7"/>
        <v>0</v>
      </c>
      <c r="O56" s="76"/>
      <c r="V56" s="84" t="s">
        <v>2738</v>
      </c>
      <c r="W56" s="2">
        <v>500</v>
      </c>
      <c r="X56" s="2" t="s">
        <v>3028</v>
      </c>
      <c r="Y56" s="257">
        <f t="shared" si="8"/>
        <v>1</v>
      </c>
      <c r="Z56" s="2"/>
      <c r="AB56" s="7" t="str">
        <f t="shared" si="16"/>
        <v>[]</v>
      </c>
      <c r="AC56" s="7" t="str">
        <f t="shared" si="17"/>
        <v>[(100301,2)]</v>
      </c>
    </row>
    <row r="57" spans="1:29" ht="15.75" x14ac:dyDescent="0.3">
      <c r="A57" s="7">
        <v>55</v>
      </c>
      <c r="B57" s="7">
        <v>1</v>
      </c>
      <c r="C57" s="7"/>
      <c r="D57" s="7" t="str">
        <f t="shared" si="3"/>
        <v/>
      </c>
      <c r="E57" s="7"/>
      <c r="F57" s="68">
        <f t="shared" si="15"/>
        <v>0</v>
      </c>
      <c r="G57" s="7" t="s">
        <v>2707</v>
      </c>
      <c r="H57" s="7" t="str">
        <f t="shared" si="4"/>
        <v>BattlePass货币</v>
      </c>
      <c r="I57" s="7">
        <v>50</v>
      </c>
      <c r="J57" s="68">
        <f t="shared" si="5"/>
        <v>70</v>
      </c>
      <c r="K57" s="7"/>
      <c r="L57" s="7" t="str">
        <f t="shared" si="6"/>
        <v/>
      </c>
      <c r="M57" s="7"/>
      <c r="N57" s="68">
        <f t="shared" si="7"/>
        <v>0</v>
      </c>
      <c r="O57" s="76"/>
      <c r="V57" s="84" t="s">
        <v>2740</v>
      </c>
      <c r="W57" s="2">
        <v>300</v>
      </c>
      <c r="X57" s="2" t="s">
        <v>3028</v>
      </c>
      <c r="Y57" s="257">
        <f t="shared" si="8"/>
        <v>1</v>
      </c>
      <c r="Z57" s="2"/>
      <c r="AB57" s="7" t="str">
        <f t="shared" si="16"/>
        <v>[]</v>
      </c>
      <c r="AC57" s="7" t="str">
        <f t="shared" si="17"/>
        <v>[(113,50)]</v>
      </c>
    </row>
    <row r="58" spans="1:29" ht="15.75" x14ac:dyDescent="0.3">
      <c r="A58" s="7">
        <v>56</v>
      </c>
      <c r="B58" s="7">
        <v>1</v>
      </c>
      <c r="C58" s="7"/>
      <c r="D58" s="7" t="str">
        <f t="shared" si="3"/>
        <v/>
      </c>
      <c r="E58" s="7"/>
      <c r="F58" s="68">
        <f t="shared" si="15"/>
        <v>0</v>
      </c>
      <c r="G58" s="13" t="s">
        <v>275</v>
      </c>
      <c r="H58" s="7" t="str">
        <f t="shared" si="4"/>
        <v>军费</v>
      </c>
      <c r="I58" s="7">
        <v>375</v>
      </c>
      <c r="J58" s="68">
        <f t="shared" si="5"/>
        <v>7.5</v>
      </c>
      <c r="K58" s="7"/>
      <c r="L58" s="7" t="str">
        <f t="shared" si="6"/>
        <v/>
      </c>
      <c r="M58" s="7"/>
      <c r="N58" s="68">
        <f t="shared" si="7"/>
        <v>0</v>
      </c>
      <c r="O58" s="76"/>
      <c r="V58" s="84" t="s">
        <v>2742</v>
      </c>
      <c r="W58" s="2">
        <v>500</v>
      </c>
      <c r="X58" s="2" t="s">
        <v>3028</v>
      </c>
      <c r="Y58" s="257">
        <f t="shared" si="8"/>
        <v>1</v>
      </c>
      <c r="Z58" s="2"/>
      <c r="AB58" s="7" t="str">
        <f t="shared" si="16"/>
        <v>[]</v>
      </c>
      <c r="AC58" s="7" t="str">
        <f t="shared" si="17"/>
        <v>[(102,375)]</v>
      </c>
    </row>
    <row r="59" spans="1:29" ht="15.75" x14ac:dyDescent="0.3">
      <c r="A59" s="7">
        <v>57</v>
      </c>
      <c r="B59" s="7">
        <v>1</v>
      </c>
      <c r="C59" s="7"/>
      <c r="D59" s="7" t="str">
        <f t="shared" si="3"/>
        <v/>
      </c>
      <c r="E59" s="7"/>
      <c r="F59" s="68">
        <f t="shared" si="15"/>
        <v>0</v>
      </c>
      <c r="G59" s="7" t="s">
        <v>529</v>
      </c>
      <c r="H59" s="7" t="str">
        <f t="shared" si="4"/>
        <v>宝箱</v>
      </c>
      <c r="I59" s="7">
        <v>1</v>
      </c>
      <c r="J59" s="68">
        <f t="shared" si="5"/>
        <v>100</v>
      </c>
      <c r="K59" s="7"/>
      <c r="L59" s="7" t="str">
        <f t="shared" si="6"/>
        <v/>
      </c>
      <c r="M59" s="7"/>
      <c r="N59" s="68">
        <f t="shared" si="7"/>
        <v>0</v>
      </c>
      <c r="O59" s="76"/>
      <c r="V59" s="84" t="s">
        <v>2744</v>
      </c>
      <c r="W59" s="2">
        <v>300</v>
      </c>
      <c r="X59" s="2" t="s">
        <v>3028</v>
      </c>
      <c r="Y59" s="257">
        <f t="shared" si="8"/>
        <v>1</v>
      </c>
      <c r="Z59" s="2"/>
      <c r="AB59" s="7" t="str">
        <f t="shared" si="16"/>
        <v>[]</v>
      </c>
      <c r="AC59" s="7" t="str">
        <f t="shared" si="17"/>
        <v>[(24004,1)]</v>
      </c>
    </row>
    <row r="60" spans="1:29" ht="15.75" x14ac:dyDescent="0.3">
      <c r="A60" s="7">
        <v>58</v>
      </c>
      <c r="B60" s="7">
        <v>1</v>
      </c>
      <c r="C60" s="7"/>
      <c r="D60" s="7" t="str">
        <f t="shared" si="3"/>
        <v/>
      </c>
      <c r="E60" s="7"/>
      <c r="F60" s="68">
        <f t="shared" si="15"/>
        <v>0</v>
      </c>
      <c r="G60" s="7" t="s">
        <v>275</v>
      </c>
      <c r="H60" s="7" t="str">
        <f t="shared" si="4"/>
        <v>军费</v>
      </c>
      <c r="I60" s="7">
        <v>375</v>
      </c>
      <c r="J60" s="68">
        <f t="shared" si="5"/>
        <v>7.5</v>
      </c>
      <c r="K60" s="7"/>
      <c r="L60" s="7" t="str">
        <f t="shared" si="6"/>
        <v/>
      </c>
      <c r="M60" s="7"/>
      <c r="N60" s="68">
        <f t="shared" si="7"/>
        <v>0</v>
      </c>
      <c r="O60" s="76"/>
      <c r="V60" s="84" t="s">
        <v>2746</v>
      </c>
      <c r="W60" s="2">
        <v>500</v>
      </c>
      <c r="X60" s="2" t="s">
        <v>3028</v>
      </c>
      <c r="Y60" s="257">
        <f t="shared" si="8"/>
        <v>1</v>
      </c>
      <c r="Z60" s="2"/>
      <c r="AB60" s="7" t="str">
        <f t="shared" si="16"/>
        <v>[]</v>
      </c>
      <c r="AC60" s="7" t="str">
        <f t="shared" si="17"/>
        <v>[(102,375)]</v>
      </c>
    </row>
    <row r="61" spans="1:29" ht="15.75" x14ac:dyDescent="0.3">
      <c r="A61" s="7">
        <v>59</v>
      </c>
      <c r="B61" s="7">
        <v>1</v>
      </c>
      <c r="C61" s="7"/>
      <c r="D61" s="7" t="str">
        <f t="shared" si="3"/>
        <v/>
      </c>
      <c r="E61" s="7"/>
      <c r="F61" s="68">
        <f t="shared" si="15"/>
        <v>0</v>
      </c>
      <c r="G61" s="7" t="s">
        <v>325</v>
      </c>
      <c r="H61" s="7" t="str">
        <f t="shared" si="4"/>
        <v>钻石</v>
      </c>
      <c r="I61" s="7">
        <v>50</v>
      </c>
      <c r="J61" s="68">
        <f t="shared" si="5"/>
        <v>50</v>
      </c>
      <c r="K61" s="7"/>
      <c r="L61" s="7" t="str">
        <f t="shared" si="6"/>
        <v/>
      </c>
      <c r="M61" s="7">
        <v>1</v>
      </c>
      <c r="N61" s="68">
        <f t="shared" si="7"/>
        <v>0</v>
      </c>
      <c r="O61" s="76"/>
      <c r="V61" s="84" t="s">
        <v>2701</v>
      </c>
      <c r="W61" s="2">
        <v>600</v>
      </c>
      <c r="X61" s="2" t="s">
        <v>3029</v>
      </c>
      <c r="Y61" s="257">
        <f t="shared" si="8"/>
        <v>1</v>
      </c>
      <c r="Z61" s="2" t="s">
        <v>3037</v>
      </c>
      <c r="AB61" s="7" t="str">
        <f t="shared" si="16"/>
        <v>[]</v>
      </c>
      <c r="AC61" s="7" t="str">
        <f t="shared" si="17"/>
        <v>[(101,50)]</v>
      </c>
    </row>
    <row r="62" spans="1:29" ht="15.75" x14ac:dyDescent="0.3">
      <c r="A62" s="70">
        <v>60</v>
      </c>
      <c r="B62" s="7">
        <v>1</v>
      </c>
      <c r="C62" s="70"/>
      <c r="D62" s="7" t="str">
        <f t="shared" si="3"/>
        <v/>
      </c>
      <c r="E62" s="70"/>
      <c r="F62" s="71">
        <f t="shared" si="15"/>
        <v>0</v>
      </c>
      <c r="G62" s="70" t="s">
        <v>2671</v>
      </c>
      <c r="H62" s="7" t="str">
        <f t="shared" si="4"/>
        <v>战旗</v>
      </c>
      <c r="I62" s="70">
        <v>1</v>
      </c>
      <c r="J62" s="68">
        <f t="shared" si="5"/>
        <v>200</v>
      </c>
      <c r="K62" s="70" t="s">
        <v>2683</v>
      </c>
      <c r="L62" s="7" t="str">
        <f t="shared" si="6"/>
        <v>涂装</v>
      </c>
      <c r="M62" s="70">
        <v>1</v>
      </c>
      <c r="N62" s="68">
        <f t="shared" si="7"/>
        <v>200</v>
      </c>
      <c r="O62" s="77">
        <f>SUM(N53:N62)+SUM(J53:J62)+SUM(F53:F62)</f>
        <v>1362.5</v>
      </c>
      <c r="V62" s="84" t="s">
        <v>2703</v>
      </c>
      <c r="W62" s="2">
        <v>300</v>
      </c>
      <c r="X62" s="2" t="s">
        <v>3029</v>
      </c>
      <c r="Y62" s="257">
        <f t="shared" si="8"/>
        <v>1</v>
      </c>
      <c r="Z62" s="2"/>
      <c r="AB62" s="7" t="str">
        <f t="shared" si="16"/>
        <v>[]</v>
      </c>
      <c r="AC62" s="7" t="str">
        <f t="shared" si="17"/>
        <v>[(120304,1),(180006,1)]</v>
      </c>
    </row>
    <row r="63" spans="1:29" ht="15.75" x14ac:dyDescent="0.3">
      <c r="A63" s="7">
        <v>61</v>
      </c>
      <c r="B63" s="7">
        <v>1</v>
      </c>
      <c r="C63" s="7"/>
      <c r="D63" s="7" t="str">
        <f t="shared" si="3"/>
        <v/>
      </c>
      <c r="E63" s="7"/>
      <c r="F63" s="68">
        <f t="shared" si="15"/>
        <v>0</v>
      </c>
      <c r="G63" s="7" t="s">
        <v>2707</v>
      </c>
      <c r="H63" s="7" t="str">
        <f t="shared" si="4"/>
        <v>BattlePass货币</v>
      </c>
      <c r="I63" s="7">
        <v>50</v>
      </c>
      <c r="J63" s="68">
        <f t="shared" si="5"/>
        <v>70</v>
      </c>
      <c r="K63" s="7"/>
      <c r="L63" s="7" t="str">
        <f t="shared" si="6"/>
        <v/>
      </c>
      <c r="M63" s="7"/>
      <c r="N63" s="68">
        <f t="shared" si="7"/>
        <v>0</v>
      </c>
      <c r="O63" s="76"/>
      <c r="V63" s="84" t="s">
        <v>2705</v>
      </c>
      <c r="W63" s="2">
        <v>300</v>
      </c>
      <c r="X63" s="2" t="s">
        <v>3029</v>
      </c>
      <c r="Y63" s="257">
        <f t="shared" si="8"/>
        <v>1</v>
      </c>
      <c r="Z63" s="2"/>
      <c r="AB63" s="7" t="str">
        <f t="shared" si="16"/>
        <v>[]</v>
      </c>
      <c r="AC63" s="7" t="str">
        <f t="shared" si="17"/>
        <v>[(113,50)]</v>
      </c>
    </row>
    <row r="64" spans="1:29" ht="15.75" x14ac:dyDescent="0.3">
      <c r="A64" s="7">
        <v>62</v>
      </c>
      <c r="B64" s="7">
        <v>1</v>
      </c>
      <c r="C64" s="7"/>
      <c r="D64" s="7" t="str">
        <f t="shared" si="3"/>
        <v/>
      </c>
      <c r="E64" s="7"/>
      <c r="F64" s="68">
        <f t="shared" si="15"/>
        <v>0</v>
      </c>
      <c r="G64" s="7" t="s">
        <v>275</v>
      </c>
      <c r="H64" s="7" t="str">
        <f t="shared" si="4"/>
        <v>军费</v>
      </c>
      <c r="I64" s="7">
        <v>375</v>
      </c>
      <c r="J64" s="68">
        <f t="shared" si="5"/>
        <v>7.5</v>
      </c>
      <c r="K64" s="7"/>
      <c r="L64" s="7" t="str">
        <f t="shared" si="6"/>
        <v/>
      </c>
      <c r="M64" s="7"/>
      <c r="N64" s="68">
        <f t="shared" si="7"/>
        <v>0</v>
      </c>
      <c r="O64" s="76"/>
      <c r="V64" s="2" t="s">
        <v>275</v>
      </c>
      <c r="W64" s="2">
        <f>道具价值!$AB$76</f>
        <v>0.02</v>
      </c>
      <c r="X64" s="2" t="s">
        <v>275</v>
      </c>
      <c r="Y64" s="257">
        <f t="shared" si="8"/>
        <v>20220</v>
      </c>
      <c r="Z64" s="2"/>
      <c r="AB64" s="7" t="str">
        <f t="shared" si="16"/>
        <v>[]</v>
      </c>
      <c r="AC64" s="7" t="str">
        <f t="shared" si="17"/>
        <v>[(102,375)]</v>
      </c>
    </row>
    <row r="65" spans="1:29" ht="15.75" x14ac:dyDescent="0.3">
      <c r="A65" s="7">
        <v>63</v>
      </c>
      <c r="B65" s="7">
        <v>1</v>
      </c>
      <c r="C65" s="7"/>
      <c r="D65" s="7" t="str">
        <f t="shared" si="3"/>
        <v/>
      </c>
      <c r="E65" s="7"/>
      <c r="F65" s="68">
        <f t="shared" si="15"/>
        <v>0</v>
      </c>
      <c r="G65" s="7" t="s">
        <v>2402</v>
      </c>
      <c r="H65" s="7" t="str">
        <f t="shared" si="4"/>
        <v>宝箱</v>
      </c>
      <c r="I65" s="7">
        <v>1</v>
      </c>
      <c r="J65" s="68">
        <f t="shared" si="5"/>
        <v>100</v>
      </c>
      <c r="K65" s="7"/>
      <c r="L65" s="7" t="str">
        <f t="shared" si="6"/>
        <v/>
      </c>
      <c r="M65" s="7"/>
      <c r="N65" s="68">
        <f t="shared" si="7"/>
        <v>0</v>
      </c>
      <c r="O65" s="76"/>
      <c r="V65" s="2" t="s">
        <v>280</v>
      </c>
      <c r="W65" s="2">
        <f>道具价值!$O$73</f>
        <v>1.25</v>
      </c>
      <c r="X65" s="2" t="s">
        <v>280</v>
      </c>
      <c r="Y65" s="257">
        <f t="shared" si="8"/>
        <v>570</v>
      </c>
      <c r="Z65" s="2"/>
      <c r="AB65" s="7" t="str">
        <f t="shared" si="16"/>
        <v>[]</v>
      </c>
      <c r="AC65" s="7" t="str">
        <f t="shared" si="17"/>
        <v>[(23004,1)]</v>
      </c>
    </row>
    <row r="66" spans="1:29" ht="15.75" x14ac:dyDescent="0.3">
      <c r="A66" s="7">
        <v>64</v>
      </c>
      <c r="B66" s="7">
        <v>1</v>
      </c>
      <c r="C66" s="7"/>
      <c r="D66" s="7" t="str">
        <f t="shared" si="3"/>
        <v/>
      </c>
      <c r="E66" s="7"/>
      <c r="F66" s="68">
        <f t="shared" si="15"/>
        <v>0</v>
      </c>
      <c r="G66" s="13" t="s">
        <v>275</v>
      </c>
      <c r="H66" s="7" t="str">
        <f t="shared" si="4"/>
        <v>军费</v>
      </c>
      <c r="I66" s="7">
        <v>375</v>
      </c>
      <c r="J66" s="68">
        <f t="shared" si="5"/>
        <v>7.5</v>
      </c>
      <c r="K66" s="7"/>
      <c r="L66" s="7" t="str">
        <f t="shared" si="6"/>
        <v/>
      </c>
      <c r="M66" s="7"/>
      <c r="N66" s="68">
        <f t="shared" si="7"/>
        <v>0</v>
      </c>
      <c r="O66" s="76"/>
      <c r="V66" s="2" t="s">
        <v>325</v>
      </c>
      <c r="W66" s="2">
        <v>1</v>
      </c>
      <c r="X66" s="2" t="s">
        <v>325</v>
      </c>
      <c r="Y66" s="257">
        <f t="shared" si="8"/>
        <v>2060</v>
      </c>
      <c r="Z66" s="2"/>
      <c r="AB66" s="7" t="str">
        <f t="shared" si="16"/>
        <v>[]</v>
      </c>
      <c r="AC66" s="7" t="str">
        <f t="shared" si="17"/>
        <v>[(102,375)]</v>
      </c>
    </row>
    <row r="67" spans="1:29" ht="15.75" x14ac:dyDescent="0.3">
      <c r="A67" s="7">
        <v>65</v>
      </c>
      <c r="B67" s="7">
        <v>1</v>
      </c>
      <c r="C67" s="7"/>
      <c r="D67" s="7" t="str">
        <f t="shared" si="3"/>
        <v/>
      </c>
      <c r="E67" s="7"/>
      <c r="F67" s="68">
        <f t="shared" ref="F67:F98" si="18">IF(C67="",0,VLOOKUP(C67,$V:$W,2,FALSE)*E67)</f>
        <v>0</v>
      </c>
      <c r="G67" s="7" t="s">
        <v>325</v>
      </c>
      <c r="H67" s="7" t="str">
        <f t="shared" si="4"/>
        <v>钻石</v>
      </c>
      <c r="I67" s="7">
        <v>50</v>
      </c>
      <c r="J67" s="68">
        <f t="shared" si="5"/>
        <v>50</v>
      </c>
      <c r="K67" s="7"/>
      <c r="L67" s="7" t="str">
        <f t="shared" si="6"/>
        <v/>
      </c>
      <c r="M67" s="7"/>
      <c r="N67" s="68">
        <f t="shared" si="7"/>
        <v>0</v>
      </c>
      <c r="O67" s="76"/>
      <c r="V67" s="2" t="s">
        <v>519</v>
      </c>
      <c r="W67" s="2">
        <f>道具价值!$P$73</f>
        <v>0.75</v>
      </c>
      <c r="X67" s="2" t="s">
        <v>519</v>
      </c>
      <c r="Y67" s="257">
        <f t="shared" si="8"/>
        <v>400</v>
      </c>
      <c r="Z67" s="2"/>
      <c r="AB67" s="7" t="str">
        <f t="shared" ref="AB67:AB102" si="19">IF(C67="","[]","["&amp;"("&amp;VLOOKUP(C67,道具ID,2,FALSE)&amp;","&amp;E67&amp;")"&amp;"]")</f>
        <v>[]</v>
      </c>
      <c r="AC67" s="7" t="str">
        <f t="shared" ref="AC67:AC102" si="20">IF(G67="","[]",IF(K67="","["&amp;"("&amp;VLOOKUP(G67,道具ID,2,FALSE)&amp;","&amp;I67&amp;")"&amp;"]","["&amp;"("&amp;VLOOKUP(G67,道具ID,2,FALSE)&amp;","&amp;I67&amp;")"&amp;","&amp;"("&amp;VLOOKUP(K67,道具ID,2,FALSE)&amp;","&amp;M67&amp;")"&amp;"]"))</f>
        <v>[(101,50)]</v>
      </c>
    </row>
    <row r="68" spans="1:29" ht="15.75" x14ac:dyDescent="0.3">
      <c r="A68" s="7">
        <v>66</v>
      </c>
      <c r="B68" s="7">
        <v>1</v>
      </c>
      <c r="C68" s="7"/>
      <c r="D68" s="7" t="str">
        <f t="shared" ref="D68:D102" si="21">IF(C68="","",VLOOKUP(C68,$V:$X,3,FALSE))</f>
        <v/>
      </c>
      <c r="E68" s="7"/>
      <c r="F68" s="68">
        <f t="shared" si="18"/>
        <v>0</v>
      </c>
      <c r="G68" s="7" t="s">
        <v>2478</v>
      </c>
      <c r="H68" s="7" t="str">
        <f t="shared" ref="H68:H102" si="22">IF(G68="","",VLOOKUP(G68,$V:$X,3,FALSE))</f>
        <v>宝箱</v>
      </c>
      <c r="I68" s="7">
        <v>1</v>
      </c>
      <c r="J68" s="68">
        <f t="shared" ref="J68:J102" si="23">IF(G68="",0,VLOOKUP(G68,$V:$W,2,FALSE)*I68)</f>
        <v>600</v>
      </c>
      <c r="K68" s="7"/>
      <c r="L68" s="7" t="str">
        <f t="shared" ref="L68:L102" si="24">IF(K68="","",VLOOKUP(K68,$V:$X,3,FALSE))</f>
        <v/>
      </c>
      <c r="M68" s="7"/>
      <c r="N68" s="68">
        <f t="shared" ref="N68:N102" si="25">IF(K68="",0,VLOOKUP(K68,$V:$W,2,FALSE)*M68)</f>
        <v>0</v>
      </c>
      <c r="O68" s="76"/>
      <c r="V68" s="2" t="s">
        <v>1806</v>
      </c>
      <c r="W68" s="2">
        <f>道具价值!$J$63</f>
        <v>35</v>
      </c>
      <c r="X68" s="2" t="s">
        <v>3030</v>
      </c>
      <c r="Y68" s="257">
        <f t="shared" ref="Y68:Y131" si="26">IF(Z68="",SUMIFS(E:E,C:C,V68)+SUMIFS(I:I,G:G,V68)+SUMIFS(M:M,K:K,V68),1)</f>
        <v>23</v>
      </c>
      <c r="Z68" s="2"/>
      <c r="AB68" s="7" t="str">
        <f t="shared" si="19"/>
        <v>[]</v>
      </c>
      <c r="AC68" s="7" t="str">
        <f t="shared" si="20"/>
        <v>[(25154,1)]</v>
      </c>
    </row>
    <row r="69" spans="1:29" ht="15.75" x14ac:dyDescent="0.3">
      <c r="A69" s="7">
        <v>67</v>
      </c>
      <c r="B69" s="7">
        <v>1</v>
      </c>
      <c r="C69" s="7"/>
      <c r="D69" s="7" t="str">
        <f t="shared" si="21"/>
        <v/>
      </c>
      <c r="E69" s="69"/>
      <c r="F69" s="68">
        <f t="shared" si="18"/>
        <v>0</v>
      </c>
      <c r="G69" s="7" t="s">
        <v>2707</v>
      </c>
      <c r="H69" s="7" t="str">
        <f t="shared" si="22"/>
        <v>BattlePass货币</v>
      </c>
      <c r="I69" s="7">
        <v>50</v>
      </c>
      <c r="J69" s="68">
        <f t="shared" si="23"/>
        <v>70</v>
      </c>
      <c r="K69" s="7"/>
      <c r="L69" s="7" t="str">
        <f t="shared" si="24"/>
        <v/>
      </c>
      <c r="M69" s="7"/>
      <c r="N69" s="68">
        <f t="shared" si="25"/>
        <v>0</v>
      </c>
      <c r="O69" s="76"/>
      <c r="V69" s="2" t="s">
        <v>587</v>
      </c>
      <c r="W69" s="2">
        <f>道具价值!$J$64</f>
        <v>60</v>
      </c>
      <c r="X69" s="2" t="s">
        <v>3030</v>
      </c>
      <c r="Y69" s="257">
        <f t="shared" si="26"/>
        <v>0</v>
      </c>
      <c r="Z69" s="2"/>
      <c r="AB69" s="7" t="str">
        <f t="shared" si="19"/>
        <v>[]</v>
      </c>
      <c r="AC69" s="7" t="str">
        <f t="shared" si="20"/>
        <v>[(113,50)]</v>
      </c>
    </row>
    <row r="70" spans="1:29" ht="15.75" x14ac:dyDescent="0.3">
      <c r="A70" s="7">
        <v>68</v>
      </c>
      <c r="B70" s="7">
        <v>1</v>
      </c>
      <c r="C70" s="7"/>
      <c r="D70" s="7" t="str">
        <f t="shared" si="21"/>
        <v/>
      </c>
      <c r="E70" s="7"/>
      <c r="F70" s="68">
        <f t="shared" si="18"/>
        <v>0</v>
      </c>
      <c r="G70" s="7" t="s">
        <v>288</v>
      </c>
      <c r="H70" s="7" t="str">
        <f t="shared" si="22"/>
        <v>加速</v>
      </c>
      <c r="I70" s="7">
        <v>2</v>
      </c>
      <c r="J70" s="68">
        <f t="shared" si="23"/>
        <v>70</v>
      </c>
      <c r="K70" s="7"/>
      <c r="L70" s="7" t="str">
        <f t="shared" si="24"/>
        <v/>
      </c>
      <c r="M70" s="7"/>
      <c r="N70" s="68">
        <f t="shared" si="25"/>
        <v>0</v>
      </c>
      <c r="O70" s="76"/>
      <c r="V70" s="2" t="s">
        <v>2453</v>
      </c>
      <c r="W70" s="2">
        <f>[1]宝箱设定!$C$9</f>
        <v>200</v>
      </c>
      <c r="X70" s="2" t="s">
        <v>3031</v>
      </c>
      <c r="Y70" s="257">
        <f t="shared" si="26"/>
        <v>0</v>
      </c>
      <c r="Z70" s="2"/>
      <c r="AB70" s="7" t="str">
        <f t="shared" si="19"/>
        <v>[]</v>
      </c>
      <c r="AC70" s="7" t="str">
        <f t="shared" si="20"/>
        <v>[(100301,2)]</v>
      </c>
    </row>
    <row r="71" spans="1:29" ht="15.75" x14ac:dyDescent="0.3">
      <c r="A71" s="7">
        <v>69</v>
      </c>
      <c r="B71" s="7">
        <v>1</v>
      </c>
      <c r="C71" s="7"/>
      <c r="D71" s="7" t="str">
        <f t="shared" si="21"/>
        <v/>
      </c>
      <c r="E71" s="7"/>
      <c r="F71" s="68">
        <f t="shared" si="18"/>
        <v>0</v>
      </c>
      <c r="G71" s="7" t="s">
        <v>275</v>
      </c>
      <c r="H71" s="7" t="str">
        <f t="shared" si="22"/>
        <v>军费</v>
      </c>
      <c r="I71" s="7">
        <v>625</v>
      </c>
      <c r="J71" s="68">
        <f t="shared" si="23"/>
        <v>12.5</v>
      </c>
      <c r="K71" s="7"/>
      <c r="L71" s="7" t="str">
        <f t="shared" si="24"/>
        <v/>
      </c>
      <c r="M71" s="7"/>
      <c r="N71" s="68">
        <f t="shared" si="25"/>
        <v>0</v>
      </c>
      <c r="O71" s="76"/>
      <c r="V71" s="2" t="s">
        <v>2454</v>
      </c>
      <c r="W71" s="2">
        <f>[1]宝箱设定!$C$9</f>
        <v>200</v>
      </c>
      <c r="X71" s="2" t="s">
        <v>3031</v>
      </c>
      <c r="Y71" s="257">
        <f t="shared" si="26"/>
        <v>4</v>
      </c>
      <c r="Z71" s="2"/>
      <c r="AB71" s="7" t="str">
        <f t="shared" si="19"/>
        <v>[]</v>
      </c>
      <c r="AC71" s="7" t="str">
        <f t="shared" si="20"/>
        <v>[(102,625)]</v>
      </c>
    </row>
    <row r="72" spans="1:29" ht="15.75" x14ac:dyDescent="0.3">
      <c r="A72" s="70">
        <v>70</v>
      </c>
      <c r="B72" s="7">
        <v>1</v>
      </c>
      <c r="C72" s="70"/>
      <c r="D72" s="7" t="str">
        <f t="shared" si="21"/>
        <v/>
      </c>
      <c r="E72" s="70"/>
      <c r="F72" s="71">
        <f t="shared" si="18"/>
        <v>0</v>
      </c>
      <c r="G72" s="70" t="s">
        <v>2635</v>
      </c>
      <c r="H72" s="7" t="str">
        <f t="shared" si="22"/>
        <v>头像框</v>
      </c>
      <c r="I72" s="70">
        <v>1</v>
      </c>
      <c r="J72" s="68">
        <f t="shared" si="23"/>
        <v>600</v>
      </c>
      <c r="K72" s="70" t="s">
        <v>2746</v>
      </c>
      <c r="L72" s="7" t="str">
        <f t="shared" si="24"/>
        <v>涂装</v>
      </c>
      <c r="M72" s="70">
        <v>1</v>
      </c>
      <c r="N72" s="68">
        <f t="shared" si="25"/>
        <v>500</v>
      </c>
      <c r="O72" s="77">
        <f>SUM(N63:N72)+SUM(J63:J72)+SUM(F63:F72)</f>
        <v>2087.5</v>
      </c>
      <c r="V72" s="2" t="s">
        <v>2455</v>
      </c>
      <c r="W72" s="2">
        <f>[1]宝箱设定!$C$9</f>
        <v>200</v>
      </c>
      <c r="X72" s="2" t="s">
        <v>3031</v>
      </c>
      <c r="Y72" s="257">
        <f t="shared" si="26"/>
        <v>0</v>
      </c>
      <c r="Z72" s="2"/>
      <c r="AB72" s="7" t="str">
        <f t="shared" si="19"/>
        <v>[]</v>
      </c>
      <c r="AC72" s="7" t="str">
        <f t="shared" si="20"/>
        <v>[(130107,1),(180024,1)]</v>
      </c>
    </row>
    <row r="73" spans="1:29" ht="15.75" x14ac:dyDescent="0.3">
      <c r="A73" s="7">
        <v>71</v>
      </c>
      <c r="B73" s="7">
        <v>1</v>
      </c>
      <c r="C73" s="7"/>
      <c r="D73" s="7" t="str">
        <f t="shared" si="21"/>
        <v/>
      </c>
      <c r="E73" s="7"/>
      <c r="F73" s="68">
        <f t="shared" si="18"/>
        <v>0</v>
      </c>
      <c r="G73" s="7" t="s">
        <v>280</v>
      </c>
      <c r="H73" s="7" t="str">
        <f t="shared" si="22"/>
        <v>钥匙</v>
      </c>
      <c r="I73" s="7">
        <v>30</v>
      </c>
      <c r="J73" s="68">
        <f t="shared" si="23"/>
        <v>37.5</v>
      </c>
      <c r="K73" s="7"/>
      <c r="L73" s="7" t="str">
        <f t="shared" si="24"/>
        <v/>
      </c>
      <c r="M73" s="7"/>
      <c r="N73" s="68">
        <f t="shared" si="25"/>
        <v>0</v>
      </c>
      <c r="O73" s="76"/>
      <c r="V73" s="2" t="s">
        <v>2457</v>
      </c>
      <c r="W73" s="2">
        <f>[1]宝箱设定!$C$9</f>
        <v>200</v>
      </c>
      <c r="X73" s="2" t="s">
        <v>3031</v>
      </c>
      <c r="Y73" s="257">
        <f t="shared" si="26"/>
        <v>2</v>
      </c>
      <c r="Z73" s="2"/>
      <c r="AB73" s="7" t="str">
        <f t="shared" si="19"/>
        <v>[]</v>
      </c>
      <c r="AC73" s="7" t="str">
        <f t="shared" si="20"/>
        <v>[(105,30)]</v>
      </c>
    </row>
    <row r="74" spans="1:29" ht="15.75" x14ac:dyDescent="0.3">
      <c r="A74" s="7">
        <v>72</v>
      </c>
      <c r="B74" s="7">
        <v>1</v>
      </c>
      <c r="C74" s="7"/>
      <c r="D74" s="7" t="str">
        <f t="shared" si="21"/>
        <v/>
      </c>
      <c r="E74" s="7"/>
      <c r="F74" s="68">
        <f t="shared" si="18"/>
        <v>0</v>
      </c>
      <c r="G74" s="7" t="s">
        <v>275</v>
      </c>
      <c r="H74" s="7" t="str">
        <f t="shared" si="22"/>
        <v>军费</v>
      </c>
      <c r="I74" s="7">
        <v>625</v>
      </c>
      <c r="J74" s="68">
        <f t="shared" si="23"/>
        <v>12.5</v>
      </c>
      <c r="K74" s="7"/>
      <c r="L74" s="7" t="str">
        <f t="shared" si="24"/>
        <v/>
      </c>
      <c r="M74" s="7"/>
      <c r="N74" s="68">
        <f t="shared" si="25"/>
        <v>0</v>
      </c>
      <c r="O74" s="76"/>
      <c r="V74" s="2" t="s">
        <v>2458</v>
      </c>
      <c r="W74" s="2">
        <f>[1]宝箱设定!$C$9</f>
        <v>200</v>
      </c>
      <c r="X74" s="2" t="s">
        <v>3031</v>
      </c>
      <c r="Y74" s="257">
        <f t="shared" si="26"/>
        <v>0</v>
      </c>
      <c r="Z74" s="2"/>
      <c r="AB74" s="7" t="str">
        <f t="shared" si="19"/>
        <v>[]</v>
      </c>
      <c r="AC74" s="7" t="str">
        <f t="shared" si="20"/>
        <v>[(102,625)]</v>
      </c>
    </row>
    <row r="75" spans="1:29" ht="15.75" x14ac:dyDescent="0.3">
      <c r="A75" s="7">
        <v>73</v>
      </c>
      <c r="B75" s="7">
        <v>1</v>
      </c>
      <c r="C75" s="7"/>
      <c r="D75" s="7" t="str">
        <f t="shared" si="21"/>
        <v/>
      </c>
      <c r="E75" s="7"/>
      <c r="F75" s="68">
        <f t="shared" si="18"/>
        <v>0</v>
      </c>
      <c r="G75" s="13" t="s">
        <v>325</v>
      </c>
      <c r="H75" s="7" t="str">
        <f t="shared" si="22"/>
        <v>钻石</v>
      </c>
      <c r="I75" s="7">
        <v>50</v>
      </c>
      <c r="J75" s="68">
        <f t="shared" si="23"/>
        <v>50</v>
      </c>
      <c r="K75" s="7"/>
      <c r="L75" s="7" t="str">
        <f t="shared" si="24"/>
        <v/>
      </c>
      <c r="M75" s="7"/>
      <c r="N75" s="68">
        <f t="shared" si="25"/>
        <v>0</v>
      </c>
      <c r="O75" s="76"/>
      <c r="V75" s="2" t="s">
        <v>2459</v>
      </c>
      <c r="W75" s="2">
        <f>[1]宝箱设定!$C$9</f>
        <v>200</v>
      </c>
      <c r="X75" s="2" t="s">
        <v>3031</v>
      </c>
      <c r="Y75" s="257">
        <f t="shared" si="26"/>
        <v>0</v>
      </c>
      <c r="Z75" s="2"/>
      <c r="AB75" s="7" t="str">
        <f t="shared" si="19"/>
        <v>[]</v>
      </c>
      <c r="AC75" s="7" t="str">
        <f t="shared" si="20"/>
        <v>[(101,50)]</v>
      </c>
    </row>
    <row r="76" spans="1:29" ht="15.75" x14ac:dyDescent="0.3">
      <c r="A76" s="7">
        <v>74</v>
      </c>
      <c r="B76" s="7">
        <v>1</v>
      </c>
      <c r="C76" s="7"/>
      <c r="D76" s="7" t="str">
        <f t="shared" si="21"/>
        <v/>
      </c>
      <c r="E76" s="7"/>
      <c r="F76" s="68">
        <f t="shared" si="18"/>
        <v>0</v>
      </c>
      <c r="G76" s="7" t="s">
        <v>275</v>
      </c>
      <c r="H76" s="7" t="str">
        <f t="shared" si="22"/>
        <v>军费</v>
      </c>
      <c r="I76" s="7">
        <v>625</v>
      </c>
      <c r="J76" s="68">
        <f t="shared" si="23"/>
        <v>12.5</v>
      </c>
      <c r="K76" s="7"/>
      <c r="L76" s="7" t="str">
        <f t="shared" si="24"/>
        <v/>
      </c>
      <c r="M76" s="7"/>
      <c r="N76" s="68">
        <f t="shared" si="25"/>
        <v>0</v>
      </c>
      <c r="O76" s="76"/>
      <c r="V76" s="2" t="s">
        <v>2460</v>
      </c>
      <c r="W76" s="2">
        <f>[1]宝箱设定!$C$9</f>
        <v>200</v>
      </c>
      <c r="X76" s="2" t="s">
        <v>3031</v>
      </c>
      <c r="Y76" s="257">
        <f t="shared" si="26"/>
        <v>0</v>
      </c>
      <c r="Z76" s="2"/>
      <c r="AB76" s="7" t="str">
        <f t="shared" si="19"/>
        <v>[]</v>
      </c>
      <c r="AC76" s="7" t="str">
        <f t="shared" si="20"/>
        <v>[(102,625)]</v>
      </c>
    </row>
    <row r="77" spans="1:29" ht="15.75" x14ac:dyDescent="0.3">
      <c r="A77" s="7">
        <v>75</v>
      </c>
      <c r="B77" s="7">
        <v>1</v>
      </c>
      <c r="C77" s="7"/>
      <c r="D77" s="7" t="str">
        <f t="shared" si="21"/>
        <v/>
      </c>
      <c r="E77" s="7"/>
      <c r="F77" s="68">
        <f t="shared" si="18"/>
        <v>0</v>
      </c>
      <c r="G77" s="7" t="s">
        <v>2647</v>
      </c>
      <c r="H77" s="7" t="str">
        <f t="shared" si="22"/>
        <v>摆件</v>
      </c>
      <c r="I77" s="7">
        <v>1</v>
      </c>
      <c r="J77" s="68">
        <f t="shared" si="23"/>
        <v>500</v>
      </c>
      <c r="K77" s="7"/>
      <c r="L77" s="7" t="str">
        <f t="shared" si="24"/>
        <v/>
      </c>
      <c r="M77" s="7"/>
      <c r="N77" s="68">
        <f t="shared" si="25"/>
        <v>0</v>
      </c>
      <c r="O77" s="76"/>
      <c r="V77" s="2" t="s">
        <v>2461</v>
      </c>
      <c r="W77" s="2">
        <f>[1]宝箱设定!$C$9</f>
        <v>200</v>
      </c>
      <c r="X77" s="2" t="s">
        <v>3031</v>
      </c>
      <c r="Y77" s="257">
        <f t="shared" si="26"/>
        <v>0</v>
      </c>
      <c r="Z77" s="2"/>
      <c r="AB77" s="7" t="str">
        <f t="shared" si="19"/>
        <v>[]</v>
      </c>
      <c r="AC77" s="7" t="str">
        <f t="shared" si="20"/>
        <v>[(110105,1)]</v>
      </c>
    </row>
    <row r="78" spans="1:29" ht="15.75" x14ac:dyDescent="0.3">
      <c r="A78" s="7">
        <v>76</v>
      </c>
      <c r="B78" s="7">
        <v>1</v>
      </c>
      <c r="C78" s="7"/>
      <c r="D78" s="7" t="str">
        <f t="shared" si="21"/>
        <v/>
      </c>
      <c r="E78" s="7"/>
      <c r="F78" s="68">
        <f t="shared" si="18"/>
        <v>0</v>
      </c>
      <c r="G78" s="7" t="s">
        <v>519</v>
      </c>
      <c r="H78" s="7" t="str">
        <f t="shared" si="22"/>
        <v>双倍钥匙</v>
      </c>
      <c r="I78" s="7">
        <v>30</v>
      </c>
      <c r="J78" s="68">
        <f t="shared" si="23"/>
        <v>22.5</v>
      </c>
      <c r="K78" s="7"/>
      <c r="L78" s="7" t="str">
        <f t="shared" si="24"/>
        <v/>
      </c>
      <c r="M78" s="7"/>
      <c r="N78" s="68">
        <f t="shared" si="25"/>
        <v>0</v>
      </c>
      <c r="O78" s="76"/>
      <c r="V78" s="2" t="s">
        <v>2462</v>
      </c>
      <c r="W78" s="2">
        <f>[1]宝箱设定!$C$9</f>
        <v>200</v>
      </c>
      <c r="X78" s="2" t="s">
        <v>3031</v>
      </c>
      <c r="Y78" s="257">
        <f t="shared" si="26"/>
        <v>0</v>
      </c>
      <c r="Z78" s="2"/>
      <c r="AB78" s="7" t="str">
        <f t="shared" si="19"/>
        <v>[]</v>
      </c>
      <c r="AC78" s="7" t="str">
        <f t="shared" si="20"/>
        <v>[(111,30)]</v>
      </c>
    </row>
    <row r="79" spans="1:29" ht="15.75" x14ac:dyDescent="0.3">
      <c r="A79" s="7">
        <v>77</v>
      </c>
      <c r="B79" s="7">
        <v>1</v>
      </c>
      <c r="C79" s="7"/>
      <c r="D79" s="7" t="str">
        <f t="shared" si="21"/>
        <v/>
      </c>
      <c r="E79" s="7"/>
      <c r="F79" s="68">
        <f t="shared" si="18"/>
        <v>0</v>
      </c>
      <c r="G79" s="7" t="s">
        <v>325</v>
      </c>
      <c r="H79" s="7" t="str">
        <f t="shared" si="22"/>
        <v>钻石</v>
      </c>
      <c r="I79" s="7">
        <v>50</v>
      </c>
      <c r="J79" s="68">
        <f t="shared" si="23"/>
        <v>50</v>
      </c>
      <c r="K79" s="7"/>
      <c r="L79" s="7" t="str">
        <f t="shared" si="24"/>
        <v/>
      </c>
      <c r="M79" s="7"/>
      <c r="N79" s="68">
        <f t="shared" si="25"/>
        <v>0</v>
      </c>
      <c r="O79" s="76"/>
      <c r="V79" s="2" t="s">
        <v>2463</v>
      </c>
      <c r="W79" s="2">
        <f>[1]宝箱设定!$C$9</f>
        <v>200</v>
      </c>
      <c r="X79" s="2" t="s">
        <v>3031</v>
      </c>
      <c r="Y79" s="257">
        <f t="shared" si="26"/>
        <v>0</v>
      </c>
      <c r="Z79" s="2"/>
      <c r="AB79" s="7" t="str">
        <f t="shared" si="19"/>
        <v>[]</v>
      </c>
      <c r="AC79" s="7" t="str">
        <f t="shared" si="20"/>
        <v>[(101,50)]</v>
      </c>
    </row>
    <row r="80" spans="1:29" ht="15.75" x14ac:dyDescent="0.3">
      <c r="A80" s="7">
        <v>78</v>
      </c>
      <c r="B80" s="7">
        <v>1</v>
      </c>
      <c r="C80" s="7"/>
      <c r="D80" s="7" t="str">
        <f t="shared" si="21"/>
        <v/>
      </c>
      <c r="E80" s="7"/>
      <c r="F80" s="68">
        <f t="shared" si="18"/>
        <v>0</v>
      </c>
      <c r="G80" s="7" t="s">
        <v>529</v>
      </c>
      <c r="H80" s="7" t="str">
        <f t="shared" si="22"/>
        <v>宝箱</v>
      </c>
      <c r="I80" s="7">
        <v>1</v>
      </c>
      <c r="J80" s="68">
        <f t="shared" si="23"/>
        <v>100</v>
      </c>
      <c r="K80" s="7"/>
      <c r="L80" s="7" t="str">
        <f t="shared" si="24"/>
        <v/>
      </c>
      <c r="M80" s="7"/>
      <c r="N80" s="68">
        <f t="shared" si="25"/>
        <v>0</v>
      </c>
      <c r="O80" s="76"/>
      <c r="V80" s="2" t="s">
        <v>2398</v>
      </c>
      <c r="W80" s="2">
        <f>[1]宝箱设定!$C$12</f>
        <v>100</v>
      </c>
      <c r="X80" s="2" t="s">
        <v>3031</v>
      </c>
      <c r="Y80" s="257">
        <f t="shared" si="26"/>
        <v>0</v>
      </c>
      <c r="Z80" s="2"/>
      <c r="AB80" s="7" t="str">
        <f t="shared" si="19"/>
        <v>[]</v>
      </c>
      <c r="AC80" s="7" t="str">
        <f t="shared" si="20"/>
        <v>[(24004,1)]</v>
      </c>
    </row>
    <row r="81" spans="1:29" ht="15.75" x14ac:dyDescent="0.3">
      <c r="A81" s="7">
        <v>79</v>
      </c>
      <c r="B81" s="7">
        <v>1</v>
      </c>
      <c r="C81" s="7"/>
      <c r="D81" s="7" t="str">
        <f t="shared" si="21"/>
        <v/>
      </c>
      <c r="E81" s="7"/>
      <c r="F81" s="68">
        <f t="shared" si="18"/>
        <v>0</v>
      </c>
      <c r="G81" s="7" t="s">
        <v>2707</v>
      </c>
      <c r="H81" s="7" t="str">
        <f t="shared" si="22"/>
        <v>BattlePass货币</v>
      </c>
      <c r="I81" s="7">
        <v>60</v>
      </c>
      <c r="J81" s="68">
        <f t="shared" si="23"/>
        <v>84</v>
      </c>
      <c r="K81" s="7"/>
      <c r="L81" s="7" t="str">
        <f t="shared" si="24"/>
        <v/>
      </c>
      <c r="M81" s="7"/>
      <c r="N81" s="68">
        <f t="shared" si="25"/>
        <v>0</v>
      </c>
      <c r="O81" s="76"/>
      <c r="V81" s="2" t="s">
        <v>523</v>
      </c>
      <c r="W81" s="2">
        <f>[1]宝箱设定!$C$12</f>
        <v>100</v>
      </c>
      <c r="X81" s="2" t="s">
        <v>3031</v>
      </c>
      <c r="Y81" s="257">
        <f t="shared" si="26"/>
        <v>0</v>
      </c>
      <c r="Z81" s="2"/>
      <c r="AB81" s="7" t="str">
        <f t="shared" si="19"/>
        <v>[]</v>
      </c>
      <c r="AC81" s="7" t="str">
        <f t="shared" si="20"/>
        <v>[(113,60)]</v>
      </c>
    </row>
    <row r="82" spans="1:29" ht="15.75" x14ac:dyDescent="0.3">
      <c r="A82" s="70">
        <v>80</v>
      </c>
      <c r="B82" s="7">
        <v>1</v>
      </c>
      <c r="C82" s="70"/>
      <c r="D82" s="7" t="str">
        <f t="shared" si="21"/>
        <v/>
      </c>
      <c r="E82" s="70"/>
      <c r="F82" s="71">
        <f t="shared" si="18"/>
        <v>0</v>
      </c>
      <c r="G82" s="70" t="s">
        <v>2712</v>
      </c>
      <c r="H82" s="7" t="str">
        <f t="shared" si="22"/>
        <v>头像</v>
      </c>
      <c r="I82" s="70">
        <v>1</v>
      </c>
      <c r="J82" s="68">
        <f t="shared" si="23"/>
        <v>200</v>
      </c>
      <c r="K82" s="70" t="s">
        <v>2738</v>
      </c>
      <c r="L82" s="7" t="str">
        <f t="shared" si="24"/>
        <v>涂装</v>
      </c>
      <c r="M82" s="70">
        <v>1</v>
      </c>
      <c r="N82" s="68">
        <f t="shared" si="25"/>
        <v>500</v>
      </c>
      <c r="O82" s="77">
        <f>SUM(N73:N82)+SUM(J73:J82)+SUM(F73:F82)</f>
        <v>1569</v>
      </c>
      <c r="V82" s="2" t="s">
        <v>525</v>
      </c>
      <c r="W82" s="2">
        <f>[1]宝箱设定!$C$12</f>
        <v>100</v>
      </c>
      <c r="X82" s="2" t="s">
        <v>3031</v>
      </c>
      <c r="Y82" s="257">
        <f t="shared" si="26"/>
        <v>0</v>
      </c>
      <c r="Z82" s="2"/>
      <c r="AB82" s="7" t="str">
        <f t="shared" si="19"/>
        <v>[]</v>
      </c>
      <c r="AC82" s="7" t="str">
        <f t="shared" si="20"/>
        <v>[(140103,1),(180018,1)]</v>
      </c>
    </row>
    <row r="83" spans="1:29" ht="15.75" x14ac:dyDescent="0.3">
      <c r="A83" s="7">
        <v>81</v>
      </c>
      <c r="B83" s="7">
        <v>1</v>
      </c>
      <c r="C83" s="7"/>
      <c r="D83" s="7" t="str">
        <f t="shared" si="21"/>
        <v/>
      </c>
      <c r="E83" s="7"/>
      <c r="F83" s="68">
        <f t="shared" si="18"/>
        <v>0</v>
      </c>
      <c r="G83" s="7" t="s">
        <v>275</v>
      </c>
      <c r="H83" s="7" t="str">
        <f t="shared" si="22"/>
        <v>军费</v>
      </c>
      <c r="I83" s="7">
        <v>625</v>
      </c>
      <c r="J83" s="68">
        <f t="shared" si="23"/>
        <v>12.5</v>
      </c>
      <c r="K83" s="7"/>
      <c r="L83" s="7" t="str">
        <f t="shared" si="24"/>
        <v/>
      </c>
      <c r="M83" s="7"/>
      <c r="N83" s="68">
        <f t="shared" si="25"/>
        <v>0</v>
      </c>
      <c r="O83" s="76"/>
      <c r="V83" s="2" t="s">
        <v>2402</v>
      </c>
      <c r="W83" s="2">
        <f>[1]宝箱设定!$C$12</f>
        <v>100</v>
      </c>
      <c r="X83" s="2" t="s">
        <v>3031</v>
      </c>
      <c r="Y83" s="257">
        <f t="shared" si="26"/>
        <v>6</v>
      </c>
      <c r="Z83" s="2"/>
      <c r="AB83" s="7" t="str">
        <f t="shared" si="19"/>
        <v>[]</v>
      </c>
      <c r="AC83" s="7" t="str">
        <f t="shared" si="20"/>
        <v>[(102,625)]</v>
      </c>
    </row>
    <row r="84" spans="1:29" ht="15.75" x14ac:dyDescent="0.3">
      <c r="A84" s="7">
        <v>82</v>
      </c>
      <c r="B84" s="7">
        <v>1</v>
      </c>
      <c r="C84" s="7"/>
      <c r="D84" s="7" t="str">
        <f t="shared" si="21"/>
        <v/>
      </c>
      <c r="E84" s="7"/>
      <c r="F84" s="68">
        <f t="shared" si="18"/>
        <v>0</v>
      </c>
      <c r="G84" s="7" t="s">
        <v>325</v>
      </c>
      <c r="H84" s="7" t="str">
        <f t="shared" si="22"/>
        <v>钻石</v>
      </c>
      <c r="I84" s="7">
        <v>100</v>
      </c>
      <c r="J84" s="68">
        <f t="shared" si="23"/>
        <v>100</v>
      </c>
      <c r="K84" s="7"/>
      <c r="L84" s="7" t="str">
        <f t="shared" si="24"/>
        <v/>
      </c>
      <c r="M84" s="7"/>
      <c r="N84" s="68">
        <f t="shared" si="25"/>
        <v>0</v>
      </c>
      <c r="O84" s="76"/>
      <c r="V84" s="2" t="s">
        <v>533</v>
      </c>
      <c r="W84" s="2">
        <f>[1]宝箱设定!$C$12</f>
        <v>100</v>
      </c>
      <c r="X84" s="2" t="s">
        <v>3031</v>
      </c>
      <c r="Y84" s="257">
        <f t="shared" si="26"/>
        <v>0</v>
      </c>
      <c r="Z84" s="2"/>
      <c r="AB84" s="7" t="str">
        <f t="shared" si="19"/>
        <v>[]</v>
      </c>
      <c r="AC84" s="7" t="str">
        <f t="shared" si="20"/>
        <v>[(101,100)]</v>
      </c>
    </row>
    <row r="85" spans="1:29" ht="15.75" x14ac:dyDescent="0.3">
      <c r="A85" s="7">
        <v>83</v>
      </c>
      <c r="B85" s="7">
        <v>1</v>
      </c>
      <c r="C85" s="7"/>
      <c r="D85" s="7" t="str">
        <f t="shared" si="21"/>
        <v/>
      </c>
      <c r="E85" s="7"/>
      <c r="F85" s="68">
        <f t="shared" si="18"/>
        <v>0</v>
      </c>
      <c r="G85" s="7" t="s">
        <v>280</v>
      </c>
      <c r="H85" s="7" t="str">
        <f t="shared" si="22"/>
        <v>钥匙</v>
      </c>
      <c r="I85" s="7">
        <v>30</v>
      </c>
      <c r="J85" s="68">
        <f t="shared" si="23"/>
        <v>37.5</v>
      </c>
      <c r="K85" s="7"/>
      <c r="L85" s="7" t="str">
        <f t="shared" si="24"/>
        <v/>
      </c>
      <c r="M85" s="7"/>
      <c r="N85" s="68">
        <f t="shared" si="25"/>
        <v>0</v>
      </c>
      <c r="O85" s="76"/>
      <c r="V85" s="2" t="s">
        <v>541</v>
      </c>
      <c r="W85" s="2">
        <f>[1]宝箱设定!$C$12</f>
        <v>100</v>
      </c>
      <c r="X85" s="2" t="s">
        <v>3031</v>
      </c>
      <c r="Y85" s="257">
        <f t="shared" si="26"/>
        <v>0</v>
      </c>
      <c r="Z85" s="2"/>
      <c r="AB85" s="7" t="str">
        <f t="shared" si="19"/>
        <v>[]</v>
      </c>
      <c r="AC85" s="7" t="str">
        <f t="shared" si="20"/>
        <v>[(105,30)]</v>
      </c>
    </row>
    <row r="86" spans="1:29" ht="15.75" x14ac:dyDescent="0.3">
      <c r="A86" s="7">
        <v>84</v>
      </c>
      <c r="B86" s="7">
        <v>1</v>
      </c>
      <c r="C86" s="7"/>
      <c r="D86" s="7" t="str">
        <f t="shared" si="21"/>
        <v/>
      </c>
      <c r="E86" s="7"/>
      <c r="F86" s="68">
        <f t="shared" si="18"/>
        <v>0</v>
      </c>
      <c r="G86" s="7" t="s">
        <v>2707</v>
      </c>
      <c r="H86" s="7" t="str">
        <f t="shared" si="22"/>
        <v>BattlePass货币</v>
      </c>
      <c r="I86" s="7">
        <v>100</v>
      </c>
      <c r="J86" s="68">
        <f t="shared" si="23"/>
        <v>140</v>
      </c>
      <c r="K86" s="7"/>
      <c r="L86" s="7" t="str">
        <f t="shared" si="24"/>
        <v/>
      </c>
      <c r="M86" s="7"/>
      <c r="N86" s="68">
        <f t="shared" si="25"/>
        <v>0</v>
      </c>
      <c r="O86" s="76"/>
      <c r="V86" s="2" t="s">
        <v>2406</v>
      </c>
      <c r="W86" s="2">
        <f>[1]宝箱设定!$C$12</f>
        <v>100</v>
      </c>
      <c r="X86" s="2" t="s">
        <v>3031</v>
      </c>
      <c r="Y86" s="257">
        <f t="shared" si="26"/>
        <v>0</v>
      </c>
      <c r="Z86" s="2"/>
      <c r="AB86" s="7" t="str">
        <f t="shared" si="19"/>
        <v>[]</v>
      </c>
      <c r="AC86" s="7" t="str">
        <f t="shared" si="20"/>
        <v>[(113,100)]</v>
      </c>
    </row>
    <row r="87" spans="1:29" ht="15.75" x14ac:dyDescent="0.3">
      <c r="A87" s="7">
        <v>85</v>
      </c>
      <c r="B87" s="7">
        <v>1</v>
      </c>
      <c r="C87" s="7"/>
      <c r="D87" s="7" t="str">
        <f t="shared" si="21"/>
        <v/>
      </c>
      <c r="E87" s="7"/>
      <c r="F87" s="68">
        <f t="shared" si="18"/>
        <v>0</v>
      </c>
      <c r="G87" s="7" t="s">
        <v>275</v>
      </c>
      <c r="H87" s="7" t="str">
        <f t="shared" si="22"/>
        <v>军费</v>
      </c>
      <c r="I87" s="7">
        <v>625</v>
      </c>
      <c r="J87" s="68">
        <f t="shared" si="23"/>
        <v>12.5</v>
      </c>
      <c r="K87" s="7"/>
      <c r="L87" s="7" t="str">
        <f t="shared" si="24"/>
        <v/>
      </c>
      <c r="M87" s="7"/>
      <c r="N87" s="68">
        <f t="shared" si="25"/>
        <v>0</v>
      </c>
      <c r="O87" s="76"/>
      <c r="V87" s="2" t="s">
        <v>2408</v>
      </c>
      <c r="W87" s="2">
        <f>[1]宝箱设定!$C$12</f>
        <v>100</v>
      </c>
      <c r="X87" s="2" t="s">
        <v>3031</v>
      </c>
      <c r="Y87" s="257">
        <f t="shared" si="26"/>
        <v>0</v>
      </c>
      <c r="Z87" s="2"/>
      <c r="AB87" s="7" t="str">
        <f t="shared" si="19"/>
        <v>[]</v>
      </c>
      <c r="AC87" s="7" t="str">
        <f t="shared" si="20"/>
        <v>[(102,625)]</v>
      </c>
    </row>
    <row r="88" spans="1:29" ht="15.75" x14ac:dyDescent="0.3">
      <c r="A88" s="7">
        <v>86</v>
      </c>
      <c r="B88" s="7">
        <v>1</v>
      </c>
      <c r="C88" s="7"/>
      <c r="D88" s="7" t="str">
        <f t="shared" si="21"/>
        <v/>
      </c>
      <c r="E88" s="7"/>
      <c r="F88" s="68">
        <f t="shared" si="18"/>
        <v>0</v>
      </c>
      <c r="G88" s="7" t="s">
        <v>519</v>
      </c>
      <c r="H88" s="7" t="str">
        <f t="shared" si="22"/>
        <v>双倍钥匙</v>
      </c>
      <c r="I88" s="7">
        <v>30</v>
      </c>
      <c r="J88" s="68">
        <f t="shared" si="23"/>
        <v>22.5</v>
      </c>
      <c r="K88" s="7"/>
      <c r="L88" s="7" t="str">
        <f t="shared" si="24"/>
        <v/>
      </c>
      <c r="M88" s="7"/>
      <c r="N88" s="68">
        <f t="shared" si="25"/>
        <v>0</v>
      </c>
      <c r="O88" s="76"/>
      <c r="V88" s="2" t="s">
        <v>2410</v>
      </c>
      <c r="W88" s="2">
        <f>[1]宝箱设定!$C$12</f>
        <v>100</v>
      </c>
      <c r="X88" s="2" t="s">
        <v>3031</v>
      </c>
      <c r="Y88" s="257">
        <f t="shared" si="26"/>
        <v>0</v>
      </c>
      <c r="Z88" s="2"/>
      <c r="AB88" s="7" t="str">
        <f t="shared" si="19"/>
        <v>[]</v>
      </c>
      <c r="AC88" s="7" t="str">
        <f t="shared" si="20"/>
        <v>[(111,30)]</v>
      </c>
    </row>
    <row r="89" spans="1:29" ht="15.75" x14ac:dyDescent="0.3">
      <c r="A89" s="7">
        <v>87</v>
      </c>
      <c r="B89" s="7">
        <v>1</v>
      </c>
      <c r="C89" s="7"/>
      <c r="D89" s="7" t="str">
        <f t="shared" si="21"/>
        <v/>
      </c>
      <c r="E89" s="7"/>
      <c r="F89" s="68">
        <f t="shared" si="18"/>
        <v>0</v>
      </c>
      <c r="G89" s="7" t="s">
        <v>325</v>
      </c>
      <c r="H89" s="7" t="str">
        <f t="shared" si="22"/>
        <v>钻石</v>
      </c>
      <c r="I89" s="7">
        <v>100</v>
      </c>
      <c r="J89" s="68">
        <f t="shared" si="23"/>
        <v>100</v>
      </c>
      <c r="K89" s="7"/>
      <c r="L89" s="7" t="str">
        <f t="shared" si="24"/>
        <v/>
      </c>
      <c r="M89" s="7"/>
      <c r="N89" s="68">
        <f t="shared" si="25"/>
        <v>0</v>
      </c>
      <c r="O89" s="76"/>
      <c r="V89" s="2" t="s">
        <v>2412</v>
      </c>
      <c r="W89" s="2">
        <f>[1]宝箱设定!$C$12</f>
        <v>100</v>
      </c>
      <c r="X89" s="2" t="s">
        <v>3031</v>
      </c>
      <c r="Y89" s="257">
        <f t="shared" si="26"/>
        <v>0</v>
      </c>
      <c r="Z89" s="2"/>
      <c r="AB89" s="7" t="str">
        <f t="shared" si="19"/>
        <v>[]</v>
      </c>
      <c r="AC89" s="7" t="str">
        <f t="shared" si="20"/>
        <v>[(101,100)]</v>
      </c>
    </row>
    <row r="90" spans="1:29" ht="15.75" x14ac:dyDescent="0.3">
      <c r="A90" s="7">
        <v>88</v>
      </c>
      <c r="B90" s="7">
        <v>1</v>
      </c>
      <c r="C90" s="7"/>
      <c r="D90" s="7" t="str">
        <f t="shared" si="21"/>
        <v/>
      </c>
      <c r="E90" s="7"/>
      <c r="F90" s="68">
        <f t="shared" si="18"/>
        <v>0</v>
      </c>
      <c r="G90" s="7" t="s">
        <v>288</v>
      </c>
      <c r="H90" s="7" t="str">
        <f t="shared" si="22"/>
        <v>加速</v>
      </c>
      <c r="I90" s="7">
        <v>1</v>
      </c>
      <c r="J90" s="68">
        <f t="shared" si="23"/>
        <v>35</v>
      </c>
      <c r="K90" s="7"/>
      <c r="L90" s="7" t="str">
        <f t="shared" si="24"/>
        <v/>
      </c>
      <c r="M90" s="7"/>
      <c r="N90" s="68">
        <f t="shared" si="25"/>
        <v>0</v>
      </c>
      <c r="O90" s="76"/>
      <c r="V90" s="2" t="s">
        <v>2475</v>
      </c>
      <c r="W90" s="2">
        <f>[1]宝箱设定!$C$10</f>
        <v>600</v>
      </c>
      <c r="X90" s="2" t="s">
        <v>3031</v>
      </c>
      <c r="Y90" s="257">
        <f t="shared" si="26"/>
        <v>0</v>
      </c>
      <c r="Z90" s="2"/>
      <c r="AB90" s="7" t="str">
        <f t="shared" si="19"/>
        <v>[]</v>
      </c>
      <c r="AC90" s="7" t="str">
        <f t="shared" si="20"/>
        <v>[(100301,1)]</v>
      </c>
    </row>
    <row r="91" spans="1:29" ht="15.75" x14ac:dyDescent="0.3">
      <c r="A91" s="7">
        <v>89</v>
      </c>
      <c r="B91" s="7">
        <v>1</v>
      </c>
      <c r="C91" s="7"/>
      <c r="D91" s="7" t="str">
        <f t="shared" si="21"/>
        <v/>
      </c>
      <c r="E91" s="7"/>
      <c r="F91" s="68">
        <f t="shared" si="18"/>
        <v>0</v>
      </c>
      <c r="G91" s="7" t="s">
        <v>2478</v>
      </c>
      <c r="H91" s="7" t="str">
        <f t="shared" si="22"/>
        <v>宝箱</v>
      </c>
      <c r="I91" s="7">
        <v>1</v>
      </c>
      <c r="J91" s="68">
        <f t="shared" si="23"/>
        <v>600</v>
      </c>
      <c r="K91" s="7"/>
      <c r="L91" s="7" t="str">
        <f t="shared" si="24"/>
        <v/>
      </c>
      <c r="M91" s="7"/>
      <c r="N91" s="68">
        <f t="shared" si="25"/>
        <v>0</v>
      </c>
      <c r="O91" s="76"/>
      <c r="V91" s="2" t="s">
        <v>522</v>
      </c>
      <c r="W91" s="2">
        <f>[1]宝箱设定!$C$10</f>
        <v>600</v>
      </c>
      <c r="X91" s="2" t="s">
        <v>3031</v>
      </c>
      <c r="Y91" s="257">
        <f t="shared" si="26"/>
        <v>2</v>
      </c>
      <c r="Z91" s="2"/>
      <c r="AB91" s="7" t="str">
        <f t="shared" si="19"/>
        <v>[]</v>
      </c>
      <c r="AC91" s="7" t="str">
        <f t="shared" si="20"/>
        <v>[(25154,1)]</v>
      </c>
    </row>
    <row r="92" spans="1:29" ht="15.75" x14ac:dyDescent="0.3">
      <c r="A92" s="70">
        <v>90</v>
      </c>
      <c r="B92" s="7">
        <v>1</v>
      </c>
      <c r="C92" s="70"/>
      <c r="D92" s="7" t="str">
        <f t="shared" si="21"/>
        <v/>
      </c>
      <c r="E92" s="70"/>
      <c r="F92" s="71">
        <f t="shared" si="18"/>
        <v>0</v>
      </c>
      <c r="G92" s="70" t="s">
        <v>2623</v>
      </c>
      <c r="H92" s="7" t="str">
        <f t="shared" si="22"/>
        <v>涂鸦</v>
      </c>
      <c r="I92" s="70">
        <v>1</v>
      </c>
      <c r="J92" s="68">
        <f t="shared" si="23"/>
        <v>500</v>
      </c>
      <c r="K92" s="70" t="s">
        <v>2740</v>
      </c>
      <c r="L92" s="7" t="str">
        <f t="shared" si="24"/>
        <v>涂装</v>
      </c>
      <c r="M92" s="70">
        <v>1</v>
      </c>
      <c r="N92" s="68">
        <f t="shared" si="25"/>
        <v>300</v>
      </c>
      <c r="O92" s="77">
        <f>SUM(N83:N92)+SUM(J83:J92)+SUM(F83:F92)</f>
        <v>1860</v>
      </c>
      <c r="V92" s="2" t="s">
        <v>2476</v>
      </c>
      <c r="W92" s="2">
        <f>[1]宝箱设定!$C$10</f>
        <v>600</v>
      </c>
      <c r="X92" s="2" t="s">
        <v>3031</v>
      </c>
      <c r="Y92" s="257">
        <f t="shared" si="26"/>
        <v>0</v>
      </c>
      <c r="Z92" s="2"/>
      <c r="AB92" s="7" t="str">
        <f t="shared" si="19"/>
        <v>[]</v>
      </c>
      <c r="AC92" s="7" t="str">
        <f t="shared" si="20"/>
        <v>[(150107,1),(180020,1)]</v>
      </c>
    </row>
    <row r="93" spans="1:29" ht="15.75" x14ac:dyDescent="0.3">
      <c r="A93" s="7">
        <v>91</v>
      </c>
      <c r="B93" s="7">
        <v>1</v>
      </c>
      <c r="C93" s="7"/>
      <c r="D93" s="7" t="str">
        <f t="shared" si="21"/>
        <v/>
      </c>
      <c r="E93" s="7"/>
      <c r="F93" s="68">
        <f t="shared" si="18"/>
        <v>0</v>
      </c>
      <c r="G93" s="7" t="s">
        <v>2478</v>
      </c>
      <c r="H93" s="7" t="str">
        <f t="shared" si="22"/>
        <v>宝箱</v>
      </c>
      <c r="I93" s="7">
        <v>1</v>
      </c>
      <c r="J93" s="68">
        <f t="shared" si="23"/>
        <v>600</v>
      </c>
      <c r="K93" s="7"/>
      <c r="L93" s="7" t="str">
        <f t="shared" si="24"/>
        <v/>
      </c>
      <c r="M93" s="7"/>
      <c r="N93" s="68">
        <f t="shared" si="25"/>
        <v>0</v>
      </c>
      <c r="O93" s="76"/>
      <c r="V93" s="2" t="s">
        <v>2478</v>
      </c>
      <c r="W93" s="2">
        <f>[1]宝箱设定!$C$10</f>
        <v>600</v>
      </c>
      <c r="X93" s="2" t="s">
        <v>3031</v>
      </c>
      <c r="Y93" s="257">
        <f t="shared" si="26"/>
        <v>12</v>
      </c>
      <c r="Z93" s="2"/>
      <c r="AB93" s="7" t="str">
        <f t="shared" si="19"/>
        <v>[]</v>
      </c>
      <c r="AC93" s="7" t="str">
        <f t="shared" si="20"/>
        <v>[(25154,1)]</v>
      </c>
    </row>
    <row r="94" spans="1:29" ht="15.75" x14ac:dyDescent="0.3">
      <c r="A94" s="7">
        <v>92</v>
      </c>
      <c r="B94" s="7">
        <v>1</v>
      </c>
      <c r="C94" s="7"/>
      <c r="D94" s="7" t="str">
        <f t="shared" si="21"/>
        <v/>
      </c>
      <c r="E94" s="7"/>
      <c r="F94" s="68">
        <f t="shared" si="18"/>
        <v>0</v>
      </c>
      <c r="G94" s="7" t="s">
        <v>275</v>
      </c>
      <c r="H94" s="7" t="str">
        <f t="shared" si="22"/>
        <v>军费</v>
      </c>
      <c r="I94" s="7">
        <v>625</v>
      </c>
      <c r="J94" s="68">
        <f t="shared" si="23"/>
        <v>12.5</v>
      </c>
      <c r="K94" s="7"/>
      <c r="L94" s="7" t="str">
        <f t="shared" si="24"/>
        <v/>
      </c>
      <c r="M94" s="7"/>
      <c r="N94" s="68">
        <f t="shared" si="25"/>
        <v>0</v>
      </c>
      <c r="O94" s="76"/>
      <c r="V94" s="2" t="s">
        <v>2479</v>
      </c>
      <c r="W94" s="2">
        <f>[1]宝箱设定!$C$10</f>
        <v>600</v>
      </c>
      <c r="X94" s="2" t="s">
        <v>3031</v>
      </c>
      <c r="Y94" s="257">
        <f t="shared" si="26"/>
        <v>0</v>
      </c>
      <c r="Z94" s="2"/>
      <c r="AB94" s="7" t="str">
        <f t="shared" si="19"/>
        <v>[]</v>
      </c>
      <c r="AC94" s="7" t="str">
        <f t="shared" si="20"/>
        <v>[(102,625)]</v>
      </c>
    </row>
    <row r="95" spans="1:29" ht="15.75" x14ac:dyDescent="0.3">
      <c r="A95" s="7">
        <v>93</v>
      </c>
      <c r="B95" s="7">
        <v>1</v>
      </c>
      <c r="C95" s="7"/>
      <c r="D95" s="7" t="str">
        <f t="shared" si="21"/>
        <v/>
      </c>
      <c r="E95" s="69"/>
      <c r="F95" s="68">
        <f t="shared" si="18"/>
        <v>0</v>
      </c>
      <c r="G95" s="7" t="s">
        <v>288</v>
      </c>
      <c r="H95" s="7" t="str">
        <f t="shared" si="22"/>
        <v>加速</v>
      </c>
      <c r="I95" s="7">
        <v>2</v>
      </c>
      <c r="J95" s="68">
        <f t="shared" si="23"/>
        <v>70</v>
      </c>
      <c r="K95" s="7"/>
      <c r="L95" s="7" t="str">
        <f t="shared" si="24"/>
        <v/>
      </c>
      <c r="M95" s="7"/>
      <c r="N95" s="68">
        <f t="shared" si="25"/>
        <v>0</v>
      </c>
      <c r="O95" s="76"/>
      <c r="V95" s="2" t="s">
        <v>2480</v>
      </c>
      <c r="W95" s="2">
        <f>[1]宝箱设定!$C$10</f>
        <v>600</v>
      </c>
      <c r="X95" s="2" t="s">
        <v>3031</v>
      </c>
      <c r="Y95" s="257">
        <f t="shared" si="26"/>
        <v>0</v>
      </c>
      <c r="Z95" s="2"/>
      <c r="AB95" s="7" t="str">
        <f t="shared" si="19"/>
        <v>[]</v>
      </c>
      <c r="AC95" s="7" t="str">
        <f t="shared" si="20"/>
        <v>[(100301,2)]</v>
      </c>
    </row>
    <row r="96" spans="1:29" ht="15.75" x14ac:dyDescent="0.3">
      <c r="A96" s="7">
        <v>94</v>
      </c>
      <c r="B96" s="7">
        <v>1</v>
      </c>
      <c r="C96" s="7"/>
      <c r="D96" s="7" t="str">
        <f t="shared" si="21"/>
        <v/>
      </c>
      <c r="E96" s="7"/>
      <c r="F96" s="68">
        <f t="shared" si="18"/>
        <v>0</v>
      </c>
      <c r="G96" s="7" t="s">
        <v>2705</v>
      </c>
      <c r="H96" s="7" t="str">
        <f t="shared" si="22"/>
        <v>流光</v>
      </c>
      <c r="I96" s="7">
        <v>1</v>
      </c>
      <c r="J96" s="68">
        <f t="shared" si="23"/>
        <v>300</v>
      </c>
      <c r="K96" s="7"/>
      <c r="L96" s="7" t="str">
        <f t="shared" si="24"/>
        <v/>
      </c>
      <c r="M96" s="7"/>
      <c r="N96" s="68">
        <f t="shared" si="25"/>
        <v>0</v>
      </c>
      <c r="O96" s="76"/>
      <c r="V96" s="2" t="s">
        <v>2481</v>
      </c>
      <c r="W96" s="2">
        <f>[1]宝箱设定!$C$10</f>
        <v>600</v>
      </c>
      <c r="X96" s="2" t="s">
        <v>3031</v>
      </c>
      <c r="Y96" s="257">
        <f t="shared" si="26"/>
        <v>0</v>
      </c>
      <c r="Z96" s="2"/>
      <c r="AB96" s="7" t="str">
        <f t="shared" si="19"/>
        <v>[]</v>
      </c>
      <c r="AC96" s="7" t="str">
        <f t="shared" si="20"/>
        <v>[(190003,1)]</v>
      </c>
    </row>
    <row r="97" spans="1:29" ht="15.75" x14ac:dyDescent="0.3">
      <c r="A97" s="7">
        <v>95</v>
      </c>
      <c r="B97" s="7">
        <v>1</v>
      </c>
      <c r="C97" s="7"/>
      <c r="D97" s="7" t="str">
        <f t="shared" si="21"/>
        <v/>
      </c>
      <c r="E97" s="7"/>
      <c r="F97" s="68">
        <f t="shared" si="18"/>
        <v>0</v>
      </c>
      <c r="G97" s="7" t="s">
        <v>275</v>
      </c>
      <c r="H97" s="7" t="str">
        <f t="shared" si="22"/>
        <v>军费</v>
      </c>
      <c r="I97" s="7">
        <v>800</v>
      </c>
      <c r="J97" s="68">
        <f t="shared" si="23"/>
        <v>16</v>
      </c>
      <c r="K97" s="7"/>
      <c r="L97" s="7" t="str">
        <f t="shared" si="24"/>
        <v/>
      </c>
      <c r="M97" s="7"/>
      <c r="N97" s="68">
        <f t="shared" si="25"/>
        <v>0</v>
      </c>
      <c r="O97" s="76"/>
      <c r="V97" s="2" t="s">
        <v>2482</v>
      </c>
      <c r="W97" s="2">
        <f>[1]宝箱设定!$C$10</f>
        <v>600</v>
      </c>
      <c r="X97" s="2" t="s">
        <v>3031</v>
      </c>
      <c r="Y97" s="257">
        <f t="shared" si="26"/>
        <v>0</v>
      </c>
      <c r="Z97" s="2"/>
      <c r="AB97" s="7" t="str">
        <f t="shared" si="19"/>
        <v>[]</v>
      </c>
      <c r="AC97" s="7" t="str">
        <f t="shared" si="20"/>
        <v>[(102,800)]</v>
      </c>
    </row>
    <row r="98" spans="1:29" ht="15.75" x14ac:dyDescent="0.3">
      <c r="A98" s="7">
        <v>96</v>
      </c>
      <c r="B98" s="7">
        <v>1</v>
      </c>
      <c r="C98" s="7"/>
      <c r="D98" s="7" t="str">
        <f t="shared" si="21"/>
        <v/>
      </c>
      <c r="E98" s="7"/>
      <c r="F98" s="68">
        <f t="shared" si="18"/>
        <v>0</v>
      </c>
      <c r="G98" s="7" t="s">
        <v>325</v>
      </c>
      <c r="H98" s="7" t="str">
        <f t="shared" si="22"/>
        <v>钻石</v>
      </c>
      <c r="I98" s="7">
        <v>150</v>
      </c>
      <c r="J98" s="68">
        <f t="shared" si="23"/>
        <v>150</v>
      </c>
      <c r="K98" s="7"/>
      <c r="L98" s="7" t="str">
        <f t="shared" si="24"/>
        <v/>
      </c>
      <c r="M98" s="7"/>
      <c r="N98" s="68">
        <f t="shared" si="25"/>
        <v>0</v>
      </c>
      <c r="O98" s="76"/>
      <c r="V98" s="2" t="s">
        <v>2483</v>
      </c>
      <c r="W98" s="2">
        <f>[1]宝箱设定!$C$10</f>
        <v>600</v>
      </c>
      <c r="X98" s="2" t="s">
        <v>3031</v>
      </c>
      <c r="Y98" s="257">
        <f t="shared" si="26"/>
        <v>0</v>
      </c>
      <c r="Z98" s="2"/>
      <c r="AB98" s="7" t="str">
        <f t="shared" si="19"/>
        <v>[]</v>
      </c>
      <c r="AC98" s="7" t="str">
        <f t="shared" si="20"/>
        <v>[(101,150)]</v>
      </c>
    </row>
    <row r="99" spans="1:29" ht="15.75" x14ac:dyDescent="0.3">
      <c r="A99" s="7">
        <v>97</v>
      </c>
      <c r="B99" s="7">
        <v>1</v>
      </c>
      <c r="C99" s="7"/>
      <c r="D99" s="7" t="str">
        <f t="shared" si="21"/>
        <v/>
      </c>
      <c r="E99" s="7"/>
      <c r="F99" s="68">
        <f t="shared" ref="F99:F162" si="27">IF(C99="",0,VLOOKUP(C99,$V:$W,2,FALSE)*E99)</f>
        <v>0</v>
      </c>
      <c r="G99" s="7" t="s">
        <v>2707</v>
      </c>
      <c r="H99" s="7" t="str">
        <f t="shared" si="22"/>
        <v>BattlePass货币</v>
      </c>
      <c r="I99" s="7">
        <v>100</v>
      </c>
      <c r="J99" s="68">
        <f t="shared" si="23"/>
        <v>140</v>
      </c>
      <c r="K99" s="7"/>
      <c r="L99" s="7" t="str">
        <f t="shared" si="24"/>
        <v/>
      </c>
      <c r="M99" s="7"/>
      <c r="N99" s="68">
        <f t="shared" si="25"/>
        <v>0</v>
      </c>
      <c r="O99" s="76"/>
      <c r="V99" s="2" t="s">
        <v>2484</v>
      </c>
      <c r="W99" s="2">
        <f>[1]宝箱设定!$C$10</f>
        <v>600</v>
      </c>
      <c r="X99" s="2" t="s">
        <v>3031</v>
      </c>
      <c r="Y99" s="257">
        <f t="shared" si="26"/>
        <v>0</v>
      </c>
      <c r="Z99" s="2"/>
      <c r="AB99" s="7" t="str">
        <f t="shared" si="19"/>
        <v>[]</v>
      </c>
      <c r="AC99" s="7" t="str">
        <f t="shared" si="20"/>
        <v>[(113,100)]</v>
      </c>
    </row>
    <row r="100" spans="1:29" ht="15.75" x14ac:dyDescent="0.3">
      <c r="A100" s="7">
        <v>98</v>
      </c>
      <c r="B100" s="7">
        <v>1</v>
      </c>
      <c r="C100" s="7"/>
      <c r="D100" s="7" t="str">
        <f t="shared" si="21"/>
        <v/>
      </c>
      <c r="E100" s="7"/>
      <c r="F100" s="68">
        <f t="shared" si="27"/>
        <v>0</v>
      </c>
      <c r="G100" s="7" t="s">
        <v>325</v>
      </c>
      <c r="H100" s="7" t="str">
        <f t="shared" si="22"/>
        <v>钻石</v>
      </c>
      <c r="I100" s="7">
        <v>150</v>
      </c>
      <c r="J100" s="68">
        <f t="shared" si="23"/>
        <v>150</v>
      </c>
      <c r="K100" s="7"/>
      <c r="L100" s="7" t="str">
        <f t="shared" si="24"/>
        <v/>
      </c>
      <c r="M100" s="7"/>
      <c r="N100" s="68">
        <f t="shared" si="25"/>
        <v>0</v>
      </c>
      <c r="O100" s="76"/>
      <c r="V100" s="2" t="s">
        <v>2414</v>
      </c>
      <c r="W100" s="2">
        <f>[1]宝箱设定!C$13</f>
        <v>100</v>
      </c>
      <c r="X100" s="2" t="s">
        <v>3031</v>
      </c>
      <c r="Y100" s="257">
        <f t="shared" si="26"/>
        <v>0</v>
      </c>
      <c r="Z100" s="2"/>
      <c r="AB100" s="7" t="str">
        <f t="shared" si="19"/>
        <v>[]</v>
      </c>
      <c r="AC100" s="7" t="str">
        <f t="shared" si="20"/>
        <v>[(101,150)]</v>
      </c>
    </row>
    <row r="101" spans="1:29" ht="15.75" x14ac:dyDescent="0.3">
      <c r="A101" s="7">
        <v>99</v>
      </c>
      <c r="B101" s="7">
        <v>1</v>
      </c>
      <c r="C101" s="7"/>
      <c r="D101" s="7" t="str">
        <f t="shared" si="21"/>
        <v/>
      </c>
      <c r="E101" s="69"/>
      <c r="F101" s="68">
        <f t="shared" si="27"/>
        <v>0</v>
      </c>
      <c r="G101" s="7" t="s">
        <v>2478</v>
      </c>
      <c r="H101" s="7" t="str">
        <f t="shared" si="22"/>
        <v>宝箱</v>
      </c>
      <c r="I101" s="7">
        <v>1</v>
      </c>
      <c r="J101" s="68">
        <f t="shared" si="23"/>
        <v>600</v>
      </c>
      <c r="K101" s="7"/>
      <c r="L101" s="7" t="str">
        <f t="shared" si="24"/>
        <v/>
      </c>
      <c r="M101" s="7"/>
      <c r="N101" s="68">
        <f t="shared" si="25"/>
        <v>0</v>
      </c>
      <c r="O101" s="76"/>
      <c r="V101" s="2" t="s">
        <v>521</v>
      </c>
      <c r="W101" s="2">
        <f>[1]宝箱设定!C$13</f>
        <v>100</v>
      </c>
      <c r="X101" s="2" t="s">
        <v>3031</v>
      </c>
      <c r="Y101" s="257">
        <f t="shared" si="26"/>
        <v>0</v>
      </c>
      <c r="Z101" s="2"/>
      <c r="AB101" s="7" t="str">
        <f t="shared" si="19"/>
        <v>[]</v>
      </c>
      <c r="AC101" s="7" t="str">
        <f t="shared" si="20"/>
        <v>[(25154,1)]</v>
      </c>
    </row>
    <row r="102" spans="1:29" ht="15.75" x14ac:dyDescent="0.3">
      <c r="A102" s="70">
        <v>100</v>
      </c>
      <c r="B102" s="7">
        <v>1</v>
      </c>
      <c r="C102" s="70"/>
      <c r="D102" s="7" t="str">
        <f t="shared" si="21"/>
        <v/>
      </c>
      <c r="E102" s="94"/>
      <c r="F102" s="71">
        <f t="shared" si="27"/>
        <v>0</v>
      </c>
      <c r="G102" s="70" t="s">
        <v>2637</v>
      </c>
      <c r="H102" s="7" t="str">
        <f t="shared" si="22"/>
        <v>头像框</v>
      </c>
      <c r="I102" s="70">
        <v>1</v>
      </c>
      <c r="J102" s="68">
        <f t="shared" si="23"/>
        <v>600</v>
      </c>
      <c r="K102" s="70" t="s">
        <v>2742</v>
      </c>
      <c r="L102" s="7" t="str">
        <f t="shared" si="24"/>
        <v>涂装</v>
      </c>
      <c r="M102" s="70">
        <v>1</v>
      </c>
      <c r="N102" s="68">
        <f t="shared" si="25"/>
        <v>500</v>
      </c>
      <c r="O102" s="77">
        <f>SUM(N93:N102)+SUM(J93:J102)+SUM(F93:F102)</f>
        <v>3138.5</v>
      </c>
      <c r="V102" s="2" t="s">
        <v>2416</v>
      </c>
      <c r="W102" s="2">
        <f>[1]宝箱设定!C$13</f>
        <v>100</v>
      </c>
      <c r="X102" s="2" t="s">
        <v>3031</v>
      </c>
      <c r="Y102" s="257">
        <f t="shared" si="26"/>
        <v>0</v>
      </c>
      <c r="Z102" s="2"/>
      <c r="AB102" s="7" t="str">
        <f t="shared" si="19"/>
        <v>[]</v>
      </c>
      <c r="AC102" s="7" t="str">
        <f t="shared" si="20"/>
        <v>[(130108,1),(180021,1)]</v>
      </c>
    </row>
    <row r="103" spans="1:29" ht="15.75" x14ac:dyDescent="0.3">
      <c r="A103" s="18">
        <v>1</v>
      </c>
      <c r="B103" s="18">
        <v>2</v>
      </c>
      <c r="C103" s="7" t="s">
        <v>275</v>
      </c>
      <c r="D103" s="7" t="str">
        <f>IF(C103="","",VLOOKUP(C103,$V:$X,3,FALSE))</f>
        <v>军费</v>
      </c>
      <c r="E103" s="7">
        <v>30</v>
      </c>
      <c r="F103" s="68">
        <f t="shared" si="27"/>
        <v>0.6</v>
      </c>
      <c r="G103" s="7" t="s">
        <v>641</v>
      </c>
      <c r="H103" s="7" t="str">
        <f>IF(G103="","",VLOOKUP(G103,$V:$X,3,FALSE))</f>
        <v>坦克</v>
      </c>
      <c r="I103" s="7">
        <v>1</v>
      </c>
      <c r="J103" s="68">
        <f>IF(G103="",0,VLOOKUP(G103,$V:$W,2,FALSE)*I103)</f>
        <v>2400</v>
      </c>
      <c r="K103" s="7" t="s">
        <v>2834</v>
      </c>
      <c r="L103" s="7" t="str">
        <f>IF(K103="","",VLOOKUP(K103,$V:$X,3,FALSE))</f>
        <v>摆件</v>
      </c>
      <c r="M103" s="7">
        <v>1</v>
      </c>
      <c r="N103" s="68">
        <f>IF(K103="",0,VLOOKUP(K103,$V:$W,2,FALSE)*M103)</f>
        <v>300</v>
      </c>
      <c r="O103" s="76"/>
      <c r="Q103" s="81"/>
      <c r="R103" s="82" t="s">
        <v>1824</v>
      </c>
      <c r="S103" s="83" t="s">
        <v>714</v>
      </c>
      <c r="T103" s="83" t="s">
        <v>715</v>
      </c>
      <c r="V103" s="2" t="s">
        <v>529</v>
      </c>
      <c r="W103" s="2">
        <f>[1]宝箱设定!C$13</f>
        <v>100</v>
      </c>
      <c r="X103" s="2" t="s">
        <v>3031</v>
      </c>
      <c r="Y103" s="257">
        <f t="shared" si="26"/>
        <v>4</v>
      </c>
      <c r="Z103" s="2"/>
      <c r="AB103" s="7" t="str">
        <f t="shared" ref="AB103:AB131" si="28">IF(C103="","[]","["&amp;"("&amp;VLOOKUP(C103,道具ID,2,FALSE)&amp;","&amp;E103&amp;")"&amp;"]")</f>
        <v>[(102,30)]</v>
      </c>
      <c r="AC103" s="7" t="str">
        <f t="shared" ref="AC103:AC131" si="29">IF(G103="","[]",IF(K103="","["&amp;"("&amp;VLOOKUP(G103,道具ID,2,FALSE)&amp;","&amp;I103&amp;")"&amp;"]","["&amp;"("&amp;VLOOKUP(G103,道具ID,2,FALSE)&amp;","&amp;I103&amp;")"&amp;","&amp;"("&amp;VLOOKUP(K103,道具ID,2,FALSE)&amp;","&amp;M103&amp;")"&amp;"]"))</f>
        <v>[(12331,1),(110109,1)]</v>
      </c>
    </row>
    <row r="104" spans="1:29" ht="15.75" x14ac:dyDescent="0.3">
      <c r="A104" s="18">
        <v>2</v>
      </c>
      <c r="B104" s="18">
        <v>2</v>
      </c>
      <c r="C104" s="7" t="s">
        <v>2798</v>
      </c>
      <c r="D104" s="7" t="str">
        <f t="shared" ref="D104:D167" si="30">IF(C104="","",VLOOKUP(C104,$V:$X,3,FALSE))</f>
        <v>头像</v>
      </c>
      <c r="E104" s="7">
        <v>1</v>
      </c>
      <c r="F104" s="68">
        <f t="shared" si="27"/>
        <v>200</v>
      </c>
      <c r="G104" s="7" t="s">
        <v>325</v>
      </c>
      <c r="H104" s="7" t="str">
        <f t="shared" ref="H104:H167" si="31">IF(G104="","",VLOOKUP(G104,$V:$X,3,FALSE))</f>
        <v>钻石</v>
      </c>
      <c r="I104" s="7">
        <v>20</v>
      </c>
      <c r="J104" s="68">
        <f t="shared" ref="J104:J167" si="32">IF(G104="",0,VLOOKUP(G104,$V:$W,2,FALSE)*I104)</f>
        <v>20</v>
      </c>
      <c r="K104" s="7"/>
      <c r="L104" s="7" t="str">
        <f t="shared" ref="L104:L167" si="33">IF(K104="","",VLOOKUP(K104,$V:$X,3,FALSE))</f>
        <v/>
      </c>
      <c r="M104" s="7"/>
      <c r="N104" s="68">
        <f t="shared" ref="N104:N167" si="34">IF(K104="",0,VLOOKUP(K104,$V:$W,2,FALSE)*M104)</f>
        <v>0</v>
      </c>
      <c r="O104" s="76"/>
      <c r="Q104" s="7" t="s">
        <v>3014</v>
      </c>
      <c r="R104" s="76">
        <f>SUMIFS(F:F,B:B,2)</f>
        <v>4018.7000000000003</v>
      </c>
      <c r="S104" s="85">
        <f>R104/VLOOKUP(1,道具价值!$B$74:$E$80,4,FALSE)</f>
        <v>53.404057777777787</v>
      </c>
      <c r="T104" s="85">
        <f>R104/VLOOKUP(6,道具价值!$B$74:$E$80,4,FALSE)</f>
        <v>40.182981300000002</v>
      </c>
      <c r="V104" s="2" t="s">
        <v>2417</v>
      </c>
      <c r="W104" s="2">
        <f>[1]宝箱设定!C$13</f>
        <v>100</v>
      </c>
      <c r="X104" s="2" t="s">
        <v>3031</v>
      </c>
      <c r="Y104" s="257">
        <f t="shared" si="26"/>
        <v>2</v>
      </c>
      <c r="Z104" s="2"/>
      <c r="AB104" s="7" t="str">
        <f t="shared" si="28"/>
        <v>[(140123,1)]</v>
      </c>
      <c r="AC104" s="7" t="str">
        <f t="shared" si="29"/>
        <v>[(101,20)]</v>
      </c>
    </row>
    <row r="105" spans="1:29" ht="15.75" x14ac:dyDescent="0.3">
      <c r="A105" s="18">
        <v>3</v>
      </c>
      <c r="B105" s="18">
        <v>2</v>
      </c>
      <c r="C105" s="7" t="s">
        <v>325</v>
      </c>
      <c r="D105" s="7" t="str">
        <f t="shared" si="30"/>
        <v>钻石</v>
      </c>
      <c r="E105" s="7">
        <v>20</v>
      </c>
      <c r="F105" s="68">
        <f t="shared" si="27"/>
        <v>20</v>
      </c>
      <c r="G105" s="7" t="s">
        <v>2707</v>
      </c>
      <c r="H105" s="7" t="str">
        <f t="shared" si="31"/>
        <v>BattlePass货币</v>
      </c>
      <c r="I105" s="7">
        <v>20</v>
      </c>
      <c r="J105" s="68">
        <f t="shared" si="32"/>
        <v>28</v>
      </c>
      <c r="K105" s="7" t="s">
        <v>275</v>
      </c>
      <c r="L105" s="7" t="str">
        <f t="shared" si="33"/>
        <v>军费</v>
      </c>
      <c r="M105" s="7">
        <v>250</v>
      </c>
      <c r="N105" s="68">
        <f t="shared" si="34"/>
        <v>5</v>
      </c>
      <c r="O105" s="76"/>
      <c r="Q105" s="7" t="s">
        <v>3015</v>
      </c>
      <c r="R105" s="76">
        <f>SUMIFS(J:J,B:B,2)+SUMIFS(N:N,B:B,2)</f>
        <v>26626</v>
      </c>
      <c r="S105" s="86">
        <f>R105/VLOOKUP(1,道具价值!$B$74:$E$80,4,FALSE)</f>
        <v>353.82995555555561</v>
      </c>
      <c r="T105" s="86">
        <f>R105/VLOOKUP(6,道具价值!$B$74:$E$80,4,FALSE)</f>
        <v>266.23337399999997</v>
      </c>
      <c r="V105" s="2" t="s">
        <v>537</v>
      </c>
      <c r="W105" s="2">
        <f>[1]宝箱设定!C$13</f>
        <v>100</v>
      </c>
      <c r="X105" s="2" t="s">
        <v>3031</v>
      </c>
      <c r="Y105" s="257">
        <f t="shared" si="26"/>
        <v>0</v>
      </c>
      <c r="Z105" s="2"/>
      <c r="AB105" s="7" t="str">
        <f t="shared" si="28"/>
        <v>[(101,20)]</v>
      </c>
      <c r="AC105" s="7" t="str">
        <f t="shared" si="29"/>
        <v>[(113,20),(102,250)]</v>
      </c>
    </row>
    <row r="106" spans="1:29" ht="15.75" x14ac:dyDescent="0.3">
      <c r="A106" s="18">
        <v>4</v>
      </c>
      <c r="B106" s="18">
        <v>2</v>
      </c>
      <c r="C106" s="7" t="s">
        <v>2454</v>
      </c>
      <c r="D106" s="7" t="str">
        <f t="shared" si="30"/>
        <v>宝箱</v>
      </c>
      <c r="E106" s="69">
        <v>1</v>
      </c>
      <c r="F106" s="68">
        <f t="shared" si="27"/>
        <v>200</v>
      </c>
      <c r="G106" s="7" t="s">
        <v>2689</v>
      </c>
      <c r="H106" s="7" t="str">
        <f t="shared" si="31"/>
        <v>涂装</v>
      </c>
      <c r="I106" s="7">
        <v>1</v>
      </c>
      <c r="J106" s="68">
        <f t="shared" si="32"/>
        <v>200</v>
      </c>
      <c r="K106" s="7"/>
      <c r="L106" s="7" t="str">
        <f t="shared" si="33"/>
        <v/>
      </c>
      <c r="M106" s="7"/>
      <c r="N106" s="68">
        <f t="shared" si="34"/>
        <v>0</v>
      </c>
      <c r="O106" s="76"/>
      <c r="Q106" s="7" t="s">
        <v>3016</v>
      </c>
      <c r="R106" s="76">
        <f>R104+R105</f>
        <v>30644.7</v>
      </c>
      <c r="S106" s="86">
        <f>R106/VLOOKUP(1,道具价值!$B$74:$E$80,4,FALSE)</f>
        <v>407.23401333333339</v>
      </c>
      <c r="T106" s="86">
        <f>R106/VLOOKUP(6,道具价值!$B$74:$E$80,4,FALSE)</f>
        <v>306.41635529999996</v>
      </c>
      <c r="V106" s="2" t="s">
        <v>542</v>
      </c>
      <c r="W106" s="2">
        <f>[1]宝箱设定!C$13</f>
        <v>100</v>
      </c>
      <c r="X106" s="2" t="s">
        <v>3031</v>
      </c>
      <c r="Y106" s="257">
        <f t="shared" si="26"/>
        <v>2</v>
      </c>
      <c r="Z106" s="2"/>
      <c r="AB106" s="7" t="str">
        <f t="shared" si="28"/>
        <v>[(25052,1)]</v>
      </c>
      <c r="AC106" s="7" t="str">
        <f t="shared" si="29"/>
        <v>[(180009,1)]</v>
      </c>
    </row>
    <row r="107" spans="1:29" ht="15.75" x14ac:dyDescent="0.3">
      <c r="A107" s="18">
        <v>5</v>
      </c>
      <c r="B107" s="18">
        <v>2</v>
      </c>
      <c r="C107" s="7" t="s">
        <v>2830</v>
      </c>
      <c r="D107" s="7" t="str">
        <f t="shared" si="30"/>
        <v>摆件</v>
      </c>
      <c r="E107" s="7">
        <v>1</v>
      </c>
      <c r="F107" s="68">
        <f t="shared" si="27"/>
        <v>300</v>
      </c>
      <c r="G107" s="7" t="s">
        <v>1956</v>
      </c>
      <c r="H107" s="7" t="str">
        <f t="shared" si="31"/>
        <v>坦克碎片</v>
      </c>
      <c r="I107" s="7">
        <v>6</v>
      </c>
      <c r="J107" s="68">
        <f t="shared" si="32"/>
        <v>600</v>
      </c>
      <c r="K107" s="7"/>
      <c r="L107" s="7" t="str">
        <f t="shared" si="33"/>
        <v/>
      </c>
      <c r="M107" s="7">
        <v>1</v>
      </c>
      <c r="N107" s="68">
        <f t="shared" si="34"/>
        <v>0</v>
      </c>
      <c r="O107" s="76"/>
      <c r="Q107" s="7" t="s">
        <v>3017</v>
      </c>
      <c r="R107" s="76">
        <v>11</v>
      </c>
      <c r="S107" s="85"/>
      <c r="T107" s="85"/>
      <c r="V107" s="2" t="s">
        <v>2418</v>
      </c>
      <c r="W107" s="2">
        <f>[1]宝箱设定!C$13</f>
        <v>100</v>
      </c>
      <c r="X107" s="2" t="s">
        <v>3031</v>
      </c>
      <c r="Y107" s="257">
        <f t="shared" si="26"/>
        <v>0</v>
      </c>
      <c r="Z107" s="2"/>
      <c r="AB107" s="7" t="str">
        <f t="shared" si="28"/>
        <v>[(110107,1)]</v>
      </c>
      <c r="AC107" s="7" t="str">
        <f t="shared" si="29"/>
        <v>[(52331,6)]</v>
      </c>
    </row>
    <row r="108" spans="1:29" ht="15.75" x14ac:dyDescent="0.3">
      <c r="A108" s="18">
        <v>6</v>
      </c>
      <c r="B108" s="18">
        <v>2</v>
      </c>
      <c r="C108" s="7" t="s">
        <v>2826</v>
      </c>
      <c r="D108" s="7" t="str">
        <f t="shared" si="30"/>
        <v>涂鸦</v>
      </c>
      <c r="E108" s="7">
        <v>1</v>
      </c>
      <c r="F108" s="68">
        <f t="shared" si="27"/>
        <v>300</v>
      </c>
      <c r="G108" s="7" t="s">
        <v>2824</v>
      </c>
      <c r="H108" s="7" t="str">
        <f t="shared" si="31"/>
        <v>涂鸦</v>
      </c>
      <c r="I108" s="7">
        <v>1</v>
      </c>
      <c r="J108" s="68">
        <f t="shared" si="32"/>
        <v>300</v>
      </c>
      <c r="K108" s="7"/>
      <c r="L108" s="7" t="str">
        <f t="shared" si="33"/>
        <v/>
      </c>
      <c r="M108" s="7"/>
      <c r="N108" s="68">
        <f t="shared" si="34"/>
        <v>0</v>
      </c>
      <c r="O108" s="76"/>
      <c r="Q108" s="7" t="s">
        <v>3018</v>
      </c>
      <c r="R108" s="76">
        <f>SUMIFS(F:F,A:A,"&lt;="&amp;R107,B:B,2)+SUMIFS(J:J,A:A,"&lt;="&amp;R107,B:B,2)+SUMIFS(N:N,A:A,"&lt;="&amp;R107,B:B,2)</f>
        <v>6897.3</v>
      </c>
      <c r="S108" s="85">
        <f>R108/VLOOKUP(1,道具价值!$B$74:$E$80,4,FALSE)</f>
        <v>91.657453333333351</v>
      </c>
      <c r="T108" s="85">
        <f>R108/VLOOKUP(6,道具价值!$B$74:$E$80,4,FALSE)</f>
        <v>68.966102699999993</v>
      </c>
      <c r="V108" s="2" t="s">
        <v>2419</v>
      </c>
      <c r="W108" s="2">
        <f>[1]宝箱设定!C$13</f>
        <v>100</v>
      </c>
      <c r="X108" s="2" t="s">
        <v>3031</v>
      </c>
      <c r="Y108" s="257">
        <f t="shared" si="26"/>
        <v>0</v>
      </c>
      <c r="Z108" s="2"/>
      <c r="AB108" s="7" t="str">
        <f t="shared" si="28"/>
        <v>[(150111,1)]</v>
      </c>
      <c r="AC108" s="7" t="str">
        <f t="shared" si="29"/>
        <v>[(150110,1)]</v>
      </c>
    </row>
    <row r="109" spans="1:29" ht="15.75" x14ac:dyDescent="0.3">
      <c r="A109" s="18">
        <v>7</v>
      </c>
      <c r="B109" s="18">
        <v>2</v>
      </c>
      <c r="C109" s="7" t="s">
        <v>275</v>
      </c>
      <c r="D109" s="7" t="str">
        <f t="shared" si="30"/>
        <v>军费</v>
      </c>
      <c r="E109" s="7">
        <v>60</v>
      </c>
      <c r="F109" s="68">
        <f t="shared" si="27"/>
        <v>1.2</v>
      </c>
      <c r="G109" s="7" t="s">
        <v>325</v>
      </c>
      <c r="H109" s="7" t="str">
        <f t="shared" si="31"/>
        <v>钻石</v>
      </c>
      <c r="I109" s="7">
        <v>20</v>
      </c>
      <c r="J109" s="68">
        <f t="shared" si="32"/>
        <v>20</v>
      </c>
      <c r="K109" s="7"/>
      <c r="L109" s="7" t="str">
        <f t="shared" si="33"/>
        <v/>
      </c>
      <c r="M109" s="7"/>
      <c r="N109" s="68">
        <f t="shared" si="34"/>
        <v>0</v>
      </c>
      <c r="O109" s="76"/>
      <c r="Q109" s="7" t="s">
        <v>3019</v>
      </c>
      <c r="R109" s="14">
        <f>R108/R106</f>
        <v>0.22507317741730218</v>
      </c>
      <c r="S109" s="87">
        <f t="shared" ref="S109:T109" si="35">S108/S106</f>
        <v>0.22507317741730218</v>
      </c>
      <c r="T109" s="87">
        <f t="shared" si="35"/>
        <v>0.22507317741730218</v>
      </c>
      <c r="V109" s="2" t="s">
        <v>2420</v>
      </c>
      <c r="W109" s="2">
        <f>[1]宝箱设定!C$13</f>
        <v>100</v>
      </c>
      <c r="X109" s="2" t="s">
        <v>3031</v>
      </c>
      <c r="Y109" s="257">
        <f t="shared" si="26"/>
        <v>0</v>
      </c>
      <c r="Z109" s="2"/>
      <c r="AB109" s="7" t="str">
        <f t="shared" si="28"/>
        <v>[(102,60)]</v>
      </c>
      <c r="AC109" s="7" t="str">
        <f t="shared" si="29"/>
        <v>[(101,20)]</v>
      </c>
    </row>
    <row r="110" spans="1:29" ht="15.75" x14ac:dyDescent="0.3">
      <c r="A110" s="18">
        <v>8</v>
      </c>
      <c r="B110" s="18">
        <v>2</v>
      </c>
      <c r="C110" s="7" t="s">
        <v>2679</v>
      </c>
      <c r="D110" s="7" t="str">
        <f t="shared" si="30"/>
        <v>涂装</v>
      </c>
      <c r="E110" s="7">
        <v>1</v>
      </c>
      <c r="F110" s="68">
        <f t="shared" si="27"/>
        <v>200</v>
      </c>
      <c r="G110" s="7" t="s">
        <v>2820</v>
      </c>
      <c r="H110" s="7" t="str">
        <f t="shared" si="31"/>
        <v>头像框</v>
      </c>
      <c r="I110" s="7">
        <v>1</v>
      </c>
      <c r="J110" s="68">
        <f t="shared" si="32"/>
        <v>300</v>
      </c>
      <c r="K110" s="7" t="s">
        <v>2651</v>
      </c>
      <c r="L110" s="7" t="str">
        <f t="shared" si="33"/>
        <v>战旗</v>
      </c>
      <c r="M110" s="7">
        <v>1</v>
      </c>
      <c r="N110" s="68">
        <f t="shared" si="34"/>
        <v>100</v>
      </c>
      <c r="O110" s="76"/>
      <c r="Q110" s="13" t="s">
        <v>2954</v>
      </c>
      <c r="R110" s="76">
        <v>70</v>
      </c>
      <c r="S110" s="85"/>
      <c r="T110" s="85"/>
      <c r="V110" s="2" t="s">
        <v>2505</v>
      </c>
      <c r="W110" s="2">
        <f>[1]宝箱设定!$C$11</f>
        <v>2000</v>
      </c>
      <c r="X110" s="2" t="s">
        <v>3031</v>
      </c>
      <c r="Y110" s="257">
        <f t="shared" si="26"/>
        <v>0</v>
      </c>
      <c r="Z110" s="2"/>
      <c r="AB110" s="7" t="str">
        <f t="shared" si="28"/>
        <v>[(180004,1)]</v>
      </c>
      <c r="AC110" s="7" t="str">
        <f t="shared" si="29"/>
        <v>[(130120,1),(120102,1)]</v>
      </c>
    </row>
    <row r="111" spans="1:29" ht="15.75" x14ac:dyDescent="0.3">
      <c r="A111" s="18">
        <v>9</v>
      </c>
      <c r="B111" s="18">
        <v>2</v>
      </c>
      <c r="C111" s="7" t="s">
        <v>280</v>
      </c>
      <c r="D111" s="7" t="str">
        <f t="shared" si="30"/>
        <v>钥匙</v>
      </c>
      <c r="E111" s="7">
        <v>20</v>
      </c>
      <c r="F111" s="68">
        <f t="shared" si="27"/>
        <v>25</v>
      </c>
      <c r="G111" s="7" t="s">
        <v>522</v>
      </c>
      <c r="H111" s="7" t="str">
        <f t="shared" si="31"/>
        <v>宝箱</v>
      </c>
      <c r="I111" s="7">
        <v>1</v>
      </c>
      <c r="J111" s="68">
        <f t="shared" si="32"/>
        <v>600</v>
      </c>
      <c r="K111" s="7"/>
      <c r="L111" s="7" t="str">
        <f t="shared" si="33"/>
        <v/>
      </c>
      <c r="M111" s="7"/>
      <c r="N111" s="68">
        <f t="shared" si="34"/>
        <v>0</v>
      </c>
      <c r="O111" s="76"/>
      <c r="Q111" s="13" t="s">
        <v>2946</v>
      </c>
      <c r="R111" s="76">
        <f>R106/R110</f>
        <v>437.78142857142859</v>
      </c>
      <c r="S111" s="88">
        <f>R111/VLOOKUP(1,道具价值!$B$74:$E$80,4,FALSE)</f>
        <v>5.8176287619047624</v>
      </c>
      <c r="T111" s="88">
        <f>R111/VLOOKUP(6,道具价值!$B$74:$E$80,4,FALSE)</f>
        <v>4.3773765042857145</v>
      </c>
      <c r="V111" s="2" t="s">
        <v>2707</v>
      </c>
      <c r="W111" s="2">
        <v>1.4</v>
      </c>
      <c r="X111" s="2" t="s">
        <v>2707</v>
      </c>
      <c r="Y111" s="257">
        <f t="shared" si="26"/>
        <v>1200</v>
      </c>
      <c r="Z111" s="2"/>
      <c r="AB111" s="7" t="str">
        <f t="shared" si="28"/>
        <v>[(105,20)]</v>
      </c>
      <c r="AC111" s="7" t="str">
        <f t="shared" si="29"/>
        <v>[(25152,1)]</v>
      </c>
    </row>
    <row r="112" spans="1:29" ht="15.75" x14ac:dyDescent="0.3">
      <c r="A112" s="18">
        <v>10</v>
      </c>
      <c r="B112" s="18">
        <v>2</v>
      </c>
      <c r="C112" s="70" t="s">
        <v>1956</v>
      </c>
      <c r="D112" s="7" t="str">
        <f t="shared" si="30"/>
        <v>坦克碎片</v>
      </c>
      <c r="E112" s="70">
        <v>3</v>
      </c>
      <c r="F112" s="71">
        <f t="shared" si="27"/>
        <v>300</v>
      </c>
      <c r="G112" s="70" t="s">
        <v>2836</v>
      </c>
      <c r="H112" s="7" t="str">
        <f t="shared" si="31"/>
        <v>流光</v>
      </c>
      <c r="I112" s="70">
        <v>1</v>
      </c>
      <c r="J112" s="68">
        <f t="shared" si="32"/>
        <v>300</v>
      </c>
      <c r="K112" s="70" t="s">
        <v>2661</v>
      </c>
      <c r="L112" s="7" t="str">
        <f t="shared" si="33"/>
        <v>战旗</v>
      </c>
      <c r="M112" s="70">
        <v>1</v>
      </c>
      <c r="N112" s="68">
        <f t="shared" si="34"/>
        <v>150</v>
      </c>
      <c r="O112" s="77">
        <f>SUM(N103:N112)+SUM(J103:J112)+SUM(F103:F112)</f>
        <v>6869.8</v>
      </c>
      <c r="V112" s="22" t="s">
        <v>2748</v>
      </c>
      <c r="W112" s="22">
        <v>0</v>
      </c>
      <c r="X112" s="22" t="s">
        <v>2748</v>
      </c>
      <c r="Y112" s="257">
        <f t="shared" si="26"/>
        <v>0</v>
      </c>
      <c r="Z112" s="2"/>
      <c r="AB112" s="7" t="str">
        <f t="shared" si="28"/>
        <v>[(52331,3)]</v>
      </c>
      <c r="AC112" s="7" t="str">
        <f t="shared" si="29"/>
        <v>[(190004,1),(120203,1)]</v>
      </c>
    </row>
    <row r="113" spans="1:29" ht="15.75" x14ac:dyDescent="0.3">
      <c r="A113" s="18">
        <v>11</v>
      </c>
      <c r="B113" s="18">
        <v>2</v>
      </c>
      <c r="C113" s="7" t="s">
        <v>519</v>
      </c>
      <c r="D113" s="7" t="str">
        <f t="shared" si="30"/>
        <v>双倍钥匙</v>
      </c>
      <c r="E113" s="7">
        <v>30</v>
      </c>
      <c r="F113" s="68">
        <f t="shared" si="27"/>
        <v>22.5</v>
      </c>
      <c r="G113" s="7" t="s">
        <v>275</v>
      </c>
      <c r="H113" s="7" t="str">
        <f t="shared" si="31"/>
        <v>军费</v>
      </c>
      <c r="I113" s="7">
        <v>250</v>
      </c>
      <c r="J113" s="68">
        <f t="shared" si="32"/>
        <v>5</v>
      </c>
      <c r="K113" s="7"/>
      <c r="L113" s="7" t="str">
        <f t="shared" si="33"/>
        <v/>
      </c>
      <c r="M113" s="7"/>
      <c r="N113" s="68">
        <f t="shared" si="34"/>
        <v>0</v>
      </c>
      <c r="O113" s="76"/>
      <c r="Q113" s="11" t="s">
        <v>3021</v>
      </c>
      <c r="R113" s="89" t="s">
        <v>3022</v>
      </c>
      <c r="S113" s="90" t="s">
        <v>3023</v>
      </c>
      <c r="T113" s="90" t="s">
        <v>3038</v>
      </c>
      <c r="V113" s="22" t="s">
        <v>2798</v>
      </c>
      <c r="W113" s="22">
        <v>200</v>
      </c>
      <c r="X113" s="22" t="s">
        <v>3013</v>
      </c>
      <c r="Y113" s="257">
        <f t="shared" si="26"/>
        <v>1</v>
      </c>
      <c r="Z113" s="22"/>
      <c r="AB113" s="7" t="str">
        <f t="shared" si="28"/>
        <v>[(111,30)]</v>
      </c>
      <c r="AC113" s="7" t="str">
        <f t="shared" si="29"/>
        <v>[(102,250)]</v>
      </c>
    </row>
    <row r="114" spans="1:29" ht="15.75" x14ac:dyDescent="0.3">
      <c r="A114" s="18">
        <v>12</v>
      </c>
      <c r="B114" s="18">
        <v>2</v>
      </c>
      <c r="C114" s="7" t="s">
        <v>275</v>
      </c>
      <c r="D114" s="7" t="str">
        <f t="shared" si="30"/>
        <v>军费</v>
      </c>
      <c r="E114" s="7">
        <v>60</v>
      </c>
      <c r="F114" s="68">
        <f t="shared" si="27"/>
        <v>1.2</v>
      </c>
      <c r="G114" s="7" t="s">
        <v>2707</v>
      </c>
      <c r="H114" s="7" t="str">
        <f t="shared" si="31"/>
        <v>BattlePass货币</v>
      </c>
      <c r="I114" s="7">
        <v>20</v>
      </c>
      <c r="J114" s="68">
        <f t="shared" si="32"/>
        <v>28</v>
      </c>
      <c r="K114" s="7"/>
      <c r="L114" s="7" t="str">
        <f t="shared" si="33"/>
        <v/>
      </c>
      <c r="M114" s="7"/>
      <c r="N114" s="68">
        <f t="shared" si="34"/>
        <v>0</v>
      </c>
      <c r="O114" s="76"/>
      <c r="Q114" s="91" t="s">
        <v>3020</v>
      </c>
      <c r="R114" s="92">
        <f>SUMIFS(E:E,D:D,Q114,B:B,2)+SUMIFS(I:I,H:H,Q114,B:B,2)+SUMIFS(M:M,L:L,Q114,B:B,2)</f>
        <v>3</v>
      </c>
      <c r="S114" s="93">
        <f>SUMIFS(E:E,D:D,Q114,B:B,2)</f>
        <v>2</v>
      </c>
      <c r="T114" s="93">
        <f>COUNTIF(X:X,Q114)</f>
        <v>10</v>
      </c>
      <c r="V114" s="22" t="s">
        <v>2800</v>
      </c>
      <c r="W114" s="22">
        <v>200</v>
      </c>
      <c r="X114" s="22" t="s">
        <v>3013</v>
      </c>
      <c r="Y114" s="257">
        <f t="shared" si="26"/>
        <v>1</v>
      </c>
      <c r="Z114" s="22"/>
      <c r="AB114" s="7" t="str">
        <f t="shared" si="28"/>
        <v>[(102,60)]</v>
      </c>
      <c r="AC114" s="7" t="str">
        <f t="shared" si="29"/>
        <v>[(113,20)]</v>
      </c>
    </row>
    <row r="115" spans="1:29" ht="15.75" x14ac:dyDescent="0.3">
      <c r="A115" s="18">
        <v>13</v>
      </c>
      <c r="B115" s="18">
        <v>2</v>
      </c>
      <c r="C115" s="7" t="s">
        <v>2808</v>
      </c>
      <c r="D115" s="7" t="str">
        <f t="shared" si="30"/>
        <v>头像框</v>
      </c>
      <c r="E115" s="7">
        <v>1</v>
      </c>
      <c r="F115" s="68">
        <f t="shared" si="27"/>
        <v>300</v>
      </c>
      <c r="G115" s="7" t="s">
        <v>275</v>
      </c>
      <c r="H115" s="7" t="str">
        <f t="shared" si="31"/>
        <v>军费</v>
      </c>
      <c r="I115" s="7">
        <v>250</v>
      </c>
      <c r="J115" s="68">
        <f t="shared" si="32"/>
        <v>5</v>
      </c>
      <c r="K115" s="7"/>
      <c r="L115" s="7" t="str">
        <f t="shared" si="33"/>
        <v/>
      </c>
      <c r="M115" s="7"/>
      <c r="N115" s="68">
        <f t="shared" si="34"/>
        <v>0</v>
      </c>
      <c r="O115" s="76"/>
      <c r="Q115" s="91" t="s">
        <v>3013</v>
      </c>
      <c r="R115" s="92">
        <f t="shared" ref="R115:R128" si="36">SUMIFS(E:E,D:D,Q115,B:B,2)+SUMIFS(I:I,H:H,Q115,B:B,2)+SUMIFS(M:M,L:L,Q115,B:B,2)</f>
        <v>5</v>
      </c>
      <c r="S115" s="93">
        <f t="shared" ref="S115:S128" si="37">SUMIFS(E:E,D:D,Q115,B:B,2)</f>
        <v>1</v>
      </c>
      <c r="T115" s="93">
        <f t="shared" ref="T115:T120" si="38">COUNTIF(X:X,Q115)</f>
        <v>12</v>
      </c>
      <c r="V115" s="22" t="s">
        <v>2802</v>
      </c>
      <c r="W115" s="22">
        <v>200</v>
      </c>
      <c r="X115" s="22" t="s">
        <v>3013</v>
      </c>
      <c r="Y115" s="257">
        <f t="shared" si="26"/>
        <v>1</v>
      </c>
      <c r="Z115" s="22"/>
      <c r="AB115" s="7" t="str">
        <f t="shared" si="28"/>
        <v>[(130114,1)]</v>
      </c>
      <c r="AC115" s="7" t="str">
        <f t="shared" si="29"/>
        <v>[(102,250)]</v>
      </c>
    </row>
    <row r="116" spans="1:29" ht="15.75" x14ac:dyDescent="0.3">
      <c r="A116" s="18">
        <v>14</v>
      </c>
      <c r="B116" s="18">
        <v>2</v>
      </c>
      <c r="C116" s="7" t="s">
        <v>275</v>
      </c>
      <c r="D116" s="7" t="str">
        <f t="shared" si="30"/>
        <v>军费</v>
      </c>
      <c r="E116" s="7">
        <v>60</v>
      </c>
      <c r="F116" s="68">
        <f t="shared" si="27"/>
        <v>1.2</v>
      </c>
      <c r="G116" s="7" t="s">
        <v>280</v>
      </c>
      <c r="H116" s="7" t="str">
        <f t="shared" si="31"/>
        <v>钥匙</v>
      </c>
      <c r="I116" s="7">
        <v>30</v>
      </c>
      <c r="J116" s="68">
        <f t="shared" si="32"/>
        <v>37.5</v>
      </c>
      <c r="K116" s="7"/>
      <c r="L116" s="7" t="str">
        <f t="shared" si="33"/>
        <v/>
      </c>
      <c r="M116" s="7"/>
      <c r="N116" s="68">
        <f t="shared" si="34"/>
        <v>0</v>
      </c>
      <c r="O116" s="76"/>
      <c r="Q116" s="91" t="s">
        <v>3025</v>
      </c>
      <c r="R116" s="92">
        <f t="shared" si="36"/>
        <v>7</v>
      </c>
      <c r="S116" s="93">
        <f t="shared" si="37"/>
        <v>2</v>
      </c>
      <c r="T116" s="93">
        <f t="shared" si="38"/>
        <v>14</v>
      </c>
      <c r="V116" s="22" t="s">
        <v>2804</v>
      </c>
      <c r="W116" s="22">
        <v>200</v>
      </c>
      <c r="X116" s="22" t="s">
        <v>3013</v>
      </c>
      <c r="Y116" s="257">
        <f t="shared" si="26"/>
        <v>1</v>
      </c>
      <c r="Z116" s="22"/>
      <c r="AB116" s="7" t="str">
        <f t="shared" si="28"/>
        <v>[(102,60)]</v>
      </c>
      <c r="AC116" s="7" t="str">
        <f t="shared" si="29"/>
        <v>[(105,30)]</v>
      </c>
    </row>
    <row r="117" spans="1:29" ht="15.75" x14ac:dyDescent="0.3">
      <c r="A117" s="18">
        <v>15</v>
      </c>
      <c r="B117" s="18">
        <v>2</v>
      </c>
      <c r="C117" s="7" t="s">
        <v>325</v>
      </c>
      <c r="D117" s="7" t="str">
        <f t="shared" si="30"/>
        <v>钻石</v>
      </c>
      <c r="E117" s="7">
        <v>10</v>
      </c>
      <c r="F117" s="68">
        <f t="shared" si="27"/>
        <v>10</v>
      </c>
      <c r="G117" s="7" t="s">
        <v>325</v>
      </c>
      <c r="H117" s="7" t="str">
        <f t="shared" si="31"/>
        <v>钻石</v>
      </c>
      <c r="I117" s="7">
        <v>20</v>
      </c>
      <c r="J117" s="68">
        <f t="shared" si="32"/>
        <v>20</v>
      </c>
      <c r="K117" s="7"/>
      <c r="L117" s="7" t="str">
        <f t="shared" si="33"/>
        <v/>
      </c>
      <c r="M117" s="7"/>
      <c r="N117" s="68">
        <f t="shared" si="34"/>
        <v>0</v>
      </c>
      <c r="O117" s="76"/>
      <c r="Q117" s="91" t="s">
        <v>3026</v>
      </c>
      <c r="R117" s="92">
        <f t="shared" si="36"/>
        <v>3</v>
      </c>
      <c r="S117" s="93">
        <f t="shared" si="37"/>
        <v>2</v>
      </c>
      <c r="T117" s="93">
        <f t="shared" si="38"/>
        <v>8</v>
      </c>
      <c r="V117" s="22" t="s">
        <v>2806</v>
      </c>
      <c r="W117" s="22">
        <v>200</v>
      </c>
      <c r="X117" s="22" t="s">
        <v>3013</v>
      </c>
      <c r="Y117" s="257">
        <f t="shared" si="26"/>
        <v>1</v>
      </c>
      <c r="Z117" s="22"/>
      <c r="AB117" s="7" t="str">
        <f t="shared" si="28"/>
        <v>[(101,10)]</v>
      </c>
      <c r="AC117" s="7" t="str">
        <f t="shared" si="29"/>
        <v>[(101,20)]</v>
      </c>
    </row>
    <row r="118" spans="1:29" ht="15.75" x14ac:dyDescent="0.3">
      <c r="A118" s="18">
        <v>16</v>
      </c>
      <c r="B118" s="18">
        <v>2</v>
      </c>
      <c r="C118" s="7" t="s">
        <v>2402</v>
      </c>
      <c r="D118" s="7" t="str">
        <f t="shared" si="30"/>
        <v>宝箱</v>
      </c>
      <c r="E118" s="7">
        <v>1</v>
      </c>
      <c r="F118" s="68">
        <f t="shared" si="27"/>
        <v>100</v>
      </c>
      <c r="G118" s="7" t="s">
        <v>1956</v>
      </c>
      <c r="H118" s="7" t="str">
        <f t="shared" si="31"/>
        <v>坦克碎片</v>
      </c>
      <c r="I118" s="7">
        <v>8</v>
      </c>
      <c r="J118" s="68">
        <f t="shared" si="32"/>
        <v>800</v>
      </c>
      <c r="K118" s="7"/>
      <c r="L118" s="7" t="str">
        <f t="shared" si="33"/>
        <v/>
      </c>
      <c r="M118" s="7"/>
      <c r="N118" s="68">
        <f t="shared" si="34"/>
        <v>0</v>
      </c>
      <c r="O118" s="76"/>
      <c r="Q118" s="91" t="s">
        <v>3027</v>
      </c>
      <c r="R118" s="92">
        <f t="shared" si="36"/>
        <v>4</v>
      </c>
      <c r="S118" s="93">
        <f t="shared" si="37"/>
        <v>0</v>
      </c>
      <c r="T118" s="93">
        <f t="shared" si="38"/>
        <v>12</v>
      </c>
      <c r="V118" s="22" t="s">
        <v>2808</v>
      </c>
      <c r="W118" s="22">
        <v>300</v>
      </c>
      <c r="X118" s="22" t="s">
        <v>3025</v>
      </c>
      <c r="Y118" s="257">
        <f t="shared" si="26"/>
        <v>1</v>
      </c>
      <c r="Z118" s="22"/>
      <c r="AB118" s="7" t="str">
        <f t="shared" si="28"/>
        <v>[(23004,1)]</v>
      </c>
      <c r="AC118" s="7" t="str">
        <f t="shared" si="29"/>
        <v>[(52331,8)]</v>
      </c>
    </row>
    <row r="119" spans="1:29" ht="15.75" x14ac:dyDescent="0.3">
      <c r="A119" s="18">
        <v>17</v>
      </c>
      <c r="B119" s="18">
        <v>2</v>
      </c>
      <c r="C119" s="7" t="s">
        <v>519</v>
      </c>
      <c r="D119" s="7" t="str">
        <f t="shared" si="30"/>
        <v>双倍钥匙</v>
      </c>
      <c r="E119" s="7">
        <v>40</v>
      </c>
      <c r="F119" s="68">
        <f t="shared" si="27"/>
        <v>30</v>
      </c>
      <c r="G119" s="7" t="s">
        <v>2454</v>
      </c>
      <c r="H119" s="7" t="str">
        <f t="shared" si="31"/>
        <v>宝箱</v>
      </c>
      <c r="I119" s="7">
        <v>1</v>
      </c>
      <c r="J119" s="68">
        <f t="shared" si="32"/>
        <v>200</v>
      </c>
      <c r="K119" s="7"/>
      <c r="L119" s="7" t="str">
        <f t="shared" si="33"/>
        <v/>
      </c>
      <c r="M119" s="7"/>
      <c r="N119" s="68">
        <f t="shared" si="34"/>
        <v>0</v>
      </c>
      <c r="O119" s="76"/>
      <c r="Q119" s="91" t="s">
        <v>3028</v>
      </c>
      <c r="R119" s="92">
        <f t="shared" si="36"/>
        <v>6</v>
      </c>
      <c r="S119" s="93">
        <f t="shared" si="37"/>
        <v>2</v>
      </c>
      <c r="T119" s="93">
        <f t="shared" si="38"/>
        <v>21</v>
      </c>
      <c r="V119" s="22" t="s">
        <v>2810</v>
      </c>
      <c r="W119" s="22">
        <v>300</v>
      </c>
      <c r="X119" s="22" t="s">
        <v>3025</v>
      </c>
      <c r="Y119" s="257">
        <f t="shared" si="26"/>
        <v>1</v>
      </c>
      <c r="Z119" s="22"/>
      <c r="AB119" s="7" t="str">
        <f t="shared" si="28"/>
        <v>[(111,40)]</v>
      </c>
      <c r="AC119" s="7" t="str">
        <f t="shared" si="29"/>
        <v>[(25052,1)]</v>
      </c>
    </row>
    <row r="120" spans="1:29" ht="15.75" x14ac:dyDescent="0.3">
      <c r="A120" s="18">
        <v>18</v>
      </c>
      <c r="B120" s="18">
        <v>2</v>
      </c>
      <c r="C120" s="7" t="s">
        <v>275</v>
      </c>
      <c r="D120" s="7" t="str">
        <f t="shared" si="30"/>
        <v>军费</v>
      </c>
      <c r="E120" s="7">
        <v>125</v>
      </c>
      <c r="F120" s="68">
        <f t="shared" si="27"/>
        <v>2.5</v>
      </c>
      <c r="G120" s="7" t="s">
        <v>519</v>
      </c>
      <c r="H120" s="7" t="str">
        <f t="shared" si="31"/>
        <v>双倍钥匙</v>
      </c>
      <c r="I120" s="7">
        <v>20</v>
      </c>
      <c r="J120" s="68">
        <f t="shared" si="32"/>
        <v>15</v>
      </c>
      <c r="K120" s="7"/>
      <c r="L120" s="7" t="str">
        <f t="shared" si="33"/>
        <v/>
      </c>
      <c r="M120" s="7"/>
      <c r="N120" s="68">
        <f t="shared" si="34"/>
        <v>0</v>
      </c>
      <c r="O120" s="76"/>
      <c r="Q120" s="91" t="s">
        <v>3029</v>
      </c>
      <c r="R120" s="92">
        <f t="shared" si="36"/>
        <v>2</v>
      </c>
      <c r="S120" s="93">
        <f t="shared" si="37"/>
        <v>0</v>
      </c>
      <c r="T120" s="93">
        <f t="shared" si="38"/>
        <v>5</v>
      </c>
      <c r="V120" s="22" t="s">
        <v>2812</v>
      </c>
      <c r="W120" s="22">
        <v>300</v>
      </c>
      <c r="X120" s="22" t="s">
        <v>3025</v>
      </c>
      <c r="Y120" s="257">
        <f t="shared" si="26"/>
        <v>1</v>
      </c>
      <c r="Z120" s="22"/>
      <c r="AB120" s="7" t="str">
        <f t="shared" si="28"/>
        <v>[(102,125)]</v>
      </c>
      <c r="AC120" s="7" t="str">
        <f t="shared" si="29"/>
        <v>[(111,20)]</v>
      </c>
    </row>
    <row r="121" spans="1:29" ht="15.75" x14ac:dyDescent="0.3">
      <c r="A121" s="18">
        <v>19</v>
      </c>
      <c r="B121" s="18">
        <v>2</v>
      </c>
      <c r="C121" s="7" t="s">
        <v>280</v>
      </c>
      <c r="D121" s="7" t="str">
        <f t="shared" si="30"/>
        <v>钥匙</v>
      </c>
      <c r="E121" s="7">
        <v>20</v>
      </c>
      <c r="F121" s="68">
        <f t="shared" si="27"/>
        <v>25</v>
      </c>
      <c r="G121" s="7" t="s">
        <v>325</v>
      </c>
      <c r="H121" s="7" t="str">
        <f t="shared" si="31"/>
        <v>钻石</v>
      </c>
      <c r="I121" s="7">
        <v>20</v>
      </c>
      <c r="J121" s="68">
        <f t="shared" si="32"/>
        <v>20</v>
      </c>
      <c r="K121" s="7"/>
      <c r="L121" s="7" t="str">
        <f t="shared" si="33"/>
        <v/>
      </c>
      <c r="M121" s="7"/>
      <c r="N121" s="68">
        <f t="shared" si="34"/>
        <v>0</v>
      </c>
      <c r="O121" s="76"/>
      <c r="Q121" s="13" t="s">
        <v>275</v>
      </c>
      <c r="R121" s="95">
        <f t="shared" si="36"/>
        <v>10110</v>
      </c>
      <c r="S121" s="96">
        <f>SUMIFS(E:E,D:D,Q121,B:B,2)</f>
        <v>1435</v>
      </c>
      <c r="T121" s="69">
        <f t="shared" ref="T121:T128" si="39">COUNTIF($X$3:$X$112,Q121)</f>
        <v>1</v>
      </c>
      <c r="V121" s="22" t="s">
        <v>2814</v>
      </c>
      <c r="W121" s="22">
        <v>300</v>
      </c>
      <c r="X121" s="22" t="s">
        <v>3025</v>
      </c>
      <c r="Y121" s="257">
        <f t="shared" si="26"/>
        <v>1</v>
      </c>
      <c r="Z121" s="22"/>
      <c r="AB121" s="7" t="str">
        <f t="shared" si="28"/>
        <v>[(105,20)]</v>
      </c>
      <c r="AC121" s="7" t="str">
        <f t="shared" si="29"/>
        <v>[(101,20)]</v>
      </c>
    </row>
    <row r="122" spans="1:29" ht="15.75" x14ac:dyDescent="0.3">
      <c r="A122" s="18">
        <v>20</v>
      </c>
      <c r="B122" s="18">
        <v>2</v>
      </c>
      <c r="C122" s="70" t="s">
        <v>2685</v>
      </c>
      <c r="D122" s="7" t="str">
        <f t="shared" si="30"/>
        <v>涂装</v>
      </c>
      <c r="E122" s="70">
        <v>1</v>
      </c>
      <c r="F122" s="71">
        <f t="shared" si="27"/>
        <v>200</v>
      </c>
      <c r="G122" s="70" t="s">
        <v>2806</v>
      </c>
      <c r="H122" s="7" t="str">
        <f t="shared" si="31"/>
        <v>头像</v>
      </c>
      <c r="I122" s="70">
        <v>1</v>
      </c>
      <c r="J122" s="68">
        <f t="shared" si="32"/>
        <v>200</v>
      </c>
      <c r="K122" s="70"/>
      <c r="L122" s="7" t="str">
        <f t="shared" si="33"/>
        <v/>
      </c>
      <c r="M122" s="70"/>
      <c r="N122" s="68">
        <f t="shared" si="34"/>
        <v>0</v>
      </c>
      <c r="O122" s="77">
        <f>SUM(N113:N122)+SUM(J113:J122)+SUM(F113:F122)</f>
        <v>2022.9</v>
      </c>
      <c r="Q122" s="13" t="s">
        <v>280</v>
      </c>
      <c r="R122" s="95">
        <f t="shared" si="36"/>
        <v>270</v>
      </c>
      <c r="S122" s="96">
        <f t="shared" si="37"/>
        <v>90</v>
      </c>
      <c r="T122" s="69">
        <f t="shared" si="39"/>
        <v>1</v>
      </c>
      <c r="V122" s="22" t="s">
        <v>2816</v>
      </c>
      <c r="W122" s="22">
        <v>300</v>
      </c>
      <c r="X122" s="22" t="s">
        <v>3025</v>
      </c>
      <c r="Y122" s="257">
        <f t="shared" si="26"/>
        <v>1</v>
      </c>
      <c r="Z122" s="22"/>
      <c r="AB122" s="7" t="str">
        <f t="shared" si="28"/>
        <v>[(180007,1)]</v>
      </c>
      <c r="AC122" s="7" t="str">
        <f t="shared" si="29"/>
        <v>[(140127,1)]</v>
      </c>
    </row>
    <row r="123" spans="1:29" ht="15.75" x14ac:dyDescent="0.3">
      <c r="A123" s="18">
        <v>21</v>
      </c>
      <c r="B123" s="18">
        <v>2</v>
      </c>
      <c r="C123" s="7" t="s">
        <v>275</v>
      </c>
      <c r="D123" s="7" t="str">
        <f t="shared" si="30"/>
        <v>军费</v>
      </c>
      <c r="E123" s="69">
        <v>125</v>
      </c>
      <c r="F123" s="68">
        <f t="shared" si="27"/>
        <v>2.5</v>
      </c>
      <c r="G123" s="7" t="s">
        <v>280</v>
      </c>
      <c r="H123" s="7" t="str">
        <f t="shared" si="31"/>
        <v>钥匙</v>
      </c>
      <c r="I123" s="7">
        <v>20</v>
      </c>
      <c r="J123" s="68">
        <f t="shared" si="32"/>
        <v>25</v>
      </c>
      <c r="K123" s="7"/>
      <c r="L123" s="7" t="str">
        <f t="shared" si="33"/>
        <v/>
      </c>
      <c r="M123" s="7"/>
      <c r="N123" s="68">
        <f t="shared" si="34"/>
        <v>0</v>
      </c>
      <c r="O123" s="76"/>
      <c r="Q123" s="13" t="s">
        <v>519</v>
      </c>
      <c r="R123" s="95">
        <f t="shared" si="36"/>
        <v>200</v>
      </c>
      <c r="S123" s="96">
        <f t="shared" si="37"/>
        <v>70</v>
      </c>
      <c r="T123" s="69">
        <f t="shared" si="39"/>
        <v>1</v>
      </c>
      <c r="V123" s="22" t="s">
        <v>2818</v>
      </c>
      <c r="W123" s="22">
        <v>300</v>
      </c>
      <c r="X123" s="22" t="s">
        <v>3025</v>
      </c>
      <c r="Y123" s="257">
        <f t="shared" si="26"/>
        <v>1</v>
      </c>
      <c r="Z123" s="22"/>
      <c r="AB123" s="7" t="str">
        <f t="shared" si="28"/>
        <v>[(102,125)]</v>
      </c>
      <c r="AC123" s="7" t="str">
        <f t="shared" si="29"/>
        <v>[(105,20)]</v>
      </c>
    </row>
    <row r="124" spans="1:29" ht="15.75" x14ac:dyDescent="0.3">
      <c r="A124" s="18">
        <v>22</v>
      </c>
      <c r="B124" s="18">
        <v>2</v>
      </c>
      <c r="C124" s="7" t="s">
        <v>275</v>
      </c>
      <c r="D124" s="7" t="str">
        <f t="shared" si="30"/>
        <v>军费</v>
      </c>
      <c r="E124" s="7">
        <v>125</v>
      </c>
      <c r="F124" s="68">
        <f t="shared" si="27"/>
        <v>2.5</v>
      </c>
      <c r="G124" s="7" t="s">
        <v>325</v>
      </c>
      <c r="H124" s="7" t="str">
        <f t="shared" si="31"/>
        <v>钻石</v>
      </c>
      <c r="I124" s="7">
        <v>20</v>
      </c>
      <c r="J124" s="68">
        <f t="shared" si="32"/>
        <v>20</v>
      </c>
      <c r="K124" s="7"/>
      <c r="L124" s="7" t="str">
        <f t="shared" si="33"/>
        <v/>
      </c>
      <c r="M124" s="7"/>
      <c r="N124" s="68">
        <f t="shared" si="34"/>
        <v>0</v>
      </c>
      <c r="O124" s="76"/>
      <c r="Q124" s="7" t="s">
        <v>3030</v>
      </c>
      <c r="R124" s="95">
        <f t="shared" si="36"/>
        <v>11</v>
      </c>
      <c r="S124" s="96">
        <f t="shared" si="37"/>
        <v>1</v>
      </c>
      <c r="T124" s="69">
        <f t="shared" si="39"/>
        <v>2</v>
      </c>
      <c r="V124" s="22" t="s">
        <v>2820</v>
      </c>
      <c r="W124" s="22">
        <v>300</v>
      </c>
      <c r="X124" s="22" t="s">
        <v>3025</v>
      </c>
      <c r="Y124" s="257">
        <f t="shared" si="26"/>
        <v>1</v>
      </c>
      <c r="Z124" s="22"/>
      <c r="AB124" s="7" t="str">
        <f t="shared" si="28"/>
        <v>[(102,125)]</v>
      </c>
      <c r="AC124" s="7" t="str">
        <f t="shared" si="29"/>
        <v>[(101,20)]</v>
      </c>
    </row>
    <row r="125" spans="1:29" ht="15.75" x14ac:dyDescent="0.3">
      <c r="A125" s="18">
        <v>23</v>
      </c>
      <c r="B125" s="18">
        <v>2</v>
      </c>
      <c r="C125" s="7" t="s">
        <v>275</v>
      </c>
      <c r="D125" s="7" t="str">
        <f t="shared" si="30"/>
        <v>军费</v>
      </c>
      <c r="E125" s="7">
        <v>200</v>
      </c>
      <c r="F125" s="68">
        <f t="shared" si="27"/>
        <v>4</v>
      </c>
      <c r="G125" s="7" t="s">
        <v>275</v>
      </c>
      <c r="H125" s="7" t="str">
        <f t="shared" si="31"/>
        <v>军费</v>
      </c>
      <c r="I125" s="7">
        <v>250</v>
      </c>
      <c r="J125" s="68">
        <f t="shared" si="32"/>
        <v>5</v>
      </c>
      <c r="K125" s="7"/>
      <c r="L125" s="7" t="str">
        <f t="shared" si="33"/>
        <v/>
      </c>
      <c r="M125" s="7"/>
      <c r="N125" s="68">
        <f t="shared" si="34"/>
        <v>0</v>
      </c>
      <c r="O125" s="76"/>
      <c r="Q125" s="13" t="s">
        <v>3031</v>
      </c>
      <c r="R125" s="95">
        <f t="shared" si="36"/>
        <v>17</v>
      </c>
      <c r="S125" s="96">
        <f t="shared" si="37"/>
        <v>4</v>
      </c>
      <c r="T125" s="69">
        <f t="shared" si="39"/>
        <v>41</v>
      </c>
      <c r="V125" s="22" t="s">
        <v>641</v>
      </c>
      <c r="W125" s="22">
        <v>2400</v>
      </c>
      <c r="X125" s="22" t="s">
        <v>328</v>
      </c>
      <c r="Y125" s="257">
        <f t="shared" si="26"/>
        <v>1</v>
      </c>
      <c r="Z125" s="22"/>
      <c r="AB125" s="7" t="str">
        <f t="shared" si="28"/>
        <v>[(102,200)]</v>
      </c>
      <c r="AC125" s="7" t="str">
        <f t="shared" si="29"/>
        <v>[(102,250)]</v>
      </c>
    </row>
    <row r="126" spans="1:29" ht="15.75" x14ac:dyDescent="0.3">
      <c r="A126" s="18">
        <v>24</v>
      </c>
      <c r="B126" s="18">
        <v>2</v>
      </c>
      <c r="C126" s="7" t="s">
        <v>325</v>
      </c>
      <c r="D126" s="7" t="str">
        <f t="shared" si="30"/>
        <v>钻石</v>
      </c>
      <c r="E126" s="7">
        <v>10</v>
      </c>
      <c r="F126" s="68">
        <f t="shared" si="27"/>
        <v>10</v>
      </c>
      <c r="G126" s="7" t="s">
        <v>280</v>
      </c>
      <c r="H126" s="7" t="str">
        <f t="shared" si="31"/>
        <v>钥匙</v>
      </c>
      <c r="I126" s="7">
        <v>30</v>
      </c>
      <c r="J126" s="68">
        <f t="shared" si="32"/>
        <v>37.5</v>
      </c>
      <c r="K126" s="7"/>
      <c r="L126" s="7" t="str">
        <f t="shared" si="33"/>
        <v/>
      </c>
      <c r="M126" s="7"/>
      <c r="N126" s="68">
        <f t="shared" si="34"/>
        <v>0</v>
      </c>
      <c r="O126" s="76"/>
      <c r="Q126" s="7" t="s">
        <v>2707</v>
      </c>
      <c r="R126" s="95">
        <f t="shared" si="36"/>
        <v>600</v>
      </c>
      <c r="S126" s="96">
        <f t="shared" si="37"/>
        <v>0</v>
      </c>
      <c r="T126" s="69">
        <f t="shared" si="39"/>
        <v>1</v>
      </c>
      <c r="V126" s="22" t="s">
        <v>1956</v>
      </c>
      <c r="W126" s="22">
        <v>100</v>
      </c>
      <c r="X126" s="22" t="s">
        <v>1743</v>
      </c>
      <c r="Y126" s="257">
        <f t="shared" si="26"/>
        <v>120</v>
      </c>
      <c r="Z126" s="22"/>
      <c r="AB126" s="7" t="str">
        <f t="shared" si="28"/>
        <v>[(101,10)]</v>
      </c>
      <c r="AC126" s="7" t="str">
        <f t="shared" si="29"/>
        <v>[(105,30)]</v>
      </c>
    </row>
    <row r="127" spans="1:29" ht="15.75" x14ac:dyDescent="0.3">
      <c r="A127" s="18">
        <v>25</v>
      </c>
      <c r="B127" s="18">
        <v>2</v>
      </c>
      <c r="C127" s="7" t="s">
        <v>288</v>
      </c>
      <c r="D127" s="7" t="str">
        <f t="shared" si="30"/>
        <v>加速</v>
      </c>
      <c r="E127" s="7">
        <v>1</v>
      </c>
      <c r="F127" s="68">
        <f t="shared" si="27"/>
        <v>35</v>
      </c>
      <c r="G127" s="7" t="s">
        <v>288</v>
      </c>
      <c r="H127" s="7" t="str">
        <f t="shared" si="31"/>
        <v>加速</v>
      </c>
      <c r="I127" s="7">
        <v>1</v>
      </c>
      <c r="J127" s="68">
        <f t="shared" si="32"/>
        <v>35</v>
      </c>
      <c r="K127" s="7"/>
      <c r="L127" s="7" t="str">
        <f t="shared" si="33"/>
        <v/>
      </c>
      <c r="M127" s="7"/>
      <c r="N127" s="68">
        <f t="shared" si="34"/>
        <v>0</v>
      </c>
      <c r="O127" s="76"/>
      <c r="Q127" s="7" t="s">
        <v>325</v>
      </c>
      <c r="R127" s="95">
        <f t="shared" si="36"/>
        <v>1030</v>
      </c>
      <c r="S127" s="96">
        <f t="shared" si="37"/>
        <v>90</v>
      </c>
      <c r="T127" s="69">
        <f t="shared" si="39"/>
        <v>1</v>
      </c>
      <c r="V127" s="22" t="s">
        <v>2822</v>
      </c>
      <c r="W127" s="22">
        <v>600</v>
      </c>
      <c r="X127" s="22" t="s">
        <v>3028</v>
      </c>
      <c r="Y127" s="257">
        <f t="shared" si="26"/>
        <v>1</v>
      </c>
      <c r="Z127" s="22"/>
      <c r="AB127" s="7" t="str">
        <f t="shared" si="28"/>
        <v>[(100301,1)]</v>
      </c>
      <c r="AC127" s="7" t="str">
        <f t="shared" si="29"/>
        <v>[(100301,1)]</v>
      </c>
    </row>
    <row r="128" spans="1:29" ht="15.75" x14ac:dyDescent="0.3">
      <c r="A128" s="18">
        <v>26</v>
      </c>
      <c r="B128" s="18">
        <v>2</v>
      </c>
      <c r="C128" s="7" t="s">
        <v>280</v>
      </c>
      <c r="D128" s="7" t="str">
        <f t="shared" si="30"/>
        <v>钥匙</v>
      </c>
      <c r="E128" s="7">
        <v>20</v>
      </c>
      <c r="F128" s="68">
        <f t="shared" si="27"/>
        <v>25</v>
      </c>
      <c r="G128" s="7" t="s">
        <v>275</v>
      </c>
      <c r="H128" s="7" t="str">
        <f t="shared" si="31"/>
        <v>军费</v>
      </c>
      <c r="I128" s="7">
        <v>250</v>
      </c>
      <c r="J128" s="68">
        <f t="shared" si="32"/>
        <v>5</v>
      </c>
      <c r="K128" s="7"/>
      <c r="L128" s="7" t="str">
        <f t="shared" si="33"/>
        <v/>
      </c>
      <c r="M128" s="7"/>
      <c r="N128" s="68">
        <f t="shared" si="34"/>
        <v>0</v>
      </c>
      <c r="O128" s="76"/>
      <c r="Q128" s="13" t="s">
        <v>1743</v>
      </c>
      <c r="R128" s="76">
        <f t="shared" si="36"/>
        <v>120</v>
      </c>
      <c r="S128" s="96">
        <f t="shared" si="37"/>
        <v>3</v>
      </c>
      <c r="T128" s="69">
        <f t="shared" si="39"/>
        <v>0</v>
      </c>
      <c r="V128" s="22" t="s">
        <v>2824</v>
      </c>
      <c r="W128" s="22">
        <v>300</v>
      </c>
      <c r="X128" s="22" t="s">
        <v>3020</v>
      </c>
      <c r="Y128" s="257">
        <f t="shared" si="26"/>
        <v>1</v>
      </c>
      <c r="Z128" s="22"/>
      <c r="AB128" s="7" t="str">
        <f t="shared" si="28"/>
        <v>[(105,20)]</v>
      </c>
      <c r="AC128" s="7" t="str">
        <f t="shared" si="29"/>
        <v>[(102,250)]</v>
      </c>
    </row>
    <row r="129" spans="1:29" ht="15.75" x14ac:dyDescent="0.3">
      <c r="A129" s="18">
        <v>27</v>
      </c>
      <c r="B129" s="18">
        <v>2</v>
      </c>
      <c r="C129" s="7" t="s">
        <v>275</v>
      </c>
      <c r="D129" s="7" t="str">
        <f t="shared" si="30"/>
        <v>军费</v>
      </c>
      <c r="E129" s="7">
        <v>200</v>
      </c>
      <c r="F129" s="68">
        <f t="shared" si="27"/>
        <v>4</v>
      </c>
      <c r="G129" s="7" t="s">
        <v>2707</v>
      </c>
      <c r="H129" s="7" t="str">
        <f t="shared" si="31"/>
        <v>BattlePass货币</v>
      </c>
      <c r="I129" s="7">
        <v>30</v>
      </c>
      <c r="J129" s="68">
        <f t="shared" si="32"/>
        <v>42</v>
      </c>
      <c r="K129" s="7"/>
      <c r="L129" s="7" t="str">
        <f t="shared" si="33"/>
        <v/>
      </c>
      <c r="M129" s="7"/>
      <c r="N129" s="68">
        <f t="shared" si="34"/>
        <v>0</v>
      </c>
      <c r="O129" s="76"/>
      <c r="V129" s="22" t="s">
        <v>2826</v>
      </c>
      <c r="W129" s="22">
        <v>300</v>
      </c>
      <c r="X129" s="22" t="s">
        <v>3020</v>
      </c>
      <c r="Y129" s="257">
        <f t="shared" si="26"/>
        <v>1</v>
      </c>
      <c r="Z129" s="22"/>
      <c r="AB129" s="7" t="str">
        <f t="shared" si="28"/>
        <v>[(102,200)]</v>
      </c>
      <c r="AC129" s="7" t="str">
        <f t="shared" si="29"/>
        <v>[(113,30)]</v>
      </c>
    </row>
    <row r="130" spans="1:29" ht="15.75" x14ac:dyDescent="0.3">
      <c r="A130" s="18">
        <v>28</v>
      </c>
      <c r="B130" s="18">
        <v>2</v>
      </c>
      <c r="C130" s="7" t="s">
        <v>325</v>
      </c>
      <c r="D130" s="7" t="str">
        <f t="shared" si="30"/>
        <v>钻石</v>
      </c>
      <c r="E130" s="7">
        <v>20</v>
      </c>
      <c r="F130" s="68">
        <f t="shared" si="27"/>
        <v>20</v>
      </c>
      <c r="G130" s="7" t="s">
        <v>2802</v>
      </c>
      <c r="H130" s="7" t="str">
        <f t="shared" si="31"/>
        <v>头像</v>
      </c>
      <c r="I130" s="7">
        <v>1</v>
      </c>
      <c r="J130" s="68">
        <f t="shared" si="32"/>
        <v>200</v>
      </c>
      <c r="K130" s="7"/>
      <c r="L130" s="7" t="str">
        <f t="shared" si="33"/>
        <v/>
      </c>
      <c r="M130" s="7"/>
      <c r="N130" s="68">
        <f t="shared" si="34"/>
        <v>0</v>
      </c>
      <c r="O130" s="76"/>
      <c r="Q130" s="48" t="s">
        <v>3032</v>
      </c>
      <c r="V130" s="22" t="s">
        <v>2828</v>
      </c>
      <c r="W130" s="22">
        <v>300</v>
      </c>
      <c r="X130" s="22" t="s">
        <v>3020</v>
      </c>
      <c r="Y130" s="257">
        <f t="shared" si="26"/>
        <v>1</v>
      </c>
      <c r="Z130" s="22"/>
      <c r="AB130" s="7" t="str">
        <f t="shared" si="28"/>
        <v>[(101,20)]</v>
      </c>
      <c r="AC130" s="7" t="str">
        <f t="shared" si="29"/>
        <v>[(140125,1)]</v>
      </c>
    </row>
    <row r="131" spans="1:29" ht="15.75" x14ac:dyDescent="0.3">
      <c r="A131" s="18">
        <v>29</v>
      </c>
      <c r="B131" s="18">
        <v>2</v>
      </c>
      <c r="C131" s="7" t="s">
        <v>275</v>
      </c>
      <c r="D131" s="7" t="str">
        <f t="shared" si="30"/>
        <v>军费</v>
      </c>
      <c r="E131" s="7">
        <v>250</v>
      </c>
      <c r="F131" s="68">
        <f t="shared" si="27"/>
        <v>5</v>
      </c>
      <c r="G131" s="7" t="s">
        <v>2457</v>
      </c>
      <c r="H131" s="7" t="str">
        <f t="shared" si="31"/>
        <v>宝箱</v>
      </c>
      <c r="I131" s="7">
        <v>1</v>
      </c>
      <c r="J131" s="68">
        <f t="shared" si="32"/>
        <v>200</v>
      </c>
      <c r="K131" s="7"/>
      <c r="L131" s="7" t="str">
        <f t="shared" si="33"/>
        <v/>
      </c>
      <c r="M131" s="7"/>
      <c r="N131" s="68">
        <f t="shared" si="34"/>
        <v>0</v>
      </c>
      <c r="O131" s="76"/>
      <c r="Q131" s="7" t="s">
        <v>2707</v>
      </c>
      <c r="R131" s="76">
        <f>SUMIFS(F:F,D:D,Q131,B:B,2)+SUMIFS(J:J,H:H,Q131,B:B,2)+SUMIFS(N:N,L:L,Q131,B:B,2)</f>
        <v>840</v>
      </c>
      <c r="S131" s="85">
        <f>R131/VLOOKUP(1,道具价值!$B$74:$E$80,4,FALSE)</f>
        <v>11.162666666666668</v>
      </c>
      <c r="T131" s="85">
        <f>R131/VLOOKUP(6,道具价值!$B$74:$E$80,4,FALSE)</f>
        <v>8.3991599999999984</v>
      </c>
      <c r="V131" s="22" t="s">
        <v>2830</v>
      </c>
      <c r="W131" s="22">
        <v>300</v>
      </c>
      <c r="X131" s="22" t="s">
        <v>3026</v>
      </c>
      <c r="Y131" s="257">
        <f t="shared" si="26"/>
        <v>1</v>
      </c>
      <c r="Z131" s="22"/>
      <c r="AB131" s="7" t="str">
        <f t="shared" si="28"/>
        <v>[(102,250)]</v>
      </c>
      <c r="AC131" s="7" t="str">
        <f t="shared" si="29"/>
        <v>[(25054,1)]</v>
      </c>
    </row>
    <row r="132" spans="1:29" ht="15.75" x14ac:dyDescent="0.3">
      <c r="A132" s="18">
        <v>30</v>
      </c>
      <c r="B132" s="18">
        <v>2</v>
      </c>
      <c r="C132" s="70" t="s">
        <v>2812</v>
      </c>
      <c r="D132" s="7" t="str">
        <f t="shared" si="30"/>
        <v>头像框</v>
      </c>
      <c r="E132" s="70">
        <v>1</v>
      </c>
      <c r="F132" s="71">
        <f t="shared" si="27"/>
        <v>300</v>
      </c>
      <c r="G132" s="260" t="s">
        <v>3749</v>
      </c>
      <c r="H132" s="7" t="str">
        <f t="shared" si="31"/>
        <v>涂装</v>
      </c>
      <c r="I132" s="70">
        <v>1</v>
      </c>
      <c r="J132" s="68">
        <f t="shared" si="32"/>
        <v>200</v>
      </c>
      <c r="K132" s="70" t="s">
        <v>1956</v>
      </c>
      <c r="L132" s="7" t="str">
        <f t="shared" si="33"/>
        <v>坦克碎片</v>
      </c>
      <c r="M132" s="70">
        <v>10</v>
      </c>
      <c r="N132" s="68">
        <f t="shared" si="34"/>
        <v>1000</v>
      </c>
      <c r="O132" s="77">
        <f>SUM(N123:N132)+SUM(J123:J132)+SUM(F123:F132)</f>
        <v>2177.5</v>
      </c>
      <c r="Q132" s="7" t="s">
        <v>325</v>
      </c>
      <c r="R132" s="76">
        <f t="shared" ref="R132:R146" si="40">SUMIFS(F:F,D:D,Q132,B:B,2)+SUMIFS(J:J,H:H,Q132,B:B,2)+SUMIFS(N:N,L:L,Q132,B:B,2)</f>
        <v>1030</v>
      </c>
      <c r="S132" s="85">
        <f>R132/VLOOKUP(1,道具价值!$B$74:$E$80,4,FALSE)</f>
        <v>13.687555555555557</v>
      </c>
      <c r="T132" s="85">
        <f>R132/VLOOKUP(6,道具价值!$B$74:$E$80,4,FALSE)</f>
        <v>10.298969999999999</v>
      </c>
      <c r="V132" s="22" t="s">
        <v>2832</v>
      </c>
      <c r="W132" s="22">
        <v>300</v>
      </c>
      <c r="X132" s="22" t="s">
        <v>3026</v>
      </c>
      <c r="Y132" s="257">
        <f t="shared" ref="Y132:Y135" si="41">IF(Z132="",SUMIFS(E:E,C:C,V132)+SUMIFS(I:I,G:G,V132)+SUMIFS(M:M,K:K,V132),1)</f>
        <v>1</v>
      </c>
      <c r="Z132" s="22"/>
      <c r="AB132" s="7" t="str">
        <f t="shared" ref="AB132:AB174" si="42">IF(C132="","[]","["&amp;"("&amp;VLOOKUP(C132,道具ID,2,FALSE)&amp;","&amp;E132&amp;")"&amp;"]")</f>
        <v>[(130116,1)]</v>
      </c>
      <c r="AC132" s="7" t="str">
        <f t="shared" ref="AC132:AC174" si="43">IF(G132="","[]",IF(K132="","["&amp;"("&amp;VLOOKUP(G132,道具ID,2,FALSE)&amp;","&amp;I132&amp;")"&amp;"]","["&amp;"("&amp;VLOOKUP(G132,道具ID,2,FALSE)&amp;","&amp;I132&amp;")"&amp;","&amp;"("&amp;VLOOKUP(K132,道具ID,2,FALSE)&amp;","&amp;M132&amp;")"&amp;"]"))</f>
        <v>[(180013,1),(52331,10)]</v>
      </c>
    </row>
    <row r="133" spans="1:29" ht="15.75" x14ac:dyDescent="0.3">
      <c r="A133" s="18">
        <v>31</v>
      </c>
      <c r="B133" s="18">
        <v>2</v>
      </c>
      <c r="C133" s="7" t="s">
        <v>542</v>
      </c>
      <c r="D133" s="7" t="str">
        <f t="shared" si="30"/>
        <v>宝箱</v>
      </c>
      <c r="E133" s="7">
        <v>1</v>
      </c>
      <c r="F133" s="68">
        <f t="shared" si="27"/>
        <v>100</v>
      </c>
      <c r="G133" s="7" t="s">
        <v>275</v>
      </c>
      <c r="H133" s="7" t="str">
        <f t="shared" si="31"/>
        <v>军费</v>
      </c>
      <c r="I133" s="7">
        <v>250</v>
      </c>
      <c r="J133" s="68">
        <f t="shared" si="32"/>
        <v>5</v>
      </c>
      <c r="K133" s="7"/>
      <c r="L133" s="7" t="str">
        <f t="shared" si="33"/>
        <v/>
      </c>
      <c r="M133" s="7"/>
      <c r="N133" s="68">
        <f t="shared" si="34"/>
        <v>0</v>
      </c>
      <c r="O133" s="76"/>
      <c r="Q133" s="7" t="s">
        <v>3031</v>
      </c>
      <c r="R133" s="76">
        <f t="shared" si="40"/>
        <v>5500</v>
      </c>
      <c r="S133" s="85">
        <f>R133/VLOOKUP(1,道具价值!$B$74:$E$80,4,FALSE)</f>
        <v>73.088888888888889</v>
      </c>
      <c r="T133" s="85">
        <f>R133/VLOOKUP(6,道具价值!$B$74:$E$80,4,FALSE)</f>
        <v>54.994499999999995</v>
      </c>
      <c r="V133" s="22" t="s">
        <v>2834</v>
      </c>
      <c r="W133" s="22">
        <v>300</v>
      </c>
      <c r="X133" s="22" t="s">
        <v>3026</v>
      </c>
      <c r="Y133" s="257">
        <f t="shared" si="41"/>
        <v>1</v>
      </c>
      <c r="Z133" s="22"/>
      <c r="AB133" s="7" t="str">
        <f t="shared" si="42"/>
        <v>[(24007,1)]</v>
      </c>
      <c r="AC133" s="7" t="str">
        <f t="shared" si="43"/>
        <v>[(102,250)]</v>
      </c>
    </row>
    <row r="134" spans="1:29" ht="15.75" x14ac:dyDescent="0.3">
      <c r="A134" s="18">
        <v>32</v>
      </c>
      <c r="B134" s="18">
        <v>2</v>
      </c>
      <c r="C134" s="7" t="s">
        <v>3033</v>
      </c>
      <c r="D134" s="7" t="str">
        <f t="shared" si="30"/>
        <v/>
      </c>
      <c r="E134" s="7" t="s">
        <v>3033</v>
      </c>
      <c r="F134" s="68">
        <f t="shared" si="27"/>
        <v>0</v>
      </c>
      <c r="G134" s="7" t="s">
        <v>280</v>
      </c>
      <c r="H134" s="7" t="str">
        <f t="shared" si="31"/>
        <v>钥匙</v>
      </c>
      <c r="I134" s="7">
        <v>40</v>
      </c>
      <c r="J134" s="68">
        <f t="shared" si="32"/>
        <v>50</v>
      </c>
      <c r="K134" s="7"/>
      <c r="L134" s="7" t="str">
        <f t="shared" si="33"/>
        <v/>
      </c>
      <c r="M134" s="7"/>
      <c r="N134" s="68">
        <f t="shared" si="34"/>
        <v>0</v>
      </c>
      <c r="O134" s="76"/>
      <c r="Q134" s="13" t="s">
        <v>275</v>
      </c>
      <c r="R134" s="76">
        <f t="shared" si="40"/>
        <v>202.2</v>
      </c>
      <c r="S134" s="85">
        <f>R134/VLOOKUP(1,道具价值!$B$74:$E$80,4,FALSE)</f>
        <v>2.6870133333333333</v>
      </c>
      <c r="T134" s="85">
        <f>R134/VLOOKUP(6,道具价值!$B$74:$E$80,4,FALSE)</f>
        <v>2.0217977999999999</v>
      </c>
      <c r="V134" s="22" t="s">
        <v>2836</v>
      </c>
      <c r="W134" s="22">
        <v>300</v>
      </c>
      <c r="X134" s="22" t="s">
        <v>3029</v>
      </c>
      <c r="Y134" s="257">
        <f t="shared" si="41"/>
        <v>1</v>
      </c>
      <c r="Z134" s="22"/>
      <c r="AB134" s="7" t="str">
        <f t="shared" si="42"/>
        <v>[]</v>
      </c>
      <c r="AC134" s="7" t="str">
        <f t="shared" si="43"/>
        <v>[(105,40)]</v>
      </c>
    </row>
    <row r="135" spans="1:29" ht="15.75" x14ac:dyDescent="0.3">
      <c r="A135" s="18">
        <v>33</v>
      </c>
      <c r="B135" s="18">
        <v>2</v>
      </c>
      <c r="C135" s="7"/>
      <c r="D135" s="7" t="str">
        <f t="shared" si="30"/>
        <v/>
      </c>
      <c r="E135" s="7" t="s">
        <v>3033</v>
      </c>
      <c r="F135" s="68">
        <f t="shared" si="27"/>
        <v>0</v>
      </c>
      <c r="G135" s="7" t="s">
        <v>275</v>
      </c>
      <c r="H135" s="7" t="str">
        <f t="shared" si="31"/>
        <v>军费</v>
      </c>
      <c r="I135" s="7">
        <v>250</v>
      </c>
      <c r="J135" s="68">
        <f t="shared" si="32"/>
        <v>5</v>
      </c>
      <c r="K135" s="7"/>
      <c r="L135" s="7" t="str">
        <f t="shared" si="33"/>
        <v/>
      </c>
      <c r="M135" s="7"/>
      <c r="N135" s="68">
        <f t="shared" si="34"/>
        <v>0</v>
      </c>
      <c r="O135" s="76"/>
      <c r="Q135" s="13" t="s">
        <v>280</v>
      </c>
      <c r="R135" s="76">
        <f t="shared" si="40"/>
        <v>337.5</v>
      </c>
      <c r="S135" s="85">
        <f>R135/VLOOKUP(1,道具价值!$B$74:$E$80,4,FALSE)</f>
        <v>4.4850000000000003</v>
      </c>
      <c r="T135" s="85">
        <f>R135/VLOOKUP(6,道具价值!$B$74:$E$80,4,FALSE)</f>
        <v>3.3746624999999999</v>
      </c>
      <c r="V135" s="22" t="s">
        <v>2838</v>
      </c>
      <c r="W135" s="22">
        <v>300</v>
      </c>
      <c r="X135" s="22" t="s">
        <v>3029</v>
      </c>
      <c r="Y135" s="257">
        <f t="shared" si="41"/>
        <v>1</v>
      </c>
      <c r="Z135" s="22"/>
      <c r="AB135" s="7" t="str">
        <f t="shared" si="42"/>
        <v>[]</v>
      </c>
      <c r="AC135" s="7" t="str">
        <f t="shared" si="43"/>
        <v>[(102,250)]</v>
      </c>
    </row>
    <row r="136" spans="1:29" ht="15.75" x14ac:dyDescent="0.3">
      <c r="A136" s="18">
        <v>34</v>
      </c>
      <c r="B136" s="18">
        <v>2</v>
      </c>
      <c r="C136" s="7" t="s">
        <v>325</v>
      </c>
      <c r="D136" s="7" t="str">
        <f t="shared" si="30"/>
        <v>钻石</v>
      </c>
      <c r="E136" s="7">
        <v>30</v>
      </c>
      <c r="F136" s="68">
        <f t="shared" si="27"/>
        <v>30</v>
      </c>
      <c r="G136" s="7" t="s">
        <v>2707</v>
      </c>
      <c r="H136" s="7" t="str">
        <f t="shared" si="31"/>
        <v>BattlePass货币</v>
      </c>
      <c r="I136" s="7">
        <v>30</v>
      </c>
      <c r="J136" s="68">
        <f t="shared" si="32"/>
        <v>42</v>
      </c>
      <c r="K136" s="7"/>
      <c r="L136" s="7" t="str">
        <f t="shared" si="33"/>
        <v/>
      </c>
      <c r="M136" s="7"/>
      <c r="N136" s="68">
        <f t="shared" si="34"/>
        <v>0</v>
      </c>
      <c r="O136" s="76"/>
      <c r="Q136" s="13" t="s">
        <v>519</v>
      </c>
      <c r="R136" s="76">
        <f t="shared" si="40"/>
        <v>150</v>
      </c>
      <c r="S136" s="85">
        <f>R136/VLOOKUP(1,道具价值!$B$74:$E$80,4,FALSE)</f>
        <v>1.9933333333333334</v>
      </c>
      <c r="T136" s="85">
        <f>R136/VLOOKUP(6,道具价值!$B$74:$E$80,4,FALSE)</f>
        <v>1.4998499999999999</v>
      </c>
      <c r="Z136" s="22"/>
      <c r="AB136" s="7" t="str">
        <f t="shared" si="42"/>
        <v>[(101,30)]</v>
      </c>
      <c r="AC136" s="7" t="str">
        <f t="shared" si="43"/>
        <v>[(113,30)]</v>
      </c>
    </row>
    <row r="137" spans="1:29" ht="15.75" x14ac:dyDescent="0.3">
      <c r="A137" s="18">
        <v>35</v>
      </c>
      <c r="B137" s="18">
        <v>2</v>
      </c>
      <c r="C137" s="7" t="s">
        <v>3033</v>
      </c>
      <c r="D137" s="7" t="str">
        <f t="shared" si="30"/>
        <v/>
      </c>
      <c r="E137" s="7" t="s">
        <v>3033</v>
      </c>
      <c r="F137" s="68">
        <f t="shared" si="27"/>
        <v>0</v>
      </c>
      <c r="G137" s="7" t="s">
        <v>325</v>
      </c>
      <c r="H137" s="7" t="str">
        <f t="shared" si="31"/>
        <v>钻石</v>
      </c>
      <c r="I137" s="7">
        <v>30</v>
      </c>
      <c r="J137" s="68">
        <f t="shared" si="32"/>
        <v>30</v>
      </c>
      <c r="K137" s="7"/>
      <c r="L137" s="7" t="str">
        <f t="shared" si="33"/>
        <v/>
      </c>
      <c r="M137" s="7"/>
      <c r="N137" s="68">
        <f t="shared" si="34"/>
        <v>0</v>
      </c>
      <c r="O137" s="76"/>
      <c r="Q137" s="7" t="s">
        <v>3030</v>
      </c>
      <c r="R137" s="76">
        <f t="shared" si="40"/>
        <v>385</v>
      </c>
      <c r="S137" s="85">
        <f>R137/VLOOKUP(1,道具价值!$B$74:$E$80,4,FALSE)</f>
        <v>5.1162222222222224</v>
      </c>
      <c r="T137" s="85">
        <f>R137/VLOOKUP(6,道具价值!$B$74:$E$80,4,FALSE)</f>
        <v>3.8496149999999996</v>
      </c>
      <c r="V137" s="22"/>
      <c r="W137" s="22"/>
      <c r="X137" s="22"/>
      <c r="Y137" s="22"/>
      <c r="Z137" s="22"/>
      <c r="AB137" s="7" t="str">
        <f t="shared" si="42"/>
        <v>[]</v>
      </c>
      <c r="AC137" s="7" t="str">
        <f t="shared" si="43"/>
        <v>[(101,30)]</v>
      </c>
    </row>
    <row r="138" spans="1:29" ht="15.75" x14ac:dyDescent="0.3">
      <c r="A138" s="18">
        <v>36</v>
      </c>
      <c r="B138" s="18">
        <v>2</v>
      </c>
      <c r="C138" s="7" t="s">
        <v>3033</v>
      </c>
      <c r="D138" s="7" t="str">
        <f t="shared" si="30"/>
        <v/>
      </c>
      <c r="E138" s="7" t="s">
        <v>3033</v>
      </c>
      <c r="F138" s="68">
        <f t="shared" si="27"/>
        <v>0</v>
      </c>
      <c r="G138" s="7" t="s">
        <v>2402</v>
      </c>
      <c r="H138" s="7" t="str">
        <f t="shared" si="31"/>
        <v>宝箱</v>
      </c>
      <c r="I138" s="7">
        <v>1</v>
      </c>
      <c r="J138" s="68">
        <f t="shared" si="32"/>
        <v>100</v>
      </c>
      <c r="K138" s="7"/>
      <c r="L138" s="7" t="str">
        <f t="shared" si="33"/>
        <v/>
      </c>
      <c r="M138" s="7"/>
      <c r="N138" s="68">
        <f t="shared" si="34"/>
        <v>0</v>
      </c>
      <c r="O138" s="76"/>
      <c r="Q138" s="13" t="s">
        <v>328</v>
      </c>
      <c r="R138" s="76">
        <f t="shared" si="40"/>
        <v>2400</v>
      </c>
      <c r="S138" s="85">
        <f>R138/VLOOKUP(1,道具价值!$B$74:$E$80,4,FALSE)</f>
        <v>31.893333333333334</v>
      </c>
      <c r="T138" s="85">
        <f>R138/VLOOKUP(6,道具价值!$B$74:$E$80,4,FALSE)</f>
        <v>23.997599999999998</v>
      </c>
      <c r="V138" s="22"/>
      <c r="W138" s="22"/>
      <c r="X138" s="22"/>
      <c r="Y138" s="22"/>
      <c r="Z138" s="22"/>
      <c r="AB138" s="7" t="str">
        <f t="shared" si="42"/>
        <v>[]</v>
      </c>
      <c r="AC138" s="7" t="str">
        <f t="shared" si="43"/>
        <v>[(23004,1)]</v>
      </c>
    </row>
    <row r="139" spans="1:29" ht="15.75" x14ac:dyDescent="0.3">
      <c r="A139" s="18">
        <v>37</v>
      </c>
      <c r="B139" s="18">
        <v>2</v>
      </c>
      <c r="C139" s="7" t="s">
        <v>275</v>
      </c>
      <c r="D139" s="7" t="str">
        <f t="shared" si="30"/>
        <v>军费</v>
      </c>
      <c r="E139" s="7">
        <v>200</v>
      </c>
      <c r="F139" s="68">
        <f t="shared" si="27"/>
        <v>4</v>
      </c>
      <c r="G139" s="7" t="s">
        <v>519</v>
      </c>
      <c r="H139" s="7" t="str">
        <f t="shared" si="31"/>
        <v>双倍钥匙</v>
      </c>
      <c r="I139" s="7">
        <v>20</v>
      </c>
      <c r="J139" s="68">
        <f t="shared" si="32"/>
        <v>15</v>
      </c>
      <c r="K139" s="7"/>
      <c r="L139" s="7" t="str">
        <f t="shared" si="33"/>
        <v/>
      </c>
      <c r="M139" s="7"/>
      <c r="N139" s="68">
        <f t="shared" si="34"/>
        <v>0</v>
      </c>
      <c r="O139" s="76"/>
      <c r="Q139" s="13" t="s">
        <v>1743</v>
      </c>
      <c r="R139" s="76">
        <f t="shared" si="40"/>
        <v>12000</v>
      </c>
      <c r="S139" s="85">
        <f>R139/VLOOKUP(1,道具价值!$B$74:$E$80,4,FALSE)</f>
        <v>159.46666666666667</v>
      </c>
      <c r="T139" s="85">
        <f>R139/VLOOKUP(6,道具价值!$B$74:$E$80,4,FALSE)</f>
        <v>119.98799999999999</v>
      </c>
      <c r="V139" s="22"/>
      <c r="W139" s="22"/>
      <c r="X139" s="22"/>
      <c r="Y139" s="22"/>
      <c r="Z139" s="22"/>
      <c r="AB139" s="7" t="str">
        <f t="shared" si="42"/>
        <v>[(102,200)]</v>
      </c>
      <c r="AC139" s="7" t="str">
        <f t="shared" si="43"/>
        <v>[(111,20)]</v>
      </c>
    </row>
    <row r="140" spans="1:29" ht="15.75" x14ac:dyDescent="0.3">
      <c r="A140" s="18">
        <v>38</v>
      </c>
      <c r="B140" s="18">
        <v>2</v>
      </c>
      <c r="C140" s="7"/>
      <c r="D140" s="7" t="str">
        <f t="shared" si="30"/>
        <v/>
      </c>
      <c r="E140" s="7"/>
      <c r="F140" s="68">
        <f t="shared" si="27"/>
        <v>0</v>
      </c>
      <c r="G140" s="7" t="s">
        <v>2707</v>
      </c>
      <c r="H140" s="7" t="str">
        <f t="shared" si="31"/>
        <v>BattlePass货币</v>
      </c>
      <c r="I140" s="7">
        <v>30</v>
      </c>
      <c r="J140" s="68">
        <f t="shared" si="32"/>
        <v>42</v>
      </c>
      <c r="K140" s="7"/>
      <c r="L140" s="7" t="str">
        <f t="shared" si="33"/>
        <v/>
      </c>
      <c r="M140" s="7"/>
      <c r="N140" s="68">
        <f t="shared" si="34"/>
        <v>0</v>
      </c>
      <c r="O140" s="76"/>
      <c r="Q140" s="13" t="s">
        <v>3029</v>
      </c>
      <c r="R140" s="76">
        <f t="shared" si="40"/>
        <v>600</v>
      </c>
      <c r="S140" s="85">
        <f>R140/VLOOKUP(1,道具价值!$B$74:$E$80,4,FALSE)</f>
        <v>7.9733333333333336</v>
      </c>
      <c r="T140" s="85">
        <f>R140/VLOOKUP(6,道具价值!$B$74:$E$80,4,FALSE)</f>
        <v>5.9993999999999996</v>
      </c>
      <c r="V140" s="22"/>
      <c r="W140" s="22"/>
      <c r="X140" s="22"/>
      <c r="Y140" s="22"/>
      <c r="Z140" s="22"/>
      <c r="AB140" s="7" t="str">
        <f t="shared" si="42"/>
        <v>[]</v>
      </c>
      <c r="AC140" s="7" t="str">
        <f t="shared" si="43"/>
        <v>[(113,30)]</v>
      </c>
    </row>
    <row r="141" spans="1:29" ht="15.75" x14ac:dyDescent="0.3">
      <c r="A141" s="18">
        <v>39</v>
      </c>
      <c r="B141" s="18">
        <v>2</v>
      </c>
      <c r="C141" s="7" t="s">
        <v>3033</v>
      </c>
      <c r="D141" s="7" t="str">
        <f t="shared" si="30"/>
        <v/>
      </c>
      <c r="E141" s="7" t="s">
        <v>3033</v>
      </c>
      <c r="F141" s="68">
        <f t="shared" si="27"/>
        <v>0</v>
      </c>
      <c r="G141" s="7" t="s">
        <v>325</v>
      </c>
      <c r="H141" s="7" t="str">
        <f t="shared" si="31"/>
        <v>钻石</v>
      </c>
      <c r="I141" s="7">
        <v>30</v>
      </c>
      <c r="J141" s="68">
        <f t="shared" si="32"/>
        <v>30</v>
      </c>
      <c r="K141" s="7"/>
      <c r="L141" s="7" t="str">
        <f t="shared" si="33"/>
        <v/>
      </c>
      <c r="M141" s="7"/>
      <c r="N141" s="68">
        <f t="shared" si="34"/>
        <v>0</v>
      </c>
      <c r="O141" s="76"/>
      <c r="Q141" s="7" t="s">
        <v>3020</v>
      </c>
      <c r="R141" s="76">
        <f t="shared" si="40"/>
        <v>900</v>
      </c>
      <c r="S141" s="85">
        <f>R141/VLOOKUP(1,道具价值!$B$74:$E$80,4,FALSE)</f>
        <v>11.96</v>
      </c>
      <c r="T141" s="85">
        <f>R141/VLOOKUP(6,道具价值!$B$74:$E$80,4,FALSE)</f>
        <v>8.9990999999999985</v>
      </c>
      <c r="V141" s="22"/>
      <c r="W141" s="22"/>
      <c r="X141" s="22"/>
      <c r="Y141" s="22"/>
      <c r="Z141" s="22"/>
      <c r="AB141" s="7" t="str">
        <f t="shared" si="42"/>
        <v>[]</v>
      </c>
      <c r="AC141" s="7" t="str">
        <f t="shared" si="43"/>
        <v>[(101,30)]</v>
      </c>
    </row>
    <row r="142" spans="1:29" ht="15.75" x14ac:dyDescent="0.3">
      <c r="A142" s="18">
        <v>40</v>
      </c>
      <c r="B142" s="18">
        <v>2</v>
      </c>
      <c r="C142" s="70" t="s">
        <v>2828</v>
      </c>
      <c r="D142" s="7" t="str">
        <f t="shared" si="30"/>
        <v>涂鸦</v>
      </c>
      <c r="E142" s="70">
        <v>1</v>
      </c>
      <c r="F142" s="71">
        <f t="shared" si="27"/>
        <v>300</v>
      </c>
      <c r="G142" s="70" t="s">
        <v>2816</v>
      </c>
      <c r="H142" s="7" t="str">
        <f t="shared" si="31"/>
        <v>头像框</v>
      </c>
      <c r="I142" s="70">
        <v>1</v>
      </c>
      <c r="J142" s="68">
        <f t="shared" si="32"/>
        <v>300</v>
      </c>
      <c r="K142" s="70" t="s">
        <v>1956</v>
      </c>
      <c r="L142" s="7" t="str">
        <f t="shared" si="33"/>
        <v>坦克碎片</v>
      </c>
      <c r="M142" s="70">
        <v>12</v>
      </c>
      <c r="N142" s="68">
        <f t="shared" si="34"/>
        <v>1200</v>
      </c>
      <c r="O142" s="77">
        <f>SUM(N133:N142)+SUM(J133:J142)+SUM(F133:F142)</f>
        <v>2253</v>
      </c>
      <c r="Q142" s="7" t="s">
        <v>3013</v>
      </c>
      <c r="R142" s="76">
        <f t="shared" si="40"/>
        <v>1000</v>
      </c>
      <c r="S142" s="85">
        <f>R142/VLOOKUP(1,道具价值!$B$74:$E$80,4,FALSE)</f>
        <v>13.28888888888889</v>
      </c>
      <c r="T142" s="85">
        <f>R142/VLOOKUP(6,道具价值!$B$74:$E$80,4,FALSE)</f>
        <v>9.9989999999999988</v>
      </c>
      <c r="V142" s="22"/>
      <c r="W142" s="22"/>
      <c r="X142" s="22"/>
      <c r="Y142" s="22"/>
      <c r="Z142" s="22"/>
      <c r="AB142" s="7" t="str">
        <f t="shared" si="42"/>
        <v>[(150112,1)]</v>
      </c>
      <c r="AC142" s="7" t="str">
        <f t="shared" si="43"/>
        <v>[(130118,1),(52331,12)]</v>
      </c>
    </row>
    <row r="143" spans="1:29" ht="15.75" x14ac:dyDescent="0.3">
      <c r="A143" s="18">
        <v>41</v>
      </c>
      <c r="B143" s="18">
        <v>2</v>
      </c>
      <c r="C143" s="7" t="s">
        <v>3033</v>
      </c>
      <c r="D143" s="7" t="str">
        <f t="shared" si="30"/>
        <v/>
      </c>
      <c r="E143" s="7" t="s">
        <v>3033</v>
      </c>
      <c r="F143" s="68">
        <f t="shared" si="27"/>
        <v>0</v>
      </c>
      <c r="G143" s="7" t="s">
        <v>519</v>
      </c>
      <c r="H143" s="7" t="str">
        <f t="shared" si="31"/>
        <v>双倍钥匙</v>
      </c>
      <c r="I143" s="7">
        <v>30</v>
      </c>
      <c r="J143" s="68">
        <f t="shared" si="32"/>
        <v>22.5</v>
      </c>
      <c r="K143" s="7"/>
      <c r="L143" s="7" t="str">
        <f t="shared" si="33"/>
        <v/>
      </c>
      <c r="M143" s="7"/>
      <c r="N143" s="68">
        <f t="shared" si="34"/>
        <v>0</v>
      </c>
      <c r="O143" s="76"/>
      <c r="Q143" s="7" t="s">
        <v>3025</v>
      </c>
      <c r="R143" s="76">
        <f t="shared" si="40"/>
        <v>2100</v>
      </c>
      <c r="S143" s="85">
        <f>R143/VLOOKUP(1,道具价值!$B$74:$E$80,4,FALSE)</f>
        <v>27.90666666666667</v>
      </c>
      <c r="T143" s="85">
        <f>R143/VLOOKUP(6,道具价值!$B$74:$E$80,4,FALSE)</f>
        <v>20.997899999999998</v>
      </c>
      <c r="V143" s="22"/>
      <c r="W143" s="22"/>
      <c r="X143" s="22"/>
      <c r="Y143" s="22"/>
      <c r="Z143" s="22"/>
      <c r="AB143" s="7" t="str">
        <f t="shared" si="42"/>
        <v>[]</v>
      </c>
      <c r="AC143" s="7" t="str">
        <f t="shared" si="43"/>
        <v>[(111,30)]</v>
      </c>
    </row>
    <row r="144" spans="1:29" ht="15.75" x14ac:dyDescent="0.3">
      <c r="A144" s="18">
        <v>42</v>
      </c>
      <c r="B144" s="18">
        <v>2</v>
      </c>
      <c r="C144" s="7" t="s">
        <v>3033</v>
      </c>
      <c r="D144" s="7" t="str">
        <f t="shared" si="30"/>
        <v/>
      </c>
      <c r="E144" s="7" t="s">
        <v>3033</v>
      </c>
      <c r="F144" s="68">
        <f t="shared" si="27"/>
        <v>0</v>
      </c>
      <c r="G144" s="7" t="s">
        <v>275</v>
      </c>
      <c r="H144" s="7" t="str">
        <f t="shared" si="31"/>
        <v>军费</v>
      </c>
      <c r="I144" s="7">
        <v>250</v>
      </c>
      <c r="J144" s="68">
        <f t="shared" si="32"/>
        <v>5</v>
      </c>
      <c r="K144" s="7"/>
      <c r="L144" s="7" t="str">
        <f t="shared" si="33"/>
        <v/>
      </c>
      <c r="M144" s="7"/>
      <c r="N144" s="68">
        <f t="shared" si="34"/>
        <v>0</v>
      </c>
      <c r="O144" s="76"/>
      <c r="Q144" s="7" t="s">
        <v>3026</v>
      </c>
      <c r="R144" s="76">
        <f t="shared" si="40"/>
        <v>900</v>
      </c>
      <c r="S144" s="85">
        <f>R144/VLOOKUP(1,道具价值!$B$74:$E$80,4,FALSE)</f>
        <v>11.96</v>
      </c>
      <c r="T144" s="85">
        <f>R144/VLOOKUP(6,道具价值!$B$74:$E$80,4,FALSE)</f>
        <v>8.9990999999999985</v>
      </c>
      <c r="V144" s="22"/>
      <c r="W144" s="22"/>
      <c r="X144" s="22"/>
      <c r="Y144" s="22"/>
      <c r="Z144" s="22"/>
      <c r="AB144" s="7" t="str">
        <f t="shared" si="42"/>
        <v>[]</v>
      </c>
      <c r="AC144" s="7" t="str">
        <f t="shared" si="43"/>
        <v>[(102,250)]</v>
      </c>
    </row>
    <row r="145" spans="1:29" ht="15.75" x14ac:dyDescent="0.3">
      <c r="A145" s="18">
        <v>43</v>
      </c>
      <c r="B145" s="18">
        <v>2</v>
      </c>
      <c r="C145" s="7" t="s">
        <v>280</v>
      </c>
      <c r="D145" s="7" t="str">
        <f t="shared" si="30"/>
        <v>钥匙</v>
      </c>
      <c r="E145" s="7">
        <v>30</v>
      </c>
      <c r="F145" s="68">
        <f t="shared" si="27"/>
        <v>37.5</v>
      </c>
      <c r="G145" s="7" t="s">
        <v>2707</v>
      </c>
      <c r="H145" s="7" t="str">
        <f t="shared" si="31"/>
        <v>BattlePass货币</v>
      </c>
      <c r="I145" s="7">
        <v>30</v>
      </c>
      <c r="J145" s="68">
        <f t="shared" si="32"/>
        <v>42</v>
      </c>
      <c r="K145" s="7"/>
      <c r="L145" s="7" t="str">
        <f t="shared" si="33"/>
        <v/>
      </c>
      <c r="M145" s="7"/>
      <c r="N145" s="68">
        <f t="shared" si="34"/>
        <v>0</v>
      </c>
      <c r="O145" s="76"/>
      <c r="Q145" s="7" t="s">
        <v>3027</v>
      </c>
      <c r="R145" s="76">
        <f t="shared" si="40"/>
        <v>600</v>
      </c>
      <c r="S145" s="85">
        <f>R145/VLOOKUP(1,道具价值!$B$74:$E$80,4,FALSE)</f>
        <v>7.9733333333333336</v>
      </c>
      <c r="T145" s="85">
        <f>R145/VLOOKUP(6,道具价值!$B$74:$E$80,4,FALSE)</f>
        <v>5.9993999999999996</v>
      </c>
      <c r="V145" s="22"/>
      <c r="W145" s="22"/>
      <c r="X145" s="22"/>
      <c r="Y145" s="22"/>
      <c r="Z145" s="22"/>
      <c r="AB145" s="7" t="str">
        <f t="shared" si="42"/>
        <v>[(105,30)]</v>
      </c>
      <c r="AC145" s="7" t="str">
        <f t="shared" si="43"/>
        <v>[(113,30)]</v>
      </c>
    </row>
    <row r="146" spans="1:29" ht="15.75" x14ac:dyDescent="0.3">
      <c r="A146" s="18">
        <v>44</v>
      </c>
      <c r="B146" s="18">
        <v>2</v>
      </c>
      <c r="C146" s="7" t="s">
        <v>3033</v>
      </c>
      <c r="D146" s="7" t="str">
        <f t="shared" si="30"/>
        <v/>
      </c>
      <c r="E146" s="7" t="s">
        <v>3033</v>
      </c>
      <c r="F146" s="68">
        <f t="shared" si="27"/>
        <v>0</v>
      </c>
      <c r="G146" s="7" t="s">
        <v>2417</v>
      </c>
      <c r="H146" s="7" t="str">
        <f t="shared" si="31"/>
        <v>宝箱</v>
      </c>
      <c r="I146" s="7">
        <v>1</v>
      </c>
      <c r="J146" s="68">
        <f t="shared" si="32"/>
        <v>100</v>
      </c>
      <c r="K146" s="7"/>
      <c r="L146" s="7" t="str">
        <f t="shared" si="33"/>
        <v/>
      </c>
      <c r="M146" s="7"/>
      <c r="N146" s="68">
        <f t="shared" si="34"/>
        <v>0</v>
      </c>
      <c r="O146" s="76"/>
      <c r="Q146" s="7" t="s">
        <v>3028</v>
      </c>
      <c r="R146" s="76">
        <f t="shared" si="40"/>
        <v>1700</v>
      </c>
      <c r="S146" s="85">
        <f>R146/VLOOKUP(1,道具价值!$B$74:$E$80,4,FALSE)</f>
        <v>22.591111111111115</v>
      </c>
      <c r="T146" s="85">
        <f>R146/VLOOKUP(6,道具价值!$B$74:$E$80,4,FALSE)</f>
        <v>16.998299999999997</v>
      </c>
      <c r="V146" s="22"/>
      <c r="W146" s="22"/>
      <c r="X146" s="22"/>
      <c r="Y146" s="22"/>
      <c r="Z146" s="22"/>
      <c r="AB146" s="7" t="str">
        <f t="shared" si="42"/>
        <v>[]</v>
      </c>
      <c r="AC146" s="7" t="str">
        <f t="shared" si="43"/>
        <v>[(24005,1)]</v>
      </c>
    </row>
    <row r="147" spans="1:29" ht="15.75" x14ac:dyDescent="0.3">
      <c r="A147" s="18">
        <v>45</v>
      </c>
      <c r="B147" s="18">
        <v>2</v>
      </c>
      <c r="C147" s="7" t="s">
        <v>3033</v>
      </c>
      <c r="D147" s="7" t="str">
        <f t="shared" si="30"/>
        <v/>
      </c>
      <c r="E147" s="7" t="s">
        <v>3033</v>
      </c>
      <c r="F147" s="68">
        <f t="shared" si="27"/>
        <v>0</v>
      </c>
      <c r="G147" s="7" t="s">
        <v>2707</v>
      </c>
      <c r="H147" s="7" t="str">
        <f t="shared" si="31"/>
        <v>BattlePass货币</v>
      </c>
      <c r="I147" s="7">
        <v>30</v>
      </c>
      <c r="J147" s="68">
        <f t="shared" si="32"/>
        <v>42</v>
      </c>
      <c r="K147" s="7"/>
      <c r="L147" s="7" t="str">
        <f t="shared" si="33"/>
        <v/>
      </c>
      <c r="M147" s="7"/>
      <c r="N147" s="68">
        <f t="shared" si="34"/>
        <v>0</v>
      </c>
      <c r="O147" s="76"/>
      <c r="V147" s="22"/>
      <c r="W147" s="22"/>
      <c r="X147" s="22"/>
      <c r="Y147" s="22"/>
      <c r="Z147" s="22"/>
      <c r="AB147" s="7" t="str">
        <f t="shared" si="42"/>
        <v>[]</v>
      </c>
      <c r="AC147" s="7" t="str">
        <f t="shared" si="43"/>
        <v>[(113,30)]</v>
      </c>
    </row>
    <row r="148" spans="1:29" ht="15.75" x14ac:dyDescent="0.3">
      <c r="A148" s="18">
        <v>46</v>
      </c>
      <c r="B148" s="18">
        <v>2</v>
      </c>
      <c r="C148" s="7" t="s">
        <v>3033</v>
      </c>
      <c r="D148" s="7" t="str">
        <f t="shared" si="30"/>
        <v/>
      </c>
      <c r="E148" s="7" t="s">
        <v>3033</v>
      </c>
      <c r="F148" s="68">
        <f t="shared" si="27"/>
        <v>0</v>
      </c>
      <c r="G148" s="7" t="s">
        <v>325</v>
      </c>
      <c r="H148" s="7" t="str">
        <f t="shared" si="31"/>
        <v>钻石</v>
      </c>
      <c r="I148" s="7">
        <v>30</v>
      </c>
      <c r="J148" s="68">
        <f t="shared" si="32"/>
        <v>30</v>
      </c>
      <c r="K148" s="7"/>
      <c r="L148" s="7" t="str">
        <f t="shared" si="33"/>
        <v/>
      </c>
      <c r="M148" s="7"/>
      <c r="N148" s="68">
        <f t="shared" si="34"/>
        <v>0</v>
      </c>
      <c r="O148" s="76"/>
      <c r="Q148" s="7" t="s">
        <v>3034</v>
      </c>
      <c r="R148" s="76">
        <f>SUM(R140:R146)</f>
        <v>7800</v>
      </c>
      <c r="S148" s="85">
        <f>R148/VLOOKUP(1,道具价值!$B$74:$E$80,4,FALSE)</f>
        <v>103.65333333333334</v>
      </c>
      <c r="T148" s="85">
        <f>R148/VLOOKUP(6,道具价值!$B$74:$E$80,4,FALSE)</f>
        <v>77.992199999999997</v>
      </c>
      <c r="V148" s="22"/>
      <c r="W148" s="22"/>
      <c r="X148" s="22"/>
      <c r="Y148" s="22"/>
      <c r="Z148" s="22"/>
      <c r="AB148" s="7" t="str">
        <f t="shared" si="42"/>
        <v>[]</v>
      </c>
      <c r="AC148" s="7" t="str">
        <f t="shared" si="43"/>
        <v>[(101,30)]</v>
      </c>
    </row>
    <row r="149" spans="1:29" ht="15.75" x14ac:dyDescent="0.3">
      <c r="A149" s="18">
        <v>47</v>
      </c>
      <c r="B149" s="18">
        <v>2</v>
      </c>
      <c r="C149" s="7" t="s">
        <v>2478</v>
      </c>
      <c r="D149" s="7" t="str">
        <f t="shared" si="30"/>
        <v>宝箱</v>
      </c>
      <c r="E149" s="7">
        <v>1</v>
      </c>
      <c r="F149" s="68">
        <f t="shared" si="27"/>
        <v>600</v>
      </c>
      <c r="G149" s="7" t="s">
        <v>1956</v>
      </c>
      <c r="H149" s="7" t="str">
        <f t="shared" si="31"/>
        <v>坦克碎片</v>
      </c>
      <c r="I149" s="7">
        <v>12</v>
      </c>
      <c r="J149" s="68">
        <f t="shared" si="32"/>
        <v>1200</v>
      </c>
      <c r="K149" s="7"/>
      <c r="L149" s="7" t="str">
        <f t="shared" si="33"/>
        <v/>
      </c>
      <c r="M149" s="7"/>
      <c r="N149" s="68">
        <f t="shared" si="34"/>
        <v>0</v>
      </c>
      <c r="O149" s="76"/>
      <c r="Q149" s="7" t="s">
        <v>3035</v>
      </c>
      <c r="R149" s="76">
        <f>SUM(R131:R139)</f>
        <v>22844.7</v>
      </c>
      <c r="S149" s="85">
        <f>R149/VLOOKUP(1,道具价值!$B$74:$E$80,4,FALSE)</f>
        <v>303.58068000000003</v>
      </c>
      <c r="T149" s="85">
        <f>R149/VLOOKUP(6,道具价值!$B$74:$E$80,4,FALSE)</f>
        <v>228.4241553</v>
      </c>
      <c r="V149" s="22"/>
      <c r="W149" s="22"/>
      <c r="X149" s="22"/>
      <c r="Y149" s="22"/>
      <c r="Z149" s="22"/>
      <c r="AB149" s="7" t="str">
        <f t="shared" si="42"/>
        <v>[(25154,1)]</v>
      </c>
      <c r="AC149" s="7" t="str">
        <f t="shared" si="43"/>
        <v>[(52331,12)]</v>
      </c>
    </row>
    <row r="150" spans="1:29" ht="15.75" x14ac:dyDescent="0.3">
      <c r="A150" s="18">
        <v>48</v>
      </c>
      <c r="B150" s="18">
        <v>2</v>
      </c>
      <c r="C150" s="7" t="s">
        <v>3033</v>
      </c>
      <c r="D150" s="7" t="str">
        <f t="shared" si="30"/>
        <v/>
      </c>
      <c r="E150" s="7" t="s">
        <v>3033</v>
      </c>
      <c r="F150" s="68">
        <f t="shared" si="27"/>
        <v>0</v>
      </c>
      <c r="G150" s="7" t="s">
        <v>275</v>
      </c>
      <c r="H150" s="7" t="str">
        <f t="shared" si="31"/>
        <v>军费</v>
      </c>
      <c r="I150" s="7">
        <v>250</v>
      </c>
      <c r="J150" s="68">
        <f t="shared" si="32"/>
        <v>5</v>
      </c>
      <c r="K150" s="7"/>
      <c r="L150" s="7" t="str">
        <f t="shared" si="33"/>
        <v/>
      </c>
      <c r="M150" s="7"/>
      <c r="N150" s="68">
        <f t="shared" si="34"/>
        <v>0</v>
      </c>
      <c r="O150" s="76"/>
      <c r="V150" s="22"/>
      <c r="W150" s="22"/>
      <c r="X150" s="22"/>
      <c r="Y150" s="22"/>
      <c r="Z150" s="22"/>
      <c r="AB150" s="7" t="str">
        <f t="shared" si="42"/>
        <v>[]</v>
      </c>
      <c r="AC150" s="7" t="str">
        <f t="shared" si="43"/>
        <v>[(102,250)]</v>
      </c>
    </row>
    <row r="151" spans="1:29" ht="15.75" x14ac:dyDescent="0.3">
      <c r="A151" s="18">
        <v>49</v>
      </c>
      <c r="B151" s="18">
        <v>2</v>
      </c>
      <c r="C151" s="7" t="s">
        <v>3033</v>
      </c>
      <c r="D151" s="7" t="str">
        <f t="shared" si="30"/>
        <v/>
      </c>
      <c r="E151" s="7" t="s">
        <v>3033</v>
      </c>
      <c r="F151" s="68">
        <f t="shared" si="27"/>
        <v>0</v>
      </c>
      <c r="G151" s="7" t="s">
        <v>288</v>
      </c>
      <c r="H151" s="7" t="str">
        <f t="shared" si="31"/>
        <v>加速</v>
      </c>
      <c r="I151" s="7">
        <v>2</v>
      </c>
      <c r="J151" s="68">
        <f t="shared" si="32"/>
        <v>70</v>
      </c>
      <c r="K151" s="7"/>
      <c r="L151" s="7" t="str">
        <f t="shared" si="33"/>
        <v/>
      </c>
      <c r="M151" s="7"/>
      <c r="N151" s="68">
        <f t="shared" si="34"/>
        <v>0</v>
      </c>
      <c r="O151" s="76"/>
      <c r="V151" s="22"/>
      <c r="W151" s="22"/>
      <c r="X151" s="22"/>
      <c r="Y151" s="22"/>
      <c r="Z151" s="22"/>
      <c r="AB151" s="7" t="str">
        <f t="shared" si="42"/>
        <v>[]</v>
      </c>
      <c r="AC151" s="7" t="str">
        <f t="shared" si="43"/>
        <v>[(100301,2)]</v>
      </c>
    </row>
    <row r="152" spans="1:29" ht="15.75" x14ac:dyDescent="0.3">
      <c r="A152" s="18">
        <v>50</v>
      </c>
      <c r="B152" s="18">
        <v>2</v>
      </c>
      <c r="C152" s="70" t="s">
        <v>2832</v>
      </c>
      <c r="D152" s="7" t="str">
        <f t="shared" si="30"/>
        <v>摆件</v>
      </c>
      <c r="E152" s="70">
        <v>1</v>
      </c>
      <c r="F152" s="71">
        <f t="shared" si="27"/>
        <v>300</v>
      </c>
      <c r="G152" s="70" t="s">
        <v>2838</v>
      </c>
      <c r="H152" s="7" t="str">
        <f t="shared" si="31"/>
        <v>流光</v>
      </c>
      <c r="I152" s="70">
        <v>1</v>
      </c>
      <c r="J152" s="68">
        <f t="shared" si="32"/>
        <v>300</v>
      </c>
      <c r="K152" s="70" t="s">
        <v>2800</v>
      </c>
      <c r="L152" s="7" t="str">
        <f t="shared" si="33"/>
        <v>头像</v>
      </c>
      <c r="M152" s="70">
        <v>1</v>
      </c>
      <c r="N152" s="68">
        <f t="shared" si="34"/>
        <v>200</v>
      </c>
      <c r="O152" s="77">
        <f>SUM(N143:N152)+SUM(J143:J152)+SUM(F143:F152)</f>
        <v>2954</v>
      </c>
      <c r="V152" s="22"/>
      <c r="W152" s="22"/>
      <c r="X152" s="22"/>
      <c r="Y152" s="22"/>
      <c r="Z152" s="22"/>
      <c r="AB152" s="7" t="str">
        <f t="shared" si="42"/>
        <v>[(110108,1)]</v>
      </c>
      <c r="AC152" s="7" t="str">
        <f t="shared" si="43"/>
        <v>[(190005,1),(140124,1)]</v>
      </c>
    </row>
    <row r="153" spans="1:29" ht="15.75" x14ac:dyDescent="0.3">
      <c r="A153" s="18">
        <v>51</v>
      </c>
      <c r="B153" s="18">
        <v>2</v>
      </c>
      <c r="C153" s="7"/>
      <c r="D153" s="7" t="str">
        <f t="shared" si="30"/>
        <v/>
      </c>
      <c r="E153" s="7"/>
      <c r="F153" s="68">
        <f t="shared" si="27"/>
        <v>0</v>
      </c>
      <c r="G153" s="7" t="s">
        <v>2478</v>
      </c>
      <c r="H153" s="7" t="str">
        <f t="shared" si="31"/>
        <v>宝箱</v>
      </c>
      <c r="I153" s="7">
        <v>1</v>
      </c>
      <c r="J153" s="68">
        <f t="shared" si="32"/>
        <v>600</v>
      </c>
      <c r="K153" s="7"/>
      <c r="L153" s="7" t="str">
        <f t="shared" si="33"/>
        <v/>
      </c>
      <c r="M153" s="7"/>
      <c r="N153" s="68">
        <f t="shared" si="34"/>
        <v>0</v>
      </c>
      <c r="O153" s="76"/>
      <c r="V153" s="22"/>
      <c r="W153" s="22"/>
      <c r="X153" s="22"/>
      <c r="Y153" s="22"/>
      <c r="Z153" s="22"/>
      <c r="AB153" s="7" t="str">
        <f t="shared" si="42"/>
        <v>[]</v>
      </c>
      <c r="AC153" s="7" t="str">
        <f t="shared" si="43"/>
        <v>[(25154,1)]</v>
      </c>
    </row>
    <row r="154" spans="1:29" ht="15.75" x14ac:dyDescent="0.3">
      <c r="A154" s="18">
        <v>52</v>
      </c>
      <c r="B154" s="18">
        <v>2</v>
      </c>
      <c r="C154" s="7"/>
      <c r="D154" s="7" t="str">
        <f t="shared" si="30"/>
        <v/>
      </c>
      <c r="E154" s="7"/>
      <c r="F154" s="68">
        <f t="shared" si="27"/>
        <v>0</v>
      </c>
      <c r="G154" s="7" t="s">
        <v>275</v>
      </c>
      <c r="H154" s="7" t="str">
        <f t="shared" si="31"/>
        <v>军费</v>
      </c>
      <c r="I154" s="7">
        <v>375</v>
      </c>
      <c r="J154" s="68">
        <f t="shared" si="32"/>
        <v>7.5</v>
      </c>
      <c r="K154" s="7"/>
      <c r="L154" s="7" t="str">
        <f t="shared" si="33"/>
        <v/>
      </c>
      <c r="M154" s="7"/>
      <c r="N154" s="68">
        <f t="shared" si="34"/>
        <v>0</v>
      </c>
      <c r="O154" s="76"/>
      <c r="V154" s="22"/>
      <c r="W154" s="22"/>
      <c r="X154" s="22"/>
      <c r="Y154" s="22"/>
      <c r="Z154" s="22"/>
      <c r="AB154" s="7" t="str">
        <f t="shared" si="42"/>
        <v>[]</v>
      </c>
      <c r="AC154" s="7" t="str">
        <f t="shared" si="43"/>
        <v>[(102,375)]</v>
      </c>
    </row>
    <row r="155" spans="1:29" ht="15.75" x14ac:dyDescent="0.3">
      <c r="A155" s="18">
        <v>53</v>
      </c>
      <c r="B155" s="18">
        <v>2</v>
      </c>
      <c r="C155" s="7"/>
      <c r="D155" s="7" t="str">
        <f t="shared" si="30"/>
        <v/>
      </c>
      <c r="E155" s="7"/>
      <c r="F155" s="68">
        <f t="shared" si="27"/>
        <v>0</v>
      </c>
      <c r="G155" s="7" t="s">
        <v>325</v>
      </c>
      <c r="H155" s="7" t="str">
        <f t="shared" si="31"/>
        <v>钻石</v>
      </c>
      <c r="I155" s="7">
        <v>50</v>
      </c>
      <c r="J155" s="68">
        <f t="shared" si="32"/>
        <v>50</v>
      </c>
      <c r="K155" s="7"/>
      <c r="L155" s="7" t="str">
        <f t="shared" si="33"/>
        <v/>
      </c>
      <c r="M155" s="7"/>
      <c r="N155" s="68">
        <f t="shared" si="34"/>
        <v>0</v>
      </c>
      <c r="O155" s="76"/>
      <c r="V155" s="22"/>
      <c r="W155" s="22"/>
      <c r="X155" s="22"/>
      <c r="Y155" s="22"/>
      <c r="Z155" s="22"/>
      <c r="AB155" s="7" t="str">
        <f t="shared" si="42"/>
        <v>[]</v>
      </c>
      <c r="AC155" s="7" t="str">
        <f t="shared" si="43"/>
        <v>[(101,50)]</v>
      </c>
    </row>
    <row r="156" spans="1:29" ht="15.75" x14ac:dyDescent="0.3">
      <c r="A156" s="18">
        <v>54</v>
      </c>
      <c r="B156" s="18">
        <v>2</v>
      </c>
      <c r="C156" s="7"/>
      <c r="D156" s="7" t="str">
        <f t="shared" si="30"/>
        <v/>
      </c>
      <c r="E156" s="7"/>
      <c r="F156" s="68">
        <f t="shared" si="27"/>
        <v>0</v>
      </c>
      <c r="G156" s="7" t="s">
        <v>288</v>
      </c>
      <c r="H156" s="7" t="str">
        <f t="shared" si="31"/>
        <v>加速</v>
      </c>
      <c r="I156" s="7">
        <v>2</v>
      </c>
      <c r="J156" s="68">
        <f t="shared" si="32"/>
        <v>70</v>
      </c>
      <c r="K156" s="7"/>
      <c r="L156" s="7" t="str">
        <f t="shared" si="33"/>
        <v/>
      </c>
      <c r="M156" s="7"/>
      <c r="N156" s="68">
        <f t="shared" si="34"/>
        <v>0</v>
      </c>
      <c r="O156" s="76"/>
      <c r="V156" s="22"/>
      <c r="W156" s="22"/>
      <c r="X156" s="22"/>
      <c r="Y156" s="22"/>
      <c r="Z156" s="22"/>
      <c r="AB156" s="7" t="str">
        <f t="shared" si="42"/>
        <v>[]</v>
      </c>
      <c r="AC156" s="7" t="str">
        <f t="shared" si="43"/>
        <v>[(100301,2)]</v>
      </c>
    </row>
    <row r="157" spans="1:29" ht="15.75" x14ac:dyDescent="0.3">
      <c r="A157" s="18">
        <v>55</v>
      </c>
      <c r="B157" s="18">
        <v>2</v>
      </c>
      <c r="C157" s="7"/>
      <c r="D157" s="7" t="str">
        <f t="shared" si="30"/>
        <v/>
      </c>
      <c r="E157" s="7"/>
      <c r="F157" s="68">
        <f t="shared" si="27"/>
        <v>0</v>
      </c>
      <c r="G157" s="7" t="s">
        <v>2707</v>
      </c>
      <c r="H157" s="7" t="str">
        <f t="shared" si="31"/>
        <v>BattlePass货币</v>
      </c>
      <c r="I157" s="7">
        <v>50</v>
      </c>
      <c r="J157" s="68">
        <f t="shared" si="32"/>
        <v>70</v>
      </c>
      <c r="K157" s="7"/>
      <c r="L157" s="7" t="str">
        <f t="shared" si="33"/>
        <v/>
      </c>
      <c r="M157" s="7"/>
      <c r="N157" s="68">
        <f t="shared" si="34"/>
        <v>0</v>
      </c>
      <c r="O157" s="76"/>
      <c r="V157" s="22"/>
      <c r="W157" s="22"/>
      <c r="X157" s="22"/>
      <c r="Y157" s="22"/>
      <c r="Z157" s="22"/>
      <c r="AB157" s="7" t="str">
        <f t="shared" si="42"/>
        <v>[]</v>
      </c>
      <c r="AC157" s="7" t="str">
        <f t="shared" si="43"/>
        <v>[(113,50)]</v>
      </c>
    </row>
    <row r="158" spans="1:29" ht="15.75" x14ac:dyDescent="0.3">
      <c r="A158" s="18">
        <v>56</v>
      </c>
      <c r="B158" s="18">
        <v>2</v>
      </c>
      <c r="C158" s="7"/>
      <c r="D158" s="7" t="str">
        <f t="shared" si="30"/>
        <v/>
      </c>
      <c r="E158" s="7"/>
      <c r="F158" s="68">
        <f t="shared" si="27"/>
        <v>0</v>
      </c>
      <c r="G158" s="13" t="s">
        <v>275</v>
      </c>
      <c r="H158" s="7" t="str">
        <f t="shared" si="31"/>
        <v>军费</v>
      </c>
      <c r="I158" s="7">
        <v>375</v>
      </c>
      <c r="J158" s="68">
        <f t="shared" si="32"/>
        <v>7.5</v>
      </c>
      <c r="K158" s="7"/>
      <c r="L158" s="7" t="str">
        <f t="shared" si="33"/>
        <v/>
      </c>
      <c r="M158" s="7"/>
      <c r="N158" s="68">
        <f t="shared" si="34"/>
        <v>0</v>
      </c>
      <c r="O158" s="76"/>
      <c r="V158" s="22"/>
      <c r="W158" s="22"/>
      <c r="X158" s="22"/>
      <c r="Y158" s="22"/>
      <c r="Z158" s="22"/>
      <c r="AB158" s="7" t="str">
        <f t="shared" si="42"/>
        <v>[]</v>
      </c>
      <c r="AC158" s="7" t="str">
        <f t="shared" si="43"/>
        <v>[(102,375)]</v>
      </c>
    </row>
    <row r="159" spans="1:29" ht="15.75" x14ac:dyDescent="0.3">
      <c r="A159" s="18">
        <v>57</v>
      </c>
      <c r="B159" s="18">
        <v>2</v>
      </c>
      <c r="C159" s="7"/>
      <c r="D159" s="7" t="str">
        <f t="shared" si="30"/>
        <v/>
      </c>
      <c r="E159" s="7"/>
      <c r="F159" s="68">
        <f t="shared" si="27"/>
        <v>0</v>
      </c>
      <c r="G159" s="7" t="s">
        <v>529</v>
      </c>
      <c r="H159" s="7" t="str">
        <f t="shared" si="31"/>
        <v>宝箱</v>
      </c>
      <c r="I159" s="7">
        <v>1</v>
      </c>
      <c r="J159" s="68">
        <f t="shared" si="32"/>
        <v>100</v>
      </c>
      <c r="K159" s="7"/>
      <c r="L159" s="7" t="str">
        <f t="shared" si="33"/>
        <v/>
      </c>
      <c r="M159" s="7"/>
      <c r="N159" s="68">
        <f t="shared" si="34"/>
        <v>0</v>
      </c>
      <c r="O159" s="76"/>
      <c r="V159" s="22"/>
      <c r="W159" s="22"/>
      <c r="X159" s="22"/>
      <c r="Y159" s="22"/>
      <c r="Z159" s="22"/>
      <c r="AB159" s="7" t="str">
        <f t="shared" si="42"/>
        <v>[]</v>
      </c>
      <c r="AC159" s="7" t="str">
        <f t="shared" si="43"/>
        <v>[(24004,1)]</v>
      </c>
    </row>
    <row r="160" spans="1:29" ht="15.75" x14ac:dyDescent="0.3">
      <c r="A160" s="18">
        <v>58</v>
      </c>
      <c r="B160" s="18">
        <v>2</v>
      </c>
      <c r="C160" s="7"/>
      <c r="D160" s="7" t="str">
        <f t="shared" si="30"/>
        <v/>
      </c>
      <c r="E160" s="7"/>
      <c r="F160" s="68">
        <f t="shared" si="27"/>
        <v>0</v>
      </c>
      <c r="G160" s="7" t="s">
        <v>275</v>
      </c>
      <c r="H160" s="7" t="str">
        <f t="shared" si="31"/>
        <v>军费</v>
      </c>
      <c r="I160" s="7">
        <v>375</v>
      </c>
      <c r="J160" s="68">
        <f t="shared" si="32"/>
        <v>7.5</v>
      </c>
      <c r="K160" s="7"/>
      <c r="L160" s="7" t="str">
        <f t="shared" si="33"/>
        <v/>
      </c>
      <c r="M160" s="7"/>
      <c r="N160" s="68">
        <f t="shared" si="34"/>
        <v>0</v>
      </c>
      <c r="O160" s="76"/>
      <c r="V160" s="22"/>
      <c r="W160" s="22"/>
      <c r="X160" s="22"/>
      <c r="Y160" s="22"/>
      <c r="Z160" s="22"/>
      <c r="AB160" s="7" t="str">
        <f t="shared" si="42"/>
        <v>[]</v>
      </c>
      <c r="AC160" s="7" t="str">
        <f t="shared" si="43"/>
        <v>[(102,375)]</v>
      </c>
    </row>
    <row r="161" spans="1:29" ht="15.75" x14ac:dyDescent="0.3">
      <c r="A161" s="18">
        <v>59</v>
      </c>
      <c r="B161" s="18">
        <v>2</v>
      </c>
      <c r="C161" s="7"/>
      <c r="D161" s="7" t="str">
        <f t="shared" si="30"/>
        <v/>
      </c>
      <c r="E161" s="7"/>
      <c r="F161" s="68">
        <f t="shared" si="27"/>
        <v>0</v>
      </c>
      <c r="G161" s="7" t="s">
        <v>325</v>
      </c>
      <c r="H161" s="7" t="str">
        <f t="shared" si="31"/>
        <v>钻石</v>
      </c>
      <c r="I161" s="7">
        <v>50</v>
      </c>
      <c r="J161" s="68">
        <f t="shared" si="32"/>
        <v>50</v>
      </c>
      <c r="K161" s="7"/>
      <c r="L161" s="7" t="str">
        <f t="shared" si="33"/>
        <v/>
      </c>
      <c r="M161" s="7"/>
      <c r="N161" s="68">
        <f t="shared" si="34"/>
        <v>0</v>
      </c>
      <c r="O161" s="76"/>
      <c r="V161" s="22"/>
      <c r="W161" s="22"/>
      <c r="X161" s="22"/>
      <c r="Y161" s="22"/>
      <c r="Z161" s="22"/>
      <c r="AB161" s="7" t="str">
        <f t="shared" si="42"/>
        <v>[]</v>
      </c>
      <c r="AC161" s="7" t="str">
        <f t="shared" si="43"/>
        <v>[(101,50)]</v>
      </c>
    </row>
    <row r="162" spans="1:29" ht="15.75" x14ac:dyDescent="0.3">
      <c r="A162" s="18">
        <v>60</v>
      </c>
      <c r="B162" s="18">
        <v>2</v>
      </c>
      <c r="C162" s="70"/>
      <c r="D162" s="7" t="str">
        <f t="shared" si="30"/>
        <v/>
      </c>
      <c r="E162" s="70"/>
      <c r="F162" s="71">
        <f t="shared" si="27"/>
        <v>0</v>
      </c>
      <c r="G162" s="70" t="s">
        <v>1956</v>
      </c>
      <c r="H162" s="7" t="str">
        <f t="shared" si="31"/>
        <v>坦克碎片</v>
      </c>
      <c r="I162" s="70">
        <v>12</v>
      </c>
      <c r="J162" s="68">
        <f t="shared" si="32"/>
        <v>1200</v>
      </c>
      <c r="K162" s="70" t="s">
        <v>2814</v>
      </c>
      <c r="L162" s="7" t="str">
        <f t="shared" si="33"/>
        <v>头像框</v>
      </c>
      <c r="M162" s="70">
        <v>1</v>
      </c>
      <c r="N162" s="68">
        <f t="shared" si="34"/>
        <v>300</v>
      </c>
      <c r="O162" s="77">
        <f>SUM(N153:N162)+SUM(J153:J162)+SUM(F153:F162)</f>
        <v>2462.5</v>
      </c>
      <c r="V162" s="22"/>
      <c r="W162" s="22"/>
      <c r="X162" s="22"/>
      <c r="Y162" s="22"/>
      <c r="Z162" s="22"/>
      <c r="AB162" s="7" t="str">
        <f t="shared" si="42"/>
        <v>[]</v>
      </c>
      <c r="AC162" s="7" t="str">
        <f t="shared" si="43"/>
        <v>[(52331,12),(130117,1)]</v>
      </c>
    </row>
    <row r="163" spans="1:29" ht="15.75" x14ac:dyDescent="0.3">
      <c r="A163" s="18">
        <v>61</v>
      </c>
      <c r="B163" s="18">
        <v>2</v>
      </c>
      <c r="C163" s="7"/>
      <c r="D163" s="7" t="str">
        <f t="shared" si="30"/>
        <v/>
      </c>
      <c r="E163" s="7"/>
      <c r="F163" s="68">
        <f t="shared" ref="F163:F202" si="44">IF(C163="",0,VLOOKUP(C163,$V:$W,2,FALSE)*E163)</f>
        <v>0</v>
      </c>
      <c r="G163" s="7" t="s">
        <v>2707</v>
      </c>
      <c r="H163" s="7" t="str">
        <f t="shared" si="31"/>
        <v>BattlePass货币</v>
      </c>
      <c r="I163" s="7">
        <v>50</v>
      </c>
      <c r="J163" s="68">
        <f t="shared" si="32"/>
        <v>70</v>
      </c>
      <c r="K163" s="7"/>
      <c r="L163" s="7" t="str">
        <f t="shared" si="33"/>
        <v/>
      </c>
      <c r="M163" s="7"/>
      <c r="N163" s="68">
        <f t="shared" si="34"/>
        <v>0</v>
      </c>
      <c r="O163" s="76"/>
      <c r="V163" s="22"/>
      <c r="W163" s="22"/>
      <c r="X163" s="22"/>
      <c r="Y163" s="22"/>
      <c r="Z163" s="22"/>
      <c r="AB163" s="7" t="str">
        <f t="shared" si="42"/>
        <v>[]</v>
      </c>
      <c r="AC163" s="7" t="str">
        <f t="shared" si="43"/>
        <v>[(113,50)]</v>
      </c>
    </row>
    <row r="164" spans="1:29" ht="15.75" x14ac:dyDescent="0.3">
      <c r="A164" s="18">
        <v>62</v>
      </c>
      <c r="B164" s="18">
        <v>2</v>
      </c>
      <c r="C164" s="7"/>
      <c r="D164" s="7" t="str">
        <f t="shared" si="30"/>
        <v/>
      </c>
      <c r="E164" s="7"/>
      <c r="F164" s="68">
        <f t="shared" si="44"/>
        <v>0</v>
      </c>
      <c r="G164" s="7" t="s">
        <v>275</v>
      </c>
      <c r="H164" s="7" t="str">
        <f t="shared" si="31"/>
        <v>军费</v>
      </c>
      <c r="I164" s="7">
        <v>375</v>
      </c>
      <c r="J164" s="68">
        <f t="shared" si="32"/>
        <v>7.5</v>
      </c>
      <c r="K164" s="7"/>
      <c r="L164" s="7" t="str">
        <f t="shared" si="33"/>
        <v/>
      </c>
      <c r="M164" s="7"/>
      <c r="N164" s="68">
        <f t="shared" si="34"/>
        <v>0</v>
      </c>
      <c r="O164" s="76"/>
      <c r="V164" s="22"/>
      <c r="W164" s="22"/>
      <c r="X164" s="22"/>
      <c r="Y164" s="22"/>
      <c r="Z164" s="22"/>
      <c r="AB164" s="7" t="str">
        <f t="shared" si="42"/>
        <v>[]</v>
      </c>
      <c r="AC164" s="7" t="str">
        <f t="shared" si="43"/>
        <v>[(102,375)]</v>
      </c>
    </row>
    <row r="165" spans="1:29" ht="15.75" x14ac:dyDescent="0.3">
      <c r="A165" s="18">
        <v>63</v>
      </c>
      <c r="B165" s="18">
        <v>2</v>
      </c>
      <c r="C165" s="7"/>
      <c r="D165" s="7" t="str">
        <f t="shared" si="30"/>
        <v/>
      </c>
      <c r="E165" s="7"/>
      <c r="F165" s="68">
        <f t="shared" si="44"/>
        <v>0</v>
      </c>
      <c r="G165" s="7" t="s">
        <v>2402</v>
      </c>
      <c r="H165" s="7" t="str">
        <f t="shared" si="31"/>
        <v>宝箱</v>
      </c>
      <c r="I165" s="7">
        <v>1</v>
      </c>
      <c r="J165" s="68">
        <f t="shared" si="32"/>
        <v>100</v>
      </c>
      <c r="K165" s="7"/>
      <c r="L165" s="7" t="str">
        <f t="shared" si="33"/>
        <v/>
      </c>
      <c r="M165" s="7"/>
      <c r="N165" s="68">
        <f t="shared" si="34"/>
        <v>0</v>
      </c>
      <c r="O165" s="76"/>
      <c r="V165" s="22"/>
      <c r="W165" s="22"/>
      <c r="X165" s="22"/>
      <c r="Y165" s="22"/>
      <c r="Z165" s="22"/>
      <c r="AB165" s="7" t="str">
        <f t="shared" si="42"/>
        <v>[]</v>
      </c>
      <c r="AC165" s="7" t="str">
        <f t="shared" si="43"/>
        <v>[(23004,1)]</v>
      </c>
    </row>
    <row r="166" spans="1:29" ht="15.75" x14ac:dyDescent="0.3">
      <c r="A166" s="18">
        <v>64</v>
      </c>
      <c r="B166" s="18">
        <v>2</v>
      </c>
      <c r="C166" s="7"/>
      <c r="D166" s="7" t="str">
        <f t="shared" si="30"/>
        <v/>
      </c>
      <c r="E166" s="7"/>
      <c r="F166" s="68">
        <f t="shared" si="44"/>
        <v>0</v>
      </c>
      <c r="G166" s="13" t="s">
        <v>275</v>
      </c>
      <c r="H166" s="7" t="str">
        <f t="shared" si="31"/>
        <v>军费</v>
      </c>
      <c r="I166" s="7">
        <v>375</v>
      </c>
      <c r="J166" s="68">
        <f t="shared" si="32"/>
        <v>7.5</v>
      </c>
      <c r="K166" s="7"/>
      <c r="L166" s="7" t="str">
        <f t="shared" si="33"/>
        <v/>
      </c>
      <c r="M166" s="7"/>
      <c r="N166" s="68">
        <f t="shared" si="34"/>
        <v>0</v>
      </c>
      <c r="O166" s="76"/>
      <c r="V166" s="22"/>
      <c r="W166" s="22"/>
      <c r="X166" s="22"/>
      <c r="Y166" s="22"/>
      <c r="Z166" s="22"/>
      <c r="AB166" s="7" t="str">
        <f t="shared" si="42"/>
        <v>[]</v>
      </c>
      <c r="AC166" s="7" t="str">
        <f t="shared" si="43"/>
        <v>[(102,375)]</v>
      </c>
    </row>
    <row r="167" spans="1:29" ht="15.75" x14ac:dyDescent="0.3">
      <c r="A167" s="18">
        <v>65</v>
      </c>
      <c r="B167" s="18">
        <v>2</v>
      </c>
      <c r="C167" s="7"/>
      <c r="D167" s="7" t="str">
        <f t="shared" si="30"/>
        <v/>
      </c>
      <c r="E167" s="7"/>
      <c r="F167" s="68">
        <f t="shared" si="44"/>
        <v>0</v>
      </c>
      <c r="G167" s="7" t="s">
        <v>325</v>
      </c>
      <c r="H167" s="7" t="str">
        <f t="shared" si="31"/>
        <v>钻石</v>
      </c>
      <c r="I167" s="7">
        <v>50</v>
      </c>
      <c r="J167" s="68">
        <f t="shared" si="32"/>
        <v>50</v>
      </c>
      <c r="K167" s="7"/>
      <c r="L167" s="7" t="str">
        <f t="shared" si="33"/>
        <v/>
      </c>
      <c r="M167" s="7"/>
      <c r="N167" s="68">
        <f t="shared" si="34"/>
        <v>0</v>
      </c>
      <c r="O167" s="76"/>
      <c r="V167" s="22"/>
      <c r="W167" s="22"/>
      <c r="X167" s="22"/>
      <c r="Y167" s="22"/>
      <c r="Z167" s="22"/>
      <c r="AB167" s="7" t="str">
        <f t="shared" si="42"/>
        <v>[]</v>
      </c>
      <c r="AC167" s="7" t="str">
        <f t="shared" si="43"/>
        <v>[(101,50)]</v>
      </c>
    </row>
    <row r="168" spans="1:29" ht="15.75" x14ac:dyDescent="0.3">
      <c r="A168" s="18">
        <v>66</v>
      </c>
      <c r="B168" s="18">
        <v>2</v>
      </c>
      <c r="C168" s="7"/>
      <c r="D168" s="7" t="str">
        <f t="shared" ref="D168:D202" si="45">IF(C168="","",VLOOKUP(C168,$V:$X,3,FALSE))</f>
        <v/>
      </c>
      <c r="E168" s="7"/>
      <c r="F168" s="68">
        <f t="shared" si="44"/>
        <v>0</v>
      </c>
      <c r="G168" s="7" t="s">
        <v>2478</v>
      </c>
      <c r="H168" s="7" t="str">
        <f t="shared" ref="H168:H202" si="46">IF(G168="","",VLOOKUP(G168,$V:$X,3,FALSE))</f>
        <v>宝箱</v>
      </c>
      <c r="I168" s="7">
        <v>1</v>
      </c>
      <c r="J168" s="68">
        <f t="shared" ref="J168:J202" si="47">IF(G168="",0,VLOOKUP(G168,$V:$W,2,FALSE)*I168)</f>
        <v>600</v>
      </c>
      <c r="K168" s="7"/>
      <c r="L168" s="7" t="str">
        <f t="shared" ref="L168:L202" si="48">IF(K168="","",VLOOKUP(K168,$V:$X,3,FALSE))</f>
        <v/>
      </c>
      <c r="M168" s="7"/>
      <c r="N168" s="68">
        <f t="shared" ref="N168:N202" si="49">IF(K168="",0,VLOOKUP(K168,$V:$W,2,FALSE)*M168)</f>
        <v>0</v>
      </c>
      <c r="O168" s="76"/>
      <c r="V168" s="22"/>
      <c r="W168" s="22"/>
      <c r="X168" s="22"/>
      <c r="Y168" s="22"/>
      <c r="Z168" s="22"/>
      <c r="AB168" s="7" t="str">
        <f t="shared" si="42"/>
        <v>[]</v>
      </c>
      <c r="AC168" s="7" t="str">
        <f t="shared" si="43"/>
        <v>[(25154,1)]</v>
      </c>
    </row>
    <row r="169" spans="1:29" ht="15.75" x14ac:dyDescent="0.3">
      <c r="A169" s="18">
        <v>67</v>
      </c>
      <c r="B169" s="18">
        <v>2</v>
      </c>
      <c r="C169" s="7"/>
      <c r="D169" s="7" t="str">
        <f t="shared" si="45"/>
        <v/>
      </c>
      <c r="E169" s="69"/>
      <c r="F169" s="68">
        <f t="shared" si="44"/>
        <v>0</v>
      </c>
      <c r="G169" s="7" t="s">
        <v>2707</v>
      </c>
      <c r="H169" s="7" t="str">
        <f t="shared" si="46"/>
        <v>BattlePass货币</v>
      </c>
      <c r="I169" s="7">
        <v>50</v>
      </c>
      <c r="J169" s="68">
        <f t="shared" si="47"/>
        <v>70</v>
      </c>
      <c r="K169" s="7"/>
      <c r="L169" s="7" t="str">
        <f t="shared" si="48"/>
        <v/>
      </c>
      <c r="M169" s="7"/>
      <c r="N169" s="68">
        <f t="shared" si="49"/>
        <v>0</v>
      </c>
      <c r="O169" s="76"/>
      <c r="V169" s="22"/>
      <c r="W169" s="22"/>
      <c r="X169" s="22"/>
      <c r="Y169" s="22"/>
      <c r="Z169" s="22"/>
      <c r="AB169" s="7" t="str">
        <f t="shared" si="42"/>
        <v>[]</v>
      </c>
      <c r="AC169" s="7" t="str">
        <f t="shared" si="43"/>
        <v>[(113,50)]</v>
      </c>
    </row>
    <row r="170" spans="1:29" ht="15.75" x14ac:dyDescent="0.3">
      <c r="A170" s="18">
        <v>68</v>
      </c>
      <c r="B170" s="18">
        <v>2</v>
      </c>
      <c r="C170" s="7"/>
      <c r="D170" s="7" t="str">
        <f t="shared" si="45"/>
        <v/>
      </c>
      <c r="E170" s="7"/>
      <c r="F170" s="68">
        <f t="shared" si="44"/>
        <v>0</v>
      </c>
      <c r="G170" s="7" t="s">
        <v>288</v>
      </c>
      <c r="H170" s="7" t="str">
        <f t="shared" si="46"/>
        <v>加速</v>
      </c>
      <c r="I170" s="7">
        <v>2</v>
      </c>
      <c r="J170" s="68">
        <f t="shared" si="47"/>
        <v>70</v>
      </c>
      <c r="K170" s="7"/>
      <c r="L170" s="7" t="str">
        <f t="shared" si="48"/>
        <v/>
      </c>
      <c r="M170" s="7"/>
      <c r="N170" s="68">
        <f t="shared" si="49"/>
        <v>0</v>
      </c>
      <c r="O170" s="76"/>
      <c r="V170" s="22"/>
      <c r="W170" s="22"/>
      <c r="X170" s="22"/>
      <c r="Y170" s="22"/>
      <c r="Z170" s="22"/>
      <c r="AB170" s="7" t="str">
        <f t="shared" si="42"/>
        <v>[]</v>
      </c>
      <c r="AC170" s="7" t="str">
        <f t="shared" si="43"/>
        <v>[(100301,2)]</v>
      </c>
    </row>
    <row r="171" spans="1:29" ht="15.75" x14ac:dyDescent="0.3">
      <c r="A171" s="18">
        <v>69</v>
      </c>
      <c r="B171" s="18">
        <v>2</v>
      </c>
      <c r="C171" s="7"/>
      <c r="D171" s="7" t="str">
        <f t="shared" si="45"/>
        <v/>
      </c>
      <c r="E171" s="7"/>
      <c r="F171" s="68">
        <f t="shared" si="44"/>
        <v>0</v>
      </c>
      <c r="G171" s="7" t="s">
        <v>275</v>
      </c>
      <c r="H171" s="7" t="str">
        <f t="shared" si="46"/>
        <v>军费</v>
      </c>
      <c r="I171" s="7">
        <v>625</v>
      </c>
      <c r="J171" s="68">
        <f t="shared" si="47"/>
        <v>12.5</v>
      </c>
      <c r="K171" s="7"/>
      <c r="L171" s="7" t="str">
        <f t="shared" si="48"/>
        <v/>
      </c>
      <c r="M171" s="7"/>
      <c r="N171" s="68">
        <f t="shared" si="49"/>
        <v>0</v>
      </c>
      <c r="O171" s="76"/>
      <c r="V171" s="22"/>
      <c r="W171" s="22"/>
      <c r="X171" s="22"/>
      <c r="Y171" s="22"/>
      <c r="Z171" s="22"/>
      <c r="AB171" s="7" t="str">
        <f t="shared" si="42"/>
        <v>[]</v>
      </c>
      <c r="AC171" s="7" t="str">
        <f t="shared" si="43"/>
        <v>[(102,625)]</v>
      </c>
    </row>
    <row r="172" spans="1:29" ht="15.75" x14ac:dyDescent="0.3">
      <c r="A172" s="18">
        <v>70</v>
      </c>
      <c r="B172" s="18">
        <v>2</v>
      </c>
      <c r="C172" s="70"/>
      <c r="D172" s="7" t="str">
        <f t="shared" si="45"/>
        <v/>
      </c>
      <c r="E172" s="70"/>
      <c r="F172" s="71">
        <f t="shared" si="44"/>
        <v>0</v>
      </c>
      <c r="G172" s="70" t="s">
        <v>2744</v>
      </c>
      <c r="H172" s="7" t="str">
        <f t="shared" si="46"/>
        <v>涂装</v>
      </c>
      <c r="I172" s="70">
        <v>1</v>
      </c>
      <c r="J172" s="68">
        <f t="shared" si="47"/>
        <v>300</v>
      </c>
      <c r="K172" s="70" t="s">
        <v>1956</v>
      </c>
      <c r="L172" s="7" t="str">
        <f t="shared" si="48"/>
        <v>坦克碎片</v>
      </c>
      <c r="M172" s="70">
        <v>12</v>
      </c>
      <c r="N172" s="68">
        <f t="shared" si="49"/>
        <v>1200</v>
      </c>
      <c r="O172" s="77">
        <f>SUM(N163:N172)+SUM(J163:J172)+SUM(F163:F172)</f>
        <v>2487.5</v>
      </c>
      <c r="V172" s="22"/>
      <c r="W172" s="22"/>
      <c r="X172" s="22"/>
      <c r="Y172" s="22"/>
      <c r="Z172" s="22"/>
      <c r="AB172" s="7" t="str">
        <f t="shared" si="42"/>
        <v>[]</v>
      </c>
      <c r="AC172" s="7" t="str">
        <f t="shared" si="43"/>
        <v>[(180023,1),(52331,12)]</v>
      </c>
    </row>
    <row r="173" spans="1:29" ht="15.75" x14ac:dyDescent="0.3">
      <c r="A173" s="18">
        <v>71</v>
      </c>
      <c r="B173" s="18">
        <v>2</v>
      </c>
      <c r="C173" s="7"/>
      <c r="D173" s="7" t="str">
        <f t="shared" si="45"/>
        <v/>
      </c>
      <c r="E173" s="7"/>
      <c r="F173" s="68">
        <f t="shared" si="44"/>
        <v>0</v>
      </c>
      <c r="G173" s="7" t="s">
        <v>280</v>
      </c>
      <c r="H173" s="7" t="str">
        <f t="shared" si="46"/>
        <v>钥匙</v>
      </c>
      <c r="I173" s="7">
        <v>30</v>
      </c>
      <c r="J173" s="68">
        <f t="shared" si="47"/>
        <v>37.5</v>
      </c>
      <c r="K173" s="7"/>
      <c r="L173" s="7" t="str">
        <f t="shared" si="48"/>
        <v/>
      </c>
      <c r="M173" s="7"/>
      <c r="N173" s="68">
        <f t="shared" si="49"/>
        <v>0</v>
      </c>
      <c r="O173" s="76"/>
      <c r="V173" s="22"/>
      <c r="W173" s="22"/>
      <c r="X173" s="22"/>
      <c r="Y173" s="22"/>
      <c r="Z173" s="22"/>
      <c r="AB173" s="7" t="str">
        <f t="shared" si="42"/>
        <v>[]</v>
      </c>
      <c r="AC173" s="7" t="str">
        <f t="shared" si="43"/>
        <v>[(105,30)]</v>
      </c>
    </row>
    <row r="174" spans="1:29" ht="15.75" x14ac:dyDescent="0.3">
      <c r="A174" s="18">
        <v>72</v>
      </c>
      <c r="B174" s="18">
        <v>2</v>
      </c>
      <c r="C174" s="7"/>
      <c r="D174" s="7" t="str">
        <f t="shared" si="45"/>
        <v/>
      </c>
      <c r="E174" s="7"/>
      <c r="F174" s="68">
        <f t="shared" si="44"/>
        <v>0</v>
      </c>
      <c r="G174" s="7" t="s">
        <v>275</v>
      </c>
      <c r="H174" s="7" t="str">
        <f t="shared" si="46"/>
        <v>军费</v>
      </c>
      <c r="I174" s="7">
        <v>625</v>
      </c>
      <c r="J174" s="68">
        <f t="shared" si="47"/>
        <v>12.5</v>
      </c>
      <c r="K174" s="7"/>
      <c r="L174" s="7" t="str">
        <f t="shared" si="48"/>
        <v/>
      </c>
      <c r="M174" s="7"/>
      <c r="N174" s="68">
        <f t="shared" si="49"/>
        <v>0</v>
      </c>
      <c r="O174" s="76"/>
      <c r="V174" s="22"/>
      <c r="W174" s="22"/>
      <c r="X174" s="22"/>
      <c r="Y174" s="22"/>
      <c r="Z174" s="22"/>
      <c r="AB174" s="7" t="str">
        <f t="shared" si="42"/>
        <v>[]</v>
      </c>
      <c r="AC174" s="7" t="str">
        <f t="shared" si="43"/>
        <v>[(102,625)]</v>
      </c>
    </row>
    <row r="175" spans="1:29" ht="15.75" x14ac:dyDescent="0.3">
      <c r="A175" s="18">
        <v>73</v>
      </c>
      <c r="B175" s="18">
        <v>2</v>
      </c>
      <c r="C175" s="7"/>
      <c r="D175" s="7" t="str">
        <f t="shared" si="45"/>
        <v/>
      </c>
      <c r="E175" s="7"/>
      <c r="F175" s="68">
        <f t="shared" si="44"/>
        <v>0</v>
      </c>
      <c r="G175" s="13" t="s">
        <v>325</v>
      </c>
      <c r="H175" s="7" t="str">
        <f t="shared" si="46"/>
        <v>钻石</v>
      </c>
      <c r="I175" s="7">
        <v>50</v>
      </c>
      <c r="J175" s="68">
        <f t="shared" si="47"/>
        <v>50</v>
      </c>
      <c r="K175" s="7"/>
      <c r="L175" s="7" t="str">
        <f t="shared" si="48"/>
        <v/>
      </c>
      <c r="M175" s="7"/>
      <c r="N175" s="68">
        <f t="shared" si="49"/>
        <v>0</v>
      </c>
      <c r="O175" s="76"/>
      <c r="V175" s="22"/>
      <c r="W175" s="22"/>
      <c r="X175" s="22"/>
      <c r="Y175" s="22"/>
      <c r="Z175" s="22"/>
      <c r="AB175" s="7" t="str">
        <f t="shared" ref="AB175:AB202" si="50">IF(C175="","[]","["&amp;"("&amp;VLOOKUP(C175,道具ID,2,FALSE)&amp;","&amp;E175&amp;")"&amp;"]")</f>
        <v>[]</v>
      </c>
      <c r="AC175" s="7" t="str">
        <f t="shared" ref="AC175:AC202" si="51">IF(G175="","[]",IF(K175="","["&amp;"("&amp;VLOOKUP(G175,道具ID,2,FALSE)&amp;","&amp;I175&amp;")"&amp;"]","["&amp;"("&amp;VLOOKUP(G175,道具ID,2,FALSE)&amp;","&amp;I175&amp;")"&amp;","&amp;"("&amp;VLOOKUP(K175,道具ID,2,FALSE)&amp;","&amp;M175&amp;")"&amp;"]"))</f>
        <v>[(101,50)]</v>
      </c>
    </row>
    <row r="176" spans="1:29" ht="15.75" x14ac:dyDescent="0.3">
      <c r="A176" s="18">
        <v>74</v>
      </c>
      <c r="B176" s="18">
        <v>2</v>
      </c>
      <c r="C176" s="7"/>
      <c r="D176" s="7" t="str">
        <f t="shared" si="45"/>
        <v/>
      </c>
      <c r="E176" s="7"/>
      <c r="F176" s="68">
        <f t="shared" si="44"/>
        <v>0</v>
      </c>
      <c r="G176" s="7" t="s">
        <v>275</v>
      </c>
      <c r="H176" s="7" t="str">
        <f t="shared" si="46"/>
        <v>军费</v>
      </c>
      <c r="I176" s="7">
        <v>625</v>
      </c>
      <c r="J176" s="68">
        <f t="shared" si="47"/>
        <v>12.5</v>
      </c>
      <c r="K176" s="7"/>
      <c r="L176" s="7" t="str">
        <f t="shared" si="48"/>
        <v/>
      </c>
      <c r="M176" s="7"/>
      <c r="N176" s="68">
        <f t="shared" si="49"/>
        <v>0</v>
      </c>
      <c r="O176" s="76"/>
      <c r="V176" s="22"/>
      <c r="W176" s="22"/>
      <c r="X176" s="22"/>
      <c r="Y176" s="22"/>
      <c r="Z176" s="22"/>
      <c r="AB176" s="7" t="str">
        <f t="shared" si="50"/>
        <v>[]</v>
      </c>
      <c r="AC176" s="7" t="str">
        <f t="shared" si="51"/>
        <v>[(102,625)]</v>
      </c>
    </row>
    <row r="177" spans="1:29" ht="15.75" x14ac:dyDescent="0.3">
      <c r="A177" s="18">
        <v>75</v>
      </c>
      <c r="B177" s="18">
        <v>2</v>
      </c>
      <c r="C177" s="7"/>
      <c r="D177" s="7" t="str">
        <f t="shared" si="45"/>
        <v/>
      </c>
      <c r="E177" s="7"/>
      <c r="F177" s="68">
        <f t="shared" si="44"/>
        <v>0</v>
      </c>
      <c r="G177" s="7" t="s">
        <v>2653</v>
      </c>
      <c r="H177" s="7" t="str">
        <f t="shared" si="46"/>
        <v>战旗</v>
      </c>
      <c r="I177" s="7">
        <v>1</v>
      </c>
      <c r="J177" s="68">
        <f t="shared" si="47"/>
        <v>150</v>
      </c>
      <c r="K177" s="7"/>
      <c r="L177" s="7" t="str">
        <f t="shared" si="48"/>
        <v/>
      </c>
      <c r="M177" s="7"/>
      <c r="N177" s="68">
        <f t="shared" si="49"/>
        <v>0</v>
      </c>
      <c r="O177" s="76"/>
      <c r="V177" s="22"/>
      <c r="W177" s="22"/>
      <c r="X177" s="22"/>
      <c r="Y177" s="22"/>
      <c r="Z177" s="22"/>
      <c r="AB177" s="7" t="str">
        <f t="shared" si="50"/>
        <v>[]</v>
      </c>
      <c r="AC177" s="7" t="str">
        <f t="shared" si="51"/>
        <v>[(120103,1)]</v>
      </c>
    </row>
    <row r="178" spans="1:29" ht="15.75" x14ac:dyDescent="0.3">
      <c r="A178" s="18">
        <v>76</v>
      </c>
      <c r="B178" s="18">
        <v>2</v>
      </c>
      <c r="C178" s="7"/>
      <c r="D178" s="7" t="str">
        <f t="shared" si="45"/>
        <v/>
      </c>
      <c r="E178" s="7"/>
      <c r="F178" s="68">
        <f t="shared" si="44"/>
        <v>0</v>
      </c>
      <c r="G178" s="7" t="s">
        <v>519</v>
      </c>
      <c r="H178" s="7" t="str">
        <f t="shared" si="46"/>
        <v>双倍钥匙</v>
      </c>
      <c r="I178" s="7">
        <v>30</v>
      </c>
      <c r="J178" s="68">
        <f t="shared" si="47"/>
        <v>22.5</v>
      </c>
      <c r="K178" s="7"/>
      <c r="L178" s="7" t="str">
        <f t="shared" si="48"/>
        <v/>
      </c>
      <c r="M178" s="7"/>
      <c r="N178" s="68">
        <f t="shared" si="49"/>
        <v>0</v>
      </c>
      <c r="O178" s="76"/>
      <c r="V178" s="22"/>
      <c r="W178" s="22"/>
      <c r="X178" s="22"/>
      <c r="Y178" s="22"/>
      <c r="Z178" s="22"/>
      <c r="AB178" s="7" t="str">
        <f t="shared" si="50"/>
        <v>[]</v>
      </c>
      <c r="AC178" s="7" t="str">
        <f t="shared" si="51"/>
        <v>[(111,30)]</v>
      </c>
    </row>
    <row r="179" spans="1:29" ht="15.75" x14ac:dyDescent="0.3">
      <c r="A179" s="18">
        <v>77</v>
      </c>
      <c r="B179" s="18">
        <v>2</v>
      </c>
      <c r="C179" s="7"/>
      <c r="D179" s="7" t="str">
        <f t="shared" si="45"/>
        <v/>
      </c>
      <c r="E179" s="7"/>
      <c r="F179" s="68">
        <f t="shared" si="44"/>
        <v>0</v>
      </c>
      <c r="G179" s="7" t="s">
        <v>325</v>
      </c>
      <c r="H179" s="7" t="str">
        <f t="shared" si="46"/>
        <v>钻石</v>
      </c>
      <c r="I179" s="7">
        <v>50</v>
      </c>
      <c r="J179" s="68">
        <f t="shared" si="47"/>
        <v>50</v>
      </c>
      <c r="K179" s="7"/>
      <c r="L179" s="7" t="str">
        <f t="shared" si="48"/>
        <v/>
      </c>
      <c r="M179" s="7"/>
      <c r="N179" s="68">
        <f t="shared" si="49"/>
        <v>0</v>
      </c>
      <c r="O179" s="76"/>
      <c r="V179" s="22"/>
      <c r="W179" s="22"/>
      <c r="X179" s="22"/>
      <c r="Y179" s="22"/>
      <c r="Z179" s="22"/>
      <c r="AB179" s="7" t="str">
        <f t="shared" si="50"/>
        <v>[]</v>
      </c>
      <c r="AC179" s="7" t="str">
        <f t="shared" si="51"/>
        <v>[(101,50)]</v>
      </c>
    </row>
    <row r="180" spans="1:29" ht="15.75" x14ac:dyDescent="0.3">
      <c r="A180" s="18">
        <v>78</v>
      </c>
      <c r="B180" s="18">
        <v>2</v>
      </c>
      <c r="C180" s="7"/>
      <c r="D180" s="7" t="str">
        <f t="shared" si="45"/>
        <v/>
      </c>
      <c r="E180" s="7"/>
      <c r="F180" s="68">
        <f t="shared" si="44"/>
        <v>0</v>
      </c>
      <c r="G180" s="7" t="s">
        <v>529</v>
      </c>
      <c r="H180" s="7" t="str">
        <f t="shared" si="46"/>
        <v>宝箱</v>
      </c>
      <c r="I180" s="7">
        <v>1</v>
      </c>
      <c r="J180" s="68">
        <f t="shared" si="47"/>
        <v>100</v>
      </c>
      <c r="K180" s="7"/>
      <c r="L180" s="7" t="str">
        <f t="shared" si="48"/>
        <v/>
      </c>
      <c r="M180" s="7"/>
      <c r="N180" s="68">
        <f t="shared" si="49"/>
        <v>0</v>
      </c>
      <c r="O180" s="76"/>
      <c r="V180" s="22"/>
      <c r="W180" s="22"/>
      <c r="X180" s="22"/>
      <c r="Y180" s="22"/>
      <c r="Z180" s="22"/>
      <c r="AB180" s="7" t="str">
        <f t="shared" si="50"/>
        <v>[]</v>
      </c>
      <c r="AC180" s="7" t="str">
        <f t="shared" si="51"/>
        <v>[(24004,1)]</v>
      </c>
    </row>
    <row r="181" spans="1:29" ht="15.75" x14ac:dyDescent="0.3">
      <c r="A181" s="18">
        <v>79</v>
      </c>
      <c r="B181" s="18">
        <v>2</v>
      </c>
      <c r="C181" s="7"/>
      <c r="D181" s="7" t="str">
        <f t="shared" si="45"/>
        <v/>
      </c>
      <c r="E181" s="7"/>
      <c r="F181" s="68">
        <f t="shared" si="44"/>
        <v>0</v>
      </c>
      <c r="G181" s="7" t="s">
        <v>2707</v>
      </c>
      <c r="H181" s="7" t="str">
        <f t="shared" si="46"/>
        <v>BattlePass货币</v>
      </c>
      <c r="I181" s="7">
        <v>60</v>
      </c>
      <c r="J181" s="68">
        <f t="shared" si="47"/>
        <v>84</v>
      </c>
      <c r="K181" s="7"/>
      <c r="L181" s="7" t="str">
        <f t="shared" si="48"/>
        <v/>
      </c>
      <c r="M181" s="7"/>
      <c r="N181" s="68">
        <f t="shared" si="49"/>
        <v>0</v>
      </c>
      <c r="O181" s="76"/>
      <c r="V181" s="22"/>
      <c r="W181" s="22"/>
      <c r="X181" s="22"/>
      <c r="Y181" s="22"/>
      <c r="Z181" s="22"/>
      <c r="AB181" s="7" t="str">
        <f t="shared" si="50"/>
        <v>[]</v>
      </c>
      <c r="AC181" s="7" t="str">
        <f t="shared" si="51"/>
        <v>[(113,60)]</v>
      </c>
    </row>
    <row r="182" spans="1:29" ht="15.75" x14ac:dyDescent="0.3">
      <c r="A182" s="18">
        <v>80</v>
      </c>
      <c r="B182" s="18">
        <v>2</v>
      </c>
      <c r="C182" s="70"/>
      <c r="D182" s="7" t="str">
        <f t="shared" si="45"/>
        <v/>
      </c>
      <c r="E182" s="70"/>
      <c r="F182" s="71">
        <f t="shared" si="44"/>
        <v>0</v>
      </c>
      <c r="G182" s="70" t="s">
        <v>2663</v>
      </c>
      <c r="H182" s="7" t="str">
        <f t="shared" si="46"/>
        <v>战旗</v>
      </c>
      <c r="I182" s="70">
        <v>1</v>
      </c>
      <c r="J182" s="68">
        <f t="shared" si="47"/>
        <v>200</v>
      </c>
      <c r="K182" s="70" t="s">
        <v>1956</v>
      </c>
      <c r="L182" s="7" t="str">
        <f t="shared" si="48"/>
        <v>坦克碎片</v>
      </c>
      <c r="M182" s="70">
        <v>15</v>
      </c>
      <c r="N182" s="68">
        <f t="shared" si="49"/>
        <v>1500</v>
      </c>
      <c r="O182" s="77">
        <f>SUM(N173:N182)+SUM(J173:J182)+SUM(F173:F182)</f>
        <v>2219</v>
      </c>
      <c r="V182" s="22"/>
      <c r="W182" s="22"/>
      <c r="X182" s="22"/>
      <c r="Y182" s="22"/>
      <c r="Z182" s="22"/>
      <c r="AB182" s="7" t="str">
        <f t="shared" si="50"/>
        <v>[]</v>
      </c>
      <c r="AC182" s="7" t="str">
        <f t="shared" si="51"/>
        <v>[(120204,1),(52331,15)]</v>
      </c>
    </row>
    <row r="183" spans="1:29" ht="15.75" x14ac:dyDescent="0.3">
      <c r="A183" s="18">
        <v>81</v>
      </c>
      <c r="B183" s="18">
        <v>2</v>
      </c>
      <c r="C183" s="7"/>
      <c r="D183" s="7" t="str">
        <f t="shared" si="45"/>
        <v/>
      </c>
      <c r="E183" s="7"/>
      <c r="F183" s="68">
        <f t="shared" si="44"/>
        <v>0</v>
      </c>
      <c r="G183" s="7" t="s">
        <v>275</v>
      </c>
      <c r="H183" s="7" t="str">
        <f t="shared" si="46"/>
        <v>军费</v>
      </c>
      <c r="I183" s="7">
        <v>625</v>
      </c>
      <c r="J183" s="68">
        <f t="shared" si="47"/>
        <v>12.5</v>
      </c>
      <c r="K183" s="7"/>
      <c r="L183" s="7" t="str">
        <f t="shared" si="48"/>
        <v/>
      </c>
      <c r="M183" s="7"/>
      <c r="N183" s="68">
        <f t="shared" si="49"/>
        <v>0</v>
      </c>
      <c r="O183" s="76"/>
      <c r="V183" s="22"/>
      <c r="W183" s="22"/>
      <c r="X183" s="22"/>
      <c r="Y183" s="22"/>
      <c r="Z183" s="22"/>
      <c r="AB183" s="7" t="str">
        <f t="shared" si="50"/>
        <v>[]</v>
      </c>
      <c r="AC183" s="7" t="str">
        <f t="shared" si="51"/>
        <v>[(102,625)]</v>
      </c>
    </row>
    <row r="184" spans="1:29" ht="15.75" x14ac:dyDescent="0.3">
      <c r="A184" s="18">
        <v>82</v>
      </c>
      <c r="B184" s="18">
        <v>2</v>
      </c>
      <c r="C184" s="7"/>
      <c r="D184" s="7" t="str">
        <f t="shared" si="45"/>
        <v/>
      </c>
      <c r="E184" s="7"/>
      <c r="F184" s="68">
        <f t="shared" si="44"/>
        <v>0</v>
      </c>
      <c r="G184" s="7" t="s">
        <v>325</v>
      </c>
      <c r="H184" s="7" t="str">
        <f t="shared" si="46"/>
        <v>钻石</v>
      </c>
      <c r="I184" s="7">
        <v>100</v>
      </c>
      <c r="J184" s="68">
        <f t="shared" si="47"/>
        <v>100</v>
      </c>
      <c r="K184" s="7"/>
      <c r="L184" s="7" t="str">
        <f t="shared" si="48"/>
        <v/>
      </c>
      <c r="M184" s="7"/>
      <c r="N184" s="68">
        <f t="shared" si="49"/>
        <v>0</v>
      </c>
      <c r="O184" s="76"/>
      <c r="V184" s="22"/>
      <c r="W184" s="22"/>
      <c r="X184" s="22"/>
      <c r="Y184" s="22"/>
      <c r="Z184" s="22"/>
      <c r="AB184" s="7" t="str">
        <f t="shared" si="50"/>
        <v>[]</v>
      </c>
      <c r="AC184" s="7" t="str">
        <f t="shared" si="51"/>
        <v>[(101,100)]</v>
      </c>
    </row>
    <row r="185" spans="1:29" ht="15.75" x14ac:dyDescent="0.3">
      <c r="A185" s="18">
        <v>83</v>
      </c>
      <c r="B185" s="18">
        <v>2</v>
      </c>
      <c r="C185" s="7"/>
      <c r="D185" s="7" t="str">
        <f t="shared" si="45"/>
        <v/>
      </c>
      <c r="E185" s="7"/>
      <c r="F185" s="68">
        <f t="shared" si="44"/>
        <v>0</v>
      </c>
      <c r="G185" s="7" t="s">
        <v>280</v>
      </c>
      <c r="H185" s="7" t="str">
        <f t="shared" si="46"/>
        <v>钥匙</v>
      </c>
      <c r="I185" s="7">
        <v>30</v>
      </c>
      <c r="J185" s="68">
        <f t="shared" si="47"/>
        <v>37.5</v>
      </c>
      <c r="K185" s="7"/>
      <c r="L185" s="7" t="str">
        <f t="shared" si="48"/>
        <v/>
      </c>
      <c r="M185" s="7"/>
      <c r="N185" s="68">
        <f t="shared" si="49"/>
        <v>0</v>
      </c>
      <c r="O185" s="76"/>
      <c r="V185" s="22"/>
      <c r="W185" s="22"/>
      <c r="X185" s="22"/>
      <c r="Y185" s="22"/>
      <c r="Z185" s="22"/>
      <c r="AB185" s="7" t="str">
        <f t="shared" si="50"/>
        <v>[]</v>
      </c>
      <c r="AC185" s="7" t="str">
        <f t="shared" si="51"/>
        <v>[(105,30)]</v>
      </c>
    </row>
    <row r="186" spans="1:29" ht="15.75" x14ac:dyDescent="0.3">
      <c r="A186" s="18">
        <v>84</v>
      </c>
      <c r="B186" s="18">
        <v>2</v>
      </c>
      <c r="C186" s="7"/>
      <c r="D186" s="7" t="str">
        <f t="shared" si="45"/>
        <v/>
      </c>
      <c r="E186" s="7"/>
      <c r="F186" s="68">
        <f t="shared" si="44"/>
        <v>0</v>
      </c>
      <c r="G186" s="7" t="s">
        <v>2707</v>
      </c>
      <c r="H186" s="7" t="str">
        <f t="shared" si="46"/>
        <v>BattlePass货币</v>
      </c>
      <c r="I186" s="7">
        <v>100</v>
      </c>
      <c r="J186" s="68">
        <f t="shared" si="47"/>
        <v>140</v>
      </c>
      <c r="K186" s="7"/>
      <c r="L186" s="7" t="str">
        <f t="shared" si="48"/>
        <v/>
      </c>
      <c r="M186" s="7"/>
      <c r="N186" s="68">
        <f t="shared" si="49"/>
        <v>0</v>
      </c>
      <c r="O186" s="76"/>
      <c r="V186" s="22"/>
      <c r="W186" s="22"/>
      <c r="X186" s="22"/>
      <c r="Y186" s="22"/>
      <c r="Z186" s="22"/>
      <c r="AB186" s="7" t="str">
        <f t="shared" si="50"/>
        <v>[]</v>
      </c>
      <c r="AC186" s="7" t="str">
        <f t="shared" si="51"/>
        <v>[(113,100)]</v>
      </c>
    </row>
    <row r="187" spans="1:29" ht="15.75" x14ac:dyDescent="0.3">
      <c r="A187" s="18">
        <v>85</v>
      </c>
      <c r="B187" s="18">
        <v>2</v>
      </c>
      <c r="C187" s="7"/>
      <c r="D187" s="7" t="str">
        <f t="shared" si="45"/>
        <v/>
      </c>
      <c r="E187" s="7"/>
      <c r="F187" s="68">
        <f t="shared" si="44"/>
        <v>0</v>
      </c>
      <c r="G187" s="7" t="s">
        <v>275</v>
      </c>
      <c r="H187" s="7" t="str">
        <f t="shared" si="46"/>
        <v>军费</v>
      </c>
      <c r="I187" s="7">
        <v>625</v>
      </c>
      <c r="J187" s="68">
        <f t="shared" si="47"/>
        <v>12.5</v>
      </c>
      <c r="K187" s="7"/>
      <c r="L187" s="7" t="str">
        <f t="shared" si="48"/>
        <v/>
      </c>
      <c r="M187" s="7"/>
      <c r="N187" s="68">
        <f t="shared" si="49"/>
        <v>0</v>
      </c>
      <c r="O187" s="76"/>
      <c r="V187" s="22"/>
      <c r="W187" s="22"/>
      <c r="X187" s="22"/>
      <c r="Y187" s="22"/>
      <c r="Z187" s="22"/>
      <c r="AB187" s="7" t="str">
        <f t="shared" si="50"/>
        <v>[]</v>
      </c>
      <c r="AC187" s="7" t="str">
        <f t="shared" si="51"/>
        <v>[(102,625)]</v>
      </c>
    </row>
    <row r="188" spans="1:29" ht="15.75" x14ac:dyDescent="0.3">
      <c r="A188" s="18">
        <v>86</v>
      </c>
      <c r="B188" s="18">
        <v>2</v>
      </c>
      <c r="C188" s="7"/>
      <c r="D188" s="7" t="str">
        <f t="shared" si="45"/>
        <v/>
      </c>
      <c r="E188" s="7"/>
      <c r="F188" s="68">
        <f t="shared" si="44"/>
        <v>0</v>
      </c>
      <c r="G188" s="7" t="s">
        <v>519</v>
      </c>
      <c r="H188" s="7" t="str">
        <f t="shared" si="46"/>
        <v>双倍钥匙</v>
      </c>
      <c r="I188" s="7">
        <v>30</v>
      </c>
      <c r="J188" s="68">
        <f t="shared" si="47"/>
        <v>22.5</v>
      </c>
      <c r="K188" s="7"/>
      <c r="L188" s="7" t="str">
        <f t="shared" si="48"/>
        <v/>
      </c>
      <c r="M188" s="7"/>
      <c r="N188" s="68">
        <f t="shared" si="49"/>
        <v>0</v>
      </c>
      <c r="O188" s="76"/>
      <c r="V188" s="22"/>
      <c r="W188" s="22"/>
      <c r="X188" s="22"/>
      <c r="Y188" s="22"/>
      <c r="Z188" s="22"/>
      <c r="AB188" s="7" t="str">
        <f t="shared" si="50"/>
        <v>[]</v>
      </c>
      <c r="AC188" s="7" t="str">
        <f t="shared" si="51"/>
        <v>[(111,30)]</v>
      </c>
    </row>
    <row r="189" spans="1:29" ht="15.75" x14ac:dyDescent="0.3">
      <c r="A189" s="18">
        <v>87</v>
      </c>
      <c r="B189" s="18">
        <v>2</v>
      </c>
      <c r="C189" s="7"/>
      <c r="D189" s="7" t="str">
        <f t="shared" si="45"/>
        <v/>
      </c>
      <c r="E189" s="7"/>
      <c r="F189" s="68">
        <f t="shared" si="44"/>
        <v>0</v>
      </c>
      <c r="G189" s="7" t="s">
        <v>325</v>
      </c>
      <c r="H189" s="7" t="str">
        <f t="shared" si="46"/>
        <v>钻石</v>
      </c>
      <c r="I189" s="7">
        <v>100</v>
      </c>
      <c r="J189" s="68">
        <f t="shared" si="47"/>
        <v>100</v>
      </c>
      <c r="K189" s="7"/>
      <c r="L189" s="7" t="str">
        <f t="shared" si="48"/>
        <v/>
      </c>
      <c r="M189" s="7"/>
      <c r="N189" s="68">
        <f t="shared" si="49"/>
        <v>0</v>
      </c>
      <c r="O189" s="76"/>
      <c r="V189" s="22"/>
      <c r="W189" s="22"/>
      <c r="X189" s="22"/>
      <c r="Y189" s="22"/>
      <c r="Z189" s="22"/>
      <c r="AB189" s="7" t="str">
        <f t="shared" si="50"/>
        <v>[]</v>
      </c>
      <c r="AC189" s="7" t="str">
        <f t="shared" si="51"/>
        <v>[(101,100)]</v>
      </c>
    </row>
    <row r="190" spans="1:29" ht="15.75" x14ac:dyDescent="0.3">
      <c r="A190" s="18">
        <v>88</v>
      </c>
      <c r="B190" s="18">
        <v>2</v>
      </c>
      <c r="C190" s="7"/>
      <c r="D190" s="7" t="str">
        <f t="shared" si="45"/>
        <v/>
      </c>
      <c r="E190" s="7"/>
      <c r="F190" s="68">
        <f t="shared" si="44"/>
        <v>0</v>
      </c>
      <c r="G190" s="7" t="s">
        <v>288</v>
      </c>
      <c r="H190" s="7" t="str">
        <f t="shared" si="46"/>
        <v>加速</v>
      </c>
      <c r="I190" s="7">
        <v>1</v>
      </c>
      <c r="J190" s="68">
        <f t="shared" si="47"/>
        <v>35</v>
      </c>
      <c r="K190" s="7"/>
      <c r="L190" s="7" t="str">
        <f t="shared" si="48"/>
        <v/>
      </c>
      <c r="M190" s="7"/>
      <c r="N190" s="68">
        <f t="shared" si="49"/>
        <v>0</v>
      </c>
      <c r="O190" s="76"/>
      <c r="V190" s="22"/>
      <c r="W190" s="22"/>
      <c r="X190" s="22"/>
      <c r="Y190" s="22"/>
      <c r="Z190" s="22"/>
      <c r="AB190" s="7" t="str">
        <f t="shared" si="50"/>
        <v>[]</v>
      </c>
      <c r="AC190" s="7" t="str">
        <f t="shared" si="51"/>
        <v>[(100301,1)]</v>
      </c>
    </row>
    <row r="191" spans="1:29" ht="15.75" x14ac:dyDescent="0.3">
      <c r="A191" s="18">
        <v>89</v>
      </c>
      <c r="B191" s="18">
        <v>2</v>
      </c>
      <c r="C191" s="7"/>
      <c r="D191" s="7" t="str">
        <f t="shared" si="45"/>
        <v/>
      </c>
      <c r="E191" s="7"/>
      <c r="F191" s="68">
        <f t="shared" si="44"/>
        <v>0</v>
      </c>
      <c r="G191" s="7" t="s">
        <v>2478</v>
      </c>
      <c r="H191" s="7" t="str">
        <f t="shared" si="46"/>
        <v>宝箱</v>
      </c>
      <c r="I191" s="7">
        <v>1</v>
      </c>
      <c r="J191" s="68">
        <f t="shared" si="47"/>
        <v>600</v>
      </c>
      <c r="K191" s="7"/>
      <c r="L191" s="7" t="str">
        <f t="shared" si="48"/>
        <v/>
      </c>
      <c r="M191" s="7"/>
      <c r="N191" s="68">
        <f t="shared" si="49"/>
        <v>0</v>
      </c>
      <c r="O191" s="76"/>
      <c r="V191" s="22"/>
      <c r="W191" s="22"/>
      <c r="X191" s="22"/>
      <c r="Y191" s="22"/>
      <c r="Z191" s="22"/>
      <c r="AB191" s="7" t="str">
        <f t="shared" si="50"/>
        <v>[]</v>
      </c>
      <c r="AC191" s="7" t="str">
        <f t="shared" si="51"/>
        <v>[(25154,1)]</v>
      </c>
    </row>
    <row r="192" spans="1:29" ht="15.75" x14ac:dyDescent="0.3">
      <c r="A192" s="18">
        <v>90</v>
      </c>
      <c r="B192" s="18">
        <v>2</v>
      </c>
      <c r="C192" s="70"/>
      <c r="D192" s="7" t="str">
        <f t="shared" si="45"/>
        <v/>
      </c>
      <c r="E192" s="70"/>
      <c r="F192" s="71">
        <f t="shared" si="44"/>
        <v>0</v>
      </c>
      <c r="G192" s="70" t="s">
        <v>2810</v>
      </c>
      <c r="H192" s="7" t="str">
        <f t="shared" si="46"/>
        <v>头像框</v>
      </c>
      <c r="I192" s="70">
        <v>1</v>
      </c>
      <c r="J192" s="68">
        <f t="shared" si="47"/>
        <v>300</v>
      </c>
      <c r="K192" s="70" t="s">
        <v>1956</v>
      </c>
      <c r="L192" s="7" t="str">
        <f t="shared" si="48"/>
        <v>坦克碎片</v>
      </c>
      <c r="M192" s="70">
        <v>15</v>
      </c>
      <c r="N192" s="68">
        <f t="shared" si="49"/>
        <v>1500</v>
      </c>
      <c r="O192" s="77">
        <f>SUM(N183:N192)+SUM(J183:J192)+SUM(F183:F192)</f>
        <v>2860</v>
      </c>
      <c r="V192" s="22"/>
      <c r="W192" s="22"/>
      <c r="X192" s="22"/>
      <c r="Y192" s="22"/>
      <c r="Z192" s="22"/>
      <c r="AB192" s="7" t="str">
        <f t="shared" si="50"/>
        <v>[]</v>
      </c>
      <c r="AC192" s="7" t="str">
        <f t="shared" si="51"/>
        <v>[(130115,1),(52331,15)]</v>
      </c>
    </row>
    <row r="193" spans="1:29" x14ac:dyDescent="0.15">
      <c r="A193" s="18">
        <v>91</v>
      </c>
      <c r="B193" s="18">
        <v>2</v>
      </c>
      <c r="C193" s="7"/>
      <c r="D193" s="7" t="str">
        <f t="shared" si="45"/>
        <v/>
      </c>
      <c r="E193" s="7"/>
      <c r="F193" s="68">
        <f t="shared" si="44"/>
        <v>0</v>
      </c>
      <c r="G193" s="7" t="s">
        <v>2478</v>
      </c>
      <c r="H193" s="7" t="str">
        <f t="shared" si="46"/>
        <v>宝箱</v>
      </c>
      <c r="I193" s="7">
        <v>1</v>
      </c>
      <c r="J193" s="68">
        <f t="shared" si="47"/>
        <v>600</v>
      </c>
      <c r="K193" s="7"/>
      <c r="L193" s="7" t="str">
        <f t="shared" si="48"/>
        <v/>
      </c>
      <c r="M193" s="7"/>
      <c r="N193" s="68">
        <f t="shared" si="49"/>
        <v>0</v>
      </c>
      <c r="O193" s="76"/>
      <c r="AB193" s="7" t="str">
        <f t="shared" si="50"/>
        <v>[]</v>
      </c>
      <c r="AC193" s="7" t="str">
        <f t="shared" si="51"/>
        <v>[(25154,1)]</v>
      </c>
    </row>
    <row r="194" spans="1:29" x14ac:dyDescent="0.15">
      <c r="A194" s="18">
        <v>92</v>
      </c>
      <c r="B194" s="18">
        <v>2</v>
      </c>
      <c r="C194" s="7"/>
      <c r="D194" s="7" t="str">
        <f t="shared" si="45"/>
        <v/>
      </c>
      <c r="E194" s="7"/>
      <c r="F194" s="68">
        <f t="shared" si="44"/>
        <v>0</v>
      </c>
      <c r="G194" s="7" t="s">
        <v>275</v>
      </c>
      <c r="H194" s="7" t="str">
        <f t="shared" si="46"/>
        <v>军费</v>
      </c>
      <c r="I194" s="7">
        <v>625</v>
      </c>
      <c r="J194" s="68">
        <f t="shared" si="47"/>
        <v>12.5</v>
      </c>
      <c r="K194" s="7"/>
      <c r="L194" s="7" t="str">
        <f t="shared" si="48"/>
        <v/>
      </c>
      <c r="M194" s="7"/>
      <c r="N194" s="68">
        <f t="shared" si="49"/>
        <v>0</v>
      </c>
      <c r="O194" s="76"/>
      <c r="AB194" s="7" t="str">
        <f t="shared" si="50"/>
        <v>[]</v>
      </c>
      <c r="AC194" s="7" t="str">
        <f t="shared" si="51"/>
        <v>[(102,625)]</v>
      </c>
    </row>
    <row r="195" spans="1:29" x14ac:dyDescent="0.15">
      <c r="A195" s="18">
        <v>93</v>
      </c>
      <c r="B195" s="18">
        <v>2</v>
      </c>
      <c r="C195" s="7"/>
      <c r="D195" s="7" t="str">
        <f t="shared" si="45"/>
        <v/>
      </c>
      <c r="E195" s="69"/>
      <c r="F195" s="68">
        <f t="shared" si="44"/>
        <v>0</v>
      </c>
      <c r="G195" s="7" t="s">
        <v>288</v>
      </c>
      <c r="H195" s="7" t="str">
        <f t="shared" si="46"/>
        <v>加速</v>
      </c>
      <c r="I195" s="7">
        <v>2</v>
      </c>
      <c r="J195" s="68">
        <f t="shared" si="47"/>
        <v>70</v>
      </c>
      <c r="K195" s="7"/>
      <c r="L195" s="7" t="str">
        <f t="shared" si="48"/>
        <v/>
      </c>
      <c r="M195" s="7"/>
      <c r="N195" s="68">
        <f t="shared" si="49"/>
        <v>0</v>
      </c>
      <c r="O195" s="76"/>
      <c r="AB195" s="7" t="str">
        <f t="shared" si="50"/>
        <v>[]</v>
      </c>
      <c r="AC195" s="7" t="str">
        <f t="shared" si="51"/>
        <v>[(100301,2)]</v>
      </c>
    </row>
    <row r="196" spans="1:29" x14ac:dyDescent="0.15">
      <c r="A196" s="18">
        <v>94</v>
      </c>
      <c r="B196" s="18">
        <v>2</v>
      </c>
      <c r="C196" s="7"/>
      <c r="D196" s="7" t="str">
        <f t="shared" si="45"/>
        <v/>
      </c>
      <c r="E196" s="7"/>
      <c r="F196" s="68">
        <f t="shared" si="44"/>
        <v>0</v>
      </c>
      <c r="G196" s="7" t="s">
        <v>2804</v>
      </c>
      <c r="H196" s="7" t="str">
        <f t="shared" si="46"/>
        <v>头像</v>
      </c>
      <c r="I196" s="7">
        <v>1</v>
      </c>
      <c r="J196" s="68">
        <f t="shared" si="47"/>
        <v>200</v>
      </c>
      <c r="K196" s="7"/>
      <c r="L196" s="7" t="str">
        <f t="shared" si="48"/>
        <v/>
      </c>
      <c r="M196" s="7"/>
      <c r="N196" s="68">
        <f t="shared" si="49"/>
        <v>0</v>
      </c>
      <c r="O196" s="76"/>
      <c r="AB196" s="7" t="str">
        <f t="shared" si="50"/>
        <v>[]</v>
      </c>
      <c r="AC196" s="7" t="str">
        <f t="shared" si="51"/>
        <v>[(140126,1)]</v>
      </c>
    </row>
    <row r="197" spans="1:29" x14ac:dyDescent="0.15">
      <c r="A197" s="18">
        <v>95</v>
      </c>
      <c r="B197" s="18">
        <v>2</v>
      </c>
      <c r="C197" s="7"/>
      <c r="D197" s="7" t="str">
        <f t="shared" si="45"/>
        <v/>
      </c>
      <c r="E197" s="7"/>
      <c r="F197" s="68">
        <f t="shared" si="44"/>
        <v>0</v>
      </c>
      <c r="G197" s="7" t="s">
        <v>275</v>
      </c>
      <c r="H197" s="7" t="str">
        <f t="shared" si="46"/>
        <v>军费</v>
      </c>
      <c r="I197" s="7">
        <v>800</v>
      </c>
      <c r="J197" s="68">
        <f t="shared" si="47"/>
        <v>16</v>
      </c>
      <c r="K197" s="7"/>
      <c r="L197" s="7" t="str">
        <f t="shared" si="48"/>
        <v/>
      </c>
      <c r="M197" s="7"/>
      <c r="N197" s="68">
        <f t="shared" si="49"/>
        <v>0</v>
      </c>
      <c r="O197" s="76"/>
      <c r="AB197" s="7" t="str">
        <f t="shared" si="50"/>
        <v>[]</v>
      </c>
      <c r="AC197" s="7" t="str">
        <f t="shared" si="51"/>
        <v>[(102,800)]</v>
      </c>
    </row>
    <row r="198" spans="1:29" x14ac:dyDescent="0.15">
      <c r="A198" s="18">
        <v>96</v>
      </c>
      <c r="B198" s="18">
        <v>2</v>
      </c>
      <c r="C198" s="7"/>
      <c r="D198" s="7" t="str">
        <f t="shared" si="45"/>
        <v/>
      </c>
      <c r="E198" s="7"/>
      <c r="F198" s="68">
        <f t="shared" si="44"/>
        <v>0</v>
      </c>
      <c r="G198" s="7" t="s">
        <v>325</v>
      </c>
      <c r="H198" s="7" t="str">
        <f t="shared" si="46"/>
        <v>钻石</v>
      </c>
      <c r="I198" s="7">
        <v>150</v>
      </c>
      <c r="J198" s="68">
        <f t="shared" si="47"/>
        <v>150</v>
      </c>
      <c r="K198" s="7"/>
      <c r="L198" s="7" t="str">
        <f t="shared" si="48"/>
        <v/>
      </c>
      <c r="M198" s="7"/>
      <c r="N198" s="68">
        <f t="shared" si="49"/>
        <v>0</v>
      </c>
      <c r="O198" s="76"/>
      <c r="AB198" s="7" t="str">
        <f t="shared" si="50"/>
        <v>[]</v>
      </c>
      <c r="AC198" s="7" t="str">
        <f t="shared" si="51"/>
        <v>[(101,150)]</v>
      </c>
    </row>
    <row r="199" spans="1:29" x14ac:dyDescent="0.15">
      <c r="A199" s="18">
        <v>97</v>
      </c>
      <c r="B199" s="18">
        <v>2</v>
      </c>
      <c r="C199" s="7"/>
      <c r="D199" s="7" t="str">
        <f t="shared" si="45"/>
        <v/>
      </c>
      <c r="E199" s="7"/>
      <c r="F199" s="68">
        <f t="shared" si="44"/>
        <v>0</v>
      </c>
      <c r="G199" s="7" t="s">
        <v>2707</v>
      </c>
      <c r="H199" s="7" t="str">
        <f t="shared" si="46"/>
        <v>BattlePass货币</v>
      </c>
      <c r="I199" s="7">
        <v>100</v>
      </c>
      <c r="J199" s="68">
        <f t="shared" si="47"/>
        <v>140</v>
      </c>
      <c r="K199" s="7" t="s">
        <v>2818</v>
      </c>
      <c r="L199" s="7" t="str">
        <f t="shared" si="48"/>
        <v>头像框</v>
      </c>
      <c r="M199" s="7">
        <v>1</v>
      </c>
      <c r="N199" s="68">
        <f t="shared" si="49"/>
        <v>300</v>
      </c>
      <c r="O199" s="76"/>
      <c r="AB199" s="7" t="str">
        <f t="shared" si="50"/>
        <v>[]</v>
      </c>
      <c r="AC199" s="7" t="str">
        <f t="shared" si="51"/>
        <v>[(113,100),(130119,1)]</v>
      </c>
    </row>
    <row r="200" spans="1:29" x14ac:dyDescent="0.15">
      <c r="A200" s="18">
        <v>98</v>
      </c>
      <c r="B200" s="18">
        <v>2</v>
      </c>
      <c r="C200" s="7"/>
      <c r="D200" s="7" t="str">
        <f t="shared" si="45"/>
        <v/>
      </c>
      <c r="E200" s="7"/>
      <c r="F200" s="68">
        <f t="shared" si="44"/>
        <v>0</v>
      </c>
      <c r="G200" s="7" t="s">
        <v>325</v>
      </c>
      <c r="H200" s="7" t="str">
        <f t="shared" si="46"/>
        <v>钻石</v>
      </c>
      <c r="I200" s="7">
        <v>150</v>
      </c>
      <c r="J200" s="68">
        <f t="shared" si="47"/>
        <v>150</v>
      </c>
      <c r="K200" s="7"/>
      <c r="L200" s="7" t="str">
        <f t="shared" si="48"/>
        <v/>
      </c>
      <c r="M200" s="7"/>
      <c r="N200" s="68">
        <f t="shared" si="49"/>
        <v>0</v>
      </c>
      <c r="O200" s="76"/>
      <c r="AB200" s="7" t="str">
        <f t="shared" si="50"/>
        <v>[]</v>
      </c>
      <c r="AC200" s="7" t="str">
        <f t="shared" si="51"/>
        <v>[(101,150)]</v>
      </c>
    </row>
    <row r="201" spans="1:29" x14ac:dyDescent="0.15">
      <c r="A201" s="18">
        <v>99</v>
      </c>
      <c r="B201" s="18">
        <v>2</v>
      </c>
      <c r="C201" s="7"/>
      <c r="D201" s="7" t="str">
        <f t="shared" si="45"/>
        <v/>
      </c>
      <c r="E201" s="69"/>
      <c r="F201" s="68">
        <f t="shared" si="44"/>
        <v>0</v>
      </c>
      <c r="G201" s="7" t="s">
        <v>2478</v>
      </c>
      <c r="H201" s="7" t="str">
        <f t="shared" si="46"/>
        <v>宝箱</v>
      </c>
      <c r="I201" s="7">
        <v>1</v>
      </c>
      <c r="J201" s="68">
        <f t="shared" si="47"/>
        <v>600</v>
      </c>
      <c r="K201" s="7"/>
      <c r="L201" s="7" t="str">
        <f t="shared" si="48"/>
        <v/>
      </c>
      <c r="M201" s="7"/>
      <c r="N201" s="68">
        <f t="shared" si="49"/>
        <v>0</v>
      </c>
      <c r="O201" s="76"/>
      <c r="AB201" s="7" t="str">
        <f t="shared" si="50"/>
        <v>[]</v>
      </c>
      <c r="AC201" s="7" t="str">
        <f t="shared" si="51"/>
        <v>[(25154,1)]</v>
      </c>
    </row>
    <row r="202" spans="1:29" x14ac:dyDescent="0.15">
      <c r="A202" s="18">
        <v>100</v>
      </c>
      <c r="B202" s="18">
        <v>2</v>
      </c>
      <c r="C202" s="70"/>
      <c r="D202" s="7" t="str">
        <f t="shared" si="45"/>
        <v/>
      </c>
      <c r="E202" s="94"/>
      <c r="F202" s="71">
        <f t="shared" si="44"/>
        <v>0</v>
      </c>
      <c r="G202" s="70" t="s">
        <v>2822</v>
      </c>
      <c r="H202" s="7" t="str">
        <f t="shared" si="46"/>
        <v>涂装</v>
      </c>
      <c r="I202" s="70">
        <v>1</v>
      </c>
      <c r="J202" s="68">
        <f t="shared" si="47"/>
        <v>600</v>
      </c>
      <c r="K202" s="70" t="s">
        <v>1956</v>
      </c>
      <c r="L202" s="7" t="str">
        <f t="shared" si="48"/>
        <v>坦克碎片</v>
      </c>
      <c r="M202" s="70">
        <v>15</v>
      </c>
      <c r="N202" s="68">
        <f t="shared" si="49"/>
        <v>1500</v>
      </c>
      <c r="O202" s="77">
        <f>SUM(N193:N202)+SUM(J193:J202)+SUM(F193:F202)</f>
        <v>4338.5</v>
      </c>
      <c r="AB202" s="7" t="str">
        <f t="shared" si="50"/>
        <v>[]</v>
      </c>
      <c r="AC202" s="7" t="str">
        <f t="shared" si="51"/>
        <v>[(180035,1),(52331,15)]</v>
      </c>
    </row>
  </sheetData>
  <phoneticPr fontId="34" type="noConversion"/>
  <conditionalFormatting sqref="G3:G102">
    <cfRule type="containsBlanks" dxfId="5" priority="13">
      <formula>LEN(TRIM(G3))=0</formula>
    </cfRule>
    <cfRule type="cellIs" dxfId="4" priority="14" operator="equal">
      <formula>""""""</formula>
    </cfRule>
  </conditionalFormatting>
  <conditionalFormatting sqref="G103:G202">
    <cfRule type="containsBlanks" dxfId="3" priority="1">
      <formula>LEN(TRIM(G103))=0</formula>
    </cfRule>
    <cfRule type="cellIs" dxfId="2" priority="2" operator="equal">
      <formula>""""""</formula>
    </cfRule>
  </conditionalFormatting>
  <conditionalFormatting sqref="R31:R44">
    <cfRule type="dataBar" priority="12">
      <dataBar>
        <cfvo type="min"/>
        <cfvo type="max"/>
        <color rgb="FFFFB628"/>
      </dataBar>
      <extLst>
        <ext xmlns:x14="http://schemas.microsoft.com/office/spreadsheetml/2009/9/main" uri="{B025F937-C7B1-47D3-B67F-A62EFF666E3E}">
          <x14:id>{DFA4E158-FB91-4807-AA79-42E44494923E}</x14:id>
        </ext>
      </extLst>
    </cfRule>
  </conditionalFormatting>
  <conditionalFormatting sqref="R131:R146">
    <cfRule type="dataBar" priority="18">
      <dataBar>
        <cfvo type="min"/>
        <cfvo type="max"/>
        <color rgb="FFFFB628"/>
      </dataBar>
      <extLst>
        <ext xmlns:x14="http://schemas.microsoft.com/office/spreadsheetml/2009/9/main" uri="{B025F937-C7B1-47D3-B67F-A62EFF666E3E}">
          <x14:id>{CA3A1A18-24F9-463B-9664-25CFB8576775}</x14:id>
        </ext>
      </extLst>
    </cfRule>
  </conditionalFormatting>
  <conditionalFormatting sqref="Y3:Y135">
    <cfRule type="cellIs" dxfId="1" priority="5" operator="equal">
      <formula>0</formula>
    </cfRule>
  </conditionalFormatting>
  <conditionalFormatting sqref="Q46:R47">
    <cfRule type="dataBar" priority="11">
      <dataBar>
        <cfvo type="min"/>
        <cfvo type="max"/>
        <color rgb="FFFF555A"/>
      </dataBar>
      <extLst>
        <ext xmlns:x14="http://schemas.microsoft.com/office/spreadsheetml/2009/9/main" uri="{B025F937-C7B1-47D3-B67F-A62EFF666E3E}">
          <x14:id>{53179EBE-FF5F-4944-98A6-6E9E8EE1DAC7}</x14:id>
        </ext>
      </extLst>
    </cfRule>
  </conditionalFormatting>
  <conditionalFormatting sqref="Q148:R149">
    <cfRule type="dataBar" priority="3">
      <dataBar>
        <cfvo type="min"/>
        <cfvo type="max"/>
        <color rgb="FFFF555A"/>
      </dataBar>
      <extLst>
        <ext xmlns:x14="http://schemas.microsoft.com/office/spreadsheetml/2009/9/main" uri="{B025F937-C7B1-47D3-B67F-A62EFF666E3E}">
          <x14:id>{1F6504D7-0265-4738-9CC6-D3AACEE43470}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FA4E158-FB91-4807-AA79-42E44494923E}">
            <x14:dataBar minLength="0" maxLength="100" gradient="0">
              <x14:cfvo type="autoMin"/>
              <x14:cfvo type="autoMax"/>
              <x14:negativeFillColor rgb="FFFF0000"/>
              <x14:axisColor rgb="FF000000"/>
            </x14:dataBar>
          </x14:cfRule>
          <xm:sqref>R31:R44</xm:sqref>
        </x14:conditionalFormatting>
        <x14:conditionalFormatting xmlns:xm="http://schemas.microsoft.com/office/excel/2006/main">
          <x14:cfRule type="dataBar" id="{CA3A1A18-24F9-463B-9664-25CFB8576775}">
            <x14:dataBar minLength="0" maxLength="100" gradient="0">
              <x14:cfvo type="autoMin"/>
              <x14:cfvo type="autoMax"/>
              <x14:negativeFillColor rgb="FFFF0000"/>
              <x14:axisColor rgb="FF000000"/>
            </x14:dataBar>
          </x14:cfRule>
          <xm:sqref>R131:R146</xm:sqref>
        </x14:conditionalFormatting>
        <x14:conditionalFormatting xmlns:xm="http://schemas.microsoft.com/office/excel/2006/main">
          <x14:cfRule type="dataBar" id="{53179EBE-FF5F-4944-98A6-6E9E8EE1DAC7}">
            <x14:dataBar minLength="0" maxLength="100" gradient="0">
              <x14:cfvo type="autoMin"/>
              <x14:cfvo type="autoMax"/>
              <x14:negativeFillColor rgb="FFFF0000"/>
              <x14:axisColor rgb="FF000000"/>
            </x14:dataBar>
          </x14:cfRule>
          <xm:sqref>Q46:R47</xm:sqref>
        </x14:conditionalFormatting>
        <x14:conditionalFormatting xmlns:xm="http://schemas.microsoft.com/office/excel/2006/main">
          <x14:cfRule type="dataBar" id="{1F6504D7-0265-4738-9CC6-D3AACEE43470}">
            <x14:dataBar minLength="0" maxLength="100" gradient="0">
              <x14:cfvo type="autoMin"/>
              <x14:cfvo type="autoMax"/>
              <x14:negativeFillColor rgb="FFFF0000"/>
              <x14:axisColor rgb="FF000000"/>
            </x14:dataBar>
          </x14:cfRule>
          <xm:sqref>Q148:R149</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210"/>
  <sheetViews>
    <sheetView tabSelected="1" workbookViewId="0">
      <pane xSplit="2" ySplit="2" topLeftCell="C5" activePane="bottomRight" state="frozen"/>
      <selection pane="topRight"/>
      <selection pane="bottomLeft"/>
      <selection pane="bottomRight" activeCell="K23" sqref="K23"/>
    </sheetView>
  </sheetViews>
  <sheetFormatPr defaultColWidth="9" defaultRowHeight="13.5" x14ac:dyDescent="0.15"/>
  <cols>
    <col min="2" max="2" width="37.5" customWidth="1"/>
    <col min="6" max="6" width="29.375" customWidth="1"/>
    <col min="13" max="14" width="13.625" customWidth="1"/>
    <col min="17" max="17" width="12.5" customWidth="1"/>
    <col min="29" max="30" width="13" customWidth="1"/>
    <col min="31" max="31" width="11.75" customWidth="1"/>
    <col min="33" max="33" width="43.625" customWidth="1"/>
    <col min="36" max="37" width="13.75" customWidth="1"/>
    <col min="39" max="39" width="22.375" customWidth="1"/>
  </cols>
  <sheetData>
    <row r="1" spans="1:52" x14ac:dyDescent="0.15">
      <c r="A1" s="279" t="s">
        <v>3039</v>
      </c>
      <c r="B1" s="279" t="s">
        <v>3040</v>
      </c>
      <c r="C1" s="279" t="s">
        <v>3041</v>
      </c>
      <c r="D1" s="279" t="s">
        <v>3042</v>
      </c>
      <c r="E1" s="279" t="s">
        <v>3043</v>
      </c>
      <c r="F1" s="279" t="s">
        <v>3044</v>
      </c>
      <c r="G1" s="279" t="s">
        <v>3045</v>
      </c>
      <c r="H1" s="279" t="s">
        <v>3046</v>
      </c>
      <c r="I1" s="279" t="s">
        <v>3047</v>
      </c>
      <c r="J1" s="279" t="s">
        <v>3048</v>
      </c>
      <c r="K1" s="279" t="s">
        <v>3049</v>
      </c>
      <c r="L1" s="279" t="s">
        <v>3050</v>
      </c>
      <c r="M1" s="280" t="s">
        <v>3051</v>
      </c>
      <c r="N1" s="279" t="s">
        <v>3052</v>
      </c>
      <c r="O1" s="279" t="s">
        <v>3053</v>
      </c>
      <c r="P1" s="279" t="s">
        <v>3054</v>
      </c>
      <c r="Q1" s="279" t="s">
        <v>3055</v>
      </c>
      <c r="S1" s="48" t="s">
        <v>3056</v>
      </c>
      <c r="X1" s="48" t="s">
        <v>3057</v>
      </c>
      <c r="AG1" s="48" t="s">
        <v>3058</v>
      </c>
      <c r="AH1" s="48" t="s">
        <v>3059</v>
      </c>
      <c r="AI1" s="48" t="s">
        <v>3060</v>
      </c>
      <c r="AJ1" s="48" t="s">
        <v>3061</v>
      </c>
      <c r="AK1" s="48" t="s">
        <v>577</v>
      </c>
      <c r="AL1" s="48"/>
      <c r="AM1" t="s">
        <v>3062</v>
      </c>
      <c r="AN1">
        <v>4</v>
      </c>
      <c r="AP1" s="48" t="s">
        <v>574</v>
      </c>
      <c r="AW1" s="48" t="s">
        <v>3042</v>
      </c>
      <c r="AX1" s="53" t="s">
        <v>3063</v>
      </c>
    </row>
    <row r="2" spans="1:52" x14ac:dyDescent="0.15">
      <c r="A2" s="279"/>
      <c r="B2" s="279"/>
      <c r="C2" s="279"/>
      <c r="D2" s="279"/>
      <c r="E2" s="279"/>
      <c r="F2" s="279"/>
      <c r="G2" s="279"/>
      <c r="H2" s="279"/>
      <c r="I2" s="279"/>
      <c r="J2" s="279"/>
      <c r="K2" s="279"/>
      <c r="L2" s="279"/>
      <c r="M2" s="280"/>
      <c r="N2" s="279"/>
      <c r="O2" s="279"/>
      <c r="P2" s="279"/>
      <c r="Q2" s="279"/>
      <c r="S2" t="s">
        <v>3006</v>
      </c>
      <c r="T2" t="s">
        <v>3042</v>
      </c>
      <c r="U2" t="s">
        <v>3064</v>
      </c>
      <c r="V2" s="50" t="s">
        <v>3065</v>
      </c>
      <c r="W2" s="50"/>
      <c r="X2" s="50" t="s">
        <v>3006</v>
      </c>
      <c r="Y2" s="50" t="s">
        <v>3042</v>
      </c>
      <c r="Z2" s="50" t="s">
        <v>3066</v>
      </c>
      <c r="AA2" s="50" t="s">
        <v>3067</v>
      </c>
      <c r="AB2" s="50" t="s">
        <v>3068</v>
      </c>
      <c r="AC2" s="50" t="s">
        <v>3069</v>
      </c>
      <c r="AD2" s="50" t="s">
        <v>3070</v>
      </c>
      <c r="AE2" s="50" t="s">
        <v>1088</v>
      </c>
      <c r="AF2" s="50"/>
      <c r="AM2" t="s">
        <v>3071</v>
      </c>
      <c r="AN2">
        <v>30</v>
      </c>
      <c r="AP2" s="51" t="s">
        <v>3005</v>
      </c>
      <c r="AQ2" s="51" t="s">
        <v>3072</v>
      </c>
      <c r="AS2" s="52" t="s">
        <v>3042</v>
      </c>
      <c r="AT2" s="52" t="s">
        <v>3073</v>
      </c>
      <c r="AU2" s="52" t="s">
        <v>3074</v>
      </c>
      <c r="AW2" s="54">
        <v>1</v>
      </c>
      <c r="AX2" s="7" t="s">
        <v>2748</v>
      </c>
      <c r="AY2" s="7">
        <v>20</v>
      </c>
      <c r="AZ2" t="str">
        <f t="shared" ref="AZ2:AZ11" si="0">IF(AX2="","[]","["&amp;"("&amp;VLOOKUP(AX2,道具ID,2,FALSE)&amp;","&amp;AY2&amp;")"&amp;"]")</f>
        <v>[(112,20)]</v>
      </c>
    </row>
    <row r="3" spans="1:52" x14ac:dyDescent="0.15">
      <c r="A3">
        <v>1</v>
      </c>
      <c r="B3" t="s">
        <v>3075</v>
      </c>
      <c r="C3" t="s">
        <v>3076</v>
      </c>
      <c r="D3">
        <v>1</v>
      </c>
      <c r="E3" t="s">
        <v>1595</v>
      </c>
      <c r="F3" t="s">
        <v>3077</v>
      </c>
      <c r="G3">
        <v>1</v>
      </c>
      <c r="H3">
        <v>1</v>
      </c>
      <c r="I3" t="s">
        <v>3078</v>
      </c>
      <c r="J3" t="s">
        <v>3079</v>
      </c>
      <c r="K3" t="s">
        <v>3080</v>
      </c>
      <c r="L3" t="s">
        <v>3081</v>
      </c>
      <c r="M3">
        <v>1</v>
      </c>
      <c r="N3">
        <v>1</v>
      </c>
      <c r="O3">
        <v>15</v>
      </c>
      <c r="P3" t="str">
        <f t="shared" ref="P3:P66" si="1">"[("&amp;"112,"&amp;O3&amp;")]"</f>
        <v>[(112,15)]</v>
      </c>
      <c r="Q3">
        <f t="shared" ref="Q3:Q66" si="2">IF((N3/VLOOKUP(B3,AG:AJ,MATCH("单场参数换算",$AG$1:$AJ$1,0),FALSE))/($AN$2/$AN$1)&gt;7,7,(N3/VLOOKUP(B3,AG:AJ,MATCH("单场参数换算",$AG$1:$AJ$1,0),FALSE))/($AN$2/$AN$1))</f>
        <v>2</v>
      </c>
      <c r="S3">
        <v>1</v>
      </c>
      <c r="T3">
        <v>1</v>
      </c>
      <c r="U3">
        <f t="shared" ref="U3:U22" si="3">COUNTIFS(D:D,T3,A:A,S3)</f>
        <v>10</v>
      </c>
      <c r="V3" s="50">
        <f t="shared" ref="V3:V22" si="4">COUNTIFS(D:D,T3,H:H,1,A:A,S3)</f>
        <v>6</v>
      </c>
      <c r="W3" s="50"/>
      <c r="X3" s="50">
        <v>2</v>
      </c>
      <c r="Y3" s="50">
        <f>ROUNDUP(Z3/7,0)</f>
        <v>1</v>
      </c>
      <c r="Z3" s="50">
        <v>1</v>
      </c>
      <c r="AA3" s="50">
        <f>IF(MOD(Z3,7)=0,7,MOD(Z3,7))</f>
        <v>1</v>
      </c>
      <c r="AB3" s="50">
        <f t="shared" ref="AB3:AB34" si="5">SUMIFS(O:O,A:A,X3,D:D,Y3,Q:Q,"&lt;="&amp;AA3)</f>
        <v>5</v>
      </c>
      <c r="AC3" s="50">
        <f t="shared" ref="AC3:AC34" si="6">IF(Y3=1,AB3,SUMIFS(AB:AB,Y:Y,"&lt;"&amp;Y3,AA:AA,7)+AB3)</f>
        <v>5</v>
      </c>
      <c r="AD3" s="50">
        <f>AC3+SUMIFS($AY$2:$AY$11,$AX$2:$AX$11,"BattlePass经验",$AW$2:$AW$11,"&lt;"&amp;Y3)+1*Z3+Z3*$AN$5</f>
        <v>10.5</v>
      </c>
      <c r="AE3" s="50">
        <f>ROUNDDOWN(AD3/10,0)</f>
        <v>1</v>
      </c>
      <c r="AF3" s="50"/>
      <c r="AG3" t="s">
        <v>3082</v>
      </c>
      <c r="AH3" t="s">
        <v>3083</v>
      </c>
      <c r="AI3">
        <v>3</v>
      </c>
      <c r="AJ3">
        <f>IF(AH3="单场",AI3,IF(AH3="多场",1/AI3,IF(AH3="单天",AI3/($AN$2/$AN$1),1/(AI3*($AN$2/$AN$1)))))</f>
        <v>3</v>
      </c>
      <c r="AK3">
        <v>5</v>
      </c>
      <c r="AM3" t="s">
        <v>3084</v>
      </c>
      <c r="AN3">
        <v>0.1</v>
      </c>
      <c r="AP3" s="7">
        <v>1</v>
      </c>
      <c r="AQ3" s="7">
        <v>10</v>
      </c>
      <c r="AS3" s="7">
        <v>1</v>
      </c>
      <c r="AT3" s="7">
        <f t="shared" ref="AT3:AT12" si="7">(SUMIFS($O$3:$O$105,$H$3:$H$105,1,$D$3:$D$105,"&lt;="&amp;AS3)+SUMIFS($AY$2:$AY$11,$AX$2:$AX$11,"BattlePass经验",$AW$2:$AW$11,"&lt;="&amp;AS3))/10</f>
        <v>8.5</v>
      </c>
      <c r="AU3" s="7">
        <f t="shared" ref="AU3:AU12" si="8">(SUMIFS($O$3:$O$105,$D$3:$D$105,"&lt;="&amp;AS3)++SUMIFS($AY$2:$AY$11,$AX$2:$AX$11,"BattlePass经验",$AW$2:$AW$11,"&lt;="&amp;AS3))/10</f>
        <v>12</v>
      </c>
      <c r="AW3" s="7">
        <v>2</v>
      </c>
      <c r="AX3" s="7" t="s">
        <v>275</v>
      </c>
      <c r="AY3" s="7">
        <v>50</v>
      </c>
      <c r="AZ3" t="str">
        <f t="shared" si="0"/>
        <v>[(102,50)]</v>
      </c>
    </row>
    <row r="4" spans="1:52" x14ac:dyDescent="0.15">
      <c r="A4">
        <v>1</v>
      </c>
      <c r="B4" t="s">
        <v>3085</v>
      </c>
      <c r="C4" t="s">
        <v>3086</v>
      </c>
      <c r="D4">
        <v>1</v>
      </c>
      <c r="E4" t="s">
        <v>3087</v>
      </c>
      <c r="F4" t="s">
        <v>3088</v>
      </c>
      <c r="G4">
        <v>6</v>
      </c>
      <c r="H4">
        <v>1</v>
      </c>
      <c r="I4" t="s">
        <v>3089</v>
      </c>
      <c r="J4" t="s">
        <v>3090</v>
      </c>
      <c r="K4" t="s">
        <v>3091</v>
      </c>
      <c r="L4" t="s">
        <v>3092</v>
      </c>
      <c r="M4">
        <v>7</v>
      </c>
      <c r="N4">
        <v>6</v>
      </c>
      <c r="O4">
        <v>5</v>
      </c>
      <c r="P4" t="str">
        <f t="shared" si="1"/>
        <v>[(112,5)]</v>
      </c>
      <c r="Q4">
        <f t="shared" si="2"/>
        <v>3</v>
      </c>
      <c r="S4">
        <v>1</v>
      </c>
      <c r="T4">
        <v>2</v>
      </c>
      <c r="U4">
        <f t="shared" si="3"/>
        <v>10</v>
      </c>
      <c r="V4" s="50">
        <f t="shared" si="4"/>
        <v>5</v>
      </c>
      <c r="W4" s="50"/>
      <c r="X4" s="50">
        <v>2</v>
      </c>
      <c r="Y4" s="50">
        <f t="shared" ref="Y4:Y10" si="9">ROUNDUP(Z4/7,0)</f>
        <v>1</v>
      </c>
      <c r="Z4" s="50">
        <v>2</v>
      </c>
      <c r="AA4" s="50">
        <f t="shared" ref="AA4:AA35" si="10">IF(MOD(Z4,7)=0,7,MOD(Z4,7))</f>
        <v>2</v>
      </c>
      <c r="AB4" s="50">
        <f t="shared" si="5"/>
        <v>40</v>
      </c>
      <c r="AC4" s="50">
        <f t="shared" si="6"/>
        <v>40</v>
      </c>
      <c r="AD4" s="50">
        <f t="shared" ref="AD4:AD35" si="11">AC4+SUMIFS($AY$2:$AY$11,$AX$2:$AX$11,"BattlePass经验",$AW$2:$AW$11,"&lt;"&amp;Y4)+1*Z4+Z4*$AN$5</f>
        <v>51</v>
      </c>
      <c r="AE4" s="50">
        <f t="shared" ref="AE4:AE35" si="12">ROUNDDOWN(AD4/10,0)</f>
        <v>5</v>
      </c>
      <c r="AF4" s="50"/>
      <c r="AG4" t="s">
        <v>3093</v>
      </c>
      <c r="AH4" t="s">
        <v>3094</v>
      </c>
      <c r="AI4">
        <v>3</v>
      </c>
      <c r="AJ4">
        <f t="shared" ref="AJ4:AJ35" si="13">IF(AH4="单场",AI4,IF(AH4="多场",1/AI4,IF(AH4="单天",AI4/($AN$2/$AN$1),1/(AI4*($AN$2/$AN$1)))))</f>
        <v>4.4444444444444446E-2</v>
      </c>
      <c r="AK4">
        <v>10</v>
      </c>
      <c r="AM4" t="s">
        <v>3095</v>
      </c>
      <c r="AN4">
        <v>6</v>
      </c>
      <c r="AP4" s="7">
        <v>2</v>
      </c>
      <c r="AQ4" s="7">
        <v>20</v>
      </c>
      <c r="AS4" s="7">
        <v>2</v>
      </c>
      <c r="AT4" s="7">
        <f t="shared" si="7"/>
        <v>13</v>
      </c>
      <c r="AU4" s="7">
        <f t="shared" si="8"/>
        <v>21</v>
      </c>
      <c r="AW4" s="54">
        <v>3</v>
      </c>
      <c r="AX4" s="7" t="s">
        <v>2748</v>
      </c>
      <c r="AY4" s="7">
        <v>20</v>
      </c>
      <c r="AZ4" t="str">
        <f t="shared" si="0"/>
        <v>[(112,20)]</v>
      </c>
    </row>
    <row r="5" spans="1:52" x14ac:dyDescent="0.15">
      <c r="A5">
        <v>1</v>
      </c>
      <c r="B5" t="s">
        <v>3093</v>
      </c>
      <c r="C5" t="s">
        <v>3096</v>
      </c>
      <c r="D5">
        <v>1</v>
      </c>
      <c r="E5" t="s">
        <v>3097</v>
      </c>
      <c r="F5" t="s">
        <v>3098</v>
      </c>
      <c r="G5">
        <v>1</v>
      </c>
      <c r="H5">
        <v>1</v>
      </c>
      <c r="I5" t="s">
        <v>3099</v>
      </c>
      <c r="J5" t="s">
        <v>3100</v>
      </c>
      <c r="K5" t="s">
        <v>3101</v>
      </c>
      <c r="L5" t="s">
        <v>3102</v>
      </c>
      <c r="M5">
        <v>1</v>
      </c>
      <c r="N5">
        <v>1</v>
      </c>
      <c r="O5">
        <v>15</v>
      </c>
      <c r="P5" t="str">
        <f t="shared" si="1"/>
        <v>[(112,15)]</v>
      </c>
      <c r="Q5">
        <f t="shared" si="2"/>
        <v>3</v>
      </c>
      <c r="S5">
        <v>1</v>
      </c>
      <c r="T5">
        <v>3</v>
      </c>
      <c r="U5">
        <f t="shared" si="3"/>
        <v>10</v>
      </c>
      <c r="V5" s="50">
        <f t="shared" si="4"/>
        <v>4</v>
      </c>
      <c r="W5" s="50"/>
      <c r="X5" s="50">
        <v>2</v>
      </c>
      <c r="Y5" s="50">
        <f t="shared" si="9"/>
        <v>1</v>
      </c>
      <c r="Z5" s="50">
        <v>3</v>
      </c>
      <c r="AA5" s="50">
        <f t="shared" si="10"/>
        <v>3</v>
      </c>
      <c r="AB5" s="50">
        <f t="shared" si="5"/>
        <v>55</v>
      </c>
      <c r="AC5" s="50">
        <f t="shared" si="6"/>
        <v>55</v>
      </c>
      <c r="AD5" s="50">
        <f t="shared" si="11"/>
        <v>71.5</v>
      </c>
      <c r="AE5" s="50">
        <f t="shared" si="12"/>
        <v>7</v>
      </c>
      <c r="AF5" s="50"/>
      <c r="AG5" t="s">
        <v>3103</v>
      </c>
      <c r="AH5" t="s">
        <v>3104</v>
      </c>
      <c r="AI5">
        <v>1</v>
      </c>
      <c r="AJ5">
        <f t="shared" si="13"/>
        <v>0.13333333333333333</v>
      </c>
      <c r="AK5">
        <v>10</v>
      </c>
      <c r="AM5" t="s">
        <v>3105</v>
      </c>
      <c r="AN5">
        <f>AN2/AN1*AN4*AN3</f>
        <v>4.5</v>
      </c>
      <c r="AP5" s="7">
        <v>3</v>
      </c>
      <c r="AQ5" s="7">
        <v>30</v>
      </c>
      <c r="AS5" s="7">
        <v>3</v>
      </c>
      <c r="AT5" s="7">
        <f t="shared" si="7"/>
        <v>21</v>
      </c>
      <c r="AU5" s="7">
        <f t="shared" si="8"/>
        <v>35.5</v>
      </c>
      <c r="AW5" s="7">
        <v>4</v>
      </c>
      <c r="AX5" s="7" t="s">
        <v>325</v>
      </c>
      <c r="AY5" s="7">
        <v>5</v>
      </c>
      <c r="AZ5" t="str">
        <f t="shared" si="0"/>
        <v>[(101,5)]</v>
      </c>
    </row>
    <row r="6" spans="1:52" x14ac:dyDescent="0.15">
      <c r="A6">
        <v>1</v>
      </c>
      <c r="B6" t="s">
        <v>3106</v>
      </c>
      <c r="C6" t="s">
        <v>3107</v>
      </c>
      <c r="D6">
        <v>1</v>
      </c>
      <c r="E6" t="s">
        <v>1591</v>
      </c>
      <c r="F6" t="s">
        <v>3108</v>
      </c>
      <c r="G6">
        <v>1</v>
      </c>
      <c r="H6">
        <v>2</v>
      </c>
      <c r="I6" t="s">
        <v>3109</v>
      </c>
      <c r="J6" t="s">
        <v>3110</v>
      </c>
      <c r="K6" t="s">
        <v>3111</v>
      </c>
      <c r="L6" t="s">
        <v>3112</v>
      </c>
      <c r="M6">
        <v>1</v>
      </c>
      <c r="N6">
        <v>1</v>
      </c>
      <c r="O6">
        <v>5</v>
      </c>
      <c r="P6" t="str">
        <f t="shared" si="1"/>
        <v>[(112,5)]</v>
      </c>
      <c r="Q6">
        <f t="shared" si="2"/>
        <v>6.9999999999999991</v>
      </c>
      <c r="S6">
        <v>1</v>
      </c>
      <c r="T6">
        <v>4</v>
      </c>
      <c r="U6">
        <f t="shared" si="3"/>
        <v>11</v>
      </c>
      <c r="V6" s="50">
        <f t="shared" si="4"/>
        <v>4</v>
      </c>
      <c r="W6" s="50"/>
      <c r="X6" s="50">
        <v>2</v>
      </c>
      <c r="Y6" s="50">
        <f t="shared" si="9"/>
        <v>1</v>
      </c>
      <c r="Z6" s="50">
        <v>4</v>
      </c>
      <c r="AA6" s="50">
        <f t="shared" si="10"/>
        <v>4</v>
      </c>
      <c r="AB6" s="50">
        <f t="shared" si="5"/>
        <v>90</v>
      </c>
      <c r="AC6" s="50">
        <f t="shared" si="6"/>
        <v>90</v>
      </c>
      <c r="AD6" s="50">
        <f t="shared" si="11"/>
        <v>112</v>
      </c>
      <c r="AE6" s="50">
        <f t="shared" si="12"/>
        <v>11</v>
      </c>
      <c r="AF6" s="50"/>
      <c r="AG6" s="258" t="s">
        <v>3746</v>
      </c>
      <c r="AH6" t="s">
        <v>3114</v>
      </c>
      <c r="AI6">
        <v>5</v>
      </c>
      <c r="AJ6">
        <f t="shared" si="13"/>
        <v>0.2</v>
      </c>
      <c r="AK6">
        <v>20</v>
      </c>
      <c r="AP6" s="7">
        <v>4</v>
      </c>
      <c r="AQ6" s="7">
        <v>40</v>
      </c>
      <c r="AS6" s="7">
        <v>4</v>
      </c>
      <c r="AT6" s="7">
        <f t="shared" si="7"/>
        <v>26</v>
      </c>
      <c r="AU6" s="7">
        <f t="shared" si="8"/>
        <v>45.5</v>
      </c>
      <c r="AW6" s="54">
        <v>5</v>
      </c>
      <c r="AX6" s="7" t="s">
        <v>2748</v>
      </c>
      <c r="AY6" s="7">
        <v>20</v>
      </c>
      <c r="AZ6" t="str">
        <f t="shared" si="0"/>
        <v>[(112,20)]</v>
      </c>
    </row>
    <row r="7" spans="1:52" x14ac:dyDescent="0.15">
      <c r="A7">
        <v>1</v>
      </c>
      <c r="B7" t="s">
        <v>3115</v>
      </c>
      <c r="C7" t="s">
        <v>3116</v>
      </c>
      <c r="D7">
        <v>1</v>
      </c>
      <c r="E7" t="s">
        <v>3117</v>
      </c>
      <c r="F7" t="s">
        <v>3088</v>
      </c>
      <c r="G7">
        <v>10</v>
      </c>
      <c r="H7">
        <v>1</v>
      </c>
      <c r="I7" t="s">
        <v>3118</v>
      </c>
      <c r="J7" t="s">
        <v>3119</v>
      </c>
      <c r="K7" t="s">
        <v>3120</v>
      </c>
      <c r="L7" t="s">
        <v>3121</v>
      </c>
      <c r="M7">
        <v>1</v>
      </c>
      <c r="N7">
        <v>10</v>
      </c>
      <c r="O7">
        <v>5</v>
      </c>
      <c r="P7" t="str">
        <f t="shared" si="1"/>
        <v>[(112,5)]</v>
      </c>
      <c r="Q7">
        <f t="shared" si="2"/>
        <v>2.2266666666666666</v>
      </c>
      <c r="S7">
        <v>1</v>
      </c>
      <c r="T7">
        <v>5</v>
      </c>
      <c r="U7">
        <f t="shared" si="3"/>
        <v>10</v>
      </c>
      <c r="V7" s="50">
        <f t="shared" si="4"/>
        <v>5</v>
      </c>
      <c r="W7" s="50"/>
      <c r="X7" s="50">
        <v>2</v>
      </c>
      <c r="Y7" s="50">
        <f t="shared" si="9"/>
        <v>1</v>
      </c>
      <c r="Z7" s="50">
        <v>5</v>
      </c>
      <c r="AA7" s="50">
        <f t="shared" si="10"/>
        <v>5</v>
      </c>
      <c r="AB7" s="50">
        <f t="shared" si="5"/>
        <v>110</v>
      </c>
      <c r="AC7" s="50">
        <f t="shared" si="6"/>
        <v>110</v>
      </c>
      <c r="AD7" s="50">
        <f t="shared" si="11"/>
        <v>137.5</v>
      </c>
      <c r="AE7" s="50">
        <f t="shared" si="12"/>
        <v>13</v>
      </c>
      <c r="AF7" s="50"/>
      <c r="AG7" t="s">
        <v>3106</v>
      </c>
      <c r="AH7" t="s">
        <v>3094</v>
      </c>
      <c r="AI7">
        <v>7</v>
      </c>
      <c r="AJ7">
        <f t="shared" si="13"/>
        <v>1.9047619047619049E-2</v>
      </c>
      <c r="AK7">
        <v>10</v>
      </c>
      <c r="AP7" s="7">
        <v>5</v>
      </c>
      <c r="AQ7" s="7">
        <v>50</v>
      </c>
      <c r="AS7" s="7">
        <v>5</v>
      </c>
      <c r="AT7" s="7">
        <f t="shared" si="7"/>
        <v>33</v>
      </c>
      <c r="AU7" s="7">
        <f t="shared" si="8"/>
        <v>58.5</v>
      </c>
      <c r="AW7" s="7">
        <v>6</v>
      </c>
      <c r="AX7" s="7" t="s">
        <v>280</v>
      </c>
      <c r="AY7" s="7">
        <v>10</v>
      </c>
      <c r="AZ7" t="str">
        <f t="shared" si="0"/>
        <v>[(105,10)]</v>
      </c>
    </row>
    <row r="8" spans="1:52" x14ac:dyDescent="0.15">
      <c r="A8">
        <v>1</v>
      </c>
      <c r="B8" t="s">
        <v>3113</v>
      </c>
      <c r="C8" t="s">
        <v>3122</v>
      </c>
      <c r="D8">
        <v>1</v>
      </c>
      <c r="E8" t="s">
        <v>1595</v>
      </c>
      <c r="F8" t="s">
        <v>3088</v>
      </c>
      <c r="G8">
        <v>3</v>
      </c>
      <c r="H8">
        <v>2</v>
      </c>
      <c r="I8" t="s">
        <v>3123</v>
      </c>
      <c r="J8" t="s">
        <v>3124</v>
      </c>
      <c r="K8" t="s">
        <v>3125</v>
      </c>
      <c r="L8" t="s">
        <v>3126</v>
      </c>
      <c r="M8">
        <v>1</v>
      </c>
      <c r="N8">
        <v>3</v>
      </c>
      <c r="O8">
        <v>10</v>
      </c>
      <c r="P8" t="str">
        <f t="shared" si="1"/>
        <v>[(112,10)]</v>
      </c>
      <c r="Q8">
        <f t="shared" si="2"/>
        <v>2</v>
      </c>
      <c r="S8">
        <v>1</v>
      </c>
      <c r="T8">
        <v>6</v>
      </c>
      <c r="U8">
        <f t="shared" si="3"/>
        <v>10</v>
      </c>
      <c r="V8" s="50">
        <f t="shared" si="4"/>
        <v>7</v>
      </c>
      <c r="W8" s="50"/>
      <c r="X8" s="50">
        <v>2</v>
      </c>
      <c r="Y8" s="50">
        <f t="shared" si="9"/>
        <v>1</v>
      </c>
      <c r="Z8" s="50">
        <v>6</v>
      </c>
      <c r="AA8" s="50">
        <f t="shared" si="10"/>
        <v>6</v>
      </c>
      <c r="AB8" s="50">
        <f t="shared" si="5"/>
        <v>110</v>
      </c>
      <c r="AC8" s="50">
        <f t="shared" si="6"/>
        <v>110</v>
      </c>
      <c r="AD8" s="50">
        <f t="shared" si="11"/>
        <v>143</v>
      </c>
      <c r="AE8" s="50">
        <f t="shared" si="12"/>
        <v>14</v>
      </c>
      <c r="AF8" s="50"/>
      <c r="AG8" t="s">
        <v>3127</v>
      </c>
      <c r="AH8" t="s">
        <v>3083</v>
      </c>
      <c r="AI8">
        <v>5</v>
      </c>
      <c r="AJ8">
        <f t="shared" si="13"/>
        <v>5</v>
      </c>
      <c r="AK8">
        <v>10</v>
      </c>
      <c r="AP8" s="7">
        <v>6</v>
      </c>
      <c r="AQ8" s="7">
        <v>60</v>
      </c>
      <c r="AS8" s="7">
        <v>6</v>
      </c>
      <c r="AT8" s="7">
        <f t="shared" si="7"/>
        <v>42.5</v>
      </c>
      <c r="AU8" s="7">
        <f t="shared" si="8"/>
        <v>70</v>
      </c>
      <c r="AW8" s="54">
        <v>7</v>
      </c>
      <c r="AX8" s="7" t="s">
        <v>2748</v>
      </c>
      <c r="AY8" s="7">
        <v>20</v>
      </c>
      <c r="AZ8" t="str">
        <f t="shared" si="0"/>
        <v>[(112,20)]</v>
      </c>
    </row>
    <row r="9" spans="1:52" x14ac:dyDescent="0.15">
      <c r="A9">
        <v>1</v>
      </c>
      <c r="B9" t="s">
        <v>3127</v>
      </c>
      <c r="C9" t="s">
        <v>3128</v>
      </c>
      <c r="D9">
        <v>1</v>
      </c>
      <c r="E9" t="s">
        <v>3129</v>
      </c>
      <c r="F9" t="s">
        <v>3088</v>
      </c>
      <c r="G9">
        <v>30</v>
      </c>
      <c r="H9">
        <v>1</v>
      </c>
      <c r="I9" t="s">
        <v>3130</v>
      </c>
      <c r="J9" t="s">
        <v>3131</v>
      </c>
      <c r="K9" t="s">
        <v>3132</v>
      </c>
      <c r="L9" t="s">
        <v>3133</v>
      </c>
      <c r="M9">
        <v>1</v>
      </c>
      <c r="N9">
        <v>30</v>
      </c>
      <c r="O9">
        <v>10</v>
      </c>
      <c r="P9" t="str">
        <f t="shared" si="1"/>
        <v>[(112,10)]</v>
      </c>
      <c r="Q9">
        <f t="shared" si="2"/>
        <v>0.8</v>
      </c>
      <c r="S9">
        <v>1</v>
      </c>
      <c r="T9">
        <v>7</v>
      </c>
      <c r="U9">
        <f t="shared" si="3"/>
        <v>11</v>
      </c>
      <c r="V9" s="50">
        <f t="shared" si="4"/>
        <v>4</v>
      </c>
      <c r="W9" s="50"/>
      <c r="X9" s="50">
        <v>2</v>
      </c>
      <c r="Y9" s="50">
        <f t="shared" si="9"/>
        <v>1</v>
      </c>
      <c r="Z9" s="50">
        <v>7</v>
      </c>
      <c r="AA9" s="50">
        <f t="shared" si="10"/>
        <v>7</v>
      </c>
      <c r="AB9" s="50">
        <f t="shared" si="5"/>
        <v>120</v>
      </c>
      <c r="AC9" s="50">
        <f t="shared" si="6"/>
        <v>120</v>
      </c>
      <c r="AD9" s="50">
        <f t="shared" si="11"/>
        <v>158.5</v>
      </c>
      <c r="AE9" s="50">
        <f t="shared" si="12"/>
        <v>15</v>
      </c>
      <c r="AF9" s="50"/>
      <c r="AG9" t="s">
        <v>3075</v>
      </c>
      <c r="AH9" t="s">
        <v>3094</v>
      </c>
      <c r="AI9">
        <v>2</v>
      </c>
      <c r="AJ9">
        <f t="shared" si="13"/>
        <v>6.6666666666666666E-2</v>
      </c>
      <c r="AK9">
        <v>10</v>
      </c>
      <c r="AP9" s="7">
        <v>7</v>
      </c>
      <c r="AQ9" s="7">
        <v>70</v>
      </c>
      <c r="AS9" s="7">
        <v>7</v>
      </c>
      <c r="AT9" s="7">
        <f t="shared" si="7"/>
        <v>49.5</v>
      </c>
      <c r="AU9" s="7">
        <f t="shared" si="8"/>
        <v>83.5</v>
      </c>
      <c r="AW9" s="7">
        <v>8</v>
      </c>
      <c r="AX9" s="7" t="s">
        <v>275</v>
      </c>
      <c r="AY9" s="7">
        <v>100</v>
      </c>
      <c r="AZ9" t="str">
        <f t="shared" si="0"/>
        <v>[(102,100)]</v>
      </c>
    </row>
    <row r="10" spans="1:52" x14ac:dyDescent="0.15">
      <c r="A10">
        <v>1</v>
      </c>
      <c r="B10" t="s">
        <v>3082</v>
      </c>
      <c r="C10" t="s">
        <v>3134</v>
      </c>
      <c r="D10">
        <v>1</v>
      </c>
      <c r="E10" t="s">
        <v>3129</v>
      </c>
      <c r="F10" t="s">
        <v>3088</v>
      </c>
      <c r="G10">
        <v>30</v>
      </c>
      <c r="H10">
        <v>1</v>
      </c>
      <c r="I10" t="s">
        <v>3135</v>
      </c>
      <c r="J10" t="s">
        <v>3136</v>
      </c>
      <c r="K10" t="s">
        <v>3137</v>
      </c>
      <c r="L10" t="s">
        <v>3138</v>
      </c>
      <c r="M10">
        <v>1</v>
      </c>
      <c r="N10">
        <v>30</v>
      </c>
      <c r="O10">
        <v>15</v>
      </c>
      <c r="P10" t="str">
        <f t="shared" si="1"/>
        <v>[(112,15)]</v>
      </c>
      <c r="Q10">
        <f t="shared" si="2"/>
        <v>1.3333333333333333</v>
      </c>
      <c r="S10">
        <v>1</v>
      </c>
      <c r="T10">
        <v>8</v>
      </c>
      <c r="U10">
        <f t="shared" si="3"/>
        <v>10</v>
      </c>
      <c r="V10" s="50">
        <f t="shared" si="4"/>
        <v>6</v>
      </c>
      <c r="W10" s="50"/>
      <c r="X10" s="50">
        <v>2</v>
      </c>
      <c r="Y10" s="50">
        <f t="shared" si="9"/>
        <v>2</v>
      </c>
      <c r="Z10" s="50">
        <v>8</v>
      </c>
      <c r="AA10" s="50">
        <f t="shared" si="10"/>
        <v>1</v>
      </c>
      <c r="AB10" s="50">
        <f t="shared" si="5"/>
        <v>35</v>
      </c>
      <c r="AC10" s="50">
        <f t="shared" si="6"/>
        <v>155</v>
      </c>
      <c r="AD10" s="50">
        <f t="shared" si="11"/>
        <v>219</v>
      </c>
      <c r="AE10" s="50">
        <f t="shared" si="12"/>
        <v>21</v>
      </c>
      <c r="AF10" s="50"/>
      <c r="AG10" t="s">
        <v>3139</v>
      </c>
      <c r="AH10" t="s">
        <v>3094</v>
      </c>
      <c r="AI10">
        <v>2</v>
      </c>
      <c r="AJ10">
        <f t="shared" si="13"/>
        <v>6.6666666666666666E-2</v>
      </c>
      <c r="AK10">
        <v>10</v>
      </c>
      <c r="AP10" s="7">
        <v>8</v>
      </c>
      <c r="AQ10" s="7">
        <v>80</v>
      </c>
      <c r="AS10" s="7">
        <v>8</v>
      </c>
      <c r="AT10" s="7">
        <f t="shared" si="7"/>
        <v>56.5</v>
      </c>
      <c r="AU10" s="7">
        <f t="shared" si="8"/>
        <v>93.5</v>
      </c>
      <c r="AW10" s="54">
        <v>9</v>
      </c>
      <c r="AX10" s="7" t="s">
        <v>2748</v>
      </c>
      <c r="AY10" s="7">
        <v>30</v>
      </c>
      <c r="AZ10" t="str">
        <f t="shared" si="0"/>
        <v>[(112,30)]</v>
      </c>
    </row>
    <row r="11" spans="1:52" x14ac:dyDescent="0.15">
      <c r="A11">
        <v>1</v>
      </c>
      <c r="B11" t="s">
        <v>3140</v>
      </c>
      <c r="C11" t="s">
        <v>3141</v>
      </c>
      <c r="D11">
        <v>1</v>
      </c>
      <c r="E11" t="s">
        <v>1595</v>
      </c>
      <c r="F11" t="s">
        <v>3088</v>
      </c>
      <c r="G11">
        <v>3</v>
      </c>
      <c r="H11">
        <v>2</v>
      </c>
      <c r="I11" t="s">
        <v>3142</v>
      </c>
      <c r="J11" t="s">
        <v>3143</v>
      </c>
      <c r="K11" t="s">
        <v>3144</v>
      </c>
      <c r="L11" t="s">
        <v>3145</v>
      </c>
      <c r="M11">
        <v>13</v>
      </c>
      <c r="N11">
        <v>3</v>
      </c>
      <c r="O11">
        <v>5</v>
      </c>
      <c r="P11" t="str">
        <f t="shared" si="1"/>
        <v>[(112,5)]</v>
      </c>
      <c r="Q11">
        <f t="shared" si="2"/>
        <v>1.5</v>
      </c>
      <c r="S11">
        <v>1</v>
      </c>
      <c r="T11">
        <v>9</v>
      </c>
      <c r="U11">
        <f t="shared" si="3"/>
        <v>10</v>
      </c>
      <c r="V11" s="50">
        <f t="shared" si="4"/>
        <v>4</v>
      </c>
      <c r="W11" s="50"/>
      <c r="X11" s="50">
        <v>2</v>
      </c>
      <c r="Y11" s="50">
        <f t="shared" ref="Y11:Y42" si="14">ROUNDUP(Z11/7,0)</f>
        <v>2</v>
      </c>
      <c r="Z11" s="50">
        <v>9</v>
      </c>
      <c r="AA11" s="50">
        <f t="shared" si="10"/>
        <v>2</v>
      </c>
      <c r="AB11" s="50">
        <f t="shared" si="5"/>
        <v>35</v>
      </c>
      <c r="AC11" s="50">
        <f t="shared" si="6"/>
        <v>155</v>
      </c>
      <c r="AD11" s="50">
        <f t="shared" si="11"/>
        <v>224.5</v>
      </c>
      <c r="AE11" s="50">
        <f t="shared" si="12"/>
        <v>22</v>
      </c>
      <c r="AF11" s="50"/>
      <c r="AG11" t="s">
        <v>3146</v>
      </c>
      <c r="AH11" t="s">
        <v>3083</v>
      </c>
      <c r="AI11">
        <v>1</v>
      </c>
      <c r="AJ11">
        <f t="shared" si="13"/>
        <v>1</v>
      </c>
      <c r="AK11">
        <v>10</v>
      </c>
      <c r="AP11" s="7">
        <v>9</v>
      </c>
      <c r="AQ11" s="7">
        <v>90</v>
      </c>
      <c r="AS11" s="7">
        <v>9</v>
      </c>
      <c r="AT11" s="7">
        <f t="shared" si="7"/>
        <v>63</v>
      </c>
      <c r="AU11" s="7">
        <f t="shared" si="8"/>
        <v>106</v>
      </c>
      <c r="AW11" s="7">
        <v>10</v>
      </c>
      <c r="AX11" s="7" t="s">
        <v>2748</v>
      </c>
      <c r="AY11" s="7">
        <v>30</v>
      </c>
      <c r="AZ11" t="str">
        <f t="shared" si="0"/>
        <v>[(112,30)]</v>
      </c>
    </row>
    <row r="12" spans="1:52" x14ac:dyDescent="0.15">
      <c r="A12">
        <v>1</v>
      </c>
      <c r="B12" t="s">
        <v>3147</v>
      </c>
      <c r="C12" t="s">
        <v>3148</v>
      </c>
      <c r="D12">
        <v>1</v>
      </c>
      <c r="E12" t="s">
        <v>3087</v>
      </c>
      <c r="F12" t="s">
        <v>3088</v>
      </c>
      <c r="G12">
        <v>6</v>
      </c>
      <c r="H12">
        <v>2</v>
      </c>
      <c r="I12" t="s">
        <v>3149</v>
      </c>
      <c r="J12" t="s">
        <v>3150</v>
      </c>
      <c r="K12" t="s">
        <v>3151</v>
      </c>
      <c r="L12" t="s">
        <v>3152</v>
      </c>
      <c r="M12">
        <v>1</v>
      </c>
      <c r="N12">
        <v>6</v>
      </c>
      <c r="O12">
        <v>15</v>
      </c>
      <c r="P12" t="str">
        <f t="shared" si="1"/>
        <v>[(112,15)]</v>
      </c>
      <c r="Q12">
        <f t="shared" si="2"/>
        <v>1.6</v>
      </c>
      <c r="S12">
        <v>1</v>
      </c>
      <c r="T12">
        <v>10</v>
      </c>
      <c r="U12">
        <f t="shared" si="3"/>
        <v>11</v>
      </c>
      <c r="V12" s="50">
        <f t="shared" si="4"/>
        <v>5</v>
      </c>
      <c r="W12" s="50"/>
      <c r="X12" s="50">
        <v>2</v>
      </c>
      <c r="Y12" s="50">
        <f t="shared" si="14"/>
        <v>2</v>
      </c>
      <c r="Z12" s="50">
        <v>10</v>
      </c>
      <c r="AA12" s="50">
        <f t="shared" si="10"/>
        <v>3</v>
      </c>
      <c r="AB12" s="50">
        <f t="shared" si="5"/>
        <v>35</v>
      </c>
      <c r="AC12" s="50">
        <f t="shared" si="6"/>
        <v>155</v>
      </c>
      <c r="AD12" s="50">
        <f t="shared" si="11"/>
        <v>230</v>
      </c>
      <c r="AE12" s="50">
        <f t="shared" si="12"/>
        <v>23</v>
      </c>
      <c r="AF12" s="50"/>
      <c r="AG12" t="s">
        <v>3153</v>
      </c>
      <c r="AH12" t="s">
        <v>3083</v>
      </c>
      <c r="AI12">
        <v>1</v>
      </c>
      <c r="AJ12">
        <f t="shared" si="13"/>
        <v>1</v>
      </c>
      <c r="AK12">
        <v>10</v>
      </c>
      <c r="AP12" s="7">
        <v>10</v>
      </c>
      <c r="AQ12" s="7">
        <v>100</v>
      </c>
      <c r="AS12" s="7">
        <v>10</v>
      </c>
      <c r="AT12" s="7">
        <f t="shared" si="7"/>
        <v>70.5</v>
      </c>
      <c r="AU12" s="7">
        <f t="shared" si="8"/>
        <v>119</v>
      </c>
    </row>
    <row r="13" spans="1:52" x14ac:dyDescent="0.15">
      <c r="A13">
        <v>1</v>
      </c>
      <c r="B13" t="s">
        <v>3153</v>
      </c>
      <c r="C13" t="s">
        <v>3154</v>
      </c>
      <c r="D13">
        <v>2</v>
      </c>
      <c r="E13" t="s">
        <v>3155</v>
      </c>
      <c r="F13" t="s">
        <v>3156</v>
      </c>
      <c r="G13">
        <v>5</v>
      </c>
      <c r="H13">
        <v>1</v>
      </c>
      <c r="I13" t="s">
        <v>3157</v>
      </c>
      <c r="J13" t="s">
        <v>3158</v>
      </c>
      <c r="K13" t="s">
        <v>3159</v>
      </c>
      <c r="L13" t="s">
        <v>3160</v>
      </c>
      <c r="M13">
        <v>1</v>
      </c>
      <c r="N13">
        <v>5</v>
      </c>
      <c r="O13">
        <v>10</v>
      </c>
      <c r="P13" t="str">
        <f t="shared" si="1"/>
        <v>[(112,10)]</v>
      </c>
      <c r="Q13">
        <f t="shared" si="2"/>
        <v>0.66666666666666663</v>
      </c>
      <c r="S13">
        <v>2</v>
      </c>
      <c r="T13">
        <v>1</v>
      </c>
      <c r="U13">
        <f t="shared" si="3"/>
        <v>13</v>
      </c>
      <c r="V13" s="50">
        <f t="shared" si="4"/>
        <v>9</v>
      </c>
      <c r="X13" s="50">
        <v>2</v>
      </c>
      <c r="Y13" s="50">
        <f t="shared" si="14"/>
        <v>2</v>
      </c>
      <c r="Z13" s="50">
        <v>11</v>
      </c>
      <c r="AA13" s="50">
        <f t="shared" si="10"/>
        <v>4</v>
      </c>
      <c r="AB13" s="50">
        <f t="shared" si="5"/>
        <v>60</v>
      </c>
      <c r="AC13" s="50">
        <f t="shared" si="6"/>
        <v>180</v>
      </c>
      <c r="AD13" s="50">
        <f t="shared" si="11"/>
        <v>260.5</v>
      </c>
      <c r="AE13" s="50">
        <f t="shared" si="12"/>
        <v>26</v>
      </c>
      <c r="AG13" t="s">
        <v>3115</v>
      </c>
      <c r="AH13" t="s">
        <v>3114</v>
      </c>
      <c r="AI13">
        <v>1.67</v>
      </c>
      <c r="AJ13">
        <f t="shared" si="13"/>
        <v>0.5988023952095809</v>
      </c>
      <c r="AK13">
        <v>15</v>
      </c>
      <c r="AP13" s="7">
        <v>11</v>
      </c>
      <c r="AQ13" s="7">
        <v>110</v>
      </c>
    </row>
    <row r="14" spans="1:52" x14ac:dyDescent="0.15">
      <c r="A14">
        <v>1</v>
      </c>
      <c r="B14" t="s">
        <v>3161</v>
      </c>
      <c r="C14" t="s">
        <v>3162</v>
      </c>
      <c r="D14">
        <v>2</v>
      </c>
      <c r="E14" t="s">
        <v>3129</v>
      </c>
      <c r="F14" t="s">
        <v>3163</v>
      </c>
      <c r="G14">
        <v>30</v>
      </c>
      <c r="H14">
        <v>2</v>
      </c>
      <c r="I14" t="s">
        <v>3164</v>
      </c>
      <c r="J14" t="s">
        <v>3165</v>
      </c>
      <c r="K14" t="s">
        <v>3166</v>
      </c>
      <c r="L14" t="s">
        <v>3167</v>
      </c>
      <c r="M14">
        <v>1</v>
      </c>
      <c r="N14">
        <v>30</v>
      </c>
      <c r="O14">
        <v>10</v>
      </c>
      <c r="P14" t="str">
        <f t="shared" si="1"/>
        <v>[(112,10)]</v>
      </c>
      <c r="Q14">
        <f t="shared" si="2"/>
        <v>4</v>
      </c>
      <c r="S14">
        <v>2</v>
      </c>
      <c r="T14">
        <v>2</v>
      </c>
      <c r="U14">
        <f t="shared" si="3"/>
        <v>10</v>
      </c>
      <c r="V14" s="50">
        <f t="shared" si="4"/>
        <v>5</v>
      </c>
      <c r="X14" s="50">
        <v>2</v>
      </c>
      <c r="Y14" s="50">
        <f t="shared" si="14"/>
        <v>2</v>
      </c>
      <c r="Z14" s="50">
        <v>12</v>
      </c>
      <c r="AA14" s="50">
        <f t="shared" si="10"/>
        <v>5</v>
      </c>
      <c r="AB14" s="50">
        <f t="shared" si="5"/>
        <v>60</v>
      </c>
      <c r="AC14" s="50">
        <f t="shared" si="6"/>
        <v>180</v>
      </c>
      <c r="AD14" s="50">
        <f t="shared" si="11"/>
        <v>266</v>
      </c>
      <c r="AE14" s="50">
        <f t="shared" si="12"/>
        <v>26</v>
      </c>
      <c r="AG14" t="s">
        <v>3168</v>
      </c>
      <c r="AH14" t="s">
        <v>3094</v>
      </c>
      <c r="AI14">
        <v>3</v>
      </c>
      <c r="AJ14">
        <f t="shared" si="13"/>
        <v>4.4444444444444446E-2</v>
      </c>
      <c r="AK14">
        <v>15</v>
      </c>
      <c r="AP14" s="7">
        <v>12</v>
      </c>
      <c r="AQ14" s="7">
        <v>120</v>
      </c>
    </row>
    <row r="15" spans="1:52" x14ac:dyDescent="0.15">
      <c r="A15">
        <v>1</v>
      </c>
      <c r="B15" t="s">
        <v>3169</v>
      </c>
      <c r="C15" t="s">
        <v>3170</v>
      </c>
      <c r="D15">
        <v>2</v>
      </c>
      <c r="E15" t="s">
        <v>1597</v>
      </c>
      <c r="F15" t="s">
        <v>3171</v>
      </c>
      <c r="G15">
        <v>5</v>
      </c>
      <c r="H15">
        <v>1</v>
      </c>
      <c r="I15" t="s">
        <v>3172</v>
      </c>
      <c r="J15" t="s">
        <v>3173</v>
      </c>
      <c r="K15" t="s">
        <v>3174</v>
      </c>
      <c r="L15" t="s">
        <v>3175</v>
      </c>
      <c r="M15">
        <v>1</v>
      </c>
      <c r="N15">
        <v>5</v>
      </c>
      <c r="O15">
        <v>15</v>
      </c>
      <c r="P15" t="str">
        <f t="shared" si="1"/>
        <v>[(112,15)]</v>
      </c>
      <c r="Q15">
        <f t="shared" si="2"/>
        <v>7</v>
      </c>
      <c r="S15">
        <v>2</v>
      </c>
      <c r="T15">
        <v>3</v>
      </c>
      <c r="U15">
        <f t="shared" si="3"/>
        <v>10</v>
      </c>
      <c r="V15" s="50">
        <f t="shared" si="4"/>
        <v>4</v>
      </c>
      <c r="X15" s="50">
        <v>2</v>
      </c>
      <c r="Y15" s="50">
        <f t="shared" si="14"/>
        <v>2</v>
      </c>
      <c r="Z15" s="50">
        <v>13</v>
      </c>
      <c r="AA15" s="50">
        <f t="shared" si="10"/>
        <v>6</v>
      </c>
      <c r="AB15" s="50">
        <f t="shared" si="5"/>
        <v>90</v>
      </c>
      <c r="AC15" s="50">
        <f t="shared" si="6"/>
        <v>210</v>
      </c>
      <c r="AD15" s="50">
        <f t="shared" si="11"/>
        <v>301.5</v>
      </c>
      <c r="AE15" s="50">
        <f t="shared" si="12"/>
        <v>30</v>
      </c>
      <c r="AG15" t="s">
        <v>3147</v>
      </c>
      <c r="AH15" t="s">
        <v>3114</v>
      </c>
      <c r="AI15">
        <v>2</v>
      </c>
      <c r="AJ15">
        <f t="shared" si="13"/>
        <v>0.5</v>
      </c>
      <c r="AK15">
        <v>15</v>
      </c>
      <c r="AP15" s="7">
        <v>13</v>
      </c>
      <c r="AQ15" s="7">
        <v>130</v>
      </c>
    </row>
    <row r="16" spans="1:52" x14ac:dyDescent="0.15">
      <c r="A16">
        <v>1</v>
      </c>
      <c r="B16" t="s">
        <v>3176</v>
      </c>
      <c r="C16" t="s">
        <v>3177</v>
      </c>
      <c r="D16">
        <v>2</v>
      </c>
      <c r="E16" t="s">
        <v>1661</v>
      </c>
      <c r="F16" t="s">
        <v>3088</v>
      </c>
      <c r="G16">
        <v>150</v>
      </c>
      <c r="H16">
        <v>1</v>
      </c>
      <c r="I16" t="s">
        <v>3178</v>
      </c>
      <c r="J16" t="s">
        <v>3179</v>
      </c>
      <c r="K16" t="s">
        <v>3180</v>
      </c>
      <c r="L16" t="s">
        <v>3181</v>
      </c>
      <c r="M16">
        <v>1</v>
      </c>
      <c r="N16">
        <v>150</v>
      </c>
      <c r="O16">
        <v>5</v>
      </c>
      <c r="P16" t="str">
        <f t="shared" si="1"/>
        <v>[(112,5)]</v>
      </c>
      <c r="Q16">
        <f t="shared" si="2"/>
        <v>0.8</v>
      </c>
      <c r="S16">
        <v>2</v>
      </c>
      <c r="T16">
        <v>4</v>
      </c>
      <c r="U16">
        <f t="shared" si="3"/>
        <v>11</v>
      </c>
      <c r="V16" s="50">
        <f t="shared" si="4"/>
        <v>4</v>
      </c>
      <c r="X16" s="50">
        <v>2</v>
      </c>
      <c r="Y16" s="50">
        <f t="shared" si="14"/>
        <v>2</v>
      </c>
      <c r="Z16" s="50">
        <v>14</v>
      </c>
      <c r="AA16" s="50">
        <f t="shared" si="10"/>
        <v>7</v>
      </c>
      <c r="AB16" s="50">
        <f t="shared" si="5"/>
        <v>100</v>
      </c>
      <c r="AC16" s="50">
        <f t="shared" si="6"/>
        <v>220</v>
      </c>
      <c r="AD16" s="50">
        <f t="shared" si="11"/>
        <v>317</v>
      </c>
      <c r="AE16" s="50">
        <f t="shared" si="12"/>
        <v>31</v>
      </c>
      <c r="AG16" t="s">
        <v>3182</v>
      </c>
      <c r="AH16" t="s">
        <v>3104</v>
      </c>
      <c r="AI16">
        <v>1</v>
      </c>
      <c r="AJ16">
        <f t="shared" si="13"/>
        <v>0.13333333333333333</v>
      </c>
      <c r="AK16">
        <v>20</v>
      </c>
      <c r="AP16" s="7">
        <v>14</v>
      </c>
      <c r="AQ16" s="7">
        <v>140</v>
      </c>
    </row>
    <row r="17" spans="1:43" x14ac:dyDescent="0.15">
      <c r="A17">
        <v>1</v>
      </c>
      <c r="B17" t="s">
        <v>3115</v>
      </c>
      <c r="C17" t="s">
        <v>3116</v>
      </c>
      <c r="D17">
        <v>2</v>
      </c>
      <c r="E17" t="s">
        <v>3183</v>
      </c>
      <c r="F17" t="s">
        <v>3088</v>
      </c>
      <c r="G17">
        <v>15</v>
      </c>
      <c r="H17">
        <v>1</v>
      </c>
      <c r="I17" t="s">
        <v>3118</v>
      </c>
      <c r="J17" t="s">
        <v>3119</v>
      </c>
      <c r="K17" t="s">
        <v>3120</v>
      </c>
      <c r="L17" t="s">
        <v>3121</v>
      </c>
      <c r="M17">
        <v>1</v>
      </c>
      <c r="N17">
        <v>15</v>
      </c>
      <c r="O17">
        <v>5</v>
      </c>
      <c r="P17" t="str">
        <f t="shared" si="1"/>
        <v>[(112,5)]</v>
      </c>
      <c r="Q17">
        <f t="shared" si="2"/>
        <v>3.3399999999999994</v>
      </c>
      <c r="S17">
        <v>2</v>
      </c>
      <c r="T17">
        <v>5</v>
      </c>
      <c r="U17">
        <f t="shared" si="3"/>
        <v>10</v>
      </c>
      <c r="V17" s="50">
        <f t="shared" si="4"/>
        <v>5</v>
      </c>
      <c r="X17" s="50">
        <v>2</v>
      </c>
      <c r="Y17" s="50">
        <f t="shared" si="14"/>
        <v>3</v>
      </c>
      <c r="Z17" s="50">
        <v>15</v>
      </c>
      <c r="AA17" s="50">
        <f t="shared" si="10"/>
        <v>1</v>
      </c>
      <c r="AB17" s="50">
        <f t="shared" si="5"/>
        <v>0</v>
      </c>
      <c r="AC17" s="50">
        <f t="shared" si="6"/>
        <v>220</v>
      </c>
      <c r="AD17" s="50">
        <f t="shared" si="11"/>
        <v>322.5</v>
      </c>
      <c r="AE17" s="50">
        <f t="shared" si="12"/>
        <v>32</v>
      </c>
      <c r="AG17" t="s">
        <v>3184</v>
      </c>
      <c r="AH17" t="s">
        <v>3094</v>
      </c>
      <c r="AI17">
        <v>7</v>
      </c>
      <c r="AJ17">
        <f t="shared" si="13"/>
        <v>1.9047619047619049E-2</v>
      </c>
      <c r="AK17">
        <v>10</v>
      </c>
      <c r="AP17" s="7">
        <v>15</v>
      </c>
      <c r="AQ17" s="7">
        <v>150</v>
      </c>
    </row>
    <row r="18" spans="1:43" x14ac:dyDescent="0.15">
      <c r="A18">
        <v>1</v>
      </c>
      <c r="B18" t="s">
        <v>3127</v>
      </c>
      <c r="C18" t="s">
        <v>3128</v>
      </c>
      <c r="D18">
        <v>2</v>
      </c>
      <c r="E18" t="s">
        <v>1667</v>
      </c>
      <c r="F18" t="s">
        <v>3088</v>
      </c>
      <c r="G18">
        <v>50</v>
      </c>
      <c r="H18">
        <v>1</v>
      </c>
      <c r="I18" t="s">
        <v>3130</v>
      </c>
      <c r="J18" t="s">
        <v>3131</v>
      </c>
      <c r="K18" t="s">
        <v>3132</v>
      </c>
      <c r="L18" t="s">
        <v>3133</v>
      </c>
      <c r="M18">
        <v>1</v>
      </c>
      <c r="N18">
        <v>50</v>
      </c>
      <c r="O18">
        <v>10</v>
      </c>
      <c r="P18" t="str">
        <f t="shared" si="1"/>
        <v>[(112,10)]</v>
      </c>
      <c r="Q18">
        <f t="shared" si="2"/>
        <v>1.3333333333333333</v>
      </c>
      <c r="S18">
        <v>2</v>
      </c>
      <c r="T18">
        <v>6</v>
      </c>
      <c r="U18">
        <f t="shared" si="3"/>
        <v>10</v>
      </c>
      <c r="V18" s="50">
        <f t="shared" si="4"/>
        <v>5</v>
      </c>
      <c r="X18" s="50">
        <v>2</v>
      </c>
      <c r="Y18" s="50">
        <f t="shared" si="14"/>
        <v>3</v>
      </c>
      <c r="Z18" s="50">
        <v>16</v>
      </c>
      <c r="AA18" s="50">
        <f t="shared" si="10"/>
        <v>2</v>
      </c>
      <c r="AB18" s="50">
        <f t="shared" si="5"/>
        <v>15</v>
      </c>
      <c r="AC18" s="50">
        <f t="shared" si="6"/>
        <v>235</v>
      </c>
      <c r="AD18" s="50">
        <f t="shared" si="11"/>
        <v>343</v>
      </c>
      <c r="AE18" s="50">
        <f t="shared" si="12"/>
        <v>34</v>
      </c>
      <c r="AG18" t="s">
        <v>3140</v>
      </c>
      <c r="AH18" t="s">
        <v>3104</v>
      </c>
      <c r="AI18">
        <v>2</v>
      </c>
      <c r="AJ18">
        <f t="shared" si="13"/>
        <v>0.26666666666666666</v>
      </c>
      <c r="AK18">
        <v>5</v>
      </c>
      <c r="AP18" s="7">
        <v>16</v>
      </c>
      <c r="AQ18" s="7">
        <v>160</v>
      </c>
    </row>
    <row r="19" spans="1:43" x14ac:dyDescent="0.15">
      <c r="A19">
        <v>1</v>
      </c>
      <c r="B19" t="s">
        <v>3139</v>
      </c>
      <c r="C19" t="s">
        <v>3185</v>
      </c>
      <c r="D19">
        <v>2</v>
      </c>
      <c r="E19" t="s">
        <v>1595</v>
      </c>
      <c r="F19" t="s">
        <v>3088</v>
      </c>
      <c r="G19">
        <v>3</v>
      </c>
      <c r="H19">
        <v>2</v>
      </c>
      <c r="I19" t="s">
        <v>3186</v>
      </c>
      <c r="J19" t="s">
        <v>3187</v>
      </c>
      <c r="K19" t="s">
        <v>3188</v>
      </c>
      <c r="L19" t="s">
        <v>3189</v>
      </c>
      <c r="M19">
        <v>14</v>
      </c>
      <c r="N19">
        <v>3</v>
      </c>
      <c r="O19">
        <v>5</v>
      </c>
      <c r="P19" t="str">
        <f t="shared" si="1"/>
        <v>[(112,5)]</v>
      </c>
      <c r="Q19">
        <f t="shared" si="2"/>
        <v>6</v>
      </c>
      <c r="S19">
        <v>2</v>
      </c>
      <c r="T19">
        <v>7</v>
      </c>
      <c r="U19">
        <f t="shared" si="3"/>
        <v>11</v>
      </c>
      <c r="V19" s="50">
        <f t="shared" si="4"/>
        <v>5</v>
      </c>
      <c r="X19" s="50">
        <v>2</v>
      </c>
      <c r="Y19" s="50">
        <f t="shared" si="14"/>
        <v>3</v>
      </c>
      <c r="Z19" s="50">
        <v>17</v>
      </c>
      <c r="AA19" s="50">
        <f t="shared" si="10"/>
        <v>3</v>
      </c>
      <c r="AB19" s="50">
        <f t="shared" si="5"/>
        <v>40</v>
      </c>
      <c r="AC19" s="50">
        <f t="shared" si="6"/>
        <v>260</v>
      </c>
      <c r="AD19" s="50">
        <f t="shared" si="11"/>
        <v>373.5</v>
      </c>
      <c r="AE19" s="50">
        <f t="shared" si="12"/>
        <v>37</v>
      </c>
      <c r="AG19" t="s">
        <v>3190</v>
      </c>
      <c r="AH19" t="s">
        <v>3094</v>
      </c>
      <c r="AI19">
        <v>10</v>
      </c>
      <c r="AJ19">
        <f t="shared" si="13"/>
        <v>1.3333333333333334E-2</v>
      </c>
      <c r="AK19">
        <v>15</v>
      </c>
      <c r="AP19" s="7">
        <v>17</v>
      </c>
      <c r="AQ19" s="7">
        <v>170</v>
      </c>
    </row>
    <row r="20" spans="1:43" x14ac:dyDescent="0.15">
      <c r="A20">
        <v>1</v>
      </c>
      <c r="B20" t="s">
        <v>3146</v>
      </c>
      <c r="C20" t="s">
        <v>3191</v>
      </c>
      <c r="D20">
        <v>2</v>
      </c>
      <c r="E20" t="s">
        <v>1595</v>
      </c>
      <c r="F20" t="s">
        <v>3192</v>
      </c>
      <c r="G20">
        <v>1</v>
      </c>
      <c r="H20">
        <v>2</v>
      </c>
      <c r="I20" t="s">
        <v>3193</v>
      </c>
      <c r="J20" t="s">
        <v>3194</v>
      </c>
      <c r="K20" t="s">
        <v>3195</v>
      </c>
      <c r="L20" t="s">
        <v>3196</v>
      </c>
      <c r="M20">
        <v>1</v>
      </c>
      <c r="N20">
        <v>1</v>
      </c>
      <c r="O20">
        <v>10</v>
      </c>
      <c r="P20" t="str">
        <f t="shared" si="1"/>
        <v>[(112,10)]</v>
      </c>
      <c r="Q20">
        <f t="shared" si="2"/>
        <v>0.13333333333333333</v>
      </c>
      <c r="S20">
        <v>2</v>
      </c>
      <c r="T20">
        <v>8</v>
      </c>
      <c r="U20">
        <f t="shared" si="3"/>
        <v>9</v>
      </c>
      <c r="V20" s="50">
        <f t="shared" si="4"/>
        <v>4</v>
      </c>
      <c r="X20" s="50">
        <v>2</v>
      </c>
      <c r="Y20" s="50">
        <f t="shared" si="14"/>
        <v>3</v>
      </c>
      <c r="Z20" s="50">
        <v>18</v>
      </c>
      <c r="AA20" s="50">
        <f t="shared" si="10"/>
        <v>4</v>
      </c>
      <c r="AB20" s="50">
        <f t="shared" si="5"/>
        <v>90</v>
      </c>
      <c r="AC20" s="50">
        <f t="shared" si="6"/>
        <v>310</v>
      </c>
      <c r="AD20" s="50">
        <f t="shared" si="11"/>
        <v>429</v>
      </c>
      <c r="AE20" s="50">
        <f t="shared" si="12"/>
        <v>42</v>
      </c>
      <c r="AG20" t="s">
        <v>3197</v>
      </c>
      <c r="AH20" t="s">
        <v>3094</v>
      </c>
      <c r="AI20">
        <v>1</v>
      </c>
      <c r="AJ20">
        <f t="shared" si="13"/>
        <v>0.13333333333333333</v>
      </c>
      <c r="AK20">
        <v>10</v>
      </c>
      <c r="AP20" s="7">
        <v>18</v>
      </c>
      <c r="AQ20" s="7">
        <v>180</v>
      </c>
    </row>
    <row r="21" spans="1:43" x14ac:dyDescent="0.15">
      <c r="A21">
        <v>1</v>
      </c>
      <c r="B21" t="s">
        <v>3197</v>
      </c>
      <c r="C21" t="s">
        <v>3198</v>
      </c>
      <c r="D21">
        <v>2</v>
      </c>
      <c r="E21" t="s">
        <v>3117</v>
      </c>
      <c r="F21" t="s">
        <v>3088</v>
      </c>
      <c r="G21">
        <v>10</v>
      </c>
      <c r="H21">
        <v>2</v>
      </c>
      <c r="I21" t="s">
        <v>3199</v>
      </c>
      <c r="J21" t="s">
        <v>3200</v>
      </c>
      <c r="K21" t="s">
        <v>3201</v>
      </c>
      <c r="L21" t="s">
        <v>3202</v>
      </c>
      <c r="M21">
        <v>17</v>
      </c>
      <c r="N21">
        <v>10</v>
      </c>
      <c r="O21">
        <v>10</v>
      </c>
      <c r="P21" t="str">
        <f t="shared" si="1"/>
        <v>[(112,10)]</v>
      </c>
      <c r="Q21">
        <f t="shared" si="2"/>
        <v>7</v>
      </c>
      <c r="S21">
        <v>2</v>
      </c>
      <c r="T21">
        <v>9</v>
      </c>
      <c r="U21">
        <f t="shared" si="3"/>
        <v>10</v>
      </c>
      <c r="V21" s="50">
        <f t="shared" si="4"/>
        <v>5</v>
      </c>
      <c r="X21" s="50">
        <v>2</v>
      </c>
      <c r="Y21" s="50">
        <f t="shared" si="14"/>
        <v>3</v>
      </c>
      <c r="Z21" s="50">
        <v>19</v>
      </c>
      <c r="AA21" s="50">
        <f t="shared" si="10"/>
        <v>5</v>
      </c>
      <c r="AB21" s="50">
        <f t="shared" si="5"/>
        <v>105</v>
      </c>
      <c r="AC21" s="50">
        <f t="shared" si="6"/>
        <v>325</v>
      </c>
      <c r="AD21" s="50">
        <f t="shared" si="11"/>
        <v>449.5</v>
      </c>
      <c r="AE21" s="50">
        <f t="shared" si="12"/>
        <v>44</v>
      </c>
      <c r="AG21" t="s">
        <v>3176</v>
      </c>
      <c r="AH21" t="s">
        <v>3083</v>
      </c>
      <c r="AI21">
        <v>25</v>
      </c>
      <c r="AJ21">
        <f t="shared" si="13"/>
        <v>25</v>
      </c>
      <c r="AK21">
        <v>5</v>
      </c>
      <c r="AP21" s="7">
        <v>19</v>
      </c>
      <c r="AQ21" s="7">
        <v>190</v>
      </c>
    </row>
    <row r="22" spans="1:43" x14ac:dyDescent="0.15">
      <c r="A22">
        <v>1</v>
      </c>
      <c r="B22" t="s">
        <v>3103</v>
      </c>
      <c r="C22" t="s">
        <v>3203</v>
      </c>
      <c r="D22">
        <v>2</v>
      </c>
      <c r="E22" t="s">
        <v>3117</v>
      </c>
      <c r="F22" t="s">
        <v>3088</v>
      </c>
      <c r="G22">
        <v>10</v>
      </c>
      <c r="H22">
        <v>2</v>
      </c>
      <c r="I22" t="s">
        <v>3204</v>
      </c>
      <c r="J22" t="s">
        <v>3205</v>
      </c>
      <c r="K22" t="s">
        <v>3751</v>
      </c>
      <c r="L22" s="258" t="s">
        <v>3750</v>
      </c>
      <c r="M22">
        <v>16</v>
      </c>
      <c r="N22">
        <v>10</v>
      </c>
      <c r="O22">
        <v>10</v>
      </c>
      <c r="P22" t="str">
        <f t="shared" si="1"/>
        <v>[(112,10)]</v>
      </c>
      <c r="Q22">
        <f t="shared" si="2"/>
        <v>7</v>
      </c>
      <c r="S22">
        <v>2</v>
      </c>
      <c r="T22">
        <v>10</v>
      </c>
      <c r="U22">
        <f t="shared" si="3"/>
        <v>11</v>
      </c>
      <c r="V22" s="50">
        <f t="shared" si="4"/>
        <v>5</v>
      </c>
      <c r="X22" s="50">
        <v>2</v>
      </c>
      <c r="Y22" s="50">
        <f t="shared" si="14"/>
        <v>3</v>
      </c>
      <c r="Z22" s="50">
        <v>20</v>
      </c>
      <c r="AA22" s="50">
        <f t="shared" si="10"/>
        <v>6</v>
      </c>
      <c r="AB22" s="50">
        <f t="shared" si="5"/>
        <v>120</v>
      </c>
      <c r="AC22" s="50">
        <f t="shared" si="6"/>
        <v>340</v>
      </c>
      <c r="AD22" s="50">
        <f t="shared" si="11"/>
        <v>470</v>
      </c>
      <c r="AE22" s="50">
        <f t="shared" si="12"/>
        <v>47</v>
      </c>
      <c r="AG22" t="s">
        <v>3206</v>
      </c>
      <c r="AH22" t="s">
        <v>3104</v>
      </c>
      <c r="AI22">
        <v>2</v>
      </c>
      <c r="AJ22">
        <f t="shared" si="13"/>
        <v>0.26666666666666666</v>
      </c>
      <c r="AK22">
        <v>15</v>
      </c>
      <c r="AP22" s="7">
        <v>20</v>
      </c>
      <c r="AQ22" s="7">
        <v>200</v>
      </c>
    </row>
    <row r="23" spans="1:43" x14ac:dyDescent="0.15">
      <c r="A23">
        <v>1</v>
      </c>
      <c r="B23" t="s">
        <v>3207</v>
      </c>
      <c r="C23" t="s">
        <v>3208</v>
      </c>
      <c r="D23">
        <v>3</v>
      </c>
      <c r="E23" t="s">
        <v>3097</v>
      </c>
      <c r="F23" t="s">
        <v>3088</v>
      </c>
      <c r="G23">
        <v>4</v>
      </c>
      <c r="H23">
        <v>2</v>
      </c>
      <c r="I23" t="s">
        <v>3209</v>
      </c>
      <c r="J23" t="s">
        <v>3210</v>
      </c>
      <c r="K23" t="s">
        <v>3211</v>
      </c>
      <c r="L23" t="s">
        <v>3212</v>
      </c>
      <c r="M23">
        <v>8</v>
      </c>
      <c r="N23">
        <v>4</v>
      </c>
      <c r="O23">
        <v>5</v>
      </c>
      <c r="P23" t="str">
        <f t="shared" si="1"/>
        <v>[(112,5)]</v>
      </c>
      <c r="Q23">
        <f t="shared" si="2"/>
        <v>2</v>
      </c>
      <c r="X23" s="50">
        <v>2</v>
      </c>
      <c r="Y23" s="50">
        <f t="shared" si="14"/>
        <v>3</v>
      </c>
      <c r="Z23" s="50">
        <v>21</v>
      </c>
      <c r="AA23" s="50">
        <f t="shared" si="10"/>
        <v>7</v>
      </c>
      <c r="AB23" s="50">
        <f t="shared" si="5"/>
        <v>120</v>
      </c>
      <c r="AC23" s="50">
        <f t="shared" si="6"/>
        <v>340</v>
      </c>
      <c r="AD23" s="50">
        <f t="shared" si="11"/>
        <v>475.5</v>
      </c>
      <c r="AE23" s="50">
        <f t="shared" si="12"/>
        <v>47</v>
      </c>
      <c r="AG23" t="s">
        <v>3169</v>
      </c>
      <c r="AH23" t="s">
        <v>3094</v>
      </c>
      <c r="AI23">
        <v>3</v>
      </c>
      <c r="AJ23">
        <f t="shared" si="13"/>
        <v>4.4444444444444446E-2</v>
      </c>
      <c r="AK23">
        <v>10</v>
      </c>
      <c r="AP23" s="7">
        <v>21</v>
      </c>
      <c r="AQ23" s="7">
        <v>210</v>
      </c>
    </row>
    <row r="24" spans="1:43" x14ac:dyDescent="0.15">
      <c r="A24">
        <v>1</v>
      </c>
      <c r="B24" t="s">
        <v>3093</v>
      </c>
      <c r="C24" t="s">
        <v>3096</v>
      </c>
      <c r="D24">
        <v>3</v>
      </c>
      <c r="E24" t="s">
        <v>3087</v>
      </c>
      <c r="F24" t="s">
        <v>3213</v>
      </c>
      <c r="G24">
        <v>1</v>
      </c>
      <c r="H24">
        <v>2</v>
      </c>
      <c r="I24" t="s">
        <v>3099</v>
      </c>
      <c r="J24" t="s">
        <v>3100</v>
      </c>
      <c r="K24" t="s">
        <v>3101</v>
      </c>
      <c r="L24" t="s">
        <v>3102</v>
      </c>
      <c r="M24">
        <v>1</v>
      </c>
      <c r="N24">
        <v>1</v>
      </c>
      <c r="O24">
        <v>15</v>
      </c>
      <c r="P24" t="str">
        <f t="shared" si="1"/>
        <v>[(112,15)]</v>
      </c>
      <c r="Q24">
        <f t="shared" si="2"/>
        <v>3</v>
      </c>
      <c r="X24" s="50">
        <v>2</v>
      </c>
      <c r="Y24" s="50">
        <f t="shared" si="14"/>
        <v>4</v>
      </c>
      <c r="Z24" s="50">
        <v>22</v>
      </c>
      <c r="AA24" s="50">
        <f t="shared" si="10"/>
        <v>1</v>
      </c>
      <c r="AB24" s="50">
        <f t="shared" si="5"/>
        <v>10</v>
      </c>
      <c r="AC24" s="50">
        <f t="shared" si="6"/>
        <v>350</v>
      </c>
      <c r="AD24" s="50">
        <f t="shared" si="11"/>
        <v>511</v>
      </c>
      <c r="AE24" s="50">
        <f t="shared" si="12"/>
        <v>51</v>
      </c>
      <c r="AG24" t="s">
        <v>3085</v>
      </c>
      <c r="AH24" t="s">
        <v>3104</v>
      </c>
      <c r="AI24">
        <v>2</v>
      </c>
      <c r="AJ24">
        <f t="shared" si="13"/>
        <v>0.26666666666666666</v>
      </c>
      <c r="AK24">
        <v>5</v>
      </c>
      <c r="AP24" s="7">
        <v>22</v>
      </c>
      <c r="AQ24" s="7">
        <v>220</v>
      </c>
    </row>
    <row r="25" spans="1:43" x14ac:dyDescent="0.15">
      <c r="A25">
        <v>1</v>
      </c>
      <c r="B25" t="s">
        <v>3115</v>
      </c>
      <c r="C25" t="s">
        <v>3116</v>
      </c>
      <c r="D25">
        <v>3</v>
      </c>
      <c r="E25" t="s">
        <v>3214</v>
      </c>
      <c r="F25" t="s">
        <v>3088</v>
      </c>
      <c r="G25">
        <v>25</v>
      </c>
      <c r="H25">
        <v>1</v>
      </c>
      <c r="I25" t="s">
        <v>3118</v>
      </c>
      <c r="J25" t="s">
        <v>3119</v>
      </c>
      <c r="K25" t="s">
        <v>3120</v>
      </c>
      <c r="L25" t="s">
        <v>3121</v>
      </c>
      <c r="M25">
        <v>1</v>
      </c>
      <c r="N25">
        <v>25</v>
      </c>
      <c r="O25">
        <v>5</v>
      </c>
      <c r="P25" t="str">
        <f t="shared" si="1"/>
        <v>[(112,5)]</v>
      </c>
      <c r="Q25">
        <f t="shared" si="2"/>
        <v>5.5666666666666655</v>
      </c>
      <c r="X25" s="50">
        <v>2</v>
      </c>
      <c r="Y25" s="50">
        <f t="shared" si="14"/>
        <v>4</v>
      </c>
      <c r="Z25" s="50">
        <v>23</v>
      </c>
      <c r="AA25" s="50">
        <f t="shared" si="10"/>
        <v>2</v>
      </c>
      <c r="AB25" s="50">
        <f t="shared" si="5"/>
        <v>50</v>
      </c>
      <c r="AC25" s="50">
        <f t="shared" si="6"/>
        <v>390</v>
      </c>
      <c r="AD25" s="50">
        <f t="shared" si="11"/>
        <v>556.5</v>
      </c>
      <c r="AE25" s="50">
        <f t="shared" si="12"/>
        <v>55</v>
      </c>
      <c r="AG25" t="s">
        <v>3161</v>
      </c>
      <c r="AH25" t="s">
        <v>3083</v>
      </c>
      <c r="AI25">
        <v>1</v>
      </c>
      <c r="AJ25">
        <f t="shared" si="13"/>
        <v>1</v>
      </c>
      <c r="AK25">
        <v>10</v>
      </c>
      <c r="AP25" s="7">
        <v>23</v>
      </c>
      <c r="AQ25" s="7">
        <v>230</v>
      </c>
    </row>
    <row r="26" spans="1:43" x14ac:dyDescent="0.15">
      <c r="A26">
        <v>1</v>
      </c>
      <c r="B26" t="s">
        <v>3113</v>
      </c>
      <c r="C26" t="s">
        <v>3122</v>
      </c>
      <c r="D26">
        <v>3</v>
      </c>
      <c r="E26" t="s">
        <v>3087</v>
      </c>
      <c r="F26" t="s">
        <v>3088</v>
      </c>
      <c r="G26">
        <v>6</v>
      </c>
      <c r="H26">
        <v>2</v>
      </c>
      <c r="I26" t="s">
        <v>3123</v>
      </c>
      <c r="J26" t="s">
        <v>3124</v>
      </c>
      <c r="K26" t="s">
        <v>3125</v>
      </c>
      <c r="L26" t="s">
        <v>3126</v>
      </c>
      <c r="M26">
        <v>1</v>
      </c>
      <c r="N26">
        <v>6</v>
      </c>
      <c r="O26">
        <v>10</v>
      </c>
      <c r="P26" t="str">
        <f t="shared" si="1"/>
        <v>[(112,10)]</v>
      </c>
      <c r="Q26">
        <f t="shared" si="2"/>
        <v>4</v>
      </c>
      <c r="X26" s="50">
        <v>2</v>
      </c>
      <c r="Y26" s="50">
        <f t="shared" si="14"/>
        <v>4</v>
      </c>
      <c r="Z26" s="50">
        <v>24</v>
      </c>
      <c r="AA26" s="50">
        <f t="shared" si="10"/>
        <v>3</v>
      </c>
      <c r="AB26" s="50">
        <f t="shared" si="5"/>
        <v>65</v>
      </c>
      <c r="AC26" s="50">
        <f t="shared" si="6"/>
        <v>405</v>
      </c>
      <c r="AD26" s="50">
        <f t="shared" si="11"/>
        <v>577</v>
      </c>
      <c r="AE26" s="50">
        <f t="shared" si="12"/>
        <v>57</v>
      </c>
      <c r="AG26" t="s">
        <v>3207</v>
      </c>
      <c r="AH26" t="s">
        <v>3104</v>
      </c>
      <c r="AI26">
        <v>2</v>
      </c>
      <c r="AJ26">
        <f t="shared" si="13"/>
        <v>0.26666666666666666</v>
      </c>
      <c r="AK26">
        <v>10</v>
      </c>
      <c r="AP26" s="7">
        <v>24</v>
      </c>
      <c r="AQ26" s="7">
        <v>240</v>
      </c>
    </row>
    <row r="27" spans="1:43" x14ac:dyDescent="0.15">
      <c r="A27">
        <v>1</v>
      </c>
      <c r="B27" t="s">
        <v>3082</v>
      </c>
      <c r="C27" t="s">
        <v>3134</v>
      </c>
      <c r="D27">
        <v>3</v>
      </c>
      <c r="E27" t="s">
        <v>3215</v>
      </c>
      <c r="F27" t="s">
        <v>3088</v>
      </c>
      <c r="G27">
        <v>80</v>
      </c>
      <c r="H27">
        <v>1</v>
      </c>
      <c r="I27" t="s">
        <v>3135</v>
      </c>
      <c r="J27" t="s">
        <v>3136</v>
      </c>
      <c r="K27" t="s">
        <v>3137</v>
      </c>
      <c r="L27" t="s">
        <v>3138</v>
      </c>
      <c r="M27">
        <v>1</v>
      </c>
      <c r="N27">
        <v>80</v>
      </c>
      <c r="O27">
        <v>15</v>
      </c>
      <c r="P27" t="str">
        <f t="shared" si="1"/>
        <v>[(112,15)]</v>
      </c>
      <c r="Q27">
        <f t="shared" si="2"/>
        <v>3.5555555555555558</v>
      </c>
      <c r="X27" s="50">
        <v>2</v>
      </c>
      <c r="Y27" s="50">
        <f t="shared" si="14"/>
        <v>4</v>
      </c>
      <c r="Z27" s="50">
        <v>25</v>
      </c>
      <c r="AA27" s="50">
        <f t="shared" si="10"/>
        <v>4</v>
      </c>
      <c r="AB27" s="50">
        <f t="shared" si="5"/>
        <v>70</v>
      </c>
      <c r="AC27" s="50">
        <f t="shared" si="6"/>
        <v>410</v>
      </c>
      <c r="AD27" s="50">
        <f t="shared" si="11"/>
        <v>587.5</v>
      </c>
      <c r="AE27" s="50">
        <f t="shared" si="12"/>
        <v>58</v>
      </c>
      <c r="AG27" t="s">
        <v>3216</v>
      </c>
      <c r="AH27" t="s">
        <v>3094</v>
      </c>
      <c r="AI27">
        <v>7</v>
      </c>
      <c r="AJ27">
        <f t="shared" si="13"/>
        <v>1.9047619047619049E-2</v>
      </c>
      <c r="AK27">
        <v>15</v>
      </c>
      <c r="AP27" s="7">
        <v>25</v>
      </c>
      <c r="AQ27" s="7">
        <v>250</v>
      </c>
    </row>
    <row r="28" spans="1:43" x14ac:dyDescent="0.15">
      <c r="A28">
        <v>1</v>
      </c>
      <c r="B28" t="s">
        <v>3217</v>
      </c>
      <c r="C28" t="s">
        <v>3218</v>
      </c>
      <c r="D28">
        <v>3</v>
      </c>
      <c r="E28" t="s">
        <v>3183</v>
      </c>
      <c r="F28" t="s">
        <v>3088</v>
      </c>
      <c r="G28">
        <v>15</v>
      </c>
      <c r="H28">
        <v>1</v>
      </c>
      <c r="I28" t="s">
        <v>3219</v>
      </c>
      <c r="J28" t="s">
        <v>3220</v>
      </c>
      <c r="K28" t="s">
        <v>3221</v>
      </c>
      <c r="L28" t="s">
        <v>3222</v>
      </c>
      <c r="M28">
        <v>11</v>
      </c>
      <c r="N28">
        <v>15</v>
      </c>
      <c r="O28">
        <v>15</v>
      </c>
      <c r="P28" t="str">
        <f t="shared" si="1"/>
        <v>[(112,15)]</v>
      </c>
      <c r="Q28">
        <f t="shared" si="2"/>
        <v>3.75</v>
      </c>
      <c r="X28" s="50">
        <v>2</v>
      </c>
      <c r="Y28" s="50">
        <f t="shared" si="14"/>
        <v>4</v>
      </c>
      <c r="Z28" s="50">
        <v>26</v>
      </c>
      <c r="AA28" s="50">
        <f t="shared" si="10"/>
        <v>5</v>
      </c>
      <c r="AB28" s="50">
        <f t="shared" si="5"/>
        <v>85</v>
      </c>
      <c r="AC28" s="50">
        <f t="shared" si="6"/>
        <v>425</v>
      </c>
      <c r="AD28" s="50">
        <f t="shared" si="11"/>
        <v>608</v>
      </c>
      <c r="AE28" s="50">
        <f t="shared" si="12"/>
        <v>60</v>
      </c>
      <c r="AG28" t="s">
        <v>3223</v>
      </c>
      <c r="AH28" t="s">
        <v>3094</v>
      </c>
      <c r="AI28">
        <v>7</v>
      </c>
      <c r="AJ28">
        <f t="shared" si="13"/>
        <v>1.9047619047619049E-2</v>
      </c>
      <c r="AK28">
        <v>15</v>
      </c>
      <c r="AP28" s="7">
        <v>26</v>
      </c>
      <c r="AQ28" s="7">
        <v>260</v>
      </c>
    </row>
    <row r="29" spans="1:43" x14ac:dyDescent="0.15">
      <c r="A29">
        <v>1</v>
      </c>
      <c r="B29" t="s">
        <v>3224</v>
      </c>
      <c r="C29" t="s">
        <v>3225</v>
      </c>
      <c r="D29">
        <v>3</v>
      </c>
      <c r="E29" t="s">
        <v>3226</v>
      </c>
      <c r="F29" t="s">
        <v>3088</v>
      </c>
      <c r="G29">
        <v>20000</v>
      </c>
      <c r="H29">
        <v>2</v>
      </c>
      <c r="I29" t="s">
        <v>3227</v>
      </c>
      <c r="J29" t="s">
        <v>3228</v>
      </c>
      <c r="K29" t="s">
        <v>3229</v>
      </c>
      <c r="L29" t="s">
        <v>3230</v>
      </c>
      <c r="M29">
        <v>17</v>
      </c>
      <c r="N29">
        <v>20000</v>
      </c>
      <c r="O29">
        <v>5</v>
      </c>
      <c r="P29" t="str">
        <f t="shared" si="1"/>
        <v>[(112,5)]</v>
      </c>
      <c r="Q29">
        <f t="shared" si="2"/>
        <v>5</v>
      </c>
      <c r="X29" s="50">
        <v>2</v>
      </c>
      <c r="Y29" s="50">
        <f t="shared" si="14"/>
        <v>4</v>
      </c>
      <c r="Z29" s="50">
        <v>27</v>
      </c>
      <c r="AA29" s="50">
        <f t="shared" si="10"/>
        <v>6</v>
      </c>
      <c r="AB29" s="50">
        <f t="shared" si="5"/>
        <v>95</v>
      </c>
      <c r="AC29" s="50">
        <f t="shared" si="6"/>
        <v>435</v>
      </c>
      <c r="AD29" s="50">
        <f t="shared" si="11"/>
        <v>623.5</v>
      </c>
      <c r="AE29" s="50">
        <f t="shared" si="12"/>
        <v>62</v>
      </c>
      <c r="AG29" t="s">
        <v>3231</v>
      </c>
      <c r="AH29" t="s">
        <v>3104</v>
      </c>
      <c r="AI29">
        <v>1</v>
      </c>
      <c r="AJ29">
        <f t="shared" si="13"/>
        <v>0.13333333333333333</v>
      </c>
      <c r="AK29">
        <v>5</v>
      </c>
      <c r="AP29" s="7">
        <v>27</v>
      </c>
      <c r="AQ29" s="7">
        <v>270</v>
      </c>
    </row>
    <row r="30" spans="1:43" x14ac:dyDescent="0.15">
      <c r="A30">
        <v>1</v>
      </c>
      <c r="B30" t="s">
        <v>3232</v>
      </c>
      <c r="C30" t="s">
        <v>3233</v>
      </c>
      <c r="D30">
        <v>3</v>
      </c>
      <c r="E30" t="s">
        <v>3183</v>
      </c>
      <c r="F30" t="s">
        <v>3234</v>
      </c>
      <c r="G30">
        <v>15</v>
      </c>
      <c r="H30">
        <v>2</v>
      </c>
      <c r="I30" t="s">
        <v>3235</v>
      </c>
      <c r="J30" t="s">
        <v>3236</v>
      </c>
      <c r="K30" t="s">
        <v>3237</v>
      </c>
      <c r="L30" t="s">
        <v>3238</v>
      </c>
      <c r="M30">
        <v>1</v>
      </c>
      <c r="N30">
        <v>15</v>
      </c>
      <c r="O30">
        <v>15</v>
      </c>
      <c r="P30" t="str">
        <f t="shared" si="1"/>
        <v>[(112,15)]</v>
      </c>
      <c r="Q30">
        <f t="shared" si="2"/>
        <v>7</v>
      </c>
      <c r="X30" s="50">
        <v>2</v>
      </c>
      <c r="Y30" s="50">
        <f t="shared" si="14"/>
        <v>4</v>
      </c>
      <c r="Z30" s="50">
        <v>28</v>
      </c>
      <c r="AA30" s="50">
        <f t="shared" si="10"/>
        <v>7</v>
      </c>
      <c r="AB30" s="50">
        <f t="shared" si="5"/>
        <v>105</v>
      </c>
      <c r="AC30" s="50">
        <f t="shared" si="6"/>
        <v>445</v>
      </c>
      <c r="AD30" s="50">
        <f t="shared" si="11"/>
        <v>639</v>
      </c>
      <c r="AE30" s="50">
        <f t="shared" si="12"/>
        <v>63</v>
      </c>
      <c r="AG30" t="s">
        <v>3239</v>
      </c>
      <c r="AH30" t="s">
        <v>3104</v>
      </c>
      <c r="AI30">
        <v>5</v>
      </c>
      <c r="AJ30">
        <f t="shared" si="13"/>
        <v>0.66666666666666663</v>
      </c>
      <c r="AK30">
        <v>10</v>
      </c>
      <c r="AP30" s="7">
        <v>28</v>
      </c>
      <c r="AQ30" s="7">
        <v>280</v>
      </c>
    </row>
    <row r="31" spans="1:43" x14ac:dyDescent="0.15">
      <c r="A31">
        <v>1</v>
      </c>
      <c r="B31" t="s">
        <v>3147</v>
      </c>
      <c r="C31" t="s">
        <v>3148</v>
      </c>
      <c r="D31">
        <v>3</v>
      </c>
      <c r="E31" t="s">
        <v>3183</v>
      </c>
      <c r="F31" t="s">
        <v>3088</v>
      </c>
      <c r="G31">
        <v>15</v>
      </c>
      <c r="H31">
        <v>2</v>
      </c>
      <c r="I31" t="s">
        <v>3149</v>
      </c>
      <c r="J31" t="s">
        <v>3150</v>
      </c>
      <c r="K31" t="s">
        <v>3151</v>
      </c>
      <c r="L31" t="s">
        <v>3152</v>
      </c>
      <c r="M31">
        <v>1</v>
      </c>
      <c r="N31">
        <v>15</v>
      </c>
      <c r="O31">
        <v>15</v>
      </c>
      <c r="P31" t="str">
        <f t="shared" si="1"/>
        <v>[(112,15)]</v>
      </c>
      <c r="Q31">
        <f t="shared" si="2"/>
        <v>4</v>
      </c>
      <c r="X31" s="50">
        <v>2</v>
      </c>
      <c r="Y31" s="50">
        <f t="shared" si="14"/>
        <v>5</v>
      </c>
      <c r="Z31" s="50">
        <v>29</v>
      </c>
      <c r="AA31" s="50">
        <f t="shared" si="10"/>
        <v>1</v>
      </c>
      <c r="AB31" s="50">
        <f t="shared" si="5"/>
        <v>0</v>
      </c>
      <c r="AC31" s="50">
        <f t="shared" si="6"/>
        <v>445</v>
      </c>
      <c r="AD31" s="50">
        <f t="shared" si="11"/>
        <v>644.5</v>
      </c>
      <c r="AE31" s="50">
        <f t="shared" si="12"/>
        <v>64</v>
      </c>
      <c r="AG31" t="s">
        <v>3240</v>
      </c>
      <c r="AH31" t="s">
        <v>3104</v>
      </c>
      <c r="AI31">
        <v>2</v>
      </c>
      <c r="AJ31">
        <f t="shared" si="13"/>
        <v>0.26666666666666666</v>
      </c>
      <c r="AK31">
        <v>10</v>
      </c>
      <c r="AP31" s="7">
        <v>29</v>
      </c>
      <c r="AQ31" s="7">
        <v>290</v>
      </c>
    </row>
    <row r="32" spans="1:43" x14ac:dyDescent="0.15">
      <c r="A32">
        <v>1</v>
      </c>
      <c r="B32" t="s">
        <v>3168</v>
      </c>
      <c r="C32" t="s">
        <v>3241</v>
      </c>
      <c r="D32">
        <v>3</v>
      </c>
      <c r="E32" t="s">
        <v>3088</v>
      </c>
      <c r="F32" t="s">
        <v>3088</v>
      </c>
      <c r="G32">
        <v>1</v>
      </c>
      <c r="H32">
        <v>1</v>
      </c>
      <c r="I32" t="s">
        <v>3242</v>
      </c>
      <c r="J32" t="s">
        <v>3243</v>
      </c>
      <c r="K32" t="s">
        <v>3244</v>
      </c>
      <c r="L32" t="s">
        <v>3245</v>
      </c>
      <c r="M32">
        <v>1</v>
      </c>
      <c r="N32">
        <v>1</v>
      </c>
      <c r="O32">
        <v>25</v>
      </c>
      <c r="P32" t="str">
        <f t="shared" si="1"/>
        <v>[(112,25)]</v>
      </c>
      <c r="Q32">
        <f t="shared" si="2"/>
        <v>3</v>
      </c>
      <c r="X32" s="50">
        <v>2</v>
      </c>
      <c r="Y32" s="50">
        <f t="shared" si="14"/>
        <v>5</v>
      </c>
      <c r="Z32" s="50">
        <v>30</v>
      </c>
      <c r="AA32" s="50">
        <f t="shared" si="10"/>
        <v>2</v>
      </c>
      <c r="AB32" s="50">
        <f t="shared" si="5"/>
        <v>5</v>
      </c>
      <c r="AC32" s="50">
        <f t="shared" si="6"/>
        <v>450</v>
      </c>
      <c r="AD32" s="50">
        <f t="shared" si="11"/>
        <v>655</v>
      </c>
      <c r="AE32" s="50">
        <f t="shared" si="12"/>
        <v>65</v>
      </c>
      <c r="AG32" t="s">
        <v>3232</v>
      </c>
      <c r="AH32" t="s">
        <v>3104</v>
      </c>
      <c r="AI32">
        <v>1</v>
      </c>
      <c r="AJ32">
        <f t="shared" si="13"/>
        <v>0.13333333333333333</v>
      </c>
      <c r="AK32">
        <v>15</v>
      </c>
      <c r="AP32" s="7">
        <v>30</v>
      </c>
      <c r="AQ32" s="7">
        <v>300</v>
      </c>
    </row>
    <row r="33" spans="1:43" x14ac:dyDescent="0.15">
      <c r="A33">
        <v>1</v>
      </c>
      <c r="B33" t="s">
        <v>3075</v>
      </c>
      <c r="C33" t="s">
        <v>3076</v>
      </c>
      <c r="D33">
        <v>4</v>
      </c>
      <c r="E33" t="s">
        <v>1595</v>
      </c>
      <c r="F33" t="s">
        <v>3077</v>
      </c>
      <c r="G33">
        <v>1</v>
      </c>
      <c r="H33">
        <v>1</v>
      </c>
      <c r="I33" t="s">
        <v>3078</v>
      </c>
      <c r="J33" t="s">
        <v>3079</v>
      </c>
      <c r="K33" t="s">
        <v>3080</v>
      </c>
      <c r="L33" t="s">
        <v>3081</v>
      </c>
      <c r="M33">
        <v>1</v>
      </c>
      <c r="N33">
        <v>1</v>
      </c>
      <c r="O33">
        <v>15</v>
      </c>
      <c r="P33" t="str">
        <f t="shared" si="1"/>
        <v>[(112,15)]</v>
      </c>
      <c r="Q33">
        <f t="shared" si="2"/>
        <v>2</v>
      </c>
      <c r="X33" s="50">
        <v>2</v>
      </c>
      <c r="Y33" s="50">
        <f t="shared" si="14"/>
        <v>5</v>
      </c>
      <c r="Z33" s="50">
        <v>31</v>
      </c>
      <c r="AA33" s="50">
        <f t="shared" si="10"/>
        <v>3</v>
      </c>
      <c r="AB33" s="50">
        <f t="shared" si="5"/>
        <v>15</v>
      </c>
      <c r="AC33" s="50">
        <f t="shared" si="6"/>
        <v>460</v>
      </c>
      <c r="AD33" s="50">
        <f t="shared" si="11"/>
        <v>670.5</v>
      </c>
      <c r="AE33" s="50">
        <f t="shared" si="12"/>
        <v>67</v>
      </c>
      <c r="AG33" t="s">
        <v>3246</v>
      </c>
      <c r="AH33" t="s">
        <v>3104</v>
      </c>
      <c r="AI33">
        <v>100</v>
      </c>
      <c r="AJ33">
        <f t="shared" si="13"/>
        <v>13.333333333333334</v>
      </c>
      <c r="AK33">
        <v>15</v>
      </c>
      <c r="AP33" s="7">
        <v>31</v>
      </c>
      <c r="AQ33" s="7">
        <v>310</v>
      </c>
    </row>
    <row r="34" spans="1:43" x14ac:dyDescent="0.15">
      <c r="A34">
        <v>1</v>
      </c>
      <c r="B34" t="s">
        <v>3153</v>
      </c>
      <c r="C34" t="s">
        <v>3154</v>
      </c>
      <c r="D34">
        <v>4</v>
      </c>
      <c r="E34" t="s">
        <v>3247</v>
      </c>
      <c r="F34" t="s">
        <v>3156</v>
      </c>
      <c r="G34">
        <v>15</v>
      </c>
      <c r="H34">
        <v>1</v>
      </c>
      <c r="I34" t="s">
        <v>3157</v>
      </c>
      <c r="J34" t="s">
        <v>3158</v>
      </c>
      <c r="K34" t="s">
        <v>3159</v>
      </c>
      <c r="L34" t="s">
        <v>3160</v>
      </c>
      <c r="M34">
        <v>1</v>
      </c>
      <c r="N34">
        <v>15</v>
      </c>
      <c r="O34">
        <v>10</v>
      </c>
      <c r="P34" t="str">
        <f t="shared" si="1"/>
        <v>[(112,10)]</v>
      </c>
      <c r="Q34">
        <f t="shared" si="2"/>
        <v>2</v>
      </c>
      <c r="X34" s="50">
        <v>2</v>
      </c>
      <c r="Y34" s="50">
        <f t="shared" si="14"/>
        <v>5</v>
      </c>
      <c r="Z34" s="50">
        <v>32</v>
      </c>
      <c r="AA34" s="50">
        <f t="shared" si="10"/>
        <v>4</v>
      </c>
      <c r="AB34" s="50">
        <f t="shared" si="5"/>
        <v>40</v>
      </c>
      <c r="AC34" s="50">
        <f t="shared" si="6"/>
        <v>485</v>
      </c>
      <c r="AD34" s="50">
        <f t="shared" si="11"/>
        <v>701</v>
      </c>
      <c r="AE34" s="50">
        <f t="shared" si="12"/>
        <v>70</v>
      </c>
      <c r="AG34" t="s">
        <v>3217</v>
      </c>
      <c r="AH34" t="s">
        <v>3104</v>
      </c>
      <c r="AI34">
        <v>4</v>
      </c>
      <c r="AJ34">
        <f t="shared" si="13"/>
        <v>0.53333333333333333</v>
      </c>
      <c r="AK34">
        <v>10</v>
      </c>
      <c r="AP34" s="7">
        <v>32</v>
      </c>
      <c r="AQ34" s="7">
        <v>320</v>
      </c>
    </row>
    <row r="35" spans="1:43" x14ac:dyDescent="0.15">
      <c r="A35">
        <v>1</v>
      </c>
      <c r="B35" t="s">
        <v>3207</v>
      </c>
      <c r="C35" t="s">
        <v>3208</v>
      </c>
      <c r="D35">
        <v>4</v>
      </c>
      <c r="E35" t="s">
        <v>3248</v>
      </c>
      <c r="F35" t="s">
        <v>3088</v>
      </c>
      <c r="G35">
        <v>5</v>
      </c>
      <c r="H35">
        <v>2</v>
      </c>
      <c r="I35" t="s">
        <v>3209</v>
      </c>
      <c r="J35" t="s">
        <v>3210</v>
      </c>
      <c r="K35" t="s">
        <v>3211</v>
      </c>
      <c r="L35" t="s">
        <v>3212</v>
      </c>
      <c r="M35">
        <v>8</v>
      </c>
      <c r="N35">
        <v>5</v>
      </c>
      <c r="O35">
        <v>5</v>
      </c>
      <c r="P35" t="str">
        <f t="shared" si="1"/>
        <v>[(112,5)]</v>
      </c>
      <c r="Q35">
        <f t="shared" si="2"/>
        <v>2.5</v>
      </c>
      <c r="X35" s="50">
        <v>2</v>
      </c>
      <c r="Y35" s="50">
        <f t="shared" si="14"/>
        <v>5</v>
      </c>
      <c r="Z35" s="50">
        <v>33</v>
      </c>
      <c r="AA35" s="50">
        <f t="shared" si="10"/>
        <v>5</v>
      </c>
      <c r="AB35" s="50">
        <f t="shared" ref="AB35:AB66" si="15">SUMIFS(O:O,A:A,X35,D:D,Y35,Q:Q,"&lt;="&amp;AA35)</f>
        <v>65</v>
      </c>
      <c r="AC35" s="50">
        <f t="shared" ref="AC35:AC66" si="16">IF(Y35=1,AB35,SUMIFS(AB:AB,Y:Y,"&lt;"&amp;Y35,AA:AA,7)+AB35)</f>
        <v>510</v>
      </c>
      <c r="AD35" s="50">
        <f t="shared" si="11"/>
        <v>731.5</v>
      </c>
      <c r="AE35" s="50">
        <f t="shared" si="12"/>
        <v>73</v>
      </c>
      <c r="AG35" t="s">
        <v>3224</v>
      </c>
      <c r="AH35" t="s">
        <v>3104</v>
      </c>
      <c r="AI35">
        <v>4000</v>
      </c>
      <c r="AJ35">
        <f t="shared" si="13"/>
        <v>533.33333333333337</v>
      </c>
      <c r="AK35">
        <v>5</v>
      </c>
      <c r="AP35" s="7">
        <v>33</v>
      </c>
      <c r="AQ35" s="7">
        <v>330</v>
      </c>
    </row>
    <row r="36" spans="1:43" x14ac:dyDescent="0.15">
      <c r="A36">
        <v>1</v>
      </c>
      <c r="B36" t="s">
        <v>3161</v>
      </c>
      <c r="C36" t="s">
        <v>3162</v>
      </c>
      <c r="D36">
        <v>4</v>
      </c>
      <c r="E36" t="s">
        <v>1665</v>
      </c>
      <c r="F36" t="s">
        <v>3163</v>
      </c>
      <c r="G36">
        <v>100</v>
      </c>
      <c r="H36">
        <v>2</v>
      </c>
      <c r="I36" t="s">
        <v>3164</v>
      </c>
      <c r="J36" t="s">
        <v>3165</v>
      </c>
      <c r="K36" t="s">
        <v>3166</v>
      </c>
      <c r="L36" t="s">
        <v>3167</v>
      </c>
      <c r="M36">
        <v>1</v>
      </c>
      <c r="N36">
        <v>100</v>
      </c>
      <c r="O36">
        <v>10</v>
      </c>
      <c r="P36" t="str">
        <f t="shared" si="1"/>
        <v>[(112,10)]</v>
      </c>
      <c r="Q36">
        <f t="shared" si="2"/>
        <v>7</v>
      </c>
      <c r="X36" s="50">
        <v>2</v>
      </c>
      <c r="Y36" s="50">
        <f t="shared" si="14"/>
        <v>5</v>
      </c>
      <c r="Z36" s="50">
        <v>34</v>
      </c>
      <c r="AA36" s="50">
        <f t="shared" ref="AA36:AA72" si="17">IF(MOD(Z36,7)=0,7,MOD(Z36,7))</f>
        <v>6</v>
      </c>
      <c r="AB36" s="50">
        <f t="shared" si="15"/>
        <v>80</v>
      </c>
      <c r="AC36" s="50">
        <f t="shared" si="16"/>
        <v>525</v>
      </c>
      <c r="AD36" s="50">
        <f t="shared" ref="AD36:AD72" si="18">AC36+SUMIFS($AY$2:$AY$11,$AX$2:$AX$11,"BattlePass经验",$AW$2:$AW$11,"&lt;"&amp;Y36)+1*Z36+Z36*$AN$5</f>
        <v>752</v>
      </c>
      <c r="AE36" s="50">
        <f t="shared" ref="AE36:AE72" si="19">ROUNDDOWN(AD36/10,0)</f>
        <v>75</v>
      </c>
      <c r="AG36" t="s">
        <v>3249</v>
      </c>
      <c r="AH36" t="s">
        <v>3094</v>
      </c>
      <c r="AI36">
        <v>7</v>
      </c>
      <c r="AJ36">
        <f>IF(AH36="单场",AI36,IF(AH36="多场",1/AI36,IF(AH36="单天",AI36/($AN$2/$AN$1),1/(AI36*($AN$2/$AN$1)))))</f>
        <v>1.9047619047619049E-2</v>
      </c>
      <c r="AK36">
        <v>20</v>
      </c>
      <c r="AP36" s="7">
        <v>34</v>
      </c>
      <c r="AQ36" s="7">
        <v>340</v>
      </c>
    </row>
    <row r="37" spans="1:43" x14ac:dyDescent="0.15">
      <c r="A37">
        <v>1</v>
      </c>
      <c r="B37" t="s">
        <v>3127</v>
      </c>
      <c r="C37" t="s">
        <v>3128</v>
      </c>
      <c r="D37">
        <v>4</v>
      </c>
      <c r="E37" t="s">
        <v>1665</v>
      </c>
      <c r="F37" t="s">
        <v>3088</v>
      </c>
      <c r="G37">
        <v>100</v>
      </c>
      <c r="H37">
        <v>1</v>
      </c>
      <c r="I37" t="s">
        <v>3130</v>
      </c>
      <c r="J37" t="s">
        <v>3131</v>
      </c>
      <c r="K37" t="s">
        <v>3132</v>
      </c>
      <c r="L37" t="s">
        <v>3133</v>
      </c>
      <c r="M37">
        <v>1</v>
      </c>
      <c r="N37">
        <v>100</v>
      </c>
      <c r="O37">
        <v>10</v>
      </c>
      <c r="P37" t="str">
        <f t="shared" si="1"/>
        <v>[(112,10)]</v>
      </c>
      <c r="Q37">
        <f t="shared" si="2"/>
        <v>2.6666666666666665</v>
      </c>
      <c r="X37" s="50">
        <v>2</v>
      </c>
      <c r="Y37" s="50">
        <f t="shared" si="14"/>
        <v>5</v>
      </c>
      <c r="Z37" s="50">
        <v>35</v>
      </c>
      <c r="AA37" s="50">
        <f t="shared" si="17"/>
        <v>7</v>
      </c>
      <c r="AB37" s="50">
        <f t="shared" si="15"/>
        <v>120</v>
      </c>
      <c r="AC37" s="50">
        <f t="shared" si="16"/>
        <v>565</v>
      </c>
      <c r="AD37" s="50">
        <f t="shared" si="18"/>
        <v>797.5</v>
      </c>
      <c r="AE37" s="50">
        <f t="shared" si="19"/>
        <v>79</v>
      </c>
      <c r="AP37" s="7">
        <v>35</v>
      </c>
      <c r="AQ37" s="7">
        <v>350</v>
      </c>
    </row>
    <row r="38" spans="1:43" x14ac:dyDescent="0.15">
      <c r="A38">
        <v>1</v>
      </c>
      <c r="B38" t="s">
        <v>3246</v>
      </c>
      <c r="C38" t="s">
        <v>3250</v>
      </c>
      <c r="D38">
        <v>4</v>
      </c>
      <c r="E38" t="s">
        <v>3251</v>
      </c>
      <c r="F38" t="s">
        <v>3088</v>
      </c>
      <c r="G38">
        <v>500</v>
      </c>
      <c r="H38">
        <v>1</v>
      </c>
      <c r="I38" t="s">
        <v>3252</v>
      </c>
      <c r="J38" t="s">
        <v>3253</v>
      </c>
      <c r="K38" t="s">
        <v>3254</v>
      </c>
      <c r="L38" t="s">
        <v>3255</v>
      </c>
      <c r="M38">
        <v>17</v>
      </c>
      <c r="N38">
        <v>500</v>
      </c>
      <c r="O38">
        <v>15</v>
      </c>
      <c r="P38" t="str">
        <f t="shared" si="1"/>
        <v>[(112,15)]</v>
      </c>
      <c r="Q38">
        <f t="shared" si="2"/>
        <v>5</v>
      </c>
      <c r="X38" s="50">
        <v>2</v>
      </c>
      <c r="Y38" s="50">
        <f t="shared" si="14"/>
        <v>6</v>
      </c>
      <c r="Z38" s="50">
        <v>36</v>
      </c>
      <c r="AA38" s="50">
        <f t="shared" si="17"/>
        <v>1</v>
      </c>
      <c r="AB38" s="50">
        <f t="shared" si="15"/>
        <v>35</v>
      </c>
      <c r="AC38" s="50">
        <f t="shared" si="16"/>
        <v>600</v>
      </c>
      <c r="AD38" s="50">
        <f t="shared" si="18"/>
        <v>858</v>
      </c>
      <c r="AE38" s="50">
        <f t="shared" si="19"/>
        <v>85</v>
      </c>
      <c r="AP38" s="7">
        <v>36</v>
      </c>
      <c r="AQ38" s="7">
        <v>360</v>
      </c>
    </row>
    <row r="39" spans="1:43" x14ac:dyDescent="0.15">
      <c r="A39">
        <v>1</v>
      </c>
      <c r="B39" t="s">
        <v>3231</v>
      </c>
      <c r="C39" t="s">
        <v>3256</v>
      </c>
      <c r="D39">
        <v>4</v>
      </c>
      <c r="E39" t="s">
        <v>3097</v>
      </c>
      <c r="F39" t="s">
        <v>3088</v>
      </c>
      <c r="G39">
        <v>4</v>
      </c>
      <c r="H39">
        <v>2</v>
      </c>
      <c r="I39" t="s">
        <v>3257</v>
      </c>
      <c r="J39" t="s">
        <v>3258</v>
      </c>
      <c r="K39" t="s">
        <v>3259</v>
      </c>
      <c r="L39" t="s">
        <v>3260</v>
      </c>
      <c r="M39">
        <v>0</v>
      </c>
      <c r="N39">
        <v>4</v>
      </c>
      <c r="O39">
        <v>5</v>
      </c>
      <c r="P39" t="str">
        <f t="shared" si="1"/>
        <v>[(112,5)]</v>
      </c>
      <c r="Q39">
        <f t="shared" si="2"/>
        <v>4</v>
      </c>
      <c r="X39" s="50">
        <v>2</v>
      </c>
      <c r="Y39" s="50">
        <f t="shared" si="14"/>
        <v>6</v>
      </c>
      <c r="Z39" s="50">
        <v>37</v>
      </c>
      <c r="AA39" s="50">
        <f t="shared" si="17"/>
        <v>2</v>
      </c>
      <c r="AB39" s="50">
        <f t="shared" si="15"/>
        <v>55</v>
      </c>
      <c r="AC39" s="50">
        <f t="shared" si="16"/>
        <v>620</v>
      </c>
      <c r="AD39" s="50">
        <f t="shared" si="18"/>
        <v>883.5</v>
      </c>
      <c r="AE39" s="50">
        <f t="shared" si="19"/>
        <v>88</v>
      </c>
      <c r="AP39" s="7">
        <v>37</v>
      </c>
      <c r="AQ39" s="7">
        <v>370</v>
      </c>
    </row>
    <row r="40" spans="1:43" x14ac:dyDescent="0.15">
      <c r="A40">
        <v>1</v>
      </c>
      <c r="B40" t="s">
        <v>3139</v>
      </c>
      <c r="C40" t="s">
        <v>3185</v>
      </c>
      <c r="D40">
        <v>4</v>
      </c>
      <c r="E40" t="s">
        <v>3248</v>
      </c>
      <c r="F40" t="s">
        <v>3088</v>
      </c>
      <c r="G40">
        <v>5</v>
      </c>
      <c r="H40">
        <v>2</v>
      </c>
      <c r="I40" t="s">
        <v>3186</v>
      </c>
      <c r="J40" t="s">
        <v>3187</v>
      </c>
      <c r="K40" t="s">
        <v>3188</v>
      </c>
      <c r="L40" t="s">
        <v>3189</v>
      </c>
      <c r="M40">
        <v>14</v>
      </c>
      <c r="N40">
        <v>5</v>
      </c>
      <c r="O40">
        <v>5</v>
      </c>
      <c r="P40" t="str">
        <f t="shared" si="1"/>
        <v>[(112,5)]</v>
      </c>
      <c r="Q40">
        <f t="shared" si="2"/>
        <v>7</v>
      </c>
      <c r="X40" s="50">
        <v>2</v>
      </c>
      <c r="Y40" s="50">
        <f t="shared" si="14"/>
        <v>6</v>
      </c>
      <c r="Z40" s="50">
        <v>38</v>
      </c>
      <c r="AA40" s="50">
        <f t="shared" si="17"/>
        <v>3</v>
      </c>
      <c r="AB40" s="50">
        <f t="shared" si="15"/>
        <v>80</v>
      </c>
      <c r="AC40" s="50">
        <f t="shared" si="16"/>
        <v>645</v>
      </c>
      <c r="AD40" s="50">
        <f t="shared" si="18"/>
        <v>914</v>
      </c>
      <c r="AE40" s="50">
        <f t="shared" si="19"/>
        <v>91</v>
      </c>
      <c r="AP40" s="7">
        <v>38</v>
      </c>
      <c r="AQ40" s="7">
        <v>380</v>
      </c>
    </row>
    <row r="41" spans="1:43" x14ac:dyDescent="0.15">
      <c r="A41">
        <v>1</v>
      </c>
      <c r="B41" t="s">
        <v>3140</v>
      </c>
      <c r="C41" t="s">
        <v>3141</v>
      </c>
      <c r="D41">
        <v>4</v>
      </c>
      <c r="E41" t="s">
        <v>3117</v>
      </c>
      <c r="F41" t="s">
        <v>3088</v>
      </c>
      <c r="G41">
        <v>10</v>
      </c>
      <c r="H41">
        <v>2</v>
      </c>
      <c r="I41" t="s">
        <v>3142</v>
      </c>
      <c r="J41" t="s">
        <v>3143</v>
      </c>
      <c r="K41" t="s">
        <v>3144</v>
      </c>
      <c r="L41" t="s">
        <v>3145</v>
      </c>
      <c r="M41">
        <v>13</v>
      </c>
      <c r="N41">
        <v>10</v>
      </c>
      <c r="O41">
        <v>5</v>
      </c>
      <c r="P41" t="str">
        <f t="shared" si="1"/>
        <v>[(112,5)]</v>
      </c>
      <c r="Q41">
        <f t="shared" si="2"/>
        <v>5</v>
      </c>
      <c r="X41" s="50">
        <v>2</v>
      </c>
      <c r="Y41" s="50">
        <f t="shared" si="14"/>
        <v>6</v>
      </c>
      <c r="Z41" s="50">
        <v>39</v>
      </c>
      <c r="AA41" s="50">
        <f t="shared" si="17"/>
        <v>4</v>
      </c>
      <c r="AB41" s="50">
        <f t="shared" si="15"/>
        <v>80</v>
      </c>
      <c r="AC41" s="50">
        <f t="shared" si="16"/>
        <v>645</v>
      </c>
      <c r="AD41" s="50">
        <f t="shared" si="18"/>
        <v>919.5</v>
      </c>
      <c r="AE41" s="50">
        <f t="shared" si="19"/>
        <v>91</v>
      </c>
      <c r="AP41" s="7">
        <v>39</v>
      </c>
      <c r="AQ41" s="7">
        <v>390</v>
      </c>
    </row>
    <row r="42" spans="1:43" x14ac:dyDescent="0.15">
      <c r="A42">
        <v>1</v>
      </c>
      <c r="B42" t="s">
        <v>3146</v>
      </c>
      <c r="C42" t="s">
        <v>3191</v>
      </c>
      <c r="D42">
        <v>4</v>
      </c>
      <c r="E42" t="s">
        <v>1595</v>
      </c>
      <c r="F42" t="s">
        <v>3192</v>
      </c>
      <c r="G42">
        <v>1</v>
      </c>
      <c r="H42">
        <v>2</v>
      </c>
      <c r="I42" t="s">
        <v>3193</v>
      </c>
      <c r="J42" t="s">
        <v>3194</v>
      </c>
      <c r="K42" t="s">
        <v>3195</v>
      </c>
      <c r="L42" t="s">
        <v>3196</v>
      </c>
      <c r="M42">
        <v>1</v>
      </c>
      <c r="N42">
        <v>1</v>
      </c>
      <c r="O42">
        <v>10</v>
      </c>
      <c r="P42" t="str">
        <f t="shared" si="1"/>
        <v>[(112,10)]</v>
      </c>
      <c r="Q42">
        <f t="shared" si="2"/>
        <v>0.13333333333333333</v>
      </c>
      <c r="X42" s="50">
        <v>2</v>
      </c>
      <c r="Y42" s="50">
        <f t="shared" si="14"/>
        <v>6</v>
      </c>
      <c r="Z42" s="50">
        <v>40</v>
      </c>
      <c r="AA42" s="50">
        <f t="shared" si="17"/>
        <v>5</v>
      </c>
      <c r="AB42" s="50">
        <f t="shared" si="15"/>
        <v>90</v>
      </c>
      <c r="AC42" s="50">
        <f t="shared" si="16"/>
        <v>655</v>
      </c>
      <c r="AD42" s="50">
        <f t="shared" si="18"/>
        <v>935</v>
      </c>
      <c r="AE42" s="50">
        <f t="shared" si="19"/>
        <v>93</v>
      </c>
      <c r="AP42" s="7">
        <v>40</v>
      </c>
      <c r="AQ42" s="7">
        <v>400</v>
      </c>
    </row>
    <row r="43" spans="1:43" x14ac:dyDescent="0.15">
      <c r="A43">
        <v>1</v>
      </c>
      <c r="B43" t="s">
        <v>3184</v>
      </c>
      <c r="C43" t="s">
        <v>3261</v>
      </c>
      <c r="D43">
        <v>4</v>
      </c>
      <c r="E43" t="s">
        <v>3262</v>
      </c>
      <c r="F43" t="s">
        <v>3263</v>
      </c>
      <c r="G43">
        <v>1</v>
      </c>
      <c r="H43">
        <v>2</v>
      </c>
      <c r="I43" t="s">
        <v>3264</v>
      </c>
      <c r="J43" t="s">
        <v>3265</v>
      </c>
      <c r="K43" t="s">
        <v>3266</v>
      </c>
      <c r="L43" t="s">
        <v>3267</v>
      </c>
      <c r="M43">
        <v>1</v>
      </c>
      <c r="N43">
        <v>1</v>
      </c>
      <c r="O43">
        <v>10</v>
      </c>
      <c r="P43" t="str">
        <f t="shared" si="1"/>
        <v>[(112,10)]</v>
      </c>
      <c r="Q43">
        <f t="shared" si="2"/>
        <v>6.9999999999999991</v>
      </c>
      <c r="X43" s="50">
        <v>2</v>
      </c>
      <c r="Y43" s="50">
        <f t="shared" ref="Y43:Y72" si="20">ROUNDUP(Z43/7,0)</f>
        <v>6</v>
      </c>
      <c r="Z43" s="50">
        <v>41</v>
      </c>
      <c r="AA43" s="50">
        <f t="shared" si="17"/>
        <v>6</v>
      </c>
      <c r="AB43" s="50">
        <f t="shared" si="15"/>
        <v>90</v>
      </c>
      <c r="AC43" s="50">
        <f t="shared" si="16"/>
        <v>655</v>
      </c>
      <c r="AD43" s="50">
        <f t="shared" si="18"/>
        <v>940.5</v>
      </c>
      <c r="AE43" s="50">
        <f t="shared" si="19"/>
        <v>94</v>
      </c>
      <c r="AP43" s="7">
        <v>41</v>
      </c>
      <c r="AQ43" s="7">
        <v>410</v>
      </c>
    </row>
    <row r="44" spans="1:43" x14ac:dyDescent="0.15">
      <c r="A44">
        <v>1</v>
      </c>
      <c r="B44" t="s">
        <v>3161</v>
      </c>
      <c r="C44" t="s">
        <v>3162</v>
      </c>
      <c r="D44">
        <v>5</v>
      </c>
      <c r="E44" t="s">
        <v>1665</v>
      </c>
      <c r="F44" t="s">
        <v>3163</v>
      </c>
      <c r="G44">
        <v>100</v>
      </c>
      <c r="H44">
        <v>2</v>
      </c>
      <c r="I44" t="s">
        <v>3164</v>
      </c>
      <c r="J44" t="s">
        <v>3165</v>
      </c>
      <c r="K44" t="s">
        <v>3166</v>
      </c>
      <c r="L44" t="s">
        <v>3167</v>
      </c>
      <c r="M44">
        <v>1</v>
      </c>
      <c r="N44">
        <v>100</v>
      </c>
      <c r="O44">
        <v>10</v>
      </c>
      <c r="P44" t="str">
        <f t="shared" si="1"/>
        <v>[(112,10)]</v>
      </c>
      <c r="Q44">
        <f t="shared" si="2"/>
        <v>7</v>
      </c>
      <c r="X44" s="50">
        <v>2</v>
      </c>
      <c r="Y44" s="50">
        <f t="shared" si="20"/>
        <v>6</v>
      </c>
      <c r="Z44" s="50">
        <v>42</v>
      </c>
      <c r="AA44" s="50">
        <f t="shared" si="17"/>
        <v>7</v>
      </c>
      <c r="AB44" s="50">
        <f t="shared" si="15"/>
        <v>110</v>
      </c>
      <c r="AC44" s="50">
        <f t="shared" si="16"/>
        <v>675</v>
      </c>
      <c r="AD44" s="50">
        <f t="shared" si="18"/>
        <v>966</v>
      </c>
      <c r="AE44" s="50">
        <f t="shared" si="19"/>
        <v>96</v>
      </c>
      <c r="AP44" s="7">
        <v>42</v>
      </c>
      <c r="AQ44" s="7">
        <v>420</v>
      </c>
    </row>
    <row r="45" spans="1:43" x14ac:dyDescent="0.15">
      <c r="A45">
        <v>1</v>
      </c>
      <c r="B45" t="s">
        <v>3176</v>
      </c>
      <c r="C45" t="s">
        <v>3177</v>
      </c>
      <c r="D45">
        <v>5</v>
      </c>
      <c r="E45" t="s">
        <v>3251</v>
      </c>
      <c r="F45" t="s">
        <v>3088</v>
      </c>
      <c r="G45">
        <v>500</v>
      </c>
      <c r="H45">
        <v>1</v>
      </c>
      <c r="I45" t="s">
        <v>3178</v>
      </c>
      <c r="J45" t="s">
        <v>3179</v>
      </c>
      <c r="K45" t="s">
        <v>3180</v>
      </c>
      <c r="L45" t="s">
        <v>3181</v>
      </c>
      <c r="M45">
        <v>1</v>
      </c>
      <c r="N45">
        <v>500</v>
      </c>
      <c r="O45">
        <v>5</v>
      </c>
      <c r="P45" t="str">
        <f t="shared" si="1"/>
        <v>[(112,5)]</v>
      </c>
      <c r="Q45">
        <f t="shared" si="2"/>
        <v>2.6666666666666665</v>
      </c>
      <c r="X45" s="50">
        <v>2</v>
      </c>
      <c r="Y45" s="50">
        <f t="shared" si="20"/>
        <v>7</v>
      </c>
      <c r="Z45" s="50">
        <v>43</v>
      </c>
      <c r="AA45" s="50">
        <f t="shared" si="17"/>
        <v>1</v>
      </c>
      <c r="AB45" s="50">
        <f t="shared" si="15"/>
        <v>10</v>
      </c>
      <c r="AC45" s="50">
        <f t="shared" si="16"/>
        <v>685</v>
      </c>
      <c r="AD45" s="50">
        <f t="shared" si="18"/>
        <v>981.5</v>
      </c>
      <c r="AE45" s="50">
        <f t="shared" si="19"/>
        <v>98</v>
      </c>
      <c r="AP45" s="7">
        <v>43</v>
      </c>
      <c r="AQ45" s="7">
        <v>430</v>
      </c>
    </row>
    <row r="46" spans="1:43" x14ac:dyDescent="0.15">
      <c r="A46">
        <v>1</v>
      </c>
      <c r="B46" t="s">
        <v>3115</v>
      </c>
      <c r="C46" t="s">
        <v>3116</v>
      </c>
      <c r="D46">
        <v>5</v>
      </c>
      <c r="E46" t="s">
        <v>3129</v>
      </c>
      <c r="F46" t="s">
        <v>3088</v>
      </c>
      <c r="G46">
        <v>30</v>
      </c>
      <c r="H46">
        <v>1</v>
      </c>
      <c r="I46" t="s">
        <v>3118</v>
      </c>
      <c r="J46" t="s">
        <v>3119</v>
      </c>
      <c r="K46" t="s">
        <v>3120</v>
      </c>
      <c r="L46" t="s">
        <v>3121</v>
      </c>
      <c r="M46">
        <v>1</v>
      </c>
      <c r="N46">
        <v>30</v>
      </c>
      <c r="O46">
        <v>5</v>
      </c>
      <c r="P46" t="str">
        <f t="shared" si="1"/>
        <v>[(112,5)]</v>
      </c>
      <c r="Q46">
        <f t="shared" si="2"/>
        <v>6.6799999999999988</v>
      </c>
      <c r="X46" s="50">
        <v>2</v>
      </c>
      <c r="Y46" s="50">
        <f t="shared" si="20"/>
        <v>7</v>
      </c>
      <c r="Z46" s="50">
        <v>44</v>
      </c>
      <c r="AA46" s="50">
        <f t="shared" si="17"/>
        <v>2</v>
      </c>
      <c r="AB46" s="50">
        <f t="shared" si="15"/>
        <v>25</v>
      </c>
      <c r="AC46" s="50">
        <f t="shared" si="16"/>
        <v>700</v>
      </c>
      <c r="AD46" s="50">
        <f t="shared" si="18"/>
        <v>1002</v>
      </c>
      <c r="AE46" s="50">
        <f t="shared" si="19"/>
        <v>100</v>
      </c>
      <c r="AP46" s="7">
        <v>44</v>
      </c>
      <c r="AQ46" s="7">
        <v>440</v>
      </c>
    </row>
    <row r="47" spans="1:43" x14ac:dyDescent="0.15">
      <c r="A47">
        <v>1</v>
      </c>
      <c r="B47" t="s">
        <v>3113</v>
      </c>
      <c r="C47" t="s">
        <v>3122</v>
      </c>
      <c r="D47">
        <v>5</v>
      </c>
      <c r="E47" t="s">
        <v>3268</v>
      </c>
      <c r="F47" t="s">
        <v>3088</v>
      </c>
      <c r="G47">
        <v>8</v>
      </c>
      <c r="H47">
        <v>2</v>
      </c>
      <c r="I47" t="s">
        <v>3123</v>
      </c>
      <c r="J47" t="s">
        <v>3124</v>
      </c>
      <c r="K47" t="s">
        <v>3125</v>
      </c>
      <c r="L47" t="s">
        <v>3126</v>
      </c>
      <c r="M47">
        <v>1</v>
      </c>
      <c r="N47">
        <v>8</v>
      </c>
      <c r="O47">
        <v>10</v>
      </c>
      <c r="P47" t="str">
        <f t="shared" si="1"/>
        <v>[(112,10)]</v>
      </c>
      <c r="Q47">
        <f t="shared" si="2"/>
        <v>5.333333333333333</v>
      </c>
      <c r="X47" s="50">
        <v>2</v>
      </c>
      <c r="Y47" s="50">
        <f t="shared" si="20"/>
        <v>7</v>
      </c>
      <c r="Z47" s="50">
        <v>45</v>
      </c>
      <c r="AA47" s="50">
        <f t="shared" si="17"/>
        <v>3</v>
      </c>
      <c r="AB47" s="50">
        <f t="shared" si="15"/>
        <v>30</v>
      </c>
      <c r="AC47" s="50">
        <f t="shared" si="16"/>
        <v>705</v>
      </c>
      <c r="AD47" s="50">
        <f t="shared" si="18"/>
        <v>1012.5</v>
      </c>
      <c r="AE47" s="50">
        <f t="shared" si="19"/>
        <v>101</v>
      </c>
      <c r="AP47" s="7">
        <v>45</v>
      </c>
      <c r="AQ47" s="7">
        <v>450</v>
      </c>
    </row>
    <row r="48" spans="1:43" x14ac:dyDescent="0.15">
      <c r="A48">
        <v>1</v>
      </c>
      <c r="B48" t="s">
        <v>3082</v>
      </c>
      <c r="C48" t="s">
        <v>3134</v>
      </c>
      <c r="D48">
        <v>5</v>
      </c>
      <c r="E48" t="s">
        <v>1665</v>
      </c>
      <c r="F48" t="s">
        <v>3088</v>
      </c>
      <c r="G48">
        <v>100</v>
      </c>
      <c r="H48">
        <v>1</v>
      </c>
      <c r="I48" t="s">
        <v>3135</v>
      </c>
      <c r="J48" t="s">
        <v>3136</v>
      </c>
      <c r="K48" t="s">
        <v>3137</v>
      </c>
      <c r="L48" t="s">
        <v>3138</v>
      </c>
      <c r="M48">
        <v>1</v>
      </c>
      <c r="N48">
        <v>100</v>
      </c>
      <c r="O48">
        <v>15</v>
      </c>
      <c r="P48" t="str">
        <f t="shared" si="1"/>
        <v>[(112,15)]</v>
      </c>
      <c r="Q48">
        <f t="shared" si="2"/>
        <v>4.4444444444444446</v>
      </c>
      <c r="X48" s="50">
        <v>2</v>
      </c>
      <c r="Y48" s="50">
        <f t="shared" si="20"/>
        <v>7</v>
      </c>
      <c r="Z48" s="50">
        <v>46</v>
      </c>
      <c r="AA48" s="50">
        <f t="shared" si="17"/>
        <v>4</v>
      </c>
      <c r="AB48" s="50">
        <f t="shared" si="15"/>
        <v>50</v>
      </c>
      <c r="AC48" s="50">
        <f t="shared" si="16"/>
        <v>725</v>
      </c>
      <c r="AD48" s="50">
        <f t="shared" si="18"/>
        <v>1038</v>
      </c>
      <c r="AE48" s="50">
        <f t="shared" si="19"/>
        <v>103</v>
      </c>
      <c r="AP48" s="7">
        <v>46</v>
      </c>
      <c r="AQ48" s="7">
        <v>460</v>
      </c>
    </row>
    <row r="49" spans="1:43" x14ac:dyDescent="0.15">
      <c r="A49">
        <v>1</v>
      </c>
      <c r="B49" t="s">
        <v>3246</v>
      </c>
      <c r="C49" t="s">
        <v>3250</v>
      </c>
      <c r="D49">
        <v>5</v>
      </c>
      <c r="E49" t="s">
        <v>3251</v>
      </c>
      <c r="F49" t="s">
        <v>3088</v>
      </c>
      <c r="G49">
        <v>500</v>
      </c>
      <c r="H49">
        <v>1</v>
      </c>
      <c r="I49" t="s">
        <v>3252</v>
      </c>
      <c r="J49" t="s">
        <v>3253</v>
      </c>
      <c r="K49" t="s">
        <v>3254</v>
      </c>
      <c r="L49" t="s">
        <v>3255</v>
      </c>
      <c r="M49">
        <v>17</v>
      </c>
      <c r="N49">
        <v>500</v>
      </c>
      <c r="O49">
        <v>15</v>
      </c>
      <c r="P49" t="str">
        <f t="shared" si="1"/>
        <v>[(112,15)]</v>
      </c>
      <c r="Q49">
        <f t="shared" si="2"/>
        <v>5</v>
      </c>
      <c r="X49" s="50">
        <v>2</v>
      </c>
      <c r="Y49" s="50">
        <f t="shared" si="20"/>
        <v>7</v>
      </c>
      <c r="Z49" s="50">
        <v>47</v>
      </c>
      <c r="AA49" s="50">
        <f t="shared" si="17"/>
        <v>5</v>
      </c>
      <c r="AB49" s="50">
        <f t="shared" si="15"/>
        <v>80</v>
      </c>
      <c r="AC49" s="50">
        <f t="shared" si="16"/>
        <v>755</v>
      </c>
      <c r="AD49" s="50">
        <f t="shared" si="18"/>
        <v>1073.5</v>
      </c>
      <c r="AE49" s="50">
        <f t="shared" si="19"/>
        <v>107</v>
      </c>
      <c r="AP49" s="7">
        <v>47</v>
      </c>
      <c r="AQ49" s="7">
        <v>470</v>
      </c>
    </row>
    <row r="50" spans="1:43" x14ac:dyDescent="0.15">
      <c r="A50">
        <v>1</v>
      </c>
      <c r="B50" t="s">
        <v>3190</v>
      </c>
      <c r="C50" t="s">
        <v>3269</v>
      </c>
      <c r="D50">
        <v>5</v>
      </c>
      <c r="E50" t="s">
        <v>3270</v>
      </c>
      <c r="F50" t="s">
        <v>3088</v>
      </c>
      <c r="G50">
        <v>1</v>
      </c>
      <c r="H50">
        <v>2</v>
      </c>
      <c r="I50" t="s">
        <v>3271</v>
      </c>
      <c r="J50" t="s">
        <v>3272</v>
      </c>
      <c r="K50" t="s">
        <v>3273</v>
      </c>
      <c r="L50" t="s">
        <v>3274</v>
      </c>
      <c r="M50">
        <v>1</v>
      </c>
      <c r="N50">
        <v>1</v>
      </c>
      <c r="O50">
        <v>15</v>
      </c>
      <c r="P50" t="str">
        <f t="shared" si="1"/>
        <v>[(112,15)]</v>
      </c>
      <c r="Q50">
        <f t="shared" si="2"/>
        <v>7</v>
      </c>
      <c r="X50" s="50">
        <v>2</v>
      </c>
      <c r="Y50" s="50">
        <f t="shared" si="20"/>
        <v>7</v>
      </c>
      <c r="Z50" s="50">
        <v>48</v>
      </c>
      <c r="AA50" s="50">
        <f t="shared" si="17"/>
        <v>6</v>
      </c>
      <c r="AB50" s="50">
        <f t="shared" si="15"/>
        <v>80</v>
      </c>
      <c r="AC50" s="50">
        <f t="shared" si="16"/>
        <v>755</v>
      </c>
      <c r="AD50" s="50">
        <f t="shared" si="18"/>
        <v>1079</v>
      </c>
      <c r="AE50" s="50">
        <f t="shared" si="19"/>
        <v>107</v>
      </c>
      <c r="AP50" s="7">
        <v>48</v>
      </c>
      <c r="AQ50" s="7">
        <v>480</v>
      </c>
    </row>
    <row r="51" spans="1:43" x14ac:dyDescent="0.15">
      <c r="A51">
        <v>1</v>
      </c>
      <c r="B51" t="s">
        <v>3147</v>
      </c>
      <c r="C51" t="s">
        <v>3148</v>
      </c>
      <c r="D51">
        <v>5</v>
      </c>
      <c r="E51" t="s">
        <v>3275</v>
      </c>
      <c r="F51" t="s">
        <v>3088</v>
      </c>
      <c r="G51">
        <v>20</v>
      </c>
      <c r="H51">
        <v>2</v>
      </c>
      <c r="I51" t="s">
        <v>3149</v>
      </c>
      <c r="J51" t="s">
        <v>3150</v>
      </c>
      <c r="K51" t="s">
        <v>3151</v>
      </c>
      <c r="L51" t="s">
        <v>3152</v>
      </c>
      <c r="M51">
        <v>1</v>
      </c>
      <c r="N51">
        <v>20</v>
      </c>
      <c r="O51">
        <v>15</v>
      </c>
      <c r="P51" t="str">
        <f t="shared" si="1"/>
        <v>[(112,15)]</v>
      </c>
      <c r="Q51">
        <f t="shared" si="2"/>
        <v>5.333333333333333</v>
      </c>
      <c r="X51" s="50">
        <v>2</v>
      </c>
      <c r="Y51" s="50">
        <f t="shared" si="20"/>
        <v>7</v>
      </c>
      <c r="Z51" s="50">
        <v>49</v>
      </c>
      <c r="AA51" s="50">
        <f t="shared" si="17"/>
        <v>7</v>
      </c>
      <c r="AB51" s="50">
        <f t="shared" si="15"/>
        <v>125</v>
      </c>
      <c r="AC51" s="50">
        <f t="shared" si="16"/>
        <v>800</v>
      </c>
      <c r="AD51" s="50">
        <f t="shared" si="18"/>
        <v>1129.5</v>
      </c>
      <c r="AE51" s="50">
        <f t="shared" si="19"/>
        <v>112</v>
      </c>
      <c r="AP51" s="7">
        <v>49</v>
      </c>
      <c r="AQ51" s="7">
        <v>490</v>
      </c>
    </row>
    <row r="52" spans="1:43" x14ac:dyDescent="0.15">
      <c r="A52">
        <v>1</v>
      </c>
      <c r="B52" t="s">
        <v>3197</v>
      </c>
      <c r="C52" t="s">
        <v>3198</v>
      </c>
      <c r="D52">
        <v>5</v>
      </c>
      <c r="E52" t="s">
        <v>3183</v>
      </c>
      <c r="F52" t="s">
        <v>3088</v>
      </c>
      <c r="G52">
        <v>15</v>
      </c>
      <c r="H52">
        <v>2</v>
      </c>
      <c r="I52" t="s">
        <v>3199</v>
      </c>
      <c r="J52" t="s">
        <v>3200</v>
      </c>
      <c r="K52" t="s">
        <v>3201</v>
      </c>
      <c r="L52" t="s">
        <v>3202</v>
      </c>
      <c r="M52">
        <v>17</v>
      </c>
      <c r="N52">
        <v>15</v>
      </c>
      <c r="O52">
        <v>10</v>
      </c>
      <c r="P52" t="str">
        <f t="shared" si="1"/>
        <v>[(112,10)]</v>
      </c>
      <c r="Q52">
        <f t="shared" si="2"/>
        <v>7</v>
      </c>
      <c r="X52" s="50">
        <v>2</v>
      </c>
      <c r="Y52" s="50">
        <f t="shared" si="20"/>
        <v>8</v>
      </c>
      <c r="Z52" s="50">
        <v>50</v>
      </c>
      <c r="AA52" s="50">
        <f t="shared" si="17"/>
        <v>1</v>
      </c>
      <c r="AB52" s="50">
        <f t="shared" si="15"/>
        <v>10</v>
      </c>
      <c r="AC52" s="50">
        <f t="shared" si="16"/>
        <v>810</v>
      </c>
      <c r="AD52" s="50">
        <f t="shared" si="18"/>
        <v>1165</v>
      </c>
      <c r="AE52" s="50">
        <f t="shared" si="19"/>
        <v>116</v>
      </c>
      <c r="AP52" s="7">
        <v>50</v>
      </c>
      <c r="AQ52" s="7">
        <v>500</v>
      </c>
    </row>
    <row r="53" spans="1:43" x14ac:dyDescent="0.15">
      <c r="A53">
        <v>1</v>
      </c>
      <c r="B53" t="s">
        <v>3103</v>
      </c>
      <c r="C53" t="s">
        <v>3203</v>
      </c>
      <c r="D53">
        <v>5</v>
      </c>
      <c r="E53" t="s">
        <v>3275</v>
      </c>
      <c r="F53" t="s">
        <v>3088</v>
      </c>
      <c r="G53">
        <v>20</v>
      </c>
      <c r="H53">
        <v>1</v>
      </c>
      <c r="I53" t="s">
        <v>3204</v>
      </c>
      <c r="J53" t="s">
        <v>3205</v>
      </c>
      <c r="K53" t="s">
        <v>3751</v>
      </c>
      <c r="L53" t="s">
        <v>3750</v>
      </c>
      <c r="M53">
        <v>16</v>
      </c>
      <c r="N53">
        <v>20</v>
      </c>
      <c r="O53">
        <v>10</v>
      </c>
      <c r="P53" t="str">
        <f t="shared" si="1"/>
        <v>[(112,10)]</v>
      </c>
      <c r="Q53">
        <f t="shared" si="2"/>
        <v>7</v>
      </c>
      <c r="X53" s="50">
        <v>2</v>
      </c>
      <c r="Y53" s="50">
        <f t="shared" si="20"/>
        <v>8</v>
      </c>
      <c r="Z53" s="50">
        <v>51</v>
      </c>
      <c r="AA53" s="50">
        <f t="shared" si="17"/>
        <v>2</v>
      </c>
      <c r="AB53" s="50">
        <f t="shared" si="15"/>
        <v>20</v>
      </c>
      <c r="AC53" s="50">
        <f t="shared" si="16"/>
        <v>820</v>
      </c>
      <c r="AD53" s="50">
        <f t="shared" si="18"/>
        <v>1180.5</v>
      </c>
      <c r="AE53" s="50">
        <f t="shared" si="19"/>
        <v>118</v>
      </c>
      <c r="AP53" s="7">
        <v>51</v>
      </c>
      <c r="AQ53" s="7">
        <v>510</v>
      </c>
    </row>
    <row r="54" spans="1:43" x14ac:dyDescent="0.15">
      <c r="A54">
        <v>1</v>
      </c>
      <c r="B54" t="s">
        <v>3153</v>
      </c>
      <c r="C54" t="s">
        <v>3154</v>
      </c>
      <c r="D54">
        <v>6</v>
      </c>
      <c r="E54" t="s">
        <v>3247</v>
      </c>
      <c r="F54" t="s">
        <v>3156</v>
      </c>
      <c r="G54">
        <v>15</v>
      </c>
      <c r="H54">
        <v>1</v>
      </c>
      <c r="I54" t="s">
        <v>3157</v>
      </c>
      <c r="J54" t="s">
        <v>3158</v>
      </c>
      <c r="K54" t="s">
        <v>3159</v>
      </c>
      <c r="L54" t="s">
        <v>3160</v>
      </c>
      <c r="M54">
        <v>1</v>
      </c>
      <c r="N54">
        <v>15</v>
      </c>
      <c r="O54">
        <v>10</v>
      </c>
      <c r="P54" t="str">
        <f t="shared" si="1"/>
        <v>[(112,10)]</v>
      </c>
      <c r="Q54">
        <f t="shared" si="2"/>
        <v>2</v>
      </c>
      <c r="X54" s="50">
        <v>2</v>
      </c>
      <c r="Y54" s="50">
        <f t="shared" si="20"/>
        <v>8</v>
      </c>
      <c r="Z54" s="50">
        <v>52</v>
      </c>
      <c r="AA54" s="50">
        <f t="shared" si="17"/>
        <v>3</v>
      </c>
      <c r="AB54" s="50">
        <f t="shared" si="15"/>
        <v>30</v>
      </c>
      <c r="AC54" s="50">
        <f t="shared" si="16"/>
        <v>830</v>
      </c>
      <c r="AD54" s="50">
        <f t="shared" si="18"/>
        <v>1196</v>
      </c>
      <c r="AE54" s="50">
        <f t="shared" si="19"/>
        <v>119</v>
      </c>
      <c r="AP54" s="7">
        <v>52</v>
      </c>
      <c r="AQ54" s="7">
        <v>520</v>
      </c>
    </row>
    <row r="55" spans="1:43" x14ac:dyDescent="0.15">
      <c r="A55">
        <v>1</v>
      </c>
      <c r="B55" t="s">
        <v>3207</v>
      </c>
      <c r="C55" t="s">
        <v>3208</v>
      </c>
      <c r="D55">
        <v>6</v>
      </c>
      <c r="E55" t="s">
        <v>3248</v>
      </c>
      <c r="F55" t="s">
        <v>3088</v>
      </c>
      <c r="G55">
        <v>5</v>
      </c>
      <c r="H55">
        <v>2</v>
      </c>
      <c r="I55" t="s">
        <v>3209</v>
      </c>
      <c r="J55" t="s">
        <v>3210</v>
      </c>
      <c r="K55" t="s">
        <v>3211</v>
      </c>
      <c r="L55" t="s">
        <v>3212</v>
      </c>
      <c r="M55">
        <v>8</v>
      </c>
      <c r="N55">
        <v>5</v>
      </c>
      <c r="O55">
        <v>5</v>
      </c>
      <c r="P55" t="str">
        <f t="shared" si="1"/>
        <v>[(112,5)]</v>
      </c>
      <c r="Q55">
        <f t="shared" si="2"/>
        <v>2.5</v>
      </c>
      <c r="X55" s="50">
        <v>2</v>
      </c>
      <c r="Y55" s="50">
        <f t="shared" si="20"/>
        <v>8</v>
      </c>
      <c r="Z55" s="50">
        <v>53</v>
      </c>
      <c r="AA55" s="50">
        <f t="shared" si="17"/>
        <v>4</v>
      </c>
      <c r="AB55" s="50">
        <f t="shared" si="15"/>
        <v>40</v>
      </c>
      <c r="AC55" s="50">
        <f t="shared" si="16"/>
        <v>840</v>
      </c>
      <c r="AD55" s="50">
        <f t="shared" si="18"/>
        <v>1211.5</v>
      </c>
      <c r="AE55" s="50">
        <f t="shared" si="19"/>
        <v>121</v>
      </c>
      <c r="AP55" s="7">
        <v>53</v>
      </c>
      <c r="AQ55" s="7">
        <v>530</v>
      </c>
    </row>
    <row r="56" spans="1:43" x14ac:dyDescent="0.15">
      <c r="A56">
        <v>1</v>
      </c>
      <c r="B56" t="s">
        <v>3161</v>
      </c>
      <c r="C56" t="s">
        <v>3162</v>
      </c>
      <c r="D56">
        <v>6</v>
      </c>
      <c r="E56" t="s">
        <v>1665</v>
      </c>
      <c r="F56" t="s">
        <v>3163</v>
      </c>
      <c r="G56">
        <v>100</v>
      </c>
      <c r="H56">
        <v>2</v>
      </c>
      <c r="I56" t="s">
        <v>3164</v>
      </c>
      <c r="J56" t="s">
        <v>3165</v>
      </c>
      <c r="K56" t="s">
        <v>3166</v>
      </c>
      <c r="L56" t="s">
        <v>3167</v>
      </c>
      <c r="M56">
        <v>1</v>
      </c>
      <c r="N56">
        <v>100</v>
      </c>
      <c r="O56">
        <v>10</v>
      </c>
      <c r="P56" t="str">
        <f t="shared" si="1"/>
        <v>[(112,10)]</v>
      </c>
      <c r="Q56">
        <f t="shared" si="2"/>
        <v>7</v>
      </c>
      <c r="X56" s="50">
        <v>2</v>
      </c>
      <c r="Y56" s="50">
        <f t="shared" si="20"/>
        <v>8</v>
      </c>
      <c r="Z56" s="50">
        <v>54</v>
      </c>
      <c r="AA56" s="50">
        <f t="shared" si="17"/>
        <v>5</v>
      </c>
      <c r="AB56" s="50">
        <f t="shared" si="15"/>
        <v>60</v>
      </c>
      <c r="AC56" s="50">
        <f t="shared" si="16"/>
        <v>860</v>
      </c>
      <c r="AD56" s="50">
        <f t="shared" si="18"/>
        <v>1237</v>
      </c>
      <c r="AE56" s="50">
        <f t="shared" si="19"/>
        <v>123</v>
      </c>
      <c r="AP56" s="7">
        <v>54</v>
      </c>
      <c r="AQ56" s="7">
        <v>540</v>
      </c>
    </row>
    <row r="57" spans="1:43" x14ac:dyDescent="0.15">
      <c r="A57">
        <v>1</v>
      </c>
      <c r="B57" t="s">
        <v>3169</v>
      </c>
      <c r="C57" t="s">
        <v>3170</v>
      </c>
      <c r="D57">
        <v>6</v>
      </c>
      <c r="E57" t="s">
        <v>3276</v>
      </c>
      <c r="F57" t="s">
        <v>3171</v>
      </c>
      <c r="G57">
        <v>10</v>
      </c>
      <c r="H57">
        <v>1</v>
      </c>
      <c r="I57" t="s">
        <v>3172</v>
      </c>
      <c r="J57" t="s">
        <v>3173</v>
      </c>
      <c r="K57" t="s">
        <v>3174</v>
      </c>
      <c r="L57" t="s">
        <v>3175</v>
      </c>
      <c r="M57">
        <v>1</v>
      </c>
      <c r="N57">
        <v>10</v>
      </c>
      <c r="O57">
        <v>15</v>
      </c>
      <c r="P57" t="str">
        <f t="shared" si="1"/>
        <v>[(112,15)]</v>
      </c>
      <c r="Q57">
        <f t="shared" si="2"/>
        <v>7</v>
      </c>
      <c r="X57" s="50">
        <v>2</v>
      </c>
      <c r="Y57" s="50">
        <f t="shared" si="20"/>
        <v>8</v>
      </c>
      <c r="Z57" s="50">
        <v>55</v>
      </c>
      <c r="AA57" s="50">
        <f t="shared" si="17"/>
        <v>6</v>
      </c>
      <c r="AB57" s="50">
        <f t="shared" si="15"/>
        <v>60</v>
      </c>
      <c r="AC57" s="50">
        <f t="shared" si="16"/>
        <v>860</v>
      </c>
      <c r="AD57" s="50">
        <f t="shared" si="18"/>
        <v>1242.5</v>
      </c>
      <c r="AE57" s="50">
        <f t="shared" si="19"/>
        <v>124</v>
      </c>
      <c r="AP57" s="7">
        <v>55</v>
      </c>
      <c r="AQ57" s="7">
        <v>550</v>
      </c>
    </row>
    <row r="58" spans="1:43" x14ac:dyDescent="0.15">
      <c r="A58">
        <v>1</v>
      </c>
      <c r="B58" t="s">
        <v>3176</v>
      </c>
      <c r="C58" t="s">
        <v>3177</v>
      </c>
      <c r="D58">
        <v>6</v>
      </c>
      <c r="E58" t="s">
        <v>3251</v>
      </c>
      <c r="F58" t="s">
        <v>3088</v>
      </c>
      <c r="G58">
        <v>500</v>
      </c>
      <c r="H58">
        <v>1</v>
      </c>
      <c r="I58" t="s">
        <v>3178</v>
      </c>
      <c r="J58" t="s">
        <v>3179</v>
      </c>
      <c r="K58" t="s">
        <v>3180</v>
      </c>
      <c r="L58" t="s">
        <v>3181</v>
      </c>
      <c r="M58">
        <v>1</v>
      </c>
      <c r="N58">
        <v>500</v>
      </c>
      <c r="O58">
        <v>5</v>
      </c>
      <c r="P58" t="str">
        <f t="shared" si="1"/>
        <v>[(112,5)]</v>
      </c>
      <c r="Q58">
        <f t="shared" si="2"/>
        <v>2.6666666666666665</v>
      </c>
      <c r="X58" s="50">
        <v>2</v>
      </c>
      <c r="Y58" s="50">
        <f t="shared" si="20"/>
        <v>8</v>
      </c>
      <c r="Z58" s="50">
        <v>56</v>
      </c>
      <c r="AA58" s="50">
        <f t="shared" si="17"/>
        <v>7</v>
      </c>
      <c r="AB58" s="50">
        <f t="shared" si="15"/>
        <v>85</v>
      </c>
      <c r="AC58" s="50">
        <f t="shared" si="16"/>
        <v>885</v>
      </c>
      <c r="AD58" s="50">
        <f t="shared" si="18"/>
        <v>1273</v>
      </c>
      <c r="AE58" s="50">
        <f t="shared" si="19"/>
        <v>127</v>
      </c>
      <c r="AP58" s="7">
        <v>56</v>
      </c>
      <c r="AQ58" s="7">
        <v>560</v>
      </c>
    </row>
    <row r="59" spans="1:43" x14ac:dyDescent="0.15">
      <c r="A59">
        <v>1</v>
      </c>
      <c r="B59" t="s">
        <v>3127</v>
      </c>
      <c r="C59" t="s">
        <v>3128</v>
      </c>
      <c r="D59">
        <v>6</v>
      </c>
      <c r="E59" t="s">
        <v>1665</v>
      </c>
      <c r="F59" t="s">
        <v>3088</v>
      </c>
      <c r="G59">
        <v>100</v>
      </c>
      <c r="H59">
        <v>1</v>
      </c>
      <c r="I59" t="s">
        <v>3130</v>
      </c>
      <c r="J59" t="s">
        <v>3131</v>
      </c>
      <c r="K59" t="s">
        <v>3132</v>
      </c>
      <c r="L59" t="s">
        <v>3133</v>
      </c>
      <c r="M59">
        <v>1</v>
      </c>
      <c r="N59">
        <v>100</v>
      </c>
      <c r="O59">
        <v>10</v>
      </c>
      <c r="P59" t="str">
        <f t="shared" si="1"/>
        <v>[(112,10)]</v>
      </c>
      <c r="Q59">
        <f t="shared" si="2"/>
        <v>2.6666666666666665</v>
      </c>
      <c r="X59" s="50">
        <v>2</v>
      </c>
      <c r="Y59" s="50">
        <f t="shared" si="20"/>
        <v>9</v>
      </c>
      <c r="Z59" s="50">
        <v>57</v>
      </c>
      <c r="AA59" s="50">
        <f t="shared" si="17"/>
        <v>1</v>
      </c>
      <c r="AB59" s="50">
        <f t="shared" si="15"/>
        <v>10</v>
      </c>
      <c r="AC59" s="50">
        <f t="shared" si="16"/>
        <v>895</v>
      </c>
      <c r="AD59" s="50">
        <f t="shared" si="18"/>
        <v>1288.5</v>
      </c>
      <c r="AE59" s="50">
        <f t="shared" si="19"/>
        <v>128</v>
      </c>
      <c r="AP59" s="7">
        <v>57</v>
      </c>
      <c r="AQ59" s="7">
        <v>570</v>
      </c>
    </row>
    <row r="60" spans="1:43" x14ac:dyDescent="0.15">
      <c r="A60">
        <v>1</v>
      </c>
      <c r="B60" t="s">
        <v>3217</v>
      </c>
      <c r="C60" t="s">
        <v>3218</v>
      </c>
      <c r="D60">
        <v>6</v>
      </c>
      <c r="E60" t="s">
        <v>3275</v>
      </c>
      <c r="F60" t="s">
        <v>3088</v>
      </c>
      <c r="G60">
        <v>20</v>
      </c>
      <c r="H60">
        <v>1</v>
      </c>
      <c r="I60" t="s">
        <v>3219</v>
      </c>
      <c r="J60" t="s">
        <v>3220</v>
      </c>
      <c r="K60" t="s">
        <v>3221</v>
      </c>
      <c r="L60" t="s">
        <v>3222</v>
      </c>
      <c r="M60">
        <v>11</v>
      </c>
      <c r="N60">
        <v>20</v>
      </c>
      <c r="O60">
        <v>15</v>
      </c>
      <c r="P60" t="str">
        <f t="shared" si="1"/>
        <v>[(112,15)]</v>
      </c>
      <c r="Q60">
        <f t="shared" si="2"/>
        <v>5</v>
      </c>
      <c r="X60" s="50">
        <v>2</v>
      </c>
      <c r="Y60" s="50">
        <f t="shared" si="20"/>
        <v>9</v>
      </c>
      <c r="Z60" s="50">
        <v>58</v>
      </c>
      <c r="AA60" s="50">
        <f t="shared" si="17"/>
        <v>2</v>
      </c>
      <c r="AB60" s="50">
        <f t="shared" si="15"/>
        <v>10</v>
      </c>
      <c r="AC60" s="50">
        <f t="shared" si="16"/>
        <v>895</v>
      </c>
      <c r="AD60" s="50">
        <f t="shared" si="18"/>
        <v>1294</v>
      </c>
      <c r="AE60" s="50">
        <f t="shared" si="19"/>
        <v>129</v>
      </c>
      <c r="AP60" s="7">
        <v>58</v>
      </c>
      <c r="AQ60" s="7">
        <v>580</v>
      </c>
    </row>
    <row r="61" spans="1:43" x14ac:dyDescent="0.15">
      <c r="A61">
        <v>1</v>
      </c>
      <c r="B61" t="s">
        <v>3140</v>
      </c>
      <c r="C61" t="s">
        <v>3141</v>
      </c>
      <c r="D61">
        <v>6</v>
      </c>
      <c r="E61" t="s">
        <v>3117</v>
      </c>
      <c r="F61" t="s">
        <v>3088</v>
      </c>
      <c r="G61">
        <v>10</v>
      </c>
      <c r="H61">
        <v>2</v>
      </c>
      <c r="I61" t="s">
        <v>3142</v>
      </c>
      <c r="J61" t="s">
        <v>3143</v>
      </c>
      <c r="K61" t="s">
        <v>3144</v>
      </c>
      <c r="L61" t="s">
        <v>3145</v>
      </c>
      <c r="M61">
        <v>13</v>
      </c>
      <c r="N61">
        <v>10</v>
      </c>
      <c r="O61">
        <v>5</v>
      </c>
      <c r="P61" t="str">
        <f t="shared" si="1"/>
        <v>[(112,5)]</v>
      </c>
      <c r="Q61">
        <f t="shared" si="2"/>
        <v>5</v>
      </c>
      <c r="X61" s="50">
        <v>2</v>
      </c>
      <c r="Y61" s="50">
        <f t="shared" si="20"/>
        <v>9</v>
      </c>
      <c r="Z61" s="50">
        <v>59</v>
      </c>
      <c r="AA61" s="50">
        <f t="shared" si="17"/>
        <v>3</v>
      </c>
      <c r="AB61" s="50">
        <f t="shared" si="15"/>
        <v>35</v>
      </c>
      <c r="AC61" s="50">
        <f t="shared" si="16"/>
        <v>920</v>
      </c>
      <c r="AD61" s="50">
        <f t="shared" si="18"/>
        <v>1324.5</v>
      </c>
      <c r="AE61" s="50">
        <f t="shared" si="19"/>
        <v>132</v>
      </c>
      <c r="AP61" s="7">
        <v>59</v>
      </c>
      <c r="AQ61" s="7">
        <v>590</v>
      </c>
    </row>
    <row r="62" spans="1:43" x14ac:dyDescent="0.15">
      <c r="A62">
        <v>1</v>
      </c>
      <c r="B62" t="s">
        <v>3206</v>
      </c>
      <c r="C62" t="s">
        <v>3277</v>
      </c>
      <c r="D62">
        <v>6</v>
      </c>
      <c r="E62" t="s">
        <v>3088</v>
      </c>
      <c r="F62" t="s">
        <v>3163</v>
      </c>
      <c r="G62">
        <v>1</v>
      </c>
      <c r="H62">
        <v>1</v>
      </c>
      <c r="I62" t="s">
        <v>3278</v>
      </c>
      <c r="J62" t="s">
        <v>3279</v>
      </c>
      <c r="K62" t="s">
        <v>3280</v>
      </c>
      <c r="L62" t="s">
        <v>3281</v>
      </c>
      <c r="M62">
        <v>1</v>
      </c>
      <c r="N62">
        <v>1</v>
      </c>
      <c r="O62">
        <v>20</v>
      </c>
      <c r="P62" t="str">
        <f t="shared" si="1"/>
        <v>[(112,20)]</v>
      </c>
      <c r="Q62">
        <f t="shared" si="2"/>
        <v>0.5</v>
      </c>
      <c r="X62" s="50">
        <v>2</v>
      </c>
      <c r="Y62" s="50">
        <f t="shared" si="20"/>
        <v>9</v>
      </c>
      <c r="Z62" s="50">
        <v>60</v>
      </c>
      <c r="AA62" s="50">
        <f t="shared" si="17"/>
        <v>4</v>
      </c>
      <c r="AB62" s="50">
        <f t="shared" si="15"/>
        <v>60</v>
      </c>
      <c r="AC62" s="50">
        <f t="shared" si="16"/>
        <v>945</v>
      </c>
      <c r="AD62" s="50">
        <f t="shared" si="18"/>
        <v>1355</v>
      </c>
      <c r="AE62" s="50">
        <f t="shared" si="19"/>
        <v>135</v>
      </c>
      <c r="AP62" s="7">
        <v>60</v>
      </c>
      <c r="AQ62" s="7">
        <v>600</v>
      </c>
    </row>
    <row r="63" spans="1:43" x14ac:dyDescent="0.15">
      <c r="A63">
        <v>1</v>
      </c>
      <c r="B63" t="s">
        <v>3182</v>
      </c>
      <c r="C63" t="s">
        <v>3282</v>
      </c>
      <c r="D63">
        <v>6</v>
      </c>
      <c r="E63" t="s">
        <v>1667</v>
      </c>
      <c r="F63" t="s">
        <v>3283</v>
      </c>
      <c r="G63">
        <v>1</v>
      </c>
      <c r="H63">
        <v>1</v>
      </c>
      <c r="I63" t="s">
        <v>3284</v>
      </c>
      <c r="J63" t="s">
        <v>3285</v>
      </c>
      <c r="K63" t="s">
        <v>3286</v>
      </c>
      <c r="L63" t="s">
        <v>3287</v>
      </c>
      <c r="M63">
        <v>1</v>
      </c>
      <c r="N63">
        <v>1</v>
      </c>
      <c r="O63">
        <v>20</v>
      </c>
      <c r="P63" t="str">
        <f t="shared" si="1"/>
        <v>[(112,20)]</v>
      </c>
      <c r="Q63">
        <f t="shared" si="2"/>
        <v>1</v>
      </c>
      <c r="X63" s="50">
        <v>2</v>
      </c>
      <c r="Y63" s="50">
        <f t="shared" si="20"/>
        <v>9</v>
      </c>
      <c r="Z63" s="50">
        <v>61</v>
      </c>
      <c r="AA63" s="50">
        <f t="shared" si="17"/>
        <v>5</v>
      </c>
      <c r="AB63" s="50">
        <f t="shared" si="15"/>
        <v>65</v>
      </c>
      <c r="AC63" s="50">
        <f t="shared" si="16"/>
        <v>950</v>
      </c>
      <c r="AD63" s="50">
        <f t="shared" si="18"/>
        <v>1365.5</v>
      </c>
      <c r="AE63" s="50">
        <f t="shared" si="19"/>
        <v>136</v>
      </c>
      <c r="AP63" s="7">
        <v>61</v>
      </c>
      <c r="AQ63" s="7">
        <v>610</v>
      </c>
    </row>
    <row r="64" spans="1:43" x14ac:dyDescent="0.15">
      <c r="A64">
        <v>1</v>
      </c>
      <c r="B64" t="s">
        <v>3176</v>
      </c>
      <c r="C64" t="s">
        <v>3177</v>
      </c>
      <c r="D64">
        <v>7</v>
      </c>
      <c r="E64" t="s">
        <v>3251</v>
      </c>
      <c r="F64" t="s">
        <v>3088</v>
      </c>
      <c r="G64">
        <v>500</v>
      </c>
      <c r="H64">
        <v>1</v>
      </c>
      <c r="I64" t="s">
        <v>3178</v>
      </c>
      <c r="J64" t="s">
        <v>3179</v>
      </c>
      <c r="K64" t="s">
        <v>3180</v>
      </c>
      <c r="L64" t="s">
        <v>3181</v>
      </c>
      <c r="M64">
        <v>1</v>
      </c>
      <c r="N64">
        <v>500</v>
      </c>
      <c r="O64">
        <v>5</v>
      </c>
      <c r="P64" t="str">
        <f t="shared" si="1"/>
        <v>[(112,5)]</v>
      </c>
      <c r="Q64">
        <f t="shared" si="2"/>
        <v>2.6666666666666665</v>
      </c>
      <c r="X64" s="50">
        <v>2</v>
      </c>
      <c r="Y64" s="50">
        <f t="shared" si="20"/>
        <v>9</v>
      </c>
      <c r="Z64" s="50">
        <v>62</v>
      </c>
      <c r="AA64" s="50">
        <f t="shared" si="17"/>
        <v>6</v>
      </c>
      <c r="AB64" s="50">
        <f t="shared" si="15"/>
        <v>65</v>
      </c>
      <c r="AC64" s="50">
        <f t="shared" si="16"/>
        <v>950</v>
      </c>
      <c r="AD64" s="50">
        <f t="shared" si="18"/>
        <v>1371</v>
      </c>
      <c r="AE64" s="50">
        <f t="shared" si="19"/>
        <v>137</v>
      </c>
      <c r="AP64" s="7">
        <v>62</v>
      </c>
      <c r="AQ64" s="7">
        <v>620</v>
      </c>
    </row>
    <row r="65" spans="1:43" x14ac:dyDescent="0.15">
      <c r="A65">
        <v>1</v>
      </c>
      <c r="B65" t="s">
        <v>3115</v>
      </c>
      <c r="C65" t="s">
        <v>3116</v>
      </c>
      <c r="D65">
        <v>7</v>
      </c>
      <c r="E65" t="s">
        <v>3129</v>
      </c>
      <c r="F65" t="s">
        <v>3088</v>
      </c>
      <c r="G65">
        <v>30</v>
      </c>
      <c r="H65">
        <v>1</v>
      </c>
      <c r="I65" t="s">
        <v>3118</v>
      </c>
      <c r="J65" t="s">
        <v>3119</v>
      </c>
      <c r="K65" t="s">
        <v>3120</v>
      </c>
      <c r="L65" t="s">
        <v>3121</v>
      </c>
      <c r="M65">
        <v>1</v>
      </c>
      <c r="N65">
        <v>30</v>
      </c>
      <c r="O65">
        <v>5</v>
      </c>
      <c r="P65" t="str">
        <f t="shared" si="1"/>
        <v>[(112,5)]</v>
      </c>
      <c r="Q65">
        <f t="shared" si="2"/>
        <v>6.6799999999999988</v>
      </c>
      <c r="X65" s="50">
        <v>2</v>
      </c>
      <c r="Y65" s="50">
        <f t="shared" si="20"/>
        <v>9</v>
      </c>
      <c r="Z65" s="50">
        <v>63</v>
      </c>
      <c r="AA65" s="50">
        <f t="shared" si="17"/>
        <v>7</v>
      </c>
      <c r="AB65" s="50">
        <f t="shared" si="15"/>
        <v>100</v>
      </c>
      <c r="AC65" s="50">
        <f t="shared" si="16"/>
        <v>985</v>
      </c>
      <c r="AD65" s="50">
        <f t="shared" si="18"/>
        <v>1411.5</v>
      </c>
      <c r="AE65" s="50">
        <f t="shared" si="19"/>
        <v>141</v>
      </c>
      <c r="AP65" s="7">
        <v>63</v>
      </c>
      <c r="AQ65" s="7">
        <v>630</v>
      </c>
    </row>
    <row r="66" spans="1:43" x14ac:dyDescent="0.15">
      <c r="A66">
        <v>1</v>
      </c>
      <c r="B66" t="s">
        <v>3113</v>
      </c>
      <c r="C66" t="s">
        <v>3122</v>
      </c>
      <c r="D66">
        <v>7</v>
      </c>
      <c r="E66" t="s">
        <v>3268</v>
      </c>
      <c r="F66" t="s">
        <v>3088</v>
      </c>
      <c r="G66">
        <v>8</v>
      </c>
      <c r="H66">
        <v>2</v>
      </c>
      <c r="I66" t="s">
        <v>3123</v>
      </c>
      <c r="J66" t="s">
        <v>3124</v>
      </c>
      <c r="K66" t="s">
        <v>3125</v>
      </c>
      <c r="L66" t="s">
        <v>3126</v>
      </c>
      <c r="M66">
        <v>1</v>
      </c>
      <c r="N66">
        <v>8</v>
      </c>
      <c r="O66">
        <v>10</v>
      </c>
      <c r="P66" t="str">
        <f t="shared" si="1"/>
        <v>[(112,10)]</v>
      </c>
      <c r="Q66">
        <f t="shared" si="2"/>
        <v>5.333333333333333</v>
      </c>
      <c r="X66" s="50">
        <v>2</v>
      </c>
      <c r="Y66" s="50">
        <f t="shared" si="20"/>
        <v>10</v>
      </c>
      <c r="Z66" s="50">
        <v>64</v>
      </c>
      <c r="AA66" s="50">
        <f t="shared" si="17"/>
        <v>1</v>
      </c>
      <c r="AB66" s="50">
        <f t="shared" si="15"/>
        <v>10</v>
      </c>
      <c r="AC66" s="50">
        <f t="shared" si="16"/>
        <v>995</v>
      </c>
      <c r="AD66" s="50">
        <f t="shared" si="18"/>
        <v>1457</v>
      </c>
      <c r="AE66" s="50">
        <f t="shared" si="19"/>
        <v>145</v>
      </c>
      <c r="AP66" s="7">
        <v>64</v>
      </c>
      <c r="AQ66" s="7">
        <v>640</v>
      </c>
    </row>
    <row r="67" spans="1:43" x14ac:dyDescent="0.15">
      <c r="A67">
        <v>1</v>
      </c>
      <c r="B67" t="s">
        <v>3231</v>
      </c>
      <c r="C67" t="s">
        <v>3256</v>
      </c>
      <c r="D67">
        <v>7</v>
      </c>
      <c r="E67" t="s">
        <v>1595</v>
      </c>
      <c r="F67" t="s">
        <v>3088</v>
      </c>
      <c r="G67">
        <v>3</v>
      </c>
      <c r="H67">
        <v>2</v>
      </c>
      <c r="I67" t="s">
        <v>3257</v>
      </c>
      <c r="J67" t="s">
        <v>3258</v>
      </c>
      <c r="K67" t="s">
        <v>3259</v>
      </c>
      <c r="L67" t="s">
        <v>3260</v>
      </c>
      <c r="M67">
        <v>0</v>
      </c>
      <c r="N67">
        <v>3</v>
      </c>
      <c r="O67">
        <v>5</v>
      </c>
      <c r="P67" t="str">
        <f t="shared" ref="P67:P129" si="21">"[("&amp;"112,"&amp;O67&amp;")]"</f>
        <v>[(112,5)]</v>
      </c>
      <c r="Q67">
        <f t="shared" ref="Q67:Q130" si="22">IF((N67/VLOOKUP(B67,AG:AJ,MATCH("单场参数换算",$AG$1:$AJ$1,0),FALSE))/($AN$2/$AN$1)&gt;7,7,(N67/VLOOKUP(B67,AG:AJ,MATCH("单场参数换算",$AG$1:$AJ$1,0),FALSE))/($AN$2/$AN$1))</f>
        <v>3</v>
      </c>
      <c r="X67" s="50">
        <v>2</v>
      </c>
      <c r="Y67" s="50">
        <f t="shared" si="20"/>
        <v>10</v>
      </c>
      <c r="Z67" s="50">
        <v>65</v>
      </c>
      <c r="AA67" s="50">
        <f t="shared" si="17"/>
        <v>2</v>
      </c>
      <c r="AB67" s="50">
        <f t="shared" ref="AB67:AB72" si="23">SUMIFS(O:O,A:A,X67,D:D,Y67,Q:Q,"&lt;="&amp;AA67)</f>
        <v>35</v>
      </c>
      <c r="AC67" s="50">
        <f t="shared" ref="AC67:AC72" si="24">IF(Y67=1,AB67,SUMIFS(AB:AB,Y:Y,"&lt;"&amp;Y67,AA:AA,7)+AB67)</f>
        <v>1020</v>
      </c>
      <c r="AD67" s="50">
        <f t="shared" si="18"/>
        <v>1487.5</v>
      </c>
      <c r="AE67" s="50">
        <f t="shared" si="19"/>
        <v>148</v>
      </c>
      <c r="AP67" s="7">
        <v>65</v>
      </c>
      <c r="AQ67" s="7">
        <v>650</v>
      </c>
    </row>
    <row r="68" spans="1:43" x14ac:dyDescent="0.15">
      <c r="A68">
        <v>1</v>
      </c>
      <c r="B68" t="s">
        <v>3239</v>
      </c>
      <c r="C68" t="s">
        <v>3288</v>
      </c>
      <c r="D68">
        <v>7</v>
      </c>
      <c r="E68" t="s">
        <v>3117</v>
      </c>
      <c r="F68" t="s">
        <v>3234</v>
      </c>
      <c r="G68">
        <v>10</v>
      </c>
      <c r="H68">
        <v>2</v>
      </c>
      <c r="I68" t="s">
        <v>3289</v>
      </c>
      <c r="J68" t="s">
        <v>3290</v>
      </c>
      <c r="K68" t="s">
        <v>3291</v>
      </c>
      <c r="L68" t="s">
        <v>3292</v>
      </c>
      <c r="M68">
        <v>1</v>
      </c>
      <c r="N68">
        <v>10</v>
      </c>
      <c r="O68">
        <v>10</v>
      </c>
      <c r="P68" t="str">
        <f t="shared" si="21"/>
        <v>[(112,10)]</v>
      </c>
      <c r="Q68">
        <f t="shared" si="22"/>
        <v>2</v>
      </c>
      <c r="X68" s="50">
        <v>2</v>
      </c>
      <c r="Y68" s="50">
        <f t="shared" si="20"/>
        <v>10</v>
      </c>
      <c r="Z68" s="50">
        <v>66</v>
      </c>
      <c r="AA68" s="50">
        <f t="shared" si="17"/>
        <v>3</v>
      </c>
      <c r="AB68" s="50">
        <f t="shared" si="23"/>
        <v>45</v>
      </c>
      <c r="AC68" s="50">
        <f t="shared" si="24"/>
        <v>1030</v>
      </c>
      <c r="AD68" s="50">
        <f t="shared" si="18"/>
        <v>1503</v>
      </c>
      <c r="AE68" s="50">
        <f t="shared" si="19"/>
        <v>150</v>
      </c>
      <c r="AP68" s="7">
        <v>66</v>
      </c>
      <c r="AQ68" s="7">
        <v>660</v>
      </c>
    </row>
    <row r="69" spans="1:43" x14ac:dyDescent="0.15">
      <c r="A69">
        <v>1</v>
      </c>
      <c r="B69" t="s">
        <v>3232</v>
      </c>
      <c r="C69" t="s">
        <v>3233</v>
      </c>
      <c r="D69">
        <v>7</v>
      </c>
      <c r="E69" t="s">
        <v>3248</v>
      </c>
      <c r="F69" t="s">
        <v>3234</v>
      </c>
      <c r="G69">
        <v>5</v>
      </c>
      <c r="H69">
        <v>2</v>
      </c>
      <c r="I69" t="s">
        <v>3235</v>
      </c>
      <c r="J69" t="s">
        <v>3236</v>
      </c>
      <c r="K69" t="s">
        <v>3237</v>
      </c>
      <c r="L69" t="s">
        <v>3238</v>
      </c>
      <c r="M69">
        <v>1</v>
      </c>
      <c r="N69">
        <v>5</v>
      </c>
      <c r="O69">
        <v>15</v>
      </c>
      <c r="P69" t="str">
        <f t="shared" si="21"/>
        <v>[(112,15)]</v>
      </c>
      <c r="Q69">
        <f t="shared" si="22"/>
        <v>5</v>
      </c>
      <c r="X69" s="50">
        <v>2</v>
      </c>
      <c r="Y69" s="50">
        <f t="shared" si="20"/>
        <v>10</v>
      </c>
      <c r="Z69" s="50">
        <v>67</v>
      </c>
      <c r="AA69" s="50">
        <f t="shared" si="17"/>
        <v>4</v>
      </c>
      <c r="AB69" s="50">
        <f t="shared" si="23"/>
        <v>45</v>
      </c>
      <c r="AC69" s="50">
        <f t="shared" si="24"/>
        <v>1030</v>
      </c>
      <c r="AD69" s="50">
        <f t="shared" si="18"/>
        <v>1508.5</v>
      </c>
      <c r="AE69" s="50">
        <f t="shared" si="19"/>
        <v>150</v>
      </c>
      <c r="AP69" s="7">
        <v>67</v>
      </c>
      <c r="AQ69" s="7">
        <v>670</v>
      </c>
    </row>
    <row r="70" spans="1:43" x14ac:dyDescent="0.15">
      <c r="A70">
        <v>1</v>
      </c>
      <c r="B70" t="s">
        <v>3140</v>
      </c>
      <c r="C70" t="s">
        <v>3141</v>
      </c>
      <c r="D70">
        <v>7</v>
      </c>
      <c r="E70" t="s">
        <v>3117</v>
      </c>
      <c r="F70" t="s">
        <v>3088</v>
      </c>
      <c r="G70">
        <v>10</v>
      </c>
      <c r="H70">
        <v>2</v>
      </c>
      <c r="I70" t="s">
        <v>3293</v>
      </c>
      <c r="J70" t="s">
        <v>3294</v>
      </c>
      <c r="K70" t="s">
        <v>3144</v>
      </c>
      <c r="L70" t="s">
        <v>3145</v>
      </c>
      <c r="M70">
        <v>13</v>
      </c>
      <c r="N70">
        <v>10</v>
      </c>
      <c r="O70">
        <v>5</v>
      </c>
      <c r="P70" t="str">
        <f t="shared" si="21"/>
        <v>[(112,5)]</v>
      </c>
      <c r="Q70">
        <f t="shared" si="22"/>
        <v>5</v>
      </c>
      <c r="X70" s="50">
        <v>2</v>
      </c>
      <c r="Y70" s="50">
        <f t="shared" si="20"/>
        <v>10</v>
      </c>
      <c r="Z70" s="50">
        <v>68</v>
      </c>
      <c r="AA70" s="50">
        <f t="shared" si="17"/>
        <v>5</v>
      </c>
      <c r="AB70" s="50">
        <f t="shared" si="23"/>
        <v>50</v>
      </c>
      <c r="AC70" s="50">
        <f t="shared" si="24"/>
        <v>1035</v>
      </c>
      <c r="AD70" s="50">
        <f t="shared" si="18"/>
        <v>1519</v>
      </c>
      <c r="AE70" s="50">
        <f t="shared" si="19"/>
        <v>151</v>
      </c>
      <c r="AP70" s="7">
        <v>68</v>
      </c>
      <c r="AQ70" s="7">
        <v>680</v>
      </c>
    </row>
    <row r="71" spans="1:43" x14ac:dyDescent="0.15">
      <c r="A71">
        <v>1</v>
      </c>
      <c r="B71" t="s">
        <v>3216</v>
      </c>
      <c r="C71" t="s">
        <v>3295</v>
      </c>
      <c r="D71">
        <v>7</v>
      </c>
      <c r="E71" t="s">
        <v>3275</v>
      </c>
      <c r="F71" t="s">
        <v>3296</v>
      </c>
      <c r="G71">
        <v>1</v>
      </c>
      <c r="H71">
        <v>1</v>
      </c>
      <c r="I71" t="s">
        <v>3297</v>
      </c>
      <c r="J71" t="s">
        <v>3298</v>
      </c>
      <c r="K71" t="s">
        <v>3299</v>
      </c>
      <c r="L71" t="s">
        <v>3300</v>
      </c>
      <c r="M71">
        <v>1</v>
      </c>
      <c r="N71">
        <v>1</v>
      </c>
      <c r="O71">
        <v>20</v>
      </c>
      <c r="P71" t="str">
        <f t="shared" si="21"/>
        <v>[(112,20)]</v>
      </c>
      <c r="Q71">
        <f t="shared" si="22"/>
        <v>6.9999999999999991</v>
      </c>
      <c r="X71" s="50">
        <v>2</v>
      </c>
      <c r="Y71" s="50">
        <f t="shared" si="20"/>
        <v>10</v>
      </c>
      <c r="Z71" s="50">
        <v>69</v>
      </c>
      <c r="AA71" s="50">
        <f t="shared" si="17"/>
        <v>6</v>
      </c>
      <c r="AB71" s="50">
        <f t="shared" si="23"/>
        <v>80</v>
      </c>
      <c r="AC71" s="50">
        <f t="shared" si="24"/>
        <v>1065</v>
      </c>
      <c r="AD71" s="50">
        <f t="shared" si="18"/>
        <v>1554.5</v>
      </c>
      <c r="AE71" s="50">
        <f t="shared" si="19"/>
        <v>155</v>
      </c>
      <c r="AP71" s="7">
        <v>69</v>
      </c>
      <c r="AQ71" s="7">
        <v>690</v>
      </c>
    </row>
    <row r="72" spans="1:43" x14ac:dyDescent="0.15">
      <c r="A72">
        <v>1</v>
      </c>
      <c r="B72" t="s">
        <v>3223</v>
      </c>
      <c r="C72" t="s">
        <v>3301</v>
      </c>
      <c r="D72">
        <v>7</v>
      </c>
      <c r="E72" t="s">
        <v>3275</v>
      </c>
      <c r="F72" t="s">
        <v>3302</v>
      </c>
      <c r="G72">
        <v>1</v>
      </c>
      <c r="H72">
        <v>1</v>
      </c>
      <c r="I72" t="s">
        <v>3303</v>
      </c>
      <c r="J72" t="s">
        <v>3304</v>
      </c>
      <c r="K72" t="s">
        <v>3305</v>
      </c>
      <c r="L72" t="s">
        <v>3306</v>
      </c>
      <c r="M72">
        <v>1</v>
      </c>
      <c r="N72">
        <v>1</v>
      </c>
      <c r="O72">
        <v>20</v>
      </c>
      <c r="P72" t="str">
        <f t="shared" si="21"/>
        <v>[(112,20)]</v>
      </c>
      <c r="Q72">
        <f t="shared" si="22"/>
        <v>6.9999999999999991</v>
      </c>
      <c r="X72" s="50">
        <v>2</v>
      </c>
      <c r="Y72" s="50">
        <f t="shared" si="20"/>
        <v>10</v>
      </c>
      <c r="Z72" s="50">
        <v>70</v>
      </c>
      <c r="AA72" s="50">
        <f t="shared" si="17"/>
        <v>7</v>
      </c>
      <c r="AB72" s="50">
        <f t="shared" si="23"/>
        <v>110</v>
      </c>
      <c r="AC72" s="50">
        <f t="shared" si="24"/>
        <v>1095</v>
      </c>
      <c r="AD72" s="50">
        <f t="shared" si="18"/>
        <v>1590</v>
      </c>
      <c r="AE72" s="50">
        <f t="shared" si="19"/>
        <v>159</v>
      </c>
      <c r="AP72" s="7">
        <v>70</v>
      </c>
      <c r="AQ72" s="7">
        <v>700</v>
      </c>
    </row>
    <row r="73" spans="1:43" x14ac:dyDescent="0.15">
      <c r="A73">
        <v>1</v>
      </c>
      <c r="B73" t="s">
        <v>3240</v>
      </c>
      <c r="C73" t="s">
        <v>3307</v>
      </c>
      <c r="D73">
        <v>7</v>
      </c>
      <c r="E73" t="s">
        <v>1595</v>
      </c>
      <c r="F73" t="s">
        <v>3088</v>
      </c>
      <c r="G73">
        <v>3</v>
      </c>
      <c r="H73">
        <v>2</v>
      </c>
      <c r="I73" t="s">
        <v>3308</v>
      </c>
      <c r="J73" t="s">
        <v>3308</v>
      </c>
      <c r="K73" t="s">
        <v>3309</v>
      </c>
      <c r="L73" t="s">
        <v>3310</v>
      </c>
      <c r="M73">
        <v>1</v>
      </c>
      <c r="N73">
        <v>3</v>
      </c>
      <c r="O73">
        <v>10</v>
      </c>
      <c r="P73" t="str">
        <f t="shared" si="21"/>
        <v>[(112,10)]</v>
      </c>
      <c r="Q73">
        <f t="shared" si="22"/>
        <v>1.5</v>
      </c>
      <c r="Z73" s="50"/>
      <c r="AA73" s="50"/>
      <c r="AP73" s="7">
        <v>71</v>
      </c>
      <c r="AQ73" s="7">
        <v>710</v>
      </c>
    </row>
    <row r="74" spans="1:43" x14ac:dyDescent="0.15">
      <c r="A74">
        <v>1</v>
      </c>
      <c r="B74" t="s">
        <v>3197</v>
      </c>
      <c r="C74" t="s">
        <v>3198</v>
      </c>
      <c r="D74">
        <v>7</v>
      </c>
      <c r="E74" t="s">
        <v>3183</v>
      </c>
      <c r="F74" t="s">
        <v>3088</v>
      </c>
      <c r="G74">
        <v>15</v>
      </c>
      <c r="H74">
        <v>2</v>
      </c>
      <c r="I74" t="s">
        <v>3199</v>
      </c>
      <c r="J74" t="s">
        <v>3200</v>
      </c>
      <c r="K74" t="s">
        <v>3201</v>
      </c>
      <c r="L74" t="s">
        <v>3202</v>
      </c>
      <c r="M74">
        <v>17</v>
      </c>
      <c r="N74">
        <v>15</v>
      </c>
      <c r="O74">
        <v>10</v>
      </c>
      <c r="P74" t="str">
        <f t="shared" si="21"/>
        <v>[(112,10)]</v>
      </c>
      <c r="Q74">
        <f t="shared" si="22"/>
        <v>7</v>
      </c>
      <c r="AP74" s="7">
        <v>72</v>
      </c>
      <c r="AQ74" s="7">
        <v>720</v>
      </c>
    </row>
    <row r="75" spans="1:43" x14ac:dyDescent="0.15">
      <c r="A75">
        <v>1</v>
      </c>
      <c r="B75" t="s">
        <v>3085</v>
      </c>
      <c r="C75" t="s">
        <v>3086</v>
      </c>
      <c r="D75">
        <v>8</v>
      </c>
      <c r="E75" t="s">
        <v>3275</v>
      </c>
      <c r="F75" t="s">
        <v>3088</v>
      </c>
      <c r="G75">
        <v>20</v>
      </c>
      <c r="H75">
        <v>1</v>
      </c>
      <c r="I75" t="s">
        <v>3089</v>
      </c>
      <c r="J75" t="s">
        <v>3090</v>
      </c>
      <c r="K75" t="s">
        <v>3091</v>
      </c>
      <c r="L75" t="s">
        <v>3092</v>
      </c>
      <c r="M75">
        <v>7</v>
      </c>
      <c r="N75">
        <v>20</v>
      </c>
      <c r="O75">
        <v>5</v>
      </c>
      <c r="P75" t="str">
        <f t="shared" si="21"/>
        <v>[(112,5)]</v>
      </c>
      <c r="Q75">
        <f t="shared" si="22"/>
        <v>7</v>
      </c>
      <c r="AP75" s="7">
        <v>73</v>
      </c>
      <c r="AQ75" s="7">
        <v>730</v>
      </c>
    </row>
    <row r="76" spans="1:43" x14ac:dyDescent="0.15">
      <c r="A76">
        <v>1</v>
      </c>
      <c r="B76" t="s">
        <v>3161</v>
      </c>
      <c r="C76" t="s">
        <v>3162</v>
      </c>
      <c r="D76">
        <v>8</v>
      </c>
      <c r="E76" t="s">
        <v>1665</v>
      </c>
      <c r="F76" t="s">
        <v>3163</v>
      </c>
      <c r="G76">
        <v>100</v>
      </c>
      <c r="H76">
        <v>2</v>
      </c>
      <c r="I76" t="s">
        <v>3164</v>
      </c>
      <c r="J76" t="s">
        <v>3165</v>
      </c>
      <c r="K76" t="s">
        <v>3166</v>
      </c>
      <c r="L76" t="s">
        <v>3167</v>
      </c>
      <c r="M76">
        <v>1</v>
      </c>
      <c r="N76">
        <v>100</v>
      </c>
      <c r="O76">
        <v>10</v>
      </c>
      <c r="P76" t="str">
        <f t="shared" si="21"/>
        <v>[(112,10)]</v>
      </c>
      <c r="Q76">
        <f t="shared" si="22"/>
        <v>7</v>
      </c>
      <c r="AP76" s="7">
        <v>74</v>
      </c>
      <c r="AQ76" s="7">
        <v>740</v>
      </c>
    </row>
    <row r="77" spans="1:43" x14ac:dyDescent="0.15">
      <c r="A77">
        <v>1</v>
      </c>
      <c r="B77" t="s">
        <v>3169</v>
      </c>
      <c r="C77" t="s">
        <v>3170</v>
      </c>
      <c r="D77">
        <v>8</v>
      </c>
      <c r="E77" t="s">
        <v>3276</v>
      </c>
      <c r="F77" t="s">
        <v>3171</v>
      </c>
      <c r="G77">
        <v>10</v>
      </c>
      <c r="H77">
        <v>1</v>
      </c>
      <c r="I77" t="s">
        <v>3172</v>
      </c>
      <c r="J77" t="s">
        <v>3173</v>
      </c>
      <c r="K77" t="s">
        <v>3174</v>
      </c>
      <c r="L77" t="s">
        <v>3175</v>
      </c>
      <c r="M77">
        <v>1</v>
      </c>
      <c r="N77">
        <v>10</v>
      </c>
      <c r="O77">
        <v>15</v>
      </c>
      <c r="P77" t="str">
        <f t="shared" si="21"/>
        <v>[(112,15)]</v>
      </c>
      <c r="Q77">
        <f t="shared" si="22"/>
        <v>7</v>
      </c>
      <c r="AP77" s="7">
        <v>75</v>
      </c>
      <c r="AQ77" s="7">
        <v>750</v>
      </c>
    </row>
    <row r="78" spans="1:43" x14ac:dyDescent="0.15">
      <c r="A78">
        <v>1</v>
      </c>
      <c r="B78" t="s">
        <v>3176</v>
      </c>
      <c r="C78" t="s">
        <v>3177</v>
      </c>
      <c r="D78">
        <v>8</v>
      </c>
      <c r="E78" t="s">
        <v>3311</v>
      </c>
      <c r="F78" t="s">
        <v>3088</v>
      </c>
      <c r="G78">
        <v>1000</v>
      </c>
      <c r="H78">
        <v>1</v>
      </c>
      <c r="I78" t="s">
        <v>3178</v>
      </c>
      <c r="J78" t="s">
        <v>3179</v>
      </c>
      <c r="K78" t="s">
        <v>3180</v>
      </c>
      <c r="L78" t="s">
        <v>3181</v>
      </c>
      <c r="M78">
        <v>1</v>
      </c>
      <c r="N78">
        <v>1000</v>
      </c>
      <c r="O78">
        <v>5</v>
      </c>
      <c r="P78" t="str">
        <f t="shared" si="21"/>
        <v>[(112,5)]</v>
      </c>
      <c r="Q78">
        <f t="shared" si="22"/>
        <v>5.333333333333333</v>
      </c>
      <c r="AP78" s="7">
        <v>76</v>
      </c>
      <c r="AQ78" s="7">
        <v>760</v>
      </c>
    </row>
    <row r="79" spans="1:43" x14ac:dyDescent="0.15">
      <c r="A79">
        <v>1</v>
      </c>
      <c r="B79" t="s">
        <v>3127</v>
      </c>
      <c r="C79" t="s">
        <v>3128</v>
      </c>
      <c r="D79">
        <v>8</v>
      </c>
      <c r="E79" t="s">
        <v>1665</v>
      </c>
      <c r="F79" t="s">
        <v>3088</v>
      </c>
      <c r="G79">
        <v>100</v>
      </c>
      <c r="H79">
        <v>1</v>
      </c>
      <c r="I79" t="s">
        <v>3130</v>
      </c>
      <c r="J79" t="s">
        <v>3131</v>
      </c>
      <c r="K79" t="s">
        <v>3132</v>
      </c>
      <c r="L79" t="s">
        <v>3133</v>
      </c>
      <c r="M79">
        <v>1</v>
      </c>
      <c r="N79">
        <v>100</v>
      </c>
      <c r="O79">
        <v>10</v>
      </c>
      <c r="P79" t="str">
        <f t="shared" si="21"/>
        <v>[(112,10)]</v>
      </c>
      <c r="Q79">
        <f t="shared" si="22"/>
        <v>2.6666666666666665</v>
      </c>
      <c r="AP79" s="7">
        <v>77</v>
      </c>
      <c r="AQ79" s="7">
        <v>770</v>
      </c>
    </row>
    <row r="80" spans="1:43" x14ac:dyDescent="0.15">
      <c r="A80">
        <v>1</v>
      </c>
      <c r="B80" t="s">
        <v>3224</v>
      </c>
      <c r="C80" t="s">
        <v>3225</v>
      </c>
      <c r="D80">
        <v>8</v>
      </c>
      <c r="E80" t="s">
        <v>3226</v>
      </c>
      <c r="F80" t="s">
        <v>3088</v>
      </c>
      <c r="G80">
        <v>20000</v>
      </c>
      <c r="H80">
        <v>2</v>
      </c>
      <c r="I80" t="s">
        <v>3227</v>
      </c>
      <c r="J80" t="s">
        <v>3228</v>
      </c>
      <c r="K80" t="s">
        <v>3229</v>
      </c>
      <c r="L80" t="s">
        <v>3230</v>
      </c>
      <c r="M80">
        <v>17</v>
      </c>
      <c r="N80">
        <v>20000</v>
      </c>
      <c r="O80">
        <v>5</v>
      </c>
      <c r="P80" t="str">
        <f t="shared" si="21"/>
        <v>[(112,5)]</v>
      </c>
      <c r="Q80">
        <f t="shared" si="22"/>
        <v>5</v>
      </c>
      <c r="AP80" s="7">
        <v>78</v>
      </c>
      <c r="AQ80" s="7">
        <v>780</v>
      </c>
    </row>
    <row r="81" spans="1:43" x14ac:dyDescent="0.15">
      <c r="A81">
        <v>1</v>
      </c>
      <c r="B81" t="s">
        <v>3246</v>
      </c>
      <c r="C81" t="s">
        <v>3250</v>
      </c>
      <c r="D81">
        <v>8</v>
      </c>
      <c r="E81" t="s">
        <v>3251</v>
      </c>
      <c r="F81" t="s">
        <v>3088</v>
      </c>
      <c r="G81">
        <v>500</v>
      </c>
      <c r="H81">
        <v>1</v>
      </c>
      <c r="I81" t="s">
        <v>3252</v>
      </c>
      <c r="J81" t="s">
        <v>3253</v>
      </c>
      <c r="K81" t="s">
        <v>3254</v>
      </c>
      <c r="L81" t="s">
        <v>3255</v>
      </c>
      <c r="M81">
        <v>17</v>
      </c>
      <c r="N81">
        <v>500</v>
      </c>
      <c r="O81">
        <v>15</v>
      </c>
      <c r="P81" t="str">
        <f t="shared" si="21"/>
        <v>[(112,15)]</v>
      </c>
      <c r="Q81">
        <f t="shared" si="22"/>
        <v>5</v>
      </c>
      <c r="AP81" s="7">
        <v>79</v>
      </c>
      <c r="AQ81" s="7">
        <v>790</v>
      </c>
    </row>
    <row r="82" spans="1:43" x14ac:dyDescent="0.15">
      <c r="A82">
        <v>1</v>
      </c>
      <c r="B82" t="s">
        <v>3239</v>
      </c>
      <c r="C82" t="s">
        <v>3288</v>
      </c>
      <c r="D82">
        <v>8</v>
      </c>
      <c r="E82" t="s">
        <v>3129</v>
      </c>
      <c r="F82" t="s">
        <v>3234</v>
      </c>
      <c r="G82">
        <v>30</v>
      </c>
      <c r="H82">
        <v>2</v>
      </c>
      <c r="I82" t="s">
        <v>3289</v>
      </c>
      <c r="J82" t="s">
        <v>3290</v>
      </c>
      <c r="K82" t="s">
        <v>3291</v>
      </c>
      <c r="L82" t="s">
        <v>3292</v>
      </c>
      <c r="M82">
        <v>1</v>
      </c>
      <c r="N82">
        <v>30</v>
      </c>
      <c r="O82">
        <v>10</v>
      </c>
      <c r="P82" t="str">
        <f t="shared" si="21"/>
        <v>[(112,10)]</v>
      </c>
      <c r="Q82">
        <f t="shared" si="22"/>
        <v>6</v>
      </c>
      <c r="AP82" s="7">
        <v>80</v>
      </c>
      <c r="AQ82" s="7">
        <v>800</v>
      </c>
    </row>
    <row r="83" spans="1:43" x14ac:dyDescent="0.15">
      <c r="A83">
        <v>1</v>
      </c>
      <c r="B83" t="s">
        <v>3140</v>
      </c>
      <c r="C83" t="s">
        <v>3141</v>
      </c>
      <c r="D83">
        <v>8</v>
      </c>
      <c r="E83" t="s">
        <v>3117</v>
      </c>
      <c r="F83" t="s">
        <v>3088</v>
      </c>
      <c r="G83">
        <v>10</v>
      </c>
      <c r="H83">
        <v>2</v>
      </c>
      <c r="I83" t="s">
        <v>3293</v>
      </c>
      <c r="J83" t="s">
        <v>3294</v>
      </c>
      <c r="K83" t="s">
        <v>3144</v>
      </c>
      <c r="L83" t="s">
        <v>3145</v>
      </c>
      <c r="M83">
        <v>13</v>
      </c>
      <c r="N83">
        <v>10</v>
      </c>
      <c r="O83">
        <v>5</v>
      </c>
      <c r="P83" t="str">
        <f t="shared" si="21"/>
        <v>[(112,5)]</v>
      </c>
      <c r="Q83">
        <f t="shared" si="22"/>
        <v>5</v>
      </c>
      <c r="AP83" s="7">
        <v>81</v>
      </c>
      <c r="AQ83" s="7">
        <v>810</v>
      </c>
    </row>
    <row r="84" spans="1:43" x14ac:dyDescent="0.15">
      <c r="A84">
        <v>1</v>
      </c>
      <c r="B84" t="s">
        <v>3216</v>
      </c>
      <c r="C84" t="s">
        <v>3295</v>
      </c>
      <c r="D84">
        <v>8</v>
      </c>
      <c r="E84" t="s">
        <v>3275</v>
      </c>
      <c r="F84" t="s">
        <v>3296</v>
      </c>
      <c r="G84">
        <v>1</v>
      </c>
      <c r="H84">
        <v>1</v>
      </c>
      <c r="I84" t="s">
        <v>3297</v>
      </c>
      <c r="J84" t="s">
        <v>3298</v>
      </c>
      <c r="K84" t="s">
        <v>3299</v>
      </c>
      <c r="L84" t="s">
        <v>3300</v>
      </c>
      <c r="M84">
        <v>1</v>
      </c>
      <c r="N84">
        <v>1</v>
      </c>
      <c r="O84">
        <v>20</v>
      </c>
      <c r="P84" t="str">
        <f t="shared" si="21"/>
        <v>[(112,20)]</v>
      </c>
      <c r="Q84">
        <f t="shared" si="22"/>
        <v>6.9999999999999991</v>
      </c>
      <c r="AP84" s="7">
        <v>82</v>
      </c>
      <c r="AQ84" s="7">
        <v>820</v>
      </c>
    </row>
    <row r="85" spans="1:43" x14ac:dyDescent="0.15">
      <c r="A85">
        <v>1</v>
      </c>
      <c r="B85" t="s">
        <v>3106</v>
      </c>
      <c r="C85" t="s">
        <v>3107</v>
      </c>
      <c r="D85">
        <v>9</v>
      </c>
      <c r="E85" t="s">
        <v>1595</v>
      </c>
      <c r="F85" t="s">
        <v>3312</v>
      </c>
      <c r="G85">
        <v>1</v>
      </c>
      <c r="H85">
        <v>1</v>
      </c>
      <c r="I85" t="s">
        <v>3109</v>
      </c>
      <c r="J85" t="s">
        <v>3110</v>
      </c>
      <c r="K85" t="s">
        <v>3111</v>
      </c>
      <c r="L85" t="s">
        <v>3112</v>
      </c>
      <c r="M85">
        <v>1</v>
      </c>
      <c r="N85">
        <v>1</v>
      </c>
      <c r="O85">
        <v>5</v>
      </c>
      <c r="P85" t="str">
        <f t="shared" si="21"/>
        <v>[(112,5)]</v>
      </c>
      <c r="Q85">
        <f t="shared" si="22"/>
        <v>6.9999999999999991</v>
      </c>
      <c r="AP85" s="7">
        <v>83</v>
      </c>
      <c r="AQ85" s="7">
        <v>830</v>
      </c>
    </row>
    <row r="86" spans="1:43" x14ac:dyDescent="0.15">
      <c r="A86">
        <v>1</v>
      </c>
      <c r="B86" t="s">
        <v>3115</v>
      </c>
      <c r="C86" t="s">
        <v>3116</v>
      </c>
      <c r="D86">
        <v>9</v>
      </c>
      <c r="E86" t="s">
        <v>3129</v>
      </c>
      <c r="F86" t="s">
        <v>3088</v>
      </c>
      <c r="G86">
        <v>30</v>
      </c>
      <c r="H86">
        <v>1</v>
      </c>
      <c r="I86" t="s">
        <v>3118</v>
      </c>
      <c r="J86" t="s">
        <v>3119</v>
      </c>
      <c r="K86" t="s">
        <v>3120</v>
      </c>
      <c r="L86" t="s">
        <v>3121</v>
      </c>
      <c r="M86">
        <v>1</v>
      </c>
      <c r="N86">
        <v>30</v>
      </c>
      <c r="O86">
        <v>5</v>
      </c>
      <c r="P86" t="str">
        <f t="shared" si="21"/>
        <v>[(112,5)]</v>
      </c>
      <c r="Q86">
        <f t="shared" si="22"/>
        <v>6.6799999999999988</v>
      </c>
      <c r="AP86" s="7">
        <v>84</v>
      </c>
      <c r="AQ86" s="7">
        <v>840</v>
      </c>
    </row>
    <row r="87" spans="1:43" x14ac:dyDescent="0.15">
      <c r="A87">
        <v>1</v>
      </c>
      <c r="B87" t="s">
        <v>3113</v>
      </c>
      <c r="C87" t="s">
        <v>3122</v>
      </c>
      <c r="D87">
        <v>9</v>
      </c>
      <c r="E87" t="s">
        <v>3268</v>
      </c>
      <c r="F87" t="s">
        <v>3088</v>
      </c>
      <c r="G87">
        <v>8</v>
      </c>
      <c r="H87">
        <v>2</v>
      </c>
      <c r="I87" t="s">
        <v>3123</v>
      </c>
      <c r="J87" t="s">
        <v>3124</v>
      </c>
      <c r="K87" t="s">
        <v>3125</v>
      </c>
      <c r="L87" t="s">
        <v>3126</v>
      </c>
      <c r="M87">
        <v>1</v>
      </c>
      <c r="N87">
        <v>8</v>
      </c>
      <c r="O87">
        <v>10</v>
      </c>
      <c r="P87" t="str">
        <f t="shared" si="21"/>
        <v>[(112,10)]</v>
      </c>
      <c r="Q87">
        <f t="shared" si="22"/>
        <v>5.333333333333333</v>
      </c>
      <c r="AP87" s="7">
        <v>85</v>
      </c>
      <c r="AQ87" s="7">
        <v>850</v>
      </c>
    </row>
    <row r="88" spans="1:43" x14ac:dyDescent="0.15">
      <c r="A88">
        <v>1</v>
      </c>
      <c r="B88" t="s">
        <v>3249</v>
      </c>
      <c r="C88" t="s">
        <v>3313</v>
      </c>
      <c r="D88">
        <v>9</v>
      </c>
      <c r="E88" t="s">
        <v>1595</v>
      </c>
      <c r="F88" t="s">
        <v>3088</v>
      </c>
      <c r="G88">
        <v>3</v>
      </c>
      <c r="H88">
        <v>2</v>
      </c>
      <c r="I88" t="s">
        <v>3314</v>
      </c>
      <c r="J88" t="s">
        <v>3315</v>
      </c>
      <c r="K88" t="s">
        <v>3316</v>
      </c>
      <c r="L88" t="s">
        <v>3317</v>
      </c>
      <c r="M88">
        <v>15</v>
      </c>
      <c r="N88">
        <v>3</v>
      </c>
      <c r="O88">
        <v>20</v>
      </c>
      <c r="P88" t="str">
        <f t="shared" si="21"/>
        <v>[(112,20)]</v>
      </c>
      <c r="Q88">
        <f t="shared" si="22"/>
        <v>7</v>
      </c>
      <c r="AP88" s="7">
        <v>86</v>
      </c>
      <c r="AQ88" s="7">
        <v>860</v>
      </c>
    </row>
    <row r="89" spans="1:43" x14ac:dyDescent="0.15">
      <c r="A89">
        <v>1</v>
      </c>
      <c r="B89" t="s">
        <v>3217</v>
      </c>
      <c r="C89" t="s">
        <v>3218</v>
      </c>
      <c r="D89">
        <v>9</v>
      </c>
      <c r="E89" t="s">
        <v>3275</v>
      </c>
      <c r="F89" t="s">
        <v>3088</v>
      </c>
      <c r="G89">
        <v>20</v>
      </c>
      <c r="H89">
        <v>1</v>
      </c>
      <c r="I89" t="s">
        <v>3219</v>
      </c>
      <c r="J89" t="s">
        <v>3220</v>
      </c>
      <c r="K89" t="s">
        <v>3221</v>
      </c>
      <c r="L89" t="s">
        <v>3222</v>
      </c>
      <c r="M89">
        <v>11</v>
      </c>
      <c r="N89">
        <v>20</v>
      </c>
      <c r="O89">
        <v>15</v>
      </c>
      <c r="P89" t="str">
        <f t="shared" si="21"/>
        <v>[(112,15)]</v>
      </c>
      <c r="Q89">
        <f t="shared" si="22"/>
        <v>5</v>
      </c>
      <c r="AP89" s="7">
        <v>87</v>
      </c>
      <c r="AQ89" s="7">
        <v>870</v>
      </c>
    </row>
    <row r="90" spans="1:43" x14ac:dyDescent="0.15">
      <c r="A90">
        <v>1</v>
      </c>
      <c r="B90" t="s">
        <v>3231</v>
      </c>
      <c r="C90" t="s">
        <v>3256</v>
      </c>
      <c r="D90">
        <v>9</v>
      </c>
      <c r="E90" t="s">
        <v>3097</v>
      </c>
      <c r="F90" t="s">
        <v>3088</v>
      </c>
      <c r="G90">
        <v>4</v>
      </c>
      <c r="H90">
        <v>2</v>
      </c>
      <c r="I90" t="s">
        <v>3257</v>
      </c>
      <c r="J90" t="s">
        <v>3258</v>
      </c>
      <c r="K90" t="s">
        <v>3259</v>
      </c>
      <c r="L90" t="s">
        <v>3260</v>
      </c>
      <c r="M90">
        <v>0</v>
      </c>
      <c r="N90">
        <v>4</v>
      </c>
      <c r="O90">
        <v>5</v>
      </c>
      <c r="P90" t="str">
        <f t="shared" si="21"/>
        <v>[(112,5)]</v>
      </c>
      <c r="Q90">
        <f t="shared" si="22"/>
        <v>4</v>
      </c>
      <c r="AP90" s="7">
        <v>88</v>
      </c>
      <c r="AQ90" s="7">
        <v>880</v>
      </c>
    </row>
    <row r="91" spans="1:43" x14ac:dyDescent="0.15">
      <c r="A91">
        <v>1</v>
      </c>
      <c r="B91" t="s">
        <v>3239</v>
      </c>
      <c r="C91" t="s">
        <v>3288</v>
      </c>
      <c r="D91">
        <v>9</v>
      </c>
      <c r="E91" t="s">
        <v>3129</v>
      </c>
      <c r="F91" t="s">
        <v>3234</v>
      </c>
      <c r="G91">
        <v>30</v>
      </c>
      <c r="H91">
        <v>2</v>
      </c>
      <c r="I91" t="s">
        <v>3289</v>
      </c>
      <c r="J91" t="s">
        <v>3290</v>
      </c>
      <c r="K91" t="s">
        <v>3291</v>
      </c>
      <c r="L91" t="s">
        <v>3292</v>
      </c>
      <c r="M91">
        <v>1</v>
      </c>
      <c r="N91">
        <v>30</v>
      </c>
      <c r="O91">
        <v>10</v>
      </c>
      <c r="P91" t="str">
        <f t="shared" si="21"/>
        <v>[(112,10)]</v>
      </c>
      <c r="Q91">
        <f t="shared" si="22"/>
        <v>6</v>
      </c>
      <c r="AP91" s="7">
        <v>89</v>
      </c>
      <c r="AQ91" s="7">
        <v>890</v>
      </c>
    </row>
    <row r="92" spans="1:43" x14ac:dyDescent="0.15">
      <c r="A92">
        <v>1</v>
      </c>
      <c r="B92" t="s">
        <v>3140</v>
      </c>
      <c r="C92" t="s">
        <v>3141</v>
      </c>
      <c r="D92">
        <v>9</v>
      </c>
      <c r="E92" t="s">
        <v>3117</v>
      </c>
      <c r="F92" t="s">
        <v>3088</v>
      </c>
      <c r="G92">
        <v>10</v>
      </c>
      <c r="H92">
        <v>2</v>
      </c>
      <c r="I92" t="s">
        <v>3293</v>
      </c>
      <c r="J92" t="s">
        <v>3294</v>
      </c>
      <c r="K92" t="s">
        <v>3144</v>
      </c>
      <c r="L92" t="s">
        <v>3145</v>
      </c>
      <c r="M92">
        <v>13</v>
      </c>
      <c r="N92">
        <v>10</v>
      </c>
      <c r="O92">
        <v>5</v>
      </c>
      <c r="P92" t="str">
        <f t="shared" si="21"/>
        <v>[(112,5)]</v>
      </c>
      <c r="Q92">
        <f t="shared" si="22"/>
        <v>5</v>
      </c>
      <c r="AP92" s="7">
        <v>90</v>
      </c>
      <c r="AQ92" s="7">
        <v>900</v>
      </c>
    </row>
    <row r="93" spans="1:43" x14ac:dyDescent="0.15">
      <c r="A93">
        <v>1</v>
      </c>
      <c r="B93" t="s">
        <v>3240</v>
      </c>
      <c r="C93" t="s">
        <v>3307</v>
      </c>
      <c r="D93">
        <v>9</v>
      </c>
      <c r="E93" t="s">
        <v>3183</v>
      </c>
      <c r="F93" t="s">
        <v>3088</v>
      </c>
      <c r="G93">
        <v>15</v>
      </c>
      <c r="H93">
        <v>2</v>
      </c>
      <c r="I93" t="s">
        <v>3308</v>
      </c>
      <c r="J93" t="s">
        <v>3308</v>
      </c>
      <c r="K93" t="s">
        <v>3309</v>
      </c>
      <c r="L93" t="s">
        <v>3310</v>
      </c>
      <c r="M93">
        <v>1</v>
      </c>
      <c r="N93">
        <v>15</v>
      </c>
      <c r="O93">
        <v>10</v>
      </c>
      <c r="P93" t="str">
        <f t="shared" si="21"/>
        <v>[(112,10)]</v>
      </c>
      <c r="Q93">
        <f t="shared" si="22"/>
        <v>7</v>
      </c>
      <c r="AP93" s="7">
        <v>91</v>
      </c>
      <c r="AQ93" s="7">
        <v>910</v>
      </c>
    </row>
    <row r="94" spans="1:43" x14ac:dyDescent="0.15">
      <c r="A94">
        <v>1</v>
      </c>
      <c r="B94" t="s">
        <v>3103</v>
      </c>
      <c r="C94" t="s">
        <v>3203</v>
      </c>
      <c r="D94">
        <v>9</v>
      </c>
      <c r="E94" t="s">
        <v>3275</v>
      </c>
      <c r="F94" t="s">
        <v>3088</v>
      </c>
      <c r="G94">
        <v>20</v>
      </c>
      <c r="H94">
        <v>1</v>
      </c>
      <c r="I94" t="s">
        <v>3204</v>
      </c>
      <c r="J94" t="s">
        <v>3205</v>
      </c>
      <c r="K94" t="s">
        <v>3751</v>
      </c>
      <c r="L94" t="s">
        <v>3750</v>
      </c>
      <c r="M94">
        <v>16</v>
      </c>
      <c r="N94">
        <v>20</v>
      </c>
      <c r="O94">
        <v>10</v>
      </c>
      <c r="P94" t="str">
        <f t="shared" si="21"/>
        <v>[(112,10)]</v>
      </c>
      <c r="Q94">
        <f t="shared" si="22"/>
        <v>7</v>
      </c>
      <c r="AP94" s="7">
        <v>92</v>
      </c>
      <c r="AQ94" s="7">
        <v>920</v>
      </c>
    </row>
    <row r="95" spans="1:43" x14ac:dyDescent="0.15">
      <c r="A95">
        <v>1</v>
      </c>
      <c r="B95" t="s">
        <v>3075</v>
      </c>
      <c r="C95" t="s">
        <v>3076</v>
      </c>
      <c r="D95">
        <v>10</v>
      </c>
      <c r="E95" t="s">
        <v>1595</v>
      </c>
      <c r="F95" t="s">
        <v>3077</v>
      </c>
      <c r="G95">
        <v>1</v>
      </c>
      <c r="H95">
        <v>1</v>
      </c>
      <c r="I95" t="s">
        <v>3078</v>
      </c>
      <c r="J95" t="s">
        <v>3079</v>
      </c>
      <c r="K95" t="s">
        <v>3080</v>
      </c>
      <c r="L95" t="s">
        <v>3081</v>
      </c>
      <c r="M95">
        <v>1</v>
      </c>
      <c r="N95">
        <v>1</v>
      </c>
      <c r="O95">
        <v>15</v>
      </c>
      <c r="P95" t="str">
        <f t="shared" si="21"/>
        <v>[(112,15)]</v>
      </c>
      <c r="Q95">
        <f t="shared" si="22"/>
        <v>2</v>
      </c>
      <c r="AP95" s="7">
        <v>93</v>
      </c>
      <c r="AQ95" s="7">
        <v>930</v>
      </c>
    </row>
    <row r="96" spans="1:43" x14ac:dyDescent="0.15">
      <c r="A96">
        <v>1</v>
      </c>
      <c r="B96" t="s">
        <v>3085</v>
      </c>
      <c r="C96" t="s">
        <v>3086</v>
      </c>
      <c r="D96">
        <v>10</v>
      </c>
      <c r="E96" t="s">
        <v>3275</v>
      </c>
      <c r="F96" t="s">
        <v>3088</v>
      </c>
      <c r="G96">
        <v>20</v>
      </c>
      <c r="H96">
        <v>1</v>
      </c>
      <c r="I96" t="s">
        <v>3089</v>
      </c>
      <c r="J96" t="s">
        <v>3090</v>
      </c>
      <c r="K96" t="s">
        <v>3091</v>
      </c>
      <c r="L96" t="s">
        <v>3092</v>
      </c>
      <c r="M96">
        <v>7</v>
      </c>
      <c r="N96">
        <v>20</v>
      </c>
      <c r="O96">
        <v>5</v>
      </c>
      <c r="P96" t="str">
        <f t="shared" si="21"/>
        <v>[(112,5)]</v>
      </c>
      <c r="Q96">
        <f t="shared" si="22"/>
        <v>7</v>
      </c>
      <c r="AP96" s="7">
        <v>94</v>
      </c>
      <c r="AQ96" s="7">
        <v>940</v>
      </c>
    </row>
    <row r="97" spans="1:43" x14ac:dyDescent="0.15">
      <c r="A97">
        <v>1</v>
      </c>
      <c r="B97" t="s">
        <v>3161</v>
      </c>
      <c r="C97" t="s">
        <v>3162</v>
      </c>
      <c r="D97">
        <v>10</v>
      </c>
      <c r="E97" t="s">
        <v>1665</v>
      </c>
      <c r="F97" t="s">
        <v>3163</v>
      </c>
      <c r="G97">
        <v>100</v>
      </c>
      <c r="H97">
        <v>2</v>
      </c>
      <c r="I97" t="s">
        <v>3164</v>
      </c>
      <c r="J97" t="s">
        <v>3165</v>
      </c>
      <c r="K97" t="s">
        <v>3166</v>
      </c>
      <c r="L97" t="s">
        <v>3167</v>
      </c>
      <c r="M97">
        <v>1</v>
      </c>
      <c r="N97">
        <v>100</v>
      </c>
      <c r="O97">
        <v>10</v>
      </c>
      <c r="P97" t="str">
        <f t="shared" si="21"/>
        <v>[(112,10)]</v>
      </c>
      <c r="Q97">
        <f t="shared" si="22"/>
        <v>7</v>
      </c>
      <c r="AP97" s="7">
        <v>95</v>
      </c>
      <c r="AQ97" s="7">
        <v>950</v>
      </c>
    </row>
    <row r="98" spans="1:43" x14ac:dyDescent="0.15">
      <c r="A98">
        <v>1</v>
      </c>
      <c r="B98" t="s">
        <v>3176</v>
      </c>
      <c r="C98" t="s">
        <v>3177</v>
      </c>
      <c r="D98">
        <v>10</v>
      </c>
      <c r="E98" t="s">
        <v>3311</v>
      </c>
      <c r="F98" t="s">
        <v>3088</v>
      </c>
      <c r="G98">
        <v>1000</v>
      </c>
      <c r="H98">
        <v>1</v>
      </c>
      <c r="I98" t="s">
        <v>3178</v>
      </c>
      <c r="J98" t="s">
        <v>3179</v>
      </c>
      <c r="K98" t="s">
        <v>3180</v>
      </c>
      <c r="L98" t="s">
        <v>3181</v>
      </c>
      <c r="M98">
        <v>1</v>
      </c>
      <c r="N98">
        <v>1000</v>
      </c>
      <c r="O98">
        <v>5</v>
      </c>
      <c r="P98" t="str">
        <f t="shared" si="21"/>
        <v>[(112,5)]</v>
      </c>
      <c r="Q98">
        <f t="shared" si="22"/>
        <v>5.333333333333333</v>
      </c>
      <c r="AP98" s="7">
        <v>96</v>
      </c>
      <c r="AQ98" s="7">
        <v>960</v>
      </c>
    </row>
    <row r="99" spans="1:43" x14ac:dyDescent="0.15">
      <c r="A99">
        <v>1</v>
      </c>
      <c r="B99" t="s">
        <v>3113</v>
      </c>
      <c r="C99" t="s">
        <v>3122</v>
      </c>
      <c r="D99">
        <v>10</v>
      </c>
      <c r="E99" t="s">
        <v>3268</v>
      </c>
      <c r="F99" t="s">
        <v>3088</v>
      </c>
      <c r="G99">
        <v>8</v>
      </c>
      <c r="H99">
        <v>2</v>
      </c>
      <c r="I99" t="s">
        <v>3123</v>
      </c>
      <c r="J99" t="s">
        <v>3124</v>
      </c>
      <c r="K99" t="s">
        <v>3125</v>
      </c>
      <c r="L99" t="s">
        <v>3126</v>
      </c>
      <c r="M99">
        <v>1</v>
      </c>
      <c r="N99">
        <v>8</v>
      </c>
      <c r="O99">
        <v>10</v>
      </c>
      <c r="P99" t="str">
        <f t="shared" si="21"/>
        <v>[(112,10)]</v>
      </c>
      <c r="Q99">
        <f t="shared" si="22"/>
        <v>5.333333333333333</v>
      </c>
      <c r="AP99" s="7">
        <v>97</v>
      </c>
      <c r="AQ99" s="7">
        <v>970</v>
      </c>
    </row>
    <row r="100" spans="1:43" x14ac:dyDescent="0.15">
      <c r="A100">
        <v>1</v>
      </c>
      <c r="B100" t="s">
        <v>3127</v>
      </c>
      <c r="C100" t="s">
        <v>3128</v>
      </c>
      <c r="D100">
        <v>10</v>
      </c>
      <c r="E100" t="s">
        <v>1665</v>
      </c>
      <c r="F100" t="s">
        <v>3088</v>
      </c>
      <c r="G100">
        <v>100</v>
      </c>
      <c r="H100">
        <v>1</v>
      </c>
      <c r="I100" t="s">
        <v>3130</v>
      </c>
      <c r="J100" t="s">
        <v>3131</v>
      </c>
      <c r="K100" t="s">
        <v>3132</v>
      </c>
      <c r="L100" t="s">
        <v>3133</v>
      </c>
      <c r="M100">
        <v>1</v>
      </c>
      <c r="N100">
        <v>100</v>
      </c>
      <c r="O100">
        <v>10</v>
      </c>
      <c r="P100" t="str">
        <f t="shared" si="21"/>
        <v>[(112,10)]</v>
      </c>
      <c r="Q100">
        <f t="shared" si="22"/>
        <v>2.6666666666666665</v>
      </c>
      <c r="AP100" s="7">
        <v>98</v>
      </c>
      <c r="AQ100" s="7">
        <v>980</v>
      </c>
    </row>
    <row r="101" spans="1:43" x14ac:dyDescent="0.15">
      <c r="A101">
        <v>1</v>
      </c>
      <c r="B101" t="s">
        <v>3224</v>
      </c>
      <c r="C101" t="s">
        <v>3225</v>
      </c>
      <c r="D101">
        <v>10</v>
      </c>
      <c r="E101" t="s">
        <v>3226</v>
      </c>
      <c r="F101" t="s">
        <v>3088</v>
      </c>
      <c r="G101">
        <v>20000</v>
      </c>
      <c r="H101">
        <v>2</v>
      </c>
      <c r="I101" t="s">
        <v>3227</v>
      </c>
      <c r="J101" t="s">
        <v>3228</v>
      </c>
      <c r="K101" t="s">
        <v>3229</v>
      </c>
      <c r="L101" t="s">
        <v>3230</v>
      </c>
      <c r="M101">
        <v>17</v>
      </c>
      <c r="N101">
        <v>20000</v>
      </c>
      <c r="O101">
        <v>5</v>
      </c>
      <c r="P101" t="str">
        <f t="shared" si="21"/>
        <v>[(112,5)]</v>
      </c>
      <c r="Q101">
        <f t="shared" si="22"/>
        <v>5</v>
      </c>
      <c r="AP101" s="7">
        <v>99</v>
      </c>
      <c r="AQ101" s="7">
        <v>990</v>
      </c>
    </row>
    <row r="102" spans="1:43" x14ac:dyDescent="0.15">
      <c r="A102">
        <v>1</v>
      </c>
      <c r="B102" t="s">
        <v>3232</v>
      </c>
      <c r="C102" t="s">
        <v>3233</v>
      </c>
      <c r="D102">
        <v>10</v>
      </c>
      <c r="E102" t="s">
        <v>3275</v>
      </c>
      <c r="F102" t="s">
        <v>3234</v>
      </c>
      <c r="G102">
        <v>20</v>
      </c>
      <c r="H102">
        <v>2</v>
      </c>
      <c r="I102" t="s">
        <v>3235</v>
      </c>
      <c r="J102" t="s">
        <v>3236</v>
      </c>
      <c r="K102" t="s">
        <v>3237</v>
      </c>
      <c r="L102" t="s">
        <v>3238</v>
      </c>
      <c r="M102">
        <v>1</v>
      </c>
      <c r="N102">
        <v>20</v>
      </c>
      <c r="O102">
        <v>15</v>
      </c>
      <c r="P102" t="str">
        <f t="shared" si="21"/>
        <v>[(112,15)]</v>
      </c>
      <c r="Q102">
        <f t="shared" si="22"/>
        <v>7</v>
      </c>
      <c r="AP102" s="7">
        <v>100</v>
      </c>
      <c r="AQ102" s="7">
        <v>1000</v>
      </c>
    </row>
    <row r="103" spans="1:43" x14ac:dyDescent="0.15">
      <c r="A103">
        <v>1</v>
      </c>
      <c r="B103" t="s">
        <v>3139</v>
      </c>
      <c r="C103" t="s">
        <v>3185</v>
      </c>
      <c r="D103">
        <v>10</v>
      </c>
      <c r="E103" t="s">
        <v>3248</v>
      </c>
      <c r="F103" t="s">
        <v>3088</v>
      </c>
      <c r="G103">
        <v>5</v>
      </c>
      <c r="H103">
        <v>2</v>
      </c>
      <c r="I103" t="s">
        <v>3186</v>
      </c>
      <c r="J103" t="s">
        <v>3187</v>
      </c>
      <c r="K103" t="s">
        <v>3188</v>
      </c>
      <c r="L103" t="s">
        <v>3189</v>
      </c>
      <c r="M103">
        <v>14</v>
      </c>
      <c r="N103">
        <v>5</v>
      </c>
      <c r="O103">
        <v>5</v>
      </c>
      <c r="P103" t="str">
        <f t="shared" si="21"/>
        <v>[(112,5)]</v>
      </c>
      <c r="Q103">
        <f t="shared" si="22"/>
        <v>7</v>
      </c>
    </row>
    <row r="104" spans="1:43" x14ac:dyDescent="0.15">
      <c r="A104">
        <v>1</v>
      </c>
      <c r="B104" t="s">
        <v>3240</v>
      </c>
      <c r="C104" t="s">
        <v>3307</v>
      </c>
      <c r="D104">
        <v>10</v>
      </c>
      <c r="E104" t="s">
        <v>3183</v>
      </c>
      <c r="F104" t="s">
        <v>3088</v>
      </c>
      <c r="G104">
        <v>15</v>
      </c>
      <c r="H104">
        <v>2</v>
      </c>
      <c r="I104" t="s">
        <v>3308</v>
      </c>
      <c r="J104" t="s">
        <v>3308</v>
      </c>
      <c r="K104" t="s">
        <v>3309</v>
      </c>
      <c r="L104" t="s">
        <v>3310</v>
      </c>
      <c r="M104">
        <v>1</v>
      </c>
      <c r="N104">
        <v>15</v>
      </c>
      <c r="O104">
        <v>10</v>
      </c>
      <c r="P104" t="str">
        <f t="shared" si="21"/>
        <v>[(112,10)]</v>
      </c>
      <c r="Q104">
        <f t="shared" si="22"/>
        <v>7</v>
      </c>
    </row>
    <row r="105" spans="1:43" x14ac:dyDescent="0.15">
      <c r="A105">
        <v>1</v>
      </c>
      <c r="B105" t="s">
        <v>3146</v>
      </c>
      <c r="C105" t="s">
        <v>3191</v>
      </c>
      <c r="D105">
        <v>10</v>
      </c>
      <c r="E105" t="s">
        <v>1595</v>
      </c>
      <c r="F105" t="s">
        <v>3192</v>
      </c>
      <c r="G105">
        <v>1</v>
      </c>
      <c r="H105">
        <v>1</v>
      </c>
      <c r="I105" t="s">
        <v>3193</v>
      </c>
      <c r="J105" t="s">
        <v>3194</v>
      </c>
      <c r="K105" t="s">
        <v>3195</v>
      </c>
      <c r="L105" t="s">
        <v>3196</v>
      </c>
      <c r="M105">
        <v>1</v>
      </c>
      <c r="N105">
        <v>1</v>
      </c>
      <c r="O105">
        <v>10</v>
      </c>
      <c r="P105" t="str">
        <f t="shared" si="21"/>
        <v>[(112,10)]</v>
      </c>
      <c r="Q105">
        <f t="shared" si="22"/>
        <v>0.13333333333333333</v>
      </c>
    </row>
    <row r="106" spans="1:43" x14ac:dyDescent="0.15">
      <c r="A106" s="55">
        <v>2</v>
      </c>
      <c r="B106" s="55" t="s">
        <v>3224</v>
      </c>
      <c r="C106" s="55" t="s">
        <v>3225</v>
      </c>
      <c r="D106" s="55">
        <v>1</v>
      </c>
      <c r="E106" s="55" t="s">
        <v>3318</v>
      </c>
      <c r="F106" s="55" t="s">
        <v>3088</v>
      </c>
      <c r="G106" s="55">
        <v>2000</v>
      </c>
      <c r="H106" s="55">
        <v>1</v>
      </c>
      <c r="I106" s="55" t="s">
        <v>3227</v>
      </c>
      <c r="J106" s="55" t="s">
        <v>3228</v>
      </c>
      <c r="K106" s="55" t="s">
        <v>3229</v>
      </c>
      <c r="L106" s="55" t="s">
        <v>3230</v>
      </c>
      <c r="M106" s="55">
        <v>17</v>
      </c>
      <c r="N106" s="55">
        <v>2000</v>
      </c>
      <c r="O106" s="55">
        <f t="shared" ref="O106:O137" si="25">VLOOKUP(B106,AG:AK,5,FALSE)</f>
        <v>5</v>
      </c>
      <c r="P106" s="55" t="str">
        <f t="shared" si="21"/>
        <v>[(112,5)]</v>
      </c>
      <c r="Q106">
        <f t="shared" si="22"/>
        <v>0.49999999999999994</v>
      </c>
    </row>
    <row r="107" spans="1:43" x14ac:dyDescent="0.15">
      <c r="A107" s="55">
        <v>2</v>
      </c>
      <c r="B107" s="55" t="s">
        <v>3224</v>
      </c>
      <c r="C107" s="55" t="s">
        <v>3225</v>
      </c>
      <c r="D107" s="55">
        <v>1</v>
      </c>
      <c r="E107" s="256" t="s">
        <v>3319</v>
      </c>
      <c r="F107" s="55" t="s">
        <v>3088</v>
      </c>
      <c r="G107" s="55">
        <v>5000</v>
      </c>
      <c r="H107" s="55">
        <v>1</v>
      </c>
      <c r="I107" s="55" t="s">
        <v>3227</v>
      </c>
      <c r="J107" s="55" t="s">
        <v>3228</v>
      </c>
      <c r="K107" s="55" t="s">
        <v>3229</v>
      </c>
      <c r="L107" s="55" t="s">
        <v>3230</v>
      </c>
      <c r="M107" s="55">
        <v>17</v>
      </c>
      <c r="N107" s="55">
        <v>5000</v>
      </c>
      <c r="O107" s="55">
        <f t="shared" si="25"/>
        <v>5</v>
      </c>
      <c r="P107" s="55" t="str">
        <f t="shared" si="21"/>
        <v>[(112,5)]</v>
      </c>
      <c r="Q107">
        <f t="shared" si="22"/>
        <v>1.25</v>
      </c>
    </row>
    <row r="108" spans="1:43" x14ac:dyDescent="0.15">
      <c r="A108" s="55">
        <v>2</v>
      </c>
      <c r="B108" s="55" t="s">
        <v>3082</v>
      </c>
      <c r="C108" s="55" t="s">
        <v>3134</v>
      </c>
      <c r="D108" s="55">
        <v>1</v>
      </c>
      <c r="E108" s="55" t="s">
        <v>3129</v>
      </c>
      <c r="F108" s="55" t="s">
        <v>3088</v>
      </c>
      <c r="G108" s="55">
        <v>30</v>
      </c>
      <c r="H108" s="55">
        <v>1</v>
      </c>
      <c r="I108" s="55" t="s">
        <v>3135</v>
      </c>
      <c r="J108" s="55" t="s">
        <v>3136</v>
      </c>
      <c r="K108" s="55" t="s">
        <v>3137</v>
      </c>
      <c r="L108" s="55" t="s">
        <v>3138</v>
      </c>
      <c r="M108" s="55">
        <v>1</v>
      </c>
      <c r="N108" s="55">
        <v>30</v>
      </c>
      <c r="O108" s="55">
        <f t="shared" si="25"/>
        <v>5</v>
      </c>
      <c r="P108" s="55" t="str">
        <f t="shared" si="21"/>
        <v>[(112,5)]</v>
      </c>
      <c r="Q108">
        <f t="shared" si="22"/>
        <v>1.3333333333333333</v>
      </c>
    </row>
    <row r="109" spans="1:43" x14ac:dyDescent="0.15">
      <c r="A109" s="55">
        <v>2</v>
      </c>
      <c r="B109" s="55" t="s">
        <v>3082</v>
      </c>
      <c r="C109" s="55" t="s">
        <v>3134</v>
      </c>
      <c r="D109" s="55">
        <v>1</v>
      </c>
      <c r="E109" s="55" t="s">
        <v>1664</v>
      </c>
      <c r="F109" s="55" t="s">
        <v>3088</v>
      </c>
      <c r="G109" s="55">
        <v>60</v>
      </c>
      <c r="H109" s="55">
        <v>1</v>
      </c>
      <c r="I109" s="55" t="s">
        <v>3135</v>
      </c>
      <c r="J109" s="55" t="s">
        <v>3136</v>
      </c>
      <c r="K109" s="55" t="s">
        <v>3137</v>
      </c>
      <c r="L109" s="55" t="s">
        <v>3138</v>
      </c>
      <c r="M109" s="55">
        <v>1</v>
      </c>
      <c r="N109" s="55">
        <v>60</v>
      </c>
      <c r="O109" s="55">
        <f t="shared" si="25"/>
        <v>5</v>
      </c>
      <c r="P109" s="55" t="str">
        <f t="shared" si="21"/>
        <v>[(112,5)]</v>
      </c>
      <c r="Q109">
        <f t="shared" si="22"/>
        <v>2.6666666666666665</v>
      </c>
    </row>
    <row r="110" spans="1:43" x14ac:dyDescent="0.15">
      <c r="A110" s="55">
        <v>2</v>
      </c>
      <c r="B110" s="55" t="s">
        <v>3082</v>
      </c>
      <c r="C110" s="55" t="s">
        <v>3134</v>
      </c>
      <c r="D110" s="55">
        <v>1</v>
      </c>
      <c r="E110" s="55" t="s">
        <v>1665</v>
      </c>
      <c r="F110" s="55" t="s">
        <v>3088</v>
      </c>
      <c r="G110" s="55">
        <v>100</v>
      </c>
      <c r="H110" s="55">
        <v>1</v>
      </c>
      <c r="I110" s="55" t="s">
        <v>3135</v>
      </c>
      <c r="J110" s="55" t="s">
        <v>3136</v>
      </c>
      <c r="K110" s="55" t="s">
        <v>3137</v>
      </c>
      <c r="L110" s="55" t="s">
        <v>3138</v>
      </c>
      <c r="M110" s="55">
        <v>1</v>
      </c>
      <c r="N110" s="55">
        <v>100</v>
      </c>
      <c r="O110" s="55">
        <f t="shared" si="25"/>
        <v>5</v>
      </c>
      <c r="P110" s="55" t="str">
        <f t="shared" si="21"/>
        <v>[(112,5)]</v>
      </c>
      <c r="Q110">
        <f t="shared" si="22"/>
        <v>4.4444444444444446</v>
      </c>
    </row>
    <row r="111" spans="1:43" x14ac:dyDescent="0.15">
      <c r="A111" s="55">
        <v>2</v>
      </c>
      <c r="B111" s="55" t="s">
        <v>3075</v>
      </c>
      <c r="C111" s="55" t="s">
        <v>3076</v>
      </c>
      <c r="D111" s="55">
        <v>1</v>
      </c>
      <c r="E111" s="55" t="s">
        <v>1595</v>
      </c>
      <c r="F111" s="55" t="s">
        <v>3077</v>
      </c>
      <c r="G111" s="55">
        <v>1</v>
      </c>
      <c r="H111" s="55">
        <v>1</v>
      </c>
      <c r="I111" s="55" t="s">
        <v>3078</v>
      </c>
      <c r="J111" s="55" t="s">
        <v>3079</v>
      </c>
      <c r="K111" s="55" t="s">
        <v>3080</v>
      </c>
      <c r="L111" s="55" t="s">
        <v>3081</v>
      </c>
      <c r="M111" s="55">
        <v>1</v>
      </c>
      <c r="N111" s="55">
        <v>1</v>
      </c>
      <c r="O111" s="55">
        <f t="shared" si="25"/>
        <v>10</v>
      </c>
      <c r="P111" s="55" t="str">
        <f t="shared" si="21"/>
        <v>[(112,10)]</v>
      </c>
      <c r="Q111">
        <f t="shared" si="22"/>
        <v>2</v>
      </c>
    </row>
    <row r="112" spans="1:43" x14ac:dyDescent="0.15">
      <c r="A112" s="55">
        <v>2</v>
      </c>
      <c r="B112" s="55" t="s">
        <v>3207</v>
      </c>
      <c r="C112" s="55" t="s">
        <v>3208</v>
      </c>
      <c r="D112" s="55">
        <v>1</v>
      </c>
      <c r="E112" s="55" t="s">
        <v>3097</v>
      </c>
      <c r="F112" s="55" t="s">
        <v>3088</v>
      </c>
      <c r="G112" s="55">
        <v>4</v>
      </c>
      <c r="H112" s="55">
        <v>1</v>
      </c>
      <c r="I112" s="55" t="s">
        <v>3209</v>
      </c>
      <c r="J112" s="55" t="s">
        <v>3210</v>
      </c>
      <c r="K112" s="55" t="s">
        <v>3211</v>
      </c>
      <c r="L112" s="55" t="s">
        <v>3212</v>
      </c>
      <c r="M112" s="55">
        <v>8</v>
      </c>
      <c r="N112" s="55">
        <v>4</v>
      </c>
      <c r="O112" s="55">
        <f t="shared" si="25"/>
        <v>10</v>
      </c>
      <c r="P112" s="55" t="str">
        <f t="shared" si="21"/>
        <v>[(112,10)]</v>
      </c>
      <c r="Q112">
        <f t="shared" si="22"/>
        <v>2</v>
      </c>
    </row>
    <row r="113" spans="1:17" x14ac:dyDescent="0.15">
      <c r="A113" s="55">
        <v>2</v>
      </c>
      <c r="B113" s="55" t="s">
        <v>3093</v>
      </c>
      <c r="C113" s="55" t="s">
        <v>3096</v>
      </c>
      <c r="D113" s="55">
        <v>1</v>
      </c>
      <c r="E113" s="55" t="s">
        <v>3097</v>
      </c>
      <c r="F113" s="55" t="s">
        <v>3098</v>
      </c>
      <c r="G113" s="55">
        <v>1</v>
      </c>
      <c r="H113" s="55">
        <v>1</v>
      </c>
      <c r="I113" s="55" t="s">
        <v>3099</v>
      </c>
      <c r="J113" s="55" t="s">
        <v>3100</v>
      </c>
      <c r="K113" s="55" t="s">
        <v>3101</v>
      </c>
      <c r="L113" s="55" t="s">
        <v>3102</v>
      </c>
      <c r="M113" s="55">
        <v>1</v>
      </c>
      <c r="N113" s="55">
        <v>1</v>
      </c>
      <c r="O113" s="55">
        <f t="shared" si="25"/>
        <v>10</v>
      </c>
      <c r="P113" s="55" t="str">
        <f t="shared" si="21"/>
        <v>[(112,10)]</v>
      </c>
      <c r="Q113">
        <f t="shared" si="22"/>
        <v>3</v>
      </c>
    </row>
    <row r="114" spans="1:17" x14ac:dyDescent="0.15">
      <c r="A114" s="55">
        <v>2</v>
      </c>
      <c r="B114" s="55" t="s">
        <v>3115</v>
      </c>
      <c r="C114" s="55" t="s">
        <v>3116</v>
      </c>
      <c r="D114" s="55">
        <v>1</v>
      </c>
      <c r="E114" s="55" t="s">
        <v>3275</v>
      </c>
      <c r="F114" s="55" t="s">
        <v>3088</v>
      </c>
      <c r="G114" s="55">
        <v>20</v>
      </c>
      <c r="H114" s="55">
        <v>1</v>
      </c>
      <c r="I114" s="55" t="s">
        <v>3118</v>
      </c>
      <c r="J114" s="55" t="s">
        <v>3119</v>
      </c>
      <c r="K114" s="55" t="s">
        <v>3120</v>
      </c>
      <c r="L114" s="55" t="s">
        <v>3121</v>
      </c>
      <c r="M114" s="55">
        <v>1</v>
      </c>
      <c r="N114" s="55">
        <v>20</v>
      </c>
      <c r="O114" s="55">
        <f t="shared" si="25"/>
        <v>15</v>
      </c>
      <c r="P114" s="55" t="str">
        <f t="shared" si="21"/>
        <v>[(112,15)]</v>
      </c>
      <c r="Q114">
        <f t="shared" si="22"/>
        <v>4.4533333333333331</v>
      </c>
    </row>
    <row r="115" spans="1:17" x14ac:dyDescent="0.15">
      <c r="A115" s="55">
        <v>2</v>
      </c>
      <c r="B115" s="55" t="s">
        <v>3140</v>
      </c>
      <c r="C115" s="55" t="s">
        <v>3141</v>
      </c>
      <c r="D115" s="55">
        <v>1</v>
      </c>
      <c r="E115" s="55" t="s">
        <v>1595</v>
      </c>
      <c r="F115" s="55" t="s">
        <v>3088</v>
      </c>
      <c r="G115" s="55">
        <v>3</v>
      </c>
      <c r="H115" s="55">
        <v>2</v>
      </c>
      <c r="I115" s="55" t="s">
        <v>3142</v>
      </c>
      <c r="J115" s="55" t="s">
        <v>3143</v>
      </c>
      <c r="K115" s="55" t="s">
        <v>3144</v>
      </c>
      <c r="L115" s="55" t="s">
        <v>3145</v>
      </c>
      <c r="M115" s="55">
        <v>13</v>
      </c>
      <c r="N115" s="55">
        <v>3</v>
      </c>
      <c r="O115" s="55">
        <f t="shared" si="25"/>
        <v>5</v>
      </c>
      <c r="P115" s="55" t="str">
        <f t="shared" si="21"/>
        <v>[(112,5)]</v>
      </c>
      <c r="Q115">
        <f t="shared" si="22"/>
        <v>1.5</v>
      </c>
    </row>
    <row r="116" spans="1:17" x14ac:dyDescent="0.15">
      <c r="A116" s="55">
        <v>2</v>
      </c>
      <c r="B116" s="55" t="s">
        <v>3106</v>
      </c>
      <c r="C116" s="55" t="s">
        <v>3107</v>
      </c>
      <c r="D116" s="55">
        <v>1</v>
      </c>
      <c r="E116" s="55" t="s">
        <v>1591</v>
      </c>
      <c r="F116" s="55" t="s">
        <v>3108</v>
      </c>
      <c r="G116" s="55">
        <v>1</v>
      </c>
      <c r="H116" s="55">
        <v>2</v>
      </c>
      <c r="I116" s="55" t="s">
        <v>3109</v>
      </c>
      <c r="J116" s="55" t="s">
        <v>3110</v>
      </c>
      <c r="K116" s="55" t="s">
        <v>3111</v>
      </c>
      <c r="L116" s="55" t="s">
        <v>3112</v>
      </c>
      <c r="M116" s="55">
        <v>1</v>
      </c>
      <c r="N116" s="55">
        <v>1</v>
      </c>
      <c r="O116" s="55">
        <f t="shared" si="25"/>
        <v>10</v>
      </c>
      <c r="P116" s="55" t="str">
        <f t="shared" si="21"/>
        <v>[(112,10)]</v>
      </c>
      <c r="Q116">
        <f t="shared" si="22"/>
        <v>6.9999999999999991</v>
      </c>
    </row>
    <row r="117" spans="1:17" x14ac:dyDescent="0.15">
      <c r="A117" s="55">
        <v>2</v>
      </c>
      <c r="B117" s="55" t="s">
        <v>3147</v>
      </c>
      <c r="C117" s="55" t="s">
        <v>3148</v>
      </c>
      <c r="D117" s="55">
        <v>1</v>
      </c>
      <c r="E117" s="55" t="s">
        <v>3183</v>
      </c>
      <c r="F117" s="55" t="s">
        <v>3088</v>
      </c>
      <c r="G117" s="55">
        <v>15</v>
      </c>
      <c r="H117" s="55">
        <v>2</v>
      </c>
      <c r="I117" s="55" t="s">
        <v>3149</v>
      </c>
      <c r="J117" s="55" t="s">
        <v>3150</v>
      </c>
      <c r="K117" s="55" t="s">
        <v>3151</v>
      </c>
      <c r="L117" s="55" t="s">
        <v>3152</v>
      </c>
      <c r="M117" s="55">
        <v>1</v>
      </c>
      <c r="N117" s="55">
        <v>15</v>
      </c>
      <c r="O117" s="55">
        <f t="shared" si="25"/>
        <v>15</v>
      </c>
      <c r="P117" s="55" t="str">
        <f t="shared" si="21"/>
        <v>[(112,15)]</v>
      </c>
      <c r="Q117">
        <f t="shared" si="22"/>
        <v>4</v>
      </c>
    </row>
    <row r="118" spans="1:17" x14ac:dyDescent="0.15">
      <c r="A118" s="55">
        <v>2</v>
      </c>
      <c r="B118" s="55" t="s">
        <v>3113</v>
      </c>
      <c r="C118" s="55" t="s">
        <v>3122</v>
      </c>
      <c r="D118" s="55">
        <v>1</v>
      </c>
      <c r="E118" s="55" t="s">
        <v>3087</v>
      </c>
      <c r="F118" s="55" t="s">
        <v>3088</v>
      </c>
      <c r="G118" s="55">
        <v>6</v>
      </c>
      <c r="H118" s="55">
        <v>2</v>
      </c>
      <c r="I118" s="55" t="s">
        <v>3123</v>
      </c>
      <c r="J118" s="55" t="s">
        <v>3124</v>
      </c>
      <c r="K118" s="55" t="s">
        <v>3125</v>
      </c>
      <c r="L118" s="55" t="s">
        <v>3126</v>
      </c>
      <c r="M118" s="55">
        <v>1</v>
      </c>
      <c r="N118" s="55">
        <v>6</v>
      </c>
      <c r="O118" s="55">
        <f t="shared" si="25"/>
        <v>20</v>
      </c>
      <c r="P118" s="55" t="str">
        <f t="shared" si="21"/>
        <v>[(112,20)]</v>
      </c>
      <c r="Q118">
        <f t="shared" si="22"/>
        <v>4</v>
      </c>
    </row>
    <row r="119" spans="1:17" x14ac:dyDescent="0.15">
      <c r="A119" s="55">
        <v>2</v>
      </c>
      <c r="B119" s="55" t="s">
        <v>3176</v>
      </c>
      <c r="C119" s="55" t="s">
        <v>3177</v>
      </c>
      <c r="D119" s="55">
        <v>2</v>
      </c>
      <c r="E119" s="55" t="s">
        <v>1661</v>
      </c>
      <c r="F119" s="55" t="s">
        <v>3088</v>
      </c>
      <c r="G119" s="55">
        <v>150</v>
      </c>
      <c r="H119" s="55">
        <v>1</v>
      </c>
      <c r="I119" s="55" t="s">
        <v>3178</v>
      </c>
      <c r="J119" s="55" t="s">
        <v>3179</v>
      </c>
      <c r="K119" s="55" t="s">
        <v>3180</v>
      </c>
      <c r="L119" s="55" t="s">
        <v>3181</v>
      </c>
      <c r="M119" s="55">
        <v>1</v>
      </c>
      <c r="N119" s="55">
        <v>150</v>
      </c>
      <c r="O119" s="55">
        <f t="shared" si="25"/>
        <v>5</v>
      </c>
      <c r="P119" s="55" t="str">
        <f t="shared" si="21"/>
        <v>[(112,5)]</v>
      </c>
      <c r="Q119">
        <f t="shared" si="22"/>
        <v>0.8</v>
      </c>
    </row>
    <row r="120" spans="1:17" x14ac:dyDescent="0.15">
      <c r="A120" s="55">
        <v>2</v>
      </c>
      <c r="B120" s="55" t="s">
        <v>3153</v>
      </c>
      <c r="C120" s="55" t="s">
        <v>3154</v>
      </c>
      <c r="D120" s="55">
        <v>2</v>
      </c>
      <c r="E120" s="55" t="s">
        <v>3155</v>
      </c>
      <c r="F120" s="55" t="s">
        <v>3156</v>
      </c>
      <c r="G120" s="55">
        <v>5</v>
      </c>
      <c r="H120" s="55">
        <v>1</v>
      </c>
      <c r="I120" s="55" t="s">
        <v>3157</v>
      </c>
      <c r="J120" s="55" t="s">
        <v>3158</v>
      </c>
      <c r="K120" s="55" t="s">
        <v>3159</v>
      </c>
      <c r="L120" s="55" t="s">
        <v>3160</v>
      </c>
      <c r="M120" s="55">
        <v>1</v>
      </c>
      <c r="N120" s="55">
        <v>5</v>
      </c>
      <c r="O120" s="55">
        <f t="shared" si="25"/>
        <v>10</v>
      </c>
      <c r="P120" s="55" t="str">
        <f t="shared" si="21"/>
        <v>[(112,10)]</v>
      </c>
      <c r="Q120">
        <f t="shared" si="22"/>
        <v>0.66666666666666663</v>
      </c>
    </row>
    <row r="121" spans="1:17" x14ac:dyDescent="0.15">
      <c r="A121" s="55">
        <v>2</v>
      </c>
      <c r="B121" s="55" t="s">
        <v>3127</v>
      </c>
      <c r="C121" s="55" t="s">
        <v>3128</v>
      </c>
      <c r="D121" s="55">
        <v>2</v>
      </c>
      <c r="E121" s="55" t="s">
        <v>3129</v>
      </c>
      <c r="F121" s="55" t="s">
        <v>3088</v>
      </c>
      <c r="G121" s="55">
        <v>30</v>
      </c>
      <c r="H121" s="55">
        <v>1</v>
      </c>
      <c r="I121" s="55" t="s">
        <v>3130</v>
      </c>
      <c r="J121" s="55" t="s">
        <v>3131</v>
      </c>
      <c r="K121" s="55" t="s">
        <v>3132</v>
      </c>
      <c r="L121" s="55" t="s">
        <v>3133</v>
      </c>
      <c r="M121" s="55">
        <v>1</v>
      </c>
      <c r="N121" s="55">
        <v>30</v>
      </c>
      <c r="O121" s="55">
        <f t="shared" si="25"/>
        <v>10</v>
      </c>
      <c r="P121" s="55" t="str">
        <f t="shared" si="21"/>
        <v>[(112,10)]</v>
      </c>
      <c r="Q121">
        <f t="shared" si="22"/>
        <v>0.8</v>
      </c>
    </row>
    <row r="122" spans="1:17" x14ac:dyDescent="0.15">
      <c r="A122" s="55">
        <v>2</v>
      </c>
      <c r="B122" s="55" t="s">
        <v>3169</v>
      </c>
      <c r="C122" s="55" t="s">
        <v>3170</v>
      </c>
      <c r="D122" s="55">
        <v>2</v>
      </c>
      <c r="E122" s="55" t="s">
        <v>1597</v>
      </c>
      <c r="F122" s="55" t="s">
        <v>3171</v>
      </c>
      <c r="G122" s="55">
        <v>5</v>
      </c>
      <c r="H122" s="55">
        <v>1</v>
      </c>
      <c r="I122" s="55" t="s">
        <v>3172</v>
      </c>
      <c r="J122" s="55" t="s">
        <v>3173</v>
      </c>
      <c r="K122" s="55" t="s">
        <v>3174</v>
      </c>
      <c r="L122" s="55" t="s">
        <v>3175</v>
      </c>
      <c r="M122" s="55">
        <v>1</v>
      </c>
      <c r="N122" s="55">
        <v>5</v>
      </c>
      <c r="O122" s="55">
        <f t="shared" si="25"/>
        <v>10</v>
      </c>
      <c r="P122" s="55" t="str">
        <f t="shared" si="21"/>
        <v>[(112,10)]</v>
      </c>
      <c r="Q122">
        <f t="shared" si="22"/>
        <v>7</v>
      </c>
    </row>
    <row r="123" spans="1:17" x14ac:dyDescent="0.15">
      <c r="A123" s="55">
        <v>2</v>
      </c>
      <c r="B123" s="55" t="s">
        <v>3115</v>
      </c>
      <c r="C123" s="55" t="s">
        <v>3116</v>
      </c>
      <c r="D123" s="55">
        <v>2</v>
      </c>
      <c r="E123" s="55" t="s">
        <v>3183</v>
      </c>
      <c r="F123" s="55" t="s">
        <v>3088</v>
      </c>
      <c r="G123" s="55">
        <v>15</v>
      </c>
      <c r="H123" s="55">
        <v>1</v>
      </c>
      <c r="I123" s="55" t="s">
        <v>3118</v>
      </c>
      <c r="J123" s="55" t="s">
        <v>3119</v>
      </c>
      <c r="K123" s="55" t="s">
        <v>3120</v>
      </c>
      <c r="L123" s="55" t="s">
        <v>3121</v>
      </c>
      <c r="M123" s="55">
        <v>1</v>
      </c>
      <c r="N123" s="55">
        <v>15</v>
      </c>
      <c r="O123" s="55">
        <f t="shared" si="25"/>
        <v>15</v>
      </c>
      <c r="P123" s="55" t="str">
        <f t="shared" si="21"/>
        <v>[(112,15)]</v>
      </c>
      <c r="Q123">
        <f t="shared" si="22"/>
        <v>3.3399999999999994</v>
      </c>
    </row>
    <row r="124" spans="1:17" x14ac:dyDescent="0.15">
      <c r="A124" s="55">
        <v>2</v>
      </c>
      <c r="B124" s="55" t="s">
        <v>3146</v>
      </c>
      <c r="C124" s="55" t="s">
        <v>3191</v>
      </c>
      <c r="D124" s="55">
        <v>2</v>
      </c>
      <c r="E124" s="55" t="s">
        <v>1595</v>
      </c>
      <c r="F124" s="55" t="s">
        <v>3192</v>
      </c>
      <c r="G124" s="55">
        <v>1</v>
      </c>
      <c r="H124" s="55">
        <v>2</v>
      </c>
      <c r="I124" s="55" t="s">
        <v>3193</v>
      </c>
      <c r="J124" s="55" t="s">
        <v>3194</v>
      </c>
      <c r="K124" s="55" t="s">
        <v>3195</v>
      </c>
      <c r="L124" s="55" t="s">
        <v>3196</v>
      </c>
      <c r="M124" s="55">
        <v>1</v>
      </c>
      <c r="N124" s="55">
        <v>1</v>
      </c>
      <c r="O124" s="55">
        <f t="shared" si="25"/>
        <v>10</v>
      </c>
      <c r="P124" s="55" t="str">
        <f t="shared" si="21"/>
        <v>[(112,10)]</v>
      </c>
      <c r="Q124">
        <f t="shared" si="22"/>
        <v>0.13333333333333333</v>
      </c>
    </row>
    <row r="125" spans="1:17" x14ac:dyDescent="0.15">
      <c r="A125" s="55">
        <v>2</v>
      </c>
      <c r="B125" s="55" t="s">
        <v>3161</v>
      </c>
      <c r="C125" s="55" t="s">
        <v>3162</v>
      </c>
      <c r="D125" s="55">
        <v>2</v>
      </c>
      <c r="E125" s="55" t="s">
        <v>3117</v>
      </c>
      <c r="F125" s="55" t="s">
        <v>3163</v>
      </c>
      <c r="G125" s="55">
        <v>10</v>
      </c>
      <c r="H125" s="55">
        <v>2</v>
      </c>
      <c r="I125" s="55" t="s">
        <v>3164</v>
      </c>
      <c r="J125" s="55" t="s">
        <v>3165</v>
      </c>
      <c r="K125" s="55" t="s">
        <v>3166</v>
      </c>
      <c r="L125" s="55" t="s">
        <v>3167</v>
      </c>
      <c r="M125" s="55">
        <v>1</v>
      </c>
      <c r="N125" s="55">
        <v>30</v>
      </c>
      <c r="O125" s="55">
        <f t="shared" si="25"/>
        <v>10</v>
      </c>
      <c r="P125" s="55" t="str">
        <f t="shared" si="21"/>
        <v>[(112,10)]</v>
      </c>
      <c r="Q125">
        <f t="shared" si="22"/>
        <v>4</v>
      </c>
    </row>
    <row r="126" spans="1:17" x14ac:dyDescent="0.15">
      <c r="A126" s="55">
        <v>2</v>
      </c>
      <c r="B126" s="55" t="s">
        <v>3139</v>
      </c>
      <c r="C126" s="55" t="s">
        <v>3185</v>
      </c>
      <c r="D126" s="55">
        <v>2</v>
      </c>
      <c r="E126" s="55" t="s">
        <v>1595</v>
      </c>
      <c r="F126" s="55" t="s">
        <v>3088</v>
      </c>
      <c r="G126" s="55">
        <v>3</v>
      </c>
      <c r="H126" s="55">
        <v>2</v>
      </c>
      <c r="I126" s="55" t="s">
        <v>3186</v>
      </c>
      <c r="J126" s="55" t="s">
        <v>3187</v>
      </c>
      <c r="K126" s="55" t="s">
        <v>3188</v>
      </c>
      <c r="L126" s="55" t="s">
        <v>3189</v>
      </c>
      <c r="M126" s="55">
        <v>14</v>
      </c>
      <c r="N126" s="55">
        <v>3</v>
      </c>
      <c r="O126" s="55">
        <f t="shared" si="25"/>
        <v>10</v>
      </c>
      <c r="P126" s="55" t="str">
        <f t="shared" si="21"/>
        <v>[(112,10)]</v>
      </c>
      <c r="Q126">
        <f t="shared" si="22"/>
        <v>6</v>
      </c>
    </row>
    <row r="127" spans="1:17" x14ac:dyDescent="0.15">
      <c r="A127" s="55">
        <v>2</v>
      </c>
      <c r="B127" s="55" t="s">
        <v>3197</v>
      </c>
      <c r="C127" s="55" t="s">
        <v>3198</v>
      </c>
      <c r="D127" s="55">
        <v>2</v>
      </c>
      <c r="E127" s="55" t="s">
        <v>3087</v>
      </c>
      <c r="F127" s="55" t="s">
        <v>3088</v>
      </c>
      <c r="G127" s="55">
        <v>6</v>
      </c>
      <c r="H127" s="55">
        <v>2</v>
      </c>
      <c r="I127" s="55" t="s">
        <v>3199</v>
      </c>
      <c r="J127" s="55" t="s">
        <v>3200</v>
      </c>
      <c r="K127" s="55" t="s">
        <v>3201</v>
      </c>
      <c r="L127" s="55" t="s">
        <v>3202</v>
      </c>
      <c r="M127" s="55">
        <v>17</v>
      </c>
      <c r="N127" s="55">
        <v>6</v>
      </c>
      <c r="O127" s="55">
        <f t="shared" si="25"/>
        <v>10</v>
      </c>
      <c r="P127" s="55" t="str">
        <f t="shared" si="21"/>
        <v>[(112,10)]</v>
      </c>
      <c r="Q127">
        <f t="shared" si="22"/>
        <v>6</v>
      </c>
    </row>
    <row r="128" spans="1:17" x14ac:dyDescent="0.15">
      <c r="A128" s="55">
        <v>2</v>
      </c>
      <c r="B128" s="55" t="s">
        <v>3103</v>
      </c>
      <c r="C128" s="55" t="s">
        <v>3203</v>
      </c>
      <c r="D128" s="55">
        <v>2</v>
      </c>
      <c r="E128" s="55" t="s">
        <v>3087</v>
      </c>
      <c r="F128" s="55" t="s">
        <v>3088</v>
      </c>
      <c r="G128" s="55">
        <v>6</v>
      </c>
      <c r="H128" s="55">
        <v>2</v>
      </c>
      <c r="I128" s="55" t="s">
        <v>3204</v>
      </c>
      <c r="J128" s="55" t="s">
        <v>3205</v>
      </c>
      <c r="K128" s="55" t="s">
        <v>3751</v>
      </c>
      <c r="L128" s="55" t="s">
        <v>3750</v>
      </c>
      <c r="M128" s="55">
        <v>16</v>
      </c>
      <c r="N128" s="55">
        <v>6</v>
      </c>
      <c r="O128" s="55">
        <f t="shared" si="25"/>
        <v>10</v>
      </c>
      <c r="P128" s="55" t="str">
        <f t="shared" si="21"/>
        <v>[(112,10)]</v>
      </c>
      <c r="Q128">
        <f t="shared" si="22"/>
        <v>6</v>
      </c>
    </row>
    <row r="129" spans="1:17" x14ac:dyDescent="0.15">
      <c r="A129" s="55">
        <v>2</v>
      </c>
      <c r="B129" s="55" t="s">
        <v>3082</v>
      </c>
      <c r="C129" s="55" t="s">
        <v>3134</v>
      </c>
      <c r="D129" s="55">
        <v>3</v>
      </c>
      <c r="E129" s="55" t="s">
        <v>3129</v>
      </c>
      <c r="F129" s="55" t="s">
        <v>3088</v>
      </c>
      <c r="G129" s="55">
        <v>30</v>
      </c>
      <c r="H129" s="55">
        <v>1</v>
      </c>
      <c r="I129" s="55" t="s">
        <v>3135</v>
      </c>
      <c r="J129" s="55" t="s">
        <v>3136</v>
      </c>
      <c r="K129" s="55" t="s">
        <v>3137</v>
      </c>
      <c r="L129" s="55" t="s">
        <v>3138</v>
      </c>
      <c r="M129" s="55">
        <v>1</v>
      </c>
      <c r="N129" s="55">
        <v>80</v>
      </c>
      <c r="O129" s="55">
        <f t="shared" si="25"/>
        <v>5</v>
      </c>
      <c r="P129" s="55" t="str">
        <f t="shared" si="21"/>
        <v>[(112,5)]</v>
      </c>
      <c r="Q129">
        <f t="shared" si="22"/>
        <v>3.5555555555555558</v>
      </c>
    </row>
    <row r="130" spans="1:17" x14ac:dyDescent="0.15">
      <c r="A130" s="55">
        <v>2</v>
      </c>
      <c r="B130" s="55" t="s">
        <v>3217</v>
      </c>
      <c r="C130" s="55" t="s">
        <v>3218</v>
      </c>
      <c r="D130" s="55">
        <v>3</v>
      </c>
      <c r="E130" s="55" t="s">
        <v>3183</v>
      </c>
      <c r="F130" s="55" t="s">
        <v>3088</v>
      </c>
      <c r="G130" s="55">
        <v>15</v>
      </c>
      <c r="H130" s="55">
        <v>1</v>
      </c>
      <c r="I130" s="55" t="s">
        <v>3219</v>
      </c>
      <c r="J130" s="55" t="s">
        <v>3220</v>
      </c>
      <c r="K130" s="55" t="s">
        <v>3221</v>
      </c>
      <c r="L130" s="55" t="s">
        <v>3222</v>
      </c>
      <c r="M130" s="55">
        <v>11</v>
      </c>
      <c r="N130" s="55">
        <v>15</v>
      </c>
      <c r="O130" s="55">
        <f t="shared" si="25"/>
        <v>10</v>
      </c>
      <c r="P130" s="55" t="str">
        <f t="shared" ref="P130:P193" si="26">"[("&amp;"112,"&amp;O130&amp;")]"</f>
        <v>[(112,10)]</v>
      </c>
      <c r="Q130">
        <f t="shared" si="22"/>
        <v>3.75</v>
      </c>
    </row>
    <row r="131" spans="1:17" x14ac:dyDescent="0.15">
      <c r="A131" s="55">
        <v>2</v>
      </c>
      <c r="B131" s="55" t="s">
        <v>3168</v>
      </c>
      <c r="C131" s="55" t="s">
        <v>3241</v>
      </c>
      <c r="D131" s="55">
        <v>3</v>
      </c>
      <c r="E131" s="55" t="s">
        <v>3088</v>
      </c>
      <c r="F131" s="55" t="s">
        <v>3088</v>
      </c>
      <c r="G131" s="55">
        <v>1</v>
      </c>
      <c r="H131" s="55">
        <v>1</v>
      </c>
      <c r="I131" s="55" t="s">
        <v>3242</v>
      </c>
      <c r="J131" s="55" t="s">
        <v>3243</v>
      </c>
      <c r="K131" s="55" t="s">
        <v>3244</v>
      </c>
      <c r="L131" s="55" t="s">
        <v>3245</v>
      </c>
      <c r="M131" s="55">
        <v>1</v>
      </c>
      <c r="N131" s="55">
        <v>1</v>
      </c>
      <c r="O131" s="55">
        <f t="shared" si="25"/>
        <v>15</v>
      </c>
      <c r="P131" s="55" t="str">
        <f>"[("&amp;"112,"&amp;O131&amp;")]"</f>
        <v>[(112,15)]</v>
      </c>
      <c r="Q131">
        <f t="shared" ref="Q131:Q194" si="27">IF((N131/VLOOKUP(B131,AG:AJ,MATCH("单场参数换算",$AG$1:$AJ$1,0),FALSE))/($AN$2/$AN$1)&gt;7,7,(N131/VLOOKUP(B131,AG:AJ,MATCH("单场参数换算",$AG$1:$AJ$1,0),FALSE))/($AN$2/$AN$1))</f>
        <v>3</v>
      </c>
    </row>
    <row r="132" spans="1:17" x14ac:dyDescent="0.15">
      <c r="A132" s="55">
        <v>2</v>
      </c>
      <c r="B132" s="55" t="s">
        <v>3115</v>
      </c>
      <c r="C132" s="55" t="s">
        <v>3116</v>
      </c>
      <c r="D132" s="55">
        <v>3</v>
      </c>
      <c r="E132" s="55" t="s">
        <v>3214</v>
      </c>
      <c r="F132" s="55" t="s">
        <v>3088</v>
      </c>
      <c r="G132" s="55">
        <v>25</v>
      </c>
      <c r="H132" s="55">
        <v>1</v>
      </c>
      <c r="I132" s="55" t="s">
        <v>3118</v>
      </c>
      <c r="J132" s="55" t="s">
        <v>3119</v>
      </c>
      <c r="K132" s="55" t="s">
        <v>3120</v>
      </c>
      <c r="L132" s="55" t="s">
        <v>3121</v>
      </c>
      <c r="M132" s="55">
        <v>1</v>
      </c>
      <c r="N132" s="55">
        <v>25</v>
      </c>
      <c r="O132" s="55">
        <f t="shared" si="25"/>
        <v>15</v>
      </c>
      <c r="P132" s="55" t="str">
        <f t="shared" si="26"/>
        <v>[(112,15)]</v>
      </c>
      <c r="Q132">
        <f t="shared" si="27"/>
        <v>5.5666666666666655</v>
      </c>
    </row>
    <row r="133" spans="1:17" x14ac:dyDescent="0.15">
      <c r="A133" s="55">
        <v>2</v>
      </c>
      <c r="B133" s="55" t="s">
        <v>3224</v>
      </c>
      <c r="C133" s="55" t="s">
        <v>3225</v>
      </c>
      <c r="D133" s="55">
        <v>3</v>
      </c>
      <c r="E133" s="55" t="s">
        <v>3319</v>
      </c>
      <c r="F133" s="55" t="s">
        <v>3088</v>
      </c>
      <c r="G133" s="55">
        <v>5000</v>
      </c>
      <c r="H133" s="55">
        <v>2</v>
      </c>
      <c r="I133" s="55" t="s">
        <v>3227</v>
      </c>
      <c r="J133" s="55" t="s">
        <v>3228</v>
      </c>
      <c r="K133" s="55" t="s">
        <v>3229</v>
      </c>
      <c r="L133" s="55" t="s">
        <v>3230</v>
      </c>
      <c r="M133" s="55">
        <v>17</v>
      </c>
      <c r="N133" s="55">
        <v>5000</v>
      </c>
      <c r="O133" s="55">
        <f t="shared" si="25"/>
        <v>5</v>
      </c>
      <c r="P133" s="55" t="str">
        <f t="shared" si="26"/>
        <v>[(112,5)]</v>
      </c>
      <c r="Q133">
        <f t="shared" si="27"/>
        <v>1.25</v>
      </c>
    </row>
    <row r="134" spans="1:17" x14ac:dyDescent="0.15">
      <c r="A134" s="55">
        <v>2</v>
      </c>
      <c r="B134" s="55" t="s">
        <v>3207</v>
      </c>
      <c r="C134" s="55" t="s">
        <v>3208</v>
      </c>
      <c r="D134" s="55">
        <v>3</v>
      </c>
      <c r="E134" s="55" t="s">
        <v>3097</v>
      </c>
      <c r="F134" s="55" t="s">
        <v>3088</v>
      </c>
      <c r="G134" s="55">
        <v>4</v>
      </c>
      <c r="H134" s="55">
        <v>2</v>
      </c>
      <c r="I134" s="55" t="s">
        <v>3209</v>
      </c>
      <c r="J134" s="55" t="s">
        <v>3210</v>
      </c>
      <c r="K134" s="55" t="s">
        <v>3211</v>
      </c>
      <c r="L134" s="55" t="s">
        <v>3212</v>
      </c>
      <c r="M134" s="55">
        <v>8</v>
      </c>
      <c r="N134" s="55">
        <v>4</v>
      </c>
      <c r="O134" s="55">
        <f t="shared" si="25"/>
        <v>10</v>
      </c>
      <c r="P134" s="55" t="str">
        <f t="shared" si="26"/>
        <v>[(112,10)]</v>
      </c>
      <c r="Q134">
        <f t="shared" si="27"/>
        <v>2</v>
      </c>
    </row>
    <row r="135" spans="1:17" x14ac:dyDescent="0.15">
      <c r="A135" s="55">
        <v>2</v>
      </c>
      <c r="B135" s="55" t="s">
        <v>3093</v>
      </c>
      <c r="C135" s="55" t="s">
        <v>3096</v>
      </c>
      <c r="D135" s="55">
        <v>3</v>
      </c>
      <c r="E135" s="55" t="s">
        <v>3087</v>
      </c>
      <c r="F135" s="55" t="s">
        <v>3213</v>
      </c>
      <c r="G135" s="55">
        <v>1</v>
      </c>
      <c r="H135" s="55">
        <v>2</v>
      </c>
      <c r="I135" s="55" t="s">
        <v>3099</v>
      </c>
      <c r="J135" s="55" t="s">
        <v>3100</v>
      </c>
      <c r="K135" s="55" t="s">
        <v>3101</v>
      </c>
      <c r="L135" s="55" t="s">
        <v>3102</v>
      </c>
      <c r="M135" s="55">
        <v>1</v>
      </c>
      <c r="N135" s="55">
        <v>1</v>
      </c>
      <c r="O135" s="55">
        <f t="shared" si="25"/>
        <v>10</v>
      </c>
      <c r="P135" s="55" t="str">
        <f t="shared" si="26"/>
        <v>[(112,10)]</v>
      </c>
      <c r="Q135">
        <f t="shared" si="27"/>
        <v>3</v>
      </c>
    </row>
    <row r="136" spans="1:17" x14ac:dyDescent="0.15">
      <c r="A136" s="55">
        <v>2</v>
      </c>
      <c r="B136" s="55" t="s">
        <v>3147</v>
      </c>
      <c r="C136" s="55" t="s">
        <v>3148</v>
      </c>
      <c r="D136" s="55">
        <v>3</v>
      </c>
      <c r="E136" s="55" t="s">
        <v>3183</v>
      </c>
      <c r="F136" s="55" t="s">
        <v>3088</v>
      </c>
      <c r="G136" s="55">
        <v>15</v>
      </c>
      <c r="H136" s="55">
        <v>2</v>
      </c>
      <c r="I136" s="55" t="s">
        <v>3149</v>
      </c>
      <c r="J136" s="55" t="s">
        <v>3150</v>
      </c>
      <c r="K136" s="55" t="s">
        <v>3151</v>
      </c>
      <c r="L136" s="55" t="s">
        <v>3152</v>
      </c>
      <c r="M136" s="55">
        <v>1</v>
      </c>
      <c r="N136" s="55">
        <v>15</v>
      </c>
      <c r="O136" s="55">
        <f t="shared" si="25"/>
        <v>15</v>
      </c>
      <c r="P136" s="55" t="str">
        <f t="shared" si="26"/>
        <v>[(112,15)]</v>
      </c>
      <c r="Q136">
        <f t="shared" si="27"/>
        <v>4</v>
      </c>
    </row>
    <row r="137" spans="1:17" x14ac:dyDescent="0.15">
      <c r="A137" s="55">
        <v>2</v>
      </c>
      <c r="B137" s="55" t="s">
        <v>3232</v>
      </c>
      <c r="C137" s="55" t="s">
        <v>3233</v>
      </c>
      <c r="D137" s="55">
        <v>3</v>
      </c>
      <c r="E137" s="55" t="s">
        <v>3248</v>
      </c>
      <c r="F137" s="55" t="s">
        <v>3234</v>
      </c>
      <c r="G137" s="55">
        <v>5</v>
      </c>
      <c r="H137" s="55">
        <v>2</v>
      </c>
      <c r="I137" s="55" t="s">
        <v>3235</v>
      </c>
      <c r="J137" s="55" t="s">
        <v>3236</v>
      </c>
      <c r="K137" s="55" t="s">
        <v>3237</v>
      </c>
      <c r="L137" s="55" t="s">
        <v>3238</v>
      </c>
      <c r="M137" s="55">
        <v>1</v>
      </c>
      <c r="N137" s="55">
        <v>5</v>
      </c>
      <c r="O137" s="55">
        <f t="shared" si="25"/>
        <v>15</v>
      </c>
      <c r="P137" s="55" t="str">
        <f t="shared" si="26"/>
        <v>[(112,15)]</v>
      </c>
      <c r="Q137">
        <f t="shared" si="27"/>
        <v>5</v>
      </c>
    </row>
    <row r="138" spans="1:17" x14ac:dyDescent="0.15">
      <c r="A138" s="55">
        <v>2</v>
      </c>
      <c r="B138" s="55" t="s">
        <v>3113</v>
      </c>
      <c r="C138" s="55" t="s">
        <v>3122</v>
      </c>
      <c r="D138" s="55">
        <v>3</v>
      </c>
      <c r="E138" s="55" t="s">
        <v>3087</v>
      </c>
      <c r="F138" s="55" t="s">
        <v>3088</v>
      </c>
      <c r="G138" s="55">
        <v>6</v>
      </c>
      <c r="H138" s="55">
        <v>2</v>
      </c>
      <c r="I138" s="55" t="s">
        <v>3123</v>
      </c>
      <c r="J138" s="55" t="s">
        <v>3124</v>
      </c>
      <c r="K138" s="55" t="s">
        <v>3125</v>
      </c>
      <c r="L138" s="55" t="s">
        <v>3126</v>
      </c>
      <c r="M138" s="55">
        <v>1</v>
      </c>
      <c r="N138" s="55">
        <v>6</v>
      </c>
      <c r="O138" s="55">
        <f t="shared" ref="O138:O169" si="28">VLOOKUP(B138,AG:AK,5,FALSE)</f>
        <v>20</v>
      </c>
      <c r="P138" s="55" t="str">
        <f t="shared" si="26"/>
        <v>[(112,20)]</v>
      </c>
      <c r="Q138">
        <f t="shared" si="27"/>
        <v>4</v>
      </c>
    </row>
    <row r="139" spans="1:17" x14ac:dyDescent="0.15">
      <c r="A139" s="55">
        <v>2</v>
      </c>
      <c r="B139" s="55" t="s">
        <v>3127</v>
      </c>
      <c r="C139" s="55" t="s">
        <v>3128</v>
      </c>
      <c r="D139" s="55">
        <v>4</v>
      </c>
      <c r="E139" s="55" t="s">
        <v>1667</v>
      </c>
      <c r="F139" s="55" t="s">
        <v>3088</v>
      </c>
      <c r="G139" s="55">
        <v>50</v>
      </c>
      <c r="H139" s="55">
        <v>1</v>
      </c>
      <c r="I139" s="55" t="s">
        <v>3130</v>
      </c>
      <c r="J139" s="55" t="s">
        <v>3131</v>
      </c>
      <c r="K139" s="55" t="s">
        <v>3132</v>
      </c>
      <c r="L139" s="55" t="s">
        <v>3133</v>
      </c>
      <c r="M139" s="55">
        <v>1</v>
      </c>
      <c r="N139" s="55">
        <v>50</v>
      </c>
      <c r="O139" s="55">
        <f t="shared" si="28"/>
        <v>10</v>
      </c>
      <c r="P139" s="55" t="str">
        <f t="shared" si="26"/>
        <v>[(112,10)]</v>
      </c>
      <c r="Q139">
        <f t="shared" si="27"/>
        <v>1.3333333333333333</v>
      </c>
    </row>
    <row r="140" spans="1:17" x14ac:dyDescent="0.15">
      <c r="A140" s="55">
        <v>2</v>
      </c>
      <c r="B140" s="55" t="s">
        <v>3075</v>
      </c>
      <c r="C140" s="55" t="s">
        <v>3076</v>
      </c>
      <c r="D140" s="55">
        <v>4</v>
      </c>
      <c r="E140" s="55" t="s">
        <v>1595</v>
      </c>
      <c r="F140" s="55" t="s">
        <v>3077</v>
      </c>
      <c r="G140" s="55">
        <v>1</v>
      </c>
      <c r="H140" s="55">
        <v>1</v>
      </c>
      <c r="I140" s="55" t="s">
        <v>3078</v>
      </c>
      <c r="J140" s="55" t="s">
        <v>3079</v>
      </c>
      <c r="K140" s="55" t="s">
        <v>3080</v>
      </c>
      <c r="L140" s="55" t="s">
        <v>3081</v>
      </c>
      <c r="M140" s="55">
        <v>1</v>
      </c>
      <c r="N140" s="55">
        <v>1</v>
      </c>
      <c r="O140" s="55">
        <f t="shared" si="28"/>
        <v>10</v>
      </c>
      <c r="P140" s="55" t="str">
        <f t="shared" si="26"/>
        <v>[(112,10)]</v>
      </c>
      <c r="Q140">
        <f t="shared" si="27"/>
        <v>2</v>
      </c>
    </row>
    <row r="141" spans="1:17" x14ac:dyDescent="0.15">
      <c r="A141" s="55">
        <v>2</v>
      </c>
      <c r="B141" s="55" t="s">
        <v>3153</v>
      </c>
      <c r="C141" s="55" t="s">
        <v>3154</v>
      </c>
      <c r="D141" s="55">
        <v>4</v>
      </c>
      <c r="E141" s="55" t="s">
        <v>3247</v>
      </c>
      <c r="F141" s="55" t="s">
        <v>3156</v>
      </c>
      <c r="G141" s="55">
        <v>15</v>
      </c>
      <c r="H141" s="55">
        <v>1</v>
      </c>
      <c r="I141" s="55" t="s">
        <v>3157</v>
      </c>
      <c r="J141" s="55" t="s">
        <v>3158</v>
      </c>
      <c r="K141" s="55" t="s">
        <v>3159</v>
      </c>
      <c r="L141" s="55" t="s">
        <v>3160</v>
      </c>
      <c r="M141" s="55">
        <v>1</v>
      </c>
      <c r="N141" s="55">
        <v>15</v>
      </c>
      <c r="O141" s="55">
        <f t="shared" si="28"/>
        <v>10</v>
      </c>
      <c r="P141" s="55" t="str">
        <f t="shared" si="26"/>
        <v>[(112,10)]</v>
      </c>
      <c r="Q141">
        <f t="shared" si="27"/>
        <v>2</v>
      </c>
    </row>
    <row r="142" spans="1:17" x14ac:dyDescent="0.15">
      <c r="A142" s="55">
        <v>2</v>
      </c>
      <c r="B142" s="55" t="s">
        <v>3246</v>
      </c>
      <c r="C142" s="55" t="s">
        <v>3250</v>
      </c>
      <c r="D142" s="55">
        <v>4</v>
      </c>
      <c r="E142" s="55" t="s">
        <v>3251</v>
      </c>
      <c r="F142" s="55" t="s">
        <v>3088</v>
      </c>
      <c r="G142" s="55">
        <v>500</v>
      </c>
      <c r="H142" s="55">
        <v>1</v>
      </c>
      <c r="I142" s="55" t="s">
        <v>3252</v>
      </c>
      <c r="J142" s="55" t="s">
        <v>3253</v>
      </c>
      <c r="K142" s="55" t="s">
        <v>3254</v>
      </c>
      <c r="L142" s="55" t="s">
        <v>3255</v>
      </c>
      <c r="M142" s="55">
        <v>17</v>
      </c>
      <c r="N142" s="55">
        <v>500</v>
      </c>
      <c r="O142" s="55">
        <f t="shared" si="28"/>
        <v>15</v>
      </c>
      <c r="P142" s="55" t="str">
        <f t="shared" si="26"/>
        <v>[(112,15)]</v>
      </c>
      <c r="Q142">
        <f t="shared" si="27"/>
        <v>5</v>
      </c>
    </row>
    <row r="143" spans="1:17" x14ac:dyDescent="0.15">
      <c r="A143" s="55">
        <v>2</v>
      </c>
      <c r="B143" s="55" t="s">
        <v>3140</v>
      </c>
      <c r="C143" s="55" t="s">
        <v>3141</v>
      </c>
      <c r="D143" s="55">
        <v>4</v>
      </c>
      <c r="E143" s="55" t="s">
        <v>3248</v>
      </c>
      <c r="F143" s="55" t="s">
        <v>3088</v>
      </c>
      <c r="G143" s="55">
        <v>5</v>
      </c>
      <c r="H143" s="55">
        <v>2</v>
      </c>
      <c r="I143" s="55" t="s">
        <v>3142</v>
      </c>
      <c r="J143" s="55" t="s">
        <v>3143</v>
      </c>
      <c r="K143" s="55" t="s">
        <v>3144</v>
      </c>
      <c r="L143" s="55" t="s">
        <v>3145</v>
      </c>
      <c r="M143" s="55">
        <v>13</v>
      </c>
      <c r="N143" s="55">
        <v>5</v>
      </c>
      <c r="O143" s="55">
        <f t="shared" si="28"/>
        <v>5</v>
      </c>
      <c r="P143" s="55" t="str">
        <f t="shared" si="26"/>
        <v>[(112,5)]</v>
      </c>
      <c r="Q143">
        <f t="shared" si="27"/>
        <v>2.5</v>
      </c>
    </row>
    <row r="144" spans="1:17" x14ac:dyDescent="0.15">
      <c r="A144" s="55">
        <v>2</v>
      </c>
      <c r="B144" s="55" t="s">
        <v>3231</v>
      </c>
      <c r="C144" s="55" t="s">
        <v>3256</v>
      </c>
      <c r="D144" s="55">
        <v>4</v>
      </c>
      <c r="E144" s="55" t="s">
        <v>3097</v>
      </c>
      <c r="F144" s="55" t="s">
        <v>3088</v>
      </c>
      <c r="G144" s="55">
        <v>4</v>
      </c>
      <c r="H144" s="55">
        <v>2</v>
      </c>
      <c r="I144" s="55" t="s">
        <v>3257</v>
      </c>
      <c r="J144" s="55" t="s">
        <v>3258</v>
      </c>
      <c r="K144" s="55" t="s">
        <v>3259</v>
      </c>
      <c r="L144" s="55" t="s">
        <v>3260</v>
      </c>
      <c r="M144" s="55">
        <v>0</v>
      </c>
      <c r="N144" s="55">
        <v>4</v>
      </c>
      <c r="O144" s="55">
        <f t="shared" si="28"/>
        <v>5</v>
      </c>
      <c r="P144" s="55" t="str">
        <f t="shared" si="26"/>
        <v>[(112,5)]</v>
      </c>
      <c r="Q144">
        <f t="shared" si="27"/>
        <v>4</v>
      </c>
    </row>
    <row r="145" spans="1:17" x14ac:dyDescent="0.15">
      <c r="A145" s="55">
        <v>2</v>
      </c>
      <c r="B145" s="55" t="s">
        <v>3146</v>
      </c>
      <c r="C145" s="55" t="s">
        <v>3191</v>
      </c>
      <c r="D145" s="55">
        <v>4</v>
      </c>
      <c r="E145" s="55" t="s">
        <v>1595</v>
      </c>
      <c r="F145" s="55" t="s">
        <v>3192</v>
      </c>
      <c r="G145" s="55">
        <v>1</v>
      </c>
      <c r="H145" s="55">
        <v>2</v>
      </c>
      <c r="I145" s="55" t="s">
        <v>3193</v>
      </c>
      <c r="J145" s="55" t="s">
        <v>3194</v>
      </c>
      <c r="K145" s="55" t="s">
        <v>3195</v>
      </c>
      <c r="L145" s="55" t="s">
        <v>3196</v>
      </c>
      <c r="M145" s="55">
        <v>1</v>
      </c>
      <c r="N145" s="55">
        <v>1</v>
      </c>
      <c r="O145" s="55">
        <f t="shared" si="28"/>
        <v>10</v>
      </c>
      <c r="P145" s="55" t="str">
        <f t="shared" si="26"/>
        <v>[(112,10)]</v>
      </c>
      <c r="Q145">
        <f t="shared" si="27"/>
        <v>0.13333333333333333</v>
      </c>
    </row>
    <row r="146" spans="1:17" x14ac:dyDescent="0.15">
      <c r="A146" s="55">
        <v>2</v>
      </c>
      <c r="B146" s="55" t="s">
        <v>3161</v>
      </c>
      <c r="C146" s="55" t="s">
        <v>3162</v>
      </c>
      <c r="D146" s="55">
        <v>4</v>
      </c>
      <c r="E146" s="55" t="s">
        <v>3183</v>
      </c>
      <c r="F146" s="55" t="s">
        <v>3163</v>
      </c>
      <c r="G146" s="55">
        <v>15</v>
      </c>
      <c r="H146" s="55">
        <v>2</v>
      </c>
      <c r="I146" s="55" t="s">
        <v>3164</v>
      </c>
      <c r="J146" s="55" t="s">
        <v>3165</v>
      </c>
      <c r="K146" s="55" t="s">
        <v>3166</v>
      </c>
      <c r="L146" s="55" t="s">
        <v>3167</v>
      </c>
      <c r="M146" s="55">
        <v>1</v>
      </c>
      <c r="N146" s="55">
        <v>15</v>
      </c>
      <c r="O146" s="55">
        <f t="shared" si="28"/>
        <v>10</v>
      </c>
      <c r="P146" s="55" t="str">
        <f t="shared" si="26"/>
        <v>[(112,10)]</v>
      </c>
      <c r="Q146">
        <f t="shared" si="27"/>
        <v>2</v>
      </c>
    </row>
    <row r="147" spans="1:17" x14ac:dyDescent="0.15">
      <c r="A147" s="55">
        <v>2</v>
      </c>
      <c r="B147" s="55" t="s">
        <v>3207</v>
      </c>
      <c r="C147" s="55" t="s">
        <v>3208</v>
      </c>
      <c r="D147" s="55">
        <v>4</v>
      </c>
      <c r="E147" s="55" t="s">
        <v>3248</v>
      </c>
      <c r="F147" s="55" t="s">
        <v>3088</v>
      </c>
      <c r="G147" s="55">
        <v>5</v>
      </c>
      <c r="H147" s="55">
        <v>2</v>
      </c>
      <c r="I147" s="55" t="s">
        <v>3209</v>
      </c>
      <c r="J147" s="55" t="s">
        <v>3210</v>
      </c>
      <c r="K147" s="55" t="s">
        <v>3211</v>
      </c>
      <c r="L147" s="55" t="s">
        <v>3212</v>
      </c>
      <c r="M147" s="55">
        <v>8</v>
      </c>
      <c r="N147" s="55">
        <v>5</v>
      </c>
      <c r="O147" s="55">
        <f t="shared" si="28"/>
        <v>10</v>
      </c>
      <c r="P147" s="55" t="str">
        <f t="shared" si="26"/>
        <v>[(112,10)]</v>
      </c>
      <c r="Q147">
        <f t="shared" si="27"/>
        <v>2.5</v>
      </c>
    </row>
    <row r="148" spans="1:17" x14ac:dyDescent="0.15">
      <c r="A148" s="55">
        <v>2</v>
      </c>
      <c r="B148" s="55" t="s">
        <v>3139</v>
      </c>
      <c r="C148" s="55" t="s">
        <v>3185</v>
      </c>
      <c r="D148" s="55">
        <v>4</v>
      </c>
      <c r="E148" s="55" t="s">
        <v>1595</v>
      </c>
      <c r="F148" s="55" t="s">
        <v>3088</v>
      </c>
      <c r="G148" s="55">
        <v>3</v>
      </c>
      <c r="H148" s="55">
        <v>2</v>
      </c>
      <c r="I148" s="55" t="s">
        <v>3186</v>
      </c>
      <c r="J148" s="55" t="s">
        <v>3187</v>
      </c>
      <c r="K148" s="55" t="s">
        <v>3188</v>
      </c>
      <c r="L148" s="55" t="s">
        <v>3189</v>
      </c>
      <c r="M148" s="55">
        <v>14</v>
      </c>
      <c r="N148" s="55">
        <v>3</v>
      </c>
      <c r="O148" s="55">
        <f t="shared" si="28"/>
        <v>10</v>
      </c>
      <c r="P148" s="55" t="str">
        <f t="shared" si="26"/>
        <v>[(112,10)]</v>
      </c>
      <c r="Q148">
        <f t="shared" si="27"/>
        <v>6</v>
      </c>
    </row>
    <row r="149" spans="1:17" x14ac:dyDescent="0.15">
      <c r="A149" s="55">
        <v>2</v>
      </c>
      <c r="B149" s="55" t="s">
        <v>3184</v>
      </c>
      <c r="C149" s="55" t="s">
        <v>3261</v>
      </c>
      <c r="D149" s="55">
        <v>4</v>
      </c>
      <c r="E149" s="55" t="s">
        <v>3262</v>
      </c>
      <c r="F149" s="55" t="s">
        <v>3263</v>
      </c>
      <c r="G149" s="55">
        <v>1</v>
      </c>
      <c r="H149" s="55">
        <v>2</v>
      </c>
      <c r="I149" s="55" t="s">
        <v>3264</v>
      </c>
      <c r="J149" s="55" t="s">
        <v>3265</v>
      </c>
      <c r="K149" s="55" t="s">
        <v>3266</v>
      </c>
      <c r="L149" s="55" t="s">
        <v>3267</v>
      </c>
      <c r="M149" s="55">
        <v>1</v>
      </c>
      <c r="N149" s="55">
        <v>1</v>
      </c>
      <c r="O149" s="55">
        <f t="shared" si="28"/>
        <v>10</v>
      </c>
      <c r="P149" s="55" t="str">
        <f t="shared" si="26"/>
        <v>[(112,10)]</v>
      </c>
      <c r="Q149">
        <f t="shared" si="27"/>
        <v>6.9999999999999991</v>
      </c>
    </row>
    <row r="150" spans="1:17" x14ac:dyDescent="0.15">
      <c r="A150" s="55">
        <v>2</v>
      </c>
      <c r="B150" s="55" t="s">
        <v>3176</v>
      </c>
      <c r="C150" s="55" t="s">
        <v>3177</v>
      </c>
      <c r="D150" s="55">
        <v>5</v>
      </c>
      <c r="E150" s="55" t="s">
        <v>3320</v>
      </c>
      <c r="F150" s="55" t="s">
        <v>3088</v>
      </c>
      <c r="G150" s="55">
        <v>300</v>
      </c>
      <c r="H150" s="55">
        <v>1</v>
      </c>
      <c r="I150" s="55" t="s">
        <v>3178</v>
      </c>
      <c r="J150" s="55" t="s">
        <v>3179</v>
      </c>
      <c r="K150" s="55" t="s">
        <v>3180</v>
      </c>
      <c r="L150" s="55" t="s">
        <v>3181</v>
      </c>
      <c r="M150" s="55">
        <v>1</v>
      </c>
      <c r="N150" s="55">
        <v>300</v>
      </c>
      <c r="O150" s="55">
        <f t="shared" si="28"/>
        <v>5</v>
      </c>
      <c r="P150" s="55" t="str">
        <f t="shared" si="26"/>
        <v>[(112,5)]</v>
      </c>
      <c r="Q150">
        <f t="shared" si="27"/>
        <v>1.6</v>
      </c>
    </row>
    <row r="151" spans="1:17" x14ac:dyDescent="0.15">
      <c r="A151" s="55">
        <v>2</v>
      </c>
      <c r="B151" s="55" t="s">
        <v>3082</v>
      </c>
      <c r="C151" s="55" t="s">
        <v>3134</v>
      </c>
      <c r="D151" s="55">
        <v>5</v>
      </c>
      <c r="E151" s="55" t="s">
        <v>3215</v>
      </c>
      <c r="F151" s="55" t="s">
        <v>3088</v>
      </c>
      <c r="G151" s="55">
        <v>80</v>
      </c>
      <c r="H151" s="55">
        <v>1</v>
      </c>
      <c r="I151" s="55" t="s">
        <v>3135</v>
      </c>
      <c r="J151" s="55" t="s">
        <v>3136</v>
      </c>
      <c r="K151" s="55" t="s">
        <v>3137</v>
      </c>
      <c r="L151" s="55" t="s">
        <v>3138</v>
      </c>
      <c r="M151" s="55">
        <v>1</v>
      </c>
      <c r="N151" s="55">
        <v>80</v>
      </c>
      <c r="O151" s="55">
        <f t="shared" si="28"/>
        <v>5</v>
      </c>
      <c r="P151" s="55" t="str">
        <f t="shared" si="26"/>
        <v>[(112,5)]</v>
      </c>
      <c r="Q151">
        <f t="shared" si="27"/>
        <v>3.5555555555555558</v>
      </c>
    </row>
    <row r="152" spans="1:17" x14ac:dyDescent="0.15">
      <c r="A152" s="55">
        <v>2</v>
      </c>
      <c r="B152" s="55" t="s">
        <v>3103</v>
      </c>
      <c r="C152" s="55" t="s">
        <v>3203</v>
      </c>
      <c r="D152" s="55">
        <v>5</v>
      </c>
      <c r="E152" s="55" t="s">
        <v>3248</v>
      </c>
      <c r="F152" s="55" t="s">
        <v>3088</v>
      </c>
      <c r="G152" s="55">
        <v>5</v>
      </c>
      <c r="H152" s="55">
        <v>1</v>
      </c>
      <c r="I152" s="55" t="s">
        <v>3204</v>
      </c>
      <c r="J152" s="55" t="s">
        <v>3205</v>
      </c>
      <c r="K152" s="55" t="s">
        <v>3751</v>
      </c>
      <c r="L152" s="55" t="s">
        <v>3750</v>
      </c>
      <c r="M152" s="55">
        <v>16</v>
      </c>
      <c r="N152" s="55">
        <v>5</v>
      </c>
      <c r="O152" s="55">
        <f t="shared" si="28"/>
        <v>10</v>
      </c>
      <c r="P152" s="55" t="str">
        <f t="shared" si="26"/>
        <v>[(112,10)]</v>
      </c>
      <c r="Q152">
        <f t="shared" si="27"/>
        <v>5</v>
      </c>
    </row>
    <row r="153" spans="1:17" x14ac:dyDescent="0.15">
      <c r="A153" s="55">
        <v>2</v>
      </c>
      <c r="B153" s="55" t="s">
        <v>3246</v>
      </c>
      <c r="C153" s="55" t="s">
        <v>3250</v>
      </c>
      <c r="D153" s="55">
        <v>5</v>
      </c>
      <c r="E153" s="55" t="s">
        <v>3251</v>
      </c>
      <c r="F153" s="55" t="s">
        <v>3088</v>
      </c>
      <c r="G153" s="55">
        <v>500</v>
      </c>
      <c r="H153" s="55">
        <v>1</v>
      </c>
      <c r="I153" s="55" t="s">
        <v>3252</v>
      </c>
      <c r="J153" s="55" t="s">
        <v>3253</v>
      </c>
      <c r="K153" s="55" t="s">
        <v>3254</v>
      </c>
      <c r="L153" s="55" t="s">
        <v>3255</v>
      </c>
      <c r="M153" s="55">
        <v>17</v>
      </c>
      <c r="N153" s="55">
        <v>500</v>
      </c>
      <c r="O153" s="55">
        <f t="shared" si="28"/>
        <v>15</v>
      </c>
      <c r="P153" s="55" t="str">
        <f t="shared" si="26"/>
        <v>[(112,15)]</v>
      </c>
      <c r="Q153">
        <f t="shared" si="27"/>
        <v>5</v>
      </c>
    </row>
    <row r="154" spans="1:17" x14ac:dyDescent="0.15">
      <c r="A154" s="55">
        <v>2</v>
      </c>
      <c r="B154" s="55" t="s">
        <v>3115</v>
      </c>
      <c r="C154" s="55" t="s">
        <v>3116</v>
      </c>
      <c r="D154" s="55">
        <v>5</v>
      </c>
      <c r="E154" s="55" t="s">
        <v>3129</v>
      </c>
      <c r="F154" s="55" t="s">
        <v>3088</v>
      </c>
      <c r="G154" s="55">
        <v>30</v>
      </c>
      <c r="H154" s="55">
        <v>1</v>
      </c>
      <c r="I154" s="55" t="s">
        <v>3118</v>
      </c>
      <c r="J154" s="55" t="s">
        <v>3119</v>
      </c>
      <c r="K154" s="55" t="s">
        <v>3120</v>
      </c>
      <c r="L154" s="55" t="s">
        <v>3121</v>
      </c>
      <c r="M154" s="55">
        <v>1</v>
      </c>
      <c r="N154" s="55">
        <v>30</v>
      </c>
      <c r="O154" s="55">
        <f t="shared" si="28"/>
        <v>15</v>
      </c>
      <c r="P154" s="55" t="str">
        <f t="shared" si="26"/>
        <v>[(112,15)]</v>
      </c>
      <c r="Q154">
        <f t="shared" si="27"/>
        <v>6.6799999999999988</v>
      </c>
    </row>
    <row r="155" spans="1:17" x14ac:dyDescent="0.15">
      <c r="A155" s="55">
        <v>2</v>
      </c>
      <c r="B155" s="55" t="s">
        <v>3161</v>
      </c>
      <c r="C155" s="55" t="s">
        <v>3162</v>
      </c>
      <c r="D155" s="55">
        <v>5</v>
      </c>
      <c r="E155" s="55" t="s">
        <v>3275</v>
      </c>
      <c r="F155" s="55" t="s">
        <v>3163</v>
      </c>
      <c r="G155" s="55">
        <v>20</v>
      </c>
      <c r="H155" s="55">
        <v>2</v>
      </c>
      <c r="I155" s="55" t="s">
        <v>3164</v>
      </c>
      <c r="J155" s="55" t="s">
        <v>3165</v>
      </c>
      <c r="K155" s="55" t="s">
        <v>3166</v>
      </c>
      <c r="L155" s="55" t="s">
        <v>3167</v>
      </c>
      <c r="M155" s="55">
        <v>1</v>
      </c>
      <c r="N155" s="55">
        <v>20</v>
      </c>
      <c r="O155" s="55">
        <f t="shared" si="28"/>
        <v>10</v>
      </c>
      <c r="P155" s="55" t="str">
        <f t="shared" si="26"/>
        <v>[(112,10)]</v>
      </c>
      <c r="Q155">
        <f t="shared" si="27"/>
        <v>2.6666666666666665</v>
      </c>
    </row>
    <row r="156" spans="1:17" x14ac:dyDescent="0.15">
      <c r="A156" s="55">
        <v>2</v>
      </c>
      <c r="B156" s="55" t="s">
        <v>3197</v>
      </c>
      <c r="C156" s="55" t="s">
        <v>3198</v>
      </c>
      <c r="D156" s="55">
        <v>5</v>
      </c>
      <c r="E156" s="55" t="s">
        <v>3183</v>
      </c>
      <c r="F156" s="55" t="s">
        <v>3088</v>
      </c>
      <c r="G156" s="55">
        <v>15</v>
      </c>
      <c r="H156" s="55">
        <v>2</v>
      </c>
      <c r="I156" s="55" t="s">
        <v>3199</v>
      </c>
      <c r="J156" s="55" t="s">
        <v>3200</v>
      </c>
      <c r="K156" s="55" t="s">
        <v>3201</v>
      </c>
      <c r="L156" s="55" t="s">
        <v>3202</v>
      </c>
      <c r="M156" s="55">
        <v>17</v>
      </c>
      <c r="N156" s="55">
        <v>15</v>
      </c>
      <c r="O156" s="55">
        <f t="shared" si="28"/>
        <v>10</v>
      </c>
      <c r="P156" s="55" t="str">
        <f t="shared" si="26"/>
        <v>[(112,10)]</v>
      </c>
      <c r="Q156">
        <f t="shared" si="27"/>
        <v>7</v>
      </c>
    </row>
    <row r="157" spans="1:17" x14ac:dyDescent="0.15">
      <c r="A157" s="55">
        <v>2</v>
      </c>
      <c r="B157" s="55" t="s">
        <v>3147</v>
      </c>
      <c r="C157" s="55" t="s">
        <v>3148</v>
      </c>
      <c r="D157" s="55">
        <v>5</v>
      </c>
      <c r="E157" s="55" t="s">
        <v>3275</v>
      </c>
      <c r="F157" s="55" t="s">
        <v>3088</v>
      </c>
      <c r="G157" s="55">
        <v>20</v>
      </c>
      <c r="H157" s="55">
        <v>2</v>
      </c>
      <c r="I157" s="55" t="s">
        <v>3149</v>
      </c>
      <c r="J157" s="55" t="s">
        <v>3150</v>
      </c>
      <c r="K157" s="55" t="s">
        <v>3151</v>
      </c>
      <c r="L157" s="55" t="s">
        <v>3152</v>
      </c>
      <c r="M157" s="55">
        <v>1</v>
      </c>
      <c r="N157" s="55">
        <v>20</v>
      </c>
      <c r="O157" s="55">
        <f t="shared" si="28"/>
        <v>15</v>
      </c>
      <c r="P157" s="55" t="str">
        <f t="shared" si="26"/>
        <v>[(112,15)]</v>
      </c>
      <c r="Q157">
        <f t="shared" si="27"/>
        <v>5.333333333333333</v>
      </c>
    </row>
    <row r="158" spans="1:17" x14ac:dyDescent="0.15">
      <c r="A158" s="55">
        <v>2</v>
      </c>
      <c r="B158" s="55" t="s">
        <v>3190</v>
      </c>
      <c r="C158" s="55" t="s">
        <v>3269</v>
      </c>
      <c r="D158" s="55">
        <v>5</v>
      </c>
      <c r="E158" s="55" t="s">
        <v>3270</v>
      </c>
      <c r="F158" s="55" t="s">
        <v>3088</v>
      </c>
      <c r="G158" s="55">
        <v>1</v>
      </c>
      <c r="H158" s="55">
        <v>2</v>
      </c>
      <c r="I158" s="55" t="s">
        <v>3271</v>
      </c>
      <c r="J158" s="55" t="s">
        <v>3272</v>
      </c>
      <c r="K158" s="55" t="s">
        <v>3273</v>
      </c>
      <c r="L158" s="55" t="s">
        <v>3274</v>
      </c>
      <c r="M158" s="55">
        <v>1</v>
      </c>
      <c r="N158" s="55">
        <v>1</v>
      </c>
      <c r="O158" s="55">
        <f t="shared" si="28"/>
        <v>15</v>
      </c>
      <c r="P158" s="55" t="str">
        <f t="shared" si="26"/>
        <v>[(112,15)]</v>
      </c>
      <c r="Q158">
        <f t="shared" si="27"/>
        <v>7</v>
      </c>
    </row>
    <row r="159" spans="1:17" x14ac:dyDescent="0.15">
      <c r="A159" s="55">
        <v>2</v>
      </c>
      <c r="B159" s="55" t="s">
        <v>3113</v>
      </c>
      <c r="C159" s="55" t="s">
        <v>3122</v>
      </c>
      <c r="D159" s="55">
        <v>5</v>
      </c>
      <c r="E159" s="55" t="s">
        <v>3087</v>
      </c>
      <c r="F159" s="55" t="s">
        <v>3088</v>
      </c>
      <c r="G159" s="55">
        <v>6</v>
      </c>
      <c r="H159" s="55">
        <v>2</v>
      </c>
      <c r="I159" s="55" t="s">
        <v>3123</v>
      </c>
      <c r="J159" s="55" t="s">
        <v>3124</v>
      </c>
      <c r="K159" s="55" t="s">
        <v>3125</v>
      </c>
      <c r="L159" s="55" t="s">
        <v>3126</v>
      </c>
      <c r="M159" s="55">
        <v>1</v>
      </c>
      <c r="N159" s="55">
        <v>6</v>
      </c>
      <c r="O159" s="55">
        <f t="shared" si="28"/>
        <v>20</v>
      </c>
      <c r="P159" s="55" t="str">
        <f t="shared" si="26"/>
        <v>[(112,20)]</v>
      </c>
      <c r="Q159">
        <f t="shared" si="27"/>
        <v>4</v>
      </c>
    </row>
    <row r="160" spans="1:17" x14ac:dyDescent="0.15">
      <c r="A160" s="55">
        <v>2</v>
      </c>
      <c r="B160" s="55" t="s">
        <v>3127</v>
      </c>
      <c r="C160" s="55" t="s">
        <v>3128</v>
      </c>
      <c r="D160" s="55">
        <v>6</v>
      </c>
      <c r="E160" s="55" t="s">
        <v>1667</v>
      </c>
      <c r="F160" s="55" t="s">
        <v>3088</v>
      </c>
      <c r="G160" s="55">
        <v>50</v>
      </c>
      <c r="H160" s="55">
        <v>1</v>
      </c>
      <c r="I160" s="55" t="s">
        <v>3130</v>
      </c>
      <c r="J160" s="55" t="s">
        <v>3131</v>
      </c>
      <c r="K160" s="55" t="s">
        <v>3132</v>
      </c>
      <c r="L160" s="55" t="s">
        <v>3133</v>
      </c>
      <c r="M160" s="55">
        <v>1</v>
      </c>
      <c r="N160" s="55">
        <v>50</v>
      </c>
      <c r="O160" s="55">
        <f t="shared" si="28"/>
        <v>10</v>
      </c>
      <c r="P160" s="55" t="str">
        <f t="shared" si="26"/>
        <v>[(112,10)]</v>
      </c>
      <c r="Q160">
        <f t="shared" si="27"/>
        <v>1.3333333333333333</v>
      </c>
    </row>
    <row r="161" spans="1:17" x14ac:dyDescent="0.15">
      <c r="A161" s="55">
        <v>2</v>
      </c>
      <c r="B161" s="55" t="s">
        <v>3153</v>
      </c>
      <c r="C161" s="55" t="s">
        <v>3154</v>
      </c>
      <c r="D161" s="55">
        <v>6</v>
      </c>
      <c r="E161" s="55" t="s">
        <v>3247</v>
      </c>
      <c r="F161" s="55" t="s">
        <v>3156</v>
      </c>
      <c r="G161" s="55">
        <v>15</v>
      </c>
      <c r="H161" s="55">
        <v>1</v>
      </c>
      <c r="I161" s="55" t="s">
        <v>3157</v>
      </c>
      <c r="J161" s="55" t="s">
        <v>3158</v>
      </c>
      <c r="K161" s="55" t="s">
        <v>3159</v>
      </c>
      <c r="L161" s="55" t="s">
        <v>3160</v>
      </c>
      <c r="M161" s="55">
        <v>1</v>
      </c>
      <c r="N161" s="55">
        <v>15</v>
      </c>
      <c r="O161" s="55">
        <f t="shared" si="28"/>
        <v>10</v>
      </c>
      <c r="P161" s="55" t="str">
        <f t="shared" si="26"/>
        <v>[(112,10)]</v>
      </c>
      <c r="Q161">
        <f t="shared" si="27"/>
        <v>2</v>
      </c>
    </row>
    <row r="162" spans="1:17" x14ac:dyDescent="0.15">
      <c r="A162" s="55">
        <v>2</v>
      </c>
      <c r="B162" s="55" t="s">
        <v>3207</v>
      </c>
      <c r="C162" s="55" t="s">
        <v>3208</v>
      </c>
      <c r="D162" s="55">
        <v>6</v>
      </c>
      <c r="E162" s="55" t="s">
        <v>3248</v>
      </c>
      <c r="F162" s="55" t="s">
        <v>3088</v>
      </c>
      <c r="G162" s="55">
        <v>5</v>
      </c>
      <c r="H162" s="55">
        <v>1</v>
      </c>
      <c r="I162" s="55" t="s">
        <v>3209</v>
      </c>
      <c r="J162" s="55" t="s">
        <v>3210</v>
      </c>
      <c r="K162" s="55" t="s">
        <v>3211</v>
      </c>
      <c r="L162" s="55" t="s">
        <v>3212</v>
      </c>
      <c r="M162" s="55">
        <v>8</v>
      </c>
      <c r="N162" s="55">
        <v>5</v>
      </c>
      <c r="O162" s="55">
        <f t="shared" si="28"/>
        <v>10</v>
      </c>
      <c r="P162" s="55" t="str">
        <f t="shared" si="26"/>
        <v>[(112,10)]</v>
      </c>
      <c r="Q162">
        <f t="shared" si="27"/>
        <v>2.5</v>
      </c>
    </row>
    <row r="163" spans="1:17" x14ac:dyDescent="0.15">
      <c r="A163" s="55">
        <v>2</v>
      </c>
      <c r="B163" s="55" t="s">
        <v>3206</v>
      </c>
      <c r="C163" s="55" t="s">
        <v>3277</v>
      </c>
      <c r="D163" s="55">
        <v>6</v>
      </c>
      <c r="E163" s="55" t="s">
        <v>3088</v>
      </c>
      <c r="F163" s="55" t="s">
        <v>3163</v>
      </c>
      <c r="G163" s="55">
        <v>1</v>
      </c>
      <c r="H163" s="55">
        <v>1</v>
      </c>
      <c r="I163" s="55" t="s">
        <v>3278</v>
      </c>
      <c r="J163" s="55" t="s">
        <v>3279</v>
      </c>
      <c r="K163" s="55" t="s">
        <v>3280</v>
      </c>
      <c r="L163" s="55" t="s">
        <v>3281</v>
      </c>
      <c r="M163" s="55">
        <v>1</v>
      </c>
      <c r="N163" s="55">
        <v>1</v>
      </c>
      <c r="O163" s="55">
        <f t="shared" si="28"/>
        <v>15</v>
      </c>
      <c r="P163" s="55" t="str">
        <f t="shared" si="26"/>
        <v>[(112,15)]</v>
      </c>
      <c r="Q163">
        <f t="shared" si="27"/>
        <v>0.5</v>
      </c>
    </row>
    <row r="164" spans="1:17" x14ac:dyDescent="0.15">
      <c r="A164" s="55">
        <v>2</v>
      </c>
      <c r="B164" s="55" t="s">
        <v>3182</v>
      </c>
      <c r="C164" s="55" t="s">
        <v>3282</v>
      </c>
      <c r="D164" s="55">
        <v>6</v>
      </c>
      <c r="E164" s="55" t="s">
        <v>1667</v>
      </c>
      <c r="F164" s="55" t="s">
        <v>3283</v>
      </c>
      <c r="G164" s="55">
        <v>1</v>
      </c>
      <c r="H164" s="55">
        <v>1</v>
      </c>
      <c r="I164" s="55" t="s">
        <v>3284</v>
      </c>
      <c r="J164" s="55" t="s">
        <v>3285</v>
      </c>
      <c r="K164" s="55" t="s">
        <v>3286</v>
      </c>
      <c r="L164" s="55" t="s">
        <v>3287</v>
      </c>
      <c r="M164" s="55">
        <v>1</v>
      </c>
      <c r="N164" s="55">
        <v>1</v>
      </c>
      <c r="O164" s="55">
        <f t="shared" si="28"/>
        <v>20</v>
      </c>
      <c r="P164" s="55" t="str">
        <f t="shared" si="26"/>
        <v>[(112,20)]</v>
      </c>
      <c r="Q164">
        <f t="shared" si="27"/>
        <v>1</v>
      </c>
    </row>
    <row r="165" spans="1:17" x14ac:dyDescent="0.15">
      <c r="A165" s="55">
        <v>2</v>
      </c>
      <c r="B165" s="55" t="s">
        <v>3140</v>
      </c>
      <c r="C165" s="55" t="s">
        <v>3141</v>
      </c>
      <c r="D165" s="55">
        <v>6</v>
      </c>
      <c r="E165" s="55" t="s">
        <v>3248</v>
      </c>
      <c r="F165" s="55" t="s">
        <v>3088</v>
      </c>
      <c r="G165" s="55">
        <v>5</v>
      </c>
      <c r="H165" s="55">
        <v>2</v>
      </c>
      <c r="I165" s="55" t="s">
        <v>3142</v>
      </c>
      <c r="J165" s="55" t="s">
        <v>3143</v>
      </c>
      <c r="K165" s="55" t="s">
        <v>3144</v>
      </c>
      <c r="L165" s="55" t="s">
        <v>3145</v>
      </c>
      <c r="M165" s="55">
        <v>13</v>
      </c>
      <c r="N165" s="55">
        <v>5</v>
      </c>
      <c r="O165" s="55">
        <f t="shared" si="28"/>
        <v>5</v>
      </c>
      <c r="P165" s="55" t="str">
        <f t="shared" si="26"/>
        <v>[(112,5)]</v>
      </c>
      <c r="Q165">
        <f t="shared" si="27"/>
        <v>2.5</v>
      </c>
    </row>
    <row r="166" spans="1:17" x14ac:dyDescent="0.15">
      <c r="A166" s="55">
        <v>2</v>
      </c>
      <c r="B166" s="55" t="s">
        <v>3207</v>
      </c>
      <c r="C166" s="55" t="s">
        <v>3208</v>
      </c>
      <c r="D166" s="55">
        <v>6</v>
      </c>
      <c r="E166" s="55" t="s">
        <v>3248</v>
      </c>
      <c r="F166" s="55" t="s">
        <v>3088</v>
      </c>
      <c r="G166" s="55">
        <v>5</v>
      </c>
      <c r="H166" s="55">
        <v>2</v>
      </c>
      <c r="I166" s="55" t="s">
        <v>3209</v>
      </c>
      <c r="J166" s="55" t="s">
        <v>3210</v>
      </c>
      <c r="K166" s="55" t="s">
        <v>3211</v>
      </c>
      <c r="L166" s="55" t="s">
        <v>3212</v>
      </c>
      <c r="M166" s="55">
        <v>8</v>
      </c>
      <c r="N166" s="55">
        <v>5</v>
      </c>
      <c r="O166" s="55">
        <f t="shared" si="28"/>
        <v>10</v>
      </c>
      <c r="P166" s="55" t="str">
        <f t="shared" si="26"/>
        <v>[(112,10)]</v>
      </c>
      <c r="Q166">
        <f t="shared" si="27"/>
        <v>2.5</v>
      </c>
    </row>
    <row r="167" spans="1:17" x14ac:dyDescent="0.15">
      <c r="A167" s="55">
        <v>2</v>
      </c>
      <c r="B167" s="55" t="s">
        <v>3217</v>
      </c>
      <c r="C167" s="55" t="s">
        <v>3218</v>
      </c>
      <c r="D167" s="55">
        <v>6</v>
      </c>
      <c r="E167" s="55" t="s">
        <v>3275</v>
      </c>
      <c r="F167" s="55" t="s">
        <v>3088</v>
      </c>
      <c r="G167" s="55">
        <v>20</v>
      </c>
      <c r="H167" s="55">
        <v>2</v>
      </c>
      <c r="I167" s="55" t="s">
        <v>3219</v>
      </c>
      <c r="J167" s="55" t="s">
        <v>3220</v>
      </c>
      <c r="K167" s="55" t="s">
        <v>3221</v>
      </c>
      <c r="L167" s="55" t="s">
        <v>3222</v>
      </c>
      <c r="M167" s="55">
        <v>11</v>
      </c>
      <c r="N167" s="55">
        <v>20</v>
      </c>
      <c r="O167" s="55">
        <f t="shared" si="28"/>
        <v>10</v>
      </c>
      <c r="P167" s="55" t="str">
        <f t="shared" si="26"/>
        <v>[(112,10)]</v>
      </c>
      <c r="Q167">
        <f t="shared" si="27"/>
        <v>5</v>
      </c>
    </row>
    <row r="168" spans="1:17" x14ac:dyDescent="0.15">
      <c r="A168" s="55">
        <v>2</v>
      </c>
      <c r="B168" s="55" t="s">
        <v>3169</v>
      </c>
      <c r="C168" s="55" t="s">
        <v>3170</v>
      </c>
      <c r="D168" s="55">
        <v>6</v>
      </c>
      <c r="E168" s="55" t="s">
        <v>3276</v>
      </c>
      <c r="F168" s="55" t="s">
        <v>3171</v>
      </c>
      <c r="G168" s="55">
        <v>10</v>
      </c>
      <c r="H168" s="55">
        <v>2</v>
      </c>
      <c r="I168" s="55" t="s">
        <v>3172</v>
      </c>
      <c r="J168" s="55" t="s">
        <v>3173</v>
      </c>
      <c r="K168" s="55" t="s">
        <v>3174</v>
      </c>
      <c r="L168" s="55" t="s">
        <v>3175</v>
      </c>
      <c r="M168" s="55">
        <v>1</v>
      </c>
      <c r="N168" s="55">
        <v>10</v>
      </c>
      <c r="O168" s="55">
        <f t="shared" si="28"/>
        <v>10</v>
      </c>
      <c r="P168" s="55" t="str">
        <f t="shared" si="26"/>
        <v>[(112,10)]</v>
      </c>
      <c r="Q168">
        <f t="shared" si="27"/>
        <v>7</v>
      </c>
    </row>
    <row r="169" spans="1:17" x14ac:dyDescent="0.15">
      <c r="A169" s="55">
        <v>2</v>
      </c>
      <c r="B169" s="55" t="s">
        <v>3161</v>
      </c>
      <c r="C169" s="55" t="s">
        <v>3162</v>
      </c>
      <c r="D169" s="55">
        <v>6</v>
      </c>
      <c r="E169" s="55" t="s">
        <v>3214</v>
      </c>
      <c r="F169" s="55" t="s">
        <v>3163</v>
      </c>
      <c r="G169" s="55">
        <v>25</v>
      </c>
      <c r="H169" s="55">
        <v>2</v>
      </c>
      <c r="I169" s="55" t="s">
        <v>3164</v>
      </c>
      <c r="J169" s="55" t="s">
        <v>3165</v>
      </c>
      <c r="K169" s="55" t="s">
        <v>3166</v>
      </c>
      <c r="L169" s="55" t="s">
        <v>3167</v>
      </c>
      <c r="M169" s="55">
        <v>1</v>
      </c>
      <c r="N169" s="55">
        <v>100</v>
      </c>
      <c r="O169" s="55">
        <f t="shared" si="28"/>
        <v>10</v>
      </c>
      <c r="P169" s="55" t="str">
        <f t="shared" si="26"/>
        <v>[(112,10)]</v>
      </c>
      <c r="Q169">
        <f t="shared" si="27"/>
        <v>7</v>
      </c>
    </row>
    <row r="170" spans="1:17" x14ac:dyDescent="0.15">
      <c r="A170" s="55">
        <v>2</v>
      </c>
      <c r="B170" s="55" t="s">
        <v>3176</v>
      </c>
      <c r="C170" s="55" t="s">
        <v>3177</v>
      </c>
      <c r="D170" s="55">
        <v>7</v>
      </c>
      <c r="E170" s="55" t="s">
        <v>3320</v>
      </c>
      <c r="F170" s="55" t="s">
        <v>3088</v>
      </c>
      <c r="G170" s="55">
        <v>300</v>
      </c>
      <c r="H170" s="55">
        <v>1</v>
      </c>
      <c r="I170" s="55" t="s">
        <v>3178</v>
      </c>
      <c r="J170" s="55" t="s">
        <v>3179</v>
      </c>
      <c r="K170" s="55" t="s">
        <v>3180</v>
      </c>
      <c r="L170" s="55" t="s">
        <v>3181</v>
      </c>
      <c r="M170" s="55">
        <v>1</v>
      </c>
      <c r="N170" s="55">
        <v>300</v>
      </c>
      <c r="O170" s="55">
        <f t="shared" ref="O170:O201" si="29">VLOOKUP(B170,AG:AK,5,FALSE)</f>
        <v>5</v>
      </c>
      <c r="P170" s="55" t="str">
        <f t="shared" si="26"/>
        <v>[(112,5)]</v>
      </c>
      <c r="Q170">
        <f t="shared" si="27"/>
        <v>1.6</v>
      </c>
    </row>
    <row r="171" spans="1:17" x14ac:dyDescent="0.15">
      <c r="A171" s="55">
        <v>2</v>
      </c>
      <c r="B171" s="55" t="s">
        <v>3239</v>
      </c>
      <c r="C171" s="55" t="s">
        <v>3288</v>
      </c>
      <c r="D171" s="55">
        <v>7</v>
      </c>
      <c r="E171" s="55" t="s">
        <v>3248</v>
      </c>
      <c r="F171" s="55" t="s">
        <v>3234</v>
      </c>
      <c r="G171" s="55">
        <v>5</v>
      </c>
      <c r="H171" s="55">
        <v>1</v>
      </c>
      <c r="I171" s="55" t="s">
        <v>3289</v>
      </c>
      <c r="J171" s="55" t="s">
        <v>3290</v>
      </c>
      <c r="K171" s="55" t="s">
        <v>3291</v>
      </c>
      <c r="L171" s="55" t="s">
        <v>3292</v>
      </c>
      <c r="M171" s="55">
        <v>1</v>
      </c>
      <c r="N171" s="55">
        <v>5</v>
      </c>
      <c r="O171" s="55">
        <f t="shared" si="29"/>
        <v>10</v>
      </c>
      <c r="P171" s="55" t="str">
        <f t="shared" si="26"/>
        <v>[(112,10)]</v>
      </c>
      <c r="Q171">
        <f t="shared" si="27"/>
        <v>1</v>
      </c>
    </row>
    <row r="172" spans="1:17" x14ac:dyDescent="0.15">
      <c r="A172" s="55">
        <v>2</v>
      </c>
      <c r="B172" s="55" t="s">
        <v>3115</v>
      </c>
      <c r="C172" s="55" t="s">
        <v>3116</v>
      </c>
      <c r="D172" s="55">
        <v>7</v>
      </c>
      <c r="E172" s="55" t="s">
        <v>3129</v>
      </c>
      <c r="F172" s="55" t="s">
        <v>3088</v>
      </c>
      <c r="G172" s="55">
        <v>30</v>
      </c>
      <c r="H172" s="55">
        <v>1</v>
      </c>
      <c r="I172" s="55" t="s">
        <v>3118</v>
      </c>
      <c r="J172" s="55" t="s">
        <v>3119</v>
      </c>
      <c r="K172" s="55" t="s">
        <v>3120</v>
      </c>
      <c r="L172" s="55" t="s">
        <v>3121</v>
      </c>
      <c r="M172" s="55">
        <v>1</v>
      </c>
      <c r="N172" s="55">
        <v>30</v>
      </c>
      <c r="O172" s="55">
        <f t="shared" si="29"/>
        <v>15</v>
      </c>
      <c r="P172" s="55" t="str">
        <f t="shared" si="26"/>
        <v>[(112,15)]</v>
      </c>
      <c r="Q172">
        <f t="shared" si="27"/>
        <v>6.6799999999999988</v>
      </c>
    </row>
    <row r="173" spans="1:17" x14ac:dyDescent="0.15">
      <c r="A173" s="55">
        <v>2</v>
      </c>
      <c r="B173" s="55" t="s">
        <v>3216</v>
      </c>
      <c r="C173" s="55" t="s">
        <v>3295</v>
      </c>
      <c r="D173" s="55">
        <v>7</v>
      </c>
      <c r="E173" s="55" t="s">
        <v>3275</v>
      </c>
      <c r="F173" s="55" t="s">
        <v>3321</v>
      </c>
      <c r="G173" s="55">
        <v>1</v>
      </c>
      <c r="H173" s="55">
        <v>1</v>
      </c>
      <c r="I173" s="55" t="s">
        <v>3297</v>
      </c>
      <c r="J173" s="55" t="s">
        <v>3298</v>
      </c>
      <c r="K173" s="55" t="s">
        <v>3299</v>
      </c>
      <c r="L173" s="55" t="s">
        <v>3300</v>
      </c>
      <c r="M173" s="55">
        <v>1</v>
      </c>
      <c r="N173" s="55">
        <v>1</v>
      </c>
      <c r="O173" s="55">
        <f t="shared" si="29"/>
        <v>15</v>
      </c>
      <c r="P173" s="55" t="str">
        <f t="shared" si="26"/>
        <v>[(112,15)]</v>
      </c>
      <c r="Q173">
        <f t="shared" si="27"/>
        <v>6.9999999999999991</v>
      </c>
    </row>
    <row r="174" spans="1:17" x14ac:dyDescent="0.15">
      <c r="A174" s="55">
        <v>2</v>
      </c>
      <c r="B174" s="55" t="s">
        <v>3223</v>
      </c>
      <c r="C174" s="55" t="s">
        <v>3301</v>
      </c>
      <c r="D174" s="55">
        <v>7</v>
      </c>
      <c r="E174" s="55" t="s">
        <v>3117</v>
      </c>
      <c r="F174" s="55" t="s">
        <v>3322</v>
      </c>
      <c r="G174" s="55">
        <v>1</v>
      </c>
      <c r="H174" s="55">
        <v>1</v>
      </c>
      <c r="I174" s="55" t="s">
        <v>3303</v>
      </c>
      <c r="J174" s="55" t="s">
        <v>3304</v>
      </c>
      <c r="K174" s="55" t="s">
        <v>3305</v>
      </c>
      <c r="L174" s="55" t="s">
        <v>3306</v>
      </c>
      <c r="M174" s="55">
        <v>1</v>
      </c>
      <c r="N174" s="55">
        <v>1</v>
      </c>
      <c r="O174" s="55">
        <f t="shared" si="29"/>
        <v>15</v>
      </c>
      <c r="P174" s="55" t="str">
        <f t="shared" si="26"/>
        <v>[(112,15)]</v>
      </c>
      <c r="Q174">
        <f t="shared" si="27"/>
        <v>6.9999999999999991</v>
      </c>
    </row>
    <row r="175" spans="1:17" x14ac:dyDescent="0.15">
      <c r="A175" s="55">
        <v>2</v>
      </c>
      <c r="B175" s="55" t="s">
        <v>3231</v>
      </c>
      <c r="C175" s="55" t="s">
        <v>3256</v>
      </c>
      <c r="D175" s="55">
        <v>7</v>
      </c>
      <c r="E175" s="55" t="s">
        <v>1595</v>
      </c>
      <c r="F175" s="55" t="s">
        <v>3088</v>
      </c>
      <c r="G175" s="55">
        <v>3</v>
      </c>
      <c r="H175" s="55">
        <v>2</v>
      </c>
      <c r="I175" s="55" t="s">
        <v>3257</v>
      </c>
      <c r="J175" s="55" t="s">
        <v>3258</v>
      </c>
      <c r="K175" s="55" t="s">
        <v>3259</v>
      </c>
      <c r="L175" s="55" t="s">
        <v>3260</v>
      </c>
      <c r="M175" s="55">
        <v>0</v>
      </c>
      <c r="N175" s="55">
        <v>3</v>
      </c>
      <c r="O175" s="55">
        <f t="shared" si="29"/>
        <v>5</v>
      </c>
      <c r="P175" s="55" t="str">
        <f t="shared" si="26"/>
        <v>[(112,5)]</v>
      </c>
      <c r="Q175">
        <f t="shared" si="27"/>
        <v>3</v>
      </c>
    </row>
    <row r="176" spans="1:17" x14ac:dyDescent="0.15">
      <c r="A176" s="55">
        <v>2</v>
      </c>
      <c r="B176" s="55" t="s">
        <v>3140</v>
      </c>
      <c r="C176" s="55" t="s">
        <v>3141</v>
      </c>
      <c r="D176" s="55">
        <v>7</v>
      </c>
      <c r="E176" s="55" t="s">
        <v>3117</v>
      </c>
      <c r="F176" s="55" t="s">
        <v>3088</v>
      </c>
      <c r="G176" s="55">
        <v>10</v>
      </c>
      <c r="H176" s="55">
        <v>2</v>
      </c>
      <c r="I176" s="55" t="s">
        <v>3293</v>
      </c>
      <c r="J176" s="55" t="s">
        <v>3294</v>
      </c>
      <c r="K176" s="55" t="s">
        <v>3144</v>
      </c>
      <c r="L176" s="55" t="s">
        <v>3145</v>
      </c>
      <c r="M176" s="55">
        <v>13</v>
      </c>
      <c r="N176" s="55">
        <v>10</v>
      </c>
      <c r="O176" s="55">
        <f t="shared" si="29"/>
        <v>5</v>
      </c>
      <c r="P176" s="55" t="str">
        <f t="shared" si="26"/>
        <v>[(112,5)]</v>
      </c>
      <c r="Q176">
        <f t="shared" si="27"/>
        <v>5</v>
      </c>
    </row>
    <row r="177" spans="1:17" x14ac:dyDescent="0.15">
      <c r="A177" s="55">
        <v>2</v>
      </c>
      <c r="B177" s="55" t="s">
        <v>3240</v>
      </c>
      <c r="C177" s="55" t="s">
        <v>3307</v>
      </c>
      <c r="D177" s="55">
        <v>7</v>
      </c>
      <c r="E177" s="55" t="s">
        <v>1595</v>
      </c>
      <c r="F177" s="55" t="s">
        <v>3088</v>
      </c>
      <c r="G177" s="55">
        <v>3</v>
      </c>
      <c r="H177" s="55">
        <v>2</v>
      </c>
      <c r="I177" s="55" t="s">
        <v>3308</v>
      </c>
      <c r="J177" s="55" t="s">
        <v>3308</v>
      </c>
      <c r="K177" s="55" t="s">
        <v>3309</v>
      </c>
      <c r="L177" s="55" t="s">
        <v>3310</v>
      </c>
      <c r="M177" s="55">
        <v>1</v>
      </c>
      <c r="N177" s="55">
        <v>3</v>
      </c>
      <c r="O177" s="55">
        <f t="shared" si="29"/>
        <v>10</v>
      </c>
      <c r="P177" s="55" t="str">
        <f t="shared" si="26"/>
        <v>[(112,10)]</v>
      </c>
      <c r="Q177">
        <f t="shared" si="27"/>
        <v>1.5</v>
      </c>
    </row>
    <row r="178" spans="1:17" x14ac:dyDescent="0.15">
      <c r="A178" s="55">
        <v>2</v>
      </c>
      <c r="B178" s="55" t="s">
        <v>3197</v>
      </c>
      <c r="C178" s="55" t="s">
        <v>3198</v>
      </c>
      <c r="D178" s="55">
        <v>7</v>
      </c>
      <c r="E178" s="55" t="s">
        <v>3248</v>
      </c>
      <c r="F178" s="55" t="s">
        <v>3088</v>
      </c>
      <c r="G178" s="55">
        <v>5</v>
      </c>
      <c r="H178" s="55">
        <v>2</v>
      </c>
      <c r="I178" s="55" t="s">
        <v>3199</v>
      </c>
      <c r="J178" s="55" t="s">
        <v>3200</v>
      </c>
      <c r="K178" s="55" t="s">
        <v>3201</v>
      </c>
      <c r="L178" s="55" t="s">
        <v>3202</v>
      </c>
      <c r="M178" s="55">
        <v>17</v>
      </c>
      <c r="N178" s="55">
        <v>5</v>
      </c>
      <c r="O178" s="55">
        <f t="shared" si="29"/>
        <v>10</v>
      </c>
      <c r="P178" s="55" t="str">
        <f t="shared" si="26"/>
        <v>[(112,10)]</v>
      </c>
      <c r="Q178">
        <f t="shared" si="27"/>
        <v>5</v>
      </c>
    </row>
    <row r="179" spans="1:17" x14ac:dyDescent="0.15">
      <c r="A179" s="55">
        <v>2</v>
      </c>
      <c r="B179" s="55" t="s">
        <v>3232</v>
      </c>
      <c r="C179" s="55" t="s">
        <v>3233</v>
      </c>
      <c r="D179" s="55">
        <v>7</v>
      </c>
      <c r="E179" s="55" t="s">
        <v>3248</v>
      </c>
      <c r="F179" s="55" t="s">
        <v>3234</v>
      </c>
      <c r="G179" s="55">
        <v>5</v>
      </c>
      <c r="H179" s="55">
        <v>2</v>
      </c>
      <c r="I179" s="55" t="s">
        <v>3235</v>
      </c>
      <c r="J179" s="55" t="s">
        <v>3236</v>
      </c>
      <c r="K179" s="55" t="s">
        <v>3237</v>
      </c>
      <c r="L179" s="55" t="s">
        <v>3238</v>
      </c>
      <c r="M179" s="55">
        <v>1</v>
      </c>
      <c r="N179" s="55">
        <v>5</v>
      </c>
      <c r="O179" s="55">
        <f t="shared" si="29"/>
        <v>15</v>
      </c>
      <c r="P179" s="55" t="str">
        <f t="shared" si="26"/>
        <v>[(112,15)]</v>
      </c>
      <c r="Q179">
        <f t="shared" si="27"/>
        <v>5</v>
      </c>
    </row>
    <row r="180" spans="1:17" x14ac:dyDescent="0.15">
      <c r="A180" s="55">
        <v>2</v>
      </c>
      <c r="B180" s="55" t="s">
        <v>3113</v>
      </c>
      <c r="C180" s="55" t="s">
        <v>3122</v>
      </c>
      <c r="D180" s="55">
        <v>7</v>
      </c>
      <c r="E180" s="55" t="s">
        <v>3087</v>
      </c>
      <c r="F180" s="55" t="s">
        <v>3088</v>
      </c>
      <c r="G180" s="55">
        <v>6</v>
      </c>
      <c r="H180" s="55">
        <v>2</v>
      </c>
      <c r="I180" s="55" t="s">
        <v>3123</v>
      </c>
      <c r="J180" s="55" t="s">
        <v>3124</v>
      </c>
      <c r="K180" s="55" t="s">
        <v>3125</v>
      </c>
      <c r="L180" s="55" t="s">
        <v>3126</v>
      </c>
      <c r="M180" s="55">
        <v>1</v>
      </c>
      <c r="N180" s="55">
        <v>6</v>
      </c>
      <c r="O180" s="55">
        <f t="shared" si="29"/>
        <v>20</v>
      </c>
      <c r="P180" s="55" t="str">
        <f t="shared" si="26"/>
        <v>[(112,20)]</v>
      </c>
      <c r="Q180">
        <f t="shared" si="27"/>
        <v>4</v>
      </c>
    </row>
    <row r="181" spans="1:17" x14ac:dyDescent="0.15">
      <c r="A181" s="55">
        <v>2</v>
      </c>
      <c r="B181" s="55" t="s">
        <v>3085</v>
      </c>
      <c r="C181" s="55" t="s">
        <v>3086</v>
      </c>
      <c r="D181" s="55">
        <v>8</v>
      </c>
      <c r="E181" s="55" t="s">
        <v>3248</v>
      </c>
      <c r="F181" s="55" t="s">
        <v>3088</v>
      </c>
      <c r="G181" s="55">
        <v>20</v>
      </c>
      <c r="H181" s="55">
        <v>1</v>
      </c>
      <c r="I181" s="55" t="s">
        <v>3089</v>
      </c>
      <c r="J181" s="55" t="s">
        <v>3090</v>
      </c>
      <c r="K181" s="55" t="s">
        <v>3091</v>
      </c>
      <c r="L181" s="55" t="s">
        <v>3092</v>
      </c>
      <c r="M181" s="55">
        <v>7</v>
      </c>
      <c r="N181" s="55">
        <v>5</v>
      </c>
      <c r="O181" s="55">
        <f t="shared" si="29"/>
        <v>5</v>
      </c>
      <c r="P181" s="55" t="str">
        <f t="shared" si="26"/>
        <v>[(112,5)]</v>
      </c>
      <c r="Q181">
        <f t="shared" si="27"/>
        <v>2.5</v>
      </c>
    </row>
    <row r="182" spans="1:17" x14ac:dyDescent="0.15">
      <c r="A182" s="55">
        <v>2</v>
      </c>
      <c r="B182" s="55" t="s">
        <v>3127</v>
      </c>
      <c r="C182" s="55" t="s">
        <v>3128</v>
      </c>
      <c r="D182" s="55">
        <v>8</v>
      </c>
      <c r="E182" s="55" t="s">
        <v>1667</v>
      </c>
      <c r="F182" s="55" t="s">
        <v>3088</v>
      </c>
      <c r="G182" s="55">
        <v>50</v>
      </c>
      <c r="H182" s="55">
        <v>1</v>
      </c>
      <c r="I182" s="55" t="s">
        <v>3130</v>
      </c>
      <c r="J182" s="55" t="s">
        <v>3131</v>
      </c>
      <c r="K182" s="55" t="s">
        <v>3132</v>
      </c>
      <c r="L182" s="55" t="s">
        <v>3133</v>
      </c>
      <c r="M182" s="55">
        <v>1</v>
      </c>
      <c r="N182" s="55">
        <v>50</v>
      </c>
      <c r="O182" s="55">
        <f t="shared" si="29"/>
        <v>10</v>
      </c>
      <c r="P182" s="55" t="str">
        <f t="shared" si="26"/>
        <v>[(112,10)]</v>
      </c>
      <c r="Q182">
        <f t="shared" si="27"/>
        <v>1.3333333333333333</v>
      </c>
    </row>
    <row r="183" spans="1:17" x14ac:dyDescent="0.15">
      <c r="A183" s="55">
        <v>2</v>
      </c>
      <c r="B183" s="55" t="s">
        <v>3169</v>
      </c>
      <c r="C183" s="55" t="s">
        <v>3170</v>
      </c>
      <c r="D183" s="55">
        <v>8</v>
      </c>
      <c r="E183" s="55" t="s">
        <v>3276</v>
      </c>
      <c r="F183" s="55" t="s">
        <v>3171</v>
      </c>
      <c r="G183" s="55">
        <v>10</v>
      </c>
      <c r="H183" s="55">
        <v>1</v>
      </c>
      <c r="I183" s="55" t="s">
        <v>3172</v>
      </c>
      <c r="J183" s="55" t="s">
        <v>3173</v>
      </c>
      <c r="K183" s="55" t="s">
        <v>3174</v>
      </c>
      <c r="L183" s="55" t="s">
        <v>3175</v>
      </c>
      <c r="M183" s="55">
        <v>1</v>
      </c>
      <c r="N183" s="55">
        <v>10</v>
      </c>
      <c r="O183" s="55">
        <f t="shared" si="29"/>
        <v>10</v>
      </c>
      <c r="P183" s="55" t="str">
        <f t="shared" si="26"/>
        <v>[(112,10)]</v>
      </c>
      <c r="Q183">
        <f t="shared" si="27"/>
        <v>7</v>
      </c>
    </row>
    <row r="184" spans="1:17" x14ac:dyDescent="0.15">
      <c r="A184" s="55">
        <v>2</v>
      </c>
      <c r="B184" s="55" t="s">
        <v>3216</v>
      </c>
      <c r="C184" s="55" t="s">
        <v>3295</v>
      </c>
      <c r="D184" s="55">
        <v>8</v>
      </c>
      <c r="E184" s="55" t="s">
        <v>3275</v>
      </c>
      <c r="F184" s="55" t="s">
        <v>3296</v>
      </c>
      <c r="G184" s="55">
        <v>1</v>
      </c>
      <c r="H184" s="55">
        <v>1</v>
      </c>
      <c r="I184" s="55" t="s">
        <v>3297</v>
      </c>
      <c r="J184" s="55" t="s">
        <v>3298</v>
      </c>
      <c r="K184" s="55" t="s">
        <v>3299</v>
      </c>
      <c r="L184" s="55" t="s">
        <v>3300</v>
      </c>
      <c r="M184" s="55">
        <v>1</v>
      </c>
      <c r="N184" s="55">
        <v>1</v>
      </c>
      <c r="O184" s="55">
        <f t="shared" si="29"/>
        <v>15</v>
      </c>
      <c r="P184" s="55" t="str">
        <f t="shared" si="26"/>
        <v>[(112,15)]</v>
      </c>
      <c r="Q184">
        <f t="shared" si="27"/>
        <v>6.9999999999999991</v>
      </c>
    </row>
    <row r="185" spans="1:17" x14ac:dyDescent="0.15">
      <c r="A185" s="55">
        <v>2</v>
      </c>
      <c r="B185" s="55" t="s">
        <v>3140</v>
      </c>
      <c r="C185" s="55" t="s">
        <v>3141</v>
      </c>
      <c r="D185" s="55">
        <v>8</v>
      </c>
      <c r="E185" s="55" t="s">
        <v>3248</v>
      </c>
      <c r="F185" s="55" t="s">
        <v>3088</v>
      </c>
      <c r="G185" s="55">
        <v>5</v>
      </c>
      <c r="H185" s="55">
        <v>2</v>
      </c>
      <c r="I185" s="55" t="s">
        <v>3293</v>
      </c>
      <c r="J185" s="55" t="s">
        <v>3294</v>
      </c>
      <c r="K185" s="55" t="s">
        <v>3144</v>
      </c>
      <c r="L185" s="55" t="s">
        <v>3145</v>
      </c>
      <c r="M185" s="55">
        <v>13</v>
      </c>
      <c r="N185" s="55">
        <v>5</v>
      </c>
      <c r="O185" s="55">
        <f t="shared" si="29"/>
        <v>5</v>
      </c>
      <c r="P185" s="55" t="str">
        <f t="shared" si="26"/>
        <v>[(112,5)]</v>
      </c>
      <c r="Q185">
        <f t="shared" si="27"/>
        <v>2.5</v>
      </c>
    </row>
    <row r="186" spans="1:17" x14ac:dyDescent="0.15">
      <c r="A186" s="55">
        <v>2</v>
      </c>
      <c r="B186" s="55" t="s">
        <v>3224</v>
      </c>
      <c r="C186" s="55" t="s">
        <v>3225</v>
      </c>
      <c r="D186" s="55">
        <v>8</v>
      </c>
      <c r="E186" s="55" t="s">
        <v>3226</v>
      </c>
      <c r="F186" s="55" t="s">
        <v>3088</v>
      </c>
      <c r="G186" s="55">
        <v>20000</v>
      </c>
      <c r="H186" s="55">
        <v>2</v>
      </c>
      <c r="I186" s="55" t="s">
        <v>3227</v>
      </c>
      <c r="J186" s="55" t="s">
        <v>3228</v>
      </c>
      <c r="K186" s="55" t="s">
        <v>3229</v>
      </c>
      <c r="L186" s="55" t="s">
        <v>3230</v>
      </c>
      <c r="M186" s="55">
        <v>17</v>
      </c>
      <c r="N186" s="55">
        <v>20000</v>
      </c>
      <c r="O186" s="55">
        <f t="shared" si="29"/>
        <v>5</v>
      </c>
      <c r="P186" s="55" t="str">
        <f t="shared" si="26"/>
        <v>[(112,5)]</v>
      </c>
      <c r="Q186">
        <f t="shared" si="27"/>
        <v>5</v>
      </c>
    </row>
    <row r="187" spans="1:17" x14ac:dyDescent="0.15">
      <c r="A187" s="55">
        <v>2</v>
      </c>
      <c r="B187" s="55" t="s">
        <v>3239</v>
      </c>
      <c r="C187" s="55" t="s">
        <v>3288</v>
      </c>
      <c r="D187" s="55">
        <v>8</v>
      </c>
      <c r="E187" s="55" t="s">
        <v>3248</v>
      </c>
      <c r="F187" s="55" t="s">
        <v>3234</v>
      </c>
      <c r="G187" s="55">
        <v>5</v>
      </c>
      <c r="H187" s="55">
        <v>2</v>
      </c>
      <c r="I187" s="55" t="s">
        <v>3289</v>
      </c>
      <c r="J187" s="55" t="s">
        <v>3290</v>
      </c>
      <c r="K187" s="55" t="s">
        <v>3291</v>
      </c>
      <c r="L187" s="55" t="s">
        <v>3292</v>
      </c>
      <c r="M187" s="55">
        <v>1</v>
      </c>
      <c r="N187" s="55">
        <v>5</v>
      </c>
      <c r="O187" s="55">
        <f t="shared" si="29"/>
        <v>10</v>
      </c>
      <c r="P187" s="55" t="str">
        <f t="shared" si="26"/>
        <v>[(112,10)]</v>
      </c>
      <c r="Q187">
        <f t="shared" si="27"/>
        <v>1</v>
      </c>
    </row>
    <row r="188" spans="1:17" x14ac:dyDescent="0.15">
      <c r="A188" s="55">
        <v>2</v>
      </c>
      <c r="B188" s="55" t="s">
        <v>3161</v>
      </c>
      <c r="C188" s="55" t="s">
        <v>3162</v>
      </c>
      <c r="D188" s="55">
        <v>8</v>
      </c>
      <c r="E188" s="55" t="s">
        <v>3214</v>
      </c>
      <c r="F188" s="55" t="s">
        <v>3163</v>
      </c>
      <c r="G188" s="55">
        <v>25</v>
      </c>
      <c r="H188" s="55">
        <v>2</v>
      </c>
      <c r="I188" s="55" t="s">
        <v>3164</v>
      </c>
      <c r="J188" s="55" t="s">
        <v>3165</v>
      </c>
      <c r="K188" s="55" t="s">
        <v>3166</v>
      </c>
      <c r="L188" s="55" t="s">
        <v>3167</v>
      </c>
      <c r="M188" s="55">
        <v>1</v>
      </c>
      <c r="N188" s="55">
        <v>25</v>
      </c>
      <c r="O188" s="55">
        <f t="shared" si="29"/>
        <v>10</v>
      </c>
      <c r="P188" s="55" t="str">
        <f t="shared" si="26"/>
        <v>[(112,10)]</v>
      </c>
      <c r="Q188">
        <f t="shared" si="27"/>
        <v>3.3333333333333335</v>
      </c>
    </row>
    <row r="189" spans="1:17" x14ac:dyDescent="0.15">
      <c r="A189" s="55">
        <v>2</v>
      </c>
      <c r="B189" s="55" t="s">
        <v>3246</v>
      </c>
      <c r="C189" s="55" t="s">
        <v>3250</v>
      </c>
      <c r="D189" s="55">
        <v>8</v>
      </c>
      <c r="E189" s="55" t="s">
        <v>3251</v>
      </c>
      <c r="F189" s="55" t="s">
        <v>3088</v>
      </c>
      <c r="G189" s="55">
        <v>500</v>
      </c>
      <c r="H189" s="55">
        <v>2</v>
      </c>
      <c r="I189" s="55" t="s">
        <v>3252</v>
      </c>
      <c r="J189" s="55" t="s">
        <v>3253</v>
      </c>
      <c r="K189" s="55" t="s">
        <v>3254</v>
      </c>
      <c r="L189" s="55" t="s">
        <v>3255</v>
      </c>
      <c r="M189" s="55">
        <v>17</v>
      </c>
      <c r="N189" s="55">
        <v>500</v>
      </c>
      <c r="O189" s="55">
        <f t="shared" si="29"/>
        <v>15</v>
      </c>
      <c r="P189" s="55" t="str">
        <f t="shared" si="26"/>
        <v>[(112,15)]</v>
      </c>
      <c r="Q189">
        <f t="shared" si="27"/>
        <v>5</v>
      </c>
    </row>
    <row r="190" spans="1:17" x14ac:dyDescent="0.15">
      <c r="A190" s="55">
        <v>2</v>
      </c>
      <c r="B190" s="55" t="s">
        <v>3082</v>
      </c>
      <c r="C190" s="55" t="s">
        <v>3134</v>
      </c>
      <c r="D190" s="55">
        <v>9</v>
      </c>
      <c r="E190" s="55" t="s">
        <v>3215</v>
      </c>
      <c r="F190" s="55" t="s">
        <v>3088</v>
      </c>
      <c r="G190" s="55">
        <v>80</v>
      </c>
      <c r="H190" s="55">
        <v>1</v>
      </c>
      <c r="I190" s="55" t="s">
        <v>3135</v>
      </c>
      <c r="J190" s="55" t="s">
        <v>3136</v>
      </c>
      <c r="K190" s="55" t="s">
        <v>3137</v>
      </c>
      <c r="L190" s="55" t="s">
        <v>3138</v>
      </c>
      <c r="M190" s="55">
        <v>1</v>
      </c>
      <c r="N190" s="55">
        <v>80</v>
      </c>
      <c r="O190" s="55">
        <f t="shared" si="29"/>
        <v>5</v>
      </c>
      <c r="P190" s="55" t="str">
        <f t="shared" si="26"/>
        <v>[(112,5)]</v>
      </c>
      <c r="Q190">
        <f t="shared" si="27"/>
        <v>3.5555555555555558</v>
      </c>
    </row>
    <row r="191" spans="1:17" x14ac:dyDescent="0.15">
      <c r="A191" s="55">
        <v>2</v>
      </c>
      <c r="B191" s="55" t="s">
        <v>3217</v>
      </c>
      <c r="C191" s="55" t="s">
        <v>3218</v>
      </c>
      <c r="D191" s="55">
        <v>9</v>
      </c>
      <c r="E191" s="55" t="s">
        <v>3117</v>
      </c>
      <c r="F191" s="55" t="s">
        <v>3088</v>
      </c>
      <c r="G191" s="55">
        <v>10</v>
      </c>
      <c r="H191" s="55">
        <v>1</v>
      </c>
      <c r="I191" s="55" t="s">
        <v>3219</v>
      </c>
      <c r="J191" s="55" t="s">
        <v>3220</v>
      </c>
      <c r="K191" s="55" t="s">
        <v>3221</v>
      </c>
      <c r="L191" s="55" t="s">
        <v>3222</v>
      </c>
      <c r="M191" s="55">
        <v>11</v>
      </c>
      <c r="N191" s="55">
        <v>10</v>
      </c>
      <c r="O191" s="55">
        <f t="shared" si="29"/>
        <v>10</v>
      </c>
      <c r="P191" s="55" t="str">
        <f t="shared" si="26"/>
        <v>[(112,10)]</v>
      </c>
      <c r="Q191">
        <f t="shared" si="27"/>
        <v>2.5</v>
      </c>
    </row>
    <row r="192" spans="1:17" x14ac:dyDescent="0.15">
      <c r="A192" s="55">
        <v>2</v>
      </c>
      <c r="B192" s="55" t="s">
        <v>3106</v>
      </c>
      <c r="C192" s="55" t="s">
        <v>3107</v>
      </c>
      <c r="D192" s="55">
        <v>9</v>
      </c>
      <c r="E192" s="55" t="s">
        <v>1595</v>
      </c>
      <c r="F192" s="55" t="s">
        <v>3312</v>
      </c>
      <c r="G192" s="55">
        <v>1</v>
      </c>
      <c r="H192" s="55">
        <v>1</v>
      </c>
      <c r="I192" s="55" t="s">
        <v>3109</v>
      </c>
      <c r="J192" s="55" t="s">
        <v>3110</v>
      </c>
      <c r="K192" s="55" t="s">
        <v>3111</v>
      </c>
      <c r="L192" s="55" t="s">
        <v>3112</v>
      </c>
      <c r="M192" s="55">
        <v>1</v>
      </c>
      <c r="N192" s="55">
        <v>1</v>
      </c>
      <c r="O192" s="55">
        <f t="shared" si="29"/>
        <v>10</v>
      </c>
      <c r="P192" s="55" t="str">
        <f t="shared" si="26"/>
        <v>[(112,10)]</v>
      </c>
      <c r="Q192">
        <f t="shared" si="27"/>
        <v>6.9999999999999991</v>
      </c>
    </row>
    <row r="193" spans="1:17" x14ac:dyDescent="0.15">
      <c r="A193" s="55">
        <v>2</v>
      </c>
      <c r="B193" s="55" t="s">
        <v>3103</v>
      </c>
      <c r="C193" s="55" t="s">
        <v>3203</v>
      </c>
      <c r="D193" s="55">
        <v>9</v>
      </c>
      <c r="E193" s="55" t="s">
        <v>3275</v>
      </c>
      <c r="F193" s="55" t="s">
        <v>3088</v>
      </c>
      <c r="G193" s="55">
        <v>20</v>
      </c>
      <c r="H193" s="55">
        <v>1</v>
      </c>
      <c r="I193" s="55" t="s">
        <v>3204</v>
      </c>
      <c r="J193" s="55" t="s">
        <v>3205</v>
      </c>
      <c r="K193" s="55" t="s">
        <v>3751</v>
      </c>
      <c r="L193" s="55" t="s">
        <v>3750</v>
      </c>
      <c r="M193" s="55">
        <v>16</v>
      </c>
      <c r="N193" s="55">
        <v>20</v>
      </c>
      <c r="O193" s="55">
        <f t="shared" si="29"/>
        <v>10</v>
      </c>
      <c r="P193" s="55" t="str">
        <f t="shared" si="26"/>
        <v>[(112,10)]</v>
      </c>
      <c r="Q193">
        <f t="shared" si="27"/>
        <v>7</v>
      </c>
    </row>
    <row r="194" spans="1:17" x14ac:dyDescent="0.15">
      <c r="A194" s="55">
        <v>2</v>
      </c>
      <c r="B194" s="55" t="s">
        <v>3115</v>
      </c>
      <c r="C194" s="55" t="s">
        <v>3116</v>
      </c>
      <c r="D194" s="55">
        <v>9</v>
      </c>
      <c r="E194" s="55" t="s">
        <v>3129</v>
      </c>
      <c r="F194" s="55" t="s">
        <v>3088</v>
      </c>
      <c r="G194" s="55">
        <v>30</v>
      </c>
      <c r="H194" s="55">
        <v>1</v>
      </c>
      <c r="I194" s="55" t="s">
        <v>3118</v>
      </c>
      <c r="J194" s="55" t="s">
        <v>3119</v>
      </c>
      <c r="K194" s="55" t="s">
        <v>3120</v>
      </c>
      <c r="L194" s="55" t="s">
        <v>3121</v>
      </c>
      <c r="M194" s="55">
        <v>1</v>
      </c>
      <c r="N194" s="55">
        <v>30</v>
      </c>
      <c r="O194" s="55">
        <f t="shared" si="29"/>
        <v>15</v>
      </c>
      <c r="P194" s="55" t="str">
        <f t="shared" ref="P194:P210" si="30">"[("&amp;"112,"&amp;O194&amp;")]"</f>
        <v>[(112,15)]</v>
      </c>
      <c r="Q194">
        <f t="shared" si="27"/>
        <v>6.6799999999999988</v>
      </c>
    </row>
    <row r="195" spans="1:17" x14ac:dyDescent="0.15">
      <c r="A195" s="55">
        <v>2</v>
      </c>
      <c r="B195" s="55" t="s">
        <v>3231</v>
      </c>
      <c r="C195" s="55" t="s">
        <v>3256</v>
      </c>
      <c r="D195" s="55">
        <v>9</v>
      </c>
      <c r="E195" s="55" t="s">
        <v>1595</v>
      </c>
      <c r="F195" s="55" t="s">
        <v>3088</v>
      </c>
      <c r="G195" s="55">
        <v>3</v>
      </c>
      <c r="H195" s="55">
        <v>2</v>
      </c>
      <c r="I195" s="55" t="s">
        <v>3257</v>
      </c>
      <c r="J195" s="55" t="s">
        <v>3258</v>
      </c>
      <c r="K195" s="55" t="s">
        <v>3259</v>
      </c>
      <c r="L195" s="55" t="s">
        <v>3260</v>
      </c>
      <c r="M195" s="55">
        <v>0</v>
      </c>
      <c r="N195" s="55">
        <v>3</v>
      </c>
      <c r="O195" s="55">
        <f t="shared" si="29"/>
        <v>5</v>
      </c>
      <c r="P195" s="55" t="str">
        <f t="shared" si="30"/>
        <v>[(112,5)]</v>
      </c>
      <c r="Q195">
        <f t="shared" ref="Q195:Q210" si="31">IF((N195/VLOOKUP(B195,AG:AJ,MATCH("单场参数换算",$AG$1:$AJ$1,0),FALSE))/($AN$2/$AN$1)&gt;7,7,(N195/VLOOKUP(B195,AG:AJ,MATCH("单场参数换算",$AG$1:$AJ$1,0),FALSE))/($AN$2/$AN$1))</f>
        <v>3</v>
      </c>
    </row>
    <row r="196" spans="1:17" x14ac:dyDescent="0.15">
      <c r="A196" s="55">
        <v>2</v>
      </c>
      <c r="B196" s="55" t="s">
        <v>3140</v>
      </c>
      <c r="C196" s="55" t="s">
        <v>3141</v>
      </c>
      <c r="D196" s="55">
        <v>9</v>
      </c>
      <c r="E196" s="55" t="s">
        <v>3117</v>
      </c>
      <c r="F196" s="55" t="s">
        <v>3088</v>
      </c>
      <c r="G196" s="55">
        <v>10</v>
      </c>
      <c r="H196" s="55">
        <v>2</v>
      </c>
      <c r="I196" s="55" t="s">
        <v>3293</v>
      </c>
      <c r="J196" s="55" t="s">
        <v>3294</v>
      </c>
      <c r="K196" s="55" t="s">
        <v>3144</v>
      </c>
      <c r="L196" s="55" t="s">
        <v>3145</v>
      </c>
      <c r="M196" s="55">
        <v>13</v>
      </c>
      <c r="N196" s="55">
        <v>10</v>
      </c>
      <c r="O196" s="55">
        <f t="shared" si="29"/>
        <v>5</v>
      </c>
      <c r="P196" s="55" t="str">
        <f t="shared" si="30"/>
        <v>[(112,5)]</v>
      </c>
      <c r="Q196">
        <f t="shared" si="31"/>
        <v>5</v>
      </c>
    </row>
    <row r="197" spans="1:17" x14ac:dyDescent="0.15">
      <c r="A197" s="55">
        <v>2</v>
      </c>
      <c r="B197" s="55" t="s">
        <v>3239</v>
      </c>
      <c r="C197" s="55" t="s">
        <v>3288</v>
      </c>
      <c r="D197" s="55">
        <v>9</v>
      </c>
      <c r="E197" s="55" t="s">
        <v>3248</v>
      </c>
      <c r="F197" s="55" t="s">
        <v>3234</v>
      </c>
      <c r="G197" s="55">
        <v>5</v>
      </c>
      <c r="H197" s="55">
        <v>2</v>
      </c>
      <c r="I197" s="55" t="s">
        <v>3289</v>
      </c>
      <c r="J197" s="55" t="s">
        <v>3290</v>
      </c>
      <c r="K197" s="55" t="s">
        <v>3291</v>
      </c>
      <c r="L197" s="55" t="s">
        <v>3292</v>
      </c>
      <c r="M197" s="55">
        <v>1</v>
      </c>
      <c r="N197" s="55">
        <v>5</v>
      </c>
      <c r="O197" s="55">
        <f t="shared" si="29"/>
        <v>10</v>
      </c>
      <c r="P197" s="55" t="str">
        <f t="shared" si="30"/>
        <v>[(112,10)]</v>
      </c>
      <c r="Q197">
        <f t="shared" si="31"/>
        <v>1</v>
      </c>
    </row>
    <row r="198" spans="1:17" x14ac:dyDescent="0.15">
      <c r="A198" s="55">
        <v>2</v>
      </c>
      <c r="B198" s="55" t="s">
        <v>3240</v>
      </c>
      <c r="C198" s="55" t="s">
        <v>3307</v>
      </c>
      <c r="D198" s="55">
        <v>9</v>
      </c>
      <c r="E198" s="55" t="s">
        <v>3248</v>
      </c>
      <c r="F198" s="55" t="s">
        <v>3088</v>
      </c>
      <c r="G198" s="55">
        <v>5</v>
      </c>
      <c r="H198" s="55">
        <v>2</v>
      </c>
      <c r="I198" s="55" t="s">
        <v>3308</v>
      </c>
      <c r="J198" s="55" t="s">
        <v>3308</v>
      </c>
      <c r="K198" s="55" t="s">
        <v>3309</v>
      </c>
      <c r="L198" s="55" t="s">
        <v>3310</v>
      </c>
      <c r="M198" s="55">
        <v>1</v>
      </c>
      <c r="N198" s="55">
        <v>5</v>
      </c>
      <c r="O198" s="55">
        <f t="shared" si="29"/>
        <v>10</v>
      </c>
      <c r="P198" s="55" t="str">
        <f t="shared" si="30"/>
        <v>[(112,10)]</v>
      </c>
      <c r="Q198">
        <f t="shared" si="31"/>
        <v>2.5</v>
      </c>
    </row>
    <row r="199" spans="1:17" x14ac:dyDescent="0.15">
      <c r="A199" s="55">
        <v>2</v>
      </c>
      <c r="B199" s="55" t="s">
        <v>3113</v>
      </c>
      <c r="C199" s="55" t="s">
        <v>3122</v>
      </c>
      <c r="D199" s="55">
        <v>9</v>
      </c>
      <c r="E199" s="55" t="s">
        <v>3087</v>
      </c>
      <c r="F199" s="55" t="s">
        <v>3088</v>
      </c>
      <c r="G199" s="55">
        <v>6</v>
      </c>
      <c r="H199" s="55">
        <v>2</v>
      </c>
      <c r="I199" s="55" t="s">
        <v>3123</v>
      </c>
      <c r="J199" s="55" t="s">
        <v>3124</v>
      </c>
      <c r="K199" s="55" t="s">
        <v>3125</v>
      </c>
      <c r="L199" s="55" t="s">
        <v>3126</v>
      </c>
      <c r="M199" s="55">
        <v>1</v>
      </c>
      <c r="N199" s="55">
        <v>6</v>
      </c>
      <c r="O199" s="55">
        <f t="shared" si="29"/>
        <v>20</v>
      </c>
      <c r="P199" s="55" t="str">
        <f t="shared" si="30"/>
        <v>[(112,20)]</v>
      </c>
      <c r="Q199">
        <f t="shared" si="31"/>
        <v>4</v>
      </c>
    </row>
    <row r="200" spans="1:17" x14ac:dyDescent="0.15">
      <c r="A200" s="55">
        <v>2</v>
      </c>
      <c r="B200" s="55" t="s">
        <v>3176</v>
      </c>
      <c r="C200" s="55" t="s">
        <v>3177</v>
      </c>
      <c r="D200" s="55">
        <v>10</v>
      </c>
      <c r="E200" s="55" t="s">
        <v>3320</v>
      </c>
      <c r="F200" s="55" t="s">
        <v>3088</v>
      </c>
      <c r="G200" s="55">
        <v>300</v>
      </c>
      <c r="H200" s="55">
        <v>1</v>
      </c>
      <c r="I200" s="55" t="s">
        <v>3178</v>
      </c>
      <c r="J200" s="55" t="s">
        <v>3179</v>
      </c>
      <c r="K200" s="55" t="s">
        <v>3180</v>
      </c>
      <c r="L200" s="55" t="s">
        <v>3181</v>
      </c>
      <c r="M200" s="55">
        <v>1</v>
      </c>
      <c r="N200" s="55">
        <v>300</v>
      </c>
      <c r="O200" s="55">
        <f t="shared" si="29"/>
        <v>5</v>
      </c>
      <c r="P200" s="55" t="str">
        <f t="shared" si="30"/>
        <v>[(112,5)]</v>
      </c>
      <c r="Q200">
        <f t="shared" si="31"/>
        <v>1.6</v>
      </c>
    </row>
    <row r="201" spans="1:17" x14ac:dyDescent="0.15">
      <c r="A201" s="55">
        <v>2</v>
      </c>
      <c r="B201" s="55" t="s">
        <v>3085</v>
      </c>
      <c r="C201" s="55" t="s">
        <v>3086</v>
      </c>
      <c r="D201" s="55">
        <v>10</v>
      </c>
      <c r="E201" s="55" t="s">
        <v>3275</v>
      </c>
      <c r="F201" s="55" t="s">
        <v>3088</v>
      </c>
      <c r="G201" s="55">
        <v>20</v>
      </c>
      <c r="H201" s="55">
        <v>1</v>
      </c>
      <c r="I201" s="55" t="s">
        <v>3089</v>
      </c>
      <c r="J201" s="55" t="s">
        <v>3090</v>
      </c>
      <c r="K201" s="55" t="s">
        <v>3091</v>
      </c>
      <c r="L201" s="55" t="s">
        <v>3092</v>
      </c>
      <c r="M201" s="55">
        <v>7</v>
      </c>
      <c r="N201" s="55">
        <v>20</v>
      </c>
      <c r="O201" s="55">
        <f t="shared" si="29"/>
        <v>5</v>
      </c>
      <c r="P201" s="55" t="str">
        <f t="shared" si="30"/>
        <v>[(112,5)]</v>
      </c>
      <c r="Q201">
        <f t="shared" si="31"/>
        <v>7</v>
      </c>
    </row>
    <row r="202" spans="1:17" x14ac:dyDescent="0.15">
      <c r="A202" s="55">
        <v>2</v>
      </c>
      <c r="B202" s="55" t="s">
        <v>3146</v>
      </c>
      <c r="C202" s="55" t="s">
        <v>3191</v>
      </c>
      <c r="D202" s="55">
        <v>10</v>
      </c>
      <c r="E202" s="55" t="s">
        <v>1595</v>
      </c>
      <c r="F202" s="55" t="s">
        <v>3192</v>
      </c>
      <c r="G202" s="55">
        <v>1</v>
      </c>
      <c r="H202" s="55">
        <v>1</v>
      </c>
      <c r="I202" s="55" t="s">
        <v>3193</v>
      </c>
      <c r="J202" s="55" t="s">
        <v>3194</v>
      </c>
      <c r="K202" s="55" t="s">
        <v>3195</v>
      </c>
      <c r="L202" s="55" t="s">
        <v>3196</v>
      </c>
      <c r="M202" s="55">
        <v>1</v>
      </c>
      <c r="N202" s="55">
        <v>1</v>
      </c>
      <c r="O202" s="55">
        <f t="shared" ref="O202:O210" si="32">VLOOKUP(B202,AG:AK,5,FALSE)</f>
        <v>10</v>
      </c>
      <c r="P202" s="55" t="str">
        <f t="shared" si="30"/>
        <v>[(112,10)]</v>
      </c>
      <c r="Q202">
        <f t="shared" si="31"/>
        <v>0.13333333333333333</v>
      </c>
    </row>
    <row r="203" spans="1:17" x14ac:dyDescent="0.15">
      <c r="A203" s="55">
        <v>2</v>
      </c>
      <c r="B203" s="55" t="s">
        <v>3127</v>
      </c>
      <c r="C203" s="55" t="s">
        <v>3128</v>
      </c>
      <c r="D203" s="55">
        <v>10</v>
      </c>
      <c r="E203" s="55" t="s">
        <v>1667</v>
      </c>
      <c r="F203" s="55" t="s">
        <v>3088</v>
      </c>
      <c r="G203" s="55">
        <v>50</v>
      </c>
      <c r="H203" s="55">
        <v>1</v>
      </c>
      <c r="I203" s="55" t="s">
        <v>3130</v>
      </c>
      <c r="J203" s="55" t="s">
        <v>3131</v>
      </c>
      <c r="K203" s="55" t="s">
        <v>3132</v>
      </c>
      <c r="L203" s="55" t="s">
        <v>3133</v>
      </c>
      <c r="M203" s="55">
        <v>1</v>
      </c>
      <c r="N203" s="55">
        <v>50</v>
      </c>
      <c r="O203" s="55">
        <f t="shared" si="32"/>
        <v>10</v>
      </c>
      <c r="P203" s="55" t="str">
        <f t="shared" si="30"/>
        <v>[(112,10)]</v>
      </c>
      <c r="Q203">
        <f t="shared" si="31"/>
        <v>1.3333333333333333</v>
      </c>
    </row>
    <row r="204" spans="1:17" x14ac:dyDescent="0.15">
      <c r="A204" s="55">
        <v>2</v>
      </c>
      <c r="B204" s="55" t="s">
        <v>3075</v>
      </c>
      <c r="C204" s="55" t="s">
        <v>3076</v>
      </c>
      <c r="D204" s="55">
        <v>10</v>
      </c>
      <c r="E204" s="55" t="s">
        <v>1595</v>
      </c>
      <c r="F204" s="55" t="s">
        <v>3077</v>
      </c>
      <c r="G204" s="55">
        <v>1</v>
      </c>
      <c r="H204" s="55">
        <v>1</v>
      </c>
      <c r="I204" s="55" t="s">
        <v>3078</v>
      </c>
      <c r="J204" s="55" t="s">
        <v>3079</v>
      </c>
      <c r="K204" s="55" t="s">
        <v>3080</v>
      </c>
      <c r="L204" s="55" t="s">
        <v>3081</v>
      </c>
      <c r="M204" s="55">
        <v>1</v>
      </c>
      <c r="N204" s="55">
        <v>1</v>
      </c>
      <c r="O204" s="55">
        <f t="shared" si="32"/>
        <v>10</v>
      </c>
      <c r="P204" s="55" t="str">
        <f t="shared" si="30"/>
        <v>[(112,10)]</v>
      </c>
      <c r="Q204">
        <f t="shared" si="31"/>
        <v>2</v>
      </c>
    </row>
    <row r="205" spans="1:17" x14ac:dyDescent="0.15">
      <c r="A205" s="55">
        <v>2</v>
      </c>
      <c r="B205" s="55" t="s">
        <v>3224</v>
      </c>
      <c r="C205" s="55" t="s">
        <v>3225</v>
      </c>
      <c r="D205" s="55">
        <v>10</v>
      </c>
      <c r="E205" s="55" t="s">
        <v>3226</v>
      </c>
      <c r="F205" s="55" t="s">
        <v>3088</v>
      </c>
      <c r="G205" s="55">
        <v>20000</v>
      </c>
      <c r="H205" s="55">
        <v>2</v>
      </c>
      <c r="I205" s="55" t="s">
        <v>3227</v>
      </c>
      <c r="J205" s="55" t="s">
        <v>3228</v>
      </c>
      <c r="K205" s="55" t="s">
        <v>3229</v>
      </c>
      <c r="L205" s="55" t="s">
        <v>3230</v>
      </c>
      <c r="M205" s="55">
        <v>17</v>
      </c>
      <c r="N205" s="55">
        <v>20000</v>
      </c>
      <c r="O205" s="55">
        <f t="shared" si="32"/>
        <v>5</v>
      </c>
      <c r="P205" s="55" t="str">
        <f t="shared" si="30"/>
        <v>[(112,5)]</v>
      </c>
      <c r="Q205">
        <f t="shared" si="31"/>
        <v>5</v>
      </c>
    </row>
    <row r="206" spans="1:17" x14ac:dyDescent="0.15">
      <c r="A206" s="55">
        <v>2</v>
      </c>
      <c r="B206" s="55" t="s">
        <v>3240</v>
      </c>
      <c r="C206" s="55" t="s">
        <v>3307</v>
      </c>
      <c r="D206" s="55">
        <v>10</v>
      </c>
      <c r="E206" s="55" t="s">
        <v>3248</v>
      </c>
      <c r="F206" s="55" t="s">
        <v>3088</v>
      </c>
      <c r="G206" s="55">
        <v>5</v>
      </c>
      <c r="H206" s="55">
        <v>2</v>
      </c>
      <c r="I206" s="55" t="s">
        <v>3308</v>
      </c>
      <c r="J206" s="55" t="s">
        <v>3308</v>
      </c>
      <c r="K206" s="55" t="s">
        <v>3309</v>
      </c>
      <c r="L206" s="55" t="s">
        <v>3310</v>
      </c>
      <c r="M206" s="55">
        <v>1</v>
      </c>
      <c r="N206" s="55">
        <v>5</v>
      </c>
      <c r="O206" s="55">
        <f t="shared" si="32"/>
        <v>10</v>
      </c>
      <c r="P206" s="55" t="str">
        <f t="shared" si="30"/>
        <v>[(112,10)]</v>
      </c>
      <c r="Q206">
        <f t="shared" si="31"/>
        <v>2.5</v>
      </c>
    </row>
    <row r="207" spans="1:17" x14ac:dyDescent="0.15">
      <c r="A207" s="55">
        <v>2</v>
      </c>
      <c r="B207" s="55" t="s">
        <v>3139</v>
      </c>
      <c r="C207" s="55" t="s">
        <v>3185</v>
      </c>
      <c r="D207" s="55">
        <v>10</v>
      </c>
      <c r="E207" s="55" t="s">
        <v>1595</v>
      </c>
      <c r="F207" s="55" t="s">
        <v>3088</v>
      </c>
      <c r="G207" s="55">
        <v>3</v>
      </c>
      <c r="H207" s="55">
        <v>2</v>
      </c>
      <c r="I207" s="55" t="s">
        <v>3186</v>
      </c>
      <c r="J207" s="55" t="s">
        <v>3187</v>
      </c>
      <c r="K207" s="55" t="s">
        <v>3188</v>
      </c>
      <c r="L207" s="55" t="s">
        <v>3189</v>
      </c>
      <c r="M207" s="55">
        <v>14</v>
      </c>
      <c r="N207" s="55">
        <v>3</v>
      </c>
      <c r="O207" s="55">
        <f t="shared" si="32"/>
        <v>10</v>
      </c>
      <c r="P207" s="55" t="str">
        <f t="shared" si="30"/>
        <v>[(112,10)]</v>
      </c>
      <c r="Q207">
        <f t="shared" si="31"/>
        <v>6</v>
      </c>
    </row>
    <row r="208" spans="1:17" x14ac:dyDescent="0.15">
      <c r="A208" s="55">
        <v>2</v>
      </c>
      <c r="B208" s="55" t="s">
        <v>3161</v>
      </c>
      <c r="C208" s="55" t="s">
        <v>3162</v>
      </c>
      <c r="D208" s="55">
        <v>10</v>
      </c>
      <c r="E208" s="55" t="s">
        <v>1667</v>
      </c>
      <c r="F208" s="55" t="s">
        <v>3163</v>
      </c>
      <c r="G208" s="55">
        <v>50</v>
      </c>
      <c r="H208" s="55">
        <v>2</v>
      </c>
      <c r="I208" s="55" t="s">
        <v>3164</v>
      </c>
      <c r="J208" s="55" t="s">
        <v>3165</v>
      </c>
      <c r="K208" s="55" t="s">
        <v>3166</v>
      </c>
      <c r="L208" s="55" t="s">
        <v>3167</v>
      </c>
      <c r="M208" s="55">
        <v>1</v>
      </c>
      <c r="N208" s="55">
        <v>50</v>
      </c>
      <c r="O208" s="55">
        <f t="shared" si="32"/>
        <v>10</v>
      </c>
      <c r="P208" s="55" t="str">
        <f t="shared" si="30"/>
        <v>[(112,10)]</v>
      </c>
      <c r="Q208">
        <f t="shared" si="31"/>
        <v>6.666666666666667</v>
      </c>
    </row>
    <row r="209" spans="1:17" x14ac:dyDescent="0.15">
      <c r="A209" s="55">
        <v>2</v>
      </c>
      <c r="B209" s="55" t="s">
        <v>3232</v>
      </c>
      <c r="C209" s="55" t="s">
        <v>3233</v>
      </c>
      <c r="D209" s="55">
        <v>10</v>
      </c>
      <c r="E209" s="55" t="s">
        <v>3275</v>
      </c>
      <c r="F209" s="55" t="s">
        <v>3234</v>
      </c>
      <c r="G209" s="55">
        <v>20</v>
      </c>
      <c r="H209" s="55">
        <v>2</v>
      </c>
      <c r="I209" s="55" t="s">
        <v>3235</v>
      </c>
      <c r="J209" s="55" t="s">
        <v>3236</v>
      </c>
      <c r="K209" s="55" t="s">
        <v>3237</v>
      </c>
      <c r="L209" s="55" t="s">
        <v>3238</v>
      </c>
      <c r="M209" s="55">
        <v>1</v>
      </c>
      <c r="N209" s="55">
        <v>20</v>
      </c>
      <c r="O209" s="55">
        <f t="shared" si="32"/>
        <v>15</v>
      </c>
      <c r="P209" s="55" t="str">
        <f t="shared" si="30"/>
        <v>[(112,15)]</v>
      </c>
      <c r="Q209">
        <f t="shared" si="31"/>
        <v>7</v>
      </c>
    </row>
    <row r="210" spans="1:17" x14ac:dyDescent="0.15">
      <c r="A210" s="55">
        <v>2</v>
      </c>
      <c r="B210" s="55" t="s">
        <v>3113</v>
      </c>
      <c r="C210" s="55" t="s">
        <v>3122</v>
      </c>
      <c r="D210" s="55">
        <v>10</v>
      </c>
      <c r="E210" s="55" t="s">
        <v>3268</v>
      </c>
      <c r="F210" s="55" t="s">
        <v>3088</v>
      </c>
      <c r="G210" s="55">
        <v>8</v>
      </c>
      <c r="H210" s="55">
        <v>2</v>
      </c>
      <c r="I210" s="55" t="s">
        <v>3123</v>
      </c>
      <c r="J210" s="55" t="s">
        <v>3124</v>
      </c>
      <c r="K210" s="55" t="s">
        <v>3125</v>
      </c>
      <c r="L210" s="55" t="s">
        <v>3126</v>
      </c>
      <c r="M210" s="55">
        <v>1</v>
      </c>
      <c r="N210" s="55">
        <v>8</v>
      </c>
      <c r="O210" s="55">
        <f t="shared" si="32"/>
        <v>20</v>
      </c>
      <c r="P210" s="55" t="str">
        <f t="shared" si="30"/>
        <v>[(112,20)]</v>
      </c>
      <c r="Q210">
        <f t="shared" si="31"/>
        <v>5.333333333333333</v>
      </c>
    </row>
  </sheetData>
  <mergeCells count="17">
    <mergeCell ref="A1:A2"/>
    <mergeCell ref="B1:B2"/>
    <mergeCell ref="C1:C2"/>
    <mergeCell ref="D1:D2"/>
    <mergeCell ref="E1:E2"/>
    <mergeCell ref="F1:F2"/>
    <mergeCell ref="G1:G2"/>
    <mergeCell ref="H1:H2"/>
    <mergeCell ref="I1:I2"/>
    <mergeCell ref="J1:J2"/>
    <mergeCell ref="P1:P2"/>
    <mergeCell ref="Q1:Q2"/>
    <mergeCell ref="K1:K2"/>
    <mergeCell ref="L1:L2"/>
    <mergeCell ref="M1:M2"/>
    <mergeCell ref="N1:N2"/>
    <mergeCell ref="O1:O2"/>
  </mergeCells>
  <phoneticPr fontId="34" type="noConversion"/>
  <conditionalFormatting sqref="B106:B118">
    <cfRule type="duplicateValues" dxfId="0" priority="3"/>
  </conditionalFormatting>
  <conditionalFormatting sqref="U3:U22">
    <cfRule type="dataBar" priority="9">
      <dataBar>
        <cfvo type="min"/>
        <cfvo type="max"/>
        <color rgb="FF63C384"/>
      </dataBar>
      <extLst>
        <ext xmlns:x14="http://schemas.microsoft.com/office/spreadsheetml/2009/9/main" uri="{B025F937-C7B1-47D3-B67F-A62EFF666E3E}">
          <x14:id>{FAAE73EF-FDE7-4FBD-A278-1581504C1452}</x14:id>
        </ext>
      </extLst>
    </cfRule>
  </conditionalFormatting>
  <conditionalFormatting sqref="V3:V22">
    <cfRule type="dataBar" priority="7">
      <dataBar>
        <cfvo type="min"/>
        <cfvo type="max"/>
        <color rgb="FFFFB628"/>
      </dataBar>
      <extLst>
        <ext xmlns:x14="http://schemas.microsoft.com/office/spreadsheetml/2009/9/main" uri="{B025F937-C7B1-47D3-B67F-A62EFF666E3E}">
          <x14:id>{D776A1D9-81C6-4EB9-8A71-5C1560099D7B}</x14:id>
        </ext>
      </extLst>
    </cfRule>
  </conditionalFormatting>
  <conditionalFormatting sqref="AD3:AD72">
    <cfRule type="dataBar" priority="2">
      <dataBar>
        <cfvo type="min"/>
        <cfvo type="max"/>
        <color rgb="FF63C384"/>
      </dataBar>
      <extLst>
        <ext xmlns:x14="http://schemas.microsoft.com/office/spreadsheetml/2009/9/main" uri="{B025F937-C7B1-47D3-B67F-A62EFF666E3E}">
          <x14:id>{45B44CC6-960D-4F68-8C75-A411AEDDF039}</x14:id>
        </ext>
      </extLst>
    </cfRule>
  </conditionalFormatting>
  <conditionalFormatting sqref="AE3:AE72">
    <cfRule type="dataBar" priority="1">
      <dataBar>
        <cfvo type="min"/>
        <cfvo type="max"/>
        <color rgb="FFFFB628"/>
      </dataBar>
      <extLst>
        <ext xmlns:x14="http://schemas.microsoft.com/office/spreadsheetml/2009/9/main" uri="{B025F937-C7B1-47D3-B67F-A62EFF666E3E}">
          <x14:id>{73CBAC78-5041-41D2-9E19-FBD6ADDFF0E0}</x14:id>
        </ext>
      </extLst>
    </cfRule>
  </conditionalFormatting>
  <conditionalFormatting sqref="AB3:AE72 AF3:AF4">
    <cfRule type="dataBar" priority="8">
      <dataBar>
        <cfvo type="min"/>
        <cfvo type="max"/>
        <color rgb="FFFF555A"/>
      </dataBar>
      <extLst>
        <ext xmlns:x14="http://schemas.microsoft.com/office/spreadsheetml/2009/9/main" uri="{B025F937-C7B1-47D3-B67F-A62EFF666E3E}">
          <x14:id>{D4AADC90-4C5B-420B-8769-974BA96C7F44}</x14:id>
        </ext>
      </extLst>
    </cfRule>
  </conditionalFormatting>
  <conditionalFormatting sqref="AT3:AU12">
    <cfRule type="dataBar" priority="10">
      <dataBar>
        <cfvo type="min"/>
        <cfvo type="max"/>
        <color rgb="FFCCECD7"/>
      </dataBar>
      <extLst>
        <ext xmlns:x14="http://schemas.microsoft.com/office/spreadsheetml/2009/9/main" uri="{B025F937-C7B1-47D3-B67F-A62EFF666E3E}">
          <x14:id>{3889B8B2-0C3E-486B-9B25-F34EBE719F2B}</x14:id>
        </ext>
      </extLst>
    </cfRule>
  </conditionalFormatting>
  <conditionalFormatting sqref="Q3:Q210">
    <cfRule type="dataBar" priority="19">
      <dataBar>
        <cfvo type="min"/>
        <cfvo type="max"/>
        <color rgb="FF63C384"/>
      </dataBar>
      <extLst>
        <ext xmlns:x14="http://schemas.microsoft.com/office/spreadsheetml/2009/9/main" uri="{B025F937-C7B1-47D3-B67F-A62EFF666E3E}">
          <x14:id>{1A389E76-79B6-40EB-8571-148ECF965B69}</x14:id>
        </ext>
      </extLst>
    </cfRule>
  </conditionalFormatting>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dataBar" id="{FAAE73EF-FDE7-4FBD-A278-1581504C1452}">
            <x14:dataBar minLength="0" maxLength="100" gradient="0">
              <x14:cfvo type="autoMin"/>
              <x14:cfvo type="autoMax"/>
              <x14:negativeFillColor rgb="FFFF0000"/>
              <x14:axisColor rgb="FF000000"/>
            </x14:dataBar>
          </x14:cfRule>
          <xm:sqref>U3:U22</xm:sqref>
        </x14:conditionalFormatting>
        <x14:conditionalFormatting xmlns:xm="http://schemas.microsoft.com/office/excel/2006/main">
          <x14:cfRule type="dataBar" id="{D776A1D9-81C6-4EB9-8A71-5C1560099D7B}">
            <x14:dataBar minLength="0" maxLength="100" gradient="0">
              <x14:cfvo type="autoMin"/>
              <x14:cfvo type="autoMax"/>
              <x14:negativeFillColor rgb="FFFF0000"/>
              <x14:axisColor rgb="FF000000"/>
            </x14:dataBar>
          </x14:cfRule>
          <xm:sqref>V3:V22</xm:sqref>
        </x14:conditionalFormatting>
        <x14:conditionalFormatting xmlns:xm="http://schemas.microsoft.com/office/excel/2006/main">
          <x14:cfRule type="dataBar" id="{45B44CC6-960D-4F68-8C75-A411AEDDF039}">
            <x14:dataBar minLength="0" maxLength="100" gradient="0">
              <x14:cfvo type="autoMin"/>
              <x14:cfvo type="autoMax"/>
              <x14:negativeFillColor rgb="FFFF0000"/>
              <x14:axisColor rgb="FF000000"/>
            </x14:dataBar>
          </x14:cfRule>
          <xm:sqref>AD3:AD72</xm:sqref>
        </x14:conditionalFormatting>
        <x14:conditionalFormatting xmlns:xm="http://schemas.microsoft.com/office/excel/2006/main">
          <x14:cfRule type="dataBar" id="{73CBAC78-5041-41D2-9E19-FBD6ADDFF0E0}">
            <x14:dataBar minLength="0" maxLength="100" gradient="0">
              <x14:cfvo type="autoMin"/>
              <x14:cfvo type="autoMax"/>
              <x14:negativeFillColor rgb="FFFF0000"/>
              <x14:axisColor rgb="FF000000"/>
            </x14:dataBar>
          </x14:cfRule>
          <xm:sqref>AE3:AE72</xm:sqref>
        </x14:conditionalFormatting>
        <x14:conditionalFormatting xmlns:xm="http://schemas.microsoft.com/office/excel/2006/main">
          <x14:cfRule type="dataBar" id="{D4AADC90-4C5B-420B-8769-974BA96C7F44}">
            <x14:dataBar minLength="0" maxLength="100" gradient="0">
              <x14:cfvo type="autoMin"/>
              <x14:cfvo type="autoMax"/>
              <x14:negativeFillColor rgb="FFFF0000"/>
              <x14:axisColor rgb="FF000000"/>
            </x14:dataBar>
          </x14:cfRule>
          <xm:sqref>AB3:AE72 AF3:AF4</xm:sqref>
        </x14:conditionalFormatting>
        <x14:conditionalFormatting xmlns:xm="http://schemas.microsoft.com/office/excel/2006/main">
          <x14:cfRule type="dataBar" id="{3889B8B2-0C3E-486B-9B25-F34EBE719F2B}">
            <x14:dataBar minLength="0" maxLength="100" gradient="0">
              <x14:cfvo type="autoMin"/>
              <x14:cfvo type="autoMax"/>
              <x14:negativeFillColor rgb="FFFF0000"/>
              <x14:axisColor rgb="FF000000"/>
            </x14:dataBar>
          </x14:cfRule>
          <xm:sqref>AT3:AU12</xm:sqref>
        </x14:conditionalFormatting>
        <x14:conditionalFormatting xmlns:xm="http://schemas.microsoft.com/office/excel/2006/main">
          <x14:cfRule type="dataBar" id="{1A389E76-79B6-40EB-8571-148ECF965B69}">
            <x14:dataBar minLength="0" maxLength="100" gradient="0">
              <x14:cfvo type="autoMin"/>
              <x14:cfvo type="autoMax"/>
              <x14:negativeFillColor rgb="FFFF0000"/>
              <x14:axisColor rgb="FF000000"/>
            </x14:dataBar>
          </x14:cfRule>
          <xm:sqref>Q3:Q210</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124"/>
  <sheetViews>
    <sheetView workbookViewId="0">
      <pane xSplit="1" ySplit="1" topLeftCell="B3" activePane="bottomRight" state="frozen"/>
      <selection pane="topRight"/>
      <selection pane="bottomLeft"/>
      <selection pane="bottomRight" activeCell="A48" sqref="A48"/>
    </sheetView>
  </sheetViews>
  <sheetFormatPr defaultColWidth="9" defaultRowHeight="13.5" x14ac:dyDescent="0.15"/>
  <cols>
    <col min="1" max="1" width="28.25" customWidth="1"/>
    <col min="2" max="2" width="11.375" customWidth="1"/>
    <col min="3" max="3" width="8.25" customWidth="1"/>
    <col min="4" max="4" width="12.25" customWidth="1"/>
    <col min="6" max="7" width="10.5" customWidth="1"/>
    <col min="11" max="11" width="9.625" customWidth="1"/>
    <col min="12" max="13" width="12.25" style="45" customWidth="1"/>
    <col min="14" max="15" width="11" customWidth="1"/>
    <col min="16" max="16" width="5" customWidth="1"/>
    <col min="17" max="17" width="11" customWidth="1"/>
    <col min="19" max="19" width="4.25" customWidth="1"/>
    <col min="20" max="20" width="14.25" customWidth="1"/>
    <col min="22" max="22" width="12.625" customWidth="1"/>
    <col min="23" max="23" width="11.25" customWidth="1"/>
    <col min="28" max="28" width="7" customWidth="1"/>
    <col min="30" max="30" width="9.75" customWidth="1"/>
    <col min="31" max="31" width="34.5" customWidth="1"/>
    <col min="32" max="32" width="9.75" customWidth="1"/>
    <col min="33" max="34" width="9.25" customWidth="1"/>
    <col min="35" max="36" width="13" customWidth="1"/>
    <col min="37" max="37" width="58.375" customWidth="1"/>
    <col min="38" max="38" width="22.5" customWidth="1"/>
  </cols>
  <sheetData>
    <row r="1" spans="1:39" ht="15.75" x14ac:dyDescent="0.3">
      <c r="A1" s="46" t="s">
        <v>3323</v>
      </c>
      <c r="B1" s="46" t="s">
        <v>3324</v>
      </c>
      <c r="C1" s="46" t="s">
        <v>3325</v>
      </c>
      <c r="D1" s="46" t="s">
        <v>3326</v>
      </c>
      <c r="E1" s="46" t="s">
        <v>3327</v>
      </c>
      <c r="F1" s="46" t="s">
        <v>3328</v>
      </c>
      <c r="G1" s="46" t="s">
        <v>3329</v>
      </c>
      <c r="H1" s="46" t="s">
        <v>3330</v>
      </c>
      <c r="I1" s="46" t="s">
        <v>3331</v>
      </c>
      <c r="J1" s="46" t="s">
        <v>3332</v>
      </c>
      <c r="K1" s="46" t="s">
        <v>3333</v>
      </c>
      <c r="L1" s="47" t="s">
        <v>3334</v>
      </c>
      <c r="M1" s="47" t="s">
        <v>3335</v>
      </c>
      <c r="N1" s="46" t="s">
        <v>3336</v>
      </c>
      <c r="O1" s="46" t="s">
        <v>3337</v>
      </c>
      <c r="T1" t="s">
        <v>3338</v>
      </c>
      <c r="U1" t="s">
        <v>3339</v>
      </c>
      <c r="V1" t="s">
        <v>3336</v>
      </c>
      <c r="W1" t="s">
        <v>3340</v>
      </c>
      <c r="AC1" t="s">
        <v>3341</v>
      </c>
      <c r="AL1" t="s">
        <v>3062</v>
      </c>
      <c r="AM1">
        <v>4</v>
      </c>
    </row>
    <row r="2" spans="1:39" ht="15.75" x14ac:dyDescent="0.3">
      <c r="A2" s="15" t="s">
        <v>3342</v>
      </c>
      <c r="B2" s="15">
        <f>(M2*($AM$2/$AM$1)*VLOOKUP(A2,$AE:$AI,MATCH("单场参数换算",$AE$2:$AI$2,0),FALSE))</f>
        <v>450</v>
      </c>
      <c r="C2" s="15">
        <v>0</v>
      </c>
      <c r="D2" s="15">
        <f>IF(C2=0,IF(B2&gt;1000,ROUNDUP(B2/1000,0)*1000,IF(B2&gt;100,ROUNDUP(B2/100,0)*100,IF(B2&gt;20,ROUNDUP(B2/5,0)*5,ROUNDUP(B2,0)))),C2)</f>
        <v>500</v>
      </c>
      <c r="E2" s="15" t="s">
        <v>3343</v>
      </c>
      <c r="F2" s="15">
        <f>VLOOKUP(K2,$U$9:$V$12,2,FALSE)</f>
        <v>10</v>
      </c>
      <c r="G2" s="15" t="str">
        <f>"["&amp;F2&amp;"]"</f>
        <v>[10]</v>
      </c>
      <c r="H2">
        <v>1</v>
      </c>
      <c r="I2">
        <f>VLOOKUP(A2,$AE:$AJ,MATCH("类型查找用",$AE$2:$AJ$2,0),FALSE)</f>
        <v>1</v>
      </c>
      <c r="J2">
        <v>1</v>
      </c>
      <c r="K2">
        <f>VLOOKUP(A2,$AE:$AJ,MATCH("难度设定",$AE$2:$AJ$2,0),FALSE)</f>
        <v>2</v>
      </c>
      <c r="L2" s="45">
        <f>IF(H2=1,(D2/VLOOKUP(I2,$AD:$AI,MATCH("单场参数换算",$AD$2:$AI$2,0),FALSE))/($AM$2/$AM$1),0)</f>
        <v>33.333333333333336</v>
      </c>
      <c r="M2" s="45">
        <f>VLOOKUP(K2&amp;"-"&amp;J2,$W$14:$X$23,MATCH("预期天数",$W$14:$X$14,0),FALSE)</f>
        <v>30</v>
      </c>
      <c r="N2">
        <f>VLOOKUP(K2&amp;"-"&amp;J2,$W$14:$Y$23,MATCH("对应积分",$W$14:$Y$14,0),FALSE)</f>
        <v>10</v>
      </c>
      <c r="O2" t="str">
        <f>IF(H2=1,"true","false")</f>
        <v>true</v>
      </c>
      <c r="Q2" t="s">
        <v>3344</v>
      </c>
      <c r="R2">
        <f>SUMIFS($F$2:$F$124,$H$2:$H$124,1)+SUM(Y2:Y6)+SUM(AA2:AA6)*道具价值!$AB$73</f>
        <v>2746.1111111111113</v>
      </c>
      <c r="T2">
        <v>1</v>
      </c>
      <c r="U2">
        <v>60</v>
      </c>
      <c r="V2">
        <f>SUMIFS($N$2:$N$124,$H$2:$H$124,1,$L$2:$L$124,"&lt;="&amp;U2)</f>
        <v>535</v>
      </c>
      <c r="W2">
        <v>500</v>
      </c>
      <c r="X2" t="s">
        <v>325</v>
      </c>
      <c r="Y2">
        <v>100</v>
      </c>
      <c r="Z2" t="s">
        <v>275</v>
      </c>
      <c r="AA2">
        <v>10000</v>
      </c>
      <c r="AD2" s="48" t="s">
        <v>3331</v>
      </c>
      <c r="AE2" s="48" t="s">
        <v>3345</v>
      </c>
      <c r="AF2" s="48" t="s">
        <v>3346</v>
      </c>
      <c r="AG2" s="48" t="s">
        <v>3059</v>
      </c>
      <c r="AH2" s="48" t="s">
        <v>3347</v>
      </c>
      <c r="AI2" s="48" t="s">
        <v>3061</v>
      </c>
      <c r="AJ2" s="48" t="s">
        <v>3348</v>
      </c>
      <c r="AL2" t="s">
        <v>3071</v>
      </c>
      <c r="AM2">
        <v>30</v>
      </c>
    </row>
    <row r="3" spans="1:39" ht="15.75" x14ac:dyDescent="0.3">
      <c r="A3" s="15" t="s">
        <v>3342</v>
      </c>
      <c r="B3" s="15">
        <f t="shared" ref="B3:B66" si="0">(M3*($AM$2/$AM$1)*VLOOKUP(A3,$AE:$AI,MATCH("单场参数换算",$AE$2:$AI$2,0),FALSE))</f>
        <v>1200</v>
      </c>
      <c r="C3" s="15">
        <v>0</v>
      </c>
      <c r="D3" s="15">
        <f t="shared" ref="D3:D66" si="1">IF(C3=0,IF(B3&gt;1000,ROUNDUP(B3/1000,0)*1000,IF(B3&gt;100,ROUNDUP(B3/100,0)*100,IF(B3&gt;20,ROUNDUP(B3/5,0)*5,ROUNDUP(B3,0)))),C3)</f>
        <v>2000</v>
      </c>
      <c r="E3" s="15" t="s">
        <v>3343</v>
      </c>
      <c r="F3" s="15">
        <f t="shared" ref="F3:F66" si="2">VLOOKUP(K3,$U$9:$V$12,2,FALSE)</f>
        <v>10</v>
      </c>
      <c r="G3" s="15" t="str">
        <f t="shared" ref="G3:G66" si="3">"["&amp;F3&amp;"]"</f>
        <v>[10]</v>
      </c>
      <c r="H3">
        <v>1</v>
      </c>
      <c r="I3">
        <f t="shared" ref="I3:I66" si="4">VLOOKUP(A3,$AE:$AJ,MATCH("类型查找用",$AE$2:$AJ$2,0),FALSE)</f>
        <v>1</v>
      </c>
      <c r="J3">
        <v>2</v>
      </c>
      <c r="K3">
        <f t="shared" ref="K3:K66" si="5">VLOOKUP(A3,$AE:$AJ,MATCH("难度设定",$AE$2:$AJ$2,0),FALSE)</f>
        <v>2</v>
      </c>
      <c r="L3" s="45">
        <f t="shared" ref="L3:L66" si="6">IF(H3=1,(D3/VLOOKUP(I3,$AD:$AI,MATCH("单场参数换算",$AD$2:$AI$2,0),FALSE))/($AM$2/$AM$1),0)</f>
        <v>133.33333333333334</v>
      </c>
      <c r="M3" s="45">
        <f t="shared" ref="M3:M66" si="7">VLOOKUP(K3&amp;"-"&amp;J3,$W$14:$X$23,MATCH("预期天数",$W$14:$X$14,0),FALSE)</f>
        <v>80</v>
      </c>
      <c r="N3">
        <f t="shared" ref="N3:N66" si="8">VLOOKUP(K3&amp;"-"&amp;J3,$W$14:$Y$23,MATCH("对应积分",$W$14:$Y$14,0),FALSE)</f>
        <v>15</v>
      </c>
      <c r="O3" t="str">
        <f t="shared" ref="O3:O66" si="9">IF(H3=1,"true","false")</f>
        <v>true</v>
      </c>
      <c r="Q3" t="s">
        <v>3349</v>
      </c>
      <c r="R3">
        <f>MAX(L2:L124)</f>
        <v>500</v>
      </c>
      <c r="T3">
        <v>2</v>
      </c>
      <c r="U3">
        <v>150</v>
      </c>
      <c r="V3">
        <f t="shared" ref="V3:V6" si="10">SUMIFS($N$2:$N$124,$H$2:$H$124,1,$L$2:$L$124,"&lt;="&amp;U3)</f>
        <v>1135</v>
      </c>
      <c r="W3">
        <v>800</v>
      </c>
      <c r="X3" t="s">
        <v>325</v>
      </c>
      <c r="Y3">
        <v>100</v>
      </c>
      <c r="Z3" t="s">
        <v>275</v>
      </c>
      <c r="AA3">
        <v>10000</v>
      </c>
      <c r="AD3">
        <v>1</v>
      </c>
      <c r="AE3" t="s">
        <v>3342</v>
      </c>
      <c r="AF3">
        <v>2</v>
      </c>
      <c r="AG3" t="s">
        <v>3083</v>
      </c>
      <c r="AH3">
        <v>2</v>
      </c>
      <c r="AI3">
        <f>IF(AG3="单场",AH3,IF(AG3="多场",1/AH3,IF(AG3="单天",AH3/($AM$2/$AM$1),1/(AH3*($AM$2/$AM$1)))))</f>
        <v>2</v>
      </c>
      <c r="AJ3">
        <f>AD3</f>
        <v>1</v>
      </c>
    </row>
    <row r="4" spans="1:39" ht="15.75" x14ac:dyDescent="0.3">
      <c r="A4" s="15" t="s">
        <v>3342</v>
      </c>
      <c r="B4" s="15">
        <f t="shared" si="0"/>
        <v>3000</v>
      </c>
      <c r="C4" s="15">
        <v>0</v>
      </c>
      <c r="D4" s="15">
        <f t="shared" si="1"/>
        <v>3000</v>
      </c>
      <c r="E4" s="15" t="s">
        <v>3343</v>
      </c>
      <c r="F4" s="15">
        <f t="shared" si="2"/>
        <v>10</v>
      </c>
      <c r="G4" s="15" t="str">
        <f t="shared" si="3"/>
        <v>[10]</v>
      </c>
      <c r="H4">
        <v>1</v>
      </c>
      <c r="I4">
        <f t="shared" si="4"/>
        <v>1</v>
      </c>
      <c r="J4">
        <v>3</v>
      </c>
      <c r="K4">
        <f t="shared" si="5"/>
        <v>2</v>
      </c>
      <c r="L4" s="45">
        <f t="shared" si="6"/>
        <v>200</v>
      </c>
      <c r="M4" s="45">
        <f t="shared" si="7"/>
        <v>200</v>
      </c>
      <c r="N4">
        <f t="shared" si="8"/>
        <v>20</v>
      </c>
      <c r="O4" t="str">
        <f t="shared" si="9"/>
        <v>true</v>
      </c>
      <c r="Q4" t="s">
        <v>3350</v>
      </c>
      <c r="R4">
        <f>R2/R3</f>
        <v>5.4922222222222228</v>
      </c>
      <c r="T4">
        <v>3</v>
      </c>
      <c r="U4">
        <v>240</v>
      </c>
      <c r="V4">
        <f t="shared" si="10"/>
        <v>1435</v>
      </c>
      <c r="W4">
        <v>1000</v>
      </c>
      <c r="X4" t="s">
        <v>325</v>
      </c>
      <c r="Y4">
        <v>100</v>
      </c>
      <c r="Z4" t="s">
        <v>275</v>
      </c>
      <c r="AA4">
        <v>10000</v>
      </c>
      <c r="AD4">
        <v>2</v>
      </c>
      <c r="AE4" t="s">
        <v>3351</v>
      </c>
      <c r="AF4">
        <v>3</v>
      </c>
      <c r="AG4" t="s">
        <v>3114</v>
      </c>
      <c r="AH4">
        <v>5</v>
      </c>
      <c r="AI4">
        <f t="shared" ref="AI4:AI43" si="11">IF(AG4="单场",AH4,IF(AG4="多场",1/AH4,IF(AG4="单天",AH4/($AM$2/$AM$1),1/(AH4*($AM$2/$AM$1)))))</f>
        <v>0.2</v>
      </c>
      <c r="AJ4">
        <f t="shared" ref="AJ4:AJ43" si="12">AD4</f>
        <v>2</v>
      </c>
    </row>
    <row r="5" spans="1:39" ht="15.75" x14ac:dyDescent="0.3">
      <c r="A5" s="15" t="s">
        <v>3351</v>
      </c>
      <c r="B5" s="15">
        <f t="shared" si="0"/>
        <v>60</v>
      </c>
      <c r="C5" s="15">
        <v>0</v>
      </c>
      <c r="D5" s="15">
        <f t="shared" si="1"/>
        <v>60</v>
      </c>
      <c r="E5" s="15" t="s">
        <v>3343</v>
      </c>
      <c r="F5" s="15">
        <f t="shared" si="2"/>
        <v>20</v>
      </c>
      <c r="G5" s="15" t="str">
        <f t="shared" si="3"/>
        <v>[20]</v>
      </c>
      <c r="H5">
        <v>1</v>
      </c>
      <c r="I5">
        <f t="shared" si="4"/>
        <v>2</v>
      </c>
      <c r="J5">
        <v>1</v>
      </c>
      <c r="K5">
        <f t="shared" si="5"/>
        <v>3</v>
      </c>
      <c r="L5" s="45">
        <f t="shared" si="6"/>
        <v>40</v>
      </c>
      <c r="M5" s="45">
        <f t="shared" si="7"/>
        <v>40</v>
      </c>
      <c r="N5">
        <f t="shared" si="8"/>
        <v>20</v>
      </c>
      <c r="O5" t="str">
        <f t="shared" si="9"/>
        <v>true</v>
      </c>
      <c r="T5">
        <v>4</v>
      </c>
      <c r="U5">
        <v>320</v>
      </c>
      <c r="V5">
        <f t="shared" si="10"/>
        <v>1525</v>
      </c>
      <c r="W5">
        <v>1200</v>
      </c>
      <c r="X5" t="s">
        <v>325</v>
      </c>
      <c r="Y5">
        <v>100</v>
      </c>
      <c r="Z5" t="s">
        <v>275</v>
      </c>
      <c r="AA5">
        <v>10000</v>
      </c>
      <c r="AD5">
        <v>3</v>
      </c>
      <c r="AE5" t="s">
        <v>3352</v>
      </c>
      <c r="AF5">
        <v>2</v>
      </c>
      <c r="AG5" t="s">
        <v>3114</v>
      </c>
      <c r="AH5">
        <v>2</v>
      </c>
      <c r="AI5">
        <f t="shared" si="11"/>
        <v>0.5</v>
      </c>
      <c r="AJ5">
        <f t="shared" si="12"/>
        <v>3</v>
      </c>
    </row>
    <row r="6" spans="1:39" ht="15.75" x14ac:dyDescent="0.3">
      <c r="A6" s="15" t="s">
        <v>3351</v>
      </c>
      <c r="B6" s="15">
        <f t="shared" si="0"/>
        <v>180</v>
      </c>
      <c r="C6" s="15">
        <v>0</v>
      </c>
      <c r="D6" s="15">
        <f t="shared" si="1"/>
        <v>200</v>
      </c>
      <c r="E6" s="15" t="s">
        <v>3343</v>
      </c>
      <c r="F6" s="15">
        <f t="shared" si="2"/>
        <v>20</v>
      </c>
      <c r="G6" s="15" t="str">
        <f t="shared" si="3"/>
        <v>[20]</v>
      </c>
      <c r="H6">
        <v>1</v>
      </c>
      <c r="I6">
        <f t="shared" si="4"/>
        <v>2</v>
      </c>
      <c r="J6">
        <v>2</v>
      </c>
      <c r="K6">
        <f t="shared" si="5"/>
        <v>3</v>
      </c>
      <c r="L6" s="45">
        <f t="shared" si="6"/>
        <v>133.33333333333334</v>
      </c>
      <c r="M6" s="45">
        <f t="shared" si="7"/>
        <v>120</v>
      </c>
      <c r="N6">
        <f t="shared" si="8"/>
        <v>25</v>
      </c>
      <c r="O6" t="str">
        <f t="shared" si="9"/>
        <v>true</v>
      </c>
      <c r="T6">
        <v>5</v>
      </c>
      <c r="U6">
        <v>100000</v>
      </c>
      <c r="V6">
        <f t="shared" si="10"/>
        <v>1665</v>
      </c>
      <c r="W6">
        <v>1600</v>
      </c>
      <c r="X6" t="s">
        <v>325</v>
      </c>
      <c r="Y6">
        <v>100</v>
      </c>
      <c r="Z6" t="s">
        <v>275</v>
      </c>
      <c r="AA6">
        <v>10000</v>
      </c>
      <c r="AD6">
        <v>4</v>
      </c>
      <c r="AE6" t="s">
        <v>3176</v>
      </c>
      <c r="AF6">
        <v>1</v>
      </c>
      <c r="AG6" t="s">
        <v>3083</v>
      </c>
      <c r="AH6">
        <v>25</v>
      </c>
      <c r="AI6">
        <f t="shared" si="11"/>
        <v>25</v>
      </c>
      <c r="AJ6">
        <f t="shared" si="12"/>
        <v>4</v>
      </c>
    </row>
    <row r="7" spans="1:39" ht="15.75" x14ac:dyDescent="0.3">
      <c r="A7" s="15" t="s">
        <v>3351</v>
      </c>
      <c r="B7" s="15">
        <f t="shared" si="0"/>
        <v>540</v>
      </c>
      <c r="C7" s="15">
        <v>0</v>
      </c>
      <c r="D7" s="15">
        <f t="shared" si="1"/>
        <v>600</v>
      </c>
      <c r="E7" s="15" t="s">
        <v>3343</v>
      </c>
      <c r="F7" s="15">
        <f t="shared" si="2"/>
        <v>20</v>
      </c>
      <c r="G7" s="15" t="str">
        <f t="shared" si="3"/>
        <v>[20]</v>
      </c>
      <c r="H7">
        <v>1</v>
      </c>
      <c r="I7">
        <f t="shared" si="4"/>
        <v>2</v>
      </c>
      <c r="J7">
        <v>3</v>
      </c>
      <c r="K7">
        <f t="shared" si="5"/>
        <v>3</v>
      </c>
      <c r="L7" s="45">
        <f t="shared" si="6"/>
        <v>400</v>
      </c>
      <c r="M7" s="45">
        <f t="shared" si="7"/>
        <v>360</v>
      </c>
      <c r="N7">
        <f t="shared" si="8"/>
        <v>30</v>
      </c>
      <c r="O7" t="str">
        <f t="shared" si="9"/>
        <v>true</v>
      </c>
      <c r="AD7">
        <v>5</v>
      </c>
      <c r="AE7" t="s">
        <v>3207</v>
      </c>
      <c r="AF7">
        <v>2</v>
      </c>
      <c r="AG7" t="s">
        <v>3104</v>
      </c>
      <c r="AH7">
        <v>5</v>
      </c>
      <c r="AI7">
        <f t="shared" si="11"/>
        <v>0.66666666666666663</v>
      </c>
      <c r="AJ7">
        <f t="shared" si="12"/>
        <v>5</v>
      </c>
    </row>
    <row r="8" spans="1:39" ht="15.75" x14ac:dyDescent="0.3">
      <c r="A8" s="15" t="s">
        <v>3352</v>
      </c>
      <c r="B8" s="15">
        <f t="shared" si="0"/>
        <v>112.5</v>
      </c>
      <c r="C8" s="15">
        <v>0</v>
      </c>
      <c r="D8" s="15">
        <f t="shared" si="1"/>
        <v>200</v>
      </c>
      <c r="E8" s="15" t="s">
        <v>3343</v>
      </c>
      <c r="F8" s="15">
        <f t="shared" si="2"/>
        <v>10</v>
      </c>
      <c r="G8" s="15" t="str">
        <f t="shared" si="3"/>
        <v>[10]</v>
      </c>
      <c r="H8">
        <v>1</v>
      </c>
      <c r="I8">
        <f t="shared" si="4"/>
        <v>3</v>
      </c>
      <c r="J8">
        <v>1</v>
      </c>
      <c r="K8">
        <f t="shared" si="5"/>
        <v>2</v>
      </c>
      <c r="L8" s="45">
        <f t="shared" si="6"/>
        <v>53.333333333333336</v>
      </c>
      <c r="M8" s="45">
        <f t="shared" si="7"/>
        <v>30</v>
      </c>
      <c r="N8">
        <f t="shared" si="8"/>
        <v>10</v>
      </c>
      <c r="O8" t="str">
        <f t="shared" si="9"/>
        <v>true</v>
      </c>
      <c r="AD8">
        <v>6</v>
      </c>
      <c r="AE8" t="s">
        <v>3353</v>
      </c>
      <c r="AF8">
        <v>1</v>
      </c>
      <c r="AG8" t="s">
        <v>3104</v>
      </c>
      <c r="AH8">
        <v>20</v>
      </c>
      <c r="AI8">
        <f t="shared" si="11"/>
        <v>2.6666666666666665</v>
      </c>
      <c r="AJ8">
        <f t="shared" si="12"/>
        <v>6</v>
      </c>
    </row>
    <row r="9" spans="1:39" ht="15.75" x14ac:dyDescent="0.3">
      <c r="A9" s="15" t="s">
        <v>3352</v>
      </c>
      <c r="B9" s="15">
        <f t="shared" si="0"/>
        <v>300</v>
      </c>
      <c r="C9" s="15">
        <v>0</v>
      </c>
      <c r="D9" s="15">
        <f t="shared" si="1"/>
        <v>300</v>
      </c>
      <c r="E9" s="15" t="s">
        <v>3343</v>
      </c>
      <c r="F9" s="15">
        <f t="shared" si="2"/>
        <v>10</v>
      </c>
      <c r="G9" s="15" t="str">
        <f t="shared" si="3"/>
        <v>[10]</v>
      </c>
      <c r="H9">
        <v>1</v>
      </c>
      <c r="I9">
        <f t="shared" si="4"/>
        <v>3</v>
      </c>
      <c r="J9">
        <v>2</v>
      </c>
      <c r="K9">
        <f t="shared" si="5"/>
        <v>2</v>
      </c>
      <c r="L9" s="45">
        <f t="shared" si="6"/>
        <v>80</v>
      </c>
      <c r="M9" s="45">
        <f t="shared" si="7"/>
        <v>80</v>
      </c>
      <c r="N9">
        <f t="shared" si="8"/>
        <v>15</v>
      </c>
      <c r="O9" t="str">
        <f t="shared" si="9"/>
        <v>true</v>
      </c>
      <c r="T9" t="s">
        <v>3354</v>
      </c>
      <c r="U9" s="7" t="s">
        <v>3355</v>
      </c>
      <c r="V9" s="7" t="s">
        <v>577</v>
      </c>
      <c r="AD9">
        <v>7</v>
      </c>
      <c r="AE9" s="49" t="s">
        <v>3246</v>
      </c>
      <c r="AF9" s="49">
        <v>3</v>
      </c>
      <c r="AG9" s="49" t="s">
        <v>3104</v>
      </c>
      <c r="AH9" s="49">
        <v>100</v>
      </c>
      <c r="AI9">
        <f t="shared" si="11"/>
        <v>13.333333333333334</v>
      </c>
      <c r="AJ9">
        <f t="shared" si="12"/>
        <v>7</v>
      </c>
    </row>
    <row r="10" spans="1:39" ht="15.75" x14ac:dyDescent="0.3">
      <c r="A10" s="15" t="s">
        <v>3352</v>
      </c>
      <c r="B10" s="15">
        <f t="shared" si="0"/>
        <v>750</v>
      </c>
      <c r="C10" s="15">
        <v>0</v>
      </c>
      <c r="D10" s="15">
        <f t="shared" si="1"/>
        <v>800</v>
      </c>
      <c r="E10" s="15" t="s">
        <v>3343</v>
      </c>
      <c r="F10" s="15">
        <f t="shared" si="2"/>
        <v>10</v>
      </c>
      <c r="G10" s="15" t="str">
        <f t="shared" si="3"/>
        <v>[10]</v>
      </c>
      <c r="H10">
        <v>1</v>
      </c>
      <c r="I10">
        <f t="shared" si="4"/>
        <v>3</v>
      </c>
      <c r="J10">
        <v>3</v>
      </c>
      <c r="K10">
        <f t="shared" si="5"/>
        <v>2</v>
      </c>
      <c r="L10" s="45">
        <f t="shared" si="6"/>
        <v>213.33333333333334</v>
      </c>
      <c r="M10" s="45">
        <f t="shared" si="7"/>
        <v>200</v>
      </c>
      <c r="N10">
        <f t="shared" si="8"/>
        <v>20</v>
      </c>
      <c r="O10" t="str">
        <f t="shared" si="9"/>
        <v>true</v>
      </c>
      <c r="U10" s="7">
        <v>1</v>
      </c>
      <c r="V10" s="7">
        <v>5</v>
      </c>
      <c r="AD10">
        <v>8</v>
      </c>
      <c r="AE10" t="s">
        <v>3356</v>
      </c>
      <c r="AF10">
        <v>2</v>
      </c>
      <c r="AG10" t="s">
        <v>3083</v>
      </c>
      <c r="AH10">
        <v>5</v>
      </c>
      <c r="AI10">
        <f t="shared" si="11"/>
        <v>5</v>
      </c>
      <c r="AJ10">
        <f t="shared" si="12"/>
        <v>8</v>
      </c>
    </row>
    <row r="11" spans="1:39" ht="15.75" x14ac:dyDescent="0.3">
      <c r="A11" s="15" t="s">
        <v>3176</v>
      </c>
      <c r="B11" s="15">
        <f t="shared" si="0"/>
        <v>3750</v>
      </c>
      <c r="C11" s="15">
        <v>0</v>
      </c>
      <c r="D11" s="15">
        <f t="shared" si="1"/>
        <v>4000</v>
      </c>
      <c r="E11" s="15" t="s">
        <v>3343</v>
      </c>
      <c r="F11" s="15">
        <f t="shared" si="2"/>
        <v>5</v>
      </c>
      <c r="G11" s="15" t="str">
        <f t="shared" si="3"/>
        <v>[5]</v>
      </c>
      <c r="H11">
        <v>1</v>
      </c>
      <c r="I11">
        <f t="shared" si="4"/>
        <v>4</v>
      </c>
      <c r="J11">
        <v>1</v>
      </c>
      <c r="K11">
        <f t="shared" si="5"/>
        <v>1</v>
      </c>
      <c r="L11" s="45">
        <f t="shared" si="6"/>
        <v>21.333333333333332</v>
      </c>
      <c r="M11" s="45">
        <f t="shared" si="7"/>
        <v>20</v>
      </c>
      <c r="N11">
        <f t="shared" si="8"/>
        <v>5</v>
      </c>
      <c r="O11" t="str">
        <f t="shared" si="9"/>
        <v>true</v>
      </c>
      <c r="U11" s="7">
        <v>2</v>
      </c>
      <c r="V11" s="7">
        <v>10</v>
      </c>
      <c r="AD11">
        <v>9</v>
      </c>
      <c r="AE11" t="s">
        <v>3224</v>
      </c>
      <c r="AF11">
        <v>2</v>
      </c>
      <c r="AG11" t="s">
        <v>3104</v>
      </c>
      <c r="AH11">
        <v>4000</v>
      </c>
      <c r="AI11">
        <f t="shared" si="11"/>
        <v>533.33333333333337</v>
      </c>
      <c r="AJ11">
        <f t="shared" si="12"/>
        <v>9</v>
      </c>
    </row>
    <row r="12" spans="1:39" ht="15.75" x14ac:dyDescent="0.3">
      <c r="A12" s="15" t="s">
        <v>3176</v>
      </c>
      <c r="B12" s="15">
        <f t="shared" si="0"/>
        <v>11250</v>
      </c>
      <c r="C12" s="15">
        <v>0</v>
      </c>
      <c r="D12" s="15">
        <f t="shared" si="1"/>
        <v>12000</v>
      </c>
      <c r="E12" s="15" t="s">
        <v>3343</v>
      </c>
      <c r="F12" s="15">
        <f t="shared" si="2"/>
        <v>5</v>
      </c>
      <c r="G12" s="15" t="str">
        <f t="shared" si="3"/>
        <v>[5]</v>
      </c>
      <c r="H12">
        <v>1</v>
      </c>
      <c r="I12">
        <f t="shared" si="4"/>
        <v>4</v>
      </c>
      <c r="J12">
        <v>2</v>
      </c>
      <c r="K12">
        <f t="shared" si="5"/>
        <v>1</v>
      </c>
      <c r="L12" s="45">
        <f t="shared" si="6"/>
        <v>64</v>
      </c>
      <c r="M12" s="45">
        <f t="shared" si="7"/>
        <v>60</v>
      </c>
      <c r="N12">
        <f t="shared" si="8"/>
        <v>10</v>
      </c>
      <c r="O12" t="str">
        <f t="shared" si="9"/>
        <v>true</v>
      </c>
      <c r="U12" s="7">
        <v>3</v>
      </c>
      <c r="V12" s="7">
        <v>20</v>
      </c>
      <c r="AD12">
        <v>10</v>
      </c>
      <c r="AE12" t="s">
        <v>3217</v>
      </c>
      <c r="AF12">
        <v>2</v>
      </c>
      <c r="AG12" t="s">
        <v>3104</v>
      </c>
      <c r="AH12">
        <v>4</v>
      </c>
      <c r="AI12">
        <f t="shared" si="11"/>
        <v>0.53333333333333333</v>
      </c>
      <c r="AJ12">
        <f t="shared" si="12"/>
        <v>10</v>
      </c>
    </row>
    <row r="13" spans="1:39" ht="15.75" x14ac:dyDescent="0.3">
      <c r="A13" s="15" t="s">
        <v>3176</v>
      </c>
      <c r="B13" s="15">
        <f t="shared" si="0"/>
        <v>28125</v>
      </c>
      <c r="C13" s="15">
        <v>30000</v>
      </c>
      <c r="D13" s="15">
        <f t="shared" si="1"/>
        <v>30000</v>
      </c>
      <c r="E13" s="15" t="s">
        <v>3343</v>
      </c>
      <c r="F13" s="15">
        <f t="shared" si="2"/>
        <v>5</v>
      </c>
      <c r="G13" s="15" t="str">
        <f t="shared" si="3"/>
        <v>[5]</v>
      </c>
      <c r="H13">
        <v>1</v>
      </c>
      <c r="I13">
        <f t="shared" si="4"/>
        <v>4</v>
      </c>
      <c r="J13">
        <v>3</v>
      </c>
      <c r="K13">
        <f t="shared" si="5"/>
        <v>1</v>
      </c>
      <c r="L13" s="45">
        <f t="shared" si="6"/>
        <v>160</v>
      </c>
      <c r="M13" s="45">
        <f t="shared" si="7"/>
        <v>150</v>
      </c>
      <c r="N13">
        <f t="shared" si="8"/>
        <v>15</v>
      </c>
      <c r="O13" t="str">
        <f t="shared" si="9"/>
        <v>true</v>
      </c>
      <c r="AD13">
        <v>11</v>
      </c>
      <c r="AE13" t="s">
        <v>3161</v>
      </c>
      <c r="AF13">
        <v>1</v>
      </c>
      <c r="AG13" t="s">
        <v>3083</v>
      </c>
      <c r="AH13">
        <v>2</v>
      </c>
      <c r="AI13">
        <f t="shared" si="11"/>
        <v>2</v>
      </c>
      <c r="AJ13">
        <f t="shared" si="12"/>
        <v>11</v>
      </c>
    </row>
    <row r="14" spans="1:39" ht="15.75" x14ac:dyDescent="0.3">
      <c r="A14" s="15" t="s">
        <v>3207</v>
      </c>
      <c r="B14" s="15">
        <f t="shared" si="0"/>
        <v>150</v>
      </c>
      <c r="C14" s="15">
        <v>0</v>
      </c>
      <c r="D14" s="15">
        <f t="shared" si="1"/>
        <v>200</v>
      </c>
      <c r="E14" s="15" t="s">
        <v>3343</v>
      </c>
      <c r="F14" s="15">
        <f t="shared" si="2"/>
        <v>10</v>
      </c>
      <c r="G14" s="15" t="str">
        <f t="shared" si="3"/>
        <v>[10]</v>
      </c>
      <c r="H14">
        <v>1</v>
      </c>
      <c r="I14">
        <f t="shared" si="4"/>
        <v>5</v>
      </c>
      <c r="J14">
        <v>1</v>
      </c>
      <c r="K14">
        <f t="shared" si="5"/>
        <v>2</v>
      </c>
      <c r="L14" s="45">
        <f t="shared" si="6"/>
        <v>40</v>
      </c>
      <c r="M14" s="45">
        <f t="shared" si="7"/>
        <v>30</v>
      </c>
      <c r="N14">
        <f t="shared" si="8"/>
        <v>10</v>
      </c>
      <c r="O14" t="str">
        <f t="shared" si="9"/>
        <v>true</v>
      </c>
      <c r="T14" t="s">
        <v>3357</v>
      </c>
      <c r="U14" s="7" t="s">
        <v>3355</v>
      </c>
      <c r="V14" s="7" t="s">
        <v>831</v>
      </c>
      <c r="W14" s="7" t="s">
        <v>3358</v>
      </c>
      <c r="X14" s="7" t="s">
        <v>594</v>
      </c>
      <c r="Y14" s="13" t="s">
        <v>3336</v>
      </c>
      <c r="AD14">
        <v>12</v>
      </c>
      <c r="AE14" t="s">
        <v>3231</v>
      </c>
      <c r="AF14">
        <v>2</v>
      </c>
      <c r="AG14" t="s">
        <v>3104</v>
      </c>
      <c r="AH14">
        <v>0.6</v>
      </c>
      <c r="AI14">
        <f t="shared" si="11"/>
        <v>0.08</v>
      </c>
      <c r="AJ14">
        <f t="shared" si="12"/>
        <v>12</v>
      </c>
    </row>
    <row r="15" spans="1:39" ht="15.75" x14ac:dyDescent="0.3">
      <c r="A15" s="15" t="s">
        <v>3207</v>
      </c>
      <c r="B15" s="15">
        <f t="shared" si="0"/>
        <v>400</v>
      </c>
      <c r="C15" s="15">
        <v>0</v>
      </c>
      <c r="D15" s="15">
        <f t="shared" si="1"/>
        <v>400</v>
      </c>
      <c r="E15" s="15" t="s">
        <v>3343</v>
      </c>
      <c r="F15" s="15">
        <f t="shared" si="2"/>
        <v>10</v>
      </c>
      <c r="G15" s="15" t="str">
        <f t="shared" si="3"/>
        <v>[10]</v>
      </c>
      <c r="H15">
        <v>1</v>
      </c>
      <c r="I15">
        <f t="shared" si="4"/>
        <v>5</v>
      </c>
      <c r="J15">
        <v>2</v>
      </c>
      <c r="K15">
        <f t="shared" si="5"/>
        <v>2</v>
      </c>
      <c r="L15" s="45">
        <f t="shared" si="6"/>
        <v>80</v>
      </c>
      <c r="M15" s="45">
        <f t="shared" si="7"/>
        <v>80</v>
      </c>
      <c r="N15">
        <f t="shared" si="8"/>
        <v>15</v>
      </c>
      <c r="O15" t="str">
        <f t="shared" si="9"/>
        <v>true</v>
      </c>
      <c r="U15" s="7">
        <v>1</v>
      </c>
      <c r="V15" s="7">
        <v>1</v>
      </c>
      <c r="W15" s="7" t="str">
        <f>U15&amp;"-"&amp;V15</f>
        <v>1-1</v>
      </c>
      <c r="X15" s="7">
        <v>20</v>
      </c>
      <c r="Y15" s="7">
        <v>5</v>
      </c>
      <c r="AD15">
        <v>13</v>
      </c>
      <c r="AE15" t="s">
        <v>3359</v>
      </c>
      <c r="AF15">
        <v>2</v>
      </c>
      <c r="AG15" t="s">
        <v>3083</v>
      </c>
      <c r="AH15">
        <v>1</v>
      </c>
      <c r="AI15">
        <f t="shared" si="11"/>
        <v>1</v>
      </c>
      <c r="AJ15">
        <f t="shared" si="12"/>
        <v>13</v>
      </c>
    </row>
    <row r="16" spans="1:39" ht="15.75" x14ac:dyDescent="0.3">
      <c r="A16" s="15" t="s">
        <v>3207</v>
      </c>
      <c r="B16" s="15">
        <f t="shared" si="0"/>
        <v>1000</v>
      </c>
      <c r="C16" s="15">
        <v>0</v>
      </c>
      <c r="D16" s="15">
        <f t="shared" si="1"/>
        <v>1000</v>
      </c>
      <c r="E16" s="15" t="s">
        <v>3343</v>
      </c>
      <c r="F16" s="15">
        <f t="shared" si="2"/>
        <v>10</v>
      </c>
      <c r="G16" s="15" t="str">
        <f t="shared" si="3"/>
        <v>[10]</v>
      </c>
      <c r="H16">
        <v>1</v>
      </c>
      <c r="I16">
        <f t="shared" si="4"/>
        <v>5</v>
      </c>
      <c r="J16">
        <v>3</v>
      </c>
      <c r="K16">
        <f t="shared" si="5"/>
        <v>2</v>
      </c>
      <c r="L16" s="45">
        <f t="shared" si="6"/>
        <v>200</v>
      </c>
      <c r="M16" s="45">
        <f t="shared" si="7"/>
        <v>200</v>
      </c>
      <c r="N16">
        <f t="shared" si="8"/>
        <v>20</v>
      </c>
      <c r="O16" t="str">
        <f t="shared" si="9"/>
        <v>true</v>
      </c>
      <c r="U16" s="7">
        <v>1</v>
      </c>
      <c r="V16" s="7">
        <v>2</v>
      </c>
      <c r="W16" s="7" t="str">
        <f t="shared" ref="W16:W23" si="13">U16&amp;"-"&amp;V16</f>
        <v>1-2</v>
      </c>
      <c r="X16" s="7">
        <v>60</v>
      </c>
      <c r="Y16" s="7">
        <v>10</v>
      </c>
      <c r="AD16">
        <v>14</v>
      </c>
      <c r="AE16" t="s">
        <v>3360</v>
      </c>
      <c r="AF16">
        <v>2</v>
      </c>
      <c r="AG16" t="s">
        <v>3083</v>
      </c>
      <c r="AH16">
        <v>1</v>
      </c>
      <c r="AI16">
        <f t="shared" si="11"/>
        <v>1</v>
      </c>
      <c r="AJ16">
        <f t="shared" si="12"/>
        <v>14</v>
      </c>
    </row>
    <row r="17" spans="1:36" ht="15.75" x14ac:dyDescent="0.3">
      <c r="A17" s="15" t="s">
        <v>3353</v>
      </c>
      <c r="B17" s="15">
        <f t="shared" si="0"/>
        <v>400</v>
      </c>
      <c r="C17" s="15">
        <v>0</v>
      </c>
      <c r="D17" s="15">
        <f t="shared" si="1"/>
        <v>400</v>
      </c>
      <c r="E17" s="15" t="s">
        <v>3343</v>
      </c>
      <c r="F17" s="15">
        <f t="shared" si="2"/>
        <v>5</v>
      </c>
      <c r="G17" s="15" t="str">
        <f t="shared" si="3"/>
        <v>[5]</v>
      </c>
      <c r="H17">
        <v>1</v>
      </c>
      <c r="I17">
        <f t="shared" si="4"/>
        <v>6</v>
      </c>
      <c r="J17">
        <v>1</v>
      </c>
      <c r="K17">
        <f t="shared" si="5"/>
        <v>1</v>
      </c>
      <c r="L17" s="45">
        <f t="shared" si="6"/>
        <v>20</v>
      </c>
      <c r="M17" s="45">
        <f t="shared" si="7"/>
        <v>20</v>
      </c>
      <c r="N17">
        <f t="shared" si="8"/>
        <v>5</v>
      </c>
      <c r="O17" t="str">
        <f t="shared" si="9"/>
        <v>true</v>
      </c>
      <c r="U17" s="7">
        <v>1</v>
      </c>
      <c r="V17" s="7">
        <v>3</v>
      </c>
      <c r="W17" s="7" t="str">
        <f t="shared" si="13"/>
        <v>1-3</v>
      </c>
      <c r="X17" s="7">
        <v>150</v>
      </c>
      <c r="Y17" s="7">
        <v>15</v>
      </c>
      <c r="AD17">
        <v>15</v>
      </c>
      <c r="AE17" t="s">
        <v>3361</v>
      </c>
      <c r="AF17">
        <v>2</v>
      </c>
      <c r="AG17" t="s">
        <v>3083</v>
      </c>
      <c r="AH17">
        <v>1</v>
      </c>
      <c r="AI17">
        <f t="shared" si="11"/>
        <v>1</v>
      </c>
      <c r="AJ17">
        <f t="shared" si="12"/>
        <v>15</v>
      </c>
    </row>
    <row r="18" spans="1:36" ht="15.75" x14ac:dyDescent="0.3">
      <c r="A18" s="15" t="s">
        <v>3353</v>
      </c>
      <c r="B18" s="15">
        <f t="shared" si="0"/>
        <v>1200</v>
      </c>
      <c r="C18" s="15">
        <v>0</v>
      </c>
      <c r="D18" s="15">
        <f t="shared" si="1"/>
        <v>2000</v>
      </c>
      <c r="E18" s="15" t="s">
        <v>3343</v>
      </c>
      <c r="F18" s="15">
        <f t="shared" si="2"/>
        <v>5</v>
      </c>
      <c r="G18" s="15" t="str">
        <f t="shared" si="3"/>
        <v>[5]</v>
      </c>
      <c r="H18">
        <v>1</v>
      </c>
      <c r="I18">
        <f t="shared" si="4"/>
        <v>6</v>
      </c>
      <c r="J18">
        <v>2</v>
      </c>
      <c r="K18">
        <f t="shared" si="5"/>
        <v>1</v>
      </c>
      <c r="L18" s="45">
        <f t="shared" si="6"/>
        <v>100</v>
      </c>
      <c r="M18" s="45">
        <f t="shared" si="7"/>
        <v>60</v>
      </c>
      <c r="N18">
        <f t="shared" si="8"/>
        <v>10</v>
      </c>
      <c r="O18" t="str">
        <f t="shared" si="9"/>
        <v>true</v>
      </c>
      <c r="U18" s="7">
        <v>2</v>
      </c>
      <c r="V18" s="7">
        <v>1</v>
      </c>
      <c r="W18" s="7" t="str">
        <f t="shared" si="13"/>
        <v>2-1</v>
      </c>
      <c r="X18" s="7">
        <v>30</v>
      </c>
      <c r="Y18" s="7">
        <v>10</v>
      </c>
      <c r="AD18">
        <v>16</v>
      </c>
      <c r="AE18" t="s">
        <v>3085</v>
      </c>
      <c r="AF18">
        <v>2</v>
      </c>
      <c r="AG18" t="s">
        <v>3104</v>
      </c>
      <c r="AH18">
        <v>1</v>
      </c>
      <c r="AI18">
        <f t="shared" si="11"/>
        <v>0.13333333333333333</v>
      </c>
      <c r="AJ18">
        <f t="shared" si="12"/>
        <v>16</v>
      </c>
    </row>
    <row r="19" spans="1:36" ht="15.75" x14ac:dyDescent="0.3">
      <c r="A19" s="15" t="s">
        <v>3353</v>
      </c>
      <c r="B19" s="15">
        <f t="shared" si="0"/>
        <v>3000</v>
      </c>
      <c r="C19" s="15">
        <v>0</v>
      </c>
      <c r="D19" s="15">
        <f t="shared" si="1"/>
        <v>3000</v>
      </c>
      <c r="E19" s="15" t="s">
        <v>3343</v>
      </c>
      <c r="F19" s="15">
        <f t="shared" si="2"/>
        <v>5</v>
      </c>
      <c r="G19" s="15" t="str">
        <f t="shared" si="3"/>
        <v>[5]</v>
      </c>
      <c r="H19">
        <v>1</v>
      </c>
      <c r="I19">
        <f t="shared" si="4"/>
        <v>6</v>
      </c>
      <c r="J19">
        <v>3</v>
      </c>
      <c r="K19">
        <f t="shared" si="5"/>
        <v>1</v>
      </c>
      <c r="L19" s="45">
        <f t="shared" si="6"/>
        <v>150</v>
      </c>
      <c r="M19" s="45">
        <f t="shared" si="7"/>
        <v>150</v>
      </c>
      <c r="N19">
        <f t="shared" si="8"/>
        <v>15</v>
      </c>
      <c r="O19" t="str">
        <f t="shared" si="9"/>
        <v>true</v>
      </c>
      <c r="U19" s="7">
        <v>2</v>
      </c>
      <c r="V19" s="7">
        <v>2</v>
      </c>
      <c r="W19" s="7" t="str">
        <f t="shared" si="13"/>
        <v>2-2</v>
      </c>
      <c r="X19" s="7">
        <v>80</v>
      </c>
      <c r="Y19" s="7">
        <v>15</v>
      </c>
      <c r="AD19">
        <v>17</v>
      </c>
      <c r="AE19" t="s">
        <v>3197</v>
      </c>
      <c r="AF19">
        <v>1</v>
      </c>
      <c r="AG19" t="s">
        <v>3104</v>
      </c>
      <c r="AH19">
        <v>2</v>
      </c>
      <c r="AI19">
        <f t="shared" si="11"/>
        <v>0.26666666666666666</v>
      </c>
      <c r="AJ19">
        <f t="shared" si="12"/>
        <v>17</v>
      </c>
    </row>
    <row r="20" spans="1:36" ht="15.75" x14ac:dyDescent="0.3">
      <c r="A20" s="15" t="s">
        <v>3246</v>
      </c>
      <c r="B20" s="15">
        <f t="shared" si="0"/>
        <v>4000</v>
      </c>
      <c r="C20" s="15">
        <v>5000</v>
      </c>
      <c r="D20" s="15">
        <f t="shared" si="1"/>
        <v>5000</v>
      </c>
      <c r="E20" s="15" t="s">
        <v>3343</v>
      </c>
      <c r="F20" s="15">
        <f t="shared" si="2"/>
        <v>20</v>
      </c>
      <c r="G20" s="15" t="str">
        <f t="shared" si="3"/>
        <v>[20]</v>
      </c>
      <c r="H20">
        <v>1</v>
      </c>
      <c r="I20">
        <f t="shared" si="4"/>
        <v>7</v>
      </c>
      <c r="J20">
        <v>1</v>
      </c>
      <c r="K20">
        <f t="shared" si="5"/>
        <v>3</v>
      </c>
      <c r="L20" s="45">
        <f t="shared" si="6"/>
        <v>50</v>
      </c>
      <c r="M20" s="45">
        <f t="shared" si="7"/>
        <v>40</v>
      </c>
      <c r="N20">
        <f t="shared" si="8"/>
        <v>20</v>
      </c>
      <c r="O20" t="str">
        <f t="shared" si="9"/>
        <v>true</v>
      </c>
      <c r="U20" s="7">
        <v>2</v>
      </c>
      <c r="V20" s="7">
        <v>3</v>
      </c>
      <c r="W20" s="7" t="str">
        <f t="shared" si="13"/>
        <v>2-3</v>
      </c>
      <c r="X20" s="7">
        <v>200</v>
      </c>
      <c r="Y20" s="7">
        <v>20</v>
      </c>
      <c r="AD20">
        <v>18</v>
      </c>
      <c r="AE20" t="s">
        <v>3190</v>
      </c>
      <c r="AF20">
        <v>1</v>
      </c>
      <c r="AG20" t="s">
        <v>3094</v>
      </c>
      <c r="AH20">
        <v>10</v>
      </c>
      <c r="AI20">
        <f t="shared" si="11"/>
        <v>1.3333333333333334E-2</v>
      </c>
      <c r="AJ20">
        <f t="shared" si="12"/>
        <v>18</v>
      </c>
    </row>
    <row r="21" spans="1:36" ht="15.75" x14ac:dyDescent="0.3">
      <c r="A21" s="15" t="s">
        <v>3246</v>
      </c>
      <c r="B21" s="15">
        <f t="shared" si="0"/>
        <v>12000</v>
      </c>
      <c r="C21" s="15">
        <v>20000</v>
      </c>
      <c r="D21" s="15">
        <f t="shared" si="1"/>
        <v>20000</v>
      </c>
      <c r="E21" s="15" t="s">
        <v>3343</v>
      </c>
      <c r="F21" s="15">
        <f t="shared" si="2"/>
        <v>20</v>
      </c>
      <c r="G21" s="15" t="str">
        <f t="shared" si="3"/>
        <v>[20]</v>
      </c>
      <c r="H21">
        <v>1</v>
      </c>
      <c r="I21">
        <f t="shared" si="4"/>
        <v>7</v>
      </c>
      <c r="J21">
        <v>2</v>
      </c>
      <c r="K21">
        <f t="shared" si="5"/>
        <v>3</v>
      </c>
      <c r="L21" s="45">
        <f t="shared" si="6"/>
        <v>200</v>
      </c>
      <c r="M21" s="45">
        <f t="shared" si="7"/>
        <v>120</v>
      </c>
      <c r="N21">
        <f t="shared" si="8"/>
        <v>25</v>
      </c>
      <c r="O21" t="str">
        <f t="shared" si="9"/>
        <v>true</v>
      </c>
      <c r="U21" s="7">
        <v>3</v>
      </c>
      <c r="V21" s="7">
        <v>1</v>
      </c>
      <c r="W21" s="7" t="str">
        <f t="shared" si="13"/>
        <v>3-1</v>
      </c>
      <c r="X21" s="7">
        <v>40</v>
      </c>
      <c r="Y21" s="7">
        <v>20</v>
      </c>
      <c r="AD21">
        <v>19</v>
      </c>
      <c r="AE21" t="s">
        <v>3362</v>
      </c>
      <c r="AF21">
        <v>2</v>
      </c>
      <c r="AG21" t="s">
        <v>3083</v>
      </c>
      <c r="AH21">
        <v>3</v>
      </c>
      <c r="AI21">
        <f t="shared" si="11"/>
        <v>3</v>
      </c>
      <c r="AJ21">
        <f t="shared" si="12"/>
        <v>19</v>
      </c>
    </row>
    <row r="22" spans="1:36" ht="15.75" x14ac:dyDescent="0.3">
      <c r="A22" s="15" t="s">
        <v>3246</v>
      </c>
      <c r="B22" s="15">
        <f t="shared" si="0"/>
        <v>36000</v>
      </c>
      <c r="C22" s="15">
        <v>50000</v>
      </c>
      <c r="D22" s="15">
        <f t="shared" si="1"/>
        <v>50000</v>
      </c>
      <c r="E22" s="15" t="s">
        <v>3343</v>
      </c>
      <c r="F22" s="15">
        <f t="shared" si="2"/>
        <v>20</v>
      </c>
      <c r="G22" s="15" t="str">
        <f t="shared" si="3"/>
        <v>[20]</v>
      </c>
      <c r="H22">
        <v>1</v>
      </c>
      <c r="I22">
        <f t="shared" si="4"/>
        <v>7</v>
      </c>
      <c r="J22">
        <v>3</v>
      </c>
      <c r="K22">
        <f t="shared" si="5"/>
        <v>3</v>
      </c>
      <c r="L22" s="45">
        <f t="shared" si="6"/>
        <v>500</v>
      </c>
      <c r="M22" s="45">
        <f t="shared" si="7"/>
        <v>360</v>
      </c>
      <c r="N22">
        <f t="shared" si="8"/>
        <v>30</v>
      </c>
      <c r="O22" t="str">
        <f t="shared" si="9"/>
        <v>true</v>
      </c>
      <c r="U22" s="7">
        <v>3</v>
      </c>
      <c r="V22" s="7">
        <v>2</v>
      </c>
      <c r="W22" s="7" t="str">
        <f t="shared" si="13"/>
        <v>3-2</v>
      </c>
      <c r="X22" s="7">
        <v>120</v>
      </c>
      <c r="Y22" s="7">
        <v>25</v>
      </c>
      <c r="AD22">
        <v>20</v>
      </c>
      <c r="AE22" t="s">
        <v>3363</v>
      </c>
      <c r="AF22">
        <v>1</v>
      </c>
      <c r="AG22" t="s">
        <v>3104</v>
      </c>
      <c r="AH22">
        <v>1</v>
      </c>
      <c r="AI22">
        <f t="shared" si="11"/>
        <v>0.13333333333333333</v>
      </c>
      <c r="AJ22">
        <f t="shared" si="12"/>
        <v>20</v>
      </c>
    </row>
    <row r="23" spans="1:36" ht="15.75" x14ac:dyDescent="0.3">
      <c r="A23" s="15" t="s">
        <v>3356</v>
      </c>
      <c r="B23" s="15">
        <f t="shared" si="0"/>
        <v>1125</v>
      </c>
      <c r="C23" s="15">
        <v>0</v>
      </c>
      <c r="D23" s="15">
        <f t="shared" si="1"/>
        <v>2000</v>
      </c>
      <c r="E23" s="15" t="s">
        <v>3343</v>
      </c>
      <c r="F23" s="15">
        <f t="shared" si="2"/>
        <v>10</v>
      </c>
      <c r="G23" s="15" t="str">
        <f t="shared" si="3"/>
        <v>[10]</v>
      </c>
      <c r="H23">
        <v>1</v>
      </c>
      <c r="I23">
        <f t="shared" si="4"/>
        <v>8</v>
      </c>
      <c r="J23">
        <v>1</v>
      </c>
      <c r="K23">
        <f t="shared" si="5"/>
        <v>2</v>
      </c>
      <c r="L23" s="45">
        <f t="shared" si="6"/>
        <v>53.333333333333336</v>
      </c>
      <c r="M23" s="45">
        <f t="shared" si="7"/>
        <v>30</v>
      </c>
      <c r="N23">
        <f t="shared" si="8"/>
        <v>10</v>
      </c>
      <c r="O23" t="str">
        <f t="shared" si="9"/>
        <v>true</v>
      </c>
      <c r="U23" s="7">
        <v>3</v>
      </c>
      <c r="V23" s="7">
        <v>3</v>
      </c>
      <c r="W23" s="7" t="str">
        <f t="shared" si="13"/>
        <v>3-3</v>
      </c>
      <c r="X23" s="7">
        <v>360</v>
      </c>
      <c r="Y23" s="7">
        <v>30</v>
      </c>
      <c r="AD23">
        <v>21</v>
      </c>
      <c r="AE23" t="s">
        <v>3364</v>
      </c>
      <c r="AF23">
        <v>1</v>
      </c>
      <c r="AG23" t="s">
        <v>3083</v>
      </c>
      <c r="AH23">
        <v>1</v>
      </c>
      <c r="AI23">
        <f t="shared" si="11"/>
        <v>1</v>
      </c>
      <c r="AJ23">
        <f t="shared" si="12"/>
        <v>21</v>
      </c>
    </row>
    <row r="24" spans="1:36" ht="15.75" x14ac:dyDescent="0.3">
      <c r="A24" s="15" t="s">
        <v>3356</v>
      </c>
      <c r="B24" s="15">
        <f t="shared" si="0"/>
        <v>3000</v>
      </c>
      <c r="C24" s="15">
        <v>0</v>
      </c>
      <c r="D24" s="15">
        <f t="shared" si="1"/>
        <v>3000</v>
      </c>
      <c r="E24" s="15" t="s">
        <v>3343</v>
      </c>
      <c r="F24" s="15">
        <f t="shared" si="2"/>
        <v>10</v>
      </c>
      <c r="G24" s="15" t="str">
        <f t="shared" si="3"/>
        <v>[10]</v>
      </c>
      <c r="H24">
        <v>1</v>
      </c>
      <c r="I24">
        <f t="shared" si="4"/>
        <v>8</v>
      </c>
      <c r="J24">
        <v>2</v>
      </c>
      <c r="K24">
        <f t="shared" si="5"/>
        <v>2</v>
      </c>
      <c r="L24" s="45">
        <f t="shared" si="6"/>
        <v>80</v>
      </c>
      <c r="M24" s="45">
        <f t="shared" si="7"/>
        <v>80</v>
      </c>
      <c r="N24">
        <f t="shared" si="8"/>
        <v>15</v>
      </c>
      <c r="O24" t="str">
        <f t="shared" si="9"/>
        <v>true</v>
      </c>
      <c r="AD24">
        <v>22</v>
      </c>
      <c r="AE24" t="s">
        <v>3365</v>
      </c>
      <c r="AF24">
        <v>2</v>
      </c>
      <c r="AG24" t="s">
        <v>3083</v>
      </c>
      <c r="AH24">
        <v>1000</v>
      </c>
      <c r="AI24">
        <f t="shared" si="11"/>
        <v>1000</v>
      </c>
      <c r="AJ24">
        <f t="shared" si="12"/>
        <v>22</v>
      </c>
    </row>
    <row r="25" spans="1:36" ht="15.75" x14ac:dyDescent="0.3">
      <c r="A25" s="15" t="s">
        <v>3356</v>
      </c>
      <c r="B25" s="15">
        <f t="shared" si="0"/>
        <v>7500</v>
      </c>
      <c r="C25" s="15">
        <v>0</v>
      </c>
      <c r="D25" s="15">
        <f t="shared" si="1"/>
        <v>8000</v>
      </c>
      <c r="E25" s="15" t="s">
        <v>3343</v>
      </c>
      <c r="F25" s="15">
        <f t="shared" si="2"/>
        <v>10</v>
      </c>
      <c r="G25" s="15" t="str">
        <f t="shared" si="3"/>
        <v>[10]</v>
      </c>
      <c r="H25">
        <v>1</v>
      </c>
      <c r="I25">
        <f t="shared" si="4"/>
        <v>8</v>
      </c>
      <c r="J25">
        <v>3</v>
      </c>
      <c r="K25">
        <f t="shared" si="5"/>
        <v>2</v>
      </c>
      <c r="L25" s="45">
        <f t="shared" si="6"/>
        <v>213.33333333333334</v>
      </c>
      <c r="M25" s="45">
        <f t="shared" si="7"/>
        <v>200</v>
      </c>
      <c r="N25">
        <f t="shared" si="8"/>
        <v>20</v>
      </c>
      <c r="O25" t="str">
        <f t="shared" si="9"/>
        <v>true</v>
      </c>
      <c r="AD25">
        <v>23</v>
      </c>
      <c r="AE25" t="s">
        <v>3366</v>
      </c>
      <c r="AF25">
        <v>1</v>
      </c>
      <c r="AG25" t="s">
        <v>3104</v>
      </c>
      <c r="AH25">
        <v>1</v>
      </c>
      <c r="AI25">
        <f t="shared" si="11"/>
        <v>0.13333333333333333</v>
      </c>
      <c r="AJ25">
        <f t="shared" si="12"/>
        <v>23</v>
      </c>
    </row>
    <row r="26" spans="1:36" ht="15.75" x14ac:dyDescent="0.3">
      <c r="A26" s="15" t="s">
        <v>3224</v>
      </c>
      <c r="B26" s="15">
        <f t="shared" si="0"/>
        <v>120000.00000000001</v>
      </c>
      <c r="C26" s="15">
        <v>0</v>
      </c>
      <c r="D26" s="15">
        <f t="shared" si="1"/>
        <v>120000</v>
      </c>
      <c r="E26" s="15" t="s">
        <v>3343</v>
      </c>
      <c r="F26" s="15">
        <f t="shared" si="2"/>
        <v>10</v>
      </c>
      <c r="G26" s="15" t="str">
        <f t="shared" si="3"/>
        <v>[10]</v>
      </c>
      <c r="H26">
        <v>1</v>
      </c>
      <c r="I26">
        <f t="shared" si="4"/>
        <v>9</v>
      </c>
      <c r="J26">
        <v>1</v>
      </c>
      <c r="K26">
        <f t="shared" si="5"/>
        <v>2</v>
      </c>
      <c r="L26" s="45">
        <f t="shared" si="6"/>
        <v>29.999999999999996</v>
      </c>
      <c r="M26" s="45">
        <f t="shared" si="7"/>
        <v>30</v>
      </c>
      <c r="N26">
        <f t="shared" si="8"/>
        <v>10</v>
      </c>
      <c r="O26" t="str">
        <f t="shared" si="9"/>
        <v>true</v>
      </c>
      <c r="AD26">
        <v>24</v>
      </c>
      <c r="AE26" t="s">
        <v>3367</v>
      </c>
      <c r="AF26">
        <v>3</v>
      </c>
      <c r="AG26" t="s">
        <v>3094</v>
      </c>
      <c r="AH26">
        <v>10</v>
      </c>
      <c r="AI26">
        <f t="shared" si="11"/>
        <v>1.3333333333333334E-2</v>
      </c>
      <c r="AJ26">
        <f t="shared" si="12"/>
        <v>24</v>
      </c>
    </row>
    <row r="27" spans="1:36" ht="15.75" x14ac:dyDescent="0.3">
      <c r="A27" s="15" t="s">
        <v>3224</v>
      </c>
      <c r="B27" s="15">
        <f t="shared" si="0"/>
        <v>320000</v>
      </c>
      <c r="C27" s="15">
        <v>0</v>
      </c>
      <c r="D27" s="15">
        <f t="shared" si="1"/>
        <v>320000</v>
      </c>
      <c r="E27" s="15" t="s">
        <v>3343</v>
      </c>
      <c r="F27" s="15">
        <f t="shared" si="2"/>
        <v>10</v>
      </c>
      <c r="G27" s="15" t="str">
        <f t="shared" si="3"/>
        <v>[10]</v>
      </c>
      <c r="H27">
        <v>1</v>
      </c>
      <c r="I27">
        <f t="shared" si="4"/>
        <v>9</v>
      </c>
      <c r="J27">
        <v>2</v>
      </c>
      <c r="K27">
        <f t="shared" si="5"/>
        <v>2</v>
      </c>
      <c r="L27" s="45">
        <f t="shared" si="6"/>
        <v>80</v>
      </c>
      <c r="M27" s="45">
        <f t="shared" si="7"/>
        <v>80</v>
      </c>
      <c r="N27">
        <f t="shared" si="8"/>
        <v>15</v>
      </c>
      <c r="O27" t="str">
        <f t="shared" si="9"/>
        <v>true</v>
      </c>
      <c r="AD27">
        <v>25</v>
      </c>
      <c r="AE27" t="s">
        <v>3368</v>
      </c>
      <c r="AF27">
        <v>3</v>
      </c>
      <c r="AG27" t="s">
        <v>3094</v>
      </c>
      <c r="AH27">
        <v>10</v>
      </c>
      <c r="AI27">
        <f t="shared" si="11"/>
        <v>1.3333333333333334E-2</v>
      </c>
      <c r="AJ27">
        <f t="shared" si="12"/>
        <v>25</v>
      </c>
    </row>
    <row r="28" spans="1:36" ht="15.75" x14ac:dyDescent="0.3">
      <c r="A28" s="15" t="s">
        <v>3224</v>
      </c>
      <c r="B28" s="15">
        <f t="shared" si="0"/>
        <v>800000</v>
      </c>
      <c r="C28" s="15">
        <v>0</v>
      </c>
      <c r="D28" s="15">
        <f t="shared" si="1"/>
        <v>800000</v>
      </c>
      <c r="E28" s="15" t="s">
        <v>3343</v>
      </c>
      <c r="F28" s="15">
        <f t="shared" si="2"/>
        <v>10</v>
      </c>
      <c r="G28" s="15" t="str">
        <f t="shared" si="3"/>
        <v>[10]</v>
      </c>
      <c r="H28">
        <v>1</v>
      </c>
      <c r="I28">
        <f t="shared" si="4"/>
        <v>9</v>
      </c>
      <c r="J28">
        <v>3</v>
      </c>
      <c r="K28">
        <f t="shared" si="5"/>
        <v>2</v>
      </c>
      <c r="L28" s="45">
        <f t="shared" si="6"/>
        <v>200</v>
      </c>
      <c r="M28" s="45">
        <f t="shared" si="7"/>
        <v>200</v>
      </c>
      <c r="N28">
        <f t="shared" si="8"/>
        <v>20</v>
      </c>
      <c r="O28" t="str">
        <f t="shared" si="9"/>
        <v>true</v>
      </c>
      <c r="AD28">
        <v>26</v>
      </c>
      <c r="AE28" t="s">
        <v>3369</v>
      </c>
      <c r="AF28">
        <v>3</v>
      </c>
      <c r="AG28" t="s">
        <v>3094</v>
      </c>
      <c r="AH28">
        <v>10</v>
      </c>
      <c r="AI28">
        <f t="shared" si="11"/>
        <v>1.3333333333333334E-2</v>
      </c>
      <c r="AJ28">
        <f t="shared" si="12"/>
        <v>26</v>
      </c>
    </row>
    <row r="29" spans="1:36" ht="15.75" x14ac:dyDescent="0.3">
      <c r="A29" s="15" t="s">
        <v>3217</v>
      </c>
      <c r="B29" s="15">
        <f t="shared" si="0"/>
        <v>120</v>
      </c>
      <c r="C29" s="15">
        <v>0</v>
      </c>
      <c r="D29" s="15">
        <f t="shared" si="1"/>
        <v>200</v>
      </c>
      <c r="E29" s="15" t="s">
        <v>3343</v>
      </c>
      <c r="F29" s="15">
        <f t="shared" si="2"/>
        <v>10</v>
      </c>
      <c r="G29" s="15" t="str">
        <f t="shared" si="3"/>
        <v>[10]</v>
      </c>
      <c r="H29">
        <v>1</v>
      </c>
      <c r="I29">
        <f t="shared" si="4"/>
        <v>10</v>
      </c>
      <c r="J29">
        <v>1</v>
      </c>
      <c r="K29">
        <f t="shared" si="5"/>
        <v>2</v>
      </c>
      <c r="L29" s="45">
        <f t="shared" si="6"/>
        <v>50</v>
      </c>
      <c r="M29" s="45">
        <f t="shared" si="7"/>
        <v>30</v>
      </c>
      <c r="N29">
        <f t="shared" si="8"/>
        <v>10</v>
      </c>
      <c r="O29" t="str">
        <f t="shared" si="9"/>
        <v>true</v>
      </c>
      <c r="AD29">
        <v>27</v>
      </c>
      <c r="AE29" s="49" t="s">
        <v>3370</v>
      </c>
      <c r="AF29" s="49">
        <v>1</v>
      </c>
      <c r="AG29" s="49" t="s">
        <v>3094</v>
      </c>
      <c r="AH29" s="49">
        <v>6.66</v>
      </c>
      <c r="AI29">
        <f t="shared" si="11"/>
        <v>2.002002002002002E-2</v>
      </c>
      <c r="AJ29">
        <f t="shared" si="12"/>
        <v>27</v>
      </c>
    </row>
    <row r="30" spans="1:36" ht="15.75" x14ac:dyDescent="0.3">
      <c r="A30" s="15" t="s">
        <v>3217</v>
      </c>
      <c r="B30" s="15">
        <f t="shared" si="0"/>
        <v>320</v>
      </c>
      <c r="C30" s="15">
        <v>0</v>
      </c>
      <c r="D30" s="15">
        <f t="shared" si="1"/>
        <v>400</v>
      </c>
      <c r="E30" s="15" t="s">
        <v>3343</v>
      </c>
      <c r="F30" s="15">
        <f t="shared" si="2"/>
        <v>10</v>
      </c>
      <c r="G30" s="15" t="str">
        <f t="shared" si="3"/>
        <v>[10]</v>
      </c>
      <c r="H30">
        <v>1</v>
      </c>
      <c r="I30">
        <f t="shared" si="4"/>
        <v>10</v>
      </c>
      <c r="J30">
        <v>2</v>
      </c>
      <c r="K30">
        <f t="shared" si="5"/>
        <v>2</v>
      </c>
      <c r="L30" s="45">
        <f t="shared" si="6"/>
        <v>100</v>
      </c>
      <c r="M30" s="45">
        <f t="shared" si="7"/>
        <v>80</v>
      </c>
      <c r="N30">
        <f t="shared" si="8"/>
        <v>15</v>
      </c>
      <c r="O30" t="str">
        <f t="shared" si="9"/>
        <v>true</v>
      </c>
      <c r="AD30">
        <v>28</v>
      </c>
      <c r="AE30" s="49" t="s">
        <v>3371</v>
      </c>
      <c r="AF30" s="49">
        <v>1</v>
      </c>
      <c r="AG30" s="49" t="s">
        <v>3094</v>
      </c>
      <c r="AH30" s="49">
        <v>6.66</v>
      </c>
      <c r="AI30">
        <f t="shared" si="11"/>
        <v>2.002002002002002E-2</v>
      </c>
      <c r="AJ30">
        <f t="shared" si="12"/>
        <v>28</v>
      </c>
    </row>
    <row r="31" spans="1:36" ht="15.75" x14ac:dyDescent="0.3">
      <c r="A31" s="15" t="s">
        <v>3217</v>
      </c>
      <c r="B31" s="15">
        <f t="shared" si="0"/>
        <v>800</v>
      </c>
      <c r="C31" s="15">
        <v>0</v>
      </c>
      <c r="D31" s="15">
        <f t="shared" si="1"/>
        <v>800</v>
      </c>
      <c r="E31" s="15" t="s">
        <v>3343</v>
      </c>
      <c r="F31" s="15">
        <f t="shared" si="2"/>
        <v>10</v>
      </c>
      <c r="G31" s="15" t="str">
        <f t="shared" si="3"/>
        <v>[10]</v>
      </c>
      <c r="H31">
        <v>1</v>
      </c>
      <c r="I31">
        <f t="shared" si="4"/>
        <v>10</v>
      </c>
      <c r="J31">
        <v>3</v>
      </c>
      <c r="K31">
        <f t="shared" si="5"/>
        <v>2</v>
      </c>
      <c r="L31" s="45">
        <f t="shared" si="6"/>
        <v>200</v>
      </c>
      <c r="M31" s="45">
        <f t="shared" si="7"/>
        <v>200</v>
      </c>
      <c r="N31">
        <f t="shared" si="8"/>
        <v>20</v>
      </c>
      <c r="O31" t="str">
        <f t="shared" si="9"/>
        <v>true</v>
      </c>
      <c r="AD31">
        <v>29</v>
      </c>
      <c r="AE31" s="49" t="s">
        <v>3372</v>
      </c>
      <c r="AF31" s="49">
        <v>1</v>
      </c>
      <c r="AG31" s="49" t="s">
        <v>3094</v>
      </c>
      <c r="AH31" s="49">
        <v>13.33</v>
      </c>
      <c r="AI31">
        <f t="shared" si="11"/>
        <v>1.0002500625156289E-2</v>
      </c>
      <c r="AJ31">
        <f t="shared" si="12"/>
        <v>29</v>
      </c>
    </row>
    <row r="32" spans="1:36" ht="15.75" x14ac:dyDescent="0.3">
      <c r="A32" s="15" t="s">
        <v>3161</v>
      </c>
      <c r="B32" s="15">
        <f t="shared" si="0"/>
        <v>300</v>
      </c>
      <c r="C32" s="15">
        <v>0</v>
      </c>
      <c r="D32" s="15">
        <f t="shared" si="1"/>
        <v>300</v>
      </c>
      <c r="E32" s="15" t="s">
        <v>3343</v>
      </c>
      <c r="F32" s="15">
        <f t="shared" si="2"/>
        <v>5</v>
      </c>
      <c r="G32" s="15" t="str">
        <f t="shared" si="3"/>
        <v>[5]</v>
      </c>
      <c r="H32">
        <v>1</v>
      </c>
      <c r="I32">
        <f t="shared" si="4"/>
        <v>11</v>
      </c>
      <c r="J32">
        <v>1</v>
      </c>
      <c r="K32">
        <f t="shared" si="5"/>
        <v>1</v>
      </c>
      <c r="L32" s="45">
        <f t="shared" si="6"/>
        <v>20</v>
      </c>
      <c r="M32" s="45">
        <f t="shared" si="7"/>
        <v>20</v>
      </c>
      <c r="N32">
        <f t="shared" si="8"/>
        <v>5</v>
      </c>
      <c r="O32" t="str">
        <f t="shared" si="9"/>
        <v>true</v>
      </c>
      <c r="AD32">
        <v>30</v>
      </c>
      <c r="AE32" s="49" t="s">
        <v>3373</v>
      </c>
      <c r="AF32" s="49">
        <v>1</v>
      </c>
      <c r="AG32" s="49" t="s">
        <v>3094</v>
      </c>
      <c r="AH32" s="49">
        <v>20</v>
      </c>
      <c r="AI32">
        <f t="shared" si="11"/>
        <v>6.6666666666666671E-3</v>
      </c>
      <c r="AJ32">
        <f t="shared" si="12"/>
        <v>30</v>
      </c>
    </row>
    <row r="33" spans="1:36" ht="15.75" x14ac:dyDescent="0.3">
      <c r="A33" s="15" t="s">
        <v>3161</v>
      </c>
      <c r="B33" s="15">
        <f t="shared" si="0"/>
        <v>900</v>
      </c>
      <c r="C33" s="15">
        <v>0</v>
      </c>
      <c r="D33" s="15">
        <f t="shared" si="1"/>
        <v>900</v>
      </c>
      <c r="E33" s="15" t="s">
        <v>3343</v>
      </c>
      <c r="F33" s="15">
        <f t="shared" si="2"/>
        <v>5</v>
      </c>
      <c r="G33" s="15" t="str">
        <f t="shared" si="3"/>
        <v>[5]</v>
      </c>
      <c r="H33">
        <v>1</v>
      </c>
      <c r="I33">
        <f t="shared" si="4"/>
        <v>11</v>
      </c>
      <c r="J33">
        <v>2</v>
      </c>
      <c r="K33">
        <f t="shared" si="5"/>
        <v>1</v>
      </c>
      <c r="L33" s="45">
        <f t="shared" si="6"/>
        <v>60</v>
      </c>
      <c r="M33" s="45">
        <f t="shared" si="7"/>
        <v>60</v>
      </c>
      <c r="N33">
        <f t="shared" si="8"/>
        <v>10</v>
      </c>
      <c r="O33" t="str">
        <f t="shared" si="9"/>
        <v>true</v>
      </c>
      <c r="AD33">
        <v>31</v>
      </c>
      <c r="AE33" t="s">
        <v>3374</v>
      </c>
      <c r="AF33">
        <v>3</v>
      </c>
      <c r="AG33" t="s">
        <v>3094</v>
      </c>
      <c r="AH33">
        <v>2</v>
      </c>
      <c r="AI33">
        <f t="shared" si="11"/>
        <v>6.6666666666666666E-2</v>
      </c>
      <c r="AJ33">
        <f t="shared" si="12"/>
        <v>31</v>
      </c>
    </row>
    <row r="34" spans="1:36" ht="15.75" x14ac:dyDescent="0.3">
      <c r="A34" s="15" t="s">
        <v>3161</v>
      </c>
      <c r="B34" s="15">
        <f t="shared" si="0"/>
        <v>2250</v>
      </c>
      <c r="C34" s="15">
        <v>0</v>
      </c>
      <c r="D34" s="15">
        <f t="shared" si="1"/>
        <v>3000</v>
      </c>
      <c r="E34" s="15" t="s">
        <v>3343</v>
      </c>
      <c r="F34" s="15">
        <f t="shared" si="2"/>
        <v>5</v>
      </c>
      <c r="G34" s="15" t="str">
        <f t="shared" si="3"/>
        <v>[5]</v>
      </c>
      <c r="H34">
        <v>1</v>
      </c>
      <c r="I34">
        <f t="shared" si="4"/>
        <v>11</v>
      </c>
      <c r="J34">
        <v>3</v>
      </c>
      <c r="K34">
        <f t="shared" si="5"/>
        <v>1</v>
      </c>
      <c r="L34" s="45">
        <f t="shared" si="6"/>
        <v>200</v>
      </c>
      <c r="M34" s="45">
        <f t="shared" si="7"/>
        <v>150</v>
      </c>
      <c r="N34">
        <f t="shared" si="8"/>
        <v>15</v>
      </c>
      <c r="O34" t="str">
        <f t="shared" si="9"/>
        <v>true</v>
      </c>
      <c r="AD34">
        <v>32</v>
      </c>
      <c r="AE34" t="s">
        <v>3375</v>
      </c>
      <c r="AF34">
        <v>3</v>
      </c>
      <c r="AG34" t="s">
        <v>3094</v>
      </c>
      <c r="AH34">
        <v>8</v>
      </c>
      <c r="AI34">
        <f t="shared" si="11"/>
        <v>1.6666666666666666E-2</v>
      </c>
      <c r="AJ34">
        <f t="shared" si="12"/>
        <v>32</v>
      </c>
    </row>
    <row r="35" spans="1:36" ht="15.75" x14ac:dyDescent="0.3">
      <c r="A35" s="15" t="s">
        <v>3231</v>
      </c>
      <c r="B35" s="15">
        <f t="shared" si="0"/>
        <v>18</v>
      </c>
      <c r="C35" s="15">
        <v>0</v>
      </c>
      <c r="D35" s="15">
        <f t="shared" si="1"/>
        <v>18</v>
      </c>
      <c r="E35" s="15" t="s">
        <v>3343</v>
      </c>
      <c r="F35" s="15">
        <f t="shared" si="2"/>
        <v>10</v>
      </c>
      <c r="G35" s="15" t="str">
        <f t="shared" si="3"/>
        <v>[10]</v>
      </c>
      <c r="H35">
        <v>1</v>
      </c>
      <c r="I35">
        <f t="shared" si="4"/>
        <v>12</v>
      </c>
      <c r="J35">
        <v>1</v>
      </c>
      <c r="K35">
        <f t="shared" si="5"/>
        <v>2</v>
      </c>
      <c r="L35" s="45">
        <f t="shared" si="6"/>
        <v>30</v>
      </c>
      <c r="M35" s="45">
        <f t="shared" si="7"/>
        <v>30</v>
      </c>
      <c r="N35">
        <f t="shared" si="8"/>
        <v>10</v>
      </c>
      <c r="O35" t="str">
        <f t="shared" si="9"/>
        <v>true</v>
      </c>
      <c r="AD35">
        <v>33</v>
      </c>
      <c r="AE35" t="s">
        <v>3376</v>
      </c>
      <c r="AF35">
        <v>3</v>
      </c>
      <c r="AG35" t="s">
        <v>3094</v>
      </c>
      <c r="AH35">
        <v>16</v>
      </c>
      <c r="AI35">
        <f t="shared" si="11"/>
        <v>8.3333333333333332E-3</v>
      </c>
      <c r="AJ35">
        <f t="shared" si="12"/>
        <v>33</v>
      </c>
    </row>
    <row r="36" spans="1:36" ht="15.75" x14ac:dyDescent="0.3">
      <c r="A36" s="15" t="s">
        <v>3231</v>
      </c>
      <c r="B36" s="15">
        <f t="shared" si="0"/>
        <v>48</v>
      </c>
      <c r="C36" s="15">
        <v>0</v>
      </c>
      <c r="D36" s="15">
        <f t="shared" si="1"/>
        <v>50</v>
      </c>
      <c r="E36" s="15" t="s">
        <v>3343</v>
      </c>
      <c r="F36" s="15">
        <f t="shared" si="2"/>
        <v>10</v>
      </c>
      <c r="G36" s="15" t="str">
        <f t="shared" si="3"/>
        <v>[10]</v>
      </c>
      <c r="H36">
        <v>1</v>
      </c>
      <c r="I36">
        <f t="shared" si="4"/>
        <v>12</v>
      </c>
      <c r="J36">
        <v>2</v>
      </c>
      <c r="K36">
        <f t="shared" si="5"/>
        <v>2</v>
      </c>
      <c r="L36" s="45">
        <f t="shared" si="6"/>
        <v>83.333333333333329</v>
      </c>
      <c r="M36" s="45">
        <f t="shared" si="7"/>
        <v>80</v>
      </c>
      <c r="N36">
        <f t="shared" si="8"/>
        <v>15</v>
      </c>
      <c r="O36" t="str">
        <f t="shared" si="9"/>
        <v>true</v>
      </c>
      <c r="AD36">
        <v>34</v>
      </c>
      <c r="AE36" t="s">
        <v>3377</v>
      </c>
      <c r="AF36">
        <v>3</v>
      </c>
      <c r="AG36" t="s">
        <v>3094</v>
      </c>
      <c r="AH36">
        <v>30</v>
      </c>
      <c r="AI36">
        <f t="shared" si="11"/>
        <v>4.4444444444444444E-3</v>
      </c>
      <c r="AJ36">
        <f t="shared" si="12"/>
        <v>34</v>
      </c>
    </row>
    <row r="37" spans="1:36" ht="15.75" x14ac:dyDescent="0.3">
      <c r="A37" s="15" t="s">
        <v>3231</v>
      </c>
      <c r="B37" s="15">
        <f t="shared" si="0"/>
        <v>120</v>
      </c>
      <c r="C37" s="15">
        <v>0</v>
      </c>
      <c r="D37" s="15">
        <f t="shared" si="1"/>
        <v>200</v>
      </c>
      <c r="E37" s="15" t="s">
        <v>3343</v>
      </c>
      <c r="F37" s="15">
        <f t="shared" si="2"/>
        <v>10</v>
      </c>
      <c r="G37" s="15" t="str">
        <f t="shared" si="3"/>
        <v>[10]</v>
      </c>
      <c r="H37">
        <v>1</v>
      </c>
      <c r="I37">
        <f t="shared" si="4"/>
        <v>12</v>
      </c>
      <c r="J37">
        <v>3</v>
      </c>
      <c r="K37">
        <f t="shared" si="5"/>
        <v>2</v>
      </c>
      <c r="L37" s="45">
        <f t="shared" si="6"/>
        <v>333.33333333333331</v>
      </c>
      <c r="M37" s="45">
        <f t="shared" si="7"/>
        <v>200</v>
      </c>
      <c r="N37">
        <f t="shared" si="8"/>
        <v>20</v>
      </c>
      <c r="O37" t="str">
        <f t="shared" si="9"/>
        <v>true</v>
      </c>
      <c r="AD37">
        <v>35</v>
      </c>
      <c r="AE37" s="49" t="s">
        <v>3378</v>
      </c>
      <c r="AF37" s="49">
        <v>3</v>
      </c>
      <c r="AG37" s="49" t="s">
        <v>3094</v>
      </c>
      <c r="AH37" s="49">
        <v>5</v>
      </c>
      <c r="AI37">
        <f t="shared" si="11"/>
        <v>2.6666666666666668E-2</v>
      </c>
      <c r="AJ37">
        <f t="shared" si="12"/>
        <v>35</v>
      </c>
    </row>
    <row r="38" spans="1:36" ht="15.75" x14ac:dyDescent="0.3">
      <c r="A38" s="15" t="s">
        <v>3359</v>
      </c>
      <c r="B38" s="15">
        <f t="shared" si="0"/>
        <v>225</v>
      </c>
      <c r="C38" s="15">
        <v>0</v>
      </c>
      <c r="D38" s="15">
        <f t="shared" si="1"/>
        <v>300</v>
      </c>
      <c r="E38" s="15" t="s">
        <v>3343</v>
      </c>
      <c r="F38" s="15">
        <f t="shared" si="2"/>
        <v>10</v>
      </c>
      <c r="G38" s="15" t="str">
        <f t="shared" si="3"/>
        <v>[10]</v>
      </c>
      <c r="H38">
        <v>1</v>
      </c>
      <c r="I38">
        <f t="shared" si="4"/>
        <v>13</v>
      </c>
      <c r="J38">
        <v>1</v>
      </c>
      <c r="K38">
        <f t="shared" si="5"/>
        <v>2</v>
      </c>
      <c r="L38" s="45">
        <f t="shared" si="6"/>
        <v>40</v>
      </c>
      <c r="M38" s="45">
        <f t="shared" si="7"/>
        <v>30</v>
      </c>
      <c r="N38">
        <f t="shared" si="8"/>
        <v>10</v>
      </c>
      <c r="O38" t="str">
        <f t="shared" si="9"/>
        <v>true</v>
      </c>
      <c r="AD38">
        <v>36</v>
      </c>
      <c r="AE38" s="49" t="s">
        <v>3379</v>
      </c>
      <c r="AF38" s="49">
        <v>3</v>
      </c>
      <c r="AG38" s="49" t="s">
        <v>3094</v>
      </c>
      <c r="AH38" s="49">
        <v>10</v>
      </c>
      <c r="AI38">
        <f t="shared" si="11"/>
        <v>1.3333333333333334E-2</v>
      </c>
      <c r="AJ38">
        <f t="shared" si="12"/>
        <v>36</v>
      </c>
    </row>
    <row r="39" spans="1:36" ht="15.75" x14ac:dyDescent="0.3">
      <c r="A39" s="15" t="s">
        <v>3359</v>
      </c>
      <c r="B39" s="15">
        <f t="shared" si="0"/>
        <v>600</v>
      </c>
      <c r="C39" s="15">
        <v>0</v>
      </c>
      <c r="D39" s="15">
        <f t="shared" si="1"/>
        <v>600</v>
      </c>
      <c r="E39" s="15" t="s">
        <v>3343</v>
      </c>
      <c r="F39" s="15">
        <f t="shared" si="2"/>
        <v>10</v>
      </c>
      <c r="G39" s="15" t="str">
        <f t="shared" si="3"/>
        <v>[10]</v>
      </c>
      <c r="H39">
        <v>1</v>
      </c>
      <c r="I39">
        <f t="shared" si="4"/>
        <v>13</v>
      </c>
      <c r="J39">
        <v>2</v>
      </c>
      <c r="K39">
        <f t="shared" si="5"/>
        <v>2</v>
      </c>
      <c r="L39" s="45">
        <f t="shared" si="6"/>
        <v>80</v>
      </c>
      <c r="M39" s="45">
        <f t="shared" si="7"/>
        <v>80</v>
      </c>
      <c r="N39">
        <f t="shared" si="8"/>
        <v>15</v>
      </c>
      <c r="O39" t="str">
        <f t="shared" si="9"/>
        <v>true</v>
      </c>
      <c r="AD39">
        <v>37</v>
      </c>
      <c r="AE39" s="49" t="s">
        <v>3380</v>
      </c>
      <c r="AF39" s="49">
        <v>1</v>
      </c>
      <c r="AG39" s="49" t="s">
        <v>3104</v>
      </c>
      <c r="AH39" s="49">
        <v>150</v>
      </c>
      <c r="AI39">
        <f t="shared" si="11"/>
        <v>20</v>
      </c>
      <c r="AJ39">
        <f t="shared" si="12"/>
        <v>37</v>
      </c>
    </row>
    <row r="40" spans="1:36" ht="15.75" x14ac:dyDescent="0.3">
      <c r="A40" s="15" t="s">
        <v>3359</v>
      </c>
      <c r="B40" s="15">
        <f t="shared" si="0"/>
        <v>1500</v>
      </c>
      <c r="C40" s="15">
        <v>0</v>
      </c>
      <c r="D40" s="15">
        <f t="shared" si="1"/>
        <v>2000</v>
      </c>
      <c r="E40" s="15" t="s">
        <v>3343</v>
      </c>
      <c r="F40" s="15">
        <f t="shared" si="2"/>
        <v>10</v>
      </c>
      <c r="G40" s="15" t="str">
        <f t="shared" si="3"/>
        <v>[10]</v>
      </c>
      <c r="H40">
        <v>1</v>
      </c>
      <c r="I40">
        <f t="shared" si="4"/>
        <v>13</v>
      </c>
      <c r="J40">
        <v>3</v>
      </c>
      <c r="K40">
        <f t="shared" si="5"/>
        <v>2</v>
      </c>
      <c r="L40" s="45">
        <f t="shared" si="6"/>
        <v>266.66666666666669</v>
      </c>
      <c r="M40" s="45">
        <f t="shared" si="7"/>
        <v>200</v>
      </c>
      <c r="N40">
        <f t="shared" si="8"/>
        <v>20</v>
      </c>
      <c r="O40" t="str">
        <f t="shared" si="9"/>
        <v>true</v>
      </c>
      <c r="AD40">
        <v>38</v>
      </c>
      <c r="AE40" t="s">
        <v>3139</v>
      </c>
      <c r="AF40">
        <v>1</v>
      </c>
      <c r="AG40" t="s">
        <v>3104</v>
      </c>
      <c r="AH40">
        <v>1</v>
      </c>
      <c r="AI40">
        <f t="shared" si="11"/>
        <v>0.13333333333333333</v>
      </c>
      <c r="AJ40">
        <f t="shared" si="12"/>
        <v>38</v>
      </c>
    </row>
    <row r="41" spans="1:36" ht="15.75" x14ac:dyDescent="0.3">
      <c r="A41" s="15" t="s">
        <v>3360</v>
      </c>
      <c r="B41" s="15">
        <f t="shared" si="0"/>
        <v>225</v>
      </c>
      <c r="C41" s="15">
        <v>0</v>
      </c>
      <c r="D41" s="15">
        <f t="shared" si="1"/>
        <v>300</v>
      </c>
      <c r="E41" s="15" t="s">
        <v>3343</v>
      </c>
      <c r="F41" s="15">
        <f t="shared" si="2"/>
        <v>10</v>
      </c>
      <c r="G41" s="15" t="str">
        <f t="shared" si="3"/>
        <v>[10]</v>
      </c>
      <c r="H41">
        <v>1</v>
      </c>
      <c r="I41">
        <f t="shared" si="4"/>
        <v>14</v>
      </c>
      <c r="J41">
        <v>1</v>
      </c>
      <c r="K41">
        <f t="shared" si="5"/>
        <v>2</v>
      </c>
      <c r="L41" s="45">
        <f t="shared" si="6"/>
        <v>40</v>
      </c>
      <c r="M41" s="45">
        <f t="shared" si="7"/>
        <v>30</v>
      </c>
      <c r="N41">
        <f t="shared" si="8"/>
        <v>10</v>
      </c>
      <c r="O41" t="str">
        <f t="shared" si="9"/>
        <v>true</v>
      </c>
      <c r="AD41">
        <v>39</v>
      </c>
      <c r="AE41" t="s">
        <v>3381</v>
      </c>
      <c r="AF41">
        <v>3</v>
      </c>
      <c r="AG41" t="s">
        <v>3094</v>
      </c>
      <c r="AH41">
        <v>100</v>
      </c>
      <c r="AI41">
        <f t="shared" si="11"/>
        <v>1.3333333333333333E-3</v>
      </c>
      <c r="AJ41">
        <f t="shared" si="12"/>
        <v>39</v>
      </c>
    </row>
    <row r="42" spans="1:36" ht="15.75" x14ac:dyDescent="0.3">
      <c r="A42" s="15" t="s">
        <v>3360</v>
      </c>
      <c r="B42" s="15">
        <f t="shared" si="0"/>
        <v>600</v>
      </c>
      <c r="C42" s="15">
        <v>0</v>
      </c>
      <c r="D42" s="15">
        <f t="shared" si="1"/>
        <v>600</v>
      </c>
      <c r="E42" s="15" t="s">
        <v>3343</v>
      </c>
      <c r="F42" s="15">
        <f t="shared" si="2"/>
        <v>10</v>
      </c>
      <c r="G42" s="15" t="str">
        <f t="shared" si="3"/>
        <v>[10]</v>
      </c>
      <c r="H42">
        <v>1</v>
      </c>
      <c r="I42">
        <f t="shared" si="4"/>
        <v>14</v>
      </c>
      <c r="J42">
        <v>2</v>
      </c>
      <c r="K42">
        <f t="shared" si="5"/>
        <v>2</v>
      </c>
      <c r="L42" s="45">
        <f t="shared" si="6"/>
        <v>80</v>
      </c>
      <c r="M42" s="45">
        <f t="shared" si="7"/>
        <v>80</v>
      </c>
      <c r="N42">
        <f t="shared" si="8"/>
        <v>15</v>
      </c>
      <c r="O42" t="str">
        <f t="shared" si="9"/>
        <v>true</v>
      </c>
      <c r="AD42">
        <v>40</v>
      </c>
      <c r="AE42" t="s">
        <v>3382</v>
      </c>
      <c r="AF42">
        <v>3</v>
      </c>
      <c r="AG42" t="s">
        <v>3094</v>
      </c>
      <c r="AH42">
        <v>100</v>
      </c>
      <c r="AI42">
        <f t="shared" si="11"/>
        <v>1.3333333333333333E-3</v>
      </c>
      <c r="AJ42">
        <f t="shared" si="12"/>
        <v>40</v>
      </c>
    </row>
    <row r="43" spans="1:36" ht="15.75" x14ac:dyDescent="0.3">
      <c r="A43" s="15" t="s">
        <v>3360</v>
      </c>
      <c r="B43" s="15">
        <f t="shared" si="0"/>
        <v>1500</v>
      </c>
      <c r="C43" s="15">
        <v>0</v>
      </c>
      <c r="D43" s="15">
        <f t="shared" si="1"/>
        <v>2000</v>
      </c>
      <c r="E43" s="15" t="s">
        <v>3343</v>
      </c>
      <c r="F43" s="15">
        <f t="shared" si="2"/>
        <v>10</v>
      </c>
      <c r="G43" s="15" t="str">
        <f t="shared" si="3"/>
        <v>[10]</v>
      </c>
      <c r="H43">
        <v>1</v>
      </c>
      <c r="I43">
        <f t="shared" si="4"/>
        <v>14</v>
      </c>
      <c r="J43">
        <v>3</v>
      </c>
      <c r="K43">
        <f t="shared" si="5"/>
        <v>2</v>
      </c>
      <c r="L43" s="45">
        <f t="shared" si="6"/>
        <v>266.66666666666669</v>
      </c>
      <c r="M43" s="45">
        <f t="shared" si="7"/>
        <v>200</v>
      </c>
      <c r="N43">
        <f t="shared" si="8"/>
        <v>20</v>
      </c>
      <c r="O43" t="str">
        <f t="shared" si="9"/>
        <v>true</v>
      </c>
      <c r="AD43">
        <v>41</v>
      </c>
      <c r="AE43" t="s">
        <v>3383</v>
      </c>
      <c r="AF43">
        <v>2</v>
      </c>
      <c r="AG43" t="s">
        <v>3104</v>
      </c>
      <c r="AH43">
        <v>1</v>
      </c>
      <c r="AI43">
        <f t="shared" si="11"/>
        <v>0.13333333333333333</v>
      </c>
      <c r="AJ43">
        <f t="shared" si="12"/>
        <v>41</v>
      </c>
    </row>
    <row r="44" spans="1:36" ht="15.75" x14ac:dyDescent="0.3">
      <c r="A44" s="15" t="s">
        <v>3361</v>
      </c>
      <c r="B44" s="15">
        <f t="shared" si="0"/>
        <v>225</v>
      </c>
      <c r="C44" s="15">
        <v>0</v>
      </c>
      <c r="D44" s="15">
        <f t="shared" si="1"/>
        <v>300</v>
      </c>
      <c r="E44" s="15" t="s">
        <v>3343</v>
      </c>
      <c r="F44" s="15">
        <f t="shared" si="2"/>
        <v>10</v>
      </c>
      <c r="G44" s="15" t="str">
        <f t="shared" si="3"/>
        <v>[10]</v>
      </c>
      <c r="H44">
        <v>1</v>
      </c>
      <c r="I44">
        <f t="shared" si="4"/>
        <v>15</v>
      </c>
      <c r="J44">
        <v>1</v>
      </c>
      <c r="K44">
        <f t="shared" si="5"/>
        <v>2</v>
      </c>
      <c r="L44" s="45">
        <f t="shared" si="6"/>
        <v>40</v>
      </c>
      <c r="M44" s="45">
        <f t="shared" si="7"/>
        <v>30</v>
      </c>
      <c r="N44">
        <f t="shared" si="8"/>
        <v>10</v>
      </c>
      <c r="O44" t="str">
        <f t="shared" si="9"/>
        <v>true</v>
      </c>
    </row>
    <row r="45" spans="1:36" ht="15.75" x14ac:dyDescent="0.3">
      <c r="A45" s="15" t="s">
        <v>3361</v>
      </c>
      <c r="B45" s="15">
        <f t="shared" si="0"/>
        <v>600</v>
      </c>
      <c r="C45" s="15">
        <v>0</v>
      </c>
      <c r="D45" s="15">
        <f t="shared" si="1"/>
        <v>600</v>
      </c>
      <c r="E45" s="15" t="s">
        <v>3343</v>
      </c>
      <c r="F45" s="15">
        <f t="shared" si="2"/>
        <v>10</v>
      </c>
      <c r="G45" s="15" t="str">
        <f t="shared" si="3"/>
        <v>[10]</v>
      </c>
      <c r="H45">
        <v>1</v>
      </c>
      <c r="I45">
        <f t="shared" si="4"/>
        <v>15</v>
      </c>
      <c r="J45">
        <v>2</v>
      </c>
      <c r="K45">
        <f t="shared" si="5"/>
        <v>2</v>
      </c>
      <c r="L45" s="45">
        <f t="shared" si="6"/>
        <v>80</v>
      </c>
      <c r="M45" s="45">
        <f t="shared" si="7"/>
        <v>80</v>
      </c>
      <c r="N45">
        <f t="shared" si="8"/>
        <v>15</v>
      </c>
      <c r="O45" t="str">
        <f t="shared" si="9"/>
        <v>true</v>
      </c>
    </row>
    <row r="46" spans="1:36" ht="15.75" x14ac:dyDescent="0.3">
      <c r="A46" s="15" t="s">
        <v>3361</v>
      </c>
      <c r="B46" s="15">
        <f t="shared" si="0"/>
        <v>1500</v>
      </c>
      <c r="C46" s="15">
        <v>0</v>
      </c>
      <c r="D46" s="15">
        <f t="shared" si="1"/>
        <v>2000</v>
      </c>
      <c r="E46" s="15" t="s">
        <v>3343</v>
      </c>
      <c r="F46" s="15">
        <f t="shared" si="2"/>
        <v>10</v>
      </c>
      <c r="G46" s="15" t="str">
        <f t="shared" si="3"/>
        <v>[10]</v>
      </c>
      <c r="H46">
        <v>1</v>
      </c>
      <c r="I46">
        <f t="shared" si="4"/>
        <v>15</v>
      </c>
      <c r="J46">
        <v>3</v>
      </c>
      <c r="K46">
        <f t="shared" si="5"/>
        <v>2</v>
      </c>
      <c r="L46" s="45">
        <f t="shared" si="6"/>
        <v>266.66666666666669</v>
      </c>
      <c r="M46" s="45">
        <f t="shared" si="7"/>
        <v>200</v>
      </c>
      <c r="N46">
        <f t="shared" si="8"/>
        <v>20</v>
      </c>
      <c r="O46" t="str">
        <f t="shared" si="9"/>
        <v>true</v>
      </c>
    </row>
    <row r="47" spans="1:36" ht="15.75" x14ac:dyDescent="0.3">
      <c r="A47" s="15" t="s">
        <v>3085</v>
      </c>
      <c r="B47" s="15">
        <f t="shared" si="0"/>
        <v>30</v>
      </c>
      <c r="C47" s="15">
        <v>0</v>
      </c>
      <c r="D47" s="15">
        <f t="shared" si="1"/>
        <v>30</v>
      </c>
      <c r="E47" s="15" t="s">
        <v>3343</v>
      </c>
      <c r="F47" s="15">
        <f t="shared" si="2"/>
        <v>10</v>
      </c>
      <c r="G47" s="15" t="str">
        <f t="shared" si="3"/>
        <v>[10]</v>
      </c>
      <c r="H47">
        <v>1</v>
      </c>
      <c r="I47">
        <f t="shared" si="4"/>
        <v>16</v>
      </c>
      <c r="J47">
        <v>1</v>
      </c>
      <c r="K47">
        <f t="shared" si="5"/>
        <v>2</v>
      </c>
      <c r="L47" s="45">
        <f t="shared" si="6"/>
        <v>30</v>
      </c>
      <c r="M47" s="45">
        <f t="shared" si="7"/>
        <v>30</v>
      </c>
      <c r="N47">
        <f t="shared" si="8"/>
        <v>10</v>
      </c>
      <c r="O47" t="str">
        <f t="shared" si="9"/>
        <v>true</v>
      </c>
    </row>
    <row r="48" spans="1:36" ht="15.75" x14ac:dyDescent="0.3">
      <c r="A48" s="15" t="s">
        <v>3085</v>
      </c>
      <c r="B48" s="15">
        <f t="shared" si="0"/>
        <v>80</v>
      </c>
      <c r="C48" s="15">
        <v>0</v>
      </c>
      <c r="D48" s="15">
        <f t="shared" si="1"/>
        <v>80</v>
      </c>
      <c r="E48" s="15" t="s">
        <v>3343</v>
      </c>
      <c r="F48" s="15">
        <f t="shared" si="2"/>
        <v>10</v>
      </c>
      <c r="G48" s="15" t="str">
        <f t="shared" si="3"/>
        <v>[10]</v>
      </c>
      <c r="H48">
        <v>1</v>
      </c>
      <c r="I48">
        <f t="shared" si="4"/>
        <v>16</v>
      </c>
      <c r="J48">
        <v>2</v>
      </c>
      <c r="K48">
        <f t="shared" si="5"/>
        <v>2</v>
      </c>
      <c r="L48" s="45">
        <f t="shared" si="6"/>
        <v>80</v>
      </c>
      <c r="M48" s="45">
        <f t="shared" si="7"/>
        <v>80</v>
      </c>
      <c r="N48">
        <f t="shared" si="8"/>
        <v>15</v>
      </c>
      <c r="O48" t="str">
        <f t="shared" si="9"/>
        <v>true</v>
      </c>
    </row>
    <row r="49" spans="1:15" ht="15.75" x14ac:dyDescent="0.3">
      <c r="A49" s="15" t="s">
        <v>3085</v>
      </c>
      <c r="B49" s="15">
        <f t="shared" si="0"/>
        <v>200</v>
      </c>
      <c r="C49" s="15">
        <v>0</v>
      </c>
      <c r="D49" s="15">
        <f t="shared" si="1"/>
        <v>200</v>
      </c>
      <c r="E49" s="15" t="s">
        <v>3343</v>
      </c>
      <c r="F49" s="15">
        <f t="shared" si="2"/>
        <v>10</v>
      </c>
      <c r="G49" s="15" t="str">
        <f t="shared" si="3"/>
        <v>[10]</v>
      </c>
      <c r="H49">
        <v>1</v>
      </c>
      <c r="I49">
        <f t="shared" si="4"/>
        <v>16</v>
      </c>
      <c r="J49">
        <v>3</v>
      </c>
      <c r="K49">
        <f t="shared" si="5"/>
        <v>2</v>
      </c>
      <c r="L49" s="45">
        <f t="shared" si="6"/>
        <v>200</v>
      </c>
      <c r="M49" s="45">
        <f t="shared" si="7"/>
        <v>200</v>
      </c>
      <c r="N49">
        <f t="shared" si="8"/>
        <v>20</v>
      </c>
      <c r="O49" t="str">
        <f t="shared" si="9"/>
        <v>true</v>
      </c>
    </row>
    <row r="50" spans="1:15" ht="15.75" x14ac:dyDescent="0.3">
      <c r="A50" s="15" t="s">
        <v>3197</v>
      </c>
      <c r="B50" s="15">
        <f t="shared" si="0"/>
        <v>40</v>
      </c>
      <c r="C50" s="15">
        <v>0</v>
      </c>
      <c r="D50" s="15">
        <f t="shared" si="1"/>
        <v>40</v>
      </c>
      <c r="E50" s="15" t="s">
        <v>3343</v>
      </c>
      <c r="F50" s="15">
        <f t="shared" si="2"/>
        <v>5</v>
      </c>
      <c r="G50" s="15" t="str">
        <f t="shared" si="3"/>
        <v>[5]</v>
      </c>
      <c r="H50">
        <v>1</v>
      </c>
      <c r="I50">
        <f t="shared" si="4"/>
        <v>17</v>
      </c>
      <c r="J50">
        <v>1</v>
      </c>
      <c r="K50">
        <f t="shared" si="5"/>
        <v>1</v>
      </c>
      <c r="L50" s="45">
        <f t="shared" si="6"/>
        <v>20</v>
      </c>
      <c r="M50" s="45">
        <f t="shared" si="7"/>
        <v>20</v>
      </c>
      <c r="N50">
        <f t="shared" si="8"/>
        <v>5</v>
      </c>
      <c r="O50" t="str">
        <f t="shared" si="9"/>
        <v>true</v>
      </c>
    </row>
    <row r="51" spans="1:15" ht="15.75" x14ac:dyDescent="0.3">
      <c r="A51" s="15" t="s">
        <v>3197</v>
      </c>
      <c r="B51" s="15">
        <f t="shared" si="0"/>
        <v>120</v>
      </c>
      <c r="C51" s="15">
        <v>0</v>
      </c>
      <c r="D51" s="15">
        <f t="shared" si="1"/>
        <v>200</v>
      </c>
      <c r="E51" s="15" t="s">
        <v>3343</v>
      </c>
      <c r="F51" s="15">
        <f t="shared" si="2"/>
        <v>5</v>
      </c>
      <c r="G51" s="15" t="str">
        <f t="shared" si="3"/>
        <v>[5]</v>
      </c>
      <c r="H51">
        <v>1</v>
      </c>
      <c r="I51">
        <f t="shared" si="4"/>
        <v>17</v>
      </c>
      <c r="J51">
        <v>2</v>
      </c>
      <c r="K51">
        <f t="shared" si="5"/>
        <v>1</v>
      </c>
      <c r="L51" s="45">
        <f t="shared" si="6"/>
        <v>100</v>
      </c>
      <c r="M51" s="45">
        <f t="shared" si="7"/>
        <v>60</v>
      </c>
      <c r="N51">
        <f t="shared" si="8"/>
        <v>10</v>
      </c>
      <c r="O51" t="str">
        <f t="shared" si="9"/>
        <v>true</v>
      </c>
    </row>
    <row r="52" spans="1:15" ht="15.75" x14ac:dyDescent="0.3">
      <c r="A52" s="15" t="s">
        <v>3197</v>
      </c>
      <c r="B52" s="15">
        <f t="shared" si="0"/>
        <v>300</v>
      </c>
      <c r="C52" s="15">
        <v>0</v>
      </c>
      <c r="D52" s="15">
        <f t="shared" si="1"/>
        <v>300</v>
      </c>
      <c r="E52" s="15" t="s">
        <v>3343</v>
      </c>
      <c r="F52" s="15">
        <f t="shared" si="2"/>
        <v>5</v>
      </c>
      <c r="G52" s="15" t="str">
        <f t="shared" si="3"/>
        <v>[5]</v>
      </c>
      <c r="H52">
        <v>1</v>
      </c>
      <c r="I52">
        <f t="shared" si="4"/>
        <v>17</v>
      </c>
      <c r="J52">
        <v>3</v>
      </c>
      <c r="K52">
        <f t="shared" si="5"/>
        <v>1</v>
      </c>
      <c r="L52" s="45">
        <f t="shared" si="6"/>
        <v>150</v>
      </c>
      <c r="M52" s="45">
        <f t="shared" si="7"/>
        <v>150</v>
      </c>
      <c r="N52">
        <f t="shared" si="8"/>
        <v>15</v>
      </c>
      <c r="O52" t="str">
        <f t="shared" si="9"/>
        <v>true</v>
      </c>
    </row>
    <row r="53" spans="1:15" ht="15.75" x14ac:dyDescent="0.3">
      <c r="A53" s="15" t="s">
        <v>3190</v>
      </c>
      <c r="B53" s="15">
        <f t="shared" si="0"/>
        <v>2</v>
      </c>
      <c r="C53" s="15">
        <v>5</v>
      </c>
      <c r="D53" s="15">
        <f t="shared" si="1"/>
        <v>5</v>
      </c>
      <c r="E53" s="15" t="s">
        <v>3343</v>
      </c>
      <c r="F53" s="15">
        <f t="shared" si="2"/>
        <v>5</v>
      </c>
      <c r="G53" s="15" t="str">
        <f t="shared" si="3"/>
        <v>[5]</v>
      </c>
      <c r="H53">
        <v>1</v>
      </c>
      <c r="I53">
        <f t="shared" si="4"/>
        <v>18</v>
      </c>
      <c r="J53">
        <v>1</v>
      </c>
      <c r="K53">
        <f t="shared" si="5"/>
        <v>1</v>
      </c>
      <c r="L53" s="45">
        <f t="shared" si="6"/>
        <v>50</v>
      </c>
      <c r="M53" s="45">
        <f t="shared" si="7"/>
        <v>20</v>
      </c>
      <c r="N53">
        <f t="shared" si="8"/>
        <v>5</v>
      </c>
      <c r="O53" t="str">
        <f t="shared" si="9"/>
        <v>true</v>
      </c>
    </row>
    <row r="54" spans="1:15" ht="15.75" x14ac:dyDescent="0.3">
      <c r="A54" s="15" t="s">
        <v>3190</v>
      </c>
      <c r="B54" s="15">
        <f t="shared" si="0"/>
        <v>6</v>
      </c>
      <c r="C54" s="15">
        <v>8</v>
      </c>
      <c r="D54" s="15">
        <f t="shared" si="1"/>
        <v>8</v>
      </c>
      <c r="E54" s="15" t="s">
        <v>3343</v>
      </c>
      <c r="F54" s="15">
        <f t="shared" si="2"/>
        <v>5</v>
      </c>
      <c r="G54" s="15" t="str">
        <f t="shared" si="3"/>
        <v>[5]</v>
      </c>
      <c r="H54">
        <v>1</v>
      </c>
      <c r="I54">
        <f t="shared" si="4"/>
        <v>18</v>
      </c>
      <c r="J54">
        <v>2</v>
      </c>
      <c r="K54">
        <f t="shared" si="5"/>
        <v>1</v>
      </c>
      <c r="L54" s="45">
        <f t="shared" si="6"/>
        <v>80</v>
      </c>
      <c r="M54" s="45">
        <f t="shared" si="7"/>
        <v>60</v>
      </c>
      <c r="N54">
        <f t="shared" si="8"/>
        <v>10</v>
      </c>
      <c r="O54" t="str">
        <f t="shared" si="9"/>
        <v>true</v>
      </c>
    </row>
    <row r="55" spans="1:15" ht="15.75" x14ac:dyDescent="0.3">
      <c r="A55" s="15" t="s">
        <v>3190</v>
      </c>
      <c r="B55" s="15">
        <f t="shared" si="0"/>
        <v>15.000000000000002</v>
      </c>
      <c r="C55" s="15">
        <v>10</v>
      </c>
      <c r="D55" s="15">
        <f t="shared" si="1"/>
        <v>10</v>
      </c>
      <c r="E55" s="15" t="s">
        <v>3343</v>
      </c>
      <c r="F55" s="15">
        <f t="shared" si="2"/>
        <v>5</v>
      </c>
      <c r="G55" s="15" t="str">
        <f t="shared" si="3"/>
        <v>[5]</v>
      </c>
      <c r="H55">
        <v>1</v>
      </c>
      <c r="I55">
        <f t="shared" si="4"/>
        <v>18</v>
      </c>
      <c r="J55">
        <v>3</v>
      </c>
      <c r="K55">
        <f t="shared" si="5"/>
        <v>1</v>
      </c>
      <c r="L55" s="45">
        <f t="shared" si="6"/>
        <v>100</v>
      </c>
      <c r="M55" s="45">
        <f t="shared" si="7"/>
        <v>150</v>
      </c>
      <c r="N55">
        <f t="shared" si="8"/>
        <v>15</v>
      </c>
      <c r="O55" t="str">
        <f t="shared" si="9"/>
        <v>true</v>
      </c>
    </row>
    <row r="56" spans="1:15" ht="15.75" x14ac:dyDescent="0.3">
      <c r="A56" s="15" t="s">
        <v>3362</v>
      </c>
      <c r="B56" s="15">
        <f t="shared" si="0"/>
        <v>675</v>
      </c>
      <c r="C56" s="15">
        <v>0</v>
      </c>
      <c r="D56" s="15">
        <f t="shared" si="1"/>
        <v>700</v>
      </c>
      <c r="E56" s="15" t="s">
        <v>3343</v>
      </c>
      <c r="F56" s="15">
        <f t="shared" si="2"/>
        <v>10</v>
      </c>
      <c r="G56" s="15" t="str">
        <f t="shared" si="3"/>
        <v>[10]</v>
      </c>
      <c r="H56">
        <v>1</v>
      </c>
      <c r="I56">
        <f t="shared" si="4"/>
        <v>19</v>
      </c>
      <c r="J56">
        <v>1</v>
      </c>
      <c r="K56">
        <f t="shared" si="5"/>
        <v>2</v>
      </c>
      <c r="L56" s="45">
        <f t="shared" si="6"/>
        <v>31.111111111111111</v>
      </c>
      <c r="M56" s="45">
        <f t="shared" si="7"/>
        <v>30</v>
      </c>
      <c r="N56">
        <f t="shared" si="8"/>
        <v>10</v>
      </c>
      <c r="O56" t="str">
        <f t="shared" si="9"/>
        <v>true</v>
      </c>
    </row>
    <row r="57" spans="1:15" ht="15.75" x14ac:dyDescent="0.3">
      <c r="A57" s="15" t="s">
        <v>3362</v>
      </c>
      <c r="B57" s="15">
        <f t="shared" si="0"/>
        <v>1800</v>
      </c>
      <c r="C57" s="15">
        <v>0</v>
      </c>
      <c r="D57" s="15">
        <f t="shared" si="1"/>
        <v>2000</v>
      </c>
      <c r="E57" s="15" t="s">
        <v>3343</v>
      </c>
      <c r="F57" s="15">
        <f t="shared" si="2"/>
        <v>10</v>
      </c>
      <c r="G57" s="15" t="str">
        <f t="shared" si="3"/>
        <v>[10]</v>
      </c>
      <c r="H57">
        <v>1</v>
      </c>
      <c r="I57">
        <f t="shared" si="4"/>
        <v>19</v>
      </c>
      <c r="J57">
        <v>2</v>
      </c>
      <c r="K57">
        <f t="shared" si="5"/>
        <v>2</v>
      </c>
      <c r="L57" s="45">
        <f t="shared" si="6"/>
        <v>88.888888888888886</v>
      </c>
      <c r="M57" s="45">
        <f t="shared" si="7"/>
        <v>80</v>
      </c>
      <c r="N57">
        <f t="shared" si="8"/>
        <v>15</v>
      </c>
      <c r="O57" t="str">
        <f t="shared" si="9"/>
        <v>true</v>
      </c>
    </row>
    <row r="58" spans="1:15" ht="15.75" x14ac:dyDescent="0.3">
      <c r="A58" s="15" t="s">
        <v>3362</v>
      </c>
      <c r="B58" s="15">
        <f t="shared" si="0"/>
        <v>4500</v>
      </c>
      <c r="C58" s="15">
        <v>0</v>
      </c>
      <c r="D58" s="15">
        <f t="shared" si="1"/>
        <v>5000</v>
      </c>
      <c r="E58" s="15" t="s">
        <v>3343</v>
      </c>
      <c r="F58" s="15">
        <f t="shared" si="2"/>
        <v>10</v>
      </c>
      <c r="G58" s="15" t="str">
        <f t="shared" si="3"/>
        <v>[10]</v>
      </c>
      <c r="H58">
        <v>1</v>
      </c>
      <c r="I58">
        <f t="shared" si="4"/>
        <v>19</v>
      </c>
      <c r="J58">
        <v>3</v>
      </c>
      <c r="K58">
        <f t="shared" si="5"/>
        <v>2</v>
      </c>
      <c r="L58" s="45">
        <f t="shared" si="6"/>
        <v>222.22222222222223</v>
      </c>
      <c r="M58" s="45">
        <f t="shared" si="7"/>
        <v>200</v>
      </c>
      <c r="N58">
        <f t="shared" si="8"/>
        <v>20</v>
      </c>
      <c r="O58" t="str">
        <f t="shared" si="9"/>
        <v>true</v>
      </c>
    </row>
    <row r="59" spans="1:15" ht="15.75" x14ac:dyDescent="0.3">
      <c r="A59" s="15" t="s">
        <v>3363</v>
      </c>
      <c r="B59" s="15">
        <f t="shared" si="0"/>
        <v>20</v>
      </c>
      <c r="C59" s="15">
        <v>0</v>
      </c>
      <c r="D59" s="15">
        <f t="shared" si="1"/>
        <v>20</v>
      </c>
      <c r="E59" s="15" t="s">
        <v>3343</v>
      </c>
      <c r="F59" s="15">
        <f t="shared" si="2"/>
        <v>5</v>
      </c>
      <c r="G59" s="15" t="str">
        <f t="shared" si="3"/>
        <v>[5]</v>
      </c>
      <c r="H59">
        <v>1</v>
      </c>
      <c r="I59">
        <f t="shared" si="4"/>
        <v>20</v>
      </c>
      <c r="J59">
        <v>1</v>
      </c>
      <c r="K59">
        <f t="shared" si="5"/>
        <v>1</v>
      </c>
      <c r="L59" s="45">
        <f t="shared" si="6"/>
        <v>20</v>
      </c>
      <c r="M59" s="45">
        <f t="shared" si="7"/>
        <v>20</v>
      </c>
      <c r="N59">
        <f t="shared" si="8"/>
        <v>5</v>
      </c>
      <c r="O59" t="str">
        <f t="shared" si="9"/>
        <v>true</v>
      </c>
    </row>
    <row r="60" spans="1:15" ht="15.75" x14ac:dyDescent="0.3">
      <c r="A60" s="15" t="s">
        <v>3363</v>
      </c>
      <c r="B60" s="15">
        <f t="shared" si="0"/>
        <v>60</v>
      </c>
      <c r="C60" s="15">
        <v>0</v>
      </c>
      <c r="D60" s="15">
        <f t="shared" si="1"/>
        <v>60</v>
      </c>
      <c r="E60" s="15" t="s">
        <v>3343</v>
      </c>
      <c r="F60" s="15">
        <f t="shared" si="2"/>
        <v>5</v>
      </c>
      <c r="G60" s="15" t="str">
        <f t="shared" si="3"/>
        <v>[5]</v>
      </c>
      <c r="H60">
        <v>1</v>
      </c>
      <c r="I60">
        <f t="shared" si="4"/>
        <v>20</v>
      </c>
      <c r="J60">
        <v>2</v>
      </c>
      <c r="K60">
        <f t="shared" si="5"/>
        <v>1</v>
      </c>
      <c r="L60" s="45">
        <f t="shared" si="6"/>
        <v>60</v>
      </c>
      <c r="M60" s="45">
        <f t="shared" si="7"/>
        <v>60</v>
      </c>
      <c r="N60">
        <f t="shared" si="8"/>
        <v>10</v>
      </c>
      <c r="O60" t="str">
        <f t="shared" si="9"/>
        <v>true</v>
      </c>
    </row>
    <row r="61" spans="1:15" ht="15.75" x14ac:dyDescent="0.3">
      <c r="A61" s="15" t="s">
        <v>3363</v>
      </c>
      <c r="B61" s="15">
        <f t="shared" si="0"/>
        <v>150</v>
      </c>
      <c r="C61" s="15">
        <v>0</v>
      </c>
      <c r="D61" s="15">
        <f t="shared" si="1"/>
        <v>200</v>
      </c>
      <c r="E61" s="15" t="s">
        <v>3343</v>
      </c>
      <c r="F61" s="15">
        <f t="shared" si="2"/>
        <v>5</v>
      </c>
      <c r="G61" s="15" t="str">
        <f t="shared" si="3"/>
        <v>[5]</v>
      </c>
      <c r="H61">
        <v>1</v>
      </c>
      <c r="I61">
        <f t="shared" si="4"/>
        <v>20</v>
      </c>
      <c r="J61">
        <v>3</v>
      </c>
      <c r="K61">
        <f t="shared" si="5"/>
        <v>1</v>
      </c>
      <c r="L61" s="45">
        <f t="shared" si="6"/>
        <v>200</v>
      </c>
      <c r="M61" s="45">
        <f t="shared" si="7"/>
        <v>150</v>
      </c>
      <c r="N61">
        <f t="shared" si="8"/>
        <v>15</v>
      </c>
      <c r="O61" t="str">
        <f t="shared" si="9"/>
        <v>true</v>
      </c>
    </row>
    <row r="62" spans="1:15" ht="15.75" x14ac:dyDescent="0.3">
      <c r="A62" s="15" t="s">
        <v>3364</v>
      </c>
      <c r="B62" s="15">
        <f t="shared" si="0"/>
        <v>150</v>
      </c>
      <c r="C62" s="15">
        <v>0</v>
      </c>
      <c r="D62" s="15">
        <f t="shared" si="1"/>
        <v>200</v>
      </c>
      <c r="E62" s="15" t="s">
        <v>3343</v>
      </c>
      <c r="F62" s="15">
        <f t="shared" si="2"/>
        <v>5</v>
      </c>
      <c r="G62" s="15" t="str">
        <f t="shared" si="3"/>
        <v>[5]</v>
      </c>
      <c r="H62">
        <v>1</v>
      </c>
      <c r="I62">
        <f t="shared" si="4"/>
        <v>21</v>
      </c>
      <c r="J62">
        <v>1</v>
      </c>
      <c r="K62">
        <f t="shared" si="5"/>
        <v>1</v>
      </c>
      <c r="L62" s="45">
        <f t="shared" si="6"/>
        <v>26.666666666666668</v>
      </c>
      <c r="M62" s="45">
        <f t="shared" si="7"/>
        <v>20</v>
      </c>
      <c r="N62">
        <f t="shared" si="8"/>
        <v>5</v>
      </c>
      <c r="O62" t="str">
        <f t="shared" si="9"/>
        <v>true</v>
      </c>
    </row>
    <row r="63" spans="1:15" ht="15.75" x14ac:dyDescent="0.3">
      <c r="A63" s="15" t="s">
        <v>3364</v>
      </c>
      <c r="B63" s="15">
        <f t="shared" si="0"/>
        <v>450</v>
      </c>
      <c r="C63" s="15">
        <v>0</v>
      </c>
      <c r="D63" s="15">
        <f t="shared" si="1"/>
        <v>500</v>
      </c>
      <c r="E63" s="15" t="s">
        <v>3343</v>
      </c>
      <c r="F63" s="15">
        <f t="shared" si="2"/>
        <v>5</v>
      </c>
      <c r="G63" s="15" t="str">
        <f t="shared" si="3"/>
        <v>[5]</v>
      </c>
      <c r="H63">
        <v>1</v>
      </c>
      <c r="I63">
        <f t="shared" si="4"/>
        <v>21</v>
      </c>
      <c r="J63">
        <v>2</v>
      </c>
      <c r="K63">
        <f t="shared" si="5"/>
        <v>1</v>
      </c>
      <c r="L63" s="45">
        <f t="shared" si="6"/>
        <v>66.666666666666671</v>
      </c>
      <c r="M63" s="45">
        <f t="shared" si="7"/>
        <v>60</v>
      </c>
      <c r="N63">
        <f t="shared" si="8"/>
        <v>10</v>
      </c>
      <c r="O63" t="str">
        <f t="shared" si="9"/>
        <v>true</v>
      </c>
    </row>
    <row r="64" spans="1:15" ht="15.75" x14ac:dyDescent="0.3">
      <c r="A64" s="15" t="s">
        <v>3364</v>
      </c>
      <c r="B64" s="15">
        <f t="shared" si="0"/>
        <v>1125</v>
      </c>
      <c r="C64" s="15">
        <v>0</v>
      </c>
      <c r="D64" s="15">
        <f t="shared" si="1"/>
        <v>2000</v>
      </c>
      <c r="E64" s="15" t="s">
        <v>3343</v>
      </c>
      <c r="F64" s="15">
        <f t="shared" si="2"/>
        <v>5</v>
      </c>
      <c r="G64" s="15" t="str">
        <f t="shared" si="3"/>
        <v>[5]</v>
      </c>
      <c r="H64">
        <v>1</v>
      </c>
      <c r="I64">
        <f t="shared" si="4"/>
        <v>21</v>
      </c>
      <c r="J64">
        <v>3</v>
      </c>
      <c r="K64">
        <f t="shared" si="5"/>
        <v>1</v>
      </c>
      <c r="L64" s="45">
        <f t="shared" si="6"/>
        <v>266.66666666666669</v>
      </c>
      <c r="M64" s="45">
        <f t="shared" si="7"/>
        <v>150</v>
      </c>
      <c r="N64">
        <f t="shared" si="8"/>
        <v>15</v>
      </c>
      <c r="O64" t="str">
        <f t="shared" si="9"/>
        <v>true</v>
      </c>
    </row>
    <row r="65" spans="1:15" ht="15.75" x14ac:dyDescent="0.3">
      <c r="A65" s="15" t="s">
        <v>3365</v>
      </c>
      <c r="B65" s="15">
        <f t="shared" si="0"/>
        <v>225000</v>
      </c>
      <c r="C65" s="15">
        <v>0</v>
      </c>
      <c r="D65" s="15">
        <f t="shared" si="1"/>
        <v>225000</v>
      </c>
      <c r="E65" s="15" t="s">
        <v>3343</v>
      </c>
      <c r="F65" s="15">
        <f t="shared" si="2"/>
        <v>10</v>
      </c>
      <c r="G65" s="15" t="str">
        <f t="shared" si="3"/>
        <v>[10]</v>
      </c>
      <c r="H65">
        <v>1</v>
      </c>
      <c r="I65">
        <f t="shared" si="4"/>
        <v>22</v>
      </c>
      <c r="J65">
        <v>1</v>
      </c>
      <c r="K65">
        <f t="shared" si="5"/>
        <v>2</v>
      </c>
      <c r="L65" s="45">
        <f t="shared" si="6"/>
        <v>30</v>
      </c>
      <c r="M65" s="45">
        <f t="shared" si="7"/>
        <v>30</v>
      </c>
      <c r="N65">
        <f t="shared" si="8"/>
        <v>10</v>
      </c>
      <c r="O65" t="str">
        <f t="shared" si="9"/>
        <v>true</v>
      </c>
    </row>
    <row r="66" spans="1:15" ht="15.75" x14ac:dyDescent="0.3">
      <c r="A66" s="15" t="s">
        <v>3365</v>
      </c>
      <c r="B66" s="15">
        <f t="shared" si="0"/>
        <v>600000</v>
      </c>
      <c r="C66" s="15">
        <v>0</v>
      </c>
      <c r="D66" s="15">
        <f t="shared" si="1"/>
        <v>600000</v>
      </c>
      <c r="E66" s="15" t="s">
        <v>3343</v>
      </c>
      <c r="F66" s="15">
        <f t="shared" si="2"/>
        <v>10</v>
      </c>
      <c r="G66" s="15" t="str">
        <f t="shared" si="3"/>
        <v>[10]</v>
      </c>
      <c r="H66">
        <v>1</v>
      </c>
      <c r="I66">
        <f t="shared" si="4"/>
        <v>22</v>
      </c>
      <c r="J66">
        <v>2</v>
      </c>
      <c r="K66">
        <f t="shared" si="5"/>
        <v>2</v>
      </c>
      <c r="L66" s="45">
        <f t="shared" si="6"/>
        <v>80</v>
      </c>
      <c r="M66" s="45">
        <f t="shared" si="7"/>
        <v>80</v>
      </c>
      <c r="N66">
        <f t="shared" si="8"/>
        <v>15</v>
      </c>
      <c r="O66" t="str">
        <f t="shared" si="9"/>
        <v>true</v>
      </c>
    </row>
    <row r="67" spans="1:15" ht="15.75" x14ac:dyDescent="0.3">
      <c r="A67" s="15" t="s">
        <v>3365</v>
      </c>
      <c r="B67" s="15">
        <f t="shared" ref="B67:B124" si="14">(M67*($AM$2/$AM$1)*VLOOKUP(A67,$AE:$AI,MATCH("单场参数换算",$AE$2:$AI$2,0),FALSE))</f>
        <v>1500000</v>
      </c>
      <c r="C67" s="15">
        <v>0</v>
      </c>
      <c r="D67" s="15">
        <f t="shared" ref="D67:D124" si="15">IF(C67=0,IF(B67&gt;1000,ROUNDUP(B67/1000,0)*1000,IF(B67&gt;100,ROUNDUP(B67/100,0)*100,IF(B67&gt;20,ROUNDUP(B67/5,0)*5,ROUNDUP(B67,0)))),C67)</f>
        <v>1500000</v>
      </c>
      <c r="E67" s="15" t="s">
        <v>3343</v>
      </c>
      <c r="F67" s="15">
        <f t="shared" ref="F67:F124" si="16">VLOOKUP(K67,$U$9:$V$12,2,FALSE)</f>
        <v>10</v>
      </c>
      <c r="G67" s="15" t="str">
        <f t="shared" ref="G67:G124" si="17">"["&amp;F67&amp;"]"</f>
        <v>[10]</v>
      </c>
      <c r="H67">
        <v>1</v>
      </c>
      <c r="I67">
        <f t="shared" ref="I67:I124" si="18">VLOOKUP(A67,$AE:$AJ,MATCH("类型查找用",$AE$2:$AJ$2,0),FALSE)</f>
        <v>22</v>
      </c>
      <c r="J67">
        <v>3</v>
      </c>
      <c r="K67">
        <f t="shared" ref="K67:K124" si="19">VLOOKUP(A67,$AE:$AJ,MATCH("难度设定",$AE$2:$AJ$2,0),FALSE)</f>
        <v>2</v>
      </c>
      <c r="L67" s="45">
        <f t="shared" ref="L67:L124" si="20">IF(H67=1,(D67/VLOOKUP(I67,$AD:$AI,MATCH("单场参数换算",$AD$2:$AI$2,0),FALSE))/($AM$2/$AM$1),0)</f>
        <v>200</v>
      </c>
      <c r="M67" s="45">
        <f t="shared" ref="M67:M124" si="21">VLOOKUP(K67&amp;"-"&amp;J67,$W$14:$X$23,MATCH("预期天数",$W$14:$X$14,0),FALSE)</f>
        <v>200</v>
      </c>
      <c r="N67">
        <f t="shared" ref="N67:N124" si="22">VLOOKUP(K67&amp;"-"&amp;J67,$W$14:$Y$23,MATCH("对应积分",$W$14:$Y$14,0),FALSE)</f>
        <v>20</v>
      </c>
      <c r="O67" t="str">
        <f t="shared" ref="O67:O124" si="23">IF(H67=1,"true","false")</f>
        <v>true</v>
      </c>
    </row>
    <row r="68" spans="1:15" ht="15.75" x14ac:dyDescent="0.3">
      <c r="A68" s="15" t="s">
        <v>3366</v>
      </c>
      <c r="B68" s="15">
        <f t="shared" si="14"/>
        <v>20</v>
      </c>
      <c r="C68" s="15">
        <v>0</v>
      </c>
      <c r="D68" s="15">
        <f t="shared" si="15"/>
        <v>20</v>
      </c>
      <c r="E68" s="15" t="s">
        <v>3343</v>
      </c>
      <c r="F68" s="15">
        <f t="shared" si="16"/>
        <v>5</v>
      </c>
      <c r="G68" s="15" t="str">
        <f t="shared" si="17"/>
        <v>[5]</v>
      </c>
      <c r="H68">
        <v>1</v>
      </c>
      <c r="I68">
        <f t="shared" si="18"/>
        <v>23</v>
      </c>
      <c r="J68">
        <v>1</v>
      </c>
      <c r="K68">
        <f t="shared" si="19"/>
        <v>1</v>
      </c>
      <c r="L68" s="45">
        <f t="shared" si="20"/>
        <v>20</v>
      </c>
      <c r="M68" s="45">
        <f t="shared" si="21"/>
        <v>20</v>
      </c>
      <c r="N68">
        <f t="shared" si="22"/>
        <v>5</v>
      </c>
      <c r="O68" t="str">
        <f t="shared" si="23"/>
        <v>true</v>
      </c>
    </row>
    <row r="69" spans="1:15" ht="15.75" x14ac:dyDescent="0.3">
      <c r="A69" s="15" t="s">
        <v>3366</v>
      </c>
      <c r="B69" s="15">
        <f t="shared" si="14"/>
        <v>60</v>
      </c>
      <c r="C69" s="15">
        <v>0</v>
      </c>
      <c r="D69" s="15">
        <f t="shared" si="15"/>
        <v>60</v>
      </c>
      <c r="E69" s="15" t="s">
        <v>3343</v>
      </c>
      <c r="F69" s="15">
        <f t="shared" si="16"/>
        <v>5</v>
      </c>
      <c r="G69" s="15" t="str">
        <f t="shared" si="17"/>
        <v>[5]</v>
      </c>
      <c r="H69">
        <v>1</v>
      </c>
      <c r="I69">
        <f t="shared" si="18"/>
        <v>23</v>
      </c>
      <c r="J69">
        <v>2</v>
      </c>
      <c r="K69">
        <f t="shared" si="19"/>
        <v>1</v>
      </c>
      <c r="L69" s="45">
        <f t="shared" si="20"/>
        <v>60</v>
      </c>
      <c r="M69" s="45">
        <f t="shared" si="21"/>
        <v>60</v>
      </c>
      <c r="N69">
        <f t="shared" si="22"/>
        <v>10</v>
      </c>
      <c r="O69" t="str">
        <f t="shared" si="23"/>
        <v>true</v>
      </c>
    </row>
    <row r="70" spans="1:15" ht="15.75" x14ac:dyDescent="0.3">
      <c r="A70" s="15" t="s">
        <v>3366</v>
      </c>
      <c r="B70" s="15">
        <f t="shared" si="14"/>
        <v>150</v>
      </c>
      <c r="C70" s="15">
        <v>0</v>
      </c>
      <c r="D70" s="15">
        <f t="shared" si="15"/>
        <v>200</v>
      </c>
      <c r="E70" s="15" t="s">
        <v>3343</v>
      </c>
      <c r="F70" s="15">
        <f t="shared" si="16"/>
        <v>5</v>
      </c>
      <c r="G70" s="15" t="str">
        <f t="shared" si="17"/>
        <v>[5]</v>
      </c>
      <c r="H70">
        <v>1</v>
      </c>
      <c r="I70">
        <f t="shared" si="18"/>
        <v>23</v>
      </c>
      <c r="J70">
        <v>3</v>
      </c>
      <c r="K70">
        <f t="shared" si="19"/>
        <v>1</v>
      </c>
      <c r="L70" s="45">
        <f t="shared" si="20"/>
        <v>200</v>
      </c>
      <c r="M70" s="45">
        <f t="shared" si="21"/>
        <v>150</v>
      </c>
      <c r="N70">
        <f t="shared" si="22"/>
        <v>15</v>
      </c>
      <c r="O70" t="str">
        <f t="shared" si="23"/>
        <v>true</v>
      </c>
    </row>
    <row r="71" spans="1:15" ht="15.75" x14ac:dyDescent="0.3">
      <c r="A71" s="15" t="s">
        <v>3367</v>
      </c>
      <c r="B71" s="15">
        <f t="shared" si="14"/>
        <v>4</v>
      </c>
      <c r="C71" s="15">
        <v>3</v>
      </c>
      <c r="D71" s="15">
        <f t="shared" si="15"/>
        <v>3</v>
      </c>
      <c r="E71" s="15" t="s">
        <v>3343</v>
      </c>
      <c r="F71" s="15">
        <f t="shared" si="16"/>
        <v>20</v>
      </c>
      <c r="G71" s="15" t="str">
        <f t="shared" si="17"/>
        <v>[20]</v>
      </c>
      <c r="H71">
        <v>1</v>
      </c>
      <c r="I71">
        <f t="shared" si="18"/>
        <v>24</v>
      </c>
      <c r="J71">
        <v>1</v>
      </c>
      <c r="K71">
        <f t="shared" si="19"/>
        <v>3</v>
      </c>
      <c r="L71" s="45">
        <f t="shared" si="20"/>
        <v>29.999999999999996</v>
      </c>
      <c r="M71" s="45">
        <f t="shared" si="21"/>
        <v>40</v>
      </c>
      <c r="N71">
        <f t="shared" si="22"/>
        <v>20</v>
      </c>
      <c r="O71" t="str">
        <f t="shared" si="23"/>
        <v>true</v>
      </c>
    </row>
    <row r="72" spans="1:15" ht="15.75" x14ac:dyDescent="0.3">
      <c r="A72" s="15" t="s">
        <v>3367</v>
      </c>
      <c r="B72" s="15">
        <f t="shared" si="14"/>
        <v>12</v>
      </c>
      <c r="C72" s="15">
        <v>5</v>
      </c>
      <c r="D72" s="15">
        <f t="shared" si="15"/>
        <v>5</v>
      </c>
      <c r="E72" s="15" t="s">
        <v>3343</v>
      </c>
      <c r="F72" s="15">
        <f t="shared" si="16"/>
        <v>20</v>
      </c>
      <c r="G72" s="15" t="str">
        <f t="shared" si="17"/>
        <v>[20]</v>
      </c>
      <c r="H72">
        <v>1</v>
      </c>
      <c r="I72">
        <f t="shared" si="18"/>
        <v>24</v>
      </c>
      <c r="J72">
        <v>2</v>
      </c>
      <c r="K72">
        <f t="shared" si="19"/>
        <v>3</v>
      </c>
      <c r="L72" s="45">
        <f t="shared" si="20"/>
        <v>50</v>
      </c>
      <c r="M72" s="45">
        <f t="shared" si="21"/>
        <v>120</v>
      </c>
      <c r="N72">
        <f t="shared" si="22"/>
        <v>25</v>
      </c>
      <c r="O72" t="str">
        <f t="shared" si="23"/>
        <v>true</v>
      </c>
    </row>
    <row r="73" spans="1:15" ht="15.75" x14ac:dyDescent="0.3">
      <c r="A73" s="15" t="s">
        <v>3367</v>
      </c>
      <c r="B73" s="15">
        <f t="shared" si="14"/>
        <v>36</v>
      </c>
      <c r="C73" s="15">
        <v>10</v>
      </c>
      <c r="D73" s="15">
        <f t="shared" si="15"/>
        <v>10</v>
      </c>
      <c r="E73" s="15" t="s">
        <v>3343</v>
      </c>
      <c r="F73" s="15">
        <f t="shared" si="16"/>
        <v>20</v>
      </c>
      <c r="G73" s="15" t="str">
        <f t="shared" si="17"/>
        <v>[20]</v>
      </c>
      <c r="H73">
        <v>1</v>
      </c>
      <c r="I73">
        <f t="shared" si="18"/>
        <v>24</v>
      </c>
      <c r="J73">
        <v>3</v>
      </c>
      <c r="K73">
        <f t="shared" si="19"/>
        <v>3</v>
      </c>
      <c r="L73" s="45">
        <f t="shared" si="20"/>
        <v>100</v>
      </c>
      <c r="M73" s="45">
        <f t="shared" si="21"/>
        <v>360</v>
      </c>
      <c r="N73">
        <f t="shared" si="22"/>
        <v>30</v>
      </c>
      <c r="O73" t="str">
        <f t="shared" si="23"/>
        <v>true</v>
      </c>
    </row>
    <row r="74" spans="1:15" ht="15.75" x14ac:dyDescent="0.3">
      <c r="A74" s="15" t="s">
        <v>3368</v>
      </c>
      <c r="B74" s="15">
        <f t="shared" si="14"/>
        <v>4</v>
      </c>
      <c r="C74" s="15">
        <v>3</v>
      </c>
      <c r="D74" s="15">
        <f t="shared" si="15"/>
        <v>3</v>
      </c>
      <c r="E74" s="15" t="s">
        <v>3343</v>
      </c>
      <c r="F74" s="15">
        <f t="shared" si="16"/>
        <v>20</v>
      </c>
      <c r="G74" s="15" t="str">
        <f t="shared" si="17"/>
        <v>[20]</v>
      </c>
      <c r="H74">
        <v>1</v>
      </c>
      <c r="I74">
        <f t="shared" si="18"/>
        <v>25</v>
      </c>
      <c r="J74">
        <v>1</v>
      </c>
      <c r="K74">
        <f t="shared" si="19"/>
        <v>3</v>
      </c>
      <c r="L74" s="45">
        <f t="shared" si="20"/>
        <v>29.999999999999996</v>
      </c>
      <c r="M74" s="45">
        <f t="shared" si="21"/>
        <v>40</v>
      </c>
      <c r="N74">
        <f t="shared" si="22"/>
        <v>20</v>
      </c>
      <c r="O74" t="str">
        <f t="shared" si="23"/>
        <v>true</v>
      </c>
    </row>
    <row r="75" spans="1:15" ht="15.75" x14ac:dyDescent="0.3">
      <c r="A75" s="15" t="s">
        <v>3368</v>
      </c>
      <c r="B75" s="15">
        <f t="shared" si="14"/>
        <v>12</v>
      </c>
      <c r="C75" s="15">
        <v>5</v>
      </c>
      <c r="D75" s="15">
        <f t="shared" si="15"/>
        <v>5</v>
      </c>
      <c r="E75" s="15" t="s">
        <v>3343</v>
      </c>
      <c r="F75" s="15">
        <f t="shared" si="16"/>
        <v>20</v>
      </c>
      <c r="G75" s="15" t="str">
        <f t="shared" si="17"/>
        <v>[20]</v>
      </c>
      <c r="H75">
        <v>1</v>
      </c>
      <c r="I75">
        <f t="shared" si="18"/>
        <v>25</v>
      </c>
      <c r="J75">
        <v>2</v>
      </c>
      <c r="K75">
        <f t="shared" si="19"/>
        <v>3</v>
      </c>
      <c r="L75" s="45">
        <f t="shared" si="20"/>
        <v>50</v>
      </c>
      <c r="M75" s="45">
        <f t="shared" si="21"/>
        <v>120</v>
      </c>
      <c r="N75">
        <f t="shared" si="22"/>
        <v>25</v>
      </c>
      <c r="O75" t="str">
        <f t="shared" si="23"/>
        <v>true</v>
      </c>
    </row>
    <row r="76" spans="1:15" ht="15.75" x14ac:dyDescent="0.3">
      <c r="A76" s="15" t="s">
        <v>3368</v>
      </c>
      <c r="B76" s="15">
        <f t="shared" si="14"/>
        <v>36</v>
      </c>
      <c r="C76" s="15">
        <v>10</v>
      </c>
      <c r="D76" s="15">
        <f t="shared" si="15"/>
        <v>10</v>
      </c>
      <c r="E76" s="15" t="s">
        <v>3343</v>
      </c>
      <c r="F76" s="15">
        <f t="shared" si="16"/>
        <v>20</v>
      </c>
      <c r="G76" s="15" t="str">
        <f t="shared" si="17"/>
        <v>[20]</v>
      </c>
      <c r="H76">
        <v>1</v>
      </c>
      <c r="I76">
        <f t="shared" si="18"/>
        <v>25</v>
      </c>
      <c r="J76">
        <v>3</v>
      </c>
      <c r="K76">
        <f t="shared" si="19"/>
        <v>3</v>
      </c>
      <c r="L76" s="45">
        <f t="shared" si="20"/>
        <v>100</v>
      </c>
      <c r="M76" s="45">
        <f t="shared" si="21"/>
        <v>360</v>
      </c>
      <c r="N76">
        <f t="shared" si="22"/>
        <v>30</v>
      </c>
      <c r="O76" t="str">
        <f t="shared" si="23"/>
        <v>true</v>
      </c>
    </row>
    <row r="77" spans="1:15" ht="15.75" x14ac:dyDescent="0.3">
      <c r="A77" s="15" t="s">
        <v>3369</v>
      </c>
      <c r="B77" s="15">
        <f t="shared" si="14"/>
        <v>4</v>
      </c>
      <c r="C77" s="15">
        <v>3</v>
      </c>
      <c r="D77" s="15">
        <f t="shared" si="15"/>
        <v>3</v>
      </c>
      <c r="E77" s="15" t="s">
        <v>3343</v>
      </c>
      <c r="F77" s="15">
        <f t="shared" si="16"/>
        <v>20</v>
      </c>
      <c r="G77" s="15" t="str">
        <f t="shared" si="17"/>
        <v>[20]</v>
      </c>
      <c r="H77">
        <v>1</v>
      </c>
      <c r="I77">
        <f t="shared" si="18"/>
        <v>26</v>
      </c>
      <c r="J77">
        <v>1</v>
      </c>
      <c r="K77">
        <f t="shared" si="19"/>
        <v>3</v>
      </c>
      <c r="L77" s="45">
        <f t="shared" si="20"/>
        <v>29.999999999999996</v>
      </c>
      <c r="M77" s="45">
        <f t="shared" si="21"/>
        <v>40</v>
      </c>
      <c r="N77">
        <f t="shared" si="22"/>
        <v>20</v>
      </c>
      <c r="O77" t="str">
        <f t="shared" si="23"/>
        <v>true</v>
      </c>
    </row>
    <row r="78" spans="1:15" ht="15.75" x14ac:dyDescent="0.3">
      <c r="A78" s="15" t="s">
        <v>3369</v>
      </c>
      <c r="B78" s="15">
        <f t="shared" si="14"/>
        <v>12</v>
      </c>
      <c r="C78" s="15">
        <v>5</v>
      </c>
      <c r="D78" s="15">
        <f t="shared" si="15"/>
        <v>5</v>
      </c>
      <c r="E78" s="15" t="s">
        <v>3343</v>
      </c>
      <c r="F78" s="15">
        <f t="shared" si="16"/>
        <v>20</v>
      </c>
      <c r="G78" s="15" t="str">
        <f t="shared" si="17"/>
        <v>[20]</v>
      </c>
      <c r="H78">
        <v>1</v>
      </c>
      <c r="I78">
        <f t="shared" si="18"/>
        <v>26</v>
      </c>
      <c r="J78">
        <v>2</v>
      </c>
      <c r="K78">
        <f t="shared" si="19"/>
        <v>3</v>
      </c>
      <c r="L78" s="45">
        <f t="shared" si="20"/>
        <v>50</v>
      </c>
      <c r="M78" s="45">
        <f t="shared" si="21"/>
        <v>120</v>
      </c>
      <c r="N78">
        <f t="shared" si="22"/>
        <v>25</v>
      </c>
      <c r="O78" t="str">
        <f t="shared" si="23"/>
        <v>true</v>
      </c>
    </row>
    <row r="79" spans="1:15" ht="15.75" x14ac:dyDescent="0.3">
      <c r="A79" s="15" t="s">
        <v>3369</v>
      </c>
      <c r="B79" s="15">
        <f t="shared" si="14"/>
        <v>36</v>
      </c>
      <c r="C79" s="15">
        <v>10</v>
      </c>
      <c r="D79" s="15">
        <f t="shared" si="15"/>
        <v>10</v>
      </c>
      <c r="E79" s="15" t="s">
        <v>3343</v>
      </c>
      <c r="F79" s="15">
        <f t="shared" si="16"/>
        <v>20</v>
      </c>
      <c r="G79" s="15" t="str">
        <f t="shared" si="17"/>
        <v>[20]</v>
      </c>
      <c r="H79">
        <v>1</v>
      </c>
      <c r="I79">
        <f t="shared" si="18"/>
        <v>26</v>
      </c>
      <c r="J79">
        <v>3</v>
      </c>
      <c r="K79">
        <f t="shared" si="19"/>
        <v>3</v>
      </c>
      <c r="L79" s="45">
        <f t="shared" si="20"/>
        <v>100</v>
      </c>
      <c r="M79" s="45">
        <f t="shared" si="21"/>
        <v>360</v>
      </c>
      <c r="N79">
        <f t="shared" si="22"/>
        <v>30</v>
      </c>
      <c r="O79" t="str">
        <f t="shared" si="23"/>
        <v>true</v>
      </c>
    </row>
    <row r="80" spans="1:15" ht="15.75" x14ac:dyDescent="0.3">
      <c r="A80" s="15" t="s">
        <v>3370</v>
      </c>
      <c r="B80" s="15">
        <f t="shared" si="14"/>
        <v>3.0030030030030028</v>
      </c>
      <c r="C80" s="15">
        <v>5</v>
      </c>
      <c r="D80" s="15">
        <f t="shared" si="15"/>
        <v>5</v>
      </c>
      <c r="E80" s="15" t="s">
        <v>3343</v>
      </c>
      <c r="F80" s="15">
        <f t="shared" si="16"/>
        <v>5</v>
      </c>
      <c r="G80" s="15" t="str">
        <f t="shared" si="17"/>
        <v>[5]</v>
      </c>
      <c r="H80">
        <v>1</v>
      </c>
      <c r="I80">
        <f t="shared" si="18"/>
        <v>27</v>
      </c>
      <c r="J80">
        <v>1</v>
      </c>
      <c r="K80">
        <f t="shared" si="19"/>
        <v>1</v>
      </c>
      <c r="L80" s="45">
        <f t="shared" si="20"/>
        <v>33.299999999999997</v>
      </c>
      <c r="M80" s="45">
        <f t="shared" si="21"/>
        <v>20</v>
      </c>
      <c r="N80">
        <f t="shared" si="22"/>
        <v>5</v>
      </c>
      <c r="O80" t="str">
        <f t="shared" si="23"/>
        <v>true</v>
      </c>
    </row>
    <row r="81" spans="1:15" ht="15.75" x14ac:dyDescent="0.3">
      <c r="A81" s="15" t="s">
        <v>3370</v>
      </c>
      <c r="B81" s="15">
        <f t="shared" si="14"/>
        <v>9.0090090090090094</v>
      </c>
      <c r="C81" s="15">
        <v>10</v>
      </c>
      <c r="D81" s="15">
        <f t="shared" si="15"/>
        <v>10</v>
      </c>
      <c r="E81" s="15" t="s">
        <v>3343</v>
      </c>
      <c r="F81" s="15">
        <f t="shared" si="16"/>
        <v>5</v>
      </c>
      <c r="G81" s="15" t="str">
        <f t="shared" si="17"/>
        <v>[5]</v>
      </c>
      <c r="H81">
        <v>1</v>
      </c>
      <c r="I81">
        <f t="shared" si="18"/>
        <v>27</v>
      </c>
      <c r="J81">
        <v>2</v>
      </c>
      <c r="K81">
        <f t="shared" si="19"/>
        <v>1</v>
      </c>
      <c r="L81" s="45">
        <f t="shared" si="20"/>
        <v>66.599999999999994</v>
      </c>
      <c r="M81" s="45">
        <f t="shared" si="21"/>
        <v>60</v>
      </c>
      <c r="N81">
        <f t="shared" si="22"/>
        <v>10</v>
      </c>
      <c r="O81" t="str">
        <f t="shared" si="23"/>
        <v>true</v>
      </c>
    </row>
    <row r="82" spans="1:15" ht="15.75" x14ac:dyDescent="0.3">
      <c r="A82" s="15" t="s">
        <v>3370</v>
      </c>
      <c r="B82" s="15">
        <f t="shared" si="14"/>
        <v>22.522522522522522</v>
      </c>
      <c r="C82" s="15">
        <v>15</v>
      </c>
      <c r="D82" s="15">
        <f t="shared" si="15"/>
        <v>15</v>
      </c>
      <c r="E82" s="15" t="s">
        <v>3343</v>
      </c>
      <c r="F82" s="15">
        <f t="shared" si="16"/>
        <v>5</v>
      </c>
      <c r="G82" s="15" t="str">
        <f t="shared" si="17"/>
        <v>[5]</v>
      </c>
      <c r="H82">
        <v>1</v>
      </c>
      <c r="I82">
        <f t="shared" si="18"/>
        <v>27</v>
      </c>
      <c r="J82">
        <v>3</v>
      </c>
      <c r="K82">
        <f t="shared" si="19"/>
        <v>1</v>
      </c>
      <c r="L82" s="45">
        <f t="shared" si="20"/>
        <v>99.9</v>
      </c>
      <c r="M82" s="45">
        <f t="shared" si="21"/>
        <v>150</v>
      </c>
      <c r="N82">
        <f t="shared" si="22"/>
        <v>15</v>
      </c>
      <c r="O82" t="str">
        <f t="shared" si="23"/>
        <v>true</v>
      </c>
    </row>
    <row r="83" spans="1:15" ht="15.75" x14ac:dyDescent="0.3">
      <c r="A83" s="15" t="s">
        <v>3371</v>
      </c>
      <c r="B83" s="15">
        <f t="shared" si="14"/>
        <v>3.0030030030030028</v>
      </c>
      <c r="C83" s="15">
        <v>4</v>
      </c>
      <c r="D83" s="15">
        <f t="shared" si="15"/>
        <v>4</v>
      </c>
      <c r="E83" s="15" t="s">
        <v>3343</v>
      </c>
      <c r="F83" s="15">
        <f t="shared" si="16"/>
        <v>5</v>
      </c>
      <c r="G83" s="15" t="str">
        <f t="shared" si="17"/>
        <v>[5]</v>
      </c>
      <c r="H83">
        <v>1</v>
      </c>
      <c r="I83">
        <f t="shared" si="18"/>
        <v>28</v>
      </c>
      <c r="J83">
        <v>1</v>
      </c>
      <c r="K83">
        <f t="shared" si="19"/>
        <v>1</v>
      </c>
      <c r="L83" s="45">
        <f t="shared" si="20"/>
        <v>26.64</v>
      </c>
      <c r="M83" s="45">
        <f t="shared" si="21"/>
        <v>20</v>
      </c>
      <c r="N83">
        <f t="shared" si="22"/>
        <v>5</v>
      </c>
      <c r="O83" t="str">
        <f t="shared" si="23"/>
        <v>true</v>
      </c>
    </row>
    <row r="84" spans="1:15" ht="15.75" x14ac:dyDescent="0.3">
      <c r="A84" s="15" t="s">
        <v>3371</v>
      </c>
      <c r="B84" s="15">
        <f t="shared" si="14"/>
        <v>9.0090090090090094</v>
      </c>
      <c r="C84" s="15">
        <v>8</v>
      </c>
      <c r="D84" s="15">
        <f t="shared" si="15"/>
        <v>8</v>
      </c>
      <c r="E84" s="15" t="s">
        <v>3343</v>
      </c>
      <c r="F84" s="15">
        <f t="shared" si="16"/>
        <v>5</v>
      </c>
      <c r="G84" s="15" t="str">
        <f t="shared" si="17"/>
        <v>[5]</v>
      </c>
      <c r="H84">
        <v>1</v>
      </c>
      <c r="I84">
        <f t="shared" si="18"/>
        <v>28</v>
      </c>
      <c r="J84">
        <v>2</v>
      </c>
      <c r="K84">
        <f t="shared" si="19"/>
        <v>1</v>
      </c>
      <c r="L84" s="45">
        <f t="shared" si="20"/>
        <v>53.28</v>
      </c>
      <c r="M84" s="45">
        <f t="shared" si="21"/>
        <v>60</v>
      </c>
      <c r="N84">
        <f t="shared" si="22"/>
        <v>10</v>
      </c>
      <c r="O84" t="str">
        <f t="shared" si="23"/>
        <v>true</v>
      </c>
    </row>
    <row r="85" spans="1:15" ht="15.75" x14ac:dyDescent="0.3">
      <c r="A85" s="15" t="s">
        <v>3371</v>
      </c>
      <c r="B85" s="15">
        <f t="shared" si="14"/>
        <v>22.522522522522522</v>
      </c>
      <c r="C85" s="15">
        <v>12</v>
      </c>
      <c r="D85" s="15">
        <f t="shared" si="15"/>
        <v>12</v>
      </c>
      <c r="E85" s="15" t="s">
        <v>3343</v>
      </c>
      <c r="F85" s="15">
        <f t="shared" si="16"/>
        <v>5</v>
      </c>
      <c r="G85" s="15" t="str">
        <f t="shared" si="17"/>
        <v>[5]</v>
      </c>
      <c r="H85">
        <v>1</v>
      </c>
      <c r="I85">
        <f t="shared" si="18"/>
        <v>28</v>
      </c>
      <c r="J85">
        <v>3</v>
      </c>
      <c r="K85">
        <f t="shared" si="19"/>
        <v>1</v>
      </c>
      <c r="L85" s="45">
        <f t="shared" si="20"/>
        <v>79.92</v>
      </c>
      <c r="M85" s="45">
        <f t="shared" si="21"/>
        <v>150</v>
      </c>
      <c r="N85">
        <f t="shared" si="22"/>
        <v>15</v>
      </c>
      <c r="O85" t="str">
        <f t="shared" si="23"/>
        <v>true</v>
      </c>
    </row>
    <row r="86" spans="1:15" ht="15.75" x14ac:dyDescent="0.3">
      <c r="A86" s="15" t="s">
        <v>3372</v>
      </c>
      <c r="B86" s="15">
        <f t="shared" si="14"/>
        <v>1.5003750937734432</v>
      </c>
      <c r="C86" s="15">
        <v>4</v>
      </c>
      <c r="D86" s="15">
        <f t="shared" si="15"/>
        <v>4</v>
      </c>
      <c r="E86" s="15" t="s">
        <v>3343</v>
      </c>
      <c r="F86" s="15">
        <f t="shared" si="16"/>
        <v>5</v>
      </c>
      <c r="G86" s="15" t="str">
        <f t="shared" si="17"/>
        <v>[5]</v>
      </c>
      <c r="H86">
        <v>1</v>
      </c>
      <c r="I86">
        <f t="shared" si="18"/>
        <v>29</v>
      </c>
      <c r="J86">
        <v>1</v>
      </c>
      <c r="K86">
        <f t="shared" si="19"/>
        <v>1</v>
      </c>
      <c r="L86" s="45">
        <f t="shared" si="20"/>
        <v>53.320000000000007</v>
      </c>
      <c r="M86" s="45">
        <f t="shared" si="21"/>
        <v>20</v>
      </c>
      <c r="N86">
        <f t="shared" si="22"/>
        <v>5</v>
      </c>
      <c r="O86" t="str">
        <f t="shared" si="23"/>
        <v>true</v>
      </c>
    </row>
    <row r="87" spans="1:15" ht="15.75" x14ac:dyDescent="0.3">
      <c r="A87" s="15" t="s">
        <v>3372</v>
      </c>
      <c r="B87" s="15">
        <f t="shared" si="14"/>
        <v>4.5011252813203297</v>
      </c>
      <c r="C87" s="15">
        <v>10</v>
      </c>
      <c r="D87" s="15">
        <f t="shared" si="15"/>
        <v>10</v>
      </c>
      <c r="E87" s="15" t="s">
        <v>3343</v>
      </c>
      <c r="F87" s="15">
        <f t="shared" si="16"/>
        <v>5</v>
      </c>
      <c r="G87" s="15" t="str">
        <f t="shared" si="17"/>
        <v>[5]</v>
      </c>
      <c r="H87">
        <v>1</v>
      </c>
      <c r="I87">
        <f t="shared" si="18"/>
        <v>29</v>
      </c>
      <c r="J87">
        <v>2</v>
      </c>
      <c r="K87">
        <f t="shared" si="19"/>
        <v>1</v>
      </c>
      <c r="L87" s="45">
        <f t="shared" si="20"/>
        <v>133.30000000000001</v>
      </c>
      <c r="M87" s="45">
        <f t="shared" si="21"/>
        <v>60</v>
      </c>
      <c r="N87">
        <f t="shared" si="22"/>
        <v>10</v>
      </c>
      <c r="O87" t="str">
        <f t="shared" si="23"/>
        <v>true</v>
      </c>
    </row>
    <row r="88" spans="1:15" ht="15.75" x14ac:dyDescent="0.3">
      <c r="A88" s="15" t="s">
        <v>3372</v>
      </c>
      <c r="B88" s="15">
        <f t="shared" si="14"/>
        <v>11.252813203300825</v>
      </c>
      <c r="C88" s="15">
        <v>21</v>
      </c>
      <c r="D88" s="15">
        <f t="shared" si="15"/>
        <v>21</v>
      </c>
      <c r="E88" s="15" t="s">
        <v>3343</v>
      </c>
      <c r="F88" s="15">
        <f t="shared" si="16"/>
        <v>5</v>
      </c>
      <c r="G88" s="15" t="str">
        <f t="shared" si="17"/>
        <v>[5]</v>
      </c>
      <c r="H88">
        <v>1</v>
      </c>
      <c r="I88">
        <f t="shared" si="18"/>
        <v>29</v>
      </c>
      <c r="J88">
        <v>3</v>
      </c>
      <c r="K88">
        <f t="shared" si="19"/>
        <v>1</v>
      </c>
      <c r="L88" s="45">
        <f t="shared" si="20"/>
        <v>279.93</v>
      </c>
      <c r="M88" s="45">
        <f t="shared" si="21"/>
        <v>150</v>
      </c>
      <c r="N88">
        <f t="shared" si="22"/>
        <v>15</v>
      </c>
      <c r="O88" t="str">
        <f t="shared" si="23"/>
        <v>true</v>
      </c>
    </row>
    <row r="89" spans="1:15" ht="15.75" x14ac:dyDescent="0.3">
      <c r="A89" s="15" t="s">
        <v>3373</v>
      </c>
      <c r="B89" s="15">
        <f t="shared" si="14"/>
        <v>1</v>
      </c>
      <c r="C89" s="15">
        <v>4</v>
      </c>
      <c r="D89" s="15">
        <f t="shared" si="15"/>
        <v>4</v>
      </c>
      <c r="E89" s="15" t="s">
        <v>3343</v>
      </c>
      <c r="F89" s="15">
        <f t="shared" si="16"/>
        <v>5</v>
      </c>
      <c r="G89" s="15" t="str">
        <f t="shared" si="17"/>
        <v>[5]</v>
      </c>
      <c r="H89">
        <v>0</v>
      </c>
      <c r="I89">
        <f t="shared" si="18"/>
        <v>30</v>
      </c>
      <c r="J89">
        <v>1</v>
      </c>
      <c r="K89">
        <f t="shared" si="19"/>
        <v>1</v>
      </c>
      <c r="L89" s="45">
        <f t="shared" si="20"/>
        <v>0</v>
      </c>
      <c r="M89" s="45">
        <f t="shared" si="21"/>
        <v>20</v>
      </c>
      <c r="N89">
        <f t="shared" si="22"/>
        <v>5</v>
      </c>
      <c r="O89" t="str">
        <f t="shared" si="23"/>
        <v>false</v>
      </c>
    </row>
    <row r="90" spans="1:15" ht="15.75" x14ac:dyDescent="0.3">
      <c r="A90" s="15" t="s">
        <v>3373</v>
      </c>
      <c r="B90" s="15">
        <f t="shared" si="14"/>
        <v>3</v>
      </c>
      <c r="C90" s="15">
        <v>15</v>
      </c>
      <c r="D90" s="15">
        <f t="shared" si="15"/>
        <v>15</v>
      </c>
      <c r="E90" s="15" t="s">
        <v>3343</v>
      </c>
      <c r="F90" s="15">
        <f t="shared" si="16"/>
        <v>5</v>
      </c>
      <c r="G90" s="15" t="str">
        <f t="shared" si="17"/>
        <v>[5]</v>
      </c>
      <c r="H90">
        <v>0</v>
      </c>
      <c r="I90">
        <f t="shared" si="18"/>
        <v>30</v>
      </c>
      <c r="J90">
        <v>2</v>
      </c>
      <c r="K90">
        <f t="shared" si="19"/>
        <v>1</v>
      </c>
      <c r="L90" s="45">
        <f t="shared" si="20"/>
        <v>0</v>
      </c>
      <c r="M90" s="45">
        <f t="shared" si="21"/>
        <v>60</v>
      </c>
      <c r="N90">
        <f t="shared" si="22"/>
        <v>10</v>
      </c>
      <c r="O90" t="str">
        <f t="shared" si="23"/>
        <v>false</v>
      </c>
    </row>
    <row r="91" spans="1:15" ht="15.75" x14ac:dyDescent="0.3">
      <c r="A91" s="15" t="s">
        <v>3373</v>
      </c>
      <c r="B91" s="15">
        <f t="shared" si="14"/>
        <v>7.5000000000000009</v>
      </c>
      <c r="C91" s="15">
        <v>30</v>
      </c>
      <c r="D91" s="15">
        <f t="shared" si="15"/>
        <v>30</v>
      </c>
      <c r="E91" s="15" t="s">
        <v>3343</v>
      </c>
      <c r="F91" s="15">
        <f t="shared" si="16"/>
        <v>5</v>
      </c>
      <c r="G91" s="15" t="str">
        <f t="shared" si="17"/>
        <v>[5]</v>
      </c>
      <c r="H91">
        <v>0</v>
      </c>
      <c r="I91">
        <f t="shared" si="18"/>
        <v>30</v>
      </c>
      <c r="J91">
        <v>3</v>
      </c>
      <c r="K91">
        <f t="shared" si="19"/>
        <v>1</v>
      </c>
      <c r="L91" s="45">
        <f t="shared" si="20"/>
        <v>0</v>
      </c>
      <c r="M91" s="45">
        <f t="shared" si="21"/>
        <v>150</v>
      </c>
      <c r="N91">
        <f t="shared" si="22"/>
        <v>15</v>
      </c>
      <c r="O91" t="str">
        <f t="shared" si="23"/>
        <v>false</v>
      </c>
    </row>
    <row r="92" spans="1:15" ht="15.75" x14ac:dyDescent="0.3">
      <c r="A92" s="15" t="s">
        <v>3374</v>
      </c>
      <c r="B92" s="15">
        <f t="shared" si="14"/>
        <v>20</v>
      </c>
      <c r="C92" s="15">
        <v>3</v>
      </c>
      <c r="D92" s="15">
        <f t="shared" si="15"/>
        <v>3</v>
      </c>
      <c r="E92" s="15" t="s">
        <v>3343</v>
      </c>
      <c r="F92" s="15">
        <f t="shared" si="16"/>
        <v>20</v>
      </c>
      <c r="G92" s="15" t="str">
        <f t="shared" si="17"/>
        <v>[20]</v>
      </c>
      <c r="H92">
        <v>0</v>
      </c>
      <c r="I92">
        <f t="shared" si="18"/>
        <v>31</v>
      </c>
      <c r="J92">
        <v>1</v>
      </c>
      <c r="K92">
        <f t="shared" si="19"/>
        <v>3</v>
      </c>
      <c r="L92" s="45">
        <f t="shared" si="20"/>
        <v>0</v>
      </c>
      <c r="M92" s="45">
        <f t="shared" si="21"/>
        <v>40</v>
      </c>
      <c r="N92">
        <f t="shared" si="22"/>
        <v>20</v>
      </c>
      <c r="O92" t="str">
        <f t="shared" si="23"/>
        <v>false</v>
      </c>
    </row>
    <row r="93" spans="1:15" ht="15.75" x14ac:dyDescent="0.3">
      <c r="A93" s="15" t="s">
        <v>3374</v>
      </c>
      <c r="B93" s="15">
        <f t="shared" si="14"/>
        <v>60</v>
      </c>
      <c r="C93" s="15">
        <v>6</v>
      </c>
      <c r="D93" s="15">
        <f t="shared" si="15"/>
        <v>6</v>
      </c>
      <c r="E93" s="15" t="s">
        <v>3343</v>
      </c>
      <c r="F93" s="15">
        <f t="shared" si="16"/>
        <v>20</v>
      </c>
      <c r="G93" s="15" t="str">
        <f t="shared" si="17"/>
        <v>[20]</v>
      </c>
      <c r="H93">
        <v>0</v>
      </c>
      <c r="I93">
        <f t="shared" si="18"/>
        <v>31</v>
      </c>
      <c r="J93">
        <v>2</v>
      </c>
      <c r="K93">
        <f t="shared" si="19"/>
        <v>3</v>
      </c>
      <c r="L93" s="45">
        <f t="shared" si="20"/>
        <v>0</v>
      </c>
      <c r="M93" s="45">
        <f t="shared" si="21"/>
        <v>120</v>
      </c>
      <c r="N93">
        <f t="shared" si="22"/>
        <v>25</v>
      </c>
      <c r="O93" t="str">
        <f t="shared" si="23"/>
        <v>false</v>
      </c>
    </row>
    <row r="94" spans="1:15" ht="15.75" x14ac:dyDescent="0.3">
      <c r="A94" s="15" t="s">
        <v>3374</v>
      </c>
      <c r="B94" s="15">
        <f t="shared" si="14"/>
        <v>180</v>
      </c>
      <c r="C94" s="15">
        <v>9</v>
      </c>
      <c r="D94" s="15">
        <f t="shared" si="15"/>
        <v>9</v>
      </c>
      <c r="E94" s="15" t="s">
        <v>3343</v>
      </c>
      <c r="F94" s="15">
        <f t="shared" si="16"/>
        <v>20</v>
      </c>
      <c r="G94" s="15" t="str">
        <f t="shared" si="17"/>
        <v>[20]</v>
      </c>
      <c r="H94">
        <v>0</v>
      </c>
      <c r="I94">
        <f t="shared" si="18"/>
        <v>31</v>
      </c>
      <c r="J94">
        <v>3</v>
      </c>
      <c r="K94">
        <f t="shared" si="19"/>
        <v>3</v>
      </c>
      <c r="L94" s="45">
        <f t="shared" si="20"/>
        <v>0</v>
      </c>
      <c r="M94" s="45">
        <f t="shared" si="21"/>
        <v>360</v>
      </c>
      <c r="N94">
        <f t="shared" si="22"/>
        <v>30</v>
      </c>
      <c r="O94" t="str">
        <f t="shared" si="23"/>
        <v>false</v>
      </c>
    </row>
    <row r="95" spans="1:15" ht="15.75" x14ac:dyDescent="0.3">
      <c r="A95" s="15" t="s">
        <v>3375</v>
      </c>
      <c r="B95" s="15">
        <f t="shared" si="14"/>
        <v>5</v>
      </c>
      <c r="C95" s="15">
        <v>3</v>
      </c>
      <c r="D95" s="15">
        <f t="shared" si="15"/>
        <v>3</v>
      </c>
      <c r="E95" s="15" t="s">
        <v>3343</v>
      </c>
      <c r="F95" s="15">
        <f t="shared" si="16"/>
        <v>20</v>
      </c>
      <c r="G95" s="15" t="str">
        <f t="shared" si="17"/>
        <v>[20]</v>
      </c>
      <c r="H95">
        <v>1</v>
      </c>
      <c r="I95">
        <f t="shared" si="18"/>
        <v>32</v>
      </c>
      <c r="J95">
        <v>1</v>
      </c>
      <c r="K95">
        <f t="shared" si="19"/>
        <v>3</v>
      </c>
      <c r="L95" s="45">
        <f t="shared" si="20"/>
        <v>24</v>
      </c>
      <c r="M95" s="45">
        <f t="shared" si="21"/>
        <v>40</v>
      </c>
      <c r="N95">
        <f t="shared" si="22"/>
        <v>20</v>
      </c>
      <c r="O95" t="str">
        <f t="shared" si="23"/>
        <v>true</v>
      </c>
    </row>
    <row r="96" spans="1:15" ht="15.75" x14ac:dyDescent="0.3">
      <c r="A96" s="15" t="s">
        <v>3375</v>
      </c>
      <c r="B96" s="15">
        <f t="shared" si="14"/>
        <v>15</v>
      </c>
      <c r="C96" s="15">
        <v>6</v>
      </c>
      <c r="D96" s="15">
        <f t="shared" si="15"/>
        <v>6</v>
      </c>
      <c r="E96" s="15" t="s">
        <v>3343</v>
      </c>
      <c r="F96" s="15">
        <f t="shared" si="16"/>
        <v>20</v>
      </c>
      <c r="G96" s="15" t="str">
        <f t="shared" si="17"/>
        <v>[20]</v>
      </c>
      <c r="H96">
        <v>1</v>
      </c>
      <c r="I96">
        <f t="shared" si="18"/>
        <v>32</v>
      </c>
      <c r="J96">
        <v>2</v>
      </c>
      <c r="K96">
        <f t="shared" si="19"/>
        <v>3</v>
      </c>
      <c r="L96" s="45">
        <f t="shared" si="20"/>
        <v>48</v>
      </c>
      <c r="M96" s="45">
        <f t="shared" si="21"/>
        <v>120</v>
      </c>
      <c r="N96">
        <f t="shared" si="22"/>
        <v>25</v>
      </c>
      <c r="O96" t="str">
        <f t="shared" si="23"/>
        <v>true</v>
      </c>
    </row>
    <row r="97" spans="1:15" ht="15.75" x14ac:dyDescent="0.3">
      <c r="A97" s="15" t="s">
        <v>3375</v>
      </c>
      <c r="B97" s="15">
        <f t="shared" si="14"/>
        <v>45</v>
      </c>
      <c r="C97" s="15">
        <v>9</v>
      </c>
      <c r="D97" s="15">
        <f t="shared" si="15"/>
        <v>9</v>
      </c>
      <c r="E97" s="15" t="s">
        <v>3343</v>
      </c>
      <c r="F97" s="15">
        <f t="shared" si="16"/>
        <v>20</v>
      </c>
      <c r="G97" s="15" t="str">
        <f t="shared" si="17"/>
        <v>[20]</v>
      </c>
      <c r="H97">
        <v>0</v>
      </c>
      <c r="I97">
        <f t="shared" si="18"/>
        <v>32</v>
      </c>
      <c r="J97">
        <v>3</v>
      </c>
      <c r="K97">
        <f t="shared" si="19"/>
        <v>3</v>
      </c>
      <c r="L97" s="45">
        <f t="shared" si="20"/>
        <v>0</v>
      </c>
      <c r="M97" s="45">
        <f t="shared" si="21"/>
        <v>360</v>
      </c>
      <c r="N97">
        <f t="shared" si="22"/>
        <v>30</v>
      </c>
      <c r="O97" t="str">
        <f t="shared" si="23"/>
        <v>false</v>
      </c>
    </row>
    <row r="98" spans="1:15" ht="15.75" x14ac:dyDescent="0.3">
      <c r="A98" s="15" t="s">
        <v>3376</v>
      </c>
      <c r="B98" s="15">
        <f t="shared" si="14"/>
        <v>2.5</v>
      </c>
      <c r="C98" s="15">
        <v>3</v>
      </c>
      <c r="D98" s="15">
        <f t="shared" si="15"/>
        <v>3</v>
      </c>
      <c r="E98" s="15" t="s">
        <v>3343</v>
      </c>
      <c r="F98" s="15">
        <f t="shared" si="16"/>
        <v>20</v>
      </c>
      <c r="G98" s="15" t="str">
        <f t="shared" si="17"/>
        <v>[20]</v>
      </c>
      <c r="H98">
        <v>1</v>
      </c>
      <c r="I98">
        <f t="shared" si="18"/>
        <v>33</v>
      </c>
      <c r="J98">
        <v>1</v>
      </c>
      <c r="K98">
        <f t="shared" si="19"/>
        <v>3</v>
      </c>
      <c r="L98" s="45">
        <f t="shared" si="20"/>
        <v>48</v>
      </c>
      <c r="M98" s="45">
        <f t="shared" si="21"/>
        <v>40</v>
      </c>
      <c r="N98">
        <f t="shared" si="22"/>
        <v>20</v>
      </c>
      <c r="O98" t="str">
        <f t="shared" si="23"/>
        <v>true</v>
      </c>
    </row>
    <row r="99" spans="1:15" ht="15.75" x14ac:dyDescent="0.3">
      <c r="A99" s="15" t="s">
        <v>3376</v>
      </c>
      <c r="B99" s="15">
        <f t="shared" si="14"/>
        <v>7.5</v>
      </c>
      <c r="C99" s="15">
        <v>6</v>
      </c>
      <c r="D99" s="15">
        <f t="shared" si="15"/>
        <v>6</v>
      </c>
      <c r="E99" s="15" t="s">
        <v>3343</v>
      </c>
      <c r="F99" s="15">
        <f t="shared" si="16"/>
        <v>20</v>
      </c>
      <c r="G99" s="15" t="str">
        <f t="shared" si="17"/>
        <v>[20]</v>
      </c>
      <c r="H99">
        <v>1</v>
      </c>
      <c r="I99">
        <f t="shared" si="18"/>
        <v>33</v>
      </c>
      <c r="J99">
        <v>2</v>
      </c>
      <c r="K99">
        <f t="shared" si="19"/>
        <v>3</v>
      </c>
      <c r="L99" s="45">
        <f t="shared" si="20"/>
        <v>96</v>
      </c>
      <c r="M99" s="45">
        <f t="shared" si="21"/>
        <v>120</v>
      </c>
      <c r="N99">
        <f t="shared" si="22"/>
        <v>25</v>
      </c>
      <c r="O99" t="str">
        <f t="shared" si="23"/>
        <v>true</v>
      </c>
    </row>
    <row r="100" spans="1:15" ht="15.75" x14ac:dyDescent="0.3">
      <c r="A100" s="15" t="s">
        <v>3376</v>
      </c>
      <c r="B100" s="15">
        <f t="shared" si="14"/>
        <v>22.5</v>
      </c>
      <c r="C100" s="15">
        <v>9</v>
      </c>
      <c r="D100" s="15">
        <f t="shared" si="15"/>
        <v>9</v>
      </c>
      <c r="E100" s="15" t="s">
        <v>3343</v>
      </c>
      <c r="F100" s="15">
        <f t="shared" si="16"/>
        <v>20</v>
      </c>
      <c r="G100" s="15" t="str">
        <f t="shared" si="17"/>
        <v>[20]</v>
      </c>
      <c r="H100">
        <v>1</v>
      </c>
      <c r="I100">
        <f t="shared" si="18"/>
        <v>33</v>
      </c>
      <c r="J100">
        <v>3</v>
      </c>
      <c r="K100">
        <f t="shared" si="19"/>
        <v>3</v>
      </c>
      <c r="L100" s="45">
        <f t="shared" si="20"/>
        <v>144</v>
      </c>
      <c r="M100" s="45">
        <f t="shared" si="21"/>
        <v>360</v>
      </c>
      <c r="N100">
        <f t="shared" si="22"/>
        <v>30</v>
      </c>
      <c r="O100" t="str">
        <f t="shared" si="23"/>
        <v>true</v>
      </c>
    </row>
    <row r="101" spans="1:15" ht="15.75" x14ac:dyDescent="0.3">
      <c r="A101" s="15" t="s">
        <v>3377</v>
      </c>
      <c r="B101" s="15">
        <f t="shared" si="14"/>
        <v>1.3333333333333333</v>
      </c>
      <c r="C101" s="15">
        <v>3</v>
      </c>
      <c r="D101" s="15">
        <f t="shared" si="15"/>
        <v>3</v>
      </c>
      <c r="E101" s="15" t="s">
        <v>3343</v>
      </c>
      <c r="F101" s="15">
        <f t="shared" si="16"/>
        <v>20</v>
      </c>
      <c r="G101" s="15" t="str">
        <f t="shared" si="17"/>
        <v>[20]</v>
      </c>
      <c r="H101">
        <v>0</v>
      </c>
      <c r="I101">
        <f t="shared" si="18"/>
        <v>34</v>
      </c>
      <c r="J101">
        <v>1</v>
      </c>
      <c r="K101">
        <f t="shared" si="19"/>
        <v>3</v>
      </c>
      <c r="L101" s="45">
        <f t="shared" si="20"/>
        <v>0</v>
      </c>
      <c r="M101" s="45">
        <f t="shared" si="21"/>
        <v>40</v>
      </c>
      <c r="N101">
        <f t="shared" si="22"/>
        <v>20</v>
      </c>
      <c r="O101" t="str">
        <f t="shared" si="23"/>
        <v>false</v>
      </c>
    </row>
    <row r="102" spans="1:15" ht="15.75" x14ac:dyDescent="0.3">
      <c r="A102" s="15" t="s">
        <v>3377</v>
      </c>
      <c r="B102" s="15">
        <f t="shared" si="14"/>
        <v>4</v>
      </c>
      <c r="C102" s="15">
        <v>6</v>
      </c>
      <c r="D102" s="15">
        <f t="shared" si="15"/>
        <v>6</v>
      </c>
      <c r="E102" s="15" t="s">
        <v>3343</v>
      </c>
      <c r="F102" s="15">
        <f t="shared" si="16"/>
        <v>20</v>
      </c>
      <c r="G102" s="15" t="str">
        <f t="shared" si="17"/>
        <v>[20]</v>
      </c>
      <c r="H102">
        <v>0</v>
      </c>
      <c r="I102">
        <f t="shared" si="18"/>
        <v>34</v>
      </c>
      <c r="J102">
        <v>2</v>
      </c>
      <c r="K102">
        <f t="shared" si="19"/>
        <v>3</v>
      </c>
      <c r="L102" s="45">
        <f t="shared" si="20"/>
        <v>0</v>
      </c>
      <c r="M102" s="45">
        <f t="shared" si="21"/>
        <v>120</v>
      </c>
      <c r="N102">
        <f t="shared" si="22"/>
        <v>25</v>
      </c>
      <c r="O102" t="str">
        <f t="shared" si="23"/>
        <v>false</v>
      </c>
    </row>
    <row r="103" spans="1:15" ht="15.75" x14ac:dyDescent="0.3">
      <c r="A103" s="15" t="s">
        <v>3377</v>
      </c>
      <c r="B103" s="15">
        <f t="shared" si="14"/>
        <v>12</v>
      </c>
      <c r="C103" s="15">
        <v>9</v>
      </c>
      <c r="D103" s="15">
        <f t="shared" si="15"/>
        <v>9</v>
      </c>
      <c r="E103" s="15" t="s">
        <v>3343</v>
      </c>
      <c r="F103" s="15">
        <f t="shared" si="16"/>
        <v>20</v>
      </c>
      <c r="G103" s="15" t="str">
        <f t="shared" si="17"/>
        <v>[20]</v>
      </c>
      <c r="H103">
        <v>0</v>
      </c>
      <c r="I103">
        <f t="shared" si="18"/>
        <v>34</v>
      </c>
      <c r="J103">
        <v>3</v>
      </c>
      <c r="K103">
        <f t="shared" si="19"/>
        <v>3</v>
      </c>
      <c r="L103" s="45">
        <f t="shared" si="20"/>
        <v>0</v>
      </c>
      <c r="M103" s="45">
        <f t="shared" si="21"/>
        <v>360</v>
      </c>
      <c r="N103">
        <f t="shared" si="22"/>
        <v>30</v>
      </c>
      <c r="O103" t="str">
        <f t="shared" si="23"/>
        <v>false</v>
      </c>
    </row>
    <row r="104" spans="1:15" ht="15.75" x14ac:dyDescent="0.3">
      <c r="A104" s="15" t="s">
        <v>3378</v>
      </c>
      <c r="B104" s="15">
        <f t="shared" si="14"/>
        <v>8</v>
      </c>
      <c r="C104" s="15">
        <v>0</v>
      </c>
      <c r="D104" s="15">
        <f t="shared" si="15"/>
        <v>8</v>
      </c>
      <c r="E104" s="15" t="s">
        <v>3343</v>
      </c>
      <c r="F104" s="15">
        <f t="shared" si="16"/>
        <v>20</v>
      </c>
      <c r="G104" s="15" t="str">
        <f t="shared" si="17"/>
        <v>[20]</v>
      </c>
      <c r="H104">
        <v>1</v>
      </c>
      <c r="I104">
        <f t="shared" si="18"/>
        <v>35</v>
      </c>
      <c r="J104">
        <v>1</v>
      </c>
      <c r="K104">
        <f t="shared" si="19"/>
        <v>3</v>
      </c>
      <c r="L104" s="45">
        <f t="shared" si="20"/>
        <v>40</v>
      </c>
      <c r="M104" s="45">
        <f t="shared" si="21"/>
        <v>40</v>
      </c>
      <c r="N104">
        <f t="shared" si="22"/>
        <v>20</v>
      </c>
      <c r="O104" t="str">
        <f t="shared" si="23"/>
        <v>true</v>
      </c>
    </row>
    <row r="105" spans="1:15" ht="15.75" x14ac:dyDescent="0.3">
      <c r="A105" s="15" t="s">
        <v>3378</v>
      </c>
      <c r="B105" s="15">
        <f t="shared" si="14"/>
        <v>24</v>
      </c>
      <c r="C105" s="15">
        <v>0</v>
      </c>
      <c r="D105" s="15">
        <f t="shared" si="15"/>
        <v>25</v>
      </c>
      <c r="E105" s="15" t="s">
        <v>3343</v>
      </c>
      <c r="F105" s="15">
        <f t="shared" si="16"/>
        <v>20</v>
      </c>
      <c r="G105" s="15" t="str">
        <f t="shared" si="17"/>
        <v>[20]</v>
      </c>
      <c r="H105">
        <v>1</v>
      </c>
      <c r="I105">
        <f t="shared" si="18"/>
        <v>35</v>
      </c>
      <c r="J105">
        <v>2</v>
      </c>
      <c r="K105">
        <f t="shared" si="19"/>
        <v>3</v>
      </c>
      <c r="L105" s="45">
        <f t="shared" si="20"/>
        <v>124.99999999999999</v>
      </c>
      <c r="M105" s="45">
        <f t="shared" si="21"/>
        <v>120</v>
      </c>
      <c r="N105">
        <f t="shared" si="22"/>
        <v>25</v>
      </c>
      <c r="O105" t="str">
        <f t="shared" si="23"/>
        <v>true</v>
      </c>
    </row>
    <row r="106" spans="1:15" ht="15.75" x14ac:dyDescent="0.3">
      <c r="A106" s="15" t="s">
        <v>3378</v>
      </c>
      <c r="B106" s="15">
        <f t="shared" si="14"/>
        <v>72</v>
      </c>
      <c r="C106" s="15">
        <v>0</v>
      </c>
      <c r="D106" s="15">
        <f t="shared" si="15"/>
        <v>75</v>
      </c>
      <c r="E106" s="15" t="s">
        <v>3343</v>
      </c>
      <c r="F106" s="15">
        <f t="shared" si="16"/>
        <v>20</v>
      </c>
      <c r="G106" s="15" t="str">
        <f t="shared" si="17"/>
        <v>[20]</v>
      </c>
      <c r="H106">
        <v>1</v>
      </c>
      <c r="I106">
        <f t="shared" si="18"/>
        <v>35</v>
      </c>
      <c r="J106">
        <v>3</v>
      </c>
      <c r="K106">
        <f t="shared" si="19"/>
        <v>3</v>
      </c>
      <c r="L106" s="45">
        <f t="shared" si="20"/>
        <v>375</v>
      </c>
      <c r="M106" s="45">
        <f t="shared" si="21"/>
        <v>360</v>
      </c>
      <c r="N106">
        <f t="shared" si="22"/>
        <v>30</v>
      </c>
      <c r="O106" t="str">
        <f t="shared" si="23"/>
        <v>true</v>
      </c>
    </row>
    <row r="107" spans="1:15" ht="15.75" x14ac:dyDescent="0.3">
      <c r="A107" s="15" t="s">
        <v>3379</v>
      </c>
      <c r="B107" s="15">
        <f t="shared" si="14"/>
        <v>4</v>
      </c>
      <c r="C107" s="15">
        <v>0</v>
      </c>
      <c r="D107" s="15">
        <f t="shared" si="15"/>
        <v>4</v>
      </c>
      <c r="E107" s="15" t="s">
        <v>3343</v>
      </c>
      <c r="F107" s="15">
        <f t="shared" si="16"/>
        <v>20</v>
      </c>
      <c r="G107" s="15" t="str">
        <f t="shared" si="17"/>
        <v>[20]</v>
      </c>
      <c r="H107">
        <v>1</v>
      </c>
      <c r="I107">
        <f t="shared" si="18"/>
        <v>36</v>
      </c>
      <c r="J107">
        <v>1</v>
      </c>
      <c r="K107">
        <f t="shared" si="19"/>
        <v>3</v>
      </c>
      <c r="L107" s="45">
        <f t="shared" si="20"/>
        <v>40</v>
      </c>
      <c r="M107" s="45">
        <f t="shared" si="21"/>
        <v>40</v>
      </c>
      <c r="N107">
        <f t="shared" si="22"/>
        <v>20</v>
      </c>
      <c r="O107" t="str">
        <f t="shared" si="23"/>
        <v>true</v>
      </c>
    </row>
    <row r="108" spans="1:15" ht="15.75" x14ac:dyDescent="0.3">
      <c r="A108" s="15" t="s">
        <v>3379</v>
      </c>
      <c r="B108" s="15">
        <f t="shared" si="14"/>
        <v>12</v>
      </c>
      <c r="C108" s="15">
        <v>0</v>
      </c>
      <c r="D108" s="15">
        <f t="shared" si="15"/>
        <v>12</v>
      </c>
      <c r="E108" s="15" t="s">
        <v>3343</v>
      </c>
      <c r="F108" s="15">
        <f t="shared" si="16"/>
        <v>20</v>
      </c>
      <c r="G108" s="15" t="str">
        <f t="shared" si="17"/>
        <v>[20]</v>
      </c>
      <c r="H108">
        <v>1</v>
      </c>
      <c r="I108">
        <f t="shared" si="18"/>
        <v>36</v>
      </c>
      <c r="J108">
        <v>2</v>
      </c>
      <c r="K108">
        <f t="shared" si="19"/>
        <v>3</v>
      </c>
      <c r="L108" s="45">
        <f t="shared" si="20"/>
        <v>119.99999999999999</v>
      </c>
      <c r="M108" s="45">
        <f t="shared" si="21"/>
        <v>120</v>
      </c>
      <c r="N108">
        <f t="shared" si="22"/>
        <v>25</v>
      </c>
      <c r="O108" t="str">
        <f t="shared" si="23"/>
        <v>true</v>
      </c>
    </row>
    <row r="109" spans="1:15" ht="15.75" x14ac:dyDescent="0.3">
      <c r="A109" s="15" t="s">
        <v>3379</v>
      </c>
      <c r="B109" s="15">
        <f t="shared" si="14"/>
        <v>36</v>
      </c>
      <c r="C109" s="15">
        <v>0</v>
      </c>
      <c r="D109" s="15">
        <f t="shared" si="15"/>
        <v>40</v>
      </c>
      <c r="E109" s="15" t="s">
        <v>3343</v>
      </c>
      <c r="F109" s="15">
        <f t="shared" si="16"/>
        <v>20</v>
      </c>
      <c r="G109" s="15" t="str">
        <f t="shared" si="17"/>
        <v>[20]</v>
      </c>
      <c r="H109">
        <v>1</v>
      </c>
      <c r="I109">
        <f t="shared" si="18"/>
        <v>36</v>
      </c>
      <c r="J109">
        <v>3</v>
      </c>
      <c r="K109">
        <f t="shared" si="19"/>
        <v>3</v>
      </c>
      <c r="L109" s="45">
        <f t="shared" si="20"/>
        <v>400</v>
      </c>
      <c r="M109" s="45">
        <f t="shared" si="21"/>
        <v>360</v>
      </c>
      <c r="N109">
        <f t="shared" si="22"/>
        <v>30</v>
      </c>
      <c r="O109" t="str">
        <f t="shared" si="23"/>
        <v>true</v>
      </c>
    </row>
    <row r="110" spans="1:15" ht="15.75" x14ac:dyDescent="0.3">
      <c r="A110" s="15" t="s">
        <v>3380</v>
      </c>
      <c r="B110" s="15">
        <f t="shared" si="14"/>
        <v>3000</v>
      </c>
      <c r="C110" s="15">
        <v>6000</v>
      </c>
      <c r="D110" s="15">
        <f t="shared" si="15"/>
        <v>6000</v>
      </c>
      <c r="E110" s="15" t="s">
        <v>3343</v>
      </c>
      <c r="F110" s="15">
        <f t="shared" si="16"/>
        <v>5</v>
      </c>
      <c r="G110" s="15" t="str">
        <f t="shared" si="17"/>
        <v>[5]</v>
      </c>
      <c r="H110">
        <v>1</v>
      </c>
      <c r="I110">
        <f t="shared" si="18"/>
        <v>37</v>
      </c>
      <c r="J110">
        <v>1</v>
      </c>
      <c r="K110">
        <f t="shared" si="19"/>
        <v>1</v>
      </c>
      <c r="L110" s="45">
        <f t="shared" si="20"/>
        <v>40</v>
      </c>
      <c r="M110" s="45">
        <f t="shared" si="21"/>
        <v>20</v>
      </c>
      <c r="N110">
        <f t="shared" si="22"/>
        <v>5</v>
      </c>
      <c r="O110" t="str">
        <f t="shared" si="23"/>
        <v>true</v>
      </c>
    </row>
    <row r="111" spans="1:15" ht="15.75" x14ac:dyDescent="0.3">
      <c r="A111" s="15" t="s">
        <v>3380</v>
      </c>
      <c r="B111" s="15">
        <f t="shared" si="14"/>
        <v>9000</v>
      </c>
      <c r="C111" s="15">
        <v>10000</v>
      </c>
      <c r="D111" s="15">
        <f t="shared" si="15"/>
        <v>10000</v>
      </c>
      <c r="E111" s="15" t="s">
        <v>3343</v>
      </c>
      <c r="F111" s="15">
        <f t="shared" si="16"/>
        <v>5</v>
      </c>
      <c r="G111" s="15" t="str">
        <f t="shared" si="17"/>
        <v>[5]</v>
      </c>
      <c r="H111">
        <v>1</v>
      </c>
      <c r="I111">
        <f t="shared" si="18"/>
        <v>37</v>
      </c>
      <c r="J111">
        <v>2</v>
      </c>
      <c r="K111">
        <f t="shared" si="19"/>
        <v>1</v>
      </c>
      <c r="L111" s="45">
        <f t="shared" si="20"/>
        <v>66.666666666666671</v>
      </c>
      <c r="M111" s="45">
        <f t="shared" si="21"/>
        <v>60</v>
      </c>
      <c r="N111">
        <f t="shared" si="22"/>
        <v>10</v>
      </c>
      <c r="O111" t="str">
        <f t="shared" si="23"/>
        <v>true</v>
      </c>
    </row>
    <row r="112" spans="1:15" ht="15.75" x14ac:dyDescent="0.3">
      <c r="A112" s="15" t="s">
        <v>3380</v>
      </c>
      <c r="B112" s="15">
        <f t="shared" si="14"/>
        <v>22500</v>
      </c>
      <c r="C112" s="15">
        <v>20000</v>
      </c>
      <c r="D112" s="15">
        <f t="shared" si="15"/>
        <v>20000</v>
      </c>
      <c r="E112" s="15" t="s">
        <v>3343</v>
      </c>
      <c r="F112" s="15">
        <f t="shared" si="16"/>
        <v>5</v>
      </c>
      <c r="G112" s="15" t="str">
        <f t="shared" si="17"/>
        <v>[5]</v>
      </c>
      <c r="H112">
        <v>1</v>
      </c>
      <c r="I112">
        <f t="shared" si="18"/>
        <v>37</v>
      </c>
      <c r="J112">
        <v>3</v>
      </c>
      <c r="K112">
        <f t="shared" si="19"/>
        <v>1</v>
      </c>
      <c r="L112" s="45">
        <f t="shared" si="20"/>
        <v>133.33333333333334</v>
      </c>
      <c r="M112" s="45">
        <f t="shared" si="21"/>
        <v>150</v>
      </c>
      <c r="N112">
        <f t="shared" si="22"/>
        <v>15</v>
      </c>
      <c r="O112" t="str">
        <f t="shared" si="23"/>
        <v>true</v>
      </c>
    </row>
    <row r="113" spans="1:15" ht="15.75" x14ac:dyDescent="0.3">
      <c r="A113" s="15" t="s">
        <v>3139</v>
      </c>
      <c r="B113" s="15">
        <f t="shared" si="14"/>
        <v>20</v>
      </c>
      <c r="C113" s="15">
        <v>0</v>
      </c>
      <c r="D113" s="15">
        <f t="shared" si="15"/>
        <v>20</v>
      </c>
      <c r="E113" s="15" t="s">
        <v>3343</v>
      </c>
      <c r="F113" s="15">
        <f t="shared" si="16"/>
        <v>5</v>
      </c>
      <c r="G113" s="15" t="str">
        <f t="shared" si="17"/>
        <v>[5]</v>
      </c>
      <c r="H113">
        <v>1</v>
      </c>
      <c r="I113">
        <f t="shared" si="18"/>
        <v>38</v>
      </c>
      <c r="J113">
        <v>1</v>
      </c>
      <c r="K113">
        <f t="shared" si="19"/>
        <v>1</v>
      </c>
      <c r="L113" s="45">
        <f t="shared" si="20"/>
        <v>20</v>
      </c>
      <c r="M113" s="45">
        <f t="shared" si="21"/>
        <v>20</v>
      </c>
      <c r="N113">
        <f t="shared" si="22"/>
        <v>5</v>
      </c>
      <c r="O113" t="str">
        <f t="shared" si="23"/>
        <v>true</v>
      </c>
    </row>
    <row r="114" spans="1:15" ht="15.75" x14ac:dyDescent="0.3">
      <c r="A114" s="15" t="s">
        <v>3139</v>
      </c>
      <c r="B114" s="15">
        <f t="shared" si="14"/>
        <v>60</v>
      </c>
      <c r="C114" s="15">
        <v>0</v>
      </c>
      <c r="D114" s="15">
        <f t="shared" si="15"/>
        <v>60</v>
      </c>
      <c r="E114" s="15" t="s">
        <v>3343</v>
      </c>
      <c r="F114" s="15">
        <f t="shared" si="16"/>
        <v>5</v>
      </c>
      <c r="G114" s="15" t="str">
        <f t="shared" si="17"/>
        <v>[5]</v>
      </c>
      <c r="H114">
        <v>1</v>
      </c>
      <c r="I114">
        <f t="shared" si="18"/>
        <v>38</v>
      </c>
      <c r="J114">
        <v>2</v>
      </c>
      <c r="K114">
        <f t="shared" si="19"/>
        <v>1</v>
      </c>
      <c r="L114" s="45">
        <f t="shared" si="20"/>
        <v>60</v>
      </c>
      <c r="M114" s="45">
        <f t="shared" si="21"/>
        <v>60</v>
      </c>
      <c r="N114">
        <f t="shared" si="22"/>
        <v>10</v>
      </c>
      <c r="O114" t="str">
        <f t="shared" si="23"/>
        <v>true</v>
      </c>
    </row>
    <row r="115" spans="1:15" ht="15.75" x14ac:dyDescent="0.3">
      <c r="A115" s="15" t="s">
        <v>3139</v>
      </c>
      <c r="B115" s="15">
        <f t="shared" si="14"/>
        <v>150</v>
      </c>
      <c r="C115" s="15">
        <v>0</v>
      </c>
      <c r="D115" s="15">
        <f t="shared" si="15"/>
        <v>200</v>
      </c>
      <c r="E115" s="15" t="s">
        <v>3343</v>
      </c>
      <c r="F115" s="15">
        <f t="shared" si="16"/>
        <v>5</v>
      </c>
      <c r="G115" s="15" t="str">
        <f t="shared" si="17"/>
        <v>[5]</v>
      </c>
      <c r="H115">
        <v>1</v>
      </c>
      <c r="I115">
        <f t="shared" si="18"/>
        <v>38</v>
      </c>
      <c r="J115">
        <v>3</v>
      </c>
      <c r="K115">
        <f t="shared" si="19"/>
        <v>1</v>
      </c>
      <c r="L115" s="45">
        <f t="shared" si="20"/>
        <v>200</v>
      </c>
      <c r="M115" s="45">
        <f t="shared" si="21"/>
        <v>150</v>
      </c>
      <c r="N115">
        <f t="shared" si="22"/>
        <v>15</v>
      </c>
      <c r="O115" t="str">
        <f t="shared" si="23"/>
        <v>true</v>
      </c>
    </row>
    <row r="116" spans="1:15" ht="15.75" x14ac:dyDescent="0.3">
      <c r="A116" s="15" t="s">
        <v>3381</v>
      </c>
      <c r="B116" s="15">
        <f t="shared" si="14"/>
        <v>0.39999999999999997</v>
      </c>
      <c r="C116" s="15">
        <v>0</v>
      </c>
      <c r="D116" s="15">
        <f t="shared" si="15"/>
        <v>1</v>
      </c>
      <c r="E116" s="15" t="s">
        <v>3343</v>
      </c>
      <c r="F116" s="15">
        <f t="shared" si="16"/>
        <v>20</v>
      </c>
      <c r="G116" s="15" t="str">
        <f t="shared" si="17"/>
        <v>[20]</v>
      </c>
      <c r="H116">
        <v>0</v>
      </c>
      <c r="I116">
        <f t="shared" si="18"/>
        <v>39</v>
      </c>
      <c r="J116">
        <v>1</v>
      </c>
      <c r="K116">
        <f t="shared" si="19"/>
        <v>3</v>
      </c>
      <c r="L116" s="45">
        <f t="shared" si="20"/>
        <v>0</v>
      </c>
      <c r="M116" s="45">
        <f t="shared" si="21"/>
        <v>40</v>
      </c>
      <c r="N116">
        <f t="shared" si="22"/>
        <v>20</v>
      </c>
      <c r="O116" t="str">
        <f t="shared" si="23"/>
        <v>false</v>
      </c>
    </row>
    <row r="117" spans="1:15" ht="15.75" x14ac:dyDescent="0.3">
      <c r="A117" s="15" t="s">
        <v>3381</v>
      </c>
      <c r="B117" s="15">
        <f t="shared" si="14"/>
        <v>1.2</v>
      </c>
      <c r="C117" s="15">
        <v>0</v>
      </c>
      <c r="D117" s="15">
        <f t="shared" si="15"/>
        <v>2</v>
      </c>
      <c r="E117" s="15" t="s">
        <v>3343</v>
      </c>
      <c r="F117" s="15">
        <f t="shared" si="16"/>
        <v>20</v>
      </c>
      <c r="G117" s="15" t="str">
        <f t="shared" si="17"/>
        <v>[20]</v>
      </c>
      <c r="H117">
        <v>0</v>
      </c>
      <c r="I117">
        <f t="shared" si="18"/>
        <v>39</v>
      </c>
      <c r="J117">
        <v>2</v>
      </c>
      <c r="K117">
        <f t="shared" si="19"/>
        <v>3</v>
      </c>
      <c r="L117" s="45">
        <f t="shared" si="20"/>
        <v>0</v>
      </c>
      <c r="M117" s="45">
        <f t="shared" si="21"/>
        <v>120</v>
      </c>
      <c r="N117">
        <f t="shared" si="22"/>
        <v>25</v>
      </c>
      <c r="O117" t="str">
        <f t="shared" si="23"/>
        <v>false</v>
      </c>
    </row>
    <row r="118" spans="1:15" ht="15.75" x14ac:dyDescent="0.3">
      <c r="A118" s="15" t="s">
        <v>3381</v>
      </c>
      <c r="B118" s="15">
        <f t="shared" si="14"/>
        <v>3.6</v>
      </c>
      <c r="C118" s="15">
        <v>0</v>
      </c>
      <c r="D118" s="15">
        <f t="shared" si="15"/>
        <v>4</v>
      </c>
      <c r="E118" s="15" t="s">
        <v>3343</v>
      </c>
      <c r="F118" s="15">
        <f t="shared" si="16"/>
        <v>20</v>
      </c>
      <c r="G118" s="15" t="str">
        <f t="shared" si="17"/>
        <v>[20]</v>
      </c>
      <c r="H118">
        <v>0</v>
      </c>
      <c r="I118">
        <f t="shared" si="18"/>
        <v>39</v>
      </c>
      <c r="J118">
        <v>3</v>
      </c>
      <c r="K118">
        <f t="shared" si="19"/>
        <v>3</v>
      </c>
      <c r="L118" s="45">
        <f t="shared" si="20"/>
        <v>0</v>
      </c>
      <c r="M118" s="45">
        <f t="shared" si="21"/>
        <v>360</v>
      </c>
      <c r="N118">
        <f t="shared" si="22"/>
        <v>30</v>
      </c>
      <c r="O118" t="str">
        <f t="shared" si="23"/>
        <v>false</v>
      </c>
    </row>
    <row r="119" spans="1:15" ht="15.75" x14ac:dyDescent="0.3">
      <c r="A119" s="15" t="s">
        <v>3382</v>
      </c>
      <c r="B119" s="15">
        <f t="shared" si="14"/>
        <v>0.39999999999999997</v>
      </c>
      <c r="C119" s="15">
        <v>0</v>
      </c>
      <c r="D119" s="15">
        <f t="shared" si="15"/>
        <v>1</v>
      </c>
      <c r="E119" s="15" t="s">
        <v>3343</v>
      </c>
      <c r="F119" s="15">
        <f t="shared" si="16"/>
        <v>20</v>
      </c>
      <c r="G119" s="15" t="str">
        <f t="shared" si="17"/>
        <v>[20]</v>
      </c>
      <c r="H119">
        <v>0</v>
      </c>
      <c r="I119">
        <f t="shared" si="18"/>
        <v>40</v>
      </c>
      <c r="J119">
        <v>1</v>
      </c>
      <c r="K119">
        <f t="shared" si="19"/>
        <v>3</v>
      </c>
      <c r="L119" s="45">
        <f t="shared" si="20"/>
        <v>0</v>
      </c>
      <c r="M119" s="45">
        <f t="shared" si="21"/>
        <v>40</v>
      </c>
      <c r="N119">
        <f t="shared" si="22"/>
        <v>20</v>
      </c>
      <c r="O119" t="str">
        <f t="shared" si="23"/>
        <v>false</v>
      </c>
    </row>
    <row r="120" spans="1:15" ht="15.75" x14ac:dyDescent="0.3">
      <c r="A120" s="15" t="s">
        <v>3382</v>
      </c>
      <c r="B120" s="15">
        <f t="shared" si="14"/>
        <v>1.2</v>
      </c>
      <c r="C120" s="15">
        <v>0</v>
      </c>
      <c r="D120" s="15">
        <f t="shared" si="15"/>
        <v>2</v>
      </c>
      <c r="E120" s="15" t="s">
        <v>3343</v>
      </c>
      <c r="F120" s="15">
        <f t="shared" si="16"/>
        <v>20</v>
      </c>
      <c r="G120" s="15" t="str">
        <f t="shared" si="17"/>
        <v>[20]</v>
      </c>
      <c r="H120">
        <v>0</v>
      </c>
      <c r="I120">
        <f t="shared" si="18"/>
        <v>40</v>
      </c>
      <c r="J120">
        <v>2</v>
      </c>
      <c r="K120">
        <f t="shared" si="19"/>
        <v>3</v>
      </c>
      <c r="L120" s="45">
        <f t="shared" si="20"/>
        <v>0</v>
      </c>
      <c r="M120" s="45">
        <f t="shared" si="21"/>
        <v>120</v>
      </c>
      <c r="N120">
        <f t="shared" si="22"/>
        <v>25</v>
      </c>
      <c r="O120" t="str">
        <f t="shared" si="23"/>
        <v>false</v>
      </c>
    </row>
    <row r="121" spans="1:15" ht="15.75" x14ac:dyDescent="0.3">
      <c r="A121" s="15" t="s">
        <v>3382</v>
      </c>
      <c r="B121" s="15">
        <f t="shared" si="14"/>
        <v>3.6</v>
      </c>
      <c r="C121" s="15">
        <v>0</v>
      </c>
      <c r="D121" s="15">
        <f t="shared" si="15"/>
        <v>4</v>
      </c>
      <c r="E121" s="15" t="s">
        <v>3343</v>
      </c>
      <c r="F121" s="15">
        <f t="shared" si="16"/>
        <v>20</v>
      </c>
      <c r="G121" s="15" t="str">
        <f t="shared" si="17"/>
        <v>[20]</v>
      </c>
      <c r="H121">
        <v>0</v>
      </c>
      <c r="I121">
        <f t="shared" si="18"/>
        <v>40</v>
      </c>
      <c r="J121">
        <v>3</v>
      </c>
      <c r="K121">
        <f t="shared" si="19"/>
        <v>3</v>
      </c>
      <c r="L121" s="45">
        <f t="shared" si="20"/>
        <v>0</v>
      </c>
      <c r="M121" s="45">
        <f t="shared" si="21"/>
        <v>360</v>
      </c>
      <c r="N121">
        <f t="shared" si="22"/>
        <v>30</v>
      </c>
      <c r="O121" t="str">
        <f t="shared" si="23"/>
        <v>false</v>
      </c>
    </row>
    <row r="122" spans="1:15" ht="15.75" x14ac:dyDescent="0.3">
      <c r="A122" s="15" t="s">
        <v>3383</v>
      </c>
      <c r="B122" s="15">
        <f t="shared" si="14"/>
        <v>30</v>
      </c>
      <c r="C122" s="15">
        <v>0</v>
      </c>
      <c r="D122" s="15">
        <f t="shared" si="15"/>
        <v>30</v>
      </c>
      <c r="E122" s="15" t="s">
        <v>3343</v>
      </c>
      <c r="F122" s="15">
        <f t="shared" si="16"/>
        <v>10</v>
      </c>
      <c r="G122" s="15" t="str">
        <f t="shared" si="17"/>
        <v>[10]</v>
      </c>
      <c r="H122">
        <v>1</v>
      </c>
      <c r="I122">
        <f t="shared" si="18"/>
        <v>41</v>
      </c>
      <c r="J122">
        <v>1</v>
      </c>
      <c r="K122">
        <f t="shared" si="19"/>
        <v>2</v>
      </c>
      <c r="L122" s="45">
        <f t="shared" si="20"/>
        <v>30</v>
      </c>
      <c r="M122" s="45">
        <f t="shared" si="21"/>
        <v>30</v>
      </c>
      <c r="N122">
        <f t="shared" si="22"/>
        <v>10</v>
      </c>
      <c r="O122" t="str">
        <f t="shared" si="23"/>
        <v>true</v>
      </c>
    </row>
    <row r="123" spans="1:15" ht="15.75" x14ac:dyDescent="0.3">
      <c r="A123" s="15" t="s">
        <v>3383</v>
      </c>
      <c r="B123" s="15">
        <f t="shared" si="14"/>
        <v>80</v>
      </c>
      <c r="C123" s="15">
        <v>0</v>
      </c>
      <c r="D123" s="15">
        <f t="shared" si="15"/>
        <v>80</v>
      </c>
      <c r="E123" s="15" t="s">
        <v>3343</v>
      </c>
      <c r="F123" s="15">
        <f t="shared" si="16"/>
        <v>10</v>
      </c>
      <c r="G123" s="15" t="str">
        <f t="shared" si="17"/>
        <v>[10]</v>
      </c>
      <c r="H123">
        <v>1</v>
      </c>
      <c r="I123">
        <f t="shared" si="18"/>
        <v>41</v>
      </c>
      <c r="J123">
        <v>2</v>
      </c>
      <c r="K123">
        <f t="shared" si="19"/>
        <v>2</v>
      </c>
      <c r="L123" s="45">
        <f t="shared" si="20"/>
        <v>80</v>
      </c>
      <c r="M123" s="45">
        <f t="shared" si="21"/>
        <v>80</v>
      </c>
      <c r="N123">
        <f t="shared" si="22"/>
        <v>15</v>
      </c>
      <c r="O123" t="str">
        <f t="shared" si="23"/>
        <v>true</v>
      </c>
    </row>
    <row r="124" spans="1:15" ht="15.75" x14ac:dyDescent="0.3">
      <c r="A124" s="15" t="s">
        <v>3383</v>
      </c>
      <c r="B124" s="15">
        <f t="shared" si="14"/>
        <v>200</v>
      </c>
      <c r="C124" s="15">
        <v>0</v>
      </c>
      <c r="D124" s="15">
        <f t="shared" si="15"/>
        <v>200</v>
      </c>
      <c r="E124" s="15" t="s">
        <v>3343</v>
      </c>
      <c r="F124" s="15">
        <f t="shared" si="16"/>
        <v>10</v>
      </c>
      <c r="G124" s="15" t="str">
        <f t="shared" si="17"/>
        <v>[10]</v>
      </c>
      <c r="H124">
        <v>1</v>
      </c>
      <c r="I124">
        <f t="shared" si="18"/>
        <v>41</v>
      </c>
      <c r="J124">
        <v>3</v>
      </c>
      <c r="K124">
        <f t="shared" si="19"/>
        <v>2</v>
      </c>
      <c r="L124" s="45">
        <f t="shared" si="20"/>
        <v>200</v>
      </c>
      <c r="M124" s="45">
        <f t="shared" si="21"/>
        <v>200</v>
      </c>
      <c r="N124">
        <f t="shared" si="22"/>
        <v>20</v>
      </c>
      <c r="O124" t="str">
        <f t="shared" si="23"/>
        <v>true</v>
      </c>
    </row>
  </sheetData>
  <phoneticPr fontId="34" type="noConversion"/>
  <conditionalFormatting sqref="L2:L124">
    <cfRule type="dataBar" priority="1">
      <dataBar>
        <cfvo type="min"/>
        <cfvo type="max"/>
        <color rgb="FFFFB628"/>
      </dataBar>
      <extLst>
        <ext xmlns:x14="http://schemas.microsoft.com/office/spreadsheetml/2009/9/main" uri="{B025F937-C7B1-47D3-B67F-A62EFF666E3E}">
          <x14:id>{B3AFA7DC-CEB4-41C4-B2A3-EE2923158E98}</x14:id>
        </ext>
      </extLst>
    </cfRule>
  </conditionalFormatting>
  <conditionalFormatting sqref="V2:V6">
    <cfRule type="dataBar" priority="2">
      <dataBar>
        <cfvo type="min"/>
        <cfvo type="max"/>
        <color rgb="FF63C384"/>
      </dataBar>
      <extLst>
        <ext xmlns:x14="http://schemas.microsoft.com/office/spreadsheetml/2009/9/main" uri="{B025F937-C7B1-47D3-B67F-A62EFF666E3E}">
          <x14:id>{76B698DB-1BF0-45B9-845A-1943665C12A5}</x14:id>
        </ext>
      </extLst>
    </cfRule>
  </conditionalFormatting>
  <conditionalFormatting sqref="L2:M124">
    <cfRule type="dataBar" priority="3">
      <dataBar>
        <cfvo type="min"/>
        <cfvo type="max"/>
        <color theme="8" tint="0.39994506668294322"/>
      </dataBar>
      <extLst>
        <ext xmlns:x14="http://schemas.microsoft.com/office/spreadsheetml/2009/9/main" uri="{B025F937-C7B1-47D3-B67F-A62EFF666E3E}">
          <x14:id>{3D08C00B-2AF1-4EB2-9061-A5742E59F830}</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3AFA7DC-CEB4-41C4-B2A3-EE2923158E98}">
            <x14:dataBar minLength="0" maxLength="100" gradient="0">
              <x14:cfvo type="autoMin"/>
              <x14:cfvo type="autoMax"/>
              <x14:negativeFillColor rgb="FFFF0000"/>
              <x14:axisColor rgb="FF000000"/>
            </x14:dataBar>
          </x14:cfRule>
          <xm:sqref>L2:L124</xm:sqref>
        </x14:conditionalFormatting>
        <x14:conditionalFormatting xmlns:xm="http://schemas.microsoft.com/office/excel/2006/main">
          <x14:cfRule type="dataBar" id="{76B698DB-1BF0-45B9-845A-1943665C12A5}">
            <x14:dataBar minLength="0" maxLength="100" gradient="0">
              <x14:cfvo type="autoMin"/>
              <x14:cfvo type="autoMax"/>
              <x14:negativeFillColor rgb="FFFF0000"/>
              <x14:axisColor rgb="FF000000"/>
            </x14:dataBar>
          </x14:cfRule>
          <xm:sqref>V2:V6</xm:sqref>
        </x14:conditionalFormatting>
        <x14:conditionalFormatting xmlns:xm="http://schemas.microsoft.com/office/excel/2006/main">
          <x14:cfRule type="dataBar" id="{3D08C00B-2AF1-4EB2-9061-A5742E59F830}">
            <x14:dataBar minLength="0" maxLength="100" gradient="0">
              <x14:cfvo type="autoMin"/>
              <x14:cfvo type="autoMax"/>
              <x14:negativeFillColor rgb="FFFF0000"/>
              <x14:axisColor rgb="FF000000"/>
            </x14:dataBar>
          </x14:cfRule>
          <xm:sqref>L2:M124</xm:sqref>
        </x14:conditionalFormatting>
      </x14:conditionalFormatting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47"/>
  <sheetViews>
    <sheetView topLeftCell="AA1" workbookViewId="0">
      <selection activeCell="AR39" sqref="AR39"/>
    </sheetView>
  </sheetViews>
  <sheetFormatPr defaultColWidth="9" defaultRowHeight="14.25" x14ac:dyDescent="0.3"/>
  <cols>
    <col min="1" max="25" width="9" style="1" hidden="1" customWidth="1"/>
    <col min="26" max="26" width="2.875" style="1" hidden="1" customWidth="1"/>
    <col min="27" max="27" width="34.875" style="1" customWidth="1"/>
    <col min="28" max="16384" width="9" style="1"/>
  </cols>
  <sheetData>
    <row r="1" spans="2:29" x14ac:dyDescent="0.3">
      <c r="AA1" s="43" t="s">
        <v>3041</v>
      </c>
      <c r="AB1" s="43" t="s">
        <v>275</v>
      </c>
    </row>
    <row r="2" spans="2:29" x14ac:dyDescent="0.3">
      <c r="B2" s="2" t="s">
        <v>3384</v>
      </c>
      <c r="C2" s="2">
        <f>SUM(C12:E15)</f>
        <v>600</v>
      </c>
      <c r="AA2" s="3" t="s">
        <v>3385</v>
      </c>
      <c r="AB2" s="2">
        <v>100</v>
      </c>
      <c r="AC2" s="1" t="str">
        <f t="shared" ref="AC2:AC17" si="0">"[10,"&amp;AB2&amp;"]"</f>
        <v>[10,100]</v>
      </c>
    </row>
    <row r="3" spans="2:29" x14ac:dyDescent="0.3">
      <c r="B3" s="2" t="s">
        <v>3386</v>
      </c>
      <c r="C3" s="41">
        <v>0.3</v>
      </c>
      <c r="AA3" s="3" t="s">
        <v>3387</v>
      </c>
      <c r="AB3" s="2">
        <v>120</v>
      </c>
      <c r="AC3" s="1" t="str">
        <f t="shared" si="0"/>
        <v>[10,120]</v>
      </c>
    </row>
    <row r="4" spans="2:29" x14ac:dyDescent="0.3">
      <c r="B4" s="2" t="s">
        <v>3388</v>
      </c>
      <c r="C4" s="42">
        <f>C3*C2</f>
        <v>180</v>
      </c>
      <c r="AA4" s="3" t="s">
        <v>3389</v>
      </c>
      <c r="AB4" s="2">
        <v>200</v>
      </c>
      <c r="AC4" s="1" t="str">
        <f t="shared" si="0"/>
        <v>[10,200]</v>
      </c>
    </row>
    <row r="5" spans="2:29" x14ac:dyDescent="0.3">
      <c r="B5" s="2" t="s">
        <v>3390</v>
      </c>
      <c r="C5" s="42" t="e">
        <f>#REF!</f>
        <v>#REF!</v>
      </c>
      <c r="AA5" s="3" t="s">
        <v>3391</v>
      </c>
      <c r="AB5" s="2">
        <v>800</v>
      </c>
      <c r="AC5" s="1" t="str">
        <f t="shared" si="0"/>
        <v>[10,800]</v>
      </c>
    </row>
    <row r="6" spans="2:29" x14ac:dyDescent="0.3">
      <c r="B6" s="2" t="s">
        <v>3392</v>
      </c>
      <c r="C6" s="2">
        <f>(H19*D19+H20*D20+H21*D21+H22*D22)/(C19*D19+C20*D20+C21*D21+C22*D22)</f>
        <v>5.416666666666667</v>
      </c>
      <c r="AA6" s="3" t="s">
        <v>3393</v>
      </c>
      <c r="AB6" s="2">
        <v>150</v>
      </c>
      <c r="AC6" s="1" t="str">
        <f t="shared" si="0"/>
        <v>[10,150]</v>
      </c>
    </row>
    <row r="7" spans="2:29" x14ac:dyDescent="0.3">
      <c r="B7" s="2" t="s">
        <v>3394</v>
      </c>
      <c r="C7" s="42" t="e">
        <f>C2/C5</f>
        <v>#REF!</v>
      </c>
      <c r="AA7" s="3" t="s">
        <v>3395</v>
      </c>
      <c r="AB7" s="2">
        <v>500</v>
      </c>
      <c r="AC7" s="1" t="str">
        <f t="shared" si="0"/>
        <v>[10,500]</v>
      </c>
    </row>
    <row r="8" spans="2:29" x14ac:dyDescent="0.3">
      <c r="B8" s="2" t="s">
        <v>3396</v>
      </c>
      <c r="C8" s="33">
        <v>3</v>
      </c>
      <c r="AA8" s="3" t="s">
        <v>3397</v>
      </c>
      <c r="AB8" s="2">
        <v>300</v>
      </c>
      <c r="AC8" s="1" t="str">
        <f t="shared" si="0"/>
        <v>[10,300]</v>
      </c>
    </row>
    <row r="9" spans="2:29" x14ac:dyDescent="0.3">
      <c r="AA9" s="3" t="s">
        <v>3398</v>
      </c>
      <c r="AB9" s="2">
        <v>250</v>
      </c>
      <c r="AC9" s="1" t="str">
        <f t="shared" si="0"/>
        <v>[10,250]</v>
      </c>
    </row>
    <row r="10" spans="2:29" x14ac:dyDescent="0.3">
      <c r="B10" s="263" t="s">
        <v>3399</v>
      </c>
      <c r="C10" s="264"/>
      <c r="D10" s="264"/>
      <c r="E10" s="264"/>
      <c r="F10" s="265"/>
      <c r="G10" s="263" t="s">
        <v>3400</v>
      </c>
      <c r="H10" s="264"/>
      <c r="I10" s="265"/>
      <c r="AA10" s="3" t="s">
        <v>3401</v>
      </c>
      <c r="AB10" s="2">
        <v>200</v>
      </c>
      <c r="AC10" s="1" t="str">
        <f t="shared" si="0"/>
        <v>[10,200]</v>
      </c>
    </row>
    <row r="11" spans="2:29" x14ac:dyDescent="0.3">
      <c r="B11" s="2" t="s">
        <v>3058</v>
      </c>
      <c r="C11" s="2" t="s">
        <v>3402</v>
      </c>
      <c r="D11" s="2" t="s">
        <v>3403</v>
      </c>
      <c r="E11" s="2" t="s">
        <v>3404</v>
      </c>
      <c r="F11" s="2" t="s">
        <v>3405</v>
      </c>
      <c r="G11" s="2" t="s">
        <v>3406</v>
      </c>
      <c r="H11" s="2" t="s">
        <v>3407</v>
      </c>
      <c r="I11" s="2" t="s">
        <v>3408</v>
      </c>
      <c r="AA11" s="3" t="s">
        <v>3409</v>
      </c>
      <c r="AB11" s="2">
        <v>300</v>
      </c>
      <c r="AC11" s="1" t="str">
        <f t="shared" si="0"/>
        <v>[10,300]</v>
      </c>
    </row>
    <row r="12" spans="2:29" x14ac:dyDescent="0.3">
      <c r="B12" s="2" t="s">
        <v>3410</v>
      </c>
      <c r="C12" s="21">
        <v>10</v>
      </c>
      <c r="D12" s="21">
        <v>10</v>
      </c>
      <c r="E12" s="21">
        <v>10</v>
      </c>
      <c r="F12" s="2">
        <f>C12+D12+E12</f>
        <v>30</v>
      </c>
      <c r="G12" s="2"/>
      <c r="H12" s="2"/>
      <c r="I12" s="2"/>
      <c r="AA12" s="3" t="s">
        <v>3411</v>
      </c>
      <c r="AB12" s="2">
        <v>1000</v>
      </c>
      <c r="AC12" s="1" t="str">
        <f t="shared" si="0"/>
        <v>[10,1000]</v>
      </c>
    </row>
    <row r="13" spans="2:29" x14ac:dyDescent="0.3">
      <c r="B13" s="2" t="s">
        <v>3412</v>
      </c>
      <c r="C13" s="21">
        <v>50</v>
      </c>
      <c r="D13" s="21">
        <v>50</v>
      </c>
      <c r="E13" s="21">
        <v>50</v>
      </c>
      <c r="F13" s="2">
        <f>C13+D13+E13</f>
        <v>150</v>
      </c>
      <c r="G13" s="34">
        <f>G14*$F$13/$F$14</f>
        <v>0.27777777777777779</v>
      </c>
      <c r="H13" s="34">
        <f>H14*$F$13/$F$14</f>
        <v>0.27777777777777779</v>
      </c>
      <c r="I13" s="34">
        <f>I14*$F$13/$F$14</f>
        <v>0.27777777777777779</v>
      </c>
      <c r="AA13" s="3" t="s">
        <v>3413</v>
      </c>
      <c r="AB13" s="2">
        <v>150</v>
      </c>
      <c r="AC13" s="1" t="str">
        <f t="shared" si="0"/>
        <v>[10,150]</v>
      </c>
    </row>
    <row r="14" spans="2:29" x14ac:dyDescent="0.3">
      <c r="B14" s="2" t="s">
        <v>3414</v>
      </c>
      <c r="C14" s="21">
        <v>60</v>
      </c>
      <c r="D14" s="21">
        <v>60</v>
      </c>
      <c r="E14" s="21">
        <v>60</v>
      </c>
      <c r="F14" s="2">
        <f>C14+D14+E14</f>
        <v>180</v>
      </c>
      <c r="G14" s="34">
        <f>C14/$F$14</f>
        <v>0.33333333333333331</v>
      </c>
      <c r="H14" s="34">
        <f>D14/$F$14</f>
        <v>0.33333333333333331</v>
      </c>
      <c r="I14" s="34">
        <f>E14/$F$14</f>
        <v>0.33333333333333331</v>
      </c>
      <c r="AA14" s="3" t="s">
        <v>3415</v>
      </c>
      <c r="AB14" s="2">
        <v>300</v>
      </c>
      <c r="AC14" s="1" t="str">
        <f t="shared" si="0"/>
        <v>[10,300]</v>
      </c>
    </row>
    <row r="15" spans="2:29" x14ac:dyDescent="0.3">
      <c r="B15" s="2" t="s">
        <v>3416</v>
      </c>
      <c r="C15" s="21">
        <v>80</v>
      </c>
      <c r="D15" s="21">
        <v>80</v>
      </c>
      <c r="E15" s="21">
        <v>80</v>
      </c>
      <c r="F15" s="2">
        <f>C15+D15+E15</f>
        <v>240</v>
      </c>
      <c r="G15" s="34">
        <f>G14*$F$15/$F$14</f>
        <v>0.44444444444444442</v>
      </c>
      <c r="H15" s="34">
        <f>H14*$F$15/$F$14</f>
        <v>0.44444444444444442</v>
      </c>
      <c r="I15" s="34">
        <f>I14*$F$15/$F$14</f>
        <v>0.44444444444444442</v>
      </c>
      <c r="AA15" s="3" t="s">
        <v>3417</v>
      </c>
      <c r="AB15" s="2">
        <v>500</v>
      </c>
      <c r="AC15" s="1" t="str">
        <f t="shared" si="0"/>
        <v>[10,500]</v>
      </c>
    </row>
    <row r="16" spans="2:29" x14ac:dyDescent="0.3">
      <c r="AA16" s="3" t="s">
        <v>3418</v>
      </c>
      <c r="AB16" s="2">
        <v>200</v>
      </c>
      <c r="AC16" s="1" t="str">
        <f t="shared" si="0"/>
        <v>[10,200]</v>
      </c>
    </row>
    <row r="17" spans="2:36" x14ac:dyDescent="0.3">
      <c r="B17" s="263" t="s">
        <v>3419</v>
      </c>
      <c r="C17" s="264"/>
      <c r="D17" s="264"/>
      <c r="E17" s="264"/>
      <c r="F17" s="264"/>
      <c r="G17" s="264"/>
      <c r="H17" s="265"/>
      <c r="AA17" s="3" t="s">
        <v>3420</v>
      </c>
      <c r="AB17" s="2">
        <v>400</v>
      </c>
      <c r="AC17" s="1" t="str">
        <f t="shared" si="0"/>
        <v>[10,400]</v>
      </c>
    </row>
    <row r="18" spans="2:36" x14ac:dyDescent="0.3">
      <c r="B18" s="2" t="s">
        <v>3421</v>
      </c>
      <c r="C18" s="2" t="s">
        <v>3422</v>
      </c>
      <c r="D18" s="2" t="s">
        <v>3423</v>
      </c>
      <c r="E18" s="2" t="s">
        <v>3424</v>
      </c>
      <c r="F18" s="2" t="s">
        <v>3425</v>
      </c>
      <c r="G18" s="2" t="s">
        <v>3426</v>
      </c>
      <c r="H18" s="2" t="s">
        <v>317</v>
      </c>
    </row>
    <row r="19" spans="2:36" x14ac:dyDescent="0.3">
      <c r="B19" s="2" t="s">
        <v>2777</v>
      </c>
      <c r="C19" s="41">
        <v>0.3</v>
      </c>
      <c r="D19" s="21">
        <v>8</v>
      </c>
      <c r="E19" s="2">
        <f>ROUND(C19*$C$2,0)</f>
        <v>180</v>
      </c>
      <c r="F19" s="42">
        <f>E19*$C$3</f>
        <v>54</v>
      </c>
      <c r="G19" s="2" t="e">
        <f>ROUND(E19/$C$7,0)</f>
        <v>#REF!</v>
      </c>
      <c r="H19" s="21">
        <v>2</v>
      </c>
      <c r="AA19" s="43" t="s">
        <v>3427</v>
      </c>
      <c r="AB19" s="44" t="s">
        <v>275</v>
      </c>
      <c r="AC19" s="44" t="s">
        <v>3428</v>
      </c>
      <c r="AD19" s="2" t="s">
        <v>578</v>
      </c>
      <c r="AE19" s="2" t="s">
        <v>579</v>
      </c>
    </row>
    <row r="20" spans="2:36" x14ac:dyDescent="0.3">
      <c r="B20" s="2" t="s">
        <v>2779</v>
      </c>
      <c r="C20" s="41">
        <v>0.6</v>
      </c>
      <c r="D20" s="21">
        <v>4</v>
      </c>
      <c r="E20" s="2">
        <f>ROUND(C20*$C$2,0)</f>
        <v>360</v>
      </c>
      <c r="F20" s="42">
        <f>E20*$C$3</f>
        <v>108</v>
      </c>
      <c r="G20" s="2" t="e">
        <f>ROUND(E20/$C$7,0)</f>
        <v>#REF!</v>
      </c>
      <c r="H20" s="21">
        <v>4</v>
      </c>
      <c r="AA20" s="3">
        <v>30</v>
      </c>
      <c r="AB20" s="2">
        <v>500</v>
      </c>
      <c r="AC20" s="2" t="s">
        <v>2777</v>
      </c>
      <c r="AD20" s="2">
        <v>40002</v>
      </c>
      <c r="AE20" s="2">
        <v>1</v>
      </c>
      <c r="AF20" s="1" t="str">
        <f>"[102,"&amp;AD20&amp;"]"</f>
        <v>[102,40002]</v>
      </c>
      <c r="AG20" s="1" t="str">
        <f>"["&amp;AB20&amp;","&amp;AE20&amp;"]"</f>
        <v>[500,1]</v>
      </c>
    </row>
    <row r="21" spans="2:36" x14ac:dyDescent="0.3">
      <c r="B21" s="2" t="s">
        <v>2780</v>
      </c>
      <c r="C21" s="41">
        <v>1.2</v>
      </c>
      <c r="D21" s="21">
        <v>2</v>
      </c>
      <c r="E21" s="2">
        <f>ROUND(C21*$C$2,0)</f>
        <v>720</v>
      </c>
      <c r="F21" s="42">
        <f>E21*$C$3</f>
        <v>216</v>
      </c>
      <c r="G21" s="2" t="e">
        <f>ROUND(E21/$C$7,0)</f>
        <v>#REF!</v>
      </c>
      <c r="H21" s="21">
        <v>6</v>
      </c>
      <c r="AA21" s="3">
        <v>60</v>
      </c>
      <c r="AB21" s="2">
        <v>1000</v>
      </c>
      <c r="AC21" s="2" t="s">
        <v>280</v>
      </c>
      <c r="AD21" s="2">
        <v>105</v>
      </c>
      <c r="AE21" s="2">
        <v>10</v>
      </c>
      <c r="AF21" s="1" t="str">
        <f>"[102,"&amp;AD21&amp;"]"</f>
        <v>[102,105]</v>
      </c>
      <c r="AG21" s="1" t="str">
        <f>"["&amp;AB21&amp;","&amp;AE21&amp;"]"</f>
        <v>[1000,10]</v>
      </c>
    </row>
    <row r="22" spans="2:36" x14ac:dyDescent="0.3">
      <c r="B22" s="2" t="s">
        <v>2782</v>
      </c>
      <c r="C22" s="41">
        <v>2.4</v>
      </c>
      <c r="D22" s="21">
        <v>1</v>
      </c>
      <c r="E22" s="2">
        <f>ROUND(C22*$C$2,0)</f>
        <v>1440</v>
      </c>
      <c r="F22" s="42">
        <f>E22*$C$3</f>
        <v>432</v>
      </c>
      <c r="G22" s="2" t="e">
        <f>ROUND(E22/$C$7,0)</f>
        <v>#REF!</v>
      </c>
      <c r="H22" s="21">
        <v>8</v>
      </c>
      <c r="AA22" s="3">
        <v>90</v>
      </c>
      <c r="AB22" s="2">
        <v>1500</v>
      </c>
      <c r="AC22" s="2" t="s">
        <v>2777</v>
      </c>
      <c r="AD22" s="2">
        <v>40002</v>
      </c>
      <c r="AE22" s="2">
        <v>1</v>
      </c>
      <c r="AF22" s="1" t="str">
        <f>"[102,"&amp;AD22&amp;"]"</f>
        <v>[102,40002]</v>
      </c>
      <c r="AG22" s="1" t="str">
        <f>"["&amp;AB22&amp;","&amp;AE22&amp;"]"</f>
        <v>[1500,1]</v>
      </c>
    </row>
    <row r="23" spans="2:36" x14ac:dyDescent="0.3">
      <c r="AA23" s="3">
        <v>120</v>
      </c>
      <c r="AB23" s="2">
        <v>2000</v>
      </c>
      <c r="AC23" s="2" t="s">
        <v>519</v>
      </c>
      <c r="AD23" s="2">
        <v>111</v>
      </c>
      <c r="AE23" s="2">
        <v>20</v>
      </c>
      <c r="AF23" s="1" t="str">
        <f>"[102,"&amp;AD23&amp;"]"</f>
        <v>[102,111]</v>
      </c>
      <c r="AG23" s="1" t="str">
        <f>"["&amp;AB23&amp;","&amp;AE23&amp;"]"</f>
        <v>[2000,20]</v>
      </c>
    </row>
    <row r="24" spans="2:36" x14ac:dyDescent="0.3">
      <c r="AA24" s="3">
        <v>150</v>
      </c>
      <c r="AB24" s="2">
        <v>3000</v>
      </c>
      <c r="AC24" s="2" t="s">
        <v>2779</v>
      </c>
      <c r="AD24" s="2">
        <v>40003</v>
      </c>
      <c r="AE24" s="2">
        <v>1</v>
      </c>
      <c r="AF24" s="1" t="str">
        <f>"[102,"&amp;AD24&amp;"]"</f>
        <v>[102,40003]</v>
      </c>
      <c r="AG24" s="1" t="str">
        <f>"["&amp;AB24&amp;","&amp;AE24&amp;"]"</f>
        <v>[3000,1]</v>
      </c>
    </row>
    <row r="25" spans="2:36" x14ac:dyDescent="0.3">
      <c r="B25" s="2" t="s">
        <v>3429</v>
      </c>
      <c r="C25" s="2" t="s">
        <v>3430</v>
      </c>
      <c r="D25" s="2" t="s">
        <v>3431</v>
      </c>
      <c r="E25" s="2" t="s">
        <v>3432</v>
      </c>
      <c r="F25" s="2" t="s">
        <v>3433</v>
      </c>
      <c r="G25" s="2" t="s">
        <v>3434</v>
      </c>
      <c r="H25" s="2" t="s">
        <v>3435</v>
      </c>
      <c r="I25" s="2" t="s">
        <v>3436</v>
      </c>
      <c r="J25" s="2" t="s">
        <v>3437</v>
      </c>
      <c r="K25" s="2" t="s">
        <v>3438</v>
      </c>
      <c r="L25" s="2" t="s">
        <v>3439</v>
      </c>
      <c r="M25" s="2" t="s">
        <v>3440</v>
      </c>
      <c r="N25" s="2" t="s">
        <v>3441</v>
      </c>
      <c r="O25" s="2" t="s">
        <v>3442</v>
      </c>
      <c r="P25" s="2" t="s">
        <v>3443</v>
      </c>
      <c r="Q25" s="2" t="s">
        <v>3444</v>
      </c>
    </row>
    <row r="26" spans="2:36" x14ac:dyDescent="0.3">
      <c r="B26" s="2">
        <v>1</v>
      </c>
      <c r="C26" s="2">
        <v>40002</v>
      </c>
      <c r="D26" s="2">
        <v>40003</v>
      </c>
      <c r="E26" s="2">
        <v>40003</v>
      </c>
      <c r="F26" s="2">
        <v>40005</v>
      </c>
      <c r="G26" s="2">
        <v>40003</v>
      </c>
      <c r="H26" s="2">
        <v>40002</v>
      </c>
      <c r="I26" s="2">
        <v>40002</v>
      </c>
      <c r="J26" s="2">
        <v>40003</v>
      </c>
      <c r="K26" s="2">
        <v>40004</v>
      </c>
      <c r="L26" s="2">
        <v>40002</v>
      </c>
      <c r="M26" s="2">
        <v>40002</v>
      </c>
      <c r="N26" s="2">
        <v>40002</v>
      </c>
      <c r="O26" s="2">
        <v>40002</v>
      </c>
      <c r="P26" s="2">
        <v>40004</v>
      </c>
      <c r="Q26" s="2">
        <v>40002</v>
      </c>
      <c r="R26" s="36" t="str">
        <f>CONCATENATE("[",C26,",",D26,",",E26,",",F26,",",G26,",",H26,",",I26,",",J26,",",K26,",",L26,",",M26,",",N26,",",O26,",",P26,",",Q26,"]")</f>
        <v>[40002,40003,40003,40005,40003,40002,40002,40003,40004,40002,40002,40002,40002,40004,40002]</v>
      </c>
      <c r="AA26" s="43" t="s">
        <v>3445</v>
      </c>
      <c r="AB26" s="2" t="s">
        <v>275</v>
      </c>
      <c r="AC26" s="2" t="s">
        <v>3428</v>
      </c>
      <c r="AD26" s="2" t="s">
        <v>578</v>
      </c>
      <c r="AE26" s="2" t="s">
        <v>579</v>
      </c>
      <c r="AF26" s="2" t="s">
        <v>3428</v>
      </c>
      <c r="AG26" s="2" t="s">
        <v>578</v>
      </c>
      <c r="AH26" s="2" t="s">
        <v>579</v>
      </c>
    </row>
    <row r="27" spans="2:36" x14ac:dyDescent="0.3">
      <c r="B27" s="2">
        <v>2</v>
      </c>
      <c r="C27" s="2">
        <v>40002</v>
      </c>
      <c r="D27" s="2">
        <v>40003</v>
      </c>
      <c r="E27" s="2">
        <v>40002</v>
      </c>
      <c r="F27" s="2">
        <v>40003</v>
      </c>
      <c r="G27" s="2">
        <v>40002</v>
      </c>
      <c r="H27" s="2">
        <v>40004</v>
      </c>
      <c r="I27" s="2">
        <v>40002</v>
      </c>
      <c r="J27" s="2">
        <v>40002</v>
      </c>
      <c r="K27" s="2">
        <v>40002</v>
      </c>
      <c r="L27" s="2">
        <v>40005</v>
      </c>
      <c r="M27" s="2">
        <v>40002</v>
      </c>
      <c r="N27" s="2">
        <v>40003</v>
      </c>
      <c r="O27" s="2">
        <v>40003</v>
      </c>
      <c r="P27" s="2">
        <v>40004</v>
      </c>
      <c r="Q27" s="2">
        <v>40002</v>
      </c>
      <c r="R27" s="36" t="str">
        <f t="shared" ref="R27:R35" si="1">CONCATENATE("[",C27,",",D27,",",E27,",",F27,",",G27,",",H27,",",I27,",",J27,",",K27,",",L27,",",M27,",",N27,",",O27,",",P27,",",Q27,"]")</f>
        <v>[40002,40003,40002,40003,40002,40004,40002,40002,40002,40005,40002,40003,40003,40004,40002]</v>
      </c>
      <c r="AA27" s="3">
        <v>500</v>
      </c>
      <c r="AB27" s="2">
        <v>5000</v>
      </c>
      <c r="AC27" s="2" t="s">
        <v>2780</v>
      </c>
      <c r="AD27" s="2">
        <v>40004</v>
      </c>
      <c r="AE27" s="2">
        <v>1</v>
      </c>
      <c r="AF27" s="2"/>
      <c r="AG27" s="2"/>
      <c r="AH27" s="2"/>
      <c r="AI27" s="1" t="str">
        <f>"[102,"&amp;AD27&amp;"]"</f>
        <v>[102,40004]</v>
      </c>
      <c r="AJ27" s="1" t="str">
        <f>"["&amp;AB27&amp;","&amp;AE27&amp;"]"</f>
        <v>[5000,1]</v>
      </c>
    </row>
    <row r="28" spans="2:36" x14ac:dyDescent="0.3">
      <c r="B28" s="2">
        <v>3</v>
      </c>
      <c r="C28" s="2">
        <v>40002</v>
      </c>
      <c r="D28" s="2">
        <v>40003</v>
      </c>
      <c r="E28" s="2">
        <v>40002</v>
      </c>
      <c r="F28" s="2">
        <v>40004</v>
      </c>
      <c r="G28" s="2">
        <v>40003</v>
      </c>
      <c r="H28" s="2">
        <v>40004</v>
      </c>
      <c r="I28" s="2">
        <v>40002</v>
      </c>
      <c r="J28" s="2">
        <v>40005</v>
      </c>
      <c r="K28" s="2">
        <v>40002</v>
      </c>
      <c r="L28" s="2">
        <v>40002</v>
      </c>
      <c r="M28" s="2">
        <v>40002</v>
      </c>
      <c r="N28" s="2">
        <v>40002</v>
      </c>
      <c r="O28" s="2">
        <v>40003</v>
      </c>
      <c r="P28" s="2">
        <v>40003</v>
      </c>
      <c r="Q28" s="2">
        <v>40002</v>
      </c>
      <c r="R28" s="36" t="str">
        <f t="shared" si="1"/>
        <v>[40002,40003,40002,40004,40003,40004,40002,40005,40002,40002,40002,40002,40003,40003,40002]</v>
      </c>
      <c r="AA28" s="3">
        <v>1000</v>
      </c>
      <c r="AB28" s="2">
        <v>10000</v>
      </c>
      <c r="AC28" s="2" t="s">
        <v>325</v>
      </c>
      <c r="AD28" s="2">
        <v>101</v>
      </c>
      <c r="AE28" s="2">
        <v>50</v>
      </c>
      <c r="AF28" s="2" t="s">
        <v>2782</v>
      </c>
      <c r="AG28" s="2">
        <v>40005</v>
      </c>
      <c r="AH28" s="2">
        <v>1</v>
      </c>
      <c r="AI28" s="1" t="s">
        <v>3446</v>
      </c>
      <c r="AJ28" s="1" t="s">
        <v>3447</v>
      </c>
    </row>
    <row r="29" spans="2:36" x14ac:dyDescent="0.3">
      <c r="B29" s="2">
        <v>4</v>
      </c>
      <c r="C29" s="2">
        <v>40002</v>
      </c>
      <c r="D29" s="2">
        <v>40002</v>
      </c>
      <c r="E29" s="2">
        <v>40003</v>
      </c>
      <c r="F29" s="2">
        <v>40002</v>
      </c>
      <c r="G29" s="2">
        <v>40003</v>
      </c>
      <c r="H29" s="2">
        <v>40002</v>
      </c>
      <c r="I29" s="2">
        <v>40004</v>
      </c>
      <c r="J29" s="2">
        <v>40002</v>
      </c>
      <c r="K29" s="2">
        <v>40002</v>
      </c>
      <c r="L29" s="2">
        <v>40002</v>
      </c>
      <c r="M29" s="2">
        <v>40003</v>
      </c>
      <c r="N29" s="2">
        <v>40002</v>
      </c>
      <c r="O29" s="2">
        <v>40004</v>
      </c>
      <c r="P29" s="2">
        <v>40005</v>
      </c>
      <c r="Q29" s="2">
        <v>40003</v>
      </c>
      <c r="R29" s="36" t="str">
        <f t="shared" si="1"/>
        <v>[40002,40002,40003,40002,40003,40002,40004,40002,40002,40002,40003,40002,40004,40005,40003]</v>
      </c>
    </row>
    <row r="30" spans="2:36" x14ac:dyDescent="0.3">
      <c r="B30" s="2">
        <v>5</v>
      </c>
      <c r="C30" s="2">
        <v>40002</v>
      </c>
      <c r="D30" s="2">
        <v>40003</v>
      </c>
      <c r="E30" s="2">
        <v>40002</v>
      </c>
      <c r="F30" s="2">
        <v>40003</v>
      </c>
      <c r="G30" s="2">
        <v>40004</v>
      </c>
      <c r="H30" s="2">
        <v>40005</v>
      </c>
      <c r="I30" s="2">
        <v>40003</v>
      </c>
      <c r="J30" s="2">
        <v>40004</v>
      </c>
      <c r="K30" s="2">
        <v>40002</v>
      </c>
      <c r="L30" s="2">
        <v>40002</v>
      </c>
      <c r="M30" s="2">
        <v>40002</v>
      </c>
      <c r="N30" s="2">
        <v>40003</v>
      </c>
      <c r="O30" s="2">
        <v>40002</v>
      </c>
      <c r="P30" s="2">
        <v>40002</v>
      </c>
      <c r="Q30" s="2">
        <v>40002</v>
      </c>
      <c r="R30" s="36" t="str">
        <f t="shared" si="1"/>
        <v>[40002,40003,40002,40003,40004,40005,40003,40004,40002,40002,40002,40003,40002,40002,40002]</v>
      </c>
    </row>
    <row r="31" spans="2:36" x14ac:dyDescent="0.3">
      <c r="B31" s="2">
        <v>6</v>
      </c>
      <c r="C31" s="2">
        <v>40002</v>
      </c>
      <c r="D31" s="2">
        <v>40005</v>
      </c>
      <c r="E31" s="2">
        <v>40003</v>
      </c>
      <c r="F31" s="2">
        <v>40003</v>
      </c>
      <c r="G31" s="2">
        <v>40004</v>
      </c>
      <c r="H31" s="2">
        <v>40003</v>
      </c>
      <c r="I31" s="2">
        <v>40002</v>
      </c>
      <c r="J31" s="2">
        <v>40002</v>
      </c>
      <c r="K31" s="2">
        <v>40004</v>
      </c>
      <c r="L31" s="2">
        <v>40002</v>
      </c>
      <c r="M31" s="2">
        <v>40002</v>
      </c>
      <c r="N31" s="2">
        <v>40002</v>
      </c>
      <c r="O31" s="2">
        <v>40002</v>
      </c>
      <c r="P31" s="2">
        <v>40003</v>
      </c>
      <c r="Q31" s="2">
        <v>40002</v>
      </c>
      <c r="R31" s="36" t="str">
        <f t="shared" si="1"/>
        <v>[40002,40005,40003,40003,40004,40003,40002,40002,40004,40002,40002,40002,40002,40003,40002]</v>
      </c>
    </row>
    <row r="32" spans="2:36" x14ac:dyDescent="0.3">
      <c r="B32" s="2">
        <v>7</v>
      </c>
      <c r="C32" s="2">
        <v>40002</v>
      </c>
      <c r="D32" s="2">
        <v>40003</v>
      </c>
      <c r="E32" s="2">
        <v>40002</v>
      </c>
      <c r="F32" s="2">
        <v>40002</v>
      </c>
      <c r="G32" s="2">
        <v>40002</v>
      </c>
      <c r="H32" s="2">
        <v>40003</v>
      </c>
      <c r="I32" s="2">
        <v>40005</v>
      </c>
      <c r="J32" s="2">
        <v>40002</v>
      </c>
      <c r="K32" s="2">
        <v>40002</v>
      </c>
      <c r="L32" s="2">
        <v>40004</v>
      </c>
      <c r="M32" s="2">
        <v>40003</v>
      </c>
      <c r="N32" s="2">
        <v>40002</v>
      </c>
      <c r="O32" s="2">
        <v>40002</v>
      </c>
      <c r="P32" s="2">
        <v>40004</v>
      </c>
      <c r="Q32" s="2">
        <v>40003</v>
      </c>
      <c r="R32" s="36" t="str">
        <f t="shared" si="1"/>
        <v>[40002,40003,40002,40002,40002,40003,40005,40002,40002,40004,40003,40002,40002,40004,40003]</v>
      </c>
    </row>
    <row r="33" spans="2:18" x14ac:dyDescent="0.3">
      <c r="B33" s="2">
        <v>8</v>
      </c>
      <c r="C33" s="2">
        <v>40002</v>
      </c>
      <c r="D33" s="2">
        <v>40003</v>
      </c>
      <c r="E33" s="2">
        <v>40004</v>
      </c>
      <c r="F33" s="2">
        <v>40002</v>
      </c>
      <c r="G33" s="2">
        <v>40002</v>
      </c>
      <c r="H33" s="2">
        <v>40003</v>
      </c>
      <c r="I33" s="2">
        <v>40002</v>
      </c>
      <c r="J33" s="2">
        <v>40002</v>
      </c>
      <c r="K33" s="2">
        <v>40002</v>
      </c>
      <c r="L33" s="2">
        <v>40004</v>
      </c>
      <c r="M33" s="2">
        <v>40003</v>
      </c>
      <c r="N33" s="2">
        <v>40002</v>
      </c>
      <c r="O33" s="2">
        <v>40005</v>
      </c>
      <c r="P33" s="2">
        <v>40003</v>
      </c>
      <c r="Q33" s="2">
        <v>40002</v>
      </c>
      <c r="R33" s="36" t="str">
        <f t="shared" si="1"/>
        <v>[40002,40003,40004,40002,40002,40003,40002,40002,40002,40004,40003,40002,40005,40003,40002]</v>
      </c>
    </row>
    <row r="34" spans="2:18" x14ac:dyDescent="0.3">
      <c r="B34" s="2">
        <v>9</v>
      </c>
      <c r="C34" s="2">
        <v>40002</v>
      </c>
      <c r="D34" s="2">
        <v>40002</v>
      </c>
      <c r="E34" s="2">
        <v>40002</v>
      </c>
      <c r="F34" s="2">
        <v>40004</v>
      </c>
      <c r="G34" s="2">
        <v>40003</v>
      </c>
      <c r="H34" s="2">
        <v>40002</v>
      </c>
      <c r="I34" s="2">
        <v>40004</v>
      </c>
      <c r="J34" s="2">
        <v>40003</v>
      </c>
      <c r="K34" s="2">
        <v>40002</v>
      </c>
      <c r="L34" s="2">
        <v>40005</v>
      </c>
      <c r="M34" s="2">
        <v>40003</v>
      </c>
      <c r="N34" s="2">
        <v>40002</v>
      </c>
      <c r="O34" s="2">
        <v>40003</v>
      </c>
      <c r="P34" s="2">
        <v>40002</v>
      </c>
      <c r="Q34" s="2">
        <v>40002</v>
      </c>
      <c r="R34" s="36" t="str">
        <f t="shared" si="1"/>
        <v>[40002,40002,40002,40004,40003,40002,40004,40003,40002,40005,40003,40002,40003,40002,40002]</v>
      </c>
    </row>
    <row r="35" spans="2:18" x14ac:dyDescent="0.3">
      <c r="B35" s="2">
        <v>10</v>
      </c>
      <c r="C35" s="2">
        <v>40002</v>
      </c>
      <c r="D35" s="2">
        <v>40003</v>
      </c>
      <c r="E35" s="2">
        <v>40002</v>
      </c>
      <c r="F35" s="2">
        <v>40002</v>
      </c>
      <c r="G35" s="2">
        <v>40002</v>
      </c>
      <c r="H35" s="2">
        <v>40004</v>
      </c>
      <c r="I35" s="2">
        <v>40005</v>
      </c>
      <c r="J35" s="2">
        <v>40002</v>
      </c>
      <c r="K35" s="2">
        <v>40002</v>
      </c>
      <c r="L35" s="2">
        <v>40003</v>
      </c>
      <c r="M35" s="2">
        <v>40002</v>
      </c>
      <c r="N35" s="2">
        <v>40004</v>
      </c>
      <c r="O35" s="2">
        <v>40003</v>
      </c>
      <c r="P35" s="2">
        <v>40002</v>
      </c>
      <c r="Q35" s="2">
        <v>40003</v>
      </c>
      <c r="R35" s="36" t="str">
        <f t="shared" si="1"/>
        <v>[40002,40003,40002,40002,40002,40004,40005,40002,40002,40003,40002,40004,40003,40002,40003]</v>
      </c>
    </row>
    <row r="36" spans="2:18" x14ac:dyDescent="0.3">
      <c r="B36" s="25"/>
      <c r="C36" s="25"/>
      <c r="D36" s="25"/>
      <c r="E36" s="25"/>
      <c r="F36" s="25"/>
      <c r="G36" s="25"/>
      <c r="H36" s="25"/>
      <c r="I36" s="25"/>
      <c r="J36" s="25"/>
      <c r="K36" s="25"/>
      <c r="L36" s="25"/>
      <c r="M36" s="25"/>
      <c r="N36" s="25"/>
      <c r="O36" s="25"/>
      <c r="P36" s="25"/>
      <c r="Q36" s="25"/>
      <c r="R36" s="36"/>
    </row>
    <row r="37" spans="2:18" x14ac:dyDescent="0.3">
      <c r="B37" s="2" t="s">
        <v>3448</v>
      </c>
      <c r="C37" s="2">
        <v>40002</v>
      </c>
      <c r="D37" s="2">
        <v>40003</v>
      </c>
      <c r="E37" s="2">
        <v>40002</v>
      </c>
      <c r="F37" s="2">
        <v>40004</v>
      </c>
      <c r="G37" s="2">
        <v>40002</v>
      </c>
      <c r="H37" s="2">
        <v>40005</v>
      </c>
      <c r="I37" s="2">
        <v>40002</v>
      </c>
      <c r="J37" s="2">
        <v>40003</v>
      </c>
      <c r="K37" s="2">
        <v>40002</v>
      </c>
      <c r="L37" s="2">
        <v>40004</v>
      </c>
      <c r="M37" s="2">
        <v>40002</v>
      </c>
      <c r="N37" s="2">
        <v>40003</v>
      </c>
      <c r="O37" s="2">
        <v>40002</v>
      </c>
      <c r="P37" s="2">
        <v>40003</v>
      </c>
      <c r="Q37" s="2">
        <v>40002</v>
      </c>
      <c r="R37" s="36"/>
    </row>
    <row r="38" spans="2:18" x14ac:dyDescent="0.3">
      <c r="C38" s="1">
        <v>0.3</v>
      </c>
      <c r="D38" s="1">
        <v>0.6</v>
      </c>
      <c r="E38" s="1">
        <v>0.3</v>
      </c>
      <c r="F38" s="1">
        <v>1.2</v>
      </c>
      <c r="G38" s="1">
        <v>0.3</v>
      </c>
      <c r="H38" s="1">
        <v>2.4</v>
      </c>
    </row>
    <row r="40" spans="2:18" x14ac:dyDescent="0.3">
      <c r="B40" s="2" t="s">
        <v>3449</v>
      </c>
      <c r="C40" s="2" t="s">
        <v>3058</v>
      </c>
      <c r="D40" s="2" t="s">
        <v>3450</v>
      </c>
      <c r="E40" s="2" t="s">
        <v>3451</v>
      </c>
      <c r="F40" s="2" t="s">
        <v>3452</v>
      </c>
      <c r="G40" s="2" t="s">
        <v>3453</v>
      </c>
      <c r="H40" s="2" t="s">
        <v>3454</v>
      </c>
      <c r="I40" s="2" t="s">
        <v>3406</v>
      </c>
      <c r="J40" s="2" t="s">
        <v>3407</v>
      </c>
      <c r="K40" s="2" t="s">
        <v>3408</v>
      </c>
      <c r="L40" s="2" t="s">
        <v>3455</v>
      </c>
      <c r="M40" s="2" t="s">
        <v>3456</v>
      </c>
      <c r="N40" s="2" t="s">
        <v>3457</v>
      </c>
      <c r="O40" s="2" t="s">
        <v>3458</v>
      </c>
      <c r="P40" s="2" t="s">
        <v>3459</v>
      </c>
      <c r="Q40" s="2" t="s">
        <v>3460</v>
      </c>
    </row>
    <row r="41" spans="2:18" x14ac:dyDescent="0.3">
      <c r="B41" s="2">
        <v>1</v>
      </c>
      <c r="C41" s="2" t="s">
        <v>3461</v>
      </c>
      <c r="D41" s="2" t="s">
        <v>3462</v>
      </c>
      <c r="E41" s="2" t="s">
        <v>3463</v>
      </c>
      <c r="F41" s="2">
        <v>3</v>
      </c>
      <c r="G41" s="2">
        <v>5</v>
      </c>
      <c r="H41" s="2">
        <v>10</v>
      </c>
      <c r="I41" s="34">
        <f t="shared" ref="I41:K43" si="2">G13</f>
        <v>0.27777777777777779</v>
      </c>
      <c r="J41" s="34">
        <f t="shared" si="2"/>
        <v>0.27777777777777779</v>
      </c>
      <c r="K41" s="34">
        <f t="shared" si="2"/>
        <v>0.27777777777777779</v>
      </c>
      <c r="L41" s="2" t="e">
        <f>ROUND(#REF!/$C$8*I41/50,0)*50</f>
        <v>#REF!</v>
      </c>
      <c r="M41" s="2" t="e">
        <f>ROUND(#REF!/$C$8*J41/50,0)*50</f>
        <v>#REF!</v>
      </c>
      <c r="N41" s="2" t="e">
        <f>ROUND(#REF!/$C$8*K41/50,0)*50</f>
        <v>#REF!</v>
      </c>
      <c r="O41" s="2">
        <f t="shared" ref="O41:Q43" si="3">C13</f>
        <v>50</v>
      </c>
      <c r="P41" s="2">
        <f t="shared" si="3"/>
        <v>50</v>
      </c>
      <c r="Q41" s="2">
        <f t="shared" si="3"/>
        <v>50</v>
      </c>
      <c r="R41" s="36" t="e">
        <f>CONCATENATE("[(",O41,",",L41,"),(",P41,",",M41,"),(",Q41,",",N41,")]",)</f>
        <v>#REF!</v>
      </c>
    </row>
    <row r="42" spans="2:18" x14ac:dyDescent="0.3">
      <c r="B42" s="2">
        <v>2</v>
      </c>
      <c r="C42" s="2" t="s">
        <v>3464</v>
      </c>
      <c r="D42" s="2" t="s">
        <v>184</v>
      </c>
      <c r="E42" s="2" t="s">
        <v>3463</v>
      </c>
      <c r="F42" s="2">
        <v>1</v>
      </c>
      <c r="G42" s="2">
        <v>3</v>
      </c>
      <c r="H42" s="2">
        <v>5</v>
      </c>
      <c r="I42" s="34">
        <f t="shared" si="2"/>
        <v>0.33333333333333331</v>
      </c>
      <c r="J42" s="34">
        <f t="shared" si="2"/>
        <v>0.33333333333333331</v>
      </c>
      <c r="K42" s="34">
        <f t="shared" si="2"/>
        <v>0.33333333333333331</v>
      </c>
      <c r="L42" s="2" t="e">
        <f>ROUND(#REF!/$C$8*I42/50,0)*50</f>
        <v>#REF!</v>
      </c>
      <c r="M42" s="2" t="e">
        <f>ROUND(#REF!/$C$8*J42/50,0)*50</f>
        <v>#REF!</v>
      </c>
      <c r="N42" s="2" t="e">
        <f>ROUND(#REF!/$C$8*K42/50,0)*50</f>
        <v>#REF!</v>
      </c>
      <c r="O42" s="2">
        <f t="shared" si="3"/>
        <v>60</v>
      </c>
      <c r="P42" s="2">
        <f t="shared" si="3"/>
        <v>60</v>
      </c>
      <c r="Q42" s="2">
        <f t="shared" si="3"/>
        <v>60</v>
      </c>
      <c r="R42" s="36" t="e">
        <f t="shared" ref="R42:R47" si="4">CONCATENATE("[(",O42,",",L42,"),(",P42,",",M42,"),(",Q42,",",N42,")]",)</f>
        <v>#REF!</v>
      </c>
    </row>
    <row r="43" spans="2:18" x14ac:dyDescent="0.3">
      <c r="B43" s="2">
        <v>3</v>
      </c>
      <c r="C43" s="2" t="s">
        <v>3465</v>
      </c>
      <c r="D43" s="2" t="s">
        <v>3466</v>
      </c>
      <c r="E43" s="2" t="s">
        <v>3463</v>
      </c>
      <c r="F43" s="2">
        <v>1</v>
      </c>
      <c r="G43" s="2">
        <v>2</v>
      </c>
      <c r="H43" s="2">
        <v>3</v>
      </c>
      <c r="I43" s="34">
        <f t="shared" si="2"/>
        <v>0.44444444444444442</v>
      </c>
      <c r="J43" s="34">
        <f t="shared" si="2"/>
        <v>0.44444444444444442</v>
      </c>
      <c r="K43" s="34">
        <f t="shared" si="2"/>
        <v>0.44444444444444442</v>
      </c>
      <c r="L43" s="2" t="e">
        <f>ROUND(#REF!/$C$8*I43/50,0)*50</f>
        <v>#REF!</v>
      </c>
      <c r="M43" s="2" t="e">
        <f>ROUND(#REF!/$C$8*J43/50,0)*50</f>
        <v>#REF!</v>
      </c>
      <c r="N43" s="2" t="e">
        <f>ROUND(#REF!/$C$8*K43/50,0)*50</f>
        <v>#REF!</v>
      </c>
      <c r="O43" s="2">
        <f t="shared" si="3"/>
        <v>80</v>
      </c>
      <c r="P43" s="2">
        <f t="shared" si="3"/>
        <v>80</v>
      </c>
      <c r="Q43" s="2">
        <f t="shared" si="3"/>
        <v>80</v>
      </c>
      <c r="R43" s="36" t="e">
        <f t="shared" si="4"/>
        <v>#REF!</v>
      </c>
    </row>
    <row r="44" spans="2:18" x14ac:dyDescent="0.3">
      <c r="B44" s="2">
        <v>4</v>
      </c>
      <c r="C44" s="2" t="s">
        <v>3467</v>
      </c>
      <c r="D44" s="2" t="s">
        <v>184</v>
      </c>
      <c r="E44" s="2" t="s">
        <v>3463</v>
      </c>
      <c r="F44" s="2">
        <v>5</v>
      </c>
      <c r="G44" s="2">
        <v>10</v>
      </c>
      <c r="H44" s="2">
        <v>15</v>
      </c>
      <c r="I44" s="34">
        <f t="shared" ref="I44:K45" si="5">G14</f>
        <v>0.33333333333333331</v>
      </c>
      <c r="J44" s="34">
        <f t="shared" si="5"/>
        <v>0.33333333333333331</v>
      </c>
      <c r="K44" s="34">
        <f t="shared" si="5"/>
        <v>0.33333333333333331</v>
      </c>
      <c r="L44" s="2" t="e">
        <f>ROUND(#REF!/$C$8*I44/50,0)*50</f>
        <v>#REF!</v>
      </c>
      <c r="M44" s="2" t="e">
        <f>ROUND(#REF!/$C$8*J44/50,0)*50</f>
        <v>#REF!</v>
      </c>
      <c r="N44" s="2" t="e">
        <f>ROUND(#REF!/$C$8*K44/50,0)*50</f>
        <v>#REF!</v>
      </c>
      <c r="O44" s="2">
        <f t="shared" ref="O44:Q45" si="6">O42</f>
        <v>60</v>
      </c>
      <c r="P44" s="2">
        <f t="shared" si="6"/>
        <v>60</v>
      </c>
      <c r="Q44" s="2">
        <f t="shared" si="6"/>
        <v>60</v>
      </c>
      <c r="R44" s="36" t="e">
        <f t="shared" si="4"/>
        <v>#REF!</v>
      </c>
    </row>
    <row r="45" spans="2:18" x14ac:dyDescent="0.3">
      <c r="B45" s="2">
        <v>5</v>
      </c>
      <c r="C45" s="2" t="s">
        <v>3468</v>
      </c>
      <c r="D45" s="2" t="s">
        <v>3466</v>
      </c>
      <c r="E45" s="2" t="s">
        <v>3469</v>
      </c>
      <c r="F45" s="2">
        <v>1</v>
      </c>
      <c r="G45" s="2">
        <v>3</v>
      </c>
      <c r="H45" s="2">
        <v>5</v>
      </c>
      <c r="I45" s="34">
        <f t="shared" si="5"/>
        <v>0.44444444444444442</v>
      </c>
      <c r="J45" s="34">
        <f t="shared" si="5"/>
        <v>0.44444444444444442</v>
      </c>
      <c r="K45" s="34">
        <f t="shared" si="5"/>
        <v>0.44444444444444442</v>
      </c>
      <c r="L45" s="2" t="e">
        <f>ROUND(#REF!/$C$8*I45/50,0)*50</f>
        <v>#REF!</v>
      </c>
      <c r="M45" s="2" t="e">
        <f>ROUND(#REF!/$C$8*J45/50,0)*50</f>
        <v>#REF!</v>
      </c>
      <c r="N45" s="2" t="e">
        <f>ROUND(#REF!/$C$8*K45/50,0)*50</f>
        <v>#REF!</v>
      </c>
      <c r="O45" s="2">
        <f t="shared" si="6"/>
        <v>80</v>
      </c>
      <c r="P45" s="2">
        <f t="shared" si="6"/>
        <v>80</v>
      </c>
      <c r="Q45" s="2">
        <f t="shared" si="6"/>
        <v>80</v>
      </c>
      <c r="R45" s="36" t="e">
        <f t="shared" si="4"/>
        <v>#REF!</v>
      </c>
    </row>
    <row r="46" spans="2:18" x14ac:dyDescent="0.3">
      <c r="B46" s="2">
        <v>6</v>
      </c>
      <c r="C46" s="2" t="s">
        <v>675</v>
      </c>
      <c r="D46" s="2" t="s">
        <v>184</v>
      </c>
      <c r="E46" s="2" t="s">
        <v>3469</v>
      </c>
      <c r="F46" s="2">
        <v>1</v>
      </c>
      <c r="G46" s="2">
        <v>3</v>
      </c>
      <c r="H46" s="2">
        <v>5</v>
      </c>
      <c r="I46" s="34">
        <f>G14</f>
        <v>0.33333333333333331</v>
      </c>
      <c r="J46" s="34">
        <f>H14</f>
        <v>0.33333333333333331</v>
      </c>
      <c r="K46" s="34">
        <f>I14</f>
        <v>0.33333333333333331</v>
      </c>
      <c r="L46" s="2" t="e">
        <f>ROUND(#REF!/$C$8*I46/50,0)*50</f>
        <v>#REF!</v>
      </c>
      <c r="M46" s="2" t="e">
        <f>ROUND(#REF!/$C$8*J46/50,0)*50</f>
        <v>#REF!</v>
      </c>
      <c r="N46" s="2" t="e">
        <f>ROUND(#REF!/$C$8*K46/50,0)*50</f>
        <v>#REF!</v>
      </c>
      <c r="O46" s="2">
        <f>O42</f>
        <v>60</v>
      </c>
      <c r="P46" s="2">
        <f>P42</f>
        <v>60</v>
      </c>
      <c r="Q46" s="2">
        <f>Q42</f>
        <v>60</v>
      </c>
      <c r="R46" s="36" t="e">
        <f t="shared" si="4"/>
        <v>#REF!</v>
      </c>
    </row>
    <row r="47" spans="2:18" x14ac:dyDescent="0.3">
      <c r="B47" s="2">
        <v>7</v>
      </c>
      <c r="C47" s="2" t="s">
        <v>3470</v>
      </c>
      <c r="D47" s="2" t="s">
        <v>3462</v>
      </c>
      <c r="E47" s="2" t="s">
        <v>3463</v>
      </c>
      <c r="F47" s="2">
        <v>30</v>
      </c>
      <c r="G47" s="2">
        <v>60</v>
      </c>
      <c r="H47" s="2">
        <v>90</v>
      </c>
      <c r="I47" s="34">
        <f>G13</f>
        <v>0.27777777777777779</v>
      </c>
      <c r="J47" s="34">
        <f>H13</f>
        <v>0.27777777777777779</v>
      </c>
      <c r="K47" s="34">
        <f>I13</f>
        <v>0.27777777777777779</v>
      </c>
      <c r="L47" s="2" t="e">
        <f>ROUND(#REF!/$C$8*I47/50,0)*50</f>
        <v>#REF!</v>
      </c>
      <c r="M47" s="2" t="e">
        <f>ROUND(#REF!/$C$8*J47/50,0)*50</f>
        <v>#REF!</v>
      </c>
      <c r="N47" s="2" t="e">
        <f>ROUND(#REF!/$C$8*K47/50,0)*50</f>
        <v>#REF!</v>
      </c>
      <c r="O47" s="2">
        <f>O41</f>
        <v>50</v>
      </c>
      <c r="P47" s="2">
        <f>P41</f>
        <v>50</v>
      </c>
      <c r="Q47" s="2">
        <f>Q41</f>
        <v>50</v>
      </c>
      <c r="R47" s="36" t="e">
        <f t="shared" si="4"/>
        <v>#REF!</v>
      </c>
    </row>
  </sheetData>
  <mergeCells count="3">
    <mergeCell ref="B10:F10"/>
    <mergeCell ref="G10:I10"/>
    <mergeCell ref="B17:H17"/>
  </mergeCells>
  <phoneticPr fontId="34" type="noConversion"/>
  <conditionalFormatting sqref="C36:Q36">
    <cfRule type="colorScale" priority="2">
      <colorScale>
        <cfvo type="min"/>
        <cfvo type="percentile" val="50"/>
        <cfvo type="max"/>
        <color rgb="FF63BE7B"/>
        <color rgb="FFFFEB84"/>
        <color rgb="FFF8696B"/>
      </colorScale>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19"/>
  <sheetViews>
    <sheetView workbookViewId="0">
      <selection activeCell="I15" sqref="I15"/>
    </sheetView>
  </sheetViews>
  <sheetFormatPr defaultColWidth="9" defaultRowHeight="13.5" x14ac:dyDescent="0.15"/>
  <cols>
    <col min="15" max="15" width="9" style="38"/>
  </cols>
  <sheetData>
    <row r="1" spans="1:15" ht="15.75" x14ac:dyDescent="0.3">
      <c r="A1" s="2" t="s">
        <v>608</v>
      </c>
      <c r="B1" s="2" t="s">
        <v>876</v>
      </c>
      <c r="D1">
        <v>1</v>
      </c>
      <c r="E1">
        <v>2</v>
      </c>
      <c r="F1">
        <v>3</v>
      </c>
      <c r="G1">
        <v>4</v>
      </c>
      <c r="H1">
        <v>5</v>
      </c>
      <c r="I1">
        <v>6</v>
      </c>
      <c r="J1">
        <v>7</v>
      </c>
      <c r="K1">
        <v>8</v>
      </c>
      <c r="L1">
        <v>9</v>
      </c>
      <c r="M1">
        <v>10</v>
      </c>
    </row>
    <row r="2" spans="1:15" ht="15.75" x14ac:dyDescent="0.3">
      <c r="A2" s="39" t="s">
        <v>518</v>
      </c>
      <c r="B2" s="2">
        <v>51111</v>
      </c>
      <c r="C2" t="str">
        <f>A2</f>
        <v>雷诺FT</v>
      </c>
      <c r="D2" s="25">
        <v>60</v>
      </c>
      <c r="E2" s="25">
        <v>56.4</v>
      </c>
      <c r="F2" s="25">
        <v>52.8</v>
      </c>
      <c r="G2" s="25">
        <v>49.2</v>
      </c>
      <c r="H2" s="25">
        <v>45.6</v>
      </c>
      <c r="I2" s="25">
        <v>42</v>
      </c>
      <c r="J2" s="25">
        <v>38.4</v>
      </c>
      <c r="K2" s="25">
        <v>34.799999999999997</v>
      </c>
      <c r="L2" s="25">
        <v>31.2</v>
      </c>
      <c r="M2" s="25">
        <v>27.6</v>
      </c>
      <c r="O2" s="25"/>
    </row>
    <row r="3" spans="1:15" ht="15.75" x14ac:dyDescent="0.3">
      <c r="A3" s="2" t="s">
        <v>524</v>
      </c>
      <c r="B3" s="2">
        <v>51211</v>
      </c>
      <c r="C3" t="str">
        <f t="shared" ref="C3:C66" si="0">A3</f>
        <v>二号</v>
      </c>
      <c r="D3" s="25">
        <v>60</v>
      </c>
      <c r="E3" s="40">
        <v>60</v>
      </c>
      <c r="F3" s="40">
        <v>56.4</v>
      </c>
      <c r="G3" s="40">
        <v>52.8</v>
      </c>
      <c r="H3" s="40">
        <v>49.2</v>
      </c>
      <c r="I3" s="40">
        <v>45.6</v>
      </c>
      <c r="J3" s="40">
        <v>42</v>
      </c>
      <c r="K3" s="40">
        <v>38.4</v>
      </c>
      <c r="L3" s="40">
        <v>34.799999999999997</v>
      </c>
      <c r="M3" s="40">
        <v>31.2</v>
      </c>
      <c r="O3" s="40"/>
    </row>
    <row r="4" spans="1:15" ht="15.75" x14ac:dyDescent="0.3">
      <c r="A4" s="2" t="s">
        <v>616</v>
      </c>
      <c r="B4" s="2">
        <v>51221</v>
      </c>
      <c r="C4" t="str">
        <f t="shared" si="0"/>
        <v>Puma</v>
      </c>
      <c r="D4" s="25">
        <v>80</v>
      </c>
      <c r="E4" s="40">
        <v>80</v>
      </c>
      <c r="F4" s="40">
        <v>80</v>
      </c>
      <c r="G4" s="40">
        <v>76.8</v>
      </c>
      <c r="H4" s="40">
        <v>73.599999999999994</v>
      </c>
      <c r="I4" s="40">
        <v>70.400000000000006</v>
      </c>
      <c r="J4" s="40">
        <v>67.2</v>
      </c>
      <c r="K4" s="40">
        <v>64</v>
      </c>
      <c r="L4" s="40">
        <v>60.8</v>
      </c>
      <c r="M4" s="40">
        <v>57.6</v>
      </c>
      <c r="O4" s="40"/>
    </row>
    <row r="5" spans="1:15" ht="15.75" x14ac:dyDescent="0.3">
      <c r="A5" s="2" t="s">
        <v>530</v>
      </c>
      <c r="B5" s="2">
        <v>51311</v>
      </c>
      <c r="C5" t="str">
        <f t="shared" si="0"/>
        <v>35(t)</v>
      </c>
      <c r="D5" s="25">
        <v>55</v>
      </c>
      <c r="E5" s="40">
        <v>55</v>
      </c>
      <c r="F5" s="40">
        <v>55</v>
      </c>
      <c r="G5" s="40">
        <v>55</v>
      </c>
      <c r="H5" s="40">
        <v>55</v>
      </c>
      <c r="I5" s="40">
        <v>51.7</v>
      </c>
      <c r="J5" s="40">
        <v>48.4</v>
      </c>
      <c r="K5" s="40">
        <v>45.1</v>
      </c>
      <c r="L5" s="40">
        <v>41.8</v>
      </c>
      <c r="M5" s="40">
        <v>38.5</v>
      </c>
      <c r="O5" s="40"/>
    </row>
    <row r="6" spans="1:15" ht="15.75" x14ac:dyDescent="0.3">
      <c r="A6" s="2" t="s">
        <v>620</v>
      </c>
      <c r="B6" s="2">
        <v>51321</v>
      </c>
      <c r="C6" t="str">
        <f t="shared" si="0"/>
        <v>十字军</v>
      </c>
      <c r="D6" s="25">
        <v>70</v>
      </c>
      <c r="E6" s="40">
        <v>70</v>
      </c>
      <c r="F6" s="40">
        <v>70</v>
      </c>
      <c r="G6" s="40">
        <v>70</v>
      </c>
      <c r="H6" s="40">
        <v>70</v>
      </c>
      <c r="I6" s="40">
        <v>67.2</v>
      </c>
      <c r="J6" s="40">
        <v>64.400000000000006</v>
      </c>
      <c r="K6" s="40">
        <v>61.6</v>
      </c>
      <c r="L6" s="40">
        <v>58.8</v>
      </c>
      <c r="M6" s="40">
        <v>56</v>
      </c>
      <c r="O6" s="40"/>
    </row>
    <row r="7" spans="1:15" ht="15.75" x14ac:dyDescent="0.3">
      <c r="A7" s="2" t="s">
        <v>622</v>
      </c>
      <c r="B7" s="2">
        <v>51331</v>
      </c>
      <c r="C7" t="str">
        <f t="shared" si="0"/>
        <v>AMX-13</v>
      </c>
      <c r="D7" s="25">
        <v>80</v>
      </c>
      <c r="E7" s="40">
        <v>80</v>
      </c>
      <c r="F7" s="40">
        <v>80</v>
      </c>
      <c r="G7" s="40">
        <v>80</v>
      </c>
      <c r="H7" s="40">
        <v>80</v>
      </c>
      <c r="I7" s="40">
        <v>76.8</v>
      </c>
      <c r="J7" s="40">
        <v>73.599999999999994</v>
      </c>
      <c r="K7" s="40">
        <v>70.400000000000006</v>
      </c>
      <c r="L7" s="40">
        <v>67.2</v>
      </c>
      <c r="M7" s="40">
        <v>64</v>
      </c>
      <c r="O7" s="40"/>
    </row>
    <row r="8" spans="1:15" ht="15.75" x14ac:dyDescent="0.3">
      <c r="A8" s="2" t="s">
        <v>624</v>
      </c>
      <c r="B8" s="2">
        <v>51411</v>
      </c>
      <c r="C8" t="str">
        <f t="shared" si="0"/>
        <v>霞飞</v>
      </c>
      <c r="D8" s="25">
        <v>105</v>
      </c>
      <c r="E8" s="40">
        <v>105</v>
      </c>
      <c r="F8" s="40">
        <v>105</v>
      </c>
      <c r="G8" s="40">
        <v>105</v>
      </c>
      <c r="H8" s="40">
        <v>105</v>
      </c>
      <c r="I8" s="40">
        <v>105</v>
      </c>
      <c r="J8" s="40">
        <v>105</v>
      </c>
      <c r="K8" s="40">
        <v>105</v>
      </c>
      <c r="L8" s="40">
        <v>100.8</v>
      </c>
      <c r="M8" s="40">
        <v>96.6</v>
      </c>
      <c r="O8" s="40"/>
    </row>
    <row r="9" spans="1:15" ht="15.75" x14ac:dyDescent="0.3">
      <c r="A9" s="2" t="s">
        <v>627</v>
      </c>
      <c r="B9" s="2">
        <v>51421</v>
      </c>
      <c r="C9" t="str">
        <f t="shared" si="0"/>
        <v>M-41</v>
      </c>
      <c r="D9" s="25">
        <v>130</v>
      </c>
      <c r="E9" s="40">
        <v>130</v>
      </c>
      <c r="F9" s="40">
        <v>130</v>
      </c>
      <c r="G9" s="40">
        <v>130</v>
      </c>
      <c r="H9" s="40">
        <v>130</v>
      </c>
      <c r="I9" s="40">
        <v>130</v>
      </c>
      <c r="J9" s="40">
        <v>130</v>
      </c>
      <c r="K9" s="40">
        <v>130</v>
      </c>
      <c r="L9" s="40">
        <v>124.8</v>
      </c>
      <c r="M9" s="40">
        <v>119.6</v>
      </c>
      <c r="O9" s="40"/>
    </row>
    <row r="10" spans="1:15" ht="15.75" x14ac:dyDescent="0.3">
      <c r="A10" s="2" t="s">
        <v>629</v>
      </c>
      <c r="B10" s="2">
        <v>51431</v>
      </c>
      <c r="C10" t="str">
        <f t="shared" si="0"/>
        <v>BMP-3</v>
      </c>
      <c r="D10" s="25">
        <v>145</v>
      </c>
      <c r="E10" s="40">
        <v>145</v>
      </c>
      <c r="F10" s="40">
        <v>145</v>
      </c>
      <c r="G10" s="40">
        <v>145</v>
      </c>
      <c r="H10" s="40">
        <v>145</v>
      </c>
      <c r="I10" s="40">
        <v>145</v>
      </c>
      <c r="J10" s="40">
        <v>145</v>
      </c>
      <c r="K10" s="40">
        <v>145</v>
      </c>
      <c r="L10" s="40">
        <v>139.19999999999999</v>
      </c>
      <c r="M10" s="40">
        <v>133.4</v>
      </c>
      <c r="O10" s="40"/>
    </row>
    <row r="11" spans="1:15" ht="15.75" x14ac:dyDescent="0.3">
      <c r="A11" s="2" t="s">
        <v>631</v>
      </c>
      <c r="B11" s="2">
        <v>51511</v>
      </c>
      <c r="C11" t="str">
        <f t="shared" si="0"/>
        <v>59式</v>
      </c>
      <c r="D11" s="25">
        <v>195</v>
      </c>
      <c r="E11" s="40">
        <v>195</v>
      </c>
      <c r="F11" s="40">
        <v>195</v>
      </c>
      <c r="G11" s="40">
        <v>195</v>
      </c>
      <c r="H11" s="40">
        <v>195</v>
      </c>
      <c r="I11" s="40">
        <v>195</v>
      </c>
      <c r="J11" s="40">
        <v>195</v>
      </c>
      <c r="K11" s="40">
        <v>195</v>
      </c>
      <c r="L11" s="40">
        <v>195</v>
      </c>
      <c r="M11" s="40">
        <v>195</v>
      </c>
      <c r="O11" s="40"/>
    </row>
    <row r="12" spans="1:15" ht="15.75" x14ac:dyDescent="0.3">
      <c r="A12" s="2" t="s">
        <v>520</v>
      </c>
      <c r="B12" s="2">
        <v>52111</v>
      </c>
      <c r="C12" t="str">
        <f t="shared" si="0"/>
        <v>Stuart</v>
      </c>
      <c r="D12" s="25">
        <v>60</v>
      </c>
      <c r="E12" s="40">
        <v>56.4</v>
      </c>
      <c r="F12" s="40">
        <v>52.8</v>
      </c>
      <c r="G12" s="40">
        <v>49.2</v>
      </c>
      <c r="H12" s="40">
        <v>45.6</v>
      </c>
      <c r="I12" s="40">
        <v>42</v>
      </c>
      <c r="J12" s="40">
        <v>38.4</v>
      </c>
      <c r="K12" s="40">
        <v>34.799999999999997</v>
      </c>
      <c r="L12" s="40">
        <v>31.2</v>
      </c>
      <c r="M12" s="40">
        <v>27.6</v>
      </c>
      <c r="O12" s="40"/>
    </row>
    <row r="13" spans="1:15" ht="15.75" x14ac:dyDescent="0.3">
      <c r="A13" s="2" t="s">
        <v>526</v>
      </c>
      <c r="B13" s="2">
        <v>52211</v>
      </c>
      <c r="C13" t="str">
        <f t="shared" si="0"/>
        <v>T-34</v>
      </c>
      <c r="D13" s="25">
        <v>60</v>
      </c>
      <c r="E13" s="40">
        <v>60</v>
      </c>
      <c r="F13" s="40">
        <v>56.4</v>
      </c>
      <c r="G13" s="40">
        <v>52.8</v>
      </c>
      <c r="H13" s="40">
        <v>49.2</v>
      </c>
      <c r="I13" s="40">
        <v>45.6</v>
      </c>
      <c r="J13" s="40">
        <v>42</v>
      </c>
      <c r="K13" s="40">
        <v>38.4</v>
      </c>
      <c r="L13" s="40">
        <v>34.799999999999997</v>
      </c>
      <c r="M13" s="40">
        <v>31.2</v>
      </c>
      <c r="O13" s="40"/>
    </row>
    <row r="14" spans="1:15" ht="15.75" x14ac:dyDescent="0.3">
      <c r="A14" s="2" t="s">
        <v>636</v>
      </c>
      <c r="B14" s="2">
        <v>52221</v>
      </c>
      <c r="C14" t="str">
        <f t="shared" si="0"/>
        <v>四号</v>
      </c>
      <c r="D14" s="25">
        <v>80</v>
      </c>
      <c r="E14" s="40">
        <v>80</v>
      </c>
      <c r="F14" s="40">
        <v>80</v>
      </c>
      <c r="G14" s="40">
        <v>76.8</v>
      </c>
      <c r="H14" s="40">
        <v>73.599999999999994</v>
      </c>
      <c r="I14" s="40">
        <v>70.400000000000006</v>
      </c>
      <c r="J14" s="40">
        <v>67.2</v>
      </c>
      <c r="K14" s="40">
        <v>64</v>
      </c>
      <c r="L14" s="40">
        <v>60.8</v>
      </c>
      <c r="M14" s="40">
        <v>57.6</v>
      </c>
      <c r="O14" s="40"/>
    </row>
    <row r="15" spans="1:15" ht="15.75" x14ac:dyDescent="0.3">
      <c r="A15" s="2" t="s">
        <v>534</v>
      </c>
      <c r="B15" s="2">
        <v>52311</v>
      </c>
      <c r="C15" t="str">
        <f t="shared" si="0"/>
        <v>玛蒂尔达</v>
      </c>
      <c r="D15" s="25">
        <v>55</v>
      </c>
      <c r="E15" s="40">
        <v>55</v>
      </c>
      <c r="F15" s="40">
        <v>55</v>
      </c>
      <c r="G15" s="40">
        <v>55</v>
      </c>
      <c r="H15" s="40">
        <v>55</v>
      </c>
      <c r="I15" s="40">
        <v>51.7</v>
      </c>
      <c r="J15" s="40">
        <v>48.4</v>
      </c>
      <c r="K15" s="40">
        <v>45.1</v>
      </c>
      <c r="L15" s="40">
        <v>41.8</v>
      </c>
      <c r="M15" s="40">
        <v>38.5</v>
      </c>
      <c r="O15" s="40"/>
    </row>
    <row r="16" spans="1:15" ht="15.75" x14ac:dyDescent="0.3">
      <c r="A16" s="2" t="s">
        <v>639</v>
      </c>
      <c r="B16" s="2">
        <v>52321</v>
      </c>
      <c r="C16" t="str">
        <f t="shared" si="0"/>
        <v>谢尔曼</v>
      </c>
      <c r="D16" s="25">
        <v>70</v>
      </c>
      <c r="E16" s="40">
        <v>70</v>
      </c>
      <c r="F16" s="40">
        <v>70</v>
      </c>
      <c r="G16" s="40">
        <v>70</v>
      </c>
      <c r="H16" s="40">
        <v>70</v>
      </c>
      <c r="I16" s="40">
        <v>67.2</v>
      </c>
      <c r="J16" s="40">
        <v>64.400000000000006</v>
      </c>
      <c r="K16" s="40">
        <v>61.6</v>
      </c>
      <c r="L16" s="40">
        <v>58.8</v>
      </c>
      <c r="M16" s="40">
        <v>56</v>
      </c>
      <c r="O16" s="40"/>
    </row>
    <row r="17" spans="1:15" ht="15.75" x14ac:dyDescent="0.3">
      <c r="A17" s="2" t="s">
        <v>641</v>
      </c>
      <c r="B17" s="2">
        <v>52331</v>
      </c>
      <c r="C17" t="str">
        <f t="shared" si="0"/>
        <v>彗星</v>
      </c>
      <c r="D17" s="25">
        <v>80</v>
      </c>
      <c r="E17" s="40">
        <v>80</v>
      </c>
      <c r="F17" s="40">
        <v>80</v>
      </c>
      <c r="G17" s="40">
        <v>80</v>
      </c>
      <c r="H17" s="40">
        <v>80</v>
      </c>
      <c r="I17" s="40">
        <v>76.8</v>
      </c>
      <c r="J17" s="40">
        <v>73.599999999999994</v>
      </c>
      <c r="K17" s="40">
        <v>70.400000000000006</v>
      </c>
      <c r="L17" s="40">
        <v>67.2</v>
      </c>
      <c r="M17" s="40">
        <v>64</v>
      </c>
      <c r="O17" s="40"/>
    </row>
    <row r="18" spans="1:15" ht="15.75" x14ac:dyDescent="0.3">
      <c r="A18" s="2" t="s">
        <v>643</v>
      </c>
      <c r="B18" s="2">
        <v>52411</v>
      </c>
      <c r="C18" t="str">
        <f t="shared" si="0"/>
        <v>M-48</v>
      </c>
      <c r="D18" s="25">
        <v>105</v>
      </c>
      <c r="E18" s="40">
        <v>105</v>
      </c>
      <c r="F18" s="40">
        <v>105</v>
      </c>
      <c r="G18" s="40">
        <v>105</v>
      </c>
      <c r="H18" s="40">
        <v>105</v>
      </c>
      <c r="I18" s="40">
        <v>105</v>
      </c>
      <c r="J18" s="40">
        <v>105</v>
      </c>
      <c r="K18" s="40">
        <v>105</v>
      </c>
      <c r="L18" s="40">
        <v>100.8</v>
      </c>
      <c r="M18" s="40">
        <v>96.6</v>
      </c>
      <c r="O18" s="40"/>
    </row>
    <row r="19" spans="1:15" ht="15.75" x14ac:dyDescent="0.3">
      <c r="A19" s="2" t="s">
        <v>645</v>
      </c>
      <c r="B19" s="2">
        <v>52421</v>
      </c>
      <c r="C19" t="str">
        <f t="shared" si="0"/>
        <v>潘兴</v>
      </c>
      <c r="D19" s="25">
        <v>130</v>
      </c>
      <c r="E19" s="40">
        <v>130</v>
      </c>
      <c r="F19" s="40">
        <v>130</v>
      </c>
      <c r="G19" s="40">
        <v>130</v>
      </c>
      <c r="H19" s="40">
        <v>130</v>
      </c>
      <c r="I19" s="40">
        <v>130</v>
      </c>
      <c r="J19" s="40">
        <v>130</v>
      </c>
      <c r="K19" s="40">
        <v>130</v>
      </c>
      <c r="L19" s="40">
        <v>124.8</v>
      </c>
      <c r="M19" s="40">
        <v>119.6</v>
      </c>
      <c r="O19" s="40"/>
    </row>
    <row r="20" spans="1:15" ht="15.75" x14ac:dyDescent="0.3">
      <c r="A20" s="2" t="s">
        <v>647</v>
      </c>
      <c r="B20" s="2">
        <v>52431</v>
      </c>
      <c r="C20" t="str">
        <f t="shared" si="0"/>
        <v>百夫长</v>
      </c>
      <c r="D20" s="25">
        <v>145</v>
      </c>
      <c r="E20" s="40">
        <v>145</v>
      </c>
      <c r="F20" s="40">
        <v>145</v>
      </c>
      <c r="G20" s="40">
        <v>145</v>
      </c>
      <c r="H20" s="40">
        <v>145</v>
      </c>
      <c r="I20" s="40">
        <v>145</v>
      </c>
      <c r="J20" s="40">
        <v>145</v>
      </c>
      <c r="K20" s="40">
        <v>145</v>
      </c>
      <c r="L20" s="40">
        <v>139.19999999999999</v>
      </c>
      <c r="M20" s="40">
        <v>133.4</v>
      </c>
      <c r="O20" s="40"/>
    </row>
    <row r="21" spans="1:15" ht="15.75" x14ac:dyDescent="0.3">
      <c r="A21" s="2" t="s">
        <v>649</v>
      </c>
      <c r="B21" s="2">
        <v>52511</v>
      </c>
      <c r="C21" t="str">
        <f t="shared" si="0"/>
        <v>挑战者</v>
      </c>
      <c r="D21" s="25">
        <v>195</v>
      </c>
      <c r="E21" s="40">
        <v>195</v>
      </c>
      <c r="F21" s="40">
        <v>195</v>
      </c>
      <c r="G21" s="40">
        <v>195</v>
      </c>
      <c r="H21" s="40">
        <v>195</v>
      </c>
      <c r="I21" s="40">
        <v>195</v>
      </c>
      <c r="J21" s="40">
        <v>195</v>
      </c>
      <c r="K21" s="40">
        <v>195</v>
      </c>
      <c r="L21" s="40">
        <v>195</v>
      </c>
      <c r="M21" s="40">
        <v>195</v>
      </c>
      <c r="O21" s="40"/>
    </row>
    <row r="22" spans="1:15" ht="15.75" x14ac:dyDescent="0.3">
      <c r="A22" s="2" t="s">
        <v>651</v>
      </c>
      <c r="B22" s="2">
        <v>53111</v>
      </c>
      <c r="C22" t="str">
        <f t="shared" si="0"/>
        <v>B-1</v>
      </c>
      <c r="D22" s="25">
        <v>60</v>
      </c>
      <c r="E22" s="40">
        <v>56.4</v>
      </c>
      <c r="F22" s="40">
        <v>52.8</v>
      </c>
      <c r="G22" s="40">
        <v>49.2</v>
      </c>
      <c r="H22" s="40">
        <v>45.6</v>
      </c>
      <c r="I22" s="40">
        <v>42</v>
      </c>
      <c r="J22" s="40">
        <v>38.4</v>
      </c>
      <c r="K22" s="40">
        <v>34.799999999999997</v>
      </c>
      <c r="L22" s="40">
        <v>31.2</v>
      </c>
      <c r="M22" s="40">
        <v>27.6</v>
      </c>
      <c r="O22" s="40"/>
    </row>
    <row r="23" spans="1:15" ht="15.75" x14ac:dyDescent="0.3">
      <c r="A23" s="2" t="s">
        <v>653</v>
      </c>
      <c r="B23" s="2">
        <v>53211</v>
      </c>
      <c r="C23" t="str">
        <f t="shared" si="0"/>
        <v>KV-1</v>
      </c>
      <c r="D23" s="25">
        <v>60</v>
      </c>
      <c r="E23" s="40">
        <v>60</v>
      </c>
      <c r="F23" s="40">
        <v>56.4</v>
      </c>
      <c r="G23" s="40">
        <v>52.8</v>
      </c>
      <c r="H23" s="40">
        <v>49.2</v>
      </c>
      <c r="I23" s="40">
        <v>45.6</v>
      </c>
      <c r="J23" s="40">
        <v>42</v>
      </c>
      <c r="K23" s="40">
        <v>38.4</v>
      </c>
      <c r="L23" s="40">
        <v>34.799999999999997</v>
      </c>
      <c r="M23" s="40">
        <v>31.2</v>
      </c>
      <c r="O23" s="40"/>
    </row>
    <row r="24" spans="1:15" ht="15.75" x14ac:dyDescent="0.3">
      <c r="A24" s="2" t="s">
        <v>655</v>
      </c>
      <c r="B24" s="2">
        <v>53221</v>
      </c>
      <c r="C24" t="str">
        <f t="shared" si="0"/>
        <v>丘吉尔</v>
      </c>
      <c r="D24" s="25">
        <v>80</v>
      </c>
      <c r="E24" s="40">
        <v>80</v>
      </c>
      <c r="F24" s="40">
        <v>80</v>
      </c>
      <c r="G24" s="40">
        <v>76.8</v>
      </c>
      <c r="H24" s="40">
        <v>73.599999999999994</v>
      </c>
      <c r="I24" s="40">
        <v>70.400000000000006</v>
      </c>
      <c r="J24" s="40">
        <v>67.2</v>
      </c>
      <c r="K24" s="40">
        <v>64</v>
      </c>
      <c r="L24" s="40">
        <v>60.8</v>
      </c>
      <c r="M24" s="40">
        <v>57.6</v>
      </c>
      <c r="O24" s="40"/>
    </row>
    <row r="25" spans="1:15" ht="15.75" x14ac:dyDescent="0.3">
      <c r="A25" s="2" t="s">
        <v>538</v>
      </c>
      <c r="B25" s="2">
        <v>53311</v>
      </c>
      <c r="C25" t="str">
        <f t="shared" si="0"/>
        <v>黑豹</v>
      </c>
      <c r="D25" s="25">
        <v>55</v>
      </c>
      <c r="E25" s="40">
        <v>55</v>
      </c>
      <c r="F25" s="40">
        <v>55</v>
      </c>
      <c r="G25" s="40">
        <v>55</v>
      </c>
      <c r="H25" s="40">
        <v>55</v>
      </c>
      <c r="I25" s="40">
        <v>51.7</v>
      </c>
      <c r="J25" s="40">
        <v>48.4</v>
      </c>
      <c r="K25" s="40">
        <v>45.1</v>
      </c>
      <c r="L25" s="40">
        <v>41.8</v>
      </c>
      <c r="M25" s="40">
        <v>38.5</v>
      </c>
      <c r="O25" s="40"/>
    </row>
    <row r="26" spans="1:15" ht="15.75" x14ac:dyDescent="0.3">
      <c r="A26" s="2" t="s">
        <v>658</v>
      </c>
      <c r="B26" s="2">
        <v>53321</v>
      </c>
      <c r="C26" t="str">
        <f t="shared" si="0"/>
        <v>虎式</v>
      </c>
      <c r="D26" s="25">
        <v>70</v>
      </c>
      <c r="E26" s="40">
        <v>70</v>
      </c>
      <c r="F26" s="40">
        <v>70</v>
      </c>
      <c r="G26" s="40">
        <v>70</v>
      </c>
      <c r="H26" s="40">
        <v>70</v>
      </c>
      <c r="I26" s="40">
        <v>67.2</v>
      </c>
      <c r="J26" s="40">
        <v>64.400000000000006</v>
      </c>
      <c r="K26" s="40">
        <v>61.6</v>
      </c>
      <c r="L26" s="40">
        <v>58.8</v>
      </c>
      <c r="M26" s="40">
        <v>56</v>
      </c>
      <c r="O26" s="40"/>
    </row>
    <row r="27" spans="1:15" ht="15.75" x14ac:dyDescent="0.3">
      <c r="A27" s="2" t="s">
        <v>660</v>
      </c>
      <c r="B27" s="2">
        <v>53331</v>
      </c>
      <c r="C27" t="str">
        <f t="shared" si="0"/>
        <v>KV-2</v>
      </c>
      <c r="D27">
        <v>80</v>
      </c>
      <c r="E27">
        <v>80</v>
      </c>
      <c r="F27">
        <v>80</v>
      </c>
      <c r="G27">
        <v>80</v>
      </c>
      <c r="H27">
        <v>80</v>
      </c>
      <c r="I27">
        <v>76.8</v>
      </c>
      <c r="J27">
        <v>73.599999999999994</v>
      </c>
      <c r="K27">
        <v>70.400000000000006</v>
      </c>
      <c r="L27">
        <v>67.2</v>
      </c>
      <c r="M27">
        <v>64</v>
      </c>
      <c r="O27" s="40"/>
    </row>
    <row r="28" spans="1:15" ht="15.75" x14ac:dyDescent="0.3">
      <c r="A28" s="2" t="s">
        <v>662</v>
      </c>
      <c r="B28" s="2">
        <v>53411</v>
      </c>
      <c r="C28" t="str">
        <f t="shared" si="0"/>
        <v>征服者</v>
      </c>
      <c r="D28">
        <v>105</v>
      </c>
      <c r="E28">
        <v>105</v>
      </c>
      <c r="F28">
        <v>105</v>
      </c>
      <c r="G28">
        <v>105</v>
      </c>
      <c r="H28">
        <v>105</v>
      </c>
      <c r="I28">
        <v>105</v>
      </c>
      <c r="J28">
        <v>105</v>
      </c>
      <c r="K28">
        <v>105</v>
      </c>
      <c r="L28">
        <v>100.8</v>
      </c>
      <c r="M28">
        <v>96.6</v>
      </c>
      <c r="O28" s="40"/>
    </row>
    <row r="29" spans="1:15" ht="15.75" x14ac:dyDescent="0.3">
      <c r="A29" s="2" t="s">
        <v>664</v>
      </c>
      <c r="B29" s="2">
        <v>53421</v>
      </c>
      <c r="C29" t="str">
        <f t="shared" si="0"/>
        <v>IS-4</v>
      </c>
      <c r="D29">
        <v>130</v>
      </c>
      <c r="E29">
        <v>130</v>
      </c>
      <c r="F29">
        <v>130</v>
      </c>
      <c r="G29">
        <v>130</v>
      </c>
      <c r="H29">
        <v>130</v>
      </c>
      <c r="I29">
        <v>130</v>
      </c>
      <c r="J29">
        <v>130</v>
      </c>
      <c r="K29">
        <v>130</v>
      </c>
      <c r="L29">
        <v>124.8</v>
      </c>
      <c r="M29">
        <v>119.6</v>
      </c>
      <c r="O29" s="40"/>
    </row>
    <row r="30" spans="1:15" ht="15.75" x14ac:dyDescent="0.3">
      <c r="A30" s="2" t="s">
        <v>666</v>
      </c>
      <c r="B30" s="2">
        <v>53431</v>
      </c>
      <c r="C30" t="str">
        <f t="shared" si="0"/>
        <v>T-32</v>
      </c>
      <c r="D30">
        <v>145</v>
      </c>
      <c r="E30">
        <v>145</v>
      </c>
      <c r="F30">
        <v>145</v>
      </c>
      <c r="G30">
        <v>145</v>
      </c>
      <c r="H30">
        <v>145</v>
      </c>
      <c r="I30">
        <v>145</v>
      </c>
      <c r="J30">
        <v>145</v>
      </c>
      <c r="K30">
        <v>145</v>
      </c>
      <c r="L30">
        <v>139.19999999999999</v>
      </c>
      <c r="M30">
        <v>133.4</v>
      </c>
      <c r="O30" s="40"/>
    </row>
    <row r="31" spans="1:15" ht="15.75" x14ac:dyDescent="0.3">
      <c r="A31" s="2" t="s">
        <v>668</v>
      </c>
      <c r="B31" s="2">
        <v>53511</v>
      </c>
      <c r="C31" t="str">
        <f t="shared" si="0"/>
        <v>M1A2</v>
      </c>
      <c r="D31">
        <v>195</v>
      </c>
      <c r="E31">
        <v>195</v>
      </c>
      <c r="F31">
        <v>195</v>
      </c>
      <c r="G31">
        <v>195</v>
      </c>
      <c r="H31">
        <v>195</v>
      </c>
      <c r="I31">
        <v>195</v>
      </c>
      <c r="J31">
        <v>195</v>
      </c>
      <c r="K31">
        <v>195</v>
      </c>
      <c r="L31">
        <v>195</v>
      </c>
      <c r="M31">
        <v>195</v>
      </c>
      <c r="O31" s="40"/>
    </row>
    <row r="32" spans="1:15" ht="15.75" x14ac:dyDescent="0.3">
      <c r="A32" s="2" t="s">
        <v>433</v>
      </c>
      <c r="B32" s="2">
        <v>91001</v>
      </c>
      <c r="C32" t="str">
        <f t="shared" si="0"/>
        <v>T1LP1</v>
      </c>
      <c r="D32">
        <v>40</v>
      </c>
      <c r="E32">
        <v>38</v>
      </c>
      <c r="F32">
        <v>36</v>
      </c>
      <c r="G32">
        <v>34</v>
      </c>
      <c r="H32">
        <v>32</v>
      </c>
      <c r="I32">
        <v>30</v>
      </c>
      <c r="J32">
        <v>28</v>
      </c>
      <c r="K32">
        <v>26</v>
      </c>
      <c r="L32">
        <v>24</v>
      </c>
      <c r="M32">
        <v>22</v>
      </c>
      <c r="O32" s="40"/>
    </row>
    <row r="33" spans="1:13" ht="15.75" x14ac:dyDescent="0.3">
      <c r="A33" s="2" t="s">
        <v>442</v>
      </c>
      <c r="B33" s="2">
        <v>91002</v>
      </c>
      <c r="C33" t="str">
        <f t="shared" si="0"/>
        <v>T1LP2</v>
      </c>
      <c r="D33">
        <v>40</v>
      </c>
      <c r="E33">
        <v>38</v>
      </c>
      <c r="F33">
        <v>36</v>
      </c>
      <c r="G33">
        <v>34</v>
      </c>
      <c r="H33">
        <v>32</v>
      </c>
      <c r="I33">
        <v>30</v>
      </c>
      <c r="J33">
        <v>28</v>
      </c>
      <c r="K33">
        <v>26</v>
      </c>
      <c r="L33">
        <v>24</v>
      </c>
      <c r="M33">
        <v>22</v>
      </c>
    </row>
    <row r="34" spans="1:13" ht="15.75" x14ac:dyDescent="0.3">
      <c r="A34" s="2" t="s">
        <v>434</v>
      </c>
      <c r="B34" s="2">
        <v>91003</v>
      </c>
      <c r="C34" t="str">
        <f t="shared" si="0"/>
        <v>T1LP3</v>
      </c>
      <c r="D34">
        <v>40</v>
      </c>
      <c r="E34">
        <v>38</v>
      </c>
      <c r="F34">
        <v>36</v>
      </c>
      <c r="G34">
        <v>34</v>
      </c>
      <c r="H34">
        <v>32</v>
      </c>
      <c r="I34">
        <v>30</v>
      </c>
      <c r="J34">
        <v>28</v>
      </c>
      <c r="K34">
        <v>26</v>
      </c>
      <c r="L34">
        <v>24</v>
      </c>
      <c r="M34">
        <v>22</v>
      </c>
    </row>
    <row r="35" spans="1:13" ht="15.75" x14ac:dyDescent="0.3">
      <c r="A35" s="2" t="s">
        <v>443</v>
      </c>
      <c r="B35" s="2">
        <v>91004</v>
      </c>
      <c r="C35" t="str">
        <f t="shared" si="0"/>
        <v>T1LP4</v>
      </c>
      <c r="D35">
        <v>40</v>
      </c>
      <c r="E35">
        <v>38</v>
      </c>
      <c r="F35">
        <v>36</v>
      </c>
      <c r="G35">
        <v>34</v>
      </c>
      <c r="H35">
        <v>32</v>
      </c>
      <c r="I35">
        <v>30</v>
      </c>
      <c r="J35">
        <v>28</v>
      </c>
      <c r="K35">
        <v>26</v>
      </c>
      <c r="L35">
        <v>24</v>
      </c>
      <c r="M35">
        <v>22</v>
      </c>
    </row>
    <row r="36" spans="1:13" ht="15.75" x14ac:dyDescent="0.3">
      <c r="A36" s="2" t="s">
        <v>435</v>
      </c>
      <c r="B36" s="2">
        <v>91005</v>
      </c>
      <c r="C36" t="str">
        <f t="shared" si="0"/>
        <v>T1LP5</v>
      </c>
      <c r="D36">
        <v>40</v>
      </c>
      <c r="E36">
        <v>38</v>
      </c>
      <c r="F36">
        <v>36</v>
      </c>
      <c r="G36">
        <v>34</v>
      </c>
      <c r="H36">
        <v>32</v>
      </c>
      <c r="I36">
        <v>30</v>
      </c>
      <c r="J36">
        <v>28</v>
      </c>
      <c r="K36">
        <v>26</v>
      </c>
      <c r="L36">
        <v>24</v>
      </c>
      <c r="M36">
        <v>22</v>
      </c>
    </row>
    <row r="37" spans="1:13" ht="15.75" x14ac:dyDescent="0.3">
      <c r="A37" s="2" t="s">
        <v>444</v>
      </c>
      <c r="B37" s="2">
        <v>91006</v>
      </c>
      <c r="C37" t="str">
        <f t="shared" si="0"/>
        <v>T1LP6</v>
      </c>
      <c r="D37">
        <v>40</v>
      </c>
      <c r="E37">
        <v>38</v>
      </c>
      <c r="F37">
        <v>36</v>
      </c>
      <c r="G37">
        <v>34</v>
      </c>
      <c r="H37">
        <v>32</v>
      </c>
      <c r="I37">
        <v>30</v>
      </c>
      <c r="J37">
        <v>28</v>
      </c>
      <c r="K37">
        <v>26</v>
      </c>
      <c r="L37">
        <v>24</v>
      </c>
      <c r="M37">
        <v>22</v>
      </c>
    </row>
    <row r="38" spans="1:13" ht="15.75" x14ac:dyDescent="0.3">
      <c r="A38" s="2" t="s">
        <v>436</v>
      </c>
      <c r="B38" s="2">
        <v>91101</v>
      </c>
      <c r="C38" t="str">
        <f t="shared" si="0"/>
        <v>T1MP1</v>
      </c>
      <c r="D38">
        <v>40</v>
      </c>
      <c r="E38">
        <v>38</v>
      </c>
      <c r="F38">
        <v>36</v>
      </c>
      <c r="G38">
        <v>34</v>
      </c>
      <c r="H38">
        <v>32</v>
      </c>
      <c r="I38">
        <v>30</v>
      </c>
      <c r="J38">
        <v>28</v>
      </c>
      <c r="K38">
        <v>26</v>
      </c>
      <c r="L38">
        <v>24</v>
      </c>
      <c r="M38">
        <v>22</v>
      </c>
    </row>
    <row r="39" spans="1:13" ht="15.75" x14ac:dyDescent="0.3">
      <c r="A39" s="2" t="s">
        <v>445</v>
      </c>
      <c r="B39" s="2">
        <v>91102</v>
      </c>
      <c r="C39" t="str">
        <f t="shared" si="0"/>
        <v>T1MP2</v>
      </c>
      <c r="D39">
        <v>40</v>
      </c>
      <c r="E39">
        <v>38</v>
      </c>
      <c r="F39">
        <v>36</v>
      </c>
      <c r="G39">
        <v>34</v>
      </c>
      <c r="H39">
        <v>32</v>
      </c>
      <c r="I39">
        <v>30</v>
      </c>
      <c r="J39">
        <v>28</v>
      </c>
      <c r="K39">
        <v>26</v>
      </c>
      <c r="L39">
        <v>24</v>
      </c>
      <c r="M39">
        <v>22</v>
      </c>
    </row>
    <row r="40" spans="1:13" ht="15.75" x14ac:dyDescent="0.3">
      <c r="A40" s="2" t="s">
        <v>437</v>
      </c>
      <c r="B40" s="2">
        <v>91103</v>
      </c>
      <c r="C40" t="str">
        <f t="shared" si="0"/>
        <v>T1MP3</v>
      </c>
      <c r="D40">
        <v>40</v>
      </c>
      <c r="E40">
        <v>38</v>
      </c>
      <c r="F40">
        <v>36</v>
      </c>
      <c r="G40">
        <v>34</v>
      </c>
      <c r="H40">
        <v>32</v>
      </c>
      <c r="I40">
        <v>30</v>
      </c>
      <c r="J40">
        <v>28</v>
      </c>
      <c r="K40">
        <v>26</v>
      </c>
      <c r="L40">
        <v>24</v>
      </c>
      <c r="M40">
        <v>22</v>
      </c>
    </row>
    <row r="41" spans="1:13" ht="15.75" x14ac:dyDescent="0.3">
      <c r="A41" s="2" t="s">
        <v>446</v>
      </c>
      <c r="B41" s="2">
        <v>91104</v>
      </c>
      <c r="C41" t="str">
        <f t="shared" si="0"/>
        <v>T1MP4</v>
      </c>
      <c r="D41">
        <v>40</v>
      </c>
      <c r="E41">
        <v>38</v>
      </c>
      <c r="F41">
        <v>36</v>
      </c>
      <c r="G41">
        <v>34</v>
      </c>
      <c r="H41">
        <v>32</v>
      </c>
      <c r="I41">
        <v>30</v>
      </c>
      <c r="J41">
        <v>28</v>
      </c>
      <c r="K41">
        <v>26</v>
      </c>
      <c r="L41">
        <v>24</v>
      </c>
      <c r="M41">
        <v>22</v>
      </c>
    </row>
    <row r="42" spans="1:13" ht="15.75" x14ac:dyDescent="0.3">
      <c r="A42" s="2" t="s">
        <v>438</v>
      </c>
      <c r="B42" s="2">
        <v>91105</v>
      </c>
      <c r="C42" t="str">
        <f t="shared" si="0"/>
        <v>T1MP5</v>
      </c>
      <c r="D42">
        <v>40</v>
      </c>
      <c r="E42">
        <v>38</v>
      </c>
      <c r="F42">
        <v>36</v>
      </c>
      <c r="G42">
        <v>34</v>
      </c>
      <c r="H42">
        <v>32</v>
      </c>
      <c r="I42">
        <v>30</v>
      </c>
      <c r="J42">
        <v>28</v>
      </c>
      <c r="K42">
        <v>26</v>
      </c>
      <c r="L42">
        <v>24</v>
      </c>
      <c r="M42">
        <v>22</v>
      </c>
    </row>
    <row r="43" spans="1:13" ht="15.75" x14ac:dyDescent="0.3">
      <c r="A43" s="2" t="s">
        <v>447</v>
      </c>
      <c r="B43" s="2">
        <v>91106</v>
      </c>
      <c r="C43" t="str">
        <f t="shared" si="0"/>
        <v>T1MP6</v>
      </c>
      <c r="D43">
        <v>40</v>
      </c>
      <c r="E43">
        <v>38</v>
      </c>
      <c r="F43">
        <v>36</v>
      </c>
      <c r="G43">
        <v>34</v>
      </c>
      <c r="H43">
        <v>32</v>
      </c>
      <c r="I43">
        <v>30</v>
      </c>
      <c r="J43">
        <v>28</v>
      </c>
      <c r="K43">
        <v>26</v>
      </c>
      <c r="L43">
        <v>24</v>
      </c>
      <c r="M43">
        <v>22</v>
      </c>
    </row>
    <row r="44" spans="1:13" ht="15.75" x14ac:dyDescent="0.3">
      <c r="A44" s="2" t="s">
        <v>439</v>
      </c>
      <c r="B44" s="2">
        <v>91201</v>
      </c>
      <c r="C44" t="str">
        <f t="shared" si="0"/>
        <v>T1HP1</v>
      </c>
      <c r="D44">
        <v>40</v>
      </c>
      <c r="E44">
        <v>38</v>
      </c>
      <c r="F44">
        <v>36</v>
      </c>
      <c r="G44">
        <v>34</v>
      </c>
      <c r="H44">
        <v>32</v>
      </c>
      <c r="I44">
        <v>30</v>
      </c>
      <c r="J44">
        <v>28</v>
      </c>
      <c r="K44">
        <v>26</v>
      </c>
      <c r="L44">
        <v>24</v>
      </c>
      <c r="M44">
        <v>22</v>
      </c>
    </row>
    <row r="45" spans="1:13" ht="15.75" x14ac:dyDescent="0.3">
      <c r="A45" s="2" t="s">
        <v>448</v>
      </c>
      <c r="B45" s="2">
        <v>91202</v>
      </c>
      <c r="C45" t="str">
        <f t="shared" si="0"/>
        <v>T1HP2</v>
      </c>
      <c r="D45">
        <v>40</v>
      </c>
      <c r="E45">
        <v>38</v>
      </c>
      <c r="F45">
        <v>36</v>
      </c>
      <c r="G45">
        <v>34</v>
      </c>
      <c r="H45">
        <v>32</v>
      </c>
      <c r="I45">
        <v>30</v>
      </c>
      <c r="J45">
        <v>28</v>
      </c>
      <c r="K45">
        <v>26</v>
      </c>
      <c r="L45">
        <v>24</v>
      </c>
      <c r="M45">
        <v>22</v>
      </c>
    </row>
    <row r="46" spans="1:13" ht="15.75" x14ac:dyDescent="0.3">
      <c r="A46" s="2" t="s">
        <v>440</v>
      </c>
      <c r="B46" s="2">
        <v>91203</v>
      </c>
      <c r="C46" t="str">
        <f t="shared" si="0"/>
        <v>T1HP3</v>
      </c>
      <c r="D46">
        <v>40</v>
      </c>
      <c r="E46">
        <v>38</v>
      </c>
      <c r="F46">
        <v>36</v>
      </c>
      <c r="G46">
        <v>34</v>
      </c>
      <c r="H46">
        <v>32</v>
      </c>
      <c r="I46">
        <v>30</v>
      </c>
      <c r="J46">
        <v>28</v>
      </c>
      <c r="K46">
        <v>26</v>
      </c>
      <c r="L46">
        <v>24</v>
      </c>
      <c r="M46">
        <v>22</v>
      </c>
    </row>
    <row r="47" spans="1:13" ht="15.75" x14ac:dyDescent="0.3">
      <c r="A47" s="2" t="s">
        <v>449</v>
      </c>
      <c r="B47" s="2">
        <v>91204</v>
      </c>
      <c r="C47" t="str">
        <f t="shared" si="0"/>
        <v>T1HP4</v>
      </c>
      <c r="D47">
        <v>40</v>
      </c>
      <c r="E47">
        <v>38</v>
      </c>
      <c r="F47">
        <v>36</v>
      </c>
      <c r="G47">
        <v>34</v>
      </c>
      <c r="H47">
        <v>32</v>
      </c>
      <c r="I47">
        <v>30</v>
      </c>
      <c r="J47">
        <v>28</v>
      </c>
      <c r="K47">
        <v>26</v>
      </c>
      <c r="L47">
        <v>24</v>
      </c>
      <c r="M47">
        <v>22</v>
      </c>
    </row>
    <row r="48" spans="1:13" ht="15.75" x14ac:dyDescent="0.3">
      <c r="A48" s="2" t="s">
        <v>441</v>
      </c>
      <c r="B48" s="2">
        <v>91205</v>
      </c>
      <c r="C48" t="str">
        <f t="shared" si="0"/>
        <v>T1HP5</v>
      </c>
      <c r="D48">
        <v>40</v>
      </c>
      <c r="E48">
        <v>38</v>
      </c>
      <c r="F48">
        <v>36</v>
      </c>
      <c r="G48">
        <v>34</v>
      </c>
      <c r="H48">
        <v>32</v>
      </c>
      <c r="I48">
        <v>30</v>
      </c>
      <c r="J48">
        <v>28</v>
      </c>
      <c r="K48">
        <v>26</v>
      </c>
      <c r="L48">
        <v>24</v>
      </c>
      <c r="M48">
        <v>22</v>
      </c>
    </row>
    <row r="49" spans="1:13" ht="15.75" x14ac:dyDescent="0.3">
      <c r="A49" s="2" t="s">
        <v>450</v>
      </c>
      <c r="B49" s="2">
        <v>91206</v>
      </c>
      <c r="C49" t="str">
        <f t="shared" si="0"/>
        <v>T1HP6</v>
      </c>
      <c r="D49">
        <v>40</v>
      </c>
      <c r="E49">
        <v>38</v>
      </c>
      <c r="F49">
        <v>36</v>
      </c>
      <c r="G49">
        <v>34</v>
      </c>
      <c r="H49">
        <v>32</v>
      </c>
      <c r="I49">
        <v>30</v>
      </c>
      <c r="J49">
        <v>28</v>
      </c>
      <c r="K49">
        <v>26</v>
      </c>
      <c r="L49">
        <v>24</v>
      </c>
      <c r="M49">
        <v>22</v>
      </c>
    </row>
    <row r="50" spans="1:13" ht="15.75" x14ac:dyDescent="0.3">
      <c r="A50" s="2" t="s">
        <v>452</v>
      </c>
      <c r="B50" s="2">
        <v>92001</v>
      </c>
      <c r="C50" t="str">
        <f t="shared" si="0"/>
        <v>T2LP1</v>
      </c>
      <c r="D50">
        <v>70</v>
      </c>
      <c r="E50">
        <v>70</v>
      </c>
      <c r="F50">
        <v>70</v>
      </c>
      <c r="G50">
        <v>67.55</v>
      </c>
      <c r="H50">
        <v>65.099999999999994</v>
      </c>
      <c r="I50">
        <v>62.65</v>
      </c>
      <c r="J50">
        <v>60.2</v>
      </c>
      <c r="K50">
        <v>57.75</v>
      </c>
      <c r="L50">
        <v>55.3</v>
      </c>
      <c r="M50">
        <v>52.85</v>
      </c>
    </row>
    <row r="51" spans="1:13" ht="15.75" x14ac:dyDescent="0.3">
      <c r="A51" s="2" t="s">
        <v>461</v>
      </c>
      <c r="B51" s="2">
        <v>92002</v>
      </c>
      <c r="C51" t="str">
        <f t="shared" si="0"/>
        <v>T2LP2</v>
      </c>
      <c r="D51">
        <v>70</v>
      </c>
      <c r="E51">
        <v>70</v>
      </c>
      <c r="F51">
        <v>70</v>
      </c>
      <c r="G51">
        <v>67.55</v>
      </c>
      <c r="H51">
        <v>65.099999999999994</v>
      </c>
      <c r="I51">
        <v>62.65</v>
      </c>
      <c r="J51">
        <v>60.2</v>
      </c>
      <c r="K51">
        <v>57.75</v>
      </c>
      <c r="L51">
        <v>55.3</v>
      </c>
      <c r="M51">
        <v>52.85</v>
      </c>
    </row>
    <row r="52" spans="1:13" ht="15.75" x14ac:dyDescent="0.3">
      <c r="A52" s="2" t="s">
        <v>453</v>
      </c>
      <c r="B52" s="2">
        <v>92003</v>
      </c>
      <c r="C52" t="str">
        <f t="shared" si="0"/>
        <v>T2LP3</v>
      </c>
      <c r="D52">
        <v>70</v>
      </c>
      <c r="E52">
        <v>70</v>
      </c>
      <c r="F52">
        <v>70</v>
      </c>
      <c r="G52">
        <v>67.55</v>
      </c>
      <c r="H52">
        <v>65.099999999999994</v>
      </c>
      <c r="I52">
        <v>62.65</v>
      </c>
      <c r="J52">
        <v>60.2</v>
      </c>
      <c r="K52">
        <v>57.75</v>
      </c>
      <c r="L52">
        <v>55.3</v>
      </c>
      <c r="M52">
        <v>52.85</v>
      </c>
    </row>
    <row r="53" spans="1:13" ht="15.75" x14ac:dyDescent="0.3">
      <c r="A53" s="2" t="s">
        <v>462</v>
      </c>
      <c r="B53" s="2">
        <v>92004</v>
      </c>
      <c r="C53" t="str">
        <f t="shared" si="0"/>
        <v>T2LP4</v>
      </c>
      <c r="D53">
        <v>70</v>
      </c>
      <c r="E53">
        <v>70</v>
      </c>
      <c r="F53">
        <v>70</v>
      </c>
      <c r="G53">
        <v>67.55</v>
      </c>
      <c r="H53">
        <v>65.099999999999994</v>
      </c>
      <c r="I53">
        <v>62.65</v>
      </c>
      <c r="J53">
        <v>60.2</v>
      </c>
      <c r="K53">
        <v>57.75</v>
      </c>
      <c r="L53">
        <v>55.3</v>
      </c>
      <c r="M53">
        <v>52.85</v>
      </c>
    </row>
    <row r="54" spans="1:13" ht="15.75" x14ac:dyDescent="0.3">
      <c r="A54" s="2" t="s">
        <v>454</v>
      </c>
      <c r="B54" s="2">
        <v>92005</v>
      </c>
      <c r="C54" t="str">
        <f t="shared" si="0"/>
        <v>T2LP5</v>
      </c>
      <c r="D54">
        <v>70</v>
      </c>
      <c r="E54">
        <v>70</v>
      </c>
      <c r="F54">
        <v>70</v>
      </c>
      <c r="G54">
        <v>67.55</v>
      </c>
      <c r="H54">
        <v>65.099999999999994</v>
      </c>
      <c r="I54">
        <v>62.65</v>
      </c>
      <c r="J54">
        <v>60.2</v>
      </c>
      <c r="K54">
        <v>57.75</v>
      </c>
      <c r="L54">
        <v>55.3</v>
      </c>
      <c r="M54">
        <v>52.85</v>
      </c>
    </row>
    <row r="55" spans="1:13" ht="15.75" x14ac:dyDescent="0.3">
      <c r="A55" s="2" t="s">
        <v>463</v>
      </c>
      <c r="B55" s="2">
        <v>92006</v>
      </c>
      <c r="C55" t="str">
        <f t="shared" si="0"/>
        <v>T2LP6</v>
      </c>
      <c r="D55">
        <v>70</v>
      </c>
      <c r="E55">
        <v>70</v>
      </c>
      <c r="F55">
        <v>70</v>
      </c>
      <c r="G55">
        <v>67.55</v>
      </c>
      <c r="H55">
        <v>65.099999999999994</v>
      </c>
      <c r="I55">
        <v>62.65</v>
      </c>
      <c r="J55">
        <v>60.2</v>
      </c>
      <c r="K55">
        <v>57.75</v>
      </c>
      <c r="L55">
        <v>55.3</v>
      </c>
      <c r="M55">
        <v>52.85</v>
      </c>
    </row>
    <row r="56" spans="1:13" ht="15.75" x14ac:dyDescent="0.3">
      <c r="A56" s="2" t="s">
        <v>455</v>
      </c>
      <c r="B56" s="2">
        <v>92101</v>
      </c>
      <c r="C56" t="str">
        <f t="shared" si="0"/>
        <v>T2MP1</v>
      </c>
      <c r="D56">
        <v>70</v>
      </c>
      <c r="E56">
        <v>70</v>
      </c>
      <c r="F56">
        <v>70</v>
      </c>
      <c r="G56">
        <v>67.55</v>
      </c>
      <c r="H56">
        <v>65.099999999999994</v>
      </c>
      <c r="I56">
        <v>62.65</v>
      </c>
      <c r="J56">
        <v>60.2</v>
      </c>
      <c r="K56">
        <v>57.75</v>
      </c>
      <c r="L56">
        <v>55.3</v>
      </c>
      <c r="M56">
        <v>52.85</v>
      </c>
    </row>
    <row r="57" spans="1:13" ht="15.75" x14ac:dyDescent="0.3">
      <c r="A57" s="2" t="s">
        <v>464</v>
      </c>
      <c r="B57" s="2">
        <v>92102</v>
      </c>
      <c r="C57" t="str">
        <f t="shared" si="0"/>
        <v>T2MP2</v>
      </c>
      <c r="D57">
        <v>70</v>
      </c>
      <c r="E57">
        <v>70</v>
      </c>
      <c r="F57">
        <v>70</v>
      </c>
      <c r="G57">
        <v>67.55</v>
      </c>
      <c r="H57">
        <v>65.099999999999994</v>
      </c>
      <c r="I57">
        <v>62.65</v>
      </c>
      <c r="J57">
        <v>60.2</v>
      </c>
      <c r="K57">
        <v>57.75</v>
      </c>
      <c r="L57">
        <v>55.3</v>
      </c>
      <c r="M57">
        <v>52.85</v>
      </c>
    </row>
    <row r="58" spans="1:13" ht="15.75" x14ac:dyDescent="0.3">
      <c r="A58" s="2" t="s">
        <v>456</v>
      </c>
      <c r="B58" s="2">
        <v>92103</v>
      </c>
      <c r="C58" t="str">
        <f t="shared" si="0"/>
        <v>T2MP3</v>
      </c>
      <c r="D58">
        <v>70</v>
      </c>
      <c r="E58">
        <v>70</v>
      </c>
      <c r="F58">
        <v>70</v>
      </c>
      <c r="G58">
        <v>67.55</v>
      </c>
      <c r="H58">
        <v>65.099999999999994</v>
      </c>
      <c r="I58">
        <v>62.65</v>
      </c>
      <c r="J58">
        <v>60.2</v>
      </c>
      <c r="K58">
        <v>57.75</v>
      </c>
      <c r="L58">
        <v>55.3</v>
      </c>
      <c r="M58">
        <v>52.85</v>
      </c>
    </row>
    <row r="59" spans="1:13" ht="15.75" x14ac:dyDescent="0.3">
      <c r="A59" s="2" t="s">
        <v>465</v>
      </c>
      <c r="B59" s="2">
        <v>92104</v>
      </c>
      <c r="C59" t="str">
        <f t="shared" si="0"/>
        <v>T2MP4</v>
      </c>
      <c r="D59">
        <v>70</v>
      </c>
      <c r="E59">
        <v>70</v>
      </c>
      <c r="F59">
        <v>70</v>
      </c>
      <c r="G59">
        <v>67.55</v>
      </c>
      <c r="H59">
        <v>65.099999999999994</v>
      </c>
      <c r="I59">
        <v>62.65</v>
      </c>
      <c r="J59">
        <v>60.2</v>
      </c>
      <c r="K59">
        <v>57.75</v>
      </c>
      <c r="L59">
        <v>55.3</v>
      </c>
      <c r="M59">
        <v>52.85</v>
      </c>
    </row>
    <row r="60" spans="1:13" ht="15.75" x14ac:dyDescent="0.3">
      <c r="A60" s="2" t="s">
        <v>457</v>
      </c>
      <c r="B60" s="2">
        <v>92105</v>
      </c>
      <c r="C60" t="str">
        <f t="shared" si="0"/>
        <v>T2MP5</v>
      </c>
      <c r="D60">
        <v>70</v>
      </c>
      <c r="E60">
        <v>70</v>
      </c>
      <c r="F60">
        <v>70</v>
      </c>
      <c r="G60">
        <v>67.55</v>
      </c>
      <c r="H60">
        <v>65.099999999999994</v>
      </c>
      <c r="I60">
        <v>62.65</v>
      </c>
      <c r="J60">
        <v>60.2</v>
      </c>
      <c r="K60">
        <v>57.75</v>
      </c>
      <c r="L60">
        <v>55.3</v>
      </c>
      <c r="M60">
        <v>52.85</v>
      </c>
    </row>
    <row r="61" spans="1:13" ht="15.75" x14ac:dyDescent="0.3">
      <c r="A61" s="2" t="s">
        <v>466</v>
      </c>
      <c r="B61" s="2">
        <v>92106</v>
      </c>
      <c r="C61" t="str">
        <f t="shared" si="0"/>
        <v>T2MP6</v>
      </c>
      <c r="D61">
        <v>70</v>
      </c>
      <c r="E61">
        <v>70</v>
      </c>
      <c r="F61">
        <v>70</v>
      </c>
      <c r="G61">
        <v>67.55</v>
      </c>
      <c r="H61">
        <v>65.099999999999994</v>
      </c>
      <c r="I61">
        <v>62.65</v>
      </c>
      <c r="J61">
        <v>60.2</v>
      </c>
      <c r="K61">
        <v>57.75</v>
      </c>
      <c r="L61">
        <v>55.3</v>
      </c>
      <c r="M61">
        <v>52.85</v>
      </c>
    </row>
    <row r="62" spans="1:13" ht="15.75" x14ac:dyDescent="0.3">
      <c r="A62" s="2" t="s">
        <v>458</v>
      </c>
      <c r="B62" s="2">
        <v>92201</v>
      </c>
      <c r="C62" t="str">
        <f t="shared" si="0"/>
        <v>T2HP1</v>
      </c>
      <c r="D62">
        <v>70</v>
      </c>
      <c r="E62">
        <v>70</v>
      </c>
      <c r="F62">
        <v>70</v>
      </c>
      <c r="G62">
        <v>67.55</v>
      </c>
      <c r="H62">
        <v>65.099999999999994</v>
      </c>
      <c r="I62">
        <v>62.65</v>
      </c>
      <c r="J62">
        <v>60.2</v>
      </c>
      <c r="K62">
        <v>57.75</v>
      </c>
      <c r="L62">
        <v>55.3</v>
      </c>
      <c r="M62">
        <v>52.85</v>
      </c>
    </row>
    <row r="63" spans="1:13" ht="15.75" x14ac:dyDescent="0.3">
      <c r="A63" s="2" t="s">
        <v>467</v>
      </c>
      <c r="B63" s="2">
        <v>92202</v>
      </c>
      <c r="C63" t="str">
        <f t="shared" si="0"/>
        <v>T2HP2</v>
      </c>
      <c r="D63">
        <v>70</v>
      </c>
      <c r="E63">
        <v>70</v>
      </c>
      <c r="F63">
        <v>70</v>
      </c>
      <c r="G63">
        <v>67.55</v>
      </c>
      <c r="H63">
        <v>65.099999999999994</v>
      </c>
      <c r="I63">
        <v>62.65</v>
      </c>
      <c r="J63">
        <v>60.2</v>
      </c>
      <c r="K63">
        <v>57.75</v>
      </c>
      <c r="L63">
        <v>55.3</v>
      </c>
      <c r="M63">
        <v>52.85</v>
      </c>
    </row>
    <row r="64" spans="1:13" ht="15.75" x14ac:dyDescent="0.3">
      <c r="A64" s="2" t="s">
        <v>459</v>
      </c>
      <c r="B64" s="2">
        <v>92203</v>
      </c>
      <c r="C64" t="str">
        <f t="shared" si="0"/>
        <v>T2HP3</v>
      </c>
      <c r="D64">
        <v>70</v>
      </c>
      <c r="E64">
        <v>70</v>
      </c>
      <c r="F64">
        <v>70</v>
      </c>
      <c r="G64">
        <v>67.55</v>
      </c>
      <c r="H64">
        <v>65.099999999999994</v>
      </c>
      <c r="I64">
        <v>62.65</v>
      </c>
      <c r="J64">
        <v>60.2</v>
      </c>
      <c r="K64">
        <v>57.75</v>
      </c>
      <c r="L64">
        <v>55.3</v>
      </c>
      <c r="M64">
        <v>52.85</v>
      </c>
    </row>
    <row r="65" spans="1:13" ht="15.75" x14ac:dyDescent="0.3">
      <c r="A65" s="2" t="s">
        <v>468</v>
      </c>
      <c r="B65" s="2">
        <v>92204</v>
      </c>
      <c r="C65" t="str">
        <f t="shared" si="0"/>
        <v>T2HP4</v>
      </c>
      <c r="D65">
        <v>70</v>
      </c>
      <c r="E65">
        <v>70</v>
      </c>
      <c r="F65">
        <v>70</v>
      </c>
      <c r="G65">
        <v>67.55</v>
      </c>
      <c r="H65">
        <v>65.099999999999994</v>
      </c>
      <c r="I65">
        <v>62.65</v>
      </c>
      <c r="J65">
        <v>60.2</v>
      </c>
      <c r="K65">
        <v>57.75</v>
      </c>
      <c r="L65">
        <v>55.3</v>
      </c>
      <c r="M65">
        <v>52.85</v>
      </c>
    </row>
    <row r="66" spans="1:13" ht="15.75" x14ac:dyDescent="0.3">
      <c r="A66" s="2" t="s">
        <v>460</v>
      </c>
      <c r="B66" s="2">
        <v>92205</v>
      </c>
      <c r="C66" t="str">
        <f t="shared" si="0"/>
        <v>T2HP5</v>
      </c>
      <c r="D66">
        <v>70</v>
      </c>
      <c r="E66">
        <v>70</v>
      </c>
      <c r="F66">
        <v>70</v>
      </c>
      <c r="G66">
        <v>67.55</v>
      </c>
      <c r="H66">
        <v>65.099999999999994</v>
      </c>
      <c r="I66">
        <v>62.65</v>
      </c>
      <c r="J66">
        <v>60.2</v>
      </c>
      <c r="K66">
        <v>57.75</v>
      </c>
      <c r="L66">
        <v>55.3</v>
      </c>
      <c r="M66">
        <v>52.85</v>
      </c>
    </row>
    <row r="67" spans="1:13" ht="15.75" x14ac:dyDescent="0.3">
      <c r="A67" s="2" t="s">
        <v>469</v>
      </c>
      <c r="B67" s="2">
        <v>92206</v>
      </c>
      <c r="C67" t="str">
        <f t="shared" ref="C67:C115" si="1">A67</f>
        <v>T2HP6</v>
      </c>
      <c r="D67">
        <v>70</v>
      </c>
      <c r="E67">
        <v>70</v>
      </c>
      <c r="F67">
        <v>70</v>
      </c>
      <c r="G67">
        <v>67.55</v>
      </c>
      <c r="H67">
        <v>65.099999999999994</v>
      </c>
      <c r="I67">
        <v>62.65</v>
      </c>
      <c r="J67">
        <v>60.2</v>
      </c>
      <c r="K67">
        <v>57.75</v>
      </c>
      <c r="L67">
        <v>55.3</v>
      </c>
      <c r="M67">
        <v>52.85</v>
      </c>
    </row>
    <row r="68" spans="1:13" ht="15.75" x14ac:dyDescent="0.3">
      <c r="A68" s="2" t="s">
        <v>471</v>
      </c>
      <c r="B68" s="2">
        <v>93001</v>
      </c>
      <c r="C68" t="str">
        <f t="shared" si="1"/>
        <v>T3LP1</v>
      </c>
      <c r="D68">
        <v>120</v>
      </c>
      <c r="E68">
        <v>120</v>
      </c>
      <c r="F68">
        <v>120</v>
      </c>
      <c r="G68">
        <v>120</v>
      </c>
      <c r="H68">
        <v>120</v>
      </c>
      <c r="I68">
        <v>117.6</v>
      </c>
      <c r="J68">
        <v>115.2</v>
      </c>
      <c r="K68">
        <v>112.8</v>
      </c>
      <c r="L68">
        <v>110.4</v>
      </c>
      <c r="M68">
        <v>108</v>
      </c>
    </row>
    <row r="69" spans="1:13" ht="15.75" x14ac:dyDescent="0.3">
      <c r="A69" s="2" t="s">
        <v>480</v>
      </c>
      <c r="B69" s="2">
        <v>93002</v>
      </c>
      <c r="C69" t="str">
        <f t="shared" si="1"/>
        <v>T3LP2</v>
      </c>
      <c r="D69">
        <v>120</v>
      </c>
      <c r="E69">
        <v>120</v>
      </c>
      <c r="F69">
        <v>120</v>
      </c>
      <c r="G69">
        <v>120</v>
      </c>
      <c r="H69">
        <v>120</v>
      </c>
      <c r="I69">
        <v>117.6</v>
      </c>
      <c r="J69">
        <v>115.2</v>
      </c>
      <c r="K69">
        <v>112.8</v>
      </c>
      <c r="L69">
        <v>110.4</v>
      </c>
      <c r="M69">
        <v>108</v>
      </c>
    </row>
    <row r="70" spans="1:13" ht="15.75" x14ac:dyDescent="0.3">
      <c r="A70" s="2" t="s">
        <v>472</v>
      </c>
      <c r="B70" s="2">
        <v>93003</v>
      </c>
      <c r="C70" t="str">
        <f t="shared" si="1"/>
        <v>T3LP3</v>
      </c>
      <c r="D70">
        <v>120</v>
      </c>
      <c r="E70">
        <v>120</v>
      </c>
      <c r="F70">
        <v>120</v>
      </c>
      <c r="G70">
        <v>120</v>
      </c>
      <c r="H70">
        <v>120</v>
      </c>
      <c r="I70">
        <v>117.6</v>
      </c>
      <c r="J70">
        <v>115.2</v>
      </c>
      <c r="K70">
        <v>112.8</v>
      </c>
      <c r="L70">
        <v>110.4</v>
      </c>
      <c r="M70">
        <v>108</v>
      </c>
    </row>
    <row r="71" spans="1:13" ht="15.75" x14ac:dyDescent="0.3">
      <c r="A71" s="2" t="s">
        <v>481</v>
      </c>
      <c r="B71" s="2">
        <v>93004</v>
      </c>
      <c r="C71" t="str">
        <f t="shared" si="1"/>
        <v>T3LP4</v>
      </c>
      <c r="D71">
        <v>120</v>
      </c>
      <c r="E71">
        <v>120</v>
      </c>
      <c r="F71">
        <v>120</v>
      </c>
      <c r="G71">
        <v>120</v>
      </c>
      <c r="H71">
        <v>120</v>
      </c>
      <c r="I71">
        <v>117.6</v>
      </c>
      <c r="J71">
        <v>115.2</v>
      </c>
      <c r="K71">
        <v>112.8</v>
      </c>
      <c r="L71">
        <v>110.4</v>
      </c>
      <c r="M71">
        <v>108</v>
      </c>
    </row>
    <row r="72" spans="1:13" ht="15.75" x14ac:dyDescent="0.3">
      <c r="A72" s="2" t="s">
        <v>473</v>
      </c>
      <c r="B72" s="2">
        <v>93005</v>
      </c>
      <c r="C72" t="str">
        <f t="shared" si="1"/>
        <v>T3LP5</v>
      </c>
      <c r="D72">
        <v>120</v>
      </c>
      <c r="E72">
        <v>120</v>
      </c>
      <c r="F72">
        <v>120</v>
      </c>
      <c r="G72">
        <v>120</v>
      </c>
      <c r="H72">
        <v>120</v>
      </c>
      <c r="I72">
        <v>117.6</v>
      </c>
      <c r="J72">
        <v>115.2</v>
      </c>
      <c r="K72">
        <v>112.8</v>
      </c>
      <c r="L72">
        <v>110.4</v>
      </c>
      <c r="M72">
        <v>108</v>
      </c>
    </row>
    <row r="73" spans="1:13" ht="15.75" x14ac:dyDescent="0.3">
      <c r="A73" s="2" t="s">
        <v>482</v>
      </c>
      <c r="B73" s="2">
        <v>93006</v>
      </c>
      <c r="C73" t="str">
        <f t="shared" si="1"/>
        <v>T3LP6</v>
      </c>
      <c r="D73">
        <v>120</v>
      </c>
      <c r="E73">
        <v>120</v>
      </c>
      <c r="F73">
        <v>120</v>
      </c>
      <c r="G73">
        <v>120</v>
      </c>
      <c r="H73">
        <v>120</v>
      </c>
      <c r="I73">
        <v>117.6</v>
      </c>
      <c r="J73">
        <v>115.2</v>
      </c>
      <c r="K73">
        <v>112.8</v>
      </c>
      <c r="L73">
        <v>110.4</v>
      </c>
      <c r="M73">
        <v>108</v>
      </c>
    </row>
    <row r="74" spans="1:13" ht="15.75" x14ac:dyDescent="0.3">
      <c r="A74" s="2" t="s">
        <v>474</v>
      </c>
      <c r="B74" s="2">
        <v>93101</v>
      </c>
      <c r="C74" t="str">
        <f t="shared" si="1"/>
        <v>T3MP1</v>
      </c>
      <c r="D74">
        <v>120</v>
      </c>
      <c r="E74">
        <v>120</v>
      </c>
      <c r="F74">
        <v>120</v>
      </c>
      <c r="G74">
        <v>120</v>
      </c>
      <c r="H74">
        <v>120</v>
      </c>
      <c r="I74">
        <v>117.6</v>
      </c>
      <c r="J74">
        <v>115.2</v>
      </c>
      <c r="K74">
        <v>112.8</v>
      </c>
      <c r="L74">
        <v>110.4</v>
      </c>
      <c r="M74">
        <v>108</v>
      </c>
    </row>
    <row r="75" spans="1:13" ht="15.75" x14ac:dyDescent="0.3">
      <c r="A75" s="2" t="s">
        <v>483</v>
      </c>
      <c r="B75" s="2">
        <v>93102</v>
      </c>
      <c r="C75" t="str">
        <f t="shared" si="1"/>
        <v>T3MP2</v>
      </c>
      <c r="D75">
        <v>120</v>
      </c>
      <c r="E75">
        <v>120</v>
      </c>
      <c r="F75">
        <v>120</v>
      </c>
      <c r="G75">
        <v>120</v>
      </c>
      <c r="H75">
        <v>120</v>
      </c>
      <c r="I75">
        <v>117.6</v>
      </c>
      <c r="J75">
        <v>115.2</v>
      </c>
      <c r="K75">
        <v>112.8</v>
      </c>
      <c r="L75">
        <v>110.4</v>
      </c>
      <c r="M75">
        <v>108</v>
      </c>
    </row>
    <row r="76" spans="1:13" ht="15.75" x14ac:dyDescent="0.3">
      <c r="A76" s="2" t="s">
        <v>475</v>
      </c>
      <c r="B76" s="2">
        <v>93103</v>
      </c>
      <c r="C76" t="str">
        <f t="shared" si="1"/>
        <v>T3MP3</v>
      </c>
      <c r="D76">
        <v>120</v>
      </c>
      <c r="E76">
        <v>120</v>
      </c>
      <c r="F76">
        <v>120</v>
      </c>
      <c r="G76">
        <v>120</v>
      </c>
      <c r="H76">
        <v>120</v>
      </c>
      <c r="I76">
        <v>117.6</v>
      </c>
      <c r="J76">
        <v>115.2</v>
      </c>
      <c r="K76">
        <v>112.8</v>
      </c>
      <c r="L76">
        <v>110.4</v>
      </c>
      <c r="M76">
        <v>108</v>
      </c>
    </row>
    <row r="77" spans="1:13" ht="15.75" x14ac:dyDescent="0.3">
      <c r="A77" s="2" t="s">
        <v>484</v>
      </c>
      <c r="B77" s="2">
        <v>93104</v>
      </c>
      <c r="C77" t="str">
        <f t="shared" si="1"/>
        <v>T3MP4</v>
      </c>
      <c r="D77">
        <v>120</v>
      </c>
      <c r="E77">
        <v>120</v>
      </c>
      <c r="F77">
        <v>120</v>
      </c>
      <c r="G77">
        <v>120</v>
      </c>
      <c r="H77">
        <v>120</v>
      </c>
      <c r="I77">
        <v>117.6</v>
      </c>
      <c r="J77">
        <v>115.2</v>
      </c>
      <c r="K77">
        <v>112.8</v>
      </c>
      <c r="L77">
        <v>110.4</v>
      </c>
      <c r="M77">
        <v>108</v>
      </c>
    </row>
    <row r="78" spans="1:13" ht="15.75" x14ac:dyDescent="0.3">
      <c r="A78" s="2" t="s">
        <v>476</v>
      </c>
      <c r="B78" s="2">
        <v>93105</v>
      </c>
      <c r="C78" t="str">
        <f t="shared" si="1"/>
        <v>T3MP5</v>
      </c>
      <c r="D78">
        <v>120</v>
      </c>
      <c r="E78">
        <v>120</v>
      </c>
      <c r="F78">
        <v>120</v>
      </c>
      <c r="G78">
        <v>120</v>
      </c>
      <c r="H78">
        <v>120</v>
      </c>
      <c r="I78">
        <v>117.6</v>
      </c>
      <c r="J78">
        <v>115.2</v>
      </c>
      <c r="K78">
        <v>112.8</v>
      </c>
      <c r="L78">
        <v>110.4</v>
      </c>
      <c r="M78">
        <v>108</v>
      </c>
    </row>
    <row r="79" spans="1:13" ht="15.75" x14ac:dyDescent="0.3">
      <c r="A79" s="2" t="s">
        <v>485</v>
      </c>
      <c r="B79" s="2">
        <v>93106</v>
      </c>
      <c r="C79" t="str">
        <f t="shared" si="1"/>
        <v>T3MP6</v>
      </c>
      <c r="D79">
        <v>120</v>
      </c>
      <c r="E79">
        <v>120</v>
      </c>
      <c r="F79">
        <v>120</v>
      </c>
      <c r="G79">
        <v>120</v>
      </c>
      <c r="H79">
        <v>120</v>
      </c>
      <c r="I79">
        <v>117.6</v>
      </c>
      <c r="J79">
        <v>115.2</v>
      </c>
      <c r="K79">
        <v>112.8</v>
      </c>
      <c r="L79">
        <v>110.4</v>
      </c>
      <c r="M79">
        <v>108</v>
      </c>
    </row>
    <row r="80" spans="1:13" ht="15.75" x14ac:dyDescent="0.3">
      <c r="A80" s="2" t="s">
        <v>477</v>
      </c>
      <c r="B80" s="2">
        <v>93201</v>
      </c>
      <c r="C80" t="str">
        <f t="shared" si="1"/>
        <v>T3HP1</v>
      </c>
      <c r="D80">
        <v>120</v>
      </c>
      <c r="E80">
        <v>120</v>
      </c>
      <c r="F80">
        <v>120</v>
      </c>
      <c r="G80">
        <v>120</v>
      </c>
      <c r="H80">
        <v>120</v>
      </c>
      <c r="I80">
        <v>117.6</v>
      </c>
      <c r="J80">
        <v>115.2</v>
      </c>
      <c r="K80">
        <v>112.8</v>
      </c>
      <c r="L80">
        <v>110.4</v>
      </c>
      <c r="M80">
        <v>108</v>
      </c>
    </row>
    <row r="81" spans="1:13" ht="15.75" x14ac:dyDescent="0.3">
      <c r="A81" s="2" t="s">
        <v>486</v>
      </c>
      <c r="B81" s="2">
        <v>93202</v>
      </c>
      <c r="C81" t="str">
        <f t="shared" si="1"/>
        <v>T3HP2</v>
      </c>
      <c r="D81">
        <v>120</v>
      </c>
      <c r="E81">
        <v>120</v>
      </c>
      <c r="F81">
        <v>120</v>
      </c>
      <c r="G81">
        <v>120</v>
      </c>
      <c r="H81">
        <v>120</v>
      </c>
      <c r="I81">
        <v>117.6</v>
      </c>
      <c r="J81">
        <v>115.2</v>
      </c>
      <c r="K81">
        <v>112.8</v>
      </c>
      <c r="L81">
        <v>110.4</v>
      </c>
      <c r="M81">
        <v>108</v>
      </c>
    </row>
    <row r="82" spans="1:13" ht="15.75" x14ac:dyDescent="0.3">
      <c r="A82" s="2" t="s">
        <v>478</v>
      </c>
      <c r="B82" s="2">
        <v>93203</v>
      </c>
      <c r="C82" t="str">
        <f t="shared" si="1"/>
        <v>T3HP3</v>
      </c>
      <c r="D82">
        <v>120</v>
      </c>
      <c r="E82">
        <v>120</v>
      </c>
      <c r="F82">
        <v>120</v>
      </c>
      <c r="G82">
        <v>120</v>
      </c>
      <c r="H82">
        <v>120</v>
      </c>
      <c r="I82">
        <v>117.6</v>
      </c>
      <c r="J82">
        <v>115.2</v>
      </c>
      <c r="K82">
        <v>112.8</v>
      </c>
      <c r="L82">
        <v>110.4</v>
      </c>
      <c r="M82">
        <v>108</v>
      </c>
    </row>
    <row r="83" spans="1:13" ht="15.75" x14ac:dyDescent="0.3">
      <c r="A83" s="2" t="s">
        <v>487</v>
      </c>
      <c r="B83" s="2">
        <v>93204</v>
      </c>
      <c r="C83" t="str">
        <f t="shared" si="1"/>
        <v>T3HP4</v>
      </c>
      <c r="D83">
        <v>120</v>
      </c>
      <c r="E83">
        <v>120</v>
      </c>
      <c r="F83">
        <v>120</v>
      </c>
      <c r="G83">
        <v>120</v>
      </c>
      <c r="H83">
        <v>120</v>
      </c>
      <c r="I83">
        <v>117.6</v>
      </c>
      <c r="J83">
        <v>115.2</v>
      </c>
      <c r="K83">
        <v>112.8</v>
      </c>
      <c r="L83">
        <v>110.4</v>
      </c>
      <c r="M83">
        <v>108</v>
      </c>
    </row>
    <row r="84" spans="1:13" ht="15.75" x14ac:dyDescent="0.3">
      <c r="A84" s="2" t="s">
        <v>479</v>
      </c>
      <c r="B84" s="2">
        <v>93205</v>
      </c>
      <c r="C84" t="str">
        <f t="shared" si="1"/>
        <v>T3HP5</v>
      </c>
      <c r="D84">
        <v>120</v>
      </c>
      <c r="E84">
        <v>120</v>
      </c>
      <c r="F84">
        <v>120</v>
      </c>
      <c r="G84">
        <v>120</v>
      </c>
      <c r="H84">
        <v>120</v>
      </c>
      <c r="I84">
        <v>117.6</v>
      </c>
      <c r="J84">
        <v>115.2</v>
      </c>
      <c r="K84">
        <v>112.8</v>
      </c>
      <c r="L84">
        <v>110.4</v>
      </c>
      <c r="M84">
        <v>108</v>
      </c>
    </row>
    <row r="85" spans="1:13" ht="15.75" x14ac:dyDescent="0.3">
      <c r="A85" s="2" t="s">
        <v>488</v>
      </c>
      <c r="B85" s="2">
        <v>93206</v>
      </c>
      <c r="C85" t="str">
        <f t="shared" si="1"/>
        <v>T3HP6</v>
      </c>
      <c r="D85">
        <v>120</v>
      </c>
      <c r="E85">
        <v>120</v>
      </c>
      <c r="F85">
        <v>120</v>
      </c>
      <c r="G85">
        <v>120</v>
      </c>
      <c r="H85">
        <v>120</v>
      </c>
      <c r="I85">
        <v>117.6</v>
      </c>
      <c r="J85">
        <v>115.2</v>
      </c>
      <c r="K85">
        <v>112.8</v>
      </c>
      <c r="L85">
        <v>110.4</v>
      </c>
      <c r="M85">
        <v>108</v>
      </c>
    </row>
    <row r="86" spans="1:13" x14ac:dyDescent="0.15">
      <c r="A86" t="s">
        <v>518</v>
      </c>
      <c r="B86">
        <v>11111</v>
      </c>
      <c r="C86" t="str">
        <f t="shared" si="1"/>
        <v>雷诺FT</v>
      </c>
      <c r="D86">
        <v>300</v>
      </c>
      <c r="E86">
        <v>282</v>
      </c>
      <c r="F86">
        <v>264</v>
      </c>
      <c r="G86">
        <v>246</v>
      </c>
      <c r="H86">
        <v>228</v>
      </c>
      <c r="I86">
        <v>210</v>
      </c>
      <c r="J86">
        <v>192</v>
      </c>
      <c r="K86">
        <v>174</v>
      </c>
      <c r="L86">
        <v>156</v>
      </c>
      <c r="M86">
        <v>138</v>
      </c>
    </row>
    <row r="87" spans="1:13" x14ac:dyDescent="0.15">
      <c r="A87" t="s">
        <v>524</v>
      </c>
      <c r="B87">
        <v>11211</v>
      </c>
      <c r="C87" t="str">
        <f t="shared" si="1"/>
        <v>二号</v>
      </c>
      <c r="D87">
        <v>600</v>
      </c>
      <c r="E87">
        <v>600</v>
      </c>
      <c r="F87">
        <v>564</v>
      </c>
      <c r="G87">
        <v>528</v>
      </c>
      <c r="H87">
        <v>492</v>
      </c>
      <c r="I87">
        <v>456</v>
      </c>
      <c r="J87">
        <v>420</v>
      </c>
      <c r="K87">
        <v>384</v>
      </c>
      <c r="L87">
        <v>348</v>
      </c>
      <c r="M87">
        <v>312</v>
      </c>
    </row>
    <row r="88" spans="1:13" x14ac:dyDescent="0.15">
      <c r="A88" t="s">
        <v>616</v>
      </c>
      <c r="B88">
        <v>11221</v>
      </c>
      <c r="C88" t="str">
        <f t="shared" si="1"/>
        <v>Puma</v>
      </c>
      <c r="D88">
        <v>800</v>
      </c>
      <c r="E88">
        <v>800</v>
      </c>
      <c r="F88">
        <v>800</v>
      </c>
      <c r="G88">
        <v>768</v>
      </c>
      <c r="H88">
        <v>736</v>
      </c>
      <c r="I88">
        <v>704</v>
      </c>
      <c r="J88">
        <v>672</v>
      </c>
      <c r="K88">
        <v>640</v>
      </c>
      <c r="L88">
        <v>608</v>
      </c>
      <c r="M88">
        <v>576</v>
      </c>
    </row>
    <row r="89" spans="1:13" x14ac:dyDescent="0.15">
      <c r="A89" t="s">
        <v>530</v>
      </c>
      <c r="B89">
        <v>11311</v>
      </c>
      <c r="C89" t="str">
        <f t="shared" si="1"/>
        <v>35(t)</v>
      </c>
      <c r="D89">
        <v>1650</v>
      </c>
      <c r="E89">
        <v>1650</v>
      </c>
      <c r="F89">
        <v>1650</v>
      </c>
      <c r="G89">
        <v>1650</v>
      </c>
      <c r="H89">
        <v>1650</v>
      </c>
      <c r="I89">
        <v>1551</v>
      </c>
      <c r="J89">
        <v>1452</v>
      </c>
      <c r="K89">
        <v>1353</v>
      </c>
      <c r="L89">
        <v>1254</v>
      </c>
      <c r="M89">
        <v>1155</v>
      </c>
    </row>
    <row r="90" spans="1:13" x14ac:dyDescent="0.15">
      <c r="A90" t="s">
        <v>620</v>
      </c>
      <c r="B90">
        <v>11321</v>
      </c>
      <c r="C90" t="str">
        <f t="shared" si="1"/>
        <v>十字军</v>
      </c>
      <c r="D90">
        <v>2100</v>
      </c>
      <c r="E90">
        <v>2100</v>
      </c>
      <c r="F90">
        <v>2100</v>
      </c>
      <c r="G90">
        <v>2100</v>
      </c>
      <c r="H90">
        <v>2100</v>
      </c>
      <c r="I90">
        <v>2016</v>
      </c>
      <c r="J90">
        <v>1932</v>
      </c>
      <c r="K90">
        <v>1848</v>
      </c>
      <c r="L90">
        <v>1764</v>
      </c>
      <c r="M90">
        <v>1680</v>
      </c>
    </row>
    <row r="91" spans="1:13" x14ac:dyDescent="0.15">
      <c r="A91" t="s">
        <v>622</v>
      </c>
      <c r="B91">
        <v>11331</v>
      </c>
      <c r="C91" t="str">
        <f t="shared" si="1"/>
        <v>AMX-13</v>
      </c>
      <c r="D91">
        <v>2400</v>
      </c>
      <c r="E91">
        <v>2400</v>
      </c>
      <c r="F91">
        <v>2400</v>
      </c>
      <c r="G91">
        <v>2400</v>
      </c>
      <c r="H91">
        <v>2400</v>
      </c>
      <c r="I91">
        <v>2304</v>
      </c>
      <c r="J91">
        <v>2208</v>
      </c>
      <c r="K91">
        <v>2112</v>
      </c>
      <c r="L91">
        <v>2016</v>
      </c>
      <c r="M91">
        <v>1920</v>
      </c>
    </row>
    <row r="92" spans="1:13" x14ac:dyDescent="0.15">
      <c r="A92" t="s">
        <v>624</v>
      </c>
      <c r="B92">
        <v>11411</v>
      </c>
      <c r="C92" t="str">
        <f t="shared" si="1"/>
        <v>霞飞</v>
      </c>
      <c r="D92">
        <v>5250</v>
      </c>
      <c r="E92">
        <v>5250</v>
      </c>
      <c r="F92">
        <v>5250</v>
      </c>
      <c r="G92">
        <v>5250</v>
      </c>
      <c r="H92">
        <v>5250</v>
      </c>
      <c r="I92">
        <v>5250</v>
      </c>
      <c r="J92">
        <v>5250</v>
      </c>
      <c r="K92">
        <v>5250</v>
      </c>
      <c r="L92">
        <v>5040</v>
      </c>
      <c r="M92">
        <v>4830</v>
      </c>
    </row>
    <row r="93" spans="1:13" x14ac:dyDescent="0.15">
      <c r="A93" t="s">
        <v>627</v>
      </c>
      <c r="B93">
        <v>11421</v>
      </c>
      <c r="C93" t="str">
        <f t="shared" si="1"/>
        <v>M-41</v>
      </c>
      <c r="D93">
        <v>6500</v>
      </c>
      <c r="E93">
        <v>6500</v>
      </c>
      <c r="F93">
        <v>6500</v>
      </c>
      <c r="G93">
        <v>6500</v>
      </c>
      <c r="H93">
        <v>6500</v>
      </c>
      <c r="I93">
        <v>6500</v>
      </c>
      <c r="J93">
        <v>6500</v>
      </c>
      <c r="K93">
        <v>6500</v>
      </c>
      <c r="L93">
        <v>6240</v>
      </c>
      <c r="M93">
        <v>5980</v>
      </c>
    </row>
    <row r="94" spans="1:13" x14ac:dyDescent="0.15">
      <c r="A94" t="s">
        <v>629</v>
      </c>
      <c r="B94">
        <v>11431</v>
      </c>
      <c r="C94" t="str">
        <f t="shared" si="1"/>
        <v>BMP-3</v>
      </c>
      <c r="D94">
        <v>7250</v>
      </c>
      <c r="E94">
        <v>7250</v>
      </c>
      <c r="F94">
        <v>7250</v>
      </c>
      <c r="G94">
        <v>7250</v>
      </c>
      <c r="H94">
        <v>7250</v>
      </c>
      <c r="I94">
        <v>7250</v>
      </c>
      <c r="J94">
        <v>7250</v>
      </c>
      <c r="K94">
        <v>7250</v>
      </c>
      <c r="L94">
        <v>6960</v>
      </c>
      <c r="M94">
        <v>6670</v>
      </c>
    </row>
    <row r="95" spans="1:13" x14ac:dyDescent="0.15">
      <c r="A95" t="s">
        <v>631</v>
      </c>
      <c r="B95">
        <v>11511</v>
      </c>
      <c r="C95" t="str">
        <f t="shared" si="1"/>
        <v>59式</v>
      </c>
      <c r="D95">
        <v>15600</v>
      </c>
      <c r="E95">
        <v>15600</v>
      </c>
      <c r="F95">
        <v>15600</v>
      </c>
      <c r="G95">
        <v>15600</v>
      </c>
      <c r="H95">
        <v>15600</v>
      </c>
      <c r="I95">
        <v>15600</v>
      </c>
      <c r="J95">
        <v>15600</v>
      </c>
      <c r="K95">
        <v>15600</v>
      </c>
      <c r="L95">
        <v>15600</v>
      </c>
      <c r="M95">
        <v>15600</v>
      </c>
    </row>
    <row r="96" spans="1:13" x14ac:dyDescent="0.15">
      <c r="A96" t="s">
        <v>520</v>
      </c>
      <c r="B96">
        <v>12111</v>
      </c>
      <c r="C96" t="str">
        <f t="shared" si="1"/>
        <v>Stuart</v>
      </c>
      <c r="D96">
        <v>300</v>
      </c>
      <c r="E96">
        <v>282</v>
      </c>
      <c r="F96">
        <v>264</v>
      </c>
      <c r="G96">
        <v>246</v>
      </c>
      <c r="H96">
        <v>228</v>
      </c>
      <c r="I96">
        <v>210</v>
      </c>
      <c r="J96">
        <v>192</v>
      </c>
      <c r="K96">
        <v>174</v>
      </c>
      <c r="L96">
        <v>156</v>
      </c>
      <c r="M96">
        <v>138</v>
      </c>
    </row>
    <row r="97" spans="1:13" x14ac:dyDescent="0.15">
      <c r="A97" t="s">
        <v>526</v>
      </c>
      <c r="B97">
        <v>12211</v>
      </c>
      <c r="C97" t="str">
        <f t="shared" si="1"/>
        <v>T-34</v>
      </c>
      <c r="D97">
        <v>600</v>
      </c>
      <c r="E97">
        <v>600</v>
      </c>
      <c r="F97">
        <v>564</v>
      </c>
      <c r="G97">
        <v>528</v>
      </c>
      <c r="H97">
        <v>492</v>
      </c>
      <c r="I97">
        <v>456</v>
      </c>
      <c r="J97">
        <v>420</v>
      </c>
      <c r="K97">
        <v>384</v>
      </c>
      <c r="L97">
        <v>348</v>
      </c>
      <c r="M97">
        <v>312</v>
      </c>
    </row>
    <row r="98" spans="1:13" x14ac:dyDescent="0.15">
      <c r="A98" t="s">
        <v>636</v>
      </c>
      <c r="B98">
        <v>12221</v>
      </c>
      <c r="C98" t="str">
        <f t="shared" si="1"/>
        <v>四号</v>
      </c>
      <c r="D98">
        <v>800</v>
      </c>
      <c r="E98">
        <v>800</v>
      </c>
      <c r="F98">
        <v>800</v>
      </c>
      <c r="G98">
        <v>768</v>
      </c>
      <c r="H98">
        <v>736</v>
      </c>
      <c r="I98">
        <v>704</v>
      </c>
      <c r="J98">
        <v>672</v>
      </c>
      <c r="K98">
        <v>640</v>
      </c>
      <c r="L98">
        <v>608</v>
      </c>
      <c r="M98">
        <v>576</v>
      </c>
    </row>
    <row r="99" spans="1:13" x14ac:dyDescent="0.15">
      <c r="A99" t="s">
        <v>534</v>
      </c>
      <c r="B99">
        <v>12311</v>
      </c>
      <c r="C99" t="str">
        <f t="shared" si="1"/>
        <v>玛蒂尔达</v>
      </c>
      <c r="D99">
        <v>1650</v>
      </c>
      <c r="E99">
        <v>1650</v>
      </c>
      <c r="F99">
        <v>1650</v>
      </c>
      <c r="G99">
        <v>1650</v>
      </c>
      <c r="H99">
        <v>1650</v>
      </c>
      <c r="I99">
        <v>1551</v>
      </c>
      <c r="J99">
        <v>1452</v>
      </c>
      <c r="K99">
        <v>1353</v>
      </c>
      <c r="L99">
        <v>1254</v>
      </c>
      <c r="M99">
        <v>1155</v>
      </c>
    </row>
    <row r="100" spans="1:13" x14ac:dyDescent="0.15">
      <c r="A100" t="s">
        <v>639</v>
      </c>
      <c r="B100">
        <v>12321</v>
      </c>
      <c r="C100" t="str">
        <f t="shared" si="1"/>
        <v>谢尔曼</v>
      </c>
      <c r="D100">
        <v>2100</v>
      </c>
      <c r="E100">
        <v>2100</v>
      </c>
      <c r="F100">
        <v>2100</v>
      </c>
      <c r="G100">
        <v>2100</v>
      </c>
      <c r="H100">
        <v>2100</v>
      </c>
      <c r="I100">
        <v>2016</v>
      </c>
      <c r="J100">
        <v>1932</v>
      </c>
      <c r="K100">
        <v>1848</v>
      </c>
      <c r="L100">
        <v>1764</v>
      </c>
      <c r="M100">
        <v>1680</v>
      </c>
    </row>
    <row r="101" spans="1:13" x14ac:dyDescent="0.15">
      <c r="A101" t="s">
        <v>641</v>
      </c>
      <c r="B101">
        <v>12331</v>
      </c>
      <c r="C101" t="str">
        <f t="shared" si="1"/>
        <v>彗星</v>
      </c>
      <c r="D101">
        <v>2400</v>
      </c>
      <c r="E101">
        <v>2400</v>
      </c>
      <c r="F101">
        <v>2400</v>
      </c>
      <c r="G101">
        <v>2400</v>
      </c>
      <c r="H101">
        <v>2400</v>
      </c>
      <c r="I101">
        <v>2304</v>
      </c>
      <c r="J101">
        <v>2208</v>
      </c>
      <c r="K101">
        <v>2112</v>
      </c>
      <c r="L101">
        <v>2016</v>
      </c>
      <c r="M101">
        <v>1920</v>
      </c>
    </row>
    <row r="102" spans="1:13" x14ac:dyDescent="0.15">
      <c r="A102" t="s">
        <v>643</v>
      </c>
      <c r="B102">
        <v>12411</v>
      </c>
      <c r="C102" t="str">
        <f t="shared" si="1"/>
        <v>M-48</v>
      </c>
      <c r="D102">
        <v>5250</v>
      </c>
      <c r="E102">
        <v>5250</v>
      </c>
      <c r="F102">
        <v>5250</v>
      </c>
      <c r="G102">
        <v>5250</v>
      </c>
      <c r="H102">
        <v>5250</v>
      </c>
      <c r="I102">
        <v>5250</v>
      </c>
      <c r="J102">
        <v>5250</v>
      </c>
      <c r="K102">
        <v>5250</v>
      </c>
      <c r="L102">
        <v>5040</v>
      </c>
      <c r="M102">
        <v>4830</v>
      </c>
    </row>
    <row r="103" spans="1:13" x14ac:dyDescent="0.15">
      <c r="A103" t="s">
        <v>645</v>
      </c>
      <c r="B103">
        <v>12421</v>
      </c>
      <c r="C103" t="str">
        <f t="shared" si="1"/>
        <v>潘兴</v>
      </c>
      <c r="D103">
        <v>6500</v>
      </c>
      <c r="E103">
        <v>6500</v>
      </c>
      <c r="F103">
        <v>6500</v>
      </c>
      <c r="G103">
        <v>6500</v>
      </c>
      <c r="H103">
        <v>6500</v>
      </c>
      <c r="I103">
        <v>6500</v>
      </c>
      <c r="J103">
        <v>6500</v>
      </c>
      <c r="K103">
        <v>6500</v>
      </c>
      <c r="L103">
        <v>6240</v>
      </c>
      <c r="M103">
        <v>5980</v>
      </c>
    </row>
    <row r="104" spans="1:13" x14ac:dyDescent="0.15">
      <c r="A104" t="s">
        <v>647</v>
      </c>
      <c r="B104">
        <v>12431</v>
      </c>
      <c r="C104" t="str">
        <f t="shared" si="1"/>
        <v>百夫长</v>
      </c>
      <c r="D104">
        <v>7250</v>
      </c>
      <c r="E104">
        <v>7250</v>
      </c>
      <c r="F104">
        <v>7250</v>
      </c>
      <c r="G104">
        <v>7250</v>
      </c>
      <c r="H104">
        <v>7250</v>
      </c>
      <c r="I104">
        <v>7250</v>
      </c>
      <c r="J104">
        <v>7250</v>
      </c>
      <c r="K104">
        <v>7250</v>
      </c>
      <c r="L104">
        <v>6960</v>
      </c>
      <c r="M104">
        <v>6670</v>
      </c>
    </row>
    <row r="105" spans="1:13" x14ac:dyDescent="0.15">
      <c r="A105" t="s">
        <v>649</v>
      </c>
      <c r="B105">
        <v>12511</v>
      </c>
      <c r="C105" t="str">
        <f t="shared" si="1"/>
        <v>挑战者</v>
      </c>
      <c r="D105">
        <v>15600</v>
      </c>
      <c r="E105">
        <v>15600</v>
      </c>
      <c r="F105">
        <v>15600</v>
      </c>
      <c r="G105">
        <v>15600</v>
      </c>
      <c r="H105">
        <v>15600</v>
      </c>
      <c r="I105">
        <v>15600</v>
      </c>
      <c r="J105">
        <v>15600</v>
      </c>
      <c r="K105">
        <v>15600</v>
      </c>
      <c r="L105">
        <v>15600</v>
      </c>
      <c r="M105">
        <v>15600</v>
      </c>
    </row>
    <row r="106" spans="1:13" x14ac:dyDescent="0.15">
      <c r="A106" t="s">
        <v>651</v>
      </c>
      <c r="B106">
        <v>13111</v>
      </c>
      <c r="C106" t="str">
        <f t="shared" si="1"/>
        <v>B-1</v>
      </c>
      <c r="D106">
        <v>300</v>
      </c>
      <c r="E106">
        <v>282</v>
      </c>
      <c r="F106">
        <v>264</v>
      </c>
      <c r="G106">
        <v>246</v>
      </c>
      <c r="H106">
        <v>228</v>
      </c>
      <c r="I106">
        <v>210</v>
      </c>
      <c r="J106">
        <v>192</v>
      </c>
      <c r="K106">
        <v>174</v>
      </c>
      <c r="L106">
        <v>156</v>
      </c>
      <c r="M106">
        <v>138</v>
      </c>
    </row>
    <row r="107" spans="1:13" x14ac:dyDescent="0.15">
      <c r="A107" t="s">
        <v>653</v>
      </c>
      <c r="B107">
        <v>13211</v>
      </c>
      <c r="C107" t="str">
        <f t="shared" si="1"/>
        <v>KV-1</v>
      </c>
      <c r="D107">
        <v>600</v>
      </c>
      <c r="E107">
        <v>600</v>
      </c>
      <c r="F107">
        <v>564</v>
      </c>
      <c r="G107">
        <v>528</v>
      </c>
      <c r="H107">
        <v>492</v>
      </c>
      <c r="I107">
        <v>456</v>
      </c>
      <c r="J107">
        <v>420</v>
      </c>
      <c r="K107">
        <v>384</v>
      </c>
      <c r="L107">
        <v>348</v>
      </c>
      <c r="M107">
        <v>312</v>
      </c>
    </row>
    <row r="108" spans="1:13" x14ac:dyDescent="0.15">
      <c r="A108" t="s">
        <v>655</v>
      </c>
      <c r="B108">
        <v>13221</v>
      </c>
      <c r="C108" t="str">
        <f t="shared" si="1"/>
        <v>丘吉尔</v>
      </c>
      <c r="D108">
        <v>800</v>
      </c>
      <c r="E108">
        <v>800</v>
      </c>
      <c r="F108">
        <v>800</v>
      </c>
      <c r="G108">
        <v>768</v>
      </c>
      <c r="H108">
        <v>736</v>
      </c>
      <c r="I108">
        <v>704</v>
      </c>
      <c r="J108">
        <v>672</v>
      </c>
      <c r="K108">
        <v>640</v>
      </c>
      <c r="L108">
        <v>608</v>
      </c>
      <c r="M108">
        <v>576</v>
      </c>
    </row>
    <row r="109" spans="1:13" x14ac:dyDescent="0.15">
      <c r="A109" t="s">
        <v>538</v>
      </c>
      <c r="B109">
        <v>13311</v>
      </c>
      <c r="C109" t="str">
        <f t="shared" si="1"/>
        <v>黑豹</v>
      </c>
      <c r="D109">
        <v>1650</v>
      </c>
      <c r="E109">
        <v>1650</v>
      </c>
      <c r="F109">
        <v>1650</v>
      </c>
      <c r="G109">
        <v>1650</v>
      </c>
      <c r="H109">
        <v>1650</v>
      </c>
      <c r="I109">
        <v>1551</v>
      </c>
      <c r="J109">
        <v>1452</v>
      </c>
      <c r="K109">
        <v>1353</v>
      </c>
      <c r="L109">
        <v>1254</v>
      </c>
      <c r="M109">
        <v>1155</v>
      </c>
    </row>
    <row r="110" spans="1:13" x14ac:dyDescent="0.15">
      <c r="A110" t="s">
        <v>658</v>
      </c>
      <c r="B110">
        <v>13321</v>
      </c>
      <c r="C110" t="str">
        <f t="shared" si="1"/>
        <v>虎式</v>
      </c>
      <c r="D110">
        <v>2100</v>
      </c>
      <c r="E110">
        <v>2100</v>
      </c>
      <c r="F110">
        <v>2100</v>
      </c>
      <c r="G110">
        <v>2100</v>
      </c>
      <c r="H110">
        <v>2100</v>
      </c>
      <c r="I110">
        <v>2016</v>
      </c>
      <c r="J110">
        <v>1932</v>
      </c>
      <c r="K110">
        <v>1848</v>
      </c>
      <c r="L110">
        <v>1764</v>
      </c>
      <c r="M110">
        <v>1680</v>
      </c>
    </row>
    <row r="111" spans="1:13" x14ac:dyDescent="0.15">
      <c r="A111" t="s">
        <v>660</v>
      </c>
      <c r="B111">
        <v>13331</v>
      </c>
      <c r="C111" t="str">
        <f t="shared" si="1"/>
        <v>KV-2</v>
      </c>
      <c r="D111">
        <v>2400</v>
      </c>
      <c r="E111">
        <v>2400</v>
      </c>
      <c r="F111">
        <v>2400</v>
      </c>
      <c r="G111">
        <v>2400</v>
      </c>
      <c r="H111">
        <v>2400</v>
      </c>
      <c r="I111">
        <v>2304</v>
      </c>
      <c r="J111">
        <v>2208</v>
      </c>
      <c r="K111">
        <v>2112</v>
      </c>
      <c r="L111">
        <v>2016</v>
      </c>
      <c r="M111">
        <v>1920</v>
      </c>
    </row>
    <row r="112" spans="1:13" x14ac:dyDescent="0.15">
      <c r="A112" t="s">
        <v>662</v>
      </c>
      <c r="B112">
        <v>13411</v>
      </c>
      <c r="C112" t="str">
        <f t="shared" si="1"/>
        <v>征服者</v>
      </c>
      <c r="D112">
        <v>5250</v>
      </c>
      <c r="E112">
        <v>5250</v>
      </c>
      <c r="F112">
        <v>5250</v>
      </c>
      <c r="G112">
        <v>5250</v>
      </c>
      <c r="H112">
        <v>5250</v>
      </c>
      <c r="I112">
        <v>5250</v>
      </c>
      <c r="J112">
        <v>5250</v>
      </c>
      <c r="K112">
        <v>5250</v>
      </c>
      <c r="L112">
        <v>5040</v>
      </c>
      <c r="M112">
        <v>4830</v>
      </c>
    </row>
    <row r="113" spans="1:13" x14ac:dyDescent="0.15">
      <c r="A113" t="s">
        <v>664</v>
      </c>
      <c r="B113">
        <v>13421</v>
      </c>
      <c r="C113" t="str">
        <f t="shared" si="1"/>
        <v>IS-4</v>
      </c>
      <c r="D113">
        <v>6500</v>
      </c>
      <c r="E113">
        <v>6500</v>
      </c>
      <c r="F113">
        <v>6500</v>
      </c>
      <c r="G113">
        <v>6500</v>
      </c>
      <c r="H113">
        <v>6500</v>
      </c>
      <c r="I113">
        <v>6500</v>
      </c>
      <c r="J113">
        <v>6500</v>
      </c>
      <c r="K113">
        <v>6500</v>
      </c>
      <c r="L113">
        <v>6240</v>
      </c>
      <c r="M113">
        <v>5980</v>
      </c>
    </row>
    <row r="114" spans="1:13" x14ac:dyDescent="0.15">
      <c r="A114" t="s">
        <v>666</v>
      </c>
      <c r="B114">
        <v>13431</v>
      </c>
      <c r="C114" t="str">
        <f t="shared" si="1"/>
        <v>T-32</v>
      </c>
      <c r="D114">
        <v>7250</v>
      </c>
      <c r="E114">
        <v>7250</v>
      </c>
      <c r="F114">
        <v>7250</v>
      </c>
      <c r="G114">
        <v>7250</v>
      </c>
      <c r="H114">
        <v>7250</v>
      </c>
      <c r="I114">
        <v>7250</v>
      </c>
      <c r="J114">
        <v>7250</v>
      </c>
      <c r="K114">
        <v>7250</v>
      </c>
      <c r="L114">
        <v>6960</v>
      </c>
      <c r="M114">
        <v>6670</v>
      </c>
    </row>
    <row r="115" spans="1:13" x14ac:dyDescent="0.15">
      <c r="A115" t="s">
        <v>668</v>
      </c>
      <c r="B115">
        <v>13511</v>
      </c>
      <c r="C115" t="str">
        <f t="shared" si="1"/>
        <v>M1A2</v>
      </c>
      <c r="D115">
        <v>15600</v>
      </c>
      <c r="E115">
        <v>15600</v>
      </c>
      <c r="F115">
        <v>15600</v>
      </c>
      <c r="G115">
        <v>15600</v>
      </c>
      <c r="H115">
        <v>15600</v>
      </c>
      <c r="I115">
        <v>15600</v>
      </c>
      <c r="J115">
        <v>15600</v>
      </c>
      <c r="K115">
        <v>15600</v>
      </c>
      <c r="L115">
        <v>15600</v>
      </c>
      <c r="M115">
        <v>15600</v>
      </c>
    </row>
    <row r="116" spans="1:13" x14ac:dyDescent="0.15">
      <c r="A116" t="s">
        <v>288</v>
      </c>
      <c r="B116">
        <v>100301</v>
      </c>
      <c r="C116" t="s">
        <v>288</v>
      </c>
      <c r="D116">
        <v>35</v>
      </c>
      <c r="E116">
        <v>35</v>
      </c>
      <c r="F116">
        <v>35</v>
      </c>
      <c r="G116">
        <v>35</v>
      </c>
      <c r="H116">
        <v>35</v>
      </c>
      <c r="I116">
        <v>35</v>
      </c>
      <c r="J116">
        <v>35</v>
      </c>
      <c r="K116">
        <v>35</v>
      </c>
      <c r="L116">
        <v>35</v>
      </c>
      <c r="M116">
        <v>35</v>
      </c>
    </row>
    <row r="117" spans="1:13" x14ac:dyDescent="0.15">
      <c r="A117" t="s">
        <v>587</v>
      </c>
      <c r="B117">
        <v>100302</v>
      </c>
      <c r="C117" t="s">
        <v>587</v>
      </c>
      <c r="D117">
        <v>60</v>
      </c>
      <c r="E117">
        <v>60</v>
      </c>
      <c r="F117">
        <v>60</v>
      </c>
      <c r="G117">
        <v>60</v>
      </c>
      <c r="H117">
        <v>60</v>
      </c>
      <c r="I117">
        <v>60</v>
      </c>
      <c r="J117">
        <v>60</v>
      </c>
      <c r="K117">
        <v>60</v>
      </c>
      <c r="L117">
        <v>60</v>
      </c>
      <c r="M117">
        <v>60</v>
      </c>
    </row>
    <row r="118" spans="1:13" x14ac:dyDescent="0.15">
      <c r="A118" t="s">
        <v>1808</v>
      </c>
      <c r="B118">
        <v>100501</v>
      </c>
      <c r="C118" t="s">
        <v>1808</v>
      </c>
      <c r="D118">
        <v>70</v>
      </c>
      <c r="E118">
        <v>70</v>
      </c>
      <c r="F118">
        <v>70</v>
      </c>
      <c r="G118">
        <v>70</v>
      </c>
      <c r="H118">
        <v>70</v>
      </c>
      <c r="I118">
        <v>70</v>
      </c>
      <c r="J118">
        <v>70</v>
      </c>
      <c r="K118">
        <v>70</v>
      </c>
      <c r="L118">
        <v>70</v>
      </c>
      <c r="M118">
        <v>70</v>
      </c>
    </row>
    <row r="119" spans="1:13" x14ac:dyDescent="0.15">
      <c r="A119" t="s">
        <v>1809</v>
      </c>
      <c r="B119">
        <v>100502</v>
      </c>
      <c r="C119" t="s">
        <v>1809</v>
      </c>
      <c r="D119">
        <v>125</v>
      </c>
      <c r="E119">
        <v>125</v>
      </c>
      <c r="F119">
        <v>125</v>
      </c>
      <c r="G119">
        <v>125</v>
      </c>
      <c r="H119">
        <v>125</v>
      </c>
      <c r="I119">
        <v>125</v>
      </c>
      <c r="J119">
        <v>125</v>
      </c>
      <c r="K119">
        <v>125</v>
      </c>
      <c r="L119">
        <v>125</v>
      </c>
      <c r="M119">
        <v>125</v>
      </c>
    </row>
  </sheetData>
  <phoneticPr fontId="3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2:Y269"/>
  <sheetViews>
    <sheetView topLeftCell="A226" workbookViewId="0">
      <selection activeCell="N254" sqref="N254"/>
    </sheetView>
  </sheetViews>
  <sheetFormatPr defaultColWidth="9" defaultRowHeight="14.25" x14ac:dyDescent="0.3"/>
  <cols>
    <col min="1" max="3" width="9" style="1"/>
    <col min="4" max="4" width="10.875" style="1" customWidth="1"/>
    <col min="5" max="5" width="13.875" style="1" customWidth="1"/>
    <col min="6" max="16384" width="9" style="1"/>
  </cols>
  <sheetData>
    <row r="2" spans="1:14" x14ac:dyDescent="0.3">
      <c r="B2" s="262" t="s">
        <v>3471</v>
      </c>
      <c r="C2" s="262"/>
      <c r="D2" s="262"/>
      <c r="E2" s="262"/>
      <c r="F2" s="262"/>
      <c r="G2" s="262"/>
      <c r="H2" s="262"/>
      <c r="I2" s="263" t="s">
        <v>3472</v>
      </c>
      <c r="J2" s="265"/>
      <c r="K2" s="262" t="s">
        <v>3473</v>
      </c>
      <c r="L2" s="262"/>
      <c r="N2" s="27" t="s">
        <v>3474</v>
      </c>
    </row>
    <row r="3" spans="1:14" x14ac:dyDescent="0.3">
      <c r="B3" s="2" t="s">
        <v>2913</v>
      </c>
      <c r="C3" s="2" t="s">
        <v>2914</v>
      </c>
      <c r="D3" s="2" t="s">
        <v>2844</v>
      </c>
      <c r="E3" s="2" t="s">
        <v>380</v>
      </c>
      <c r="F3" s="2" t="s">
        <v>317</v>
      </c>
      <c r="G3" s="2" t="s">
        <v>316</v>
      </c>
      <c r="H3" s="2" t="s">
        <v>3475</v>
      </c>
      <c r="I3" s="2" t="s">
        <v>3476</v>
      </c>
      <c r="J3" s="2" t="s">
        <v>3477</v>
      </c>
      <c r="K3" s="2" t="s">
        <v>3478</v>
      </c>
      <c r="L3" s="2" t="s">
        <v>900</v>
      </c>
    </row>
    <row r="4" spans="1:14" x14ac:dyDescent="0.3">
      <c r="A4" s="1">
        <f t="shared" ref="A4:A13" si="0">C4/D4</f>
        <v>62.5</v>
      </c>
      <c r="B4" s="2" t="s">
        <v>322</v>
      </c>
      <c r="C4" s="2">
        <f>[1]基础经济系数!F15</f>
        <v>125</v>
      </c>
      <c r="D4" s="21">
        <v>2</v>
      </c>
      <c r="E4" s="2">
        <f>[1]基础经济系数!L15/[1]基础经济系数!E15</f>
        <v>2.5</v>
      </c>
      <c r="F4" s="2">
        <f>[1]基础经济系数!N15/[1]基础经济系数!E15</f>
        <v>5</v>
      </c>
      <c r="G4" s="2">
        <f>C4-E4-F4</f>
        <v>117.5</v>
      </c>
      <c r="H4" s="2">
        <f>G4/D4</f>
        <v>58.75</v>
      </c>
      <c r="I4" s="2" t="s">
        <v>3479</v>
      </c>
      <c r="J4" s="2" t="s">
        <v>3480</v>
      </c>
      <c r="K4" s="28">
        <f>[1]基础经济系数!$C$21</f>
        <v>0.7</v>
      </c>
      <c r="L4" s="28">
        <f>[1]基础经济系数!$C$22</f>
        <v>0.3</v>
      </c>
    </row>
    <row r="5" spans="1:14" x14ac:dyDescent="0.3">
      <c r="A5" s="1">
        <f t="shared" si="0"/>
        <v>54</v>
      </c>
      <c r="B5" s="2" t="s">
        <v>2777</v>
      </c>
      <c r="C5" s="2">
        <f>[1]任务设定!F19</f>
        <v>54</v>
      </c>
      <c r="D5" s="21">
        <v>1</v>
      </c>
      <c r="E5" s="2">
        <f>[1]任务设定!G19</f>
        <v>5</v>
      </c>
      <c r="F5" s="2">
        <f>[1]任务设定!H19</f>
        <v>2</v>
      </c>
      <c r="G5" s="2">
        <f t="shared" ref="G5:G13" si="1">C5-E5-F5</f>
        <v>47</v>
      </c>
      <c r="H5" s="2">
        <f t="shared" ref="H5:H13" si="2">G5/D5</f>
        <v>47</v>
      </c>
      <c r="I5" s="2" t="s">
        <v>3481</v>
      </c>
      <c r="J5" s="2" t="s">
        <v>3482</v>
      </c>
      <c r="K5" s="28">
        <f>[1]基础经济系数!$C$21</f>
        <v>0.7</v>
      </c>
      <c r="L5" s="28">
        <f>[1]基础经济系数!$C$22</f>
        <v>0.3</v>
      </c>
    </row>
    <row r="6" spans="1:14" x14ac:dyDescent="0.3">
      <c r="A6" s="1">
        <f t="shared" si="0"/>
        <v>54</v>
      </c>
      <c r="B6" s="2" t="s">
        <v>2779</v>
      </c>
      <c r="C6" s="2">
        <f>[1]任务设定!F20</f>
        <v>108</v>
      </c>
      <c r="D6" s="21">
        <v>2</v>
      </c>
      <c r="E6" s="2">
        <f>[1]任务设定!G20</f>
        <v>9</v>
      </c>
      <c r="F6" s="2">
        <f>[1]任务设定!H20</f>
        <v>4</v>
      </c>
      <c r="G6" s="2">
        <f t="shared" si="1"/>
        <v>95</v>
      </c>
      <c r="H6" s="2">
        <f t="shared" si="2"/>
        <v>47.5</v>
      </c>
      <c r="I6" s="2" t="s">
        <v>3481</v>
      </c>
      <c r="J6" s="2" t="s">
        <v>3482</v>
      </c>
      <c r="K6" s="28">
        <f>[1]基础经济系数!$C$21</f>
        <v>0.7</v>
      </c>
      <c r="L6" s="28">
        <f>[1]基础经济系数!$C$22</f>
        <v>0.3</v>
      </c>
    </row>
    <row r="7" spans="1:14" x14ac:dyDescent="0.3">
      <c r="A7" s="1">
        <f t="shared" si="0"/>
        <v>72</v>
      </c>
      <c r="B7" s="2" t="s">
        <v>2780</v>
      </c>
      <c r="C7" s="2">
        <f>[1]任务设定!F21</f>
        <v>216</v>
      </c>
      <c r="D7" s="21">
        <v>3</v>
      </c>
      <c r="E7" s="2">
        <f>[1]任务设定!G21</f>
        <v>18</v>
      </c>
      <c r="F7" s="2">
        <f>[1]任务设定!H21</f>
        <v>6</v>
      </c>
      <c r="G7" s="2">
        <f t="shared" si="1"/>
        <v>192</v>
      </c>
      <c r="H7" s="2">
        <f t="shared" si="2"/>
        <v>64</v>
      </c>
      <c r="I7" s="2" t="s">
        <v>3481</v>
      </c>
      <c r="J7" s="2" t="s">
        <v>3482</v>
      </c>
      <c r="K7" s="28">
        <f>[1]基础经济系数!$C$21</f>
        <v>0.7</v>
      </c>
      <c r="L7" s="28">
        <f>[1]基础经济系数!$C$22</f>
        <v>0.3</v>
      </c>
    </row>
    <row r="8" spans="1:14" x14ac:dyDescent="0.3">
      <c r="A8" s="1">
        <f t="shared" si="0"/>
        <v>108</v>
      </c>
      <c r="B8" s="2" t="s">
        <v>2782</v>
      </c>
      <c r="C8" s="2">
        <f>[1]任务设定!F22</f>
        <v>432</v>
      </c>
      <c r="D8" s="21">
        <v>4</v>
      </c>
      <c r="E8" s="2">
        <f>[1]任务设定!G22</f>
        <v>36</v>
      </c>
      <c r="F8" s="2">
        <f>[1]任务设定!H22</f>
        <v>8</v>
      </c>
      <c r="G8" s="2">
        <f t="shared" si="1"/>
        <v>388</v>
      </c>
      <c r="H8" s="2">
        <f t="shared" si="2"/>
        <v>97</v>
      </c>
      <c r="I8" s="2" t="s">
        <v>3481</v>
      </c>
      <c r="J8" s="2" t="s">
        <v>3482</v>
      </c>
      <c r="K8" s="28">
        <f>[1]基础经济系数!$C$21</f>
        <v>0.7</v>
      </c>
      <c r="L8" s="28">
        <f>[1]基础经济系数!$C$22</f>
        <v>0.3</v>
      </c>
    </row>
    <row r="9" spans="1:14" x14ac:dyDescent="0.3">
      <c r="A9" s="1">
        <f t="shared" si="0"/>
        <v>66.666666666666671</v>
      </c>
      <c r="B9" s="22" t="s">
        <v>3483</v>
      </c>
      <c r="C9" s="21">
        <v>200</v>
      </c>
      <c r="D9" s="21">
        <v>3</v>
      </c>
      <c r="E9" s="2">
        <v>0</v>
      </c>
      <c r="F9" s="21">
        <v>5</v>
      </c>
      <c r="G9" s="2">
        <f t="shared" si="1"/>
        <v>195</v>
      </c>
      <c r="H9" s="2">
        <f t="shared" si="2"/>
        <v>65</v>
      </c>
      <c r="I9" s="2" t="s">
        <v>3484</v>
      </c>
      <c r="J9" s="2" t="s">
        <v>3485</v>
      </c>
      <c r="K9" s="28">
        <f>[1]基础经济系数!$C$21</f>
        <v>0.7</v>
      </c>
      <c r="L9" s="28">
        <f>[1]基础经济系数!$C$22</f>
        <v>0.3</v>
      </c>
    </row>
    <row r="10" spans="1:14" x14ac:dyDescent="0.3">
      <c r="A10" s="1">
        <f t="shared" si="0"/>
        <v>150</v>
      </c>
      <c r="B10" s="22" t="s">
        <v>3486</v>
      </c>
      <c r="C10" s="21">
        <v>600</v>
      </c>
      <c r="D10" s="21">
        <v>4</v>
      </c>
      <c r="E10" s="2">
        <v>0</v>
      </c>
      <c r="F10" s="21">
        <v>10</v>
      </c>
      <c r="G10" s="2">
        <f t="shared" si="1"/>
        <v>590</v>
      </c>
      <c r="H10" s="2">
        <f t="shared" si="2"/>
        <v>147.5</v>
      </c>
      <c r="I10" s="2" t="s">
        <v>3484</v>
      </c>
      <c r="J10" s="2" t="s">
        <v>3485</v>
      </c>
      <c r="K10" s="28">
        <f>[1]基础经济系数!$C$21</f>
        <v>0.7</v>
      </c>
      <c r="L10" s="28">
        <f>[1]基础经济系数!$C$22</f>
        <v>0.3</v>
      </c>
    </row>
    <row r="11" spans="1:14" x14ac:dyDescent="0.3">
      <c r="A11" s="1">
        <f t="shared" si="0"/>
        <v>333.33333333333331</v>
      </c>
      <c r="B11" s="22" t="s">
        <v>3487</v>
      </c>
      <c r="C11" s="21">
        <v>2000</v>
      </c>
      <c r="D11" s="21">
        <v>6</v>
      </c>
      <c r="E11" s="2">
        <v>0</v>
      </c>
      <c r="F11" s="21">
        <v>20</v>
      </c>
      <c r="G11" s="2">
        <f t="shared" si="1"/>
        <v>1980</v>
      </c>
      <c r="H11" s="2">
        <f t="shared" si="2"/>
        <v>330</v>
      </c>
      <c r="I11" s="2" t="s">
        <v>3484</v>
      </c>
      <c r="J11" s="2" t="s">
        <v>3485</v>
      </c>
      <c r="K11" s="28">
        <f>[1]基础经济系数!$C$21</f>
        <v>0.7</v>
      </c>
      <c r="L11" s="28">
        <f>[1]基础经济系数!$C$22</f>
        <v>0.3</v>
      </c>
    </row>
    <row r="12" spans="1:14" x14ac:dyDescent="0.3">
      <c r="A12" s="1">
        <f t="shared" si="0"/>
        <v>50</v>
      </c>
      <c r="B12" s="22" t="s">
        <v>2864</v>
      </c>
      <c r="C12" s="21">
        <v>100</v>
      </c>
      <c r="D12" s="21">
        <v>2</v>
      </c>
      <c r="E12" s="2">
        <v>0</v>
      </c>
      <c r="F12" s="21">
        <v>0</v>
      </c>
      <c r="G12" s="2">
        <f t="shared" si="1"/>
        <v>100</v>
      </c>
      <c r="H12" s="2">
        <f t="shared" si="2"/>
        <v>50</v>
      </c>
      <c r="I12" s="2" t="s">
        <v>3479</v>
      </c>
      <c r="J12" s="2" t="s">
        <v>3480</v>
      </c>
      <c r="K12" s="29">
        <v>0</v>
      </c>
      <c r="L12" s="29">
        <v>1</v>
      </c>
    </row>
    <row r="13" spans="1:14" x14ac:dyDescent="0.3">
      <c r="A13" s="1">
        <f t="shared" si="0"/>
        <v>50</v>
      </c>
      <c r="B13" s="22" t="s">
        <v>2860</v>
      </c>
      <c r="C13" s="21">
        <v>100</v>
      </c>
      <c r="D13" s="21">
        <v>2</v>
      </c>
      <c r="E13" s="2">
        <v>0</v>
      </c>
      <c r="F13" s="21">
        <v>0</v>
      </c>
      <c r="G13" s="2">
        <f t="shared" si="1"/>
        <v>100</v>
      </c>
      <c r="H13" s="2">
        <f t="shared" si="2"/>
        <v>50</v>
      </c>
      <c r="I13" s="2" t="s">
        <v>3479</v>
      </c>
      <c r="J13" s="2" t="s">
        <v>3480</v>
      </c>
      <c r="K13" s="29">
        <v>1</v>
      </c>
      <c r="L13" s="29">
        <v>0</v>
      </c>
    </row>
    <row r="14" spans="1:14" x14ac:dyDescent="0.3">
      <c r="B14" s="23"/>
      <c r="C14" s="24"/>
      <c r="D14" s="24"/>
      <c r="E14" s="25"/>
      <c r="F14" s="24"/>
      <c r="G14" s="25"/>
      <c r="H14" s="25"/>
      <c r="I14" s="25"/>
      <c r="J14" s="25"/>
      <c r="K14" s="30"/>
      <c r="L14" s="30"/>
    </row>
    <row r="15" spans="1:14" x14ac:dyDescent="0.3">
      <c r="B15" s="23"/>
      <c r="C15" s="24"/>
      <c r="D15" s="24"/>
      <c r="E15" s="25"/>
      <c r="F15" s="25"/>
      <c r="G15" s="25"/>
      <c r="H15" s="25"/>
      <c r="I15" s="25"/>
      <c r="J15" s="25"/>
      <c r="K15" s="30"/>
      <c r="L15" s="30"/>
    </row>
    <row r="16" spans="1:14" x14ac:dyDescent="0.3">
      <c r="B16" s="2" t="s">
        <v>3488</v>
      </c>
      <c r="C16" s="2" t="s">
        <v>676</v>
      </c>
      <c r="D16" s="2" t="s">
        <v>3489</v>
      </c>
      <c r="E16" s="2" t="s">
        <v>676</v>
      </c>
      <c r="F16" s="2" t="s">
        <v>3489</v>
      </c>
      <c r="G16" s="2" t="s">
        <v>2852</v>
      </c>
      <c r="H16" s="2" t="s">
        <v>1793</v>
      </c>
      <c r="I16" s="2" t="s">
        <v>3490</v>
      </c>
      <c r="J16" s="2" t="s">
        <v>2844</v>
      </c>
      <c r="K16" s="2" t="s">
        <v>508</v>
      </c>
      <c r="L16" s="30"/>
    </row>
    <row r="17" spans="2:12" x14ac:dyDescent="0.3">
      <c r="B17" s="2" t="s">
        <v>2584</v>
      </c>
      <c r="C17" s="2" t="s">
        <v>503</v>
      </c>
      <c r="D17" s="2">
        <v>2</v>
      </c>
      <c r="E17" s="2"/>
      <c r="F17" s="2"/>
      <c r="G17" s="2">
        <f>VLOOKUP(C17,[1]道具价值!$B$28:$C$30,2,FALSE)*D17+IFERROR(VLOOKUP(E17,[1]道具价值!$B$28:$C$30,2,FALSE)*F17,0)</f>
        <v>80</v>
      </c>
      <c r="H17" s="2">
        <f>VLOOKUP(C17,[1]道具价值!$V$99:$Y$102,4,FALSE)*D17+IFERROR(VLOOKUP(E17,[1]道具价值!$V$99:$Y$102,4,FALSE)*F17,0)</f>
        <v>106.6666666666666</v>
      </c>
      <c r="I17" s="2">
        <f>D17+F17</f>
        <v>2</v>
      </c>
      <c r="J17" s="2">
        <v>4</v>
      </c>
      <c r="K17" s="2">
        <v>1</v>
      </c>
      <c r="L17" s="30"/>
    </row>
    <row r="18" spans="2:12" x14ac:dyDescent="0.3">
      <c r="B18" s="2" t="s">
        <v>2586</v>
      </c>
      <c r="C18" s="2" t="s">
        <v>503</v>
      </c>
      <c r="D18" s="2">
        <v>2</v>
      </c>
      <c r="E18" s="2"/>
      <c r="F18" s="2"/>
      <c r="G18" s="2">
        <f>VLOOKUP(C18,[1]道具价值!$B$28:$C$30,2,FALSE)*D18+IFERROR(VLOOKUP(E18,[1]道具价值!$B$28:$C$30,2,FALSE)*F18,0)</f>
        <v>80</v>
      </c>
      <c r="H18" s="2">
        <f>VLOOKUP(C18,[1]道具价值!$V$99:$Y$102,4,FALSE)*D18+IFERROR(VLOOKUP(E18,[1]道具价值!$V$99:$Y$102,4,FALSE)*F18,0)</f>
        <v>106.6666666666666</v>
      </c>
      <c r="I18" s="2">
        <f>D18+F18</f>
        <v>2</v>
      </c>
      <c r="J18" s="2">
        <v>4</v>
      </c>
      <c r="K18" s="2">
        <v>2</v>
      </c>
      <c r="L18" s="30"/>
    </row>
    <row r="19" spans="2:12" x14ac:dyDescent="0.3">
      <c r="B19" s="2" t="s">
        <v>2587</v>
      </c>
      <c r="C19" s="2" t="s">
        <v>503</v>
      </c>
      <c r="D19" s="2">
        <v>1</v>
      </c>
      <c r="E19" s="2" t="s">
        <v>3491</v>
      </c>
      <c r="F19" s="2">
        <v>1</v>
      </c>
      <c r="G19" s="2">
        <f>VLOOKUP(C19,[1]道具价值!$B$28:$C$30,2,FALSE)*D19+IFERROR(VLOOKUP(E19,[1]道具价值!$B$28:$C$30,2,FALSE)*F19,0)</f>
        <v>110</v>
      </c>
      <c r="H19" s="2">
        <f>VLOOKUP(C19,[1]道具价值!$V$99:$Y$102,4,FALSE)*D19+IFERROR(VLOOKUP(E19,[1]道具价值!$V$99:$Y$102,4,FALSE)*F19,0)</f>
        <v>146.6666666666666</v>
      </c>
      <c r="I19" s="2">
        <f t="shared" ref="I19:I25" si="3">D19+F19</f>
        <v>2</v>
      </c>
      <c r="J19" s="2">
        <v>4</v>
      </c>
      <c r="K19" s="2">
        <v>3</v>
      </c>
      <c r="L19" s="30"/>
    </row>
    <row r="20" spans="2:12" x14ac:dyDescent="0.3">
      <c r="B20" s="2" t="s">
        <v>2588</v>
      </c>
      <c r="C20" s="2" t="s">
        <v>3491</v>
      </c>
      <c r="D20" s="2">
        <v>2</v>
      </c>
      <c r="E20" s="2"/>
      <c r="F20" s="2"/>
      <c r="G20" s="2">
        <f>VLOOKUP(C20,[1]道具价值!$B$28:$C$30,2,FALSE)*D20+IFERROR(VLOOKUP(E20,[1]道具价值!$B$28:$C$30,2,FALSE)*F20,0)</f>
        <v>140</v>
      </c>
      <c r="H20" s="2">
        <f>VLOOKUP(C20,[1]道具价值!$V$99:$Y$102,4,FALSE)*D20+IFERROR(VLOOKUP(E20,[1]道具价值!$V$99:$Y$102,4,FALSE)*F20,0)</f>
        <v>186.6666666666666</v>
      </c>
      <c r="I20" s="2">
        <f t="shared" si="3"/>
        <v>2</v>
      </c>
      <c r="J20" s="2">
        <v>4</v>
      </c>
      <c r="K20" s="2">
        <v>4</v>
      </c>
      <c r="L20" s="30"/>
    </row>
    <row r="21" spans="2:12" x14ac:dyDescent="0.3">
      <c r="B21" s="2" t="s">
        <v>2590</v>
      </c>
      <c r="C21" s="2" t="s">
        <v>3491</v>
      </c>
      <c r="D21" s="2">
        <v>2</v>
      </c>
      <c r="E21" s="2"/>
      <c r="F21" s="2"/>
      <c r="G21" s="2">
        <f>VLOOKUP(C21,[1]道具价值!$B$28:$C$30,2,FALSE)*D21+IFERROR(VLOOKUP(E21,[1]道具价值!$B$28:$C$30,2,FALSE)*F21,0)</f>
        <v>140</v>
      </c>
      <c r="H21" s="2">
        <f>VLOOKUP(C21,[1]道具价值!$V$99:$Y$102,4,FALSE)*D21+IFERROR(VLOOKUP(E21,[1]道具价值!$V$99:$Y$102,4,FALSE)*F21,0)</f>
        <v>186.6666666666666</v>
      </c>
      <c r="I21" s="2">
        <f t="shared" si="3"/>
        <v>2</v>
      </c>
      <c r="J21" s="2">
        <v>3</v>
      </c>
      <c r="K21" s="2">
        <v>5</v>
      </c>
      <c r="L21" s="30"/>
    </row>
    <row r="22" spans="2:12" x14ac:dyDescent="0.3">
      <c r="B22" s="2" t="s">
        <v>2591</v>
      </c>
      <c r="C22" s="2" t="s">
        <v>3491</v>
      </c>
      <c r="D22" s="2">
        <v>1</v>
      </c>
      <c r="E22" s="2" t="s">
        <v>3492</v>
      </c>
      <c r="F22" s="2">
        <v>1</v>
      </c>
      <c r="G22" s="2">
        <f>VLOOKUP(C22,[1]道具价值!$B$28:$C$30,2,FALSE)*D22+IFERROR(VLOOKUP(E22,[1]道具价值!$B$28:$C$30,2,FALSE)*F22,0)</f>
        <v>190</v>
      </c>
      <c r="H22" s="2">
        <f>VLOOKUP(C22,[1]道具价值!$V$99:$Y$102,4,FALSE)*D22+IFERROR(VLOOKUP(E22,[1]道具价值!$V$99:$Y$102,4,FALSE)*F22,0)</f>
        <v>253.33333333333331</v>
      </c>
      <c r="I22" s="2">
        <f t="shared" si="3"/>
        <v>2</v>
      </c>
      <c r="J22" s="2">
        <v>3</v>
      </c>
      <c r="K22" s="2">
        <v>6</v>
      </c>
      <c r="L22" s="30"/>
    </row>
    <row r="23" spans="2:12" x14ac:dyDescent="0.3">
      <c r="B23" s="2" t="s">
        <v>2592</v>
      </c>
      <c r="C23" s="2" t="s">
        <v>3492</v>
      </c>
      <c r="D23" s="2">
        <v>2</v>
      </c>
      <c r="E23" s="2"/>
      <c r="F23" s="2"/>
      <c r="G23" s="2">
        <f>VLOOKUP(C23,[1]道具价值!$B$28:$C$30,2,FALSE)*D23+IFERROR(VLOOKUP(E23,[1]道具价值!$B$28:$C$30,2,FALSE)*F23,0)</f>
        <v>240</v>
      </c>
      <c r="H23" s="2">
        <f>VLOOKUP(C23,[1]道具价值!$V$99:$Y$102,4,FALSE)*D23+IFERROR(VLOOKUP(E23,[1]道具价值!$V$99:$Y$102,4,FALSE)*F23,0)</f>
        <v>320</v>
      </c>
      <c r="I23" s="2">
        <f t="shared" si="3"/>
        <v>2</v>
      </c>
      <c r="J23" s="2">
        <v>3</v>
      </c>
      <c r="K23" s="2">
        <v>7</v>
      </c>
      <c r="L23" s="30"/>
    </row>
    <row r="24" spans="2:12" x14ac:dyDescent="0.3">
      <c r="B24" s="2" t="s">
        <v>2594</v>
      </c>
      <c r="C24" s="2" t="s">
        <v>3492</v>
      </c>
      <c r="D24" s="2">
        <v>2</v>
      </c>
      <c r="E24" s="2"/>
      <c r="F24" s="2"/>
      <c r="G24" s="2">
        <f>VLOOKUP(C24,[1]道具价值!$B$28:$C$30,2,FALSE)*D24+IFERROR(VLOOKUP(E24,[1]道具价值!$B$28:$C$30,2,FALSE)*F24,0)</f>
        <v>240</v>
      </c>
      <c r="H24" s="2">
        <f>VLOOKUP(C24,[1]道具价值!$V$99:$Y$102,4,FALSE)*D24+IFERROR(VLOOKUP(E24,[1]道具价值!$V$99:$Y$102,4,FALSE)*F24,0)</f>
        <v>320</v>
      </c>
      <c r="I24" s="2">
        <f t="shared" si="3"/>
        <v>2</v>
      </c>
      <c r="J24" s="2">
        <v>4</v>
      </c>
      <c r="K24" s="2">
        <v>8</v>
      </c>
      <c r="L24" s="30"/>
    </row>
    <row r="25" spans="2:12" x14ac:dyDescent="0.3">
      <c r="B25" s="2" t="s">
        <v>2595</v>
      </c>
      <c r="C25" s="2" t="s">
        <v>3492</v>
      </c>
      <c r="D25" s="2">
        <v>1</v>
      </c>
      <c r="E25" s="2" t="s">
        <v>3493</v>
      </c>
      <c r="F25" s="2">
        <v>1</v>
      </c>
      <c r="G25" s="2">
        <f>VLOOKUP(C25,[1]道具价值!$B$28:$C$30,2,FALSE)*D25+IFERROR(VLOOKUP(E25,[1]道具价值!$B$28:$C$30,2,FALSE)*F25,0)</f>
        <v>120</v>
      </c>
      <c r="H25" s="2">
        <f>VLOOKUP(C25,[1]道具价值!$V$99:$Y$102,4,FALSE)*D25+IFERROR(VLOOKUP(E25,[1]道具价值!$V$99:$Y$102,4,FALSE)*F25,0)</f>
        <v>160</v>
      </c>
      <c r="I25" s="2">
        <f t="shared" si="3"/>
        <v>2</v>
      </c>
      <c r="J25" s="2">
        <v>2</v>
      </c>
      <c r="K25" s="2">
        <v>9</v>
      </c>
      <c r="L25" s="30"/>
    </row>
    <row r="26" spans="2:12" x14ac:dyDescent="0.3">
      <c r="L26" s="30"/>
    </row>
    <row r="27" spans="2:12" x14ac:dyDescent="0.3">
      <c r="L27" s="30"/>
    </row>
    <row r="28" spans="2:12" x14ac:dyDescent="0.3">
      <c r="B28" s="2" t="s">
        <v>3488</v>
      </c>
      <c r="C28" s="2" t="s">
        <v>3494</v>
      </c>
      <c r="D28" s="2" t="s">
        <v>3495</v>
      </c>
      <c r="E28" s="2" t="s">
        <v>3494</v>
      </c>
      <c r="F28" s="2" t="s">
        <v>3495</v>
      </c>
      <c r="G28" s="2" t="s">
        <v>2852</v>
      </c>
      <c r="H28" s="2" t="s">
        <v>1793</v>
      </c>
      <c r="I28" s="2" t="s">
        <v>3490</v>
      </c>
      <c r="J28" s="2" t="s">
        <v>2844</v>
      </c>
      <c r="K28" s="2" t="s">
        <v>508</v>
      </c>
      <c r="L28" s="30"/>
    </row>
    <row r="29" spans="2:12" x14ac:dyDescent="0.3">
      <c r="B29" s="2" t="s">
        <v>2596</v>
      </c>
      <c r="C29" s="2" t="s">
        <v>1779</v>
      </c>
      <c r="D29" s="2">
        <v>3</v>
      </c>
      <c r="E29" s="2"/>
      <c r="F29" s="2"/>
      <c r="G29" s="2">
        <f>VLOOKUP(C29,[1]道具价值!$B$16:$C$27,2,FALSE)*D29+IFERROR(VLOOKUP(E29,[1]道具价值!$B$16:$C$27,2,FALSE)*F29,0)</f>
        <v>180</v>
      </c>
      <c r="H29" s="2">
        <f>VLOOKUP(C29,[1]道具价值!$B$33:$E$45,4,FALSE)*D29+IFERROR(VLOOKUP(E29,[1]道具价值!$B$33:$E$45,4,FALSE)*F29,0)</f>
        <v>180</v>
      </c>
      <c r="I29" s="2">
        <f>D29+F29</f>
        <v>3</v>
      </c>
      <c r="J29" s="2">
        <v>1</v>
      </c>
      <c r="K29" s="2">
        <v>1</v>
      </c>
      <c r="L29" s="30"/>
    </row>
    <row r="30" spans="2:12" x14ac:dyDescent="0.3">
      <c r="B30" s="2" t="s">
        <v>2598</v>
      </c>
      <c r="C30" s="2" t="s">
        <v>1780</v>
      </c>
      <c r="D30" s="2">
        <v>3</v>
      </c>
      <c r="E30" s="2"/>
      <c r="F30" s="2"/>
      <c r="G30" s="2">
        <f>VLOOKUP(C30,[1]道具价值!$B$16:$C$27,2,FALSE)*D30+IFERROR(VLOOKUP(E30,[1]道具价值!$B$16:$C$27,2,FALSE)*F30,0)</f>
        <v>180</v>
      </c>
      <c r="H30" s="2">
        <f>VLOOKUP(C30,[1]道具价值!$B$33:$E$45,4,FALSE)*D30+IFERROR(VLOOKUP(E30,[1]道具价值!$B$33:$E$45,4,FALSE)*F30,0)</f>
        <v>180</v>
      </c>
      <c r="I30" s="2">
        <f>D30+F30</f>
        <v>3</v>
      </c>
      <c r="J30" s="2">
        <v>1</v>
      </c>
      <c r="K30" s="2">
        <v>2</v>
      </c>
      <c r="L30" s="30"/>
    </row>
    <row r="31" spans="2:12" x14ac:dyDescent="0.3">
      <c r="B31" s="2" t="s">
        <v>2600</v>
      </c>
      <c r="C31" s="2" t="s">
        <v>1782</v>
      </c>
      <c r="D31" s="2">
        <v>3</v>
      </c>
      <c r="E31" s="2"/>
      <c r="F31" s="2"/>
      <c r="G31" s="2">
        <f>VLOOKUP(C31,[1]道具价值!$B$16:$C$27,2,FALSE)*D31+IFERROR(VLOOKUP(E31,[1]道具价值!$B$16:$C$27,2,FALSE)*F31,0)</f>
        <v>240</v>
      </c>
      <c r="H31" s="2">
        <f>VLOOKUP(C31,[1]道具价值!$B$33:$E$45,4,FALSE)*D31+IFERROR(VLOOKUP(E31,[1]道具价值!$B$33:$E$45,4,FALSE)*F31,0)</f>
        <v>240</v>
      </c>
      <c r="I31" s="2">
        <f t="shared" ref="I31:I36" si="4">D31+F31</f>
        <v>3</v>
      </c>
      <c r="J31" s="2">
        <v>1</v>
      </c>
      <c r="K31" s="2">
        <v>3</v>
      </c>
      <c r="L31" s="30"/>
    </row>
    <row r="32" spans="2:12" x14ac:dyDescent="0.3">
      <c r="B32" s="2" t="s">
        <v>2602</v>
      </c>
      <c r="C32" s="2" t="s">
        <v>1783</v>
      </c>
      <c r="D32" s="2">
        <v>3</v>
      </c>
      <c r="E32" s="2"/>
      <c r="F32" s="2"/>
      <c r="G32" s="2">
        <f>VLOOKUP(C32,[1]道具价值!$B$16:$C$27,2,FALSE)*D32+IFERROR(VLOOKUP(E32,[1]道具价值!$B$16:$C$27,2,FALSE)*F32,0)</f>
        <v>165</v>
      </c>
      <c r="H32" s="2">
        <f>VLOOKUP(C32,[1]道具价值!$B$33:$E$45,4,FALSE)*D32+IFERROR(VLOOKUP(E32,[1]道具价值!$B$33:$E$45,4,FALSE)*F32,0)</f>
        <v>180</v>
      </c>
      <c r="I32" s="2">
        <f t="shared" si="4"/>
        <v>3</v>
      </c>
      <c r="J32" s="2">
        <v>1</v>
      </c>
      <c r="K32" s="2">
        <v>5</v>
      </c>
      <c r="L32" s="30"/>
    </row>
    <row r="33" spans="2:20" x14ac:dyDescent="0.3">
      <c r="B33" s="2" t="s">
        <v>2604</v>
      </c>
      <c r="C33" s="2" t="s">
        <v>1784</v>
      </c>
      <c r="D33" s="2">
        <v>3</v>
      </c>
      <c r="E33" s="2"/>
      <c r="F33" s="2"/>
      <c r="G33" s="2">
        <f>VLOOKUP(C33,[1]道具价值!$B$16:$C$27,2,FALSE)*D33+IFERROR(VLOOKUP(E33,[1]道具价值!$B$16:$C$27,2,FALSE)*F33,0)</f>
        <v>210</v>
      </c>
      <c r="H33" s="2">
        <f>VLOOKUP(C33,[1]道具价值!$B$33:$E$45,4,FALSE)*D33+IFERROR(VLOOKUP(E33,[1]道具价值!$B$33:$E$45,4,FALSE)*F33,0)</f>
        <v>210</v>
      </c>
      <c r="I33" s="2">
        <f t="shared" si="4"/>
        <v>3</v>
      </c>
      <c r="J33" s="2">
        <v>1</v>
      </c>
      <c r="K33" s="2">
        <v>5</v>
      </c>
      <c r="L33" s="30"/>
    </row>
    <row r="34" spans="2:20" x14ac:dyDescent="0.3">
      <c r="B34" s="2" t="s">
        <v>2606</v>
      </c>
      <c r="C34" s="2" t="s">
        <v>1786</v>
      </c>
      <c r="D34" s="2">
        <v>2</v>
      </c>
      <c r="E34" s="2"/>
      <c r="F34" s="2"/>
      <c r="G34" s="2">
        <f>VLOOKUP(C34,[1]道具价值!$B$16:$C$27,2,FALSE)*D34+IFERROR(VLOOKUP(E34,[1]道具价值!$B$16:$C$27,2,FALSE)*F34,0)</f>
        <v>210</v>
      </c>
      <c r="H34" s="2">
        <f>VLOOKUP(C34,[1]道具价值!$B$33:$E$45,4,FALSE)*D34+IFERROR(VLOOKUP(E34,[1]道具价值!$B$33:$E$45,4,FALSE)*F34,0)</f>
        <v>220</v>
      </c>
      <c r="I34" s="2">
        <f t="shared" si="4"/>
        <v>2</v>
      </c>
      <c r="J34" s="2">
        <v>1</v>
      </c>
      <c r="K34" s="2">
        <v>8</v>
      </c>
      <c r="L34" s="30"/>
    </row>
    <row r="35" spans="2:20" x14ac:dyDescent="0.3">
      <c r="B35" s="2" t="s">
        <v>2608</v>
      </c>
      <c r="C35" s="2" t="s">
        <v>1787</v>
      </c>
      <c r="D35" s="2">
        <v>2</v>
      </c>
      <c r="E35" s="2"/>
      <c r="F35" s="2"/>
      <c r="G35" s="2">
        <f>VLOOKUP(C35,[1]道具价值!$B$16:$C$27,2,FALSE)*D35+IFERROR(VLOOKUP(E35,[1]道具价值!$B$16:$C$27,2,FALSE)*F35,0)</f>
        <v>260</v>
      </c>
      <c r="H35" s="2">
        <f>VLOOKUP(C35,[1]道具价值!$B$33:$E$45,4,FALSE)*D35+IFERROR(VLOOKUP(E35,[1]道具价值!$B$33:$E$45,4,FALSE)*F35,0)</f>
        <v>260</v>
      </c>
      <c r="I35" s="2">
        <f t="shared" si="4"/>
        <v>2</v>
      </c>
      <c r="J35" s="2">
        <v>1</v>
      </c>
      <c r="K35" s="2">
        <v>10</v>
      </c>
      <c r="L35" s="30"/>
    </row>
    <row r="36" spans="2:20" x14ac:dyDescent="0.3">
      <c r="B36" s="2" t="s">
        <v>2610</v>
      </c>
      <c r="C36" s="2" t="s">
        <v>1788</v>
      </c>
      <c r="D36" s="2">
        <v>2</v>
      </c>
      <c r="E36" s="2"/>
      <c r="F36" s="2"/>
      <c r="G36" s="2">
        <f>VLOOKUP(C36,[1]道具价值!$B$16:$C$27,2,FALSE)*D36+IFERROR(VLOOKUP(E36,[1]道具价值!$B$16:$C$27,2,FALSE)*F36,0)</f>
        <v>290</v>
      </c>
      <c r="H36" s="2">
        <f>VLOOKUP(C36,[1]道具价值!$B$33:$E$45,4,FALSE)*D36+IFERROR(VLOOKUP(E36,[1]道具价值!$B$33:$E$45,4,FALSE)*F36,0)</f>
        <v>300</v>
      </c>
      <c r="I36" s="2">
        <f t="shared" si="4"/>
        <v>2</v>
      </c>
      <c r="J36" s="2">
        <v>1</v>
      </c>
      <c r="K36" s="2">
        <v>10</v>
      </c>
      <c r="L36" s="30"/>
    </row>
    <row r="37" spans="2:20" x14ac:dyDescent="0.3">
      <c r="B37" s="23"/>
      <c r="C37" s="24"/>
      <c r="D37" s="24"/>
      <c r="E37" s="25"/>
      <c r="F37" s="25"/>
      <c r="G37" s="25"/>
      <c r="H37" s="25"/>
      <c r="I37" s="25"/>
      <c r="J37" s="25"/>
      <c r="K37" s="30"/>
      <c r="L37" s="30"/>
    </row>
    <row r="38" spans="2:20" x14ac:dyDescent="0.3">
      <c r="B38" s="23"/>
      <c r="C38" s="24"/>
      <c r="D38" s="24"/>
      <c r="E38" s="25"/>
      <c r="F38" s="25"/>
      <c r="G38" s="25"/>
      <c r="H38" s="25"/>
      <c r="I38" s="25"/>
      <c r="J38" s="25"/>
      <c r="K38" s="30"/>
      <c r="L38" s="30"/>
    </row>
    <row r="39" spans="2:20" x14ac:dyDescent="0.3">
      <c r="B39" s="262" t="s">
        <v>383</v>
      </c>
      <c r="C39" s="262"/>
      <c r="D39" s="262"/>
      <c r="E39" s="262"/>
      <c r="F39" s="262"/>
      <c r="G39" s="262"/>
      <c r="H39" s="262"/>
      <c r="I39" s="262"/>
      <c r="J39" s="262"/>
      <c r="K39" s="262"/>
      <c r="L39" s="262"/>
      <c r="M39" s="262"/>
      <c r="N39" s="262"/>
      <c r="P39" s="262" t="s">
        <v>3496</v>
      </c>
      <c r="Q39" s="262"/>
      <c r="R39" s="262"/>
      <c r="S39" s="262"/>
      <c r="T39" s="262"/>
    </row>
    <row r="40" spans="2:20" x14ac:dyDescent="0.3">
      <c r="B40" s="2" t="str">
        <f>[1]基础经济系数!B56</f>
        <v>联赛等级</v>
      </c>
      <c r="C40" s="2" t="str">
        <f>[1]基础经济系数!C56</f>
        <v>T1低</v>
      </c>
      <c r="D40" s="2" t="str">
        <f>[1]基础经济系数!D56</f>
        <v>T2低</v>
      </c>
      <c r="E40" s="2" t="str">
        <f>[1]基础经济系数!E56</f>
        <v>T2中</v>
      </c>
      <c r="F40" s="2" t="str">
        <f>[1]基础经济系数!F56</f>
        <v>T3低</v>
      </c>
      <c r="G40" s="2" t="str">
        <f>[1]基础经济系数!G56</f>
        <v>T3中</v>
      </c>
      <c r="H40" s="2" t="str">
        <f>[1]基础经济系数!H56</f>
        <v>T3高</v>
      </c>
      <c r="I40" s="2" t="str">
        <f>[1]基础经济系数!I56</f>
        <v>T4低</v>
      </c>
      <c r="J40" s="2" t="str">
        <f>[1]基础经济系数!J56</f>
        <v>T4中</v>
      </c>
      <c r="K40" s="2" t="str">
        <f>[1]基础经济系数!K56</f>
        <v>T4高</v>
      </c>
      <c r="L40" s="2" t="str">
        <f>[1]基础经济系数!L56</f>
        <v>T5低</v>
      </c>
      <c r="M40" s="2" t="str">
        <f>[1]基础经济系数!M56</f>
        <v>T5中</v>
      </c>
      <c r="N40" s="2" t="str">
        <f>[1]基础经济系数!N56</f>
        <v>T5高</v>
      </c>
      <c r="P40" s="2" t="str">
        <f>B40</f>
        <v>联赛等级</v>
      </c>
      <c r="Q40" s="22" t="s">
        <v>3486</v>
      </c>
      <c r="R40" s="2" t="s">
        <v>3487</v>
      </c>
      <c r="S40" s="2" t="s">
        <v>3497</v>
      </c>
      <c r="T40" s="2" t="s">
        <v>3498</v>
      </c>
    </row>
    <row r="41" spans="2:20" x14ac:dyDescent="0.3">
      <c r="B41" s="2">
        <f>[1]基础经济系数!B57</f>
        <v>1</v>
      </c>
      <c r="C41" s="2" t="str">
        <f>[1]基础经济系数!C57</f>
        <v>All</v>
      </c>
      <c r="D41" s="2" t="str">
        <f>[1]基础经济系数!D57</f>
        <v>None</v>
      </c>
      <c r="E41" s="2" t="str">
        <f>[1]基础经济系数!E57</f>
        <v>None</v>
      </c>
      <c r="F41" s="2" t="str">
        <f>[1]基础经济系数!F57</f>
        <v>None</v>
      </c>
      <c r="G41" s="2" t="str">
        <f>[1]基础经济系数!G57</f>
        <v>None</v>
      </c>
      <c r="H41" s="2" t="str">
        <f>[1]基础经济系数!H57</f>
        <v>None</v>
      </c>
      <c r="I41" s="2" t="str">
        <f>[1]基础经济系数!I57</f>
        <v>None</v>
      </c>
      <c r="J41" s="2" t="str">
        <f>[1]基础经济系数!J57</f>
        <v>None</v>
      </c>
      <c r="K41" s="2" t="str">
        <f>[1]基础经济系数!K57</f>
        <v>None</v>
      </c>
      <c r="L41" s="2" t="str">
        <f>[1]基础经济系数!L57</f>
        <v>None</v>
      </c>
      <c r="M41" s="2" t="str">
        <f>[1]基础经济系数!M57</f>
        <v>None</v>
      </c>
      <c r="N41" s="2" t="str">
        <f>[1]基础经济系数!N57</f>
        <v>None</v>
      </c>
      <c r="P41" s="2">
        <f t="shared" ref="P41:P50" si="5">B41</f>
        <v>1</v>
      </c>
      <c r="Q41" s="2" t="b">
        <v>1</v>
      </c>
      <c r="R41" s="2" t="b">
        <v>1</v>
      </c>
      <c r="S41" s="2" t="b">
        <v>1</v>
      </c>
      <c r="T41" s="2" t="b">
        <v>0</v>
      </c>
    </row>
    <row r="42" spans="2:20" x14ac:dyDescent="0.3">
      <c r="B42" s="2">
        <f>[1]基础经济系数!B58</f>
        <v>2</v>
      </c>
      <c r="C42" s="2" t="str">
        <f>[1]基础经济系数!C58</f>
        <v>All</v>
      </c>
      <c r="D42" s="2" t="str">
        <f>[1]基础经济系数!D58</f>
        <v>All</v>
      </c>
      <c r="E42" s="2" t="str">
        <f>[1]基础经济系数!E58</f>
        <v>None</v>
      </c>
      <c r="F42" s="2" t="str">
        <f>[1]基础经济系数!F58</f>
        <v>None</v>
      </c>
      <c r="G42" s="2" t="str">
        <f>[1]基础经济系数!G58</f>
        <v>None</v>
      </c>
      <c r="H42" s="2" t="str">
        <f>[1]基础经济系数!H58</f>
        <v>None</v>
      </c>
      <c r="I42" s="2" t="str">
        <f>[1]基础经济系数!I58</f>
        <v>None</v>
      </c>
      <c r="J42" s="2" t="str">
        <f>[1]基础经济系数!J58</f>
        <v>None</v>
      </c>
      <c r="K42" s="2" t="str">
        <f>[1]基础经济系数!K58</f>
        <v>None</v>
      </c>
      <c r="L42" s="2" t="str">
        <f>[1]基础经济系数!L58</f>
        <v>None</v>
      </c>
      <c r="M42" s="2" t="str">
        <f>[1]基础经济系数!M58</f>
        <v>None</v>
      </c>
      <c r="N42" s="2" t="str">
        <f>[1]基础经济系数!N58</f>
        <v>None</v>
      </c>
      <c r="P42" s="2">
        <f t="shared" si="5"/>
        <v>2</v>
      </c>
      <c r="Q42" s="2" t="b">
        <v>0</v>
      </c>
      <c r="R42" s="2" t="b">
        <v>1</v>
      </c>
      <c r="S42" s="2" t="b">
        <v>1</v>
      </c>
      <c r="T42" s="2" t="b">
        <v>1</v>
      </c>
    </row>
    <row r="43" spans="2:20" x14ac:dyDescent="0.3">
      <c r="B43" s="2">
        <f>[1]基础经济系数!B59</f>
        <v>3</v>
      </c>
      <c r="C43" s="2" t="str">
        <f>[1]基础经济系数!C59</f>
        <v>All</v>
      </c>
      <c r="D43" s="2" t="str">
        <f>[1]基础经济系数!D59</f>
        <v>All</v>
      </c>
      <c r="E43" s="2" t="str">
        <f>[1]基础经济系数!E59</f>
        <v>All</v>
      </c>
      <c r="F43" s="2" t="str">
        <f>[1]基础经济系数!F59</f>
        <v>None</v>
      </c>
      <c r="G43" s="2" t="str">
        <f>[1]基础经济系数!G59</f>
        <v>None</v>
      </c>
      <c r="H43" s="2" t="str">
        <f>[1]基础经济系数!H59</f>
        <v>None</v>
      </c>
      <c r="I43" s="2" t="str">
        <f>[1]基础经济系数!I59</f>
        <v>None</v>
      </c>
      <c r="J43" s="2" t="str">
        <f>[1]基础经济系数!J59</f>
        <v>None</v>
      </c>
      <c r="K43" s="2" t="str">
        <f>[1]基础经济系数!K59</f>
        <v>None</v>
      </c>
      <c r="L43" s="2" t="str">
        <f>[1]基础经济系数!L59</f>
        <v>None</v>
      </c>
      <c r="M43" s="2" t="str">
        <f>[1]基础经济系数!M59</f>
        <v>None</v>
      </c>
      <c r="N43" s="2" t="str">
        <f>[1]基础经济系数!N59</f>
        <v>None</v>
      </c>
      <c r="P43" s="2">
        <f t="shared" si="5"/>
        <v>3</v>
      </c>
      <c r="Q43" s="2" t="b">
        <v>0</v>
      </c>
      <c r="R43" s="2" t="b">
        <v>1</v>
      </c>
      <c r="S43" s="2" t="b">
        <v>1</v>
      </c>
      <c r="T43" s="2" t="b">
        <v>1</v>
      </c>
    </row>
    <row r="44" spans="2:20" x14ac:dyDescent="0.3">
      <c r="B44" s="2">
        <f>[1]基础经济系数!B60</f>
        <v>4</v>
      </c>
      <c r="C44" s="2" t="str">
        <f>[1]基础经济系数!C60</f>
        <v>All</v>
      </c>
      <c r="D44" s="2" t="str">
        <f>[1]基础经济系数!D60</f>
        <v>All</v>
      </c>
      <c r="E44" s="2" t="str">
        <f>[1]基础经济系数!E60</f>
        <v>All</v>
      </c>
      <c r="F44" s="2" t="str">
        <f>[1]基础经济系数!F60</f>
        <v>None</v>
      </c>
      <c r="G44" s="2" t="str">
        <f>[1]基础经济系数!G60</f>
        <v>None</v>
      </c>
      <c r="H44" s="2" t="str">
        <f>[1]基础经济系数!H60</f>
        <v>None</v>
      </c>
      <c r="I44" s="2" t="str">
        <f>[1]基础经济系数!I60</f>
        <v>None</v>
      </c>
      <c r="J44" s="2" t="str">
        <f>[1]基础经济系数!J60</f>
        <v>None</v>
      </c>
      <c r="K44" s="2" t="str">
        <f>[1]基础经济系数!K60</f>
        <v>None</v>
      </c>
      <c r="L44" s="2" t="str">
        <f>[1]基础经济系数!L60</f>
        <v>None</v>
      </c>
      <c r="M44" s="2" t="str">
        <f>[1]基础经济系数!M60</f>
        <v>None</v>
      </c>
      <c r="N44" s="2" t="str">
        <f>[1]基础经济系数!N60</f>
        <v>None</v>
      </c>
      <c r="P44" s="2">
        <f t="shared" si="5"/>
        <v>4</v>
      </c>
      <c r="Q44" s="2" t="b">
        <v>0</v>
      </c>
      <c r="R44" s="2" t="b">
        <v>1</v>
      </c>
      <c r="S44" s="2" t="b">
        <v>1</v>
      </c>
      <c r="T44" s="2" t="b">
        <v>1</v>
      </c>
    </row>
    <row r="45" spans="2:20" x14ac:dyDescent="0.3">
      <c r="B45" s="2">
        <f>[1]基础经济系数!B61</f>
        <v>5</v>
      </c>
      <c r="C45" s="2" t="str">
        <f>[1]基础经济系数!C61</f>
        <v>All</v>
      </c>
      <c r="D45" s="2" t="str">
        <f>[1]基础经济系数!D61</f>
        <v>All</v>
      </c>
      <c r="E45" s="2" t="str">
        <f>[1]基础经济系数!E61</f>
        <v>All</v>
      </c>
      <c r="F45" s="2" t="str">
        <f>[1]基础经济系数!F61</f>
        <v>All</v>
      </c>
      <c r="G45" s="2" t="str">
        <f>[1]基础经济系数!G61</f>
        <v>All</v>
      </c>
      <c r="H45" s="2" t="str">
        <f>[1]基础经济系数!H61</f>
        <v>None</v>
      </c>
      <c r="I45" s="2" t="str">
        <f>[1]基础经济系数!I61</f>
        <v>None</v>
      </c>
      <c r="J45" s="2" t="str">
        <f>[1]基础经济系数!J61</f>
        <v>None</v>
      </c>
      <c r="K45" s="2" t="str">
        <f>[1]基础经济系数!K61</f>
        <v>None</v>
      </c>
      <c r="L45" s="2" t="str">
        <f>[1]基础经济系数!L61</f>
        <v>None</v>
      </c>
      <c r="M45" s="2" t="str">
        <f>[1]基础经济系数!M61</f>
        <v>None</v>
      </c>
      <c r="N45" s="2" t="str">
        <f>[1]基础经济系数!N61</f>
        <v>None</v>
      </c>
      <c r="P45" s="2">
        <f t="shared" si="5"/>
        <v>5</v>
      </c>
      <c r="Q45" s="2" t="b">
        <v>0</v>
      </c>
      <c r="R45" s="2" t="b">
        <v>1</v>
      </c>
      <c r="S45" s="2" t="b">
        <v>1</v>
      </c>
      <c r="T45" s="2" t="b">
        <v>1</v>
      </c>
    </row>
    <row r="46" spans="2:20" x14ac:dyDescent="0.3">
      <c r="B46" s="2">
        <f>[1]基础经济系数!B62</f>
        <v>6</v>
      </c>
      <c r="C46" s="2" t="str">
        <f>[1]基础经济系数!C62</f>
        <v>All</v>
      </c>
      <c r="D46" s="2" t="str">
        <f>[1]基础经济系数!D62</f>
        <v>All</v>
      </c>
      <c r="E46" s="2" t="str">
        <f>[1]基础经济系数!E62</f>
        <v>All</v>
      </c>
      <c r="F46" s="2" t="str">
        <f>[1]基础经济系数!F62</f>
        <v>All</v>
      </c>
      <c r="G46" s="2" t="str">
        <f>[1]基础经济系数!G62</f>
        <v>All</v>
      </c>
      <c r="H46" s="2" t="str">
        <f>[1]基础经济系数!H62</f>
        <v>None</v>
      </c>
      <c r="I46" s="2" t="str">
        <f>[1]基础经济系数!I62</f>
        <v>None</v>
      </c>
      <c r="J46" s="2" t="str">
        <f>[1]基础经济系数!J62</f>
        <v>None</v>
      </c>
      <c r="K46" s="2" t="str">
        <f>[1]基础经济系数!K62</f>
        <v>None</v>
      </c>
      <c r="L46" s="2" t="str">
        <f>[1]基础经济系数!L62</f>
        <v>None</v>
      </c>
      <c r="M46" s="2" t="str">
        <f>[1]基础经济系数!M62</f>
        <v>None</v>
      </c>
      <c r="N46" s="2" t="str">
        <f>[1]基础经济系数!N62</f>
        <v>None</v>
      </c>
      <c r="P46" s="2">
        <f t="shared" si="5"/>
        <v>6</v>
      </c>
      <c r="Q46" s="2" t="b">
        <v>0</v>
      </c>
      <c r="R46" s="2" t="b">
        <v>1</v>
      </c>
      <c r="S46" s="2" t="b">
        <v>1</v>
      </c>
      <c r="T46" s="2" t="b">
        <v>1</v>
      </c>
    </row>
    <row r="47" spans="2:20" x14ac:dyDescent="0.3">
      <c r="B47" s="2">
        <f>[1]基础经济系数!B63</f>
        <v>7</v>
      </c>
      <c r="C47" s="2" t="str">
        <f>[1]基础经济系数!C63</f>
        <v>All</v>
      </c>
      <c r="D47" s="2" t="str">
        <f>[1]基础经济系数!D63</f>
        <v>All</v>
      </c>
      <c r="E47" s="2" t="str">
        <f>[1]基础经济系数!E63</f>
        <v>All</v>
      </c>
      <c r="F47" s="2" t="str">
        <f>[1]基础经济系数!F63</f>
        <v>All</v>
      </c>
      <c r="G47" s="2" t="str">
        <f>[1]基础经济系数!G63</f>
        <v>All</v>
      </c>
      <c r="H47" s="2" t="str">
        <f>[1]基础经济系数!H63</f>
        <v>None</v>
      </c>
      <c r="I47" s="2" t="str">
        <f>[1]基础经济系数!I63</f>
        <v>None</v>
      </c>
      <c r="J47" s="2" t="str">
        <f>[1]基础经济系数!J63</f>
        <v>None</v>
      </c>
      <c r="K47" s="2" t="str">
        <f>[1]基础经济系数!K63</f>
        <v>None</v>
      </c>
      <c r="L47" s="2" t="str">
        <f>[1]基础经济系数!L63</f>
        <v>None</v>
      </c>
      <c r="M47" s="2" t="str">
        <f>[1]基础经济系数!M63</f>
        <v>None</v>
      </c>
      <c r="N47" s="2" t="str">
        <f>[1]基础经济系数!N63</f>
        <v>None</v>
      </c>
      <c r="P47" s="2">
        <f t="shared" si="5"/>
        <v>7</v>
      </c>
      <c r="Q47" s="2" t="b">
        <v>0</v>
      </c>
      <c r="R47" s="2" t="b">
        <v>1</v>
      </c>
      <c r="S47" s="2" t="b">
        <v>1</v>
      </c>
      <c r="T47" s="2" t="b">
        <v>1</v>
      </c>
    </row>
    <row r="48" spans="2:20" x14ac:dyDescent="0.3">
      <c r="B48" s="2">
        <f>[1]基础经济系数!B64</f>
        <v>8</v>
      </c>
      <c r="C48" s="2" t="str">
        <f>[1]基础经济系数!C64</f>
        <v>All</v>
      </c>
      <c r="D48" s="2" t="str">
        <f>[1]基础经济系数!D64</f>
        <v>All</v>
      </c>
      <c r="E48" s="2" t="str">
        <f>[1]基础经济系数!E64</f>
        <v>All</v>
      </c>
      <c r="F48" s="2" t="str">
        <f>[1]基础经济系数!F64</f>
        <v>All</v>
      </c>
      <c r="G48" s="2" t="str">
        <f>[1]基础经济系数!G64</f>
        <v>All</v>
      </c>
      <c r="H48" s="2" t="str">
        <f>[1]基础经济系数!H64</f>
        <v>None</v>
      </c>
      <c r="I48" s="2" t="str">
        <f>[1]基础经济系数!I64</f>
        <v>All</v>
      </c>
      <c r="J48" s="2" t="str">
        <f>[1]基础经济系数!J64</f>
        <v>part</v>
      </c>
      <c r="K48" s="2" t="str">
        <f>[1]基础经济系数!K64</f>
        <v>part</v>
      </c>
      <c r="L48" s="2" t="str">
        <f>[1]基础经济系数!L64</f>
        <v>None</v>
      </c>
      <c r="M48" s="2" t="str">
        <f>[1]基础经济系数!M64</f>
        <v>None</v>
      </c>
      <c r="N48" s="2" t="str">
        <f>[1]基础经济系数!N64</f>
        <v>None</v>
      </c>
      <c r="P48" s="2">
        <f t="shared" si="5"/>
        <v>8</v>
      </c>
      <c r="Q48" s="2" t="b">
        <v>0</v>
      </c>
      <c r="R48" s="2" t="b">
        <v>1</v>
      </c>
      <c r="S48" s="2" t="b">
        <v>1</v>
      </c>
      <c r="T48" s="2" t="b">
        <v>1</v>
      </c>
    </row>
    <row r="49" spans="2:22" x14ac:dyDescent="0.3">
      <c r="B49" s="2">
        <f>[1]基础经济系数!B65</f>
        <v>9</v>
      </c>
      <c r="C49" s="2" t="str">
        <f>[1]基础经济系数!C65</f>
        <v>All</v>
      </c>
      <c r="D49" s="2" t="str">
        <f>[1]基础经济系数!D65</f>
        <v>All</v>
      </c>
      <c r="E49" s="2" t="str">
        <f>[1]基础经济系数!E65</f>
        <v>All</v>
      </c>
      <c r="F49" s="2" t="str">
        <f>[1]基础经济系数!F65</f>
        <v>All</v>
      </c>
      <c r="G49" s="2" t="str">
        <f>[1]基础经济系数!G65</f>
        <v>All</v>
      </c>
      <c r="H49" s="2" t="str">
        <f>[1]基础经济系数!H65</f>
        <v>None</v>
      </c>
      <c r="I49" s="2" t="str">
        <f>[1]基础经济系数!I65</f>
        <v>All</v>
      </c>
      <c r="J49" s="2" t="str">
        <f>[1]基础经济系数!J65</f>
        <v>part</v>
      </c>
      <c r="K49" s="2" t="str">
        <f>[1]基础经济系数!K65</f>
        <v>part</v>
      </c>
      <c r="L49" s="2" t="str">
        <f>[1]基础经济系数!L65</f>
        <v>None</v>
      </c>
      <c r="M49" s="2" t="str">
        <f>[1]基础经济系数!M65</f>
        <v>None</v>
      </c>
      <c r="N49" s="2" t="str">
        <f>[1]基础经济系数!N65</f>
        <v>None</v>
      </c>
      <c r="P49" s="2">
        <f t="shared" si="5"/>
        <v>9</v>
      </c>
      <c r="Q49" s="2" t="b">
        <v>0</v>
      </c>
      <c r="R49" s="2" t="b">
        <v>1</v>
      </c>
      <c r="S49" s="2" t="b">
        <v>1</v>
      </c>
      <c r="T49" s="2" t="b">
        <v>1</v>
      </c>
    </row>
    <row r="50" spans="2:22" x14ac:dyDescent="0.3">
      <c r="B50" s="2">
        <f>[1]基础经济系数!B66</f>
        <v>10</v>
      </c>
      <c r="C50" s="2" t="str">
        <f>[1]基础经济系数!C66</f>
        <v>All</v>
      </c>
      <c r="D50" s="2" t="str">
        <f>[1]基础经济系数!D66</f>
        <v>All</v>
      </c>
      <c r="E50" s="2" t="str">
        <f>[1]基础经济系数!E66</f>
        <v>All</v>
      </c>
      <c r="F50" s="2" t="str">
        <f>[1]基础经济系数!F66</f>
        <v>All</v>
      </c>
      <c r="G50" s="2" t="str">
        <f>[1]基础经济系数!G66</f>
        <v>All</v>
      </c>
      <c r="H50" s="2" t="str">
        <f>[1]基础经济系数!H66</f>
        <v>None</v>
      </c>
      <c r="I50" s="2" t="str">
        <f>[1]基础经济系数!I66</f>
        <v>All</v>
      </c>
      <c r="J50" s="2" t="str">
        <f>[1]基础经济系数!J66</f>
        <v>All</v>
      </c>
      <c r="K50" s="2" t="str">
        <f>[1]基础经济系数!K66</f>
        <v>All</v>
      </c>
      <c r="L50" s="2" t="str">
        <f>[1]基础经济系数!L66</f>
        <v>None</v>
      </c>
      <c r="M50" s="2" t="str">
        <f>[1]基础经济系数!M66</f>
        <v>None</v>
      </c>
      <c r="N50" s="2" t="str">
        <f>[1]基础经济系数!N66</f>
        <v>None</v>
      </c>
      <c r="P50" s="2">
        <f t="shared" si="5"/>
        <v>10</v>
      </c>
      <c r="Q50" s="2" t="b">
        <v>0</v>
      </c>
      <c r="R50" s="2" t="b">
        <v>1</v>
      </c>
      <c r="S50" s="2" t="b">
        <v>1</v>
      </c>
      <c r="T50" s="2" t="b">
        <v>1</v>
      </c>
    </row>
    <row r="53" spans="2:22" x14ac:dyDescent="0.3">
      <c r="B53" s="2" t="s">
        <v>901</v>
      </c>
      <c r="C53" s="2" t="s">
        <v>352</v>
      </c>
      <c r="D53" s="2" t="s">
        <v>790</v>
      </c>
      <c r="E53" s="2" t="s">
        <v>3499</v>
      </c>
      <c r="F53" s="2" t="s">
        <v>3500</v>
      </c>
      <c r="G53" s="2" t="s">
        <v>327</v>
      </c>
      <c r="H53" s="2" t="s">
        <v>3483</v>
      </c>
      <c r="I53" s="2" t="s">
        <v>3486</v>
      </c>
      <c r="J53" s="2" t="s">
        <v>3487</v>
      </c>
      <c r="K53" s="2" t="s">
        <v>3497</v>
      </c>
    </row>
    <row r="54" spans="2:22" x14ac:dyDescent="0.3">
      <c r="B54" s="2" t="str">
        <f>C54&amp;D54</f>
        <v>T1低</v>
      </c>
      <c r="C54" s="2" t="s">
        <v>613</v>
      </c>
      <c r="D54" s="2" t="s">
        <v>182</v>
      </c>
      <c r="E54" s="2">
        <f>[1]坦克升星消耗!L21</f>
        <v>2700</v>
      </c>
      <c r="F54" s="2">
        <v>1</v>
      </c>
      <c r="G54" s="2">
        <v>1</v>
      </c>
      <c r="H54" s="2">
        <v>1</v>
      </c>
      <c r="I54" s="2">
        <v>1</v>
      </c>
      <c r="J54" s="31">
        <f>POWER(E54/$E$54,0.1)</f>
        <v>1</v>
      </c>
      <c r="K54" s="31">
        <f t="shared" ref="K54:K65" si="6">E54/$E$54</f>
        <v>1</v>
      </c>
    </row>
    <row r="55" spans="2:22" x14ac:dyDescent="0.3">
      <c r="B55" s="2" t="str">
        <f t="shared" ref="B55:B65" si="7">C55&amp;D55</f>
        <v>T2低</v>
      </c>
      <c r="C55" s="2" t="s">
        <v>615</v>
      </c>
      <c r="D55" s="2" t="s">
        <v>182</v>
      </c>
      <c r="E55" s="2">
        <f>[1]坦克升星消耗!L22</f>
        <v>12000</v>
      </c>
      <c r="F55" s="2">
        <v>1</v>
      </c>
      <c r="G55" s="2">
        <v>1</v>
      </c>
      <c r="H55" s="2">
        <v>1</v>
      </c>
      <c r="I55" s="2">
        <v>1</v>
      </c>
      <c r="J55" s="31">
        <f t="shared" ref="J55:J65" si="8">POWER(E55/$E$54,0.1)</f>
        <v>1.1608650821807935</v>
      </c>
      <c r="K55" s="31">
        <f t="shared" si="6"/>
        <v>4.4444444444444446</v>
      </c>
      <c r="M55" s="1">
        <f t="shared" ref="M55:N57" si="9">J55/J54</f>
        <v>1.1608650821807935</v>
      </c>
      <c r="N55" s="1">
        <f t="shared" si="9"/>
        <v>4.4444444444444446</v>
      </c>
    </row>
    <row r="56" spans="2:22" x14ac:dyDescent="0.3">
      <c r="B56" s="2" t="str">
        <f t="shared" si="7"/>
        <v>T2中</v>
      </c>
      <c r="C56" s="2" t="s">
        <v>615</v>
      </c>
      <c r="D56" s="2" t="s">
        <v>184</v>
      </c>
      <c r="E56" s="2">
        <f>[1]坦克升星消耗!L23</f>
        <v>24200</v>
      </c>
      <c r="F56" s="2">
        <v>1</v>
      </c>
      <c r="G56" s="2">
        <v>1</v>
      </c>
      <c r="H56" s="2">
        <v>1</v>
      </c>
      <c r="I56" s="2">
        <v>1</v>
      </c>
      <c r="J56" s="31">
        <f t="shared" si="8"/>
        <v>1.245217341311287</v>
      </c>
      <c r="K56" s="31">
        <f t="shared" si="6"/>
        <v>8.9629629629629637</v>
      </c>
      <c r="M56" s="1">
        <f t="shared" si="9"/>
        <v>1.0726632753670478</v>
      </c>
      <c r="N56" s="1">
        <f t="shared" si="9"/>
        <v>2.0166666666666666</v>
      </c>
    </row>
    <row r="57" spans="2:22" x14ac:dyDescent="0.3">
      <c r="B57" s="2" t="str">
        <f t="shared" si="7"/>
        <v>T3低</v>
      </c>
      <c r="C57" s="2" t="s">
        <v>619</v>
      </c>
      <c r="D57" s="2" t="s">
        <v>182</v>
      </c>
      <c r="E57" s="2">
        <f>[1]坦克升星消耗!L24</f>
        <v>45400</v>
      </c>
      <c r="F57" s="2">
        <v>1</v>
      </c>
      <c r="G57" s="2">
        <v>1</v>
      </c>
      <c r="H57" s="2">
        <v>1</v>
      </c>
      <c r="I57" s="2">
        <v>1</v>
      </c>
      <c r="J57" s="31">
        <f t="shared" si="8"/>
        <v>1.3260784238685086</v>
      </c>
      <c r="K57" s="31">
        <f t="shared" si="6"/>
        <v>16.814814814814813</v>
      </c>
      <c r="M57" s="1">
        <f t="shared" si="9"/>
        <v>1.0649373244931444</v>
      </c>
      <c r="N57" s="1">
        <f t="shared" si="9"/>
        <v>1.8760330578512394</v>
      </c>
    </row>
    <row r="58" spans="2:22" x14ac:dyDescent="0.3">
      <c r="B58" s="2" t="str">
        <f t="shared" si="7"/>
        <v>T3中</v>
      </c>
      <c r="C58" s="2" t="s">
        <v>619</v>
      </c>
      <c r="D58" s="2" t="s">
        <v>184</v>
      </c>
      <c r="E58" s="2">
        <f>[1]坦克升星消耗!L25</f>
        <v>71750</v>
      </c>
      <c r="F58" s="2">
        <v>1</v>
      </c>
      <c r="G58" s="2">
        <v>1</v>
      </c>
      <c r="H58" s="2">
        <v>1</v>
      </c>
      <c r="I58" s="2">
        <v>1</v>
      </c>
      <c r="J58" s="31">
        <f t="shared" si="8"/>
        <v>1.3881800992400573</v>
      </c>
      <c r="K58" s="31">
        <f t="shared" si="6"/>
        <v>26.574074074074073</v>
      </c>
      <c r="M58" s="1">
        <f>J58/J56</f>
        <v>1.1148094819963092</v>
      </c>
      <c r="N58" s="1">
        <f>K58/K56</f>
        <v>2.964876033057851</v>
      </c>
      <c r="O58" s="1">
        <f>J58/J57</f>
        <v>1.0468310729243164</v>
      </c>
      <c r="P58" s="1">
        <f>K58/K57</f>
        <v>1.5803964757709252</v>
      </c>
    </row>
    <row r="59" spans="2:22" x14ac:dyDescent="0.3">
      <c r="B59" s="2" t="str">
        <f t="shared" si="7"/>
        <v>T3高</v>
      </c>
      <c r="C59" s="2" t="s">
        <v>619</v>
      </c>
      <c r="D59" s="2" t="s">
        <v>183</v>
      </c>
      <c r="E59" s="2">
        <f>[1]坦克升星消耗!L26</f>
        <v>101650</v>
      </c>
      <c r="F59" s="2">
        <v>1</v>
      </c>
      <c r="G59" s="2">
        <v>1</v>
      </c>
      <c r="H59" s="2">
        <v>1</v>
      </c>
      <c r="I59" s="2">
        <v>1</v>
      </c>
      <c r="J59" s="31">
        <f t="shared" si="8"/>
        <v>1.4373891486113104</v>
      </c>
      <c r="K59" s="31">
        <f t="shared" si="6"/>
        <v>37.648148148148145</v>
      </c>
    </row>
    <row r="60" spans="2:22" x14ac:dyDescent="0.3">
      <c r="B60" s="2" t="str">
        <f t="shared" si="7"/>
        <v>T4低</v>
      </c>
      <c r="C60" s="2" t="s">
        <v>626</v>
      </c>
      <c r="D60" s="2" t="s">
        <v>182</v>
      </c>
      <c r="E60" s="2">
        <f>[1]坦克升星消耗!L27</f>
        <v>181150</v>
      </c>
      <c r="F60" s="2">
        <v>1</v>
      </c>
      <c r="G60" s="2">
        <v>1</v>
      </c>
      <c r="H60" s="2">
        <v>1</v>
      </c>
      <c r="I60" s="2">
        <v>1</v>
      </c>
      <c r="J60" s="31">
        <f t="shared" si="8"/>
        <v>1.5228862217122558</v>
      </c>
      <c r="K60" s="31">
        <f t="shared" si="6"/>
        <v>67.092592592592595</v>
      </c>
      <c r="M60" s="1">
        <f>J60/$J$58</f>
        <v>1.0970379294055157</v>
      </c>
      <c r="N60" s="1">
        <f>K60/$K$58</f>
        <v>2.5247386759581882</v>
      </c>
    </row>
    <row r="61" spans="2:22" x14ac:dyDescent="0.3">
      <c r="B61" s="2" t="str">
        <f t="shared" si="7"/>
        <v>T4中</v>
      </c>
      <c r="C61" s="2" t="s">
        <v>626</v>
      </c>
      <c r="D61" s="2" t="s">
        <v>184</v>
      </c>
      <c r="E61" s="2">
        <f>[1]坦克升星消耗!L28</f>
        <v>277300</v>
      </c>
      <c r="F61" s="2">
        <v>1</v>
      </c>
      <c r="G61" s="2">
        <v>1</v>
      </c>
      <c r="H61" s="2">
        <v>1</v>
      </c>
      <c r="I61" s="2">
        <v>1</v>
      </c>
      <c r="J61" s="31">
        <f t="shared" si="8"/>
        <v>1.5891270144921257</v>
      </c>
      <c r="K61" s="31">
        <f t="shared" si="6"/>
        <v>102.70370370370371</v>
      </c>
      <c r="M61" s="1">
        <f>J61/$J$58</f>
        <v>1.1447556519230282</v>
      </c>
      <c r="N61" s="1">
        <f>K61/$K$58</f>
        <v>3.8648083623693386</v>
      </c>
      <c r="O61" s="1">
        <f>J61/J$60</f>
        <v>1.0434968757583163</v>
      </c>
      <c r="P61" s="1">
        <f>K61/K$60</f>
        <v>1.5307756003312172</v>
      </c>
    </row>
    <row r="62" spans="2:22" x14ac:dyDescent="0.3">
      <c r="B62" s="2" t="str">
        <f t="shared" si="7"/>
        <v>T4高</v>
      </c>
      <c r="C62" s="2" t="s">
        <v>626</v>
      </c>
      <c r="D62" s="2" t="s">
        <v>183</v>
      </c>
      <c r="E62" s="2">
        <f>[1]坦克升星消耗!L29</f>
        <v>383900</v>
      </c>
      <c r="F62" s="2">
        <v>1</v>
      </c>
      <c r="G62" s="2">
        <v>1</v>
      </c>
      <c r="H62" s="2">
        <v>1</v>
      </c>
      <c r="I62" s="2">
        <v>1</v>
      </c>
      <c r="J62" s="31">
        <f t="shared" si="8"/>
        <v>1.6416683854001477</v>
      </c>
      <c r="K62" s="31">
        <f t="shared" si="6"/>
        <v>142.18518518518519</v>
      </c>
      <c r="M62" s="1">
        <f>J62/$J$58</f>
        <v>1.1826047544543101</v>
      </c>
      <c r="N62" s="1">
        <f>K62/$K$58</f>
        <v>5.3505226480836239</v>
      </c>
      <c r="O62" s="1">
        <f>J62/J$60</f>
        <v>1.0779980552679367</v>
      </c>
      <c r="P62" s="1">
        <f>K62/K$60</f>
        <v>2.1192382003864201</v>
      </c>
      <c r="R62" s="1">
        <v>1</v>
      </c>
      <c r="S62" s="1">
        <f t="shared" ref="S62:S71" si="10">SUMIF($B$74:$B$235,$R62,$F$74:$F$235)</f>
        <v>0.11099999999999999</v>
      </c>
      <c r="T62" s="1">
        <f t="shared" ref="T62:T71" si="11">SUMIF($B$74:$B$235,$R62,$H$74:$H$235)</f>
        <v>0.66599999999999993</v>
      </c>
      <c r="U62" s="1">
        <f t="shared" ref="U62:U71" si="12">SUMIF($R$74:$R$220,$R62,$V$74:$V$223)</f>
        <v>0.21899999999999997</v>
      </c>
      <c r="V62" s="1">
        <f t="shared" ref="V62:V71" si="13">SUMIF($R$74:$R$220,$R62,$X$74:$X$223)</f>
        <v>0.65699999999999992</v>
      </c>
    </row>
    <row r="63" spans="2:22" x14ac:dyDescent="0.3">
      <c r="B63" s="2" t="str">
        <f t="shared" si="7"/>
        <v>T5低</v>
      </c>
      <c r="C63" s="2" t="s">
        <v>633</v>
      </c>
      <c r="D63" s="2" t="s">
        <v>182</v>
      </c>
      <c r="E63" s="2">
        <f>[1]坦克升星消耗!L30</f>
        <v>622350</v>
      </c>
      <c r="F63" s="2">
        <v>1</v>
      </c>
      <c r="G63" s="2">
        <v>1</v>
      </c>
      <c r="H63" s="2">
        <v>1</v>
      </c>
      <c r="I63" s="2">
        <v>1</v>
      </c>
      <c r="J63" s="31">
        <f t="shared" si="8"/>
        <v>1.7229278572568092</v>
      </c>
      <c r="K63" s="31">
        <f t="shared" si="6"/>
        <v>230.5</v>
      </c>
      <c r="R63" s="1">
        <v>2</v>
      </c>
      <c r="S63" s="1">
        <f t="shared" si="10"/>
        <v>0.33299999999999996</v>
      </c>
      <c r="T63" s="1">
        <f t="shared" si="11"/>
        <v>0.66600000000000004</v>
      </c>
      <c r="U63" s="1">
        <f t="shared" si="12"/>
        <v>0.438</v>
      </c>
      <c r="V63" s="1">
        <f t="shared" si="13"/>
        <v>0.65699999999999981</v>
      </c>
    </row>
    <row r="64" spans="2:22" x14ac:dyDescent="0.3">
      <c r="B64" s="2" t="str">
        <f t="shared" si="7"/>
        <v>T5中</v>
      </c>
      <c r="C64" s="2" t="s">
        <v>633</v>
      </c>
      <c r="D64" s="2" t="s">
        <v>184</v>
      </c>
      <c r="E64" s="2">
        <f>[1]坦克升星消耗!L31</f>
        <v>902850</v>
      </c>
      <c r="F64" s="2">
        <v>1</v>
      </c>
      <c r="G64" s="2">
        <v>1</v>
      </c>
      <c r="H64" s="2">
        <v>1</v>
      </c>
      <c r="I64" s="2">
        <v>1</v>
      </c>
      <c r="J64" s="31">
        <f t="shared" si="8"/>
        <v>1.7882374418059781</v>
      </c>
      <c r="K64" s="31">
        <f t="shared" si="6"/>
        <v>334.38888888888891</v>
      </c>
      <c r="R64" s="1">
        <v>3</v>
      </c>
      <c r="S64" s="1">
        <f t="shared" si="10"/>
        <v>0.44399999999999989</v>
      </c>
      <c r="T64" s="1">
        <f t="shared" si="11"/>
        <v>0.66600000000000004</v>
      </c>
      <c r="U64" s="1">
        <f t="shared" si="12"/>
        <v>0.65699999999999992</v>
      </c>
      <c r="V64" s="1">
        <f t="shared" si="13"/>
        <v>0.65699999999999992</v>
      </c>
    </row>
    <row r="65" spans="2:25" x14ac:dyDescent="0.3">
      <c r="B65" s="2" t="str">
        <f t="shared" si="7"/>
        <v>T5高</v>
      </c>
      <c r="C65" s="2" t="s">
        <v>633</v>
      </c>
      <c r="D65" s="2" t="s">
        <v>183</v>
      </c>
      <c r="E65" s="2">
        <f>[1]坦克升星消耗!L32</f>
        <v>1199050</v>
      </c>
      <c r="F65" s="2">
        <v>1</v>
      </c>
      <c r="G65" s="2">
        <v>1</v>
      </c>
      <c r="H65" s="2">
        <v>1</v>
      </c>
      <c r="I65" s="2">
        <v>1</v>
      </c>
      <c r="J65" s="31">
        <f t="shared" si="8"/>
        <v>1.8397014596313621</v>
      </c>
      <c r="K65" s="31">
        <f t="shared" si="6"/>
        <v>444.09259259259261</v>
      </c>
      <c r="R65" s="1">
        <v>4</v>
      </c>
      <c r="S65" s="1">
        <f t="shared" si="10"/>
        <v>0.44399999999999989</v>
      </c>
      <c r="T65" s="1">
        <f t="shared" si="11"/>
        <v>0.66600000000000015</v>
      </c>
      <c r="U65" s="1">
        <f t="shared" si="12"/>
        <v>0.438</v>
      </c>
      <c r="V65" s="1">
        <f t="shared" si="13"/>
        <v>0.65700000000000003</v>
      </c>
    </row>
    <row r="66" spans="2:25" x14ac:dyDescent="0.3">
      <c r="R66" s="1">
        <v>5</v>
      </c>
      <c r="S66" s="1">
        <f t="shared" si="10"/>
        <v>0.66600000000000004</v>
      </c>
      <c r="T66" s="1">
        <f t="shared" si="11"/>
        <v>0.66599999999999993</v>
      </c>
      <c r="U66" s="1">
        <f t="shared" si="12"/>
        <v>0.65699999999999992</v>
      </c>
      <c r="V66" s="1">
        <f t="shared" si="13"/>
        <v>0.54749999999999999</v>
      </c>
    </row>
    <row r="67" spans="2:25" x14ac:dyDescent="0.3">
      <c r="R67" s="1">
        <v>6</v>
      </c>
      <c r="S67" s="1">
        <f t="shared" si="10"/>
        <v>0.55499999999999994</v>
      </c>
      <c r="T67" s="1">
        <f t="shared" si="11"/>
        <v>0.66600000000000004</v>
      </c>
      <c r="U67" s="1">
        <f t="shared" si="12"/>
        <v>0.65699999999999992</v>
      </c>
      <c r="V67" s="1">
        <f t="shared" si="13"/>
        <v>0.65700000000000003</v>
      </c>
    </row>
    <row r="68" spans="2:25" x14ac:dyDescent="0.3">
      <c r="B68" s="2" t="s">
        <v>3501</v>
      </c>
      <c r="C68" s="2" t="s">
        <v>3502</v>
      </c>
      <c r="D68" s="2" t="s">
        <v>3503</v>
      </c>
      <c r="E68" s="2" t="s">
        <v>3504</v>
      </c>
      <c r="R68" s="1">
        <v>7</v>
      </c>
      <c r="S68" s="1">
        <f t="shared" si="10"/>
        <v>0.55499999999999994</v>
      </c>
      <c r="T68" s="1">
        <f t="shared" si="11"/>
        <v>0.66600000000000004</v>
      </c>
      <c r="U68" s="1">
        <f t="shared" si="12"/>
        <v>0.438</v>
      </c>
      <c r="V68" s="1">
        <f t="shared" si="13"/>
        <v>0.65700000000000003</v>
      </c>
    </row>
    <row r="69" spans="2:25" x14ac:dyDescent="0.3">
      <c r="B69" s="2" t="s">
        <v>3505</v>
      </c>
      <c r="C69" s="32">
        <v>0.66</v>
      </c>
      <c r="D69" s="2">
        <v>18</v>
      </c>
      <c r="E69" s="2">
        <f>ROUND(C69/D69,3)</f>
        <v>3.6999999999999998E-2</v>
      </c>
      <c r="R69" s="1">
        <v>8</v>
      </c>
      <c r="S69" s="1">
        <f t="shared" si="10"/>
        <v>0.629</v>
      </c>
      <c r="T69" s="1">
        <f t="shared" si="11"/>
        <v>0.6623</v>
      </c>
      <c r="U69" s="1">
        <f t="shared" si="12"/>
        <v>0.58399999999999996</v>
      </c>
      <c r="V69" s="1">
        <f t="shared" si="13"/>
        <v>0.65700000000000003</v>
      </c>
    </row>
    <row r="70" spans="2:25" x14ac:dyDescent="0.3">
      <c r="B70" s="2" t="s">
        <v>3506</v>
      </c>
      <c r="C70" s="32">
        <v>0.66</v>
      </c>
      <c r="D70" s="2">
        <v>9</v>
      </c>
      <c r="E70" s="2">
        <f>ROUND(C70/D70,3)</f>
        <v>7.2999999999999995E-2</v>
      </c>
      <c r="R70" s="1">
        <v>9</v>
      </c>
      <c r="S70" s="1">
        <f t="shared" si="10"/>
        <v>0.59199999999999997</v>
      </c>
      <c r="T70" s="1">
        <f t="shared" si="11"/>
        <v>0.59199999999999997</v>
      </c>
      <c r="U70" s="1">
        <f t="shared" si="12"/>
        <v>0.51100000000000001</v>
      </c>
      <c r="V70" s="1">
        <f t="shared" si="13"/>
        <v>0.51100000000000001</v>
      </c>
    </row>
    <row r="71" spans="2:25" x14ac:dyDescent="0.3">
      <c r="R71" s="1">
        <v>10</v>
      </c>
      <c r="S71" s="1">
        <f t="shared" si="10"/>
        <v>0.66600000000000004</v>
      </c>
      <c r="T71" s="1">
        <f t="shared" si="11"/>
        <v>0.66600000000000004</v>
      </c>
      <c r="U71" s="1">
        <f t="shared" si="12"/>
        <v>0.65699999999999992</v>
      </c>
      <c r="V71" s="1">
        <f t="shared" si="13"/>
        <v>0.65699999999999992</v>
      </c>
    </row>
    <row r="73" spans="2:25" x14ac:dyDescent="0.3">
      <c r="B73" s="2" t="s">
        <v>385</v>
      </c>
      <c r="C73" s="2" t="s">
        <v>1800</v>
      </c>
      <c r="D73" s="2" t="s">
        <v>901</v>
      </c>
      <c r="E73" s="2" t="s">
        <v>3507</v>
      </c>
      <c r="F73" s="2" t="s">
        <v>3504</v>
      </c>
      <c r="G73" s="2" t="s">
        <v>379</v>
      </c>
      <c r="H73" s="2" t="s">
        <v>3508</v>
      </c>
      <c r="I73" s="1">
        <f>SUM(H74:H76)</f>
        <v>0.66599999999999993</v>
      </c>
      <c r="J73" s="2" t="s">
        <v>385</v>
      </c>
      <c r="K73" s="2" t="s">
        <v>1800</v>
      </c>
      <c r="L73" s="2" t="s">
        <v>901</v>
      </c>
      <c r="M73" s="2" t="s">
        <v>3507</v>
      </c>
      <c r="N73" s="2" t="s">
        <v>3504</v>
      </c>
      <c r="O73" s="2" t="s">
        <v>379</v>
      </c>
      <c r="P73" s="2" t="s">
        <v>3508</v>
      </c>
      <c r="Q73" s="1">
        <f>SUM(P74:P76)</f>
        <v>0.66599999999999993</v>
      </c>
      <c r="R73" s="2" t="s">
        <v>385</v>
      </c>
      <c r="S73" s="2" t="s">
        <v>1800</v>
      </c>
      <c r="T73" s="2" t="s">
        <v>901</v>
      </c>
      <c r="U73" s="2" t="s">
        <v>3507</v>
      </c>
      <c r="V73" s="2" t="s">
        <v>3504</v>
      </c>
      <c r="W73" s="2" t="s">
        <v>379</v>
      </c>
      <c r="X73" s="2" t="s">
        <v>3508</v>
      </c>
      <c r="Y73" s="1">
        <f>SUM(X74:X76)</f>
        <v>0.65699999999999992</v>
      </c>
    </row>
    <row r="74" spans="2:25" x14ac:dyDescent="0.3">
      <c r="B74" s="2">
        <v>1</v>
      </c>
      <c r="C74" s="2" t="s">
        <v>518</v>
      </c>
      <c r="D74" s="2" t="str">
        <f>IFERROR(VLOOKUP(C74,[1]坦克个性化设定!$B$18:$E$48,4,FALSE)&amp;VLOOKUP(C74,[1]坦克个性化细分!$I$3:$J$33,2,FALSE),"")</f>
        <v>T1低</v>
      </c>
      <c r="E74" s="2" t="s">
        <v>1743</v>
      </c>
      <c r="F74" s="2">
        <f>$E$69</f>
        <v>3.6999999999999998E-2</v>
      </c>
      <c r="G74" s="33">
        <v>6</v>
      </c>
      <c r="H74" s="2">
        <f>F74*G74</f>
        <v>0.22199999999999998</v>
      </c>
      <c r="J74" s="2">
        <v>1</v>
      </c>
      <c r="K74" s="2" t="s">
        <v>518</v>
      </c>
      <c r="L74" s="2" t="str">
        <f>IFERROR(VLOOKUP(K74,[1]坦克个性化设定!$B$18:$E$48,4,FALSE)&amp;VLOOKUP(K74,[1]坦克个性化细分!$I$3:$J$33,2,FALSE),"")</f>
        <v>T1低</v>
      </c>
      <c r="M74" s="2" t="s">
        <v>1743</v>
      </c>
      <c r="N74" s="2">
        <f>$E$69</f>
        <v>3.6999999999999998E-2</v>
      </c>
      <c r="O74" s="33">
        <v>6</v>
      </c>
      <c r="P74" s="2">
        <f>N74*O74</f>
        <v>0.22199999999999998</v>
      </c>
      <c r="R74" s="2">
        <v>1</v>
      </c>
      <c r="S74" s="2" t="s">
        <v>518</v>
      </c>
      <c r="T74" s="2" t="str">
        <f>IFERROR(VLOOKUP(S74,[1]坦克个性化设定!$B$18:$E$48,4,FALSE)&amp;VLOOKUP(S74,[1]坦克个性化细分!$I$3:$J$33,2,FALSE),"")</f>
        <v>T1低</v>
      </c>
      <c r="U74" s="2" t="s">
        <v>1743</v>
      </c>
      <c r="V74" s="2">
        <f>$E$70</f>
        <v>7.2999999999999995E-2</v>
      </c>
      <c r="W74" s="33">
        <v>3</v>
      </c>
      <c r="X74" s="2">
        <f>V74*W74</f>
        <v>0.21899999999999997</v>
      </c>
    </row>
    <row r="75" spans="2:25" x14ac:dyDescent="0.3">
      <c r="B75" s="2">
        <v>1</v>
      </c>
      <c r="C75" s="2" t="s">
        <v>520</v>
      </c>
      <c r="D75" s="2" t="str">
        <f>IFERROR(VLOOKUP(C75,[1]坦克个性化设定!$B$18:$E$48,4,FALSE)&amp;VLOOKUP(C75,[1]坦克个性化细分!$I$3:$J$33,2,FALSE),"")</f>
        <v>T1低</v>
      </c>
      <c r="E75" s="2" t="s">
        <v>1743</v>
      </c>
      <c r="F75" s="2">
        <f>$E$69</f>
        <v>3.6999999999999998E-2</v>
      </c>
      <c r="G75" s="33">
        <v>6</v>
      </c>
      <c r="H75" s="2">
        <f>F75*G75</f>
        <v>0.22199999999999998</v>
      </c>
      <c r="J75" s="2">
        <v>1</v>
      </c>
      <c r="K75" s="2" t="s">
        <v>520</v>
      </c>
      <c r="L75" s="2" t="str">
        <f>IFERROR(VLOOKUP(K75,[1]坦克个性化设定!$B$18:$E$48,4,FALSE)&amp;VLOOKUP(K75,[1]坦克个性化细分!$I$3:$J$33,2,FALSE),"")</f>
        <v>T1低</v>
      </c>
      <c r="M75" s="2" t="s">
        <v>1743</v>
      </c>
      <c r="N75" s="2">
        <f>$E$69</f>
        <v>3.6999999999999998E-2</v>
      </c>
      <c r="O75" s="33">
        <v>6</v>
      </c>
      <c r="P75" s="2">
        <f>N75*O75</f>
        <v>0.22199999999999998</v>
      </c>
      <c r="R75" s="2">
        <v>1</v>
      </c>
      <c r="S75" s="2" t="s">
        <v>520</v>
      </c>
      <c r="T75" s="2" t="str">
        <f>IFERROR(VLOOKUP(S75,[1]坦克个性化设定!$B$18:$E$48,4,FALSE)&amp;VLOOKUP(S75,[1]坦克个性化细分!$I$3:$J$33,2,FALSE),"")</f>
        <v>T1低</v>
      </c>
      <c r="U75" s="2" t="s">
        <v>1743</v>
      </c>
      <c r="V75" s="2">
        <f>$E$70</f>
        <v>7.2999999999999995E-2</v>
      </c>
      <c r="W75" s="33">
        <v>3</v>
      </c>
      <c r="X75" s="2">
        <f>V75*W75</f>
        <v>0.21899999999999997</v>
      </c>
    </row>
    <row r="76" spans="2:25" x14ac:dyDescent="0.3">
      <c r="B76" s="2">
        <v>1</v>
      </c>
      <c r="C76" s="2" t="s">
        <v>651</v>
      </c>
      <c r="D76" s="2" t="str">
        <f>IFERROR(VLOOKUP(C76,[1]坦克个性化设定!$B$18:$E$48,4,FALSE)&amp;VLOOKUP(C76,[1]坦克个性化细分!$I$3:$J$33,2,FALSE),"")</f>
        <v>T1低</v>
      </c>
      <c r="E76" s="2" t="s">
        <v>1743</v>
      </c>
      <c r="F76" s="2">
        <f>$E$69</f>
        <v>3.6999999999999998E-2</v>
      </c>
      <c r="G76" s="33">
        <v>6</v>
      </c>
      <c r="H76" s="2">
        <f>F76*G76</f>
        <v>0.22199999999999998</v>
      </c>
      <c r="J76" s="2">
        <v>1</v>
      </c>
      <c r="K76" s="2" t="s">
        <v>651</v>
      </c>
      <c r="L76" s="2" t="str">
        <f>IFERROR(VLOOKUP(K76,[1]坦克个性化设定!$B$18:$E$48,4,FALSE)&amp;VLOOKUP(K76,[1]坦克个性化细分!$I$3:$J$33,2,FALSE),"")</f>
        <v>T1低</v>
      </c>
      <c r="M76" s="2" t="s">
        <v>1743</v>
      </c>
      <c r="N76" s="2">
        <f>$E$69</f>
        <v>3.6999999999999998E-2</v>
      </c>
      <c r="O76" s="33">
        <v>6</v>
      </c>
      <c r="P76" s="2">
        <f>N76*O76</f>
        <v>0.22199999999999998</v>
      </c>
      <c r="R76" s="2">
        <v>1</v>
      </c>
      <c r="S76" s="2" t="s">
        <v>651</v>
      </c>
      <c r="T76" s="2" t="str">
        <f>IFERROR(VLOOKUP(S76,[1]坦克个性化设定!$B$18:$E$48,4,FALSE)&amp;VLOOKUP(S76,[1]坦克个性化细分!$I$3:$J$33,2,FALSE),"")</f>
        <v>T1低</v>
      </c>
      <c r="U76" s="2" t="s">
        <v>1743</v>
      </c>
      <c r="V76" s="2">
        <f>$E$70</f>
        <v>7.2999999999999995E-2</v>
      </c>
      <c r="W76" s="33">
        <v>3</v>
      </c>
      <c r="X76" s="2">
        <f>V76*W76</f>
        <v>0.21899999999999997</v>
      </c>
    </row>
    <row r="79" spans="2:25" x14ac:dyDescent="0.3">
      <c r="B79" s="2" t="s">
        <v>385</v>
      </c>
      <c r="C79" s="2" t="s">
        <v>1800</v>
      </c>
      <c r="D79" s="2" t="s">
        <v>901</v>
      </c>
      <c r="E79" s="2" t="s">
        <v>3507</v>
      </c>
      <c r="F79" s="2" t="s">
        <v>3504</v>
      </c>
      <c r="G79" s="2" t="s">
        <v>379</v>
      </c>
      <c r="H79" s="2" t="s">
        <v>3508</v>
      </c>
      <c r="I79" s="1">
        <f>SUM(H80:H88)</f>
        <v>0.66600000000000004</v>
      </c>
      <c r="J79" s="2" t="s">
        <v>385</v>
      </c>
      <c r="K79" s="2" t="s">
        <v>1800</v>
      </c>
      <c r="L79" s="2" t="s">
        <v>901</v>
      </c>
      <c r="M79" s="2" t="s">
        <v>3507</v>
      </c>
      <c r="N79" s="2" t="s">
        <v>3504</v>
      </c>
      <c r="O79" s="2" t="s">
        <v>379</v>
      </c>
      <c r="P79" s="2" t="s">
        <v>3508</v>
      </c>
      <c r="Q79" s="1">
        <f>SUM(P80:P88)</f>
        <v>0.66600000000000004</v>
      </c>
      <c r="R79" s="2" t="s">
        <v>385</v>
      </c>
      <c r="S79" s="2" t="s">
        <v>1800</v>
      </c>
      <c r="T79" s="2" t="s">
        <v>901</v>
      </c>
      <c r="U79" s="2" t="s">
        <v>3507</v>
      </c>
      <c r="V79" s="2" t="s">
        <v>3504</v>
      </c>
      <c r="W79" s="2" t="s">
        <v>379</v>
      </c>
      <c r="X79" s="2" t="s">
        <v>3508</v>
      </c>
      <c r="Y79" s="1">
        <f>SUM(X80:X85)</f>
        <v>0.65699999999999981</v>
      </c>
    </row>
    <row r="80" spans="2:25" x14ac:dyDescent="0.3">
      <c r="B80" s="2">
        <v>2</v>
      </c>
      <c r="C80" s="2" t="s">
        <v>524</v>
      </c>
      <c r="D80" s="2" t="str">
        <f>IFERROR(VLOOKUP(C80,[1]坦克个性化设定!$B$18:$E$48,4,FALSE)&amp;VLOOKUP(C80,[1]坦克个性化细分!$I$3:$J$33,2,FALSE),"")</f>
        <v>T2低</v>
      </c>
      <c r="E80" s="2" t="s">
        <v>328</v>
      </c>
      <c r="F80" s="2">
        <f t="shared" ref="F80:F88" si="14">$E$69</f>
        <v>3.6999999999999998E-2</v>
      </c>
      <c r="G80" s="33">
        <v>2</v>
      </c>
      <c r="H80" s="2">
        <f t="shared" ref="H80:H88" si="15">F80*G80</f>
        <v>7.3999999999999996E-2</v>
      </c>
      <c r="J80" s="2">
        <v>2</v>
      </c>
      <c r="K80" s="2" t="s">
        <v>524</v>
      </c>
      <c r="L80" s="2" t="str">
        <f>IFERROR(VLOOKUP(K80,[1]坦克个性化设定!$B$18:$E$48,4,FALSE)&amp;VLOOKUP(K80,[1]坦克个性化细分!$I$3:$J$33,2,FALSE),"")</f>
        <v>T2低</v>
      </c>
      <c r="M80" s="2" t="s">
        <v>328</v>
      </c>
      <c r="N80" s="2">
        <f t="shared" ref="N80:N88" si="16">$E$69</f>
        <v>3.6999999999999998E-2</v>
      </c>
      <c r="O80" s="33">
        <v>4</v>
      </c>
      <c r="P80" s="2">
        <f t="shared" ref="P80:P88" si="17">N80*O80</f>
        <v>0.14799999999999999</v>
      </c>
      <c r="R80" s="2">
        <v>2</v>
      </c>
      <c r="S80" s="2" t="s">
        <v>518</v>
      </c>
      <c r="T80" s="2" t="str">
        <f>IFERROR(VLOOKUP(S80,[1]坦克个性化设定!$B$18:$E$48,4,FALSE)&amp;VLOOKUP(S80,[1]坦克个性化细分!$I$3:$J$33,2,FALSE),"")</f>
        <v>T1低</v>
      </c>
      <c r="U80" s="2" t="s">
        <v>1743</v>
      </c>
      <c r="V80" s="2">
        <f t="shared" ref="V80:V85" si="18">$E$70</f>
        <v>7.2999999999999995E-2</v>
      </c>
      <c r="W80" s="33">
        <v>2</v>
      </c>
      <c r="X80" s="2">
        <f t="shared" ref="X80:X85" si="19">V80*W80</f>
        <v>0.14599999999999999</v>
      </c>
    </row>
    <row r="81" spans="2:25" x14ac:dyDescent="0.3">
      <c r="B81" s="2">
        <v>2</v>
      </c>
      <c r="C81" s="2" t="s">
        <v>526</v>
      </c>
      <c r="D81" s="2" t="str">
        <f>IFERROR(VLOOKUP(C81,[1]坦克个性化设定!$B$18:$E$48,4,FALSE)&amp;VLOOKUP(C81,[1]坦克个性化细分!$I$3:$J$33,2,FALSE),"")</f>
        <v>T2低</v>
      </c>
      <c r="E81" s="2" t="s">
        <v>328</v>
      </c>
      <c r="F81" s="2">
        <f t="shared" si="14"/>
        <v>3.6999999999999998E-2</v>
      </c>
      <c r="G81" s="33">
        <v>2</v>
      </c>
      <c r="H81" s="2">
        <f t="shared" si="15"/>
        <v>7.3999999999999996E-2</v>
      </c>
      <c r="J81" s="2">
        <v>2</v>
      </c>
      <c r="K81" s="2" t="s">
        <v>526</v>
      </c>
      <c r="L81" s="2" t="str">
        <f>IFERROR(VLOOKUP(K81,[1]坦克个性化设定!$B$18:$E$48,4,FALSE)&amp;VLOOKUP(K81,[1]坦克个性化细分!$I$3:$J$33,2,FALSE),"")</f>
        <v>T2低</v>
      </c>
      <c r="M81" s="2" t="s">
        <v>328</v>
      </c>
      <c r="N81" s="2">
        <f t="shared" si="16"/>
        <v>3.6999999999999998E-2</v>
      </c>
      <c r="O81" s="33">
        <v>4</v>
      </c>
      <c r="P81" s="2">
        <f t="shared" si="17"/>
        <v>0.14799999999999999</v>
      </c>
      <c r="R81" s="2">
        <v>2</v>
      </c>
      <c r="S81" s="2" t="s">
        <v>520</v>
      </c>
      <c r="T81" s="2" t="str">
        <f>IFERROR(VLOOKUP(S81,[1]坦克个性化设定!$B$18:$E$48,4,FALSE)&amp;VLOOKUP(S81,[1]坦克个性化细分!$I$3:$J$33,2,FALSE),"")</f>
        <v>T1低</v>
      </c>
      <c r="U81" s="2" t="s">
        <v>1743</v>
      </c>
      <c r="V81" s="2">
        <f t="shared" si="18"/>
        <v>7.2999999999999995E-2</v>
      </c>
      <c r="W81" s="33">
        <v>2</v>
      </c>
      <c r="X81" s="2">
        <f t="shared" si="19"/>
        <v>0.14599999999999999</v>
      </c>
    </row>
    <row r="82" spans="2:25" x14ac:dyDescent="0.3">
      <c r="B82" s="2">
        <v>2</v>
      </c>
      <c r="C82" s="2" t="s">
        <v>653</v>
      </c>
      <c r="D82" s="2" t="str">
        <f>IFERROR(VLOOKUP(C82,[1]坦克个性化设定!$B$18:$E$48,4,FALSE)&amp;VLOOKUP(C82,[1]坦克个性化细分!$I$3:$J$33,2,FALSE),"")</f>
        <v>T2低</v>
      </c>
      <c r="E82" s="2" t="s">
        <v>328</v>
      </c>
      <c r="F82" s="2">
        <f t="shared" si="14"/>
        <v>3.6999999999999998E-2</v>
      </c>
      <c r="G82" s="33">
        <v>2</v>
      </c>
      <c r="H82" s="2">
        <f t="shared" si="15"/>
        <v>7.3999999999999996E-2</v>
      </c>
      <c r="J82" s="2">
        <v>2</v>
      </c>
      <c r="K82" s="2" t="s">
        <v>653</v>
      </c>
      <c r="L82" s="2" t="str">
        <f>IFERROR(VLOOKUP(K82,[1]坦克个性化设定!$B$18:$E$48,4,FALSE)&amp;VLOOKUP(K82,[1]坦克个性化细分!$I$3:$J$33,2,FALSE),"")</f>
        <v>T2低</v>
      </c>
      <c r="M82" s="2" t="s">
        <v>328</v>
      </c>
      <c r="N82" s="2">
        <f t="shared" si="16"/>
        <v>3.6999999999999998E-2</v>
      </c>
      <c r="O82" s="33">
        <v>4</v>
      </c>
      <c r="P82" s="2">
        <f t="shared" si="17"/>
        <v>0.14799999999999999</v>
      </c>
      <c r="R82" s="2">
        <v>2</v>
      </c>
      <c r="S82" s="2" t="s">
        <v>651</v>
      </c>
      <c r="T82" s="2" t="str">
        <f>IFERROR(VLOOKUP(S82,[1]坦克个性化设定!$B$18:$E$48,4,FALSE)&amp;VLOOKUP(S82,[1]坦克个性化细分!$I$3:$J$33,2,FALSE),"")</f>
        <v>T1低</v>
      </c>
      <c r="U82" s="2" t="s">
        <v>1743</v>
      </c>
      <c r="V82" s="2">
        <f t="shared" si="18"/>
        <v>7.2999999999999995E-2</v>
      </c>
      <c r="W82" s="33">
        <v>2</v>
      </c>
      <c r="X82" s="2">
        <f t="shared" si="19"/>
        <v>0.14599999999999999</v>
      </c>
    </row>
    <row r="83" spans="2:25" x14ac:dyDescent="0.3">
      <c r="B83" s="2">
        <v>2</v>
      </c>
      <c r="C83" s="2" t="s">
        <v>518</v>
      </c>
      <c r="D83" s="2" t="str">
        <f>IFERROR(VLOOKUP(C83,[1]坦克个性化设定!$B$18:$E$48,4,FALSE)&amp;VLOOKUP(C83,[1]坦克个性化细分!$I$3:$J$33,2,FALSE),"")</f>
        <v>T1低</v>
      </c>
      <c r="E83" s="2" t="s">
        <v>1743</v>
      </c>
      <c r="F83" s="2">
        <f t="shared" si="14"/>
        <v>3.6999999999999998E-2</v>
      </c>
      <c r="G83" s="33">
        <v>3</v>
      </c>
      <c r="H83" s="2">
        <f t="shared" si="15"/>
        <v>0.11099999999999999</v>
      </c>
      <c r="J83" s="2">
        <v>2</v>
      </c>
      <c r="K83" s="2" t="s">
        <v>518</v>
      </c>
      <c r="L83" s="2" t="str">
        <f>IFERROR(VLOOKUP(K83,[1]坦克个性化设定!$B$18:$E$48,4,FALSE)&amp;VLOOKUP(K83,[1]坦克个性化细分!$I$3:$J$33,2,FALSE),"")</f>
        <v>T1低</v>
      </c>
      <c r="M83" s="2" t="s">
        <v>1743</v>
      </c>
      <c r="N83" s="2">
        <f t="shared" si="16"/>
        <v>3.6999999999999998E-2</v>
      </c>
      <c r="O83" s="33">
        <v>1</v>
      </c>
      <c r="P83" s="2">
        <f t="shared" si="17"/>
        <v>3.6999999999999998E-2</v>
      </c>
      <c r="R83" s="2">
        <v>2</v>
      </c>
      <c r="S83" s="2" t="s">
        <v>524</v>
      </c>
      <c r="T83" s="2" t="str">
        <f>IFERROR(VLOOKUP(S83,[1]坦克个性化设定!$B$18:$E$48,4,FALSE)&amp;VLOOKUP(S83,[1]坦克个性化细分!$I$3:$J$33,2,FALSE),"")</f>
        <v>T2低</v>
      </c>
      <c r="U83" s="2" t="s">
        <v>1743</v>
      </c>
      <c r="V83" s="2">
        <f t="shared" si="18"/>
        <v>7.2999999999999995E-2</v>
      </c>
      <c r="W83" s="33">
        <v>1</v>
      </c>
      <c r="X83" s="2">
        <f t="shared" si="19"/>
        <v>7.2999999999999995E-2</v>
      </c>
    </row>
    <row r="84" spans="2:25" x14ac:dyDescent="0.3">
      <c r="B84" s="2">
        <v>2</v>
      </c>
      <c r="C84" s="2" t="s">
        <v>520</v>
      </c>
      <c r="D84" s="2" t="str">
        <f>IFERROR(VLOOKUP(C84,[1]坦克个性化设定!$B$18:$E$48,4,FALSE)&amp;VLOOKUP(C84,[1]坦克个性化细分!$I$3:$J$33,2,FALSE),"")</f>
        <v>T1低</v>
      </c>
      <c r="E84" s="2" t="s">
        <v>1743</v>
      </c>
      <c r="F84" s="2">
        <f t="shared" si="14"/>
        <v>3.6999999999999998E-2</v>
      </c>
      <c r="G84" s="33">
        <v>3</v>
      </c>
      <c r="H84" s="2">
        <f t="shared" si="15"/>
        <v>0.11099999999999999</v>
      </c>
      <c r="J84" s="2">
        <v>2</v>
      </c>
      <c r="K84" s="2" t="s">
        <v>520</v>
      </c>
      <c r="L84" s="2" t="str">
        <f>IFERROR(VLOOKUP(K84,[1]坦克个性化设定!$B$18:$E$48,4,FALSE)&amp;VLOOKUP(K84,[1]坦克个性化细分!$I$3:$J$33,2,FALSE),"")</f>
        <v>T1低</v>
      </c>
      <c r="M84" s="2" t="s">
        <v>1743</v>
      </c>
      <c r="N84" s="2">
        <f t="shared" si="16"/>
        <v>3.6999999999999998E-2</v>
      </c>
      <c r="O84" s="33">
        <v>1</v>
      </c>
      <c r="P84" s="2">
        <f t="shared" si="17"/>
        <v>3.6999999999999998E-2</v>
      </c>
      <c r="R84" s="2">
        <v>2</v>
      </c>
      <c r="S84" s="2" t="s">
        <v>526</v>
      </c>
      <c r="T84" s="2" t="str">
        <f>IFERROR(VLOOKUP(S84,[1]坦克个性化设定!$B$18:$E$48,4,FALSE)&amp;VLOOKUP(S84,[1]坦克个性化细分!$I$3:$J$33,2,FALSE),"")</f>
        <v>T2低</v>
      </c>
      <c r="U84" s="2" t="s">
        <v>1743</v>
      </c>
      <c r="V84" s="2">
        <f t="shared" si="18"/>
        <v>7.2999999999999995E-2</v>
      </c>
      <c r="W84" s="33">
        <v>1</v>
      </c>
      <c r="X84" s="2">
        <f t="shared" si="19"/>
        <v>7.2999999999999995E-2</v>
      </c>
    </row>
    <row r="85" spans="2:25" x14ac:dyDescent="0.3">
      <c r="B85" s="2">
        <v>2</v>
      </c>
      <c r="C85" s="2" t="s">
        <v>651</v>
      </c>
      <c r="D85" s="2" t="str">
        <f>IFERROR(VLOOKUP(C85,[1]坦克个性化设定!$B$18:$E$48,4,FALSE)&amp;VLOOKUP(C85,[1]坦克个性化细分!$I$3:$J$33,2,FALSE),"")</f>
        <v>T1低</v>
      </c>
      <c r="E85" s="2" t="s">
        <v>1743</v>
      </c>
      <c r="F85" s="2">
        <f t="shared" si="14"/>
        <v>3.6999999999999998E-2</v>
      </c>
      <c r="G85" s="33">
        <v>3</v>
      </c>
      <c r="H85" s="2">
        <f t="shared" si="15"/>
        <v>0.11099999999999999</v>
      </c>
      <c r="J85" s="2">
        <v>2</v>
      </c>
      <c r="K85" s="2" t="s">
        <v>651</v>
      </c>
      <c r="L85" s="2" t="str">
        <f>IFERROR(VLOOKUP(K85,[1]坦克个性化设定!$B$18:$E$48,4,FALSE)&amp;VLOOKUP(K85,[1]坦克个性化细分!$I$3:$J$33,2,FALSE),"")</f>
        <v>T1低</v>
      </c>
      <c r="M85" s="2" t="s">
        <v>1743</v>
      </c>
      <c r="N85" s="2">
        <f t="shared" si="16"/>
        <v>3.6999999999999998E-2</v>
      </c>
      <c r="O85" s="33">
        <v>1</v>
      </c>
      <c r="P85" s="2">
        <f t="shared" si="17"/>
        <v>3.6999999999999998E-2</v>
      </c>
      <c r="R85" s="2">
        <v>2</v>
      </c>
      <c r="S85" s="2" t="s">
        <v>653</v>
      </c>
      <c r="T85" s="2" t="str">
        <f>IFERROR(VLOOKUP(S85,[1]坦克个性化设定!$B$18:$E$48,4,FALSE)&amp;VLOOKUP(S85,[1]坦克个性化细分!$I$3:$J$33,2,FALSE),"")</f>
        <v>T2低</v>
      </c>
      <c r="U85" s="2" t="s">
        <v>1743</v>
      </c>
      <c r="V85" s="2">
        <f t="shared" si="18"/>
        <v>7.2999999999999995E-2</v>
      </c>
      <c r="W85" s="33">
        <v>1</v>
      </c>
      <c r="X85" s="2">
        <f t="shared" si="19"/>
        <v>7.2999999999999995E-2</v>
      </c>
    </row>
    <row r="86" spans="2:25" x14ac:dyDescent="0.3">
      <c r="B86" s="2">
        <v>2</v>
      </c>
      <c r="C86" s="2" t="s">
        <v>524</v>
      </c>
      <c r="D86" s="2" t="str">
        <f>IFERROR(VLOOKUP(C86,[1]坦克个性化设定!$B$18:$E$48,4,FALSE)&amp;VLOOKUP(C86,[1]坦克个性化细分!$I$3:$J$33,2,FALSE),"")</f>
        <v>T2低</v>
      </c>
      <c r="E86" s="2" t="s">
        <v>1743</v>
      </c>
      <c r="F86" s="2">
        <f t="shared" si="14"/>
        <v>3.6999999999999998E-2</v>
      </c>
      <c r="G86" s="33">
        <v>1</v>
      </c>
      <c r="H86" s="2">
        <f t="shared" si="15"/>
        <v>3.6999999999999998E-2</v>
      </c>
      <c r="J86" s="2">
        <v>2</v>
      </c>
      <c r="K86" s="2" t="s">
        <v>524</v>
      </c>
      <c r="L86" s="2" t="str">
        <f>IFERROR(VLOOKUP(K86,[1]坦克个性化设定!$B$18:$E$48,4,FALSE)&amp;VLOOKUP(K86,[1]坦克个性化细分!$I$3:$J$33,2,FALSE),"")</f>
        <v>T2低</v>
      </c>
      <c r="M86" s="2" t="s">
        <v>1743</v>
      </c>
      <c r="N86" s="2">
        <f t="shared" si="16"/>
        <v>3.6999999999999998E-2</v>
      </c>
      <c r="O86" s="33">
        <v>1</v>
      </c>
      <c r="P86" s="2">
        <f t="shared" si="17"/>
        <v>3.6999999999999998E-2</v>
      </c>
    </row>
    <row r="87" spans="2:25" x14ac:dyDescent="0.3">
      <c r="B87" s="2">
        <v>2</v>
      </c>
      <c r="C87" s="2" t="s">
        <v>526</v>
      </c>
      <c r="D87" s="2" t="str">
        <f>IFERROR(VLOOKUP(C87,[1]坦克个性化设定!$B$18:$E$48,4,FALSE)&amp;VLOOKUP(C87,[1]坦克个性化细分!$I$3:$J$33,2,FALSE),"")</f>
        <v>T2低</v>
      </c>
      <c r="E87" s="2" t="s">
        <v>1743</v>
      </c>
      <c r="F87" s="2">
        <f t="shared" si="14"/>
        <v>3.6999999999999998E-2</v>
      </c>
      <c r="G87" s="33">
        <v>1</v>
      </c>
      <c r="H87" s="2">
        <f t="shared" si="15"/>
        <v>3.6999999999999998E-2</v>
      </c>
      <c r="J87" s="2">
        <v>2</v>
      </c>
      <c r="K87" s="2" t="s">
        <v>526</v>
      </c>
      <c r="L87" s="2" t="str">
        <f>IFERROR(VLOOKUP(K87,[1]坦克个性化设定!$B$18:$E$48,4,FALSE)&amp;VLOOKUP(K87,[1]坦克个性化细分!$I$3:$J$33,2,FALSE),"")</f>
        <v>T2低</v>
      </c>
      <c r="M87" s="2" t="s">
        <v>1743</v>
      </c>
      <c r="N87" s="2">
        <f t="shared" si="16"/>
        <v>3.6999999999999998E-2</v>
      </c>
      <c r="O87" s="33">
        <v>1</v>
      </c>
      <c r="P87" s="2">
        <f t="shared" si="17"/>
        <v>3.6999999999999998E-2</v>
      </c>
    </row>
    <row r="88" spans="2:25" x14ac:dyDescent="0.3">
      <c r="B88" s="2">
        <v>2</v>
      </c>
      <c r="C88" s="2" t="s">
        <v>653</v>
      </c>
      <c r="D88" s="2" t="str">
        <f>IFERROR(VLOOKUP(C88,[1]坦克个性化设定!$B$18:$E$48,4,FALSE)&amp;VLOOKUP(C88,[1]坦克个性化细分!$I$3:$J$33,2,FALSE),"")</f>
        <v>T2低</v>
      </c>
      <c r="E88" s="2" t="s">
        <v>1743</v>
      </c>
      <c r="F88" s="2">
        <f t="shared" si="14"/>
        <v>3.6999999999999998E-2</v>
      </c>
      <c r="G88" s="33">
        <v>1</v>
      </c>
      <c r="H88" s="2">
        <f t="shared" si="15"/>
        <v>3.6999999999999998E-2</v>
      </c>
      <c r="J88" s="2">
        <v>2</v>
      </c>
      <c r="K88" s="2" t="s">
        <v>653</v>
      </c>
      <c r="L88" s="2" t="str">
        <f>IFERROR(VLOOKUP(K88,[1]坦克个性化设定!$B$18:$E$48,4,FALSE)&amp;VLOOKUP(K88,[1]坦克个性化细分!$I$3:$J$33,2,FALSE),"")</f>
        <v>T2低</v>
      </c>
      <c r="M88" s="2" t="s">
        <v>1743</v>
      </c>
      <c r="N88" s="2">
        <f t="shared" si="16"/>
        <v>3.6999999999999998E-2</v>
      </c>
      <c r="O88" s="33">
        <v>1</v>
      </c>
      <c r="P88" s="2">
        <f t="shared" si="17"/>
        <v>3.6999999999999998E-2</v>
      </c>
      <c r="R88" s="2" t="s">
        <v>385</v>
      </c>
      <c r="S88" s="2" t="s">
        <v>1800</v>
      </c>
      <c r="T88" s="2" t="s">
        <v>901</v>
      </c>
      <c r="U88" s="2" t="s">
        <v>3507</v>
      </c>
      <c r="V88" s="2" t="s">
        <v>3504</v>
      </c>
      <c r="W88" s="2" t="s">
        <v>379</v>
      </c>
      <c r="X88" s="2" t="s">
        <v>3508</v>
      </c>
      <c r="Y88" s="1">
        <f>SUM(X89:X97)</f>
        <v>0.65699999999999992</v>
      </c>
    </row>
    <row r="89" spans="2:25" x14ac:dyDescent="0.3">
      <c r="R89" s="2">
        <v>3</v>
      </c>
      <c r="S89" s="2" t="s">
        <v>518</v>
      </c>
      <c r="T89" s="2" t="str">
        <f>IFERROR(VLOOKUP(S89,[1]坦克个性化设定!$B$18:$E$48,4,FALSE)&amp;VLOOKUP(S89,[1]坦克个性化细分!$I$3:$J$33,2,FALSE),"")</f>
        <v>T1低</v>
      </c>
      <c r="U89" s="2" t="s">
        <v>1743</v>
      </c>
      <c r="V89" s="2">
        <f t="shared" ref="V89:V97" si="20">$E$70</f>
        <v>7.2999999999999995E-2</v>
      </c>
      <c r="W89" s="33">
        <v>1</v>
      </c>
      <c r="X89" s="2">
        <f>V89*W89</f>
        <v>7.2999999999999995E-2</v>
      </c>
    </row>
    <row r="90" spans="2:25" x14ac:dyDescent="0.3">
      <c r="R90" s="2">
        <v>3</v>
      </c>
      <c r="S90" s="2" t="s">
        <v>520</v>
      </c>
      <c r="T90" s="2" t="str">
        <f>IFERROR(VLOOKUP(S90,[1]坦克个性化设定!$B$18:$E$48,4,FALSE)&amp;VLOOKUP(S90,[1]坦克个性化细分!$I$3:$J$33,2,FALSE),"")</f>
        <v>T1低</v>
      </c>
      <c r="U90" s="2" t="s">
        <v>1743</v>
      </c>
      <c r="V90" s="2">
        <f t="shared" si="20"/>
        <v>7.2999999999999995E-2</v>
      </c>
      <c r="W90" s="33">
        <v>1</v>
      </c>
      <c r="X90" s="2">
        <f>V90*W90</f>
        <v>7.2999999999999995E-2</v>
      </c>
    </row>
    <row r="91" spans="2:25" x14ac:dyDescent="0.3">
      <c r="B91" s="2" t="s">
        <v>385</v>
      </c>
      <c r="C91" s="2" t="s">
        <v>1800</v>
      </c>
      <c r="D91" s="2" t="s">
        <v>901</v>
      </c>
      <c r="E91" s="2" t="s">
        <v>3507</v>
      </c>
      <c r="F91" s="2" t="s">
        <v>3504</v>
      </c>
      <c r="G91" s="2" t="s">
        <v>379</v>
      </c>
      <c r="H91" s="2" t="s">
        <v>3508</v>
      </c>
      <c r="I91" s="1">
        <f>SUM(H92:H103)</f>
        <v>0.66600000000000004</v>
      </c>
      <c r="J91" s="2" t="s">
        <v>385</v>
      </c>
      <c r="K91" s="2" t="s">
        <v>1800</v>
      </c>
      <c r="L91" s="2" t="s">
        <v>901</v>
      </c>
      <c r="M91" s="2" t="s">
        <v>3507</v>
      </c>
      <c r="N91" s="2" t="s">
        <v>3504</v>
      </c>
      <c r="O91" s="2" t="s">
        <v>379</v>
      </c>
      <c r="P91" s="2" t="s">
        <v>3508</v>
      </c>
      <c r="Q91" s="1">
        <f>SUM(P92:P103)</f>
        <v>0.63269999999999993</v>
      </c>
      <c r="R91" s="2">
        <v>3</v>
      </c>
      <c r="S91" s="2" t="s">
        <v>651</v>
      </c>
      <c r="T91" s="2" t="str">
        <f>IFERROR(VLOOKUP(S91,[1]坦克个性化设定!$B$18:$E$48,4,FALSE)&amp;VLOOKUP(S91,[1]坦克个性化细分!$I$3:$J$33,2,FALSE),"")</f>
        <v>T1低</v>
      </c>
      <c r="U91" s="2" t="s">
        <v>1743</v>
      </c>
      <c r="V91" s="2">
        <f t="shared" si="20"/>
        <v>7.2999999999999995E-2</v>
      </c>
      <c r="W91" s="33">
        <v>1</v>
      </c>
      <c r="X91" s="2">
        <f>V91*W91</f>
        <v>7.2999999999999995E-2</v>
      </c>
    </row>
    <row r="92" spans="2:25" x14ac:dyDescent="0.3">
      <c r="B92" s="2">
        <v>3</v>
      </c>
      <c r="C92" s="2" t="s">
        <v>524</v>
      </c>
      <c r="D92" s="2" t="str">
        <f>IFERROR(VLOOKUP(C92,[1]坦克个性化设定!$B$18:$E$48,4,FALSE)&amp;VLOOKUP(C92,[1]坦克个性化细分!$I$3:$J$33,2,FALSE),"")</f>
        <v>T2低</v>
      </c>
      <c r="E92" s="2" t="s">
        <v>328</v>
      </c>
      <c r="F92" s="2">
        <f t="shared" ref="F92:F103" si="21">$E$69</f>
        <v>3.6999999999999998E-2</v>
      </c>
      <c r="G92" s="33">
        <v>1</v>
      </c>
      <c r="H92" s="2">
        <f t="shared" ref="H92:H103" si="22">F92*G92</f>
        <v>3.6999999999999998E-2</v>
      </c>
      <c r="J92" s="2">
        <v>3</v>
      </c>
      <c r="K92" s="2" t="s">
        <v>524</v>
      </c>
      <c r="L92" s="2" t="str">
        <f>IFERROR(VLOOKUP(K92,[1]坦克个性化设定!$B$18:$E$48,4,FALSE)&amp;VLOOKUP(K92,[1]坦克个性化细分!$I$3:$J$33,2,FALSE),"")</f>
        <v>T2低</v>
      </c>
      <c r="M92" s="2" t="s">
        <v>328</v>
      </c>
      <c r="N92" s="2">
        <f t="shared" ref="N92:N103" si="23">$E$69</f>
        <v>3.6999999999999998E-2</v>
      </c>
      <c r="O92" s="33">
        <v>2</v>
      </c>
      <c r="P92" s="2">
        <f t="shared" ref="P92:P103" si="24">N92*O92</f>
        <v>7.3999999999999996E-2</v>
      </c>
      <c r="R92" s="2">
        <v>3</v>
      </c>
      <c r="S92" s="2" t="s">
        <v>524</v>
      </c>
      <c r="T92" s="2" t="str">
        <f>IFERROR(VLOOKUP(S92,[1]坦克个性化设定!$B$18:$E$48,4,FALSE)&amp;VLOOKUP(S92,[1]坦克个性化细分!$I$3:$J$33,2,FALSE),"")</f>
        <v>T2低</v>
      </c>
      <c r="U92" s="2" t="s">
        <v>1743</v>
      </c>
      <c r="V92" s="2">
        <f t="shared" si="20"/>
        <v>7.2999999999999995E-2</v>
      </c>
      <c r="W92" s="33">
        <v>1</v>
      </c>
      <c r="X92" s="2">
        <f t="shared" ref="X92:X97" si="25">V92*W92</f>
        <v>7.2999999999999995E-2</v>
      </c>
    </row>
    <row r="93" spans="2:25" x14ac:dyDescent="0.3">
      <c r="B93" s="2">
        <v>3</v>
      </c>
      <c r="C93" s="2" t="s">
        <v>526</v>
      </c>
      <c r="D93" s="2" t="str">
        <f>IFERROR(VLOOKUP(C93,[1]坦克个性化设定!$B$18:$E$48,4,FALSE)&amp;VLOOKUP(C93,[1]坦克个性化细分!$I$3:$J$33,2,FALSE),"")</f>
        <v>T2低</v>
      </c>
      <c r="E93" s="2" t="s">
        <v>328</v>
      </c>
      <c r="F93" s="2">
        <f t="shared" si="21"/>
        <v>3.6999999999999998E-2</v>
      </c>
      <c r="G93" s="33">
        <v>1</v>
      </c>
      <c r="H93" s="2">
        <f t="shared" si="22"/>
        <v>3.6999999999999998E-2</v>
      </c>
      <c r="J93" s="2">
        <v>3</v>
      </c>
      <c r="K93" s="2" t="s">
        <v>526</v>
      </c>
      <c r="L93" s="2" t="str">
        <f>IFERROR(VLOOKUP(K93,[1]坦克个性化设定!$B$18:$E$48,4,FALSE)&amp;VLOOKUP(K93,[1]坦克个性化细分!$I$3:$J$33,2,FALSE),"")</f>
        <v>T2低</v>
      </c>
      <c r="M93" s="2" t="s">
        <v>328</v>
      </c>
      <c r="N93" s="2">
        <f t="shared" si="23"/>
        <v>3.6999999999999998E-2</v>
      </c>
      <c r="O93" s="33">
        <v>2</v>
      </c>
      <c r="P93" s="2">
        <f t="shared" si="24"/>
        <v>7.3999999999999996E-2</v>
      </c>
      <c r="R93" s="2">
        <v>3</v>
      </c>
      <c r="S93" s="2" t="s">
        <v>526</v>
      </c>
      <c r="T93" s="2" t="str">
        <f>IFERROR(VLOOKUP(S93,[1]坦克个性化设定!$B$18:$E$48,4,FALSE)&amp;VLOOKUP(S93,[1]坦克个性化细分!$I$3:$J$33,2,FALSE),"")</f>
        <v>T2低</v>
      </c>
      <c r="U93" s="2" t="s">
        <v>1743</v>
      </c>
      <c r="V93" s="2">
        <f t="shared" si="20"/>
        <v>7.2999999999999995E-2</v>
      </c>
      <c r="W93" s="33">
        <v>1</v>
      </c>
      <c r="X93" s="2">
        <f t="shared" si="25"/>
        <v>7.2999999999999995E-2</v>
      </c>
    </row>
    <row r="94" spans="2:25" x14ac:dyDescent="0.3">
      <c r="B94" s="2">
        <v>3</v>
      </c>
      <c r="C94" s="2" t="s">
        <v>653</v>
      </c>
      <c r="D94" s="2" t="str">
        <f>IFERROR(VLOOKUP(C94,[1]坦克个性化设定!$B$18:$E$48,4,FALSE)&amp;VLOOKUP(C94,[1]坦克个性化细分!$I$3:$J$33,2,FALSE),"")</f>
        <v>T2低</v>
      </c>
      <c r="E94" s="2" t="s">
        <v>328</v>
      </c>
      <c r="F94" s="2">
        <f t="shared" si="21"/>
        <v>3.6999999999999998E-2</v>
      </c>
      <c r="G94" s="33">
        <v>1</v>
      </c>
      <c r="H94" s="2">
        <f t="shared" si="22"/>
        <v>3.6999999999999998E-2</v>
      </c>
      <c r="J94" s="2">
        <v>3</v>
      </c>
      <c r="K94" s="2" t="s">
        <v>653</v>
      </c>
      <c r="L94" s="2" t="str">
        <f>IFERROR(VLOOKUP(K94,[1]坦克个性化设定!$B$18:$E$48,4,FALSE)&amp;VLOOKUP(K94,[1]坦克个性化细分!$I$3:$J$33,2,FALSE),"")</f>
        <v>T2低</v>
      </c>
      <c r="M94" s="2" t="s">
        <v>328</v>
      </c>
      <c r="N94" s="2">
        <f t="shared" si="23"/>
        <v>3.6999999999999998E-2</v>
      </c>
      <c r="O94" s="33">
        <v>2</v>
      </c>
      <c r="P94" s="2">
        <f t="shared" si="24"/>
        <v>7.3999999999999996E-2</v>
      </c>
      <c r="R94" s="2">
        <v>3</v>
      </c>
      <c r="S94" s="2" t="s">
        <v>653</v>
      </c>
      <c r="T94" s="2" t="str">
        <f>IFERROR(VLOOKUP(S94,[1]坦克个性化设定!$B$18:$E$48,4,FALSE)&amp;VLOOKUP(S94,[1]坦克个性化细分!$I$3:$J$33,2,FALSE),"")</f>
        <v>T2低</v>
      </c>
      <c r="U94" s="2" t="s">
        <v>1743</v>
      </c>
      <c r="V94" s="2">
        <f t="shared" si="20"/>
        <v>7.2999999999999995E-2</v>
      </c>
      <c r="W94" s="33">
        <v>1</v>
      </c>
      <c r="X94" s="2">
        <f t="shared" si="25"/>
        <v>7.2999999999999995E-2</v>
      </c>
    </row>
    <row r="95" spans="2:25" x14ac:dyDescent="0.3">
      <c r="B95" s="2">
        <v>3</v>
      </c>
      <c r="C95" s="2" t="s">
        <v>616</v>
      </c>
      <c r="D95" s="2" t="str">
        <f>IFERROR(VLOOKUP(C95,[1]坦克个性化设定!$B$18:$E$48,4,FALSE)&amp;VLOOKUP(C95,[1]坦克个性化细分!$I$3:$J$33,2,FALSE),"")</f>
        <v>T2中</v>
      </c>
      <c r="E95" s="2" t="s">
        <v>328</v>
      </c>
      <c r="F95" s="2">
        <f t="shared" si="21"/>
        <v>3.6999999999999998E-2</v>
      </c>
      <c r="G95" s="33">
        <v>1</v>
      </c>
      <c r="H95" s="2">
        <f t="shared" si="22"/>
        <v>3.6999999999999998E-2</v>
      </c>
      <c r="J95" s="2">
        <v>3</v>
      </c>
      <c r="K95" s="2" t="s">
        <v>616</v>
      </c>
      <c r="L95" s="2" t="str">
        <f>IFERROR(VLOOKUP(K95,[1]坦克个性化设定!$B$18:$E$48,4,FALSE)&amp;VLOOKUP(K95,[1]坦克个性化细分!$I$3:$J$33,2,FALSE),"")</f>
        <v>T2中</v>
      </c>
      <c r="M95" s="2" t="s">
        <v>328</v>
      </c>
      <c r="N95" s="2">
        <f t="shared" si="23"/>
        <v>3.6999999999999998E-2</v>
      </c>
      <c r="O95" s="33">
        <v>1.8</v>
      </c>
      <c r="P95" s="2">
        <f t="shared" si="24"/>
        <v>6.6599999999999993E-2</v>
      </c>
      <c r="R95" s="2">
        <v>3</v>
      </c>
      <c r="S95" s="2" t="s">
        <v>616</v>
      </c>
      <c r="T95" s="2" t="str">
        <f>IFERROR(VLOOKUP(S95,[1]坦克个性化设定!$B$18:$E$48,4,FALSE)&amp;VLOOKUP(S95,[1]坦克个性化细分!$I$3:$J$33,2,FALSE),"")</f>
        <v>T2中</v>
      </c>
      <c r="U95" s="2" t="s">
        <v>1743</v>
      </c>
      <c r="V95" s="2">
        <f t="shared" si="20"/>
        <v>7.2999999999999995E-2</v>
      </c>
      <c r="W95" s="33">
        <v>1</v>
      </c>
      <c r="X95" s="2">
        <f t="shared" si="25"/>
        <v>7.2999999999999995E-2</v>
      </c>
    </row>
    <row r="96" spans="2:25" x14ac:dyDescent="0.3">
      <c r="B96" s="2">
        <v>3</v>
      </c>
      <c r="C96" s="2" t="s">
        <v>636</v>
      </c>
      <c r="D96" s="2" t="str">
        <f>IFERROR(VLOOKUP(C96,[1]坦克个性化设定!$B$18:$E$48,4,FALSE)&amp;VLOOKUP(C96,[1]坦克个性化细分!$I$3:$J$33,2,FALSE),"")</f>
        <v>T2中</v>
      </c>
      <c r="E96" s="2" t="s">
        <v>328</v>
      </c>
      <c r="F96" s="2">
        <f t="shared" si="21"/>
        <v>3.6999999999999998E-2</v>
      </c>
      <c r="G96" s="33">
        <v>1</v>
      </c>
      <c r="H96" s="2">
        <f t="shared" si="22"/>
        <v>3.6999999999999998E-2</v>
      </c>
      <c r="J96" s="2">
        <v>3</v>
      </c>
      <c r="K96" s="2" t="s">
        <v>636</v>
      </c>
      <c r="L96" s="2" t="str">
        <f>IFERROR(VLOOKUP(K96,[1]坦克个性化设定!$B$18:$E$48,4,FALSE)&amp;VLOOKUP(K96,[1]坦克个性化细分!$I$3:$J$33,2,FALSE),"")</f>
        <v>T2中</v>
      </c>
      <c r="M96" s="2" t="s">
        <v>328</v>
      </c>
      <c r="N96" s="2">
        <f t="shared" si="23"/>
        <v>3.6999999999999998E-2</v>
      </c>
      <c r="O96" s="33">
        <v>1.8</v>
      </c>
      <c r="P96" s="2">
        <f t="shared" si="24"/>
        <v>6.6599999999999993E-2</v>
      </c>
      <c r="R96" s="2">
        <v>3</v>
      </c>
      <c r="S96" s="2" t="s">
        <v>636</v>
      </c>
      <c r="T96" s="2" t="str">
        <f>IFERROR(VLOOKUP(S96,[1]坦克个性化设定!$B$18:$E$48,4,FALSE)&amp;VLOOKUP(S96,[1]坦克个性化细分!$I$3:$J$33,2,FALSE),"")</f>
        <v>T2中</v>
      </c>
      <c r="U96" s="2" t="s">
        <v>1743</v>
      </c>
      <c r="V96" s="2">
        <f t="shared" si="20"/>
        <v>7.2999999999999995E-2</v>
      </c>
      <c r="W96" s="33">
        <v>1</v>
      </c>
      <c r="X96" s="2">
        <f t="shared" si="25"/>
        <v>7.2999999999999995E-2</v>
      </c>
    </row>
    <row r="97" spans="2:25" x14ac:dyDescent="0.3">
      <c r="B97" s="2">
        <v>3</v>
      </c>
      <c r="C97" s="2" t="s">
        <v>655</v>
      </c>
      <c r="D97" s="2" t="str">
        <f>IFERROR(VLOOKUP(C97,[1]坦克个性化设定!$B$18:$E$48,4,FALSE)&amp;VLOOKUP(C97,[1]坦克个性化细分!$I$3:$J$33,2,FALSE),"")</f>
        <v>T2中</v>
      </c>
      <c r="E97" s="2" t="s">
        <v>328</v>
      </c>
      <c r="F97" s="2">
        <f t="shared" si="21"/>
        <v>3.6999999999999998E-2</v>
      </c>
      <c r="G97" s="33">
        <v>1</v>
      </c>
      <c r="H97" s="2">
        <f t="shared" si="22"/>
        <v>3.6999999999999998E-2</v>
      </c>
      <c r="J97" s="2">
        <v>3</v>
      </c>
      <c r="K97" s="2" t="s">
        <v>655</v>
      </c>
      <c r="L97" s="2" t="str">
        <f>IFERROR(VLOOKUP(K97,[1]坦克个性化设定!$B$18:$E$48,4,FALSE)&amp;VLOOKUP(K97,[1]坦克个性化细分!$I$3:$J$33,2,FALSE),"")</f>
        <v>T2中</v>
      </c>
      <c r="M97" s="2" t="s">
        <v>328</v>
      </c>
      <c r="N97" s="2">
        <f t="shared" si="23"/>
        <v>3.6999999999999998E-2</v>
      </c>
      <c r="O97" s="33">
        <v>1.8</v>
      </c>
      <c r="P97" s="2">
        <f t="shared" si="24"/>
        <v>6.6599999999999993E-2</v>
      </c>
      <c r="R97" s="2">
        <v>3</v>
      </c>
      <c r="S97" s="2" t="s">
        <v>655</v>
      </c>
      <c r="T97" s="2" t="str">
        <f>IFERROR(VLOOKUP(S97,[1]坦克个性化设定!$B$18:$E$48,4,FALSE)&amp;VLOOKUP(S97,[1]坦克个性化细分!$I$3:$J$33,2,FALSE),"")</f>
        <v>T2中</v>
      </c>
      <c r="U97" s="2" t="s">
        <v>1743</v>
      </c>
      <c r="V97" s="2">
        <f t="shared" si="20"/>
        <v>7.2999999999999995E-2</v>
      </c>
      <c r="W97" s="33">
        <v>1</v>
      </c>
      <c r="X97" s="2">
        <f t="shared" si="25"/>
        <v>7.2999999999999995E-2</v>
      </c>
    </row>
    <row r="98" spans="2:25" x14ac:dyDescent="0.3">
      <c r="B98" s="2">
        <v>3</v>
      </c>
      <c r="C98" s="2" t="s">
        <v>524</v>
      </c>
      <c r="D98" s="2" t="str">
        <f>IFERROR(VLOOKUP(C98,[1]坦克个性化设定!$B$18:$E$48,4,FALSE)&amp;VLOOKUP(C98,[1]坦克个性化细分!$I$3:$J$33,2,FALSE),"")</f>
        <v>T2低</v>
      </c>
      <c r="E98" s="2" t="s">
        <v>1743</v>
      </c>
      <c r="F98" s="2">
        <f t="shared" si="21"/>
        <v>3.6999999999999998E-2</v>
      </c>
      <c r="G98" s="33">
        <v>3</v>
      </c>
      <c r="H98" s="2">
        <f t="shared" si="22"/>
        <v>0.11099999999999999</v>
      </c>
      <c r="J98" s="2">
        <v>3</v>
      </c>
      <c r="K98" s="2" t="s">
        <v>524</v>
      </c>
      <c r="L98" s="2" t="str">
        <f>IFERROR(VLOOKUP(K98,[1]坦克个性化设定!$B$18:$E$48,4,FALSE)&amp;VLOOKUP(K98,[1]坦克个性化细分!$I$3:$J$33,2,FALSE),"")</f>
        <v>T2低</v>
      </c>
      <c r="M98" s="2" t="s">
        <v>1743</v>
      </c>
      <c r="N98" s="2">
        <f t="shared" si="23"/>
        <v>3.6999999999999998E-2</v>
      </c>
      <c r="O98" s="33">
        <v>1</v>
      </c>
      <c r="P98" s="2">
        <f t="shared" si="24"/>
        <v>3.6999999999999998E-2</v>
      </c>
    </row>
    <row r="99" spans="2:25" x14ac:dyDescent="0.3">
      <c r="B99" s="2">
        <v>3</v>
      </c>
      <c r="C99" s="2" t="s">
        <v>526</v>
      </c>
      <c r="D99" s="2" t="str">
        <f>IFERROR(VLOOKUP(C99,[1]坦克个性化设定!$B$18:$E$48,4,FALSE)&amp;VLOOKUP(C99,[1]坦克个性化细分!$I$3:$J$33,2,FALSE),"")</f>
        <v>T2低</v>
      </c>
      <c r="E99" s="2" t="s">
        <v>1743</v>
      </c>
      <c r="F99" s="2">
        <f t="shared" si="21"/>
        <v>3.6999999999999998E-2</v>
      </c>
      <c r="G99" s="33">
        <v>3</v>
      </c>
      <c r="H99" s="2">
        <f t="shared" si="22"/>
        <v>0.11099999999999999</v>
      </c>
      <c r="J99" s="2">
        <v>3</v>
      </c>
      <c r="K99" s="2" t="s">
        <v>526</v>
      </c>
      <c r="L99" s="2" t="str">
        <f>IFERROR(VLOOKUP(K99,[1]坦克个性化设定!$B$18:$E$48,4,FALSE)&amp;VLOOKUP(K99,[1]坦克个性化细分!$I$3:$J$33,2,FALSE),"")</f>
        <v>T2低</v>
      </c>
      <c r="M99" s="2" t="s">
        <v>1743</v>
      </c>
      <c r="N99" s="2">
        <f t="shared" si="23"/>
        <v>3.6999999999999998E-2</v>
      </c>
      <c r="O99" s="33">
        <v>1</v>
      </c>
      <c r="P99" s="2">
        <f t="shared" si="24"/>
        <v>3.6999999999999998E-2</v>
      </c>
    </row>
    <row r="100" spans="2:25" x14ac:dyDescent="0.3">
      <c r="B100" s="2">
        <v>3</v>
      </c>
      <c r="C100" s="2" t="s">
        <v>653</v>
      </c>
      <c r="D100" s="2" t="str">
        <f>IFERROR(VLOOKUP(C100,[1]坦克个性化设定!$B$18:$E$48,4,FALSE)&amp;VLOOKUP(C100,[1]坦克个性化细分!$I$3:$J$33,2,FALSE),"")</f>
        <v>T2低</v>
      </c>
      <c r="E100" s="2" t="s">
        <v>1743</v>
      </c>
      <c r="F100" s="2">
        <f t="shared" si="21"/>
        <v>3.6999999999999998E-2</v>
      </c>
      <c r="G100" s="33">
        <v>3</v>
      </c>
      <c r="H100" s="2">
        <f t="shared" si="22"/>
        <v>0.11099999999999999</v>
      </c>
      <c r="J100" s="2">
        <v>3</v>
      </c>
      <c r="K100" s="2" t="s">
        <v>653</v>
      </c>
      <c r="L100" s="2" t="str">
        <f>IFERROR(VLOOKUP(K100,[1]坦克个性化设定!$B$18:$E$48,4,FALSE)&amp;VLOOKUP(K100,[1]坦克个性化细分!$I$3:$J$33,2,FALSE),"")</f>
        <v>T2低</v>
      </c>
      <c r="M100" s="2" t="s">
        <v>1743</v>
      </c>
      <c r="N100" s="2">
        <f t="shared" si="23"/>
        <v>3.6999999999999998E-2</v>
      </c>
      <c r="O100" s="33">
        <v>1</v>
      </c>
      <c r="P100" s="2">
        <f t="shared" si="24"/>
        <v>3.6999999999999998E-2</v>
      </c>
      <c r="R100" s="2" t="s">
        <v>385</v>
      </c>
      <c r="S100" s="2" t="s">
        <v>1800</v>
      </c>
      <c r="T100" s="2" t="s">
        <v>901</v>
      </c>
      <c r="U100" s="2" t="s">
        <v>3507</v>
      </c>
      <c r="V100" s="2" t="s">
        <v>3504</v>
      </c>
      <c r="W100" s="2" t="s">
        <v>379</v>
      </c>
      <c r="X100" s="2" t="s">
        <v>3508</v>
      </c>
      <c r="Y100" s="1">
        <f>SUM(X101:X106)</f>
        <v>0.65700000000000003</v>
      </c>
    </row>
    <row r="101" spans="2:25" x14ac:dyDescent="0.3">
      <c r="B101" s="2">
        <v>3</v>
      </c>
      <c r="C101" s="2" t="s">
        <v>616</v>
      </c>
      <c r="D101" s="2" t="str">
        <f>IFERROR(VLOOKUP(C101,[1]坦克个性化设定!$B$18:$E$48,4,FALSE)&amp;VLOOKUP(C101,[1]坦克个性化细分!$I$3:$J$33,2,FALSE),"")</f>
        <v>T2中</v>
      </c>
      <c r="E101" s="2" t="s">
        <v>1743</v>
      </c>
      <c r="F101" s="2">
        <f t="shared" si="21"/>
        <v>3.6999999999999998E-2</v>
      </c>
      <c r="G101" s="33">
        <v>1</v>
      </c>
      <c r="H101" s="2">
        <f t="shared" si="22"/>
        <v>3.6999999999999998E-2</v>
      </c>
      <c r="J101" s="2">
        <v>3</v>
      </c>
      <c r="K101" s="2" t="s">
        <v>616</v>
      </c>
      <c r="L101" s="2" t="str">
        <f>IFERROR(VLOOKUP(K101,[1]坦克个性化设定!$B$18:$E$48,4,FALSE)&amp;VLOOKUP(K101,[1]坦克个性化细分!$I$3:$J$33,2,FALSE),"")</f>
        <v>T2中</v>
      </c>
      <c r="M101" s="2" t="s">
        <v>1743</v>
      </c>
      <c r="N101" s="2">
        <f t="shared" si="23"/>
        <v>3.6999999999999998E-2</v>
      </c>
      <c r="O101" s="33">
        <v>0.9</v>
      </c>
      <c r="P101" s="2">
        <f t="shared" si="24"/>
        <v>3.3299999999999996E-2</v>
      </c>
      <c r="R101" s="2">
        <v>4</v>
      </c>
      <c r="S101" s="2" t="s">
        <v>524</v>
      </c>
      <c r="T101" s="2" t="str">
        <f>IFERROR(VLOOKUP(S101,[1]坦克个性化设定!$B$18:$E$48,4,FALSE)&amp;VLOOKUP(S101,[1]坦克个性化细分!$I$3:$J$33,2,FALSE),"")</f>
        <v>T2低</v>
      </c>
      <c r="U101" s="2" t="s">
        <v>1743</v>
      </c>
      <c r="V101" s="2">
        <f t="shared" ref="V101:V106" si="26">$E$70</f>
        <v>7.2999999999999995E-2</v>
      </c>
      <c r="W101" s="33">
        <v>1.9</v>
      </c>
      <c r="X101" s="2">
        <f t="shared" ref="X101:X106" si="27">V101*W101</f>
        <v>0.13869999999999999</v>
      </c>
    </row>
    <row r="102" spans="2:25" x14ac:dyDescent="0.3">
      <c r="B102" s="2">
        <v>3</v>
      </c>
      <c r="C102" s="2" t="s">
        <v>636</v>
      </c>
      <c r="D102" s="2" t="str">
        <f>IFERROR(VLOOKUP(C102,[1]坦克个性化设定!$B$18:$E$48,4,FALSE)&amp;VLOOKUP(C102,[1]坦克个性化细分!$I$3:$J$33,2,FALSE),"")</f>
        <v>T2中</v>
      </c>
      <c r="E102" s="2" t="s">
        <v>1743</v>
      </c>
      <c r="F102" s="2">
        <f t="shared" si="21"/>
        <v>3.6999999999999998E-2</v>
      </c>
      <c r="G102" s="33">
        <v>1</v>
      </c>
      <c r="H102" s="2">
        <f t="shared" si="22"/>
        <v>3.6999999999999998E-2</v>
      </c>
      <c r="J102" s="2">
        <v>3</v>
      </c>
      <c r="K102" s="2" t="s">
        <v>636</v>
      </c>
      <c r="L102" s="2" t="str">
        <f>IFERROR(VLOOKUP(K102,[1]坦克个性化设定!$B$18:$E$48,4,FALSE)&amp;VLOOKUP(K102,[1]坦克个性化细分!$I$3:$J$33,2,FALSE),"")</f>
        <v>T2中</v>
      </c>
      <c r="M102" s="2" t="s">
        <v>1743</v>
      </c>
      <c r="N102" s="2">
        <f t="shared" si="23"/>
        <v>3.6999999999999998E-2</v>
      </c>
      <c r="O102" s="33">
        <v>0.9</v>
      </c>
      <c r="P102" s="2">
        <f t="shared" si="24"/>
        <v>3.3299999999999996E-2</v>
      </c>
      <c r="R102" s="2">
        <v>4</v>
      </c>
      <c r="S102" s="2" t="s">
        <v>526</v>
      </c>
      <c r="T102" s="2" t="str">
        <f>IFERROR(VLOOKUP(S102,[1]坦克个性化设定!$B$18:$E$48,4,FALSE)&amp;VLOOKUP(S102,[1]坦克个性化细分!$I$3:$J$33,2,FALSE),"")</f>
        <v>T2低</v>
      </c>
      <c r="U102" s="2" t="s">
        <v>1743</v>
      </c>
      <c r="V102" s="2">
        <f t="shared" si="26"/>
        <v>7.2999999999999995E-2</v>
      </c>
      <c r="W102" s="33">
        <v>1.9</v>
      </c>
      <c r="X102" s="2">
        <f t="shared" si="27"/>
        <v>0.13869999999999999</v>
      </c>
    </row>
    <row r="103" spans="2:25" x14ac:dyDescent="0.3">
      <c r="B103" s="2">
        <v>3</v>
      </c>
      <c r="C103" s="2" t="s">
        <v>655</v>
      </c>
      <c r="D103" s="2" t="str">
        <f>IFERROR(VLOOKUP(C103,[1]坦克个性化设定!$B$18:$E$48,4,FALSE)&amp;VLOOKUP(C103,[1]坦克个性化细分!$I$3:$J$33,2,FALSE),"")</f>
        <v>T2中</v>
      </c>
      <c r="E103" s="2" t="s">
        <v>1743</v>
      </c>
      <c r="F103" s="2">
        <f t="shared" si="21"/>
        <v>3.6999999999999998E-2</v>
      </c>
      <c r="G103" s="33">
        <v>1</v>
      </c>
      <c r="H103" s="2">
        <f t="shared" si="22"/>
        <v>3.6999999999999998E-2</v>
      </c>
      <c r="J103" s="2">
        <v>3</v>
      </c>
      <c r="K103" s="2" t="s">
        <v>655</v>
      </c>
      <c r="L103" s="2" t="str">
        <f>IFERROR(VLOOKUP(K103,[1]坦克个性化设定!$B$18:$E$48,4,FALSE)&amp;VLOOKUP(K103,[1]坦克个性化细分!$I$3:$J$33,2,FALSE),"")</f>
        <v>T2中</v>
      </c>
      <c r="M103" s="2" t="s">
        <v>1743</v>
      </c>
      <c r="N103" s="2">
        <f t="shared" si="23"/>
        <v>3.6999999999999998E-2</v>
      </c>
      <c r="O103" s="33">
        <v>0.9</v>
      </c>
      <c r="P103" s="2">
        <f t="shared" si="24"/>
        <v>3.3299999999999996E-2</v>
      </c>
      <c r="R103" s="2">
        <v>4</v>
      </c>
      <c r="S103" s="2" t="s">
        <v>653</v>
      </c>
      <c r="T103" s="2" t="str">
        <f>IFERROR(VLOOKUP(S103,[1]坦克个性化设定!$B$18:$E$48,4,FALSE)&amp;VLOOKUP(S103,[1]坦克个性化细分!$I$3:$J$33,2,FALSE),"")</f>
        <v>T2低</v>
      </c>
      <c r="U103" s="2" t="s">
        <v>1743</v>
      </c>
      <c r="V103" s="2">
        <f t="shared" si="26"/>
        <v>7.2999999999999995E-2</v>
      </c>
      <c r="W103" s="33">
        <v>1.9</v>
      </c>
      <c r="X103" s="2">
        <f t="shared" si="27"/>
        <v>0.13869999999999999</v>
      </c>
    </row>
    <row r="104" spans="2:25" x14ac:dyDescent="0.3">
      <c r="R104" s="2">
        <v>4</v>
      </c>
      <c r="S104" s="2" t="s">
        <v>616</v>
      </c>
      <c r="T104" s="2" t="str">
        <f>IFERROR(VLOOKUP(S104,[1]坦克个性化设定!$B$18:$E$48,4,FALSE)&amp;VLOOKUP(S104,[1]坦克个性化细分!$I$3:$J$33,2,FALSE),"")</f>
        <v>T2中</v>
      </c>
      <c r="U104" s="2" t="s">
        <v>1743</v>
      </c>
      <c r="V104" s="2">
        <f t="shared" si="26"/>
        <v>7.2999999999999995E-2</v>
      </c>
      <c r="W104" s="33">
        <v>1.1000000000000001</v>
      </c>
      <c r="X104" s="2">
        <f t="shared" si="27"/>
        <v>8.0299999999999996E-2</v>
      </c>
    </row>
    <row r="105" spans="2:25" x14ac:dyDescent="0.3">
      <c r="R105" s="2">
        <v>4</v>
      </c>
      <c r="S105" s="2" t="s">
        <v>636</v>
      </c>
      <c r="T105" s="2" t="str">
        <f>IFERROR(VLOOKUP(S105,[1]坦克个性化设定!$B$18:$E$48,4,FALSE)&amp;VLOOKUP(S105,[1]坦克个性化细分!$I$3:$J$33,2,FALSE),"")</f>
        <v>T2中</v>
      </c>
      <c r="U105" s="2" t="s">
        <v>1743</v>
      </c>
      <c r="V105" s="2">
        <f t="shared" si="26"/>
        <v>7.2999999999999995E-2</v>
      </c>
      <c r="W105" s="33">
        <v>1.1000000000000001</v>
      </c>
      <c r="X105" s="2">
        <f t="shared" si="27"/>
        <v>8.0299999999999996E-2</v>
      </c>
    </row>
    <row r="106" spans="2:25" x14ac:dyDescent="0.3">
      <c r="B106" s="2" t="s">
        <v>385</v>
      </c>
      <c r="C106" s="2" t="s">
        <v>1800</v>
      </c>
      <c r="D106" s="2" t="s">
        <v>901</v>
      </c>
      <c r="E106" s="2" t="s">
        <v>3507</v>
      </c>
      <c r="F106" s="2" t="s">
        <v>3504</v>
      </c>
      <c r="G106" s="2" t="s">
        <v>379</v>
      </c>
      <c r="H106" s="2" t="s">
        <v>3508</v>
      </c>
      <c r="I106" s="1">
        <f>SUM(H107:H118)</f>
        <v>0.66600000000000015</v>
      </c>
      <c r="J106" s="2" t="s">
        <v>385</v>
      </c>
      <c r="K106" s="2" t="s">
        <v>1800</v>
      </c>
      <c r="L106" s="2" t="s">
        <v>901</v>
      </c>
      <c r="M106" s="2" t="s">
        <v>3507</v>
      </c>
      <c r="N106" s="2" t="s">
        <v>3504</v>
      </c>
      <c r="O106" s="2" t="s">
        <v>379</v>
      </c>
      <c r="P106" s="2" t="s">
        <v>3508</v>
      </c>
      <c r="Q106" s="1">
        <f>SUM(P107:P118)</f>
        <v>0.66600000000000004</v>
      </c>
      <c r="R106" s="2">
        <v>4</v>
      </c>
      <c r="S106" s="2" t="s">
        <v>655</v>
      </c>
      <c r="T106" s="2" t="str">
        <f>IFERROR(VLOOKUP(S106,[1]坦克个性化设定!$B$18:$E$48,4,FALSE)&amp;VLOOKUP(S106,[1]坦克个性化细分!$I$3:$J$33,2,FALSE),"")</f>
        <v>T2中</v>
      </c>
      <c r="U106" s="2" t="s">
        <v>1743</v>
      </c>
      <c r="V106" s="2">
        <f t="shared" si="26"/>
        <v>7.2999999999999995E-2</v>
      </c>
      <c r="W106" s="33">
        <v>1.1000000000000001</v>
      </c>
      <c r="X106" s="2">
        <f t="shared" si="27"/>
        <v>8.0299999999999996E-2</v>
      </c>
    </row>
    <row r="107" spans="2:25" x14ac:dyDescent="0.3">
      <c r="B107" s="2">
        <v>4</v>
      </c>
      <c r="C107" s="2" t="s">
        <v>524</v>
      </c>
      <c r="D107" s="2" t="str">
        <f>IFERROR(VLOOKUP(C107,[1]坦克个性化设定!$B$18:$E$48,4,FALSE)&amp;VLOOKUP(C107,[1]坦克个性化细分!$I$3:$J$33,2,FALSE),"")</f>
        <v>T2低</v>
      </c>
      <c r="E107" s="2" t="s">
        <v>328</v>
      </c>
      <c r="F107" s="2">
        <f t="shared" ref="F107:F118" si="28">$E$69</f>
        <v>3.6999999999999998E-2</v>
      </c>
      <c r="G107" s="33">
        <v>1</v>
      </c>
      <c r="H107" s="2">
        <f t="shared" ref="H107:H118" si="29">F107*G107</f>
        <v>3.6999999999999998E-2</v>
      </c>
      <c r="J107" s="2">
        <v>4</v>
      </c>
      <c r="K107" s="2" t="s">
        <v>524</v>
      </c>
      <c r="L107" s="2" t="str">
        <f>IFERROR(VLOOKUP(K107,[1]坦克个性化设定!$B$18:$E$48,4,FALSE)&amp;VLOOKUP(K107,[1]坦克个性化细分!$I$3:$J$33,2,FALSE),"")</f>
        <v>T2低</v>
      </c>
      <c r="M107" s="2" t="s">
        <v>328</v>
      </c>
      <c r="N107" s="2">
        <f t="shared" ref="N107:N118" si="30">$E$69</f>
        <v>3.6999999999999998E-2</v>
      </c>
      <c r="O107" s="33">
        <v>1</v>
      </c>
      <c r="P107" s="2">
        <f t="shared" ref="P107:P118" si="31">N107*O107</f>
        <v>3.6999999999999998E-2</v>
      </c>
    </row>
    <row r="108" spans="2:25" x14ac:dyDescent="0.3">
      <c r="B108" s="2">
        <v>4</v>
      </c>
      <c r="C108" s="2" t="s">
        <v>526</v>
      </c>
      <c r="D108" s="2" t="str">
        <f>IFERROR(VLOOKUP(C108,[1]坦克个性化设定!$B$18:$E$48,4,FALSE)&amp;VLOOKUP(C108,[1]坦克个性化细分!$I$3:$J$33,2,FALSE),"")</f>
        <v>T2低</v>
      </c>
      <c r="E108" s="2" t="s">
        <v>328</v>
      </c>
      <c r="F108" s="2">
        <f t="shared" si="28"/>
        <v>3.6999999999999998E-2</v>
      </c>
      <c r="G108" s="33">
        <v>1</v>
      </c>
      <c r="H108" s="2">
        <f t="shared" si="29"/>
        <v>3.6999999999999998E-2</v>
      </c>
      <c r="J108" s="2">
        <v>4</v>
      </c>
      <c r="K108" s="2" t="s">
        <v>526</v>
      </c>
      <c r="L108" s="2" t="str">
        <f>IFERROR(VLOOKUP(K108,[1]坦克个性化设定!$B$18:$E$48,4,FALSE)&amp;VLOOKUP(K108,[1]坦克个性化细分!$I$3:$J$33,2,FALSE),"")</f>
        <v>T2低</v>
      </c>
      <c r="M108" s="2" t="s">
        <v>328</v>
      </c>
      <c r="N108" s="2">
        <f t="shared" si="30"/>
        <v>3.6999999999999998E-2</v>
      </c>
      <c r="O108" s="33">
        <v>1</v>
      </c>
      <c r="P108" s="2">
        <f t="shared" si="31"/>
        <v>3.6999999999999998E-2</v>
      </c>
    </row>
    <row r="109" spans="2:25" x14ac:dyDescent="0.3">
      <c r="B109" s="2">
        <v>4</v>
      </c>
      <c r="C109" s="2" t="s">
        <v>653</v>
      </c>
      <c r="D109" s="2" t="str">
        <f>IFERROR(VLOOKUP(C109,[1]坦克个性化设定!$B$18:$E$48,4,FALSE)&amp;VLOOKUP(C109,[1]坦克个性化细分!$I$3:$J$33,2,FALSE),"")</f>
        <v>T2低</v>
      </c>
      <c r="E109" s="2" t="s">
        <v>328</v>
      </c>
      <c r="F109" s="2">
        <f t="shared" si="28"/>
        <v>3.6999999999999998E-2</v>
      </c>
      <c r="G109" s="33">
        <v>1</v>
      </c>
      <c r="H109" s="2">
        <f t="shared" si="29"/>
        <v>3.6999999999999998E-2</v>
      </c>
      <c r="J109" s="2">
        <v>4</v>
      </c>
      <c r="K109" s="2" t="s">
        <v>653</v>
      </c>
      <c r="L109" s="2" t="str">
        <f>IFERROR(VLOOKUP(K109,[1]坦克个性化设定!$B$18:$E$48,4,FALSE)&amp;VLOOKUP(K109,[1]坦克个性化细分!$I$3:$J$33,2,FALSE),"")</f>
        <v>T2低</v>
      </c>
      <c r="M109" s="2" t="s">
        <v>328</v>
      </c>
      <c r="N109" s="2">
        <f t="shared" si="30"/>
        <v>3.6999999999999998E-2</v>
      </c>
      <c r="O109" s="33">
        <v>1</v>
      </c>
      <c r="P109" s="2">
        <f t="shared" si="31"/>
        <v>3.6999999999999998E-2</v>
      </c>
      <c r="R109" s="2" t="s">
        <v>385</v>
      </c>
      <c r="S109" s="2" t="s">
        <v>1800</v>
      </c>
      <c r="T109" s="2" t="s">
        <v>901</v>
      </c>
      <c r="U109" s="2" t="s">
        <v>3507</v>
      </c>
      <c r="V109" s="2" t="s">
        <v>3504</v>
      </c>
      <c r="W109" s="2" t="s">
        <v>379</v>
      </c>
      <c r="X109" s="2" t="s">
        <v>3508</v>
      </c>
      <c r="Y109" s="1">
        <f>SUM(X110:X118)</f>
        <v>0.54749999999999999</v>
      </c>
    </row>
    <row r="110" spans="2:25" x14ac:dyDescent="0.3">
      <c r="B110" s="2">
        <v>4</v>
      </c>
      <c r="C110" s="2" t="s">
        <v>616</v>
      </c>
      <c r="D110" s="2" t="str">
        <f>IFERROR(VLOOKUP(C110,[1]坦克个性化设定!$B$18:$E$48,4,FALSE)&amp;VLOOKUP(C110,[1]坦克个性化细分!$I$3:$J$33,2,FALSE),"")</f>
        <v>T2中</v>
      </c>
      <c r="E110" s="2" t="s">
        <v>328</v>
      </c>
      <c r="F110" s="2">
        <f t="shared" si="28"/>
        <v>3.6999999999999998E-2</v>
      </c>
      <c r="G110" s="33">
        <v>0.9</v>
      </c>
      <c r="H110" s="2">
        <f t="shared" si="29"/>
        <v>3.3299999999999996E-2</v>
      </c>
      <c r="J110" s="2">
        <v>4</v>
      </c>
      <c r="K110" s="2" t="s">
        <v>616</v>
      </c>
      <c r="L110" s="2" t="str">
        <f>IFERROR(VLOOKUP(K110,[1]坦克个性化设定!$B$18:$E$48,4,FALSE)&amp;VLOOKUP(K110,[1]坦克个性化细分!$I$3:$J$33,2,FALSE),"")</f>
        <v>T2中</v>
      </c>
      <c r="M110" s="2" t="s">
        <v>328</v>
      </c>
      <c r="N110" s="2">
        <f t="shared" si="30"/>
        <v>3.6999999999999998E-2</v>
      </c>
      <c r="O110" s="33">
        <v>3</v>
      </c>
      <c r="P110" s="2">
        <f t="shared" si="31"/>
        <v>0.11099999999999999</v>
      </c>
      <c r="R110" s="2">
        <v>5</v>
      </c>
      <c r="S110" s="2" t="s">
        <v>616</v>
      </c>
      <c r="T110" s="2" t="str">
        <f>IFERROR(VLOOKUP(S110,[1]坦克个性化设定!$B$18:$E$48,4,FALSE)&amp;VLOOKUP(S110,[1]坦克个性化细分!$I$3:$J$33,2,FALSE),"")</f>
        <v>T2中</v>
      </c>
      <c r="U110" s="2" t="s">
        <v>1743</v>
      </c>
      <c r="V110" s="2">
        <f t="shared" ref="V110:V118" si="32">$E$70</f>
        <v>7.2999999999999995E-2</v>
      </c>
      <c r="W110" s="33">
        <v>1.2</v>
      </c>
      <c r="X110" s="2">
        <f t="shared" ref="X110:X118" si="33">V110*W110</f>
        <v>8.7599999999999997E-2</v>
      </c>
    </row>
    <row r="111" spans="2:25" x14ac:dyDescent="0.3">
      <c r="B111" s="2">
        <v>4</v>
      </c>
      <c r="C111" s="2" t="s">
        <v>636</v>
      </c>
      <c r="D111" s="2" t="str">
        <f>IFERROR(VLOOKUP(C111,[1]坦克个性化设定!$B$18:$E$48,4,FALSE)&amp;VLOOKUP(C111,[1]坦克个性化细分!$I$3:$J$33,2,FALSE),"")</f>
        <v>T2中</v>
      </c>
      <c r="E111" s="2" t="s">
        <v>328</v>
      </c>
      <c r="F111" s="2">
        <f t="shared" si="28"/>
        <v>3.6999999999999998E-2</v>
      </c>
      <c r="G111" s="33">
        <v>0.9</v>
      </c>
      <c r="H111" s="2">
        <f t="shared" si="29"/>
        <v>3.3299999999999996E-2</v>
      </c>
      <c r="J111" s="2">
        <v>4</v>
      </c>
      <c r="K111" s="2" t="s">
        <v>636</v>
      </c>
      <c r="L111" s="2" t="str">
        <f>IFERROR(VLOOKUP(K111,[1]坦克个性化设定!$B$18:$E$48,4,FALSE)&amp;VLOOKUP(K111,[1]坦克个性化细分!$I$3:$J$33,2,FALSE),"")</f>
        <v>T2中</v>
      </c>
      <c r="M111" s="2" t="s">
        <v>328</v>
      </c>
      <c r="N111" s="2">
        <f t="shared" si="30"/>
        <v>3.6999999999999998E-2</v>
      </c>
      <c r="O111" s="33">
        <v>3</v>
      </c>
      <c r="P111" s="2">
        <f t="shared" si="31"/>
        <v>0.11099999999999999</v>
      </c>
      <c r="R111" s="2">
        <v>5</v>
      </c>
      <c r="S111" s="2" t="s">
        <v>636</v>
      </c>
      <c r="T111" s="2" t="str">
        <f>IFERROR(VLOOKUP(S111,[1]坦克个性化设定!$B$18:$E$48,4,FALSE)&amp;VLOOKUP(S111,[1]坦克个性化细分!$I$3:$J$33,2,FALSE),"")</f>
        <v>T2中</v>
      </c>
      <c r="U111" s="2" t="s">
        <v>1743</v>
      </c>
      <c r="V111" s="2">
        <f t="shared" si="32"/>
        <v>7.2999999999999995E-2</v>
      </c>
      <c r="W111" s="33">
        <v>1.2</v>
      </c>
      <c r="X111" s="2">
        <f t="shared" si="33"/>
        <v>8.7599999999999997E-2</v>
      </c>
    </row>
    <row r="112" spans="2:25" x14ac:dyDescent="0.3">
      <c r="B112" s="2">
        <v>4</v>
      </c>
      <c r="C112" s="2" t="s">
        <v>655</v>
      </c>
      <c r="D112" s="2" t="str">
        <f>IFERROR(VLOOKUP(C112,[1]坦克个性化设定!$B$18:$E$48,4,FALSE)&amp;VLOOKUP(C112,[1]坦克个性化细分!$I$3:$J$33,2,FALSE),"")</f>
        <v>T2中</v>
      </c>
      <c r="E112" s="2" t="s">
        <v>328</v>
      </c>
      <c r="F112" s="2">
        <f t="shared" si="28"/>
        <v>3.6999999999999998E-2</v>
      </c>
      <c r="G112" s="33">
        <v>0.9</v>
      </c>
      <c r="H112" s="2">
        <f t="shared" si="29"/>
        <v>3.3299999999999996E-2</v>
      </c>
      <c r="J112" s="2">
        <v>4</v>
      </c>
      <c r="K112" s="2" t="s">
        <v>655</v>
      </c>
      <c r="L112" s="2" t="str">
        <f>IFERROR(VLOOKUP(K112,[1]坦克个性化设定!$B$18:$E$48,4,FALSE)&amp;VLOOKUP(K112,[1]坦克个性化细分!$I$3:$J$33,2,FALSE),"")</f>
        <v>T2中</v>
      </c>
      <c r="M112" s="2" t="s">
        <v>328</v>
      </c>
      <c r="N112" s="2">
        <f t="shared" si="30"/>
        <v>3.6999999999999998E-2</v>
      </c>
      <c r="O112" s="33">
        <v>3</v>
      </c>
      <c r="P112" s="2">
        <f t="shared" si="31"/>
        <v>0.11099999999999999</v>
      </c>
      <c r="R112" s="2">
        <v>5</v>
      </c>
      <c r="S112" s="2" t="s">
        <v>655</v>
      </c>
      <c r="T112" s="2" t="str">
        <f>IFERROR(VLOOKUP(S112,[1]坦克个性化设定!$B$18:$E$48,4,FALSE)&amp;VLOOKUP(S112,[1]坦克个性化细分!$I$3:$J$33,2,FALSE),"")</f>
        <v>T2中</v>
      </c>
      <c r="U112" s="2" t="s">
        <v>1743</v>
      </c>
      <c r="V112" s="2">
        <f t="shared" si="32"/>
        <v>7.2999999999999995E-2</v>
      </c>
      <c r="W112" s="33">
        <v>1.2</v>
      </c>
      <c r="X112" s="2">
        <f t="shared" si="33"/>
        <v>8.7599999999999997E-2</v>
      </c>
    </row>
    <row r="113" spans="2:25" x14ac:dyDescent="0.3">
      <c r="B113" s="2">
        <v>4</v>
      </c>
      <c r="C113" s="2" t="s">
        <v>524</v>
      </c>
      <c r="D113" s="2" t="str">
        <f>IFERROR(VLOOKUP(C113,[1]坦克个性化设定!$B$18:$E$48,4,FALSE)&amp;VLOOKUP(C113,[1]坦克个性化细分!$I$3:$J$33,2,FALSE),"")</f>
        <v>T2低</v>
      </c>
      <c r="E113" s="2" t="s">
        <v>1743</v>
      </c>
      <c r="F113" s="2">
        <f t="shared" si="28"/>
        <v>3.6999999999999998E-2</v>
      </c>
      <c r="G113" s="33">
        <v>3.1</v>
      </c>
      <c r="H113" s="2">
        <f t="shared" si="29"/>
        <v>0.1147</v>
      </c>
      <c r="J113" s="2">
        <v>4</v>
      </c>
      <c r="K113" s="2" t="s">
        <v>524</v>
      </c>
      <c r="L113" s="2" t="str">
        <f>IFERROR(VLOOKUP(K113,[1]坦克个性化设定!$B$18:$E$48,4,FALSE)&amp;VLOOKUP(K113,[1]坦克个性化细分!$I$3:$J$33,2,FALSE),"")</f>
        <v>T2低</v>
      </c>
      <c r="M113" s="2" t="s">
        <v>1743</v>
      </c>
      <c r="N113" s="2">
        <f t="shared" si="30"/>
        <v>3.6999999999999998E-2</v>
      </c>
      <c r="O113" s="33">
        <v>1</v>
      </c>
      <c r="P113" s="2">
        <f t="shared" si="31"/>
        <v>3.6999999999999998E-2</v>
      </c>
      <c r="R113" s="2">
        <v>5</v>
      </c>
      <c r="S113" s="2" t="s">
        <v>530</v>
      </c>
      <c r="T113" s="2" t="str">
        <f>IFERROR(VLOOKUP(S113,[1]坦克个性化设定!$B$18:$E$48,4,FALSE)&amp;VLOOKUP(S113,[1]坦克个性化细分!$I$3:$J$33,2,FALSE),"")</f>
        <v>T3低</v>
      </c>
      <c r="U113" s="2" t="s">
        <v>1743</v>
      </c>
      <c r="V113" s="2">
        <f t="shared" si="32"/>
        <v>7.2999999999999995E-2</v>
      </c>
      <c r="W113" s="33">
        <v>0.8</v>
      </c>
      <c r="X113" s="2">
        <f t="shared" si="33"/>
        <v>5.8400000000000001E-2</v>
      </c>
    </row>
    <row r="114" spans="2:25" x14ac:dyDescent="0.3">
      <c r="B114" s="2">
        <v>4</v>
      </c>
      <c r="C114" s="2" t="s">
        <v>526</v>
      </c>
      <c r="D114" s="2" t="str">
        <f>IFERROR(VLOOKUP(C114,[1]坦克个性化设定!$B$18:$E$48,4,FALSE)&amp;VLOOKUP(C114,[1]坦克个性化细分!$I$3:$J$33,2,FALSE),"")</f>
        <v>T2低</v>
      </c>
      <c r="E114" s="2" t="s">
        <v>1743</v>
      </c>
      <c r="F114" s="2">
        <f t="shared" si="28"/>
        <v>3.6999999999999998E-2</v>
      </c>
      <c r="G114" s="33">
        <v>3.1</v>
      </c>
      <c r="H114" s="2">
        <f t="shared" si="29"/>
        <v>0.1147</v>
      </c>
      <c r="J114" s="2">
        <v>4</v>
      </c>
      <c r="K114" s="2" t="s">
        <v>526</v>
      </c>
      <c r="L114" s="2" t="str">
        <f>IFERROR(VLOOKUP(K114,[1]坦克个性化设定!$B$18:$E$48,4,FALSE)&amp;VLOOKUP(K114,[1]坦克个性化细分!$I$3:$J$33,2,FALSE),"")</f>
        <v>T2低</v>
      </c>
      <c r="M114" s="2" t="s">
        <v>1743</v>
      </c>
      <c r="N114" s="2">
        <f t="shared" si="30"/>
        <v>3.6999999999999998E-2</v>
      </c>
      <c r="O114" s="33">
        <v>1</v>
      </c>
      <c r="P114" s="2">
        <f t="shared" si="31"/>
        <v>3.6999999999999998E-2</v>
      </c>
      <c r="R114" s="2">
        <v>5</v>
      </c>
      <c r="S114" s="2" t="s">
        <v>534</v>
      </c>
      <c r="T114" s="2" t="str">
        <f>IFERROR(VLOOKUP(S114,[1]坦克个性化设定!$B$18:$E$48,4,FALSE)&amp;VLOOKUP(S114,[1]坦克个性化细分!$I$3:$J$33,2,FALSE),"")</f>
        <v>T3低</v>
      </c>
      <c r="U114" s="2" t="s">
        <v>1743</v>
      </c>
      <c r="V114" s="2">
        <f t="shared" si="32"/>
        <v>7.2999999999999995E-2</v>
      </c>
      <c r="W114" s="33">
        <v>0.8</v>
      </c>
      <c r="X114" s="2">
        <f t="shared" si="33"/>
        <v>5.8400000000000001E-2</v>
      </c>
    </row>
    <row r="115" spans="2:25" x14ac:dyDescent="0.3">
      <c r="B115" s="2">
        <v>4</v>
      </c>
      <c r="C115" s="2" t="s">
        <v>653</v>
      </c>
      <c r="D115" s="2" t="str">
        <f>IFERROR(VLOOKUP(C115,[1]坦克个性化设定!$B$18:$E$48,4,FALSE)&amp;VLOOKUP(C115,[1]坦克个性化细分!$I$3:$J$33,2,FALSE),"")</f>
        <v>T2低</v>
      </c>
      <c r="E115" s="2" t="s">
        <v>1743</v>
      </c>
      <c r="F115" s="2">
        <f t="shared" si="28"/>
        <v>3.6999999999999998E-2</v>
      </c>
      <c r="G115" s="33">
        <v>3.1</v>
      </c>
      <c r="H115" s="2">
        <f t="shared" si="29"/>
        <v>0.1147</v>
      </c>
      <c r="J115" s="2">
        <v>4</v>
      </c>
      <c r="K115" s="2" t="s">
        <v>653</v>
      </c>
      <c r="L115" s="2" t="str">
        <f>IFERROR(VLOOKUP(K115,[1]坦克个性化设定!$B$18:$E$48,4,FALSE)&amp;VLOOKUP(K115,[1]坦克个性化细分!$I$3:$J$33,2,FALSE),"")</f>
        <v>T2低</v>
      </c>
      <c r="M115" s="2" t="s">
        <v>1743</v>
      </c>
      <c r="N115" s="2">
        <f t="shared" si="30"/>
        <v>3.6999999999999998E-2</v>
      </c>
      <c r="O115" s="33">
        <v>1</v>
      </c>
      <c r="P115" s="2">
        <f t="shared" si="31"/>
        <v>3.6999999999999998E-2</v>
      </c>
      <c r="R115" s="2">
        <v>5</v>
      </c>
      <c r="S115" s="2" t="s">
        <v>538</v>
      </c>
      <c r="T115" s="2" t="str">
        <f>IFERROR(VLOOKUP(S115,[1]坦克个性化设定!$B$18:$E$48,4,FALSE)&amp;VLOOKUP(S115,[1]坦克个性化细分!$I$3:$J$33,2,FALSE),"")</f>
        <v>T3低</v>
      </c>
      <c r="U115" s="2" t="s">
        <v>1743</v>
      </c>
      <c r="V115" s="2">
        <f t="shared" si="32"/>
        <v>7.2999999999999995E-2</v>
      </c>
      <c r="W115" s="33">
        <v>0.8</v>
      </c>
      <c r="X115" s="2">
        <f t="shared" si="33"/>
        <v>5.8400000000000001E-2</v>
      </c>
    </row>
    <row r="116" spans="2:25" x14ac:dyDescent="0.3">
      <c r="B116" s="2">
        <v>4</v>
      </c>
      <c r="C116" s="2" t="s">
        <v>616</v>
      </c>
      <c r="D116" s="2" t="str">
        <f>IFERROR(VLOOKUP(C116,[1]坦克个性化设定!$B$18:$E$48,4,FALSE)&amp;VLOOKUP(C116,[1]坦克个性化细分!$I$3:$J$33,2,FALSE),"")</f>
        <v>T2中</v>
      </c>
      <c r="E116" s="2" t="s">
        <v>1743</v>
      </c>
      <c r="F116" s="2">
        <f t="shared" si="28"/>
        <v>3.6999999999999998E-2</v>
      </c>
      <c r="G116" s="33">
        <v>1</v>
      </c>
      <c r="H116" s="2">
        <f t="shared" si="29"/>
        <v>3.6999999999999998E-2</v>
      </c>
      <c r="J116" s="2">
        <v>4</v>
      </c>
      <c r="K116" s="2" t="s">
        <v>616</v>
      </c>
      <c r="L116" s="2" t="str">
        <f>IFERROR(VLOOKUP(K116,[1]坦克个性化设定!$B$18:$E$48,4,FALSE)&amp;VLOOKUP(K116,[1]坦克个性化细分!$I$3:$J$33,2,FALSE),"")</f>
        <v>T2中</v>
      </c>
      <c r="M116" s="2" t="s">
        <v>1743</v>
      </c>
      <c r="N116" s="2">
        <f t="shared" si="30"/>
        <v>3.6999999999999998E-2</v>
      </c>
      <c r="O116" s="33">
        <v>1</v>
      </c>
      <c r="P116" s="2">
        <f t="shared" si="31"/>
        <v>3.6999999999999998E-2</v>
      </c>
      <c r="R116" s="2">
        <v>5</v>
      </c>
      <c r="S116" s="2" t="s">
        <v>620</v>
      </c>
      <c r="T116" s="2" t="str">
        <f>IFERROR(VLOOKUP(S116,[1]坦克个性化设定!$B$18:$E$48,4,FALSE)&amp;VLOOKUP(S116,[1]坦克个性化细分!$I$3:$J$33,2,FALSE),"")</f>
        <v>T3中</v>
      </c>
      <c r="U116" s="2" t="s">
        <v>1743</v>
      </c>
      <c r="V116" s="2">
        <f t="shared" si="32"/>
        <v>7.2999999999999995E-2</v>
      </c>
      <c r="W116" s="33">
        <v>0.5</v>
      </c>
      <c r="X116" s="2">
        <f t="shared" si="33"/>
        <v>3.6499999999999998E-2</v>
      </c>
    </row>
    <row r="117" spans="2:25" x14ac:dyDescent="0.3">
      <c r="B117" s="2">
        <v>4</v>
      </c>
      <c r="C117" s="2" t="s">
        <v>636</v>
      </c>
      <c r="D117" s="2" t="str">
        <f>IFERROR(VLOOKUP(C117,[1]坦克个性化设定!$B$18:$E$48,4,FALSE)&amp;VLOOKUP(C117,[1]坦克个性化细分!$I$3:$J$33,2,FALSE),"")</f>
        <v>T2中</v>
      </c>
      <c r="E117" s="2" t="s">
        <v>1743</v>
      </c>
      <c r="F117" s="2">
        <f t="shared" si="28"/>
        <v>3.6999999999999998E-2</v>
      </c>
      <c r="G117" s="33">
        <v>1</v>
      </c>
      <c r="H117" s="2">
        <f t="shared" si="29"/>
        <v>3.6999999999999998E-2</v>
      </c>
      <c r="J117" s="2">
        <v>4</v>
      </c>
      <c r="K117" s="2" t="s">
        <v>636</v>
      </c>
      <c r="L117" s="2" t="str">
        <f>IFERROR(VLOOKUP(K117,[1]坦克个性化设定!$B$18:$E$48,4,FALSE)&amp;VLOOKUP(K117,[1]坦克个性化细分!$I$3:$J$33,2,FALSE),"")</f>
        <v>T2中</v>
      </c>
      <c r="M117" s="2" t="s">
        <v>1743</v>
      </c>
      <c r="N117" s="2">
        <f t="shared" si="30"/>
        <v>3.6999999999999998E-2</v>
      </c>
      <c r="O117" s="33">
        <v>1</v>
      </c>
      <c r="P117" s="2">
        <f t="shared" si="31"/>
        <v>3.6999999999999998E-2</v>
      </c>
      <c r="R117" s="2">
        <v>5</v>
      </c>
      <c r="S117" s="2" t="s">
        <v>639</v>
      </c>
      <c r="T117" s="2" t="str">
        <f>IFERROR(VLOOKUP(S117,[1]坦克个性化设定!$B$18:$E$48,4,FALSE)&amp;VLOOKUP(S117,[1]坦克个性化细分!$I$3:$J$33,2,FALSE),"")</f>
        <v>T3中</v>
      </c>
      <c r="U117" s="2" t="s">
        <v>1743</v>
      </c>
      <c r="V117" s="2">
        <f t="shared" si="32"/>
        <v>7.2999999999999995E-2</v>
      </c>
      <c r="W117" s="33">
        <v>0.5</v>
      </c>
      <c r="X117" s="2">
        <f t="shared" si="33"/>
        <v>3.6499999999999998E-2</v>
      </c>
    </row>
    <row r="118" spans="2:25" x14ac:dyDescent="0.3">
      <c r="B118" s="2">
        <v>4</v>
      </c>
      <c r="C118" s="2" t="s">
        <v>655</v>
      </c>
      <c r="D118" s="2" t="str">
        <f>IFERROR(VLOOKUP(C118,[1]坦克个性化设定!$B$18:$E$48,4,FALSE)&amp;VLOOKUP(C118,[1]坦克个性化细分!$I$3:$J$33,2,FALSE),"")</f>
        <v>T2中</v>
      </c>
      <c r="E118" s="2" t="s">
        <v>1743</v>
      </c>
      <c r="F118" s="2">
        <f t="shared" si="28"/>
        <v>3.6999999999999998E-2</v>
      </c>
      <c r="G118" s="33">
        <v>1</v>
      </c>
      <c r="H118" s="2">
        <f t="shared" si="29"/>
        <v>3.6999999999999998E-2</v>
      </c>
      <c r="J118" s="2">
        <v>4</v>
      </c>
      <c r="K118" s="2" t="s">
        <v>655</v>
      </c>
      <c r="L118" s="2" t="str">
        <f>IFERROR(VLOOKUP(K118,[1]坦克个性化设定!$B$18:$E$48,4,FALSE)&amp;VLOOKUP(K118,[1]坦克个性化细分!$I$3:$J$33,2,FALSE),"")</f>
        <v>T2中</v>
      </c>
      <c r="M118" s="2" t="s">
        <v>1743</v>
      </c>
      <c r="N118" s="2">
        <f t="shared" si="30"/>
        <v>3.6999999999999998E-2</v>
      </c>
      <c r="O118" s="33">
        <v>1</v>
      </c>
      <c r="P118" s="2">
        <f t="shared" si="31"/>
        <v>3.6999999999999998E-2</v>
      </c>
      <c r="R118" s="2">
        <v>5</v>
      </c>
      <c r="S118" s="2" t="s">
        <v>658</v>
      </c>
      <c r="T118" s="2" t="str">
        <f>IFERROR(VLOOKUP(S118,[1]坦克个性化设定!$B$18:$E$48,4,FALSE)&amp;VLOOKUP(S118,[1]坦克个性化细分!$I$3:$J$33,2,FALSE),"")</f>
        <v>T3中</v>
      </c>
      <c r="U118" s="2" t="s">
        <v>1743</v>
      </c>
      <c r="V118" s="2">
        <f t="shared" si="32"/>
        <v>7.2999999999999995E-2</v>
      </c>
      <c r="W118" s="33">
        <v>0.5</v>
      </c>
      <c r="X118" s="2">
        <f t="shared" si="33"/>
        <v>3.6499999999999998E-2</v>
      </c>
    </row>
    <row r="121" spans="2:25" x14ac:dyDescent="0.3">
      <c r="B121" s="2" t="s">
        <v>385</v>
      </c>
      <c r="C121" s="2" t="s">
        <v>1800</v>
      </c>
      <c r="D121" s="2" t="s">
        <v>901</v>
      </c>
      <c r="E121" s="2" t="s">
        <v>3507</v>
      </c>
      <c r="F121" s="2" t="s">
        <v>3504</v>
      </c>
      <c r="G121" s="2" t="s">
        <v>379</v>
      </c>
      <c r="H121" s="2" t="s">
        <v>3508</v>
      </c>
      <c r="I121" s="1">
        <f>SUM(H122:H139)</f>
        <v>0.66599999999999993</v>
      </c>
      <c r="J121" s="2" t="s">
        <v>385</v>
      </c>
      <c r="K121" s="2" t="s">
        <v>1800</v>
      </c>
      <c r="L121" s="2" t="s">
        <v>901</v>
      </c>
      <c r="M121" s="2" t="s">
        <v>3507</v>
      </c>
      <c r="N121" s="2" t="s">
        <v>3504</v>
      </c>
      <c r="O121" s="2" t="s">
        <v>379</v>
      </c>
      <c r="P121" s="2" t="s">
        <v>3508</v>
      </c>
      <c r="Q121" s="1">
        <f>SUM(P122:P139)</f>
        <v>0.66599999999999993</v>
      </c>
      <c r="R121" s="2" t="s">
        <v>385</v>
      </c>
      <c r="S121" s="2" t="s">
        <v>1800</v>
      </c>
      <c r="T121" s="2" t="s">
        <v>901</v>
      </c>
      <c r="U121" s="2" t="s">
        <v>3507</v>
      </c>
      <c r="V121" s="2" t="s">
        <v>3504</v>
      </c>
      <c r="W121" s="2" t="s">
        <v>379</v>
      </c>
      <c r="X121" s="2" t="s">
        <v>3508</v>
      </c>
      <c r="Y121" s="1">
        <f>SUM(X122:X130)</f>
        <v>0.65700000000000003</v>
      </c>
    </row>
    <row r="122" spans="2:25" x14ac:dyDescent="0.3">
      <c r="B122" s="2">
        <v>5</v>
      </c>
      <c r="C122" s="2" t="s">
        <v>616</v>
      </c>
      <c r="D122" s="2" t="str">
        <f>IFERROR(VLOOKUP(C122,[1]坦克个性化设定!$B$18:$E$48,4,FALSE)&amp;VLOOKUP(C122,[1]坦克个性化细分!$I$3:$J$33,2,FALSE),"")</f>
        <v>T2中</v>
      </c>
      <c r="E122" s="2" t="s">
        <v>328</v>
      </c>
      <c r="F122" s="2">
        <f t="shared" ref="F122:F139" si="34">$E$69</f>
        <v>3.6999999999999998E-2</v>
      </c>
      <c r="G122" s="33">
        <v>0.8</v>
      </c>
      <c r="H122" s="2">
        <f t="shared" ref="H122:H139" si="35">F122*G122</f>
        <v>2.9600000000000001E-2</v>
      </c>
      <c r="J122" s="2">
        <v>5</v>
      </c>
      <c r="K122" s="2" t="s">
        <v>616</v>
      </c>
      <c r="L122" s="2" t="str">
        <f>IFERROR(VLOOKUP(K122,[1]坦克个性化设定!$B$18:$E$48,4,FALSE)&amp;VLOOKUP(K122,[1]坦克个性化细分!$I$3:$J$33,2,FALSE),"")</f>
        <v>T2中</v>
      </c>
      <c r="M122" s="2" t="s">
        <v>328</v>
      </c>
      <c r="N122" s="2">
        <f t="shared" ref="N122:N139" si="36">$E$69</f>
        <v>3.6999999999999998E-2</v>
      </c>
      <c r="O122" s="33">
        <v>1.6</v>
      </c>
      <c r="P122" s="2">
        <f t="shared" ref="P122:P139" si="37">N122*O122</f>
        <v>5.9200000000000003E-2</v>
      </c>
      <c r="R122" s="2">
        <v>6</v>
      </c>
      <c r="S122" s="2" t="s">
        <v>616</v>
      </c>
      <c r="T122" s="2" t="str">
        <f>IFERROR(VLOOKUP(S122,[1]坦克个性化设定!$B$18:$E$48,4,FALSE)&amp;VLOOKUP(S122,[1]坦克个性化细分!$I$3:$J$33,2,FALSE),"")</f>
        <v>T2中</v>
      </c>
      <c r="U122" s="2" t="s">
        <v>1743</v>
      </c>
      <c r="V122" s="2">
        <f t="shared" ref="V122:V130" si="38">$E$70</f>
        <v>7.2999999999999995E-2</v>
      </c>
      <c r="W122" s="33">
        <v>1.2</v>
      </c>
      <c r="X122" s="2">
        <f>V122*W122</f>
        <v>8.7599999999999997E-2</v>
      </c>
    </row>
    <row r="123" spans="2:25" x14ac:dyDescent="0.3">
      <c r="B123" s="2">
        <v>5</v>
      </c>
      <c r="C123" s="2" t="s">
        <v>636</v>
      </c>
      <c r="D123" s="2" t="str">
        <f>IFERROR(VLOOKUP(C123,[1]坦克个性化设定!$B$18:$E$48,4,FALSE)&amp;VLOOKUP(C123,[1]坦克个性化细分!$I$3:$J$33,2,FALSE),"")</f>
        <v>T2中</v>
      </c>
      <c r="E123" s="2" t="s">
        <v>328</v>
      </c>
      <c r="F123" s="2">
        <f t="shared" si="34"/>
        <v>3.6999999999999998E-2</v>
      </c>
      <c r="G123" s="33">
        <v>0.8</v>
      </c>
      <c r="H123" s="2">
        <f t="shared" si="35"/>
        <v>2.9600000000000001E-2</v>
      </c>
      <c r="J123" s="2">
        <v>5</v>
      </c>
      <c r="K123" s="2" t="s">
        <v>636</v>
      </c>
      <c r="L123" s="2" t="str">
        <f>IFERROR(VLOOKUP(K123,[1]坦克个性化设定!$B$18:$E$48,4,FALSE)&amp;VLOOKUP(K123,[1]坦克个性化细分!$I$3:$J$33,2,FALSE),"")</f>
        <v>T2中</v>
      </c>
      <c r="M123" s="2" t="s">
        <v>328</v>
      </c>
      <c r="N123" s="2">
        <f t="shared" si="36"/>
        <v>3.6999999999999998E-2</v>
      </c>
      <c r="O123" s="33">
        <v>1.6</v>
      </c>
      <c r="P123" s="2">
        <f t="shared" si="37"/>
        <v>5.9200000000000003E-2</v>
      </c>
      <c r="R123" s="2">
        <v>6</v>
      </c>
      <c r="S123" s="2" t="s">
        <v>636</v>
      </c>
      <c r="T123" s="2" t="str">
        <f>IFERROR(VLOOKUP(S123,[1]坦克个性化设定!$B$18:$E$48,4,FALSE)&amp;VLOOKUP(S123,[1]坦克个性化细分!$I$3:$J$33,2,FALSE),"")</f>
        <v>T2中</v>
      </c>
      <c r="U123" s="2" t="s">
        <v>1743</v>
      </c>
      <c r="V123" s="2">
        <f t="shared" si="38"/>
        <v>7.2999999999999995E-2</v>
      </c>
      <c r="W123" s="33">
        <v>1.2</v>
      </c>
      <c r="X123" s="2">
        <f>V123*W123</f>
        <v>8.7599999999999997E-2</v>
      </c>
    </row>
    <row r="124" spans="2:25" x14ac:dyDescent="0.3">
      <c r="B124" s="2">
        <v>5</v>
      </c>
      <c r="C124" s="2" t="s">
        <v>655</v>
      </c>
      <c r="D124" s="2" t="str">
        <f>IFERROR(VLOOKUP(C124,[1]坦克个性化设定!$B$18:$E$48,4,FALSE)&amp;VLOOKUP(C124,[1]坦克个性化细分!$I$3:$J$33,2,FALSE),"")</f>
        <v>T2中</v>
      </c>
      <c r="E124" s="2" t="s">
        <v>328</v>
      </c>
      <c r="F124" s="2">
        <f t="shared" si="34"/>
        <v>3.6999999999999998E-2</v>
      </c>
      <c r="G124" s="33">
        <v>0.8</v>
      </c>
      <c r="H124" s="2">
        <f t="shared" si="35"/>
        <v>2.9600000000000001E-2</v>
      </c>
      <c r="J124" s="2">
        <v>5</v>
      </c>
      <c r="K124" s="2" t="s">
        <v>655</v>
      </c>
      <c r="L124" s="2" t="str">
        <f>IFERROR(VLOOKUP(K124,[1]坦克个性化设定!$B$18:$E$48,4,FALSE)&amp;VLOOKUP(K124,[1]坦克个性化细分!$I$3:$J$33,2,FALSE),"")</f>
        <v>T2中</v>
      </c>
      <c r="M124" s="2" t="s">
        <v>328</v>
      </c>
      <c r="N124" s="2">
        <f t="shared" si="36"/>
        <v>3.6999999999999998E-2</v>
      </c>
      <c r="O124" s="33">
        <v>1.6</v>
      </c>
      <c r="P124" s="2">
        <f t="shared" si="37"/>
        <v>5.9200000000000003E-2</v>
      </c>
      <c r="R124" s="2">
        <v>6</v>
      </c>
      <c r="S124" s="2" t="s">
        <v>655</v>
      </c>
      <c r="T124" s="2" t="str">
        <f>IFERROR(VLOOKUP(S124,[1]坦克个性化设定!$B$18:$E$48,4,FALSE)&amp;VLOOKUP(S124,[1]坦克个性化细分!$I$3:$J$33,2,FALSE),"")</f>
        <v>T2中</v>
      </c>
      <c r="U124" s="2" t="s">
        <v>1743</v>
      </c>
      <c r="V124" s="2">
        <f t="shared" si="38"/>
        <v>7.2999999999999995E-2</v>
      </c>
      <c r="W124" s="33">
        <v>1.2</v>
      </c>
      <c r="X124" s="2">
        <f>V124*W124</f>
        <v>8.7599999999999997E-2</v>
      </c>
    </row>
    <row r="125" spans="2:25" x14ac:dyDescent="0.3">
      <c r="B125" s="2">
        <v>5</v>
      </c>
      <c r="C125" s="2" t="s">
        <v>530</v>
      </c>
      <c r="D125" s="2" t="str">
        <f>IFERROR(VLOOKUP(C125,[1]坦克个性化设定!$B$18:$E$48,4,FALSE)&amp;VLOOKUP(C125,[1]坦克个性化细分!$I$3:$J$33,2,FALSE),"")</f>
        <v>T3低</v>
      </c>
      <c r="E125" s="2" t="s">
        <v>328</v>
      </c>
      <c r="F125" s="2">
        <f t="shared" si="34"/>
        <v>3.6999999999999998E-2</v>
      </c>
      <c r="G125" s="33">
        <v>1.2</v>
      </c>
      <c r="H125" s="2">
        <f t="shared" si="35"/>
        <v>4.4399999999999995E-2</v>
      </c>
      <c r="J125" s="2">
        <v>5</v>
      </c>
      <c r="K125" s="2" t="s">
        <v>530</v>
      </c>
      <c r="L125" s="2" t="str">
        <f>IFERROR(VLOOKUP(K125,[1]坦克个性化设定!$B$18:$E$48,4,FALSE)&amp;VLOOKUP(K125,[1]坦克个性化细分!$I$3:$J$33,2,FALSE),"")</f>
        <v>T3低</v>
      </c>
      <c r="M125" s="2" t="s">
        <v>328</v>
      </c>
      <c r="N125" s="2">
        <f t="shared" si="36"/>
        <v>3.6999999999999998E-2</v>
      </c>
      <c r="O125" s="33">
        <v>1.2</v>
      </c>
      <c r="P125" s="2">
        <f t="shared" si="37"/>
        <v>4.4399999999999995E-2</v>
      </c>
      <c r="R125" s="2">
        <v>6</v>
      </c>
      <c r="S125" s="2" t="s">
        <v>530</v>
      </c>
      <c r="T125" s="2" t="str">
        <f>IFERROR(VLOOKUP(S125,[1]坦克个性化设定!$B$18:$E$48,4,FALSE)&amp;VLOOKUP(S125,[1]坦克个性化细分!$I$3:$J$33,2,FALSE),"")</f>
        <v>T3低</v>
      </c>
      <c r="U125" s="2" t="s">
        <v>1743</v>
      </c>
      <c r="V125" s="2">
        <f t="shared" si="38"/>
        <v>7.2999999999999995E-2</v>
      </c>
      <c r="W125" s="33">
        <v>1</v>
      </c>
      <c r="X125" s="2">
        <f t="shared" ref="X125:X130" si="39">V125*W125</f>
        <v>7.2999999999999995E-2</v>
      </c>
    </row>
    <row r="126" spans="2:25" x14ac:dyDescent="0.3">
      <c r="B126" s="2">
        <v>5</v>
      </c>
      <c r="C126" s="2" t="s">
        <v>534</v>
      </c>
      <c r="D126" s="2" t="str">
        <f>IFERROR(VLOOKUP(C126,[1]坦克个性化设定!$B$18:$E$48,4,FALSE)&amp;VLOOKUP(C126,[1]坦克个性化细分!$I$3:$J$33,2,FALSE),"")</f>
        <v>T3低</v>
      </c>
      <c r="E126" s="2" t="s">
        <v>328</v>
      </c>
      <c r="F126" s="2">
        <f t="shared" si="34"/>
        <v>3.6999999999999998E-2</v>
      </c>
      <c r="G126" s="33">
        <v>1.2</v>
      </c>
      <c r="H126" s="2">
        <f t="shared" si="35"/>
        <v>4.4399999999999995E-2</v>
      </c>
      <c r="J126" s="2">
        <v>5</v>
      </c>
      <c r="K126" s="2" t="s">
        <v>534</v>
      </c>
      <c r="L126" s="2" t="str">
        <f>IFERROR(VLOOKUP(K126,[1]坦克个性化设定!$B$18:$E$48,4,FALSE)&amp;VLOOKUP(K126,[1]坦克个性化细分!$I$3:$J$33,2,FALSE),"")</f>
        <v>T3低</v>
      </c>
      <c r="M126" s="2" t="s">
        <v>328</v>
      </c>
      <c r="N126" s="2">
        <f t="shared" si="36"/>
        <v>3.6999999999999998E-2</v>
      </c>
      <c r="O126" s="33">
        <v>1.2</v>
      </c>
      <c r="P126" s="2">
        <f t="shared" si="37"/>
        <v>4.4399999999999995E-2</v>
      </c>
      <c r="R126" s="2">
        <v>6</v>
      </c>
      <c r="S126" s="2" t="s">
        <v>534</v>
      </c>
      <c r="T126" s="2" t="str">
        <f>IFERROR(VLOOKUP(S126,[1]坦克个性化设定!$B$18:$E$48,4,FALSE)&amp;VLOOKUP(S126,[1]坦克个性化细分!$I$3:$J$33,2,FALSE),"")</f>
        <v>T3低</v>
      </c>
      <c r="U126" s="2" t="s">
        <v>1743</v>
      </c>
      <c r="V126" s="2">
        <f t="shared" si="38"/>
        <v>7.2999999999999995E-2</v>
      </c>
      <c r="W126" s="33">
        <v>1</v>
      </c>
      <c r="X126" s="2">
        <f t="shared" si="39"/>
        <v>7.2999999999999995E-2</v>
      </c>
    </row>
    <row r="127" spans="2:25" x14ac:dyDescent="0.3">
      <c r="B127" s="2">
        <v>5</v>
      </c>
      <c r="C127" s="2" t="s">
        <v>538</v>
      </c>
      <c r="D127" s="2" t="str">
        <f>IFERROR(VLOOKUP(C127,[1]坦克个性化设定!$B$18:$E$48,4,FALSE)&amp;VLOOKUP(C127,[1]坦克个性化细分!$I$3:$J$33,2,FALSE),"")</f>
        <v>T3低</v>
      </c>
      <c r="E127" s="2" t="s">
        <v>328</v>
      </c>
      <c r="F127" s="2">
        <f t="shared" si="34"/>
        <v>3.6999999999999998E-2</v>
      </c>
      <c r="G127" s="33">
        <v>1.2</v>
      </c>
      <c r="H127" s="2">
        <f t="shared" si="35"/>
        <v>4.4399999999999995E-2</v>
      </c>
      <c r="J127" s="2">
        <v>5</v>
      </c>
      <c r="K127" s="2" t="s">
        <v>538</v>
      </c>
      <c r="L127" s="2" t="str">
        <f>IFERROR(VLOOKUP(K127,[1]坦克个性化设定!$B$18:$E$48,4,FALSE)&amp;VLOOKUP(K127,[1]坦克个性化细分!$I$3:$J$33,2,FALSE),"")</f>
        <v>T3低</v>
      </c>
      <c r="M127" s="2" t="s">
        <v>328</v>
      </c>
      <c r="N127" s="2">
        <f t="shared" si="36"/>
        <v>3.6999999999999998E-2</v>
      </c>
      <c r="O127" s="33">
        <v>1.2</v>
      </c>
      <c r="P127" s="2">
        <f t="shared" si="37"/>
        <v>4.4399999999999995E-2</v>
      </c>
      <c r="R127" s="2">
        <v>6</v>
      </c>
      <c r="S127" s="2" t="s">
        <v>538</v>
      </c>
      <c r="T127" s="2" t="str">
        <f>IFERROR(VLOOKUP(S127,[1]坦克个性化设定!$B$18:$E$48,4,FALSE)&amp;VLOOKUP(S127,[1]坦克个性化细分!$I$3:$J$33,2,FALSE),"")</f>
        <v>T3低</v>
      </c>
      <c r="U127" s="2" t="s">
        <v>1743</v>
      </c>
      <c r="V127" s="2">
        <f t="shared" si="38"/>
        <v>7.2999999999999995E-2</v>
      </c>
      <c r="W127" s="33">
        <v>1</v>
      </c>
      <c r="X127" s="2">
        <f t="shared" si="39"/>
        <v>7.2999999999999995E-2</v>
      </c>
    </row>
    <row r="128" spans="2:25" x14ac:dyDescent="0.3">
      <c r="B128" s="2">
        <v>5</v>
      </c>
      <c r="C128" s="2" t="s">
        <v>524</v>
      </c>
      <c r="D128" s="2" t="str">
        <f>IFERROR(VLOOKUP(C128,[1]坦克个性化设定!$B$18:$E$48,4,FALSE)&amp;VLOOKUP(C128,[1]坦克个性化细分!$I$3:$J$33,2,FALSE),"")</f>
        <v>T2低</v>
      </c>
      <c r="E128" s="2" t="s">
        <v>1743</v>
      </c>
      <c r="F128" s="2">
        <f t="shared" si="34"/>
        <v>3.6999999999999998E-2</v>
      </c>
      <c r="G128" s="33">
        <v>1</v>
      </c>
      <c r="H128" s="2">
        <f t="shared" si="35"/>
        <v>3.6999999999999998E-2</v>
      </c>
      <c r="J128" s="2">
        <v>5</v>
      </c>
      <c r="K128" s="2" t="s">
        <v>620</v>
      </c>
      <c r="L128" s="2" t="str">
        <f>IFERROR(VLOOKUP(K128,[1]坦克个性化设定!$B$18:$E$48,4,FALSE)&amp;VLOOKUP(K128,[1]坦克个性化细分!$I$3:$J$33,2,FALSE),"")</f>
        <v>T3中</v>
      </c>
      <c r="M128" s="2" t="s">
        <v>328</v>
      </c>
      <c r="N128" s="2">
        <f t="shared" si="36"/>
        <v>3.6999999999999998E-2</v>
      </c>
      <c r="O128" s="33">
        <v>1.2</v>
      </c>
      <c r="P128" s="2">
        <f t="shared" si="37"/>
        <v>4.4399999999999995E-2</v>
      </c>
      <c r="R128" s="2">
        <v>6</v>
      </c>
      <c r="S128" s="2" t="s">
        <v>620</v>
      </c>
      <c r="T128" s="2" t="str">
        <f>IFERROR(VLOOKUP(S128,[1]坦克个性化设定!$B$18:$E$48,4,FALSE)&amp;VLOOKUP(S128,[1]坦克个性化细分!$I$3:$J$33,2,FALSE),"")</f>
        <v>T3中</v>
      </c>
      <c r="U128" s="2" t="s">
        <v>1743</v>
      </c>
      <c r="V128" s="2">
        <f t="shared" si="38"/>
        <v>7.2999999999999995E-2</v>
      </c>
      <c r="W128" s="33">
        <v>0.8</v>
      </c>
      <c r="X128" s="2">
        <f t="shared" si="39"/>
        <v>5.8400000000000001E-2</v>
      </c>
    </row>
    <row r="129" spans="2:25" x14ac:dyDescent="0.3">
      <c r="B129" s="2">
        <v>5</v>
      </c>
      <c r="C129" s="2" t="s">
        <v>526</v>
      </c>
      <c r="D129" s="2" t="str">
        <f>IFERROR(VLOOKUP(C129,[1]坦克个性化设定!$B$18:$E$48,4,FALSE)&amp;VLOOKUP(C129,[1]坦克个性化细分!$I$3:$J$33,2,FALSE),"")</f>
        <v>T2低</v>
      </c>
      <c r="E129" s="2" t="s">
        <v>1743</v>
      </c>
      <c r="F129" s="2">
        <f t="shared" si="34"/>
        <v>3.6999999999999998E-2</v>
      </c>
      <c r="G129" s="33">
        <v>1</v>
      </c>
      <c r="H129" s="2">
        <f t="shared" si="35"/>
        <v>3.6999999999999998E-2</v>
      </c>
      <c r="J129" s="2">
        <v>5</v>
      </c>
      <c r="K129" s="2" t="s">
        <v>639</v>
      </c>
      <c r="L129" s="2" t="str">
        <f>IFERROR(VLOOKUP(K129,[1]坦克个性化设定!$B$18:$E$48,4,FALSE)&amp;VLOOKUP(K129,[1]坦克个性化细分!$I$3:$J$33,2,FALSE),"")</f>
        <v>T3中</v>
      </c>
      <c r="M129" s="2" t="s">
        <v>328</v>
      </c>
      <c r="N129" s="2">
        <f t="shared" si="36"/>
        <v>3.6999999999999998E-2</v>
      </c>
      <c r="O129" s="33">
        <v>1.2</v>
      </c>
      <c r="P129" s="2">
        <f t="shared" si="37"/>
        <v>4.4399999999999995E-2</v>
      </c>
      <c r="R129" s="2">
        <v>6</v>
      </c>
      <c r="S129" s="2" t="s">
        <v>639</v>
      </c>
      <c r="T129" s="2" t="str">
        <f>IFERROR(VLOOKUP(S129,[1]坦克个性化设定!$B$18:$E$48,4,FALSE)&amp;VLOOKUP(S129,[1]坦克个性化细分!$I$3:$J$33,2,FALSE),"")</f>
        <v>T3中</v>
      </c>
      <c r="U129" s="2" t="s">
        <v>1743</v>
      </c>
      <c r="V129" s="2">
        <f t="shared" si="38"/>
        <v>7.2999999999999995E-2</v>
      </c>
      <c r="W129" s="33">
        <v>0.8</v>
      </c>
      <c r="X129" s="2">
        <f t="shared" si="39"/>
        <v>5.8400000000000001E-2</v>
      </c>
    </row>
    <row r="130" spans="2:25" x14ac:dyDescent="0.3">
      <c r="B130" s="2">
        <v>5</v>
      </c>
      <c r="C130" s="2" t="s">
        <v>653</v>
      </c>
      <c r="D130" s="2" t="str">
        <f>IFERROR(VLOOKUP(C130,[1]坦克个性化设定!$B$18:$E$48,4,FALSE)&amp;VLOOKUP(C130,[1]坦克个性化细分!$I$3:$J$33,2,FALSE),"")</f>
        <v>T2低</v>
      </c>
      <c r="E130" s="2" t="s">
        <v>1743</v>
      </c>
      <c r="F130" s="2">
        <f t="shared" si="34"/>
        <v>3.6999999999999998E-2</v>
      </c>
      <c r="G130" s="33">
        <v>1</v>
      </c>
      <c r="H130" s="2">
        <f t="shared" si="35"/>
        <v>3.6999999999999998E-2</v>
      </c>
      <c r="J130" s="2">
        <v>5</v>
      </c>
      <c r="K130" s="2" t="s">
        <v>658</v>
      </c>
      <c r="L130" s="2" t="str">
        <f>IFERROR(VLOOKUP(K130,[1]坦克个性化设定!$B$18:$E$48,4,FALSE)&amp;VLOOKUP(K130,[1]坦克个性化细分!$I$3:$J$33,2,FALSE),"")</f>
        <v>T3中</v>
      </c>
      <c r="M130" s="2" t="s">
        <v>328</v>
      </c>
      <c r="N130" s="2">
        <f t="shared" si="36"/>
        <v>3.6999999999999998E-2</v>
      </c>
      <c r="O130" s="33">
        <v>1.2</v>
      </c>
      <c r="P130" s="2">
        <f t="shared" si="37"/>
        <v>4.4399999999999995E-2</v>
      </c>
      <c r="R130" s="2">
        <v>6</v>
      </c>
      <c r="S130" s="2" t="s">
        <v>658</v>
      </c>
      <c r="T130" s="2" t="str">
        <f>IFERROR(VLOOKUP(S130,[1]坦克个性化设定!$B$18:$E$48,4,FALSE)&amp;VLOOKUP(S130,[1]坦克个性化细分!$I$3:$J$33,2,FALSE),"")</f>
        <v>T3中</v>
      </c>
      <c r="U130" s="2" t="s">
        <v>1743</v>
      </c>
      <c r="V130" s="2">
        <f t="shared" si="38"/>
        <v>7.2999999999999995E-2</v>
      </c>
      <c r="W130" s="33">
        <v>0.8</v>
      </c>
      <c r="X130" s="2">
        <f t="shared" si="39"/>
        <v>5.8400000000000001E-2</v>
      </c>
    </row>
    <row r="131" spans="2:25" x14ac:dyDescent="0.3">
      <c r="B131" s="2">
        <v>5</v>
      </c>
      <c r="C131" s="2" t="s">
        <v>616</v>
      </c>
      <c r="D131" s="2" t="str">
        <f>IFERROR(VLOOKUP(C131,[1]坦克个性化设定!$B$18:$E$48,4,FALSE)&amp;VLOOKUP(C131,[1]坦克个性化细分!$I$3:$J$33,2,FALSE),"")</f>
        <v>T2中</v>
      </c>
      <c r="E131" s="2" t="s">
        <v>1743</v>
      </c>
      <c r="F131" s="2">
        <f t="shared" si="34"/>
        <v>3.6999999999999998E-2</v>
      </c>
      <c r="G131" s="33">
        <v>1</v>
      </c>
      <c r="H131" s="2">
        <f t="shared" si="35"/>
        <v>3.6999999999999998E-2</v>
      </c>
      <c r="J131" s="2">
        <v>5</v>
      </c>
      <c r="K131" s="2" t="s">
        <v>616</v>
      </c>
      <c r="L131" s="2" t="str">
        <f>IFERROR(VLOOKUP(K131,[1]坦克个性化设定!$B$18:$E$48,4,FALSE)&amp;VLOOKUP(K131,[1]坦克个性化细分!$I$3:$J$33,2,FALSE),"")</f>
        <v>T2中</v>
      </c>
      <c r="M131" s="2" t="s">
        <v>1743</v>
      </c>
      <c r="N131" s="2">
        <f t="shared" si="36"/>
        <v>3.6999999999999998E-2</v>
      </c>
      <c r="O131" s="33">
        <v>0.8</v>
      </c>
      <c r="P131" s="2">
        <f t="shared" si="37"/>
        <v>2.9600000000000001E-2</v>
      </c>
    </row>
    <row r="132" spans="2:25" x14ac:dyDescent="0.3">
      <c r="B132" s="2">
        <v>5</v>
      </c>
      <c r="C132" s="2" t="s">
        <v>636</v>
      </c>
      <c r="D132" s="2" t="str">
        <f>IFERROR(VLOOKUP(C132,[1]坦克个性化设定!$B$18:$E$48,4,FALSE)&amp;VLOOKUP(C132,[1]坦克个性化细分!$I$3:$J$33,2,FALSE),"")</f>
        <v>T2中</v>
      </c>
      <c r="E132" s="2" t="s">
        <v>1743</v>
      </c>
      <c r="F132" s="2">
        <f t="shared" si="34"/>
        <v>3.6999999999999998E-2</v>
      </c>
      <c r="G132" s="33">
        <v>1</v>
      </c>
      <c r="H132" s="2">
        <f t="shared" si="35"/>
        <v>3.6999999999999998E-2</v>
      </c>
      <c r="J132" s="2">
        <v>5</v>
      </c>
      <c r="K132" s="2" t="s">
        <v>636</v>
      </c>
      <c r="L132" s="2" t="str">
        <f>IFERROR(VLOOKUP(K132,[1]坦克个性化设定!$B$18:$E$48,4,FALSE)&amp;VLOOKUP(K132,[1]坦克个性化细分!$I$3:$J$33,2,FALSE),"")</f>
        <v>T2中</v>
      </c>
      <c r="M132" s="2" t="s">
        <v>1743</v>
      </c>
      <c r="N132" s="2">
        <f t="shared" si="36"/>
        <v>3.6999999999999998E-2</v>
      </c>
      <c r="O132" s="33">
        <v>0.8</v>
      </c>
      <c r="P132" s="2">
        <f t="shared" si="37"/>
        <v>2.9600000000000001E-2</v>
      </c>
    </row>
    <row r="133" spans="2:25" x14ac:dyDescent="0.3">
      <c r="B133" s="2">
        <v>5</v>
      </c>
      <c r="C133" s="2" t="s">
        <v>655</v>
      </c>
      <c r="D133" s="2" t="str">
        <f>IFERROR(VLOOKUP(C133,[1]坦克个性化设定!$B$18:$E$48,4,FALSE)&amp;VLOOKUP(C133,[1]坦克个性化细分!$I$3:$J$33,2,FALSE),"")</f>
        <v>T2中</v>
      </c>
      <c r="E133" s="2" t="s">
        <v>1743</v>
      </c>
      <c r="F133" s="2">
        <f t="shared" si="34"/>
        <v>3.6999999999999998E-2</v>
      </c>
      <c r="G133" s="33">
        <v>1</v>
      </c>
      <c r="H133" s="2">
        <f t="shared" si="35"/>
        <v>3.6999999999999998E-2</v>
      </c>
      <c r="J133" s="2">
        <v>5</v>
      </c>
      <c r="K133" s="2" t="s">
        <v>655</v>
      </c>
      <c r="L133" s="2" t="str">
        <f>IFERROR(VLOOKUP(K133,[1]坦克个性化设定!$B$18:$E$48,4,FALSE)&amp;VLOOKUP(K133,[1]坦克个性化细分!$I$3:$J$33,2,FALSE),"")</f>
        <v>T2中</v>
      </c>
      <c r="M133" s="2" t="s">
        <v>1743</v>
      </c>
      <c r="N133" s="2">
        <f t="shared" si="36"/>
        <v>3.6999999999999998E-2</v>
      </c>
      <c r="O133" s="33">
        <v>0.8</v>
      </c>
      <c r="P133" s="2">
        <f t="shared" si="37"/>
        <v>2.9600000000000001E-2</v>
      </c>
      <c r="R133" s="2" t="s">
        <v>385</v>
      </c>
      <c r="S133" s="2" t="s">
        <v>1800</v>
      </c>
      <c r="T133" s="2" t="s">
        <v>901</v>
      </c>
      <c r="U133" s="2" t="s">
        <v>3507</v>
      </c>
      <c r="V133" s="2" t="s">
        <v>3504</v>
      </c>
      <c r="W133" s="2" t="s">
        <v>379</v>
      </c>
      <c r="X133" s="2" t="s">
        <v>3508</v>
      </c>
      <c r="Y133" s="1">
        <f>SUM(X134:X141)</f>
        <v>0.65700000000000003</v>
      </c>
    </row>
    <row r="134" spans="2:25" x14ac:dyDescent="0.3">
      <c r="B134" s="2">
        <v>5</v>
      </c>
      <c r="C134" s="2" t="s">
        <v>530</v>
      </c>
      <c r="D134" s="2" t="str">
        <f>IFERROR(VLOOKUP(C134,[1]坦克个性化设定!$B$18:$E$48,4,FALSE)&amp;VLOOKUP(C134,[1]坦克个性化细分!$I$3:$J$33,2,FALSE),"")</f>
        <v>T3低</v>
      </c>
      <c r="E134" s="2" t="s">
        <v>1743</v>
      </c>
      <c r="F134" s="2">
        <f t="shared" si="34"/>
        <v>3.6999999999999998E-2</v>
      </c>
      <c r="G134" s="33">
        <v>1</v>
      </c>
      <c r="H134" s="2">
        <f t="shared" si="35"/>
        <v>3.6999999999999998E-2</v>
      </c>
      <c r="J134" s="2">
        <v>5</v>
      </c>
      <c r="K134" s="2" t="s">
        <v>530</v>
      </c>
      <c r="L134" s="2" t="str">
        <f>IFERROR(VLOOKUP(K134,[1]坦克个性化设定!$B$18:$E$48,4,FALSE)&amp;VLOOKUP(K134,[1]坦克个性化细分!$I$3:$J$33,2,FALSE),"")</f>
        <v>T3低</v>
      </c>
      <c r="M134" s="2" t="s">
        <v>1743</v>
      </c>
      <c r="N134" s="2">
        <f t="shared" si="36"/>
        <v>3.6999999999999998E-2</v>
      </c>
      <c r="O134" s="33">
        <v>0.6</v>
      </c>
      <c r="P134" s="2">
        <f t="shared" si="37"/>
        <v>2.2199999999999998E-2</v>
      </c>
      <c r="R134" s="2">
        <v>7</v>
      </c>
      <c r="S134" s="2" t="s">
        <v>530</v>
      </c>
      <c r="T134" s="2" t="str">
        <f>IFERROR(VLOOKUP(S134,[1]坦克个性化设定!$B$18:$E$48,4,FALSE)&amp;VLOOKUP(S134,[1]坦克个性化细分!$I$3:$J$33,2,FALSE),"")</f>
        <v>T3低</v>
      </c>
      <c r="U134" s="2" t="s">
        <v>1743</v>
      </c>
      <c r="V134" s="2">
        <f t="shared" ref="V134:V139" si="40">$E$70</f>
        <v>7.2999999999999995E-2</v>
      </c>
      <c r="W134" s="33">
        <v>1.8</v>
      </c>
      <c r="X134" s="2">
        <f t="shared" ref="X134:X139" si="41">V134*W134</f>
        <v>0.13139999999999999</v>
      </c>
    </row>
    <row r="135" spans="2:25" x14ac:dyDescent="0.3">
      <c r="B135" s="2">
        <v>5</v>
      </c>
      <c r="C135" s="2" t="s">
        <v>534</v>
      </c>
      <c r="D135" s="2" t="str">
        <f>IFERROR(VLOOKUP(C135,[1]坦克个性化设定!$B$18:$E$48,4,FALSE)&amp;VLOOKUP(C135,[1]坦克个性化细分!$I$3:$J$33,2,FALSE),"")</f>
        <v>T3低</v>
      </c>
      <c r="E135" s="2" t="s">
        <v>1743</v>
      </c>
      <c r="F135" s="2">
        <f t="shared" si="34"/>
        <v>3.6999999999999998E-2</v>
      </c>
      <c r="G135" s="33">
        <v>1</v>
      </c>
      <c r="H135" s="2">
        <f t="shared" si="35"/>
        <v>3.6999999999999998E-2</v>
      </c>
      <c r="J135" s="2">
        <v>5</v>
      </c>
      <c r="K135" s="2" t="s">
        <v>534</v>
      </c>
      <c r="L135" s="2" t="str">
        <f>IFERROR(VLOOKUP(K135,[1]坦克个性化设定!$B$18:$E$48,4,FALSE)&amp;VLOOKUP(K135,[1]坦克个性化细分!$I$3:$J$33,2,FALSE),"")</f>
        <v>T3低</v>
      </c>
      <c r="M135" s="2" t="s">
        <v>1743</v>
      </c>
      <c r="N135" s="2">
        <f t="shared" si="36"/>
        <v>3.6999999999999998E-2</v>
      </c>
      <c r="O135" s="33">
        <v>0.6</v>
      </c>
      <c r="P135" s="2">
        <f t="shared" si="37"/>
        <v>2.2199999999999998E-2</v>
      </c>
      <c r="R135" s="2">
        <v>7</v>
      </c>
      <c r="S135" s="2" t="s">
        <v>534</v>
      </c>
      <c r="T135" s="2" t="str">
        <f>IFERROR(VLOOKUP(S135,[1]坦克个性化设定!$B$18:$E$48,4,FALSE)&amp;VLOOKUP(S135,[1]坦克个性化细分!$I$3:$J$33,2,FALSE),"")</f>
        <v>T3低</v>
      </c>
      <c r="U135" s="2" t="s">
        <v>1743</v>
      </c>
      <c r="V135" s="2">
        <f t="shared" si="40"/>
        <v>7.2999999999999995E-2</v>
      </c>
      <c r="W135" s="33">
        <v>1.8</v>
      </c>
      <c r="X135" s="2">
        <f t="shared" si="41"/>
        <v>0.13139999999999999</v>
      </c>
    </row>
    <row r="136" spans="2:25" x14ac:dyDescent="0.3">
      <c r="B136" s="2">
        <v>5</v>
      </c>
      <c r="C136" s="2" t="s">
        <v>538</v>
      </c>
      <c r="D136" s="2" t="str">
        <f>IFERROR(VLOOKUP(C136,[1]坦克个性化设定!$B$18:$E$48,4,FALSE)&amp;VLOOKUP(C136,[1]坦克个性化细分!$I$3:$J$33,2,FALSE),"")</f>
        <v>T3低</v>
      </c>
      <c r="E136" s="2" t="s">
        <v>1743</v>
      </c>
      <c r="F136" s="2">
        <f t="shared" si="34"/>
        <v>3.6999999999999998E-2</v>
      </c>
      <c r="G136" s="33">
        <v>1</v>
      </c>
      <c r="H136" s="2">
        <f t="shared" si="35"/>
        <v>3.6999999999999998E-2</v>
      </c>
      <c r="J136" s="2">
        <v>5</v>
      </c>
      <c r="K136" s="2" t="s">
        <v>538</v>
      </c>
      <c r="L136" s="2" t="str">
        <f>IFERROR(VLOOKUP(K136,[1]坦克个性化设定!$B$18:$E$48,4,FALSE)&amp;VLOOKUP(K136,[1]坦克个性化细分!$I$3:$J$33,2,FALSE),"")</f>
        <v>T3低</v>
      </c>
      <c r="M136" s="2" t="s">
        <v>1743</v>
      </c>
      <c r="N136" s="2">
        <f t="shared" si="36"/>
        <v>3.6999999999999998E-2</v>
      </c>
      <c r="O136" s="33">
        <v>0.6</v>
      </c>
      <c r="P136" s="2">
        <f t="shared" si="37"/>
        <v>2.2199999999999998E-2</v>
      </c>
      <c r="R136" s="2">
        <v>7</v>
      </c>
      <c r="S136" s="2" t="s">
        <v>538</v>
      </c>
      <c r="T136" s="2" t="str">
        <f>IFERROR(VLOOKUP(S136,[1]坦克个性化设定!$B$18:$E$48,4,FALSE)&amp;VLOOKUP(S136,[1]坦克个性化细分!$I$3:$J$33,2,FALSE),"")</f>
        <v>T3低</v>
      </c>
      <c r="U136" s="2" t="s">
        <v>1743</v>
      </c>
      <c r="V136" s="2">
        <f t="shared" si="40"/>
        <v>7.2999999999999995E-2</v>
      </c>
      <c r="W136" s="33">
        <v>1.8</v>
      </c>
      <c r="X136" s="2">
        <f t="shared" si="41"/>
        <v>0.13139999999999999</v>
      </c>
    </row>
    <row r="137" spans="2:25" x14ac:dyDescent="0.3">
      <c r="B137" s="2">
        <v>5</v>
      </c>
      <c r="C137" s="2" t="s">
        <v>620</v>
      </c>
      <c r="D137" s="2" t="str">
        <f>IFERROR(VLOOKUP(C137,[1]坦克个性化设定!$B$18:$E$48,4,FALSE)&amp;VLOOKUP(C137,[1]坦克个性化细分!$I$3:$J$33,2,FALSE),"")</f>
        <v>T3中</v>
      </c>
      <c r="E137" s="2" t="s">
        <v>1743</v>
      </c>
      <c r="F137" s="2">
        <f t="shared" si="34"/>
        <v>3.6999999999999998E-2</v>
      </c>
      <c r="G137" s="33">
        <v>1</v>
      </c>
      <c r="H137" s="2">
        <f t="shared" si="35"/>
        <v>3.6999999999999998E-2</v>
      </c>
      <c r="J137" s="2">
        <v>5</v>
      </c>
      <c r="K137" s="2" t="s">
        <v>620</v>
      </c>
      <c r="L137" s="2" t="str">
        <f>IFERROR(VLOOKUP(K137,[1]坦克个性化设定!$B$18:$E$48,4,FALSE)&amp;VLOOKUP(K137,[1]坦克个性化细分!$I$3:$J$33,2,FALSE),"")</f>
        <v>T3中</v>
      </c>
      <c r="M137" s="2" t="s">
        <v>1743</v>
      </c>
      <c r="N137" s="2">
        <f t="shared" si="36"/>
        <v>3.6999999999999998E-2</v>
      </c>
      <c r="O137" s="33">
        <v>0.6</v>
      </c>
      <c r="P137" s="2">
        <f t="shared" si="37"/>
        <v>2.2199999999999998E-2</v>
      </c>
      <c r="R137" s="2">
        <v>7</v>
      </c>
      <c r="S137" s="2" t="s">
        <v>620</v>
      </c>
      <c r="T137" s="2" t="str">
        <f>IFERROR(VLOOKUP(S137,[1]坦克个性化设定!$B$18:$E$48,4,FALSE)&amp;VLOOKUP(S137,[1]坦克个性化细分!$I$3:$J$33,2,FALSE),"")</f>
        <v>T3中</v>
      </c>
      <c r="U137" s="2" t="s">
        <v>1743</v>
      </c>
      <c r="V137" s="2">
        <f t="shared" si="40"/>
        <v>7.2999999999999995E-2</v>
      </c>
      <c r="W137" s="33">
        <v>1.2</v>
      </c>
      <c r="X137" s="2">
        <f t="shared" si="41"/>
        <v>8.7599999999999997E-2</v>
      </c>
    </row>
    <row r="138" spans="2:25" x14ac:dyDescent="0.3">
      <c r="B138" s="2">
        <v>5</v>
      </c>
      <c r="C138" s="2" t="s">
        <v>639</v>
      </c>
      <c r="D138" s="2" t="str">
        <f>IFERROR(VLOOKUP(C138,[1]坦克个性化设定!$B$18:$E$48,4,FALSE)&amp;VLOOKUP(C138,[1]坦克个性化细分!$I$3:$J$33,2,FALSE),"")</f>
        <v>T3中</v>
      </c>
      <c r="E138" s="2" t="s">
        <v>1743</v>
      </c>
      <c r="F138" s="2">
        <f t="shared" si="34"/>
        <v>3.6999999999999998E-2</v>
      </c>
      <c r="G138" s="33">
        <v>1</v>
      </c>
      <c r="H138" s="2">
        <f t="shared" si="35"/>
        <v>3.6999999999999998E-2</v>
      </c>
      <c r="J138" s="2">
        <v>5</v>
      </c>
      <c r="K138" s="2" t="s">
        <v>639</v>
      </c>
      <c r="L138" s="2" t="str">
        <f>IFERROR(VLOOKUP(K138,[1]坦克个性化设定!$B$18:$E$48,4,FALSE)&amp;VLOOKUP(K138,[1]坦克个性化细分!$I$3:$J$33,2,FALSE),"")</f>
        <v>T3中</v>
      </c>
      <c r="M138" s="2" t="s">
        <v>1743</v>
      </c>
      <c r="N138" s="2">
        <f t="shared" si="36"/>
        <v>3.6999999999999998E-2</v>
      </c>
      <c r="O138" s="33">
        <v>0.6</v>
      </c>
      <c r="P138" s="2">
        <f t="shared" si="37"/>
        <v>2.2199999999999998E-2</v>
      </c>
      <c r="R138" s="2">
        <v>7</v>
      </c>
      <c r="S138" s="2" t="s">
        <v>639</v>
      </c>
      <c r="T138" s="2" t="str">
        <f>IFERROR(VLOOKUP(S138,[1]坦克个性化设定!$B$18:$E$48,4,FALSE)&amp;VLOOKUP(S138,[1]坦克个性化细分!$I$3:$J$33,2,FALSE),"")</f>
        <v>T3中</v>
      </c>
      <c r="U138" s="2" t="s">
        <v>1743</v>
      </c>
      <c r="V138" s="2">
        <f t="shared" si="40"/>
        <v>7.2999999999999995E-2</v>
      </c>
      <c r="W138" s="33">
        <v>1.2</v>
      </c>
      <c r="X138" s="2">
        <f t="shared" si="41"/>
        <v>8.7599999999999997E-2</v>
      </c>
    </row>
    <row r="139" spans="2:25" x14ac:dyDescent="0.3">
      <c r="B139" s="2">
        <v>5</v>
      </c>
      <c r="C139" s="2" t="s">
        <v>658</v>
      </c>
      <c r="D139" s="2" t="str">
        <f>IFERROR(VLOOKUP(C139,[1]坦克个性化设定!$B$18:$E$48,4,FALSE)&amp;VLOOKUP(C139,[1]坦克个性化细分!$I$3:$J$33,2,FALSE),"")</f>
        <v>T3中</v>
      </c>
      <c r="E139" s="2" t="s">
        <v>1743</v>
      </c>
      <c r="F139" s="2">
        <f t="shared" si="34"/>
        <v>3.6999999999999998E-2</v>
      </c>
      <c r="G139" s="33">
        <v>1</v>
      </c>
      <c r="H139" s="2">
        <f t="shared" si="35"/>
        <v>3.6999999999999998E-2</v>
      </c>
      <c r="J139" s="2">
        <v>5</v>
      </c>
      <c r="K139" s="2" t="s">
        <v>658</v>
      </c>
      <c r="L139" s="2" t="str">
        <f>IFERROR(VLOOKUP(K139,[1]坦克个性化设定!$B$18:$E$48,4,FALSE)&amp;VLOOKUP(K139,[1]坦克个性化细分!$I$3:$J$33,2,FALSE),"")</f>
        <v>T3中</v>
      </c>
      <c r="M139" s="2" t="s">
        <v>1743</v>
      </c>
      <c r="N139" s="2">
        <f t="shared" si="36"/>
        <v>3.6999999999999998E-2</v>
      </c>
      <c r="O139" s="33">
        <v>0.6</v>
      </c>
      <c r="P139" s="2">
        <f t="shared" si="37"/>
        <v>2.2199999999999998E-2</v>
      </c>
      <c r="R139" s="2">
        <v>7</v>
      </c>
      <c r="S139" s="2" t="s">
        <v>658</v>
      </c>
      <c r="T139" s="2" t="str">
        <f>IFERROR(VLOOKUP(S139,[1]坦克个性化设定!$B$18:$E$48,4,FALSE)&amp;VLOOKUP(S139,[1]坦克个性化细分!$I$3:$J$33,2,FALSE),"")</f>
        <v>T3中</v>
      </c>
      <c r="U139" s="2" t="s">
        <v>1743</v>
      </c>
      <c r="V139" s="2">
        <f t="shared" si="40"/>
        <v>7.2999999999999995E-2</v>
      </c>
      <c r="W139" s="33">
        <v>1.2</v>
      </c>
      <c r="X139" s="2">
        <f t="shared" si="41"/>
        <v>8.7599999999999997E-2</v>
      </c>
    </row>
    <row r="142" spans="2:25" x14ac:dyDescent="0.3">
      <c r="B142" s="2" t="s">
        <v>385</v>
      </c>
      <c r="C142" s="2" t="s">
        <v>1800</v>
      </c>
      <c r="D142" s="2" t="s">
        <v>901</v>
      </c>
      <c r="E142" s="2" t="s">
        <v>3507</v>
      </c>
      <c r="F142" s="2" t="s">
        <v>3504</v>
      </c>
      <c r="G142" s="2" t="s">
        <v>379</v>
      </c>
      <c r="H142" s="2" t="s">
        <v>3508</v>
      </c>
      <c r="I142" s="1">
        <f>SUM(H143:H157)</f>
        <v>0.66600000000000004</v>
      </c>
      <c r="J142" s="2" t="s">
        <v>385</v>
      </c>
      <c r="K142" s="2" t="s">
        <v>1800</v>
      </c>
      <c r="L142" s="2" t="s">
        <v>901</v>
      </c>
      <c r="M142" s="2" t="s">
        <v>3507</v>
      </c>
      <c r="N142" s="2" t="s">
        <v>3504</v>
      </c>
      <c r="O142" s="2" t="s">
        <v>379</v>
      </c>
      <c r="P142" s="2" t="s">
        <v>3508</v>
      </c>
      <c r="Q142" s="1">
        <f>SUM(P143:P154)</f>
        <v>0.59939999999999993</v>
      </c>
      <c r="R142" s="2" t="s">
        <v>385</v>
      </c>
      <c r="S142" s="2" t="s">
        <v>1800</v>
      </c>
      <c r="T142" s="2" t="s">
        <v>901</v>
      </c>
      <c r="U142" s="2" t="s">
        <v>3507</v>
      </c>
      <c r="V142" s="2" t="s">
        <v>3504</v>
      </c>
      <c r="W142" s="2" t="s">
        <v>379</v>
      </c>
      <c r="X142" s="2" t="s">
        <v>3508</v>
      </c>
      <c r="Y142" s="1">
        <f>SUM(X143:X150)</f>
        <v>0.65700000000000003</v>
      </c>
    </row>
    <row r="143" spans="2:25" x14ac:dyDescent="0.3">
      <c r="B143" s="2">
        <v>6</v>
      </c>
      <c r="C143" s="2" t="s">
        <v>530</v>
      </c>
      <c r="D143" s="2" t="str">
        <f>IFERROR(VLOOKUP(C143,[1]坦克个性化设定!$B$18:$E$48,4,FALSE)&amp;VLOOKUP(C143,[1]坦克个性化细分!$I$3:$J$33,2,FALSE),"")</f>
        <v>T3低</v>
      </c>
      <c r="E143" s="2" t="s">
        <v>328</v>
      </c>
      <c r="F143" s="2">
        <f t="shared" ref="F143:F157" si="42">$E$69</f>
        <v>3.6999999999999998E-2</v>
      </c>
      <c r="G143" s="33">
        <v>1.6</v>
      </c>
      <c r="H143" s="2">
        <f t="shared" ref="H143:H157" si="43">F143*G143</f>
        <v>5.9200000000000003E-2</v>
      </c>
      <c r="J143" s="2">
        <v>6</v>
      </c>
      <c r="K143" s="2" t="s">
        <v>530</v>
      </c>
      <c r="L143" s="2" t="str">
        <f>IFERROR(VLOOKUP(K143,[1]坦克个性化设定!$B$18:$E$48,4,FALSE)&amp;VLOOKUP(K143,[1]坦克个性化细分!$I$3:$J$33,2,FALSE),"")</f>
        <v>T3低</v>
      </c>
      <c r="M143" s="2" t="s">
        <v>328</v>
      </c>
      <c r="N143" s="2">
        <f t="shared" ref="N143:N154" si="44">$E$69</f>
        <v>3.6999999999999998E-2</v>
      </c>
      <c r="O143" s="33">
        <v>1.8</v>
      </c>
      <c r="P143" s="2">
        <f t="shared" ref="P143:P154" si="45">N143*O143</f>
        <v>6.6599999999999993E-2</v>
      </c>
      <c r="R143" s="2">
        <v>8</v>
      </c>
      <c r="S143" s="2" t="s">
        <v>620</v>
      </c>
      <c r="T143" s="2" t="str">
        <f>IFERROR(VLOOKUP(S143,[1]坦克个性化设定!$B$18:$E$48,4,FALSE)&amp;VLOOKUP(S143,[1]坦克个性化细分!$I$3:$J$33,2,FALSE),"")</f>
        <v>T3中</v>
      </c>
      <c r="U143" s="2" t="s">
        <v>1743</v>
      </c>
      <c r="V143" s="2">
        <f t="shared" ref="V143:V150" si="46">$E$70</f>
        <v>7.2999999999999995E-2</v>
      </c>
      <c r="W143" s="33">
        <v>1.4</v>
      </c>
      <c r="X143" s="2">
        <f t="shared" ref="X143:X150" si="47">V143*W143</f>
        <v>0.10219999999999999</v>
      </c>
    </row>
    <row r="144" spans="2:25" x14ac:dyDescent="0.3">
      <c r="B144" s="2">
        <v>6</v>
      </c>
      <c r="C144" s="2" t="s">
        <v>534</v>
      </c>
      <c r="D144" s="2" t="str">
        <f>IFERROR(VLOOKUP(C144,[1]坦克个性化设定!$B$18:$E$48,4,FALSE)&amp;VLOOKUP(C144,[1]坦克个性化细分!$I$3:$J$33,2,FALSE),"")</f>
        <v>T3低</v>
      </c>
      <c r="E144" s="2" t="s">
        <v>328</v>
      </c>
      <c r="F144" s="2">
        <f t="shared" si="42"/>
        <v>3.6999999999999998E-2</v>
      </c>
      <c r="G144" s="33">
        <v>1.6</v>
      </c>
      <c r="H144" s="2">
        <f t="shared" si="43"/>
        <v>5.9200000000000003E-2</v>
      </c>
      <c r="J144" s="2">
        <v>6</v>
      </c>
      <c r="K144" s="2" t="s">
        <v>534</v>
      </c>
      <c r="L144" s="2" t="str">
        <f>IFERROR(VLOOKUP(K144,[1]坦克个性化设定!$B$18:$E$48,4,FALSE)&amp;VLOOKUP(K144,[1]坦克个性化细分!$I$3:$J$33,2,FALSE),"")</f>
        <v>T3低</v>
      </c>
      <c r="M144" s="2" t="s">
        <v>328</v>
      </c>
      <c r="N144" s="2">
        <f t="shared" si="44"/>
        <v>3.6999999999999998E-2</v>
      </c>
      <c r="O144" s="33">
        <v>1.8</v>
      </c>
      <c r="P144" s="2">
        <f t="shared" si="45"/>
        <v>6.6599999999999993E-2</v>
      </c>
      <c r="R144" s="2">
        <v>8</v>
      </c>
      <c r="S144" s="2" t="s">
        <v>639</v>
      </c>
      <c r="T144" s="2" t="str">
        <f>IFERROR(VLOOKUP(S144,[1]坦克个性化设定!$B$18:$E$48,4,FALSE)&amp;VLOOKUP(S144,[1]坦克个性化细分!$I$3:$J$33,2,FALSE),"")</f>
        <v>T3中</v>
      </c>
      <c r="U144" s="2" t="s">
        <v>1743</v>
      </c>
      <c r="V144" s="2">
        <f t="shared" si="46"/>
        <v>7.2999999999999995E-2</v>
      </c>
      <c r="W144" s="33">
        <v>1.4</v>
      </c>
      <c r="X144" s="2">
        <f t="shared" si="47"/>
        <v>0.10219999999999999</v>
      </c>
    </row>
    <row r="145" spans="2:25" x14ac:dyDescent="0.3">
      <c r="B145" s="2">
        <v>6</v>
      </c>
      <c r="C145" s="2" t="s">
        <v>538</v>
      </c>
      <c r="D145" s="2" t="str">
        <f>IFERROR(VLOOKUP(C145,[1]坦克个性化设定!$B$18:$E$48,4,FALSE)&amp;VLOOKUP(C145,[1]坦克个性化细分!$I$3:$J$33,2,FALSE),"")</f>
        <v>T3低</v>
      </c>
      <c r="E145" s="2" t="s">
        <v>328</v>
      </c>
      <c r="F145" s="2">
        <f t="shared" si="42"/>
        <v>3.6999999999999998E-2</v>
      </c>
      <c r="G145" s="33">
        <v>1.6</v>
      </c>
      <c r="H145" s="2">
        <f t="shared" si="43"/>
        <v>5.9200000000000003E-2</v>
      </c>
      <c r="J145" s="2">
        <v>6</v>
      </c>
      <c r="K145" s="2" t="s">
        <v>538</v>
      </c>
      <c r="L145" s="2" t="str">
        <f>IFERROR(VLOOKUP(K145,[1]坦克个性化设定!$B$18:$E$48,4,FALSE)&amp;VLOOKUP(K145,[1]坦克个性化细分!$I$3:$J$33,2,FALSE),"")</f>
        <v>T3低</v>
      </c>
      <c r="M145" s="2" t="s">
        <v>328</v>
      </c>
      <c r="N145" s="2">
        <f t="shared" si="44"/>
        <v>3.6999999999999998E-2</v>
      </c>
      <c r="O145" s="33">
        <v>1.8</v>
      </c>
      <c r="P145" s="2">
        <f t="shared" si="45"/>
        <v>6.6599999999999993E-2</v>
      </c>
      <c r="R145" s="2">
        <v>8</v>
      </c>
      <c r="S145" s="2" t="s">
        <v>658</v>
      </c>
      <c r="T145" s="2" t="str">
        <f>IFERROR(VLOOKUP(S145,[1]坦克个性化设定!$B$18:$E$48,4,FALSE)&amp;VLOOKUP(S145,[1]坦克个性化细分!$I$3:$J$33,2,FALSE),"")</f>
        <v>T3中</v>
      </c>
      <c r="U145" s="2" t="s">
        <v>1743</v>
      </c>
      <c r="V145" s="2">
        <f t="shared" si="46"/>
        <v>7.2999999999999995E-2</v>
      </c>
      <c r="W145" s="33">
        <v>1.4</v>
      </c>
      <c r="X145" s="2">
        <f t="shared" si="47"/>
        <v>0.10219999999999999</v>
      </c>
    </row>
    <row r="146" spans="2:25" x14ac:dyDescent="0.3">
      <c r="B146" s="2">
        <v>6</v>
      </c>
      <c r="C146" s="2" t="s">
        <v>524</v>
      </c>
      <c r="D146" s="2" t="str">
        <f>IFERROR(VLOOKUP(C146,[1]坦克个性化设定!$B$18:$E$48,4,FALSE)&amp;VLOOKUP(C146,[1]坦克个性化细分!$I$3:$J$33,2,FALSE),"")</f>
        <v>T2低</v>
      </c>
      <c r="E146" s="2" t="s">
        <v>1743</v>
      </c>
      <c r="F146" s="2">
        <f t="shared" si="42"/>
        <v>3.6999999999999998E-2</v>
      </c>
      <c r="G146" s="33">
        <v>1.4</v>
      </c>
      <c r="H146" s="2">
        <f t="shared" si="43"/>
        <v>5.1799999999999992E-2</v>
      </c>
      <c r="J146" s="2">
        <v>6</v>
      </c>
      <c r="K146" s="2" t="s">
        <v>620</v>
      </c>
      <c r="L146" s="2" t="str">
        <f>IFERROR(VLOOKUP(K146,[1]坦克个性化设定!$B$18:$E$48,4,FALSE)&amp;VLOOKUP(K146,[1]坦克个性化细分!$I$3:$J$33,2,FALSE),"")</f>
        <v>T3中</v>
      </c>
      <c r="M146" s="2" t="s">
        <v>328</v>
      </c>
      <c r="N146" s="2">
        <f t="shared" si="44"/>
        <v>3.6999999999999998E-2</v>
      </c>
      <c r="O146" s="33">
        <v>1.8</v>
      </c>
      <c r="P146" s="2">
        <f t="shared" si="45"/>
        <v>6.6599999999999993E-2</v>
      </c>
      <c r="R146" s="2">
        <v>8</v>
      </c>
      <c r="S146" s="2" t="s">
        <v>624</v>
      </c>
      <c r="T146" s="2" t="str">
        <f>IFERROR(VLOOKUP(S146,[1]坦克个性化设定!$B$18:$E$48,4,FALSE)&amp;VLOOKUP(S146,[1]坦克个性化细分!$I$3:$J$33,2,FALSE),"")</f>
        <v>T4低</v>
      </c>
      <c r="U146" s="2" t="s">
        <v>1743</v>
      </c>
      <c r="V146" s="2">
        <f t="shared" si="46"/>
        <v>7.2999999999999995E-2</v>
      </c>
      <c r="W146" s="33">
        <v>0.96</v>
      </c>
      <c r="X146" s="2">
        <f t="shared" si="47"/>
        <v>7.007999999999999E-2</v>
      </c>
    </row>
    <row r="147" spans="2:25" x14ac:dyDescent="0.3">
      <c r="B147" s="2">
        <v>6</v>
      </c>
      <c r="C147" s="2" t="s">
        <v>526</v>
      </c>
      <c r="D147" s="2" t="str">
        <f>IFERROR(VLOOKUP(C147,[1]坦克个性化设定!$B$18:$E$48,4,FALSE)&amp;VLOOKUP(C147,[1]坦克个性化细分!$I$3:$J$33,2,FALSE),"")</f>
        <v>T2低</v>
      </c>
      <c r="E147" s="2" t="s">
        <v>1743</v>
      </c>
      <c r="F147" s="2">
        <f t="shared" si="42"/>
        <v>3.6999999999999998E-2</v>
      </c>
      <c r="G147" s="33">
        <v>1.4</v>
      </c>
      <c r="H147" s="2">
        <f t="shared" si="43"/>
        <v>5.1799999999999992E-2</v>
      </c>
      <c r="J147" s="2">
        <v>6</v>
      </c>
      <c r="K147" s="2" t="s">
        <v>639</v>
      </c>
      <c r="L147" s="2" t="str">
        <f>IFERROR(VLOOKUP(K147,[1]坦克个性化设定!$B$18:$E$48,4,FALSE)&amp;VLOOKUP(K147,[1]坦克个性化细分!$I$3:$J$33,2,FALSE),"")</f>
        <v>T3中</v>
      </c>
      <c r="M147" s="2" t="s">
        <v>328</v>
      </c>
      <c r="N147" s="2">
        <f t="shared" si="44"/>
        <v>3.6999999999999998E-2</v>
      </c>
      <c r="O147" s="33">
        <v>1.8</v>
      </c>
      <c r="P147" s="2">
        <f t="shared" si="45"/>
        <v>6.6599999999999993E-2</v>
      </c>
      <c r="R147" s="2">
        <v>8</v>
      </c>
      <c r="S147" s="2" t="s">
        <v>643</v>
      </c>
      <c r="T147" s="2" t="str">
        <f>IFERROR(VLOOKUP(S147,[1]坦克个性化设定!$B$18:$E$48,4,FALSE)&amp;VLOOKUP(S147,[1]坦克个性化细分!$I$3:$J$33,2,FALSE),"")</f>
        <v>T4低</v>
      </c>
      <c r="U147" s="2" t="s">
        <v>1743</v>
      </c>
      <c r="V147" s="2">
        <f t="shared" si="46"/>
        <v>7.2999999999999995E-2</v>
      </c>
      <c r="W147" s="33">
        <v>0.96</v>
      </c>
      <c r="X147" s="2">
        <f t="shared" si="47"/>
        <v>7.007999999999999E-2</v>
      </c>
    </row>
    <row r="148" spans="2:25" x14ac:dyDescent="0.3">
      <c r="B148" s="2">
        <v>6</v>
      </c>
      <c r="C148" s="2" t="s">
        <v>653</v>
      </c>
      <c r="D148" s="2" t="str">
        <f>IFERROR(VLOOKUP(C148,[1]坦克个性化设定!$B$18:$E$48,4,FALSE)&amp;VLOOKUP(C148,[1]坦克个性化细分!$I$3:$J$33,2,FALSE),"")</f>
        <v>T2低</v>
      </c>
      <c r="E148" s="2" t="s">
        <v>1743</v>
      </c>
      <c r="F148" s="2">
        <f t="shared" si="42"/>
        <v>3.6999999999999998E-2</v>
      </c>
      <c r="G148" s="33">
        <v>1.4</v>
      </c>
      <c r="H148" s="2">
        <f t="shared" si="43"/>
        <v>5.1799999999999992E-2</v>
      </c>
      <c r="J148" s="2">
        <v>6</v>
      </c>
      <c r="K148" s="2" t="s">
        <v>658</v>
      </c>
      <c r="L148" s="2" t="str">
        <f>IFERROR(VLOOKUP(K148,[1]坦克个性化设定!$B$18:$E$48,4,FALSE)&amp;VLOOKUP(K148,[1]坦克个性化细分!$I$3:$J$33,2,FALSE),"")</f>
        <v>T3中</v>
      </c>
      <c r="M148" s="2" t="s">
        <v>328</v>
      </c>
      <c r="N148" s="2">
        <f t="shared" si="44"/>
        <v>3.6999999999999998E-2</v>
      </c>
      <c r="O148" s="33">
        <v>1.8</v>
      </c>
      <c r="P148" s="2">
        <f t="shared" si="45"/>
        <v>6.6599999999999993E-2</v>
      </c>
      <c r="R148" s="2">
        <v>8</v>
      </c>
      <c r="S148" s="2" t="s">
        <v>662</v>
      </c>
      <c r="T148" s="2" t="str">
        <f>IFERROR(VLOOKUP(S148,[1]坦克个性化设定!$B$18:$E$48,4,FALSE)&amp;VLOOKUP(S148,[1]坦克个性化细分!$I$3:$J$33,2,FALSE),"")</f>
        <v>T4低</v>
      </c>
      <c r="U148" s="2" t="s">
        <v>1743</v>
      </c>
      <c r="V148" s="2">
        <f t="shared" si="46"/>
        <v>7.2999999999999995E-2</v>
      </c>
      <c r="W148" s="33">
        <v>0.96</v>
      </c>
      <c r="X148" s="2">
        <f t="shared" si="47"/>
        <v>7.007999999999999E-2</v>
      </c>
    </row>
    <row r="149" spans="2:25" x14ac:dyDescent="0.3">
      <c r="B149" s="2">
        <v>6</v>
      </c>
      <c r="C149" s="2" t="s">
        <v>616</v>
      </c>
      <c r="D149" s="2" t="str">
        <f>IFERROR(VLOOKUP(C149,[1]坦克个性化设定!$B$18:$E$48,4,FALSE)&amp;VLOOKUP(C149,[1]坦克个性化细分!$I$3:$J$33,2,FALSE),"")</f>
        <v>T2中</v>
      </c>
      <c r="E149" s="2" t="s">
        <v>1743</v>
      </c>
      <c r="F149" s="2">
        <f t="shared" si="42"/>
        <v>3.6999999999999998E-2</v>
      </c>
      <c r="G149" s="33">
        <v>1</v>
      </c>
      <c r="H149" s="2">
        <f t="shared" si="43"/>
        <v>3.6999999999999998E-2</v>
      </c>
      <c r="J149" s="2">
        <v>6</v>
      </c>
      <c r="K149" s="2" t="s">
        <v>530</v>
      </c>
      <c r="L149" s="2" t="str">
        <f>IFERROR(VLOOKUP(K149,[1]坦克个性化设定!$B$18:$E$48,4,FALSE)&amp;VLOOKUP(K149,[1]坦克个性化细分!$I$3:$J$33,2,FALSE),"")</f>
        <v>T3低</v>
      </c>
      <c r="M149" s="2" t="s">
        <v>1743</v>
      </c>
      <c r="N149" s="2">
        <f t="shared" si="44"/>
        <v>3.6999999999999998E-2</v>
      </c>
      <c r="O149" s="33">
        <v>0.9</v>
      </c>
      <c r="P149" s="2">
        <f t="shared" si="45"/>
        <v>3.3299999999999996E-2</v>
      </c>
      <c r="R149" s="2">
        <v>8</v>
      </c>
      <c r="S149" s="2" t="s">
        <v>627</v>
      </c>
      <c r="T149" s="2" t="str">
        <f>IFERROR(VLOOKUP(S149,[1]坦克个性化设定!$B$18:$E$48,4,FALSE)&amp;VLOOKUP(S149,[1]坦克个性化细分!$I$3:$J$33,2,FALSE),"")</f>
        <v>T4中</v>
      </c>
      <c r="U149" s="2" t="s">
        <v>1743</v>
      </c>
      <c r="V149" s="2">
        <f t="shared" si="46"/>
        <v>7.2999999999999995E-2</v>
      </c>
      <c r="W149" s="33">
        <v>0.96</v>
      </c>
      <c r="X149" s="2">
        <f t="shared" si="47"/>
        <v>7.007999999999999E-2</v>
      </c>
    </row>
    <row r="150" spans="2:25" x14ac:dyDescent="0.3">
      <c r="B150" s="2">
        <v>6</v>
      </c>
      <c r="C150" s="2" t="s">
        <v>636</v>
      </c>
      <c r="D150" s="2" t="str">
        <f>IFERROR(VLOOKUP(C150,[1]坦克个性化设定!$B$18:$E$48,4,FALSE)&amp;VLOOKUP(C150,[1]坦克个性化细分!$I$3:$J$33,2,FALSE),"")</f>
        <v>T2中</v>
      </c>
      <c r="E150" s="2" t="s">
        <v>1743</v>
      </c>
      <c r="F150" s="2">
        <f t="shared" si="42"/>
        <v>3.6999999999999998E-2</v>
      </c>
      <c r="G150" s="33">
        <v>1</v>
      </c>
      <c r="H150" s="2">
        <f t="shared" si="43"/>
        <v>3.6999999999999998E-2</v>
      </c>
      <c r="J150" s="2">
        <v>6</v>
      </c>
      <c r="K150" s="2" t="s">
        <v>534</v>
      </c>
      <c r="L150" s="2" t="str">
        <f>IFERROR(VLOOKUP(K150,[1]坦克个性化设定!$B$18:$E$48,4,FALSE)&amp;VLOOKUP(K150,[1]坦克个性化细分!$I$3:$J$33,2,FALSE),"")</f>
        <v>T3低</v>
      </c>
      <c r="M150" s="2" t="s">
        <v>1743</v>
      </c>
      <c r="N150" s="2">
        <f t="shared" si="44"/>
        <v>3.6999999999999998E-2</v>
      </c>
      <c r="O150" s="33">
        <v>0.9</v>
      </c>
      <c r="P150" s="2">
        <f t="shared" si="45"/>
        <v>3.3299999999999996E-2</v>
      </c>
      <c r="R150" s="2">
        <v>8</v>
      </c>
      <c r="S150" s="2" t="s">
        <v>629</v>
      </c>
      <c r="T150" s="2" t="str">
        <f>IFERROR(VLOOKUP(S150,[1]坦克个性化设定!$B$18:$E$48,4,FALSE)&amp;VLOOKUP(S150,[1]坦克个性化细分!$I$3:$J$33,2,FALSE),"")</f>
        <v>T4高</v>
      </c>
      <c r="U150" s="2" t="s">
        <v>1743</v>
      </c>
      <c r="V150" s="2">
        <f t="shared" si="46"/>
        <v>7.2999999999999995E-2</v>
      </c>
      <c r="W150" s="33">
        <v>0.96</v>
      </c>
      <c r="X150" s="2">
        <f t="shared" si="47"/>
        <v>7.007999999999999E-2</v>
      </c>
    </row>
    <row r="151" spans="2:25" x14ac:dyDescent="0.3">
      <c r="B151" s="2">
        <v>6</v>
      </c>
      <c r="C151" s="2" t="s">
        <v>655</v>
      </c>
      <c r="D151" s="2" t="str">
        <f>IFERROR(VLOOKUP(C151,[1]坦克个性化设定!$B$18:$E$48,4,FALSE)&amp;VLOOKUP(C151,[1]坦克个性化细分!$I$3:$J$33,2,FALSE),"")</f>
        <v>T2中</v>
      </c>
      <c r="E151" s="2" t="s">
        <v>1743</v>
      </c>
      <c r="F151" s="2">
        <f t="shared" si="42"/>
        <v>3.6999999999999998E-2</v>
      </c>
      <c r="G151" s="33">
        <v>1</v>
      </c>
      <c r="H151" s="2">
        <f t="shared" si="43"/>
        <v>3.6999999999999998E-2</v>
      </c>
      <c r="J151" s="2">
        <v>6</v>
      </c>
      <c r="K151" s="2" t="s">
        <v>538</v>
      </c>
      <c r="L151" s="2" t="str">
        <f>IFERROR(VLOOKUP(K151,[1]坦克个性化设定!$B$18:$E$48,4,FALSE)&amp;VLOOKUP(K151,[1]坦克个性化细分!$I$3:$J$33,2,FALSE),"")</f>
        <v>T3低</v>
      </c>
      <c r="M151" s="2" t="s">
        <v>1743</v>
      </c>
      <c r="N151" s="2">
        <f t="shared" si="44"/>
        <v>3.6999999999999998E-2</v>
      </c>
      <c r="O151" s="33">
        <v>0.9</v>
      </c>
      <c r="P151" s="2">
        <f t="shared" si="45"/>
        <v>3.3299999999999996E-2</v>
      </c>
    </row>
    <row r="152" spans="2:25" x14ac:dyDescent="0.3">
      <c r="B152" s="2">
        <v>6</v>
      </c>
      <c r="C152" s="2" t="s">
        <v>530</v>
      </c>
      <c r="D152" s="2" t="str">
        <f>IFERROR(VLOOKUP(C152,[1]坦克个性化设定!$B$18:$E$48,4,FALSE)&amp;VLOOKUP(C152,[1]坦克个性化细分!$I$3:$J$33,2,FALSE),"")</f>
        <v>T3低</v>
      </c>
      <c r="E152" s="2" t="s">
        <v>1743</v>
      </c>
      <c r="F152" s="2">
        <f t="shared" si="42"/>
        <v>3.6999999999999998E-2</v>
      </c>
      <c r="G152" s="33">
        <v>1</v>
      </c>
      <c r="H152" s="2">
        <f t="shared" si="43"/>
        <v>3.6999999999999998E-2</v>
      </c>
      <c r="J152" s="2">
        <v>6</v>
      </c>
      <c r="K152" s="2" t="s">
        <v>620</v>
      </c>
      <c r="L152" s="2" t="str">
        <f>IFERROR(VLOOKUP(K152,[1]坦克个性化设定!$B$18:$E$48,4,FALSE)&amp;VLOOKUP(K152,[1]坦克个性化细分!$I$3:$J$33,2,FALSE),"")</f>
        <v>T3中</v>
      </c>
      <c r="M152" s="2" t="s">
        <v>1743</v>
      </c>
      <c r="N152" s="2">
        <f t="shared" si="44"/>
        <v>3.6999999999999998E-2</v>
      </c>
      <c r="O152" s="33">
        <v>0.9</v>
      </c>
      <c r="P152" s="2">
        <f t="shared" si="45"/>
        <v>3.3299999999999996E-2</v>
      </c>
    </row>
    <row r="153" spans="2:25" x14ac:dyDescent="0.3">
      <c r="B153" s="2">
        <v>6</v>
      </c>
      <c r="C153" s="2" t="s">
        <v>534</v>
      </c>
      <c r="D153" s="2" t="str">
        <f>IFERROR(VLOOKUP(C153,[1]坦克个性化设定!$B$18:$E$48,4,FALSE)&amp;VLOOKUP(C153,[1]坦克个性化细分!$I$3:$J$33,2,FALSE),"")</f>
        <v>T3低</v>
      </c>
      <c r="E153" s="2" t="s">
        <v>1743</v>
      </c>
      <c r="F153" s="2">
        <f t="shared" si="42"/>
        <v>3.6999999999999998E-2</v>
      </c>
      <c r="G153" s="33">
        <v>1</v>
      </c>
      <c r="H153" s="2">
        <f t="shared" si="43"/>
        <v>3.6999999999999998E-2</v>
      </c>
      <c r="J153" s="2">
        <v>6</v>
      </c>
      <c r="K153" s="2" t="s">
        <v>639</v>
      </c>
      <c r="L153" s="2" t="str">
        <f>IFERROR(VLOOKUP(K153,[1]坦克个性化设定!$B$18:$E$48,4,FALSE)&amp;VLOOKUP(K153,[1]坦克个性化细分!$I$3:$J$33,2,FALSE),"")</f>
        <v>T3中</v>
      </c>
      <c r="M153" s="2" t="s">
        <v>1743</v>
      </c>
      <c r="N153" s="2">
        <f t="shared" si="44"/>
        <v>3.6999999999999998E-2</v>
      </c>
      <c r="O153" s="33">
        <v>0.9</v>
      </c>
      <c r="P153" s="2">
        <f t="shared" si="45"/>
        <v>3.3299999999999996E-2</v>
      </c>
      <c r="R153" s="2" t="s">
        <v>385</v>
      </c>
      <c r="S153" s="2" t="s">
        <v>1800</v>
      </c>
      <c r="T153" s="2" t="s">
        <v>901</v>
      </c>
      <c r="U153" s="2" t="s">
        <v>3507</v>
      </c>
      <c r="V153" s="2" t="s">
        <v>3504</v>
      </c>
      <c r="W153" s="2" t="s">
        <v>379</v>
      </c>
      <c r="X153" s="2" t="s">
        <v>3508</v>
      </c>
      <c r="Y153" s="1">
        <f>SUM(X154:X160)</f>
        <v>0.51100000000000001</v>
      </c>
    </row>
    <row r="154" spans="2:25" x14ac:dyDescent="0.3">
      <c r="B154" s="2">
        <v>6</v>
      </c>
      <c r="C154" s="2" t="s">
        <v>538</v>
      </c>
      <c r="D154" s="2" t="str">
        <f>IFERROR(VLOOKUP(C154,[1]坦克个性化设定!$B$18:$E$48,4,FALSE)&amp;VLOOKUP(C154,[1]坦克个性化细分!$I$3:$J$33,2,FALSE),"")</f>
        <v>T3低</v>
      </c>
      <c r="E154" s="2" t="s">
        <v>1743</v>
      </c>
      <c r="F154" s="2">
        <f t="shared" si="42"/>
        <v>3.6999999999999998E-2</v>
      </c>
      <c r="G154" s="33">
        <v>1</v>
      </c>
      <c r="H154" s="2">
        <f t="shared" si="43"/>
        <v>3.6999999999999998E-2</v>
      </c>
      <c r="J154" s="2">
        <v>6</v>
      </c>
      <c r="K154" s="2" t="s">
        <v>658</v>
      </c>
      <c r="L154" s="2" t="str">
        <f>IFERROR(VLOOKUP(K154,[1]坦克个性化设定!$B$18:$E$48,4,FALSE)&amp;VLOOKUP(K154,[1]坦克个性化细分!$I$3:$J$33,2,FALSE),"")</f>
        <v>T3中</v>
      </c>
      <c r="M154" s="2" t="s">
        <v>1743</v>
      </c>
      <c r="N154" s="2">
        <f t="shared" si="44"/>
        <v>3.6999999999999998E-2</v>
      </c>
      <c r="O154" s="33">
        <v>0.9</v>
      </c>
      <c r="P154" s="2">
        <f t="shared" si="45"/>
        <v>3.3299999999999996E-2</v>
      </c>
      <c r="R154" s="2">
        <v>9</v>
      </c>
      <c r="S154" s="2" t="s">
        <v>624</v>
      </c>
      <c r="T154" s="2" t="str">
        <f>IFERROR(VLOOKUP(S154,[1]坦克个性化设定!$B$18:$E$48,4,FALSE)&amp;VLOOKUP(S154,[1]坦克个性化细分!$I$3:$J$33,2,FALSE),"")</f>
        <v>T4低</v>
      </c>
      <c r="U154" s="2" t="s">
        <v>1743</v>
      </c>
      <c r="V154" s="2">
        <f t="shared" ref="V154:V160" si="48">$E$70</f>
        <v>7.2999999999999995E-2</v>
      </c>
      <c r="W154" s="33">
        <v>1</v>
      </c>
      <c r="X154" s="2">
        <f t="shared" ref="X154:X160" si="49">V154*W154</f>
        <v>7.2999999999999995E-2</v>
      </c>
    </row>
    <row r="155" spans="2:25" x14ac:dyDescent="0.3">
      <c r="B155" s="2">
        <v>6</v>
      </c>
      <c r="C155" s="2" t="s">
        <v>620</v>
      </c>
      <c r="D155" s="2" t="str">
        <f>IFERROR(VLOOKUP(C155,[1]坦克个性化设定!$B$18:$E$48,4,FALSE)&amp;VLOOKUP(C155,[1]坦克个性化细分!$I$3:$J$33,2,FALSE),"")</f>
        <v>T3中</v>
      </c>
      <c r="E155" s="2" t="s">
        <v>1743</v>
      </c>
      <c r="F155" s="2">
        <f t="shared" si="42"/>
        <v>3.6999999999999998E-2</v>
      </c>
      <c r="G155" s="33">
        <v>1</v>
      </c>
      <c r="H155" s="2">
        <f t="shared" si="43"/>
        <v>3.6999999999999998E-2</v>
      </c>
      <c r="R155" s="2">
        <v>9</v>
      </c>
      <c r="S155" s="2" t="s">
        <v>643</v>
      </c>
      <c r="T155" s="2" t="str">
        <f>IFERROR(VLOOKUP(S155,[1]坦克个性化设定!$B$18:$E$48,4,FALSE)&amp;VLOOKUP(S155,[1]坦克个性化细分!$I$3:$J$33,2,FALSE),"")</f>
        <v>T4低</v>
      </c>
      <c r="U155" s="2" t="s">
        <v>1743</v>
      </c>
      <c r="V155" s="2">
        <f t="shared" si="48"/>
        <v>7.2999999999999995E-2</v>
      </c>
      <c r="W155" s="33">
        <v>1</v>
      </c>
      <c r="X155" s="2">
        <f t="shared" si="49"/>
        <v>7.2999999999999995E-2</v>
      </c>
    </row>
    <row r="156" spans="2:25" x14ac:dyDescent="0.3">
      <c r="B156" s="2">
        <v>6</v>
      </c>
      <c r="C156" s="2" t="s">
        <v>639</v>
      </c>
      <c r="D156" s="2" t="str">
        <f>IFERROR(VLOOKUP(C156,[1]坦克个性化设定!$B$18:$E$48,4,FALSE)&amp;VLOOKUP(C156,[1]坦克个性化细分!$I$3:$J$33,2,FALSE),"")</f>
        <v>T3中</v>
      </c>
      <c r="E156" s="2" t="s">
        <v>1743</v>
      </c>
      <c r="F156" s="2">
        <f t="shared" si="42"/>
        <v>3.6999999999999998E-2</v>
      </c>
      <c r="G156" s="33">
        <v>1</v>
      </c>
      <c r="H156" s="2">
        <f t="shared" si="43"/>
        <v>3.6999999999999998E-2</v>
      </c>
      <c r="R156" s="2">
        <v>9</v>
      </c>
      <c r="S156" s="2" t="s">
        <v>662</v>
      </c>
      <c r="T156" s="2" t="str">
        <f>IFERROR(VLOOKUP(S156,[1]坦克个性化设定!$B$18:$E$48,4,FALSE)&amp;VLOOKUP(S156,[1]坦克个性化细分!$I$3:$J$33,2,FALSE),"")</f>
        <v>T4低</v>
      </c>
      <c r="U156" s="2" t="s">
        <v>1743</v>
      </c>
      <c r="V156" s="2">
        <f t="shared" si="48"/>
        <v>7.2999999999999995E-2</v>
      </c>
      <c r="W156" s="33">
        <v>1</v>
      </c>
      <c r="X156" s="2">
        <f t="shared" si="49"/>
        <v>7.2999999999999995E-2</v>
      </c>
    </row>
    <row r="157" spans="2:25" x14ac:dyDescent="0.3">
      <c r="B157" s="2">
        <v>6</v>
      </c>
      <c r="C157" s="2" t="s">
        <v>658</v>
      </c>
      <c r="D157" s="2" t="str">
        <f>IFERROR(VLOOKUP(C157,[1]坦克个性化设定!$B$18:$E$48,4,FALSE)&amp;VLOOKUP(C157,[1]坦克个性化细分!$I$3:$J$33,2,FALSE),"")</f>
        <v>T3中</v>
      </c>
      <c r="E157" s="2" t="s">
        <v>1743</v>
      </c>
      <c r="F157" s="2">
        <f t="shared" si="42"/>
        <v>3.6999999999999998E-2</v>
      </c>
      <c r="G157" s="33">
        <v>1</v>
      </c>
      <c r="H157" s="2">
        <f t="shared" si="43"/>
        <v>3.6999999999999998E-2</v>
      </c>
      <c r="J157" s="2" t="s">
        <v>385</v>
      </c>
      <c r="K157" s="2" t="s">
        <v>1800</v>
      </c>
      <c r="L157" s="2" t="s">
        <v>901</v>
      </c>
      <c r="M157" s="2" t="s">
        <v>3507</v>
      </c>
      <c r="N157" s="2" t="s">
        <v>3504</v>
      </c>
      <c r="O157" s="2" t="s">
        <v>379</v>
      </c>
      <c r="P157" s="2" t="s">
        <v>3508</v>
      </c>
      <c r="Q157" s="1">
        <f>SUM(P158:P169)</f>
        <v>0.66600000000000015</v>
      </c>
      <c r="R157" s="2">
        <v>9</v>
      </c>
      <c r="S157" s="2" t="s">
        <v>627</v>
      </c>
      <c r="T157" s="2" t="str">
        <f>IFERROR(VLOOKUP(S157,[1]坦克个性化设定!$B$18:$E$48,4,FALSE)&amp;VLOOKUP(S157,[1]坦克个性化细分!$I$3:$J$33,2,FALSE),"")</f>
        <v>T4中</v>
      </c>
      <c r="U157" s="2" t="s">
        <v>1743</v>
      </c>
      <c r="V157" s="2">
        <f t="shared" si="48"/>
        <v>7.2999999999999995E-2</v>
      </c>
      <c r="W157" s="33">
        <v>1</v>
      </c>
      <c r="X157" s="2">
        <f t="shared" si="49"/>
        <v>7.2999999999999995E-2</v>
      </c>
    </row>
    <row r="158" spans="2:25" x14ac:dyDescent="0.3">
      <c r="J158" s="2">
        <v>7</v>
      </c>
      <c r="K158" s="2" t="s">
        <v>530</v>
      </c>
      <c r="L158" s="2" t="str">
        <f>IFERROR(VLOOKUP(K158,[1]坦克个性化设定!$B$18:$E$48,4,FALSE)&amp;VLOOKUP(K158,[1]坦克个性化细分!$I$3:$J$33,2,FALSE),"")</f>
        <v>T3低</v>
      </c>
      <c r="M158" s="2" t="s">
        <v>328</v>
      </c>
      <c r="N158" s="2">
        <f t="shared" ref="N158:N169" si="50">$E$69</f>
        <v>3.6999999999999998E-2</v>
      </c>
      <c r="O158" s="33">
        <v>2</v>
      </c>
      <c r="P158" s="2">
        <f t="shared" ref="P158:P169" si="51">N158*O158</f>
        <v>7.3999999999999996E-2</v>
      </c>
      <c r="R158" s="2">
        <v>9</v>
      </c>
      <c r="S158" s="2" t="s">
        <v>645</v>
      </c>
      <c r="T158" s="2" t="str">
        <f>IFERROR(VLOOKUP(S158,[1]坦克个性化设定!$B$18:$E$48,4,FALSE)&amp;VLOOKUP(S158,[1]坦克个性化细分!$I$3:$J$33,2,FALSE),"")</f>
        <v>T4中</v>
      </c>
      <c r="U158" s="2" t="s">
        <v>1743</v>
      </c>
      <c r="V158" s="2">
        <f t="shared" si="48"/>
        <v>7.2999999999999995E-2</v>
      </c>
      <c r="W158" s="33">
        <v>1</v>
      </c>
      <c r="X158" s="2">
        <f t="shared" si="49"/>
        <v>7.2999999999999995E-2</v>
      </c>
    </row>
    <row r="159" spans="2:25" x14ac:dyDescent="0.3">
      <c r="J159" s="2">
        <v>7</v>
      </c>
      <c r="K159" s="2" t="s">
        <v>534</v>
      </c>
      <c r="L159" s="2" t="str">
        <f>IFERROR(VLOOKUP(K159,[1]坦克个性化设定!$B$18:$E$48,4,FALSE)&amp;VLOOKUP(K159,[1]坦克个性化细分!$I$3:$J$33,2,FALSE),"")</f>
        <v>T3低</v>
      </c>
      <c r="M159" s="2" t="s">
        <v>328</v>
      </c>
      <c r="N159" s="2">
        <f t="shared" si="50"/>
        <v>3.6999999999999998E-2</v>
      </c>
      <c r="O159" s="33">
        <v>2</v>
      </c>
      <c r="P159" s="2">
        <f t="shared" si="51"/>
        <v>7.3999999999999996E-2</v>
      </c>
      <c r="R159" s="2">
        <v>9</v>
      </c>
      <c r="S159" s="2" t="s">
        <v>629</v>
      </c>
      <c r="T159" s="2" t="str">
        <f>IFERROR(VLOOKUP(S159,[1]坦克个性化设定!$B$18:$E$48,4,FALSE)&amp;VLOOKUP(S159,[1]坦克个性化细分!$I$3:$J$33,2,FALSE),"")</f>
        <v>T4高</v>
      </c>
      <c r="U159" s="2" t="s">
        <v>1743</v>
      </c>
      <c r="V159" s="2">
        <f t="shared" si="48"/>
        <v>7.2999999999999995E-2</v>
      </c>
      <c r="W159" s="33">
        <v>1</v>
      </c>
      <c r="X159" s="2">
        <f t="shared" si="49"/>
        <v>7.2999999999999995E-2</v>
      </c>
    </row>
    <row r="160" spans="2:25" x14ac:dyDescent="0.3">
      <c r="B160" s="2" t="s">
        <v>385</v>
      </c>
      <c r="C160" s="2" t="s">
        <v>1800</v>
      </c>
      <c r="D160" s="2" t="s">
        <v>901</v>
      </c>
      <c r="E160" s="2" t="s">
        <v>3507</v>
      </c>
      <c r="F160" s="2" t="s">
        <v>3504</v>
      </c>
      <c r="G160" s="2" t="s">
        <v>379</v>
      </c>
      <c r="H160" s="2" t="s">
        <v>3508</v>
      </c>
      <c r="I160" s="1">
        <f>SUM(H161:H175)</f>
        <v>0.66600000000000004</v>
      </c>
      <c r="J160" s="2">
        <v>7</v>
      </c>
      <c r="K160" s="2" t="s">
        <v>538</v>
      </c>
      <c r="L160" s="2" t="str">
        <f>IFERROR(VLOOKUP(K160,[1]坦克个性化设定!$B$18:$E$48,4,FALSE)&amp;VLOOKUP(K160,[1]坦克个性化细分!$I$3:$J$33,2,FALSE),"")</f>
        <v>T3低</v>
      </c>
      <c r="M160" s="2" t="s">
        <v>328</v>
      </c>
      <c r="N160" s="2">
        <f t="shared" si="50"/>
        <v>3.6999999999999998E-2</v>
      </c>
      <c r="O160" s="33">
        <v>2</v>
      </c>
      <c r="P160" s="2">
        <f t="shared" si="51"/>
        <v>7.3999999999999996E-2</v>
      </c>
      <c r="R160" s="2">
        <v>9</v>
      </c>
      <c r="S160" s="2" t="s">
        <v>647</v>
      </c>
      <c r="T160" s="2" t="str">
        <f>IFERROR(VLOOKUP(S160,[1]坦克个性化设定!$B$18:$E$48,4,FALSE)&amp;VLOOKUP(S160,[1]坦克个性化细分!$I$3:$J$33,2,FALSE),"")</f>
        <v>T4高</v>
      </c>
      <c r="U160" s="2" t="s">
        <v>1743</v>
      </c>
      <c r="V160" s="2">
        <f t="shared" si="48"/>
        <v>7.2999999999999995E-2</v>
      </c>
      <c r="W160" s="33">
        <v>1</v>
      </c>
      <c r="X160" s="2">
        <f t="shared" si="49"/>
        <v>7.2999999999999995E-2</v>
      </c>
    </row>
    <row r="161" spans="2:25" x14ac:dyDescent="0.3">
      <c r="B161" s="2">
        <v>7</v>
      </c>
      <c r="C161" s="2" t="s">
        <v>530</v>
      </c>
      <c r="D161" s="2" t="str">
        <f>IFERROR(VLOOKUP(C161,[1]坦克个性化设定!$B$18:$E$48,4,FALSE)&amp;VLOOKUP(C161,[1]坦克个性化细分!$I$3:$J$33,2,FALSE),"")</f>
        <v>T3低</v>
      </c>
      <c r="E161" s="2" t="s">
        <v>328</v>
      </c>
      <c r="F161" s="2">
        <f t="shared" ref="F161:F175" si="52">$E$69</f>
        <v>3.6999999999999998E-2</v>
      </c>
      <c r="G161" s="33">
        <v>1.7</v>
      </c>
      <c r="H161" s="2">
        <f t="shared" ref="H161:H175" si="53">F161*G161</f>
        <v>6.2899999999999998E-2</v>
      </c>
      <c r="J161" s="2">
        <v>7</v>
      </c>
      <c r="K161" s="2" t="s">
        <v>620</v>
      </c>
      <c r="L161" s="2" t="str">
        <f>IFERROR(VLOOKUP(K161,[1]坦克个性化设定!$B$18:$E$48,4,FALSE)&amp;VLOOKUP(K161,[1]坦克个性化细分!$I$3:$J$33,2,FALSE),"")</f>
        <v>T3中</v>
      </c>
      <c r="M161" s="2" t="s">
        <v>328</v>
      </c>
      <c r="N161" s="2">
        <f t="shared" si="50"/>
        <v>3.6999999999999998E-2</v>
      </c>
      <c r="O161" s="33">
        <v>2</v>
      </c>
      <c r="P161" s="2">
        <f t="shared" si="51"/>
        <v>7.3999999999999996E-2</v>
      </c>
    </row>
    <row r="162" spans="2:25" x14ac:dyDescent="0.3">
      <c r="B162" s="2">
        <v>7</v>
      </c>
      <c r="C162" s="2" t="s">
        <v>534</v>
      </c>
      <c r="D162" s="2" t="str">
        <f>IFERROR(VLOOKUP(C162,[1]坦克个性化设定!$B$18:$E$48,4,FALSE)&amp;VLOOKUP(C162,[1]坦克个性化细分!$I$3:$J$33,2,FALSE),"")</f>
        <v>T3低</v>
      </c>
      <c r="E162" s="2" t="s">
        <v>328</v>
      </c>
      <c r="F162" s="2">
        <f t="shared" si="52"/>
        <v>3.6999999999999998E-2</v>
      </c>
      <c r="G162" s="33">
        <v>1.7</v>
      </c>
      <c r="H162" s="2">
        <f t="shared" si="53"/>
        <v>6.2899999999999998E-2</v>
      </c>
      <c r="J162" s="2">
        <v>7</v>
      </c>
      <c r="K162" s="2" t="s">
        <v>639</v>
      </c>
      <c r="L162" s="2" t="str">
        <f>IFERROR(VLOOKUP(K162,[1]坦克个性化设定!$B$18:$E$48,4,FALSE)&amp;VLOOKUP(K162,[1]坦克个性化细分!$I$3:$J$33,2,FALSE),"")</f>
        <v>T3中</v>
      </c>
      <c r="M162" s="2" t="s">
        <v>328</v>
      </c>
      <c r="N162" s="2">
        <f t="shared" si="50"/>
        <v>3.6999999999999998E-2</v>
      </c>
      <c r="O162" s="33">
        <v>2</v>
      </c>
      <c r="P162" s="2">
        <f t="shared" si="51"/>
        <v>7.3999999999999996E-2</v>
      </c>
    </row>
    <row r="163" spans="2:25" x14ac:dyDescent="0.3">
      <c r="B163" s="2">
        <v>7</v>
      </c>
      <c r="C163" s="2" t="s">
        <v>538</v>
      </c>
      <c r="D163" s="2" t="str">
        <f>IFERROR(VLOOKUP(C163,[1]坦克个性化设定!$B$18:$E$48,4,FALSE)&amp;VLOOKUP(C163,[1]坦克个性化细分!$I$3:$J$33,2,FALSE),"")</f>
        <v>T3低</v>
      </c>
      <c r="E163" s="2" t="s">
        <v>328</v>
      </c>
      <c r="F163" s="2">
        <f t="shared" si="52"/>
        <v>3.6999999999999998E-2</v>
      </c>
      <c r="G163" s="33">
        <v>1.7</v>
      </c>
      <c r="H163" s="2">
        <f>F164*G163</f>
        <v>6.2899999999999998E-2</v>
      </c>
      <c r="J163" s="2">
        <v>7</v>
      </c>
      <c r="K163" s="2" t="s">
        <v>658</v>
      </c>
      <c r="L163" s="2" t="str">
        <f>IFERROR(VLOOKUP(K163,[1]坦克个性化设定!$B$18:$E$48,4,FALSE)&amp;VLOOKUP(K163,[1]坦克个性化细分!$I$3:$J$33,2,FALSE),"")</f>
        <v>T3中</v>
      </c>
      <c r="M163" s="2" t="s">
        <v>328</v>
      </c>
      <c r="N163" s="2">
        <f t="shared" si="50"/>
        <v>3.6999999999999998E-2</v>
      </c>
      <c r="O163" s="33">
        <v>2</v>
      </c>
      <c r="P163" s="2">
        <f t="shared" si="51"/>
        <v>7.3999999999999996E-2</v>
      </c>
      <c r="R163" s="2" t="s">
        <v>385</v>
      </c>
      <c r="S163" s="2" t="s">
        <v>1800</v>
      </c>
      <c r="T163" s="2" t="s">
        <v>901</v>
      </c>
      <c r="U163" s="2" t="s">
        <v>3507</v>
      </c>
      <c r="V163" s="2" t="s">
        <v>3504</v>
      </c>
      <c r="W163" s="2" t="s">
        <v>379</v>
      </c>
      <c r="X163" s="2" t="s">
        <v>3508</v>
      </c>
      <c r="Y163" s="1">
        <f>SUM(X164:X172)</f>
        <v>0.65699999999999992</v>
      </c>
    </row>
    <row r="164" spans="2:25" x14ac:dyDescent="0.3">
      <c r="B164" s="2">
        <v>7</v>
      </c>
      <c r="C164" s="2" t="s">
        <v>524</v>
      </c>
      <c r="D164" s="2" t="str">
        <f>IFERROR(VLOOKUP(C164,[1]坦克个性化设定!$B$18:$E$48,4,FALSE)&amp;VLOOKUP(C164,[1]坦克个性化细分!$I$3:$J$33,2,FALSE),"")</f>
        <v>T2低</v>
      </c>
      <c r="E164" s="2" t="s">
        <v>1743</v>
      </c>
      <c r="F164" s="2">
        <f t="shared" si="52"/>
        <v>3.6999999999999998E-2</v>
      </c>
      <c r="G164" s="33">
        <v>1.3</v>
      </c>
      <c r="H164" s="2">
        <f>F165*G164</f>
        <v>4.8099999999999997E-2</v>
      </c>
      <c r="J164" s="2">
        <v>7</v>
      </c>
      <c r="K164" s="2" t="s">
        <v>530</v>
      </c>
      <c r="L164" s="2" t="str">
        <f>IFERROR(VLOOKUP(K164,[1]坦克个性化设定!$B$18:$E$48,4,FALSE)&amp;VLOOKUP(K164,[1]坦克个性化细分!$I$3:$J$33,2,FALSE),"")</f>
        <v>T3低</v>
      </c>
      <c r="M164" s="2" t="s">
        <v>1743</v>
      </c>
      <c r="N164" s="2">
        <f t="shared" si="50"/>
        <v>3.6999999999999998E-2</v>
      </c>
      <c r="O164" s="33">
        <v>1</v>
      </c>
      <c r="P164" s="2">
        <f t="shared" si="51"/>
        <v>3.6999999999999998E-2</v>
      </c>
      <c r="R164" s="2">
        <v>10</v>
      </c>
      <c r="S164" s="2" t="s">
        <v>624</v>
      </c>
      <c r="T164" s="2" t="str">
        <f>IFERROR(VLOOKUP(S164,[1]坦克个性化设定!$B$18:$E$48,4,FALSE)&amp;VLOOKUP(S164,[1]坦克个性化细分!$I$3:$J$33,2,FALSE),"")</f>
        <v>T4低</v>
      </c>
      <c r="U164" s="2" t="s">
        <v>1743</v>
      </c>
      <c r="V164" s="2">
        <f t="shared" ref="V164:V172" si="54">$E$70</f>
        <v>7.2999999999999995E-2</v>
      </c>
      <c r="W164" s="33">
        <v>1</v>
      </c>
      <c r="X164" s="2">
        <f t="shared" ref="X164:X172" si="55">V164*W164</f>
        <v>7.2999999999999995E-2</v>
      </c>
    </row>
    <row r="165" spans="2:25" x14ac:dyDescent="0.3">
      <c r="B165" s="2">
        <v>7</v>
      </c>
      <c r="C165" s="2" t="s">
        <v>526</v>
      </c>
      <c r="D165" s="2" t="str">
        <f>IFERROR(VLOOKUP(C165,[1]坦克个性化设定!$B$18:$E$48,4,FALSE)&amp;VLOOKUP(C165,[1]坦克个性化细分!$I$3:$J$33,2,FALSE),"")</f>
        <v>T2低</v>
      </c>
      <c r="E165" s="2" t="s">
        <v>1743</v>
      </c>
      <c r="F165" s="2">
        <f t="shared" si="52"/>
        <v>3.6999999999999998E-2</v>
      </c>
      <c r="G165" s="33">
        <v>1.3</v>
      </c>
      <c r="H165" s="2">
        <f>F166*G165</f>
        <v>4.8099999999999997E-2</v>
      </c>
      <c r="J165" s="2">
        <v>7</v>
      </c>
      <c r="K165" s="2" t="s">
        <v>534</v>
      </c>
      <c r="L165" s="2" t="str">
        <f>IFERROR(VLOOKUP(K165,[1]坦克个性化设定!$B$18:$E$48,4,FALSE)&amp;VLOOKUP(K165,[1]坦克个性化细分!$I$3:$J$33,2,FALSE),"")</f>
        <v>T3低</v>
      </c>
      <c r="M165" s="2" t="s">
        <v>1743</v>
      </c>
      <c r="N165" s="2">
        <f t="shared" si="50"/>
        <v>3.6999999999999998E-2</v>
      </c>
      <c r="O165" s="33">
        <v>1</v>
      </c>
      <c r="P165" s="2">
        <f t="shared" si="51"/>
        <v>3.6999999999999998E-2</v>
      </c>
      <c r="R165" s="2">
        <v>10</v>
      </c>
      <c r="S165" s="2" t="s">
        <v>643</v>
      </c>
      <c r="T165" s="2" t="str">
        <f>IFERROR(VLOOKUP(S165,[1]坦克个性化设定!$B$18:$E$48,4,FALSE)&amp;VLOOKUP(S165,[1]坦克个性化细分!$I$3:$J$33,2,FALSE),"")</f>
        <v>T4低</v>
      </c>
      <c r="U165" s="2" t="s">
        <v>1743</v>
      </c>
      <c r="V165" s="2">
        <f t="shared" si="54"/>
        <v>7.2999999999999995E-2</v>
      </c>
      <c r="W165" s="33">
        <v>1</v>
      </c>
      <c r="X165" s="2">
        <f t="shared" si="55"/>
        <v>7.2999999999999995E-2</v>
      </c>
    </row>
    <row r="166" spans="2:25" x14ac:dyDescent="0.3">
      <c r="B166" s="2">
        <v>7</v>
      </c>
      <c r="C166" s="2" t="s">
        <v>653</v>
      </c>
      <c r="D166" s="2" t="str">
        <f>IFERROR(VLOOKUP(C166,[1]坦克个性化设定!$B$18:$E$48,4,FALSE)&amp;VLOOKUP(C166,[1]坦克个性化细分!$I$3:$J$33,2,FALSE),"")</f>
        <v>T2低</v>
      </c>
      <c r="E166" s="2" t="s">
        <v>1743</v>
      </c>
      <c r="F166" s="2">
        <f t="shared" si="52"/>
        <v>3.6999999999999998E-2</v>
      </c>
      <c r="G166" s="33">
        <v>1.3</v>
      </c>
      <c r="H166" s="2">
        <f>F167*G166</f>
        <v>4.8099999999999997E-2</v>
      </c>
      <c r="J166" s="2">
        <v>7</v>
      </c>
      <c r="K166" s="2" t="s">
        <v>538</v>
      </c>
      <c r="L166" s="2" t="str">
        <f>IFERROR(VLOOKUP(K166,[1]坦克个性化设定!$B$18:$E$48,4,FALSE)&amp;VLOOKUP(K166,[1]坦克个性化细分!$I$3:$J$33,2,FALSE),"")</f>
        <v>T3低</v>
      </c>
      <c r="M166" s="2" t="s">
        <v>1743</v>
      </c>
      <c r="N166" s="2">
        <f t="shared" si="50"/>
        <v>3.6999999999999998E-2</v>
      </c>
      <c r="O166" s="33">
        <v>1</v>
      </c>
      <c r="P166" s="2">
        <f t="shared" si="51"/>
        <v>3.6999999999999998E-2</v>
      </c>
      <c r="R166" s="2">
        <v>10</v>
      </c>
      <c r="S166" s="2" t="s">
        <v>662</v>
      </c>
      <c r="T166" s="2" t="str">
        <f>IFERROR(VLOOKUP(S166,[1]坦克个性化设定!$B$18:$E$48,4,FALSE)&amp;VLOOKUP(S166,[1]坦克个性化细分!$I$3:$J$33,2,FALSE),"")</f>
        <v>T4低</v>
      </c>
      <c r="U166" s="2" t="s">
        <v>1743</v>
      </c>
      <c r="V166" s="2">
        <f t="shared" si="54"/>
        <v>7.2999999999999995E-2</v>
      </c>
      <c r="W166" s="33">
        <v>1</v>
      </c>
      <c r="X166" s="2">
        <f t="shared" si="55"/>
        <v>7.2999999999999995E-2</v>
      </c>
    </row>
    <row r="167" spans="2:25" x14ac:dyDescent="0.3">
      <c r="B167" s="2">
        <v>7</v>
      </c>
      <c r="C167" s="2" t="s">
        <v>616</v>
      </c>
      <c r="D167" s="2" t="str">
        <f>IFERROR(VLOOKUP(C167,[1]坦克个性化设定!$B$18:$E$48,4,FALSE)&amp;VLOOKUP(C167,[1]坦克个性化细分!$I$3:$J$33,2,FALSE),"")</f>
        <v>T2中</v>
      </c>
      <c r="E167" s="2" t="s">
        <v>1743</v>
      </c>
      <c r="F167" s="2">
        <f t="shared" si="52"/>
        <v>3.6999999999999998E-2</v>
      </c>
      <c r="G167" s="33">
        <v>1</v>
      </c>
      <c r="H167" s="2">
        <f t="shared" si="53"/>
        <v>3.6999999999999998E-2</v>
      </c>
      <c r="J167" s="2">
        <v>7</v>
      </c>
      <c r="K167" s="2" t="s">
        <v>620</v>
      </c>
      <c r="L167" s="2" t="str">
        <f>IFERROR(VLOOKUP(K167,[1]坦克个性化设定!$B$18:$E$48,4,FALSE)&amp;VLOOKUP(K167,[1]坦克个性化细分!$I$3:$J$33,2,FALSE),"")</f>
        <v>T3中</v>
      </c>
      <c r="M167" s="2" t="s">
        <v>1743</v>
      </c>
      <c r="N167" s="2">
        <f t="shared" si="50"/>
        <v>3.6999999999999998E-2</v>
      </c>
      <c r="O167" s="33">
        <v>1</v>
      </c>
      <c r="P167" s="2">
        <f t="shared" si="51"/>
        <v>3.6999999999999998E-2</v>
      </c>
      <c r="R167" s="2">
        <v>10</v>
      </c>
      <c r="S167" s="2" t="s">
        <v>627</v>
      </c>
      <c r="T167" s="2" t="str">
        <f>IFERROR(VLOOKUP(S167,[1]坦克个性化设定!$B$18:$E$48,4,FALSE)&amp;VLOOKUP(S167,[1]坦克个性化细分!$I$3:$J$33,2,FALSE),"")</f>
        <v>T4中</v>
      </c>
      <c r="U167" s="2" t="s">
        <v>1743</v>
      </c>
      <c r="V167" s="2">
        <f t="shared" si="54"/>
        <v>7.2999999999999995E-2</v>
      </c>
      <c r="W167" s="33">
        <v>1</v>
      </c>
      <c r="X167" s="2">
        <f t="shared" si="55"/>
        <v>7.2999999999999995E-2</v>
      </c>
    </row>
    <row r="168" spans="2:25" x14ac:dyDescent="0.3">
      <c r="B168" s="2">
        <v>7</v>
      </c>
      <c r="C168" s="2" t="s">
        <v>636</v>
      </c>
      <c r="D168" s="2" t="str">
        <f>IFERROR(VLOOKUP(C168,[1]坦克个性化设定!$B$18:$E$48,4,FALSE)&amp;VLOOKUP(C168,[1]坦克个性化细分!$I$3:$J$33,2,FALSE),"")</f>
        <v>T2中</v>
      </c>
      <c r="E168" s="2" t="s">
        <v>1743</v>
      </c>
      <c r="F168" s="2">
        <f t="shared" si="52"/>
        <v>3.6999999999999998E-2</v>
      </c>
      <c r="G168" s="33">
        <v>1</v>
      </c>
      <c r="H168" s="2">
        <f t="shared" si="53"/>
        <v>3.6999999999999998E-2</v>
      </c>
      <c r="J168" s="2">
        <v>7</v>
      </c>
      <c r="K168" s="2" t="s">
        <v>639</v>
      </c>
      <c r="L168" s="2" t="str">
        <f>IFERROR(VLOOKUP(K168,[1]坦克个性化设定!$B$18:$E$48,4,FALSE)&amp;VLOOKUP(K168,[1]坦克个性化细分!$I$3:$J$33,2,FALSE),"")</f>
        <v>T3中</v>
      </c>
      <c r="M168" s="2" t="s">
        <v>1743</v>
      </c>
      <c r="N168" s="2">
        <f t="shared" si="50"/>
        <v>3.6999999999999998E-2</v>
      </c>
      <c r="O168" s="33">
        <v>1</v>
      </c>
      <c r="P168" s="2">
        <f t="shared" si="51"/>
        <v>3.6999999999999998E-2</v>
      </c>
      <c r="R168" s="2">
        <v>10</v>
      </c>
      <c r="S168" s="2" t="s">
        <v>645</v>
      </c>
      <c r="T168" s="2" t="str">
        <f>IFERROR(VLOOKUP(S168,[1]坦克个性化设定!$B$18:$E$48,4,FALSE)&amp;VLOOKUP(S168,[1]坦克个性化细分!$I$3:$J$33,2,FALSE),"")</f>
        <v>T4中</v>
      </c>
      <c r="U168" s="2" t="s">
        <v>1743</v>
      </c>
      <c r="V168" s="2">
        <f t="shared" si="54"/>
        <v>7.2999999999999995E-2</v>
      </c>
      <c r="W168" s="33">
        <v>1</v>
      </c>
      <c r="X168" s="2">
        <f t="shared" si="55"/>
        <v>7.2999999999999995E-2</v>
      </c>
    </row>
    <row r="169" spans="2:25" x14ac:dyDescent="0.3">
      <c r="B169" s="2">
        <v>7</v>
      </c>
      <c r="C169" s="2" t="s">
        <v>655</v>
      </c>
      <c r="D169" s="2" t="str">
        <f>IFERROR(VLOOKUP(C169,[1]坦克个性化设定!$B$18:$E$48,4,FALSE)&amp;VLOOKUP(C169,[1]坦克个性化细分!$I$3:$J$33,2,FALSE),"")</f>
        <v>T2中</v>
      </c>
      <c r="E169" s="2" t="s">
        <v>1743</v>
      </c>
      <c r="F169" s="2">
        <f t="shared" si="52"/>
        <v>3.6999999999999998E-2</v>
      </c>
      <c r="G169" s="33">
        <v>1</v>
      </c>
      <c r="H169" s="2">
        <f t="shared" si="53"/>
        <v>3.6999999999999998E-2</v>
      </c>
      <c r="J169" s="2">
        <v>7</v>
      </c>
      <c r="K169" s="2" t="s">
        <v>658</v>
      </c>
      <c r="L169" s="2" t="str">
        <f>IFERROR(VLOOKUP(K169,[1]坦克个性化设定!$B$18:$E$48,4,FALSE)&amp;VLOOKUP(K169,[1]坦克个性化细分!$I$3:$J$33,2,FALSE),"")</f>
        <v>T3中</v>
      </c>
      <c r="M169" s="2" t="s">
        <v>1743</v>
      </c>
      <c r="N169" s="2">
        <f t="shared" si="50"/>
        <v>3.6999999999999998E-2</v>
      </c>
      <c r="O169" s="33">
        <v>1</v>
      </c>
      <c r="P169" s="2">
        <f t="shared" si="51"/>
        <v>3.6999999999999998E-2</v>
      </c>
      <c r="R169" s="2">
        <v>10</v>
      </c>
      <c r="S169" s="2" t="s">
        <v>664</v>
      </c>
      <c r="T169" s="2" t="str">
        <f>IFERROR(VLOOKUP(S169,[1]坦克个性化设定!$B$18:$E$48,4,FALSE)&amp;VLOOKUP(S169,[1]坦克个性化细分!$I$3:$J$33,2,FALSE),"")</f>
        <v>T4中</v>
      </c>
      <c r="U169" s="2" t="s">
        <v>1743</v>
      </c>
      <c r="V169" s="2">
        <f t="shared" si="54"/>
        <v>7.2999999999999995E-2</v>
      </c>
      <c r="W169" s="33">
        <v>1</v>
      </c>
      <c r="X169" s="2">
        <f t="shared" si="55"/>
        <v>7.2999999999999995E-2</v>
      </c>
    </row>
    <row r="170" spans="2:25" x14ac:dyDescent="0.3">
      <c r="B170" s="2">
        <v>7</v>
      </c>
      <c r="C170" s="2" t="s">
        <v>530</v>
      </c>
      <c r="D170" s="2" t="str">
        <f>IFERROR(VLOOKUP(C170,[1]坦克个性化设定!$B$18:$E$48,4,FALSE)&amp;VLOOKUP(C170,[1]坦克个性化细分!$I$3:$J$33,2,FALSE),"")</f>
        <v>T3低</v>
      </c>
      <c r="E170" s="2" t="s">
        <v>1743</v>
      </c>
      <c r="F170" s="2">
        <f t="shared" si="52"/>
        <v>3.6999999999999998E-2</v>
      </c>
      <c r="G170" s="33">
        <v>1</v>
      </c>
      <c r="H170" s="2">
        <f t="shared" si="53"/>
        <v>3.6999999999999998E-2</v>
      </c>
      <c r="R170" s="2">
        <v>10</v>
      </c>
      <c r="S170" s="2" t="s">
        <v>629</v>
      </c>
      <c r="T170" s="2" t="str">
        <f>IFERROR(VLOOKUP(S170,[1]坦克个性化设定!$B$18:$E$48,4,FALSE)&amp;VLOOKUP(S170,[1]坦克个性化细分!$I$3:$J$33,2,FALSE),"")</f>
        <v>T4高</v>
      </c>
      <c r="U170" s="2" t="s">
        <v>1743</v>
      </c>
      <c r="V170" s="2">
        <f t="shared" si="54"/>
        <v>7.2999999999999995E-2</v>
      </c>
      <c r="W170" s="33">
        <v>1</v>
      </c>
      <c r="X170" s="2">
        <f t="shared" si="55"/>
        <v>7.2999999999999995E-2</v>
      </c>
    </row>
    <row r="171" spans="2:25" x14ac:dyDescent="0.3">
      <c r="B171" s="2">
        <v>7</v>
      </c>
      <c r="C171" s="2" t="s">
        <v>534</v>
      </c>
      <c r="D171" s="2" t="str">
        <f>IFERROR(VLOOKUP(C171,[1]坦克个性化设定!$B$18:$E$48,4,FALSE)&amp;VLOOKUP(C171,[1]坦克个性化细分!$I$3:$J$33,2,FALSE),"")</f>
        <v>T3低</v>
      </c>
      <c r="E171" s="2" t="s">
        <v>1743</v>
      </c>
      <c r="F171" s="2">
        <f t="shared" si="52"/>
        <v>3.6999999999999998E-2</v>
      </c>
      <c r="G171" s="33">
        <v>1</v>
      </c>
      <c r="H171" s="2">
        <f t="shared" si="53"/>
        <v>3.6999999999999998E-2</v>
      </c>
      <c r="R171" s="2">
        <v>10</v>
      </c>
      <c r="S171" s="2" t="s">
        <v>647</v>
      </c>
      <c r="T171" s="2" t="str">
        <f>IFERROR(VLOOKUP(S171,[1]坦克个性化设定!$B$18:$E$48,4,FALSE)&amp;VLOOKUP(S171,[1]坦克个性化细分!$I$3:$J$33,2,FALSE),"")</f>
        <v>T4高</v>
      </c>
      <c r="U171" s="2" t="s">
        <v>1743</v>
      </c>
      <c r="V171" s="2">
        <f t="shared" si="54"/>
        <v>7.2999999999999995E-2</v>
      </c>
      <c r="W171" s="33">
        <v>1</v>
      </c>
      <c r="X171" s="2">
        <f t="shared" si="55"/>
        <v>7.2999999999999995E-2</v>
      </c>
    </row>
    <row r="172" spans="2:25" x14ac:dyDescent="0.3">
      <c r="B172" s="2">
        <v>7</v>
      </c>
      <c r="C172" s="2" t="s">
        <v>538</v>
      </c>
      <c r="D172" s="2" t="str">
        <f>IFERROR(VLOOKUP(C172,[1]坦克个性化设定!$B$18:$E$48,4,FALSE)&amp;VLOOKUP(C172,[1]坦克个性化细分!$I$3:$J$33,2,FALSE),"")</f>
        <v>T3低</v>
      </c>
      <c r="E172" s="2" t="s">
        <v>1743</v>
      </c>
      <c r="F172" s="2">
        <f t="shared" si="52"/>
        <v>3.6999999999999998E-2</v>
      </c>
      <c r="G172" s="33">
        <v>1</v>
      </c>
      <c r="H172" s="2">
        <f t="shared" si="53"/>
        <v>3.6999999999999998E-2</v>
      </c>
      <c r="J172" s="2" t="s">
        <v>385</v>
      </c>
      <c r="K172" s="2" t="s">
        <v>1800</v>
      </c>
      <c r="L172" s="2" t="s">
        <v>901</v>
      </c>
      <c r="M172" s="2" t="s">
        <v>3507</v>
      </c>
      <c r="N172" s="2" t="s">
        <v>3504</v>
      </c>
      <c r="O172" s="2" t="s">
        <v>379</v>
      </c>
      <c r="P172" s="2" t="s">
        <v>3508</v>
      </c>
      <c r="Q172" s="1">
        <f>SUM(P173:P188)</f>
        <v>0.66599999999999993</v>
      </c>
      <c r="R172" s="2">
        <v>10</v>
      </c>
      <c r="S172" s="2" t="s">
        <v>666</v>
      </c>
      <c r="T172" s="2" t="str">
        <f>IFERROR(VLOOKUP(S172,[1]坦克个性化设定!$B$18:$E$48,4,FALSE)&amp;VLOOKUP(S172,[1]坦克个性化细分!$I$3:$J$33,2,FALSE),"")</f>
        <v>T4高</v>
      </c>
      <c r="U172" s="2" t="s">
        <v>1743</v>
      </c>
      <c r="V172" s="2">
        <f t="shared" si="54"/>
        <v>7.2999999999999995E-2</v>
      </c>
      <c r="W172" s="33">
        <v>1</v>
      </c>
      <c r="X172" s="2">
        <f t="shared" si="55"/>
        <v>7.2999999999999995E-2</v>
      </c>
    </row>
    <row r="173" spans="2:25" x14ac:dyDescent="0.3">
      <c r="B173" s="2">
        <v>7</v>
      </c>
      <c r="C173" s="2" t="s">
        <v>620</v>
      </c>
      <c r="D173" s="2" t="str">
        <f>IFERROR(VLOOKUP(C173,[1]坦克个性化设定!$B$18:$E$48,4,FALSE)&amp;VLOOKUP(C173,[1]坦克个性化细分!$I$3:$J$33,2,FALSE),"")</f>
        <v>T3中</v>
      </c>
      <c r="E173" s="2" t="s">
        <v>1743</v>
      </c>
      <c r="F173" s="2">
        <f t="shared" si="52"/>
        <v>3.6999999999999998E-2</v>
      </c>
      <c r="G173" s="33">
        <v>1</v>
      </c>
      <c r="H173" s="2">
        <f t="shared" si="53"/>
        <v>3.6999999999999998E-2</v>
      </c>
      <c r="J173" s="2">
        <v>8</v>
      </c>
      <c r="K173" s="2" t="s">
        <v>620</v>
      </c>
      <c r="L173" s="2" t="str">
        <f>IFERROR(VLOOKUP(K173,[1]坦克个性化设定!$B$18:$E$48,4,FALSE)&amp;VLOOKUP(K173,[1]坦克个性化细分!$I$3:$J$33,2,FALSE),"")</f>
        <v>T3中</v>
      </c>
      <c r="M173" s="2" t="s">
        <v>328</v>
      </c>
      <c r="N173" s="2">
        <f t="shared" ref="N173:N188" si="56">$E$69</f>
        <v>3.6999999999999998E-2</v>
      </c>
      <c r="O173" s="33">
        <v>2</v>
      </c>
      <c r="P173" s="2">
        <f t="shared" ref="P173:P188" si="57">N173*O173</f>
        <v>7.3999999999999996E-2</v>
      </c>
    </row>
    <row r="174" spans="2:25" x14ac:dyDescent="0.3">
      <c r="B174" s="2">
        <v>7</v>
      </c>
      <c r="C174" s="2" t="s">
        <v>639</v>
      </c>
      <c r="D174" s="2" t="str">
        <f>IFERROR(VLOOKUP(C174,[1]坦克个性化设定!$B$18:$E$48,4,FALSE)&amp;VLOOKUP(C174,[1]坦克个性化细分!$I$3:$J$33,2,FALSE),"")</f>
        <v>T3中</v>
      </c>
      <c r="E174" s="2" t="s">
        <v>1743</v>
      </c>
      <c r="F174" s="2">
        <f t="shared" si="52"/>
        <v>3.6999999999999998E-2</v>
      </c>
      <c r="G174" s="33">
        <v>1</v>
      </c>
      <c r="H174" s="2">
        <f t="shared" si="53"/>
        <v>3.6999999999999998E-2</v>
      </c>
      <c r="J174" s="2">
        <v>8</v>
      </c>
      <c r="K174" s="2" t="s">
        <v>639</v>
      </c>
      <c r="L174" s="2" t="str">
        <f>IFERROR(VLOOKUP(K174,[1]坦克个性化设定!$B$18:$E$48,4,FALSE)&amp;VLOOKUP(K174,[1]坦克个性化细分!$I$3:$J$33,2,FALSE),"")</f>
        <v>T3中</v>
      </c>
      <c r="M174" s="2" t="s">
        <v>328</v>
      </c>
      <c r="N174" s="2">
        <f t="shared" si="56"/>
        <v>3.6999999999999998E-2</v>
      </c>
      <c r="O174" s="33">
        <v>2</v>
      </c>
      <c r="P174" s="2">
        <f t="shared" si="57"/>
        <v>7.3999999999999996E-2</v>
      </c>
    </row>
    <row r="175" spans="2:25" x14ac:dyDescent="0.3">
      <c r="B175" s="2">
        <v>7</v>
      </c>
      <c r="C175" s="2" t="s">
        <v>658</v>
      </c>
      <c r="D175" s="2" t="str">
        <f>IFERROR(VLOOKUP(C175,[1]坦克个性化设定!$B$18:$E$48,4,FALSE)&amp;VLOOKUP(C175,[1]坦克个性化细分!$I$3:$J$33,2,FALSE),"")</f>
        <v>T3中</v>
      </c>
      <c r="E175" s="2" t="s">
        <v>1743</v>
      </c>
      <c r="F175" s="2">
        <f t="shared" si="52"/>
        <v>3.6999999999999998E-2</v>
      </c>
      <c r="G175" s="33">
        <v>1</v>
      </c>
      <c r="H175" s="2">
        <f t="shared" si="53"/>
        <v>3.6999999999999998E-2</v>
      </c>
      <c r="J175" s="2">
        <v>8</v>
      </c>
      <c r="K175" s="2" t="s">
        <v>658</v>
      </c>
      <c r="L175" s="2" t="str">
        <f>IFERROR(VLOOKUP(K175,[1]坦克个性化设定!$B$18:$E$48,4,FALSE)&amp;VLOOKUP(K175,[1]坦克个性化细分!$I$3:$J$33,2,FALSE),"")</f>
        <v>T3中</v>
      </c>
      <c r="M175" s="2" t="s">
        <v>328</v>
      </c>
      <c r="N175" s="2">
        <f t="shared" si="56"/>
        <v>3.6999999999999998E-2</v>
      </c>
      <c r="O175" s="33">
        <v>2</v>
      </c>
      <c r="P175" s="2">
        <f t="shared" si="57"/>
        <v>7.3999999999999996E-2</v>
      </c>
    </row>
    <row r="176" spans="2:25" x14ac:dyDescent="0.3">
      <c r="J176" s="2">
        <v>8</v>
      </c>
      <c r="K176" s="2" t="s">
        <v>624</v>
      </c>
      <c r="L176" s="2" t="str">
        <f>IFERROR(VLOOKUP(K176,[1]坦克个性化设定!$B$18:$E$48,4,FALSE)&amp;VLOOKUP(K176,[1]坦克个性化细分!$I$3:$J$33,2,FALSE),"")</f>
        <v>T4低</v>
      </c>
      <c r="M176" s="2" t="s">
        <v>328</v>
      </c>
      <c r="N176" s="2">
        <f t="shared" si="56"/>
        <v>3.6999999999999998E-2</v>
      </c>
      <c r="O176" s="33">
        <v>1.2</v>
      </c>
      <c r="P176" s="2">
        <f t="shared" si="57"/>
        <v>4.4399999999999995E-2</v>
      </c>
    </row>
    <row r="177" spans="2:17" x14ac:dyDescent="0.3">
      <c r="J177" s="2">
        <v>8</v>
      </c>
      <c r="K177" s="2" t="s">
        <v>643</v>
      </c>
      <c r="L177" s="2" t="str">
        <f>IFERROR(VLOOKUP(K177,[1]坦克个性化设定!$B$18:$E$48,4,FALSE)&amp;VLOOKUP(K177,[1]坦克个性化细分!$I$3:$J$33,2,FALSE),"")</f>
        <v>T4低</v>
      </c>
      <c r="M177" s="2" t="s">
        <v>328</v>
      </c>
      <c r="N177" s="2">
        <f t="shared" si="56"/>
        <v>3.6999999999999998E-2</v>
      </c>
      <c r="O177" s="33">
        <v>1.2</v>
      </c>
      <c r="P177" s="2">
        <f t="shared" si="57"/>
        <v>4.4399999999999995E-2</v>
      </c>
    </row>
    <row r="178" spans="2:17" x14ac:dyDescent="0.3">
      <c r="B178" s="2" t="s">
        <v>385</v>
      </c>
      <c r="C178" s="2" t="s">
        <v>1800</v>
      </c>
      <c r="D178" s="2" t="s">
        <v>901</v>
      </c>
      <c r="E178" s="2" t="s">
        <v>3507</v>
      </c>
      <c r="F178" s="2" t="s">
        <v>3504</v>
      </c>
      <c r="G178" s="2" t="s">
        <v>379</v>
      </c>
      <c r="H178" s="2" t="s">
        <v>3508</v>
      </c>
      <c r="I178" s="1">
        <f>SUM(H179:H195)</f>
        <v>0.6623</v>
      </c>
      <c r="J178" s="2">
        <v>8</v>
      </c>
      <c r="K178" s="2" t="s">
        <v>662</v>
      </c>
      <c r="L178" s="2" t="str">
        <f>IFERROR(VLOOKUP(K178,[1]坦克个性化设定!$B$18:$E$48,4,FALSE)&amp;VLOOKUP(K178,[1]坦克个性化细分!$I$3:$J$33,2,FALSE),"")</f>
        <v>T4低</v>
      </c>
      <c r="M178" s="2" t="s">
        <v>328</v>
      </c>
      <c r="N178" s="2">
        <f t="shared" si="56"/>
        <v>3.6999999999999998E-2</v>
      </c>
      <c r="O178" s="33">
        <v>1.2</v>
      </c>
      <c r="P178" s="2">
        <f t="shared" si="57"/>
        <v>4.4399999999999995E-2</v>
      </c>
    </row>
    <row r="179" spans="2:17" x14ac:dyDescent="0.3">
      <c r="B179" s="2">
        <v>8</v>
      </c>
      <c r="C179" s="2" t="s">
        <v>524</v>
      </c>
      <c r="D179" s="2" t="str">
        <f>IFERROR(VLOOKUP(C179,[1]坦克个性化设定!$B$18:$E$48,4,FALSE)&amp;VLOOKUP(C179,[1]坦克个性化细分!$I$3:$J$33,2,FALSE),"")</f>
        <v>T2低</v>
      </c>
      <c r="E179" s="2" t="s">
        <v>1743</v>
      </c>
      <c r="F179" s="2">
        <f t="shared" ref="F179:F195" si="58">$E$69</f>
        <v>3.6999999999999998E-2</v>
      </c>
      <c r="G179" s="33">
        <v>1.3</v>
      </c>
      <c r="H179" s="2">
        <f t="shared" ref="H179:H195" si="59">F179*G179</f>
        <v>4.8099999999999997E-2</v>
      </c>
      <c r="J179" s="2">
        <v>8</v>
      </c>
      <c r="K179" s="2" t="s">
        <v>645</v>
      </c>
      <c r="L179" s="2" t="str">
        <f>IFERROR(VLOOKUP(K179,[1]坦克个性化设定!$B$18:$E$48,4,FALSE)&amp;VLOOKUP(K179,[1]坦克个性化细分!$I$3:$J$33,2,FALSE),"")</f>
        <v>T4中</v>
      </c>
      <c r="M179" s="2" t="s">
        <v>328</v>
      </c>
      <c r="N179" s="2">
        <f t="shared" si="56"/>
        <v>3.6999999999999998E-2</v>
      </c>
      <c r="O179" s="33">
        <v>1.2</v>
      </c>
      <c r="P179" s="2">
        <f t="shared" si="57"/>
        <v>4.4399999999999995E-2</v>
      </c>
    </row>
    <row r="180" spans="2:17" x14ac:dyDescent="0.3">
      <c r="B180" s="2">
        <v>8</v>
      </c>
      <c r="C180" s="2" t="s">
        <v>526</v>
      </c>
      <c r="D180" s="2" t="str">
        <f>IFERROR(VLOOKUP(C180,[1]坦克个性化设定!$B$18:$E$48,4,FALSE)&amp;VLOOKUP(C180,[1]坦克个性化细分!$I$3:$J$33,2,FALSE),"")</f>
        <v>T2低</v>
      </c>
      <c r="E180" s="2" t="s">
        <v>1743</v>
      </c>
      <c r="F180" s="2">
        <f t="shared" si="58"/>
        <v>3.6999999999999998E-2</v>
      </c>
      <c r="G180" s="33">
        <v>1.3</v>
      </c>
      <c r="H180" s="2">
        <f t="shared" si="59"/>
        <v>4.8099999999999997E-2</v>
      </c>
      <c r="J180" s="2">
        <v>8</v>
      </c>
      <c r="K180" s="2" t="s">
        <v>629</v>
      </c>
      <c r="L180" s="2" t="str">
        <f>IFERROR(VLOOKUP(K180,[1]坦克个性化设定!$B$18:$E$48,4,FALSE)&amp;VLOOKUP(K180,[1]坦克个性化细分!$I$3:$J$33,2,FALSE),"")</f>
        <v>T4高</v>
      </c>
      <c r="M180" s="2" t="s">
        <v>328</v>
      </c>
      <c r="N180" s="2">
        <f t="shared" si="56"/>
        <v>3.6999999999999998E-2</v>
      </c>
      <c r="O180" s="33">
        <v>1.2</v>
      </c>
      <c r="P180" s="2">
        <f t="shared" si="57"/>
        <v>4.4399999999999995E-2</v>
      </c>
    </row>
    <row r="181" spans="2:17" x14ac:dyDescent="0.3">
      <c r="B181" s="2">
        <v>8</v>
      </c>
      <c r="C181" s="2" t="s">
        <v>653</v>
      </c>
      <c r="D181" s="2" t="str">
        <f>IFERROR(VLOOKUP(C181,[1]坦克个性化设定!$B$18:$E$48,4,FALSE)&amp;VLOOKUP(C181,[1]坦克个性化细分!$I$3:$J$33,2,FALSE),"")</f>
        <v>T2低</v>
      </c>
      <c r="E181" s="2" t="s">
        <v>1743</v>
      </c>
      <c r="F181" s="2">
        <f t="shared" si="58"/>
        <v>3.6999999999999998E-2</v>
      </c>
      <c r="G181" s="33">
        <v>1.3</v>
      </c>
      <c r="H181" s="2">
        <f t="shared" si="59"/>
        <v>4.8099999999999997E-2</v>
      </c>
      <c r="J181" s="2">
        <v>8</v>
      </c>
      <c r="K181" s="2" t="s">
        <v>620</v>
      </c>
      <c r="L181" s="2" t="str">
        <f>IFERROR(VLOOKUP(K181,[1]坦克个性化设定!$B$18:$E$48,4,FALSE)&amp;VLOOKUP(K181,[1]坦克个性化细分!$I$3:$J$33,2,FALSE),"")</f>
        <v>T3中</v>
      </c>
      <c r="M181" s="2" t="s">
        <v>1743</v>
      </c>
      <c r="N181" s="2">
        <f t="shared" si="56"/>
        <v>3.6999999999999998E-2</v>
      </c>
      <c r="O181" s="33">
        <v>1</v>
      </c>
      <c r="P181" s="2">
        <f t="shared" si="57"/>
        <v>3.6999999999999998E-2</v>
      </c>
    </row>
    <row r="182" spans="2:17" x14ac:dyDescent="0.3">
      <c r="B182" s="2">
        <v>8</v>
      </c>
      <c r="C182" s="2" t="s">
        <v>616</v>
      </c>
      <c r="D182" s="2" t="str">
        <f>IFERROR(VLOOKUP(C182,[1]坦克个性化设定!$B$18:$E$48,4,FALSE)&amp;VLOOKUP(C182,[1]坦克个性化细分!$I$3:$J$33,2,FALSE),"")</f>
        <v>T2中</v>
      </c>
      <c r="E182" s="2" t="s">
        <v>1743</v>
      </c>
      <c r="F182" s="2">
        <f t="shared" si="58"/>
        <v>3.6999999999999998E-2</v>
      </c>
      <c r="G182" s="33">
        <v>1</v>
      </c>
      <c r="H182" s="2">
        <f t="shared" si="59"/>
        <v>3.6999999999999998E-2</v>
      </c>
      <c r="J182" s="2">
        <v>8</v>
      </c>
      <c r="K182" s="2" t="s">
        <v>639</v>
      </c>
      <c r="L182" s="2" t="str">
        <f>IFERROR(VLOOKUP(K182,[1]坦克个性化设定!$B$18:$E$48,4,FALSE)&amp;VLOOKUP(K182,[1]坦克个性化细分!$I$3:$J$33,2,FALSE),"")</f>
        <v>T3中</v>
      </c>
      <c r="M182" s="2" t="s">
        <v>1743</v>
      </c>
      <c r="N182" s="2">
        <f t="shared" si="56"/>
        <v>3.6999999999999998E-2</v>
      </c>
      <c r="O182" s="33">
        <v>1</v>
      </c>
      <c r="P182" s="2">
        <f t="shared" si="57"/>
        <v>3.6999999999999998E-2</v>
      </c>
    </row>
    <row r="183" spans="2:17" x14ac:dyDescent="0.3">
      <c r="B183" s="2">
        <v>8</v>
      </c>
      <c r="C183" s="2" t="s">
        <v>636</v>
      </c>
      <c r="D183" s="2" t="str">
        <f>IFERROR(VLOOKUP(C183,[1]坦克个性化设定!$B$18:$E$48,4,FALSE)&amp;VLOOKUP(C183,[1]坦克个性化细分!$I$3:$J$33,2,FALSE),"")</f>
        <v>T2中</v>
      </c>
      <c r="E183" s="2" t="s">
        <v>1743</v>
      </c>
      <c r="F183" s="2">
        <f t="shared" si="58"/>
        <v>3.6999999999999998E-2</v>
      </c>
      <c r="G183" s="33">
        <v>1</v>
      </c>
      <c r="H183" s="2">
        <f t="shared" si="59"/>
        <v>3.6999999999999998E-2</v>
      </c>
      <c r="J183" s="2">
        <v>8</v>
      </c>
      <c r="K183" s="2" t="s">
        <v>658</v>
      </c>
      <c r="L183" s="2" t="str">
        <f>IFERROR(VLOOKUP(K183,[1]坦克个性化设定!$B$18:$E$48,4,FALSE)&amp;VLOOKUP(K183,[1]坦克个性化细分!$I$3:$J$33,2,FALSE),"")</f>
        <v>T3中</v>
      </c>
      <c r="M183" s="2" t="s">
        <v>1743</v>
      </c>
      <c r="N183" s="2">
        <f t="shared" si="56"/>
        <v>3.6999999999999998E-2</v>
      </c>
      <c r="O183" s="33">
        <v>1</v>
      </c>
      <c r="P183" s="2">
        <f t="shared" si="57"/>
        <v>3.6999999999999998E-2</v>
      </c>
    </row>
    <row r="184" spans="2:17" x14ac:dyDescent="0.3">
      <c r="B184" s="2">
        <v>8</v>
      </c>
      <c r="C184" s="2" t="s">
        <v>655</v>
      </c>
      <c r="D184" s="2" t="str">
        <f>IFERROR(VLOOKUP(C184,[1]坦克个性化设定!$B$18:$E$48,4,FALSE)&amp;VLOOKUP(C184,[1]坦克个性化细分!$I$3:$J$33,2,FALSE),"")</f>
        <v>T2中</v>
      </c>
      <c r="E184" s="2" t="s">
        <v>1743</v>
      </c>
      <c r="F184" s="2">
        <f t="shared" si="58"/>
        <v>3.6999999999999998E-2</v>
      </c>
      <c r="G184" s="33">
        <v>1</v>
      </c>
      <c r="H184" s="2">
        <f t="shared" si="59"/>
        <v>3.6999999999999998E-2</v>
      </c>
      <c r="J184" s="2">
        <v>8</v>
      </c>
      <c r="K184" s="2" t="s">
        <v>624</v>
      </c>
      <c r="L184" s="2" t="str">
        <f>IFERROR(VLOOKUP(K184,[1]坦克个性化设定!$B$18:$E$48,4,FALSE)&amp;VLOOKUP(K184,[1]坦克个性化细分!$I$3:$J$33,2,FALSE),"")</f>
        <v>T4低</v>
      </c>
      <c r="M184" s="2" t="s">
        <v>1743</v>
      </c>
      <c r="N184" s="2">
        <f t="shared" si="56"/>
        <v>3.6999999999999998E-2</v>
      </c>
      <c r="O184" s="33">
        <v>0.6</v>
      </c>
      <c r="P184" s="2">
        <f t="shared" si="57"/>
        <v>2.2199999999999998E-2</v>
      </c>
    </row>
    <row r="185" spans="2:17" x14ac:dyDescent="0.3">
      <c r="B185" s="2">
        <v>8</v>
      </c>
      <c r="C185" s="2" t="s">
        <v>530</v>
      </c>
      <c r="D185" s="2" t="str">
        <f>IFERROR(VLOOKUP(C185,[1]坦克个性化设定!$B$18:$E$48,4,FALSE)&amp;VLOOKUP(C185,[1]坦克个性化细分!$I$3:$J$33,2,FALSE),"")</f>
        <v>T3低</v>
      </c>
      <c r="E185" s="2" t="s">
        <v>1743</v>
      </c>
      <c r="F185" s="2">
        <f t="shared" si="58"/>
        <v>3.6999999999999998E-2</v>
      </c>
      <c r="G185" s="33">
        <v>1</v>
      </c>
      <c r="H185" s="2">
        <f t="shared" si="59"/>
        <v>3.6999999999999998E-2</v>
      </c>
      <c r="J185" s="2">
        <v>8</v>
      </c>
      <c r="K185" s="2" t="s">
        <v>643</v>
      </c>
      <c r="L185" s="2" t="str">
        <f>IFERROR(VLOOKUP(K185,[1]坦克个性化设定!$B$18:$E$48,4,FALSE)&amp;VLOOKUP(K185,[1]坦克个性化细分!$I$3:$J$33,2,FALSE),"")</f>
        <v>T4低</v>
      </c>
      <c r="M185" s="2" t="s">
        <v>1743</v>
      </c>
      <c r="N185" s="2">
        <f t="shared" si="56"/>
        <v>3.6999999999999998E-2</v>
      </c>
      <c r="O185" s="33">
        <v>0.6</v>
      </c>
      <c r="P185" s="2">
        <f t="shared" si="57"/>
        <v>2.2199999999999998E-2</v>
      </c>
    </row>
    <row r="186" spans="2:17" x14ac:dyDescent="0.3">
      <c r="B186" s="2">
        <v>8</v>
      </c>
      <c r="C186" s="2" t="s">
        <v>534</v>
      </c>
      <c r="D186" s="2" t="str">
        <f>IFERROR(VLOOKUP(C186,[1]坦克个性化设定!$B$18:$E$48,4,FALSE)&amp;VLOOKUP(C186,[1]坦克个性化细分!$I$3:$J$33,2,FALSE),"")</f>
        <v>T3低</v>
      </c>
      <c r="E186" s="2" t="s">
        <v>1743</v>
      </c>
      <c r="F186" s="2">
        <f t="shared" si="58"/>
        <v>3.6999999999999998E-2</v>
      </c>
      <c r="G186" s="33">
        <v>1</v>
      </c>
      <c r="H186" s="2">
        <f t="shared" si="59"/>
        <v>3.6999999999999998E-2</v>
      </c>
      <c r="J186" s="2">
        <v>8</v>
      </c>
      <c r="K186" s="2" t="s">
        <v>662</v>
      </c>
      <c r="L186" s="2" t="str">
        <f>IFERROR(VLOOKUP(K186,[1]坦克个性化设定!$B$18:$E$48,4,FALSE)&amp;VLOOKUP(K186,[1]坦克个性化细分!$I$3:$J$33,2,FALSE),"")</f>
        <v>T4低</v>
      </c>
      <c r="M186" s="2" t="s">
        <v>1743</v>
      </c>
      <c r="N186" s="2">
        <f t="shared" si="56"/>
        <v>3.6999999999999998E-2</v>
      </c>
      <c r="O186" s="33">
        <v>0.6</v>
      </c>
      <c r="P186" s="2">
        <f t="shared" si="57"/>
        <v>2.2199999999999998E-2</v>
      </c>
    </row>
    <row r="187" spans="2:17" x14ac:dyDescent="0.3">
      <c r="B187" s="2">
        <v>8</v>
      </c>
      <c r="C187" s="2" t="s">
        <v>538</v>
      </c>
      <c r="D187" s="2" t="str">
        <f>IFERROR(VLOOKUP(C187,[1]坦克个性化设定!$B$18:$E$48,4,FALSE)&amp;VLOOKUP(C187,[1]坦克个性化细分!$I$3:$J$33,2,FALSE),"")</f>
        <v>T3低</v>
      </c>
      <c r="E187" s="2" t="s">
        <v>1743</v>
      </c>
      <c r="F187" s="2">
        <f t="shared" si="58"/>
        <v>3.6999999999999998E-2</v>
      </c>
      <c r="G187" s="33">
        <v>1</v>
      </c>
      <c r="H187" s="2">
        <f t="shared" si="59"/>
        <v>3.6999999999999998E-2</v>
      </c>
      <c r="J187" s="2">
        <v>8</v>
      </c>
      <c r="K187" s="2" t="s">
        <v>627</v>
      </c>
      <c r="L187" s="2" t="str">
        <f>IFERROR(VLOOKUP(K187,[1]坦克个性化设定!$B$18:$E$48,4,FALSE)&amp;VLOOKUP(K187,[1]坦克个性化细分!$I$3:$J$33,2,FALSE),"")</f>
        <v>T4中</v>
      </c>
      <c r="M187" s="2" t="s">
        <v>1743</v>
      </c>
      <c r="N187" s="2">
        <f t="shared" si="56"/>
        <v>3.6999999999999998E-2</v>
      </c>
      <c r="O187" s="33">
        <v>0.6</v>
      </c>
      <c r="P187" s="2">
        <f t="shared" si="57"/>
        <v>2.2199999999999998E-2</v>
      </c>
    </row>
    <row r="188" spans="2:17" x14ac:dyDescent="0.3">
      <c r="B188" s="2">
        <v>8</v>
      </c>
      <c r="C188" s="2" t="s">
        <v>620</v>
      </c>
      <c r="D188" s="2" t="str">
        <f>IFERROR(VLOOKUP(C188,[1]坦克个性化设定!$B$18:$E$48,4,FALSE)&amp;VLOOKUP(C188,[1]坦克个性化细分!$I$3:$J$33,2,FALSE),"")</f>
        <v>T3中</v>
      </c>
      <c r="E188" s="2" t="s">
        <v>1743</v>
      </c>
      <c r="F188" s="2">
        <f t="shared" si="58"/>
        <v>3.6999999999999998E-2</v>
      </c>
      <c r="G188" s="33">
        <v>1</v>
      </c>
      <c r="H188" s="2">
        <f t="shared" si="59"/>
        <v>3.6999999999999998E-2</v>
      </c>
      <c r="J188" s="2">
        <v>8</v>
      </c>
      <c r="K188" s="2" t="s">
        <v>629</v>
      </c>
      <c r="L188" s="2" t="str">
        <f>IFERROR(VLOOKUP(K188,[1]坦克个性化设定!$B$18:$E$48,4,FALSE)&amp;VLOOKUP(K188,[1]坦克个性化细分!$I$3:$J$33,2,FALSE),"")</f>
        <v>T4高</v>
      </c>
      <c r="M188" s="2" t="s">
        <v>1743</v>
      </c>
      <c r="N188" s="2">
        <f t="shared" si="56"/>
        <v>3.6999999999999998E-2</v>
      </c>
      <c r="O188" s="33">
        <v>0.6</v>
      </c>
      <c r="P188" s="2">
        <f t="shared" si="57"/>
        <v>2.2199999999999998E-2</v>
      </c>
    </row>
    <row r="189" spans="2:17" x14ac:dyDescent="0.3">
      <c r="B189" s="2">
        <v>8</v>
      </c>
      <c r="C189" s="2" t="s">
        <v>639</v>
      </c>
      <c r="D189" s="2" t="str">
        <f>IFERROR(VLOOKUP(C189,[1]坦克个性化设定!$B$18:$E$48,4,FALSE)&amp;VLOOKUP(C189,[1]坦克个性化细分!$I$3:$J$33,2,FALSE),"")</f>
        <v>T3中</v>
      </c>
      <c r="E189" s="2" t="s">
        <v>1743</v>
      </c>
      <c r="F189" s="2">
        <f t="shared" si="58"/>
        <v>3.6999999999999998E-2</v>
      </c>
      <c r="G189" s="33">
        <v>1</v>
      </c>
      <c r="H189" s="2">
        <f t="shared" si="59"/>
        <v>3.6999999999999998E-2</v>
      </c>
    </row>
    <row r="190" spans="2:17" x14ac:dyDescent="0.3">
      <c r="B190" s="2">
        <v>8</v>
      </c>
      <c r="C190" s="2" t="s">
        <v>658</v>
      </c>
      <c r="D190" s="2" t="str">
        <f>IFERROR(VLOOKUP(C190,[1]坦克个性化设定!$B$18:$E$48,4,FALSE)&amp;VLOOKUP(C190,[1]坦克个性化细分!$I$3:$J$33,2,FALSE),"")</f>
        <v>T3中</v>
      </c>
      <c r="E190" s="2" t="s">
        <v>1743</v>
      </c>
      <c r="F190" s="2">
        <f t="shared" si="58"/>
        <v>3.6999999999999998E-2</v>
      </c>
      <c r="G190" s="33">
        <v>1</v>
      </c>
      <c r="H190" s="2">
        <f t="shared" si="59"/>
        <v>3.6999999999999998E-2</v>
      </c>
    </row>
    <row r="191" spans="2:17" x14ac:dyDescent="0.3">
      <c r="B191" s="2">
        <v>8</v>
      </c>
      <c r="C191" s="2" t="s">
        <v>624</v>
      </c>
      <c r="D191" s="2" t="str">
        <f>IFERROR(VLOOKUP(C191,[1]坦克个性化设定!$B$18:$E$48,4,FALSE)&amp;VLOOKUP(C191,[1]坦克个性化细分!$I$3:$J$33,2,FALSE),"")</f>
        <v>T4低</v>
      </c>
      <c r="E191" s="2" t="s">
        <v>1743</v>
      </c>
      <c r="F191" s="2">
        <f t="shared" si="58"/>
        <v>3.6999999999999998E-2</v>
      </c>
      <c r="G191" s="33">
        <v>1</v>
      </c>
      <c r="H191" s="2">
        <f t="shared" si="59"/>
        <v>3.6999999999999998E-2</v>
      </c>
      <c r="J191" s="2" t="s">
        <v>385</v>
      </c>
      <c r="K191" s="2" t="s">
        <v>1800</v>
      </c>
      <c r="L191" s="2" t="s">
        <v>901</v>
      </c>
      <c r="M191" s="2" t="s">
        <v>3507</v>
      </c>
      <c r="N191" s="2" t="s">
        <v>3504</v>
      </c>
      <c r="O191" s="2" t="s">
        <v>379</v>
      </c>
      <c r="P191" s="2" t="s">
        <v>3508</v>
      </c>
      <c r="Q191" s="1">
        <f>SUM(P192:P205)</f>
        <v>0.54389999999999994</v>
      </c>
    </row>
    <row r="192" spans="2:17" x14ac:dyDescent="0.3">
      <c r="B192" s="2">
        <v>8</v>
      </c>
      <c r="C192" s="2" t="s">
        <v>643</v>
      </c>
      <c r="D192" s="2" t="str">
        <f>IFERROR(VLOOKUP(C192,[1]坦克个性化设定!$B$18:$E$48,4,FALSE)&amp;VLOOKUP(C192,[1]坦克个性化细分!$I$3:$J$33,2,FALSE),"")</f>
        <v>T4低</v>
      </c>
      <c r="E192" s="2" t="s">
        <v>1743</v>
      </c>
      <c r="F192" s="2">
        <f t="shared" si="58"/>
        <v>3.6999999999999998E-2</v>
      </c>
      <c r="G192" s="33">
        <v>1</v>
      </c>
      <c r="H192" s="2">
        <f t="shared" si="59"/>
        <v>3.6999999999999998E-2</v>
      </c>
      <c r="J192" s="2">
        <v>9</v>
      </c>
      <c r="K192" s="2" t="s">
        <v>624</v>
      </c>
      <c r="L192" s="2" t="str">
        <f>IFERROR(VLOOKUP(K192,[1]坦克个性化设定!$B$18:$E$48,4,FALSE)&amp;VLOOKUP(K192,[1]坦克个性化细分!$I$3:$J$33,2,FALSE),"")</f>
        <v>T4低</v>
      </c>
      <c r="M192" s="2" t="s">
        <v>328</v>
      </c>
      <c r="N192" s="2">
        <f t="shared" ref="N192:N205" si="60">$E$69</f>
        <v>3.6999999999999998E-2</v>
      </c>
      <c r="O192" s="34">
        <v>1.4</v>
      </c>
      <c r="P192" s="2">
        <f t="shared" ref="P192:P205" si="61">N192*O192</f>
        <v>5.1799999999999992E-2</v>
      </c>
    </row>
    <row r="193" spans="2:17" x14ac:dyDescent="0.3">
      <c r="B193" s="2">
        <v>8</v>
      </c>
      <c r="C193" s="2" t="s">
        <v>662</v>
      </c>
      <c r="D193" s="2" t="str">
        <f>IFERROR(VLOOKUP(C193,[1]坦克个性化设定!$B$18:$E$48,4,FALSE)&amp;VLOOKUP(C193,[1]坦克个性化细分!$I$3:$J$33,2,FALSE),"")</f>
        <v>T4低</v>
      </c>
      <c r="E193" s="2" t="s">
        <v>1743</v>
      </c>
      <c r="F193" s="2">
        <f t="shared" si="58"/>
        <v>3.6999999999999998E-2</v>
      </c>
      <c r="G193" s="33">
        <v>1</v>
      </c>
      <c r="H193" s="2">
        <f t="shared" si="59"/>
        <v>3.6999999999999998E-2</v>
      </c>
      <c r="J193" s="2">
        <v>9</v>
      </c>
      <c r="K193" s="2" t="s">
        <v>643</v>
      </c>
      <c r="L193" s="2" t="str">
        <f>IFERROR(VLOOKUP(K193,[1]坦克个性化设定!$B$18:$E$48,4,FALSE)&amp;VLOOKUP(K193,[1]坦克个性化细分!$I$3:$J$33,2,FALSE),"")</f>
        <v>T4低</v>
      </c>
      <c r="M193" s="2" t="s">
        <v>328</v>
      </c>
      <c r="N193" s="2">
        <f t="shared" si="60"/>
        <v>3.6999999999999998E-2</v>
      </c>
      <c r="O193" s="34">
        <v>1.4</v>
      </c>
      <c r="P193" s="2">
        <f t="shared" si="61"/>
        <v>5.1799999999999992E-2</v>
      </c>
    </row>
    <row r="194" spans="2:17" x14ac:dyDescent="0.3">
      <c r="B194" s="2">
        <v>8</v>
      </c>
      <c r="C194" s="2" t="s">
        <v>627</v>
      </c>
      <c r="D194" s="2" t="str">
        <f>IFERROR(VLOOKUP(C194,[1]坦克个性化设定!$B$18:$E$48,4,FALSE)&amp;VLOOKUP(C194,[1]坦克个性化细分!$I$3:$J$33,2,FALSE),"")</f>
        <v>T4中</v>
      </c>
      <c r="E194" s="2" t="s">
        <v>1743</v>
      </c>
      <c r="F194" s="2">
        <f t="shared" si="58"/>
        <v>3.6999999999999998E-2</v>
      </c>
      <c r="G194" s="33">
        <v>1</v>
      </c>
      <c r="H194" s="2">
        <f t="shared" si="59"/>
        <v>3.6999999999999998E-2</v>
      </c>
      <c r="J194" s="2">
        <v>9</v>
      </c>
      <c r="K194" s="2" t="s">
        <v>662</v>
      </c>
      <c r="L194" s="2" t="str">
        <f>IFERROR(VLOOKUP(K194,[1]坦克个性化设定!$B$18:$E$48,4,FALSE)&amp;VLOOKUP(K194,[1]坦克个性化细分!$I$3:$J$33,2,FALSE),"")</f>
        <v>T4低</v>
      </c>
      <c r="M194" s="2" t="s">
        <v>328</v>
      </c>
      <c r="N194" s="2">
        <f t="shared" si="60"/>
        <v>3.6999999999999998E-2</v>
      </c>
      <c r="O194" s="34">
        <v>1.4</v>
      </c>
      <c r="P194" s="2">
        <f t="shared" si="61"/>
        <v>5.1799999999999992E-2</v>
      </c>
    </row>
    <row r="195" spans="2:17" x14ac:dyDescent="0.3">
      <c r="B195" s="2">
        <v>8</v>
      </c>
      <c r="C195" s="2" t="s">
        <v>629</v>
      </c>
      <c r="D195" s="2" t="str">
        <f>IFERROR(VLOOKUP(C195,[1]坦克个性化设定!$B$18:$E$48,4,FALSE)&amp;VLOOKUP(C195,[1]坦克个性化细分!$I$3:$J$33,2,FALSE),"")</f>
        <v>T4高</v>
      </c>
      <c r="E195" s="2" t="s">
        <v>1743</v>
      </c>
      <c r="F195" s="2">
        <f t="shared" si="58"/>
        <v>3.6999999999999998E-2</v>
      </c>
      <c r="G195" s="33">
        <v>1</v>
      </c>
      <c r="H195" s="2">
        <f t="shared" si="59"/>
        <v>3.6999999999999998E-2</v>
      </c>
      <c r="J195" s="2">
        <v>9</v>
      </c>
      <c r="K195" s="2" t="s">
        <v>627</v>
      </c>
      <c r="L195" s="2" t="str">
        <f>IFERROR(VLOOKUP(K195,[1]坦克个性化设定!$B$18:$E$48,4,FALSE)&amp;VLOOKUP(K195,[1]坦克个性化细分!$I$3:$J$33,2,FALSE),"")</f>
        <v>T4中</v>
      </c>
      <c r="M195" s="2" t="s">
        <v>328</v>
      </c>
      <c r="N195" s="2">
        <f t="shared" si="60"/>
        <v>3.6999999999999998E-2</v>
      </c>
      <c r="O195" s="34">
        <v>1.4</v>
      </c>
      <c r="P195" s="2">
        <f t="shared" si="61"/>
        <v>5.1799999999999992E-2</v>
      </c>
    </row>
    <row r="196" spans="2:17" x14ac:dyDescent="0.3">
      <c r="J196" s="2">
        <v>9</v>
      </c>
      <c r="K196" s="2" t="s">
        <v>645</v>
      </c>
      <c r="L196" s="2" t="str">
        <f>IFERROR(VLOOKUP(K196,[1]坦克个性化设定!$B$18:$E$48,4,FALSE)&amp;VLOOKUP(K196,[1]坦克个性化细分!$I$3:$J$33,2,FALSE),"")</f>
        <v>T4中</v>
      </c>
      <c r="M196" s="2" t="s">
        <v>328</v>
      </c>
      <c r="N196" s="2">
        <f t="shared" si="60"/>
        <v>3.6999999999999998E-2</v>
      </c>
      <c r="O196" s="34">
        <v>1.4</v>
      </c>
      <c r="P196" s="2">
        <f t="shared" si="61"/>
        <v>5.1799999999999992E-2</v>
      </c>
    </row>
    <row r="197" spans="2:17" x14ac:dyDescent="0.3">
      <c r="J197" s="2">
        <v>9</v>
      </c>
      <c r="K197" s="2" t="s">
        <v>629</v>
      </c>
      <c r="L197" s="2" t="str">
        <f>IFERROR(VLOOKUP(K197,[1]坦克个性化设定!$B$18:$E$48,4,FALSE)&amp;VLOOKUP(K197,[1]坦克个性化细分!$I$3:$J$33,2,FALSE),"")</f>
        <v>T4高</v>
      </c>
      <c r="M197" s="2" t="s">
        <v>328</v>
      </c>
      <c r="N197" s="2">
        <f t="shared" si="60"/>
        <v>3.6999999999999998E-2</v>
      </c>
      <c r="O197" s="34">
        <v>1.4</v>
      </c>
      <c r="P197" s="2">
        <f t="shared" si="61"/>
        <v>5.1799999999999992E-2</v>
      </c>
    </row>
    <row r="198" spans="2:17" x14ac:dyDescent="0.3">
      <c r="B198" s="2" t="s">
        <v>385</v>
      </c>
      <c r="C198" s="2" t="s">
        <v>1800</v>
      </c>
      <c r="D198" s="2" t="s">
        <v>901</v>
      </c>
      <c r="E198" s="2" t="s">
        <v>3507</v>
      </c>
      <c r="F198" s="2" t="s">
        <v>3504</v>
      </c>
      <c r="G198" s="2" t="s">
        <v>379</v>
      </c>
      <c r="H198" s="2" t="s">
        <v>3508</v>
      </c>
      <c r="I198" s="1">
        <f>SUM(H199:H214)</f>
        <v>0.59199999999999997</v>
      </c>
      <c r="J198" s="2">
        <v>9</v>
      </c>
      <c r="K198" s="2" t="s">
        <v>647</v>
      </c>
      <c r="L198" s="2" t="str">
        <f>IFERROR(VLOOKUP(K198,[1]坦克个性化设定!$B$18:$E$48,4,FALSE)&amp;VLOOKUP(K198,[1]坦克个性化细分!$I$3:$J$33,2,FALSE),"")</f>
        <v>T4高</v>
      </c>
      <c r="M198" s="2" t="s">
        <v>328</v>
      </c>
      <c r="N198" s="2">
        <f t="shared" si="60"/>
        <v>3.6999999999999998E-2</v>
      </c>
      <c r="O198" s="34">
        <v>1.4</v>
      </c>
      <c r="P198" s="2">
        <f t="shared" si="61"/>
        <v>5.1799999999999992E-2</v>
      </c>
    </row>
    <row r="199" spans="2:17" x14ac:dyDescent="0.3">
      <c r="B199" s="2">
        <v>9</v>
      </c>
      <c r="C199" s="2" t="s">
        <v>616</v>
      </c>
      <c r="D199" s="2" t="str">
        <f>IFERROR(VLOOKUP(C199,[1]坦克个性化设定!$B$18:$E$48,4,FALSE)&amp;VLOOKUP(C199,[1]坦克个性化细分!$I$3:$J$33,2,FALSE),"")</f>
        <v>T2中</v>
      </c>
      <c r="E199" s="2" t="s">
        <v>1743</v>
      </c>
      <c r="F199" s="2">
        <f t="shared" ref="F199:F214" si="62">$E$69</f>
        <v>3.6999999999999998E-2</v>
      </c>
      <c r="G199" s="33">
        <v>1</v>
      </c>
      <c r="H199" s="2">
        <f t="shared" ref="H199:H214" si="63">F199*G199</f>
        <v>3.6999999999999998E-2</v>
      </c>
      <c r="J199" s="2">
        <v>9</v>
      </c>
      <c r="K199" s="2" t="s">
        <v>624</v>
      </c>
      <c r="L199" s="2" t="str">
        <f>IFERROR(VLOOKUP(K199,[1]坦克个性化设定!$B$18:$E$48,4,FALSE)&amp;VLOOKUP(K199,[1]坦克个性化细分!$I$3:$J$33,2,FALSE),"")</f>
        <v>T4低</v>
      </c>
      <c r="M199" s="2" t="s">
        <v>1743</v>
      </c>
      <c r="N199" s="2">
        <f t="shared" si="60"/>
        <v>3.6999999999999998E-2</v>
      </c>
      <c r="O199" s="34">
        <v>0.7</v>
      </c>
      <c r="P199" s="2">
        <f t="shared" si="61"/>
        <v>2.5899999999999996E-2</v>
      </c>
    </row>
    <row r="200" spans="2:17" x14ac:dyDescent="0.3">
      <c r="B200" s="2">
        <v>9</v>
      </c>
      <c r="C200" s="2" t="s">
        <v>636</v>
      </c>
      <c r="D200" s="2" t="str">
        <f>IFERROR(VLOOKUP(C200,[1]坦克个性化设定!$B$18:$E$48,4,FALSE)&amp;VLOOKUP(C200,[1]坦克个性化细分!$I$3:$J$33,2,FALSE),"")</f>
        <v>T2中</v>
      </c>
      <c r="E200" s="2" t="s">
        <v>1743</v>
      </c>
      <c r="F200" s="2">
        <f t="shared" si="62"/>
        <v>3.6999999999999998E-2</v>
      </c>
      <c r="G200" s="33">
        <v>1</v>
      </c>
      <c r="H200" s="2">
        <f t="shared" si="63"/>
        <v>3.6999999999999998E-2</v>
      </c>
      <c r="J200" s="2">
        <v>9</v>
      </c>
      <c r="K200" s="2" t="s">
        <v>643</v>
      </c>
      <c r="L200" s="2" t="str">
        <f>IFERROR(VLOOKUP(K200,[1]坦克个性化设定!$B$18:$E$48,4,FALSE)&amp;VLOOKUP(K200,[1]坦克个性化细分!$I$3:$J$33,2,FALSE),"")</f>
        <v>T4低</v>
      </c>
      <c r="M200" s="2" t="s">
        <v>1743</v>
      </c>
      <c r="N200" s="2">
        <f t="shared" si="60"/>
        <v>3.6999999999999998E-2</v>
      </c>
      <c r="O200" s="34">
        <v>0.7</v>
      </c>
      <c r="P200" s="2">
        <f t="shared" si="61"/>
        <v>2.5899999999999996E-2</v>
      </c>
    </row>
    <row r="201" spans="2:17" x14ac:dyDescent="0.3">
      <c r="B201" s="2">
        <v>9</v>
      </c>
      <c r="C201" s="2" t="s">
        <v>655</v>
      </c>
      <c r="D201" s="2" t="str">
        <f>IFERROR(VLOOKUP(C201,[1]坦克个性化设定!$B$18:$E$48,4,FALSE)&amp;VLOOKUP(C201,[1]坦克个性化细分!$I$3:$J$33,2,FALSE),"")</f>
        <v>T2中</v>
      </c>
      <c r="E201" s="2" t="s">
        <v>1743</v>
      </c>
      <c r="F201" s="2">
        <f t="shared" si="62"/>
        <v>3.6999999999999998E-2</v>
      </c>
      <c r="G201" s="33">
        <v>1</v>
      </c>
      <c r="H201" s="2">
        <f t="shared" si="63"/>
        <v>3.6999999999999998E-2</v>
      </c>
      <c r="J201" s="2">
        <v>9</v>
      </c>
      <c r="K201" s="2" t="s">
        <v>662</v>
      </c>
      <c r="L201" s="2" t="str">
        <f>IFERROR(VLOOKUP(K201,[1]坦克个性化设定!$B$18:$E$48,4,FALSE)&amp;VLOOKUP(K201,[1]坦克个性化细分!$I$3:$J$33,2,FALSE),"")</f>
        <v>T4低</v>
      </c>
      <c r="M201" s="2" t="s">
        <v>1743</v>
      </c>
      <c r="N201" s="2">
        <f t="shared" si="60"/>
        <v>3.6999999999999998E-2</v>
      </c>
      <c r="O201" s="34">
        <v>0.7</v>
      </c>
      <c r="P201" s="2">
        <f t="shared" si="61"/>
        <v>2.5899999999999996E-2</v>
      </c>
    </row>
    <row r="202" spans="2:17" x14ac:dyDescent="0.3">
      <c r="B202" s="2">
        <v>9</v>
      </c>
      <c r="C202" s="2" t="s">
        <v>530</v>
      </c>
      <c r="D202" s="2" t="str">
        <f>IFERROR(VLOOKUP(C202,[1]坦克个性化设定!$B$18:$E$48,4,FALSE)&amp;VLOOKUP(C202,[1]坦克个性化细分!$I$3:$J$33,2,FALSE),"")</f>
        <v>T3低</v>
      </c>
      <c r="E202" s="2" t="s">
        <v>1743</v>
      </c>
      <c r="F202" s="2">
        <f t="shared" si="62"/>
        <v>3.6999999999999998E-2</v>
      </c>
      <c r="G202" s="33">
        <v>1</v>
      </c>
      <c r="H202" s="2">
        <f t="shared" si="63"/>
        <v>3.6999999999999998E-2</v>
      </c>
      <c r="J202" s="2">
        <v>9</v>
      </c>
      <c r="K202" s="2" t="s">
        <v>627</v>
      </c>
      <c r="L202" s="2" t="str">
        <f>IFERROR(VLOOKUP(K202,[1]坦克个性化设定!$B$18:$E$48,4,FALSE)&amp;VLOOKUP(K202,[1]坦克个性化细分!$I$3:$J$33,2,FALSE),"")</f>
        <v>T4中</v>
      </c>
      <c r="M202" s="2" t="s">
        <v>1743</v>
      </c>
      <c r="N202" s="2">
        <f t="shared" si="60"/>
        <v>3.6999999999999998E-2</v>
      </c>
      <c r="O202" s="34">
        <v>0.7</v>
      </c>
      <c r="P202" s="2">
        <f t="shared" si="61"/>
        <v>2.5899999999999996E-2</v>
      </c>
    </row>
    <row r="203" spans="2:17" x14ac:dyDescent="0.3">
      <c r="B203" s="2">
        <v>9</v>
      </c>
      <c r="C203" s="2" t="s">
        <v>534</v>
      </c>
      <c r="D203" s="2" t="str">
        <f>IFERROR(VLOOKUP(C203,[1]坦克个性化设定!$B$18:$E$48,4,FALSE)&amp;VLOOKUP(C203,[1]坦克个性化细分!$I$3:$J$33,2,FALSE),"")</f>
        <v>T3低</v>
      </c>
      <c r="E203" s="2" t="s">
        <v>1743</v>
      </c>
      <c r="F203" s="2">
        <f t="shared" si="62"/>
        <v>3.6999999999999998E-2</v>
      </c>
      <c r="G203" s="33">
        <v>1</v>
      </c>
      <c r="H203" s="2">
        <f t="shared" si="63"/>
        <v>3.6999999999999998E-2</v>
      </c>
      <c r="J203" s="2">
        <v>9</v>
      </c>
      <c r="K203" s="2" t="s">
        <v>645</v>
      </c>
      <c r="L203" s="2" t="str">
        <f>IFERROR(VLOOKUP(K203,[1]坦克个性化设定!$B$18:$E$48,4,FALSE)&amp;VLOOKUP(K203,[1]坦克个性化细分!$I$3:$J$33,2,FALSE),"")</f>
        <v>T4中</v>
      </c>
      <c r="M203" s="2" t="s">
        <v>1743</v>
      </c>
      <c r="N203" s="2">
        <f t="shared" si="60"/>
        <v>3.6999999999999998E-2</v>
      </c>
      <c r="O203" s="34">
        <v>0.7</v>
      </c>
      <c r="P203" s="2">
        <f t="shared" si="61"/>
        <v>2.5899999999999996E-2</v>
      </c>
    </row>
    <row r="204" spans="2:17" x14ac:dyDescent="0.3">
      <c r="B204" s="2">
        <v>9</v>
      </c>
      <c r="C204" s="2" t="s">
        <v>538</v>
      </c>
      <c r="D204" s="2" t="str">
        <f>IFERROR(VLOOKUP(C204,[1]坦克个性化设定!$B$18:$E$48,4,FALSE)&amp;VLOOKUP(C204,[1]坦克个性化细分!$I$3:$J$33,2,FALSE),"")</f>
        <v>T3低</v>
      </c>
      <c r="E204" s="2" t="s">
        <v>1743</v>
      </c>
      <c r="F204" s="2">
        <f t="shared" si="62"/>
        <v>3.6999999999999998E-2</v>
      </c>
      <c r="G204" s="33">
        <v>1</v>
      </c>
      <c r="H204" s="2">
        <f t="shared" si="63"/>
        <v>3.6999999999999998E-2</v>
      </c>
      <c r="J204" s="2">
        <v>9</v>
      </c>
      <c r="K204" s="2" t="s">
        <v>629</v>
      </c>
      <c r="L204" s="2" t="str">
        <f>IFERROR(VLOOKUP(K204,[1]坦克个性化设定!$B$18:$E$48,4,FALSE)&amp;VLOOKUP(K204,[1]坦克个性化细分!$I$3:$J$33,2,FALSE),"")</f>
        <v>T4高</v>
      </c>
      <c r="M204" s="2" t="s">
        <v>1743</v>
      </c>
      <c r="N204" s="2">
        <f t="shared" si="60"/>
        <v>3.6999999999999998E-2</v>
      </c>
      <c r="O204" s="34">
        <v>0.7</v>
      </c>
      <c r="P204" s="2">
        <f t="shared" si="61"/>
        <v>2.5899999999999996E-2</v>
      </c>
    </row>
    <row r="205" spans="2:17" x14ac:dyDescent="0.3">
      <c r="B205" s="2">
        <v>9</v>
      </c>
      <c r="C205" s="2" t="s">
        <v>620</v>
      </c>
      <c r="D205" s="2" t="str">
        <f>IFERROR(VLOOKUP(C205,[1]坦克个性化设定!$B$18:$E$48,4,FALSE)&amp;VLOOKUP(C205,[1]坦克个性化细分!$I$3:$J$33,2,FALSE),"")</f>
        <v>T3中</v>
      </c>
      <c r="E205" s="2" t="s">
        <v>1743</v>
      </c>
      <c r="F205" s="2">
        <f t="shared" si="62"/>
        <v>3.6999999999999998E-2</v>
      </c>
      <c r="G205" s="33">
        <v>1</v>
      </c>
      <c r="H205" s="2">
        <f t="shared" si="63"/>
        <v>3.6999999999999998E-2</v>
      </c>
      <c r="J205" s="2">
        <v>9</v>
      </c>
      <c r="K205" s="2" t="s">
        <v>647</v>
      </c>
      <c r="L205" s="2" t="str">
        <f>IFERROR(VLOOKUP(K205,[1]坦克个性化设定!$B$18:$E$48,4,FALSE)&amp;VLOOKUP(K205,[1]坦克个性化细分!$I$3:$J$33,2,FALSE),"")</f>
        <v>T4高</v>
      </c>
      <c r="M205" s="2" t="s">
        <v>1743</v>
      </c>
      <c r="N205" s="2">
        <f t="shared" si="60"/>
        <v>3.6999999999999998E-2</v>
      </c>
      <c r="O205" s="34">
        <v>0.7</v>
      </c>
      <c r="P205" s="2">
        <f t="shared" si="61"/>
        <v>2.5899999999999996E-2</v>
      </c>
    </row>
    <row r="206" spans="2:17" x14ac:dyDescent="0.3">
      <c r="B206" s="2">
        <v>9</v>
      </c>
      <c r="C206" s="2" t="s">
        <v>639</v>
      </c>
      <c r="D206" s="2" t="str">
        <f>IFERROR(VLOOKUP(C206,[1]坦克个性化设定!$B$18:$E$48,4,FALSE)&amp;VLOOKUP(C206,[1]坦克个性化细分!$I$3:$J$33,2,FALSE),"")</f>
        <v>T3中</v>
      </c>
      <c r="E206" s="2" t="s">
        <v>1743</v>
      </c>
      <c r="F206" s="2">
        <f t="shared" si="62"/>
        <v>3.6999999999999998E-2</v>
      </c>
      <c r="G206" s="33">
        <v>1</v>
      </c>
      <c r="H206" s="2">
        <f t="shared" si="63"/>
        <v>3.6999999999999998E-2</v>
      </c>
    </row>
    <row r="207" spans="2:17" x14ac:dyDescent="0.3">
      <c r="B207" s="2">
        <v>9</v>
      </c>
      <c r="C207" s="2" t="s">
        <v>658</v>
      </c>
      <c r="D207" s="2" t="str">
        <f>IFERROR(VLOOKUP(C207,[1]坦克个性化设定!$B$18:$E$48,4,FALSE)&amp;VLOOKUP(C207,[1]坦克个性化细分!$I$3:$J$33,2,FALSE),"")</f>
        <v>T3中</v>
      </c>
      <c r="E207" s="2" t="s">
        <v>1743</v>
      </c>
      <c r="F207" s="2">
        <f t="shared" si="62"/>
        <v>3.6999999999999998E-2</v>
      </c>
      <c r="G207" s="33">
        <v>1</v>
      </c>
      <c r="H207" s="2">
        <f t="shared" si="63"/>
        <v>3.6999999999999998E-2</v>
      </c>
    </row>
    <row r="208" spans="2:17" x14ac:dyDescent="0.3">
      <c r="B208" s="2">
        <v>9</v>
      </c>
      <c r="C208" s="2" t="s">
        <v>624</v>
      </c>
      <c r="D208" s="2" t="str">
        <f>IFERROR(VLOOKUP(C208,[1]坦克个性化设定!$B$18:$E$48,4,FALSE)&amp;VLOOKUP(C208,[1]坦克个性化细分!$I$3:$J$33,2,FALSE),"")</f>
        <v>T4低</v>
      </c>
      <c r="E208" s="2" t="s">
        <v>1743</v>
      </c>
      <c r="F208" s="2">
        <f t="shared" si="62"/>
        <v>3.6999999999999998E-2</v>
      </c>
      <c r="G208" s="33">
        <v>1</v>
      </c>
      <c r="H208" s="2">
        <f t="shared" si="63"/>
        <v>3.6999999999999998E-2</v>
      </c>
      <c r="J208" s="2" t="s">
        <v>385</v>
      </c>
      <c r="K208" s="2" t="s">
        <v>1800</v>
      </c>
      <c r="L208" s="2" t="s">
        <v>901</v>
      </c>
      <c r="M208" s="2" t="s">
        <v>3507</v>
      </c>
      <c r="N208" s="2" t="s">
        <v>3504</v>
      </c>
      <c r="O208" s="2" t="s">
        <v>379</v>
      </c>
      <c r="P208" s="2" t="s">
        <v>3508</v>
      </c>
      <c r="Q208" s="1">
        <f>SUM(P209:P226)</f>
        <v>0.6659999999999997</v>
      </c>
    </row>
    <row r="209" spans="2:16" x14ac:dyDescent="0.3">
      <c r="B209" s="2">
        <v>9</v>
      </c>
      <c r="C209" s="2" t="s">
        <v>643</v>
      </c>
      <c r="D209" s="2" t="str">
        <f>IFERROR(VLOOKUP(C209,[1]坦克个性化设定!$B$18:$E$48,4,FALSE)&amp;VLOOKUP(C209,[1]坦克个性化细分!$I$3:$J$33,2,FALSE),"")</f>
        <v>T4低</v>
      </c>
      <c r="E209" s="2" t="s">
        <v>1743</v>
      </c>
      <c r="F209" s="2">
        <f t="shared" si="62"/>
        <v>3.6999999999999998E-2</v>
      </c>
      <c r="G209" s="33">
        <v>1</v>
      </c>
      <c r="H209" s="2">
        <f t="shared" si="63"/>
        <v>3.6999999999999998E-2</v>
      </c>
      <c r="J209" s="2">
        <v>10</v>
      </c>
      <c r="K209" s="2" t="s">
        <v>624</v>
      </c>
      <c r="L209" s="2" t="str">
        <f>IFERROR(VLOOKUP(K209,[1]坦克个性化设定!$B$18:$E$48,4,FALSE)&amp;VLOOKUP(K209,[1]坦克个性化细分!$I$3:$J$33,2,FALSE),"")</f>
        <v>T4低</v>
      </c>
      <c r="M209" s="2" t="s">
        <v>328</v>
      </c>
      <c r="N209" s="2">
        <f t="shared" ref="N209:N226" si="64">$E$69</f>
        <v>3.6999999999999998E-2</v>
      </c>
      <c r="O209" s="34">
        <f>1+1/3</f>
        <v>1.3333333333333333</v>
      </c>
      <c r="P209" s="2">
        <f t="shared" ref="P209:P226" si="65">N209*O209</f>
        <v>4.9333333333333326E-2</v>
      </c>
    </row>
    <row r="210" spans="2:16" x14ac:dyDescent="0.3">
      <c r="B210" s="2">
        <v>9</v>
      </c>
      <c r="C210" s="2" t="s">
        <v>662</v>
      </c>
      <c r="D210" s="2" t="str">
        <f>IFERROR(VLOOKUP(C210,[1]坦克个性化设定!$B$18:$E$48,4,FALSE)&amp;VLOOKUP(C210,[1]坦克个性化细分!$I$3:$J$33,2,FALSE),"")</f>
        <v>T4低</v>
      </c>
      <c r="E210" s="2" t="s">
        <v>1743</v>
      </c>
      <c r="F210" s="2">
        <f t="shared" si="62"/>
        <v>3.6999999999999998E-2</v>
      </c>
      <c r="G210" s="33">
        <v>1</v>
      </c>
      <c r="H210" s="2">
        <f t="shared" si="63"/>
        <v>3.6999999999999998E-2</v>
      </c>
      <c r="J210" s="2">
        <v>10</v>
      </c>
      <c r="K210" s="2" t="s">
        <v>643</v>
      </c>
      <c r="L210" s="2" t="str">
        <f>IFERROR(VLOOKUP(K210,[1]坦克个性化设定!$B$18:$E$48,4,FALSE)&amp;VLOOKUP(K210,[1]坦克个性化细分!$I$3:$J$33,2,FALSE),"")</f>
        <v>T4低</v>
      </c>
      <c r="M210" s="2" t="s">
        <v>328</v>
      </c>
      <c r="N210" s="2">
        <f t="shared" si="64"/>
        <v>3.6999999999999998E-2</v>
      </c>
      <c r="O210" s="34">
        <f t="shared" ref="O210:O217" si="66">1+1/3</f>
        <v>1.3333333333333333</v>
      </c>
      <c r="P210" s="2">
        <f t="shared" si="65"/>
        <v>4.9333333333333326E-2</v>
      </c>
    </row>
    <row r="211" spans="2:16" x14ac:dyDescent="0.3">
      <c r="B211" s="2">
        <v>9</v>
      </c>
      <c r="C211" s="2" t="s">
        <v>627</v>
      </c>
      <c r="D211" s="2" t="str">
        <f>IFERROR(VLOOKUP(C211,[1]坦克个性化设定!$B$18:$E$48,4,FALSE)&amp;VLOOKUP(C211,[1]坦克个性化细分!$I$3:$J$33,2,FALSE),"")</f>
        <v>T4中</v>
      </c>
      <c r="E211" s="2" t="s">
        <v>1743</v>
      </c>
      <c r="F211" s="2">
        <f t="shared" si="62"/>
        <v>3.6999999999999998E-2</v>
      </c>
      <c r="G211" s="33">
        <v>1</v>
      </c>
      <c r="H211" s="2">
        <f t="shared" si="63"/>
        <v>3.6999999999999998E-2</v>
      </c>
      <c r="J211" s="2">
        <v>10</v>
      </c>
      <c r="K211" s="2" t="s">
        <v>662</v>
      </c>
      <c r="L211" s="2" t="str">
        <f>IFERROR(VLOOKUP(K211,[1]坦克个性化设定!$B$18:$E$48,4,FALSE)&amp;VLOOKUP(K211,[1]坦克个性化细分!$I$3:$J$33,2,FALSE),"")</f>
        <v>T4低</v>
      </c>
      <c r="M211" s="2" t="s">
        <v>328</v>
      </c>
      <c r="N211" s="2">
        <f t="shared" si="64"/>
        <v>3.6999999999999998E-2</v>
      </c>
      <c r="O211" s="34">
        <f t="shared" si="66"/>
        <v>1.3333333333333333</v>
      </c>
      <c r="P211" s="2">
        <f t="shared" si="65"/>
        <v>4.9333333333333326E-2</v>
      </c>
    </row>
    <row r="212" spans="2:16" x14ac:dyDescent="0.3">
      <c r="B212" s="2">
        <v>9</v>
      </c>
      <c r="C212" s="2" t="s">
        <v>645</v>
      </c>
      <c r="D212" s="2" t="str">
        <f>IFERROR(VLOOKUP(C212,[1]坦克个性化设定!$B$18:$E$48,4,FALSE)&amp;VLOOKUP(C212,[1]坦克个性化细分!$I$3:$J$33,2,FALSE),"")</f>
        <v>T4中</v>
      </c>
      <c r="E212" s="2" t="s">
        <v>1743</v>
      </c>
      <c r="F212" s="2">
        <f t="shared" si="62"/>
        <v>3.6999999999999998E-2</v>
      </c>
      <c r="G212" s="33">
        <v>1</v>
      </c>
      <c r="H212" s="2">
        <f t="shared" si="63"/>
        <v>3.6999999999999998E-2</v>
      </c>
      <c r="J212" s="2">
        <v>10</v>
      </c>
      <c r="K212" s="2" t="s">
        <v>645</v>
      </c>
      <c r="L212" s="2" t="str">
        <f>IFERROR(VLOOKUP(K212,[1]坦克个性化设定!$B$18:$E$48,4,FALSE)&amp;VLOOKUP(K212,[1]坦克个性化细分!$I$3:$J$33,2,FALSE),"")</f>
        <v>T4中</v>
      </c>
      <c r="M212" s="2" t="s">
        <v>328</v>
      </c>
      <c r="N212" s="2">
        <f t="shared" si="64"/>
        <v>3.6999999999999998E-2</v>
      </c>
      <c r="O212" s="34">
        <f t="shared" si="66"/>
        <v>1.3333333333333333</v>
      </c>
      <c r="P212" s="2">
        <f t="shared" si="65"/>
        <v>4.9333333333333326E-2</v>
      </c>
    </row>
    <row r="213" spans="2:16" x14ac:dyDescent="0.3">
      <c r="B213" s="2">
        <v>9</v>
      </c>
      <c r="C213" s="2" t="s">
        <v>629</v>
      </c>
      <c r="D213" s="2" t="str">
        <f>IFERROR(VLOOKUP(C213,[1]坦克个性化设定!$B$18:$E$48,4,FALSE)&amp;VLOOKUP(C213,[1]坦克个性化细分!$I$3:$J$33,2,FALSE),"")</f>
        <v>T4高</v>
      </c>
      <c r="E213" s="2" t="s">
        <v>1743</v>
      </c>
      <c r="F213" s="2">
        <f t="shared" si="62"/>
        <v>3.6999999999999998E-2</v>
      </c>
      <c r="G213" s="33">
        <v>1</v>
      </c>
      <c r="H213" s="2">
        <f t="shared" si="63"/>
        <v>3.6999999999999998E-2</v>
      </c>
      <c r="J213" s="2">
        <v>10</v>
      </c>
      <c r="K213" s="2" t="s">
        <v>664</v>
      </c>
      <c r="L213" s="2" t="str">
        <f>IFERROR(VLOOKUP(K213,[1]坦克个性化设定!$B$18:$E$48,4,FALSE)&amp;VLOOKUP(K213,[1]坦克个性化细分!$I$3:$J$33,2,FALSE),"")</f>
        <v>T4中</v>
      </c>
      <c r="M213" s="2" t="s">
        <v>328</v>
      </c>
      <c r="N213" s="2">
        <f t="shared" si="64"/>
        <v>3.6999999999999998E-2</v>
      </c>
      <c r="O213" s="34">
        <f t="shared" si="66"/>
        <v>1.3333333333333333</v>
      </c>
      <c r="P213" s="2">
        <f t="shared" si="65"/>
        <v>4.9333333333333326E-2</v>
      </c>
    </row>
    <row r="214" spans="2:16" x14ac:dyDescent="0.3">
      <c r="B214" s="2">
        <v>9</v>
      </c>
      <c r="C214" s="2" t="s">
        <v>647</v>
      </c>
      <c r="D214" s="2" t="str">
        <f>IFERROR(VLOOKUP(C214,[1]坦克个性化设定!$B$18:$E$48,4,FALSE)&amp;VLOOKUP(C214,[1]坦克个性化细分!$I$3:$J$33,2,FALSE),"")</f>
        <v>T4高</v>
      </c>
      <c r="E214" s="2" t="s">
        <v>1743</v>
      </c>
      <c r="F214" s="2">
        <f t="shared" si="62"/>
        <v>3.6999999999999998E-2</v>
      </c>
      <c r="G214" s="33">
        <v>1</v>
      </c>
      <c r="H214" s="2">
        <f t="shared" si="63"/>
        <v>3.6999999999999998E-2</v>
      </c>
      <c r="J214" s="2">
        <v>10</v>
      </c>
      <c r="K214" s="2" t="s">
        <v>627</v>
      </c>
      <c r="L214" s="2" t="str">
        <f>IFERROR(VLOOKUP(K214,[1]坦克个性化设定!$B$18:$E$48,4,FALSE)&amp;VLOOKUP(K214,[1]坦克个性化细分!$I$3:$J$33,2,FALSE),"")</f>
        <v>T4中</v>
      </c>
      <c r="M214" s="2" t="s">
        <v>328</v>
      </c>
      <c r="N214" s="2">
        <f t="shared" si="64"/>
        <v>3.6999999999999998E-2</v>
      </c>
      <c r="O214" s="34">
        <f t="shared" si="66"/>
        <v>1.3333333333333333</v>
      </c>
      <c r="P214" s="2">
        <f t="shared" si="65"/>
        <v>4.9333333333333326E-2</v>
      </c>
    </row>
    <row r="215" spans="2:16" x14ac:dyDescent="0.3">
      <c r="J215" s="2">
        <v>10</v>
      </c>
      <c r="K215" s="2" t="s">
        <v>629</v>
      </c>
      <c r="L215" s="2" t="str">
        <f>IFERROR(VLOOKUP(K215,[1]坦克个性化设定!$B$18:$E$48,4,FALSE)&amp;VLOOKUP(K215,[1]坦克个性化细分!$I$3:$J$33,2,FALSE),"")</f>
        <v>T4高</v>
      </c>
      <c r="M215" s="2" t="s">
        <v>328</v>
      </c>
      <c r="N215" s="2">
        <f t="shared" si="64"/>
        <v>3.6999999999999998E-2</v>
      </c>
      <c r="O215" s="34">
        <f t="shared" si="66"/>
        <v>1.3333333333333333</v>
      </c>
      <c r="P215" s="2">
        <f t="shared" si="65"/>
        <v>4.9333333333333326E-2</v>
      </c>
    </row>
    <row r="216" spans="2:16" x14ac:dyDescent="0.3">
      <c r="J216" s="2">
        <v>10</v>
      </c>
      <c r="K216" s="2" t="s">
        <v>647</v>
      </c>
      <c r="L216" s="2" t="str">
        <f>IFERROR(VLOOKUP(K216,[1]坦克个性化设定!$B$18:$E$48,4,FALSE)&amp;VLOOKUP(K216,[1]坦克个性化细分!$I$3:$J$33,2,FALSE),"")</f>
        <v>T4高</v>
      </c>
      <c r="M216" s="2" t="s">
        <v>328</v>
      </c>
      <c r="N216" s="2">
        <f t="shared" si="64"/>
        <v>3.6999999999999998E-2</v>
      </c>
      <c r="O216" s="34">
        <f t="shared" si="66"/>
        <v>1.3333333333333333</v>
      </c>
      <c r="P216" s="2">
        <f t="shared" si="65"/>
        <v>4.9333333333333326E-2</v>
      </c>
    </row>
    <row r="217" spans="2:16" x14ac:dyDescent="0.3">
      <c r="B217" s="2" t="s">
        <v>385</v>
      </c>
      <c r="C217" s="2" t="s">
        <v>1800</v>
      </c>
      <c r="D217" s="2" t="s">
        <v>901</v>
      </c>
      <c r="E217" s="2" t="s">
        <v>3507</v>
      </c>
      <c r="F217" s="2" t="s">
        <v>3504</v>
      </c>
      <c r="G217" s="2" t="s">
        <v>379</v>
      </c>
      <c r="H217" s="2" t="s">
        <v>3508</v>
      </c>
      <c r="I217" s="1">
        <f>SUM(H218:H235)</f>
        <v>0.66600000000000004</v>
      </c>
      <c r="J217" s="2">
        <v>10</v>
      </c>
      <c r="K217" s="2" t="s">
        <v>666</v>
      </c>
      <c r="L217" s="2" t="str">
        <f>IFERROR(VLOOKUP(K217,[1]坦克个性化设定!$B$18:$E$48,4,FALSE)&amp;VLOOKUP(K217,[1]坦克个性化细分!$I$3:$J$33,2,FALSE),"")</f>
        <v>T4高</v>
      </c>
      <c r="M217" s="2" t="s">
        <v>328</v>
      </c>
      <c r="N217" s="2">
        <f t="shared" si="64"/>
        <v>3.6999999999999998E-2</v>
      </c>
      <c r="O217" s="34">
        <f t="shared" si="66"/>
        <v>1.3333333333333333</v>
      </c>
      <c r="P217" s="2">
        <f t="shared" si="65"/>
        <v>4.9333333333333326E-2</v>
      </c>
    </row>
    <row r="218" spans="2:16" x14ac:dyDescent="0.3">
      <c r="B218" s="2">
        <v>10</v>
      </c>
      <c r="C218" s="2" t="s">
        <v>616</v>
      </c>
      <c r="D218" s="2" t="str">
        <f>IFERROR(VLOOKUP(C218,[1]坦克个性化设定!$B$18:$E$48,4,FALSE)&amp;VLOOKUP(C218,[1]坦克个性化细分!$I$3:$J$33,2,FALSE),"")</f>
        <v>T2中</v>
      </c>
      <c r="E218" s="2" t="s">
        <v>1743</v>
      </c>
      <c r="F218" s="2">
        <f t="shared" ref="F218:F235" si="67">$E$69</f>
        <v>3.6999999999999998E-2</v>
      </c>
      <c r="G218" s="33">
        <v>1</v>
      </c>
      <c r="H218" s="2">
        <f t="shared" ref="H218:H235" si="68">F218*G218</f>
        <v>3.6999999999999998E-2</v>
      </c>
      <c r="J218" s="2">
        <v>10</v>
      </c>
      <c r="K218" s="2" t="s">
        <v>624</v>
      </c>
      <c r="L218" s="2" t="str">
        <f>IFERROR(VLOOKUP(K218,[1]坦克个性化设定!$B$18:$E$48,4,FALSE)&amp;VLOOKUP(K218,[1]坦克个性化细分!$I$3:$J$33,2,FALSE),"")</f>
        <v>T4低</v>
      </c>
      <c r="M218" s="2" t="s">
        <v>1743</v>
      </c>
      <c r="N218" s="2">
        <f t="shared" si="64"/>
        <v>3.6999999999999998E-2</v>
      </c>
      <c r="O218" s="34">
        <f>2/3</f>
        <v>0.66666666666666663</v>
      </c>
      <c r="P218" s="2">
        <f t="shared" si="65"/>
        <v>2.4666666666666663E-2</v>
      </c>
    </row>
    <row r="219" spans="2:16" x14ac:dyDescent="0.3">
      <c r="B219" s="2">
        <v>10</v>
      </c>
      <c r="C219" s="2" t="s">
        <v>636</v>
      </c>
      <c r="D219" s="2" t="str">
        <f>IFERROR(VLOOKUP(C219,[1]坦克个性化设定!$B$18:$E$48,4,FALSE)&amp;VLOOKUP(C219,[1]坦克个性化细分!$I$3:$J$33,2,FALSE),"")</f>
        <v>T2中</v>
      </c>
      <c r="E219" s="2" t="s">
        <v>1743</v>
      </c>
      <c r="F219" s="2">
        <f t="shared" si="67"/>
        <v>3.6999999999999998E-2</v>
      </c>
      <c r="G219" s="33">
        <v>1</v>
      </c>
      <c r="H219" s="2">
        <f t="shared" si="68"/>
        <v>3.6999999999999998E-2</v>
      </c>
      <c r="J219" s="2">
        <v>10</v>
      </c>
      <c r="K219" s="2" t="s">
        <v>643</v>
      </c>
      <c r="L219" s="2" t="str">
        <f>IFERROR(VLOOKUP(K219,[1]坦克个性化设定!$B$18:$E$48,4,FALSE)&amp;VLOOKUP(K219,[1]坦克个性化细分!$I$3:$J$33,2,FALSE),"")</f>
        <v>T4低</v>
      </c>
      <c r="M219" s="2" t="s">
        <v>1743</v>
      </c>
      <c r="N219" s="2">
        <f t="shared" si="64"/>
        <v>3.6999999999999998E-2</v>
      </c>
      <c r="O219" s="34">
        <f t="shared" ref="O219:O226" si="69">2/3</f>
        <v>0.66666666666666663</v>
      </c>
      <c r="P219" s="2">
        <f t="shared" si="65"/>
        <v>2.4666666666666663E-2</v>
      </c>
    </row>
    <row r="220" spans="2:16" x14ac:dyDescent="0.3">
      <c r="B220" s="2">
        <v>10</v>
      </c>
      <c r="C220" s="2" t="s">
        <v>655</v>
      </c>
      <c r="D220" s="2" t="str">
        <f>IFERROR(VLOOKUP(C220,[1]坦克个性化设定!$B$18:$E$48,4,FALSE)&amp;VLOOKUP(C220,[1]坦克个性化细分!$I$3:$J$33,2,FALSE),"")</f>
        <v>T2中</v>
      </c>
      <c r="E220" s="2" t="s">
        <v>1743</v>
      </c>
      <c r="F220" s="2">
        <f t="shared" si="67"/>
        <v>3.6999999999999998E-2</v>
      </c>
      <c r="G220" s="33">
        <v>1</v>
      </c>
      <c r="H220" s="2">
        <f t="shared" si="68"/>
        <v>3.6999999999999998E-2</v>
      </c>
      <c r="J220" s="2">
        <v>10</v>
      </c>
      <c r="K220" s="2" t="s">
        <v>662</v>
      </c>
      <c r="L220" s="2" t="str">
        <f>IFERROR(VLOOKUP(K220,[1]坦克个性化设定!$B$18:$E$48,4,FALSE)&amp;VLOOKUP(K220,[1]坦克个性化细分!$I$3:$J$33,2,FALSE),"")</f>
        <v>T4低</v>
      </c>
      <c r="M220" s="2" t="s">
        <v>1743</v>
      </c>
      <c r="N220" s="2">
        <f t="shared" si="64"/>
        <v>3.6999999999999998E-2</v>
      </c>
      <c r="O220" s="34">
        <f t="shared" si="69"/>
        <v>0.66666666666666663</v>
      </c>
      <c r="P220" s="2">
        <f t="shared" si="65"/>
        <v>2.4666666666666663E-2</v>
      </c>
    </row>
    <row r="221" spans="2:16" x14ac:dyDescent="0.3">
      <c r="B221" s="2">
        <v>10</v>
      </c>
      <c r="C221" s="2" t="s">
        <v>530</v>
      </c>
      <c r="D221" s="2" t="str">
        <f>IFERROR(VLOOKUP(C221,[1]坦克个性化设定!$B$18:$E$48,4,FALSE)&amp;VLOOKUP(C221,[1]坦克个性化细分!$I$3:$J$33,2,FALSE),"")</f>
        <v>T3低</v>
      </c>
      <c r="E221" s="2" t="s">
        <v>1743</v>
      </c>
      <c r="F221" s="2">
        <f t="shared" si="67"/>
        <v>3.6999999999999998E-2</v>
      </c>
      <c r="G221" s="33">
        <v>1</v>
      </c>
      <c r="H221" s="2">
        <f t="shared" si="68"/>
        <v>3.6999999999999998E-2</v>
      </c>
      <c r="J221" s="2">
        <v>10</v>
      </c>
      <c r="K221" s="2" t="s">
        <v>645</v>
      </c>
      <c r="L221" s="2" t="str">
        <f>IFERROR(VLOOKUP(K221,[1]坦克个性化设定!$B$18:$E$48,4,FALSE)&amp;VLOOKUP(K221,[1]坦克个性化细分!$I$3:$J$33,2,FALSE),"")</f>
        <v>T4中</v>
      </c>
      <c r="M221" s="2" t="s">
        <v>1743</v>
      </c>
      <c r="N221" s="2">
        <f t="shared" si="64"/>
        <v>3.6999999999999998E-2</v>
      </c>
      <c r="O221" s="34">
        <f t="shared" si="69"/>
        <v>0.66666666666666663</v>
      </c>
      <c r="P221" s="2">
        <f t="shared" si="65"/>
        <v>2.4666666666666663E-2</v>
      </c>
    </row>
    <row r="222" spans="2:16" x14ac:dyDescent="0.3">
      <c r="B222" s="2">
        <v>10</v>
      </c>
      <c r="C222" s="2" t="s">
        <v>534</v>
      </c>
      <c r="D222" s="2" t="str">
        <f>IFERROR(VLOOKUP(C222,[1]坦克个性化设定!$B$18:$E$48,4,FALSE)&amp;VLOOKUP(C222,[1]坦克个性化细分!$I$3:$J$33,2,FALSE),"")</f>
        <v>T3低</v>
      </c>
      <c r="E222" s="2" t="s">
        <v>1743</v>
      </c>
      <c r="F222" s="2">
        <f t="shared" si="67"/>
        <v>3.6999999999999998E-2</v>
      </c>
      <c r="G222" s="33">
        <v>1</v>
      </c>
      <c r="H222" s="2">
        <f t="shared" si="68"/>
        <v>3.6999999999999998E-2</v>
      </c>
      <c r="J222" s="2">
        <v>10</v>
      </c>
      <c r="K222" s="2" t="s">
        <v>664</v>
      </c>
      <c r="L222" s="2" t="str">
        <f>IFERROR(VLOOKUP(K222,[1]坦克个性化设定!$B$18:$E$48,4,FALSE)&amp;VLOOKUP(K222,[1]坦克个性化细分!$I$3:$J$33,2,FALSE),"")</f>
        <v>T4中</v>
      </c>
      <c r="M222" s="2" t="s">
        <v>1743</v>
      </c>
      <c r="N222" s="2">
        <f t="shared" si="64"/>
        <v>3.6999999999999998E-2</v>
      </c>
      <c r="O222" s="34">
        <f t="shared" si="69"/>
        <v>0.66666666666666663</v>
      </c>
      <c r="P222" s="2">
        <f t="shared" si="65"/>
        <v>2.4666666666666663E-2</v>
      </c>
    </row>
    <row r="223" spans="2:16" x14ac:dyDescent="0.3">
      <c r="B223" s="2">
        <v>10</v>
      </c>
      <c r="C223" s="2" t="s">
        <v>538</v>
      </c>
      <c r="D223" s="2" t="str">
        <f>IFERROR(VLOOKUP(C223,[1]坦克个性化设定!$B$18:$E$48,4,FALSE)&amp;VLOOKUP(C223,[1]坦克个性化细分!$I$3:$J$33,2,FALSE),"")</f>
        <v>T3低</v>
      </c>
      <c r="E223" s="2" t="s">
        <v>1743</v>
      </c>
      <c r="F223" s="2">
        <f t="shared" si="67"/>
        <v>3.6999999999999998E-2</v>
      </c>
      <c r="G223" s="33">
        <v>1</v>
      </c>
      <c r="H223" s="2">
        <f t="shared" si="68"/>
        <v>3.6999999999999998E-2</v>
      </c>
      <c r="J223" s="2">
        <v>10</v>
      </c>
      <c r="K223" s="2" t="s">
        <v>627</v>
      </c>
      <c r="L223" s="2" t="str">
        <f>IFERROR(VLOOKUP(K223,[1]坦克个性化设定!$B$18:$E$48,4,FALSE)&amp;VLOOKUP(K223,[1]坦克个性化细分!$I$3:$J$33,2,FALSE),"")</f>
        <v>T4中</v>
      </c>
      <c r="M223" s="2" t="s">
        <v>1743</v>
      </c>
      <c r="N223" s="2">
        <f t="shared" si="64"/>
        <v>3.6999999999999998E-2</v>
      </c>
      <c r="O223" s="34">
        <f t="shared" si="69"/>
        <v>0.66666666666666663</v>
      </c>
      <c r="P223" s="2">
        <f t="shared" si="65"/>
        <v>2.4666666666666663E-2</v>
      </c>
    </row>
    <row r="224" spans="2:16" x14ac:dyDescent="0.3">
      <c r="B224" s="2">
        <v>10</v>
      </c>
      <c r="C224" s="2" t="s">
        <v>620</v>
      </c>
      <c r="D224" s="2" t="str">
        <f>IFERROR(VLOOKUP(C224,[1]坦克个性化设定!$B$18:$E$48,4,FALSE)&amp;VLOOKUP(C224,[1]坦克个性化细分!$I$3:$J$33,2,FALSE),"")</f>
        <v>T3中</v>
      </c>
      <c r="E224" s="2" t="s">
        <v>1743</v>
      </c>
      <c r="F224" s="2">
        <f t="shared" si="67"/>
        <v>3.6999999999999998E-2</v>
      </c>
      <c r="G224" s="33">
        <v>1</v>
      </c>
      <c r="H224" s="2">
        <f t="shared" si="68"/>
        <v>3.6999999999999998E-2</v>
      </c>
      <c r="J224" s="2">
        <v>10</v>
      </c>
      <c r="K224" s="2" t="s">
        <v>629</v>
      </c>
      <c r="L224" s="2" t="str">
        <f>IFERROR(VLOOKUP(K224,[1]坦克个性化设定!$B$18:$E$48,4,FALSE)&amp;VLOOKUP(K224,[1]坦克个性化细分!$I$3:$J$33,2,FALSE),"")</f>
        <v>T4高</v>
      </c>
      <c r="M224" s="2" t="s">
        <v>1743</v>
      </c>
      <c r="N224" s="2">
        <f t="shared" si="64"/>
        <v>3.6999999999999998E-2</v>
      </c>
      <c r="O224" s="34">
        <f t="shared" si="69"/>
        <v>0.66666666666666663</v>
      </c>
      <c r="P224" s="2">
        <f t="shared" si="65"/>
        <v>2.4666666666666663E-2</v>
      </c>
    </row>
    <row r="225" spans="2:16" x14ac:dyDescent="0.3">
      <c r="B225" s="2">
        <v>10</v>
      </c>
      <c r="C225" s="2" t="s">
        <v>639</v>
      </c>
      <c r="D225" s="2" t="str">
        <f>IFERROR(VLOOKUP(C225,[1]坦克个性化设定!$B$18:$E$48,4,FALSE)&amp;VLOOKUP(C225,[1]坦克个性化细分!$I$3:$J$33,2,FALSE),"")</f>
        <v>T3中</v>
      </c>
      <c r="E225" s="2" t="s">
        <v>1743</v>
      </c>
      <c r="F225" s="2">
        <f t="shared" si="67"/>
        <v>3.6999999999999998E-2</v>
      </c>
      <c r="G225" s="33">
        <v>1</v>
      </c>
      <c r="H225" s="2">
        <f t="shared" si="68"/>
        <v>3.6999999999999998E-2</v>
      </c>
      <c r="J225" s="2">
        <v>10</v>
      </c>
      <c r="K225" s="2" t="s">
        <v>647</v>
      </c>
      <c r="L225" s="2" t="str">
        <f>IFERROR(VLOOKUP(K225,[1]坦克个性化设定!$B$18:$E$48,4,FALSE)&amp;VLOOKUP(K225,[1]坦克个性化细分!$I$3:$J$33,2,FALSE),"")</f>
        <v>T4高</v>
      </c>
      <c r="M225" s="2" t="s">
        <v>1743</v>
      </c>
      <c r="N225" s="2">
        <f t="shared" si="64"/>
        <v>3.6999999999999998E-2</v>
      </c>
      <c r="O225" s="34">
        <f t="shared" si="69"/>
        <v>0.66666666666666663</v>
      </c>
      <c r="P225" s="2">
        <f t="shared" si="65"/>
        <v>2.4666666666666663E-2</v>
      </c>
    </row>
    <row r="226" spans="2:16" x14ac:dyDescent="0.3">
      <c r="B226" s="2">
        <v>10</v>
      </c>
      <c r="C226" s="2" t="s">
        <v>658</v>
      </c>
      <c r="D226" s="2" t="str">
        <f>IFERROR(VLOOKUP(C226,[1]坦克个性化设定!$B$18:$E$48,4,FALSE)&amp;VLOOKUP(C226,[1]坦克个性化细分!$I$3:$J$33,2,FALSE),"")</f>
        <v>T3中</v>
      </c>
      <c r="E226" s="2" t="s">
        <v>1743</v>
      </c>
      <c r="F226" s="2">
        <f t="shared" si="67"/>
        <v>3.6999999999999998E-2</v>
      </c>
      <c r="G226" s="33">
        <v>1</v>
      </c>
      <c r="H226" s="2">
        <f t="shared" si="68"/>
        <v>3.6999999999999998E-2</v>
      </c>
      <c r="J226" s="2">
        <v>10</v>
      </c>
      <c r="K226" s="2" t="s">
        <v>666</v>
      </c>
      <c r="L226" s="2" t="str">
        <f>IFERROR(VLOOKUP(K226,[1]坦克个性化设定!$B$18:$E$48,4,FALSE)&amp;VLOOKUP(K226,[1]坦克个性化细分!$I$3:$J$33,2,FALSE),"")</f>
        <v>T4高</v>
      </c>
      <c r="M226" s="2" t="s">
        <v>1743</v>
      </c>
      <c r="N226" s="2">
        <f t="shared" si="64"/>
        <v>3.6999999999999998E-2</v>
      </c>
      <c r="O226" s="34">
        <f t="shared" si="69"/>
        <v>0.66666666666666663</v>
      </c>
      <c r="P226" s="2">
        <f t="shared" si="65"/>
        <v>2.4666666666666663E-2</v>
      </c>
    </row>
    <row r="227" spans="2:16" x14ac:dyDescent="0.3">
      <c r="B227" s="2">
        <v>10</v>
      </c>
      <c r="C227" s="2" t="s">
        <v>624</v>
      </c>
      <c r="D227" s="2" t="str">
        <f>IFERROR(VLOOKUP(C227,[1]坦克个性化设定!$B$18:$E$48,4,FALSE)&amp;VLOOKUP(C227,[1]坦克个性化细分!$I$3:$J$33,2,FALSE),"")</f>
        <v>T4低</v>
      </c>
      <c r="E227" s="2" t="s">
        <v>1743</v>
      </c>
      <c r="F227" s="2">
        <f t="shared" si="67"/>
        <v>3.6999999999999998E-2</v>
      </c>
      <c r="G227" s="33">
        <v>1</v>
      </c>
      <c r="H227" s="2">
        <f t="shared" si="68"/>
        <v>3.6999999999999998E-2</v>
      </c>
    </row>
    <row r="228" spans="2:16" x14ac:dyDescent="0.3">
      <c r="B228" s="2">
        <v>10</v>
      </c>
      <c r="C228" s="2" t="s">
        <v>643</v>
      </c>
      <c r="D228" s="2" t="str">
        <f>IFERROR(VLOOKUP(C228,[1]坦克个性化设定!$B$18:$E$48,4,FALSE)&amp;VLOOKUP(C228,[1]坦克个性化细分!$I$3:$J$33,2,FALSE),"")</f>
        <v>T4低</v>
      </c>
      <c r="E228" s="2" t="s">
        <v>1743</v>
      </c>
      <c r="F228" s="2">
        <f t="shared" si="67"/>
        <v>3.6999999999999998E-2</v>
      </c>
      <c r="G228" s="33">
        <v>1</v>
      </c>
      <c r="H228" s="2">
        <f t="shared" si="68"/>
        <v>3.6999999999999998E-2</v>
      </c>
    </row>
    <row r="229" spans="2:16" x14ac:dyDescent="0.3">
      <c r="B229" s="2">
        <v>10</v>
      </c>
      <c r="C229" s="2" t="s">
        <v>662</v>
      </c>
      <c r="D229" s="2" t="str">
        <f>IFERROR(VLOOKUP(C229,[1]坦克个性化设定!$B$18:$E$48,4,FALSE)&amp;VLOOKUP(C229,[1]坦克个性化细分!$I$3:$J$33,2,FALSE),"")</f>
        <v>T4低</v>
      </c>
      <c r="E229" s="2" t="s">
        <v>1743</v>
      </c>
      <c r="F229" s="2">
        <f t="shared" si="67"/>
        <v>3.6999999999999998E-2</v>
      </c>
      <c r="G229" s="33">
        <v>1</v>
      </c>
      <c r="H229" s="2">
        <f t="shared" si="68"/>
        <v>3.6999999999999998E-2</v>
      </c>
    </row>
    <row r="230" spans="2:16" x14ac:dyDescent="0.3">
      <c r="B230" s="2">
        <v>10</v>
      </c>
      <c r="C230" s="2" t="s">
        <v>645</v>
      </c>
      <c r="D230" s="2" t="str">
        <f>IFERROR(VLOOKUP(C230,[1]坦克个性化设定!$B$18:$E$48,4,FALSE)&amp;VLOOKUP(C230,[1]坦克个性化细分!$I$3:$J$33,2,FALSE),"")</f>
        <v>T4中</v>
      </c>
      <c r="E230" s="2" t="s">
        <v>1743</v>
      </c>
      <c r="F230" s="2">
        <f t="shared" si="67"/>
        <v>3.6999999999999998E-2</v>
      </c>
      <c r="G230" s="33">
        <v>1</v>
      </c>
      <c r="H230" s="2">
        <f t="shared" si="68"/>
        <v>3.6999999999999998E-2</v>
      </c>
    </row>
    <row r="231" spans="2:16" x14ac:dyDescent="0.3">
      <c r="B231" s="2">
        <v>10</v>
      </c>
      <c r="C231" s="2" t="s">
        <v>664</v>
      </c>
      <c r="D231" s="2" t="str">
        <f>IFERROR(VLOOKUP(C231,[1]坦克个性化设定!$B$18:$E$48,4,FALSE)&amp;VLOOKUP(C231,[1]坦克个性化细分!$I$3:$J$33,2,FALSE),"")</f>
        <v>T4中</v>
      </c>
      <c r="E231" s="2" t="s">
        <v>1743</v>
      </c>
      <c r="F231" s="2">
        <f t="shared" si="67"/>
        <v>3.6999999999999998E-2</v>
      </c>
      <c r="G231" s="33">
        <v>1</v>
      </c>
      <c r="H231" s="2">
        <f t="shared" si="68"/>
        <v>3.6999999999999998E-2</v>
      </c>
    </row>
    <row r="232" spans="2:16" x14ac:dyDescent="0.3">
      <c r="B232" s="2">
        <v>10</v>
      </c>
      <c r="C232" s="2" t="s">
        <v>627</v>
      </c>
      <c r="D232" s="2" t="str">
        <f>IFERROR(VLOOKUP(C232,[1]坦克个性化设定!$B$18:$E$48,4,FALSE)&amp;VLOOKUP(C232,[1]坦克个性化细分!$I$3:$J$33,2,FALSE),"")</f>
        <v>T4中</v>
      </c>
      <c r="E232" s="2" t="s">
        <v>1743</v>
      </c>
      <c r="F232" s="2">
        <f t="shared" si="67"/>
        <v>3.6999999999999998E-2</v>
      </c>
      <c r="G232" s="33">
        <v>1</v>
      </c>
      <c r="H232" s="2">
        <f t="shared" si="68"/>
        <v>3.6999999999999998E-2</v>
      </c>
    </row>
    <row r="233" spans="2:16" x14ac:dyDescent="0.3">
      <c r="B233" s="2">
        <v>10</v>
      </c>
      <c r="C233" s="2" t="s">
        <v>629</v>
      </c>
      <c r="D233" s="2" t="str">
        <f>IFERROR(VLOOKUP(C233,[1]坦克个性化设定!$B$18:$E$48,4,FALSE)&amp;VLOOKUP(C233,[1]坦克个性化细分!$I$3:$J$33,2,FALSE),"")</f>
        <v>T4高</v>
      </c>
      <c r="E233" s="2" t="s">
        <v>1743</v>
      </c>
      <c r="F233" s="2">
        <f t="shared" si="67"/>
        <v>3.6999999999999998E-2</v>
      </c>
      <c r="G233" s="33">
        <v>1</v>
      </c>
      <c r="H233" s="2">
        <f t="shared" si="68"/>
        <v>3.6999999999999998E-2</v>
      </c>
    </row>
    <row r="234" spans="2:16" x14ac:dyDescent="0.3">
      <c r="B234" s="2">
        <v>10</v>
      </c>
      <c r="C234" s="2" t="s">
        <v>647</v>
      </c>
      <c r="D234" s="2" t="str">
        <f>IFERROR(VLOOKUP(C234,[1]坦克个性化设定!$B$18:$E$48,4,FALSE)&amp;VLOOKUP(C234,[1]坦克个性化细分!$I$3:$J$33,2,FALSE),"")</f>
        <v>T4高</v>
      </c>
      <c r="E234" s="2" t="s">
        <v>1743</v>
      </c>
      <c r="F234" s="2">
        <f t="shared" si="67"/>
        <v>3.6999999999999998E-2</v>
      </c>
      <c r="G234" s="33">
        <v>1</v>
      </c>
      <c r="H234" s="2">
        <f t="shared" si="68"/>
        <v>3.6999999999999998E-2</v>
      </c>
    </row>
    <row r="235" spans="2:16" x14ac:dyDescent="0.3">
      <c r="B235" s="2">
        <v>10</v>
      </c>
      <c r="C235" s="2" t="s">
        <v>666</v>
      </c>
      <c r="D235" s="2" t="str">
        <f>IFERROR(VLOOKUP(C235,[1]坦克个性化设定!$B$18:$E$48,4,FALSE)&amp;VLOOKUP(C235,[1]坦克个性化细分!$I$3:$J$33,2,FALSE),"")</f>
        <v>T4高</v>
      </c>
      <c r="E235" s="2" t="s">
        <v>1743</v>
      </c>
      <c r="F235" s="2">
        <f t="shared" si="67"/>
        <v>3.6999999999999998E-2</v>
      </c>
      <c r="G235" s="33">
        <v>1</v>
      </c>
      <c r="H235" s="2">
        <f t="shared" si="68"/>
        <v>3.6999999999999998E-2</v>
      </c>
    </row>
    <row r="239" spans="2:16" ht="15.75" x14ac:dyDescent="0.3">
      <c r="B239" s="35" t="s">
        <v>3509</v>
      </c>
    </row>
    <row r="240" spans="2:16" x14ac:dyDescent="0.3">
      <c r="B240" s="36" t="s">
        <v>3510</v>
      </c>
    </row>
    <row r="241" spans="2:5" x14ac:dyDescent="0.3">
      <c r="B241" s="1" t="s">
        <v>3511</v>
      </c>
      <c r="C241" s="1" t="s">
        <v>3512</v>
      </c>
    </row>
    <row r="242" spans="2:5" x14ac:dyDescent="0.3">
      <c r="B242" s="1">
        <v>2201</v>
      </c>
      <c r="C242" s="1">
        <v>2221</v>
      </c>
      <c r="D242" s="1" t="str">
        <f>"("&amp;B242&amp;","&amp;C242&amp;")"&amp;","</f>
        <v>(2201,2221),</v>
      </c>
      <c r="E242" s="36" t="str">
        <f>E241&amp;D242</f>
        <v>(2201,2221),</v>
      </c>
    </row>
    <row r="243" spans="2:5" x14ac:dyDescent="0.3">
      <c r="B243" s="1">
        <v>2202</v>
      </c>
      <c r="C243" s="1">
        <v>2222</v>
      </c>
      <c r="D243" s="1" t="str">
        <f t="shared" ref="D243:D251" si="70">"("&amp;B243&amp;","&amp;C243&amp;")"&amp;","</f>
        <v>(2202,2222),</v>
      </c>
      <c r="E243" s="36" t="str">
        <f t="shared" ref="E243:E251" si="71">E242&amp;D243</f>
        <v>(2201,2221),(2202,2222),</v>
      </c>
    </row>
    <row r="244" spans="2:5" x14ac:dyDescent="0.3">
      <c r="B244" s="1">
        <v>2203</v>
      </c>
      <c r="C244" s="1">
        <v>2223</v>
      </c>
      <c r="D244" s="1" t="str">
        <f t="shared" si="70"/>
        <v>(2203,2223),</v>
      </c>
      <c r="E244" s="36" t="str">
        <f t="shared" si="71"/>
        <v>(2201,2221),(2202,2222),(2203,2223),</v>
      </c>
    </row>
    <row r="245" spans="2:5" x14ac:dyDescent="0.3">
      <c r="B245" s="1">
        <v>2204</v>
      </c>
      <c r="C245" s="1">
        <v>2224</v>
      </c>
      <c r="D245" s="1" t="str">
        <f t="shared" si="70"/>
        <v>(2204,2224),</v>
      </c>
      <c r="E245" s="36" t="str">
        <f t="shared" si="71"/>
        <v>(2201,2221),(2202,2222),(2203,2223),(2204,2224),</v>
      </c>
    </row>
    <row r="246" spans="2:5" x14ac:dyDescent="0.3">
      <c r="B246" s="1">
        <v>2205</v>
      </c>
      <c r="C246" s="1">
        <v>2225</v>
      </c>
      <c r="D246" s="1" t="str">
        <f t="shared" si="70"/>
        <v>(2205,2225),</v>
      </c>
      <c r="E246" s="36" t="str">
        <f t="shared" si="71"/>
        <v>(2201,2221),(2202,2222),(2203,2223),(2204,2224),(2205,2225),</v>
      </c>
    </row>
    <row r="247" spans="2:5" x14ac:dyDescent="0.3">
      <c r="B247" s="1">
        <v>2206</v>
      </c>
      <c r="C247" s="1">
        <v>2226</v>
      </c>
      <c r="D247" s="1" t="str">
        <f t="shared" si="70"/>
        <v>(2206,2226),</v>
      </c>
      <c r="E247" s="36" t="str">
        <f t="shared" si="71"/>
        <v>(2201,2221),(2202,2222),(2203,2223),(2204,2224),(2205,2225),(2206,2226),</v>
      </c>
    </row>
    <row r="248" spans="2:5" x14ac:dyDescent="0.3">
      <c r="B248" s="1">
        <v>2207</v>
      </c>
      <c r="C248" s="1">
        <v>2227</v>
      </c>
      <c r="D248" s="1" t="str">
        <f t="shared" si="70"/>
        <v>(2207,2227),</v>
      </c>
      <c r="E248" s="36" t="str">
        <f t="shared" si="71"/>
        <v>(2201,2221),(2202,2222),(2203,2223),(2204,2224),(2205,2225),(2206,2226),(2207,2227),</v>
      </c>
    </row>
    <row r="249" spans="2:5" x14ac:dyDescent="0.3">
      <c r="B249" s="1">
        <v>2208</v>
      </c>
      <c r="C249" s="1">
        <v>2228</v>
      </c>
      <c r="D249" s="1" t="str">
        <f t="shared" si="70"/>
        <v>(2208,2228),</v>
      </c>
      <c r="E249" s="36" t="str">
        <f t="shared" si="71"/>
        <v>(2201,2221),(2202,2222),(2203,2223),(2204,2224),(2205,2225),(2206,2226),(2207,2227),(2208,2228),</v>
      </c>
    </row>
    <row r="250" spans="2:5" x14ac:dyDescent="0.3">
      <c r="B250" s="1">
        <v>2209</v>
      </c>
      <c r="C250" s="1">
        <v>2229</v>
      </c>
      <c r="D250" s="1" t="str">
        <f t="shared" si="70"/>
        <v>(2209,2229),</v>
      </c>
      <c r="E250" s="36" t="str">
        <f t="shared" si="71"/>
        <v>(2201,2221),(2202,2222),(2203,2223),(2204,2224),(2205,2225),(2206,2226),(2207,2227),(2208,2228),(2209,2229),</v>
      </c>
    </row>
    <row r="251" spans="2:5" x14ac:dyDescent="0.3">
      <c r="B251" s="1">
        <v>2210</v>
      </c>
      <c r="C251" s="1">
        <v>2230</v>
      </c>
      <c r="D251" s="1" t="str">
        <f t="shared" si="70"/>
        <v>(2210,2230),</v>
      </c>
      <c r="E251" s="36" t="str">
        <f t="shared" si="71"/>
        <v>(2201,2221),(2202,2222),(2203,2223),(2204,2224),(2205,2225),(2206,2226),(2207,2227),(2208,2228),(2209,2229),(2210,2230),</v>
      </c>
    </row>
    <row r="252" spans="2:5" x14ac:dyDescent="0.3">
      <c r="E252" s="36" t="str">
        <f>LEFT(E251,LEN(E251)-1)</f>
        <v>(2201,2221),(2202,2222),(2203,2223),(2204,2224),(2205,2225),(2206,2226),(2207,2227),(2208,2228),(2209,2229),(2210,2230)</v>
      </c>
    </row>
    <row r="253" spans="2:5" x14ac:dyDescent="0.3">
      <c r="E253" s="37" t="str">
        <f>"["&amp;E252&amp;"]"</f>
        <v>[(2201,2221),(2202,2222),(2203,2223),(2204,2224),(2205,2225),(2206,2226),(2207,2227),(2208,2228),(2209,2229),(2210,2230)]</v>
      </c>
    </row>
    <row r="256" spans="2:5" x14ac:dyDescent="0.3">
      <c r="B256" s="36" t="s">
        <v>3513</v>
      </c>
    </row>
    <row r="257" spans="2:5" x14ac:dyDescent="0.3">
      <c r="B257" s="1" t="s">
        <v>3511</v>
      </c>
      <c r="C257" s="1" t="s">
        <v>3512</v>
      </c>
    </row>
    <row r="258" spans="2:5" x14ac:dyDescent="0.3">
      <c r="B258" s="1">
        <v>2201</v>
      </c>
      <c r="C258" s="1">
        <v>2211</v>
      </c>
      <c r="D258" s="1" t="str">
        <f>"("&amp;B258&amp;","&amp;C258&amp;")"&amp;","</f>
        <v>(2201,2211),</v>
      </c>
      <c r="E258" s="36" t="str">
        <f>E257&amp;D258</f>
        <v>(2201,2211),</v>
      </c>
    </row>
    <row r="259" spans="2:5" x14ac:dyDescent="0.3">
      <c r="B259" s="1">
        <v>2202</v>
      </c>
      <c r="C259" s="1">
        <v>2212</v>
      </c>
      <c r="D259" s="1" t="str">
        <f t="shared" ref="D259:D267" si="72">"("&amp;B259&amp;","&amp;C259&amp;")"&amp;","</f>
        <v>(2202,2212),</v>
      </c>
      <c r="E259" s="36" t="str">
        <f t="shared" ref="E259:E267" si="73">E258&amp;D259</f>
        <v>(2201,2211),(2202,2212),</v>
      </c>
    </row>
    <row r="260" spans="2:5" x14ac:dyDescent="0.3">
      <c r="B260" s="1">
        <v>2203</v>
      </c>
      <c r="C260" s="1">
        <v>2213</v>
      </c>
      <c r="D260" s="1" t="str">
        <f t="shared" si="72"/>
        <v>(2203,2213),</v>
      </c>
      <c r="E260" s="36" t="str">
        <f t="shared" si="73"/>
        <v>(2201,2211),(2202,2212),(2203,2213),</v>
      </c>
    </row>
    <row r="261" spans="2:5" x14ac:dyDescent="0.3">
      <c r="B261" s="1">
        <v>2204</v>
      </c>
      <c r="C261" s="1">
        <v>2214</v>
      </c>
      <c r="D261" s="1" t="str">
        <f t="shared" si="72"/>
        <v>(2204,2214),</v>
      </c>
      <c r="E261" s="36" t="str">
        <f t="shared" si="73"/>
        <v>(2201,2211),(2202,2212),(2203,2213),(2204,2214),</v>
      </c>
    </row>
    <row r="262" spans="2:5" x14ac:dyDescent="0.3">
      <c r="B262" s="1">
        <v>2205</v>
      </c>
      <c r="C262" s="1">
        <v>2215</v>
      </c>
      <c r="D262" s="1" t="str">
        <f t="shared" si="72"/>
        <v>(2205,2215),</v>
      </c>
      <c r="E262" s="36" t="str">
        <f t="shared" si="73"/>
        <v>(2201,2211),(2202,2212),(2203,2213),(2204,2214),(2205,2215),</v>
      </c>
    </row>
    <row r="263" spans="2:5" x14ac:dyDescent="0.3">
      <c r="B263" s="1">
        <v>2206</v>
      </c>
      <c r="C263" s="1">
        <v>2216</v>
      </c>
      <c r="D263" s="1" t="str">
        <f t="shared" si="72"/>
        <v>(2206,2216),</v>
      </c>
      <c r="E263" s="36" t="str">
        <f t="shared" si="73"/>
        <v>(2201,2211),(2202,2212),(2203,2213),(2204,2214),(2205,2215),(2206,2216),</v>
      </c>
    </row>
    <row r="264" spans="2:5" x14ac:dyDescent="0.3">
      <c r="B264" s="1">
        <v>2207</v>
      </c>
      <c r="C264" s="1">
        <v>2217</v>
      </c>
      <c r="D264" s="1" t="str">
        <f t="shared" si="72"/>
        <v>(2207,2217),</v>
      </c>
      <c r="E264" s="36" t="str">
        <f t="shared" si="73"/>
        <v>(2201,2211),(2202,2212),(2203,2213),(2204,2214),(2205,2215),(2206,2216),(2207,2217),</v>
      </c>
    </row>
    <row r="265" spans="2:5" x14ac:dyDescent="0.3">
      <c r="B265" s="1">
        <v>2208</v>
      </c>
      <c r="C265" s="1">
        <v>2218</v>
      </c>
      <c r="D265" s="1" t="str">
        <f t="shared" si="72"/>
        <v>(2208,2218),</v>
      </c>
      <c r="E265" s="36" t="str">
        <f t="shared" si="73"/>
        <v>(2201,2211),(2202,2212),(2203,2213),(2204,2214),(2205,2215),(2206,2216),(2207,2217),(2208,2218),</v>
      </c>
    </row>
    <row r="266" spans="2:5" x14ac:dyDescent="0.3">
      <c r="B266" s="1">
        <v>2209</v>
      </c>
      <c r="C266" s="1">
        <v>2219</v>
      </c>
      <c r="D266" s="1" t="str">
        <f t="shared" si="72"/>
        <v>(2209,2219),</v>
      </c>
      <c r="E266" s="36" t="str">
        <f t="shared" si="73"/>
        <v>(2201,2211),(2202,2212),(2203,2213),(2204,2214),(2205,2215),(2206,2216),(2207,2217),(2208,2218),(2209,2219),</v>
      </c>
    </row>
    <row r="267" spans="2:5" x14ac:dyDescent="0.3">
      <c r="B267" s="1">
        <v>2210</v>
      </c>
      <c r="C267" s="1">
        <v>2220</v>
      </c>
      <c r="D267" s="1" t="str">
        <f t="shared" si="72"/>
        <v>(2210,2220),</v>
      </c>
      <c r="E267" s="36" t="str">
        <f t="shared" si="73"/>
        <v>(2201,2211),(2202,2212),(2203,2213),(2204,2214),(2205,2215),(2206,2216),(2207,2217),(2208,2218),(2209,2219),(2210,2220),</v>
      </c>
    </row>
    <row r="268" spans="2:5" x14ac:dyDescent="0.3">
      <c r="E268" s="36" t="str">
        <f>LEFT(E267,LEN(E267)-1)</f>
        <v>(2201,2211),(2202,2212),(2203,2213),(2204,2214),(2205,2215),(2206,2216),(2207,2217),(2208,2218),(2209,2219),(2210,2220)</v>
      </c>
    </row>
    <row r="269" spans="2:5" x14ac:dyDescent="0.3">
      <c r="E269" s="37" t="str">
        <f>"["&amp;E268&amp;"]"</f>
        <v>[(2201,2211),(2202,2212),(2203,2213),(2204,2214),(2205,2215),(2206,2216),(2207,2217),(2208,2218),(2209,2219),(2210,2220)]</v>
      </c>
    </row>
  </sheetData>
  <mergeCells count="5">
    <mergeCell ref="B2:H2"/>
    <mergeCell ref="I2:J2"/>
    <mergeCell ref="K2:L2"/>
    <mergeCell ref="B39:N39"/>
    <mergeCell ref="P39:T39"/>
  </mergeCells>
  <phoneticPr fontId="34" type="noConversion"/>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1"/>
  <sheetViews>
    <sheetView topLeftCell="E1" workbookViewId="0">
      <selection activeCell="J10" sqref="J10"/>
    </sheetView>
  </sheetViews>
  <sheetFormatPr defaultColWidth="9" defaultRowHeight="13.5" x14ac:dyDescent="0.15"/>
  <cols>
    <col min="5" max="7" width="13" customWidth="1"/>
    <col min="8" max="8" width="19.75" customWidth="1"/>
    <col min="9" max="9" width="14" customWidth="1"/>
    <col min="10" max="10" width="17.25" customWidth="1"/>
    <col min="11" max="11" width="15.5" customWidth="1"/>
    <col min="12" max="12" width="12.25" customWidth="1"/>
    <col min="13" max="13" width="9.875" customWidth="1"/>
    <col min="14" max="14" width="13" customWidth="1"/>
    <col min="15" max="15" width="14.875" customWidth="1"/>
    <col min="16" max="16" width="12" customWidth="1"/>
    <col min="17" max="17" width="15.125" customWidth="1"/>
    <col min="18" max="18" width="21.375" customWidth="1"/>
    <col min="19" max="20" width="12.125" customWidth="1"/>
    <col min="21" max="21" width="15.625" customWidth="1"/>
    <col min="22" max="22" width="13" customWidth="1"/>
    <col min="23" max="23" width="11.625" customWidth="1"/>
    <col min="26" max="26" width="21.375" customWidth="1"/>
    <col min="33" max="33" width="13.375" customWidth="1"/>
  </cols>
  <sheetData>
    <row r="1" spans="1:37" x14ac:dyDescent="0.15">
      <c r="D1" t="s">
        <v>2847</v>
      </c>
      <c r="E1" t="s">
        <v>3514</v>
      </c>
      <c r="F1" t="s">
        <v>3515</v>
      </c>
      <c r="G1" t="s">
        <v>3516</v>
      </c>
      <c r="H1" t="s">
        <v>3517</v>
      </c>
      <c r="I1" t="s">
        <v>317</v>
      </c>
      <c r="J1" t="s">
        <v>3518</v>
      </c>
      <c r="K1" t="s">
        <v>3519</v>
      </c>
      <c r="L1" t="s">
        <v>3520</v>
      </c>
      <c r="N1" t="s">
        <v>3521</v>
      </c>
      <c r="O1" t="s">
        <v>3522</v>
      </c>
      <c r="P1" t="s">
        <v>3523</v>
      </c>
      <c r="Q1" t="s">
        <v>3524</v>
      </c>
      <c r="R1" t="s">
        <v>3525</v>
      </c>
      <c r="S1" t="s">
        <v>3526</v>
      </c>
      <c r="T1" t="s">
        <v>3527</v>
      </c>
      <c r="U1" t="s">
        <v>3528</v>
      </c>
      <c r="V1" t="s">
        <v>3528</v>
      </c>
      <c r="Z1" s="7" t="s">
        <v>3529</v>
      </c>
      <c r="AA1" s="18">
        <v>800</v>
      </c>
      <c r="AC1" s="7" t="s">
        <v>3530</v>
      </c>
      <c r="AD1" s="7" t="s">
        <v>3531</v>
      </c>
      <c r="AE1" s="7" t="s">
        <v>275</v>
      </c>
      <c r="AG1" t="s">
        <v>3532</v>
      </c>
      <c r="AH1" s="11" t="s">
        <v>3533</v>
      </c>
      <c r="AI1" s="11" t="s">
        <v>3024</v>
      </c>
      <c r="AJ1" s="11" t="s">
        <v>3534</v>
      </c>
      <c r="AK1" s="11" t="s">
        <v>3535</v>
      </c>
    </row>
    <row r="2" spans="1:37" ht="15.75" x14ac:dyDescent="0.3">
      <c r="A2" s="15">
        <v>51311</v>
      </c>
      <c r="B2" s="15" t="s">
        <v>530</v>
      </c>
      <c r="C2" s="15" t="s">
        <v>618</v>
      </c>
      <c r="D2">
        <f>VLOOKUP(A2,'名称-id'!B:D,3,FALSE)</f>
        <v>55</v>
      </c>
      <c r="E2">
        <v>18</v>
      </c>
      <c r="F2">
        <v>390</v>
      </c>
      <c r="G2">
        <f>'名称-id'!$K$2</f>
        <v>34.799999999999997</v>
      </c>
      <c r="H2" s="16">
        <f t="shared" ref="H2:H16" si="0">(D2+I2)/(G2*J2)</f>
        <v>4.2701149425287355E-2</v>
      </c>
      <c r="I2" s="17">
        <f t="shared" ref="I2:I16" si="1">VLOOKUP(N2,$AC$2:$AE$4,3,FALSE)*J2*$AA$3</f>
        <v>4.4400000000000004</v>
      </c>
      <c r="J2">
        <v>40</v>
      </c>
      <c r="K2">
        <v>5</v>
      </c>
      <c r="L2">
        <v>24</v>
      </c>
      <c r="M2">
        <f t="shared" ref="M2:M16" si="2">L2*3600</f>
        <v>86400</v>
      </c>
      <c r="N2">
        <v>1</v>
      </c>
      <c r="O2">
        <f t="shared" ref="O2:O16" si="3">VLOOKUP(N2,$AC$1:$AE$4,2,FALSE)</f>
        <v>10</v>
      </c>
      <c r="P2">
        <v>5</v>
      </c>
      <c r="Q2">
        <f>ROUNDUP(((O2*J2)/K2)/(P2*$AD$2),0)*P2*$AD$2</f>
        <v>100</v>
      </c>
      <c r="R2" s="9">
        <f t="shared" ref="R2:R16" si="4">Q2/$AD$2</f>
        <v>10</v>
      </c>
      <c r="S2">
        <f t="shared" ref="S2:S16" si="5">(E2*L2)/24</f>
        <v>18</v>
      </c>
      <c r="T2">
        <f t="shared" ref="T2:T16" si="6">(F2*L2)/24</f>
        <v>390</v>
      </c>
      <c r="U2">
        <f t="shared" ref="U2:U16" si="7">J2*S2</f>
        <v>720</v>
      </c>
      <c r="V2">
        <f t="shared" ref="V2:V16" si="8">T2*J2</f>
        <v>15600</v>
      </c>
      <c r="W2" t="str">
        <f>"["&amp;J2&amp;","&amp;J2&amp;","&amp;J2&amp;"]"</f>
        <v>[40,40,40]</v>
      </c>
      <c r="Z2" s="7" t="s">
        <v>3536</v>
      </c>
      <c r="AA2" s="18">
        <f>AA1*AE2/AD2</f>
        <v>400</v>
      </c>
      <c r="AC2" s="7">
        <v>1</v>
      </c>
      <c r="AD2" s="7">
        <v>10</v>
      </c>
      <c r="AE2" s="18">
        <v>5</v>
      </c>
      <c r="AH2" s="7">
        <v>1</v>
      </c>
      <c r="AI2" s="7">
        <v>13195</v>
      </c>
      <c r="AJ2" s="7">
        <v>2083</v>
      </c>
      <c r="AK2" s="7">
        <v>6.3346135381661099</v>
      </c>
    </row>
    <row r="3" spans="1:37" ht="15.75" x14ac:dyDescent="0.3">
      <c r="A3" s="15">
        <v>51321</v>
      </c>
      <c r="B3" s="15" t="s">
        <v>620</v>
      </c>
      <c r="C3" s="15" t="s">
        <v>621</v>
      </c>
      <c r="D3">
        <f>VLOOKUP(A3,'名称-id'!B:D,3,FALSE)</f>
        <v>70</v>
      </c>
      <c r="E3">
        <v>18</v>
      </c>
      <c r="F3">
        <v>390</v>
      </c>
      <c r="G3">
        <f>'名称-id'!$K$2</f>
        <v>34.799999999999997</v>
      </c>
      <c r="H3" s="16">
        <f t="shared" si="0"/>
        <v>4.3419540229885062E-2</v>
      </c>
      <c r="I3" s="17">
        <f t="shared" si="1"/>
        <v>5.55</v>
      </c>
      <c r="J3">
        <v>50</v>
      </c>
      <c r="K3">
        <v>5</v>
      </c>
      <c r="L3">
        <v>24</v>
      </c>
      <c r="M3">
        <f t="shared" si="2"/>
        <v>86400</v>
      </c>
      <c r="N3">
        <v>1</v>
      </c>
      <c r="O3">
        <f t="shared" si="3"/>
        <v>10</v>
      </c>
      <c r="P3">
        <v>5</v>
      </c>
      <c r="Q3">
        <f t="shared" ref="Q3:Q16" si="9">ROUNDUP(((O3*J3)/K3)/(P3*$AD$2),0)*P3*$AD$2</f>
        <v>100</v>
      </c>
      <c r="R3" s="9">
        <f t="shared" si="4"/>
        <v>10</v>
      </c>
      <c r="S3">
        <f t="shared" si="5"/>
        <v>18</v>
      </c>
      <c r="T3">
        <f t="shared" si="6"/>
        <v>390</v>
      </c>
      <c r="U3">
        <f t="shared" si="7"/>
        <v>900</v>
      </c>
      <c r="V3">
        <f t="shared" si="8"/>
        <v>19500</v>
      </c>
      <c r="W3" t="str">
        <f t="shared" ref="W3:W16" si="10">"["&amp;J3&amp;","&amp;J3&amp;","&amp;J3&amp;"]"</f>
        <v>[50,50,50]</v>
      </c>
      <c r="Z3" s="7" t="s">
        <v>3537</v>
      </c>
      <c r="AA3" s="18">
        <v>2.2200000000000001E-2</v>
      </c>
      <c r="AC3" s="7">
        <v>2</v>
      </c>
      <c r="AD3" s="7">
        <v>20</v>
      </c>
      <c r="AE3" s="7">
        <v>10</v>
      </c>
      <c r="AH3" s="7">
        <v>2</v>
      </c>
      <c r="AI3" s="7">
        <v>8578</v>
      </c>
      <c r="AJ3" s="7">
        <v>1296</v>
      </c>
      <c r="AK3" s="7">
        <v>6.6188271604938302</v>
      </c>
    </row>
    <row r="4" spans="1:37" ht="15.75" x14ac:dyDescent="0.3">
      <c r="A4" s="15">
        <v>51331</v>
      </c>
      <c r="B4" s="15" t="s">
        <v>622</v>
      </c>
      <c r="C4" s="15" t="s">
        <v>623</v>
      </c>
      <c r="D4">
        <f>VLOOKUP(A4,'名称-id'!B:D,3,FALSE)</f>
        <v>80</v>
      </c>
      <c r="E4">
        <v>18</v>
      </c>
      <c r="F4">
        <v>390</v>
      </c>
      <c r="G4">
        <f>'名称-id'!$K$2</f>
        <v>34.799999999999997</v>
      </c>
      <c r="H4" s="16">
        <f t="shared" si="0"/>
        <v>4.9166666666666671E-2</v>
      </c>
      <c r="I4" s="17">
        <f t="shared" si="1"/>
        <v>5.55</v>
      </c>
      <c r="J4">
        <v>50</v>
      </c>
      <c r="K4">
        <v>5</v>
      </c>
      <c r="L4">
        <v>24</v>
      </c>
      <c r="M4">
        <f t="shared" si="2"/>
        <v>86400</v>
      </c>
      <c r="N4">
        <v>1</v>
      </c>
      <c r="O4">
        <f t="shared" si="3"/>
        <v>10</v>
      </c>
      <c r="P4">
        <v>5</v>
      </c>
      <c r="Q4">
        <f t="shared" si="9"/>
        <v>100</v>
      </c>
      <c r="R4" s="9">
        <f t="shared" si="4"/>
        <v>10</v>
      </c>
      <c r="S4">
        <f t="shared" si="5"/>
        <v>18</v>
      </c>
      <c r="T4">
        <f t="shared" si="6"/>
        <v>390</v>
      </c>
      <c r="U4">
        <f t="shared" si="7"/>
        <v>900</v>
      </c>
      <c r="V4">
        <f t="shared" si="8"/>
        <v>19500</v>
      </c>
      <c r="W4" t="str">
        <f t="shared" si="10"/>
        <v>[50,50,50]</v>
      </c>
      <c r="Z4" s="7" t="s">
        <v>3538</v>
      </c>
      <c r="AA4" s="18">
        <f>AA3*AA2</f>
        <v>8.8800000000000008</v>
      </c>
      <c r="AC4" s="7">
        <v>3</v>
      </c>
      <c r="AD4" s="7">
        <v>30</v>
      </c>
      <c r="AE4" s="7">
        <v>15</v>
      </c>
      <c r="AH4" s="7">
        <v>3</v>
      </c>
      <c r="AI4" s="7">
        <v>1786</v>
      </c>
      <c r="AJ4" s="7">
        <v>539</v>
      </c>
      <c r="AK4" s="7">
        <v>3.3135435992578799</v>
      </c>
    </row>
    <row r="5" spans="1:37" ht="15.75" x14ac:dyDescent="0.3">
      <c r="A5" s="15">
        <v>52311</v>
      </c>
      <c r="B5" s="15" t="s">
        <v>534</v>
      </c>
      <c r="C5" s="15" t="s">
        <v>638</v>
      </c>
      <c r="D5">
        <f>VLOOKUP(A5,'名称-id'!B:D,3,FALSE)</f>
        <v>55</v>
      </c>
      <c r="E5">
        <v>18</v>
      </c>
      <c r="F5">
        <v>390</v>
      </c>
      <c r="G5">
        <f>'名称-id'!$K$2</f>
        <v>34.799999999999997</v>
      </c>
      <c r="H5" s="16">
        <f t="shared" si="0"/>
        <v>4.2701149425287355E-2</v>
      </c>
      <c r="I5" s="17">
        <f t="shared" si="1"/>
        <v>4.4400000000000004</v>
      </c>
      <c r="J5">
        <v>40</v>
      </c>
      <c r="K5">
        <v>5</v>
      </c>
      <c r="L5">
        <v>24</v>
      </c>
      <c r="M5">
        <f t="shared" si="2"/>
        <v>86400</v>
      </c>
      <c r="N5">
        <v>1</v>
      </c>
      <c r="O5">
        <f t="shared" si="3"/>
        <v>10</v>
      </c>
      <c r="P5">
        <v>5</v>
      </c>
      <c r="Q5">
        <f t="shared" si="9"/>
        <v>100</v>
      </c>
      <c r="R5" s="9">
        <f t="shared" si="4"/>
        <v>10</v>
      </c>
      <c r="S5">
        <f t="shared" si="5"/>
        <v>18</v>
      </c>
      <c r="T5">
        <f t="shared" si="6"/>
        <v>390</v>
      </c>
      <c r="U5">
        <f t="shared" si="7"/>
        <v>720</v>
      </c>
      <c r="V5">
        <f t="shared" si="8"/>
        <v>15600</v>
      </c>
      <c r="W5" t="str">
        <f t="shared" si="10"/>
        <v>[40,40,40]</v>
      </c>
      <c r="Z5" s="13" t="s">
        <v>3539</v>
      </c>
      <c r="AA5" s="19">
        <f>AA1/AVERAGE(Q2:Q16)</f>
        <v>8.8888888888888893</v>
      </c>
      <c r="AH5" s="7">
        <v>4</v>
      </c>
      <c r="AI5" s="7">
        <v>75</v>
      </c>
      <c r="AJ5" s="7">
        <v>528</v>
      </c>
      <c r="AK5" s="7">
        <v>0.142045454545455</v>
      </c>
    </row>
    <row r="6" spans="1:37" ht="15.75" x14ac:dyDescent="0.3">
      <c r="A6" s="15">
        <v>52321</v>
      </c>
      <c r="B6" s="15" t="s">
        <v>639</v>
      </c>
      <c r="C6" s="15" t="s">
        <v>640</v>
      </c>
      <c r="D6">
        <f>VLOOKUP(A6,'名称-id'!B:D,3,FALSE)</f>
        <v>70</v>
      </c>
      <c r="E6">
        <v>18</v>
      </c>
      <c r="F6">
        <v>390</v>
      </c>
      <c r="G6">
        <f>'名称-id'!$K$2</f>
        <v>34.799999999999997</v>
      </c>
      <c r="H6" s="16">
        <f t="shared" si="0"/>
        <v>4.3419540229885062E-2</v>
      </c>
      <c r="I6" s="17">
        <f t="shared" si="1"/>
        <v>5.55</v>
      </c>
      <c r="J6">
        <v>50</v>
      </c>
      <c r="K6">
        <v>5</v>
      </c>
      <c r="L6">
        <v>24</v>
      </c>
      <c r="M6">
        <f t="shared" si="2"/>
        <v>86400</v>
      </c>
      <c r="N6">
        <v>1</v>
      </c>
      <c r="O6">
        <f t="shared" si="3"/>
        <v>10</v>
      </c>
      <c r="P6">
        <v>5</v>
      </c>
      <c r="Q6">
        <f t="shared" si="9"/>
        <v>100</v>
      </c>
      <c r="R6" s="9">
        <f t="shared" si="4"/>
        <v>10</v>
      </c>
      <c r="S6">
        <f t="shared" si="5"/>
        <v>18</v>
      </c>
      <c r="T6">
        <f t="shared" si="6"/>
        <v>390</v>
      </c>
      <c r="U6">
        <f t="shared" si="7"/>
        <v>900</v>
      </c>
      <c r="V6">
        <f t="shared" si="8"/>
        <v>19500</v>
      </c>
      <c r="W6" t="str">
        <f t="shared" si="10"/>
        <v>[50,50,50]</v>
      </c>
      <c r="AH6" s="7">
        <v>5</v>
      </c>
      <c r="AI6" s="7">
        <v>23</v>
      </c>
      <c r="AJ6" s="7">
        <v>434</v>
      </c>
      <c r="AK6" s="7">
        <v>5.2995391705069103E-2</v>
      </c>
    </row>
    <row r="7" spans="1:37" ht="15.75" x14ac:dyDescent="0.3">
      <c r="A7" s="15">
        <v>52331</v>
      </c>
      <c r="B7" s="15" t="s">
        <v>641</v>
      </c>
      <c r="C7" s="15" t="s">
        <v>642</v>
      </c>
      <c r="D7">
        <f>VLOOKUP(A7,'名称-id'!B:D,3,FALSE)</f>
        <v>80</v>
      </c>
      <c r="E7">
        <v>18</v>
      </c>
      <c r="F7">
        <v>390</v>
      </c>
      <c r="G7">
        <f>'名称-id'!$K$2</f>
        <v>34.799999999999997</v>
      </c>
      <c r="H7" s="16">
        <f t="shared" si="0"/>
        <v>4.9166666666666671E-2</v>
      </c>
      <c r="I7" s="17">
        <f t="shared" si="1"/>
        <v>5.55</v>
      </c>
      <c r="J7">
        <v>50</v>
      </c>
      <c r="K7">
        <v>5</v>
      </c>
      <c r="L7">
        <v>24</v>
      </c>
      <c r="M7">
        <f t="shared" si="2"/>
        <v>86400</v>
      </c>
      <c r="N7">
        <v>1</v>
      </c>
      <c r="O7">
        <f t="shared" si="3"/>
        <v>10</v>
      </c>
      <c r="P7">
        <v>5</v>
      </c>
      <c r="Q7">
        <f t="shared" si="9"/>
        <v>100</v>
      </c>
      <c r="R7" s="9">
        <f t="shared" si="4"/>
        <v>10</v>
      </c>
      <c r="S7">
        <f t="shared" si="5"/>
        <v>18</v>
      </c>
      <c r="T7">
        <f t="shared" si="6"/>
        <v>390</v>
      </c>
      <c r="U7">
        <f t="shared" si="7"/>
        <v>900</v>
      </c>
      <c r="V7">
        <f t="shared" si="8"/>
        <v>19500</v>
      </c>
      <c r="W7" t="str">
        <f t="shared" si="10"/>
        <v>[50,50,50]</v>
      </c>
      <c r="AH7" s="7">
        <v>6</v>
      </c>
      <c r="AI7" s="7">
        <v>8</v>
      </c>
      <c r="AJ7" s="7">
        <v>254</v>
      </c>
      <c r="AK7" s="7">
        <v>3.1496062992125998E-2</v>
      </c>
    </row>
    <row r="8" spans="1:37" ht="15.75" x14ac:dyDescent="0.3">
      <c r="A8" s="15">
        <v>53311</v>
      </c>
      <c r="B8" s="15" t="s">
        <v>538</v>
      </c>
      <c r="C8" s="15" t="s">
        <v>657</v>
      </c>
      <c r="D8">
        <f>VLOOKUP(A8,'名称-id'!B:D,3,FALSE)</f>
        <v>55</v>
      </c>
      <c r="E8">
        <v>18</v>
      </c>
      <c r="F8">
        <v>390</v>
      </c>
      <c r="G8">
        <f>'名称-id'!$K$2</f>
        <v>34.799999999999997</v>
      </c>
      <c r="H8" s="16">
        <f t="shared" si="0"/>
        <v>4.2701149425287355E-2</v>
      </c>
      <c r="I8" s="17">
        <f t="shared" si="1"/>
        <v>4.4400000000000004</v>
      </c>
      <c r="J8">
        <v>40</v>
      </c>
      <c r="K8">
        <v>5</v>
      </c>
      <c r="L8">
        <v>24</v>
      </c>
      <c r="M8">
        <f t="shared" si="2"/>
        <v>86400</v>
      </c>
      <c r="N8">
        <v>1</v>
      </c>
      <c r="O8">
        <f t="shared" si="3"/>
        <v>10</v>
      </c>
      <c r="P8">
        <v>5</v>
      </c>
      <c r="Q8">
        <f t="shared" si="9"/>
        <v>100</v>
      </c>
      <c r="R8" s="9">
        <f t="shared" si="4"/>
        <v>10</v>
      </c>
      <c r="S8">
        <f t="shared" si="5"/>
        <v>18</v>
      </c>
      <c r="T8">
        <f t="shared" si="6"/>
        <v>390</v>
      </c>
      <c r="U8">
        <f t="shared" si="7"/>
        <v>720</v>
      </c>
      <c r="V8">
        <f t="shared" si="8"/>
        <v>15600</v>
      </c>
      <c r="W8" t="str">
        <f t="shared" si="10"/>
        <v>[40,40,40]</v>
      </c>
      <c r="AH8" s="7">
        <v>7</v>
      </c>
      <c r="AI8" s="7">
        <v>7</v>
      </c>
      <c r="AJ8" s="7">
        <v>153</v>
      </c>
      <c r="AK8" s="7">
        <v>4.5751633986928102E-2</v>
      </c>
    </row>
    <row r="9" spans="1:37" ht="15.75" x14ac:dyDescent="0.3">
      <c r="A9" s="15">
        <v>53321</v>
      </c>
      <c r="B9" s="15" t="s">
        <v>658</v>
      </c>
      <c r="C9" s="15" t="s">
        <v>659</v>
      </c>
      <c r="D9">
        <f>VLOOKUP(A9,'名称-id'!B:D,3,FALSE)</f>
        <v>70</v>
      </c>
      <c r="E9">
        <v>18</v>
      </c>
      <c r="F9">
        <v>390</v>
      </c>
      <c r="G9">
        <f>'名称-id'!$K$2</f>
        <v>34.799999999999997</v>
      </c>
      <c r="H9" s="16">
        <f t="shared" si="0"/>
        <v>4.3419540229885062E-2</v>
      </c>
      <c r="I9" s="17">
        <f t="shared" si="1"/>
        <v>5.55</v>
      </c>
      <c r="J9">
        <v>50</v>
      </c>
      <c r="K9">
        <v>5</v>
      </c>
      <c r="L9">
        <v>24</v>
      </c>
      <c r="M9">
        <f t="shared" si="2"/>
        <v>86400</v>
      </c>
      <c r="N9">
        <v>1</v>
      </c>
      <c r="O9">
        <f t="shared" si="3"/>
        <v>10</v>
      </c>
      <c r="P9">
        <v>5</v>
      </c>
      <c r="Q9">
        <f t="shared" si="9"/>
        <v>100</v>
      </c>
      <c r="R9" s="9">
        <f t="shared" si="4"/>
        <v>10</v>
      </c>
      <c r="S9">
        <f t="shared" si="5"/>
        <v>18</v>
      </c>
      <c r="T9">
        <f t="shared" si="6"/>
        <v>390</v>
      </c>
      <c r="U9">
        <f t="shared" si="7"/>
        <v>900</v>
      </c>
      <c r="V9">
        <f t="shared" si="8"/>
        <v>19500</v>
      </c>
      <c r="W9" t="str">
        <f t="shared" si="10"/>
        <v>[50,50,50]</v>
      </c>
      <c r="AH9" s="7">
        <v>8</v>
      </c>
      <c r="AI9" s="7">
        <v>7</v>
      </c>
      <c r="AJ9" s="7">
        <v>152</v>
      </c>
      <c r="AK9" s="7">
        <v>4.6052631578947401E-2</v>
      </c>
    </row>
    <row r="10" spans="1:37" ht="15.75" x14ac:dyDescent="0.3">
      <c r="A10" s="15">
        <v>53331</v>
      </c>
      <c r="B10" s="15" t="s">
        <v>660</v>
      </c>
      <c r="C10" s="15" t="s">
        <v>661</v>
      </c>
      <c r="D10">
        <f>VLOOKUP(A10,'名称-id'!B:D,3,FALSE)</f>
        <v>80</v>
      </c>
      <c r="E10">
        <v>18</v>
      </c>
      <c r="F10">
        <v>390</v>
      </c>
      <c r="G10">
        <f>'名称-id'!$K$2</f>
        <v>34.799999999999997</v>
      </c>
      <c r="H10" s="16">
        <f t="shared" si="0"/>
        <v>4.9166666666666671E-2</v>
      </c>
      <c r="I10" s="17">
        <f t="shared" si="1"/>
        <v>5.55</v>
      </c>
      <c r="J10">
        <v>50</v>
      </c>
      <c r="K10">
        <v>5</v>
      </c>
      <c r="L10">
        <v>24</v>
      </c>
      <c r="M10">
        <f t="shared" si="2"/>
        <v>86400</v>
      </c>
      <c r="N10">
        <v>1</v>
      </c>
      <c r="O10">
        <f t="shared" si="3"/>
        <v>10</v>
      </c>
      <c r="P10">
        <v>5</v>
      </c>
      <c r="Q10">
        <f t="shared" si="9"/>
        <v>100</v>
      </c>
      <c r="R10" s="9">
        <f t="shared" si="4"/>
        <v>10</v>
      </c>
      <c r="S10">
        <f t="shared" si="5"/>
        <v>18</v>
      </c>
      <c r="T10">
        <f t="shared" si="6"/>
        <v>390</v>
      </c>
      <c r="U10">
        <f t="shared" si="7"/>
        <v>900</v>
      </c>
      <c r="V10">
        <f t="shared" si="8"/>
        <v>19500</v>
      </c>
      <c r="W10" t="str">
        <f t="shared" si="10"/>
        <v>[50,50,50]</v>
      </c>
    </row>
    <row r="11" spans="1:37" ht="15.75" x14ac:dyDescent="0.3">
      <c r="A11" s="15">
        <v>51211</v>
      </c>
      <c r="B11" s="15" t="s">
        <v>524</v>
      </c>
      <c r="C11" s="15" t="s">
        <v>614</v>
      </c>
      <c r="D11">
        <f>VLOOKUP(A11,'名称-id'!B:D,3,FALSE)</f>
        <v>60</v>
      </c>
      <c r="E11">
        <v>6</v>
      </c>
      <c r="F11">
        <v>170</v>
      </c>
      <c r="G11">
        <f>'名称-id'!$K$2</f>
        <v>34.799999999999997</v>
      </c>
      <c r="H11" s="16">
        <f t="shared" si="0"/>
        <v>8.9396551724137935E-2</v>
      </c>
      <c r="I11" s="17">
        <f t="shared" si="1"/>
        <v>2.2200000000000002</v>
      </c>
      <c r="J11">
        <v>20</v>
      </c>
      <c r="K11">
        <v>5</v>
      </c>
      <c r="L11">
        <v>8</v>
      </c>
      <c r="M11">
        <f t="shared" si="2"/>
        <v>28800</v>
      </c>
      <c r="N11">
        <v>1</v>
      </c>
      <c r="O11">
        <f t="shared" si="3"/>
        <v>10</v>
      </c>
      <c r="P11">
        <v>5</v>
      </c>
      <c r="Q11">
        <f t="shared" si="9"/>
        <v>50</v>
      </c>
      <c r="R11" s="9">
        <f t="shared" si="4"/>
        <v>5</v>
      </c>
      <c r="S11">
        <f t="shared" si="5"/>
        <v>2</v>
      </c>
      <c r="T11">
        <f t="shared" si="6"/>
        <v>56.666666666666664</v>
      </c>
      <c r="U11">
        <f t="shared" si="7"/>
        <v>40</v>
      </c>
      <c r="V11">
        <f t="shared" si="8"/>
        <v>1133.3333333333333</v>
      </c>
      <c r="W11" t="str">
        <f t="shared" si="10"/>
        <v>[20,20,20]</v>
      </c>
      <c r="Z11" s="11" t="s">
        <v>3533</v>
      </c>
      <c r="AA11" s="11" t="s">
        <v>1202</v>
      </c>
      <c r="AB11" s="11" t="s">
        <v>3540</v>
      </c>
      <c r="AC11" s="11" t="s">
        <v>3541</v>
      </c>
      <c r="AD11" s="12" t="s">
        <v>3542</v>
      </c>
    </row>
    <row r="12" spans="1:37" ht="15.75" x14ac:dyDescent="0.3">
      <c r="A12" s="15">
        <v>51221</v>
      </c>
      <c r="B12" s="15" t="s">
        <v>616</v>
      </c>
      <c r="C12" s="15" t="s">
        <v>617</v>
      </c>
      <c r="D12">
        <f>VLOOKUP(A12,'名称-id'!B:D,3,FALSE)</f>
        <v>80</v>
      </c>
      <c r="E12">
        <v>6</v>
      </c>
      <c r="F12">
        <v>170</v>
      </c>
      <c r="G12">
        <f>'名称-id'!$K$2</f>
        <v>34.799999999999997</v>
      </c>
      <c r="H12" s="16">
        <f t="shared" si="0"/>
        <v>7.9818007662835241E-2</v>
      </c>
      <c r="I12" s="17">
        <f t="shared" si="1"/>
        <v>3.33</v>
      </c>
      <c r="J12">
        <v>30</v>
      </c>
      <c r="K12">
        <v>5</v>
      </c>
      <c r="L12">
        <v>8</v>
      </c>
      <c r="M12">
        <f t="shared" si="2"/>
        <v>28800</v>
      </c>
      <c r="N12">
        <v>1</v>
      </c>
      <c r="O12">
        <f t="shared" si="3"/>
        <v>10</v>
      </c>
      <c r="P12">
        <v>5</v>
      </c>
      <c r="Q12">
        <f t="shared" si="9"/>
        <v>100</v>
      </c>
      <c r="R12" s="9">
        <f t="shared" si="4"/>
        <v>10</v>
      </c>
      <c r="S12">
        <f t="shared" si="5"/>
        <v>2</v>
      </c>
      <c r="T12">
        <f t="shared" si="6"/>
        <v>56.666666666666664</v>
      </c>
      <c r="U12">
        <f t="shared" si="7"/>
        <v>60</v>
      </c>
      <c r="V12">
        <f t="shared" si="8"/>
        <v>1700</v>
      </c>
      <c r="W12" t="str">
        <f t="shared" si="10"/>
        <v>[30,30,30]</v>
      </c>
      <c r="Z12" s="7">
        <v>1</v>
      </c>
      <c r="AA12" s="7">
        <v>1</v>
      </c>
      <c r="AB12" s="7">
        <f>AA12*$AA$1</f>
        <v>800</v>
      </c>
      <c r="AC12" s="7">
        <f>AA12*$AA$2</f>
        <v>400</v>
      </c>
      <c r="AD12" s="20">
        <f>AA12*$AA$5</f>
        <v>8.8888888888888893</v>
      </c>
    </row>
    <row r="13" spans="1:37" ht="15.75" x14ac:dyDescent="0.3">
      <c r="A13" s="15">
        <v>52211</v>
      </c>
      <c r="B13" s="15" t="s">
        <v>526</v>
      </c>
      <c r="C13" s="15" t="s">
        <v>635</v>
      </c>
      <c r="D13">
        <f>VLOOKUP(A13,'名称-id'!B:D,3,FALSE)</f>
        <v>60</v>
      </c>
      <c r="E13">
        <v>6</v>
      </c>
      <c r="F13">
        <v>170</v>
      </c>
      <c r="G13">
        <f>'名称-id'!$K$2</f>
        <v>34.799999999999997</v>
      </c>
      <c r="H13" s="16">
        <f t="shared" si="0"/>
        <v>8.9396551724137935E-2</v>
      </c>
      <c r="I13" s="17">
        <f t="shared" si="1"/>
        <v>2.2200000000000002</v>
      </c>
      <c r="J13">
        <v>20</v>
      </c>
      <c r="K13">
        <v>5</v>
      </c>
      <c r="L13">
        <v>8</v>
      </c>
      <c r="M13">
        <f t="shared" si="2"/>
        <v>28800</v>
      </c>
      <c r="N13">
        <v>1</v>
      </c>
      <c r="O13">
        <f t="shared" si="3"/>
        <v>10</v>
      </c>
      <c r="P13">
        <v>5</v>
      </c>
      <c r="Q13">
        <f t="shared" si="9"/>
        <v>50</v>
      </c>
      <c r="R13" s="9">
        <f t="shared" si="4"/>
        <v>5</v>
      </c>
      <c r="S13">
        <f t="shared" si="5"/>
        <v>2</v>
      </c>
      <c r="T13">
        <f t="shared" si="6"/>
        <v>56.666666666666664</v>
      </c>
      <c r="U13">
        <f t="shared" si="7"/>
        <v>40</v>
      </c>
      <c r="V13">
        <f t="shared" si="8"/>
        <v>1133.3333333333333</v>
      </c>
      <c r="W13" t="str">
        <f t="shared" si="10"/>
        <v>[20,20,20]</v>
      </c>
      <c r="Z13" s="7">
        <v>2</v>
      </c>
      <c r="AA13" s="7">
        <v>1.08</v>
      </c>
      <c r="AB13" s="7">
        <f t="shared" ref="AB13:AB21" si="11">AA13*$AA$1</f>
        <v>864</v>
      </c>
      <c r="AC13" s="7">
        <f t="shared" ref="AC13:AC21" si="12">AA13*$AA$2</f>
        <v>432</v>
      </c>
      <c r="AD13" s="20">
        <f t="shared" ref="AD13:AD21" si="13">AA13*$AA$5</f>
        <v>9.6000000000000014</v>
      </c>
    </row>
    <row r="14" spans="1:37" ht="15.75" x14ac:dyDescent="0.3">
      <c r="A14" s="15">
        <v>52221</v>
      </c>
      <c r="B14" s="15" t="s">
        <v>636</v>
      </c>
      <c r="C14" s="15" t="s">
        <v>637</v>
      </c>
      <c r="D14">
        <f>VLOOKUP(A14,'名称-id'!B:D,3,FALSE)</f>
        <v>80</v>
      </c>
      <c r="E14">
        <v>6</v>
      </c>
      <c r="F14">
        <v>170</v>
      </c>
      <c r="G14">
        <f>'名称-id'!$K$2</f>
        <v>34.799999999999997</v>
      </c>
      <c r="H14" s="16">
        <f t="shared" si="0"/>
        <v>7.9818007662835241E-2</v>
      </c>
      <c r="I14" s="17">
        <f t="shared" si="1"/>
        <v>3.33</v>
      </c>
      <c r="J14">
        <v>30</v>
      </c>
      <c r="K14">
        <v>5</v>
      </c>
      <c r="L14">
        <v>8</v>
      </c>
      <c r="M14">
        <f t="shared" si="2"/>
        <v>28800</v>
      </c>
      <c r="N14">
        <v>1</v>
      </c>
      <c r="O14">
        <f t="shared" si="3"/>
        <v>10</v>
      </c>
      <c r="P14">
        <v>5</v>
      </c>
      <c r="Q14">
        <f t="shared" si="9"/>
        <v>100</v>
      </c>
      <c r="R14" s="9">
        <f t="shared" si="4"/>
        <v>10</v>
      </c>
      <c r="S14">
        <f t="shared" si="5"/>
        <v>2</v>
      </c>
      <c r="T14">
        <f t="shared" si="6"/>
        <v>56.666666666666664</v>
      </c>
      <c r="U14">
        <f t="shared" si="7"/>
        <v>60</v>
      </c>
      <c r="V14">
        <f t="shared" si="8"/>
        <v>1700</v>
      </c>
      <c r="W14" t="str">
        <f t="shared" si="10"/>
        <v>[30,30,30]</v>
      </c>
      <c r="Z14" s="7">
        <v>3</v>
      </c>
      <c r="AA14" s="7">
        <v>1.17</v>
      </c>
      <c r="AB14" s="7">
        <f t="shared" si="11"/>
        <v>936</v>
      </c>
      <c r="AC14" s="7">
        <f t="shared" si="12"/>
        <v>468</v>
      </c>
      <c r="AD14" s="20">
        <f t="shared" si="13"/>
        <v>10.4</v>
      </c>
    </row>
    <row r="15" spans="1:37" ht="15.75" x14ac:dyDescent="0.3">
      <c r="A15" s="15">
        <v>53211</v>
      </c>
      <c r="B15" s="15" t="s">
        <v>653</v>
      </c>
      <c r="C15" s="15" t="s">
        <v>654</v>
      </c>
      <c r="D15">
        <f>VLOOKUP(A15,'名称-id'!B:D,3,FALSE)</f>
        <v>60</v>
      </c>
      <c r="E15">
        <v>6</v>
      </c>
      <c r="F15">
        <v>170</v>
      </c>
      <c r="G15">
        <f>'名称-id'!$K$2</f>
        <v>34.799999999999997</v>
      </c>
      <c r="H15" s="16">
        <f t="shared" si="0"/>
        <v>8.9396551724137935E-2</v>
      </c>
      <c r="I15" s="17">
        <f t="shared" si="1"/>
        <v>2.2200000000000002</v>
      </c>
      <c r="J15">
        <v>20</v>
      </c>
      <c r="K15">
        <v>5</v>
      </c>
      <c r="L15">
        <v>8</v>
      </c>
      <c r="M15">
        <f t="shared" si="2"/>
        <v>28800</v>
      </c>
      <c r="N15">
        <v>1</v>
      </c>
      <c r="O15">
        <f t="shared" si="3"/>
        <v>10</v>
      </c>
      <c r="P15">
        <v>5</v>
      </c>
      <c r="Q15">
        <f t="shared" si="9"/>
        <v>50</v>
      </c>
      <c r="R15" s="9">
        <f t="shared" si="4"/>
        <v>5</v>
      </c>
      <c r="S15">
        <f t="shared" si="5"/>
        <v>2</v>
      </c>
      <c r="T15">
        <f t="shared" si="6"/>
        <v>56.666666666666664</v>
      </c>
      <c r="U15">
        <f t="shared" si="7"/>
        <v>40</v>
      </c>
      <c r="V15">
        <f t="shared" si="8"/>
        <v>1133.3333333333333</v>
      </c>
      <c r="W15" t="str">
        <f t="shared" si="10"/>
        <v>[20,20,20]</v>
      </c>
      <c r="Z15" s="7">
        <v>4</v>
      </c>
      <c r="AA15" s="7">
        <v>1.25</v>
      </c>
      <c r="AB15" s="7">
        <f t="shared" si="11"/>
        <v>1000</v>
      </c>
      <c r="AC15" s="7">
        <f t="shared" si="12"/>
        <v>500</v>
      </c>
      <c r="AD15" s="20">
        <f t="shared" si="13"/>
        <v>11.111111111111111</v>
      </c>
    </row>
    <row r="16" spans="1:37" ht="15.75" x14ac:dyDescent="0.3">
      <c r="A16" s="15">
        <v>53221</v>
      </c>
      <c r="B16" s="15" t="s">
        <v>655</v>
      </c>
      <c r="C16" s="15" t="s">
        <v>656</v>
      </c>
      <c r="D16">
        <f>VLOOKUP(A16,'名称-id'!B:D,3,FALSE)</f>
        <v>80</v>
      </c>
      <c r="E16">
        <v>6</v>
      </c>
      <c r="F16">
        <v>170</v>
      </c>
      <c r="G16">
        <f>'名称-id'!$K$2</f>
        <v>34.799999999999997</v>
      </c>
      <c r="H16" s="16">
        <f t="shared" si="0"/>
        <v>7.9818007662835241E-2</v>
      </c>
      <c r="I16" s="17">
        <f t="shared" si="1"/>
        <v>3.33</v>
      </c>
      <c r="J16">
        <v>30</v>
      </c>
      <c r="K16">
        <v>5</v>
      </c>
      <c r="L16">
        <v>8</v>
      </c>
      <c r="M16">
        <f t="shared" si="2"/>
        <v>28800</v>
      </c>
      <c r="N16">
        <v>1</v>
      </c>
      <c r="O16">
        <f t="shared" si="3"/>
        <v>10</v>
      </c>
      <c r="P16">
        <v>5</v>
      </c>
      <c r="Q16">
        <f t="shared" si="9"/>
        <v>100</v>
      </c>
      <c r="R16" s="9">
        <f t="shared" si="4"/>
        <v>10</v>
      </c>
      <c r="S16">
        <f t="shared" si="5"/>
        <v>2</v>
      </c>
      <c r="T16">
        <f t="shared" si="6"/>
        <v>56.666666666666664</v>
      </c>
      <c r="U16">
        <f t="shared" si="7"/>
        <v>60</v>
      </c>
      <c r="V16">
        <f t="shared" si="8"/>
        <v>1700</v>
      </c>
      <c r="W16" t="str">
        <f t="shared" si="10"/>
        <v>[30,30,30]</v>
      </c>
      <c r="Z16" s="7">
        <v>5</v>
      </c>
      <c r="AA16" s="7">
        <v>1.33</v>
      </c>
      <c r="AB16" s="7">
        <f t="shared" si="11"/>
        <v>1064</v>
      </c>
      <c r="AC16" s="7">
        <f t="shared" si="12"/>
        <v>532</v>
      </c>
      <c r="AD16" s="20">
        <f t="shared" si="13"/>
        <v>11.822222222222223</v>
      </c>
    </row>
    <row r="17" spans="26:30" x14ac:dyDescent="0.15">
      <c r="Z17" s="7">
        <v>6</v>
      </c>
      <c r="AA17" s="7">
        <v>1.42</v>
      </c>
      <c r="AB17" s="7">
        <f t="shared" si="11"/>
        <v>1136</v>
      </c>
      <c r="AC17" s="7">
        <f t="shared" si="12"/>
        <v>568</v>
      </c>
      <c r="AD17" s="20">
        <f t="shared" si="13"/>
        <v>12.622222222222222</v>
      </c>
    </row>
    <row r="18" spans="26:30" x14ac:dyDescent="0.15">
      <c r="Z18" s="7">
        <v>7</v>
      </c>
      <c r="AA18" s="7">
        <v>1.5</v>
      </c>
      <c r="AB18" s="7">
        <f t="shared" si="11"/>
        <v>1200</v>
      </c>
      <c r="AC18" s="7">
        <f t="shared" si="12"/>
        <v>600</v>
      </c>
      <c r="AD18" s="20">
        <f t="shared" si="13"/>
        <v>13.333333333333334</v>
      </c>
    </row>
    <row r="19" spans="26:30" x14ac:dyDescent="0.15">
      <c r="Z19" s="7">
        <v>8</v>
      </c>
      <c r="AA19" s="7">
        <v>1.58</v>
      </c>
      <c r="AB19" s="7">
        <f t="shared" si="11"/>
        <v>1264</v>
      </c>
      <c r="AC19" s="7">
        <f t="shared" si="12"/>
        <v>632</v>
      </c>
      <c r="AD19" s="20">
        <f t="shared" si="13"/>
        <v>14.044444444444446</v>
      </c>
    </row>
    <row r="20" spans="26:30" x14ac:dyDescent="0.15">
      <c r="Z20" s="7">
        <v>9</v>
      </c>
      <c r="AA20" s="7">
        <v>1.58</v>
      </c>
      <c r="AB20" s="7">
        <f t="shared" si="11"/>
        <v>1264</v>
      </c>
      <c r="AC20" s="7">
        <f t="shared" si="12"/>
        <v>632</v>
      </c>
      <c r="AD20" s="20">
        <f t="shared" si="13"/>
        <v>14.044444444444446</v>
      </c>
    </row>
    <row r="21" spans="26:30" x14ac:dyDescent="0.15">
      <c r="Z21" s="7">
        <v>10</v>
      </c>
      <c r="AA21" s="7">
        <v>1.58</v>
      </c>
      <c r="AB21" s="7">
        <f t="shared" si="11"/>
        <v>1264</v>
      </c>
      <c r="AC21" s="7">
        <f t="shared" si="12"/>
        <v>632</v>
      </c>
      <c r="AD21" s="20">
        <f t="shared" si="13"/>
        <v>14.044444444444446</v>
      </c>
    </row>
  </sheetData>
  <phoneticPr fontId="3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39"/>
  <sheetViews>
    <sheetView topLeftCell="A106" workbookViewId="0">
      <selection activeCell="G133" sqref="G133"/>
    </sheetView>
  </sheetViews>
  <sheetFormatPr defaultColWidth="9" defaultRowHeight="13.5" x14ac:dyDescent="0.15"/>
  <cols>
    <col min="1" max="1" width="22.875" customWidth="1"/>
    <col min="2" max="2" width="19" customWidth="1"/>
    <col min="3" max="3" width="13.25" customWidth="1"/>
    <col min="4" max="4" width="18.375" customWidth="1"/>
    <col min="5" max="5" width="18.625" customWidth="1"/>
    <col min="6" max="6" width="14.5" customWidth="1"/>
    <col min="8" max="8" width="19" customWidth="1"/>
  </cols>
  <sheetData>
    <row r="1" spans="1:9" ht="18.75" x14ac:dyDescent="0.25">
      <c r="A1" s="6" t="s">
        <v>3543</v>
      </c>
    </row>
    <row r="2" spans="1:9" x14ac:dyDescent="0.15">
      <c r="A2" s="7" t="s">
        <v>3544</v>
      </c>
      <c r="B2" s="7" t="s">
        <v>3545</v>
      </c>
      <c r="C2" s="7" t="s">
        <v>3546</v>
      </c>
      <c r="D2" s="7" t="s">
        <v>3547</v>
      </c>
    </row>
    <row r="3" spans="1:9" x14ac:dyDescent="0.15">
      <c r="A3" s="7">
        <v>3</v>
      </c>
      <c r="B3" s="7">
        <v>0.44</v>
      </c>
      <c r="C3" s="8">
        <f>100/(B3*60)</f>
        <v>3.7878787878787881</v>
      </c>
      <c r="D3" s="8">
        <f>100/(B3*A3*60)</f>
        <v>1.2626262626262625</v>
      </c>
    </row>
    <row r="4" spans="1:9" x14ac:dyDescent="0.15">
      <c r="A4" s="7">
        <v>5</v>
      </c>
      <c r="B4" s="7">
        <v>0.26</v>
      </c>
      <c r="C4" s="8">
        <f>100/(B4*60)</f>
        <v>6.4102564102564097</v>
      </c>
      <c r="D4" s="8">
        <f>100/(B4*A4*60)</f>
        <v>1.2820512820512822</v>
      </c>
    </row>
    <row r="5" spans="1:9" x14ac:dyDescent="0.15">
      <c r="A5" s="7">
        <v>2</v>
      </c>
      <c r="B5" s="7">
        <v>0.55000000000000004</v>
      </c>
      <c r="C5" s="8">
        <f>100/(B5*60)</f>
        <v>3.0303030303030303</v>
      </c>
      <c r="D5" s="8">
        <f>100/(B5*A5*60)</f>
        <v>1.5151515151515151</v>
      </c>
    </row>
    <row r="7" spans="1:9" x14ac:dyDescent="0.15">
      <c r="B7" t="s">
        <v>3548</v>
      </c>
      <c r="C7" t="s">
        <v>3549</v>
      </c>
      <c r="D7" t="s">
        <v>509</v>
      </c>
    </row>
    <row r="8" spans="1:9" x14ac:dyDescent="0.15">
      <c r="A8">
        <v>0</v>
      </c>
      <c r="B8">
        <f>A8*60</f>
        <v>0</v>
      </c>
      <c r="C8">
        <f>MOD(A8,24)</f>
        <v>0</v>
      </c>
      <c r="D8">
        <f>ROUNDDOWN(A8/24,0)+1</f>
        <v>1</v>
      </c>
      <c r="E8" t="s">
        <v>3550</v>
      </c>
      <c r="F8" t="str">
        <f>IF(E8="补给争夺","("&amp;B8&amp;","&amp;B8+30&amp;")"&amp;",","")</f>
        <v>(0,30),</v>
      </c>
      <c r="G8" t="str">
        <f>IF(E8="死亡竞赛","("&amp;B8&amp;","&amp;B8+30&amp;")"&amp;",","")</f>
        <v/>
      </c>
      <c r="H8" t="str">
        <f>IF(F8="",H7,H7&amp;F8)</f>
        <v>(0,30),</v>
      </c>
    </row>
    <row r="9" spans="1:9" x14ac:dyDescent="0.15">
      <c r="A9">
        <v>2</v>
      </c>
      <c r="B9">
        <f t="shared" ref="B9:B76" si="0">A9*60</f>
        <v>120</v>
      </c>
      <c r="C9">
        <f t="shared" ref="C9:C76" si="1">MOD(A9,24)</f>
        <v>2</v>
      </c>
      <c r="D9">
        <f t="shared" ref="D9:D76" si="2">ROUNDDOWN(A9/24,0)+1</f>
        <v>1</v>
      </c>
      <c r="E9" t="s">
        <v>3551</v>
      </c>
      <c r="F9" t="str">
        <f t="shared" ref="F9:F67" si="3">IF(E9="补给争夺","("&amp;B9&amp;","&amp;B9+30&amp;")"&amp;",","")</f>
        <v/>
      </c>
      <c r="G9" t="str">
        <f t="shared" ref="G9:G67" si="4">IF(E9="死亡竞赛","("&amp;B9&amp;","&amp;B9+30&amp;")"&amp;",","")</f>
        <v>(120,150),</v>
      </c>
      <c r="H9" t="str">
        <f t="shared" ref="H9:H67" si="5">IF(F9="",H8,H8&amp;F9)</f>
        <v>(0,30),</v>
      </c>
      <c r="I9" t="str">
        <f t="shared" ref="I9:I67" si="6">IF(G9="",I8,I8&amp;G9)</f>
        <v>(120,150),</v>
      </c>
    </row>
    <row r="10" spans="1:9" x14ac:dyDescent="0.15">
      <c r="A10">
        <v>4</v>
      </c>
      <c r="B10">
        <f t="shared" si="0"/>
        <v>240</v>
      </c>
      <c r="C10">
        <f t="shared" si="1"/>
        <v>4</v>
      </c>
      <c r="D10">
        <f t="shared" si="2"/>
        <v>1</v>
      </c>
      <c r="E10" t="s">
        <v>3550</v>
      </c>
      <c r="F10" t="str">
        <f t="shared" si="3"/>
        <v>(240,270),</v>
      </c>
      <c r="G10" t="str">
        <f t="shared" si="4"/>
        <v/>
      </c>
      <c r="H10" t="str">
        <f t="shared" si="5"/>
        <v>(0,30),(240,270),</v>
      </c>
      <c r="I10" t="str">
        <f t="shared" si="6"/>
        <v>(120,150),</v>
      </c>
    </row>
    <row r="11" spans="1:9" x14ac:dyDescent="0.15">
      <c r="A11">
        <v>6</v>
      </c>
      <c r="B11">
        <f t="shared" si="0"/>
        <v>360</v>
      </c>
      <c r="C11">
        <f t="shared" si="1"/>
        <v>6</v>
      </c>
      <c r="D11">
        <f t="shared" si="2"/>
        <v>1</v>
      </c>
      <c r="E11" t="s">
        <v>3551</v>
      </c>
      <c r="F11" t="str">
        <f t="shared" si="3"/>
        <v/>
      </c>
      <c r="G11" t="str">
        <f t="shared" si="4"/>
        <v>(360,390),</v>
      </c>
      <c r="H11" t="str">
        <f t="shared" si="5"/>
        <v>(0,30),(240,270),</v>
      </c>
      <c r="I11" t="str">
        <f t="shared" si="6"/>
        <v>(120,150),(360,390),</v>
      </c>
    </row>
    <row r="12" spans="1:9" x14ac:dyDescent="0.15">
      <c r="A12">
        <v>8</v>
      </c>
      <c r="B12">
        <f t="shared" si="0"/>
        <v>480</v>
      </c>
      <c r="C12">
        <f t="shared" si="1"/>
        <v>8</v>
      </c>
      <c r="D12">
        <f t="shared" si="2"/>
        <v>1</v>
      </c>
      <c r="E12" t="s">
        <v>3550</v>
      </c>
      <c r="F12" t="str">
        <f t="shared" si="3"/>
        <v>(480,510),</v>
      </c>
      <c r="G12" t="str">
        <f t="shared" si="4"/>
        <v/>
      </c>
      <c r="H12" t="str">
        <f t="shared" si="5"/>
        <v>(0,30),(240,270),(480,510),</v>
      </c>
      <c r="I12" t="str">
        <f t="shared" si="6"/>
        <v>(120,150),(360,390),</v>
      </c>
    </row>
    <row r="13" spans="1:9" x14ac:dyDescent="0.15">
      <c r="A13">
        <v>10</v>
      </c>
      <c r="B13">
        <f t="shared" si="0"/>
        <v>600</v>
      </c>
      <c r="C13">
        <f t="shared" si="1"/>
        <v>10</v>
      </c>
      <c r="D13">
        <f t="shared" si="2"/>
        <v>1</v>
      </c>
      <c r="E13" t="s">
        <v>3551</v>
      </c>
      <c r="F13" t="str">
        <f t="shared" si="3"/>
        <v/>
      </c>
      <c r="G13" t="str">
        <f t="shared" si="4"/>
        <v>(600,630),</v>
      </c>
      <c r="H13" t="str">
        <f t="shared" si="5"/>
        <v>(0,30),(240,270),(480,510),</v>
      </c>
      <c r="I13" t="str">
        <f t="shared" si="6"/>
        <v>(120,150),(360,390),(600,630),</v>
      </c>
    </row>
    <row r="14" spans="1:9" x14ac:dyDescent="0.15">
      <c r="A14">
        <v>12</v>
      </c>
      <c r="B14">
        <f t="shared" si="0"/>
        <v>720</v>
      </c>
      <c r="C14">
        <f t="shared" si="1"/>
        <v>12</v>
      </c>
      <c r="D14">
        <f t="shared" si="2"/>
        <v>1</v>
      </c>
      <c r="E14" t="s">
        <v>3550</v>
      </c>
      <c r="F14" t="str">
        <f t="shared" si="3"/>
        <v>(720,750),</v>
      </c>
      <c r="G14" t="str">
        <f t="shared" si="4"/>
        <v/>
      </c>
      <c r="H14" t="str">
        <f t="shared" si="5"/>
        <v>(0,30),(240,270),(480,510),(720,750),</v>
      </c>
      <c r="I14" t="str">
        <f t="shared" si="6"/>
        <v>(120,150),(360,390),(600,630),</v>
      </c>
    </row>
    <row r="15" spans="1:9" x14ac:dyDescent="0.15">
      <c r="A15">
        <v>14</v>
      </c>
      <c r="B15">
        <f t="shared" si="0"/>
        <v>840</v>
      </c>
      <c r="C15">
        <f t="shared" si="1"/>
        <v>14</v>
      </c>
      <c r="D15">
        <f t="shared" si="2"/>
        <v>1</v>
      </c>
      <c r="E15" t="s">
        <v>3551</v>
      </c>
      <c r="F15" t="str">
        <f t="shared" si="3"/>
        <v/>
      </c>
      <c r="G15" t="str">
        <f t="shared" si="4"/>
        <v>(840,870),</v>
      </c>
      <c r="H15" t="str">
        <f t="shared" si="5"/>
        <v>(0,30),(240,270),(480,510),(720,750),</v>
      </c>
      <c r="I15" t="str">
        <f t="shared" si="6"/>
        <v>(120,150),(360,390),(600,630),(840,870),</v>
      </c>
    </row>
    <row r="16" spans="1:9" x14ac:dyDescent="0.15">
      <c r="A16">
        <v>16</v>
      </c>
      <c r="B16">
        <f t="shared" si="0"/>
        <v>960</v>
      </c>
      <c r="C16">
        <f t="shared" si="1"/>
        <v>16</v>
      </c>
      <c r="D16">
        <f t="shared" si="2"/>
        <v>1</v>
      </c>
      <c r="E16" t="s">
        <v>3550</v>
      </c>
      <c r="F16" t="str">
        <f t="shared" si="3"/>
        <v>(960,990),</v>
      </c>
      <c r="G16" t="str">
        <f t="shared" si="4"/>
        <v/>
      </c>
      <c r="H16" t="str">
        <f t="shared" si="5"/>
        <v>(0,30),(240,270),(480,510),(720,750),(960,990),</v>
      </c>
      <c r="I16" t="str">
        <f t="shared" si="6"/>
        <v>(120,150),(360,390),(600,630),(840,870),</v>
      </c>
    </row>
    <row r="17" spans="1:9" x14ac:dyDescent="0.15">
      <c r="A17">
        <v>18</v>
      </c>
      <c r="B17">
        <f t="shared" si="0"/>
        <v>1080</v>
      </c>
      <c r="C17">
        <f t="shared" si="1"/>
        <v>18</v>
      </c>
      <c r="D17">
        <f t="shared" si="2"/>
        <v>1</v>
      </c>
      <c r="E17" t="s">
        <v>3551</v>
      </c>
      <c r="F17" t="str">
        <f t="shared" si="3"/>
        <v/>
      </c>
      <c r="G17" t="str">
        <f t="shared" si="4"/>
        <v>(1080,1110),</v>
      </c>
      <c r="H17" t="str">
        <f t="shared" si="5"/>
        <v>(0,30),(240,270),(480,510),(720,750),(960,990),</v>
      </c>
      <c r="I17" t="str">
        <f t="shared" si="6"/>
        <v>(120,150),(360,390),(600,630),(840,870),(1080,1110),</v>
      </c>
    </row>
    <row r="18" spans="1:9" x14ac:dyDescent="0.15">
      <c r="A18">
        <v>20</v>
      </c>
      <c r="B18">
        <f t="shared" si="0"/>
        <v>1200</v>
      </c>
      <c r="C18">
        <f t="shared" si="1"/>
        <v>20</v>
      </c>
      <c r="D18">
        <f t="shared" si="2"/>
        <v>1</v>
      </c>
      <c r="E18" t="s">
        <v>3550</v>
      </c>
      <c r="F18" t="str">
        <f t="shared" si="3"/>
        <v>(1200,1230),</v>
      </c>
      <c r="G18" t="str">
        <f t="shared" si="4"/>
        <v/>
      </c>
      <c r="H18" t="str">
        <f t="shared" si="5"/>
        <v>(0,30),(240,270),(480,510),(720,750),(960,990),(1200,1230),</v>
      </c>
      <c r="I18" t="str">
        <f t="shared" si="6"/>
        <v>(120,150),(360,390),(600,630),(840,870),(1080,1110),</v>
      </c>
    </row>
    <row r="19" spans="1:9" x14ac:dyDescent="0.15">
      <c r="A19">
        <v>22</v>
      </c>
      <c r="B19">
        <f t="shared" si="0"/>
        <v>1320</v>
      </c>
      <c r="C19">
        <f t="shared" si="1"/>
        <v>22</v>
      </c>
      <c r="D19">
        <f t="shared" si="2"/>
        <v>1</v>
      </c>
      <c r="E19" t="s">
        <v>3551</v>
      </c>
      <c r="F19" t="str">
        <f t="shared" si="3"/>
        <v/>
      </c>
      <c r="G19" t="str">
        <f t="shared" si="4"/>
        <v>(1320,1350),</v>
      </c>
      <c r="H19" t="str">
        <f t="shared" si="5"/>
        <v>(0,30),(240,270),(480,510),(720,750),(960,990),(1200,1230),</v>
      </c>
      <c r="I19" t="str">
        <f t="shared" si="6"/>
        <v>(120,150),(360,390),(600,630),(840,870),(1080,1110),(1320,1350),</v>
      </c>
    </row>
    <row r="20" spans="1:9" x14ac:dyDescent="0.15">
      <c r="A20">
        <v>24</v>
      </c>
      <c r="B20">
        <f t="shared" si="0"/>
        <v>1440</v>
      </c>
      <c r="C20">
        <f t="shared" si="1"/>
        <v>0</v>
      </c>
      <c r="D20">
        <f t="shared" si="2"/>
        <v>2</v>
      </c>
      <c r="E20" t="s">
        <v>3551</v>
      </c>
      <c r="F20" t="str">
        <f t="shared" si="3"/>
        <v/>
      </c>
      <c r="G20" t="str">
        <f t="shared" si="4"/>
        <v>(1440,1470),</v>
      </c>
      <c r="H20" t="str">
        <f t="shared" si="5"/>
        <v>(0,30),(240,270),(480,510),(720,750),(960,990),(1200,1230),</v>
      </c>
      <c r="I20" t="str">
        <f t="shared" si="6"/>
        <v>(120,150),(360,390),(600,630),(840,870),(1080,1110),(1320,1350),(1440,1470),</v>
      </c>
    </row>
    <row r="21" spans="1:9" x14ac:dyDescent="0.15">
      <c r="A21">
        <v>26</v>
      </c>
      <c r="B21">
        <f t="shared" si="0"/>
        <v>1560</v>
      </c>
      <c r="C21">
        <f t="shared" si="1"/>
        <v>2</v>
      </c>
      <c r="D21">
        <f t="shared" si="2"/>
        <v>2</v>
      </c>
      <c r="E21" t="s">
        <v>3550</v>
      </c>
      <c r="F21" t="str">
        <f t="shared" si="3"/>
        <v>(1560,1590),</v>
      </c>
      <c r="G21" t="str">
        <f t="shared" si="4"/>
        <v/>
      </c>
      <c r="H21" t="str">
        <f t="shared" si="5"/>
        <v>(0,30),(240,270),(480,510),(720,750),(960,990),(1200,1230),(1560,1590),</v>
      </c>
      <c r="I21" t="str">
        <f t="shared" si="6"/>
        <v>(120,150),(360,390),(600,630),(840,870),(1080,1110),(1320,1350),(1440,1470),</v>
      </c>
    </row>
    <row r="22" spans="1:9" x14ac:dyDescent="0.15">
      <c r="A22">
        <v>28</v>
      </c>
      <c r="B22">
        <f t="shared" si="0"/>
        <v>1680</v>
      </c>
      <c r="C22">
        <f t="shared" si="1"/>
        <v>4</v>
      </c>
      <c r="D22">
        <f t="shared" si="2"/>
        <v>2</v>
      </c>
      <c r="E22" t="s">
        <v>3551</v>
      </c>
      <c r="F22" t="str">
        <f t="shared" si="3"/>
        <v/>
      </c>
      <c r="G22" t="str">
        <f t="shared" si="4"/>
        <v>(1680,1710),</v>
      </c>
      <c r="H22" t="str">
        <f t="shared" si="5"/>
        <v>(0,30),(240,270),(480,510),(720,750),(960,990),(1200,1230),(1560,1590),</v>
      </c>
      <c r="I22" t="str">
        <f t="shared" si="6"/>
        <v>(120,150),(360,390),(600,630),(840,870),(1080,1110),(1320,1350),(1440,1470),(1680,1710),</v>
      </c>
    </row>
    <row r="23" spans="1:9" x14ac:dyDescent="0.15">
      <c r="A23">
        <v>30</v>
      </c>
      <c r="B23">
        <f t="shared" si="0"/>
        <v>1800</v>
      </c>
      <c r="C23">
        <f t="shared" si="1"/>
        <v>6</v>
      </c>
      <c r="D23">
        <f t="shared" si="2"/>
        <v>2</v>
      </c>
      <c r="E23" t="s">
        <v>3550</v>
      </c>
      <c r="F23" t="str">
        <f t="shared" si="3"/>
        <v>(1800,1830),</v>
      </c>
      <c r="G23" t="str">
        <f t="shared" si="4"/>
        <v/>
      </c>
      <c r="H23" t="str">
        <f t="shared" si="5"/>
        <v>(0,30),(240,270),(480,510),(720,750),(960,990),(1200,1230),(1560,1590),(1800,1830),</v>
      </c>
      <c r="I23" t="str">
        <f t="shared" si="6"/>
        <v>(120,150),(360,390),(600,630),(840,870),(1080,1110),(1320,1350),(1440,1470),(1680,1710),</v>
      </c>
    </row>
    <row r="24" spans="1:9" x14ac:dyDescent="0.15">
      <c r="A24">
        <v>32</v>
      </c>
      <c r="B24">
        <f t="shared" si="0"/>
        <v>1920</v>
      </c>
      <c r="C24">
        <f t="shared" si="1"/>
        <v>8</v>
      </c>
      <c r="D24">
        <f t="shared" si="2"/>
        <v>2</v>
      </c>
      <c r="E24" t="s">
        <v>3551</v>
      </c>
      <c r="F24" t="str">
        <f t="shared" si="3"/>
        <v/>
      </c>
      <c r="G24" t="str">
        <f t="shared" si="4"/>
        <v>(1920,1950),</v>
      </c>
      <c r="H24" t="str">
        <f t="shared" si="5"/>
        <v>(0,30),(240,270),(480,510),(720,750),(960,990),(1200,1230),(1560,1590),(1800,1830),</v>
      </c>
      <c r="I24" t="str">
        <f t="shared" si="6"/>
        <v>(120,150),(360,390),(600,630),(840,870),(1080,1110),(1320,1350),(1440,1470),(1680,1710),(1920,1950),</v>
      </c>
    </row>
    <row r="25" spans="1:9" x14ac:dyDescent="0.15">
      <c r="A25">
        <v>34</v>
      </c>
      <c r="B25">
        <f t="shared" si="0"/>
        <v>2040</v>
      </c>
      <c r="C25">
        <f t="shared" si="1"/>
        <v>10</v>
      </c>
      <c r="D25">
        <f t="shared" si="2"/>
        <v>2</v>
      </c>
      <c r="E25" t="s">
        <v>3550</v>
      </c>
      <c r="F25" t="str">
        <f t="shared" si="3"/>
        <v>(2040,2070),</v>
      </c>
      <c r="G25" t="str">
        <f t="shared" si="4"/>
        <v/>
      </c>
      <c r="H25" t="str">
        <f t="shared" si="5"/>
        <v>(0,30),(240,270),(480,510),(720,750),(960,990),(1200,1230),(1560,1590),(1800,1830),(2040,2070),</v>
      </c>
      <c r="I25" t="str">
        <f t="shared" si="6"/>
        <v>(120,150),(360,390),(600,630),(840,870),(1080,1110),(1320,1350),(1440,1470),(1680,1710),(1920,1950),</v>
      </c>
    </row>
    <row r="26" spans="1:9" x14ac:dyDescent="0.15">
      <c r="A26">
        <v>36</v>
      </c>
      <c r="B26">
        <f t="shared" si="0"/>
        <v>2160</v>
      </c>
      <c r="C26">
        <f t="shared" si="1"/>
        <v>12</v>
      </c>
      <c r="D26">
        <f t="shared" si="2"/>
        <v>2</v>
      </c>
      <c r="E26" t="s">
        <v>3551</v>
      </c>
      <c r="F26" t="str">
        <f t="shared" si="3"/>
        <v/>
      </c>
      <c r="G26" t="str">
        <f t="shared" si="4"/>
        <v>(2160,2190),</v>
      </c>
      <c r="H26" t="str">
        <f t="shared" si="5"/>
        <v>(0,30),(240,270),(480,510),(720,750),(960,990),(1200,1230),(1560,1590),(1800,1830),(2040,2070),</v>
      </c>
      <c r="I26" t="str">
        <f t="shared" si="6"/>
        <v>(120,150),(360,390),(600,630),(840,870),(1080,1110),(1320,1350),(1440,1470),(1680,1710),(1920,1950),(2160,2190),</v>
      </c>
    </row>
    <row r="27" spans="1:9" x14ac:dyDescent="0.15">
      <c r="A27">
        <v>38</v>
      </c>
      <c r="B27">
        <f t="shared" si="0"/>
        <v>2280</v>
      </c>
      <c r="C27">
        <f t="shared" si="1"/>
        <v>14</v>
      </c>
      <c r="D27">
        <f t="shared" si="2"/>
        <v>2</v>
      </c>
      <c r="E27" t="s">
        <v>3550</v>
      </c>
      <c r="F27" t="str">
        <f t="shared" si="3"/>
        <v>(2280,2310),</v>
      </c>
      <c r="G27" t="str">
        <f t="shared" si="4"/>
        <v/>
      </c>
      <c r="H27" t="str">
        <f t="shared" si="5"/>
        <v>(0,30),(240,270),(480,510),(720,750),(960,990),(1200,1230),(1560,1590),(1800,1830),(2040,2070),(2280,2310),</v>
      </c>
      <c r="I27" t="str">
        <f t="shared" si="6"/>
        <v>(120,150),(360,390),(600,630),(840,870),(1080,1110),(1320,1350),(1440,1470),(1680,1710),(1920,1950),(2160,2190),</v>
      </c>
    </row>
    <row r="28" spans="1:9" x14ac:dyDescent="0.15">
      <c r="A28">
        <v>40</v>
      </c>
      <c r="B28">
        <f t="shared" si="0"/>
        <v>2400</v>
      </c>
      <c r="C28">
        <f t="shared" si="1"/>
        <v>16</v>
      </c>
      <c r="D28">
        <f t="shared" si="2"/>
        <v>2</v>
      </c>
      <c r="E28" t="s">
        <v>3551</v>
      </c>
      <c r="F28" t="str">
        <f t="shared" si="3"/>
        <v/>
      </c>
      <c r="G28" t="str">
        <f t="shared" si="4"/>
        <v>(2400,2430),</v>
      </c>
      <c r="H28" t="str">
        <f t="shared" si="5"/>
        <v>(0,30),(240,270),(480,510),(720,750),(960,990),(1200,1230),(1560,1590),(1800,1830),(2040,2070),(2280,2310),</v>
      </c>
      <c r="I28" t="str">
        <f t="shared" si="6"/>
        <v>(120,150),(360,390),(600,630),(840,870),(1080,1110),(1320,1350),(1440,1470),(1680,1710),(1920,1950),(2160,2190),(2400,2430),</v>
      </c>
    </row>
    <row r="29" spans="1:9" x14ac:dyDescent="0.15">
      <c r="A29">
        <v>42</v>
      </c>
      <c r="B29">
        <f t="shared" si="0"/>
        <v>2520</v>
      </c>
      <c r="C29">
        <f t="shared" si="1"/>
        <v>18</v>
      </c>
      <c r="D29">
        <f t="shared" si="2"/>
        <v>2</v>
      </c>
      <c r="E29" t="s">
        <v>3550</v>
      </c>
      <c r="F29" t="str">
        <f t="shared" si="3"/>
        <v>(2520,2550),</v>
      </c>
      <c r="G29" t="str">
        <f t="shared" si="4"/>
        <v/>
      </c>
      <c r="H29" t="str">
        <f t="shared" si="5"/>
        <v>(0,30),(240,270),(480,510),(720,750),(960,990),(1200,1230),(1560,1590),(1800,1830),(2040,2070),(2280,2310),(2520,2550),</v>
      </c>
      <c r="I29" t="str">
        <f t="shared" si="6"/>
        <v>(120,150),(360,390),(600,630),(840,870),(1080,1110),(1320,1350),(1440,1470),(1680,1710),(1920,1950),(2160,2190),(2400,2430),</v>
      </c>
    </row>
    <row r="30" spans="1:9" x14ac:dyDescent="0.15">
      <c r="A30">
        <v>44</v>
      </c>
      <c r="B30">
        <f t="shared" si="0"/>
        <v>2640</v>
      </c>
      <c r="C30">
        <f t="shared" si="1"/>
        <v>20</v>
      </c>
      <c r="D30">
        <f t="shared" si="2"/>
        <v>2</v>
      </c>
      <c r="E30" t="s">
        <v>3551</v>
      </c>
      <c r="F30" t="str">
        <f t="shared" si="3"/>
        <v/>
      </c>
      <c r="G30" t="str">
        <f t="shared" si="4"/>
        <v>(2640,2670),</v>
      </c>
      <c r="H30" t="str">
        <f t="shared" si="5"/>
        <v>(0,30),(240,270),(480,510),(720,750),(960,990),(1200,1230),(1560,1590),(1800,1830),(2040,2070),(2280,2310),(2520,2550),</v>
      </c>
      <c r="I30" t="str">
        <f t="shared" si="6"/>
        <v>(120,150),(360,390),(600,630),(840,870),(1080,1110),(1320,1350),(1440,1470),(1680,1710),(1920,1950),(2160,2190),(2400,2430),(2640,2670),</v>
      </c>
    </row>
    <row r="31" spans="1:9" x14ac:dyDescent="0.15">
      <c r="A31">
        <v>46</v>
      </c>
      <c r="B31">
        <f t="shared" si="0"/>
        <v>2760</v>
      </c>
      <c r="C31">
        <f t="shared" si="1"/>
        <v>22</v>
      </c>
      <c r="D31">
        <f t="shared" si="2"/>
        <v>2</v>
      </c>
      <c r="E31" t="s">
        <v>3550</v>
      </c>
      <c r="F31" t="str">
        <f t="shared" si="3"/>
        <v>(2760,2790),</v>
      </c>
      <c r="G31" t="str">
        <f t="shared" si="4"/>
        <v/>
      </c>
      <c r="H31" t="str">
        <f t="shared" si="5"/>
        <v>(0,30),(240,270),(480,510),(720,750),(960,990),(1200,1230),(1560,1590),(1800,1830),(2040,2070),(2280,2310),(2520,2550),(2760,2790),</v>
      </c>
      <c r="I31" t="str">
        <f t="shared" si="6"/>
        <v>(120,150),(360,390),(600,630),(840,870),(1080,1110),(1320,1350),(1440,1470),(1680,1710),(1920,1950),(2160,2190),(2400,2430),(2640,2670),</v>
      </c>
    </row>
    <row r="32" spans="1:9" x14ac:dyDescent="0.15">
      <c r="A32">
        <v>48</v>
      </c>
      <c r="B32">
        <f t="shared" si="0"/>
        <v>2880</v>
      </c>
      <c r="C32">
        <f t="shared" si="1"/>
        <v>0</v>
      </c>
      <c r="D32">
        <f t="shared" si="2"/>
        <v>3</v>
      </c>
      <c r="E32" t="s">
        <v>3550</v>
      </c>
      <c r="F32" t="str">
        <f t="shared" si="3"/>
        <v>(2880,2910),</v>
      </c>
      <c r="G32" t="str">
        <f t="shared" si="4"/>
        <v/>
      </c>
      <c r="H32" t="str">
        <f t="shared" si="5"/>
        <v>(0,30),(240,270),(480,510),(720,750),(960,990),(1200,1230),(1560,1590),(1800,1830),(2040,2070),(2280,2310),(2520,2550),(2760,2790),(2880,2910),</v>
      </c>
      <c r="I32" t="str">
        <f t="shared" si="6"/>
        <v>(120,150),(360,390),(600,630),(840,870),(1080,1110),(1320,1350),(1440,1470),(1680,1710),(1920,1950),(2160,2190),(2400,2430),(2640,2670),</v>
      </c>
    </row>
    <row r="33" spans="1:9" x14ac:dyDescent="0.15">
      <c r="A33">
        <v>50</v>
      </c>
      <c r="B33">
        <f t="shared" si="0"/>
        <v>3000</v>
      </c>
      <c r="C33">
        <f t="shared" si="1"/>
        <v>2</v>
      </c>
      <c r="D33">
        <f t="shared" si="2"/>
        <v>3</v>
      </c>
      <c r="E33" t="s">
        <v>3551</v>
      </c>
      <c r="F33" t="str">
        <f t="shared" si="3"/>
        <v/>
      </c>
      <c r="G33" t="str">
        <f t="shared" si="4"/>
        <v>(3000,3030),</v>
      </c>
      <c r="H33" t="str">
        <f t="shared" si="5"/>
        <v>(0,30),(240,270),(480,510),(720,750),(960,990),(1200,1230),(1560,1590),(1800,1830),(2040,2070),(2280,2310),(2520,2550),(2760,2790),(2880,2910),</v>
      </c>
      <c r="I33" t="str">
        <f t="shared" si="6"/>
        <v>(120,150),(360,390),(600,630),(840,870),(1080,1110),(1320,1350),(1440,1470),(1680,1710),(1920,1950),(2160,2190),(2400,2430),(2640,2670),(3000,3030),</v>
      </c>
    </row>
    <row r="34" spans="1:9" x14ac:dyDescent="0.15">
      <c r="A34">
        <v>52</v>
      </c>
      <c r="B34">
        <f t="shared" si="0"/>
        <v>3120</v>
      </c>
      <c r="C34">
        <f t="shared" si="1"/>
        <v>4</v>
      </c>
      <c r="D34">
        <f t="shared" si="2"/>
        <v>3</v>
      </c>
      <c r="E34" t="s">
        <v>3550</v>
      </c>
      <c r="F34" t="str">
        <f t="shared" si="3"/>
        <v>(3120,3150),</v>
      </c>
      <c r="G34" t="str">
        <f t="shared" si="4"/>
        <v/>
      </c>
      <c r="H34" t="str">
        <f t="shared" si="5"/>
        <v>(0,30),(240,270),(480,510),(720,750),(960,990),(1200,1230),(1560,1590),(1800,1830),(2040,2070),(2280,2310),(2520,2550),(2760,2790),(2880,2910),(3120,3150),</v>
      </c>
      <c r="I34" t="str">
        <f t="shared" si="6"/>
        <v>(120,150),(360,390),(600,630),(840,870),(1080,1110),(1320,1350),(1440,1470),(1680,1710),(1920,1950),(2160,2190),(2400,2430),(2640,2670),(3000,3030),</v>
      </c>
    </row>
    <row r="35" spans="1:9" x14ac:dyDescent="0.15">
      <c r="A35">
        <v>54</v>
      </c>
      <c r="B35">
        <f t="shared" si="0"/>
        <v>3240</v>
      </c>
      <c r="C35">
        <f t="shared" si="1"/>
        <v>6</v>
      </c>
      <c r="D35">
        <f t="shared" si="2"/>
        <v>3</v>
      </c>
      <c r="E35" t="s">
        <v>3551</v>
      </c>
      <c r="F35" t="str">
        <f t="shared" si="3"/>
        <v/>
      </c>
      <c r="G35" t="str">
        <f t="shared" si="4"/>
        <v>(3240,3270),</v>
      </c>
      <c r="H35" t="str">
        <f t="shared" si="5"/>
        <v>(0,30),(240,270),(480,510),(720,750),(960,990),(1200,1230),(1560,1590),(1800,1830),(2040,2070),(2280,2310),(2520,2550),(2760,2790),(2880,2910),(3120,3150),</v>
      </c>
      <c r="I35" t="str">
        <f t="shared" si="6"/>
        <v>(120,150),(360,390),(600,630),(840,870),(1080,1110),(1320,1350),(1440,1470),(1680,1710),(1920,1950),(2160,2190),(2400,2430),(2640,2670),(3000,3030),(3240,3270),</v>
      </c>
    </row>
    <row r="36" spans="1:9" x14ac:dyDescent="0.15">
      <c r="A36">
        <v>56</v>
      </c>
      <c r="B36">
        <f t="shared" si="0"/>
        <v>3360</v>
      </c>
      <c r="C36">
        <f t="shared" si="1"/>
        <v>8</v>
      </c>
      <c r="D36">
        <f t="shared" si="2"/>
        <v>3</v>
      </c>
      <c r="E36" t="s">
        <v>3550</v>
      </c>
      <c r="F36" t="str">
        <f t="shared" si="3"/>
        <v>(3360,3390),</v>
      </c>
      <c r="G36" t="str">
        <f t="shared" si="4"/>
        <v/>
      </c>
      <c r="H36" t="str">
        <f t="shared" si="5"/>
        <v>(0,30),(240,270),(480,510),(720,750),(960,990),(1200,1230),(1560,1590),(1800,1830),(2040,2070),(2280,2310),(2520,2550),(2760,2790),(2880,2910),(3120,3150),(3360,3390),</v>
      </c>
      <c r="I36" t="str">
        <f t="shared" si="6"/>
        <v>(120,150),(360,390),(600,630),(840,870),(1080,1110),(1320,1350),(1440,1470),(1680,1710),(1920,1950),(2160,2190),(2400,2430),(2640,2670),(3000,3030),(3240,3270),</v>
      </c>
    </row>
    <row r="37" spans="1:9" x14ac:dyDescent="0.15">
      <c r="A37">
        <v>58</v>
      </c>
      <c r="B37">
        <f t="shared" si="0"/>
        <v>3480</v>
      </c>
      <c r="C37">
        <f t="shared" si="1"/>
        <v>10</v>
      </c>
      <c r="D37">
        <f t="shared" si="2"/>
        <v>3</v>
      </c>
      <c r="E37" t="s">
        <v>3551</v>
      </c>
      <c r="F37" t="str">
        <f t="shared" si="3"/>
        <v/>
      </c>
      <c r="G37" t="str">
        <f t="shared" si="4"/>
        <v>(3480,3510),</v>
      </c>
      <c r="H37" t="str">
        <f t="shared" si="5"/>
        <v>(0,30),(240,270),(480,510),(720,750),(960,990),(1200,1230),(1560,1590),(1800,1830),(2040,2070),(2280,2310),(2520,2550),(2760,2790),(2880,2910),(3120,3150),(3360,3390),</v>
      </c>
      <c r="I37" t="str">
        <f t="shared" si="6"/>
        <v>(120,150),(360,390),(600,630),(840,870),(1080,1110),(1320,1350),(1440,1470),(1680,1710),(1920,1950),(2160,2190),(2400,2430),(2640,2670),(3000,3030),(3240,3270),(3480,3510),</v>
      </c>
    </row>
    <row r="38" spans="1:9" x14ac:dyDescent="0.15">
      <c r="A38">
        <v>60</v>
      </c>
      <c r="B38">
        <f t="shared" si="0"/>
        <v>3600</v>
      </c>
      <c r="C38">
        <f t="shared" si="1"/>
        <v>12</v>
      </c>
      <c r="D38">
        <f t="shared" si="2"/>
        <v>3</v>
      </c>
      <c r="E38" t="s">
        <v>3550</v>
      </c>
      <c r="F38" t="str">
        <f t="shared" si="3"/>
        <v>(3600,3630),</v>
      </c>
      <c r="G38" t="str">
        <f t="shared" si="4"/>
        <v/>
      </c>
      <c r="H38" t="str">
        <f t="shared" si="5"/>
        <v>(0,30),(240,270),(480,510),(720,750),(960,990),(1200,1230),(1560,1590),(1800,1830),(2040,2070),(2280,2310),(2520,2550),(2760,2790),(2880,2910),(3120,3150),(3360,3390),(3600,3630),</v>
      </c>
      <c r="I38" t="str">
        <f t="shared" si="6"/>
        <v>(120,150),(360,390),(600,630),(840,870),(1080,1110),(1320,1350),(1440,1470),(1680,1710),(1920,1950),(2160,2190),(2400,2430),(2640,2670),(3000,3030),(3240,3270),(3480,3510),</v>
      </c>
    </row>
    <row r="39" spans="1:9" x14ac:dyDescent="0.15">
      <c r="A39">
        <v>62</v>
      </c>
      <c r="B39">
        <f t="shared" si="0"/>
        <v>3720</v>
      </c>
      <c r="C39">
        <f t="shared" si="1"/>
        <v>14</v>
      </c>
      <c r="D39">
        <f t="shared" si="2"/>
        <v>3</v>
      </c>
      <c r="E39" t="s">
        <v>3551</v>
      </c>
      <c r="F39" t="str">
        <f t="shared" si="3"/>
        <v/>
      </c>
      <c r="G39" t="str">
        <f t="shared" si="4"/>
        <v>(3720,3750),</v>
      </c>
      <c r="H39" t="str">
        <f t="shared" si="5"/>
        <v>(0,30),(240,270),(480,510),(720,750),(960,990),(1200,1230),(1560,1590),(1800,1830),(2040,2070),(2280,2310),(2520,2550),(2760,2790),(2880,2910),(3120,3150),(3360,3390),(3600,3630),</v>
      </c>
      <c r="I39" t="str">
        <f t="shared" si="6"/>
        <v>(120,150),(360,390),(600,630),(840,870),(1080,1110),(1320,1350),(1440,1470),(1680,1710),(1920,1950),(2160,2190),(2400,2430),(2640,2670),(3000,3030),(3240,3270),(3480,3510),(3720,3750),</v>
      </c>
    </row>
    <row r="40" spans="1:9" x14ac:dyDescent="0.15">
      <c r="A40">
        <v>64</v>
      </c>
      <c r="B40">
        <f t="shared" si="0"/>
        <v>3840</v>
      </c>
      <c r="C40">
        <f t="shared" si="1"/>
        <v>16</v>
      </c>
      <c r="D40">
        <f t="shared" si="2"/>
        <v>3</v>
      </c>
      <c r="E40" t="s">
        <v>3550</v>
      </c>
      <c r="F40" t="str">
        <f t="shared" si="3"/>
        <v>(3840,3870),</v>
      </c>
      <c r="G40" t="str">
        <f t="shared" si="4"/>
        <v/>
      </c>
      <c r="H40" t="str">
        <f t="shared" si="5"/>
        <v>(0,30),(240,270),(480,510),(720,750),(960,990),(1200,1230),(1560,1590),(1800,1830),(2040,2070),(2280,2310),(2520,2550),(2760,2790),(2880,2910),(3120,3150),(3360,3390),(3600,3630),(3840,3870),</v>
      </c>
      <c r="I40" t="str">
        <f t="shared" si="6"/>
        <v>(120,150),(360,390),(600,630),(840,870),(1080,1110),(1320,1350),(1440,1470),(1680,1710),(1920,1950),(2160,2190),(2400,2430),(2640,2670),(3000,3030),(3240,3270),(3480,3510),(3720,3750),</v>
      </c>
    </row>
    <row r="41" spans="1:9" x14ac:dyDescent="0.15">
      <c r="A41">
        <v>66</v>
      </c>
      <c r="B41">
        <f t="shared" si="0"/>
        <v>3960</v>
      </c>
      <c r="C41">
        <f t="shared" si="1"/>
        <v>18</v>
      </c>
      <c r="D41">
        <f t="shared" si="2"/>
        <v>3</v>
      </c>
      <c r="E41" t="s">
        <v>3551</v>
      </c>
      <c r="F41" t="str">
        <f t="shared" si="3"/>
        <v/>
      </c>
      <c r="G41" t="str">
        <f t="shared" si="4"/>
        <v>(3960,3990),</v>
      </c>
      <c r="H41" t="str">
        <f t="shared" si="5"/>
        <v>(0,30),(240,270),(480,510),(720,750),(960,990),(1200,1230),(1560,1590),(1800,1830),(2040,2070),(2280,2310),(2520,2550),(2760,2790),(2880,2910),(3120,3150),(3360,3390),(3600,3630),(3840,3870),</v>
      </c>
      <c r="I41" t="str">
        <f t="shared" si="6"/>
        <v>(120,150),(360,390),(600,630),(840,870),(1080,1110),(1320,1350),(1440,1470),(1680,1710),(1920,1950),(2160,2190),(2400,2430),(2640,2670),(3000,3030),(3240,3270),(3480,3510),(3720,3750),(3960,3990),</v>
      </c>
    </row>
    <row r="42" spans="1:9" x14ac:dyDescent="0.15">
      <c r="A42">
        <v>68</v>
      </c>
      <c r="B42">
        <f t="shared" si="0"/>
        <v>4080</v>
      </c>
      <c r="C42">
        <f t="shared" si="1"/>
        <v>20</v>
      </c>
      <c r="D42">
        <f t="shared" si="2"/>
        <v>3</v>
      </c>
      <c r="E42" t="s">
        <v>3550</v>
      </c>
      <c r="F42" t="str">
        <f t="shared" si="3"/>
        <v>(4080,4110),</v>
      </c>
      <c r="G42" t="str">
        <f t="shared" si="4"/>
        <v/>
      </c>
      <c r="H42" t="str">
        <f t="shared" si="5"/>
        <v>(0,30),(240,270),(480,510),(720,750),(960,990),(1200,1230),(1560,1590),(1800,1830),(2040,2070),(2280,2310),(2520,2550),(2760,2790),(2880,2910),(3120,3150),(3360,3390),(3600,3630),(3840,3870),(4080,4110),</v>
      </c>
      <c r="I42" t="str">
        <f t="shared" si="6"/>
        <v>(120,150),(360,390),(600,630),(840,870),(1080,1110),(1320,1350),(1440,1470),(1680,1710),(1920,1950),(2160,2190),(2400,2430),(2640,2670),(3000,3030),(3240,3270),(3480,3510),(3720,3750),(3960,3990),</v>
      </c>
    </row>
    <row r="43" spans="1:9" x14ac:dyDescent="0.15">
      <c r="A43">
        <v>70</v>
      </c>
      <c r="B43">
        <f t="shared" si="0"/>
        <v>4200</v>
      </c>
      <c r="C43">
        <f t="shared" si="1"/>
        <v>22</v>
      </c>
      <c r="D43">
        <f t="shared" si="2"/>
        <v>3</v>
      </c>
      <c r="E43" t="s">
        <v>3551</v>
      </c>
      <c r="F43" t="str">
        <f t="shared" si="3"/>
        <v/>
      </c>
      <c r="G43" t="str">
        <f t="shared" si="4"/>
        <v>(4200,4230),</v>
      </c>
      <c r="H43" t="str">
        <f t="shared" si="5"/>
        <v>(0,30),(240,270),(480,510),(720,750),(960,990),(1200,1230),(1560,1590),(1800,1830),(2040,2070),(2280,2310),(2520,2550),(2760,2790),(2880,2910),(3120,3150),(3360,3390),(3600,3630),(3840,3870),(4080,4110),</v>
      </c>
      <c r="I43" t="str">
        <f t="shared" si="6"/>
        <v>(120,150),(360,390),(600,630),(840,870),(1080,1110),(1320,1350),(1440,1470),(1680,1710),(1920,1950),(2160,2190),(2400,2430),(2640,2670),(3000,3030),(3240,3270),(3480,3510),(3720,3750),(3960,3990),(4200,4230),</v>
      </c>
    </row>
    <row r="44" spans="1:9" x14ac:dyDescent="0.15">
      <c r="A44">
        <v>72</v>
      </c>
      <c r="B44">
        <f t="shared" si="0"/>
        <v>4320</v>
      </c>
      <c r="C44">
        <f t="shared" si="1"/>
        <v>0</v>
      </c>
      <c r="D44">
        <f t="shared" si="2"/>
        <v>4</v>
      </c>
      <c r="E44" t="s">
        <v>3551</v>
      </c>
      <c r="F44" t="str">
        <f t="shared" si="3"/>
        <v/>
      </c>
      <c r="G44" t="str">
        <f t="shared" si="4"/>
        <v>(4320,4350),</v>
      </c>
      <c r="H44" t="str">
        <f t="shared" si="5"/>
        <v>(0,30),(240,270),(480,510),(720,750),(960,990),(1200,1230),(1560,1590),(1800,1830),(2040,2070),(2280,2310),(2520,2550),(2760,2790),(2880,2910),(3120,3150),(3360,3390),(3600,3630),(3840,3870),(4080,4110),</v>
      </c>
      <c r="I44" t="str">
        <f t="shared" si="6"/>
        <v>(120,150),(360,390),(600,630),(840,870),(1080,1110),(1320,1350),(1440,1470),(1680,1710),(1920,1950),(2160,2190),(2400,2430),(2640,2670),(3000,3030),(3240,3270),(3480,3510),(3720,3750),(3960,3990),(4200,4230),(4320,4350),</v>
      </c>
    </row>
    <row r="45" spans="1:9" x14ac:dyDescent="0.15">
      <c r="A45">
        <v>74</v>
      </c>
      <c r="B45">
        <f t="shared" si="0"/>
        <v>4440</v>
      </c>
      <c r="C45">
        <f t="shared" si="1"/>
        <v>2</v>
      </c>
      <c r="D45">
        <f t="shared" si="2"/>
        <v>4</v>
      </c>
      <c r="E45" t="s">
        <v>3550</v>
      </c>
      <c r="F45" t="str">
        <f t="shared" si="3"/>
        <v>(4440,4470),</v>
      </c>
      <c r="G45" t="str">
        <f t="shared" si="4"/>
        <v/>
      </c>
      <c r="H45" t="str">
        <f t="shared" si="5"/>
        <v>(0,30),(240,270),(480,510),(720,750),(960,990),(1200,1230),(1560,1590),(1800,1830),(2040,2070),(2280,2310),(2520,2550),(2760,2790),(2880,2910),(3120,3150),(3360,3390),(3600,3630),(3840,3870),(4080,4110),(4440,4470),</v>
      </c>
      <c r="I45" t="str">
        <f t="shared" si="6"/>
        <v>(120,150),(360,390),(600,630),(840,870),(1080,1110),(1320,1350),(1440,1470),(1680,1710),(1920,1950),(2160,2190),(2400,2430),(2640,2670),(3000,3030),(3240,3270),(3480,3510),(3720,3750),(3960,3990),(4200,4230),(4320,4350),</v>
      </c>
    </row>
    <row r="46" spans="1:9" x14ac:dyDescent="0.15">
      <c r="A46">
        <v>76</v>
      </c>
      <c r="B46">
        <f t="shared" si="0"/>
        <v>4560</v>
      </c>
      <c r="C46">
        <f t="shared" si="1"/>
        <v>4</v>
      </c>
      <c r="D46">
        <f t="shared" si="2"/>
        <v>4</v>
      </c>
      <c r="E46" t="s">
        <v>3551</v>
      </c>
      <c r="F46" t="str">
        <f t="shared" si="3"/>
        <v/>
      </c>
      <c r="G46" t="str">
        <f t="shared" si="4"/>
        <v>(4560,4590),</v>
      </c>
      <c r="H46" t="str">
        <f t="shared" si="5"/>
        <v>(0,30),(240,270),(480,510),(720,750),(960,990),(1200,1230),(1560,1590),(1800,1830),(2040,2070),(2280,2310),(2520,2550),(2760,2790),(2880,2910),(3120,3150),(3360,3390),(3600,3630),(3840,3870),(4080,4110),(4440,4470),</v>
      </c>
      <c r="I46" t="str">
        <f t="shared" si="6"/>
        <v>(120,150),(360,390),(600,630),(840,870),(1080,1110),(1320,1350),(1440,1470),(1680,1710),(1920,1950),(2160,2190),(2400,2430),(2640,2670),(3000,3030),(3240,3270),(3480,3510),(3720,3750),(3960,3990),(4200,4230),(4320,4350),(4560,4590),</v>
      </c>
    </row>
    <row r="47" spans="1:9" x14ac:dyDescent="0.15">
      <c r="A47">
        <v>78</v>
      </c>
      <c r="B47">
        <f t="shared" si="0"/>
        <v>4680</v>
      </c>
      <c r="C47">
        <f t="shared" si="1"/>
        <v>6</v>
      </c>
      <c r="D47">
        <f t="shared" si="2"/>
        <v>4</v>
      </c>
      <c r="E47" t="s">
        <v>3550</v>
      </c>
      <c r="F47" t="str">
        <f t="shared" si="3"/>
        <v>(4680,4710),</v>
      </c>
      <c r="G47" t="str">
        <f t="shared" si="4"/>
        <v/>
      </c>
      <c r="H47" t="str">
        <f t="shared" si="5"/>
        <v>(0,30),(240,270),(480,510),(720,750),(960,990),(1200,1230),(1560,1590),(1800,1830),(2040,2070),(2280,2310),(2520,2550),(2760,2790),(2880,2910),(3120,3150),(3360,3390),(3600,3630),(3840,3870),(4080,4110),(4440,4470),(4680,4710),</v>
      </c>
      <c r="I47" t="str">
        <f t="shared" si="6"/>
        <v>(120,150),(360,390),(600,630),(840,870),(1080,1110),(1320,1350),(1440,1470),(1680,1710),(1920,1950),(2160,2190),(2400,2430),(2640,2670),(3000,3030),(3240,3270),(3480,3510),(3720,3750),(3960,3990),(4200,4230),(4320,4350),(4560,4590),</v>
      </c>
    </row>
    <row r="48" spans="1:9" x14ac:dyDescent="0.15">
      <c r="A48">
        <v>80</v>
      </c>
      <c r="B48">
        <f t="shared" si="0"/>
        <v>4800</v>
      </c>
      <c r="C48">
        <f t="shared" si="1"/>
        <v>8</v>
      </c>
      <c r="D48">
        <f t="shared" si="2"/>
        <v>4</v>
      </c>
      <c r="E48" t="s">
        <v>3551</v>
      </c>
      <c r="F48" t="str">
        <f t="shared" si="3"/>
        <v/>
      </c>
      <c r="G48" t="str">
        <f t="shared" si="4"/>
        <v>(4800,4830),</v>
      </c>
      <c r="H48" t="str">
        <f t="shared" si="5"/>
        <v>(0,30),(240,270),(480,510),(720,750),(960,990),(1200,1230),(1560,1590),(1800,1830),(2040,2070),(2280,2310),(2520,2550),(2760,2790),(2880,2910),(3120,3150),(3360,3390),(3600,3630),(3840,3870),(4080,4110),(4440,4470),(4680,4710),</v>
      </c>
      <c r="I48" t="str">
        <f t="shared" si="6"/>
        <v>(120,150),(360,390),(600,630),(840,870),(1080,1110),(1320,1350),(1440,1470),(1680,1710),(1920,1950),(2160,2190),(2400,2430),(2640,2670),(3000,3030),(3240,3270),(3480,3510),(3720,3750),(3960,3990),(4200,4230),(4320,4350),(4560,4590),(4800,4830),</v>
      </c>
    </row>
    <row r="49" spans="1:9" x14ac:dyDescent="0.15">
      <c r="A49">
        <v>82</v>
      </c>
      <c r="B49">
        <f t="shared" si="0"/>
        <v>4920</v>
      </c>
      <c r="C49">
        <f t="shared" si="1"/>
        <v>10</v>
      </c>
      <c r="D49">
        <f t="shared" si="2"/>
        <v>4</v>
      </c>
      <c r="E49" t="s">
        <v>3550</v>
      </c>
      <c r="F49" t="str">
        <f t="shared" si="3"/>
        <v>(4920,4950),</v>
      </c>
      <c r="G49" t="str">
        <f t="shared" si="4"/>
        <v/>
      </c>
      <c r="H49" t="str">
        <f t="shared" si="5"/>
        <v>(0,30),(240,270),(480,510),(720,750),(960,990),(1200,1230),(1560,1590),(1800,1830),(2040,2070),(2280,2310),(2520,2550),(2760,2790),(2880,2910),(3120,3150),(3360,3390),(3600,3630),(3840,3870),(4080,4110),(4440,4470),(4680,4710),(4920,4950),</v>
      </c>
      <c r="I49" t="str">
        <f t="shared" si="6"/>
        <v>(120,150),(360,390),(600,630),(840,870),(1080,1110),(1320,1350),(1440,1470),(1680,1710),(1920,1950),(2160,2190),(2400,2430),(2640,2670),(3000,3030),(3240,3270),(3480,3510),(3720,3750),(3960,3990),(4200,4230),(4320,4350),(4560,4590),(4800,4830),</v>
      </c>
    </row>
    <row r="50" spans="1:9" x14ac:dyDescent="0.15">
      <c r="A50">
        <v>84</v>
      </c>
      <c r="B50">
        <f t="shared" si="0"/>
        <v>5040</v>
      </c>
      <c r="C50">
        <f t="shared" si="1"/>
        <v>12</v>
      </c>
      <c r="D50">
        <f t="shared" si="2"/>
        <v>4</v>
      </c>
      <c r="E50" t="s">
        <v>3551</v>
      </c>
      <c r="F50" t="str">
        <f t="shared" si="3"/>
        <v/>
      </c>
      <c r="G50" t="str">
        <f t="shared" si="4"/>
        <v>(5040,5070),</v>
      </c>
      <c r="H50" t="str">
        <f t="shared" si="5"/>
        <v>(0,30),(240,270),(480,510),(720,750),(960,990),(1200,1230),(1560,1590),(1800,1830),(2040,2070),(2280,2310),(2520,2550),(2760,2790),(2880,2910),(3120,3150),(3360,3390),(3600,3630),(3840,3870),(4080,4110),(4440,4470),(4680,4710),(4920,4950),</v>
      </c>
      <c r="I50" t="str">
        <f t="shared" si="6"/>
        <v>(120,150),(360,390),(600,630),(840,870),(1080,1110),(1320,1350),(1440,1470),(1680,1710),(1920,1950),(2160,2190),(2400,2430),(2640,2670),(3000,3030),(3240,3270),(3480,3510),(3720,3750),(3960,3990),(4200,4230),(4320,4350),(4560,4590),(4800,4830),(5040,5070),</v>
      </c>
    </row>
    <row r="51" spans="1:9" x14ac:dyDescent="0.15">
      <c r="A51">
        <v>86</v>
      </c>
      <c r="B51">
        <f t="shared" si="0"/>
        <v>5160</v>
      </c>
      <c r="C51">
        <f t="shared" si="1"/>
        <v>14</v>
      </c>
      <c r="D51">
        <f t="shared" si="2"/>
        <v>4</v>
      </c>
      <c r="E51" t="s">
        <v>3550</v>
      </c>
      <c r="F51" t="str">
        <f t="shared" si="3"/>
        <v>(5160,5190),</v>
      </c>
      <c r="G51" t="str">
        <f t="shared" si="4"/>
        <v/>
      </c>
      <c r="H51" t="str">
        <f t="shared" si="5"/>
        <v>(0,30),(240,270),(480,510),(720,750),(960,990),(1200,1230),(1560,1590),(1800,1830),(2040,2070),(2280,2310),(2520,2550),(2760,2790),(2880,2910),(3120,3150),(3360,3390),(3600,3630),(3840,3870),(4080,4110),(4440,4470),(4680,4710),(4920,4950),(5160,5190),</v>
      </c>
      <c r="I51" t="str">
        <f t="shared" si="6"/>
        <v>(120,150),(360,390),(600,630),(840,870),(1080,1110),(1320,1350),(1440,1470),(1680,1710),(1920,1950),(2160,2190),(2400,2430),(2640,2670),(3000,3030),(3240,3270),(3480,3510),(3720,3750),(3960,3990),(4200,4230),(4320,4350),(4560,4590),(4800,4830),(5040,5070),</v>
      </c>
    </row>
    <row r="52" spans="1:9" x14ac:dyDescent="0.15">
      <c r="A52">
        <v>88</v>
      </c>
      <c r="B52">
        <f t="shared" si="0"/>
        <v>5280</v>
      </c>
      <c r="C52">
        <f t="shared" si="1"/>
        <v>16</v>
      </c>
      <c r="D52">
        <f t="shared" si="2"/>
        <v>4</v>
      </c>
      <c r="E52" t="s">
        <v>3551</v>
      </c>
      <c r="F52" t="str">
        <f t="shared" si="3"/>
        <v/>
      </c>
      <c r="G52" t="str">
        <f t="shared" si="4"/>
        <v>(5280,5310),</v>
      </c>
      <c r="H52" t="str">
        <f t="shared" si="5"/>
        <v>(0,30),(240,270),(480,510),(720,750),(960,990),(1200,1230),(1560,1590),(1800,1830),(2040,2070),(2280,2310),(2520,2550),(2760,2790),(2880,2910),(3120,3150),(3360,3390),(3600,3630),(3840,3870),(4080,4110),(4440,4470),(4680,4710),(4920,4950),(5160,5190),</v>
      </c>
      <c r="I52" t="str">
        <f t="shared" si="6"/>
        <v>(120,150),(360,390),(600,630),(840,870),(1080,1110),(1320,1350),(1440,1470),(1680,1710),(1920,1950),(2160,2190),(2400,2430),(2640,2670),(3000,3030),(3240,3270),(3480,3510),(3720,3750),(3960,3990),(4200,4230),(4320,4350),(4560,4590),(4800,4830),(5040,5070),(5280,5310),</v>
      </c>
    </row>
    <row r="53" spans="1:9" x14ac:dyDescent="0.15">
      <c r="A53">
        <v>90</v>
      </c>
      <c r="B53">
        <f t="shared" si="0"/>
        <v>5400</v>
      </c>
      <c r="C53">
        <f t="shared" si="1"/>
        <v>18</v>
      </c>
      <c r="D53">
        <f t="shared" si="2"/>
        <v>4</v>
      </c>
      <c r="E53" t="s">
        <v>3550</v>
      </c>
      <c r="F53" t="str">
        <f t="shared" si="3"/>
        <v>(5400,5430),</v>
      </c>
      <c r="G53" t="str">
        <f t="shared" si="4"/>
        <v/>
      </c>
      <c r="H53" t="str">
        <f t="shared" si="5"/>
        <v>(0,30),(240,270),(480,510),(720,750),(960,990),(1200,1230),(1560,1590),(1800,1830),(2040,2070),(2280,2310),(2520,2550),(2760,2790),(2880,2910),(3120,3150),(3360,3390),(3600,3630),(3840,3870),(4080,4110),(4440,4470),(4680,4710),(4920,4950),(5160,5190),(5400,5430),</v>
      </c>
      <c r="I53" t="str">
        <f t="shared" si="6"/>
        <v>(120,150),(360,390),(600,630),(840,870),(1080,1110),(1320,1350),(1440,1470),(1680,1710),(1920,1950),(2160,2190),(2400,2430),(2640,2670),(3000,3030),(3240,3270),(3480,3510),(3720,3750),(3960,3990),(4200,4230),(4320,4350),(4560,4590),(4800,4830),(5040,5070),(5280,5310),</v>
      </c>
    </row>
    <row r="54" spans="1:9" x14ac:dyDescent="0.15">
      <c r="A54">
        <v>92</v>
      </c>
      <c r="B54">
        <f t="shared" si="0"/>
        <v>5520</v>
      </c>
      <c r="C54">
        <f t="shared" si="1"/>
        <v>20</v>
      </c>
      <c r="D54">
        <f t="shared" si="2"/>
        <v>4</v>
      </c>
      <c r="E54" t="s">
        <v>3551</v>
      </c>
      <c r="F54" t="str">
        <f t="shared" si="3"/>
        <v/>
      </c>
      <c r="G54" t="str">
        <f t="shared" si="4"/>
        <v>(5520,5550),</v>
      </c>
      <c r="H54" t="str">
        <f t="shared" si="5"/>
        <v>(0,30),(240,270),(480,510),(720,750),(960,990),(1200,1230),(1560,1590),(1800,1830),(2040,2070),(2280,2310),(2520,2550),(2760,2790),(2880,2910),(3120,3150),(3360,3390),(3600,3630),(3840,3870),(4080,4110),(4440,4470),(4680,4710),(4920,4950),(5160,5190),(5400,5430),</v>
      </c>
      <c r="I54" t="str">
        <f t="shared" si="6"/>
        <v>(120,150),(360,390),(600,630),(840,870),(1080,1110),(1320,1350),(1440,1470),(1680,1710),(1920,1950),(2160,2190),(2400,2430),(2640,2670),(3000,3030),(3240,3270),(3480,3510),(3720,3750),(3960,3990),(4200,4230),(4320,4350),(4560,4590),(4800,4830),(5040,5070),(5280,5310),(5520,5550),</v>
      </c>
    </row>
    <row r="55" spans="1:9" x14ac:dyDescent="0.15">
      <c r="A55">
        <v>94</v>
      </c>
      <c r="B55">
        <f t="shared" si="0"/>
        <v>5640</v>
      </c>
      <c r="C55">
        <f t="shared" si="1"/>
        <v>22</v>
      </c>
      <c r="D55">
        <f t="shared" si="2"/>
        <v>4</v>
      </c>
      <c r="E55" t="s">
        <v>3550</v>
      </c>
      <c r="F55" t="str">
        <f t="shared" si="3"/>
        <v>(5640,5670),</v>
      </c>
      <c r="G55" t="str">
        <f t="shared" si="4"/>
        <v/>
      </c>
      <c r="H55" t="str">
        <f t="shared" si="5"/>
        <v>(0,30),(240,270),(480,510),(720,750),(960,990),(1200,1230),(1560,1590),(1800,1830),(2040,2070),(2280,2310),(2520,2550),(2760,2790),(2880,2910),(3120,3150),(3360,3390),(3600,3630),(3840,3870),(4080,4110),(4440,4470),(4680,4710),(4920,4950),(5160,5190),(5400,5430),(5640,5670),</v>
      </c>
      <c r="I55" t="str">
        <f t="shared" si="6"/>
        <v>(120,150),(360,390),(600,630),(840,870),(1080,1110),(1320,1350),(1440,1470),(1680,1710),(1920,1950),(2160,2190),(2400,2430),(2640,2670),(3000,3030),(3240,3270),(3480,3510),(3720,3750),(3960,3990),(4200,4230),(4320,4350),(4560,4590),(4800,4830),(5040,5070),(5280,5310),(5520,5550),</v>
      </c>
    </row>
    <row r="56" spans="1:9" x14ac:dyDescent="0.15">
      <c r="A56">
        <v>96</v>
      </c>
      <c r="B56">
        <f t="shared" si="0"/>
        <v>5760</v>
      </c>
      <c r="C56">
        <f t="shared" si="1"/>
        <v>0</v>
      </c>
      <c r="D56">
        <f t="shared" si="2"/>
        <v>5</v>
      </c>
      <c r="E56" t="s">
        <v>3550</v>
      </c>
      <c r="F56" t="str">
        <f t="shared" si="3"/>
        <v>(5760,5790),</v>
      </c>
      <c r="G56" t="str">
        <f t="shared" si="4"/>
        <v/>
      </c>
      <c r="H56" t="str">
        <f t="shared" si="5"/>
        <v>(0,30),(240,270),(480,510),(720,750),(960,990),(1200,1230),(1560,1590),(1800,1830),(2040,2070),(2280,2310),(2520,2550),(2760,2790),(2880,2910),(3120,3150),(3360,3390),(3600,3630),(3840,3870),(4080,4110),(4440,4470),(4680,4710),(4920,4950),(5160,5190),(5400,5430),(5640,5670),(5760,5790),</v>
      </c>
      <c r="I56" t="str">
        <f t="shared" si="6"/>
        <v>(120,150),(360,390),(600,630),(840,870),(1080,1110),(1320,1350),(1440,1470),(1680,1710),(1920,1950),(2160,2190),(2400,2430),(2640,2670),(3000,3030),(3240,3270),(3480,3510),(3720,3750),(3960,3990),(4200,4230),(4320,4350),(4560,4590),(4800,4830),(5040,5070),(5280,5310),(5520,5550),</v>
      </c>
    </row>
    <row r="57" spans="1:9" x14ac:dyDescent="0.15">
      <c r="A57">
        <v>98</v>
      </c>
      <c r="B57">
        <f t="shared" si="0"/>
        <v>5880</v>
      </c>
      <c r="C57">
        <f t="shared" si="1"/>
        <v>2</v>
      </c>
      <c r="D57">
        <f t="shared" si="2"/>
        <v>5</v>
      </c>
      <c r="E57" t="s">
        <v>3551</v>
      </c>
      <c r="F57" t="str">
        <f t="shared" si="3"/>
        <v/>
      </c>
      <c r="G57" t="str">
        <f t="shared" si="4"/>
        <v>(5880,5910),</v>
      </c>
      <c r="H57" t="str">
        <f t="shared" si="5"/>
        <v>(0,30),(240,270),(480,510),(720,750),(960,990),(1200,1230),(1560,1590),(1800,1830),(2040,2070),(2280,2310),(2520,2550),(2760,2790),(2880,2910),(3120,3150),(3360,3390),(3600,3630),(3840,3870),(4080,4110),(4440,4470),(4680,4710),(4920,4950),(5160,5190),(5400,5430),(5640,5670),(5760,5790),</v>
      </c>
      <c r="I57" t="str">
        <f t="shared" si="6"/>
        <v>(120,150),(360,390),(600,630),(840,870),(1080,1110),(1320,1350),(1440,1470),(1680,1710),(1920,1950),(2160,2190),(2400,2430),(2640,2670),(3000,3030),(3240,3270),(3480,3510),(3720,3750),(3960,3990),(4200,4230),(4320,4350),(4560,4590),(4800,4830),(5040,5070),(5280,5310),(5520,5550),(5880,5910),</v>
      </c>
    </row>
    <row r="58" spans="1:9" x14ac:dyDescent="0.15">
      <c r="A58">
        <v>100</v>
      </c>
      <c r="B58">
        <f t="shared" si="0"/>
        <v>6000</v>
      </c>
      <c r="C58">
        <f t="shared" si="1"/>
        <v>4</v>
      </c>
      <c r="D58">
        <f t="shared" si="2"/>
        <v>5</v>
      </c>
      <c r="E58" t="s">
        <v>3550</v>
      </c>
      <c r="F58" t="str">
        <f t="shared" si="3"/>
        <v>(6000,6030),</v>
      </c>
      <c r="G58" t="str">
        <f t="shared" si="4"/>
        <v/>
      </c>
      <c r="H58" t="str">
        <f t="shared" si="5"/>
        <v>(0,30),(240,270),(480,510),(720,750),(960,990),(1200,1230),(1560,1590),(1800,1830),(2040,2070),(2280,2310),(2520,2550),(2760,2790),(2880,2910),(3120,3150),(3360,3390),(3600,3630),(3840,3870),(4080,4110),(4440,4470),(4680,4710),(4920,4950),(5160,5190),(5400,5430),(5640,5670),(5760,5790),(6000,6030),</v>
      </c>
      <c r="I58" t="str">
        <f t="shared" si="6"/>
        <v>(120,150),(360,390),(600,630),(840,870),(1080,1110),(1320,1350),(1440,1470),(1680,1710),(1920,1950),(2160,2190),(2400,2430),(2640,2670),(3000,3030),(3240,3270),(3480,3510),(3720,3750),(3960,3990),(4200,4230),(4320,4350),(4560,4590),(4800,4830),(5040,5070),(5280,5310),(5520,5550),(5880,5910),</v>
      </c>
    </row>
    <row r="59" spans="1:9" x14ac:dyDescent="0.15">
      <c r="A59">
        <v>102</v>
      </c>
      <c r="B59">
        <f t="shared" si="0"/>
        <v>6120</v>
      </c>
      <c r="C59">
        <f t="shared" si="1"/>
        <v>6</v>
      </c>
      <c r="D59">
        <f t="shared" si="2"/>
        <v>5</v>
      </c>
      <c r="E59" t="s">
        <v>3551</v>
      </c>
      <c r="F59" t="str">
        <f t="shared" si="3"/>
        <v/>
      </c>
      <c r="G59" t="str">
        <f t="shared" si="4"/>
        <v>(6120,6150),</v>
      </c>
      <c r="H59" t="str">
        <f t="shared" si="5"/>
        <v>(0,30),(240,270),(480,510),(720,750),(960,990),(1200,1230),(1560,1590),(1800,1830),(2040,2070),(2280,2310),(2520,2550),(2760,2790),(2880,2910),(3120,3150),(3360,3390),(3600,3630),(3840,3870),(4080,4110),(4440,4470),(4680,4710),(4920,4950),(5160,5190),(5400,5430),(5640,5670),(5760,5790),(6000,6030),</v>
      </c>
      <c r="I59" t="str">
        <f t="shared" si="6"/>
        <v>(120,150),(360,390),(600,630),(840,870),(1080,1110),(1320,1350),(1440,1470),(1680,1710),(1920,1950),(2160,2190),(2400,2430),(2640,2670),(3000,3030),(3240,3270),(3480,3510),(3720,3750),(3960,3990),(4200,4230),(4320,4350),(4560,4590),(4800,4830),(5040,5070),(5280,5310),(5520,5550),(5880,5910),(6120,6150),</v>
      </c>
    </row>
    <row r="60" spans="1:9" x14ac:dyDescent="0.15">
      <c r="A60">
        <v>104</v>
      </c>
      <c r="B60">
        <f t="shared" si="0"/>
        <v>6240</v>
      </c>
      <c r="C60">
        <f t="shared" si="1"/>
        <v>8</v>
      </c>
      <c r="D60">
        <f t="shared" si="2"/>
        <v>5</v>
      </c>
      <c r="E60" t="s">
        <v>3550</v>
      </c>
      <c r="F60" t="str">
        <f t="shared" si="3"/>
        <v>(6240,6270),</v>
      </c>
      <c r="G60" t="str">
        <f t="shared" si="4"/>
        <v/>
      </c>
      <c r="H60" t="str">
        <f t="shared" si="5"/>
        <v>(0,30),(240,270),(480,510),(720,750),(960,990),(1200,1230),(1560,1590),(1800,1830),(2040,2070),(2280,2310),(2520,2550),(2760,2790),(2880,2910),(3120,3150),(3360,3390),(3600,3630),(3840,3870),(4080,4110),(4440,4470),(4680,4710),(4920,4950),(5160,5190),(5400,5430),(5640,5670),(5760,5790),(6000,6030),(6240,6270),</v>
      </c>
      <c r="I60" t="str">
        <f t="shared" si="6"/>
        <v>(120,150),(360,390),(600,630),(840,870),(1080,1110),(1320,1350),(1440,1470),(1680,1710),(1920,1950),(2160,2190),(2400,2430),(2640,2670),(3000,3030),(3240,3270),(3480,3510),(3720,3750),(3960,3990),(4200,4230),(4320,4350),(4560,4590),(4800,4830),(5040,5070),(5280,5310),(5520,5550),(5880,5910),(6120,6150),</v>
      </c>
    </row>
    <row r="61" spans="1:9" x14ac:dyDescent="0.15">
      <c r="A61">
        <v>106</v>
      </c>
      <c r="B61">
        <f t="shared" si="0"/>
        <v>6360</v>
      </c>
      <c r="C61">
        <f t="shared" si="1"/>
        <v>10</v>
      </c>
      <c r="D61">
        <f t="shared" si="2"/>
        <v>5</v>
      </c>
      <c r="E61" t="s">
        <v>3551</v>
      </c>
      <c r="F61" t="str">
        <f t="shared" si="3"/>
        <v/>
      </c>
      <c r="G61" t="str">
        <f t="shared" si="4"/>
        <v>(6360,6390),</v>
      </c>
      <c r="H61" t="str">
        <f t="shared" si="5"/>
        <v>(0,30),(240,270),(480,510),(720,750),(960,990),(1200,1230),(1560,1590),(1800,1830),(2040,2070),(2280,2310),(2520,2550),(2760,2790),(2880,2910),(3120,3150),(3360,3390),(3600,3630),(3840,3870),(4080,4110),(4440,4470),(4680,4710),(4920,4950),(5160,5190),(5400,5430),(5640,5670),(5760,5790),(6000,6030),(6240,6270),</v>
      </c>
      <c r="I61" t="str">
        <f t="shared" si="6"/>
        <v>(120,150),(360,390),(600,630),(840,870),(1080,1110),(1320,1350),(1440,1470),(1680,1710),(1920,1950),(2160,2190),(2400,2430),(2640,2670),(3000,3030),(3240,3270),(3480,3510),(3720,3750),(3960,3990),(4200,4230),(4320,4350),(4560,4590),(4800,4830),(5040,5070),(5280,5310),(5520,5550),(5880,5910),(6120,6150),(6360,6390),</v>
      </c>
    </row>
    <row r="62" spans="1:9" x14ac:dyDescent="0.15">
      <c r="A62">
        <v>108</v>
      </c>
      <c r="B62">
        <f t="shared" si="0"/>
        <v>6480</v>
      </c>
      <c r="C62">
        <f t="shared" si="1"/>
        <v>12</v>
      </c>
      <c r="D62">
        <f t="shared" si="2"/>
        <v>5</v>
      </c>
      <c r="E62" t="s">
        <v>3550</v>
      </c>
      <c r="F62" t="str">
        <f t="shared" si="3"/>
        <v>(6480,6510),</v>
      </c>
      <c r="G62" t="str">
        <f t="shared" si="4"/>
        <v/>
      </c>
      <c r="H62" t="str">
        <f t="shared" si="5"/>
        <v>(0,30),(240,270),(480,510),(720,750),(960,990),(1200,1230),(1560,1590),(1800,1830),(2040,2070),(2280,2310),(2520,2550),(2760,2790),(2880,2910),(3120,3150),(3360,3390),(3600,3630),(3840,3870),(4080,4110),(4440,4470),(4680,4710),(4920,4950),(5160,5190),(5400,5430),(5640,5670),(5760,5790),(6000,6030),(6240,6270),(6480,6510),</v>
      </c>
      <c r="I62" t="str">
        <f t="shared" si="6"/>
        <v>(120,150),(360,390),(600,630),(840,870),(1080,1110),(1320,1350),(1440,1470),(1680,1710),(1920,1950),(2160,2190),(2400,2430),(2640,2670),(3000,3030),(3240,3270),(3480,3510),(3720,3750),(3960,3990),(4200,4230),(4320,4350),(4560,4590),(4800,4830),(5040,5070),(5280,5310),(5520,5550),(5880,5910),(6120,6150),(6360,6390),</v>
      </c>
    </row>
    <row r="63" spans="1:9" x14ac:dyDescent="0.15">
      <c r="A63">
        <v>110</v>
      </c>
      <c r="B63">
        <f t="shared" si="0"/>
        <v>6600</v>
      </c>
      <c r="C63">
        <f t="shared" si="1"/>
        <v>14</v>
      </c>
      <c r="D63">
        <f t="shared" si="2"/>
        <v>5</v>
      </c>
      <c r="E63" t="s">
        <v>3551</v>
      </c>
      <c r="F63" t="str">
        <f t="shared" si="3"/>
        <v/>
      </c>
      <c r="G63" t="str">
        <f t="shared" si="4"/>
        <v>(6600,6630),</v>
      </c>
      <c r="H63" t="str">
        <f t="shared" si="5"/>
        <v>(0,30),(240,270),(480,510),(720,750),(960,990),(1200,1230),(1560,1590),(1800,1830),(2040,2070),(2280,2310),(2520,2550),(2760,2790),(2880,2910),(3120,3150),(3360,3390),(3600,3630),(3840,3870),(4080,4110),(4440,4470),(4680,4710),(4920,4950),(5160,5190),(5400,5430),(5640,5670),(5760,5790),(6000,6030),(6240,6270),(6480,6510),</v>
      </c>
      <c r="I63" t="str">
        <f t="shared" si="6"/>
        <v>(120,150),(360,390),(600,630),(840,870),(1080,1110),(1320,1350),(1440,1470),(1680,1710),(1920,1950),(2160,2190),(2400,2430),(2640,2670),(3000,3030),(3240,3270),(3480,3510),(3720,3750),(3960,3990),(4200,4230),(4320,4350),(4560,4590),(4800,4830),(5040,5070),(5280,5310),(5520,5550),(5880,5910),(6120,6150),(6360,6390),(6600,6630),</v>
      </c>
    </row>
    <row r="64" spans="1:9" x14ac:dyDescent="0.15">
      <c r="A64">
        <v>112</v>
      </c>
      <c r="B64">
        <f t="shared" si="0"/>
        <v>6720</v>
      </c>
      <c r="C64">
        <f t="shared" si="1"/>
        <v>16</v>
      </c>
      <c r="D64">
        <f t="shared" si="2"/>
        <v>5</v>
      </c>
      <c r="E64" t="s">
        <v>3550</v>
      </c>
      <c r="F64" t="str">
        <f t="shared" si="3"/>
        <v>(6720,6750),</v>
      </c>
      <c r="G64" t="str">
        <f t="shared" si="4"/>
        <v/>
      </c>
      <c r="H64" t="str">
        <f t="shared" si="5"/>
        <v>(0,30),(240,270),(480,510),(720,750),(960,990),(1200,1230),(1560,1590),(1800,1830),(2040,2070),(2280,2310),(2520,2550),(2760,2790),(2880,2910),(3120,3150),(3360,3390),(3600,3630),(3840,3870),(4080,4110),(4440,4470),(4680,4710),(4920,4950),(5160,5190),(5400,5430),(5640,5670),(5760,5790),(6000,6030),(6240,6270),(6480,6510),(6720,6750),</v>
      </c>
      <c r="I64" t="str">
        <f t="shared" si="6"/>
        <v>(120,150),(360,390),(600,630),(840,870),(1080,1110),(1320,1350),(1440,1470),(1680,1710),(1920,1950),(2160,2190),(2400,2430),(2640,2670),(3000,3030),(3240,3270),(3480,3510),(3720,3750),(3960,3990),(4200,4230),(4320,4350),(4560,4590),(4800,4830),(5040,5070),(5280,5310),(5520,5550),(5880,5910),(6120,6150),(6360,6390),(6600,6630),</v>
      </c>
    </row>
    <row r="65" spans="1:9" x14ac:dyDescent="0.15">
      <c r="A65">
        <v>114</v>
      </c>
      <c r="B65">
        <f t="shared" si="0"/>
        <v>6840</v>
      </c>
      <c r="C65">
        <f t="shared" si="1"/>
        <v>18</v>
      </c>
      <c r="D65">
        <f t="shared" si="2"/>
        <v>5</v>
      </c>
      <c r="E65" t="s">
        <v>3551</v>
      </c>
      <c r="F65" t="str">
        <f t="shared" si="3"/>
        <v/>
      </c>
      <c r="G65" t="str">
        <f t="shared" si="4"/>
        <v>(6840,6870),</v>
      </c>
      <c r="H65" t="str">
        <f t="shared" si="5"/>
        <v>(0,30),(240,270),(480,510),(720,750),(960,990),(1200,1230),(1560,1590),(1800,1830),(2040,2070),(2280,2310),(2520,2550),(2760,2790),(2880,2910),(3120,3150),(3360,3390),(3600,3630),(3840,3870),(4080,4110),(4440,4470),(4680,4710),(4920,4950),(5160,5190),(5400,5430),(5640,5670),(5760,5790),(6000,6030),(6240,6270),(6480,6510),(6720,6750),</v>
      </c>
      <c r="I65" t="str">
        <f t="shared" si="6"/>
        <v>(120,150),(360,390),(600,630),(840,870),(1080,1110),(1320,1350),(1440,1470),(1680,1710),(1920,1950),(2160,2190),(2400,2430),(2640,2670),(3000,3030),(3240,3270),(3480,3510),(3720,3750),(3960,3990),(4200,4230),(4320,4350),(4560,4590),(4800,4830),(5040,5070),(5280,5310),(5520,5550),(5880,5910),(6120,6150),(6360,6390),(6600,6630),(6840,6870),</v>
      </c>
    </row>
    <row r="66" spans="1:9" x14ac:dyDescent="0.15">
      <c r="A66">
        <v>116</v>
      </c>
      <c r="B66">
        <f t="shared" si="0"/>
        <v>6960</v>
      </c>
      <c r="C66">
        <f t="shared" si="1"/>
        <v>20</v>
      </c>
      <c r="D66">
        <f t="shared" si="2"/>
        <v>5</v>
      </c>
      <c r="E66" t="s">
        <v>3550</v>
      </c>
      <c r="F66" t="str">
        <f t="shared" si="3"/>
        <v>(6960,6990),</v>
      </c>
      <c r="G66" t="str">
        <f t="shared" si="4"/>
        <v/>
      </c>
      <c r="H66" t="str">
        <f t="shared" si="5"/>
        <v>(0,30),(240,270),(480,510),(720,750),(960,990),(1200,1230),(1560,1590),(1800,1830),(2040,2070),(2280,2310),(2520,2550),(2760,2790),(2880,2910),(3120,3150),(3360,3390),(3600,3630),(3840,3870),(4080,4110),(4440,4470),(4680,4710),(4920,4950),(5160,5190),(5400,5430),(5640,5670),(5760,5790),(6000,6030),(6240,6270),(6480,6510),(6720,6750),(6960,6990),</v>
      </c>
      <c r="I66" t="str">
        <f t="shared" si="6"/>
        <v>(120,150),(360,390),(600,630),(840,870),(1080,1110),(1320,1350),(1440,1470),(1680,1710),(1920,1950),(2160,2190),(2400,2430),(2640,2670),(3000,3030),(3240,3270),(3480,3510),(3720,3750),(3960,3990),(4200,4230),(4320,4350),(4560,4590),(4800,4830),(5040,5070),(5280,5310),(5520,5550),(5880,5910),(6120,6150),(6360,6390),(6600,6630),(6840,6870),</v>
      </c>
    </row>
    <row r="67" spans="1:9" x14ac:dyDescent="0.15">
      <c r="A67">
        <v>118</v>
      </c>
      <c r="B67">
        <f t="shared" si="0"/>
        <v>7080</v>
      </c>
      <c r="C67">
        <f t="shared" si="1"/>
        <v>22</v>
      </c>
      <c r="D67">
        <f t="shared" si="2"/>
        <v>5</v>
      </c>
      <c r="E67" t="s">
        <v>3551</v>
      </c>
      <c r="F67" t="str">
        <f t="shared" si="3"/>
        <v/>
      </c>
      <c r="G67" t="str">
        <f t="shared" si="4"/>
        <v>(7080,7110),</v>
      </c>
      <c r="H67" t="str">
        <f t="shared" si="5"/>
        <v>(0,30),(240,270),(480,510),(720,750),(960,990),(1200,1230),(1560,1590),(1800,1830),(2040,2070),(2280,2310),(2520,2550),(2760,2790),(2880,2910),(3120,3150),(3360,3390),(3600,3630),(3840,3870),(4080,4110),(4440,4470),(4680,4710),(4920,4950),(5160,5190),(5400,5430),(5640,5670),(5760,5790),(6000,6030),(6240,6270),(6480,6510),(6720,6750),(6960,6990),</v>
      </c>
      <c r="I67" t="str">
        <f t="shared" si="6"/>
        <v>(120,150),(360,390),(600,630),(840,870),(1080,1110),(1320,1350),(1440,1470),(1680,1710),(1920,1950),(2160,2190),(2400,2430),(2640,2670),(3000,3030),(3240,3270),(3480,3510),(3720,3750),(3960,3990),(4200,4230),(4320,4350),(4560,4590),(4800,4830),(5040,5070),(5280,5310),(5520,5550),(5880,5910),(6120,6150),(6360,6390),(6600,6630),(6840,6870),(7080,7110),</v>
      </c>
    </row>
    <row r="68" spans="1:9" x14ac:dyDescent="0.15">
      <c r="H68" t="str">
        <f>"["&amp;LEFT(H67,LEN(H67)-1)&amp;"]"</f>
        <v>[(0,30),(240,270),(480,510),(720,750),(960,990),(1200,1230),(1560,1590),(1800,1830),(2040,2070),(2280,2310),(2520,2550),(2760,2790),(2880,2910),(3120,3150),(3360,3390),(3600,3630),(3840,3870),(4080,4110),(4440,4470),(4680,4710),(4920,4950),(5160,5190),(5400,5430),(5640,5670),(5760,5790),(6000,6030),(6240,6270),(6480,6510),(6720,6750),(6960,6990)]</v>
      </c>
      <c r="I68" t="str">
        <f>"["&amp;LEFT(I67,LEN(I67)-1)&amp;"]"</f>
        <v>[(120,150),(360,390),(600,630),(840,870),(1080,1110),(1320,1350),(1440,1470),(1680,1710),(1920,1950),(2160,2190),(2400,2430),(2640,2670),(3000,3030),(3240,3270),(3480,3510),(3720,3750),(3960,3990),(4200,4230),(4320,4350),(4560,4590),(4800,4830),(5040,5070),(5280,5310),(5520,5550),(5880,5910),(6120,6150),(6360,6390),(6600,6630),(6840,6870),(7080,7110)]</v>
      </c>
    </row>
    <row r="69" spans="1:9" x14ac:dyDescent="0.15">
      <c r="A69">
        <v>10080</v>
      </c>
    </row>
    <row r="72" spans="1:9" x14ac:dyDescent="0.15">
      <c r="A72" s="9">
        <v>288</v>
      </c>
      <c r="B72" s="9">
        <f t="shared" si="0"/>
        <v>17280</v>
      </c>
      <c r="C72" s="9">
        <f t="shared" si="1"/>
        <v>0</v>
      </c>
      <c r="D72" s="9">
        <f t="shared" si="2"/>
        <v>13</v>
      </c>
      <c r="E72" s="9" t="s">
        <v>3552</v>
      </c>
      <c r="F72" s="9" t="str">
        <f>"("&amp;B72&amp;","&amp;B72+30&amp;")"&amp;","</f>
        <v>(17280,17310),</v>
      </c>
      <c r="G72" s="9" t="str">
        <f>G71&amp;F72</f>
        <v>(17280,17310),</v>
      </c>
    </row>
    <row r="73" spans="1:9" x14ac:dyDescent="0.15">
      <c r="A73" s="9">
        <v>290</v>
      </c>
      <c r="B73" s="9">
        <f t="shared" si="0"/>
        <v>17400</v>
      </c>
      <c r="C73" s="9">
        <f t="shared" si="1"/>
        <v>2</v>
      </c>
      <c r="D73" s="9">
        <f t="shared" si="2"/>
        <v>13</v>
      </c>
      <c r="E73" s="9" t="s">
        <v>3552</v>
      </c>
      <c r="F73" s="9" t="str">
        <f t="shared" ref="F73:F95" si="7">"("&amp;B73&amp;","&amp;B73+30&amp;")"&amp;","</f>
        <v>(17400,17430),</v>
      </c>
      <c r="G73" s="9" t="str">
        <f t="shared" ref="G73:G95" si="8">G72&amp;F73</f>
        <v>(17280,17310),(17400,17430),</v>
      </c>
    </row>
    <row r="74" spans="1:9" x14ac:dyDescent="0.15">
      <c r="A74" s="9">
        <v>292</v>
      </c>
      <c r="B74" s="9">
        <f t="shared" si="0"/>
        <v>17520</v>
      </c>
      <c r="C74" s="9">
        <f t="shared" si="1"/>
        <v>4</v>
      </c>
      <c r="D74" s="9">
        <f t="shared" si="2"/>
        <v>13</v>
      </c>
      <c r="E74" s="9" t="s">
        <v>3552</v>
      </c>
      <c r="F74" s="9" t="str">
        <f t="shared" si="7"/>
        <v>(17520,17550),</v>
      </c>
      <c r="G74" s="9" t="str">
        <f t="shared" si="8"/>
        <v>(17280,17310),(17400,17430),(17520,17550),</v>
      </c>
    </row>
    <row r="75" spans="1:9" x14ac:dyDescent="0.15">
      <c r="A75" s="9">
        <v>294</v>
      </c>
      <c r="B75" s="9">
        <f t="shared" si="0"/>
        <v>17640</v>
      </c>
      <c r="C75" s="9">
        <f t="shared" si="1"/>
        <v>6</v>
      </c>
      <c r="D75" s="9">
        <f t="shared" si="2"/>
        <v>13</v>
      </c>
      <c r="E75" s="9" t="s">
        <v>3552</v>
      </c>
      <c r="F75" s="9" t="str">
        <f t="shared" si="7"/>
        <v>(17640,17670),</v>
      </c>
      <c r="G75" s="9" t="str">
        <f t="shared" si="8"/>
        <v>(17280,17310),(17400,17430),(17520,17550),(17640,17670),</v>
      </c>
    </row>
    <row r="76" spans="1:9" x14ac:dyDescent="0.15">
      <c r="A76" s="9">
        <v>296</v>
      </c>
      <c r="B76" s="9">
        <f t="shared" si="0"/>
        <v>17760</v>
      </c>
      <c r="C76" s="9">
        <f t="shared" si="1"/>
        <v>8</v>
      </c>
      <c r="D76" s="9">
        <f t="shared" si="2"/>
        <v>13</v>
      </c>
      <c r="E76" s="9" t="s">
        <v>3552</v>
      </c>
      <c r="F76" s="9" t="str">
        <f t="shared" si="7"/>
        <v>(17760,17790),</v>
      </c>
      <c r="G76" s="9" t="str">
        <f t="shared" si="8"/>
        <v>(17280,17310),(17400,17430),(17520,17550),(17640,17670),(17760,17790),</v>
      </c>
    </row>
    <row r="77" spans="1:9" x14ac:dyDescent="0.15">
      <c r="A77" s="9">
        <v>298</v>
      </c>
      <c r="B77" s="9">
        <f t="shared" ref="B77:B88" si="9">A77*60</f>
        <v>17880</v>
      </c>
      <c r="C77" s="9">
        <f t="shared" ref="C77:C88" si="10">MOD(A77,24)</f>
        <v>10</v>
      </c>
      <c r="D77" s="9">
        <f t="shared" ref="D77:D88" si="11">ROUNDDOWN(A77/24,0)+1</f>
        <v>13</v>
      </c>
      <c r="E77" s="9" t="s">
        <v>3552</v>
      </c>
      <c r="F77" s="9" t="str">
        <f t="shared" si="7"/>
        <v>(17880,17910),</v>
      </c>
      <c r="G77" s="9" t="str">
        <f t="shared" si="8"/>
        <v>(17280,17310),(17400,17430),(17520,17550),(17640,17670),(17760,17790),(17880,17910),</v>
      </c>
    </row>
    <row r="78" spans="1:9" x14ac:dyDescent="0.15">
      <c r="A78" s="9">
        <v>300</v>
      </c>
      <c r="B78" s="9">
        <f t="shared" si="9"/>
        <v>18000</v>
      </c>
      <c r="C78" s="9">
        <f t="shared" si="10"/>
        <v>12</v>
      </c>
      <c r="D78" s="9">
        <f t="shared" si="11"/>
        <v>13</v>
      </c>
      <c r="E78" s="9" t="s">
        <v>3552</v>
      </c>
      <c r="F78" s="9" t="str">
        <f t="shared" si="7"/>
        <v>(18000,18030),</v>
      </c>
      <c r="G78" s="9" t="str">
        <f t="shared" si="8"/>
        <v>(17280,17310),(17400,17430),(17520,17550),(17640,17670),(17760,17790),(17880,17910),(18000,18030),</v>
      </c>
    </row>
    <row r="79" spans="1:9" x14ac:dyDescent="0.15">
      <c r="A79" s="9">
        <v>302</v>
      </c>
      <c r="B79" s="9">
        <f t="shared" si="9"/>
        <v>18120</v>
      </c>
      <c r="C79" s="9">
        <f t="shared" si="10"/>
        <v>14</v>
      </c>
      <c r="D79" s="9">
        <f t="shared" si="11"/>
        <v>13</v>
      </c>
      <c r="E79" s="9" t="s">
        <v>3552</v>
      </c>
      <c r="F79" s="9" t="str">
        <f t="shared" si="7"/>
        <v>(18120,18150),</v>
      </c>
      <c r="G79" s="9" t="str">
        <f t="shared" si="8"/>
        <v>(17280,17310),(17400,17430),(17520,17550),(17640,17670),(17760,17790),(17880,17910),(18000,18030),(18120,18150),</v>
      </c>
    </row>
    <row r="80" spans="1:9" x14ac:dyDescent="0.15">
      <c r="A80" s="9">
        <v>304</v>
      </c>
      <c r="B80" s="9">
        <f t="shared" si="9"/>
        <v>18240</v>
      </c>
      <c r="C80" s="9">
        <f t="shared" si="10"/>
        <v>16</v>
      </c>
      <c r="D80" s="9">
        <f t="shared" si="11"/>
        <v>13</v>
      </c>
      <c r="E80" s="9" t="s">
        <v>3552</v>
      </c>
      <c r="F80" s="9" t="str">
        <f t="shared" si="7"/>
        <v>(18240,18270),</v>
      </c>
      <c r="G80" s="9" t="str">
        <f t="shared" si="8"/>
        <v>(17280,17310),(17400,17430),(17520,17550),(17640,17670),(17760,17790),(17880,17910),(18000,18030),(18120,18150),(18240,18270),</v>
      </c>
    </row>
    <row r="81" spans="1:7" x14ac:dyDescent="0.15">
      <c r="A81" s="9">
        <v>306</v>
      </c>
      <c r="B81" s="9">
        <f t="shared" si="9"/>
        <v>18360</v>
      </c>
      <c r="C81" s="9">
        <f t="shared" si="10"/>
        <v>18</v>
      </c>
      <c r="D81" s="9">
        <f t="shared" si="11"/>
        <v>13</v>
      </c>
      <c r="E81" s="9" t="s">
        <v>3552</v>
      </c>
      <c r="F81" s="9" t="str">
        <f t="shared" si="7"/>
        <v>(18360,18390),</v>
      </c>
      <c r="G81" s="9" t="str">
        <f t="shared" si="8"/>
        <v>(17280,17310),(17400,17430),(17520,17550),(17640,17670),(17760,17790),(17880,17910),(18000,18030),(18120,18150),(18240,18270),(18360,18390),</v>
      </c>
    </row>
    <row r="82" spans="1:7" x14ac:dyDescent="0.15">
      <c r="A82" s="9">
        <v>308</v>
      </c>
      <c r="B82" s="9">
        <f t="shared" si="9"/>
        <v>18480</v>
      </c>
      <c r="C82" s="9">
        <f t="shared" si="10"/>
        <v>20</v>
      </c>
      <c r="D82" s="9">
        <f t="shared" si="11"/>
        <v>13</v>
      </c>
      <c r="E82" s="9" t="s">
        <v>3552</v>
      </c>
      <c r="F82" s="9" t="str">
        <f t="shared" si="7"/>
        <v>(18480,18510),</v>
      </c>
      <c r="G82" s="9" t="str">
        <f t="shared" si="8"/>
        <v>(17280,17310),(17400,17430),(17520,17550),(17640,17670),(17760,17790),(17880,17910),(18000,18030),(18120,18150),(18240,18270),(18360,18390),(18480,18510),</v>
      </c>
    </row>
    <row r="83" spans="1:7" x14ac:dyDescent="0.15">
      <c r="A83" s="9">
        <v>310</v>
      </c>
      <c r="B83" s="9">
        <f t="shared" si="9"/>
        <v>18600</v>
      </c>
      <c r="C83" s="9">
        <f t="shared" si="10"/>
        <v>22</v>
      </c>
      <c r="D83" s="9">
        <f t="shared" si="11"/>
        <v>13</v>
      </c>
      <c r="E83" s="9" t="s">
        <v>3552</v>
      </c>
      <c r="F83" s="9" t="str">
        <f t="shared" si="7"/>
        <v>(18600,18630),</v>
      </c>
      <c r="G83" s="9" t="str">
        <f t="shared" si="8"/>
        <v>(17280,17310),(17400,17430),(17520,17550),(17640,17670),(17760,17790),(17880,17910),(18000,18030),(18120,18150),(18240,18270),(18360,18390),(18480,18510),(18600,18630),</v>
      </c>
    </row>
    <row r="84" spans="1:7" x14ac:dyDescent="0.15">
      <c r="A84" s="9">
        <v>312</v>
      </c>
      <c r="B84" s="9">
        <f t="shared" si="9"/>
        <v>18720</v>
      </c>
      <c r="C84" s="9">
        <f t="shared" si="10"/>
        <v>0</v>
      </c>
      <c r="D84" s="9">
        <f t="shared" si="11"/>
        <v>14</v>
      </c>
      <c r="E84" s="9" t="s">
        <v>3552</v>
      </c>
      <c r="F84" s="9" t="str">
        <f t="shared" si="7"/>
        <v>(18720,18750),</v>
      </c>
      <c r="G84" s="9" t="str">
        <f t="shared" si="8"/>
        <v>(17280,17310),(17400,17430),(17520,17550),(17640,17670),(17760,17790),(17880,17910),(18000,18030),(18120,18150),(18240,18270),(18360,18390),(18480,18510),(18600,18630),(18720,18750),</v>
      </c>
    </row>
    <row r="85" spans="1:7" x14ac:dyDescent="0.15">
      <c r="A85" s="9">
        <v>314</v>
      </c>
      <c r="B85" s="9">
        <f t="shared" si="9"/>
        <v>18840</v>
      </c>
      <c r="C85" s="9">
        <f t="shared" si="10"/>
        <v>2</v>
      </c>
      <c r="D85" s="9">
        <f t="shared" si="11"/>
        <v>14</v>
      </c>
      <c r="E85" s="9" t="s">
        <v>3552</v>
      </c>
      <c r="F85" s="9" t="str">
        <f t="shared" si="7"/>
        <v>(18840,18870),</v>
      </c>
      <c r="G85" s="9" t="str">
        <f t="shared" si="8"/>
        <v>(17280,17310),(17400,17430),(17520,17550),(17640,17670),(17760,17790),(17880,17910),(18000,18030),(18120,18150),(18240,18270),(18360,18390),(18480,18510),(18600,18630),(18720,18750),(18840,18870),</v>
      </c>
    </row>
    <row r="86" spans="1:7" x14ac:dyDescent="0.15">
      <c r="A86" s="9">
        <v>316</v>
      </c>
      <c r="B86" s="9">
        <f t="shared" si="9"/>
        <v>18960</v>
      </c>
      <c r="C86" s="9">
        <f t="shared" si="10"/>
        <v>4</v>
      </c>
      <c r="D86" s="9">
        <f t="shared" si="11"/>
        <v>14</v>
      </c>
      <c r="E86" s="9" t="s">
        <v>3552</v>
      </c>
      <c r="F86" s="9" t="str">
        <f t="shared" si="7"/>
        <v>(18960,18990),</v>
      </c>
      <c r="G86" s="9" t="str">
        <f t="shared" si="8"/>
        <v>(17280,17310),(17400,17430),(17520,17550),(17640,17670),(17760,17790),(17880,17910),(18000,18030),(18120,18150),(18240,18270),(18360,18390),(18480,18510),(18600,18630),(18720,18750),(18840,18870),(18960,18990),</v>
      </c>
    </row>
    <row r="87" spans="1:7" x14ac:dyDescent="0.15">
      <c r="A87" s="9">
        <v>318</v>
      </c>
      <c r="B87" s="9">
        <f t="shared" si="9"/>
        <v>19080</v>
      </c>
      <c r="C87" s="9">
        <f t="shared" si="10"/>
        <v>6</v>
      </c>
      <c r="D87" s="9">
        <f t="shared" si="11"/>
        <v>14</v>
      </c>
      <c r="E87" s="9" t="s">
        <v>3552</v>
      </c>
      <c r="F87" s="9" t="str">
        <f t="shared" si="7"/>
        <v>(19080,19110),</v>
      </c>
      <c r="G87" s="9" t="str">
        <f t="shared" si="8"/>
        <v>(17280,17310),(17400,17430),(17520,17550),(17640,17670),(17760,17790),(17880,17910),(18000,18030),(18120,18150),(18240,18270),(18360,18390),(18480,18510),(18600,18630),(18720,18750),(18840,18870),(18960,18990),(19080,19110),</v>
      </c>
    </row>
    <row r="88" spans="1:7" x14ac:dyDescent="0.15">
      <c r="A88" s="9">
        <v>320</v>
      </c>
      <c r="B88" s="9">
        <f t="shared" si="9"/>
        <v>19200</v>
      </c>
      <c r="C88" s="9">
        <f t="shared" si="10"/>
        <v>8</v>
      </c>
      <c r="D88" s="9">
        <f t="shared" si="11"/>
        <v>14</v>
      </c>
      <c r="E88" s="9" t="s">
        <v>3552</v>
      </c>
      <c r="F88" s="9" t="str">
        <f t="shared" si="7"/>
        <v>(19200,19230),</v>
      </c>
      <c r="G88" s="9" t="str">
        <f t="shared" si="8"/>
        <v>(17280,17310),(17400,17430),(17520,17550),(17640,17670),(17760,17790),(17880,17910),(18000,18030),(18120,18150),(18240,18270),(18360,18390),(18480,18510),(18600,18630),(18720,18750),(18840,18870),(18960,18990),(19080,19110),(19200,19230),</v>
      </c>
    </row>
    <row r="89" spans="1:7" x14ac:dyDescent="0.15">
      <c r="A89" s="9">
        <v>322</v>
      </c>
      <c r="B89" s="9">
        <f t="shared" ref="B89:B95" si="12">A89*60</f>
        <v>19320</v>
      </c>
      <c r="C89" s="9">
        <f t="shared" ref="C89:C95" si="13">MOD(A89,24)</f>
        <v>10</v>
      </c>
      <c r="D89" s="9">
        <f t="shared" ref="D89:D95" si="14">ROUNDDOWN(A89/24,0)+1</f>
        <v>14</v>
      </c>
      <c r="E89" s="9" t="s">
        <v>3552</v>
      </c>
      <c r="F89" s="9" t="str">
        <f t="shared" si="7"/>
        <v>(19320,19350),</v>
      </c>
      <c r="G89" s="9" t="str">
        <f t="shared" si="8"/>
        <v>(17280,17310),(17400,17430),(17520,17550),(17640,17670),(17760,17790),(17880,17910),(18000,18030),(18120,18150),(18240,18270),(18360,18390),(18480,18510),(18600,18630),(18720,18750),(18840,18870),(18960,18990),(19080,19110),(19200,19230),(19320,19350),</v>
      </c>
    </row>
    <row r="90" spans="1:7" x14ac:dyDescent="0.15">
      <c r="A90" s="9">
        <v>324</v>
      </c>
      <c r="B90" s="9">
        <f t="shared" si="12"/>
        <v>19440</v>
      </c>
      <c r="C90" s="9">
        <f t="shared" si="13"/>
        <v>12</v>
      </c>
      <c r="D90" s="9">
        <f t="shared" si="14"/>
        <v>14</v>
      </c>
      <c r="E90" s="9" t="s">
        <v>3552</v>
      </c>
      <c r="F90" s="9" t="str">
        <f t="shared" si="7"/>
        <v>(19440,19470),</v>
      </c>
      <c r="G90" s="9" t="str">
        <f t="shared" si="8"/>
        <v>(17280,17310),(17400,17430),(17520,17550),(17640,17670),(17760,17790),(17880,17910),(18000,18030),(18120,18150),(18240,18270),(18360,18390),(18480,18510),(18600,18630),(18720,18750),(18840,18870),(18960,18990),(19080,19110),(19200,19230),(19320,19350),(19440,19470),</v>
      </c>
    </row>
    <row r="91" spans="1:7" x14ac:dyDescent="0.15">
      <c r="A91" s="9">
        <v>326</v>
      </c>
      <c r="B91" s="9">
        <f t="shared" si="12"/>
        <v>19560</v>
      </c>
      <c r="C91" s="9">
        <f t="shared" si="13"/>
        <v>14</v>
      </c>
      <c r="D91" s="9">
        <f t="shared" si="14"/>
        <v>14</v>
      </c>
      <c r="E91" s="9" t="s">
        <v>3552</v>
      </c>
      <c r="F91" s="9" t="str">
        <f t="shared" si="7"/>
        <v>(19560,19590),</v>
      </c>
      <c r="G91" s="9" t="str">
        <f t="shared" si="8"/>
        <v>(17280,17310),(17400,17430),(17520,17550),(17640,17670),(17760,17790),(17880,17910),(18000,18030),(18120,18150),(18240,18270),(18360,18390),(18480,18510),(18600,18630),(18720,18750),(18840,18870),(18960,18990),(19080,19110),(19200,19230),(19320,19350),(19440,19470),(19560,19590),</v>
      </c>
    </row>
    <row r="92" spans="1:7" x14ac:dyDescent="0.15">
      <c r="A92" s="9">
        <v>328</v>
      </c>
      <c r="B92" s="9">
        <f t="shared" si="12"/>
        <v>19680</v>
      </c>
      <c r="C92" s="9">
        <f t="shared" si="13"/>
        <v>16</v>
      </c>
      <c r="D92" s="9">
        <f t="shared" si="14"/>
        <v>14</v>
      </c>
      <c r="E92" s="9" t="s">
        <v>3552</v>
      </c>
      <c r="F92" s="9" t="str">
        <f t="shared" si="7"/>
        <v>(19680,19710),</v>
      </c>
      <c r="G92" s="9" t="str">
        <f t="shared" si="8"/>
        <v>(17280,17310),(17400,17430),(17520,17550),(17640,17670),(17760,17790),(17880,17910),(18000,18030),(18120,18150),(18240,18270),(18360,18390),(18480,18510),(18600,18630),(18720,18750),(18840,18870),(18960,18990),(19080,19110),(19200,19230),(19320,19350),(19440,19470),(19560,19590),(19680,19710),</v>
      </c>
    </row>
    <row r="93" spans="1:7" x14ac:dyDescent="0.15">
      <c r="A93" s="9">
        <v>330</v>
      </c>
      <c r="B93" s="9">
        <f t="shared" si="12"/>
        <v>19800</v>
      </c>
      <c r="C93" s="9">
        <f t="shared" si="13"/>
        <v>18</v>
      </c>
      <c r="D93" s="9">
        <f t="shared" si="14"/>
        <v>14</v>
      </c>
      <c r="E93" s="9" t="s">
        <v>3552</v>
      </c>
      <c r="F93" s="9" t="str">
        <f t="shared" si="7"/>
        <v>(19800,19830),</v>
      </c>
      <c r="G93" s="9" t="str">
        <f t="shared" si="8"/>
        <v>(17280,17310),(17400,17430),(17520,17550),(17640,17670),(17760,17790),(17880,17910),(18000,18030),(18120,18150),(18240,18270),(18360,18390),(18480,18510),(18600,18630),(18720,18750),(18840,18870),(18960,18990),(19080,19110),(19200,19230),(19320,19350),(19440,19470),(19560,19590),(19680,19710),(19800,19830),</v>
      </c>
    </row>
    <row r="94" spans="1:7" x14ac:dyDescent="0.15">
      <c r="A94" s="9">
        <v>332</v>
      </c>
      <c r="B94" s="9">
        <f t="shared" si="12"/>
        <v>19920</v>
      </c>
      <c r="C94" s="9">
        <f t="shared" si="13"/>
        <v>20</v>
      </c>
      <c r="D94" s="9">
        <f t="shared" si="14"/>
        <v>14</v>
      </c>
      <c r="E94" s="9" t="s">
        <v>3552</v>
      </c>
      <c r="F94" s="9" t="str">
        <f t="shared" si="7"/>
        <v>(19920,19950),</v>
      </c>
      <c r="G94" s="9" t="str">
        <f t="shared" si="8"/>
        <v>(17280,17310),(17400,17430),(17520,17550),(17640,17670),(17760,17790),(17880,17910),(18000,18030),(18120,18150),(18240,18270),(18360,18390),(18480,18510),(18600,18630),(18720,18750),(18840,18870),(18960,18990),(19080,19110),(19200,19230),(19320,19350),(19440,19470),(19560,19590),(19680,19710),(19800,19830),(19920,19950),</v>
      </c>
    </row>
    <row r="95" spans="1:7" x14ac:dyDescent="0.15">
      <c r="A95" s="9">
        <v>334</v>
      </c>
      <c r="B95" s="9">
        <f t="shared" si="12"/>
        <v>20040</v>
      </c>
      <c r="C95" s="9">
        <f t="shared" si="13"/>
        <v>22</v>
      </c>
      <c r="D95" s="9">
        <f t="shared" si="14"/>
        <v>14</v>
      </c>
      <c r="E95" s="9" t="s">
        <v>3552</v>
      </c>
      <c r="F95" s="9" t="str">
        <f t="shared" si="7"/>
        <v>(20040,20070),</v>
      </c>
      <c r="G95" s="9" t="str">
        <f t="shared" si="8"/>
        <v>(17280,17310),(17400,17430),(17520,17550),(17640,17670),(17760,17790),(17880,17910),(18000,18030),(18120,18150),(18240,18270),(18360,18390),(18480,18510),(18600,18630),(18720,18750),(18840,18870),(18960,18990),(19080,19110),(19200,19230),(19320,19350),(19440,19470),(19560,19590),(19680,19710),(19800,19830),(19920,19950),(20040,20070),</v>
      </c>
    </row>
    <row r="96" spans="1:7" x14ac:dyDescent="0.15">
      <c r="A96" s="9"/>
      <c r="B96" s="9"/>
      <c r="C96" s="9"/>
      <c r="D96" s="9"/>
      <c r="E96" s="9"/>
      <c r="F96" s="9"/>
      <c r="G96" s="9" t="str">
        <f>"["&amp;LEFT(G95,LEN(G95)-1)&amp;"]"</f>
        <v>[(17280,17310),(17400,17430),(17520,17550),(17640,17670),(17760,17790),(17880,17910),(18000,18030),(18120,18150),(18240,18270),(18360,18390),(18480,18510),(18600,18630),(18720,18750),(18840,18870),(18960,18990),(19080,19110),(19200,19230),(19320,19350),(19440,19470),(19560,19590),(19680,19710),(19800,19830),(19920,19950),(20040,20070)]</v>
      </c>
    </row>
    <row r="98" spans="1:4" x14ac:dyDescent="0.15">
      <c r="A98" s="10">
        <v>20160</v>
      </c>
    </row>
    <row r="102" spans="1:4" x14ac:dyDescent="0.15">
      <c r="A102">
        <v>50</v>
      </c>
      <c r="B102">
        <f>A102*2</f>
        <v>100</v>
      </c>
      <c r="C102">
        <v>30</v>
      </c>
      <c r="D102" t="str">
        <f>"["&amp;B102&amp;","&amp;C102&amp;"]"</f>
        <v>[100,30]</v>
      </c>
    </row>
    <row r="103" spans="1:4" x14ac:dyDescent="0.15">
      <c r="A103">
        <v>55</v>
      </c>
      <c r="B103">
        <f t="shared" ref="B103:B111" si="15">A103*2</f>
        <v>110</v>
      </c>
      <c r="C103">
        <v>30</v>
      </c>
      <c r="D103" t="str">
        <f t="shared" ref="D103:D111" si="16">"["&amp;B103&amp;","&amp;C103&amp;"]"</f>
        <v>[110,30]</v>
      </c>
    </row>
    <row r="104" spans="1:4" x14ac:dyDescent="0.15">
      <c r="A104">
        <v>55</v>
      </c>
      <c r="B104">
        <f t="shared" si="15"/>
        <v>110</v>
      </c>
      <c r="C104">
        <v>30</v>
      </c>
      <c r="D104" t="str">
        <f t="shared" si="16"/>
        <v>[110,30]</v>
      </c>
    </row>
    <row r="105" spans="1:4" x14ac:dyDescent="0.15">
      <c r="A105">
        <v>60</v>
      </c>
      <c r="B105">
        <f t="shared" si="15"/>
        <v>120</v>
      </c>
      <c r="C105">
        <v>30</v>
      </c>
      <c r="D105" t="str">
        <f t="shared" si="16"/>
        <v>[120,30]</v>
      </c>
    </row>
    <row r="106" spans="1:4" x14ac:dyDescent="0.15">
      <c r="A106">
        <v>65</v>
      </c>
      <c r="B106">
        <f t="shared" si="15"/>
        <v>130</v>
      </c>
      <c r="C106">
        <v>30</v>
      </c>
      <c r="D106" t="str">
        <f t="shared" si="16"/>
        <v>[130,30]</v>
      </c>
    </row>
    <row r="107" spans="1:4" x14ac:dyDescent="0.15">
      <c r="A107">
        <v>70</v>
      </c>
      <c r="B107">
        <f t="shared" si="15"/>
        <v>140</v>
      </c>
      <c r="C107">
        <v>30</v>
      </c>
      <c r="D107" t="str">
        <f t="shared" si="16"/>
        <v>[140,30]</v>
      </c>
    </row>
    <row r="108" spans="1:4" x14ac:dyDescent="0.15">
      <c r="A108">
        <v>75</v>
      </c>
      <c r="B108">
        <f t="shared" si="15"/>
        <v>150</v>
      </c>
      <c r="C108">
        <v>30</v>
      </c>
      <c r="D108" t="str">
        <f t="shared" si="16"/>
        <v>[150,30]</v>
      </c>
    </row>
    <row r="109" spans="1:4" x14ac:dyDescent="0.15">
      <c r="A109">
        <v>80</v>
      </c>
      <c r="B109">
        <f t="shared" si="15"/>
        <v>160</v>
      </c>
      <c r="C109">
        <v>30</v>
      </c>
      <c r="D109" t="str">
        <f t="shared" si="16"/>
        <v>[160,30]</v>
      </c>
    </row>
    <row r="110" spans="1:4" x14ac:dyDescent="0.15">
      <c r="A110">
        <v>80</v>
      </c>
      <c r="B110">
        <f t="shared" si="15"/>
        <v>160</v>
      </c>
      <c r="C110">
        <v>30</v>
      </c>
      <c r="D110" t="str">
        <f t="shared" si="16"/>
        <v>[160,30]</v>
      </c>
    </row>
    <row r="111" spans="1:4" x14ac:dyDescent="0.15">
      <c r="A111">
        <v>80</v>
      </c>
      <c r="B111">
        <f t="shared" si="15"/>
        <v>160</v>
      </c>
      <c r="C111">
        <v>30</v>
      </c>
      <c r="D111" t="str">
        <f t="shared" si="16"/>
        <v>[160,30]</v>
      </c>
    </row>
    <row r="114" spans="1:11" ht="18.75" x14ac:dyDescent="0.25">
      <c r="A114" s="6" t="s">
        <v>3553</v>
      </c>
    </row>
    <row r="115" spans="1:11" x14ac:dyDescent="0.15">
      <c r="A115" s="11" t="s">
        <v>3554</v>
      </c>
      <c r="B115" s="11" t="s">
        <v>2968</v>
      </c>
      <c r="C115" s="11" t="s">
        <v>3555</v>
      </c>
      <c r="D115" s="11" t="s">
        <v>2969</v>
      </c>
      <c r="E115" s="11" t="s">
        <v>3556</v>
      </c>
      <c r="H115" s="12" t="s">
        <v>2993</v>
      </c>
      <c r="J115" s="11" t="s">
        <v>1800</v>
      </c>
      <c r="K115" s="11" t="s">
        <v>47</v>
      </c>
    </row>
    <row r="116" spans="1:11" x14ac:dyDescent="0.15">
      <c r="A116" s="7">
        <v>1</v>
      </c>
      <c r="B116" s="7" t="s">
        <v>275</v>
      </c>
      <c r="C116" s="7">
        <v>30</v>
      </c>
      <c r="D116" s="7"/>
      <c r="E116" s="7"/>
      <c r="F116" t="str">
        <f>IF(D116="","["&amp;VLOOKUP(B116,道具ID!L:M,2,FALSE)&amp;"]","["&amp;VLOOKUP(B116,道具ID!L:M,2,FALSE)&amp;","&amp;VLOOKUP(D116,道具ID!L:M,2,FALSE)&amp;"]")</f>
        <v>[102]</v>
      </c>
      <c r="G116" t="str">
        <f>IF(D116="","["&amp;C116&amp;"]","["&amp;C116&amp;","&amp;E116&amp;"]")</f>
        <v>[30]</v>
      </c>
      <c r="H116" s="7">
        <f t="shared" ref="H116:H127" si="17">VLOOKUP(B116,J:K,2,FALSE)*C116+IFERROR(VLOOKUP(D116,J:K,2,FALSE),0)*E116</f>
        <v>0.6</v>
      </c>
      <c r="J116" s="7" t="s">
        <v>275</v>
      </c>
      <c r="K116" s="7">
        <v>0.02</v>
      </c>
    </row>
    <row r="117" spans="1:11" x14ac:dyDescent="0.15">
      <c r="A117" s="7">
        <v>2</v>
      </c>
      <c r="B117" s="7" t="s">
        <v>2797</v>
      </c>
      <c r="C117" s="7">
        <v>1</v>
      </c>
      <c r="D117" s="7" t="s">
        <v>275</v>
      </c>
      <c r="E117" s="7">
        <v>50</v>
      </c>
      <c r="F117" t="str">
        <f>IF(D117="","["&amp;VLOOKUP(B117,道具ID!L:M,2,FALSE)&amp;"]","["&amp;VLOOKUP(B117,道具ID!L:M,2,FALSE)&amp;","&amp;VLOOKUP(D117,道具ID!L:M,2,FALSE)&amp;"]")</f>
        <v>[20019,102]</v>
      </c>
      <c r="G117" t="str">
        <f t="shared" ref="G117:G127" si="18">IF(D117="","["&amp;C117&amp;"]","["&amp;C117&amp;","&amp;E117&amp;"]")</f>
        <v>[1,50]</v>
      </c>
      <c r="H117" s="7">
        <f t="shared" si="17"/>
        <v>101</v>
      </c>
      <c r="J117" s="7" t="s">
        <v>2797</v>
      </c>
      <c r="K117" s="7">
        <v>100</v>
      </c>
    </row>
    <row r="118" spans="1:11" x14ac:dyDescent="0.15">
      <c r="A118" s="7">
        <v>3</v>
      </c>
      <c r="B118" s="7" t="s">
        <v>275</v>
      </c>
      <c r="C118" s="7">
        <v>60</v>
      </c>
      <c r="D118" s="7"/>
      <c r="E118" s="7"/>
      <c r="F118" t="str">
        <f>IF(D118="","["&amp;VLOOKUP(B118,道具ID!L:M,2,FALSE)&amp;"]","["&amp;VLOOKUP(B118,道具ID!L:M,2,FALSE)&amp;","&amp;VLOOKUP(D118,道具ID!L:M,2,FALSE)&amp;"]")</f>
        <v>[102]</v>
      </c>
      <c r="G118" t="str">
        <f t="shared" si="18"/>
        <v>[60]</v>
      </c>
      <c r="H118" s="7">
        <f t="shared" si="17"/>
        <v>1.2</v>
      </c>
      <c r="J118" s="13" t="s">
        <v>280</v>
      </c>
      <c r="K118" s="7">
        <v>1.25</v>
      </c>
    </row>
    <row r="119" spans="1:11" x14ac:dyDescent="0.15">
      <c r="A119" s="7">
        <v>4</v>
      </c>
      <c r="B119" s="7" t="s">
        <v>275</v>
      </c>
      <c r="C119" s="7">
        <v>150</v>
      </c>
      <c r="D119" s="7"/>
      <c r="E119" s="7"/>
      <c r="F119" t="str">
        <f>IF(D119="","["&amp;VLOOKUP(B119,道具ID!L:M,2,FALSE)&amp;"]","["&amp;VLOOKUP(B119,道具ID!L:M,2,FALSE)&amp;","&amp;VLOOKUP(D119,道具ID!L:M,2,FALSE)&amp;"]")</f>
        <v>[102]</v>
      </c>
      <c r="G119" t="str">
        <f t="shared" si="18"/>
        <v>[150]</v>
      </c>
      <c r="H119" s="7">
        <f t="shared" si="17"/>
        <v>3</v>
      </c>
    </row>
    <row r="120" spans="1:11" x14ac:dyDescent="0.15">
      <c r="A120" s="7">
        <v>5</v>
      </c>
      <c r="B120" s="7" t="s">
        <v>2797</v>
      </c>
      <c r="C120" s="7">
        <v>2</v>
      </c>
      <c r="D120" s="7" t="s">
        <v>275</v>
      </c>
      <c r="E120" s="7">
        <v>200</v>
      </c>
      <c r="F120" t="str">
        <f>IF(D120="","["&amp;VLOOKUP(B120,道具ID!L:M,2,FALSE)&amp;"]","["&amp;VLOOKUP(B120,道具ID!L:M,2,FALSE)&amp;","&amp;VLOOKUP(D120,道具ID!L:M,2,FALSE)&amp;"]")</f>
        <v>[20019,102]</v>
      </c>
      <c r="G120" t="str">
        <f t="shared" si="18"/>
        <v>[2,200]</v>
      </c>
      <c r="H120" s="7">
        <f t="shared" si="17"/>
        <v>204</v>
      </c>
    </row>
    <row r="121" spans="1:11" x14ac:dyDescent="0.15">
      <c r="A121" s="7">
        <v>6</v>
      </c>
      <c r="B121" s="7" t="s">
        <v>275</v>
      </c>
      <c r="C121" s="7">
        <v>300</v>
      </c>
      <c r="D121" s="7"/>
      <c r="E121" s="7"/>
      <c r="F121" t="str">
        <f>IF(D121="","["&amp;VLOOKUP(B121,道具ID!L:M,2,FALSE)&amp;"]","["&amp;VLOOKUP(B121,道具ID!L:M,2,FALSE)&amp;","&amp;VLOOKUP(D121,道具ID!L:M,2,FALSE)&amp;"]")</f>
        <v>[102]</v>
      </c>
      <c r="G121" t="str">
        <f t="shared" si="18"/>
        <v>[300]</v>
      </c>
      <c r="H121" s="7">
        <f t="shared" si="17"/>
        <v>6</v>
      </c>
    </row>
    <row r="122" spans="1:11" x14ac:dyDescent="0.15">
      <c r="A122" s="7">
        <v>7</v>
      </c>
      <c r="B122" s="7" t="s">
        <v>275</v>
      </c>
      <c r="C122" s="7">
        <v>500</v>
      </c>
      <c r="D122" s="7"/>
      <c r="E122" s="7"/>
      <c r="F122" t="str">
        <f>IF(D122="","["&amp;VLOOKUP(B122,道具ID!L:M,2,FALSE)&amp;"]","["&amp;VLOOKUP(B122,道具ID!L:M,2,FALSE)&amp;","&amp;VLOOKUP(D122,道具ID!L:M,2,FALSE)&amp;"]")</f>
        <v>[102]</v>
      </c>
      <c r="G122" t="str">
        <f t="shared" si="18"/>
        <v>[500]</v>
      </c>
      <c r="H122" s="7">
        <f t="shared" si="17"/>
        <v>10</v>
      </c>
    </row>
    <row r="123" spans="1:11" x14ac:dyDescent="0.15">
      <c r="A123" s="7">
        <v>8</v>
      </c>
      <c r="B123" s="7" t="s">
        <v>2797</v>
      </c>
      <c r="C123" s="7">
        <v>2</v>
      </c>
      <c r="D123" s="7"/>
      <c r="E123" s="7"/>
      <c r="F123" t="str">
        <f>IF(D123="","["&amp;VLOOKUP(B123,道具ID!L:M,2,FALSE)&amp;"]","["&amp;VLOOKUP(B123,道具ID!L:M,2,FALSE)&amp;","&amp;VLOOKUP(D123,道具ID!L:M,2,FALSE)&amp;"]")</f>
        <v>[20019]</v>
      </c>
      <c r="G123" t="str">
        <f t="shared" si="18"/>
        <v>[2]</v>
      </c>
      <c r="H123" s="7">
        <f t="shared" si="17"/>
        <v>200</v>
      </c>
    </row>
    <row r="124" spans="1:11" x14ac:dyDescent="0.15">
      <c r="A124" s="7">
        <v>9</v>
      </c>
      <c r="B124" s="7" t="s">
        <v>275</v>
      </c>
      <c r="C124" s="7">
        <v>800</v>
      </c>
      <c r="D124" s="7"/>
      <c r="E124" s="7"/>
      <c r="F124" t="str">
        <f>IF(D124="","["&amp;VLOOKUP(B124,道具ID!L:M,2,FALSE)&amp;"]","["&amp;VLOOKUP(B124,道具ID!L:M,2,FALSE)&amp;","&amp;VLOOKUP(D124,道具ID!L:M,2,FALSE)&amp;"]")</f>
        <v>[102]</v>
      </c>
      <c r="G124" t="str">
        <f t="shared" si="18"/>
        <v>[800]</v>
      </c>
      <c r="H124" s="7">
        <f t="shared" si="17"/>
        <v>16</v>
      </c>
    </row>
    <row r="125" spans="1:11" x14ac:dyDescent="0.15">
      <c r="A125" s="7">
        <v>10</v>
      </c>
      <c r="B125" s="7" t="s">
        <v>280</v>
      </c>
      <c r="C125" s="7">
        <v>50</v>
      </c>
      <c r="D125" s="7"/>
      <c r="E125" s="7"/>
      <c r="F125" t="str">
        <f>IF(D125="","["&amp;VLOOKUP(B125,道具ID!L:M,2,FALSE)&amp;"]","["&amp;VLOOKUP(B125,道具ID!L:M,2,FALSE)&amp;","&amp;VLOOKUP(D125,道具ID!L:M,2,FALSE)&amp;"]")</f>
        <v>[105]</v>
      </c>
      <c r="G125" t="str">
        <f t="shared" si="18"/>
        <v>[50]</v>
      </c>
      <c r="H125" s="7">
        <f t="shared" si="17"/>
        <v>62.5</v>
      </c>
    </row>
    <row r="126" spans="1:11" x14ac:dyDescent="0.15">
      <c r="A126" s="7">
        <v>11</v>
      </c>
      <c r="B126" s="7" t="s">
        <v>275</v>
      </c>
      <c r="C126" s="7">
        <v>1500</v>
      </c>
      <c r="D126" s="7"/>
      <c r="E126" s="7"/>
      <c r="F126" t="str">
        <f>IF(D126="","["&amp;VLOOKUP(B126,道具ID!L:M,2,FALSE)&amp;"]","["&amp;VLOOKUP(B126,道具ID!L:M,2,FALSE)&amp;","&amp;VLOOKUP(D126,道具ID!L:M,2,FALSE)&amp;"]")</f>
        <v>[102]</v>
      </c>
      <c r="G126" t="str">
        <f t="shared" si="18"/>
        <v>[1500]</v>
      </c>
      <c r="H126" s="7">
        <f t="shared" si="17"/>
        <v>30</v>
      </c>
    </row>
    <row r="127" spans="1:11" x14ac:dyDescent="0.15">
      <c r="A127" s="7">
        <v>12</v>
      </c>
      <c r="B127" s="7" t="s">
        <v>2797</v>
      </c>
      <c r="C127" s="7">
        <v>5</v>
      </c>
      <c r="D127" s="7" t="s">
        <v>275</v>
      </c>
      <c r="E127" s="7">
        <v>3000</v>
      </c>
      <c r="F127" t="str">
        <f>IF(D127="","["&amp;VLOOKUP(B127,道具ID!L:M,2,FALSE)&amp;"]","["&amp;VLOOKUP(B127,道具ID!L:M,2,FALSE)&amp;","&amp;VLOOKUP(D127,道具ID!L:M,2,FALSE)&amp;"]")</f>
        <v>[20019,102]</v>
      </c>
      <c r="G127" t="str">
        <f t="shared" si="18"/>
        <v>[5,3000]</v>
      </c>
      <c r="H127" s="7">
        <f t="shared" si="17"/>
        <v>560</v>
      </c>
    </row>
    <row r="128" spans="1:11" x14ac:dyDescent="0.15">
      <c r="H128">
        <f>SUM(H116:H127)</f>
        <v>1194.3</v>
      </c>
    </row>
    <row r="130" spans="1:2" x14ac:dyDescent="0.15">
      <c r="A130" s="7" t="s">
        <v>572</v>
      </c>
      <c r="B130" s="14">
        <v>0.6</v>
      </c>
    </row>
    <row r="131" spans="1:2" x14ac:dyDescent="0.15">
      <c r="A131" s="7" t="s">
        <v>3557</v>
      </c>
      <c r="B131" s="7">
        <f>3/(1-B130)*B130</f>
        <v>4.5</v>
      </c>
    </row>
    <row r="132" spans="1:2" x14ac:dyDescent="0.15">
      <c r="A132" s="7" t="s">
        <v>3558</v>
      </c>
      <c r="B132" s="7">
        <v>100</v>
      </c>
    </row>
    <row r="133" spans="1:2" x14ac:dyDescent="0.15">
      <c r="A133" s="7" t="s">
        <v>3559</v>
      </c>
      <c r="B133" s="7">
        <v>500</v>
      </c>
    </row>
    <row r="134" spans="1:2" x14ac:dyDescent="0.15">
      <c r="A134" s="7" t="s">
        <v>3560</v>
      </c>
      <c r="B134" s="7">
        <f>12/B131*B132</f>
        <v>266.66666666666663</v>
      </c>
    </row>
    <row r="135" spans="1:2" x14ac:dyDescent="0.15">
      <c r="A135" s="7" t="s">
        <v>3561</v>
      </c>
      <c r="B135" s="7">
        <f>(C117+C120+C123+C127)*0.25</f>
        <v>2.5</v>
      </c>
    </row>
    <row r="136" spans="1:2" x14ac:dyDescent="0.15">
      <c r="A136" s="7" t="s">
        <v>3562</v>
      </c>
      <c r="B136" s="7">
        <f>B134/B135</f>
        <v>106.66666666666666</v>
      </c>
    </row>
    <row r="137" spans="1:2" x14ac:dyDescent="0.15">
      <c r="A137" s="7" t="s">
        <v>3563</v>
      </c>
      <c r="B137" s="7">
        <f>18/B135*(B133+B134)</f>
        <v>5520</v>
      </c>
    </row>
    <row r="139" spans="1:2" x14ac:dyDescent="0.15">
      <c r="A139" s="7" t="s">
        <v>3564</v>
      </c>
      <c r="B139" s="7">
        <f>18/(2*(C117+C120)*0.25)</f>
        <v>12</v>
      </c>
    </row>
  </sheetData>
  <phoneticPr fontId="3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H92"/>
  <sheetViews>
    <sheetView workbookViewId="0">
      <selection activeCell="F70" sqref="F70"/>
    </sheetView>
  </sheetViews>
  <sheetFormatPr defaultColWidth="9" defaultRowHeight="14.25" x14ac:dyDescent="0.3"/>
  <cols>
    <col min="1" max="2" width="9" style="1"/>
    <col min="3" max="3" width="10" style="1" customWidth="1"/>
    <col min="4" max="4" width="17" style="1" customWidth="1"/>
    <col min="5" max="5" width="18.375" style="1" customWidth="1"/>
    <col min="6" max="20" width="9" style="1"/>
    <col min="21" max="21" width="13.375" style="1" customWidth="1"/>
    <col min="22" max="16384" width="9" style="1"/>
  </cols>
  <sheetData>
    <row r="3" spans="2:8" x14ac:dyDescent="0.3">
      <c r="B3" s="2" t="s">
        <v>3565</v>
      </c>
      <c r="C3" s="2" t="s">
        <v>166</v>
      </c>
      <c r="D3" s="2" t="s">
        <v>16</v>
      </c>
      <c r="E3" s="2" t="s">
        <v>3566</v>
      </c>
      <c r="G3" s="2" t="s">
        <v>90</v>
      </c>
      <c r="H3" s="2" t="s">
        <v>3567</v>
      </c>
    </row>
    <row r="4" spans="2:8" x14ac:dyDescent="0.3">
      <c r="B4" s="2">
        <v>1</v>
      </c>
      <c r="C4" s="3" t="s">
        <v>3568</v>
      </c>
      <c r="D4" s="3" t="s">
        <v>90</v>
      </c>
      <c r="E4" s="2" t="s">
        <v>3569</v>
      </c>
      <c r="G4" s="2" t="s">
        <v>101</v>
      </c>
      <c r="H4" s="3" t="s">
        <v>3570</v>
      </c>
    </row>
    <row r="5" spans="2:8" x14ac:dyDescent="0.3">
      <c r="B5" s="2">
        <v>2</v>
      </c>
      <c r="C5" s="3" t="s">
        <v>3571</v>
      </c>
      <c r="D5" s="3" t="s">
        <v>91</v>
      </c>
      <c r="E5" s="2"/>
      <c r="G5" s="2" t="s">
        <v>99</v>
      </c>
      <c r="H5" s="3" t="s">
        <v>3572</v>
      </c>
    </row>
    <row r="6" spans="2:8" x14ac:dyDescent="0.3">
      <c r="B6" s="2">
        <v>3</v>
      </c>
      <c r="C6" s="3" t="s">
        <v>3573</v>
      </c>
      <c r="D6" s="3" t="s">
        <v>3574</v>
      </c>
      <c r="E6" s="2" t="s">
        <v>3575</v>
      </c>
      <c r="G6" s="4" t="s">
        <v>199</v>
      </c>
      <c r="H6" s="5" t="s">
        <v>3576</v>
      </c>
    </row>
    <row r="7" spans="2:8" x14ac:dyDescent="0.3">
      <c r="B7" s="2">
        <v>4</v>
      </c>
      <c r="C7" s="3" t="s">
        <v>3577</v>
      </c>
      <c r="D7" s="3" t="s">
        <v>3578</v>
      </c>
      <c r="E7" s="2" t="s">
        <v>3579</v>
      </c>
      <c r="G7" s="2" t="s">
        <v>102</v>
      </c>
      <c r="H7" s="3" t="s">
        <v>3580</v>
      </c>
    </row>
    <row r="8" spans="2:8" x14ac:dyDescent="0.3">
      <c r="B8" s="2">
        <v>5</v>
      </c>
      <c r="C8" s="3" t="s">
        <v>3581</v>
      </c>
      <c r="D8" s="3" t="s">
        <v>3582</v>
      </c>
      <c r="E8" s="2"/>
      <c r="G8" s="4" t="s">
        <v>202</v>
      </c>
      <c r="H8" s="5" t="s">
        <v>3583</v>
      </c>
    </row>
    <row r="9" spans="2:8" x14ac:dyDescent="0.3">
      <c r="B9" s="2">
        <v>7</v>
      </c>
      <c r="C9" s="3" t="s">
        <v>3584</v>
      </c>
      <c r="D9" s="3" t="s">
        <v>3585</v>
      </c>
      <c r="E9" s="2" t="s">
        <v>3579</v>
      </c>
      <c r="G9" s="2" t="s">
        <v>103</v>
      </c>
      <c r="H9" s="3" t="s">
        <v>3586</v>
      </c>
    </row>
    <row r="10" spans="2:8" x14ac:dyDescent="0.3">
      <c r="B10" s="2">
        <v>8</v>
      </c>
      <c r="C10" s="3" t="s">
        <v>3587</v>
      </c>
      <c r="D10" s="3" t="s">
        <v>3588</v>
      </c>
      <c r="E10" s="2" t="s">
        <v>3589</v>
      </c>
    </row>
    <row r="11" spans="2:8" x14ac:dyDescent="0.3">
      <c r="B11" s="2">
        <v>9</v>
      </c>
      <c r="C11" s="3" t="s">
        <v>3590</v>
      </c>
      <c r="D11" s="3" t="s">
        <v>3591</v>
      </c>
      <c r="E11" s="2" t="s">
        <v>3592</v>
      </c>
    </row>
    <row r="12" spans="2:8" x14ac:dyDescent="0.3">
      <c r="B12" s="2">
        <v>10</v>
      </c>
      <c r="C12" s="3" t="s">
        <v>3593</v>
      </c>
      <c r="D12" s="3" t="s">
        <v>3594</v>
      </c>
      <c r="E12" s="2" t="s">
        <v>3589</v>
      </c>
    </row>
    <row r="13" spans="2:8" x14ac:dyDescent="0.3">
      <c r="B13" s="2">
        <v>11</v>
      </c>
      <c r="C13" s="3" t="s">
        <v>3595</v>
      </c>
      <c r="D13" s="3" t="s">
        <v>3596</v>
      </c>
      <c r="E13" s="2" t="s">
        <v>3597</v>
      </c>
    </row>
    <row r="14" spans="2:8" x14ac:dyDescent="0.3">
      <c r="B14" s="2">
        <v>12</v>
      </c>
      <c r="C14" s="3" t="s">
        <v>3598</v>
      </c>
      <c r="D14" s="3" t="s">
        <v>3599</v>
      </c>
      <c r="E14" s="2" t="s">
        <v>3589</v>
      </c>
    </row>
    <row r="15" spans="2:8" x14ac:dyDescent="0.3">
      <c r="B15" s="2">
        <v>13</v>
      </c>
      <c r="C15" s="3" t="s">
        <v>3600</v>
      </c>
      <c r="D15" s="3" t="s">
        <v>3601</v>
      </c>
      <c r="E15" s="2"/>
    </row>
    <row r="16" spans="2:8" x14ac:dyDescent="0.3">
      <c r="B16" s="2">
        <v>14</v>
      </c>
      <c r="C16" s="3" t="s">
        <v>3602</v>
      </c>
      <c r="D16" s="3" t="s">
        <v>3603</v>
      </c>
      <c r="E16" s="2" t="s">
        <v>3589</v>
      </c>
    </row>
    <row r="17" spans="2:5" x14ac:dyDescent="0.3">
      <c r="B17" s="2">
        <v>15</v>
      </c>
      <c r="C17" s="3" t="s">
        <v>3604</v>
      </c>
      <c r="D17" s="3" t="s">
        <v>3605</v>
      </c>
      <c r="E17" s="2" t="s">
        <v>3589</v>
      </c>
    </row>
    <row r="18" spans="2:5" x14ac:dyDescent="0.3">
      <c r="B18" s="2">
        <v>16</v>
      </c>
      <c r="C18" s="3" t="s">
        <v>3606</v>
      </c>
      <c r="D18" s="3" t="s">
        <v>3607</v>
      </c>
      <c r="E18" s="2" t="s">
        <v>3597</v>
      </c>
    </row>
    <row r="19" spans="2:5" x14ac:dyDescent="0.3">
      <c r="B19" s="2">
        <v>17</v>
      </c>
      <c r="C19" s="3" t="s">
        <v>3608</v>
      </c>
      <c r="D19" s="3" t="s">
        <v>3609</v>
      </c>
      <c r="E19" s="2" t="s">
        <v>3597</v>
      </c>
    </row>
    <row r="20" spans="2:5" x14ac:dyDescent="0.3">
      <c r="B20" s="2">
        <v>18</v>
      </c>
      <c r="C20" s="3" t="s">
        <v>3610</v>
      </c>
      <c r="D20" s="3" t="s">
        <v>3611</v>
      </c>
      <c r="E20" s="2" t="s">
        <v>3597</v>
      </c>
    </row>
    <row r="21" spans="2:5" x14ac:dyDescent="0.3">
      <c r="B21" s="2">
        <v>19</v>
      </c>
      <c r="C21" s="3" t="s">
        <v>3612</v>
      </c>
      <c r="D21" s="3" t="s">
        <v>3613</v>
      </c>
      <c r="E21" s="2"/>
    </row>
    <row r="22" spans="2:5" x14ac:dyDescent="0.3">
      <c r="B22" s="2">
        <v>20</v>
      </c>
      <c r="C22" s="3" t="s">
        <v>3614</v>
      </c>
      <c r="D22" s="3" t="s">
        <v>3615</v>
      </c>
      <c r="E22" s="2"/>
    </row>
    <row r="23" spans="2:5" x14ac:dyDescent="0.3">
      <c r="B23" s="2">
        <v>21</v>
      </c>
      <c r="C23" s="3" t="s">
        <v>3616</v>
      </c>
      <c r="D23" s="3" t="s">
        <v>3617</v>
      </c>
      <c r="E23" s="2"/>
    </row>
    <row r="24" spans="2:5" x14ac:dyDescent="0.3">
      <c r="B24" s="2">
        <v>22</v>
      </c>
      <c r="C24" s="3" t="s">
        <v>3618</v>
      </c>
      <c r="D24" s="3" t="s">
        <v>3619</v>
      </c>
      <c r="E24" s="2" t="s">
        <v>3620</v>
      </c>
    </row>
    <row r="25" spans="2:5" x14ac:dyDescent="0.3">
      <c r="B25" s="2">
        <v>23</v>
      </c>
      <c r="C25" s="3" t="s">
        <v>3621</v>
      </c>
      <c r="D25" s="3" t="s">
        <v>777</v>
      </c>
      <c r="E25" s="2"/>
    </row>
    <row r="26" spans="2:5" x14ac:dyDescent="0.3">
      <c r="B26" s="2">
        <v>27</v>
      </c>
      <c r="C26" s="3" t="s">
        <v>3622</v>
      </c>
      <c r="D26" s="3" t="s">
        <v>3623</v>
      </c>
      <c r="E26" s="2" t="s">
        <v>3589</v>
      </c>
    </row>
    <row r="27" spans="2:5" x14ac:dyDescent="0.3">
      <c r="B27" s="2">
        <v>28</v>
      </c>
      <c r="C27" s="3" t="s">
        <v>3624</v>
      </c>
      <c r="D27" s="3" t="s">
        <v>3625</v>
      </c>
      <c r="E27" s="2" t="s">
        <v>3589</v>
      </c>
    </row>
    <row r="28" spans="2:5" x14ac:dyDescent="0.3">
      <c r="B28" s="2">
        <v>29</v>
      </c>
      <c r="C28" s="3" t="s">
        <v>3626</v>
      </c>
      <c r="D28" s="3" t="s">
        <v>1136</v>
      </c>
      <c r="E28" s="2" t="s">
        <v>3597</v>
      </c>
    </row>
    <row r="29" spans="2:5" x14ac:dyDescent="0.3">
      <c r="B29" s="2">
        <v>30</v>
      </c>
      <c r="C29" s="3" t="s">
        <v>3627</v>
      </c>
      <c r="D29" s="3" t="s">
        <v>1137</v>
      </c>
      <c r="E29" s="2" t="s">
        <v>3597</v>
      </c>
    </row>
    <row r="30" spans="2:5" x14ac:dyDescent="0.3">
      <c r="B30" s="2">
        <v>31</v>
      </c>
      <c r="C30" s="3" t="s">
        <v>3628</v>
      </c>
      <c r="D30" s="3" t="s">
        <v>3629</v>
      </c>
      <c r="E30" s="2"/>
    </row>
    <row r="31" spans="2:5" x14ac:dyDescent="0.3">
      <c r="B31" s="2">
        <v>32</v>
      </c>
      <c r="C31" s="3" t="s">
        <v>3630</v>
      </c>
      <c r="D31" s="3" t="s">
        <v>3631</v>
      </c>
      <c r="E31" s="2"/>
    </row>
    <row r="32" spans="2:5" x14ac:dyDescent="0.3">
      <c r="B32" s="2">
        <v>33</v>
      </c>
      <c r="C32" s="3" t="s">
        <v>3632</v>
      </c>
      <c r="D32" s="3" t="s">
        <v>3633</v>
      </c>
      <c r="E32" s="2" t="s">
        <v>3589</v>
      </c>
    </row>
    <row r="33" spans="2:5" x14ac:dyDescent="0.3">
      <c r="B33" s="2">
        <v>34</v>
      </c>
      <c r="C33" s="3" t="s">
        <v>3634</v>
      </c>
      <c r="D33" s="3" t="s">
        <v>3635</v>
      </c>
      <c r="E33" s="2" t="s">
        <v>3597</v>
      </c>
    </row>
    <row r="34" spans="2:5" x14ac:dyDescent="0.3">
      <c r="B34" s="2">
        <v>35</v>
      </c>
      <c r="C34" s="3" t="s">
        <v>3636</v>
      </c>
      <c r="D34" s="3" t="s">
        <v>3637</v>
      </c>
      <c r="E34" s="2" t="s">
        <v>3597</v>
      </c>
    </row>
    <row r="35" spans="2:5" x14ac:dyDescent="0.3">
      <c r="B35" s="2">
        <v>36</v>
      </c>
      <c r="C35" s="3" t="s">
        <v>3638</v>
      </c>
      <c r="D35" s="3" t="s">
        <v>3639</v>
      </c>
      <c r="E35" s="2" t="s">
        <v>3597</v>
      </c>
    </row>
    <row r="36" spans="2:5" x14ac:dyDescent="0.3">
      <c r="B36" s="2">
        <v>37</v>
      </c>
      <c r="C36" s="3" t="s">
        <v>3640</v>
      </c>
      <c r="D36" s="3" t="s">
        <v>3641</v>
      </c>
      <c r="E36" s="2" t="s">
        <v>3597</v>
      </c>
    </row>
    <row r="37" spans="2:5" x14ac:dyDescent="0.3">
      <c r="B37" s="2">
        <v>38</v>
      </c>
      <c r="C37" s="3" t="s">
        <v>3642</v>
      </c>
      <c r="D37" s="3" t="s">
        <v>3643</v>
      </c>
      <c r="E37" s="2"/>
    </row>
    <row r="38" spans="2:5" x14ac:dyDescent="0.3">
      <c r="B38" s="2">
        <v>39</v>
      </c>
      <c r="C38" s="3" t="s">
        <v>3644</v>
      </c>
      <c r="D38" s="3" t="s">
        <v>3645</v>
      </c>
      <c r="E38" s="2"/>
    </row>
    <row r="39" spans="2:5" x14ac:dyDescent="0.3">
      <c r="B39" s="2">
        <v>40</v>
      </c>
      <c r="C39" s="3" t="s">
        <v>3646</v>
      </c>
      <c r="D39" s="3" t="s">
        <v>3647</v>
      </c>
      <c r="E39" s="2"/>
    </row>
    <row r="40" spans="2:5" x14ac:dyDescent="0.3">
      <c r="B40" s="2">
        <v>41</v>
      </c>
      <c r="C40" s="3" t="s">
        <v>3648</v>
      </c>
      <c r="D40" s="3" t="s">
        <v>3649</v>
      </c>
      <c r="E40" s="2"/>
    </row>
    <row r="41" spans="2:5" x14ac:dyDescent="0.3">
      <c r="B41" s="2">
        <v>42</v>
      </c>
      <c r="C41" s="3" t="s">
        <v>3650</v>
      </c>
      <c r="D41" s="3" t="s">
        <v>183</v>
      </c>
      <c r="E41" s="2"/>
    </row>
    <row r="42" spans="2:5" x14ac:dyDescent="0.3">
      <c r="B42" s="2">
        <v>44</v>
      </c>
      <c r="C42" s="3" t="s">
        <v>3651</v>
      </c>
      <c r="D42" s="3" t="s">
        <v>3652</v>
      </c>
      <c r="E42" s="2"/>
    </row>
    <row r="43" spans="2:5" x14ac:dyDescent="0.3">
      <c r="B43" s="2">
        <v>45</v>
      </c>
      <c r="C43" s="3" t="s">
        <v>3653</v>
      </c>
      <c r="D43" s="3" t="s">
        <v>3654</v>
      </c>
      <c r="E43" s="2"/>
    </row>
    <row r="44" spans="2:5" x14ac:dyDescent="0.3">
      <c r="B44" s="2">
        <v>46</v>
      </c>
      <c r="C44" s="3" t="s">
        <v>3655</v>
      </c>
      <c r="D44" s="3" t="s">
        <v>3656</v>
      </c>
      <c r="E44" s="2"/>
    </row>
    <row r="45" spans="2:5" x14ac:dyDescent="0.3">
      <c r="B45" s="2">
        <v>48</v>
      </c>
      <c r="C45" s="3" t="s">
        <v>3657</v>
      </c>
      <c r="D45" s="3" t="s">
        <v>3658</v>
      </c>
      <c r="E45" s="2" t="s">
        <v>3620</v>
      </c>
    </row>
    <row r="46" spans="2:5" x14ac:dyDescent="0.3">
      <c r="B46" s="2">
        <v>49</v>
      </c>
      <c r="C46" s="3" t="s">
        <v>3659</v>
      </c>
      <c r="D46" s="3" t="s">
        <v>3660</v>
      </c>
      <c r="E46" s="2" t="s">
        <v>3597</v>
      </c>
    </row>
    <row r="47" spans="2:5" x14ac:dyDescent="0.3">
      <c r="B47" s="2">
        <v>50</v>
      </c>
      <c r="C47" s="3" t="s">
        <v>3661</v>
      </c>
      <c r="D47" s="3" t="s">
        <v>3662</v>
      </c>
      <c r="E47" s="2" t="s">
        <v>3597</v>
      </c>
    </row>
    <row r="48" spans="2:5" x14ac:dyDescent="0.3">
      <c r="B48" s="2">
        <v>51</v>
      </c>
      <c r="C48" s="3" t="s">
        <v>3663</v>
      </c>
      <c r="D48" s="3" t="s">
        <v>3664</v>
      </c>
      <c r="E48" s="2"/>
    </row>
    <row r="49" spans="2:5" x14ac:dyDescent="0.3">
      <c r="B49" s="2">
        <v>52</v>
      </c>
      <c r="C49" s="3" t="s">
        <v>3665</v>
      </c>
      <c r="D49" s="3" t="s">
        <v>3666</v>
      </c>
      <c r="E49" s="2"/>
    </row>
    <row r="50" spans="2:5" x14ac:dyDescent="0.3">
      <c r="B50" s="2">
        <v>53</v>
      </c>
      <c r="C50" s="3" t="s">
        <v>3667</v>
      </c>
      <c r="D50" s="3" t="s">
        <v>3668</v>
      </c>
      <c r="E50" s="2" t="s">
        <v>3620</v>
      </c>
    </row>
    <row r="51" spans="2:5" x14ac:dyDescent="0.3">
      <c r="B51" s="2">
        <v>54</v>
      </c>
      <c r="C51" s="3" t="s">
        <v>3669</v>
      </c>
      <c r="D51" s="3" t="s">
        <v>3670</v>
      </c>
      <c r="E51" s="2" t="s">
        <v>3620</v>
      </c>
    </row>
    <row r="52" spans="2:5" x14ac:dyDescent="0.3">
      <c r="B52" s="2">
        <v>55</v>
      </c>
      <c r="C52" s="3" t="s">
        <v>3671</v>
      </c>
      <c r="D52" s="3" t="s">
        <v>3672</v>
      </c>
      <c r="E52" s="2" t="s">
        <v>3620</v>
      </c>
    </row>
    <row r="53" spans="2:5" x14ac:dyDescent="0.3">
      <c r="B53" s="2">
        <v>57</v>
      </c>
      <c r="C53" s="3" t="s">
        <v>3673</v>
      </c>
      <c r="D53" s="3" t="s">
        <v>3674</v>
      </c>
      <c r="E53" s="2"/>
    </row>
    <row r="54" spans="2:5" x14ac:dyDescent="0.3">
      <c r="B54" s="2">
        <v>58</v>
      </c>
      <c r="C54" s="3" t="s">
        <v>3675</v>
      </c>
      <c r="D54" s="3" t="s">
        <v>3676</v>
      </c>
      <c r="E54" s="2"/>
    </row>
    <row r="55" spans="2:5" x14ac:dyDescent="0.3">
      <c r="B55" s="2">
        <v>62</v>
      </c>
      <c r="C55" s="3" t="s">
        <v>3677</v>
      </c>
      <c r="D55" s="3" t="s">
        <v>3678</v>
      </c>
      <c r="E55" s="2"/>
    </row>
    <row r="56" spans="2:5" x14ac:dyDescent="0.3">
      <c r="B56" s="2">
        <v>68</v>
      </c>
      <c r="C56" s="3" t="s">
        <v>3679</v>
      </c>
      <c r="D56" s="3" t="s">
        <v>3680</v>
      </c>
      <c r="E56" s="2"/>
    </row>
    <row r="57" spans="2:5" x14ac:dyDescent="0.3">
      <c r="B57" s="2">
        <v>69</v>
      </c>
      <c r="C57" s="3" t="s">
        <v>3681</v>
      </c>
      <c r="D57" s="3" t="s">
        <v>3682</v>
      </c>
      <c r="E57" s="2"/>
    </row>
    <row r="58" spans="2:5" x14ac:dyDescent="0.3">
      <c r="B58" s="2">
        <v>70</v>
      </c>
      <c r="C58" s="3" t="s">
        <v>3683</v>
      </c>
      <c r="D58" s="3" t="s">
        <v>3684</v>
      </c>
      <c r="E58" s="2"/>
    </row>
    <row r="59" spans="2:5" x14ac:dyDescent="0.3">
      <c r="B59" s="2">
        <v>71</v>
      </c>
      <c r="C59" s="3" t="s">
        <v>3685</v>
      </c>
      <c r="D59" s="3" t="s">
        <v>3686</v>
      </c>
      <c r="E59" s="2" t="s">
        <v>3597</v>
      </c>
    </row>
    <row r="60" spans="2:5" x14ac:dyDescent="0.3">
      <c r="B60" s="2">
        <v>72</v>
      </c>
      <c r="C60" s="3" t="s">
        <v>3687</v>
      </c>
      <c r="D60" s="3" t="s">
        <v>3688</v>
      </c>
      <c r="E60" s="2" t="s">
        <v>3597</v>
      </c>
    </row>
    <row r="61" spans="2:5" x14ac:dyDescent="0.3">
      <c r="B61" s="2">
        <v>73</v>
      </c>
      <c r="C61" s="3" t="s">
        <v>3689</v>
      </c>
      <c r="D61" s="3" t="s">
        <v>3690</v>
      </c>
      <c r="E61" s="2"/>
    </row>
    <row r="62" spans="2:5" x14ac:dyDescent="0.3">
      <c r="B62" s="2">
        <v>74</v>
      </c>
      <c r="C62" s="3" t="s">
        <v>3691</v>
      </c>
      <c r="D62" s="3" t="s">
        <v>3692</v>
      </c>
      <c r="E62" s="2"/>
    </row>
    <row r="63" spans="2:5" x14ac:dyDescent="0.3">
      <c r="B63" s="2">
        <v>75</v>
      </c>
      <c r="C63" s="3" t="s">
        <v>3693</v>
      </c>
      <c r="D63" s="3" t="s">
        <v>3694</v>
      </c>
      <c r="E63" s="2" t="s">
        <v>3620</v>
      </c>
    </row>
    <row r="64" spans="2:5" x14ac:dyDescent="0.3">
      <c r="B64" s="2">
        <v>76</v>
      </c>
      <c r="C64" s="3" t="s">
        <v>3695</v>
      </c>
      <c r="D64" s="3" t="s">
        <v>3696</v>
      </c>
      <c r="E64" s="2" t="s">
        <v>3620</v>
      </c>
    </row>
    <row r="65" spans="2:5" x14ac:dyDescent="0.3">
      <c r="B65" s="2">
        <v>77</v>
      </c>
      <c r="C65" s="3" t="s">
        <v>3697</v>
      </c>
      <c r="D65" s="3" t="s">
        <v>3698</v>
      </c>
      <c r="E65" s="2"/>
    </row>
    <row r="66" spans="2:5" x14ac:dyDescent="0.3">
      <c r="B66" s="2">
        <v>78</v>
      </c>
      <c r="C66" s="3" t="s">
        <v>3699</v>
      </c>
      <c r="D66" s="3" t="s">
        <v>3694</v>
      </c>
      <c r="E66" s="2" t="s">
        <v>3620</v>
      </c>
    </row>
    <row r="67" spans="2:5" x14ac:dyDescent="0.3">
      <c r="B67" s="2">
        <v>79</v>
      </c>
      <c r="C67" s="3" t="s">
        <v>3700</v>
      </c>
      <c r="D67" s="3" t="s">
        <v>3696</v>
      </c>
      <c r="E67" s="2" t="s">
        <v>3620</v>
      </c>
    </row>
    <row r="68" spans="2:5" x14ac:dyDescent="0.3">
      <c r="B68" s="2">
        <v>80</v>
      </c>
      <c r="C68" s="3" t="s">
        <v>3701</v>
      </c>
      <c r="D68" s="3" t="s">
        <v>3702</v>
      </c>
      <c r="E68" s="2">
        <v>0</v>
      </c>
    </row>
    <row r="69" spans="2:5" x14ac:dyDescent="0.3">
      <c r="B69" s="2">
        <v>81</v>
      </c>
      <c r="C69" s="3" t="s">
        <v>3703</v>
      </c>
      <c r="D69" s="3" t="s">
        <v>3694</v>
      </c>
      <c r="E69" s="2">
        <v>0</v>
      </c>
    </row>
    <row r="70" spans="2:5" x14ac:dyDescent="0.3">
      <c r="B70" s="2">
        <v>82</v>
      </c>
      <c r="C70" s="3" t="s">
        <v>3704</v>
      </c>
      <c r="D70" s="3" t="s">
        <v>3696</v>
      </c>
      <c r="E70" s="2">
        <v>0</v>
      </c>
    </row>
    <row r="71" spans="2:5" x14ac:dyDescent="0.3">
      <c r="B71" s="2">
        <v>83</v>
      </c>
      <c r="C71" s="3" t="s">
        <v>3705</v>
      </c>
      <c r="D71" s="3" t="s">
        <v>3706</v>
      </c>
      <c r="E71" s="2"/>
    </row>
    <row r="72" spans="2:5" x14ac:dyDescent="0.3">
      <c r="B72" s="2">
        <v>84</v>
      </c>
      <c r="C72" s="3" t="s">
        <v>3707</v>
      </c>
      <c r="D72" s="3" t="s">
        <v>3694</v>
      </c>
      <c r="E72" s="2" t="s">
        <v>3620</v>
      </c>
    </row>
    <row r="73" spans="2:5" x14ac:dyDescent="0.3">
      <c r="B73" s="2">
        <v>85</v>
      </c>
      <c r="C73" s="3" t="s">
        <v>3708</v>
      </c>
      <c r="D73" s="3" t="s">
        <v>3696</v>
      </c>
      <c r="E73" s="2" t="s">
        <v>3620</v>
      </c>
    </row>
    <row r="74" spans="2:5" x14ac:dyDescent="0.3">
      <c r="B74" s="2">
        <v>86</v>
      </c>
      <c r="C74" s="3" t="s">
        <v>3709</v>
      </c>
      <c r="D74" s="3" t="s">
        <v>3710</v>
      </c>
      <c r="E74" s="2"/>
    </row>
    <row r="75" spans="2:5" x14ac:dyDescent="0.3">
      <c r="B75" s="2">
        <v>87</v>
      </c>
      <c r="C75" s="3" t="s">
        <v>3711</v>
      </c>
      <c r="D75" s="3" t="s">
        <v>3712</v>
      </c>
      <c r="E75" s="2"/>
    </row>
    <row r="76" spans="2:5" x14ac:dyDescent="0.3">
      <c r="B76" s="2">
        <v>88</v>
      </c>
      <c r="C76" s="3" t="s">
        <v>3713</v>
      </c>
      <c r="D76" s="3" t="s">
        <v>916</v>
      </c>
      <c r="E76" s="2" t="s">
        <v>3597</v>
      </c>
    </row>
    <row r="77" spans="2:5" x14ac:dyDescent="0.3">
      <c r="B77" s="2">
        <v>89</v>
      </c>
      <c r="C77" s="3" t="s">
        <v>3714</v>
      </c>
      <c r="D77" s="3" t="s">
        <v>3715</v>
      </c>
      <c r="E77" s="2" t="s">
        <v>3597</v>
      </c>
    </row>
    <row r="78" spans="2:5" x14ac:dyDescent="0.3">
      <c r="B78" s="2">
        <v>90</v>
      </c>
      <c r="C78" s="3" t="s">
        <v>3716</v>
      </c>
      <c r="D78" s="3" t="s">
        <v>3717</v>
      </c>
      <c r="E78" s="2" t="s">
        <v>3597</v>
      </c>
    </row>
    <row r="79" spans="2:5" x14ac:dyDescent="0.3">
      <c r="B79" s="2">
        <v>91</v>
      </c>
      <c r="C79" s="3" t="s">
        <v>3718</v>
      </c>
      <c r="D79" s="3" t="s">
        <v>3719</v>
      </c>
      <c r="E79" s="2" t="s">
        <v>3597</v>
      </c>
    </row>
    <row r="80" spans="2:5" x14ac:dyDescent="0.3">
      <c r="B80" s="2">
        <v>92</v>
      </c>
      <c r="C80" s="3" t="s">
        <v>3720</v>
      </c>
      <c r="D80" s="3" t="s">
        <v>3721</v>
      </c>
      <c r="E80" s="2" t="s">
        <v>3597</v>
      </c>
    </row>
    <row r="81" spans="2:5" x14ac:dyDescent="0.3">
      <c r="B81" s="2">
        <v>93</v>
      </c>
      <c r="C81" s="2" t="s">
        <v>3722</v>
      </c>
      <c r="D81" s="3" t="s">
        <v>3723</v>
      </c>
      <c r="E81" s="2" t="s">
        <v>3597</v>
      </c>
    </row>
    <row r="82" spans="2:5" x14ac:dyDescent="0.3">
      <c r="B82" s="2">
        <v>94</v>
      </c>
      <c r="C82" s="2" t="s">
        <v>3724</v>
      </c>
      <c r="D82" s="3" t="s">
        <v>3725</v>
      </c>
      <c r="E82" s="2" t="s">
        <v>3597</v>
      </c>
    </row>
    <row r="83" spans="2:5" x14ac:dyDescent="0.3">
      <c r="B83" s="2">
        <v>95</v>
      </c>
      <c r="C83" s="2" t="s">
        <v>3726</v>
      </c>
      <c r="D83" s="3" t="s">
        <v>3727</v>
      </c>
      <c r="E83" s="2" t="s">
        <v>3597</v>
      </c>
    </row>
    <row r="84" spans="2:5" x14ac:dyDescent="0.3">
      <c r="B84" s="2">
        <v>96</v>
      </c>
      <c r="C84" s="2" t="s">
        <v>3728</v>
      </c>
      <c r="D84" s="3" t="s">
        <v>3729</v>
      </c>
      <c r="E84" s="2" t="s">
        <v>3597</v>
      </c>
    </row>
    <row r="85" spans="2:5" x14ac:dyDescent="0.3">
      <c r="B85" s="2">
        <v>97</v>
      </c>
      <c r="C85" s="2" t="s">
        <v>3730</v>
      </c>
      <c r="D85" s="3" t="s">
        <v>3731</v>
      </c>
      <c r="E85" s="2" t="s">
        <v>3597</v>
      </c>
    </row>
    <row r="86" spans="2:5" x14ac:dyDescent="0.3">
      <c r="B86" s="2">
        <v>98</v>
      </c>
      <c r="C86" s="2" t="s">
        <v>3732</v>
      </c>
      <c r="D86" s="3" t="s">
        <v>3733</v>
      </c>
      <c r="E86" s="2" t="s">
        <v>3597</v>
      </c>
    </row>
    <row r="87" spans="2:5" x14ac:dyDescent="0.3">
      <c r="B87" s="2">
        <v>99</v>
      </c>
      <c r="C87" s="2" t="s">
        <v>3734</v>
      </c>
      <c r="D87" s="3" t="s">
        <v>181</v>
      </c>
      <c r="E87" s="2"/>
    </row>
    <row r="88" spans="2:5" x14ac:dyDescent="0.3">
      <c r="B88" s="2">
        <v>100</v>
      </c>
      <c r="C88" s="2" t="s">
        <v>3735</v>
      </c>
      <c r="D88" s="3" t="s">
        <v>1218</v>
      </c>
      <c r="E88" s="2"/>
    </row>
    <row r="89" spans="2:5" x14ac:dyDescent="0.3">
      <c r="B89" s="2">
        <v>101</v>
      </c>
      <c r="C89" s="2" t="s">
        <v>3736</v>
      </c>
      <c r="D89" s="3" t="s">
        <v>1219</v>
      </c>
      <c r="E89" s="2"/>
    </row>
    <row r="90" spans="2:5" x14ac:dyDescent="0.3">
      <c r="B90" s="2">
        <v>102</v>
      </c>
      <c r="C90" s="2" t="s">
        <v>3737</v>
      </c>
      <c r="D90" s="3" t="s">
        <v>1220</v>
      </c>
      <c r="E90" s="2"/>
    </row>
    <row r="91" spans="2:5" x14ac:dyDescent="0.3">
      <c r="B91" s="2">
        <v>103</v>
      </c>
      <c r="C91" s="2" t="s">
        <v>3738</v>
      </c>
      <c r="D91" s="3" t="s">
        <v>3739</v>
      </c>
      <c r="E91" s="2"/>
    </row>
    <row r="92" spans="2:5" x14ac:dyDescent="0.3">
      <c r="B92" s="2">
        <v>104</v>
      </c>
      <c r="C92" s="2" t="s">
        <v>3740</v>
      </c>
      <c r="D92" s="3" t="s">
        <v>3741</v>
      </c>
      <c r="E92" s="2" t="s">
        <v>3597</v>
      </c>
    </row>
  </sheetData>
  <phoneticPr fontId="34" type="noConversion"/>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38</vt:i4>
      </vt:variant>
      <vt:variant>
        <vt:lpstr>命名范围</vt:lpstr>
      </vt:variant>
      <vt:variant>
        <vt:i4>41</vt:i4>
      </vt:variant>
    </vt:vector>
  </HeadingPairs>
  <TitlesOfParts>
    <vt:vector size="79" baseType="lpstr">
      <vt:lpstr>说明</vt:lpstr>
      <vt:lpstr>标准坦克设计</vt:lpstr>
      <vt:lpstr>基础属性系数</vt:lpstr>
      <vt:lpstr>基础经济系数</vt:lpstr>
      <vt:lpstr>游戏时长规划</vt:lpstr>
      <vt:lpstr>坦克总规划表</vt:lpstr>
      <vt:lpstr>游戏付费深度</vt:lpstr>
      <vt:lpstr>碎片&amp;军费投放规划</vt:lpstr>
      <vt:lpstr>坦克升星消耗</vt:lpstr>
      <vt:lpstr>坦克等级成长</vt:lpstr>
      <vt:lpstr>类型坦克成长数据</vt:lpstr>
      <vt:lpstr>战斗时间模拟</vt:lpstr>
      <vt:lpstr>坦克标准养成属性</vt:lpstr>
      <vt:lpstr>坦克类型系数</vt:lpstr>
      <vt:lpstr>图鉴</vt:lpstr>
      <vt:lpstr>坦克个性化设定</vt:lpstr>
      <vt:lpstr>坦克个性化细分</vt:lpstr>
      <vt:lpstr>坦克属性统计</vt:lpstr>
      <vt:lpstr>坦克属性对比</vt:lpstr>
      <vt:lpstr>坦克部件</vt:lpstr>
      <vt:lpstr>坦克部件养成</vt:lpstr>
      <vt:lpstr>坦克技能</vt:lpstr>
      <vt:lpstr>战斗力计算</vt:lpstr>
      <vt:lpstr>匹配分段</vt:lpstr>
      <vt:lpstr>商店道具</vt:lpstr>
      <vt:lpstr>道具价值</vt:lpstr>
      <vt:lpstr>道具ID</vt:lpstr>
      <vt:lpstr>推送礼包</vt:lpstr>
      <vt:lpstr>活动奖励</vt:lpstr>
      <vt:lpstr>BattlePass</vt:lpstr>
      <vt:lpstr>BattlePass任务</vt:lpstr>
      <vt:lpstr>成就</vt:lpstr>
      <vt:lpstr>任务设定</vt:lpstr>
      <vt:lpstr>名称-id</vt:lpstr>
      <vt:lpstr>宝箱设定</vt:lpstr>
      <vt:lpstr>碎片兑换</vt:lpstr>
      <vt:lpstr>游戏模式</vt:lpstr>
      <vt:lpstr>属性说明</vt:lpstr>
      <vt:lpstr>宝箱ID</vt:lpstr>
      <vt:lpstr>部件价值</vt:lpstr>
      <vt:lpstr>部件价值标头</vt:lpstr>
      <vt:lpstr>道具ID</vt:lpstr>
      <vt:lpstr>货币ID</vt:lpstr>
      <vt:lpstr>货币价值</vt:lpstr>
      <vt:lpstr>货币价值标头</vt:lpstr>
      <vt:lpstr>加速道具价值</vt:lpstr>
      <vt:lpstr>加速道具价值标头</vt:lpstr>
      <vt:lpstr>轻坦半自动_阶段属性</vt:lpstr>
      <vt:lpstr>轻坦半自动成长属性</vt:lpstr>
      <vt:lpstr>轻坦半自动生成成长</vt:lpstr>
      <vt:lpstr>轻坦单发_阶段属性</vt:lpstr>
      <vt:lpstr>轻坦单发成长属性</vt:lpstr>
      <vt:lpstr>轻坦单发生成成长</vt:lpstr>
      <vt:lpstr>轻坦弹夹_阶段属性</vt:lpstr>
      <vt:lpstr>轻坦弹夹成长属性</vt:lpstr>
      <vt:lpstr>轻坦弹夹生成成长</vt:lpstr>
      <vt:lpstr>属性标头_阶段属性</vt:lpstr>
      <vt:lpstr>所有坦克升星属性</vt:lpstr>
      <vt:lpstr>所有坦克升星属性标头</vt:lpstr>
      <vt:lpstr>坦克ID</vt:lpstr>
      <vt:lpstr>坦克价值</vt:lpstr>
      <vt:lpstr>坦克价值标头</vt:lpstr>
      <vt:lpstr>坦克属性分配比例</vt:lpstr>
      <vt:lpstr>坦克属性分配比例标头</vt:lpstr>
      <vt:lpstr>坦克碎片价值</vt:lpstr>
      <vt:lpstr>坦克碎片价值标头</vt:lpstr>
      <vt:lpstr>涂装ID</vt:lpstr>
      <vt:lpstr>中坦弹夹_阶段属性</vt:lpstr>
      <vt:lpstr>中坦弹夹成长属性</vt:lpstr>
      <vt:lpstr>中坦弹夹生成成长</vt:lpstr>
      <vt:lpstr>中坦自动_阶段属性</vt:lpstr>
      <vt:lpstr>中坦自动成长属性</vt:lpstr>
      <vt:lpstr>中坦自动生成成长</vt:lpstr>
      <vt:lpstr>重坦单发_阶段属性</vt:lpstr>
      <vt:lpstr>重坦单发成长属性</vt:lpstr>
      <vt:lpstr>重坦单发生成成长</vt:lpstr>
      <vt:lpstr>重坦自动_阶段属性</vt:lpstr>
      <vt:lpstr>重坦自动成长属性</vt:lpstr>
      <vt:lpstr>重坦自动生成成长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75235</dc:creator>
  <cp:lastModifiedBy>Microsoft</cp:lastModifiedBy>
  <cp:lastPrinted>2019-05-22T10:16:00Z</cp:lastPrinted>
  <dcterms:created xsi:type="dcterms:W3CDTF">2006-09-16T00:00:00Z</dcterms:created>
  <dcterms:modified xsi:type="dcterms:W3CDTF">2020-02-18T04:14:35Z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2052-11.1.0.9339</vt:lpwstr>
  </property>
</Properties>
</file>